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20" yWindow="840" windowWidth="44320" windowHeight="24000" tabRatio="600" firstSheet="0" activeTab="2" autoFilterDateGrouping="1"/>
  </bookViews>
  <sheets>
    <sheet xmlns:r="http://schemas.openxmlformats.org/officeDocument/2006/relationships" name="README" sheetId="1" state="visible" r:id="rId1"/>
    <sheet xmlns:r="http://schemas.openxmlformats.org/officeDocument/2006/relationships" name="20250815_ETF_Options_Exhibits" sheetId="2" state="visible" r:id="rId2"/>
    <sheet xmlns:r="http://schemas.openxmlformats.org/officeDocument/2006/relationships" name="GROWTH_1PCT_NAV" sheetId="3" state="visible" r:id="rId3"/>
    <sheet xmlns:r="http://schemas.openxmlformats.org/officeDocument/2006/relationships" name="20250815_ETF_Options - 5d AVG" sheetId="4" state="visible" r:id="rId4"/>
    <sheet xmlns:r="http://schemas.openxmlformats.org/officeDocument/2006/relationships" name="ORIG" sheetId="5" state="visible" r:id="rId5"/>
  </sheets>
  <definedNames/>
  <calcPr calcId="191029" fullCalcOnLoad="1"/>
</workbook>
</file>

<file path=xl/styles.xml><?xml version="1.0" encoding="utf-8"?>
<styleSheet xmlns="http://schemas.openxmlformats.org/spreadsheetml/2006/main">
  <numFmts count="4">
    <numFmt numFmtId="164" formatCode="0.0%"/>
    <numFmt numFmtId="165" formatCode="_(* #,##0.000_);_(* \(#,##0.000\);_(* &quot;-&quot;??_);_(@_)"/>
    <numFmt numFmtId="166" formatCode="_(* #,##0.0_);_(* \(#,##0.0\);_(* &quot;-&quot;??_);_(@_)"/>
    <numFmt numFmtId="167" formatCode="0.000000000"/>
  </numFmts>
  <fonts count="19">
    <font>
      <name val="Aptos Narrow"/>
      <family val="2"/>
      <color theme="1"/>
      <sz val="12"/>
      <scheme val="minor"/>
    </font>
    <font>
      <name val="Aptos Narrow"/>
      <family val="2"/>
      <color theme="1"/>
      <sz val="12"/>
      <scheme val="minor"/>
    </font>
    <font>
      <name val="Aptos Display"/>
      <family val="2"/>
      <color theme="3"/>
      <sz val="18"/>
      <scheme val="major"/>
    </font>
    <font>
      <name val="Aptos Narrow"/>
      <family val="2"/>
      <b val="1"/>
      <color theme="3"/>
      <sz val="15"/>
      <scheme val="minor"/>
    </font>
    <font>
      <name val="Aptos Narrow"/>
      <family val="2"/>
      <b val="1"/>
      <color theme="3"/>
      <sz val="13"/>
      <scheme val="minor"/>
    </font>
    <font>
      <name val="Aptos Narrow"/>
      <family val="2"/>
      <b val="1"/>
      <color theme="3"/>
      <sz val="11"/>
      <scheme val="minor"/>
    </font>
    <font>
      <name val="Aptos Narrow"/>
      <family val="2"/>
      <color rgb="FF006100"/>
      <sz val="12"/>
      <scheme val="minor"/>
    </font>
    <font>
      <name val="Aptos Narrow"/>
      <family val="2"/>
      <color rgb="FF9C0006"/>
      <sz val="12"/>
      <scheme val="minor"/>
    </font>
    <font>
      <name val="Aptos Narrow"/>
      <family val="2"/>
      <color rgb="FF9C5700"/>
      <sz val="12"/>
      <scheme val="minor"/>
    </font>
    <font>
      <name val="Aptos Narrow"/>
      <family val="2"/>
      <color rgb="FF3F3F76"/>
      <sz val="12"/>
      <scheme val="minor"/>
    </font>
    <font>
      <name val="Aptos Narrow"/>
      <family val="2"/>
      <b val="1"/>
      <color rgb="FF3F3F3F"/>
      <sz val="12"/>
      <scheme val="minor"/>
    </font>
    <font>
      <name val="Aptos Narrow"/>
      <family val="2"/>
      <b val="1"/>
      <color rgb="FFFA7D00"/>
      <sz val="12"/>
      <scheme val="minor"/>
    </font>
    <font>
      <name val="Aptos Narrow"/>
      <family val="2"/>
      <color rgb="FFFA7D00"/>
      <sz val="12"/>
      <scheme val="minor"/>
    </font>
    <font>
      <name val="Aptos Narrow"/>
      <family val="2"/>
      <b val="1"/>
      <color theme="0"/>
      <sz val="12"/>
      <scheme val="minor"/>
    </font>
    <font>
      <name val="Aptos Narrow"/>
      <family val="2"/>
      <color rgb="FFFF0000"/>
      <sz val="12"/>
      <scheme val="minor"/>
    </font>
    <font>
      <name val="Aptos Narrow"/>
      <family val="2"/>
      <i val="1"/>
      <color rgb="FF7F7F7F"/>
      <sz val="12"/>
      <scheme val="minor"/>
    </font>
    <font>
      <name val="Aptos Narrow"/>
      <family val="2"/>
      <b val="1"/>
      <color theme="1"/>
      <sz val="12"/>
      <scheme val="minor"/>
    </font>
    <font>
      <name val="Aptos Narrow"/>
      <family val="2"/>
      <color theme="0"/>
      <sz val="12"/>
      <scheme val="minor"/>
    </font>
    <font>
      <name val="Aptos Narrow"/>
      <b val="1"/>
      <color theme="1"/>
      <sz val="12"/>
      <scheme val="minor"/>
    </font>
  </fonts>
  <fills count="35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1" fillId="0" borderId="0"/>
    <xf numFmtId="43" fontId="1" fillId="0" borderId="0"/>
    <xf numFmtId="9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34">
    <xf numFmtId="0" fontId="0" fillId="0" borderId="0" pivotButton="0" quotePrefix="0" xfId="0"/>
    <xf numFmtId="14" fontId="0" fillId="0" borderId="0" pivotButton="0" quotePrefix="0" xfId="0"/>
    <xf numFmtId="0" fontId="0" fillId="33" borderId="0" pivotButton="0" quotePrefix="0" xfId="0"/>
    <xf numFmtId="164" fontId="0" fillId="0" borderId="0" pivotButton="0" quotePrefix="0" xfId="2"/>
    <xf numFmtId="10" fontId="0" fillId="0" borderId="0" pivotButton="0" quotePrefix="0" xfId="2"/>
    <xf numFmtId="43" fontId="0" fillId="0" borderId="0" pivotButton="0" quotePrefix="0" xfId="1"/>
    <xf numFmtId="43" fontId="18" fillId="0" borderId="0" pivotButton="0" quotePrefix="0" xfId="1"/>
    <xf numFmtId="43" fontId="0" fillId="0" borderId="0" pivotButton="0" quotePrefix="0" xfId="0"/>
    <xf numFmtId="0" fontId="18" fillId="0" borderId="0" pivotButton="0" quotePrefix="0" xfId="0"/>
    <xf numFmtId="164" fontId="0" fillId="33" borderId="0" pivotButton="0" quotePrefix="0" xfId="2"/>
    <xf numFmtId="10" fontId="0" fillId="33" borderId="0" pivotButton="0" quotePrefix="0" xfId="2"/>
    <xf numFmtId="43" fontId="18" fillId="33" borderId="0" pivotButton="0" quotePrefix="0" xfId="1"/>
    <xf numFmtId="43" fontId="0" fillId="33" borderId="0" pivotButton="0" quotePrefix="0" xfId="1"/>
    <xf numFmtId="0" fontId="0" fillId="0" borderId="0" applyAlignment="1" pivotButton="0" quotePrefix="0" xfId="0">
      <alignment horizontal="right"/>
    </xf>
    <xf numFmtId="165" fontId="0" fillId="0" borderId="0" applyAlignment="1" pivotButton="0" quotePrefix="0" xfId="1">
      <alignment horizontal="right"/>
    </xf>
    <xf numFmtId="0" fontId="0" fillId="0" borderId="0" applyAlignment="1" pivotButton="0" quotePrefix="0" xfId="0">
      <alignment wrapText="1"/>
    </xf>
    <xf numFmtId="0" fontId="0" fillId="33" borderId="0" applyAlignment="1" pivotButton="0" quotePrefix="0" xfId="0">
      <alignment wrapText="1"/>
    </xf>
    <xf numFmtId="0" fontId="0" fillId="0" borderId="0" applyAlignment="1" pivotButton="0" quotePrefix="0" xfId="0">
      <alignment horizontal="right" wrapText="1"/>
    </xf>
    <xf numFmtId="166" fontId="0" fillId="0" borderId="0" pivotButton="0" quotePrefix="0" xfId="1"/>
    <xf numFmtId="166" fontId="18" fillId="0" borderId="0" pivotButton="0" quotePrefix="0" xfId="1"/>
    <xf numFmtId="166" fontId="18" fillId="33" borderId="0" pivotButton="0" quotePrefix="0" xfId="1"/>
    <xf numFmtId="166" fontId="0" fillId="33" borderId="0" pivotButton="0" quotePrefix="0" xfId="1"/>
    <xf numFmtId="166" fontId="0" fillId="0" borderId="0" applyAlignment="1" pivotButton="0" quotePrefix="0" xfId="1">
      <alignment horizontal="right"/>
    </xf>
    <xf numFmtId="166" fontId="0" fillId="0" borderId="0" pivotButton="0" quotePrefix="0" xfId="0"/>
    <xf numFmtId="9" fontId="0" fillId="0" borderId="0" pivotButton="0" quotePrefix="0" xfId="0"/>
    <xf numFmtId="0" fontId="0" fillId="34" borderId="0" pivotButton="0" quotePrefix="0" xfId="0"/>
    <xf numFmtId="10" fontId="0" fillId="34" borderId="0" pivotButton="0" quotePrefix="0" xfId="2"/>
    <xf numFmtId="164" fontId="0" fillId="34" borderId="0" pivotButton="0" quotePrefix="0" xfId="2"/>
    <xf numFmtId="43" fontId="0" fillId="34" borderId="0" pivotButton="0" quotePrefix="0" xfId="1"/>
    <xf numFmtId="166" fontId="0" fillId="34" borderId="0" pivotButton="0" quotePrefix="0" xfId="1"/>
    <xf numFmtId="43" fontId="18" fillId="34" borderId="0" pivotButton="0" quotePrefix="0" xfId="1"/>
    <xf numFmtId="0" fontId="0" fillId="34" borderId="0" applyAlignment="1" pivotButton="0" quotePrefix="0" xfId="0">
      <alignment wrapText="1"/>
    </xf>
    <xf numFmtId="167" fontId="0" fillId="0" borderId="0" pivotButton="0" quotePrefix="0" xfId="1"/>
    <xf numFmtId="167" fontId="0" fillId="0" borderId="0" pivotButton="0" quotePrefix="0" xfId="0"/>
  </cellXfs>
  <cellStyles count="44">
    <cellStyle name="Normal" xfId="0" builtinId="0"/>
    <cellStyle name="Comma" xfId="1" builtinId="3"/>
    <cellStyle name="Percent" xfId="2" builtinId="5"/>
    <cellStyle name="Title" xfId="3" builtinId="15"/>
    <cellStyle name="Heading 1" xfId="4" builtinId="16"/>
    <cellStyle name="Heading 2" xfId="5" builtinId="17"/>
    <cellStyle name="Heading 3" xfId="6" builtinId="18"/>
    <cellStyle name="Heading 4" xfId="7" builtinId="19"/>
    <cellStyle name="Good" xfId="8" builtinId="26"/>
    <cellStyle name="Bad" xfId="9" builtinId="27"/>
    <cellStyle name="Neutral" xfId="10" builtinId="28"/>
    <cellStyle name="Input" xfId="11" builtinId="20"/>
    <cellStyle name="Output" xfId="12" builtinId="21"/>
    <cellStyle name="Calculation" xfId="13" builtinId="22"/>
    <cellStyle name="Linked Cell" xfId="14" builtinId="24"/>
    <cellStyle name="Check Cell" xfId="15" builtinId="23"/>
    <cellStyle name="Warning Text" xfId="16" builtinId="11"/>
    <cellStyle name="Note" xfId="17" builtinId="10"/>
    <cellStyle name="Explanatory Text" xfId="18" builtinId="53"/>
    <cellStyle name="Total" xfId="19" builtinId="25"/>
    <cellStyle name="Accent1" xfId="20" builtinId="29"/>
    <cellStyle name="20% - Accent1" xfId="21" builtinId="30"/>
    <cellStyle name="40% - Accent1" xfId="22" builtinId="31"/>
    <cellStyle name="60% - Accent1" xfId="23" builtinId="32"/>
    <cellStyle name="Accent2" xfId="24" builtinId="33"/>
    <cellStyle name="20% - Accent2" xfId="25" builtinId="34"/>
    <cellStyle name="40% - Accent2" xfId="26" builtinId="35"/>
    <cellStyle name="60% - Accent2" xfId="27" builtinId="36"/>
    <cellStyle name="Accent3" xfId="28" builtinId="37"/>
    <cellStyle name="20% - Accent3" xfId="29" builtinId="38"/>
    <cellStyle name="40% - Accent3" xfId="30" builtinId="39"/>
    <cellStyle name="60% - Accent3" xfId="31" builtinId="40"/>
    <cellStyle name="Accent4" xfId="32" builtinId="41"/>
    <cellStyle name="20% - Accent4" xfId="33" builtinId="42"/>
    <cellStyle name="40% - Accent4" xfId="34" builtinId="43"/>
    <cellStyle name="60% - Accent4" xfId="35" builtinId="44"/>
    <cellStyle name="Accent5" xfId="36" builtinId="45"/>
    <cellStyle name="20% - Accent5" xfId="37" builtinId="46"/>
    <cellStyle name="40% - Accent5" xfId="38" builtinId="47"/>
    <cellStyle name="60% - Accent5" xfId="39" builtinId="48"/>
    <cellStyle name="Accent6" xfId="40" builtinId="49"/>
    <cellStyle name="20% - Accent6" xfId="41" builtinId="50"/>
    <cellStyle name="40% - Accent6" xfId="42" builtinId="51"/>
    <cellStyle name="60% - Accent6" xfId="43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>None</a:t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title>
    <plotArea>
      <layout/>
      <lineChart>
        <grouping val="standard"/>
        <varyColors val="0"/>
        <ser>
          <idx val="0"/>
          <order val="0"/>
          <spPr>
            <a:ln xmlns:a="http://schemas.openxmlformats.org/drawingml/2006/main"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'20250815_ETF_Options_Exhibits'!$AH$2:$AH$2627</f>
              <numCache>
                <formatCode>m/d/yy</formatCode>
                <ptCount val="2626"/>
                <pt idx="0">
                  <v>42004</v>
                </pt>
                <pt idx="1">
                  <v>42006</v>
                </pt>
                <pt idx="2">
                  <v>42009</v>
                </pt>
                <pt idx="3">
                  <v>42010</v>
                </pt>
                <pt idx="4">
                  <v>42011</v>
                </pt>
                <pt idx="5">
                  <v>42012</v>
                </pt>
                <pt idx="6">
                  <v>42013</v>
                </pt>
                <pt idx="7">
                  <v>42016</v>
                </pt>
                <pt idx="8">
                  <v>42017</v>
                </pt>
                <pt idx="9">
                  <v>42018</v>
                </pt>
                <pt idx="10">
                  <v>42019</v>
                </pt>
                <pt idx="11">
                  <v>42020</v>
                </pt>
                <pt idx="12">
                  <v>42024</v>
                </pt>
                <pt idx="13">
                  <v>42025</v>
                </pt>
                <pt idx="14">
                  <v>42026</v>
                </pt>
                <pt idx="15">
                  <v>42027</v>
                </pt>
                <pt idx="16">
                  <v>42030</v>
                </pt>
                <pt idx="17">
                  <v>42031</v>
                </pt>
                <pt idx="18">
                  <v>42032</v>
                </pt>
                <pt idx="19">
                  <v>42033</v>
                </pt>
                <pt idx="20">
                  <v>42034</v>
                </pt>
                <pt idx="21">
                  <v>42037</v>
                </pt>
                <pt idx="22">
                  <v>42038</v>
                </pt>
                <pt idx="23">
                  <v>42039</v>
                </pt>
                <pt idx="24">
                  <v>42040</v>
                </pt>
                <pt idx="25">
                  <v>42041</v>
                </pt>
                <pt idx="26">
                  <v>42044</v>
                </pt>
                <pt idx="27">
                  <v>42045</v>
                </pt>
                <pt idx="28">
                  <v>42046</v>
                </pt>
                <pt idx="29">
                  <v>42047</v>
                </pt>
                <pt idx="30">
                  <v>42048</v>
                </pt>
                <pt idx="31">
                  <v>42052</v>
                </pt>
                <pt idx="32">
                  <v>42053</v>
                </pt>
                <pt idx="33">
                  <v>42054</v>
                </pt>
                <pt idx="34">
                  <v>42055</v>
                </pt>
                <pt idx="35">
                  <v>42058</v>
                </pt>
                <pt idx="36">
                  <v>42059</v>
                </pt>
                <pt idx="37">
                  <v>42060</v>
                </pt>
                <pt idx="38">
                  <v>42061</v>
                </pt>
                <pt idx="39">
                  <v>42062</v>
                </pt>
                <pt idx="40">
                  <v>42065</v>
                </pt>
                <pt idx="41">
                  <v>42066</v>
                </pt>
                <pt idx="42">
                  <v>42067</v>
                </pt>
                <pt idx="43">
                  <v>42068</v>
                </pt>
                <pt idx="44">
                  <v>42069</v>
                </pt>
                <pt idx="45">
                  <v>42072</v>
                </pt>
                <pt idx="46">
                  <v>42073</v>
                </pt>
                <pt idx="47">
                  <v>42074</v>
                </pt>
                <pt idx="48">
                  <v>42075</v>
                </pt>
                <pt idx="49">
                  <v>42076</v>
                </pt>
                <pt idx="50">
                  <v>42079</v>
                </pt>
                <pt idx="51">
                  <v>42080</v>
                </pt>
                <pt idx="52">
                  <v>42081</v>
                </pt>
                <pt idx="53">
                  <v>42082</v>
                </pt>
                <pt idx="54">
                  <v>42083</v>
                </pt>
                <pt idx="55">
                  <v>42086</v>
                </pt>
                <pt idx="56">
                  <v>42087</v>
                </pt>
                <pt idx="57">
                  <v>42088</v>
                </pt>
                <pt idx="58">
                  <v>42089</v>
                </pt>
                <pt idx="59">
                  <v>42090</v>
                </pt>
                <pt idx="60">
                  <v>42093</v>
                </pt>
                <pt idx="61">
                  <v>42094</v>
                </pt>
                <pt idx="62">
                  <v>42095</v>
                </pt>
                <pt idx="63">
                  <v>42096</v>
                </pt>
                <pt idx="64">
                  <v>42100</v>
                </pt>
                <pt idx="65">
                  <v>42101</v>
                </pt>
                <pt idx="66">
                  <v>42102</v>
                </pt>
                <pt idx="67">
                  <v>42103</v>
                </pt>
                <pt idx="68">
                  <v>42104</v>
                </pt>
                <pt idx="69">
                  <v>42107</v>
                </pt>
                <pt idx="70">
                  <v>42108</v>
                </pt>
                <pt idx="71">
                  <v>42109</v>
                </pt>
                <pt idx="72">
                  <v>42110</v>
                </pt>
                <pt idx="73">
                  <v>42111</v>
                </pt>
                <pt idx="74">
                  <v>42114</v>
                </pt>
                <pt idx="75">
                  <v>42115</v>
                </pt>
                <pt idx="76">
                  <v>42116</v>
                </pt>
                <pt idx="77">
                  <v>42117</v>
                </pt>
                <pt idx="78">
                  <v>42118</v>
                </pt>
                <pt idx="79">
                  <v>42121</v>
                </pt>
                <pt idx="80">
                  <v>42122</v>
                </pt>
                <pt idx="81">
                  <v>42123</v>
                </pt>
                <pt idx="82">
                  <v>42124</v>
                </pt>
                <pt idx="83">
                  <v>42125</v>
                </pt>
                <pt idx="84">
                  <v>42128</v>
                </pt>
                <pt idx="85">
                  <v>42129</v>
                </pt>
                <pt idx="86">
                  <v>42130</v>
                </pt>
                <pt idx="87">
                  <v>42131</v>
                </pt>
                <pt idx="88">
                  <v>42132</v>
                </pt>
                <pt idx="89">
                  <v>42135</v>
                </pt>
                <pt idx="90">
                  <v>42136</v>
                </pt>
                <pt idx="91">
                  <v>42137</v>
                </pt>
                <pt idx="92">
                  <v>42138</v>
                </pt>
                <pt idx="93">
                  <v>42139</v>
                </pt>
                <pt idx="94">
                  <v>42142</v>
                </pt>
                <pt idx="95">
                  <v>42143</v>
                </pt>
                <pt idx="96">
                  <v>42144</v>
                </pt>
                <pt idx="97">
                  <v>42145</v>
                </pt>
                <pt idx="98">
                  <v>42146</v>
                </pt>
                <pt idx="99">
                  <v>42150</v>
                </pt>
                <pt idx="100">
                  <v>42151</v>
                </pt>
                <pt idx="101">
                  <v>42152</v>
                </pt>
                <pt idx="102">
                  <v>42153</v>
                </pt>
                <pt idx="103">
                  <v>42156</v>
                </pt>
                <pt idx="104">
                  <v>42157</v>
                </pt>
                <pt idx="105">
                  <v>42158</v>
                </pt>
                <pt idx="106">
                  <v>42159</v>
                </pt>
                <pt idx="107">
                  <v>42160</v>
                </pt>
                <pt idx="108">
                  <v>42163</v>
                </pt>
                <pt idx="109">
                  <v>42164</v>
                </pt>
                <pt idx="110">
                  <v>42165</v>
                </pt>
                <pt idx="111">
                  <v>42166</v>
                </pt>
                <pt idx="112">
                  <v>42167</v>
                </pt>
                <pt idx="113">
                  <v>42170</v>
                </pt>
                <pt idx="114">
                  <v>42171</v>
                </pt>
                <pt idx="115">
                  <v>42172</v>
                </pt>
                <pt idx="116">
                  <v>42173</v>
                </pt>
                <pt idx="117">
                  <v>42174</v>
                </pt>
                <pt idx="118">
                  <v>42177</v>
                </pt>
                <pt idx="119">
                  <v>42178</v>
                </pt>
                <pt idx="120">
                  <v>42179</v>
                </pt>
                <pt idx="121">
                  <v>42180</v>
                </pt>
                <pt idx="122">
                  <v>42181</v>
                </pt>
                <pt idx="123">
                  <v>42184</v>
                </pt>
                <pt idx="124">
                  <v>42185</v>
                </pt>
                <pt idx="125">
                  <v>42186</v>
                </pt>
                <pt idx="126">
                  <v>42187</v>
                </pt>
                <pt idx="127">
                  <v>42191</v>
                </pt>
                <pt idx="128">
                  <v>42192</v>
                </pt>
                <pt idx="129">
                  <v>42193</v>
                </pt>
                <pt idx="130">
                  <v>42194</v>
                </pt>
                <pt idx="131">
                  <v>42195</v>
                </pt>
                <pt idx="132">
                  <v>42198</v>
                </pt>
                <pt idx="133">
                  <v>42199</v>
                </pt>
                <pt idx="134">
                  <v>42200</v>
                </pt>
                <pt idx="135">
                  <v>42201</v>
                </pt>
                <pt idx="136">
                  <v>42202</v>
                </pt>
                <pt idx="137">
                  <v>42205</v>
                </pt>
                <pt idx="138">
                  <v>42206</v>
                </pt>
                <pt idx="139">
                  <v>42207</v>
                </pt>
                <pt idx="140">
                  <v>42208</v>
                </pt>
                <pt idx="141">
                  <v>42209</v>
                </pt>
                <pt idx="142">
                  <v>42212</v>
                </pt>
                <pt idx="143">
                  <v>42213</v>
                </pt>
                <pt idx="144">
                  <v>42214</v>
                </pt>
                <pt idx="145">
                  <v>42215</v>
                </pt>
                <pt idx="146">
                  <v>42216</v>
                </pt>
                <pt idx="147">
                  <v>42219</v>
                </pt>
                <pt idx="148">
                  <v>42220</v>
                </pt>
                <pt idx="149">
                  <v>42221</v>
                </pt>
                <pt idx="150">
                  <v>42222</v>
                </pt>
                <pt idx="151">
                  <v>42223</v>
                </pt>
                <pt idx="152">
                  <v>42226</v>
                </pt>
                <pt idx="153">
                  <v>42227</v>
                </pt>
                <pt idx="154">
                  <v>42228</v>
                </pt>
                <pt idx="155">
                  <v>42229</v>
                </pt>
                <pt idx="156">
                  <v>42230</v>
                </pt>
                <pt idx="157">
                  <v>42233</v>
                </pt>
                <pt idx="158">
                  <v>42234</v>
                </pt>
                <pt idx="159">
                  <v>42235</v>
                </pt>
                <pt idx="160">
                  <v>42236</v>
                </pt>
                <pt idx="161">
                  <v>42237</v>
                </pt>
                <pt idx="162">
                  <v>42240</v>
                </pt>
                <pt idx="163">
                  <v>42241</v>
                </pt>
                <pt idx="164">
                  <v>42242</v>
                </pt>
                <pt idx="165">
                  <v>42243</v>
                </pt>
                <pt idx="166">
                  <v>42244</v>
                </pt>
                <pt idx="167">
                  <v>42247</v>
                </pt>
                <pt idx="168">
                  <v>42248</v>
                </pt>
                <pt idx="169">
                  <v>42249</v>
                </pt>
                <pt idx="170">
                  <v>42250</v>
                </pt>
                <pt idx="171">
                  <v>42251</v>
                </pt>
                <pt idx="172">
                  <v>42255</v>
                </pt>
                <pt idx="173">
                  <v>42256</v>
                </pt>
                <pt idx="174">
                  <v>42257</v>
                </pt>
                <pt idx="175">
                  <v>42258</v>
                </pt>
                <pt idx="176">
                  <v>42261</v>
                </pt>
                <pt idx="177">
                  <v>42262</v>
                </pt>
                <pt idx="178">
                  <v>42263</v>
                </pt>
                <pt idx="179">
                  <v>42264</v>
                </pt>
                <pt idx="180">
                  <v>42265</v>
                </pt>
                <pt idx="181">
                  <v>42268</v>
                </pt>
                <pt idx="182">
                  <v>42269</v>
                </pt>
                <pt idx="183">
                  <v>42270</v>
                </pt>
                <pt idx="184">
                  <v>42271</v>
                </pt>
                <pt idx="185">
                  <v>42272</v>
                </pt>
                <pt idx="186">
                  <v>42275</v>
                </pt>
                <pt idx="187">
                  <v>42276</v>
                </pt>
                <pt idx="188">
                  <v>42277</v>
                </pt>
                <pt idx="189">
                  <v>42278</v>
                </pt>
                <pt idx="190">
                  <v>42279</v>
                </pt>
                <pt idx="191">
                  <v>42282</v>
                </pt>
                <pt idx="192">
                  <v>42283</v>
                </pt>
                <pt idx="193">
                  <v>42284</v>
                </pt>
                <pt idx="194">
                  <v>42285</v>
                </pt>
                <pt idx="195">
                  <v>42286</v>
                </pt>
                <pt idx="196">
                  <v>42289</v>
                </pt>
                <pt idx="197">
                  <v>42290</v>
                </pt>
                <pt idx="198">
                  <v>42291</v>
                </pt>
                <pt idx="199">
                  <v>42292</v>
                </pt>
                <pt idx="200">
                  <v>42293</v>
                </pt>
                <pt idx="201">
                  <v>42296</v>
                </pt>
                <pt idx="202">
                  <v>42297</v>
                </pt>
                <pt idx="203">
                  <v>42298</v>
                </pt>
                <pt idx="204">
                  <v>42299</v>
                </pt>
                <pt idx="205">
                  <v>42300</v>
                </pt>
                <pt idx="206">
                  <v>42303</v>
                </pt>
                <pt idx="207">
                  <v>42304</v>
                </pt>
                <pt idx="208">
                  <v>42305</v>
                </pt>
                <pt idx="209">
                  <v>42306</v>
                </pt>
                <pt idx="210">
                  <v>42307</v>
                </pt>
                <pt idx="211">
                  <v>42310</v>
                </pt>
                <pt idx="212">
                  <v>42311</v>
                </pt>
                <pt idx="213">
                  <v>42312</v>
                </pt>
                <pt idx="214">
                  <v>42313</v>
                </pt>
                <pt idx="215">
                  <v>42314</v>
                </pt>
                <pt idx="216">
                  <v>42317</v>
                </pt>
                <pt idx="217">
                  <v>42318</v>
                </pt>
                <pt idx="218">
                  <v>42319</v>
                </pt>
                <pt idx="219">
                  <v>42320</v>
                </pt>
                <pt idx="220">
                  <v>42321</v>
                </pt>
                <pt idx="221">
                  <v>42324</v>
                </pt>
                <pt idx="222">
                  <v>42325</v>
                </pt>
                <pt idx="223">
                  <v>42326</v>
                </pt>
                <pt idx="224">
                  <v>42327</v>
                </pt>
                <pt idx="225">
                  <v>42328</v>
                </pt>
                <pt idx="226">
                  <v>42331</v>
                </pt>
                <pt idx="227">
                  <v>42332</v>
                </pt>
                <pt idx="228">
                  <v>42333</v>
                </pt>
                <pt idx="229">
                  <v>42335</v>
                </pt>
                <pt idx="230">
                  <v>42338</v>
                </pt>
                <pt idx="231">
                  <v>42339</v>
                </pt>
                <pt idx="232">
                  <v>42340</v>
                </pt>
                <pt idx="233">
                  <v>42341</v>
                </pt>
                <pt idx="234">
                  <v>42342</v>
                </pt>
                <pt idx="235">
                  <v>42345</v>
                </pt>
                <pt idx="236">
                  <v>42346</v>
                </pt>
                <pt idx="237">
                  <v>42347</v>
                </pt>
                <pt idx="238">
                  <v>42348</v>
                </pt>
                <pt idx="239">
                  <v>42349</v>
                </pt>
                <pt idx="240">
                  <v>42352</v>
                </pt>
                <pt idx="241">
                  <v>42353</v>
                </pt>
                <pt idx="242">
                  <v>42354</v>
                </pt>
                <pt idx="243">
                  <v>42355</v>
                </pt>
                <pt idx="244">
                  <v>42356</v>
                </pt>
                <pt idx="245">
                  <v>42359</v>
                </pt>
                <pt idx="246">
                  <v>42360</v>
                </pt>
                <pt idx="247">
                  <v>42361</v>
                </pt>
                <pt idx="248">
                  <v>42362</v>
                </pt>
                <pt idx="249">
                  <v>42366</v>
                </pt>
                <pt idx="250">
                  <v>42367</v>
                </pt>
                <pt idx="251">
                  <v>42368</v>
                </pt>
                <pt idx="252">
                  <v>42369</v>
                </pt>
                <pt idx="253">
                  <v>42373</v>
                </pt>
                <pt idx="254">
                  <v>42374</v>
                </pt>
                <pt idx="255">
                  <v>42375</v>
                </pt>
                <pt idx="256">
                  <v>42376</v>
                </pt>
                <pt idx="257">
                  <v>42377</v>
                </pt>
                <pt idx="258">
                  <v>42380</v>
                </pt>
                <pt idx="259">
                  <v>42381</v>
                </pt>
                <pt idx="260">
                  <v>42382</v>
                </pt>
                <pt idx="261">
                  <v>42383</v>
                </pt>
                <pt idx="262">
                  <v>42384</v>
                </pt>
                <pt idx="263">
                  <v>42388</v>
                </pt>
                <pt idx="264">
                  <v>42389</v>
                </pt>
                <pt idx="265">
                  <v>42390</v>
                </pt>
                <pt idx="266">
                  <v>42391</v>
                </pt>
                <pt idx="267">
                  <v>42394</v>
                </pt>
                <pt idx="268">
                  <v>42395</v>
                </pt>
                <pt idx="269">
                  <v>42396</v>
                </pt>
                <pt idx="270">
                  <v>42397</v>
                </pt>
                <pt idx="271">
                  <v>42398</v>
                </pt>
                <pt idx="272">
                  <v>42401</v>
                </pt>
                <pt idx="273">
                  <v>42402</v>
                </pt>
                <pt idx="274">
                  <v>42403</v>
                </pt>
                <pt idx="275">
                  <v>42404</v>
                </pt>
                <pt idx="276">
                  <v>42405</v>
                </pt>
                <pt idx="277">
                  <v>42408</v>
                </pt>
                <pt idx="278">
                  <v>42409</v>
                </pt>
                <pt idx="279">
                  <v>42410</v>
                </pt>
                <pt idx="280">
                  <v>42411</v>
                </pt>
                <pt idx="281">
                  <v>42412</v>
                </pt>
                <pt idx="282">
                  <v>42416</v>
                </pt>
                <pt idx="283">
                  <v>42417</v>
                </pt>
                <pt idx="284">
                  <v>42418</v>
                </pt>
                <pt idx="285">
                  <v>42419</v>
                </pt>
                <pt idx="286">
                  <v>42422</v>
                </pt>
                <pt idx="287">
                  <v>42423</v>
                </pt>
                <pt idx="288">
                  <v>42424</v>
                </pt>
                <pt idx="289">
                  <v>42425</v>
                </pt>
                <pt idx="290">
                  <v>42426</v>
                </pt>
                <pt idx="291">
                  <v>42429</v>
                </pt>
                <pt idx="292">
                  <v>42430</v>
                </pt>
                <pt idx="293">
                  <v>42431</v>
                </pt>
                <pt idx="294">
                  <v>42432</v>
                </pt>
                <pt idx="295">
                  <v>42433</v>
                </pt>
                <pt idx="296">
                  <v>42436</v>
                </pt>
                <pt idx="297">
                  <v>42437</v>
                </pt>
                <pt idx="298">
                  <v>42438</v>
                </pt>
                <pt idx="299">
                  <v>42439</v>
                </pt>
                <pt idx="300">
                  <v>42440</v>
                </pt>
                <pt idx="301">
                  <v>42443</v>
                </pt>
                <pt idx="302">
                  <v>42444</v>
                </pt>
                <pt idx="303">
                  <v>42445</v>
                </pt>
                <pt idx="304">
                  <v>42446</v>
                </pt>
                <pt idx="305">
                  <v>42447</v>
                </pt>
                <pt idx="306">
                  <v>42450</v>
                </pt>
                <pt idx="307">
                  <v>42451</v>
                </pt>
                <pt idx="308">
                  <v>42452</v>
                </pt>
                <pt idx="309">
                  <v>42453</v>
                </pt>
                <pt idx="310">
                  <v>42457</v>
                </pt>
                <pt idx="311">
                  <v>42458</v>
                </pt>
                <pt idx="312">
                  <v>42459</v>
                </pt>
                <pt idx="313">
                  <v>42460</v>
                </pt>
                <pt idx="314">
                  <v>42461</v>
                </pt>
                <pt idx="315">
                  <v>42464</v>
                </pt>
                <pt idx="316">
                  <v>42465</v>
                </pt>
                <pt idx="317">
                  <v>42466</v>
                </pt>
                <pt idx="318">
                  <v>42467</v>
                </pt>
                <pt idx="319">
                  <v>42468</v>
                </pt>
                <pt idx="320">
                  <v>42471</v>
                </pt>
                <pt idx="321">
                  <v>42472</v>
                </pt>
                <pt idx="322">
                  <v>42473</v>
                </pt>
                <pt idx="323">
                  <v>42474</v>
                </pt>
                <pt idx="324">
                  <v>42475</v>
                </pt>
                <pt idx="325">
                  <v>42478</v>
                </pt>
                <pt idx="326">
                  <v>42479</v>
                </pt>
                <pt idx="327">
                  <v>42480</v>
                </pt>
                <pt idx="328">
                  <v>42481</v>
                </pt>
                <pt idx="329">
                  <v>42482</v>
                </pt>
                <pt idx="330">
                  <v>42485</v>
                </pt>
                <pt idx="331">
                  <v>42486</v>
                </pt>
                <pt idx="332">
                  <v>42487</v>
                </pt>
                <pt idx="333">
                  <v>42488</v>
                </pt>
                <pt idx="334">
                  <v>42489</v>
                </pt>
                <pt idx="335">
                  <v>42492</v>
                </pt>
                <pt idx="336">
                  <v>42493</v>
                </pt>
                <pt idx="337">
                  <v>42494</v>
                </pt>
                <pt idx="338">
                  <v>42495</v>
                </pt>
                <pt idx="339">
                  <v>42496</v>
                </pt>
                <pt idx="340">
                  <v>42499</v>
                </pt>
                <pt idx="341">
                  <v>42500</v>
                </pt>
                <pt idx="342">
                  <v>42501</v>
                </pt>
                <pt idx="343">
                  <v>42502</v>
                </pt>
                <pt idx="344">
                  <v>42503</v>
                </pt>
                <pt idx="345">
                  <v>42506</v>
                </pt>
                <pt idx="346">
                  <v>42507</v>
                </pt>
                <pt idx="347">
                  <v>42508</v>
                </pt>
                <pt idx="348">
                  <v>42509</v>
                </pt>
                <pt idx="349">
                  <v>42510</v>
                </pt>
                <pt idx="350">
                  <v>42513</v>
                </pt>
                <pt idx="351">
                  <v>42514</v>
                </pt>
                <pt idx="352">
                  <v>42515</v>
                </pt>
                <pt idx="353">
                  <v>42516</v>
                </pt>
                <pt idx="354">
                  <v>42517</v>
                </pt>
                <pt idx="355">
                  <v>42521</v>
                </pt>
                <pt idx="356">
                  <v>42522</v>
                </pt>
                <pt idx="357">
                  <v>42523</v>
                </pt>
                <pt idx="358">
                  <v>42524</v>
                </pt>
                <pt idx="359">
                  <v>42527</v>
                </pt>
                <pt idx="360">
                  <v>42528</v>
                </pt>
                <pt idx="361">
                  <v>42529</v>
                </pt>
                <pt idx="362">
                  <v>42530</v>
                </pt>
                <pt idx="363">
                  <v>42531</v>
                </pt>
                <pt idx="364">
                  <v>42534</v>
                </pt>
                <pt idx="365">
                  <v>42535</v>
                </pt>
                <pt idx="366">
                  <v>42536</v>
                </pt>
                <pt idx="367">
                  <v>42537</v>
                </pt>
                <pt idx="368">
                  <v>42538</v>
                </pt>
                <pt idx="369">
                  <v>42541</v>
                </pt>
                <pt idx="370">
                  <v>42542</v>
                </pt>
                <pt idx="371">
                  <v>42543</v>
                </pt>
                <pt idx="372">
                  <v>42544</v>
                </pt>
                <pt idx="373">
                  <v>42545</v>
                </pt>
                <pt idx="374">
                  <v>42548</v>
                </pt>
                <pt idx="375">
                  <v>42549</v>
                </pt>
                <pt idx="376">
                  <v>42550</v>
                </pt>
                <pt idx="377">
                  <v>42551</v>
                </pt>
                <pt idx="378">
                  <v>42552</v>
                </pt>
                <pt idx="379">
                  <v>42556</v>
                </pt>
                <pt idx="380">
                  <v>42557</v>
                </pt>
                <pt idx="381">
                  <v>42558</v>
                </pt>
                <pt idx="382">
                  <v>42559</v>
                </pt>
                <pt idx="383">
                  <v>42562</v>
                </pt>
                <pt idx="384">
                  <v>42563</v>
                </pt>
                <pt idx="385">
                  <v>42564</v>
                </pt>
                <pt idx="386">
                  <v>42565</v>
                </pt>
                <pt idx="387">
                  <v>42566</v>
                </pt>
                <pt idx="388">
                  <v>42569</v>
                </pt>
                <pt idx="389">
                  <v>42570</v>
                </pt>
                <pt idx="390">
                  <v>42571</v>
                </pt>
                <pt idx="391">
                  <v>42572</v>
                </pt>
                <pt idx="392">
                  <v>42573</v>
                </pt>
                <pt idx="393">
                  <v>42576</v>
                </pt>
                <pt idx="394">
                  <v>42577</v>
                </pt>
                <pt idx="395">
                  <v>42578</v>
                </pt>
                <pt idx="396">
                  <v>42579</v>
                </pt>
                <pt idx="397">
                  <v>42580</v>
                </pt>
                <pt idx="398">
                  <v>42583</v>
                </pt>
                <pt idx="399">
                  <v>42584</v>
                </pt>
                <pt idx="400">
                  <v>42585</v>
                </pt>
                <pt idx="401">
                  <v>42586</v>
                </pt>
                <pt idx="402">
                  <v>42587</v>
                </pt>
                <pt idx="403">
                  <v>42590</v>
                </pt>
                <pt idx="404">
                  <v>42591</v>
                </pt>
                <pt idx="405">
                  <v>42592</v>
                </pt>
                <pt idx="406">
                  <v>42593</v>
                </pt>
                <pt idx="407">
                  <v>42594</v>
                </pt>
                <pt idx="408">
                  <v>42597</v>
                </pt>
                <pt idx="409">
                  <v>42598</v>
                </pt>
                <pt idx="410">
                  <v>42599</v>
                </pt>
                <pt idx="411">
                  <v>42600</v>
                </pt>
                <pt idx="412">
                  <v>42601</v>
                </pt>
                <pt idx="413">
                  <v>42604</v>
                </pt>
                <pt idx="414">
                  <v>42605</v>
                </pt>
                <pt idx="415">
                  <v>42606</v>
                </pt>
                <pt idx="416">
                  <v>42607</v>
                </pt>
                <pt idx="417">
                  <v>42608</v>
                </pt>
                <pt idx="418">
                  <v>42611</v>
                </pt>
                <pt idx="419">
                  <v>42612</v>
                </pt>
                <pt idx="420">
                  <v>42613</v>
                </pt>
                <pt idx="421">
                  <v>42614</v>
                </pt>
                <pt idx="422">
                  <v>42615</v>
                </pt>
                <pt idx="423">
                  <v>42619</v>
                </pt>
                <pt idx="424">
                  <v>42620</v>
                </pt>
                <pt idx="425">
                  <v>42621</v>
                </pt>
                <pt idx="426">
                  <v>42622</v>
                </pt>
                <pt idx="427">
                  <v>42625</v>
                </pt>
                <pt idx="428">
                  <v>42626</v>
                </pt>
                <pt idx="429">
                  <v>42627</v>
                </pt>
                <pt idx="430">
                  <v>42628</v>
                </pt>
                <pt idx="431">
                  <v>42629</v>
                </pt>
                <pt idx="432">
                  <v>42632</v>
                </pt>
                <pt idx="433">
                  <v>42633</v>
                </pt>
                <pt idx="434">
                  <v>42634</v>
                </pt>
                <pt idx="435">
                  <v>42635</v>
                </pt>
                <pt idx="436">
                  <v>42636</v>
                </pt>
                <pt idx="437">
                  <v>42639</v>
                </pt>
                <pt idx="438">
                  <v>42640</v>
                </pt>
                <pt idx="439">
                  <v>42641</v>
                </pt>
                <pt idx="440">
                  <v>42642</v>
                </pt>
                <pt idx="441">
                  <v>42643</v>
                </pt>
                <pt idx="442">
                  <v>42646</v>
                </pt>
                <pt idx="443">
                  <v>42647</v>
                </pt>
                <pt idx="444">
                  <v>42648</v>
                </pt>
                <pt idx="445">
                  <v>42649</v>
                </pt>
                <pt idx="446">
                  <v>42650</v>
                </pt>
                <pt idx="447">
                  <v>42653</v>
                </pt>
                <pt idx="448">
                  <v>42654</v>
                </pt>
                <pt idx="449">
                  <v>42655</v>
                </pt>
                <pt idx="450">
                  <v>42656</v>
                </pt>
                <pt idx="451">
                  <v>42657</v>
                </pt>
                <pt idx="452">
                  <v>42660</v>
                </pt>
                <pt idx="453">
                  <v>42661</v>
                </pt>
                <pt idx="454">
                  <v>42662</v>
                </pt>
                <pt idx="455">
                  <v>42663</v>
                </pt>
                <pt idx="456">
                  <v>42664</v>
                </pt>
                <pt idx="457">
                  <v>42667</v>
                </pt>
                <pt idx="458">
                  <v>42668</v>
                </pt>
                <pt idx="459">
                  <v>42669</v>
                </pt>
                <pt idx="460">
                  <v>42670</v>
                </pt>
                <pt idx="461">
                  <v>42671</v>
                </pt>
                <pt idx="462">
                  <v>42674</v>
                </pt>
                <pt idx="463">
                  <v>42675</v>
                </pt>
                <pt idx="464">
                  <v>42676</v>
                </pt>
                <pt idx="465">
                  <v>42677</v>
                </pt>
                <pt idx="466">
                  <v>42678</v>
                </pt>
                <pt idx="467">
                  <v>42681</v>
                </pt>
                <pt idx="468">
                  <v>42682</v>
                </pt>
                <pt idx="469">
                  <v>42683</v>
                </pt>
                <pt idx="470">
                  <v>42684</v>
                </pt>
                <pt idx="471">
                  <v>42685</v>
                </pt>
                <pt idx="472">
                  <v>42688</v>
                </pt>
                <pt idx="473">
                  <v>42689</v>
                </pt>
                <pt idx="474">
                  <v>42690</v>
                </pt>
                <pt idx="475">
                  <v>42691</v>
                </pt>
                <pt idx="476">
                  <v>42692</v>
                </pt>
                <pt idx="477">
                  <v>42695</v>
                </pt>
                <pt idx="478">
                  <v>42696</v>
                </pt>
                <pt idx="479">
                  <v>42697</v>
                </pt>
                <pt idx="480">
                  <v>42699</v>
                </pt>
                <pt idx="481">
                  <v>42702</v>
                </pt>
                <pt idx="482">
                  <v>42703</v>
                </pt>
                <pt idx="483">
                  <v>42704</v>
                </pt>
                <pt idx="484">
                  <v>42705</v>
                </pt>
                <pt idx="485">
                  <v>42706</v>
                </pt>
                <pt idx="486">
                  <v>42709</v>
                </pt>
                <pt idx="487">
                  <v>42710</v>
                </pt>
                <pt idx="488">
                  <v>42711</v>
                </pt>
                <pt idx="489">
                  <v>42712</v>
                </pt>
                <pt idx="490">
                  <v>42713</v>
                </pt>
                <pt idx="491">
                  <v>42716</v>
                </pt>
                <pt idx="492">
                  <v>42717</v>
                </pt>
                <pt idx="493">
                  <v>42718</v>
                </pt>
                <pt idx="494">
                  <v>42719</v>
                </pt>
                <pt idx="495">
                  <v>42720</v>
                </pt>
                <pt idx="496">
                  <v>42723</v>
                </pt>
                <pt idx="497">
                  <v>42724</v>
                </pt>
                <pt idx="498">
                  <v>42725</v>
                </pt>
                <pt idx="499">
                  <v>42726</v>
                </pt>
                <pt idx="500">
                  <v>42727</v>
                </pt>
                <pt idx="501">
                  <v>42731</v>
                </pt>
                <pt idx="502">
                  <v>42732</v>
                </pt>
                <pt idx="503">
                  <v>42733</v>
                </pt>
                <pt idx="504">
                  <v>42734</v>
                </pt>
                <pt idx="505">
                  <v>42738</v>
                </pt>
                <pt idx="506">
                  <v>42739</v>
                </pt>
                <pt idx="507">
                  <v>42740</v>
                </pt>
                <pt idx="508">
                  <v>42741</v>
                </pt>
                <pt idx="509">
                  <v>42744</v>
                </pt>
                <pt idx="510">
                  <v>42745</v>
                </pt>
                <pt idx="511">
                  <v>42746</v>
                </pt>
                <pt idx="512">
                  <v>42747</v>
                </pt>
                <pt idx="513">
                  <v>42748</v>
                </pt>
                <pt idx="514">
                  <v>42752</v>
                </pt>
                <pt idx="515">
                  <v>42753</v>
                </pt>
                <pt idx="516">
                  <v>42754</v>
                </pt>
                <pt idx="517">
                  <v>42755</v>
                </pt>
                <pt idx="518">
                  <v>42758</v>
                </pt>
                <pt idx="519">
                  <v>42759</v>
                </pt>
                <pt idx="520">
                  <v>42760</v>
                </pt>
                <pt idx="521">
                  <v>42761</v>
                </pt>
                <pt idx="522">
                  <v>42762</v>
                </pt>
                <pt idx="523">
                  <v>42765</v>
                </pt>
                <pt idx="524">
                  <v>42766</v>
                </pt>
                <pt idx="525">
                  <v>42767</v>
                </pt>
                <pt idx="526">
                  <v>42768</v>
                </pt>
                <pt idx="527">
                  <v>42769</v>
                </pt>
                <pt idx="528">
                  <v>42772</v>
                </pt>
                <pt idx="529">
                  <v>42773</v>
                </pt>
                <pt idx="530">
                  <v>42774</v>
                </pt>
                <pt idx="531">
                  <v>42775</v>
                </pt>
                <pt idx="532">
                  <v>42776</v>
                </pt>
                <pt idx="533">
                  <v>42779</v>
                </pt>
                <pt idx="534">
                  <v>42780</v>
                </pt>
                <pt idx="535">
                  <v>42781</v>
                </pt>
                <pt idx="536">
                  <v>42782</v>
                </pt>
                <pt idx="537">
                  <v>42783</v>
                </pt>
                <pt idx="538">
                  <v>42787</v>
                </pt>
                <pt idx="539">
                  <v>42788</v>
                </pt>
                <pt idx="540">
                  <v>42789</v>
                </pt>
                <pt idx="541">
                  <v>42790</v>
                </pt>
                <pt idx="542">
                  <v>42793</v>
                </pt>
                <pt idx="543">
                  <v>42794</v>
                </pt>
                <pt idx="544">
                  <v>42795</v>
                </pt>
                <pt idx="545">
                  <v>42796</v>
                </pt>
                <pt idx="546">
                  <v>42797</v>
                </pt>
                <pt idx="547">
                  <v>42800</v>
                </pt>
                <pt idx="548">
                  <v>42801</v>
                </pt>
                <pt idx="549">
                  <v>42802</v>
                </pt>
                <pt idx="550">
                  <v>42803</v>
                </pt>
                <pt idx="551">
                  <v>42804</v>
                </pt>
                <pt idx="552">
                  <v>42807</v>
                </pt>
                <pt idx="553">
                  <v>42808</v>
                </pt>
                <pt idx="554">
                  <v>42809</v>
                </pt>
                <pt idx="555">
                  <v>42810</v>
                </pt>
                <pt idx="556">
                  <v>42811</v>
                </pt>
                <pt idx="557">
                  <v>42814</v>
                </pt>
                <pt idx="558">
                  <v>42815</v>
                </pt>
                <pt idx="559">
                  <v>42816</v>
                </pt>
                <pt idx="560">
                  <v>42817</v>
                </pt>
                <pt idx="561">
                  <v>42818</v>
                </pt>
                <pt idx="562">
                  <v>42821</v>
                </pt>
                <pt idx="563">
                  <v>42822</v>
                </pt>
                <pt idx="564">
                  <v>42823</v>
                </pt>
                <pt idx="565">
                  <v>42824</v>
                </pt>
                <pt idx="566">
                  <v>42825</v>
                </pt>
                <pt idx="567">
                  <v>42828</v>
                </pt>
                <pt idx="568">
                  <v>42829</v>
                </pt>
                <pt idx="569">
                  <v>42830</v>
                </pt>
                <pt idx="570">
                  <v>42831</v>
                </pt>
                <pt idx="571">
                  <v>42832</v>
                </pt>
                <pt idx="572">
                  <v>42835</v>
                </pt>
                <pt idx="573">
                  <v>42836</v>
                </pt>
                <pt idx="574">
                  <v>42837</v>
                </pt>
                <pt idx="575">
                  <v>42838</v>
                </pt>
                <pt idx="576">
                  <v>42842</v>
                </pt>
                <pt idx="577">
                  <v>42843</v>
                </pt>
                <pt idx="578">
                  <v>42844</v>
                </pt>
                <pt idx="579">
                  <v>42845</v>
                </pt>
                <pt idx="580">
                  <v>42846</v>
                </pt>
                <pt idx="581">
                  <v>42849</v>
                </pt>
                <pt idx="582">
                  <v>42850</v>
                </pt>
                <pt idx="583">
                  <v>42851</v>
                </pt>
                <pt idx="584">
                  <v>42852</v>
                </pt>
                <pt idx="585">
                  <v>42853</v>
                </pt>
                <pt idx="586">
                  <v>42856</v>
                </pt>
                <pt idx="587">
                  <v>42857</v>
                </pt>
                <pt idx="588">
                  <v>42858</v>
                </pt>
                <pt idx="589">
                  <v>42859</v>
                </pt>
                <pt idx="590">
                  <v>42860</v>
                </pt>
                <pt idx="591">
                  <v>42863</v>
                </pt>
                <pt idx="592">
                  <v>42864</v>
                </pt>
                <pt idx="593">
                  <v>42865</v>
                </pt>
                <pt idx="594">
                  <v>42866</v>
                </pt>
                <pt idx="595">
                  <v>42867</v>
                </pt>
                <pt idx="596">
                  <v>42870</v>
                </pt>
                <pt idx="597">
                  <v>42871</v>
                </pt>
                <pt idx="598">
                  <v>42872</v>
                </pt>
                <pt idx="599">
                  <v>42873</v>
                </pt>
                <pt idx="600">
                  <v>42874</v>
                </pt>
                <pt idx="601">
                  <v>42877</v>
                </pt>
                <pt idx="602">
                  <v>42878</v>
                </pt>
                <pt idx="603">
                  <v>42879</v>
                </pt>
                <pt idx="604">
                  <v>42880</v>
                </pt>
                <pt idx="605">
                  <v>42881</v>
                </pt>
                <pt idx="606">
                  <v>42885</v>
                </pt>
                <pt idx="607">
                  <v>42886</v>
                </pt>
                <pt idx="608">
                  <v>42887</v>
                </pt>
                <pt idx="609">
                  <v>42888</v>
                </pt>
                <pt idx="610">
                  <v>42891</v>
                </pt>
                <pt idx="611">
                  <v>42892</v>
                </pt>
                <pt idx="612">
                  <v>42893</v>
                </pt>
                <pt idx="613">
                  <v>42894</v>
                </pt>
                <pt idx="614">
                  <v>42895</v>
                </pt>
                <pt idx="615">
                  <v>42898</v>
                </pt>
                <pt idx="616">
                  <v>42899</v>
                </pt>
                <pt idx="617">
                  <v>42900</v>
                </pt>
                <pt idx="618">
                  <v>42901</v>
                </pt>
                <pt idx="619">
                  <v>42902</v>
                </pt>
                <pt idx="620">
                  <v>42905</v>
                </pt>
                <pt idx="621">
                  <v>42906</v>
                </pt>
                <pt idx="622">
                  <v>42907</v>
                </pt>
                <pt idx="623">
                  <v>42908</v>
                </pt>
                <pt idx="624">
                  <v>42909</v>
                </pt>
                <pt idx="625">
                  <v>42912</v>
                </pt>
                <pt idx="626">
                  <v>42913</v>
                </pt>
                <pt idx="627">
                  <v>42914</v>
                </pt>
                <pt idx="628">
                  <v>42915</v>
                </pt>
                <pt idx="629">
                  <v>42916</v>
                </pt>
                <pt idx="630">
                  <v>42919</v>
                </pt>
                <pt idx="631">
                  <v>42921</v>
                </pt>
                <pt idx="632">
                  <v>42922</v>
                </pt>
                <pt idx="633">
                  <v>42923</v>
                </pt>
                <pt idx="634">
                  <v>42926</v>
                </pt>
                <pt idx="635">
                  <v>42927</v>
                </pt>
                <pt idx="636">
                  <v>42928</v>
                </pt>
                <pt idx="637">
                  <v>42929</v>
                </pt>
                <pt idx="638">
                  <v>42930</v>
                </pt>
                <pt idx="639">
                  <v>42933</v>
                </pt>
                <pt idx="640">
                  <v>42934</v>
                </pt>
                <pt idx="641">
                  <v>42935</v>
                </pt>
                <pt idx="642">
                  <v>42936</v>
                </pt>
                <pt idx="643">
                  <v>42937</v>
                </pt>
                <pt idx="644">
                  <v>42940</v>
                </pt>
                <pt idx="645">
                  <v>42941</v>
                </pt>
                <pt idx="646">
                  <v>42942</v>
                </pt>
                <pt idx="647">
                  <v>42943</v>
                </pt>
                <pt idx="648">
                  <v>42944</v>
                </pt>
                <pt idx="649">
                  <v>42947</v>
                </pt>
                <pt idx="650">
                  <v>42948</v>
                </pt>
                <pt idx="651">
                  <v>42949</v>
                </pt>
                <pt idx="652">
                  <v>42950</v>
                </pt>
                <pt idx="653">
                  <v>42951</v>
                </pt>
                <pt idx="654">
                  <v>42954</v>
                </pt>
                <pt idx="655">
                  <v>42955</v>
                </pt>
                <pt idx="656">
                  <v>42956</v>
                </pt>
                <pt idx="657">
                  <v>42957</v>
                </pt>
                <pt idx="658">
                  <v>42958</v>
                </pt>
                <pt idx="659">
                  <v>42961</v>
                </pt>
                <pt idx="660">
                  <v>42962</v>
                </pt>
                <pt idx="661">
                  <v>42963</v>
                </pt>
                <pt idx="662">
                  <v>42964</v>
                </pt>
                <pt idx="663">
                  <v>42965</v>
                </pt>
                <pt idx="664">
                  <v>42968</v>
                </pt>
                <pt idx="665">
                  <v>42969</v>
                </pt>
                <pt idx="666">
                  <v>42970</v>
                </pt>
                <pt idx="667">
                  <v>42971</v>
                </pt>
                <pt idx="668">
                  <v>42972</v>
                </pt>
                <pt idx="669">
                  <v>42975</v>
                </pt>
                <pt idx="670">
                  <v>42976</v>
                </pt>
                <pt idx="671">
                  <v>42977</v>
                </pt>
                <pt idx="672">
                  <v>42978</v>
                </pt>
                <pt idx="673">
                  <v>42979</v>
                </pt>
                <pt idx="674">
                  <v>42983</v>
                </pt>
                <pt idx="675">
                  <v>42984</v>
                </pt>
                <pt idx="676">
                  <v>42985</v>
                </pt>
                <pt idx="677">
                  <v>42986</v>
                </pt>
                <pt idx="678">
                  <v>42989</v>
                </pt>
                <pt idx="679">
                  <v>42990</v>
                </pt>
                <pt idx="680">
                  <v>42991</v>
                </pt>
                <pt idx="681">
                  <v>42992</v>
                </pt>
                <pt idx="682">
                  <v>42993</v>
                </pt>
                <pt idx="683">
                  <v>42996</v>
                </pt>
                <pt idx="684">
                  <v>42997</v>
                </pt>
                <pt idx="685">
                  <v>42998</v>
                </pt>
                <pt idx="686">
                  <v>42999</v>
                </pt>
                <pt idx="687">
                  <v>43000</v>
                </pt>
                <pt idx="688">
                  <v>43003</v>
                </pt>
                <pt idx="689">
                  <v>43004</v>
                </pt>
                <pt idx="690">
                  <v>43005</v>
                </pt>
                <pt idx="691">
                  <v>43006</v>
                </pt>
                <pt idx="692">
                  <v>43007</v>
                </pt>
                <pt idx="693">
                  <v>43010</v>
                </pt>
                <pt idx="694">
                  <v>43011</v>
                </pt>
                <pt idx="695">
                  <v>43012</v>
                </pt>
                <pt idx="696">
                  <v>43013</v>
                </pt>
                <pt idx="697">
                  <v>43014</v>
                </pt>
                <pt idx="698">
                  <v>43017</v>
                </pt>
                <pt idx="699">
                  <v>43018</v>
                </pt>
                <pt idx="700">
                  <v>43019</v>
                </pt>
                <pt idx="701">
                  <v>43020</v>
                </pt>
                <pt idx="702">
                  <v>43021</v>
                </pt>
                <pt idx="703">
                  <v>43024</v>
                </pt>
                <pt idx="704">
                  <v>43025</v>
                </pt>
                <pt idx="705">
                  <v>43026</v>
                </pt>
                <pt idx="706">
                  <v>43027</v>
                </pt>
                <pt idx="707">
                  <v>43028</v>
                </pt>
                <pt idx="708">
                  <v>43031</v>
                </pt>
                <pt idx="709">
                  <v>43032</v>
                </pt>
                <pt idx="710">
                  <v>43033</v>
                </pt>
                <pt idx="711">
                  <v>43034</v>
                </pt>
                <pt idx="712">
                  <v>43035</v>
                </pt>
                <pt idx="713">
                  <v>43038</v>
                </pt>
                <pt idx="714">
                  <v>43039</v>
                </pt>
                <pt idx="715">
                  <v>43040</v>
                </pt>
                <pt idx="716">
                  <v>43041</v>
                </pt>
                <pt idx="717">
                  <v>43042</v>
                </pt>
                <pt idx="718">
                  <v>43045</v>
                </pt>
                <pt idx="719">
                  <v>43046</v>
                </pt>
                <pt idx="720">
                  <v>43047</v>
                </pt>
                <pt idx="721">
                  <v>43048</v>
                </pt>
                <pt idx="722">
                  <v>43049</v>
                </pt>
                <pt idx="723">
                  <v>43052</v>
                </pt>
                <pt idx="724">
                  <v>43053</v>
                </pt>
                <pt idx="725">
                  <v>43054</v>
                </pt>
                <pt idx="726">
                  <v>43055</v>
                </pt>
                <pt idx="727">
                  <v>43056</v>
                </pt>
                <pt idx="728">
                  <v>43059</v>
                </pt>
                <pt idx="729">
                  <v>43060</v>
                </pt>
                <pt idx="730">
                  <v>43061</v>
                </pt>
                <pt idx="731">
                  <v>43063</v>
                </pt>
                <pt idx="732">
                  <v>43066</v>
                </pt>
                <pt idx="733">
                  <v>43067</v>
                </pt>
                <pt idx="734">
                  <v>43068</v>
                </pt>
                <pt idx="735">
                  <v>43069</v>
                </pt>
                <pt idx="736">
                  <v>43070</v>
                </pt>
                <pt idx="737">
                  <v>43073</v>
                </pt>
                <pt idx="738">
                  <v>43075</v>
                </pt>
                <pt idx="739">
                  <v>43076</v>
                </pt>
                <pt idx="740">
                  <v>43077</v>
                </pt>
                <pt idx="741">
                  <v>43080</v>
                </pt>
                <pt idx="742">
                  <v>43081</v>
                </pt>
                <pt idx="743">
                  <v>43082</v>
                </pt>
                <pt idx="744">
                  <v>43083</v>
                </pt>
                <pt idx="745">
                  <v>43084</v>
                </pt>
                <pt idx="746">
                  <v>43087</v>
                </pt>
                <pt idx="747">
                  <v>43088</v>
                </pt>
                <pt idx="748">
                  <v>43089</v>
                </pt>
                <pt idx="749">
                  <v>43090</v>
                </pt>
                <pt idx="750">
                  <v>43091</v>
                </pt>
                <pt idx="751">
                  <v>43095</v>
                </pt>
                <pt idx="752">
                  <v>43096</v>
                </pt>
                <pt idx="753">
                  <v>43097</v>
                </pt>
                <pt idx="754">
                  <v>43098</v>
                </pt>
                <pt idx="755">
                  <v>43102</v>
                </pt>
                <pt idx="756">
                  <v>43103</v>
                </pt>
                <pt idx="757">
                  <v>43104</v>
                </pt>
                <pt idx="758">
                  <v>43105</v>
                </pt>
                <pt idx="759">
                  <v>43108</v>
                </pt>
                <pt idx="760">
                  <v>43109</v>
                </pt>
                <pt idx="761">
                  <v>43110</v>
                </pt>
                <pt idx="762">
                  <v>43111</v>
                </pt>
                <pt idx="763">
                  <v>43112</v>
                </pt>
                <pt idx="764">
                  <v>43116</v>
                </pt>
                <pt idx="765">
                  <v>43117</v>
                </pt>
                <pt idx="766">
                  <v>43118</v>
                </pt>
                <pt idx="767">
                  <v>43119</v>
                </pt>
                <pt idx="768">
                  <v>43122</v>
                </pt>
                <pt idx="769">
                  <v>43123</v>
                </pt>
                <pt idx="770">
                  <v>43124</v>
                </pt>
                <pt idx="771">
                  <v>43125</v>
                </pt>
                <pt idx="772">
                  <v>43126</v>
                </pt>
                <pt idx="773">
                  <v>43129</v>
                </pt>
                <pt idx="774">
                  <v>43130</v>
                </pt>
                <pt idx="775">
                  <v>43131</v>
                </pt>
                <pt idx="776">
                  <v>43132</v>
                </pt>
                <pt idx="777">
                  <v>43133</v>
                </pt>
                <pt idx="778">
                  <v>43136</v>
                </pt>
                <pt idx="779">
                  <v>43137</v>
                </pt>
                <pt idx="780">
                  <v>43138</v>
                </pt>
                <pt idx="781">
                  <v>43139</v>
                </pt>
                <pt idx="782">
                  <v>43140</v>
                </pt>
                <pt idx="783">
                  <v>43143</v>
                </pt>
                <pt idx="784">
                  <v>43144</v>
                </pt>
                <pt idx="785">
                  <v>43145</v>
                </pt>
                <pt idx="786">
                  <v>43146</v>
                </pt>
                <pt idx="787">
                  <v>43147</v>
                </pt>
                <pt idx="788">
                  <v>43151</v>
                </pt>
                <pt idx="789">
                  <v>43152</v>
                </pt>
                <pt idx="790">
                  <v>43153</v>
                </pt>
                <pt idx="791">
                  <v>43154</v>
                </pt>
                <pt idx="792">
                  <v>43157</v>
                </pt>
                <pt idx="793">
                  <v>43158</v>
                </pt>
                <pt idx="794">
                  <v>43159</v>
                </pt>
                <pt idx="795">
                  <v>43160</v>
                </pt>
                <pt idx="796">
                  <v>43161</v>
                </pt>
                <pt idx="797">
                  <v>43164</v>
                </pt>
                <pt idx="798">
                  <v>43165</v>
                </pt>
                <pt idx="799">
                  <v>43166</v>
                </pt>
                <pt idx="800">
                  <v>43167</v>
                </pt>
                <pt idx="801">
                  <v>43168</v>
                </pt>
                <pt idx="802">
                  <v>43171</v>
                </pt>
                <pt idx="803">
                  <v>43172</v>
                </pt>
                <pt idx="804">
                  <v>43173</v>
                </pt>
                <pt idx="805">
                  <v>43174</v>
                </pt>
                <pt idx="806">
                  <v>43175</v>
                </pt>
                <pt idx="807">
                  <v>43178</v>
                </pt>
                <pt idx="808">
                  <v>43179</v>
                </pt>
                <pt idx="809">
                  <v>43180</v>
                </pt>
                <pt idx="810">
                  <v>43181</v>
                </pt>
                <pt idx="811">
                  <v>43182</v>
                </pt>
                <pt idx="812">
                  <v>43185</v>
                </pt>
                <pt idx="813">
                  <v>43186</v>
                </pt>
                <pt idx="814">
                  <v>43187</v>
                </pt>
                <pt idx="815">
                  <v>43188</v>
                </pt>
                <pt idx="816">
                  <v>43192</v>
                </pt>
                <pt idx="817">
                  <v>43193</v>
                </pt>
                <pt idx="818">
                  <v>43194</v>
                </pt>
                <pt idx="819">
                  <v>43195</v>
                </pt>
                <pt idx="820">
                  <v>43196</v>
                </pt>
                <pt idx="821">
                  <v>43199</v>
                </pt>
                <pt idx="822">
                  <v>43200</v>
                </pt>
                <pt idx="823">
                  <v>43201</v>
                </pt>
                <pt idx="824">
                  <v>43202</v>
                </pt>
                <pt idx="825">
                  <v>43203</v>
                </pt>
                <pt idx="826">
                  <v>43206</v>
                </pt>
                <pt idx="827">
                  <v>43207</v>
                </pt>
                <pt idx="828">
                  <v>43208</v>
                </pt>
                <pt idx="829">
                  <v>43209</v>
                </pt>
                <pt idx="830">
                  <v>43210</v>
                </pt>
                <pt idx="831">
                  <v>43213</v>
                </pt>
                <pt idx="832">
                  <v>43214</v>
                </pt>
                <pt idx="833">
                  <v>43215</v>
                </pt>
                <pt idx="834">
                  <v>43216</v>
                </pt>
                <pt idx="835">
                  <v>43217</v>
                </pt>
                <pt idx="836">
                  <v>43220</v>
                </pt>
                <pt idx="837">
                  <v>43221</v>
                </pt>
                <pt idx="838">
                  <v>43222</v>
                </pt>
                <pt idx="839">
                  <v>43223</v>
                </pt>
                <pt idx="840">
                  <v>43224</v>
                </pt>
                <pt idx="841">
                  <v>43227</v>
                </pt>
                <pt idx="842">
                  <v>43228</v>
                </pt>
                <pt idx="843">
                  <v>43229</v>
                </pt>
                <pt idx="844">
                  <v>43230</v>
                </pt>
                <pt idx="845">
                  <v>43231</v>
                </pt>
                <pt idx="846">
                  <v>43234</v>
                </pt>
                <pt idx="847">
                  <v>43235</v>
                </pt>
                <pt idx="848">
                  <v>43236</v>
                </pt>
                <pt idx="849">
                  <v>43237</v>
                </pt>
                <pt idx="850">
                  <v>43238</v>
                </pt>
                <pt idx="851">
                  <v>43241</v>
                </pt>
                <pt idx="852">
                  <v>43242</v>
                </pt>
                <pt idx="853">
                  <v>43243</v>
                </pt>
                <pt idx="854">
                  <v>43244</v>
                </pt>
                <pt idx="855">
                  <v>43245</v>
                </pt>
                <pt idx="856">
                  <v>43249</v>
                </pt>
                <pt idx="857">
                  <v>43250</v>
                </pt>
                <pt idx="858">
                  <v>43251</v>
                </pt>
                <pt idx="859">
                  <v>43252</v>
                </pt>
                <pt idx="860">
                  <v>43255</v>
                </pt>
                <pt idx="861">
                  <v>43256</v>
                </pt>
                <pt idx="862">
                  <v>43257</v>
                </pt>
                <pt idx="863">
                  <v>43258</v>
                </pt>
                <pt idx="864">
                  <v>43259</v>
                </pt>
                <pt idx="865">
                  <v>43262</v>
                </pt>
                <pt idx="866">
                  <v>43263</v>
                </pt>
                <pt idx="867">
                  <v>43264</v>
                </pt>
                <pt idx="868">
                  <v>43265</v>
                </pt>
                <pt idx="869">
                  <v>43266</v>
                </pt>
                <pt idx="870">
                  <v>43269</v>
                </pt>
                <pt idx="871">
                  <v>43270</v>
                </pt>
                <pt idx="872">
                  <v>43271</v>
                </pt>
                <pt idx="873">
                  <v>43272</v>
                </pt>
                <pt idx="874">
                  <v>43273</v>
                </pt>
                <pt idx="875">
                  <v>43276</v>
                </pt>
                <pt idx="876">
                  <v>43277</v>
                </pt>
                <pt idx="877">
                  <v>43278</v>
                </pt>
                <pt idx="878">
                  <v>43279</v>
                </pt>
                <pt idx="879">
                  <v>43280</v>
                </pt>
                <pt idx="880">
                  <v>43283</v>
                </pt>
                <pt idx="881">
                  <v>43284</v>
                </pt>
                <pt idx="882">
                  <v>43286</v>
                </pt>
                <pt idx="883">
                  <v>43287</v>
                </pt>
                <pt idx="884">
                  <v>43290</v>
                </pt>
                <pt idx="885">
                  <v>43291</v>
                </pt>
                <pt idx="886">
                  <v>43292</v>
                </pt>
                <pt idx="887">
                  <v>43293</v>
                </pt>
                <pt idx="888">
                  <v>43294</v>
                </pt>
                <pt idx="889">
                  <v>43297</v>
                </pt>
                <pt idx="890">
                  <v>43298</v>
                </pt>
                <pt idx="891">
                  <v>43299</v>
                </pt>
                <pt idx="892">
                  <v>43300</v>
                </pt>
                <pt idx="893">
                  <v>43301</v>
                </pt>
                <pt idx="894">
                  <v>43304</v>
                </pt>
                <pt idx="895">
                  <v>43305</v>
                </pt>
                <pt idx="896">
                  <v>43306</v>
                </pt>
                <pt idx="897">
                  <v>43307</v>
                </pt>
                <pt idx="898">
                  <v>43308</v>
                </pt>
                <pt idx="899">
                  <v>43311</v>
                </pt>
                <pt idx="900">
                  <v>43312</v>
                </pt>
                <pt idx="901">
                  <v>43313</v>
                </pt>
                <pt idx="902">
                  <v>43314</v>
                </pt>
                <pt idx="903">
                  <v>43315</v>
                </pt>
                <pt idx="904">
                  <v>43318</v>
                </pt>
                <pt idx="905">
                  <v>43319</v>
                </pt>
                <pt idx="906">
                  <v>43320</v>
                </pt>
                <pt idx="907">
                  <v>43321</v>
                </pt>
                <pt idx="908">
                  <v>43322</v>
                </pt>
                <pt idx="909">
                  <v>43325</v>
                </pt>
                <pt idx="910">
                  <v>43326</v>
                </pt>
                <pt idx="911">
                  <v>43327</v>
                </pt>
                <pt idx="912">
                  <v>43328</v>
                </pt>
                <pt idx="913">
                  <v>43329</v>
                </pt>
                <pt idx="914">
                  <v>43332</v>
                </pt>
                <pt idx="915">
                  <v>43333</v>
                </pt>
                <pt idx="916">
                  <v>43334</v>
                </pt>
                <pt idx="917">
                  <v>43335</v>
                </pt>
                <pt idx="918">
                  <v>43336</v>
                </pt>
                <pt idx="919">
                  <v>43339</v>
                </pt>
                <pt idx="920">
                  <v>43340</v>
                </pt>
                <pt idx="921">
                  <v>43341</v>
                </pt>
                <pt idx="922">
                  <v>43342</v>
                </pt>
                <pt idx="923">
                  <v>43343</v>
                </pt>
                <pt idx="924">
                  <v>43347</v>
                </pt>
                <pt idx="925">
                  <v>43348</v>
                </pt>
                <pt idx="926">
                  <v>43349</v>
                </pt>
                <pt idx="927">
                  <v>43350</v>
                </pt>
                <pt idx="928">
                  <v>43353</v>
                </pt>
                <pt idx="929">
                  <v>43354</v>
                </pt>
                <pt idx="930">
                  <v>43355</v>
                </pt>
                <pt idx="931">
                  <v>43356</v>
                </pt>
                <pt idx="932">
                  <v>43357</v>
                </pt>
                <pt idx="933">
                  <v>43360</v>
                </pt>
                <pt idx="934">
                  <v>43361</v>
                </pt>
                <pt idx="935">
                  <v>43362</v>
                </pt>
                <pt idx="936">
                  <v>43363</v>
                </pt>
                <pt idx="937">
                  <v>43364</v>
                </pt>
                <pt idx="938">
                  <v>43367</v>
                </pt>
                <pt idx="939">
                  <v>43368</v>
                </pt>
                <pt idx="940">
                  <v>43369</v>
                </pt>
                <pt idx="941">
                  <v>43370</v>
                </pt>
                <pt idx="942">
                  <v>43371</v>
                </pt>
                <pt idx="943">
                  <v>43374</v>
                </pt>
                <pt idx="944">
                  <v>43375</v>
                </pt>
                <pt idx="945">
                  <v>43376</v>
                </pt>
                <pt idx="946">
                  <v>43377</v>
                </pt>
                <pt idx="947">
                  <v>43378</v>
                </pt>
                <pt idx="948">
                  <v>43381</v>
                </pt>
                <pt idx="949">
                  <v>43382</v>
                </pt>
                <pt idx="950">
                  <v>43383</v>
                </pt>
                <pt idx="951">
                  <v>43384</v>
                </pt>
                <pt idx="952">
                  <v>43385</v>
                </pt>
                <pt idx="953">
                  <v>43388</v>
                </pt>
                <pt idx="954">
                  <v>43389</v>
                </pt>
                <pt idx="955">
                  <v>43390</v>
                </pt>
                <pt idx="956">
                  <v>43391</v>
                </pt>
                <pt idx="957">
                  <v>43392</v>
                </pt>
                <pt idx="958">
                  <v>43395</v>
                </pt>
                <pt idx="959">
                  <v>43396</v>
                </pt>
                <pt idx="960">
                  <v>43397</v>
                </pt>
                <pt idx="961">
                  <v>43398</v>
                </pt>
                <pt idx="962">
                  <v>43399</v>
                </pt>
                <pt idx="963">
                  <v>43402</v>
                </pt>
                <pt idx="964">
                  <v>43403</v>
                </pt>
                <pt idx="965">
                  <v>43404</v>
                </pt>
                <pt idx="966">
                  <v>43405</v>
                </pt>
                <pt idx="967">
                  <v>43406</v>
                </pt>
                <pt idx="968">
                  <v>43409</v>
                </pt>
                <pt idx="969">
                  <v>43410</v>
                </pt>
                <pt idx="970">
                  <v>43411</v>
                </pt>
                <pt idx="971">
                  <v>43412</v>
                </pt>
                <pt idx="972">
                  <v>43413</v>
                </pt>
                <pt idx="973">
                  <v>43416</v>
                </pt>
                <pt idx="974">
                  <v>43417</v>
                </pt>
                <pt idx="975">
                  <v>43418</v>
                </pt>
                <pt idx="976">
                  <v>43419</v>
                </pt>
                <pt idx="977">
                  <v>43420</v>
                </pt>
                <pt idx="978">
                  <v>43423</v>
                </pt>
                <pt idx="979">
                  <v>43424</v>
                </pt>
                <pt idx="980">
                  <v>43425</v>
                </pt>
                <pt idx="981">
                  <v>43427</v>
                </pt>
                <pt idx="982">
                  <v>43430</v>
                </pt>
                <pt idx="983">
                  <v>43431</v>
                </pt>
                <pt idx="984">
                  <v>43432</v>
                </pt>
                <pt idx="985">
                  <v>43433</v>
                </pt>
                <pt idx="986">
                  <v>43434</v>
                </pt>
                <pt idx="987">
                  <v>43437</v>
                </pt>
                <pt idx="988">
                  <v>43438</v>
                </pt>
                <pt idx="989">
                  <v>43439</v>
                </pt>
                <pt idx="990">
                  <v>43440</v>
                </pt>
                <pt idx="991">
                  <v>43441</v>
                </pt>
                <pt idx="992">
                  <v>43444</v>
                </pt>
                <pt idx="993">
                  <v>43445</v>
                </pt>
                <pt idx="994">
                  <v>43446</v>
                </pt>
                <pt idx="995">
                  <v>43447</v>
                </pt>
                <pt idx="996">
                  <v>43448</v>
                </pt>
                <pt idx="997">
                  <v>43451</v>
                </pt>
                <pt idx="998">
                  <v>43452</v>
                </pt>
                <pt idx="999">
                  <v>43453</v>
                </pt>
                <pt idx="1000">
                  <v>43454</v>
                </pt>
                <pt idx="1001">
                  <v>43455</v>
                </pt>
                <pt idx="1002">
                  <v>43458</v>
                </pt>
                <pt idx="1003">
                  <v>43460</v>
                </pt>
                <pt idx="1004">
                  <v>43461</v>
                </pt>
                <pt idx="1005">
                  <v>43462</v>
                </pt>
                <pt idx="1006">
                  <v>43465</v>
                </pt>
                <pt idx="1007">
                  <v>43467</v>
                </pt>
                <pt idx="1008">
                  <v>43468</v>
                </pt>
                <pt idx="1009">
                  <v>43469</v>
                </pt>
                <pt idx="1010">
                  <v>43472</v>
                </pt>
                <pt idx="1011">
                  <v>43473</v>
                </pt>
                <pt idx="1012">
                  <v>43474</v>
                </pt>
                <pt idx="1013">
                  <v>43475</v>
                </pt>
                <pt idx="1014">
                  <v>43476</v>
                </pt>
                <pt idx="1015">
                  <v>43479</v>
                </pt>
                <pt idx="1016">
                  <v>43480</v>
                </pt>
                <pt idx="1017">
                  <v>43481</v>
                </pt>
                <pt idx="1018">
                  <v>43482</v>
                </pt>
                <pt idx="1019">
                  <v>43483</v>
                </pt>
                <pt idx="1020">
                  <v>43487</v>
                </pt>
                <pt idx="1021">
                  <v>43488</v>
                </pt>
                <pt idx="1022">
                  <v>43489</v>
                </pt>
                <pt idx="1023">
                  <v>43490</v>
                </pt>
                <pt idx="1024">
                  <v>43493</v>
                </pt>
                <pt idx="1025">
                  <v>43494</v>
                </pt>
                <pt idx="1026">
                  <v>43495</v>
                </pt>
                <pt idx="1027">
                  <v>43496</v>
                </pt>
                <pt idx="1028">
                  <v>43497</v>
                </pt>
                <pt idx="1029">
                  <v>43500</v>
                </pt>
                <pt idx="1030">
                  <v>43501</v>
                </pt>
                <pt idx="1031">
                  <v>43502</v>
                </pt>
                <pt idx="1032">
                  <v>43503</v>
                </pt>
                <pt idx="1033">
                  <v>43504</v>
                </pt>
                <pt idx="1034">
                  <v>43507</v>
                </pt>
                <pt idx="1035">
                  <v>43508</v>
                </pt>
                <pt idx="1036">
                  <v>43509</v>
                </pt>
                <pt idx="1037">
                  <v>43510</v>
                </pt>
                <pt idx="1038">
                  <v>43511</v>
                </pt>
                <pt idx="1039">
                  <v>43515</v>
                </pt>
                <pt idx="1040">
                  <v>43516</v>
                </pt>
                <pt idx="1041">
                  <v>43517</v>
                </pt>
                <pt idx="1042">
                  <v>43518</v>
                </pt>
                <pt idx="1043">
                  <v>43521</v>
                </pt>
                <pt idx="1044">
                  <v>43522</v>
                </pt>
                <pt idx="1045">
                  <v>43523</v>
                </pt>
                <pt idx="1046">
                  <v>43524</v>
                </pt>
                <pt idx="1047">
                  <v>43525</v>
                </pt>
                <pt idx="1048">
                  <v>43528</v>
                </pt>
                <pt idx="1049">
                  <v>43529</v>
                </pt>
                <pt idx="1050">
                  <v>43530</v>
                </pt>
                <pt idx="1051">
                  <v>43531</v>
                </pt>
                <pt idx="1052">
                  <v>43532</v>
                </pt>
                <pt idx="1053">
                  <v>43535</v>
                </pt>
                <pt idx="1054">
                  <v>43536</v>
                </pt>
                <pt idx="1055">
                  <v>43537</v>
                </pt>
                <pt idx="1056">
                  <v>43538</v>
                </pt>
                <pt idx="1057">
                  <v>43539</v>
                </pt>
                <pt idx="1058">
                  <v>43542</v>
                </pt>
                <pt idx="1059">
                  <v>43543</v>
                </pt>
                <pt idx="1060">
                  <v>43544</v>
                </pt>
                <pt idx="1061">
                  <v>43545</v>
                </pt>
                <pt idx="1062">
                  <v>43546</v>
                </pt>
                <pt idx="1063">
                  <v>43549</v>
                </pt>
                <pt idx="1064">
                  <v>43550</v>
                </pt>
                <pt idx="1065">
                  <v>43551</v>
                </pt>
                <pt idx="1066">
                  <v>43552</v>
                </pt>
                <pt idx="1067">
                  <v>43553</v>
                </pt>
                <pt idx="1068">
                  <v>43556</v>
                </pt>
                <pt idx="1069">
                  <v>43557</v>
                </pt>
                <pt idx="1070">
                  <v>43558</v>
                </pt>
                <pt idx="1071">
                  <v>43559</v>
                </pt>
                <pt idx="1072">
                  <v>43560</v>
                </pt>
                <pt idx="1073">
                  <v>43563</v>
                </pt>
                <pt idx="1074">
                  <v>43564</v>
                </pt>
                <pt idx="1075">
                  <v>43565</v>
                </pt>
                <pt idx="1076">
                  <v>43566</v>
                </pt>
                <pt idx="1077">
                  <v>43567</v>
                </pt>
                <pt idx="1078">
                  <v>43570</v>
                </pt>
                <pt idx="1079">
                  <v>43571</v>
                </pt>
                <pt idx="1080">
                  <v>43572</v>
                </pt>
                <pt idx="1081">
                  <v>43573</v>
                </pt>
                <pt idx="1082">
                  <v>43577</v>
                </pt>
                <pt idx="1083">
                  <v>43578</v>
                </pt>
                <pt idx="1084">
                  <v>43579</v>
                </pt>
                <pt idx="1085">
                  <v>43580</v>
                </pt>
                <pt idx="1086">
                  <v>43581</v>
                </pt>
                <pt idx="1087">
                  <v>43584</v>
                </pt>
                <pt idx="1088">
                  <v>43585</v>
                </pt>
                <pt idx="1089">
                  <v>43586</v>
                </pt>
                <pt idx="1090">
                  <v>43587</v>
                </pt>
                <pt idx="1091">
                  <v>43588</v>
                </pt>
                <pt idx="1092">
                  <v>43591</v>
                </pt>
                <pt idx="1093">
                  <v>43592</v>
                </pt>
                <pt idx="1094">
                  <v>43593</v>
                </pt>
                <pt idx="1095">
                  <v>43594</v>
                </pt>
                <pt idx="1096">
                  <v>43595</v>
                </pt>
                <pt idx="1097">
                  <v>43598</v>
                </pt>
                <pt idx="1098">
                  <v>43599</v>
                </pt>
                <pt idx="1099">
                  <v>43600</v>
                </pt>
                <pt idx="1100">
                  <v>43601</v>
                </pt>
                <pt idx="1101">
                  <v>43602</v>
                </pt>
                <pt idx="1102">
                  <v>43605</v>
                </pt>
                <pt idx="1103">
                  <v>43606</v>
                </pt>
                <pt idx="1104">
                  <v>43607</v>
                </pt>
                <pt idx="1105">
                  <v>43608</v>
                </pt>
                <pt idx="1106">
                  <v>43609</v>
                </pt>
                <pt idx="1107">
                  <v>43613</v>
                </pt>
                <pt idx="1108">
                  <v>43614</v>
                </pt>
                <pt idx="1109">
                  <v>43615</v>
                </pt>
                <pt idx="1110">
                  <v>43616</v>
                </pt>
                <pt idx="1111">
                  <v>43619</v>
                </pt>
                <pt idx="1112">
                  <v>43620</v>
                </pt>
                <pt idx="1113">
                  <v>43621</v>
                </pt>
                <pt idx="1114">
                  <v>43622</v>
                </pt>
                <pt idx="1115">
                  <v>43623</v>
                </pt>
                <pt idx="1116">
                  <v>43626</v>
                </pt>
                <pt idx="1117">
                  <v>43627</v>
                </pt>
                <pt idx="1118">
                  <v>43628</v>
                </pt>
                <pt idx="1119">
                  <v>43629</v>
                </pt>
                <pt idx="1120">
                  <v>43630</v>
                </pt>
                <pt idx="1121">
                  <v>43633</v>
                </pt>
                <pt idx="1122">
                  <v>43634</v>
                </pt>
                <pt idx="1123">
                  <v>43635</v>
                </pt>
                <pt idx="1124">
                  <v>43636</v>
                </pt>
                <pt idx="1125">
                  <v>43637</v>
                </pt>
                <pt idx="1126">
                  <v>43640</v>
                </pt>
                <pt idx="1127">
                  <v>43641</v>
                </pt>
                <pt idx="1128">
                  <v>43642</v>
                </pt>
                <pt idx="1129">
                  <v>43643</v>
                </pt>
                <pt idx="1130">
                  <v>43644</v>
                </pt>
                <pt idx="1131">
                  <v>43647</v>
                </pt>
                <pt idx="1132">
                  <v>43648</v>
                </pt>
                <pt idx="1133">
                  <v>43649</v>
                </pt>
                <pt idx="1134">
                  <v>43651</v>
                </pt>
                <pt idx="1135">
                  <v>43654</v>
                </pt>
                <pt idx="1136">
                  <v>43655</v>
                </pt>
                <pt idx="1137">
                  <v>43656</v>
                </pt>
                <pt idx="1138">
                  <v>43657</v>
                </pt>
                <pt idx="1139">
                  <v>43658</v>
                </pt>
                <pt idx="1140">
                  <v>43661</v>
                </pt>
                <pt idx="1141">
                  <v>43662</v>
                </pt>
                <pt idx="1142">
                  <v>43663</v>
                </pt>
                <pt idx="1143">
                  <v>43664</v>
                </pt>
                <pt idx="1144">
                  <v>43665</v>
                </pt>
                <pt idx="1145">
                  <v>43668</v>
                </pt>
                <pt idx="1146">
                  <v>43669</v>
                </pt>
                <pt idx="1147">
                  <v>43670</v>
                </pt>
                <pt idx="1148">
                  <v>43671</v>
                </pt>
                <pt idx="1149">
                  <v>43672</v>
                </pt>
                <pt idx="1150">
                  <v>43675</v>
                </pt>
                <pt idx="1151">
                  <v>43676</v>
                </pt>
                <pt idx="1152">
                  <v>43677</v>
                </pt>
                <pt idx="1153">
                  <v>43678</v>
                </pt>
                <pt idx="1154">
                  <v>43679</v>
                </pt>
                <pt idx="1155">
                  <v>43682</v>
                </pt>
                <pt idx="1156">
                  <v>43683</v>
                </pt>
                <pt idx="1157">
                  <v>43684</v>
                </pt>
                <pt idx="1158">
                  <v>43685</v>
                </pt>
                <pt idx="1159">
                  <v>43686</v>
                </pt>
                <pt idx="1160">
                  <v>43689</v>
                </pt>
                <pt idx="1161">
                  <v>43690</v>
                </pt>
                <pt idx="1162">
                  <v>43691</v>
                </pt>
                <pt idx="1163">
                  <v>43692</v>
                </pt>
                <pt idx="1164">
                  <v>43693</v>
                </pt>
                <pt idx="1165">
                  <v>43696</v>
                </pt>
                <pt idx="1166">
                  <v>43697</v>
                </pt>
                <pt idx="1167">
                  <v>43698</v>
                </pt>
                <pt idx="1168">
                  <v>43699</v>
                </pt>
                <pt idx="1169">
                  <v>43700</v>
                </pt>
                <pt idx="1170">
                  <v>43703</v>
                </pt>
                <pt idx="1171">
                  <v>43704</v>
                </pt>
                <pt idx="1172">
                  <v>43705</v>
                </pt>
                <pt idx="1173">
                  <v>43706</v>
                </pt>
                <pt idx="1174">
                  <v>43707</v>
                </pt>
                <pt idx="1175">
                  <v>43711</v>
                </pt>
                <pt idx="1176">
                  <v>43712</v>
                </pt>
                <pt idx="1177">
                  <v>43713</v>
                </pt>
                <pt idx="1178">
                  <v>43714</v>
                </pt>
                <pt idx="1179">
                  <v>43717</v>
                </pt>
                <pt idx="1180">
                  <v>43718</v>
                </pt>
                <pt idx="1181">
                  <v>43719</v>
                </pt>
                <pt idx="1182">
                  <v>43720</v>
                </pt>
                <pt idx="1183">
                  <v>43721</v>
                </pt>
                <pt idx="1184">
                  <v>43724</v>
                </pt>
                <pt idx="1185">
                  <v>43725</v>
                </pt>
                <pt idx="1186">
                  <v>43726</v>
                </pt>
                <pt idx="1187">
                  <v>43727</v>
                </pt>
                <pt idx="1188">
                  <v>43728</v>
                </pt>
                <pt idx="1189">
                  <v>43731</v>
                </pt>
                <pt idx="1190">
                  <v>43732</v>
                </pt>
                <pt idx="1191">
                  <v>43733</v>
                </pt>
                <pt idx="1192">
                  <v>43734</v>
                </pt>
                <pt idx="1193">
                  <v>43735</v>
                </pt>
                <pt idx="1194">
                  <v>43738</v>
                </pt>
                <pt idx="1195">
                  <v>43739</v>
                </pt>
                <pt idx="1196">
                  <v>43740</v>
                </pt>
                <pt idx="1197">
                  <v>43741</v>
                </pt>
                <pt idx="1198">
                  <v>43742</v>
                </pt>
                <pt idx="1199">
                  <v>43745</v>
                </pt>
                <pt idx="1200">
                  <v>43746</v>
                </pt>
                <pt idx="1201">
                  <v>43747</v>
                </pt>
                <pt idx="1202">
                  <v>43748</v>
                </pt>
                <pt idx="1203">
                  <v>43749</v>
                </pt>
                <pt idx="1204">
                  <v>43752</v>
                </pt>
                <pt idx="1205">
                  <v>43753</v>
                </pt>
                <pt idx="1206">
                  <v>43754</v>
                </pt>
                <pt idx="1207">
                  <v>43755</v>
                </pt>
                <pt idx="1208">
                  <v>43756</v>
                </pt>
                <pt idx="1209">
                  <v>43759</v>
                </pt>
                <pt idx="1210">
                  <v>43760</v>
                </pt>
                <pt idx="1211">
                  <v>43761</v>
                </pt>
                <pt idx="1212">
                  <v>43762</v>
                </pt>
                <pt idx="1213">
                  <v>43763</v>
                </pt>
                <pt idx="1214">
                  <v>43766</v>
                </pt>
                <pt idx="1215">
                  <v>43767</v>
                </pt>
                <pt idx="1216">
                  <v>43768</v>
                </pt>
                <pt idx="1217">
                  <v>43769</v>
                </pt>
                <pt idx="1218">
                  <v>43770</v>
                </pt>
                <pt idx="1219">
                  <v>43773</v>
                </pt>
                <pt idx="1220">
                  <v>43774</v>
                </pt>
                <pt idx="1221">
                  <v>43775</v>
                </pt>
                <pt idx="1222">
                  <v>43776</v>
                </pt>
                <pt idx="1223">
                  <v>43777</v>
                </pt>
                <pt idx="1224">
                  <v>43780</v>
                </pt>
                <pt idx="1225">
                  <v>43781</v>
                </pt>
                <pt idx="1226">
                  <v>43782</v>
                </pt>
                <pt idx="1227">
                  <v>43783</v>
                </pt>
                <pt idx="1228">
                  <v>43784</v>
                </pt>
                <pt idx="1229">
                  <v>43787</v>
                </pt>
                <pt idx="1230">
                  <v>43788</v>
                </pt>
                <pt idx="1231">
                  <v>43789</v>
                </pt>
                <pt idx="1232">
                  <v>43790</v>
                </pt>
                <pt idx="1233">
                  <v>43791</v>
                </pt>
                <pt idx="1234">
                  <v>43794</v>
                </pt>
                <pt idx="1235">
                  <v>43795</v>
                </pt>
                <pt idx="1236">
                  <v>43796</v>
                </pt>
                <pt idx="1237">
                  <v>43798</v>
                </pt>
                <pt idx="1238">
                  <v>43801</v>
                </pt>
                <pt idx="1239">
                  <v>43802</v>
                </pt>
                <pt idx="1240">
                  <v>43803</v>
                </pt>
                <pt idx="1241">
                  <v>43804</v>
                </pt>
                <pt idx="1242">
                  <v>43805</v>
                </pt>
                <pt idx="1243">
                  <v>43808</v>
                </pt>
                <pt idx="1244">
                  <v>43809</v>
                </pt>
                <pt idx="1245">
                  <v>43810</v>
                </pt>
                <pt idx="1246">
                  <v>43811</v>
                </pt>
                <pt idx="1247">
                  <v>43812</v>
                </pt>
                <pt idx="1248">
                  <v>43815</v>
                </pt>
                <pt idx="1249">
                  <v>43816</v>
                </pt>
                <pt idx="1250">
                  <v>43817</v>
                </pt>
                <pt idx="1251">
                  <v>43818</v>
                </pt>
                <pt idx="1252">
                  <v>43819</v>
                </pt>
                <pt idx="1253">
                  <v>43822</v>
                </pt>
                <pt idx="1254">
                  <v>43823</v>
                </pt>
                <pt idx="1255">
                  <v>43825</v>
                </pt>
                <pt idx="1256">
                  <v>43826</v>
                </pt>
                <pt idx="1257">
                  <v>43829</v>
                </pt>
                <pt idx="1258">
                  <v>43830</v>
                </pt>
                <pt idx="1259">
                  <v>43832</v>
                </pt>
                <pt idx="1260">
                  <v>43833</v>
                </pt>
                <pt idx="1261">
                  <v>43836</v>
                </pt>
                <pt idx="1262">
                  <v>43837</v>
                </pt>
                <pt idx="1263">
                  <v>43838</v>
                </pt>
                <pt idx="1264">
                  <v>43839</v>
                </pt>
                <pt idx="1265">
                  <v>43840</v>
                </pt>
                <pt idx="1266">
                  <v>43843</v>
                </pt>
                <pt idx="1267">
                  <v>43844</v>
                </pt>
                <pt idx="1268">
                  <v>43845</v>
                </pt>
                <pt idx="1269">
                  <v>43846</v>
                </pt>
                <pt idx="1270">
                  <v>43847</v>
                </pt>
                <pt idx="1271">
                  <v>43851</v>
                </pt>
                <pt idx="1272">
                  <v>43852</v>
                </pt>
                <pt idx="1273">
                  <v>43853</v>
                </pt>
                <pt idx="1274">
                  <v>43854</v>
                </pt>
                <pt idx="1275">
                  <v>43857</v>
                </pt>
                <pt idx="1276">
                  <v>43858</v>
                </pt>
                <pt idx="1277">
                  <v>43859</v>
                </pt>
                <pt idx="1278">
                  <v>43860</v>
                </pt>
                <pt idx="1279">
                  <v>43861</v>
                </pt>
                <pt idx="1280">
                  <v>43864</v>
                </pt>
                <pt idx="1281">
                  <v>43865</v>
                </pt>
                <pt idx="1282">
                  <v>43866</v>
                </pt>
                <pt idx="1283">
                  <v>43867</v>
                </pt>
                <pt idx="1284">
                  <v>43868</v>
                </pt>
                <pt idx="1285">
                  <v>43871</v>
                </pt>
                <pt idx="1286">
                  <v>43872</v>
                </pt>
                <pt idx="1287">
                  <v>43873</v>
                </pt>
                <pt idx="1288">
                  <v>43874</v>
                </pt>
                <pt idx="1289">
                  <v>43875</v>
                </pt>
                <pt idx="1290">
                  <v>43879</v>
                </pt>
                <pt idx="1291">
                  <v>43880</v>
                </pt>
                <pt idx="1292">
                  <v>43881</v>
                </pt>
                <pt idx="1293">
                  <v>43882</v>
                </pt>
                <pt idx="1294">
                  <v>43885</v>
                </pt>
                <pt idx="1295">
                  <v>43886</v>
                </pt>
                <pt idx="1296">
                  <v>43887</v>
                </pt>
                <pt idx="1297">
                  <v>43888</v>
                </pt>
                <pt idx="1298">
                  <v>43889</v>
                </pt>
                <pt idx="1299">
                  <v>43892</v>
                </pt>
                <pt idx="1300">
                  <v>43893</v>
                </pt>
                <pt idx="1301">
                  <v>43894</v>
                </pt>
                <pt idx="1302">
                  <v>43895</v>
                </pt>
                <pt idx="1303">
                  <v>43896</v>
                </pt>
                <pt idx="1304">
                  <v>43899</v>
                </pt>
                <pt idx="1305">
                  <v>43900</v>
                </pt>
                <pt idx="1306">
                  <v>43901</v>
                </pt>
                <pt idx="1307">
                  <v>43902</v>
                </pt>
                <pt idx="1308">
                  <v>43903</v>
                </pt>
                <pt idx="1309">
                  <v>43906</v>
                </pt>
                <pt idx="1310">
                  <v>43907</v>
                </pt>
                <pt idx="1311">
                  <v>43908</v>
                </pt>
                <pt idx="1312">
                  <v>43909</v>
                </pt>
                <pt idx="1313">
                  <v>43910</v>
                </pt>
                <pt idx="1314">
                  <v>43913</v>
                </pt>
                <pt idx="1315">
                  <v>43914</v>
                </pt>
                <pt idx="1316">
                  <v>43915</v>
                </pt>
                <pt idx="1317">
                  <v>43916</v>
                </pt>
                <pt idx="1318">
                  <v>43917</v>
                </pt>
                <pt idx="1319">
                  <v>43920</v>
                </pt>
                <pt idx="1320">
                  <v>43921</v>
                </pt>
                <pt idx="1321">
                  <v>43922</v>
                </pt>
                <pt idx="1322">
                  <v>43923</v>
                </pt>
                <pt idx="1323">
                  <v>43924</v>
                </pt>
                <pt idx="1324">
                  <v>43927</v>
                </pt>
                <pt idx="1325">
                  <v>43928</v>
                </pt>
                <pt idx="1326">
                  <v>43929</v>
                </pt>
                <pt idx="1327">
                  <v>43930</v>
                </pt>
                <pt idx="1328">
                  <v>43934</v>
                </pt>
                <pt idx="1329">
                  <v>43935</v>
                </pt>
                <pt idx="1330">
                  <v>43936</v>
                </pt>
                <pt idx="1331">
                  <v>43937</v>
                </pt>
                <pt idx="1332">
                  <v>43938</v>
                </pt>
                <pt idx="1333">
                  <v>43941</v>
                </pt>
                <pt idx="1334">
                  <v>43942</v>
                </pt>
                <pt idx="1335">
                  <v>43943</v>
                </pt>
                <pt idx="1336">
                  <v>43944</v>
                </pt>
                <pt idx="1337">
                  <v>43945</v>
                </pt>
                <pt idx="1338">
                  <v>43948</v>
                </pt>
                <pt idx="1339">
                  <v>43949</v>
                </pt>
                <pt idx="1340">
                  <v>43950</v>
                </pt>
                <pt idx="1341">
                  <v>43951</v>
                </pt>
                <pt idx="1342">
                  <v>43952</v>
                </pt>
                <pt idx="1343">
                  <v>43955</v>
                </pt>
                <pt idx="1344">
                  <v>43956</v>
                </pt>
                <pt idx="1345">
                  <v>43957</v>
                </pt>
                <pt idx="1346">
                  <v>43958</v>
                </pt>
                <pt idx="1347">
                  <v>43959</v>
                </pt>
                <pt idx="1348">
                  <v>43962</v>
                </pt>
                <pt idx="1349">
                  <v>43963</v>
                </pt>
                <pt idx="1350">
                  <v>43964</v>
                </pt>
                <pt idx="1351">
                  <v>43965</v>
                </pt>
                <pt idx="1352">
                  <v>43966</v>
                </pt>
                <pt idx="1353">
                  <v>43969</v>
                </pt>
                <pt idx="1354">
                  <v>43970</v>
                </pt>
                <pt idx="1355">
                  <v>43971</v>
                </pt>
                <pt idx="1356">
                  <v>43972</v>
                </pt>
                <pt idx="1357">
                  <v>43973</v>
                </pt>
                <pt idx="1358">
                  <v>43977</v>
                </pt>
                <pt idx="1359">
                  <v>43978</v>
                </pt>
                <pt idx="1360">
                  <v>43979</v>
                </pt>
                <pt idx="1361">
                  <v>43980</v>
                </pt>
                <pt idx="1362">
                  <v>43983</v>
                </pt>
                <pt idx="1363">
                  <v>43984</v>
                </pt>
                <pt idx="1364">
                  <v>43985</v>
                </pt>
                <pt idx="1365">
                  <v>43986</v>
                </pt>
                <pt idx="1366">
                  <v>43987</v>
                </pt>
                <pt idx="1367">
                  <v>43990</v>
                </pt>
                <pt idx="1368">
                  <v>43991</v>
                </pt>
                <pt idx="1369">
                  <v>43992</v>
                </pt>
                <pt idx="1370">
                  <v>43993</v>
                </pt>
                <pt idx="1371">
                  <v>43994</v>
                </pt>
                <pt idx="1372">
                  <v>43997</v>
                </pt>
                <pt idx="1373">
                  <v>43998</v>
                </pt>
                <pt idx="1374">
                  <v>43999</v>
                </pt>
                <pt idx="1375">
                  <v>44000</v>
                </pt>
                <pt idx="1376">
                  <v>44001</v>
                </pt>
                <pt idx="1377">
                  <v>44004</v>
                </pt>
                <pt idx="1378">
                  <v>44005</v>
                </pt>
                <pt idx="1379">
                  <v>44006</v>
                </pt>
                <pt idx="1380">
                  <v>44007</v>
                </pt>
                <pt idx="1381">
                  <v>44008</v>
                </pt>
                <pt idx="1382">
                  <v>44011</v>
                </pt>
                <pt idx="1383">
                  <v>44012</v>
                </pt>
                <pt idx="1384">
                  <v>44013</v>
                </pt>
                <pt idx="1385">
                  <v>44014</v>
                </pt>
                <pt idx="1386">
                  <v>44018</v>
                </pt>
                <pt idx="1387">
                  <v>44019</v>
                </pt>
                <pt idx="1388">
                  <v>44020</v>
                </pt>
                <pt idx="1389">
                  <v>44021</v>
                </pt>
                <pt idx="1390">
                  <v>44022</v>
                </pt>
                <pt idx="1391">
                  <v>44025</v>
                </pt>
                <pt idx="1392">
                  <v>44026</v>
                </pt>
                <pt idx="1393">
                  <v>44027</v>
                </pt>
                <pt idx="1394">
                  <v>44028</v>
                </pt>
                <pt idx="1395">
                  <v>44029</v>
                </pt>
                <pt idx="1396">
                  <v>44032</v>
                </pt>
                <pt idx="1397">
                  <v>44033</v>
                </pt>
                <pt idx="1398">
                  <v>44034</v>
                </pt>
                <pt idx="1399">
                  <v>44035</v>
                </pt>
                <pt idx="1400">
                  <v>44036</v>
                </pt>
                <pt idx="1401">
                  <v>44039</v>
                </pt>
                <pt idx="1402">
                  <v>44040</v>
                </pt>
                <pt idx="1403">
                  <v>44041</v>
                </pt>
                <pt idx="1404">
                  <v>44042</v>
                </pt>
                <pt idx="1405">
                  <v>44043</v>
                </pt>
                <pt idx="1406">
                  <v>44046</v>
                </pt>
                <pt idx="1407">
                  <v>44047</v>
                </pt>
                <pt idx="1408">
                  <v>44048</v>
                </pt>
                <pt idx="1409">
                  <v>44049</v>
                </pt>
                <pt idx="1410">
                  <v>44050</v>
                </pt>
                <pt idx="1411">
                  <v>44053</v>
                </pt>
                <pt idx="1412">
                  <v>44054</v>
                </pt>
                <pt idx="1413">
                  <v>44055</v>
                </pt>
                <pt idx="1414">
                  <v>44056</v>
                </pt>
                <pt idx="1415">
                  <v>44057</v>
                </pt>
                <pt idx="1416">
                  <v>44060</v>
                </pt>
                <pt idx="1417">
                  <v>44061</v>
                </pt>
                <pt idx="1418">
                  <v>44062</v>
                </pt>
                <pt idx="1419">
                  <v>44063</v>
                </pt>
                <pt idx="1420">
                  <v>44064</v>
                </pt>
                <pt idx="1421">
                  <v>44067</v>
                </pt>
                <pt idx="1422">
                  <v>44068</v>
                </pt>
                <pt idx="1423">
                  <v>44069</v>
                </pt>
                <pt idx="1424">
                  <v>44070</v>
                </pt>
                <pt idx="1425">
                  <v>44071</v>
                </pt>
                <pt idx="1426">
                  <v>44074</v>
                </pt>
                <pt idx="1427">
                  <v>44075</v>
                </pt>
                <pt idx="1428">
                  <v>44076</v>
                </pt>
                <pt idx="1429">
                  <v>44077</v>
                </pt>
                <pt idx="1430">
                  <v>44078</v>
                </pt>
                <pt idx="1431">
                  <v>44082</v>
                </pt>
                <pt idx="1432">
                  <v>44083</v>
                </pt>
                <pt idx="1433">
                  <v>44084</v>
                </pt>
                <pt idx="1434">
                  <v>44085</v>
                </pt>
                <pt idx="1435">
                  <v>44088</v>
                </pt>
                <pt idx="1436">
                  <v>44089</v>
                </pt>
                <pt idx="1437">
                  <v>44090</v>
                </pt>
                <pt idx="1438">
                  <v>44091</v>
                </pt>
                <pt idx="1439">
                  <v>44092</v>
                </pt>
                <pt idx="1440">
                  <v>44095</v>
                </pt>
                <pt idx="1441">
                  <v>44096</v>
                </pt>
                <pt idx="1442">
                  <v>44097</v>
                </pt>
                <pt idx="1443">
                  <v>44098</v>
                </pt>
                <pt idx="1444">
                  <v>44099</v>
                </pt>
                <pt idx="1445">
                  <v>44102</v>
                </pt>
                <pt idx="1446">
                  <v>44103</v>
                </pt>
                <pt idx="1447">
                  <v>44104</v>
                </pt>
                <pt idx="1448">
                  <v>44105</v>
                </pt>
                <pt idx="1449">
                  <v>44106</v>
                </pt>
                <pt idx="1450">
                  <v>44109</v>
                </pt>
                <pt idx="1451">
                  <v>44110</v>
                </pt>
                <pt idx="1452">
                  <v>44111</v>
                </pt>
                <pt idx="1453">
                  <v>44112</v>
                </pt>
                <pt idx="1454">
                  <v>44113</v>
                </pt>
                <pt idx="1455">
                  <v>44116</v>
                </pt>
                <pt idx="1456">
                  <v>44117</v>
                </pt>
                <pt idx="1457">
                  <v>44118</v>
                </pt>
                <pt idx="1458">
                  <v>44119</v>
                </pt>
                <pt idx="1459">
                  <v>44120</v>
                </pt>
                <pt idx="1460">
                  <v>44123</v>
                </pt>
                <pt idx="1461">
                  <v>44124</v>
                </pt>
                <pt idx="1462">
                  <v>44125</v>
                </pt>
                <pt idx="1463">
                  <v>44126</v>
                </pt>
                <pt idx="1464">
                  <v>44127</v>
                </pt>
                <pt idx="1465">
                  <v>44130</v>
                </pt>
                <pt idx="1466">
                  <v>44131</v>
                </pt>
                <pt idx="1467">
                  <v>44132</v>
                </pt>
                <pt idx="1468">
                  <v>44133</v>
                </pt>
                <pt idx="1469">
                  <v>44134</v>
                </pt>
                <pt idx="1470">
                  <v>44137</v>
                </pt>
                <pt idx="1471">
                  <v>44138</v>
                </pt>
                <pt idx="1472">
                  <v>44139</v>
                </pt>
                <pt idx="1473">
                  <v>44140</v>
                </pt>
                <pt idx="1474">
                  <v>44141</v>
                </pt>
                <pt idx="1475">
                  <v>44144</v>
                </pt>
                <pt idx="1476">
                  <v>44145</v>
                </pt>
                <pt idx="1477">
                  <v>44146</v>
                </pt>
                <pt idx="1478">
                  <v>44147</v>
                </pt>
                <pt idx="1479">
                  <v>44148</v>
                </pt>
                <pt idx="1480">
                  <v>44151</v>
                </pt>
                <pt idx="1481">
                  <v>44152</v>
                </pt>
                <pt idx="1482">
                  <v>44153</v>
                </pt>
                <pt idx="1483">
                  <v>44154</v>
                </pt>
                <pt idx="1484">
                  <v>44155</v>
                </pt>
                <pt idx="1485">
                  <v>44158</v>
                </pt>
                <pt idx="1486">
                  <v>44159</v>
                </pt>
                <pt idx="1487">
                  <v>44160</v>
                </pt>
                <pt idx="1488">
                  <v>44162</v>
                </pt>
                <pt idx="1489">
                  <v>44165</v>
                </pt>
                <pt idx="1490">
                  <v>44166</v>
                </pt>
                <pt idx="1491">
                  <v>44167</v>
                </pt>
                <pt idx="1492">
                  <v>44168</v>
                </pt>
                <pt idx="1493">
                  <v>44169</v>
                </pt>
                <pt idx="1494">
                  <v>44172</v>
                </pt>
                <pt idx="1495">
                  <v>44173</v>
                </pt>
                <pt idx="1496">
                  <v>44174</v>
                </pt>
                <pt idx="1497">
                  <v>44175</v>
                </pt>
                <pt idx="1498">
                  <v>44176</v>
                </pt>
                <pt idx="1499">
                  <v>44179</v>
                </pt>
                <pt idx="1500">
                  <v>44180</v>
                </pt>
                <pt idx="1501">
                  <v>44181</v>
                </pt>
                <pt idx="1502">
                  <v>44182</v>
                </pt>
                <pt idx="1503">
                  <v>44183</v>
                </pt>
                <pt idx="1504">
                  <v>44186</v>
                </pt>
                <pt idx="1505">
                  <v>44187</v>
                </pt>
                <pt idx="1506">
                  <v>44188</v>
                </pt>
                <pt idx="1507">
                  <v>44189</v>
                </pt>
                <pt idx="1508">
                  <v>44193</v>
                </pt>
                <pt idx="1509">
                  <v>44194</v>
                </pt>
                <pt idx="1510">
                  <v>44195</v>
                </pt>
                <pt idx="1511">
                  <v>44196</v>
                </pt>
                <pt idx="1512">
                  <v>44200</v>
                </pt>
                <pt idx="1513">
                  <v>44201</v>
                </pt>
                <pt idx="1514">
                  <v>44202</v>
                </pt>
                <pt idx="1515">
                  <v>44203</v>
                </pt>
                <pt idx="1516">
                  <v>44204</v>
                </pt>
                <pt idx="1517">
                  <v>44207</v>
                </pt>
                <pt idx="1518">
                  <v>44208</v>
                </pt>
                <pt idx="1519">
                  <v>44209</v>
                </pt>
                <pt idx="1520">
                  <v>44210</v>
                </pt>
                <pt idx="1521">
                  <v>44211</v>
                </pt>
                <pt idx="1522">
                  <v>44215</v>
                </pt>
                <pt idx="1523">
                  <v>44216</v>
                </pt>
                <pt idx="1524">
                  <v>44217</v>
                </pt>
                <pt idx="1525">
                  <v>44218</v>
                </pt>
                <pt idx="1526">
                  <v>44221</v>
                </pt>
                <pt idx="1527">
                  <v>44222</v>
                </pt>
                <pt idx="1528">
                  <v>44223</v>
                </pt>
                <pt idx="1529">
                  <v>44224</v>
                </pt>
                <pt idx="1530">
                  <v>44225</v>
                </pt>
                <pt idx="1531">
                  <v>44228</v>
                </pt>
                <pt idx="1532">
                  <v>44229</v>
                </pt>
                <pt idx="1533">
                  <v>44230</v>
                </pt>
                <pt idx="1534">
                  <v>44231</v>
                </pt>
                <pt idx="1535">
                  <v>44232</v>
                </pt>
                <pt idx="1536">
                  <v>44235</v>
                </pt>
                <pt idx="1537">
                  <v>44236</v>
                </pt>
                <pt idx="1538">
                  <v>44237</v>
                </pt>
                <pt idx="1539">
                  <v>44238</v>
                </pt>
                <pt idx="1540">
                  <v>44239</v>
                </pt>
                <pt idx="1541">
                  <v>44243</v>
                </pt>
                <pt idx="1542">
                  <v>44244</v>
                </pt>
                <pt idx="1543">
                  <v>44245</v>
                </pt>
                <pt idx="1544">
                  <v>44246</v>
                </pt>
                <pt idx="1545">
                  <v>44249</v>
                </pt>
                <pt idx="1546">
                  <v>44250</v>
                </pt>
                <pt idx="1547">
                  <v>44251</v>
                </pt>
                <pt idx="1548">
                  <v>44252</v>
                </pt>
                <pt idx="1549">
                  <v>44253</v>
                </pt>
                <pt idx="1550">
                  <v>44256</v>
                </pt>
                <pt idx="1551">
                  <v>44257</v>
                </pt>
                <pt idx="1552">
                  <v>44258</v>
                </pt>
                <pt idx="1553">
                  <v>44259</v>
                </pt>
                <pt idx="1554">
                  <v>44260</v>
                </pt>
                <pt idx="1555">
                  <v>44263</v>
                </pt>
                <pt idx="1556">
                  <v>44264</v>
                </pt>
                <pt idx="1557">
                  <v>44265</v>
                </pt>
                <pt idx="1558">
                  <v>44266</v>
                </pt>
                <pt idx="1559">
                  <v>44267</v>
                </pt>
                <pt idx="1560">
                  <v>44270</v>
                </pt>
                <pt idx="1561">
                  <v>44271</v>
                </pt>
                <pt idx="1562">
                  <v>44272</v>
                </pt>
                <pt idx="1563">
                  <v>44273</v>
                </pt>
                <pt idx="1564">
                  <v>44274</v>
                </pt>
                <pt idx="1565">
                  <v>44277</v>
                </pt>
                <pt idx="1566">
                  <v>44278</v>
                </pt>
                <pt idx="1567">
                  <v>44279</v>
                </pt>
                <pt idx="1568">
                  <v>44280</v>
                </pt>
                <pt idx="1569">
                  <v>44281</v>
                </pt>
                <pt idx="1570">
                  <v>44284</v>
                </pt>
                <pt idx="1571">
                  <v>44285</v>
                </pt>
                <pt idx="1572">
                  <v>44286</v>
                </pt>
                <pt idx="1573">
                  <v>44287</v>
                </pt>
                <pt idx="1574">
                  <v>44291</v>
                </pt>
                <pt idx="1575">
                  <v>44292</v>
                </pt>
                <pt idx="1576">
                  <v>44293</v>
                </pt>
                <pt idx="1577">
                  <v>44294</v>
                </pt>
                <pt idx="1578">
                  <v>44295</v>
                </pt>
                <pt idx="1579">
                  <v>44298</v>
                </pt>
                <pt idx="1580">
                  <v>44299</v>
                </pt>
                <pt idx="1581">
                  <v>44300</v>
                </pt>
                <pt idx="1582">
                  <v>44301</v>
                </pt>
                <pt idx="1583">
                  <v>44302</v>
                </pt>
                <pt idx="1584">
                  <v>44305</v>
                </pt>
                <pt idx="1585">
                  <v>44306</v>
                </pt>
                <pt idx="1586">
                  <v>44307</v>
                </pt>
                <pt idx="1587">
                  <v>44308</v>
                </pt>
                <pt idx="1588">
                  <v>44309</v>
                </pt>
                <pt idx="1589">
                  <v>44312</v>
                </pt>
                <pt idx="1590">
                  <v>44313</v>
                </pt>
                <pt idx="1591">
                  <v>44314</v>
                </pt>
                <pt idx="1592">
                  <v>44315</v>
                </pt>
                <pt idx="1593">
                  <v>44316</v>
                </pt>
                <pt idx="1594">
                  <v>44319</v>
                </pt>
                <pt idx="1595">
                  <v>44320</v>
                </pt>
                <pt idx="1596">
                  <v>44321</v>
                </pt>
                <pt idx="1597">
                  <v>44322</v>
                </pt>
                <pt idx="1598">
                  <v>44323</v>
                </pt>
                <pt idx="1599">
                  <v>44326</v>
                </pt>
                <pt idx="1600">
                  <v>44327</v>
                </pt>
                <pt idx="1601">
                  <v>44328</v>
                </pt>
                <pt idx="1602">
                  <v>44329</v>
                </pt>
                <pt idx="1603">
                  <v>44330</v>
                </pt>
                <pt idx="1604">
                  <v>44333</v>
                </pt>
                <pt idx="1605">
                  <v>44334</v>
                </pt>
                <pt idx="1606">
                  <v>44335</v>
                </pt>
                <pt idx="1607">
                  <v>44336</v>
                </pt>
                <pt idx="1608">
                  <v>44337</v>
                </pt>
                <pt idx="1609">
                  <v>44340</v>
                </pt>
                <pt idx="1610">
                  <v>44341</v>
                </pt>
                <pt idx="1611">
                  <v>44342</v>
                </pt>
                <pt idx="1612">
                  <v>44343</v>
                </pt>
                <pt idx="1613">
                  <v>44344</v>
                </pt>
                <pt idx="1614">
                  <v>44348</v>
                </pt>
                <pt idx="1615">
                  <v>44349</v>
                </pt>
                <pt idx="1616">
                  <v>44350</v>
                </pt>
                <pt idx="1617">
                  <v>44351</v>
                </pt>
                <pt idx="1618">
                  <v>44354</v>
                </pt>
                <pt idx="1619">
                  <v>44355</v>
                </pt>
                <pt idx="1620">
                  <v>44356</v>
                </pt>
                <pt idx="1621">
                  <v>44357</v>
                </pt>
                <pt idx="1622">
                  <v>44358</v>
                </pt>
                <pt idx="1623">
                  <v>44361</v>
                </pt>
                <pt idx="1624">
                  <v>44362</v>
                </pt>
                <pt idx="1625">
                  <v>44363</v>
                </pt>
                <pt idx="1626">
                  <v>44364</v>
                </pt>
                <pt idx="1627">
                  <v>44365</v>
                </pt>
                <pt idx="1628">
                  <v>44368</v>
                </pt>
                <pt idx="1629">
                  <v>44369</v>
                </pt>
                <pt idx="1630">
                  <v>44370</v>
                </pt>
                <pt idx="1631">
                  <v>44371</v>
                </pt>
                <pt idx="1632">
                  <v>44372</v>
                </pt>
                <pt idx="1633">
                  <v>44375</v>
                </pt>
                <pt idx="1634">
                  <v>44376</v>
                </pt>
                <pt idx="1635">
                  <v>44377</v>
                </pt>
                <pt idx="1636">
                  <v>44378</v>
                </pt>
                <pt idx="1637">
                  <v>44379</v>
                </pt>
                <pt idx="1638">
                  <v>44383</v>
                </pt>
                <pt idx="1639">
                  <v>44384</v>
                </pt>
                <pt idx="1640">
                  <v>44385</v>
                </pt>
                <pt idx="1641">
                  <v>44386</v>
                </pt>
                <pt idx="1642">
                  <v>44389</v>
                </pt>
                <pt idx="1643">
                  <v>44390</v>
                </pt>
                <pt idx="1644">
                  <v>44391</v>
                </pt>
                <pt idx="1645">
                  <v>44392</v>
                </pt>
                <pt idx="1646">
                  <v>44393</v>
                </pt>
                <pt idx="1647">
                  <v>44396</v>
                </pt>
                <pt idx="1648">
                  <v>44397</v>
                </pt>
                <pt idx="1649">
                  <v>44398</v>
                </pt>
                <pt idx="1650">
                  <v>44399</v>
                </pt>
                <pt idx="1651">
                  <v>44400</v>
                </pt>
                <pt idx="1652">
                  <v>44403</v>
                </pt>
                <pt idx="1653">
                  <v>44404</v>
                </pt>
                <pt idx="1654">
                  <v>44405</v>
                </pt>
                <pt idx="1655">
                  <v>44406</v>
                </pt>
                <pt idx="1656">
                  <v>44407</v>
                </pt>
                <pt idx="1657">
                  <v>44410</v>
                </pt>
                <pt idx="1658">
                  <v>44411</v>
                </pt>
                <pt idx="1659">
                  <v>44412</v>
                </pt>
                <pt idx="1660">
                  <v>44413</v>
                </pt>
                <pt idx="1661">
                  <v>44414</v>
                </pt>
                <pt idx="1662">
                  <v>44417</v>
                </pt>
                <pt idx="1663">
                  <v>44418</v>
                </pt>
                <pt idx="1664">
                  <v>44419</v>
                </pt>
                <pt idx="1665">
                  <v>44420</v>
                </pt>
                <pt idx="1666">
                  <v>44421</v>
                </pt>
                <pt idx="1667">
                  <v>44424</v>
                </pt>
                <pt idx="1668">
                  <v>44425</v>
                </pt>
                <pt idx="1669">
                  <v>44426</v>
                </pt>
                <pt idx="1670">
                  <v>44427</v>
                </pt>
                <pt idx="1671">
                  <v>44428</v>
                </pt>
                <pt idx="1672">
                  <v>44431</v>
                </pt>
                <pt idx="1673">
                  <v>44432</v>
                </pt>
                <pt idx="1674">
                  <v>44433</v>
                </pt>
                <pt idx="1675">
                  <v>44434</v>
                </pt>
                <pt idx="1676">
                  <v>44435</v>
                </pt>
                <pt idx="1677">
                  <v>44438</v>
                </pt>
                <pt idx="1678">
                  <v>44439</v>
                </pt>
                <pt idx="1679">
                  <v>44440</v>
                </pt>
                <pt idx="1680">
                  <v>44441</v>
                </pt>
                <pt idx="1681">
                  <v>44442</v>
                </pt>
                <pt idx="1682">
                  <v>44446</v>
                </pt>
                <pt idx="1683">
                  <v>44447</v>
                </pt>
                <pt idx="1684">
                  <v>44448</v>
                </pt>
                <pt idx="1685">
                  <v>44449</v>
                </pt>
                <pt idx="1686">
                  <v>44452</v>
                </pt>
                <pt idx="1687">
                  <v>44453</v>
                </pt>
                <pt idx="1688">
                  <v>44454</v>
                </pt>
                <pt idx="1689">
                  <v>44455</v>
                </pt>
                <pt idx="1690">
                  <v>44456</v>
                </pt>
                <pt idx="1691">
                  <v>44459</v>
                </pt>
                <pt idx="1692">
                  <v>44460</v>
                </pt>
                <pt idx="1693">
                  <v>44461</v>
                </pt>
                <pt idx="1694">
                  <v>44462</v>
                </pt>
                <pt idx="1695">
                  <v>44463</v>
                </pt>
                <pt idx="1696">
                  <v>44466</v>
                </pt>
                <pt idx="1697">
                  <v>44467</v>
                </pt>
                <pt idx="1698">
                  <v>44468</v>
                </pt>
                <pt idx="1699">
                  <v>44469</v>
                </pt>
                <pt idx="1700">
                  <v>44470</v>
                </pt>
                <pt idx="1701">
                  <v>44473</v>
                </pt>
                <pt idx="1702">
                  <v>44474</v>
                </pt>
                <pt idx="1703">
                  <v>44475</v>
                </pt>
                <pt idx="1704">
                  <v>44476</v>
                </pt>
                <pt idx="1705">
                  <v>44477</v>
                </pt>
                <pt idx="1706">
                  <v>44480</v>
                </pt>
                <pt idx="1707">
                  <v>44481</v>
                </pt>
                <pt idx="1708">
                  <v>44482</v>
                </pt>
                <pt idx="1709">
                  <v>44483</v>
                </pt>
                <pt idx="1710">
                  <v>44484</v>
                </pt>
                <pt idx="1711">
                  <v>44487</v>
                </pt>
                <pt idx="1712">
                  <v>44488</v>
                </pt>
                <pt idx="1713">
                  <v>44489</v>
                </pt>
                <pt idx="1714">
                  <v>44490</v>
                </pt>
                <pt idx="1715">
                  <v>44491</v>
                </pt>
                <pt idx="1716">
                  <v>44494</v>
                </pt>
                <pt idx="1717">
                  <v>44495</v>
                </pt>
                <pt idx="1718">
                  <v>44496</v>
                </pt>
                <pt idx="1719">
                  <v>44497</v>
                </pt>
                <pt idx="1720">
                  <v>44498</v>
                </pt>
                <pt idx="1721">
                  <v>44501</v>
                </pt>
                <pt idx="1722">
                  <v>44502</v>
                </pt>
                <pt idx="1723">
                  <v>44503</v>
                </pt>
                <pt idx="1724">
                  <v>44504</v>
                </pt>
                <pt idx="1725">
                  <v>44505</v>
                </pt>
                <pt idx="1726">
                  <v>44508</v>
                </pt>
                <pt idx="1727">
                  <v>44509</v>
                </pt>
                <pt idx="1728">
                  <v>44510</v>
                </pt>
                <pt idx="1729">
                  <v>44511</v>
                </pt>
                <pt idx="1730">
                  <v>44512</v>
                </pt>
                <pt idx="1731">
                  <v>44515</v>
                </pt>
                <pt idx="1732">
                  <v>44516</v>
                </pt>
                <pt idx="1733">
                  <v>44517</v>
                </pt>
                <pt idx="1734">
                  <v>44518</v>
                </pt>
                <pt idx="1735">
                  <v>44519</v>
                </pt>
                <pt idx="1736">
                  <v>44522</v>
                </pt>
                <pt idx="1737">
                  <v>44523</v>
                </pt>
                <pt idx="1738">
                  <v>44524</v>
                </pt>
                <pt idx="1739">
                  <v>44526</v>
                </pt>
                <pt idx="1740">
                  <v>44529</v>
                </pt>
                <pt idx="1741">
                  <v>44530</v>
                </pt>
                <pt idx="1742">
                  <v>44531</v>
                </pt>
                <pt idx="1743">
                  <v>44532</v>
                </pt>
                <pt idx="1744">
                  <v>44533</v>
                </pt>
                <pt idx="1745">
                  <v>44536</v>
                </pt>
                <pt idx="1746">
                  <v>44537</v>
                </pt>
                <pt idx="1747">
                  <v>44538</v>
                </pt>
                <pt idx="1748">
                  <v>44539</v>
                </pt>
                <pt idx="1749">
                  <v>44540</v>
                </pt>
                <pt idx="1750">
                  <v>44543</v>
                </pt>
                <pt idx="1751">
                  <v>44544</v>
                </pt>
                <pt idx="1752">
                  <v>44545</v>
                </pt>
                <pt idx="1753">
                  <v>44546</v>
                </pt>
                <pt idx="1754">
                  <v>44547</v>
                </pt>
                <pt idx="1755">
                  <v>44550</v>
                </pt>
                <pt idx="1756">
                  <v>44551</v>
                </pt>
                <pt idx="1757">
                  <v>44552</v>
                </pt>
                <pt idx="1758">
                  <v>44553</v>
                </pt>
                <pt idx="1759">
                  <v>44557</v>
                </pt>
                <pt idx="1760">
                  <v>44558</v>
                </pt>
                <pt idx="1761">
                  <v>44559</v>
                </pt>
                <pt idx="1762">
                  <v>44560</v>
                </pt>
                <pt idx="1763">
                  <v>44561</v>
                </pt>
                <pt idx="1764">
                  <v>44564</v>
                </pt>
                <pt idx="1765">
                  <v>44565</v>
                </pt>
                <pt idx="1766">
                  <v>44566</v>
                </pt>
                <pt idx="1767">
                  <v>44567</v>
                </pt>
                <pt idx="1768">
                  <v>44568</v>
                </pt>
                <pt idx="1769">
                  <v>44571</v>
                </pt>
                <pt idx="1770">
                  <v>44572</v>
                </pt>
                <pt idx="1771">
                  <v>44573</v>
                </pt>
                <pt idx="1772">
                  <v>44574</v>
                </pt>
                <pt idx="1773">
                  <v>44575</v>
                </pt>
                <pt idx="1774">
                  <v>44579</v>
                </pt>
                <pt idx="1775">
                  <v>44580</v>
                </pt>
                <pt idx="1776">
                  <v>44581</v>
                </pt>
                <pt idx="1777">
                  <v>44582</v>
                </pt>
                <pt idx="1778">
                  <v>44585</v>
                </pt>
                <pt idx="1779">
                  <v>44586</v>
                </pt>
                <pt idx="1780">
                  <v>44587</v>
                </pt>
                <pt idx="1781">
                  <v>44588</v>
                </pt>
                <pt idx="1782">
                  <v>44589</v>
                </pt>
                <pt idx="1783">
                  <v>44592</v>
                </pt>
                <pt idx="1784">
                  <v>44593</v>
                </pt>
                <pt idx="1785">
                  <v>44594</v>
                </pt>
                <pt idx="1786">
                  <v>44595</v>
                </pt>
                <pt idx="1787">
                  <v>44596</v>
                </pt>
                <pt idx="1788">
                  <v>44599</v>
                </pt>
                <pt idx="1789">
                  <v>44600</v>
                </pt>
                <pt idx="1790">
                  <v>44601</v>
                </pt>
                <pt idx="1791">
                  <v>44602</v>
                </pt>
                <pt idx="1792">
                  <v>44603</v>
                </pt>
                <pt idx="1793">
                  <v>44606</v>
                </pt>
                <pt idx="1794">
                  <v>44607</v>
                </pt>
                <pt idx="1795">
                  <v>44608</v>
                </pt>
                <pt idx="1796">
                  <v>44609</v>
                </pt>
                <pt idx="1797">
                  <v>44610</v>
                </pt>
                <pt idx="1798">
                  <v>44614</v>
                </pt>
                <pt idx="1799">
                  <v>44615</v>
                </pt>
                <pt idx="1800">
                  <v>44616</v>
                </pt>
                <pt idx="1801">
                  <v>44617</v>
                </pt>
                <pt idx="1802">
                  <v>44620</v>
                </pt>
                <pt idx="1803">
                  <v>44621</v>
                </pt>
                <pt idx="1804">
                  <v>44622</v>
                </pt>
                <pt idx="1805">
                  <v>44623</v>
                </pt>
                <pt idx="1806">
                  <v>44624</v>
                </pt>
                <pt idx="1807">
                  <v>44627</v>
                </pt>
                <pt idx="1808">
                  <v>44628</v>
                </pt>
                <pt idx="1809">
                  <v>44629</v>
                </pt>
                <pt idx="1810">
                  <v>44630</v>
                </pt>
                <pt idx="1811">
                  <v>44631</v>
                </pt>
                <pt idx="1812">
                  <v>44634</v>
                </pt>
                <pt idx="1813">
                  <v>44635</v>
                </pt>
                <pt idx="1814">
                  <v>44636</v>
                </pt>
                <pt idx="1815">
                  <v>44637</v>
                </pt>
                <pt idx="1816">
                  <v>44638</v>
                </pt>
                <pt idx="1817">
                  <v>44641</v>
                </pt>
                <pt idx="1818">
                  <v>44642</v>
                </pt>
                <pt idx="1819">
                  <v>44643</v>
                </pt>
                <pt idx="1820">
                  <v>44644</v>
                </pt>
                <pt idx="1821">
                  <v>44645</v>
                </pt>
                <pt idx="1822">
                  <v>44648</v>
                </pt>
                <pt idx="1823">
                  <v>44649</v>
                </pt>
                <pt idx="1824">
                  <v>44650</v>
                </pt>
                <pt idx="1825">
                  <v>44651</v>
                </pt>
                <pt idx="1826">
                  <v>44652</v>
                </pt>
                <pt idx="1827">
                  <v>44655</v>
                </pt>
                <pt idx="1828">
                  <v>44656</v>
                </pt>
                <pt idx="1829">
                  <v>44657</v>
                </pt>
                <pt idx="1830">
                  <v>44658</v>
                </pt>
                <pt idx="1831">
                  <v>44659</v>
                </pt>
                <pt idx="1832">
                  <v>44662</v>
                </pt>
                <pt idx="1833">
                  <v>44663</v>
                </pt>
                <pt idx="1834">
                  <v>44664</v>
                </pt>
                <pt idx="1835">
                  <v>44665</v>
                </pt>
                <pt idx="1836">
                  <v>44669</v>
                </pt>
                <pt idx="1837">
                  <v>44670</v>
                </pt>
                <pt idx="1838">
                  <v>44671</v>
                </pt>
                <pt idx="1839">
                  <v>44672</v>
                </pt>
                <pt idx="1840">
                  <v>44673</v>
                </pt>
                <pt idx="1841">
                  <v>44676</v>
                </pt>
                <pt idx="1842">
                  <v>44677</v>
                </pt>
                <pt idx="1843">
                  <v>44678</v>
                </pt>
                <pt idx="1844">
                  <v>44679</v>
                </pt>
                <pt idx="1845">
                  <v>44680</v>
                </pt>
                <pt idx="1846">
                  <v>44683</v>
                </pt>
                <pt idx="1847">
                  <v>44684</v>
                </pt>
                <pt idx="1848">
                  <v>44685</v>
                </pt>
                <pt idx="1849">
                  <v>44686</v>
                </pt>
                <pt idx="1850">
                  <v>44687</v>
                </pt>
                <pt idx="1851">
                  <v>44690</v>
                </pt>
                <pt idx="1852">
                  <v>44691</v>
                </pt>
                <pt idx="1853">
                  <v>44692</v>
                </pt>
                <pt idx="1854">
                  <v>44693</v>
                </pt>
                <pt idx="1855">
                  <v>44694</v>
                </pt>
                <pt idx="1856">
                  <v>44697</v>
                </pt>
                <pt idx="1857">
                  <v>44698</v>
                </pt>
                <pt idx="1858">
                  <v>44699</v>
                </pt>
                <pt idx="1859">
                  <v>44700</v>
                </pt>
                <pt idx="1860">
                  <v>44701</v>
                </pt>
                <pt idx="1861">
                  <v>44704</v>
                </pt>
                <pt idx="1862">
                  <v>44705</v>
                </pt>
                <pt idx="1863">
                  <v>44706</v>
                </pt>
                <pt idx="1864">
                  <v>44707</v>
                </pt>
                <pt idx="1865">
                  <v>44708</v>
                </pt>
                <pt idx="1866">
                  <v>44712</v>
                </pt>
                <pt idx="1867">
                  <v>44713</v>
                </pt>
                <pt idx="1868">
                  <v>44714</v>
                </pt>
                <pt idx="1869">
                  <v>44715</v>
                </pt>
                <pt idx="1870">
                  <v>44718</v>
                </pt>
                <pt idx="1871">
                  <v>44719</v>
                </pt>
                <pt idx="1872">
                  <v>44720</v>
                </pt>
                <pt idx="1873">
                  <v>44721</v>
                </pt>
                <pt idx="1874">
                  <v>44722</v>
                </pt>
                <pt idx="1875">
                  <v>44725</v>
                </pt>
                <pt idx="1876">
                  <v>44726</v>
                </pt>
                <pt idx="1877">
                  <v>44727</v>
                </pt>
                <pt idx="1878">
                  <v>44728</v>
                </pt>
                <pt idx="1879">
                  <v>44729</v>
                </pt>
                <pt idx="1880">
                  <v>44733</v>
                </pt>
                <pt idx="1881">
                  <v>44734</v>
                </pt>
                <pt idx="1882">
                  <v>44735</v>
                </pt>
                <pt idx="1883">
                  <v>44736</v>
                </pt>
                <pt idx="1884">
                  <v>44739</v>
                </pt>
                <pt idx="1885">
                  <v>44740</v>
                </pt>
                <pt idx="1886">
                  <v>44741</v>
                </pt>
                <pt idx="1887">
                  <v>44742</v>
                </pt>
                <pt idx="1888">
                  <v>44743</v>
                </pt>
                <pt idx="1889">
                  <v>44747</v>
                </pt>
                <pt idx="1890">
                  <v>44748</v>
                </pt>
                <pt idx="1891">
                  <v>44749</v>
                </pt>
                <pt idx="1892">
                  <v>44750</v>
                </pt>
                <pt idx="1893">
                  <v>44753</v>
                </pt>
                <pt idx="1894">
                  <v>44754</v>
                </pt>
                <pt idx="1895">
                  <v>44755</v>
                </pt>
                <pt idx="1896">
                  <v>44756</v>
                </pt>
                <pt idx="1897">
                  <v>44757</v>
                </pt>
                <pt idx="1898">
                  <v>44760</v>
                </pt>
                <pt idx="1899">
                  <v>44761</v>
                </pt>
                <pt idx="1900">
                  <v>44762</v>
                </pt>
                <pt idx="1901">
                  <v>44763</v>
                </pt>
                <pt idx="1902">
                  <v>44764</v>
                </pt>
                <pt idx="1903">
                  <v>44767</v>
                </pt>
                <pt idx="1904">
                  <v>44768</v>
                </pt>
                <pt idx="1905">
                  <v>44769</v>
                </pt>
                <pt idx="1906">
                  <v>44770</v>
                </pt>
                <pt idx="1907">
                  <v>44771</v>
                </pt>
                <pt idx="1908">
                  <v>44774</v>
                </pt>
                <pt idx="1909">
                  <v>44775</v>
                </pt>
                <pt idx="1910">
                  <v>44776</v>
                </pt>
                <pt idx="1911">
                  <v>44777</v>
                </pt>
                <pt idx="1912">
                  <v>44778</v>
                </pt>
                <pt idx="1913">
                  <v>44781</v>
                </pt>
                <pt idx="1914">
                  <v>44782</v>
                </pt>
                <pt idx="1915">
                  <v>44783</v>
                </pt>
                <pt idx="1916">
                  <v>44784</v>
                </pt>
                <pt idx="1917">
                  <v>44785</v>
                </pt>
                <pt idx="1918">
                  <v>44788</v>
                </pt>
                <pt idx="1919">
                  <v>44789</v>
                </pt>
                <pt idx="1920">
                  <v>44790</v>
                </pt>
                <pt idx="1921">
                  <v>44791</v>
                </pt>
                <pt idx="1922">
                  <v>44792</v>
                </pt>
                <pt idx="1923">
                  <v>44795</v>
                </pt>
                <pt idx="1924">
                  <v>44796</v>
                </pt>
                <pt idx="1925">
                  <v>44797</v>
                </pt>
                <pt idx="1926">
                  <v>44798</v>
                </pt>
                <pt idx="1927">
                  <v>44799</v>
                </pt>
                <pt idx="1928">
                  <v>44802</v>
                </pt>
                <pt idx="1929">
                  <v>44803</v>
                </pt>
                <pt idx="1930">
                  <v>44804</v>
                </pt>
                <pt idx="1931">
                  <v>44805</v>
                </pt>
                <pt idx="1932">
                  <v>44806</v>
                </pt>
                <pt idx="1933">
                  <v>44810</v>
                </pt>
                <pt idx="1934">
                  <v>44811</v>
                </pt>
                <pt idx="1935">
                  <v>44812</v>
                </pt>
                <pt idx="1936">
                  <v>44813</v>
                </pt>
                <pt idx="1937">
                  <v>44816</v>
                </pt>
                <pt idx="1938">
                  <v>44817</v>
                </pt>
                <pt idx="1939">
                  <v>44818</v>
                </pt>
                <pt idx="1940">
                  <v>44819</v>
                </pt>
                <pt idx="1941">
                  <v>44820</v>
                </pt>
                <pt idx="1942">
                  <v>44823</v>
                </pt>
                <pt idx="1943">
                  <v>44824</v>
                </pt>
                <pt idx="1944">
                  <v>44825</v>
                </pt>
                <pt idx="1945">
                  <v>44826</v>
                </pt>
                <pt idx="1946">
                  <v>44827</v>
                </pt>
                <pt idx="1947">
                  <v>44830</v>
                </pt>
                <pt idx="1948">
                  <v>44831</v>
                </pt>
                <pt idx="1949">
                  <v>44832</v>
                </pt>
                <pt idx="1950">
                  <v>44833</v>
                </pt>
                <pt idx="1951">
                  <v>44834</v>
                </pt>
                <pt idx="1952">
                  <v>44837</v>
                </pt>
                <pt idx="1953">
                  <v>44838</v>
                </pt>
                <pt idx="1954">
                  <v>44839</v>
                </pt>
                <pt idx="1955">
                  <v>44840</v>
                </pt>
                <pt idx="1956">
                  <v>44841</v>
                </pt>
                <pt idx="1957">
                  <v>44844</v>
                </pt>
                <pt idx="1958">
                  <v>44845</v>
                </pt>
                <pt idx="1959">
                  <v>44846</v>
                </pt>
                <pt idx="1960">
                  <v>44847</v>
                </pt>
                <pt idx="1961">
                  <v>44848</v>
                </pt>
                <pt idx="1962">
                  <v>44851</v>
                </pt>
                <pt idx="1963">
                  <v>44852</v>
                </pt>
                <pt idx="1964">
                  <v>44853</v>
                </pt>
                <pt idx="1965">
                  <v>44854</v>
                </pt>
                <pt idx="1966">
                  <v>44855</v>
                </pt>
                <pt idx="1967">
                  <v>44858</v>
                </pt>
                <pt idx="1968">
                  <v>44859</v>
                </pt>
                <pt idx="1969">
                  <v>44860</v>
                </pt>
                <pt idx="1970">
                  <v>44861</v>
                </pt>
                <pt idx="1971">
                  <v>44862</v>
                </pt>
                <pt idx="1972">
                  <v>44865</v>
                </pt>
                <pt idx="1973">
                  <v>44866</v>
                </pt>
                <pt idx="1974">
                  <v>44867</v>
                </pt>
                <pt idx="1975">
                  <v>44868</v>
                </pt>
                <pt idx="1976">
                  <v>44869</v>
                </pt>
                <pt idx="1977">
                  <v>44872</v>
                </pt>
                <pt idx="1978">
                  <v>44873</v>
                </pt>
                <pt idx="1979">
                  <v>44874</v>
                </pt>
                <pt idx="1980">
                  <v>44875</v>
                </pt>
                <pt idx="1981">
                  <v>44876</v>
                </pt>
                <pt idx="1982">
                  <v>44879</v>
                </pt>
                <pt idx="1983">
                  <v>44880</v>
                </pt>
                <pt idx="1984">
                  <v>44881</v>
                </pt>
                <pt idx="1985">
                  <v>44882</v>
                </pt>
                <pt idx="1986">
                  <v>44883</v>
                </pt>
                <pt idx="1987">
                  <v>44886</v>
                </pt>
                <pt idx="1988">
                  <v>44887</v>
                </pt>
                <pt idx="1989">
                  <v>44888</v>
                </pt>
                <pt idx="1990">
                  <v>44890</v>
                </pt>
                <pt idx="1991">
                  <v>44893</v>
                </pt>
                <pt idx="1992">
                  <v>44894</v>
                </pt>
                <pt idx="1993">
                  <v>44895</v>
                </pt>
                <pt idx="1994">
                  <v>44896</v>
                </pt>
                <pt idx="1995">
                  <v>44897</v>
                </pt>
                <pt idx="1996">
                  <v>44900</v>
                </pt>
                <pt idx="1997">
                  <v>44901</v>
                </pt>
                <pt idx="1998">
                  <v>44902</v>
                </pt>
                <pt idx="1999">
                  <v>44903</v>
                </pt>
                <pt idx="2000">
                  <v>44904</v>
                </pt>
                <pt idx="2001">
                  <v>44907</v>
                </pt>
                <pt idx="2002">
                  <v>44908</v>
                </pt>
                <pt idx="2003">
                  <v>44909</v>
                </pt>
                <pt idx="2004">
                  <v>44910</v>
                </pt>
                <pt idx="2005">
                  <v>44911</v>
                </pt>
                <pt idx="2006">
                  <v>44914</v>
                </pt>
                <pt idx="2007">
                  <v>44915</v>
                </pt>
                <pt idx="2008">
                  <v>44916</v>
                </pt>
                <pt idx="2009">
                  <v>44917</v>
                </pt>
                <pt idx="2010">
                  <v>44918</v>
                </pt>
                <pt idx="2011">
                  <v>44922</v>
                </pt>
                <pt idx="2012">
                  <v>44923</v>
                </pt>
                <pt idx="2013">
                  <v>44924</v>
                </pt>
                <pt idx="2014">
                  <v>44925</v>
                </pt>
                <pt idx="2015">
                  <v>44929</v>
                </pt>
                <pt idx="2016">
                  <v>44930</v>
                </pt>
                <pt idx="2017">
                  <v>44931</v>
                </pt>
                <pt idx="2018">
                  <v>44932</v>
                </pt>
                <pt idx="2019">
                  <v>44935</v>
                </pt>
                <pt idx="2020">
                  <v>44936</v>
                </pt>
                <pt idx="2021">
                  <v>44937</v>
                </pt>
                <pt idx="2022">
                  <v>44938</v>
                </pt>
                <pt idx="2023">
                  <v>44939</v>
                </pt>
                <pt idx="2024">
                  <v>44943</v>
                </pt>
                <pt idx="2025">
                  <v>44944</v>
                </pt>
                <pt idx="2026">
                  <v>44945</v>
                </pt>
                <pt idx="2027">
                  <v>44946</v>
                </pt>
                <pt idx="2028">
                  <v>44949</v>
                </pt>
                <pt idx="2029">
                  <v>44950</v>
                </pt>
                <pt idx="2030">
                  <v>44951</v>
                </pt>
                <pt idx="2031">
                  <v>44952</v>
                </pt>
                <pt idx="2032">
                  <v>44953</v>
                </pt>
                <pt idx="2033">
                  <v>44956</v>
                </pt>
                <pt idx="2034">
                  <v>44957</v>
                </pt>
                <pt idx="2035">
                  <v>44958</v>
                </pt>
                <pt idx="2036">
                  <v>44959</v>
                </pt>
                <pt idx="2037">
                  <v>44960</v>
                </pt>
                <pt idx="2038">
                  <v>44963</v>
                </pt>
                <pt idx="2039">
                  <v>44964</v>
                </pt>
                <pt idx="2040">
                  <v>44965</v>
                </pt>
                <pt idx="2041">
                  <v>44966</v>
                </pt>
                <pt idx="2042">
                  <v>44967</v>
                </pt>
                <pt idx="2043">
                  <v>44970</v>
                </pt>
                <pt idx="2044">
                  <v>44971</v>
                </pt>
                <pt idx="2045">
                  <v>44972</v>
                </pt>
                <pt idx="2046">
                  <v>44973</v>
                </pt>
                <pt idx="2047">
                  <v>44974</v>
                </pt>
                <pt idx="2048">
                  <v>44978</v>
                </pt>
                <pt idx="2049">
                  <v>44979</v>
                </pt>
                <pt idx="2050">
                  <v>44980</v>
                </pt>
                <pt idx="2051">
                  <v>44981</v>
                </pt>
                <pt idx="2052">
                  <v>44984</v>
                </pt>
                <pt idx="2053">
                  <v>44985</v>
                </pt>
                <pt idx="2054">
                  <v>44986</v>
                </pt>
                <pt idx="2055">
                  <v>44987</v>
                </pt>
                <pt idx="2056">
                  <v>44988</v>
                </pt>
                <pt idx="2057">
                  <v>44991</v>
                </pt>
                <pt idx="2058">
                  <v>44992</v>
                </pt>
                <pt idx="2059">
                  <v>44993</v>
                </pt>
                <pt idx="2060">
                  <v>44994</v>
                </pt>
                <pt idx="2061">
                  <v>44995</v>
                </pt>
                <pt idx="2062">
                  <v>44998</v>
                </pt>
                <pt idx="2063">
                  <v>44999</v>
                </pt>
                <pt idx="2064">
                  <v>45000</v>
                </pt>
                <pt idx="2065">
                  <v>45001</v>
                </pt>
                <pt idx="2066">
                  <v>45002</v>
                </pt>
                <pt idx="2067">
                  <v>45005</v>
                </pt>
                <pt idx="2068">
                  <v>45006</v>
                </pt>
                <pt idx="2069">
                  <v>45007</v>
                </pt>
                <pt idx="2070">
                  <v>45008</v>
                </pt>
                <pt idx="2071">
                  <v>45009</v>
                </pt>
                <pt idx="2072">
                  <v>45012</v>
                </pt>
                <pt idx="2073">
                  <v>45013</v>
                </pt>
                <pt idx="2074">
                  <v>45014</v>
                </pt>
                <pt idx="2075">
                  <v>45015</v>
                </pt>
                <pt idx="2076">
                  <v>45016</v>
                </pt>
                <pt idx="2077">
                  <v>45019</v>
                </pt>
                <pt idx="2078">
                  <v>45020</v>
                </pt>
                <pt idx="2079">
                  <v>45021</v>
                </pt>
                <pt idx="2080">
                  <v>45022</v>
                </pt>
                <pt idx="2081">
                  <v>45026</v>
                </pt>
                <pt idx="2082">
                  <v>45027</v>
                </pt>
                <pt idx="2083">
                  <v>45028</v>
                </pt>
                <pt idx="2084">
                  <v>45029</v>
                </pt>
                <pt idx="2085">
                  <v>45030</v>
                </pt>
                <pt idx="2086">
                  <v>45033</v>
                </pt>
                <pt idx="2087">
                  <v>45034</v>
                </pt>
                <pt idx="2088">
                  <v>45035</v>
                </pt>
                <pt idx="2089">
                  <v>45036</v>
                </pt>
                <pt idx="2090">
                  <v>45037</v>
                </pt>
                <pt idx="2091">
                  <v>45040</v>
                </pt>
                <pt idx="2092">
                  <v>45041</v>
                </pt>
                <pt idx="2093">
                  <v>45042</v>
                </pt>
                <pt idx="2094">
                  <v>45043</v>
                </pt>
                <pt idx="2095">
                  <v>45044</v>
                </pt>
                <pt idx="2096">
                  <v>45047</v>
                </pt>
                <pt idx="2097">
                  <v>45048</v>
                </pt>
                <pt idx="2098">
                  <v>45049</v>
                </pt>
                <pt idx="2099">
                  <v>45050</v>
                </pt>
                <pt idx="2100">
                  <v>45051</v>
                </pt>
                <pt idx="2101">
                  <v>45054</v>
                </pt>
                <pt idx="2102">
                  <v>45055</v>
                </pt>
                <pt idx="2103">
                  <v>45056</v>
                </pt>
                <pt idx="2104">
                  <v>45057</v>
                </pt>
                <pt idx="2105">
                  <v>45058</v>
                </pt>
                <pt idx="2106">
                  <v>45061</v>
                </pt>
                <pt idx="2107">
                  <v>45062</v>
                </pt>
                <pt idx="2108">
                  <v>45063</v>
                </pt>
                <pt idx="2109">
                  <v>45064</v>
                </pt>
                <pt idx="2110">
                  <v>45065</v>
                </pt>
                <pt idx="2111">
                  <v>45068</v>
                </pt>
                <pt idx="2112">
                  <v>45069</v>
                </pt>
                <pt idx="2113">
                  <v>45070</v>
                </pt>
                <pt idx="2114">
                  <v>45071</v>
                </pt>
                <pt idx="2115">
                  <v>45072</v>
                </pt>
                <pt idx="2116">
                  <v>45076</v>
                </pt>
                <pt idx="2117">
                  <v>45077</v>
                </pt>
                <pt idx="2118">
                  <v>45078</v>
                </pt>
                <pt idx="2119">
                  <v>45079</v>
                </pt>
                <pt idx="2120">
                  <v>45082</v>
                </pt>
                <pt idx="2121">
                  <v>45083</v>
                </pt>
                <pt idx="2122">
                  <v>45084</v>
                </pt>
                <pt idx="2123">
                  <v>45085</v>
                </pt>
                <pt idx="2124">
                  <v>45086</v>
                </pt>
                <pt idx="2125">
                  <v>45089</v>
                </pt>
                <pt idx="2126">
                  <v>45090</v>
                </pt>
                <pt idx="2127">
                  <v>45091</v>
                </pt>
                <pt idx="2128">
                  <v>45092</v>
                </pt>
                <pt idx="2129">
                  <v>45093</v>
                </pt>
                <pt idx="2130">
                  <v>45097</v>
                </pt>
                <pt idx="2131">
                  <v>45098</v>
                </pt>
                <pt idx="2132">
                  <v>45099</v>
                </pt>
                <pt idx="2133">
                  <v>45100</v>
                </pt>
                <pt idx="2134">
                  <v>45103</v>
                </pt>
                <pt idx="2135">
                  <v>45104</v>
                </pt>
                <pt idx="2136">
                  <v>45105</v>
                </pt>
                <pt idx="2137">
                  <v>45106</v>
                </pt>
                <pt idx="2138">
                  <v>45107</v>
                </pt>
                <pt idx="2139">
                  <v>45110</v>
                </pt>
                <pt idx="2140">
                  <v>45112</v>
                </pt>
                <pt idx="2141">
                  <v>45113</v>
                </pt>
                <pt idx="2142">
                  <v>45114</v>
                </pt>
                <pt idx="2143">
                  <v>45117</v>
                </pt>
                <pt idx="2144">
                  <v>45118</v>
                </pt>
                <pt idx="2145">
                  <v>45119</v>
                </pt>
                <pt idx="2146">
                  <v>45120</v>
                </pt>
                <pt idx="2147">
                  <v>45121</v>
                </pt>
                <pt idx="2148">
                  <v>45124</v>
                </pt>
                <pt idx="2149">
                  <v>45125</v>
                </pt>
                <pt idx="2150">
                  <v>45126</v>
                </pt>
                <pt idx="2151">
                  <v>45127</v>
                </pt>
                <pt idx="2152">
                  <v>45128</v>
                </pt>
                <pt idx="2153">
                  <v>45131</v>
                </pt>
                <pt idx="2154">
                  <v>45132</v>
                </pt>
                <pt idx="2155">
                  <v>45133</v>
                </pt>
                <pt idx="2156">
                  <v>45134</v>
                </pt>
                <pt idx="2157">
                  <v>45135</v>
                </pt>
                <pt idx="2158">
                  <v>45138</v>
                </pt>
                <pt idx="2159">
                  <v>45139</v>
                </pt>
                <pt idx="2160">
                  <v>45140</v>
                </pt>
                <pt idx="2161">
                  <v>45141</v>
                </pt>
                <pt idx="2162">
                  <v>45142</v>
                </pt>
                <pt idx="2163">
                  <v>45145</v>
                </pt>
                <pt idx="2164">
                  <v>45146</v>
                </pt>
                <pt idx="2165">
                  <v>45147</v>
                </pt>
                <pt idx="2166">
                  <v>45148</v>
                </pt>
                <pt idx="2167">
                  <v>45149</v>
                </pt>
                <pt idx="2168">
                  <v>45152</v>
                </pt>
                <pt idx="2169">
                  <v>45153</v>
                </pt>
                <pt idx="2170">
                  <v>45154</v>
                </pt>
                <pt idx="2171">
                  <v>45155</v>
                </pt>
                <pt idx="2172">
                  <v>45156</v>
                </pt>
                <pt idx="2173">
                  <v>45159</v>
                </pt>
                <pt idx="2174">
                  <v>45160</v>
                </pt>
                <pt idx="2175">
                  <v>45161</v>
                </pt>
                <pt idx="2176">
                  <v>45162</v>
                </pt>
                <pt idx="2177">
                  <v>45163</v>
                </pt>
                <pt idx="2178">
                  <v>45166</v>
                </pt>
                <pt idx="2179">
                  <v>45167</v>
                </pt>
                <pt idx="2180">
                  <v>45168</v>
                </pt>
                <pt idx="2181">
                  <v>45169</v>
                </pt>
                <pt idx="2182">
                  <v>45170</v>
                </pt>
                <pt idx="2183">
                  <v>45174</v>
                </pt>
                <pt idx="2184">
                  <v>45175</v>
                </pt>
                <pt idx="2185">
                  <v>45176</v>
                </pt>
                <pt idx="2186">
                  <v>45177</v>
                </pt>
                <pt idx="2187">
                  <v>45180</v>
                </pt>
                <pt idx="2188">
                  <v>45181</v>
                </pt>
                <pt idx="2189">
                  <v>45182</v>
                </pt>
                <pt idx="2190">
                  <v>45183</v>
                </pt>
                <pt idx="2191">
                  <v>45184</v>
                </pt>
                <pt idx="2192">
                  <v>45187</v>
                </pt>
                <pt idx="2193">
                  <v>45188</v>
                </pt>
                <pt idx="2194">
                  <v>45189</v>
                </pt>
                <pt idx="2195">
                  <v>45190</v>
                </pt>
                <pt idx="2196">
                  <v>45191</v>
                </pt>
                <pt idx="2197">
                  <v>45194</v>
                </pt>
                <pt idx="2198">
                  <v>45195</v>
                </pt>
                <pt idx="2199">
                  <v>45196</v>
                </pt>
                <pt idx="2200">
                  <v>45197</v>
                </pt>
                <pt idx="2201">
                  <v>45198</v>
                </pt>
                <pt idx="2202">
                  <v>45201</v>
                </pt>
                <pt idx="2203">
                  <v>45202</v>
                </pt>
                <pt idx="2204">
                  <v>45203</v>
                </pt>
                <pt idx="2205">
                  <v>45204</v>
                </pt>
                <pt idx="2206">
                  <v>45205</v>
                </pt>
                <pt idx="2207">
                  <v>45208</v>
                </pt>
                <pt idx="2208">
                  <v>45209</v>
                </pt>
                <pt idx="2209">
                  <v>45210</v>
                </pt>
                <pt idx="2210">
                  <v>45211</v>
                </pt>
                <pt idx="2211">
                  <v>45212</v>
                </pt>
                <pt idx="2212">
                  <v>45215</v>
                </pt>
                <pt idx="2213">
                  <v>45216</v>
                </pt>
                <pt idx="2214">
                  <v>45217</v>
                </pt>
                <pt idx="2215">
                  <v>45218</v>
                </pt>
                <pt idx="2216">
                  <v>45219</v>
                </pt>
                <pt idx="2217">
                  <v>45222</v>
                </pt>
                <pt idx="2218">
                  <v>45223</v>
                </pt>
                <pt idx="2219">
                  <v>45224</v>
                </pt>
                <pt idx="2220">
                  <v>45225</v>
                </pt>
                <pt idx="2221">
                  <v>45226</v>
                </pt>
                <pt idx="2222">
                  <v>45229</v>
                </pt>
                <pt idx="2223">
                  <v>45230</v>
                </pt>
                <pt idx="2224">
                  <v>45231</v>
                </pt>
                <pt idx="2225">
                  <v>45232</v>
                </pt>
                <pt idx="2226">
                  <v>45233</v>
                </pt>
                <pt idx="2227">
                  <v>45236</v>
                </pt>
                <pt idx="2228">
                  <v>45237</v>
                </pt>
                <pt idx="2229">
                  <v>45238</v>
                </pt>
                <pt idx="2230">
                  <v>45239</v>
                </pt>
                <pt idx="2231">
                  <v>45240</v>
                </pt>
                <pt idx="2232">
                  <v>45243</v>
                </pt>
                <pt idx="2233">
                  <v>45244</v>
                </pt>
                <pt idx="2234">
                  <v>45245</v>
                </pt>
                <pt idx="2235">
                  <v>45246</v>
                </pt>
                <pt idx="2236">
                  <v>45247</v>
                </pt>
                <pt idx="2237">
                  <v>45250</v>
                </pt>
                <pt idx="2238">
                  <v>45251</v>
                </pt>
                <pt idx="2239">
                  <v>45252</v>
                </pt>
                <pt idx="2240">
                  <v>45254</v>
                </pt>
                <pt idx="2241">
                  <v>45257</v>
                </pt>
                <pt idx="2242">
                  <v>45258</v>
                </pt>
                <pt idx="2243">
                  <v>45259</v>
                </pt>
                <pt idx="2244">
                  <v>45260</v>
                </pt>
                <pt idx="2245">
                  <v>45261</v>
                </pt>
                <pt idx="2246">
                  <v>45264</v>
                </pt>
                <pt idx="2247">
                  <v>45265</v>
                </pt>
                <pt idx="2248">
                  <v>45266</v>
                </pt>
                <pt idx="2249">
                  <v>45267</v>
                </pt>
                <pt idx="2250">
                  <v>45268</v>
                </pt>
                <pt idx="2251">
                  <v>45271</v>
                </pt>
                <pt idx="2252">
                  <v>45272</v>
                </pt>
                <pt idx="2253">
                  <v>45273</v>
                </pt>
                <pt idx="2254">
                  <v>45274</v>
                </pt>
                <pt idx="2255">
                  <v>45275</v>
                </pt>
                <pt idx="2256">
                  <v>45278</v>
                </pt>
                <pt idx="2257">
                  <v>45279</v>
                </pt>
                <pt idx="2258">
                  <v>45280</v>
                </pt>
                <pt idx="2259">
                  <v>45281</v>
                </pt>
                <pt idx="2260">
                  <v>45282</v>
                </pt>
                <pt idx="2261">
                  <v>45286</v>
                </pt>
                <pt idx="2262">
                  <v>45287</v>
                </pt>
                <pt idx="2263">
                  <v>45288</v>
                </pt>
                <pt idx="2264">
                  <v>45289</v>
                </pt>
                <pt idx="2265">
                  <v>45293</v>
                </pt>
                <pt idx="2266">
                  <v>45294</v>
                </pt>
                <pt idx="2267">
                  <v>45295</v>
                </pt>
                <pt idx="2268">
                  <v>45296</v>
                </pt>
                <pt idx="2269">
                  <v>45299</v>
                </pt>
                <pt idx="2270">
                  <v>45300</v>
                </pt>
                <pt idx="2271">
                  <v>45301</v>
                </pt>
                <pt idx="2272">
                  <v>45302</v>
                </pt>
                <pt idx="2273">
                  <v>45303</v>
                </pt>
                <pt idx="2274">
                  <v>45307</v>
                </pt>
                <pt idx="2275">
                  <v>45308</v>
                </pt>
                <pt idx="2276">
                  <v>45309</v>
                </pt>
                <pt idx="2277">
                  <v>45310</v>
                </pt>
                <pt idx="2278">
                  <v>45313</v>
                </pt>
                <pt idx="2279">
                  <v>45314</v>
                </pt>
                <pt idx="2280">
                  <v>45315</v>
                </pt>
                <pt idx="2281">
                  <v>45316</v>
                </pt>
                <pt idx="2282">
                  <v>45317</v>
                </pt>
                <pt idx="2283">
                  <v>45320</v>
                </pt>
                <pt idx="2284">
                  <v>45321</v>
                </pt>
                <pt idx="2285">
                  <v>45322</v>
                </pt>
                <pt idx="2286">
                  <v>45323</v>
                </pt>
                <pt idx="2287">
                  <v>45324</v>
                </pt>
                <pt idx="2288">
                  <v>45327</v>
                </pt>
                <pt idx="2289">
                  <v>45328</v>
                </pt>
                <pt idx="2290">
                  <v>45329</v>
                </pt>
                <pt idx="2291">
                  <v>45330</v>
                </pt>
                <pt idx="2292">
                  <v>45331</v>
                </pt>
                <pt idx="2293">
                  <v>45334</v>
                </pt>
                <pt idx="2294">
                  <v>45335</v>
                </pt>
                <pt idx="2295">
                  <v>45336</v>
                </pt>
                <pt idx="2296">
                  <v>45337</v>
                </pt>
                <pt idx="2297">
                  <v>45338</v>
                </pt>
                <pt idx="2298">
                  <v>45342</v>
                </pt>
                <pt idx="2299">
                  <v>45343</v>
                </pt>
                <pt idx="2300">
                  <v>45344</v>
                </pt>
                <pt idx="2301">
                  <v>45345</v>
                </pt>
                <pt idx="2302">
                  <v>45348</v>
                </pt>
                <pt idx="2303">
                  <v>45349</v>
                </pt>
                <pt idx="2304">
                  <v>45350</v>
                </pt>
                <pt idx="2305">
                  <v>45351</v>
                </pt>
                <pt idx="2306">
                  <v>45352</v>
                </pt>
                <pt idx="2307">
                  <v>45355</v>
                </pt>
                <pt idx="2308">
                  <v>45356</v>
                </pt>
                <pt idx="2309">
                  <v>45357</v>
                </pt>
                <pt idx="2310">
                  <v>45358</v>
                </pt>
                <pt idx="2311">
                  <v>45359</v>
                </pt>
                <pt idx="2312">
                  <v>45362</v>
                </pt>
                <pt idx="2313">
                  <v>45363</v>
                </pt>
                <pt idx="2314">
                  <v>45364</v>
                </pt>
                <pt idx="2315">
                  <v>45365</v>
                </pt>
                <pt idx="2316">
                  <v>45366</v>
                </pt>
                <pt idx="2317">
                  <v>45369</v>
                </pt>
                <pt idx="2318">
                  <v>45370</v>
                </pt>
                <pt idx="2319">
                  <v>45371</v>
                </pt>
                <pt idx="2320">
                  <v>45372</v>
                </pt>
                <pt idx="2321">
                  <v>45373</v>
                </pt>
                <pt idx="2322">
                  <v>45376</v>
                </pt>
                <pt idx="2323">
                  <v>45377</v>
                </pt>
                <pt idx="2324">
                  <v>45378</v>
                </pt>
                <pt idx="2325">
                  <v>45379</v>
                </pt>
                <pt idx="2326">
                  <v>45383</v>
                </pt>
                <pt idx="2327">
                  <v>45384</v>
                </pt>
                <pt idx="2328">
                  <v>45385</v>
                </pt>
                <pt idx="2329">
                  <v>45386</v>
                </pt>
                <pt idx="2330">
                  <v>45387</v>
                </pt>
                <pt idx="2331">
                  <v>45390</v>
                </pt>
                <pt idx="2332">
                  <v>45391</v>
                </pt>
                <pt idx="2333">
                  <v>45392</v>
                </pt>
                <pt idx="2334">
                  <v>45393</v>
                </pt>
                <pt idx="2335">
                  <v>45394</v>
                </pt>
                <pt idx="2336">
                  <v>45397</v>
                </pt>
                <pt idx="2337">
                  <v>45398</v>
                </pt>
                <pt idx="2338">
                  <v>45399</v>
                </pt>
                <pt idx="2339">
                  <v>45400</v>
                </pt>
                <pt idx="2340">
                  <v>45401</v>
                </pt>
                <pt idx="2341">
                  <v>45404</v>
                </pt>
                <pt idx="2342">
                  <v>45405</v>
                </pt>
                <pt idx="2343">
                  <v>45406</v>
                </pt>
                <pt idx="2344">
                  <v>45407</v>
                </pt>
                <pt idx="2345">
                  <v>45408</v>
                </pt>
                <pt idx="2346">
                  <v>45411</v>
                </pt>
                <pt idx="2347">
                  <v>45412</v>
                </pt>
                <pt idx="2348">
                  <v>45413</v>
                </pt>
                <pt idx="2349">
                  <v>45414</v>
                </pt>
                <pt idx="2350">
                  <v>45415</v>
                </pt>
                <pt idx="2351">
                  <v>45418</v>
                </pt>
                <pt idx="2352">
                  <v>45419</v>
                </pt>
                <pt idx="2353">
                  <v>45420</v>
                </pt>
                <pt idx="2354">
                  <v>45421</v>
                </pt>
                <pt idx="2355">
                  <v>45422</v>
                </pt>
                <pt idx="2356">
                  <v>45425</v>
                </pt>
                <pt idx="2357">
                  <v>45426</v>
                </pt>
                <pt idx="2358">
                  <v>45427</v>
                </pt>
                <pt idx="2359">
                  <v>45428</v>
                </pt>
                <pt idx="2360">
                  <v>45429</v>
                </pt>
                <pt idx="2361">
                  <v>45432</v>
                </pt>
                <pt idx="2362">
                  <v>45433</v>
                </pt>
                <pt idx="2363">
                  <v>45434</v>
                </pt>
                <pt idx="2364">
                  <v>45435</v>
                </pt>
                <pt idx="2365">
                  <v>45436</v>
                </pt>
                <pt idx="2366">
                  <v>45440</v>
                </pt>
                <pt idx="2367">
                  <v>45441</v>
                </pt>
                <pt idx="2368">
                  <v>45442</v>
                </pt>
                <pt idx="2369">
                  <v>45443</v>
                </pt>
                <pt idx="2370">
                  <v>45446</v>
                </pt>
                <pt idx="2371">
                  <v>45447</v>
                </pt>
                <pt idx="2372">
                  <v>45448</v>
                </pt>
                <pt idx="2373">
                  <v>45449</v>
                </pt>
                <pt idx="2374">
                  <v>45450</v>
                </pt>
                <pt idx="2375">
                  <v>45453</v>
                </pt>
                <pt idx="2376">
                  <v>45454</v>
                </pt>
                <pt idx="2377">
                  <v>45455</v>
                </pt>
                <pt idx="2378">
                  <v>45456</v>
                </pt>
                <pt idx="2379">
                  <v>45457</v>
                </pt>
                <pt idx="2380">
                  <v>45460</v>
                </pt>
                <pt idx="2381">
                  <v>45461</v>
                </pt>
                <pt idx="2382">
                  <v>45463</v>
                </pt>
                <pt idx="2383">
                  <v>45464</v>
                </pt>
                <pt idx="2384">
                  <v>45467</v>
                </pt>
                <pt idx="2385">
                  <v>45468</v>
                </pt>
                <pt idx="2386">
                  <v>45469</v>
                </pt>
                <pt idx="2387">
                  <v>45470</v>
                </pt>
                <pt idx="2388">
                  <v>45471</v>
                </pt>
                <pt idx="2389">
                  <v>45474</v>
                </pt>
                <pt idx="2390">
                  <v>45475</v>
                </pt>
                <pt idx="2391">
                  <v>45476</v>
                </pt>
                <pt idx="2392">
                  <v>45478</v>
                </pt>
                <pt idx="2393">
                  <v>45481</v>
                </pt>
                <pt idx="2394">
                  <v>45482</v>
                </pt>
                <pt idx="2395">
                  <v>45483</v>
                </pt>
                <pt idx="2396">
                  <v>45484</v>
                </pt>
                <pt idx="2397">
                  <v>45485</v>
                </pt>
                <pt idx="2398">
                  <v>45488</v>
                </pt>
                <pt idx="2399">
                  <v>45489</v>
                </pt>
                <pt idx="2400">
                  <v>45490</v>
                </pt>
                <pt idx="2401">
                  <v>45491</v>
                </pt>
                <pt idx="2402">
                  <v>45492</v>
                </pt>
                <pt idx="2403">
                  <v>45495</v>
                </pt>
                <pt idx="2404">
                  <v>45496</v>
                </pt>
                <pt idx="2405">
                  <v>45497</v>
                </pt>
                <pt idx="2406">
                  <v>45498</v>
                </pt>
                <pt idx="2407">
                  <v>45499</v>
                </pt>
                <pt idx="2408">
                  <v>45502</v>
                </pt>
                <pt idx="2409">
                  <v>45503</v>
                </pt>
                <pt idx="2410">
                  <v>45504</v>
                </pt>
                <pt idx="2411">
                  <v>45505</v>
                </pt>
                <pt idx="2412">
                  <v>45506</v>
                </pt>
                <pt idx="2413">
                  <v>45509</v>
                </pt>
                <pt idx="2414">
                  <v>45510</v>
                </pt>
                <pt idx="2415">
                  <v>45511</v>
                </pt>
                <pt idx="2416">
                  <v>45512</v>
                </pt>
                <pt idx="2417">
                  <v>45513</v>
                </pt>
                <pt idx="2418">
                  <v>45516</v>
                </pt>
                <pt idx="2419">
                  <v>45517</v>
                </pt>
                <pt idx="2420">
                  <v>45518</v>
                </pt>
                <pt idx="2421">
                  <v>45519</v>
                </pt>
                <pt idx="2422">
                  <v>45520</v>
                </pt>
                <pt idx="2423">
                  <v>45523</v>
                </pt>
                <pt idx="2424">
                  <v>45524</v>
                </pt>
                <pt idx="2425">
                  <v>45525</v>
                </pt>
                <pt idx="2426">
                  <v>45526</v>
                </pt>
                <pt idx="2427">
                  <v>45527</v>
                </pt>
                <pt idx="2428">
                  <v>45530</v>
                </pt>
                <pt idx="2429">
                  <v>45531</v>
                </pt>
                <pt idx="2430">
                  <v>45532</v>
                </pt>
                <pt idx="2431">
                  <v>45533</v>
                </pt>
                <pt idx="2432">
                  <v>45534</v>
                </pt>
                <pt idx="2433">
                  <v>45538</v>
                </pt>
                <pt idx="2434">
                  <v>45539</v>
                </pt>
                <pt idx="2435">
                  <v>45540</v>
                </pt>
                <pt idx="2436">
                  <v>45541</v>
                </pt>
                <pt idx="2437">
                  <v>45544</v>
                </pt>
                <pt idx="2438">
                  <v>45545</v>
                </pt>
                <pt idx="2439">
                  <v>45546</v>
                </pt>
                <pt idx="2440">
                  <v>45547</v>
                </pt>
                <pt idx="2441">
                  <v>45548</v>
                </pt>
                <pt idx="2442">
                  <v>45551</v>
                </pt>
                <pt idx="2443">
                  <v>45552</v>
                </pt>
                <pt idx="2444">
                  <v>45553</v>
                </pt>
                <pt idx="2445">
                  <v>45554</v>
                </pt>
                <pt idx="2446">
                  <v>45555</v>
                </pt>
                <pt idx="2447">
                  <v>45558</v>
                </pt>
                <pt idx="2448">
                  <v>45559</v>
                </pt>
                <pt idx="2449">
                  <v>45560</v>
                </pt>
                <pt idx="2450">
                  <v>45561</v>
                </pt>
                <pt idx="2451">
                  <v>45562</v>
                </pt>
                <pt idx="2452">
                  <v>45565</v>
                </pt>
                <pt idx="2453">
                  <v>45566</v>
                </pt>
                <pt idx="2454">
                  <v>45567</v>
                </pt>
                <pt idx="2455">
                  <v>45568</v>
                </pt>
                <pt idx="2456">
                  <v>45569</v>
                </pt>
                <pt idx="2457">
                  <v>45572</v>
                </pt>
                <pt idx="2458">
                  <v>45573</v>
                </pt>
                <pt idx="2459">
                  <v>45574</v>
                </pt>
                <pt idx="2460">
                  <v>45575</v>
                </pt>
                <pt idx="2461">
                  <v>45576</v>
                </pt>
                <pt idx="2462">
                  <v>45579</v>
                </pt>
                <pt idx="2463">
                  <v>45580</v>
                </pt>
                <pt idx="2464">
                  <v>45581</v>
                </pt>
                <pt idx="2465">
                  <v>45582</v>
                </pt>
                <pt idx="2466">
                  <v>45583</v>
                </pt>
                <pt idx="2467">
                  <v>45586</v>
                </pt>
                <pt idx="2468">
                  <v>45587</v>
                </pt>
                <pt idx="2469">
                  <v>45588</v>
                </pt>
                <pt idx="2470">
                  <v>45589</v>
                </pt>
                <pt idx="2471">
                  <v>45590</v>
                </pt>
                <pt idx="2472">
                  <v>45593</v>
                </pt>
                <pt idx="2473">
                  <v>45594</v>
                </pt>
                <pt idx="2474">
                  <v>45595</v>
                </pt>
                <pt idx="2475">
                  <v>45596</v>
                </pt>
                <pt idx="2476">
                  <v>45597</v>
                </pt>
                <pt idx="2477">
                  <v>45600</v>
                </pt>
                <pt idx="2478">
                  <v>45601</v>
                </pt>
                <pt idx="2479">
                  <v>45602</v>
                </pt>
                <pt idx="2480">
                  <v>45603</v>
                </pt>
                <pt idx="2481">
                  <v>45604</v>
                </pt>
                <pt idx="2482">
                  <v>45607</v>
                </pt>
                <pt idx="2483">
                  <v>45608</v>
                </pt>
                <pt idx="2484">
                  <v>45609</v>
                </pt>
                <pt idx="2485">
                  <v>45610</v>
                </pt>
                <pt idx="2486">
                  <v>45611</v>
                </pt>
                <pt idx="2487">
                  <v>45614</v>
                </pt>
                <pt idx="2488">
                  <v>45615</v>
                </pt>
                <pt idx="2489">
                  <v>45616</v>
                </pt>
                <pt idx="2490">
                  <v>45617</v>
                </pt>
                <pt idx="2491">
                  <v>45618</v>
                </pt>
                <pt idx="2492">
                  <v>45621</v>
                </pt>
                <pt idx="2493">
                  <v>45622</v>
                </pt>
                <pt idx="2494">
                  <v>45623</v>
                </pt>
                <pt idx="2495">
                  <v>45625</v>
                </pt>
                <pt idx="2496">
                  <v>45628</v>
                </pt>
                <pt idx="2497">
                  <v>45629</v>
                </pt>
                <pt idx="2498">
                  <v>45630</v>
                </pt>
                <pt idx="2499">
                  <v>45631</v>
                </pt>
                <pt idx="2500">
                  <v>45632</v>
                </pt>
                <pt idx="2501">
                  <v>45635</v>
                </pt>
                <pt idx="2502">
                  <v>45636</v>
                </pt>
                <pt idx="2503">
                  <v>45637</v>
                </pt>
                <pt idx="2504">
                  <v>45638</v>
                </pt>
                <pt idx="2505">
                  <v>45639</v>
                </pt>
                <pt idx="2506">
                  <v>45642</v>
                </pt>
                <pt idx="2507">
                  <v>45643</v>
                </pt>
                <pt idx="2508">
                  <v>45644</v>
                </pt>
                <pt idx="2509">
                  <v>45645</v>
                </pt>
                <pt idx="2510">
                  <v>45646</v>
                </pt>
                <pt idx="2511">
                  <v>45649</v>
                </pt>
                <pt idx="2512">
                  <v>45650</v>
                </pt>
                <pt idx="2513">
                  <v>45652</v>
                </pt>
                <pt idx="2514">
                  <v>45653</v>
                </pt>
                <pt idx="2515">
                  <v>45656</v>
                </pt>
                <pt idx="2516">
                  <v>45657</v>
                </pt>
                <pt idx="2517">
                  <v>45659</v>
                </pt>
                <pt idx="2518">
                  <v>45660</v>
                </pt>
                <pt idx="2519">
                  <v>45663</v>
                </pt>
                <pt idx="2520">
                  <v>45664</v>
                </pt>
                <pt idx="2521">
                  <v>45665</v>
                </pt>
                <pt idx="2522">
                  <v>45667</v>
                </pt>
                <pt idx="2523">
                  <v>45670</v>
                </pt>
                <pt idx="2524">
                  <v>45671</v>
                </pt>
                <pt idx="2525">
                  <v>45672</v>
                </pt>
                <pt idx="2526">
                  <v>45673</v>
                </pt>
                <pt idx="2527">
                  <v>45674</v>
                </pt>
                <pt idx="2528">
                  <v>45678</v>
                </pt>
                <pt idx="2529">
                  <v>45679</v>
                </pt>
                <pt idx="2530">
                  <v>45680</v>
                </pt>
                <pt idx="2531">
                  <v>45681</v>
                </pt>
                <pt idx="2532">
                  <v>45684</v>
                </pt>
                <pt idx="2533">
                  <v>45685</v>
                </pt>
                <pt idx="2534">
                  <v>45686</v>
                </pt>
                <pt idx="2535">
                  <v>45687</v>
                </pt>
                <pt idx="2536">
                  <v>45688</v>
                </pt>
                <pt idx="2537">
                  <v>45691</v>
                </pt>
                <pt idx="2538">
                  <v>45692</v>
                </pt>
                <pt idx="2539">
                  <v>45693</v>
                </pt>
                <pt idx="2540">
                  <v>45694</v>
                </pt>
                <pt idx="2541">
                  <v>45695</v>
                </pt>
                <pt idx="2542">
                  <v>45698</v>
                </pt>
                <pt idx="2543">
                  <v>45699</v>
                </pt>
                <pt idx="2544">
                  <v>45700</v>
                </pt>
                <pt idx="2545">
                  <v>45701</v>
                </pt>
                <pt idx="2546">
                  <v>45702</v>
                </pt>
                <pt idx="2547">
                  <v>45706</v>
                </pt>
                <pt idx="2548">
                  <v>45707</v>
                </pt>
                <pt idx="2549">
                  <v>45708</v>
                </pt>
                <pt idx="2550">
                  <v>45709</v>
                </pt>
                <pt idx="2551">
                  <v>45712</v>
                </pt>
                <pt idx="2552">
                  <v>45713</v>
                </pt>
                <pt idx="2553">
                  <v>45714</v>
                </pt>
                <pt idx="2554">
                  <v>45715</v>
                </pt>
                <pt idx="2555">
                  <v>45716</v>
                </pt>
                <pt idx="2556">
                  <v>45719</v>
                </pt>
                <pt idx="2557">
                  <v>45720</v>
                </pt>
                <pt idx="2558">
                  <v>45721</v>
                </pt>
                <pt idx="2559">
                  <v>45722</v>
                </pt>
                <pt idx="2560">
                  <v>45723</v>
                </pt>
                <pt idx="2561">
                  <v>45726</v>
                </pt>
                <pt idx="2562">
                  <v>45727</v>
                </pt>
                <pt idx="2563">
                  <v>45728</v>
                </pt>
                <pt idx="2564">
                  <v>45729</v>
                </pt>
                <pt idx="2565">
                  <v>45730</v>
                </pt>
                <pt idx="2566">
                  <v>45733</v>
                </pt>
                <pt idx="2567">
                  <v>45734</v>
                </pt>
                <pt idx="2568">
                  <v>45735</v>
                </pt>
                <pt idx="2569">
                  <v>45736</v>
                </pt>
                <pt idx="2570">
                  <v>45737</v>
                </pt>
                <pt idx="2571">
                  <v>45740</v>
                </pt>
                <pt idx="2572">
                  <v>45741</v>
                </pt>
                <pt idx="2573">
                  <v>45742</v>
                </pt>
                <pt idx="2574">
                  <v>45743</v>
                </pt>
                <pt idx="2575">
                  <v>45744</v>
                </pt>
                <pt idx="2576">
                  <v>45747</v>
                </pt>
                <pt idx="2577">
                  <v>45748</v>
                </pt>
                <pt idx="2578">
                  <v>45749</v>
                </pt>
                <pt idx="2579">
                  <v>45750</v>
                </pt>
                <pt idx="2580">
                  <v>45751</v>
                </pt>
                <pt idx="2581">
                  <v>45754</v>
                </pt>
                <pt idx="2582">
                  <v>45755</v>
                </pt>
                <pt idx="2583">
                  <v>45756</v>
                </pt>
                <pt idx="2584">
                  <v>45757</v>
                </pt>
                <pt idx="2585">
                  <v>45758</v>
                </pt>
                <pt idx="2586">
                  <v>45761</v>
                </pt>
                <pt idx="2587">
                  <v>45762</v>
                </pt>
                <pt idx="2588">
                  <v>45763</v>
                </pt>
                <pt idx="2589">
                  <v>45764</v>
                </pt>
                <pt idx="2590">
                  <v>45768</v>
                </pt>
                <pt idx="2591">
                  <v>45769</v>
                </pt>
                <pt idx="2592">
                  <v>45770</v>
                </pt>
                <pt idx="2593">
                  <v>45771</v>
                </pt>
                <pt idx="2594">
                  <v>45772</v>
                </pt>
                <pt idx="2595">
                  <v>45775</v>
                </pt>
                <pt idx="2596">
                  <v>45776</v>
                </pt>
                <pt idx="2597">
                  <v>45777</v>
                </pt>
                <pt idx="2598">
                  <v>45778</v>
                </pt>
                <pt idx="2599">
                  <v>45779</v>
                </pt>
                <pt idx="2600">
                  <v>45782</v>
                </pt>
                <pt idx="2601">
                  <v>45783</v>
                </pt>
                <pt idx="2602">
                  <v>45784</v>
                </pt>
                <pt idx="2603">
                  <v>45785</v>
                </pt>
                <pt idx="2604">
                  <v>45786</v>
                </pt>
                <pt idx="2605">
                  <v>45789</v>
                </pt>
                <pt idx="2606">
                  <v>45790</v>
                </pt>
                <pt idx="2607">
                  <v>45791</v>
                </pt>
                <pt idx="2608">
                  <v>45792</v>
                </pt>
                <pt idx="2609">
                  <v>45793</v>
                </pt>
                <pt idx="2610">
                  <v>45796</v>
                </pt>
                <pt idx="2611">
                  <v>45797</v>
                </pt>
                <pt idx="2612">
                  <v>45798</v>
                </pt>
                <pt idx="2613">
                  <v>45799</v>
                </pt>
                <pt idx="2614">
                  <v>45800</v>
                </pt>
                <pt idx="2615">
                  <v>45804</v>
                </pt>
                <pt idx="2616">
                  <v>45805</v>
                </pt>
                <pt idx="2617">
                  <v>45806</v>
                </pt>
                <pt idx="2618">
                  <v>45807</v>
                </pt>
                <pt idx="2619">
                  <v>45810</v>
                </pt>
                <pt idx="2620">
                  <v>45811</v>
                </pt>
                <pt idx="2621">
                  <v>45812</v>
                </pt>
                <pt idx="2622">
                  <v>45813</v>
                </pt>
                <pt idx="2623">
                  <v>45814</v>
                </pt>
                <pt idx="2624">
                  <v>45817</v>
                </pt>
                <pt idx="2625">
                  <v>45818</v>
                </pt>
              </numCache>
            </numRef>
          </cat>
          <val>
            <numRef>
              <f>'20250815_ETF_Options_Exhibits'!$AI$2:$AI$2627</f>
              <numCache>
                <formatCode>General</formatCode>
                <ptCount val="2626"/>
                <pt idx="0">
                  <v>1</v>
                </pt>
                <pt idx="1">
                  <v>1.003179</v>
                </pt>
                <pt idx="2">
                  <v>1.000485464385</v>
                </pt>
                <pt idx="3">
                  <v>0.9995480095048713</v>
                </pt>
                <pt idx="4">
                  <v>0.9995779959451564</v>
                </pt>
                <pt idx="5">
                  <v>0.9976827960648443</v>
                </pt>
                <pt idx="6">
                  <v>0.9987134023931794</v>
                </pt>
                <pt idx="7">
                  <v>0.9978914612630098</v>
                </pt>
                <pt idx="8">
                  <v>0.9972188824181185</v>
                </pt>
                <pt idx="9">
                  <v>0.9958088149183792</v>
                </pt>
                <pt idx="10">
                  <v>0.9945082886060959</v>
                </pt>
                <pt idx="11">
                  <v>0.9945659700868349</v>
                </pt>
                <pt idx="12">
                  <v>0.9973587113308386</v>
                </pt>
                <pt idx="13">
                  <v>0.999231750990718</v>
                </pt>
                <pt idx="14">
                  <v>1.000801544071525</v>
                </pt>
                <pt idx="15">
                  <v>1.001513113969359</v>
                </pt>
                <pt idx="16">
                  <v>1.004976346317465</v>
                </pt>
                <pt idx="17">
                  <v>1.001276023410325</v>
                </pt>
                <pt idx="18">
                  <v>0.9977725586044118</v>
                </pt>
                <pt idx="19">
                  <v>0.9991903934101886</v>
                </pt>
                <pt idx="20">
                  <v>0.9980153455075382</v>
                </pt>
                <pt idx="21">
                  <v>0.998773837170124</v>
                </pt>
                <pt idx="22">
                  <v>0.9995219187741645</v>
                </pt>
                <pt idx="23">
                  <v>0.9993889823589676</v>
                </pt>
                <pt idx="24">
                  <v>0.9988872890898234</v>
                </pt>
                <pt idx="25">
                  <v>0.9974788580122067</v>
                </pt>
                <pt idx="26">
                  <v>0.9996044854586308</v>
                </pt>
                <pt idx="27">
                  <v>1.000072300357825</v>
                </pt>
                <pt idx="28">
                  <v>1.000482330000972</v>
                </pt>
                <pt idx="29">
                  <v>1.001525833071163</v>
                </pt>
                <pt idx="30">
                  <v>1.001663042110294</v>
                </pt>
                <pt idx="31">
                  <v>1.002448345935308</v>
                </pt>
                <pt idx="32">
                  <v>1.003424730624249</v>
                </pt>
                <pt idx="33">
                  <v>1.004063912177657</v>
                </pt>
                <pt idx="34">
                  <v>1.004256692448795</v>
                </pt>
                <pt idx="35">
                  <v>1.004859246464264</v>
                </pt>
                <pt idx="36">
                  <v>1.005410914190573</v>
                </pt>
                <pt idx="37">
                  <v>1.005548655485817</v>
                </pt>
                <pt idx="38">
                  <v>1.005635132670189</v>
                </pt>
                <pt idx="39">
                  <v>1.00586140057504</v>
                </pt>
                <pt idx="40">
                  <v>1.005885541248654</v>
                </pt>
                <pt idx="41">
                  <v>1.005869447079994</v>
                </pt>
                <pt idx="42">
                  <v>1.005870452949441</v>
                </pt>
                <pt idx="43">
                  <v>1.006319071171456</v>
                </pt>
                <pt idx="44">
                  <v>1.003423891203696</v>
                </pt>
                <pt idx="45">
                  <v>1.005218013121168</v>
                </pt>
                <pt idx="46">
                  <v>1.001046358366715</v>
                </pt>
                <pt idx="47">
                  <v>1.000762061200939</v>
                </pt>
                <pt idx="48">
                  <v>1.00091317627218</v>
                </pt>
                <pt idx="49">
                  <v>0.9999252749671997</v>
                </pt>
                <pt idx="50">
                  <v>0.9986423708394168</v>
                </pt>
                <pt idx="51">
                  <v>0.9989908970268396</v>
                </pt>
                <pt idx="52">
                  <v>0.9997351452451246</v>
                </pt>
                <pt idx="53">
                  <v>1.001434694992041</v>
                </pt>
                <pt idx="54">
                  <v>1.002034554374342</v>
                </pt>
                <pt idx="55">
                  <v>1.003251024323352</v>
                </pt>
                <pt idx="56">
                  <v>1.003459700536411</v>
                </pt>
                <pt idx="57">
                  <v>0.998640083594735</v>
                </pt>
                <pt idx="58">
                  <v>0.9987988673680266</v>
                </pt>
                <pt idx="59">
                  <v>1.000024393578287</v>
                </pt>
                <pt idx="60">
                  <v>0.9999933928220864</v>
                </pt>
                <pt idx="61">
                  <v>0.9987344011405234</v>
                </pt>
                <pt idx="62">
                  <v>0.9985276631194874</v>
                </pt>
                <pt idx="63">
                  <v>0.9986474864390616</v>
                </pt>
                <pt idx="64">
                  <v>0.9989770401095864</v>
                </pt>
                <pt idx="65">
                  <v>0.9998081890069576</v>
                </pt>
                <pt idx="66">
                  <v>1.001504863503702</v>
                </pt>
                <pt idx="67">
                  <v>1.002615532397328</v>
                </pt>
                <pt idx="68">
                  <v>1.003383535895144</v>
                </pt>
                <pt idx="69">
                  <v>1.002667120050515</v>
                </pt>
                <pt idx="70">
                  <v>1.003640709824084</v>
                </pt>
                <pt idx="71">
                  <v>1.004489789864595</v>
                </pt>
                <pt idx="72">
                  <v>1.004959891086252</v>
                </pt>
                <pt idx="73">
                  <v>1.002884648911159</v>
                </pt>
                <pt idx="74">
                  <v>1.003215600845299</v>
                </pt>
                <pt idx="75">
                  <v>1.00370316362731</v>
                </pt>
                <pt idx="76">
                  <v>1.003960111637199</v>
                </pt>
                <pt idx="77">
                  <v>1.003925976993403</v>
                </pt>
                <pt idx="78">
                  <v>1.004978091417293</v>
                </pt>
                <pt idx="79">
                  <v>1.00529566449418</v>
                </pt>
                <pt idx="80">
                  <v>1.005728946925577</v>
                </pt>
                <pt idx="81">
                  <v>1.006341435854255</v>
                </pt>
                <pt idx="82">
                  <v>1.00427944225219</v>
                </pt>
                <pt idx="83">
                  <v>1.004206129852905</v>
                </pt>
                <pt idx="84">
                  <v>1.004740367513987</v>
                </pt>
                <pt idx="85">
                  <v>1.002693711385361</v>
                </pt>
                <pt idx="86">
                  <v>1.002175318736575</v>
                </pt>
                <pt idx="87">
                  <v>1.001716322440594</v>
                </pt>
                <pt idx="88">
                  <v>1.003838959327845</v>
                </pt>
                <pt idx="89">
                  <v>1.004022661857402</v>
                </pt>
                <pt idx="90">
                  <v>1.004470455964591</v>
                </pt>
                <pt idx="91">
                  <v>1.005168562931486</v>
                </pt>
                <pt idx="92">
                  <v>1.004246823359278</v>
                </pt>
                <pt idx="93">
                  <v>1.00574214687926</v>
                </pt>
                <pt idx="94">
                  <v>1.006171598775977</v>
                </pt>
                <pt idx="95">
                  <v>1.006146444486008</v>
                </pt>
                <pt idx="96">
                  <v>1.007691885424738</v>
                </pt>
                <pt idx="97">
                  <v>1.008934369519467</v>
                </pt>
                <pt idx="98">
                  <v>1.009938259217139</v>
                </pt>
                <pt idx="99">
                  <v>1.007561874493201</v>
                </pt>
                <pt idx="100">
                  <v>1.0070167835191</v>
                </pt>
                <pt idx="101">
                  <v>1.007297741201702</v>
                </pt>
                <pt idx="102">
                  <v>1.007292704712996</v>
                </pt>
                <pt idx="103">
                  <v>1.010371998511303</v>
                </pt>
                <pt idx="104">
                  <v>1.012757486799789</v>
                </pt>
                <pt idx="105">
                  <v>1.016888524588445</v>
                </pt>
                <pt idx="106">
                  <v>1.015319465595005</v>
                </pt>
                <pt idx="107">
                  <v>1.017215067037271</v>
                </pt>
                <pt idx="108">
                  <v>1.017315771328908</v>
                </pt>
                <pt idx="109">
                  <v>1.018653541568205</v>
                </pt>
                <pt idx="110">
                  <v>1.017775462215373</v>
                </pt>
                <pt idx="111">
                  <v>1.019295000980461</v>
                </pt>
                <pt idx="112">
                  <v>1.018250223604456</v>
                </pt>
                <pt idx="113">
                  <v>1.018056756061971</v>
                </pt>
                <pt idx="114">
                  <v>1.017761519602713</v>
                </pt>
                <pt idx="115">
                  <v>1.018459704005161</v>
                </pt>
                <pt idx="116">
                  <v>1.018555439217337</v>
                </pt>
                <pt idx="117">
                  <v>1.017246595477943</v>
                </pt>
                <pt idx="118">
                  <v>1.019723590937932</v>
                </pt>
                <pt idx="119">
                  <v>1.02091768726292</v>
                </pt>
                <pt idx="120">
                  <v>1.019423063768767</v>
                </pt>
                <pt idx="121">
                  <v>1.01903160531228</v>
                </pt>
                <pt idx="122">
                  <v>1.019452465365274</v>
                </pt>
                <pt idx="123">
                  <v>1.010950231804127</v>
                </pt>
                <pt idx="124">
                  <v>1.01441475824852</v>
                </pt>
                <pt idx="125">
                  <v>1.014825596225611</v>
                </pt>
                <pt idx="126">
                  <v>1.014913886052482</v>
                </pt>
                <pt idx="127">
                  <v>1.016852371574843</v>
                </pt>
                <pt idx="128">
                  <v>1.018133605563027</v>
                </pt>
                <pt idx="129">
                  <v>1.013651781431339</v>
                </pt>
                <pt idx="130">
                  <v>1.014060283099255</v>
                </pt>
                <pt idx="131">
                  <v>1.016027560048468</v>
                </pt>
                <pt idx="132">
                  <v>1.019659858575641</v>
                </pt>
                <pt idx="133">
                  <v>1.020941571017871</v>
                </pt>
                <pt idx="134">
                  <v>1.020795576373215</v>
                </pt>
                <pt idx="135">
                  <v>1.021491758956302</v>
                </pt>
                <pt idx="136">
                  <v>1.022243576890894</v>
                </pt>
                <pt idx="137">
                  <v>1.022509360220885</v>
                </pt>
                <pt idx="138">
                  <v>1.023297714937616</v>
                </pt>
                <pt idx="139">
                  <v>1.02428724382796</v>
                </pt>
                <pt idx="140">
                  <v>1.023904160398769</v>
                </pt>
                <pt idx="141">
                  <v>1.023204833857217</v>
                </pt>
                <pt idx="142">
                  <v>1.021593286243891</v>
                </pt>
                <pt idx="143">
                  <v>1.021539141799721</v>
                </pt>
                <pt idx="144">
                  <v>1.021156064621546</v>
                </pt>
                <pt idx="145">
                  <v>1.022390642303673</v>
                </pt>
                <pt idx="146">
                  <v>1.023334308866519</v>
                </pt>
                <pt idx="147">
                  <v>1.026221134951832</v>
                </pt>
                <pt idx="148">
                  <v>1.026442798716981</v>
                </pt>
                <pt idx="149">
                  <v>1.026906750862001</v>
                </pt>
                <pt idx="150">
                  <v>1.025317099211667</v>
                </pt>
                <pt idx="151">
                  <v>1.026115821231953</v>
                </pt>
                <pt idx="152">
                  <v>1.026498562433273</v>
                </pt>
                <pt idx="153">
                  <v>1.024536923680462</v>
                </pt>
                <pt idx="154">
                  <v>1.024552291734318</v>
                </pt>
                <pt idx="155">
                  <v>1.025735649631271</v>
                </pt>
                <pt idx="156">
                  <v>1.027173731012054</v>
                </pt>
                <pt idx="157">
                  <v>1.028605611193085</v>
                </pt>
                <pt idx="158">
                  <v>1.028847333511715</v>
                </pt>
                <pt idx="159">
                  <v>1.027111668060081</v>
                </pt>
                <pt idx="160">
                  <v>1.020969540285081</v>
                </pt>
                <pt idx="161">
                  <v>1.014896813459466</v>
                </pt>
                <pt idx="162">
                  <v>1.0124336588932</v>
                </pt>
                <pt idx="163">
                  <v>1.012611847217165</v>
                </pt>
                <pt idx="164">
                  <v>1.012785003843039</v>
                </pt>
                <pt idx="165">
                  <v>1.013064532504099</v>
                </pt>
                <pt idx="166">
                  <v>1.013707828482239</v>
                </pt>
                <pt idx="167">
                  <v>1.013811226680745</v>
                </pt>
                <pt idx="168">
                  <v>1.013824406226691</v>
                </pt>
                <pt idx="169">
                  <v>1.020597767084692</v>
                </pt>
                <pt idx="170">
                  <v>1.022410348719034</v>
                </pt>
                <pt idx="171">
                  <v>1.021534143050182</v>
                </pt>
                <pt idx="172">
                  <v>1.022567935602949</v>
                </pt>
                <pt idx="173">
                  <v>1.021280522572025</v>
                </pt>
                <pt idx="174">
                  <v>1.023387424290091</v>
                </pt>
                <pt idx="175">
                  <v>1.025216217617297</v>
                </pt>
                <pt idx="176">
                  <v>1.027186683187557</v>
                </pt>
                <pt idx="177">
                  <v>1.026373151334473</v>
                </pt>
                <pt idx="178">
                  <v>1.025741931846402</v>
                </pt>
                <pt idx="179">
                  <v>1.028417066804657</v>
                </pt>
                <pt idx="180">
                  <v>1.02463763408415</v>
                </pt>
                <pt idx="181">
                  <v>1.029928862826561</v>
                </pt>
                <pt idx="182">
                  <v>1.025704094631246</v>
                </pt>
                <pt idx="183">
                  <v>1.028796592476559</v>
                </pt>
                <pt idx="184">
                  <v>1.028467377566967</v>
                </pt>
                <pt idx="185">
                  <v>1.031993992204644</v>
                </pt>
                <pt idx="186">
                  <v>1.024534739628989</v>
                </pt>
                <pt idx="187">
                  <v>1.028440266056454</v>
                </pt>
                <pt idx="188">
                  <v>1.025823914019607</v>
                </pt>
                <pt idx="189">
                  <v>1.032136834386483</v>
                </pt>
                <pt idx="190">
                  <v>1.031836482567677</v>
                </pt>
                <pt idx="191">
                  <v>1.031365965131626</v>
                </pt>
                <pt idx="192">
                  <v>1.032369484215699</v>
                </pt>
                <pt idx="193">
                  <v>1.032993035384165</v>
                </pt>
                <pt idx="194">
                  <v>1.032912461927405</v>
                </pt>
                <pt idx="195">
                  <v>1.033634467738292</v>
                </pt>
                <pt idx="196">
                  <v>1.035430924443222</v>
                </pt>
                <pt idx="197">
                  <v>1.035054027586724</v>
                </pt>
                <pt idx="198">
                  <v>1.035744408623124</v>
                </pt>
                <pt idx="199">
                  <v>1.034783237811922</v>
                </pt>
                <pt idx="200">
                  <v>1.035499307812488</v>
                </pt>
                <pt idx="201">
                  <v>1.036420902196441</v>
                </pt>
                <pt idx="202">
                  <v>1.036216727278708</v>
                </pt>
                <pt idx="203">
                  <v>1.03610585208889</v>
                </pt>
                <pt idx="204">
                  <v>1.035816778556157</v>
                </pt>
                <pt idx="205">
                  <v>1.035664513489709</v>
                </pt>
                <pt idx="206">
                  <v>1.035760830289463</v>
                </pt>
                <pt idx="207">
                  <v>1.035776366701918</v>
                </pt>
                <pt idx="208">
                  <v>1.035839549060287</v>
                </pt>
                <pt idx="209">
                  <v>1.03568210144883</v>
                </pt>
                <pt idx="210">
                  <v>1.035669673263612</v>
                </pt>
                <pt idx="211">
                  <v>1.036380142659471</v>
                </pt>
                <pt idx="212">
                  <v>1.035168614272702</v>
                </pt>
                <pt idx="213">
                  <v>1.034623080412981</v>
                </pt>
                <pt idx="214">
                  <v>1.035877043586441</v>
                </pt>
                <pt idx="215">
                  <v>1.038621081874902</v>
                </pt>
                <pt idx="216">
                  <v>1.036810765329194</v>
                </pt>
                <pt idx="217">
                  <v>1.039157068091134</v>
                </pt>
                <pt idx="218">
                  <v>1.039651706855545</v>
                </pt>
                <pt idx="219">
                  <v>1.034477360310525</v>
                </pt>
                <pt idx="220">
                  <v>1.032504611984413</v>
                </pt>
                <pt idx="221">
                  <v>1.033994516139506</v>
                </pt>
                <pt idx="222">
                  <v>1.033893184676924</v>
                </pt>
                <pt idx="223">
                  <v>1.032543954070921</v>
                </pt>
                <pt idx="224">
                  <v>1.033927562969376</v>
                </pt>
                <pt idx="225">
                  <v>1.03515483498662</v>
                </pt>
                <pt idx="226">
                  <v>1.038455943755393</v>
                </pt>
                <pt idx="227">
                  <v>1.039531784113124</v>
                </pt>
                <pt idx="228">
                  <v>1.040591067001135</v>
                </pt>
                <pt idx="229">
                  <v>1.039783568333142</v>
                </pt>
                <pt idx="230">
                  <v>1.044837956258809</v>
                </pt>
                <pt idx="231">
                  <v>1.044260160868998</v>
                </pt>
                <pt idx="232">
                  <v>1.039685257104231</v>
                </pt>
                <pt idx="233">
                  <v>1.037000789770388</v>
                </pt>
                <pt idx="234">
                  <v>1.033613945190998</v>
                </pt>
                <pt idx="235">
                  <v>1.041116948819139</v>
                </pt>
                <pt idx="236">
                  <v>1.03534187310404</v>
                </pt>
                <pt idx="237">
                  <v>1.032902607651006</v>
                </pt>
                <pt idx="238">
                  <v>1.034899208391596</v>
                </pt>
                <pt idx="239">
                  <v>1.029117226514312</v>
                </pt>
                <pt idx="240">
                  <v>1.031141500098866</v>
                </pt>
                <pt idx="241">
                  <v>1.031930323346441</v>
                </pt>
                <pt idx="242">
                  <v>1.031967472838081</v>
                </pt>
                <pt idx="243">
                  <v>1.031396794825602</v>
                </pt>
                <pt idx="244">
                  <v>1.026193397995707</v>
                </pt>
                <pt idx="245">
                  <v>1.012143784183748</v>
                </pt>
                <pt idx="246">
                  <v>1.033681191767394</v>
                </pt>
                <pt idx="247">
                  <v>1.032751912375995</v>
                </pt>
                <pt idx="248">
                  <v>1.034719304769071</v>
                </pt>
                <pt idx="249">
                  <v>1.033975341588942</v>
                </pt>
                <pt idx="250">
                  <v>1.042916126367662</v>
                </pt>
                <pt idx="251">
                  <v>1.023241513643736</v>
                </pt>
                <pt idx="252">
                  <v>1.037422617781324</v>
                </pt>
                <pt idx="253">
                  <v>1.033902642839192</v>
                </pt>
                <pt idx="254">
                  <v>1.036135872547725</v>
                </pt>
                <pt idx="255">
                  <v>1.034354754982815</v>
                </pt>
                <pt idx="256">
                  <v>1.030575222708108</v>
                </pt>
                <pt idx="257">
                  <v>1.029367388547094</v>
                </pt>
                <pt idx="258">
                  <v>1.031570234758585</v>
                </pt>
                <pt idx="259">
                  <v>1.031995241695306</v>
                </pt>
                <pt idx="260">
                  <v>1.030175834084197</v>
                </pt>
                <pt idx="261">
                  <v>1.030450891031898</v>
                </pt>
                <pt idx="262">
                  <v>1.029332851815128</v>
                </pt>
                <pt idx="263">
                  <v>1.029834136913962</v>
                </pt>
                <pt idx="264">
                  <v>1.02957770821387</v>
                </pt>
                <pt idx="265">
                  <v>1.029790830799471</v>
                </pt>
                <pt idx="266">
                  <v>1.030028712481386</v>
                </pt>
                <pt idx="267">
                  <v>1.029978241074474</v>
                </pt>
                <pt idx="268">
                  <v>1.029982360987438</v>
                </pt>
                <pt idx="269">
                  <v>1.029946311604804</v>
                </pt>
                <pt idx="270">
                  <v>1.02984125708102</v>
                </pt>
                <pt idx="271">
                  <v>1.0299401218417</v>
                </pt>
                <pt idx="272">
                  <v>1.030059594895833</v>
                </pt>
                <pt idx="273">
                  <v>1.030056504717049</v>
                </pt>
                <pt idx="274">
                  <v>1.030588013873483</v>
                </pt>
                <pt idx="275">
                  <v>1.030865242049215</v>
                </pt>
                <pt idx="276">
                  <v>1.027761306805404</v>
                </pt>
                <pt idx="277">
                  <v>1.026719156840304</v>
                </pt>
                <pt idx="278">
                  <v>1.026500465659897</v>
                </pt>
                <pt idx="279">
                  <v>1.02795193731834</v>
                </pt>
                <pt idx="280">
                  <v>1.027149106855294</v>
                </pt>
                <pt idx="281">
                  <v>1.030077508958939</v>
                </pt>
                <pt idx="282">
                  <v>1.033069884122464</v>
                </pt>
                <pt idx="283">
                  <v>1.030754774512146</v>
                </pt>
                <pt idx="284">
                  <v>1.033253324085563</v>
                </pt>
                <pt idx="285">
                  <v>1.03623425992555</v>
                </pt>
                <pt idx="286">
                  <v>1.035691273173349</v>
                </pt>
                <pt idx="287">
                  <v>1.033940954921686</v>
                </pt>
                <pt idx="288">
                  <v>1.034234594152884</v>
                </pt>
                <pt idx="289">
                  <v>1.034841689859652</v>
                </pt>
                <pt idx="290">
                  <v>1.036080395362413</v>
                </pt>
                <pt idx="291">
                  <v>1.038663343788052</v>
                </pt>
                <pt idx="292">
                  <v>1.0353697423249</v>
                </pt>
                <pt idx="293">
                  <v>1.03535214103928</v>
                </pt>
                <pt idx="294">
                  <v>1.035321080475049</v>
                </pt>
                <pt idx="295">
                  <v>1.035154393781093</v>
                </pt>
                <pt idx="296">
                  <v>1.035987693068086</v>
                </pt>
                <pt idx="297">
                  <v>1.034628477214781</v>
                </pt>
                <pt idx="298">
                  <v>1.034937831129468</v>
                </pt>
                <pt idx="299">
                  <v>1.036644443613001</v>
                </pt>
                <pt idx="300">
                  <v>1.034712138370106</v>
                </pt>
                <pt idx="301">
                  <v>1.03625903301697</v>
                </pt>
                <pt idx="302">
                  <v>1.036810322822535</v>
                </pt>
                <pt idx="303">
                  <v>1.038763673470732</v>
                </pt>
                <pt idx="304">
                  <v>1.038858200965018</v>
                </pt>
                <pt idx="305">
                  <v>1.036529080878455</v>
                </pt>
                <pt idx="306">
                  <v>1.037530367970583</v>
                </pt>
                <pt idx="307">
                  <v>1.037836439429134</v>
                </pt>
                <pt idx="308">
                  <v>1.038544243880825</v>
                </pt>
                <pt idx="309">
                  <v>1.040117638410305</v>
                </pt>
                <pt idx="310">
                  <v>1.041290891106431</v>
                </pt>
                <pt idx="311">
                  <v>1.040919150258306</v>
                </pt>
                <pt idx="312">
                  <v>1.041070083535094</v>
                </pt>
                <pt idx="313">
                  <v>1.041160656632361</v>
                </pt>
                <pt idx="314">
                  <v>1.041198138416</v>
                </pt>
                <pt idx="315">
                  <v>1.041233539152706</v>
                </pt>
                <pt idx="316">
                  <v>1.039366607417006</v>
                </pt>
                <pt idx="317">
                  <v>1.039711677130668</v>
                </pt>
                <pt idx="318">
                  <v>1.036263993209303</v>
                </pt>
                <pt idx="319">
                  <v>1.038246366228312</v>
                </pt>
                <pt idx="320">
                  <v>1.03887450527988</v>
                </pt>
                <pt idx="321">
                  <v>1.03916954563938</v>
                </pt>
                <pt idx="322">
                  <v>1.038608394084734</v>
                </pt>
                <pt idx="323">
                  <v>1.039213902778486</v>
                </pt>
                <pt idx="324">
                  <v>1.039730392088167</v>
                </pt>
                <pt idx="325">
                  <v>1.040351111132243</v>
                </pt>
                <pt idx="326">
                  <v>1.040305335683353</v>
                </pt>
                <pt idx="327">
                  <v>1.040750586367026</v>
                </pt>
                <pt idx="328">
                  <v>1.041156479095709</v>
                </pt>
                <pt idx="329">
                  <v>1.043228380489109</v>
                </pt>
                <pt idx="330">
                  <v>1.043257590883763</v>
                </pt>
                <pt idx="331">
                  <v>1.043367132930805</v>
                </pt>
                <pt idx="332">
                  <v>1.044708903063754</v>
                </pt>
                <pt idx="333">
                  <v>1.042067878956809</v>
                </pt>
                <pt idx="334">
                  <v>1.045487945735545</v>
                </pt>
                <pt idx="335">
                  <v>1.047821474830427</v>
                </pt>
                <pt idx="336">
                  <v>1.051624018962587</v>
                </pt>
                <pt idx="337">
                  <v>1.0514084360387</v>
                </pt>
                <pt idx="338">
                  <v>1.052389400109524</v>
                </pt>
                <pt idx="339">
                  <v>1.054382625633332</v>
                </pt>
                <pt idx="340">
                  <v>1.056488227736721</v>
                </pt>
                <pt idx="341">
                  <v>1.055052460235227</v>
                </pt>
                <pt idx="342">
                  <v>1.054404658024643</v>
                </pt>
                <pt idx="343">
                  <v>1.055578210409024</v>
                </pt>
                <pt idx="344">
                  <v>1.055539154015239</v>
                </pt>
                <pt idx="345">
                  <v>1.055928647963071</v>
                </pt>
                <pt idx="346">
                  <v>1.056278160345547</v>
                </pt>
                <pt idx="347">
                  <v>1.055446869433355</v>
                </pt>
                <pt idx="348">
                  <v>1.056419991446972</v>
                </pt>
                <pt idx="349">
                  <v>1.058607837249259</v>
                </pt>
                <pt idx="350">
                  <v>1.060107884554641</v>
                </pt>
                <pt idx="351">
                  <v>1.056922260361554</v>
                </pt>
                <pt idx="352">
                  <v>1.056366319252604</v>
                </pt>
                <pt idx="353">
                  <v>1.057605436945087</v>
                </pt>
                <pt idx="354">
                  <v>1.058113087554821</v>
                </pt>
                <pt idx="355">
                  <v>1.05886646407316</v>
                </pt>
                <pt idx="356">
                  <v>1.059428722165583</v>
                </pt>
                <pt idx="357">
                  <v>1.059466861599581</v>
                </pt>
                <pt idx="358">
                  <v>1.060963888275021</v>
                </pt>
                <pt idx="359">
                  <v>1.060369748497587</v>
                </pt>
                <pt idx="360">
                  <v>1.059920151724224</v>
                </pt>
                <pt idx="361">
                  <v>1.059786601785107</v>
                </pt>
                <pt idx="362">
                  <v>1.059537551933688</v>
                </pt>
                <pt idx="363">
                  <v>1.056855862389744</v>
                </pt>
                <pt idx="364">
                  <v>1.054109094003393</v>
                </pt>
                <pt idx="365">
                  <v>1.054593984186634</v>
                </pt>
                <pt idx="366">
                  <v>1.055678106802378</v>
                </pt>
                <pt idx="367">
                  <v>1.057387249657291</v>
                </pt>
                <pt idx="368">
                  <v>1.057598727107223</v>
                </pt>
                <pt idx="369">
                  <v>1.059116381280622</v>
                </pt>
                <pt idx="370">
                  <v>1.059030592853738</v>
                </pt>
                <pt idx="371">
                  <v>1.054885547113309</v>
                </pt>
                <pt idx="372">
                  <v>1.058583975841488</v>
                </pt>
                <pt idx="373">
                  <v>1.044683709654713</v>
                </pt>
                <pt idx="374">
                  <v>1.042368690554118</v>
                </pt>
                <pt idx="375">
                  <v>1.042631367464138</v>
                </pt>
                <pt idx="376">
                  <v>1.042888897411901</v>
                </pt>
                <pt idx="377">
                  <v>1.043396784304941</v>
                </pt>
                <pt idx="378">
                  <v>1.047195791996595</v>
                </pt>
                <pt idx="379">
                  <v>1.047885894023521</v>
                </pt>
                <pt idx="380">
                  <v>1.047993826270605</v>
                </pt>
                <pt idx="381">
                  <v>1.049155003430113</v>
                </pt>
                <pt idx="382">
                  <v>1.047030464548167</v>
                </pt>
                <pt idx="383">
                  <v>1.046796976754573</v>
                </pt>
                <pt idx="384">
                  <v>1.045989896285495</v>
                </pt>
                <pt idx="385">
                  <v>1.046954298969871</v>
                </pt>
                <pt idx="386">
                  <v>1.046860073082963</v>
                </pt>
                <pt idx="387">
                  <v>1.04798963510182</v>
                </pt>
                <pt idx="388">
                  <v>1.04814578555745</v>
                </pt>
                <pt idx="389">
                  <v>1.048439266377406</v>
                </pt>
                <pt idx="390">
                  <v>1.048515802443852</v>
                </pt>
                <pt idx="391">
                  <v>1.048243188335216</v>
                </pt>
                <pt idx="392">
                  <v>1.048887857896043</v>
                </pt>
                <pt idx="393">
                  <v>1.049098684355479</v>
                </pt>
                <pt idx="394">
                  <v>1.049256049158133</v>
                </pt>
                <pt idx="395">
                  <v>1.050001020953035</v>
                </pt>
                <pt idx="396">
                  <v>1.050032520983664</v>
                </pt>
                <pt idx="397">
                  <v>1.050845246154905</v>
                </pt>
                <pt idx="398">
                  <v>1.051164703109736</v>
                </pt>
                <pt idx="399">
                  <v>1.051031205192441</v>
                </pt>
                <pt idx="400">
                  <v>1.052127430739457</v>
                </pt>
                <pt idx="401">
                  <v>1.053036468839616</v>
                </pt>
                <pt idx="402">
                  <v>1.053968406114539</v>
                </pt>
                <pt idx="403">
                  <v>1.054541764927465</v>
                </pt>
                <pt idx="404">
                  <v>1.054812782161052</v>
                </pt>
                <pt idx="405">
                  <v>1.054669327622678</v>
                </pt>
                <pt idx="406">
                  <v>1.054843348061735</v>
                </pt>
                <pt idx="407">
                  <v>1.055854942832527</v>
                </pt>
                <pt idx="408">
                  <v>1.056351194655658</v>
                </pt>
                <pt idx="409">
                  <v>1.055713158534086</v>
                </pt>
                <pt idx="410">
                  <v>1.05621462228439</v>
                </pt>
                <pt idx="411">
                  <v>1.057478911187264</v>
                </pt>
                <pt idx="412">
                  <v>1.058407377671286</v>
                </pt>
                <pt idx="413">
                  <v>1.058785229105115</v>
                </pt>
                <pt idx="414">
                  <v>1.058446417831801</v>
                </pt>
                <pt idx="415">
                  <v>1.057930954426317</v>
                </pt>
                <pt idx="416">
                  <v>1.058393270253401</v>
                </pt>
                <pt idx="417">
                  <v>1.060984216978982</v>
                </pt>
                <pt idx="418">
                  <v>1.062429277482507</v>
                </pt>
                <pt idx="419">
                  <v>1.063718004196093</v>
                </pt>
                <pt idx="420">
                  <v>1.064625355653672</v>
                </pt>
                <pt idx="421">
                  <v>1.064830828347314</v>
                </pt>
                <pt idx="422">
                  <v>1.06718516930879</v>
                </pt>
                <pt idx="423">
                  <v>1.068335594921304</v>
                </pt>
                <pt idx="424">
                  <v>1.069212698444735</v>
                </pt>
                <pt idx="425">
                  <v>1.069191314190766</v>
                </pt>
                <pt idx="426">
                  <v>1.057847194347202</v>
                </pt>
                <pt idx="427">
                  <v>1.058125408159315</v>
                </pt>
                <pt idx="428">
                  <v>1.051467683091177</v>
                </pt>
                <pt idx="429">
                  <v>1.052714723763323</v>
                </pt>
                <pt idx="430">
                  <v>1.053837970373578</v>
                </pt>
                <pt idx="431">
                  <v>1.055293320610664</v>
                </pt>
                <pt idx="432">
                  <v>1.056191375226504</v>
                </pt>
                <pt idx="433">
                  <v>1.056230454307387</v>
                </pt>
                <pt idx="434">
                  <v>1.058415795117349</v>
                </pt>
                <pt idx="435">
                  <v>1.059967432672991</v>
                </pt>
                <pt idx="436">
                  <v>1.059849776287965</v>
                </pt>
                <pt idx="437">
                  <v>1.056742296743888</v>
                </pt>
                <pt idx="438">
                  <v>1.059462351415707</v>
                </pt>
                <pt idx="439">
                  <v>1.060254829254566</v>
                </pt>
                <pt idx="440">
                  <v>1.058827726254389</v>
                </pt>
                <pt idx="441">
                  <v>1.0618125616147</v>
                </pt>
                <pt idx="442">
                  <v>1.062504863404873</v>
                </pt>
                <pt idx="443">
                  <v>1.062788552203402</v>
                </pt>
                <pt idx="444">
                  <v>1.06385346633271</v>
                </pt>
                <pt idx="445">
                  <v>1.065001364222883</v>
                </pt>
                <pt idx="446">
                  <v>1.065682965095986</v>
                </pt>
                <pt idx="447">
                  <v>1.067576683724961</v>
                </pt>
                <pt idx="448">
                  <v>1.063651204258905</v>
                </pt>
                <pt idx="449">
                  <v>1.064178775256217</v>
                </pt>
                <pt idx="450">
                  <v>1.063815890293855</v>
                </pt>
                <pt idx="451">
                  <v>1.065353104255329</v>
                </pt>
                <pt idx="452">
                  <v>1.065649272418312</v>
                </pt>
                <pt idx="453">
                  <v>1.066711724742913</v>
                </pt>
                <pt idx="454">
                  <v>1.067481890608177</v>
                </pt>
                <pt idx="455">
                  <v>1.068454366610522</v>
                </pt>
                <pt idx="456">
                  <v>1.069282418744645</v>
                </pt>
                <pt idx="457">
                  <v>1.06996782877506</v>
                </pt>
                <pt idx="458">
                  <v>1.069412515471925</v>
                </pt>
                <pt idx="459">
                  <v>1.069930111129414</v>
                </pt>
                <pt idx="460">
                  <v>1.069758922311633</v>
                </pt>
                <pt idx="461">
                  <v>1.069850921578952</v>
                </pt>
                <pt idx="462">
                  <v>1.069969675031247</v>
                </pt>
                <pt idx="463">
                  <v>1.069094439837071</v>
                </pt>
                <pt idx="464">
                  <v>1.069506041196409</v>
                </pt>
                <pt idx="465">
                  <v>1.06666436364495</v>
                </pt>
                <pt idx="466">
                  <v>1.066241964556947</v>
                </pt>
                <pt idx="467">
                  <v>1.067358319893838</v>
                </pt>
                <pt idx="468">
                  <v>1.067695605122924</v>
                </pt>
                <pt idx="469">
                  <v>1.070470546000639</v>
                </pt>
                <pt idx="470">
                  <v>1.071406137257843</v>
                </pt>
                <pt idx="471">
                  <v>1.073353953615378</v>
                </pt>
                <pt idx="472">
                  <v>1.075697085296121</v>
                </pt>
                <pt idx="473">
                  <v>1.076010113147942</v>
                </pt>
                <pt idx="474">
                  <v>1.077136695736408</v>
                </pt>
                <pt idx="475">
                  <v>1.076958968181611</v>
                </pt>
                <pt idx="476">
                  <v>1.077732224720766</v>
                </pt>
                <pt idx="477">
                  <v>1.077620140569395</v>
                </pt>
                <pt idx="478">
                  <v>1.07781842267526</v>
                </pt>
                <pt idx="479">
                  <v>1.077893869964847</v>
                </pt>
                <pt idx="480">
                  <v>1.077859377361008</v>
                </pt>
                <pt idx="481">
                  <v>1.078092194986518</v>
                </pt>
                <pt idx="482">
                  <v>1.077994088596774</v>
                </pt>
                <pt idx="483">
                  <v>1.077991932608597</v>
                </pt>
                <pt idx="484">
                  <v>1.07668325040241</v>
                </pt>
                <pt idx="485">
                  <v>1.077934356339378</v>
                </pt>
                <pt idx="486">
                  <v>1.081073301185038</v>
                </pt>
                <pt idx="487">
                  <v>1.081738161265267</v>
                </pt>
                <pt idx="488">
                  <v>1.076828151751284</v>
                </pt>
                <pt idx="489">
                  <v>1.075696405363793</v>
                </pt>
                <pt idx="490">
                  <v>1.076080428980508</v>
                </pt>
                <pt idx="491">
                  <v>1.076147145967105</v>
                </pt>
                <pt idx="492">
                  <v>1.075789865114644</v>
                </pt>
                <pt idx="493">
                  <v>1.076987219234516</v>
                </pt>
                <pt idx="494">
                  <v>1.077993125297281</v>
                </pt>
                <pt idx="495">
                  <v>1.074896051048302</v>
                </pt>
                <pt idx="496">
                  <v>1.076567514407683</v>
                </pt>
                <pt idx="497">
                  <v>1.076507226626876</v>
                </pt>
                <pt idx="498">
                  <v>1.076947518082566</v>
                </pt>
                <pt idx="499">
                  <v>1.07830447195535</v>
                </pt>
                <pt idx="500">
                  <v>1.078462982712728</v>
                </pt>
                <pt idx="501">
                  <v>1.077857964979426</v>
                </pt>
                <pt idx="502">
                  <v>1.077755568472753</v>
                </pt>
                <pt idx="503">
                  <v>1.0782017592781</v>
                </pt>
                <pt idx="504">
                  <v>1.078251356559027</v>
                </pt>
                <pt idx="505">
                  <v>1.080401389764006</v>
                </pt>
                <pt idx="506">
                  <v>1.08148071075238</v>
                </pt>
                <pt idx="507">
                  <v>1.082345895320982</v>
                </pt>
                <pt idx="508">
                  <v>1.082358883471726</v>
                </pt>
                <pt idx="509">
                  <v>1.083895833086256</v>
                </pt>
                <pt idx="510">
                  <v>1.0847228456069</v>
                </pt>
                <pt idx="511">
                  <v>1.085256529246939</v>
                </pt>
                <pt idx="512">
                  <v>1.085722104297986</v>
                </pt>
                <pt idx="513">
                  <v>1.086282336903803</v>
                </pt>
                <pt idx="514">
                  <v>1.086966694776053</v>
                </pt>
                <pt idx="515">
                  <v>1.086878650473776</v>
                </pt>
                <pt idx="516">
                  <v>1.087184063374559</v>
                </pt>
                <pt idx="517">
                  <v>1.088636541283228</v>
                </pt>
                <pt idx="518">
                  <v>1.089517248245126</v>
                </pt>
                <pt idx="519">
                  <v>1.089273196381519</v>
                </pt>
                <pt idx="520">
                  <v>1.088513972963641</v>
                </pt>
                <pt idx="521">
                  <v>1.088638063556559</v>
                </pt>
                <pt idx="522">
                  <v>1.088929818557592</v>
                </pt>
                <pt idx="523">
                  <v>1.089546152834895</v>
                </pt>
                <pt idx="524">
                  <v>1.089849046665383</v>
                </pt>
                <pt idx="525">
                  <v>1.089864304552037</v>
                </pt>
                <pt idx="526">
                  <v>1.090067019312683</v>
                </pt>
                <pt idx="527">
                  <v>1.090172755813557</v>
                </pt>
                <pt idx="528">
                  <v>1.091233493904963</v>
                </pt>
                <pt idx="529">
                  <v>1.091188753331713</v>
                </pt>
                <pt idx="530">
                  <v>1.09143317961246</v>
                </pt>
                <pt idx="531">
                  <v>1.091024983603285</v>
                </pt>
                <pt idx="532">
                  <v>1.090995525928727</v>
                </pt>
                <pt idx="533">
                  <v>1.090392205402889</v>
                </pt>
                <pt idx="534">
                  <v>1.09108678523773</v>
                </pt>
                <pt idx="535">
                  <v>1.088703851698771</v>
                </pt>
                <pt idx="536">
                  <v>1.089440904206371</v>
                </pt>
                <pt idx="537">
                  <v>1.089605409782906</v>
                </pt>
                <pt idx="538">
                  <v>1.089414728836194</v>
                </pt>
                <pt idx="539">
                  <v>1.09015879909599</v>
                </pt>
                <pt idx="540">
                  <v>1.08994076733617</v>
                </pt>
                <pt idx="541">
                  <v>1.090344045420085</v>
                </pt>
                <pt idx="542">
                  <v>1.088398871643055</v>
                </pt>
                <pt idx="543">
                  <v>1.090515807448401</v>
                </pt>
                <pt idx="544">
                  <v>1.090331510276942</v>
                </pt>
                <pt idx="545">
                  <v>1.090340232929024</v>
                </pt>
                <pt idx="546">
                  <v>1.090336961908326</v>
                </pt>
                <pt idx="547">
                  <v>1.091940847579293</v>
                </pt>
                <pt idx="548">
                  <v>1.092406014380362</v>
                </pt>
                <pt idx="549">
                  <v>1.092467189117167</v>
                </pt>
                <pt idx="550">
                  <v>1.092400548618631</v>
                </pt>
                <pt idx="551">
                  <v>1.093884028563655</v>
                </pt>
                <pt idx="552">
                  <v>1.095240444759074</v>
                </pt>
                <pt idx="553">
                  <v>1.094757443722935</v>
                </pt>
                <pt idx="554">
                  <v>1.092486916784654</v>
                </pt>
                <pt idx="555">
                  <v>1.094905682818415</v>
                </pt>
                <pt idx="556">
                  <v>1.095076488104935</v>
                </pt>
                <pt idx="557">
                  <v>1.096400435579054</v>
                </pt>
                <pt idx="558">
                  <v>1.091680431703886</v>
                </pt>
                <pt idx="559">
                  <v>1.091128041405444</v>
                </pt>
                <pt idx="560">
                  <v>1.090296601837893</v>
                </pt>
                <pt idx="561">
                  <v>1.091434871490211</v>
                </pt>
                <pt idx="562">
                  <v>1.092920314350309</v>
                </pt>
                <pt idx="563">
                  <v>1.093115947086578</v>
                </pt>
                <pt idx="564">
                  <v>1.093943435858522</v>
                </pt>
                <pt idx="565">
                  <v>1.094529789540143</v>
                </pt>
                <pt idx="566">
                  <v>1.095390089954721</v>
                </pt>
                <pt idx="567">
                  <v>1.095209350589879</v>
                </pt>
                <pt idx="568">
                  <v>1.096688978422526</v>
                </pt>
                <pt idx="569">
                  <v>1.096559569123072</v>
                </pt>
                <pt idx="570">
                  <v>1.096353415924077</v>
                </pt>
                <pt idx="571">
                  <v>1.096407137241457</v>
                </pt>
                <pt idx="572">
                  <v>1.096490464183887</v>
                </pt>
                <pt idx="573">
                  <v>1.096052964488678</v>
                </pt>
                <pt idx="574">
                  <v>1.096786223921921</v>
                </pt>
                <pt idx="575">
                  <v>1.097705330777567</v>
                </pt>
                <pt idx="576">
                  <v>1.098915002052084</v>
                </pt>
                <pt idx="577">
                  <v>1.099800727543738</v>
                </pt>
                <pt idx="578">
                  <v>1.099515879155304</v>
                </pt>
                <pt idx="579">
                  <v>1.098498826967086</v>
                </pt>
                <pt idx="580">
                  <v>1.097023543042469</v>
                </pt>
                <pt idx="581">
                  <v>1.102269509625298</v>
                </pt>
                <pt idx="582">
                  <v>1.101183774158317</v>
                </pt>
                <pt idx="583">
                  <v>1.101500915085275</v>
                </pt>
                <pt idx="584">
                  <v>1.102484555402446</v>
                </pt>
                <pt idx="585">
                  <v>1.10300162065893</v>
                </pt>
                <pt idx="586">
                  <v>1.103174791913373</v>
                </pt>
                <pt idx="587">
                  <v>1.103426315765929</v>
                </pt>
                <pt idx="588">
                  <v>1.103525624134348</v>
                </pt>
                <pt idx="589">
                  <v>1.104533143029183</v>
                </pt>
                <pt idx="590">
                  <v>1.103463954946731</v>
                </pt>
                <pt idx="591">
                  <v>1.10679200223485</v>
                </pt>
                <pt idx="592">
                  <v>1.10669792491466</v>
                </pt>
                <pt idx="593">
                  <v>1.106613815872366</v>
                </pt>
                <pt idx="594">
                  <v>1.106835138635541</v>
                </pt>
                <pt idx="595">
                  <v>1.107535765278297</v>
                </pt>
                <pt idx="596">
                  <v>1.107737336787578</v>
                </pt>
                <pt idx="597">
                  <v>1.108368747069547</v>
                </pt>
                <pt idx="598">
                  <v>1.09877581556366</v>
                </pt>
                <pt idx="599">
                  <v>1.100360250289703</v>
                </pt>
                <pt idx="600">
                  <v>1.099716539543283</v>
                </pt>
                <pt idx="601">
                  <v>1.104508004506073</v>
                </pt>
                <pt idx="602">
                  <v>1.104468242217911</v>
                </pt>
                <pt idx="603">
                  <v>1.104933223347885</v>
                </pt>
                <pt idx="604">
                  <v>1.104230485817835</v>
                </pt>
                <pt idx="605">
                  <v>1.104907379105642</v>
                </pt>
                <pt idx="606">
                  <v>1.105917264450144</v>
                </pt>
                <pt idx="607">
                  <v>1.105864180421451</v>
                </pt>
                <pt idx="608">
                  <v>1.105502562834453</v>
                </pt>
                <pt idx="609">
                  <v>1.105498140824202</v>
                </pt>
                <pt idx="610">
                  <v>1.106642331399954</v>
                </pt>
                <pt idx="611">
                  <v>1.105589914542793</v>
                </pt>
                <pt idx="612">
                  <v>1.106256585261262</v>
                </pt>
                <pt idx="613">
                  <v>1.107254428701168</v>
                </pt>
                <pt idx="614">
                  <v>1.106706337758961</v>
                </pt>
                <pt idx="615">
                  <v>1.108063159729053</v>
                </pt>
                <pt idx="616">
                  <v>1.108168425729227</v>
                </pt>
                <pt idx="617">
                  <v>1.108954117143069</v>
                </pt>
                <pt idx="618">
                  <v>1.10935777644171</v>
                </pt>
                <pt idx="619">
                  <v>1.110259684313956</v>
                </pt>
                <pt idx="620">
                  <v>1.108225688572293</v>
                </pt>
                <pt idx="621">
                  <v>1.107035454182767</v>
                </pt>
                <pt idx="622">
                  <v>1.107903369978846</v>
                </pt>
                <pt idx="623">
                  <v>1.109053373676884</v>
                </pt>
                <pt idx="624">
                  <v>1.110279986708171</v>
                </pt>
                <pt idx="625">
                  <v>1.111284790096142</v>
                </pt>
                <pt idx="626">
                  <v>1.108703275528748</v>
                </pt>
                <pt idx="627">
                  <v>1.108704384232024</v>
                </pt>
                <pt idx="628">
                  <v>1.105300661772431</v>
                </pt>
                <pt idx="629">
                  <v>1.107731217927669</v>
                </pt>
                <pt idx="630">
                  <v>1.108272898493236</v>
                </pt>
                <pt idx="631">
                  <v>1.109353464569266</v>
                </pt>
                <pt idx="632">
                  <v>1.106760905522568</v>
                </pt>
                <pt idx="633">
                  <v>1.108363495313765</v>
                </pt>
                <pt idx="634">
                  <v>1.109447474812181</v>
                </pt>
                <pt idx="635">
                  <v>1.109950054518271</v>
                </pt>
                <pt idx="636">
                  <v>1.109074303925256</v>
                </pt>
                <pt idx="637">
                  <v>1.109754166473563</v>
                </pt>
                <pt idx="638">
                  <v>1.109037265282021</v>
                </pt>
                <pt idx="639">
                  <v>1.109821354628575</v>
                </pt>
                <pt idx="640">
                  <v>1.110158740320382</v>
                </pt>
                <pt idx="641">
                  <v>1.109489314599969</v>
                </pt>
                <pt idx="642">
                  <v>1.110004117641944</v>
                </pt>
                <pt idx="643">
                  <v>1.110587979807823</v>
                </pt>
                <pt idx="644">
                  <v>1.111166596145303</v>
                </pt>
                <pt idx="645">
                  <v>1.110887693329671</v>
                </pt>
                <pt idx="646">
                  <v>1.111213183423816</v>
                </pt>
                <pt idx="647">
                  <v>1.111142065780077</v>
                </pt>
                <pt idx="648">
                  <v>1.111509853803851</v>
                </pt>
                <pt idx="649">
                  <v>1.112329036566104</v>
                </pt>
                <pt idx="650">
                  <v>1.112335710540323</v>
                </pt>
                <pt idx="651">
                  <v>1.112333485868902</v>
                </pt>
                <pt idx="652">
                  <v>1.112319025533586</v>
                </pt>
                <pt idx="653">
                  <v>1.113196645244732</v>
                </pt>
                <pt idx="654">
                  <v>1.11355064177792</v>
                </pt>
                <pt idx="655">
                  <v>1.112422614977799</v>
                </pt>
                <pt idx="656">
                  <v>1.112068864586236</v>
                </pt>
                <pt idx="657">
                  <v>1.10664308059592</v>
                </pt>
                <pt idx="658">
                  <v>1.107111190619012</v>
                </pt>
                <pt idx="659">
                  <v>1.109676367247676</v>
                </pt>
                <pt idx="660">
                  <v>1.111039049826656</v>
                </pt>
                <pt idx="661">
                  <v>1.111699007022253</v>
                </pt>
                <pt idx="662">
                  <v>1.105752529033691</v>
                </pt>
                <pt idx="663">
                  <v>1.106424826571343</v>
                </pt>
                <pt idx="664">
                  <v>1.107530144973088</v>
                </pt>
                <pt idx="665">
                  <v>1.107277628100034</v>
                </pt>
                <pt idx="666">
                  <v>1.107610918666092</v>
                </pt>
                <pt idx="667">
                  <v>1.107517879348924</v>
                </pt>
                <pt idx="668">
                  <v>1.108217830648673</v>
                </pt>
                <pt idx="669">
                  <v>1.107350096087275</v>
                </pt>
                <pt idx="670">
                  <v>1.106918229549801</v>
                </pt>
                <pt idx="671">
                  <v>1.108631738969144</v>
                </pt>
                <pt idx="672">
                  <v>1.109627290270739</v>
                </pt>
                <pt idx="673">
                  <v>1.110661462905271</v>
                </pt>
                <pt idx="674">
                  <v>1.109639654359398</v>
                </pt>
                <pt idx="675">
                  <v>1.111273043930615</v>
                </pt>
                <pt idx="676">
                  <v>1.112134280539661</v>
                </pt>
                <pt idx="677">
                  <v>1.11182288294111</v>
                </pt>
                <pt idx="678">
                  <v>1.110374177724638</v>
                </pt>
                <pt idx="679">
                  <v>1.11059736293436</v>
                </pt>
                <pt idx="680">
                  <v>1.11068065773658</v>
                </pt>
                <pt idx="681">
                  <v>1.111825769494707</v>
                </pt>
                <pt idx="682">
                  <v>1.109593223349561</v>
                </pt>
                <pt idx="683">
                  <v>1.109886155960526</v>
                </pt>
                <pt idx="684">
                  <v>1.109968287536067</v>
                </pt>
                <pt idx="685">
                  <v>1.10998493706038</v>
                </pt>
                <pt idx="686">
                  <v>1.111384628066013</v>
                </pt>
                <pt idx="687">
                  <v>1.112057015765993</v>
                </pt>
                <pt idx="688">
                  <v>1.112528527940678</v>
                </pt>
                <pt idx="689">
                  <v>1.113194932528914</v>
                </pt>
                <pt idx="690">
                  <v>1.112473582212636</v>
                </pt>
                <pt idx="691">
                  <v>1.113125491731812</v>
                </pt>
                <pt idx="692">
                  <v>1.113014179182639</v>
                </pt>
                <pt idx="693">
                  <v>1.11302642233861</v>
                </pt>
                <pt idx="694">
                  <v>1.112471022153863</v>
                </pt>
                <pt idx="695">
                  <v>1.112746914967357</v>
                </pt>
                <pt idx="696">
                  <v>1.111545148299193</v>
                </pt>
                <pt idx="697">
                  <v>1.111880834933979</v>
                </pt>
                <pt idx="698">
                  <v>1.111854149793941</v>
                </pt>
                <pt idx="699">
                  <v>1.111923084751228</v>
                </pt>
                <pt idx="700">
                  <v>1.11224887821506</v>
                </pt>
                <pt idx="701">
                  <v>1.112737155472597</v>
                </pt>
                <pt idx="702">
                  <v>1.113411474188813</v>
                </pt>
                <pt idx="703">
                  <v>1.113327968328249</v>
                </pt>
                <pt idx="704">
                  <v>1.1134738142921</v>
                </pt>
                <pt idx="705">
                  <v>1.11390695560586</v>
                </pt>
                <pt idx="706">
                  <v>1.113795564910299</v>
                </pt>
                <pt idx="707">
                  <v>1.113430239965009</v>
                </pt>
                <pt idx="708">
                  <v>1.11339126990661</v>
                </pt>
                <pt idx="709">
                  <v>1.113731967635201</v>
                </pt>
                <pt idx="710">
                  <v>1.113975874936113</v>
                </pt>
                <pt idx="711">
                  <v>1.114560712270455</v>
                </pt>
                <pt idx="712">
                  <v>1.114240833346033</v>
                </pt>
                <pt idx="713">
                  <v>1.114937233866875</v>
                </pt>
                <pt idx="714">
                  <v>1.114959532611552</v>
                </pt>
                <pt idx="715">
                  <v>1.114777794207736</v>
                </pt>
                <pt idx="716">
                  <v>1.115463382551174</v>
                </pt>
                <pt idx="717">
                  <v>1.116708239686101</v>
                </pt>
                <pt idx="718">
                  <v>1.117195124478604</v>
                </pt>
                <pt idx="719">
                  <v>1.116753832404435</v>
                </pt>
                <pt idx="720">
                  <v>1.117464087841845</v>
                </pt>
                <pt idx="721">
                  <v>1.116505303654476</v>
                </pt>
                <pt idx="722">
                  <v>1.116487439569618</v>
                </pt>
                <pt idx="723">
                  <v>1.117455434179725</v>
                </pt>
                <pt idx="724">
                  <v>1.11821083405323</v>
                </pt>
                <pt idx="725">
                  <v>1.116824252619004</v>
                </pt>
                <pt idx="726">
                  <v>1.11694598646254</v>
                </pt>
                <pt idx="727">
                  <v>1.118683954417475</v>
                </pt>
                <pt idx="728">
                  <v>1.119960372809466</v>
                </pt>
                <pt idx="729">
                  <v>1.118643299411042</v>
                </pt>
                <pt idx="730">
                  <v>1.119306654887593</v>
                </pt>
                <pt idx="731">
                  <v>1.119800269122398</v>
                </pt>
                <pt idx="732">
                  <v>1.120138448803673</v>
                </pt>
                <pt idx="733">
                  <v>1.119042953400743</v>
                </pt>
                <pt idx="734">
                  <v>1.119117929278621</v>
                </pt>
                <pt idx="735">
                  <v>1.118997064542258</v>
                </pt>
                <pt idx="736">
                  <v>1.120570374415005</v>
                </pt>
                <pt idx="737">
                  <v>1.121395114210574</v>
                </pt>
                <pt idx="738">
                  <v>1.124496893096481</v>
                </pt>
                <pt idx="739">
                  <v>1.124919703928285</v>
                </pt>
                <pt idx="740">
                  <v>1.124833085111083</v>
                </pt>
                <pt idx="741">
                  <v>1.12510979405002</v>
                </pt>
                <pt idx="742">
                  <v>1.124003811122469</v>
                </pt>
                <pt idx="743">
                  <v>1.124042027252047</v>
                </pt>
                <pt idx="744">
                  <v>1.126049566312719</v>
                </pt>
                <pt idx="745">
                  <v>1.124432559135494</v>
                </pt>
                <pt idx="746">
                  <v>1.123393583450853</v>
                </pt>
                <pt idx="747">
                  <v>1.123184632244331</v>
                </pt>
                <pt idx="748">
                  <v>1.124497635079425</v>
                </pt>
                <pt idx="749">
                  <v>1.125195948110809</v>
                </pt>
                <pt idx="750">
                  <v>1.125826057841751</v>
                </pt>
                <pt idx="751">
                  <v>1.127165790850583</v>
                </pt>
                <pt idx="752">
                  <v>1.126442150412857</v>
                </pt>
                <pt idx="753">
                  <v>1.126914129673879</v>
                </pt>
                <pt idx="754">
                  <v>1.127931733132975</v>
                </pt>
                <pt idx="755">
                  <v>1.12763847088236</v>
                </pt>
                <pt idx="756">
                  <v>1.127593365343525</v>
                </pt>
                <pt idx="757">
                  <v>1.126171470109827</v>
                </pt>
                <pt idx="758">
                  <v>1.124233329009768</v>
                </pt>
                <pt idx="759">
                  <v>1.125163069972859</v>
                </pt>
                <pt idx="760">
                  <v>1.123972647444828</v>
                </pt>
                <pt idx="761">
                  <v>1.1244244844491</v>
                </pt>
                <pt idx="762">
                  <v>1.123185368667238</v>
                </pt>
                <pt idx="763">
                  <v>1.121736459541657</v>
                </pt>
                <pt idx="764">
                  <v>1.120899644142839</v>
                </pt>
                <pt idx="765">
                  <v>1.120135190585533</v>
                </pt>
                <pt idx="766">
                  <v>1.120672855477014</v>
                </pt>
                <pt idx="767">
                  <v>1.119844678236817</v>
                </pt>
                <pt idx="768">
                  <v>1.12089061316629</v>
                </pt>
                <pt idx="769">
                  <v>1.120392937734044</v>
                </pt>
                <pt idx="770">
                  <v>1.120847817266764</v>
                </pt>
                <pt idx="771">
                  <v>1.120723403159047</v>
                </pt>
                <pt idx="772">
                  <v>1.121524720392306</v>
                </pt>
                <pt idx="773">
                  <v>1.120626379091272</v>
                </pt>
                <pt idx="774">
                  <v>1.120407856947349</v>
                </pt>
                <pt idx="775">
                  <v>1.120738377265148</v>
                </pt>
                <pt idx="776">
                  <v>1.120752946864053</v>
                </pt>
                <pt idx="777">
                  <v>1.120724928040381</v>
                </pt>
                <pt idx="778">
                  <v>1.096260623586188</v>
                </pt>
                <pt idx="779">
                  <v>1.097124476957574</v>
                </pt>
                <pt idx="780">
                  <v>1.110429305489638</v>
                </pt>
                <pt idx="781">
                  <v>1.096390147780333</v>
                </pt>
                <pt idx="782">
                  <v>1.100463237179336</v>
                </pt>
                <pt idx="783">
                  <v>1.10371180465549</v>
                </pt>
                <pt idx="784">
                  <v>1.104211786102999</v>
                </pt>
                <pt idx="785">
                  <v>1.106383770686264</v>
                </pt>
                <pt idx="786">
                  <v>1.105245301786227</v>
                </pt>
                <pt idx="787">
                  <v>1.106183655047444</v>
                </pt>
                <pt idx="788">
                  <v>1.10772125032796</v>
                </pt>
                <pt idx="789">
                  <v>1.108029196835551</v>
                </pt>
                <pt idx="790">
                  <v>1.109459662528666</v>
                </pt>
                <pt idx="791">
                  <v>1.109105744896319</v>
                </pt>
                <pt idx="792">
                  <v>1.10636958102366</v>
                </pt>
                <pt idx="793">
                  <v>1.103437701633947</v>
                </pt>
                <pt idx="794">
                  <v>1.103062532815391</v>
                </pt>
                <pt idx="795">
                  <v>1.099938659722458</v>
                </pt>
                <pt idx="796">
                  <v>1.10104299813682</v>
                </pt>
                <pt idx="797">
                  <v>1.102156152607936</v>
                </pt>
                <pt idx="798">
                  <v>1.102458143393751</v>
                </pt>
                <pt idx="799">
                  <v>1.103614621986171</v>
                </pt>
                <pt idx="800">
                  <v>1.104979793273568</v>
                </pt>
                <pt idx="801">
                  <v>1.102196349174311</v>
                </pt>
                <pt idx="802">
                  <v>1.102178714032725</v>
                </pt>
                <pt idx="803">
                  <v>1.102410171562672</v>
                </pt>
                <pt idx="804">
                  <v>1.103628334802248</v>
                </pt>
                <pt idx="805">
                  <v>1.106003342978743</v>
                </pt>
                <pt idx="806">
                  <v>1.106402610185558</v>
                </pt>
                <pt idx="807">
                  <v>1.100444632129709</v>
                </pt>
                <pt idx="808">
                  <v>1.101687034119383</v>
                </pt>
                <pt idx="809">
                  <v>1.103358293350142</v>
                </pt>
                <pt idx="810">
                  <v>1.093061753756599</v>
                </pt>
                <pt idx="811">
                  <v>1.089571607576854</v>
                </pt>
                <pt idx="812">
                  <v>1.088809997023158</v>
                </pt>
                <pt idx="813">
                  <v>1.086072728690642</v>
                </pt>
                <pt idx="814">
                  <v>1.085548155562684</v>
                </pt>
                <pt idx="815">
                  <v>1.086410080798201</v>
                </pt>
                <pt idx="816">
                  <v>1.083776622762346</v>
                </pt>
                <pt idx="817">
                  <v>1.083763617442873</v>
                </pt>
                <pt idx="818">
                  <v>1.083789627769691</v>
                </pt>
                <pt idx="819">
                  <v>1.083992296430084</v>
                </pt>
                <pt idx="820">
                  <v>1.07892571643657</v>
                </pt>
                <pt idx="821">
                  <v>1.077891026674507</v>
                </pt>
                <pt idx="822">
                  <v>1.076749540077259</v>
                </pt>
                <pt idx="823">
                  <v>1.079361734461486</v>
                </pt>
                <pt idx="824">
                  <v>1.080919253444314</v>
                </pt>
                <pt idx="825">
                  <v>1.083220530534897</v>
                </pt>
                <pt idx="826">
                  <v>1.086261130564109</v>
                </pt>
                <pt idx="827">
                  <v>1.085607201363509</v>
                </pt>
                <pt idx="828">
                  <v>1.085679937046001</v>
                </pt>
                <pt idx="829">
                  <v>1.085838446316809</v>
                </pt>
                <pt idx="830">
                  <v>1.084398624536993</v>
                </pt>
                <pt idx="831">
                  <v>1.08667803044577</v>
                </pt>
                <pt idx="832">
                  <v>1.081289194092789</v>
                </pt>
                <pt idx="833">
                  <v>1.081833082557418</v>
                </pt>
                <pt idx="834">
                  <v>1.082595774880621</v>
                </pt>
                <pt idx="835">
                  <v>1.085787267224969</v>
                </pt>
                <pt idx="836">
                  <v>1.087423548636677</v>
                </pt>
                <pt idx="837">
                  <v>1.088543594891773</v>
                </pt>
                <pt idx="838">
                  <v>1.089530903932339</v>
                </pt>
                <pt idx="839">
                  <v>1.089722661371431</v>
                </pt>
                <pt idx="840">
                  <v>1.091445512899059</v>
                </pt>
                <pt idx="841">
                  <v>1.092906958440831</v>
                </pt>
                <pt idx="842">
                  <v>1.093578003313314</v>
                </pt>
                <pt idx="843">
                  <v>1.094088704240861</v>
                </pt>
                <pt idx="844">
                  <v>1.093214527366173</v>
                </pt>
                <pt idx="845">
                  <v>1.093639787817318</v>
                </pt>
                <pt idx="846">
                  <v>1.094714835728742</v>
                </pt>
                <pt idx="847">
                  <v>1.092947965983876</v>
                </pt>
                <pt idx="848">
                  <v>1.093728330831589</v>
                </pt>
                <pt idx="849">
                  <v>1.094694092947713</v>
                </pt>
                <pt idx="850">
                  <v>1.09565085558495</v>
                </pt>
                <pt idx="851">
                  <v>1.09633563736969</v>
                </pt>
                <pt idx="852">
                  <v>1.09736948187573</v>
                </pt>
                <pt idx="853">
                  <v>1.097958769287497</v>
                </pt>
                <pt idx="854">
                  <v>1.098608760878915</v>
                </pt>
                <pt idx="855">
                  <v>1.098518674960523</v>
                </pt>
                <pt idx="856">
                  <v>1.096021742012338</v>
                </pt>
                <pt idx="857">
                  <v>1.094720764204569</v>
                </pt>
                <pt idx="858">
                  <v>1.095791401111961</v>
                </pt>
                <pt idx="859">
                  <v>1.094975036518133</v>
                </pt>
                <pt idx="860">
                  <v>1.09507029934631</v>
                </pt>
                <pt idx="861">
                  <v>1.095071394416609</v>
                </pt>
                <pt idx="862">
                  <v>1.094547950290078</v>
                </pt>
                <pt idx="863">
                  <v>1.093957988944872</v>
                </pt>
                <pt idx="864">
                  <v>1.09394923728096</v>
                </pt>
                <pt idx="865">
                  <v>1.094290549442992</v>
                </pt>
                <pt idx="866">
                  <v>1.095432988776611</v>
                </pt>
                <pt idx="867">
                  <v>1.095525005147668</v>
                </pt>
                <pt idx="868">
                  <v>1.096871405378994</v>
                </pt>
                <pt idx="869">
                  <v>1.094858646350124</v>
                </pt>
                <pt idx="870">
                  <v>1.095934892399486</v>
                </pt>
                <pt idx="871">
                  <v>1.095326648534204</v>
                </pt>
                <pt idx="872">
                  <v>1.096457025635491</v>
                </pt>
                <pt idx="873">
                  <v>1.093371595565353</v>
                </pt>
                <pt idx="874">
                  <v>1.095430414279803</v>
                </pt>
                <pt idx="875">
                  <v>1.089744034999276</v>
                </pt>
                <pt idx="876">
                  <v>1.09202486926453</v>
                </pt>
                <pt idx="877">
                  <v>1.090054856400376</v>
                </pt>
                <pt idx="878">
                  <v>1.09198861371563</v>
                </pt>
                <pt idx="879">
                  <v>1.093556709364926</v>
                </pt>
                <pt idx="880">
                  <v>1.095039572262825</v>
                </pt>
                <pt idx="881">
                  <v>1.095381224609371</v>
                </pt>
                <pt idx="882">
                  <v>1.096485368883777</v>
                </pt>
                <pt idx="883">
                  <v>1.096793481272433</v>
                </pt>
                <pt idx="884">
                  <v>1.097103873827634</v>
                </pt>
                <pt idx="885">
                  <v>1.0963633287128</v>
                </pt>
                <pt idx="886">
                  <v>1.096208741483451</v>
                </pt>
                <pt idx="887">
                  <v>1.095888648530938</v>
                </pt>
                <pt idx="888">
                  <v>1.096539606388166</v>
                </pt>
                <pt idx="889">
                  <v>1.09761311866282</v>
                </pt>
                <pt idx="890">
                  <v>1.097581287882379</v>
                </pt>
                <pt idx="891">
                  <v>1.098009344584653</v>
                </pt>
                <pt idx="892">
                  <v>1.097806212855905</v>
                </pt>
                <pt idx="893">
                  <v>1.098517591281835</v>
                </pt>
                <pt idx="894">
                  <v>1.099534818571362</v>
                </pt>
                <pt idx="895">
                  <v>1.099191763707968</v>
                </pt>
                <pt idx="896">
                  <v>1.098771872454231</v>
                </pt>
                <pt idx="897">
                  <v>1.098918009113268</v>
                </pt>
                <pt idx="898">
                  <v>1.099147682977172</v>
                </pt>
                <pt idx="899">
                  <v>1.100411702812596</v>
                </pt>
                <pt idx="900">
                  <v>1.100686805738299</v>
                </pt>
                <pt idx="901">
                  <v>1.100982890489043</v>
                </pt>
                <pt idx="902">
                  <v>1.101025828821772</v>
                </pt>
                <pt idx="903">
                  <v>1.101042344209204</v>
                </pt>
                <pt idx="904">
                  <v>1.10147285176579</v>
                </pt>
                <pt idx="905">
                  <v>1.101280094016731</v>
                </pt>
                <pt idx="906">
                  <v>1.102085129765457</v>
                </pt>
                <pt idx="907">
                  <v>1.102331996834525</v>
                </pt>
                <pt idx="908">
                  <v>1.099310504831201</v>
                </pt>
                <pt idx="909">
                  <v>1.099634801430126</v>
                </pt>
                <pt idx="910">
                  <v>1.10039904761712</v>
                </pt>
                <pt idx="911">
                  <v>1.097950659736172</v>
                </pt>
                <pt idx="912">
                  <v>1.098187817078675</v>
                </pt>
                <pt idx="913">
                  <v>1.099156418733339</v>
                </pt>
                <pt idx="914">
                  <v>1.100252277682816</v>
                </pt>
                <pt idx="915">
                  <v>1.100384307956138</v>
                </pt>
                <pt idx="916">
                  <v>1.101510001103177</v>
                </pt>
                <pt idx="917">
                  <v>1.101691750253359</v>
                </pt>
                <pt idx="918">
                  <v>1.101203700807997</v>
                </pt>
                <pt idx="919">
                  <v>1.100382202847194</v>
                </pt>
                <pt idx="920">
                  <v>1.100671603366543</v>
                </pt>
                <pt idx="921">
                  <v>1.100219227337559</v>
                </pt>
                <pt idx="922">
                  <v>1.1006153062594</v>
                </pt>
                <pt idx="923">
                  <v>1.101170016373755</v>
                </pt>
                <pt idx="924">
                  <v>1.101698577981615</v>
                </pt>
                <pt idx="925">
                  <v>1.102338664855422</v>
                </pt>
                <pt idx="926">
                  <v>1.102258194132888</v>
                </pt>
                <pt idx="927">
                  <v>1.102854515815913</v>
                </pt>
                <pt idx="928">
                  <v>1.104751425583117</v>
                </pt>
                <pt idx="929">
                  <v>1.105547951360962</v>
                </pt>
                <pt idx="930">
                  <v>1.106840336916103</v>
                </pt>
                <pt idx="931">
                  <v>1.106799383823637</v>
                </pt>
                <pt idx="932">
                  <v>1.107979231966793</v>
                </pt>
                <pt idx="933">
                  <v>1.106693976057712</v>
                </pt>
                <pt idx="934">
                  <v>1.105674710905763</v>
                </pt>
                <pt idx="935">
                  <v>1.107007048932404</v>
                </pt>
                <pt idx="936">
                  <v>1.104952443849585</v>
                </pt>
                <pt idx="937">
                  <v>1.102593370381966</v>
                </pt>
                <pt idx="938">
                  <v>1.103270362711381</v>
                </pt>
                <pt idx="939">
                  <v>1.104245653712018</v>
                </pt>
                <pt idx="940">
                  <v>1.105027459634845</v>
                </pt>
                <pt idx="941">
                  <v>1.106297136185966</v>
                </pt>
                <pt idx="942">
                  <v>1.108083806060906</v>
                </pt>
                <pt idx="943">
                  <v>1.109689419495888</v>
                </pt>
                <pt idx="944">
                  <v>1.110634874881299</v>
                </pt>
                <pt idx="945">
                  <v>1.111303477075978</v>
                </pt>
                <pt idx="946">
                  <v>1.108124037828063</v>
                </pt>
                <pt idx="947">
                  <v>1.107279647311238</v>
                </pt>
                <pt idx="948">
                  <v>1.108845340732536</v>
                </pt>
                <pt idx="949">
                  <v>1.108752197723915</v>
                </pt>
                <pt idx="950">
                  <v>1.09758484558844</v>
                </pt>
                <pt idx="951">
                  <v>1.095429188951704</v>
                </pt>
                <pt idx="952">
                  <v>1.096738226832502</v>
                </pt>
                <pt idx="953">
                  <v>1.097065054824098</v>
                </pt>
                <pt idx="954">
                  <v>1.097106743296181</v>
                </pt>
                <pt idx="955">
                  <v>1.097038722678097</v>
                </pt>
                <pt idx="956">
                  <v>1.096219234752256</v>
                </pt>
                <pt idx="957">
                  <v>1.096359550814304</v>
                </pt>
                <pt idx="958">
                  <v>1.096261974814282</v>
                </pt>
                <pt idx="959">
                  <v>1.096130423377304</v>
                </pt>
                <pt idx="960">
                  <v>1.095767604207166</v>
                </pt>
                <pt idx="961">
                  <v>1.095731443876227</v>
                </pt>
                <pt idx="962">
                  <v>1.095515584781784</v>
                </pt>
                <pt idx="963">
                  <v>1.095327156101201</v>
                </pt>
                <pt idx="964">
                  <v>1.095416972928001</v>
                </pt>
                <pt idx="965">
                  <v>1.095383015001841</v>
                </pt>
                <pt idx="966">
                  <v>1.095318387403956</v>
                </pt>
                <pt idx="967">
                  <v>1.095494733664328</v>
                </pt>
                <pt idx="968">
                  <v>1.096233097114818</v>
                </pt>
                <pt idx="969">
                  <v>1.096343816657626</v>
                </pt>
                <pt idx="970">
                  <v>1.095238702090435</v>
                </pt>
                <pt idx="971">
                  <v>1.096183893090339</v>
                </pt>
                <pt idx="972">
                  <v>1.096866815655734</v>
                </pt>
                <pt idx="973">
                  <v>1.093191214956472</v>
                </pt>
                <pt idx="974">
                  <v>1.094531467386008</v>
                </pt>
                <pt idx="975">
                  <v>1.094244700141553</v>
                </pt>
                <pt idx="976">
                  <v>1.094906718185139</v>
                </pt>
                <pt idx="977">
                  <v>1.098095086548494</v>
                </pt>
                <pt idx="978">
                  <v>1.093223936744565</v>
                </pt>
                <pt idx="979">
                  <v>1.091312981303136</v>
                </pt>
                <pt idx="980">
                  <v>1.094034715878506</v>
                </pt>
                <pt idx="981">
                  <v>1.093525989735622</v>
                </pt>
                <pt idx="982">
                  <v>1.094529846594199</v>
                </pt>
                <pt idx="983">
                  <v>1.094349249169511</v>
                </pt>
                <pt idx="984">
                  <v>1.08548283155274</v>
                </pt>
                <pt idx="985">
                  <v>1.086025572968516</v>
                </pt>
                <pt idx="986">
                  <v>1.085449979414843</v>
                </pt>
                <pt idx="987">
                  <v>1.089486767888287</v>
                </pt>
                <pt idx="988">
                  <v>1.078158284475784</v>
                </pt>
                <pt idx="989">
                  <v>1.078070953654742</v>
                </pt>
                <pt idx="990">
                  <v>1.079085418422131</v>
                </pt>
                <pt idx="991">
                  <v>1.077806702201301</v>
                </pt>
                <pt idx="992">
                  <v>1.078206568487817</v>
                </pt>
                <pt idx="993">
                  <v>1.079133826136717</v>
                </pt>
                <pt idx="994">
                  <v>1.07982555091927</v>
                </pt>
                <pt idx="995">
                  <v>1.079798555280497</v>
                </pt>
                <pt idx="996">
                  <v>1.077727501651469</v>
                </pt>
                <pt idx="997">
                  <v>1.076265025431728</v>
                </pt>
                <pt idx="998">
                  <v>1.076381262054475</v>
                </pt>
                <pt idx="999">
                  <v>1.075361928999309</v>
                </pt>
                <pt idx="1000">
                  <v>1.074851132083035</v>
                </pt>
                <pt idx="1001">
                  <v>1.079725581967031</v>
                </pt>
                <pt idx="1002">
                  <v>1.079486962613416</v>
                </pt>
                <pt idx="1003">
                  <v>1.079361742125753</v>
                </pt>
                <pt idx="1004">
                  <v>1.079369297657948</v>
                </pt>
                <pt idx="1005">
                  <v>1.079274313159754</v>
                </pt>
                <pt idx="1006">
                  <v>1.07907140958888</v>
                </pt>
                <pt idx="1007">
                  <v>1.078742292808956</v>
                </pt>
                <pt idx="1008">
                  <v>1.078917049060391</v>
                </pt>
                <pt idx="1009">
                  <v>1.076267228787898</v>
                </pt>
                <pt idx="1010">
                  <v>1.077315513068738</v>
                </pt>
                <pt idx="1011">
                  <v>1.077717351755113</v>
                </pt>
                <pt idx="1012">
                  <v>1.078902840842043</v>
                </pt>
                <pt idx="1013">
                  <v>1.079329007464176</v>
                </pt>
                <pt idx="1014">
                  <v>1.081596677708858</v>
                </pt>
                <pt idx="1015">
                  <v>1.083661445766604</v>
                </pt>
                <pt idx="1016">
                  <v>1.082429322702767</v>
                </pt>
                <pt idx="1017">
                  <v>1.082447724001253</v>
                </pt>
                <pt idx="1018">
                  <v>1.08272266572315</v>
                </pt>
                <pt idx="1019">
                  <v>1.082513700248665</v>
                </pt>
                <pt idx="1020">
                  <v>1.081895584925823</v>
                </pt>
                <pt idx="1021">
                  <v>1.08303265718558</v>
                </pt>
                <pt idx="1022">
                  <v>1.084352873994689</v>
                </pt>
                <pt idx="1023">
                  <v>1.084835411023617</v>
                </pt>
                <pt idx="1024">
                  <v>1.08496559127294</v>
                </pt>
                <pt idx="1025">
                  <v>1.085229237911619</v>
                </pt>
                <pt idx="1026">
                  <v>1.085186913971341</v>
                </pt>
                <pt idx="1027">
                  <v>1.085394184671909</v>
                </pt>
                <pt idx="1028">
                  <v>1.085479930812498</v>
                </pt>
                <pt idx="1029">
                  <v>1.085502725891045</v>
                </pt>
                <pt idx="1030">
                  <v>1.084675572813916</v>
                </pt>
                <pt idx="1031">
                  <v>1.085615986535546</v>
                </pt>
                <pt idx="1032">
                  <v>1.084820230017415</v>
                </pt>
                <pt idx="1033">
                  <v>1.086498446913252</v>
                </pt>
                <pt idx="1034">
                  <v>1.087155778473635</v>
                </pt>
                <pt idx="1035">
                  <v>1.085538090675266</v>
                </pt>
                <pt idx="1036">
                  <v>1.085057197301097</v>
                </pt>
                <pt idx="1037">
                  <v>1.084813059431704</v>
                </pt>
                <pt idx="1038">
                  <v>1.085557241190474</v>
                </pt>
                <pt idx="1039">
                  <v>1.086659081790282</v>
                </pt>
                <pt idx="1040">
                  <v>1.087722921031355</v>
                </pt>
                <pt idx="1041">
                  <v>1.087992676315771</v>
                </pt>
                <pt idx="1042">
                  <v>1.08851273681505</v>
                </pt>
                <pt idx="1043">
                  <v>1.088689075878414</v>
                </pt>
                <pt idx="1044">
                  <v>1.089057052786061</v>
                </pt>
                <pt idx="1045">
                  <v>1.090086211700943</v>
                </pt>
                <pt idx="1046">
                  <v>1.091218811274901</v>
                </pt>
                <pt idx="1047">
                  <v>1.091536355948982</v>
                </pt>
                <pt idx="1048">
                  <v>1.091668431848052</v>
                </pt>
                <pt idx="1049">
                  <v>1.091870390507944</v>
                </pt>
                <pt idx="1050">
                  <v>1.091916249064345</v>
                </pt>
                <pt idx="1051">
                  <v>1.090598306151724</v>
                </pt>
                <pt idx="1052">
                  <v>1.092044439505681</v>
                </pt>
                <pt idx="1053">
                  <v>1.091619634218714</v>
                </pt>
                <pt idx="1054">
                  <v>1.092233124453144</v>
                </pt>
                <pt idx="1055">
                  <v>1.091135430163069</v>
                </pt>
                <pt idx="1056">
                  <v>1.092522263294806</v>
                </pt>
                <pt idx="1057">
                  <v>1.090355791646693</v>
                </pt>
                <pt idx="1058">
                  <v>1.090111551949364</v>
                </pt>
                <pt idx="1059">
                  <v>1.089652614985993</v>
                </pt>
                <pt idx="1060">
                  <v>1.090831619115408</v>
                </pt>
                <pt idx="1061">
                  <v>1.088829943094331</v>
                </pt>
                <pt idx="1062">
                  <v>1.083391237528575</v>
                </pt>
                <pt idx="1063">
                  <v>1.087058516867609</v>
                </pt>
                <pt idx="1064">
                  <v>1.089639193786653</v>
                </pt>
                <pt idx="1065">
                  <v>1.091005601335661</v>
                </pt>
                <pt idx="1066">
                  <v>1.092332264146886</v>
                </pt>
                <pt idx="1067">
                  <v>1.093048834112166</v>
                </pt>
                <pt idx="1068">
                  <v>1.092405028348874</v>
                </pt>
                <pt idx="1069">
                  <v>1.092521915686907</v>
                </pt>
                <pt idx="1070">
                  <v>1.092547043690968</v>
                </pt>
                <pt idx="1071">
                  <v>1.092610411419502</v>
                </pt>
                <pt idx="1072">
                  <v>1.093580649464843</v>
                </pt>
                <pt idx="1073">
                  <v>1.094372401855055</v>
                </pt>
                <pt idx="1074">
                  <v>1.093636983601009</v>
                </pt>
                <pt idx="1075">
                  <v>1.095049962583821</v>
                </pt>
                <pt idx="1076">
                  <v>1.09604974319966</v>
                </pt>
                <pt idx="1077">
                  <v>1.096179077069358</v>
                </pt>
                <pt idx="1078">
                  <v>1.09729279501166</v>
                </pt>
                <pt idx="1079">
                  <v>1.097774506548671</v>
                </pt>
                <pt idx="1080">
                  <v>1.098300340537307</v>
                </pt>
                <pt idx="1081">
                  <v>1.099378871471715</v>
                </pt>
                <pt idx="1082">
                  <v>1.101081809343625</v>
                </pt>
                <pt idx="1083">
                  <v>1.09922758757669</v>
                </pt>
                <pt idx="1084">
                  <v>1.099269358225018</v>
                </pt>
                <pt idx="1085">
                  <v>1.100204836448867</v>
                </pt>
                <pt idx="1086">
                  <v>1.100627315106064</v>
                </pt>
                <pt idx="1087">
                  <v>1.101303100277539</v>
                </pt>
                <pt idx="1088">
                  <v>1.102028859020622</v>
                </pt>
                <pt idx="1089">
                  <v>1.102442119842754</v>
                </pt>
                <pt idx="1090">
                  <v>1.104079246390721</v>
                </pt>
                <pt idx="1091">
                  <v>1.102465082532498</v>
                </pt>
                <pt idx="1092">
                  <v>1.102602890667814</v>
                </pt>
                <pt idx="1093">
                  <v>1.091097229503695</v>
                </pt>
                <pt idx="1094">
                  <v>1.09407701603747</v>
                </pt>
                <pt idx="1095">
                  <v>1.094563880309607</v>
                </pt>
                <pt idx="1096">
                  <v>1.099536484017853</v>
                </pt>
                <pt idx="1097">
                  <v>1.093138281217353</v>
                </pt>
                <pt idx="1098">
                  <v>1.094574664918873</v>
                </pt>
                <pt idx="1099">
                  <v>1.095609037977221</v>
                </pt>
                <pt idx="1100">
                  <v>1.095905948026513</v>
                </pt>
                <pt idx="1101">
                  <v>1.09609115613173</v>
                </pt>
                <pt idx="1102">
                  <v>1.095983739198429</v>
                </pt>
                <pt idx="1103">
                  <v>1.097017251864493</v>
                </pt>
                <pt idx="1104">
                  <v>1.097888283562473</v>
                </pt>
                <pt idx="1105">
                  <v>1.095872560673853</v>
                </pt>
                <pt idx="1106">
                  <v>1.096187076098766</v>
                </pt>
                <pt idx="1107">
                  <v>1.095757370764935</v>
                </pt>
                <pt idx="1108">
                  <v>1.095598485946174</v>
                </pt>
                <pt idx="1109">
                  <v>1.095487830499094</v>
                </pt>
                <pt idx="1110">
                  <v>1.095403477936145</v>
                </pt>
                <pt idx="1111">
                  <v>1.095278601939661</v>
                </pt>
                <pt idx="1112">
                  <v>1.095196456044515</v>
                </pt>
                <pt idx="1113">
                  <v>1.095157028972098</v>
                </pt>
                <pt idx="1114">
                  <v>1.094777009483044</v>
                </pt>
                <pt idx="1115">
                  <v>1.092395869487419</v>
                </pt>
                <pt idx="1116">
                  <v>1.093308020038441</v>
                </pt>
                <pt idx="1117">
                  <v>1.093536521414629</v>
                </pt>
                <pt idx="1118">
                  <v>1.094994205597674</v>
                </pt>
                <pt idx="1119">
                  <v>1.094938360893189</v>
                </pt>
                <pt idx="1120">
                  <v>1.096416527680395</v>
                </pt>
                <pt idx="1121">
                  <v>1.097761830759858</v>
                </pt>
                <pt idx="1122">
                  <v>1.096567465887992</v>
                </pt>
                <pt idx="1123">
                  <v>1.097526962420644</v>
                </pt>
                <pt idx="1124">
                  <v>1.097197704331918</v>
                </pt>
                <pt idx="1125">
                  <v>1.092995437124326</v>
                </pt>
                <pt idx="1126">
                  <v>1.094357309438983</v>
                </pt>
                <pt idx="1127">
                  <v>1.094385762729029</v>
                </pt>
                <pt idx="1128">
                  <v>1.095690270558202</v>
                </pt>
                <pt idx="1129">
                  <v>1.096106632861014</v>
                </pt>
                <pt idx="1130">
                  <v>1.096257895576349</v>
                </pt>
                <pt idx="1131">
                  <v>1.097293859287668</v>
                </pt>
                <pt idx="1132">
                  <v>1.097431021020079</v>
                </pt>
                <pt idx="1133">
                  <v>1.097502354036445</v>
                </pt>
                <pt idx="1134">
                  <v>1.097573691689458</v>
                </pt>
                <pt idx="1135">
                  <v>1.098131259124836</v>
                </pt>
                <pt idx="1136">
                  <v>1.097734833740292</v>
                </pt>
                <pt idx="1137">
                  <v>1.099085047585793</v>
                </pt>
                <pt idx="1138">
                  <v>1.099747795869487</v>
                </pt>
                <pt idx="1139">
                  <v>1.099762092590833</v>
                </pt>
                <pt idx="1140">
                  <v>1.100638602978628</v>
                </pt>
                <pt idx="1141">
                  <v>1.101368326372403</v>
                </pt>
                <pt idx="1142">
                  <v>1.101036814506164</v>
                </pt>
                <pt idx="1143">
                  <v>1.101184353439308</v>
                </pt>
                <pt idx="1144">
                  <v>1.10157857743784</v>
                </pt>
                <pt idx="1145">
                  <v>1.10388748613615</v>
                </pt>
                <pt idx="1146">
                  <v>1.103626968689422</v>
                </pt>
                <pt idx="1147">
                  <v>1.103758300298695</v>
                </pt>
                <pt idx="1148">
                  <v>1.1041435119455</v>
                </pt>
                <pt idx="1149">
                  <v>1.103484338268868</v>
                </pt>
                <pt idx="1150">
                  <v>1.104828382192879</v>
                </pt>
                <pt idx="1151">
                  <v>1.103658368936137</v>
                </pt>
                <pt idx="1152">
                  <v>1.10483817973253</v>
                </pt>
                <pt idx="1153">
                  <v>1.10260751144765</v>
                </pt>
                <pt idx="1154">
                  <v>1.10186876441498</v>
                </pt>
                <pt idx="1155">
                  <v>1.100873776920713</v>
                </pt>
                <pt idx="1156">
                  <v>1.105784774839557</v>
                </pt>
                <pt idx="1157">
                  <v>1.107321815676584</v>
                </pt>
                <pt idx="1158">
                  <v>1.106671817770781</v>
                </pt>
                <pt idx="1159">
                  <v>1.106581070681724</v>
                </pt>
                <pt idx="1160">
                  <v>1.104023761827379</v>
                </pt>
                <pt idx="1161">
                  <v>1.104795474436896</v>
                </pt>
                <pt idx="1162">
                  <v>1.095691959727536</v>
                </pt>
                <pt idx="1163">
                  <v>1.098480495765043</v>
                </pt>
                <pt idx="1164">
                  <v>1.100546737577577</v>
                </pt>
                <pt idx="1165">
                  <v>1.101945532481038</v>
                </pt>
                <pt idx="1166">
                  <v>1.102702569061852</v>
                </pt>
                <pt idx="1167">
                  <v>1.103884666215887</v>
                </pt>
                <pt idx="1168">
                  <v>1.103689278629966</v>
                </pt>
                <pt idx="1169">
                  <v>1.093629150855254</v>
                </pt>
                <pt idx="1170">
                  <v>1.097121108733935</v>
                </pt>
                <pt idx="1171">
                  <v>1.098675729345011</v>
                </pt>
                <pt idx="1172">
                  <v>1.100391860834248</v>
                </pt>
                <pt idx="1173">
                  <v>1.099002065914014</v>
                </pt>
                <pt idx="1174">
                  <v>1.099762575343626</v>
                </pt>
                <pt idx="1175">
                  <v>1.104680713580563</v>
                </pt>
                <pt idx="1176">
                  <v>1.104015695790988</v>
                </pt>
                <pt idx="1177">
                  <v>1.102796862462834</v>
                </pt>
                <pt idx="1178">
                  <v>1.10522632395084</v>
                </pt>
                <pt idx="1179">
                  <v>1.106796850557174</v>
                </pt>
                <pt idx="1180">
                  <v>1.107694462802976</v>
                </pt>
                <pt idx="1181">
                  <v>1.107045353847773</v>
                </pt>
                <pt idx="1182">
                  <v>1.106871547727219</v>
                </pt>
                <pt idx="1183">
                  <v>1.10819093861211</v>
                </pt>
                <pt idx="1184">
                  <v>1.109018757243253</v>
                </pt>
                <pt idx="1185">
                  <v>1.109288248801263</v>
                </pt>
                <pt idx="1186">
                  <v>1.109710887624057</v>
                </pt>
                <pt idx="1187">
                  <v>1.111162389465069</v>
                </pt>
                <pt idx="1188">
                  <v>1.107176649974058</v>
                </pt>
                <pt idx="1189">
                  <v>1.109992200194942</v>
                </pt>
                <pt idx="1190">
                  <v>1.106945271605407</v>
                </pt>
                <pt idx="1191">
                  <v>1.108539272796519</v>
                </pt>
                <pt idx="1192">
                  <v>1.109917187112605</v>
                </pt>
                <pt idx="1193">
                  <v>1.1086774096146</v>
                </pt>
                <pt idx="1194">
                  <v>1.111767293555196</v>
                </pt>
                <pt idx="1195">
                  <v>1.110041830715598</v>
                </pt>
                <pt idx="1196">
                  <v>1.101134855065936</v>
                </pt>
                <pt idx="1197">
                  <v>1.102004751601438</v>
                </pt>
                <pt idx="1198">
                  <v>1.103240098927983</v>
                </pt>
                <pt idx="1199">
                  <v>1.104456972757101</v>
                </pt>
                <pt idx="1200">
                  <v>1.100548299530514</v>
                </pt>
                <pt idx="1201">
                  <v>1.101950398064115</v>
                </pt>
                <pt idx="1202">
                  <v>1.102971906083121</v>
                </pt>
                <pt idx="1203">
                  <v>1.102582557000273</v>
                </pt>
                <pt idx="1204">
                  <v>1.106860577321434</v>
                </pt>
                <pt idx="1205">
                  <v>1.106856149879125</v>
                </pt>
                <pt idx="1206">
                  <v>1.107514729288303</v>
                </pt>
                <pt idx="1207">
                  <v>1.10789239181099</v>
                </pt>
                <pt idx="1208">
                  <v>1.108336656660107</v>
                </pt>
                <pt idx="1209">
                  <v>1.109292042858148</v>
                </pt>
                <pt idx="1210">
                  <v>1.109878858348819</v>
                </pt>
                <pt idx="1211">
                  <v>1.110696839067423</v>
                </pt>
                <pt idx="1212">
                  <v>1.111753111761376</v>
                </pt>
                <pt idx="1213">
                  <v>1.112127772560039</v>
                </pt>
                <pt idx="1214">
                  <v>1.112273461298245</v>
                </pt>
                <pt idx="1215">
                  <v>1.112413607754368</v>
                </pt>
                <pt idx="1216">
                  <v>1.112451429817032</v>
                </pt>
                <pt idx="1217">
                  <v>1.112499265228514</v>
                </pt>
                <pt idx="1218">
                  <v>1.112534865205002</v>
                </pt>
                <pt idx="1219">
                  <v>1.112550440693115</v>
                </pt>
                <pt idx="1220">
                  <v>1.112518176730334</v>
                </pt>
                <pt idx="1221">
                  <v>1.113503867834917</v>
                </pt>
                <pt idx="1222">
                  <v>1.113317912688989</v>
                </pt>
                <pt idx="1223">
                  <v>1.114739619663493</v>
                </pt>
                <pt idx="1224">
                  <v>1.11560911656683</v>
                </pt>
                <pt idx="1225">
                  <v>1.116016313894377</v>
                </pt>
                <pt idx="1226">
                  <v>1.115903596246674</v>
                </pt>
                <pt idx="1227">
                  <v>1.116404636961388</v>
                </pt>
                <pt idx="1228">
                  <v>1.116700484190183</v>
                </pt>
                <pt idx="1229">
                  <v>1.117312436055519</v>
                </pt>
                <pt idx="1230">
                  <v>1.118069973887165</v>
                </pt>
                <pt idx="1231">
                  <v>1.118305886651655</v>
                </pt>
                <pt idx="1232">
                  <v>1.118971278654213</v>
                </pt>
                <pt idx="1233">
                  <v>1.120494198564461</v>
                </pt>
                <pt idx="1234">
                  <v>1.120256653794365</v>
                </pt>
                <pt idx="1235">
                  <v>1.120227527121367</v>
                </pt>
                <pt idx="1236">
                  <v>1.120628568576076</v>
                </pt>
                <pt idx="1237">
                  <v>1.120692444404485</v>
                </pt>
                <pt idx="1238">
                  <v>1.121495980887123</v>
                </pt>
                <pt idx="1239">
                  <v>1.122187943907331</v>
                </pt>
                <pt idx="1240">
                  <v>1.122731082872182</v>
                </pt>
                <pt idx="1241">
                  <v>1.123669686057463</v>
                </pt>
                <pt idx="1242">
                  <v>1.123296627721692</v>
                </pt>
                <pt idx="1243">
                  <v>1.122839445994209</v>
                </pt>
                <pt idx="1244">
                  <v>1.123234685479199</v>
                </pt>
                <pt idx="1245">
                  <v>1.124286033144807</v>
                </pt>
                <pt idx="1246">
                  <v>1.123944250190732</v>
                </pt>
                <pt idx="1247">
                  <v>1.126627105115937</v>
                </pt>
                <pt idx="1248">
                  <v>1.126378120525706</v>
                </pt>
                <pt idx="1249">
                  <v>1.126948067854692</v>
                </pt>
                <pt idx="1250">
                  <v>1.127146410714634</v>
                </pt>
                <pt idx="1251">
                  <v>1.127026933195098</v>
                </pt>
                <pt idx="1252">
                  <v>1.124690606362585</v>
                </pt>
                <pt idx="1253">
                  <v>1.125319308411542</v>
                </pt>
                <pt idx="1254">
                  <v>1.126531277306701</v>
                </pt>
                <pt idx="1255">
                  <v>1.126863604033506</v>
                </pt>
                <pt idx="1256">
                  <v>1.126768947490767</v>
                </pt>
                <pt idx="1257">
                  <v>1.126959371442893</v>
                </pt>
                <pt idx="1258">
                  <v>1.127156589332896</v>
                </pt>
                <pt idx="1259">
                  <v>1.127259160582525</v>
                </pt>
                <pt idx="1260">
                  <v>1.127292978357343</v>
                </pt>
                <pt idx="1261">
                  <v>1.128503691016098</v>
                </pt>
                <pt idx="1262">
                  <v>1.129875951504374</v>
                </pt>
                <pt idx="1263">
                  <v>1.129303104396961</v>
                </pt>
                <pt idx="1264">
                  <v>1.129850816402594</v>
                </pt>
                <pt idx="1265">
                  <v>1.130836046314497</v>
                </pt>
                <pt idx="1266">
                  <v>1.131426342730673</v>
                </pt>
                <pt idx="1267">
                  <v>1.132182135527617</v>
                </pt>
                <pt idx="1268">
                  <v>1.132753887506059</v>
                </pt>
                <pt idx="1269">
                  <v>1.131360600224426</v>
                </pt>
                <pt idx="1270">
                  <v>1.13097820034155</v>
                </pt>
                <pt idx="1271">
                  <v>1.131476961727901</v>
                </pt>
                <pt idx="1272">
                  <v>1.132074381563693</v>
                </pt>
                <pt idx="1273">
                  <v>1.132145702249732</v>
                </pt>
                <pt idx="1274">
                  <v>1.129074190959528</v>
                </pt>
                <pt idx="1275">
                  <v>1.127860436204247</v>
                </pt>
                <pt idx="1276">
                  <v>1.127299889567453</v>
                </pt>
                <pt idx="1277">
                  <v>1.129791222323397</v>
                </pt>
                <pt idx="1278">
                  <v>1.13159662869667</v>
                </pt>
                <pt idx="1279">
                  <v>1.124440411616792</v>
                </pt>
                <pt idx="1280">
                  <v>1.129742148157566</v>
                </pt>
                <pt idx="1281">
                  <v>1.123267595906475</v>
                </pt>
                <pt idx="1282">
                  <v>1.122450980364251</v>
                </pt>
                <pt idx="1283">
                  <v>1.12309751212894</v>
                </pt>
                <pt idx="1284">
                  <v>1.12326597675576</v>
                </pt>
                <pt idx="1285">
                  <v>1.123838842403905</v>
                </pt>
                <pt idx="1286">
                  <v>1.124065857850071</v>
                </pt>
                <pt idx="1287">
                  <v>1.12539450369405</v>
                </pt>
                <pt idx="1288">
                  <v>1.125204312022925</v>
                </pt>
                <pt idx="1289">
                  <v>1.126542179949921</v>
                </pt>
                <pt idx="1290">
                  <v>1.12768674680475</v>
                </pt>
                <pt idx="1291">
                  <v>1.127834473768581</v>
                </pt>
                <pt idx="1292">
                  <v>1.127820939754896</v>
                </pt>
                <pt idx="1293">
                  <v>1.124921312118786</v>
                </pt>
                <pt idx="1294">
                  <v>1.110562816490902</v>
                </pt>
                <pt idx="1295">
                  <v>1.10158169499394</v>
                </pt>
                <pt idx="1296">
                  <v>1.10163236775191</v>
                </pt>
                <pt idx="1297">
                  <v>1.0984078898115</v>
                </pt>
                <pt idx="1298">
                  <v>1.096760277976783</v>
                </pt>
                <pt idx="1299">
                  <v>1.099132570458046</v>
                </pt>
                <pt idx="1300">
                  <v>1.098881968231982</v>
                </pt>
                <pt idx="1301">
                  <v>1.099523715301429</v>
                </pt>
                <pt idx="1302">
                  <v>1.099440151499066</v>
                </pt>
                <pt idx="1303">
                  <v>1.101115698289951</v>
                </pt>
                <pt idx="1304">
                  <v>1.082129160304337</v>
                </pt>
                <pt idx="1305">
                  <v>1.085886312748914</v>
                </pt>
                <pt idx="1306">
                  <v>1.078311169831178</v>
                </pt>
                <pt idx="1307">
                  <v>1.063710836591663</v>
                </pt>
                <pt idx="1308">
                  <v>1.06626480631032</v>
                </pt>
                <pt idx="1309">
                  <v>1.061338662905166</v>
                </pt>
                <pt idx="1310">
                  <v>1.062331014554983</v>
                </pt>
                <pt idx="1311">
                  <v>1.059161018807551</v>
                </pt>
                <pt idx="1312">
                  <v>1.059431104867346</v>
                </pt>
                <pt idx="1313">
                  <v>1.061951491465826</v>
                </pt>
                <pt idx="1314">
                  <v>1.06158511820127</v>
                </pt>
                <pt idx="1315">
                  <v>1.061318660336601</v>
                </pt>
                <pt idx="1316">
                  <v>1.062426677017993</v>
                </pt>
                <pt idx="1317">
                  <v>1.063197998785508</v>
                </pt>
                <pt idx="1318">
                  <v>1.063527590165132</v>
                </pt>
                <pt idx="1319">
                  <v>1.06461132477951</v>
                </pt>
                <pt idx="1320">
                  <v>1.064631552394681</v>
                </pt>
                <pt idx="1321">
                  <v>1.064611324395185</v>
                </pt>
                <pt idx="1322">
                  <v>1.064651779625512</v>
                </pt>
                <pt idx="1323">
                  <v>1.064755050848136</v>
                </pt>
                <pt idx="1324">
                  <v>1.048774142289956</v>
                </pt>
                <pt idx="1325">
                  <v>1.044011658909818</v>
                </pt>
                <pt idx="1326">
                  <v>1.044160952577042</v>
                </pt>
                <pt idx="1327">
                  <v>1.043842483486506</v>
                </pt>
                <pt idx="1328">
                  <v>1.049989671871758</v>
                </pt>
                <pt idx="1329">
                  <v>1.04954237627154</v>
                </pt>
                <pt idx="1330">
                  <v>1.049128856575289</v>
                </pt>
                <pt idx="1331">
                  <v>1.050025861747661</v>
                </pt>
                <pt idx="1332">
                  <v>1.050179165523476</v>
                </pt>
                <pt idx="1333">
                  <v>1.049802151203054</v>
                </pt>
                <pt idx="1334">
                  <v>1.052087570486223</v>
                </pt>
                <pt idx="1335">
                  <v>1.053151231019984</v>
                </pt>
                <pt idx="1336">
                  <v>1.055601913934568</v>
                </pt>
                <pt idx="1337">
                  <v>1.058677937911773</v>
                </pt>
                <pt idx="1338">
                  <v>1.059266562845252</v>
                </pt>
                <pt idx="1339">
                  <v>1.059279274044006</v>
                </pt>
                <pt idx="1340">
                  <v>1.05912567854927</v>
                </pt>
                <pt idx="1341">
                  <v>1.059084372647807</v>
                </pt>
                <pt idx="1342">
                  <v>1.059155331300774</v>
                </pt>
                <pt idx="1343">
                  <v>1.05909495944689</v>
                </pt>
                <pt idx="1344">
                  <v>1.059072718452742</v>
                </pt>
                <pt idx="1345">
                  <v>1.060940922728092</v>
                </pt>
                <pt idx="1346">
                  <v>1.062712694069048</v>
                </pt>
                <pt idx="1347">
                  <v>1.066935914315279</v>
                </pt>
                <pt idx="1348">
                  <v>1.071100165188851</v>
                </pt>
                <pt idx="1349">
                  <v>1.066040288008499</v>
                </pt>
                <pt idx="1350">
                  <v>1.058590798475896</v>
                </pt>
                <pt idx="1351">
                  <v>1.062089441064858</v>
                </pt>
                <pt idx="1352">
                  <v>1.065002752401699</v>
                </pt>
                <pt idx="1353">
                  <v>1.05581071364572</v>
                </pt>
                <pt idx="1354">
                  <v>1.056532888173854</v>
                </pt>
                <pt idx="1355">
                  <v>1.057643304239324</v>
                </pt>
                <pt idx="1356">
                  <v>1.05904679690405</v>
                </pt>
                <pt idx="1357">
                  <v>1.062150863065776</v>
                </pt>
                <pt idx="1358">
                  <v>1.06295597341998</v>
                </pt>
                <pt idx="1359">
                  <v>1.062691297382598</v>
                </pt>
                <pt idx="1360">
                  <v>1.061880463922695</v>
                </pt>
                <pt idx="1361">
                  <v>1.064038205025386</v>
                </pt>
                <pt idx="1362">
                  <v>1.065537434856267</v>
                </pt>
                <pt idx="1363">
                  <v>1.065843244100071</v>
                </pt>
                <pt idx="1364">
                  <v>1.065770766759472</v>
                </pt>
                <pt idx="1365">
                  <v>1.065724938616501</v>
                </pt>
                <pt idx="1366">
                  <v>1.059257053964038</v>
                </pt>
                <pt idx="1367">
                  <v>1.055821883338032</v>
                </pt>
                <pt idx="1368">
                  <v>1.054223369006659</v>
                </pt>
                <pt idx="1369">
                  <v>1.056530009738045</v>
                </pt>
                <pt idx="1370">
                  <v>1.027063387766451</v>
                </pt>
                <pt idx="1371">
                  <v>1.033072735648273</v>
                </pt>
                <pt idx="1372">
                  <v>1.03580831225227</v>
                </pt>
                <pt idx="1373">
                  <v>1.031647470261952</v>
                </pt>
                <pt idx="1374">
                  <v>1.034963185231374</v>
                </pt>
                <pt idx="1375">
                  <v>1.038818423096361</v>
                </pt>
                <pt idx="1376">
                  <v>1.040246798428119</v>
                </pt>
                <pt idx="1377">
                  <v>1.044773952494878</v>
                </pt>
                <pt idx="1378">
                  <v>1.046459172880252</v>
                </pt>
                <pt idx="1379">
                  <v>1.042797612234344</v>
                </pt>
                <pt idx="1380">
                  <v>1.046346252508777</v>
                </pt>
                <pt idx="1381">
                  <v>1.045926667661522</v>
                </pt>
                <pt idx="1382">
                  <v>1.051214872893218</v>
                </pt>
                <pt idx="1383">
                  <v>1.050424359308803</v>
                </pt>
                <pt idx="1384">
                  <v>1.053051470631434</v>
                </pt>
                <pt idx="1385">
                  <v>1.057334230962492</v>
                </pt>
                <pt idx="1386">
                  <v>1.056141557949966</v>
                </pt>
                <pt idx="1387">
                  <v>1.055306149977628</v>
                </pt>
                <pt idx="1388">
                  <v>1.057474804115832</v>
                </pt>
                <pt idx="1389">
                  <v>1.057083538438309</v>
                </pt>
                <pt idx="1390">
                  <v>1.059080369242419</v>
                </pt>
                <pt idx="1391">
                  <v>1.056288633389096</v>
                </pt>
                <pt idx="1392">
                  <v>1.057880460359613</v>
                </pt>
                <pt idx="1393">
                  <v>1.058506725592146</v>
                </pt>
                <pt idx="1394">
                  <v>1.061477953970883</v>
                </pt>
                <pt idx="1395">
                  <v>1.065086979014384</v>
                </pt>
                <pt idx="1396">
                  <v>1.067359874627601</v>
                </pt>
                <pt idx="1397">
                  <v>1.067134661694054</v>
                </pt>
                <pt idx="1398">
                  <v>1.068621180277794</v>
                </pt>
                <pt idx="1399">
                  <v>1.068325172210857</v>
                </pt>
                <pt idx="1400">
                  <v>1.072195714309777</v>
                </pt>
                <pt idx="1401">
                  <v>1.074700363498405</v>
                </pt>
                <pt idx="1402">
                  <v>1.076034066649506</v>
                </pt>
                <pt idx="1403">
                  <v>1.07602007820664</v>
                </pt>
                <pt idx="1404">
                  <v>1.07680019276334</v>
                </pt>
                <pt idx="1405">
                  <v>1.0793059068119</v>
                </pt>
                <pt idx="1406">
                  <v>1.078646450902838</v>
                </pt>
                <pt idx="1407">
                  <v>1.078664787892503</v>
                </pt>
                <pt idx="1408">
                  <v>1.079557922336878</v>
                </pt>
                <pt idx="1409">
                  <v>1.079905539987871</v>
                </pt>
                <pt idx="1410">
                  <v>1.080998404394339</v>
                </pt>
                <pt idx="1411">
                  <v>1.082516126154108</v>
                </pt>
                <pt idx="1412">
                  <v>1.080370579192071</v>
                </pt>
                <pt idx="1413">
                  <v>1.080830817058807</v>
                </pt>
                <pt idx="1414">
                  <v>1.082154834809704</v>
                </pt>
                <pt idx="1415">
                  <v>1.08351077481772</v>
                </pt>
                <pt idx="1416">
                  <v>1.08657602679968</v>
                </pt>
                <pt idx="1417">
                  <v>1.087318158225984</v>
                </pt>
                <pt idx="1418">
                  <v>1.087838983623774</v>
                </pt>
                <pt idx="1419">
                  <v>1.088464491039357</v>
                </pt>
                <pt idx="1420">
                  <v>1.089518124666684</v>
                </pt>
                <pt idx="1421">
                  <v>1.089608554671031</v>
                </pt>
                <pt idx="1422">
                  <v>1.089920182717667</v>
                </pt>
                <pt idx="1423">
                  <v>1.088647155944253</v>
                </pt>
                <pt idx="1424">
                  <v>1.089241557291398</v>
                </pt>
                <pt idx="1425">
                  <v>1.089798159727174</v>
                </pt>
                <pt idx="1426">
                  <v>1.089951821267696</v>
                </pt>
                <pt idx="1427">
                  <v>1.089920212664879</v>
                </pt>
                <pt idx="1428">
                  <v>1.089885335218074</v>
                </pt>
                <pt idx="1429">
                  <v>1.075531545353252</v>
                </pt>
                <pt idx="1430">
                  <v>1.081228635948988</v>
                </pt>
                <pt idx="1431">
                  <v>1.077549214900854</v>
                </pt>
                <pt idx="1432">
                  <v>1.078172038347066</v>
                </pt>
                <pt idx="1433">
                  <v>1.075951003948071</v>
                </pt>
                <pt idx="1434">
                  <v>1.07730239840903</v>
                </pt>
                <pt idx="1435">
                  <v>1.078745983622898</v>
                </pt>
                <pt idx="1436">
                  <v>1.079221710601675</v>
                </pt>
                <pt idx="1437">
                  <v>1.079739737022764</v>
                </pt>
                <pt idx="1438">
                  <v>1.078359829638849</v>
                </pt>
                <pt idx="1439">
                  <v>1.080702027188825</v>
                </pt>
                <pt idx="1440">
                  <v>1.080281634100248</v>
                </pt>
                <pt idx="1441">
                  <v>1.080737512949839</v>
                </pt>
                <pt idx="1442">
                  <v>1.080004772916059</v>
                </pt>
                <pt idx="1443">
                  <v>1.080139773512673</v>
                </pt>
                <pt idx="1444">
                  <v>1.080488658659518</v>
                </pt>
                <pt idx="1445">
                  <v>1.08052755625123</v>
                </pt>
                <pt idx="1446">
                  <v>1.080502704117436</v>
                </pt>
                <pt idx="1447">
                  <v>1.080542682717488</v>
                </pt>
                <pt idx="1448">
                  <v>1.080541602174806</v>
                </pt>
                <pt idx="1449">
                  <v>1.080563213006849</v>
                </pt>
                <pt idx="1450">
                  <v>1.080740425373782</v>
                </pt>
                <pt idx="1451">
                  <v>1.08099548011417</v>
                </pt>
                <pt idx="1452">
                  <v>1.080852788710795</v>
                </pt>
                <pt idx="1453">
                  <v>1.083142034917285</v>
                </pt>
                <pt idx="1454">
                  <v>1.085322399833573</v>
                </pt>
                <pt idx="1455">
                  <v>1.082170623584457</v>
                </pt>
                <pt idx="1456">
                  <v>1.082693311995648</v>
                </pt>
                <pt idx="1457">
                  <v>1.083634172483772</v>
                </pt>
                <pt idx="1458">
                  <v>1.084740562973878</v>
                </pt>
                <pt idx="1459">
                  <v>1.086084556531403</v>
                </pt>
                <pt idx="1460">
                  <v>1.085663155723469</v>
                </pt>
                <pt idx="1461">
                  <v>1.086034452522726</v>
                </pt>
                <pt idx="1462">
                  <v>1.088475857971997</v>
                </pt>
                <pt idx="1463">
                  <v>1.090059590345346</v>
                </pt>
                <pt idx="1464">
                  <v>1.092982040107062</v>
                </pt>
                <pt idx="1465">
                  <v>1.087461387822481</v>
                </pt>
                <pt idx="1466">
                  <v>1.092452835592587</v>
                </pt>
                <pt idx="1467">
                  <v>1.075109054374719</v>
                </pt>
                <pt idx="1468">
                  <v>1.079796529851792</v>
                </pt>
                <pt idx="1469">
                  <v>1.075592881961079</v>
                </pt>
                <pt idx="1470">
                  <v>1.077689212488022</v>
                </pt>
                <pt idx="1471">
                  <v>1.077222573059014</v>
                </pt>
                <pt idx="1472">
                  <v>1.081253539927401</v>
                </pt>
                <pt idx="1473">
                  <v>1.079711672379464</v>
                </pt>
                <pt idx="1474">
                  <v>1.085030332077605</v>
                </pt>
                <pt idx="1475">
                  <v>1.084008233504788</v>
                </pt>
                <pt idx="1476">
                  <v>1.084413652584119</v>
                </pt>
                <pt idx="1477">
                  <v>1.085649884148065</v>
                </pt>
                <pt idx="1478">
                  <v>1.08448389617249</v>
                </pt>
                <pt idx="1479">
                  <v>1.084403644364173</v>
                </pt>
                <pt idx="1480">
                  <v>1.085837225982023</v>
                </pt>
                <pt idx="1481">
                  <v>1.08646483989864</v>
                </pt>
                <pt idx="1482">
                  <v>1.08689507997524</v>
                </pt>
                <pt idx="1483">
                  <v>1.088190658910571</v>
                </pt>
                <pt idx="1484">
                  <v>1.088999184570141</v>
                </pt>
                <pt idx="1485">
                  <v>1.090424684502743</v>
                </pt>
                <pt idx="1486">
                  <v>1.090265482498806</v>
                </pt>
                <pt idx="1487">
                  <v>1.090488986922718</v>
                </pt>
                <pt idx="1488">
                  <v>1.090463905676019</v>
                </pt>
                <pt idx="1489">
                  <v>1.090349406965923</v>
                </pt>
                <pt idx="1490">
                  <v>1.090349406965923</v>
                </pt>
                <pt idx="1491">
                  <v>1.090349406965923</v>
                </pt>
                <pt idx="1492">
                  <v>1.091158446225892</v>
                </pt>
                <pt idx="1493">
                  <v>1.090998045934297</v>
                </pt>
                <pt idx="1494">
                  <v>1.093305506801448</v>
                </pt>
                <pt idx="1495">
                  <v>1.094827388066915</v>
                </pt>
                <pt idx="1496">
                  <v>1.093810293423401</v>
                </pt>
                <pt idx="1497">
                  <v>1.094686435468433</v>
                </pt>
                <pt idx="1498">
                  <v>1.095210790271023</v>
                </pt>
                <pt idx="1499">
                  <v>1.096222765041233</v>
                </pt>
                <pt idx="1500">
                  <v>1.096830072453066</v>
                </pt>
                <pt idx="1501">
                  <v>1.098263629357762</v>
                </pt>
                <pt idx="1502">
                  <v>1.099410216586811</v>
                </pt>
                <pt idx="1503">
                  <v>1.097588493857927</v>
                </pt>
                <pt idx="1504">
                  <v>1.096766400076027</v>
                </pt>
                <pt idx="1505">
                  <v>1.100482244639485</v>
                </pt>
                <pt idx="1506">
                  <v>1.104459387471612</v>
                </pt>
                <pt idx="1507">
                  <v>1.10659651638637</v>
                </pt>
                <pt idx="1508">
                  <v>1.107051327554604</v>
                </pt>
                <pt idx="1509">
                  <v>1.107834012843185</v>
                </pt>
                <pt idx="1510">
                  <v>1.109050414589287</v>
                </pt>
                <pt idx="1511">
                  <v>1.109110303311675</v>
                </pt>
                <pt idx="1512">
                  <v>1.114546052908205</v>
                </pt>
                <pt idx="1513">
                  <v>1.116114219204647</v>
                </pt>
                <pt idx="1514">
                  <v>1.114504782500554</v>
                </pt>
                <pt idx="1515">
                  <v>1.115905715012157</v>
                </pt>
                <pt idx="1516">
                  <v>1.116371047695317</v>
                </pt>
                <pt idx="1517">
                  <v>1.114322506822796</v>
                </pt>
                <pt idx="1518">
                  <v>1.117515040804843</v>
                </pt>
                <pt idx="1519">
                  <v>1.11949639497219</v>
                </pt>
                <pt idx="1520">
                  <v>1.11970797979084</v>
                </pt>
                <pt idx="1521">
                  <v>1.120416754942048</v>
                </pt>
                <pt idx="1522">
                  <v>1.122672153869746</v>
                </pt>
                <pt idx="1523">
                  <v>1.121958134379885</v>
                </pt>
                <pt idx="1524">
                  <v>1.122874774175673</v>
                </pt>
                <pt idx="1525">
                  <v>1.124550103338744</v>
                </pt>
                <pt idx="1526">
                  <v>1.124848109116128</v>
                </pt>
                <pt idx="1527">
                  <v>1.125768234869385</v>
                </pt>
                <pt idx="1528">
                  <v>1.107911299127887</v>
                </pt>
                <pt idx="1529">
                  <v>1.11315393539536</v>
                </pt>
                <pt idx="1530">
                  <v>1.110889780290766</v>
                </pt>
                <pt idx="1531">
                  <v>1.114619037283202</v>
                </pt>
                <pt idx="1532">
                  <v>1.11347543815095</v>
                </pt>
                <pt idx="1533">
                  <v>1.113680317631569</v>
                </pt>
                <pt idx="1534">
                  <v>1.115922156110962</v>
                </pt>
                <pt idx="1535">
                  <v>1.116709997153176</v>
                </pt>
                <pt idx="1536">
                  <v>1.117540829391058</v>
                </pt>
                <pt idx="1537">
                  <v>1.117557592503499</v>
                </pt>
                <pt idx="1538">
                  <v>1.116902703754292</v>
                </pt>
                <pt idx="1539">
                  <v>1.118736657993857</v>
                </pt>
                <pt idx="1540">
                  <v>1.121463019229388</v>
                </pt>
                <pt idx="1541">
                  <v>1.122277201381348</v>
                </pt>
                <pt idx="1542">
                  <v>1.12387083500731</v>
                </pt>
                <pt idx="1543">
                  <v>1.124499078804079</v>
                </pt>
                <pt idx="1544">
                  <v>1.126374743267524</v>
                </pt>
                <pt idx="1545">
                  <v>1.128369552937851</v>
                </pt>
                <pt idx="1546">
                  <v>1.128736273042555</v>
                </pt>
                <pt idx="1547">
                  <v>1.129562507994422</v>
                </pt>
                <pt idx="1548">
                  <v>1.114377799199453</v>
                </pt>
                <pt idx="1549">
                  <v>1.121534333425912</v>
                </pt>
                <pt idx="1550">
                  <v>1.122496609883992</v>
                </pt>
                <pt idx="1551">
                  <v>1.125134476917219</v>
                </pt>
                <pt idx="1552">
                  <v>1.124118480484563</v>
                </pt>
                <pt idx="1553">
                  <v>1.118226975528343</v>
                </pt>
                <pt idx="1554">
                  <v>1.122509784844617</v>
                </pt>
                <pt idx="1555">
                  <v>1.122876845544261</v>
                </pt>
                <pt idx="1556">
                  <v>1.123063243100622</v>
                </pt>
                <pt idx="1557">
                  <v>1.124901697629577</v>
                </pt>
                <pt idx="1558">
                  <v>1.124846577446394</v>
                </pt>
                <pt idx="1559">
                  <v>1.127753181002515</v>
                </pt>
                <pt idx="1560">
                  <v>1.130767665255335</v>
                </pt>
                <pt idx="1561">
                  <v>1.130707734569076</v>
                </pt>
                <pt idx="1562">
                  <v>1.131738940023003</v>
                </pt>
                <pt idx="1563">
                  <v>1.129012580916488</v>
                </pt>
                <pt idx="1564">
                  <v>1.131870111758787</v>
                </pt>
                <pt idx="1565">
                  <v>1.134416819510245</v>
                </pt>
                <pt idx="1566">
                  <v>1.133209800014286</v>
                </pt>
                <pt idx="1567">
                  <v>1.135327769130513</v>
                </pt>
                <pt idx="1568">
                  <v>1.137270314943495</v>
                </pt>
                <pt idx="1569">
                  <v>1.136291125202328</v>
                </pt>
                <pt idx="1570">
                  <v>1.135334368074908</v>
                </pt>
                <pt idx="1571">
                  <v>1.137944501787112</v>
                </pt>
                <pt idx="1572">
                  <v>1.138779753051424</v>
                </pt>
                <pt idx="1573">
                  <v>1.139046227513638</v>
                </pt>
                <pt idx="1574">
                  <v>1.138753492633167</v>
                </pt>
                <pt idx="1575">
                  <v>1.13871591376791</v>
                </pt>
                <pt idx="1576">
                  <v>1.140833925367519</v>
                </pt>
                <pt idx="1577">
                  <v>1.140471140179252</v>
                </pt>
                <pt idx="1578">
                  <v>1.14020312946131</v>
                </pt>
                <pt idx="1579">
                  <v>1.14028636428976</v>
                </pt>
                <pt idx="1580">
                  <v>1.140362763476168</v>
                </pt>
                <pt idx="1581">
                  <v>1.140374167103803</v>
                </pt>
                <pt idx="1582">
                  <v>1.138901944054072</v>
                </pt>
                <pt idx="1583">
                  <v>1.139144530168155</v>
                </pt>
                <pt idx="1584">
                  <v>1.13883582200048</v>
                </pt>
                <pt idx="1585">
                  <v>1.139629590568414</v>
                </pt>
                <pt idx="1586">
                  <v>1.140445565355261</v>
                </pt>
                <pt idx="1587">
                  <v>1.139532068457411</v>
                </pt>
                <pt idx="1588">
                  <v>1.14057474030005</v>
                </pt>
                <pt idx="1589">
                  <v>1.141684519522361</v>
                </pt>
                <pt idx="1590">
                  <v>1.142306737585501</v>
                </pt>
                <pt idx="1591">
                  <v>1.143537001941881</v>
                </pt>
                <pt idx="1592">
                  <v>1.143152773509228</v>
                </pt>
                <pt idx="1593">
                  <v>1.143653474424025</v>
                </pt>
                <pt idx="1594">
                  <v>1.145423850002434</v>
                </pt>
                <pt idx="1595">
                  <v>1.144531564823282</v>
                </pt>
                <pt idx="1596">
                  <v>1.144515541381374</v>
                </pt>
                <pt idx="1597">
                  <v>1.144671195495002</v>
                </pt>
                <pt idx="1598">
                  <v>1.145186297532975</v>
                </pt>
                <pt idx="1599">
                  <v>1.145411899233589</v>
                </pt>
                <pt idx="1600">
                  <v>1.140644694908979</v>
                </pt>
                <pt idx="1601">
                  <v>1.133901203472677</v>
                </pt>
                <pt idx="1602">
                  <v>1.137474126164819</v>
                </pt>
                <pt idx="1603">
                  <v>1.141316513763004</v>
                </pt>
                <pt idx="1604">
                  <v>1.142767127051997</v>
                </pt>
                <pt idx="1605">
                  <v>1.144529273961911</v>
                </pt>
                <pt idx="1606">
                  <v>1.141986129915167</v>
                </pt>
                <pt idx="1607">
                  <v>1.141058837177676</v>
                </pt>
                <pt idx="1608">
                  <v>1.143450496500401</v>
                </pt>
                <pt idx="1609">
                  <v>1.145079913457914</v>
                </pt>
                <pt idx="1610">
                  <v>1.145776122045296</v>
                </pt>
                <pt idx="1611">
                  <v>1.147857997259052</v>
                </pt>
                <pt idx="1612">
                  <v>1.149943655240072</v>
                </pt>
                <pt idx="1613">
                  <v>1.151645571849827</v>
                </pt>
                <pt idx="1614">
                  <v>1.154144642740741</v>
                </pt>
                <pt idx="1615">
                  <v>1.154839437815671</v>
                </pt>
                <pt idx="1616">
                  <v>1.155810657782874</v>
                </pt>
                <pt idx="1617">
                  <v>1.153325664868641</v>
                </pt>
                <pt idx="1618">
                  <v>1.155335911502507</v>
                </pt>
                <pt idx="1619">
                  <v>1.155427183039516</v>
                </pt>
                <pt idx="1620">
                  <v>1.154376899730133</v>
                </pt>
                <pt idx="1621">
                  <v>1.158160947207448</v>
                </pt>
                <pt idx="1622">
                  <v>1.159783530694485</v>
                </pt>
                <pt idx="1623">
                  <v>1.159734819786196</v>
                </pt>
                <pt idx="1624">
                  <v>1.159424010854494</v>
                </pt>
                <pt idx="1625">
                  <v>1.159761403241652</v>
                </pt>
                <pt idx="1626">
                  <v>1.162013659886748</v>
                </pt>
                <pt idx="1627">
                  <v>1.157421381902875</v>
                </pt>
                <pt idx="1628">
                  <v>1.158935289070404</v>
                </pt>
                <pt idx="1629">
                  <v>1.159823033501832</v>
                </pt>
                <pt idx="1630">
                  <v>1.161835326464958</v>
                </pt>
                <pt idx="1631">
                  <v>1.161899227407913</v>
                </pt>
                <pt idx="1632">
                  <v>1.162555700471399</v>
                </pt>
                <pt idx="1633">
                  <v>1.163980993760177</v>
                </pt>
                <pt idx="1634">
                  <v>1.164544360561157</v>
                </pt>
                <pt idx="1635">
                  <v>1.165103341854226</v>
                </pt>
                <pt idx="1636">
                  <v>1.164909934699478</v>
                </pt>
                <pt idx="1637">
                  <v>1.164410188337492</v>
                </pt>
                <pt idx="1638">
                  <v>1.164516149664631</v>
                </pt>
                <pt idx="1639">
                  <v>1.163073314155197</v>
                </pt>
                <pt idx="1640">
                  <v>1.159444525415032</v>
                </pt>
                <pt idx="1641">
                  <v>1.160752378839701</v>
                </pt>
                <pt idx="1642">
                  <v>1.16095318900124</v>
                </pt>
                <pt idx="1643">
                  <v>1.160560786823357</v>
                </pt>
                <pt idx="1644">
                  <v>1.161969707618561</v>
                </pt>
                <pt idx="1645">
                  <v>1.162226502923945</v>
                </pt>
                <pt idx="1646">
                  <v>1.160982920565816</v>
                </pt>
                <pt idx="1647">
                  <v>1.154021666974103</v>
                </pt>
                <pt idx="1648">
                  <v>1.152632224887067</v>
                </pt>
                <pt idx="1649">
                  <v>1.154688520776265</v>
                </pt>
                <pt idx="1650">
                  <v>1.155639984117385</v>
                </pt>
                <pt idx="1651">
                  <v>1.154181566457429</v>
                </pt>
                <pt idx="1652">
                  <v>1.155084136442398</v>
                </pt>
                <pt idx="1653">
                  <v>1.154102314926422</v>
                </pt>
                <pt idx="1654">
                  <v>1.156521313378508</v>
                </pt>
                <pt idx="1655">
                  <v>1.157419930439004</v>
                </pt>
                <pt idx="1656">
                  <v>1.157925722948606</v>
                </pt>
                <pt idx="1657">
                  <v>1.159573451252361</v>
                </pt>
                <pt idx="1658">
                  <v>1.15948880239042</v>
                </pt>
                <pt idx="1659">
                  <v>1.159643014401138</v>
                </pt>
                <pt idx="1660">
                  <v>1.159872623717989</v>
                </pt>
                <pt idx="1661">
                  <v>1.161838607815191</v>
                </pt>
                <pt idx="1662">
                  <v>1.16350352254019</v>
                </pt>
                <pt idx="1663">
                  <v>1.163824649512411</v>
                </pt>
                <pt idx="1664">
                  <v>1.165149081963556</v>
                </pt>
                <pt idx="1665">
                  <v>1.165581352272965</v>
                </pt>
                <pt idx="1666">
                  <v>1.166964897338113</v>
                </pt>
                <pt idx="1667">
                  <v>1.167321988596698</v>
                </pt>
                <pt idx="1668">
                  <v>1.164867110454679</v>
                </pt>
                <pt idx="1669">
                  <v>1.163910754556996</v>
                </pt>
                <pt idx="1670">
                  <v>1.162756155088475</v>
                </pt>
                <pt idx="1671">
                  <v>1.166703712235001</v>
                </pt>
                <pt idx="1672">
                  <v>1.16741306809204</v>
                </pt>
                <pt idx="1673">
                  <v>1.168320148045947</v>
                </pt>
                <pt idx="1674">
                  <v>1.169080724462325</v>
                </pt>
                <pt idx="1675">
                  <v>1.166627993102403</v>
                </pt>
                <pt idx="1676">
                  <v>1.167400300833837</v>
                </pt>
                <pt idx="1677">
                  <v>1.168040036198693</v>
                </pt>
                <pt idx="1678">
                  <v>1.168230426724594</v>
                </pt>
                <pt idx="1679">
                  <v>1.168384633140921</v>
                </pt>
                <pt idx="1680">
                  <v>1.168370612525323</v>
                </pt>
                <pt idx="1681">
                  <v>1.170229490169851</v>
                </pt>
                <pt idx="1682">
                  <v>1.170681198753057</v>
                </pt>
                <pt idx="1683">
                  <v>1.171840173139822</v>
                </pt>
                <pt idx="1684">
                  <v>1.171618695347099</v>
                </pt>
                <pt idx="1685">
                  <v>1.169364500977251</v>
                </pt>
                <pt idx="1686">
                  <v>1.171728955998227</v>
                </pt>
                <pt idx="1687">
                  <v>1.17260072234149</v>
                </pt>
                <pt idx="1688">
                  <v>1.17350245229697</v>
                </pt>
                <pt idx="1689">
                  <v>1.174174869202137</v>
                </pt>
                <pt idx="1690">
                  <v>1.171952156174737</v>
                </pt>
                <pt idx="1691">
                  <v>1.16656820796927</v>
                </pt>
                <pt idx="1692">
                  <v>1.167927259931554</v>
                </pt>
                <pt idx="1693">
                  <v>1.169058981446428</v>
                </pt>
                <pt idx="1694">
                  <v>1.169137308398185</v>
                </pt>
                <pt idx="1695">
                  <v>1.171127180097079</v>
                </pt>
                <pt idx="1696">
                  <v>1.171764273283052</v>
                </pt>
                <pt idx="1697">
                  <v>1.168789163793186</v>
                </pt>
                <pt idx="1698">
                  <v>1.169261354615359</v>
                </pt>
                <pt idx="1699">
                  <v>1.169077780582684</v>
                </pt>
                <pt idx="1700">
                  <v>1.169191181127401</v>
                </pt>
                <pt idx="1701">
                  <v>1.169156105391967</v>
                </pt>
                <pt idx="1702">
                  <v>1.170292525126408</v>
                </pt>
                <pt idx="1703">
                  <v>1.170643612883946</v>
                </pt>
                <pt idx="1704">
                  <v>1.171601199359285</v>
                </pt>
                <pt idx="1705">
                  <v>1.174661421692011</v>
                </pt>
                <pt idx="1706">
                  <v>1.175700997050209</v>
                </pt>
                <pt idx="1707">
                  <v>1.177140055070598</v>
                </pt>
                <pt idx="1708">
                  <v>1.179298929931598</v>
                </pt>
                <pt idx="1709">
                  <v>1.177065337758307</v>
                </pt>
                <pt idx="1710">
                  <v>1.177239543428296</v>
                </pt>
                <pt idx="1711">
                  <v>1.177630386956714</v>
                </pt>
                <pt idx="1712">
                  <v>1.177312426752235</v>
                </pt>
                <pt idx="1713">
                  <v>1.177330086438637</v>
                </pt>
                <pt idx="1714">
                  <v>1.178051789781624</v>
                </pt>
                <pt idx="1715">
                  <v>1.178629035158617</v>
                </pt>
                <pt idx="1716">
                  <v>1.179081628708118</v>
                </pt>
                <pt idx="1717">
                  <v>1.179094598606033</v>
                </pt>
                <pt idx="1718">
                  <v>1.179141762389978</v>
                </pt>
                <pt idx="1719">
                  <v>1.179161807799938</v>
                </pt>
                <pt idx="1720">
                  <v>1.179148837020053</v>
                </pt>
                <pt idx="1721">
                  <v>1.179170061699119</v>
                </pt>
                <pt idx="1722">
                  <v>1.179133507427206</v>
                </pt>
                <pt idx="1723">
                  <v>1.179856316267259</v>
                </pt>
                <pt idx="1724">
                  <v>1.178750790898917</v>
                </pt>
                <pt idx="1725">
                  <v>1.176594855702363</v>
                </pt>
                <pt idx="1726">
                  <v>1.177494950766975</v>
                </pt>
                <pt idx="1727">
                  <v>1.177182914605022</v>
                </pt>
                <pt idx="1728">
                  <v>1.176812101986921</v>
                </pt>
                <pt idx="1729">
                  <v>1.179377552369253</v>
                </pt>
                <pt idx="1730">
                  <v>1.180860029952581</v>
                </pt>
                <pt idx="1731">
                  <v>1.182509691414425</v>
                </pt>
                <pt idx="1732">
                  <v>1.182394987974358</v>
                </pt>
                <pt idx="1733">
                  <v>1.183766566160408</v>
                </pt>
                <pt idx="1734">
                  <v>1.183391312158935</v>
                </pt>
                <pt idx="1735">
                  <v>1.183891886683978</v>
                </pt>
                <pt idx="1736">
                  <v>1.185412003866481</v>
                </pt>
                <pt idx="1737">
                  <v>1.185305316786133</v>
                </pt>
                <pt idx="1738">
                  <v>1.186483510271018</v>
                </pt>
                <pt idx="1739">
                  <v>1.176282125049708</v>
                </pt>
                <pt idx="1740">
                  <v>1.181136641379788</v>
                </pt>
                <pt idx="1741">
                  <v>1.173643510526875</v>
                </pt>
                <pt idx="1742">
                  <v>1.174571862543701</v>
                </pt>
                <pt idx="1743">
                  <v>1.178066213834769</v>
                </pt>
                <pt idx="1744">
                  <v>1.173485892395379</v>
                </pt>
                <pt idx="1745">
                  <v>1.177557888441991</v>
                </pt>
                <pt idx="1746">
                  <v>1.178183171680754</v>
                </pt>
                <pt idx="1747">
                  <v>1.182005197889686</v>
                </pt>
                <pt idx="1748">
                  <v>1.181935459583011</v>
                </pt>
                <pt idx="1749">
                  <v>1.184652729204592</v>
                </pt>
                <pt idx="1750">
                  <v>1.185916753666654</v>
                </pt>
                <pt idx="1751">
                  <v>1.183678928752484</v>
                </pt>
                <pt idx="1752">
                  <v>1.184007991494678</v>
                </pt>
                <pt idx="1753">
                  <v>1.183489395994403</v>
                </pt>
                <pt idx="1754">
                  <v>1.182243181660421</v>
                </pt>
                <pt idx="1755">
                  <v>1.180761830953801</v>
                </pt>
                <pt idx="1756">
                  <v>1.180595343535636</v>
                </pt>
                <pt idx="1757">
                  <v>1.18240991857865</v>
                </pt>
                <pt idx="1758">
                  <v>1.18192749533187</v>
                </pt>
                <pt idx="1759">
                  <v>1.181913312201926</v>
                </pt>
                <pt idx="1760">
                  <v>1.181890855848994</v>
                </pt>
                <pt idx="1761">
                  <v>1.182790274790296</v>
                </pt>
                <pt idx="1762">
                  <v>1.183308336930654</v>
                </pt>
                <pt idx="1763">
                  <v>1.182538003203312</v>
                </pt>
                <pt idx="1764">
                  <v>1.182511987367241</v>
                </pt>
                <pt idx="1765">
                  <v>1.182737847156829</v>
                </pt>
                <pt idx="1766">
                  <v>1.177996251127577</v>
                </pt>
                <pt idx="1767">
                  <v>1.177634606278481</v>
                </pt>
                <pt idx="1768">
                  <v>1.180046401952139</v>
                </pt>
                <pt idx="1769">
                  <v>1.180420476661558</v>
                </pt>
                <pt idx="1770">
                  <v>1.179502109530715</v>
                </pt>
                <pt idx="1771">
                  <v>1.180154374197286</v>
                </pt>
                <pt idx="1772">
                  <v>1.177213429496786</v>
                </pt>
                <pt idx="1773">
                  <v>1.178914502902409</v>
                </pt>
                <pt idx="1774">
                  <v>1.1753364973861</v>
                </pt>
                <pt idx="1775">
                  <v>1.176196843702187</v>
                </pt>
                <pt idx="1776">
                  <v>1.175533468682338</v>
                </pt>
                <pt idx="1777">
                  <v>1.174982143485526</v>
                </pt>
                <pt idx="1778">
                  <v>1.174646098592489</v>
                </pt>
                <pt idx="1779">
                  <v>1.174932712240546</v>
                </pt>
                <pt idx="1780">
                  <v>1.174899814124603</v>
                </pt>
                <pt idx="1781">
                  <v>1.175000855508618</v>
                </pt>
                <pt idx="1782">
                  <v>1.175131280603579</v>
                </pt>
                <pt idx="1783">
                  <v>1.175117179028212</v>
                </pt>
                <pt idx="1784">
                  <v>1.175127755082823</v>
                </pt>
                <pt idx="1785">
                  <v>1.175202963259149</v>
                </pt>
                <pt idx="1786">
                  <v>1.166799086868882</v>
                </pt>
                <pt idx="1787">
                  <v>1.170067291111202</v>
                </pt>
                <pt idx="1788">
                  <v>1.17183409272078</v>
                </pt>
                <pt idx="1789">
                  <v>1.17402190697189</v>
                </pt>
                <pt idx="1790">
                  <v>1.173491249069938</v>
                </pt>
                <pt idx="1791">
                  <v>1.165936312408426</v>
                </pt>
                <pt idx="1792">
                  <v>1.162583079573939</v>
                </pt>
                <pt idx="1793">
                  <v>1.164257199208526</v>
                </pt>
                <pt idx="1794">
                  <v>1.166336562566312</v>
                </pt>
                <pt idx="1795">
                  <v>1.169451847524927</v>
                </pt>
                <pt idx="1796">
                  <v>1.165050030770843</v>
                </pt>
                <pt idx="1797">
                  <v>1.164985953019151</v>
                </pt>
                <pt idx="1798">
                  <v>1.164874114367661</v>
                </pt>
                <pt idx="1799">
                  <v>1.164083164844006</v>
                </pt>
                <pt idx="1800">
                  <v>1.164239151988095</v>
                </pt>
                <pt idx="1801">
                  <v>1.164815450368329</v>
                </pt>
                <pt idx="1802">
                  <v>1.164680331776086</v>
                </pt>
                <pt idx="1803">
                  <v>1.164365868086507</v>
                </pt>
                <pt idx="1804">
                  <v>1.164769903042733</v>
                </pt>
                <pt idx="1805">
                  <v>1.164783880281569</v>
                </pt>
                <pt idx="1806">
                  <v>1.164779221146048</v>
                </pt>
                <pt idx="1807">
                  <v>1.162024518288038</v>
                </pt>
                <pt idx="1808">
                  <v>1.164633263331594</v>
                </pt>
                <pt idx="1809">
                  <v>1.163262489980653</v>
                </pt>
                <pt idx="1810">
                  <v>1.166017095556927</v>
                </pt>
                <pt idx="1811">
                  <v>1.167474616926373</v>
                </pt>
                <pt idx="1812">
                  <v>1.168350222889068</v>
                </pt>
                <pt idx="1813">
                  <v>1.16779291983275</v>
                </pt>
                <pt idx="1814">
                  <v>1.170392426872298</v>
                </pt>
                <pt idx="1815">
                  <v>1.169392911739749</v>
                </pt>
                <pt idx="1816">
                  <v>1.167876209133223</v>
                </pt>
                <pt idx="1817">
                  <v>1.170312398905475</v>
                </pt>
                <pt idx="1818">
                  <v>1.168924408400373</v>
                </pt>
                <pt idx="1819">
                  <v>1.170788842831771</v>
                </pt>
                <pt idx="1820">
                  <v>1.172033391371702</v>
                </pt>
                <pt idx="1821">
                  <v>1.173581647481704</v>
                </pt>
                <pt idx="1822">
                  <v>1.174506429819919</v>
                </pt>
                <pt idx="1823">
                  <v>1.174196360122447</v>
                </pt>
                <pt idx="1824">
                  <v>1.174210450478768</v>
                </pt>
                <pt idx="1825">
                  <v>1.174464079936071</v>
                </pt>
                <pt idx="1826">
                  <v>1.174453509759352</v>
                </pt>
                <pt idx="1827">
                  <v>1.174447637491803</v>
                </pt>
                <pt idx="1828">
                  <v>1.171579636361048</v>
                </pt>
                <pt idx="1829">
                  <v>1.171454277339957</v>
                </pt>
                <pt idx="1830">
                  <v>1.172189950626127</v>
                </pt>
                <pt idx="1831">
                  <v>1.174128752804463</v>
                </pt>
                <pt idx="1832">
                  <v>1.170480734769499</v>
                </pt>
                <pt idx="1833">
                  <v>1.170845924758748</v>
                </pt>
                <pt idx="1834">
                  <v>1.17228840693805</v>
                </pt>
                <pt idx="1835">
                  <v>1.171674127812815</v>
                </pt>
                <pt idx="1836">
                  <v>1.172002196568602</v>
                </pt>
                <pt idx="1837">
                  <v>1.170505549763584</v>
                </pt>
                <pt idx="1838">
                  <v>1.171598801947064</v>
                </pt>
                <pt idx="1839">
                  <v>1.168508124307527</v>
                </pt>
                <pt idx="1840">
                  <v>1.166005179905261</v>
                </pt>
                <pt idx="1841">
                  <v>1.16613460648023</v>
                </pt>
                <pt idx="1842">
                  <v>1.165563200523055</v>
                </pt>
                <pt idx="1843">
                  <v>1.165499094547026</v>
                </pt>
                <pt idx="1844">
                  <v>1.165661098921168</v>
                </pt>
                <pt idx="1845">
                  <v>1.165141214071049</v>
                </pt>
                <pt idx="1846">
                  <v>1.165295012711306</v>
                </pt>
                <pt idx="1847">
                  <v>1.165297343301332</v>
                </pt>
                <pt idx="1848">
                  <v>1.165289186219929</v>
                </pt>
                <pt idx="1849">
                  <v>1.15018354249896</v>
                </pt>
                <pt idx="1850">
                  <v>1.153249931823262</v>
                </pt>
                <pt idx="1851">
                  <v>1.147535578411078</v>
                </pt>
                <pt idx="1852">
                  <v>1.148887375322446</v>
                </pt>
                <pt idx="1853">
                  <v>1.149017199595858</v>
                </pt>
                <pt idx="1854">
                  <v>1.148542655492425</v>
                </pt>
                <pt idx="1855">
                  <v>1.149655593325597</v>
                </pt>
                <pt idx="1856">
                  <v>1.151934210711568</v>
                </pt>
                <pt idx="1857">
                  <v>1.15208281022475</v>
                </pt>
                <pt idx="1858">
                  <v>1.14644566903432</v>
                </pt>
                <pt idx="1859">
                  <v>1.146900807964927</v>
                </pt>
                <pt idx="1860">
                  <v>1.146993706930372</v>
                </pt>
                <pt idx="1861">
                  <v>1.147263250451501</v>
                </pt>
                <pt idx="1862">
                  <v>1.147361915091039</v>
                </pt>
                <pt idx="1863">
                  <v>1.147677439617689</v>
                </pt>
                <pt idx="1864">
                  <v>1.148255869047257</v>
                </pt>
                <pt idx="1865">
                  <v>1.148622162669483</v>
                </pt>
                <pt idx="1866">
                  <v>1.149482480669322</v>
                </pt>
                <pt idx="1867">
                  <v>1.149337645876758</v>
                </pt>
                <pt idx="1868">
                  <v>1.150158272955914</v>
                </pt>
                <pt idx="1869">
                  <v>1.150034055862435</v>
                </pt>
                <pt idx="1870">
                  <v>1.152021314710965</v>
                </pt>
                <pt idx="1871">
                  <v>1.153559263166104</v>
                </pt>
                <pt idx="1872">
                  <v>1.154713975988534</v>
                </pt>
                <pt idx="1873">
                  <v>1.150851457738852</v>
                </pt>
                <pt idx="1874">
                  <v>1.146103044624222</v>
                </pt>
                <pt idx="1875">
                  <v>1.136054013128956</v>
                </pt>
                <pt idx="1876">
                  <v>1.136903781530777</v>
                </pt>
                <pt idx="1877">
                  <v>1.137840590246758</v>
                </pt>
                <pt idx="1878">
                  <v>1.134109610951339</v>
                </pt>
                <pt idx="1879">
                  <v>1.137671849239337</v>
                </pt>
                <pt idx="1880">
                  <v>1.138674138138517</v>
                </pt>
                <pt idx="1881">
                  <v>1.13881305638337</v>
                </pt>
                <pt idx="1882">
                  <v>1.139651222792868</v>
                </pt>
                <pt idx="1883">
                  <v>1.139534978368143</v>
                </pt>
                <pt idx="1884">
                  <v>1.140129815626852</v>
                </pt>
                <pt idx="1885">
                  <v>1.138728596083446</v>
                </pt>
                <pt idx="1886">
                  <v>1.138886879358302</v>
                </pt>
                <pt idx="1887">
                  <v>1.138862962733835</v>
                </pt>
                <pt idx="1888">
                  <v>1.13896090494863</v>
                </pt>
                <pt idx="1889">
                  <v>1.138839036131801</v>
                </pt>
                <pt idx="1890">
                  <v>1.138872062463848</v>
                </pt>
                <pt idx="1891">
                  <v>1.139537163748327</v>
                </pt>
                <pt idx="1892">
                  <v>1.143247496753492</v>
                </pt>
                <pt idx="1893">
                  <v>1.143148034221274</v>
                </pt>
                <pt idx="1894">
                  <v>1.143105737744008</v>
                </pt>
                <pt idx="1895">
                  <v>1.145434244131793</v>
                </pt>
                <pt idx="1896">
                  <v>1.147549861180704</v>
                </pt>
                <pt idx="1897">
                  <v>1.149426105203734</v>
                </pt>
                <pt idx="1898">
                  <v>1.149800818114031</v>
                </pt>
                <pt idx="1899">
                  <v>1.140653002805116</v>
                </pt>
                <pt idx="1900">
                  <v>1.14252139242371</v>
                </pt>
                <pt idx="1901">
                  <v>1.144231746948169</v>
                </pt>
                <pt idx="1902">
                  <v>1.146926412712232</v>
                </pt>
                <pt idx="1903">
                  <v>1.149407214542928</v>
                </pt>
                <pt idx="1904">
                  <v>1.148603778899963</v>
                </pt>
                <pt idx="1905">
                  <v>1.141258457733897</v>
                </pt>
                <pt idx="1906">
                  <v>1.142291296638146</v>
                </pt>
                <pt idx="1907">
                  <v>1.141876644897467</v>
                </pt>
                <pt idx="1908">
                  <v>1.141988548808667</v>
                </pt>
                <pt idx="1909">
                  <v>1.142140433285658</v>
                </pt>
                <pt idx="1910">
                  <v>1.142160991813457</v>
                </pt>
                <pt idx="1911">
                  <v>1.142199825287179</v>
                </pt>
                <pt idx="1912">
                  <v>1.145437961791868</v>
                </pt>
                <pt idx="1913">
                  <v>1.146931612894045</v>
                </pt>
                <pt idx="1914">
                  <v>1.14700501651727</v>
                </pt>
                <pt idx="1915">
                  <v>1.145281067977445</v>
                </pt>
                <pt idx="1916">
                  <v>1.145230675610454</v>
                </pt>
                <pt idx="1917">
                  <v>1.143659419123516</v>
                </pt>
                <pt idx="1918">
                  <v>1.143809238507421</v>
                </pt>
                <pt idx="1919">
                  <v>1.144656801153155</v>
                </pt>
                <pt idx="1920">
                  <v>1.145126110441628</v>
                </pt>
                <pt idx="1921">
                  <v>1.147061373568274</v>
                </pt>
                <pt idx="1922">
                  <v>1.146673666824009</v>
                </pt>
                <pt idx="1923">
                  <v>1.141431074819289</v>
                </pt>
                <pt idx="1924">
                  <v>1.143377214801856</v>
                </pt>
                <pt idx="1925">
                  <v>1.146299686962889</v>
                </pt>
                <pt idx="1926">
                  <v>1.145700172226608</v>
                </pt>
                <pt idx="1927">
                  <v>1.132995503016787</v>
                </pt>
                <pt idx="1928">
                  <v>1.13532154278448</v>
                </pt>
                <pt idx="1929">
                  <v>1.13381270045412</v>
                </pt>
                <pt idx="1930">
                  <v>1.134218605400882</v>
                </pt>
                <pt idx="1931">
                  <v>1.13409837822871</v>
                </pt>
                <pt idx="1932">
                  <v>1.134022393637369</v>
                </pt>
                <pt idx="1933">
                  <v>1.135962705952882</v>
                </pt>
                <pt idx="1934">
                  <v>1.136787414877404</v>
                </pt>
                <pt idx="1935">
                  <v>1.138794981452077</v>
                </pt>
                <pt idx="1936">
                  <v>1.136749705665389</v>
                </pt>
                <pt idx="1937">
                  <v>1.13593124587731</v>
                </pt>
                <pt idx="1938">
                  <v>1.122294391270553</v>
                </pt>
                <pt idx="1939">
                  <v>1.126002451939311</v>
                </pt>
                <pt idx="1940">
                  <v>1.127533815273948</v>
                </pt>
                <pt idx="1941">
                  <v>1.126919309344624</v>
                </pt>
                <pt idx="1942">
                  <v>1.129752384488316</v>
                </pt>
                <pt idx="1943">
                  <v>1.128198974959645</v>
                </pt>
                <pt idx="1944">
                  <v>1.1273359027438</v>
                </pt>
                <pt idx="1945">
                  <v>1.131610760487005</v>
                </pt>
                <pt idx="1946">
                  <v>1.127319692483238</v>
                </pt>
                <pt idx="1947">
                  <v>1.127002915649651</v>
                </pt>
                <pt idx="1948">
                  <v>1.127260999317334</v>
                </pt>
                <pt idx="1949">
                  <v>1.127975682790902</v>
                </pt>
                <pt idx="1950">
                  <v>1.126410052543188</v>
                </pt>
                <pt idx="1951">
                  <v>1.126313181278669</v>
                </pt>
                <pt idx="1952">
                  <v>1.126182528949641</v>
                </pt>
                <pt idx="1953">
                  <v>1.126113831815375</v>
                </pt>
                <pt idx="1954">
                  <v>1.126966299986059</v>
                </pt>
                <pt idx="1955">
                  <v>1.125457292110378</v>
                </pt>
                <pt idx="1956">
                  <v>1.122213724194516</v>
                </pt>
                <pt idx="1957">
                  <v>1.123495292267546</v>
                </pt>
                <pt idx="1958">
                  <v>1.122285287837774</v>
                </pt>
                <pt idx="1959">
                  <v>1.122659008838623</v>
                </pt>
                <pt idx="1960">
                  <v>1.120704459504235</v>
                </pt>
                <pt idx="1961">
                  <v>1.121205414397634</v>
                </pt>
                <pt idx="1962">
                  <v>1.120220996043793</v>
                </pt>
                <pt idx="1963">
                  <v>1.121025314718952</v>
                </pt>
                <pt idx="1964">
                  <v>1.122187817970316</v>
                </pt>
                <pt idx="1965">
                  <v>1.124746406195288</v>
                </pt>
                <pt idx="1966">
                  <v>1.119751407405375</v>
                </pt>
                <pt idx="1967">
                  <v>1.120176912940189</v>
                </pt>
                <pt idx="1968">
                  <v>1.121576013904451</v>
                </pt>
                <pt idx="1969">
                  <v>1.124844286408969</v>
                </pt>
                <pt idx="1970">
                  <v>1.127542787852064</v>
                </pt>
                <pt idx="1971">
                  <v>1.124633727459406</v>
                </pt>
                <pt idx="1972">
                  <v>1.128825237361647</v>
                </pt>
                <pt idx="1973">
                  <v>1.132079640520961</v>
                </pt>
                <pt idx="1974">
                  <v>1.136052107979548</v>
                </pt>
                <pt idx="1975">
                  <v>1.13785615872702</v>
                </pt>
                <pt idx="1976">
                  <v>1.139078216241493</v>
                </pt>
                <pt idx="1977">
                  <v>1.140940609125048</v>
                </pt>
                <pt idx="1978">
                  <v>1.139472218561104</v>
                </pt>
                <pt idx="1979">
                  <v>1.13747130534531</v>
                </pt>
                <pt idx="1980">
                  <v>1.120826687734193</v>
                </pt>
                <pt idx="1981">
                  <v>1.120998174217416</v>
                </pt>
                <pt idx="1982">
                  <v>1.1232771635056</v>
                </pt>
                <pt idx="1983">
                  <v>1.122855934569285</v>
                </pt>
                <pt idx="1984">
                  <v>1.125087049311275</v>
                </pt>
                <pt idx="1985">
                  <v>1.126702674314086</v>
                </pt>
                <pt idx="1986">
                  <v>1.127955567687923</v>
                </pt>
                <pt idx="1987">
                  <v>1.131272885012493</v>
                </pt>
                <pt idx="1988">
                  <v>1.130198175771731</v>
                </pt>
                <pt idx="1989">
                  <v>1.130924893198752</v>
                </pt>
                <pt idx="1990">
                  <v>1.131604579059565</v>
                </pt>
                <pt idx="1991">
                  <v>1.132414807938171</v>
                </pt>
                <pt idx="1992">
                  <v>1.132952704971942</v>
                </pt>
                <pt idx="1993">
                  <v>1.131451542637854</v>
                </pt>
                <pt idx="1994">
                  <v>1.131445885380141</v>
                </pt>
                <pt idx="1995">
                  <v>1.131549978401595</v>
                </pt>
                <pt idx="1996">
                  <v>1.129815312284706</v>
                </pt>
                <pt idx="1997">
                  <v>1.127753399339786</v>
                </pt>
                <pt idx="1998">
                  <v>1.12759325835708</v>
                </pt>
                <pt idx="1999">
                  <v>1.128619368222185</v>
                </pt>
                <pt idx="2000">
                  <v>1.129477118942034</v>
                </pt>
                <pt idx="2001">
                  <v>1.125661745234248</v>
                </pt>
                <pt idx="2002">
                  <v>1.130903951981804</v>
                </pt>
                <pt idx="2003">
                  <v>1.134555640842753</v>
                </pt>
                <pt idx="2004">
                  <v>1.129717895590199</v>
                </pt>
                <pt idx="2005">
                  <v>1.132849473596775</v>
                </pt>
                <pt idx="2006">
                  <v>1.131966983856844</v>
                </pt>
                <pt idx="2007">
                  <v>1.132398263277693</v>
                </pt>
                <pt idx="2008">
                  <v>1.133032406305128</v>
                </pt>
                <pt idx="2009">
                  <v>1.131897107834011</v>
                </pt>
                <pt idx="2010">
                  <v>1.132346470985821</v>
                </pt>
                <pt idx="2011">
                  <v>1.131889003011543</v>
                </pt>
                <pt idx="2012">
                  <v>1.129404506649933</v>
                </pt>
                <pt idx="2013">
                  <v>1.131455505234009</v>
                </pt>
                <pt idx="2014">
                  <v>1.131325387850907</v>
                </pt>
                <pt idx="2015">
                  <v>1.131105910725664</v>
                </pt>
                <pt idx="2016">
                  <v>1.131021077782359</v>
                </pt>
                <pt idx="2017">
                  <v>1.131907798307341</v>
                </pt>
                <pt idx="2018">
                  <v>1.129745854412574</v>
                </pt>
                <pt idx="2019">
                  <v>1.130222607163136</v>
                </pt>
                <pt idx="2020">
                  <v>1.132720399124966</v>
                </pt>
                <pt idx="2021">
                  <v>1.130019993693452</v>
                </pt>
                <pt idx="2022">
                  <v>1.13515028446482</v>
                </pt>
                <pt idx="2023">
                  <v>1.136687277949986</v>
                </pt>
                <pt idx="2024">
                  <v>1.138102453611033</v>
                </pt>
                <pt idx="2025">
                  <v>1.137918081013548</v>
                </pt>
                <pt idx="2026">
                  <v>1.138898966399382</v>
                </pt>
                <pt idx="2027">
                  <v>1.137764623028848</v>
                </pt>
                <pt idx="2028">
                  <v>1.136869202270524</v>
                </pt>
                <pt idx="2029">
                  <v>1.137589977344764</v>
                </pt>
                <pt idx="2030">
                  <v>1.138639972893853</v>
                </pt>
                <pt idx="2031">
                  <v>1.138980426245749</v>
                </pt>
                <pt idx="2032">
                  <v>1.139594336695495</v>
                </pt>
                <pt idx="2033">
                  <v>1.139693481402787</v>
                </pt>
                <pt idx="2034">
                  <v>1.139970426918768</v>
                </pt>
                <pt idx="2035">
                  <v>1.139581697003189</v>
                </pt>
                <pt idx="2036">
                  <v>1.139716167643435</v>
                </pt>
                <pt idx="2037">
                  <v>1.13985407329972</v>
                </pt>
                <pt idx="2038">
                  <v>1.140560782825166</v>
                </pt>
                <pt idx="2039">
                  <v>1.139954004488703</v>
                </pt>
                <pt idx="2040">
                  <v>1.138563260603227</v>
                </pt>
                <pt idx="2041">
                  <v>1.137063772789012</v>
                </pt>
                <pt idx="2042">
                  <v>1.138336147150764</v>
                </pt>
                <pt idx="2043">
                  <v>1.138929220283429</v>
                </pt>
                <pt idx="2044">
                  <v>1.14419562899802</v>
                </pt>
                <pt idx="2045">
                  <v>1.146280353434054</v>
                </pt>
                <pt idx="2046">
                  <v>1.144808529460245</v>
                </pt>
                <pt idx="2047">
                  <v>1.146083846162064</v>
                </pt>
                <pt idx="2048">
                  <v>1.144204268654358</v>
                </pt>
                <pt idx="2049">
                  <v>1.145052124017431</v>
                </pt>
                <pt idx="2050">
                  <v>1.145578847994479</v>
                </pt>
                <pt idx="2051">
                  <v>1.144292362948181</v>
                </pt>
                <pt idx="2052">
                  <v>1.144784408664249</v>
                </pt>
                <pt idx="2053">
                  <v>1.144935520206192</v>
                </pt>
                <pt idx="2054">
                  <v>1.144743171038798</v>
                </pt>
                <pt idx="2055">
                  <v>1.144593209683392</v>
                </pt>
                <pt idx="2056">
                  <v>1.144426099074778</v>
                </pt>
                <pt idx="2057">
                  <v>1.144925068853974</v>
                </pt>
                <pt idx="2058">
                  <v>1.144067519977403</v>
                </pt>
                <pt idx="2059">
                  <v>1.145972392398165</v>
                </pt>
                <pt idx="2060">
                  <v>1.138866217592904</v>
                </pt>
                <pt idx="2061">
                  <v>1.136311740666843</v>
                </pt>
                <pt idx="2062">
                  <v>1.136385600929987</v>
                </pt>
                <pt idx="2063">
                  <v>1.13993339677609</v>
                </pt>
                <pt idx="2064">
                  <v>1.138827661381217</v>
                </pt>
                <pt idx="2065">
                  <v>1.139251305271251</v>
                </pt>
                <pt idx="2066">
                  <v>1.135711651465773</v>
                </pt>
                <pt idx="2067">
                  <v>1.139474264167079</v>
                </pt>
                <pt idx="2068">
                  <v>1.140265059306411</v>
                </pt>
                <pt idx="2069">
                  <v>1.142550150485261</v>
                </pt>
                <pt idx="2070">
                  <v>1.142676973551965</v>
                </pt>
                <pt idx="2071">
                  <v>1.144854915863555</v>
                </pt>
                <pt idx="2072">
                  <v>1.149498447402298</v>
                </pt>
                <pt idx="2073">
                  <v>1.151296262974035</v>
                </pt>
                <pt idx="2074">
                  <v>1.147916057145943</v>
                </pt>
                <pt idx="2075">
                  <v>1.149488702144233</v>
                </pt>
                <pt idx="2076">
                  <v>1.148096671325936</v>
                </pt>
                <pt idx="2077">
                  <v>1.149097811623333</v>
                </pt>
                <pt idx="2078">
                  <v>1.150623813517168</v>
                </pt>
                <pt idx="2079">
                  <v>1.149722875071184</v>
                </pt>
                <pt idx="2080">
                  <v>1.151243958434903</v>
                </pt>
                <pt idx="2081">
                  <v>1.153387574685509</v>
                </pt>
                <pt idx="2082">
                  <v>1.154668988280985</v>
                </pt>
                <pt idx="2083">
                  <v>1.156079993784664</v>
                </pt>
                <pt idx="2084">
                  <v>1.155281142508959</v>
                </pt>
                <pt idx="2085">
                  <v>1.158139308055527</v>
                </pt>
                <pt idx="2086">
                  <v>1.160677949418784</v>
                </pt>
                <pt idx="2087">
                  <v>1.161677293133234</v>
                </pt>
                <pt idx="2088">
                  <v>1.162691437410139</v>
                </pt>
                <pt idx="2089">
                  <v>1.161754308111587</v>
                </pt>
                <pt idx="2090">
                  <v>1.163839657094647</v>
                </pt>
                <pt idx="2091">
                  <v>1.165864738097992</v>
                </pt>
                <pt idx="2092">
                  <v>1.161271231029886</v>
                </pt>
                <pt idx="2093">
                  <v>1.163050298555824</v>
                </pt>
                <pt idx="2094">
                  <v>1.158009638561883</v>
                </pt>
                <pt idx="2095">
                  <v>1.159279975135385</v>
                </pt>
                <pt idx="2096">
                  <v>1.161693596043617</v>
                </pt>
                <pt idx="2097">
                  <v>1.158677839468287</v>
                </pt>
                <pt idx="2098">
                  <v>1.16091640505414</v>
                </pt>
                <pt idx="2099">
                  <v>1.161798701521981</v>
                </pt>
                <pt idx="2100">
                  <v>1.152971354987817</v>
                </pt>
                <pt idx="2101">
                  <v>1.155302663067603</v>
                </pt>
                <pt idx="2102">
                  <v>1.155250674447765</v>
                </pt>
                <pt idx="2103">
                  <v>1.157117559537672</v>
                </pt>
                <pt idx="2104">
                  <v>1.158552385311499</v>
                </pt>
                <pt idx="2105">
                  <v>1.160102528403046</v>
                </pt>
                <pt idx="2106">
                  <v>1.161932010090337</v>
                </pt>
                <pt idx="2107">
                  <v>1.161938981682398</v>
                </pt>
                <pt idx="2108">
                  <v>1.160930418646297</v>
                </pt>
                <pt idx="2109">
                  <v>1.159515244465968</v>
                </pt>
                <pt idx="2110">
                  <v>1.159928031892997</v>
                </pt>
                <pt idx="2111">
                  <v>1.1611610353909</v>
                </pt>
                <pt idx="2112">
                  <v>1.160736050451947</v>
                </pt>
                <pt idx="2113">
                  <v>1.160253184254959</v>
                </pt>
                <pt idx="2114">
                  <v>1.159973563237553</v>
                </pt>
                <pt idx="2115">
                  <v>1.157788173044414</v>
                </pt>
                <pt idx="2116">
                  <v>1.163015586645709</v>
                </pt>
                <pt idx="2117">
                  <v>1.165767281523713</v>
                </pt>
                <pt idx="2118">
                  <v>1.167109079664747</v>
                </pt>
                <pt idx="2119">
                  <v>1.16431385341895</v>
                </pt>
                <pt idx="2120">
                  <v>1.164699241304431</v>
                </pt>
                <pt idx="2121">
                  <v>1.164830852318699</v>
                </pt>
                <pt idx="2122">
                  <v>1.166171572629718</v>
                </pt>
                <pt idx="2123">
                  <v>1.165736590633127</v>
                </pt>
                <pt idx="2124">
                  <v>1.166382408704338</v>
                </pt>
                <pt idx="2125">
                  <v>1.163150363049818</v>
                </pt>
                <pt idx="2126">
                  <v>1.163025905960972</v>
                </pt>
                <pt idx="2127">
                  <v>1.164184279763309</v>
                </pt>
                <pt idx="2128">
                  <v>1.160162023076727</v>
                </pt>
                <pt idx="2129">
                  <v>1.158976337489142</v>
                </pt>
                <pt idx="2130">
                  <v>1.161011499937773</v>
                </pt>
                <pt idx="2131">
                  <v>1.162910914751671</v>
                </pt>
                <pt idx="2132">
                  <v>1.164370367949685</v>
                </pt>
                <pt idx="2133">
                  <v>1.165086455725974</v>
                </pt>
                <pt idx="2134">
                  <v>1.166446111619806</v>
                </pt>
                <pt idx="2135">
                  <v>1.164327845481104</v>
                </pt>
                <pt idx="2136">
                  <v>1.165494501982276</v>
                </pt>
                <pt idx="2137">
                  <v>1.165555107696379</v>
                </pt>
                <pt idx="2138">
                  <v>1.163565505127542</v>
                </pt>
                <pt idx="2139">
                  <v>1.164396290898203</v>
                </pt>
                <pt idx="2140">
                  <v>1.164736294615145</v>
                </pt>
                <pt idx="2141">
                  <v>1.164942452939292</v>
                </pt>
                <pt idx="2142">
                  <v>1.165095060400627</v>
                </pt>
                <pt idx="2143">
                  <v>1.165699744736975</v>
                </pt>
                <pt idx="2144">
                  <v>1.164848783923317</v>
                </pt>
                <pt idx="2145">
                  <v>1.165391603456626</v>
                </pt>
                <pt idx="2146">
                  <v>1.163293898570404</v>
                </pt>
                <pt idx="2147">
                  <v>1.165095840819289</v>
                </pt>
                <pt idx="2148">
                  <v>1.165406921408788</v>
                </pt>
                <pt idx="2149">
                  <v>1.16448158831319</v>
                </pt>
                <pt idx="2150">
                  <v>1.164598036472021</v>
                </pt>
                <pt idx="2151">
                  <v>1.164995164402458</v>
                </pt>
                <pt idx="2152">
                  <v>1.166439758406317</v>
                </pt>
                <pt idx="2153">
                  <v>1.16686200959886</v>
                </pt>
                <pt idx="2154">
                  <v>1.167381263193132</v>
                </pt>
                <pt idx="2155">
                  <v>1.169015596961602</v>
                </pt>
                <pt idx="2156">
                  <v>1.168564356941175</v>
                </pt>
                <pt idx="2157">
                  <v>1.168786384168994</v>
                </pt>
                <pt idx="2158">
                  <v>1.169273768091192</v>
                </pt>
                <pt idx="2159">
                  <v>1.169697045195241</v>
                </pt>
                <pt idx="2160">
                  <v>1.169078275458333</v>
                </pt>
                <pt idx="2161">
                  <v>1.170592231825051</v>
                </pt>
                <pt idx="2162">
                  <v>1.172707491987959</v>
                </pt>
                <pt idx="2163">
                  <v>1.172196191521452</v>
                </pt>
                <pt idx="2164">
                  <v>1.172933502925919</v>
                </pt>
                <pt idx="2165">
                  <v>1.173294766444821</v>
                </pt>
                <pt idx="2166">
                  <v>1.173835655332152</v>
                </pt>
                <pt idx="2167">
                  <v>1.176440396651334</v>
                </pt>
                <pt idx="2168">
                  <v>1.177648600938694</v>
                </pt>
                <pt idx="2169">
                  <v>1.174947075048141</v>
                </pt>
                <pt idx="2170">
                  <v>1.175626194457519</v>
                </pt>
                <pt idx="2171">
                  <v>1.174428231365367</v>
                </pt>
                <pt idx="2172">
                  <v>1.175282040689569</v>
                </pt>
                <pt idx="2173">
                  <v>1.176134120169069</v>
                </pt>
                <pt idx="2174">
                  <v>1.176285841470571</v>
                </pt>
                <pt idx="2175">
                  <v>1.176094106878411</v>
                </pt>
                <pt idx="2176">
                  <v>1.173974785297816</v>
                </pt>
                <pt idx="2177">
                  <v>1.174764870328322</v>
                </pt>
                <pt idx="2178">
                  <v>1.175407466712391</v>
                </pt>
                <pt idx="2179">
                  <v>1.171550954814108</v>
                </pt>
                <pt idx="2180">
                  <v>1.17355665004875</v>
                </pt>
                <pt idx="2181">
                  <v>1.174964918028808</v>
                </pt>
                <pt idx="2182">
                  <v>1.178030401499946</v>
                </pt>
                <pt idx="2183">
                  <v>1.180127295614615</v>
                </pt>
                <pt idx="2184">
                  <v>1.176537348381356</v>
                </pt>
                <pt idx="2185">
                  <v>1.177278566910836</v>
                </pt>
                <pt idx="2186">
                  <v>1.179116298753784</v>
                </pt>
                <pt idx="2187">
                  <v>1.179521914760555</v>
                </pt>
                <pt idx="2188">
                  <v>1.179608019860332</v>
                </pt>
                <pt idx="2189">
                  <v>1.181805629601332</v>
                </pt>
                <pt idx="2190">
                  <v>1.181817447657628</v>
                </pt>
                <pt idx="2191">
                  <v>1.178267268044864</v>
                </pt>
                <pt idx="2192">
                  <v>1.179181603444867</v>
                </pt>
                <pt idx="2193">
                  <v>1.17959313782447</v>
                </pt>
                <pt idx="2194">
                  <v>1.178944361598666</v>
                </pt>
                <pt idx="2195">
                  <v>1.175295528799518</v>
                </pt>
                <pt idx="2196">
                  <v>1.175524711427634</v>
                </pt>
                <pt idx="2197">
                  <v>1.175609349206857</v>
                </pt>
                <pt idx="2198">
                  <v>1.174472534966174</v>
                </pt>
                <pt idx="2199">
                  <v>1.174384449526051</v>
                </pt>
                <pt idx="2200">
                  <v>1.17433864853252</v>
                </pt>
                <pt idx="2201">
                  <v>1.174124918898487</v>
                </pt>
                <pt idx="2202">
                  <v>1.17380203454579</v>
                </pt>
                <pt idx="2203">
                  <v>1.173550840910397</v>
                </pt>
                <pt idx="2204">
                  <v>1.17338771734351</v>
                </pt>
                <pt idx="2205">
                  <v>1.173307926978731</v>
                </pt>
                <pt idx="2206">
                  <v>1.172530023823144</v>
                </pt>
                <pt idx="2207">
                  <v>1.173507913863013</v>
                </pt>
                <pt idx="2208">
                  <v>1.174652084079029</v>
                </pt>
                <pt idx="2209">
                  <v>1.175853753161042</v>
                </pt>
                <pt idx="2210">
                  <v>1.17639229417999</v>
                </pt>
                <pt idx="2211">
                  <v>1.173496016351719</v>
                </pt>
                <pt idx="2212">
                  <v>1.175130696302497</v>
                </pt>
                <pt idx="2213">
                  <v>1.17510719368857</v>
                </pt>
                <pt idx="2214">
                  <v>1.173392712292979</v>
                </pt>
                <pt idx="2215">
                  <v>1.172815403078531</v>
                </pt>
                <pt idx="2216">
                  <v>1.174951099927537</v>
                </pt>
                <pt idx="2217">
                  <v>1.177995398227449</v>
                </pt>
                <pt idx="2218">
                  <v>1.179380720815765</v>
                </pt>
                <pt idx="2219">
                  <v>1.17662686683266</v>
                </pt>
                <pt idx="2220">
                  <v>1.175223150980528</v>
                </pt>
                <pt idx="2221">
                  <v>1.175276036022323</v>
                </pt>
                <pt idx="2222">
                  <v>1.175310119027367</v>
                </pt>
                <pt idx="2223">
                  <v>1.176302080767827</v>
                </pt>
                <pt idx="2224">
                  <v>1.176573806548484</v>
                </pt>
                <pt idx="2225">
                  <v>1.168695468339835</v>
                </pt>
                <pt idx="2226">
                  <v>1.166338209580194</v>
                </pt>
                <pt idx="2227">
                  <v>1.168277830022726</v>
                </pt>
                <pt idx="2228">
                  <v>1.168303532134986</v>
                </pt>
                <pt idx="2229">
                  <v>1.170002245470711</v>
                </pt>
                <pt idx="2230">
                  <v>1.168884893326286</v>
                </pt>
                <pt idx="2231">
                  <v>1.166611412208767</v>
                </pt>
                <pt idx="2232">
                  <v>1.16734754400987</v>
                </pt>
                <pt idx="2233">
                  <v>1.162052455550242</v>
                </pt>
                <pt idx="2234">
                  <v>1.162829868643005</v>
                </pt>
                <pt idx="2235">
                  <v>1.163818274031351</v>
                </pt>
                <pt idx="2236">
                  <v>1.164470012264809</v>
                </pt>
                <pt idx="2237">
                  <v>1.165004504000438</v>
                </pt>
                <pt idx="2238">
                  <v>1.166166013490927</v>
                </pt>
                <pt idx="2239">
                  <v>1.166475047484502</v>
                </pt>
                <pt idx="2240">
                  <v>1.166732838469996</v>
                </pt>
                <pt idx="2241">
                  <v>1.167448045699978</v>
                </pt>
                <pt idx="2242">
                  <v>1.167813456938282</v>
                </pt>
                <pt idx="2243">
                  <v>1.167981622076081</v>
                </pt>
                <pt idx="2244">
                  <v>1.168590140501183</v>
                </pt>
                <pt idx="2245">
                  <v>1.168786463644787</v>
                </pt>
                <pt idx="2246">
                  <v>1.169005026713488</v>
                </pt>
                <pt idx="2247">
                  <v>1.169145307316694</v>
                </pt>
                <pt idx="2248">
                  <v>1.169546324157104</v>
                </pt>
                <pt idx="2249">
                  <v>1.168470341538879</v>
                </pt>
                <pt idx="2250">
                  <v>1.169932097936144</v>
                </pt>
                <pt idx="2251">
                  <v>1.171004925669952</v>
                </pt>
                <pt idx="2252">
                  <v>1.172512009009289</v>
                </pt>
                <pt idx="2253">
                  <v>1.169617076859045</v>
                </pt>
                <pt idx="2254">
                  <v>1.169916498830721</v>
                </pt>
                <pt idx="2255">
                  <v>1.166487473572648</v>
                </pt>
                <pt idx="2256">
                  <v>1.166412818374339</v>
                </pt>
                <pt idx="2257">
                  <v>1.166515462702356</v>
                </pt>
                <pt idx="2258">
                  <v>1.166436139650892</v>
                </pt>
                <pt idx="2259">
                  <v>1.165661626054164</v>
                </pt>
                <pt idx="2260">
                  <v>1.166205990033532</v>
                </pt>
                <pt idx="2261">
                  <v>1.167317384342033</v>
                </pt>
                <pt idx="2262">
                  <v>1.168381977796553</v>
                </pt>
                <pt idx="2263">
                  <v>1.168379641032598</v>
                </pt>
                <pt idx="2264">
                  <v>1.168838814231524</v>
                </pt>
                <pt idx="2265">
                  <v>1.170498565347732</v>
                </pt>
                <pt idx="2266">
                  <v>1.170744370046455</v>
                </pt>
                <pt idx="2267">
                  <v>1.170849737039759</v>
                </pt>
                <pt idx="2268">
                  <v>1.170471552574696</v>
                </pt>
                <pt idx="2269">
                  <v>1.168722868075149</v>
                </pt>
                <pt idx="2270">
                  <v>1.170454915365636</v>
                </pt>
                <pt idx="2271">
                  <v>1.170046426600174</v>
                </pt>
                <pt idx="2272">
                  <v>1.17151717495841</v>
                </pt>
                <pt idx="2273">
                  <v>1.171624954538506</v>
                </pt>
                <pt idx="2274">
                  <v>1.171829988905551</v>
                </pt>
                <pt idx="2275">
                  <v>1.171425707559378</v>
                </pt>
                <pt idx="2276">
                  <v>1.17067599510654</v>
                </pt>
                <pt idx="2277">
                  <v>1.169075681021229</v>
                </pt>
                <pt idx="2278">
                  <v>1.170534687471144</v>
                </pt>
                <pt idx="2279">
                  <v>1.171629137403929</v>
                </pt>
                <pt idx="2280">
                  <v>1.171606876450319</v>
                </pt>
                <pt idx="2281">
                  <v>1.1716924037523</v>
                </pt>
                <pt idx="2282">
                  <v>1.172484467817236</v>
                </pt>
                <pt idx="2283">
                  <v>1.172826833281839</v>
                </pt>
                <pt idx="2284">
                  <v>1.17316695306349</v>
                </pt>
                <pt idx="2285">
                  <v>1.17299449752139</v>
                </pt>
                <pt idx="2286">
                  <v>1.173172792685013</v>
                </pt>
                <pt idx="2287">
                  <v>1.173272512372391</v>
                </pt>
                <pt idx="2288">
                  <v>1.17347431524452</v>
                </pt>
                <pt idx="2289">
                  <v>1.173592836150359</v>
                </pt>
                <pt idx="2290">
                  <v>1.171899341687794</v>
                </pt>
                <pt idx="2291">
                  <v>1.17242435259287</v>
                </pt>
                <pt idx="2292">
                  <v>1.17206676316533</v>
                </pt>
                <pt idx="2293">
                  <v>1.172139431304646</v>
                </pt>
                <pt idx="2294">
                  <v>1.168029910458492</v>
                </pt>
                <pt idx="2295">
                  <v>1.16779513644649</v>
                </pt>
                <pt idx="2296">
                  <v>1.167069935666756</v>
                </pt>
                <pt idx="2297">
                  <v>1.167497083263211</v>
                </pt>
                <pt idx="2298">
                  <v>1.168801177505216</v>
                </pt>
                <pt idx="2299">
                  <v>1.169590118300032</v>
                </pt>
                <pt idx="2300">
                  <v>1.161916437533865</v>
                </pt>
                <pt idx="2301">
                  <v>1.161973371439304</v>
                </pt>
                <pt idx="2302">
                  <v>1.163443267754175</v>
                </pt>
                <pt idx="2303">
                  <v>1.163786483518162</v>
                </pt>
                <pt idx="2304">
                  <v>1.164746607367065</v>
                </pt>
                <pt idx="2305">
                  <v>1.164576554362389</v>
                </pt>
                <pt idx="2306">
                  <v>1.164364601429495</v>
                </pt>
                <pt idx="2307">
                  <v>1.165156369358467</v>
                </pt>
                <pt idx="2308">
                  <v>1.16533347312661</v>
                </pt>
                <pt idx="2309">
                  <v>1.1650130064215</v>
                </pt>
                <pt idx="2310">
                  <v>1.165093392318943</v>
                </pt>
                <pt idx="2311">
                  <v>1.16516213282909</v>
                </pt>
                <pt idx="2312">
                  <v>1.166211943910769</v>
                </pt>
                <pt idx="2313">
                  <v>1.167160074221169</v>
                </pt>
                <pt idx="2314">
                  <v>1.168492971025929</v>
                </pt>
                <pt idx="2315">
                  <v>1.167760325933096</v>
                </pt>
                <pt idx="2316">
                  <v>1.168070950179794</v>
                </pt>
                <pt idx="2317">
                  <v>1.168219295190467</v>
                </pt>
                <pt idx="2318">
                  <v>1.169333776398078</v>
                </pt>
                <pt idx="2319">
                  <v>1.169905580614737</v>
                </pt>
                <pt idx="2320">
                  <v>1.170351314640951</v>
                </pt>
                <pt idx="2321">
                  <v>1.17161178300682</v>
                </pt>
                <pt idx="2322">
                  <v>1.174660316866204</v>
                </pt>
                <pt idx="2323">
                  <v>1.175536613462586</v>
                </pt>
                <pt idx="2324">
                  <v>1.176118504086249</v>
                </pt>
                <pt idx="2325">
                  <v>1.17601500565789</v>
                </pt>
                <pt idx="2326">
                  <v>1.177492080504996</v>
                </pt>
                <pt idx="2327">
                  <v>1.176627801317905</v>
                </pt>
                <pt idx="2328">
                  <v>1.178146827809406</v>
                </pt>
                <pt idx="2329">
                  <v>1.171814288609931</v>
                </pt>
                <pt idx="2330">
                  <v>1.174514148730888</v>
                </pt>
                <pt idx="2331">
                  <v>1.17916757378816</v>
                </pt>
                <pt idx="2332">
                  <v>1.179277236372522</v>
                </pt>
                <pt idx="2333">
                  <v>1.179513091819797</v>
                </pt>
                <pt idx="2334">
                  <v>1.179226470138485</v>
                </pt>
                <pt idx="2335">
                  <v>1.174734796513727</v>
                </pt>
                <pt idx="2336">
                  <v>1.17289398708759</v>
                </pt>
                <pt idx="2337">
                  <v>1.17210462943428</v>
                </pt>
                <pt idx="2338">
                  <v>1.17467505488663</v>
                </pt>
                <pt idx="2339">
                  <v>1.174949928849473</v>
                </pt>
                <pt idx="2340">
                  <v>1.173919497761872</v>
                </pt>
                <pt idx="2341">
                  <v>1.17477058939775</v>
                </pt>
                <pt idx="2342">
                  <v>1.174111543097097</v>
                </pt>
                <pt idx="2343">
                  <v>1.175367842448211</v>
                </pt>
                <pt idx="2344">
                  <v>1.174629711443154</v>
                </pt>
                <pt idx="2345">
                  <v>1.175282805562716</v>
                </pt>
                <pt idx="2346">
                  <v>1.175802280562775</v>
                </pt>
                <pt idx="2347">
                  <v>1.174800497019736</v>
                </pt>
                <pt idx="2348">
                  <v>1.174987290298762</v>
                </pt>
                <pt idx="2349">
                  <v>1.174581919683609</v>
                </pt>
                <pt idx="2350">
                  <v>1.174846200615537</v>
                </pt>
                <pt idx="2351">
                  <v>1.174961335543198</v>
                </pt>
                <pt idx="2352">
                  <v>1.175103505864798</v>
                </pt>
                <pt idx="2353">
                  <v>1.176345590270498</v>
                </pt>
                <pt idx="2354">
                  <v>1.176798483322752</v>
                </pt>
                <pt idx="2355">
                  <v>1.177825828398692</v>
                </pt>
                <pt idx="2356">
                  <v>1.177794027101326</v>
                </pt>
                <pt idx="2357">
                  <v>1.178177987954161</v>
                </pt>
                <pt idx="2358">
                  <v>1.178467819739197</v>
                </pt>
                <pt idx="2359">
                  <v>1.178551490954399</v>
                </pt>
                <pt idx="2360">
                  <v>1.179728863893862</v>
                </pt>
                <pt idx="2361">
                  <v>1.180567651116091</v>
                </pt>
                <pt idx="2362">
                  <v>1.18114849040044</v>
                </pt>
                <pt idx="2363">
                  <v>1.180959506641976</v>
                </pt>
                <pt idx="2364">
                  <v>1.181827511879357</v>
                </pt>
                <pt idx="2365">
                  <v>1.182408971015202</v>
                </pt>
                <pt idx="2366">
                  <v>1.183515705812072</v>
                </pt>
                <pt idx="2367">
                  <v>1.183715719966355</v>
                </pt>
                <pt idx="2368">
                  <v>1.183637594728837</v>
                </pt>
                <pt idx="2369">
                  <v>1.1860486645093</v>
                </pt>
                <pt idx="2370">
                  <v>1.186502921147807</v>
                </pt>
                <pt idx="2371">
                  <v>1.18705464500614</v>
                </pt>
                <pt idx="2372">
                  <v>1.186040900339305</v>
                </pt>
                <pt idx="2373">
                  <v>1.18619745773815</v>
                </pt>
                <pt idx="2374">
                  <v>1.187525998890817</v>
                </pt>
                <pt idx="2375">
                  <v>1.188168450456216</v>
                </pt>
                <pt idx="2376">
                  <v>1.188157756940162</v>
                </pt>
                <pt idx="2377">
                  <v>1.189715431759511</v>
                </pt>
                <pt idx="2378">
                  <v>1.190034275495222</v>
                </pt>
                <pt idx="2379">
                  <v>1.189683215383951</v>
                </pt>
                <pt idx="2380">
                  <v>1.187487060168353</v>
                </pt>
                <pt idx="2381">
                  <v>1.188434674842367</v>
                </pt>
                <pt idx="2382">
                  <v>1.188564214221925</v>
                </pt>
                <pt idx="2383">
                  <v>1.187753613427825</v>
                </pt>
                <pt idx="2384">
                  <v>1.190139810437202</v>
                </pt>
                <pt idx="2385">
                  <v>1.191220457385079</v>
                </pt>
                <pt idx="2386">
                  <v>1.192210361585166</v>
                </pt>
                <pt idx="2387">
                  <v>1.192968607375134</v>
                </pt>
                <pt idx="2388">
                  <v>1.193969508036722</v>
                </pt>
                <pt idx="2389">
                  <v>1.195915678334821</v>
                </pt>
                <pt idx="2390">
                  <v>1.195640617728805</v>
                </pt>
                <pt idx="2391">
                  <v>1.195729095134516</v>
                </pt>
                <pt idx="2392">
                  <v>1.196286304892849</v>
                </pt>
                <pt idx="2393">
                  <v>1.196251612590007</v>
                </pt>
                <pt idx="2394">
                  <v>1.196402340293194</v>
                </pt>
                <pt idx="2395">
                  <v>1.194343331865549</v>
                </pt>
                <pt idx="2396">
                  <v>1.194862871214911</v>
                </pt>
                <pt idx="2397">
                  <v>1.195086310571828</v>
                </pt>
                <pt idx="2398">
                  <v>1.19511140738435</v>
                </pt>
                <pt idx="2399">
                  <v>1.194119464916221</v>
                </pt>
                <pt idx="2400">
                  <v>1.191460160867853</v>
                </pt>
                <pt idx="2401">
                  <v>1.190267509246824</v>
                </pt>
                <pt idx="2402">
                  <v>1.189812827058292</v>
                </pt>
                <pt idx="2403">
                  <v>1.190782524512344</v>
                </pt>
                <pt idx="2404">
                  <v>1.191591065846488</v>
                </pt>
                <pt idx="2405">
                  <v>1.182276398484766</v>
                </pt>
                <pt idx="2406">
                  <v>1.18247620319611</v>
                </pt>
                <pt idx="2407">
                  <v>1.183149032155729</v>
                </pt>
                <pt idx="2408">
                  <v>1.183925177920823</v>
                </pt>
                <pt idx="2409">
                  <v>1.182838334607492</v>
                </pt>
                <pt idx="2410">
                  <v>1.181845933244756</v>
                </pt>
                <pt idx="2411">
                  <v>1.175168503721923</v>
                </pt>
                <pt idx="2412">
                  <v>1.172651292786951</v>
                </pt>
                <pt idx="2413">
                  <v>1.171649848582911</v>
                </pt>
                <pt idx="2414">
                  <v>1.171506907301384</v>
                </pt>
                <pt idx="2415">
                  <v>1.171363983458693</v>
                </pt>
                <pt idx="2416">
                  <v>1.171737648569416</v>
                </pt>
                <pt idx="2417">
                  <v>1.177013983200924</v>
                </pt>
                <pt idx="2418">
                  <v>1.178344009001941</v>
                </pt>
                <pt idx="2419">
                  <v>1.177726556741225</v>
                </pt>
                <pt idx="2420">
                  <v>1.18139635269203</v>
                </pt>
                <pt idx="2421">
                  <v>1.179695141944154</v>
                </pt>
                <pt idx="2422">
                  <v>1.180503233116386</v>
                </pt>
                <pt idx="2423">
                  <v>1.181174939456029</v>
                </pt>
                <pt idx="2424">
                  <v>1.180632780158819</v>
                </pt>
                <pt idx="2425">
                  <v>1.180783901154679</v>
                </pt>
                <pt idx="2426">
                  <v>1.180904341112597</v>
                </pt>
                <pt idx="2427">
                  <v>1.181741602290445</v>
                </pt>
                <pt idx="2428">
                  <v>1.182885528161463</v>
                </pt>
                <pt idx="2429">
                  <v>1.183235662277799</v>
                </pt>
                <pt idx="2430">
                  <v>1.183178866966009</v>
                </pt>
                <pt idx="2431">
                  <v>1.183771639578359</v>
                </pt>
                <pt idx="2432">
                  <v>1.183963410583971</v>
                </pt>
                <pt idx="2433">
                  <v>1.185409029908294</v>
                </pt>
                <pt idx="2434">
                  <v>1.184869668799686</v>
                </pt>
                <pt idx="2435">
                  <v>1.185078205861394</v>
                </pt>
                <pt idx="2436">
                  <v>1.18523700634098</v>
                </pt>
                <pt idx="2437">
                  <v>1.187920382923336</v>
                </pt>
                <pt idx="2438">
                  <v>1.188693719092619</v>
                </pt>
                <pt idx="2439">
                  <v>1.189343934556963</v>
                </pt>
                <pt idx="2440">
                  <v>1.189666246763227</v>
                </pt>
                <pt idx="2441">
                  <v>1.19015757892314</v>
                </pt>
                <pt idx="2442">
                  <v>1.190790742755128</v>
                </pt>
                <pt idx="2443">
                  <v>1.19062760442337</v>
                </pt>
                <pt idx="2444">
                  <v>1.191274115212572</v>
                </pt>
                <pt idx="2445">
                  <v>1.190122153143161</v>
                </pt>
                <pt idx="2446">
                  <v>1.188602367153597</v>
                </pt>
                <pt idx="2447">
                  <v>1.190562372457034</v>
                </pt>
                <pt idx="2448">
                  <v>1.191407671741478</v>
                </pt>
                <pt idx="2449">
                  <v>1.191922359855671</v>
                </pt>
                <pt idx="2450">
                  <v>1.192142865492244</v>
                </pt>
                <pt idx="2451">
                  <v>1.192518390494874</v>
                </pt>
                <pt idx="2452">
                  <v>1.193413971806136</v>
                </pt>
                <pt idx="2453">
                  <v>1.192909157696062</v>
                </pt>
                <pt idx="2454">
                  <v>1.193713178468349</v>
                </pt>
                <pt idx="2455">
                  <v>1.193900591437369</v>
                </pt>
                <pt idx="2456">
                  <v>1.194231301901197</v>
                </pt>
                <pt idx="2457">
                  <v>1.194466565467671</v>
                </pt>
                <pt idx="2458">
                  <v>1.195440055718528</v>
                </pt>
                <pt idx="2459">
                  <v>1.195652844048446</v>
                </pt>
                <pt idx="2460">
                  <v>1.197252627553782</v>
                </pt>
                <pt idx="2461">
                  <v>1.19702874131243</v>
                </pt>
                <pt idx="2462">
                  <v>1.197313634152862</v>
                </pt>
                <pt idx="2463">
                  <v>1.19811463697411</v>
                </pt>
                <pt idx="2464">
                  <v>1.199184553344928</v>
                </pt>
                <pt idx="2465">
                  <v>1.201021704080653</v>
                </pt>
                <pt idx="2466">
                  <v>1.202414889257386</v>
                </pt>
                <pt idx="2467">
                  <v>1.206430954987506</v>
                </pt>
                <pt idx="2468">
                  <v>1.208235775696167</v>
                </pt>
                <pt idx="2469">
                  <v>1.20710365877434</v>
                </pt>
                <pt idx="2470">
                  <v>1.20823592200627</v>
                </pt>
                <pt idx="2471">
                  <v>1.208196050220844</v>
                </pt>
                <pt idx="2472">
                  <v>1.210179908135307</v>
                </pt>
                <pt idx="2473">
                  <v>1.210533280668482</v>
                </pt>
                <pt idx="2474">
                  <v>1.211950815140145</v>
                </pt>
                <pt idx="2475">
                  <v>1.210026237245702</v>
                </pt>
                <pt idx="2476">
                  <v>1.21589244444387</v>
                </pt>
                <pt idx="2477">
                  <v>1.219305454535424</v>
                </pt>
                <pt idx="2478">
                  <v>1.215888960651815</v>
                </pt>
                <pt idx="2479">
                  <v>1.212657127794403</v>
                </pt>
                <pt idx="2480">
                  <v>1.21324162853</v>
                </pt>
                <pt idx="2481">
                  <v>1.21334839379331</v>
                </pt>
                <pt idx="2482">
                  <v>1.214920893311666</v>
                </pt>
                <pt idx="2483">
                  <v>1.216353285044881</v>
                </pt>
                <pt idx="2484">
                  <v>1.217658432119734</v>
                </pt>
                <pt idx="2485">
                  <v>1.218812772313383</v>
                </pt>
                <pt idx="2486">
                  <v>1.216064349511817</v>
                </pt>
                <pt idx="2487">
                  <v>1.218210703088705</v>
                </pt>
                <pt idx="2488">
                  <v>1.217997516215665</v>
                </pt>
                <pt idx="2489">
                  <v>1.217382427469976</v>
                </pt>
                <pt idx="2490">
                  <v>1.218781199879139</v>
                </pt>
                <pt idx="2491">
                  <v>1.219991449610619</v>
                </pt>
                <pt idx="2492">
                  <v>1.222519271894212</v>
                </pt>
                <pt idx="2493">
                  <v>1.221355433547369</v>
                </pt>
                <pt idx="2494">
                  <v>1.222206718284552</v>
                </pt>
                <pt idx="2495">
                  <v>1.222740822620442</v>
                </pt>
                <pt idx="2496">
                  <v>1.223012271083064</v>
                </pt>
                <pt idx="2497">
                  <v>1.223217737144605</v>
                </pt>
                <pt idx="2498">
                  <v>1.223364523273063</v>
                </pt>
                <pt idx="2499">
                  <v>1.223444041967075</v>
                </pt>
                <pt idx="2500">
                  <v>1.22437385943897</v>
                </pt>
                <pt idx="2501">
                  <v>1.224138779657958</v>
                </pt>
                <pt idx="2502">
                  <v>1.225004245775176</v>
                </pt>
                <pt idx="2503">
                  <v>1.224706569743453</v>
                </pt>
                <pt idx="2504">
                  <v>1.225762266806572</v>
                </pt>
                <pt idx="2505">
                  <v>1.226882613518433</v>
                </pt>
                <pt idx="2506">
                  <v>1.226012753745449</v>
                </pt>
                <pt idx="2507">
                  <v>1.225576293205115</v>
                </pt>
                <pt idx="2508">
                  <v>1.209459964949468</v>
                </pt>
                <pt idx="2509">
                  <v>1.2111979589191</v>
                </pt>
                <pt idx="2510">
                  <v>1.214990219728476</v>
                </pt>
                <pt idx="2511">
                  <v>1.21550659057186</v>
                </pt>
                <pt idx="2512">
                  <v>1.218478504185809</v>
                </pt>
                <pt idx="2513">
                  <v>1.218361530249407</v>
                </pt>
                <pt idx="2514">
                  <v>1.21334431746784</v>
                </pt>
                <pt idx="2515">
                  <v>1.21286989983971</v>
                </pt>
                <pt idx="2516">
                  <v>1.212441756765066</v>
                </pt>
                <pt idx="2517">
                  <v>1.212246553642227</v>
                </pt>
                <pt idx="2518">
                  <v>1.211903487867546</v>
                </pt>
                <pt idx="2519">
                  <v>1.211739880896684</v>
                </pt>
                <pt idx="2520">
                  <v>1.211663541284188</v>
                </pt>
                <pt idx="2521">
                  <v>1.213201142318077</v>
                </pt>
                <pt idx="2522">
                  <v>1.211122928761287</v>
                </pt>
                <pt idx="2523">
                  <v>1.212730088887753</v>
                </pt>
                <pt idx="2524">
                  <v>1.213033271409975</v>
                </pt>
                <pt idx="2525">
                  <v>1.210512588271985</v>
                </pt>
                <pt idx="2526">
                  <v>1.211546366022369</v>
                </pt>
                <pt idx="2527">
                  <v>1.209684219257793</v>
                </pt>
                <pt idx="2528">
                  <v>1.212110845801624</v>
                </pt>
                <pt idx="2529">
                  <v>1.211726606663505</v>
                </pt>
                <pt idx="2530">
                  <v>1.212411232196269</v>
                </pt>
                <pt idx="2531">
                  <v>1.213549686343302</v>
                </pt>
                <pt idx="2532">
                  <v>1.209186975220897</v>
                </pt>
                <pt idx="2533">
                  <v>1.208920954086349</v>
                </pt>
                <pt idx="2534">
                  <v>1.210270109871109</v>
                </pt>
                <pt idx="2535">
                  <v>1.21195359559394</v>
                </pt>
                <pt idx="2536">
                  <v>1.212160839658786</v>
                </pt>
                <pt idx="2537">
                  <v>1.212517214945646</v>
                </pt>
                <pt idx="2538">
                  <v>1.215278116644077</v>
                </pt>
                <pt idx="2539">
                  <v>1.217009887960295</v>
                </pt>
                <pt idx="2540">
                  <v>1.217685328448113</v>
                </pt>
                <pt idx="2541">
                  <v>1.218206497768689</v>
                </pt>
                <pt idx="2542">
                  <v>1.219746310781868</v>
                </pt>
                <pt idx="2543">
                  <v>1.220391556580272</v>
                </pt>
                <pt idx="2544">
                  <v>1.220740588565454</v>
                </pt>
                <pt idx="2545">
                  <v>1.219944665701709</v>
                </pt>
                <pt idx="2546">
                  <v>1.22183192009955</v>
                </pt>
                <pt idx="2547">
                  <v>1.223118509111415</v>
                </pt>
                <pt idx="2548">
                  <v>1.223851157098373</v>
                </pt>
                <pt idx="2549">
                  <v>1.2246748089271</v>
                </pt>
                <pt idx="2550">
                  <v>1.218833110088517</v>
                </pt>
                <pt idx="2551">
                  <v>1.221178144992328</v>
                </pt>
                <pt idx="2552">
                  <v>1.219689528833582</v>
                </pt>
                <pt idx="2553">
                  <v>1.220542091814237</v>
                </pt>
                <pt idx="2554">
                  <v>1.216746205908694</v>
                </pt>
                <pt idx="2555">
                  <v>1.218598093634087</v>
                </pt>
                <pt idx="2556">
                  <v>1.215140930842447</v>
                </pt>
                <pt idx="2557">
                  <v>1.215602684396168</v>
                </pt>
                <pt idx="2558">
                  <v>1.215917525491426</v>
                </pt>
                <pt idx="2559">
                  <v>1.213375041945624</v>
                </pt>
                <pt idx="2560">
                  <v>1.214197710224063</v>
                </pt>
                <pt idx="2561">
                  <v>1.213905088575899</v>
                </pt>
                <pt idx="2562">
                  <v>1.213489933035606</v>
                </pt>
                <pt idx="2563">
                  <v>1.218790457063105</v>
                </pt>
                <pt idx="2564">
                  <v>1.217503414340447</v>
                </pt>
                <pt idx="2565">
                  <v>1.220442467582665</v>
                </pt>
                <pt idx="2566">
                  <v>1.221766647659992</v>
                </pt>
                <pt idx="2567">
                  <v>1.219836256356689</v>
                </pt>
                <pt idx="2568">
                  <v>1.221009738835304</v>
                </pt>
                <pt idx="2569">
                  <v>1.222278367953954</v>
                </pt>
                <pt idx="2570">
                  <v>1.223512869105587</v>
                </pt>
                <pt idx="2571">
                  <v>1.221015679339743</v>
                </pt>
                <pt idx="2572">
                  <v>1.223416196165325</v>
                </pt>
                <pt idx="2573">
                  <v>1.221631231935119</v>
                </pt>
                <pt idx="2574">
                  <v>1.223717778079265</v>
                </pt>
                <pt idx="2575">
                  <v>1.215389154881657</v>
                </pt>
                <pt idx="2576">
                  <v>1.216271527408102</v>
                </pt>
                <pt idx="2577">
                  <v>1.217887952268027</v>
                </pt>
                <pt idx="2578">
                  <v>1.217392271871454</v>
                </pt>
                <pt idx="2579">
                  <v>1.186099203522998</v>
                </pt>
                <pt idx="2580">
                  <v>1.178033728939042</v>
                </pt>
                <pt idx="2581">
                  <v>1.176795615489927</v>
                </pt>
                <pt idx="2582">
                  <v>1.176486118243053</v>
                </pt>
                <pt idx="2583">
                  <v>1.176688473855391</v>
                </pt>
                <pt idx="2584">
                  <v>1.152188643141248</v>
                </pt>
                <pt idx="2585">
                  <v>1.158191545972013</v>
                </pt>
                <pt idx="2586">
                  <v>1.171372923956721</v>
                </pt>
                <pt idx="2587">
                  <v>1.175408303679752</v>
                </pt>
                <pt idx="2588">
                  <v>1.167333248633472</v>
                </pt>
                <pt idx="2589">
                  <v>1.172338773603612</v>
                </pt>
                <pt idx="2590">
                  <v>1.165331704753783</v>
                </pt>
                <pt idx="2591">
                  <v>1.164688441652759</v>
                </pt>
                <pt idx="2592">
                  <v>1.164460162718195</v>
                </pt>
                <pt idx="2593">
                  <v>1.163181585459531</v>
                </pt>
                <pt idx="2594">
                  <v>1.167396955525236</v>
                </pt>
                <pt idx="2595">
                  <v>1.170467209518268</v>
                </pt>
                <pt idx="2596">
                  <v>1.172059044923212</v>
                </pt>
                <pt idx="2597">
                  <v>1.173324868691729</v>
                </pt>
                <pt idx="2598">
                  <v>1.171456935500772</v>
                </pt>
                <pt idx="2599">
                  <v>1.173234035671927</v>
                </pt>
                <pt idx="2600">
                  <v>1.175761181784764</v>
                </pt>
                <pt idx="2601">
                  <v>1.176831124460188</v>
                </pt>
                <pt idx="2602">
                  <v>1.178372773233231</v>
                </pt>
                <pt idx="2603">
                  <v>1.178855906070257</v>
                </pt>
                <pt idx="2604">
                  <v>1.179026840176637</v>
                </pt>
                <pt idx="2605">
                  <v>1.177057865353542</v>
                </pt>
                <pt idx="2606">
                  <v>1.175812538131998</v>
                </pt>
                <pt idx="2607">
                  <v>1.175731407066867</v>
                </pt>
                <pt idx="2608">
                  <v>1.176181712195774</v>
                </pt>
                <pt idx="2609">
                  <v>1.176660418152637</v>
                </pt>
                <pt idx="2610">
                  <v>1.17666512479431</v>
                </pt>
                <pt idx="2611">
                  <v>1.178151252846925</v>
                </pt>
                <pt idx="2612">
                  <v>1.176818763779955</v>
                </pt>
                <pt idx="2613">
                  <v>1.178187404002231</v>
                </pt>
                <pt idx="2614">
                  <v>1.176493170515276</v>
                </pt>
                <pt idx="2615">
                  <v>1.179855587996609</v>
                </pt>
                <pt idx="2616">
                  <v>1.181146350009877</v>
                </pt>
                <pt idx="2617">
                  <v>1.182293243115737</v>
                </pt>
                <pt idx="2618">
                  <v>1.183691896022343</v>
                </pt>
                <pt idx="2619">
                  <v>1.184824689166836</v>
                </pt>
                <pt idx="2620">
                  <v>1.185523735733445</v>
                </pt>
                <pt idx="2621">
                  <v>1.185922071708651</v>
                </pt>
                <pt idx="2622">
                  <v>1.186060824591041</v>
                </pt>
                <pt idx="2623">
                  <v>1.186255338566274</v>
                </pt>
                <pt idx="2624">
                  <v>1.186613587678521</v>
                </pt>
                <pt idx="2625">
                  <v>1.18663969317745</v>
                </pt>
              </numCache>
            </numRef>
          </val>
          <smooth val="0"/>
        </ser>
        <ser>
          <idx val="1"/>
          <order val="1"/>
          <spPr>
            <a:ln xmlns:a="http://schemas.openxmlformats.org/drawingml/2006/main"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'20250815_ETF_Options_Exhibits'!$AH$2:$AH$2627</f>
              <numCache>
                <formatCode>m/d/yy</formatCode>
                <ptCount val="2626"/>
                <pt idx="0">
                  <v>42004</v>
                </pt>
                <pt idx="1">
                  <v>42006</v>
                </pt>
                <pt idx="2">
                  <v>42009</v>
                </pt>
                <pt idx="3">
                  <v>42010</v>
                </pt>
                <pt idx="4">
                  <v>42011</v>
                </pt>
                <pt idx="5">
                  <v>42012</v>
                </pt>
                <pt idx="6">
                  <v>42013</v>
                </pt>
                <pt idx="7">
                  <v>42016</v>
                </pt>
                <pt idx="8">
                  <v>42017</v>
                </pt>
                <pt idx="9">
                  <v>42018</v>
                </pt>
                <pt idx="10">
                  <v>42019</v>
                </pt>
                <pt idx="11">
                  <v>42020</v>
                </pt>
                <pt idx="12">
                  <v>42024</v>
                </pt>
                <pt idx="13">
                  <v>42025</v>
                </pt>
                <pt idx="14">
                  <v>42026</v>
                </pt>
                <pt idx="15">
                  <v>42027</v>
                </pt>
                <pt idx="16">
                  <v>42030</v>
                </pt>
                <pt idx="17">
                  <v>42031</v>
                </pt>
                <pt idx="18">
                  <v>42032</v>
                </pt>
                <pt idx="19">
                  <v>42033</v>
                </pt>
                <pt idx="20">
                  <v>42034</v>
                </pt>
                <pt idx="21">
                  <v>42037</v>
                </pt>
                <pt idx="22">
                  <v>42038</v>
                </pt>
                <pt idx="23">
                  <v>42039</v>
                </pt>
                <pt idx="24">
                  <v>42040</v>
                </pt>
                <pt idx="25">
                  <v>42041</v>
                </pt>
                <pt idx="26">
                  <v>42044</v>
                </pt>
                <pt idx="27">
                  <v>42045</v>
                </pt>
                <pt idx="28">
                  <v>42046</v>
                </pt>
                <pt idx="29">
                  <v>42047</v>
                </pt>
                <pt idx="30">
                  <v>42048</v>
                </pt>
                <pt idx="31">
                  <v>42052</v>
                </pt>
                <pt idx="32">
                  <v>42053</v>
                </pt>
                <pt idx="33">
                  <v>42054</v>
                </pt>
                <pt idx="34">
                  <v>42055</v>
                </pt>
                <pt idx="35">
                  <v>42058</v>
                </pt>
                <pt idx="36">
                  <v>42059</v>
                </pt>
                <pt idx="37">
                  <v>42060</v>
                </pt>
                <pt idx="38">
                  <v>42061</v>
                </pt>
                <pt idx="39">
                  <v>42062</v>
                </pt>
                <pt idx="40">
                  <v>42065</v>
                </pt>
                <pt idx="41">
                  <v>42066</v>
                </pt>
                <pt idx="42">
                  <v>42067</v>
                </pt>
                <pt idx="43">
                  <v>42068</v>
                </pt>
                <pt idx="44">
                  <v>42069</v>
                </pt>
                <pt idx="45">
                  <v>42072</v>
                </pt>
                <pt idx="46">
                  <v>42073</v>
                </pt>
                <pt idx="47">
                  <v>42074</v>
                </pt>
                <pt idx="48">
                  <v>42075</v>
                </pt>
                <pt idx="49">
                  <v>42076</v>
                </pt>
                <pt idx="50">
                  <v>42079</v>
                </pt>
                <pt idx="51">
                  <v>42080</v>
                </pt>
                <pt idx="52">
                  <v>42081</v>
                </pt>
                <pt idx="53">
                  <v>42082</v>
                </pt>
                <pt idx="54">
                  <v>42083</v>
                </pt>
                <pt idx="55">
                  <v>42086</v>
                </pt>
                <pt idx="56">
                  <v>42087</v>
                </pt>
                <pt idx="57">
                  <v>42088</v>
                </pt>
                <pt idx="58">
                  <v>42089</v>
                </pt>
                <pt idx="59">
                  <v>42090</v>
                </pt>
                <pt idx="60">
                  <v>42093</v>
                </pt>
                <pt idx="61">
                  <v>42094</v>
                </pt>
                <pt idx="62">
                  <v>42095</v>
                </pt>
                <pt idx="63">
                  <v>42096</v>
                </pt>
                <pt idx="64">
                  <v>42100</v>
                </pt>
                <pt idx="65">
                  <v>42101</v>
                </pt>
                <pt idx="66">
                  <v>42102</v>
                </pt>
                <pt idx="67">
                  <v>42103</v>
                </pt>
                <pt idx="68">
                  <v>42104</v>
                </pt>
                <pt idx="69">
                  <v>42107</v>
                </pt>
                <pt idx="70">
                  <v>42108</v>
                </pt>
                <pt idx="71">
                  <v>42109</v>
                </pt>
                <pt idx="72">
                  <v>42110</v>
                </pt>
                <pt idx="73">
                  <v>42111</v>
                </pt>
                <pt idx="74">
                  <v>42114</v>
                </pt>
                <pt idx="75">
                  <v>42115</v>
                </pt>
                <pt idx="76">
                  <v>42116</v>
                </pt>
                <pt idx="77">
                  <v>42117</v>
                </pt>
                <pt idx="78">
                  <v>42118</v>
                </pt>
                <pt idx="79">
                  <v>42121</v>
                </pt>
                <pt idx="80">
                  <v>42122</v>
                </pt>
                <pt idx="81">
                  <v>42123</v>
                </pt>
                <pt idx="82">
                  <v>42124</v>
                </pt>
                <pt idx="83">
                  <v>42125</v>
                </pt>
                <pt idx="84">
                  <v>42128</v>
                </pt>
                <pt idx="85">
                  <v>42129</v>
                </pt>
                <pt idx="86">
                  <v>42130</v>
                </pt>
                <pt idx="87">
                  <v>42131</v>
                </pt>
                <pt idx="88">
                  <v>42132</v>
                </pt>
                <pt idx="89">
                  <v>42135</v>
                </pt>
                <pt idx="90">
                  <v>42136</v>
                </pt>
                <pt idx="91">
                  <v>42137</v>
                </pt>
                <pt idx="92">
                  <v>42138</v>
                </pt>
                <pt idx="93">
                  <v>42139</v>
                </pt>
                <pt idx="94">
                  <v>42142</v>
                </pt>
                <pt idx="95">
                  <v>42143</v>
                </pt>
                <pt idx="96">
                  <v>42144</v>
                </pt>
                <pt idx="97">
                  <v>42145</v>
                </pt>
                <pt idx="98">
                  <v>42146</v>
                </pt>
                <pt idx="99">
                  <v>42150</v>
                </pt>
                <pt idx="100">
                  <v>42151</v>
                </pt>
                <pt idx="101">
                  <v>42152</v>
                </pt>
                <pt idx="102">
                  <v>42153</v>
                </pt>
                <pt idx="103">
                  <v>42156</v>
                </pt>
                <pt idx="104">
                  <v>42157</v>
                </pt>
                <pt idx="105">
                  <v>42158</v>
                </pt>
                <pt idx="106">
                  <v>42159</v>
                </pt>
                <pt idx="107">
                  <v>42160</v>
                </pt>
                <pt idx="108">
                  <v>42163</v>
                </pt>
                <pt idx="109">
                  <v>42164</v>
                </pt>
                <pt idx="110">
                  <v>42165</v>
                </pt>
                <pt idx="111">
                  <v>42166</v>
                </pt>
                <pt idx="112">
                  <v>42167</v>
                </pt>
                <pt idx="113">
                  <v>42170</v>
                </pt>
                <pt idx="114">
                  <v>42171</v>
                </pt>
                <pt idx="115">
                  <v>42172</v>
                </pt>
                <pt idx="116">
                  <v>42173</v>
                </pt>
                <pt idx="117">
                  <v>42174</v>
                </pt>
                <pt idx="118">
                  <v>42177</v>
                </pt>
                <pt idx="119">
                  <v>42178</v>
                </pt>
                <pt idx="120">
                  <v>42179</v>
                </pt>
                <pt idx="121">
                  <v>42180</v>
                </pt>
                <pt idx="122">
                  <v>42181</v>
                </pt>
                <pt idx="123">
                  <v>42184</v>
                </pt>
                <pt idx="124">
                  <v>42185</v>
                </pt>
                <pt idx="125">
                  <v>42186</v>
                </pt>
                <pt idx="126">
                  <v>42187</v>
                </pt>
                <pt idx="127">
                  <v>42191</v>
                </pt>
                <pt idx="128">
                  <v>42192</v>
                </pt>
                <pt idx="129">
                  <v>42193</v>
                </pt>
                <pt idx="130">
                  <v>42194</v>
                </pt>
                <pt idx="131">
                  <v>42195</v>
                </pt>
                <pt idx="132">
                  <v>42198</v>
                </pt>
                <pt idx="133">
                  <v>42199</v>
                </pt>
                <pt idx="134">
                  <v>42200</v>
                </pt>
                <pt idx="135">
                  <v>42201</v>
                </pt>
                <pt idx="136">
                  <v>42202</v>
                </pt>
                <pt idx="137">
                  <v>42205</v>
                </pt>
                <pt idx="138">
                  <v>42206</v>
                </pt>
                <pt idx="139">
                  <v>42207</v>
                </pt>
                <pt idx="140">
                  <v>42208</v>
                </pt>
                <pt idx="141">
                  <v>42209</v>
                </pt>
                <pt idx="142">
                  <v>42212</v>
                </pt>
                <pt idx="143">
                  <v>42213</v>
                </pt>
                <pt idx="144">
                  <v>42214</v>
                </pt>
                <pt idx="145">
                  <v>42215</v>
                </pt>
                <pt idx="146">
                  <v>42216</v>
                </pt>
                <pt idx="147">
                  <v>42219</v>
                </pt>
                <pt idx="148">
                  <v>42220</v>
                </pt>
                <pt idx="149">
                  <v>42221</v>
                </pt>
                <pt idx="150">
                  <v>42222</v>
                </pt>
                <pt idx="151">
                  <v>42223</v>
                </pt>
                <pt idx="152">
                  <v>42226</v>
                </pt>
                <pt idx="153">
                  <v>42227</v>
                </pt>
                <pt idx="154">
                  <v>42228</v>
                </pt>
                <pt idx="155">
                  <v>42229</v>
                </pt>
                <pt idx="156">
                  <v>42230</v>
                </pt>
                <pt idx="157">
                  <v>42233</v>
                </pt>
                <pt idx="158">
                  <v>42234</v>
                </pt>
                <pt idx="159">
                  <v>42235</v>
                </pt>
                <pt idx="160">
                  <v>42236</v>
                </pt>
                <pt idx="161">
                  <v>42237</v>
                </pt>
                <pt idx="162">
                  <v>42240</v>
                </pt>
                <pt idx="163">
                  <v>42241</v>
                </pt>
                <pt idx="164">
                  <v>42242</v>
                </pt>
                <pt idx="165">
                  <v>42243</v>
                </pt>
                <pt idx="166">
                  <v>42244</v>
                </pt>
                <pt idx="167">
                  <v>42247</v>
                </pt>
                <pt idx="168">
                  <v>42248</v>
                </pt>
                <pt idx="169">
                  <v>42249</v>
                </pt>
                <pt idx="170">
                  <v>42250</v>
                </pt>
                <pt idx="171">
                  <v>42251</v>
                </pt>
                <pt idx="172">
                  <v>42255</v>
                </pt>
                <pt idx="173">
                  <v>42256</v>
                </pt>
                <pt idx="174">
                  <v>42257</v>
                </pt>
                <pt idx="175">
                  <v>42258</v>
                </pt>
                <pt idx="176">
                  <v>42261</v>
                </pt>
                <pt idx="177">
                  <v>42262</v>
                </pt>
                <pt idx="178">
                  <v>42263</v>
                </pt>
                <pt idx="179">
                  <v>42264</v>
                </pt>
                <pt idx="180">
                  <v>42265</v>
                </pt>
                <pt idx="181">
                  <v>42268</v>
                </pt>
                <pt idx="182">
                  <v>42269</v>
                </pt>
                <pt idx="183">
                  <v>42270</v>
                </pt>
                <pt idx="184">
                  <v>42271</v>
                </pt>
                <pt idx="185">
                  <v>42272</v>
                </pt>
                <pt idx="186">
                  <v>42275</v>
                </pt>
                <pt idx="187">
                  <v>42276</v>
                </pt>
                <pt idx="188">
                  <v>42277</v>
                </pt>
                <pt idx="189">
                  <v>42278</v>
                </pt>
                <pt idx="190">
                  <v>42279</v>
                </pt>
                <pt idx="191">
                  <v>42282</v>
                </pt>
                <pt idx="192">
                  <v>42283</v>
                </pt>
                <pt idx="193">
                  <v>42284</v>
                </pt>
                <pt idx="194">
                  <v>42285</v>
                </pt>
                <pt idx="195">
                  <v>42286</v>
                </pt>
                <pt idx="196">
                  <v>42289</v>
                </pt>
                <pt idx="197">
                  <v>42290</v>
                </pt>
                <pt idx="198">
                  <v>42291</v>
                </pt>
                <pt idx="199">
                  <v>42292</v>
                </pt>
                <pt idx="200">
                  <v>42293</v>
                </pt>
                <pt idx="201">
                  <v>42296</v>
                </pt>
                <pt idx="202">
                  <v>42297</v>
                </pt>
                <pt idx="203">
                  <v>42298</v>
                </pt>
                <pt idx="204">
                  <v>42299</v>
                </pt>
                <pt idx="205">
                  <v>42300</v>
                </pt>
                <pt idx="206">
                  <v>42303</v>
                </pt>
                <pt idx="207">
                  <v>42304</v>
                </pt>
                <pt idx="208">
                  <v>42305</v>
                </pt>
                <pt idx="209">
                  <v>42306</v>
                </pt>
                <pt idx="210">
                  <v>42307</v>
                </pt>
                <pt idx="211">
                  <v>42310</v>
                </pt>
                <pt idx="212">
                  <v>42311</v>
                </pt>
                <pt idx="213">
                  <v>42312</v>
                </pt>
                <pt idx="214">
                  <v>42313</v>
                </pt>
                <pt idx="215">
                  <v>42314</v>
                </pt>
                <pt idx="216">
                  <v>42317</v>
                </pt>
                <pt idx="217">
                  <v>42318</v>
                </pt>
                <pt idx="218">
                  <v>42319</v>
                </pt>
                <pt idx="219">
                  <v>42320</v>
                </pt>
                <pt idx="220">
                  <v>42321</v>
                </pt>
                <pt idx="221">
                  <v>42324</v>
                </pt>
                <pt idx="222">
                  <v>42325</v>
                </pt>
                <pt idx="223">
                  <v>42326</v>
                </pt>
                <pt idx="224">
                  <v>42327</v>
                </pt>
                <pt idx="225">
                  <v>42328</v>
                </pt>
                <pt idx="226">
                  <v>42331</v>
                </pt>
                <pt idx="227">
                  <v>42332</v>
                </pt>
                <pt idx="228">
                  <v>42333</v>
                </pt>
                <pt idx="229">
                  <v>42335</v>
                </pt>
                <pt idx="230">
                  <v>42338</v>
                </pt>
                <pt idx="231">
                  <v>42339</v>
                </pt>
                <pt idx="232">
                  <v>42340</v>
                </pt>
                <pt idx="233">
                  <v>42341</v>
                </pt>
                <pt idx="234">
                  <v>42342</v>
                </pt>
                <pt idx="235">
                  <v>42345</v>
                </pt>
                <pt idx="236">
                  <v>42346</v>
                </pt>
                <pt idx="237">
                  <v>42347</v>
                </pt>
                <pt idx="238">
                  <v>42348</v>
                </pt>
                <pt idx="239">
                  <v>42349</v>
                </pt>
                <pt idx="240">
                  <v>42352</v>
                </pt>
                <pt idx="241">
                  <v>42353</v>
                </pt>
                <pt idx="242">
                  <v>42354</v>
                </pt>
                <pt idx="243">
                  <v>42355</v>
                </pt>
                <pt idx="244">
                  <v>42356</v>
                </pt>
                <pt idx="245">
                  <v>42359</v>
                </pt>
                <pt idx="246">
                  <v>42360</v>
                </pt>
                <pt idx="247">
                  <v>42361</v>
                </pt>
                <pt idx="248">
                  <v>42362</v>
                </pt>
                <pt idx="249">
                  <v>42366</v>
                </pt>
                <pt idx="250">
                  <v>42367</v>
                </pt>
                <pt idx="251">
                  <v>42368</v>
                </pt>
                <pt idx="252">
                  <v>42369</v>
                </pt>
                <pt idx="253">
                  <v>42373</v>
                </pt>
                <pt idx="254">
                  <v>42374</v>
                </pt>
                <pt idx="255">
                  <v>42375</v>
                </pt>
                <pt idx="256">
                  <v>42376</v>
                </pt>
                <pt idx="257">
                  <v>42377</v>
                </pt>
                <pt idx="258">
                  <v>42380</v>
                </pt>
                <pt idx="259">
                  <v>42381</v>
                </pt>
                <pt idx="260">
                  <v>42382</v>
                </pt>
                <pt idx="261">
                  <v>42383</v>
                </pt>
                <pt idx="262">
                  <v>42384</v>
                </pt>
                <pt idx="263">
                  <v>42388</v>
                </pt>
                <pt idx="264">
                  <v>42389</v>
                </pt>
                <pt idx="265">
                  <v>42390</v>
                </pt>
                <pt idx="266">
                  <v>42391</v>
                </pt>
                <pt idx="267">
                  <v>42394</v>
                </pt>
                <pt idx="268">
                  <v>42395</v>
                </pt>
                <pt idx="269">
                  <v>42396</v>
                </pt>
                <pt idx="270">
                  <v>42397</v>
                </pt>
                <pt idx="271">
                  <v>42398</v>
                </pt>
                <pt idx="272">
                  <v>42401</v>
                </pt>
                <pt idx="273">
                  <v>42402</v>
                </pt>
                <pt idx="274">
                  <v>42403</v>
                </pt>
                <pt idx="275">
                  <v>42404</v>
                </pt>
                <pt idx="276">
                  <v>42405</v>
                </pt>
                <pt idx="277">
                  <v>42408</v>
                </pt>
                <pt idx="278">
                  <v>42409</v>
                </pt>
                <pt idx="279">
                  <v>42410</v>
                </pt>
                <pt idx="280">
                  <v>42411</v>
                </pt>
                <pt idx="281">
                  <v>42412</v>
                </pt>
                <pt idx="282">
                  <v>42416</v>
                </pt>
                <pt idx="283">
                  <v>42417</v>
                </pt>
                <pt idx="284">
                  <v>42418</v>
                </pt>
                <pt idx="285">
                  <v>42419</v>
                </pt>
                <pt idx="286">
                  <v>42422</v>
                </pt>
                <pt idx="287">
                  <v>42423</v>
                </pt>
                <pt idx="288">
                  <v>42424</v>
                </pt>
                <pt idx="289">
                  <v>42425</v>
                </pt>
                <pt idx="290">
                  <v>42426</v>
                </pt>
                <pt idx="291">
                  <v>42429</v>
                </pt>
                <pt idx="292">
                  <v>42430</v>
                </pt>
                <pt idx="293">
                  <v>42431</v>
                </pt>
                <pt idx="294">
                  <v>42432</v>
                </pt>
                <pt idx="295">
                  <v>42433</v>
                </pt>
                <pt idx="296">
                  <v>42436</v>
                </pt>
                <pt idx="297">
                  <v>42437</v>
                </pt>
                <pt idx="298">
                  <v>42438</v>
                </pt>
                <pt idx="299">
                  <v>42439</v>
                </pt>
                <pt idx="300">
                  <v>42440</v>
                </pt>
                <pt idx="301">
                  <v>42443</v>
                </pt>
                <pt idx="302">
                  <v>42444</v>
                </pt>
                <pt idx="303">
                  <v>42445</v>
                </pt>
                <pt idx="304">
                  <v>42446</v>
                </pt>
                <pt idx="305">
                  <v>42447</v>
                </pt>
                <pt idx="306">
                  <v>42450</v>
                </pt>
                <pt idx="307">
                  <v>42451</v>
                </pt>
                <pt idx="308">
                  <v>42452</v>
                </pt>
                <pt idx="309">
                  <v>42453</v>
                </pt>
                <pt idx="310">
                  <v>42457</v>
                </pt>
                <pt idx="311">
                  <v>42458</v>
                </pt>
                <pt idx="312">
                  <v>42459</v>
                </pt>
                <pt idx="313">
                  <v>42460</v>
                </pt>
                <pt idx="314">
                  <v>42461</v>
                </pt>
                <pt idx="315">
                  <v>42464</v>
                </pt>
                <pt idx="316">
                  <v>42465</v>
                </pt>
                <pt idx="317">
                  <v>42466</v>
                </pt>
                <pt idx="318">
                  <v>42467</v>
                </pt>
                <pt idx="319">
                  <v>42468</v>
                </pt>
                <pt idx="320">
                  <v>42471</v>
                </pt>
                <pt idx="321">
                  <v>42472</v>
                </pt>
                <pt idx="322">
                  <v>42473</v>
                </pt>
                <pt idx="323">
                  <v>42474</v>
                </pt>
                <pt idx="324">
                  <v>42475</v>
                </pt>
                <pt idx="325">
                  <v>42478</v>
                </pt>
                <pt idx="326">
                  <v>42479</v>
                </pt>
                <pt idx="327">
                  <v>42480</v>
                </pt>
                <pt idx="328">
                  <v>42481</v>
                </pt>
                <pt idx="329">
                  <v>42482</v>
                </pt>
                <pt idx="330">
                  <v>42485</v>
                </pt>
                <pt idx="331">
                  <v>42486</v>
                </pt>
                <pt idx="332">
                  <v>42487</v>
                </pt>
                <pt idx="333">
                  <v>42488</v>
                </pt>
                <pt idx="334">
                  <v>42489</v>
                </pt>
                <pt idx="335">
                  <v>42492</v>
                </pt>
                <pt idx="336">
                  <v>42493</v>
                </pt>
                <pt idx="337">
                  <v>42494</v>
                </pt>
                <pt idx="338">
                  <v>42495</v>
                </pt>
                <pt idx="339">
                  <v>42496</v>
                </pt>
                <pt idx="340">
                  <v>42499</v>
                </pt>
                <pt idx="341">
                  <v>42500</v>
                </pt>
                <pt idx="342">
                  <v>42501</v>
                </pt>
                <pt idx="343">
                  <v>42502</v>
                </pt>
                <pt idx="344">
                  <v>42503</v>
                </pt>
                <pt idx="345">
                  <v>42506</v>
                </pt>
                <pt idx="346">
                  <v>42507</v>
                </pt>
                <pt idx="347">
                  <v>42508</v>
                </pt>
                <pt idx="348">
                  <v>42509</v>
                </pt>
                <pt idx="349">
                  <v>42510</v>
                </pt>
                <pt idx="350">
                  <v>42513</v>
                </pt>
                <pt idx="351">
                  <v>42514</v>
                </pt>
                <pt idx="352">
                  <v>42515</v>
                </pt>
                <pt idx="353">
                  <v>42516</v>
                </pt>
                <pt idx="354">
                  <v>42517</v>
                </pt>
                <pt idx="355">
                  <v>42521</v>
                </pt>
                <pt idx="356">
                  <v>42522</v>
                </pt>
                <pt idx="357">
                  <v>42523</v>
                </pt>
                <pt idx="358">
                  <v>42524</v>
                </pt>
                <pt idx="359">
                  <v>42527</v>
                </pt>
                <pt idx="360">
                  <v>42528</v>
                </pt>
                <pt idx="361">
                  <v>42529</v>
                </pt>
                <pt idx="362">
                  <v>42530</v>
                </pt>
                <pt idx="363">
                  <v>42531</v>
                </pt>
                <pt idx="364">
                  <v>42534</v>
                </pt>
                <pt idx="365">
                  <v>42535</v>
                </pt>
                <pt idx="366">
                  <v>42536</v>
                </pt>
                <pt idx="367">
                  <v>42537</v>
                </pt>
                <pt idx="368">
                  <v>42538</v>
                </pt>
                <pt idx="369">
                  <v>42541</v>
                </pt>
                <pt idx="370">
                  <v>42542</v>
                </pt>
                <pt idx="371">
                  <v>42543</v>
                </pt>
                <pt idx="372">
                  <v>42544</v>
                </pt>
                <pt idx="373">
                  <v>42545</v>
                </pt>
                <pt idx="374">
                  <v>42548</v>
                </pt>
                <pt idx="375">
                  <v>42549</v>
                </pt>
                <pt idx="376">
                  <v>42550</v>
                </pt>
                <pt idx="377">
                  <v>42551</v>
                </pt>
                <pt idx="378">
                  <v>42552</v>
                </pt>
                <pt idx="379">
                  <v>42556</v>
                </pt>
                <pt idx="380">
                  <v>42557</v>
                </pt>
                <pt idx="381">
                  <v>42558</v>
                </pt>
                <pt idx="382">
                  <v>42559</v>
                </pt>
                <pt idx="383">
                  <v>42562</v>
                </pt>
                <pt idx="384">
                  <v>42563</v>
                </pt>
                <pt idx="385">
                  <v>42564</v>
                </pt>
                <pt idx="386">
                  <v>42565</v>
                </pt>
                <pt idx="387">
                  <v>42566</v>
                </pt>
                <pt idx="388">
                  <v>42569</v>
                </pt>
                <pt idx="389">
                  <v>42570</v>
                </pt>
                <pt idx="390">
                  <v>42571</v>
                </pt>
                <pt idx="391">
                  <v>42572</v>
                </pt>
                <pt idx="392">
                  <v>42573</v>
                </pt>
                <pt idx="393">
                  <v>42576</v>
                </pt>
                <pt idx="394">
                  <v>42577</v>
                </pt>
                <pt idx="395">
                  <v>42578</v>
                </pt>
                <pt idx="396">
                  <v>42579</v>
                </pt>
                <pt idx="397">
                  <v>42580</v>
                </pt>
                <pt idx="398">
                  <v>42583</v>
                </pt>
                <pt idx="399">
                  <v>42584</v>
                </pt>
                <pt idx="400">
                  <v>42585</v>
                </pt>
                <pt idx="401">
                  <v>42586</v>
                </pt>
                <pt idx="402">
                  <v>42587</v>
                </pt>
                <pt idx="403">
                  <v>42590</v>
                </pt>
                <pt idx="404">
                  <v>42591</v>
                </pt>
                <pt idx="405">
                  <v>42592</v>
                </pt>
                <pt idx="406">
                  <v>42593</v>
                </pt>
                <pt idx="407">
                  <v>42594</v>
                </pt>
                <pt idx="408">
                  <v>42597</v>
                </pt>
                <pt idx="409">
                  <v>42598</v>
                </pt>
                <pt idx="410">
                  <v>42599</v>
                </pt>
                <pt idx="411">
                  <v>42600</v>
                </pt>
                <pt idx="412">
                  <v>42601</v>
                </pt>
                <pt idx="413">
                  <v>42604</v>
                </pt>
                <pt idx="414">
                  <v>42605</v>
                </pt>
                <pt idx="415">
                  <v>42606</v>
                </pt>
                <pt idx="416">
                  <v>42607</v>
                </pt>
                <pt idx="417">
                  <v>42608</v>
                </pt>
                <pt idx="418">
                  <v>42611</v>
                </pt>
                <pt idx="419">
                  <v>42612</v>
                </pt>
                <pt idx="420">
                  <v>42613</v>
                </pt>
                <pt idx="421">
                  <v>42614</v>
                </pt>
                <pt idx="422">
                  <v>42615</v>
                </pt>
                <pt idx="423">
                  <v>42619</v>
                </pt>
                <pt idx="424">
                  <v>42620</v>
                </pt>
                <pt idx="425">
                  <v>42621</v>
                </pt>
                <pt idx="426">
                  <v>42622</v>
                </pt>
                <pt idx="427">
                  <v>42625</v>
                </pt>
                <pt idx="428">
                  <v>42626</v>
                </pt>
                <pt idx="429">
                  <v>42627</v>
                </pt>
                <pt idx="430">
                  <v>42628</v>
                </pt>
                <pt idx="431">
                  <v>42629</v>
                </pt>
                <pt idx="432">
                  <v>42632</v>
                </pt>
                <pt idx="433">
                  <v>42633</v>
                </pt>
                <pt idx="434">
                  <v>42634</v>
                </pt>
                <pt idx="435">
                  <v>42635</v>
                </pt>
                <pt idx="436">
                  <v>42636</v>
                </pt>
                <pt idx="437">
                  <v>42639</v>
                </pt>
                <pt idx="438">
                  <v>42640</v>
                </pt>
                <pt idx="439">
                  <v>42641</v>
                </pt>
                <pt idx="440">
                  <v>42642</v>
                </pt>
                <pt idx="441">
                  <v>42643</v>
                </pt>
                <pt idx="442">
                  <v>42646</v>
                </pt>
                <pt idx="443">
                  <v>42647</v>
                </pt>
                <pt idx="444">
                  <v>42648</v>
                </pt>
                <pt idx="445">
                  <v>42649</v>
                </pt>
                <pt idx="446">
                  <v>42650</v>
                </pt>
                <pt idx="447">
                  <v>42653</v>
                </pt>
                <pt idx="448">
                  <v>42654</v>
                </pt>
                <pt idx="449">
                  <v>42655</v>
                </pt>
                <pt idx="450">
                  <v>42656</v>
                </pt>
                <pt idx="451">
                  <v>42657</v>
                </pt>
                <pt idx="452">
                  <v>42660</v>
                </pt>
                <pt idx="453">
                  <v>42661</v>
                </pt>
                <pt idx="454">
                  <v>42662</v>
                </pt>
                <pt idx="455">
                  <v>42663</v>
                </pt>
                <pt idx="456">
                  <v>42664</v>
                </pt>
                <pt idx="457">
                  <v>42667</v>
                </pt>
                <pt idx="458">
                  <v>42668</v>
                </pt>
                <pt idx="459">
                  <v>42669</v>
                </pt>
                <pt idx="460">
                  <v>42670</v>
                </pt>
                <pt idx="461">
                  <v>42671</v>
                </pt>
                <pt idx="462">
                  <v>42674</v>
                </pt>
                <pt idx="463">
                  <v>42675</v>
                </pt>
                <pt idx="464">
                  <v>42676</v>
                </pt>
                <pt idx="465">
                  <v>42677</v>
                </pt>
                <pt idx="466">
                  <v>42678</v>
                </pt>
                <pt idx="467">
                  <v>42681</v>
                </pt>
                <pt idx="468">
                  <v>42682</v>
                </pt>
                <pt idx="469">
                  <v>42683</v>
                </pt>
                <pt idx="470">
                  <v>42684</v>
                </pt>
                <pt idx="471">
                  <v>42685</v>
                </pt>
                <pt idx="472">
                  <v>42688</v>
                </pt>
                <pt idx="473">
                  <v>42689</v>
                </pt>
                <pt idx="474">
                  <v>42690</v>
                </pt>
                <pt idx="475">
                  <v>42691</v>
                </pt>
                <pt idx="476">
                  <v>42692</v>
                </pt>
                <pt idx="477">
                  <v>42695</v>
                </pt>
                <pt idx="478">
                  <v>42696</v>
                </pt>
                <pt idx="479">
                  <v>42697</v>
                </pt>
                <pt idx="480">
                  <v>42699</v>
                </pt>
                <pt idx="481">
                  <v>42702</v>
                </pt>
                <pt idx="482">
                  <v>42703</v>
                </pt>
                <pt idx="483">
                  <v>42704</v>
                </pt>
                <pt idx="484">
                  <v>42705</v>
                </pt>
                <pt idx="485">
                  <v>42706</v>
                </pt>
                <pt idx="486">
                  <v>42709</v>
                </pt>
                <pt idx="487">
                  <v>42710</v>
                </pt>
                <pt idx="488">
                  <v>42711</v>
                </pt>
                <pt idx="489">
                  <v>42712</v>
                </pt>
                <pt idx="490">
                  <v>42713</v>
                </pt>
                <pt idx="491">
                  <v>42716</v>
                </pt>
                <pt idx="492">
                  <v>42717</v>
                </pt>
                <pt idx="493">
                  <v>42718</v>
                </pt>
                <pt idx="494">
                  <v>42719</v>
                </pt>
                <pt idx="495">
                  <v>42720</v>
                </pt>
                <pt idx="496">
                  <v>42723</v>
                </pt>
                <pt idx="497">
                  <v>42724</v>
                </pt>
                <pt idx="498">
                  <v>42725</v>
                </pt>
                <pt idx="499">
                  <v>42726</v>
                </pt>
                <pt idx="500">
                  <v>42727</v>
                </pt>
                <pt idx="501">
                  <v>42731</v>
                </pt>
                <pt idx="502">
                  <v>42732</v>
                </pt>
                <pt idx="503">
                  <v>42733</v>
                </pt>
                <pt idx="504">
                  <v>42734</v>
                </pt>
                <pt idx="505">
                  <v>42738</v>
                </pt>
                <pt idx="506">
                  <v>42739</v>
                </pt>
                <pt idx="507">
                  <v>42740</v>
                </pt>
                <pt idx="508">
                  <v>42741</v>
                </pt>
                <pt idx="509">
                  <v>42744</v>
                </pt>
                <pt idx="510">
                  <v>42745</v>
                </pt>
                <pt idx="511">
                  <v>42746</v>
                </pt>
                <pt idx="512">
                  <v>42747</v>
                </pt>
                <pt idx="513">
                  <v>42748</v>
                </pt>
                <pt idx="514">
                  <v>42752</v>
                </pt>
                <pt idx="515">
                  <v>42753</v>
                </pt>
                <pt idx="516">
                  <v>42754</v>
                </pt>
                <pt idx="517">
                  <v>42755</v>
                </pt>
                <pt idx="518">
                  <v>42758</v>
                </pt>
                <pt idx="519">
                  <v>42759</v>
                </pt>
                <pt idx="520">
                  <v>42760</v>
                </pt>
                <pt idx="521">
                  <v>42761</v>
                </pt>
                <pt idx="522">
                  <v>42762</v>
                </pt>
                <pt idx="523">
                  <v>42765</v>
                </pt>
                <pt idx="524">
                  <v>42766</v>
                </pt>
                <pt idx="525">
                  <v>42767</v>
                </pt>
                <pt idx="526">
                  <v>42768</v>
                </pt>
                <pt idx="527">
                  <v>42769</v>
                </pt>
                <pt idx="528">
                  <v>42772</v>
                </pt>
                <pt idx="529">
                  <v>42773</v>
                </pt>
                <pt idx="530">
                  <v>42774</v>
                </pt>
                <pt idx="531">
                  <v>42775</v>
                </pt>
                <pt idx="532">
                  <v>42776</v>
                </pt>
                <pt idx="533">
                  <v>42779</v>
                </pt>
                <pt idx="534">
                  <v>42780</v>
                </pt>
                <pt idx="535">
                  <v>42781</v>
                </pt>
                <pt idx="536">
                  <v>42782</v>
                </pt>
                <pt idx="537">
                  <v>42783</v>
                </pt>
                <pt idx="538">
                  <v>42787</v>
                </pt>
                <pt idx="539">
                  <v>42788</v>
                </pt>
                <pt idx="540">
                  <v>42789</v>
                </pt>
                <pt idx="541">
                  <v>42790</v>
                </pt>
                <pt idx="542">
                  <v>42793</v>
                </pt>
                <pt idx="543">
                  <v>42794</v>
                </pt>
                <pt idx="544">
                  <v>42795</v>
                </pt>
                <pt idx="545">
                  <v>42796</v>
                </pt>
                <pt idx="546">
                  <v>42797</v>
                </pt>
                <pt idx="547">
                  <v>42800</v>
                </pt>
                <pt idx="548">
                  <v>42801</v>
                </pt>
                <pt idx="549">
                  <v>42802</v>
                </pt>
                <pt idx="550">
                  <v>42803</v>
                </pt>
                <pt idx="551">
                  <v>42804</v>
                </pt>
                <pt idx="552">
                  <v>42807</v>
                </pt>
                <pt idx="553">
                  <v>42808</v>
                </pt>
                <pt idx="554">
                  <v>42809</v>
                </pt>
                <pt idx="555">
                  <v>42810</v>
                </pt>
                <pt idx="556">
                  <v>42811</v>
                </pt>
                <pt idx="557">
                  <v>42814</v>
                </pt>
                <pt idx="558">
                  <v>42815</v>
                </pt>
                <pt idx="559">
                  <v>42816</v>
                </pt>
                <pt idx="560">
                  <v>42817</v>
                </pt>
                <pt idx="561">
                  <v>42818</v>
                </pt>
                <pt idx="562">
                  <v>42821</v>
                </pt>
                <pt idx="563">
                  <v>42822</v>
                </pt>
                <pt idx="564">
                  <v>42823</v>
                </pt>
                <pt idx="565">
                  <v>42824</v>
                </pt>
                <pt idx="566">
                  <v>42825</v>
                </pt>
                <pt idx="567">
                  <v>42828</v>
                </pt>
                <pt idx="568">
                  <v>42829</v>
                </pt>
                <pt idx="569">
                  <v>42830</v>
                </pt>
                <pt idx="570">
                  <v>42831</v>
                </pt>
                <pt idx="571">
                  <v>42832</v>
                </pt>
                <pt idx="572">
                  <v>42835</v>
                </pt>
                <pt idx="573">
                  <v>42836</v>
                </pt>
                <pt idx="574">
                  <v>42837</v>
                </pt>
                <pt idx="575">
                  <v>42838</v>
                </pt>
                <pt idx="576">
                  <v>42842</v>
                </pt>
                <pt idx="577">
                  <v>42843</v>
                </pt>
                <pt idx="578">
                  <v>42844</v>
                </pt>
                <pt idx="579">
                  <v>42845</v>
                </pt>
                <pt idx="580">
                  <v>42846</v>
                </pt>
                <pt idx="581">
                  <v>42849</v>
                </pt>
                <pt idx="582">
                  <v>42850</v>
                </pt>
                <pt idx="583">
                  <v>42851</v>
                </pt>
                <pt idx="584">
                  <v>42852</v>
                </pt>
                <pt idx="585">
                  <v>42853</v>
                </pt>
                <pt idx="586">
                  <v>42856</v>
                </pt>
                <pt idx="587">
                  <v>42857</v>
                </pt>
                <pt idx="588">
                  <v>42858</v>
                </pt>
                <pt idx="589">
                  <v>42859</v>
                </pt>
                <pt idx="590">
                  <v>42860</v>
                </pt>
                <pt idx="591">
                  <v>42863</v>
                </pt>
                <pt idx="592">
                  <v>42864</v>
                </pt>
                <pt idx="593">
                  <v>42865</v>
                </pt>
                <pt idx="594">
                  <v>42866</v>
                </pt>
                <pt idx="595">
                  <v>42867</v>
                </pt>
                <pt idx="596">
                  <v>42870</v>
                </pt>
                <pt idx="597">
                  <v>42871</v>
                </pt>
                <pt idx="598">
                  <v>42872</v>
                </pt>
                <pt idx="599">
                  <v>42873</v>
                </pt>
                <pt idx="600">
                  <v>42874</v>
                </pt>
                <pt idx="601">
                  <v>42877</v>
                </pt>
                <pt idx="602">
                  <v>42878</v>
                </pt>
                <pt idx="603">
                  <v>42879</v>
                </pt>
                <pt idx="604">
                  <v>42880</v>
                </pt>
                <pt idx="605">
                  <v>42881</v>
                </pt>
                <pt idx="606">
                  <v>42885</v>
                </pt>
                <pt idx="607">
                  <v>42886</v>
                </pt>
                <pt idx="608">
                  <v>42887</v>
                </pt>
                <pt idx="609">
                  <v>42888</v>
                </pt>
                <pt idx="610">
                  <v>42891</v>
                </pt>
                <pt idx="611">
                  <v>42892</v>
                </pt>
                <pt idx="612">
                  <v>42893</v>
                </pt>
                <pt idx="613">
                  <v>42894</v>
                </pt>
                <pt idx="614">
                  <v>42895</v>
                </pt>
                <pt idx="615">
                  <v>42898</v>
                </pt>
                <pt idx="616">
                  <v>42899</v>
                </pt>
                <pt idx="617">
                  <v>42900</v>
                </pt>
                <pt idx="618">
                  <v>42901</v>
                </pt>
                <pt idx="619">
                  <v>42902</v>
                </pt>
                <pt idx="620">
                  <v>42905</v>
                </pt>
                <pt idx="621">
                  <v>42906</v>
                </pt>
                <pt idx="622">
                  <v>42907</v>
                </pt>
                <pt idx="623">
                  <v>42908</v>
                </pt>
                <pt idx="624">
                  <v>42909</v>
                </pt>
                <pt idx="625">
                  <v>42912</v>
                </pt>
                <pt idx="626">
                  <v>42913</v>
                </pt>
                <pt idx="627">
                  <v>42914</v>
                </pt>
                <pt idx="628">
                  <v>42915</v>
                </pt>
                <pt idx="629">
                  <v>42916</v>
                </pt>
                <pt idx="630">
                  <v>42919</v>
                </pt>
                <pt idx="631">
                  <v>42921</v>
                </pt>
                <pt idx="632">
                  <v>42922</v>
                </pt>
                <pt idx="633">
                  <v>42923</v>
                </pt>
                <pt idx="634">
                  <v>42926</v>
                </pt>
                <pt idx="635">
                  <v>42927</v>
                </pt>
                <pt idx="636">
                  <v>42928</v>
                </pt>
                <pt idx="637">
                  <v>42929</v>
                </pt>
                <pt idx="638">
                  <v>42930</v>
                </pt>
                <pt idx="639">
                  <v>42933</v>
                </pt>
                <pt idx="640">
                  <v>42934</v>
                </pt>
                <pt idx="641">
                  <v>42935</v>
                </pt>
                <pt idx="642">
                  <v>42936</v>
                </pt>
                <pt idx="643">
                  <v>42937</v>
                </pt>
                <pt idx="644">
                  <v>42940</v>
                </pt>
                <pt idx="645">
                  <v>42941</v>
                </pt>
                <pt idx="646">
                  <v>42942</v>
                </pt>
                <pt idx="647">
                  <v>42943</v>
                </pt>
                <pt idx="648">
                  <v>42944</v>
                </pt>
                <pt idx="649">
                  <v>42947</v>
                </pt>
                <pt idx="650">
                  <v>42948</v>
                </pt>
                <pt idx="651">
                  <v>42949</v>
                </pt>
                <pt idx="652">
                  <v>42950</v>
                </pt>
                <pt idx="653">
                  <v>42951</v>
                </pt>
                <pt idx="654">
                  <v>42954</v>
                </pt>
                <pt idx="655">
                  <v>42955</v>
                </pt>
                <pt idx="656">
                  <v>42956</v>
                </pt>
                <pt idx="657">
                  <v>42957</v>
                </pt>
                <pt idx="658">
                  <v>42958</v>
                </pt>
                <pt idx="659">
                  <v>42961</v>
                </pt>
                <pt idx="660">
                  <v>42962</v>
                </pt>
                <pt idx="661">
                  <v>42963</v>
                </pt>
                <pt idx="662">
                  <v>42964</v>
                </pt>
                <pt idx="663">
                  <v>42965</v>
                </pt>
                <pt idx="664">
                  <v>42968</v>
                </pt>
                <pt idx="665">
                  <v>42969</v>
                </pt>
                <pt idx="666">
                  <v>42970</v>
                </pt>
                <pt idx="667">
                  <v>42971</v>
                </pt>
                <pt idx="668">
                  <v>42972</v>
                </pt>
                <pt idx="669">
                  <v>42975</v>
                </pt>
                <pt idx="670">
                  <v>42976</v>
                </pt>
                <pt idx="671">
                  <v>42977</v>
                </pt>
                <pt idx="672">
                  <v>42978</v>
                </pt>
                <pt idx="673">
                  <v>42979</v>
                </pt>
                <pt idx="674">
                  <v>42983</v>
                </pt>
                <pt idx="675">
                  <v>42984</v>
                </pt>
                <pt idx="676">
                  <v>42985</v>
                </pt>
                <pt idx="677">
                  <v>42986</v>
                </pt>
                <pt idx="678">
                  <v>42989</v>
                </pt>
                <pt idx="679">
                  <v>42990</v>
                </pt>
                <pt idx="680">
                  <v>42991</v>
                </pt>
                <pt idx="681">
                  <v>42992</v>
                </pt>
                <pt idx="682">
                  <v>42993</v>
                </pt>
                <pt idx="683">
                  <v>42996</v>
                </pt>
                <pt idx="684">
                  <v>42997</v>
                </pt>
                <pt idx="685">
                  <v>42998</v>
                </pt>
                <pt idx="686">
                  <v>42999</v>
                </pt>
                <pt idx="687">
                  <v>43000</v>
                </pt>
                <pt idx="688">
                  <v>43003</v>
                </pt>
                <pt idx="689">
                  <v>43004</v>
                </pt>
                <pt idx="690">
                  <v>43005</v>
                </pt>
                <pt idx="691">
                  <v>43006</v>
                </pt>
                <pt idx="692">
                  <v>43007</v>
                </pt>
                <pt idx="693">
                  <v>43010</v>
                </pt>
                <pt idx="694">
                  <v>43011</v>
                </pt>
                <pt idx="695">
                  <v>43012</v>
                </pt>
                <pt idx="696">
                  <v>43013</v>
                </pt>
                <pt idx="697">
                  <v>43014</v>
                </pt>
                <pt idx="698">
                  <v>43017</v>
                </pt>
                <pt idx="699">
                  <v>43018</v>
                </pt>
                <pt idx="700">
                  <v>43019</v>
                </pt>
                <pt idx="701">
                  <v>43020</v>
                </pt>
                <pt idx="702">
                  <v>43021</v>
                </pt>
                <pt idx="703">
                  <v>43024</v>
                </pt>
                <pt idx="704">
                  <v>43025</v>
                </pt>
                <pt idx="705">
                  <v>43026</v>
                </pt>
                <pt idx="706">
                  <v>43027</v>
                </pt>
                <pt idx="707">
                  <v>43028</v>
                </pt>
                <pt idx="708">
                  <v>43031</v>
                </pt>
                <pt idx="709">
                  <v>43032</v>
                </pt>
                <pt idx="710">
                  <v>43033</v>
                </pt>
                <pt idx="711">
                  <v>43034</v>
                </pt>
                <pt idx="712">
                  <v>43035</v>
                </pt>
                <pt idx="713">
                  <v>43038</v>
                </pt>
                <pt idx="714">
                  <v>43039</v>
                </pt>
                <pt idx="715">
                  <v>43040</v>
                </pt>
                <pt idx="716">
                  <v>43041</v>
                </pt>
                <pt idx="717">
                  <v>43042</v>
                </pt>
                <pt idx="718">
                  <v>43045</v>
                </pt>
                <pt idx="719">
                  <v>43046</v>
                </pt>
                <pt idx="720">
                  <v>43047</v>
                </pt>
                <pt idx="721">
                  <v>43048</v>
                </pt>
                <pt idx="722">
                  <v>43049</v>
                </pt>
                <pt idx="723">
                  <v>43052</v>
                </pt>
                <pt idx="724">
                  <v>43053</v>
                </pt>
                <pt idx="725">
                  <v>43054</v>
                </pt>
                <pt idx="726">
                  <v>43055</v>
                </pt>
                <pt idx="727">
                  <v>43056</v>
                </pt>
                <pt idx="728">
                  <v>43059</v>
                </pt>
                <pt idx="729">
                  <v>43060</v>
                </pt>
                <pt idx="730">
                  <v>43061</v>
                </pt>
                <pt idx="731">
                  <v>43063</v>
                </pt>
                <pt idx="732">
                  <v>43066</v>
                </pt>
                <pt idx="733">
                  <v>43067</v>
                </pt>
                <pt idx="734">
                  <v>43068</v>
                </pt>
                <pt idx="735">
                  <v>43069</v>
                </pt>
                <pt idx="736">
                  <v>43070</v>
                </pt>
                <pt idx="737">
                  <v>43073</v>
                </pt>
                <pt idx="738">
                  <v>43075</v>
                </pt>
                <pt idx="739">
                  <v>43076</v>
                </pt>
                <pt idx="740">
                  <v>43077</v>
                </pt>
                <pt idx="741">
                  <v>43080</v>
                </pt>
                <pt idx="742">
                  <v>43081</v>
                </pt>
                <pt idx="743">
                  <v>43082</v>
                </pt>
                <pt idx="744">
                  <v>43083</v>
                </pt>
                <pt idx="745">
                  <v>43084</v>
                </pt>
                <pt idx="746">
                  <v>43087</v>
                </pt>
                <pt idx="747">
                  <v>43088</v>
                </pt>
                <pt idx="748">
                  <v>43089</v>
                </pt>
                <pt idx="749">
                  <v>43090</v>
                </pt>
                <pt idx="750">
                  <v>43091</v>
                </pt>
                <pt idx="751">
                  <v>43095</v>
                </pt>
                <pt idx="752">
                  <v>43096</v>
                </pt>
                <pt idx="753">
                  <v>43097</v>
                </pt>
                <pt idx="754">
                  <v>43098</v>
                </pt>
                <pt idx="755">
                  <v>43102</v>
                </pt>
                <pt idx="756">
                  <v>43103</v>
                </pt>
                <pt idx="757">
                  <v>43104</v>
                </pt>
                <pt idx="758">
                  <v>43105</v>
                </pt>
                <pt idx="759">
                  <v>43108</v>
                </pt>
                <pt idx="760">
                  <v>43109</v>
                </pt>
                <pt idx="761">
                  <v>43110</v>
                </pt>
                <pt idx="762">
                  <v>43111</v>
                </pt>
                <pt idx="763">
                  <v>43112</v>
                </pt>
                <pt idx="764">
                  <v>43116</v>
                </pt>
                <pt idx="765">
                  <v>43117</v>
                </pt>
                <pt idx="766">
                  <v>43118</v>
                </pt>
                <pt idx="767">
                  <v>43119</v>
                </pt>
                <pt idx="768">
                  <v>43122</v>
                </pt>
                <pt idx="769">
                  <v>43123</v>
                </pt>
                <pt idx="770">
                  <v>43124</v>
                </pt>
                <pt idx="771">
                  <v>43125</v>
                </pt>
                <pt idx="772">
                  <v>43126</v>
                </pt>
                <pt idx="773">
                  <v>43129</v>
                </pt>
                <pt idx="774">
                  <v>43130</v>
                </pt>
                <pt idx="775">
                  <v>43131</v>
                </pt>
                <pt idx="776">
                  <v>43132</v>
                </pt>
                <pt idx="777">
                  <v>43133</v>
                </pt>
                <pt idx="778">
                  <v>43136</v>
                </pt>
                <pt idx="779">
                  <v>43137</v>
                </pt>
                <pt idx="780">
                  <v>43138</v>
                </pt>
                <pt idx="781">
                  <v>43139</v>
                </pt>
                <pt idx="782">
                  <v>43140</v>
                </pt>
                <pt idx="783">
                  <v>43143</v>
                </pt>
                <pt idx="784">
                  <v>43144</v>
                </pt>
                <pt idx="785">
                  <v>43145</v>
                </pt>
                <pt idx="786">
                  <v>43146</v>
                </pt>
                <pt idx="787">
                  <v>43147</v>
                </pt>
                <pt idx="788">
                  <v>43151</v>
                </pt>
                <pt idx="789">
                  <v>43152</v>
                </pt>
                <pt idx="790">
                  <v>43153</v>
                </pt>
                <pt idx="791">
                  <v>43154</v>
                </pt>
                <pt idx="792">
                  <v>43157</v>
                </pt>
                <pt idx="793">
                  <v>43158</v>
                </pt>
                <pt idx="794">
                  <v>43159</v>
                </pt>
                <pt idx="795">
                  <v>43160</v>
                </pt>
                <pt idx="796">
                  <v>43161</v>
                </pt>
                <pt idx="797">
                  <v>43164</v>
                </pt>
                <pt idx="798">
                  <v>43165</v>
                </pt>
                <pt idx="799">
                  <v>43166</v>
                </pt>
                <pt idx="800">
                  <v>43167</v>
                </pt>
                <pt idx="801">
                  <v>43168</v>
                </pt>
                <pt idx="802">
                  <v>43171</v>
                </pt>
                <pt idx="803">
                  <v>43172</v>
                </pt>
                <pt idx="804">
                  <v>43173</v>
                </pt>
                <pt idx="805">
                  <v>43174</v>
                </pt>
                <pt idx="806">
                  <v>43175</v>
                </pt>
                <pt idx="807">
                  <v>43178</v>
                </pt>
                <pt idx="808">
                  <v>43179</v>
                </pt>
                <pt idx="809">
                  <v>43180</v>
                </pt>
                <pt idx="810">
                  <v>43181</v>
                </pt>
                <pt idx="811">
                  <v>43182</v>
                </pt>
                <pt idx="812">
                  <v>43185</v>
                </pt>
                <pt idx="813">
                  <v>43186</v>
                </pt>
                <pt idx="814">
                  <v>43187</v>
                </pt>
                <pt idx="815">
                  <v>43188</v>
                </pt>
                <pt idx="816">
                  <v>43192</v>
                </pt>
                <pt idx="817">
                  <v>43193</v>
                </pt>
                <pt idx="818">
                  <v>43194</v>
                </pt>
                <pt idx="819">
                  <v>43195</v>
                </pt>
                <pt idx="820">
                  <v>43196</v>
                </pt>
                <pt idx="821">
                  <v>43199</v>
                </pt>
                <pt idx="822">
                  <v>43200</v>
                </pt>
                <pt idx="823">
                  <v>43201</v>
                </pt>
                <pt idx="824">
                  <v>43202</v>
                </pt>
                <pt idx="825">
                  <v>43203</v>
                </pt>
                <pt idx="826">
                  <v>43206</v>
                </pt>
                <pt idx="827">
                  <v>43207</v>
                </pt>
                <pt idx="828">
                  <v>43208</v>
                </pt>
                <pt idx="829">
                  <v>43209</v>
                </pt>
                <pt idx="830">
                  <v>43210</v>
                </pt>
                <pt idx="831">
                  <v>43213</v>
                </pt>
                <pt idx="832">
                  <v>43214</v>
                </pt>
                <pt idx="833">
                  <v>43215</v>
                </pt>
                <pt idx="834">
                  <v>43216</v>
                </pt>
                <pt idx="835">
                  <v>43217</v>
                </pt>
                <pt idx="836">
                  <v>43220</v>
                </pt>
                <pt idx="837">
                  <v>43221</v>
                </pt>
                <pt idx="838">
                  <v>43222</v>
                </pt>
                <pt idx="839">
                  <v>43223</v>
                </pt>
                <pt idx="840">
                  <v>43224</v>
                </pt>
                <pt idx="841">
                  <v>43227</v>
                </pt>
                <pt idx="842">
                  <v>43228</v>
                </pt>
                <pt idx="843">
                  <v>43229</v>
                </pt>
                <pt idx="844">
                  <v>43230</v>
                </pt>
                <pt idx="845">
                  <v>43231</v>
                </pt>
                <pt idx="846">
                  <v>43234</v>
                </pt>
                <pt idx="847">
                  <v>43235</v>
                </pt>
                <pt idx="848">
                  <v>43236</v>
                </pt>
                <pt idx="849">
                  <v>43237</v>
                </pt>
                <pt idx="850">
                  <v>43238</v>
                </pt>
                <pt idx="851">
                  <v>43241</v>
                </pt>
                <pt idx="852">
                  <v>43242</v>
                </pt>
                <pt idx="853">
                  <v>43243</v>
                </pt>
                <pt idx="854">
                  <v>43244</v>
                </pt>
                <pt idx="855">
                  <v>43245</v>
                </pt>
                <pt idx="856">
                  <v>43249</v>
                </pt>
                <pt idx="857">
                  <v>43250</v>
                </pt>
                <pt idx="858">
                  <v>43251</v>
                </pt>
                <pt idx="859">
                  <v>43252</v>
                </pt>
                <pt idx="860">
                  <v>43255</v>
                </pt>
                <pt idx="861">
                  <v>43256</v>
                </pt>
                <pt idx="862">
                  <v>43257</v>
                </pt>
                <pt idx="863">
                  <v>43258</v>
                </pt>
                <pt idx="864">
                  <v>43259</v>
                </pt>
                <pt idx="865">
                  <v>43262</v>
                </pt>
                <pt idx="866">
                  <v>43263</v>
                </pt>
                <pt idx="867">
                  <v>43264</v>
                </pt>
                <pt idx="868">
                  <v>43265</v>
                </pt>
                <pt idx="869">
                  <v>43266</v>
                </pt>
                <pt idx="870">
                  <v>43269</v>
                </pt>
                <pt idx="871">
                  <v>43270</v>
                </pt>
                <pt idx="872">
                  <v>43271</v>
                </pt>
                <pt idx="873">
                  <v>43272</v>
                </pt>
                <pt idx="874">
                  <v>43273</v>
                </pt>
                <pt idx="875">
                  <v>43276</v>
                </pt>
                <pt idx="876">
                  <v>43277</v>
                </pt>
                <pt idx="877">
                  <v>43278</v>
                </pt>
                <pt idx="878">
                  <v>43279</v>
                </pt>
                <pt idx="879">
                  <v>43280</v>
                </pt>
                <pt idx="880">
                  <v>43283</v>
                </pt>
                <pt idx="881">
                  <v>43284</v>
                </pt>
                <pt idx="882">
                  <v>43286</v>
                </pt>
                <pt idx="883">
                  <v>43287</v>
                </pt>
                <pt idx="884">
                  <v>43290</v>
                </pt>
                <pt idx="885">
                  <v>43291</v>
                </pt>
                <pt idx="886">
                  <v>43292</v>
                </pt>
                <pt idx="887">
                  <v>43293</v>
                </pt>
                <pt idx="888">
                  <v>43294</v>
                </pt>
                <pt idx="889">
                  <v>43297</v>
                </pt>
                <pt idx="890">
                  <v>43298</v>
                </pt>
                <pt idx="891">
                  <v>43299</v>
                </pt>
                <pt idx="892">
                  <v>43300</v>
                </pt>
                <pt idx="893">
                  <v>43301</v>
                </pt>
                <pt idx="894">
                  <v>43304</v>
                </pt>
                <pt idx="895">
                  <v>43305</v>
                </pt>
                <pt idx="896">
                  <v>43306</v>
                </pt>
                <pt idx="897">
                  <v>43307</v>
                </pt>
                <pt idx="898">
                  <v>43308</v>
                </pt>
                <pt idx="899">
                  <v>43311</v>
                </pt>
                <pt idx="900">
                  <v>43312</v>
                </pt>
                <pt idx="901">
                  <v>43313</v>
                </pt>
                <pt idx="902">
                  <v>43314</v>
                </pt>
                <pt idx="903">
                  <v>43315</v>
                </pt>
                <pt idx="904">
                  <v>43318</v>
                </pt>
                <pt idx="905">
                  <v>43319</v>
                </pt>
                <pt idx="906">
                  <v>43320</v>
                </pt>
                <pt idx="907">
                  <v>43321</v>
                </pt>
                <pt idx="908">
                  <v>43322</v>
                </pt>
                <pt idx="909">
                  <v>43325</v>
                </pt>
                <pt idx="910">
                  <v>43326</v>
                </pt>
                <pt idx="911">
                  <v>43327</v>
                </pt>
                <pt idx="912">
                  <v>43328</v>
                </pt>
                <pt idx="913">
                  <v>43329</v>
                </pt>
                <pt idx="914">
                  <v>43332</v>
                </pt>
                <pt idx="915">
                  <v>43333</v>
                </pt>
                <pt idx="916">
                  <v>43334</v>
                </pt>
                <pt idx="917">
                  <v>43335</v>
                </pt>
                <pt idx="918">
                  <v>43336</v>
                </pt>
                <pt idx="919">
                  <v>43339</v>
                </pt>
                <pt idx="920">
                  <v>43340</v>
                </pt>
                <pt idx="921">
                  <v>43341</v>
                </pt>
                <pt idx="922">
                  <v>43342</v>
                </pt>
                <pt idx="923">
                  <v>43343</v>
                </pt>
                <pt idx="924">
                  <v>43347</v>
                </pt>
                <pt idx="925">
                  <v>43348</v>
                </pt>
                <pt idx="926">
                  <v>43349</v>
                </pt>
                <pt idx="927">
                  <v>43350</v>
                </pt>
                <pt idx="928">
                  <v>43353</v>
                </pt>
                <pt idx="929">
                  <v>43354</v>
                </pt>
                <pt idx="930">
                  <v>43355</v>
                </pt>
                <pt idx="931">
                  <v>43356</v>
                </pt>
                <pt idx="932">
                  <v>43357</v>
                </pt>
                <pt idx="933">
                  <v>43360</v>
                </pt>
                <pt idx="934">
                  <v>43361</v>
                </pt>
                <pt idx="935">
                  <v>43362</v>
                </pt>
                <pt idx="936">
                  <v>43363</v>
                </pt>
                <pt idx="937">
                  <v>43364</v>
                </pt>
                <pt idx="938">
                  <v>43367</v>
                </pt>
                <pt idx="939">
                  <v>43368</v>
                </pt>
                <pt idx="940">
                  <v>43369</v>
                </pt>
                <pt idx="941">
                  <v>43370</v>
                </pt>
                <pt idx="942">
                  <v>43371</v>
                </pt>
                <pt idx="943">
                  <v>43374</v>
                </pt>
                <pt idx="944">
                  <v>43375</v>
                </pt>
                <pt idx="945">
                  <v>43376</v>
                </pt>
                <pt idx="946">
                  <v>43377</v>
                </pt>
                <pt idx="947">
                  <v>43378</v>
                </pt>
                <pt idx="948">
                  <v>43381</v>
                </pt>
                <pt idx="949">
                  <v>43382</v>
                </pt>
                <pt idx="950">
                  <v>43383</v>
                </pt>
                <pt idx="951">
                  <v>43384</v>
                </pt>
                <pt idx="952">
                  <v>43385</v>
                </pt>
                <pt idx="953">
                  <v>43388</v>
                </pt>
                <pt idx="954">
                  <v>43389</v>
                </pt>
                <pt idx="955">
                  <v>43390</v>
                </pt>
                <pt idx="956">
                  <v>43391</v>
                </pt>
                <pt idx="957">
                  <v>43392</v>
                </pt>
                <pt idx="958">
                  <v>43395</v>
                </pt>
                <pt idx="959">
                  <v>43396</v>
                </pt>
                <pt idx="960">
                  <v>43397</v>
                </pt>
                <pt idx="961">
                  <v>43398</v>
                </pt>
                <pt idx="962">
                  <v>43399</v>
                </pt>
                <pt idx="963">
                  <v>43402</v>
                </pt>
                <pt idx="964">
                  <v>43403</v>
                </pt>
                <pt idx="965">
                  <v>43404</v>
                </pt>
                <pt idx="966">
                  <v>43405</v>
                </pt>
                <pt idx="967">
                  <v>43406</v>
                </pt>
                <pt idx="968">
                  <v>43409</v>
                </pt>
                <pt idx="969">
                  <v>43410</v>
                </pt>
                <pt idx="970">
                  <v>43411</v>
                </pt>
                <pt idx="971">
                  <v>43412</v>
                </pt>
                <pt idx="972">
                  <v>43413</v>
                </pt>
                <pt idx="973">
                  <v>43416</v>
                </pt>
                <pt idx="974">
                  <v>43417</v>
                </pt>
                <pt idx="975">
                  <v>43418</v>
                </pt>
                <pt idx="976">
                  <v>43419</v>
                </pt>
                <pt idx="977">
                  <v>43420</v>
                </pt>
                <pt idx="978">
                  <v>43423</v>
                </pt>
                <pt idx="979">
                  <v>43424</v>
                </pt>
                <pt idx="980">
                  <v>43425</v>
                </pt>
                <pt idx="981">
                  <v>43427</v>
                </pt>
                <pt idx="982">
                  <v>43430</v>
                </pt>
                <pt idx="983">
                  <v>43431</v>
                </pt>
                <pt idx="984">
                  <v>43432</v>
                </pt>
                <pt idx="985">
                  <v>43433</v>
                </pt>
                <pt idx="986">
                  <v>43434</v>
                </pt>
                <pt idx="987">
                  <v>43437</v>
                </pt>
                <pt idx="988">
                  <v>43438</v>
                </pt>
                <pt idx="989">
                  <v>43439</v>
                </pt>
                <pt idx="990">
                  <v>43440</v>
                </pt>
                <pt idx="991">
                  <v>43441</v>
                </pt>
                <pt idx="992">
                  <v>43444</v>
                </pt>
                <pt idx="993">
                  <v>43445</v>
                </pt>
                <pt idx="994">
                  <v>43446</v>
                </pt>
                <pt idx="995">
                  <v>43447</v>
                </pt>
                <pt idx="996">
                  <v>43448</v>
                </pt>
                <pt idx="997">
                  <v>43451</v>
                </pt>
                <pt idx="998">
                  <v>43452</v>
                </pt>
                <pt idx="999">
                  <v>43453</v>
                </pt>
                <pt idx="1000">
                  <v>43454</v>
                </pt>
                <pt idx="1001">
                  <v>43455</v>
                </pt>
                <pt idx="1002">
                  <v>43458</v>
                </pt>
                <pt idx="1003">
                  <v>43460</v>
                </pt>
                <pt idx="1004">
                  <v>43461</v>
                </pt>
                <pt idx="1005">
                  <v>43462</v>
                </pt>
                <pt idx="1006">
                  <v>43465</v>
                </pt>
                <pt idx="1007">
                  <v>43467</v>
                </pt>
                <pt idx="1008">
                  <v>43468</v>
                </pt>
                <pt idx="1009">
                  <v>43469</v>
                </pt>
                <pt idx="1010">
                  <v>43472</v>
                </pt>
                <pt idx="1011">
                  <v>43473</v>
                </pt>
                <pt idx="1012">
                  <v>43474</v>
                </pt>
                <pt idx="1013">
                  <v>43475</v>
                </pt>
                <pt idx="1014">
                  <v>43476</v>
                </pt>
                <pt idx="1015">
                  <v>43479</v>
                </pt>
                <pt idx="1016">
                  <v>43480</v>
                </pt>
                <pt idx="1017">
                  <v>43481</v>
                </pt>
                <pt idx="1018">
                  <v>43482</v>
                </pt>
                <pt idx="1019">
                  <v>43483</v>
                </pt>
                <pt idx="1020">
                  <v>43487</v>
                </pt>
                <pt idx="1021">
                  <v>43488</v>
                </pt>
                <pt idx="1022">
                  <v>43489</v>
                </pt>
                <pt idx="1023">
                  <v>43490</v>
                </pt>
                <pt idx="1024">
                  <v>43493</v>
                </pt>
                <pt idx="1025">
                  <v>43494</v>
                </pt>
                <pt idx="1026">
                  <v>43495</v>
                </pt>
                <pt idx="1027">
                  <v>43496</v>
                </pt>
                <pt idx="1028">
                  <v>43497</v>
                </pt>
                <pt idx="1029">
                  <v>43500</v>
                </pt>
                <pt idx="1030">
                  <v>43501</v>
                </pt>
                <pt idx="1031">
                  <v>43502</v>
                </pt>
                <pt idx="1032">
                  <v>43503</v>
                </pt>
                <pt idx="1033">
                  <v>43504</v>
                </pt>
                <pt idx="1034">
                  <v>43507</v>
                </pt>
                <pt idx="1035">
                  <v>43508</v>
                </pt>
                <pt idx="1036">
                  <v>43509</v>
                </pt>
                <pt idx="1037">
                  <v>43510</v>
                </pt>
                <pt idx="1038">
                  <v>43511</v>
                </pt>
                <pt idx="1039">
                  <v>43515</v>
                </pt>
                <pt idx="1040">
                  <v>43516</v>
                </pt>
                <pt idx="1041">
                  <v>43517</v>
                </pt>
                <pt idx="1042">
                  <v>43518</v>
                </pt>
                <pt idx="1043">
                  <v>43521</v>
                </pt>
                <pt idx="1044">
                  <v>43522</v>
                </pt>
                <pt idx="1045">
                  <v>43523</v>
                </pt>
                <pt idx="1046">
                  <v>43524</v>
                </pt>
                <pt idx="1047">
                  <v>43525</v>
                </pt>
                <pt idx="1048">
                  <v>43528</v>
                </pt>
                <pt idx="1049">
                  <v>43529</v>
                </pt>
                <pt idx="1050">
                  <v>43530</v>
                </pt>
                <pt idx="1051">
                  <v>43531</v>
                </pt>
                <pt idx="1052">
                  <v>43532</v>
                </pt>
                <pt idx="1053">
                  <v>43535</v>
                </pt>
                <pt idx="1054">
                  <v>43536</v>
                </pt>
                <pt idx="1055">
                  <v>43537</v>
                </pt>
                <pt idx="1056">
                  <v>43538</v>
                </pt>
                <pt idx="1057">
                  <v>43539</v>
                </pt>
                <pt idx="1058">
                  <v>43542</v>
                </pt>
                <pt idx="1059">
                  <v>43543</v>
                </pt>
                <pt idx="1060">
                  <v>43544</v>
                </pt>
                <pt idx="1061">
                  <v>43545</v>
                </pt>
                <pt idx="1062">
                  <v>43546</v>
                </pt>
                <pt idx="1063">
                  <v>43549</v>
                </pt>
                <pt idx="1064">
                  <v>43550</v>
                </pt>
                <pt idx="1065">
                  <v>43551</v>
                </pt>
                <pt idx="1066">
                  <v>43552</v>
                </pt>
                <pt idx="1067">
                  <v>43553</v>
                </pt>
                <pt idx="1068">
                  <v>43556</v>
                </pt>
                <pt idx="1069">
                  <v>43557</v>
                </pt>
                <pt idx="1070">
                  <v>43558</v>
                </pt>
                <pt idx="1071">
                  <v>43559</v>
                </pt>
                <pt idx="1072">
                  <v>43560</v>
                </pt>
                <pt idx="1073">
                  <v>43563</v>
                </pt>
                <pt idx="1074">
                  <v>43564</v>
                </pt>
                <pt idx="1075">
                  <v>43565</v>
                </pt>
                <pt idx="1076">
                  <v>43566</v>
                </pt>
                <pt idx="1077">
                  <v>43567</v>
                </pt>
                <pt idx="1078">
                  <v>43570</v>
                </pt>
                <pt idx="1079">
                  <v>43571</v>
                </pt>
                <pt idx="1080">
                  <v>43572</v>
                </pt>
                <pt idx="1081">
                  <v>43573</v>
                </pt>
                <pt idx="1082">
                  <v>43577</v>
                </pt>
                <pt idx="1083">
                  <v>43578</v>
                </pt>
                <pt idx="1084">
                  <v>43579</v>
                </pt>
                <pt idx="1085">
                  <v>43580</v>
                </pt>
                <pt idx="1086">
                  <v>43581</v>
                </pt>
                <pt idx="1087">
                  <v>43584</v>
                </pt>
                <pt idx="1088">
                  <v>43585</v>
                </pt>
                <pt idx="1089">
                  <v>43586</v>
                </pt>
                <pt idx="1090">
                  <v>43587</v>
                </pt>
                <pt idx="1091">
                  <v>43588</v>
                </pt>
                <pt idx="1092">
                  <v>43591</v>
                </pt>
                <pt idx="1093">
                  <v>43592</v>
                </pt>
                <pt idx="1094">
                  <v>43593</v>
                </pt>
                <pt idx="1095">
                  <v>43594</v>
                </pt>
                <pt idx="1096">
                  <v>43595</v>
                </pt>
                <pt idx="1097">
                  <v>43598</v>
                </pt>
                <pt idx="1098">
                  <v>43599</v>
                </pt>
                <pt idx="1099">
                  <v>43600</v>
                </pt>
                <pt idx="1100">
                  <v>43601</v>
                </pt>
                <pt idx="1101">
                  <v>43602</v>
                </pt>
                <pt idx="1102">
                  <v>43605</v>
                </pt>
                <pt idx="1103">
                  <v>43606</v>
                </pt>
                <pt idx="1104">
                  <v>43607</v>
                </pt>
                <pt idx="1105">
                  <v>43608</v>
                </pt>
                <pt idx="1106">
                  <v>43609</v>
                </pt>
                <pt idx="1107">
                  <v>43613</v>
                </pt>
                <pt idx="1108">
                  <v>43614</v>
                </pt>
                <pt idx="1109">
                  <v>43615</v>
                </pt>
                <pt idx="1110">
                  <v>43616</v>
                </pt>
                <pt idx="1111">
                  <v>43619</v>
                </pt>
                <pt idx="1112">
                  <v>43620</v>
                </pt>
                <pt idx="1113">
                  <v>43621</v>
                </pt>
                <pt idx="1114">
                  <v>43622</v>
                </pt>
                <pt idx="1115">
                  <v>43623</v>
                </pt>
                <pt idx="1116">
                  <v>43626</v>
                </pt>
                <pt idx="1117">
                  <v>43627</v>
                </pt>
                <pt idx="1118">
                  <v>43628</v>
                </pt>
                <pt idx="1119">
                  <v>43629</v>
                </pt>
                <pt idx="1120">
                  <v>43630</v>
                </pt>
                <pt idx="1121">
                  <v>43633</v>
                </pt>
                <pt idx="1122">
                  <v>43634</v>
                </pt>
                <pt idx="1123">
                  <v>43635</v>
                </pt>
                <pt idx="1124">
                  <v>43636</v>
                </pt>
                <pt idx="1125">
                  <v>43637</v>
                </pt>
                <pt idx="1126">
                  <v>43640</v>
                </pt>
                <pt idx="1127">
                  <v>43641</v>
                </pt>
                <pt idx="1128">
                  <v>43642</v>
                </pt>
                <pt idx="1129">
                  <v>43643</v>
                </pt>
                <pt idx="1130">
                  <v>43644</v>
                </pt>
                <pt idx="1131">
                  <v>43647</v>
                </pt>
                <pt idx="1132">
                  <v>43648</v>
                </pt>
                <pt idx="1133">
                  <v>43649</v>
                </pt>
                <pt idx="1134">
                  <v>43651</v>
                </pt>
                <pt idx="1135">
                  <v>43654</v>
                </pt>
                <pt idx="1136">
                  <v>43655</v>
                </pt>
                <pt idx="1137">
                  <v>43656</v>
                </pt>
                <pt idx="1138">
                  <v>43657</v>
                </pt>
                <pt idx="1139">
                  <v>43658</v>
                </pt>
                <pt idx="1140">
                  <v>43661</v>
                </pt>
                <pt idx="1141">
                  <v>43662</v>
                </pt>
                <pt idx="1142">
                  <v>43663</v>
                </pt>
                <pt idx="1143">
                  <v>43664</v>
                </pt>
                <pt idx="1144">
                  <v>43665</v>
                </pt>
                <pt idx="1145">
                  <v>43668</v>
                </pt>
                <pt idx="1146">
                  <v>43669</v>
                </pt>
                <pt idx="1147">
                  <v>43670</v>
                </pt>
                <pt idx="1148">
                  <v>43671</v>
                </pt>
                <pt idx="1149">
                  <v>43672</v>
                </pt>
                <pt idx="1150">
                  <v>43675</v>
                </pt>
                <pt idx="1151">
                  <v>43676</v>
                </pt>
                <pt idx="1152">
                  <v>43677</v>
                </pt>
                <pt idx="1153">
                  <v>43678</v>
                </pt>
                <pt idx="1154">
                  <v>43679</v>
                </pt>
                <pt idx="1155">
                  <v>43682</v>
                </pt>
                <pt idx="1156">
                  <v>43683</v>
                </pt>
                <pt idx="1157">
                  <v>43684</v>
                </pt>
                <pt idx="1158">
                  <v>43685</v>
                </pt>
                <pt idx="1159">
                  <v>43686</v>
                </pt>
                <pt idx="1160">
                  <v>43689</v>
                </pt>
                <pt idx="1161">
                  <v>43690</v>
                </pt>
                <pt idx="1162">
                  <v>43691</v>
                </pt>
                <pt idx="1163">
                  <v>43692</v>
                </pt>
                <pt idx="1164">
                  <v>43693</v>
                </pt>
                <pt idx="1165">
                  <v>43696</v>
                </pt>
                <pt idx="1166">
                  <v>43697</v>
                </pt>
                <pt idx="1167">
                  <v>43698</v>
                </pt>
                <pt idx="1168">
                  <v>43699</v>
                </pt>
                <pt idx="1169">
                  <v>43700</v>
                </pt>
                <pt idx="1170">
                  <v>43703</v>
                </pt>
                <pt idx="1171">
                  <v>43704</v>
                </pt>
                <pt idx="1172">
                  <v>43705</v>
                </pt>
                <pt idx="1173">
                  <v>43706</v>
                </pt>
                <pt idx="1174">
                  <v>43707</v>
                </pt>
                <pt idx="1175">
                  <v>43711</v>
                </pt>
                <pt idx="1176">
                  <v>43712</v>
                </pt>
                <pt idx="1177">
                  <v>43713</v>
                </pt>
                <pt idx="1178">
                  <v>43714</v>
                </pt>
                <pt idx="1179">
                  <v>43717</v>
                </pt>
                <pt idx="1180">
                  <v>43718</v>
                </pt>
                <pt idx="1181">
                  <v>43719</v>
                </pt>
                <pt idx="1182">
                  <v>43720</v>
                </pt>
                <pt idx="1183">
                  <v>43721</v>
                </pt>
                <pt idx="1184">
                  <v>43724</v>
                </pt>
                <pt idx="1185">
                  <v>43725</v>
                </pt>
                <pt idx="1186">
                  <v>43726</v>
                </pt>
                <pt idx="1187">
                  <v>43727</v>
                </pt>
                <pt idx="1188">
                  <v>43728</v>
                </pt>
                <pt idx="1189">
                  <v>43731</v>
                </pt>
                <pt idx="1190">
                  <v>43732</v>
                </pt>
                <pt idx="1191">
                  <v>43733</v>
                </pt>
                <pt idx="1192">
                  <v>43734</v>
                </pt>
                <pt idx="1193">
                  <v>43735</v>
                </pt>
                <pt idx="1194">
                  <v>43738</v>
                </pt>
                <pt idx="1195">
                  <v>43739</v>
                </pt>
                <pt idx="1196">
                  <v>43740</v>
                </pt>
                <pt idx="1197">
                  <v>43741</v>
                </pt>
                <pt idx="1198">
                  <v>43742</v>
                </pt>
                <pt idx="1199">
                  <v>43745</v>
                </pt>
                <pt idx="1200">
                  <v>43746</v>
                </pt>
                <pt idx="1201">
                  <v>43747</v>
                </pt>
                <pt idx="1202">
                  <v>43748</v>
                </pt>
                <pt idx="1203">
                  <v>43749</v>
                </pt>
                <pt idx="1204">
                  <v>43752</v>
                </pt>
                <pt idx="1205">
                  <v>43753</v>
                </pt>
                <pt idx="1206">
                  <v>43754</v>
                </pt>
                <pt idx="1207">
                  <v>43755</v>
                </pt>
                <pt idx="1208">
                  <v>43756</v>
                </pt>
                <pt idx="1209">
                  <v>43759</v>
                </pt>
                <pt idx="1210">
                  <v>43760</v>
                </pt>
                <pt idx="1211">
                  <v>43761</v>
                </pt>
                <pt idx="1212">
                  <v>43762</v>
                </pt>
                <pt idx="1213">
                  <v>43763</v>
                </pt>
                <pt idx="1214">
                  <v>43766</v>
                </pt>
                <pt idx="1215">
                  <v>43767</v>
                </pt>
                <pt idx="1216">
                  <v>43768</v>
                </pt>
                <pt idx="1217">
                  <v>43769</v>
                </pt>
                <pt idx="1218">
                  <v>43770</v>
                </pt>
                <pt idx="1219">
                  <v>43773</v>
                </pt>
                <pt idx="1220">
                  <v>43774</v>
                </pt>
                <pt idx="1221">
                  <v>43775</v>
                </pt>
                <pt idx="1222">
                  <v>43776</v>
                </pt>
                <pt idx="1223">
                  <v>43777</v>
                </pt>
                <pt idx="1224">
                  <v>43780</v>
                </pt>
                <pt idx="1225">
                  <v>43781</v>
                </pt>
                <pt idx="1226">
                  <v>43782</v>
                </pt>
                <pt idx="1227">
                  <v>43783</v>
                </pt>
                <pt idx="1228">
                  <v>43784</v>
                </pt>
                <pt idx="1229">
                  <v>43787</v>
                </pt>
                <pt idx="1230">
                  <v>43788</v>
                </pt>
                <pt idx="1231">
                  <v>43789</v>
                </pt>
                <pt idx="1232">
                  <v>43790</v>
                </pt>
                <pt idx="1233">
                  <v>43791</v>
                </pt>
                <pt idx="1234">
                  <v>43794</v>
                </pt>
                <pt idx="1235">
                  <v>43795</v>
                </pt>
                <pt idx="1236">
                  <v>43796</v>
                </pt>
                <pt idx="1237">
                  <v>43798</v>
                </pt>
                <pt idx="1238">
                  <v>43801</v>
                </pt>
                <pt idx="1239">
                  <v>43802</v>
                </pt>
                <pt idx="1240">
                  <v>43803</v>
                </pt>
                <pt idx="1241">
                  <v>43804</v>
                </pt>
                <pt idx="1242">
                  <v>43805</v>
                </pt>
                <pt idx="1243">
                  <v>43808</v>
                </pt>
                <pt idx="1244">
                  <v>43809</v>
                </pt>
                <pt idx="1245">
                  <v>43810</v>
                </pt>
                <pt idx="1246">
                  <v>43811</v>
                </pt>
                <pt idx="1247">
                  <v>43812</v>
                </pt>
                <pt idx="1248">
                  <v>43815</v>
                </pt>
                <pt idx="1249">
                  <v>43816</v>
                </pt>
                <pt idx="1250">
                  <v>43817</v>
                </pt>
                <pt idx="1251">
                  <v>43818</v>
                </pt>
                <pt idx="1252">
                  <v>43819</v>
                </pt>
                <pt idx="1253">
                  <v>43822</v>
                </pt>
                <pt idx="1254">
                  <v>43823</v>
                </pt>
                <pt idx="1255">
                  <v>43825</v>
                </pt>
                <pt idx="1256">
                  <v>43826</v>
                </pt>
                <pt idx="1257">
                  <v>43829</v>
                </pt>
                <pt idx="1258">
                  <v>43830</v>
                </pt>
                <pt idx="1259">
                  <v>43832</v>
                </pt>
                <pt idx="1260">
                  <v>43833</v>
                </pt>
                <pt idx="1261">
                  <v>43836</v>
                </pt>
                <pt idx="1262">
                  <v>43837</v>
                </pt>
                <pt idx="1263">
                  <v>43838</v>
                </pt>
                <pt idx="1264">
                  <v>43839</v>
                </pt>
                <pt idx="1265">
                  <v>43840</v>
                </pt>
                <pt idx="1266">
                  <v>43843</v>
                </pt>
                <pt idx="1267">
                  <v>43844</v>
                </pt>
                <pt idx="1268">
                  <v>43845</v>
                </pt>
                <pt idx="1269">
                  <v>43846</v>
                </pt>
                <pt idx="1270">
                  <v>43847</v>
                </pt>
                <pt idx="1271">
                  <v>43851</v>
                </pt>
                <pt idx="1272">
                  <v>43852</v>
                </pt>
                <pt idx="1273">
                  <v>43853</v>
                </pt>
                <pt idx="1274">
                  <v>43854</v>
                </pt>
                <pt idx="1275">
                  <v>43857</v>
                </pt>
                <pt idx="1276">
                  <v>43858</v>
                </pt>
                <pt idx="1277">
                  <v>43859</v>
                </pt>
                <pt idx="1278">
                  <v>43860</v>
                </pt>
                <pt idx="1279">
                  <v>43861</v>
                </pt>
                <pt idx="1280">
                  <v>43864</v>
                </pt>
                <pt idx="1281">
                  <v>43865</v>
                </pt>
                <pt idx="1282">
                  <v>43866</v>
                </pt>
                <pt idx="1283">
                  <v>43867</v>
                </pt>
                <pt idx="1284">
                  <v>43868</v>
                </pt>
                <pt idx="1285">
                  <v>43871</v>
                </pt>
                <pt idx="1286">
                  <v>43872</v>
                </pt>
                <pt idx="1287">
                  <v>43873</v>
                </pt>
                <pt idx="1288">
                  <v>43874</v>
                </pt>
                <pt idx="1289">
                  <v>43875</v>
                </pt>
                <pt idx="1290">
                  <v>43879</v>
                </pt>
                <pt idx="1291">
                  <v>43880</v>
                </pt>
                <pt idx="1292">
                  <v>43881</v>
                </pt>
                <pt idx="1293">
                  <v>43882</v>
                </pt>
                <pt idx="1294">
                  <v>43885</v>
                </pt>
                <pt idx="1295">
                  <v>43886</v>
                </pt>
                <pt idx="1296">
                  <v>43887</v>
                </pt>
                <pt idx="1297">
                  <v>43888</v>
                </pt>
                <pt idx="1298">
                  <v>43889</v>
                </pt>
                <pt idx="1299">
                  <v>43892</v>
                </pt>
                <pt idx="1300">
                  <v>43893</v>
                </pt>
                <pt idx="1301">
                  <v>43894</v>
                </pt>
                <pt idx="1302">
                  <v>43895</v>
                </pt>
                <pt idx="1303">
                  <v>43896</v>
                </pt>
                <pt idx="1304">
                  <v>43899</v>
                </pt>
                <pt idx="1305">
                  <v>43900</v>
                </pt>
                <pt idx="1306">
                  <v>43901</v>
                </pt>
                <pt idx="1307">
                  <v>43902</v>
                </pt>
                <pt idx="1308">
                  <v>43903</v>
                </pt>
                <pt idx="1309">
                  <v>43906</v>
                </pt>
                <pt idx="1310">
                  <v>43907</v>
                </pt>
                <pt idx="1311">
                  <v>43908</v>
                </pt>
                <pt idx="1312">
                  <v>43909</v>
                </pt>
                <pt idx="1313">
                  <v>43910</v>
                </pt>
                <pt idx="1314">
                  <v>43913</v>
                </pt>
                <pt idx="1315">
                  <v>43914</v>
                </pt>
                <pt idx="1316">
                  <v>43915</v>
                </pt>
                <pt idx="1317">
                  <v>43916</v>
                </pt>
                <pt idx="1318">
                  <v>43917</v>
                </pt>
                <pt idx="1319">
                  <v>43920</v>
                </pt>
                <pt idx="1320">
                  <v>43921</v>
                </pt>
                <pt idx="1321">
                  <v>43922</v>
                </pt>
                <pt idx="1322">
                  <v>43923</v>
                </pt>
                <pt idx="1323">
                  <v>43924</v>
                </pt>
                <pt idx="1324">
                  <v>43927</v>
                </pt>
                <pt idx="1325">
                  <v>43928</v>
                </pt>
                <pt idx="1326">
                  <v>43929</v>
                </pt>
                <pt idx="1327">
                  <v>43930</v>
                </pt>
                <pt idx="1328">
                  <v>43934</v>
                </pt>
                <pt idx="1329">
                  <v>43935</v>
                </pt>
                <pt idx="1330">
                  <v>43936</v>
                </pt>
                <pt idx="1331">
                  <v>43937</v>
                </pt>
                <pt idx="1332">
                  <v>43938</v>
                </pt>
                <pt idx="1333">
                  <v>43941</v>
                </pt>
                <pt idx="1334">
                  <v>43942</v>
                </pt>
                <pt idx="1335">
                  <v>43943</v>
                </pt>
                <pt idx="1336">
                  <v>43944</v>
                </pt>
                <pt idx="1337">
                  <v>43945</v>
                </pt>
                <pt idx="1338">
                  <v>43948</v>
                </pt>
                <pt idx="1339">
                  <v>43949</v>
                </pt>
                <pt idx="1340">
                  <v>43950</v>
                </pt>
                <pt idx="1341">
                  <v>43951</v>
                </pt>
                <pt idx="1342">
                  <v>43952</v>
                </pt>
                <pt idx="1343">
                  <v>43955</v>
                </pt>
                <pt idx="1344">
                  <v>43956</v>
                </pt>
                <pt idx="1345">
                  <v>43957</v>
                </pt>
                <pt idx="1346">
                  <v>43958</v>
                </pt>
                <pt idx="1347">
                  <v>43959</v>
                </pt>
                <pt idx="1348">
                  <v>43962</v>
                </pt>
                <pt idx="1349">
                  <v>43963</v>
                </pt>
                <pt idx="1350">
                  <v>43964</v>
                </pt>
                <pt idx="1351">
                  <v>43965</v>
                </pt>
                <pt idx="1352">
                  <v>43966</v>
                </pt>
                <pt idx="1353">
                  <v>43969</v>
                </pt>
                <pt idx="1354">
                  <v>43970</v>
                </pt>
                <pt idx="1355">
                  <v>43971</v>
                </pt>
                <pt idx="1356">
                  <v>43972</v>
                </pt>
                <pt idx="1357">
                  <v>43973</v>
                </pt>
                <pt idx="1358">
                  <v>43977</v>
                </pt>
                <pt idx="1359">
                  <v>43978</v>
                </pt>
                <pt idx="1360">
                  <v>43979</v>
                </pt>
                <pt idx="1361">
                  <v>43980</v>
                </pt>
                <pt idx="1362">
                  <v>43983</v>
                </pt>
                <pt idx="1363">
                  <v>43984</v>
                </pt>
                <pt idx="1364">
                  <v>43985</v>
                </pt>
                <pt idx="1365">
                  <v>43986</v>
                </pt>
                <pt idx="1366">
                  <v>43987</v>
                </pt>
                <pt idx="1367">
                  <v>43990</v>
                </pt>
                <pt idx="1368">
                  <v>43991</v>
                </pt>
                <pt idx="1369">
                  <v>43992</v>
                </pt>
                <pt idx="1370">
                  <v>43993</v>
                </pt>
                <pt idx="1371">
                  <v>43994</v>
                </pt>
                <pt idx="1372">
                  <v>43997</v>
                </pt>
                <pt idx="1373">
                  <v>43998</v>
                </pt>
                <pt idx="1374">
                  <v>43999</v>
                </pt>
                <pt idx="1375">
                  <v>44000</v>
                </pt>
                <pt idx="1376">
                  <v>44001</v>
                </pt>
                <pt idx="1377">
                  <v>44004</v>
                </pt>
                <pt idx="1378">
                  <v>44005</v>
                </pt>
                <pt idx="1379">
                  <v>44006</v>
                </pt>
                <pt idx="1380">
                  <v>44007</v>
                </pt>
                <pt idx="1381">
                  <v>44008</v>
                </pt>
                <pt idx="1382">
                  <v>44011</v>
                </pt>
                <pt idx="1383">
                  <v>44012</v>
                </pt>
                <pt idx="1384">
                  <v>44013</v>
                </pt>
                <pt idx="1385">
                  <v>44014</v>
                </pt>
                <pt idx="1386">
                  <v>44018</v>
                </pt>
                <pt idx="1387">
                  <v>44019</v>
                </pt>
                <pt idx="1388">
                  <v>44020</v>
                </pt>
                <pt idx="1389">
                  <v>44021</v>
                </pt>
                <pt idx="1390">
                  <v>44022</v>
                </pt>
                <pt idx="1391">
                  <v>44025</v>
                </pt>
                <pt idx="1392">
                  <v>44026</v>
                </pt>
                <pt idx="1393">
                  <v>44027</v>
                </pt>
                <pt idx="1394">
                  <v>44028</v>
                </pt>
                <pt idx="1395">
                  <v>44029</v>
                </pt>
                <pt idx="1396">
                  <v>44032</v>
                </pt>
                <pt idx="1397">
                  <v>44033</v>
                </pt>
                <pt idx="1398">
                  <v>44034</v>
                </pt>
                <pt idx="1399">
                  <v>44035</v>
                </pt>
                <pt idx="1400">
                  <v>44036</v>
                </pt>
                <pt idx="1401">
                  <v>44039</v>
                </pt>
                <pt idx="1402">
                  <v>44040</v>
                </pt>
                <pt idx="1403">
                  <v>44041</v>
                </pt>
                <pt idx="1404">
                  <v>44042</v>
                </pt>
                <pt idx="1405">
                  <v>44043</v>
                </pt>
                <pt idx="1406">
                  <v>44046</v>
                </pt>
                <pt idx="1407">
                  <v>44047</v>
                </pt>
                <pt idx="1408">
                  <v>44048</v>
                </pt>
                <pt idx="1409">
                  <v>44049</v>
                </pt>
                <pt idx="1410">
                  <v>44050</v>
                </pt>
                <pt idx="1411">
                  <v>44053</v>
                </pt>
                <pt idx="1412">
                  <v>44054</v>
                </pt>
                <pt idx="1413">
                  <v>44055</v>
                </pt>
                <pt idx="1414">
                  <v>44056</v>
                </pt>
                <pt idx="1415">
                  <v>44057</v>
                </pt>
                <pt idx="1416">
                  <v>44060</v>
                </pt>
                <pt idx="1417">
                  <v>44061</v>
                </pt>
                <pt idx="1418">
                  <v>44062</v>
                </pt>
                <pt idx="1419">
                  <v>44063</v>
                </pt>
                <pt idx="1420">
                  <v>44064</v>
                </pt>
                <pt idx="1421">
                  <v>44067</v>
                </pt>
                <pt idx="1422">
                  <v>44068</v>
                </pt>
                <pt idx="1423">
                  <v>44069</v>
                </pt>
                <pt idx="1424">
                  <v>44070</v>
                </pt>
                <pt idx="1425">
                  <v>44071</v>
                </pt>
                <pt idx="1426">
                  <v>44074</v>
                </pt>
                <pt idx="1427">
                  <v>44075</v>
                </pt>
                <pt idx="1428">
                  <v>44076</v>
                </pt>
                <pt idx="1429">
                  <v>44077</v>
                </pt>
                <pt idx="1430">
                  <v>44078</v>
                </pt>
                <pt idx="1431">
                  <v>44082</v>
                </pt>
                <pt idx="1432">
                  <v>44083</v>
                </pt>
                <pt idx="1433">
                  <v>44084</v>
                </pt>
                <pt idx="1434">
                  <v>44085</v>
                </pt>
                <pt idx="1435">
                  <v>44088</v>
                </pt>
                <pt idx="1436">
                  <v>44089</v>
                </pt>
                <pt idx="1437">
                  <v>44090</v>
                </pt>
                <pt idx="1438">
                  <v>44091</v>
                </pt>
                <pt idx="1439">
                  <v>44092</v>
                </pt>
                <pt idx="1440">
                  <v>44095</v>
                </pt>
                <pt idx="1441">
                  <v>44096</v>
                </pt>
                <pt idx="1442">
                  <v>44097</v>
                </pt>
                <pt idx="1443">
                  <v>44098</v>
                </pt>
                <pt idx="1444">
                  <v>44099</v>
                </pt>
                <pt idx="1445">
                  <v>44102</v>
                </pt>
                <pt idx="1446">
                  <v>44103</v>
                </pt>
                <pt idx="1447">
                  <v>44104</v>
                </pt>
                <pt idx="1448">
                  <v>44105</v>
                </pt>
                <pt idx="1449">
                  <v>44106</v>
                </pt>
                <pt idx="1450">
                  <v>44109</v>
                </pt>
                <pt idx="1451">
                  <v>44110</v>
                </pt>
                <pt idx="1452">
                  <v>44111</v>
                </pt>
                <pt idx="1453">
                  <v>44112</v>
                </pt>
                <pt idx="1454">
                  <v>44113</v>
                </pt>
                <pt idx="1455">
                  <v>44116</v>
                </pt>
                <pt idx="1456">
                  <v>44117</v>
                </pt>
                <pt idx="1457">
                  <v>44118</v>
                </pt>
                <pt idx="1458">
                  <v>44119</v>
                </pt>
                <pt idx="1459">
                  <v>44120</v>
                </pt>
                <pt idx="1460">
                  <v>44123</v>
                </pt>
                <pt idx="1461">
                  <v>44124</v>
                </pt>
                <pt idx="1462">
                  <v>44125</v>
                </pt>
                <pt idx="1463">
                  <v>44126</v>
                </pt>
                <pt idx="1464">
                  <v>44127</v>
                </pt>
                <pt idx="1465">
                  <v>44130</v>
                </pt>
                <pt idx="1466">
                  <v>44131</v>
                </pt>
                <pt idx="1467">
                  <v>44132</v>
                </pt>
                <pt idx="1468">
                  <v>44133</v>
                </pt>
                <pt idx="1469">
                  <v>44134</v>
                </pt>
                <pt idx="1470">
                  <v>44137</v>
                </pt>
                <pt idx="1471">
                  <v>44138</v>
                </pt>
                <pt idx="1472">
                  <v>44139</v>
                </pt>
                <pt idx="1473">
                  <v>44140</v>
                </pt>
                <pt idx="1474">
                  <v>44141</v>
                </pt>
                <pt idx="1475">
                  <v>44144</v>
                </pt>
                <pt idx="1476">
                  <v>44145</v>
                </pt>
                <pt idx="1477">
                  <v>44146</v>
                </pt>
                <pt idx="1478">
                  <v>44147</v>
                </pt>
                <pt idx="1479">
                  <v>44148</v>
                </pt>
                <pt idx="1480">
                  <v>44151</v>
                </pt>
                <pt idx="1481">
                  <v>44152</v>
                </pt>
                <pt idx="1482">
                  <v>44153</v>
                </pt>
                <pt idx="1483">
                  <v>44154</v>
                </pt>
                <pt idx="1484">
                  <v>44155</v>
                </pt>
                <pt idx="1485">
                  <v>44158</v>
                </pt>
                <pt idx="1486">
                  <v>44159</v>
                </pt>
                <pt idx="1487">
                  <v>44160</v>
                </pt>
                <pt idx="1488">
                  <v>44162</v>
                </pt>
                <pt idx="1489">
                  <v>44165</v>
                </pt>
                <pt idx="1490">
                  <v>44166</v>
                </pt>
                <pt idx="1491">
                  <v>44167</v>
                </pt>
                <pt idx="1492">
                  <v>44168</v>
                </pt>
                <pt idx="1493">
                  <v>44169</v>
                </pt>
                <pt idx="1494">
                  <v>44172</v>
                </pt>
                <pt idx="1495">
                  <v>44173</v>
                </pt>
                <pt idx="1496">
                  <v>44174</v>
                </pt>
                <pt idx="1497">
                  <v>44175</v>
                </pt>
                <pt idx="1498">
                  <v>44176</v>
                </pt>
                <pt idx="1499">
                  <v>44179</v>
                </pt>
                <pt idx="1500">
                  <v>44180</v>
                </pt>
                <pt idx="1501">
                  <v>44181</v>
                </pt>
                <pt idx="1502">
                  <v>44182</v>
                </pt>
                <pt idx="1503">
                  <v>44183</v>
                </pt>
                <pt idx="1504">
                  <v>44186</v>
                </pt>
                <pt idx="1505">
                  <v>44187</v>
                </pt>
                <pt idx="1506">
                  <v>44188</v>
                </pt>
                <pt idx="1507">
                  <v>44189</v>
                </pt>
                <pt idx="1508">
                  <v>44193</v>
                </pt>
                <pt idx="1509">
                  <v>44194</v>
                </pt>
                <pt idx="1510">
                  <v>44195</v>
                </pt>
                <pt idx="1511">
                  <v>44196</v>
                </pt>
                <pt idx="1512">
                  <v>44200</v>
                </pt>
                <pt idx="1513">
                  <v>44201</v>
                </pt>
                <pt idx="1514">
                  <v>44202</v>
                </pt>
                <pt idx="1515">
                  <v>44203</v>
                </pt>
                <pt idx="1516">
                  <v>44204</v>
                </pt>
                <pt idx="1517">
                  <v>44207</v>
                </pt>
                <pt idx="1518">
                  <v>44208</v>
                </pt>
                <pt idx="1519">
                  <v>44209</v>
                </pt>
                <pt idx="1520">
                  <v>44210</v>
                </pt>
                <pt idx="1521">
                  <v>44211</v>
                </pt>
                <pt idx="1522">
                  <v>44215</v>
                </pt>
                <pt idx="1523">
                  <v>44216</v>
                </pt>
                <pt idx="1524">
                  <v>44217</v>
                </pt>
                <pt idx="1525">
                  <v>44218</v>
                </pt>
                <pt idx="1526">
                  <v>44221</v>
                </pt>
                <pt idx="1527">
                  <v>44222</v>
                </pt>
                <pt idx="1528">
                  <v>44223</v>
                </pt>
                <pt idx="1529">
                  <v>44224</v>
                </pt>
                <pt idx="1530">
                  <v>44225</v>
                </pt>
                <pt idx="1531">
                  <v>44228</v>
                </pt>
                <pt idx="1532">
                  <v>44229</v>
                </pt>
                <pt idx="1533">
                  <v>44230</v>
                </pt>
                <pt idx="1534">
                  <v>44231</v>
                </pt>
                <pt idx="1535">
                  <v>44232</v>
                </pt>
                <pt idx="1536">
                  <v>44235</v>
                </pt>
                <pt idx="1537">
                  <v>44236</v>
                </pt>
                <pt idx="1538">
                  <v>44237</v>
                </pt>
                <pt idx="1539">
                  <v>44238</v>
                </pt>
                <pt idx="1540">
                  <v>44239</v>
                </pt>
                <pt idx="1541">
                  <v>44243</v>
                </pt>
                <pt idx="1542">
                  <v>44244</v>
                </pt>
                <pt idx="1543">
                  <v>44245</v>
                </pt>
                <pt idx="1544">
                  <v>44246</v>
                </pt>
                <pt idx="1545">
                  <v>44249</v>
                </pt>
                <pt idx="1546">
                  <v>44250</v>
                </pt>
                <pt idx="1547">
                  <v>44251</v>
                </pt>
                <pt idx="1548">
                  <v>44252</v>
                </pt>
                <pt idx="1549">
                  <v>44253</v>
                </pt>
                <pt idx="1550">
                  <v>44256</v>
                </pt>
                <pt idx="1551">
                  <v>44257</v>
                </pt>
                <pt idx="1552">
                  <v>44258</v>
                </pt>
                <pt idx="1553">
                  <v>44259</v>
                </pt>
                <pt idx="1554">
                  <v>44260</v>
                </pt>
                <pt idx="1555">
                  <v>44263</v>
                </pt>
                <pt idx="1556">
                  <v>44264</v>
                </pt>
                <pt idx="1557">
                  <v>44265</v>
                </pt>
                <pt idx="1558">
                  <v>44266</v>
                </pt>
                <pt idx="1559">
                  <v>44267</v>
                </pt>
                <pt idx="1560">
                  <v>44270</v>
                </pt>
                <pt idx="1561">
                  <v>44271</v>
                </pt>
                <pt idx="1562">
                  <v>44272</v>
                </pt>
                <pt idx="1563">
                  <v>44273</v>
                </pt>
                <pt idx="1564">
                  <v>44274</v>
                </pt>
                <pt idx="1565">
                  <v>44277</v>
                </pt>
                <pt idx="1566">
                  <v>44278</v>
                </pt>
                <pt idx="1567">
                  <v>44279</v>
                </pt>
                <pt idx="1568">
                  <v>44280</v>
                </pt>
                <pt idx="1569">
                  <v>44281</v>
                </pt>
                <pt idx="1570">
                  <v>44284</v>
                </pt>
                <pt idx="1571">
                  <v>44285</v>
                </pt>
                <pt idx="1572">
                  <v>44286</v>
                </pt>
                <pt idx="1573">
                  <v>44287</v>
                </pt>
                <pt idx="1574">
                  <v>44291</v>
                </pt>
                <pt idx="1575">
                  <v>44292</v>
                </pt>
                <pt idx="1576">
                  <v>44293</v>
                </pt>
                <pt idx="1577">
                  <v>44294</v>
                </pt>
                <pt idx="1578">
                  <v>44295</v>
                </pt>
                <pt idx="1579">
                  <v>44298</v>
                </pt>
                <pt idx="1580">
                  <v>44299</v>
                </pt>
                <pt idx="1581">
                  <v>44300</v>
                </pt>
                <pt idx="1582">
                  <v>44301</v>
                </pt>
                <pt idx="1583">
                  <v>44302</v>
                </pt>
                <pt idx="1584">
                  <v>44305</v>
                </pt>
                <pt idx="1585">
                  <v>44306</v>
                </pt>
                <pt idx="1586">
                  <v>44307</v>
                </pt>
                <pt idx="1587">
                  <v>44308</v>
                </pt>
                <pt idx="1588">
                  <v>44309</v>
                </pt>
                <pt idx="1589">
                  <v>44312</v>
                </pt>
                <pt idx="1590">
                  <v>44313</v>
                </pt>
                <pt idx="1591">
                  <v>44314</v>
                </pt>
                <pt idx="1592">
                  <v>44315</v>
                </pt>
                <pt idx="1593">
                  <v>44316</v>
                </pt>
                <pt idx="1594">
                  <v>44319</v>
                </pt>
                <pt idx="1595">
                  <v>44320</v>
                </pt>
                <pt idx="1596">
                  <v>44321</v>
                </pt>
                <pt idx="1597">
                  <v>44322</v>
                </pt>
                <pt idx="1598">
                  <v>44323</v>
                </pt>
                <pt idx="1599">
                  <v>44326</v>
                </pt>
                <pt idx="1600">
                  <v>44327</v>
                </pt>
                <pt idx="1601">
                  <v>44328</v>
                </pt>
                <pt idx="1602">
                  <v>44329</v>
                </pt>
                <pt idx="1603">
                  <v>44330</v>
                </pt>
                <pt idx="1604">
                  <v>44333</v>
                </pt>
                <pt idx="1605">
                  <v>44334</v>
                </pt>
                <pt idx="1606">
                  <v>44335</v>
                </pt>
                <pt idx="1607">
                  <v>44336</v>
                </pt>
                <pt idx="1608">
                  <v>44337</v>
                </pt>
                <pt idx="1609">
                  <v>44340</v>
                </pt>
                <pt idx="1610">
                  <v>44341</v>
                </pt>
                <pt idx="1611">
                  <v>44342</v>
                </pt>
                <pt idx="1612">
                  <v>44343</v>
                </pt>
                <pt idx="1613">
                  <v>44344</v>
                </pt>
                <pt idx="1614">
                  <v>44348</v>
                </pt>
                <pt idx="1615">
                  <v>44349</v>
                </pt>
                <pt idx="1616">
                  <v>44350</v>
                </pt>
                <pt idx="1617">
                  <v>44351</v>
                </pt>
                <pt idx="1618">
                  <v>44354</v>
                </pt>
                <pt idx="1619">
                  <v>44355</v>
                </pt>
                <pt idx="1620">
                  <v>44356</v>
                </pt>
                <pt idx="1621">
                  <v>44357</v>
                </pt>
                <pt idx="1622">
                  <v>44358</v>
                </pt>
                <pt idx="1623">
                  <v>44361</v>
                </pt>
                <pt idx="1624">
                  <v>44362</v>
                </pt>
                <pt idx="1625">
                  <v>44363</v>
                </pt>
                <pt idx="1626">
                  <v>44364</v>
                </pt>
                <pt idx="1627">
                  <v>44365</v>
                </pt>
                <pt idx="1628">
                  <v>44368</v>
                </pt>
                <pt idx="1629">
                  <v>44369</v>
                </pt>
                <pt idx="1630">
                  <v>44370</v>
                </pt>
                <pt idx="1631">
                  <v>44371</v>
                </pt>
                <pt idx="1632">
                  <v>44372</v>
                </pt>
                <pt idx="1633">
                  <v>44375</v>
                </pt>
                <pt idx="1634">
                  <v>44376</v>
                </pt>
                <pt idx="1635">
                  <v>44377</v>
                </pt>
                <pt idx="1636">
                  <v>44378</v>
                </pt>
                <pt idx="1637">
                  <v>44379</v>
                </pt>
                <pt idx="1638">
                  <v>44383</v>
                </pt>
                <pt idx="1639">
                  <v>44384</v>
                </pt>
                <pt idx="1640">
                  <v>44385</v>
                </pt>
                <pt idx="1641">
                  <v>44386</v>
                </pt>
                <pt idx="1642">
                  <v>44389</v>
                </pt>
                <pt idx="1643">
                  <v>44390</v>
                </pt>
                <pt idx="1644">
                  <v>44391</v>
                </pt>
                <pt idx="1645">
                  <v>44392</v>
                </pt>
                <pt idx="1646">
                  <v>44393</v>
                </pt>
                <pt idx="1647">
                  <v>44396</v>
                </pt>
                <pt idx="1648">
                  <v>44397</v>
                </pt>
                <pt idx="1649">
                  <v>44398</v>
                </pt>
                <pt idx="1650">
                  <v>44399</v>
                </pt>
                <pt idx="1651">
                  <v>44400</v>
                </pt>
                <pt idx="1652">
                  <v>44403</v>
                </pt>
                <pt idx="1653">
                  <v>44404</v>
                </pt>
                <pt idx="1654">
                  <v>44405</v>
                </pt>
                <pt idx="1655">
                  <v>44406</v>
                </pt>
                <pt idx="1656">
                  <v>44407</v>
                </pt>
                <pt idx="1657">
                  <v>44410</v>
                </pt>
                <pt idx="1658">
                  <v>44411</v>
                </pt>
                <pt idx="1659">
                  <v>44412</v>
                </pt>
                <pt idx="1660">
                  <v>44413</v>
                </pt>
                <pt idx="1661">
                  <v>44414</v>
                </pt>
                <pt idx="1662">
                  <v>44417</v>
                </pt>
                <pt idx="1663">
                  <v>44418</v>
                </pt>
                <pt idx="1664">
                  <v>44419</v>
                </pt>
                <pt idx="1665">
                  <v>44420</v>
                </pt>
                <pt idx="1666">
                  <v>44421</v>
                </pt>
                <pt idx="1667">
                  <v>44424</v>
                </pt>
                <pt idx="1668">
                  <v>44425</v>
                </pt>
                <pt idx="1669">
                  <v>44426</v>
                </pt>
                <pt idx="1670">
                  <v>44427</v>
                </pt>
                <pt idx="1671">
                  <v>44428</v>
                </pt>
                <pt idx="1672">
                  <v>44431</v>
                </pt>
                <pt idx="1673">
                  <v>44432</v>
                </pt>
                <pt idx="1674">
                  <v>44433</v>
                </pt>
                <pt idx="1675">
                  <v>44434</v>
                </pt>
                <pt idx="1676">
                  <v>44435</v>
                </pt>
                <pt idx="1677">
                  <v>44438</v>
                </pt>
                <pt idx="1678">
                  <v>44439</v>
                </pt>
                <pt idx="1679">
                  <v>44440</v>
                </pt>
                <pt idx="1680">
                  <v>44441</v>
                </pt>
                <pt idx="1681">
                  <v>44442</v>
                </pt>
                <pt idx="1682">
                  <v>44446</v>
                </pt>
                <pt idx="1683">
                  <v>44447</v>
                </pt>
                <pt idx="1684">
                  <v>44448</v>
                </pt>
                <pt idx="1685">
                  <v>44449</v>
                </pt>
                <pt idx="1686">
                  <v>44452</v>
                </pt>
                <pt idx="1687">
                  <v>44453</v>
                </pt>
                <pt idx="1688">
                  <v>44454</v>
                </pt>
                <pt idx="1689">
                  <v>44455</v>
                </pt>
                <pt idx="1690">
                  <v>44456</v>
                </pt>
                <pt idx="1691">
                  <v>44459</v>
                </pt>
                <pt idx="1692">
                  <v>44460</v>
                </pt>
                <pt idx="1693">
                  <v>44461</v>
                </pt>
                <pt idx="1694">
                  <v>44462</v>
                </pt>
                <pt idx="1695">
                  <v>44463</v>
                </pt>
                <pt idx="1696">
                  <v>44466</v>
                </pt>
                <pt idx="1697">
                  <v>44467</v>
                </pt>
                <pt idx="1698">
                  <v>44468</v>
                </pt>
                <pt idx="1699">
                  <v>44469</v>
                </pt>
                <pt idx="1700">
                  <v>44470</v>
                </pt>
                <pt idx="1701">
                  <v>44473</v>
                </pt>
                <pt idx="1702">
                  <v>44474</v>
                </pt>
                <pt idx="1703">
                  <v>44475</v>
                </pt>
                <pt idx="1704">
                  <v>44476</v>
                </pt>
                <pt idx="1705">
                  <v>44477</v>
                </pt>
                <pt idx="1706">
                  <v>44480</v>
                </pt>
                <pt idx="1707">
                  <v>44481</v>
                </pt>
                <pt idx="1708">
                  <v>44482</v>
                </pt>
                <pt idx="1709">
                  <v>44483</v>
                </pt>
                <pt idx="1710">
                  <v>44484</v>
                </pt>
                <pt idx="1711">
                  <v>44487</v>
                </pt>
                <pt idx="1712">
                  <v>44488</v>
                </pt>
                <pt idx="1713">
                  <v>44489</v>
                </pt>
                <pt idx="1714">
                  <v>44490</v>
                </pt>
                <pt idx="1715">
                  <v>44491</v>
                </pt>
                <pt idx="1716">
                  <v>44494</v>
                </pt>
                <pt idx="1717">
                  <v>44495</v>
                </pt>
                <pt idx="1718">
                  <v>44496</v>
                </pt>
                <pt idx="1719">
                  <v>44497</v>
                </pt>
                <pt idx="1720">
                  <v>44498</v>
                </pt>
                <pt idx="1721">
                  <v>44501</v>
                </pt>
                <pt idx="1722">
                  <v>44502</v>
                </pt>
                <pt idx="1723">
                  <v>44503</v>
                </pt>
                <pt idx="1724">
                  <v>44504</v>
                </pt>
                <pt idx="1725">
                  <v>44505</v>
                </pt>
                <pt idx="1726">
                  <v>44508</v>
                </pt>
                <pt idx="1727">
                  <v>44509</v>
                </pt>
                <pt idx="1728">
                  <v>44510</v>
                </pt>
                <pt idx="1729">
                  <v>44511</v>
                </pt>
                <pt idx="1730">
                  <v>44512</v>
                </pt>
                <pt idx="1731">
                  <v>44515</v>
                </pt>
                <pt idx="1732">
                  <v>44516</v>
                </pt>
                <pt idx="1733">
                  <v>44517</v>
                </pt>
                <pt idx="1734">
                  <v>44518</v>
                </pt>
                <pt idx="1735">
                  <v>44519</v>
                </pt>
                <pt idx="1736">
                  <v>44522</v>
                </pt>
                <pt idx="1737">
                  <v>44523</v>
                </pt>
                <pt idx="1738">
                  <v>44524</v>
                </pt>
                <pt idx="1739">
                  <v>44526</v>
                </pt>
                <pt idx="1740">
                  <v>44529</v>
                </pt>
                <pt idx="1741">
                  <v>44530</v>
                </pt>
                <pt idx="1742">
                  <v>44531</v>
                </pt>
                <pt idx="1743">
                  <v>44532</v>
                </pt>
                <pt idx="1744">
                  <v>44533</v>
                </pt>
                <pt idx="1745">
                  <v>44536</v>
                </pt>
                <pt idx="1746">
                  <v>44537</v>
                </pt>
                <pt idx="1747">
                  <v>44538</v>
                </pt>
                <pt idx="1748">
                  <v>44539</v>
                </pt>
                <pt idx="1749">
                  <v>44540</v>
                </pt>
                <pt idx="1750">
                  <v>44543</v>
                </pt>
                <pt idx="1751">
                  <v>44544</v>
                </pt>
                <pt idx="1752">
                  <v>44545</v>
                </pt>
                <pt idx="1753">
                  <v>44546</v>
                </pt>
                <pt idx="1754">
                  <v>44547</v>
                </pt>
                <pt idx="1755">
                  <v>44550</v>
                </pt>
                <pt idx="1756">
                  <v>44551</v>
                </pt>
                <pt idx="1757">
                  <v>44552</v>
                </pt>
                <pt idx="1758">
                  <v>44553</v>
                </pt>
                <pt idx="1759">
                  <v>44557</v>
                </pt>
                <pt idx="1760">
                  <v>44558</v>
                </pt>
                <pt idx="1761">
                  <v>44559</v>
                </pt>
                <pt idx="1762">
                  <v>44560</v>
                </pt>
                <pt idx="1763">
                  <v>44561</v>
                </pt>
                <pt idx="1764">
                  <v>44564</v>
                </pt>
                <pt idx="1765">
                  <v>44565</v>
                </pt>
                <pt idx="1766">
                  <v>44566</v>
                </pt>
                <pt idx="1767">
                  <v>44567</v>
                </pt>
                <pt idx="1768">
                  <v>44568</v>
                </pt>
                <pt idx="1769">
                  <v>44571</v>
                </pt>
                <pt idx="1770">
                  <v>44572</v>
                </pt>
                <pt idx="1771">
                  <v>44573</v>
                </pt>
                <pt idx="1772">
                  <v>44574</v>
                </pt>
                <pt idx="1773">
                  <v>44575</v>
                </pt>
                <pt idx="1774">
                  <v>44579</v>
                </pt>
                <pt idx="1775">
                  <v>44580</v>
                </pt>
                <pt idx="1776">
                  <v>44581</v>
                </pt>
                <pt idx="1777">
                  <v>44582</v>
                </pt>
                <pt idx="1778">
                  <v>44585</v>
                </pt>
                <pt idx="1779">
                  <v>44586</v>
                </pt>
                <pt idx="1780">
                  <v>44587</v>
                </pt>
                <pt idx="1781">
                  <v>44588</v>
                </pt>
                <pt idx="1782">
                  <v>44589</v>
                </pt>
                <pt idx="1783">
                  <v>44592</v>
                </pt>
                <pt idx="1784">
                  <v>44593</v>
                </pt>
                <pt idx="1785">
                  <v>44594</v>
                </pt>
                <pt idx="1786">
                  <v>44595</v>
                </pt>
                <pt idx="1787">
                  <v>44596</v>
                </pt>
                <pt idx="1788">
                  <v>44599</v>
                </pt>
                <pt idx="1789">
                  <v>44600</v>
                </pt>
                <pt idx="1790">
                  <v>44601</v>
                </pt>
                <pt idx="1791">
                  <v>44602</v>
                </pt>
                <pt idx="1792">
                  <v>44603</v>
                </pt>
                <pt idx="1793">
                  <v>44606</v>
                </pt>
                <pt idx="1794">
                  <v>44607</v>
                </pt>
                <pt idx="1795">
                  <v>44608</v>
                </pt>
                <pt idx="1796">
                  <v>44609</v>
                </pt>
                <pt idx="1797">
                  <v>44610</v>
                </pt>
                <pt idx="1798">
                  <v>44614</v>
                </pt>
                <pt idx="1799">
                  <v>44615</v>
                </pt>
                <pt idx="1800">
                  <v>44616</v>
                </pt>
                <pt idx="1801">
                  <v>44617</v>
                </pt>
                <pt idx="1802">
                  <v>44620</v>
                </pt>
                <pt idx="1803">
                  <v>44621</v>
                </pt>
                <pt idx="1804">
                  <v>44622</v>
                </pt>
                <pt idx="1805">
                  <v>44623</v>
                </pt>
                <pt idx="1806">
                  <v>44624</v>
                </pt>
                <pt idx="1807">
                  <v>44627</v>
                </pt>
                <pt idx="1808">
                  <v>44628</v>
                </pt>
                <pt idx="1809">
                  <v>44629</v>
                </pt>
                <pt idx="1810">
                  <v>44630</v>
                </pt>
                <pt idx="1811">
                  <v>44631</v>
                </pt>
                <pt idx="1812">
                  <v>44634</v>
                </pt>
                <pt idx="1813">
                  <v>44635</v>
                </pt>
                <pt idx="1814">
                  <v>44636</v>
                </pt>
                <pt idx="1815">
                  <v>44637</v>
                </pt>
                <pt idx="1816">
                  <v>44638</v>
                </pt>
                <pt idx="1817">
                  <v>44641</v>
                </pt>
                <pt idx="1818">
                  <v>44642</v>
                </pt>
                <pt idx="1819">
                  <v>44643</v>
                </pt>
                <pt idx="1820">
                  <v>44644</v>
                </pt>
                <pt idx="1821">
                  <v>44645</v>
                </pt>
                <pt idx="1822">
                  <v>44648</v>
                </pt>
                <pt idx="1823">
                  <v>44649</v>
                </pt>
                <pt idx="1824">
                  <v>44650</v>
                </pt>
                <pt idx="1825">
                  <v>44651</v>
                </pt>
                <pt idx="1826">
                  <v>44652</v>
                </pt>
                <pt idx="1827">
                  <v>44655</v>
                </pt>
                <pt idx="1828">
                  <v>44656</v>
                </pt>
                <pt idx="1829">
                  <v>44657</v>
                </pt>
                <pt idx="1830">
                  <v>44658</v>
                </pt>
                <pt idx="1831">
                  <v>44659</v>
                </pt>
                <pt idx="1832">
                  <v>44662</v>
                </pt>
                <pt idx="1833">
                  <v>44663</v>
                </pt>
                <pt idx="1834">
                  <v>44664</v>
                </pt>
                <pt idx="1835">
                  <v>44665</v>
                </pt>
                <pt idx="1836">
                  <v>44669</v>
                </pt>
                <pt idx="1837">
                  <v>44670</v>
                </pt>
                <pt idx="1838">
                  <v>44671</v>
                </pt>
                <pt idx="1839">
                  <v>44672</v>
                </pt>
                <pt idx="1840">
                  <v>44673</v>
                </pt>
                <pt idx="1841">
                  <v>44676</v>
                </pt>
                <pt idx="1842">
                  <v>44677</v>
                </pt>
                <pt idx="1843">
                  <v>44678</v>
                </pt>
                <pt idx="1844">
                  <v>44679</v>
                </pt>
                <pt idx="1845">
                  <v>44680</v>
                </pt>
                <pt idx="1846">
                  <v>44683</v>
                </pt>
                <pt idx="1847">
                  <v>44684</v>
                </pt>
                <pt idx="1848">
                  <v>44685</v>
                </pt>
                <pt idx="1849">
                  <v>44686</v>
                </pt>
                <pt idx="1850">
                  <v>44687</v>
                </pt>
                <pt idx="1851">
                  <v>44690</v>
                </pt>
                <pt idx="1852">
                  <v>44691</v>
                </pt>
                <pt idx="1853">
                  <v>44692</v>
                </pt>
                <pt idx="1854">
                  <v>44693</v>
                </pt>
                <pt idx="1855">
                  <v>44694</v>
                </pt>
                <pt idx="1856">
                  <v>44697</v>
                </pt>
                <pt idx="1857">
                  <v>44698</v>
                </pt>
                <pt idx="1858">
                  <v>44699</v>
                </pt>
                <pt idx="1859">
                  <v>44700</v>
                </pt>
                <pt idx="1860">
                  <v>44701</v>
                </pt>
                <pt idx="1861">
                  <v>44704</v>
                </pt>
                <pt idx="1862">
                  <v>44705</v>
                </pt>
                <pt idx="1863">
                  <v>44706</v>
                </pt>
                <pt idx="1864">
                  <v>44707</v>
                </pt>
                <pt idx="1865">
                  <v>44708</v>
                </pt>
                <pt idx="1866">
                  <v>44712</v>
                </pt>
                <pt idx="1867">
                  <v>44713</v>
                </pt>
                <pt idx="1868">
                  <v>44714</v>
                </pt>
                <pt idx="1869">
                  <v>44715</v>
                </pt>
                <pt idx="1870">
                  <v>44718</v>
                </pt>
                <pt idx="1871">
                  <v>44719</v>
                </pt>
                <pt idx="1872">
                  <v>44720</v>
                </pt>
                <pt idx="1873">
                  <v>44721</v>
                </pt>
                <pt idx="1874">
                  <v>44722</v>
                </pt>
                <pt idx="1875">
                  <v>44725</v>
                </pt>
                <pt idx="1876">
                  <v>44726</v>
                </pt>
                <pt idx="1877">
                  <v>44727</v>
                </pt>
                <pt idx="1878">
                  <v>44728</v>
                </pt>
                <pt idx="1879">
                  <v>44729</v>
                </pt>
                <pt idx="1880">
                  <v>44733</v>
                </pt>
                <pt idx="1881">
                  <v>44734</v>
                </pt>
                <pt idx="1882">
                  <v>44735</v>
                </pt>
                <pt idx="1883">
                  <v>44736</v>
                </pt>
                <pt idx="1884">
                  <v>44739</v>
                </pt>
                <pt idx="1885">
                  <v>44740</v>
                </pt>
                <pt idx="1886">
                  <v>44741</v>
                </pt>
                <pt idx="1887">
                  <v>44742</v>
                </pt>
                <pt idx="1888">
                  <v>44743</v>
                </pt>
                <pt idx="1889">
                  <v>44747</v>
                </pt>
                <pt idx="1890">
                  <v>44748</v>
                </pt>
                <pt idx="1891">
                  <v>44749</v>
                </pt>
                <pt idx="1892">
                  <v>44750</v>
                </pt>
                <pt idx="1893">
                  <v>44753</v>
                </pt>
                <pt idx="1894">
                  <v>44754</v>
                </pt>
                <pt idx="1895">
                  <v>44755</v>
                </pt>
                <pt idx="1896">
                  <v>44756</v>
                </pt>
                <pt idx="1897">
                  <v>44757</v>
                </pt>
                <pt idx="1898">
                  <v>44760</v>
                </pt>
                <pt idx="1899">
                  <v>44761</v>
                </pt>
                <pt idx="1900">
                  <v>44762</v>
                </pt>
                <pt idx="1901">
                  <v>44763</v>
                </pt>
                <pt idx="1902">
                  <v>44764</v>
                </pt>
                <pt idx="1903">
                  <v>44767</v>
                </pt>
                <pt idx="1904">
                  <v>44768</v>
                </pt>
                <pt idx="1905">
                  <v>44769</v>
                </pt>
                <pt idx="1906">
                  <v>44770</v>
                </pt>
                <pt idx="1907">
                  <v>44771</v>
                </pt>
                <pt idx="1908">
                  <v>44774</v>
                </pt>
                <pt idx="1909">
                  <v>44775</v>
                </pt>
                <pt idx="1910">
                  <v>44776</v>
                </pt>
                <pt idx="1911">
                  <v>44777</v>
                </pt>
                <pt idx="1912">
                  <v>44778</v>
                </pt>
                <pt idx="1913">
                  <v>44781</v>
                </pt>
                <pt idx="1914">
                  <v>44782</v>
                </pt>
                <pt idx="1915">
                  <v>44783</v>
                </pt>
                <pt idx="1916">
                  <v>44784</v>
                </pt>
                <pt idx="1917">
                  <v>44785</v>
                </pt>
                <pt idx="1918">
                  <v>44788</v>
                </pt>
                <pt idx="1919">
                  <v>44789</v>
                </pt>
                <pt idx="1920">
                  <v>44790</v>
                </pt>
                <pt idx="1921">
                  <v>44791</v>
                </pt>
                <pt idx="1922">
                  <v>44792</v>
                </pt>
                <pt idx="1923">
                  <v>44795</v>
                </pt>
                <pt idx="1924">
                  <v>44796</v>
                </pt>
                <pt idx="1925">
                  <v>44797</v>
                </pt>
                <pt idx="1926">
                  <v>44798</v>
                </pt>
                <pt idx="1927">
                  <v>44799</v>
                </pt>
                <pt idx="1928">
                  <v>44802</v>
                </pt>
                <pt idx="1929">
                  <v>44803</v>
                </pt>
                <pt idx="1930">
                  <v>44804</v>
                </pt>
                <pt idx="1931">
                  <v>44805</v>
                </pt>
                <pt idx="1932">
                  <v>44806</v>
                </pt>
                <pt idx="1933">
                  <v>44810</v>
                </pt>
                <pt idx="1934">
                  <v>44811</v>
                </pt>
                <pt idx="1935">
                  <v>44812</v>
                </pt>
                <pt idx="1936">
                  <v>44813</v>
                </pt>
                <pt idx="1937">
                  <v>44816</v>
                </pt>
                <pt idx="1938">
                  <v>44817</v>
                </pt>
                <pt idx="1939">
                  <v>44818</v>
                </pt>
                <pt idx="1940">
                  <v>44819</v>
                </pt>
                <pt idx="1941">
                  <v>44820</v>
                </pt>
                <pt idx="1942">
                  <v>44823</v>
                </pt>
                <pt idx="1943">
                  <v>44824</v>
                </pt>
                <pt idx="1944">
                  <v>44825</v>
                </pt>
                <pt idx="1945">
                  <v>44826</v>
                </pt>
                <pt idx="1946">
                  <v>44827</v>
                </pt>
                <pt idx="1947">
                  <v>44830</v>
                </pt>
                <pt idx="1948">
                  <v>44831</v>
                </pt>
                <pt idx="1949">
                  <v>44832</v>
                </pt>
                <pt idx="1950">
                  <v>44833</v>
                </pt>
                <pt idx="1951">
                  <v>44834</v>
                </pt>
                <pt idx="1952">
                  <v>44837</v>
                </pt>
                <pt idx="1953">
                  <v>44838</v>
                </pt>
                <pt idx="1954">
                  <v>44839</v>
                </pt>
                <pt idx="1955">
                  <v>44840</v>
                </pt>
                <pt idx="1956">
                  <v>44841</v>
                </pt>
                <pt idx="1957">
                  <v>44844</v>
                </pt>
                <pt idx="1958">
                  <v>44845</v>
                </pt>
                <pt idx="1959">
                  <v>44846</v>
                </pt>
                <pt idx="1960">
                  <v>44847</v>
                </pt>
                <pt idx="1961">
                  <v>44848</v>
                </pt>
                <pt idx="1962">
                  <v>44851</v>
                </pt>
                <pt idx="1963">
                  <v>44852</v>
                </pt>
                <pt idx="1964">
                  <v>44853</v>
                </pt>
                <pt idx="1965">
                  <v>44854</v>
                </pt>
                <pt idx="1966">
                  <v>44855</v>
                </pt>
                <pt idx="1967">
                  <v>44858</v>
                </pt>
                <pt idx="1968">
                  <v>44859</v>
                </pt>
                <pt idx="1969">
                  <v>44860</v>
                </pt>
                <pt idx="1970">
                  <v>44861</v>
                </pt>
                <pt idx="1971">
                  <v>44862</v>
                </pt>
                <pt idx="1972">
                  <v>44865</v>
                </pt>
                <pt idx="1973">
                  <v>44866</v>
                </pt>
                <pt idx="1974">
                  <v>44867</v>
                </pt>
                <pt idx="1975">
                  <v>44868</v>
                </pt>
                <pt idx="1976">
                  <v>44869</v>
                </pt>
                <pt idx="1977">
                  <v>44872</v>
                </pt>
                <pt idx="1978">
                  <v>44873</v>
                </pt>
                <pt idx="1979">
                  <v>44874</v>
                </pt>
                <pt idx="1980">
                  <v>44875</v>
                </pt>
                <pt idx="1981">
                  <v>44876</v>
                </pt>
                <pt idx="1982">
                  <v>44879</v>
                </pt>
                <pt idx="1983">
                  <v>44880</v>
                </pt>
                <pt idx="1984">
                  <v>44881</v>
                </pt>
                <pt idx="1985">
                  <v>44882</v>
                </pt>
                <pt idx="1986">
                  <v>44883</v>
                </pt>
                <pt idx="1987">
                  <v>44886</v>
                </pt>
                <pt idx="1988">
                  <v>44887</v>
                </pt>
                <pt idx="1989">
                  <v>44888</v>
                </pt>
                <pt idx="1990">
                  <v>44890</v>
                </pt>
                <pt idx="1991">
                  <v>44893</v>
                </pt>
                <pt idx="1992">
                  <v>44894</v>
                </pt>
                <pt idx="1993">
                  <v>44895</v>
                </pt>
                <pt idx="1994">
                  <v>44896</v>
                </pt>
                <pt idx="1995">
                  <v>44897</v>
                </pt>
                <pt idx="1996">
                  <v>44900</v>
                </pt>
                <pt idx="1997">
                  <v>44901</v>
                </pt>
                <pt idx="1998">
                  <v>44902</v>
                </pt>
                <pt idx="1999">
                  <v>44903</v>
                </pt>
                <pt idx="2000">
                  <v>44904</v>
                </pt>
                <pt idx="2001">
                  <v>44907</v>
                </pt>
                <pt idx="2002">
                  <v>44908</v>
                </pt>
                <pt idx="2003">
                  <v>44909</v>
                </pt>
                <pt idx="2004">
                  <v>44910</v>
                </pt>
                <pt idx="2005">
                  <v>44911</v>
                </pt>
                <pt idx="2006">
                  <v>44914</v>
                </pt>
                <pt idx="2007">
                  <v>44915</v>
                </pt>
                <pt idx="2008">
                  <v>44916</v>
                </pt>
                <pt idx="2009">
                  <v>44917</v>
                </pt>
                <pt idx="2010">
                  <v>44918</v>
                </pt>
                <pt idx="2011">
                  <v>44922</v>
                </pt>
                <pt idx="2012">
                  <v>44923</v>
                </pt>
                <pt idx="2013">
                  <v>44924</v>
                </pt>
                <pt idx="2014">
                  <v>44925</v>
                </pt>
                <pt idx="2015">
                  <v>44929</v>
                </pt>
                <pt idx="2016">
                  <v>44930</v>
                </pt>
                <pt idx="2017">
                  <v>44931</v>
                </pt>
                <pt idx="2018">
                  <v>44932</v>
                </pt>
                <pt idx="2019">
                  <v>44935</v>
                </pt>
                <pt idx="2020">
                  <v>44936</v>
                </pt>
                <pt idx="2021">
                  <v>44937</v>
                </pt>
                <pt idx="2022">
                  <v>44938</v>
                </pt>
                <pt idx="2023">
                  <v>44939</v>
                </pt>
                <pt idx="2024">
                  <v>44943</v>
                </pt>
                <pt idx="2025">
                  <v>44944</v>
                </pt>
                <pt idx="2026">
                  <v>44945</v>
                </pt>
                <pt idx="2027">
                  <v>44946</v>
                </pt>
                <pt idx="2028">
                  <v>44949</v>
                </pt>
                <pt idx="2029">
                  <v>44950</v>
                </pt>
                <pt idx="2030">
                  <v>44951</v>
                </pt>
                <pt idx="2031">
                  <v>44952</v>
                </pt>
                <pt idx="2032">
                  <v>44953</v>
                </pt>
                <pt idx="2033">
                  <v>44956</v>
                </pt>
                <pt idx="2034">
                  <v>44957</v>
                </pt>
                <pt idx="2035">
                  <v>44958</v>
                </pt>
                <pt idx="2036">
                  <v>44959</v>
                </pt>
                <pt idx="2037">
                  <v>44960</v>
                </pt>
                <pt idx="2038">
                  <v>44963</v>
                </pt>
                <pt idx="2039">
                  <v>44964</v>
                </pt>
                <pt idx="2040">
                  <v>44965</v>
                </pt>
                <pt idx="2041">
                  <v>44966</v>
                </pt>
                <pt idx="2042">
                  <v>44967</v>
                </pt>
                <pt idx="2043">
                  <v>44970</v>
                </pt>
                <pt idx="2044">
                  <v>44971</v>
                </pt>
                <pt idx="2045">
                  <v>44972</v>
                </pt>
                <pt idx="2046">
                  <v>44973</v>
                </pt>
                <pt idx="2047">
                  <v>44974</v>
                </pt>
                <pt idx="2048">
                  <v>44978</v>
                </pt>
                <pt idx="2049">
                  <v>44979</v>
                </pt>
                <pt idx="2050">
                  <v>44980</v>
                </pt>
                <pt idx="2051">
                  <v>44981</v>
                </pt>
                <pt idx="2052">
                  <v>44984</v>
                </pt>
                <pt idx="2053">
                  <v>44985</v>
                </pt>
                <pt idx="2054">
                  <v>44986</v>
                </pt>
                <pt idx="2055">
                  <v>44987</v>
                </pt>
                <pt idx="2056">
                  <v>44988</v>
                </pt>
                <pt idx="2057">
                  <v>44991</v>
                </pt>
                <pt idx="2058">
                  <v>44992</v>
                </pt>
                <pt idx="2059">
                  <v>44993</v>
                </pt>
                <pt idx="2060">
                  <v>44994</v>
                </pt>
                <pt idx="2061">
                  <v>44995</v>
                </pt>
                <pt idx="2062">
                  <v>44998</v>
                </pt>
                <pt idx="2063">
                  <v>44999</v>
                </pt>
                <pt idx="2064">
                  <v>45000</v>
                </pt>
                <pt idx="2065">
                  <v>45001</v>
                </pt>
                <pt idx="2066">
                  <v>45002</v>
                </pt>
                <pt idx="2067">
                  <v>45005</v>
                </pt>
                <pt idx="2068">
                  <v>45006</v>
                </pt>
                <pt idx="2069">
                  <v>45007</v>
                </pt>
                <pt idx="2070">
                  <v>45008</v>
                </pt>
                <pt idx="2071">
                  <v>45009</v>
                </pt>
                <pt idx="2072">
                  <v>45012</v>
                </pt>
                <pt idx="2073">
                  <v>45013</v>
                </pt>
                <pt idx="2074">
                  <v>45014</v>
                </pt>
                <pt idx="2075">
                  <v>45015</v>
                </pt>
                <pt idx="2076">
                  <v>45016</v>
                </pt>
                <pt idx="2077">
                  <v>45019</v>
                </pt>
                <pt idx="2078">
                  <v>45020</v>
                </pt>
                <pt idx="2079">
                  <v>45021</v>
                </pt>
                <pt idx="2080">
                  <v>45022</v>
                </pt>
                <pt idx="2081">
                  <v>45026</v>
                </pt>
                <pt idx="2082">
                  <v>45027</v>
                </pt>
                <pt idx="2083">
                  <v>45028</v>
                </pt>
                <pt idx="2084">
                  <v>45029</v>
                </pt>
                <pt idx="2085">
                  <v>45030</v>
                </pt>
                <pt idx="2086">
                  <v>45033</v>
                </pt>
                <pt idx="2087">
                  <v>45034</v>
                </pt>
                <pt idx="2088">
                  <v>45035</v>
                </pt>
                <pt idx="2089">
                  <v>45036</v>
                </pt>
                <pt idx="2090">
                  <v>45037</v>
                </pt>
                <pt idx="2091">
                  <v>45040</v>
                </pt>
                <pt idx="2092">
                  <v>45041</v>
                </pt>
                <pt idx="2093">
                  <v>45042</v>
                </pt>
                <pt idx="2094">
                  <v>45043</v>
                </pt>
                <pt idx="2095">
                  <v>45044</v>
                </pt>
                <pt idx="2096">
                  <v>45047</v>
                </pt>
                <pt idx="2097">
                  <v>45048</v>
                </pt>
                <pt idx="2098">
                  <v>45049</v>
                </pt>
                <pt idx="2099">
                  <v>45050</v>
                </pt>
                <pt idx="2100">
                  <v>45051</v>
                </pt>
                <pt idx="2101">
                  <v>45054</v>
                </pt>
                <pt idx="2102">
                  <v>45055</v>
                </pt>
                <pt idx="2103">
                  <v>45056</v>
                </pt>
                <pt idx="2104">
                  <v>45057</v>
                </pt>
                <pt idx="2105">
                  <v>45058</v>
                </pt>
                <pt idx="2106">
                  <v>45061</v>
                </pt>
                <pt idx="2107">
                  <v>45062</v>
                </pt>
                <pt idx="2108">
                  <v>45063</v>
                </pt>
                <pt idx="2109">
                  <v>45064</v>
                </pt>
                <pt idx="2110">
                  <v>45065</v>
                </pt>
                <pt idx="2111">
                  <v>45068</v>
                </pt>
                <pt idx="2112">
                  <v>45069</v>
                </pt>
                <pt idx="2113">
                  <v>45070</v>
                </pt>
                <pt idx="2114">
                  <v>45071</v>
                </pt>
                <pt idx="2115">
                  <v>45072</v>
                </pt>
                <pt idx="2116">
                  <v>45076</v>
                </pt>
                <pt idx="2117">
                  <v>45077</v>
                </pt>
                <pt idx="2118">
                  <v>45078</v>
                </pt>
                <pt idx="2119">
                  <v>45079</v>
                </pt>
                <pt idx="2120">
                  <v>45082</v>
                </pt>
                <pt idx="2121">
                  <v>45083</v>
                </pt>
                <pt idx="2122">
                  <v>45084</v>
                </pt>
                <pt idx="2123">
                  <v>45085</v>
                </pt>
                <pt idx="2124">
                  <v>45086</v>
                </pt>
                <pt idx="2125">
                  <v>45089</v>
                </pt>
                <pt idx="2126">
                  <v>45090</v>
                </pt>
                <pt idx="2127">
                  <v>45091</v>
                </pt>
                <pt idx="2128">
                  <v>45092</v>
                </pt>
                <pt idx="2129">
                  <v>45093</v>
                </pt>
                <pt idx="2130">
                  <v>45097</v>
                </pt>
                <pt idx="2131">
                  <v>45098</v>
                </pt>
                <pt idx="2132">
                  <v>45099</v>
                </pt>
                <pt idx="2133">
                  <v>45100</v>
                </pt>
                <pt idx="2134">
                  <v>45103</v>
                </pt>
                <pt idx="2135">
                  <v>45104</v>
                </pt>
                <pt idx="2136">
                  <v>45105</v>
                </pt>
                <pt idx="2137">
                  <v>45106</v>
                </pt>
                <pt idx="2138">
                  <v>45107</v>
                </pt>
                <pt idx="2139">
                  <v>45110</v>
                </pt>
                <pt idx="2140">
                  <v>45112</v>
                </pt>
                <pt idx="2141">
                  <v>45113</v>
                </pt>
                <pt idx="2142">
                  <v>45114</v>
                </pt>
                <pt idx="2143">
                  <v>45117</v>
                </pt>
                <pt idx="2144">
                  <v>45118</v>
                </pt>
                <pt idx="2145">
                  <v>45119</v>
                </pt>
                <pt idx="2146">
                  <v>45120</v>
                </pt>
                <pt idx="2147">
                  <v>45121</v>
                </pt>
                <pt idx="2148">
                  <v>45124</v>
                </pt>
                <pt idx="2149">
                  <v>45125</v>
                </pt>
                <pt idx="2150">
                  <v>45126</v>
                </pt>
                <pt idx="2151">
                  <v>45127</v>
                </pt>
                <pt idx="2152">
                  <v>45128</v>
                </pt>
                <pt idx="2153">
                  <v>45131</v>
                </pt>
                <pt idx="2154">
                  <v>45132</v>
                </pt>
                <pt idx="2155">
                  <v>45133</v>
                </pt>
                <pt idx="2156">
                  <v>45134</v>
                </pt>
                <pt idx="2157">
                  <v>45135</v>
                </pt>
                <pt idx="2158">
                  <v>45138</v>
                </pt>
                <pt idx="2159">
                  <v>45139</v>
                </pt>
                <pt idx="2160">
                  <v>45140</v>
                </pt>
                <pt idx="2161">
                  <v>45141</v>
                </pt>
                <pt idx="2162">
                  <v>45142</v>
                </pt>
                <pt idx="2163">
                  <v>45145</v>
                </pt>
                <pt idx="2164">
                  <v>45146</v>
                </pt>
                <pt idx="2165">
                  <v>45147</v>
                </pt>
                <pt idx="2166">
                  <v>45148</v>
                </pt>
                <pt idx="2167">
                  <v>45149</v>
                </pt>
                <pt idx="2168">
                  <v>45152</v>
                </pt>
                <pt idx="2169">
                  <v>45153</v>
                </pt>
                <pt idx="2170">
                  <v>45154</v>
                </pt>
                <pt idx="2171">
                  <v>45155</v>
                </pt>
                <pt idx="2172">
                  <v>45156</v>
                </pt>
                <pt idx="2173">
                  <v>45159</v>
                </pt>
                <pt idx="2174">
                  <v>45160</v>
                </pt>
                <pt idx="2175">
                  <v>45161</v>
                </pt>
                <pt idx="2176">
                  <v>45162</v>
                </pt>
                <pt idx="2177">
                  <v>45163</v>
                </pt>
                <pt idx="2178">
                  <v>45166</v>
                </pt>
                <pt idx="2179">
                  <v>45167</v>
                </pt>
                <pt idx="2180">
                  <v>45168</v>
                </pt>
                <pt idx="2181">
                  <v>45169</v>
                </pt>
                <pt idx="2182">
                  <v>45170</v>
                </pt>
                <pt idx="2183">
                  <v>45174</v>
                </pt>
                <pt idx="2184">
                  <v>45175</v>
                </pt>
                <pt idx="2185">
                  <v>45176</v>
                </pt>
                <pt idx="2186">
                  <v>45177</v>
                </pt>
                <pt idx="2187">
                  <v>45180</v>
                </pt>
                <pt idx="2188">
                  <v>45181</v>
                </pt>
                <pt idx="2189">
                  <v>45182</v>
                </pt>
                <pt idx="2190">
                  <v>45183</v>
                </pt>
                <pt idx="2191">
                  <v>45184</v>
                </pt>
                <pt idx="2192">
                  <v>45187</v>
                </pt>
                <pt idx="2193">
                  <v>45188</v>
                </pt>
                <pt idx="2194">
                  <v>45189</v>
                </pt>
                <pt idx="2195">
                  <v>45190</v>
                </pt>
                <pt idx="2196">
                  <v>45191</v>
                </pt>
                <pt idx="2197">
                  <v>45194</v>
                </pt>
                <pt idx="2198">
                  <v>45195</v>
                </pt>
                <pt idx="2199">
                  <v>45196</v>
                </pt>
                <pt idx="2200">
                  <v>45197</v>
                </pt>
                <pt idx="2201">
                  <v>45198</v>
                </pt>
                <pt idx="2202">
                  <v>45201</v>
                </pt>
                <pt idx="2203">
                  <v>45202</v>
                </pt>
                <pt idx="2204">
                  <v>45203</v>
                </pt>
                <pt idx="2205">
                  <v>45204</v>
                </pt>
                <pt idx="2206">
                  <v>45205</v>
                </pt>
                <pt idx="2207">
                  <v>45208</v>
                </pt>
                <pt idx="2208">
                  <v>45209</v>
                </pt>
                <pt idx="2209">
                  <v>45210</v>
                </pt>
                <pt idx="2210">
                  <v>45211</v>
                </pt>
                <pt idx="2211">
                  <v>45212</v>
                </pt>
                <pt idx="2212">
                  <v>45215</v>
                </pt>
                <pt idx="2213">
                  <v>45216</v>
                </pt>
                <pt idx="2214">
                  <v>45217</v>
                </pt>
                <pt idx="2215">
                  <v>45218</v>
                </pt>
                <pt idx="2216">
                  <v>45219</v>
                </pt>
                <pt idx="2217">
                  <v>45222</v>
                </pt>
                <pt idx="2218">
                  <v>45223</v>
                </pt>
                <pt idx="2219">
                  <v>45224</v>
                </pt>
                <pt idx="2220">
                  <v>45225</v>
                </pt>
                <pt idx="2221">
                  <v>45226</v>
                </pt>
                <pt idx="2222">
                  <v>45229</v>
                </pt>
                <pt idx="2223">
                  <v>45230</v>
                </pt>
                <pt idx="2224">
                  <v>45231</v>
                </pt>
                <pt idx="2225">
                  <v>45232</v>
                </pt>
                <pt idx="2226">
                  <v>45233</v>
                </pt>
                <pt idx="2227">
                  <v>45236</v>
                </pt>
                <pt idx="2228">
                  <v>45237</v>
                </pt>
                <pt idx="2229">
                  <v>45238</v>
                </pt>
                <pt idx="2230">
                  <v>45239</v>
                </pt>
                <pt idx="2231">
                  <v>45240</v>
                </pt>
                <pt idx="2232">
                  <v>45243</v>
                </pt>
                <pt idx="2233">
                  <v>45244</v>
                </pt>
                <pt idx="2234">
                  <v>45245</v>
                </pt>
                <pt idx="2235">
                  <v>45246</v>
                </pt>
                <pt idx="2236">
                  <v>45247</v>
                </pt>
                <pt idx="2237">
                  <v>45250</v>
                </pt>
                <pt idx="2238">
                  <v>45251</v>
                </pt>
                <pt idx="2239">
                  <v>45252</v>
                </pt>
                <pt idx="2240">
                  <v>45254</v>
                </pt>
                <pt idx="2241">
                  <v>45257</v>
                </pt>
                <pt idx="2242">
                  <v>45258</v>
                </pt>
                <pt idx="2243">
                  <v>45259</v>
                </pt>
                <pt idx="2244">
                  <v>45260</v>
                </pt>
                <pt idx="2245">
                  <v>45261</v>
                </pt>
                <pt idx="2246">
                  <v>45264</v>
                </pt>
                <pt idx="2247">
                  <v>45265</v>
                </pt>
                <pt idx="2248">
                  <v>45266</v>
                </pt>
                <pt idx="2249">
                  <v>45267</v>
                </pt>
                <pt idx="2250">
                  <v>45268</v>
                </pt>
                <pt idx="2251">
                  <v>45271</v>
                </pt>
                <pt idx="2252">
                  <v>45272</v>
                </pt>
                <pt idx="2253">
                  <v>45273</v>
                </pt>
                <pt idx="2254">
                  <v>45274</v>
                </pt>
                <pt idx="2255">
                  <v>45275</v>
                </pt>
                <pt idx="2256">
                  <v>45278</v>
                </pt>
                <pt idx="2257">
                  <v>45279</v>
                </pt>
                <pt idx="2258">
                  <v>45280</v>
                </pt>
                <pt idx="2259">
                  <v>45281</v>
                </pt>
                <pt idx="2260">
                  <v>45282</v>
                </pt>
                <pt idx="2261">
                  <v>45286</v>
                </pt>
                <pt idx="2262">
                  <v>45287</v>
                </pt>
                <pt idx="2263">
                  <v>45288</v>
                </pt>
                <pt idx="2264">
                  <v>45289</v>
                </pt>
                <pt idx="2265">
                  <v>45293</v>
                </pt>
                <pt idx="2266">
                  <v>45294</v>
                </pt>
                <pt idx="2267">
                  <v>45295</v>
                </pt>
                <pt idx="2268">
                  <v>45296</v>
                </pt>
                <pt idx="2269">
                  <v>45299</v>
                </pt>
                <pt idx="2270">
                  <v>45300</v>
                </pt>
                <pt idx="2271">
                  <v>45301</v>
                </pt>
                <pt idx="2272">
                  <v>45302</v>
                </pt>
                <pt idx="2273">
                  <v>45303</v>
                </pt>
                <pt idx="2274">
                  <v>45307</v>
                </pt>
                <pt idx="2275">
                  <v>45308</v>
                </pt>
                <pt idx="2276">
                  <v>45309</v>
                </pt>
                <pt idx="2277">
                  <v>45310</v>
                </pt>
                <pt idx="2278">
                  <v>45313</v>
                </pt>
                <pt idx="2279">
                  <v>45314</v>
                </pt>
                <pt idx="2280">
                  <v>45315</v>
                </pt>
                <pt idx="2281">
                  <v>45316</v>
                </pt>
                <pt idx="2282">
                  <v>45317</v>
                </pt>
                <pt idx="2283">
                  <v>45320</v>
                </pt>
                <pt idx="2284">
                  <v>45321</v>
                </pt>
                <pt idx="2285">
                  <v>45322</v>
                </pt>
                <pt idx="2286">
                  <v>45323</v>
                </pt>
                <pt idx="2287">
                  <v>45324</v>
                </pt>
                <pt idx="2288">
                  <v>45327</v>
                </pt>
                <pt idx="2289">
                  <v>45328</v>
                </pt>
                <pt idx="2290">
                  <v>45329</v>
                </pt>
                <pt idx="2291">
                  <v>45330</v>
                </pt>
                <pt idx="2292">
                  <v>45331</v>
                </pt>
                <pt idx="2293">
                  <v>45334</v>
                </pt>
                <pt idx="2294">
                  <v>45335</v>
                </pt>
                <pt idx="2295">
                  <v>45336</v>
                </pt>
                <pt idx="2296">
                  <v>45337</v>
                </pt>
                <pt idx="2297">
                  <v>45338</v>
                </pt>
                <pt idx="2298">
                  <v>45342</v>
                </pt>
                <pt idx="2299">
                  <v>45343</v>
                </pt>
                <pt idx="2300">
                  <v>45344</v>
                </pt>
                <pt idx="2301">
                  <v>45345</v>
                </pt>
                <pt idx="2302">
                  <v>45348</v>
                </pt>
                <pt idx="2303">
                  <v>45349</v>
                </pt>
                <pt idx="2304">
                  <v>45350</v>
                </pt>
                <pt idx="2305">
                  <v>45351</v>
                </pt>
                <pt idx="2306">
                  <v>45352</v>
                </pt>
                <pt idx="2307">
                  <v>45355</v>
                </pt>
                <pt idx="2308">
                  <v>45356</v>
                </pt>
                <pt idx="2309">
                  <v>45357</v>
                </pt>
                <pt idx="2310">
                  <v>45358</v>
                </pt>
                <pt idx="2311">
                  <v>45359</v>
                </pt>
                <pt idx="2312">
                  <v>45362</v>
                </pt>
                <pt idx="2313">
                  <v>45363</v>
                </pt>
                <pt idx="2314">
                  <v>45364</v>
                </pt>
                <pt idx="2315">
                  <v>45365</v>
                </pt>
                <pt idx="2316">
                  <v>45366</v>
                </pt>
                <pt idx="2317">
                  <v>45369</v>
                </pt>
                <pt idx="2318">
                  <v>45370</v>
                </pt>
                <pt idx="2319">
                  <v>45371</v>
                </pt>
                <pt idx="2320">
                  <v>45372</v>
                </pt>
                <pt idx="2321">
                  <v>45373</v>
                </pt>
                <pt idx="2322">
                  <v>45376</v>
                </pt>
                <pt idx="2323">
                  <v>45377</v>
                </pt>
                <pt idx="2324">
                  <v>45378</v>
                </pt>
                <pt idx="2325">
                  <v>45379</v>
                </pt>
                <pt idx="2326">
                  <v>45383</v>
                </pt>
                <pt idx="2327">
                  <v>45384</v>
                </pt>
                <pt idx="2328">
                  <v>45385</v>
                </pt>
                <pt idx="2329">
                  <v>45386</v>
                </pt>
                <pt idx="2330">
                  <v>45387</v>
                </pt>
                <pt idx="2331">
                  <v>45390</v>
                </pt>
                <pt idx="2332">
                  <v>45391</v>
                </pt>
                <pt idx="2333">
                  <v>45392</v>
                </pt>
                <pt idx="2334">
                  <v>45393</v>
                </pt>
                <pt idx="2335">
                  <v>45394</v>
                </pt>
                <pt idx="2336">
                  <v>45397</v>
                </pt>
                <pt idx="2337">
                  <v>45398</v>
                </pt>
                <pt idx="2338">
                  <v>45399</v>
                </pt>
                <pt idx="2339">
                  <v>45400</v>
                </pt>
                <pt idx="2340">
                  <v>45401</v>
                </pt>
                <pt idx="2341">
                  <v>45404</v>
                </pt>
                <pt idx="2342">
                  <v>45405</v>
                </pt>
                <pt idx="2343">
                  <v>45406</v>
                </pt>
                <pt idx="2344">
                  <v>45407</v>
                </pt>
                <pt idx="2345">
                  <v>45408</v>
                </pt>
                <pt idx="2346">
                  <v>45411</v>
                </pt>
                <pt idx="2347">
                  <v>45412</v>
                </pt>
                <pt idx="2348">
                  <v>45413</v>
                </pt>
                <pt idx="2349">
                  <v>45414</v>
                </pt>
                <pt idx="2350">
                  <v>45415</v>
                </pt>
                <pt idx="2351">
                  <v>45418</v>
                </pt>
                <pt idx="2352">
                  <v>45419</v>
                </pt>
                <pt idx="2353">
                  <v>45420</v>
                </pt>
                <pt idx="2354">
                  <v>45421</v>
                </pt>
                <pt idx="2355">
                  <v>45422</v>
                </pt>
                <pt idx="2356">
                  <v>45425</v>
                </pt>
                <pt idx="2357">
                  <v>45426</v>
                </pt>
                <pt idx="2358">
                  <v>45427</v>
                </pt>
                <pt idx="2359">
                  <v>45428</v>
                </pt>
                <pt idx="2360">
                  <v>45429</v>
                </pt>
                <pt idx="2361">
                  <v>45432</v>
                </pt>
                <pt idx="2362">
                  <v>45433</v>
                </pt>
                <pt idx="2363">
                  <v>45434</v>
                </pt>
                <pt idx="2364">
                  <v>45435</v>
                </pt>
                <pt idx="2365">
                  <v>45436</v>
                </pt>
                <pt idx="2366">
                  <v>45440</v>
                </pt>
                <pt idx="2367">
                  <v>45441</v>
                </pt>
                <pt idx="2368">
                  <v>45442</v>
                </pt>
                <pt idx="2369">
                  <v>45443</v>
                </pt>
                <pt idx="2370">
                  <v>45446</v>
                </pt>
                <pt idx="2371">
                  <v>45447</v>
                </pt>
                <pt idx="2372">
                  <v>45448</v>
                </pt>
                <pt idx="2373">
                  <v>45449</v>
                </pt>
                <pt idx="2374">
                  <v>45450</v>
                </pt>
                <pt idx="2375">
                  <v>45453</v>
                </pt>
                <pt idx="2376">
                  <v>45454</v>
                </pt>
                <pt idx="2377">
                  <v>45455</v>
                </pt>
                <pt idx="2378">
                  <v>45456</v>
                </pt>
                <pt idx="2379">
                  <v>45457</v>
                </pt>
                <pt idx="2380">
                  <v>45460</v>
                </pt>
                <pt idx="2381">
                  <v>45461</v>
                </pt>
                <pt idx="2382">
                  <v>45463</v>
                </pt>
                <pt idx="2383">
                  <v>45464</v>
                </pt>
                <pt idx="2384">
                  <v>45467</v>
                </pt>
                <pt idx="2385">
                  <v>45468</v>
                </pt>
                <pt idx="2386">
                  <v>45469</v>
                </pt>
                <pt idx="2387">
                  <v>45470</v>
                </pt>
                <pt idx="2388">
                  <v>45471</v>
                </pt>
                <pt idx="2389">
                  <v>45474</v>
                </pt>
                <pt idx="2390">
                  <v>45475</v>
                </pt>
                <pt idx="2391">
                  <v>45476</v>
                </pt>
                <pt idx="2392">
                  <v>45478</v>
                </pt>
                <pt idx="2393">
                  <v>45481</v>
                </pt>
                <pt idx="2394">
                  <v>45482</v>
                </pt>
                <pt idx="2395">
                  <v>45483</v>
                </pt>
                <pt idx="2396">
                  <v>45484</v>
                </pt>
                <pt idx="2397">
                  <v>45485</v>
                </pt>
                <pt idx="2398">
                  <v>45488</v>
                </pt>
                <pt idx="2399">
                  <v>45489</v>
                </pt>
                <pt idx="2400">
                  <v>45490</v>
                </pt>
                <pt idx="2401">
                  <v>45491</v>
                </pt>
                <pt idx="2402">
                  <v>45492</v>
                </pt>
                <pt idx="2403">
                  <v>45495</v>
                </pt>
                <pt idx="2404">
                  <v>45496</v>
                </pt>
                <pt idx="2405">
                  <v>45497</v>
                </pt>
                <pt idx="2406">
                  <v>45498</v>
                </pt>
                <pt idx="2407">
                  <v>45499</v>
                </pt>
                <pt idx="2408">
                  <v>45502</v>
                </pt>
                <pt idx="2409">
                  <v>45503</v>
                </pt>
                <pt idx="2410">
                  <v>45504</v>
                </pt>
                <pt idx="2411">
                  <v>45505</v>
                </pt>
                <pt idx="2412">
                  <v>45506</v>
                </pt>
                <pt idx="2413">
                  <v>45509</v>
                </pt>
                <pt idx="2414">
                  <v>45510</v>
                </pt>
                <pt idx="2415">
                  <v>45511</v>
                </pt>
                <pt idx="2416">
                  <v>45512</v>
                </pt>
                <pt idx="2417">
                  <v>45513</v>
                </pt>
                <pt idx="2418">
                  <v>45516</v>
                </pt>
                <pt idx="2419">
                  <v>45517</v>
                </pt>
                <pt idx="2420">
                  <v>45518</v>
                </pt>
                <pt idx="2421">
                  <v>45519</v>
                </pt>
                <pt idx="2422">
                  <v>45520</v>
                </pt>
                <pt idx="2423">
                  <v>45523</v>
                </pt>
                <pt idx="2424">
                  <v>45524</v>
                </pt>
                <pt idx="2425">
                  <v>45525</v>
                </pt>
                <pt idx="2426">
                  <v>45526</v>
                </pt>
                <pt idx="2427">
                  <v>45527</v>
                </pt>
                <pt idx="2428">
                  <v>45530</v>
                </pt>
                <pt idx="2429">
                  <v>45531</v>
                </pt>
                <pt idx="2430">
                  <v>45532</v>
                </pt>
                <pt idx="2431">
                  <v>45533</v>
                </pt>
                <pt idx="2432">
                  <v>45534</v>
                </pt>
                <pt idx="2433">
                  <v>45538</v>
                </pt>
                <pt idx="2434">
                  <v>45539</v>
                </pt>
                <pt idx="2435">
                  <v>45540</v>
                </pt>
                <pt idx="2436">
                  <v>45541</v>
                </pt>
                <pt idx="2437">
                  <v>45544</v>
                </pt>
                <pt idx="2438">
                  <v>45545</v>
                </pt>
                <pt idx="2439">
                  <v>45546</v>
                </pt>
                <pt idx="2440">
                  <v>45547</v>
                </pt>
                <pt idx="2441">
                  <v>45548</v>
                </pt>
                <pt idx="2442">
                  <v>45551</v>
                </pt>
                <pt idx="2443">
                  <v>45552</v>
                </pt>
                <pt idx="2444">
                  <v>45553</v>
                </pt>
                <pt idx="2445">
                  <v>45554</v>
                </pt>
                <pt idx="2446">
                  <v>45555</v>
                </pt>
                <pt idx="2447">
                  <v>45558</v>
                </pt>
                <pt idx="2448">
                  <v>45559</v>
                </pt>
                <pt idx="2449">
                  <v>45560</v>
                </pt>
                <pt idx="2450">
                  <v>45561</v>
                </pt>
                <pt idx="2451">
                  <v>45562</v>
                </pt>
                <pt idx="2452">
                  <v>45565</v>
                </pt>
                <pt idx="2453">
                  <v>45566</v>
                </pt>
                <pt idx="2454">
                  <v>45567</v>
                </pt>
                <pt idx="2455">
                  <v>45568</v>
                </pt>
                <pt idx="2456">
                  <v>45569</v>
                </pt>
                <pt idx="2457">
                  <v>45572</v>
                </pt>
                <pt idx="2458">
                  <v>45573</v>
                </pt>
                <pt idx="2459">
                  <v>45574</v>
                </pt>
                <pt idx="2460">
                  <v>45575</v>
                </pt>
                <pt idx="2461">
                  <v>45576</v>
                </pt>
                <pt idx="2462">
                  <v>45579</v>
                </pt>
                <pt idx="2463">
                  <v>45580</v>
                </pt>
                <pt idx="2464">
                  <v>45581</v>
                </pt>
                <pt idx="2465">
                  <v>45582</v>
                </pt>
                <pt idx="2466">
                  <v>45583</v>
                </pt>
                <pt idx="2467">
                  <v>45586</v>
                </pt>
                <pt idx="2468">
                  <v>45587</v>
                </pt>
                <pt idx="2469">
                  <v>45588</v>
                </pt>
                <pt idx="2470">
                  <v>45589</v>
                </pt>
                <pt idx="2471">
                  <v>45590</v>
                </pt>
                <pt idx="2472">
                  <v>45593</v>
                </pt>
                <pt idx="2473">
                  <v>45594</v>
                </pt>
                <pt idx="2474">
                  <v>45595</v>
                </pt>
                <pt idx="2475">
                  <v>45596</v>
                </pt>
                <pt idx="2476">
                  <v>45597</v>
                </pt>
                <pt idx="2477">
                  <v>45600</v>
                </pt>
                <pt idx="2478">
                  <v>45601</v>
                </pt>
                <pt idx="2479">
                  <v>45602</v>
                </pt>
                <pt idx="2480">
                  <v>45603</v>
                </pt>
                <pt idx="2481">
                  <v>45604</v>
                </pt>
                <pt idx="2482">
                  <v>45607</v>
                </pt>
                <pt idx="2483">
                  <v>45608</v>
                </pt>
                <pt idx="2484">
                  <v>45609</v>
                </pt>
                <pt idx="2485">
                  <v>45610</v>
                </pt>
                <pt idx="2486">
                  <v>45611</v>
                </pt>
                <pt idx="2487">
                  <v>45614</v>
                </pt>
                <pt idx="2488">
                  <v>45615</v>
                </pt>
                <pt idx="2489">
                  <v>45616</v>
                </pt>
                <pt idx="2490">
                  <v>45617</v>
                </pt>
                <pt idx="2491">
                  <v>45618</v>
                </pt>
                <pt idx="2492">
                  <v>45621</v>
                </pt>
                <pt idx="2493">
                  <v>45622</v>
                </pt>
                <pt idx="2494">
                  <v>45623</v>
                </pt>
                <pt idx="2495">
                  <v>45625</v>
                </pt>
                <pt idx="2496">
                  <v>45628</v>
                </pt>
                <pt idx="2497">
                  <v>45629</v>
                </pt>
                <pt idx="2498">
                  <v>45630</v>
                </pt>
                <pt idx="2499">
                  <v>45631</v>
                </pt>
                <pt idx="2500">
                  <v>45632</v>
                </pt>
                <pt idx="2501">
                  <v>45635</v>
                </pt>
                <pt idx="2502">
                  <v>45636</v>
                </pt>
                <pt idx="2503">
                  <v>45637</v>
                </pt>
                <pt idx="2504">
                  <v>45638</v>
                </pt>
                <pt idx="2505">
                  <v>45639</v>
                </pt>
                <pt idx="2506">
                  <v>45642</v>
                </pt>
                <pt idx="2507">
                  <v>45643</v>
                </pt>
                <pt idx="2508">
                  <v>45644</v>
                </pt>
                <pt idx="2509">
                  <v>45645</v>
                </pt>
                <pt idx="2510">
                  <v>45646</v>
                </pt>
                <pt idx="2511">
                  <v>45649</v>
                </pt>
                <pt idx="2512">
                  <v>45650</v>
                </pt>
                <pt idx="2513">
                  <v>45652</v>
                </pt>
                <pt idx="2514">
                  <v>45653</v>
                </pt>
                <pt idx="2515">
                  <v>45656</v>
                </pt>
                <pt idx="2516">
                  <v>45657</v>
                </pt>
                <pt idx="2517">
                  <v>45659</v>
                </pt>
                <pt idx="2518">
                  <v>45660</v>
                </pt>
                <pt idx="2519">
                  <v>45663</v>
                </pt>
                <pt idx="2520">
                  <v>45664</v>
                </pt>
                <pt idx="2521">
                  <v>45665</v>
                </pt>
                <pt idx="2522">
                  <v>45667</v>
                </pt>
                <pt idx="2523">
                  <v>45670</v>
                </pt>
                <pt idx="2524">
                  <v>45671</v>
                </pt>
                <pt idx="2525">
                  <v>45672</v>
                </pt>
                <pt idx="2526">
                  <v>45673</v>
                </pt>
                <pt idx="2527">
                  <v>45674</v>
                </pt>
                <pt idx="2528">
                  <v>45678</v>
                </pt>
                <pt idx="2529">
                  <v>45679</v>
                </pt>
                <pt idx="2530">
                  <v>45680</v>
                </pt>
                <pt idx="2531">
                  <v>45681</v>
                </pt>
                <pt idx="2532">
                  <v>45684</v>
                </pt>
                <pt idx="2533">
                  <v>45685</v>
                </pt>
                <pt idx="2534">
                  <v>45686</v>
                </pt>
                <pt idx="2535">
                  <v>45687</v>
                </pt>
                <pt idx="2536">
                  <v>45688</v>
                </pt>
                <pt idx="2537">
                  <v>45691</v>
                </pt>
                <pt idx="2538">
                  <v>45692</v>
                </pt>
                <pt idx="2539">
                  <v>45693</v>
                </pt>
                <pt idx="2540">
                  <v>45694</v>
                </pt>
                <pt idx="2541">
                  <v>45695</v>
                </pt>
                <pt idx="2542">
                  <v>45698</v>
                </pt>
                <pt idx="2543">
                  <v>45699</v>
                </pt>
                <pt idx="2544">
                  <v>45700</v>
                </pt>
                <pt idx="2545">
                  <v>45701</v>
                </pt>
                <pt idx="2546">
                  <v>45702</v>
                </pt>
                <pt idx="2547">
                  <v>45706</v>
                </pt>
                <pt idx="2548">
                  <v>45707</v>
                </pt>
                <pt idx="2549">
                  <v>45708</v>
                </pt>
                <pt idx="2550">
                  <v>45709</v>
                </pt>
                <pt idx="2551">
                  <v>45712</v>
                </pt>
                <pt idx="2552">
                  <v>45713</v>
                </pt>
                <pt idx="2553">
                  <v>45714</v>
                </pt>
                <pt idx="2554">
                  <v>45715</v>
                </pt>
                <pt idx="2555">
                  <v>45716</v>
                </pt>
                <pt idx="2556">
                  <v>45719</v>
                </pt>
                <pt idx="2557">
                  <v>45720</v>
                </pt>
                <pt idx="2558">
                  <v>45721</v>
                </pt>
                <pt idx="2559">
                  <v>45722</v>
                </pt>
                <pt idx="2560">
                  <v>45723</v>
                </pt>
                <pt idx="2561">
                  <v>45726</v>
                </pt>
                <pt idx="2562">
                  <v>45727</v>
                </pt>
                <pt idx="2563">
                  <v>45728</v>
                </pt>
                <pt idx="2564">
                  <v>45729</v>
                </pt>
                <pt idx="2565">
                  <v>45730</v>
                </pt>
                <pt idx="2566">
                  <v>45733</v>
                </pt>
                <pt idx="2567">
                  <v>45734</v>
                </pt>
                <pt idx="2568">
                  <v>45735</v>
                </pt>
                <pt idx="2569">
                  <v>45736</v>
                </pt>
                <pt idx="2570">
                  <v>45737</v>
                </pt>
                <pt idx="2571">
                  <v>45740</v>
                </pt>
                <pt idx="2572">
                  <v>45741</v>
                </pt>
                <pt idx="2573">
                  <v>45742</v>
                </pt>
                <pt idx="2574">
                  <v>45743</v>
                </pt>
                <pt idx="2575">
                  <v>45744</v>
                </pt>
                <pt idx="2576">
                  <v>45747</v>
                </pt>
                <pt idx="2577">
                  <v>45748</v>
                </pt>
                <pt idx="2578">
                  <v>45749</v>
                </pt>
                <pt idx="2579">
                  <v>45750</v>
                </pt>
                <pt idx="2580">
                  <v>45751</v>
                </pt>
                <pt idx="2581">
                  <v>45754</v>
                </pt>
                <pt idx="2582">
                  <v>45755</v>
                </pt>
                <pt idx="2583">
                  <v>45756</v>
                </pt>
                <pt idx="2584">
                  <v>45757</v>
                </pt>
                <pt idx="2585">
                  <v>45758</v>
                </pt>
                <pt idx="2586">
                  <v>45761</v>
                </pt>
                <pt idx="2587">
                  <v>45762</v>
                </pt>
                <pt idx="2588">
                  <v>45763</v>
                </pt>
                <pt idx="2589">
                  <v>45764</v>
                </pt>
                <pt idx="2590">
                  <v>45768</v>
                </pt>
                <pt idx="2591">
                  <v>45769</v>
                </pt>
                <pt idx="2592">
                  <v>45770</v>
                </pt>
                <pt idx="2593">
                  <v>45771</v>
                </pt>
                <pt idx="2594">
                  <v>45772</v>
                </pt>
                <pt idx="2595">
                  <v>45775</v>
                </pt>
                <pt idx="2596">
                  <v>45776</v>
                </pt>
                <pt idx="2597">
                  <v>45777</v>
                </pt>
                <pt idx="2598">
                  <v>45778</v>
                </pt>
                <pt idx="2599">
                  <v>45779</v>
                </pt>
                <pt idx="2600">
                  <v>45782</v>
                </pt>
                <pt idx="2601">
                  <v>45783</v>
                </pt>
                <pt idx="2602">
                  <v>45784</v>
                </pt>
                <pt idx="2603">
                  <v>45785</v>
                </pt>
                <pt idx="2604">
                  <v>45786</v>
                </pt>
                <pt idx="2605">
                  <v>45789</v>
                </pt>
                <pt idx="2606">
                  <v>45790</v>
                </pt>
                <pt idx="2607">
                  <v>45791</v>
                </pt>
                <pt idx="2608">
                  <v>45792</v>
                </pt>
                <pt idx="2609">
                  <v>45793</v>
                </pt>
                <pt idx="2610">
                  <v>45796</v>
                </pt>
                <pt idx="2611">
                  <v>45797</v>
                </pt>
                <pt idx="2612">
                  <v>45798</v>
                </pt>
                <pt idx="2613">
                  <v>45799</v>
                </pt>
                <pt idx="2614">
                  <v>45800</v>
                </pt>
                <pt idx="2615">
                  <v>45804</v>
                </pt>
                <pt idx="2616">
                  <v>45805</v>
                </pt>
                <pt idx="2617">
                  <v>45806</v>
                </pt>
                <pt idx="2618">
                  <v>45807</v>
                </pt>
                <pt idx="2619">
                  <v>45810</v>
                </pt>
                <pt idx="2620">
                  <v>45811</v>
                </pt>
                <pt idx="2621">
                  <v>45812</v>
                </pt>
                <pt idx="2622">
                  <v>45813</v>
                </pt>
                <pt idx="2623">
                  <v>45814</v>
                </pt>
                <pt idx="2624">
                  <v>45817</v>
                </pt>
                <pt idx="2625">
                  <v>45818</v>
                </pt>
              </numCache>
            </numRef>
          </cat>
          <val>
            <numRef>
              <f>'20250815_ETF_Options_Exhibits'!$AJ$2:$AJ$2627</f>
              <numCache>
                <formatCode>General</formatCode>
                <ptCount val="2626"/>
                <pt idx="0">
                  <v>1</v>
                </pt>
                <pt idx="1">
                  <v>1.001402666666667</v>
                </pt>
                <pt idx="2">
                  <v>0.9986475853967407</v>
                </pt>
                <pt idx="3">
                  <v>0.9976374533641118</v>
                </pt>
                <pt idx="4">
                  <v>0.9986572605386618</v>
                </pt>
                <pt idx="5">
                  <v>0.9989815467435422</v>
                </pt>
                <pt idx="6">
                  <v>0.9994363608421846</v>
                </pt>
                <pt idx="7">
                  <v>0.9989837272192077</v>
                </pt>
                <pt idx="8">
                  <v>0.998433065189126</v>
                </pt>
                <pt idx="9">
                  <v>0.9977728235905179</v>
                </pt>
                <pt idx="10">
                  <v>0.9960187389666457</v>
                </pt>
                <pt idx="11">
                  <v>0.9967401332055296</v>
                </pt>
                <pt idx="12">
                  <v>0.9983278294888224</v>
                </pt>
                <pt idx="13">
                  <v>0.9997206631989309</v>
                </pt>
                <pt idx="14">
                  <v>1.000158485309375</v>
                </pt>
                <pt idx="15">
                  <v>1.000871876131202</v>
                </pt>
                <pt idx="16">
                  <v>1.002022155936843</v>
                </pt>
                <pt idx="17">
                  <v>1.001042623611517</v>
                </pt>
                <pt idx="18">
                  <v>0.999035811218571</v>
                </pt>
                <pt idx="19">
                  <v>0.9999264516442724</v>
                </pt>
                <pt idx="20">
                  <v>0.9986568783595015</v>
                </pt>
                <pt idx="21">
                  <v>0.9999314419409766</v>
                </pt>
                <pt idx="22">
                  <v>0.9992381561412309</v>
                </pt>
                <pt idx="23">
                  <v>0.9990633449771371</v>
                </pt>
                <pt idx="24">
                  <v>0.9989624950828137</v>
                </pt>
                <pt idx="25">
                  <v>0.9968287111933167</v>
                </pt>
                <pt idx="26">
                  <v>0.9981731562278522</v>
                </pt>
                <pt idx="27">
                  <v>0.9991247479701227</v>
                </pt>
                <pt idx="28">
                  <v>0.9994210994717567</v>
                </pt>
                <pt idx="29">
                  <v>0.9998813328880635</v>
                </pt>
                <pt idx="30">
                  <v>1.000316559012685</v>
                </pt>
                <pt idx="31">
                  <v>0.9995660437277142</v>
                </pt>
                <pt idx="32">
                  <v>1.000549616714742</v>
                </pt>
                <pt idx="33">
                  <v>1.001626763963226</v>
                </pt>
                <pt idx="34">
                  <v>1.001874610941375</v>
                </pt>
                <pt idx="35">
                  <v>1.00226600995605</v>
                </pt>
                <pt idx="36">
                  <v>1.002351035522561</v>
                </pt>
                <pt idx="37">
                  <v>1.003229540519028</v>
                </pt>
                <pt idx="38">
                  <v>1.003517523132131</v>
                </pt>
                <pt idx="39">
                  <v>1.004105863155554</v>
                </pt>
                <pt idx="40">
                  <v>1.004377306440561</v>
                </pt>
                <pt idx="41">
                  <v>1.004585714731647</v>
                </pt>
                <pt idx="42">
                  <v>1.004946863296093</v>
                </pt>
                <pt idx="43">
                  <v>1.005693315493997</v>
                </pt>
                <pt idx="44">
                  <v>1.002639080766693</v>
                </pt>
                <pt idx="45">
                  <v>1.004176293584021</v>
                </pt>
                <pt idx="46">
                  <v>1.002117787969746</v>
                </pt>
                <pt idx="47">
                  <v>1.002131205213463</v>
                </pt>
                <pt idx="48">
                  <v>1.002638227929345</v>
                </pt>
                <pt idx="49">
                  <v>1.000106900616566</v>
                </pt>
                <pt idx="50">
                  <v>1.003310187457746</v>
                </pt>
                <pt idx="51">
                  <v>1.003423672987839</v>
                </pt>
                <pt idx="52">
                  <v>1.003789197933604</v>
                </pt>
                <pt idx="53">
                  <v>1.004493132991688</v>
                </pt>
                <pt idx="54">
                  <v>1.00455384902106</v>
                </pt>
                <pt idx="55">
                  <v>1.005182085836529</v>
                </pt>
                <pt idx="56">
                  <v>1.005659547327301</v>
                </pt>
                <pt idx="57">
                  <v>1.002849343462244</v>
                </pt>
                <pt idx="58">
                  <v>1.003102284352207</v>
                </pt>
                <pt idx="59">
                  <v>1.003954698382287</v>
                </pt>
                <pt idx="60">
                  <v>1.004334527909842</v>
                </pt>
                <pt idx="61">
                  <v>1.004187392901503</v>
                </pt>
                <pt idx="62">
                  <v>1.003876485327023</v>
                </pt>
                <pt idx="63">
                  <v>1.004648354802408</v>
                </pt>
                <pt idx="64">
                  <v>1.006301726925425</v>
                </pt>
                <pt idx="65">
                  <v>1.007318818443089</v>
                </pt>
                <pt idx="66">
                  <v>1.007393024262715</v>
                </pt>
                <pt idx="67">
                  <v>1.007887430372511</v>
                </pt>
                <pt idx="68">
                  <v>1.008813398952293</v>
                </pt>
                <pt idx="69">
                  <v>1.009314611076006</v>
                </pt>
                <pt idx="70">
                  <v>1.010073671736569</v>
                </pt>
                <pt idx="71">
                  <v>1.01090597244208</v>
                </pt>
                <pt idx="72">
                  <v>1.011045308981948</v>
                </pt>
                <pt idx="73">
                  <v>1.009221720259648</v>
                </pt>
                <pt idx="74">
                  <v>1.010559051174738</v>
                </pt>
                <pt idx="75">
                  <v>1.010721638897639</v>
                </pt>
                <pt idx="76">
                  <v>1.01057227669989</v>
                </pt>
                <pt idx="77">
                  <v>1.011193048792305</v>
                </pt>
                <pt idx="78">
                  <v>1.011200408030605</v>
                </pt>
                <pt idx="79">
                  <v>1.011045525834775</v>
                </pt>
                <pt idx="80">
                  <v>1.011415399989643</v>
                </pt>
                <pt idx="81">
                  <v>1.011457148969765</v>
                </pt>
                <pt idx="82">
                  <v>1.010485869146434</v>
                </pt>
                <pt idx="83">
                  <v>1.010819048792734</v>
                </pt>
                <pt idx="84">
                  <v>1.01209352314342</v>
                </pt>
                <pt idx="85">
                  <v>1.010695091031525</v>
                </pt>
                <pt idx="86">
                  <v>1.010380091061487</v>
                </pt>
                <pt idx="87">
                  <v>1.010428477041403</v>
                </pt>
                <pt idx="88">
                  <v>1.01226341515571</v>
                </pt>
                <pt idx="89">
                  <v>1.012102127851562</v>
                </pt>
                <pt idx="90">
                  <v>1.012481778605299</v>
                </pt>
                <pt idx="91">
                  <v>1.012163353085927</v>
                </pt>
                <pt idx="92">
                  <v>1.011787278168959</v>
                </pt>
                <pt idx="93">
                  <v>1.012135445413457</v>
                </pt>
                <pt idx="94">
                  <v>1.012965059100214</v>
                </pt>
                <pt idx="95">
                  <v>1.013164163010164</v>
                </pt>
                <pt idx="96">
                  <v>1.013602356510666</v>
                </pt>
                <pt idx="97">
                  <v>1.014456992230931</v>
                </pt>
                <pt idx="98">
                  <v>1.015837273686305</v>
                </pt>
                <pt idx="99">
                  <v>1.014844462057489</v>
                </pt>
                <pt idx="100">
                  <v>1.015162390275352</v>
                </pt>
                <pt idx="101">
                  <v>1.015807469576461</v>
                </pt>
                <pt idx="102">
                  <v>1.016311930852603</v>
                </pt>
                <pt idx="103">
                  <v>1.018125144260792</v>
                </pt>
                <pt idx="104">
                  <v>1.018788622479802</v>
                </pt>
                <pt idx="105">
                  <v>1.018892821916134</v>
                </pt>
                <pt idx="106">
                  <v>1.017800342390413</v>
                </pt>
                <pt idx="107">
                  <v>1.01946687736215</v>
                </pt>
                <pt idx="108">
                  <v>1.02022751292676</v>
                </pt>
                <pt idx="109">
                  <v>1.021151782374165</v>
                </pt>
                <pt idx="110">
                  <v>1.021280560960054</v>
                </pt>
                <pt idx="111">
                  <v>1.022124138703407</v>
                </pt>
                <pt idx="112">
                  <v>1.021963608428956</v>
                </pt>
                <pt idx="113">
                  <v>1.021649979152681</v>
                </pt>
                <pt idx="114">
                  <v>1.022333462988734</v>
                </pt>
                <pt idx="115">
                  <v>1.023110493216909</v>
                </pt>
                <pt idx="116">
                  <v>1.023662859204302</v>
                </pt>
                <pt idx="117">
                  <v>1.023331419918555</v>
                </pt>
                <pt idx="118">
                  <v>1.024409215310712</v>
                </pt>
                <pt idx="119">
                  <v>1.024892508813846</v>
                </pt>
                <pt idx="120">
                  <v>1.024228321529662</v>
                </pt>
                <pt idx="121">
                  <v>1.023976873476726</v>
                </pt>
                <pt idx="122">
                  <v>1.023684869404973</v>
                </pt>
                <pt idx="123">
                  <v>1.01890209995235</v>
                </pt>
                <pt idx="124">
                  <v>1.021127382138646</v>
                </pt>
                <pt idx="125">
                  <v>1.021306589994211</v>
                </pt>
                <pt idx="126">
                  <v>1.022107578057042</v>
                </pt>
                <pt idx="127">
                  <v>1.024115565177889</v>
                </pt>
                <pt idx="128">
                  <v>1.023209734960489</v>
                </pt>
                <pt idx="129">
                  <v>1.019827515181577</v>
                </pt>
                <pt idx="130">
                  <v>1.020500431370345</v>
                </pt>
                <pt idx="131">
                  <v>1.021910762966498</v>
                </pt>
                <pt idx="132">
                  <v>1.024977744257441</v>
                </pt>
                <pt idx="133">
                  <v>1.026540892260642</v>
                </pt>
                <pt idx="134">
                  <v>1.026291385793773</v>
                </pt>
                <pt idx="135">
                  <v>1.02707005587465</v>
                </pt>
                <pt idx="136">
                  <v>1.027203917338599</v>
                </pt>
                <pt idx="137">
                  <v>1.027040306581321</v>
                </pt>
                <pt idx="138">
                  <v>1.027508751076711</v>
                </pt>
                <pt idx="139">
                  <v>1.02775649485336</v>
                </pt>
                <pt idx="140">
                  <v>1.027305994923116</v>
                </pt>
                <pt idx="141">
                  <v>1.026958993787053</v>
                </pt>
                <pt idx="142">
                  <v>1.026359363841236</v>
                </pt>
                <pt idx="143">
                  <v>1.027155134468001</v>
                </pt>
                <pt idx="144">
                  <v>1.027446504141145</v>
                </pt>
                <pt idx="145">
                  <v>1.028083121411183</v>
                </pt>
                <pt idx="146">
                  <v>1.02831615358537</v>
                </pt>
                <pt idx="147">
                  <v>1.029038831326639</v>
                </pt>
                <pt idx="148">
                  <v>1.029544318068117</v>
                </pt>
                <pt idx="149">
                  <v>1.029826470408174</v>
                </pt>
                <pt idx="150">
                  <v>1.02847030337181</v>
                </pt>
                <pt idx="151">
                  <v>1.029113211585895</v>
                </pt>
                <pt idx="152">
                  <v>1.028967820758281</v>
                </pt>
                <pt idx="153">
                  <v>1.026911085579222</v>
                </pt>
                <pt idx="154">
                  <v>1.025582262634482</v>
                </pt>
                <pt idx="155">
                  <v>1.027036481306105</v>
                </pt>
                <pt idx="156">
                  <v>1.028146080108992</v>
                </pt>
                <pt idx="157">
                  <v>1.0299211743163</v>
                </pt>
                <pt idx="158">
                  <v>1.029897772218506</v>
                </pt>
                <pt idx="159">
                  <v>1.028110727934078</v>
                </pt>
                <pt idx="160">
                  <v>1.024169465458543</v>
                </pt>
                <pt idx="161">
                  <v>1.020030170767285</v>
                </pt>
                <pt idx="162">
                  <v>1.01671784946109</v>
                </pt>
                <pt idx="163">
                  <v>1.016627869931412</v>
                </pt>
                <pt idx="164">
                  <v>1.017079478622966</v>
                </pt>
                <pt idx="165">
                  <v>1.018103338631447</v>
                </pt>
                <pt idx="166">
                  <v>1.01933043596098</v>
                </pt>
                <pt idx="167">
                  <v>1.021590801202724</v>
                </pt>
                <pt idx="168">
                  <v>1.021219339436398</v>
                </pt>
                <pt idx="169">
                  <v>1.023078525978249</v>
                </pt>
                <pt idx="170">
                  <v>1.024768879053949</v>
                </pt>
                <pt idx="171">
                  <v>1.023312625545209</v>
                </pt>
                <pt idx="172">
                  <v>1.026579266848755</v>
                </pt>
                <pt idx="173">
                  <v>1.026349427157344</v>
                </pt>
                <pt idx="174">
                  <v>1.027976704174102</v>
                </pt>
                <pt idx="175">
                  <v>1.029483318253703</v>
                </pt>
                <pt idx="176">
                  <v>1.031149079456155</v>
                </pt>
                <pt idx="177">
                  <v>1.031963228940445</v>
                </pt>
                <pt idx="178">
                  <v>1.031691134635748</v>
                </pt>
                <pt idx="179">
                  <v>1.033106385607772</v>
                </pt>
                <pt idx="180">
                  <v>1.032092391690298</v>
                </pt>
                <pt idx="181">
                  <v>1.035681034274671</v>
                </pt>
                <pt idx="182">
                  <v>1.03388792517733</v>
                </pt>
                <pt idx="183">
                  <v>1.034096196156036</v>
                </pt>
                <pt idx="184">
                  <v>1.033423918728957</v>
                </pt>
                <pt idx="185">
                  <v>1.035142962005323</v>
                </pt>
                <pt idx="186">
                  <v>1.0310339045097</v>
                </pt>
                <pt idx="187">
                  <v>1.032994701877432</v>
                </pt>
                <pt idx="188">
                  <v>1.032976624470149</v>
                </pt>
                <pt idx="189">
                  <v>1.03482783335638</v>
                </pt>
                <pt idx="190">
                  <v>1.033942078221462</v>
                </pt>
                <pt idx="191">
                  <v>1.03144321254208</v>
                </pt>
                <pt idx="192">
                  <v>1.031441608074861</v>
                </pt>
                <pt idx="193">
                  <v>1.031149652797464</v>
                </pt>
                <pt idx="194">
                  <v>1.031181217434058</v>
                </pt>
                <pt idx="195">
                  <v>1.031744586105849</v>
                </pt>
                <pt idx="196">
                  <v>1.033795006513304</v>
                </pt>
                <pt idx="197">
                  <v>1.034026921193098</v>
                </pt>
                <pt idx="198">
                  <v>1.034400377249469</v>
                </pt>
                <pt idx="199">
                  <v>1.034033969649172</v>
                </pt>
                <pt idx="200">
                  <v>1.034797948413748</v>
                </pt>
                <pt idx="201">
                  <v>1.035877185185169</v>
                </pt>
                <pt idx="202">
                  <v>1.035861071540066</v>
                </pt>
                <pt idx="203">
                  <v>1.036808021202965</v>
                </pt>
                <pt idx="204">
                  <v>1.034184666507539</v>
                </pt>
                <pt idx="205">
                  <v>1.034441891215981</v>
                </pt>
                <pt idx="206">
                  <v>1.034474418666561</v>
                </pt>
                <pt idx="207">
                  <v>1.034546831875867</v>
                </pt>
                <pt idx="208">
                  <v>1.034601318009013</v>
                </pt>
                <pt idx="209">
                  <v>1.034191500931379</v>
                </pt>
                <pt idx="210">
                  <v>1.034543643137447</v>
                </pt>
                <pt idx="211">
                  <v>1.034611865543247</v>
                </pt>
                <pt idx="212">
                  <v>1.034227219843013</v>
                </pt>
                <pt idx="213">
                  <v>1.034265601164282</v>
                </pt>
                <pt idx="214">
                  <v>1.034482739481327</v>
                </pt>
                <pt idx="215">
                  <v>1.03461009580081</v>
                </pt>
                <pt idx="216">
                  <v>1.034296034158396</v>
                </pt>
                <pt idx="217">
                  <v>1.035180529650273</v>
                </pt>
                <pt idx="218">
                  <v>1.035753847133611</v>
                </pt>
                <pt idx="219">
                  <v>1.033149156375592</v>
                </pt>
                <pt idx="220">
                  <v>1.031582041296896</v>
                </pt>
                <pt idx="221">
                  <v>1.033203401715248</v>
                </pt>
                <pt idx="222">
                  <v>1.033213618948887</v>
                </pt>
                <pt idx="223">
                  <v>1.033469224518064</v>
                </pt>
                <pt idx="224">
                  <v>1.034008465793434</v>
                </pt>
                <pt idx="225">
                  <v>1.035130422423735</v>
                </pt>
                <pt idx="226">
                  <v>1.036535669479421</v>
                </pt>
                <pt idx="227">
                  <v>1.036672549773107</v>
                </pt>
                <pt idx="228">
                  <v>1.037443258220944</v>
                </pt>
                <pt idx="229">
                  <v>1.037507291524271</v>
                </pt>
                <pt idx="230">
                  <v>1.038957957274998</v>
                </pt>
                <pt idx="231">
                  <v>1.038862430862815</v>
                </pt>
                <pt idx="232">
                  <v>1.037742364018606</v>
                </pt>
                <pt idx="233">
                  <v>1.03596061803194</v>
                </pt>
                <pt idx="234">
                  <v>1.032438467037367</v>
                </pt>
                <pt idx="235">
                  <v>1.032494677576127</v>
                </pt>
                <pt idx="236">
                  <v>1.030989242975406</v>
                </pt>
                <pt idx="237">
                  <v>1.029452897171832</v>
                </pt>
                <pt idx="238">
                  <v>1.030120897718442</v>
                </pt>
                <pt idx="239">
                  <v>1.025086639662353</v>
                </pt>
                <pt idx="240">
                  <v>1.025428790802969</v>
                </pt>
                <pt idx="241">
                  <v>1.026828501102415</v>
                </pt>
                <pt idx="242">
                  <v>1.028485859349222</v>
                </pt>
                <pt idx="243">
                  <v>1.026935988297286</v>
                </pt>
                <pt idx="244">
                  <v>1.025858903601561</v>
                </pt>
                <pt idx="245">
                  <v>1.026166262327512</v>
                </pt>
                <pt idx="246">
                  <v>1.02845518318487</v>
                </pt>
                <pt idx="247">
                  <v>1.028572712757748</v>
                </pt>
                <pt idx="248">
                  <v>1.029583228305104</v>
                </pt>
                <pt idx="249">
                  <v>1.028216284972325</v>
                </pt>
                <pt idx="250">
                  <v>1.030617169997735</v>
                </pt>
                <pt idx="251">
                  <v>1.030284967729939</v>
                </pt>
                <pt idx="252">
                  <v>1.030494802435033</v>
                </pt>
                <pt idx="253">
                  <v>1.028706378705407</v>
                </pt>
                <pt idx="254">
                  <v>1.029507398072293</v>
                </pt>
                <pt idx="255">
                  <v>1.029142609284242</v>
                </pt>
                <pt idx="256">
                  <v>1.025352048355891</v>
                </pt>
                <pt idx="257">
                  <v>1.02507765275495</v>
                </pt>
                <pt idx="258">
                  <v>1.027552474952493</v>
                </pt>
                <pt idx="259">
                  <v>1.028726739086369</v>
                </pt>
                <pt idx="260">
                  <v>1.026108458080938</v>
                </pt>
                <pt idx="261">
                  <v>1.0261576542809</v>
                </pt>
                <pt idx="262">
                  <v>1.023677203195469</v>
                </pt>
                <pt idx="263">
                  <v>1.025670530193914</v>
                </pt>
                <pt idx="264">
                  <v>1.023360834123309</v>
                </pt>
                <pt idx="265">
                  <v>1.024837714367088</v>
                </pt>
                <pt idx="266">
                  <v>1.025935543300889</v>
                </pt>
                <pt idx="267">
                  <v>1.024894275720858</v>
                </pt>
                <pt idx="268">
                  <v>1.025206868474953</v>
                </pt>
                <pt idx="269">
                  <v>1.025349770921231</v>
                </pt>
                <pt idx="270">
                  <v>1.025405310700489</v>
                </pt>
                <pt idx="271">
                  <v>1.025207635343371</v>
                </pt>
                <pt idx="272">
                  <v>1.025807609633966</v>
                </pt>
                <pt idx="273">
                  <v>1.024688453531855</v>
                </pt>
                <pt idx="274">
                  <v>1.023742552234973</v>
                </pt>
                <pt idx="275">
                  <v>1.024603917843506</v>
                </pt>
                <pt idx="276">
                  <v>1.023459662957034</v>
                </pt>
                <pt idx="277">
                  <v>1.020895612206976</v>
                </pt>
                <pt idx="278">
                  <v>1.020553215161926</v>
                </pt>
                <pt idx="279">
                  <v>1.022368779331699</v>
                </pt>
                <pt idx="280">
                  <v>1.019712835637792</v>
                </pt>
                <pt idx="281">
                  <v>1.023178726264699</v>
                </pt>
                <pt idx="282">
                  <v>1.02634108749127</v>
                </pt>
                <pt idx="283">
                  <v>1.02626154605699</v>
                </pt>
                <pt idx="284">
                  <v>1.027348357034264</v>
                </pt>
                <pt idx="285">
                  <v>1.029489978834319</v>
                </pt>
                <pt idx="286">
                  <v>1.030193177683751</v>
                </pt>
                <pt idx="287">
                  <v>1.02950741242514</v>
                </pt>
                <pt idx="288">
                  <v>1.03002965865752</v>
                </pt>
                <pt idx="289">
                  <v>1.030333002391995</v>
                </pt>
                <pt idx="290">
                  <v>1.030710733918816</v>
                </pt>
                <pt idx="291">
                  <v>1.032639594533931</v>
                </pt>
                <pt idx="292">
                  <v>1.029767422239467</v>
                </pt>
                <pt idx="293">
                  <v>1.030391518506646</v>
                </pt>
                <pt idx="294">
                  <v>1.030886736119235</v>
                </pt>
                <pt idx="295">
                  <v>1.029781167366232</v>
                </pt>
                <pt idx="296">
                  <v>1.030608539324146</v>
                </pt>
                <pt idx="297">
                  <v>1.0291848108831</v>
                </pt>
                <pt idx="298">
                  <v>1.029715984599383</v>
                </pt>
                <pt idx="299">
                  <v>1.030434097085754</v>
                </pt>
                <pt idx="300">
                  <v>1.030179808849129</v>
                </pt>
                <pt idx="301">
                  <v>1.031460837441433</v>
                </pt>
                <pt idx="302">
                  <v>1.032655784821609</v>
                </pt>
                <pt idx="303">
                  <v>1.033043604438575</v>
                </pt>
                <pt idx="304">
                  <v>1.032883310505953</v>
                </pt>
                <pt idx="305">
                  <v>1.031796602498489</v>
                </pt>
                <pt idx="306">
                  <v>1.032707506932394</v>
                </pt>
                <pt idx="307">
                  <v>1.033611011255682</v>
                </pt>
                <pt idx="308">
                  <v>1.032563791032778</v>
                </pt>
                <pt idx="309">
                  <v>1.033397873117312</v>
                </pt>
                <pt idx="310">
                  <v>1.035623697314021</v>
                </pt>
                <pt idx="311">
                  <v>1.034521621096129</v>
                </pt>
                <pt idx="312">
                  <v>1.035031927622446</v>
                </pt>
                <pt idx="313">
                  <v>1.035175337046196</v>
                </pt>
                <pt idx="314">
                  <v>1.034860816272956</v>
                </pt>
                <pt idx="315">
                  <v>1.035828066182566</v>
                </pt>
                <pt idx="316">
                  <v>1.035138665058518</v>
                </pt>
                <pt idx="317">
                  <v>1.035218830797357</v>
                </pt>
                <pt idx="318">
                  <v>1.033930500962429</v>
                </pt>
                <pt idx="319">
                  <v>1.035097751057433</v>
                </pt>
                <pt idx="320">
                  <v>1.035146400651732</v>
                </pt>
                <pt idx="321">
                  <v>1.034967435340686</v>
                </pt>
                <pt idx="322">
                  <v>1.034133999064283</v>
                </pt>
                <pt idx="323">
                  <v>1.035601607564621</v>
                </pt>
                <pt idx="324">
                  <v>1.035179887576652</v>
                </pt>
                <pt idx="325">
                  <v>1.036332790421444</v>
                </pt>
                <pt idx="326">
                  <v>1.036260880440597</v>
                </pt>
                <pt idx="327">
                  <v>1.035410628388196</v>
                </pt>
                <pt idx="328">
                  <v>1.03478932448835</v>
                </pt>
                <pt idx="329">
                  <v>1.03549671796823</v>
                </pt>
                <pt idx="330">
                  <v>1.036183079709456</v>
                </pt>
                <pt idx="331">
                  <v>1.036168170186254</v>
                </pt>
                <pt idx="332">
                  <v>1.036928947882764</v>
                </pt>
                <pt idx="333">
                  <v>1.036583880971774</v>
                </pt>
                <pt idx="334">
                  <v>1.036957972576818</v>
                </pt>
                <pt idx="335">
                  <v>1.037484171139125</v>
                </pt>
                <pt idx="336">
                  <v>1.036603116525789</v>
                </pt>
                <pt idx="337">
                  <v>1.036702112123418</v>
                </pt>
                <pt idx="338">
                  <v>1.038155626079176</v>
                </pt>
                <pt idx="339">
                  <v>1.039088524259834</v>
                </pt>
                <pt idx="340">
                  <v>1.039985892654813</v>
                </pt>
                <pt idx="341">
                  <v>1.040514725481228</v>
                </pt>
                <pt idx="342">
                  <v>1.040720400558631</v>
                </pt>
                <pt idx="343">
                  <v>1.041160336199067</v>
                </pt>
                <pt idx="344">
                  <v>1.040953260976646</v>
                </pt>
                <pt idx="345">
                  <v>1.042003756309181</v>
                </pt>
                <pt idx="346">
                  <v>1.04260146124162</v>
                </pt>
                <pt idx="347">
                  <v>1.040032259551907</v>
                </pt>
                <pt idx="348">
                  <v>1.040064269433673</v>
                </pt>
                <pt idx="349">
                  <v>1.042214486748031</v>
                </pt>
                <pt idx="350">
                  <v>1.043876471449565</v>
                </pt>
                <pt idx="351">
                  <v>1.042816008940846</v>
                </pt>
                <pt idx="352">
                  <v>1.042942826954378</v>
                </pt>
                <pt idx="353">
                  <v>1.044263018749498</v>
                </pt>
                <pt idx="354">
                  <v>1.045104230625713</v>
                </pt>
                <pt idx="355">
                  <v>1.046098182810384</v>
                </pt>
                <pt idx="356">
                  <v>1.046882175281835</v>
                </pt>
                <pt idx="357">
                  <v>1.048004142173133</v>
                </pt>
                <pt idx="358">
                  <v>1.046789680039711</v>
                </pt>
                <pt idx="359">
                  <v>1.047068300559548</v>
                </pt>
                <pt idx="360">
                  <v>1.047211341723497</v>
                </pt>
                <pt idx="361">
                  <v>1.046269316943209</v>
                </pt>
                <pt idx="362">
                  <v>1.04552518695457</v>
                </pt>
                <pt idx="363">
                  <v>1.043010001863153</v>
                </pt>
                <pt idx="364">
                  <v>1.041128585654792</v>
                </pt>
                <pt idx="365">
                  <v>1.040784666178664</v>
                </pt>
                <pt idx="366">
                  <v>1.041846324359537</v>
                </pt>
                <pt idx="367">
                  <v>1.041646579267016</v>
                </pt>
                <pt idx="368">
                  <v>1.0423434986978</v>
                </pt>
                <pt idx="369">
                  <v>1.044068808820034</v>
                </pt>
                <pt idx="370">
                  <v>1.044356739795977</v>
                </pt>
                <pt idx="371">
                  <v>1.041531812834648</v>
                </pt>
                <pt idx="372">
                  <v>1.043442213630901</v>
                </pt>
                <pt idx="373">
                  <v>1.030794418683433</v>
                </pt>
                <pt idx="374">
                  <v>1.029663809005207</v>
                </pt>
                <pt idx="375">
                  <v>1.030083397007377</v>
                </pt>
                <pt idx="376">
                  <v>1.029493502582024</v>
                </pt>
                <pt idx="377">
                  <v>1.02910240943921</v>
                </pt>
                <pt idx="378">
                  <v>1.029513307162356</v>
                </pt>
                <pt idx="379">
                  <v>1.028126953103895</v>
                </pt>
                <pt idx="380">
                  <v>1.028841272863646</v>
                </pt>
                <pt idx="381">
                  <v>1.029933273559093</v>
                </pt>
                <pt idx="382">
                  <v>1.030100981027138</v>
                </pt>
                <pt idx="383">
                  <v>1.030340994555717</v>
                </pt>
                <pt idx="384">
                  <v>1.029521243812215</v>
                </pt>
                <pt idx="385">
                  <v>1.030077185283873</v>
                </pt>
                <pt idx="386">
                  <v>1.029984650016729</v>
                </pt>
                <pt idx="387">
                  <v>1.031180862744984</v>
                </pt>
                <pt idx="388">
                  <v>1.032139975522989</v>
                </pt>
                <pt idx="389">
                  <v>1.032859377085928</v>
                </pt>
                <pt idx="390">
                  <v>1.032410140637972</v>
                </pt>
                <pt idx="391">
                  <v>1.03237240031172</v>
                </pt>
                <pt idx="392">
                  <v>1.033571214084571</v>
                </pt>
                <pt idx="393">
                  <v>1.033409747292682</v>
                </pt>
                <pt idx="394">
                  <v>1.033968075614483</v>
                </pt>
                <pt idx="395">
                  <v>1.033658402175836</v>
                </pt>
                <pt idx="396">
                  <v>1.034581172001645</v>
                </pt>
                <pt idx="397">
                  <v>1.035571668520374</v>
                </pt>
                <pt idx="398">
                  <v>1.035519257087594</v>
                </pt>
                <pt idx="399">
                  <v>1.035171092501822</v>
                </pt>
                <pt idx="400">
                  <v>1.03596673650542</v>
                </pt>
                <pt idx="401">
                  <v>1.036720805182181</v>
                </pt>
                <pt idx="402">
                  <v>1.036365728306406</v>
                </pt>
                <pt idx="403">
                  <v>1.037637349055038</v>
                </pt>
                <pt idx="404">
                  <v>1.038163488837528</v>
                </pt>
                <pt idx="405">
                  <v>1.038095085398764</v>
                </pt>
                <pt idx="406">
                  <v>1.038052062124669</v>
                </pt>
                <pt idx="407">
                  <v>1.038826621971691</v>
                </pt>
                <pt idx="408">
                  <v>1.039359251465812</v>
                </pt>
                <pt idx="409">
                  <v>1.038825944685449</v>
                </pt>
                <pt idx="410">
                  <v>1.039308421624203</v>
                </pt>
                <pt idx="411">
                  <v>1.040142697589983</v>
                </pt>
                <pt idx="412">
                  <v>1.040268670427802</v>
                </pt>
                <pt idx="413">
                  <v>1.04083642595104</v>
                </pt>
                <pt idx="414">
                  <v>1.041048756581934</v>
                </pt>
                <pt idx="415">
                  <v>1.040474502520595</v>
                </pt>
                <pt idx="416">
                  <v>1.0405087225709</v>
                </pt>
                <pt idx="417">
                  <v>1.041695538381073</v>
                </pt>
                <pt idx="418">
                  <v>1.043127291026603</v>
                </pt>
                <pt idx="419">
                  <v>1.043412934049796</v>
                </pt>
                <pt idx="420">
                  <v>1.043791577010086</v>
                </pt>
                <pt idx="421">
                  <v>1.04400967146126</v>
                </pt>
                <pt idx="422">
                  <v>1.045330285695121</v>
                </pt>
                <pt idx="423">
                  <v>1.04655669041586</v>
                </pt>
                <pt idx="424">
                  <v>1.046966417360158</v>
                </pt>
                <pt idx="425">
                  <v>1.046899062520641</v>
                </pt>
                <pt idx="426">
                  <v>1.039345220496083</v>
                </pt>
                <pt idx="427">
                  <v>1.040684994226703</v>
                </pt>
                <pt idx="428">
                  <v>1.035887031692487</v>
                </pt>
                <pt idx="429">
                  <v>1.036674881329369</v>
                </pt>
                <pt idx="430">
                  <v>1.037725263356352</v>
                </pt>
                <pt idx="431">
                  <v>1.039208749271723</v>
                </pt>
                <pt idx="432">
                  <v>1.03522881069729</v>
                </pt>
                <pt idx="433">
                  <v>1.026335677598995</v>
                </pt>
                <pt idx="434">
                  <v>1.034114731848708</v>
                </pt>
                <pt idx="435">
                  <v>1.036901268895311</v>
                </pt>
                <pt idx="436">
                  <v>1.037833385530422</v>
                </pt>
                <pt idx="437">
                  <v>1.037170901885991</v>
                </pt>
                <pt idx="438">
                  <v>1.038487359863513</v>
                </pt>
                <pt idx="439">
                  <v>1.038094638560258</v>
                </pt>
                <pt idx="440">
                  <v>1.03804140737407</v>
                </pt>
                <pt idx="441">
                  <v>1.038471502530525</v>
                </pt>
                <pt idx="442">
                  <v>1.039343876285512</v>
                </pt>
                <pt idx="443">
                  <v>1.037277487435477</v>
                </pt>
                <pt idx="444">
                  <v>1.037449733124918</v>
                </pt>
                <pt idx="445">
                  <v>1.037600682061088</v>
                </pt>
                <pt idx="446">
                  <v>1.039007034496657</v>
                </pt>
                <pt idx="447">
                  <v>1.039826637879036</v>
                </pt>
                <pt idx="448">
                  <v>1.038495486478111</v>
                </pt>
                <pt idx="449">
                  <v>1.039451883126963</v>
                </pt>
                <pt idx="450">
                  <v>1.039530015260179</v>
                </pt>
                <pt idx="451">
                  <v>1.040336921558691</v>
                </pt>
                <pt idx="452">
                  <v>1.041172485496189</v>
                </pt>
                <pt idx="453">
                  <v>1.042142800409756</v>
                </pt>
                <pt idx="454">
                  <v>1.04274070089308</v>
                </pt>
                <pt idx="455">
                  <v>1.04317726166652</v>
                </pt>
                <pt idx="456">
                  <v>1.044193200410799</v>
                </pt>
                <pt idx="457">
                  <v>1.045017648953256</v>
                </pt>
                <pt idx="458">
                  <v>1.044811780476412</v>
                </pt>
                <pt idx="459">
                  <v>1.045376849514353</v>
                </pt>
                <pt idx="460">
                  <v>1.045251288139428</v>
                </pt>
                <pt idx="461">
                  <v>1.045253204433457</v>
                </pt>
                <pt idx="462">
                  <v>1.046353449570368</v>
                </pt>
                <pt idx="463">
                  <v>1.045209087681021</v>
                </pt>
                <pt idx="464">
                  <v>1.046127303864549</v>
                </pt>
                <pt idx="465">
                  <v>1.046073079599299</v>
                </pt>
                <pt idx="466">
                  <v>1.045583517398046</v>
                </pt>
                <pt idx="467">
                  <v>1.047363158632631</v>
                </pt>
                <pt idx="468">
                  <v>1.047365369732632</v>
                </pt>
                <pt idx="469">
                  <v>1.045762202473362</v>
                </pt>
                <pt idx="470">
                  <v>1.043227681579867</v>
                </pt>
                <pt idx="471">
                  <v>1.040168242532354</v>
                </pt>
                <pt idx="472">
                  <v>1.040795059472729</v>
                </pt>
                <pt idx="473">
                  <v>1.04197792305782</v>
                </pt>
                <pt idx="474">
                  <v>1.04152975677558</v>
                </pt>
                <pt idx="475">
                  <v>1.042078411506344</v>
                </pt>
                <pt idx="476">
                  <v>1.04240817143034</v>
                </pt>
                <pt idx="477">
                  <v>1.042764153820884</v>
                </pt>
                <pt idx="478">
                  <v>1.042839522496668</v>
                </pt>
                <pt idx="479">
                  <v>1.042656330353883</v>
                </pt>
                <pt idx="480">
                  <v>1.042874940631147</v>
                </pt>
                <pt idx="481">
                  <v>1.042661383018304</v>
                </pt>
                <pt idx="482">
                  <v>1.042839504337903</v>
                </pt>
                <pt idx="483">
                  <v>1.041411161830128</v>
                </pt>
                <pt idx="484">
                  <v>1.040483322341113</v>
                </pt>
                <pt idx="485">
                  <v>1.041376114836311</v>
                </pt>
                <pt idx="486">
                  <v>1.042884316721737</v>
                </pt>
                <pt idx="487">
                  <v>1.043666711711349</v>
                </pt>
                <pt idx="488">
                  <v>1.041123991712716</v>
                </pt>
                <pt idx="489">
                  <v>1.040091890795598</v>
                </pt>
                <pt idx="490">
                  <v>1.040633489756289</v>
                </pt>
                <pt idx="491">
                  <v>1.041438477573587</v>
                </pt>
                <pt idx="492">
                  <v>1.041668924765596</v>
                </pt>
                <pt idx="493">
                  <v>1.041101215201599</v>
                </pt>
                <pt idx="494">
                  <v>1.041277045629055</v>
                </pt>
                <pt idx="495">
                  <v>1.041324365885906</v>
                </pt>
                <pt idx="496">
                  <v>1.043426336969801</v>
                </pt>
                <pt idx="497">
                  <v>1.042966012050808</v>
                </pt>
                <pt idx="498">
                  <v>1.043982324486995</v>
                </pt>
                <pt idx="499">
                  <v>1.044301261087126</v>
                </pt>
                <pt idx="500">
                  <v>1.044949714153524</v>
                </pt>
                <pt idx="501">
                  <v>1.046211026511269</v>
                </pt>
                <pt idx="502">
                  <v>1.046375049151092</v>
                </pt>
                <pt idx="503">
                  <v>1.046845801659316</v>
                </pt>
                <pt idx="504">
                  <v>1.046676387113748</v>
                </pt>
                <pt idx="505">
                  <v>1.048309900061903</v>
                </pt>
                <pt idx="506">
                  <v>1.047584236653305</v>
                </pt>
                <pt idx="507">
                  <v>1.047612055834701</v>
                </pt>
                <pt idx="508">
                  <v>1.049062009120646</v>
                </pt>
                <pt idx="509">
                  <v>1.050000628212695</v>
                </pt>
                <pt idx="510">
                  <v>1.050672278614541</v>
                </pt>
                <pt idx="511">
                  <v>1.051235380585197</v>
                </pt>
                <pt idx="512">
                  <v>1.051639288579204</v>
                </pt>
                <pt idx="513">
                  <v>1.052970021250091</v>
                </pt>
                <pt idx="514">
                  <v>1.052607507071108</v>
                </pt>
                <pt idx="515">
                  <v>1.053162991443867</v>
                </pt>
                <pt idx="516">
                  <v>1.053054106092363</v>
                </pt>
                <pt idx="517">
                  <v>1.05446900128991</v>
                </pt>
                <pt idx="518">
                  <v>1.055248488208308</v>
                </pt>
                <pt idx="519">
                  <v>1.054543816717849</v>
                </pt>
                <pt idx="520">
                  <v>1.054167989018724</v>
                </pt>
                <pt idx="521">
                  <v>1.054869303555863</v>
                </pt>
                <pt idx="522">
                  <v>1.05532823030676</v>
                </pt>
                <pt idx="523">
                  <v>1.055629233369782</v>
                </pt>
                <pt idx="524">
                  <v>1.055731688051487</v>
                </pt>
                <pt idx="525">
                  <v>1.056275565826115</v>
                </pt>
                <pt idx="526">
                  <v>1.057270518727148</v>
                </pt>
                <pt idx="527">
                  <v>1.05699850651758</v>
                </pt>
                <pt idx="528">
                  <v>1.058011815752494</v>
                </pt>
                <pt idx="529">
                  <v>1.058102452098044</v>
                </pt>
                <pt idx="530">
                  <v>1.058292087570848</v>
                </pt>
                <pt idx="531">
                  <v>1.058784487361593</v>
                </pt>
                <pt idx="532">
                  <v>1.058956598662149</v>
                </pt>
                <pt idx="533">
                  <v>1.05938418180432</v>
                </pt>
                <pt idx="534">
                  <v>1.059751023004608</v>
                </pt>
                <pt idx="535">
                  <v>1.059630034762815</v>
                </pt>
                <pt idx="536">
                  <v>1.059709507015423</v>
                </pt>
                <pt idx="537">
                  <v>1.060337973625833</v>
                </pt>
                <pt idx="538">
                  <v>1.061034144413184</v>
                </pt>
                <pt idx="539">
                  <v>1.061238982949397</v>
                </pt>
                <pt idx="540">
                  <v>1.06149391613619</v>
                </pt>
                <pt idx="541">
                  <v>1.060991593626321</v>
                </pt>
                <pt idx="542">
                  <v>1.061340129364827</v>
                </pt>
                <pt idx="543">
                  <v>1.061163416233288</v>
                </pt>
                <pt idx="544">
                  <v>1.059319585844059</v>
                </pt>
                <pt idx="545">
                  <v>1.059481661740693</v>
                </pt>
                <pt idx="546">
                  <v>1.059900098136989</v>
                </pt>
                <pt idx="547">
                  <v>1.061056566910734</v>
                </pt>
                <pt idx="548">
                  <v>1.061361208040611</v>
                </pt>
                <pt idx="549">
                  <v>1.061179066664409</v>
                </pt>
                <pt idx="550">
                  <v>1.06085888535824</v>
                </pt>
                <pt idx="551">
                  <v>1.062242481091166</v>
                </pt>
                <pt idx="552">
                  <v>1.062887616358015</v>
                </pt>
                <pt idx="553">
                  <v>1.062887557308703</v>
                </pt>
                <pt idx="554">
                  <v>1.061316550449692</v>
                </pt>
                <pt idx="555">
                  <v>1.062557583269351</v>
                </pt>
                <pt idx="556">
                  <v>1.062843293197297</v>
                </pt>
                <pt idx="557">
                  <v>1.064247663468708</v>
                </pt>
                <pt idx="558">
                  <v>1.059785746014746</v>
                </pt>
                <pt idx="559">
                  <v>1.059300894035944</v>
                </pt>
                <pt idx="560">
                  <v>1.060230901370858</v>
                </pt>
                <pt idx="561">
                  <v>1.060610405131832</v>
                </pt>
                <pt idx="562">
                  <v>1.061978533631652</v>
                </pt>
                <pt idx="563">
                  <v>1.062989419198054</v>
                </pt>
                <pt idx="564">
                  <v>1.063615106581188</v>
                </pt>
                <pt idx="565">
                  <v>1.063954813428284</v>
                </pt>
                <pt idx="566">
                  <v>1.064776718521657</v>
                </pt>
                <pt idx="567">
                  <v>1.065309225189442</v>
                </pt>
                <pt idx="568">
                  <v>1.065773818379317</v>
                </pt>
                <pt idx="569">
                  <v>1.066051393249348</v>
                </pt>
                <pt idx="570">
                  <v>1.066371327117478</v>
                </pt>
                <pt idx="571">
                  <v>1.066344490105745</v>
                </pt>
                <pt idx="572">
                  <v>1.066734298258239</v>
                </pt>
                <pt idx="573">
                  <v>1.06506408866225</v>
                </pt>
                <pt idx="574">
                  <v>1.065113614142373</v>
                </pt>
                <pt idx="575">
                  <v>1.065554393659692</v>
                </pt>
                <pt idx="576">
                  <v>1.066403581313972</v>
                </pt>
                <pt idx="577">
                  <v>1.067349955247745</v>
                </pt>
                <pt idx="578">
                  <v>1.067819826416933</v>
                </pt>
                <pt idx="579">
                  <v>1.067140159097419</v>
                </pt>
                <pt idx="580">
                  <v>1.066621410408968</v>
                </pt>
                <pt idx="581">
                  <v>1.070170237611634</v>
                </pt>
                <pt idx="582">
                  <v>1.069592583498932</v>
                </pt>
                <pt idx="583">
                  <v>1.07002915553843</v>
                </pt>
                <pt idx="584">
                  <v>1.070469056413485</v>
                </pt>
                <pt idx="585">
                  <v>1.071178063751849</v>
                </pt>
                <pt idx="586">
                  <v>1.071830113643212</v>
                </pt>
                <pt idx="587">
                  <v>1.072414380147382</v>
                </pt>
                <pt idx="588">
                  <v>1.072223371230563</v>
                </pt>
                <pt idx="589">
                  <v>1.072135746753947</v>
                </pt>
                <pt idx="590">
                  <v>1.072209307178794</v>
                </pt>
                <pt idx="591">
                  <v>1.074188129022376</v>
                </pt>
                <pt idx="592">
                  <v>1.074001996090464</v>
                </pt>
                <pt idx="593">
                  <v>1.07463631360271</v>
                </pt>
                <pt idx="594">
                  <v>1.074739836900921</v>
                </pt>
                <pt idx="595">
                  <v>1.075123519022694</v>
                </pt>
                <pt idx="596">
                  <v>1.07574685174739</v>
                </pt>
                <pt idx="597">
                  <v>1.076235061526941</v>
                </pt>
                <pt idx="598">
                  <v>1.069785483757394</v>
                </pt>
                <pt idx="599">
                  <v>1.070789834029062</v>
                </pt>
                <pt idx="600">
                  <v>1.071679541404492</v>
                </pt>
                <pt idx="601">
                  <v>1.073107316242404</v>
                </pt>
                <pt idx="602">
                  <v>1.073725604907779</v>
                </pt>
                <pt idx="603">
                  <v>1.073849381609456</v>
                </pt>
                <pt idx="604">
                  <v>1.074067611667118</v>
                </pt>
                <pt idx="605">
                  <v>1.074576839055894</v>
                </pt>
                <pt idx="606">
                  <v>1.07497634284517</v>
                </pt>
                <pt idx="607">
                  <v>1.075097516567372</v>
                </pt>
                <pt idx="608">
                  <v>1.074505197563383</v>
                </pt>
                <pt idx="609">
                  <v>1.074013492046031</v>
                </pt>
                <pt idx="610">
                  <v>1.074519173398536</v>
                </pt>
                <pt idx="611">
                  <v>1.074135390967104</v>
                </pt>
                <pt idx="612">
                  <v>1.07452882289114</v>
                </pt>
                <pt idx="613">
                  <v>1.07472056658998</v>
                </pt>
                <pt idx="614">
                  <v>1.073217092224019</v>
                </pt>
                <pt idx="615">
                  <v>1.073476453021307</v>
                </pt>
                <pt idx="616">
                  <v>1.074429342286105</v>
                </pt>
                <pt idx="617">
                  <v>1.074054605207723</v>
                </pt>
                <pt idx="618">
                  <v>1.07422090466243</v>
                </pt>
                <pt idx="619">
                  <v>1.074485521078612</v>
                </pt>
                <pt idx="620">
                  <v>1.074978709932787</v>
                </pt>
                <pt idx="621">
                  <v>1.074374452455726</v>
                </pt>
                <pt idx="622">
                  <v>1.074315600610719</v>
                </pt>
                <pt idx="623">
                  <v>1.075130349625382</v>
                </pt>
                <pt idx="624">
                  <v>1.075620131229101</v>
                </pt>
                <pt idx="625">
                  <v>1.076213993054887</v>
                </pt>
                <pt idx="626">
                  <v>1.075257956291057</v>
                </pt>
                <pt idx="627">
                  <v>1.075483402042559</v>
                </pt>
                <pt idx="628">
                  <v>1.074509671320165</v>
                </pt>
                <pt idx="629">
                  <v>1.075085310029084</v>
                </pt>
                <pt idx="630">
                  <v>1.075326606954224</v>
                </pt>
                <pt idx="631">
                  <v>1.07575643889517</v>
                </pt>
                <pt idx="632">
                  <v>1.075297509245488</v>
                </pt>
                <pt idx="633">
                  <v>1.075298046894243</v>
                </pt>
                <pt idx="634">
                  <v>1.076623710169722</v>
                </pt>
                <pt idx="635">
                  <v>1.076766123561606</v>
                </pt>
                <pt idx="636">
                  <v>1.076718147648768</v>
                </pt>
                <pt idx="637">
                  <v>1.077623847063965</v>
                </pt>
                <pt idx="638">
                  <v>1.07775507770134</v>
                </pt>
                <pt idx="639">
                  <v>1.079048862796839</v>
                </pt>
                <pt idx="640">
                  <v>1.079599177716865</v>
                </pt>
                <pt idx="641">
                  <v>1.07972896952912</v>
                </pt>
                <pt idx="642">
                  <v>1.080188754115311</v>
                </pt>
                <pt idx="643">
                  <v>1.080571380976213</v>
                </pt>
                <pt idx="644">
                  <v>1.081528587124528</v>
                </pt>
                <pt idx="645">
                  <v>1.08062635194318</v>
                </pt>
                <pt idx="646">
                  <v>1.080828188931804</v>
                </pt>
                <pt idx="647">
                  <v>1.080488748834469</v>
                </pt>
                <pt idx="648">
                  <v>1.08106050746406</v>
                </pt>
                <pt idx="649">
                  <v>1.081981330780751</v>
                </pt>
                <pt idx="650">
                  <v>1.082473331735887</v>
                </pt>
                <pt idx="651">
                  <v>1.082397919427109</v>
                </pt>
                <pt idx="652">
                  <v>1.08251740413077</v>
                </pt>
                <pt idx="653">
                  <v>1.082620604123298</v>
                </pt>
                <pt idx="654">
                  <v>1.083655348838483</v>
                </pt>
                <pt idx="655">
                  <v>1.083318512634219</v>
                </pt>
                <pt idx="656">
                  <v>1.081682882233227</v>
                </pt>
                <pt idx="657">
                  <v>1.078063991963729</v>
                </pt>
                <pt idx="658">
                  <v>1.078581881926979</v>
                </pt>
                <pt idx="659">
                  <v>1.081538694313851</v>
                </pt>
                <pt idx="660">
                  <v>1.082063841435423</v>
                </pt>
                <pt idx="661">
                  <v>1.082285003261681</v>
                </pt>
                <pt idx="662">
                  <v>1.07949042312937</v>
                </pt>
                <pt idx="663">
                  <v>1.079916162157915</v>
                </pt>
                <pt idx="664">
                  <v>1.080984019256262</v>
                </pt>
                <pt idx="665">
                  <v>1.081563787018589</v>
                </pt>
                <pt idx="666">
                  <v>1.081606568875054</v>
                </pt>
                <pt idx="667">
                  <v>1.081717553726871</v>
                </pt>
                <pt idx="668">
                  <v>1.082340803324076</v>
                </pt>
                <pt idx="669">
                  <v>1.082910535496937</v>
                </pt>
                <pt idx="670">
                  <v>1.083166463353493</v>
                </pt>
                <pt idx="671">
                  <v>1.083289162043425</v>
                </pt>
                <pt idx="672">
                  <v>1.083507204078652</v>
                </pt>
                <pt idx="673">
                  <v>1.084228819876568</v>
                </pt>
                <pt idx="674">
                  <v>1.083260001191074</v>
                </pt>
                <pt idx="675">
                  <v>1.084143219178712</v>
                </pt>
                <pt idx="676">
                  <v>1.083920186826455</v>
                </pt>
                <pt idx="677">
                  <v>1.084010453290903</v>
                </pt>
                <pt idx="678">
                  <v>1.084540715070971</v>
                </pt>
                <pt idx="679">
                  <v>1.084779675541858</v>
                </pt>
                <pt idx="680">
                  <v>1.085214973519438</v>
                </pt>
                <pt idx="681">
                  <v>1.085760776361398</v>
                </pt>
                <pt idx="682">
                  <v>1.085402234025026</v>
                </pt>
                <pt idx="683">
                  <v>1.084856638502056</v>
                </pt>
                <pt idx="684">
                  <v>1.085136410975163</v>
                </pt>
                <pt idx="685">
                  <v>1.085274343870069</v>
                </pt>
                <pt idx="686">
                  <v>1.085541863995833</v>
                </pt>
                <pt idx="687">
                  <v>1.085881276751976</v>
                </pt>
                <pt idx="688">
                  <v>1.085623741909173</v>
                </pt>
                <pt idx="689">
                  <v>1.085749010826503</v>
                </pt>
                <pt idx="690">
                  <v>1.08506999545901</v>
                </pt>
                <pt idx="691">
                  <v>1.085464297839027</v>
                </pt>
                <pt idx="692">
                  <v>1.085474790660573</v>
                </pt>
                <pt idx="693">
                  <v>1.086127824355465</v>
                </pt>
                <pt idx="694">
                  <v>1.086097050733775</v>
                </pt>
                <pt idx="695">
                  <v>1.086474228104005</v>
                </pt>
                <pt idx="696">
                  <v>1.086535613897893</v>
                </pt>
                <pt idx="697">
                  <v>1.086773867012785</v>
                </pt>
                <pt idx="698">
                  <v>1.087269254767165</v>
                </pt>
                <pt idx="699">
                  <v>1.0869895849533</v>
                </pt>
                <pt idx="700">
                  <v>1.08758422864458</v>
                </pt>
                <pt idx="701">
                  <v>1.088062886547876</v>
                </pt>
                <pt idx="702">
                  <v>1.088235042275703</v>
                </pt>
                <pt idx="703">
                  <v>1.089186522447666</v>
                </pt>
                <pt idx="704">
                  <v>1.089955911705051</v>
                </pt>
                <pt idx="705">
                  <v>1.090077441789206</v>
                </pt>
                <pt idx="706">
                  <v>1.090008524670941</v>
                </pt>
                <pt idx="707">
                  <v>1.089500883478591</v>
                </pt>
                <pt idx="708">
                  <v>1.089809151700788</v>
                </pt>
                <pt idx="709">
                  <v>1.0898663061363</v>
                </pt>
                <pt idx="710">
                  <v>1.089613214960764</v>
                </pt>
                <pt idx="711">
                  <v>1.089987436566035</v>
                </pt>
                <pt idx="712">
                  <v>1.089557557632025</v>
                </pt>
                <pt idx="713">
                  <v>1.090502567220345</v>
                </pt>
                <pt idx="714">
                  <v>1.091464148150729</v>
                </pt>
                <pt idx="715">
                  <v>1.091582996469084</v>
                </pt>
                <pt idx="716">
                  <v>1.092421514140871</v>
                </pt>
                <pt idx="717">
                  <v>1.093493361716495</v>
                </pt>
                <pt idx="718">
                  <v>1.093551620612822</v>
                </pt>
                <pt idx="719">
                  <v>1.092978781822225</v>
                </pt>
                <pt idx="720">
                  <v>1.093386705792018</v>
                </pt>
                <pt idx="721">
                  <v>1.092754546044953</v>
                </pt>
                <pt idx="722">
                  <v>1.092720488528268</v>
                </pt>
                <pt idx="723">
                  <v>1.093347406555214</v>
                </pt>
                <pt idx="724">
                  <v>1.093635382113796</v>
                </pt>
                <pt idx="725">
                  <v>1.092895537777796</v>
                </pt>
                <pt idx="726">
                  <v>1.092979690734205</v>
                </pt>
                <pt idx="727">
                  <v>1.093928882874514</v>
                </pt>
                <pt idx="728">
                  <v>1.094481438508019</v>
                </pt>
                <pt idx="729">
                  <v>1.094248131548044</v>
                </pt>
                <pt idx="730">
                  <v>1.094480051360369</v>
                </pt>
                <pt idx="731">
                  <v>1.095022366225818</v>
                </pt>
                <pt idx="732">
                  <v>1.095928132226415</v>
                </pt>
                <pt idx="733">
                  <v>1.094625560756368</v>
                </pt>
                <pt idx="734">
                  <v>1.092675728570005</v>
                </pt>
                <pt idx="735">
                  <v>1.09271342588264</v>
                </pt>
                <pt idx="736">
                  <v>1.091796396493119</v>
                </pt>
                <pt idx="737">
                  <v>1.092365889624601</v>
                </pt>
                <pt idx="738">
                  <v>1.094130970841253</v>
                </pt>
                <pt idx="739">
                  <v>1.094470880862861</v>
                </pt>
                <pt idx="740">
                  <v>1.095540604541029</v>
                </pt>
                <pt idx="741">
                  <v>1.096516305176106</v>
                </pt>
                <pt idx="742">
                  <v>1.09661688008832</v>
                </pt>
                <pt idx="743">
                  <v>1.09674012764101</v>
                </pt>
                <pt idx="744">
                  <v>1.097307081356993</v>
                </pt>
                <pt idx="745">
                  <v>1.097480455875848</v>
                </pt>
                <pt idx="746">
                  <v>1.096693318504439</v>
                </pt>
                <pt idx="747">
                  <v>1.096144423498527</v>
                </pt>
                <pt idx="748">
                  <v>1.096887061345448</v>
                </pt>
                <pt idx="749">
                  <v>1.096890047315781</v>
                </pt>
                <pt idx="750">
                  <v>1.097284744917807</v>
                </pt>
                <pt idx="751">
                  <v>1.098008709008398</v>
                </pt>
                <pt idx="752">
                  <v>1.098282784182264</v>
                </pt>
                <pt idx="753">
                  <v>1.098453994265176</v>
                </pt>
                <pt idx="754">
                  <v>1.098496956021396</v>
                </pt>
                <pt idx="755">
                  <v>1.098263342335415</v>
                </pt>
                <pt idx="756">
                  <v>1.098165413854057</v>
                </pt>
                <pt idx="757">
                  <v>1.098119534943434</v>
                </pt>
                <pt idx="758">
                  <v>1.098126245673925</v>
                </pt>
                <pt idx="759">
                  <v>1.098787744722916</v>
                </pt>
                <pt idx="760">
                  <v>1.098429295743082</v>
                </pt>
                <pt idx="761">
                  <v>1.09869047782007</v>
                </pt>
                <pt idx="762">
                  <v>1.097443464127744</v>
                </pt>
                <pt idx="763">
                  <v>1.09641576929267</v>
                </pt>
                <pt idx="764">
                  <v>1.096230779587595</v>
                </pt>
                <pt idx="765">
                  <v>1.095702091843284</v>
                </pt>
                <pt idx="766">
                  <v>1.095646758887646</v>
                </pt>
                <pt idx="767">
                  <v>1.096132860833006</v>
                </pt>
                <pt idx="768">
                  <v>1.096843398511906</v>
                </pt>
                <pt idx="769">
                  <v>1.096454567527133</v>
                </pt>
                <pt idx="770">
                  <v>1.095177624354963</v>
                </pt>
                <pt idx="771">
                  <v>1.095382483413919</v>
                </pt>
                <pt idx="772">
                  <v>1.095411389340564</v>
                </pt>
                <pt idx="773">
                  <v>1.095724616141727</v>
                </pt>
                <pt idx="774">
                  <v>1.095768140758424</v>
                </pt>
                <pt idx="775">
                  <v>1.096532134656564</v>
                </pt>
                <pt idx="776">
                  <v>1.096437284626916</v>
                </pt>
                <pt idx="777">
                  <v>1.090454818236079</v>
                </pt>
                <pt idx="778">
                  <v>1.080611706657625</v>
                </pt>
                <pt idx="779">
                  <v>1.082252735602152</v>
                </pt>
                <pt idx="780">
                  <v>1.083754180897344</v>
                </pt>
                <pt idx="781">
                  <v>1.074154346571521</v>
                </pt>
                <pt idx="782">
                  <v>1.074738328484607</v>
                </pt>
                <pt idx="783">
                  <v>1.08025048224835</v>
                </pt>
                <pt idx="784">
                  <v>1.081826807757613</v>
                </pt>
                <pt idx="785">
                  <v>1.082631686902585</v>
                </pt>
                <pt idx="786">
                  <v>1.081371443472825</v>
                </pt>
                <pt idx="787">
                  <v>1.082557527717741</v>
                </pt>
                <pt idx="788">
                  <v>1.083040949795952</v>
                </pt>
                <pt idx="789">
                  <v>1.083865926154988</v>
                </pt>
                <pt idx="790">
                  <v>1.084320969199652</v>
                </pt>
                <pt idx="791">
                  <v>1.085055295456016</v>
                </pt>
                <pt idx="792">
                  <v>1.085603610065319</v>
                </pt>
                <pt idx="793">
                  <v>1.082924943468795</v>
                </pt>
                <pt idx="794">
                  <v>1.082387933021828</v>
                </pt>
                <pt idx="795">
                  <v>1.081289609933126</v>
                </pt>
                <pt idx="796">
                  <v>1.083734405741184</v>
                </pt>
                <pt idx="797">
                  <v>1.085533766099517</v>
                </pt>
                <pt idx="798">
                  <v>1.085597088902539</v>
                </pt>
                <pt idx="799">
                  <v>1.086185482524725</v>
                </pt>
                <pt idx="800">
                  <v>1.087994464102231</v>
                </pt>
                <pt idx="801">
                  <v>1.086378248325808</v>
                </pt>
                <pt idx="802">
                  <v>1.087003640070761</v>
                </pt>
                <pt idx="803">
                  <v>1.08704150403089</v>
                </pt>
                <pt idx="804">
                  <v>1.087476622588475</v>
                </pt>
                <pt idx="805">
                  <v>1.088559749304574</v>
                </pt>
                <pt idx="806">
                  <v>1.090654924444277</v>
                </pt>
                <pt idx="807">
                  <v>1.087998573783852</v>
                </pt>
                <pt idx="808">
                  <v>1.088852471331177</v>
                </pt>
                <pt idx="809">
                  <v>1.088746792149654</v>
                </pt>
                <pt idx="810">
                  <v>1.083444776729684</v>
                </pt>
                <pt idx="811">
                  <v>1.081392611939805</v>
                </pt>
                <pt idx="812">
                  <v>1.082609539092441</v>
                </pt>
                <pt idx="813">
                  <v>1.081214295976449</v>
                </pt>
                <pt idx="814">
                  <v>1.080562203621053</v>
                </pt>
                <pt idx="815">
                  <v>1.081778496443695</v>
                </pt>
                <pt idx="816">
                  <v>1.079574072263165</v>
                </pt>
                <pt idx="817">
                  <v>1.080170297032741</v>
                </pt>
                <pt idx="818">
                  <v>1.080850024196879</v>
                </pt>
                <pt idx="819">
                  <v>1.081354240733167</v>
                </pt>
                <pt idx="820">
                  <v>1.080076981149154</v>
                </pt>
                <pt idx="821">
                  <v>1.080993726489043</v>
                </pt>
                <pt idx="822">
                  <v>1.079719415051133</v>
                </pt>
                <pt idx="823">
                  <v>1.080807052408562</v>
                </pt>
                <pt idx="824">
                  <v>1.081987113575283</v>
                </pt>
                <pt idx="825">
                  <v>1.083494622176469</v>
                </pt>
                <pt idx="826">
                  <v>1.085380384372222</v>
                </pt>
                <pt idx="827">
                  <v>1.085952560731517</v>
                </pt>
                <pt idx="828">
                  <v>1.08529043132296</v>
                </pt>
                <pt idx="829">
                  <v>1.084483337005532</v>
                </pt>
                <pt idx="830">
                  <v>1.083943083556481</v>
                </pt>
                <pt idx="831">
                  <v>1.085221353547295</v>
                </pt>
                <pt idx="832">
                  <v>1.082624237978031</v>
                </pt>
                <pt idx="833">
                  <v>1.0832318307587</v>
                </pt>
                <pt idx="834">
                  <v>1.083765864051264</v>
                </pt>
                <pt idx="835">
                  <v>1.085524996676263</v>
                </pt>
                <pt idx="836">
                  <v>1.086428213780442</v>
                </pt>
                <pt idx="837">
                  <v>1.08670754654563</v>
                </pt>
                <pt idx="838">
                  <v>1.086858357404034</v>
                </pt>
                <pt idx="839">
                  <v>1.087680928037529</v>
                </pt>
                <pt idx="840">
                  <v>1.08763597055917</v>
                </pt>
                <pt idx="841">
                  <v>1.088739014705979</v>
                </pt>
                <pt idx="842">
                  <v>1.088997408765469</v>
                </pt>
                <pt idx="843">
                  <v>1.089260946138391</v>
                </pt>
                <pt idx="844">
                  <v>1.089286120169146</v>
                </pt>
                <pt idx="845">
                  <v>1.090616683164932</v>
                </pt>
                <pt idx="846">
                  <v>1.091690334699693</v>
                </pt>
                <pt idx="847">
                  <v>1.08975215980936</v>
                </pt>
                <pt idx="848">
                  <v>1.090273121883535</v>
                </pt>
                <pt idx="849">
                  <v>1.090691241625777</v>
                </pt>
                <pt idx="850">
                  <v>1.091487749201954</v>
                </pt>
                <pt idx="851">
                  <v>1.091987286761839</v>
                </pt>
                <pt idx="852">
                  <v>1.092754286498868</v>
                </pt>
                <pt idx="853">
                  <v>1.092802428396046</v>
                </pt>
                <pt idx="854">
                  <v>1.093158014163996</v>
                </pt>
                <pt idx="855">
                  <v>1.093036430700421</v>
                </pt>
                <pt idx="856">
                  <v>1.089183902351925</v>
                </pt>
                <pt idx="857">
                  <v>1.089874444946016</v>
                </pt>
                <pt idx="858">
                  <v>1.090326440097767</v>
                </pt>
                <pt idx="859">
                  <v>1.090763479279173</v>
                </pt>
                <pt idx="860">
                  <v>1.091876542811806</v>
                </pt>
                <pt idx="861">
                  <v>1.092798329253171</v>
                </pt>
                <pt idx="862">
                  <v>1.091371316768221</v>
                </pt>
                <pt idx="863">
                  <v>1.090755358923385</v>
                </pt>
                <pt idx="864">
                  <v>1.091357031698871</v>
                </pt>
                <pt idx="865">
                  <v>1.091724394601931</v>
                </pt>
                <pt idx="866">
                  <v>1.092501581068177</v>
                </pt>
                <pt idx="867">
                  <v>1.092876794666741</v>
                </pt>
                <pt idx="868">
                  <v>1.093853826521173</v>
                </pt>
                <pt idx="869">
                  <v>1.092190074851034</v>
                </pt>
                <pt idx="870">
                  <v>1.09246809790231</v>
                </pt>
                <pt idx="871">
                  <v>1.091344737234306</v>
                </pt>
                <pt idx="872">
                  <v>1.092002393699016</v>
                </pt>
                <pt idx="873">
                  <v>1.090783719027648</v>
                </pt>
                <pt idx="874">
                  <v>1.092008002554066</v>
                </pt>
                <pt idx="875">
                  <v>1.090136725507467</v>
                </pt>
                <pt idx="876">
                  <v>1.090959051977408</v>
                </pt>
                <pt idx="877">
                  <v>1.08987003240819</v>
                </pt>
                <pt idx="878">
                  <v>1.090660612020032</v>
                </pt>
                <pt idx="879">
                  <v>1.091614697686524</v>
                </pt>
                <pt idx="880">
                  <v>1.091701238473947</v>
                </pt>
                <pt idx="881">
                  <v>1.091759341239861</v>
                </pt>
                <pt idx="882">
                  <v>1.092200290707128</v>
                </pt>
                <pt idx="883">
                  <v>1.093118952507201</v>
                </pt>
                <pt idx="884">
                  <v>1.093660592948168</v>
                </pt>
                <pt idx="885">
                  <v>1.09402344522934</v>
                </pt>
                <pt idx="886">
                  <v>1.092683813520656</v>
                </pt>
                <pt idx="887">
                  <v>1.093236165188391</v>
                </pt>
                <pt idx="888">
                  <v>1.094240424076802</v>
                </pt>
                <pt idx="889">
                  <v>1.095023049144555</v>
                </pt>
                <pt idx="890">
                  <v>1.095262798357704</v>
                </pt>
                <pt idx="891">
                  <v>1.095549392123275</v>
                </pt>
                <pt idx="892">
                  <v>1.095096808496618</v>
                </pt>
                <pt idx="893">
                  <v>1.095423451539107</v>
                </pt>
                <pt idx="894">
                  <v>1.095830401351354</v>
                </pt>
                <pt idx="895">
                  <v>1.095598024426801</v>
                </pt>
                <pt idx="896">
                  <v>1.095816900565459</v>
                </pt>
                <pt idx="897">
                  <v>1.095143642837495</v>
                </pt>
                <pt idx="898">
                  <v>1.095282543556194</v>
                </pt>
                <pt idx="899">
                  <v>1.095486083562205</v>
                </pt>
                <pt idx="900">
                  <v>1.095791541598505</v>
                </pt>
                <pt idx="901">
                  <v>1.096094527959757</v>
                </pt>
                <pt idx="902">
                  <v>1.096635937762429</v>
                </pt>
                <pt idx="903">
                  <v>1.096903029537493</v>
                </pt>
                <pt idx="904">
                  <v>1.098033388109431</v>
                </pt>
                <pt idx="905">
                  <v>1.098216088664841</v>
                </pt>
                <pt idx="906">
                  <v>1.098796068783666</v>
                </pt>
                <pt idx="907">
                  <v>1.099247185614128</v>
                </pt>
                <pt idx="908">
                  <v>1.096731436291274</v>
                </pt>
                <pt idx="909">
                  <v>1.096548404000462</v>
                </pt>
                <pt idx="910">
                  <v>1.097517326354107</v>
                </pt>
                <pt idx="911">
                  <v>1.093799791277007</v>
                </pt>
                <pt idx="912">
                  <v>1.094280516285273</v>
                </pt>
                <pt idx="913">
                  <v>1.094719809119199</v>
                </pt>
                <pt idx="914">
                  <v>1.095656889275805</v>
                </pt>
                <pt idx="915">
                  <v>1.095922525201628</v>
                </pt>
                <pt idx="916">
                  <v>1.096204968790206</v>
                </pt>
                <pt idx="917">
                  <v>1.096173787848872</v>
                </pt>
                <pt idx="918">
                  <v>1.096382426259825</v>
                </pt>
                <pt idx="919">
                  <v>1.096031401153018</v>
                </pt>
                <pt idx="920">
                  <v>1.096541786442155</v>
                </pt>
                <pt idx="921">
                  <v>1.096789483047915</v>
                </pt>
                <pt idx="922">
                  <v>1.095917352610644</v>
                </pt>
                <pt idx="923">
                  <v>1.096565344187524</v>
                </pt>
                <pt idx="924">
                  <v>1.096848440807215</v>
                </pt>
                <pt idx="925">
                  <v>1.097017294531075</v>
                </pt>
                <pt idx="926">
                  <v>1.097631441379796</v>
                </pt>
                <pt idx="927">
                  <v>1.098175500697574</v>
                </pt>
                <pt idx="928">
                  <v>1.099786890215597</v>
                </pt>
                <pt idx="929">
                  <v>1.100492525704214</v>
                </pt>
                <pt idx="930">
                  <v>1.100874274333686</v>
                </pt>
                <pt idx="931">
                  <v>1.101565806857013</v>
                </pt>
                <pt idx="932">
                  <v>1.102475455421076</v>
                </pt>
                <pt idx="933">
                  <v>1.102248896714987</v>
                </pt>
                <pt idx="934">
                  <v>1.102269288319576</v>
                </pt>
                <pt idx="935">
                  <v>1.101626114189842</v>
                </pt>
                <pt idx="936">
                  <v>1.101215574857954</v>
                </pt>
                <pt idx="937">
                  <v>1.100658604491648</v>
                </pt>
                <pt idx="938">
                  <v>1.100911939413781</v>
                </pt>
                <pt idx="939">
                  <v>1.101250164026279</v>
                </pt>
                <pt idx="940">
                  <v>1.101619878178569</v>
                </pt>
                <pt idx="941">
                  <v>1.102115239917123</v>
                </pt>
                <pt idx="942">
                  <v>1.101787972919492</v>
                </pt>
                <pt idx="943">
                  <v>1.102931445204054</v>
                </pt>
                <pt idx="944">
                  <v>1.102768272624133</v>
                </pt>
                <pt idx="945">
                  <v>1.102384448000356</v>
                </pt>
                <pt idx="946">
                  <v>1.100360776371729</v>
                </pt>
                <pt idx="947">
                  <v>1.100560980901875</v>
                </pt>
                <pt idx="948">
                  <v>1.102079449344136</v>
                </pt>
                <pt idx="949">
                  <v>1.102008671352834</v>
                </pt>
                <pt idx="950">
                  <v>1.095523044208402</v>
                </pt>
                <pt idx="951">
                  <v>1.091467843935482</v>
                </pt>
                <pt idx="952">
                  <v>1.093107167999971</v>
                </pt>
                <pt idx="953">
                  <v>1.095019133893155</v>
                </pt>
                <pt idx="954">
                  <v>1.096190926035213</v>
                </pt>
                <pt idx="955">
                  <v>1.096141841041525</v>
                </pt>
                <pt idx="956">
                  <v>1.094873726724978</v>
                </pt>
                <pt idx="957">
                  <v>1.094758582504717</v>
                </pt>
                <pt idx="958">
                  <v>1.095425777040833</v>
                </pt>
                <pt idx="959">
                  <v>1.095273147715898</v>
                </pt>
                <pt idx="960">
                  <v>1.093421040823111</v>
                </pt>
                <pt idx="961">
                  <v>1.093669125908151</v>
                </pt>
                <pt idx="962">
                  <v>1.092801542494326</v>
                </pt>
                <pt idx="963">
                  <v>1.092545280532611</v>
                </pt>
                <pt idx="964">
                  <v>1.092416299492549</v>
                </pt>
                <pt idx="965">
                  <v>1.092888769542079</v>
                </pt>
                <pt idx="966">
                  <v>1.093525741546594</v>
                </pt>
                <pt idx="967">
                  <v>1.094285134422668</v>
                </pt>
                <pt idx="968">
                  <v>1.094998425949456</v>
                </pt>
                <pt idx="969">
                  <v>1.09562446088287</v>
                </pt>
                <pt idx="970">
                  <v>1.097357799648012</v>
                </pt>
                <pt idx="971">
                  <v>1.09586539304049</v>
                </pt>
                <pt idx="972">
                  <v>1.09712423797004</v>
                </pt>
                <pt idx="973">
                  <v>1.094421472409801</v>
                </pt>
                <pt idx="974">
                  <v>1.09460144394082</v>
                </pt>
                <pt idx="975">
                  <v>1.094587457366814</v>
                </pt>
                <pt idx="976">
                  <v>1.094773233182494</v>
                </pt>
                <pt idx="977">
                  <v>1.09678737264861</v>
                </pt>
                <pt idx="978">
                  <v>1.09509326268629</v>
                </pt>
                <pt idx="979">
                  <v>1.093404203005626</v>
                </pt>
                <pt idx="980">
                  <v>1.095605590134344</v>
                </pt>
                <pt idx="981">
                  <v>1.095150852947461</v>
                </pt>
                <pt idx="982">
                  <v>1.096662526174812</v>
                </pt>
                <pt idx="983">
                  <v>1.097079928117414</v>
                </pt>
                <pt idx="984">
                  <v>1.094412622067736</v>
                </pt>
                <pt idx="985">
                  <v>1.09526431829051</v>
                </pt>
                <pt idx="986">
                  <v>1.095246489821328</v>
                </pt>
                <pt idx="987">
                  <v>1.099830826545557</v>
                </pt>
                <pt idx="988">
                  <v>1.089322248506477</v>
                </pt>
                <pt idx="989">
                  <v>1.089389362860566</v>
                </pt>
                <pt idx="990">
                  <v>1.089676840609098</v>
                </pt>
                <pt idx="991">
                  <v>1.089811899999732</v>
                </pt>
                <pt idx="992">
                  <v>1.089713938018943</v>
                </pt>
                <pt idx="993">
                  <v>1.091179724344905</v>
                </pt>
                <pt idx="994">
                  <v>1.092077401531466</v>
                </pt>
                <pt idx="995">
                  <v>1.093486060037508</v>
                </pt>
                <pt idx="996">
                  <v>1.091654410137719</v>
                </pt>
                <pt idx="997">
                  <v>1.088658849788834</v>
                </pt>
                <pt idx="998">
                  <v>1.089114997846896</v>
                </pt>
                <pt idx="999">
                  <v>1.088445555161552</v>
                </pt>
                <pt idx="1000">
                  <v>1.087400405551807</v>
                </pt>
                <pt idx="1001">
                  <v>1.08973692696767</v>
                </pt>
                <pt idx="1002">
                  <v>1.088095359369074</v>
                </pt>
                <pt idx="1003">
                  <v>1.088661410754915</v>
                </pt>
                <pt idx="1004">
                  <v>1.088345336058659</v>
                </pt>
                <pt idx="1005">
                  <v>1.088338745523013</v>
                </pt>
                <pt idx="1006">
                  <v>1.089685322867543</v>
                </pt>
                <pt idx="1007">
                  <v>1.088738931164632</v>
                </pt>
                <pt idx="1008">
                  <v>1.089342697387459</v>
                </pt>
                <pt idx="1009">
                  <v>1.088993442014869</v>
                </pt>
                <pt idx="1010">
                  <v>1.08983184596595</v>
                </pt>
                <pt idx="1011">
                  <v>1.090370707267566</v>
                </pt>
                <pt idx="1012">
                  <v>1.091135602318714</v>
                </pt>
                <pt idx="1013">
                  <v>1.092076767394358</v>
                </pt>
                <pt idx="1014">
                  <v>1.094218511948013</v>
                </pt>
                <pt idx="1015">
                  <v>1.095425556546527</v>
                </pt>
                <pt idx="1016">
                  <v>1.096367135669354</v>
                </pt>
                <pt idx="1017">
                  <v>1.096787957921595</v>
                </pt>
                <pt idx="1018">
                  <v>1.097231364919917</v>
                </pt>
                <pt idx="1019">
                  <v>1.096717190110855</v>
                </pt>
                <pt idx="1020">
                  <v>1.095178191249466</v>
                </pt>
                <pt idx="1021">
                  <v>1.095726327934186</v>
                </pt>
                <pt idx="1022">
                  <v>1.096851030136126</v>
                </pt>
                <pt idx="1023">
                  <v>1.096830616519732</v>
                </pt>
                <pt idx="1024">
                  <v>1.097160335990065</v>
                </pt>
                <pt idx="1025">
                  <v>1.097463883683022</v>
                </pt>
                <pt idx="1026">
                  <v>1.096488969933017</v>
                </pt>
                <pt idx="1027">
                  <v>1.097337835143907</v>
                </pt>
                <pt idx="1028">
                  <v>1.097745922892154</v>
                </pt>
                <pt idx="1029">
                  <v>1.098531908972945</v>
                </pt>
                <pt idx="1030">
                  <v>1.09835870710863</v>
                </pt>
                <pt idx="1031">
                  <v>1.098675095436205</v>
                </pt>
                <pt idx="1032">
                  <v>1.098627180994543</v>
                </pt>
                <pt idx="1033">
                  <v>1.099444742721734</v>
                </pt>
                <pt idx="1034">
                  <v>1.100469730623268</v>
                </pt>
                <pt idx="1035">
                  <v>1.099950920282486</v>
                </pt>
                <pt idx="1036">
                  <v>1.100134734302942</v>
                </pt>
                <pt idx="1037">
                  <v>1.100450900801861</v>
                </pt>
                <pt idx="1038">
                  <v>1.100308392410208</v>
                </pt>
                <pt idx="1039">
                  <v>1.101037407848423</v>
                </pt>
                <pt idx="1040">
                  <v>1.101250336249352</v>
                </pt>
                <pt idx="1041">
                  <v>1.101437548806515</v>
                </pt>
                <pt idx="1042">
                  <v>1.101901498778462</v>
                </pt>
                <pt idx="1043">
                  <v>1.102467508848334</v>
                </pt>
                <pt idx="1044">
                  <v>1.102993998332005</v>
                </pt>
                <pt idx="1045">
                  <v>1.103026659209844</v>
                </pt>
                <pt idx="1046">
                  <v>1.10368951695277</v>
                </pt>
                <pt idx="1047">
                  <v>1.103171641304982</v>
                </pt>
                <pt idx="1048">
                  <v>1.103619406416726</v>
                </pt>
                <pt idx="1049">
                  <v>1.104260364043097</v>
                </pt>
                <pt idx="1050">
                  <v>1.104294473418786</v>
                </pt>
                <pt idx="1051">
                  <v>1.103962878328295</v>
                </pt>
                <pt idx="1052">
                  <v>1.105071563714492</v>
                </pt>
                <pt idx="1053">
                  <v>1.104425465206907</v>
                </pt>
                <pt idx="1054">
                  <v>1.104913498548588</v>
                </pt>
                <pt idx="1055">
                  <v>1.105238281733078</v>
                </pt>
                <pt idx="1056">
                  <v>1.105801400637621</v>
                </pt>
                <pt idx="1057">
                  <v>1.105638847831727</v>
                </pt>
                <pt idx="1058">
                  <v>1.105599659077009</v>
                </pt>
                <pt idx="1059">
                  <v>1.105191447113997</v>
                </pt>
                <pt idx="1060">
                  <v>1.10451261396737</v>
                </pt>
                <pt idx="1061">
                  <v>1.103889668853092</v>
                </pt>
                <pt idx="1062">
                  <v>1.098572968244673</v>
                </pt>
                <pt idx="1063">
                  <v>1.099930194115107</v>
                </pt>
                <pt idx="1064">
                  <v>1.101329122000323</v>
                </pt>
                <pt idx="1065">
                  <v>1.102137008096261</v>
                </pt>
                <pt idx="1066">
                  <v>1.102268958388064</v>
                </pt>
                <pt idx="1067">
                  <v>1.103642814170366</v>
                </pt>
                <pt idx="1068">
                  <v>1.102309429710379</v>
                </pt>
                <pt idx="1069">
                  <v>1.10339734787809</v>
                </pt>
                <pt idx="1070">
                  <v>1.103474340493031</v>
                </pt>
                <pt idx="1071">
                  <v>1.103979180003807</v>
                </pt>
                <pt idx="1072">
                  <v>1.104382193736685</v>
                </pt>
                <pt idx="1073">
                  <v>1.105203363252294</v>
                </pt>
                <pt idx="1074">
                  <v>1.105442209979131</v>
                </pt>
                <pt idx="1075">
                  <v>1.106137840196488</v>
                </pt>
                <pt idx="1076">
                  <v>1.106132493863594</v>
                </pt>
                <pt idx="1077">
                  <v>1.106255643281244</v>
                </pt>
                <pt idx="1078">
                  <v>1.107355937435781</v>
                </pt>
                <pt idx="1079">
                  <v>1.107467657345913</v>
                </pt>
                <pt idx="1080">
                  <v>1.10784794943425</v>
                </pt>
                <pt idx="1081">
                  <v>1.108706900877711</v>
                </pt>
                <pt idx="1082">
                  <v>1.109497100923898</v>
                </pt>
                <pt idx="1083">
                  <v>1.10850385446366</v>
                </pt>
                <pt idx="1084">
                  <v>1.109076519871585</v>
                </pt>
                <pt idx="1085">
                  <v>1.109597169682303</v>
                </pt>
                <pt idx="1086">
                  <v>1.109799979387206</v>
                </pt>
                <pt idx="1087">
                  <v>1.110563398461915</v>
                </pt>
                <pt idx="1088">
                  <v>1.110495592396642</v>
                </pt>
                <pt idx="1089">
                  <v>1.109876429409682</v>
                </pt>
                <pt idx="1090">
                  <v>1.110227890278995</v>
                </pt>
                <pt idx="1091">
                  <v>1.109387817842017</v>
                </pt>
                <pt idx="1092">
                  <v>1.109966178691052</v>
                </pt>
                <pt idx="1093">
                  <v>1.105282059752188</v>
                </pt>
                <pt idx="1094">
                  <v>1.106899762855753</v>
                </pt>
                <pt idx="1095">
                  <v>1.108593503976216</v>
                </pt>
                <pt idx="1096">
                  <v>1.111291758976366</v>
                </pt>
                <pt idx="1097">
                  <v>1.107479657812491</v>
                </pt>
                <pt idx="1098">
                  <v>1.109649333515441</v>
                </pt>
                <pt idx="1099">
                  <v>1.111340562394089</v>
                </pt>
                <pt idx="1100">
                  <v>1.111794668496112</v>
                </pt>
                <pt idx="1101">
                  <v>1.111973482138628</v>
                </pt>
                <pt idx="1102">
                  <v>1.112257653139619</v>
                </pt>
                <pt idx="1103">
                  <v>1.113389375301688</v>
                </pt>
                <pt idx="1104">
                  <v>1.113808751966385</v>
                </pt>
                <pt idx="1105">
                  <v>1.110592381682026</v>
                </pt>
                <pt idx="1106">
                  <v>1.111779296440161</v>
                </pt>
                <pt idx="1107">
                  <v>1.11089895253393</v>
                </pt>
                <pt idx="1108">
                  <v>1.11130745476542</v>
                </pt>
                <pt idx="1109">
                  <v>1.111769203012875</v>
                </pt>
                <pt idx="1110">
                  <v>1.110980155703514</v>
                </pt>
                <pt idx="1111">
                  <v>1.110652293115342</v>
                </pt>
                <pt idx="1112">
                  <v>1.109916547674058</v>
                </pt>
                <pt idx="1113">
                  <v>1.109587334093612</v>
                </pt>
                <pt idx="1114">
                  <v>1.109940984234484</v>
                </pt>
                <pt idx="1115">
                  <v>1.109839054654099</v>
                </pt>
                <pt idx="1116">
                  <v>1.111554680859418</v>
                </pt>
                <pt idx="1117">
                  <v>1.111760688993604</v>
                </pt>
                <pt idx="1118">
                  <v>1.111927576625918</v>
                </pt>
                <pt idx="1119">
                  <v>1.112228353035396</v>
                </pt>
                <pt idx="1120">
                  <v>1.112953340550183</v>
                </pt>
                <pt idx="1121">
                  <v>1.114222478342857</v>
                </pt>
                <pt idx="1122">
                  <v>1.112672780579228</v>
                </pt>
                <pt idx="1123">
                  <v>1.11329970987593</v>
                </pt>
                <pt idx="1124">
                  <v>1.111745110531056</v>
                </pt>
                <pt idx="1125">
                  <v>1.111320918007771</v>
                </pt>
                <pt idx="1126">
                  <v>1.111970546824398</v>
                </pt>
                <pt idx="1127">
                  <v>1.111860894173253</v>
                </pt>
                <pt idx="1128">
                  <v>1.112015689917742</v>
                </pt>
                <pt idx="1129">
                  <v>1.112666157317694</v>
                </pt>
                <pt idx="1130">
                  <v>1.112563668401648</v>
                </pt>
                <pt idx="1131">
                  <v>1.115168550803932</v>
                </pt>
                <pt idx="1132">
                  <v>1.115591633361346</v>
                </pt>
                <pt idx="1133">
                  <v>1.114770062100688</v>
                </pt>
                <pt idx="1134">
                  <v>1.116068149906334</v>
                </pt>
                <pt idx="1135">
                  <v>1.117344435839538</v>
                </pt>
                <pt idx="1136">
                  <v>1.118025146899728</v>
                </pt>
                <pt idx="1137">
                  <v>1.118308379936943</v>
                </pt>
                <pt idx="1138">
                  <v>1.118795838134109</v>
                </pt>
                <pt idx="1139">
                  <v>1.118524716609334</v>
                </pt>
                <pt idx="1140">
                  <v>1.119196639262706</v>
                </pt>
                <pt idx="1141">
                  <v>1.119339025946257</v>
                </pt>
                <pt idx="1142">
                  <v>1.118393868509848</v>
                </pt>
                <pt idx="1143">
                  <v>1.118056051428565</v>
                </pt>
                <pt idx="1144">
                  <v>1.118375442773923</v>
                </pt>
                <pt idx="1145">
                  <v>1.119716437061778</v>
                </pt>
                <pt idx="1146">
                  <v>1.119618959525285</v>
                </pt>
                <pt idx="1147">
                  <v>1.119607825536743</v>
                </pt>
                <pt idx="1148">
                  <v>1.119559931201984</v>
                </pt>
                <pt idx="1149">
                  <v>1.120081272943281</v>
                </pt>
                <pt idx="1150">
                  <v>1.120663279618049</v>
                </pt>
                <pt idx="1151">
                  <v>1.119615148156251</v>
                </pt>
                <pt idx="1152">
                  <v>1.120231745098677</v>
                </pt>
                <pt idx="1153">
                  <v>1.11610611828677</v>
                </pt>
                <pt idx="1154">
                  <v>1.117118488541951</v>
                </pt>
                <pt idx="1155">
                  <v>1.113294405769257</v>
                </pt>
                <pt idx="1156">
                  <v>1.115402861674406</v>
                </pt>
                <pt idx="1157">
                  <v>1.114540717229157</v>
                </pt>
                <pt idx="1158">
                  <v>1.115533091899992</v>
                </pt>
                <pt idx="1159">
                  <v>1.116206749939379</v>
                </pt>
                <pt idx="1160">
                  <v>1.113523947015899</v>
                </pt>
                <pt idx="1161">
                  <v>1.115110100015982</v>
                </pt>
                <pt idx="1162">
                  <v>1.108485540664593</v>
                </pt>
                <pt idx="1163">
                  <v>1.109168121427522</v>
                </pt>
                <pt idx="1164">
                  <v>1.11135712633561</v>
                </pt>
                <pt idx="1165">
                  <v>1.113955664523171</v>
                </pt>
                <pt idx="1166">
                  <v>1.114181983182346</v>
                </pt>
                <pt idx="1167">
                  <v>1.115144574516817</v>
                </pt>
                <pt idx="1168">
                  <v>1.114878116915984</v>
                </pt>
                <pt idx="1169">
                  <v>1.108242300426427</v>
                </pt>
                <pt idx="1170">
                  <v>1.110214540738069</v>
                </pt>
                <pt idx="1171">
                  <v>1.110776741045781</v>
                </pt>
                <pt idx="1172">
                  <v>1.111685294710138</v>
                </pt>
                <pt idx="1173">
                  <v>1.112392079516397</v>
                </pt>
                <pt idx="1174">
                  <v>1.112743533613964</v>
                </pt>
                <pt idx="1175">
                  <v>1.113904990586716</v>
                </pt>
                <pt idx="1176">
                  <v>1.114157537601527</v>
                </pt>
                <pt idx="1177">
                  <v>1.112183931318948</v>
                </pt>
                <pt idx="1178">
                  <v>1.1133085346375</v>
                </pt>
                <pt idx="1179">
                  <v>1.113375456850526</v>
                </pt>
                <pt idx="1180">
                  <v>1.113136019273111</v>
                </pt>
                <pt idx="1181">
                  <v>1.113534336445341</v>
                </pt>
                <pt idx="1182">
                  <v>1.113494558524323</v>
                </pt>
                <pt idx="1183">
                  <v>1.112874280194416</v>
                </pt>
                <pt idx="1184">
                  <v>1.111904410259226</v>
                </pt>
                <pt idx="1185">
                  <v>1.112283322573256</v>
                </pt>
                <pt idx="1186">
                  <v>1.113386336868141</v>
                </pt>
                <pt idx="1187">
                  <v>1.114305622853615</v>
                </pt>
                <pt idx="1188">
                  <v>1.114329332801035</v>
                </pt>
                <pt idx="1189">
                  <v>1.1160681199105</v>
                </pt>
                <pt idx="1190">
                  <v>1.114171796167204</v>
                </pt>
                <pt idx="1191">
                  <v>1.114768930351516</v>
                </pt>
                <pt idx="1192">
                  <v>1.11425669402802</v>
                </pt>
                <pt idx="1193">
                  <v>1.114090112652262</v>
                </pt>
                <pt idx="1194">
                  <v>1.117097908380843</v>
                </pt>
                <pt idx="1195">
                  <v>1.115076830020602</v>
                </pt>
                <pt idx="1196">
                  <v>1.112217711079717</v>
                </pt>
                <pt idx="1197">
                  <v>1.1137842079359</v>
                </pt>
                <pt idx="1198">
                  <v>1.115824165589635</v>
                </pt>
                <pt idx="1199">
                  <v>1.11709155587105</v>
                </pt>
                <pt idx="1200">
                  <v>1.113860120303125</v>
                </pt>
                <pt idx="1201">
                  <v>1.117348235150972</v>
                </pt>
                <pt idx="1202">
                  <v>1.117320053145486</v>
                </pt>
                <pt idx="1203">
                  <v>1.116048542925006</v>
                </pt>
                <pt idx="1204">
                  <v>1.119261894690875</v>
                </pt>
                <pt idx="1205">
                  <v>1.120396515346009</v>
                </pt>
                <pt idx="1206">
                  <v>1.120869447163987</v>
                </pt>
                <pt idx="1207">
                  <v>1.121856497253264</v>
                </pt>
                <pt idx="1208">
                  <v>1.122127924200239</v>
                </pt>
                <pt idx="1209">
                  <v>1.123263392978649</v>
                </pt>
                <pt idx="1210">
                  <v>1.123366109175584</v>
                </pt>
                <pt idx="1211">
                  <v>1.124605993313973</v>
                </pt>
                <pt idx="1212">
                  <v>1.125035780237751</v>
                </pt>
                <pt idx="1213">
                  <v>1.125574172360583</v>
                </pt>
                <pt idx="1214">
                  <v>1.12597581474442</v>
                </pt>
                <pt idx="1215">
                  <v>1.126279202672282</v>
                </pt>
                <pt idx="1216">
                  <v>1.126541625726504</v>
                </pt>
                <pt idx="1217">
                  <v>1.126612910777154</v>
                </pt>
                <pt idx="1218">
                  <v>1.12707438394333</v>
                </pt>
                <pt idx="1219">
                  <v>1.126707208155139</v>
                </pt>
                <pt idx="1220">
                  <v>1.125901737690997</v>
                </pt>
                <pt idx="1221">
                  <v>1.126438792819876</v>
                </pt>
                <pt idx="1222">
                  <v>1.124954209070872</v>
                </pt>
                <pt idx="1223">
                  <v>1.125254071865046</v>
                </pt>
                <pt idx="1224">
                  <v>1.127030723016291</v>
                </pt>
                <pt idx="1225">
                  <v>1.127611707354005</v>
                </pt>
                <pt idx="1226">
                  <v>1.127597361627284</v>
                </pt>
                <pt idx="1227">
                  <v>1.127426405338402</v>
                </pt>
                <pt idx="1228">
                  <v>1.129424267563462</v>
                </pt>
                <pt idx="1229">
                  <v>1.130165358120361</v>
                </pt>
                <pt idx="1230">
                  <v>1.130428686648803</v>
                </pt>
                <pt idx="1231">
                  <v>1.129406590711292</v>
                </pt>
                <pt idx="1232">
                  <v>1.130581801013737</v>
                </pt>
                <pt idx="1233">
                  <v>1.132298526668477</v>
                </pt>
                <pt idx="1234">
                  <v>1.132181522487387</v>
                </pt>
                <pt idx="1235">
                  <v>1.132432111997698</v>
                </pt>
                <pt idx="1236">
                  <v>1.132697289850591</v>
                </pt>
                <pt idx="1237">
                  <v>1.132677404720391</v>
                </pt>
                <pt idx="1238">
                  <v>1.132306767502958</v>
                </pt>
                <pt idx="1239">
                  <v>1.131447409572355</v>
                </pt>
                <pt idx="1240">
                  <v>1.131897851357743</v>
                </pt>
                <pt idx="1241">
                  <v>1.132461284954863</v>
                </pt>
                <pt idx="1242">
                  <v>1.13240233405353</v>
                </pt>
                <pt idx="1243">
                  <v>1.132995461231611</v>
                </pt>
                <pt idx="1244">
                  <v>1.133737384426141</v>
                </pt>
                <pt idx="1245">
                  <v>1.133769381014546</v>
                </pt>
                <pt idx="1246">
                  <v>1.132251893685246</v>
                </pt>
                <pt idx="1247">
                  <v>1.133771690240986</v>
                </pt>
                <pt idx="1248">
                  <v>1.133987736735293</v>
                </pt>
                <pt idx="1249">
                  <v>1.135404906409619</v>
                </pt>
                <pt idx="1250">
                  <v>1.135843803483996</v>
                </pt>
                <pt idx="1251">
                  <v>1.136428826145224</v>
                </pt>
                <pt idx="1252">
                  <v>1.135447582988783</v>
                </pt>
                <pt idx="1253">
                  <v>1.136066780404039</v>
                </pt>
                <pt idx="1254">
                  <v>1.135710749698025</v>
                </pt>
                <pt idx="1255">
                  <v>1.135913663351971</v>
                </pt>
                <pt idx="1256">
                  <v>1.135860275409793</v>
                </pt>
                <pt idx="1257">
                  <v>1.135764421423219</v>
                </pt>
                <pt idx="1258">
                  <v>1.136126288587489</v>
                </pt>
                <pt idx="1259">
                  <v>1.134098240044233</v>
                </pt>
                <pt idx="1260">
                  <v>1.136147303542161</v>
                </pt>
                <pt idx="1261">
                  <v>1.139173368765851</v>
                </pt>
                <pt idx="1262">
                  <v>1.14036089371538</v>
                </pt>
                <pt idx="1263">
                  <v>1.140665116660471</v>
                </pt>
                <pt idx="1264">
                  <v>1.141619409771126</v>
                </pt>
                <pt idx="1265">
                  <v>1.141876020445122</v>
                </pt>
                <pt idx="1266">
                  <v>1.143096368723194</v>
                </pt>
                <pt idx="1267">
                  <v>1.143726151317007</v>
                </pt>
                <pt idx="1268">
                  <v>1.14358420219356</v>
                </pt>
                <pt idx="1269">
                  <v>1.143568446144552</v>
                </pt>
                <pt idx="1270">
                  <v>1.144068757339741</v>
                </pt>
                <pt idx="1271">
                  <v>1.143391341516645</v>
                </pt>
                <pt idx="1272">
                  <v>1.143657942264442</v>
                </pt>
                <pt idx="1273">
                  <v>1.143524134285197</v>
                </pt>
                <pt idx="1274">
                  <v>1.141510769459432</v>
                </pt>
                <pt idx="1275">
                  <v>1.139283428279157</v>
                </pt>
                <pt idx="1276">
                  <v>1.13902601351789</v>
                </pt>
                <pt idx="1277">
                  <v>1.140319124439347</v>
                </pt>
                <pt idx="1278">
                  <v>1.140400720607807</v>
                </pt>
                <pt idx="1279">
                  <v>1.137443914961653</v>
                </pt>
                <pt idx="1280">
                  <v>1.138565055513834</v>
                </pt>
                <pt idx="1281">
                  <v>1.137876666430547</v>
                </pt>
                <pt idx="1282">
                  <v>1.137040643157573</v>
                </pt>
                <pt idx="1283">
                  <v>1.137823495640387</v>
                </pt>
                <pt idx="1284">
                  <v>1.138529831181514</v>
                </pt>
                <pt idx="1285">
                  <v>1.139459820298617</v>
                </pt>
                <pt idx="1286">
                  <v>1.139557117506606</v>
                </pt>
                <pt idx="1287">
                  <v>1.140598609403278</v>
                </pt>
                <pt idx="1288">
                  <v>1.140075835040635</v>
                </pt>
                <pt idx="1289">
                  <v>1.141592579264064</v>
                </pt>
                <pt idx="1290">
                  <v>1.141833138189239</v>
                </pt>
                <pt idx="1291">
                  <v>1.142331611789233</v>
                </pt>
                <pt idx="1292">
                  <v>1.141584019212184</v>
                </pt>
                <pt idx="1293">
                  <v>1.138902882300396</v>
                </pt>
                <pt idx="1294">
                  <v>1.130277084959382</v>
                </pt>
                <pt idx="1295">
                  <v>1.124363538044046</v>
                </pt>
                <pt idx="1296">
                  <v>1.125168207549439</v>
                </pt>
                <pt idx="1297">
                  <v>1.121505534996486</v>
                </pt>
                <pt idx="1298">
                  <v>1.115398251993937</v>
                </pt>
                <pt idx="1299">
                  <v>1.118574596382768</v>
                </pt>
                <pt idx="1300">
                  <v>1.117513752664165</v>
                </pt>
                <pt idx="1301">
                  <v>1.118126460621112</v>
                </pt>
                <pt idx="1302">
                  <v>1.116457097815405</v>
                </pt>
                <pt idx="1303">
                  <v>1.113307076139313</v>
                </pt>
                <pt idx="1304">
                  <v>1.102538737146142</v>
                </pt>
                <pt idx="1305">
                  <v>1.105238732009109</v>
                </pt>
                <pt idx="1306">
                  <v>1.096663982915423</v>
                </pt>
                <pt idx="1307">
                  <v>1.071034762857359</v>
                </pt>
                <pt idx="1308">
                  <v>1.078740441462599</v>
                </pt>
                <pt idx="1309">
                  <v>1.064970020077207</v>
                </pt>
                <pt idx="1310">
                  <v>1.071159803328898</v>
                </pt>
                <pt idx="1311">
                  <v>1.058581887864943</v>
                </pt>
                <pt idx="1312">
                  <v>1.064496067252235</v>
                </pt>
                <pt idx="1313">
                  <v>1.066825776034086</v>
                </pt>
                <pt idx="1314">
                  <v>1.067016382239405</v>
                </pt>
                <pt idx="1315">
                  <v>1.06812957671952</v>
                </pt>
                <pt idx="1316">
                  <v>1.066840581682548</v>
                </pt>
                <pt idx="1317">
                  <v>1.068531109122066</v>
                </pt>
                <pt idx="1318">
                  <v>1.068747902211539</v>
                </pt>
                <pt idx="1319">
                  <v>1.074098351084427</v>
                </pt>
                <pt idx="1320">
                  <v>1.076121833033609</v>
                </pt>
                <pt idx="1321">
                  <v>1.075162709557645</v>
                </pt>
                <pt idx="1322">
                  <v>1.075954029311879</v>
                </pt>
                <pt idx="1323">
                  <v>1.076751669898942</v>
                </pt>
                <pt idx="1324">
                  <v>1.076695798451182</v>
                </pt>
                <pt idx="1325">
                  <v>1.07553637652555</v>
                </pt>
                <pt idx="1326">
                  <v>1.077689779607417</v>
                </pt>
                <pt idx="1327">
                  <v>1.071613405400064</v>
                </pt>
                <pt idx="1328">
                  <v>1.077901454260717</v>
                </pt>
                <pt idx="1329">
                  <v>1.080343859189244</v>
                </pt>
                <pt idx="1330">
                  <v>1.077854506861259</v>
                </pt>
                <pt idx="1331">
                  <v>1.079348652730992</v>
                </pt>
                <pt idx="1332">
                  <v>1.07740528548175</v>
                </pt>
                <pt idx="1333">
                  <v>1.077795665330189</v>
                </pt>
                <pt idx="1334">
                  <v>1.077559149059186</v>
                </pt>
                <pt idx="1335">
                  <v>1.080906526691342</v>
                </pt>
                <pt idx="1336">
                  <v>1.085271467447572</v>
                </pt>
                <pt idx="1337">
                  <v>1.089982872059199</v>
                </pt>
                <pt idx="1338">
                  <v>1.093601554639831</v>
                </pt>
                <pt idx="1339">
                  <v>1.093549304787776</v>
                </pt>
                <pt idx="1340">
                  <v>1.092102174541107</v>
                </pt>
                <pt idx="1341">
                  <v>1.092063829620312</v>
                </pt>
                <pt idx="1342">
                  <v>1.091022668099195</v>
                </pt>
                <pt idx="1343">
                  <v>1.095917420074881</v>
                </pt>
                <pt idx="1344">
                  <v>1.098142254206235</v>
                </pt>
                <pt idx="1345">
                  <v>1.098915712400615</v>
                </pt>
                <pt idx="1346">
                  <v>1.09922053940906</v>
                </pt>
                <pt idx="1347">
                  <v>1.098724363471132</v>
                </pt>
                <pt idx="1348">
                  <v>1.103049186726724</v>
                </pt>
                <pt idx="1349">
                  <v>1.104131216698393</v>
                </pt>
                <pt idx="1350">
                  <v>1.098649082526239</v>
                </pt>
                <pt idx="1351">
                  <v>1.098690220830774</v>
                </pt>
                <pt idx="1352">
                  <v>1.099651269582273</v>
                </pt>
                <pt idx="1353">
                  <v>1.09301560727119</v>
                </pt>
                <pt idx="1354">
                  <v>1.093652349585515</v>
                </pt>
                <pt idx="1355">
                  <v>1.094333573482379</v>
                </pt>
                <pt idx="1356">
                  <v>1.096058607972045</v>
                </pt>
                <pt idx="1357">
                  <v>1.09952556313335</v>
                </pt>
                <pt idx="1358">
                  <v>1.098127455295073</v>
                </pt>
                <pt idx="1359">
                  <v>1.097419651143054</v>
                </pt>
                <pt idx="1360">
                  <v>1.097103838154558</v>
                </pt>
                <pt idx="1361">
                  <v>1.098423775972285</v>
                </pt>
                <pt idx="1362">
                  <v>1.099167347845075</v>
                </pt>
                <pt idx="1363">
                  <v>1.100105975695282</v>
                </pt>
                <pt idx="1364">
                  <v>1.09778542437355</v>
                </pt>
                <pt idx="1365">
                  <v>1.098269974662252</v>
                </pt>
                <pt idx="1366">
                  <v>1.09408684737376</v>
                </pt>
                <pt idx="1367">
                  <v>1.093914528695298</v>
                </pt>
                <pt idx="1368">
                  <v>1.09311414789847</v>
                </pt>
                <pt idx="1369">
                  <v>1.092208927926882</v>
                </pt>
                <pt idx="1370">
                  <v>1.07162898120242</v>
                </pt>
                <pt idx="1371">
                  <v>1.073530944039224</v>
                </pt>
                <pt idx="1372">
                  <v>1.076558778426279</v>
                </pt>
                <pt idx="1373">
                  <v>1.076573252160966</v>
                </pt>
                <pt idx="1374">
                  <v>1.078013886601233</v>
                </pt>
                <pt idx="1375">
                  <v>1.081747887145778</v>
                </pt>
                <pt idx="1376">
                  <v>1.084053993349859</v>
                </pt>
                <pt idx="1377">
                  <v>1.087118613989059</v>
                </pt>
                <pt idx="1378">
                  <v>1.089111483594936</v>
                </pt>
                <pt idx="1379">
                  <v>1.08644642779458</v>
                </pt>
                <pt idx="1380">
                  <v>1.088645516080705</v>
                </pt>
                <pt idx="1381">
                  <v>1.087067766326372</v>
                </pt>
                <pt idx="1382">
                  <v>1.091338493224346</v>
                </pt>
                <pt idx="1383">
                  <v>1.092772693894192</v>
                </pt>
                <pt idx="1384">
                  <v>1.094001334659694</v>
                </pt>
                <pt idx="1385">
                  <v>1.096060305949375</v>
                </pt>
                <pt idx="1386">
                  <v>1.098389860345192</v>
                </pt>
                <pt idx="1387">
                  <v>1.098688683408865</v>
                </pt>
                <pt idx="1388">
                  <v>1.098787870581672</v>
                </pt>
                <pt idx="1389">
                  <v>1.098905807146448</v>
                </pt>
                <pt idx="1390">
                  <v>1.099452024382922</v>
                </pt>
                <pt idx="1391">
                  <v>1.098549129948232</v>
                </pt>
                <pt idx="1392">
                  <v>1.099119154885661</v>
                </pt>
                <pt idx="1393">
                  <v>1.098971628670205</v>
                </pt>
                <pt idx="1394">
                  <v>1.101955336642044</v>
                </pt>
                <pt idx="1395">
                  <v>1.104941084626676</v>
                </pt>
                <pt idx="1396">
                  <v>1.107464585907116</v>
                </pt>
                <pt idx="1397">
                  <v>1.105520554878177</v>
                </pt>
                <pt idx="1398">
                  <v>1.105757013441303</v>
                </pt>
                <pt idx="1399">
                  <v>1.106268057474349</v>
                </pt>
                <pt idx="1400">
                  <v>1.107729990712301</v>
                </pt>
                <pt idx="1401">
                  <v>1.109612023966521</v>
                </pt>
                <pt idx="1402">
                  <v>1.110952003775685</v>
                </pt>
                <pt idx="1403">
                  <v>1.111458597889407</v>
                </pt>
                <pt idx="1404">
                  <v>1.111062609890059</v>
                </pt>
                <pt idx="1405">
                  <v>1.113212824668699</v>
                </pt>
                <pt idx="1406">
                  <v>1.113599356899487</v>
                </pt>
                <pt idx="1407">
                  <v>1.113725812293126</v>
                </pt>
                <pt idx="1408">
                  <v>1.11272908956478</v>
                </pt>
                <pt idx="1409">
                  <v>1.111785000750567</v>
                </pt>
                <pt idx="1410">
                  <v>1.110827753864921</v>
                </pt>
                <pt idx="1411">
                  <v>1.112001590237491</v>
                </pt>
                <pt idx="1412">
                  <v>1.106250379790649</v>
                </pt>
                <pt idx="1413">
                  <v>1.10822067317541</v>
                </pt>
                <pt idx="1414">
                  <v>1.10858712481134</v>
                </pt>
                <pt idx="1415">
                  <v>1.11036671508753</v>
                </pt>
                <pt idx="1416">
                  <v>1.112866458998391</v>
                </pt>
                <pt idx="1417">
                  <v>1.115704268468837</v>
                </pt>
                <pt idx="1418">
                  <v>1.11518298664118</v>
                </pt>
                <pt idx="1419">
                  <v>1.116739410362869</v>
                </pt>
                <pt idx="1420">
                  <v>1.117981286628271</v>
                </pt>
                <pt idx="1421">
                  <v>1.119360192325184</v>
                </pt>
                <pt idx="1422">
                  <v>1.120140075445848</v>
                </pt>
                <pt idx="1423">
                  <v>1.118589054821381</v>
                </pt>
                <pt idx="1424">
                  <v>1.118880322982489</v>
                </pt>
                <pt idx="1425">
                  <v>1.120852598191817</v>
                </pt>
                <pt idx="1426">
                  <v>1.122578213036322</v>
                </pt>
                <pt idx="1427">
                  <v>1.123106198989187</v>
                </pt>
                <pt idx="1428">
                  <v>1.122199540312659</v>
                </pt>
                <pt idx="1429">
                  <v>1.116322144909109</v>
                </pt>
                <pt idx="1430">
                  <v>1.119572937012981</v>
                </pt>
                <pt idx="1431">
                  <v>1.124378268455634</v>
                </pt>
                <pt idx="1432">
                  <v>1.128771714074165</v>
                </pt>
                <pt idx="1433">
                  <v>1.129912964986634</v>
                </pt>
                <pt idx="1434">
                  <v>1.133013383389614</v>
                </pt>
                <pt idx="1435">
                  <v>1.135121606570163</v>
                </pt>
                <pt idx="1436">
                  <v>1.136387582473046</v>
                </pt>
                <pt idx="1437">
                  <v>1.137144984796764</v>
                </pt>
                <pt idx="1438">
                  <v>1.138086667193619</v>
                </pt>
                <pt idx="1439">
                  <v>1.140082175710468</v>
                </pt>
                <pt idx="1440">
                  <v>1.133984319517884</v>
                </pt>
                <pt idx="1441">
                  <v>1.135064502581353</v>
                </pt>
                <pt idx="1442">
                  <v>1.131950137822826</v>
                </pt>
                <pt idx="1443">
                  <v>1.133170065640805</v>
                </pt>
                <pt idx="1444">
                  <v>1.134882285609989</v>
                </pt>
                <pt idx="1445">
                  <v>1.135526331307072</v>
                </pt>
                <pt idx="1446">
                  <v>1.136098762747644</v>
                </pt>
                <pt idx="1447">
                  <v>1.136777771108179</v>
                </pt>
                <pt idx="1448">
                  <v>1.137444680733896</v>
                </pt>
                <pt idx="1449">
                  <v>1.138243293282514</v>
                </pt>
                <pt idx="1450">
                  <v>1.140105332838847</v>
                </pt>
                <pt idx="1451">
                  <v>1.140338864414523</v>
                </pt>
                <pt idx="1452">
                  <v>1.139070680892976</v>
                </pt>
                <pt idx="1453">
                  <v>1.140628170203984</v>
                </pt>
                <pt idx="1454">
                  <v>1.141449612591226</v>
                </pt>
                <pt idx="1455">
                  <v>1.142891390279663</v>
                </pt>
                <pt idx="1456">
                  <v>1.1428557066707</v>
                </pt>
                <pt idx="1457">
                  <v>1.143790308670822</v>
                </pt>
                <pt idx="1458">
                  <v>1.144361250666567</v>
                </pt>
                <pt idx="1459">
                  <v>1.146388359470873</v>
                </pt>
                <pt idx="1460">
                  <v>1.147607989308865</v>
                </pt>
                <pt idx="1461">
                  <v>1.147425200858568</v>
                </pt>
                <pt idx="1462">
                  <v>1.147853317950178</v>
                </pt>
                <pt idx="1463">
                  <v>1.14913432225301</v>
                </pt>
                <pt idx="1464">
                  <v>1.15190654496465</v>
                </pt>
                <pt idx="1465">
                  <v>1.148128547476398</v>
                </pt>
                <pt idx="1466">
                  <v>1.15068523839687</v>
                </pt>
                <pt idx="1467">
                  <v>1.141771710905459</v>
                </pt>
                <pt idx="1468">
                  <v>1.144253224855588</v>
                </pt>
                <pt idx="1469">
                  <v>1.143582946744317</v>
                </pt>
                <pt idx="1470">
                  <v>1.150873097432654</v>
                </pt>
                <pt idx="1471">
                  <v>1.150749570386863</v>
                </pt>
                <pt idx="1472">
                  <v>1.160228166737076</v>
                </pt>
                <pt idx="1473">
                  <v>1.15645890770895</v>
                </pt>
                <pt idx="1474">
                  <v>1.159646044210878</v>
                </pt>
                <pt idx="1475">
                  <v>1.149604540264496</v>
                </pt>
                <pt idx="1476">
                  <v>1.14986294581838</v>
                </pt>
                <pt idx="1477">
                  <v>1.152541551550664</v>
                </pt>
                <pt idx="1478">
                  <v>1.15055239289286</v>
                </pt>
                <pt idx="1479">
                  <v>1.150936485633354</v>
                </pt>
                <pt idx="1480">
                  <v>1.152374261067574</v>
                </pt>
                <pt idx="1481">
                  <v>1.15334590463203</v>
                </pt>
                <pt idx="1482">
                  <v>1.154160615364108</v>
                </pt>
                <pt idx="1483">
                  <v>1.154741735233944</v>
                </pt>
                <pt idx="1484">
                  <v>1.155808588292663</v>
                </pt>
                <pt idx="1485">
                  <v>1.156524033808816</v>
                </pt>
                <pt idx="1486">
                  <v>1.155645139794456</v>
                </pt>
                <pt idx="1487">
                  <v>1.156672636728749</v>
                </pt>
                <pt idx="1488">
                  <v>1.156588906481768</v>
                </pt>
                <pt idx="1489">
                  <v>1.157167714974523</v>
                </pt>
                <pt idx="1490">
                  <v>1.156001804214591</v>
                </pt>
                <pt idx="1491">
                  <v>1.157136676874718</v>
                </pt>
                <pt idx="1492">
                  <v>1.157961008186249</v>
                </pt>
                <pt idx="1493">
                  <v>1.157413935941048</v>
                </pt>
                <pt idx="1494">
                  <v>1.158358064208905</v>
                </pt>
                <pt idx="1495">
                  <v>1.160165746321329</v>
                </pt>
                <pt idx="1496">
                  <v>1.159956336404118</v>
                </pt>
                <pt idx="1497">
                  <v>1.160700641719977</v>
                </pt>
                <pt idx="1498">
                  <v>1.160779698330352</v>
                </pt>
                <pt idx="1499">
                  <v>1.162634624288284</v>
                </pt>
                <pt idx="1500">
                  <v>1.163272393970519</v>
                </pt>
                <pt idx="1501">
                  <v>1.163123624356579</v>
                </pt>
                <pt idx="1502">
                  <v>1.164400734096122</v>
                </pt>
                <pt idx="1503">
                  <v>1.164911517884812</v>
                </pt>
                <pt idx="1504">
                  <v>1.164674523108229</v>
                </pt>
                <pt idx="1505">
                  <v>1.166400570751476</v>
                </pt>
                <pt idx="1506">
                  <v>1.16858018461802</v>
                </pt>
                <pt idx="1507">
                  <v>1.170123164909566</v>
                </pt>
                <pt idx="1508">
                  <v>1.172197143212525</v>
                </pt>
                <pt idx="1509">
                  <v>1.172582861194706</v>
                </pt>
                <pt idx="1510">
                  <v>1.173666653475911</v>
                </pt>
                <pt idx="1511">
                  <v>1.173798169344804</v>
                </pt>
                <pt idx="1512">
                  <v>1.175047547074052</v>
                </pt>
                <pt idx="1513">
                  <v>1.174971691226847</v>
                </pt>
                <pt idx="1514">
                  <v>1.173555980891328</v>
                </pt>
                <pt idx="1515">
                  <v>1.174940059775681</v>
                </pt>
                <pt idx="1516">
                  <v>1.171155577843143</v>
                </pt>
                <pt idx="1517">
                  <v>1.172210593826184</v>
                </pt>
                <pt idx="1518">
                  <v>1.173040779417856</v>
                </pt>
                <pt idx="1519">
                  <v>1.175489306538094</v>
                </pt>
                <pt idx="1520">
                  <v>1.174076368391635</v>
                </pt>
                <pt idx="1521">
                  <v>1.174747940074355</v>
                </pt>
                <pt idx="1522">
                  <v>1.178655151723042</v>
                </pt>
                <pt idx="1523">
                  <v>1.17956795465721</v>
                </pt>
                <pt idx="1524">
                  <v>1.180023267887708</v>
                </pt>
                <pt idx="1525">
                  <v>1.181265832388793</v>
                </pt>
                <pt idx="1526">
                  <v>1.180046241042731</v>
                </pt>
                <pt idx="1527">
                  <v>1.181091499779797</v>
                </pt>
                <pt idx="1528">
                  <v>1.172714017771859</v>
                </pt>
                <pt idx="1529">
                  <v>1.173509378479023</v>
                </pt>
                <pt idx="1530">
                  <v>1.172212455030908</v>
                </pt>
                <pt idx="1531">
                  <v>1.175262812330555</v>
                </pt>
                <pt idx="1532">
                  <v>1.17458044168324</v>
                </pt>
                <pt idx="1533">
                  <v>1.176683266946198</v>
                </pt>
                <pt idx="1534">
                  <v>1.17820373784097</v>
                </pt>
                <pt idx="1535">
                  <v>1.179645139202692</v>
                </pt>
                <pt idx="1536">
                  <v>1.1803189131847</v>
                </pt>
                <pt idx="1537">
                  <v>1.181764803853351</v>
                </pt>
                <pt idx="1538">
                  <v>1.181513350564531</v>
                </pt>
                <pt idx="1539">
                  <v>1.182486851925766</v>
                </pt>
                <pt idx="1540">
                  <v>1.183974420385489</v>
                </pt>
                <pt idx="1541">
                  <v>1.18382385830503</v>
                </pt>
                <pt idx="1542">
                  <v>1.185038461583651</v>
                </pt>
                <pt idx="1543">
                  <v>1.186678620649952</v>
                </pt>
                <pt idx="1544">
                  <v>1.186463568113254</v>
                </pt>
                <pt idx="1545">
                  <v>1.184381654124429</v>
                </pt>
                <pt idx="1546">
                  <v>1.185440228127293</v>
                </pt>
                <pt idx="1547">
                  <v>1.185916379952258</v>
                </pt>
                <pt idx="1548">
                  <v>1.179914193616346</v>
                </pt>
                <pt idx="1549">
                  <v>1.182285821145515</v>
                </pt>
                <pt idx="1550">
                  <v>1.184518567918748</v>
                </pt>
                <pt idx="1551">
                  <v>1.185481252481531</v>
                </pt>
                <pt idx="1552">
                  <v>1.184959970030787</v>
                </pt>
                <pt idx="1553">
                  <v>1.182704925376709</v>
                </pt>
                <pt idx="1554">
                  <v>1.183318420703834</v>
                </pt>
                <pt idx="1555">
                  <v>1.182446446507599</v>
                </pt>
                <pt idx="1556">
                  <v>1.184295661366999</v>
                </pt>
                <pt idx="1557">
                  <v>1.184914521644266</v>
                </pt>
                <pt idx="1558">
                  <v>1.185256303655176</v>
                </pt>
                <pt idx="1559">
                  <v>1.183664241049078</v>
                </pt>
                <pt idx="1560">
                  <v>1.188021374879504</v>
                </pt>
                <pt idx="1561">
                  <v>1.189818785218509</v>
                </pt>
                <pt idx="1562">
                  <v>1.191210740995127</v>
                </pt>
                <pt idx="1563">
                  <v>1.188483662538742</v>
                </pt>
                <pt idx="1564">
                  <v>1.191238831775988</v>
                </pt>
                <pt idx="1565">
                  <v>1.195181766129231</v>
                </pt>
                <pt idx="1566">
                  <v>1.194051920966317</v>
                </pt>
                <pt idx="1567">
                  <v>1.194419357276886</v>
                </pt>
                <pt idx="1568">
                  <v>1.194773568972949</v>
                </pt>
                <pt idx="1569">
                  <v>1.195419078581742</v>
                </pt>
                <pt idx="1570">
                  <v>1.195489143422181</v>
                </pt>
                <pt idx="1571">
                  <v>1.196904668984056</v>
                </pt>
                <pt idx="1572">
                  <v>1.198313691758266</v>
                </pt>
                <pt idx="1573">
                  <v>1.199656269103915</v>
                </pt>
                <pt idx="1574">
                  <v>1.200711966620727</v>
                </pt>
                <pt idx="1575">
                  <v>1.201769060094895</v>
                </pt>
                <pt idx="1576">
                  <v>1.202181333647456</v>
                </pt>
                <pt idx="1577">
                  <v>1.202743954511603</v>
                </pt>
                <pt idx="1578">
                  <v>1.203163244417967</v>
                </pt>
                <pt idx="1579">
                  <v>1.203858405403631</v>
                </pt>
                <pt idx="1580">
                  <v>1.204643120440887</v>
                </pt>
                <pt idx="1581">
                  <v>1.204950973682777</v>
                </pt>
                <pt idx="1582">
                  <v>1.20437795255307</v>
                </pt>
                <pt idx="1583">
                  <v>1.205512342764602</v>
                </pt>
                <pt idx="1584">
                  <v>1.205078492267023</v>
                </pt>
                <pt idx="1585">
                  <v>1.203997001269018</v>
                </pt>
                <pt idx="1586">
                  <v>1.204178069040265</v>
                </pt>
                <pt idx="1587">
                  <v>1.204339027508827</v>
                </pt>
                <pt idx="1588">
                  <v>1.206213648112868</v>
                </pt>
                <pt idx="1589">
                  <v>1.207339179470296</v>
                </pt>
                <pt idx="1590">
                  <v>1.208516737616673</v>
                </pt>
                <pt idx="1591">
                  <v>1.209446556966631</v>
                </pt>
                <pt idx="1592">
                  <v>1.210425738337446</v>
                </pt>
                <pt idx="1593">
                  <v>1.210728546509654</v>
                </pt>
                <pt idx="1594">
                  <v>1.209892134872107</v>
                </pt>
                <pt idx="1595">
                  <v>1.208790796948225</v>
                </pt>
                <pt idx="1596">
                  <v>1.209152628326778</v>
                </pt>
                <pt idx="1597">
                  <v>1.208826425817714</v>
                </pt>
                <pt idx="1598">
                  <v>1.209309351974828</v>
                </pt>
                <pt idx="1599">
                  <v>1.209171557892556</v>
                </pt>
                <pt idx="1600">
                  <v>1.2060516937446</v>
                </pt>
                <pt idx="1601">
                  <v>1.200873510797508</v>
                </pt>
                <pt idx="1602">
                  <v>1.20324890531706</v>
                </pt>
                <pt idx="1603">
                  <v>1.206138373868856</v>
                </pt>
                <pt idx="1604">
                  <v>1.206104870025138</v>
                </pt>
                <pt idx="1605">
                  <v>1.207244639127312</v>
                </pt>
                <pt idx="1606">
                  <v>1.204683268417963</v>
                </pt>
                <pt idx="1607">
                  <v>1.206551531386735</v>
                </pt>
                <pt idx="1608">
                  <v>1.208514054483176</v>
                </pt>
                <pt idx="1609">
                  <v>1.21132358110117</v>
                </pt>
                <pt idx="1610">
                  <v>1.211483341222367</v>
                </pt>
                <pt idx="1611">
                  <v>1.212955226177322</v>
                </pt>
                <pt idx="1612">
                  <v>1.214184556299053</v>
                </pt>
                <pt idx="1613">
                  <v>1.215916523113916</v>
                </pt>
                <pt idx="1614">
                  <v>1.215233245578844</v>
                </pt>
                <pt idx="1615">
                  <v>1.215657632033383</v>
                </pt>
                <pt idx="1616">
                  <v>1.215669721073168</v>
                </pt>
                <pt idx="1617">
                  <v>1.216709253759099</v>
                </pt>
                <pt idx="1618">
                  <v>1.218298411234425</v>
                </pt>
                <pt idx="1619">
                  <v>1.218952096015298</v>
                </pt>
                <pt idx="1620">
                  <v>1.218740878704883</v>
                </pt>
                <pt idx="1621">
                  <v>1.220448199260295</v>
                </pt>
                <pt idx="1622">
                  <v>1.222490483716401</v>
                </pt>
                <pt idx="1623">
                  <v>1.22273681554887</v>
                </pt>
                <pt idx="1624">
                  <v>1.222875664107258</v>
                </pt>
                <pt idx="1625">
                  <v>1.22183900523178</v>
                </pt>
                <pt idx="1626">
                  <v>1.219720743676376</v>
                </pt>
                <pt idx="1627">
                  <v>1.216381351566981</v>
                </pt>
                <pt idx="1628">
                  <v>1.218893111481225</v>
                </pt>
                <pt idx="1629">
                  <v>1.220830948379628</v>
                </pt>
                <pt idx="1630">
                  <v>1.221450655733814</v>
                </pt>
                <pt idx="1631">
                  <v>1.222028876902564</v>
                </pt>
                <pt idx="1632">
                  <v>1.223055924283108</v>
                </pt>
                <pt idx="1633">
                  <v>1.222772447098879</v>
                </pt>
                <pt idx="1634">
                  <v>1.222725030700653</v>
                </pt>
                <pt idx="1635">
                  <v>1.223497657061719</v>
                </pt>
                <pt idx="1636">
                  <v>1.223545645358713</v>
                </pt>
                <pt idx="1637">
                  <v>1.224496340325157</v>
                </pt>
                <pt idx="1638">
                  <v>1.223658852855949</v>
                </pt>
                <pt idx="1639">
                  <v>1.223867010823029</v>
                </pt>
                <pt idx="1640">
                  <v>1.222641376004301</v>
                </pt>
                <pt idx="1641">
                  <v>1.222931209934935</v>
                </pt>
                <pt idx="1642">
                  <v>1.224811262848342</v>
                </pt>
                <pt idx="1643">
                  <v>1.224837528245423</v>
                </pt>
                <pt idx="1644">
                  <v>1.224834874430778</v>
                </pt>
                <pt idx="1645">
                  <v>1.224776490635097</v>
                </pt>
                <pt idx="1646">
                  <v>1.224112253518343</v>
                </pt>
                <pt idx="1647">
                  <v>1.217764211390306</v>
                </pt>
                <pt idx="1648">
                  <v>1.219145900195262</v>
                </pt>
                <pt idx="1649">
                  <v>1.220095411660531</v>
                </pt>
                <pt idx="1650">
                  <v>1.221455953610689</v>
                </pt>
                <pt idx="1651">
                  <v>1.221933407171223</v>
                </pt>
                <pt idx="1652">
                  <v>1.22223848321188</v>
                </pt>
                <pt idx="1653">
                  <v>1.22076235863485</v>
                </pt>
                <pt idx="1654">
                  <v>1.223131790552829</v>
                </pt>
                <pt idx="1655">
                  <v>1.224388898226453</v>
                </pt>
                <pt idx="1656">
                  <v>1.224882190909228</v>
                </pt>
                <pt idx="1657">
                  <v>1.226061956606105</v>
                </pt>
                <pt idx="1658">
                  <v>1.226780224569017</v>
                </pt>
                <pt idx="1659">
                  <v>1.227411880075756</v>
                </pt>
                <pt idx="1660">
                  <v>1.228384263042972</v>
                </pt>
                <pt idx="1661">
                  <v>1.227896594490544</v>
                </pt>
                <pt idx="1662">
                  <v>1.228572483349333</v>
                </pt>
                <pt idx="1663">
                  <v>1.228550915076847</v>
                </pt>
                <pt idx="1664">
                  <v>1.229439976422391</v>
                </pt>
                <pt idx="1665">
                  <v>1.230642505323774</v>
                </pt>
                <pt idx="1666">
                  <v>1.231663049805828</v>
                </pt>
                <pt idx="1667">
                  <v>1.232262185453834</v>
                </pt>
                <pt idx="1668">
                  <v>1.23032274169195</v>
                </pt>
                <pt idx="1669">
                  <v>1.230332857678937</v>
                </pt>
                <pt idx="1670">
                  <v>1.22850362612687</v>
                </pt>
                <pt idx="1671">
                  <v>1.231170912249796</v>
                </pt>
                <pt idx="1672">
                  <v>1.232677249860934</v>
                </pt>
                <pt idx="1673">
                  <v>1.233217573388789</v>
                </pt>
                <pt idx="1674">
                  <v>1.233556913757734</v>
                </pt>
                <pt idx="1675">
                  <v>1.232364543938707</v>
                </pt>
                <pt idx="1676">
                  <v>1.233535837973024</v>
                </pt>
                <pt idx="1677">
                  <v>1.235180895072499</v>
                </pt>
                <pt idx="1678">
                  <v>1.235756557990763</v>
                </pt>
                <pt idx="1679">
                  <v>1.235880682871699</v>
                </pt>
                <pt idx="1680">
                  <v>1.236450080566313</v>
                </pt>
                <pt idx="1681">
                  <v>1.237398300394766</v>
                </pt>
                <pt idx="1682">
                  <v>1.238670758313672</v>
                </pt>
                <pt idx="1683">
                  <v>1.239599761382407</v>
                </pt>
                <pt idx="1684">
                  <v>1.239864484798116</v>
                </pt>
                <pt idx="1685">
                  <v>1.239542946608391</v>
                </pt>
                <pt idx="1686">
                  <v>1.240625893962745</v>
                </pt>
                <pt idx="1687">
                  <v>1.24044862230723</v>
                </pt>
                <pt idx="1688">
                  <v>1.241400184228164</v>
                </pt>
                <pt idx="1689">
                  <v>1.24100162580235</v>
                </pt>
                <pt idx="1690">
                  <v>1.240007583500082</v>
                </pt>
                <pt idx="1691">
                  <v>1.233463994592642</v>
                </pt>
                <pt idx="1692">
                  <v>1.236368117042133</v>
                </pt>
                <pt idx="1693">
                  <v>1.237673103589671</v>
                </pt>
                <pt idx="1694">
                  <v>1.236998090430897</v>
                </pt>
                <pt idx="1695">
                  <v>1.238226498256811</v>
                </pt>
                <pt idx="1696">
                  <v>1.238587647652135</v>
                </pt>
                <pt idx="1697">
                  <v>1.234614327288892</v>
                </pt>
                <pt idx="1698">
                  <v>1.235491863716855</v>
                </pt>
                <pt idx="1699">
                  <v>1.234580688467364</v>
                </pt>
                <pt idx="1700">
                  <v>1.236226521700723</v>
                </pt>
                <pt idx="1701">
                  <v>1.236655080228246</v>
                </pt>
                <pt idx="1702">
                  <v>1.238162631474104</v>
                </pt>
                <pt idx="1703">
                  <v>1.23878432668873</v>
                </pt>
                <pt idx="1704">
                  <v>1.239140546004005</v>
                </pt>
                <pt idx="1705">
                  <v>1.240741309066018</v>
                </pt>
                <pt idx="1706">
                  <v>1.242669283200161</v>
                </pt>
                <pt idx="1707">
                  <v>1.243418336629201</v>
                </pt>
                <pt idx="1708">
                  <v>1.244199134265807</v>
                </pt>
                <pt idx="1709">
                  <v>1.244223880004144</v>
                </pt>
                <pt idx="1710">
                  <v>1.244668551794148</v>
                </pt>
                <pt idx="1711">
                  <v>1.246143968065794</v>
                </pt>
                <pt idx="1712">
                  <v>1.246508326716012</v>
                </pt>
                <pt idx="1713">
                  <v>1.24576727751578</v>
                </pt>
                <pt idx="1714">
                  <v>1.246428018637915</v>
                </pt>
                <pt idx="1715">
                  <v>1.246981640416193</v>
                </pt>
                <pt idx="1716">
                  <v>1.247513893746377</v>
                </pt>
                <pt idx="1717">
                  <v>1.247772614266675</v>
                </pt>
                <pt idx="1718">
                  <v>1.247775941660313</v>
                </pt>
                <pt idx="1719">
                  <v>1.248027299191672</v>
                </pt>
                <pt idx="1720">
                  <v>1.248373557432348</v>
                </pt>
                <pt idx="1721">
                  <v>1.248898082388729</v>
                </pt>
                <pt idx="1722">
                  <v>1.249495818887605</v>
                </pt>
                <pt idx="1723">
                  <v>1.249624864039123</v>
                </pt>
                <pt idx="1724">
                  <v>1.250194692977125</v>
                </pt>
                <pt idx="1725">
                  <v>1.248904978240797</v>
                </pt>
                <pt idx="1726">
                  <v>1.249389483988745</v>
                </pt>
                <pt idx="1727">
                  <v>1.248945881311402</v>
                </pt>
                <pt idx="1728">
                  <v>1.248172714424988</v>
                </pt>
                <pt idx="1729">
                  <v>1.249267084523824</v>
                </pt>
                <pt idx="1730">
                  <v>1.250833526640363</v>
                </pt>
                <pt idx="1731">
                  <v>1.252511867270109</v>
                </pt>
                <pt idx="1732">
                  <v>1.254000408040367</v>
                </pt>
                <pt idx="1733">
                  <v>1.254669417258056</v>
                </pt>
                <pt idx="1734">
                  <v>1.255612231621269</v>
                </pt>
                <pt idx="1735">
                  <v>1.254418423413938</v>
                </pt>
                <pt idx="1736">
                  <v>1.254993504571161</v>
                </pt>
                <pt idx="1737">
                  <v>1.25356587973785</v>
                </pt>
                <pt idx="1738">
                  <v>1.255746179015458</v>
                </pt>
                <pt idx="1739">
                  <v>1.246609648871648</v>
                </pt>
                <pt idx="1740">
                  <v>1.250520332596251</v>
                </pt>
                <pt idx="1741">
                  <v>1.247616763330666</v>
                </pt>
                <pt idx="1742">
                  <v>1.247372507693223</v>
                </pt>
                <pt idx="1743">
                  <v>1.248119475929913</v>
                </pt>
                <pt idx="1744">
                  <v>1.246301936613076</v>
                </pt>
                <pt idx="1745">
                  <v>1.251378678312872</v>
                </pt>
                <pt idx="1746">
                  <v>1.251945274769998</v>
                </pt>
                <pt idx="1747">
                  <v>1.254689191049717</v>
                </pt>
                <pt idx="1748">
                  <v>1.254455540040362</v>
                </pt>
                <pt idx="1749">
                  <v>1.258039589210231</v>
                </pt>
                <pt idx="1750">
                  <v>1.256562161494881</v>
                </pt>
                <pt idx="1751">
                  <v>1.254855401034526</v>
                </pt>
                <pt idx="1752">
                  <v>1.255537414944988</v>
                </pt>
                <pt idx="1753">
                  <v>1.254437703673653</v>
                </pt>
                <pt idx="1754">
                  <v>1.25398568795443</v>
                </pt>
                <pt idx="1755">
                  <v>1.252508144484662</v>
                </pt>
                <pt idx="1756">
                  <v>1.253868994583644</v>
                </pt>
                <pt idx="1757">
                  <v>1.257262312379931</v>
                </pt>
                <pt idx="1758">
                  <v>1.258350403063389</v>
                </pt>
                <pt idx="1759">
                  <v>1.259499696431521</v>
                </pt>
                <pt idx="1760">
                  <v>1.259920439302334</v>
                </pt>
                <pt idx="1761">
                  <v>1.262705843411312</v>
                </pt>
                <pt idx="1762">
                  <v>1.263401594331031</v>
                </pt>
                <pt idx="1763">
                  <v>1.263892496039406</v>
                </pt>
                <pt idx="1764">
                  <v>1.263369104113547</v>
                </pt>
                <pt idx="1765">
                  <v>1.260923010966466</v>
                </pt>
                <pt idx="1766">
                  <v>1.25822799818436</v>
                </pt>
                <pt idx="1767">
                  <v>1.257950628812316</v>
                </pt>
                <pt idx="1768">
                  <v>1.25917992612125</v>
                </pt>
                <pt idx="1769">
                  <v>1.259565934723046</v>
                </pt>
                <pt idx="1770">
                  <v>1.260222868333889</v>
                </pt>
                <pt idx="1771">
                  <v>1.260533863332841</v>
                </pt>
                <pt idx="1772">
                  <v>1.258858613828472</v>
                </pt>
                <pt idx="1773">
                  <v>1.259710651300265</v>
                </pt>
                <pt idx="1774">
                  <v>1.257155048308402</v>
                </pt>
                <pt idx="1775">
                  <v>1.256919750788527</v>
                </pt>
                <pt idx="1776">
                  <v>1.256624793620342</v>
                </pt>
                <pt idx="1777">
                  <v>1.254637162259277</v>
                </pt>
                <pt idx="1778">
                  <v>1.252613014304165</v>
                </pt>
                <pt idx="1779">
                  <v>1.253890609989144</v>
                </pt>
                <pt idx="1780">
                  <v>1.253700227598194</v>
                </pt>
                <pt idx="1781">
                  <v>1.253202717557875</v>
                </pt>
                <pt idx="1782">
                  <v>1.255499141915427</v>
                </pt>
                <pt idx="1783">
                  <v>1.256902510956279</v>
                </pt>
                <pt idx="1784">
                  <v>1.258224283602384</v>
                </pt>
                <pt idx="1785">
                  <v>1.260282389023612</v>
                </pt>
                <pt idx="1786">
                  <v>1.257839961753685</v>
                </pt>
                <pt idx="1787">
                  <v>1.259250489510795</v>
                </pt>
                <pt idx="1788">
                  <v>1.260250894066351</v>
                </pt>
                <pt idx="1789">
                  <v>1.262050112259447</v>
                </pt>
                <pt idx="1790">
                  <v>1.262906833943986</v>
                </pt>
                <pt idx="1791">
                  <v>1.259304883330596</v>
                </pt>
                <pt idx="1792">
                  <v>1.25316115457312</v>
                </pt>
                <pt idx="1793">
                  <v>1.25437762595389</v>
                </pt>
                <pt idx="1794">
                  <v>1.257491339659737</v>
                </pt>
                <pt idx="1795">
                  <v>1.25955048172843</v>
                </pt>
                <pt idx="1796">
                  <v>1.255234072202573</v>
                </pt>
                <pt idx="1797">
                  <v>1.256532960526398</v>
                </pt>
                <pt idx="1798">
                  <v>1.257667749404527</v>
                </pt>
                <pt idx="1799">
                  <v>1.256687048041713</v>
                </pt>
                <pt idx="1800">
                  <v>1.255130361868925</v>
                </pt>
                <pt idx="1801">
                  <v>1.256939911203417</v>
                </pt>
                <pt idx="1802">
                  <v>1.254928597855507</v>
                </pt>
                <pt idx="1803">
                  <v>1.252715322118422</v>
                </pt>
                <pt idx="1804">
                  <v>1.251915672171137</v>
                </pt>
                <pt idx="1805">
                  <v>1.252152910191013</v>
                </pt>
                <pt idx="1806">
                  <v>1.251989017287879</v>
                </pt>
                <pt idx="1807">
                  <v>1.25037346457096</v>
                </pt>
                <pt idx="1808">
                  <v>1.250939536424448</v>
                </pt>
                <pt idx="1809">
                  <v>1.252357267899062</v>
                </pt>
                <pt idx="1810">
                  <v>1.255120107182855</v>
                </pt>
                <pt idx="1811">
                  <v>1.257368933770453</v>
                </pt>
                <pt idx="1812">
                  <v>1.256437223390529</v>
                </pt>
                <pt idx="1813">
                  <v>1.257284131881162</v>
                </pt>
                <pt idx="1814">
                  <v>1.257778454092347</v>
                </pt>
                <pt idx="1815">
                  <v>1.258595311321699</v>
                </pt>
                <pt idx="1816">
                  <v>1.260545294990707</v>
                </pt>
                <pt idx="1817">
                  <v>1.260841383074441</v>
                </pt>
                <pt idx="1818">
                  <v>1.262209746208794</v>
                </pt>
                <pt idx="1819">
                  <v>1.262440029364714</v>
                </pt>
                <pt idx="1820">
                  <v>1.263576716340042</v>
                </pt>
                <pt idx="1821">
                  <v>1.265110136884027</v>
                </pt>
                <pt idx="1822">
                  <v>1.2663895146519</v>
                </pt>
                <pt idx="1823">
                  <v>1.266456351876284</v>
                </pt>
                <pt idx="1824">
                  <v>1.266799702265015</v>
                </pt>
                <pt idx="1825">
                  <v>1.267826795312507</v>
                </pt>
                <pt idx="1826">
                  <v>1.269746003341322</v>
                </pt>
                <pt idx="1827">
                  <v>1.270695914434711</v>
                </pt>
                <pt idx="1828">
                  <v>1.269923190130299</v>
                </pt>
                <pt idx="1829">
                  <v>1.26991761657852</v>
                </pt>
                <pt idx="1830">
                  <v>1.271093419189514</v>
                </pt>
                <pt idx="1831">
                  <v>1.271871328362058</v>
                </pt>
                <pt idx="1832">
                  <v>1.269524231144603</v>
                </pt>
                <pt idx="1833">
                  <v>1.27009234323804</v>
                </pt>
                <pt idx="1834">
                  <v>1.273356480560161</v>
                </pt>
                <pt idx="1835">
                  <v>1.273614264505448</v>
                </pt>
                <pt idx="1836">
                  <v>1.27447069934198</v>
                </pt>
                <pt idx="1837">
                  <v>1.274420782572922</v>
                </pt>
                <pt idx="1838">
                  <v>1.274185864342001</v>
                </pt>
                <pt idx="1839">
                  <v>1.270885369012838</v>
                </pt>
                <pt idx="1840">
                  <v>1.268258943188288</v>
                </pt>
                <pt idx="1841">
                  <v>1.267726063055658</v>
                </pt>
                <pt idx="1842">
                  <v>1.266278531179326</v>
                </pt>
                <pt idx="1843">
                  <v>1.266616838593573</v>
                </pt>
                <pt idx="1844">
                  <v>1.268139171298358</v>
                </pt>
                <pt idx="1845">
                  <v>1.265484815108478</v>
                </pt>
                <pt idx="1846">
                  <v>1.265879997894352</v>
                </pt>
                <pt idx="1847">
                  <v>1.266627429706442</v>
                </pt>
                <pt idx="1848">
                  <v>1.265500131294003</v>
                </pt>
                <pt idx="1849">
                  <v>1.257572968166015</v>
                </pt>
                <pt idx="1850">
                  <v>1.259056415212296</v>
                </pt>
                <pt idx="1851">
                  <v>1.255253365362569</v>
                </pt>
                <pt idx="1852">
                  <v>1.257113999531527</v>
                </pt>
                <pt idx="1853">
                  <v>1.258430966125369</v>
                </pt>
                <pt idx="1854">
                  <v>1.258059449339036</v>
                </pt>
                <pt idx="1855">
                  <v>1.259267186410402</v>
                </pt>
                <pt idx="1856">
                  <v>1.262530927120425</v>
                </pt>
                <pt idx="1857">
                  <v>1.263653106692814</v>
                </pt>
                <pt idx="1858">
                  <v>1.254643891868647</v>
                </pt>
                <pt idx="1859">
                  <v>1.256245235689302</v>
                </pt>
                <pt idx="1860">
                  <v>1.256977766244513</v>
                </pt>
                <pt idx="1861">
                  <v>1.258133487468477</v>
                </pt>
                <pt idx="1862">
                  <v>1.257828949268205</v>
                </pt>
                <pt idx="1863">
                  <v>1.259276710388812</v>
                </pt>
                <pt idx="1864">
                  <v>1.25920290278162</v>
                </pt>
                <pt idx="1865">
                  <v>1.259590597364243</v>
                </pt>
                <pt idx="1866">
                  <v>1.260222142094311</v>
                </pt>
                <pt idx="1867">
                  <v>1.260982056045993</v>
                </pt>
                <pt idx="1868">
                  <v>1.261835110406909</v>
                </pt>
                <pt idx="1869">
                  <v>1.262361576055751</v>
                </pt>
                <pt idx="1870">
                  <v>1.264089538659775</v>
                </pt>
                <pt idx="1871">
                  <v>1.265604830880645</v>
                </pt>
                <pt idx="1872">
                  <v>1.266991511907013</v>
                </pt>
                <pt idx="1873">
                  <v>1.263652778107886</v>
                </pt>
                <pt idx="1874">
                  <v>1.25991875435151</v>
                </pt>
                <pt idx="1875">
                  <v>1.246978758784942</v>
                </pt>
                <pt idx="1876">
                  <v>1.248571843425888</v>
                </pt>
                <pt idx="1877">
                  <v>1.249006207697195</v>
                </pt>
                <pt idx="1878">
                  <v>1.245992147550321</v>
                </pt>
                <pt idx="1879">
                  <v>1.247714454807165</v>
                </pt>
                <pt idx="1880">
                  <v>1.251058260228579</v>
                </pt>
                <pt idx="1881">
                  <v>1.250619486295422</v>
                </pt>
                <pt idx="1882">
                  <v>1.251311843138807</v>
                </pt>
                <pt idx="1883">
                  <v>1.25100047504184</v>
                </pt>
                <pt idx="1884">
                  <v>1.252989843797262</v>
                </pt>
                <pt idx="1885">
                  <v>1.25166292755268</v>
                </pt>
                <pt idx="1886">
                  <v>1.252013323635566</v>
                </pt>
                <pt idx="1887">
                  <v>1.251609618894989</v>
                </pt>
                <pt idx="1888">
                  <v>1.252419618920017</v>
                </pt>
                <pt idx="1889">
                  <v>1.252072489948973</v>
                </pt>
                <pt idx="1890">
                  <v>1.252116799403201</v>
                </pt>
                <pt idx="1891">
                  <v>1.253616070146398</v>
                </pt>
                <pt idx="1892">
                  <v>1.256008666061609</v>
                </pt>
                <pt idx="1893">
                  <v>1.255420993562411</v>
                </pt>
                <pt idx="1894">
                  <v>1.255285617331938</v>
                </pt>
                <pt idx="1895">
                  <v>1.257550571014144</v>
                </pt>
                <pt idx="1896">
                  <v>1.258536700253581</v>
                </pt>
                <pt idx="1897">
                  <v>1.261776383476151</v>
                </pt>
                <pt idx="1898">
                  <v>1.262937007452885</v>
                </pt>
                <pt idx="1899">
                  <v>1.259054949581476</v>
                </pt>
                <pt idx="1900">
                  <v>1.259478201887027</v>
                </pt>
                <pt idx="1901">
                  <v>1.26083528964956</v>
                </pt>
                <pt idx="1902">
                  <v>1.26256081278985</v>
                </pt>
                <pt idx="1903">
                  <v>1.263709111849083</v>
                </pt>
                <pt idx="1904">
                  <v>1.263819335366061</v>
                </pt>
                <pt idx="1905">
                  <v>1.261397225609831</v>
                </pt>
                <pt idx="1906">
                  <v>1.261641796516352</v>
                </pt>
                <pt idx="1907">
                  <v>1.261675159932749</v>
                </pt>
                <pt idx="1908">
                  <v>1.261094368800793</v>
                </pt>
                <pt idx="1909">
                  <v>1.26179294502031</v>
                </pt>
                <pt idx="1910">
                  <v>1.262642061572701</v>
                </pt>
                <pt idx="1911">
                  <v>1.262635748362393</v>
                </pt>
                <pt idx="1912">
                  <v>1.264034538332287</v>
                </pt>
                <pt idx="1913">
                  <v>1.264072740265001</v>
                </pt>
                <pt idx="1914">
                  <v>1.264596277058261</v>
                </pt>
                <pt idx="1915">
                  <v>1.264302750211286</v>
                </pt>
                <pt idx="1916">
                  <v>1.26375720357457</v>
                </pt>
                <pt idx="1917">
                  <v>1.263339531818788</v>
                </pt>
                <pt idx="1918">
                  <v>1.264031841882225</v>
                </pt>
                <pt idx="1919">
                  <v>1.264724952675524</v>
                </pt>
                <pt idx="1920">
                  <v>1.263858826870433</v>
                </pt>
                <pt idx="1921">
                  <v>1.265609833060683</v>
                </pt>
                <pt idx="1922">
                  <v>1.264413902080098</v>
                </pt>
                <pt idx="1923">
                  <v>1.262103747635781</v>
                </pt>
                <pt idx="1924">
                  <v>1.263274278744838</v>
                </pt>
                <pt idx="1925">
                  <v>1.264641562605867</v>
                </pt>
                <pt idx="1926">
                  <v>1.264979994739593</v>
                </pt>
                <pt idx="1927">
                  <v>1.259889996347426</v>
                </pt>
                <pt idx="1928">
                  <v>1.261370717062578</v>
                </pt>
                <pt idx="1929">
                  <v>1.261074365020219</v>
                </pt>
                <pt idx="1930">
                  <v>1.2623372609371</v>
                </pt>
                <pt idx="1931">
                  <v>1.261946497424992</v>
                </pt>
                <pt idx="1932">
                  <v>1.262440339154318</v>
                </pt>
                <pt idx="1933">
                  <v>1.264260217038783</v>
                </pt>
                <pt idx="1934">
                  <v>1.264350190224229</v>
                </pt>
                <pt idx="1935">
                  <v>1.266784275065442</v>
                </pt>
                <pt idx="1936">
                  <v>1.266616848410421</v>
                </pt>
                <pt idx="1937">
                  <v>1.265945119275147</v>
                </pt>
                <pt idx="1938">
                  <v>1.257629407107766</v>
                </pt>
                <pt idx="1939">
                  <v>1.256931003577019</v>
                </pt>
                <pt idx="1940">
                  <v>1.259683612645353</v>
                </pt>
                <pt idx="1941">
                  <v>1.259262108512077</v>
                </pt>
                <pt idx="1942">
                  <v>1.261942937623087</v>
                </pt>
                <pt idx="1943">
                  <v>1.260814129665383</v>
                </pt>
                <pt idx="1944">
                  <v>1.258663601031551</v>
                </pt>
                <pt idx="1945">
                  <v>1.262373581921347</v>
                </pt>
                <pt idx="1946">
                  <v>1.256896984531778</v>
                </pt>
                <pt idx="1947">
                  <v>1.256049207515711</v>
                </pt>
                <pt idx="1948">
                  <v>1.256186814684446</v>
                </pt>
                <pt idx="1949">
                  <v>1.256565136280135</v>
                </pt>
                <pt idx="1950">
                  <v>1.255493635264759</v>
                </pt>
                <pt idx="1951">
                  <v>1.255983208032866</v>
                </pt>
                <pt idx="1952">
                  <v>1.255656303514553</v>
                </pt>
                <pt idx="1953">
                  <v>1.254819966657729</v>
                </pt>
                <pt idx="1954">
                  <v>1.254804769393688</v>
                </pt>
                <pt idx="1955">
                  <v>1.254874620192518</v>
                </pt>
                <pt idx="1956">
                  <v>1.254331468627744</v>
                </pt>
                <pt idx="1957">
                  <v>1.255099119486545</v>
                </pt>
                <pt idx="1958">
                  <v>1.254165534924833</v>
                </pt>
                <pt idx="1959">
                  <v>1.253933305273283</v>
                </pt>
                <pt idx="1960">
                  <v>1.252940399084391</v>
                </pt>
                <pt idx="1961">
                  <v>1.253670863337057</v>
                </pt>
                <pt idx="1962">
                  <v>1.254246785801997</v>
                </pt>
                <pt idx="1963">
                  <v>1.255438738330771</v>
                </pt>
                <pt idx="1964">
                  <v>1.255483236659385</v>
                </pt>
                <pt idx="1965">
                  <v>1.257073445676752</v>
                </pt>
                <pt idx="1966">
                  <v>1.253762384058253</v>
                </pt>
                <pt idx="1967">
                  <v>1.254605121340738</v>
                </pt>
                <pt idx="1968">
                  <v>1.255199734467969</v>
                </pt>
                <pt idx="1969">
                  <v>1.257238457770019</v>
                </pt>
                <pt idx="1970">
                  <v>1.258191933447075</v>
                </pt>
                <pt idx="1971">
                  <v>1.258211225723388</v>
                </pt>
                <pt idx="1972">
                  <v>1.26006708728133</v>
                </pt>
                <pt idx="1973">
                  <v>1.261168875941703</v>
                </pt>
                <pt idx="1974">
                  <v>1.259473164323062</v>
                </pt>
                <pt idx="1975">
                  <v>1.263724655930698</v>
                </pt>
                <pt idx="1976">
                  <v>1.262105614025674</v>
                </pt>
                <pt idx="1977">
                  <v>1.264398369107509</v>
                </pt>
                <pt idx="1978">
                  <v>1.262804384230187</v>
                </pt>
                <pt idx="1979">
                  <v>1.261569291386611</v>
                </pt>
                <pt idx="1980">
                  <v>1.249610595724826</v>
                </pt>
                <pt idx="1981">
                  <v>1.249965971093688</v>
                </pt>
                <pt idx="1982">
                  <v>1.252152786560117</v>
                </pt>
                <pt idx="1983">
                  <v>1.251598778516107</v>
                </pt>
                <pt idx="1984">
                  <v>1.252979083369014</v>
                </pt>
                <pt idx="1985">
                  <v>1.254442214888644</v>
                </pt>
                <pt idx="1986">
                  <v>1.255646549106171</v>
                </pt>
                <pt idx="1987">
                  <v>1.257796913579657</v>
                </pt>
                <pt idx="1988">
                  <v>1.258261529784012</v>
                </pt>
                <pt idx="1989">
                  <v>1.258284877525732</v>
                </pt>
                <pt idx="1990">
                  <v>1.260140498196505</v>
                </pt>
                <pt idx="1991">
                  <v>1.259718631160831</v>
                </pt>
                <pt idx="1992">
                  <v>1.260155893494581</v>
                </pt>
                <pt idx="1993">
                  <v>1.259136777420047</v>
                </pt>
                <pt idx="1994">
                  <v>1.259429176960582</v>
                </pt>
                <pt idx="1995">
                  <v>1.259268669708807</v>
                </pt>
                <pt idx="1996">
                  <v>1.258079010612785</v>
                </pt>
                <pt idx="1997">
                  <v>1.257891906306595</v>
                </pt>
                <pt idx="1998">
                  <v>1.258283599869642</v>
                </pt>
                <pt idx="1999">
                  <v>1.260045895955904</v>
                </pt>
                <pt idx="2000">
                  <v>1.260665558526515</v>
                </pt>
                <pt idx="2001">
                  <v>1.259772166867373</v>
                </pt>
                <pt idx="2002">
                  <v>1.26447601616377</v>
                </pt>
                <pt idx="2003">
                  <v>1.267610160467167</v>
                </pt>
                <pt idx="2004">
                  <v>1.265184588425114</v>
                </pt>
                <pt idx="2005">
                  <v>1.266724810085456</v>
                </pt>
                <pt idx="2006">
                  <v>1.262108583383102</v>
                </pt>
                <pt idx="2007">
                  <v>1.265591161667517</v>
                </pt>
                <pt idx="2008">
                  <v>1.266752411868967</v>
                </pt>
                <pt idx="2009">
                  <v>1.264599355019594</v>
                </pt>
                <pt idx="2010">
                  <v>1.265541622050123</v>
                </pt>
                <pt idx="2011">
                  <v>1.26595559477627</v>
                </pt>
                <pt idx="2012">
                  <v>1.264475692685976</v>
                </pt>
                <pt idx="2013">
                  <v>1.265669287491222</v>
                </pt>
                <pt idx="2014">
                  <v>1.26594597686046</v>
                </pt>
                <pt idx="2015">
                  <v>1.266364161014816</v>
                </pt>
                <pt idx="2016">
                  <v>1.266683988319037</v>
                </pt>
                <pt idx="2017">
                  <v>1.267447306164664</v>
                </pt>
                <pt idx="2018">
                  <v>1.266006218577555</v>
                </pt>
                <pt idx="2019">
                  <v>1.269426967380151</v>
                </pt>
                <pt idx="2020">
                  <v>1.271077151914025</v>
                </pt>
                <pt idx="2021">
                  <v>1.270257448381835</v>
                </pt>
                <pt idx="2022">
                  <v>1.273446923695005</v>
                </pt>
                <pt idx="2023">
                  <v>1.275658405772104</v>
                </pt>
                <pt idx="2024">
                  <v>1.277558711577236</v>
                </pt>
                <pt idx="2025">
                  <v>1.275441158012797</v>
                </pt>
                <pt idx="2026">
                  <v>1.275593218941969</v>
                </pt>
                <pt idx="2027">
                  <v>1.276246039204907</v>
                </pt>
                <pt idx="2028">
                  <v>1.276435703546844</v>
                </pt>
                <pt idx="2029">
                  <v>1.277327364798867</v>
                </pt>
                <pt idx="2030">
                  <v>1.278075807672007</v>
                </pt>
                <pt idx="2031">
                  <v>1.278966271488897</v>
                </pt>
                <pt idx="2032">
                  <v>1.279523474461176</v>
                </pt>
                <pt idx="2033">
                  <v>1.279291383119836</v>
                </pt>
                <pt idx="2034">
                  <v>1.280402163399102</v>
                </pt>
                <pt idx="2035">
                  <v>1.280059584686939</v>
                </pt>
                <pt idx="2036">
                  <v>1.278858462109975</v>
                </pt>
                <pt idx="2037">
                  <v>1.279730359390364</v>
                </pt>
                <pt idx="2038">
                  <v>1.280750162294536</v>
                </pt>
                <pt idx="2039">
                  <v>1.280975858934247</v>
                </pt>
                <pt idx="2040">
                  <v>1.28212617525557</v>
                </pt>
                <pt idx="2041">
                  <v>1.281442659545695</v>
                </pt>
                <pt idx="2042">
                  <v>1.281493490104524</v>
                </pt>
                <pt idx="2043">
                  <v>1.281716825942216</v>
                </pt>
                <pt idx="2044">
                  <v>1.286320325542059</v>
                </pt>
                <pt idx="2045">
                  <v>1.288189706286273</v>
                </pt>
                <pt idx="2046">
                  <v>1.287924625471157</v>
                </pt>
                <pt idx="2047">
                  <v>1.287576742719544</v>
                </pt>
                <pt idx="2048">
                  <v>1.285908830113433</v>
                </pt>
                <pt idx="2049">
                  <v>1.286340038207798</v>
                </pt>
                <pt idx="2050">
                  <v>1.288421407852954</v>
                </pt>
                <pt idx="2051">
                  <v>1.287221386469473</v>
                </pt>
                <pt idx="2052">
                  <v>1.288039272635976</v>
                </pt>
                <pt idx="2053">
                  <v>1.288214732208004</v>
                </pt>
                <pt idx="2054">
                  <v>1.288621307090986</v>
                </pt>
                <pt idx="2055">
                  <v>1.288807369689715</v>
                </pt>
                <pt idx="2056">
                  <v>1.28918040782283</v>
                </pt>
                <pt idx="2057">
                  <v>1.290031983103331</v>
                </pt>
                <pt idx="2058">
                  <v>1.288644768710834</v>
                </pt>
                <pt idx="2059">
                  <v>1.289210841721179</v>
                </pt>
                <pt idx="2060">
                  <v>1.286064737530431</v>
                </pt>
                <pt idx="2061">
                  <v>1.283167305124816</v>
                </pt>
                <pt idx="2062">
                  <v>1.279637311868418</v>
                </pt>
                <pt idx="2063">
                  <v>1.284628750476246</v>
                </pt>
                <pt idx="2064">
                  <v>1.278420710671306</v>
                </pt>
                <pt idx="2065">
                  <v>1.282501003439532</v>
                </pt>
                <pt idx="2066">
                  <v>1.278417021494191</v>
                </pt>
                <pt idx="2067">
                  <v>1.282624362935096</v>
                </pt>
                <pt idx="2068">
                  <v>1.284055415439586</v>
                </pt>
                <pt idx="2069">
                  <v>1.285045208155654</v>
                </pt>
                <pt idx="2070">
                  <v>1.282873910102274</v>
                </pt>
                <pt idx="2071">
                  <v>1.283768572113025</v>
                </pt>
                <pt idx="2072">
                  <v>1.288017489484337</v>
                </pt>
                <pt idx="2073">
                  <v>1.289277599928216</v>
                </pt>
                <pt idx="2074">
                  <v>1.289714808287658</v>
                </pt>
                <pt idx="2075">
                  <v>1.290154959291398</v>
                </pt>
                <pt idx="2076">
                  <v>1.290473555891067</v>
                </pt>
                <pt idx="2077">
                  <v>1.289707874914572</v>
                </pt>
                <pt idx="2078">
                  <v>1.289875178686124</v>
                </pt>
                <pt idx="2079">
                  <v>1.290340823625629</v>
                </pt>
                <pt idx="2080">
                  <v>1.291789446256953</v>
                </pt>
                <pt idx="2081">
                  <v>1.294603824863865</v>
                </pt>
                <pt idx="2082">
                  <v>1.295558307494963</v>
                </pt>
                <pt idx="2083">
                  <v>1.296874306833532</v>
                </pt>
                <pt idx="2084">
                  <v>1.297525914124143</v>
                </pt>
                <pt idx="2085">
                  <v>1.300047655738243</v>
                </pt>
                <pt idx="2086">
                  <v>1.302547214031009</v>
                </pt>
                <pt idx="2087">
                  <v>1.303533097544563</v>
                </pt>
                <pt idx="2088">
                  <v>1.304593956230448</v>
                </pt>
                <pt idx="2089">
                  <v>1.304536699051258</v>
                </pt>
                <pt idx="2090">
                  <v>1.306152730124338</v>
                </pt>
                <pt idx="2091">
                  <v>1.308284734200104</v>
                </pt>
                <pt idx="2092">
                  <v>1.303827844205595</v>
                </pt>
                <pt idx="2093">
                  <v>1.303842620921163</v>
                </pt>
                <pt idx="2094">
                  <v>1.30433663240309</v>
                </pt>
                <pt idx="2095">
                  <v>1.306324586357165</v>
                </pt>
                <pt idx="2096">
                  <v>1.306970854159471</v>
                </pt>
                <pt idx="2097">
                  <v>1.303213893829698</v>
                </pt>
                <pt idx="2098">
                  <v>1.304824159397068</v>
                </pt>
                <pt idx="2099">
                  <v>1.304387623225519</v>
                </pt>
                <pt idx="2100">
                  <v>1.305211126611649</v>
                </pt>
                <pt idx="2101">
                  <v>1.308273732008514</v>
                </pt>
                <pt idx="2102">
                  <v>1.309231388380344</v>
                </pt>
                <pt idx="2103">
                  <v>1.310672997609105</v>
                </pt>
                <pt idx="2104">
                  <v>1.310717487675857</v>
                </pt>
                <pt idx="2105">
                  <v>1.31215323304833</v>
                </pt>
                <pt idx="2106">
                  <v>1.314074152484111</v>
                </pt>
                <pt idx="2107">
                  <v>1.313300308816537</v>
                </pt>
                <pt idx="2108">
                  <v>1.313275939799695</v>
                </pt>
                <pt idx="2109">
                  <v>1.313346637821121</v>
                </pt>
                <pt idx="2110">
                  <v>1.313284618674335</v>
                </pt>
                <pt idx="2111">
                  <v>1.314237187784413</v>
                </pt>
                <pt idx="2112">
                  <v>1.313299187498221</v>
                </pt>
                <pt idx="2113">
                  <v>1.311717391587945</v>
                </pt>
                <pt idx="2114">
                  <v>1.311100082808826</v>
                </pt>
                <pt idx="2115">
                  <v>1.311112829615187</v>
                </pt>
                <pt idx="2116">
                  <v>1.312717995916644</v>
                </pt>
                <pt idx="2117">
                  <v>1.313194585477939</v>
                </pt>
                <pt idx="2118">
                  <v>1.314340201843259</v>
                </pt>
                <pt idx="2119">
                  <v>1.308607268939519</v>
                </pt>
                <pt idx="2120">
                  <v>1.311001002436025</v>
                </pt>
                <pt idx="2121">
                  <v>1.310918190872705</v>
                </pt>
                <pt idx="2122">
                  <v>1.309305688669143</v>
                </pt>
                <pt idx="2123">
                  <v>1.309202689954968</v>
                </pt>
                <pt idx="2124">
                  <v>1.310319294382533</v>
                </pt>
                <pt idx="2125">
                  <v>1.309452663760332</v>
                </pt>
                <pt idx="2126">
                  <v>1.309240095944582</v>
                </pt>
                <pt idx="2127">
                  <v>1.310152781762577</v>
                </pt>
                <pt idx="2128">
                  <v>1.308689413891613</v>
                </pt>
                <pt idx="2129">
                  <v>1.310881468659882</v>
                </pt>
                <pt idx="2130">
                  <v>1.31015167181558</v>
                </pt>
                <pt idx="2131">
                  <v>1.311786595529598</v>
                </pt>
                <pt idx="2132">
                  <v>1.312372381121534</v>
                </pt>
                <pt idx="2133">
                  <v>1.312215479712414</v>
                </pt>
                <pt idx="2134">
                  <v>1.313303597948535</v>
                </pt>
                <pt idx="2135">
                  <v>1.31342106565924</v>
                </pt>
                <pt idx="2136">
                  <v>1.313711769521773</v>
                </pt>
                <pt idx="2137">
                  <v>1.312993242167832</v>
                </pt>
                <pt idx="2138">
                  <v>1.312408449566584</v>
                </pt>
                <pt idx="2139">
                  <v>1.313022583809401</v>
                </pt>
                <pt idx="2140">
                  <v>1.312302682704978</v>
                </pt>
                <pt idx="2141">
                  <v>1.309174007298</v>
                </pt>
                <pt idx="2142">
                  <v>1.310149414665326</v>
                </pt>
                <pt idx="2143">
                  <v>1.31109039308937</v>
                </pt>
                <pt idx="2144">
                  <v>1.310203149085024</v>
                </pt>
                <pt idx="2145">
                  <v>1.307801910658071</v>
                </pt>
                <pt idx="2146">
                  <v>1.307069614243764</v>
                </pt>
                <pt idx="2147">
                  <v>1.307957622816686</v>
                </pt>
                <pt idx="2148">
                  <v>1.308868106650791</v>
                </pt>
                <pt idx="2149">
                  <v>1.308569103003316</v>
                </pt>
                <pt idx="2150">
                  <v>1.308495968530114</v>
                </pt>
                <pt idx="2151">
                  <v>1.307995541516372</v>
                </pt>
                <pt idx="2152">
                  <v>1.309249473242172</v>
                </pt>
                <pt idx="2153">
                  <v>1.310281889187906</v>
                </pt>
                <pt idx="2154">
                  <v>1.309772480706765</v>
                </pt>
                <pt idx="2155">
                  <v>1.311159675294109</v>
                </pt>
                <pt idx="2156">
                  <v>1.31020646221017</v>
                </pt>
                <pt idx="2157">
                  <v>1.311625706965735</v>
                </pt>
                <pt idx="2158">
                  <v>1.312218197444809</v>
                </pt>
                <pt idx="2159">
                  <v>1.311585197966564</v>
                </pt>
                <pt idx="2160">
                  <v>1.309129546146749</v>
                </pt>
                <pt idx="2161">
                  <v>1.308610767199379</v>
                </pt>
                <pt idx="2162">
                  <v>1.31072679080994</v>
                </pt>
                <pt idx="2163">
                  <v>1.313147557556256</v>
                </pt>
                <pt idx="2164">
                  <v>1.313431926955109</v>
                </pt>
                <pt idx="2165">
                  <v>1.31406281209069</v>
                </pt>
                <pt idx="2166">
                  <v>1.315242183464541</v>
                </pt>
                <pt idx="2167">
                  <v>1.316865703802008</v>
                </pt>
                <pt idx="2168">
                  <v>1.318701487752314</v>
                </pt>
                <pt idx="2169">
                  <v>1.316838528856089</v>
                </pt>
                <pt idx="2170">
                  <v>1.317288156055997</v>
                </pt>
                <pt idx="2171">
                  <v>1.316672982487119</v>
                </pt>
                <pt idx="2172">
                  <v>1.317872617871163</v>
                </pt>
                <pt idx="2173">
                  <v>1.318831370200664</v>
                </pt>
                <pt idx="2174">
                  <v>1.319001645984238</v>
                </pt>
                <pt idx="2175">
                  <v>1.318014886197304</v>
                </pt>
                <pt idx="2176">
                  <v>1.31758360243732</v>
                </pt>
                <pt idx="2177">
                  <v>1.319255689227902</v>
                </pt>
                <pt idx="2178">
                  <v>1.320727245657253</v>
                </pt>
                <pt idx="2179">
                  <v>1.319915218522381</v>
                </pt>
                <pt idx="2180">
                  <v>1.32117324438288</v>
                </pt>
                <pt idx="2181">
                  <v>1.322062907765944</v>
                </pt>
                <pt idx="2182">
                  <v>1.321702719071517</v>
                </pt>
                <pt idx="2183">
                  <v>1.320624429936541</v>
                </pt>
                <pt idx="2184">
                  <v>1.320044749179823</v>
                </pt>
                <pt idx="2185">
                  <v>1.320296731055278</v>
                </pt>
                <pt idx="2186">
                  <v>1.321882334079457</v>
                </pt>
                <pt idx="2187">
                  <v>1.321576098005395</v>
                </pt>
                <pt idx="2188">
                  <v>1.321648123902737</v>
                </pt>
                <pt idx="2189">
                  <v>1.323084975688106</v>
                </pt>
                <pt idx="2190">
                  <v>1.323350695254057</v>
                </pt>
                <pt idx="2191">
                  <v>1.3230738944003</v>
                </pt>
                <pt idx="2192">
                  <v>1.323996664937539</v>
                </pt>
                <pt idx="2193">
                  <v>1.324092654695747</v>
                </pt>
                <pt idx="2194">
                  <v>1.324524456022584</v>
                </pt>
                <pt idx="2195">
                  <v>1.320654195562086</v>
                </pt>
                <pt idx="2196">
                  <v>1.321659213404908</v>
                </pt>
                <pt idx="2197">
                  <v>1.321248397666075</v>
                </pt>
                <pt idx="2198">
                  <v>1.319028553552618</v>
                </pt>
                <pt idx="2199">
                  <v>1.31788319709195</v>
                </pt>
                <pt idx="2200">
                  <v>1.318388532082302</v>
                </pt>
                <pt idx="2201">
                  <v>1.318064281747217</v>
                </pt>
                <pt idx="2202">
                  <v>1.317357213485853</v>
                </pt>
                <pt idx="2203">
                  <v>1.31683268575535</v>
                </pt>
                <pt idx="2204">
                  <v>1.316285249144933</v>
                </pt>
                <pt idx="2205">
                  <v>1.316320715719701</v>
                </pt>
                <pt idx="2206">
                  <v>1.316784938158779</v>
                </pt>
                <pt idx="2207">
                  <v>1.316157709599902</v>
                </pt>
                <pt idx="2208">
                  <v>1.316937240563349</v>
                </pt>
                <pt idx="2209">
                  <v>1.317982815569177</v>
                </pt>
                <pt idx="2210">
                  <v>1.318438984065899</v>
                </pt>
                <pt idx="2211">
                  <v>1.314142923882931</v>
                </pt>
                <pt idx="2212">
                  <v>1.316996731258023</v>
                </pt>
                <pt idx="2213">
                  <v>1.317055264446079</v>
                </pt>
                <pt idx="2214">
                  <v>1.314283155793368</v>
                </pt>
                <pt idx="2215">
                  <v>1.313184123012201</v>
                </pt>
                <pt idx="2216">
                  <v>1.314215556186153</v>
                </pt>
                <pt idx="2217">
                  <v>1.316062467114447</v>
                </pt>
                <pt idx="2218">
                  <v>1.317080295203597</v>
                </pt>
                <pt idx="2219">
                  <v>1.315595213999627</v>
                </pt>
                <pt idx="2220">
                  <v>1.315551287737204</v>
                </pt>
                <pt idx="2221">
                  <v>1.315320189227658</v>
                </pt>
                <pt idx="2222">
                  <v>1.316217529890087</v>
                </pt>
                <pt idx="2223">
                  <v>1.31757030901803</v>
                </pt>
                <pt idx="2224">
                  <v>1.318167461161417</v>
                </pt>
                <pt idx="2225">
                  <v>1.315007154673282</v>
                </pt>
                <pt idx="2226">
                  <v>1.313113763538412</v>
                </pt>
                <pt idx="2227">
                  <v>1.314997133429149</v>
                </pt>
                <pt idx="2228">
                  <v>1.315060253291554</v>
                </pt>
                <pt idx="2229">
                  <v>1.315423136862559</v>
                </pt>
                <pt idx="2230">
                  <v>1.314768421535718</v>
                </pt>
                <pt idx="2231">
                  <v>1.314957236889588</v>
                </pt>
                <pt idx="2232">
                  <v>1.316117394438424</v>
                </pt>
                <pt idx="2233">
                  <v>1.308107869564036</v>
                </pt>
                <pt idx="2234">
                  <v>1.30905007059342</v>
                </pt>
                <pt idx="2235">
                  <v>1.30960619869841</v>
                </pt>
                <pt idx="2236">
                  <v>1.310098756140921</v>
                </pt>
                <pt idx="2237">
                  <v>1.311387747750435</v>
                </pt>
                <pt idx="2238">
                  <v>1.312246488160587</v>
                </pt>
                <pt idx="2239">
                  <v>1.31320894805707</v>
                </pt>
                <pt idx="2240">
                  <v>1.314115937703861</v>
                </pt>
                <pt idx="2241">
                  <v>1.315238849772629</v>
                </pt>
                <pt idx="2242">
                  <v>1.315415310984974</v>
                </pt>
                <pt idx="2243">
                  <v>1.315512140167588</v>
                </pt>
                <pt idx="2244">
                  <v>1.316682726720314</v>
                </pt>
                <pt idx="2245">
                  <v>1.314785825805352</v>
                </pt>
                <pt idx="2246">
                  <v>1.315519184121523</v>
                </pt>
                <pt idx="2247">
                  <v>1.31601988533988</v>
                </pt>
                <pt idx="2248">
                  <v>1.31594355618653</v>
                </pt>
                <pt idx="2249">
                  <v>1.316153595399693</v>
                </pt>
                <pt idx="2250">
                  <v>1.316410245350796</v>
                </pt>
                <pt idx="2251">
                  <v>1.317624121864814</v>
                </pt>
                <pt idx="2252">
                  <v>1.319943799131357</v>
                </pt>
                <pt idx="2253">
                  <v>1.314723494736004</v>
                </pt>
                <pt idx="2254">
                  <v>1.312268321649778</v>
                </pt>
                <pt idx="2255">
                  <v>1.312700568254171</v>
                </pt>
                <pt idx="2256">
                  <v>1.312642444790121</v>
                </pt>
                <pt idx="2257">
                  <v>1.312790846310962</v>
                </pt>
                <pt idx="2258">
                  <v>1.309626874505703</v>
                </pt>
                <pt idx="2259">
                  <v>1.310077968206922</v>
                </pt>
                <pt idx="2260">
                  <v>1.31037251740344</v>
                </pt>
                <pt idx="2261">
                  <v>1.312672803559269</v>
                </pt>
                <pt idx="2262">
                  <v>1.313140042151069</v>
                </pt>
                <pt idx="2263">
                  <v>1.313472777247305</v>
                </pt>
                <pt idx="2264">
                  <v>1.314199930370931</v>
                </pt>
                <pt idx="2265">
                  <v>1.314620036282007</v>
                </pt>
                <pt idx="2266">
                  <v>1.314714177683494</v>
                </pt>
                <pt idx="2267">
                  <v>1.315385923588614</v>
                </pt>
                <pt idx="2268">
                  <v>1.317132536864152</v>
                </pt>
                <pt idx="2269">
                  <v>1.317632022791743</v>
                </pt>
                <pt idx="2270">
                  <v>1.31884051096198</v>
                </pt>
                <pt idx="2271">
                  <v>1.318904108382175</v>
                </pt>
                <pt idx="2272">
                  <v>1.320010668929108</v>
                </pt>
                <pt idx="2273">
                  <v>1.320531413138001</v>
                </pt>
                <pt idx="2274">
                  <v>1.319432217462276</v>
                </pt>
                <pt idx="2275">
                  <v>1.318727420752781</v>
                </pt>
                <pt idx="2276">
                  <v>1.319421804002442</v>
                </pt>
                <pt idx="2277">
                  <v>1.319819756278772</v>
                </pt>
                <pt idx="2278">
                  <v>1.32011458934766</v>
                </pt>
                <pt idx="2279">
                  <v>1.321622380227794</v>
                </pt>
                <pt idx="2280">
                  <v>1.321107094346436</v>
                </pt>
                <pt idx="2281">
                  <v>1.32073608343744</v>
                </pt>
                <pt idx="2282">
                  <v>1.321765890711387</v>
                </pt>
                <pt idx="2283">
                  <v>1.321654642082252</v>
                </pt>
                <pt idx="2284">
                  <v>1.321943203345774</v>
                </pt>
                <pt idx="2285">
                  <v>1.321684690008231</v>
                </pt>
                <pt idx="2286">
                  <v>1.319721180547369</v>
                </pt>
                <pt idx="2287">
                  <v>1.320518438776106</v>
                </pt>
                <pt idx="2288">
                  <v>1.320086189073814</v>
                </pt>
                <pt idx="2289">
                  <v>1.320742271909783</v>
                </pt>
                <pt idx="2290">
                  <v>1.321233001038368</v>
                </pt>
                <pt idx="2291">
                  <v>1.321633261235849</v>
                </pt>
                <pt idx="2292">
                  <v>1.322355240116835</v>
                </pt>
                <pt idx="2293">
                  <v>1.322064468892369</v>
                </pt>
                <pt idx="2294">
                  <v>1.317025199825107</v>
                </pt>
                <pt idx="2295">
                  <v>1.317577691896434</v>
                </pt>
                <pt idx="2296">
                  <v>1.315398345195277</v>
                </pt>
                <pt idx="2297">
                  <v>1.315568470047922</v>
                </pt>
                <pt idx="2298">
                  <v>1.316619536168353</v>
                </pt>
                <pt idx="2299">
                  <v>1.317379445077312</v>
                </pt>
                <pt idx="2300">
                  <v>1.316750615955528</v>
                </pt>
                <pt idx="2301">
                  <v>1.318337154142131</v>
                </pt>
                <pt idx="2302">
                  <v>1.319354031533692</v>
                </pt>
                <pt idx="2303">
                  <v>1.319965698722201</v>
                </pt>
                <pt idx="2304">
                  <v>1.320594955703353</v>
                </pt>
                <pt idx="2305">
                  <v>1.320857387267605</v>
                </pt>
                <pt idx="2306">
                  <v>1.320020770874703</v>
                </pt>
                <pt idx="2307">
                  <v>1.320489011575927</v>
                </pt>
                <pt idx="2308">
                  <v>1.318715374751879</v>
                </pt>
                <pt idx="2309">
                  <v>1.318847539337215</v>
                </pt>
                <pt idx="2310">
                  <v>1.319042215887883</v>
                </pt>
                <pt idx="2311">
                  <v>1.320217995463101</v>
                </pt>
                <pt idx="2312">
                  <v>1.321620947119613</v>
                </pt>
                <pt idx="2313">
                  <v>1.323375325503528</v>
                </pt>
                <pt idx="2314">
                  <v>1.323510162745027</v>
                </pt>
                <pt idx="2315">
                  <v>1.322250548711805</v>
                </pt>
                <pt idx="2316">
                  <v>1.322754766921048</v>
                </pt>
                <pt idx="2317">
                  <v>1.324144541262826</v>
                </pt>
                <pt idx="2318">
                  <v>1.325045474495984</v>
                </pt>
                <pt idx="2319">
                  <v>1.325150889224844</v>
                </pt>
                <pt idx="2320">
                  <v>1.325465170844072</v>
                </pt>
                <pt idx="2321">
                  <v>1.326602714508472</v>
                </pt>
                <pt idx="2322">
                  <v>1.328377930040936</v>
                </pt>
                <pt idx="2323">
                  <v>1.329345358167876</v>
                </pt>
                <pt idx="2324">
                  <v>1.328582609342367</v>
                </pt>
                <pt idx="2325">
                  <v>1.327692680424542</v>
                </pt>
                <pt idx="2326">
                  <v>1.327758032408701</v>
                </pt>
                <pt idx="2327">
                  <v>1.325594229401885</v>
                </pt>
                <pt idx="2328">
                  <v>1.325619047471625</v>
                </pt>
                <pt idx="2329">
                  <v>1.323564190657038</v>
                </pt>
                <pt idx="2330">
                  <v>1.325247617244866</v>
                </pt>
                <pt idx="2331">
                  <v>1.327153617817935</v>
                </pt>
                <pt idx="2332">
                  <v>1.327403270159598</v>
                </pt>
                <pt idx="2333">
                  <v>1.326068934894583</v>
                </pt>
                <pt idx="2334">
                  <v>1.326772193453055</v>
                </pt>
                <pt idx="2335">
                  <v>1.321713579627251</v>
                </pt>
                <pt idx="2336">
                  <v>1.320713189304537</v>
                </pt>
                <pt idx="2337">
                  <v>1.321853184905772</v>
                </pt>
                <pt idx="2338">
                  <v>1.322937985752851</v>
                </pt>
                <pt idx="2339">
                  <v>1.323583726483008</v>
                </pt>
                <pt idx="2340">
                  <v>1.32250250564333</v>
                </pt>
                <pt idx="2341">
                  <v>1.323065083514758</v>
                </pt>
                <pt idx="2342">
                  <v>1.324007326365068</v>
                </pt>
                <pt idx="2343">
                  <v>1.324291252380611</v>
                </pt>
                <pt idx="2344">
                  <v>1.324372181290479</v>
                </pt>
                <pt idx="2345">
                  <v>1.32624763945165</v>
                </pt>
                <pt idx="2346">
                  <v>1.326157896694714</v>
                </pt>
                <pt idx="2347">
                  <v>1.323675623813856</v>
                </pt>
                <pt idx="2348">
                  <v>1.325744675888947</v>
                </pt>
                <pt idx="2349">
                  <v>1.325843885782193</v>
                </pt>
                <pt idx="2350">
                  <v>1.327283678584158</v>
                </pt>
                <pt idx="2351">
                  <v>1.328335993327329</v>
                </pt>
                <pt idx="2352">
                  <v>1.328786520618399</v>
                </pt>
                <pt idx="2353">
                  <v>1.329230925888073</v>
                </pt>
                <pt idx="2354">
                  <v>1.328608476583944</v>
                </pt>
                <pt idx="2355">
                  <v>1.329139698539832</v>
                </pt>
                <pt idx="2356">
                  <v>1.328900231870811</v>
                </pt>
                <pt idx="2357">
                  <v>1.329033933999696</v>
                </pt>
                <pt idx="2358">
                  <v>1.329214830285157</v>
                </pt>
                <pt idx="2359">
                  <v>1.330110278009159</v>
                </pt>
                <pt idx="2360">
                  <v>1.330620227510745</v>
                </pt>
                <pt idx="2361">
                  <v>1.331425548441772</v>
                </pt>
                <pt idx="2362">
                  <v>1.332313757218755</v>
                </pt>
                <pt idx="2363">
                  <v>1.331696525862008</v>
                </pt>
                <pt idx="2364">
                  <v>1.329976935731419</v>
                </pt>
                <pt idx="2365">
                  <v>1.331503232040385</v>
                </pt>
                <pt idx="2366">
                  <v>1.330602839965919</v>
                </pt>
                <pt idx="2367">
                  <v>1.328398844206276</v>
                </pt>
                <pt idx="2368">
                  <v>1.328638546397719</v>
                </pt>
                <pt idx="2369">
                  <v>1.328823891474941</v>
                </pt>
                <pt idx="2370">
                  <v>1.328391359298266</v>
                </pt>
                <pt idx="2371">
                  <v>1.32772251424886</v>
                </pt>
                <pt idx="2372">
                  <v>1.32778572859301</v>
                </pt>
                <pt idx="2373">
                  <v>1.328461350231243</v>
                </pt>
                <pt idx="2374">
                  <v>1.326488880339783</v>
                </pt>
                <pt idx="2375">
                  <v>1.327871155446923</v>
                </pt>
                <pt idx="2376">
                  <v>1.328462795817295</v>
                </pt>
                <pt idx="2377">
                  <v>1.329073888703371</v>
                </pt>
                <pt idx="2378">
                  <v>1.329598651377093</v>
                </pt>
                <pt idx="2379">
                  <v>1.328949068569304</v>
                </pt>
                <pt idx="2380">
                  <v>1.327855786468894</v>
                </pt>
                <pt idx="2381">
                  <v>1.329385992723268</v>
                </pt>
                <pt idx="2382">
                  <v>1.329197884605297</v>
                </pt>
                <pt idx="2383">
                  <v>1.330678537204421</v>
                </pt>
                <pt idx="2384">
                  <v>1.330932253245514</v>
                </pt>
                <pt idx="2385">
                  <v>1.331437637798344</v>
                </pt>
                <pt idx="2386">
                  <v>1.33158224671956</v>
                </pt>
                <pt idx="2387">
                  <v>1.332457318186029</v>
                </pt>
                <pt idx="2388">
                  <v>1.332898435583755</v>
                </pt>
                <pt idx="2389">
                  <v>1.333059568194635</v>
                </pt>
                <pt idx="2390">
                  <v>1.333746686343174</v>
                </pt>
                <pt idx="2391">
                  <v>1.333465784471623</v>
                </pt>
                <pt idx="2392">
                  <v>1.333802484582202</v>
                </pt>
                <pt idx="2393">
                  <v>1.335234840250367</v>
                </pt>
                <pt idx="2394">
                  <v>1.335861139570158</v>
                </pt>
                <pt idx="2395">
                  <v>1.335825145533897</v>
                </pt>
                <pt idx="2396">
                  <v>1.333520698732835</v>
                </pt>
                <pt idx="2397">
                  <v>1.334136711211166</v>
                </pt>
                <pt idx="2398">
                  <v>1.332882029752978</v>
                </pt>
                <pt idx="2399">
                  <v>1.330122223461373</v>
                </pt>
                <pt idx="2400">
                  <v>1.32752878070834</v>
                </pt>
                <pt idx="2401">
                  <v>1.327235765605798</v>
                </pt>
                <pt idx="2402">
                  <v>1.326996568226708</v>
                </pt>
                <pt idx="2403">
                  <v>1.32908356521837</v>
                </pt>
                <pt idx="2404">
                  <v>1.329906563297144</v>
                </pt>
                <pt idx="2405">
                  <v>1.326672082767809</v>
                </pt>
                <pt idx="2406">
                  <v>1.326190279689751</v>
                </pt>
                <pt idx="2407">
                  <v>1.326156019774192</v>
                </pt>
                <pt idx="2408">
                  <v>1.327592025717604</v>
                </pt>
                <pt idx="2409">
                  <v>1.327051400742687</v>
                </pt>
                <pt idx="2410">
                  <v>1.326567321881728</v>
                </pt>
                <pt idx="2411">
                  <v>1.320966333554189</v>
                </pt>
                <pt idx="2412">
                  <v>1.317462543741455</v>
                </pt>
                <pt idx="2413">
                  <v>1.31217988490287</v>
                </pt>
                <pt idx="2414">
                  <v>1.314593494003384</v>
                </pt>
                <pt idx="2415">
                  <v>1.316312763194625</v>
                </pt>
                <pt idx="2416">
                  <v>1.317242518776361</v>
                </pt>
                <pt idx="2417">
                  <v>1.320402583578905</v>
                </pt>
                <pt idx="2418">
                  <v>1.321901093799869</v>
                </pt>
                <pt idx="2419">
                  <v>1.321889049812126</v>
                </pt>
                <pt idx="2420">
                  <v>1.325238422911228</v>
                </pt>
                <pt idx="2421">
                  <v>1.324681160154394</v>
                </pt>
                <pt idx="2422">
                  <v>1.324800602239001</v>
                </pt>
                <pt idx="2423">
                  <v>1.326671662289563</v>
                </pt>
                <pt idx="2424">
                  <v>1.325993511958189</v>
                </pt>
                <pt idx="2425">
                  <v>1.325374346654411</v>
                </pt>
                <pt idx="2426">
                  <v>1.3254745596814</v>
                </pt>
                <pt idx="2427">
                  <v>1.325303278913299</v>
                </pt>
                <pt idx="2428">
                  <v>1.325986399125619</v>
                </pt>
                <pt idx="2429">
                  <v>1.326488358643599</v>
                </pt>
                <pt idx="2430">
                  <v>1.326621597029845</v>
                </pt>
                <pt idx="2431">
                  <v>1.328628038494152</v>
                </pt>
                <pt idx="2432">
                  <v>1.32901370968866</v>
                </pt>
                <pt idx="2433">
                  <v>1.327172730364361</v>
                </pt>
                <pt idx="2434">
                  <v>1.327193006614408</v>
                </pt>
                <pt idx="2435">
                  <v>1.327819367980585</v>
                </pt>
                <pt idx="2436">
                  <v>1.329013446431113</v>
                </pt>
                <pt idx="2437">
                  <v>1.33086646034584</v>
                </pt>
                <pt idx="2438">
                  <v>1.331622022810189</v>
                </pt>
                <pt idx="2439">
                  <v>1.331852541378137</v>
                </pt>
                <pt idx="2440">
                  <v>1.331017987777348</v>
                </pt>
                <pt idx="2441">
                  <v>1.330977613565053</v>
                </pt>
                <pt idx="2442">
                  <v>1.33141003340306</v>
                </pt>
                <pt idx="2443">
                  <v>1.330729756843215</v>
                </pt>
                <pt idx="2444">
                  <v>1.332385776096175</v>
                </pt>
                <pt idx="2445">
                  <v>1.331928619732111</v>
                </pt>
                <pt idx="2446">
                  <v>1.333161097681569</v>
                </pt>
                <pt idx="2447">
                  <v>1.332840546502082</v>
                </pt>
                <pt idx="2448">
                  <v>1.333007447757183</v>
                </pt>
                <pt idx="2449">
                  <v>1.332673825615397</v>
                </pt>
                <pt idx="2450">
                  <v>1.331961289343302</v>
                </pt>
                <pt idx="2451">
                  <v>1.331915558672368</v>
                </pt>
                <pt idx="2452">
                  <v>1.33301890272211</v>
                </pt>
                <pt idx="2453">
                  <v>1.332159475812883</v>
                </pt>
                <pt idx="2454">
                  <v>1.332930056060781</v>
                </pt>
                <pt idx="2455">
                  <v>1.332808981580689</v>
                </pt>
                <pt idx="2456">
                  <v>1.333400378543794</v>
                </pt>
                <pt idx="2457">
                  <v>1.333844549025446</v>
                </pt>
                <pt idx="2458">
                  <v>1.334162745052864</v>
                </pt>
                <pt idx="2459">
                  <v>1.334701820922018</v>
                </pt>
                <pt idx="2460">
                  <v>1.335568116553897</v>
                </pt>
                <pt idx="2461">
                  <v>1.334985363665708</v>
                </pt>
                <pt idx="2462">
                  <v>1.337696496441752</v>
                </pt>
                <pt idx="2463">
                  <v>1.336506020876391</v>
                </pt>
                <pt idx="2464">
                  <v>1.3373089639936</v>
                </pt>
                <pt idx="2465">
                  <v>1.337845744952758</v>
                </pt>
                <pt idx="2466">
                  <v>1.338075780096126</v>
                </pt>
                <pt idx="2467">
                  <v>1.339462695642196</v>
                </pt>
                <pt idx="2468">
                  <v>1.339257683435169</v>
                </pt>
                <pt idx="2469">
                  <v>1.338990873543346</v>
                </pt>
                <pt idx="2470">
                  <v>1.339774183204369</v>
                </pt>
                <pt idx="2471">
                  <v>1.339676305257096</v>
                </pt>
                <pt idx="2472">
                  <v>1.340847405627275</v>
                </pt>
                <pt idx="2473">
                  <v>1.340881075795461</v>
                </pt>
                <pt idx="2474">
                  <v>1.340755256454516</v>
                </pt>
                <pt idx="2475">
                  <v>1.339426642481772</v>
                </pt>
                <pt idx="2476">
                  <v>1.342558891685216</v>
                </pt>
                <pt idx="2477">
                  <v>1.343989164424491</v>
                </pt>
                <pt idx="2478">
                  <v>1.344956761956812</v>
                </pt>
                <pt idx="2479">
                  <v>1.339930135498639</v>
                </pt>
                <pt idx="2480">
                  <v>1.340469606259303</v>
                </pt>
                <pt idx="2481">
                  <v>1.341233673934871</v>
                </pt>
                <pt idx="2482">
                  <v>1.340661414233992</v>
                </pt>
                <pt idx="2483">
                  <v>1.340491373677954</v>
                </pt>
                <pt idx="2484">
                  <v>1.341489667392629</v>
                </pt>
                <pt idx="2485">
                  <v>1.342465452071249</v>
                </pt>
                <pt idx="2486">
                  <v>1.341137082506425</v>
                </pt>
                <pt idx="2487">
                  <v>1.342995302441853</v>
                </pt>
                <pt idx="2488">
                  <v>1.343453413061686</v>
                </pt>
                <pt idx="2489">
                  <v>1.343430798262566</v>
                </pt>
                <pt idx="2490">
                  <v>1.342616082118464</v>
                </pt>
                <pt idx="2491">
                  <v>1.342929955922551</v>
                </pt>
                <pt idx="2492">
                  <v>1.34269949422067</v>
                </pt>
                <pt idx="2493">
                  <v>1.343642666020944</v>
                </pt>
                <pt idx="2494">
                  <v>1.344120629575973</v>
                </pt>
                <pt idx="2495">
                  <v>1.344799037127068</v>
                </pt>
                <pt idx="2496">
                  <v>1.344504077871591</v>
                </pt>
                <pt idx="2497">
                  <v>1.345329005818036</v>
                </pt>
                <pt idx="2498">
                  <v>1.344260665106416</v>
                </pt>
                <pt idx="2499">
                  <v>1.344568874204465</v>
                </pt>
                <pt idx="2500">
                  <v>1.345782870501331</v>
                </pt>
                <pt idx="2501">
                  <v>1.346132325453371</v>
                </pt>
                <pt idx="2502">
                  <v>1.345612793160875</v>
                </pt>
                <pt idx="2503">
                  <v>1.346838422146646</v>
                </pt>
                <pt idx="2504">
                  <v>1.347112428941196</v>
                </pt>
                <pt idx="2505">
                  <v>1.347491940448261</v>
                </pt>
                <pt idx="2506">
                  <v>1.347104985679362</v>
                </pt>
                <pt idx="2507">
                  <v>1.347387653208857</v>
                </pt>
                <pt idx="2508">
                  <v>1.337697989755675</v>
                </pt>
                <pt idx="2509">
                  <v>1.338926962625486</v>
                </pt>
                <pt idx="2510">
                  <v>1.337575315856715</v>
                </pt>
                <pt idx="2511">
                  <v>1.344241271062767</v>
                </pt>
                <pt idx="2512">
                  <v>1.345125557778914</v>
                </pt>
                <pt idx="2513">
                  <v>1.345488442762724</v>
                </pt>
                <pt idx="2514">
                  <v>1.344442773994624</v>
                </pt>
                <pt idx="2515">
                  <v>1.344190989739561</v>
                </pt>
                <pt idx="2516">
                  <v>1.344374845196046</v>
                </pt>
                <pt idx="2517">
                  <v>1.344032552422961</v>
                </pt>
                <pt idx="2518">
                  <v>1.344730179986144</v>
                </pt>
                <pt idx="2519">
                  <v>1.344245479463491</v>
                </pt>
                <pt idx="2520">
                  <v>1.343811661575146</v>
                </pt>
                <pt idx="2521">
                  <v>1.34457405072448</v>
                </pt>
                <pt idx="2522">
                  <v>1.343659292178637</v>
                </pt>
                <pt idx="2523">
                  <v>1.344222509365275</v>
                </pt>
                <pt idx="2524">
                  <v>1.343642850747625</v>
                </pt>
                <pt idx="2525">
                  <v>1.343874106611604</v>
                </pt>
                <pt idx="2526">
                  <v>1.344333487577047</v>
                </pt>
                <pt idx="2527">
                  <v>1.344072761565651</v>
                </pt>
                <pt idx="2528">
                  <v>1.344958206832687</v>
                </pt>
                <pt idx="2529">
                  <v>1.345486551248271</v>
                </pt>
                <pt idx="2530">
                  <v>1.346366648951293</v>
                </pt>
                <pt idx="2531">
                  <v>1.347271033348653</v>
                </pt>
                <pt idx="2532">
                  <v>1.343436550290961</v>
                </pt>
                <pt idx="2533">
                  <v>1.344732817291264</v>
                </pt>
                <pt idx="2534">
                  <v>1.345013343498426</v>
                </pt>
                <pt idx="2535">
                  <v>1.345468481069273</v>
                </pt>
                <pt idx="2536">
                  <v>1.345677925662827</v>
                </pt>
                <pt idx="2537">
                  <v>1.345162979576606</v>
                </pt>
                <pt idx="2538">
                  <v>1.346226629837068</v>
                </pt>
                <pt idx="2539">
                  <v>1.347129798324952</v>
                </pt>
                <pt idx="2540">
                  <v>1.347557586876465</v>
                </pt>
                <pt idx="2541">
                  <v>1.348279353692858</v>
                </pt>
                <pt idx="2542">
                  <v>1.34961175331194</v>
                </pt>
                <pt idx="2543">
                  <v>1.350192311301156</v>
                </pt>
                <pt idx="2544">
                  <v>1.34971876885331</v>
                </pt>
                <pt idx="2545">
                  <v>1.349403759489535</v>
                </pt>
                <pt idx="2546">
                  <v>1.350985560563158</v>
                </pt>
                <pt idx="2547">
                  <v>1.350840029396384</v>
                </pt>
                <pt idx="2548">
                  <v>1.352261188153977</v>
                </pt>
                <pt idx="2549">
                  <v>1.352923044879957</v>
                </pt>
                <pt idx="2550">
                  <v>1.348544008795638</v>
                </pt>
                <pt idx="2551">
                  <v>1.350969589952792</v>
                </pt>
                <pt idx="2552">
                  <v>1.34882417519008</v>
                </pt>
                <pt idx="2553">
                  <v>1.349348792859553</v>
                </pt>
                <pt idx="2554">
                  <v>1.347411727703582</v>
                </pt>
                <pt idx="2555">
                  <v>1.348525138927907</v>
                </pt>
                <pt idx="2556">
                  <v>1.344543019110716</v>
                </pt>
                <pt idx="2557">
                  <v>1.344119786847034</v>
                </pt>
                <pt idx="2558">
                  <v>1.342948013086189</v>
                </pt>
                <pt idx="2559">
                  <v>1.341778678407906</v>
                </pt>
                <pt idx="2560">
                  <v>1.344833088482782</v>
                </pt>
                <pt idx="2561">
                  <v>1.344016027668579</v>
                </pt>
                <pt idx="2562">
                  <v>1.343601025386258</v>
                </pt>
                <pt idx="2563">
                  <v>1.345701894878452</v>
                </pt>
                <pt idx="2564">
                  <v>1.345176622572151</v>
                </pt>
                <pt idx="2565">
                  <v>1.346313446282294</v>
                </pt>
                <pt idx="2566">
                  <v>1.347814810160473</v>
                </pt>
                <pt idx="2567">
                  <v>1.34685142208561</v>
                </pt>
                <pt idx="2568">
                  <v>1.349315860887711</v>
                </pt>
                <pt idx="2569">
                  <v>1.350510680082527</v>
                </pt>
                <pt idx="2570">
                  <v>1.352271370867499</v>
                </pt>
                <pt idx="2571">
                  <v>1.352214425217549</v>
                </pt>
                <pt idx="2572">
                  <v>1.353381010651393</v>
                </pt>
                <pt idx="2573">
                  <v>1.351577028952029</v>
                </pt>
                <pt idx="2574">
                  <v>1.351391562548611</v>
                </pt>
                <pt idx="2575">
                  <v>1.34710862730035</v>
                </pt>
                <pt idx="2576">
                  <v>1.347457378756084</v>
                </pt>
                <pt idx="2577">
                  <v>1.347661668266452</v>
                </pt>
                <pt idx="2578">
                  <v>1.347897883408862</v>
                </pt>
                <pt idx="2579">
                  <v>1.325575720977807</v>
                </pt>
                <pt idx="2580">
                  <v>1.308631991182981</v>
                </pt>
                <pt idx="2581">
                  <v>1.305305594064949</v>
                </pt>
                <pt idx="2582">
                  <v>1.303654309971479</v>
                </pt>
                <pt idx="2583">
                  <v>1.303638231568323</v>
                </pt>
                <pt idx="2584">
                  <v>1.28905935552731</v>
                </pt>
                <pt idx="2585">
                  <v>1.295546833191636</v>
                </pt>
                <pt idx="2586">
                  <v>1.303489183052517</v>
                </pt>
                <pt idx="2587">
                  <v>1.308730078561177</v>
                </pt>
                <pt idx="2588">
                  <v>1.303345890310749</v>
                </pt>
                <pt idx="2589">
                  <v>1.30683219575112</v>
                </pt>
                <pt idx="2590">
                  <v>1.301974119665204</v>
                </pt>
                <pt idx="2591">
                  <v>1.301459912219832</v>
                </pt>
                <pt idx="2592">
                  <v>1.301902191680002</v>
                </pt>
                <pt idx="2593">
                  <v>1.302543812476801</v>
                </pt>
                <pt idx="2594">
                  <v>1.306893440447932</v>
                </pt>
                <pt idx="2595">
                  <v>1.308720550082869</v>
                </pt>
                <pt idx="2596">
                  <v>1.309951765293708</v>
                </pt>
                <pt idx="2597">
                  <v>1.310561620615551</v>
                </pt>
                <pt idx="2598">
                  <v>1.31036831277651</v>
                </pt>
                <pt idx="2599">
                  <v>1.312293462222697</v>
                </pt>
                <pt idx="2600">
                  <v>1.31482006456863</v>
                </pt>
                <pt idx="2601">
                  <v>1.315063014098338</v>
                </pt>
                <pt idx="2602">
                  <v>1.316617199403834</v>
                </pt>
                <pt idx="2603">
                  <v>1.316326300148165</v>
                </pt>
                <pt idx="2604">
                  <v>1.31778142574374</v>
                </pt>
                <pt idx="2605">
                  <v>1.316897340827225</v>
                </pt>
                <pt idx="2606">
                  <v>1.318048382264071</v>
                </pt>
                <pt idx="2607">
                  <v>1.317479864061854</v>
                </pt>
                <pt idx="2608">
                  <v>1.317419625954736</v>
                </pt>
                <pt idx="2609">
                  <v>1.318471658716041</v>
                </pt>
                <pt idx="2610">
                  <v>1.318790362615322</v>
                </pt>
                <pt idx="2611">
                  <v>1.318827435277738</v>
                </pt>
                <pt idx="2612">
                  <v>1.31594096163106</v>
                </pt>
                <pt idx="2613">
                  <v>1.317524331039227</v>
                </pt>
                <pt idx="2614">
                  <v>1.316769535989134</v>
                </pt>
                <pt idx="2615">
                  <v>1.319871479246609</v>
                </pt>
                <pt idx="2616">
                  <v>1.321184678042266</v>
                </pt>
                <pt idx="2617">
                  <v>1.322448170989367</v>
                </pt>
                <pt idx="2618">
                  <v>1.323940700689014</v>
                </pt>
                <pt idx="2619">
                  <v>1.322343881099461</v>
                </pt>
                <pt idx="2620">
                  <v>1.323069333645342</v>
                </pt>
                <pt idx="2621">
                  <v>1.323764312564765</v>
                </pt>
                <pt idx="2622">
                  <v>1.323107799008195</v>
                </pt>
                <pt idx="2623">
                  <v>1.323997221473083</v>
                </pt>
                <pt idx="2624">
                  <v>1.325933788075691</v>
                </pt>
                <pt idx="2625">
                  <v>1.326749532007311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334569040"/>
        <axId val="1334570752"/>
      </lineChart>
      <dateAx>
        <axId val="1334569040"/>
        <scaling>
          <orientation val="minMax"/>
        </scaling>
        <delete val="0"/>
        <axPos val="b"/>
        <numFmt formatCode="m/d/yy" sourceLinked="1"/>
        <majorTickMark val="out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34570752"/>
        <crosses val="autoZero"/>
        <lblOffset val="100"/>
        <baseTimeUnit val="days"/>
      </dateAx>
      <valAx>
        <axId val="1334570752"/>
        <scaling>
          <orientation val="minMax"/>
          <max val="1.5"/>
          <min val="0.9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en-US"/>
          </a:p>
        </txPr>
        <crossAx val="1334569040"/>
        <crosses val="autoZero"/>
        <crossBetween val="between"/>
      </valAx>
    </plotArea>
    <legend>
      <legendPos val="b"/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None</a:t>
          </a:r>
          <a:endParaRPr lang="en-US"/>
        </a:p>
      </txPr>
    </legend>
    <plotVisOnly val="1"/>
    <dispBlanksAs val="gap"/>
  </chart>
  <spPr>
    <a:solidFill xmlns:a="http://schemas.openxmlformats.org/drawingml/2006/main">
      <a:schemeClr val="bg1"/>
    </a:solidFill>
    <a:ln xmlns:a="http://schemas.openxmlformats.org/drawingml/2006/main"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27</col>
      <colOff>395653</colOff>
      <row>2600</row>
      <rowOff>98669</rowOff>
    </from>
    <to>
      <col>32</col>
      <colOff>815730</colOff>
      <row>2613</row>
      <rowOff>174869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2" sqref="A2"/>
    </sheetView>
  </sheetViews>
  <sheetFormatPr baseColWidth="10" defaultRowHeight="16"/>
  <sheetData>
    <row r="1">
      <c r="A1" t="inlineStr">
        <is>
          <t>The work in this file is bsed on the file shortstraddle_021_050_composite_hedged_returns which is found in the trackopt subdirectory of ORATS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2682"/>
  <sheetViews>
    <sheetView zoomScale="130" zoomScaleNormal="130" workbookViewId="0">
      <pane xSplit="1" ySplit="1" topLeftCell="S2585" activePane="bottomRight" state="frozen"/>
      <selection pane="topRight" activeCell="B1" sqref="B1"/>
      <selection pane="bottomLeft" activeCell="A2" sqref="A2"/>
      <selection pane="bottomRight" activeCell="AC2625" sqref="AC2625:AE2627"/>
    </sheetView>
  </sheetViews>
  <sheetFormatPr baseColWidth="10" defaultRowHeight="16"/>
  <cols>
    <col width="10.83203125" customWidth="1" style="2" min="3" max="3"/>
    <col width="10.83203125" customWidth="1" style="2" min="22" max="25"/>
    <col width="10.83203125" customWidth="1" style="25" min="32" max="32"/>
  </cols>
  <sheetData>
    <row r="1">
      <c r="A1" t="inlineStr">
        <is>
          <t>obsdt</t>
        </is>
      </c>
      <c r="B1" t="inlineStr">
        <is>
          <t>ARKK_hedged</t>
        </is>
      </c>
      <c r="C1" s="2" t="inlineStr">
        <is>
          <t>DIA_hedged</t>
        </is>
      </c>
      <c r="D1" t="inlineStr">
        <is>
          <t>EEM_hedged</t>
        </is>
      </c>
      <c r="E1" t="inlineStr">
        <is>
          <t>EFA_hedged</t>
        </is>
      </c>
      <c r="F1" t="inlineStr">
        <is>
          <t>GLD_hedged</t>
        </is>
      </c>
      <c r="G1" t="inlineStr">
        <is>
          <t>HYG_hedged</t>
        </is>
      </c>
      <c r="H1" t="inlineStr">
        <is>
          <t>IEF_hedged</t>
        </is>
      </c>
      <c r="I1" t="inlineStr">
        <is>
          <t>IWM_hedged</t>
        </is>
      </c>
      <c r="J1" t="inlineStr">
        <is>
          <t>LQD_hedged</t>
        </is>
      </c>
      <c r="K1" t="inlineStr">
        <is>
          <t>SLV_hedged</t>
        </is>
      </c>
      <c r="L1" t="inlineStr">
        <is>
          <t>TLT_hedged</t>
        </is>
      </c>
      <c r="M1" t="inlineStr">
        <is>
          <t>XLB_hedged</t>
        </is>
      </c>
      <c r="N1" t="inlineStr">
        <is>
          <t>XLC_hedged</t>
        </is>
      </c>
      <c r="O1" t="inlineStr">
        <is>
          <t>XLE_hedged</t>
        </is>
      </c>
      <c r="P1" t="inlineStr">
        <is>
          <t>XLF_hedged</t>
        </is>
      </c>
      <c r="Q1" t="inlineStr">
        <is>
          <t>XLI_hedged</t>
        </is>
      </c>
      <c r="R1" t="inlineStr">
        <is>
          <t>XLK_hedged</t>
        </is>
      </c>
      <c r="S1" t="inlineStr">
        <is>
          <t>XLP_hedged</t>
        </is>
      </c>
      <c r="T1" t="inlineStr">
        <is>
          <t>XLU_hedged</t>
        </is>
      </c>
      <c r="U1" t="inlineStr">
        <is>
          <t>XLY_hedged</t>
        </is>
      </c>
      <c r="V1" s="2" t="inlineStr">
        <is>
          <t>SPY_hedged</t>
        </is>
      </c>
      <c r="W1" s="2" t="inlineStr">
        <is>
          <t>SPY_underlying</t>
        </is>
      </c>
      <c r="X1" s="2" t="inlineStr">
        <is>
          <t>VIX_chg</t>
        </is>
      </c>
      <c r="Y1" s="2" t="inlineStr">
        <is>
          <t>VIX_underlying</t>
        </is>
      </c>
      <c r="Z1" t="inlineStr">
        <is>
          <t>EQ_WGT</t>
        </is>
      </c>
      <c r="AA1" t="inlineStr">
        <is>
          <t>CORR_WGT</t>
        </is>
      </c>
      <c r="AB1" s="24" t="n">
        <v>0.01</v>
      </c>
      <c r="AC1" t="inlineStr">
        <is>
          <t>Date</t>
        </is>
      </c>
      <c r="AD1" s="2" t="inlineStr">
        <is>
          <t>SPY_hedged_1PCT</t>
        </is>
      </c>
      <c r="AE1" t="inlineStr">
        <is>
          <t>EQ_WGT_1PCT</t>
        </is>
      </c>
      <c r="AI1" s="24" t="n">
        <v>0.01</v>
      </c>
    </row>
    <row r="2">
      <c r="A2" s="1" t="n">
        <v>42004</v>
      </c>
      <c r="B2" s="3">
        <f>IF(ORIG!B2=0,"",ORIG!B2)</f>
        <v/>
      </c>
      <c r="C2" s="3">
        <f>IF(ORIG!C2=0,"",ORIG!C2)</f>
        <v/>
      </c>
      <c r="D2" s="3">
        <f>IF(ORIG!D2=0,"",ORIG!D2)</f>
        <v/>
      </c>
      <c r="E2" s="3">
        <f>IF(ORIG!E2=0,"",ORIG!E2)</f>
        <v/>
      </c>
      <c r="F2" s="3">
        <f>IF(ORIG!F2=0,"",ORIG!F2)</f>
        <v/>
      </c>
      <c r="G2" s="3">
        <f>IF(ORIG!G2=0,"",ORIG!G2)</f>
        <v/>
      </c>
      <c r="H2" s="3">
        <f>IF(ORIG!H2=0,"",ORIG!H2)</f>
        <v/>
      </c>
      <c r="I2" s="3">
        <f>IF(ORIG!I2=0,"",ORIG!I2)</f>
        <v/>
      </c>
      <c r="J2" s="3">
        <f>IF(ORIG!J2=0,"",ORIG!J2)</f>
        <v/>
      </c>
      <c r="K2" s="3">
        <f>IF(ORIG!K2=0,"",ORIG!K2)</f>
        <v/>
      </c>
      <c r="L2" s="3">
        <f>IF(ORIG!L2=0,"",ORIG!L2)</f>
        <v/>
      </c>
      <c r="M2" s="3">
        <f>IF(ORIG!M2=0,"",ORIG!M2)</f>
        <v/>
      </c>
      <c r="N2" s="3">
        <f>IF(ORIG!N2=0,"",ORIG!N2)</f>
        <v/>
      </c>
      <c r="O2" s="3">
        <f>IF(ORIG!O2=0,"",ORIG!O2)</f>
        <v/>
      </c>
      <c r="P2" s="3">
        <f>IF(ORIG!P2=0,"",ORIG!P2)</f>
        <v/>
      </c>
      <c r="Q2" s="3">
        <f>IF(ORIG!Q2=0,"",ORIG!Q2)</f>
        <v/>
      </c>
      <c r="R2" s="3">
        <f>IF(ORIG!R2=0,"",ORIG!R2)</f>
        <v/>
      </c>
      <c r="S2" s="3">
        <f>IF(ORIG!S2=0,"",ORIG!S2)</f>
        <v/>
      </c>
      <c r="T2" s="3">
        <f>IF(ORIG!T2=0,"",ORIG!T2)</f>
        <v/>
      </c>
      <c r="U2" s="3">
        <f>IF(ORIG!U2=0,"",ORIG!U2)</f>
        <v/>
      </c>
      <c r="V2" s="9">
        <f>IF(ORIG!V2=0,"",ORIG!V2)</f>
        <v/>
      </c>
      <c r="W2" s="9">
        <f>IF(ORIG!W2=0,"",ORIG!W2)</f>
        <v/>
      </c>
      <c r="X2" s="9">
        <f>IF(ORIG!X2=0,"",ORIG!X2)</f>
        <v/>
      </c>
      <c r="Y2" s="9">
        <f>IF(ORIG!Y2=0,"",ORIG!Y2)</f>
        <v/>
      </c>
      <c r="AC2" s="1">
        <f>A2</f>
        <v/>
      </c>
      <c r="AH2" s="1">
        <f>A2</f>
        <v/>
      </c>
      <c r="AI2" t="n">
        <v>1</v>
      </c>
      <c r="AJ2" t="n">
        <v>1</v>
      </c>
      <c r="AK2">
        <f>LN(AI2)</f>
        <v/>
      </c>
      <c r="AL2">
        <f>LN(AJ2)</f>
        <v/>
      </c>
    </row>
    <row r="3">
      <c r="A3" s="1" t="n">
        <v>42006</v>
      </c>
      <c r="B3" s="3">
        <f>IF(ORIG!B3=0,"",ORIG!B3)</f>
        <v/>
      </c>
      <c r="C3" s="3">
        <f>IF(ORIG!C3=0,"",ORIG!C3)</f>
        <v/>
      </c>
      <c r="D3" s="3">
        <f>IF(ORIG!D3=0,"",ORIG!D3)</f>
        <v/>
      </c>
      <c r="E3" s="3">
        <f>IF(ORIG!E3=0,"",ORIG!E3)</f>
        <v/>
      </c>
      <c r="F3" s="3">
        <f>IF(ORIG!F3=0,"",ORIG!F3)</f>
        <v/>
      </c>
      <c r="G3" s="3">
        <f>IF(ORIG!G3=0,"",ORIG!G3)</f>
        <v/>
      </c>
      <c r="H3" s="3">
        <f>IF(ORIG!H3=0,"",ORIG!H3)</f>
        <v/>
      </c>
      <c r="I3" s="3">
        <f>IF(ORIG!I3=0,"",ORIG!I3)</f>
        <v/>
      </c>
      <c r="J3" s="3">
        <f>IF(ORIG!J3=0,"",ORIG!J3)</f>
        <v/>
      </c>
      <c r="K3" s="3">
        <f>IF(ORIG!K3=0,"",ORIG!K3)</f>
        <v/>
      </c>
      <c r="L3" s="3">
        <f>IF(ORIG!L3=0,"",ORIG!L3)</f>
        <v/>
      </c>
      <c r="M3" s="3">
        <f>IF(ORIG!M3=0,"",ORIG!M3)</f>
        <v/>
      </c>
      <c r="N3" s="3">
        <f>IF(ORIG!N3=0,"",ORIG!N3)</f>
        <v/>
      </c>
      <c r="O3" s="3">
        <f>IF(ORIG!O3=0,"",ORIG!O3)</f>
        <v/>
      </c>
      <c r="P3" s="3">
        <f>IF(ORIG!P3=0,"",ORIG!P3)</f>
        <v/>
      </c>
      <c r="Q3" s="3">
        <f>IF(ORIG!Q3=0,"",ORIG!Q3)</f>
        <v/>
      </c>
      <c r="R3" s="3">
        <f>IF(ORIG!R3=0,"",ORIG!R3)</f>
        <v/>
      </c>
      <c r="S3" s="3">
        <f>IF(ORIG!S3=0,"",ORIG!S3)</f>
        <v/>
      </c>
      <c r="T3" s="3">
        <f>IF(ORIG!T3=0,"",ORIG!T3)</f>
        <v/>
      </c>
      <c r="U3" s="3">
        <f>IF(ORIG!U3=0,"",ORIG!U3)</f>
        <v/>
      </c>
      <c r="V3" s="9">
        <f>IF(ORIG!V3=0,"",ORIG!V3)</f>
        <v/>
      </c>
      <c r="W3" s="9">
        <f>IF(ORIG!W3=0,"",ORIG!W3)</f>
        <v/>
      </c>
      <c r="X3" s="9">
        <f>IF(ORIG!X3=0,"",ORIG!X3)</f>
        <v/>
      </c>
      <c r="Y3" s="9">
        <f>IF(ORIG!Y3=0,"",ORIG!Y3)</f>
        <v/>
      </c>
      <c r="Z3" s="3">
        <f>SUMPRODUCT($B3:$Y3,$B$2649:$Y$2649)</f>
        <v/>
      </c>
      <c r="AA3" s="3">
        <f>SUMPRODUCT($B3:$Y3,$B$2655:$Y$2655)</f>
        <v/>
      </c>
      <c r="AC3" s="1">
        <f>A3</f>
        <v/>
      </c>
      <c r="AD3">
        <f>IF(ISNUMBER(V3),V3*($AB$1/V$2635),"")</f>
        <v/>
      </c>
      <c r="AE3">
        <f>IF(ISNUMBER(Z3),Z3*($AB$1/Z$2635),"")</f>
        <v/>
      </c>
      <c r="AF3" s="25">
        <f>IF(ISNUMBER(AD3+AE3),AD3+AE3,"")</f>
        <v/>
      </c>
      <c r="AH3" s="1">
        <f>A3</f>
        <v/>
      </c>
      <c r="AI3">
        <f>IF(ISNUMBER((1+V3)*AI2),(1+V3)*AI2,AI2)</f>
        <v/>
      </c>
      <c r="AJ3">
        <f>IF(ISNUMBER((1+Z3)*AJ2),(1+Z3)*AJ2,AJ2)</f>
        <v/>
      </c>
    </row>
    <row r="4">
      <c r="A4" s="1" t="n">
        <v>42009</v>
      </c>
      <c r="B4" s="3">
        <f>IF(ORIG!B4=0,"",ORIG!B4)</f>
        <v/>
      </c>
      <c r="C4" s="3">
        <f>IF(ORIG!C4=0,"",ORIG!C4)</f>
        <v/>
      </c>
      <c r="D4" s="3">
        <f>IF(ORIG!D4=0,"",ORIG!D4)</f>
        <v/>
      </c>
      <c r="E4" s="3">
        <f>IF(ORIG!E4=0,"",ORIG!E4)</f>
        <v/>
      </c>
      <c r="F4" s="3">
        <f>IF(ORIG!F4=0,"",ORIG!F4)</f>
        <v/>
      </c>
      <c r="G4" s="3">
        <f>IF(ORIG!G4=0,"",ORIG!G4)</f>
        <v/>
      </c>
      <c r="H4" s="3">
        <f>IF(ORIG!H4=0,"",ORIG!H4)</f>
        <v/>
      </c>
      <c r="I4" s="3">
        <f>IF(ORIG!I4=0,"",ORIG!I4)</f>
        <v/>
      </c>
      <c r="J4" s="3">
        <f>IF(ORIG!J4=0,"",ORIG!J4)</f>
        <v/>
      </c>
      <c r="K4" s="3">
        <f>IF(ORIG!K4=0,"",ORIG!K4)</f>
        <v/>
      </c>
      <c r="L4" s="3">
        <f>IF(ORIG!L4=0,"",ORIG!L4)</f>
        <v/>
      </c>
      <c r="M4" s="3">
        <f>IF(ORIG!M4=0,"",ORIG!M4)</f>
        <v/>
      </c>
      <c r="N4" s="3">
        <f>IF(ORIG!N4=0,"",ORIG!N4)</f>
        <v/>
      </c>
      <c r="O4" s="3">
        <f>IF(ORIG!O4=0,"",ORIG!O4)</f>
        <v/>
      </c>
      <c r="P4" s="3">
        <f>IF(ORIG!P4=0,"",ORIG!P4)</f>
        <v/>
      </c>
      <c r="Q4" s="3">
        <f>IF(ORIG!Q4=0,"",ORIG!Q4)</f>
        <v/>
      </c>
      <c r="R4" s="3">
        <f>IF(ORIG!R4=0,"",ORIG!R4)</f>
        <v/>
      </c>
      <c r="S4" s="3">
        <f>IF(ORIG!S4=0,"",ORIG!S4)</f>
        <v/>
      </c>
      <c r="T4" s="3">
        <f>IF(ORIG!T4=0,"",ORIG!T4)</f>
        <v/>
      </c>
      <c r="U4" s="3">
        <f>IF(ORIG!U4=0,"",ORIG!U4)</f>
        <v/>
      </c>
      <c r="V4" s="9">
        <f>IF(ORIG!V4=0,"",ORIG!V4)</f>
        <v/>
      </c>
      <c r="W4" s="9">
        <f>IF(ORIG!W4=0,"",ORIG!W4)</f>
        <v/>
      </c>
      <c r="X4" s="9">
        <f>IF(ORIG!X4=0,"",ORIG!X4)</f>
        <v/>
      </c>
      <c r="Y4" s="9">
        <f>IF(ORIG!Y4=0,"",ORIG!Y4)</f>
        <v/>
      </c>
      <c r="Z4" s="3">
        <f>SUMPRODUCT($B4:$Y4,$B$2649:$Y$2649)</f>
        <v/>
      </c>
      <c r="AA4" s="3">
        <f>SUMPRODUCT($B4:$Y4,$B$2655:$Y$2655)</f>
        <v/>
      </c>
      <c r="AC4" s="1">
        <f>A4</f>
        <v/>
      </c>
      <c r="AD4">
        <f>IF(ISNUMBER(V4),V4*($AB$1/V$2635),"")</f>
        <v/>
      </c>
      <c r="AE4">
        <f>IF(ISNUMBER(Z4),Z4*($AB$1/Z$2635),"")</f>
        <v/>
      </c>
      <c r="AF4" s="25">
        <f>IF(ISNUMBER(AD4+AE4),AD4+AE4,"")</f>
        <v/>
      </c>
      <c r="AH4" s="1">
        <f>A4</f>
        <v/>
      </c>
      <c r="AI4">
        <f>IF(ISNUMBER((1+V4)*AI3),(1+V4)*AI3,AI3)</f>
        <v/>
      </c>
      <c r="AJ4">
        <f>IF(ISNUMBER((1+Z4)*AJ3),(1+Z4)*AJ3,AJ3)</f>
        <v/>
      </c>
    </row>
    <row r="5">
      <c r="A5" s="1" t="n">
        <v>42010</v>
      </c>
      <c r="B5" s="3">
        <f>IF(ORIG!B5=0,"",ORIG!B5)</f>
        <v/>
      </c>
      <c r="C5" s="3">
        <f>IF(ORIG!C5=0,"",ORIG!C5)</f>
        <v/>
      </c>
      <c r="D5" s="3">
        <f>IF(ORIG!D5=0,"",ORIG!D5)</f>
        <v/>
      </c>
      <c r="E5" s="3">
        <f>IF(ORIG!E5=0,"",ORIG!E5)</f>
        <v/>
      </c>
      <c r="F5" s="3">
        <f>IF(ORIG!F5=0,"",ORIG!F5)</f>
        <v/>
      </c>
      <c r="G5" s="3">
        <f>IF(ORIG!G5=0,"",ORIG!G5)</f>
        <v/>
      </c>
      <c r="H5" s="3">
        <f>IF(ORIG!H5=0,"",ORIG!H5)</f>
        <v/>
      </c>
      <c r="I5" s="3">
        <f>IF(ORIG!I5=0,"",ORIG!I5)</f>
        <v/>
      </c>
      <c r="J5" s="3">
        <f>IF(ORIG!J5=0,"",ORIG!J5)</f>
        <v/>
      </c>
      <c r="K5" s="3">
        <f>IF(ORIG!K5=0,"",ORIG!K5)</f>
        <v/>
      </c>
      <c r="L5" s="3">
        <f>IF(ORIG!L5=0,"",ORIG!L5)</f>
        <v/>
      </c>
      <c r="M5" s="3">
        <f>IF(ORIG!M5=0,"",ORIG!M5)</f>
        <v/>
      </c>
      <c r="N5" s="3">
        <f>IF(ORIG!N5=0,"",ORIG!N5)</f>
        <v/>
      </c>
      <c r="O5" s="3">
        <f>IF(ORIG!O5=0,"",ORIG!O5)</f>
        <v/>
      </c>
      <c r="P5" s="3">
        <f>IF(ORIG!P5=0,"",ORIG!P5)</f>
        <v/>
      </c>
      <c r="Q5" s="3">
        <f>IF(ORIG!Q5=0,"",ORIG!Q5)</f>
        <v/>
      </c>
      <c r="R5" s="3">
        <f>IF(ORIG!R5=0,"",ORIG!R5)</f>
        <v/>
      </c>
      <c r="S5" s="3">
        <f>IF(ORIG!S5=0,"",ORIG!S5)</f>
        <v/>
      </c>
      <c r="T5" s="3">
        <f>IF(ORIG!T5=0,"",ORIG!T5)</f>
        <v/>
      </c>
      <c r="U5" s="3">
        <f>IF(ORIG!U5=0,"",ORIG!U5)</f>
        <v/>
      </c>
      <c r="V5" s="9">
        <f>IF(ORIG!V5=0,"",ORIG!V5)</f>
        <v/>
      </c>
      <c r="W5" s="9">
        <f>IF(ORIG!W5=0,"",ORIG!W5)</f>
        <v/>
      </c>
      <c r="X5" s="9">
        <f>IF(ORIG!X5=0,"",ORIG!X5)</f>
        <v/>
      </c>
      <c r="Y5" s="9">
        <f>IF(ORIG!Y5=0,"",ORIG!Y5)</f>
        <v/>
      </c>
      <c r="Z5" s="3">
        <f>SUMPRODUCT($B5:$Y5,$B$2649:$Y$2649)</f>
        <v/>
      </c>
      <c r="AA5" s="3">
        <f>SUMPRODUCT($B5:$Y5,$B$2655:$Y$2655)</f>
        <v/>
      </c>
      <c r="AC5" s="1">
        <f>A5</f>
        <v/>
      </c>
      <c r="AD5">
        <f>IF(ISNUMBER(V5),V5*($AB$1/V$2635),"")</f>
        <v/>
      </c>
      <c r="AE5">
        <f>IF(ISNUMBER(Z5),Z5*($AB$1/Z$2635),"")</f>
        <v/>
      </c>
      <c r="AF5" s="25">
        <f>IF(ISNUMBER(AD5+AE5),AD5+AE5,"")</f>
        <v/>
      </c>
      <c r="AH5" s="1">
        <f>A5</f>
        <v/>
      </c>
      <c r="AI5">
        <f>IF(ISNUMBER((1+V5)*AI4),(1+V5)*AI4,AI4)</f>
        <v/>
      </c>
      <c r="AJ5">
        <f>IF(ISNUMBER((1+Z5)*AJ4),(1+Z5)*AJ4,AJ4)</f>
        <v/>
      </c>
    </row>
    <row r="6">
      <c r="A6" s="1" t="n">
        <v>42011</v>
      </c>
      <c r="B6" s="3">
        <f>IF(ORIG!B6=0,"",ORIG!B6)</f>
        <v/>
      </c>
      <c r="C6" s="3">
        <f>IF(ORIG!C6=0,"",ORIG!C6)</f>
        <v/>
      </c>
      <c r="D6" s="3">
        <f>IF(ORIG!D6=0,"",ORIG!D6)</f>
        <v/>
      </c>
      <c r="E6" s="3">
        <f>IF(ORIG!E6=0,"",ORIG!E6)</f>
        <v/>
      </c>
      <c r="F6" s="3">
        <f>IF(ORIG!F6=0,"",ORIG!F6)</f>
        <v/>
      </c>
      <c r="G6" s="3">
        <f>IF(ORIG!G6=0,"",ORIG!G6)</f>
        <v/>
      </c>
      <c r="H6" s="3">
        <f>IF(ORIG!H6=0,"",ORIG!H6)</f>
        <v/>
      </c>
      <c r="I6" s="3">
        <f>IF(ORIG!I6=0,"",ORIG!I6)</f>
        <v/>
      </c>
      <c r="J6" s="3">
        <f>IF(ORIG!J6=0,"",ORIG!J6)</f>
        <v/>
      </c>
      <c r="K6" s="3">
        <f>IF(ORIG!K6=0,"",ORIG!K6)</f>
        <v/>
      </c>
      <c r="L6" s="3">
        <f>IF(ORIG!L6=0,"",ORIG!L6)</f>
        <v/>
      </c>
      <c r="M6" s="3">
        <f>IF(ORIG!M6=0,"",ORIG!M6)</f>
        <v/>
      </c>
      <c r="N6" s="3">
        <f>IF(ORIG!N6=0,"",ORIG!N6)</f>
        <v/>
      </c>
      <c r="O6" s="3">
        <f>IF(ORIG!O6=0,"",ORIG!O6)</f>
        <v/>
      </c>
      <c r="P6" s="3">
        <f>IF(ORIG!P6=0,"",ORIG!P6)</f>
        <v/>
      </c>
      <c r="Q6" s="3">
        <f>IF(ORIG!Q6=0,"",ORIG!Q6)</f>
        <v/>
      </c>
      <c r="R6" s="3">
        <f>IF(ORIG!R6=0,"",ORIG!R6)</f>
        <v/>
      </c>
      <c r="S6" s="3">
        <f>IF(ORIG!S6=0,"",ORIG!S6)</f>
        <v/>
      </c>
      <c r="T6" s="3">
        <f>IF(ORIG!T6=0,"",ORIG!T6)</f>
        <v/>
      </c>
      <c r="U6" s="3">
        <f>IF(ORIG!U6=0,"",ORIG!U6)</f>
        <v/>
      </c>
      <c r="V6" s="9">
        <f>IF(ORIG!V6=0,"",ORIG!V6)</f>
        <v/>
      </c>
      <c r="W6" s="9">
        <f>IF(ORIG!W6=0,"",ORIG!W6)</f>
        <v/>
      </c>
      <c r="X6" s="9">
        <f>IF(ORIG!X6=0,"",ORIG!X6)</f>
        <v/>
      </c>
      <c r="Y6" s="9">
        <f>IF(ORIG!Y6=0,"",ORIG!Y6)</f>
        <v/>
      </c>
      <c r="Z6" s="3">
        <f>SUMPRODUCT($B6:$Y6,$B$2649:$Y$2649)</f>
        <v/>
      </c>
      <c r="AA6" s="3">
        <f>SUMPRODUCT($B6:$Y6,$B$2655:$Y$2655)</f>
        <v/>
      </c>
      <c r="AC6" s="1">
        <f>A6</f>
        <v/>
      </c>
      <c r="AD6">
        <f>IF(ISNUMBER(V6),V6*($AB$1/V$2635),"")</f>
        <v/>
      </c>
      <c r="AE6">
        <f>IF(ISNUMBER(Z6),Z6*($AB$1/Z$2635),"")</f>
        <v/>
      </c>
      <c r="AF6" s="25">
        <f>IF(ISNUMBER(AD6+AE6),AD6+AE6,"")</f>
        <v/>
      </c>
      <c r="AH6" s="1">
        <f>A6</f>
        <v/>
      </c>
      <c r="AI6">
        <f>IF(ISNUMBER((1+V6)*AI5),(1+V6)*AI5,AI5)</f>
        <v/>
      </c>
      <c r="AJ6">
        <f>IF(ISNUMBER((1+Z6)*AJ5),(1+Z6)*AJ5,AJ5)</f>
        <v/>
      </c>
    </row>
    <row r="7">
      <c r="A7" s="1" t="n">
        <v>42012</v>
      </c>
      <c r="B7" s="3">
        <f>IF(ORIG!B7=0,"",ORIG!B7)</f>
        <v/>
      </c>
      <c r="C7" s="3">
        <f>IF(ORIG!C7=0,"",ORIG!C7)</f>
        <v/>
      </c>
      <c r="D7" s="3">
        <f>IF(ORIG!D7=0,"",ORIG!D7)</f>
        <v/>
      </c>
      <c r="E7" s="3">
        <f>IF(ORIG!E7=0,"",ORIG!E7)</f>
        <v/>
      </c>
      <c r="F7" s="3">
        <f>IF(ORIG!F7=0,"",ORIG!F7)</f>
        <v/>
      </c>
      <c r="G7" s="3">
        <f>IF(ORIG!G7=0,"",ORIG!G7)</f>
        <v/>
      </c>
      <c r="H7" s="3">
        <f>IF(ORIG!H7=0,"",ORIG!H7)</f>
        <v/>
      </c>
      <c r="I7" s="3">
        <f>IF(ORIG!I7=0,"",ORIG!I7)</f>
        <v/>
      </c>
      <c r="J7" s="3">
        <f>IF(ORIG!J7=0,"",ORIG!J7)</f>
        <v/>
      </c>
      <c r="K7" s="3">
        <f>IF(ORIG!K7=0,"",ORIG!K7)</f>
        <v/>
      </c>
      <c r="L7" s="3">
        <f>IF(ORIG!L7=0,"",ORIG!L7)</f>
        <v/>
      </c>
      <c r="M7" s="3">
        <f>IF(ORIG!M7=0,"",ORIG!M7)</f>
        <v/>
      </c>
      <c r="N7" s="3">
        <f>IF(ORIG!N7=0,"",ORIG!N7)</f>
        <v/>
      </c>
      <c r="O7" s="3">
        <f>IF(ORIG!O7=0,"",ORIG!O7)</f>
        <v/>
      </c>
      <c r="P7" s="3">
        <f>IF(ORIG!P7=0,"",ORIG!P7)</f>
        <v/>
      </c>
      <c r="Q7" s="3">
        <f>IF(ORIG!Q7=0,"",ORIG!Q7)</f>
        <v/>
      </c>
      <c r="R7" s="3">
        <f>IF(ORIG!R7=0,"",ORIG!R7)</f>
        <v/>
      </c>
      <c r="S7" s="3">
        <f>IF(ORIG!S7=0,"",ORIG!S7)</f>
        <v/>
      </c>
      <c r="T7" s="3">
        <f>IF(ORIG!T7=0,"",ORIG!T7)</f>
        <v/>
      </c>
      <c r="U7" s="3">
        <f>IF(ORIG!U7=0,"",ORIG!U7)</f>
        <v/>
      </c>
      <c r="V7" s="9">
        <f>IF(ORIG!V7=0,"",ORIG!V7)</f>
        <v/>
      </c>
      <c r="W7" s="9">
        <f>IF(ORIG!W7=0,"",ORIG!W7)</f>
        <v/>
      </c>
      <c r="X7" s="9">
        <f>IF(ORIG!X7=0,"",ORIG!X7)</f>
        <v/>
      </c>
      <c r="Y7" s="9">
        <f>IF(ORIG!Y7=0,"",ORIG!Y7)</f>
        <v/>
      </c>
      <c r="Z7" s="3">
        <f>SUMPRODUCT($B7:$Y7,$B$2649:$Y$2649)</f>
        <v/>
      </c>
      <c r="AA7" s="3">
        <f>SUMPRODUCT($B7:$Y7,$B$2655:$Y$2655)</f>
        <v/>
      </c>
      <c r="AC7" s="1">
        <f>A7</f>
        <v/>
      </c>
      <c r="AD7">
        <f>IF(ISNUMBER(V7),V7*($AB$1/V$2635),"")</f>
        <v/>
      </c>
      <c r="AE7">
        <f>IF(ISNUMBER(Z7),Z7*($AB$1/Z$2635),"")</f>
        <v/>
      </c>
      <c r="AF7" s="25">
        <f>IF(ISNUMBER(AD7+AE7),AD7+AE7,"")</f>
        <v/>
      </c>
      <c r="AH7" s="1">
        <f>A7</f>
        <v/>
      </c>
      <c r="AI7">
        <f>IF(ISNUMBER((1+V7)*AI6),(1+V7)*AI6,AI6)</f>
        <v/>
      </c>
      <c r="AJ7">
        <f>IF(ISNUMBER((1+Z7)*AJ6),(1+Z7)*AJ6,AJ6)</f>
        <v/>
      </c>
    </row>
    <row r="8">
      <c r="A8" s="1" t="n">
        <v>42013</v>
      </c>
      <c r="B8" s="3">
        <f>IF(ORIG!B8=0,"",ORIG!B8)</f>
        <v/>
      </c>
      <c r="C8" s="3">
        <f>IF(ORIG!C8=0,"",ORIG!C8)</f>
        <v/>
      </c>
      <c r="D8" s="3">
        <f>IF(ORIG!D8=0,"",ORIG!D8)</f>
        <v/>
      </c>
      <c r="E8" s="3">
        <f>IF(ORIG!E8=0,"",ORIG!E8)</f>
        <v/>
      </c>
      <c r="F8" s="3">
        <f>IF(ORIG!F8=0,"",ORIG!F8)</f>
        <v/>
      </c>
      <c r="G8" s="3">
        <f>IF(ORIG!G8=0,"",ORIG!G8)</f>
        <v/>
      </c>
      <c r="H8" s="3">
        <f>IF(ORIG!H8=0,"",ORIG!H8)</f>
        <v/>
      </c>
      <c r="I8" s="3">
        <f>IF(ORIG!I8=0,"",ORIG!I8)</f>
        <v/>
      </c>
      <c r="J8" s="3">
        <f>IF(ORIG!J8=0,"",ORIG!J8)</f>
        <v/>
      </c>
      <c r="K8" s="3">
        <f>IF(ORIG!K8=0,"",ORIG!K8)</f>
        <v/>
      </c>
      <c r="L8" s="3">
        <f>IF(ORIG!L8=0,"",ORIG!L8)</f>
        <v/>
      </c>
      <c r="M8" s="3">
        <f>IF(ORIG!M8=0,"",ORIG!M8)</f>
        <v/>
      </c>
      <c r="N8" s="3">
        <f>IF(ORIG!N8=0,"",ORIG!N8)</f>
        <v/>
      </c>
      <c r="O8" s="3">
        <f>IF(ORIG!O8=0,"",ORIG!O8)</f>
        <v/>
      </c>
      <c r="P8" s="3">
        <f>IF(ORIG!P8=0,"",ORIG!P8)</f>
        <v/>
      </c>
      <c r="Q8" s="3">
        <f>IF(ORIG!Q8=0,"",ORIG!Q8)</f>
        <v/>
      </c>
      <c r="R8" s="3">
        <f>IF(ORIG!R8=0,"",ORIG!R8)</f>
        <v/>
      </c>
      <c r="S8" s="3">
        <f>IF(ORIG!S8=0,"",ORIG!S8)</f>
        <v/>
      </c>
      <c r="T8" s="3">
        <f>IF(ORIG!T8=0,"",ORIG!T8)</f>
        <v/>
      </c>
      <c r="U8" s="3">
        <f>IF(ORIG!U8=0,"",ORIG!U8)</f>
        <v/>
      </c>
      <c r="V8" s="9">
        <f>IF(ORIG!V8=0,"",ORIG!V8)</f>
        <v/>
      </c>
      <c r="W8" s="9">
        <f>IF(ORIG!W8=0,"",ORIG!W8)</f>
        <v/>
      </c>
      <c r="X8" s="9">
        <f>IF(ORIG!X8=0,"",ORIG!X8)</f>
        <v/>
      </c>
      <c r="Y8" s="9">
        <f>IF(ORIG!Y8=0,"",ORIG!Y8)</f>
        <v/>
      </c>
      <c r="Z8" s="3">
        <f>SUMPRODUCT($B8:$Y8,$B$2649:$Y$2649)</f>
        <v/>
      </c>
      <c r="AA8" s="3">
        <f>SUMPRODUCT($B8:$Y8,$B$2655:$Y$2655)</f>
        <v/>
      </c>
      <c r="AC8" s="1">
        <f>A8</f>
        <v/>
      </c>
      <c r="AD8">
        <f>IF(ISNUMBER(V8),V8*($AB$1/V$2635),"")</f>
        <v/>
      </c>
      <c r="AE8">
        <f>IF(ISNUMBER(Z8),Z8*($AB$1/Z$2635),"")</f>
        <v/>
      </c>
      <c r="AF8" s="25">
        <f>IF(ISNUMBER(AD8+AE8),AD8+AE8,"")</f>
        <v/>
      </c>
      <c r="AH8" s="1">
        <f>A8</f>
        <v/>
      </c>
      <c r="AI8">
        <f>IF(ISNUMBER((1+V8)*AI7),(1+V8)*AI7,AI7)</f>
        <v/>
      </c>
      <c r="AJ8">
        <f>IF(ISNUMBER((1+Z8)*AJ7),(1+Z8)*AJ7,AJ7)</f>
        <v/>
      </c>
    </row>
    <row r="9">
      <c r="A9" s="1" t="n">
        <v>42016</v>
      </c>
      <c r="B9" s="3">
        <f>IF(ORIG!B9=0,"",ORIG!B9)</f>
        <v/>
      </c>
      <c r="C9" s="3">
        <f>IF(ORIG!C9=0,"",ORIG!C9)</f>
        <v/>
      </c>
      <c r="D9" s="3">
        <f>IF(ORIG!D9=0,"",ORIG!D9)</f>
        <v/>
      </c>
      <c r="E9" s="3">
        <f>IF(ORIG!E9=0,"",ORIG!E9)</f>
        <v/>
      </c>
      <c r="F9" s="3">
        <f>IF(ORIG!F9=0,"",ORIG!F9)</f>
        <v/>
      </c>
      <c r="G9" s="3">
        <f>IF(ORIG!G9=0,"",ORIG!G9)</f>
        <v/>
      </c>
      <c r="H9" s="3">
        <f>IF(ORIG!H9=0,"",ORIG!H9)</f>
        <v/>
      </c>
      <c r="I9" s="3">
        <f>IF(ORIG!I9=0,"",ORIG!I9)</f>
        <v/>
      </c>
      <c r="J9" s="3">
        <f>IF(ORIG!J9=0,"",ORIG!J9)</f>
        <v/>
      </c>
      <c r="K9" s="3">
        <f>IF(ORIG!K9=0,"",ORIG!K9)</f>
        <v/>
      </c>
      <c r="L9" s="3">
        <f>IF(ORIG!L9=0,"",ORIG!L9)</f>
        <v/>
      </c>
      <c r="M9" s="3">
        <f>IF(ORIG!M9=0,"",ORIG!M9)</f>
        <v/>
      </c>
      <c r="N9" s="3">
        <f>IF(ORIG!N9=0,"",ORIG!N9)</f>
        <v/>
      </c>
      <c r="O9" s="3">
        <f>IF(ORIG!O9=0,"",ORIG!O9)</f>
        <v/>
      </c>
      <c r="P9" s="3">
        <f>IF(ORIG!P9=0,"",ORIG!P9)</f>
        <v/>
      </c>
      <c r="Q9" s="3">
        <f>IF(ORIG!Q9=0,"",ORIG!Q9)</f>
        <v/>
      </c>
      <c r="R9" s="3">
        <f>IF(ORIG!R9=0,"",ORIG!R9)</f>
        <v/>
      </c>
      <c r="S9" s="3">
        <f>IF(ORIG!S9=0,"",ORIG!S9)</f>
        <v/>
      </c>
      <c r="T9" s="3">
        <f>IF(ORIG!T9=0,"",ORIG!T9)</f>
        <v/>
      </c>
      <c r="U9" s="3">
        <f>IF(ORIG!U9=0,"",ORIG!U9)</f>
        <v/>
      </c>
      <c r="V9" s="9">
        <f>IF(ORIG!V9=0,"",ORIG!V9)</f>
        <v/>
      </c>
      <c r="W9" s="9">
        <f>IF(ORIG!W9=0,"",ORIG!W9)</f>
        <v/>
      </c>
      <c r="X9" s="9">
        <f>IF(ORIG!X9=0,"",ORIG!X9)</f>
        <v/>
      </c>
      <c r="Y9" s="9">
        <f>IF(ORIG!Y9=0,"",ORIG!Y9)</f>
        <v/>
      </c>
      <c r="Z9" s="3">
        <f>SUMPRODUCT($B9:$Y9,$B$2649:$Y$2649)</f>
        <v/>
      </c>
      <c r="AA9" s="3">
        <f>SUMPRODUCT($B9:$Y9,$B$2655:$Y$2655)</f>
        <v/>
      </c>
      <c r="AC9" s="1">
        <f>A9</f>
        <v/>
      </c>
      <c r="AD9">
        <f>IF(ISNUMBER(V9),V9*($AB$1/V$2635),"")</f>
        <v/>
      </c>
      <c r="AE9">
        <f>IF(ISNUMBER(Z9),Z9*($AB$1/Z$2635),"")</f>
        <v/>
      </c>
      <c r="AF9" s="25">
        <f>IF(ISNUMBER(AD9+AE9),AD9+AE9,"")</f>
        <v/>
      </c>
      <c r="AH9" s="1">
        <f>A9</f>
        <v/>
      </c>
      <c r="AI9">
        <f>IF(ISNUMBER((1+V9)*AI8),(1+V9)*AI8,AI8)</f>
        <v/>
      </c>
      <c r="AJ9">
        <f>IF(ISNUMBER((1+Z9)*AJ8),(1+Z9)*AJ8,AJ8)</f>
        <v/>
      </c>
    </row>
    <row r="10">
      <c r="A10" s="1" t="n">
        <v>42017</v>
      </c>
      <c r="B10" s="3">
        <f>IF(ORIG!B10=0,"",ORIG!B10)</f>
        <v/>
      </c>
      <c r="C10" s="3">
        <f>IF(ORIG!C10=0,"",ORIG!C10)</f>
        <v/>
      </c>
      <c r="D10" s="3">
        <f>IF(ORIG!D10=0,"",ORIG!D10)</f>
        <v/>
      </c>
      <c r="E10" s="3">
        <f>IF(ORIG!E10=0,"",ORIG!E10)</f>
        <v/>
      </c>
      <c r="F10" s="3">
        <f>IF(ORIG!F10=0,"",ORIG!F10)</f>
        <v/>
      </c>
      <c r="G10" s="3">
        <f>IF(ORIG!G10=0,"",ORIG!G10)</f>
        <v/>
      </c>
      <c r="H10" s="3">
        <f>IF(ORIG!H10=0,"",ORIG!H10)</f>
        <v/>
      </c>
      <c r="I10" s="3">
        <f>IF(ORIG!I10=0,"",ORIG!I10)</f>
        <v/>
      </c>
      <c r="J10" s="3">
        <f>IF(ORIG!J10=0,"",ORIG!J10)</f>
        <v/>
      </c>
      <c r="K10" s="3">
        <f>IF(ORIG!K10=0,"",ORIG!K10)</f>
        <v/>
      </c>
      <c r="L10" s="3">
        <f>IF(ORIG!L10=0,"",ORIG!L10)</f>
        <v/>
      </c>
      <c r="M10" s="3">
        <f>IF(ORIG!M10=0,"",ORIG!M10)</f>
        <v/>
      </c>
      <c r="N10" s="3">
        <f>IF(ORIG!N10=0,"",ORIG!N10)</f>
        <v/>
      </c>
      <c r="O10" s="3">
        <f>IF(ORIG!O10=0,"",ORIG!O10)</f>
        <v/>
      </c>
      <c r="P10" s="3">
        <f>IF(ORIG!P10=0,"",ORIG!P10)</f>
        <v/>
      </c>
      <c r="Q10" s="3">
        <f>IF(ORIG!Q10=0,"",ORIG!Q10)</f>
        <v/>
      </c>
      <c r="R10" s="3">
        <f>IF(ORIG!R10=0,"",ORIG!R10)</f>
        <v/>
      </c>
      <c r="S10" s="3">
        <f>IF(ORIG!S10=0,"",ORIG!S10)</f>
        <v/>
      </c>
      <c r="T10" s="3">
        <f>IF(ORIG!T10=0,"",ORIG!T10)</f>
        <v/>
      </c>
      <c r="U10" s="3">
        <f>IF(ORIG!U10=0,"",ORIG!U10)</f>
        <v/>
      </c>
      <c r="V10" s="9">
        <f>IF(ORIG!V10=0,"",ORIG!V10)</f>
        <v/>
      </c>
      <c r="W10" s="9">
        <f>IF(ORIG!W10=0,"",ORIG!W10)</f>
        <v/>
      </c>
      <c r="X10" s="9">
        <f>IF(ORIG!X10=0,"",ORIG!X10)</f>
        <v/>
      </c>
      <c r="Y10" s="9">
        <f>IF(ORIG!Y10=0,"",ORIG!Y10)</f>
        <v/>
      </c>
      <c r="Z10" s="3">
        <f>SUMPRODUCT($B10:$Y10,$B$2649:$Y$2649)</f>
        <v/>
      </c>
      <c r="AA10" s="3">
        <f>SUMPRODUCT($B10:$Y10,$B$2655:$Y$2655)</f>
        <v/>
      </c>
      <c r="AC10" s="1">
        <f>A10</f>
        <v/>
      </c>
      <c r="AD10">
        <f>IF(ISNUMBER(V10),V10*($AB$1/V$2635),"")</f>
        <v/>
      </c>
      <c r="AE10">
        <f>IF(ISNUMBER(Z10),Z10*($AB$1/Z$2635),"")</f>
        <v/>
      </c>
      <c r="AF10" s="25">
        <f>IF(ISNUMBER(AD10+AE10),AD10+AE10,"")</f>
        <v/>
      </c>
      <c r="AH10" s="1">
        <f>A10</f>
        <v/>
      </c>
      <c r="AI10">
        <f>IF(ISNUMBER((1+V10)*AI9),(1+V10)*AI9,AI9)</f>
        <v/>
      </c>
      <c r="AJ10">
        <f>IF(ISNUMBER((1+Z10)*AJ9),(1+Z10)*AJ9,AJ9)</f>
        <v/>
      </c>
    </row>
    <row r="11">
      <c r="A11" s="1" t="n">
        <v>42018</v>
      </c>
      <c r="B11" s="3">
        <f>IF(ORIG!B11=0,"",ORIG!B11)</f>
        <v/>
      </c>
      <c r="C11" s="3">
        <f>IF(ORIG!C11=0,"",ORIG!C11)</f>
        <v/>
      </c>
      <c r="D11" s="3">
        <f>IF(ORIG!D11=0,"",ORIG!D11)</f>
        <v/>
      </c>
      <c r="E11" s="3">
        <f>IF(ORIG!E11=0,"",ORIG!E11)</f>
        <v/>
      </c>
      <c r="F11" s="3">
        <f>IF(ORIG!F11=0,"",ORIG!F11)</f>
        <v/>
      </c>
      <c r="G11" s="3">
        <f>IF(ORIG!G11=0,"",ORIG!G11)</f>
        <v/>
      </c>
      <c r="H11" s="3">
        <f>IF(ORIG!H11=0,"",ORIG!H11)</f>
        <v/>
      </c>
      <c r="I11" s="3">
        <f>IF(ORIG!I11=0,"",ORIG!I11)</f>
        <v/>
      </c>
      <c r="J11" s="3">
        <f>IF(ORIG!J11=0,"",ORIG!J11)</f>
        <v/>
      </c>
      <c r="K11" s="3">
        <f>IF(ORIG!K11=0,"",ORIG!K11)</f>
        <v/>
      </c>
      <c r="L11" s="3">
        <f>IF(ORIG!L11=0,"",ORIG!L11)</f>
        <v/>
      </c>
      <c r="M11" s="3">
        <f>IF(ORIG!M11=0,"",ORIG!M11)</f>
        <v/>
      </c>
      <c r="N11" s="3">
        <f>IF(ORIG!N11=0,"",ORIG!N11)</f>
        <v/>
      </c>
      <c r="O11" s="3">
        <f>IF(ORIG!O11=0,"",ORIG!O11)</f>
        <v/>
      </c>
      <c r="P11" s="3">
        <f>IF(ORIG!P11=0,"",ORIG!P11)</f>
        <v/>
      </c>
      <c r="Q11" s="3">
        <f>IF(ORIG!Q11=0,"",ORIG!Q11)</f>
        <v/>
      </c>
      <c r="R11" s="3">
        <f>IF(ORIG!R11=0,"",ORIG!R11)</f>
        <v/>
      </c>
      <c r="S11" s="3">
        <f>IF(ORIG!S11=0,"",ORIG!S11)</f>
        <v/>
      </c>
      <c r="T11" s="3">
        <f>IF(ORIG!T11=0,"",ORIG!T11)</f>
        <v/>
      </c>
      <c r="U11" s="3">
        <f>IF(ORIG!U11=0,"",ORIG!U11)</f>
        <v/>
      </c>
      <c r="V11" s="9">
        <f>IF(ORIG!V11=0,"",ORIG!V11)</f>
        <v/>
      </c>
      <c r="W11" s="9">
        <f>IF(ORIG!W11=0,"",ORIG!W11)</f>
        <v/>
      </c>
      <c r="X11" s="9">
        <f>IF(ORIG!X11=0,"",ORIG!X11)</f>
        <v/>
      </c>
      <c r="Y11" s="9">
        <f>IF(ORIG!Y11=0,"",ORIG!Y11)</f>
        <v/>
      </c>
      <c r="Z11" s="3">
        <f>SUMPRODUCT($B11:$Y11,$B$2649:$Y$2649)</f>
        <v/>
      </c>
      <c r="AA11" s="3">
        <f>SUMPRODUCT($B11:$Y11,$B$2655:$Y$2655)</f>
        <v/>
      </c>
      <c r="AC11" s="1">
        <f>A11</f>
        <v/>
      </c>
      <c r="AD11">
        <f>IF(ISNUMBER(V11),V11*($AB$1/V$2635),"")</f>
        <v/>
      </c>
      <c r="AE11">
        <f>IF(ISNUMBER(Z11),Z11*($AB$1/Z$2635),"")</f>
        <v/>
      </c>
      <c r="AF11" s="25">
        <f>IF(ISNUMBER(AD11+AE11),AD11+AE11,"")</f>
        <v/>
      </c>
      <c r="AH11" s="1">
        <f>A11</f>
        <v/>
      </c>
      <c r="AI11">
        <f>IF(ISNUMBER((1+V11)*AI10),(1+V11)*AI10,AI10)</f>
        <v/>
      </c>
      <c r="AJ11">
        <f>IF(ISNUMBER((1+Z11)*AJ10),(1+Z11)*AJ10,AJ10)</f>
        <v/>
      </c>
    </row>
    <row r="12">
      <c r="A12" s="1" t="n">
        <v>42019</v>
      </c>
      <c r="B12" s="3">
        <f>IF(ORIG!B12=0,"",ORIG!B12)</f>
        <v/>
      </c>
      <c r="C12" s="3">
        <f>IF(ORIG!C12=0,"",ORIG!C12)</f>
        <v/>
      </c>
      <c r="D12" s="3">
        <f>IF(ORIG!D12=0,"",ORIG!D12)</f>
        <v/>
      </c>
      <c r="E12" s="3">
        <f>IF(ORIG!E12=0,"",ORIG!E12)</f>
        <v/>
      </c>
      <c r="F12" s="3">
        <f>IF(ORIG!F12=0,"",ORIG!F12)</f>
        <v/>
      </c>
      <c r="G12" s="3">
        <f>IF(ORIG!G12=0,"",ORIG!G12)</f>
        <v/>
      </c>
      <c r="H12" s="3">
        <f>IF(ORIG!H12=0,"",ORIG!H12)</f>
        <v/>
      </c>
      <c r="I12" s="3">
        <f>IF(ORIG!I12=0,"",ORIG!I12)</f>
        <v/>
      </c>
      <c r="J12" s="3">
        <f>IF(ORIG!J12=0,"",ORIG!J12)</f>
        <v/>
      </c>
      <c r="K12" s="3">
        <f>IF(ORIG!K12=0,"",ORIG!K12)</f>
        <v/>
      </c>
      <c r="L12" s="3">
        <f>IF(ORIG!L12=0,"",ORIG!L12)</f>
        <v/>
      </c>
      <c r="M12" s="3">
        <f>IF(ORIG!M12=0,"",ORIG!M12)</f>
        <v/>
      </c>
      <c r="N12" s="3">
        <f>IF(ORIG!N12=0,"",ORIG!N12)</f>
        <v/>
      </c>
      <c r="O12" s="3">
        <f>IF(ORIG!O12=0,"",ORIG!O12)</f>
        <v/>
      </c>
      <c r="P12" s="3">
        <f>IF(ORIG!P12=0,"",ORIG!P12)</f>
        <v/>
      </c>
      <c r="Q12" s="3">
        <f>IF(ORIG!Q12=0,"",ORIG!Q12)</f>
        <v/>
      </c>
      <c r="R12" s="3">
        <f>IF(ORIG!R12=0,"",ORIG!R12)</f>
        <v/>
      </c>
      <c r="S12" s="3">
        <f>IF(ORIG!S12=0,"",ORIG!S12)</f>
        <v/>
      </c>
      <c r="T12" s="3">
        <f>IF(ORIG!T12=0,"",ORIG!T12)</f>
        <v/>
      </c>
      <c r="U12" s="3">
        <f>IF(ORIG!U12=0,"",ORIG!U12)</f>
        <v/>
      </c>
      <c r="V12" s="9">
        <f>IF(ORIG!V12=0,"",ORIG!V12)</f>
        <v/>
      </c>
      <c r="W12" s="9">
        <f>IF(ORIG!W12=0,"",ORIG!W12)</f>
        <v/>
      </c>
      <c r="X12" s="9">
        <f>IF(ORIG!X12=0,"",ORIG!X12)</f>
        <v/>
      </c>
      <c r="Y12" s="9">
        <f>IF(ORIG!Y12=0,"",ORIG!Y12)</f>
        <v/>
      </c>
      <c r="Z12" s="3">
        <f>SUMPRODUCT($B12:$Y12,$B$2649:$Y$2649)</f>
        <v/>
      </c>
      <c r="AA12" s="3">
        <f>SUMPRODUCT($B12:$Y12,$B$2655:$Y$2655)</f>
        <v/>
      </c>
      <c r="AC12" s="1">
        <f>A12</f>
        <v/>
      </c>
      <c r="AD12">
        <f>IF(ISNUMBER(V12),V12*($AB$1/V$2635),"")</f>
        <v/>
      </c>
      <c r="AE12">
        <f>IF(ISNUMBER(Z12),Z12*($AB$1/Z$2635),"")</f>
        <v/>
      </c>
      <c r="AF12" s="25">
        <f>IF(ISNUMBER(AD12+AE12),AD12+AE12,"")</f>
        <v/>
      </c>
      <c r="AH12" s="1">
        <f>A12</f>
        <v/>
      </c>
      <c r="AI12">
        <f>IF(ISNUMBER((1+V12)*AI11),(1+V12)*AI11,AI11)</f>
        <v/>
      </c>
      <c r="AJ12">
        <f>IF(ISNUMBER((1+Z12)*AJ11),(1+Z12)*AJ11,AJ11)</f>
        <v/>
      </c>
    </row>
    <row r="13">
      <c r="A13" s="1" t="n">
        <v>42020</v>
      </c>
      <c r="B13" s="3">
        <f>IF(ORIG!B13=0,"",ORIG!B13)</f>
        <v/>
      </c>
      <c r="C13" s="3">
        <f>IF(ORIG!C13=0,"",ORIG!C13)</f>
        <v/>
      </c>
      <c r="D13" s="3">
        <f>IF(ORIG!D13=0,"",ORIG!D13)</f>
        <v/>
      </c>
      <c r="E13" s="3">
        <f>IF(ORIG!E13=0,"",ORIG!E13)</f>
        <v/>
      </c>
      <c r="F13" s="3">
        <f>IF(ORIG!F13=0,"",ORIG!F13)</f>
        <v/>
      </c>
      <c r="G13" s="3">
        <f>IF(ORIG!G13=0,"",ORIG!G13)</f>
        <v/>
      </c>
      <c r="H13" s="3">
        <f>IF(ORIG!H13=0,"",ORIG!H13)</f>
        <v/>
      </c>
      <c r="I13" s="3">
        <f>IF(ORIG!I13=0,"",ORIG!I13)</f>
        <v/>
      </c>
      <c r="J13" s="3">
        <f>IF(ORIG!J13=0,"",ORIG!J13)</f>
        <v/>
      </c>
      <c r="K13" s="3">
        <f>IF(ORIG!K13=0,"",ORIG!K13)</f>
        <v/>
      </c>
      <c r="L13" s="3">
        <f>IF(ORIG!L13=0,"",ORIG!L13)</f>
        <v/>
      </c>
      <c r="M13" s="3">
        <f>IF(ORIG!M13=0,"",ORIG!M13)</f>
        <v/>
      </c>
      <c r="N13" s="3">
        <f>IF(ORIG!N13=0,"",ORIG!N13)</f>
        <v/>
      </c>
      <c r="O13" s="3">
        <f>IF(ORIG!O13=0,"",ORIG!O13)</f>
        <v/>
      </c>
      <c r="P13" s="3">
        <f>IF(ORIG!P13=0,"",ORIG!P13)</f>
        <v/>
      </c>
      <c r="Q13" s="3">
        <f>IF(ORIG!Q13=0,"",ORIG!Q13)</f>
        <v/>
      </c>
      <c r="R13" s="3">
        <f>IF(ORIG!R13=0,"",ORIG!R13)</f>
        <v/>
      </c>
      <c r="S13" s="3">
        <f>IF(ORIG!S13=0,"",ORIG!S13)</f>
        <v/>
      </c>
      <c r="T13" s="3">
        <f>IF(ORIG!T13=0,"",ORIG!T13)</f>
        <v/>
      </c>
      <c r="U13" s="3">
        <f>IF(ORIG!U13=0,"",ORIG!U13)</f>
        <v/>
      </c>
      <c r="V13" s="9">
        <f>IF(ORIG!V13=0,"",ORIG!V13)</f>
        <v/>
      </c>
      <c r="W13" s="9">
        <f>IF(ORIG!W13=0,"",ORIG!W13)</f>
        <v/>
      </c>
      <c r="X13" s="9">
        <f>IF(ORIG!X13=0,"",ORIG!X13)</f>
        <v/>
      </c>
      <c r="Y13" s="9">
        <f>IF(ORIG!Y13=0,"",ORIG!Y13)</f>
        <v/>
      </c>
      <c r="Z13" s="3">
        <f>SUMPRODUCT($B13:$Y13,$B$2649:$Y$2649)</f>
        <v/>
      </c>
      <c r="AA13" s="3">
        <f>SUMPRODUCT($B13:$Y13,$B$2655:$Y$2655)</f>
        <v/>
      </c>
      <c r="AC13" s="1">
        <f>A13</f>
        <v/>
      </c>
      <c r="AD13">
        <f>IF(ISNUMBER(V13),V13*($AB$1/V$2635),"")</f>
        <v/>
      </c>
      <c r="AE13">
        <f>IF(ISNUMBER(Z13),Z13*($AB$1/Z$2635),"")</f>
        <v/>
      </c>
      <c r="AF13" s="25">
        <f>IF(ISNUMBER(AD13+AE13),AD13+AE13,"")</f>
        <v/>
      </c>
      <c r="AH13" s="1">
        <f>A13</f>
        <v/>
      </c>
      <c r="AI13">
        <f>IF(ISNUMBER((1+V13)*AI12),(1+V13)*AI12,AI12)</f>
        <v/>
      </c>
      <c r="AJ13">
        <f>IF(ISNUMBER((1+Z13)*AJ12),(1+Z13)*AJ12,AJ12)</f>
        <v/>
      </c>
    </row>
    <row r="14">
      <c r="A14" s="1" t="n">
        <v>42024</v>
      </c>
      <c r="B14" s="3">
        <f>IF(ORIG!B14=0,"",ORIG!B14)</f>
        <v/>
      </c>
      <c r="C14" s="3">
        <f>IF(ORIG!C14=0,"",ORIG!C14)</f>
        <v/>
      </c>
      <c r="D14" s="3">
        <f>IF(ORIG!D14=0,"",ORIG!D14)</f>
        <v/>
      </c>
      <c r="E14" s="3">
        <f>IF(ORIG!E14=0,"",ORIG!E14)</f>
        <v/>
      </c>
      <c r="F14" s="3">
        <f>IF(ORIG!F14=0,"",ORIG!F14)</f>
        <v/>
      </c>
      <c r="G14" s="3">
        <f>IF(ORIG!G14=0,"",ORIG!G14)</f>
        <v/>
      </c>
      <c r="H14" s="3">
        <f>IF(ORIG!H14=0,"",ORIG!H14)</f>
        <v/>
      </c>
      <c r="I14" s="3">
        <f>IF(ORIG!I14=0,"",ORIG!I14)</f>
        <v/>
      </c>
      <c r="J14" s="3">
        <f>IF(ORIG!J14=0,"",ORIG!J14)</f>
        <v/>
      </c>
      <c r="K14" s="3">
        <f>IF(ORIG!K14=0,"",ORIG!K14)</f>
        <v/>
      </c>
      <c r="L14" s="3">
        <f>IF(ORIG!L14=0,"",ORIG!L14)</f>
        <v/>
      </c>
      <c r="M14" s="3">
        <f>IF(ORIG!M14=0,"",ORIG!M14)</f>
        <v/>
      </c>
      <c r="N14" s="3">
        <f>IF(ORIG!N14=0,"",ORIG!N14)</f>
        <v/>
      </c>
      <c r="O14" s="3">
        <f>IF(ORIG!O14=0,"",ORIG!O14)</f>
        <v/>
      </c>
      <c r="P14" s="3">
        <f>IF(ORIG!P14=0,"",ORIG!P14)</f>
        <v/>
      </c>
      <c r="Q14" s="3">
        <f>IF(ORIG!Q14=0,"",ORIG!Q14)</f>
        <v/>
      </c>
      <c r="R14" s="3">
        <f>IF(ORIG!R14=0,"",ORIG!R14)</f>
        <v/>
      </c>
      <c r="S14" s="3">
        <f>IF(ORIG!S14=0,"",ORIG!S14)</f>
        <v/>
      </c>
      <c r="T14" s="3">
        <f>IF(ORIG!T14=0,"",ORIG!T14)</f>
        <v/>
      </c>
      <c r="U14" s="3">
        <f>IF(ORIG!U14=0,"",ORIG!U14)</f>
        <v/>
      </c>
      <c r="V14" s="9">
        <f>IF(ORIG!V14=0,"",ORIG!V14)</f>
        <v/>
      </c>
      <c r="W14" s="9">
        <f>IF(ORIG!W14=0,"",ORIG!W14)</f>
        <v/>
      </c>
      <c r="X14" s="9">
        <f>IF(ORIG!X14=0,"",ORIG!X14)</f>
        <v/>
      </c>
      <c r="Y14" s="9">
        <f>IF(ORIG!Y14=0,"",ORIG!Y14)</f>
        <v/>
      </c>
      <c r="Z14" s="3">
        <f>SUMPRODUCT($B14:$Y14,$B$2649:$Y$2649)</f>
        <v/>
      </c>
      <c r="AA14" s="3">
        <f>SUMPRODUCT($B14:$Y14,$B$2655:$Y$2655)</f>
        <v/>
      </c>
      <c r="AC14" s="1">
        <f>A14</f>
        <v/>
      </c>
      <c r="AD14">
        <f>IF(ISNUMBER(V14),V14*($AB$1/V$2635),"")</f>
        <v/>
      </c>
      <c r="AE14">
        <f>IF(ISNUMBER(Z14),Z14*($AB$1/Z$2635),"")</f>
        <v/>
      </c>
      <c r="AF14" s="25">
        <f>IF(ISNUMBER(AD14+AE14),AD14+AE14,"")</f>
        <v/>
      </c>
      <c r="AH14" s="1">
        <f>A14</f>
        <v/>
      </c>
      <c r="AI14">
        <f>IF(ISNUMBER((1+V14)*AI13),(1+V14)*AI13,AI13)</f>
        <v/>
      </c>
      <c r="AJ14">
        <f>IF(ISNUMBER((1+Z14)*AJ13),(1+Z14)*AJ13,AJ13)</f>
        <v/>
      </c>
    </row>
    <row r="15">
      <c r="A15" s="1" t="n">
        <v>42025</v>
      </c>
      <c r="B15" s="3">
        <f>IF(ORIG!B15=0,"",ORIG!B15)</f>
        <v/>
      </c>
      <c r="C15" s="3">
        <f>IF(ORIG!C15=0,"",ORIG!C15)</f>
        <v/>
      </c>
      <c r="D15" s="3">
        <f>IF(ORIG!D15=0,"",ORIG!D15)</f>
        <v/>
      </c>
      <c r="E15" s="3">
        <f>IF(ORIG!E15=0,"",ORIG!E15)</f>
        <v/>
      </c>
      <c r="F15" s="3">
        <f>IF(ORIG!F15=0,"",ORIG!F15)</f>
        <v/>
      </c>
      <c r="G15" s="3">
        <f>IF(ORIG!G15=0,"",ORIG!G15)</f>
        <v/>
      </c>
      <c r="H15" s="3">
        <f>IF(ORIG!H15=0,"",ORIG!H15)</f>
        <v/>
      </c>
      <c r="I15" s="3">
        <f>IF(ORIG!I15=0,"",ORIG!I15)</f>
        <v/>
      </c>
      <c r="J15" s="3">
        <f>IF(ORIG!J15=0,"",ORIG!J15)</f>
        <v/>
      </c>
      <c r="K15" s="3">
        <f>IF(ORIG!K15=0,"",ORIG!K15)</f>
        <v/>
      </c>
      <c r="L15" s="3">
        <f>IF(ORIG!L15=0,"",ORIG!L15)</f>
        <v/>
      </c>
      <c r="M15" s="3">
        <f>IF(ORIG!M15=0,"",ORIG!M15)</f>
        <v/>
      </c>
      <c r="N15" s="3">
        <f>IF(ORIG!N15=0,"",ORIG!N15)</f>
        <v/>
      </c>
      <c r="O15" s="3">
        <f>IF(ORIG!O15=0,"",ORIG!O15)</f>
        <v/>
      </c>
      <c r="P15" s="3">
        <f>IF(ORIG!P15=0,"",ORIG!P15)</f>
        <v/>
      </c>
      <c r="Q15" s="3">
        <f>IF(ORIG!Q15=0,"",ORIG!Q15)</f>
        <v/>
      </c>
      <c r="R15" s="3">
        <f>IF(ORIG!R15=0,"",ORIG!R15)</f>
        <v/>
      </c>
      <c r="S15" s="3">
        <f>IF(ORIG!S15=0,"",ORIG!S15)</f>
        <v/>
      </c>
      <c r="T15" s="3">
        <f>IF(ORIG!T15=0,"",ORIG!T15)</f>
        <v/>
      </c>
      <c r="U15" s="3">
        <f>IF(ORIG!U15=0,"",ORIG!U15)</f>
        <v/>
      </c>
      <c r="V15" s="9">
        <f>IF(ORIG!V15=0,"",ORIG!V15)</f>
        <v/>
      </c>
      <c r="W15" s="9">
        <f>IF(ORIG!W15=0,"",ORIG!W15)</f>
        <v/>
      </c>
      <c r="X15" s="9">
        <f>IF(ORIG!X15=0,"",ORIG!X15)</f>
        <v/>
      </c>
      <c r="Y15" s="9">
        <f>IF(ORIG!Y15=0,"",ORIG!Y15)</f>
        <v/>
      </c>
      <c r="Z15" s="3">
        <f>SUMPRODUCT($B15:$Y15,$B$2649:$Y$2649)</f>
        <v/>
      </c>
      <c r="AA15" s="3">
        <f>SUMPRODUCT($B15:$Y15,$B$2655:$Y$2655)</f>
        <v/>
      </c>
      <c r="AC15" s="1">
        <f>A15</f>
        <v/>
      </c>
      <c r="AD15">
        <f>IF(ISNUMBER(V15),V15*($AB$1/V$2635),"")</f>
        <v/>
      </c>
      <c r="AE15">
        <f>IF(ISNUMBER(Z15),Z15*($AB$1/Z$2635),"")</f>
        <v/>
      </c>
      <c r="AF15" s="25">
        <f>IF(ISNUMBER(AD15+AE15),AD15+AE15,"")</f>
        <v/>
      </c>
      <c r="AH15" s="1">
        <f>A15</f>
        <v/>
      </c>
      <c r="AI15">
        <f>IF(ISNUMBER((1+V15)*AI14),(1+V15)*AI14,AI14)</f>
        <v/>
      </c>
      <c r="AJ15">
        <f>IF(ISNUMBER((1+Z15)*AJ14),(1+Z15)*AJ14,AJ14)</f>
        <v/>
      </c>
    </row>
    <row r="16">
      <c r="A16" s="1" t="n">
        <v>42026</v>
      </c>
      <c r="B16" s="3">
        <f>IF(ORIG!B16=0,"",ORIG!B16)</f>
        <v/>
      </c>
      <c r="C16" s="3">
        <f>IF(ORIG!C16=0,"",ORIG!C16)</f>
        <v/>
      </c>
      <c r="D16" s="3">
        <f>IF(ORIG!D16=0,"",ORIG!D16)</f>
        <v/>
      </c>
      <c r="E16" s="3">
        <f>IF(ORIG!E16=0,"",ORIG!E16)</f>
        <v/>
      </c>
      <c r="F16" s="3">
        <f>IF(ORIG!F16=0,"",ORIG!F16)</f>
        <v/>
      </c>
      <c r="G16" s="3">
        <f>IF(ORIG!G16=0,"",ORIG!G16)</f>
        <v/>
      </c>
      <c r="H16" s="3">
        <f>IF(ORIG!H16=0,"",ORIG!H16)</f>
        <v/>
      </c>
      <c r="I16" s="3">
        <f>IF(ORIG!I16=0,"",ORIG!I16)</f>
        <v/>
      </c>
      <c r="J16" s="3">
        <f>IF(ORIG!J16=0,"",ORIG!J16)</f>
        <v/>
      </c>
      <c r="K16" s="3">
        <f>IF(ORIG!K16=0,"",ORIG!K16)</f>
        <v/>
      </c>
      <c r="L16" s="3">
        <f>IF(ORIG!L16=0,"",ORIG!L16)</f>
        <v/>
      </c>
      <c r="M16" s="3">
        <f>IF(ORIG!M16=0,"",ORIG!M16)</f>
        <v/>
      </c>
      <c r="N16" s="3">
        <f>IF(ORIG!N16=0,"",ORIG!N16)</f>
        <v/>
      </c>
      <c r="O16" s="3">
        <f>IF(ORIG!O16=0,"",ORIG!O16)</f>
        <v/>
      </c>
      <c r="P16" s="3">
        <f>IF(ORIG!P16=0,"",ORIG!P16)</f>
        <v/>
      </c>
      <c r="Q16" s="3">
        <f>IF(ORIG!Q16=0,"",ORIG!Q16)</f>
        <v/>
      </c>
      <c r="R16" s="3">
        <f>IF(ORIG!R16=0,"",ORIG!R16)</f>
        <v/>
      </c>
      <c r="S16" s="3">
        <f>IF(ORIG!S16=0,"",ORIG!S16)</f>
        <v/>
      </c>
      <c r="T16" s="3">
        <f>IF(ORIG!T16=0,"",ORIG!T16)</f>
        <v/>
      </c>
      <c r="U16" s="3">
        <f>IF(ORIG!U16=0,"",ORIG!U16)</f>
        <v/>
      </c>
      <c r="V16" s="9">
        <f>IF(ORIG!V16=0,"",ORIG!V16)</f>
        <v/>
      </c>
      <c r="W16" s="9">
        <f>IF(ORIG!W16=0,"",ORIG!W16)</f>
        <v/>
      </c>
      <c r="X16" s="9">
        <f>IF(ORIG!X16=0,"",ORIG!X16)</f>
        <v/>
      </c>
      <c r="Y16" s="9">
        <f>IF(ORIG!Y16=0,"",ORIG!Y16)</f>
        <v/>
      </c>
      <c r="Z16" s="3">
        <f>SUMPRODUCT($B16:$Y16,$B$2649:$Y$2649)</f>
        <v/>
      </c>
      <c r="AA16" s="3">
        <f>SUMPRODUCT($B16:$Y16,$B$2655:$Y$2655)</f>
        <v/>
      </c>
      <c r="AC16" s="1">
        <f>A16</f>
        <v/>
      </c>
      <c r="AD16">
        <f>IF(ISNUMBER(V16),V16*($AB$1/V$2635),"")</f>
        <v/>
      </c>
      <c r="AE16">
        <f>IF(ISNUMBER(Z16),Z16*($AB$1/Z$2635),"")</f>
        <v/>
      </c>
      <c r="AF16" s="25">
        <f>IF(ISNUMBER(AD16+AE16),AD16+AE16,"")</f>
        <v/>
      </c>
      <c r="AH16" s="1">
        <f>A16</f>
        <v/>
      </c>
      <c r="AI16">
        <f>IF(ISNUMBER((1+V16)*AI15),(1+V16)*AI15,AI15)</f>
        <v/>
      </c>
      <c r="AJ16">
        <f>IF(ISNUMBER((1+Z16)*AJ15),(1+Z16)*AJ15,AJ15)</f>
        <v/>
      </c>
    </row>
    <row r="17">
      <c r="A17" s="1" t="n">
        <v>42027</v>
      </c>
      <c r="B17" s="3">
        <f>IF(ORIG!B17=0,"",ORIG!B17)</f>
        <v/>
      </c>
      <c r="C17" s="3">
        <f>IF(ORIG!C17=0,"",ORIG!C17)</f>
        <v/>
      </c>
      <c r="D17" s="3">
        <f>IF(ORIG!D17=0,"",ORIG!D17)</f>
        <v/>
      </c>
      <c r="E17" s="3">
        <f>IF(ORIG!E17=0,"",ORIG!E17)</f>
        <v/>
      </c>
      <c r="F17" s="3">
        <f>IF(ORIG!F17=0,"",ORIG!F17)</f>
        <v/>
      </c>
      <c r="G17" s="3">
        <f>IF(ORIG!G17=0,"",ORIG!G17)</f>
        <v/>
      </c>
      <c r="H17" s="3">
        <f>IF(ORIG!H17=0,"",ORIG!H17)</f>
        <v/>
      </c>
      <c r="I17" s="3">
        <f>IF(ORIG!I17=0,"",ORIG!I17)</f>
        <v/>
      </c>
      <c r="J17" s="3">
        <f>IF(ORIG!J17=0,"",ORIG!J17)</f>
        <v/>
      </c>
      <c r="K17" s="3">
        <f>IF(ORIG!K17=0,"",ORIG!K17)</f>
        <v/>
      </c>
      <c r="L17" s="3">
        <f>IF(ORIG!L17=0,"",ORIG!L17)</f>
        <v/>
      </c>
      <c r="M17" s="3">
        <f>IF(ORIG!M17=0,"",ORIG!M17)</f>
        <v/>
      </c>
      <c r="N17" s="3">
        <f>IF(ORIG!N17=0,"",ORIG!N17)</f>
        <v/>
      </c>
      <c r="O17" s="3">
        <f>IF(ORIG!O17=0,"",ORIG!O17)</f>
        <v/>
      </c>
      <c r="P17" s="3">
        <f>IF(ORIG!P17=0,"",ORIG!P17)</f>
        <v/>
      </c>
      <c r="Q17" s="3">
        <f>IF(ORIG!Q17=0,"",ORIG!Q17)</f>
        <v/>
      </c>
      <c r="R17" s="3">
        <f>IF(ORIG!R17=0,"",ORIG!R17)</f>
        <v/>
      </c>
      <c r="S17" s="3">
        <f>IF(ORIG!S17=0,"",ORIG!S17)</f>
        <v/>
      </c>
      <c r="T17" s="3">
        <f>IF(ORIG!T17=0,"",ORIG!T17)</f>
        <v/>
      </c>
      <c r="U17" s="3">
        <f>IF(ORIG!U17=0,"",ORIG!U17)</f>
        <v/>
      </c>
      <c r="V17" s="9">
        <f>IF(ORIG!V17=0,"",ORIG!V17)</f>
        <v/>
      </c>
      <c r="W17" s="9">
        <f>IF(ORIG!W17=0,"",ORIG!W17)</f>
        <v/>
      </c>
      <c r="X17" s="9">
        <f>IF(ORIG!X17=0,"",ORIG!X17)</f>
        <v/>
      </c>
      <c r="Y17" s="9">
        <f>IF(ORIG!Y17=0,"",ORIG!Y17)</f>
        <v/>
      </c>
      <c r="Z17" s="3">
        <f>SUMPRODUCT($B17:$Y17,$B$2649:$Y$2649)</f>
        <v/>
      </c>
      <c r="AA17" s="3">
        <f>SUMPRODUCT($B17:$Y17,$B$2655:$Y$2655)</f>
        <v/>
      </c>
      <c r="AC17" s="1">
        <f>A17</f>
        <v/>
      </c>
      <c r="AD17">
        <f>IF(ISNUMBER(V17),V17*($AB$1/V$2635),"")</f>
        <v/>
      </c>
      <c r="AE17">
        <f>IF(ISNUMBER(Z17),Z17*($AB$1/Z$2635),"")</f>
        <v/>
      </c>
      <c r="AF17" s="25">
        <f>IF(ISNUMBER(AD17+AE17),AD17+AE17,"")</f>
        <v/>
      </c>
      <c r="AH17" s="1">
        <f>A17</f>
        <v/>
      </c>
      <c r="AI17">
        <f>IF(ISNUMBER((1+V17)*AI16),(1+V17)*AI16,AI16)</f>
        <v/>
      </c>
      <c r="AJ17">
        <f>IF(ISNUMBER((1+Z17)*AJ16),(1+Z17)*AJ16,AJ16)</f>
        <v/>
      </c>
    </row>
    <row r="18">
      <c r="A18" s="1" t="n">
        <v>42030</v>
      </c>
      <c r="B18" s="3">
        <f>IF(ORIG!B18=0,"",ORIG!B18)</f>
        <v/>
      </c>
      <c r="C18" s="3">
        <f>IF(ORIG!C18=0,"",ORIG!C18)</f>
        <v/>
      </c>
      <c r="D18" s="3">
        <f>IF(ORIG!D18=0,"",ORIG!D18)</f>
        <v/>
      </c>
      <c r="E18" s="3">
        <f>IF(ORIG!E18=0,"",ORIG!E18)</f>
        <v/>
      </c>
      <c r="F18" s="3">
        <f>IF(ORIG!F18=0,"",ORIG!F18)</f>
        <v/>
      </c>
      <c r="G18" s="3">
        <f>IF(ORIG!G18=0,"",ORIG!G18)</f>
        <v/>
      </c>
      <c r="H18" s="3">
        <f>IF(ORIG!H18=0,"",ORIG!H18)</f>
        <v/>
      </c>
      <c r="I18" s="3">
        <f>IF(ORIG!I18=0,"",ORIG!I18)</f>
        <v/>
      </c>
      <c r="J18" s="3">
        <f>IF(ORIG!J18=0,"",ORIG!J18)</f>
        <v/>
      </c>
      <c r="K18" s="3">
        <f>IF(ORIG!K18=0,"",ORIG!K18)</f>
        <v/>
      </c>
      <c r="L18" s="3">
        <f>IF(ORIG!L18=0,"",ORIG!L18)</f>
        <v/>
      </c>
      <c r="M18" s="3">
        <f>IF(ORIG!M18=0,"",ORIG!M18)</f>
        <v/>
      </c>
      <c r="N18" s="3">
        <f>IF(ORIG!N18=0,"",ORIG!N18)</f>
        <v/>
      </c>
      <c r="O18" s="3">
        <f>IF(ORIG!O18=0,"",ORIG!O18)</f>
        <v/>
      </c>
      <c r="P18" s="3">
        <f>IF(ORIG!P18=0,"",ORIG!P18)</f>
        <v/>
      </c>
      <c r="Q18" s="3">
        <f>IF(ORIG!Q18=0,"",ORIG!Q18)</f>
        <v/>
      </c>
      <c r="R18" s="3">
        <f>IF(ORIG!R18=0,"",ORIG!R18)</f>
        <v/>
      </c>
      <c r="S18" s="3">
        <f>IF(ORIG!S18=0,"",ORIG!S18)</f>
        <v/>
      </c>
      <c r="T18" s="3">
        <f>IF(ORIG!T18=0,"",ORIG!T18)</f>
        <v/>
      </c>
      <c r="U18" s="3">
        <f>IF(ORIG!U18=0,"",ORIG!U18)</f>
        <v/>
      </c>
      <c r="V18" s="9">
        <f>IF(ORIG!V18=0,"",ORIG!V18)</f>
        <v/>
      </c>
      <c r="W18" s="9">
        <f>IF(ORIG!W18=0,"",ORIG!W18)</f>
        <v/>
      </c>
      <c r="X18" s="9">
        <f>IF(ORIG!X18=0,"",ORIG!X18)</f>
        <v/>
      </c>
      <c r="Y18" s="9">
        <f>IF(ORIG!Y18=0,"",ORIG!Y18)</f>
        <v/>
      </c>
      <c r="Z18" s="3">
        <f>SUMPRODUCT($B18:$Y18,$B$2649:$Y$2649)</f>
        <v/>
      </c>
      <c r="AA18" s="3">
        <f>SUMPRODUCT($B18:$Y18,$B$2655:$Y$2655)</f>
        <v/>
      </c>
      <c r="AC18" s="1">
        <f>A18</f>
        <v/>
      </c>
      <c r="AD18">
        <f>IF(ISNUMBER(V18),V18*($AB$1/V$2635),"")</f>
        <v/>
      </c>
      <c r="AE18">
        <f>IF(ISNUMBER(Z18),Z18*($AB$1/Z$2635),"")</f>
        <v/>
      </c>
      <c r="AF18" s="25">
        <f>IF(ISNUMBER(AD18+AE18),AD18+AE18,"")</f>
        <v/>
      </c>
      <c r="AH18" s="1">
        <f>A18</f>
        <v/>
      </c>
      <c r="AI18">
        <f>IF(ISNUMBER((1+V18)*AI17),(1+V18)*AI17,AI17)</f>
        <v/>
      </c>
      <c r="AJ18">
        <f>IF(ISNUMBER((1+Z18)*AJ17),(1+Z18)*AJ17,AJ17)</f>
        <v/>
      </c>
    </row>
    <row r="19">
      <c r="A19" s="1" t="n">
        <v>42031</v>
      </c>
      <c r="B19" s="3">
        <f>IF(ORIG!B19=0,"",ORIG!B19)</f>
        <v/>
      </c>
      <c r="C19" s="3">
        <f>IF(ORIG!C19=0,"",ORIG!C19)</f>
        <v/>
      </c>
      <c r="D19" s="3">
        <f>IF(ORIG!D19=0,"",ORIG!D19)</f>
        <v/>
      </c>
      <c r="E19" s="3">
        <f>IF(ORIG!E19=0,"",ORIG!E19)</f>
        <v/>
      </c>
      <c r="F19" s="3">
        <f>IF(ORIG!F19=0,"",ORIG!F19)</f>
        <v/>
      </c>
      <c r="G19" s="3">
        <f>IF(ORIG!G19=0,"",ORIG!G19)</f>
        <v/>
      </c>
      <c r="H19" s="3">
        <f>IF(ORIG!H19=0,"",ORIG!H19)</f>
        <v/>
      </c>
      <c r="I19" s="3">
        <f>IF(ORIG!I19=0,"",ORIG!I19)</f>
        <v/>
      </c>
      <c r="J19" s="3">
        <f>IF(ORIG!J19=0,"",ORIG!J19)</f>
        <v/>
      </c>
      <c r="K19" s="3">
        <f>IF(ORIG!K19=0,"",ORIG!K19)</f>
        <v/>
      </c>
      <c r="L19" s="3">
        <f>IF(ORIG!L19=0,"",ORIG!L19)</f>
        <v/>
      </c>
      <c r="M19" s="3">
        <f>IF(ORIG!M19=0,"",ORIG!M19)</f>
        <v/>
      </c>
      <c r="N19" s="3">
        <f>IF(ORIG!N19=0,"",ORIG!N19)</f>
        <v/>
      </c>
      <c r="O19" s="3">
        <f>IF(ORIG!O19=0,"",ORIG!O19)</f>
        <v/>
      </c>
      <c r="P19" s="3">
        <f>IF(ORIG!P19=0,"",ORIG!P19)</f>
        <v/>
      </c>
      <c r="Q19" s="3">
        <f>IF(ORIG!Q19=0,"",ORIG!Q19)</f>
        <v/>
      </c>
      <c r="R19" s="3">
        <f>IF(ORIG!R19=0,"",ORIG!R19)</f>
        <v/>
      </c>
      <c r="S19" s="3">
        <f>IF(ORIG!S19=0,"",ORIG!S19)</f>
        <v/>
      </c>
      <c r="T19" s="3">
        <f>IF(ORIG!T19=0,"",ORIG!T19)</f>
        <v/>
      </c>
      <c r="U19" s="3">
        <f>IF(ORIG!U19=0,"",ORIG!U19)</f>
        <v/>
      </c>
      <c r="V19" s="9">
        <f>IF(ORIG!V19=0,"",ORIG!V19)</f>
        <v/>
      </c>
      <c r="W19" s="9">
        <f>IF(ORIG!W19=0,"",ORIG!W19)</f>
        <v/>
      </c>
      <c r="X19" s="9">
        <f>IF(ORIG!X19=0,"",ORIG!X19)</f>
        <v/>
      </c>
      <c r="Y19" s="9">
        <f>IF(ORIG!Y19=0,"",ORIG!Y19)</f>
        <v/>
      </c>
      <c r="Z19" s="3">
        <f>SUMPRODUCT($B19:$Y19,$B$2649:$Y$2649)</f>
        <v/>
      </c>
      <c r="AA19" s="3">
        <f>SUMPRODUCT($B19:$Y19,$B$2655:$Y$2655)</f>
        <v/>
      </c>
      <c r="AC19" s="1">
        <f>A19</f>
        <v/>
      </c>
      <c r="AD19">
        <f>IF(ISNUMBER(V19),V19*($AB$1/V$2635),"")</f>
        <v/>
      </c>
      <c r="AE19">
        <f>IF(ISNUMBER(Z19),Z19*($AB$1/Z$2635),"")</f>
        <v/>
      </c>
      <c r="AF19" s="25">
        <f>IF(ISNUMBER(AD19+AE19),AD19+AE19,"")</f>
        <v/>
      </c>
      <c r="AH19" s="1">
        <f>A19</f>
        <v/>
      </c>
      <c r="AI19">
        <f>IF(ISNUMBER((1+V19)*AI18),(1+V19)*AI18,AI18)</f>
        <v/>
      </c>
      <c r="AJ19">
        <f>IF(ISNUMBER((1+Z19)*AJ18),(1+Z19)*AJ18,AJ18)</f>
        <v/>
      </c>
    </row>
    <row r="20">
      <c r="A20" s="1" t="n">
        <v>42032</v>
      </c>
      <c r="B20" s="3">
        <f>IF(ORIG!B20=0,"",ORIG!B20)</f>
        <v/>
      </c>
      <c r="C20" s="3">
        <f>IF(ORIG!C20=0,"",ORIG!C20)</f>
        <v/>
      </c>
      <c r="D20" s="3">
        <f>IF(ORIG!D20=0,"",ORIG!D20)</f>
        <v/>
      </c>
      <c r="E20" s="3">
        <f>IF(ORIG!E20=0,"",ORIG!E20)</f>
        <v/>
      </c>
      <c r="F20" s="3">
        <f>IF(ORIG!F20=0,"",ORIG!F20)</f>
        <v/>
      </c>
      <c r="G20" s="3">
        <f>IF(ORIG!G20=0,"",ORIG!G20)</f>
        <v/>
      </c>
      <c r="H20" s="3">
        <f>IF(ORIG!H20=0,"",ORIG!H20)</f>
        <v/>
      </c>
      <c r="I20" s="3">
        <f>IF(ORIG!I20=0,"",ORIG!I20)</f>
        <v/>
      </c>
      <c r="J20" s="3">
        <f>IF(ORIG!J20=0,"",ORIG!J20)</f>
        <v/>
      </c>
      <c r="K20" s="3">
        <f>IF(ORIG!K20=0,"",ORIG!K20)</f>
        <v/>
      </c>
      <c r="L20" s="3">
        <f>IF(ORIG!L20=0,"",ORIG!L20)</f>
        <v/>
      </c>
      <c r="M20" s="3">
        <f>IF(ORIG!M20=0,"",ORIG!M20)</f>
        <v/>
      </c>
      <c r="N20" s="3">
        <f>IF(ORIG!N20=0,"",ORIG!N20)</f>
        <v/>
      </c>
      <c r="O20" s="3">
        <f>IF(ORIG!O20=0,"",ORIG!O20)</f>
        <v/>
      </c>
      <c r="P20" s="3">
        <f>IF(ORIG!P20=0,"",ORIG!P20)</f>
        <v/>
      </c>
      <c r="Q20" s="3">
        <f>IF(ORIG!Q20=0,"",ORIG!Q20)</f>
        <v/>
      </c>
      <c r="R20" s="3">
        <f>IF(ORIG!R20=0,"",ORIG!R20)</f>
        <v/>
      </c>
      <c r="S20" s="3">
        <f>IF(ORIG!S20=0,"",ORIG!S20)</f>
        <v/>
      </c>
      <c r="T20" s="3">
        <f>IF(ORIG!T20=0,"",ORIG!T20)</f>
        <v/>
      </c>
      <c r="U20" s="3">
        <f>IF(ORIG!U20=0,"",ORIG!U20)</f>
        <v/>
      </c>
      <c r="V20" s="9">
        <f>IF(ORIG!V20=0,"",ORIG!V20)</f>
        <v/>
      </c>
      <c r="W20" s="9">
        <f>IF(ORIG!W20=0,"",ORIG!W20)</f>
        <v/>
      </c>
      <c r="X20" s="9">
        <f>IF(ORIG!X20=0,"",ORIG!X20)</f>
        <v/>
      </c>
      <c r="Y20" s="9">
        <f>IF(ORIG!Y20=0,"",ORIG!Y20)</f>
        <v/>
      </c>
      <c r="Z20" s="3">
        <f>SUMPRODUCT($B20:$Y20,$B$2649:$Y$2649)</f>
        <v/>
      </c>
      <c r="AA20" s="3">
        <f>SUMPRODUCT($B20:$Y20,$B$2655:$Y$2655)</f>
        <v/>
      </c>
      <c r="AC20" s="1">
        <f>A20</f>
        <v/>
      </c>
      <c r="AD20">
        <f>IF(ISNUMBER(V20),V20*($AB$1/V$2635),"")</f>
        <v/>
      </c>
      <c r="AE20">
        <f>IF(ISNUMBER(Z20),Z20*($AB$1/Z$2635),"")</f>
        <v/>
      </c>
      <c r="AF20" s="25">
        <f>IF(ISNUMBER(AD20+AE20),AD20+AE20,"")</f>
        <v/>
      </c>
      <c r="AH20" s="1">
        <f>A20</f>
        <v/>
      </c>
      <c r="AI20">
        <f>IF(ISNUMBER((1+V20)*AI19),(1+V20)*AI19,AI19)</f>
        <v/>
      </c>
      <c r="AJ20">
        <f>IF(ISNUMBER((1+Z20)*AJ19),(1+Z20)*AJ19,AJ19)</f>
        <v/>
      </c>
    </row>
    <row r="21">
      <c r="A21" s="1" t="n">
        <v>42033</v>
      </c>
      <c r="B21" s="3">
        <f>IF(ORIG!B21=0,"",ORIG!B21)</f>
        <v/>
      </c>
      <c r="C21" s="3">
        <f>IF(ORIG!C21=0,"",ORIG!C21)</f>
        <v/>
      </c>
      <c r="D21" s="3">
        <f>IF(ORIG!D21=0,"",ORIG!D21)</f>
        <v/>
      </c>
      <c r="E21" s="3">
        <f>IF(ORIG!E21=0,"",ORIG!E21)</f>
        <v/>
      </c>
      <c r="F21" s="3">
        <f>IF(ORIG!F21=0,"",ORIG!F21)</f>
        <v/>
      </c>
      <c r="G21" s="3">
        <f>IF(ORIG!G21=0,"",ORIG!G21)</f>
        <v/>
      </c>
      <c r="H21" s="3">
        <f>IF(ORIG!H21=0,"",ORIG!H21)</f>
        <v/>
      </c>
      <c r="I21" s="3">
        <f>IF(ORIG!I21=0,"",ORIG!I21)</f>
        <v/>
      </c>
      <c r="J21" s="3">
        <f>IF(ORIG!J21=0,"",ORIG!J21)</f>
        <v/>
      </c>
      <c r="K21" s="3">
        <f>IF(ORIG!K21=0,"",ORIG!K21)</f>
        <v/>
      </c>
      <c r="L21" s="3">
        <f>IF(ORIG!L21=0,"",ORIG!L21)</f>
        <v/>
      </c>
      <c r="M21" s="3">
        <f>IF(ORIG!M21=0,"",ORIG!M21)</f>
        <v/>
      </c>
      <c r="N21" s="3">
        <f>IF(ORIG!N21=0,"",ORIG!N21)</f>
        <v/>
      </c>
      <c r="O21" s="3">
        <f>IF(ORIG!O21=0,"",ORIG!O21)</f>
        <v/>
      </c>
      <c r="P21" s="3">
        <f>IF(ORIG!P21=0,"",ORIG!P21)</f>
        <v/>
      </c>
      <c r="Q21" s="3">
        <f>IF(ORIG!Q21=0,"",ORIG!Q21)</f>
        <v/>
      </c>
      <c r="R21" s="3">
        <f>IF(ORIG!R21=0,"",ORIG!R21)</f>
        <v/>
      </c>
      <c r="S21" s="3">
        <f>IF(ORIG!S21=0,"",ORIG!S21)</f>
        <v/>
      </c>
      <c r="T21" s="3">
        <f>IF(ORIG!T21=0,"",ORIG!T21)</f>
        <v/>
      </c>
      <c r="U21" s="3">
        <f>IF(ORIG!U21=0,"",ORIG!U21)</f>
        <v/>
      </c>
      <c r="V21" s="9">
        <f>IF(ORIG!V21=0,"",ORIG!V21)</f>
        <v/>
      </c>
      <c r="W21" s="9">
        <f>IF(ORIG!W21=0,"",ORIG!W21)</f>
        <v/>
      </c>
      <c r="X21" s="9">
        <f>IF(ORIG!X21=0,"",ORIG!X21)</f>
        <v/>
      </c>
      <c r="Y21" s="9">
        <f>IF(ORIG!Y21=0,"",ORIG!Y21)</f>
        <v/>
      </c>
      <c r="Z21" s="3">
        <f>SUMPRODUCT($B21:$Y21,$B$2649:$Y$2649)</f>
        <v/>
      </c>
      <c r="AA21" s="3">
        <f>SUMPRODUCT($B21:$Y21,$B$2655:$Y$2655)</f>
        <v/>
      </c>
      <c r="AC21" s="1">
        <f>A21</f>
        <v/>
      </c>
      <c r="AD21">
        <f>IF(ISNUMBER(V21),V21*($AB$1/V$2635),"")</f>
        <v/>
      </c>
      <c r="AE21">
        <f>IF(ISNUMBER(Z21),Z21*($AB$1/Z$2635),"")</f>
        <v/>
      </c>
      <c r="AF21" s="25">
        <f>IF(ISNUMBER(AD21+AE21),AD21+AE21,"")</f>
        <v/>
      </c>
      <c r="AH21" s="1">
        <f>A21</f>
        <v/>
      </c>
      <c r="AI21">
        <f>IF(ISNUMBER((1+V21)*AI20),(1+V21)*AI20,AI20)</f>
        <v/>
      </c>
      <c r="AJ21">
        <f>IF(ISNUMBER((1+Z21)*AJ20),(1+Z21)*AJ20,AJ20)</f>
        <v/>
      </c>
    </row>
    <row r="22">
      <c r="A22" s="1" t="n">
        <v>42034</v>
      </c>
      <c r="B22" s="3">
        <f>IF(ORIG!B22=0,"",ORIG!B22)</f>
        <v/>
      </c>
      <c r="C22" s="3">
        <f>IF(ORIG!C22=0,"",ORIG!C22)</f>
        <v/>
      </c>
      <c r="D22" s="3">
        <f>IF(ORIG!D22=0,"",ORIG!D22)</f>
        <v/>
      </c>
      <c r="E22" s="3">
        <f>IF(ORIG!E22=0,"",ORIG!E22)</f>
        <v/>
      </c>
      <c r="F22" s="3">
        <f>IF(ORIG!F22=0,"",ORIG!F22)</f>
        <v/>
      </c>
      <c r="G22" s="3">
        <f>IF(ORIG!G22=0,"",ORIG!G22)</f>
        <v/>
      </c>
      <c r="H22" s="3">
        <f>IF(ORIG!H22=0,"",ORIG!H22)</f>
        <v/>
      </c>
      <c r="I22" s="3">
        <f>IF(ORIG!I22=0,"",ORIG!I22)</f>
        <v/>
      </c>
      <c r="J22" s="3">
        <f>IF(ORIG!J22=0,"",ORIG!J22)</f>
        <v/>
      </c>
      <c r="K22" s="3">
        <f>IF(ORIG!K22=0,"",ORIG!K22)</f>
        <v/>
      </c>
      <c r="L22" s="3">
        <f>IF(ORIG!L22=0,"",ORIG!L22)</f>
        <v/>
      </c>
      <c r="M22" s="3">
        <f>IF(ORIG!M22=0,"",ORIG!M22)</f>
        <v/>
      </c>
      <c r="N22" s="3">
        <f>IF(ORIG!N22=0,"",ORIG!N22)</f>
        <v/>
      </c>
      <c r="O22" s="3">
        <f>IF(ORIG!O22=0,"",ORIG!O22)</f>
        <v/>
      </c>
      <c r="P22" s="3">
        <f>IF(ORIG!P22=0,"",ORIG!P22)</f>
        <v/>
      </c>
      <c r="Q22" s="3">
        <f>IF(ORIG!Q22=0,"",ORIG!Q22)</f>
        <v/>
      </c>
      <c r="R22" s="3">
        <f>IF(ORIG!R22=0,"",ORIG!R22)</f>
        <v/>
      </c>
      <c r="S22" s="3">
        <f>IF(ORIG!S22=0,"",ORIG!S22)</f>
        <v/>
      </c>
      <c r="T22" s="3">
        <f>IF(ORIG!T22=0,"",ORIG!T22)</f>
        <v/>
      </c>
      <c r="U22" s="3">
        <f>IF(ORIG!U22=0,"",ORIG!U22)</f>
        <v/>
      </c>
      <c r="V22" s="9">
        <f>IF(ORIG!V22=0,"",ORIG!V22)</f>
        <v/>
      </c>
      <c r="W22" s="9">
        <f>IF(ORIG!W22=0,"",ORIG!W22)</f>
        <v/>
      </c>
      <c r="X22" s="9">
        <f>IF(ORIG!X22=0,"",ORIG!X22)</f>
        <v/>
      </c>
      <c r="Y22" s="9">
        <f>IF(ORIG!Y22=0,"",ORIG!Y22)</f>
        <v/>
      </c>
      <c r="Z22" s="3">
        <f>SUMPRODUCT($B22:$Y22,$B$2649:$Y$2649)</f>
        <v/>
      </c>
      <c r="AA22" s="3">
        <f>SUMPRODUCT($B22:$Y22,$B$2655:$Y$2655)</f>
        <v/>
      </c>
      <c r="AC22" s="1">
        <f>A22</f>
        <v/>
      </c>
      <c r="AD22">
        <f>IF(ISNUMBER(V22),V22*($AB$1/V$2635),"")</f>
        <v/>
      </c>
      <c r="AE22">
        <f>IF(ISNUMBER(Z22),Z22*($AB$1/Z$2635),"")</f>
        <v/>
      </c>
      <c r="AF22" s="25">
        <f>IF(ISNUMBER(AD22+AE22),AD22+AE22,"")</f>
        <v/>
      </c>
      <c r="AH22" s="1">
        <f>A22</f>
        <v/>
      </c>
      <c r="AI22">
        <f>IF(ISNUMBER((1+V22)*AI21),(1+V22)*AI21,AI21)</f>
        <v/>
      </c>
      <c r="AJ22">
        <f>IF(ISNUMBER((1+Z22)*AJ21),(1+Z22)*AJ21,AJ21)</f>
        <v/>
      </c>
    </row>
    <row r="23">
      <c r="A23" s="1" t="n">
        <v>42037</v>
      </c>
      <c r="B23" s="3">
        <f>IF(ORIG!B23=0,"",ORIG!B23)</f>
        <v/>
      </c>
      <c r="C23" s="3">
        <f>IF(ORIG!C23=0,"",ORIG!C23)</f>
        <v/>
      </c>
      <c r="D23" s="3">
        <f>IF(ORIG!D23=0,"",ORIG!D23)</f>
        <v/>
      </c>
      <c r="E23" s="3">
        <f>IF(ORIG!E23=0,"",ORIG!E23)</f>
        <v/>
      </c>
      <c r="F23" s="3">
        <f>IF(ORIG!F23=0,"",ORIG!F23)</f>
        <v/>
      </c>
      <c r="G23" s="3">
        <f>IF(ORIG!G23=0,"",ORIG!G23)</f>
        <v/>
      </c>
      <c r="H23" s="3">
        <f>IF(ORIG!H23=0,"",ORIG!H23)</f>
        <v/>
      </c>
      <c r="I23" s="3">
        <f>IF(ORIG!I23=0,"",ORIG!I23)</f>
        <v/>
      </c>
      <c r="J23" s="3">
        <f>IF(ORIG!J23=0,"",ORIG!J23)</f>
        <v/>
      </c>
      <c r="K23" s="3">
        <f>IF(ORIG!K23=0,"",ORIG!K23)</f>
        <v/>
      </c>
      <c r="L23" s="3">
        <f>IF(ORIG!L23=0,"",ORIG!L23)</f>
        <v/>
      </c>
      <c r="M23" s="3">
        <f>IF(ORIG!M23=0,"",ORIG!M23)</f>
        <v/>
      </c>
      <c r="N23" s="3">
        <f>IF(ORIG!N23=0,"",ORIG!N23)</f>
        <v/>
      </c>
      <c r="O23" s="3">
        <f>IF(ORIG!O23=0,"",ORIG!O23)</f>
        <v/>
      </c>
      <c r="P23" s="3">
        <f>IF(ORIG!P23=0,"",ORIG!P23)</f>
        <v/>
      </c>
      <c r="Q23" s="3">
        <f>IF(ORIG!Q23=0,"",ORIG!Q23)</f>
        <v/>
      </c>
      <c r="R23" s="3">
        <f>IF(ORIG!R23=0,"",ORIG!R23)</f>
        <v/>
      </c>
      <c r="S23" s="3">
        <f>IF(ORIG!S23=0,"",ORIG!S23)</f>
        <v/>
      </c>
      <c r="T23" s="3">
        <f>IF(ORIG!T23=0,"",ORIG!T23)</f>
        <v/>
      </c>
      <c r="U23" s="3">
        <f>IF(ORIG!U23=0,"",ORIG!U23)</f>
        <v/>
      </c>
      <c r="V23" s="9">
        <f>IF(ORIG!V23=0,"",ORIG!V23)</f>
        <v/>
      </c>
      <c r="W23" s="9">
        <f>IF(ORIG!W23=0,"",ORIG!W23)</f>
        <v/>
      </c>
      <c r="X23" s="9">
        <f>IF(ORIG!X23=0,"",ORIG!X23)</f>
        <v/>
      </c>
      <c r="Y23" s="9">
        <f>IF(ORIG!Y23=0,"",ORIG!Y23)</f>
        <v/>
      </c>
      <c r="Z23" s="3">
        <f>SUMPRODUCT($B23:$Y23,$B$2649:$Y$2649)</f>
        <v/>
      </c>
      <c r="AA23" s="3">
        <f>SUMPRODUCT($B23:$Y23,$B$2655:$Y$2655)</f>
        <v/>
      </c>
      <c r="AC23" s="1">
        <f>A23</f>
        <v/>
      </c>
      <c r="AD23">
        <f>IF(ISNUMBER(V23),V23*($AB$1/V$2635),"")</f>
        <v/>
      </c>
      <c r="AE23">
        <f>IF(ISNUMBER(Z23),Z23*($AB$1/Z$2635),"")</f>
        <v/>
      </c>
      <c r="AF23" s="25">
        <f>IF(ISNUMBER(AD23+AE23),AD23+AE23,"")</f>
        <v/>
      </c>
      <c r="AH23" s="1">
        <f>A23</f>
        <v/>
      </c>
      <c r="AI23">
        <f>IF(ISNUMBER((1+V23)*AI22),(1+V23)*AI22,AI22)</f>
        <v/>
      </c>
      <c r="AJ23">
        <f>IF(ISNUMBER((1+Z23)*AJ22),(1+Z23)*AJ22,AJ22)</f>
        <v/>
      </c>
    </row>
    <row r="24">
      <c r="A24" s="1" t="n">
        <v>42038</v>
      </c>
      <c r="B24" s="3">
        <f>IF(ORIG!B24=0,"",ORIG!B24)</f>
        <v/>
      </c>
      <c r="C24" s="3">
        <f>IF(ORIG!C24=0,"",ORIG!C24)</f>
        <v/>
      </c>
      <c r="D24" s="3">
        <f>IF(ORIG!D24=0,"",ORIG!D24)</f>
        <v/>
      </c>
      <c r="E24" s="3">
        <f>IF(ORIG!E24=0,"",ORIG!E24)</f>
        <v/>
      </c>
      <c r="F24" s="3">
        <f>IF(ORIG!F24=0,"",ORIG!F24)</f>
        <v/>
      </c>
      <c r="G24" s="3">
        <f>IF(ORIG!G24=0,"",ORIG!G24)</f>
        <v/>
      </c>
      <c r="H24" s="3">
        <f>IF(ORIG!H24=0,"",ORIG!H24)</f>
        <v/>
      </c>
      <c r="I24" s="3">
        <f>IF(ORIG!I24=0,"",ORIG!I24)</f>
        <v/>
      </c>
      <c r="J24" s="3">
        <f>IF(ORIG!J24=0,"",ORIG!J24)</f>
        <v/>
      </c>
      <c r="K24" s="3">
        <f>IF(ORIG!K24=0,"",ORIG!K24)</f>
        <v/>
      </c>
      <c r="L24" s="3">
        <f>IF(ORIG!L24=0,"",ORIG!L24)</f>
        <v/>
      </c>
      <c r="M24" s="3">
        <f>IF(ORIG!M24=0,"",ORIG!M24)</f>
        <v/>
      </c>
      <c r="N24" s="3">
        <f>IF(ORIG!N24=0,"",ORIG!N24)</f>
        <v/>
      </c>
      <c r="O24" s="3">
        <f>IF(ORIG!O24=0,"",ORIG!O24)</f>
        <v/>
      </c>
      <c r="P24" s="3">
        <f>IF(ORIG!P24=0,"",ORIG!P24)</f>
        <v/>
      </c>
      <c r="Q24" s="3">
        <f>IF(ORIG!Q24=0,"",ORIG!Q24)</f>
        <v/>
      </c>
      <c r="R24" s="3">
        <f>IF(ORIG!R24=0,"",ORIG!R24)</f>
        <v/>
      </c>
      <c r="S24" s="3">
        <f>IF(ORIG!S24=0,"",ORIG!S24)</f>
        <v/>
      </c>
      <c r="T24" s="3">
        <f>IF(ORIG!T24=0,"",ORIG!T24)</f>
        <v/>
      </c>
      <c r="U24" s="3">
        <f>IF(ORIG!U24=0,"",ORIG!U24)</f>
        <v/>
      </c>
      <c r="V24" s="9">
        <f>IF(ORIG!V24=0,"",ORIG!V24)</f>
        <v/>
      </c>
      <c r="W24" s="9">
        <f>IF(ORIG!W24=0,"",ORIG!W24)</f>
        <v/>
      </c>
      <c r="X24" s="9">
        <f>IF(ORIG!X24=0,"",ORIG!X24)</f>
        <v/>
      </c>
      <c r="Y24" s="9">
        <f>IF(ORIG!Y24=0,"",ORIG!Y24)</f>
        <v/>
      </c>
      <c r="Z24" s="3">
        <f>SUMPRODUCT($B24:$Y24,$B$2649:$Y$2649)</f>
        <v/>
      </c>
      <c r="AA24" s="3">
        <f>SUMPRODUCT($B24:$Y24,$B$2655:$Y$2655)</f>
        <v/>
      </c>
      <c r="AC24" s="1">
        <f>A24</f>
        <v/>
      </c>
      <c r="AD24">
        <f>IF(ISNUMBER(V24),V24*($AB$1/V$2635),"")</f>
        <v/>
      </c>
      <c r="AE24">
        <f>IF(ISNUMBER(Z24),Z24*($AB$1/Z$2635),"")</f>
        <v/>
      </c>
      <c r="AF24" s="25">
        <f>IF(ISNUMBER(AD24+AE24),AD24+AE24,"")</f>
        <v/>
      </c>
      <c r="AH24" s="1">
        <f>A24</f>
        <v/>
      </c>
      <c r="AI24">
        <f>IF(ISNUMBER((1+V24)*AI23),(1+V24)*AI23,AI23)</f>
        <v/>
      </c>
      <c r="AJ24">
        <f>IF(ISNUMBER((1+Z24)*AJ23),(1+Z24)*AJ23,AJ23)</f>
        <v/>
      </c>
    </row>
    <row r="25">
      <c r="A25" s="1" t="n">
        <v>42039</v>
      </c>
      <c r="B25" s="3">
        <f>IF(ORIG!B25=0,"",ORIG!B25)</f>
        <v/>
      </c>
      <c r="C25" s="3">
        <f>IF(ORIG!C25=0,"",ORIG!C25)</f>
        <v/>
      </c>
      <c r="D25" s="3">
        <f>IF(ORIG!D25=0,"",ORIG!D25)</f>
        <v/>
      </c>
      <c r="E25" s="3">
        <f>IF(ORIG!E25=0,"",ORIG!E25)</f>
        <v/>
      </c>
      <c r="F25" s="3">
        <f>IF(ORIG!F25=0,"",ORIG!F25)</f>
        <v/>
      </c>
      <c r="G25" s="3">
        <f>IF(ORIG!G25=0,"",ORIG!G25)</f>
        <v/>
      </c>
      <c r="H25" s="3">
        <f>IF(ORIG!H25=0,"",ORIG!H25)</f>
        <v/>
      </c>
      <c r="I25" s="3">
        <f>IF(ORIG!I25=0,"",ORIG!I25)</f>
        <v/>
      </c>
      <c r="J25" s="3">
        <f>IF(ORIG!J25=0,"",ORIG!J25)</f>
        <v/>
      </c>
      <c r="K25" s="3">
        <f>IF(ORIG!K25=0,"",ORIG!K25)</f>
        <v/>
      </c>
      <c r="L25" s="3">
        <f>IF(ORIG!L25=0,"",ORIG!L25)</f>
        <v/>
      </c>
      <c r="M25" s="3">
        <f>IF(ORIG!M25=0,"",ORIG!M25)</f>
        <v/>
      </c>
      <c r="N25" s="3">
        <f>IF(ORIG!N25=0,"",ORIG!N25)</f>
        <v/>
      </c>
      <c r="O25" s="3">
        <f>IF(ORIG!O25=0,"",ORIG!O25)</f>
        <v/>
      </c>
      <c r="P25" s="3">
        <f>IF(ORIG!P25=0,"",ORIG!P25)</f>
        <v/>
      </c>
      <c r="Q25" s="3">
        <f>IF(ORIG!Q25=0,"",ORIG!Q25)</f>
        <v/>
      </c>
      <c r="R25" s="3">
        <f>IF(ORIG!R25=0,"",ORIG!R25)</f>
        <v/>
      </c>
      <c r="S25" s="3">
        <f>IF(ORIG!S25=0,"",ORIG!S25)</f>
        <v/>
      </c>
      <c r="T25" s="3">
        <f>IF(ORIG!T25=0,"",ORIG!T25)</f>
        <v/>
      </c>
      <c r="U25" s="3">
        <f>IF(ORIG!U25=0,"",ORIG!U25)</f>
        <v/>
      </c>
      <c r="V25" s="9">
        <f>IF(ORIG!V25=0,"",ORIG!V25)</f>
        <v/>
      </c>
      <c r="W25" s="9">
        <f>IF(ORIG!W25=0,"",ORIG!W25)</f>
        <v/>
      </c>
      <c r="X25" s="9">
        <f>IF(ORIG!X25=0,"",ORIG!X25)</f>
        <v/>
      </c>
      <c r="Y25" s="9">
        <f>IF(ORIG!Y25=0,"",ORIG!Y25)</f>
        <v/>
      </c>
      <c r="Z25" s="3">
        <f>SUMPRODUCT($B25:$Y25,$B$2649:$Y$2649)</f>
        <v/>
      </c>
      <c r="AA25" s="3">
        <f>SUMPRODUCT($B25:$Y25,$B$2655:$Y$2655)</f>
        <v/>
      </c>
      <c r="AC25" s="1">
        <f>A25</f>
        <v/>
      </c>
      <c r="AD25">
        <f>IF(ISNUMBER(V25),V25*($AB$1/V$2635),"")</f>
        <v/>
      </c>
      <c r="AE25">
        <f>IF(ISNUMBER(Z25),Z25*($AB$1/Z$2635),"")</f>
        <v/>
      </c>
      <c r="AF25" s="25">
        <f>IF(ISNUMBER(AD25+AE25),AD25+AE25,"")</f>
        <v/>
      </c>
      <c r="AH25" s="1">
        <f>A25</f>
        <v/>
      </c>
      <c r="AI25">
        <f>IF(ISNUMBER((1+V25)*AI24),(1+V25)*AI24,AI24)</f>
        <v/>
      </c>
      <c r="AJ25">
        <f>IF(ISNUMBER((1+Z25)*AJ24),(1+Z25)*AJ24,AJ24)</f>
        <v/>
      </c>
    </row>
    <row r="26">
      <c r="A26" s="1" t="n">
        <v>42040</v>
      </c>
      <c r="B26" s="3">
        <f>IF(ORIG!B26=0,"",ORIG!B26)</f>
        <v/>
      </c>
      <c r="C26" s="3">
        <f>IF(ORIG!C26=0,"",ORIG!C26)</f>
        <v/>
      </c>
      <c r="D26" s="3">
        <f>IF(ORIG!D26=0,"",ORIG!D26)</f>
        <v/>
      </c>
      <c r="E26" s="3">
        <f>IF(ORIG!E26=0,"",ORIG!E26)</f>
        <v/>
      </c>
      <c r="F26" s="3">
        <f>IF(ORIG!F26=0,"",ORIG!F26)</f>
        <v/>
      </c>
      <c r="G26" s="3">
        <f>IF(ORIG!G26=0,"",ORIG!G26)</f>
        <v/>
      </c>
      <c r="H26" s="3">
        <f>IF(ORIG!H26=0,"",ORIG!H26)</f>
        <v/>
      </c>
      <c r="I26" s="3">
        <f>IF(ORIG!I26=0,"",ORIG!I26)</f>
        <v/>
      </c>
      <c r="J26" s="3">
        <f>IF(ORIG!J26=0,"",ORIG!J26)</f>
        <v/>
      </c>
      <c r="K26" s="3">
        <f>IF(ORIG!K26=0,"",ORIG!K26)</f>
        <v/>
      </c>
      <c r="L26" s="3">
        <f>IF(ORIG!L26=0,"",ORIG!L26)</f>
        <v/>
      </c>
      <c r="M26" s="3">
        <f>IF(ORIG!M26=0,"",ORIG!M26)</f>
        <v/>
      </c>
      <c r="N26" s="3">
        <f>IF(ORIG!N26=0,"",ORIG!N26)</f>
        <v/>
      </c>
      <c r="O26" s="3">
        <f>IF(ORIG!O26=0,"",ORIG!O26)</f>
        <v/>
      </c>
      <c r="P26" s="3">
        <f>IF(ORIG!P26=0,"",ORIG!P26)</f>
        <v/>
      </c>
      <c r="Q26" s="3">
        <f>IF(ORIG!Q26=0,"",ORIG!Q26)</f>
        <v/>
      </c>
      <c r="R26" s="3">
        <f>IF(ORIG!R26=0,"",ORIG!R26)</f>
        <v/>
      </c>
      <c r="S26" s="3">
        <f>IF(ORIG!S26=0,"",ORIG!S26)</f>
        <v/>
      </c>
      <c r="T26" s="3">
        <f>IF(ORIG!T26=0,"",ORIG!T26)</f>
        <v/>
      </c>
      <c r="U26" s="3">
        <f>IF(ORIG!U26=0,"",ORIG!U26)</f>
        <v/>
      </c>
      <c r="V26" s="9">
        <f>IF(ORIG!V26=0,"",ORIG!V26)</f>
        <v/>
      </c>
      <c r="W26" s="9">
        <f>IF(ORIG!W26=0,"",ORIG!W26)</f>
        <v/>
      </c>
      <c r="X26" s="9">
        <f>IF(ORIG!X26=0,"",ORIG!X26)</f>
        <v/>
      </c>
      <c r="Y26" s="9">
        <f>IF(ORIG!Y26=0,"",ORIG!Y26)</f>
        <v/>
      </c>
      <c r="Z26" s="3">
        <f>SUMPRODUCT($B26:$Y26,$B$2649:$Y$2649)</f>
        <v/>
      </c>
      <c r="AA26" s="3">
        <f>SUMPRODUCT($B26:$Y26,$B$2655:$Y$2655)</f>
        <v/>
      </c>
      <c r="AC26" s="1">
        <f>A26</f>
        <v/>
      </c>
      <c r="AD26">
        <f>IF(ISNUMBER(V26),V26*($AB$1/V$2635),"")</f>
        <v/>
      </c>
      <c r="AE26">
        <f>IF(ISNUMBER(Z26),Z26*($AB$1/Z$2635),"")</f>
        <v/>
      </c>
      <c r="AF26" s="25">
        <f>IF(ISNUMBER(AD26+AE26),AD26+AE26,"")</f>
        <v/>
      </c>
      <c r="AH26" s="1">
        <f>A26</f>
        <v/>
      </c>
      <c r="AI26">
        <f>IF(ISNUMBER((1+V26)*AI25),(1+V26)*AI25,AI25)</f>
        <v/>
      </c>
      <c r="AJ26">
        <f>IF(ISNUMBER((1+Z26)*AJ25),(1+Z26)*AJ25,AJ25)</f>
        <v/>
      </c>
    </row>
    <row r="27">
      <c r="A27" s="1" t="n">
        <v>42041</v>
      </c>
      <c r="B27" s="3">
        <f>IF(ORIG!B27=0,"",ORIG!B27)</f>
        <v/>
      </c>
      <c r="C27" s="3">
        <f>IF(ORIG!C27=0,"",ORIG!C27)</f>
        <v/>
      </c>
      <c r="D27" s="3">
        <f>IF(ORIG!D27=0,"",ORIG!D27)</f>
        <v/>
      </c>
      <c r="E27" s="3">
        <f>IF(ORIG!E27=0,"",ORIG!E27)</f>
        <v/>
      </c>
      <c r="F27" s="3">
        <f>IF(ORIG!F27=0,"",ORIG!F27)</f>
        <v/>
      </c>
      <c r="G27" s="3">
        <f>IF(ORIG!G27=0,"",ORIG!G27)</f>
        <v/>
      </c>
      <c r="H27" s="3">
        <f>IF(ORIG!H27=0,"",ORIG!H27)</f>
        <v/>
      </c>
      <c r="I27" s="3">
        <f>IF(ORIG!I27=0,"",ORIG!I27)</f>
        <v/>
      </c>
      <c r="J27" s="3">
        <f>IF(ORIG!J27=0,"",ORIG!J27)</f>
        <v/>
      </c>
      <c r="K27" s="3">
        <f>IF(ORIG!K27=0,"",ORIG!K27)</f>
        <v/>
      </c>
      <c r="L27" s="3">
        <f>IF(ORIG!L27=0,"",ORIG!L27)</f>
        <v/>
      </c>
      <c r="M27" s="3">
        <f>IF(ORIG!M27=0,"",ORIG!M27)</f>
        <v/>
      </c>
      <c r="N27" s="3">
        <f>IF(ORIG!N27=0,"",ORIG!N27)</f>
        <v/>
      </c>
      <c r="O27" s="3">
        <f>IF(ORIG!O27=0,"",ORIG!O27)</f>
        <v/>
      </c>
      <c r="P27" s="3">
        <f>IF(ORIG!P27=0,"",ORIG!P27)</f>
        <v/>
      </c>
      <c r="Q27" s="3">
        <f>IF(ORIG!Q27=0,"",ORIG!Q27)</f>
        <v/>
      </c>
      <c r="R27" s="3">
        <f>IF(ORIG!R27=0,"",ORIG!R27)</f>
        <v/>
      </c>
      <c r="S27" s="3">
        <f>IF(ORIG!S27=0,"",ORIG!S27)</f>
        <v/>
      </c>
      <c r="T27" s="3">
        <f>IF(ORIG!T27=0,"",ORIG!T27)</f>
        <v/>
      </c>
      <c r="U27" s="3">
        <f>IF(ORIG!U27=0,"",ORIG!U27)</f>
        <v/>
      </c>
      <c r="V27" s="9">
        <f>IF(ORIG!V27=0,"",ORIG!V27)</f>
        <v/>
      </c>
      <c r="W27" s="9">
        <f>IF(ORIG!W27=0,"",ORIG!W27)</f>
        <v/>
      </c>
      <c r="X27" s="9">
        <f>IF(ORIG!X27=0,"",ORIG!X27)</f>
        <v/>
      </c>
      <c r="Y27" s="9">
        <f>IF(ORIG!Y27=0,"",ORIG!Y27)</f>
        <v/>
      </c>
      <c r="Z27" s="3">
        <f>SUMPRODUCT($B27:$Y27,$B$2649:$Y$2649)</f>
        <v/>
      </c>
      <c r="AA27" s="3">
        <f>SUMPRODUCT($B27:$Y27,$B$2655:$Y$2655)</f>
        <v/>
      </c>
      <c r="AC27" s="1">
        <f>A27</f>
        <v/>
      </c>
      <c r="AD27">
        <f>IF(ISNUMBER(V27),V27*($AB$1/V$2635),"")</f>
        <v/>
      </c>
      <c r="AE27">
        <f>IF(ISNUMBER(Z27),Z27*($AB$1/Z$2635),"")</f>
        <v/>
      </c>
      <c r="AF27" s="25">
        <f>IF(ISNUMBER(AD27+AE27),AD27+AE27,"")</f>
        <v/>
      </c>
      <c r="AH27" s="1">
        <f>A27</f>
        <v/>
      </c>
      <c r="AI27">
        <f>IF(ISNUMBER((1+V27)*AI26),(1+V27)*AI26,AI26)</f>
        <v/>
      </c>
      <c r="AJ27">
        <f>IF(ISNUMBER((1+Z27)*AJ26),(1+Z27)*AJ26,AJ26)</f>
        <v/>
      </c>
    </row>
    <row r="28">
      <c r="A28" s="1" t="n">
        <v>42044</v>
      </c>
      <c r="B28" s="3">
        <f>IF(ORIG!B28=0,"",ORIG!B28)</f>
        <v/>
      </c>
      <c r="C28" s="3">
        <f>IF(ORIG!C28=0,"",ORIG!C28)</f>
        <v/>
      </c>
      <c r="D28" s="3">
        <f>IF(ORIG!D28=0,"",ORIG!D28)</f>
        <v/>
      </c>
      <c r="E28" s="3">
        <f>IF(ORIG!E28=0,"",ORIG!E28)</f>
        <v/>
      </c>
      <c r="F28" s="3">
        <f>IF(ORIG!F28=0,"",ORIG!F28)</f>
        <v/>
      </c>
      <c r="G28" s="3">
        <f>IF(ORIG!G28=0,"",ORIG!G28)</f>
        <v/>
      </c>
      <c r="H28" s="3">
        <f>IF(ORIG!H28=0,"",ORIG!H28)</f>
        <v/>
      </c>
      <c r="I28" s="3">
        <f>IF(ORIG!I28=0,"",ORIG!I28)</f>
        <v/>
      </c>
      <c r="J28" s="3">
        <f>IF(ORIG!J28=0,"",ORIG!J28)</f>
        <v/>
      </c>
      <c r="K28" s="3">
        <f>IF(ORIG!K28=0,"",ORIG!K28)</f>
        <v/>
      </c>
      <c r="L28" s="3">
        <f>IF(ORIG!L28=0,"",ORIG!L28)</f>
        <v/>
      </c>
      <c r="M28" s="3">
        <f>IF(ORIG!M28=0,"",ORIG!M28)</f>
        <v/>
      </c>
      <c r="N28" s="3">
        <f>IF(ORIG!N28=0,"",ORIG!N28)</f>
        <v/>
      </c>
      <c r="O28" s="3">
        <f>IF(ORIG!O28=0,"",ORIG!O28)</f>
        <v/>
      </c>
      <c r="P28" s="3">
        <f>IF(ORIG!P28=0,"",ORIG!P28)</f>
        <v/>
      </c>
      <c r="Q28" s="3">
        <f>IF(ORIG!Q28=0,"",ORIG!Q28)</f>
        <v/>
      </c>
      <c r="R28" s="3">
        <f>IF(ORIG!R28=0,"",ORIG!R28)</f>
        <v/>
      </c>
      <c r="S28" s="3">
        <f>IF(ORIG!S28=0,"",ORIG!S28)</f>
        <v/>
      </c>
      <c r="T28" s="3">
        <f>IF(ORIG!T28=0,"",ORIG!T28)</f>
        <v/>
      </c>
      <c r="U28" s="3">
        <f>IF(ORIG!U28=0,"",ORIG!U28)</f>
        <v/>
      </c>
      <c r="V28" s="9">
        <f>IF(ORIG!V28=0,"",ORIG!V28)</f>
        <v/>
      </c>
      <c r="W28" s="9">
        <f>IF(ORIG!W28=0,"",ORIG!W28)</f>
        <v/>
      </c>
      <c r="X28" s="9">
        <f>IF(ORIG!X28=0,"",ORIG!X28)</f>
        <v/>
      </c>
      <c r="Y28" s="9">
        <f>IF(ORIG!Y28=0,"",ORIG!Y28)</f>
        <v/>
      </c>
      <c r="Z28" s="3">
        <f>SUMPRODUCT($B28:$Y28,$B$2649:$Y$2649)</f>
        <v/>
      </c>
      <c r="AA28" s="3">
        <f>SUMPRODUCT($B28:$Y28,$B$2655:$Y$2655)</f>
        <v/>
      </c>
      <c r="AC28" s="1">
        <f>A28</f>
        <v/>
      </c>
      <c r="AD28">
        <f>IF(ISNUMBER(V28),V28*($AB$1/V$2635),"")</f>
        <v/>
      </c>
      <c r="AE28">
        <f>IF(ISNUMBER(Z28),Z28*($AB$1/Z$2635),"")</f>
        <v/>
      </c>
      <c r="AF28" s="25">
        <f>IF(ISNUMBER(AD28+AE28),AD28+AE28,"")</f>
        <v/>
      </c>
      <c r="AH28" s="1">
        <f>A28</f>
        <v/>
      </c>
      <c r="AI28">
        <f>IF(ISNUMBER((1+V28)*AI27),(1+V28)*AI27,AI27)</f>
        <v/>
      </c>
      <c r="AJ28">
        <f>IF(ISNUMBER((1+Z28)*AJ27),(1+Z28)*AJ27,AJ27)</f>
        <v/>
      </c>
    </row>
    <row r="29">
      <c r="A29" s="1" t="n">
        <v>42045</v>
      </c>
      <c r="B29" s="3">
        <f>IF(ORIG!B29=0,"",ORIG!B29)</f>
        <v/>
      </c>
      <c r="C29" s="3">
        <f>IF(ORIG!C29=0,"",ORIG!C29)</f>
        <v/>
      </c>
      <c r="D29" s="3">
        <f>IF(ORIG!D29=0,"",ORIG!D29)</f>
        <v/>
      </c>
      <c r="E29" s="3">
        <f>IF(ORIG!E29=0,"",ORIG!E29)</f>
        <v/>
      </c>
      <c r="F29" s="3">
        <f>IF(ORIG!F29=0,"",ORIG!F29)</f>
        <v/>
      </c>
      <c r="G29" s="3">
        <f>IF(ORIG!G29=0,"",ORIG!G29)</f>
        <v/>
      </c>
      <c r="H29" s="3">
        <f>IF(ORIG!H29=0,"",ORIG!H29)</f>
        <v/>
      </c>
      <c r="I29" s="3">
        <f>IF(ORIG!I29=0,"",ORIG!I29)</f>
        <v/>
      </c>
      <c r="J29" s="3">
        <f>IF(ORIG!J29=0,"",ORIG!J29)</f>
        <v/>
      </c>
      <c r="K29" s="3">
        <f>IF(ORIG!K29=0,"",ORIG!K29)</f>
        <v/>
      </c>
      <c r="L29" s="3">
        <f>IF(ORIG!L29=0,"",ORIG!L29)</f>
        <v/>
      </c>
      <c r="M29" s="3">
        <f>IF(ORIG!M29=0,"",ORIG!M29)</f>
        <v/>
      </c>
      <c r="N29" s="3">
        <f>IF(ORIG!N29=0,"",ORIG!N29)</f>
        <v/>
      </c>
      <c r="O29" s="3">
        <f>IF(ORIG!O29=0,"",ORIG!O29)</f>
        <v/>
      </c>
      <c r="P29" s="3">
        <f>IF(ORIG!P29=0,"",ORIG!P29)</f>
        <v/>
      </c>
      <c r="Q29" s="3">
        <f>IF(ORIG!Q29=0,"",ORIG!Q29)</f>
        <v/>
      </c>
      <c r="R29" s="3">
        <f>IF(ORIG!R29=0,"",ORIG!R29)</f>
        <v/>
      </c>
      <c r="S29" s="3">
        <f>IF(ORIG!S29=0,"",ORIG!S29)</f>
        <v/>
      </c>
      <c r="T29" s="3">
        <f>IF(ORIG!T29=0,"",ORIG!T29)</f>
        <v/>
      </c>
      <c r="U29" s="3">
        <f>IF(ORIG!U29=0,"",ORIG!U29)</f>
        <v/>
      </c>
      <c r="V29" s="9">
        <f>IF(ORIG!V29=0,"",ORIG!V29)</f>
        <v/>
      </c>
      <c r="W29" s="9">
        <f>IF(ORIG!W29=0,"",ORIG!W29)</f>
        <v/>
      </c>
      <c r="X29" s="9">
        <f>IF(ORIG!X29=0,"",ORIG!X29)</f>
        <v/>
      </c>
      <c r="Y29" s="9">
        <f>IF(ORIG!Y29=0,"",ORIG!Y29)</f>
        <v/>
      </c>
      <c r="Z29" s="3">
        <f>SUMPRODUCT($B29:$Y29,$B$2649:$Y$2649)</f>
        <v/>
      </c>
      <c r="AA29" s="3">
        <f>SUMPRODUCT($B29:$Y29,$B$2655:$Y$2655)</f>
        <v/>
      </c>
      <c r="AC29" s="1">
        <f>A29</f>
        <v/>
      </c>
      <c r="AD29">
        <f>IF(ISNUMBER(V29),V29*($AB$1/V$2635),"")</f>
        <v/>
      </c>
      <c r="AE29">
        <f>IF(ISNUMBER(Z29),Z29*($AB$1/Z$2635),"")</f>
        <v/>
      </c>
      <c r="AF29" s="25">
        <f>IF(ISNUMBER(AD29+AE29),AD29+AE29,"")</f>
        <v/>
      </c>
      <c r="AH29" s="1">
        <f>A29</f>
        <v/>
      </c>
      <c r="AI29">
        <f>IF(ISNUMBER((1+V29)*AI28),(1+V29)*AI28,AI28)</f>
        <v/>
      </c>
      <c r="AJ29">
        <f>IF(ISNUMBER((1+Z29)*AJ28),(1+Z29)*AJ28,AJ28)</f>
        <v/>
      </c>
    </row>
    <row r="30">
      <c r="A30" s="1" t="n">
        <v>42046</v>
      </c>
      <c r="B30" s="3">
        <f>IF(ORIG!B30=0,"",ORIG!B30)</f>
        <v/>
      </c>
      <c r="C30" s="3">
        <f>IF(ORIG!C30=0,"",ORIG!C30)</f>
        <v/>
      </c>
      <c r="D30" s="3">
        <f>IF(ORIG!D30=0,"",ORIG!D30)</f>
        <v/>
      </c>
      <c r="E30" s="3">
        <f>IF(ORIG!E30=0,"",ORIG!E30)</f>
        <v/>
      </c>
      <c r="F30" s="3">
        <f>IF(ORIG!F30=0,"",ORIG!F30)</f>
        <v/>
      </c>
      <c r="G30" s="3">
        <f>IF(ORIG!G30=0,"",ORIG!G30)</f>
        <v/>
      </c>
      <c r="H30" s="3">
        <f>IF(ORIG!H30=0,"",ORIG!H30)</f>
        <v/>
      </c>
      <c r="I30" s="3">
        <f>IF(ORIG!I30=0,"",ORIG!I30)</f>
        <v/>
      </c>
      <c r="J30" s="3">
        <f>IF(ORIG!J30=0,"",ORIG!J30)</f>
        <v/>
      </c>
      <c r="K30" s="3">
        <f>IF(ORIG!K30=0,"",ORIG!K30)</f>
        <v/>
      </c>
      <c r="L30" s="3">
        <f>IF(ORIG!L30=0,"",ORIG!L30)</f>
        <v/>
      </c>
      <c r="M30" s="3">
        <f>IF(ORIG!M30=0,"",ORIG!M30)</f>
        <v/>
      </c>
      <c r="N30" s="3">
        <f>IF(ORIG!N30=0,"",ORIG!N30)</f>
        <v/>
      </c>
      <c r="O30" s="3">
        <f>IF(ORIG!O30=0,"",ORIG!O30)</f>
        <v/>
      </c>
      <c r="P30" s="3">
        <f>IF(ORIG!P30=0,"",ORIG!P30)</f>
        <v/>
      </c>
      <c r="Q30" s="3">
        <f>IF(ORIG!Q30=0,"",ORIG!Q30)</f>
        <v/>
      </c>
      <c r="R30" s="3">
        <f>IF(ORIG!R30=0,"",ORIG!R30)</f>
        <v/>
      </c>
      <c r="S30" s="3">
        <f>IF(ORIG!S30=0,"",ORIG!S30)</f>
        <v/>
      </c>
      <c r="T30" s="3">
        <f>IF(ORIG!T30=0,"",ORIG!T30)</f>
        <v/>
      </c>
      <c r="U30" s="3">
        <f>IF(ORIG!U30=0,"",ORIG!U30)</f>
        <v/>
      </c>
      <c r="V30" s="9">
        <f>IF(ORIG!V30=0,"",ORIG!V30)</f>
        <v/>
      </c>
      <c r="W30" s="9">
        <f>IF(ORIG!W30=0,"",ORIG!W30)</f>
        <v/>
      </c>
      <c r="X30" s="9">
        <f>IF(ORIG!X30=0,"",ORIG!X30)</f>
        <v/>
      </c>
      <c r="Y30" s="9">
        <f>IF(ORIG!Y30=0,"",ORIG!Y30)</f>
        <v/>
      </c>
      <c r="Z30" s="3">
        <f>SUMPRODUCT($B30:$Y30,$B$2649:$Y$2649)</f>
        <v/>
      </c>
      <c r="AA30" s="3">
        <f>SUMPRODUCT($B30:$Y30,$B$2655:$Y$2655)</f>
        <v/>
      </c>
      <c r="AC30" s="1">
        <f>A30</f>
        <v/>
      </c>
      <c r="AD30">
        <f>IF(ISNUMBER(V30),V30*($AB$1/V$2635),"")</f>
        <v/>
      </c>
      <c r="AE30">
        <f>IF(ISNUMBER(Z30),Z30*($AB$1/Z$2635),"")</f>
        <v/>
      </c>
      <c r="AF30" s="25">
        <f>IF(ISNUMBER(AD30+AE30),AD30+AE30,"")</f>
        <v/>
      </c>
      <c r="AH30" s="1">
        <f>A30</f>
        <v/>
      </c>
      <c r="AI30">
        <f>IF(ISNUMBER((1+V30)*AI29),(1+V30)*AI29,AI29)</f>
        <v/>
      </c>
      <c r="AJ30">
        <f>IF(ISNUMBER((1+Z30)*AJ29),(1+Z30)*AJ29,AJ29)</f>
        <v/>
      </c>
    </row>
    <row r="31">
      <c r="A31" s="1" t="n">
        <v>42047</v>
      </c>
      <c r="B31" s="3">
        <f>IF(ORIG!B31=0,"",ORIG!B31)</f>
        <v/>
      </c>
      <c r="C31" s="3">
        <f>IF(ORIG!C31=0,"",ORIG!C31)</f>
        <v/>
      </c>
      <c r="D31" s="3">
        <f>IF(ORIG!D31=0,"",ORIG!D31)</f>
        <v/>
      </c>
      <c r="E31" s="3">
        <f>IF(ORIG!E31=0,"",ORIG!E31)</f>
        <v/>
      </c>
      <c r="F31" s="3">
        <f>IF(ORIG!F31=0,"",ORIG!F31)</f>
        <v/>
      </c>
      <c r="G31" s="3">
        <f>IF(ORIG!G31=0,"",ORIG!G31)</f>
        <v/>
      </c>
      <c r="H31" s="3">
        <f>IF(ORIG!H31=0,"",ORIG!H31)</f>
        <v/>
      </c>
      <c r="I31" s="3">
        <f>IF(ORIG!I31=0,"",ORIG!I31)</f>
        <v/>
      </c>
      <c r="J31" s="3">
        <f>IF(ORIG!J31=0,"",ORIG!J31)</f>
        <v/>
      </c>
      <c r="K31" s="3">
        <f>IF(ORIG!K31=0,"",ORIG!K31)</f>
        <v/>
      </c>
      <c r="L31" s="3">
        <f>IF(ORIG!L31=0,"",ORIG!L31)</f>
        <v/>
      </c>
      <c r="M31" s="3">
        <f>IF(ORIG!M31=0,"",ORIG!M31)</f>
        <v/>
      </c>
      <c r="N31" s="3">
        <f>IF(ORIG!N31=0,"",ORIG!N31)</f>
        <v/>
      </c>
      <c r="O31" s="3">
        <f>IF(ORIG!O31=0,"",ORIG!O31)</f>
        <v/>
      </c>
      <c r="P31" s="3">
        <f>IF(ORIG!P31=0,"",ORIG!P31)</f>
        <v/>
      </c>
      <c r="Q31" s="3">
        <f>IF(ORIG!Q31=0,"",ORIG!Q31)</f>
        <v/>
      </c>
      <c r="R31" s="3">
        <f>IF(ORIG!R31=0,"",ORIG!R31)</f>
        <v/>
      </c>
      <c r="S31" s="3">
        <f>IF(ORIG!S31=0,"",ORIG!S31)</f>
        <v/>
      </c>
      <c r="T31" s="3">
        <f>IF(ORIG!T31=0,"",ORIG!T31)</f>
        <v/>
      </c>
      <c r="U31" s="3">
        <f>IF(ORIG!U31=0,"",ORIG!U31)</f>
        <v/>
      </c>
      <c r="V31" s="9">
        <f>IF(ORIG!V31=0,"",ORIG!V31)</f>
        <v/>
      </c>
      <c r="W31" s="9">
        <f>IF(ORIG!W31=0,"",ORIG!W31)</f>
        <v/>
      </c>
      <c r="X31" s="9">
        <f>IF(ORIG!X31=0,"",ORIG!X31)</f>
        <v/>
      </c>
      <c r="Y31" s="9">
        <f>IF(ORIG!Y31=0,"",ORIG!Y31)</f>
        <v/>
      </c>
      <c r="Z31" s="3">
        <f>SUMPRODUCT($B31:$Y31,$B$2649:$Y$2649)</f>
        <v/>
      </c>
      <c r="AA31" s="3">
        <f>SUMPRODUCT($B31:$Y31,$B$2655:$Y$2655)</f>
        <v/>
      </c>
      <c r="AC31" s="1">
        <f>A31</f>
        <v/>
      </c>
      <c r="AD31">
        <f>IF(ISNUMBER(V31),V31*($AB$1/V$2635),"")</f>
        <v/>
      </c>
      <c r="AE31">
        <f>IF(ISNUMBER(Z31),Z31*($AB$1/Z$2635),"")</f>
        <v/>
      </c>
      <c r="AF31" s="25">
        <f>IF(ISNUMBER(AD31+AE31),AD31+AE31,"")</f>
        <v/>
      </c>
      <c r="AH31" s="1">
        <f>A31</f>
        <v/>
      </c>
      <c r="AI31">
        <f>IF(ISNUMBER((1+V31)*AI30),(1+V31)*AI30,AI30)</f>
        <v/>
      </c>
      <c r="AJ31">
        <f>IF(ISNUMBER((1+Z31)*AJ30),(1+Z31)*AJ30,AJ30)</f>
        <v/>
      </c>
    </row>
    <row r="32">
      <c r="A32" s="1" t="n">
        <v>42048</v>
      </c>
      <c r="B32" s="3">
        <f>IF(ORIG!B32=0,"",ORIG!B32)</f>
        <v/>
      </c>
      <c r="C32" s="3">
        <f>IF(ORIG!C32=0,"",ORIG!C32)</f>
        <v/>
      </c>
      <c r="D32" s="3">
        <f>IF(ORIG!D32=0,"",ORIG!D32)</f>
        <v/>
      </c>
      <c r="E32" s="3">
        <f>IF(ORIG!E32=0,"",ORIG!E32)</f>
        <v/>
      </c>
      <c r="F32" s="3">
        <f>IF(ORIG!F32=0,"",ORIG!F32)</f>
        <v/>
      </c>
      <c r="G32" s="3">
        <f>IF(ORIG!G32=0,"",ORIG!G32)</f>
        <v/>
      </c>
      <c r="H32" s="3">
        <f>IF(ORIG!H32=0,"",ORIG!H32)</f>
        <v/>
      </c>
      <c r="I32" s="3">
        <f>IF(ORIG!I32=0,"",ORIG!I32)</f>
        <v/>
      </c>
      <c r="J32" s="3">
        <f>IF(ORIG!J32=0,"",ORIG!J32)</f>
        <v/>
      </c>
      <c r="K32" s="3">
        <f>IF(ORIG!K32=0,"",ORIG!K32)</f>
        <v/>
      </c>
      <c r="L32" s="3">
        <f>IF(ORIG!L32=0,"",ORIG!L32)</f>
        <v/>
      </c>
      <c r="M32" s="3">
        <f>IF(ORIG!M32=0,"",ORIG!M32)</f>
        <v/>
      </c>
      <c r="N32" s="3">
        <f>IF(ORIG!N32=0,"",ORIG!N32)</f>
        <v/>
      </c>
      <c r="O32" s="3">
        <f>IF(ORIG!O32=0,"",ORIG!O32)</f>
        <v/>
      </c>
      <c r="P32" s="3">
        <f>IF(ORIG!P32=0,"",ORIG!P32)</f>
        <v/>
      </c>
      <c r="Q32" s="3">
        <f>IF(ORIG!Q32=0,"",ORIG!Q32)</f>
        <v/>
      </c>
      <c r="R32" s="3">
        <f>IF(ORIG!R32=0,"",ORIG!R32)</f>
        <v/>
      </c>
      <c r="S32" s="3">
        <f>IF(ORIG!S32=0,"",ORIG!S32)</f>
        <v/>
      </c>
      <c r="T32" s="3">
        <f>IF(ORIG!T32=0,"",ORIG!T32)</f>
        <v/>
      </c>
      <c r="U32" s="3">
        <f>IF(ORIG!U32=0,"",ORIG!U32)</f>
        <v/>
      </c>
      <c r="V32" s="9">
        <f>IF(ORIG!V32=0,"",ORIG!V32)</f>
        <v/>
      </c>
      <c r="W32" s="9">
        <f>IF(ORIG!W32=0,"",ORIG!W32)</f>
        <v/>
      </c>
      <c r="X32" s="9">
        <f>IF(ORIG!X32=0,"",ORIG!X32)</f>
        <v/>
      </c>
      <c r="Y32" s="9">
        <f>IF(ORIG!Y32=0,"",ORIG!Y32)</f>
        <v/>
      </c>
      <c r="Z32" s="3">
        <f>SUMPRODUCT($B32:$Y32,$B$2649:$Y$2649)</f>
        <v/>
      </c>
      <c r="AA32" s="3">
        <f>SUMPRODUCT($B32:$Y32,$B$2655:$Y$2655)</f>
        <v/>
      </c>
      <c r="AC32" s="1">
        <f>A32</f>
        <v/>
      </c>
      <c r="AD32">
        <f>IF(ISNUMBER(V32),V32*($AB$1/V$2635),"")</f>
        <v/>
      </c>
      <c r="AE32">
        <f>IF(ISNUMBER(Z32),Z32*($AB$1/Z$2635),"")</f>
        <v/>
      </c>
      <c r="AF32" s="25">
        <f>IF(ISNUMBER(AD32+AE32),AD32+AE32,"")</f>
        <v/>
      </c>
      <c r="AH32" s="1">
        <f>A32</f>
        <v/>
      </c>
      <c r="AI32">
        <f>IF(ISNUMBER((1+V32)*AI31),(1+V32)*AI31,AI31)</f>
        <v/>
      </c>
      <c r="AJ32">
        <f>IF(ISNUMBER((1+Z32)*AJ31),(1+Z32)*AJ31,AJ31)</f>
        <v/>
      </c>
    </row>
    <row r="33">
      <c r="A33" s="1" t="n">
        <v>42052</v>
      </c>
      <c r="B33" s="3">
        <f>IF(ORIG!B33=0,"",ORIG!B33)</f>
        <v/>
      </c>
      <c r="C33" s="3">
        <f>IF(ORIG!C33=0,"",ORIG!C33)</f>
        <v/>
      </c>
      <c r="D33" s="3">
        <f>IF(ORIG!D33=0,"",ORIG!D33)</f>
        <v/>
      </c>
      <c r="E33" s="3">
        <f>IF(ORIG!E33=0,"",ORIG!E33)</f>
        <v/>
      </c>
      <c r="F33" s="3">
        <f>IF(ORIG!F33=0,"",ORIG!F33)</f>
        <v/>
      </c>
      <c r="G33" s="3">
        <f>IF(ORIG!G33=0,"",ORIG!G33)</f>
        <v/>
      </c>
      <c r="H33" s="3">
        <f>IF(ORIG!H33=0,"",ORIG!H33)</f>
        <v/>
      </c>
      <c r="I33" s="3">
        <f>IF(ORIG!I33=0,"",ORIG!I33)</f>
        <v/>
      </c>
      <c r="J33" s="3">
        <f>IF(ORIG!J33=0,"",ORIG!J33)</f>
        <v/>
      </c>
      <c r="K33" s="3">
        <f>IF(ORIG!K33=0,"",ORIG!K33)</f>
        <v/>
      </c>
      <c r="L33" s="3">
        <f>IF(ORIG!L33=0,"",ORIG!L33)</f>
        <v/>
      </c>
      <c r="M33" s="3">
        <f>IF(ORIG!M33=0,"",ORIG!M33)</f>
        <v/>
      </c>
      <c r="N33" s="3">
        <f>IF(ORIG!N33=0,"",ORIG!N33)</f>
        <v/>
      </c>
      <c r="O33" s="3">
        <f>IF(ORIG!O33=0,"",ORIG!O33)</f>
        <v/>
      </c>
      <c r="P33" s="3">
        <f>IF(ORIG!P33=0,"",ORIG!P33)</f>
        <v/>
      </c>
      <c r="Q33" s="3">
        <f>IF(ORIG!Q33=0,"",ORIG!Q33)</f>
        <v/>
      </c>
      <c r="R33" s="3">
        <f>IF(ORIG!R33=0,"",ORIG!R33)</f>
        <v/>
      </c>
      <c r="S33" s="3">
        <f>IF(ORIG!S33=0,"",ORIG!S33)</f>
        <v/>
      </c>
      <c r="T33" s="3">
        <f>IF(ORIG!T33=0,"",ORIG!T33)</f>
        <v/>
      </c>
      <c r="U33" s="3">
        <f>IF(ORIG!U33=0,"",ORIG!U33)</f>
        <v/>
      </c>
      <c r="V33" s="9">
        <f>IF(ORIG!V33=0,"",ORIG!V33)</f>
        <v/>
      </c>
      <c r="W33" s="9">
        <f>IF(ORIG!W33=0,"",ORIG!W33)</f>
        <v/>
      </c>
      <c r="X33" s="9">
        <f>IF(ORIG!X33=0,"",ORIG!X33)</f>
        <v/>
      </c>
      <c r="Y33" s="9">
        <f>IF(ORIG!Y33=0,"",ORIG!Y33)</f>
        <v/>
      </c>
      <c r="Z33" s="3">
        <f>SUMPRODUCT($B33:$Y33,$B$2649:$Y$2649)</f>
        <v/>
      </c>
      <c r="AA33" s="3">
        <f>SUMPRODUCT($B33:$Y33,$B$2655:$Y$2655)</f>
        <v/>
      </c>
      <c r="AC33" s="1">
        <f>A33</f>
        <v/>
      </c>
      <c r="AD33">
        <f>IF(ISNUMBER(V33),V33*($AB$1/V$2635),"")</f>
        <v/>
      </c>
      <c r="AE33">
        <f>IF(ISNUMBER(Z33),Z33*($AB$1/Z$2635),"")</f>
        <v/>
      </c>
      <c r="AF33" s="25">
        <f>IF(ISNUMBER(AD33+AE33),AD33+AE33,"")</f>
        <v/>
      </c>
      <c r="AH33" s="1">
        <f>A33</f>
        <v/>
      </c>
      <c r="AI33">
        <f>IF(ISNUMBER((1+V33)*AI32),(1+V33)*AI32,AI32)</f>
        <v/>
      </c>
      <c r="AJ33">
        <f>IF(ISNUMBER((1+Z33)*AJ32),(1+Z33)*AJ32,AJ32)</f>
        <v/>
      </c>
    </row>
    <row r="34">
      <c r="A34" s="1" t="n">
        <v>42053</v>
      </c>
      <c r="B34" s="3">
        <f>IF(ORIG!B34=0,"",ORIG!B34)</f>
        <v/>
      </c>
      <c r="C34" s="3">
        <f>IF(ORIG!C34=0,"",ORIG!C34)</f>
        <v/>
      </c>
      <c r="D34" s="3">
        <f>IF(ORIG!D34=0,"",ORIG!D34)</f>
        <v/>
      </c>
      <c r="E34" s="3">
        <f>IF(ORIG!E34=0,"",ORIG!E34)</f>
        <v/>
      </c>
      <c r="F34" s="3">
        <f>IF(ORIG!F34=0,"",ORIG!F34)</f>
        <v/>
      </c>
      <c r="G34" s="3">
        <f>IF(ORIG!G34=0,"",ORIG!G34)</f>
        <v/>
      </c>
      <c r="H34" s="3">
        <f>IF(ORIG!H34=0,"",ORIG!H34)</f>
        <v/>
      </c>
      <c r="I34" s="3">
        <f>IF(ORIG!I34=0,"",ORIG!I34)</f>
        <v/>
      </c>
      <c r="J34" s="3">
        <f>IF(ORIG!J34=0,"",ORIG!J34)</f>
        <v/>
      </c>
      <c r="K34" s="3">
        <f>IF(ORIG!K34=0,"",ORIG!K34)</f>
        <v/>
      </c>
      <c r="L34" s="3">
        <f>IF(ORIG!L34=0,"",ORIG!L34)</f>
        <v/>
      </c>
      <c r="M34" s="3">
        <f>IF(ORIG!M34=0,"",ORIG!M34)</f>
        <v/>
      </c>
      <c r="N34" s="3">
        <f>IF(ORIG!N34=0,"",ORIG!N34)</f>
        <v/>
      </c>
      <c r="O34" s="3">
        <f>IF(ORIG!O34=0,"",ORIG!O34)</f>
        <v/>
      </c>
      <c r="P34" s="3">
        <f>IF(ORIG!P34=0,"",ORIG!P34)</f>
        <v/>
      </c>
      <c r="Q34" s="3">
        <f>IF(ORIG!Q34=0,"",ORIG!Q34)</f>
        <v/>
      </c>
      <c r="R34" s="3">
        <f>IF(ORIG!R34=0,"",ORIG!R34)</f>
        <v/>
      </c>
      <c r="S34" s="3">
        <f>IF(ORIG!S34=0,"",ORIG!S34)</f>
        <v/>
      </c>
      <c r="T34" s="3">
        <f>IF(ORIG!T34=0,"",ORIG!T34)</f>
        <v/>
      </c>
      <c r="U34" s="3">
        <f>IF(ORIG!U34=0,"",ORIG!U34)</f>
        <v/>
      </c>
      <c r="V34" s="9">
        <f>IF(ORIG!V34=0,"",ORIG!V34)</f>
        <v/>
      </c>
      <c r="W34" s="9">
        <f>IF(ORIG!W34=0,"",ORIG!W34)</f>
        <v/>
      </c>
      <c r="X34" s="9">
        <f>IF(ORIG!X34=0,"",ORIG!X34)</f>
        <v/>
      </c>
      <c r="Y34" s="9">
        <f>IF(ORIG!Y34=0,"",ORIG!Y34)</f>
        <v/>
      </c>
      <c r="Z34" s="3">
        <f>SUMPRODUCT($B34:$Y34,$B$2649:$Y$2649)</f>
        <v/>
      </c>
      <c r="AA34" s="3">
        <f>SUMPRODUCT($B34:$Y34,$B$2655:$Y$2655)</f>
        <v/>
      </c>
      <c r="AC34" s="1">
        <f>A34</f>
        <v/>
      </c>
      <c r="AD34">
        <f>IF(ISNUMBER(V34),V34*($AB$1/V$2635),"")</f>
        <v/>
      </c>
      <c r="AE34">
        <f>IF(ISNUMBER(Z34),Z34*($AB$1/Z$2635),"")</f>
        <v/>
      </c>
      <c r="AF34" s="25">
        <f>IF(ISNUMBER(AD34+AE34),AD34+AE34,"")</f>
        <v/>
      </c>
      <c r="AH34" s="1">
        <f>A34</f>
        <v/>
      </c>
      <c r="AI34">
        <f>IF(ISNUMBER((1+V34)*AI33),(1+V34)*AI33,AI33)</f>
        <v/>
      </c>
      <c r="AJ34">
        <f>IF(ISNUMBER((1+Z34)*AJ33),(1+Z34)*AJ33,AJ33)</f>
        <v/>
      </c>
    </row>
    <row r="35">
      <c r="A35" s="1" t="n">
        <v>42054</v>
      </c>
      <c r="B35" s="3">
        <f>IF(ORIG!B35=0,"",ORIG!B35)</f>
        <v/>
      </c>
      <c r="C35" s="3">
        <f>IF(ORIG!C35=0,"",ORIG!C35)</f>
        <v/>
      </c>
      <c r="D35" s="3">
        <f>IF(ORIG!D35=0,"",ORIG!D35)</f>
        <v/>
      </c>
      <c r="E35" s="3">
        <f>IF(ORIG!E35=0,"",ORIG!E35)</f>
        <v/>
      </c>
      <c r="F35" s="3">
        <f>IF(ORIG!F35=0,"",ORIG!F35)</f>
        <v/>
      </c>
      <c r="G35" s="3">
        <f>IF(ORIG!G35=0,"",ORIG!G35)</f>
        <v/>
      </c>
      <c r="H35" s="3">
        <f>IF(ORIG!H35=0,"",ORIG!H35)</f>
        <v/>
      </c>
      <c r="I35" s="3">
        <f>IF(ORIG!I35=0,"",ORIG!I35)</f>
        <v/>
      </c>
      <c r="J35" s="3">
        <f>IF(ORIG!J35=0,"",ORIG!J35)</f>
        <v/>
      </c>
      <c r="K35" s="3">
        <f>IF(ORIG!K35=0,"",ORIG!K35)</f>
        <v/>
      </c>
      <c r="L35" s="3">
        <f>IF(ORIG!L35=0,"",ORIG!L35)</f>
        <v/>
      </c>
      <c r="M35" s="3">
        <f>IF(ORIG!M35=0,"",ORIG!M35)</f>
        <v/>
      </c>
      <c r="N35" s="3">
        <f>IF(ORIG!N35=0,"",ORIG!N35)</f>
        <v/>
      </c>
      <c r="O35" s="3">
        <f>IF(ORIG!O35=0,"",ORIG!O35)</f>
        <v/>
      </c>
      <c r="P35" s="3">
        <f>IF(ORIG!P35=0,"",ORIG!P35)</f>
        <v/>
      </c>
      <c r="Q35" s="3">
        <f>IF(ORIG!Q35=0,"",ORIG!Q35)</f>
        <v/>
      </c>
      <c r="R35" s="3">
        <f>IF(ORIG!R35=0,"",ORIG!R35)</f>
        <v/>
      </c>
      <c r="S35" s="3">
        <f>IF(ORIG!S35=0,"",ORIG!S35)</f>
        <v/>
      </c>
      <c r="T35" s="3">
        <f>IF(ORIG!T35=0,"",ORIG!T35)</f>
        <v/>
      </c>
      <c r="U35" s="3">
        <f>IF(ORIG!U35=0,"",ORIG!U35)</f>
        <v/>
      </c>
      <c r="V35" s="9">
        <f>IF(ORIG!V35=0,"",ORIG!V35)</f>
        <v/>
      </c>
      <c r="W35" s="9">
        <f>IF(ORIG!W35=0,"",ORIG!W35)</f>
        <v/>
      </c>
      <c r="X35" s="9">
        <f>IF(ORIG!X35=0,"",ORIG!X35)</f>
        <v/>
      </c>
      <c r="Y35" s="9">
        <f>IF(ORIG!Y35=0,"",ORIG!Y35)</f>
        <v/>
      </c>
      <c r="Z35" s="3">
        <f>SUMPRODUCT($B35:$Y35,$B$2649:$Y$2649)</f>
        <v/>
      </c>
      <c r="AA35" s="3">
        <f>SUMPRODUCT($B35:$Y35,$B$2655:$Y$2655)</f>
        <v/>
      </c>
      <c r="AC35" s="1">
        <f>A35</f>
        <v/>
      </c>
      <c r="AD35">
        <f>IF(ISNUMBER(V35),V35*($AB$1/V$2635),"")</f>
        <v/>
      </c>
      <c r="AE35">
        <f>IF(ISNUMBER(Z35),Z35*($AB$1/Z$2635),"")</f>
        <v/>
      </c>
      <c r="AF35" s="25">
        <f>IF(ISNUMBER(AD35+AE35),AD35+AE35,"")</f>
        <v/>
      </c>
      <c r="AH35" s="1">
        <f>A35</f>
        <v/>
      </c>
      <c r="AI35">
        <f>IF(ISNUMBER((1+V35)*AI34),(1+V35)*AI34,AI34)</f>
        <v/>
      </c>
      <c r="AJ35">
        <f>IF(ISNUMBER((1+Z35)*AJ34),(1+Z35)*AJ34,AJ34)</f>
        <v/>
      </c>
    </row>
    <row r="36">
      <c r="A36" s="1" t="n">
        <v>42055</v>
      </c>
      <c r="B36" s="3">
        <f>IF(ORIG!B36=0,"",ORIG!B36)</f>
        <v/>
      </c>
      <c r="C36" s="3">
        <f>IF(ORIG!C36=0,"",ORIG!C36)</f>
        <v/>
      </c>
      <c r="D36" s="3">
        <f>IF(ORIG!D36=0,"",ORIG!D36)</f>
        <v/>
      </c>
      <c r="E36" s="3">
        <f>IF(ORIG!E36=0,"",ORIG!E36)</f>
        <v/>
      </c>
      <c r="F36" s="3">
        <f>IF(ORIG!F36=0,"",ORIG!F36)</f>
        <v/>
      </c>
      <c r="G36" s="3">
        <f>IF(ORIG!G36=0,"",ORIG!G36)</f>
        <v/>
      </c>
      <c r="H36" s="3">
        <f>IF(ORIG!H36=0,"",ORIG!H36)</f>
        <v/>
      </c>
      <c r="I36" s="3">
        <f>IF(ORIG!I36=0,"",ORIG!I36)</f>
        <v/>
      </c>
      <c r="J36" s="3">
        <f>IF(ORIG!J36=0,"",ORIG!J36)</f>
        <v/>
      </c>
      <c r="K36" s="3">
        <f>IF(ORIG!K36=0,"",ORIG!K36)</f>
        <v/>
      </c>
      <c r="L36" s="3">
        <f>IF(ORIG!L36=0,"",ORIG!L36)</f>
        <v/>
      </c>
      <c r="M36" s="3">
        <f>IF(ORIG!M36=0,"",ORIG!M36)</f>
        <v/>
      </c>
      <c r="N36" s="3">
        <f>IF(ORIG!N36=0,"",ORIG!N36)</f>
        <v/>
      </c>
      <c r="O36" s="3">
        <f>IF(ORIG!O36=0,"",ORIG!O36)</f>
        <v/>
      </c>
      <c r="P36" s="3">
        <f>IF(ORIG!P36=0,"",ORIG!P36)</f>
        <v/>
      </c>
      <c r="Q36" s="3">
        <f>IF(ORIG!Q36=0,"",ORIG!Q36)</f>
        <v/>
      </c>
      <c r="R36" s="3">
        <f>IF(ORIG!R36=0,"",ORIG!R36)</f>
        <v/>
      </c>
      <c r="S36" s="3">
        <f>IF(ORIG!S36=0,"",ORIG!S36)</f>
        <v/>
      </c>
      <c r="T36" s="3">
        <f>IF(ORIG!T36=0,"",ORIG!T36)</f>
        <v/>
      </c>
      <c r="U36" s="3">
        <f>IF(ORIG!U36=0,"",ORIG!U36)</f>
        <v/>
      </c>
      <c r="V36" s="9">
        <f>IF(ORIG!V36=0,"",ORIG!V36)</f>
        <v/>
      </c>
      <c r="W36" s="9">
        <f>IF(ORIG!W36=0,"",ORIG!W36)</f>
        <v/>
      </c>
      <c r="X36" s="9">
        <f>IF(ORIG!X36=0,"",ORIG!X36)</f>
        <v/>
      </c>
      <c r="Y36" s="9">
        <f>IF(ORIG!Y36=0,"",ORIG!Y36)</f>
        <v/>
      </c>
      <c r="Z36" s="3">
        <f>SUMPRODUCT($B36:$Y36,$B$2649:$Y$2649)</f>
        <v/>
      </c>
      <c r="AA36" s="3">
        <f>SUMPRODUCT($B36:$Y36,$B$2655:$Y$2655)</f>
        <v/>
      </c>
      <c r="AC36" s="1">
        <f>A36</f>
        <v/>
      </c>
      <c r="AD36">
        <f>IF(ISNUMBER(V36),V36*($AB$1/V$2635),"")</f>
        <v/>
      </c>
      <c r="AE36">
        <f>IF(ISNUMBER(Z36),Z36*($AB$1/Z$2635),"")</f>
        <v/>
      </c>
      <c r="AF36" s="25">
        <f>IF(ISNUMBER(AD36+AE36),AD36+AE36,"")</f>
        <v/>
      </c>
      <c r="AH36" s="1">
        <f>A36</f>
        <v/>
      </c>
      <c r="AI36">
        <f>IF(ISNUMBER((1+V36)*AI35),(1+V36)*AI35,AI35)</f>
        <v/>
      </c>
      <c r="AJ36">
        <f>IF(ISNUMBER((1+Z36)*AJ35),(1+Z36)*AJ35,AJ35)</f>
        <v/>
      </c>
    </row>
    <row r="37">
      <c r="A37" s="1" t="n">
        <v>42058</v>
      </c>
      <c r="B37" s="3">
        <f>IF(ORIG!B37=0,"",ORIG!B37)</f>
        <v/>
      </c>
      <c r="C37" s="3">
        <f>IF(ORIG!C37=0,"",ORIG!C37)</f>
        <v/>
      </c>
      <c r="D37" s="3">
        <f>IF(ORIG!D37=0,"",ORIG!D37)</f>
        <v/>
      </c>
      <c r="E37" s="3">
        <f>IF(ORIG!E37=0,"",ORIG!E37)</f>
        <v/>
      </c>
      <c r="F37" s="3">
        <f>IF(ORIG!F37=0,"",ORIG!F37)</f>
        <v/>
      </c>
      <c r="G37" s="3">
        <f>IF(ORIG!G37=0,"",ORIG!G37)</f>
        <v/>
      </c>
      <c r="H37" s="3">
        <f>IF(ORIG!H37=0,"",ORIG!H37)</f>
        <v/>
      </c>
      <c r="I37" s="3">
        <f>IF(ORIG!I37=0,"",ORIG!I37)</f>
        <v/>
      </c>
      <c r="J37" s="3">
        <f>IF(ORIG!J37=0,"",ORIG!J37)</f>
        <v/>
      </c>
      <c r="K37" s="3">
        <f>IF(ORIG!K37=0,"",ORIG!K37)</f>
        <v/>
      </c>
      <c r="L37" s="3">
        <f>IF(ORIG!L37=0,"",ORIG!L37)</f>
        <v/>
      </c>
      <c r="M37" s="3">
        <f>IF(ORIG!M37=0,"",ORIG!M37)</f>
        <v/>
      </c>
      <c r="N37" s="3">
        <f>IF(ORIG!N37=0,"",ORIG!N37)</f>
        <v/>
      </c>
      <c r="O37" s="3">
        <f>IF(ORIG!O37=0,"",ORIG!O37)</f>
        <v/>
      </c>
      <c r="P37" s="3">
        <f>IF(ORIG!P37=0,"",ORIG!P37)</f>
        <v/>
      </c>
      <c r="Q37" s="3">
        <f>IF(ORIG!Q37=0,"",ORIG!Q37)</f>
        <v/>
      </c>
      <c r="R37" s="3">
        <f>IF(ORIG!R37=0,"",ORIG!R37)</f>
        <v/>
      </c>
      <c r="S37" s="3">
        <f>IF(ORIG!S37=0,"",ORIG!S37)</f>
        <v/>
      </c>
      <c r="T37" s="3">
        <f>IF(ORIG!T37=0,"",ORIG!T37)</f>
        <v/>
      </c>
      <c r="U37" s="3">
        <f>IF(ORIG!U37=0,"",ORIG!U37)</f>
        <v/>
      </c>
      <c r="V37" s="9">
        <f>IF(ORIG!V37=0,"",ORIG!V37)</f>
        <v/>
      </c>
      <c r="W37" s="9">
        <f>IF(ORIG!W37=0,"",ORIG!W37)</f>
        <v/>
      </c>
      <c r="X37" s="9">
        <f>IF(ORIG!X37=0,"",ORIG!X37)</f>
        <v/>
      </c>
      <c r="Y37" s="9">
        <f>IF(ORIG!Y37=0,"",ORIG!Y37)</f>
        <v/>
      </c>
      <c r="Z37" s="3">
        <f>SUMPRODUCT($B37:$Y37,$B$2649:$Y$2649)</f>
        <v/>
      </c>
      <c r="AA37" s="3">
        <f>SUMPRODUCT($B37:$Y37,$B$2655:$Y$2655)</f>
        <v/>
      </c>
      <c r="AC37" s="1">
        <f>A37</f>
        <v/>
      </c>
      <c r="AD37">
        <f>IF(ISNUMBER(V37),V37*($AB$1/V$2635),"")</f>
        <v/>
      </c>
      <c r="AE37">
        <f>IF(ISNUMBER(Z37),Z37*($AB$1/Z$2635),"")</f>
        <v/>
      </c>
      <c r="AF37" s="25">
        <f>IF(ISNUMBER(AD37+AE37),AD37+AE37,"")</f>
        <v/>
      </c>
      <c r="AH37" s="1">
        <f>A37</f>
        <v/>
      </c>
      <c r="AI37">
        <f>IF(ISNUMBER((1+V37)*AI36),(1+V37)*AI36,AI36)</f>
        <v/>
      </c>
      <c r="AJ37">
        <f>IF(ISNUMBER((1+Z37)*AJ36),(1+Z37)*AJ36,AJ36)</f>
        <v/>
      </c>
    </row>
    <row r="38">
      <c r="A38" s="1" t="n">
        <v>42059</v>
      </c>
      <c r="B38" s="3">
        <f>IF(ORIG!B38=0,"",ORIG!B38)</f>
        <v/>
      </c>
      <c r="C38" s="3">
        <f>IF(ORIG!C38=0,"",ORIG!C38)</f>
        <v/>
      </c>
      <c r="D38" s="3">
        <f>IF(ORIG!D38=0,"",ORIG!D38)</f>
        <v/>
      </c>
      <c r="E38" s="3">
        <f>IF(ORIG!E38=0,"",ORIG!E38)</f>
        <v/>
      </c>
      <c r="F38" s="3">
        <f>IF(ORIG!F38=0,"",ORIG!F38)</f>
        <v/>
      </c>
      <c r="G38" s="3">
        <f>IF(ORIG!G38=0,"",ORIG!G38)</f>
        <v/>
      </c>
      <c r="H38" s="3">
        <f>IF(ORIG!H38=0,"",ORIG!H38)</f>
        <v/>
      </c>
      <c r="I38" s="3">
        <f>IF(ORIG!I38=0,"",ORIG!I38)</f>
        <v/>
      </c>
      <c r="J38" s="3">
        <f>IF(ORIG!J38=0,"",ORIG!J38)</f>
        <v/>
      </c>
      <c r="K38" s="3">
        <f>IF(ORIG!K38=0,"",ORIG!K38)</f>
        <v/>
      </c>
      <c r="L38" s="3">
        <f>IF(ORIG!L38=0,"",ORIG!L38)</f>
        <v/>
      </c>
      <c r="M38" s="3">
        <f>IF(ORIG!M38=0,"",ORIG!M38)</f>
        <v/>
      </c>
      <c r="N38" s="3">
        <f>IF(ORIG!N38=0,"",ORIG!N38)</f>
        <v/>
      </c>
      <c r="O38" s="3">
        <f>IF(ORIG!O38=0,"",ORIG!O38)</f>
        <v/>
      </c>
      <c r="P38" s="3">
        <f>IF(ORIG!P38=0,"",ORIG!P38)</f>
        <v/>
      </c>
      <c r="Q38" s="3">
        <f>IF(ORIG!Q38=0,"",ORIG!Q38)</f>
        <v/>
      </c>
      <c r="R38" s="3">
        <f>IF(ORIG!R38=0,"",ORIG!R38)</f>
        <v/>
      </c>
      <c r="S38" s="3">
        <f>IF(ORIG!S38=0,"",ORIG!S38)</f>
        <v/>
      </c>
      <c r="T38" s="3">
        <f>IF(ORIG!T38=0,"",ORIG!T38)</f>
        <v/>
      </c>
      <c r="U38" s="3">
        <f>IF(ORIG!U38=0,"",ORIG!U38)</f>
        <v/>
      </c>
      <c r="V38" s="9">
        <f>IF(ORIG!V38=0,"",ORIG!V38)</f>
        <v/>
      </c>
      <c r="W38" s="9">
        <f>IF(ORIG!W38=0,"",ORIG!W38)</f>
        <v/>
      </c>
      <c r="X38" s="9">
        <f>IF(ORIG!X38=0,"",ORIG!X38)</f>
        <v/>
      </c>
      <c r="Y38" s="9">
        <f>IF(ORIG!Y38=0,"",ORIG!Y38)</f>
        <v/>
      </c>
      <c r="Z38" s="3">
        <f>SUMPRODUCT($B38:$Y38,$B$2649:$Y$2649)</f>
        <v/>
      </c>
      <c r="AA38" s="3">
        <f>SUMPRODUCT($B38:$Y38,$B$2655:$Y$2655)</f>
        <v/>
      </c>
      <c r="AC38" s="1">
        <f>A38</f>
        <v/>
      </c>
      <c r="AD38">
        <f>IF(ISNUMBER(V38),V38*($AB$1/V$2635),"")</f>
        <v/>
      </c>
      <c r="AE38">
        <f>IF(ISNUMBER(Z38),Z38*($AB$1/Z$2635),"")</f>
        <v/>
      </c>
      <c r="AF38" s="25">
        <f>IF(ISNUMBER(AD38+AE38),AD38+AE38,"")</f>
        <v/>
      </c>
      <c r="AH38" s="1">
        <f>A38</f>
        <v/>
      </c>
      <c r="AI38">
        <f>IF(ISNUMBER((1+V38)*AI37),(1+V38)*AI37,AI37)</f>
        <v/>
      </c>
      <c r="AJ38">
        <f>IF(ISNUMBER((1+Z38)*AJ37),(1+Z38)*AJ37,AJ37)</f>
        <v/>
      </c>
    </row>
    <row r="39">
      <c r="A39" s="1" t="n">
        <v>42060</v>
      </c>
      <c r="B39" s="3">
        <f>IF(ORIG!B39=0,"",ORIG!B39)</f>
        <v/>
      </c>
      <c r="C39" s="3">
        <f>IF(ORIG!C39=0,"",ORIG!C39)</f>
        <v/>
      </c>
      <c r="D39" s="3">
        <f>IF(ORIG!D39=0,"",ORIG!D39)</f>
        <v/>
      </c>
      <c r="E39" s="3">
        <f>IF(ORIG!E39=0,"",ORIG!E39)</f>
        <v/>
      </c>
      <c r="F39" s="3">
        <f>IF(ORIG!F39=0,"",ORIG!F39)</f>
        <v/>
      </c>
      <c r="G39" s="3">
        <f>IF(ORIG!G39=0,"",ORIG!G39)</f>
        <v/>
      </c>
      <c r="H39" s="3">
        <f>IF(ORIG!H39=0,"",ORIG!H39)</f>
        <v/>
      </c>
      <c r="I39" s="3">
        <f>IF(ORIG!I39=0,"",ORIG!I39)</f>
        <v/>
      </c>
      <c r="J39" s="3">
        <f>IF(ORIG!J39=0,"",ORIG!J39)</f>
        <v/>
      </c>
      <c r="K39" s="3">
        <f>IF(ORIG!K39=0,"",ORIG!K39)</f>
        <v/>
      </c>
      <c r="L39" s="3">
        <f>IF(ORIG!L39=0,"",ORIG!L39)</f>
        <v/>
      </c>
      <c r="M39" s="3">
        <f>IF(ORIG!M39=0,"",ORIG!M39)</f>
        <v/>
      </c>
      <c r="N39" s="3">
        <f>IF(ORIG!N39=0,"",ORIG!N39)</f>
        <v/>
      </c>
      <c r="O39" s="3">
        <f>IF(ORIG!O39=0,"",ORIG!O39)</f>
        <v/>
      </c>
      <c r="P39" s="3">
        <f>IF(ORIG!P39=0,"",ORIG!P39)</f>
        <v/>
      </c>
      <c r="Q39" s="3">
        <f>IF(ORIG!Q39=0,"",ORIG!Q39)</f>
        <v/>
      </c>
      <c r="R39" s="3">
        <f>IF(ORIG!R39=0,"",ORIG!R39)</f>
        <v/>
      </c>
      <c r="S39" s="3">
        <f>IF(ORIG!S39=0,"",ORIG!S39)</f>
        <v/>
      </c>
      <c r="T39" s="3">
        <f>IF(ORIG!T39=0,"",ORIG!T39)</f>
        <v/>
      </c>
      <c r="U39" s="3">
        <f>IF(ORIG!U39=0,"",ORIG!U39)</f>
        <v/>
      </c>
      <c r="V39" s="9">
        <f>IF(ORIG!V39=0,"",ORIG!V39)</f>
        <v/>
      </c>
      <c r="W39" s="9">
        <f>IF(ORIG!W39=0,"",ORIG!W39)</f>
        <v/>
      </c>
      <c r="X39" s="9">
        <f>IF(ORIG!X39=0,"",ORIG!X39)</f>
        <v/>
      </c>
      <c r="Y39" s="9">
        <f>IF(ORIG!Y39=0,"",ORIG!Y39)</f>
        <v/>
      </c>
      <c r="Z39" s="3">
        <f>SUMPRODUCT($B39:$Y39,$B$2649:$Y$2649)</f>
        <v/>
      </c>
      <c r="AA39" s="3">
        <f>SUMPRODUCT($B39:$Y39,$B$2655:$Y$2655)</f>
        <v/>
      </c>
      <c r="AC39" s="1">
        <f>A39</f>
        <v/>
      </c>
      <c r="AD39">
        <f>IF(ISNUMBER(V39),V39*($AB$1/V$2635),"")</f>
        <v/>
      </c>
      <c r="AE39">
        <f>IF(ISNUMBER(Z39),Z39*($AB$1/Z$2635),"")</f>
        <v/>
      </c>
      <c r="AF39" s="25">
        <f>IF(ISNUMBER(AD39+AE39),AD39+AE39,"")</f>
        <v/>
      </c>
      <c r="AH39" s="1">
        <f>A39</f>
        <v/>
      </c>
      <c r="AI39">
        <f>IF(ISNUMBER((1+V39)*AI38),(1+V39)*AI38,AI38)</f>
        <v/>
      </c>
      <c r="AJ39">
        <f>IF(ISNUMBER((1+Z39)*AJ38),(1+Z39)*AJ38,AJ38)</f>
        <v/>
      </c>
    </row>
    <row r="40">
      <c r="A40" s="1" t="n">
        <v>42061</v>
      </c>
      <c r="B40" s="3">
        <f>IF(ORIG!B40=0,"",ORIG!B40)</f>
        <v/>
      </c>
      <c r="C40" s="3">
        <f>IF(ORIG!C40=0,"",ORIG!C40)</f>
        <v/>
      </c>
      <c r="D40" s="3">
        <f>IF(ORIG!D40=0,"",ORIG!D40)</f>
        <v/>
      </c>
      <c r="E40" s="3">
        <f>IF(ORIG!E40=0,"",ORIG!E40)</f>
        <v/>
      </c>
      <c r="F40" s="3">
        <f>IF(ORIG!F40=0,"",ORIG!F40)</f>
        <v/>
      </c>
      <c r="G40" s="3">
        <f>IF(ORIG!G40=0,"",ORIG!G40)</f>
        <v/>
      </c>
      <c r="H40" s="3">
        <f>IF(ORIG!H40=0,"",ORIG!H40)</f>
        <v/>
      </c>
      <c r="I40" s="3">
        <f>IF(ORIG!I40=0,"",ORIG!I40)</f>
        <v/>
      </c>
      <c r="J40" s="3">
        <f>IF(ORIG!J40=0,"",ORIG!J40)</f>
        <v/>
      </c>
      <c r="K40" s="3">
        <f>IF(ORIG!K40=0,"",ORIG!K40)</f>
        <v/>
      </c>
      <c r="L40" s="3">
        <f>IF(ORIG!L40=0,"",ORIG!L40)</f>
        <v/>
      </c>
      <c r="M40" s="3">
        <f>IF(ORIG!M40=0,"",ORIG!M40)</f>
        <v/>
      </c>
      <c r="N40" s="3">
        <f>IF(ORIG!N40=0,"",ORIG!N40)</f>
        <v/>
      </c>
      <c r="O40" s="3">
        <f>IF(ORIG!O40=0,"",ORIG!O40)</f>
        <v/>
      </c>
      <c r="P40" s="3">
        <f>IF(ORIG!P40=0,"",ORIG!P40)</f>
        <v/>
      </c>
      <c r="Q40" s="3">
        <f>IF(ORIG!Q40=0,"",ORIG!Q40)</f>
        <v/>
      </c>
      <c r="R40" s="3">
        <f>IF(ORIG!R40=0,"",ORIG!R40)</f>
        <v/>
      </c>
      <c r="S40" s="3">
        <f>IF(ORIG!S40=0,"",ORIG!S40)</f>
        <v/>
      </c>
      <c r="T40" s="3">
        <f>IF(ORIG!T40=0,"",ORIG!T40)</f>
        <v/>
      </c>
      <c r="U40" s="3">
        <f>IF(ORIG!U40=0,"",ORIG!U40)</f>
        <v/>
      </c>
      <c r="V40" s="9">
        <f>IF(ORIG!V40=0,"",ORIG!V40)</f>
        <v/>
      </c>
      <c r="W40" s="9">
        <f>IF(ORIG!W40=0,"",ORIG!W40)</f>
        <v/>
      </c>
      <c r="X40" s="9">
        <f>IF(ORIG!X40=0,"",ORIG!X40)</f>
        <v/>
      </c>
      <c r="Y40" s="9">
        <f>IF(ORIG!Y40=0,"",ORIG!Y40)</f>
        <v/>
      </c>
      <c r="Z40" s="3">
        <f>SUMPRODUCT($B40:$Y40,$B$2649:$Y$2649)</f>
        <v/>
      </c>
      <c r="AA40" s="3">
        <f>SUMPRODUCT($B40:$Y40,$B$2655:$Y$2655)</f>
        <v/>
      </c>
      <c r="AC40" s="1">
        <f>A40</f>
        <v/>
      </c>
      <c r="AD40">
        <f>IF(ISNUMBER(V40),V40*($AB$1/V$2635),"")</f>
        <v/>
      </c>
      <c r="AE40">
        <f>IF(ISNUMBER(Z40),Z40*($AB$1/Z$2635),"")</f>
        <v/>
      </c>
      <c r="AF40" s="25">
        <f>IF(ISNUMBER(AD40+AE40),AD40+AE40,"")</f>
        <v/>
      </c>
      <c r="AH40" s="1">
        <f>A40</f>
        <v/>
      </c>
      <c r="AI40">
        <f>IF(ISNUMBER((1+V40)*AI39),(1+V40)*AI39,AI39)</f>
        <v/>
      </c>
      <c r="AJ40">
        <f>IF(ISNUMBER((1+Z40)*AJ39),(1+Z40)*AJ39,AJ39)</f>
        <v/>
      </c>
    </row>
    <row r="41">
      <c r="A41" s="1" t="n">
        <v>42062</v>
      </c>
      <c r="B41" s="3">
        <f>IF(ORIG!B41=0,"",ORIG!B41)</f>
        <v/>
      </c>
      <c r="C41" s="3">
        <f>IF(ORIG!C41=0,"",ORIG!C41)</f>
        <v/>
      </c>
      <c r="D41" s="3">
        <f>IF(ORIG!D41=0,"",ORIG!D41)</f>
        <v/>
      </c>
      <c r="E41" s="3">
        <f>IF(ORIG!E41=0,"",ORIG!E41)</f>
        <v/>
      </c>
      <c r="F41" s="3">
        <f>IF(ORIG!F41=0,"",ORIG!F41)</f>
        <v/>
      </c>
      <c r="G41" s="3">
        <f>IF(ORIG!G41=0,"",ORIG!G41)</f>
        <v/>
      </c>
      <c r="H41" s="3">
        <f>IF(ORIG!H41=0,"",ORIG!H41)</f>
        <v/>
      </c>
      <c r="I41" s="3">
        <f>IF(ORIG!I41=0,"",ORIG!I41)</f>
        <v/>
      </c>
      <c r="J41" s="3">
        <f>IF(ORIG!J41=0,"",ORIG!J41)</f>
        <v/>
      </c>
      <c r="K41" s="3">
        <f>IF(ORIG!K41=0,"",ORIG!K41)</f>
        <v/>
      </c>
      <c r="L41" s="3">
        <f>IF(ORIG!L41=0,"",ORIG!L41)</f>
        <v/>
      </c>
      <c r="M41" s="3">
        <f>IF(ORIG!M41=0,"",ORIG!M41)</f>
        <v/>
      </c>
      <c r="N41" s="3">
        <f>IF(ORIG!N41=0,"",ORIG!N41)</f>
        <v/>
      </c>
      <c r="O41" s="3">
        <f>IF(ORIG!O41=0,"",ORIG!O41)</f>
        <v/>
      </c>
      <c r="P41" s="3">
        <f>IF(ORIG!P41=0,"",ORIG!P41)</f>
        <v/>
      </c>
      <c r="Q41" s="3">
        <f>IF(ORIG!Q41=0,"",ORIG!Q41)</f>
        <v/>
      </c>
      <c r="R41" s="3">
        <f>IF(ORIG!R41=0,"",ORIG!R41)</f>
        <v/>
      </c>
      <c r="S41" s="3">
        <f>IF(ORIG!S41=0,"",ORIG!S41)</f>
        <v/>
      </c>
      <c r="T41" s="3">
        <f>IF(ORIG!T41=0,"",ORIG!T41)</f>
        <v/>
      </c>
      <c r="U41" s="3">
        <f>IF(ORIG!U41=0,"",ORIG!U41)</f>
        <v/>
      </c>
      <c r="V41" s="9">
        <f>IF(ORIG!V41=0,"",ORIG!V41)</f>
        <v/>
      </c>
      <c r="W41" s="9">
        <f>IF(ORIG!W41=0,"",ORIG!W41)</f>
        <v/>
      </c>
      <c r="X41" s="9">
        <f>IF(ORIG!X41=0,"",ORIG!X41)</f>
        <v/>
      </c>
      <c r="Y41" s="9">
        <f>IF(ORIG!Y41=0,"",ORIG!Y41)</f>
        <v/>
      </c>
      <c r="Z41" s="3">
        <f>SUMPRODUCT($B41:$Y41,$B$2649:$Y$2649)</f>
        <v/>
      </c>
      <c r="AA41" s="3">
        <f>SUMPRODUCT($B41:$Y41,$B$2655:$Y$2655)</f>
        <v/>
      </c>
      <c r="AC41" s="1">
        <f>A41</f>
        <v/>
      </c>
      <c r="AD41">
        <f>IF(ISNUMBER(V41),V41*($AB$1/V$2635),"")</f>
        <v/>
      </c>
      <c r="AE41">
        <f>IF(ISNUMBER(Z41),Z41*($AB$1/Z$2635),"")</f>
        <v/>
      </c>
      <c r="AF41" s="25">
        <f>IF(ISNUMBER(AD41+AE41),AD41+AE41,"")</f>
        <v/>
      </c>
      <c r="AH41" s="1">
        <f>A41</f>
        <v/>
      </c>
      <c r="AI41">
        <f>IF(ISNUMBER((1+V41)*AI40),(1+V41)*AI40,AI40)</f>
        <v/>
      </c>
      <c r="AJ41">
        <f>IF(ISNUMBER((1+Z41)*AJ40),(1+Z41)*AJ40,AJ40)</f>
        <v/>
      </c>
    </row>
    <row r="42">
      <c r="A42" s="1" t="n">
        <v>42065</v>
      </c>
      <c r="B42" s="3">
        <f>IF(ORIG!B42=0,"",ORIG!B42)</f>
        <v/>
      </c>
      <c r="C42" s="3">
        <f>IF(ORIG!C42=0,"",ORIG!C42)</f>
        <v/>
      </c>
      <c r="D42" s="3">
        <f>IF(ORIG!D42=0,"",ORIG!D42)</f>
        <v/>
      </c>
      <c r="E42" s="3">
        <f>IF(ORIG!E42=0,"",ORIG!E42)</f>
        <v/>
      </c>
      <c r="F42" s="3">
        <f>IF(ORIG!F42=0,"",ORIG!F42)</f>
        <v/>
      </c>
      <c r="G42" s="3">
        <f>IF(ORIG!G42=0,"",ORIG!G42)</f>
        <v/>
      </c>
      <c r="H42" s="3">
        <f>IF(ORIG!H42=0,"",ORIG!H42)</f>
        <v/>
      </c>
      <c r="I42" s="3">
        <f>IF(ORIG!I42=0,"",ORIG!I42)</f>
        <v/>
      </c>
      <c r="J42" s="3">
        <f>IF(ORIG!J42=0,"",ORIG!J42)</f>
        <v/>
      </c>
      <c r="K42" s="3">
        <f>IF(ORIG!K42=0,"",ORIG!K42)</f>
        <v/>
      </c>
      <c r="L42" s="3">
        <f>IF(ORIG!L42=0,"",ORIG!L42)</f>
        <v/>
      </c>
      <c r="M42" s="3">
        <f>IF(ORIG!M42=0,"",ORIG!M42)</f>
        <v/>
      </c>
      <c r="N42" s="3">
        <f>IF(ORIG!N42=0,"",ORIG!N42)</f>
        <v/>
      </c>
      <c r="O42" s="3">
        <f>IF(ORIG!O42=0,"",ORIG!O42)</f>
        <v/>
      </c>
      <c r="P42" s="3">
        <f>IF(ORIG!P42=0,"",ORIG!P42)</f>
        <v/>
      </c>
      <c r="Q42" s="3">
        <f>IF(ORIG!Q42=0,"",ORIG!Q42)</f>
        <v/>
      </c>
      <c r="R42" s="3">
        <f>IF(ORIG!R42=0,"",ORIG!R42)</f>
        <v/>
      </c>
      <c r="S42" s="3">
        <f>IF(ORIG!S42=0,"",ORIG!S42)</f>
        <v/>
      </c>
      <c r="T42" s="3">
        <f>IF(ORIG!T42=0,"",ORIG!T42)</f>
        <v/>
      </c>
      <c r="U42" s="3">
        <f>IF(ORIG!U42=0,"",ORIG!U42)</f>
        <v/>
      </c>
      <c r="V42" s="9">
        <f>IF(ORIG!V42=0,"",ORIG!V42)</f>
        <v/>
      </c>
      <c r="W42" s="9">
        <f>IF(ORIG!W42=0,"",ORIG!W42)</f>
        <v/>
      </c>
      <c r="X42" s="9">
        <f>IF(ORIG!X42=0,"",ORIG!X42)</f>
        <v/>
      </c>
      <c r="Y42" s="9">
        <f>IF(ORIG!Y42=0,"",ORIG!Y42)</f>
        <v/>
      </c>
      <c r="Z42" s="3">
        <f>SUMPRODUCT($B42:$Y42,$B$2649:$Y$2649)</f>
        <v/>
      </c>
      <c r="AA42" s="3">
        <f>SUMPRODUCT($B42:$Y42,$B$2655:$Y$2655)</f>
        <v/>
      </c>
      <c r="AC42" s="1">
        <f>A42</f>
        <v/>
      </c>
      <c r="AD42">
        <f>IF(ISNUMBER(V42),V42*($AB$1/V$2635),"")</f>
        <v/>
      </c>
      <c r="AE42">
        <f>IF(ISNUMBER(Z42),Z42*($AB$1/Z$2635),"")</f>
        <v/>
      </c>
      <c r="AF42" s="25">
        <f>IF(ISNUMBER(AD42+AE42),AD42+AE42,"")</f>
        <v/>
      </c>
      <c r="AH42" s="1">
        <f>A42</f>
        <v/>
      </c>
      <c r="AI42">
        <f>IF(ISNUMBER((1+V42)*AI41),(1+V42)*AI41,AI41)</f>
        <v/>
      </c>
      <c r="AJ42">
        <f>IF(ISNUMBER((1+Z42)*AJ41),(1+Z42)*AJ41,AJ41)</f>
        <v/>
      </c>
    </row>
    <row r="43">
      <c r="A43" s="1" t="n">
        <v>42066</v>
      </c>
      <c r="B43" s="3">
        <f>IF(ORIG!B43=0,"",ORIG!B43)</f>
        <v/>
      </c>
      <c r="C43" s="3">
        <f>IF(ORIG!C43=0,"",ORIG!C43)</f>
        <v/>
      </c>
      <c r="D43" s="3">
        <f>IF(ORIG!D43=0,"",ORIG!D43)</f>
        <v/>
      </c>
      <c r="E43" s="3">
        <f>IF(ORIG!E43=0,"",ORIG!E43)</f>
        <v/>
      </c>
      <c r="F43" s="3">
        <f>IF(ORIG!F43=0,"",ORIG!F43)</f>
        <v/>
      </c>
      <c r="G43" s="3">
        <f>IF(ORIG!G43=0,"",ORIG!G43)</f>
        <v/>
      </c>
      <c r="H43" s="3">
        <f>IF(ORIG!H43=0,"",ORIG!H43)</f>
        <v/>
      </c>
      <c r="I43" s="3">
        <f>IF(ORIG!I43=0,"",ORIG!I43)</f>
        <v/>
      </c>
      <c r="J43" s="3">
        <f>IF(ORIG!J43=0,"",ORIG!J43)</f>
        <v/>
      </c>
      <c r="K43" s="3">
        <f>IF(ORIG!K43=0,"",ORIG!K43)</f>
        <v/>
      </c>
      <c r="L43" s="3">
        <f>IF(ORIG!L43=0,"",ORIG!L43)</f>
        <v/>
      </c>
      <c r="M43" s="3">
        <f>IF(ORIG!M43=0,"",ORIG!M43)</f>
        <v/>
      </c>
      <c r="N43" s="3">
        <f>IF(ORIG!N43=0,"",ORIG!N43)</f>
        <v/>
      </c>
      <c r="O43" s="3">
        <f>IF(ORIG!O43=0,"",ORIG!O43)</f>
        <v/>
      </c>
      <c r="P43" s="3">
        <f>IF(ORIG!P43=0,"",ORIG!P43)</f>
        <v/>
      </c>
      <c r="Q43" s="3">
        <f>IF(ORIG!Q43=0,"",ORIG!Q43)</f>
        <v/>
      </c>
      <c r="R43" s="3">
        <f>IF(ORIG!R43=0,"",ORIG!R43)</f>
        <v/>
      </c>
      <c r="S43" s="3">
        <f>IF(ORIG!S43=0,"",ORIG!S43)</f>
        <v/>
      </c>
      <c r="T43" s="3">
        <f>IF(ORIG!T43=0,"",ORIG!T43)</f>
        <v/>
      </c>
      <c r="U43" s="3">
        <f>IF(ORIG!U43=0,"",ORIG!U43)</f>
        <v/>
      </c>
      <c r="V43" s="9">
        <f>IF(ORIG!V43=0,"",ORIG!V43)</f>
        <v/>
      </c>
      <c r="W43" s="9">
        <f>IF(ORIG!W43=0,"",ORIG!W43)</f>
        <v/>
      </c>
      <c r="X43" s="9">
        <f>IF(ORIG!X43=0,"",ORIG!X43)</f>
        <v/>
      </c>
      <c r="Y43" s="9">
        <f>IF(ORIG!Y43=0,"",ORIG!Y43)</f>
        <v/>
      </c>
      <c r="Z43" s="3">
        <f>SUMPRODUCT($B43:$Y43,$B$2649:$Y$2649)</f>
        <v/>
      </c>
      <c r="AA43" s="3">
        <f>SUMPRODUCT($B43:$Y43,$B$2655:$Y$2655)</f>
        <v/>
      </c>
      <c r="AC43" s="1">
        <f>A43</f>
        <v/>
      </c>
      <c r="AD43">
        <f>IF(ISNUMBER(V43),V43*($AB$1/V$2635),"")</f>
        <v/>
      </c>
      <c r="AE43">
        <f>IF(ISNUMBER(Z43),Z43*($AB$1/Z$2635),"")</f>
        <v/>
      </c>
      <c r="AF43" s="25">
        <f>IF(ISNUMBER(AD43+AE43),AD43+AE43,"")</f>
        <v/>
      </c>
      <c r="AH43" s="1">
        <f>A43</f>
        <v/>
      </c>
      <c r="AI43">
        <f>IF(ISNUMBER((1+V43)*AI42),(1+V43)*AI42,AI42)</f>
        <v/>
      </c>
      <c r="AJ43">
        <f>IF(ISNUMBER((1+Z43)*AJ42),(1+Z43)*AJ42,AJ42)</f>
        <v/>
      </c>
    </row>
    <row r="44">
      <c r="A44" s="1" t="n">
        <v>42067</v>
      </c>
      <c r="B44" s="3">
        <f>IF(ORIG!B44=0,"",ORIG!B44)</f>
        <v/>
      </c>
      <c r="C44" s="3">
        <f>IF(ORIG!C44=0,"",ORIG!C44)</f>
        <v/>
      </c>
      <c r="D44" s="3">
        <f>IF(ORIG!D44=0,"",ORIG!D44)</f>
        <v/>
      </c>
      <c r="E44" s="3">
        <f>IF(ORIG!E44=0,"",ORIG!E44)</f>
        <v/>
      </c>
      <c r="F44" s="3">
        <f>IF(ORIG!F44=0,"",ORIG!F44)</f>
        <v/>
      </c>
      <c r="G44" s="3">
        <f>IF(ORIG!G44=0,"",ORIG!G44)</f>
        <v/>
      </c>
      <c r="H44" s="3">
        <f>IF(ORIG!H44=0,"",ORIG!H44)</f>
        <v/>
      </c>
      <c r="I44" s="3">
        <f>IF(ORIG!I44=0,"",ORIG!I44)</f>
        <v/>
      </c>
      <c r="J44" s="3">
        <f>IF(ORIG!J44=0,"",ORIG!J44)</f>
        <v/>
      </c>
      <c r="K44" s="3">
        <f>IF(ORIG!K44=0,"",ORIG!K44)</f>
        <v/>
      </c>
      <c r="L44" s="3">
        <f>IF(ORIG!L44=0,"",ORIG!L44)</f>
        <v/>
      </c>
      <c r="M44" s="3">
        <f>IF(ORIG!M44=0,"",ORIG!M44)</f>
        <v/>
      </c>
      <c r="N44" s="3">
        <f>IF(ORIG!N44=0,"",ORIG!N44)</f>
        <v/>
      </c>
      <c r="O44" s="3">
        <f>IF(ORIG!O44=0,"",ORIG!O44)</f>
        <v/>
      </c>
      <c r="P44" s="3">
        <f>IF(ORIG!P44=0,"",ORIG!P44)</f>
        <v/>
      </c>
      <c r="Q44" s="3">
        <f>IF(ORIG!Q44=0,"",ORIG!Q44)</f>
        <v/>
      </c>
      <c r="R44" s="3">
        <f>IF(ORIG!R44=0,"",ORIG!R44)</f>
        <v/>
      </c>
      <c r="S44" s="3">
        <f>IF(ORIG!S44=0,"",ORIG!S44)</f>
        <v/>
      </c>
      <c r="T44" s="3">
        <f>IF(ORIG!T44=0,"",ORIG!T44)</f>
        <v/>
      </c>
      <c r="U44" s="3">
        <f>IF(ORIG!U44=0,"",ORIG!U44)</f>
        <v/>
      </c>
      <c r="V44" s="9">
        <f>IF(ORIG!V44=0,"",ORIG!V44)</f>
        <v/>
      </c>
      <c r="W44" s="9">
        <f>IF(ORIG!W44=0,"",ORIG!W44)</f>
        <v/>
      </c>
      <c r="X44" s="9">
        <f>IF(ORIG!X44=0,"",ORIG!X44)</f>
        <v/>
      </c>
      <c r="Y44" s="9">
        <f>IF(ORIG!Y44=0,"",ORIG!Y44)</f>
        <v/>
      </c>
      <c r="Z44" s="3">
        <f>SUMPRODUCT($B44:$Y44,$B$2649:$Y$2649)</f>
        <v/>
      </c>
      <c r="AA44" s="3">
        <f>SUMPRODUCT($B44:$Y44,$B$2655:$Y$2655)</f>
        <v/>
      </c>
      <c r="AC44" s="1">
        <f>A44</f>
        <v/>
      </c>
      <c r="AD44">
        <f>IF(ISNUMBER(V44),V44*($AB$1/V$2635),"")</f>
        <v/>
      </c>
      <c r="AE44">
        <f>IF(ISNUMBER(Z44),Z44*($AB$1/Z$2635),"")</f>
        <v/>
      </c>
      <c r="AF44" s="25">
        <f>IF(ISNUMBER(AD44+AE44),AD44+AE44,"")</f>
        <v/>
      </c>
      <c r="AH44" s="1">
        <f>A44</f>
        <v/>
      </c>
      <c r="AI44">
        <f>IF(ISNUMBER((1+V44)*AI43),(1+V44)*AI43,AI43)</f>
        <v/>
      </c>
      <c r="AJ44">
        <f>IF(ISNUMBER((1+Z44)*AJ43),(1+Z44)*AJ43,AJ43)</f>
        <v/>
      </c>
    </row>
    <row r="45">
      <c r="A45" s="1" t="n">
        <v>42068</v>
      </c>
      <c r="B45" s="3">
        <f>IF(ORIG!B45=0,"",ORIG!B45)</f>
        <v/>
      </c>
      <c r="C45" s="3">
        <f>IF(ORIG!C45=0,"",ORIG!C45)</f>
        <v/>
      </c>
      <c r="D45" s="3">
        <f>IF(ORIG!D45=0,"",ORIG!D45)</f>
        <v/>
      </c>
      <c r="E45" s="3">
        <f>IF(ORIG!E45=0,"",ORIG!E45)</f>
        <v/>
      </c>
      <c r="F45" s="3">
        <f>IF(ORIG!F45=0,"",ORIG!F45)</f>
        <v/>
      </c>
      <c r="G45" s="3">
        <f>IF(ORIG!G45=0,"",ORIG!G45)</f>
        <v/>
      </c>
      <c r="H45" s="3">
        <f>IF(ORIG!H45=0,"",ORIG!H45)</f>
        <v/>
      </c>
      <c r="I45" s="3">
        <f>IF(ORIG!I45=0,"",ORIG!I45)</f>
        <v/>
      </c>
      <c r="J45" s="3">
        <f>IF(ORIG!J45=0,"",ORIG!J45)</f>
        <v/>
      </c>
      <c r="K45" s="3">
        <f>IF(ORIG!K45=0,"",ORIG!K45)</f>
        <v/>
      </c>
      <c r="L45" s="3">
        <f>IF(ORIG!L45=0,"",ORIG!L45)</f>
        <v/>
      </c>
      <c r="M45" s="3">
        <f>IF(ORIG!M45=0,"",ORIG!M45)</f>
        <v/>
      </c>
      <c r="N45" s="3">
        <f>IF(ORIG!N45=0,"",ORIG!N45)</f>
        <v/>
      </c>
      <c r="O45" s="3">
        <f>IF(ORIG!O45=0,"",ORIG!O45)</f>
        <v/>
      </c>
      <c r="P45" s="3">
        <f>IF(ORIG!P45=0,"",ORIG!P45)</f>
        <v/>
      </c>
      <c r="Q45" s="3">
        <f>IF(ORIG!Q45=0,"",ORIG!Q45)</f>
        <v/>
      </c>
      <c r="R45" s="3">
        <f>IF(ORIG!R45=0,"",ORIG!R45)</f>
        <v/>
      </c>
      <c r="S45" s="3">
        <f>IF(ORIG!S45=0,"",ORIG!S45)</f>
        <v/>
      </c>
      <c r="T45" s="3">
        <f>IF(ORIG!T45=0,"",ORIG!T45)</f>
        <v/>
      </c>
      <c r="U45" s="3">
        <f>IF(ORIG!U45=0,"",ORIG!U45)</f>
        <v/>
      </c>
      <c r="V45" s="9">
        <f>IF(ORIG!V45=0,"",ORIG!V45)</f>
        <v/>
      </c>
      <c r="W45" s="9">
        <f>IF(ORIG!W45=0,"",ORIG!W45)</f>
        <v/>
      </c>
      <c r="X45" s="9">
        <f>IF(ORIG!X45=0,"",ORIG!X45)</f>
        <v/>
      </c>
      <c r="Y45" s="9">
        <f>IF(ORIG!Y45=0,"",ORIG!Y45)</f>
        <v/>
      </c>
      <c r="Z45" s="3">
        <f>SUMPRODUCT($B45:$Y45,$B$2649:$Y$2649)</f>
        <v/>
      </c>
      <c r="AA45" s="3">
        <f>SUMPRODUCT($B45:$Y45,$B$2655:$Y$2655)</f>
        <v/>
      </c>
      <c r="AC45" s="1">
        <f>A45</f>
        <v/>
      </c>
      <c r="AD45">
        <f>IF(ISNUMBER(V45),V45*($AB$1/V$2635),"")</f>
        <v/>
      </c>
      <c r="AE45">
        <f>IF(ISNUMBER(Z45),Z45*($AB$1/Z$2635),"")</f>
        <v/>
      </c>
      <c r="AF45" s="25">
        <f>IF(ISNUMBER(AD45+AE45),AD45+AE45,"")</f>
        <v/>
      </c>
      <c r="AH45" s="1">
        <f>A45</f>
        <v/>
      </c>
      <c r="AI45">
        <f>IF(ISNUMBER((1+V45)*AI44),(1+V45)*AI44,AI44)</f>
        <v/>
      </c>
      <c r="AJ45">
        <f>IF(ISNUMBER((1+Z45)*AJ44),(1+Z45)*AJ44,AJ44)</f>
        <v/>
      </c>
    </row>
    <row r="46">
      <c r="A46" s="1" t="n">
        <v>42069</v>
      </c>
      <c r="B46" s="3">
        <f>IF(ORIG!B46=0,"",ORIG!B46)</f>
        <v/>
      </c>
      <c r="C46" s="3">
        <f>IF(ORIG!C46=0,"",ORIG!C46)</f>
        <v/>
      </c>
      <c r="D46" s="3">
        <f>IF(ORIG!D46=0,"",ORIG!D46)</f>
        <v/>
      </c>
      <c r="E46" s="3">
        <f>IF(ORIG!E46=0,"",ORIG!E46)</f>
        <v/>
      </c>
      <c r="F46" s="3">
        <f>IF(ORIG!F46=0,"",ORIG!F46)</f>
        <v/>
      </c>
      <c r="G46" s="3">
        <f>IF(ORIG!G46=0,"",ORIG!G46)</f>
        <v/>
      </c>
      <c r="H46" s="3">
        <f>IF(ORIG!H46=0,"",ORIG!H46)</f>
        <v/>
      </c>
      <c r="I46" s="3">
        <f>IF(ORIG!I46=0,"",ORIG!I46)</f>
        <v/>
      </c>
      <c r="J46" s="3">
        <f>IF(ORIG!J46=0,"",ORIG!J46)</f>
        <v/>
      </c>
      <c r="K46" s="3">
        <f>IF(ORIG!K46=0,"",ORIG!K46)</f>
        <v/>
      </c>
      <c r="L46" s="3">
        <f>IF(ORIG!L46=0,"",ORIG!L46)</f>
        <v/>
      </c>
      <c r="M46" s="3">
        <f>IF(ORIG!M46=0,"",ORIG!M46)</f>
        <v/>
      </c>
      <c r="N46" s="3">
        <f>IF(ORIG!N46=0,"",ORIG!N46)</f>
        <v/>
      </c>
      <c r="O46" s="3">
        <f>IF(ORIG!O46=0,"",ORIG!O46)</f>
        <v/>
      </c>
      <c r="P46" s="3">
        <f>IF(ORIG!P46=0,"",ORIG!P46)</f>
        <v/>
      </c>
      <c r="Q46" s="3">
        <f>IF(ORIG!Q46=0,"",ORIG!Q46)</f>
        <v/>
      </c>
      <c r="R46" s="3">
        <f>IF(ORIG!R46=0,"",ORIG!R46)</f>
        <v/>
      </c>
      <c r="S46" s="3">
        <f>IF(ORIG!S46=0,"",ORIG!S46)</f>
        <v/>
      </c>
      <c r="T46" s="3">
        <f>IF(ORIG!T46=0,"",ORIG!T46)</f>
        <v/>
      </c>
      <c r="U46" s="3">
        <f>IF(ORIG!U46=0,"",ORIG!U46)</f>
        <v/>
      </c>
      <c r="V46" s="9">
        <f>IF(ORIG!V46=0,"",ORIG!V46)</f>
        <v/>
      </c>
      <c r="W46" s="9">
        <f>IF(ORIG!W46=0,"",ORIG!W46)</f>
        <v/>
      </c>
      <c r="X46" s="9">
        <f>IF(ORIG!X46=0,"",ORIG!X46)</f>
        <v/>
      </c>
      <c r="Y46" s="9">
        <f>IF(ORIG!Y46=0,"",ORIG!Y46)</f>
        <v/>
      </c>
      <c r="Z46" s="3">
        <f>SUMPRODUCT($B46:$Y46,$B$2649:$Y$2649)</f>
        <v/>
      </c>
      <c r="AA46" s="3">
        <f>SUMPRODUCT($B46:$Y46,$B$2655:$Y$2655)</f>
        <v/>
      </c>
      <c r="AC46" s="1">
        <f>A46</f>
        <v/>
      </c>
      <c r="AD46">
        <f>IF(ISNUMBER(V46),V46*($AB$1/V$2635),"")</f>
        <v/>
      </c>
      <c r="AE46">
        <f>IF(ISNUMBER(Z46),Z46*($AB$1/Z$2635),"")</f>
        <v/>
      </c>
      <c r="AF46" s="25">
        <f>IF(ISNUMBER(AD46+AE46),AD46+AE46,"")</f>
        <v/>
      </c>
      <c r="AH46" s="1">
        <f>A46</f>
        <v/>
      </c>
      <c r="AI46">
        <f>IF(ISNUMBER((1+V46)*AI45),(1+V46)*AI45,AI45)</f>
        <v/>
      </c>
      <c r="AJ46">
        <f>IF(ISNUMBER((1+Z46)*AJ45),(1+Z46)*AJ45,AJ45)</f>
        <v/>
      </c>
    </row>
    <row r="47">
      <c r="A47" s="1" t="n">
        <v>42072</v>
      </c>
      <c r="B47" s="3">
        <f>IF(ORIG!B47=0,"",ORIG!B47)</f>
        <v/>
      </c>
      <c r="C47" s="3">
        <f>IF(ORIG!C47=0,"",ORIG!C47)</f>
        <v/>
      </c>
      <c r="D47" s="3">
        <f>IF(ORIG!D47=0,"",ORIG!D47)</f>
        <v/>
      </c>
      <c r="E47" s="3">
        <f>IF(ORIG!E47=0,"",ORIG!E47)</f>
        <v/>
      </c>
      <c r="F47" s="3">
        <f>IF(ORIG!F47=0,"",ORIG!F47)</f>
        <v/>
      </c>
      <c r="G47" s="3">
        <f>IF(ORIG!G47=0,"",ORIG!G47)</f>
        <v/>
      </c>
      <c r="H47" s="3">
        <f>IF(ORIG!H47=0,"",ORIG!H47)</f>
        <v/>
      </c>
      <c r="I47" s="3">
        <f>IF(ORIG!I47=0,"",ORIG!I47)</f>
        <v/>
      </c>
      <c r="J47" s="3">
        <f>IF(ORIG!J47=0,"",ORIG!J47)</f>
        <v/>
      </c>
      <c r="K47" s="3">
        <f>IF(ORIG!K47=0,"",ORIG!K47)</f>
        <v/>
      </c>
      <c r="L47" s="3">
        <f>IF(ORIG!L47=0,"",ORIG!L47)</f>
        <v/>
      </c>
      <c r="M47" s="3">
        <f>IF(ORIG!M47=0,"",ORIG!M47)</f>
        <v/>
      </c>
      <c r="N47" s="3">
        <f>IF(ORIG!N47=0,"",ORIG!N47)</f>
        <v/>
      </c>
      <c r="O47" s="3">
        <f>IF(ORIG!O47=0,"",ORIG!O47)</f>
        <v/>
      </c>
      <c r="P47" s="3">
        <f>IF(ORIG!P47=0,"",ORIG!P47)</f>
        <v/>
      </c>
      <c r="Q47" s="3">
        <f>IF(ORIG!Q47=0,"",ORIG!Q47)</f>
        <v/>
      </c>
      <c r="R47" s="3">
        <f>IF(ORIG!R47=0,"",ORIG!R47)</f>
        <v/>
      </c>
      <c r="S47" s="3">
        <f>IF(ORIG!S47=0,"",ORIG!S47)</f>
        <v/>
      </c>
      <c r="T47" s="3">
        <f>IF(ORIG!T47=0,"",ORIG!T47)</f>
        <v/>
      </c>
      <c r="U47" s="3">
        <f>IF(ORIG!U47=0,"",ORIG!U47)</f>
        <v/>
      </c>
      <c r="V47" s="9">
        <f>IF(ORIG!V47=0,"",ORIG!V47)</f>
        <v/>
      </c>
      <c r="W47" s="9">
        <f>IF(ORIG!W47=0,"",ORIG!W47)</f>
        <v/>
      </c>
      <c r="X47" s="9">
        <f>IF(ORIG!X47=0,"",ORIG!X47)</f>
        <v/>
      </c>
      <c r="Y47" s="9">
        <f>IF(ORIG!Y47=0,"",ORIG!Y47)</f>
        <v/>
      </c>
      <c r="Z47" s="3">
        <f>SUMPRODUCT($B47:$Y47,$B$2649:$Y$2649)</f>
        <v/>
      </c>
      <c r="AA47" s="3">
        <f>SUMPRODUCT($B47:$Y47,$B$2655:$Y$2655)</f>
        <v/>
      </c>
      <c r="AC47" s="1">
        <f>A47</f>
        <v/>
      </c>
      <c r="AD47">
        <f>IF(ISNUMBER(V47),V47*($AB$1/V$2635),"")</f>
        <v/>
      </c>
      <c r="AE47">
        <f>IF(ISNUMBER(Z47),Z47*($AB$1/Z$2635),"")</f>
        <v/>
      </c>
      <c r="AF47" s="25">
        <f>IF(ISNUMBER(AD47+AE47),AD47+AE47,"")</f>
        <v/>
      </c>
      <c r="AH47" s="1">
        <f>A47</f>
        <v/>
      </c>
      <c r="AI47">
        <f>IF(ISNUMBER((1+V47)*AI46),(1+V47)*AI46,AI46)</f>
        <v/>
      </c>
      <c r="AJ47">
        <f>IF(ISNUMBER((1+Z47)*AJ46),(1+Z47)*AJ46,AJ46)</f>
        <v/>
      </c>
    </row>
    <row r="48">
      <c r="A48" s="1" t="n">
        <v>42073</v>
      </c>
      <c r="B48" s="3">
        <f>IF(ORIG!B48=0,"",ORIG!B48)</f>
        <v/>
      </c>
      <c r="C48" s="3">
        <f>IF(ORIG!C48=0,"",ORIG!C48)</f>
        <v/>
      </c>
      <c r="D48" s="3">
        <f>IF(ORIG!D48=0,"",ORIG!D48)</f>
        <v/>
      </c>
      <c r="E48" s="3">
        <f>IF(ORIG!E48=0,"",ORIG!E48)</f>
        <v/>
      </c>
      <c r="F48" s="3">
        <f>IF(ORIG!F48=0,"",ORIG!F48)</f>
        <v/>
      </c>
      <c r="G48" s="3">
        <f>IF(ORIG!G48=0,"",ORIG!G48)</f>
        <v/>
      </c>
      <c r="H48" s="3">
        <f>IF(ORIG!H48=0,"",ORIG!H48)</f>
        <v/>
      </c>
      <c r="I48" s="3">
        <f>IF(ORIG!I48=0,"",ORIG!I48)</f>
        <v/>
      </c>
      <c r="J48" s="3">
        <f>IF(ORIG!J48=0,"",ORIG!J48)</f>
        <v/>
      </c>
      <c r="K48" s="3">
        <f>IF(ORIG!K48=0,"",ORIG!K48)</f>
        <v/>
      </c>
      <c r="L48" s="3">
        <f>IF(ORIG!L48=0,"",ORIG!L48)</f>
        <v/>
      </c>
      <c r="M48" s="3">
        <f>IF(ORIG!M48=0,"",ORIG!M48)</f>
        <v/>
      </c>
      <c r="N48" s="3">
        <f>IF(ORIG!N48=0,"",ORIG!N48)</f>
        <v/>
      </c>
      <c r="O48" s="3">
        <f>IF(ORIG!O48=0,"",ORIG!O48)</f>
        <v/>
      </c>
      <c r="P48" s="3">
        <f>IF(ORIG!P48=0,"",ORIG!P48)</f>
        <v/>
      </c>
      <c r="Q48" s="3">
        <f>IF(ORIG!Q48=0,"",ORIG!Q48)</f>
        <v/>
      </c>
      <c r="R48" s="3">
        <f>IF(ORIG!R48=0,"",ORIG!R48)</f>
        <v/>
      </c>
      <c r="S48" s="3">
        <f>IF(ORIG!S48=0,"",ORIG!S48)</f>
        <v/>
      </c>
      <c r="T48" s="3">
        <f>IF(ORIG!T48=0,"",ORIG!T48)</f>
        <v/>
      </c>
      <c r="U48" s="3">
        <f>IF(ORIG!U48=0,"",ORIG!U48)</f>
        <v/>
      </c>
      <c r="V48" s="9">
        <f>IF(ORIG!V48=0,"",ORIG!V48)</f>
        <v/>
      </c>
      <c r="W48" s="9">
        <f>IF(ORIG!W48=0,"",ORIG!W48)</f>
        <v/>
      </c>
      <c r="X48" s="9">
        <f>IF(ORIG!X48=0,"",ORIG!X48)</f>
        <v/>
      </c>
      <c r="Y48" s="9">
        <f>IF(ORIG!Y48=0,"",ORIG!Y48)</f>
        <v/>
      </c>
      <c r="Z48" s="3">
        <f>SUMPRODUCT($B48:$Y48,$B$2649:$Y$2649)</f>
        <v/>
      </c>
      <c r="AA48" s="3">
        <f>SUMPRODUCT($B48:$Y48,$B$2655:$Y$2655)</f>
        <v/>
      </c>
      <c r="AC48" s="1">
        <f>A48</f>
        <v/>
      </c>
      <c r="AD48">
        <f>IF(ISNUMBER(V48),V48*($AB$1/V$2635),"")</f>
        <v/>
      </c>
      <c r="AE48">
        <f>IF(ISNUMBER(Z48),Z48*($AB$1/Z$2635),"")</f>
        <v/>
      </c>
      <c r="AF48" s="25">
        <f>IF(ISNUMBER(AD48+AE48),AD48+AE48,"")</f>
        <v/>
      </c>
      <c r="AH48" s="1">
        <f>A48</f>
        <v/>
      </c>
      <c r="AI48">
        <f>IF(ISNUMBER((1+V48)*AI47),(1+V48)*AI47,AI47)</f>
        <v/>
      </c>
      <c r="AJ48">
        <f>IF(ISNUMBER((1+Z48)*AJ47),(1+Z48)*AJ47,AJ47)</f>
        <v/>
      </c>
    </row>
    <row r="49">
      <c r="A49" s="1" t="n">
        <v>42074</v>
      </c>
      <c r="B49" s="3">
        <f>IF(ORIG!B49=0,"",ORIG!B49)</f>
        <v/>
      </c>
      <c r="C49" s="3">
        <f>IF(ORIG!C49=0,"",ORIG!C49)</f>
        <v/>
      </c>
      <c r="D49" s="3">
        <f>IF(ORIG!D49=0,"",ORIG!D49)</f>
        <v/>
      </c>
      <c r="E49" s="3">
        <f>IF(ORIG!E49=0,"",ORIG!E49)</f>
        <v/>
      </c>
      <c r="F49" s="3">
        <f>IF(ORIG!F49=0,"",ORIG!F49)</f>
        <v/>
      </c>
      <c r="G49" s="3">
        <f>IF(ORIG!G49=0,"",ORIG!G49)</f>
        <v/>
      </c>
      <c r="H49" s="3">
        <f>IF(ORIG!H49=0,"",ORIG!H49)</f>
        <v/>
      </c>
      <c r="I49" s="3">
        <f>IF(ORIG!I49=0,"",ORIG!I49)</f>
        <v/>
      </c>
      <c r="J49" s="3">
        <f>IF(ORIG!J49=0,"",ORIG!J49)</f>
        <v/>
      </c>
      <c r="K49" s="3">
        <f>IF(ORIG!K49=0,"",ORIG!K49)</f>
        <v/>
      </c>
      <c r="L49" s="3">
        <f>IF(ORIG!L49=0,"",ORIG!L49)</f>
        <v/>
      </c>
      <c r="M49" s="3">
        <f>IF(ORIG!M49=0,"",ORIG!M49)</f>
        <v/>
      </c>
      <c r="N49" s="3">
        <f>IF(ORIG!N49=0,"",ORIG!N49)</f>
        <v/>
      </c>
      <c r="O49" s="3">
        <f>IF(ORIG!O49=0,"",ORIG!O49)</f>
        <v/>
      </c>
      <c r="P49" s="3">
        <f>IF(ORIG!P49=0,"",ORIG!P49)</f>
        <v/>
      </c>
      <c r="Q49" s="3">
        <f>IF(ORIG!Q49=0,"",ORIG!Q49)</f>
        <v/>
      </c>
      <c r="R49" s="3">
        <f>IF(ORIG!R49=0,"",ORIG!R49)</f>
        <v/>
      </c>
      <c r="S49" s="3">
        <f>IF(ORIG!S49=0,"",ORIG!S49)</f>
        <v/>
      </c>
      <c r="T49" s="3">
        <f>IF(ORIG!T49=0,"",ORIG!T49)</f>
        <v/>
      </c>
      <c r="U49" s="3">
        <f>IF(ORIG!U49=0,"",ORIG!U49)</f>
        <v/>
      </c>
      <c r="V49" s="9">
        <f>IF(ORIG!V49=0,"",ORIG!V49)</f>
        <v/>
      </c>
      <c r="W49" s="9">
        <f>IF(ORIG!W49=0,"",ORIG!W49)</f>
        <v/>
      </c>
      <c r="X49" s="9">
        <f>IF(ORIG!X49=0,"",ORIG!X49)</f>
        <v/>
      </c>
      <c r="Y49" s="9">
        <f>IF(ORIG!Y49=0,"",ORIG!Y49)</f>
        <v/>
      </c>
      <c r="Z49" s="3">
        <f>SUMPRODUCT($B49:$Y49,$B$2649:$Y$2649)</f>
        <v/>
      </c>
      <c r="AA49" s="3">
        <f>SUMPRODUCT($B49:$Y49,$B$2655:$Y$2655)</f>
        <v/>
      </c>
      <c r="AC49" s="1">
        <f>A49</f>
        <v/>
      </c>
      <c r="AD49">
        <f>IF(ISNUMBER(V49),V49*($AB$1/V$2635),"")</f>
        <v/>
      </c>
      <c r="AE49">
        <f>IF(ISNUMBER(Z49),Z49*($AB$1/Z$2635),"")</f>
        <v/>
      </c>
      <c r="AF49" s="25">
        <f>IF(ISNUMBER(AD49+AE49),AD49+AE49,"")</f>
        <v/>
      </c>
      <c r="AH49" s="1">
        <f>A49</f>
        <v/>
      </c>
      <c r="AI49">
        <f>IF(ISNUMBER((1+V49)*AI48),(1+V49)*AI48,AI48)</f>
        <v/>
      </c>
      <c r="AJ49">
        <f>IF(ISNUMBER((1+Z49)*AJ48),(1+Z49)*AJ48,AJ48)</f>
        <v/>
      </c>
    </row>
    <row r="50">
      <c r="A50" s="1" t="n">
        <v>42075</v>
      </c>
      <c r="B50" s="3">
        <f>IF(ORIG!B50=0,"",ORIG!B50)</f>
        <v/>
      </c>
      <c r="C50" s="3">
        <f>IF(ORIG!C50=0,"",ORIG!C50)</f>
        <v/>
      </c>
      <c r="D50" s="3">
        <f>IF(ORIG!D50=0,"",ORIG!D50)</f>
        <v/>
      </c>
      <c r="E50" s="3">
        <f>IF(ORIG!E50=0,"",ORIG!E50)</f>
        <v/>
      </c>
      <c r="F50" s="3">
        <f>IF(ORIG!F50=0,"",ORIG!F50)</f>
        <v/>
      </c>
      <c r="G50" s="3">
        <f>IF(ORIG!G50=0,"",ORIG!G50)</f>
        <v/>
      </c>
      <c r="H50" s="3">
        <f>IF(ORIG!H50=0,"",ORIG!H50)</f>
        <v/>
      </c>
      <c r="I50" s="3">
        <f>IF(ORIG!I50=0,"",ORIG!I50)</f>
        <v/>
      </c>
      <c r="J50" s="3">
        <f>IF(ORIG!J50=0,"",ORIG!J50)</f>
        <v/>
      </c>
      <c r="K50" s="3">
        <f>IF(ORIG!K50=0,"",ORIG!K50)</f>
        <v/>
      </c>
      <c r="L50" s="3">
        <f>IF(ORIG!L50=0,"",ORIG!L50)</f>
        <v/>
      </c>
      <c r="M50" s="3">
        <f>IF(ORIG!M50=0,"",ORIG!M50)</f>
        <v/>
      </c>
      <c r="N50" s="3">
        <f>IF(ORIG!N50=0,"",ORIG!N50)</f>
        <v/>
      </c>
      <c r="O50" s="3">
        <f>IF(ORIG!O50=0,"",ORIG!O50)</f>
        <v/>
      </c>
      <c r="P50" s="3">
        <f>IF(ORIG!P50=0,"",ORIG!P50)</f>
        <v/>
      </c>
      <c r="Q50" s="3">
        <f>IF(ORIG!Q50=0,"",ORIG!Q50)</f>
        <v/>
      </c>
      <c r="R50" s="3">
        <f>IF(ORIG!R50=0,"",ORIG!R50)</f>
        <v/>
      </c>
      <c r="S50" s="3">
        <f>IF(ORIG!S50=0,"",ORIG!S50)</f>
        <v/>
      </c>
      <c r="T50" s="3">
        <f>IF(ORIG!T50=0,"",ORIG!T50)</f>
        <v/>
      </c>
      <c r="U50" s="3">
        <f>IF(ORIG!U50=0,"",ORIG!U50)</f>
        <v/>
      </c>
      <c r="V50" s="9">
        <f>IF(ORIG!V50=0,"",ORIG!V50)</f>
        <v/>
      </c>
      <c r="W50" s="9">
        <f>IF(ORIG!W50=0,"",ORIG!W50)</f>
        <v/>
      </c>
      <c r="X50" s="9">
        <f>IF(ORIG!X50=0,"",ORIG!X50)</f>
        <v/>
      </c>
      <c r="Y50" s="9">
        <f>IF(ORIG!Y50=0,"",ORIG!Y50)</f>
        <v/>
      </c>
      <c r="Z50" s="3">
        <f>SUMPRODUCT($B50:$Y50,$B$2649:$Y$2649)</f>
        <v/>
      </c>
      <c r="AA50" s="3">
        <f>SUMPRODUCT($B50:$Y50,$B$2655:$Y$2655)</f>
        <v/>
      </c>
      <c r="AC50" s="1">
        <f>A50</f>
        <v/>
      </c>
      <c r="AD50">
        <f>IF(ISNUMBER(V50),V50*($AB$1/V$2635),"")</f>
        <v/>
      </c>
      <c r="AE50">
        <f>IF(ISNUMBER(Z50),Z50*($AB$1/Z$2635),"")</f>
        <v/>
      </c>
      <c r="AF50" s="25">
        <f>IF(ISNUMBER(AD50+AE50),AD50+AE50,"")</f>
        <v/>
      </c>
      <c r="AH50" s="1">
        <f>A50</f>
        <v/>
      </c>
      <c r="AI50">
        <f>IF(ISNUMBER((1+V50)*AI49),(1+V50)*AI49,AI49)</f>
        <v/>
      </c>
      <c r="AJ50">
        <f>IF(ISNUMBER((1+Z50)*AJ49),(1+Z50)*AJ49,AJ49)</f>
        <v/>
      </c>
    </row>
    <row r="51">
      <c r="A51" s="1" t="n">
        <v>42076</v>
      </c>
      <c r="B51" s="3">
        <f>IF(ORIG!B51=0,"",ORIG!B51)</f>
        <v/>
      </c>
      <c r="C51" s="3">
        <f>IF(ORIG!C51=0,"",ORIG!C51)</f>
        <v/>
      </c>
      <c r="D51" s="3">
        <f>IF(ORIG!D51=0,"",ORIG!D51)</f>
        <v/>
      </c>
      <c r="E51" s="3">
        <f>IF(ORIG!E51=0,"",ORIG!E51)</f>
        <v/>
      </c>
      <c r="F51" s="3">
        <f>IF(ORIG!F51=0,"",ORIG!F51)</f>
        <v/>
      </c>
      <c r="G51" s="3">
        <f>IF(ORIG!G51=0,"",ORIG!G51)</f>
        <v/>
      </c>
      <c r="H51" s="3">
        <f>IF(ORIG!H51=0,"",ORIG!H51)</f>
        <v/>
      </c>
      <c r="I51" s="3">
        <f>IF(ORIG!I51=0,"",ORIG!I51)</f>
        <v/>
      </c>
      <c r="J51" s="3">
        <f>IF(ORIG!J51=0,"",ORIG!J51)</f>
        <v/>
      </c>
      <c r="K51" s="3">
        <f>IF(ORIG!K51=0,"",ORIG!K51)</f>
        <v/>
      </c>
      <c r="L51" s="3">
        <f>IF(ORIG!L51=0,"",ORIG!L51)</f>
        <v/>
      </c>
      <c r="M51" s="3">
        <f>IF(ORIG!M51=0,"",ORIG!M51)</f>
        <v/>
      </c>
      <c r="N51" s="3">
        <f>IF(ORIG!N51=0,"",ORIG!N51)</f>
        <v/>
      </c>
      <c r="O51" s="3">
        <f>IF(ORIG!O51=0,"",ORIG!O51)</f>
        <v/>
      </c>
      <c r="P51" s="3">
        <f>IF(ORIG!P51=0,"",ORIG!P51)</f>
        <v/>
      </c>
      <c r="Q51" s="3">
        <f>IF(ORIG!Q51=0,"",ORIG!Q51)</f>
        <v/>
      </c>
      <c r="R51" s="3">
        <f>IF(ORIG!R51=0,"",ORIG!R51)</f>
        <v/>
      </c>
      <c r="S51" s="3">
        <f>IF(ORIG!S51=0,"",ORIG!S51)</f>
        <v/>
      </c>
      <c r="T51" s="3">
        <f>IF(ORIG!T51=0,"",ORIG!T51)</f>
        <v/>
      </c>
      <c r="U51" s="3">
        <f>IF(ORIG!U51=0,"",ORIG!U51)</f>
        <v/>
      </c>
      <c r="V51" s="9">
        <f>IF(ORIG!V51=0,"",ORIG!V51)</f>
        <v/>
      </c>
      <c r="W51" s="9">
        <f>IF(ORIG!W51=0,"",ORIG!W51)</f>
        <v/>
      </c>
      <c r="X51" s="9">
        <f>IF(ORIG!X51=0,"",ORIG!X51)</f>
        <v/>
      </c>
      <c r="Y51" s="9">
        <f>IF(ORIG!Y51=0,"",ORIG!Y51)</f>
        <v/>
      </c>
      <c r="Z51" s="3">
        <f>SUMPRODUCT($B51:$Y51,$B$2649:$Y$2649)</f>
        <v/>
      </c>
      <c r="AA51" s="3">
        <f>SUMPRODUCT($B51:$Y51,$B$2655:$Y$2655)</f>
        <v/>
      </c>
      <c r="AC51" s="1">
        <f>A51</f>
        <v/>
      </c>
      <c r="AD51">
        <f>IF(ISNUMBER(V51),V51*($AB$1/V$2635),"")</f>
        <v/>
      </c>
      <c r="AE51">
        <f>IF(ISNUMBER(Z51),Z51*($AB$1/Z$2635),"")</f>
        <v/>
      </c>
      <c r="AF51" s="25">
        <f>IF(ISNUMBER(AD51+AE51),AD51+AE51,"")</f>
        <v/>
      </c>
      <c r="AH51" s="1">
        <f>A51</f>
        <v/>
      </c>
      <c r="AI51">
        <f>IF(ISNUMBER((1+V51)*AI50),(1+V51)*AI50,AI50)</f>
        <v/>
      </c>
      <c r="AJ51">
        <f>IF(ISNUMBER((1+Z51)*AJ50),(1+Z51)*AJ50,AJ50)</f>
        <v/>
      </c>
    </row>
    <row r="52">
      <c r="A52" s="1" t="n">
        <v>42079</v>
      </c>
      <c r="B52" s="3">
        <f>IF(ORIG!B52=0,"",ORIG!B52)</f>
        <v/>
      </c>
      <c r="C52" s="3">
        <f>IF(ORIG!C52=0,"",ORIG!C52)</f>
        <v/>
      </c>
      <c r="D52" s="3">
        <f>IF(ORIG!D52=0,"",ORIG!D52)</f>
        <v/>
      </c>
      <c r="E52" s="3">
        <f>IF(ORIG!E52=0,"",ORIG!E52)</f>
        <v/>
      </c>
      <c r="F52" s="3">
        <f>IF(ORIG!F52=0,"",ORIG!F52)</f>
        <v/>
      </c>
      <c r="G52" s="3">
        <f>IF(ORIG!G52=0,"",ORIG!G52)</f>
        <v/>
      </c>
      <c r="H52" s="3">
        <f>IF(ORIG!H52=0,"",ORIG!H52)</f>
        <v/>
      </c>
      <c r="I52" s="3">
        <f>IF(ORIG!I52=0,"",ORIG!I52)</f>
        <v/>
      </c>
      <c r="J52" s="3">
        <f>IF(ORIG!J52=0,"",ORIG!J52)</f>
        <v/>
      </c>
      <c r="K52" s="3">
        <f>IF(ORIG!K52=0,"",ORIG!K52)</f>
        <v/>
      </c>
      <c r="L52" s="3">
        <f>IF(ORIG!L52=0,"",ORIG!L52)</f>
        <v/>
      </c>
      <c r="M52" s="3">
        <f>IF(ORIG!M52=0,"",ORIG!M52)</f>
        <v/>
      </c>
      <c r="N52" s="3">
        <f>IF(ORIG!N52=0,"",ORIG!N52)</f>
        <v/>
      </c>
      <c r="O52" s="3">
        <f>IF(ORIG!O52=0,"",ORIG!O52)</f>
        <v/>
      </c>
      <c r="P52" s="3">
        <f>IF(ORIG!P52=0,"",ORIG!P52)</f>
        <v/>
      </c>
      <c r="Q52" s="3">
        <f>IF(ORIG!Q52=0,"",ORIG!Q52)</f>
        <v/>
      </c>
      <c r="R52" s="3">
        <f>IF(ORIG!R52=0,"",ORIG!R52)</f>
        <v/>
      </c>
      <c r="S52" s="3">
        <f>IF(ORIG!S52=0,"",ORIG!S52)</f>
        <v/>
      </c>
      <c r="T52" s="3">
        <f>IF(ORIG!T52=0,"",ORIG!T52)</f>
        <v/>
      </c>
      <c r="U52" s="3">
        <f>IF(ORIG!U52=0,"",ORIG!U52)</f>
        <v/>
      </c>
      <c r="V52" s="9">
        <f>IF(ORIG!V52=0,"",ORIG!V52)</f>
        <v/>
      </c>
      <c r="W52" s="9">
        <f>IF(ORIG!W52=0,"",ORIG!W52)</f>
        <v/>
      </c>
      <c r="X52" s="9">
        <f>IF(ORIG!X52=0,"",ORIG!X52)</f>
        <v/>
      </c>
      <c r="Y52" s="9">
        <f>IF(ORIG!Y52=0,"",ORIG!Y52)</f>
        <v/>
      </c>
      <c r="Z52" s="3">
        <f>SUMPRODUCT($B52:$Y52,$B$2649:$Y$2649)</f>
        <v/>
      </c>
      <c r="AA52" s="3">
        <f>SUMPRODUCT($B52:$Y52,$B$2655:$Y$2655)</f>
        <v/>
      </c>
      <c r="AC52" s="1">
        <f>A52</f>
        <v/>
      </c>
      <c r="AD52">
        <f>IF(ISNUMBER(V52),V52*($AB$1/V$2635),"")</f>
        <v/>
      </c>
      <c r="AE52">
        <f>IF(ISNUMBER(Z52),Z52*($AB$1/Z$2635),"")</f>
        <v/>
      </c>
      <c r="AF52" s="25">
        <f>IF(ISNUMBER(AD52+AE52),AD52+AE52,"")</f>
        <v/>
      </c>
      <c r="AH52" s="1">
        <f>A52</f>
        <v/>
      </c>
      <c r="AI52">
        <f>IF(ISNUMBER((1+V52)*AI51),(1+V52)*AI51,AI51)</f>
        <v/>
      </c>
      <c r="AJ52">
        <f>IF(ISNUMBER((1+Z52)*AJ51),(1+Z52)*AJ51,AJ51)</f>
        <v/>
      </c>
    </row>
    <row r="53">
      <c r="A53" s="1" t="n">
        <v>42080</v>
      </c>
      <c r="B53" s="3">
        <f>IF(ORIG!B53=0,"",ORIG!B53)</f>
        <v/>
      </c>
      <c r="C53" s="3">
        <f>IF(ORIG!C53=0,"",ORIG!C53)</f>
        <v/>
      </c>
      <c r="D53" s="3">
        <f>IF(ORIG!D53=0,"",ORIG!D53)</f>
        <v/>
      </c>
      <c r="E53" s="3">
        <f>IF(ORIG!E53=0,"",ORIG!E53)</f>
        <v/>
      </c>
      <c r="F53" s="3">
        <f>IF(ORIG!F53=0,"",ORIG!F53)</f>
        <v/>
      </c>
      <c r="G53" s="3">
        <f>IF(ORIG!G53=0,"",ORIG!G53)</f>
        <v/>
      </c>
      <c r="H53" s="3">
        <f>IF(ORIG!H53=0,"",ORIG!H53)</f>
        <v/>
      </c>
      <c r="I53" s="3">
        <f>IF(ORIG!I53=0,"",ORIG!I53)</f>
        <v/>
      </c>
      <c r="J53" s="3">
        <f>IF(ORIG!J53=0,"",ORIG!J53)</f>
        <v/>
      </c>
      <c r="K53" s="3">
        <f>IF(ORIG!K53=0,"",ORIG!K53)</f>
        <v/>
      </c>
      <c r="L53" s="3">
        <f>IF(ORIG!L53=0,"",ORIG!L53)</f>
        <v/>
      </c>
      <c r="M53" s="3">
        <f>IF(ORIG!M53=0,"",ORIG!M53)</f>
        <v/>
      </c>
      <c r="N53" s="3">
        <f>IF(ORIG!N53=0,"",ORIG!N53)</f>
        <v/>
      </c>
      <c r="O53" s="3">
        <f>IF(ORIG!O53=0,"",ORIG!O53)</f>
        <v/>
      </c>
      <c r="P53" s="3">
        <f>IF(ORIG!P53=0,"",ORIG!P53)</f>
        <v/>
      </c>
      <c r="Q53" s="3">
        <f>IF(ORIG!Q53=0,"",ORIG!Q53)</f>
        <v/>
      </c>
      <c r="R53" s="3">
        <f>IF(ORIG!R53=0,"",ORIG!R53)</f>
        <v/>
      </c>
      <c r="S53" s="3">
        <f>IF(ORIG!S53=0,"",ORIG!S53)</f>
        <v/>
      </c>
      <c r="T53" s="3">
        <f>IF(ORIG!T53=0,"",ORIG!T53)</f>
        <v/>
      </c>
      <c r="U53" s="3">
        <f>IF(ORIG!U53=0,"",ORIG!U53)</f>
        <v/>
      </c>
      <c r="V53" s="9">
        <f>IF(ORIG!V53=0,"",ORIG!V53)</f>
        <v/>
      </c>
      <c r="W53" s="9">
        <f>IF(ORIG!W53=0,"",ORIG!W53)</f>
        <v/>
      </c>
      <c r="X53" s="9">
        <f>IF(ORIG!X53=0,"",ORIG!X53)</f>
        <v/>
      </c>
      <c r="Y53" s="9">
        <f>IF(ORIG!Y53=0,"",ORIG!Y53)</f>
        <v/>
      </c>
      <c r="Z53" s="3">
        <f>SUMPRODUCT($B53:$Y53,$B$2649:$Y$2649)</f>
        <v/>
      </c>
      <c r="AA53" s="3">
        <f>SUMPRODUCT($B53:$Y53,$B$2655:$Y$2655)</f>
        <v/>
      </c>
      <c r="AC53" s="1">
        <f>A53</f>
        <v/>
      </c>
      <c r="AD53">
        <f>IF(ISNUMBER(V53),V53*($AB$1/V$2635),"")</f>
        <v/>
      </c>
      <c r="AE53">
        <f>IF(ISNUMBER(Z53),Z53*($AB$1/Z$2635),"")</f>
        <v/>
      </c>
      <c r="AF53" s="25">
        <f>IF(ISNUMBER(AD53+AE53),AD53+AE53,"")</f>
        <v/>
      </c>
      <c r="AH53" s="1">
        <f>A53</f>
        <v/>
      </c>
      <c r="AI53">
        <f>IF(ISNUMBER((1+V53)*AI52),(1+V53)*AI52,AI52)</f>
        <v/>
      </c>
      <c r="AJ53">
        <f>IF(ISNUMBER((1+Z53)*AJ52),(1+Z53)*AJ52,AJ52)</f>
        <v/>
      </c>
    </row>
    <row r="54">
      <c r="A54" s="1" t="n">
        <v>42081</v>
      </c>
      <c r="B54" s="3">
        <f>IF(ORIG!B54=0,"",ORIG!B54)</f>
        <v/>
      </c>
      <c r="C54" s="3">
        <f>IF(ORIG!C54=0,"",ORIG!C54)</f>
        <v/>
      </c>
      <c r="D54" s="3">
        <f>IF(ORIG!D54=0,"",ORIG!D54)</f>
        <v/>
      </c>
      <c r="E54" s="3">
        <f>IF(ORIG!E54=0,"",ORIG!E54)</f>
        <v/>
      </c>
      <c r="F54" s="3">
        <f>IF(ORIG!F54=0,"",ORIG!F54)</f>
        <v/>
      </c>
      <c r="G54" s="3">
        <f>IF(ORIG!G54=0,"",ORIG!G54)</f>
        <v/>
      </c>
      <c r="H54" s="3">
        <f>IF(ORIG!H54=0,"",ORIG!H54)</f>
        <v/>
      </c>
      <c r="I54" s="3">
        <f>IF(ORIG!I54=0,"",ORIG!I54)</f>
        <v/>
      </c>
      <c r="J54" s="3">
        <f>IF(ORIG!J54=0,"",ORIG!J54)</f>
        <v/>
      </c>
      <c r="K54" s="3">
        <f>IF(ORIG!K54=0,"",ORIG!K54)</f>
        <v/>
      </c>
      <c r="L54" s="3">
        <f>IF(ORIG!L54=0,"",ORIG!L54)</f>
        <v/>
      </c>
      <c r="M54" s="3">
        <f>IF(ORIG!M54=0,"",ORIG!M54)</f>
        <v/>
      </c>
      <c r="N54" s="3">
        <f>IF(ORIG!N54=0,"",ORIG!N54)</f>
        <v/>
      </c>
      <c r="O54" s="3">
        <f>IF(ORIG!O54=0,"",ORIG!O54)</f>
        <v/>
      </c>
      <c r="P54" s="3">
        <f>IF(ORIG!P54=0,"",ORIG!P54)</f>
        <v/>
      </c>
      <c r="Q54" s="3">
        <f>IF(ORIG!Q54=0,"",ORIG!Q54)</f>
        <v/>
      </c>
      <c r="R54" s="3">
        <f>IF(ORIG!R54=0,"",ORIG!R54)</f>
        <v/>
      </c>
      <c r="S54" s="3">
        <f>IF(ORIG!S54=0,"",ORIG!S54)</f>
        <v/>
      </c>
      <c r="T54" s="3">
        <f>IF(ORIG!T54=0,"",ORIG!T54)</f>
        <v/>
      </c>
      <c r="U54" s="3">
        <f>IF(ORIG!U54=0,"",ORIG!U54)</f>
        <v/>
      </c>
      <c r="V54" s="9">
        <f>IF(ORIG!V54=0,"",ORIG!V54)</f>
        <v/>
      </c>
      <c r="W54" s="9">
        <f>IF(ORIG!W54=0,"",ORIG!W54)</f>
        <v/>
      </c>
      <c r="X54" s="9">
        <f>IF(ORIG!X54=0,"",ORIG!X54)</f>
        <v/>
      </c>
      <c r="Y54" s="9">
        <f>IF(ORIG!Y54=0,"",ORIG!Y54)</f>
        <v/>
      </c>
      <c r="Z54" s="3">
        <f>SUMPRODUCT($B54:$Y54,$B$2649:$Y$2649)</f>
        <v/>
      </c>
      <c r="AA54" s="3">
        <f>SUMPRODUCT($B54:$Y54,$B$2655:$Y$2655)</f>
        <v/>
      </c>
      <c r="AC54" s="1">
        <f>A54</f>
        <v/>
      </c>
      <c r="AD54">
        <f>IF(ISNUMBER(V54),V54*($AB$1/V$2635),"")</f>
        <v/>
      </c>
      <c r="AE54">
        <f>IF(ISNUMBER(Z54),Z54*($AB$1/Z$2635),"")</f>
        <v/>
      </c>
      <c r="AF54" s="25">
        <f>IF(ISNUMBER(AD54+AE54),AD54+AE54,"")</f>
        <v/>
      </c>
      <c r="AH54" s="1">
        <f>A54</f>
        <v/>
      </c>
      <c r="AI54">
        <f>IF(ISNUMBER((1+V54)*AI53),(1+V54)*AI53,AI53)</f>
        <v/>
      </c>
      <c r="AJ54">
        <f>IF(ISNUMBER((1+Z54)*AJ53),(1+Z54)*AJ53,AJ53)</f>
        <v/>
      </c>
    </row>
    <row r="55">
      <c r="A55" s="1" t="n">
        <v>42082</v>
      </c>
      <c r="B55" s="3">
        <f>IF(ORIG!B55=0,"",ORIG!B55)</f>
        <v/>
      </c>
      <c r="C55" s="3">
        <f>IF(ORIG!C55=0,"",ORIG!C55)</f>
        <v/>
      </c>
      <c r="D55" s="3">
        <f>IF(ORIG!D55=0,"",ORIG!D55)</f>
        <v/>
      </c>
      <c r="E55" s="3">
        <f>IF(ORIG!E55=0,"",ORIG!E55)</f>
        <v/>
      </c>
      <c r="F55" s="3">
        <f>IF(ORIG!F55=0,"",ORIG!F55)</f>
        <v/>
      </c>
      <c r="G55" s="3">
        <f>IF(ORIG!G55=0,"",ORIG!G55)</f>
        <v/>
      </c>
      <c r="H55" s="3">
        <f>IF(ORIG!H55=0,"",ORIG!H55)</f>
        <v/>
      </c>
      <c r="I55" s="3">
        <f>IF(ORIG!I55=0,"",ORIG!I55)</f>
        <v/>
      </c>
      <c r="J55" s="3">
        <f>IF(ORIG!J55=0,"",ORIG!J55)</f>
        <v/>
      </c>
      <c r="K55" s="3">
        <f>IF(ORIG!K55=0,"",ORIG!K55)</f>
        <v/>
      </c>
      <c r="L55" s="3">
        <f>IF(ORIG!L55=0,"",ORIG!L55)</f>
        <v/>
      </c>
      <c r="M55" s="3">
        <f>IF(ORIG!M55=0,"",ORIG!M55)</f>
        <v/>
      </c>
      <c r="N55" s="3">
        <f>IF(ORIG!N55=0,"",ORIG!N55)</f>
        <v/>
      </c>
      <c r="O55" s="3">
        <f>IF(ORIG!O55=0,"",ORIG!O55)</f>
        <v/>
      </c>
      <c r="P55" s="3">
        <f>IF(ORIG!P55=0,"",ORIG!P55)</f>
        <v/>
      </c>
      <c r="Q55" s="3">
        <f>IF(ORIG!Q55=0,"",ORIG!Q55)</f>
        <v/>
      </c>
      <c r="R55" s="3">
        <f>IF(ORIG!R55=0,"",ORIG!R55)</f>
        <v/>
      </c>
      <c r="S55" s="3">
        <f>IF(ORIG!S55=0,"",ORIG!S55)</f>
        <v/>
      </c>
      <c r="T55" s="3">
        <f>IF(ORIG!T55=0,"",ORIG!T55)</f>
        <v/>
      </c>
      <c r="U55" s="3">
        <f>IF(ORIG!U55=0,"",ORIG!U55)</f>
        <v/>
      </c>
      <c r="V55" s="9">
        <f>IF(ORIG!V55=0,"",ORIG!V55)</f>
        <v/>
      </c>
      <c r="W55" s="9">
        <f>IF(ORIG!W55=0,"",ORIG!W55)</f>
        <v/>
      </c>
      <c r="X55" s="9">
        <f>IF(ORIG!X55=0,"",ORIG!X55)</f>
        <v/>
      </c>
      <c r="Y55" s="9">
        <f>IF(ORIG!Y55=0,"",ORIG!Y55)</f>
        <v/>
      </c>
      <c r="Z55" s="3">
        <f>SUMPRODUCT($B55:$Y55,$B$2649:$Y$2649)</f>
        <v/>
      </c>
      <c r="AA55" s="3">
        <f>SUMPRODUCT($B55:$Y55,$B$2655:$Y$2655)</f>
        <v/>
      </c>
      <c r="AC55" s="1">
        <f>A55</f>
        <v/>
      </c>
      <c r="AD55">
        <f>IF(ISNUMBER(V55),V55*($AB$1/V$2635),"")</f>
        <v/>
      </c>
      <c r="AE55">
        <f>IF(ISNUMBER(Z55),Z55*($AB$1/Z$2635),"")</f>
        <v/>
      </c>
      <c r="AF55" s="25">
        <f>IF(ISNUMBER(AD55+AE55),AD55+AE55,"")</f>
        <v/>
      </c>
      <c r="AH55" s="1">
        <f>A55</f>
        <v/>
      </c>
      <c r="AI55">
        <f>IF(ISNUMBER((1+V55)*AI54),(1+V55)*AI54,AI54)</f>
        <v/>
      </c>
      <c r="AJ55">
        <f>IF(ISNUMBER((1+Z55)*AJ54),(1+Z55)*AJ54,AJ54)</f>
        <v/>
      </c>
    </row>
    <row r="56">
      <c r="A56" s="1" t="n">
        <v>42083</v>
      </c>
      <c r="B56" s="3">
        <f>IF(ORIG!B56=0,"",ORIG!B56)</f>
        <v/>
      </c>
      <c r="C56" s="3">
        <f>IF(ORIG!C56=0,"",ORIG!C56)</f>
        <v/>
      </c>
      <c r="D56" s="3">
        <f>IF(ORIG!D56=0,"",ORIG!D56)</f>
        <v/>
      </c>
      <c r="E56" s="3">
        <f>IF(ORIG!E56=0,"",ORIG!E56)</f>
        <v/>
      </c>
      <c r="F56" s="3">
        <f>IF(ORIG!F56=0,"",ORIG!F56)</f>
        <v/>
      </c>
      <c r="G56" s="3">
        <f>IF(ORIG!G56=0,"",ORIG!G56)</f>
        <v/>
      </c>
      <c r="H56" s="3">
        <f>IF(ORIG!H56=0,"",ORIG!H56)</f>
        <v/>
      </c>
      <c r="I56" s="3">
        <f>IF(ORIG!I56=0,"",ORIG!I56)</f>
        <v/>
      </c>
      <c r="J56" s="3">
        <f>IF(ORIG!J56=0,"",ORIG!J56)</f>
        <v/>
      </c>
      <c r="K56" s="3">
        <f>IF(ORIG!K56=0,"",ORIG!K56)</f>
        <v/>
      </c>
      <c r="L56" s="3">
        <f>IF(ORIG!L56=0,"",ORIG!L56)</f>
        <v/>
      </c>
      <c r="M56" s="3">
        <f>IF(ORIG!M56=0,"",ORIG!M56)</f>
        <v/>
      </c>
      <c r="N56" s="3">
        <f>IF(ORIG!N56=0,"",ORIG!N56)</f>
        <v/>
      </c>
      <c r="O56" s="3">
        <f>IF(ORIG!O56=0,"",ORIG!O56)</f>
        <v/>
      </c>
      <c r="P56" s="3">
        <f>IF(ORIG!P56=0,"",ORIG!P56)</f>
        <v/>
      </c>
      <c r="Q56" s="3">
        <f>IF(ORIG!Q56=0,"",ORIG!Q56)</f>
        <v/>
      </c>
      <c r="R56" s="3">
        <f>IF(ORIG!R56=0,"",ORIG!R56)</f>
        <v/>
      </c>
      <c r="S56" s="3">
        <f>IF(ORIG!S56=0,"",ORIG!S56)</f>
        <v/>
      </c>
      <c r="T56" s="3">
        <f>IF(ORIG!T56=0,"",ORIG!T56)</f>
        <v/>
      </c>
      <c r="U56" s="3">
        <f>IF(ORIG!U56=0,"",ORIG!U56)</f>
        <v/>
      </c>
      <c r="V56" s="9">
        <f>IF(ORIG!V56=0,"",ORIG!V56)</f>
        <v/>
      </c>
      <c r="W56" s="9">
        <f>IF(ORIG!W56=0,"",ORIG!W56)</f>
        <v/>
      </c>
      <c r="X56" s="9">
        <f>IF(ORIG!X56=0,"",ORIG!X56)</f>
        <v/>
      </c>
      <c r="Y56" s="9">
        <f>IF(ORIG!Y56=0,"",ORIG!Y56)</f>
        <v/>
      </c>
      <c r="Z56" s="3">
        <f>SUMPRODUCT($B56:$Y56,$B$2649:$Y$2649)</f>
        <v/>
      </c>
      <c r="AA56" s="3">
        <f>SUMPRODUCT($B56:$Y56,$B$2655:$Y$2655)</f>
        <v/>
      </c>
      <c r="AC56" s="1">
        <f>A56</f>
        <v/>
      </c>
      <c r="AD56">
        <f>IF(ISNUMBER(V56),V56*($AB$1/V$2635),"")</f>
        <v/>
      </c>
      <c r="AE56">
        <f>IF(ISNUMBER(Z56),Z56*($AB$1/Z$2635),"")</f>
        <v/>
      </c>
      <c r="AF56" s="25">
        <f>IF(ISNUMBER(AD56+AE56),AD56+AE56,"")</f>
        <v/>
      </c>
      <c r="AH56" s="1">
        <f>A56</f>
        <v/>
      </c>
      <c r="AI56">
        <f>IF(ISNUMBER((1+V56)*AI55),(1+V56)*AI55,AI55)</f>
        <v/>
      </c>
      <c r="AJ56">
        <f>IF(ISNUMBER((1+Z56)*AJ55),(1+Z56)*AJ55,AJ55)</f>
        <v/>
      </c>
    </row>
    <row r="57">
      <c r="A57" s="1" t="n">
        <v>42086</v>
      </c>
      <c r="B57" s="3">
        <f>IF(ORIG!B57=0,"",ORIG!B57)</f>
        <v/>
      </c>
      <c r="C57" s="3">
        <f>IF(ORIG!C57=0,"",ORIG!C57)</f>
        <v/>
      </c>
      <c r="D57" s="3">
        <f>IF(ORIG!D57=0,"",ORIG!D57)</f>
        <v/>
      </c>
      <c r="E57" s="3">
        <f>IF(ORIG!E57=0,"",ORIG!E57)</f>
        <v/>
      </c>
      <c r="F57" s="3">
        <f>IF(ORIG!F57=0,"",ORIG!F57)</f>
        <v/>
      </c>
      <c r="G57" s="3">
        <f>IF(ORIG!G57=0,"",ORIG!G57)</f>
        <v/>
      </c>
      <c r="H57" s="3">
        <f>IF(ORIG!H57=0,"",ORIG!H57)</f>
        <v/>
      </c>
      <c r="I57" s="3">
        <f>IF(ORIG!I57=0,"",ORIG!I57)</f>
        <v/>
      </c>
      <c r="J57" s="3">
        <f>IF(ORIG!J57=0,"",ORIG!J57)</f>
        <v/>
      </c>
      <c r="K57" s="3">
        <f>IF(ORIG!K57=0,"",ORIG!K57)</f>
        <v/>
      </c>
      <c r="L57" s="3">
        <f>IF(ORIG!L57=0,"",ORIG!L57)</f>
        <v/>
      </c>
      <c r="M57" s="3">
        <f>IF(ORIG!M57=0,"",ORIG!M57)</f>
        <v/>
      </c>
      <c r="N57" s="3">
        <f>IF(ORIG!N57=0,"",ORIG!N57)</f>
        <v/>
      </c>
      <c r="O57" s="3">
        <f>IF(ORIG!O57=0,"",ORIG!O57)</f>
        <v/>
      </c>
      <c r="P57" s="3">
        <f>IF(ORIG!P57=0,"",ORIG!P57)</f>
        <v/>
      </c>
      <c r="Q57" s="3">
        <f>IF(ORIG!Q57=0,"",ORIG!Q57)</f>
        <v/>
      </c>
      <c r="R57" s="3">
        <f>IF(ORIG!R57=0,"",ORIG!R57)</f>
        <v/>
      </c>
      <c r="S57" s="3">
        <f>IF(ORIG!S57=0,"",ORIG!S57)</f>
        <v/>
      </c>
      <c r="T57" s="3">
        <f>IF(ORIG!T57=0,"",ORIG!T57)</f>
        <v/>
      </c>
      <c r="U57" s="3">
        <f>IF(ORIG!U57=0,"",ORIG!U57)</f>
        <v/>
      </c>
      <c r="V57" s="9">
        <f>IF(ORIG!V57=0,"",ORIG!V57)</f>
        <v/>
      </c>
      <c r="W57" s="9">
        <f>IF(ORIG!W57=0,"",ORIG!W57)</f>
        <v/>
      </c>
      <c r="X57" s="9">
        <f>IF(ORIG!X57=0,"",ORIG!X57)</f>
        <v/>
      </c>
      <c r="Y57" s="9">
        <f>IF(ORIG!Y57=0,"",ORIG!Y57)</f>
        <v/>
      </c>
      <c r="Z57" s="3">
        <f>SUMPRODUCT($B57:$Y57,$B$2649:$Y$2649)</f>
        <v/>
      </c>
      <c r="AA57" s="3">
        <f>SUMPRODUCT($B57:$Y57,$B$2655:$Y$2655)</f>
        <v/>
      </c>
      <c r="AC57" s="1">
        <f>A57</f>
        <v/>
      </c>
      <c r="AD57">
        <f>IF(ISNUMBER(V57),V57*($AB$1/V$2635),"")</f>
        <v/>
      </c>
      <c r="AE57">
        <f>IF(ISNUMBER(Z57),Z57*($AB$1/Z$2635),"")</f>
        <v/>
      </c>
      <c r="AF57" s="25">
        <f>IF(ISNUMBER(AD57+AE57),AD57+AE57,"")</f>
        <v/>
      </c>
      <c r="AH57" s="1">
        <f>A57</f>
        <v/>
      </c>
      <c r="AI57">
        <f>IF(ISNUMBER((1+V57)*AI56),(1+V57)*AI56,AI56)</f>
        <v/>
      </c>
      <c r="AJ57">
        <f>IF(ISNUMBER((1+Z57)*AJ56),(1+Z57)*AJ56,AJ56)</f>
        <v/>
      </c>
    </row>
    <row r="58">
      <c r="A58" s="1" t="n">
        <v>42087</v>
      </c>
      <c r="B58" s="3">
        <f>IF(ORIG!B58=0,"",ORIG!B58)</f>
        <v/>
      </c>
      <c r="C58" s="3">
        <f>IF(ORIG!C58=0,"",ORIG!C58)</f>
        <v/>
      </c>
      <c r="D58" s="3">
        <f>IF(ORIG!D58=0,"",ORIG!D58)</f>
        <v/>
      </c>
      <c r="E58" s="3">
        <f>IF(ORIG!E58=0,"",ORIG!E58)</f>
        <v/>
      </c>
      <c r="F58" s="3">
        <f>IF(ORIG!F58=0,"",ORIG!F58)</f>
        <v/>
      </c>
      <c r="G58" s="3">
        <f>IF(ORIG!G58=0,"",ORIG!G58)</f>
        <v/>
      </c>
      <c r="H58" s="3">
        <f>IF(ORIG!H58=0,"",ORIG!H58)</f>
        <v/>
      </c>
      <c r="I58" s="3">
        <f>IF(ORIG!I58=0,"",ORIG!I58)</f>
        <v/>
      </c>
      <c r="J58" s="3">
        <f>IF(ORIG!J58=0,"",ORIG!J58)</f>
        <v/>
      </c>
      <c r="K58" s="3">
        <f>IF(ORIG!K58=0,"",ORIG!K58)</f>
        <v/>
      </c>
      <c r="L58" s="3">
        <f>IF(ORIG!L58=0,"",ORIG!L58)</f>
        <v/>
      </c>
      <c r="M58" s="3">
        <f>IF(ORIG!M58=0,"",ORIG!M58)</f>
        <v/>
      </c>
      <c r="N58" s="3">
        <f>IF(ORIG!N58=0,"",ORIG!N58)</f>
        <v/>
      </c>
      <c r="O58" s="3">
        <f>IF(ORIG!O58=0,"",ORIG!O58)</f>
        <v/>
      </c>
      <c r="P58" s="3">
        <f>IF(ORIG!P58=0,"",ORIG!P58)</f>
        <v/>
      </c>
      <c r="Q58" s="3">
        <f>IF(ORIG!Q58=0,"",ORIG!Q58)</f>
        <v/>
      </c>
      <c r="R58" s="3">
        <f>IF(ORIG!R58=0,"",ORIG!R58)</f>
        <v/>
      </c>
      <c r="S58" s="3">
        <f>IF(ORIG!S58=0,"",ORIG!S58)</f>
        <v/>
      </c>
      <c r="T58" s="3">
        <f>IF(ORIG!T58=0,"",ORIG!T58)</f>
        <v/>
      </c>
      <c r="U58" s="3">
        <f>IF(ORIG!U58=0,"",ORIG!U58)</f>
        <v/>
      </c>
      <c r="V58" s="9">
        <f>IF(ORIG!V58=0,"",ORIG!V58)</f>
        <v/>
      </c>
      <c r="W58" s="9">
        <f>IF(ORIG!W58=0,"",ORIG!W58)</f>
        <v/>
      </c>
      <c r="X58" s="9">
        <f>IF(ORIG!X58=0,"",ORIG!X58)</f>
        <v/>
      </c>
      <c r="Y58" s="9">
        <f>IF(ORIG!Y58=0,"",ORIG!Y58)</f>
        <v/>
      </c>
      <c r="Z58" s="3">
        <f>SUMPRODUCT($B58:$Y58,$B$2649:$Y$2649)</f>
        <v/>
      </c>
      <c r="AA58" s="3">
        <f>SUMPRODUCT($B58:$Y58,$B$2655:$Y$2655)</f>
        <v/>
      </c>
      <c r="AC58" s="1">
        <f>A58</f>
        <v/>
      </c>
      <c r="AD58">
        <f>IF(ISNUMBER(V58),V58*($AB$1/V$2635),"")</f>
        <v/>
      </c>
      <c r="AE58">
        <f>IF(ISNUMBER(Z58),Z58*($AB$1/Z$2635),"")</f>
        <v/>
      </c>
      <c r="AF58" s="25">
        <f>IF(ISNUMBER(AD58+AE58),AD58+AE58,"")</f>
        <v/>
      </c>
      <c r="AH58" s="1">
        <f>A58</f>
        <v/>
      </c>
      <c r="AI58">
        <f>IF(ISNUMBER((1+V58)*AI57),(1+V58)*AI57,AI57)</f>
        <v/>
      </c>
      <c r="AJ58">
        <f>IF(ISNUMBER((1+Z58)*AJ57),(1+Z58)*AJ57,AJ57)</f>
        <v/>
      </c>
    </row>
    <row r="59">
      <c r="A59" s="1" t="n">
        <v>42088</v>
      </c>
      <c r="B59" s="3">
        <f>IF(ORIG!B59=0,"",ORIG!B59)</f>
        <v/>
      </c>
      <c r="C59" s="3">
        <f>IF(ORIG!C59=0,"",ORIG!C59)</f>
        <v/>
      </c>
      <c r="D59" s="3">
        <f>IF(ORIG!D59=0,"",ORIG!D59)</f>
        <v/>
      </c>
      <c r="E59" s="3">
        <f>IF(ORIG!E59=0,"",ORIG!E59)</f>
        <v/>
      </c>
      <c r="F59" s="3">
        <f>IF(ORIG!F59=0,"",ORIG!F59)</f>
        <v/>
      </c>
      <c r="G59" s="3">
        <f>IF(ORIG!G59=0,"",ORIG!G59)</f>
        <v/>
      </c>
      <c r="H59" s="3">
        <f>IF(ORIG!H59=0,"",ORIG!H59)</f>
        <v/>
      </c>
      <c r="I59" s="3">
        <f>IF(ORIG!I59=0,"",ORIG!I59)</f>
        <v/>
      </c>
      <c r="J59" s="3">
        <f>IF(ORIG!J59=0,"",ORIG!J59)</f>
        <v/>
      </c>
      <c r="K59" s="3">
        <f>IF(ORIG!K59=0,"",ORIG!K59)</f>
        <v/>
      </c>
      <c r="L59" s="3">
        <f>IF(ORIG!L59=0,"",ORIG!L59)</f>
        <v/>
      </c>
      <c r="M59" s="3">
        <f>IF(ORIG!M59=0,"",ORIG!M59)</f>
        <v/>
      </c>
      <c r="N59" s="3">
        <f>IF(ORIG!N59=0,"",ORIG!N59)</f>
        <v/>
      </c>
      <c r="O59" s="3">
        <f>IF(ORIG!O59=0,"",ORIG!O59)</f>
        <v/>
      </c>
      <c r="P59" s="3">
        <f>IF(ORIG!P59=0,"",ORIG!P59)</f>
        <v/>
      </c>
      <c r="Q59" s="3">
        <f>IF(ORIG!Q59=0,"",ORIG!Q59)</f>
        <v/>
      </c>
      <c r="R59" s="3">
        <f>IF(ORIG!R59=0,"",ORIG!R59)</f>
        <v/>
      </c>
      <c r="S59" s="3">
        <f>IF(ORIG!S59=0,"",ORIG!S59)</f>
        <v/>
      </c>
      <c r="T59" s="3">
        <f>IF(ORIG!T59=0,"",ORIG!T59)</f>
        <v/>
      </c>
      <c r="U59" s="3">
        <f>IF(ORIG!U59=0,"",ORIG!U59)</f>
        <v/>
      </c>
      <c r="V59" s="9">
        <f>IF(ORIG!V59=0,"",ORIG!V59)</f>
        <v/>
      </c>
      <c r="W59" s="9">
        <f>IF(ORIG!W59=0,"",ORIG!W59)</f>
        <v/>
      </c>
      <c r="X59" s="9">
        <f>IF(ORIG!X59=0,"",ORIG!X59)</f>
        <v/>
      </c>
      <c r="Y59" s="9">
        <f>IF(ORIG!Y59=0,"",ORIG!Y59)</f>
        <v/>
      </c>
      <c r="Z59" s="3">
        <f>SUMPRODUCT($B59:$Y59,$B$2649:$Y$2649)</f>
        <v/>
      </c>
      <c r="AA59" s="3">
        <f>SUMPRODUCT($B59:$Y59,$B$2655:$Y$2655)</f>
        <v/>
      </c>
      <c r="AC59" s="1">
        <f>A59</f>
        <v/>
      </c>
      <c r="AD59">
        <f>IF(ISNUMBER(V59),V59*($AB$1/V$2635),"")</f>
        <v/>
      </c>
      <c r="AE59">
        <f>IF(ISNUMBER(Z59),Z59*($AB$1/Z$2635),"")</f>
        <v/>
      </c>
      <c r="AF59" s="25">
        <f>IF(ISNUMBER(AD59+AE59),AD59+AE59,"")</f>
        <v/>
      </c>
      <c r="AH59" s="1">
        <f>A59</f>
        <v/>
      </c>
      <c r="AI59">
        <f>IF(ISNUMBER((1+V59)*AI58),(1+V59)*AI58,AI58)</f>
        <v/>
      </c>
      <c r="AJ59">
        <f>IF(ISNUMBER((1+Z59)*AJ58),(1+Z59)*AJ58,AJ58)</f>
        <v/>
      </c>
    </row>
    <row r="60">
      <c r="A60" s="1" t="n">
        <v>42089</v>
      </c>
      <c r="B60" s="3">
        <f>IF(ORIG!B60=0,"",ORIG!B60)</f>
        <v/>
      </c>
      <c r="C60" s="3">
        <f>IF(ORIG!C60=0,"",ORIG!C60)</f>
        <v/>
      </c>
      <c r="D60" s="3">
        <f>IF(ORIG!D60=0,"",ORIG!D60)</f>
        <v/>
      </c>
      <c r="E60" s="3">
        <f>IF(ORIG!E60=0,"",ORIG!E60)</f>
        <v/>
      </c>
      <c r="F60" s="3">
        <f>IF(ORIG!F60=0,"",ORIG!F60)</f>
        <v/>
      </c>
      <c r="G60" s="3">
        <f>IF(ORIG!G60=0,"",ORIG!G60)</f>
        <v/>
      </c>
      <c r="H60" s="3">
        <f>IF(ORIG!H60=0,"",ORIG!H60)</f>
        <v/>
      </c>
      <c r="I60" s="3">
        <f>IF(ORIG!I60=0,"",ORIG!I60)</f>
        <v/>
      </c>
      <c r="J60" s="3">
        <f>IF(ORIG!J60=0,"",ORIG!J60)</f>
        <v/>
      </c>
      <c r="K60" s="3">
        <f>IF(ORIG!K60=0,"",ORIG!K60)</f>
        <v/>
      </c>
      <c r="L60" s="3">
        <f>IF(ORIG!L60=0,"",ORIG!L60)</f>
        <v/>
      </c>
      <c r="M60" s="3">
        <f>IF(ORIG!M60=0,"",ORIG!M60)</f>
        <v/>
      </c>
      <c r="N60" s="3">
        <f>IF(ORIG!N60=0,"",ORIG!N60)</f>
        <v/>
      </c>
      <c r="O60" s="3">
        <f>IF(ORIG!O60=0,"",ORIG!O60)</f>
        <v/>
      </c>
      <c r="P60" s="3">
        <f>IF(ORIG!P60=0,"",ORIG!P60)</f>
        <v/>
      </c>
      <c r="Q60" s="3">
        <f>IF(ORIG!Q60=0,"",ORIG!Q60)</f>
        <v/>
      </c>
      <c r="R60" s="3">
        <f>IF(ORIG!R60=0,"",ORIG!R60)</f>
        <v/>
      </c>
      <c r="S60" s="3">
        <f>IF(ORIG!S60=0,"",ORIG!S60)</f>
        <v/>
      </c>
      <c r="T60" s="3">
        <f>IF(ORIG!T60=0,"",ORIG!T60)</f>
        <v/>
      </c>
      <c r="U60" s="3">
        <f>IF(ORIG!U60=0,"",ORIG!U60)</f>
        <v/>
      </c>
      <c r="V60" s="9">
        <f>IF(ORIG!V60=0,"",ORIG!V60)</f>
        <v/>
      </c>
      <c r="W60" s="9">
        <f>IF(ORIG!W60=0,"",ORIG!W60)</f>
        <v/>
      </c>
      <c r="X60" s="9">
        <f>IF(ORIG!X60=0,"",ORIG!X60)</f>
        <v/>
      </c>
      <c r="Y60" s="9">
        <f>IF(ORIG!Y60=0,"",ORIG!Y60)</f>
        <v/>
      </c>
      <c r="Z60" s="3">
        <f>SUMPRODUCT($B60:$Y60,$B$2649:$Y$2649)</f>
        <v/>
      </c>
      <c r="AA60" s="3">
        <f>SUMPRODUCT($B60:$Y60,$B$2655:$Y$2655)</f>
        <v/>
      </c>
      <c r="AC60" s="1">
        <f>A60</f>
        <v/>
      </c>
      <c r="AD60">
        <f>IF(ISNUMBER(V60),V60*($AB$1/V$2635),"")</f>
        <v/>
      </c>
      <c r="AE60">
        <f>IF(ISNUMBER(Z60),Z60*($AB$1/Z$2635),"")</f>
        <v/>
      </c>
      <c r="AF60" s="25">
        <f>IF(ISNUMBER(AD60+AE60),AD60+AE60,"")</f>
        <v/>
      </c>
      <c r="AH60" s="1">
        <f>A60</f>
        <v/>
      </c>
      <c r="AI60">
        <f>IF(ISNUMBER((1+V60)*AI59),(1+V60)*AI59,AI59)</f>
        <v/>
      </c>
      <c r="AJ60">
        <f>IF(ISNUMBER((1+Z60)*AJ59),(1+Z60)*AJ59,AJ59)</f>
        <v/>
      </c>
    </row>
    <row r="61">
      <c r="A61" s="1" t="n">
        <v>42090</v>
      </c>
      <c r="B61" s="3">
        <f>IF(ORIG!B61=0,"",ORIG!B61)</f>
        <v/>
      </c>
      <c r="C61" s="3">
        <f>IF(ORIG!C61=0,"",ORIG!C61)</f>
        <v/>
      </c>
      <c r="D61" s="3">
        <f>IF(ORIG!D61=0,"",ORIG!D61)</f>
        <v/>
      </c>
      <c r="E61" s="3">
        <f>IF(ORIG!E61=0,"",ORIG!E61)</f>
        <v/>
      </c>
      <c r="F61" s="3">
        <f>IF(ORIG!F61=0,"",ORIG!F61)</f>
        <v/>
      </c>
      <c r="G61" s="3">
        <f>IF(ORIG!G61=0,"",ORIG!G61)</f>
        <v/>
      </c>
      <c r="H61" s="3">
        <f>IF(ORIG!H61=0,"",ORIG!H61)</f>
        <v/>
      </c>
      <c r="I61" s="3">
        <f>IF(ORIG!I61=0,"",ORIG!I61)</f>
        <v/>
      </c>
      <c r="J61" s="3">
        <f>IF(ORIG!J61=0,"",ORIG!J61)</f>
        <v/>
      </c>
      <c r="K61" s="3">
        <f>IF(ORIG!K61=0,"",ORIG!K61)</f>
        <v/>
      </c>
      <c r="L61" s="3">
        <f>IF(ORIG!L61=0,"",ORIG!L61)</f>
        <v/>
      </c>
      <c r="M61" s="3">
        <f>IF(ORIG!M61=0,"",ORIG!M61)</f>
        <v/>
      </c>
      <c r="N61" s="3">
        <f>IF(ORIG!N61=0,"",ORIG!N61)</f>
        <v/>
      </c>
      <c r="O61" s="3">
        <f>IF(ORIG!O61=0,"",ORIG!O61)</f>
        <v/>
      </c>
      <c r="P61" s="3">
        <f>IF(ORIG!P61=0,"",ORIG!P61)</f>
        <v/>
      </c>
      <c r="Q61" s="3">
        <f>IF(ORIG!Q61=0,"",ORIG!Q61)</f>
        <v/>
      </c>
      <c r="R61" s="3">
        <f>IF(ORIG!R61=0,"",ORIG!R61)</f>
        <v/>
      </c>
      <c r="S61" s="3">
        <f>IF(ORIG!S61=0,"",ORIG!S61)</f>
        <v/>
      </c>
      <c r="T61" s="3">
        <f>IF(ORIG!T61=0,"",ORIG!T61)</f>
        <v/>
      </c>
      <c r="U61" s="3">
        <f>IF(ORIG!U61=0,"",ORIG!U61)</f>
        <v/>
      </c>
      <c r="V61" s="9">
        <f>IF(ORIG!V61=0,"",ORIG!V61)</f>
        <v/>
      </c>
      <c r="W61" s="9">
        <f>IF(ORIG!W61=0,"",ORIG!W61)</f>
        <v/>
      </c>
      <c r="X61" s="9">
        <f>IF(ORIG!X61=0,"",ORIG!X61)</f>
        <v/>
      </c>
      <c r="Y61" s="9">
        <f>IF(ORIG!Y61=0,"",ORIG!Y61)</f>
        <v/>
      </c>
      <c r="Z61" s="3">
        <f>SUMPRODUCT($B61:$Y61,$B$2649:$Y$2649)</f>
        <v/>
      </c>
      <c r="AA61" s="3">
        <f>SUMPRODUCT($B61:$Y61,$B$2655:$Y$2655)</f>
        <v/>
      </c>
      <c r="AC61" s="1">
        <f>A61</f>
        <v/>
      </c>
      <c r="AD61">
        <f>IF(ISNUMBER(V61),V61*($AB$1/V$2635),"")</f>
        <v/>
      </c>
      <c r="AE61">
        <f>IF(ISNUMBER(Z61),Z61*($AB$1/Z$2635),"")</f>
        <v/>
      </c>
      <c r="AF61" s="25">
        <f>IF(ISNUMBER(AD61+AE61),AD61+AE61,"")</f>
        <v/>
      </c>
      <c r="AH61" s="1">
        <f>A61</f>
        <v/>
      </c>
      <c r="AI61">
        <f>IF(ISNUMBER((1+V61)*AI60),(1+V61)*AI60,AI60)</f>
        <v/>
      </c>
      <c r="AJ61">
        <f>IF(ISNUMBER((1+Z61)*AJ60),(1+Z61)*AJ60,AJ60)</f>
        <v/>
      </c>
    </row>
    <row r="62">
      <c r="A62" s="1" t="n">
        <v>42093</v>
      </c>
      <c r="B62" s="3">
        <f>IF(ORIG!B62=0,"",ORIG!B62)</f>
        <v/>
      </c>
      <c r="C62" s="3">
        <f>IF(ORIG!C62=0,"",ORIG!C62)</f>
        <v/>
      </c>
      <c r="D62" s="3">
        <f>IF(ORIG!D62=0,"",ORIG!D62)</f>
        <v/>
      </c>
      <c r="E62" s="3">
        <f>IF(ORIG!E62=0,"",ORIG!E62)</f>
        <v/>
      </c>
      <c r="F62" s="3">
        <f>IF(ORIG!F62=0,"",ORIG!F62)</f>
        <v/>
      </c>
      <c r="G62" s="3">
        <f>IF(ORIG!G62=0,"",ORIG!G62)</f>
        <v/>
      </c>
      <c r="H62" s="3">
        <f>IF(ORIG!H62=0,"",ORIG!H62)</f>
        <v/>
      </c>
      <c r="I62" s="3">
        <f>IF(ORIG!I62=0,"",ORIG!I62)</f>
        <v/>
      </c>
      <c r="J62" s="3">
        <f>IF(ORIG!J62=0,"",ORIG!J62)</f>
        <v/>
      </c>
      <c r="K62" s="3">
        <f>IF(ORIG!K62=0,"",ORIG!K62)</f>
        <v/>
      </c>
      <c r="L62" s="3">
        <f>IF(ORIG!L62=0,"",ORIG!L62)</f>
        <v/>
      </c>
      <c r="M62" s="3">
        <f>IF(ORIG!M62=0,"",ORIG!M62)</f>
        <v/>
      </c>
      <c r="N62" s="3">
        <f>IF(ORIG!N62=0,"",ORIG!N62)</f>
        <v/>
      </c>
      <c r="O62" s="3">
        <f>IF(ORIG!O62=0,"",ORIG!O62)</f>
        <v/>
      </c>
      <c r="P62" s="3">
        <f>IF(ORIG!P62=0,"",ORIG!P62)</f>
        <v/>
      </c>
      <c r="Q62" s="3">
        <f>IF(ORIG!Q62=0,"",ORIG!Q62)</f>
        <v/>
      </c>
      <c r="R62" s="3">
        <f>IF(ORIG!R62=0,"",ORIG!R62)</f>
        <v/>
      </c>
      <c r="S62" s="3">
        <f>IF(ORIG!S62=0,"",ORIG!S62)</f>
        <v/>
      </c>
      <c r="T62" s="3">
        <f>IF(ORIG!T62=0,"",ORIG!T62)</f>
        <v/>
      </c>
      <c r="U62" s="3">
        <f>IF(ORIG!U62=0,"",ORIG!U62)</f>
        <v/>
      </c>
      <c r="V62" s="9">
        <f>IF(ORIG!V62=0,"",ORIG!V62)</f>
        <v/>
      </c>
      <c r="W62" s="9">
        <f>IF(ORIG!W62=0,"",ORIG!W62)</f>
        <v/>
      </c>
      <c r="X62" s="9">
        <f>IF(ORIG!X62=0,"",ORIG!X62)</f>
        <v/>
      </c>
      <c r="Y62" s="9">
        <f>IF(ORIG!Y62=0,"",ORIG!Y62)</f>
        <v/>
      </c>
      <c r="Z62" s="3">
        <f>SUMPRODUCT($B62:$Y62,$B$2649:$Y$2649)</f>
        <v/>
      </c>
      <c r="AA62" s="3">
        <f>SUMPRODUCT($B62:$Y62,$B$2655:$Y$2655)</f>
        <v/>
      </c>
      <c r="AC62" s="1">
        <f>A62</f>
        <v/>
      </c>
      <c r="AD62">
        <f>IF(ISNUMBER(V62),V62*($AB$1/V$2635),"")</f>
        <v/>
      </c>
      <c r="AE62">
        <f>IF(ISNUMBER(Z62),Z62*($AB$1/Z$2635),"")</f>
        <v/>
      </c>
      <c r="AF62" s="25">
        <f>IF(ISNUMBER(AD62+AE62),AD62+AE62,"")</f>
        <v/>
      </c>
      <c r="AH62" s="1">
        <f>A62</f>
        <v/>
      </c>
      <c r="AI62">
        <f>IF(ISNUMBER((1+V62)*AI61),(1+V62)*AI61,AI61)</f>
        <v/>
      </c>
      <c r="AJ62">
        <f>IF(ISNUMBER((1+Z62)*AJ61),(1+Z62)*AJ61,AJ61)</f>
        <v/>
      </c>
    </row>
    <row r="63">
      <c r="A63" s="1" t="n">
        <v>42094</v>
      </c>
      <c r="B63" s="3">
        <f>IF(ORIG!B63=0,"",ORIG!B63)</f>
        <v/>
      </c>
      <c r="C63" s="3">
        <f>IF(ORIG!C63=0,"",ORIG!C63)</f>
        <v/>
      </c>
      <c r="D63" s="3">
        <f>IF(ORIG!D63=0,"",ORIG!D63)</f>
        <v/>
      </c>
      <c r="E63" s="3">
        <f>IF(ORIG!E63=0,"",ORIG!E63)</f>
        <v/>
      </c>
      <c r="F63" s="3">
        <f>IF(ORIG!F63=0,"",ORIG!F63)</f>
        <v/>
      </c>
      <c r="G63" s="3">
        <f>IF(ORIG!G63=0,"",ORIG!G63)</f>
        <v/>
      </c>
      <c r="H63" s="3">
        <f>IF(ORIG!H63=0,"",ORIG!H63)</f>
        <v/>
      </c>
      <c r="I63" s="3">
        <f>IF(ORIG!I63=0,"",ORIG!I63)</f>
        <v/>
      </c>
      <c r="J63" s="3">
        <f>IF(ORIG!J63=0,"",ORIG!J63)</f>
        <v/>
      </c>
      <c r="K63" s="3">
        <f>IF(ORIG!K63=0,"",ORIG!K63)</f>
        <v/>
      </c>
      <c r="L63" s="3">
        <f>IF(ORIG!L63=0,"",ORIG!L63)</f>
        <v/>
      </c>
      <c r="M63" s="3">
        <f>IF(ORIG!M63=0,"",ORIG!M63)</f>
        <v/>
      </c>
      <c r="N63" s="3">
        <f>IF(ORIG!N63=0,"",ORIG!N63)</f>
        <v/>
      </c>
      <c r="O63" s="3">
        <f>IF(ORIG!O63=0,"",ORIG!O63)</f>
        <v/>
      </c>
      <c r="P63" s="3">
        <f>IF(ORIG!P63=0,"",ORIG!P63)</f>
        <v/>
      </c>
      <c r="Q63" s="3">
        <f>IF(ORIG!Q63=0,"",ORIG!Q63)</f>
        <v/>
      </c>
      <c r="R63" s="3">
        <f>IF(ORIG!R63=0,"",ORIG!R63)</f>
        <v/>
      </c>
      <c r="S63" s="3">
        <f>IF(ORIG!S63=0,"",ORIG!S63)</f>
        <v/>
      </c>
      <c r="T63" s="3">
        <f>IF(ORIG!T63=0,"",ORIG!T63)</f>
        <v/>
      </c>
      <c r="U63" s="3">
        <f>IF(ORIG!U63=0,"",ORIG!U63)</f>
        <v/>
      </c>
      <c r="V63" s="9">
        <f>IF(ORIG!V63=0,"",ORIG!V63)</f>
        <v/>
      </c>
      <c r="W63" s="9">
        <f>IF(ORIG!W63=0,"",ORIG!W63)</f>
        <v/>
      </c>
      <c r="X63" s="9">
        <f>IF(ORIG!X63=0,"",ORIG!X63)</f>
        <v/>
      </c>
      <c r="Y63" s="9">
        <f>IF(ORIG!Y63=0,"",ORIG!Y63)</f>
        <v/>
      </c>
      <c r="Z63" s="3">
        <f>SUMPRODUCT($B63:$Y63,$B$2649:$Y$2649)</f>
        <v/>
      </c>
      <c r="AA63" s="3">
        <f>SUMPRODUCT($B63:$Y63,$B$2655:$Y$2655)</f>
        <v/>
      </c>
      <c r="AC63" s="1">
        <f>A63</f>
        <v/>
      </c>
      <c r="AD63">
        <f>IF(ISNUMBER(V63),V63*($AB$1/V$2635),"")</f>
        <v/>
      </c>
      <c r="AE63">
        <f>IF(ISNUMBER(Z63),Z63*($AB$1/Z$2635),"")</f>
        <v/>
      </c>
      <c r="AF63" s="25">
        <f>IF(ISNUMBER(AD63+AE63),AD63+AE63,"")</f>
        <v/>
      </c>
      <c r="AH63" s="1">
        <f>A63</f>
        <v/>
      </c>
      <c r="AI63">
        <f>IF(ISNUMBER((1+V63)*AI62),(1+V63)*AI62,AI62)</f>
        <v/>
      </c>
      <c r="AJ63">
        <f>IF(ISNUMBER((1+Z63)*AJ62),(1+Z63)*AJ62,AJ62)</f>
        <v/>
      </c>
    </row>
    <row r="64">
      <c r="A64" s="1" t="n">
        <v>42095</v>
      </c>
      <c r="B64" s="3">
        <f>IF(ORIG!B64=0,"",ORIG!B64)</f>
        <v/>
      </c>
      <c r="C64" s="3">
        <f>IF(ORIG!C64=0,"",ORIG!C64)</f>
        <v/>
      </c>
      <c r="D64" s="3">
        <f>IF(ORIG!D64=0,"",ORIG!D64)</f>
        <v/>
      </c>
      <c r="E64" s="3">
        <f>IF(ORIG!E64=0,"",ORIG!E64)</f>
        <v/>
      </c>
      <c r="F64" s="3">
        <f>IF(ORIG!F64=0,"",ORIG!F64)</f>
        <v/>
      </c>
      <c r="G64" s="3">
        <f>IF(ORIG!G64=0,"",ORIG!G64)</f>
        <v/>
      </c>
      <c r="H64" s="3">
        <f>IF(ORIG!H64=0,"",ORIG!H64)</f>
        <v/>
      </c>
      <c r="I64" s="3">
        <f>IF(ORIG!I64=0,"",ORIG!I64)</f>
        <v/>
      </c>
      <c r="J64" s="3">
        <f>IF(ORIG!J64=0,"",ORIG!J64)</f>
        <v/>
      </c>
      <c r="K64" s="3">
        <f>IF(ORIG!K64=0,"",ORIG!K64)</f>
        <v/>
      </c>
      <c r="L64" s="3">
        <f>IF(ORIG!L64=0,"",ORIG!L64)</f>
        <v/>
      </c>
      <c r="M64" s="3">
        <f>IF(ORIG!M64=0,"",ORIG!M64)</f>
        <v/>
      </c>
      <c r="N64" s="3">
        <f>IF(ORIG!N64=0,"",ORIG!N64)</f>
        <v/>
      </c>
      <c r="O64" s="3">
        <f>IF(ORIG!O64=0,"",ORIG!O64)</f>
        <v/>
      </c>
      <c r="P64" s="3">
        <f>IF(ORIG!P64=0,"",ORIG!P64)</f>
        <v/>
      </c>
      <c r="Q64" s="3">
        <f>IF(ORIG!Q64=0,"",ORIG!Q64)</f>
        <v/>
      </c>
      <c r="R64" s="3">
        <f>IF(ORIG!R64=0,"",ORIG!R64)</f>
        <v/>
      </c>
      <c r="S64" s="3">
        <f>IF(ORIG!S64=0,"",ORIG!S64)</f>
        <v/>
      </c>
      <c r="T64" s="3">
        <f>IF(ORIG!T64=0,"",ORIG!T64)</f>
        <v/>
      </c>
      <c r="U64" s="3">
        <f>IF(ORIG!U64=0,"",ORIG!U64)</f>
        <v/>
      </c>
      <c r="V64" s="9">
        <f>IF(ORIG!V64=0,"",ORIG!V64)</f>
        <v/>
      </c>
      <c r="W64" s="9">
        <f>IF(ORIG!W64=0,"",ORIG!W64)</f>
        <v/>
      </c>
      <c r="X64" s="9">
        <f>IF(ORIG!X64=0,"",ORIG!X64)</f>
        <v/>
      </c>
      <c r="Y64" s="9">
        <f>IF(ORIG!Y64=0,"",ORIG!Y64)</f>
        <v/>
      </c>
      <c r="Z64" s="3">
        <f>SUMPRODUCT($B64:$Y64,$B$2649:$Y$2649)</f>
        <v/>
      </c>
      <c r="AA64" s="3">
        <f>SUMPRODUCT($B64:$Y64,$B$2655:$Y$2655)</f>
        <v/>
      </c>
      <c r="AC64" s="1">
        <f>A64</f>
        <v/>
      </c>
      <c r="AD64">
        <f>IF(ISNUMBER(V64),V64*($AB$1/V$2635),"")</f>
        <v/>
      </c>
      <c r="AE64">
        <f>IF(ISNUMBER(Z64),Z64*($AB$1/Z$2635),"")</f>
        <v/>
      </c>
      <c r="AF64" s="25">
        <f>IF(ISNUMBER(AD64+AE64),AD64+AE64,"")</f>
        <v/>
      </c>
      <c r="AH64" s="1">
        <f>A64</f>
        <v/>
      </c>
      <c r="AI64">
        <f>IF(ISNUMBER((1+V64)*AI63),(1+V64)*AI63,AI63)</f>
        <v/>
      </c>
      <c r="AJ64">
        <f>IF(ISNUMBER((1+Z64)*AJ63),(1+Z64)*AJ63,AJ63)</f>
        <v/>
      </c>
    </row>
    <row r="65">
      <c r="A65" s="1" t="n">
        <v>42096</v>
      </c>
      <c r="B65" s="3">
        <f>IF(ORIG!B65=0,"",ORIG!B65)</f>
        <v/>
      </c>
      <c r="C65" s="3">
        <f>IF(ORIG!C65=0,"",ORIG!C65)</f>
        <v/>
      </c>
      <c r="D65" s="3">
        <f>IF(ORIG!D65=0,"",ORIG!D65)</f>
        <v/>
      </c>
      <c r="E65" s="3">
        <f>IF(ORIG!E65=0,"",ORIG!E65)</f>
        <v/>
      </c>
      <c r="F65" s="3">
        <f>IF(ORIG!F65=0,"",ORIG!F65)</f>
        <v/>
      </c>
      <c r="G65" s="3">
        <f>IF(ORIG!G65=0,"",ORIG!G65)</f>
        <v/>
      </c>
      <c r="H65" s="3">
        <f>IF(ORIG!H65=0,"",ORIG!H65)</f>
        <v/>
      </c>
      <c r="I65" s="3">
        <f>IF(ORIG!I65=0,"",ORIG!I65)</f>
        <v/>
      </c>
      <c r="J65" s="3">
        <f>IF(ORIG!J65=0,"",ORIG!J65)</f>
        <v/>
      </c>
      <c r="K65" s="3">
        <f>IF(ORIG!K65=0,"",ORIG!K65)</f>
        <v/>
      </c>
      <c r="L65" s="3">
        <f>IF(ORIG!L65=0,"",ORIG!L65)</f>
        <v/>
      </c>
      <c r="M65" s="3">
        <f>IF(ORIG!M65=0,"",ORIG!M65)</f>
        <v/>
      </c>
      <c r="N65" s="3">
        <f>IF(ORIG!N65=0,"",ORIG!N65)</f>
        <v/>
      </c>
      <c r="O65" s="3">
        <f>IF(ORIG!O65=0,"",ORIG!O65)</f>
        <v/>
      </c>
      <c r="P65" s="3">
        <f>IF(ORIG!P65=0,"",ORIG!P65)</f>
        <v/>
      </c>
      <c r="Q65" s="3">
        <f>IF(ORIG!Q65=0,"",ORIG!Q65)</f>
        <v/>
      </c>
      <c r="R65" s="3">
        <f>IF(ORIG!R65=0,"",ORIG!R65)</f>
        <v/>
      </c>
      <c r="S65" s="3">
        <f>IF(ORIG!S65=0,"",ORIG!S65)</f>
        <v/>
      </c>
      <c r="T65" s="3">
        <f>IF(ORIG!T65=0,"",ORIG!T65)</f>
        <v/>
      </c>
      <c r="U65" s="3">
        <f>IF(ORIG!U65=0,"",ORIG!U65)</f>
        <v/>
      </c>
      <c r="V65" s="9">
        <f>IF(ORIG!V65=0,"",ORIG!V65)</f>
        <v/>
      </c>
      <c r="W65" s="9">
        <f>IF(ORIG!W65=0,"",ORIG!W65)</f>
        <v/>
      </c>
      <c r="X65" s="9">
        <f>IF(ORIG!X65=0,"",ORIG!X65)</f>
        <v/>
      </c>
      <c r="Y65" s="9">
        <f>IF(ORIG!Y65=0,"",ORIG!Y65)</f>
        <v/>
      </c>
      <c r="Z65" s="3">
        <f>SUMPRODUCT($B65:$Y65,$B$2649:$Y$2649)</f>
        <v/>
      </c>
      <c r="AA65" s="3">
        <f>SUMPRODUCT($B65:$Y65,$B$2655:$Y$2655)</f>
        <v/>
      </c>
      <c r="AC65" s="1">
        <f>A65</f>
        <v/>
      </c>
      <c r="AD65">
        <f>IF(ISNUMBER(V65),V65*($AB$1/V$2635),"")</f>
        <v/>
      </c>
      <c r="AE65">
        <f>IF(ISNUMBER(Z65),Z65*($AB$1/Z$2635),"")</f>
        <v/>
      </c>
      <c r="AF65" s="25">
        <f>IF(ISNUMBER(AD65+AE65),AD65+AE65,"")</f>
        <v/>
      </c>
      <c r="AH65" s="1">
        <f>A65</f>
        <v/>
      </c>
      <c r="AI65">
        <f>IF(ISNUMBER((1+V65)*AI64),(1+V65)*AI64,AI64)</f>
        <v/>
      </c>
      <c r="AJ65">
        <f>IF(ISNUMBER((1+Z65)*AJ64),(1+Z65)*AJ64,AJ64)</f>
        <v/>
      </c>
    </row>
    <row r="66">
      <c r="A66" s="1" t="n">
        <v>42100</v>
      </c>
      <c r="B66" s="3">
        <f>IF(ORIG!B66=0,"",ORIG!B66)</f>
        <v/>
      </c>
      <c r="C66" s="3">
        <f>IF(ORIG!C66=0,"",ORIG!C66)</f>
        <v/>
      </c>
      <c r="D66" s="3">
        <f>IF(ORIG!D66=0,"",ORIG!D66)</f>
        <v/>
      </c>
      <c r="E66" s="3">
        <f>IF(ORIG!E66=0,"",ORIG!E66)</f>
        <v/>
      </c>
      <c r="F66" s="3">
        <f>IF(ORIG!F66=0,"",ORIG!F66)</f>
        <v/>
      </c>
      <c r="G66" s="3">
        <f>IF(ORIG!G66=0,"",ORIG!G66)</f>
        <v/>
      </c>
      <c r="H66" s="3">
        <f>IF(ORIG!H66=0,"",ORIG!H66)</f>
        <v/>
      </c>
      <c r="I66" s="3">
        <f>IF(ORIG!I66=0,"",ORIG!I66)</f>
        <v/>
      </c>
      <c r="J66" s="3">
        <f>IF(ORIG!J66=0,"",ORIG!J66)</f>
        <v/>
      </c>
      <c r="K66" s="3">
        <f>IF(ORIG!K66=0,"",ORIG!K66)</f>
        <v/>
      </c>
      <c r="L66" s="3">
        <f>IF(ORIG!L66=0,"",ORIG!L66)</f>
        <v/>
      </c>
      <c r="M66" s="3">
        <f>IF(ORIG!M66=0,"",ORIG!M66)</f>
        <v/>
      </c>
      <c r="N66" s="3">
        <f>IF(ORIG!N66=0,"",ORIG!N66)</f>
        <v/>
      </c>
      <c r="O66" s="3">
        <f>IF(ORIG!O66=0,"",ORIG!O66)</f>
        <v/>
      </c>
      <c r="P66" s="3">
        <f>IF(ORIG!P66=0,"",ORIG!P66)</f>
        <v/>
      </c>
      <c r="Q66" s="3">
        <f>IF(ORIG!Q66=0,"",ORIG!Q66)</f>
        <v/>
      </c>
      <c r="R66" s="3">
        <f>IF(ORIG!R66=0,"",ORIG!R66)</f>
        <v/>
      </c>
      <c r="S66" s="3">
        <f>IF(ORIG!S66=0,"",ORIG!S66)</f>
        <v/>
      </c>
      <c r="T66" s="3">
        <f>IF(ORIG!T66=0,"",ORIG!T66)</f>
        <v/>
      </c>
      <c r="U66" s="3">
        <f>IF(ORIG!U66=0,"",ORIG!U66)</f>
        <v/>
      </c>
      <c r="V66" s="9">
        <f>IF(ORIG!V66=0,"",ORIG!V66)</f>
        <v/>
      </c>
      <c r="W66" s="9">
        <f>IF(ORIG!W66=0,"",ORIG!W66)</f>
        <v/>
      </c>
      <c r="X66" s="9">
        <f>IF(ORIG!X66=0,"",ORIG!X66)</f>
        <v/>
      </c>
      <c r="Y66" s="9">
        <f>IF(ORIG!Y66=0,"",ORIG!Y66)</f>
        <v/>
      </c>
      <c r="Z66" s="3">
        <f>SUMPRODUCT($B66:$Y66,$B$2649:$Y$2649)</f>
        <v/>
      </c>
      <c r="AA66" s="3">
        <f>SUMPRODUCT($B66:$Y66,$B$2655:$Y$2655)</f>
        <v/>
      </c>
      <c r="AC66" s="1">
        <f>A66</f>
        <v/>
      </c>
      <c r="AD66">
        <f>IF(ISNUMBER(V66),V66*($AB$1/V$2635),"")</f>
        <v/>
      </c>
      <c r="AE66">
        <f>IF(ISNUMBER(Z66),Z66*($AB$1/Z$2635),"")</f>
        <v/>
      </c>
      <c r="AF66" s="25">
        <f>IF(ISNUMBER(AD66+AE66),AD66+AE66,"")</f>
        <v/>
      </c>
      <c r="AH66" s="1">
        <f>A66</f>
        <v/>
      </c>
      <c r="AI66">
        <f>IF(ISNUMBER((1+V66)*AI65),(1+V66)*AI65,AI65)</f>
        <v/>
      </c>
      <c r="AJ66">
        <f>IF(ISNUMBER((1+Z66)*AJ65),(1+Z66)*AJ65,AJ65)</f>
        <v/>
      </c>
    </row>
    <row r="67">
      <c r="A67" s="1" t="n">
        <v>42101</v>
      </c>
      <c r="B67" s="3">
        <f>IF(ORIG!B67=0,"",ORIG!B67)</f>
        <v/>
      </c>
      <c r="C67" s="3">
        <f>IF(ORIG!C67=0,"",ORIG!C67)</f>
        <v/>
      </c>
      <c r="D67" s="3">
        <f>IF(ORIG!D67=0,"",ORIG!D67)</f>
        <v/>
      </c>
      <c r="E67" s="3">
        <f>IF(ORIG!E67=0,"",ORIG!E67)</f>
        <v/>
      </c>
      <c r="F67" s="3">
        <f>IF(ORIG!F67=0,"",ORIG!F67)</f>
        <v/>
      </c>
      <c r="G67" s="3">
        <f>IF(ORIG!G67=0,"",ORIG!G67)</f>
        <v/>
      </c>
      <c r="H67" s="3">
        <f>IF(ORIG!H67=0,"",ORIG!H67)</f>
        <v/>
      </c>
      <c r="I67" s="3">
        <f>IF(ORIG!I67=0,"",ORIG!I67)</f>
        <v/>
      </c>
      <c r="J67" s="3">
        <f>IF(ORIG!J67=0,"",ORIG!J67)</f>
        <v/>
      </c>
      <c r="K67" s="3">
        <f>IF(ORIG!K67=0,"",ORIG!K67)</f>
        <v/>
      </c>
      <c r="L67" s="3">
        <f>IF(ORIG!L67=0,"",ORIG!L67)</f>
        <v/>
      </c>
      <c r="M67" s="3">
        <f>IF(ORIG!M67=0,"",ORIG!M67)</f>
        <v/>
      </c>
      <c r="N67" s="3">
        <f>IF(ORIG!N67=0,"",ORIG!N67)</f>
        <v/>
      </c>
      <c r="O67" s="3">
        <f>IF(ORIG!O67=0,"",ORIG!O67)</f>
        <v/>
      </c>
      <c r="P67" s="3">
        <f>IF(ORIG!P67=0,"",ORIG!P67)</f>
        <v/>
      </c>
      <c r="Q67" s="3">
        <f>IF(ORIG!Q67=0,"",ORIG!Q67)</f>
        <v/>
      </c>
      <c r="R67" s="3">
        <f>IF(ORIG!R67=0,"",ORIG!R67)</f>
        <v/>
      </c>
      <c r="S67" s="3">
        <f>IF(ORIG!S67=0,"",ORIG!S67)</f>
        <v/>
      </c>
      <c r="T67" s="3">
        <f>IF(ORIG!T67=0,"",ORIG!T67)</f>
        <v/>
      </c>
      <c r="U67" s="3">
        <f>IF(ORIG!U67=0,"",ORIG!U67)</f>
        <v/>
      </c>
      <c r="V67" s="9">
        <f>IF(ORIG!V67=0,"",ORIG!V67)</f>
        <v/>
      </c>
      <c r="W67" s="9">
        <f>IF(ORIG!W67=0,"",ORIG!W67)</f>
        <v/>
      </c>
      <c r="X67" s="9">
        <f>IF(ORIG!X67=0,"",ORIG!X67)</f>
        <v/>
      </c>
      <c r="Y67" s="9">
        <f>IF(ORIG!Y67=0,"",ORIG!Y67)</f>
        <v/>
      </c>
      <c r="Z67" s="3">
        <f>SUMPRODUCT($B67:$Y67,$B$2649:$Y$2649)</f>
        <v/>
      </c>
      <c r="AA67" s="3">
        <f>SUMPRODUCT($B67:$Y67,$B$2655:$Y$2655)</f>
        <v/>
      </c>
      <c r="AC67" s="1">
        <f>A67</f>
        <v/>
      </c>
      <c r="AD67">
        <f>IF(ISNUMBER(V67),V67*($AB$1/V$2635),"")</f>
        <v/>
      </c>
      <c r="AE67">
        <f>IF(ISNUMBER(Z67),Z67*($AB$1/Z$2635),"")</f>
        <v/>
      </c>
      <c r="AF67" s="25">
        <f>IF(ISNUMBER(AD67+AE67),AD67+AE67,"")</f>
        <v/>
      </c>
      <c r="AH67" s="1">
        <f>A67</f>
        <v/>
      </c>
      <c r="AI67">
        <f>IF(ISNUMBER((1+V67)*AI66),(1+V67)*AI66,AI66)</f>
        <v/>
      </c>
      <c r="AJ67">
        <f>IF(ISNUMBER((1+Z67)*AJ66),(1+Z67)*AJ66,AJ66)</f>
        <v/>
      </c>
    </row>
    <row r="68">
      <c r="A68" s="1" t="n">
        <v>42102</v>
      </c>
      <c r="B68" s="3">
        <f>IF(ORIG!B68=0,"",ORIG!B68)</f>
        <v/>
      </c>
      <c r="C68" s="3">
        <f>IF(ORIG!C68=0,"",ORIG!C68)</f>
        <v/>
      </c>
      <c r="D68" s="3">
        <f>IF(ORIG!D68=0,"",ORIG!D68)</f>
        <v/>
      </c>
      <c r="E68" s="3">
        <f>IF(ORIG!E68=0,"",ORIG!E68)</f>
        <v/>
      </c>
      <c r="F68" s="3">
        <f>IF(ORIG!F68=0,"",ORIG!F68)</f>
        <v/>
      </c>
      <c r="G68" s="3">
        <f>IF(ORIG!G68=0,"",ORIG!G68)</f>
        <v/>
      </c>
      <c r="H68" s="3">
        <f>IF(ORIG!H68=0,"",ORIG!H68)</f>
        <v/>
      </c>
      <c r="I68" s="3">
        <f>IF(ORIG!I68=0,"",ORIG!I68)</f>
        <v/>
      </c>
      <c r="J68" s="3">
        <f>IF(ORIG!J68=0,"",ORIG!J68)</f>
        <v/>
      </c>
      <c r="K68" s="3">
        <f>IF(ORIG!K68=0,"",ORIG!K68)</f>
        <v/>
      </c>
      <c r="L68" s="3">
        <f>IF(ORIG!L68=0,"",ORIG!L68)</f>
        <v/>
      </c>
      <c r="M68" s="3">
        <f>IF(ORIG!M68=0,"",ORIG!M68)</f>
        <v/>
      </c>
      <c r="N68" s="3">
        <f>IF(ORIG!N68=0,"",ORIG!N68)</f>
        <v/>
      </c>
      <c r="O68" s="3">
        <f>IF(ORIG!O68=0,"",ORIG!O68)</f>
        <v/>
      </c>
      <c r="P68" s="3">
        <f>IF(ORIG!P68=0,"",ORIG!P68)</f>
        <v/>
      </c>
      <c r="Q68" s="3">
        <f>IF(ORIG!Q68=0,"",ORIG!Q68)</f>
        <v/>
      </c>
      <c r="R68" s="3">
        <f>IF(ORIG!R68=0,"",ORIG!R68)</f>
        <v/>
      </c>
      <c r="S68" s="3">
        <f>IF(ORIG!S68=0,"",ORIG!S68)</f>
        <v/>
      </c>
      <c r="T68" s="3">
        <f>IF(ORIG!T68=0,"",ORIG!T68)</f>
        <v/>
      </c>
      <c r="U68" s="3">
        <f>IF(ORIG!U68=0,"",ORIG!U68)</f>
        <v/>
      </c>
      <c r="V68" s="9">
        <f>IF(ORIG!V68=0,"",ORIG!V68)</f>
        <v/>
      </c>
      <c r="W68" s="9">
        <f>IF(ORIG!W68=0,"",ORIG!W68)</f>
        <v/>
      </c>
      <c r="X68" s="9">
        <f>IF(ORIG!X68=0,"",ORIG!X68)</f>
        <v/>
      </c>
      <c r="Y68" s="9">
        <f>IF(ORIG!Y68=0,"",ORIG!Y68)</f>
        <v/>
      </c>
      <c r="Z68" s="3">
        <f>SUMPRODUCT($B68:$Y68,$B$2649:$Y$2649)</f>
        <v/>
      </c>
      <c r="AA68" s="3">
        <f>SUMPRODUCT($B68:$Y68,$B$2655:$Y$2655)</f>
        <v/>
      </c>
      <c r="AC68" s="1">
        <f>A68</f>
        <v/>
      </c>
      <c r="AD68">
        <f>IF(ISNUMBER(V68),V68*($AB$1/V$2635),"")</f>
        <v/>
      </c>
      <c r="AE68">
        <f>IF(ISNUMBER(Z68),Z68*($AB$1/Z$2635),"")</f>
        <v/>
      </c>
      <c r="AF68" s="25">
        <f>IF(ISNUMBER(AD68+AE68),AD68+AE68,"")</f>
        <v/>
      </c>
      <c r="AH68" s="1">
        <f>A68</f>
        <v/>
      </c>
      <c r="AI68">
        <f>IF(ISNUMBER((1+V68)*AI67),(1+V68)*AI67,AI67)</f>
        <v/>
      </c>
      <c r="AJ68">
        <f>IF(ISNUMBER((1+Z68)*AJ67),(1+Z68)*AJ67,AJ67)</f>
        <v/>
      </c>
    </row>
    <row r="69">
      <c r="A69" s="1" t="n">
        <v>42103</v>
      </c>
      <c r="B69" s="3">
        <f>IF(ORIG!B69=0,"",ORIG!B69)</f>
        <v/>
      </c>
      <c r="C69" s="3">
        <f>IF(ORIG!C69=0,"",ORIG!C69)</f>
        <v/>
      </c>
      <c r="D69" s="3">
        <f>IF(ORIG!D69=0,"",ORIG!D69)</f>
        <v/>
      </c>
      <c r="E69" s="3">
        <f>IF(ORIG!E69=0,"",ORIG!E69)</f>
        <v/>
      </c>
      <c r="F69" s="3">
        <f>IF(ORIG!F69=0,"",ORIG!F69)</f>
        <v/>
      </c>
      <c r="G69" s="3">
        <f>IF(ORIG!G69=0,"",ORIG!G69)</f>
        <v/>
      </c>
      <c r="H69" s="3">
        <f>IF(ORIG!H69=0,"",ORIG!H69)</f>
        <v/>
      </c>
      <c r="I69" s="3">
        <f>IF(ORIG!I69=0,"",ORIG!I69)</f>
        <v/>
      </c>
      <c r="J69" s="3">
        <f>IF(ORIG!J69=0,"",ORIG!J69)</f>
        <v/>
      </c>
      <c r="K69" s="3">
        <f>IF(ORIG!K69=0,"",ORIG!K69)</f>
        <v/>
      </c>
      <c r="L69" s="3">
        <f>IF(ORIG!L69=0,"",ORIG!L69)</f>
        <v/>
      </c>
      <c r="M69" s="3">
        <f>IF(ORIG!M69=0,"",ORIG!M69)</f>
        <v/>
      </c>
      <c r="N69" s="3">
        <f>IF(ORIG!N69=0,"",ORIG!N69)</f>
        <v/>
      </c>
      <c r="O69" s="3">
        <f>IF(ORIG!O69=0,"",ORIG!O69)</f>
        <v/>
      </c>
      <c r="P69" s="3">
        <f>IF(ORIG!P69=0,"",ORIG!P69)</f>
        <v/>
      </c>
      <c r="Q69" s="3">
        <f>IF(ORIG!Q69=0,"",ORIG!Q69)</f>
        <v/>
      </c>
      <c r="R69" s="3">
        <f>IF(ORIG!R69=0,"",ORIG!R69)</f>
        <v/>
      </c>
      <c r="S69" s="3">
        <f>IF(ORIG!S69=0,"",ORIG!S69)</f>
        <v/>
      </c>
      <c r="T69" s="3">
        <f>IF(ORIG!T69=0,"",ORIG!T69)</f>
        <v/>
      </c>
      <c r="U69" s="3">
        <f>IF(ORIG!U69=0,"",ORIG!U69)</f>
        <v/>
      </c>
      <c r="V69" s="9">
        <f>IF(ORIG!V69=0,"",ORIG!V69)</f>
        <v/>
      </c>
      <c r="W69" s="9">
        <f>IF(ORIG!W69=0,"",ORIG!W69)</f>
        <v/>
      </c>
      <c r="X69" s="9">
        <f>IF(ORIG!X69=0,"",ORIG!X69)</f>
        <v/>
      </c>
      <c r="Y69" s="9">
        <f>IF(ORIG!Y69=0,"",ORIG!Y69)</f>
        <v/>
      </c>
      <c r="Z69" s="3">
        <f>SUMPRODUCT($B69:$Y69,$B$2649:$Y$2649)</f>
        <v/>
      </c>
      <c r="AA69" s="3">
        <f>SUMPRODUCT($B69:$Y69,$B$2655:$Y$2655)</f>
        <v/>
      </c>
      <c r="AC69" s="1">
        <f>A69</f>
        <v/>
      </c>
      <c r="AD69">
        <f>IF(ISNUMBER(V69),V69*($AB$1/V$2635),"")</f>
        <v/>
      </c>
      <c r="AE69">
        <f>IF(ISNUMBER(Z69),Z69*($AB$1/Z$2635),"")</f>
        <v/>
      </c>
      <c r="AF69" s="25">
        <f>IF(ISNUMBER(AD69+AE69),AD69+AE69,"")</f>
        <v/>
      </c>
      <c r="AH69" s="1">
        <f>A69</f>
        <v/>
      </c>
      <c r="AI69">
        <f>IF(ISNUMBER((1+V69)*AI68),(1+V69)*AI68,AI68)</f>
        <v/>
      </c>
      <c r="AJ69">
        <f>IF(ISNUMBER((1+Z69)*AJ68),(1+Z69)*AJ68,AJ68)</f>
        <v/>
      </c>
    </row>
    <row r="70">
      <c r="A70" s="1" t="n">
        <v>42104</v>
      </c>
      <c r="B70" s="3">
        <f>IF(ORIG!B70=0,"",ORIG!B70)</f>
        <v/>
      </c>
      <c r="C70" s="3">
        <f>IF(ORIG!C70=0,"",ORIG!C70)</f>
        <v/>
      </c>
      <c r="D70" s="3">
        <f>IF(ORIG!D70=0,"",ORIG!D70)</f>
        <v/>
      </c>
      <c r="E70" s="3">
        <f>IF(ORIG!E70=0,"",ORIG!E70)</f>
        <v/>
      </c>
      <c r="F70" s="3">
        <f>IF(ORIG!F70=0,"",ORIG!F70)</f>
        <v/>
      </c>
      <c r="G70" s="3">
        <f>IF(ORIG!G70=0,"",ORIG!G70)</f>
        <v/>
      </c>
      <c r="H70" s="3">
        <f>IF(ORIG!H70=0,"",ORIG!H70)</f>
        <v/>
      </c>
      <c r="I70" s="3">
        <f>IF(ORIG!I70=0,"",ORIG!I70)</f>
        <v/>
      </c>
      <c r="J70" s="3">
        <f>IF(ORIG!J70=0,"",ORIG!J70)</f>
        <v/>
      </c>
      <c r="K70" s="3">
        <f>IF(ORIG!K70=0,"",ORIG!K70)</f>
        <v/>
      </c>
      <c r="L70" s="3">
        <f>IF(ORIG!L70=0,"",ORIG!L70)</f>
        <v/>
      </c>
      <c r="M70" s="3">
        <f>IF(ORIG!M70=0,"",ORIG!M70)</f>
        <v/>
      </c>
      <c r="N70" s="3">
        <f>IF(ORIG!N70=0,"",ORIG!N70)</f>
        <v/>
      </c>
      <c r="O70" s="3">
        <f>IF(ORIG!O70=0,"",ORIG!O70)</f>
        <v/>
      </c>
      <c r="P70" s="3">
        <f>IF(ORIG!P70=0,"",ORIG!P70)</f>
        <v/>
      </c>
      <c r="Q70" s="3">
        <f>IF(ORIG!Q70=0,"",ORIG!Q70)</f>
        <v/>
      </c>
      <c r="R70" s="3">
        <f>IF(ORIG!R70=0,"",ORIG!R70)</f>
        <v/>
      </c>
      <c r="S70" s="3">
        <f>IF(ORIG!S70=0,"",ORIG!S70)</f>
        <v/>
      </c>
      <c r="T70" s="3">
        <f>IF(ORIG!T70=0,"",ORIG!T70)</f>
        <v/>
      </c>
      <c r="U70" s="3">
        <f>IF(ORIG!U70=0,"",ORIG!U70)</f>
        <v/>
      </c>
      <c r="V70" s="9">
        <f>IF(ORIG!V70=0,"",ORIG!V70)</f>
        <v/>
      </c>
      <c r="W70" s="9">
        <f>IF(ORIG!W70=0,"",ORIG!W70)</f>
        <v/>
      </c>
      <c r="X70" s="9">
        <f>IF(ORIG!X70=0,"",ORIG!X70)</f>
        <v/>
      </c>
      <c r="Y70" s="9">
        <f>IF(ORIG!Y70=0,"",ORIG!Y70)</f>
        <v/>
      </c>
      <c r="Z70" s="3">
        <f>SUMPRODUCT($B70:$Y70,$B$2649:$Y$2649)</f>
        <v/>
      </c>
      <c r="AA70" s="3">
        <f>SUMPRODUCT($B70:$Y70,$B$2655:$Y$2655)</f>
        <v/>
      </c>
      <c r="AC70" s="1">
        <f>A70</f>
        <v/>
      </c>
      <c r="AD70">
        <f>IF(ISNUMBER(V70),V70*($AB$1/V$2635),"")</f>
        <v/>
      </c>
      <c r="AE70">
        <f>IF(ISNUMBER(Z70),Z70*($AB$1/Z$2635),"")</f>
        <v/>
      </c>
      <c r="AF70" s="25">
        <f>IF(ISNUMBER(AD70+AE70),AD70+AE70,"")</f>
        <v/>
      </c>
      <c r="AH70" s="1">
        <f>A70</f>
        <v/>
      </c>
      <c r="AI70">
        <f>IF(ISNUMBER((1+V70)*AI69),(1+V70)*AI69,AI69)</f>
        <v/>
      </c>
      <c r="AJ70">
        <f>IF(ISNUMBER((1+Z70)*AJ69),(1+Z70)*AJ69,AJ69)</f>
        <v/>
      </c>
    </row>
    <row r="71">
      <c r="A71" s="1" t="n">
        <v>42107</v>
      </c>
      <c r="B71" s="3">
        <f>IF(ORIG!B71=0,"",ORIG!B71)</f>
        <v/>
      </c>
      <c r="C71" s="3">
        <f>IF(ORIG!C71=0,"",ORIG!C71)</f>
        <v/>
      </c>
      <c r="D71" s="3">
        <f>IF(ORIG!D71=0,"",ORIG!D71)</f>
        <v/>
      </c>
      <c r="E71" s="3">
        <f>IF(ORIG!E71=0,"",ORIG!E71)</f>
        <v/>
      </c>
      <c r="F71" s="3">
        <f>IF(ORIG!F71=0,"",ORIG!F71)</f>
        <v/>
      </c>
      <c r="G71" s="3">
        <f>IF(ORIG!G71=0,"",ORIG!G71)</f>
        <v/>
      </c>
      <c r="H71" s="3">
        <f>IF(ORIG!H71=0,"",ORIG!H71)</f>
        <v/>
      </c>
      <c r="I71" s="3">
        <f>IF(ORIG!I71=0,"",ORIG!I71)</f>
        <v/>
      </c>
      <c r="J71" s="3">
        <f>IF(ORIG!J71=0,"",ORIG!J71)</f>
        <v/>
      </c>
      <c r="K71" s="3">
        <f>IF(ORIG!K71=0,"",ORIG!K71)</f>
        <v/>
      </c>
      <c r="L71" s="3">
        <f>IF(ORIG!L71=0,"",ORIG!L71)</f>
        <v/>
      </c>
      <c r="M71" s="3">
        <f>IF(ORIG!M71=0,"",ORIG!M71)</f>
        <v/>
      </c>
      <c r="N71" s="3">
        <f>IF(ORIG!N71=0,"",ORIG!N71)</f>
        <v/>
      </c>
      <c r="O71" s="3">
        <f>IF(ORIG!O71=0,"",ORIG!O71)</f>
        <v/>
      </c>
      <c r="P71" s="3">
        <f>IF(ORIG!P71=0,"",ORIG!P71)</f>
        <v/>
      </c>
      <c r="Q71" s="3">
        <f>IF(ORIG!Q71=0,"",ORIG!Q71)</f>
        <v/>
      </c>
      <c r="R71" s="3">
        <f>IF(ORIG!R71=0,"",ORIG!R71)</f>
        <v/>
      </c>
      <c r="S71" s="3">
        <f>IF(ORIG!S71=0,"",ORIG!S71)</f>
        <v/>
      </c>
      <c r="T71" s="3">
        <f>IF(ORIG!T71=0,"",ORIG!T71)</f>
        <v/>
      </c>
      <c r="U71" s="3">
        <f>IF(ORIG!U71=0,"",ORIG!U71)</f>
        <v/>
      </c>
      <c r="V71" s="9">
        <f>IF(ORIG!V71=0,"",ORIG!V71)</f>
        <v/>
      </c>
      <c r="W71" s="9">
        <f>IF(ORIG!W71=0,"",ORIG!W71)</f>
        <v/>
      </c>
      <c r="X71" s="9">
        <f>IF(ORIG!X71=0,"",ORIG!X71)</f>
        <v/>
      </c>
      <c r="Y71" s="9">
        <f>IF(ORIG!Y71=0,"",ORIG!Y71)</f>
        <v/>
      </c>
      <c r="Z71" s="3">
        <f>SUMPRODUCT($B71:$Y71,$B$2649:$Y$2649)</f>
        <v/>
      </c>
      <c r="AA71" s="3">
        <f>SUMPRODUCT($B71:$Y71,$B$2655:$Y$2655)</f>
        <v/>
      </c>
      <c r="AC71" s="1">
        <f>A71</f>
        <v/>
      </c>
      <c r="AD71">
        <f>IF(ISNUMBER(V71),V71*($AB$1/V$2635),"")</f>
        <v/>
      </c>
      <c r="AE71">
        <f>IF(ISNUMBER(Z71),Z71*($AB$1/Z$2635),"")</f>
        <v/>
      </c>
      <c r="AF71" s="25">
        <f>IF(ISNUMBER(AD71+AE71),AD71+AE71,"")</f>
        <v/>
      </c>
      <c r="AH71" s="1">
        <f>A71</f>
        <v/>
      </c>
      <c r="AI71">
        <f>IF(ISNUMBER((1+V71)*AI70),(1+V71)*AI70,AI70)</f>
        <v/>
      </c>
      <c r="AJ71">
        <f>IF(ISNUMBER((1+Z71)*AJ70),(1+Z71)*AJ70,AJ70)</f>
        <v/>
      </c>
    </row>
    <row r="72">
      <c r="A72" s="1" t="n">
        <v>42108</v>
      </c>
      <c r="B72" s="3">
        <f>IF(ORIG!B72=0,"",ORIG!B72)</f>
        <v/>
      </c>
      <c r="C72" s="3">
        <f>IF(ORIG!C72=0,"",ORIG!C72)</f>
        <v/>
      </c>
      <c r="D72" s="3">
        <f>IF(ORIG!D72=0,"",ORIG!D72)</f>
        <v/>
      </c>
      <c r="E72" s="3">
        <f>IF(ORIG!E72=0,"",ORIG!E72)</f>
        <v/>
      </c>
      <c r="F72" s="3">
        <f>IF(ORIG!F72=0,"",ORIG!F72)</f>
        <v/>
      </c>
      <c r="G72" s="3">
        <f>IF(ORIG!G72=0,"",ORIG!G72)</f>
        <v/>
      </c>
      <c r="H72" s="3">
        <f>IF(ORIG!H72=0,"",ORIG!H72)</f>
        <v/>
      </c>
      <c r="I72" s="3">
        <f>IF(ORIG!I72=0,"",ORIG!I72)</f>
        <v/>
      </c>
      <c r="J72" s="3">
        <f>IF(ORIG!J72=0,"",ORIG!J72)</f>
        <v/>
      </c>
      <c r="K72" s="3">
        <f>IF(ORIG!K72=0,"",ORIG!K72)</f>
        <v/>
      </c>
      <c r="L72" s="3">
        <f>IF(ORIG!L72=0,"",ORIG!L72)</f>
        <v/>
      </c>
      <c r="M72" s="3">
        <f>IF(ORIG!M72=0,"",ORIG!M72)</f>
        <v/>
      </c>
      <c r="N72" s="3">
        <f>IF(ORIG!N72=0,"",ORIG!N72)</f>
        <v/>
      </c>
      <c r="O72" s="3">
        <f>IF(ORIG!O72=0,"",ORIG!O72)</f>
        <v/>
      </c>
      <c r="P72" s="3">
        <f>IF(ORIG!P72=0,"",ORIG!P72)</f>
        <v/>
      </c>
      <c r="Q72" s="3">
        <f>IF(ORIG!Q72=0,"",ORIG!Q72)</f>
        <v/>
      </c>
      <c r="R72" s="3">
        <f>IF(ORIG!R72=0,"",ORIG!R72)</f>
        <v/>
      </c>
      <c r="S72" s="3">
        <f>IF(ORIG!S72=0,"",ORIG!S72)</f>
        <v/>
      </c>
      <c r="T72" s="3">
        <f>IF(ORIG!T72=0,"",ORIG!T72)</f>
        <v/>
      </c>
      <c r="U72" s="3">
        <f>IF(ORIG!U72=0,"",ORIG!U72)</f>
        <v/>
      </c>
      <c r="V72" s="9">
        <f>IF(ORIG!V72=0,"",ORIG!V72)</f>
        <v/>
      </c>
      <c r="W72" s="9">
        <f>IF(ORIG!W72=0,"",ORIG!W72)</f>
        <v/>
      </c>
      <c r="X72" s="9">
        <f>IF(ORIG!X72=0,"",ORIG!X72)</f>
        <v/>
      </c>
      <c r="Y72" s="9">
        <f>IF(ORIG!Y72=0,"",ORIG!Y72)</f>
        <v/>
      </c>
      <c r="Z72" s="3">
        <f>SUMPRODUCT($B72:$Y72,$B$2649:$Y$2649)</f>
        <v/>
      </c>
      <c r="AA72" s="3">
        <f>SUMPRODUCT($B72:$Y72,$B$2655:$Y$2655)</f>
        <v/>
      </c>
      <c r="AC72" s="1">
        <f>A72</f>
        <v/>
      </c>
      <c r="AD72">
        <f>IF(ISNUMBER(V72),V72*($AB$1/V$2635),"")</f>
        <v/>
      </c>
      <c r="AE72">
        <f>IF(ISNUMBER(Z72),Z72*($AB$1/Z$2635),"")</f>
        <v/>
      </c>
      <c r="AF72" s="25">
        <f>IF(ISNUMBER(AD72+AE72),AD72+AE72,"")</f>
        <v/>
      </c>
      <c r="AH72" s="1">
        <f>A72</f>
        <v/>
      </c>
      <c r="AI72">
        <f>IF(ISNUMBER((1+V72)*AI71),(1+V72)*AI71,AI71)</f>
        <v/>
      </c>
      <c r="AJ72">
        <f>IF(ISNUMBER((1+Z72)*AJ71),(1+Z72)*AJ71,AJ71)</f>
        <v/>
      </c>
    </row>
    <row r="73">
      <c r="A73" s="1" t="n">
        <v>42109</v>
      </c>
      <c r="B73" s="3">
        <f>IF(ORIG!B73=0,"",ORIG!B73)</f>
        <v/>
      </c>
      <c r="C73" s="3">
        <f>IF(ORIG!C73=0,"",ORIG!C73)</f>
        <v/>
      </c>
      <c r="D73" s="3">
        <f>IF(ORIG!D73=0,"",ORIG!D73)</f>
        <v/>
      </c>
      <c r="E73" s="3">
        <f>IF(ORIG!E73=0,"",ORIG!E73)</f>
        <v/>
      </c>
      <c r="F73" s="3">
        <f>IF(ORIG!F73=0,"",ORIG!F73)</f>
        <v/>
      </c>
      <c r="G73" s="3">
        <f>IF(ORIG!G73=0,"",ORIG!G73)</f>
        <v/>
      </c>
      <c r="H73" s="3">
        <f>IF(ORIG!H73=0,"",ORIG!H73)</f>
        <v/>
      </c>
      <c r="I73" s="3">
        <f>IF(ORIG!I73=0,"",ORIG!I73)</f>
        <v/>
      </c>
      <c r="J73" s="3">
        <f>IF(ORIG!J73=0,"",ORIG!J73)</f>
        <v/>
      </c>
      <c r="K73" s="3">
        <f>IF(ORIG!K73=0,"",ORIG!K73)</f>
        <v/>
      </c>
      <c r="L73" s="3">
        <f>IF(ORIG!L73=0,"",ORIG!L73)</f>
        <v/>
      </c>
      <c r="M73" s="3">
        <f>IF(ORIG!M73=0,"",ORIG!M73)</f>
        <v/>
      </c>
      <c r="N73" s="3">
        <f>IF(ORIG!N73=0,"",ORIG!N73)</f>
        <v/>
      </c>
      <c r="O73" s="3">
        <f>IF(ORIG!O73=0,"",ORIG!O73)</f>
        <v/>
      </c>
      <c r="P73" s="3">
        <f>IF(ORIG!P73=0,"",ORIG!P73)</f>
        <v/>
      </c>
      <c r="Q73" s="3">
        <f>IF(ORIG!Q73=0,"",ORIG!Q73)</f>
        <v/>
      </c>
      <c r="R73" s="3">
        <f>IF(ORIG!R73=0,"",ORIG!R73)</f>
        <v/>
      </c>
      <c r="S73" s="3">
        <f>IF(ORIG!S73=0,"",ORIG!S73)</f>
        <v/>
      </c>
      <c r="T73" s="3">
        <f>IF(ORIG!T73=0,"",ORIG!T73)</f>
        <v/>
      </c>
      <c r="U73" s="3">
        <f>IF(ORIG!U73=0,"",ORIG!U73)</f>
        <v/>
      </c>
      <c r="V73" s="9">
        <f>IF(ORIG!V73=0,"",ORIG!V73)</f>
        <v/>
      </c>
      <c r="W73" s="9">
        <f>IF(ORIG!W73=0,"",ORIG!W73)</f>
        <v/>
      </c>
      <c r="X73" s="9">
        <f>IF(ORIG!X73=0,"",ORIG!X73)</f>
        <v/>
      </c>
      <c r="Y73" s="9">
        <f>IF(ORIG!Y73=0,"",ORIG!Y73)</f>
        <v/>
      </c>
      <c r="Z73" s="3">
        <f>SUMPRODUCT($B73:$Y73,$B$2649:$Y$2649)</f>
        <v/>
      </c>
      <c r="AA73" s="3">
        <f>SUMPRODUCT($B73:$Y73,$B$2655:$Y$2655)</f>
        <v/>
      </c>
      <c r="AC73" s="1">
        <f>A73</f>
        <v/>
      </c>
      <c r="AD73">
        <f>IF(ISNUMBER(V73),V73*($AB$1/V$2635),"")</f>
        <v/>
      </c>
      <c r="AE73">
        <f>IF(ISNUMBER(Z73),Z73*($AB$1/Z$2635),"")</f>
        <v/>
      </c>
      <c r="AF73" s="25">
        <f>IF(ISNUMBER(AD73+AE73),AD73+AE73,"")</f>
        <v/>
      </c>
      <c r="AH73" s="1">
        <f>A73</f>
        <v/>
      </c>
      <c r="AI73">
        <f>IF(ISNUMBER((1+V73)*AI72),(1+V73)*AI72,AI72)</f>
        <v/>
      </c>
      <c r="AJ73">
        <f>IF(ISNUMBER((1+Z73)*AJ72),(1+Z73)*AJ72,AJ72)</f>
        <v/>
      </c>
    </row>
    <row r="74">
      <c r="A74" s="1" t="n">
        <v>42110</v>
      </c>
      <c r="B74" s="3">
        <f>IF(ORIG!B74=0,"",ORIG!B74)</f>
        <v/>
      </c>
      <c r="C74" s="3">
        <f>IF(ORIG!C74=0,"",ORIG!C74)</f>
        <v/>
      </c>
      <c r="D74" s="3">
        <f>IF(ORIG!D74=0,"",ORIG!D74)</f>
        <v/>
      </c>
      <c r="E74" s="3">
        <f>IF(ORIG!E74=0,"",ORIG!E74)</f>
        <v/>
      </c>
      <c r="F74" s="3">
        <f>IF(ORIG!F74=0,"",ORIG!F74)</f>
        <v/>
      </c>
      <c r="G74" s="3">
        <f>IF(ORIG!G74=0,"",ORIG!G74)</f>
        <v/>
      </c>
      <c r="H74" s="3">
        <f>IF(ORIG!H74=0,"",ORIG!H74)</f>
        <v/>
      </c>
      <c r="I74" s="3">
        <f>IF(ORIG!I74=0,"",ORIG!I74)</f>
        <v/>
      </c>
      <c r="J74" s="3">
        <f>IF(ORIG!J74=0,"",ORIG!J74)</f>
        <v/>
      </c>
      <c r="K74" s="3">
        <f>IF(ORIG!K74=0,"",ORIG!K74)</f>
        <v/>
      </c>
      <c r="L74" s="3">
        <f>IF(ORIG!L74=0,"",ORIG!L74)</f>
        <v/>
      </c>
      <c r="M74" s="3">
        <f>IF(ORIG!M74=0,"",ORIG!M74)</f>
        <v/>
      </c>
      <c r="N74" s="3">
        <f>IF(ORIG!N74=0,"",ORIG!N74)</f>
        <v/>
      </c>
      <c r="O74" s="3">
        <f>IF(ORIG!O74=0,"",ORIG!O74)</f>
        <v/>
      </c>
      <c r="P74" s="3">
        <f>IF(ORIG!P74=0,"",ORIG!P74)</f>
        <v/>
      </c>
      <c r="Q74" s="3">
        <f>IF(ORIG!Q74=0,"",ORIG!Q74)</f>
        <v/>
      </c>
      <c r="R74" s="3">
        <f>IF(ORIG!R74=0,"",ORIG!R74)</f>
        <v/>
      </c>
      <c r="S74" s="3">
        <f>IF(ORIG!S74=0,"",ORIG!S74)</f>
        <v/>
      </c>
      <c r="T74" s="3">
        <f>IF(ORIG!T74=0,"",ORIG!T74)</f>
        <v/>
      </c>
      <c r="U74" s="3">
        <f>IF(ORIG!U74=0,"",ORIG!U74)</f>
        <v/>
      </c>
      <c r="V74" s="9">
        <f>IF(ORIG!V74=0,"",ORIG!V74)</f>
        <v/>
      </c>
      <c r="W74" s="9">
        <f>IF(ORIG!W74=0,"",ORIG!W74)</f>
        <v/>
      </c>
      <c r="X74" s="9">
        <f>IF(ORIG!X74=0,"",ORIG!X74)</f>
        <v/>
      </c>
      <c r="Y74" s="9">
        <f>IF(ORIG!Y74=0,"",ORIG!Y74)</f>
        <v/>
      </c>
      <c r="Z74" s="3">
        <f>SUMPRODUCT($B74:$Y74,$B$2649:$Y$2649)</f>
        <v/>
      </c>
      <c r="AA74" s="3">
        <f>SUMPRODUCT($B74:$Y74,$B$2655:$Y$2655)</f>
        <v/>
      </c>
      <c r="AC74" s="1">
        <f>A74</f>
        <v/>
      </c>
      <c r="AD74">
        <f>IF(ISNUMBER(V74),V74*($AB$1/V$2635),"")</f>
        <v/>
      </c>
      <c r="AE74">
        <f>IF(ISNUMBER(Z74),Z74*($AB$1/Z$2635),"")</f>
        <v/>
      </c>
      <c r="AF74" s="25">
        <f>IF(ISNUMBER(AD74+AE74),AD74+AE74,"")</f>
        <v/>
      </c>
      <c r="AH74" s="1">
        <f>A74</f>
        <v/>
      </c>
      <c r="AI74">
        <f>IF(ISNUMBER((1+V74)*AI73),(1+V74)*AI73,AI73)</f>
        <v/>
      </c>
      <c r="AJ74">
        <f>IF(ISNUMBER((1+Z74)*AJ73),(1+Z74)*AJ73,AJ73)</f>
        <v/>
      </c>
    </row>
    <row r="75">
      <c r="A75" s="1" t="n">
        <v>42111</v>
      </c>
      <c r="B75" s="3">
        <f>IF(ORIG!B75=0,"",ORIG!B75)</f>
        <v/>
      </c>
      <c r="C75" s="3">
        <f>IF(ORIG!C75=0,"",ORIG!C75)</f>
        <v/>
      </c>
      <c r="D75" s="3">
        <f>IF(ORIG!D75=0,"",ORIG!D75)</f>
        <v/>
      </c>
      <c r="E75" s="3">
        <f>IF(ORIG!E75=0,"",ORIG!E75)</f>
        <v/>
      </c>
      <c r="F75" s="3">
        <f>IF(ORIG!F75=0,"",ORIG!F75)</f>
        <v/>
      </c>
      <c r="G75" s="3">
        <f>IF(ORIG!G75=0,"",ORIG!G75)</f>
        <v/>
      </c>
      <c r="H75" s="3">
        <f>IF(ORIG!H75=0,"",ORIG!H75)</f>
        <v/>
      </c>
      <c r="I75" s="3">
        <f>IF(ORIG!I75=0,"",ORIG!I75)</f>
        <v/>
      </c>
      <c r="J75" s="3">
        <f>IF(ORIG!J75=0,"",ORIG!J75)</f>
        <v/>
      </c>
      <c r="K75" s="3">
        <f>IF(ORIG!K75=0,"",ORIG!K75)</f>
        <v/>
      </c>
      <c r="L75" s="3">
        <f>IF(ORIG!L75=0,"",ORIG!L75)</f>
        <v/>
      </c>
      <c r="M75" s="3">
        <f>IF(ORIG!M75=0,"",ORIG!M75)</f>
        <v/>
      </c>
      <c r="N75" s="3">
        <f>IF(ORIG!N75=0,"",ORIG!N75)</f>
        <v/>
      </c>
      <c r="O75" s="3">
        <f>IF(ORIG!O75=0,"",ORIG!O75)</f>
        <v/>
      </c>
      <c r="P75" s="3">
        <f>IF(ORIG!P75=0,"",ORIG!P75)</f>
        <v/>
      </c>
      <c r="Q75" s="3">
        <f>IF(ORIG!Q75=0,"",ORIG!Q75)</f>
        <v/>
      </c>
      <c r="R75" s="3">
        <f>IF(ORIG!R75=0,"",ORIG!R75)</f>
        <v/>
      </c>
      <c r="S75" s="3">
        <f>IF(ORIG!S75=0,"",ORIG!S75)</f>
        <v/>
      </c>
      <c r="T75" s="3">
        <f>IF(ORIG!T75=0,"",ORIG!T75)</f>
        <v/>
      </c>
      <c r="U75" s="3">
        <f>IF(ORIG!U75=0,"",ORIG!U75)</f>
        <v/>
      </c>
      <c r="V75" s="9">
        <f>IF(ORIG!V75=0,"",ORIG!V75)</f>
        <v/>
      </c>
      <c r="W75" s="9">
        <f>IF(ORIG!W75=0,"",ORIG!W75)</f>
        <v/>
      </c>
      <c r="X75" s="9">
        <f>IF(ORIG!X75=0,"",ORIG!X75)</f>
        <v/>
      </c>
      <c r="Y75" s="9">
        <f>IF(ORIG!Y75=0,"",ORIG!Y75)</f>
        <v/>
      </c>
      <c r="Z75" s="3">
        <f>SUMPRODUCT($B75:$Y75,$B$2649:$Y$2649)</f>
        <v/>
      </c>
      <c r="AA75" s="3">
        <f>SUMPRODUCT($B75:$Y75,$B$2655:$Y$2655)</f>
        <v/>
      </c>
      <c r="AC75" s="1">
        <f>A75</f>
        <v/>
      </c>
      <c r="AD75">
        <f>IF(ISNUMBER(V75),V75*($AB$1/V$2635),"")</f>
        <v/>
      </c>
      <c r="AE75">
        <f>IF(ISNUMBER(Z75),Z75*($AB$1/Z$2635),"")</f>
        <v/>
      </c>
      <c r="AF75" s="25">
        <f>IF(ISNUMBER(AD75+AE75),AD75+AE75,"")</f>
        <v/>
      </c>
      <c r="AH75" s="1">
        <f>A75</f>
        <v/>
      </c>
      <c r="AI75">
        <f>IF(ISNUMBER((1+V75)*AI74),(1+V75)*AI74,AI74)</f>
        <v/>
      </c>
      <c r="AJ75">
        <f>IF(ISNUMBER((1+Z75)*AJ74),(1+Z75)*AJ74,AJ74)</f>
        <v/>
      </c>
    </row>
    <row r="76">
      <c r="A76" s="1" t="n">
        <v>42114</v>
      </c>
      <c r="B76" s="3">
        <f>IF(ORIG!B76=0,"",ORIG!B76)</f>
        <v/>
      </c>
      <c r="C76" s="3">
        <f>IF(ORIG!C76=0,"",ORIG!C76)</f>
        <v/>
      </c>
      <c r="D76" s="3">
        <f>IF(ORIG!D76=0,"",ORIG!D76)</f>
        <v/>
      </c>
      <c r="E76" s="3">
        <f>IF(ORIG!E76=0,"",ORIG!E76)</f>
        <v/>
      </c>
      <c r="F76" s="3">
        <f>IF(ORIG!F76=0,"",ORIG!F76)</f>
        <v/>
      </c>
      <c r="G76" s="3">
        <f>IF(ORIG!G76=0,"",ORIG!G76)</f>
        <v/>
      </c>
      <c r="H76" s="3">
        <f>IF(ORIG!H76=0,"",ORIG!H76)</f>
        <v/>
      </c>
      <c r="I76" s="3">
        <f>IF(ORIG!I76=0,"",ORIG!I76)</f>
        <v/>
      </c>
      <c r="J76" s="3">
        <f>IF(ORIG!J76=0,"",ORIG!J76)</f>
        <v/>
      </c>
      <c r="K76" s="3">
        <f>IF(ORIG!K76=0,"",ORIG!K76)</f>
        <v/>
      </c>
      <c r="L76" s="3">
        <f>IF(ORIG!L76=0,"",ORIG!L76)</f>
        <v/>
      </c>
      <c r="M76" s="3">
        <f>IF(ORIG!M76=0,"",ORIG!M76)</f>
        <v/>
      </c>
      <c r="N76" s="3">
        <f>IF(ORIG!N76=0,"",ORIG!N76)</f>
        <v/>
      </c>
      <c r="O76" s="3">
        <f>IF(ORIG!O76=0,"",ORIG!O76)</f>
        <v/>
      </c>
      <c r="P76" s="3">
        <f>IF(ORIG!P76=0,"",ORIG!P76)</f>
        <v/>
      </c>
      <c r="Q76" s="3">
        <f>IF(ORIG!Q76=0,"",ORIG!Q76)</f>
        <v/>
      </c>
      <c r="R76" s="3">
        <f>IF(ORIG!R76=0,"",ORIG!R76)</f>
        <v/>
      </c>
      <c r="S76" s="3">
        <f>IF(ORIG!S76=0,"",ORIG!S76)</f>
        <v/>
      </c>
      <c r="T76" s="3">
        <f>IF(ORIG!T76=0,"",ORIG!T76)</f>
        <v/>
      </c>
      <c r="U76" s="3">
        <f>IF(ORIG!U76=0,"",ORIG!U76)</f>
        <v/>
      </c>
      <c r="V76" s="9">
        <f>IF(ORIG!V76=0,"",ORIG!V76)</f>
        <v/>
      </c>
      <c r="W76" s="9">
        <f>IF(ORIG!W76=0,"",ORIG!W76)</f>
        <v/>
      </c>
      <c r="X76" s="9">
        <f>IF(ORIG!X76=0,"",ORIG!X76)</f>
        <v/>
      </c>
      <c r="Y76" s="9">
        <f>IF(ORIG!Y76=0,"",ORIG!Y76)</f>
        <v/>
      </c>
      <c r="Z76" s="3">
        <f>SUMPRODUCT($B76:$Y76,$B$2649:$Y$2649)</f>
        <v/>
      </c>
      <c r="AA76" s="3">
        <f>SUMPRODUCT($B76:$Y76,$B$2655:$Y$2655)</f>
        <v/>
      </c>
      <c r="AC76" s="1">
        <f>A76</f>
        <v/>
      </c>
      <c r="AD76">
        <f>IF(ISNUMBER(V76),V76*($AB$1/V$2635),"")</f>
        <v/>
      </c>
      <c r="AE76">
        <f>IF(ISNUMBER(Z76),Z76*($AB$1/Z$2635),"")</f>
        <v/>
      </c>
      <c r="AF76" s="25">
        <f>IF(ISNUMBER(AD76+AE76),AD76+AE76,"")</f>
        <v/>
      </c>
      <c r="AH76" s="1">
        <f>A76</f>
        <v/>
      </c>
      <c r="AI76">
        <f>IF(ISNUMBER((1+V76)*AI75),(1+V76)*AI75,AI75)</f>
        <v/>
      </c>
      <c r="AJ76">
        <f>IF(ISNUMBER((1+Z76)*AJ75),(1+Z76)*AJ75,AJ75)</f>
        <v/>
      </c>
    </row>
    <row r="77">
      <c r="A77" s="1" t="n">
        <v>42115</v>
      </c>
      <c r="B77" s="3">
        <f>IF(ORIG!B77=0,"",ORIG!B77)</f>
        <v/>
      </c>
      <c r="C77" s="3">
        <f>IF(ORIG!C77=0,"",ORIG!C77)</f>
        <v/>
      </c>
      <c r="D77" s="3">
        <f>IF(ORIG!D77=0,"",ORIG!D77)</f>
        <v/>
      </c>
      <c r="E77" s="3">
        <f>IF(ORIG!E77=0,"",ORIG!E77)</f>
        <v/>
      </c>
      <c r="F77" s="3">
        <f>IF(ORIG!F77=0,"",ORIG!F77)</f>
        <v/>
      </c>
      <c r="G77" s="3">
        <f>IF(ORIG!G77=0,"",ORIG!G77)</f>
        <v/>
      </c>
      <c r="H77" s="3">
        <f>IF(ORIG!H77=0,"",ORIG!H77)</f>
        <v/>
      </c>
      <c r="I77" s="3">
        <f>IF(ORIG!I77=0,"",ORIG!I77)</f>
        <v/>
      </c>
      <c r="J77" s="3">
        <f>IF(ORIG!J77=0,"",ORIG!J77)</f>
        <v/>
      </c>
      <c r="K77" s="3">
        <f>IF(ORIG!K77=0,"",ORIG!K77)</f>
        <v/>
      </c>
      <c r="L77" s="3">
        <f>IF(ORIG!L77=0,"",ORIG!L77)</f>
        <v/>
      </c>
      <c r="M77" s="3">
        <f>IF(ORIG!M77=0,"",ORIG!M77)</f>
        <v/>
      </c>
      <c r="N77" s="3">
        <f>IF(ORIG!N77=0,"",ORIG!N77)</f>
        <v/>
      </c>
      <c r="O77" s="3">
        <f>IF(ORIG!O77=0,"",ORIG!O77)</f>
        <v/>
      </c>
      <c r="P77" s="3">
        <f>IF(ORIG!P77=0,"",ORIG!P77)</f>
        <v/>
      </c>
      <c r="Q77" s="3">
        <f>IF(ORIG!Q77=0,"",ORIG!Q77)</f>
        <v/>
      </c>
      <c r="R77" s="3">
        <f>IF(ORIG!R77=0,"",ORIG!R77)</f>
        <v/>
      </c>
      <c r="S77" s="3">
        <f>IF(ORIG!S77=0,"",ORIG!S77)</f>
        <v/>
      </c>
      <c r="T77" s="3">
        <f>IF(ORIG!T77=0,"",ORIG!T77)</f>
        <v/>
      </c>
      <c r="U77" s="3">
        <f>IF(ORIG!U77=0,"",ORIG!U77)</f>
        <v/>
      </c>
      <c r="V77" s="9">
        <f>IF(ORIG!V77=0,"",ORIG!V77)</f>
        <v/>
      </c>
      <c r="W77" s="9">
        <f>IF(ORIG!W77=0,"",ORIG!W77)</f>
        <v/>
      </c>
      <c r="X77" s="9">
        <f>IF(ORIG!X77=0,"",ORIG!X77)</f>
        <v/>
      </c>
      <c r="Y77" s="9">
        <f>IF(ORIG!Y77=0,"",ORIG!Y77)</f>
        <v/>
      </c>
      <c r="Z77" s="3">
        <f>SUMPRODUCT($B77:$Y77,$B$2649:$Y$2649)</f>
        <v/>
      </c>
      <c r="AA77" s="3">
        <f>SUMPRODUCT($B77:$Y77,$B$2655:$Y$2655)</f>
        <v/>
      </c>
      <c r="AC77" s="1">
        <f>A77</f>
        <v/>
      </c>
      <c r="AD77">
        <f>IF(ISNUMBER(V77),V77*($AB$1/V$2635),"")</f>
        <v/>
      </c>
      <c r="AE77">
        <f>IF(ISNUMBER(Z77),Z77*($AB$1/Z$2635),"")</f>
        <v/>
      </c>
      <c r="AF77" s="25">
        <f>IF(ISNUMBER(AD77+AE77),AD77+AE77,"")</f>
        <v/>
      </c>
      <c r="AH77" s="1">
        <f>A77</f>
        <v/>
      </c>
      <c r="AI77">
        <f>IF(ISNUMBER((1+V77)*AI76),(1+V77)*AI76,AI76)</f>
        <v/>
      </c>
      <c r="AJ77">
        <f>IF(ISNUMBER((1+Z77)*AJ76),(1+Z77)*AJ76,AJ76)</f>
        <v/>
      </c>
    </row>
    <row r="78">
      <c r="A78" s="1" t="n">
        <v>42116</v>
      </c>
      <c r="B78" s="3">
        <f>IF(ORIG!B78=0,"",ORIG!B78)</f>
        <v/>
      </c>
      <c r="C78" s="3">
        <f>IF(ORIG!C78=0,"",ORIG!C78)</f>
        <v/>
      </c>
      <c r="D78" s="3">
        <f>IF(ORIG!D78=0,"",ORIG!D78)</f>
        <v/>
      </c>
      <c r="E78" s="3">
        <f>IF(ORIG!E78=0,"",ORIG!E78)</f>
        <v/>
      </c>
      <c r="F78" s="3">
        <f>IF(ORIG!F78=0,"",ORIG!F78)</f>
        <v/>
      </c>
      <c r="G78" s="3">
        <f>IF(ORIG!G78=0,"",ORIG!G78)</f>
        <v/>
      </c>
      <c r="H78" s="3">
        <f>IF(ORIG!H78=0,"",ORIG!H78)</f>
        <v/>
      </c>
      <c r="I78" s="3">
        <f>IF(ORIG!I78=0,"",ORIG!I78)</f>
        <v/>
      </c>
      <c r="J78" s="3">
        <f>IF(ORIG!J78=0,"",ORIG!J78)</f>
        <v/>
      </c>
      <c r="K78" s="3">
        <f>IF(ORIG!K78=0,"",ORIG!K78)</f>
        <v/>
      </c>
      <c r="L78" s="3">
        <f>IF(ORIG!L78=0,"",ORIG!L78)</f>
        <v/>
      </c>
      <c r="M78" s="3">
        <f>IF(ORIG!M78=0,"",ORIG!M78)</f>
        <v/>
      </c>
      <c r="N78" s="3">
        <f>IF(ORIG!N78=0,"",ORIG!N78)</f>
        <v/>
      </c>
      <c r="O78" s="3">
        <f>IF(ORIG!O78=0,"",ORIG!O78)</f>
        <v/>
      </c>
      <c r="P78" s="3">
        <f>IF(ORIG!P78=0,"",ORIG!P78)</f>
        <v/>
      </c>
      <c r="Q78" s="3">
        <f>IF(ORIG!Q78=0,"",ORIG!Q78)</f>
        <v/>
      </c>
      <c r="R78" s="3">
        <f>IF(ORIG!R78=0,"",ORIG!R78)</f>
        <v/>
      </c>
      <c r="S78" s="3">
        <f>IF(ORIG!S78=0,"",ORIG!S78)</f>
        <v/>
      </c>
      <c r="T78" s="3">
        <f>IF(ORIG!T78=0,"",ORIG!T78)</f>
        <v/>
      </c>
      <c r="U78" s="3">
        <f>IF(ORIG!U78=0,"",ORIG!U78)</f>
        <v/>
      </c>
      <c r="V78" s="9">
        <f>IF(ORIG!V78=0,"",ORIG!V78)</f>
        <v/>
      </c>
      <c r="W78" s="9">
        <f>IF(ORIG!W78=0,"",ORIG!W78)</f>
        <v/>
      </c>
      <c r="X78" s="9">
        <f>IF(ORIG!X78=0,"",ORIG!X78)</f>
        <v/>
      </c>
      <c r="Y78" s="9">
        <f>IF(ORIG!Y78=0,"",ORIG!Y78)</f>
        <v/>
      </c>
      <c r="Z78" s="3">
        <f>SUMPRODUCT($B78:$Y78,$B$2649:$Y$2649)</f>
        <v/>
      </c>
      <c r="AA78" s="3">
        <f>SUMPRODUCT($B78:$Y78,$B$2655:$Y$2655)</f>
        <v/>
      </c>
      <c r="AC78" s="1">
        <f>A78</f>
        <v/>
      </c>
      <c r="AD78">
        <f>IF(ISNUMBER(V78),V78*($AB$1/V$2635),"")</f>
        <v/>
      </c>
      <c r="AE78">
        <f>IF(ISNUMBER(Z78),Z78*($AB$1/Z$2635),"")</f>
        <v/>
      </c>
      <c r="AF78" s="25">
        <f>IF(ISNUMBER(AD78+AE78),AD78+AE78,"")</f>
        <v/>
      </c>
      <c r="AH78" s="1">
        <f>A78</f>
        <v/>
      </c>
      <c r="AI78">
        <f>IF(ISNUMBER((1+V78)*AI77),(1+V78)*AI77,AI77)</f>
        <v/>
      </c>
      <c r="AJ78">
        <f>IF(ISNUMBER((1+Z78)*AJ77),(1+Z78)*AJ77,AJ77)</f>
        <v/>
      </c>
    </row>
    <row r="79">
      <c r="A79" s="1" t="n">
        <v>42117</v>
      </c>
      <c r="B79" s="3">
        <f>IF(ORIG!B79=0,"",ORIG!B79)</f>
        <v/>
      </c>
      <c r="C79" s="3">
        <f>IF(ORIG!C79=0,"",ORIG!C79)</f>
        <v/>
      </c>
      <c r="D79" s="3">
        <f>IF(ORIG!D79=0,"",ORIG!D79)</f>
        <v/>
      </c>
      <c r="E79" s="3">
        <f>IF(ORIG!E79=0,"",ORIG!E79)</f>
        <v/>
      </c>
      <c r="F79" s="3">
        <f>IF(ORIG!F79=0,"",ORIG!F79)</f>
        <v/>
      </c>
      <c r="G79" s="3">
        <f>IF(ORIG!G79=0,"",ORIG!G79)</f>
        <v/>
      </c>
      <c r="H79" s="3">
        <f>IF(ORIG!H79=0,"",ORIG!H79)</f>
        <v/>
      </c>
      <c r="I79" s="3">
        <f>IF(ORIG!I79=0,"",ORIG!I79)</f>
        <v/>
      </c>
      <c r="J79" s="3">
        <f>IF(ORIG!J79=0,"",ORIG!J79)</f>
        <v/>
      </c>
      <c r="K79" s="3">
        <f>IF(ORIG!K79=0,"",ORIG!K79)</f>
        <v/>
      </c>
      <c r="L79" s="3">
        <f>IF(ORIG!L79=0,"",ORIG!L79)</f>
        <v/>
      </c>
      <c r="M79" s="3">
        <f>IF(ORIG!M79=0,"",ORIG!M79)</f>
        <v/>
      </c>
      <c r="N79" s="3">
        <f>IF(ORIG!N79=0,"",ORIG!N79)</f>
        <v/>
      </c>
      <c r="O79" s="3">
        <f>IF(ORIG!O79=0,"",ORIG!O79)</f>
        <v/>
      </c>
      <c r="P79" s="3">
        <f>IF(ORIG!P79=0,"",ORIG!P79)</f>
        <v/>
      </c>
      <c r="Q79" s="3">
        <f>IF(ORIG!Q79=0,"",ORIG!Q79)</f>
        <v/>
      </c>
      <c r="R79" s="3">
        <f>IF(ORIG!R79=0,"",ORIG!R79)</f>
        <v/>
      </c>
      <c r="S79" s="3">
        <f>IF(ORIG!S79=0,"",ORIG!S79)</f>
        <v/>
      </c>
      <c r="T79" s="3">
        <f>IF(ORIG!T79=0,"",ORIG!T79)</f>
        <v/>
      </c>
      <c r="U79" s="3">
        <f>IF(ORIG!U79=0,"",ORIG!U79)</f>
        <v/>
      </c>
      <c r="V79" s="9">
        <f>IF(ORIG!V79=0,"",ORIG!V79)</f>
        <v/>
      </c>
      <c r="W79" s="9">
        <f>IF(ORIG!W79=0,"",ORIG!W79)</f>
        <v/>
      </c>
      <c r="X79" s="9">
        <f>IF(ORIG!X79=0,"",ORIG!X79)</f>
        <v/>
      </c>
      <c r="Y79" s="9">
        <f>IF(ORIG!Y79=0,"",ORIG!Y79)</f>
        <v/>
      </c>
      <c r="Z79" s="3">
        <f>SUMPRODUCT($B79:$Y79,$B$2649:$Y$2649)</f>
        <v/>
      </c>
      <c r="AA79" s="3">
        <f>SUMPRODUCT($B79:$Y79,$B$2655:$Y$2655)</f>
        <v/>
      </c>
      <c r="AC79" s="1">
        <f>A79</f>
        <v/>
      </c>
      <c r="AD79">
        <f>IF(ISNUMBER(V79),V79*($AB$1/V$2635),"")</f>
        <v/>
      </c>
      <c r="AE79">
        <f>IF(ISNUMBER(Z79),Z79*($AB$1/Z$2635),"")</f>
        <v/>
      </c>
      <c r="AF79" s="25">
        <f>IF(ISNUMBER(AD79+AE79),AD79+AE79,"")</f>
        <v/>
      </c>
      <c r="AH79" s="1">
        <f>A79</f>
        <v/>
      </c>
      <c r="AI79">
        <f>IF(ISNUMBER((1+V79)*AI78),(1+V79)*AI78,AI78)</f>
        <v/>
      </c>
      <c r="AJ79">
        <f>IF(ISNUMBER((1+Z79)*AJ78),(1+Z79)*AJ78,AJ78)</f>
        <v/>
      </c>
    </row>
    <row r="80">
      <c r="A80" s="1" t="n">
        <v>42118</v>
      </c>
      <c r="B80" s="3">
        <f>IF(ORIG!B80=0,"",ORIG!B80)</f>
        <v/>
      </c>
      <c r="C80" s="3">
        <f>IF(ORIG!C80=0,"",ORIG!C80)</f>
        <v/>
      </c>
      <c r="D80" s="3">
        <f>IF(ORIG!D80=0,"",ORIG!D80)</f>
        <v/>
      </c>
      <c r="E80" s="3">
        <f>IF(ORIG!E80=0,"",ORIG!E80)</f>
        <v/>
      </c>
      <c r="F80" s="3">
        <f>IF(ORIG!F80=0,"",ORIG!F80)</f>
        <v/>
      </c>
      <c r="G80" s="3">
        <f>IF(ORIG!G80=0,"",ORIG!G80)</f>
        <v/>
      </c>
      <c r="H80" s="3">
        <f>IF(ORIG!H80=0,"",ORIG!H80)</f>
        <v/>
      </c>
      <c r="I80" s="3">
        <f>IF(ORIG!I80=0,"",ORIG!I80)</f>
        <v/>
      </c>
      <c r="J80" s="3">
        <f>IF(ORIG!J80=0,"",ORIG!J80)</f>
        <v/>
      </c>
      <c r="K80" s="3">
        <f>IF(ORIG!K80=0,"",ORIG!K80)</f>
        <v/>
      </c>
      <c r="L80" s="3">
        <f>IF(ORIG!L80=0,"",ORIG!L80)</f>
        <v/>
      </c>
      <c r="M80" s="3">
        <f>IF(ORIG!M80=0,"",ORIG!M80)</f>
        <v/>
      </c>
      <c r="N80" s="3">
        <f>IF(ORIG!N80=0,"",ORIG!N80)</f>
        <v/>
      </c>
      <c r="O80" s="3">
        <f>IF(ORIG!O80=0,"",ORIG!O80)</f>
        <v/>
      </c>
      <c r="P80" s="3">
        <f>IF(ORIG!P80=0,"",ORIG!P80)</f>
        <v/>
      </c>
      <c r="Q80" s="3">
        <f>IF(ORIG!Q80=0,"",ORIG!Q80)</f>
        <v/>
      </c>
      <c r="R80" s="3">
        <f>IF(ORIG!R80=0,"",ORIG!R80)</f>
        <v/>
      </c>
      <c r="S80" s="3">
        <f>IF(ORIG!S80=0,"",ORIG!S80)</f>
        <v/>
      </c>
      <c r="T80" s="3">
        <f>IF(ORIG!T80=0,"",ORIG!T80)</f>
        <v/>
      </c>
      <c r="U80" s="3">
        <f>IF(ORIG!U80=0,"",ORIG!U80)</f>
        <v/>
      </c>
      <c r="V80" s="9">
        <f>IF(ORIG!V80=0,"",ORIG!V80)</f>
        <v/>
      </c>
      <c r="W80" s="9">
        <f>IF(ORIG!W80=0,"",ORIG!W80)</f>
        <v/>
      </c>
      <c r="X80" s="9">
        <f>IF(ORIG!X80=0,"",ORIG!X80)</f>
        <v/>
      </c>
      <c r="Y80" s="9">
        <f>IF(ORIG!Y80=0,"",ORIG!Y80)</f>
        <v/>
      </c>
      <c r="Z80" s="3">
        <f>SUMPRODUCT($B80:$Y80,$B$2649:$Y$2649)</f>
        <v/>
      </c>
      <c r="AA80" s="3">
        <f>SUMPRODUCT($B80:$Y80,$B$2655:$Y$2655)</f>
        <v/>
      </c>
      <c r="AC80" s="1">
        <f>A80</f>
        <v/>
      </c>
      <c r="AD80">
        <f>IF(ISNUMBER(V80),V80*($AB$1/V$2635),"")</f>
        <v/>
      </c>
      <c r="AE80">
        <f>IF(ISNUMBER(Z80),Z80*($AB$1/Z$2635),"")</f>
        <v/>
      </c>
      <c r="AF80" s="25">
        <f>IF(ISNUMBER(AD80+AE80),AD80+AE80,"")</f>
        <v/>
      </c>
      <c r="AH80" s="1">
        <f>A80</f>
        <v/>
      </c>
      <c r="AI80">
        <f>IF(ISNUMBER((1+V80)*AI79),(1+V80)*AI79,AI79)</f>
        <v/>
      </c>
      <c r="AJ80">
        <f>IF(ISNUMBER((1+Z80)*AJ79),(1+Z80)*AJ79,AJ79)</f>
        <v/>
      </c>
    </row>
    <row r="81">
      <c r="A81" s="1" t="n">
        <v>42121</v>
      </c>
      <c r="B81" s="3">
        <f>IF(ORIG!B81=0,"",ORIG!B81)</f>
        <v/>
      </c>
      <c r="C81" s="3">
        <f>IF(ORIG!C81=0,"",ORIG!C81)</f>
        <v/>
      </c>
      <c r="D81" s="3">
        <f>IF(ORIG!D81=0,"",ORIG!D81)</f>
        <v/>
      </c>
      <c r="E81" s="3">
        <f>IF(ORIG!E81=0,"",ORIG!E81)</f>
        <v/>
      </c>
      <c r="F81" s="3">
        <f>IF(ORIG!F81=0,"",ORIG!F81)</f>
        <v/>
      </c>
      <c r="G81" s="3">
        <f>IF(ORIG!G81=0,"",ORIG!G81)</f>
        <v/>
      </c>
      <c r="H81" s="3">
        <f>IF(ORIG!H81=0,"",ORIG!H81)</f>
        <v/>
      </c>
      <c r="I81" s="3">
        <f>IF(ORIG!I81=0,"",ORIG!I81)</f>
        <v/>
      </c>
      <c r="J81" s="3">
        <f>IF(ORIG!J81=0,"",ORIG!J81)</f>
        <v/>
      </c>
      <c r="K81" s="3">
        <f>IF(ORIG!K81=0,"",ORIG!K81)</f>
        <v/>
      </c>
      <c r="L81" s="3">
        <f>IF(ORIG!L81=0,"",ORIG!L81)</f>
        <v/>
      </c>
      <c r="M81" s="3">
        <f>IF(ORIG!M81=0,"",ORIG!M81)</f>
        <v/>
      </c>
      <c r="N81" s="3">
        <f>IF(ORIG!N81=0,"",ORIG!N81)</f>
        <v/>
      </c>
      <c r="O81" s="3">
        <f>IF(ORIG!O81=0,"",ORIG!O81)</f>
        <v/>
      </c>
      <c r="P81" s="3">
        <f>IF(ORIG!P81=0,"",ORIG!P81)</f>
        <v/>
      </c>
      <c r="Q81" s="3">
        <f>IF(ORIG!Q81=0,"",ORIG!Q81)</f>
        <v/>
      </c>
      <c r="R81" s="3">
        <f>IF(ORIG!R81=0,"",ORIG!R81)</f>
        <v/>
      </c>
      <c r="S81" s="3">
        <f>IF(ORIG!S81=0,"",ORIG!S81)</f>
        <v/>
      </c>
      <c r="T81" s="3">
        <f>IF(ORIG!T81=0,"",ORIG!T81)</f>
        <v/>
      </c>
      <c r="U81" s="3">
        <f>IF(ORIG!U81=0,"",ORIG!U81)</f>
        <v/>
      </c>
      <c r="V81" s="9">
        <f>IF(ORIG!V81=0,"",ORIG!V81)</f>
        <v/>
      </c>
      <c r="W81" s="9">
        <f>IF(ORIG!W81=0,"",ORIG!W81)</f>
        <v/>
      </c>
      <c r="X81" s="9">
        <f>IF(ORIG!X81=0,"",ORIG!X81)</f>
        <v/>
      </c>
      <c r="Y81" s="9">
        <f>IF(ORIG!Y81=0,"",ORIG!Y81)</f>
        <v/>
      </c>
      <c r="Z81" s="3">
        <f>SUMPRODUCT($B81:$Y81,$B$2649:$Y$2649)</f>
        <v/>
      </c>
      <c r="AA81" s="3">
        <f>SUMPRODUCT($B81:$Y81,$B$2655:$Y$2655)</f>
        <v/>
      </c>
      <c r="AC81" s="1">
        <f>A81</f>
        <v/>
      </c>
      <c r="AD81">
        <f>IF(ISNUMBER(V81),V81*($AB$1/V$2635),"")</f>
        <v/>
      </c>
      <c r="AE81">
        <f>IF(ISNUMBER(Z81),Z81*($AB$1/Z$2635),"")</f>
        <v/>
      </c>
      <c r="AF81" s="25">
        <f>IF(ISNUMBER(AD81+AE81),AD81+AE81,"")</f>
        <v/>
      </c>
      <c r="AH81" s="1">
        <f>A81</f>
        <v/>
      </c>
      <c r="AI81">
        <f>IF(ISNUMBER((1+V81)*AI80),(1+V81)*AI80,AI80)</f>
        <v/>
      </c>
      <c r="AJ81">
        <f>IF(ISNUMBER((1+Z81)*AJ80),(1+Z81)*AJ80,AJ80)</f>
        <v/>
      </c>
    </row>
    <row r="82">
      <c r="A82" s="1" t="n">
        <v>42122</v>
      </c>
      <c r="B82" s="3">
        <f>IF(ORIG!B82=0,"",ORIG!B82)</f>
        <v/>
      </c>
      <c r="C82" s="3">
        <f>IF(ORIG!C82=0,"",ORIG!C82)</f>
        <v/>
      </c>
      <c r="D82" s="3">
        <f>IF(ORIG!D82=0,"",ORIG!D82)</f>
        <v/>
      </c>
      <c r="E82" s="3">
        <f>IF(ORIG!E82=0,"",ORIG!E82)</f>
        <v/>
      </c>
      <c r="F82" s="3">
        <f>IF(ORIG!F82=0,"",ORIG!F82)</f>
        <v/>
      </c>
      <c r="G82" s="3">
        <f>IF(ORIG!G82=0,"",ORIG!G82)</f>
        <v/>
      </c>
      <c r="H82" s="3">
        <f>IF(ORIG!H82=0,"",ORIG!H82)</f>
        <v/>
      </c>
      <c r="I82" s="3">
        <f>IF(ORIG!I82=0,"",ORIG!I82)</f>
        <v/>
      </c>
      <c r="J82" s="3">
        <f>IF(ORIG!J82=0,"",ORIG!J82)</f>
        <v/>
      </c>
      <c r="K82" s="3">
        <f>IF(ORIG!K82=0,"",ORIG!K82)</f>
        <v/>
      </c>
      <c r="L82" s="3">
        <f>IF(ORIG!L82=0,"",ORIG!L82)</f>
        <v/>
      </c>
      <c r="M82" s="3">
        <f>IF(ORIG!M82=0,"",ORIG!M82)</f>
        <v/>
      </c>
      <c r="N82" s="3">
        <f>IF(ORIG!N82=0,"",ORIG!N82)</f>
        <v/>
      </c>
      <c r="O82" s="3">
        <f>IF(ORIG!O82=0,"",ORIG!O82)</f>
        <v/>
      </c>
      <c r="P82" s="3">
        <f>IF(ORIG!P82=0,"",ORIG!P82)</f>
        <v/>
      </c>
      <c r="Q82" s="3">
        <f>IF(ORIG!Q82=0,"",ORIG!Q82)</f>
        <v/>
      </c>
      <c r="R82" s="3">
        <f>IF(ORIG!R82=0,"",ORIG!R82)</f>
        <v/>
      </c>
      <c r="S82" s="3">
        <f>IF(ORIG!S82=0,"",ORIG!S82)</f>
        <v/>
      </c>
      <c r="T82" s="3">
        <f>IF(ORIG!T82=0,"",ORIG!T82)</f>
        <v/>
      </c>
      <c r="U82" s="3">
        <f>IF(ORIG!U82=0,"",ORIG!U82)</f>
        <v/>
      </c>
      <c r="V82" s="9">
        <f>IF(ORIG!V82=0,"",ORIG!V82)</f>
        <v/>
      </c>
      <c r="W82" s="9">
        <f>IF(ORIG!W82=0,"",ORIG!W82)</f>
        <v/>
      </c>
      <c r="X82" s="9">
        <f>IF(ORIG!X82=0,"",ORIG!X82)</f>
        <v/>
      </c>
      <c r="Y82" s="9">
        <f>IF(ORIG!Y82=0,"",ORIG!Y82)</f>
        <v/>
      </c>
      <c r="Z82" s="3">
        <f>SUMPRODUCT($B82:$Y82,$B$2649:$Y$2649)</f>
        <v/>
      </c>
      <c r="AA82" s="3">
        <f>SUMPRODUCT($B82:$Y82,$B$2655:$Y$2655)</f>
        <v/>
      </c>
      <c r="AC82" s="1">
        <f>A82</f>
        <v/>
      </c>
      <c r="AD82">
        <f>IF(ISNUMBER(V82),V82*($AB$1/V$2635),"")</f>
        <v/>
      </c>
      <c r="AE82">
        <f>IF(ISNUMBER(Z82),Z82*($AB$1/Z$2635),"")</f>
        <v/>
      </c>
      <c r="AF82" s="25">
        <f>IF(ISNUMBER(AD82+AE82),AD82+AE82,"")</f>
        <v/>
      </c>
      <c r="AH82" s="1">
        <f>A82</f>
        <v/>
      </c>
      <c r="AI82">
        <f>IF(ISNUMBER((1+V82)*AI81),(1+V82)*AI81,AI81)</f>
        <v/>
      </c>
      <c r="AJ82">
        <f>IF(ISNUMBER((1+Z82)*AJ81),(1+Z82)*AJ81,AJ81)</f>
        <v/>
      </c>
    </row>
    <row r="83">
      <c r="A83" s="1" t="n">
        <v>42123</v>
      </c>
      <c r="B83" s="3">
        <f>IF(ORIG!B83=0,"",ORIG!B83)</f>
        <v/>
      </c>
      <c r="C83" s="3">
        <f>IF(ORIG!C83=0,"",ORIG!C83)</f>
        <v/>
      </c>
      <c r="D83" s="3">
        <f>IF(ORIG!D83=0,"",ORIG!D83)</f>
        <v/>
      </c>
      <c r="E83" s="3">
        <f>IF(ORIG!E83=0,"",ORIG!E83)</f>
        <v/>
      </c>
      <c r="F83" s="3">
        <f>IF(ORIG!F83=0,"",ORIG!F83)</f>
        <v/>
      </c>
      <c r="G83" s="3">
        <f>IF(ORIG!G83=0,"",ORIG!G83)</f>
        <v/>
      </c>
      <c r="H83" s="3">
        <f>IF(ORIG!H83=0,"",ORIG!H83)</f>
        <v/>
      </c>
      <c r="I83" s="3">
        <f>IF(ORIG!I83=0,"",ORIG!I83)</f>
        <v/>
      </c>
      <c r="J83" s="3">
        <f>IF(ORIG!J83=0,"",ORIG!J83)</f>
        <v/>
      </c>
      <c r="K83" s="3">
        <f>IF(ORIG!K83=0,"",ORIG!K83)</f>
        <v/>
      </c>
      <c r="L83" s="3">
        <f>IF(ORIG!L83=0,"",ORIG!L83)</f>
        <v/>
      </c>
      <c r="M83" s="3">
        <f>IF(ORIG!M83=0,"",ORIG!M83)</f>
        <v/>
      </c>
      <c r="N83" s="3">
        <f>IF(ORIG!N83=0,"",ORIG!N83)</f>
        <v/>
      </c>
      <c r="O83" s="3">
        <f>IF(ORIG!O83=0,"",ORIG!O83)</f>
        <v/>
      </c>
      <c r="P83" s="3">
        <f>IF(ORIG!P83=0,"",ORIG!P83)</f>
        <v/>
      </c>
      <c r="Q83" s="3">
        <f>IF(ORIG!Q83=0,"",ORIG!Q83)</f>
        <v/>
      </c>
      <c r="R83" s="3">
        <f>IF(ORIG!R83=0,"",ORIG!R83)</f>
        <v/>
      </c>
      <c r="S83" s="3">
        <f>IF(ORIG!S83=0,"",ORIG!S83)</f>
        <v/>
      </c>
      <c r="T83" s="3">
        <f>IF(ORIG!T83=0,"",ORIG!T83)</f>
        <v/>
      </c>
      <c r="U83" s="3">
        <f>IF(ORIG!U83=0,"",ORIG!U83)</f>
        <v/>
      </c>
      <c r="V83" s="9">
        <f>IF(ORIG!V83=0,"",ORIG!V83)</f>
        <v/>
      </c>
      <c r="W83" s="9">
        <f>IF(ORIG!W83=0,"",ORIG!W83)</f>
        <v/>
      </c>
      <c r="X83" s="9">
        <f>IF(ORIG!X83=0,"",ORIG!X83)</f>
        <v/>
      </c>
      <c r="Y83" s="9">
        <f>IF(ORIG!Y83=0,"",ORIG!Y83)</f>
        <v/>
      </c>
      <c r="Z83" s="3">
        <f>SUMPRODUCT($B83:$Y83,$B$2649:$Y$2649)</f>
        <v/>
      </c>
      <c r="AA83" s="3">
        <f>SUMPRODUCT($B83:$Y83,$B$2655:$Y$2655)</f>
        <v/>
      </c>
      <c r="AC83" s="1">
        <f>A83</f>
        <v/>
      </c>
      <c r="AD83">
        <f>IF(ISNUMBER(V83),V83*($AB$1/V$2635),"")</f>
        <v/>
      </c>
      <c r="AE83">
        <f>IF(ISNUMBER(Z83),Z83*($AB$1/Z$2635),"")</f>
        <v/>
      </c>
      <c r="AF83" s="25">
        <f>IF(ISNUMBER(AD83+AE83),AD83+AE83,"")</f>
        <v/>
      </c>
      <c r="AH83" s="1">
        <f>A83</f>
        <v/>
      </c>
      <c r="AI83">
        <f>IF(ISNUMBER((1+V83)*AI82),(1+V83)*AI82,AI82)</f>
        <v/>
      </c>
      <c r="AJ83">
        <f>IF(ISNUMBER((1+Z83)*AJ82),(1+Z83)*AJ82,AJ82)</f>
        <v/>
      </c>
    </row>
    <row r="84">
      <c r="A84" s="1" t="n">
        <v>42124</v>
      </c>
      <c r="B84" s="3">
        <f>IF(ORIG!B84=0,"",ORIG!B84)</f>
        <v/>
      </c>
      <c r="C84" s="3">
        <f>IF(ORIG!C84=0,"",ORIG!C84)</f>
        <v/>
      </c>
      <c r="D84" s="3">
        <f>IF(ORIG!D84=0,"",ORIG!D84)</f>
        <v/>
      </c>
      <c r="E84" s="3">
        <f>IF(ORIG!E84=0,"",ORIG!E84)</f>
        <v/>
      </c>
      <c r="F84" s="3">
        <f>IF(ORIG!F84=0,"",ORIG!F84)</f>
        <v/>
      </c>
      <c r="G84" s="3">
        <f>IF(ORIG!G84=0,"",ORIG!G84)</f>
        <v/>
      </c>
      <c r="H84" s="3">
        <f>IF(ORIG!H84=0,"",ORIG!H84)</f>
        <v/>
      </c>
      <c r="I84" s="3">
        <f>IF(ORIG!I84=0,"",ORIG!I84)</f>
        <v/>
      </c>
      <c r="J84" s="3">
        <f>IF(ORIG!J84=0,"",ORIG!J84)</f>
        <v/>
      </c>
      <c r="K84" s="3">
        <f>IF(ORIG!K84=0,"",ORIG!K84)</f>
        <v/>
      </c>
      <c r="L84" s="3">
        <f>IF(ORIG!L84=0,"",ORIG!L84)</f>
        <v/>
      </c>
      <c r="M84" s="3">
        <f>IF(ORIG!M84=0,"",ORIG!M84)</f>
        <v/>
      </c>
      <c r="N84" s="3">
        <f>IF(ORIG!N84=0,"",ORIG!N84)</f>
        <v/>
      </c>
      <c r="O84" s="3">
        <f>IF(ORIG!O84=0,"",ORIG!O84)</f>
        <v/>
      </c>
      <c r="P84" s="3">
        <f>IF(ORIG!P84=0,"",ORIG!P84)</f>
        <v/>
      </c>
      <c r="Q84" s="3">
        <f>IF(ORIG!Q84=0,"",ORIG!Q84)</f>
        <v/>
      </c>
      <c r="R84" s="3">
        <f>IF(ORIG!R84=0,"",ORIG!R84)</f>
        <v/>
      </c>
      <c r="S84" s="3">
        <f>IF(ORIG!S84=0,"",ORIG!S84)</f>
        <v/>
      </c>
      <c r="T84" s="3">
        <f>IF(ORIG!T84=0,"",ORIG!T84)</f>
        <v/>
      </c>
      <c r="U84" s="3">
        <f>IF(ORIG!U84=0,"",ORIG!U84)</f>
        <v/>
      </c>
      <c r="V84" s="9">
        <f>IF(ORIG!V84=0,"",ORIG!V84)</f>
        <v/>
      </c>
      <c r="W84" s="9">
        <f>IF(ORIG!W84=0,"",ORIG!W84)</f>
        <v/>
      </c>
      <c r="X84" s="9">
        <f>IF(ORIG!X84=0,"",ORIG!X84)</f>
        <v/>
      </c>
      <c r="Y84" s="9">
        <f>IF(ORIG!Y84=0,"",ORIG!Y84)</f>
        <v/>
      </c>
      <c r="Z84" s="3">
        <f>SUMPRODUCT($B84:$Y84,$B$2649:$Y$2649)</f>
        <v/>
      </c>
      <c r="AA84" s="3">
        <f>SUMPRODUCT($B84:$Y84,$B$2655:$Y$2655)</f>
        <v/>
      </c>
      <c r="AC84" s="1">
        <f>A84</f>
        <v/>
      </c>
      <c r="AD84">
        <f>IF(ISNUMBER(V84),V84*($AB$1/V$2635),"")</f>
        <v/>
      </c>
      <c r="AE84">
        <f>IF(ISNUMBER(Z84),Z84*($AB$1/Z$2635),"")</f>
        <v/>
      </c>
      <c r="AF84" s="25">
        <f>IF(ISNUMBER(AD84+AE84),AD84+AE84,"")</f>
        <v/>
      </c>
      <c r="AH84" s="1">
        <f>A84</f>
        <v/>
      </c>
      <c r="AI84">
        <f>IF(ISNUMBER((1+V84)*AI83),(1+V84)*AI83,AI83)</f>
        <v/>
      </c>
      <c r="AJ84">
        <f>IF(ISNUMBER((1+Z84)*AJ83),(1+Z84)*AJ83,AJ83)</f>
        <v/>
      </c>
    </row>
    <row r="85">
      <c r="A85" s="1" t="n">
        <v>42125</v>
      </c>
      <c r="B85" s="3">
        <f>IF(ORIG!B85=0,"",ORIG!B85)</f>
        <v/>
      </c>
      <c r="C85" s="3">
        <f>IF(ORIG!C85=0,"",ORIG!C85)</f>
        <v/>
      </c>
      <c r="D85" s="3">
        <f>IF(ORIG!D85=0,"",ORIG!D85)</f>
        <v/>
      </c>
      <c r="E85" s="3">
        <f>IF(ORIG!E85=0,"",ORIG!E85)</f>
        <v/>
      </c>
      <c r="F85" s="3">
        <f>IF(ORIG!F85=0,"",ORIG!F85)</f>
        <v/>
      </c>
      <c r="G85" s="3">
        <f>IF(ORIG!G85=0,"",ORIG!G85)</f>
        <v/>
      </c>
      <c r="H85" s="3">
        <f>IF(ORIG!H85=0,"",ORIG!H85)</f>
        <v/>
      </c>
      <c r="I85" s="3">
        <f>IF(ORIG!I85=0,"",ORIG!I85)</f>
        <v/>
      </c>
      <c r="J85" s="3">
        <f>IF(ORIG!J85=0,"",ORIG!J85)</f>
        <v/>
      </c>
      <c r="K85" s="3">
        <f>IF(ORIG!K85=0,"",ORIG!K85)</f>
        <v/>
      </c>
      <c r="L85" s="3">
        <f>IF(ORIG!L85=0,"",ORIG!L85)</f>
        <v/>
      </c>
      <c r="M85" s="3">
        <f>IF(ORIG!M85=0,"",ORIG!M85)</f>
        <v/>
      </c>
      <c r="N85" s="3">
        <f>IF(ORIG!N85=0,"",ORIG!N85)</f>
        <v/>
      </c>
      <c r="O85" s="3">
        <f>IF(ORIG!O85=0,"",ORIG!O85)</f>
        <v/>
      </c>
      <c r="P85" s="3">
        <f>IF(ORIG!P85=0,"",ORIG!P85)</f>
        <v/>
      </c>
      <c r="Q85" s="3">
        <f>IF(ORIG!Q85=0,"",ORIG!Q85)</f>
        <v/>
      </c>
      <c r="R85" s="3">
        <f>IF(ORIG!R85=0,"",ORIG!R85)</f>
        <v/>
      </c>
      <c r="S85" s="3">
        <f>IF(ORIG!S85=0,"",ORIG!S85)</f>
        <v/>
      </c>
      <c r="T85" s="3">
        <f>IF(ORIG!T85=0,"",ORIG!T85)</f>
        <v/>
      </c>
      <c r="U85" s="3">
        <f>IF(ORIG!U85=0,"",ORIG!U85)</f>
        <v/>
      </c>
      <c r="V85" s="9">
        <f>IF(ORIG!V85=0,"",ORIG!V85)</f>
        <v/>
      </c>
      <c r="W85" s="9">
        <f>IF(ORIG!W85=0,"",ORIG!W85)</f>
        <v/>
      </c>
      <c r="X85" s="9">
        <f>IF(ORIG!X85=0,"",ORIG!X85)</f>
        <v/>
      </c>
      <c r="Y85" s="9">
        <f>IF(ORIG!Y85=0,"",ORIG!Y85)</f>
        <v/>
      </c>
      <c r="Z85" s="3">
        <f>SUMPRODUCT($B85:$Y85,$B$2649:$Y$2649)</f>
        <v/>
      </c>
      <c r="AA85" s="3">
        <f>SUMPRODUCT($B85:$Y85,$B$2655:$Y$2655)</f>
        <v/>
      </c>
      <c r="AC85" s="1">
        <f>A85</f>
        <v/>
      </c>
      <c r="AD85">
        <f>IF(ISNUMBER(V85),V85*($AB$1/V$2635),"")</f>
        <v/>
      </c>
      <c r="AE85">
        <f>IF(ISNUMBER(Z85),Z85*($AB$1/Z$2635),"")</f>
        <v/>
      </c>
      <c r="AF85" s="25">
        <f>IF(ISNUMBER(AD85+AE85),AD85+AE85,"")</f>
        <v/>
      </c>
      <c r="AH85" s="1">
        <f>A85</f>
        <v/>
      </c>
      <c r="AI85">
        <f>IF(ISNUMBER((1+V85)*AI84),(1+V85)*AI84,AI84)</f>
        <v/>
      </c>
      <c r="AJ85">
        <f>IF(ISNUMBER((1+Z85)*AJ84),(1+Z85)*AJ84,AJ84)</f>
        <v/>
      </c>
    </row>
    <row r="86">
      <c r="A86" s="1" t="n">
        <v>42128</v>
      </c>
      <c r="B86" s="3">
        <f>IF(ORIG!B86=0,"",ORIG!B86)</f>
        <v/>
      </c>
      <c r="C86" s="3">
        <f>IF(ORIG!C86=0,"",ORIG!C86)</f>
        <v/>
      </c>
      <c r="D86" s="3">
        <f>IF(ORIG!D86=0,"",ORIG!D86)</f>
        <v/>
      </c>
      <c r="E86" s="3">
        <f>IF(ORIG!E86=0,"",ORIG!E86)</f>
        <v/>
      </c>
      <c r="F86" s="3">
        <f>IF(ORIG!F86=0,"",ORIG!F86)</f>
        <v/>
      </c>
      <c r="G86" s="3">
        <f>IF(ORIG!G86=0,"",ORIG!G86)</f>
        <v/>
      </c>
      <c r="H86" s="3">
        <f>IF(ORIG!H86=0,"",ORIG!H86)</f>
        <v/>
      </c>
      <c r="I86" s="3">
        <f>IF(ORIG!I86=0,"",ORIG!I86)</f>
        <v/>
      </c>
      <c r="J86" s="3">
        <f>IF(ORIG!J86=0,"",ORIG!J86)</f>
        <v/>
      </c>
      <c r="K86" s="3">
        <f>IF(ORIG!K86=0,"",ORIG!K86)</f>
        <v/>
      </c>
      <c r="L86" s="3">
        <f>IF(ORIG!L86=0,"",ORIG!L86)</f>
        <v/>
      </c>
      <c r="M86" s="3">
        <f>IF(ORIG!M86=0,"",ORIG!M86)</f>
        <v/>
      </c>
      <c r="N86" s="3">
        <f>IF(ORIG!N86=0,"",ORIG!N86)</f>
        <v/>
      </c>
      <c r="O86" s="3">
        <f>IF(ORIG!O86=0,"",ORIG!O86)</f>
        <v/>
      </c>
      <c r="P86" s="3">
        <f>IF(ORIG!P86=0,"",ORIG!P86)</f>
        <v/>
      </c>
      <c r="Q86" s="3">
        <f>IF(ORIG!Q86=0,"",ORIG!Q86)</f>
        <v/>
      </c>
      <c r="R86" s="3">
        <f>IF(ORIG!R86=0,"",ORIG!R86)</f>
        <v/>
      </c>
      <c r="S86" s="3">
        <f>IF(ORIG!S86=0,"",ORIG!S86)</f>
        <v/>
      </c>
      <c r="T86" s="3">
        <f>IF(ORIG!T86=0,"",ORIG!T86)</f>
        <v/>
      </c>
      <c r="U86" s="3">
        <f>IF(ORIG!U86=0,"",ORIG!U86)</f>
        <v/>
      </c>
      <c r="V86" s="9">
        <f>IF(ORIG!V86=0,"",ORIG!V86)</f>
        <v/>
      </c>
      <c r="W86" s="9">
        <f>IF(ORIG!W86=0,"",ORIG!W86)</f>
        <v/>
      </c>
      <c r="X86" s="9">
        <f>IF(ORIG!X86=0,"",ORIG!X86)</f>
        <v/>
      </c>
      <c r="Y86" s="9">
        <f>IF(ORIG!Y86=0,"",ORIG!Y86)</f>
        <v/>
      </c>
      <c r="Z86" s="3">
        <f>SUMPRODUCT($B86:$Y86,$B$2649:$Y$2649)</f>
        <v/>
      </c>
      <c r="AA86" s="3">
        <f>SUMPRODUCT($B86:$Y86,$B$2655:$Y$2655)</f>
        <v/>
      </c>
      <c r="AC86" s="1">
        <f>A86</f>
        <v/>
      </c>
      <c r="AD86">
        <f>IF(ISNUMBER(V86),V86*($AB$1/V$2635),"")</f>
        <v/>
      </c>
      <c r="AE86">
        <f>IF(ISNUMBER(Z86),Z86*($AB$1/Z$2635),"")</f>
        <v/>
      </c>
      <c r="AF86" s="25">
        <f>IF(ISNUMBER(AD86+AE86),AD86+AE86,"")</f>
        <v/>
      </c>
      <c r="AH86" s="1">
        <f>A86</f>
        <v/>
      </c>
      <c r="AI86">
        <f>IF(ISNUMBER((1+V86)*AI85),(1+V86)*AI85,AI85)</f>
        <v/>
      </c>
      <c r="AJ86">
        <f>IF(ISNUMBER((1+Z86)*AJ85),(1+Z86)*AJ85,AJ85)</f>
        <v/>
      </c>
    </row>
    <row r="87">
      <c r="A87" s="1" t="n">
        <v>42129</v>
      </c>
      <c r="B87" s="3">
        <f>IF(ORIG!B87=0,"",ORIG!B87)</f>
        <v/>
      </c>
      <c r="C87" s="3">
        <f>IF(ORIG!C87=0,"",ORIG!C87)</f>
        <v/>
      </c>
      <c r="D87" s="3">
        <f>IF(ORIG!D87=0,"",ORIG!D87)</f>
        <v/>
      </c>
      <c r="E87" s="3">
        <f>IF(ORIG!E87=0,"",ORIG!E87)</f>
        <v/>
      </c>
      <c r="F87" s="3">
        <f>IF(ORIG!F87=0,"",ORIG!F87)</f>
        <v/>
      </c>
      <c r="G87" s="3">
        <f>IF(ORIG!G87=0,"",ORIG!G87)</f>
        <v/>
      </c>
      <c r="H87" s="3">
        <f>IF(ORIG!H87=0,"",ORIG!H87)</f>
        <v/>
      </c>
      <c r="I87" s="3">
        <f>IF(ORIG!I87=0,"",ORIG!I87)</f>
        <v/>
      </c>
      <c r="J87" s="3">
        <f>IF(ORIG!J87=0,"",ORIG!J87)</f>
        <v/>
      </c>
      <c r="K87" s="3">
        <f>IF(ORIG!K87=0,"",ORIG!K87)</f>
        <v/>
      </c>
      <c r="L87" s="3">
        <f>IF(ORIG!L87=0,"",ORIG!L87)</f>
        <v/>
      </c>
      <c r="M87" s="3">
        <f>IF(ORIG!M87=0,"",ORIG!M87)</f>
        <v/>
      </c>
      <c r="N87" s="3">
        <f>IF(ORIG!N87=0,"",ORIG!N87)</f>
        <v/>
      </c>
      <c r="O87" s="3">
        <f>IF(ORIG!O87=0,"",ORIG!O87)</f>
        <v/>
      </c>
      <c r="P87" s="3">
        <f>IF(ORIG!P87=0,"",ORIG!P87)</f>
        <v/>
      </c>
      <c r="Q87" s="3">
        <f>IF(ORIG!Q87=0,"",ORIG!Q87)</f>
        <v/>
      </c>
      <c r="R87" s="3">
        <f>IF(ORIG!R87=0,"",ORIG!R87)</f>
        <v/>
      </c>
      <c r="S87" s="3">
        <f>IF(ORIG!S87=0,"",ORIG!S87)</f>
        <v/>
      </c>
      <c r="T87" s="3">
        <f>IF(ORIG!T87=0,"",ORIG!T87)</f>
        <v/>
      </c>
      <c r="U87" s="3">
        <f>IF(ORIG!U87=0,"",ORIG!U87)</f>
        <v/>
      </c>
      <c r="V87" s="9">
        <f>IF(ORIG!V87=0,"",ORIG!V87)</f>
        <v/>
      </c>
      <c r="W87" s="9">
        <f>IF(ORIG!W87=0,"",ORIG!W87)</f>
        <v/>
      </c>
      <c r="X87" s="9">
        <f>IF(ORIG!X87=0,"",ORIG!X87)</f>
        <v/>
      </c>
      <c r="Y87" s="9">
        <f>IF(ORIG!Y87=0,"",ORIG!Y87)</f>
        <v/>
      </c>
      <c r="Z87" s="3">
        <f>SUMPRODUCT($B87:$Y87,$B$2649:$Y$2649)</f>
        <v/>
      </c>
      <c r="AA87" s="3">
        <f>SUMPRODUCT($B87:$Y87,$B$2655:$Y$2655)</f>
        <v/>
      </c>
      <c r="AC87" s="1">
        <f>A87</f>
        <v/>
      </c>
      <c r="AD87">
        <f>IF(ISNUMBER(V87),V87*($AB$1/V$2635),"")</f>
        <v/>
      </c>
      <c r="AE87">
        <f>IF(ISNUMBER(Z87),Z87*($AB$1/Z$2635),"")</f>
        <v/>
      </c>
      <c r="AF87" s="25">
        <f>IF(ISNUMBER(AD87+AE87),AD87+AE87,"")</f>
        <v/>
      </c>
      <c r="AH87" s="1">
        <f>A87</f>
        <v/>
      </c>
      <c r="AI87">
        <f>IF(ISNUMBER((1+V87)*AI86),(1+V87)*AI86,AI86)</f>
        <v/>
      </c>
      <c r="AJ87">
        <f>IF(ISNUMBER((1+Z87)*AJ86),(1+Z87)*AJ86,AJ86)</f>
        <v/>
      </c>
    </row>
    <row r="88">
      <c r="A88" s="1" t="n">
        <v>42130</v>
      </c>
      <c r="B88" s="3">
        <f>IF(ORIG!B88=0,"",ORIG!B88)</f>
        <v/>
      </c>
      <c r="C88" s="3">
        <f>IF(ORIG!C88=0,"",ORIG!C88)</f>
        <v/>
      </c>
      <c r="D88" s="3">
        <f>IF(ORIG!D88=0,"",ORIG!D88)</f>
        <v/>
      </c>
      <c r="E88" s="3">
        <f>IF(ORIG!E88=0,"",ORIG!E88)</f>
        <v/>
      </c>
      <c r="F88" s="3">
        <f>IF(ORIG!F88=0,"",ORIG!F88)</f>
        <v/>
      </c>
      <c r="G88" s="3">
        <f>IF(ORIG!G88=0,"",ORIG!G88)</f>
        <v/>
      </c>
      <c r="H88" s="3">
        <f>IF(ORIG!H88=0,"",ORIG!H88)</f>
        <v/>
      </c>
      <c r="I88" s="3">
        <f>IF(ORIG!I88=0,"",ORIG!I88)</f>
        <v/>
      </c>
      <c r="J88" s="3">
        <f>IF(ORIG!J88=0,"",ORIG!J88)</f>
        <v/>
      </c>
      <c r="K88" s="3">
        <f>IF(ORIG!K88=0,"",ORIG!K88)</f>
        <v/>
      </c>
      <c r="L88" s="3">
        <f>IF(ORIG!L88=0,"",ORIG!L88)</f>
        <v/>
      </c>
      <c r="M88" s="3">
        <f>IF(ORIG!M88=0,"",ORIG!M88)</f>
        <v/>
      </c>
      <c r="N88" s="3">
        <f>IF(ORIG!N88=0,"",ORIG!N88)</f>
        <v/>
      </c>
      <c r="O88" s="3">
        <f>IF(ORIG!O88=0,"",ORIG!O88)</f>
        <v/>
      </c>
      <c r="P88" s="3">
        <f>IF(ORIG!P88=0,"",ORIG!P88)</f>
        <v/>
      </c>
      <c r="Q88" s="3">
        <f>IF(ORIG!Q88=0,"",ORIG!Q88)</f>
        <v/>
      </c>
      <c r="R88" s="3">
        <f>IF(ORIG!R88=0,"",ORIG!R88)</f>
        <v/>
      </c>
      <c r="S88" s="3">
        <f>IF(ORIG!S88=0,"",ORIG!S88)</f>
        <v/>
      </c>
      <c r="T88" s="3">
        <f>IF(ORIG!T88=0,"",ORIG!T88)</f>
        <v/>
      </c>
      <c r="U88" s="3">
        <f>IF(ORIG!U88=0,"",ORIG!U88)</f>
        <v/>
      </c>
      <c r="V88" s="9">
        <f>IF(ORIG!V88=0,"",ORIG!V88)</f>
        <v/>
      </c>
      <c r="W88" s="9">
        <f>IF(ORIG!W88=0,"",ORIG!W88)</f>
        <v/>
      </c>
      <c r="X88" s="9">
        <f>IF(ORIG!X88=0,"",ORIG!X88)</f>
        <v/>
      </c>
      <c r="Y88" s="9">
        <f>IF(ORIG!Y88=0,"",ORIG!Y88)</f>
        <v/>
      </c>
      <c r="Z88" s="3">
        <f>SUMPRODUCT($B88:$Y88,$B$2649:$Y$2649)</f>
        <v/>
      </c>
      <c r="AA88" s="3">
        <f>SUMPRODUCT($B88:$Y88,$B$2655:$Y$2655)</f>
        <v/>
      </c>
      <c r="AC88" s="1">
        <f>A88</f>
        <v/>
      </c>
      <c r="AD88">
        <f>IF(ISNUMBER(V88),V88*($AB$1/V$2635),"")</f>
        <v/>
      </c>
      <c r="AE88">
        <f>IF(ISNUMBER(Z88),Z88*($AB$1/Z$2635),"")</f>
        <v/>
      </c>
      <c r="AF88" s="25">
        <f>IF(ISNUMBER(AD88+AE88),AD88+AE88,"")</f>
        <v/>
      </c>
      <c r="AH88" s="1">
        <f>A88</f>
        <v/>
      </c>
      <c r="AI88">
        <f>IF(ISNUMBER((1+V88)*AI87),(1+V88)*AI87,AI87)</f>
        <v/>
      </c>
      <c r="AJ88">
        <f>IF(ISNUMBER((1+Z88)*AJ87),(1+Z88)*AJ87,AJ87)</f>
        <v/>
      </c>
    </row>
    <row r="89">
      <c r="A89" s="1" t="n">
        <v>42131</v>
      </c>
      <c r="B89" s="3">
        <f>IF(ORIG!B89=0,"",ORIG!B89)</f>
        <v/>
      </c>
      <c r="C89" s="3">
        <f>IF(ORIG!C89=0,"",ORIG!C89)</f>
        <v/>
      </c>
      <c r="D89" s="3">
        <f>IF(ORIG!D89=0,"",ORIG!D89)</f>
        <v/>
      </c>
      <c r="E89" s="3">
        <f>IF(ORIG!E89=0,"",ORIG!E89)</f>
        <v/>
      </c>
      <c r="F89" s="3">
        <f>IF(ORIG!F89=0,"",ORIG!F89)</f>
        <v/>
      </c>
      <c r="G89" s="3">
        <f>IF(ORIG!G89=0,"",ORIG!G89)</f>
        <v/>
      </c>
      <c r="H89" s="3">
        <f>IF(ORIG!H89=0,"",ORIG!H89)</f>
        <v/>
      </c>
      <c r="I89" s="3">
        <f>IF(ORIG!I89=0,"",ORIG!I89)</f>
        <v/>
      </c>
      <c r="J89" s="3">
        <f>IF(ORIG!J89=0,"",ORIG!J89)</f>
        <v/>
      </c>
      <c r="K89" s="3">
        <f>IF(ORIG!K89=0,"",ORIG!K89)</f>
        <v/>
      </c>
      <c r="L89" s="3">
        <f>IF(ORIG!L89=0,"",ORIG!L89)</f>
        <v/>
      </c>
      <c r="M89" s="3">
        <f>IF(ORIG!M89=0,"",ORIG!M89)</f>
        <v/>
      </c>
      <c r="N89" s="3">
        <f>IF(ORIG!N89=0,"",ORIG!N89)</f>
        <v/>
      </c>
      <c r="O89" s="3">
        <f>IF(ORIG!O89=0,"",ORIG!O89)</f>
        <v/>
      </c>
      <c r="P89" s="3">
        <f>IF(ORIG!P89=0,"",ORIG!P89)</f>
        <v/>
      </c>
      <c r="Q89" s="3">
        <f>IF(ORIG!Q89=0,"",ORIG!Q89)</f>
        <v/>
      </c>
      <c r="R89" s="3">
        <f>IF(ORIG!R89=0,"",ORIG!R89)</f>
        <v/>
      </c>
      <c r="S89" s="3">
        <f>IF(ORIG!S89=0,"",ORIG!S89)</f>
        <v/>
      </c>
      <c r="T89" s="3">
        <f>IF(ORIG!T89=0,"",ORIG!T89)</f>
        <v/>
      </c>
      <c r="U89" s="3">
        <f>IF(ORIG!U89=0,"",ORIG!U89)</f>
        <v/>
      </c>
      <c r="V89" s="9">
        <f>IF(ORIG!V89=0,"",ORIG!V89)</f>
        <v/>
      </c>
      <c r="W89" s="9">
        <f>IF(ORIG!W89=0,"",ORIG!W89)</f>
        <v/>
      </c>
      <c r="X89" s="9">
        <f>IF(ORIG!X89=0,"",ORIG!X89)</f>
        <v/>
      </c>
      <c r="Y89" s="9">
        <f>IF(ORIG!Y89=0,"",ORIG!Y89)</f>
        <v/>
      </c>
      <c r="Z89" s="3">
        <f>SUMPRODUCT($B89:$Y89,$B$2649:$Y$2649)</f>
        <v/>
      </c>
      <c r="AA89" s="3">
        <f>SUMPRODUCT($B89:$Y89,$B$2655:$Y$2655)</f>
        <v/>
      </c>
      <c r="AC89" s="1">
        <f>A89</f>
        <v/>
      </c>
      <c r="AD89">
        <f>IF(ISNUMBER(V89),V89*($AB$1/V$2635),"")</f>
        <v/>
      </c>
      <c r="AE89">
        <f>IF(ISNUMBER(Z89),Z89*($AB$1/Z$2635),"")</f>
        <v/>
      </c>
      <c r="AF89" s="25">
        <f>IF(ISNUMBER(AD89+AE89),AD89+AE89,"")</f>
        <v/>
      </c>
      <c r="AH89" s="1">
        <f>A89</f>
        <v/>
      </c>
      <c r="AI89">
        <f>IF(ISNUMBER((1+V89)*AI88),(1+V89)*AI88,AI88)</f>
        <v/>
      </c>
      <c r="AJ89">
        <f>IF(ISNUMBER((1+Z89)*AJ88),(1+Z89)*AJ88,AJ88)</f>
        <v/>
      </c>
    </row>
    <row r="90">
      <c r="A90" s="1" t="n">
        <v>42132</v>
      </c>
      <c r="B90" s="3">
        <f>IF(ORIG!B90=0,"",ORIG!B90)</f>
        <v/>
      </c>
      <c r="C90" s="3">
        <f>IF(ORIG!C90=0,"",ORIG!C90)</f>
        <v/>
      </c>
      <c r="D90" s="3">
        <f>IF(ORIG!D90=0,"",ORIG!D90)</f>
        <v/>
      </c>
      <c r="E90" s="3">
        <f>IF(ORIG!E90=0,"",ORIG!E90)</f>
        <v/>
      </c>
      <c r="F90" s="3">
        <f>IF(ORIG!F90=0,"",ORIG!F90)</f>
        <v/>
      </c>
      <c r="G90" s="3">
        <f>IF(ORIG!G90=0,"",ORIG!G90)</f>
        <v/>
      </c>
      <c r="H90" s="3">
        <f>IF(ORIG!H90=0,"",ORIG!H90)</f>
        <v/>
      </c>
      <c r="I90" s="3">
        <f>IF(ORIG!I90=0,"",ORIG!I90)</f>
        <v/>
      </c>
      <c r="J90" s="3">
        <f>IF(ORIG!J90=0,"",ORIG!J90)</f>
        <v/>
      </c>
      <c r="K90" s="3">
        <f>IF(ORIG!K90=0,"",ORIG!K90)</f>
        <v/>
      </c>
      <c r="L90" s="3">
        <f>IF(ORIG!L90=0,"",ORIG!L90)</f>
        <v/>
      </c>
      <c r="M90" s="3">
        <f>IF(ORIG!M90=0,"",ORIG!M90)</f>
        <v/>
      </c>
      <c r="N90" s="3">
        <f>IF(ORIG!N90=0,"",ORIG!N90)</f>
        <v/>
      </c>
      <c r="O90" s="3">
        <f>IF(ORIG!O90=0,"",ORIG!O90)</f>
        <v/>
      </c>
      <c r="P90" s="3">
        <f>IF(ORIG!P90=0,"",ORIG!P90)</f>
        <v/>
      </c>
      <c r="Q90" s="3">
        <f>IF(ORIG!Q90=0,"",ORIG!Q90)</f>
        <v/>
      </c>
      <c r="R90" s="3">
        <f>IF(ORIG!R90=0,"",ORIG!R90)</f>
        <v/>
      </c>
      <c r="S90" s="3">
        <f>IF(ORIG!S90=0,"",ORIG!S90)</f>
        <v/>
      </c>
      <c r="T90" s="3">
        <f>IF(ORIG!T90=0,"",ORIG!T90)</f>
        <v/>
      </c>
      <c r="U90" s="3">
        <f>IF(ORIG!U90=0,"",ORIG!U90)</f>
        <v/>
      </c>
      <c r="V90" s="9">
        <f>IF(ORIG!V90=0,"",ORIG!V90)</f>
        <v/>
      </c>
      <c r="W90" s="9">
        <f>IF(ORIG!W90=0,"",ORIG!W90)</f>
        <v/>
      </c>
      <c r="X90" s="9">
        <f>IF(ORIG!X90=0,"",ORIG!X90)</f>
        <v/>
      </c>
      <c r="Y90" s="9">
        <f>IF(ORIG!Y90=0,"",ORIG!Y90)</f>
        <v/>
      </c>
      <c r="Z90" s="3">
        <f>SUMPRODUCT($B90:$Y90,$B$2649:$Y$2649)</f>
        <v/>
      </c>
      <c r="AA90" s="3">
        <f>SUMPRODUCT($B90:$Y90,$B$2655:$Y$2655)</f>
        <v/>
      </c>
      <c r="AC90" s="1">
        <f>A90</f>
        <v/>
      </c>
      <c r="AD90">
        <f>IF(ISNUMBER(V90),V90*($AB$1/V$2635),"")</f>
        <v/>
      </c>
      <c r="AE90">
        <f>IF(ISNUMBER(Z90),Z90*($AB$1/Z$2635),"")</f>
        <v/>
      </c>
      <c r="AF90" s="25">
        <f>IF(ISNUMBER(AD90+AE90),AD90+AE90,"")</f>
        <v/>
      </c>
      <c r="AH90" s="1">
        <f>A90</f>
        <v/>
      </c>
      <c r="AI90">
        <f>IF(ISNUMBER((1+V90)*AI89),(1+V90)*AI89,AI89)</f>
        <v/>
      </c>
      <c r="AJ90">
        <f>IF(ISNUMBER((1+Z90)*AJ89),(1+Z90)*AJ89,AJ89)</f>
        <v/>
      </c>
    </row>
    <row r="91">
      <c r="A91" s="1" t="n">
        <v>42135</v>
      </c>
      <c r="B91" s="3">
        <f>IF(ORIG!B91=0,"",ORIG!B91)</f>
        <v/>
      </c>
      <c r="C91" s="3">
        <f>IF(ORIG!C91=0,"",ORIG!C91)</f>
        <v/>
      </c>
      <c r="D91" s="3">
        <f>IF(ORIG!D91=0,"",ORIG!D91)</f>
        <v/>
      </c>
      <c r="E91" s="3">
        <f>IF(ORIG!E91=0,"",ORIG!E91)</f>
        <v/>
      </c>
      <c r="F91" s="3">
        <f>IF(ORIG!F91=0,"",ORIG!F91)</f>
        <v/>
      </c>
      <c r="G91" s="3">
        <f>IF(ORIG!G91=0,"",ORIG!G91)</f>
        <v/>
      </c>
      <c r="H91" s="3">
        <f>IF(ORIG!H91=0,"",ORIG!H91)</f>
        <v/>
      </c>
      <c r="I91" s="3">
        <f>IF(ORIG!I91=0,"",ORIG!I91)</f>
        <v/>
      </c>
      <c r="J91" s="3">
        <f>IF(ORIG!J91=0,"",ORIG!J91)</f>
        <v/>
      </c>
      <c r="K91" s="3">
        <f>IF(ORIG!K91=0,"",ORIG!K91)</f>
        <v/>
      </c>
      <c r="L91" s="3">
        <f>IF(ORIG!L91=0,"",ORIG!L91)</f>
        <v/>
      </c>
      <c r="M91" s="3">
        <f>IF(ORIG!M91=0,"",ORIG!M91)</f>
        <v/>
      </c>
      <c r="N91" s="3">
        <f>IF(ORIG!N91=0,"",ORIG!N91)</f>
        <v/>
      </c>
      <c r="O91" s="3">
        <f>IF(ORIG!O91=0,"",ORIG!O91)</f>
        <v/>
      </c>
      <c r="P91" s="3">
        <f>IF(ORIG!P91=0,"",ORIG!P91)</f>
        <v/>
      </c>
      <c r="Q91" s="3">
        <f>IF(ORIG!Q91=0,"",ORIG!Q91)</f>
        <v/>
      </c>
      <c r="R91" s="3">
        <f>IF(ORIG!R91=0,"",ORIG!R91)</f>
        <v/>
      </c>
      <c r="S91" s="3">
        <f>IF(ORIG!S91=0,"",ORIG!S91)</f>
        <v/>
      </c>
      <c r="T91" s="3">
        <f>IF(ORIG!T91=0,"",ORIG!T91)</f>
        <v/>
      </c>
      <c r="U91" s="3">
        <f>IF(ORIG!U91=0,"",ORIG!U91)</f>
        <v/>
      </c>
      <c r="V91" s="9">
        <f>IF(ORIG!V91=0,"",ORIG!V91)</f>
        <v/>
      </c>
      <c r="W91" s="9">
        <f>IF(ORIG!W91=0,"",ORIG!W91)</f>
        <v/>
      </c>
      <c r="X91" s="9">
        <f>IF(ORIG!X91=0,"",ORIG!X91)</f>
        <v/>
      </c>
      <c r="Y91" s="9">
        <f>IF(ORIG!Y91=0,"",ORIG!Y91)</f>
        <v/>
      </c>
      <c r="Z91" s="3">
        <f>SUMPRODUCT($B91:$Y91,$B$2649:$Y$2649)</f>
        <v/>
      </c>
      <c r="AA91" s="3">
        <f>SUMPRODUCT($B91:$Y91,$B$2655:$Y$2655)</f>
        <v/>
      </c>
      <c r="AC91" s="1">
        <f>A91</f>
        <v/>
      </c>
      <c r="AD91">
        <f>IF(ISNUMBER(V91),V91*($AB$1/V$2635),"")</f>
        <v/>
      </c>
      <c r="AE91">
        <f>IF(ISNUMBER(Z91),Z91*($AB$1/Z$2635),"")</f>
        <v/>
      </c>
      <c r="AF91" s="25">
        <f>IF(ISNUMBER(AD91+AE91),AD91+AE91,"")</f>
        <v/>
      </c>
      <c r="AH91" s="1">
        <f>A91</f>
        <v/>
      </c>
      <c r="AI91">
        <f>IF(ISNUMBER((1+V91)*AI90),(1+V91)*AI90,AI90)</f>
        <v/>
      </c>
      <c r="AJ91">
        <f>IF(ISNUMBER((1+Z91)*AJ90),(1+Z91)*AJ90,AJ90)</f>
        <v/>
      </c>
    </row>
    <row r="92">
      <c r="A92" s="1" t="n">
        <v>42136</v>
      </c>
      <c r="B92" s="3">
        <f>IF(ORIG!B92=0,"",ORIG!B92)</f>
        <v/>
      </c>
      <c r="C92" s="3">
        <f>IF(ORIG!C92=0,"",ORIG!C92)</f>
        <v/>
      </c>
      <c r="D92" s="3">
        <f>IF(ORIG!D92=0,"",ORIG!D92)</f>
        <v/>
      </c>
      <c r="E92" s="3">
        <f>IF(ORIG!E92=0,"",ORIG!E92)</f>
        <v/>
      </c>
      <c r="F92" s="3">
        <f>IF(ORIG!F92=0,"",ORIG!F92)</f>
        <v/>
      </c>
      <c r="G92" s="3">
        <f>IF(ORIG!G92=0,"",ORIG!G92)</f>
        <v/>
      </c>
      <c r="H92" s="3">
        <f>IF(ORIG!H92=0,"",ORIG!H92)</f>
        <v/>
      </c>
      <c r="I92" s="3">
        <f>IF(ORIG!I92=0,"",ORIG!I92)</f>
        <v/>
      </c>
      <c r="J92" s="3">
        <f>IF(ORIG!J92=0,"",ORIG!J92)</f>
        <v/>
      </c>
      <c r="K92" s="3">
        <f>IF(ORIG!K92=0,"",ORIG!K92)</f>
        <v/>
      </c>
      <c r="L92" s="3">
        <f>IF(ORIG!L92=0,"",ORIG!L92)</f>
        <v/>
      </c>
      <c r="M92" s="3">
        <f>IF(ORIG!M92=0,"",ORIG!M92)</f>
        <v/>
      </c>
      <c r="N92" s="3">
        <f>IF(ORIG!N92=0,"",ORIG!N92)</f>
        <v/>
      </c>
      <c r="O92" s="3">
        <f>IF(ORIG!O92=0,"",ORIG!O92)</f>
        <v/>
      </c>
      <c r="P92" s="3">
        <f>IF(ORIG!P92=0,"",ORIG!P92)</f>
        <v/>
      </c>
      <c r="Q92" s="3">
        <f>IF(ORIG!Q92=0,"",ORIG!Q92)</f>
        <v/>
      </c>
      <c r="R92" s="3">
        <f>IF(ORIG!R92=0,"",ORIG!R92)</f>
        <v/>
      </c>
      <c r="S92" s="3">
        <f>IF(ORIG!S92=0,"",ORIG!S92)</f>
        <v/>
      </c>
      <c r="T92" s="3">
        <f>IF(ORIG!T92=0,"",ORIG!T92)</f>
        <v/>
      </c>
      <c r="U92" s="3">
        <f>IF(ORIG!U92=0,"",ORIG!U92)</f>
        <v/>
      </c>
      <c r="V92" s="9">
        <f>IF(ORIG!V92=0,"",ORIG!V92)</f>
        <v/>
      </c>
      <c r="W92" s="9">
        <f>IF(ORIG!W92=0,"",ORIG!W92)</f>
        <v/>
      </c>
      <c r="X92" s="9">
        <f>IF(ORIG!X92=0,"",ORIG!X92)</f>
        <v/>
      </c>
      <c r="Y92" s="9">
        <f>IF(ORIG!Y92=0,"",ORIG!Y92)</f>
        <v/>
      </c>
      <c r="Z92" s="3">
        <f>SUMPRODUCT($B92:$Y92,$B$2649:$Y$2649)</f>
        <v/>
      </c>
      <c r="AA92" s="3">
        <f>SUMPRODUCT($B92:$Y92,$B$2655:$Y$2655)</f>
        <v/>
      </c>
      <c r="AC92" s="1">
        <f>A92</f>
        <v/>
      </c>
      <c r="AD92">
        <f>IF(ISNUMBER(V92),V92*($AB$1/V$2635),"")</f>
        <v/>
      </c>
      <c r="AE92">
        <f>IF(ISNUMBER(Z92),Z92*($AB$1/Z$2635),"")</f>
        <v/>
      </c>
      <c r="AF92" s="25">
        <f>IF(ISNUMBER(AD92+AE92),AD92+AE92,"")</f>
        <v/>
      </c>
      <c r="AH92" s="1">
        <f>A92</f>
        <v/>
      </c>
      <c r="AI92">
        <f>IF(ISNUMBER((1+V92)*AI91),(1+V92)*AI91,AI91)</f>
        <v/>
      </c>
      <c r="AJ92">
        <f>IF(ISNUMBER((1+Z92)*AJ91),(1+Z92)*AJ91,AJ91)</f>
        <v/>
      </c>
    </row>
    <row r="93">
      <c r="A93" s="1" t="n">
        <v>42137</v>
      </c>
      <c r="B93" s="3">
        <f>IF(ORIG!B93=0,"",ORIG!B93)</f>
        <v/>
      </c>
      <c r="C93" s="3">
        <f>IF(ORIG!C93=0,"",ORIG!C93)</f>
        <v/>
      </c>
      <c r="D93" s="3">
        <f>IF(ORIG!D93=0,"",ORIG!D93)</f>
        <v/>
      </c>
      <c r="E93" s="3">
        <f>IF(ORIG!E93=0,"",ORIG!E93)</f>
        <v/>
      </c>
      <c r="F93" s="3">
        <f>IF(ORIG!F93=0,"",ORIG!F93)</f>
        <v/>
      </c>
      <c r="G93" s="3">
        <f>IF(ORIG!G93=0,"",ORIG!G93)</f>
        <v/>
      </c>
      <c r="H93" s="3">
        <f>IF(ORIG!H93=0,"",ORIG!H93)</f>
        <v/>
      </c>
      <c r="I93" s="3">
        <f>IF(ORIG!I93=0,"",ORIG!I93)</f>
        <v/>
      </c>
      <c r="J93" s="3">
        <f>IF(ORIG!J93=0,"",ORIG!J93)</f>
        <v/>
      </c>
      <c r="K93" s="3">
        <f>IF(ORIG!K93=0,"",ORIG!K93)</f>
        <v/>
      </c>
      <c r="L93" s="3">
        <f>IF(ORIG!L93=0,"",ORIG!L93)</f>
        <v/>
      </c>
      <c r="M93" s="3">
        <f>IF(ORIG!M93=0,"",ORIG!M93)</f>
        <v/>
      </c>
      <c r="N93" s="3">
        <f>IF(ORIG!N93=0,"",ORIG!N93)</f>
        <v/>
      </c>
      <c r="O93" s="3">
        <f>IF(ORIG!O93=0,"",ORIG!O93)</f>
        <v/>
      </c>
      <c r="P93" s="3">
        <f>IF(ORIG!P93=0,"",ORIG!P93)</f>
        <v/>
      </c>
      <c r="Q93" s="3">
        <f>IF(ORIG!Q93=0,"",ORIG!Q93)</f>
        <v/>
      </c>
      <c r="R93" s="3">
        <f>IF(ORIG!R93=0,"",ORIG!R93)</f>
        <v/>
      </c>
      <c r="S93" s="3">
        <f>IF(ORIG!S93=0,"",ORIG!S93)</f>
        <v/>
      </c>
      <c r="T93" s="3">
        <f>IF(ORIG!T93=0,"",ORIG!T93)</f>
        <v/>
      </c>
      <c r="U93" s="3">
        <f>IF(ORIG!U93=0,"",ORIG!U93)</f>
        <v/>
      </c>
      <c r="V93" s="9">
        <f>IF(ORIG!V93=0,"",ORIG!V93)</f>
        <v/>
      </c>
      <c r="W93" s="9">
        <f>IF(ORIG!W93=0,"",ORIG!W93)</f>
        <v/>
      </c>
      <c r="X93" s="9">
        <f>IF(ORIG!X93=0,"",ORIG!X93)</f>
        <v/>
      </c>
      <c r="Y93" s="9">
        <f>IF(ORIG!Y93=0,"",ORIG!Y93)</f>
        <v/>
      </c>
      <c r="Z93" s="3">
        <f>SUMPRODUCT($B93:$Y93,$B$2649:$Y$2649)</f>
        <v/>
      </c>
      <c r="AA93" s="3">
        <f>SUMPRODUCT($B93:$Y93,$B$2655:$Y$2655)</f>
        <v/>
      </c>
      <c r="AC93" s="1">
        <f>A93</f>
        <v/>
      </c>
      <c r="AD93">
        <f>IF(ISNUMBER(V93),V93*($AB$1/V$2635),"")</f>
        <v/>
      </c>
      <c r="AE93">
        <f>IF(ISNUMBER(Z93),Z93*($AB$1/Z$2635),"")</f>
        <v/>
      </c>
      <c r="AF93" s="25">
        <f>IF(ISNUMBER(AD93+AE93),AD93+AE93,"")</f>
        <v/>
      </c>
      <c r="AH93" s="1">
        <f>A93</f>
        <v/>
      </c>
      <c r="AI93">
        <f>IF(ISNUMBER((1+V93)*AI92),(1+V93)*AI92,AI92)</f>
        <v/>
      </c>
      <c r="AJ93">
        <f>IF(ISNUMBER((1+Z93)*AJ92),(1+Z93)*AJ92,AJ92)</f>
        <v/>
      </c>
    </row>
    <row r="94">
      <c r="A94" s="1" t="n">
        <v>42138</v>
      </c>
      <c r="B94" s="3">
        <f>IF(ORIG!B94=0,"",ORIG!B94)</f>
        <v/>
      </c>
      <c r="C94" s="3">
        <f>IF(ORIG!C94=0,"",ORIG!C94)</f>
        <v/>
      </c>
      <c r="D94" s="3">
        <f>IF(ORIG!D94=0,"",ORIG!D94)</f>
        <v/>
      </c>
      <c r="E94" s="3">
        <f>IF(ORIG!E94=0,"",ORIG!E94)</f>
        <v/>
      </c>
      <c r="F94" s="3">
        <f>IF(ORIG!F94=0,"",ORIG!F94)</f>
        <v/>
      </c>
      <c r="G94" s="3">
        <f>IF(ORIG!G94=0,"",ORIG!G94)</f>
        <v/>
      </c>
      <c r="H94" s="3">
        <f>IF(ORIG!H94=0,"",ORIG!H94)</f>
        <v/>
      </c>
      <c r="I94" s="3">
        <f>IF(ORIG!I94=0,"",ORIG!I94)</f>
        <v/>
      </c>
      <c r="J94" s="3">
        <f>IF(ORIG!J94=0,"",ORIG!J94)</f>
        <v/>
      </c>
      <c r="K94" s="3">
        <f>IF(ORIG!K94=0,"",ORIG!K94)</f>
        <v/>
      </c>
      <c r="L94" s="3">
        <f>IF(ORIG!L94=0,"",ORIG!L94)</f>
        <v/>
      </c>
      <c r="M94" s="3">
        <f>IF(ORIG!M94=0,"",ORIG!M94)</f>
        <v/>
      </c>
      <c r="N94" s="3">
        <f>IF(ORIG!N94=0,"",ORIG!N94)</f>
        <v/>
      </c>
      <c r="O94" s="3">
        <f>IF(ORIG!O94=0,"",ORIG!O94)</f>
        <v/>
      </c>
      <c r="P94" s="3">
        <f>IF(ORIG!P94=0,"",ORIG!P94)</f>
        <v/>
      </c>
      <c r="Q94" s="3">
        <f>IF(ORIG!Q94=0,"",ORIG!Q94)</f>
        <v/>
      </c>
      <c r="R94" s="3">
        <f>IF(ORIG!R94=0,"",ORIG!R94)</f>
        <v/>
      </c>
      <c r="S94" s="3">
        <f>IF(ORIG!S94=0,"",ORIG!S94)</f>
        <v/>
      </c>
      <c r="T94" s="3">
        <f>IF(ORIG!T94=0,"",ORIG!T94)</f>
        <v/>
      </c>
      <c r="U94" s="3">
        <f>IF(ORIG!U94=0,"",ORIG!U94)</f>
        <v/>
      </c>
      <c r="V94" s="9">
        <f>IF(ORIG!V94=0,"",ORIG!V94)</f>
        <v/>
      </c>
      <c r="W94" s="9">
        <f>IF(ORIG!W94=0,"",ORIG!W94)</f>
        <v/>
      </c>
      <c r="X94" s="9">
        <f>IF(ORIG!X94=0,"",ORIG!X94)</f>
        <v/>
      </c>
      <c r="Y94" s="9">
        <f>IF(ORIG!Y94=0,"",ORIG!Y94)</f>
        <v/>
      </c>
      <c r="Z94" s="3">
        <f>SUMPRODUCT($B94:$Y94,$B$2649:$Y$2649)</f>
        <v/>
      </c>
      <c r="AA94" s="3">
        <f>SUMPRODUCT($B94:$Y94,$B$2655:$Y$2655)</f>
        <v/>
      </c>
      <c r="AC94" s="1">
        <f>A94</f>
        <v/>
      </c>
      <c r="AD94">
        <f>IF(ISNUMBER(V94),V94*($AB$1/V$2635),"")</f>
        <v/>
      </c>
      <c r="AE94">
        <f>IF(ISNUMBER(Z94),Z94*($AB$1/Z$2635),"")</f>
        <v/>
      </c>
      <c r="AF94" s="25">
        <f>IF(ISNUMBER(AD94+AE94),AD94+AE94,"")</f>
        <v/>
      </c>
      <c r="AH94" s="1">
        <f>A94</f>
        <v/>
      </c>
      <c r="AI94">
        <f>IF(ISNUMBER((1+V94)*AI93),(1+V94)*AI93,AI93)</f>
        <v/>
      </c>
      <c r="AJ94">
        <f>IF(ISNUMBER((1+Z94)*AJ93),(1+Z94)*AJ93,AJ93)</f>
        <v/>
      </c>
    </row>
    <row r="95">
      <c r="A95" s="1" t="n">
        <v>42139</v>
      </c>
      <c r="B95" s="3">
        <f>IF(ORIG!B95=0,"",ORIG!B95)</f>
        <v/>
      </c>
      <c r="C95" s="3">
        <f>IF(ORIG!C95=0,"",ORIG!C95)</f>
        <v/>
      </c>
      <c r="D95" s="3">
        <f>IF(ORIG!D95=0,"",ORIG!D95)</f>
        <v/>
      </c>
      <c r="E95" s="3">
        <f>IF(ORIG!E95=0,"",ORIG!E95)</f>
        <v/>
      </c>
      <c r="F95" s="3">
        <f>IF(ORIG!F95=0,"",ORIG!F95)</f>
        <v/>
      </c>
      <c r="G95" s="3">
        <f>IF(ORIG!G95=0,"",ORIG!G95)</f>
        <v/>
      </c>
      <c r="H95" s="3">
        <f>IF(ORIG!H95=0,"",ORIG!H95)</f>
        <v/>
      </c>
      <c r="I95" s="3">
        <f>IF(ORIG!I95=0,"",ORIG!I95)</f>
        <v/>
      </c>
      <c r="J95" s="3">
        <f>IF(ORIG!J95=0,"",ORIG!J95)</f>
        <v/>
      </c>
      <c r="K95" s="3">
        <f>IF(ORIG!K95=0,"",ORIG!K95)</f>
        <v/>
      </c>
      <c r="L95" s="3">
        <f>IF(ORIG!L95=0,"",ORIG!L95)</f>
        <v/>
      </c>
      <c r="M95" s="3">
        <f>IF(ORIG!M95=0,"",ORIG!M95)</f>
        <v/>
      </c>
      <c r="N95" s="3">
        <f>IF(ORIG!N95=0,"",ORIG!N95)</f>
        <v/>
      </c>
      <c r="O95" s="3">
        <f>IF(ORIG!O95=0,"",ORIG!O95)</f>
        <v/>
      </c>
      <c r="P95" s="3">
        <f>IF(ORIG!P95=0,"",ORIG!P95)</f>
        <v/>
      </c>
      <c r="Q95" s="3">
        <f>IF(ORIG!Q95=0,"",ORIG!Q95)</f>
        <v/>
      </c>
      <c r="R95" s="3">
        <f>IF(ORIG!R95=0,"",ORIG!R95)</f>
        <v/>
      </c>
      <c r="S95" s="3">
        <f>IF(ORIG!S95=0,"",ORIG!S95)</f>
        <v/>
      </c>
      <c r="T95" s="3">
        <f>IF(ORIG!T95=0,"",ORIG!T95)</f>
        <v/>
      </c>
      <c r="U95" s="3">
        <f>IF(ORIG!U95=0,"",ORIG!U95)</f>
        <v/>
      </c>
      <c r="V95" s="9">
        <f>IF(ORIG!V95=0,"",ORIG!V95)</f>
        <v/>
      </c>
      <c r="W95" s="9">
        <f>IF(ORIG!W95=0,"",ORIG!W95)</f>
        <v/>
      </c>
      <c r="X95" s="9">
        <f>IF(ORIG!X95=0,"",ORIG!X95)</f>
        <v/>
      </c>
      <c r="Y95" s="9">
        <f>IF(ORIG!Y95=0,"",ORIG!Y95)</f>
        <v/>
      </c>
      <c r="Z95" s="3">
        <f>SUMPRODUCT($B95:$Y95,$B$2649:$Y$2649)</f>
        <v/>
      </c>
      <c r="AA95" s="3">
        <f>SUMPRODUCT($B95:$Y95,$B$2655:$Y$2655)</f>
        <v/>
      </c>
      <c r="AC95" s="1">
        <f>A95</f>
        <v/>
      </c>
      <c r="AD95">
        <f>IF(ISNUMBER(V95),V95*($AB$1/V$2635),"")</f>
        <v/>
      </c>
      <c r="AE95">
        <f>IF(ISNUMBER(Z95),Z95*($AB$1/Z$2635),"")</f>
        <v/>
      </c>
      <c r="AF95" s="25">
        <f>IF(ISNUMBER(AD95+AE95),AD95+AE95,"")</f>
        <v/>
      </c>
      <c r="AH95" s="1">
        <f>A95</f>
        <v/>
      </c>
      <c r="AI95">
        <f>IF(ISNUMBER((1+V95)*AI94),(1+V95)*AI94,AI94)</f>
        <v/>
      </c>
      <c r="AJ95">
        <f>IF(ISNUMBER((1+Z95)*AJ94),(1+Z95)*AJ94,AJ94)</f>
        <v/>
      </c>
    </row>
    <row r="96">
      <c r="A96" s="1" t="n">
        <v>42142</v>
      </c>
      <c r="B96" s="3">
        <f>IF(ORIG!B96=0,"",ORIG!B96)</f>
        <v/>
      </c>
      <c r="C96" s="3">
        <f>IF(ORIG!C96=0,"",ORIG!C96)</f>
        <v/>
      </c>
      <c r="D96" s="3">
        <f>IF(ORIG!D96=0,"",ORIG!D96)</f>
        <v/>
      </c>
      <c r="E96" s="3">
        <f>IF(ORIG!E96=0,"",ORIG!E96)</f>
        <v/>
      </c>
      <c r="F96" s="3">
        <f>IF(ORIG!F96=0,"",ORIG!F96)</f>
        <v/>
      </c>
      <c r="G96" s="3">
        <f>IF(ORIG!G96=0,"",ORIG!G96)</f>
        <v/>
      </c>
      <c r="H96" s="3">
        <f>IF(ORIG!H96=0,"",ORIG!H96)</f>
        <v/>
      </c>
      <c r="I96" s="3">
        <f>IF(ORIG!I96=0,"",ORIG!I96)</f>
        <v/>
      </c>
      <c r="J96" s="3">
        <f>IF(ORIG!J96=0,"",ORIG!J96)</f>
        <v/>
      </c>
      <c r="K96" s="3">
        <f>IF(ORIG!K96=0,"",ORIG!K96)</f>
        <v/>
      </c>
      <c r="L96" s="3">
        <f>IF(ORIG!L96=0,"",ORIG!L96)</f>
        <v/>
      </c>
      <c r="M96" s="3">
        <f>IF(ORIG!M96=0,"",ORIG!M96)</f>
        <v/>
      </c>
      <c r="N96" s="3">
        <f>IF(ORIG!N96=0,"",ORIG!N96)</f>
        <v/>
      </c>
      <c r="O96" s="3">
        <f>IF(ORIG!O96=0,"",ORIG!O96)</f>
        <v/>
      </c>
      <c r="P96" s="3">
        <f>IF(ORIG!P96=0,"",ORIG!P96)</f>
        <v/>
      </c>
      <c r="Q96" s="3">
        <f>IF(ORIG!Q96=0,"",ORIG!Q96)</f>
        <v/>
      </c>
      <c r="R96" s="3">
        <f>IF(ORIG!R96=0,"",ORIG!R96)</f>
        <v/>
      </c>
      <c r="S96" s="3">
        <f>IF(ORIG!S96=0,"",ORIG!S96)</f>
        <v/>
      </c>
      <c r="T96" s="3">
        <f>IF(ORIG!T96=0,"",ORIG!T96)</f>
        <v/>
      </c>
      <c r="U96" s="3">
        <f>IF(ORIG!U96=0,"",ORIG!U96)</f>
        <v/>
      </c>
      <c r="V96" s="9">
        <f>IF(ORIG!V96=0,"",ORIG!V96)</f>
        <v/>
      </c>
      <c r="W96" s="9">
        <f>IF(ORIG!W96=0,"",ORIG!W96)</f>
        <v/>
      </c>
      <c r="X96" s="9">
        <f>IF(ORIG!X96=0,"",ORIG!X96)</f>
        <v/>
      </c>
      <c r="Y96" s="9">
        <f>IF(ORIG!Y96=0,"",ORIG!Y96)</f>
        <v/>
      </c>
      <c r="Z96" s="3">
        <f>SUMPRODUCT($B96:$Y96,$B$2649:$Y$2649)</f>
        <v/>
      </c>
      <c r="AA96" s="3">
        <f>SUMPRODUCT($B96:$Y96,$B$2655:$Y$2655)</f>
        <v/>
      </c>
      <c r="AC96" s="1">
        <f>A96</f>
        <v/>
      </c>
      <c r="AD96">
        <f>IF(ISNUMBER(V96),V96*($AB$1/V$2635),"")</f>
        <v/>
      </c>
      <c r="AE96">
        <f>IF(ISNUMBER(Z96),Z96*($AB$1/Z$2635),"")</f>
        <v/>
      </c>
      <c r="AF96" s="25">
        <f>IF(ISNUMBER(AD96+AE96),AD96+AE96,"")</f>
        <v/>
      </c>
      <c r="AH96" s="1">
        <f>A96</f>
        <v/>
      </c>
      <c r="AI96">
        <f>IF(ISNUMBER((1+V96)*AI95),(1+V96)*AI95,AI95)</f>
        <v/>
      </c>
      <c r="AJ96">
        <f>IF(ISNUMBER((1+Z96)*AJ95),(1+Z96)*AJ95,AJ95)</f>
        <v/>
      </c>
    </row>
    <row r="97">
      <c r="A97" s="1" t="n">
        <v>42143</v>
      </c>
      <c r="B97" s="3">
        <f>IF(ORIG!B97=0,"",ORIG!B97)</f>
        <v/>
      </c>
      <c r="C97" s="3">
        <f>IF(ORIG!C97=0,"",ORIG!C97)</f>
        <v/>
      </c>
      <c r="D97" s="3">
        <f>IF(ORIG!D97=0,"",ORIG!D97)</f>
        <v/>
      </c>
      <c r="E97" s="3">
        <f>IF(ORIG!E97=0,"",ORIG!E97)</f>
        <v/>
      </c>
      <c r="F97" s="3">
        <f>IF(ORIG!F97=0,"",ORIG!F97)</f>
        <v/>
      </c>
      <c r="G97" s="3">
        <f>IF(ORIG!G97=0,"",ORIG!G97)</f>
        <v/>
      </c>
      <c r="H97" s="3">
        <f>IF(ORIG!H97=0,"",ORIG!H97)</f>
        <v/>
      </c>
      <c r="I97" s="3">
        <f>IF(ORIG!I97=0,"",ORIG!I97)</f>
        <v/>
      </c>
      <c r="J97" s="3">
        <f>IF(ORIG!J97=0,"",ORIG!J97)</f>
        <v/>
      </c>
      <c r="K97" s="3">
        <f>IF(ORIG!K97=0,"",ORIG!K97)</f>
        <v/>
      </c>
      <c r="L97" s="3">
        <f>IF(ORIG!L97=0,"",ORIG!L97)</f>
        <v/>
      </c>
      <c r="M97" s="3">
        <f>IF(ORIG!M97=0,"",ORIG!M97)</f>
        <v/>
      </c>
      <c r="N97" s="3">
        <f>IF(ORIG!N97=0,"",ORIG!N97)</f>
        <v/>
      </c>
      <c r="O97" s="3">
        <f>IF(ORIG!O97=0,"",ORIG!O97)</f>
        <v/>
      </c>
      <c r="P97" s="3">
        <f>IF(ORIG!P97=0,"",ORIG!P97)</f>
        <v/>
      </c>
      <c r="Q97" s="3">
        <f>IF(ORIG!Q97=0,"",ORIG!Q97)</f>
        <v/>
      </c>
      <c r="R97" s="3">
        <f>IF(ORIG!R97=0,"",ORIG!R97)</f>
        <v/>
      </c>
      <c r="S97" s="3">
        <f>IF(ORIG!S97=0,"",ORIG!S97)</f>
        <v/>
      </c>
      <c r="T97" s="3">
        <f>IF(ORIG!T97=0,"",ORIG!T97)</f>
        <v/>
      </c>
      <c r="U97" s="3">
        <f>IF(ORIG!U97=0,"",ORIG!U97)</f>
        <v/>
      </c>
      <c r="V97" s="9">
        <f>IF(ORIG!V97=0,"",ORIG!V97)</f>
        <v/>
      </c>
      <c r="W97" s="9">
        <f>IF(ORIG!W97=0,"",ORIG!W97)</f>
        <v/>
      </c>
      <c r="X97" s="9">
        <f>IF(ORIG!X97=0,"",ORIG!X97)</f>
        <v/>
      </c>
      <c r="Y97" s="9">
        <f>IF(ORIG!Y97=0,"",ORIG!Y97)</f>
        <v/>
      </c>
      <c r="Z97" s="3">
        <f>SUMPRODUCT($B97:$Y97,$B$2649:$Y$2649)</f>
        <v/>
      </c>
      <c r="AA97" s="3">
        <f>SUMPRODUCT($B97:$Y97,$B$2655:$Y$2655)</f>
        <v/>
      </c>
      <c r="AC97" s="1">
        <f>A97</f>
        <v/>
      </c>
      <c r="AD97">
        <f>IF(ISNUMBER(V97),V97*($AB$1/V$2635),"")</f>
        <v/>
      </c>
      <c r="AE97">
        <f>IF(ISNUMBER(Z97),Z97*($AB$1/Z$2635),"")</f>
        <v/>
      </c>
      <c r="AF97" s="25">
        <f>IF(ISNUMBER(AD97+AE97),AD97+AE97,"")</f>
        <v/>
      </c>
      <c r="AH97" s="1">
        <f>A97</f>
        <v/>
      </c>
      <c r="AI97">
        <f>IF(ISNUMBER((1+V97)*AI96),(1+V97)*AI96,AI96)</f>
        <v/>
      </c>
      <c r="AJ97">
        <f>IF(ISNUMBER((1+Z97)*AJ96),(1+Z97)*AJ96,AJ96)</f>
        <v/>
      </c>
    </row>
    <row r="98">
      <c r="A98" s="1" t="n">
        <v>42144</v>
      </c>
      <c r="B98" s="3">
        <f>IF(ORIG!B98=0,"",ORIG!B98)</f>
        <v/>
      </c>
      <c r="C98" s="3">
        <f>IF(ORIG!C98=0,"",ORIG!C98)</f>
        <v/>
      </c>
      <c r="D98" s="3">
        <f>IF(ORIG!D98=0,"",ORIG!D98)</f>
        <v/>
      </c>
      <c r="E98" s="3">
        <f>IF(ORIG!E98=0,"",ORIG!E98)</f>
        <v/>
      </c>
      <c r="F98" s="3">
        <f>IF(ORIG!F98=0,"",ORIG!F98)</f>
        <v/>
      </c>
      <c r="G98" s="3">
        <f>IF(ORIG!G98=0,"",ORIG!G98)</f>
        <v/>
      </c>
      <c r="H98" s="3">
        <f>IF(ORIG!H98=0,"",ORIG!H98)</f>
        <v/>
      </c>
      <c r="I98" s="3">
        <f>IF(ORIG!I98=0,"",ORIG!I98)</f>
        <v/>
      </c>
      <c r="J98" s="3">
        <f>IF(ORIG!J98=0,"",ORIG!J98)</f>
        <v/>
      </c>
      <c r="K98" s="3">
        <f>IF(ORIG!K98=0,"",ORIG!K98)</f>
        <v/>
      </c>
      <c r="L98" s="3">
        <f>IF(ORIG!L98=0,"",ORIG!L98)</f>
        <v/>
      </c>
      <c r="M98" s="3">
        <f>IF(ORIG!M98=0,"",ORIG!M98)</f>
        <v/>
      </c>
      <c r="N98" s="3">
        <f>IF(ORIG!N98=0,"",ORIG!N98)</f>
        <v/>
      </c>
      <c r="O98" s="3">
        <f>IF(ORIG!O98=0,"",ORIG!O98)</f>
        <v/>
      </c>
      <c r="P98" s="3">
        <f>IF(ORIG!P98=0,"",ORIG!P98)</f>
        <v/>
      </c>
      <c r="Q98" s="3">
        <f>IF(ORIG!Q98=0,"",ORIG!Q98)</f>
        <v/>
      </c>
      <c r="R98" s="3">
        <f>IF(ORIG!R98=0,"",ORIG!R98)</f>
        <v/>
      </c>
      <c r="S98" s="3">
        <f>IF(ORIG!S98=0,"",ORIG!S98)</f>
        <v/>
      </c>
      <c r="T98" s="3">
        <f>IF(ORIG!T98=0,"",ORIG!T98)</f>
        <v/>
      </c>
      <c r="U98" s="3">
        <f>IF(ORIG!U98=0,"",ORIG!U98)</f>
        <v/>
      </c>
      <c r="V98" s="9">
        <f>IF(ORIG!V98=0,"",ORIG!V98)</f>
        <v/>
      </c>
      <c r="W98" s="9">
        <f>IF(ORIG!W98=0,"",ORIG!W98)</f>
        <v/>
      </c>
      <c r="X98" s="9">
        <f>IF(ORIG!X98=0,"",ORIG!X98)</f>
        <v/>
      </c>
      <c r="Y98" s="9">
        <f>IF(ORIG!Y98=0,"",ORIG!Y98)</f>
        <v/>
      </c>
      <c r="Z98" s="3">
        <f>SUMPRODUCT($B98:$Y98,$B$2649:$Y$2649)</f>
        <v/>
      </c>
      <c r="AA98" s="3">
        <f>SUMPRODUCT($B98:$Y98,$B$2655:$Y$2655)</f>
        <v/>
      </c>
      <c r="AC98" s="1">
        <f>A98</f>
        <v/>
      </c>
      <c r="AD98">
        <f>IF(ISNUMBER(V98),V98*($AB$1/V$2635),"")</f>
        <v/>
      </c>
      <c r="AE98">
        <f>IF(ISNUMBER(Z98),Z98*($AB$1/Z$2635),"")</f>
        <v/>
      </c>
      <c r="AF98" s="25">
        <f>IF(ISNUMBER(AD98+AE98),AD98+AE98,"")</f>
        <v/>
      </c>
      <c r="AH98" s="1">
        <f>A98</f>
        <v/>
      </c>
      <c r="AI98">
        <f>IF(ISNUMBER((1+V98)*AI97),(1+V98)*AI97,AI97)</f>
        <v/>
      </c>
      <c r="AJ98">
        <f>IF(ISNUMBER((1+Z98)*AJ97),(1+Z98)*AJ97,AJ97)</f>
        <v/>
      </c>
    </row>
    <row r="99">
      <c r="A99" s="1" t="n">
        <v>42145</v>
      </c>
      <c r="B99" s="3">
        <f>IF(ORIG!B99=0,"",ORIG!B99)</f>
        <v/>
      </c>
      <c r="C99" s="3">
        <f>IF(ORIG!C99=0,"",ORIG!C99)</f>
        <v/>
      </c>
      <c r="D99" s="3">
        <f>IF(ORIG!D99=0,"",ORIG!D99)</f>
        <v/>
      </c>
      <c r="E99" s="3">
        <f>IF(ORIG!E99=0,"",ORIG!E99)</f>
        <v/>
      </c>
      <c r="F99" s="3">
        <f>IF(ORIG!F99=0,"",ORIG!F99)</f>
        <v/>
      </c>
      <c r="G99" s="3">
        <f>IF(ORIG!G99=0,"",ORIG!G99)</f>
        <v/>
      </c>
      <c r="H99" s="3">
        <f>IF(ORIG!H99=0,"",ORIG!H99)</f>
        <v/>
      </c>
      <c r="I99" s="3">
        <f>IF(ORIG!I99=0,"",ORIG!I99)</f>
        <v/>
      </c>
      <c r="J99" s="3">
        <f>IF(ORIG!J99=0,"",ORIG!J99)</f>
        <v/>
      </c>
      <c r="K99" s="3">
        <f>IF(ORIG!K99=0,"",ORIG!K99)</f>
        <v/>
      </c>
      <c r="L99" s="3">
        <f>IF(ORIG!L99=0,"",ORIG!L99)</f>
        <v/>
      </c>
      <c r="M99" s="3">
        <f>IF(ORIG!M99=0,"",ORIG!M99)</f>
        <v/>
      </c>
      <c r="N99" s="3">
        <f>IF(ORIG!N99=0,"",ORIG!N99)</f>
        <v/>
      </c>
      <c r="O99" s="3">
        <f>IF(ORIG!O99=0,"",ORIG!O99)</f>
        <v/>
      </c>
      <c r="P99" s="3">
        <f>IF(ORIG!P99=0,"",ORIG!P99)</f>
        <v/>
      </c>
      <c r="Q99" s="3">
        <f>IF(ORIG!Q99=0,"",ORIG!Q99)</f>
        <v/>
      </c>
      <c r="R99" s="3">
        <f>IF(ORIG!R99=0,"",ORIG!R99)</f>
        <v/>
      </c>
      <c r="S99" s="3">
        <f>IF(ORIG!S99=0,"",ORIG!S99)</f>
        <v/>
      </c>
      <c r="T99" s="3">
        <f>IF(ORIG!T99=0,"",ORIG!T99)</f>
        <v/>
      </c>
      <c r="U99" s="3">
        <f>IF(ORIG!U99=0,"",ORIG!U99)</f>
        <v/>
      </c>
      <c r="V99" s="9">
        <f>IF(ORIG!V99=0,"",ORIG!V99)</f>
        <v/>
      </c>
      <c r="W99" s="9">
        <f>IF(ORIG!W99=0,"",ORIG!W99)</f>
        <v/>
      </c>
      <c r="X99" s="9">
        <f>IF(ORIG!X99=0,"",ORIG!X99)</f>
        <v/>
      </c>
      <c r="Y99" s="9">
        <f>IF(ORIG!Y99=0,"",ORIG!Y99)</f>
        <v/>
      </c>
      <c r="Z99" s="3">
        <f>SUMPRODUCT($B99:$Y99,$B$2649:$Y$2649)</f>
        <v/>
      </c>
      <c r="AA99" s="3">
        <f>SUMPRODUCT($B99:$Y99,$B$2655:$Y$2655)</f>
        <v/>
      </c>
      <c r="AC99" s="1">
        <f>A99</f>
        <v/>
      </c>
      <c r="AD99">
        <f>IF(ISNUMBER(V99),V99*($AB$1/V$2635),"")</f>
        <v/>
      </c>
      <c r="AE99">
        <f>IF(ISNUMBER(Z99),Z99*($AB$1/Z$2635),"")</f>
        <v/>
      </c>
      <c r="AF99" s="25">
        <f>IF(ISNUMBER(AD99+AE99),AD99+AE99,"")</f>
        <v/>
      </c>
      <c r="AH99" s="1">
        <f>A99</f>
        <v/>
      </c>
      <c r="AI99">
        <f>IF(ISNUMBER((1+V99)*AI98),(1+V99)*AI98,AI98)</f>
        <v/>
      </c>
      <c r="AJ99">
        <f>IF(ISNUMBER((1+Z99)*AJ98),(1+Z99)*AJ98,AJ98)</f>
        <v/>
      </c>
    </row>
    <row r="100">
      <c r="A100" s="1" t="n">
        <v>42146</v>
      </c>
      <c r="B100" s="3">
        <f>IF(ORIG!B100=0,"",ORIG!B100)</f>
        <v/>
      </c>
      <c r="C100" s="3">
        <f>IF(ORIG!C100=0,"",ORIG!C100)</f>
        <v/>
      </c>
      <c r="D100" s="3">
        <f>IF(ORIG!D100=0,"",ORIG!D100)</f>
        <v/>
      </c>
      <c r="E100" s="3">
        <f>IF(ORIG!E100=0,"",ORIG!E100)</f>
        <v/>
      </c>
      <c r="F100" s="3">
        <f>IF(ORIG!F100=0,"",ORIG!F100)</f>
        <v/>
      </c>
      <c r="G100" s="3">
        <f>IF(ORIG!G100=0,"",ORIG!G100)</f>
        <v/>
      </c>
      <c r="H100" s="3">
        <f>IF(ORIG!H100=0,"",ORIG!H100)</f>
        <v/>
      </c>
      <c r="I100" s="3">
        <f>IF(ORIG!I100=0,"",ORIG!I100)</f>
        <v/>
      </c>
      <c r="J100" s="3">
        <f>IF(ORIG!J100=0,"",ORIG!J100)</f>
        <v/>
      </c>
      <c r="K100" s="3">
        <f>IF(ORIG!K100=0,"",ORIG!K100)</f>
        <v/>
      </c>
      <c r="L100" s="3">
        <f>IF(ORIG!L100=0,"",ORIG!L100)</f>
        <v/>
      </c>
      <c r="M100" s="3">
        <f>IF(ORIG!M100=0,"",ORIG!M100)</f>
        <v/>
      </c>
      <c r="N100" s="3">
        <f>IF(ORIG!N100=0,"",ORIG!N100)</f>
        <v/>
      </c>
      <c r="O100" s="3">
        <f>IF(ORIG!O100=0,"",ORIG!O100)</f>
        <v/>
      </c>
      <c r="P100" s="3">
        <f>IF(ORIG!P100=0,"",ORIG!P100)</f>
        <v/>
      </c>
      <c r="Q100" s="3">
        <f>IF(ORIG!Q100=0,"",ORIG!Q100)</f>
        <v/>
      </c>
      <c r="R100" s="3">
        <f>IF(ORIG!R100=0,"",ORIG!R100)</f>
        <v/>
      </c>
      <c r="S100" s="3">
        <f>IF(ORIG!S100=0,"",ORIG!S100)</f>
        <v/>
      </c>
      <c r="T100" s="3">
        <f>IF(ORIG!T100=0,"",ORIG!T100)</f>
        <v/>
      </c>
      <c r="U100" s="3">
        <f>IF(ORIG!U100=0,"",ORIG!U100)</f>
        <v/>
      </c>
      <c r="V100" s="9">
        <f>IF(ORIG!V100=0,"",ORIG!V100)</f>
        <v/>
      </c>
      <c r="W100" s="9">
        <f>IF(ORIG!W100=0,"",ORIG!W100)</f>
        <v/>
      </c>
      <c r="X100" s="9">
        <f>IF(ORIG!X100=0,"",ORIG!X100)</f>
        <v/>
      </c>
      <c r="Y100" s="9">
        <f>IF(ORIG!Y100=0,"",ORIG!Y100)</f>
        <v/>
      </c>
      <c r="Z100" s="3">
        <f>SUMPRODUCT($B100:$Y100,$B$2649:$Y$2649)</f>
        <v/>
      </c>
      <c r="AA100" s="3">
        <f>SUMPRODUCT($B100:$Y100,$B$2655:$Y$2655)</f>
        <v/>
      </c>
      <c r="AC100" s="1">
        <f>A100</f>
        <v/>
      </c>
      <c r="AD100">
        <f>IF(ISNUMBER(V100),V100*($AB$1/V$2635),"")</f>
        <v/>
      </c>
      <c r="AE100">
        <f>IF(ISNUMBER(Z100),Z100*($AB$1/Z$2635),"")</f>
        <v/>
      </c>
      <c r="AF100" s="25">
        <f>IF(ISNUMBER(AD100+AE100),AD100+AE100,"")</f>
        <v/>
      </c>
      <c r="AH100" s="1">
        <f>A100</f>
        <v/>
      </c>
      <c r="AI100">
        <f>IF(ISNUMBER((1+V100)*AI99),(1+V100)*AI99,AI99)</f>
        <v/>
      </c>
      <c r="AJ100">
        <f>IF(ISNUMBER((1+Z100)*AJ99),(1+Z100)*AJ99,AJ99)</f>
        <v/>
      </c>
    </row>
    <row r="101">
      <c r="A101" s="1" t="n">
        <v>42150</v>
      </c>
      <c r="B101" s="3">
        <f>IF(ORIG!B101=0,"",ORIG!B101)</f>
        <v/>
      </c>
      <c r="C101" s="3">
        <f>IF(ORIG!C101=0,"",ORIG!C101)</f>
        <v/>
      </c>
      <c r="D101" s="3">
        <f>IF(ORIG!D101=0,"",ORIG!D101)</f>
        <v/>
      </c>
      <c r="E101" s="3">
        <f>IF(ORIG!E101=0,"",ORIG!E101)</f>
        <v/>
      </c>
      <c r="F101" s="3">
        <f>IF(ORIG!F101=0,"",ORIG!F101)</f>
        <v/>
      </c>
      <c r="G101" s="3">
        <f>IF(ORIG!G101=0,"",ORIG!G101)</f>
        <v/>
      </c>
      <c r="H101" s="3">
        <f>IF(ORIG!H101=0,"",ORIG!H101)</f>
        <v/>
      </c>
      <c r="I101" s="3">
        <f>IF(ORIG!I101=0,"",ORIG!I101)</f>
        <v/>
      </c>
      <c r="J101" s="3">
        <f>IF(ORIG!J101=0,"",ORIG!J101)</f>
        <v/>
      </c>
      <c r="K101" s="3">
        <f>IF(ORIG!K101=0,"",ORIG!K101)</f>
        <v/>
      </c>
      <c r="L101" s="3">
        <f>IF(ORIG!L101=0,"",ORIG!L101)</f>
        <v/>
      </c>
      <c r="M101" s="3">
        <f>IF(ORIG!M101=0,"",ORIG!M101)</f>
        <v/>
      </c>
      <c r="N101" s="3">
        <f>IF(ORIG!N101=0,"",ORIG!N101)</f>
        <v/>
      </c>
      <c r="O101" s="3">
        <f>IF(ORIG!O101=0,"",ORIG!O101)</f>
        <v/>
      </c>
      <c r="P101" s="3">
        <f>IF(ORIG!P101=0,"",ORIG!P101)</f>
        <v/>
      </c>
      <c r="Q101" s="3">
        <f>IF(ORIG!Q101=0,"",ORIG!Q101)</f>
        <v/>
      </c>
      <c r="R101" s="3">
        <f>IF(ORIG!R101=0,"",ORIG!R101)</f>
        <v/>
      </c>
      <c r="S101" s="3">
        <f>IF(ORIG!S101=0,"",ORIG!S101)</f>
        <v/>
      </c>
      <c r="T101" s="3">
        <f>IF(ORIG!T101=0,"",ORIG!T101)</f>
        <v/>
      </c>
      <c r="U101" s="3">
        <f>IF(ORIG!U101=0,"",ORIG!U101)</f>
        <v/>
      </c>
      <c r="V101" s="9">
        <f>IF(ORIG!V101=0,"",ORIG!V101)</f>
        <v/>
      </c>
      <c r="W101" s="9">
        <f>IF(ORIG!W101=0,"",ORIG!W101)</f>
        <v/>
      </c>
      <c r="X101" s="9">
        <f>IF(ORIG!X101=0,"",ORIG!X101)</f>
        <v/>
      </c>
      <c r="Y101" s="9">
        <f>IF(ORIG!Y101=0,"",ORIG!Y101)</f>
        <v/>
      </c>
      <c r="Z101" s="3">
        <f>SUMPRODUCT($B101:$Y101,$B$2649:$Y$2649)</f>
        <v/>
      </c>
      <c r="AA101" s="3">
        <f>SUMPRODUCT($B101:$Y101,$B$2655:$Y$2655)</f>
        <v/>
      </c>
      <c r="AC101" s="1">
        <f>A101</f>
        <v/>
      </c>
      <c r="AD101">
        <f>IF(ISNUMBER(V101),V101*($AB$1/V$2635),"")</f>
        <v/>
      </c>
      <c r="AE101">
        <f>IF(ISNUMBER(Z101),Z101*($AB$1/Z$2635),"")</f>
        <v/>
      </c>
      <c r="AF101" s="25">
        <f>IF(ISNUMBER(AD101+AE101),AD101+AE101,"")</f>
        <v/>
      </c>
      <c r="AH101" s="1">
        <f>A101</f>
        <v/>
      </c>
      <c r="AI101">
        <f>IF(ISNUMBER((1+V101)*AI100),(1+V101)*AI100,AI100)</f>
        <v/>
      </c>
      <c r="AJ101">
        <f>IF(ISNUMBER((1+Z101)*AJ100),(1+Z101)*AJ100,AJ100)</f>
        <v/>
      </c>
    </row>
    <row r="102">
      <c r="A102" s="1" t="n">
        <v>42151</v>
      </c>
      <c r="B102" s="3">
        <f>IF(ORIG!B102=0,"",ORIG!B102)</f>
        <v/>
      </c>
      <c r="C102" s="3">
        <f>IF(ORIG!C102=0,"",ORIG!C102)</f>
        <v/>
      </c>
      <c r="D102" s="3">
        <f>IF(ORIG!D102=0,"",ORIG!D102)</f>
        <v/>
      </c>
      <c r="E102" s="3">
        <f>IF(ORIG!E102=0,"",ORIG!E102)</f>
        <v/>
      </c>
      <c r="F102" s="3">
        <f>IF(ORIG!F102=0,"",ORIG!F102)</f>
        <v/>
      </c>
      <c r="G102" s="3">
        <f>IF(ORIG!G102=0,"",ORIG!G102)</f>
        <v/>
      </c>
      <c r="H102" s="3">
        <f>IF(ORIG!H102=0,"",ORIG!H102)</f>
        <v/>
      </c>
      <c r="I102" s="3">
        <f>IF(ORIG!I102=0,"",ORIG!I102)</f>
        <v/>
      </c>
      <c r="J102" s="3">
        <f>IF(ORIG!J102=0,"",ORIG!J102)</f>
        <v/>
      </c>
      <c r="K102" s="3">
        <f>IF(ORIG!K102=0,"",ORIG!K102)</f>
        <v/>
      </c>
      <c r="L102" s="3">
        <f>IF(ORIG!L102=0,"",ORIG!L102)</f>
        <v/>
      </c>
      <c r="M102" s="3">
        <f>IF(ORIG!M102=0,"",ORIG!M102)</f>
        <v/>
      </c>
      <c r="N102" s="3">
        <f>IF(ORIG!N102=0,"",ORIG!N102)</f>
        <v/>
      </c>
      <c r="O102" s="3">
        <f>IF(ORIG!O102=0,"",ORIG!O102)</f>
        <v/>
      </c>
      <c r="P102" s="3">
        <f>IF(ORIG!P102=0,"",ORIG!P102)</f>
        <v/>
      </c>
      <c r="Q102" s="3">
        <f>IF(ORIG!Q102=0,"",ORIG!Q102)</f>
        <v/>
      </c>
      <c r="R102" s="3">
        <f>IF(ORIG!R102=0,"",ORIG!R102)</f>
        <v/>
      </c>
      <c r="S102" s="3">
        <f>IF(ORIG!S102=0,"",ORIG!S102)</f>
        <v/>
      </c>
      <c r="T102" s="3">
        <f>IF(ORIG!T102=0,"",ORIG!T102)</f>
        <v/>
      </c>
      <c r="U102" s="3">
        <f>IF(ORIG!U102=0,"",ORIG!U102)</f>
        <v/>
      </c>
      <c r="V102" s="9">
        <f>IF(ORIG!V102=0,"",ORIG!V102)</f>
        <v/>
      </c>
      <c r="W102" s="9">
        <f>IF(ORIG!W102=0,"",ORIG!W102)</f>
        <v/>
      </c>
      <c r="X102" s="9">
        <f>IF(ORIG!X102=0,"",ORIG!X102)</f>
        <v/>
      </c>
      <c r="Y102" s="9">
        <f>IF(ORIG!Y102=0,"",ORIG!Y102)</f>
        <v/>
      </c>
      <c r="Z102" s="3">
        <f>SUMPRODUCT($B102:$Y102,$B$2649:$Y$2649)</f>
        <v/>
      </c>
      <c r="AA102" s="3">
        <f>SUMPRODUCT($B102:$Y102,$B$2655:$Y$2655)</f>
        <v/>
      </c>
      <c r="AC102" s="1">
        <f>A102</f>
        <v/>
      </c>
      <c r="AD102">
        <f>IF(ISNUMBER(V102),V102*($AB$1/V$2635),"")</f>
        <v/>
      </c>
      <c r="AE102">
        <f>IF(ISNUMBER(Z102),Z102*($AB$1/Z$2635),"")</f>
        <v/>
      </c>
      <c r="AF102" s="25">
        <f>IF(ISNUMBER(AD102+AE102),AD102+AE102,"")</f>
        <v/>
      </c>
      <c r="AH102" s="1">
        <f>A102</f>
        <v/>
      </c>
      <c r="AI102">
        <f>IF(ISNUMBER((1+V102)*AI101),(1+V102)*AI101,AI101)</f>
        <v/>
      </c>
      <c r="AJ102">
        <f>IF(ISNUMBER((1+Z102)*AJ101),(1+Z102)*AJ101,AJ101)</f>
        <v/>
      </c>
    </row>
    <row r="103">
      <c r="A103" s="1" t="n">
        <v>42152</v>
      </c>
      <c r="B103" s="3">
        <f>IF(ORIG!B103=0,"",ORIG!B103)</f>
        <v/>
      </c>
      <c r="C103" s="3">
        <f>IF(ORIG!C103=0,"",ORIG!C103)</f>
        <v/>
      </c>
      <c r="D103" s="3">
        <f>IF(ORIG!D103=0,"",ORIG!D103)</f>
        <v/>
      </c>
      <c r="E103" s="3">
        <f>IF(ORIG!E103=0,"",ORIG!E103)</f>
        <v/>
      </c>
      <c r="F103" s="3">
        <f>IF(ORIG!F103=0,"",ORIG!F103)</f>
        <v/>
      </c>
      <c r="G103" s="3">
        <f>IF(ORIG!G103=0,"",ORIG!G103)</f>
        <v/>
      </c>
      <c r="H103" s="3">
        <f>IF(ORIG!H103=0,"",ORIG!H103)</f>
        <v/>
      </c>
      <c r="I103" s="3">
        <f>IF(ORIG!I103=0,"",ORIG!I103)</f>
        <v/>
      </c>
      <c r="J103" s="3">
        <f>IF(ORIG!J103=0,"",ORIG!J103)</f>
        <v/>
      </c>
      <c r="K103" s="3">
        <f>IF(ORIG!K103=0,"",ORIG!K103)</f>
        <v/>
      </c>
      <c r="L103" s="3">
        <f>IF(ORIG!L103=0,"",ORIG!L103)</f>
        <v/>
      </c>
      <c r="M103" s="3">
        <f>IF(ORIG!M103=0,"",ORIG!M103)</f>
        <v/>
      </c>
      <c r="N103" s="3">
        <f>IF(ORIG!N103=0,"",ORIG!N103)</f>
        <v/>
      </c>
      <c r="O103" s="3">
        <f>IF(ORIG!O103=0,"",ORIG!O103)</f>
        <v/>
      </c>
      <c r="P103" s="3">
        <f>IF(ORIG!P103=0,"",ORIG!P103)</f>
        <v/>
      </c>
      <c r="Q103" s="3">
        <f>IF(ORIG!Q103=0,"",ORIG!Q103)</f>
        <v/>
      </c>
      <c r="R103" s="3">
        <f>IF(ORIG!R103=0,"",ORIG!R103)</f>
        <v/>
      </c>
      <c r="S103" s="3">
        <f>IF(ORIG!S103=0,"",ORIG!S103)</f>
        <v/>
      </c>
      <c r="T103" s="3">
        <f>IF(ORIG!T103=0,"",ORIG!T103)</f>
        <v/>
      </c>
      <c r="U103" s="3">
        <f>IF(ORIG!U103=0,"",ORIG!U103)</f>
        <v/>
      </c>
      <c r="V103" s="9">
        <f>IF(ORIG!V103=0,"",ORIG!V103)</f>
        <v/>
      </c>
      <c r="W103" s="9">
        <f>IF(ORIG!W103=0,"",ORIG!W103)</f>
        <v/>
      </c>
      <c r="X103" s="9">
        <f>IF(ORIG!X103=0,"",ORIG!X103)</f>
        <v/>
      </c>
      <c r="Y103" s="9">
        <f>IF(ORIG!Y103=0,"",ORIG!Y103)</f>
        <v/>
      </c>
      <c r="Z103" s="3">
        <f>SUMPRODUCT($B103:$Y103,$B$2649:$Y$2649)</f>
        <v/>
      </c>
      <c r="AA103" s="3">
        <f>SUMPRODUCT($B103:$Y103,$B$2655:$Y$2655)</f>
        <v/>
      </c>
      <c r="AC103" s="1">
        <f>A103</f>
        <v/>
      </c>
      <c r="AD103">
        <f>IF(ISNUMBER(V103),V103*($AB$1/V$2635),"")</f>
        <v/>
      </c>
      <c r="AE103">
        <f>IF(ISNUMBER(Z103),Z103*($AB$1/Z$2635),"")</f>
        <v/>
      </c>
      <c r="AF103" s="25">
        <f>IF(ISNUMBER(AD103+AE103),AD103+AE103,"")</f>
        <v/>
      </c>
      <c r="AH103" s="1">
        <f>A103</f>
        <v/>
      </c>
      <c r="AI103">
        <f>IF(ISNUMBER((1+V103)*AI102),(1+V103)*AI102,AI102)</f>
        <v/>
      </c>
      <c r="AJ103">
        <f>IF(ISNUMBER((1+Z103)*AJ102),(1+Z103)*AJ102,AJ102)</f>
        <v/>
      </c>
    </row>
    <row r="104">
      <c r="A104" s="1" t="n">
        <v>42153</v>
      </c>
      <c r="B104" s="3">
        <f>IF(ORIG!B104=0,"",ORIG!B104)</f>
        <v/>
      </c>
      <c r="C104" s="3">
        <f>IF(ORIG!C104=0,"",ORIG!C104)</f>
        <v/>
      </c>
      <c r="D104" s="3">
        <f>IF(ORIG!D104=0,"",ORIG!D104)</f>
        <v/>
      </c>
      <c r="E104" s="3">
        <f>IF(ORIG!E104=0,"",ORIG!E104)</f>
        <v/>
      </c>
      <c r="F104" s="3">
        <f>IF(ORIG!F104=0,"",ORIG!F104)</f>
        <v/>
      </c>
      <c r="G104" s="3">
        <f>IF(ORIG!G104=0,"",ORIG!G104)</f>
        <v/>
      </c>
      <c r="H104" s="3">
        <f>IF(ORIG!H104=0,"",ORIG!H104)</f>
        <v/>
      </c>
      <c r="I104" s="3">
        <f>IF(ORIG!I104=0,"",ORIG!I104)</f>
        <v/>
      </c>
      <c r="J104" s="3">
        <f>IF(ORIG!J104=0,"",ORIG!J104)</f>
        <v/>
      </c>
      <c r="K104" s="3">
        <f>IF(ORIG!K104=0,"",ORIG!K104)</f>
        <v/>
      </c>
      <c r="L104" s="3">
        <f>IF(ORIG!L104=0,"",ORIG!L104)</f>
        <v/>
      </c>
      <c r="M104" s="3">
        <f>IF(ORIG!M104=0,"",ORIG!M104)</f>
        <v/>
      </c>
      <c r="N104" s="3">
        <f>IF(ORIG!N104=0,"",ORIG!N104)</f>
        <v/>
      </c>
      <c r="O104" s="3">
        <f>IF(ORIG!O104=0,"",ORIG!O104)</f>
        <v/>
      </c>
      <c r="P104" s="3">
        <f>IF(ORIG!P104=0,"",ORIG!P104)</f>
        <v/>
      </c>
      <c r="Q104" s="3">
        <f>IF(ORIG!Q104=0,"",ORIG!Q104)</f>
        <v/>
      </c>
      <c r="R104" s="3">
        <f>IF(ORIG!R104=0,"",ORIG!R104)</f>
        <v/>
      </c>
      <c r="S104" s="3">
        <f>IF(ORIG!S104=0,"",ORIG!S104)</f>
        <v/>
      </c>
      <c r="T104" s="3">
        <f>IF(ORIG!T104=0,"",ORIG!T104)</f>
        <v/>
      </c>
      <c r="U104" s="3">
        <f>IF(ORIG!U104=0,"",ORIG!U104)</f>
        <v/>
      </c>
      <c r="V104" s="9">
        <f>IF(ORIG!V104=0,"",ORIG!V104)</f>
        <v/>
      </c>
      <c r="W104" s="9">
        <f>IF(ORIG!W104=0,"",ORIG!W104)</f>
        <v/>
      </c>
      <c r="X104" s="9">
        <f>IF(ORIG!X104=0,"",ORIG!X104)</f>
        <v/>
      </c>
      <c r="Y104" s="9">
        <f>IF(ORIG!Y104=0,"",ORIG!Y104)</f>
        <v/>
      </c>
      <c r="Z104" s="3">
        <f>SUMPRODUCT($B104:$Y104,$B$2649:$Y$2649)</f>
        <v/>
      </c>
      <c r="AA104" s="3">
        <f>SUMPRODUCT($B104:$Y104,$B$2655:$Y$2655)</f>
        <v/>
      </c>
      <c r="AC104" s="1">
        <f>A104</f>
        <v/>
      </c>
      <c r="AD104">
        <f>IF(ISNUMBER(V104),V104*($AB$1/V$2635),"")</f>
        <v/>
      </c>
      <c r="AE104">
        <f>IF(ISNUMBER(Z104),Z104*($AB$1/Z$2635),"")</f>
        <v/>
      </c>
      <c r="AF104" s="25">
        <f>IF(ISNUMBER(AD104+AE104),AD104+AE104,"")</f>
        <v/>
      </c>
      <c r="AH104" s="1">
        <f>A104</f>
        <v/>
      </c>
      <c r="AI104">
        <f>IF(ISNUMBER((1+V104)*AI103),(1+V104)*AI103,AI103)</f>
        <v/>
      </c>
      <c r="AJ104">
        <f>IF(ISNUMBER((1+Z104)*AJ103),(1+Z104)*AJ103,AJ103)</f>
        <v/>
      </c>
    </row>
    <row r="105">
      <c r="A105" s="1" t="n">
        <v>42156</v>
      </c>
      <c r="B105" s="3">
        <f>IF(ORIG!B105=0,"",ORIG!B105)</f>
        <v/>
      </c>
      <c r="C105" s="3">
        <f>IF(ORIG!C105=0,"",ORIG!C105)</f>
        <v/>
      </c>
      <c r="D105" s="3">
        <f>IF(ORIG!D105=0,"",ORIG!D105)</f>
        <v/>
      </c>
      <c r="E105" s="3">
        <f>IF(ORIG!E105=0,"",ORIG!E105)</f>
        <v/>
      </c>
      <c r="F105" s="3">
        <f>IF(ORIG!F105=0,"",ORIG!F105)</f>
        <v/>
      </c>
      <c r="G105" s="3">
        <f>IF(ORIG!G105=0,"",ORIG!G105)</f>
        <v/>
      </c>
      <c r="H105" s="3">
        <f>IF(ORIG!H105=0,"",ORIG!H105)</f>
        <v/>
      </c>
      <c r="I105" s="3">
        <f>IF(ORIG!I105=0,"",ORIG!I105)</f>
        <v/>
      </c>
      <c r="J105" s="3">
        <f>IF(ORIG!J105=0,"",ORIG!J105)</f>
        <v/>
      </c>
      <c r="K105" s="3">
        <f>IF(ORIG!K105=0,"",ORIG!K105)</f>
        <v/>
      </c>
      <c r="L105" s="3">
        <f>IF(ORIG!L105=0,"",ORIG!L105)</f>
        <v/>
      </c>
      <c r="M105" s="3">
        <f>IF(ORIG!M105=0,"",ORIG!M105)</f>
        <v/>
      </c>
      <c r="N105" s="3">
        <f>IF(ORIG!N105=0,"",ORIG!N105)</f>
        <v/>
      </c>
      <c r="O105" s="3">
        <f>IF(ORIG!O105=0,"",ORIG!O105)</f>
        <v/>
      </c>
      <c r="P105" s="3">
        <f>IF(ORIG!P105=0,"",ORIG!P105)</f>
        <v/>
      </c>
      <c r="Q105" s="3">
        <f>IF(ORIG!Q105=0,"",ORIG!Q105)</f>
        <v/>
      </c>
      <c r="R105" s="3">
        <f>IF(ORIG!R105=0,"",ORIG!R105)</f>
        <v/>
      </c>
      <c r="S105" s="3">
        <f>IF(ORIG!S105=0,"",ORIG!S105)</f>
        <v/>
      </c>
      <c r="T105" s="3">
        <f>IF(ORIG!T105=0,"",ORIG!T105)</f>
        <v/>
      </c>
      <c r="U105" s="3">
        <f>IF(ORIG!U105=0,"",ORIG!U105)</f>
        <v/>
      </c>
      <c r="V105" s="9">
        <f>IF(ORIG!V105=0,"",ORIG!V105)</f>
        <v/>
      </c>
      <c r="W105" s="9">
        <f>IF(ORIG!W105=0,"",ORIG!W105)</f>
        <v/>
      </c>
      <c r="X105" s="9">
        <f>IF(ORIG!X105=0,"",ORIG!X105)</f>
        <v/>
      </c>
      <c r="Y105" s="9">
        <f>IF(ORIG!Y105=0,"",ORIG!Y105)</f>
        <v/>
      </c>
      <c r="Z105" s="3">
        <f>SUMPRODUCT($B105:$Y105,$B$2649:$Y$2649)</f>
        <v/>
      </c>
      <c r="AA105" s="3">
        <f>SUMPRODUCT($B105:$Y105,$B$2655:$Y$2655)</f>
        <v/>
      </c>
      <c r="AC105" s="1">
        <f>A105</f>
        <v/>
      </c>
      <c r="AD105">
        <f>IF(ISNUMBER(V105),V105*($AB$1/V$2635),"")</f>
        <v/>
      </c>
      <c r="AE105">
        <f>IF(ISNUMBER(Z105),Z105*($AB$1/Z$2635),"")</f>
        <v/>
      </c>
      <c r="AF105" s="25">
        <f>IF(ISNUMBER(AD105+AE105),AD105+AE105,"")</f>
        <v/>
      </c>
      <c r="AH105" s="1">
        <f>A105</f>
        <v/>
      </c>
      <c r="AI105">
        <f>IF(ISNUMBER((1+V105)*AI104),(1+V105)*AI104,AI104)</f>
        <v/>
      </c>
      <c r="AJ105">
        <f>IF(ISNUMBER((1+Z105)*AJ104),(1+Z105)*AJ104,AJ104)</f>
        <v/>
      </c>
    </row>
    <row r="106">
      <c r="A106" s="1" t="n">
        <v>42157</v>
      </c>
      <c r="B106" s="3">
        <f>IF(ORIG!B106=0,"",ORIG!B106)</f>
        <v/>
      </c>
      <c r="C106" s="3">
        <f>IF(ORIG!C106=0,"",ORIG!C106)</f>
        <v/>
      </c>
      <c r="D106" s="3">
        <f>IF(ORIG!D106=0,"",ORIG!D106)</f>
        <v/>
      </c>
      <c r="E106" s="3">
        <f>IF(ORIG!E106=0,"",ORIG!E106)</f>
        <v/>
      </c>
      <c r="F106" s="3">
        <f>IF(ORIG!F106=0,"",ORIG!F106)</f>
        <v/>
      </c>
      <c r="G106" s="3">
        <f>IF(ORIG!G106=0,"",ORIG!G106)</f>
        <v/>
      </c>
      <c r="H106" s="3">
        <f>IF(ORIG!H106=0,"",ORIG!H106)</f>
        <v/>
      </c>
      <c r="I106" s="3">
        <f>IF(ORIG!I106=0,"",ORIG!I106)</f>
        <v/>
      </c>
      <c r="J106" s="3">
        <f>IF(ORIG!J106=0,"",ORIG!J106)</f>
        <v/>
      </c>
      <c r="K106" s="3">
        <f>IF(ORIG!K106=0,"",ORIG!K106)</f>
        <v/>
      </c>
      <c r="L106" s="3">
        <f>IF(ORIG!L106=0,"",ORIG!L106)</f>
        <v/>
      </c>
      <c r="M106" s="3">
        <f>IF(ORIG!M106=0,"",ORIG!M106)</f>
        <v/>
      </c>
      <c r="N106" s="3">
        <f>IF(ORIG!N106=0,"",ORIG!N106)</f>
        <v/>
      </c>
      <c r="O106" s="3">
        <f>IF(ORIG!O106=0,"",ORIG!O106)</f>
        <v/>
      </c>
      <c r="P106" s="3">
        <f>IF(ORIG!P106=0,"",ORIG!P106)</f>
        <v/>
      </c>
      <c r="Q106" s="3">
        <f>IF(ORIG!Q106=0,"",ORIG!Q106)</f>
        <v/>
      </c>
      <c r="R106" s="3">
        <f>IF(ORIG!R106=0,"",ORIG!R106)</f>
        <v/>
      </c>
      <c r="S106" s="3">
        <f>IF(ORIG!S106=0,"",ORIG!S106)</f>
        <v/>
      </c>
      <c r="T106" s="3">
        <f>IF(ORIG!T106=0,"",ORIG!T106)</f>
        <v/>
      </c>
      <c r="U106" s="3">
        <f>IF(ORIG!U106=0,"",ORIG!U106)</f>
        <v/>
      </c>
      <c r="V106" s="9">
        <f>IF(ORIG!V106=0,"",ORIG!V106)</f>
        <v/>
      </c>
      <c r="W106" s="9">
        <f>IF(ORIG!W106=0,"",ORIG!W106)</f>
        <v/>
      </c>
      <c r="X106" s="9">
        <f>IF(ORIG!X106=0,"",ORIG!X106)</f>
        <v/>
      </c>
      <c r="Y106" s="9">
        <f>IF(ORIG!Y106=0,"",ORIG!Y106)</f>
        <v/>
      </c>
      <c r="Z106" s="3">
        <f>SUMPRODUCT($B106:$Y106,$B$2649:$Y$2649)</f>
        <v/>
      </c>
      <c r="AA106" s="3">
        <f>SUMPRODUCT($B106:$Y106,$B$2655:$Y$2655)</f>
        <v/>
      </c>
      <c r="AC106" s="1">
        <f>A106</f>
        <v/>
      </c>
      <c r="AD106">
        <f>IF(ISNUMBER(V106),V106*($AB$1/V$2635),"")</f>
        <v/>
      </c>
      <c r="AE106">
        <f>IF(ISNUMBER(Z106),Z106*($AB$1/Z$2635),"")</f>
        <v/>
      </c>
      <c r="AF106" s="25">
        <f>IF(ISNUMBER(AD106+AE106),AD106+AE106,"")</f>
        <v/>
      </c>
      <c r="AH106" s="1">
        <f>A106</f>
        <v/>
      </c>
      <c r="AI106">
        <f>IF(ISNUMBER((1+V106)*AI105),(1+V106)*AI105,AI105)</f>
        <v/>
      </c>
      <c r="AJ106">
        <f>IF(ISNUMBER((1+Z106)*AJ105),(1+Z106)*AJ105,AJ105)</f>
        <v/>
      </c>
    </row>
    <row r="107">
      <c r="A107" s="1" t="n">
        <v>42158</v>
      </c>
      <c r="B107" s="3">
        <f>IF(ORIG!B107=0,"",ORIG!B107)</f>
        <v/>
      </c>
      <c r="C107" s="3">
        <f>IF(ORIG!C107=0,"",ORIG!C107)</f>
        <v/>
      </c>
      <c r="D107" s="3">
        <f>IF(ORIG!D107=0,"",ORIG!D107)</f>
        <v/>
      </c>
      <c r="E107" s="3">
        <f>IF(ORIG!E107=0,"",ORIG!E107)</f>
        <v/>
      </c>
      <c r="F107" s="3">
        <f>IF(ORIG!F107=0,"",ORIG!F107)</f>
        <v/>
      </c>
      <c r="G107" s="3">
        <f>IF(ORIG!G107=0,"",ORIG!G107)</f>
        <v/>
      </c>
      <c r="H107" s="3">
        <f>IF(ORIG!H107=0,"",ORIG!H107)</f>
        <v/>
      </c>
      <c r="I107" s="3">
        <f>IF(ORIG!I107=0,"",ORIG!I107)</f>
        <v/>
      </c>
      <c r="J107" s="3">
        <f>IF(ORIG!J107=0,"",ORIG!J107)</f>
        <v/>
      </c>
      <c r="K107" s="3">
        <f>IF(ORIG!K107=0,"",ORIG!K107)</f>
        <v/>
      </c>
      <c r="L107" s="3">
        <f>IF(ORIG!L107=0,"",ORIG!L107)</f>
        <v/>
      </c>
      <c r="M107" s="3">
        <f>IF(ORIG!M107=0,"",ORIG!M107)</f>
        <v/>
      </c>
      <c r="N107" s="3">
        <f>IF(ORIG!N107=0,"",ORIG!N107)</f>
        <v/>
      </c>
      <c r="O107" s="3">
        <f>IF(ORIG!O107=0,"",ORIG!O107)</f>
        <v/>
      </c>
      <c r="P107" s="3">
        <f>IF(ORIG!P107=0,"",ORIG!P107)</f>
        <v/>
      </c>
      <c r="Q107" s="3">
        <f>IF(ORIG!Q107=0,"",ORIG!Q107)</f>
        <v/>
      </c>
      <c r="R107" s="3">
        <f>IF(ORIG!R107=0,"",ORIG!R107)</f>
        <v/>
      </c>
      <c r="S107" s="3">
        <f>IF(ORIG!S107=0,"",ORIG!S107)</f>
        <v/>
      </c>
      <c r="T107" s="3">
        <f>IF(ORIG!T107=0,"",ORIG!T107)</f>
        <v/>
      </c>
      <c r="U107" s="3">
        <f>IF(ORIG!U107=0,"",ORIG!U107)</f>
        <v/>
      </c>
      <c r="V107" s="9">
        <f>IF(ORIG!V107=0,"",ORIG!V107)</f>
        <v/>
      </c>
      <c r="W107" s="9">
        <f>IF(ORIG!W107=0,"",ORIG!W107)</f>
        <v/>
      </c>
      <c r="X107" s="9">
        <f>IF(ORIG!X107=0,"",ORIG!X107)</f>
        <v/>
      </c>
      <c r="Y107" s="9">
        <f>IF(ORIG!Y107=0,"",ORIG!Y107)</f>
        <v/>
      </c>
      <c r="Z107" s="3">
        <f>SUMPRODUCT($B107:$Y107,$B$2649:$Y$2649)</f>
        <v/>
      </c>
      <c r="AA107" s="3">
        <f>SUMPRODUCT($B107:$Y107,$B$2655:$Y$2655)</f>
        <v/>
      </c>
      <c r="AC107" s="1">
        <f>A107</f>
        <v/>
      </c>
      <c r="AD107">
        <f>IF(ISNUMBER(V107),V107*($AB$1/V$2635),"")</f>
        <v/>
      </c>
      <c r="AE107">
        <f>IF(ISNUMBER(Z107),Z107*($AB$1/Z$2635),"")</f>
        <v/>
      </c>
      <c r="AF107" s="25">
        <f>IF(ISNUMBER(AD107+AE107),AD107+AE107,"")</f>
        <v/>
      </c>
      <c r="AH107" s="1">
        <f>A107</f>
        <v/>
      </c>
      <c r="AI107">
        <f>IF(ISNUMBER((1+V107)*AI106),(1+V107)*AI106,AI106)</f>
        <v/>
      </c>
      <c r="AJ107">
        <f>IF(ISNUMBER((1+Z107)*AJ106),(1+Z107)*AJ106,AJ106)</f>
        <v/>
      </c>
    </row>
    <row r="108">
      <c r="A108" s="1" t="n">
        <v>42159</v>
      </c>
      <c r="B108" s="3">
        <f>IF(ORIG!B108=0,"",ORIG!B108)</f>
        <v/>
      </c>
      <c r="C108" s="3">
        <f>IF(ORIG!C108=0,"",ORIG!C108)</f>
        <v/>
      </c>
      <c r="D108" s="3">
        <f>IF(ORIG!D108=0,"",ORIG!D108)</f>
        <v/>
      </c>
      <c r="E108" s="3">
        <f>IF(ORIG!E108=0,"",ORIG!E108)</f>
        <v/>
      </c>
      <c r="F108" s="3">
        <f>IF(ORIG!F108=0,"",ORIG!F108)</f>
        <v/>
      </c>
      <c r="G108" s="3">
        <f>IF(ORIG!G108=0,"",ORIG!G108)</f>
        <v/>
      </c>
      <c r="H108" s="3">
        <f>IF(ORIG!H108=0,"",ORIG!H108)</f>
        <v/>
      </c>
      <c r="I108" s="3">
        <f>IF(ORIG!I108=0,"",ORIG!I108)</f>
        <v/>
      </c>
      <c r="J108" s="3">
        <f>IF(ORIG!J108=0,"",ORIG!J108)</f>
        <v/>
      </c>
      <c r="K108" s="3">
        <f>IF(ORIG!K108=0,"",ORIG!K108)</f>
        <v/>
      </c>
      <c r="L108" s="3">
        <f>IF(ORIG!L108=0,"",ORIG!L108)</f>
        <v/>
      </c>
      <c r="M108" s="3">
        <f>IF(ORIG!M108=0,"",ORIG!M108)</f>
        <v/>
      </c>
      <c r="N108" s="3">
        <f>IF(ORIG!N108=0,"",ORIG!N108)</f>
        <v/>
      </c>
      <c r="O108" s="3">
        <f>IF(ORIG!O108=0,"",ORIG!O108)</f>
        <v/>
      </c>
      <c r="P108" s="3">
        <f>IF(ORIG!P108=0,"",ORIG!P108)</f>
        <v/>
      </c>
      <c r="Q108" s="3">
        <f>IF(ORIG!Q108=0,"",ORIG!Q108)</f>
        <v/>
      </c>
      <c r="R108" s="3">
        <f>IF(ORIG!R108=0,"",ORIG!R108)</f>
        <v/>
      </c>
      <c r="S108" s="3">
        <f>IF(ORIG!S108=0,"",ORIG!S108)</f>
        <v/>
      </c>
      <c r="T108" s="3">
        <f>IF(ORIG!T108=0,"",ORIG!T108)</f>
        <v/>
      </c>
      <c r="U108" s="3">
        <f>IF(ORIG!U108=0,"",ORIG!U108)</f>
        <v/>
      </c>
      <c r="V108" s="9">
        <f>IF(ORIG!V108=0,"",ORIG!V108)</f>
        <v/>
      </c>
      <c r="W108" s="9">
        <f>IF(ORIG!W108=0,"",ORIG!W108)</f>
        <v/>
      </c>
      <c r="X108" s="9">
        <f>IF(ORIG!X108=0,"",ORIG!X108)</f>
        <v/>
      </c>
      <c r="Y108" s="9">
        <f>IF(ORIG!Y108=0,"",ORIG!Y108)</f>
        <v/>
      </c>
      <c r="Z108" s="3">
        <f>SUMPRODUCT($B108:$Y108,$B$2649:$Y$2649)</f>
        <v/>
      </c>
      <c r="AA108" s="3">
        <f>SUMPRODUCT($B108:$Y108,$B$2655:$Y$2655)</f>
        <v/>
      </c>
      <c r="AC108" s="1">
        <f>A108</f>
        <v/>
      </c>
      <c r="AD108">
        <f>IF(ISNUMBER(V108),V108*($AB$1/V$2635),"")</f>
        <v/>
      </c>
      <c r="AE108">
        <f>IF(ISNUMBER(Z108),Z108*($AB$1/Z$2635),"")</f>
        <v/>
      </c>
      <c r="AF108" s="25">
        <f>IF(ISNUMBER(AD108+AE108),AD108+AE108,"")</f>
        <v/>
      </c>
      <c r="AH108" s="1">
        <f>A108</f>
        <v/>
      </c>
      <c r="AI108">
        <f>IF(ISNUMBER((1+V108)*AI107),(1+V108)*AI107,AI107)</f>
        <v/>
      </c>
      <c r="AJ108">
        <f>IF(ISNUMBER((1+Z108)*AJ107),(1+Z108)*AJ107,AJ107)</f>
        <v/>
      </c>
    </row>
    <row r="109">
      <c r="A109" s="1" t="n">
        <v>42160</v>
      </c>
      <c r="B109" s="3">
        <f>IF(ORIG!B109=0,"",ORIG!B109)</f>
        <v/>
      </c>
      <c r="C109" s="3">
        <f>IF(ORIG!C109=0,"",ORIG!C109)</f>
        <v/>
      </c>
      <c r="D109" s="3">
        <f>IF(ORIG!D109=0,"",ORIG!D109)</f>
        <v/>
      </c>
      <c r="E109" s="3">
        <f>IF(ORIG!E109=0,"",ORIG!E109)</f>
        <v/>
      </c>
      <c r="F109" s="3">
        <f>IF(ORIG!F109=0,"",ORIG!F109)</f>
        <v/>
      </c>
      <c r="G109" s="3">
        <f>IF(ORIG!G109=0,"",ORIG!G109)</f>
        <v/>
      </c>
      <c r="H109" s="3">
        <f>IF(ORIG!H109=0,"",ORIG!H109)</f>
        <v/>
      </c>
      <c r="I109" s="3">
        <f>IF(ORIG!I109=0,"",ORIG!I109)</f>
        <v/>
      </c>
      <c r="J109" s="3">
        <f>IF(ORIG!J109=0,"",ORIG!J109)</f>
        <v/>
      </c>
      <c r="K109" s="3">
        <f>IF(ORIG!K109=0,"",ORIG!K109)</f>
        <v/>
      </c>
      <c r="L109" s="3">
        <f>IF(ORIG!L109=0,"",ORIG!L109)</f>
        <v/>
      </c>
      <c r="M109" s="3">
        <f>IF(ORIG!M109=0,"",ORIG!M109)</f>
        <v/>
      </c>
      <c r="N109" s="3">
        <f>IF(ORIG!N109=0,"",ORIG!N109)</f>
        <v/>
      </c>
      <c r="O109" s="3">
        <f>IF(ORIG!O109=0,"",ORIG!O109)</f>
        <v/>
      </c>
      <c r="P109" s="3">
        <f>IF(ORIG!P109=0,"",ORIG!P109)</f>
        <v/>
      </c>
      <c r="Q109" s="3">
        <f>IF(ORIG!Q109=0,"",ORIG!Q109)</f>
        <v/>
      </c>
      <c r="R109" s="3">
        <f>IF(ORIG!R109=0,"",ORIG!R109)</f>
        <v/>
      </c>
      <c r="S109" s="3">
        <f>IF(ORIG!S109=0,"",ORIG!S109)</f>
        <v/>
      </c>
      <c r="T109" s="3">
        <f>IF(ORIG!T109=0,"",ORIG!T109)</f>
        <v/>
      </c>
      <c r="U109" s="3">
        <f>IF(ORIG!U109=0,"",ORIG!U109)</f>
        <v/>
      </c>
      <c r="V109" s="9">
        <f>IF(ORIG!V109=0,"",ORIG!V109)</f>
        <v/>
      </c>
      <c r="W109" s="9">
        <f>IF(ORIG!W109=0,"",ORIG!W109)</f>
        <v/>
      </c>
      <c r="X109" s="9">
        <f>IF(ORIG!X109=0,"",ORIG!X109)</f>
        <v/>
      </c>
      <c r="Y109" s="9">
        <f>IF(ORIG!Y109=0,"",ORIG!Y109)</f>
        <v/>
      </c>
      <c r="Z109" s="3">
        <f>SUMPRODUCT($B109:$Y109,$B$2649:$Y$2649)</f>
        <v/>
      </c>
      <c r="AA109" s="3">
        <f>SUMPRODUCT($B109:$Y109,$B$2655:$Y$2655)</f>
        <v/>
      </c>
      <c r="AC109" s="1">
        <f>A109</f>
        <v/>
      </c>
      <c r="AD109">
        <f>IF(ISNUMBER(V109),V109*($AB$1/V$2635),"")</f>
        <v/>
      </c>
      <c r="AE109">
        <f>IF(ISNUMBER(Z109),Z109*($AB$1/Z$2635),"")</f>
        <v/>
      </c>
      <c r="AF109" s="25">
        <f>IF(ISNUMBER(AD109+AE109),AD109+AE109,"")</f>
        <v/>
      </c>
      <c r="AH109" s="1">
        <f>A109</f>
        <v/>
      </c>
      <c r="AI109">
        <f>IF(ISNUMBER((1+V109)*AI108),(1+V109)*AI108,AI108)</f>
        <v/>
      </c>
      <c r="AJ109">
        <f>IF(ISNUMBER((1+Z109)*AJ108),(1+Z109)*AJ108,AJ108)</f>
        <v/>
      </c>
    </row>
    <row r="110">
      <c r="A110" s="1" t="n">
        <v>42163</v>
      </c>
      <c r="B110" s="3">
        <f>IF(ORIG!B110=0,"",ORIG!B110)</f>
        <v/>
      </c>
      <c r="C110" s="3">
        <f>IF(ORIG!C110=0,"",ORIG!C110)</f>
        <v/>
      </c>
      <c r="D110" s="3">
        <f>IF(ORIG!D110=0,"",ORIG!D110)</f>
        <v/>
      </c>
      <c r="E110" s="3">
        <f>IF(ORIG!E110=0,"",ORIG!E110)</f>
        <v/>
      </c>
      <c r="F110" s="3">
        <f>IF(ORIG!F110=0,"",ORIG!F110)</f>
        <v/>
      </c>
      <c r="G110" s="3">
        <f>IF(ORIG!G110=0,"",ORIG!G110)</f>
        <v/>
      </c>
      <c r="H110" s="3">
        <f>IF(ORIG!H110=0,"",ORIG!H110)</f>
        <v/>
      </c>
      <c r="I110" s="3">
        <f>IF(ORIG!I110=0,"",ORIG!I110)</f>
        <v/>
      </c>
      <c r="J110" s="3">
        <f>IF(ORIG!J110=0,"",ORIG!J110)</f>
        <v/>
      </c>
      <c r="K110" s="3">
        <f>IF(ORIG!K110=0,"",ORIG!K110)</f>
        <v/>
      </c>
      <c r="L110" s="3">
        <f>IF(ORIG!L110=0,"",ORIG!L110)</f>
        <v/>
      </c>
      <c r="M110" s="3">
        <f>IF(ORIG!M110=0,"",ORIG!M110)</f>
        <v/>
      </c>
      <c r="N110" s="3">
        <f>IF(ORIG!N110=0,"",ORIG!N110)</f>
        <v/>
      </c>
      <c r="O110" s="3">
        <f>IF(ORIG!O110=0,"",ORIG!O110)</f>
        <v/>
      </c>
      <c r="P110" s="3">
        <f>IF(ORIG!P110=0,"",ORIG!P110)</f>
        <v/>
      </c>
      <c r="Q110" s="3">
        <f>IF(ORIG!Q110=0,"",ORIG!Q110)</f>
        <v/>
      </c>
      <c r="R110" s="3">
        <f>IF(ORIG!R110=0,"",ORIG!R110)</f>
        <v/>
      </c>
      <c r="S110" s="3">
        <f>IF(ORIG!S110=0,"",ORIG!S110)</f>
        <v/>
      </c>
      <c r="T110" s="3">
        <f>IF(ORIG!T110=0,"",ORIG!T110)</f>
        <v/>
      </c>
      <c r="U110" s="3">
        <f>IF(ORIG!U110=0,"",ORIG!U110)</f>
        <v/>
      </c>
      <c r="V110" s="9">
        <f>IF(ORIG!V110=0,"",ORIG!V110)</f>
        <v/>
      </c>
      <c r="W110" s="9">
        <f>IF(ORIG!W110=0,"",ORIG!W110)</f>
        <v/>
      </c>
      <c r="X110" s="9">
        <f>IF(ORIG!X110=0,"",ORIG!X110)</f>
        <v/>
      </c>
      <c r="Y110" s="9">
        <f>IF(ORIG!Y110=0,"",ORIG!Y110)</f>
        <v/>
      </c>
      <c r="Z110" s="3">
        <f>SUMPRODUCT($B110:$Y110,$B$2649:$Y$2649)</f>
        <v/>
      </c>
      <c r="AA110" s="3">
        <f>SUMPRODUCT($B110:$Y110,$B$2655:$Y$2655)</f>
        <v/>
      </c>
      <c r="AC110" s="1">
        <f>A110</f>
        <v/>
      </c>
      <c r="AD110">
        <f>IF(ISNUMBER(V110),V110*($AB$1/V$2635),"")</f>
        <v/>
      </c>
      <c r="AE110">
        <f>IF(ISNUMBER(Z110),Z110*($AB$1/Z$2635),"")</f>
        <v/>
      </c>
      <c r="AF110" s="25">
        <f>IF(ISNUMBER(AD110+AE110),AD110+AE110,"")</f>
        <v/>
      </c>
      <c r="AH110" s="1">
        <f>A110</f>
        <v/>
      </c>
      <c r="AI110">
        <f>IF(ISNUMBER((1+V110)*AI109),(1+V110)*AI109,AI109)</f>
        <v/>
      </c>
      <c r="AJ110">
        <f>IF(ISNUMBER((1+Z110)*AJ109),(1+Z110)*AJ109,AJ109)</f>
        <v/>
      </c>
    </row>
    <row r="111">
      <c r="A111" s="1" t="n">
        <v>42164</v>
      </c>
      <c r="B111" s="3">
        <f>IF(ORIG!B111=0,"",ORIG!B111)</f>
        <v/>
      </c>
      <c r="C111" s="3">
        <f>IF(ORIG!C111=0,"",ORIG!C111)</f>
        <v/>
      </c>
      <c r="D111" s="3">
        <f>IF(ORIG!D111=0,"",ORIG!D111)</f>
        <v/>
      </c>
      <c r="E111" s="3">
        <f>IF(ORIG!E111=0,"",ORIG!E111)</f>
        <v/>
      </c>
      <c r="F111" s="3">
        <f>IF(ORIG!F111=0,"",ORIG!F111)</f>
        <v/>
      </c>
      <c r="G111" s="3">
        <f>IF(ORIG!G111=0,"",ORIG!G111)</f>
        <v/>
      </c>
      <c r="H111" s="3">
        <f>IF(ORIG!H111=0,"",ORIG!H111)</f>
        <v/>
      </c>
      <c r="I111" s="3">
        <f>IF(ORIG!I111=0,"",ORIG!I111)</f>
        <v/>
      </c>
      <c r="J111" s="3">
        <f>IF(ORIG!J111=0,"",ORIG!J111)</f>
        <v/>
      </c>
      <c r="K111" s="3">
        <f>IF(ORIG!K111=0,"",ORIG!K111)</f>
        <v/>
      </c>
      <c r="L111" s="3">
        <f>IF(ORIG!L111=0,"",ORIG!L111)</f>
        <v/>
      </c>
      <c r="M111" s="3">
        <f>IF(ORIG!M111=0,"",ORIG!M111)</f>
        <v/>
      </c>
      <c r="N111" s="3">
        <f>IF(ORIG!N111=0,"",ORIG!N111)</f>
        <v/>
      </c>
      <c r="O111" s="3">
        <f>IF(ORIG!O111=0,"",ORIG!O111)</f>
        <v/>
      </c>
      <c r="P111" s="3">
        <f>IF(ORIG!P111=0,"",ORIG!P111)</f>
        <v/>
      </c>
      <c r="Q111" s="3">
        <f>IF(ORIG!Q111=0,"",ORIG!Q111)</f>
        <v/>
      </c>
      <c r="R111" s="3">
        <f>IF(ORIG!R111=0,"",ORIG!R111)</f>
        <v/>
      </c>
      <c r="S111" s="3">
        <f>IF(ORIG!S111=0,"",ORIG!S111)</f>
        <v/>
      </c>
      <c r="T111" s="3">
        <f>IF(ORIG!T111=0,"",ORIG!T111)</f>
        <v/>
      </c>
      <c r="U111" s="3">
        <f>IF(ORIG!U111=0,"",ORIG!U111)</f>
        <v/>
      </c>
      <c r="V111" s="9">
        <f>IF(ORIG!V111=0,"",ORIG!V111)</f>
        <v/>
      </c>
      <c r="W111" s="9">
        <f>IF(ORIG!W111=0,"",ORIG!W111)</f>
        <v/>
      </c>
      <c r="X111" s="9">
        <f>IF(ORIG!X111=0,"",ORIG!X111)</f>
        <v/>
      </c>
      <c r="Y111" s="9">
        <f>IF(ORIG!Y111=0,"",ORIG!Y111)</f>
        <v/>
      </c>
      <c r="Z111" s="3">
        <f>SUMPRODUCT($B111:$Y111,$B$2649:$Y$2649)</f>
        <v/>
      </c>
      <c r="AA111" s="3">
        <f>SUMPRODUCT($B111:$Y111,$B$2655:$Y$2655)</f>
        <v/>
      </c>
      <c r="AC111" s="1">
        <f>A111</f>
        <v/>
      </c>
      <c r="AD111">
        <f>IF(ISNUMBER(V111),V111*($AB$1/V$2635),"")</f>
        <v/>
      </c>
      <c r="AE111">
        <f>IF(ISNUMBER(Z111),Z111*($AB$1/Z$2635),"")</f>
        <v/>
      </c>
      <c r="AF111" s="25">
        <f>IF(ISNUMBER(AD111+AE111),AD111+AE111,"")</f>
        <v/>
      </c>
      <c r="AH111" s="1">
        <f>A111</f>
        <v/>
      </c>
      <c r="AI111">
        <f>IF(ISNUMBER((1+V111)*AI110),(1+V111)*AI110,AI110)</f>
        <v/>
      </c>
      <c r="AJ111">
        <f>IF(ISNUMBER((1+Z111)*AJ110),(1+Z111)*AJ110,AJ110)</f>
        <v/>
      </c>
    </row>
    <row r="112">
      <c r="A112" s="1" t="n">
        <v>42165</v>
      </c>
      <c r="B112" s="3">
        <f>IF(ORIG!B112=0,"",ORIG!B112)</f>
        <v/>
      </c>
      <c r="C112" s="3">
        <f>IF(ORIG!C112=0,"",ORIG!C112)</f>
        <v/>
      </c>
      <c r="D112" s="3">
        <f>IF(ORIG!D112=0,"",ORIG!D112)</f>
        <v/>
      </c>
      <c r="E112" s="3">
        <f>IF(ORIG!E112=0,"",ORIG!E112)</f>
        <v/>
      </c>
      <c r="F112" s="3">
        <f>IF(ORIG!F112=0,"",ORIG!F112)</f>
        <v/>
      </c>
      <c r="G112" s="3">
        <f>IF(ORIG!G112=0,"",ORIG!G112)</f>
        <v/>
      </c>
      <c r="H112" s="3">
        <f>IF(ORIG!H112=0,"",ORIG!H112)</f>
        <v/>
      </c>
      <c r="I112" s="3">
        <f>IF(ORIG!I112=0,"",ORIG!I112)</f>
        <v/>
      </c>
      <c r="J112" s="3">
        <f>IF(ORIG!J112=0,"",ORIG!J112)</f>
        <v/>
      </c>
      <c r="K112" s="3">
        <f>IF(ORIG!K112=0,"",ORIG!K112)</f>
        <v/>
      </c>
      <c r="L112" s="3">
        <f>IF(ORIG!L112=0,"",ORIG!L112)</f>
        <v/>
      </c>
      <c r="M112" s="3">
        <f>IF(ORIG!M112=0,"",ORIG!M112)</f>
        <v/>
      </c>
      <c r="N112" s="3">
        <f>IF(ORIG!N112=0,"",ORIG!N112)</f>
        <v/>
      </c>
      <c r="O112" s="3">
        <f>IF(ORIG!O112=0,"",ORIG!O112)</f>
        <v/>
      </c>
      <c r="P112" s="3">
        <f>IF(ORIG!P112=0,"",ORIG!P112)</f>
        <v/>
      </c>
      <c r="Q112" s="3">
        <f>IF(ORIG!Q112=0,"",ORIG!Q112)</f>
        <v/>
      </c>
      <c r="R112" s="3">
        <f>IF(ORIG!R112=0,"",ORIG!R112)</f>
        <v/>
      </c>
      <c r="S112" s="3">
        <f>IF(ORIG!S112=0,"",ORIG!S112)</f>
        <v/>
      </c>
      <c r="T112" s="3">
        <f>IF(ORIG!T112=0,"",ORIG!T112)</f>
        <v/>
      </c>
      <c r="U112" s="3">
        <f>IF(ORIG!U112=0,"",ORIG!U112)</f>
        <v/>
      </c>
      <c r="V112" s="9">
        <f>IF(ORIG!V112=0,"",ORIG!V112)</f>
        <v/>
      </c>
      <c r="W112" s="9">
        <f>IF(ORIG!W112=0,"",ORIG!W112)</f>
        <v/>
      </c>
      <c r="X112" s="9">
        <f>IF(ORIG!X112=0,"",ORIG!X112)</f>
        <v/>
      </c>
      <c r="Y112" s="9">
        <f>IF(ORIG!Y112=0,"",ORIG!Y112)</f>
        <v/>
      </c>
      <c r="Z112" s="3">
        <f>SUMPRODUCT($B112:$Y112,$B$2649:$Y$2649)</f>
        <v/>
      </c>
      <c r="AA112" s="3">
        <f>SUMPRODUCT($B112:$Y112,$B$2655:$Y$2655)</f>
        <v/>
      </c>
      <c r="AC112" s="1">
        <f>A112</f>
        <v/>
      </c>
      <c r="AD112">
        <f>IF(ISNUMBER(V112),V112*($AB$1/V$2635),"")</f>
        <v/>
      </c>
      <c r="AE112">
        <f>IF(ISNUMBER(Z112),Z112*($AB$1/Z$2635),"")</f>
        <v/>
      </c>
      <c r="AF112" s="25">
        <f>IF(ISNUMBER(AD112+AE112),AD112+AE112,"")</f>
        <v/>
      </c>
      <c r="AH112" s="1">
        <f>A112</f>
        <v/>
      </c>
      <c r="AI112">
        <f>IF(ISNUMBER((1+V112)*AI111),(1+V112)*AI111,AI111)</f>
        <v/>
      </c>
      <c r="AJ112">
        <f>IF(ISNUMBER((1+Z112)*AJ111),(1+Z112)*AJ111,AJ111)</f>
        <v/>
      </c>
    </row>
    <row r="113">
      <c r="A113" s="1" t="n">
        <v>42166</v>
      </c>
      <c r="B113" s="3">
        <f>IF(ORIG!B113=0,"",ORIG!B113)</f>
        <v/>
      </c>
      <c r="C113" s="3">
        <f>IF(ORIG!C113=0,"",ORIG!C113)</f>
        <v/>
      </c>
      <c r="D113" s="3">
        <f>IF(ORIG!D113=0,"",ORIG!D113)</f>
        <v/>
      </c>
      <c r="E113" s="3">
        <f>IF(ORIG!E113=0,"",ORIG!E113)</f>
        <v/>
      </c>
      <c r="F113" s="3">
        <f>IF(ORIG!F113=0,"",ORIG!F113)</f>
        <v/>
      </c>
      <c r="G113" s="3">
        <f>IF(ORIG!G113=0,"",ORIG!G113)</f>
        <v/>
      </c>
      <c r="H113" s="3">
        <f>IF(ORIG!H113=0,"",ORIG!H113)</f>
        <v/>
      </c>
      <c r="I113" s="3">
        <f>IF(ORIG!I113=0,"",ORIG!I113)</f>
        <v/>
      </c>
      <c r="J113" s="3">
        <f>IF(ORIG!J113=0,"",ORIG!J113)</f>
        <v/>
      </c>
      <c r="K113" s="3">
        <f>IF(ORIG!K113=0,"",ORIG!K113)</f>
        <v/>
      </c>
      <c r="L113" s="3">
        <f>IF(ORIG!L113=0,"",ORIG!L113)</f>
        <v/>
      </c>
      <c r="M113" s="3">
        <f>IF(ORIG!M113=0,"",ORIG!M113)</f>
        <v/>
      </c>
      <c r="N113" s="3">
        <f>IF(ORIG!N113=0,"",ORIG!N113)</f>
        <v/>
      </c>
      <c r="O113" s="3">
        <f>IF(ORIG!O113=0,"",ORIG!O113)</f>
        <v/>
      </c>
      <c r="P113" s="3">
        <f>IF(ORIG!P113=0,"",ORIG!P113)</f>
        <v/>
      </c>
      <c r="Q113" s="3">
        <f>IF(ORIG!Q113=0,"",ORIG!Q113)</f>
        <v/>
      </c>
      <c r="R113" s="3">
        <f>IF(ORIG!R113=0,"",ORIG!R113)</f>
        <v/>
      </c>
      <c r="S113" s="3">
        <f>IF(ORIG!S113=0,"",ORIG!S113)</f>
        <v/>
      </c>
      <c r="T113" s="3">
        <f>IF(ORIG!T113=0,"",ORIG!T113)</f>
        <v/>
      </c>
      <c r="U113" s="3">
        <f>IF(ORIG!U113=0,"",ORIG!U113)</f>
        <v/>
      </c>
      <c r="V113" s="9">
        <f>IF(ORIG!V113=0,"",ORIG!V113)</f>
        <v/>
      </c>
      <c r="W113" s="9">
        <f>IF(ORIG!W113=0,"",ORIG!W113)</f>
        <v/>
      </c>
      <c r="X113" s="9">
        <f>IF(ORIG!X113=0,"",ORIG!X113)</f>
        <v/>
      </c>
      <c r="Y113" s="9">
        <f>IF(ORIG!Y113=0,"",ORIG!Y113)</f>
        <v/>
      </c>
      <c r="Z113" s="3">
        <f>SUMPRODUCT($B113:$Y113,$B$2649:$Y$2649)</f>
        <v/>
      </c>
      <c r="AA113" s="3">
        <f>SUMPRODUCT($B113:$Y113,$B$2655:$Y$2655)</f>
        <v/>
      </c>
      <c r="AC113" s="1">
        <f>A113</f>
        <v/>
      </c>
      <c r="AD113">
        <f>IF(ISNUMBER(V113),V113*($AB$1/V$2635),"")</f>
        <v/>
      </c>
      <c r="AE113">
        <f>IF(ISNUMBER(Z113),Z113*($AB$1/Z$2635),"")</f>
        <v/>
      </c>
      <c r="AF113" s="25">
        <f>IF(ISNUMBER(AD113+AE113),AD113+AE113,"")</f>
        <v/>
      </c>
      <c r="AH113" s="1">
        <f>A113</f>
        <v/>
      </c>
      <c r="AI113">
        <f>IF(ISNUMBER((1+V113)*AI112),(1+V113)*AI112,AI112)</f>
        <v/>
      </c>
      <c r="AJ113">
        <f>IF(ISNUMBER((1+Z113)*AJ112),(1+Z113)*AJ112,AJ112)</f>
        <v/>
      </c>
    </row>
    <row r="114">
      <c r="A114" s="1" t="n">
        <v>42167</v>
      </c>
      <c r="B114" s="3">
        <f>IF(ORIG!B114=0,"",ORIG!B114)</f>
        <v/>
      </c>
      <c r="C114" s="3">
        <f>IF(ORIG!C114=0,"",ORIG!C114)</f>
        <v/>
      </c>
      <c r="D114" s="3">
        <f>IF(ORIG!D114=0,"",ORIG!D114)</f>
        <v/>
      </c>
      <c r="E114" s="3">
        <f>IF(ORIG!E114=0,"",ORIG!E114)</f>
        <v/>
      </c>
      <c r="F114" s="3">
        <f>IF(ORIG!F114=0,"",ORIG!F114)</f>
        <v/>
      </c>
      <c r="G114" s="3">
        <f>IF(ORIG!G114=0,"",ORIG!G114)</f>
        <v/>
      </c>
      <c r="H114" s="3">
        <f>IF(ORIG!H114=0,"",ORIG!H114)</f>
        <v/>
      </c>
      <c r="I114" s="3">
        <f>IF(ORIG!I114=0,"",ORIG!I114)</f>
        <v/>
      </c>
      <c r="J114" s="3">
        <f>IF(ORIG!J114=0,"",ORIG!J114)</f>
        <v/>
      </c>
      <c r="K114" s="3">
        <f>IF(ORIG!K114=0,"",ORIG!K114)</f>
        <v/>
      </c>
      <c r="L114" s="3">
        <f>IF(ORIG!L114=0,"",ORIG!L114)</f>
        <v/>
      </c>
      <c r="M114" s="3">
        <f>IF(ORIG!M114=0,"",ORIG!M114)</f>
        <v/>
      </c>
      <c r="N114" s="3">
        <f>IF(ORIG!N114=0,"",ORIG!N114)</f>
        <v/>
      </c>
      <c r="O114" s="3">
        <f>IF(ORIG!O114=0,"",ORIG!O114)</f>
        <v/>
      </c>
      <c r="P114" s="3">
        <f>IF(ORIG!P114=0,"",ORIG!P114)</f>
        <v/>
      </c>
      <c r="Q114" s="3">
        <f>IF(ORIG!Q114=0,"",ORIG!Q114)</f>
        <v/>
      </c>
      <c r="R114" s="3">
        <f>IF(ORIG!R114=0,"",ORIG!R114)</f>
        <v/>
      </c>
      <c r="S114" s="3">
        <f>IF(ORIG!S114=0,"",ORIG!S114)</f>
        <v/>
      </c>
      <c r="T114" s="3">
        <f>IF(ORIG!T114=0,"",ORIG!T114)</f>
        <v/>
      </c>
      <c r="U114" s="3">
        <f>IF(ORIG!U114=0,"",ORIG!U114)</f>
        <v/>
      </c>
      <c r="V114" s="9">
        <f>IF(ORIG!V114=0,"",ORIG!V114)</f>
        <v/>
      </c>
      <c r="W114" s="9">
        <f>IF(ORIG!W114=0,"",ORIG!W114)</f>
        <v/>
      </c>
      <c r="X114" s="9">
        <f>IF(ORIG!X114=0,"",ORIG!X114)</f>
        <v/>
      </c>
      <c r="Y114" s="9">
        <f>IF(ORIG!Y114=0,"",ORIG!Y114)</f>
        <v/>
      </c>
      <c r="Z114" s="3">
        <f>SUMPRODUCT($B114:$Y114,$B$2649:$Y$2649)</f>
        <v/>
      </c>
      <c r="AA114" s="3">
        <f>SUMPRODUCT($B114:$Y114,$B$2655:$Y$2655)</f>
        <v/>
      </c>
      <c r="AC114" s="1">
        <f>A114</f>
        <v/>
      </c>
      <c r="AD114">
        <f>IF(ISNUMBER(V114),V114*($AB$1/V$2635),"")</f>
        <v/>
      </c>
      <c r="AE114">
        <f>IF(ISNUMBER(Z114),Z114*($AB$1/Z$2635),"")</f>
        <v/>
      </c>
      <c r="AF114" s="25">
        <f>IF(ISNUMBER(AD114+AE114),AD114+AE114,"")</f>
        <v/>
      </c>
      <c r="AH114" s="1">
        <f>A114</f>
        <v/>
      </c>
      <c r="AI114">
        <f>IF(ISNUMBER((1+V114)*AI113),(1+V114)*AI113,AI113)</f>
        <v/>
      </c>
      <c r="AJ114">
        <f>IF(ISNUMBER((1+Z114)*AJ113),(1+Z114)*AJ113,AJ113)</f>
        <v/>
      </c>
    </row>
    <row r="115">
      <c r="A115" s="1" t="n">
        <v>42170</v>
      </c>
      <c r="B115" s="3">
        <f>IF(ORIG!B115=0,"",ORIG!B115)</f>
        <v/>
      </c>
      <c r="C115" s="3">
        <f>IF(ORIG!C115=0,"",ORIG!C115)</f>
        <v/>
      </c>
      <c r="D115" s="3">
        <f>IF(ORIG!D115=0,"",ORIG!D115)</f>
        <v/>
      </c>
      <c r="E115" s="3">
        <f>IF(ORIG!E115=0,"",ORIG!E115)</f>
        <v/>
      </c>
      <c r="F115" s="3">
        <f>IF(ORIG!F115=0,"",ORIG!F115)</f>
        <v/>
      </c>
      <c r="G115" s="3">
        <f>IF(ORIG!G115=0,"",ORIG!G115)</f>
        <v/>
      </c>
      <c r="H115" s="3">
        <f>IF(ORIG!H115=0,"",ORIG!H115)</f>
        <v/>
      </c>
      <c r="I115" s="3">
        <f>IF(ORIG!I115=0,"",ORIG!I115)</f>
        <v/>
      </c>
      <c r="J115" s="3">
        <f>IF(ORIG!J115=0,"",ORIG!J115)</f>
        <v/>
      </c>
      <c r="K115" s="3">
        <f>IF(ORIG!K115=0,"",ORIG!K115)</f>
        <v/>
      </c>
      <c r="L115" s="3">
        <f>IF(ORIG!L115=0,"",ORIG!L115)</f>
        <v/>
      </c>
      <c r="M115" s="3">
        <f>IF(ORIG!M115=0,"",ORIG!M115)</f>
        <v/>
      </c>
      <c r="N115" s="3">
        <f>IF(ORIG!N115=0,"",ORIG!N115)</f>
        <v/>
      </c>
      <c r="O115" s="3">
        <f>IF(ORIG!O115=0,"",ORIG!O115)</f>
        <v/>
      </c>
      <c r="P115" s="3">
        <f>IF(ORIG!P115=0,"",ORIG!P115)</f>
        <v/>
      </c>
      <c r="Q115" s="3">
        <f>IF(ORIG!Q115=0,"",ORIG!Q115)</f>
        <v/>
      </c>
      <c r="R115" s="3">
        <f>IF(ORIG!R115=0,"",ORIG!R115)</f>
        <v/>
      </c>
      <c r="S115" s="3">
        <f>IF(ORIG!S115=0,"",ORIG!S115)</f>
        <v/>
      </c>
      <c r="T115" s="3">
        <f>IF(ORIG!T115=0,"",ORIG!T115)</f>
        <v/>
      </c>
      <c r="U115" s="3">
        <f>IF(ORIG!U115=0,"",ORIG!U115)</f>
        <v/>
      </c>
      <c r="V115" s="9">
        <f>IF(ORIG!V115=0,"",ORIG!V115)</f>
        <v/>
      </c>
      <c r="W115" s="9">
        <f>IF(ORIG!W115=0,"",ORIG!W115)</f>
        <v/>
      </c>
      <c r="X115" s="9">
        <f>IF(ORIG!X115=0,"",ORIG!X115)</f>
        <v/>
      </c>
      <c r="Y115" s="9">
        <f>IF(ORIG!Y115=0,"",ORIG!Y115)</f>
        <v/>
      </c>
      <c r="Z115" s="3">
        <f>SUMPRODUCT($B115:$Y115,$B$2649:$Y$2649)</f>
        <v/>
      </c>
      <c r="AA115" s="3">
        <f>SUMPRODUCT($B115:$Y115,$B$2655:$Y$2655)</f>
        <v/>
      </c>
      <c r="AC115" s="1">
        <f>A115</f>
        <v/>
      </c>
      <c r="AD115">
        <f>IF(ISNUMBER(V115),V115*($AB$1/V$2635),"")</f>
        <v/>
      </c>
      <c r="AE115">
        <f>IF(ISNUMBER(Z115),Z115*($AB$1/Z$2635),"")</f>
        <v/>
      </c>
      <c r="AF115" s="25">
        <f>IF(ISNUMBER(AD115+AE115),AD115+AE115,"")</f>
        <v/>
      </c>
      <c r="AH115" s="1">
        <f>A115</f>
        <v/>
      </c>
      <c r="AI115">
        <f>IF(ISNUMBER((1+V115)*AI114),(1+V115)*AI114,AI114)</f>
        <v/>
      </c>
      <c r="AJ115">
        <f>IF(ISNUMBER((1+Z115)*AJ114),(1+Z115)*AJ114,AJ114)</f>
        <v/>
      </c>
    </row>
    <row r="116">
      <c r="A116" s="1" t="n">
        <v>42171</v>
      </c>
      <c r="B116" s="3">
        <f>IF(ORIG!B116=0,"",ORIG!B116)</f>
        <v/>
      </c>
      <c r="C116" s="3">
        <f>IF(ORIG!C116=0,"",ORIG!C116)</f>
        <v/>
      </c>
      <c r="D116" s="3">
        <f>IF(ORIG!D116=0,"",ORIG!D116)</f>
        <v/>
      </c>
      <c r="E116" s="3">
        <f>IF(ORIG!E116=0,"",ORIG!E116)</f>
        <v/>
      </c>
      <c r="F116" s="3">
        <f>IF(ORIG!F116=0,"",ORIG!F116)</f>
        <v/>
      </c>
      <c r="G116" s="3">
        <f>IF(ORIG!G116=0,"",ORIG!G116)</f>
        <v/>
      </c>
      <c r="H116" s="3">
        <f>IF(ORIG!H116=0,"",ORIG!H116)</f>
        <v/>
      </c>
      <c r="I116" s="3">
        <f>IF(ORIG!I116=0,"",ORIG!I116)</f>
        <v/>
      </c>
      <c r="J116" s="3">
        <f>IF(ORIG!J116=0,"",ORIG!J116)</f>
        <v/>
      </c>
      <c r="K116" s="3">
        <f>IF(ORIG!K116=0,"",ORIG!K116)</f>
        <v/>
      </c>
      <c r="L116" s="3">
        <f>IF(ORIG!L116=0,"",ORIG!L116)</f>
        <v/>
      </c>
      <c r="M116" s="3">
        <f>IF(ORIG!M116=0,"",ORIG!M116)</f>
        <v/>
      </c>
      <c r="N116" s="3">
        <f>IF(ORIG!N116=0,"",ORIG!N116)</f>
        <v/>
      </c>
      <c r="O116" s="3">
        <f>IF(ORIG!O116=0,"",ORIG!O116)</f>
        <v/>
      </c>
      <c r="P116" s="3">
        <f>IF(ORIG!P116=0,"",ORIG!P116)</f>
        <v/>
      </c>
      <c r="Q116" s="3">
        <f>IF(ORIG!Q116=0,"",ORIG!Q116)</f>
        <v/>
      </c>
      <c r="R116" s="3">
        <f>IF(ORIG!R116=0,"",ORIG!R116)</f>
        <v/>
      </c>
      <c r="S116" s="3">
        <f>IF(ORIG!S116=0,"",ORIG!S116)</f>
        <v/>
      </c>
      <c r="T116" s="3">
        <f>IF(ORIG!T116=0,"",ORIG!T116)</f>
        <v/>
      </c>
      <c r="U116" s="3">
        <f>IF(ORIG!U116=0,"",ORIG!U116)</f>
        <v/>
      </c>
      <c r="V116" s="9">
        <f>IF(ORIG!V116=0,"",ORIG!V116)</f>
        <v/>
      </c>
      <c r="W116" s="9">
        <f>IF(ORIG!W116=0,"",ORIG!W116)</f>
        <v/>
      </c>
      <c r="X116" s="9">
        <f>IF(ORIG!X116=0,"",ORIG!X116)</f>
        <v/>
      </c>
      <c r="Y116" s="9">
        <f>IF(ORIG!Y116=0,"",ORIG!Y116)</f>
        <v/>
      </c>
      <c r="Z116" s="3">
        <f>SUMPRODUCT($B116:$Y116,$B$2649:$Y$2649)</f>
        <v/>
      </c>
      <c r="AA116" s="3">
        <f>SUMPRODUCT($B116:$Y116,$B$2655:$Y$2655)</f>
        <v/>
      </c>
      <c r="AC116" s="1">
        <f>A116</f>
        <v/>
      </c>
      <c r="AD116">
        <f>IF(ISNUMBER(V116),V116*($AB$1/V$2635),"")</f>
        <v/>
      </c>
      <c r="AE116">
        <f>IF(ISNUMBER(Z116),Z116*($AB$1/Z$2635),"")</f>
        <v/>
      </c>
      <c r="AF116" s="25">
        <f>IF(ISNUMBER(AD116+AE116),AD116+AE116,"")</f>
        <v/>
      </c>
      <c r="AH116" s="1">
        <f>A116</f>
        <v/>
      </c>
      <c r="AI116">
        <f>IF(ISNUMBER((1+V116)*AI115),(1+V116)*AI115,AI115)</f>
        <v/>
      </c>
      <c r="AJ116">
        <f>IF(ISNUMBER((1+Z116)*AJ115),(1+Z116)*AJ115,AJ115)</f>
        <v/>
      </c>
    </row>
    <row r="117">
      <c r="A117" s="1" t="n">
        <v>42172</v>
      </c>
      <c r="B117" s="3">
        <f>IF(ORIG!B117=0,"",ORIG!B117)</f>
        <v/>
      </c>
      <c r="C117" s="3">
        <f>IF(ORIG!C117=0,"",ORIG!C117)</f>
        <v/>
      </c>
      <c r="D117" s="3">
        <f>IF(ORIG!D117=0,"",ORIG!D117)</f>
        <v/>
      </c>
      <c r="E117" s="3">
        <f>IF(ORIG!E117=0,"",ORIG!E117)</f>
        <v/>
      </c>
      <c r="F117" s="3">
        <f>IF(ORIG!F117=0,"",ORIG!F117)</f>
        <v/>
      </c>
      <c r="G117" s="3">
        <f>IF(ORIG!G117=0,"",ORIG!G117)</f>
        <v/>
      </c>
      <c r="H117" s="3">
        <f>IF(ORIG!H117=0,"",ORIG!H117)</f>
        <v/>
      </c>
      <c r="I117" s="3">
        <f>IF(ORIG!I117=0,"",ORIG!I117)</f>
        <v/>
      </c>
      <c r="J117" s="3">
        <f>IF(ORIG!J117=0,"",ORIG!J117)</f>
        <v/>
      </c>
      <c r="K117" s="3">
        <f>IF(ORIG!K117=0,"",ORIG!K117)</f>
        <v/>
      </c>
      <c r="L117" s="3">
        <f>IF(ORIG!L117=0,"",ORIG!L117)</f>
        <v/>
      </c>
      <c r="M117" s="3">
        <f>IF(ORIG!M117=0,"",ORIG!M117)</f>
        <v/>
      </c>
      <c r="N117" s="3">
        <f>IF(ORIG!N117=0,"",ORIG!N117)</f>
        <v/>
      </c>
      <c r="O117" s="3">
        <f>IF(ORIG!O117=0,"",ORIG!O117)</f>
        <v/>
      </c>
      <c r="P117" s="3">
        <f>IF(ORIG!P117=0,"",ORIG!P117)</f>
        <v/>
      </c>
      <c r="Q117" s="3">
        <f>IF(ORIG!Q117=0,"",ORIG!Q117)</f>
        <v/>
      </c>
      <c r="R117" s="3">
        <f>IF(ORIG!R117=0,"",ORIG!R117)</f>
        <v/>
      </c>
      <c r="S117" s="3">
        <f>IF(ORIG!S117=0,"",ORIG!S117)</f>
        <v/>
      </c>
      <c r="T117" s="3">
        <f>IF(ORIG!T117=0,"",ORIG!T117)</f>
        <v/>
      </c>
      <c r="U117" s="3">
        <f>IF(ORIG!U117=0,"",ORIG!U117)</f>
        <v/>
      </c>
      <c r="V117" s="9">
        <f>IF(ORIG!V117=0,"",ORIG!V117)</f>
        <v/>
      </c>
      <c r="W117" s="9">
        <f>IF(ORIG!W117=0,"",ORIG!W117)</f>
        <v/>
      </c>
      <c r="X117" s="9">
        <f>IF(ORIG!X117=0,"",ORIG!X117)</f>
        <v/>
      </c>
      <c r="Y117" s="9">
        <f>IF(ORIG!Y117=0,"",ORIG!Y117)</f>
        <v/>
      </c>
      <c r="Z117" s="3">
        <f>SUMPRODUCT($B117:$Y117,$B$2649:$Y$2649)</f>
        <v/>
      </c>
      <c r="AA117" s="3">
        <f>SUMPRODUCT($B117:$Y117,$B$2655:$Y$2655)</f>
        <v/>
      </c>
      <c r="AC117" s="1">
        <f>A117</f>
        <v/>
      </c>
      <c r="AD117">
        <f>IF(ISNUMBER(V117),V117*($AB$1/V$2635),"")</f>
        <v/>
      </c>
      <c r="AE117">
        <f>IF(ISNUMBER(Z117),Z117*($AB$1/Z$2635),"")</f>
        <v/>
      </c>
      <c r="AF117" s="25">
        <f>IF(ISNUMBER(AD117+AE117),AD117+AE117,"")</f>
        <v/>
      </c>
      <c r="AH117" s="1">
        <f>A117</f>
        <v/>
      </c>
      <c r="AI117">
        <f>IF(ISNUMBER((1+V117)*AI116),(1+V117)*AI116,AI116)</f>
        <v/>
      </c>
      <c r="AJ117">
        <f>IF(ISNUMBER((1+Z117)*AJ116),(1+Z117)*AJ116,AJ116)</f>
        <v/>
      </c>
    </row>
    <row r="118">
      <c r="A118" s="1" t="n">
        <v>42173</v>
      </c>
      <c r="B118" s="3">
        <f>IF(ORIG!B118=0,"",ORIG!B118)</f>
        <v/>
      </c>
      <c r="C118" s="3">
        <f>IF(ORIG!C118=0,"",ORIG!C118)</f>
        <v/>
      </c>
      <c r="D118" s="3">
        <f>IF(ORIG!D118=0,"",ORIG!D118)</f>
        <v/>
      </c>
      <c r="E118" s="3">
        <f>IF(ORIG!E118=0,"",ORIG!E118)</f>
        <v/>
      </c>
      <c r="F118" s="3">
        <f>IF(ORIG!F118=0,"",ORIG!F118)</f>
        <v/>
      </c>
      <c r="G118" s="3">
        <f>IF(ORIG!G118=0,"",ORIG!G118)</f>
        <v/>
      </c>
      <c r="H118" s="3">
        <f>IF(ORIG!H118=0,"",ORIG!H118)</f>
        <v/>
      </c>
      <c r="I118" s="3">
        <f>IF(ORIG!I118=0,"",ORIG!I118)</f>
        <v/>
      </c>
      <c r="J118" s="3">
        <f>IF(ORIG!J118=0,"",ORIG!J118)</f>
        <v/>
      </c>
      <c r="K118" s="3">
        <f>IF(ORIG!K118=0,"",ORIG!K118)</f>
        <v/>
      </c>
      <c r="L118" s="3">
        <f>IF(ORIG!L118=0,"",ORIG!L118)</f>
        <v/>
      </c>
      <c r="M118" s="3">
        <f>IF(ORIG!M118=0,"",ORIG!M118)</f>
        <v/>
      </c>
      <c r="N118" s="3">
        <f>IF(ORIG!N118=0,"",ORIG!N118)</f>
        <v/>
      </c>
      <c r="O118" s="3">
        <f>IF(ORIG!O118=0,"",ORIG!O118)</f>
        <v/>
      </c>
      <c r="P118" s="3">
        <f>IF(ORIG!P118=0,"",ORIG!P118)</f>
        <v/>
      </c>
      <c r="Q118" s="3">
        <f>IF(ORIG!Q118=0,"",ORIG!Q118)</f>
        <v/>
      </c>
      <c r="R118" s="3">
        <f>IF(ORIG!R118=0,"",ORIG!R118)</f>
        <v/>
      </c>
      <c r="S118" s="3">
        <f>IF(ORIG!S118=0,"",ORIG!S118)</f>
        <v/>
      </c>
      <c r="T118" s="3">
        <f>IF(ORIG!T118=0,"",ORIG!T118)</f>
        <v/>
      </c>
      <c r="U118" s="3">
        <f>IF(ORIG!U118=0,"",ORIG!U118)</f>
        <v/>
      </c>
      <c r="V118" s="9">
        <f>IF(ORIG!V118=0,"",ORIG!V118)</f>
        <v/>
      </c>
      <c r="W118" s="9">
        <f>IF(ORIG!W118=0,"",ORIG!W118)</f>
        <v/>
      </c>
      <c r="X118" s="9">
        <f>IF(ORIG!X118=0,"",ORIG!X118)</f>
        <v/>
      </c>
      <c r="Y118" s="9">
        <f>IF(ORIG!Y118=0,"",ORIG!Y118)</f>
        <v/>
      </c>
      <c r="Z118" s="3">
        <f>SUMPRODUCT($B118:$Y118,$B$2649:$Y$2649)</f>
        <v/>
      </c>
      <c r="AA118" s="3">
        <f>SUMPRODUCT($B118:$Y118,$B$2655:$Y$2655)</f>
        <v/>
      </c>
      <c r="AC118" s="1">
        <f>A118</f>
        <v/>
      </c>
      <c r="AD118">
        <f>IF(ISNUMBER(V118),V118*($AB$1/V$2635),"")</f>
        <v/>
      </c>
      <c r="AE118">
        <f>IF(ISNUMBER(Z118),Z118*($AB$1/Z$2635),"")</f>
        <v/>
      </c>
      <c r="AF118" s="25">
        <f>IF(ISNUMBER(AD118+AE118),AD118+AE118,"")</f>
        <v/>
      </c>
      <c r="AH118" s="1">
        <f>A118</f>
        <v/>
      </c>
      <c r="AI118">
        <f>IF(ISNUMBER((1+V118)*AI117),(1+V118)*AI117,AI117)</f>
        <v/>
      </c>
      <c r="AJ118">
        <f>IF(ISNUMBER((1+Z118)*AJ117),(1+Z118)*AJ117,AJ117)</f>
        <v/>
      </c>
    </row>
    <row r="119">
      <c r="A119" s="1" t="n">
        <v>42174</v>
      </c>
      <c r="B119" s="3">
        <f>IF(ORIG!B119=0,"",ORIG!B119)</f>
        <v/>
      </c>
      <c r="C119" s="3">
        <f>IF(ORIG!C119=0,"",ORIG!C119)</f>
        <v/>
      </c>
      <c r="D119" s="3">
        <f>IF(ORIG!D119=0,"",ORIG!D119)</f>
        <v/>
      </c>
      <c r="E119" s="3">
        <f>IF(ORIG!E119=0,"",ORIG!E119)</f>
        <v/>
      </c>
      <c r="F119" s="3">
        <f>IF(ORIG!F119=0,"",ORIG!F119)</f>
        <v/>
      </c>
      <c r="G119" s="3">
        <f>IF(ORIG!G119=0,"",ORIG!G119)</f>
        <v/>
      </c>
      <c r="H119" s="3">
        <f>IF(ORIG!H119=0,"",ORIG!H119)</f>
        <v/>
      </c>
      <c r="I119" s="3">
        <f>IF(ORIG!I119=0,"",ORIG!I119)</f>
        <v/>
      </c>
      <c r="J119" s="3">
        <f>IF(ORIG!J119=0,"",ORIG!J119)</f>
        <v/>
      </c>
      <c r="K119" s="3">
        <f>IF(ORIG!K119=0,"",ORIG!K119)</f>
        <v/>
      </c>
      <c r="L119" s="3">
        <f>IF(ORIG!L119=0,"",ORIG!L119)</f>
        <v/>
      </c>
      <c r="M119" s="3">
        <f>IF(ORIG!M119=0,"",ORIG!M119)</f>
        <v/>
      </c>
      <c r="N119" s="3">
        <f>IF(ORIG!N119=0,"",ORIG!N119)</f>
        <v/>
      </c>
      <c r="O119" s="3">
        <f>IF(ORIG!O119=0,"",ORIG!O119)</f>
        <v/>
      </c>
      <c r="P119" s="3">
        <f>IF(ORIG!P119=0,"",ORIG!P119)</f>
        <v/>
      </c>
      <c r="Q119" s="3">
        <f>IF(ORIG!Q119=0,"",ORIG!Q119)</f>
        <v/>
      </c>
      <c r="R119" s="3">
        <f>IF(ORIG!R119=0,"",ORIG!R119)</f>
        <v/>
      </c>
      <c r="S119" s="3">
        <f>IF(ORIG!S119=0,"",ORIG!S119)</f>
        <v/>
      </c>
      <c r="T119" s="3">
        <f>IF(ORIG!T119=0,"",ORIG!T119)</f>
        <v/>
      </c>
      <c r="U119" s="3">
        <f>IF(ORIG!U119=0,"",ORIG!U119)</f>
        <v/>
      </c>
      <c r="V119" s="9">
        <f>IF(ORIG!V119=0,"",ORIG!V119)</f>
        <v/>
      </c>
      <c r="W119" s="9">
        <f>IF(ORIG!W119=0,"",ORIG!W119)</f>
        <v/>
      </c>
      <c r="X119" s="9">
        <f>IF(ORIG!X119=0,"",ORIG!X119)</f>
        <v/>
      </c>
      <c r="Y119" s="9">
        <f>IF(ORIG!Y119=0,"",ORIG!Y119)</f>
        <v/>
      </c>
      <c r="Z119" s="3">
        <f>SUMPRODUCT($B119:$Y119,$B$2649:$Y$2649)</f>
        <v/>
      </c>
      <c r="AA119" s="3">
        <f>SUMPRODUCT($B119:$Y119,$B$2655:$Y$2655)</f>
        <v/>
      </c>
      <c r="AC119" s="1">
        <f>A119</f>
        <v/>
      </c>
      <c r="AD119">
        <f>IF(ISNUMBER(V119),V119*($AB$1/V$2635),"")</f>
        <v/>
      </c>
      <c r="AE119">
        <f>IF(ISNUMBER(Z119),Z119*($AB$1/Z$2635),"")</f>
        <v/>
      </c>
      <c r="AF119" s="25">
        <f>IF(ISNUMBER(AD119+AE119),AD119+AE119,"")</f>
        <v/>
      </c>
      <c r="AH119" s="1">
        <f>A119</f>
        <v/>
      </c>
      <c r="AI119">
        <f>IF(ISNUMBER((1+V119)*AI118),(1+V119)*AI118,AI118)</f>
        <v/>
      </c>
      <c r="AJ119">
        <f>IF(ISNUMBER((1+Z119)*AJ118),(1+Z119)*AJ118,AJ118)</f>
        <v/>
      </c>
    </row>
    <row r="120">
      <c r="A120" s="1" t="n">
        <v>42177</v>
      </c>
      <c r="B120" s="3">
        <f>IF(ORIG!B120=0,"",ORIG!B120)</f>
        <v/>
      </c>
      <c r="C120" s="3">
        <f>IF(ORIG!C120=0,"",ORIG!C120)</f>
        <v/>
      </c>
      <c r="D120" s="3">
        <f>IF(ORIG!D120=0,"",ORIG!D120)</f>
        <v/>
      </c>
      <c r="E120" s="3">
        <f>IF(ORIG!E120=0,"",ORIG!E120)</f>
        <v/>
      </c>
      <c r="F120" s="3">
        <f>IF(ORIG!F120=0,"",ORIG!F120)</f>
        <v/>
      </c>
      <c r="G120" s="3">
        <f>IF(ORIG!G120=0,"",ORIG!G120)</f>
        <v/>
      </c>
      <c r="H120" s="3">
        <f>IF(ORIG!H120=0,"",ORIG!H120)</f>
        <v/>
      </c>
      <c r="I120" s="3">
        <f>IF(ORIG!I120=0,"",ORIG!I120)</f>
        <v/>
      </c>
      <c r="J120" s="3">
        <f>IF(ORIG!J120=0,"",ORIG!J120)</f>
        <v/>
      </c>
      <c r="K120" s="3">
        <f>IF(ORIG!K120=0,"",ORIG!K120)</f>
        <v/>
      </c>
      <c r="L120" s="3">
        <f>IF(ORIG!L120=0,"",ORIG!L120)</f>
        <v/>
      </c>
      <c r="M120" s="3">
        <f>IF(ORIG!M120=0,"",ORIG!M120)</f>
        <v/>
      </c>
      <c r="N120" s="3">
        <f>IF(ORIG!N120=0,"",ORIG!N120)</f>
        <v/>
      </c>
      <c r="O120" s="3">
        <f>IF(ORIG!O120=0,"",ORIG!O120)</f>
        <v/>
      </c>
      <c r="P120" s="3">
        <f>IF(ORIG!P120=0,"",ORIG!P120)</f>
        <v/>
      </c>
      <c r="Q120" s="3">
        <f>IF(ORIG!Q120=0,"",ORIG!Q120)</f>
        <v/>
      </c>
      <c r="R120" s="3">
        <f>IF(ORIG!R120=0,"",ORIG!R120)</f>
        <v/>
      </c>
      <c r="S120" s="3">
        <f>IF(ORIG!S120=0,"",ORIG!S120)</f>
        <v/>
      </c>
      <c r="T120" s="3">
        <f>IF(ORIG!T120=0,"",ORIG!T120)</f>
        <v/>
      </c>
      <c r="U120" s="3">
        <f>IF(ORIG!U120=0,"",ORIG!U120)</f>
        <v/>
      </c>
      <c r="V120" s="9">
        <f>IF(ORIG!V120=0,"",ORIG!V120)</f>
        <v/>
      </c>
      <c r="W120" s="9">
        <f>IF(ORIG!W120=0,"",ORIG!W120)</f>
        <v/>
      </c>
      <c r="X120" s="9">
        <f>IF(ORIG!X120=0,"",ORIG!X120)</f>
        <v/>
      </c>
      <c r="Y120" s="9">
        <f>IF(ORIG!Y120=0,"",ORIG!Y120)</f>
        <v/>
      </c>
      <c r="Z120" s="3">
        <f>SUMPRODUCT($B120:$Y120,$B$2649:$Y$2649)</f>
        <v/>
      </c>
      <c r="AA120" s="3">
        <f>SUMPRODUCT($B120:$Y120,$B$2655:$Y$2655)</f>
        <v/>
      </c>
      <c r="AC120" s="1">
        <f>A120</f>
        <v/>
      </c>
      <c r="AD120">
        <f>IF(ISNUMBER(V120),V120*($AB$1/V$2635),"")</f>
        <v/>
      </c>
      <c r="AE120">
        <f>IF(ISNUMBER(Z120),Z120*($AB$1/Z$2635),"")</f>
        <v/>
      </c>
      <c r="AF120" s="25">
        <f>IF(ISNUMBER(AD120+AE120),AD120+AE120,"")</f>
        <v/>
      </c>
      <c r="AH120" s="1">
        <f>A120</f>
        <v/>
      </c>
      <c r="AI120">
        <f>IF(ISNUMBER((1+V120)*AI119),(1+V120)*AI119,AI119)</f>
        <v/>
      </c>
      <c r="AJ120">
        <f>IF(ISNUMBER((1+Z120)*AJ119),(1+Z120)*AJ119,AJ119)</f>
        <v/>
      </c>
    </row>
    <row r="121">
      <c r="A121" s="1" t="n">
        <v>42178</v>
      </c>
      <c r="B121" s="3">
        <f>IF(ORIG!B121=0,"",ORIG!B121)</f>
        <v/>
      </c>
      <c r="C121" s="3">
        <f>IF(ORIG!C121=0,"",ORIG!C121)</f>
        <v/>
      </c>
      <c r="D121" s="3">
        <f>IF(ORIG!D121=0,"",ORIG!D121)</f>
        <v/>
      </c>
      <c r="E121" s="3">
        <f>IF(ORIG!E121=0,"",ORIG!E121)</f>
        <v/>
      </c>
      <c r="F121" s="3">
        <f>IF(ORIG!F121=0,"",ORIG!F121)</f>
        <v/>
      </c>
      <c r="G121" s="3">
        <f>IF(ORIG!G121=0,"",ORIG!G121)</f>
        <v/>
      </c>
      <c r="H121" s="3">
        <f>IF(ORIG!H121=0,"",ORIG!H121)</f>
        <v/>
      </c>
      <c r="I121" s="3">
        <f>IF(ORIG!I121=0,"",ORIG!I121)</f>
        <v/>
      </c>
      <c r="J121" s="3">
        <f>IF(ORIG!J121=0,"",ORIG!J121)</f>
        <v/>
      </c>
      <c r="K121" s="3">
        <f>IF(ORIG!K121=0,"",ORIG!K121)</f>
        <v/>
      </c>
      <c r="L121" s="3">
        <f>IF(ORIG!L121=0,"",ORIG!L121)</f>
        <v/>
      </c>
      <c r="M121" s="3">
        <f>IF(ORIG!M121=0,"",ORIG!M121)</f>
        <v/>
      </c>
      <c r="N121" s="3">
        <f>IF(ORIG!N121=0,"",ORIG!N121)</f>
        <v/>
      </c>
      <c r="O121" s="3">
        <f>IF(ORIG!O121=0,"",ORIG!O121)</f>
        <v/>
      </c>
      <c r="P121" s="3">
        <f>IF(ORIG!P121=0,"",ORIG!P121)</f>
        <v/>
      </c>
      <c r="Q121" s="3">
        <f>IF(ORIG!Q121=0,"",ORIG!Q121)</f>
        <v/>
      </c>
      <c r="R121" s="3">
        <f>IF(ORIG!R121=0,"",ORIG!R121)</f>
        <v/>
      </c>
      <c r="S121" s="3">
        <f>IF(ORIG!S121=0,"",ORIG!S121)</f>
        <v/>
      </c>
      <c r="T121" s="3">
        <f>IF(ORIG!T121=0,"",ORIG!T121)</f>
        <v/>
      </c>
      <c r="U121" s="3">
        <f>IF(ORIG!U121=0,"",ORIG!U121)</f>
        <v/>
      </c>
      <c r="V121" s="9">
        <f>IF(ORIG!V121=0,"",ORIG!V121)</f>
        <v/>
      </c>
      <c r="W121" s="9">
        <f>IF(ORIG!W121=0,"",ORIG!W121)</f>
        <v/>
      </c>
      <c r="X121" s="9">
        <f>IF(ORIG!X121=0,"",ORIG!X121)</f>
        <v/>
      </c>
      <c r="Y121" s="9">
        <f>IF(ORIG!Y121=0,"",ORIG!Y121)</f>
        <v/>
      </c>
      <c r="Z121" s="3">
        <f>SUMPRODUCT($B121:$Y121,$B$2649:$Y$2649)</f>
        <v/>
      </c>
      <c r="AA121" s="3">
        <f>SUMPRODUCT($B121:$Y121,$B$2655:$Y$2655)</f>
        <v/>
      </c>
      <c r="AC121" s="1">
        <f>A121</f>
        <v/>
      </c>
      <c r="AD121">
        <f>IF(ISNUMBER(V121),V121*($AB$1/V$2635),"")</f>
        <v/>
      </c>
      <c r="AE121">
        <f>IF(ISNUMBER(Z121),Z121*($AB$1/Z$2635),"")</f>
        <v/>
      </c>
      <c r="AF121" s="25">
        <f>IF(ISNUMBER(AD121+AE121),AD121+AE121,"")</f>
        <v/>
      </c>
      <c r="AH121" s="1">
        <f>A121</f>
        <v/>
      </c>
      <c r="AI121">
        <f>IF(ISNUMBER((1+V121)*AI120),(1+V121)*AI120,AI120)</f>
        <v/>
      </c>
      <c r="AJ121">
        <f>IF(ISNUMBER((1+Z121)*AJ120),(1+Z121)*AJ120,AJ120)</f>
        <v/>
      </c>
    </row>
    <row r="122">
      <c r="A122" s="1" t="n">
        <v>42179</v>
      </c>
      <c r="B122" s="3">
        <f>IF(ORIG!B122=0,"",ORIG!B122)</f>
        <v/>
      </c>
      <c r="C122" s="3">
        <f>IF(ORIG!C122=0,"",ORIG!C122)</f>
        <v/>
      </c>
      <c r="D122" s="3">
        <f>IF(ORIG!D122=0,"",ORIG!D122)</f>
        <v/>
      </c>
      <c r="E122" s="3">
        <f>IF(ORIG!E122=0,"",ORIG!E122)</f>
        <v/>
      </c>
      <c r="F122" s="3">
        <f>IF(ORIG!F122=0,"",ORIG!F122)</f>
        <v/>
      </c>
      <c r="G122" s="3">
        <f>IF(ORIG!G122=0,"",ORIG!G122)</f>
        <v/>
      </c>
      <c r="H122" s="3">
        <f>IF(ORIG!H122=0,"",ORIG!H122)</f>
        <v/>
      </c>
      <c r="I122" s="3">
        <f>IF(ORIG!I122=0,"",ORIG!I122)</f>
        <v/>
      </c>
      <c r="J122" s="3">
        <f>IF(ORIG!J122=0,"",ORIG!J122)</f>
        <v/>
      </c>
      <c r="K122" s="3">
        <f>IF(ORIG!K122=0,"",ORIG!K122)</f>
        <v/>
      </c>
      <c r="L122" s="3">
        <f>IF(ORIG!L122=0,"",ORIG!L122)</f>
        <v/>
      </c>
      <c r="M122" s="3">
        <f>IF(ORIG!M122=0,"",ORIG!M122)</f>
        <v/>
      </c>
      <c r="N122" s="3">
        <f>IF(ORIG!N122=0,"",ORIG!N122)</f>
        <v/>
      </c>
      <c r="O122" s="3">
        <f>IF(ORIG!O122=0,"",ORIG!O122)</f>
        <v/>
      </c>
      <c r="P122" s="3">
        <f>IF(ORIG!P122=0,"",ORIG!P122)</f>
        <v/>
      </c>
      <c r="Q122" s="3">
        <f>IF(ORIG!Q122=0,"",ORIG!Q122)</f>
        <v/>
      </c>
      <c r="R122" s="3">
        <f>IF(ORIG!R122=0,"",ORIG!R122)</f>
        <v/>
      </c>
      <c r="S122" s="3">
        <f>IF(ORIG!S122=0,"",ORIG!S122)</f>
        <v/>
      </c>
      <c r="T122" s="3">
        <f>IF(ORIG!T122=0,"",ORIG!T122)</f>
        <v/>
      </c>
      <c r="U122" s="3">
        <f>IF(ORIG!U122=0,"",ORIG!U122)</f>
        <v/>
      </c>
      <c r="V122" s="9">
        <f>IF(ORIG!V122=0,"",ORIG!V122)</f>
        <v/>
      </c>
      <c r="W122" s="9">
        <f>IF(ORIG!W122=0,"",ORIG!W122)</f>
        <v/>
      </c>
      <c r="X122" s="9">
        <f>IF(ORIG!X122=0,"",ORIG!X122)</f>
        <v/>
      </c>
      <c r="Y122" s="9">
        <f>IF(ORIG!Y122=0,"",ORIG!Y122)</f>
        <v/>
      </c>
      <c r="Z122" s="3">
        <f>SUMPRODUCT($B122:$Y122,$B$2649:$Y$2649)</f>
        <v/>
      </c>
      <c r="AA122" s="3">
        <f>SUMPRODUCT($B122:$Y122,$B$2655:$Y$2655)</f>
        <v/>
      </c>
      <c r="AC122" s="1">
        <f>A122</f>
        <v/>
      </c>
      <c r="AD122">
        <f>IF(ISNUMBER(V122),V122*($AB$1/V$2635),"")</f>
        <v/>
      </c>
      <c r="AE122">
        <f>IF(ISNUMBER(Z122),Z122*($AB$1/Z$2635),"")</f>
        <v/>
      </c>
      <c r="AF122" s="25">
        <f>IF(ISNUMBER(AD122+AE122),AD122+AE122,"")</f>
        <v/>
      </c>
      <c r="AH122" s="1">
        <f>A122</f>
        <v/>
      </c>
      <c r="AI122">
        <f>IF(ISNUMBER((1+V122)*AI121),(1+V122)*AI121,AI121)</f>
        <v/>
      </c>
      <c r="AJ122">
        <f>IF(ISNUMBER((1+Z122)*AJ121),(1+Z122)*AJ121,AJ121)</f>
        <v/>
      </c>
    </row>
    <row r="123">
      <c r="A123" s="1" t="n">
        <v>42180</v>
      </c>
      <c r="B123" s="3">
        <f>IF(ORIG!B123=0,"",ORIG!B123)</f>
        <v/>
      </c>
      <c r="C123" s="3">
        <f>IF(ORIG!C123=0,"",ORIG!C123)</f>
        <v/>
      </c>
      <c r="D123" s="3">
        <f>IF(ORIG!D123=0,"",ORIG!D123)</f>
        <v/>
      </c>
      <c r="E123" s="3">
        <f>IF(ORIG!E123=0,"",ORIG!E123)</f>
        <v/>
      </c>
      <c r="F123" s="3">
        <f>IF(ORIG!F123=0,"",ORIG!F123)</f>
        <v/>
      </c>
      <c r="G123" s="3">
        <f>IF(ORIG!G123=0,"",ORIG!G123)</f>
        <v/>
      </c>
      <c r="H123" s="3">
        <f>IF(ORIG!H123=0,"",ORIG!H123)</f>
        <v/>
      </c>
      <c r="I123" s="3">
        <f>IF(ORIG!I123=0,"",ORIG!I123)</f>
        <v/>
      </c>
      <c r="J123" s="3">
        <f>IF(ORIG!J123=0,"",ORIG!J123)</f>
        <v/>
      </c>
      <c r="K123" s="3">
        <f>IF(ORIG!K123=0,"",ORIG!K123)</f>
        <v/>
      </c>
      <c r="L123" s="3">
        <f>IF(ORIG!L123=0,"",ORIG!L123)</f>
        <v/>
      </c>
      <c r="M123" s="3">
        <f>IF(ORIG!M123=0,"",ORIG!M123)</f>
        <v/>
      </c>
      <c r="N123" s="3">
        <f>IF(ORIG!N123=0,"",ORIG!N123)</f>
        <v/>
      </c>
      <c r="O123" s="3">
        <f>IF(ORIG!O123=0,"",ORIG!O123)</f>
        <v/>
      </c>
      <c r="P123" s="3">
        <f>IF(ORIG!P123=0,"",ORIG!P123)</f>
        <v/>
      </c>
      <c r="Q123" s="3">
        <f>IF(ORIG!Q123=0,"",ORIG!Q123)</f>
        <v/>
      </c>
      <c r="R123" s="3">
        <f>IF(ORIG!R123=0,"",ORIG!R123)</f>
        <v/>
      </c>
      <c r="S123" s="3">
        <f>IF(ORIG!S123=0,"",ORIG!S123)</f>
        <v/>
      </c>
      <c r="T123" s="3">
        <f>IF(ORIG!T123=0,"",ORIG!T123)</f>
        <v/>
      </c>
      <c r="U123" s="3">
        <f>IF(ORIG!U123=0,"",ORIG!U123)</f>
        <v/>
      </c>
      <c r="V123" s="9">
        <f>IF(ORIG!V123=0,"",ORIG!V123)</f>
        <v/>
      </c>
      <c r="W123" s="9">
        <f>IF(ORIG!W123=0,"",ORIG!W123)</f>
        <v/>
      </c>
      <c r="X123" s="9">
        <f>IF(ORIG!X123=0,"",ORIG!X123)</f>
        <v/>
      </c>
      <c r="Y123" s="9">
        <f>IF(ORIG!Y123=0,"",ORIG!Y123)</f>
        <v/>
      </c>
      <c r="Z123" s="3">
        <f>SUMPRODUCT($B123:$Y123,$B$2649:$Y$2649)</f>
        <v/>
      </c>
      <c r="AA123" s="3">
        <f>SUMPRODUCT($B123:$Y123,$B$2655:$Y$2655)</f>
        <v/>
      </c>
      <c r="AC123" s="1">
        <f>A123</f>
        <v/>
      </c>
      <c r="AD123">
        <f>IF(ISNUMBER(V123),V123*($AB$1/V$2635),"")</f>
        <v/>
      </c>
      <c r="AE123">
        <f>IF(ISNUMBER(Z123),Z123*($AB$1/Z$2635),"")</f>
        <v/>
      </c>
      <c r="AF123" s="25">
        <f>IF(ISNUMBER(AD123+AE123),AD123+AE123,"")</f>
        <v/>
      </c>
      <c r="AH123" s="1">
        <f>A123</f>
        <v/>
      </c>
      <c r="AI123">
        <f>IF(ISNUMBER((1+V123)*AI122),(1+V123)*AI122,AI122)</f>
        <v/>
      </c>
      <c r="AJ123">
        <f>IF(ISNUMBER((1+Z123)*AJ122),(1+Z123)*AJ122,AJ122)</f>
        <v/>
      </c>
    </row>
    <row r="124">
      <c r="A124" s="1" t="n">
        <v>42181</v>
      </c>
      <c r="B124" s="3">
        <f>IF(ORIG!B124=0,"",ORIG!B124)</f>
        <v/>
      </c>
      <c r="C124" s="3">
        <f>IF(ORIG!C124=0,"",ORIG!C124)</f>
        <v/>
      </c>
      <c r="D124" s="3">
        <f>IF(ORIG!D124=0,"",ORIG!D124)</f>
        <v/>
      </c>
      <c r="E124" s="3">
        <f>IF(ORIG!E124=0,"",ORIG!E124)</f>
        <v/>
      </c>
      <c r="F124" s="3">
        <f>IF(ORIG!F124=0,"",ORIG!F124)</f>
        <v/>
      </c>
      <c r="G124" s="3">
        <f>IF(ORIG!G124=0,"",ORIG!G124)</f>
        <v/>
      </c>
      <c r="H124" s="3">
        <f>IF(ORIG!H124=0,"",ORIG!H124)</f>
        <v/>
      </c>
      <c r="I124" s="3">
        <f>IF(ORIG!I124=0,"",ORIG!I124)</f>
        <v/>
      </c>
      <c r="J124" s="3">
        <f>IF(ORIG!J124=0,"",ORIG!J124)</f>
        <v/>
      </c>
      <c r="K124" s="3">
        <f>IF(ORIG!K124=0,"",ORIG!K124)</f>
        <v/>
      </c>
      <c r="L124" s="3">
        <f>IF(ORIG!L124=0,"",ORIG!L124)</f>
        <v/>
      </c>
      <c r="M124" s="3">
        <f>IF(ORIG!M124=0,"",ORIG!M124)</f>
        <v/>
      </c>
      <c r="N124" s="3">
        <f>IF(ORIG!N124=0,"",ORIG!N124)</f>
        <v/>
      </c>
      <c r="O124" s="3">
        <f>IF(ORIG!O124=0,"",ORIG!O124)</f>
        <v/>
      </c>
      <c r="P124" s="3">
        <f>IF(ORIG!P124=0,"",ORIG!P124)</f>
        <v/>
      </c>
      <c r="Q124" s="3">
        <f>IF(ORIG!Q124=0,"",ORIG!Q124)</f>
        <v/>
      </c>
      <c r="R124" s="3">
        <f>IF(ORIG!R124=0,"",ORIG!R124)</f>
        <v/>
      </c>
      <c r="S124" s="3">
        <f>IF(ORIG!S124=0,"",ORIG!S124)</f>
        <v/>
      </c>
      <c r="T124" s="3">
        <f>IF(ORIG!T124=0,"",ORIG!T124)</f>
        <v/>
      </c>
      <c r="U124" s="3">
        <f>IF(ORIG!U124=0,"",ORIG!U124)</f>
        <v/>
      </c>
      <c r="V124" s="9">
        <f>IF(ORIG!V124=0,"",ORIG!V124)</f>
        <v/>
      </c>
      <c r="W124" s="9">
        <f>IF(ORIG!W124=0,"",ORIG!W124)</f>
        <v/>
      </c>
      <c r="X124" s="9">
        <f>IF(ORIG!X124=0,"",ORIG!X124)</f>
        <v/>
      </c>
      <c r="Y124" s="9">
        <f>IF(ORIG!Y124=0,"",ORIG!Y124)</f>
        <v/>
      </c>
      <c r="Z124" s="3">
        <f>SUMPRODUCT($B124:$Y124,$B$2649:$Y$2649)</f>
        <v/>
      </c>
      <c r="AA124" s="3">
        <f>SUMPRODUCT($B124:$Y124,$B$2655:$Y$2655)</f>
        <v/>
      </c>
      <c r="AC124" s="1">
        <f>A124</f>
        <v/>
      </c>
      <c r="AD124">
        <f>IF(ISNUMBER(V124),V124*($AB$1/V$2635),"")</f>
        <v/>
      </c>
      <c r="AE124">
        <f>IF(ISNUMBER(Z124),Z124*($AB$1/Z$2635),"")</f>
        <v/>
      </c>
      <c r="AF124" s="25">
        <f>IF(ISNUMBER(AD124+AE124),AD124+AE124,"")</f>
        <v/>
      </c>
      <c r="AH124" s="1">
        <f>A124</f>
        <v/>
      </c>
      <c r="AI124">
        <f>IF(ISNUMBER((1+V124)*AI123),(1+V124)*AI123,AI123)</f>
        <v/>
      </c>
      <c r="AJ124">
        <f>IF(ISNUMBER((1+Z124)*AJ123),(1+Z124)*AJ123,AJ123)</f>
        <v/>
      </c>
    </row>
    <row r="125">
      <c r="A125" s="1" t="n">
        <v>42184</v>
      </c>
      <c r="B125" s="3">
        <f>IF(ORIG!B125=0,"",ORIG!B125)</f>
        <v/>
      </c>
      <c r="C125" s="3">
        <f>IF(ORIG!C125=0,"",ORIG!C125)</f>
        <v/>
      </c>
      <c r="D125" s="3">
        <f>IF(ORIG!D125=0,"",ORIG!D125)</f>
        <v/>
      </c>
      <c r="E125" s="3">
        <f>IF(ORIG!E125=0,"",ORIG!E125)</f>
        <v/>
      </c>
      <c r="F125" s="3">
        <f>IF(ORIG!F125=0,"",ORIG!F125)</f>
        <v/>
      </c>
      <c r="G125" s="3">
        <f>IF(ORIG!G125=0,"",ORIG!G125)</f>
        <v/>
      </c>
      <c r="H125" s="3">
        <f>IF(ORIG!H125=0,"",ORIG!H125)</f>
        <v/>
      </c>
      <c r="I125" s="3">
        <f>IF(ORIG!I125=0,"",ORIG!I125)</f>
        <v/>
      </c>
      <c r="J125" s="3">
        <f>IF(ORIG!J125=0,"",ORIG!J125)</f>
        <v/>
      </c>
      <c r="K125" s="3">
        <f>IF(ORIG!K125=0,"",ORIG!K125)</f>
        <v/>
      </c>
      <c r="L125" s="3">
        <f>IF(ORIG!L125=0,"",ORIG!L125)</f>
        <v/>
      </c>
      <c r="M125" s="3">
        <f>IF(ORIG!M125=0,"",ORIG!M125)</f>
        <v/>
      </c>
      <c r="N125" s="3">
        <f>IF(ORIG!N125=0,"",ORIG!N125)</f>
        <v/>
      </c>
      <c r="O125" s="3">
        <f>IF(ORIG!O125=0,"",ORIG!O125)</f>
        <v/>
      </c>
      <c r="P125" s="3">
        <f>IF(ORIG!P125=0,"",ORIG!P125)</f>
        <v/>
      </c>
      <c r="Q125" s="3">
        <f>IF(ORIG!Q125=0,"",ORIG!Q125)</f>
        <v/>
      </c>
      <c r="R125" s="3">
        <f>IF(ORIG!R125=0,"",ORIG!R125)</f>
        <v/>
      </c>
      <c r="S125" s="3">
        <f>IF(ORIG!S125=0,"",ORIG!S125)</f>
        <v/>
      </c>
      <c r="T125" s="3">
        <f>IF(ORIG!T125=0,"",ORIG!T125)</f>
        <v/>
      </c>
      <c r="U125" s="3">
        <f>IF(ORIG!U125=0,"",ORIG!U125)</f>
        <v/>
      </c>
      <c r="V125" s="9">
        <f>IF(ORIG!V125=0,"",ORIG!V125)</f>
        <v/>
      </c>
      <c r="W125" s="9">
        <f>IF(ORIG!W125=0,"",ORIG!W125)</f>
        <v/>
      </c>
      <c r="X125" s="9">
        <f>IF(ORIG!X125=0,"",ORIG!X125)</f>
        <v/>
      </c>
      <c r="Y125" s="9">
        <f>IF(ORIG!Y125=0,"",ORIG!Y125)</f>
        <v/>
      </c>
      <c r="Z125" s="3">
        <f>SUMPRODUCT($B125:$Y125,$B$2649:$Y$2649)</f>
        <v/>
      </c>
      <c r="AA125" s="3">
        <f>SUMPRODUCT($B125:$Y125,$B$2655:$Y$2655)</f>
        <v/>
      </c>
      <c r="AC125" s="1">
        <f>A125</f>
        <v/>
      </c>
      <c r="AD125">
        <f>IF(ISNUMBER(V125),V125*($AB$1/V$2635),"")</f>
        <v/>
      </c>
      <c r="AE125">
        <f>IF(ISNUMBER(Z125),Z125*($AB$1/Z$2635),"")</f>
        <v/>
      </c>
      <c r="AF125" s="25">
        <f>IF(ISNUMBER(AD125+AE125),AD125+AE125,"")</f>
        <v/>
      </c>
      <c r="AH125" s="1">
        <f>A125</f>
        <v/>
      </c>
      <c r="AI125">
        <f>IF(ISNUMBER((1+V125)*AI124),(1+V125)*AI124,AI124)</f>
        <v/>
      </c>
      <c r="AJ125">
        <f>IF(ISNUMBER((1+Z125)*AJ124),(1+Z125)*AJ124,AJ124)</f>
        <v/>
      </c>
    </row>
    <row r="126">
      <c r="A126" s="1" t="n">
        <v>42185</v>
      </c>
      <c r="B126" s="3">
        <f>IF(ORIG!B126=0,"",ORIG!B126)</f>
        <v/>
      </c>
      <c r="C126" s="3">
        <f>IF(ORIG!C126=0,"",ORIG!C126)</f>
        <v/>
      </c>
      <c r="D126" s="3">
        <f>IF(ORIG!D126=0,"",ORIG!D126)</f>
        <v/>
      </c>
      <c r="E126" s="3">
        <f>IF(ORIG!E126=0,"",ORIG!E126)</f>
        <v/>
      </c>
      <c r="F126" s="3">
        <f>IF(ORIG!F126=0,"",ORIG!F126)</f>
        <v/>
      </c>
      <c r="G126" s="3">
        <f>IF(ORIG!G126=0,"",ORIG!G126)</f>
        <v/>
      </c>
      <c r="H126" s="3">
        <f>IF(ORIG!H126=0,"",ORIG!H126)</f>
        <v/>
      </c>
      <c r="I126" s="3">
        <f>IF(ORIG!I126=0,"",ORIG!I126)</f>
        <v/>
      </c>
      <c r="J126" s="3">
        <f>IF(ORIG!J126=0,"",ORIG!J126)</f>
        <v/>
      </c>
      <c r="K126" s="3">
        <f>IF(ORIG!K126=0,"",ORIG!K126)</f>
        <v/>
      </c>
      <c r="L126" s="3">
        <f>IF(ORIG!L126=0,"",ORIG!L126)</f>
        <v/>
      </c>
      <c r="M126" s="3">
        <f>IF(ORIG!M126=0,"",ORIG!M126)</f>
        <v/>
      </c>
      <c r="N126" s="3">
        <f>IF(ORIG!N126=0,"",ORIG!N126)</f>
        <v/>
      </c>
      <c r="O126" s="3">
        <f>IF(ORIG!O126=0,"",ORIG!O126)</f>
        <v/>
      </c>
      <c r="P126" s="3">
        <f>IF(ORIG!P126=0,"",ORIG!P126)</f>
        <v/>
      </c>
      <c r="Q126" s="3">
        <f>IF(ORIG!Q126=0,"",ORIG!Q126)</f>
        <v/>
      </c>
      <c r="R126" s="3">
        <f>IF(ORIG!R126=0,"",ORIG!R126)</f>
        <v/>
      </c>
      <c r="S126" s="3">
        <f>IF(ORIG!S126=0,"",ORIG!S126)</f>
        <v/>
      </c>
      <c r="T126" s="3">
        <f>IF(ORIG!T126=0,"",ORIG!T126)</f>
        <v/>
      </c>
      <c r="U126" s="3">
        <f>IF(ORIG!U126=0,"",ORIG!U126)</f>
        <v/>
      </c>
      <c r="V126" s="9">
        <f>IF(ORIG!V126=0,"",ORIG!V126)</f>
        <v/>
      </c>
      <c r="W126" s="9">
        <f>IF(ORIG!W126=0,"",ORIG!W126)</f>
        <v/>
      </c>
      <c r="X126" s="9">
        <f>IF(ORIG!X126=0,"",ORIG!X126)</f>
        <v/>
      </c>
      <c r="Y126" s="9">
        <f>IF(ORIG!Y126=0,"",ORIG!Y126)</f>
        <v/>
      </c>
      <c r="Z126" s="3">
        <f>SUMPRODUCT($B126:$Y126,$B$2649:$Y$2649)</f>
        <v/>
      </c>
      <c r="AA126" s="3">
        <f>SUMPRODUCT($B126:$Y126,$B$2655:$Y$2655)</f>
        <v/>
      </c>
      <c r="AC126" s="1">
        <f>A126</f>
        <v/>
      </c>
      <c r="AD126">
        <f>IF(ISNUMBER(V126),V126*($AB$1/V$2635),"")</f>
        <v/>
      </c>
      <c r="AE126">
        <f>IF(ISNUMBER(Z126),Z126*($AB$1/Z$2635),"")</f>
        <v/>
      </c>
      <c r="AF126" s="25">
        <f>IF(ISNUMBER(AD126+AE126),AD126+AE126,"")</f>
        <v/>
      </c>
      <c r="AH126" s="1">
        <f>A126</f>
        <v/>
      </c>
      <c r="AI126">
        <f>IF(ISNUMBER((1+V126)*AI125),(1+V126)*AI125,AI125)</f>
        <v/>
      </c>
      <c r="AJ126">
        <f>IF(ISNUMBER((1+Z126)*AJ125),(1+Z126)*AJ125,AJ125)</f>
        <v/>
      </c>
    </row>
    <row r="127">
      <c r="A127" s="1" t="n">
        <v>42186</v>
      </c>
      <c r="B127" s="3">
        <f>IF(ORIG!B127=0,"",ORIG!B127)</f>
        <v/>
      </c>
      <c r="C127" s="3">
        <f>IF(ORIG!C127=0,"",ORIG!C127)</f>
        <v/>
      </c>
      <c r="D127" s="3">
        <f>IF(ORIG!D127=0,"",ORIG!D127)</f>
        <v/>
      </c>
      <c r="E127" s="3">
        <f>IF(ORIG!E127=0,"",ORIG!E127)</f>
        <v/>
      </c>
      <c r="F127" s="3">
        <f>IF(ORIG!F127=0,"",ORIG!F127)</f>
        <v/>
      </c>
      <c r="G127" s="3">
        <f>IF(ORIG!G127=0,"",ORIG!G127)</f>
        <v/>
      </c>
      <c r="H127" s="3">
        <f>IF(ORIG!H127=0,"",ORIG!H127)</f>
        <v/>
      </c>
      <c r="I127" s="3">
        <f>IF(ORIG!I127=0,"",ORIG!I127)</f>
        <v/>
      </c>
      <c r="J127" s="3">
        <f>IF(ORIG!J127=0,"",ORIG!J127)</f>
        <v/>
      </c>
      <c r="K127" s="3">
        <f>IF(ORIG!K127=0,"",ORIG!K127)</f>
        <v/>
      </c>
      <c r="L127" s="3">
        <f>IF(ORIG!L127=0,"",ORIG!L127)</f>
        <v/>
      </c>
      <c r="M127" s="3">
        <f>IF(ORIG!M127=0,"",ORIG!M127)</f>
        <v/>
      </c>
      <c r="N127" s="3">
        <f>IF(ORIG!N127=0,"",ORIG!N127)</f>
        <v/>
      </c>
      <c r="O127" s="3">
        <f>IF(ORIG!O127=0,"",ORIG!O127)</f>
        <v/>
      </c>
      <c r="P127" s="3">
        <f>IF(ORIG!P127=0,"",ORIG!P127)</f>
        <v/>
      </c>
      <c r="Q127" s="3">
        <f>IF(ORIG!Q127=0,"",ORIG!Q127)</f>
        <v/>
      </c>
      <c r="R127" s="3">
        <f>IF(ORIG!R127=0,"",ORIG!R127)</f>
        <v/>
      </c>
      <c r="S127" s="3">
        <f>IF(ORIG!S127=0,"",ORIG!S127)</f>
        <v/>
      </c>
      <c r="T127" s="3">
        <f>IF(ORIG!T127=0,"",ORIG!T127)</f>
        <v/>
      </c>
      <c r="U127" s="3">
        <f>IF(ORIG!U127=0,"",ORIG!U127)</f>
        <v/>
      </c>
      <c r="V127" s="9">
        <f>IF(ORIG!V127=0,"",ORIG!V127)</f>
        <v/>
      </c>
      <c r="W127" s="9">
        <f>IF(ORIG!W127=0,"",ORIG!W127)</f>
        <v/>
      </c>
      <c r="X127" s="9">
        <f>IF(ORIG!X127=0,"",ORIG!X127)</f>
        <v/>
      </c>
      <c r="Y127" s="9">
        <f>IF(ORIG!Y127=0,"",ORIG!Y127)</f>
        <v/>
      </c>
      <c r="Z127" s="3">
        <f>SUMPRODUCT($B127:$Y127,$B$2649:$Y$2649)</f>
        <v/>
      </c>
      <c r="AA127" s="3">
        <f>SUMPRODUCT($B127:$Y127,$B$2655:$Y$2655)</f>
        <v/>
      </c>
      <c r="AC127" s="1">
        <f>A127</f>
        <v/>
      </c>
      <c r="AD127">
        <f>IF(ISNUMBER(V127),V127*($AB$1/V$2635),"")</f>
        <v/>
      </c>
      <c r="AE127">
        <f>IF(ISNUMBER(Z127),Z127*($AB$1/Z$2635),"")</f>
        <v/>
      </c>
      <c r="AF127" s="25">
        <f>IF(ISNUMBER(AD127+AE127),AD127+AE127,"")</f>
        <v/>
      </c>
      <c r="AH127" s="1">
        <f>A127</f>
        <v/>
      </c>
      <c r="AI127">
        <f>IF(ISNUMBER((1+V127)*AI126),(1+V127)*AI126,AI126)</f>
        <v/>
      </c>
      <c r="AJ127">
        <f>IF(ISNUMBER((1+Z127)*AJ126),(1+Z127)*AJ126,AJ126)</f>
        <v/>
      </c>
    </row>
    <row r="128">
      <c r="A128" s="1" t="n">
        <v>42187</v>
      </c>
      <c r="B128" s="3">
        <f>IF(ORIG!B128=0,"",ORIG!B128)</f>
        <v/>
      </c>
      <c r="C128" s="3">
        <f>IF(ORIG!C128=0,"",ORIG!C128)</f>
        <v/>
      </c>
      <c r="D128" s="3">
        <f>IF(ORIG!D128=0,"",ORIG!D128)</f>
        <v/>
      </c>
      <c r="E128" s="3">
        <f>IF(ORIG!E128=0,"",ORIG!E128)</f>
        <v/>
      </c>
      <c r="F128" s="3">
        <f>IF(ORIG!F128=0,"",ORIG!F128)</f>
        <v/>
      </c>
      <c r="G128" s="3">
        <f>IF(ORIG!G128=0,"",ORIG!G128)</f>
        <v/>
      </c>
      <c r="H128" s="3">
        <f>IF(ORIG!H128=0,"",ORIG!H128)</f>
        <v/>
      </c>
      <c r="I128" s="3">
        <f>IF(ORIG!I128=0,"",ORIG!I128)</f>
        <v/>
      </c>
      <c r="J128" s="3">
        <f>IF(ORIG!J128=0,"",ORIG!J128)</f>
        <v/>
      </c>
      <c r="K128" s="3">
        <f>IF(ORIG!K128=0,"",ORIG!K128)</f>
        <v/>
      </c>
      <c r="L128" s="3">
        <f>IF(ORIG!L128=0,"",ORIG!L128)</f>
        <v/>
      </c>
      <c r="M128" s="3">
        <f>IF(ORIG!M128=0,"",ORIG!M128)</f>
        <v/>
      </c>
      <c r="N128" s="3">
        <f>IF(ORIG!N128=0,"",ORIG!N128)</f>
        <v/>
      </c>
      <c r="O128" s="3">
        <f>IF(ORIG!O128=0,"",ORIG!O128)</f>
        <v/>
      </c>
      <c r="P128" s="3">
        <f>IF(ORIG!P128=0,"",ORIG!P128)</f>
        <v/>
      </c>
      <c r="Q128" s="3">
        <f>IF(ORIG!Q128=0,"",ORIG!Q128)</f>
        <v/>
      </c>
      <c r="R128" s="3">
        <f>IF(ORIG!R128=0,"",ORIG!R128)</f>
        <v/>
      </c>
      <c r="S128" s="3">
        <f>IF(ORIG!S128=0,"",ORIG!S128)</f>
        <v/>
      </c>
      <c r="T128" s="3">
        <f>IF(ORIG!T128=0,"",ORIG!T128)</f>
        <v/>
      </c>
      <c r="U128" s="3">
        <f>IF(ORIG!U128=0,"",ORIG!U128)</f>
        <v/>
      </c>
      <c r="V128" s="9">
        <f>IF(ORIG!V128=0,"",ORIG!V128)</f>
        <v/>
      </c>
      <c r="W128" s="9">
        <f>IF(ORIG!W128=0,"",ORIG!W128)</f>
        <v/>
      </c>
      <c r="X128" s="9">
        <f>IF(ORIG!X128=0,"",ORIG!X128)</f>
        <v/>
      </c>
      <c r="Y128" s="9">
        <f>IF(ORIG!Y128=0,"",ORIG!Y128)</f>
        <v/>
      </c>
      <c r="Z128" s="3">
        <f>SUMPRODUCT($B128:$Y128,$B$2649:$Y$2649)</f>
        <v/>
      </c>
      <c r="AA128" s="3">
        <f>SUMPRODUCT($B128:$Y128,$B$2655:$Y$2655)</f>
        <v/>
      </c>
      <c r="AC128" s="1">
        <f>A128</f>
        <v/>
      </c>
      <c r="AD128">
        <f>IF(ISNUMBER(V128),V128*($AB$1/V$2635),"")</f>
        <v/>
      </c>
      <c r="AE128">
        <f>IF(ISNUMBER(Z128),Z128*($AB$1/Z$2635),"")</f>
        <v/>
      </c>
      <c r="AF128" s="25">
        <f>IF(ISNUMBER(AD128+AE128),AD128+AE128,"")</f>
        <v/>
      </c>
      <c r="AH128" s="1">
        <f>A128</f>
        <v/>
      </c>
      <c r="AI128">
        <f>IF(ISNUMBER((1+V128)*AI127),(1+V128)*AI127,AI127)</f>
        <v/>
      </c>
      <c r="AJ128">
        <f>IF(ISNUMBER((1+Z128)*AJ127),(1+Z128)*AJ127,AJ127)</f>
        <v/>
      </c>
    </row>
    <row r="129">
      <c r="A129" s="1" t="n">
        <v>42191</v>
      </c>
      <c r="B129" s="3">
        <f>IF(ORIG!B129=0,"",ORIG!B129)</f>
        <v/>
      </c>
      <c r="C129" s="3">
        <f>IF(ORIG!C129=0,"",ORIG!C129)</f>
        <v/>
      </c>
      <c r="D129" s="3">
        <f>IF(ORIG!D129=0,"",ORIG!D129)</f>
        <v/>
      </c>
      <c r="E129" s="3">
        <f>IF(ORIG!E129=0,"",ORIG!E129)</f>
        <v/>
      </c>
      <c r="F129" s="3">
        <f>IF(ORIG!F129=0,"",ORIG!F129)</f>
        <v/>
      </c>
      <c r="G129" s="3">
        <f>IF(ORIG!G129=0,"",ORIG!G129)</f>
        <v/>
      </c>
      <c r="H129" s="3">
        <f>IF(ORIG!H129=0,"",ORIG!H129)</f>
        <v/>
      </c>
      <c r="I129" s="3">
        <f>IF(ORIG!I129=0,"",ORIG!I129)</f>
        <v/>
      </c>
      <c r="J129" s="3">
        <f>IF(ORIG!J129=0,"",ORIG!J129)</f>
        <v/>
      </c>
      <c r="K129" s="3">
        <f>IF(ORIG!K129=0,"",ORIG!K129)</f>
        <v/>
      </c>
      <c r="L129" s="3">
        <f>IF(ORIG!L129=0,"",ORIG!L129)</f>
        <v/>
      </c>
      <c r="M129" s="3">
        <f>IF(ORIG!M129=0,"",ORIG!M129)</f>
        <v/>
      </c>
      <c r="N129" s="3">
        <f>IF(ORIG!N129=0,"",ORIG!N129)</f>
        <v/>
      </c>
      <c r="O129" s="3">
        <f>IF(ORIG!O129=0,"",ORIG!O129)</f>
        <v/>
      </c>
      <c r="P129" s="3">
        <f>IF(ORIG!P129=0,"",ORIG!P129)</f>
        <v/>
      </c>
      <c r="Q129" s="3">
        <f>IF(ORIG!Q129=0,"",ORIG!Q129)</f>
        <v/>
      </c>
      <c r="R129" s="3">
        <f>IF(ORIG!R129=0,"",ORIG!R129)</f>
        <v/>
      </c>
      <c r="S129" s="3">
        <f>IF(ORIG!S129=0,"",ORIG!S129)</f>
        <v/>
      </c>
      <c r="T129" s="3">
        <f>IF(ORIG!T129=0,"",ORIG!T129)</f>
        <v/>
      </c>
      <c r="U129" s="3">
        <f>IF(ORIG!U129=0,"",ORIG!U129)</f>
        <v/>
      </c>
      <c r="V129" s="9">
        <f>IF(ORIG!V129=0,"",ORIG!V129)</f>
        <v/>
      </c>
      <c r="W129" s="9">
        <f>IF(ORIG!W129=0,"",ORIG!W129)</f>
        <v/>
      </c>
      <c r="X129" s="9">
        <f>IF(ORIG!X129=0,"",ORIG!X129)</f>
        <v/>
      </c>
      <c r="Y129" s="9">
        <f>IF(ORIG!Y129=0,"",ORIG!Y129)</f>
        <v/>
      </c>
      <c r="Z129" s="3">
        <f>SUMPRODUCT($B129:$Y129,$B$2649:$Y$2649)</f>
        <v/>
      </c>
      <c r="AA129" s="3">
        <f>SUMPRODUCT($B129:$Y129,$B$2655:$Y$2655)</f>
        <v/>
      </c>
      <c r="AC129" s="1">
        <f>A129</f>
        <v/>
      </c>
      <c r="AD129">
        <f>IF(ISNUMBER(V129),V129*($AB$1/V$2635),"")</f>
        <v/>
      </c>
      <c r="AE129">
        <f>IF(ISNUMBER(Z129),Z129*($AB$1/Z$2635),"")</f>
        <v/>
      </c>
      <c r="AF129" s="25">
        <f>IF(ISNUMBER(AD129+AE129),AD129+AE129,"")</f>
        <v/>
      </c>
      <c r="AH129" s="1">
        <f>A129</f>
        <v/>
      </c>
      <c r="AI129">
        <f>IF(ISNUMBER((1+V129)*AI128),(1+V129)*AI128,AI128)</f>
        <v/>
      </c>
      <c r="AJ129">
        <f>IF(ISNUMBER((1+Z129)*AJ128),(1+Z129)*AJ128,AJ128)</f>
        <v/>
      </c>
    </row>
    <row r="130">
      <c r="A130" s="1" t="n">
        <v>42192</v>
      </c>
      <c r="B130" s="3">
        <f>IF(ORIG!B130=0,"",ORIG!B130)</f>
        <v/>
      </c>
      <c r="C130" s="3">
        <f>IF(ORIG!C130=0,"",ORIG!C130)</f>
        <v/>
      </c>
      <c r="D130" s="3">
        <f>IF(ORIG!D130=0,"",ORIG!D130)</f>
        <v/>
      </c>
      <c r="E130" s="3">
        <f>IF(ORIG!E130=0,"",ORIG!E130)</f>
        <v/>
      </c>
      <c r="F130" s="3">
        <f>IF(ORIG!F130=0,"",ORIG!F130)</f>
        <v/>
      </c>
      <c r="G130" s="3">
        <f>IF(ORIG!G130=0,"",ORIG!G130)</f>
        <v/>
      </c>
      <c r="H130" s="3">
        <f>IF(ORIG!H130=0,"",ORIG!H130)</f>
        <v/>
      </c>
      <c r="I130" s="3">
        <f>IF(ORIG!I130=0,"",ORIG!I130)</f>
        <v/>
      </c>
      <c r="J130" s="3">
        <f>IF(ORIG!J130=0,"",ORIG!J130)</f>
        <v/>
      </c>
      <c r="K130" s="3">
        <f>IF(ORIG!K130=0,"",ORIG!K130)</f>
        <v/>
      </c>
      <c r="L130" s="3">
        <f>IF(ORIG!L130=0,"",ORIG!L130)</f>
        <v/>
      </c>
      <c r="M130" s="3">
        <f>IF(ORIG!M130=0,"",ORIG!M130)</f>
        <v/>
      </c>
      <c r="N130" s="3">
        <f>IF(ORIG!N130=0,"",ORIG!N130)</f>
        <v/>
      </c>
      <c r="O130" s="3">
        <f>IF(ORIG!O130=0,"",ORIG!O130)</f>
        <v/>
      </c>
      <c r="P130" s="3">
        <f>IF(ORIG!P130=0,"",ORIG!P130)</f>
        <v/>
      </c>
      <c r="Q130" s="3">
        <f>IF(ORIG!Q130=0,"",ORIG!Q130)</f>
        <v/>
      </c>
      <c r="R130" s="3">
        <f>IF(ORIG!R130=0,"",ORIG!R130)</f>
        <v/>
      </c>
      <c r="S130" s="3">
        <f>IF(ORIG!S130=0,"",ORIG!S130)</f>
        <v/>
      </c>
      <c r="T130" s="3">
        <f>IF(ORIG!T130=0,"",ORIG!T130)</f>
        <v/>
      </c>
      <c r="U130" s="3">
        <f>IF(ORIG!U130=0,"",ORIG!U130)</f>
        <v/>
      </c>
      <c r="V130" s="9">
        <f>IF(ORIG!V130=0,"",ORIG!V130)</f>
        <v/>
      </c>
      <c r="W130" s="9">
        <f>IF(ORIG!W130=0,"",ORIG!W130)</f>
        <v/>
      </c>
      <c r="X130" s="9">
        <f>IF(ORIG!X130=0,"",ORIG!X130)</f>
        <v/>
      </c>
      <c r="Y130" s="9">
        <f>IF(ORIG!Y130=0,"",ORIG!Y130)</f>
        <v/>
      </c>
      <c r="Z130" s="3">
        <f>SUMPRODUCT($B130:$Y130,$B$2649:$Y$2649)</f>
        <v/>
      </c>
      <c r="AA130" s="3">
        <f>SUMPRODUCT($B130:$Y130,$B$2655:$Y$2655)</f>
        <v/>
      </c>
      <c r="AC130" s="1">
        <f>A130</f>
        <v/>
      </c>
      <c r="AD130">
        <f>IF(ISNUMBER(V130),V130*($AB$1/V$2635),"")</f>
        <v/>
      </c>
      <c r="AE130">
        <f>IF(ISNUMBER(Z130),Z130*($AB$1/Z$2635),"")</f>
        <v/>
      </c>
      <c r="AF130" s="25">
        <f>IF(ISNUMBER(AD130+AE130),AD130+AE130,"")</f>
        <v/>
      </c>
      <c r="AH130" s="1">
        <f>A130</f>
        <v/>
      </c>
      <c r="AI130">
        <f>IF(ISNUMBER((1+V130)*AI129),(1+V130)*AI129,AI129)</f>
        <v/>
      </c>
      <c r="AJ130">
        <f>IF(ISNUMBER((1+Z130)*AJ129),(1+Z130)*AJ129,AJ129)</f>
        <v/>
      </c>
    </row>
    <row r="131">
      <c r="A131" s="1" t="n">
        <v>42193</v>
      </c>
      <c r="B131" s="3">
        <f>IF(ORIG!B131=0,"",ORIG!B131)</f>
        <v/>
      </c>
      <c r="C131" s="3">
        <f>IF(ORIG!C131=0,"",ORIG!C131)</f>
        <v/>
      </c>
      <c r="D131" s="3">
        <f>IF(ORIG!D131=0,"",ORIG!D131)</f>
        <v/>
      </c>
      <c r="E131" s="3">
        <f>IF(ORIG!E131=0,"",ORIG!E131)</f>
        <v/>
      </c>
      <c r="F131" s="3">
        <f>IF(ORIG!F131=0,"",ORIG!F131)</f>
        <v/>
      </c>
      <c r="G131" s="3">
        <f>IF(ORIG!G131=0,"",ORIG!G131)</f>
        <v/>
      </c>
      <c r="H131" s="3">
        <f>IF(ORIG!H131=0,"",ORIG!H131)</f>
        <v/>
      </c>
      <c r="I131" s="3">
        <f>IF(ORIG!I131=0,"",ORIG!I131)</f>
        <v/>
      </c>
      <c r="J131" s="3">
        <f>IF(ORIG!J131=0,"",ORIG!J131)</f>
        <v/>
      </c>
      <c r="K131" s="3">
        <f>IF(ORIG!K131=0,"",ORIG!K131)</f>
        <v/>
      </c>
      <c r="L131" s="3">
        <f>IF(ORIG!L131=0,"",ORIG!L131)</f>
        <v/>
      </c>
      <c r="M131" s="3">
        <f>IF(ORIG!M131=0,"",ORIG!M131)</f>
        <v/>
      </c>
      <c r="N131" s="3">
        <f>IF(ORIG!N131=0,"",ORIG!N131)</f>
        <v/>
      </c>
      <c r="O131" s="3">
        <f>IF(ORIG!O131=0,"",ORIG!O131)</f>
        <v/>
      </c>
      <c r="P131" s="3">
        <f>IF(ORIG!P131=0,"",ORIG!P131)</f>
        <v/>
      </c>
      <c r="Q131" s="3">
        <f>IF(ORIG!Q131=0,"",ORIG!Q131)</f>
        <v/>
      </c>
      <c r="R131" s="3">
        <f>IF(ORIG!R131=0,"",ORIG!R131)</f>
        <v/>
      </c>
      <c r="S131" s="3">
        <f>IF(ORIG!S131=0,"",ORIG!S131)</f>
        <v/>
      </c>
      <c r="T131" s="3">
        <f>IF(ORIG!T131=0,"",ORIG!T131)</f>
        <v/>
      </c>
      <c r="U131" s="3">
        <f>IF(ORIG!U131=0,"",ORIG!U131)</f>
        <v/>
      </c>
      <c r="V131" s="9">
        <f>IF(ORIG!V131=0,"",ORIG!V131)</f>
        <v/>
      </c>
      <c r="W131" s="9">
        <f>IF(ORIG!W131=0,"",ORIG!W131)</f>
        <v/>
      </c>
      <c r="X131" s="9">
        <f>IF(ORIG!X131=0,"",ORIG!X131)</f>
        <v/>
      </c>
      <c r="Y131" s="9">
        <f>IF(ORIG!Y131=0,"",ORIG!Y131)</f>
        <v/>
      </c>
      <c r="Z131" s="3">
        <f>SUMPRODUCT($B131:$Y131,$B$2649:$Y$2649)</f>
        <v/>
      </c>
      <c r="AA131" s="3">
        <f>SUMPRODUCT($B131:$Y131,$B$2655:$Y$2655)</f>
        <v/>
      </c>
      <c r="AC131" s="1">
        <f>A131</f>
        <v/>
      </c>
      <c r="AD131">
        <f>IF(ISNUMBER(V131),V131*($AB$1/V$2635),"")</f>
        <v/>
      </c>
      <c r="AE131">
        <f>IF(ISNUMBER(Z131),Z131*($AB$1/Z$2635),"")</f>
        <v/>
      </c>
      <c r="AF131" s="25">
        <f>IF(ISNUMBER(AD131+AE131),AD131+AE131,"")</f>
        <v/>
      </c>
      <c r="AH131" s="1">
        <f>A131</f>
        <v/>
      </c>
      <c r="AI131">
        <f>IF(ISNUMBER((1+V131)*AI130),(1+V131)*AI130,AI130)</f>
        <v/>
      </c>
      <c r="AJ131">
        <f>IF(ISNUMBER((1+Z131)*AJ130),(1+Z131)*AJ130,AJ130)</f>
        <v/>
      </c>
    </row>
    <row r="132">
      <c r="A132" s="1" t="n">
        <v>42194</v>
      </c>
      <c r="B132" s="3">
        <f>IF(ORIG!B132=0,"",ORIG!B132)</f>
        <v/>
      </c>
      <c r="C132" s="3">
        <f>IF(ORIG!C132=0,"",ORIG!C132)</f>
        <v/>
      </c>
      <c r="D132" s="3">
        <f>IF(ORIG!D132=0,"",ORIG!D132)</f>
        <v/>
      </c>
      <c r="E132" s="3">
        <f>IF(ORIG!E132=0,"",ORIG!E132)</f>
        <v/>
      </c>
      <c r="F132" s="3">
        <f>IF(ORIG!F132=0,"",ORIG!F132)</f>
        <v/>
      </c>
      <c r="G132" s="3">
        <f>IF(ORIG!G132=0,"",ORIG!G132)</f>
        <v/>
      </c>
      <c r="H132" s="3">
        <f>IF(ORIG!H132=0,"",ORIG!H132)</f>
        <v/>
      </c>
      <c r="I132" s="3">
        <f>IF(ORIG!I132=0,"",ORIG!I132)</f>
        <v/>
      </c>
      <c r="J132" s="3">
        <f>IF(ORIG!J132=0,"",ORIG!J132)</f>
        <v/>
      </c>
      <c r="K132" s="3">
        <f>IF(ORIG!K132=0,"",ORIG!K132)</f>
        <v/>
      </c>
      <c r="L132" s="3">
        <f>IF(ORIG!L132=0,"",ORIG!L132)</f>
        <v/>
      </c>
      <c r="M132" s="3">
        <f>IF(ORIG!M132=0,"",ORIG!M132)</f>
        <v/>
      </c>
      <c r="N132" s="3">
        <f>IF(ORIG!N132=0,"",ORIG!N132)</f>
        <v/>
      </c>
      <c r="O132" s="3">
        <f>IF(ORIG!O132=0,"",ORIG!O132)</f>
        <v/>
      </c>
      <c r="P132" s="3">
        <f>IF(ORIG!P132=0,"",ORIG!P132)</f>
        <v/>
      </c>
      <c r="Q132" s="3">
        <f>IF(ORIG!Q132=0,"",ORIG!Q132)</f>
        <v/>
      </c>
      <c r="R132" s="3">
        <f>IF(ORIG!R132=0,"",ORIG!R132)</f>
        <v/>
      </c>
      <c r="S132" s="3">
        <f>IF(ORIG!S132=0,"",ORIG!S132)</f>
        <v/>
      </c>
      <c r="T132" s="3">
        <f>IF(ORIG!T132=0,"",ORIG!T132)</f>
        <v/>
      </c>
      <c r="U132" s="3">
        <f>IF(ORIG!U132=0,"",ORIG!U132)</f>
        <v/>
      </c>
      <c r="V132" s="9">
        <f>IF(ORIG!V132=0,"",ORIG!V132)</f>
        <v/>
      </c>
      <c r="W132" s="9">
        <f>IF(ORIG!W132=0,"",ORIG!W132)</f>
        <v/>
      </c>
      <c r="X132" s="9">
        <f>IF(ORIG!X132=0,"",ORIG!X132)</f>
        <v/>
      </c>
      <c r="Y132" s="9">
        <f>IF(ORIG!Y132=0,"",ORIG!Y132)</f>
        <v/>
      </c>
      <c r="Z132" s="3">
        <f>SUMPRODUCT($B132:$Y132,$B$2649:$Y$2649)</f>
        <v/>
      </c>
      <c r="AA132" s="3">
        <f>SUMPRODUCT($B132:$Y132,$B$2655:$Y$2655)</f>
        <v/>
      </c>
      <c r="AC132" s="1">
        <f>A132</f>
        <v/>
      </c>
      <c r="AD132">
        <f>IF(ISNUMBER(V132),V132*($AB$1/V$2635),"")</f>
        <v/>
      </c>
      <c r="AE132">
        <f>IF(ISNUMBER(Z132),Z132*($AB$1/Z$2635),"")</f>
        <v/>
      </c>
      <c r="AF132" s="25">
        <f>IF(ISNUMBER(AD132+AE132),AD132+AE132,"")</f>
        <v/>
      </c>
      <c r="AH132" s="1">
        <f>A132</f>
        <v/>
      </c>
      <c r="AI132">
        <f>IF(ISNUMBER((1+V132)*AI131),(1+V132)*AI131,AI131)</f>
        <v/>
      </c>
      <c r="AJ132">
        <f>IF(ISNUMBER((1+Z132)*AJ131),(1+Z132)*AJ131,AJ131)</f>
        <v/>
      </c>
    </row>
    <row r="133">
      <c r="A133" s="1" t="n">
        <v>42195</v>
      </c>
      <c r="B133" s="3">
        <f>IF(ORIG!B133=0,"",ORIG!B133)</f>
        <v/>
      </c>
      <c r="C133" s="3">
        <f>IF(ORIG!C133=0,"",ORIG!C133)</f>
        <v/>
      </c>
      <c r="D133" s="3">
        <f>IF(ORIG!D133=0,"",ORIG!D133)</f>
        <v/>
      </c>
      <c r="E133" s="3">
        <f>IF(ORIG!E133=0,"",ORIG!E133)</f>
        <v/>
      </c>
      <c r="F133" s="3">
        <f>IF(ORIG!F133=0,"",ORIG!F133)</f>
        <v/>
      </c>
      <c r="G133" s="3">
        <f>IF(ORIG!G133=0,"",ORIG!G133)</f>
        <v/>
      </c>
      <c r="H133" s="3">
        <f>IF(ORIG!H133=0,"",ORIG!H133)</f>
        <v/>
      </c>
      <c r="I133" s="3">
        <f>IF(ORIG!I133=0,"",ORIG!I133)</f>
        <v/>
      </c>
      <c r="J133" s="3">
        <f>IF(ORIG!J133=0,"",ORIG!J133)</f>
        <v/>
      </c>
      <c r="K133" s="3">
        <f>IF(ORIG!K133=0,"",ORIG!K133)</f>
        <v/>
      </c>
      <c r="L133" s="3">
        <f>IF(ORIG!L133=0,"",ORIG!L133)</f>
        <v/>
      </c>
      <c r="M133" s="3">
        <f>IF(ORIG!M133=0,"",ORIG!M133)</f>
        <v/>
      </c>
      <c r="N133" s="3">
        <f>IF(ORIG!N133=0,"",ORIG!N133)</f>
        <v/>
      </c>
      <c r="O133" s="3">
        <f>IF(ORIG!O133=0,"",ORIG!O133)</f>
        <v/>
      </c>
      <c r="P133" s="3">
        <f>IF(ORIG!P133=0,"",ORIG!P133)</f>
        <v/>
      </c>
      <c r="Q133" s="3">
        <f>IF(ORIG!Q133=0,"",ORIG!Q133)</f>
        <v/>
      </c>
      <c r="R133" s="3">
        <f>IF(ORIG!R133=0,"",ORIG!R133)</f>
        <v/>
      </c>
      <c r="S133" s="3">
        <f>IF(ORIG!S133=0,"",ORIG!S133)</f>
        <v/>
      </c>
      <c r="T133" s="3">
        <f>IF(ORIG!T133=0,"",ORIG!T133)</f>
        <v/>
      </c>
      <c r="U133" s="3">
        <f>IF(ORIG!U133=0,"",ORIG!U133)</f>
        <v/>
      </c>
      <c r="V133" s="9">
        <f>IF(ORIG!V133=0,"",ORIG!V133)</f>
        <v/>
      </c>
      <c r="W133" s="9">
        <f>IF(ORIG!W133=0,"",ORIG!W133)</f>
        <v/>
      </c>
      <c r="X133" s="9">
        <f>IF(ORIG!X133=0,"",ORIG!X133)</f>
        <v/>
      </c>
      <c r="Y133" s="9">
        <f>IF(ORIG!Y133=0,"",ORIG!Y133)</f>
        <v/>
      </c>
      <c r="Z133" s="3">
        <f>SUMPRODUCT($B133:$Y133,$B$2649:$Y$2649)</f>
        <v/>
      </c>
      <c r="AA133" s="3">
        <f>SUMPRODUCT($B133:$Y133,$B$2655:$Y$2655)</f>
        <v/>
      </c>
      <c r="AC133" s="1">
        <f>A133</f>
        <v/>
      </c>
      <c r="AD133">
        <f>IF(ISNUMBER(V133),V133*($AB$1/V$2635),"")</f>
        <v/>
      </c>
      <c r="AE133">
        <f>IF(ISNUMBER(Z133),Z133*($AB$1/Z$2635),"")</f>
        <v/>
      </c>
      <c r="AF133" s="25">
        <f>IF(ISNUMBER(AD133+AE133),AD133+AE133,"")</f>
        <v/>
      </c>
      <c r="AH133" s="1">
        <f>A133</f>
        <v/>
      </c>
      <c r="AI133">
        <f>IF(ISNUMBER((1+V133)*AI132),(1+V133)*AI132,AI132)</f>
        <v/>
      </c>
      <c r="AJ133">
        <f>IF(ISNUMBER((1+Z133)*AJ132),(1+Z133)*AJ132,AJ132)</f>
        <v/>
      </c>
    </row>
    <row r="134">
      <c r="A134" s="1" t="n">
        <v>42198</v>
      </c>
      <c r="B134" s="3">
        <f>IF(ORIG!B134=0,"",ORIG!B134)</f>
        <v/>
      </c>
      <c r="C134" s="3">
        <f>IF(ORIG!C134=0,"",ORIG!C134)</f>
        <v/>
      </c>
      <c r="D134" s="3">
        <f>IF(ORIG!D134=0,"",ORIG!D134)</f>
        <v/>
      </c>
      <c r="E134" s="3">
        <f>IF(ORIG!E134=0,"",ORIG!E134)</f>
        <v/>
      </c>
      <c r="F134" s="3">
        <f>IF(ORIG!F134=0,"",ORIG!F134)</f>
        <v/>
      </c>
      <c r="G134" s="3">
        <f>IF(ORIG!G134=0,"",ORIG!G134)</f>
        <v/>
      </c>
      <c r="H134" s="3">
        <f>IF(ORIG!H134=0,"",ORIG!H134)</f>
        <v/>
      </c>
      <c r="I134" s="3">
        <f>IF(ORIG!I134=0,"",ORIG!I134)</f>
        <v/>
      </c>
      <c r="J134" s="3">
        <f>IF(ORIG!J134=0,"",ORIG!J134)</f>
        <v/>
      </c>
      <c r="K134" s="3">
        <f>IF(ORIG!K134=0,"",ORIG!K134)</f>
        <v/>
      </c>
      <c r="L134" s="3">
        <f>IF(ORIG!L134=0,"",ORIG!L134)</f>
        <v/>
      </c>
      <c r="M134" s="3">
        <f>IF(ORIG!M134=0,"",ORIG!M134)</f>
        <v/>
      </c>
      <c r="N134" s="3">
        <f>IF(ORIG!N134=0,"",ORIG!N134)</f>
        <v/>
      </c>
      <c r="O134" s="3">
        <f>IF(ORIG!O134=0,"",ORIG!O134)</f>
        <v/>
      </c>
      <c r="P134" s="3">
        <f>IF(ORIG!P134=0,"",ORIG!P134)</f>
        <v/>
      </c>
      <c r="Q134" s="3">
        <f>IF(ORIG!Q134=0,"",ORIG!Q134)</f>
        <v/>
      </c>
      <c r="R134" s="3">
        <f>IF(ORIG!R134=0,"",ORIG!R134)</f>
        <v/>
      </c>
      <c r="S134" s="3">
        <f>IF(ORIG!S134=0,"",ORIG!S134)</f>
        <v/>
      </c>
      <c r="T134" s="3">
        <f>IF(ORIG!T134=0,"",ORIG!T134)</f>
        <v/>
      </c>
      <c r="U134" s="3">
        <f>IF(ORIG!U134=0,"",ORIG!U134)</f>
        <v/>
      </c>
      <c r="V134" s="9">
        <f>IF(ORIG!V134=0,"",ORIG!V134)</f>
        <v/>
      </c>
      <c r="W134" s="9">
        <f>IF(ORIG!W134=0,"",ORIG!W134)</f>
        <v/>
      </c>
      <c r="X134" s="9">
        <f>IF(ORIG!X134=0,"",ORIG!X134)</f>
        <v/>
      </c>
      <c r="Y134" s="9">
        <f>IF(ORIG!Y134=0,"",ORIG!Y134)</f>
        <v/>
      </c>
      <c r="Z134" s="3">
        <f>SUMPRODUCT($B134:$Y134,$B$2649:$Y$2649)</f>
        <v/>
      </c>
      <c r="AA134" s="3">
        <f>SUMPRODUCT($B134:$Y134,$B$2655:$Y$2655)</f>
        <v/>
      </c>
      <c r="AC134" s="1">
        <f>A134</f>
        <v/>
      </c>
      <c r="AD134">
        <f>IF(ISNUMBER(V134),V134*($AB$1/V$2635),"")</f>
        <v/>
      </c>
      <c r="AE134">
        <f>IF(ISNUMBER(Z134),Z134*($AB$1/Z$2635),"")</f>
        <v/>
      </c>
      <c r="AF134" s="25">
        <f>IF(ISNUMBER(AD134+AE134),AD134+AE134,"")</f>
        <v/>
      </c>
      <c r="AH134" s="1">
        <f>A134</f>
        <v/>
      </c>
      <c r="AI134">
        <f>IF(ISNUMBER((1+V134)*AI133),(1+V134)*AI133,AI133)</f>
        <v/>
      </c>
      <c r="AJ134">
        <f>IF(ISNUMBER((1+Z134)*AJ133),(1+Z134)*AJ133,AJ133)</f>
        <v/>
      </c>
    </row>
    <row r="135">
      <c r="A135" s="1" t="n">
        <v>42199</v>
      </c>
      <c r="B135" s="3">
        <f>IF(ORIG!B135=0,"",ORIG!B135)</f>
        <v/>
      </c>
      <c r="C135" s="3">
        <f>IF(ORIG!C135=0,"",ORIG!C135)</f>
        <v/>
      </c>
      <c r="D135" s="3">
        <f>IF(ORIG!D135=0,"",ORIG!D135)</f>
        <v/>
      </c>
      <c r="E135" s="3">
        <f>IF(ORIG!E135=0,"",ORIG!E135)</f>
        <v/>
      </c>
      <c r="F135" s="3">
        <f>IF(ORIG!F135=0,"",ORIG!F135)</f>
        <v/>
      </c>
      <c r="G135" s="3">
        <f>IF(ORIG!G135=0,"",ORIG!G135)</f>
        <v/>
      </c>
      <c r="H135" s="3">
        <f>IF(ORIG!H135=0,"",ORIG!H135)</f>
        <v/>
      </c>
      <c r="I135" s="3">
        <f>IF(ORIG!I135=0,"",ORIG!I135)</f>
        <v/>
      </c>
      <c r="J135" s="3">
        <f>IF(ORIG!J135=0,"",ORIG!J135)</f>
        <v/>
      </c>
      <c r="K135" s="3">
        <f>IF(ORIG!K135=0,"",ORIG!K135)</f>
        <v/>
      </c>
      <c r="L135" s="3">
        <f>IF(ORIG!L135=0,"",ORIG!L135)</f>
        <v/>
      </c>
      <c r="M135" s="3">
        <f>IF(ORIG!M135=0,"",ORIG!M135)</f>
        <v/>
      </c>
      <c r="N135" s="3">
        <f>IF(ORIG!N135=0,"",ORIG!N135)</f>
        <v/>
      </c>
      <c r="O135" s="3">
        <f>IF(ORIG!O135=0,"",ORIG!O135)</f>
        <v/>
      </c>
      <c r="P135" s="3">
        <f>IF(ORIG!P135=0,"",ORIG!P135)</f>
        <v/>
      </c>
      <c r="Q135" s="3">
        <f>IF(ORIG!Q135=0,"",ORIG!Q135)</f>
        <v/>
      </c>
      <c r="R135" s="3">
        <f>IF(ORIG!R135=0,"",ORIG!R135)</f>
        <v/>
      </c>
      <c r="S135" s="3">
        <f>IF(ORIG!S135=0,"",ORIG!S135)</f>
        <v/>
      </c>
      <c r="T135" s="3">
        <f>IF(ORIG!T135=0,"",ORIG!T135)</f>
        <v/>
      </c>
      <c r="U135" s="3">
        <f>IF(ORIG!U135=0,"",ORIG!U135)</f>
        <v/>
      </c>
      <c r="V135" s="9">
        <f>IF(ORIG!V135=0,"",ORIG!V135)</f>
        <v/>
      </c>
      <c r="W135" s="9">
        <f>IF(ORIG!W135=0,"",ORIG!W135)</f>
        <v/>
      </c>
      <c r="X135" s="9">
        <f>IF(ORIG!X135=0,"",ORIG!X135)</f>
        <v/>
      </c>
      <c r="Y135" s="9">
        <f>IF(ORIG!Y135=0,"",ORIG!Y135)</f>
        <v/>
      </c>
      <c r="Z135" s="3">
        <f>SUMPRODUCT($B135:$Y135,$B$2649:$Y$2649)</f>
        <v/>
      </c>
      <c r="AA135" s="3">
        <f>SUMPRODUCT($B135:$Y135,$B$2655:$Y$2655)</f>
        <v/>
      </c>
      <c r="AC135" s="1">
        <f>A135</f>
        <v/>
      </c>
      <c r="AD135">
        <f>IF(ISNUMBER(V135),V135*($AB$1/V$2635),"")</f>
        <v/>
      </c>
      <c r="AE135">
        <f>IF(ISNUMBER(Z135),Z135*($AB$1/Z$2635),"")</f>
        <v/>
      </c>
      <c r="AF135" s="25">
        <f>IF(ISNUMBER(AD135+AE135),AD135+AE135,"")</f>
        <v/>
      </c>
      <c r="AH135" s="1">
        <f>A135</f>
        <v/>
      </c>
      <c r="AI135">
        <f>IF(ISNUMBER((1+V135)*AI134),(1+V135)*AI134,AI134)</f>
        <v/>
      </c>
      <c r="AJ135">
        <f>IF(ISNUMBER((1+Z135)*AJ134),(1+Z135)*AJ134,AJ134)</f>
        <v/>
      </c>
    </row>
    <row r="136">
      <c r="A136" s="1" t="n">
        <v>42200</v>
      </c>
      <c r="B136" s="3">
        <f>IF(ORIG!B136=0,"",ORIG!B136)</f>
        <v/>
      </c>
      <c r="C136" s="3">
        <f>IF(ORIG!C136=0,"",ORIG!C136)</f>
        <v/>
      </c>
      <c r="D136" s="3">
        <f>IF(ORIG!D136=0,"",ORIG!D136)</f>
        <v/>
      </c>
      <c r="E136" s="3">
        <f>IF(ORIG!E136=0,"",ORIG!E136)</f>
        <v/>
      </c>
      <c r="F136" s="3">
        <f>IF(ORIG!F136=0,"",ORIG!F136)</f>
        <v/>
      </c>
      <c r="G136" s="3">
        <f>IF(ORIG!G136=0,"",ORIG!G136)</f>
        <v/>
      </c>
      <c r="H136" s="3">
        <f>IF(ORIG!H136=0,"",ORIG!H136)</f>
        <v/>
      </c>
      <c r="I136" s="3">
        <f>IF(ORIG!I136=0,"",ORIG!I136)</f>
        <v/>
      </c>
      <c r="J136" s="3">
        <f>IF(ORIG!J136=0,"",ORIG!J136)</f>
        <v/>
      </c>
      <c r="K136" s="3">
        <f>IF(ORIG!K136=0,"",ORIG!K136)</f>
        <v/>
      </c>
      <c r="L136" s="3">
        <f>IF(ORIG!L136=0,"",ORIG!L136)</f>
        <v/>
      </c>
      <c r="M136" s="3">
        <f>IF(ORIG!M136=0,"",ORIG!M136)</f>
        <v/>
      </c>
      <c r="N136" s="3">
        <f>IF(ORIG!N136=0,"",ORIG!N136)</f>
        <v/>
      </c>
      <c r="O136" s="3">
        <f>IF(ORIG!O136=0,"",ORIG!O136)</f>
        <v/>
      </c>
      <c r="P136" s="3">
        <f>IF(ORIG!P136=0,"",ORIG!P136)</f>
        <v/>
      </c>
      <c r="Q136" s="3">
        <f>IF(ORIG!Q136=0,"",ORIG!Q136)</f>
        <v/>
      </c>
      <c r="R136" s="3">
        <f>IF(ORIG!R136=0,"",ORIG!R136)</f>
        <v/>
      </c>
      <c r="S136" s="3">
        <f>IF(ORIG!S136=0,"",ORIG!S136)</f>
        <v/>
      </c>
      <c r="T136" s="3">
        <f>IF(ORIG!T136=0,"",ORIG!T136)</f>
        <v/>
      </c>
      <c r="U136" s="3">
        <f>IF(ORIG!U136=0,"",ORIG!U136)</f>
        <v/>
      </c>
      <c r="V136" s="9">
        <f>IF(ORIG!V136=0,"",ORIG!V136)</f>
        <v/>
      </c>
      <c r="W136" s="9">
        <f>IF(ORIG!W136=0,"",ORIG!W136)</f>
        <v/>
      </c>
      <c r="X136" s="9">
        <f>IF(ORIG!X136=0,"",ORIG!X136)</f>
        <v/>
      </c>
      <c r="Y136" s="9">
        <f>IF(ORIG!Y136=0,"",ORIG!Y136)</f>
        <v/>
      </c>
      <c r="Z136" s="3">
        <f>SUMPRODUCT($B136:$Y136,$B$2649:$Y$2649)</f>
        <v/>
      </c>
      <c r="AA136" s="3">
        <f>SUMPRODUCT($B136:$Y136,$B$2655:$Y$2655)</f>
        <v/>
      </c>
      <c r="AC136" s="1">
        <f>A136</f>
        <v/>
      </c>
      <c r="AD136">
        <f>IF(ISNUMBER(V136),V136*($AB$1/V$2635),"")</f>
        <v/>
      </c>
      <c r="AE136">
        <f>IF(ISNUMBER(Z136),Z136*($AB$1/Z$2635),"")</f>
        <v/>
      </c>
      <c r="AF136" s="25">
        <f>IF(ISNUMBER(AD136+AE136),AD136+AE136,"")</f>
        <v/>
      </c>
      <c r="AH136" s="1">
        <f>A136</f>
        <v/>
      </c>
      <c r="AI136">
        <f>IF(ISNUMBER((1+V136)*AI135),(1+V136)*AI135,AI135)</f>
        <v/>
      </c>
      <c r="AJ136">
        <f>IF(ISNUMBER((1+Z136)*AJ135),(1+Z136)*AJ135,AJ135)</f>
        <v/>
      </c>
    </row>
    <row r="137">
      <c r="A137" s="1" t="n">
        <v>42201</v>
      </c>
      <c r="B137" s="3">
        <f>IF(ORIG!B137=0,"",ORIG!B137)</f>
        <v/>
      </c>
      <c r="C137" s="3">
        <f>IF(ORIG!C137=0,"",ORIG!C137)</f>
        <v/>
      </c>
      <c r="D137" s="3">
        <f>IF(ORIG!D137=0,"",ORIG!D137)</f>
        <v/>
      </c>
      <c r="E137" s="3">
        <f>IF(ORIG!E137=0,"",ORIG!E137)</f>
        <v/>
      </c>
      <c r="F137" s="3">
        <f>IF(ORIG!F137=0,"",ORIG!F137)</f>
        <v/>
      </c>
      <c r="G137" s="3">
        <f>IF(ORIG!G137=0,"",ORIG!G137)</f>
        <v/>
      </c>
      <c r="H137" s="3">
        <f>IF(ORIG!H137=0,"",ORIG!H137)</f>
        <v/>
      </c>
      <c r="I137" s="3">
        <f>IF(ORIG!I137=0,"",ORIG!I137)</f>
        <v/>
      </c>
      <c r="J137" s="3">
        <f>IF(ORIG!J137=0,"",ORIG!J137)</f>
        <v/>
      </c>
      <c r="K137" s="3">
        <f>IF(ORIG!K137=0,"",ORIG!K137)</f>
        <v/>
      </c>
      <c r="L137" s="3">
        <f>IF(ORIG!L137=0,"",ORIG!L137)</f>
        <v/>
      </c>
      <c r="M137" s="3">
        <f>IF(ORIG!M137=0,"",ORIG!M137)</f>
        <v/>
      </c>
      <c r="N137" s="3">
        <f>IF(ORIG!N137=0,"",ORIG!N137)</f>
        <v/>
      </c>
      <c r="O137" s="3">
        <f>IF(ORIG!O137=0,"",ORIG!O137)</f>
        <v/>
      </c>
      <c r="P137" s="3">
        <f>IF(ORIG!P137=0,"",ORIG!P137)</f>
        <v/>
      </c>
      <c r="Q137" s="3">
        <f>IF(ORIG!Q137=0,"",ORIG!Q137)</f>
        <v/>
      </c>
      <c r="R137" s="3">
        <f>IF(ORIG!R137=0,"",ORIG!R137)</f>
        <v/>
      </c>
      <c r="S137" s="3">
        <f>IF(ORIG!S137=0,"",ORIG!S137)</f>
        <v/>
      </c>
      <c r="T137" s="3">
        <f>IF(ORIG!T137=0,"",ORIG!T137)</f>
        <v/>
      </c>
      <c r="U137" s="3">
        <f>IF(ORIG!U137=0,"",ORIG!U137)</f>
        <v/>
      </c>
      <c r="V137" s="9">
        <f>IF(ORIG!V137=0,"",ORIG!V137)</f>
        <v/>
      </c>
      <c r="W137" s="9">
        <f>IF(ORIG!W137=0,"",ORIG!W137)</f>
        <v/>
      </c>
      <c r="X137" s="9">
        <f>IF(ORIG!X137=0,"",ORIG!X137)</f>
        <v/>
      </c>
      <c r="Y137" s="9">
        <f>IF(ORIG!Y137=0,"",ORIG!Y137)</f>
        <v/>
      </c>
      <c r="Z137" s="3">
        <f>SUMPRODUCT($B137:$Y137,$B$2649:$Y$2649)</f>
        <v/>
      </c>
      <c r="AA137" s="3">
        <f>SUMPRODUCT($B137:$Y137,$B$2655:$Y$2655)</f>
        <v/>
      </c>
      <c r="AC137" s="1">
        <f>A137</f>
        <v/>
      </c>
      <c r="AD137">
        <f>IF(ISNUMBER(V137),V137*($AB$1/V$2635),"")</f>
        <v/>
      </c>
      <c r="AE137">
        <f>IF(ISNUMBER(Z137),Z137*($AB$1/Z$2635),"")</f>
        <v/>
      </c>
      <c r="AF137" s="25">
        <f>IF(ISNUMBER(AD137+AE137),AD137+AE137,"")</f>
        <v/>
      </c>
      <c r="AH137" s="1">
        <f>A137</f>
        <v/>
      </c>
      <c r="AI137">
        <f>IF(ISNUMBER((1+V137)*AI136),(1+V137)*AI136,AI136)</f>
        <v/>
      </c>
      <c r="AJ137">
        <f>IF(ISNUMBER((1+Z137)*AJ136),(1+Z137)*AJ136,AJ136)</f>
        <v/>
      </c>
    </row>
    <row r="138">
      <c r="A138" s="1" t="n">
        <v>42202</v>
      </c>
      <c r="B138" s="3">
        <f>IF(ORIG!B138=0,"",ORIG!B138)</f>
        <v/>
      </c>
      <c r="C138" s="3">
        <f>IF(ORIG!C138=0,"",ORIG!C138)</f>
        <v/>
      </c>
      <c r="D138" s="3">
        <f>IF(ORIG!D138=0,"",ORIG!D138)</f>
        <v/>
      </c>
      <c r="E138" s="3">
        <f>IF(ORIG!E138=0,"",ORIG!E138)</f>
        <v/>
      </c>
      <c r="F138" s="3">
        <f>IF(ORIG!F138=0,"",ORIG!F138)</f>
        <v/>
      </c>
      <c r="G138" s="3">
        <f>IF(ORIG!G138=0,"",ORIG!G138)</f>
        <v/>
      </c>
      <c r="H138" s="3">
        <f>IF(ORIG!H138=0,"",ORIG!H138)</f>
        <v/>
      </c>
      <c r="I138" s="3">
        <f>IF(ORIG!I138=0,"",ORIG!I138)</f>
        <v/>
      </c>
      <c r="J138" s="3">
        <f>IF(ORIG!J138=0,"",ORIG!J138)</f>
        <v/>
      </c>
      <c r="K138" s="3">
        <f>IF(ORIG!K138=0,"",ORIG!K138)</f>
        <v/>
      </c>
      <c r="L138" s="3">
        <f>IF(ORIG!L138=0,"",ORIG!L138)</f>
        <v/>
      </c>
      <c r="M138" s="3">
        <f>IF(ORIG!M138=0,"",ORIG!M138)</f>
        <v/>
      </c>
      <c r="N138" s="3">
        <f>IF(ORIG!N138=0,"",ORIG!N138)</f>
        <v/>
      </c>
      <c r="O138" s="3">
        <f>IF(ORIG!O138=0,"",ORIG!O138)</f>
        <v/>
      </c>
      <c r="P138" s="3">
        <f>IF(ORIG!P138=0,"",ORIG!P138)</f>
        <v/>
      </c>
      <c r="Q138" s="3">
        <f>IF(ORIG!Q138=0,"",ORIG!Q138)</f>
        <v/>
      </c>
      <c r="R138" s="3">
        <f>IF(ORIG!R138=0,"",ORIG!R138)</f>
        <v/>
      </c>
      <c r="S138" s="3">
        <f>IF(ORIG!S138=0,"",ORIG!S138)</f>
        <v/>
      </c>
      <c r="T138" s="3">
        <f>IF(ORIG!T138=0,"",ORIG!T138)</f>
        <v/>
      </c>
      <c r="U138" s="3">
        <f>IF(ORIG!U138=0,"",ORIG!U138)</f>
        <v/>
      </c>
      <c r="V138" s="9">
        <f>IF(ORIG!V138=0,"",ORIG!V138)</f>
        <v/>
      </c>
      <c r="W138" s="9">
        <f>IF(ORIG!W138=0,"",ORIG!W138)</f>
        <v/>
      </c>
      <c r="X138" s="9">
        <f>IF(ORIG!X138=0,"",ORIG!X138)</f>
        <v/>
      </c>
      <c r="Y138" s="9">
        <f>IF(ORIG!Y138=0,"",ORIG!Y138)</f>
        <v/>
      </c>
      <c r="Z138" s="3">
        <f>SUMPRODUCT($B138:$Y138,$B$2649:$Y$2649)</f>
        <v/>
      </c>
      <c r="AA138" s="3">
        <f>SUMPRODUCT($B138:$Y138,$B$2655:$Y$2655)</f>
        <v/>
      </c>
      <c r="AC138" s="1">
        <f>A138</f>
        <v/>
      </c>
      <c r="AD138">
        <f>IF(ISNUMBER(V138),V138*($AB$1/V$2635),"")</f>
        <v/>
      </c>
      <c r="AE138">
        <f>IF(ISNUMBER(Z138),Z138*($AB$1/Z$2635),"")</f>
        <v/>
      </c>
      <c r="AF138" s="25">
        <f>IF(ISNUMBER(AD138+AE138),AD138+AE138,"")</f>
        <v/>
      </c>
      <c r="AH138" s="1">
        <f>A138</f>
        <v/>
      </c>
      <c r="AI138">
        <f>IF(ISNUMBER((1+V138)*AI137),(1+V138)*AI137,AI137)</f>
        <v/>
      </c>
      <c r="AJ138">
        <f>IF(ISNUMBER((1+Z138)*AJ137),(1+Z138)*AJ137,AJ137)</f>
        <v/>
      </c>
    </row>
    <row r="139">
      <c r="A139" s="1" t="n">
        <v>42205</v>
      </c>
      <c r="B139" s="3">
        <f>IF(ORIG!B139=0,"",ORIG!B139)</f>
        <v/>
      </c>
      <c r="C139" s="3">
        <f>IF(ORIG!C139=0,"",ORIG!C139)</f>
        <v/>
      </c>
      <c r="D139" s="3">
        <f>IF(ORIG!D139=0,"",ORIG!D139)</f>
        <v/>
      </c>
      <c r="E139" s="3">
        <f>IF(ORIG!E139=0,"",ORIG!E139)</f>
        <v/>
      </c>
      <c r="F139" s="3">
        <f>IF(ORIG!F139=0,"",ORIG!F139)</f>
        <v/>
      </c>
      <c r="G139" s="3">
        <f>IF(ORIG!G139=0,"",ORIG!G139)</f>
        <v/>
      </c>
      <c r="H139" s="3">
        <f>IF(ORIG!H139=0,"",ORIG!H139)</f>
        <v/>
      </c>
      <c r="I139" s="3">
        <f>IF(ORIG!I139=0,"",ORIG!I139)</f>
        <v/>
      </c>
      <c r="J139" s="3">
        <f>IF(ORIG!J139=0,"",ORIG!J139)</f>
        <v/>
      </c>
      <c r="K139" s="3">
        <f>IF(ORIG!K139=0,"",ORIG!K139)</f>
        <v/>
      </c>
      <c r="L139" s="3">
        <f>IF(ORIG!L139=0,"",ORIG!L139)</f>
        <v/>
      </c>
      <c r="M139" s="3">
        <f>IF(ORIG!M139=0,"",ORIG!M139)</f>
        <v/>
      </c>
      <c r="N139" s="3">
        <f>IF(ORIG!N139=0,"",ORIG!N139)</f>
        <v/>
      </c>
      <c r="O139" s="3">
        <f>IF(ORIG!O139=0,"",ORIG!O139)</f>
        <v/>
      </c>
      <c r="P139" s="3">
        <f>IF(ORIG!P139=0,"",ORIG!P139)</f>
        <v/>
      </c>
      <c r="Q139" s="3">
        <f>IF(ORIG!Q139=0,"",ORIG!Q139)</f>
        <v/>
      </c>
      <c r="R139" s="3">
        <f>IF(ORIG!R139=0,"",ORIG!R139)</f>
        <v/>
      </c>
      <c r="S139" s="3">
        <f>IF(ORIG!S139=0,"",ORIG!S139)</f>
        <v/>
      </c>
      <c r="T139" s="3">
        <f>IF(ORIG!T139=0,"",ORIG!T139)</f>
        <v/>
      </c>
      <c r="U139" s="3">
        <f>IF(ORIG!U139=0,"",ORIG!U139)</f>
        <v/>
      </c>
      <c r="V139" s="9">
        <f>IF(ORIG!V139=0,"",ORIG!V139)</f>
        <v/>
      </c>
      <c r="W139" s="9">
        <f>IF(ORIG!W139=0,"",ORIG!W139)</f>
        <v/>
      </c>
      <c r="X139" s="9">
        <f>IF(ORIG!X139=0,"",ORIG!X139)</f>
        <v/>
      </c>
      <c r="Y139" s="9">
        <f>IF(ORIG!Y139=0,"",ORIG!Y139)</f>
        <v/>
      </c>
      <c r="Z139" s="3">
        <f>SUMPRODUCT($B139:$Y139,$B$2649:$Y$2649)</f>
        <v/>
      </c>
      <c r="AA139" s="3">
        <f>SUMPRODUCT($B139:$Y139,$B$2655:$Y$2655)</f>
        <v/>
      </c>
      <c r="AC139" s="1">
        <f>A139</f>
        <v/>
      </c>
      <c r="AD139">
        <f>IF(ISNUMBER(V139),V139*($AB$1/V$2635),"")</f>
        <v/>
      </c>
      <c r="AE139">
        <f>IF(ISNUMBER(Z139),Z139*($AB$1/Z$2635),"")</f>
        <v/>
      </c>
      <c r="AF139" s="25">
        <f>IF(ISNUMBER(AD139+AE139),AD139+AE139,"")</f>
        <v/>
      </c>
      <c r="AH139" s="1">
        <f>A139</f>
        <v/>
      </c>
      <c r="AI139">
        <f>IF(ISNUMBER((1+V139)*AI138),(1+V139)*AI138,AI138)</f>
        <v/>
      </c>
      <c r="AJ139">
        <f>IF(ISNUMBER((1+Z139)*AJ138),(1+Z139)*AJ138,AJ138)</f>
        <v/>
      </c>
    </row>
    <row r="140">
      <c r="A140" s="1" t="n">
        <v>42206</v>
      </c>
      <c r="B140" s="3">
        <f>IF(ORIG!B140=0,"",ORIG!B140)</f>
        <v/>
      </c>
      <c r="C140" s="3">
        <f>IF(ORIG!C140=0,"",ORIG!C140)</f>
        <v/>
      </c>
      <c r="D140" s="3">
        <f>IF(ORIG!D140=0,"",ORIG!D140)</f>
        <v/>
      </c>
      <c r="E140" s="3">
        <f>IF(ORIG!E140=0,"",ORIG!E140)</f>
        <v/>
      </c>
      <c r="F140" s="3">
        <f>IF(ORIG!F140=0,"",ORIG!F140)</f>
        <v/>
      </c>
      <c r="G140" s="3">
        <f>IF(ORIG!G140=0,"",ORIG!G140)</f>
        <v/>
      </c>
      <c r="H140" s="3">
        <f>IF(ORIG!H140=0,"",ORIG!H140)</f>
        <v/>
      </c>
      <c r="I140" s="3">
        <f>IF(ORIG!I140=0,"",ORIG!I140)</f>
        <v/>
      </c>
      <c r="J140" s="3">
        <f>IF(ORIG!J140=0,"",ORIG!J140)</f>
        <v/>
      </c>
      <c r="K140" s="3">
        <f>IF(ORIG!K140=0,"",ORIG!K140)</f>
        <v/>
      </c>
      <c r="L140" s="3">
        <f>IF(ORIG!L140=0,"",ORIG!L140)</f>
        <v/>
      </c>
      <c r="M140" s="3">
        <f>IF(ORIG!M140=0,"",ORIG!M140)</f>
        <v/>
      </c>
      <c r="N140" s="3">
        <f>IF(ORIG!N140=0,"",ORIG!N140)</f>
        <v/>
      </c>
      <c r="O140" s="3">
        <f>IF(ORIG!O140=0,"",ORIG!O140)</f>
        <v/>
      </c>
      <c r="P140" s="3">
        <f>IF(ORIG!P140=0,"",ORIG!P140)</f>
        <v/>
      </c>
      <c r="Q140" s="3">
        <f>IF(ORIG!Q140=0,"",ORIG!Q140)</f>
        <v/>
      </c>
      <c r="R140" s="3">
        <f>IF(ORIG!R140=0,"",ORIG!R140)</f>
        <v/>
      </c>
      <c r="S140" s="3">
        <f>IF(ORIG!S140=0,"",ORIG!S140)</f>
        <v/>
      </c>
      <c r="T140" s="3">
        <f>IF(ORIG!T140=0,"",ORIG!T140)</f>
        <v/>
      </c>
      <c r="U140" s="3">
        <f>IF(ORIG!U140=0,"",ORIG!U140)</f>
        <v/>
      </c>
      <c r="V140" s="9">
        <f>IF(ORIG!V140=0,"",ORIG!V140)</f>
        <v/>
      </c>
      <c r="W140" s="9">
        <f>IF(ORIG!W140=0,"",ORIG!W140)</f>
        <v/>
      </c>
      <c r="X140" s="9">
        <f>IF(ORIG!X140=0,"",ORIG!X140)</f>
        <v/>
      </c>
      <c r="Y140" s="9">
        <f>IF(ORIG!Y140=0,"",ORIG!Y140)</f>
        <v/>
      </c>
      <c r="Z140" s="3">
        <f>SUMPRODUCT($B140:$Y140,$B$2649:$Y$2649)</f>
        <v/>
      </c>
      <c r="AA140" s="3">
        <f>SUMPRODUCT($B140:$Y140,$B$2655:$Y$2655)</f>
        <v/>
      </c>
      <c r="AC140" s="1">
        <f>A140</f>
        <v/>
      </c>
      <c r="AD140">
        <f>IF(ISNUMBER(V140),V140*($AB$1/V$2635),"")</f>
        <v/>
      </c>
      <c r="AE140">
        <f>IF(ISNUMBER(Z140),Z140*($AB$1/Z$2635),"")</f>
        <v/>
      </c>
      <c r="AF140" s="25">
        <f>IF(ISNUMBER(AD140+AE140),AD140+AE140,"")</f>
        <v/>
      </c>
      <c r="AH140" s="1">
        <f>A140</f>
        <v/>
      </c>
      <c r="AI140">
        <f>IF(ISNUMBER((1+V140)*AI139),(1+V140)*AI139,AI139)</f>
        <v/>
      </c>
      <c r="AJ140">
        <f>IF(ISNUMBER((1+Z140)*AJ139),(1+Z140)*AJ139,AJ139)</f>
        <v/>
      </c>
    </row>
    <row r="141">
      <c r="A141" s="1" t="n">
        <v>42207</v>
      </c>
      <c r="B141" s="3">
        <f>IF(ORIG!B141=0,"",ORIG!B141)</f>
        <v/>
      </c>
      <c r="C141" s="3">
        <f>IF(ORIG!C141=0,"",ORIG!C141)</f>
        <v/>
      </c>
      <c r="D141" s="3">
        <f>IF(ORIG!D141=0,"",ORIG!D141)</f>
        <v/>
      </c>
      <c r="E141" s="3">
        <f>IF(ORIG!E141=0,"",ORIG!E141)</f>
        <v/>
      </c>
      <c r="F141" s="3">
        <f>IF(ORIG!F141=0,"",ORIG!F141)</f>
        <v/>
      </c>
      <c r="G141" s="3">
        <f>IF(ORIG!G141=0,"",ORIG!G141)</f>
        <v/>
      </c>
      <c r="H141" s="3">
        <f>IF(ORIG!H141=0,"",ORIG!H141)</f>
        <v/>
      </c>
      <c r="I141" s="3">
        <f>IF(ORIG!I141=0,"",ORIG!I141)</f>
        <v/>
      </c>
      <c r="J141" s="3">
        <f>IF(ORIG!J141=0,"",ORIG!J141)</f>
        <v/>
      </c>
      <c r="K141" s="3">
        <f>IF(ORIG!K141=0,"",ORIG!K141)</f>
        <v/>
      </c>
      <c r="L141" s="3">
        <f>IF(ORIG!L141=0,"",ORIG!L141)</f>
        <v/>
      </c>
      <c r="M141" s="3">
        <f>IF(ORIG!M141=0,"",ORIG!M141)</f>
        <v/>
      </c>
      <c r="N141" s="3">
        <f>IF(ORIG!N141=0,"",ORIG!N141)</f>
        <v/>
      </c>
      <c r="O141" s="3">
        <f>IF(ORIG!O141=0,"",ORIG!O141)</f>
        <v/>
      </c>
      <c r="P141" s="3">
        <f>IF(ORIG!P141=0,"",ORIG!P141)</f>
        <v/>
      </c>
      <c r="Q141" s="3">
        <f>IF(ORIG!Q141=0,"",ORIG!Q141)</f>
        <v/>
      </c>
      <c r="R141" s="3">
        <f>IF(ORIG!R141=0,"",ORIG!R141)</f>
        <v/>
      </c>
      <c r="S141" s="3">
        <f>IF(ORIG!S141=0,"",ORIG!S141)</f>
        <v/>
      </c>
      <c r="T141" s="3">
        <f>IF(ORIG!T141=0,"",ORIG!T141)</f>
        <v/>
      </c>
      <c r="U141" s="3">
        <f>IF(ORIG!U141=0,"",ORIG!U141)</f>
        <v/>
      </c>
      <c r="V141" s="9">
        <f>IF(ORIG!V141=0,"",ORIG!V141)</f>
        <v/>
      </c>
      <c r="W141" s="9">
        <f>IF(ORIG!W141=0,"",ORIG!W141)</f>
        <v/>
      </c>
      <c r="X141" s="9">
        <f>IF(ORIG!X141=0,"",ORIG!X141)</f>
        <v/>
      </c>
      <c r="Y141" s="9">
        <f>IF(ORIG!Y141=0,"",ORIG!Y141)</f>
        <v/>
      </c>
      <c r="Z141" s="3">
        <f>SUMPRODUCT($B141:$Y141,$B$2649:$Y$2649)</f>
        <v/>
      </c>
      <c r="AA141" s="3">
        <f>SUMPRODUCT($B141:$Y141,$B$2655:$Y$2655)</f>
        <v/>
      </c>
      <c r="AC141" s="1">
        <f>A141</f>
        <v/>
      </c>
      <c r="AD141">
        <f>IF(ISNUMBER(V141),V141*($AB$1/V$2635),"")</f>
        <v/>
      </c>
      <c r="AE141">
        <f>IF(ISNUMBER(Z141),Z141*($AB$1/Z$2635),"")</f>
        <v/>
      </c>
      <c r="AF141" s="25">
        <f>IF(ISNUMBER(AD141+AE141),AD141+AE141,"")</f>
        <v/>
      </c>
      <c r="AH141" s="1">
        <f>A141</f>
        <v/>
      </c>
      <c r="AI141">
        <f>IF(ISNUMBER((1+V141)*AI140),(1+V141)*AI140,AI140)</f>
        <v/>
      </c>
      <c r="AJ141">
        <f>IF(ISNUMBER((1+Z141)*AJ140),(1+Z141)*AJ140,AJ140)</f>
        <v/>
      </c>
    </row>
    <row r="142">
      <c r="A142" s="1" t="n">
        <v>42208</v>
      </c>
      <c r="B142" s="3">
        <f>IF(ORIG!B142=0,"",ORIG!B142)</f>
        <v/>
      </c>
      <c r="C142" s="3">
        <f>IF(ORIG!C142=0,"",ORIG!C142)</f>
        <v/>
      </c>
      <c r="D142" s="3">
        <f>IF(ORIG!D142=0,"",ORIG!D142)</f>
        <v/>
      </c>
      <c r="E142" s="3">
        <f>IF(ORIG!E142=0,"",ORIG!E142)</f>
        <v/>
      </c>
      <c r="F142" s="3">
        <f>IF(ORIG!F142=0,"",ORIG!F142)</f>
        <v/>
      </c>
      <c r="G142" s="3">
        <f>IF(ORIG!G142=0,"",ORIG!G142)</f>
        <v/>
      </c>
      <c r="H142" s="3">
        <f>IF(ORIG!H142=0,"",ORIG!H142)</f>
        <v/>
      </c>
      <c r="I142" s="3">
        <f>IF(ORIG!I142=0,"",ORIG!I142)</f>
        <v/>
      </c>
      <c r="J142" s="3">
        <f>IF(ORIG!J142=0,"",ORIG!J142)</f>
        <v/>
      </c>
      <c r="K142" s="3">
        <f>IF(ORIG!K142=0,"",ORIG!K142)</f>
        <v/>
      </c>
      <c r="L142" s="3">
        <f>IF(ORIG!L142=0,"",ORIG!L142)</f>
        <v/>
      </c>
      <c r="M142" s="3">
        <f>IF(ORIG!M142=0,"",ORIG!M142)</f>
        <v/>
      </c>
      <c r="N142" s="3">
        <f>IF(ORIG!N142=0,"",ORIG!N142)</f>
        <v/>
      </c>
      <c r="O142" s="3">
        <f>IF(ORIG!O142=0,"",ORIG!O142)</f>
        <v/>
      </c>
      <c r="P142" s="3">
        <f>IF(ORIG!P142=0,"",ORIG!P142)</f>
        <v/>
      </c>
      <c r="Q142" s="3">
        <f>IF(ORIG!Q142=0,"",ORIG!Q142)</f>
        <v/>
      </c>
      <c r="R142" s="3">
        <f>IF(ORIG!R142=0,"",ORIG!R142)</f>
        <v/>
      </c>
      <c r="S142" s="3">
        <f>IF(ORIG!S142=0,"",ORIG!S142)</f>
        <v/>
      </c>
      <c r="T142" s="3">
        <f>IF(ORIG!T142=0,"",ORIG!T142)</f>
        <v/>
      </c>
      <c r="U142" s="3">
        <f>IF(ORIG!U142=0,"",ORIG!U142)</f>
        <v/>
      </c>
      <c r="V142" s="9">
        <f>IF(ORIG!V142=0,"",ORIG!V142)</f>
        <v/>
      </c>
      <c r="W142" s="9">
        <f>IF(ORIG!W142=0,"",ORIG!W142)</f>
        <v/>
      </c>
      <c r="X142" s="9">
        <f>IF(ORIG!X142=0,"",ORIG!X142)</f>
        <v/>
      </c>
      <c r="Y142" s="9">
        <f>IF(ORIG!Y142=0,"",ORIG!Y142)</f>
        <v/>
      </c>
      <c r="Z142" s="3">
        <f>SUMPRODUCT($B142:$Y142,$B$2649:$Y$2649)</f>
        <v/>
      </c>
      <c r="AA142" s="3">
        <f>SUMPRODUCT($B142:$Y142,$B$2655:$Y$2655)</f>
        <v/>
      </c>
      <c r="AC142" s="1">
        <f>A142</f>
        <v/>
      </c>
      <c r="AD142">
        <f>IF(ISNUMBER(V142),V142*($AB$1/V$2635),"")</f>
        <v/>
      </c>
      <c r="AE142">
        <f>IF(ISNUMBER(Z142),Z142*($AB$1/Z$2635),"")</f>
        <v/>
      </c>
      <c r="AF142" s="25">
        <f>IF(ISNUMBER(AD142+AE142),AD142+AE142,"")</f>
        <v/>
      </c>
      <c r="AH142" s="1">
        <f>A142</f>
        <v/>
      </c>
      <c r="AI142">
        <f>IF(ISNUMBER((1+V142)*AI141),(1+V142)*AI141,AI141)</f>
        <v/>
      </c>
      <c r="AJ142">
        <f>IF(ISNUMBER((1+Z142)*AJ141),(1+Z142)*AJ141,AJ141)</f>
        <v/>
      </c>
    </row>
    <row r="143">
      <c r="A143" s="1" t="n">
        <v>42209</v>
      </c>
      <c r="B143" s="3">
        <f>IF(ORIG!B143=0,"",ORIG!B143)</f>
        <v/>
      </c>
      <c r="C143" s="3">
        <f>IF(ORIG!C143=0,"",ORIG!C143)</f>
        <v/>
      </c>
      <c r="D143" s="3">
        <f>IF(ORIG!D143=0,"",ORIG!D143)</f>
        <v/>
      </c>
      <c r="E143" s="3">
        <f>IF(ORIG!E143=0,"",ORIG!E143)</f>
        <v/>
      </c>
      <c r="F143" s="3">
        <f>IF(ORIG!F143=0,"",ORIG!F143)</f>
        <v/>
      </c>
      <c r="G143" s="3">
        <f>IF(ORIG!G143=0,"",ORIG!G143)</f>
        <v/>
      </c>
      <c r="H143" s="3">
        <f>IF(ORIG!H143=0,"",ORIG!H143)</f>
        <v/>
      </c>
      <c r="I143" s="3">
        <f>IF(ORIG!I143=0,"",ORIG!I143)</f>
        <v/>
      </c>
      <c r="J143" s="3">
        <f>IF(ORIG!J143=0,"",ORIG!J143)</f>
        <v/>
      </c>
      <c r="K143" s="3">
        <f>IF(ORIG!K143=0,"",ORIG!K143)</f>
        <v/>
      </c>
      <c r="L143" s="3">
        <f>IF(ORIG!L143=0,"",ORIG!L143)</f>
        <v/>
      </c>
      <c r="M143" s="3">
        <f>IF(ORIG!M143=0,"",ORIG!M143)</f>
        <v/>
      </c>
      <c r="N143" s="3">
        <f>IF(ORIG!N143=0,"",ORIG!N143)</f>
        <v/>
      </c>
      <c r="O143" s="3">
        <f>IF(ORIG!O143=0,"",ORIG!O143)</f>
        <v/>
      </c>
      <c r="P143" s="3">
        <f>IF(ORIG!P143=0,"",ORIG!P143)</f>
        <v/>
      </c>
      <c r="Q143" s="3">
        <f>IF(ORIG!Q143=0,"",ORIG!Q143)</f>
        <v/>
      </c>
      <c r="R143" s="3">
        <f>IF(ORIG!R143=0,"",ORIG!R143)</f>
        <v/>
      </c>
      <c r="S143" s="3">
        <f>IF(ORIG!S143=0,"",ORIG!S143)</f>
        <v/>
      </c>
      <c r="T143" s="3">
        <f>IF(ORIG!T143=0,"",ORIG!T143)</f>
        <v/>
      </c>
      <c r="U143" s="3">
        <f>IF(ORIG!U143=0,"",ORIG!U143)</f>
        <v/>
      </c>
      <c r="V143" s="9">
        <f>IF(ORIG!V143=0,"",ORIG!V143)</f>
        <v/>
      </c>
      <c r="W143" s="9">
        <f>IF(ORIG!W143=0,"",ORIG!W143)</f>
        <v/>
      </c>
      <c r="X143" s="9">
        <f>IF(ORIG!X143=0,"",ORIG!X143)</f>
        <v/>
      </c>
      <c r="Y143" s="9">
        <f>IF(ORIG!Y143=0,"",ORIG!Y143)</f>
        <v/>
      </c>
      <c r="Z143" s="3">
        <f>SUMPRODUCT($B143:$Y143,$B$2649:$Y$2649)</f>
        <v/>
      </c>
      <c r="AA143" s="3">
        <f>SUMPRODUCT($B143:$Y143,$B$2655:$Y$2655)</f>
        <v/>
      </c>
      <c r="AC143" s="1">
        <f>A143</f>
        <v/>
      </c>
      <c r="AD143">
        <f>IF(ISNUMBER(V143),V143*($AB$1/V$2635),"")</f>
        <v/>
      </c>
      <c r="AE143">
        <f>IF(ISNUMBER(Z143),Z143*($AB$1/Z$2635),"")</f>
        <v/>
      </c>
      <c r="AF143" s="25">
        <f>IF(ISNUMBER(AD143+AE143),AD143+AE143,"")</f>
        <v/>
      </c>
      <c r="AH143" s="1">
        <f>A143</f>
        <v/>
      </c>
      <c r="AI143">
        <f>IF(ISNUMBER((1+V143)*AI142),(1+V143)*AI142,AI142)</f>
        <v/>
      </c>
      <c r="AJ143">
        <f>IF(ISNUMBER((1+Z143)*AJ142),(1+Z143)*AJ142,AJ142)</f>
        <v/>
      </c>
    </row>
    <row r="144">
      <c r="A144" s="1" t="n">
        <v>42212</v>
      </c>
      <c r="B144" s="3">
        <f>IF(ORIG!B144=0,"",ORIG!B144)</f>
        <v/>
      </c>
      <c r="C144" s="3">
        <f>IF(ORIG!C144=0,"",ORIG!C144)</f>
        <v/>
      </c>
      <c r="D144" s="3">
        <f>IF(ORIG!D144=0,"",ORIG!D144)</f>
        <v/>
      </c>
      <c r="E144" s="3">
        <f>IF(ORIG!E144=0,"",ORIG!E144)</f>
        <v/>
      </c>
      <c r="F144" s="3">
        <f>IF(ORIG!F144=0,"",ORIG!F144)</f>
        <v/>
      </c>
      <c r="G144" s="3">
        <f>IF(ORIG!G144=0,"",ORIG!G144)</f>
        <v/>
      </c>
      <c r="H144" s="3">
        <f>IF(ORIG!H144=0,"",ORIG!H144)</f>
        <v/>
      </c>
      <c r="I144" s="3">
        <f>IF(ORIG!I144=0,"",ORIG!I144)</f>
        <v/>
      </c>
      <c r="J144" s="3">
        <f>IF(ORIG!J144=0,"",ORIG!J144)</f>
        <v/>
      </c>
      <c r="K144" s="3">
        <f>IF(ORIG!K144=0,"",ORIG!K144)</f>
        <v/>
      </c>
      <c r="L144" s="3">
        <f>IF(ORIG!L144=0,"",ORIG!L144)</f>
        <v/>
      </c>
      <c r="M144" s="3">
        <f>IF(ORIG!M144=0,"",ORIG!M144)</f>
        <v/>
      </c>
      <c r="N144" s="3">
        <f>IF(ORIG!N144=0,"",ORIG!N144)</f>
        <v/>
      </c>
      <c r="O144" s="3">
        <f>IF(ORIG!O144=0,"",ORIG!O144)</f>
        <v/>
      </c>
      <c r="P144" s="3">
        <f>IF(ORIG!P144=0,"",ORIG!P144)</f>
        <v/>
      </c>
      <c r="Q144" s="3">
        <f>IF(ORIG!Q144=0,"",ORIG!Q144)</f>
        <v/>
      </c>
      <c r="R144" s="3">
        <f>IF(ORIG!R144=0,"",ORIG!R144)</f>
        <v/>
      </c>
      <c r="S144" s="3">
        <f>IF(ORIG!S144=0,"",ORIG!S144)</f>
        <v/>
      </c>
      <c r="T144" s="3">
        <f>IF(ORIG!T144=0,"",ORIG!T144)</f>
        <v/>
      </c>
      <c r="U144" s="3">
        <f>IF(ORIG!U144=0,"",ORIG!U144)</f>
        <v/>
      </c>
      <c r="V144" s="9">
        <f>IF(ORIG!V144=0,"",ORIG!V144)</f>
        <v/>
      </c>
      <c r="W144" s="9">
        <f>IF(ORIG!W144=0,"",ORIG!W144)</f>
        <v/>
      </c>
      <c r="X144" s="9">
        <f>IF(ORIG!X144=0,"",ORIG!X144)</f>
        <v/>
      </c>
      <c r="Y144" s="9">
        <f>IF(ORIG!Y144=0,"",ORIG!Y144)</f>
        <v/>
      </c>
      <c r="Z144" s="3">
        <f>SUMPRODUCT($B144:$Y144,$B$2649:$Y$2649)</f>
        <v/>
      </c>
      <c r="AA144" s="3">
        <f>SUMPRODUCT($B144:$Y144,$B$2655:$Y$2655)</f>
        <v/>
      </c>
      <c r="AC144" s="1">
        <f>A144</f>
        <v/>
      </c>
      <c r="AD144">
        <f>IF(ISNUMBER(V144),V144*($AB$1/V$2635),"")</f>
        <v/>
      </c>
      <c r="AE144">
        <f>IF(ISNUMBER(Z144),Z144*($AB$1/Z$2635),"")</f>
        <v/>
      </c>
      <c r="AF144" s="25">
        <f>IF(ISNUMBER(AD144+AE144),AD144+AE144,"")</f>
        <v/>
      </c>
      <c r="AH144" s="1">
        <f>A144</f>
        <v/>
      </c>
      <c r="AI144">
        <f>IF(ISNUMBER((1+V144)*AI143),(1+V144)*AI143,AI143)</f>
        <v/>
      </c>
      <c r="AJ144">
        <f>IF(ISNUMBER((1+Z144)*AJ143),(1+Z144)*AJ143,AJ143)</f>
        <v/>
      </c>
    </row>
    <row r="145">
      <c r="A145" s="1" t="n">
        <v>42213</v>
      </c>
      <c r="B145" s="3">
        <f>IF(ORIG!B145=0,"",ORIG!B145)</f>
        <v/>
      </c>
      <c r="C145" s="3">
        <f>IF(ORIG!C145=0,"",ORIG!C145)</f>
        <v/>
      </c>
      <c r="D145" s="3">
        <f>IF(ORIG!D145=0,"",ORIG!D145)</f>
        <v/>
      </c>
      <c r="E145" s="3">
        <f>IF(ORIG!E145=0,"",ORIG!E145)</f>
        <v/>
      </c>
      <c r="F145" s="3">
        <f>IF(ORIG!F145=0,"",ORIG!F145)</f>
        <v/>
      </c>
      <c r="G145" s="3">
        <f>IF(ORIG!G145=0,"",ORIG!G145)</f>
        <v/>
      </c>
      <c r="H145" s="3">
        <f>IF(ORIG!H145=0,"",ORIG!H145)</f>
        <v/>
      </c>
      <c r="I145" s="3">
        <f>IF(ORIG!I145=0,"",ORIG!I145)</f>
        <v/>
      </c>
      <c r="J145" s="3">
        <f>IF(ORIG!J145=0,"",ORIG!J145)</f>
        <v/>
      </c>
      <c r="K145" s="3">
        <f>IF(ORIG!K145=0,"",ORIG!K145)</f>
        <v/>
      </c>
      <c r="L145" s="3">
        <f>IF(ORIG!L145=0,"",ORIG!L145)</f>
        <v/>
      </c>
      <c r="M145" s="3">
        <f>IF(ORIG!M145=0,"",ORIG!M145)</f>
        <v/>
      </c>
      <c r="N145" s="3">
        <f>IF(ORIG!N145=0,"",ORIG!N145)</f>
        <v/>
      </c>
      <c r="O145" s="3">
        <f>IF(ORIG!O145=0,"",ORIG!O145)</f>
        <v/>
      </c>
      <c r="P145" s="3">
        <f>IF(ORIG!P145=0,"",ORIG!P145)</f>
        <v/>
      </c>
      <c r="Q145" s="3">
        <f>IF(ORIG!Q145=0,"",ORIG!Q145)</f>
        <v/>
      </c>
      <c r="R145" s="3">
        <f>IF(ORIG!R145=0,"",ORIG!R145)</f>
        <v/>
      </c>
      <c r="S145" s="3">
        <f>IF(ORIG!S145=0,"",ORIG!S145)</f>
        <v/>
      </c>
      <c r="T145" s="3">
        <f>IF(ORIG!T145=0,"",ORIG!T145)</f>
        <v/>
      </c>
      <c r="U145" s="3">
        <f>IF(ORIG!U145=0,"",ORIG!U145)</f>
        <v/>
      </c>
      <c r="V145" s="9">
        <f>IF(ORIG!V145=0,"",ORIG!V145)</f>
        <v/>
      </c>
      <c r="W145" s="9">
        <f>IF(ORIG!W145=0,"",ORIG!W145)</f>
        <v/>
      </c>
      <c r="X145" s="9">
        <f>IF(ORIG!X145=0,"",ORIG!X145)</f>
        <v/>
      </c>
      <c r="Y145" s="9">
        <f>IF(ORIG!Y145=0,"",ORIG!Y145)</f>
        <v/>
      </c>
      <c r="Z145" s="3">
        <f>SUMPRODUCT($B145:$Y145,$B$2649:$Y$2649)</f>
        <v/>
      </c>
      <c r="AA145" s="3">
        <f>SUMPRODUCT($B145:$Y145,$B$2655:$Y$2655)</f>
        <v/>
      </c>
      <c r="AC145" s="1">
        <f>A145</f>
        <v/>
      </c>
      <c r="AD145">
        <f>IF(ISNUMBER(V145),V145*($AB$1/V$2635),"")</f>
        <v/>
      </c>
      <c r="AE145">
        <f>IF(ISNUMBER(Z145),Z145*($AB$1/Z$2635),"")</f>
        <v/>
      </c>
      <c r="AF145" s="25">
        <f>IF(ISNUMBER(AD145+AE145),AD145+AE145,"")</f>
        <v/>
      </c>
      <c r="AH145" s="1">
        <f>A145</f>
        <v/>
      </c>
      <c r="AI145">
        <f>IF(ISNUMBER((1+V145)*AI144),(1+V145)*AI144,AI144)</f>
        <v/>
      </c>
      <c r="AJ145">
        <f>IF(ISNUMBER((1+Z145)*AJ144),(1+Z145)*AJ144,AJ144)</f>
        <v/>
      </c>
    </row>
    <row r="146">
      <c r="A146" s="1" t="n">
        <v>42214</v>
      </c>
      <c r="B146" s="3">
        <f>IF(ORIG!B146=0,"",ORIG!B146)</f>
        <v/>
      </c>
      <c r="C146" s="3">
        <f>IF(ORIG!C146=0,"",ORIG!C146)</f>
        <v/>
      </c>
      <c r="D146" s="3">
        <f>IF(ORIG!D146=0,"",ORIG!D146)</f>
        <v/>
      </c>
      <c r="E146" s="3">
        <f>IF(ORIG!E146=0,"",ORIG!E146)</f>
        <v/>
      </c>
      <c r="F146" s="3">
        <f>IF(ORIG!F146=0,"",ORIG!F146)</f>
        <v/>
      </c>
      <c r="G146" s="3">
        <f>IF(ORIG!G146=0,"",ORIG!G146)</f>
        <v/>
      </c>
      <c r="H146" s="3">
        <f>IF(ORIG!H146=0,"",ORIG!H146)</f>
        <v/>
      </c>
      <c r="I146" s="3">
        <f>IF(ORIG!I146=0,"",ORIG!I146)</f>
        <v/>
      </c>
      <c r="J146" s="3">
        <f>IF(ORIG!J146=0,"",ORIG!J146)</f>
        <v/>
      </c>
      <c r="K146" s="3">
        <f>IF(ORIG!K146=0,"",ORIG!K146)</f>
        <v/>
      </c>
      <c r="L146" s="3">
        <f>IF(ORIG!L146=0,"",ORIG!L146)</f>
        <v/>
      </c>
      <c r="M146" s="3">
        <f>IF(ORIG!M146=0,"",ORIG!M146)</f>
        <v/>
      </c>
      <c r="N146" s="3">
        <f>IF(ORIG!N146=0,"",ORIG!N146)</f>
        <v/>
      </c>
      <c r="O146" s="3">
        <f>IF(ORIG!O146=0,"",ORIG!O146)</f>
        <v/>
      </c>
      <c r="P146" s="3">
        <f>IF(ORIG!P146=0,"",ORIG!P146)</f>
        <v/>
      </c>
      <c r="Q146" s="3">
        <f>IF(ORIG!Q146=0,"",ORIG!Q146)</f>
        <v/>
      </c>
      <c r="R146" s="3">
        <f>IF(ORIG!R146=0,"",ORIG!R146)</f>
        <v/>
      </c>
      <c r="S146" s="3">
        <f>IF(ORIG!S146=0,"",ORIG!S146)</f>
        <v/>
      </c>
      <c r="T146" s="3">
        <f>IF(ORIG!T146=0,"",ORIG!T146)</f>
        <v/>
      </c>
      <c r="U146" s="3">
        <f>IF(ORIG!U146=0,"",ORIG!U146)</f>
        <v/>
      </c>
      <c r="V146" s="9">
        <f>IF(ORIG!V146=0,"",ORIG!V146)</f>
        <v/>
      </c>
      <c r="W146" s="9">
        <f>IF(ORIG!W146=0,"",ORIG!W146)</f>
        <v/>
      </c>
      <c r="X146" s="9">
        <f>IF(ORIG!X146=0,"",ORIG!X146)</f>
        <v/>
      </c>
      <c r="Y146" s="9">
        <f>IF(ORIG!Y146=0,"",ORIG!Y146)</f>
        <v/>
      </c>
      <c r="Z146" s="3">
        <f>SUMPRODUCT($B146:$Y146,$B$2649:$Y$2649)</f>
        <v/>
      </c>
      <c r="AA146" s="3">
        <f>SUMPRODUCT($B146:$Y146,$B$2655:$Y$2655)</f>
        <v/>
      </c>
      <c r="AC146" s="1">
        <f>A146</f>
        <v/>
      </c>
      <c r="AD146">
        <f>IF(ISNUMBER(V146),V146*($AB$1/V$2635),"")</f>
        <v/>
      </c>
      <c r="AE146">
        <f>IF(ISNUMBER(Z146),Z146*($AB$1/Z$2635),"")</f>
        <v/>
      </c>
      <c r="AF146" s="25">
        <f>IF(ISNUMBER(AD146+AE146),AD146+AE146,"")</f>
        <v/>
      </c>
      <c r="AH146" s="1">
        <f>A146</f>
        <v/>
      </c>
      <c r="AI146">
        <f>IF(ISNUMBER((1+V146)*AI145),(1+V146)*AI145,AI145)</f>
        <v/>
      </c>
      <c r="AJ146">
        <f>IF(ISNUMBER((1+Z146)*AJ145),(1+Z146)*AJ145,AJ145)</f>
        <v/>
      </c>
    </row>
    <row r="147">
      <c r="A147" s="1" t="n">
        <v>42215</v>
      </c>
      <c r="B147" s="3">
        <f>IF(ORIG!B147=0,"",ORIG!B147)</f>
        <v/>
      </c>
      <c r="C147" s="3">
        <f>IF(ORIG!C147=0,"",ORIG!C147)</f>
        <v/>
      </c>
      <c r="D147" s="3">
        <f>IF(ORIG!D147=0,"",ORIG!D147)</f>
        <v/>
      </c>
      <c r="E147" s="3">
        <f>IF(ORIG!E147=0,"",ORIG!E147)</f>
        <v/>
      </c>
      <c r="F147" s="3">
        <f>IF(ORIG!F147=0,"",ORIG!F147)</f>
        <v/>
      </c>
      <c r="G147" s="3">
        <f>IF(ORIG!G147=0,"",ORIG!G147)</f>
        <v/>
      </c>
      <c r="H147" s="3">
        <f>IF(ORIG!H147=0,"",ORIG!H147)</f>
        <v/>
      </c>
      <c r="I147" s="3">
        <f>IF(ORIG!I147=0,"",ORIG!I147)</f>
        <v/>
      </c>
      <c r="J147" s="3">
        <f>IF(ORIG!J147=0,"",ORIG!J147)</f>
        <v/>
      </c>
      <c r="K147" s="3">
        <f>IF(ORIG!K147=0,"",ORIG!K147)</f>
        <v/>
      </c>
      <c r="L147" s="3">
        <f>IF(ORIG!L147=0,"",ORIG!L147)</f>
        <v/>
      </c>
      <c r="M147" s="3">
        <f>IF(ORIG!M147=0,"",ORIG!M147)</f>
        <v/>
      </c>
      <c r="N147" s="3">
        <f>IF(ORIG!N147=0,"",ORIG!N147)</f>
        <v/>
      </c>
      <c r="O147" s="3">
        <f>IF(ORIG!O147=0,"",ORIG!O147)</f>
        <v/>
      </c>
      <c r="P147" s="3">
        <f>IF(ORIG!P147=0,"",ORIG!P147)</f>
        <v/>
      </c>
      <c r="Q147" s="3">
        <f>IF(ORIG!Q147=0,"",ORIG!Q147)</f>
        <v/>
      </c>
      <c r="R147" s="3">
        <f>IF(ORIG!R147=0,"",ORIG!R147)</f>
        <v/>
      </c>
      <c r="S147" s="3">
        <f>IF(ORIG!S147=0,"",ORIG!S147)</f>
        <v/>
      </c>
      <c r="T147" s="3">
        <f>IF(ORIG!T147=0,"",ORIG!T147)</f>
        <v/>
      </c>
      <c r="U147" s="3">
        <f>IF(ORIG!U147=0,"",ORIG!U147)</f>
        <v/>
      </c>
      <c r="V147" s="9">
        <f>IF(ORIG!V147=0,"",ORIG!V147)</f>
        <v/>
      </c>
      <c r="W147" s="9">
        <f>IF(ORIG!W147=0,"",ORIG!W147)</f>
        <v/>
      </c>
      <c r="X147" s="9">
        <f>IF(ORIG!X147=0,"",ORIG!X147)</f>
        <v/>
      </c>
      <c r="Y147" s="9">
        <f>IF(ORIG!Y147=0,"",ORIG!Y147)</f>
        <v/>
      </c>
      <c r="Z147" s="3">
        <f>SUMPRODUCT($B147:$Y147,$B$2649:$Y$2649)</f>
        <v/>
      </c>
      <c r="AA147" s="3">
        <f>SUMPRODUCT($B147:$Y147,$B$2655:$Y$2655)</f>
        <v/>
      </c>
      <c r="AC147" s="1">
        <f>A147</f>
        <v/>
      </c>
      <c r="AD147">
        <f>IF(ISNUMBER(V147),V147*($AB$1/V$2635),"")</f>
        <v/>
      </c>
      <c r="AE147">
        <f>IF(ISNUMBER(Z147),Z147*($AB$1/Z$2635),"")</f>
        <v/>
      </c>
      <c r="AF147" s="25">
        <f>IF(ISNUMBER(AD147+AE147),AD147+AE147,"")</f>
        <v/>
      </c>
      <c r="AH147" s="1">
        <f>A147</f>
        <v/>
      </c>
      <c r="AI147">
        <f>IF(ISNUMBER((1+V147)*AI146),(1+V147)*AI146,AI146)</f>
        <v/>
      </c>
      <c r="AJ147">
        <f>IF(ISNUMBER((1+Z147)*AJ146),(1+Z147)*AJ146,AJ146)</f>
        <v/>
      </c>
    </row>
    <row r="148">
      <c r="A148" s="1" t="n">
        <v>42216</v>
      </c>
      <c r="B148" s="3">
        <f>IF(ORIG!B148=0,"",ORIG!B148)</f>
        <v/>
      </c>
      <c r="C148" s="3">
        <f>IF(ORIG!C148=0,"",ORIG!C148)</f>
        <v/>
      </c>
      <c r="D148" s="3">
        <f>IF(ORIG!D148=0,"",ORIG!D148)</f>
        <v/>
      </c>
      <c r="E148" s="3">
        <f>IF(ORIG!E148=0,"",ORIG!E148)</f>
        <v/>
      </c>
      <c r="F148" s="3">
        <f>IF(ORIG!F148=0,"",ORIG!F148)</f>
        <v/>
      </c>
      <c r="G148" s="3">
        <f>IF(ORIG!G148=0,"",ORIG!G148)</f>
        <v/>
      </c>
      <c r="H148" s="3">
        <f>IF(ORIG!H148=0,"",ORIG!H148)</f>
        <v/>
      </c>
      <c r="I148" s="3">
        <f>IF(ORIG!I148=0,"",ORIG!I148)</f>
        <v/>
      </c>
      <c r="J148" s="3">
        <f>IF(ORIG!J148=0,"",ORIG!J148)</f>
        <v/>
      </c>
      <c r="K148" s="3">
        <f>IF(ORIG!K148=0,"",ORIG!K148)</f>
        <v/>
      </c>
      <c r="L148" s="3">
        <f>IF(ORIG!L148=0,"",ORIG!L148)</f>
        <v/>
      </c>
      <c r="M148" s="3">
        <f>IF(ORIG!M148=0,"",ORIG!M148)</f>
        <v/>
      </c>
      <c r="N148" s="3">
        <f>IF(ORIG!N148=0,"",ORIG!N148)</f>
        <v/>
      </c>
      <c r="O148" s="3">
        <f>IF(ORIG!O148=0,"",ORIG!O148)</f>
        <v/>
      </c>
      <c r="P148" s="3">
        <f>IF(ORIG!P148=0,"",ORIG!P148)</f>
        <v/>
      </c>
      <c r="Q148" s="3">
        <f>IF(ORIG!Q148=0,"",ORIG!Q148)</f>
        <v/>
      </c>
      <c r="R148" s="3">
        <f>IF(ORIG!R148=0,"",ORIG!R148)</f>
        <v/>
      </c>
      <c r="S148" s="3">
        <f>IF(ORIG!S148=0,"",ORIG!S148)</f>
        <v/>
      </c>
      <c r="T148" s="3">
        <f>IF(ORIG!T148=0,"",ORIG!T148)</f>
        <v/>
      </c>
      <c r="U148" s="3">
        <f>IF(ORIG!U148=0,"",ORIG!U148)</f>
        <v/>
      </c>
      <c r="V148" s="9">
        <f>IF(ORIG!V148=0,"",ORIG!V148)</f>
        <v/>
      </c>
      <c r="W148" s="9">
        <f>IF(ORIG!W148=0,"",ORIG!W148)</f>
        <v/>
      </c>
      <c r="X148" s="9">
        <f>IF(ORIG!X148=0,"",ORIG!X148)</f>
        <v/>
      </c>
      <c r="Y148" s="9">
        <f>IF(ORIG!Y148=0,"",ORIG!Y148)</f>
        <v/>
      </c>
      <c r="Z148" s="3">
        <f>SUMPRODUCT($B148:$Y148,$B$2649:$Y$2649)</f>
        <v/>
      </c>
      <c r="AA148" s="3">
        <f>SUMPRODUCT($B148:$Y148,$B$2655:$Y$2655)</f>
        <v/>
      </c>
      <c r="AC148" s="1">
        <f>A148</f>
        <v/>
      </c>
      <c r="AD148">
        <f>IF(ISNUMBER(V148),V148*($AB$1/V$2635),"")</f>
        <v/>
      </c>
      <c r="AE148">
        <f>IF(ISNUMBER(Z148),Z148*($AB$1/Z$2635),"")</f>
        <v/>
      </c>
      <c r="AF148" s="25">
        <f>IF(ISNUMBER(AD148+AE148),AD148+AE148,"")</f>
        <v/>
      </c>
      <c r="AH148" s="1">
        <f>A148</f>
        <v/>
      </c>
      <c r="AI148">
        <f>IF(ISNUMBER((1+V148)*AI147),(1+V148)*AI147,AI147)</f>
        <v/>
      </c>
      <c r="AJ148">
        <f>IF(ISNUMBER((1+Z148)*AJ147),(1+Z148)*AJ147,AJ147)</f>
        <v/>
      </c>
    </row>
    <row r="149">
      <c r="A149" s="1" t="n">
        <v>42219</v>
      </c>
      <c r="B149" s="3">
        <f>IF(ORIG!B149=0,"",ORIG!B149)</f>
        <v/>
      </c>
      <c r="C149" s="3">
        <f>IF(ORIG!C149=0,"",ORIG!C149)</f>
        <v/>
      </c>
      <c r="D149" s="3">
        <f>IF(ORIG!D149=0,"",ORIG!D149)</f>
        <v/>
      </c>
      <c r="E149" s="3">
        <f>IF(ORIG!E149=0,"",ORIG!E149)</f>
        <v/>
      </c>
      <c r="F149" s="3">
        <f>IF(ORIG!F149=0,"",ORIG!F149)</f>
        <v/>
      </c>
      <c r="G149" s="3">
        <f>IF(ORIG!G149=0,"",ORIG!G149)</f>
        <v/>
      </c>
      <c r="H149" s="3">
        <f>IF(ORIG!H149=0,"",ORIG!H149)</f>
        <v/>
      </c>
      <c r="I149" s="3">
        <f>IF(ORIG!I149=0,"",ORIG!I149)</f>
        <v/>
      </c>
      <c r="J149" s="3">
        <f>IF(ORIG!J149=0,"",ORIG!J149)</f>
        <v/>
      </c>
      <c r="K149" s="3">
        <f>IF(ORIG!K149=0,"",ORIG!K149)</f>
        <v/>
      </c>
      <c r="L149" s="3">
        <f>IF(ORIG!L149=0,"",ORIG!L149)</f>
        <v/>
      </c>
      <c r="M149" s="3">
        <f>IF(ORIG!M149=0,"",ORIG!M149)</f>
        <v/>
      </c>
      <c r="N149" s="3">
        <f>IF(ORIG!N149=0,"",ORIG!N149)</f>
        <v/>
      </c>
      <c r="O149" s="3">
        <f>IF(ORIG!O149=0,"",ORIG!O149)</f>
        <v/>
      </c>
      <c r="P149" s="3">
        <f>IF(ORIG!P149=0,"",ORIG!P149)</f>
        <v/>
      </c>
      <c r="Q149" s="3">
        <f>IF(ORIG!Q149=0,"",ORIG!Q149)</f>
        <v/>
      </c>
      <c r="R149" s="3">
        <f>IF(ORIG!R149=0,"",ORIG!R149)</f>
        <v/>
      </c>
      <c r="S149" s="3">
        <f>IF(ORIG!S149=0,"",ORIG!S149)</f>
        <v/>
      </c>
      <c r="T149" s="3">
        <f>IF(ORIG!T149=0,"",ORIG!T149)</f>
        <v/>
      </c>
      <c r="U149" s="3">
        <f>IF(ORIG!U149=0,"",ORIG!U149)</f>
        <v/>
      </c>
      <c r="V149" s="9">
        <f>IF(ORIG!V149=0,"",ORIG!V149)</f>
        <v/>
      </c>
      <c r="W149" s="9">
        <f>IF(ORIG!W149=0,"",ORIG!W149)</f>
        <v/>
      </c>
      <c r="X149" s="9">
        <f>IF(ORIG!X149=0,"",ORIG!X149)</f>
        <v/>
      </c>
      <c r="Y149" s="9">
        <f>IF(ORIG!Y149=0,"",ORIG!Y149)</f>
        <v/>
      </c>
      <c r="Z149" s="3">
        <f>SUMPRODUCT($B149:$Y149,$B$2649:$Y$2649)</f>
        <v/>
      </c>
      <c r="AA149" s="3">
        <f>SUMPRODUCT($B149:$Y149,$B$2655:$Y$2655)</f>
        <v/>
      </c>
      <c r="AC149" s="1">
        <f>A149</f>
        <v/>
      </c>
      <c r="AD149">
        <f>IF(ISNUMBER(V149),V149*($AB$1/V$2635),"")</f>
        <v/>
      </c>
      <c r="AE149">
        <f>IF(ISNUMBER(Z149),Z149*($AB$1/Z$2635),"")</f>
        <v/>
      </c>
      <c r="AF149" s="25">
        <f>IF(ISNUMBER(AD149+AE149),AD149+AE149,"")</f>
        <v/>
      </c>
      <c r="AH149" s="1">
        <f>A149</f>
        <v/>
      </c>
      <c r="AI149">
        <f>IF(ISNUMBER((1+V149)*AI148),(1+V149)*AI148,AI148)</f>
        <v/>
      </c>
      <c r="AJ149">
        <f>IF(ISNUMBER((1+Z149)*AJ148),(1+Z149)*AJ148,AJ148)</f>
        <v/>
      </c>
    </row>
    <row r="150">
      <c r="A150" s="1" t="n">
        <v>42220</v>
      </c>
      <c r="B150" s="3">
        <f>IF(ORIG!B150=0,"",ORIG!B150)</f>
        <v/>
      </c>
      <c r="C150" s="3">
        <f>IF(ORIG!C150=0,"",ORIG!C150)</f>
        <v/>
      </c>
      <c r="D150" s="3">
        <f>IF(ORIG!D150=0,"",ORIG!D150)</f>
        <v/>
      </c>
      <c r="E150" s="3">
        <f>IF(ORIG!E150=0,"",ORIG!E150)</f>
        <v/>
      </c>
      <c r="F150" s="3">
        <f>IF(ORIG!F150=0,"",ORIG!F150)</f>
        <v/>
      </c>
      <c r="G150" s="3">
        <f>IF(ORIG!G150=0,"",ORIG!G150)</f>
        <v/>
      </c>
      <c r="H150" s="3">
        <f>IF(ORIG!H150=0,"",ORIG!H150)</f>
        <v/>
      </c>
      <c r="I150" s="3">
        <f>IF(ORIG!I150=0,"",ORIG!I150)</f>
        <v/>
      </c>
      <c r="J150" s="3">
        <f>IF(ORIG!J150=0,"",ORIG!J150)</f>
        <v/>
      </c>
      <c r="K150" s="3">
        <f>IF(ORIG!K150=0,"",ORIG!K150)</f>
        <v/>
      </c>
      <c r="L150" s="3">
        <f>IF(ORIG!L150=0,"",ORIG!L150)</f>
        <v/>
      </c>
      <c r="M150" s="3">
        <f>IF(ORIG!M150=0,"",ORIG!M150)</f>
        <v/>
      </c>
      <c r="N150" s="3">
        <f>IF(ORIG!N150=0,"",ORIG!N150)</f>
        <v/>
      </c>
      <c r="O150" s="3">
        <f>IF(ORIG!O150=0,"",ORIG!O150)</f>
        <v/>
      </c>
      <c r="P150" s="3">
        <f>IF(ORIG!P150=0,"",ORIG!P150)</f>
        <v/>
      </c>
      <c r="Q150" s="3">
        <f>IF(ORIG!Q150=0,"",ORIG!Q150)</f>
        <v/>
      </c>
      <c r="R150" s="3">
        <f>IF(ORIG!R150=0,"",ORIG!R150)</f>
        <v/>
      </c>
      <c r="S150" s="3">
        <f>IF(ORIG!S150=0,"",ORIG!S150)</f>
        <v/>
      </c>
      <c r="T150" s="3">
        <f>IF(ORIG!T150=0,"",ORIG!T150)</f>
        <v/>
      </c>
      <c r="U150" s="3">
        <f>IF(ORIG!U150=0,"",ORIG!U150)</f>
        <v/>
      </c>
      <c r="V150" s="9">
        <f>IF(ORIG!V150=0,"",ORIG!V150)</f>
        <v/>
      </c>
      <c r="W150" s="9">
        <f>IF(ORIG!W150=0,"",ORIG!W150)</f>
        <v/>
      </c>
      <c r="X150" s="9">
        <f>IF(ORIG!X150=0,"",ORIG!X150)</f>
        <v/>
      </c>
      <c r="Y150" s="9">
        <f>IF(ORIG!Y150=0,"",ORIG!Y150)</f>
        <v/>
      </c>
      <c r="Z150" s="3">
        <f>SUMPRODUCT($B150:$Y150,$B$2649:$Y$2649)</f>
        <v/>
      </c>
      <c r="AA150" s="3">
        <f>SUMPRODUCT($B150:$Y150,$B$2655:$Y$2655)</f>
        <v/>
      </c>
      <c r="AC150" s="1">
        <f>A150</f>
        <v/>
      </c>
      <c r="AD150">
        <f>IF(ISNUMBER(V150),V150*($AB$1/V$2635),"")</f>
        <v/>
      </c>
      <c r="AE150">
        <f>IF(ISNUMBER(Z150),Z150*($AB$1/Z$2635),"")</f>
        <v/>
      </c>
      <c r="AF150" s="25">
        <f>IF(ISNUMBER(AD150+AE150),AD150+AE150,"")</f>
        <v/>
      </c>
      <c r="AH150" s="1">
        <f>A150</f>
        <v/>
      </c>
      <c r="AI150">
        <f>IF(ISNUMBER((1+V150)*AI149),(1+V150)*AI149,AI149)</f>
        <v/>
      </c>
      <c r="AJ150">
        <f>IF(ISNUMBER((1+Z150)*AJ149),(1+Z150)*AJ149,AJ149)</f>
        <v/>
      </c>
    </row>
    <row r="151">
      <c r="A151" s="1" t="n">
        <v>42221</v>
      </c>
      <c r="B151" s="3">
        <f>IF(ORIG!B151=0,"",ORIG!B151)</f>
        <v/>
      </c>
      <c r="C151" s="3">
        <f>IF(ORIG!C151=0,"",ORIG!C151)</f>
        <v/>
      </c>
      <c r="D151" s="3">
        <f>IF(ORIG!D151=0,"",ORIG!D151)</f>
        <v/>
      </c>
      <c r="E151" s="3">
        <f>IF(ORIG!E151=0,"",ORIG!E151)</f>
        <v/>
      </c>
      <c r="F151" s="3">
        <f>IF(ORIG!F151=0,"",ORIG!F151)</f>
        <v/>
      </c>
      <c r="G151" s="3">
        <f>IF(ORIG!G151=0,"",ORIG!G151)</f>
        <v/>
      </c>
      <c r="H151" s="3">
        <f>IF(ORIG!H151=0,"",ORIG!H151)</f>
        <v/>
      </c>
      <c r="I151" s="3">
        <f>IF(ORIG!I151=0,"",ORIG!I151)</f>
        <v/>
      </c>
      <c r="J151" s="3">
        <f>IF(ORIG!J151=0,"",ORIG!J151)</f>
        <v/>
      </c>
      <c r="K151" s="3">
        <f>IF(ORIG!K151=0,"",ORIG!K151)</f>
        <v/>
      </c>
      <c r="L151" s="3">
        <f>IF(ORIG!L151=0,"",ORIG!L151)</f>
        <v/>
      </c>
      <c r="M151" s="3">
        <f>IF(ORIG!M151=0,"",ORIG!M151)</f>
        <v/>
      </c>
      <c r="N151" s="3">
        <f>IF(ORIG!N151=0,"",ORIG!N151)</f>
        <v/>
      </c>
      <c r="O151" s="3">
        <f>IF(ORIG!O151=0,"",ORIG!O151)</f>
        <v/>
      </c>
      <c r="P151" s="3">
        <f>IF(ORIG!P151=0,"",ORIG!P151)</f>
        <v/>
      </c>
      <c r="Q151" s="3">
        <f>IF(ORIG!Q151=0,"",ORIG!Q151)</f>
        <v/>
      </c>
      <c r="R151" s="3">
        <f>IF(ORIG!R151=0,"",ORIG!R151)</f>
        <v/>
      </c>
      <c r="S151" s="3">
        <f>IF(ORIG!S151=0,"",ORIG!S151)</f>
        <v/>
      </c>
      <c r="T151" s="3">
        <f>IF(ORIG!T151=0,"",ORIG!T151)</f>
        <v/>
      </c>
      <c r="U151" s="3">
        <f>IF(ORIG!U151=0,"",ORIG!U151)</f>
        <v/>
      </c>
      <c r="V151" s="9">
        <f>IF(ORIG!V151=0,"",ORIG!V151)</f>
        <v/>
      </c>
      <c r="W151" s="9">
        <f>IF(ORIG!W151=0,"",ORIG!W151)</f>
        <v/>
      </c>
      <c r="X151" s="9">
        <f>IF(ORIG!X151=0,"",ORIG!X151)</f>
        <v/>
      </c>
      <c r="Y151" s="9">
        <f>IF(ORIG!Y151=0,"",ORIG!Y151)</f>
        <v/>
      </c>
      <c r="Z151" s="3">
        <f>SUMPRODUCT($B151:$Y151,$B$2649:$Y$2649)</f>
        <v/>
      </c>
      <c r="AA151" s="3">
        <f>SUMPRODUCT($B151:$Y151,$B$2655:$Y$2655)</f>
        <v/>
      </c>
      <c r="AC151" s="1">
        <f>A151</f>
        <v/>
      </c>
      <c r="AD151">
        <f>IF(ISNUMBER(V151),V151*($AB$1/V$2635),"")</f>
        <v/>
      </c>
      <c r="AE151">
        <f>IF(ISNUMBER(Z151),Z151*($AB$1/Z$2635),"")</f>
        <v/>
      </c>
      <c r="AF151" s="25">
        <f>IF(ISNUMBER(AD151+AE151),AD151+AE151,"")</f>
        <v/>
      </c>
      <c r="AH151" s="1">
        <f>A151</f>
        <v/>
      </c>
      <c r="AI151">
        <f>IF(ISNUMBER((1+V151)*AI150),(1+V151)*AI150,AI150)</f>
        <v/>
      </c>
      <c r="AJ151">
        <f>IF(ISNUMBER((1+Z151)*AJ150),(1+Z151)*AJ150,AJ150)</f>
        <v/>
      </c>
    </row>
    <row r="152">
      <c r="A152" s="1" t="n">
        <v>42222</v>
      </c>
      <c r="B152" s="3">
        <f>IF(ORIG!B152=0,"",ORIG!B152)</f>
        <v/>
      </c>
      <c r="C152" s="3">
        <f>IF(ORIG!C152=0,"",ORIG!C152)</f>
        <v/>
      </c>
      <c r="D152" s="3">
        <f>IF(ORIG!D152=0,"",ORIG!D152)</f>
        <v/>
      </c>
      <c r="E152" s="3">
        <f>IF(ORIG!E152=0,"",ORIG!E152)</f>
        <v/>
      </c>
      <c r="F152" s="3">
        <f>IF(ORIG!F152=0,"",ORIG!F152)</f>
        <v/>
      </c>
      <c r="G152" s="3">
        <f>IF(ORIG!G152=0,"",ORIG!G152)</f>
        <v/>
      </c>
      <c r="H152" s="3">
        <f>IF(ORIG!H152=0,"",ORIG!H152)</f>
        <v/>
      </c>
      <c r="I152" s="3">
        <f>IF(ORIG!I152=0,"",ORIG!I152)</f>
        <v/>
      </c>
      <c r="J152" s="3">
        <f>IF(ORIG!J152=0,"",ORIG!J152)</f>
        <v/>
      </c>
      <c r="K152" s="3">
        <f>IF(ORIG!K152=0,"",ORIG!K152)</f>
        <v/>
      </c>
      <c r="L152" s="3">
        <f>IF(ORIG!L152=0,"",ORIG!L152)</f>
        <v/>
      </c>
      <c r="M152" s="3">
        <f>IF(ORIG!M152=0,"",ORIG!M152)</f>
        <v/>
      </c>
      <c r="N152" s="3">
        <f>IF(ORIG!N152=0,"",ORIG!N152)</f>
        <v/>
      </c>
      <c r="O152" s="3">
        <f>IF(ORIG!O152=0,"",ORIG!O152)</f>
        <v/>
      </c>
      <c r="P152" s="3">
        <f>IF(ORIG!P152=0,"",ORIG!P152)</f>
        <v/>
      </c>
      <c r="Q152" s="3">
        <f>IF(ORIG!Q152=0,"",ORIG!Q152)</f>
        <v/>
      </c>
      <c r="R152" s="3">
        <f>IF(ORIG!R152=0,"",ORIG!R152)</f>
        <v/>
      </c>
      <c r="S152" s="3">
        <f>IF(ORIG!S152=0,"",ORIG!S152)</f>
        <v/>
      </c>
      <c r="T152" s="3">
        <f>IF(ORIG!T152=0,"",ORIG!T152)</f>
        <v/>
      </c>
      <c r="U152" s="3">
        <f>IF(ORIG!U152=0,"",ORIG!U152)</f>
        <v/>
      </c>
      <c r="V152" s="9">
        <f>IF(ORIG!V152=0,"",ORIG!V152)</f>
        <v/>
      </c>
      <c r="W152" s="9">
        <f>IF(ORIG!W152=0,"",ORIG!W152)</f>
        <v/>
      </c>
      <c r="X152" s="9">
        <f>IF(ORIG!X152=0,"",ORIG!X152)</f>
        <v/>
      </c>
      <c r="Y152" s="9">
        <f>IF(ORIG!Y152=0,"",ORIG!Y152)</f>
        <v/>
      </c>
      <c r="Z152" s="3">
        <f>SUMPRODUCT($B152:$Y152,$B$2649:$Y$2649)</f>
        <v/>
      </c>
      <c r="AA152" s="3">
        <f>SUMPRODUCT($B152:$Y152,$B$2655:$Y$2655)</f>
        <v/>
      </c>
      <c r="AC152" s="1">
        <f>A152</f>
        <v/>
      </c>
      <c r="AD152">
        <f>IF(ISNUMBER(V152),V152*($AB$1/V$2635),"")</f>
        <v/>
      </c>
      <c r="AE152">
        <f>IF(ISNUMBER(Z152),Z152*($AB$1/Z$2635),"")</f>
        <v/>
      </c>
      <c r="AF152" s="25">
        <f>IF(ISNUMBER(AD152+AE152),AD152+AE152,"")</f>
        <v/>
      </c>
      <c r="AH152" s="1">
        <f>A152</f>
        <v/>
      </c>
      <c r="AI152">
        <f>IF(ISNUMBER((1+V152)*AI151),(1+V152)*AI151,AI151)</f>
        <v/>
      </c>
      <c r="AJ152">
        <f>IF(ISNUMBER((1+Z152)*AJ151),(1+Z152)*AJ151,AJ151)</f>
        <v/>
      </c>
    </row>
    <row r="153">
      <c r="A153" s="1" t="n">
        <v>42223</v>
      </c>
      <c r="B153" s="3">
        <f>IF(ORIG!B153=0,"",ORIG!B153)</f>
        <v/>
      </c>
      <c r="C153" s="3">
        <f>IF(ORIG!C153=0,"",ORIG!C153)</f>
        <v/>
      </c>
      <c r="D153" s="3">
        <f>IF(ORIG!D153=0,"",ORIG!D153)</f>
        <v/>
      </c>
      <c r="E153" s="3">
        <f>IF(ORIG!E153=0,"",ORIG!E153)</f>
        <v/>
      </c>
      <c r="F153" s="3">
        <f>IF(ORIG!F153=0,"",ORIG!F153)</f>
        <v/>
      </c>
      <c r="G153" s="3">
        <f>IF(ORIG!G153=0,"",ORIG!G153)</f>
        <v/>
      </c>
      <c r="H153" s="3">
        <f>IF(ORIG!H153=0,"",ORIG!H153)</f>
        <v/>
      </c>
      <c r="I153" s="3">
        <f>IF(ORIG!I153=0,"",ORIG!I153)</f>
        <v/>
      </c>
      <c r="J153" s="3">
        <f>IF(ORIG!J153=0,"",ORIG!J153)</f>
        <v/>
      </c>
      <c r="K153" s="3">
        <f>IF(ORIG!K153=0,"",ORIG!K153)</f>
        <v/>
      </c>
      <c r="L153" s="3">
        <f>IF(ORIG!L153=0,"",ORIG!L153)</f>
        <v/>
      </c>
      <c r="M153" s="3">
        <f>IF(ORIG!M153=0,"",ORIG!M153)</f>
        <v/>
      </c>
      <c r="N153" s="3">
        <f>IF(ORIG!N153=0,"",ORIG!N153)</f>
        <v/>
      </c>
      <c r="O153" s="3">
        <f>IF(ORIG!O153=0,"",ORIG!O153)</f>
        <v/>
      </c>
      <c r="P153" s="3">
        <f>IF(ORIG!P153=0,"",ORIG!P153)</f>
        <v/>
      </c>
      <c r="Q153" s="3">
        <f>IF(ORIG!Q153=0,"",ORIG!Q153)</f>
        <v/>
      </c>
      <c r="R153" s="3">
        <f>IF(ORIG!R153=0,"",ORIG!R153)</f>
        <v/>
      </c>
      <c r="S153" s="3">
        <f>IF(ORIG!S153=0,"",ORIG!S153)</f>
        <v/>
      </c>
      <c r="T153" s="3">
        <f>IF(ORIG!T153=0,"",ORIG!T153)</f>
        <v/>
      </c>
      <c r="U153" s="3">
        <f>IF(ORIG!U153=0,"",ORIG!U153)</f>
        <v/>
      </c>
      <c r="V153" s="9">
        <f>IF(ORIG!V153=0,"",ORIG!V153)</f>
        <v/>
      </c>
      <c r="W153" s="9">
        <f>IF(ORIG!W153=0,"",ORIG!W153)</f>
        <v/>
      </c>
      <c r="X153" s="9">
        <f>IF(ORIG!X153=0,"",ORIG!X153)</f>
        <v/>
      </c>
      <c r="Y153" s="9">
        <f>IF(ORIG!Y153=0,"",ORIG!Y153)</f>
        <v/>
      </c>
      <c r="Z153" s="3">
        <f>SUMPRODUCT($B153:$Y153,$B$2649:$Y$2649)</f>
        <v/>
      </c>
      <c r="AA153" s="3">
        <f>SUMPRODUCT($B153:$Y153,$B$2655:$Y$2655)</f>
        <v/>
      </c>
      <c r="AC153" s="1">
        <f>A153</f>
        <v/>
      </c>
      <c r="AD153">
        <f>IF(ISNUMBER(V153),V153*($AB$1/V$2635),"")</f>
        <v/>
      </c>
      <c r="AE153">
        <f>IF(ISNUMBER(Z153),Z153*($AB$1/Z$2635),"")</f>
        <v/>
      </c>
      <c r="AF153" s="25">
        <f>IF(ISNUMBER(AD153+AE153),AD153+AE153,"")</f>
        <v/>
      </c>
      <c r="AH153" s="1">
        <f>A153</f>
        <v/>
      </c>
      <c r="AI153">
        <f>IF(ISNUMBER((1+V153)*AI152),(1+V153)*AI152,AI152)</f>
        <v/>
      </c>
      <c r="AJ153">
        <f>IF(ISNUMBER((1+Z153)*AJ152),(1+Z153)*AJ152,AJ152)</f>
        <v/>
      </c>
    </row>
    <row r="154">
      <c r="A154" s="1" t="n">
        <v>42226</v>
      </c>
      <c r="B154" s="3">
        <f>IF(ORIG!B154=0,"",ORIG!B154)</f>
        <v/>
      </c>
      <c r="C154" s="3">
        <f>IF(ORIG!C154=0,"",ORIG!C154)</f>
        <v/>
      </c>
      <c r="D154" s="3">
        <f>IF(ORIG!D154=0,"",ORIG!D154)</f>
        <v/>
      </c>
      <c r="E154" s="3">
        <f>IF(ORIG!E154=0,"",ORIG!E154)</f>
        <v/>
      </c>
      <c r="F154" s="3">
        <f>IF(ORIG!F154=0,"",ORIG!F154)</f>
        <v/>
      </c>
      <c r="G154" s="3">
        <f>IF(ORIG!G154=0,"",ORIG!G154)</f>
        <v/>
      </c>
      <c r="H154" s="3">
        <f>IF(ORIG!H154=0,"",ORIG!H154)</f>
        <v/>
      </c>
      <c r="I154" s="3">
        <f>IF(ORIG!I154=0,"",ORIG!I154)</f>
        <v/>
      </c>
      <c r="J154" s="3">
        <f>IF(ORIG!J154=0,"",ORIG!J154)</f>
        <v/>
      </c>
      <c r="K154" s="3">
        <f>IF(ORIG!K154=0,"",ORIG!K154)</f>
        <v/>
      </c>
      <c r="L154" s="3">
        <f>IF(ORIG!L154=0,"",ORIG!L154)</f>
        <v/>
      </c>
      <c r="M154" s="3">
        <f>IF(ORIG!M154=0,"",ORIG!M154)</f>
        <v/>
      </c>
      <c r="N154" s="3">
        <f>IF(ORIG!N154=0,"",ORIG!N154)</f>
        <v/>
      </c>
      <c r="O154" s="3">
        <f>IF(ORIG!O154=0,"",ORIG!O154)</f>
        <v/>
      </c>
      <c r="P154" s="3">
        <f>IF(ORIG!P154=0,"",ORIG!P154)</f>
        <v/>
      </c>
      <c r="Q154" s="3">
        <f>IF(ORIG!Q154=0,"",ORIG!Q154)</f>
        <v/>
      </c>
      <c r="R154" s="3">
        <f>IF(ORIG!R154=0,"",ORIG!R154)</f>
        <v/>
      </c>
      <c r="S154" s="3">
        <f>IF(ORIG!S154=0,"",ORIG!S154)</f>
        <v/>
      </c>
      <c r="T154" s="3">
        <f>IF(ORIG!T154=0,"",ORIG!T154)</f>
        <v/>
      </c>
      <c r="U154" s="3">
        <f>IF(ORIG!U154=0,"",ORIG!U154)</f>
        <v/>
      </c>
      <c r="V154" s="9">
        <f>IF(ORIG!V154=0,"",ORIG!V154)</f>
        <v/>
      </c>
      <c r="W154" s="9">
        <f>IF(ORIG!W154=0,"",ORIG!W154)</f>
        <v/>
      </c>
      <c r="X154" s="9">
        <f>IF(ORIG!X154=0,"",ORIG!X154)</f>
        <v/>
      </c>
      <c r="Y154" s="9">
        <f>IF(ORIG!Y154=0,"",ORIG!Y154)</f>
        <v/>
      </c>
      <c r="Z154" s="3">
        <f>SUMPRODUCT($B154:$Y154,$B$2649:$Y$2649)</f>
        <v/>
      </c>
      <c r="AA154" s="3">
        <f>SUMPRODUCT($B154:$Y154,$B$2655:$Y$2655)</f>
        <v/>
      </c>
      <c r="AC154" s="1">
        <f>A154</f>
        <v/>
      </c>
      <c r="AD154">
        <f>IF(ISNUMBER(V154),V154*($AB$1/V$2635),"")</f>
        <v/>
      </c>
      <c r="AE154">
        <f>IF(ISNUMBER(Z154),Z154*($AB$1/Z$2635),"")</f>
        <v/>
      </c>
      <c r="AF154" s="25">
        <f>IF(ISNUMBER(AD154+AE154),AD154+AE154,"")</f>
        <v/>
      </c>
      <c r="AH154" s="1">
        <f>A154</f>
        <v/>
      </c>
      <c r="AI154">
        <f>IF(ISNUMBER((1+V154)*AI153),(1+V154)*AI153,AI153)</f>
        <v/>
      </c>
      <c r="AJ154">
        <f>IF(ISNUMBER((1+Z154)*AJ153),(1+Z154)*AJ153,AJ153)</f>
        <v/>
      </c>
    </row>
    <row r="155">
      <c r="A155" s="1" t="n">
        <v>42227</v>
      </c>
      <c r="B155" s="3">
        <f>IF(ORIG!B155=0,"",ORIG!B155)</f>
        <v/>
      </c>
      <c r="C155" s="3">
        <f>IF(ORIG!C155=0,"",ORIG!C155)</f>
        <v/>
      </c>
      <c r="D155" s="3">
        <f>IF(ORIG!D155=0,"",ORIG!D155)</f>
        <v/>
      </c>
      <c r="E155" s="3">
        <f>IF(ORIG!E155=0,"",ORIG!E155)</f>
        <v/>
      </c>
      <c r="F155" s="3">
        <f>IF(ORIG!F155=0,"",ORIG!F155)</f>
        <v/>
      </c>
      <c r="G155" s="3">
        <f>IF(ORIG!G155=0,"",ORIG!G155)</f>
        <v/>
      </c>
      <c r="H155" s="3">
        <f>IF(ORIG!H155=0,"",ORIG!H155)</f>
        <v/>
      </c>
      <c r="I155" s="3">
        <f>IF(ORIG!I155=0,"",ORIG!I155)</f>
        <v/>
      </c>
      <c r="J155" s="3">
        <f>IF(ORIG!J155=0,"",ORIG!J155)</f>
        <v/>
      </c>
      <c r="K155" s="3">
        <f>IF(ORIG!K155=0,"",ORIG!K155)</f>
        <v/>
      </c>
      <c r="L155" s="3">
        <f>IF(ORIG!L155=0,"",ORIG!L155)</f>
        <v/>
      </c>
      <c r="M155" s="3">
        <f>IF(ORIG!M155=0,"",ORIG!M155)</f>
        <v/>
      </c>
      <c r="N155" s="3">
        <f>IF(ORIG!N155=0,"",ORIG!N155)</f>
        <v/>
      </c>
      <c r="O155" s="3">
        <f>IF(ORIG!O155=0,"",ORIG!O155)</f>
        <v/>
      </c>
      <c r="P155" s="3">
        <f>IF(ORIG!P155=0,"",ORIG!P155)</f>
        <v/>
      </c>
      <c r="Q155" s="3">
        <f>IF(ORIG!Q155=0,"",ORIG!Q155)</f>
        <v/>
      </c>
      <c r="R155" s="3">
        <f>IF(ORIG!R155=0,"",ORIG!R155)</f>
        <v/>
      </c>
      <c r="S155" s="3">
        <f>IF(ORIG!S155=0,"",ORIG!S155)</f>
        <v/>
      </c>
      <c r="T155" s="3">
        <f>IF(ORIG!T155=0,"",ORIG!T155)</f>
        <v/>
      </c>
      <c r="U155" s="3">
        <f>IF(ORIG!U155=0,"",ORIG!U155)</f>
        <v/>
      </c>
      <c r="V155" s="9">
        <f>IF(ORIG!V155=0,"",ORIG!V155)</f>
        <v/>
      </c>
      <c r="W155" s="9">
        <f>IF(ORIG!W155=0,"",ORIG!W155)</f>
        <v/>
      </c>
      <c r="X155" s="9">
        <f>IF(ORIG!X155=0,"",ORIG!X155)</f>
        <v/>
      </c>
      <c r="Y155" s="9">
        <f>IF(ORIG!Y155=0,"",ORIG!Y155)</f>
        <v/>
      </c>
      <c r="Z155" s="3">
        <f>SUMPRODUCT($B155:$Y155,$B$2649:$Y$2649)</f>
        <v/>
      </c>
      <c r="AA155" s="3">
        <f>SUMPRODUCT($B155:$Y155,$B$2655:$Y$2655)</f>
        <v/>
      </c>
      <c r="AC155" s="1">
        <f>A155</f>
        <v/>
      </c>
      <c r="AD155">
        <f>IF(ISNUMBER(V155),V155*($AB$1/V$2635),"")</f>
        <v/>
      </c>
      <c r="AE155">
        <f>IF(ISNUMBER(Z155),Z155*($AB$1/Z$2635),"")</f>
        <v/>
      </c>
      <c r="AF155" s="25">
        <f>IF(ISNUMBER(AD155+AE155),AD155+AE155,"")</f>
        <v/>
      </c>
      <c r="AH155" s="1">
        <f>A155</f>
        <v/>
      </c>
      <c r="AI155">
        <f>IF(ISNUMBER((1+V155)*AI154),(1+V155)*AI154,AI154)</f>
        <v/>
      </c>
      <c r="AJ155">
        <f>IF(ISNUMBER((1+Z155)*AJ154),(1+Z155)*AJ154,AJ154)</f>
        <v/>
      </c>
    </row>
    <row r="156">
      <c r="A156" s="1" t="n">
        <v>42228</v>
      </c>
      <c r="B156" s="3">
        <f>IF(ORIG!B156=0,"",ORIG!B156)</f>
        <v/>
      </c>
      <c r="C156" s="3">
        <f>IF(ORIG!C156=0,"",ORIG!C156)</f>
        <v/>
      </c>
      <c r="D156" s="3">
        <f>IF(ORIG!D156=0,"",ORIG!D156)</f>
        <v/>
      </c>
      <c r="E156" s="3">
        <f>IF(ORIG!E156=0,"",ORIG!E156)</f>
        <v/>
      </c>
      <c r="F156" s="3">
        <f>IF(ORIG!F156=0,"",ORIG!F156)</f>
        <v/>
      </c>
      <c r="G156" s="3">
        <f>IF(ORIG!G156=0,"",ORIG!G156)</f>
        <v/>
      </c>
      <c r="H156" s="3">
        <f>IF(ORIG!H156=0,"",ORIG!H156)</f>
        <v/>
      </c>
      <c r="I156" s="3">
        <f>IF(ORIG!I156=0,"",ORIG!I156)</f>
        <v/>
      </c>
      <c r="J156" s="3">
        <f>IF(ORIG!J156=0,"",ORIG!J156)</f>
        <v/>
      </c>
      <c r="K156" s="3">
        <f>IF(ORIG!K156=0,"",ORIG!K156)</f>
        <v/>
      </c>
      <c r="L156" s="3">
        <f>IF(ORIG!L156=0,"",ORIG!L156)</f>
        <v/>
      </c>
      <c r="M156" s="3">
        <f>IF(ORIG!M156=0,"",ORIG!M156)</f>
        <v/>
      </c>
      <c r="N156" s="3">
        <f>IF(ORIG!N156=0,"",ORIG!N156)</f>
        <v/>
      </c>
      <c r="O156" s="3">
        <f>IF(ORIG!O156=0,"",ORIG!O156)</f>
        <v/>
      </c>
      <c r="P156" s="3">
        <f>IF(ORIG!P156=0,"",ORIG!P156)</f>
        <v/>
      </c>
      <c r="Q156" s="3">
        <f>IF(ORIG!Q156=0,"",ORIG!Q156)</f>
        <v/>
      </c>
      <c r="R156" s="3">
        <f>IF(ORIG!R156=0,"",ORIG!R156)</f>
        <v/>
      </c>
      <c r="S156" s="3">
        <f>IF(ORIG!S156=0,"",ORIG!S156)</f>
        <v/>
      </c>
      <c r="T156" s="3">
        <f>IF(ORIG!T156=0,"",ORIG!T156)</f>
        <v/>
      </c>
      <c r="U156" s="3">
        <f>IF(ORIG!U156=0,"",ORIG!U156)</f>
        <v/>
      </c>
      <c r="V156" s="9">
        <f>IF(ORIG!V156=0,"",ORIG!V156)</f>
        <v/>
      </c>
      <c r="W156" s="9">
        <f>IF(ORIG!W156=0,"",ORIG!W156)</f>
        <v/>
      </c>
      <c r="X156" s="9">
        <f>IF(ORIG!X156=0,"",ORIG!X156)</f>
        <v/>
      </c>
      <c r="Y156" s="9">
        <f>IF(ORIG!Y156=0,"",ORIG!Y156)</f>
        <v/>
      </c>
      <c r="Z156" s="3">
        <f>SUMPRODUCT($B156:$Y156,$B$2649:$Y$2649)</f>
        <v/>
      </c>
      <c r="AA156" s="3">
        <f>SUMPRODUCT($B156:$Y156,$B$2655:$Y$2655)</f>
        <v/>
      </c>
      <c r="AC156" s="1">
        <f>A156</f>
        <v/>
      </c>
      <c r="AD156">
        <f>IF(ISNUMBER(V156),V156*($AB$1/V$2635),"")</f>
        <v/>
      </c>
      <c r="AE156">
        <f>IF(ISNUMBER(Z156),Z156*($AB$1/Z$2635),"")</f>
        <v/>
      </c>
      <c r="AF156" s="25">
        <f>IF(ISNUMBER(AD156+AE156),AD156+AE156,"")</f>
        <v/>
      </c>
      <c r="AH156" s="1">
        <f>A156</f>
        <v/>
      </c>
      <c r="AI156">
        <f>IF(ISNUMBER((1+V156)*AI155),(1+V156)*AI155,AI155)</f>
        <v/>
      </c>
      <c r="AJ156">
        <f>IF(ISNUMBER((1+Z156)*AJ155),(1+Z156)*AJ155,AJ155)</f>
        <v/>
      </c>
    </row>
    <row r="157">
      <c r="A157" s="1" t="n">
        <v>42229</v>
      </c>
      <c r="B157" s="3">
        <f>IF(ORIG!B157=0,"",ORIG!B157)</f>
        <v/>
      </c>
      <c r="C157" s="3">
        <f>IF(ORIG!C157=0,"",ORIG!C157)</f>
        <v/>
      </c>
      <c r="D157" s="3">
        <f>IF(ORIG!D157=0,"",ORIG!D157)</f>
        <v/>
      </c>
      <c r="E157" s="3">
        <f>IF(ORIG!E157=0,"",ORIG!E157)</f>
        <v/>
      </c>
      <c r="F157" s="3">
        <f>IF(ORIG!F157=0,"",ORIG!F157)</f>
        <v/>
      </c>
      <c r="G157" s="3">
        <f>IF(ORIG!G157=0,"",ORIG!G157)</f>
        <v/>
      </c>
      <c r="H157" s="3">
        <f>IF(ORIG!H157=0,"",ORIG!H157)</f>
        <v/>
      </c>
      <c r="I157" s="3">
        <f>IF(ORIG!I157=0,"",ORIG!I157)</f>
        <v/>
      </c>
      <c r="J157" s="3">
        <f>IF(ORIG!J157=0,"",ORIG!J157)</f>
        <v/>
      </c>
      <c r="K157" s="3">
        <f>IF(ORIG!K157=0,"",ORIG!K157)</f>
        <v/>
      </c>
      <c r="L157" s="3">
        <f>IF(ORIG!L157=0,"",ORIG!L157)</f>
        <v/>
      </c>
      <c r="M157" s="3">
        <f>IF(ORIG!M157=0,"",ORIG!M157)</f>
        <v/>
      </c>
      <c r="N157" s="3">
        <f>IF(ORIG!N157=0,"",ORIG!N157)</f>
        <v/>
      </c>
      <c r="O157" s="3">
        <f>IF(ORIG!O157=0,"",ORIG!O157)</f>
        <v/>
      </c>
      <c r="P157" s="3">
        <f>IF(ORIG!P157=0,"",ORIG!P157)</f>
        <v/>
      </c>
      <c r="Q157" s="3">
        <f>IF(ORIG!Q157=0,"",ORIG!Q157)</f>
        <v/>
      </c>
      <c r="R157" s="3">
        <f>IF(ORIG!R157=0,"",ORIG!R157)</f>
        <v/>
      </c>
      <c r="S157" s="3">
        <f>IF(ORIG!S157=0,"",ORIG!S157)</f>
        <v/>
      </c>
      <c r="T157" s="3">
        <f>IF(ORIG!T157=0,"",ORIG!T157)</f>
        <v/>
      </c>
      <c r="U157" s="3">
        <f>IF(ORIG!U157=0,"",ORIG!U157)</f>
        <v/>
      </c>
      <c r="V157" s="9">
        <f>IF(ORIG!V157=0,"",ORIG!V157)</f>
        <v/>
      </c>
      <c r="W157" s="9">
        <f>IF(ORIG!W157=0,"",ORIG!W157)</f>
        <v/>
      </c>
      <c r="X157" s="9">
        <f>IF(ORIG!X157=0,"",ORIG!X157)</f>
        <v/>
      </c>
      <c r="Y157" s="9">
        <f>IF(ORIG!Y157=0,"",ORIG!Y157)</f>
        <v/>
      </c>
      <c r="Z157" s="3">
        <f>SUMPRODUCT($B157:$Y157,$B$2649:$Y$2649)</f>
        <v/>
      </c>
      <c r="AA157" s="3">
        <f>SUMPRODUCT($B157:$Y157,$B$2655:$Y$2655)</f>
        <v/>
      </c>
      <c r="AC157" s="1">
        <f>A157</f>
        <v/>
      </c>
      <c r="AD157">
        <f>IF(ISNUMBER(V157),V157*($AB$1/V$2635),"")</f>
        <v/>
      </c>
      <c r="AE157">
        <f>IF(ISNUMBER(Z157),Z157*($AB$1/Z$2635),"")</f>
        <v/>
      </c>
      <c r="AF157" s="25">
        <f>IF(ISNUMBER(AD157+AE157),AD157+AE157,"")</f>
        <v/>
      </c>
      <c r="AH157" s="1">
        <f>A157</f>
        <v/>
      </c>
      <c r="AI157">
        <f>IF(ISNUMBER((1+V157)*AI156),(1+V157)*AI156,AI156)</f>
        <v/>
      </c>
      <c r="AJ157">
        <f>IF(ISNUMBER((1+Z157)*AJ156),(1+Z157)*AJ156,AJ156)</f>
        <v/>
      </c>
    </row>
    <row r="158">
      <c r="A158" s="1" t="n">
        <v>42230</v>
      </c>
      <c r="B158" s="3">
        <f>IF(ORIG!B158=0,"",ORIG!B158)</f>
        <v/>
      </c>
      <c r="C158" s="3">
        <f>IF(ORIG!C158=0,"",ORIG!C158)</f>
        <v/>
      </c>
      <c r="D158" s="3">
        <f>IF(ORIG!D158=0,"",ORIG!D158)</f>
        <v/>
      </c>
      <c r="E158" s="3">
        <f>IF(ORIG!E158=0,"",ORIG!E158)</f>
        <v/>
      </c>
      <c r="F158" s="3">
        <f>IF(ORIG!F158=0,"",ORIG!F158)</f>
        <v/>
      </c>
      <c r="G158" s="3">
        <f>IF(ORIG!G158=0,"",ORIG!G158)</f>
        <v/>
      </c>
      <c r="H158" s="3">
        <f>IF(ORIG!H158=0,"",ORIG!H158)</f>
        <v/>
      </c>
      <c r="I158" s="3">
        <f>IF(ORIG!I158=0,"",ORIG!I158)</f>
        <v/>
      </c>
      <c r="J158" s="3">
        <f>IF(ORIG!J158=0,"",ORIG!J158)</f>
        <v/>
      </c>
      <c r="K158" s="3">
        <f>IF(ORIG!K158=0,"",ORIG!K158)</f>
        <v/>
      </c>
      <c r="L158" s="3">
        <f>IF(ORIG!L158=0,"",ORIG!L158)</f>
        <v/>
      </c>
      <c r="M158" s="3">
        <f>IF(ORIG!M158=0,"",ORIG!M158)</f>
        <v/>
      </c>
      <c r="N158" s="3">
        <f>IF(ORIG!N158=0,"",ORIG!N158)</f>
        <v/>
      </c>
      <c r="O158" s="3">
        <f>IF(ORIG!O158=0,"",ORIG!O158)</f>
        <v/>
      </c>
      <c r="P158" s="3">
        <f>IF(ORIG!P158=0,"",ORIG!P158)</f>
        <v/>
      </c>
      <c r="Q158" s="3">
        <f>IF(ORIG!Q158=0,"",ORIG!Q158)</f>
        <v/>
      </c>
      <c r="R158" s="3">
        <f>IF(ORIG!R158=0,"",ORIG!R158)</f>
        <v/>
      </c>
      <c r="S158" s="3">
        <f>IF(ORIG!S158=0,"",ORIG!S158)</f>
        <v/>
      </c>
      <c r="T158" s="3">
        <f>IF(ORIG!T158=0,"",ORIG!T158)</f>
        <v/>
      </c>
      <c r="U158" s="3">
        <f>IF(ORIG!U158=0,"",ORIG!U158)</f>
        <v/>
      </c>
      <c r="V158" s="9">
        <f>IF(ORIG!V158=0,"",ORIG!V158)</f>
        <v/>
      </c>
      <c r="W158" s="9">
        <f>IF(ORIG!W158=0,"",ORIG!W158)</f>
        <v/>
      </c>
      <c r="X158" s="9">
        <f>IF(ORIG!X158=0,"",ORIG!X158)</f>
        <v/>
      </c>
      <c r="Y158" s="9">
        <f>IF(ORIG!Y158=0,"",ORIG!Y158)</f>
        <v/>
      </c>
      <c r="Z158" s="3">
        <f>SUMPRODUCT($B158:$Y158,$B$2649:$Y$2649)</f>
        <v/>
      </c>
      <c r="AA158" s="3">
        <f>SUMPRODUCT($B158:$Y158,$B$2655:$Y$2655)</f>
        <v/>
      </c>
      <c r="AC158" s="1">
        <f>A158</f>
        <v/>
      </c>
      <c r="AD158">
        <f>IF(ISNUMBER(V158),V158*($AB$1/V$2635),"")</f>
        <v/>
      </c>
      <c r="AE158">
        <f>IF(ISNUMBER(Z158),Z158*($AB$1/Z$2635),"")</f>
        <v/>
      </c>
      <c r="AF158" s="25">
        <f>IF(ISNUMBER(AD158+AE158),AD158+AE158,"")</f>
        <v/>
      </c>
      <c r="AH158" s="1">
        <f>A158</f>
        <v/>
      </c>
      <c r="AI158">
        <f>IF(ISNUMBER((1+V158)*AI157),(1+V158)*AI157,AI157)</f>
        <v/>
      </c>
      <c r="AJ158">
        <f>IF(ISNUMBER((1+Z158)*AJ157),(1+Z158)*AJ157,AJ157)</f>
        <v/>
      </c>
    </row>
    <row r="159">
      <c r="A159" s="1" t="n">
        <v>42233</v>
      </c>
      <c r="B159" s="3">
        <f>IF(ORIG!B159=0,"",ORIG!B159)</f>
        <v/>
      </c>
      <c r="C159" s="3">
        <f>IF(ORIG!C159=0,"",ORIG!C159)</f>
        <v/>
      </c>
      <c r="D159" s="3">
        <f>IF(ORIG!D159=0,"",ORIG!D159)</f>
        <v/>
      </c>
      <c r="E159" s="3">
        <f>IF(ORIG!E159=0,"",ORIG!E159)</f>
        <v/>
      </c>
      <c r="F159" s="3">
        <f>IF(ORIG!F159=0,"",ORIG!F159)</f>
        <v/>
      </c>
      <c r="G159" s="3">
        <f>IF(ORIG!G159=0,"",ORIG!G159)</f>
        <v/>
      </c>
      <c r="H159" s="3">
        <f>IF(ORIG!H159=0,"",ORIG!H159)</f>
        <v/>
      </c>
      <c r="I159" s="3">
        <f>IF(ORIG!I159=0,"",ORIG!I159)</f>
        <v/>
      </c>
      <c r="J159" s="3">
        <f>IF(ORIG!J159=0,"",ORIG!J159)</f>
        <v/>
      </c>
      <c r="K159" s="3">
        <f>IF(ORIG!K159=0,"",ORIG!K159)</f>
        <v/>
      </c>
      <c r="L159" s="3">
        <f>IF(ORIG!L159=0,"",ORIG!L159)</f>
        <v/>
      </c>
      <c r="M159" s="3">
        <f>IF(ORIG!M159=0,"",ORIG!M159)</f>
        <v/>
      </c>
      <c r="N159" s="3">
        <f>IF(ORIG!N159=0,"",ORIG!N159)</f>
        <v/>
      </c>
      <c r="O159" s="3">
        <f>IF(ORIG!O159=0,"",ORIG!O159)</f>
        <v/>
      </c>
      <c r="P159" s="3">
        <f>IF(ORIG!P159=0,"",ORIG!P159)</f>
        <v/>
      </c>
      <c r="Q159" s="3">
        <f>IF(ORIG!Q159=0,"",ORIG!Q159)</f>
        <v/>
      </c>
      <c r="R159" s="3">
        <f>IF(ORIG!R159=0,"",ORIG!R159)</f>
        <v/>
      </c>
      <c r="S159" s="3">
        <f>IF(ORIG!S159=0,"",ORIG!S159)</f>
        <v/>
      </c>
      <c r="T159" s="3">
        <f>IF(ORIG!T159=0,"",ORIG!T159)</f>
        <v/>
      </c>
      <c r="U159" s="3">
        <f>IF(ORIG!U159=0,"",ORIG!U159)</f>
        <v/>
      </c>
      <c r="V159" s="9">
        <f>IF(ORIG!V159=0,"",ORIG!V159)</f>
        <v/>
      </c>
      <c r="W159" s="9">
        <f>IF(ORIG!W159=0,"",ORIG!W159)</f>
        <v/>
      </c>
      <c r="X159" s="9">
        <f>IF(ORIG!X159=0,"",ORIG!X159)</f>
        <v/>
      </c>
      <c r="Y159" s="9">
        <f>IF(ORIG!Y159=0,"",ORIG!Y159)</f>
        <v/>
      </c>
      <c r="Z159" s="3">
        <f>SUMPRODUCT($B159:$Y159,$B$2649:$Y$2649)</f>
        <v/>
      </c>
      <c r="AA159" s="3">
        <f>SUMPRODUCT($B159:$Y159,$B$2655:$Y$2655)</f>
        <v/>
      </c>
      <c r="AC159" s="1">
        <f>A159</f>
        <v/>
      </c>
      <c r="AD159">
        <f>IF(ISNUMBER(V159),V159*($AB$1/V$2635),"")</f>
        <v/>
      </c>
      <c r="AE159">
        <f>IF(ISNUMBER(Z159),Z159*($AB$1/Z$2635),"")</f>
        <v/>
      </c>
      <c r="AF159" s="25">
        <f>IF(ISNUMBER(AD159+AE159),AD159+AE159,"")</f>
        <v/>
      </c>
      <c r="AH159" s="1">
        <f>A159</f>
        <v/>
      </c>
      <c r="AI159">
        <f>IF(ISNUMBER((1+V159)*AI158),(1+V159)*AI158,AI158)</f>
        <v/>
      </c>
      <c r="AJ159">
        <f>IF(ISNUMBER((1+Z159)*AJ158),(1+Z159)*AJ158,AJ158)</f>
        <v/>
      </c>
    </row>
    <row r="160">
      <c r="A160" s="1" t="n">
        <v>42234</v>
      </c>
      <c r="B160" s="3">
        <f>IF(ORIG!B160=0,"",ORIG!B160)</f>
        <v/>
      </c>
      <c r="C160" s="3">
        <f>IF(ORIG!C160=0,"",ORIG!C160)</f>
        <v/>
      </c>
      <c r="D160" s="3">
        <f>IF(ORIG!D160=0,"",ORIG!D160)</f>
        <v/>
      </c>
      <c r="E160" s="3">
        <f>IF(ORIG!E160=0,"",ORIG!E160)</f>
        <v/>
      </c>
      <c r="F160" s="3">
        <f>IF(ORIG!F160=0,"",ORIG!F160)</f>
        <v/>
      </c>
      <c r="G160" s="3">
        <f>IF(ORIG!G160=0,"",ORIG!G160)</f>
        <v/>
      </c>
      <c r="H160" s="3">
        <f>IF(ORIG!H160=0,"",ORIG!H160)</f>
        <v/>
      </c>
      <c r="I160" s="3">
        <f>IF(ORIG!I160=0,"",ORIG!I160)</f>
        <v/>
      </c>
      <c r="J160" s="3">
        <f>IF(ORIG!J160=0,"",ORIG!J160)</f>
        <v/>
      </c>
      <c r="K160" s="3">
        <f>IF(ORIG!K160=0,"",ORIG!K160)</f>
        <v/>
      </c>
      <c r="L160" s="3">
        <f>IF(ORIG!L160=0,"",ORIG!L160)</f>
        <v/>
      </c>
      <c r="M160" s="3">
        <f>IF(ORIG!M160=0,"",ORIG!M160)</f>
        <v/>
      </c>
      <c r="N160" s="3">
        <f>IF(ORIG!N160=0,"",ORIG!N160)</f>
        <v/>
      </c>
      <c r="O160" s="3">
        <f>IF(ORIG!O160=0,"",ORIG!O160)</f>
        <v/>
      </c>
      <c r="P160" s="3">
        <f>IF(ORIG!P160=0,"",ORIG!P160)</f>
        <v/>
      </c>
      <c r="Q160" s="3">
        <f>IF(ORIG!Q160=0,"",ORIG!Q160)</f>
        <v/>
      </c>
      <c r="R160" s="3">
        <f>IF(ORIG!R160=0,"",ORIG!R160)</f>
        <v/>
      </c>
      <c r="S160" s="3">
        <f>IF(ORIG!S160=0,"",ORIG!S160)</f>
        <v/>
      </c>
      <c r="T160" s="3">
        <f>IF(ORIG!T160=0,"",ORIG!T160)</f>
        <v/>
      </c>
      <c r="U160" s="3">
        <f>IF(ORIG!U160=0,"",ORIG!U160)</f>
        <v/>
      </c>
      <c r="V160" s="9">
        <f>IF(ORIG!V160=0,"",ORIG!V160)</f>
        <v/>
      </c>
      <c r="W160" s="9">
        <f>IF(ORIG!W160=0,"",ORIG!W160)</f>
        <v/>
      </c>
      <c r="X160" s="9">
        <f>IF(ORIG!X160=0,"",ORIG!X160)</f>
        <v/>
      </c>
      <c r="Y160" s="9">
        <f>IF(ORIG!Y160=0,"",ORIG!Y160)</f>
        <v/>
      </c>
      <c r="Z160" s="3">
        <f>SUMPRODUCT($B160:$Y160,$B$2649:$Y$2649)</f>
        <v/>
      </c>
      <c r="AA160" s="3">
        <f>SUMPRODUCT($B160:$Y160,$B$2655:$Y$2655)</f>
        <v/>
      </c>
      <c r="AC160" s="1">
        <f>A160</f>
        <v/>
      </c>
      <c r="AD160">
        <f>IF(ISNUMBER(V160),V160*($AB$1/V$2635),"")</f>
        <v/>
      </c>
      <c r="AE160">
        <f>IF(ISNUMBER(Z160),Z160*($AB$1/Z$2635),"")</f>
        <v/>
      </c>
      <c r="AF160" s="25">
        <f>IF(ISNUMBER(AD160+AE160),AD160+AE160,"")</f>
        <v/>
      </c>
      <c r="AH160" s="1">
        <f>A160</f>
        <v/>
      </c>
      <c r="AI160">
        <f>IF(ISNUMBER((1+V160)*AI159),(1+V160)*AI159,AI159)</f>
        <v/>
      </c>
      <c r="AJ160">
        <f>IF(ISNUMBER((1+Z160)*AJ159),(1+Z160)*AJ159,AJ159)</f>
        <v/>
      </c>
    </row>
    <row r="161">
      <c r="A161" s="1" t="n">
        <v>42235</v>
      </c>
      <c r="B161" s="3">
        <f>IF(ORIG!B161=0,"",ORIG!B161)</f>
        <v/>
      </c>
      <c r="C161" s="3">
        <f>IF(ORIG!C161=0,"",ORIG!C161)</f>
        <v/>
      </c>
      <c r="D161" s="3">
        <f>IF(ORIG!D161=0,"",ORIG!D161)</f>
        <v/>
      </c>
      <c r="E161" s="3">
        <f>IF(ORIG!E161=0,"",ORIG!E161)</f>
        <v/>
      </c>
      <c r="F161" s="3">
        <f>IF(ORIG!F161=0,"",ORIG!F161)</f>
        <v/>
      </c>
      <c r="G161" s="3">
        <f>IF(ORIG!G161=0,"",ORIG!G161)</f>
        <v/>
      </c>
      <c r="H161" s="3">
        <f>IF(ORIG!H161=0,"",ORIG!H161)</f>
        <v/>
      </c>
      <c r="I161" s="3">
        <f>IF(ORIG!I161=0,"",ORIG!I161)</f>
        <v/>
      </c>
      <c r="J161" s="3">
        <f>IF(ORIG!J161=0,"",ORIG!J161)</f>
        <v/>
      </c>
      <c r="K161" s="3">
        <f>IF(ORIG!K161=0,"",ORIG!K161)</f>
        <v/>
      </c>
      <c r="L161" s="3">
        <f>IF(ORIG!L161=0,"",ORIG!L161)</f>
        <v/>
      </c>
      <c r="M161" s="3">
        <f>IF(ORIG!M161=0,"",ORIG!M161)</f>
        <v/>
      </c>
      <c r="N161" s="3">
        <f>IF(ORIG!N161=0,"",ORIG!N161)</f>
        <v/>
      </c>
      <c r="O161" s="3">
        <f>IF(ORIG!O161=0,"",ORIG!O161)</f>
        <v/>
      </c>
      <c r="P161" s="3">
        <f>IF(ORIG!P161=0,"",ORIG!P161)</f>
        <v/>
      </c>
      <c r="Q161" s="3">
        <f>IF(ORIG!Q161=0,"",ORIG!Q161)</f>
        <v/>
      </c>
      <c r="R161" s="3">
        <f>IF(ORIG!R161=0,"",ORIG!R161)</f>
        <v/>
      </c>
      <c r="S161" s="3">
        <f>IF(ORIG!S161=0,"",ORIG!S161)</f>
        <v/>
      </c>
      <c r="T161" s="3">
        <f>IF(ORIG!T161=0,"",ORIG!T161)</f>
        <v/>
      </c>
      <c r="U161" s="3">
        <f>IF(ORIG!U161=0,"",ORIG!U161)</f>
        <v/>
      </c>
      <c r="V161" s="9">
        <f>IF(ORIG!V161=0,"",ORIG!V161)</f>
        <v/>
      </c>
      <c r="W161" s="9">
        <f>IF(ORIG!W161=0,"",ORIG!W161)</f>
        <v/>
      </c>
      <c r="X161" s="9">
        <f>IF(ORIG!X161=0,"",ORIG!X161)</f>
        <v/>
      </c>
      <c r="Y161" s="9">
        <f>IF(ORIG!Y161=0,"",ORIG!Y161)</f>
        <v/>
      </c>
      <c r="Z161" s="3">
        <f>SUMPRODUCT($B161:$Y161,$B$2649:$Y$2649)</f>
        <v/>
      </c>
      <c r="AA161" s="3">
        <f>SUMPRODUCT($B161:$Y161,$B$2655:$Y$2655)</f>
        <v/>
      </c>
      <c r="AC161" s="1">
        <f>A161</f>
        <v/>
      </c>
      <c r="AD161">
        <f>IF(ISNUMBER(V161),V161*($AB$1/V$2635),"")</f>
        <v/>
      </c>
      <c r="AE161">
        <f>IF(ISNUMBER(Z161),Z161*($AB$1/Z$2635),"")</f>
        <v/>
      </c>
      <c r="AF161" s="25">
        <f>IF(ISNUMBER(AD161+AE161),AD161+AE161,"")</f>
        <v/>
      </c>
      <c r="AH161" s="1">
        <f>A161</f>
        <v/>
      </c>
      <c r="AI161">
        <f>IF(ISNUMBER((1+V161)*AI160),(1+V161)*AI160,AI160)</f>
        <v/>
      </c>
      <c r="AJ161">
        <f>IF(ISNUMBER((1+Z161)*AJ160),(1+Z161)*AJ160,AJ160)</f>
        <v/>
      </c>
    </row>
    <row r="162">
      <c r="A162" s="1" t="n">
        <v>42236</v>
      </c>
      <c r="B162" s="3">
        <f>IF(ORIG!B162=0,"",ORIG!B162)</f>
        <v/>
      </c>
      <c r="C162" s="3">
        <f>IF(ORIG!C162=0,"",ORIG!C162)</f>
        <v/>
      </c>
      <c r="D162" s="3">
        <f>IF(ORIG!D162=0,"",ORIG!D162)</f>
        <v/>
      </c>
      <c r="E162" s="3">
        <f>IF(ORIG!E162=0,"",ORIG!E162)</f>
        <v/>
      </c>
      <c r="F162" s="3">
        <f>IF(ORIG!F162=0,"",ORIG!F162)</f>
        <v/>
      </c>
      <c r="G162" s="3">
        <f>IF(ORIG!G162=0,"",ORIG!G162)</f>
        <v/>
      </c>
      <c r="H162" s="3">
        <f>IF(ORIG!H162=0,"",ORIG!H162)</f>
        <v/>
      </c>
      <c r="I162" s="3">
        <f>IF(ORIG!I162=0,"",ORIG!I162)</f>
        <v/>
      </c>
      <c r="J162" s="3">
        <f>IF(ORIG!J162=0,"",ORIG!J162)</f>
        <v/>
      </c>
      <c r="K162" s="3">
        <f>IF(ORIG!K162=0,"",ORIG!K162)</f>
        <v/>
      </c>
      <c r="L162" s="3">
        <f>IF(ORIG!L162=0,"",ORIG!L162)</f>
        <v/>
      </c>
      <c r="M162" s="3">
        <f>IF(ORIG!M162=0,"",ORIG!M162)</f>
        <v/>
      </c>
      <c r="N162" s="3">
        <f>IF(ORIG!N162=0,"",ORIG!N162)</f>
        <v/>
      </c>
      <c r="O162" s="3">
        <f>IF(ORIG!O162=0,"",ORIG!O162)</f>
        <v/>
      </c>
      <c r="P162" s="3">
        <f>IF(ORIG!P162=0,"",ORIG!P162)</f>
        <v/>
      </c>
      <c r="Q162" s="3">
        <f>IF(ORIG!Q162=0,"",ORIG!Q162)</f>
        <v/>
      </c>
      <c r="R162" s="3">
        <f>IF(ORIG!R162=0,"",ORIG!R162)</f>
        <v/>
      </c>
      <c r="S162" s="3">
        <f>IF(ORIG!S162=0,"",ORIG!S162)</f>
        <v/>
      </c>
      <c r="T162" s="3">
        <f>IF(ORIG!T162=0,"",ORIG!T162)</f>
        <v/>
      </c>
      <c r="U162" s="3">
        <f>IF(ORIG!U162=0,"",ORIG!U162)</f>
        <v/>
      </c>
      <c r="V162" s="9">
        <f>IF(ORIG!V162=0,"",ORIG!V162)</f>
        <v/>
      </c>
      <c r="W162" s="9">
        <f>IF(ORIG!W162=0,"",ORIG!W162)</f>
        <v/>
      </c>
      <c r="X162" s="9">
        <f>IF(ORIG!X162=0,"",ORIG!X162)</f>
        <v/>
      </c>
      <c r="Y162" s="9">
        <f>IF(ORIG!Y162=0,"",ORIG!Y162)</f>
        <v/>
      </c>
      <c r="Z162" s="3">
        <f>SUMPRODUCT($B162:$Y162,$B$2649:$Y$2649)</f>
        <v/>
      </c>
      <c r="AA162" s="3">
        <f>SUMPRODUCT($B162:$Y162,$B$2655:$Y$2655)</f>
        <v/>
      </c>
      <c r="AC162" s="1">
        <f>A162</f>
        <v/>
      </c>
      <c r="AD162">
        <f>IF(ISNUMBER(V162),V162*($AB$1/V$2635),"")</f>
        <v/>
      </c>
      <c r="AE162">
        <f>IF(ISNUMBER(Z162),Z162*($AB$1/Z$2635),"")</f>
        <v/>
      </c>
      <c r="AF162" s="25">
        <f>IF(ISNUMBER(AD162+AE162),AD162+AE162,"")</f>
        <v/>
      </c>
      <c r="AH162" s="1">
        <f>A162</f>
        <v/>
      </c>
      <c r="AI162">
        <f>IF(ISNUMBER((1+V162)*AI161),(1+V162)*AI161,AI161)</f>
        <v/>
      </c>
      <c r="AJ162">
        <f>IF(ISNUMBER((1+Z162)*AJ161),(1+Z162)*AJ161,AJ161)</f>
        <v/>
      </c>
    </row>
    <row r="163">
      <c r="A163" s="1" t="n">
        <v>42237</v>
      </c>
      <c r="B163" s="3">
        <f>IF(ORIG!B163=0,"",ORIG!B163)</f>
        <v/>
      </c>
      <c r="C163" s="3">
        <f>IF(ORIG!C163=0,"",ORIG!C163)</f>
        <v/>
      </c>
      <c r="D163" s="3">
        <f>IF(ORIG!D163=0,"",ORIG!D163)</f>
        <v/>
      </c>
      <c r="E163" s="3">
        <f>IF(ORIG!E163=0,"",ORIG!E163)</f>
        <v/>
      </c>
      <c r="F163" s="3">
        <f>IF(ORIG!F163=0,"",ORIG!F163)</f>
        <v/>
      </c>
      <c r="G163" s="3">
        <f>IF(ORIG!G163=0,"",ORIG!G163)</f>
        <v/>
      </c>
      <c r="H163" s="3">
        <f>IF(ORIG!H163=0,"",ORIG!H163)</f>
        <v/>
      </c>
      <c r="I163" s="3">
        <f>IF(ORIG!I163=0,"",ORIG!I163)</f>
        <v/>
      </c>
      <c r="J163" s="3">
        <f>IF(ORIG!J163=0,"",ORIG!J163)</f>
        <v/>
      </c>
      <c r="K163" s="3">
        <f>IF(ORIG!K163=0,"",ORIG!K163)</f>
        <v/>
      </c>
      <c r="L163" s="3">
        <f>IF(ORIG!L163=0,"",ORIG!L163)</f>
        <v/>
      </c>
      <c r="M163" s="3">
        <f>IF(ORIG!M163=0,"",ORIG!M163)</f>
        <v/>
      </c>
      <c r="N163" s="3">
        <f>IF(ORIG!N163=0,"",ORIG!N163)</f>
        <v/>
      </c>
      <c r="O163" s="3">
        <f>IF(ORIG!O163=0,"",ORIG!O163)</f>
        <v/>
      </c>
      <c r="P163" s="3">
        <f>IF(ORIG!P163=0,"",ORIG!P163)</f>
        <v/>
      </c>
      <c r="Q163" s="3">
        <f>IF(ORIG!Q163=0,"",ORIG!Q163)</f>
        <v/>
      </c>
      <c r="R163" s="3">
        <f>IF(ORIG!R163=0,"",ORIG!R163)</f>
        <v/>
      </c>
      <c r="S163" s="3">
        <f>IF(ORIG!S163=0,"",ORIG!S163)</f>
        <v/>
      </c>
      <c r="T163" s="3">
        <f>IF(ORIG!T163=0,"",ORIG!T163)</f>
        <v/>
      </c>
      <c r="U163" s="3">
        <f>IF(ORIG!U163=0,"",ORIG!U163)</f>
        <v/>
      </c>
      <c r="V163" s="9">
        <f>IF(ORIG!V163=0,"",ORIG!V163)</f>
        <v/>
      </c>
      <c r="W163" s="9">
        <f>IF(ORIG!W163=0,"",ORIG!W163)</f>
        <v/>
      </c>
      <c r="X163" s="9">
        <f>IF(ORIG!X163=0,"",ORIG!X163)</f>
        <v/>
      </c>
      <c r="Y163" s="9">
        <f>IF(ORIG!Y163=0,"",ORIG!Y163)</f>
        <v/>
      </c>
      <c r="Z163" s="3">
        <f>SUMPRODUCT($B163:$Y163,$B$2649:$Y$2649)</f>
        <v/>
      </c>
      <c r="AA163" s="3">
        <f>SUMPRODUCT($B163:$Y163,$B$2655:$Y$2655)</f>
        <v/>
      </c>
      <c r="AC163" s="1">
        <f>A163</f>
        <v/>
      </c>
      <c r="AD163">
        <f>IF(ISNUMBER(V163),V163*($AB$1/V$2635),"")</f>
        <v/>
      </c>
      <c r="AE163">
        <f>IF(ISNUMBER(Z163),Z163*($AB$1/Z$2635),"")</f>
        <v/>
      </c>
      <c r="AF163" s="25">
        <f>IF(ISNUMBER(AD163+AE163),AD163+AE163,"")</f>
        <v/>
      </c>
      <c r="AH163" s="1">
        <f>A163</f>
        <v/>
      </c>
      <c r="AI163">
        <f>IF(ISNUMBER((1+V163)*AI162),(1+V163)*AI162,AI162)</f>
        <v/>
      </c>
      <c r="AJ163">
        <f>IF(ISNUMBER((1+Z163)*AJ162),(1+Z163)*AJ162,AJ162)</f>
        <v/>
      </c>
    </row>
    <row r="164">
      <c r="A164" s="1" t="n">
        <v>42240</v>
      </c>
      <c r="B164" s="3">
        <f>IF(ORIG!B164=0,"",ORIG!B164)</f>
        <v/>
      </c>
      <c r="C164" s="3">
        <f>IF(ORIG!C164=0,"",ORIG!C164)</f>
        <v/>
      </c>
      <c r="D164" s="3">
        <f>IF(ORIG!D164=0,"",ORIG!D164)</f>
        <v/>
      </c>
      <c r="E164" s="3">
        <f>IF(ORIG!E164=0,"",ORIG!E164)</f>
        <v/>
      </c>
      <c r="F164" s="3">
        <f>IF(ORIG!F164=0,"",ORIG!F164)</f>
        <v/>
      </c>
      <c r="G164" s="3">
        <f>IF(ORIG!G164=0,"",ORIG!G164)</f>
        <v/>
      </c>
      <c r="H164" s="3">
        <f>IF(ORIG!H164=0,"",ORIG!H164)</f>
        <v/>
      </c>
      <c r="I164" s="3">
        <f>IF(ORIG!I164=0,"",ORIG!I164)</f>
        <v/>
      </c>
      <c r="J164" s="3">
        <f>IF(ORIG!J164=0,"",ORIG!J164)</f>
        <v/>
      </c>
      <c r="K164" s="3">
        <f>IF(ORIG!K164=0,"",ORIG!K164)</f>
        <v/>
      </c>
      <c r="L164" s="3">
        <f>IF(ORIG!L164=0,"",ORIG!L164)</f>
        <v/>
      </c>
      <c r="M164" s="3">
        <f>IF(ORIG!M164=0,"",ORIG!M164)</f>
        <v/>
      </c>
      <c r="N164" s="3">
        <f>IF(ORIG!N164=0,"",ORIG!N164)</f>
        <v/>
      </c>
      <c r="O164" s="3">
        <f>IF(ORIG!O164=0,"",ORIG!O164)</f>
        <v/>
      </c>
      <c r="P164" s="3">
        <f>IF(ORIG!P164=0,"",ORIG!P164)</f>
        <v/>
      </c>
      <c r="Q164" s="3">
        <f>IF(ORIG!Q164=0,"",ORIG!Q164)</f>
        <v/>
      </c>
      <c r="R164" s="3">
        <f>IF(ORIG!R164=0,"",ORIG!R164)</f>
        <v/>
      </c>
      <c r="S164" s="3">
        <f>IF(ORIG!S164=0,"",ORIG!S164)</f>
        <v/>
      </c>
      <c r="T164" s="3">
        <f>IF(ORIG!T164=0,"",ORIG!T164)</f>
        <v/>
      </c>
      <c r="U164" s="3">
        <f>IF(ORIG!U164=0,"",ORIG!U164)</f>
        <v/>
      </c>
      <c r="V164" s="9">
        <f>IF(ORIG!V164=0,"",ORIG!V164)</f>
        <v/>
      </c>
      <c r="W164" s="9">
        <f>IF(ORIG!W164=0,"",ORIG!W164)</f>
        <v/>
      </c>
      <c r="X164" s="9">
        <f>IF(ORIG!X164=0,"",ORIG!X164)</f>
        <v/>
      </c>
      <c r="Y164" s="9">
        <f>IF(ORIG!Y164=0,"",ORIG!Y164)</f>
        <v/>
      </c>
      <c r="Z164" s="3">
        <f>SUMPRODUCT($B164:$Y164,$B$2649:$Y$2649)</f>
        <v/>
      </c>
      <c r="AA164" s="3">
        <f>SUMPRODUCT($B164:$Y164,$B$2655:$Y$2655)</f>
        <v/>
      </c>
      <c r="AC164" s="1">
        <f>A164</f>
        <v/>
      </c>
      <c r="AD164">
        <f>IF(ISNUMBER(V164),V164*($AB$1/V$2635),"")</f>
        <v/>
      </c>
      <c r="AE164">
        <f>IF(ISNUMBER(Z164),Z164*($AB$1/Z$2635),"")</f>
        <v/>
      </c>
      <c r="AF164" s="25">
        <f>IF(ISNUMBER(AD164+AE164),AD164+AE164,"")</f>
        <v/>
      </c>
      <c r="AH164" s="1">
        <f>A164</f>
        <v/>
      </c>
      <c r="AI164">
        <f>IF(ISNUMBER((1+V164)*AI163),(1+V164)*AI163,AI163)</f>
        <v/>
      </c>
      <c r="AJ164">
        <f>IF(ISNUMBER((1+Z164)*AJ163),(1+Z164)*AJ163,AJ163)</f>
        <v/>
      </c>
    </row>
    <row r="165">
      <c r="A165" s="1" t="n">
        <v>42241</v>
      </c>
      <c r="B165" s="3">
        <f>IF(ORIG!B165=0,"",ORIG!B165)</f>
        <v/>
      </c>
      <c r="C165" s="3">
        <f>IF(ORIG!C165=0,"",ORIG!C165)</f>
        <v/>
      </c>
      <c r="D165" s="3">
        <f>IF(ORIG!D165=0,"",ORIG!D165)</f>
        <v/>
      </c>
      <c r="E165" s="3">
        <f>IF(ORIG!E165=0,"",ORIG!E165)</f>
        <v/>
      </c>
      <c r="F165" s="3">
        <f>IF(ORIG!F165=0,"",ORIG!F165)</f>
        <v/>
      </c>
      <c r="G165" s="3">
        <f>IF(ORIG!G165=0,"",ORIG!G165)</f>
        <v/>
      </c>
      <c r="H165" s="3">
        <f>IF(ORIG!H165=0,"",ORIG!H165)</f>
        <v/>
      </c>
      <c r="I165" s="3">
        <f>IF(ORIG!I165=0,"",ORIG!I165)</f>
        <v/>
      </c>
      <c r="J165" s="3">
        <f>IF(ORIG!J165=0,"",ORIG!J165)</f>
        <v/>
      </c>
      <c r="K165" s="3">
        <f>IF(ORIG!K165=0,"",ORIG!K165)</f>
        <v/>
      </c>
      <c r="L165" s="3">
        <f>IF(ORIG!L165=0,"",ORIG!L165)</f>
        <v/>
      </c>
      <c r="M165" s="3">
        <f>IF(ORIG!M165=0,"",ORIG!M165)</f>
        <v/>
      </c>
      <c r="N165" s="3">
        <f>IF(ORIG!N165=0,"",ORIG!N165)</f>
        <v/>
      </c>
      <c r="O165" s="3">
        <f>IF(ORIG!O165=0,"",ORIG!O165)</f>
        <v/>
      </c>
      <c r="P165" s="3">
        <f>IF(ORIG!P165=0,"",ORIG!P165)</f>
        <v/>
      </c>
      <c r="Q165" s="3">
        <f>IF(ORIG!Q165=0,"",ORIG!Q165)</f>
        <v/>
      </c>
      <c r="R165" s="3">
        <f>IF(ORIG!R165=0,"",ORIG!R165)</f>
        <v/>
      </c>
      <c r="S165" s="3">
        <f>IF(ORIG!S165=0,"",ORIG!S165)</f>
        <v/>
      </c>
      <c r="T165" s="3">
        <f>IF(ORIG!T165=0,"",ORIG!T165)</f>
        <v/>
      </c>
      <c r="U165" s="3">
        <f>IF(ORIG!U165=0,"",ORIG!U165)</f>
        <v/>
      </c>
      <c r="V165" s="9">
        <f>IF(ORIG!V165=0,"",ORIG!V165)</f>
        <v/>
      </c>
      <c r="W165" s="9">
        <f>IF(ORIG!W165=0,"",ORIG!W165)</f>
        <v/>
      </c>
      <c r="X165" s="9">
        <f>IF(ORIG!X165=0,"",ORIG!X165)</f>
        <v/>
      </c>
      <c r="Y165" s="9">
        <f>IF(ORIG!Y165=0,"",ORIG!Y165)</f>
        <v/>
      </c>
      <c r="Z165" s="3">
        <f>SUMPRODUCT($B165:$Y165,$B$2649:$Y$2649)</f>
        <v/>
      </c>
      <c r="AA165" s="3">
        <f>SUMPRODUCT($B165:$Y165,$B$2655:$Y$2655)</f>
        <v/>
      </c>
      <c r="AC165" s="1">
        <f>A165</f>
        <v/>
      </c>
      <c r="AD165">
        <f>IF(ISNUMBER(V165),V165*($AB$1/V$2635),"")</f>
        <v/>
      </c>
      <c r="AE165">
        <f>IF(ISNUMBER(Z165),Z165*($AB$1/Z$2635),"")</f>
        <v/>
      </c>
      <c r="AF165" s="25">
        <f>IF(ISNUMBER(AD165+AE165),AD165+AE165,"")</f>
        <v/>
      </c>
      <c r="AH165" s="1">
        <f>A165</f>
        <v/>
      </c>
      <c r="AI165">
        <f>IF(ISNUMBER((1+V165)*AI164),(1+V165)*AI164,AI164)</f>
        <v/>
      </c>
      <c r="AJ165">
        <f>IF(ISNUMBER((1+Z165)*AJ164),(1+Z165)*AJ164,AJ164)</f>
        <v/>
      </c>
    </row>
    <row r="166">
      <c r="A166" s="1" t="n">
        <v>42242</v>
      </c>
      <c r="B166" s="3">
        <f>IF(ORIG!B166=0,"",ORIG!B166)</f>
        <v/>
      </c>
      <c r="C166" s="3">
        <f>IF(ORIG!C166=0,"",ORIG!C166)</f>
        <v/>
      </c>
      <c r="D166" s="3">
        <f>IF(ORIG!D166=0,"",ORIG!D166)</f>
        <v/>
      </c>
      <c r="E166" s="3">
        <f>IF(ORIG!E166=0,"",ORIG!E166)</f>
        <v/>
      </c>
      <c r="F166" s="3">
        <f>IF(ORIG!F166=0,"",ORIG!F166)</f>
        <v/>
      </c>
      <c r="G166" s="3">
        <f>IF(ORIG!G166=0,"",ORIG!G166)</f>
        <v/>
      </c>
      <c r="H166" s="3">
        <f>IF(ORIG!H166=0,"",ORIG!H166)</f>
        <v/>
      </c>
      <c r="I166" s="3">
        <f>IF(ORIG!I166=0,"",ORIG!I166)</f>
        <v/>
      </c>
      <c r="J166" s="3">
        <f>IF(ORIG!J166=0,"",ORIG!J166)</f>
        <v/>
      </c>
      <c r="K166" s="3">
        <f>IF(ORIG!K166=0,"",ORIG!K166)</f>
        <v/>
      </c>
      <c r="L166" s="3">
        <f>IF(ORIG!L166=0,"",ORIG!L166)</f>
        <v/>
      </c>
      <c r="M166" s="3">
        <f>IF(ORIG!M166=0,"",ORIG!M166)</f>
        <v/>
      </c>
      <c r="N166" s="3">
        <f>IF(ORIG!N166=0,"",ORIG!N166)</f>
        <v/>
      </c>
      <c r="O166" s="3">
        <f>IF(ORIG!O166=0,"",ORIG!O166)</f>
        <v/>
      </c>
      <c r="P166" s="3">
        <f>IF(ORIG!P166=0,"",ORIG!P166)</f>
        <v/>
      </c>
      <c r="Q166" s="3">
        <f>IF(ORIG!Q166=0,"",ORIG!Q166)</f>
        <v/>
      </c>
      <c r="R166" s="3">
        <f>IF(ORIG!R166=0,"",ORIG!R166)</f>
        <v/>
      </c>
      <c r="S166" s="3">
        <f>IF(ORIG!S166=0,"",ORIG!S166)</f>
        <v/>
      </c>
      <c r="T166" s="3">
        <f>IF(ORIG!T166=0,"",ORIG!T166)</f>
        <v/>
      </c>
      <c r="U166" s="3">
        <f>IF(ORIG!U166=0,"",ORIG!U166)</f>
        <v/>
      </c>
      <c r="V166" s="9">
        <f>IF(ORIG!V166=0,"",ORIG!V166)</f>
        <v/>
      </c>
      <c r="W166" s="9">
        <f>IF(ORIG!W166=0,"",ORIG!W166)</f>
        <v/>
      </c>
      <c r="X166" s="9">
        <f>IF(ORIG!X166=0,"",ORIG!X166)</f>
        <v/>
      </c>
      <c r="Y166" s="9">
        <f>IF(ORIG!Y166=0,"",ORIG!Y166)</f>
        <v/>
      </c>
      <c r="Z166" s="3">
        <f>SUMPRODUCT($B166:$Y166,$B$2649:$Y$2649)</f>
        <v/>
      </c>
      <c r="AA166" s="3">
        <f>SUMPRODUCT($B166:$Y166,$B$2655:$Y$2655)</f>
        <v/>
      </c>
      <c r="AC166" s="1">
        <f>A166</f>
        <v/>
      </c>
      <c r="AD166">
        <f>IF(ISNUMBER(V166),V166*($AB$1/V$2635),"")</f>
        <v/>
      </c>
      <c r="AE166">
        <f>IF(ISNUMBER(Z166),Z166*($AB$1/Z$2635),"")</f>
        <v/>
      </c>
      <c r="AF166" s="25">
        <f>IF(ISNUMBER(AD166+AE166),AD166+AE166,"")</f>
        <v/>
      </c>
      <c r="AH166" s="1">
        <f>A166</f>
        <v/>
      </c>
      <c r="AI166">
        <f>IF(ISNUMBER((1+V166)*AI165),(1+V166)*AI165,AI165)</f>
        <v/>
      </c>
      <c r="AJ166">
        <f>IF(ISNUMBER((1+Z166)*AJ165),(1+Z166)*AJ165,AJ165)</f>
        <v/>
      </c>
    </row>
    <row r="167">
      <c r="A167" s="1" t="n">
        <v>42243</v>
      </c>
      <c r="B167" s="3">
        <f>IF(ORIG!B167=0,"",ORIG!B167)</f>
        <v/>
      </c>
      <c r="C167" s="3">
        <f>IF(ORIG!C167=0,"",ORIG!C167)</f>
        <v/>
      </c>
      <c r="D167" s="3">
        <f>IF(ORIG!D167=0,"",ORIG!D167)</f>
        <v/>
      </c>
      <c r="E167" s="3">
        <f>IF(ORIG!E167=0,"",ORIG!E167)</f>
        <v/>
      </c>
      <c r="F167" s="3">
        <f>IF(ORIG!F167=0,"",ORIG!F167)</f>
        <v/>
      </c>
      <c r="G167" s="3">
        <f>IF(ORIG!G167=0,"",ORIG!G167)</f>
        <v/>
      </c>
      <c r="H167" s="3">
        <f>IF(ORIG!H167=0,"",ORIG!H167)</f>
        <v/>
      </c>
      <c r="I167" s="3">
        <f>IF(ORIG!I167=0,"",ORIG!I167)</f>
        <v/>
      </c>
      <c r="J167" s="3">
        <f>IF(ORIG!J167=0,"",ORIG!J167)</f>
        <v/>
      </c>
      <c r="K167" s="3">
        <f>IF(ORIG!K167=0,"",ORIG!K167)</f>
        <v/>
      </c>
      <c r="L167" s="3">
        <f>IF(ORIG!L167=0,"",ORIG!L167)</f>
        <v/>
      </c>
      <c r="M167" s="3">
        <f>IF(ORIG!M167=0,"",ORIG!M167)</f>
        <v/>
      </c>
      <c r="N167" s="3">
        <f>IF(ORIG!N167=0,"",ORIG!N167)</f>
        <v/>
      </c>
      <c r="O167" s="3">
        <f>IF(ORIG!O167=0,"",ORIG!O167)</f>
        <v/>
      </c>
      <c r="P167" s="3">
        <f>IF(ORIG!P167=0,"",ORIG!P167)</f>
        <v/>
      </c>
      <c r="Q167" s="3">
        <f>IF(ORIG!Q167=0,"",ORIG!Q167)</f>
        <v/>
      </c>
      <c r="R167" s="3">
        <f>IF(ORIG!R167=0,"",ORIG!R167)</f>
        <v/>
      </c>
      <c r="S167" s="3">
        <f>IF(ORIG!S167=0,"",ORIG!S167)</f>
        <v/>
      </c>
      <c r="T167" s="3">
        <f>IF(ORIG!T167=0,"",ORIG!T167)</f>
        <v/>
      </c>
      <c r="U167" s="3">
        <f>IF(ORIG!U167=0,"",ORIG!U167)</f>
        <v/>
      </c>
      <c r="V167" s="9">
        <f>IF(ORIG!V167=0,"",ORIG!V167)</f>
        <v/>
      </c>
      <c r="W167" s="9">
        <f>IF(ORIG!W167=0,"",ORIG!W167)</f>
        <v/>
      </c>
      <c r="X167" s="9">
        <f>IF(ORIG!X167=0,"",ORIG!X167)</f>
        <v/>
      </c>
      <c r="Y167" s="9">
        <f>IF(ORIG!Y167=0,"",ORIG!Y167)</f>
        <v/>
      </c>
      <c r="Z167" s="3">
        <f>SUMPRODUCT($B167:$Y167,$B$2649:$Y$2649)</f>
        <v/>
      </c>
      <c r="AA167" s="3">
        <f>SUMPRODUCT($B167:$Y167,$B$2655:$Y$2655)</f>
        <v/>
      </c>
      <c r="AC167" s="1">
        <f>A167</f>
        <v/>
      </c>
      <c r="AD167">
        <f>IF(ISNUMBER(V167),V167*($AB$1/V$2635),"")</f>
        <v/>
      </c>
      <c r="AE167">
        <f>IF(ISNUMBER(Z167),Z167*($AB$1/Z$2635),"")</f>
        <v/>
      </c>
      <c r="AF167" s="25">
        <f>IF(ISNUMBER(AD167+AE167),AD167+AE167,"")</f>
        <v/>
      </c>
      <c r="AH167" s="1">
        <f>A167</f>
        <v/>
      </c>
      <c r="AI167">
        <f>IF(ISNUMBER((1+V167)*AI166),(1+V167)*AI166,AI166)</f>
        <v/>
      </c>
      <c r="AJ167">
        <f>IF(ISNUMBER((1+Z167)*AJ166),(1+Z167)*AJ166,AJ166)</f>
        <v/>
      </c>
    </row>
    <row r="168">
      <c r="A168" s="1" t="n">
        <v>42244</v>
      </c>
      <c r="B168" s="3">
        <f>IF(ORIG!B168=0,"",ORIG!B168)</f>
        <v/>
      </c>
      <c r="C168" s="3">
        <f>IF(ORIG!C168=0,"",ORIG!C168)</f>
        <v/>
      </c>
      <c r="D168" s="3">
        <f>IF(ORIG!D168=0,"",ORIG!D168)</f>
        <v/>
      </c>
      <c r="E168" s="3">
        <f>IF(ORIG!E168=0,"",ORIG!E168)</f>
        <v/>
      </c>
      <c r="F168" s="3">
        <f>IF(ORIG!F168=0,"",ORIG!F168)</f>
        <v/>
      </c>
      <c r="G168" s="3">
        <f>IF(ORIG!G168=0,"",ORIG!G168)</f>
        <v/>
      </c>
      <c r="H168" s="3">
        <f>IF(ORIG!H168=0,"",ORIG!H168)</f>
        <v/>
      </c>
      <c r="I168" s="3">
        <f>IF(ORIG!I168=0,"",ORIG!I168)</f>
        <v/>
      </c>
      <c r="J168" s="3">
        <f>IF(ORIG!J168=0,"",ORIG!J168)</f>
        <v/>
      </c>
      <c r="K168" s="3">
        <f>IF(ORIG!K168=0,"",ORIG!K168)</f>
        <v/>
      </c>
      <c r="L168" s="3">
        <f>IF(ORIG!L168=0,"",ORIG!L168)</f>
        <v/>
      </c>
      <c r="M168" s="3">
        <f>IF(ORIG!M168=0,"",ORIG!M168)</f>
        <v/>
      </c>
      <c r="N168" s="3">
        <f>IF(ORIG!N168=0,"",ORIG!N168)</f>
        <v/>
      </c>
      <c r="O168" s="3">
        <f>IF(ORIG!O168=0,"",ORIG!O168)</f>
        <v/>
      </c>
      <c r="P168" s="3">
        <f>IF(ORIG!P168=0,"",ORIG!P168)</f>
        <v/>
      </c>
      <c r="Q168" s="3">
        <f>IF(ORIG!Q168=0,"",ORIG!Q168)</f>
        <v/>
      </c>
      <c r="R168" s="3">
        <f>IF(ORIG!R168=0,"",ORIG!R168)</f>
        <v/>
      </c>
      <c r="S168" s="3">
        <f>IF(ORIG!S168=0,"",ORIG!S168)</f>
        <v/>
      </c>
      <c r="T168" s="3">
        <f>IF(ORIG!T168=0,"",ORIG!T168)</f>
        <v/>
      </c>
      <c r="U168" s="3">
        <f>IF(ORIG!U168=0,"",ORIG!U168)</f>
        <v/>
      </c>
      <c r="V168" s="9">
        <f>IF(ORIG!V168=0,"",ORIG!V168)</f>
        <v/>
      </c>
      <c r="W168" s="9">
        <f>IF(ORIG!W168=0,"",ORIG!W168)</f>
        <v/>
      </c>
      <c r="X168" s="9">
        <f>IF(ORIG!X168=0,"",ORIG!X168)</f>
        <v/>
      </c>
      <c r="Y168" s="9">
        <f>IF(ORIG!Y168=0,"",ORIG!Y168)</f>
        <v/>
      </c>
      <c r="Z168" s="3">
        <f>SUMPRODUCT($B168:$Y168,$B$2649:$Y$2649)</f>
        <v/>
      </c>
      <c r="AA168" s="3">
        <f>SUMPRODUCT($B168:$Y168,$B$2655:$Y$2655)</f>
        <v/>
      </c>
      <c r="AC168" s="1">
        <f>A168</f>
        <v/>
      </c>
      <c r="AD168">
        <f>IF(ISNUMBER(V168),V168*($AB$1/V$2635),"")</f>
        <v/>
      </c>
      <c r="AE168">
        <f>IF(ISNUMBER(Z168),Z168*($AB$1/Z$2635),"")</f>
        <v/>
      </c>
      <c r="AF168" s="25">
        <f>IF(ISNUMBER(AD168+AE168),AD168+AE168,"")</f>
        <v/>
      </c>
      <c r="AH168" s="1">
        <f>A168</f>
        <v/>
      </c>
      <c r="AI168">
        <f>IF(ISNUMBER((1+V168)*AI167),(1+V168)*AI167,AI167)</f>
        <v/>
      </c>
      <c r="AJ168">
        <f>IF(ISNUMBER((1+Z168)*AJ167),(1+Z168)*AJ167,AJ167)</f>
        <v/>
      </c>
    </row>
    <row r="169">
      <c r="A169" s="1" t="n">
        <v>42247</v>
      </c>
      <c r="B169" s="3">
        <f>IF(ORIG!B169=0,"",ORIG!B169)</f>
        <v/>
      </c>
      <c r="C169" s="3">
        <f>IF(ORIG!C169=0,"",ORIG!C169)</f>
        <v/>
      </c>
      <c r="D169" s="3">
        <f>IF(ORIG!D169=0,"",ORIG!D169)</f>
        <v/>
      </c>
      <c r="E169" s="3">
        <f>IF(ORIG!E169=0,"",ORIG!E169)</f>
        <v/>
      </c>
      <c r="F169" s="3">
        <f>IF(ORIG!F169=0,"",ORIG!F169)</f>
        <v/>
      </c>
      <c r="G169" s="3">
        <f>IF(ORIG!G169=0,"",ORIG!G169)</f>
        <v/>
      </c>
      <c r="H169" s="3">
        <f>IF(ORIG!H169=0,"",ORIG!H169)</f>
        <v/>
      </c>
      <c r="I169" s="3">
        <f>IF(ORIG!I169=0,"",ORIG!I169)</f>
        <v/>
      </c>
      <c r="J169" s="3">
        <f>IF(ORIG!J169=0,"",ORIG!J169)</f>
        <v/>
      </c>
      <c r="K169" s="3">
        <f>IF(ORIG!K169=0,"",ORIG!K169)</f>
        <v/>
      </c>
      <c r="L169" s="3">
        <f>IF(ORIG!L169=0,"",ORIG!L169)</f>
        <v/>
      </c>
      <c r="M169" s="3">
        <f>IF(ORIG!M169=0,"",ORIG!M169)</f>
        <v/>
      </c>
      <c r="N169" s="3">
        <f>IF(ORIG!N169=0,"",ORIG!N169)</f>
        <v/>
      </c>
      <c r="O169" s="3">
        <f>IF(ORIG!O169=0,"",ORIG!O169)</f>
        <v/>
      </c>
      <c r="P169" s="3">
        <f>IF(ORIG!P169=0,"",ORIG!P169)</f>
        <v/>
      </c>
      <c r="Q169" s="3">
        <f>IF(ORIG!Q169=0,"",ORIG!Q169)</f>
        <v/>
      </c>
      <c r="R169" s="3">
        <f>IF(ORIG!R169=0,"",ORIG!R169)</f>
        <v/>
      </c>
      <c r="S169" s="3">
        <f>IF(ORIG!S169=0,"",ORIG!S169)</f>
        <v/>
      </c>
      <c r="T169" s="3">
        <f>IF(ORIG!T169=0,"",ORIG!T169)</f>
        <v/>
      </c>
      <c r="U169" s="3">
        <f>IF(ORIG!U169=0,"",ORIG!U169)</f>
        <v/>
      </c>
      <c r="V169" s="9">
        <f>IF(ORIG!V169=0,"",ORIG!V169)</f>
        <v/>
      </c>
      <c r="W169" s="9">
        <f>IF(ORIG!W169=0,"",ORIG!W169)</f>
        <v/>
      </c>
      <c r="X169" s="9">
        <f>IF(ORIG!X169=0,"",ORIG!X169)</f>
        <v/>
      </c>
      <c r="Y169" s="9">
        <f>IF(ORIG!Y169=0,"",ORIG!Y169)</f>
        <v/>
      </c>
      <c r="Z169" s="3">
        <f>SUMPRODUCT($B169:$Y169,$B$2649:$Y$2649)</f>
        <v/>
      </c>
      <c r="AA169" s="3">
        <f>SUMPRODUCT($B169:$Y169,$B$2655:$Y$2655)</f>
        <v/>
      </c>
      <c r="AC169" s="1">
        <f>A169</f>
        <v/>
      </c>
      <c r="AD169">
        <f>IF(ISNUMBER(V169),V169*($AB$1/V$2635),"")</f>
        <v/>
      </c>
      <c r="AE169">
        <f>IF(ISNUMBER(Z169),Z169*($AB$1/Z$2635),"")</f>
        <v/>
      </c>
      <c r="AF169" s="25">
        <f>IF(ISNUMBER(AD169+AE169),AD169+AE169,"")</f>
        <v/>
      </c>
      <c r="AH169" s="1">
        <f>A169</f>
        <v/>
      </c>
      <c r="AI169">
        <f>IF(ISNUMBER((1+V169)*AI168),(1+V169)*AI168,AI168)</f>
        <v/>
      </c>
      <c r="AJ169">
        <f>IF(ISNUMBER((1+Z169)*AJ168),(1+Z169)*AJ168,AJ168)</f>
        <v/>
      </c>
    </row>
    <row r="170">
      <c r="A170" s="1" t="n">
        <v>42248</v>
      </c>
      <c r="B170" s="3">
        <f>IF(ORIG!B170=0,"",ORIG!B170)</f>
        <v/>
      </c>
      <c r="C170" s="3">
        <f>IF(ORIG!C170=0,"",ORIG!C170)</f>
        <v/>
      </c>
      <c r="D170" s="3">
        <f>IF(ORIG!D170=0,"",ORIG!D170)</f>
        <v/>
      </c>
      <c r="E170" s="3">
        <f>IF(ORIG!E170=0,"",ORIG!E170)</f>
        <v/>
      </c>
      <c r="F170" s="3">
        <f>IF(ORIG!F170=0,"",ORIG!F170)</f>
        <v/>
      </c>
      <c r="G170" s="3">
        <f>IF(ORIG!G170=0,"",ORIG!G170)</f>
        <v/>
      </c>
      <c r="H170" s="3">
        <f>IF(ORIG!H170=0,"",ORIG!H170)</f>
        <v/>
      </c>
      <c r="I170" s="3">
        <f>IF(ORIG!I170=0,"",ORIG!I170)</f>
        <v/>
      </c>
      <c r="J170" s="3">
        <f>IF(ORIG!J170=0,"",ORIG!J170)</f>
        <v/>
      </c>
      <c r="K170" s="3">
        <f>IF(ORIG!K170=0,"",ORIG!K170)</f>
        <v/>
      </c>
      <c r="L170" s="3">
        <f>IF(ORIG!L170=0,"",ORIG!L170)</f>
        <v/>
      </c>
      <c r="M170" s="3">
        <f>IF(ORIG!M170=0,"",ORIG!M170)</f>
        <v/>
      </c>
      <c r="N170" s="3">
        <f>IF(ORIG!N170=0,"",ORIG!N170)</f>
        <v/>
      </c>
      <c r="O170" s="3">
        <f>IF(ORIG!O170=0,"",ORIG!O170)</f>
        <v/>
      </c>
      <c r="P170" s="3">
        <f>IF(ORIG!P170=0,"",ORIG!P170)</f>
        <v/>
      </c>
      <c r="Q170" s="3">
        <f>IF(ORIG!Q170=0,"",ORIG!Q170)</f>
        <v/>
      </c>
      <c r="R170" s="3">
        <f>IF(ORIG!R170=0,"",ORIG!R170)</f>
        <v/>
      </c>
      <c r="S170" s="3">
        <f>IF(ORIG!S170=0,"",ORIG!S170)</f>
        <v/>
      </c>
      <c r="T170" s="3">
        <f>IF(ORIG!T170=0,"",ORIG!T170)</f>
        <v/>
      </c>
      <c r="U170" s="3">
        <f>IF(ORIG!U170=0,"",ORIG!U170)</f>
        <v/>
      </c>
      <c r="V170" s="9">
        <f>IF(ORIG!V170=0,"",ORIG!V170)</f>
        <v/>
      </c>
      <c r="W170" s="9">
        <f>IF(ORIG!W170=0,"",ORIG!W170)</f>
        <v/>
      </c>
      <c r="X170" s="9">
        <f>IF(ORIG!X170=0,"",ORIG!X170)</f>
        <v/>
      </c>
      <c r="Y170" s="9">
        <f>IF(ORIG!Y170=0,"",ORIG!Y170)</f>
        <v/>
      </c>
      <c r="Z170" s="3">
        <f>SUMPRODUCT($B170:$Y170,$B$2649:$Y$2649)</f>
        <v/>
      </c>
      <c r="AA170" s="3">
        <f>SUMPRODUCT($B170:$Y170,$B$2655:$Y$2655)</f>
        <v/>
      </c>
      <c r="AC170" s="1">
        <f>A170</f>
        <v/>
      </c>
      <c r="AD170">
        <f>IF(ISNUMBER(V170),V170*($AB$1/V$2635),"")</f>
        <v/>
      </c>
      <c r="AE170">
        <f>IF(ISNUMBER(Z170),Z170*($AB$1/Z$2635),"")</f>
        <v/>
      </c>
      <c r="AF170" s="25">
        <f>IF(ISNUMBER(AD170+AE170),AD170+AE170,"")</f>
        <v/>
      </c>
      <c r="AH170" s="1">
        <f>A170</f>
        <v/>
      </c>
      <c r="AI170">
        <f>IF(ISNUMBER((1+V170)*AI169),(1+V170)*AI169,AI169)</f>
        <v/>
      </c>
      <c r="AJ170">
        <f>IF(ISNUMBER((1+Z170)*AJ169),(1+Z170)*AJ169,AJ169)</f>
        <v/>
      </c>
    </row>
    <row r="171">
      <c r="A171" s="1" t="n">
        <v>42249</v>
      </c>
      <c r="B171" s="3">
        <f>IF(ORIG!B171=0,"",ORIG!B171)</f>
        <v/>
      </c>
      <c r="C171" s="3">
        <f>IF(ORIG!C171=0,"",ORIG!C171)</f>
        <v/>
      </c>
      <c r="D171" s="3">
        <f>IF(ORIG!D171=0,"",ORIG!D171)</f>
        <v/>
      </c>
      <c r="E171" s="3">
        <f>IF(ORIG!E171=0,"",ORIG!E171)</f>
        <v/>
      </c>
      <c r="F171" s="3">
        <f>IF(ORIG!F171=0,"",ORIG!F171)</f>
        <v/>
      </c>
      <c r="G171" s="3">
        <f>IF(ORIG!G171=0,"",ORIG!G171)</f>
        <v/>
      </c>
      <c r="H171" s="3">
        <f>IF(ORIG!H171=0,"",ORIG!H171)</f>
        <v/>
      </c>
      <c r="I171" s="3">
        <f>IF(ORIG!I171=0,"",ORIG!I171)</f>
        <v/>
      </c>
      <c r="J171" s="3">
        <f>IF(ORIG!J171=0,"",ORIG!J171)</f>
        <v/>
      </c>
      <c r="K171" s="3">
        <f>IF(ORIG!K171=0,"",ORIG!K171)</f>
        <v/>
      </c>
      <c r="L171" s="3">
        <f>IF(ORIG!L171=0,"",ORIG!L171)</f>
        <v/>
      </c>
      <c r="M171" s="3">
        <f>IF(ORIG!M171=0,"",ORIG!M171)</f>
        <v/>
      </c>
      <c r="N171" s="3">
        <f>IF(ORIG!N171=0,"",ORIG!N171)</f>
        <v/>
      </c>
      <c r="O171" s="3">
        <f>IF(ORIG!O171=0,"",ORIG!O171)</f>
        <v/>
      </c>
      <c r="P171" s="3">
        <f>IF(ORIG!P171=0,"",ORIG!P171)</f>
        <v/>
      </c>
      <c r="Q171" s="3">
        <f>IF(ORIG!Q171=0,"",ORIG!Q171)</f>
        <v/>
      </c>
      <c r="R171" s="3">
        <f>IF(ORIG!R171=0,"",ORIG!R171)</f>
        <v/>
      </c>
      <c r="S171" s="3">
        <f>IF(ORIG!S171=0,"",ORIG!S171)</f>
        <v/>
      </c>
      <c r="T171" s="3">
        <f>IF(ORIG!T171=0,"",ORIG!T171)</f>
        <v/>
      </c>
      <c r="U171" s="3">
        <f>IF(ORIG!U171=0,"",ORIG!U171)</f>
        <v/>
      </c>
      <c r="V171" s="9">
        <f>IF(ORIG!V171=0,"",ORIG!V171)</f>
        <v/>
      </c>
      <c r="W171" s="9">
        <f>IF(ORIG!W171=0,"",ORIG!W171)</f>
        <v/>
      </c>
      <c r="X171" s="9">
        <f>IF(ORIG!X171=0,"",ORIG!X171)</f>
        <v/>
      </c>
      <c r="Y171" s="9">
        <f>IF(ORIG!Y171=0,"",ORIG!Y171)</f>
        <v/>
      </c>
      <c r="Z171" s="3">
        <f>SUMPRODUCT($B171:$Y171,$B$2649:$Y$2649)</f>
        <v/>
      </c>
      <c r="AA171" s="3">
        <f>SUMPRODUCT($B171:$Y171,$B$2655:$Y$2655)</f>
        <v/>
      </c>
      <c r="AC171" s="1">
        <f>A171</f>
        <v/>
      </c>
      <c r="AD171">
        <f>IF(ISNUMBER(V171),V171*($AB$1/V$2635),"")</f>
        <v/>
      </c>
      <c r="AE171">
        <f>IF(ISNUMBER(Z171),Z171*($AB$1/Z$2635),"")</f>
        <v/>
      </c>
      <c r="AF171" s="25">
        <f>IF(ISNUMBER(AD171+AE171),AD171+AE171,"")</f>
        <v/>
      </c>
      <c r="AH171" s="1">
        <f>A171</f>
        <v/>
      </c>
      <c r="AI171">
        <f>IF(ISNUMBER((1+V171)*AI170),(1+V171)*AI170,AI170)</f>
        <v/>
      </c>
      <c r="AJ171">
        <f>IF(ISNUMBER((1+Z171)*AJ170),(1+Z171)*AJ170,AJ170)</f>
        <v/>
      </c>
    </row>
    <row r="172">
      <c r="A172" s="1" t="n">
        <v>42250</v>
      </c>
      <c r="B172" s="3">
        <f>IF(ORIG!B172=0,"",ORIG!B172)</f>
        <v/>
      </c>
      <c r="C172" s="3">
        <f>IF(ORIG!C172=0,"",ORIG!C172)</f>
        <v/>
      </c>
      <c r="D172" s="3">
        <f>IF(ORIG!D172=0,"",ORIG!D172)</f>
        <v/>
      </c>
      <c r="E172" s="3">
        <f>IF(ORIG!E172=0,"",ORIG!E172)</f>
        <v/>
      </c>
      <c r="F172" s="3">
        <f>IF(ORIG!F172=0,"",ORIG!F172)</f>
        <v/>
      </c>
      <c r="G172" s="3">
        <f>IF(ORIG!G172=0,"",ORIG!G172)</f>
        <v/>
      </c>
      <c r="H172" s="3">
        <f>IF(ORIG!H172=0,"",ORIG!H172)</f>
        <v/>
      </c>
      <c r="I172" s="3">
        <f>IF(ORIG!I172=0,"",ORIG!I172)</f>
        <v/>
      </c>
      <c r="J172" s="3">
        <f>IF(ORIG!J172=0,"",ORIG!J172)</f>
        <v/>
      </c>
      <c r="K172" s="3">
        <f>IF(ORIG!K172=0,"",ORIG!K172)</f>
        <v/>
      </c>
      <c r="L172" s="3">
        <f>IF(ORIG!L172=0,"",ORIG!L172)</f>
        <v/>
      </c>
      <c r="M172" s="3">
        <f>IF(ORIG!M172=0,"",ORIG!M172)</f>
        <v/>
      </c>
      <c r="N172" s="3">
        <f>IF(ORIG!N172=0,"",ORIG!N172)</f>
        <v/>
      </c>
      <c r="O172" s="3">
        <f>IF(ORIG!O172=0,"",ORIG!O172)</f>
        <v/>
      </c>
      <c r="P172" s="3">
        <f>IF(ORIG!P172=0,"",ORIG!P172)</f>
        <v/>
      </c>
      <c r="Q172" s="3">
        <f>IF(ORIG!Q172=0,"",ORIG!Q172)</f>
        <v/>
      </c>
      <c r="R172" s="3">
        <f>IF(ORIG!R172=0,"",ORIG!R172)</f>
        <v/>
      </c>
      <c r="S172" s="3">
        <f>IF(ORIG!S172=0,"",ORIG!S172)</f>
        <v/>
      </c>
      <c r="T172" s="3">
        <f>IF(ORIG!T172=0,"",ORIG!T172)</f>
        <v/>
      </c>
      <c r="U172" s="3">
        <f>IF(ORIG!U172=0,"",ORIG!U172)</f>
        <v/>
      </c>
      <c r="V172" s="9">
        <f>IF(ORIG!V172=0,"",ORIG!V172)</f>
        <v/>
      </c>
      <c r="W172" s="9">
        <f>IF(ORIG!W172=0,"",ORIG!W172)</f>
        <v/>
      </c>
      <c r="X172" s="9">
        <f>IF(ORIG!X172=0,"",ORIG!X172)</f>
        <v/>
      </c>
      <c r="Y172" s="9">
        <f>IF(ORIG!Y172=0,"",ORIG!Y172)</f>
        <v/>
      </c>
      <c r="Z172" s="3">
        <f>SUMPRODUCT($B172:$Y172,$B$2649:$Y$2649)</f>
        <v/>
      </c>
      <c r="AA172" s="3">
        <f>SUMPRODUCT($B172:$Y172,$B$2655:$Y$2655)</f>
        <v/>
      </c>
      <c r="AC172" s="1">
        <f>A172</f>
        <v/>
      </c>
      <c r="AD172">
        <f>IF(ISNUMBER(V172),V172*($AB$1/V$2635),"")</f>
        <v/>
      </c>
      <c r="AE172">
        <f>IF(ISNUMBER(Z172),Z172*($AB$1/Z$2635),"")</f>
        <v/>
      </c>
      <c r="AF172" s="25">
        <f>IF(ISNUMBER(AD172+AE172),AD172+AE172,"")</f>
        <v/>
      </c>
      <c r="AH172" s="1">
        <f>A172</f>
        <v/>
      </c>
      <c r="AI172">
        <f>IF(ISNUMBER((1+V172)*AI171),(1+V172)*AI171,AI171)</f>
        <v/>
      </c>
      <c r="AJ172">
        <f>IF(ISNUMBER((1+Z172)*AJ171),(1+Z172)*AJ171,AJ171)</f>
        <v/>
      </c>
    </row>
    <row r="173">
      <c r="A173" s="1" t="n">
        <v>42251</v>
      </c>
      <c r="B173" s="3">
        <f>IF(ORIG!B173=0,"",ORIG!B173)</f>
        <v/>
      </c>
      <c r="C173" s="3">
        <f>IF(ORIG!C173=0,"",ORIG!C173)</f>
        <v/>
      </c>
      <c r="D173" s="3">
        <f>IF(ORIG!D173=0,"",ORIG!D173)</f>
        <v/>
      </c>
      <c r="E173" s="3">
        <f>IF(ORIG!E173=0,"",ORIG!E173)</f>
        <v/>
      </c>
      <c r="F173" s="3">
        <f>IF(ORIG!F173=0,"",ORIG!F173)</f>
        <v/>
      </c>
      <c r="G173" s="3">
        <f>IF(ORIG!G173=0,"",ORIG!G173)</f>
        <v/>
      </c>
      <c r="H173" s="3">
        <f>IF(ORIG!H173=0,"",ORIG!H173)</f>
        <v/>
      </c>
      <c r="I173" s="3">
        <f>IF(ORIG!I173=0,"",ORIG!I173)</f>
        <v/>
      </c>
      <c r="J173" s="3">
        <f>IF(ORIG!J173=0,"",ORIG!J173)</f>
        <v/>
      </c>
      <c r="K173" s="3">
        <f>IF(ORIG!K173=0,"",ORIG!K173)</f>
        <v/>
      </c>
      <c r="L173" s="3">
        <f>IF(ORIG!L173=0,"",ORIG!L173)</f>
        <v/>
      </c>
      <c r="M173" s="3">
        <f>IF(ORIG!M173=0,"",ORIG!M173)</f>
        <v/>
      </c>
      <c r="N173" s="3">
        <f>IF(ORIG!N173=0,"",ORIG!N173)</f>
        <v/>
      </c>
      <c r="O173" s="3">
        <f>IF(ORIG!O173=0,"",ORIG!O173)</f>
        <v/>
      </c>
      <c r="P173" s="3">
        <f>IF(ORIG!P173=0,"",ORIG!P173)</f>
        <v/>
      </c>
      <c r="Q173" s="3">
        <f>IF(ORIG!Q173=0,"",ORIG!Q173)</f>
        <v/>
      </c>
      <c r="R173" s="3">
        <f>IF(ORIG!R173=0,"",ORIG!R173)</f>
        <v/>
      </c>
      <c r="S173" s="3">
        <f>IF(ORIG!S173=0,"",ORIG!S173)</f>
        <v/>
      </c>
      <c r="T173" s="3">
        <f>IF(ORIG!T173=0,"",ORIG!T173)</f>
        <v/>
      </c>
      <c r="U173" s="3">
        <f>IF(ORIG!U173=0,"",ORIG!U173)</f>
        <v/>
      </c>
      <c r="V173" s="9">
        <f>IF(ORIG!V173=0,"",ORIG!V173)</f>
        <v/>
      </c>
      <c r="W173" s="9">
        <f>IF(ORIG!W173=0,"",ORIG!W173)</f>
        <v/>
      </c>
      <c r="X173" s="9">
        <f>IF(ORIG!X173=0,"",ORIG!X173)</f>
        <v/>
      </c>
      <c r="Y173" s="9">
        <f>IF(ORIG!Y173=0,"",ORIG!Y173)</f>
        <v/>
      </c>
      <c r="Z173" s="3">
        <f>SUMPRODUCT($B173:$Y173,$B$2649:$Y$2649)</f>
        <v/>
      </c>
      <c r="AA173" s="3">
        <f>SUMPRODUCT($B173:$Y173,$B$2655:$Y$2655)</f>
        <v/>
      </c>
      <c r="AC173" s="1">
        <f>A173</f>
        <v/>
      </c>
      <c r="AD173">
        <f>IF(ISNUMBER(V173),V173*($AB$1/V$2635),"")</f>
        <v/>
      </c>
      <c r="AE173">
        <f>IF(ISNUMBER(Z173),Z173*($AB$1/Z$2635),"")</f>
        <v/>
      </c>
      <c r="AF173" s="25">
        <f>IF(ISNUMBER(AD173+AE173),AD173+AE173,"")</f>
        <v/>
      </c>
      <c r="AH173" s="1">
        <f>A173</f>
        <v/>
      </c>
      <c r="AI173">
        <f>IF(ISNUMBER((1+V173)*AI172),(1+V173)*AI172,AI172)</f>
        <v/>
      </c>
      <c r="AJ173">
        <f>IF(ISNUMBER((1+Z173)*AJ172),(1+Z173)*AJ172,AJ172)</f>
        <v/>
      </c>
    </row>
    <row r="174">
      <c r="A174" s="1" t="n">
        <v>42255</v>
      </c>
      <c r="B174" s="3">
        <f>IF(ORIG!B174=0,"",ORIG!B174)</f>
        <v/>
      </c>
      <c r="C174" s="3">
        <f>IF(ORIG!C174=0,"",ORIG!C174)</f>
        <v/>
      </c>
      <c r="D174" s="3">
        <f>IF(ORIG!D174=0,"",ORIG!D174)</f>
        <v/>
      </c>
      <c r="E174" s="3">
        <f>IF(ORIG!E174=0,"",ORIG!E174)</f>
        <v/>
      </c>
      <c r="F174" s="3">
        <f>IF(ORIG!F174=0,"",ORIG!F174)</f>
        <v/>
      </c>
      <c r="G174" s="3">
        <f>IF(ORIG!G174=0,"",ORIG!G174)</f>
        <v/>
      </c>
      <c r="H174" s="3">
        <f>IF(ORIG!H174=0,"",ORIG!H174)</f>
        <v/>
      </c>
      <c r="I174" s="3">
        <f>IF(ORIG!I174=0,"",ORIG!I174)</f>
        <v/>
      </c>
      <c r="J174" s="3">
        <f>IF(ORIG!J174=0,"",ORIG!J174)</f>
        <v/>
      </c>
      <c r="K174" s="3">
        <f>IF(ORIG!K174=0,"",ORIG!K174)</f>
        <v/>
      </c>
      <c r="L174" s="3">
        <f>IF(ORIG!L174=0,"",ORIG!L174)</f>
        <v/>
      </c>
      <c r="M174" s="3">
        <f>IF(ORIG!M174=0,"",ORIG!M174)</f>
        <v/>
      </c>
      <c r="N174" s="3">
        <f>IF(ORIG!N174=0,"",ORIG!N174)</f>
        <v/>
      </c>
      <c r="O174" s="3">
        <f>IF(ORIG!O174=0,"",ORIG!O174)</f>
        <v/>
      </c>
      <c r="P174" s="3">
        <f>IF(ORIG!P174=0,"",ORIG!P174)</f>
        <v/>
      </c>
      <c r="Q174" s="3">
        <f>IF(ORIG!Q174=0,"",ORIG!Q174)</f>
        <v/>
      </c>
      <c r="R174" s="3">
        <f>IF(ORIG!R174=0,"",ORIG!R174)</f>
        <v/>
      </c>
      <c r="S174" s="3">
        <f>IF(ORIG!S174=0,"",ORIG!S174)</f>
        <v/>
      </c>
      <c r="T174" s="3">
        <f>IF(ORIG!T174=0,"",ORIG!T174)</f>
        <v/>
      </c>
      <c r="U174" s="3">
        <f>IF(ORIG!U174=0,"",ORIG!U174)</f>
        <v/>
      </c>
      <c r="V174" s="9">
        <f>IF(ORIG!V174=0,"",ORIG!V174)</f>
        <v/>
      </c>
      <c r="W174" s="9">
        <f>IF(ORIG!W174=0,"",ORIG!W174)</f>
        <v/>
      </c>
      <c r="X174" s="9">
        <f>IF(ORIG!X174=0,"",ORIG!X174)</f>
        <v/>
      </c>
      <c r="Y174" s="9">
        <f>IF(ORIG!Y174=0,"",ORIG!Y174)</f>
        <v/>
      </c>
      <c r="Z174" s="3">
        <f>SUMPRODUCT($B174:$Y174,$B$2649:$Y$2649)</f>
        <v/>
      </c>
      <c r="AA174" s="3">
        <f>SUMPRODUCT($B174:$Y174,$B$2655:$Y$2655)</f>
        <v/>
      </c>
      <c r="AC174" s="1">
        <f>A174</f>
        <v/>
      </c>
      <c r="AD174">
        <f>IF(ISNUMBER(V174),V174*($AB$1/V$2635),"")</f>
        <v/>
      </c>
      <c r="AE174">
        <f>IF(ISNUMBER(Z174),Z174*($AB$1/Z$2635),"")</f>
        <v/>
      </c>
      <c r="AF174" s="25">
        <f>IF(ISNUMBER(AD174+AE174),AD174+AE174,"")</f>
        <v/>
      </c>
      <c r="AH174" s="1">
        <f>A174</f>
        <v/>
      </c>
      <c r="AI174">
        <f>IF(ISNUMBER((1+V174)*AI173),(1+V174)*AI173,AI173)</f>
        <v/>
      </c>
      <c r="AJ174">
        <f>IF(ISNUMBER((1+Z174)*AJ173),(1+Z174)*AJ173,AJ173)</f>
        <v/>
      </c>
    </row>
    <row r="175">
      <c r="A175" s="1" t="n">
        <v>42256</v>
      </c>
      <c r="B175" s="3">
        <f>IF(ORIG!B175=0,"",ORIG!B175)</f>
        <v/>
      </c>
      <c r="C175" s="3">
        <f>IF(ORIG!C175=0,"",ORIG!C175)</f>
        <v/>
      </c>
      <c r="D175" s="3">
        <f>IF(ORIG!D175=0,"",ORIG!D175)</f>
        <v/>
      </c>
      <c r="E175" s="3">
        <f>IF(ORIG!E175=0,"",ORIG!E175)</f>
        <v/>
      </c>
      <c r="F175" s="3">
        <f>IF(ORIG!F175=0,"",ORIG!F175)</f>
        <v/>
      </c>
      <c r="G175" s="3">
        <f>IF(ORIG!G175=0,"",ORIG!G175)</f>
        <v/>
      </c>
      <c r="H175" s="3">
        <f>IF(ORIG!H175=0,"",ORIG!H175)</f>
        <v/>
      </c>
      <c r="I175" s="3">
        <f>IF(ORIG!I175=0,"",ORIG!I175)</f>
        <v/>
      </c>
      <c r="J175" s="3">
        <f>IF(ORIG!J175=0,"",ORIG!J175)</f>
        <v/>
      </c>
      <c r="K175" s="3">
        <f>IF(ORIG!K175=0,"",ORIG!K175)</f>
        <v/>
      </c>
      <c r="L175" s="3">
        <f>IF(ORIG!L175=0,"",ORIG!L175)</f>
        <v/>
      </c>
      <c r="M175" s="3">
        <f>IF(ORIG!M175=0,"",ORIG!M175)</f>
        <v/>
      </c>
      <c r="N175" s="3">
        <f>IF(ORIG!N175=0,"",ORIG!N175)</f>
        <v/>
      </c>
      <c r="O175" s="3">
        <f>IF(ORIG!O175=0,"",ORIG!O175)</f>
        <v/>
      </c>
      <c r="P175" s="3">
        <f>IF(ORIG!P175=0,"",ORIG!P175)</f>
        <v/>
      </c>
      <c r="Q175" s="3">
        <f>IF(ORIG!Q175=0,"",ORIG!Q175)</f>
        <v/>
      </c>
      <c r="R175" s="3">
        <f>IF(ORIG!R175=0,"",ORIG!R175)</f>
        <v/>
      </c>
      <c r="S175" s="3">
        <f>IF(ORIG!S175=0,"",ORIG!S175)</f>
        <v/>
      </c>
      <c r="T175" s="3">
        <f>IF(ORIG!T175=0,"",ORIG!T175)</f>
        <v/>
      </c>
      <c r="U175" s="3">
        <f>IF(ORIG!U175=0,"",ORIG!U175)</f>
        <v/>
      </c>
      <c r="V175" s="9">
        <f>IF(ORIG!V175=0,"",ORIG!V175)</f>
        <v/>
      </c>
      <c r="W175" s="9">
        <f>IF(ORIG!W175=0,"",ORIG!W175)</f>
        <v/>
      </c>
      <c r="X175" s="9">
        <f>IF(ORIG!X175=0,"",ORIG!X175)</f>
        <v/>
      </c>
      <c r="Y175" s="9">
        <f>IF(ORIG!Y175=0,"",ORIG!Y175)</f>
        <v/>
      </c>
      <c r="Z175" s="3">
        <f>SUMPRODUCT($B175:$Y175,$B$2649:$Y$2649)</f>
        <v/>
      </c>
      <c r="AA175" s="3">
        <f>SUMPRODUCT($B175:$Y175,$B$2655:$Y$2655)</f>
        <v/>
      </c>
      <c r="AC175" s="1">
        <f>A175</f>
        <v/>
      </c>
      <c r="AD175">
        <f>IF(ISNUMBER(V175),V175*($AB$1/V$2635),"")</f>
        <v/>
      </c>
      <c r="AE175">
        <f>IF(ISNUMBER(Z175),Z175*($AB$1/Z$2635),"")</f>
        <v/>
      </c>
      <c r="AF175" s="25">
        <f>IF(ISNUMBER(AD175+AE175),AD175+AE175,"")</f>
        <v/>
      </c>
      <c r="AH175" s="1">
        <f>A175</f>
        <v/>
      </c>
      <c r="AI175">
        <f>IF(ISNUMBER((1+V175)*AI174),(1+V175)*AI174,AI174)</f>
        <v/>
      </c>
      <c r="AJ175">
        <f>IF(ISNUMBER((1+Z175)*AJ174),(1+Z175)*AJ174,AJ174)</f>
        <v/>
      </c>
    </row>
    <row r="176">
      <c r="A176" s="1" t="n">
        <v>42257</v>
      </c>
      <c r="B176" s="3">
        <f>IF(ORIG!B176=0,"",ORIG!B176)</f>
        <v/>
      </c>
      <c r="C176" s="3">
        <f>IF(ORIG!C176=0,"",ORIG!C176)</f>
        <v/>
      </c>
      <c r="D176" s="3">
        <f>IF(ORIG!D176=0,"",ORIG!D176)</f>
        <v/>
      </c>
      <c r="E176" s="3">
        <f>IF(ORIG!E176=0,"",ORIG!E176)</f>
        <v/>
      </c>
      <c r="F176" s="3">
        <f>IF(ORIG!F176=0,"",ORIG!F176)</f>
        <v/>
      </c>
      <c r="G176" s="3">
        <f>IF(ORIG!G176=0,"",ORIG!G176)</f>
        <v/>
      </c>
      <c r="H176" s="3">
        <f>IF(ORIG!H176=0,"",ORIG!H176)</f>
        <v/>
      </c>
      <c r="I176" s="3">
        <f>IF(ORIG!I176=0,"",ORIG!I176)</f>
        <v/>
      </c>
      <c r="J176" s="3">
        <f>IF(ORIG!J176=0,"",ORIG!J176)</f>
        <v/>
      </c>
      <c r="K176" s="3">
        <f>IF(ORIG!K176=0,"",ORIG!K176)</f>
        <v/>
      </c>
      <c r="L176" s="3">
        <f>IF(ORIG!L176=0,"",ORIG!L176)</f>
        <v/>
      </c>
      <c r="M176" s="3">
        <f>IF(ORIG!M176=0,"",ORIG!M176)</f>
        <v/>
      </c>
      <c r="N176" s="3">
        <f>IF(ORIG!N176=0,"",ORIG!N176)</f>
        <v/>
      </c>
      <c r="O176" s="3">
        <f>IF(ORIG!O176=0,"",ORIG!O176)</f>
        <v/>
      </c>
      <c r="P176" s="3">
        <f>IF(ORIG!P176=0,"",ORIG!P176)</f>
        <v/>
      </c>
      <c r="Q176" s="3">
        <f>IF(ORIG!Q176=0,"",ORIG!Q176)</f>
        <v/>
      </c>
      <c r="R176" s="3">
        <f>IF(ORIG!R176=0,"",ORIG!R176)</f>
        <v/>
      </c>
      <c r="S176" s="3">
        <f>IF(ORIG!S176=0,"",ORIG!S176)</f>
        <v/>
      </c>
      <c r="T176" s="3">
        <f>IF(ORIG!T176=0,"",ORIG!T176)</f>
        <v/>
      </c>
      <c r="U176" s="3">
        <f>IF(ORIG!U176=0,"",ORIG!U176)</f>
        <v/>
      </c>
      <c r="V176" s="9">
        <f>IF(ORIG!V176=0,"",ORIG!V176)</f>
        <v/>
      </c>
      <c r="W176" s="9">
        <f>IF(ORIG!W176=0,"",ORIG!W176)</f>
        <v/>
      </c>
      <c r="X176" s="9">
        <f>IF(ORIG!X176=0,"",ORIG!X176)</f>
        <v/>
      </c>
      <c r="Y176" s="9">
        <f>IF(ORIG!Y176=0,"",ORIG!Y176)</f>
        <v/>
      </c>
      <c r="Z176" s="3">
        <f>SUMPRODUCT($B176:$Y176,$B$2649:$Y$2649)</f>
        <v/>
      </c>
      <c r="AA176" s="3">
        <f>SUMPRODUCT($B176:$Y176,$B$2655:$Y$2655)</f>
        <v/>
      </c>
      <c r="AC176" s="1">
        <f>A176</f>
        <v/>
      </c>
      <c r="AD176">
        <f>IF(ISNUMBER(V176),V176*($AB$1/V$2635),"")</f>
        <v/>
      </c>
      <c r="AE176">
        <f>IF(ISNUMBER(Z176),Z176*($AB$1/Z$2635),"")</f>
        <v/>
      </c>
      <c r="AF176" s="25">
        <f>IF(ISNUMBER(AD176+AE176),AD176+AE176,"")</f>
        <v/>
      </c>
      <c r="AH176" s="1">
        <f>A176</f>
        <v/>
      </c>
      <c r="AI176">
        <f>IF(ISNUMBER((1+V176)*AI175),(1+V176)*AI175,AI175)</f>
        <v/>
      </c>
      <c r="AJ176">
        <f>IF(ISNUMBER((1+Z176)*AJ175),(1+Z176)*AJ175,AJ175)</f>
        <v/>
      </c>
    </row>
    <row r="177">
      <c r="A177" s="1" t="n">
        <v>42258</v>
      </c>
      <c r="B177" s="3">
        <f>IF(ORIG!B177=0,"",ORIG!B177)</f>
        <v/>
      </c>
      <c r="C177" s="3">
        <f>IF(ORIG!C177=0,"",ORIG!C177)</f>
        <v/>
      </c>
      <c r="D177" s="3">
        <f>IF(ORIG!D177=0,"",ORIG!D177)</f>
        <v/>
      </c>
      <c r="E177" s="3">
        <f>IF(ORIG!E177=0,"",ORIG!E177)</f>
        <v/>
      </c>
      <c r="F177" s="3">
        <f>IF(ORIG!F177=0,"",ORIG!F177)</f>
        <v/>
      </c>
      <c r="G177" s="3">
        <f>IF(ORIG!G177=0,"",ORIG!G177)</f>
        <v/>
      </c>
      <c r="H177" s="3">
        <f>IF(ORIG!H177=0,"",ORIG!H177)</f>
        <v/>
      </c>
      <c r="I177" s="3">
        <f>IF(ORIG!I177=0,"",ORIG!I177)</f>
        <v/>
      </c>
      <c r="J177" s="3">
        <f>IF(ORIG!J177=0,"",ORIG!J177)</f>
        <v/>
      </c>
      <c r="K177" s="3">
        <f>IF(ORIG!K177=0,"",ORIG!K177)</f>
        <v/>
      </c>
      <c r="L177" s="3">
        <f>IF(ORIG!L177=0,"",ORIG!L177)</f>
        <v/>
      </c>
      <c r="M177" s="3">
        <f>IF(ORIG!M177=0,"",ORIG!M177)</f>
        <v/>
      </c>
      <c r="N177" s="3">
        <f>IF(ORIG!N177=0,"",ORIG!N177)</f>
        <v/>
      </c>
      <c r="O177" s="3">
        <f>IF(ORIG!O177=0,"",ORIG!O177)</f>
        <v/>
      </c>
      <c r="P177" s="3">
        <f>IF(ORIG!P177=0,"",ORIG!P177)</f>
        <v/>
      </c>
      <c r="Q177" s="3">
        <f>IF(ORIG!Q177=0,"",ORIG!Q177)</f>
        <v/>
      </c>
      <c r="R177" s="3">
        <f>IF(ORIG!R177=0,"",ORIG!R177)</f>
        <v/>
      </c>
      <c r="S177" s="3">
        <f>IF(ORIG!S177=0,"",ORIG!S177)</f>
        <v/>
      </c>
      <c r="T177" s="3">
        <f>IF(ORIG!T177=0,"",ORIG!T177)</f>
        <v/>
      </c>
      <c r="U177" s="3">
        <f>IF(ORIG!U177=0,"",ORIG!U177)</f>
        <v/>
      </c>
      <c r="V177" s="9">
        <f>IF(ORIG!V177=0,"",ORIG!V177)</f>
        <v/>
      </c>
      <c r="W177" s="9">
        <f>IF(ORIG!W177=0,"",ORIG!W177)</f>
        <v/>
      </c>
      <c r="X177" s="9">
        <f>IF(ORIG!X177=0,"",ORIG!X177)</f>
        <v/>
      </c>
      <c r="Y177" s="9">
        <f>IF(ORIG!Y177=0,"",ORIG!Y177)</f>
        <v/>
      </c>
      <c r="Z177" s="3">
        <f>SUMPRODUCT($B177:$Y177,$B$2649:$Y$2649)</f>
        <v/>
      </c>
      <c r="AA177" s="3">
        <f>SUMPRODUCT($B177:$Y177,$B$2655:$Y$2655)</f>
        <v/>
      </c>
      <c r="AC177" s="1">
        <f>A177</f>
        <v/>
      </c>
      <c r="AD177">
        <f>IF(ISNUMBER(V177),V177*($AB$1/V$2635),"")</f>
        <v/>
      </c>
      <c r="AE177">
        <f>IF(ISNUMBER(Z177),Z177*($AB$1/Z$2635),"")</f>
        <v/>
      </c>
      <c r="AF177" s="25">
        <f>IF(ISNUMBER(AD177+AE177),AD177+AE177,"")</f>
        <v/>
      </c>
      <c r="AH177" s="1">
        <f>A177</f>
        <v/>
      </c>
      <c r="AI177">
        <f>IF(ISNUMBER((1+V177)*AI176),(1+V177)*AI176,AI176)</f>
        <v/>
      </c>
      <c r="AJ177">
        <f>IF(ISNUMBER((1+Z177)*AJ176),(1+Z177)*AJ176,AJ176)</f>
        <v/>
      </c>
    </row>
    <row r="178">
      <c r="A178" s="1" t="n">
        <v>42261</v>
      </c>
      <c r="B178" s="3">
        <f>IF(ORIG!B178=0,"",ORIG!B178)</f>
        <v/>
      </c>
      <c r="C178" s="3">
        <f>IF(ORIG!C178=0,"",ORIG!C178)</f>
        <v/>
      </c>
      <c r="D178" s="3">
        <f>IF(ORIG!D178=0,"",ORIG!D178)</f>
        <v/>
      </c>
      <c r="E178" s="3">
        <f>IF(ORIG!E178=0,"",ORIG!E178)</f>
        <v/>
      </c>
      <c r="F178" s="3">
        <f>IF(ORIG!F178=0,"",ORIG!F178)</f>
        <v/>
      </c>
      <c r="G178" s="3">
        <f>IF(ORIG!G178=0,"",ORIG!G178)</f>
        <v/>
      </c>
      <c r="H178" s="3">
        <f>IF(ORIG!H178=0,"",ORIG!H178)</f>
        <v/>
      </c>
      <c r="I178" s="3">
        <f>IF(ORIG!I178=0,"",ORIG!I178)</f>
        <v/>
      </c>
      <c r="J178" s="3">
        <f>IF(ORIG!J178=0,"",ORIG!J178)</f>
        <v/>
      </c>
      <c r="K178" s="3">
        <f>IF(ORIG!K178=0,"",ORIG!K178)</f>
        <v/>
      </c>
      <c r="L178" s="3">
        <f>IF(ORIG!L178=0,"",ORIG!L178)</f>
        <v/>
      </c>
      <c r="M178" s="3">
        <f>IF(ORIG!M178=0,"",ORIG!M178)</f>
        <v/>
      </c>
      <c r="N178" s="3">
        <f>IF(ORIG!N178=0,"",ORIG!N178)</f>
        <v/>
      </c>
      <c r="O178" s="3">
        <f>IF(ORIG!O178=0,"",ORIG!O178)</f>
        <v/>
      </c>
      <c r="P178" s="3">
        <f>IF(ORIG!P178=0,"",ORIG!P178)</f>
        <v/>
      </c>
      <c r="Q178" s="3">
        <f>IF(ORIG!Q178=0,"",ORIG!Q178)</f>
        <v/>
      </c>
      <c r="R178" s="3">
        <f>IF(ORIG!R178=0,"",ORIG!R178)</f>
        <v/>
      </c>
      <c r="S178" s="3">
        <f>IF(ORIG!S178=0,"",ORIG!S178)</f>
        <v/>
      </c>
      <c r="T178" s="3">
        <f>IF(ORIG!T178=0,"",ORIG!T178)</f>
        <v/>
      </c>
      <c r="U178" s="3">
        <f>IF(ORIG!U178=0,"",ORIG!U178)</f>
        <v/>
      </c>
      <c r="V178" s="9">
        <f>IF(ORIG!V178=0,"",ORIG!V178)</f>
        <v/>
      </c>
      <c r="W178" s="9">
        <f>IF(ORIG!W178=0,"",ORIG!W178)</f>
        <v/>
      </c>
      <c r="X178" s="9">
        <f>IF(ORIG!X178=0,"",ORIG!X178)</f>
        <v/>
      </c>
      <c r="Y178" s="9">
        <f>IF(ORIG!Y178=0,"",ORIG!Y178)</f>
        <v/>
      </c>
      <c r="Z178" s="3">
        <f>SUMPRODUCT($B178:$Y178,$B$2649:$Y$2649)</f>
        <v/>
      </c>
      <c r="AA178" s="3">
        <f>SUMPRODUCT($B178:$Y178,$B$2655:$Y$2655)</f>
        <v/>
      </c>
      <c r="AC178" s="1">
        <f>A178</f>
        <v/>
      </c>
      <c r="AD178">
        <f>IF(ISNUMBER(V178),V178*($AB$1/V$2635),"")</f>
        <v/>
      </c>
      <c r="AE178">
        <f>IF(ISNUMBER(Z178),Z178*($AB$1/Z$2635),"")</f>
        <v/>
      </c>
      <c r="AF178" s="25">
        <f>IF(ISNUMBER(AD178+AE178),AD178+AE178,"")</f>
        <v/>
      </c>
      <c r="AH178" s="1">
        <f>A178</f>
        <v/>
      </c>
      <c r="AI178">
        <f>IF(ISNUMBER((1+V178)*AI177),(1+V178)*AI177,AI177)</f>
        <v/>
      </c>
      <c r="AJ178">
        <f>IF(ISNUMBER((1+Z178)*AJ177),(1+Z178)*AJ177,AJ177)</f>
        <v/>
      </c>
    </row>
    <row r="179">
      <c r="A179" s="1" t="n">
        <v>42262</v>
      </c>
      <c r="B179" s="3">
        <f>IF(ORIG!B179=0,"",ORIG!B179)</f>
        <v/>
      </c>
      <c r="C179" s="3">
        <f>IF(ORIG!C179=0,"",ORIG!C179)</f>
        <v/>
      </c>
      <c r="D179" s="3">
        <f>IF(ORIG!D179=0,"",ORIG!D179)</f>
        <v/>
      </c>
      <c r="E179" s="3">
        <f>IF(ORIG!E179=0,"",ORIG!E179)</f>
        <v/>
      </c>
      <c r="F179" s="3">
        <f>IF(ORIG!F179=0,"",ORIG!F179)</f>
        <v/>
      </c>
      <c r="G179" s="3">
        <f>IF(ORIG!G179=0,"",ORIG!G179)</f>
        <v/>
      </c>
      <c r="H179" s="3">
        <f>IF(ORIG!H179=0,"",ORIG!H179)</f>
        <v/>
      </c>
      <c r="I179" s="3">
        <f>IF(ORIG!I179=0,"",ORIG!I179)</f>
        <v/>
      </c>
      <c r="J179" s="3">
        <f>IF(ORIG!J179=0,"",ORIG!J179)</f>
        <v/>
      </c>
      <c r="K179" s="3">
        <f>IF(ORIG!K179=0,"",ORIG!K179)</f>
        <v/>
      </c>
      <c r="L179" s="3">
        <f>IF(ORIG!L179=0,"",ORIG!L179)</f>
        <v/>
      </c>
      <c r="M179" s="3">
        <f>IF(ORIG!M179=0,"",ORIG!M179)</f>
        <v/>
      </c>
      <c r="N179" s="3">
        <f>IF(ORIG!N179=0,"",ORIG!N179)</f>
        <v/>
      </c>
      <c r="O179" s="3">
        <f>IF(ORIG!O179=0,"",ORIG!O179)</f>
        <v/>
      </c>
      <c r="P179" s="3">
        <f>IF(ORIG!P179=0,"",ORIG!P179)</f>
        <v/>
      </c>
      <c r="Q179" s="3">
        <f>IF(ORIG!Q179=0,"",ORIG!Q179)</f>
        <v/>
      </c>
      <c r="R179" s="3">
        <f>IF(ORIG!R179=0,"",ORIG!R179)</f>
        <v/>
      </c>
      <c r="S179" s="3">
        <f>IF(ORIG!S179=0,"",ORIG!S179)</f>
        <v/>
      </c>
      <c r="T179" s="3">
        <f>IF(ORIG!T179=0,"",ORIG!T179)</f>
        <v/>
      </c>
      <c r="U179" s="3">
        <f>IF(ORIG!U179=0,"",ORIG!U179)</f>
        <v/>
      </c>
      <c r="V179" s="9">
        <f>IF(ORIG!V179=0,"",ORIG!V179)</f>
        <v/>
      </c>
      <c r="W179" s="9">
        <f>IF(ORIG!W179=0,"",ORIG!W179)</f>
        <v/>
      </c>
      <c r="X179" s="9">
        <f>IF(ORIG!X179=0,"",ORIG!X179)</f>
        <v/>
      </c>
      <c r="Y179" s="9">
        <f>IF(ORIG!Y179=0,"",ORIG!Y179)</f>
        <v/>
      </c>
      <c r="Z179" s="3">
        <f>SUMPRODUCT($B179:$Y179,$B$2649:$Y$2649)</f>
        <v/>
      </c>
      <c r="AA179" s="3">
        <f>SUMPRODUCT($B179:$Y179,$B$2655:$Y$2655)</f>
        <v/>
      </c>
      <c r="AC179" s="1">
        <f>A179</f>
        <v/>
      </c>
      <c r="AD179">
        <f>IF(ISNUMBER(V179),V179*($AB$1/V$2635),"")</f>
        <v/>
      </c>
      <c r="AE179">
        <f>IF(ISNUMBER(Z179),Z179*($AB$1/Z$2635),"")</f>
        <v/>
      </c>
      <c r="AF179" s="25">
        <f>IF(ISNUMBER(AD179+AE179),AD179+AE179,"")</f>
        <v/>
      </c>
      <c r="AH179" s="1">
        <f>A179</f>
        <v/>
      </c>
      <c r="AI179">
        <f>IF(ISNUMBER((1+V179)*AI178),(1+V179)*AI178,AI178)</f>
        <v/>
      </c>
      <c r="AJ179">
        <f>IF(ISNUMBER((1+Z179)*AJ178),(1+Z179)*AJ178,AJ178)</f>
        <v/>
      </c>
    </row>
    <row r="180">
      <c r="A180" s="1" t="n">
        <v>42263</v>
      </c>
      <c r="B180" s="3">
        <f>IF(ORIG!B180=0,"",ORIG!B180)</f>
        <v/>
      </c>
      <c r="C180" s="3">
        <f>IF(ORIG!C180=0,"",ORIG!C180)</f>
        <v/>
      </c>
      <c r="D180" s="3">
        <f>IF(ORIG!D180=0,"",ORIG!D180)</f>
        <v/>
      </c>
      <c r="E180" s="3">
        <f>IF(ORIG!E180=0,"",ORIG!E180)</f>
        <v/>
      </c>
      <c r="F180" s="3">
        <f>IF(ORIG!F180=0,"",ORIG!F180)</f>
        <v/>
      </c>
      <c r="G180" s="3">
        <f>IF(ORIG!G180=0,"",ORIG!G180)</f>
        <v/>
      </c>
      <c r="H180" s="3">
        <f>IF(ORIG!H180=0,"",ORIG!H180)</f>
        <v/>
      </c>
      <c r="I180" s="3">
        <f>IF(ORIG!I180=0,"",ORIG!I180)</f>
        <v/>
      </c>
      <c r="J180" s="3">
        <f>IF(ORIG!J180=0,"",ORIG!J180)</f>
        <v/>
      </c>
      <c r="K180" s="3">
        <f>IF(ORIG!K180=0,"",ORIG!K180)</f>
        <v/>
      </c>
      <c r="L180" s="3">
        <f>IF(ORIG!L180=0,"",ORIG!L180)</f>
        <v/>
      </c>
      <c r="M180" s="3">
        <f>IF(ORIG!M180=0,"",ORIG!M180)</f>
        <v/>
      </c>
      <c r="N180" s="3">
        <f>IF(ORIG!N180=0,"",ORIG!N180)</f>
        <v/>
      </c>
      <c r="O180" s="3">
        <f>IF(ORIG!O180=0,"",ORIG!O180)</f>
        <v/>
      </c>
      <c r="P180" s="3">
        <f>IF(ORIG!P180=0,"",ORIG!P180)</f>
        <v/>
      </c>
      <c r="Q180" s="3">
        <f>IF(ORIG!Q180=0,"",ORIG!Q180)</f>
        <v/>
      </c>
      <c r="R180" s="3">
        <f>IF(ORIG!R180=0,"",ORIG!R180)</f>
        <v/>
      </c>
      <c r="S180" s="3">
        <f>IF(ORIG!S180=0,"",ORIG!S180)</f>
        <v/>
      </c>
      <c r="T180" s="3">
        <f>IF(ORIG!T180=0,"",ORIG!T180)</f>
        <v/>
      </c>
      <c r="U180" s="3">
        <f>IF(ORIG!U180=0,"",ORIG!U180)</f>
        <v/>
      </c>
      <c r="V180" s="9">
        <f>IF(ORIG!V180=0,"",ORIG!V180)</f>
        <v/>
      </c>
      <c r="W180" s="9">
        <f>IF(ORIG!W180=0,"",ORIG!W180)</f>
        <v/>
      </c>
      <c r="X180" s="9">
        <f>IF(ORIG!X180=0,"",ORIG!X180)</f>
        <v/>
      </c>
      <c r="Y180" s="9">
        <f>IF(ORIG!Y180=0,"",ORIG!Y180)</f>
        <v/>
      </c>
      <c r="Z180" s="3">
        <f>SUMPRODUCT($B180:$Y180,$B$2649:$Y$2649)</f>
        <v/>
      </c>
      <c r="AA180" s="3">
        <f>SUMPRODUCT($B180:$Y180,$B$2655:$Y$2655)</f>
        <v/>
      </c>
      <c r="AC180" s="1">
        <f>A180</f>
        <v/>
      </c>
      <c r="AD180">
        <f>IF(ISNUMBER(V180),V180*($AB$1/V$2635),"")</f>
        <v/>
      </c>
      <c r="AE180">
        <f>IF(ISNUMBER(Z180),Z180*($AB$1/Z$2635),"")</f>
        <v/>
      </c>
      <c r="AF180" s="25">
        <f>IF(ISNUMBER(AD180+AE180),AD180+AE180,"")</f>
        <v/>
      </c>
      <c r="AH180" s="1">
        <f>A180</f>
        <v/>
      </c>
      <c r="AI180">
        <f>IF(ISNUMBER((1+V180)*AI179),(1+V180)*AI179,AI179)</f>
        <v/>
      </c>
      <c r="AJ180">
        <f>IF(ISNUMBER((1+Z180)*AJ179),(1+Z180)*AJ179,AJ179)</f>
        <v/>
      </c>
    </row>
    <row r="181">
      <c r="A181" s="1" t="n">
        <v>42264</v>
      </c>
      <c r="B181" s="3">
        <f>IF(ORIG!B181=0,"",ORIG!B181)</f>
        <v/>
      </c>
      <c r="C181" s="3">
        <f>IF(ORIG!C181=0,"",ORIG!C181)</f>
        <v/>
      </c>
      <c r="D181" s="3">
        <f>IF(ORIG!D181=0,"",ORIG!D181)</f>
        <v/>
      </c>
      <c r="E181" s="3">
        <f>IF(ORIG!E181=0,"",ORIG!E181)</f>
        <v/>
      </c>
      <c r="F181" s="3">
        <f>IF(ORIG!F181=0,"",ORIG!F181)</f>
        <v/>
      </c>
      <c r="G181" s="3">
        <f>IF(ORIG!G181=0,"",ORIG!G181)</f>
        <v/>
      </c>
      <c r="H181" s="3">
        <f>IF(ORIG!H181=0,"",ORIG!H181)</f>
        <v/>
      </c>
      <c r="I181" s="3">
        <f>IF(ORIG!I181=0,"",ORIG!I181)</f>
        <v/>
      </c>
      <c r="J181" s="3">
        <f>IF(ORIG!J181=0,"",ORIG!J181)</f>
        <v/>
      </c>
      <c r="K181" s="3">
        <f>IF(ORIG!K181=0,"",ORIG!K181)</f>
        <v/>
      </c>
      <c r="L181" s="3">
        <f>IF(ORIG!L181=0,"",ORIG!L181)</f>
        <v/>
      </c>
      <c r="M181" s="3">
        <f>IF(ORIG!M181=0,"",ORIG!M181)</f>
        <v/>
      </c>
      <c r="N181" s="3">
        <f>IF(ORIG!N181=0,"",ORIG!N181)</f>
        <v/>
      </c>
      <c r="O181" s="3">
        <f>IF(ORIG!O181=0,"",ORIG!O181)</f>
        <v/>
      </c>
      <c r="P181" s="3">
        <f>IF(ORIG!P181=0,"",ORIG!P181)</f>
        <v/>
      </c>
      <c r="Q181" s="3">
        <f>IF(ORIG!Q181=0,"",ORIG!Q181)</f>
        <v/>
      </c>
      <c r="R181" s="3">
        <f>IF(ORIG!R181=0,"",ORIG!R181)</f>
        <v/>
      </c>
      <c r="S181" s="3">
        <f>IF(ORIG!S181=0,"",ORIG!S181)</f>
        <v/>
      </c>
      <c r="T181" s="3">
        <f>IF(ORIG!T181=0,"",ORIG!T181)</f>
        <v/>
      </c>
      <c r="U181" s="3">
        <f>IF(ORIG!U181=0,"",ORIG!U181)</f>
        <v/>
      </c>
      <c r="V181" s="9">
        <f>IF(ORIG!V181=0,"",ORIG!V181)</f>
        <v/>
      </c>
      <c r="W181" s="9">
        <f>IF(ORIG!W181=0,"",ORIG!W181)</f>
        <v/>
      </c>
      <c r="X181" s="9">
        <f>IF(ORIG!X181=0,"",ORIG!X181)</f>
        <v/>
      </c>
      <c r="Y181" s="9">
        <f>IF(ORIG!Y181=0,"",ORIG!Y181)</f>
        <v/>
      </c>
      <c r="Z181" s="3">
        <f>SUMPRODUCT($B181:$Y181,$B$2649:$Y$2649)</f>
        <v/>
      </c>
      <c r="AA181" s="3">
        <f>SUMPRODUCT($B181:$Y181,$B$2655:$Y$2655)</f>
        <v/>
      </c>
      <c r="AC181" s="1">
        <f>A181</f>
        <v/>
      </c>
      <c r="AD181">
        <f>IF(ISNUMBER(V181),V181*($AB$1/V$2635),"")</f>
        <v/>
      </c>
      <c r="AE181">
        <f>IF(ISNUMBER(Z181),Z181*($AB$1/Z$2635),"")</f>
        <v/>
      </c>
      <c r="AF181" s="25">
        <f>IF(ISNUMBER(AD181+AE181),AD181+AE181,"")</f>
        <v/>
      </c>
      <c r="AH181" s="1">
        <f>A181</f>
        <v/>
      </c>
      <c r="AI181">
        <f>IF(ISNUMBER((1+V181)*AI180),(1+V181)*AI180,AI180)</f>
        <v/>
      </c>
      <c r="AJ181">
        <f>IF(ISNUMBER((1+Z181)*AJ180),(1+Z181)*AJ180,AJ180)</f>
        <v/>
      </c>
    </row>
    <row r="182">
      <c r="A182" s="1" t="n">
        <v>42265</v>
      </c>
      <c r="B182" s="3">
        <f>IF(ORIG!B182=0,"",ORIG!B182)</f>
        <v/>
      </c>
      <c r="C182" s="3">
        <f>IF(ORIG!C182=0,"",ORIG!C182)</f>
        <v/>
      </c>
      <c r="D182" s="3">
        <f>IF(ORIG!D182=0,"",ORIG!D182)</f>
        <v/>
      </c>
      <c r="E182" s="3">
        <f>IF(ORIG!E182=0,"",ORIG!E182)</f>
        <v/>
      </c>
      <c r="F182" s="3">
        <f>IF(ORIG!F182=0,"",ORIG!F182)</f>
        <v/>
      </c>
      <c r="G182" s="3">
        <f>IF(ORIG!G182=0,"",ORIG!G182)</f>
        <v/>
      </c>
      <c r="H182" s="3">
        <f>IF(ORIG!H182=0,"",ORIG!H182)</f>
        <v/>
      </c>
      <c r="I182" s="3">
        <f>IF(ORIG!I182=0,"",ORIG!I182)</f>
        <v/>
      </c>
      <c r="J182" s="3">
        <f>IF(ORIG!J182=0,"",ORIG!J182)</f>
        <v/>
      </c>
      <c r="K182" s="3">
        <f>IF(ORIG!K182=0,"",ORIG!K182)</f>
        <v/>
      </c>
      <c r="L182" s="3">
        <f>IF(ORIG!L182=0,"",ORIG!L182)</f>
        <v/>
      </c>
      <c r="M182" s="3">
        <f>IF(ORIG!M182=0,"",ORIG!M182)</f>
        <v/>
      </c>
      <c r="N182" s="3">
        <f>IF(ORIG!N182=0,"",ORIG!N182)</f>
        <v/>
      </c>
      <c r="O182" s="3">
        <f>IF(ORIG!O182=0,"",ORIG!O182)</f>
        <v/>
      </c>
      <c r="P182" s="3">
        <f>IF(ORIG!P182=0,"",ORIG!P182)</f>
        <v/>
      </c>
      <c r="Q182" s="3">
        <f>IF(ORIG!Q182=0,"",ORIG!Q182)</f>
        <v/>
      </c>
      <c r="R182" s="3">
        <f>IF(ORIG!R182=0,"",ORIG!R182)</f>
        <v/>
      </c>
      <c r="S182" s="3">
        <f>IF(ORIG!S182=0,"",ORIG!S182)</f>
        <v/>
      </c>
      <c r="T182" s="3">
        <f>IF(ORIG!T182=0,"",ORIG!T182)</f>
        <v/>
      </c>
      <c r="U182" s="3">
        <f>IF(ORIG!U182=0,"",ORIG!U182)</f>
        <v/>
      </c>
      <c r="V182" s="9">
        <f>IF(ORIG!V182=0,"",ORIG!V182)</f>
        <v/>
      </c>
      <c r="W182" s="9">
        <f>IF(ORIG!W182=0,"",ORIG!W182)</f>
        <v/>
      </c>
      <c r="X182" s="9">
        <f>IF(ORIG!X182=0,"",ORIG!X182)</f>
        <v/>
      </c>
      <c r="Y182" s="9">
        <f>IF(ORIG!Y182=0,"",ORIG!Y182)</f>
        <v/>
      </c>
      <c r="Z182" s="3">
        <f>SUMPRODUCT($B182:$Y182,$B$2649:$Y$2649)</f>
        <v/>
      </c>
      <c r="AA182" s="3">
        <f>SUMPRODUCT($B182:$Y182,$B$2655:$Y$2655)</f>
        <v/>
      </c>
      <c r="AC182" s="1">
        <f>A182</f>
        <v/>
      </c>
      <c r="AD182">
        <f>IF(ISNUMBER(V182),V182*($AB$1/V$2635),"")</f>
        <v/>
      </c>
      <c r="AE182">
        <f>IF(ISNUMBER(Z182),Z182*($AB$1/Z$2635),"")</f>
        <v/>
      </c>
      <c r="AF182" s="25">
        <f>IF(ISNUMBER(AD182+AE182),AD182+AE182,"")</f>
        <v/>
      </c>
      <c r="AH182" s="1">
        <f>A182</f>
        <v/>
      </c>
      <c r="AI182">
        <f>IF(ISNUMBER((1+V182)*AI181),(1+V182)*AI181,AI181)</f>
        <v/>
      </c>
      <c r="AJ182">
        <f>IF(ISNUMBER((1+Z182)*AJ181),(1+Z182)*AJ181,AJ181)</f>
        <v/>
      </c>
    </row>
    <row r="183">
      <c r="A183" s="1" t="n">
        <v>42268</v>
      </c>
      <c r="B183" s="3">
        <f>IF(ORIG!B183=0,"",ORIG!B183)</f>
        <v/>
      </c>
      <c r="C183" s="3">
        <f>IF(ORIG!C183=0,"",ORIG!C183)</f>
        <v/>
      </c>
      <c r="D183" s="3">
        <f>IF(ORIG!D183=0,"",ORIG!D183)</f>
        <v/>
      </c>
      <c r="E183" s="3">
        <f>IF(ORIG!E183=0,"",ORIG!E183)</f>
        <v/>
      </c>
      <c r="F183" s="3">
        <f>IF(ORIG!F183=0,"",ORIG!F183)</f>
        <v/>
      </c>
      <c r="G183" s="3">
        <f>IF(ORIG!G183=0,"",ORIG!G183)</f>
        <v/>
      </c>
      <c r="H183" s="3">
        <f>IF(ORIG!H183=0,"",ORIG!H183)</f>
        <v/>
      </c>
      <c r="I183" s="3">
        <f>IF(ORIG!I183=0,"",ORIG!I183)</f>
        <v/>
      </c>
      <c r="J183" s="3">
        <f>IF(ORIG!J183=0,"",ORIG!J183)</f>
        <v/>
      </c>
      <c r="K183" s="3">
        <f>IF(ORIG!K183=0,"",ORIG!K183)</f>
        <v/>
      </c>
      <c r="L183" s="3">
        <f>IF(ORIG!L183=0,"",ORIG!L183)</f>
        <v/>
      </c>
      <c r="M183" s="3">
        <f>IF(ORIG!M183=0,"",ORIG!M183)</f>
        <v/>
      </c>
      <c r="N183" s="3">
        <f>IF(ORIG!N183=0,"",ORIG!N183)</f>
        <v/>
      </c>
      <c r="O183" s="3">
        <f>IF(ORIG!O183=0,"",ORIG!O183)</f>
        <v/>
      </c>
      <c r="P183" s="3">
        <f>IF(ORIG!P183=0,"",ORIG!P183)</f>
        <v/>
      </c>
      <c r="Q183" s="3">
        <f>IF(ORIG!Q183=0,"",ORIG!Q183)</f>
        <v/>
      </c>
      <c r="R183" s="3">
        <f>IF(ORIG!R183=0,"",ORIG!R183)</f>
        <v/>
      </c>
      <c r="S183" s="3">
        <f>IF(ORIG!S183=0,"",ORIG!S183)</f>
        <v/>
      </c>
      <c r="T183" s="3">
        <f>IF(ORIG!T183=0,"",ORIG!T183)</f>
        <v/>
      </c>
      <c r="U183" s="3">
        <f>IF(ORIG!U183=0,"",ORIG!U183)</f>
        <v/>
      </c>
      <c r="V183" s="9">
        <f>IF(ORIG!V183=0,"",ORIG!V183)</f>
        <v/>
      </c>
      <c r="W183" s="9">
        <f>IF(ORIG!W183=0,"",ORIG!W183)</f>
        <v/>
      </c>
      <c r="X183" s="9">
        <f>IF(ORIG!X183=0,"",ORIG!X183)</f>
        <v/>
      </c>
      <c r="Y183" s="9">
        <f>IF(ORIG!Y183=0,"",ORIG!Y183)</f>
        <v/>
      </c>
      <c r="Z183" s="3">
        <f>SUMPRODUCT($B183:$Y183,$B$2649:$Y$2649)</f>
        <v/>
      </c>
      <c r="AA183" s="3">
        <f>SUMPRODUCT($B183:$Y183,$B$2655:$Y$2655)</f>
        <v/>
      </c>
      <c r="AC183" s="1">
        <f>A183</f>
        <v/>
      </c>
      <c r="AD183">
        <f>IF(ISNUMBER(V183),V183*($AB$1/V$2635),"")</f>
        <v/>
      </c>
      <c r="AE183">
        <f>IF(ISNUMBER(Z183),Z183*($AB$1/Z$2635),"")</f>
        <v/>
      </c>
      <c r="AF183" s="25">
        <f>IF(ISNUMBER(AD183+AE183),AD183+AE183,"")</f>
        <v/>
      </c>
      <c r="AH183" s="1">
        <f>A183</f>
        <v/>
      </c>
      <c r="AI183">
        <f>IF(ISNUMBER((1+V183)*AI182),(1+V183)*AI182,AI182)</f>
        <v/>
      </c>
      <c r="AJ183">
        <f>IF(ISNUMBER((1+Z183)*AJ182),(1+Z183)*AJ182,AJ182)</f>
        <v/>
      </c>
    </row>
    <row r="184">
      <c r="A184" s="1" t="n">
        <v>42269</v>
      </c>
      <c r="B184" s="3">
        <f>IF(ORIG!B184=0,"",ORIG!B184)</f>
        <v/>
      </c>
      <c r="C184" s="3">
        <f>IF(ORIG!C184=0,"",ORIG!C184)</f>
        <v/>
      </c>
      <c r="D184" s="3">
        <f>IF(ORIG!D184=0,"",ORIG!D184)</f>
        <v/>
      </c>
      <c r="E184" s="3">
        <f>IF(ORIG!E184=0,"",ORIG!E184)</f>
        <v/>
      </c>
      <c r="F184" s="3">
        <f>IF(ORIG!F184=0,"",ORIG!F184)</f>
        <v/>
      </c>
      <c r="G184" s="3">
        <f>IF(ORIG!G184=0,"",ORIG!G184)</f>
        <v/>
      </c>
      <c r="H184" s="3">
        <f>IF(ORIG!H184=0,"",ORIG!H184)</f>
        <v/>
      </c>
      <c r="I184" s="3">
        <f>IF(ORIG!I184=0,"",ORIG!I184)</f>
        <v/>
      </c>
      <c r="J184" s="3">
        <f>IF(ORIG!J184=0,"",ORIG!J184)</f>
        <v/>
      </c>
      <c r="K184" s="3">
        <f>IF(ORIG!K184=0,"",ORIG!K184)</f>
        <v/>
      </c>
      <c r="L184" s="3">
        <f>IF(ORIG!L184=0,"",ORIG!L184)</f>
        <v/>
      </c>
      <c r="M184" s="3">
        <f>IF(ORIG!M184=0,"",ORIG!M184)</f>
        <v/>
      </c>
      <c r="N184" s="3">
        <f>IF(ORIG!N184=0,"",ORIG!N184)</f>
        <v/>
      </c>
      <c r="O184" s="3">
        <f>IF(ORIG!O184=0,"",ORIG!O184)</f>
        <v/>
      </c>
      <c r="P184" s="3">
        <f>IF(ORIG!P184=0,"",ORIG!P184)</f>
        <v/>
      </c>
      <c r="Q184" s="3">
        <f>IF(ORIG!Q184=0,"",ORIG!Q184)</f>
        <v/>
      </c>
      <c r="R184" s="3">
        <f>IF(ORIG!R184=0,"",ORIG!R184)</f>
        <v/>
      </c>
      <c r="S184" s="3">
        <f>IF(ORIG!S184=0,"",ORIG!S184)</f>
        <v/>
      </c>
      <c r="T184" s="3">
        <f>IF(ORIG!T184=0,"",ORIG!T184)</f>
        <v/>
      </c>
      <c r="U184" s="3">
        <f>IF(ORIG!U184=0,"",ORIG!U184)</f>
        <v/>
      </c>
      <c r="V184" s="9">
        <f>IF(ORIG!V184=0,"",ORIG!V184)</f>
        <v/>
      </c>
      <c r="W184" s="9">
        <f>IF(ORIG!W184=0,"",ORIG!W184)</f>
        <v/>
      </c>
      <c r="X184" s="9">
        <f>IF(ORIG!X184=0,"",ORIG!X184)</f>
        <v/>
      </c>
      <c r="Y184" s="9">
        <f>IF(ORIG!Y184=0,"",ORIG!Y184)</f>
        <v/>
      </c>
      <c r="Z184" s="3">
        <f>SUMPRODUCT($B184:$Y184,$B$2649:$Y$2649)</f>
        <v/>
      </c>
      <c r="AA184" s="3">
        <f>SUMPRODUCT($B184:$Y184,$B$2655:$Y$2655)</f>
        <v/>
      </c>
      <c r="AC184" s="1">
        <f>A184</f>
        <v/>
      </c>
      <c r="AD184">
        <f>IF(ISNUMBER(V184),V184*($AB$1/V$2635),"")</f>
        <v/>
      </c>
      <c r="AE184">
        <f>IF(ISNUMBER(Z184),Z184*($AB$1/Z$2635),"")</f>
        <v/>
      </c>
      <c r="AF184" s="25">
        <f>IF(ISNUMBER(AD184+AE184),AD184+AE184,"")</f>
        <v/>
      </c>
      <c r="AH184" s="1">
        <f>A184</f>
        <v/>
      </c>
      <c r="AI184">
        <f>IF(ISNUMBER((1+V184)*AI183),(1+V184)*AI183,AI183)</f>
        <v/>
      </c>
      <c r="AJ184">
        <f>IF(ISNUMBER((1+Z184)*AJ183),(1+Z184)*AJ183,AJ183)</f>
        <v/>
      </c>
    </row>
    <row r="185">
      <c r="A185" s="1" t="n">
        <v>42270</v>
      </c>
      <c r="B185" s="3">
        <f>IF(ORIG!B185=0,"",ORIG!B185)</f>
        <v/>
      </c>
      <c r="C185" s="3">
        <f>IF(ORIG!C185=0,"",ORIG!C185)</f>
        <v/>
      </c>
      <c r="D185" s="3">
        <f>IF(ORIG!D185=0,"",ORIG!D185)</f>
        <v/>
      </c>
      <c r="E185" s="3">
        <f>IF(ORIG!E185=0,"",ORIG!E185)</f>
        <v/>
      </c>
      <c r="F185" s="3">
        <f>IF(ORIG!F185=0,"",ORIG!F185)</f>
        <v/>
      </c>
      <c r="G185" s="3">
        <f>IF(ORIG!G185=0,"",ORIG!G185)</f>
        <v/>
      </c>
      <c r="H185" s="3">
        <f>IF(ORIG!H185=0,"",ORIG!H185)</f>
        <v/>
      </c>
      <c r="I185" s="3">
        <f>IF(ORIG!I185=0,"",ORIG!I185)</f>
        <v/>
      </c>
      <c r="J185" s="3">
        <f>IF(ORIG!J185=0,"",ORIG!J185)</f>
        <v/>
      </c>
      <c r="K185" s="3">
        <f>IF(ORIG!K185=0,"",ORIG!K185)</f>
        <v/>
      </c>
      <c r="L185" s="3">
        <f>IF(ORIG!L185=0,"",ORIG!L185)</f>
        <v/>
      </c>
      <c r="M185" s="3">
        <f>IF(ORIG!M185=0,"",ORIG!M185)</f>
        <v/>
      </c>
      <c r="N185" s="3">
        <f>IF(ORIG!N185=0,"",ORIG!N185)</f>
        <v/>
      </c>
      <c r="O185" s="3">
        <f>IF(ORIG!O185=0,"",ORIG!O185)</f>
        <v/>
      </c>
      <c r="P185" s="3">
        <f>IF(ORIG!P185=0,"",ORIG!P185)</f>
        <v/>
      </c>
      <c r="Q185" s="3">
        <f>IF(ORIG!Q185=0,"",ORIG!Q185)</f>
        <v/>
      </c>
      <c r="R185" s="3">
        <f>IF(ORIG!R185=0,"",ORIG!R185)</f>
        <v/>
      </c>
      <c r="S185" s="3">
        <f>IF(ORIG!S185=0,"",ORIG!S185)</f>
        <v/>
      </c>
      <c r="T185" s="3">
        <f>IF(ORIG!T185=0,"",ORIG!T185)</f>
        <v/>
      </c>
      <c r="U185" s="3">
        <f>IF(ORIG!U185=0,"",ORIG!U185)</f>
        <v/>
      </c>
      <c r="V185" s="9">
        <f>IF(ORIG!V185=0,"",ORIG!V185)</f>
        <v/>
      </c>
      <c r="W185" s="9">
        <f>IF(ORIG!W185=0,"",ORIG!W185)</f>
        <v/>
      </c>
      <c r="X185" s="9">
        <f>IF(ORIG!X185=0,"",ORIG!X185)</f>
        <v/>
      </c>
      <c r="Y185" s="9">
        <f>IF(ORIG!Y185=0,"",ORIG!Y185)</f>
        <v/>
      </c>
      <c r="Z185" s="3">
        <f>SUMPRODUCT($B185:$Y185,$B$2649:$Y$2649)</f>
        <v/>
      </c>
      <c r="AA185" s="3">
        <f>SUMPRODUCT($B185:$Y185,$B$2655:$Y$2655)</f>
        <v/>
      </c>
      <c r="AC185" s="1">
        <f>A185</f>
        <v/>
      </c>
      <c r="AD185">
        <f>IF(ISNUMBER(V185),V185*($AB$1/V$2635),"")</f>
        <v/>
      </c>
      <c r="AE185">
        <f>IF(ISNUMBER(Z185),Z185*($AB$1/Z$2635),"")</f>
        <v/>
      </c>
      <c r="AF185" s="25">
        <f>IF(ISNUMBER(AD185+AE185),AD185+AE185,"")</f>
        <v/>
      </c>
      <c r="AH185" s="1">
        <f>A185</f>
        <v/>
      </c>
      <c r="AI185">
        <f>IF(ISNUMBER((1+V185)*AI184),(1+V185)*AI184,AI184)</f>
        <v/>
      </c>
      <c r="AJ185">
        <f>IF(ISNUMBER((1+Z185)*AJ184),(1+Z185)*AJ184,AJ184)</f>
        <v/>
      </c>
    </row>
    <row r="186">
      <c r="A186" s="1" t="n">
        <v>42271</v>
      </c>
      <c r="B186" s="3">
        <f>IF(ORIG!B186=0,"",ORIG!B186)</f>
        <v/>
      </c>
      <c r="C186" s="3">
        <f>IF(ORIG!C186=0,"",ORIG!C186)</f>
        <v/>
      </c>
      <c r="D186" s="3">
        <f>IF(ORIG!D186=0,"",ORIG!D186)</f>
        <v/>
      </c>
      <c r="E186" s="3">
        <f>IF(ORIG!E186=0,"",ORIG!E186)</f>
        <v/>
      </c>
      <c r="F186" s="3">
        <f>IF(ORIG!F186=0,"",ORIG!F186)</f>
        <v/>
      </c>
      <c r="G186" s="3">
        <f>IF(ORIG!G186=0,"",ORIG!G186)</f>
        <v/>
      </c>
      <c r="H186" s="3">
        <f>IF(ORIG!H186=0,"",ORIG!H186)</f>
        <v/>
      </c>
      <c r="I186" s="3">
        <f>IF(ORIG!I186=0,"",ORIG!I186)</f>
        <v/>
      </c>
      <c r="J186" s="3">
        <f>IF(ORIG!J186=0,"",ORIG!J186)</f>
        <v/>
      </c>
      <c r="K186" s="3">
        <f>IF(ORIG!K186=0,"",ORIG!K186)</f>
        <v/>
      </c>
      <c r="L186" s="3">
        <f>IF(ORIG!L186=0,"",ORIG!L186)</f>
        <v/>
      </c>
      <c r="M186" s="3">
        <f>IF(ORIG!M186=0,"",ORIG!M186)</f>
        <v/>
      </c>
      <c r="N186" s="3">
        <f>IF(ORIG!N186=0,"",ORIG!N186)</f>
        <v/>
      </c>
      <c r="O186" s="3">
        <f>IF(ORIG!O186=0,"",ORIG!O186)</f>
        <v/>
      </c>
      <c r="P186" s="3">
        <f>IF(ORIG!P186=0,"",ORIG!P186)</f>
        <v/>
      </c>
      <c r="Q186" s="3">
        <f>IF(ORIG!Q186=0,"",ORIG!Q186)</f>
        <v/>
      </c>
      <c r="R186" s="3">
        <f>IF(ORIG!R186=0,"",ORIG!R186)</f>
        <v/>
      </c>
      <c r="S186" s="3">
        <f>IF(ORIG!S186=0,"",ORIG!S186)</f>
        <v/>
      </c>
      <c r="T186" s="3">
        <f>IF(ORIG!T186=0,"",ORIG!T186)</f>
        <v/>
      </c>
      <c r="U186" s="3">
        <f>IF(ORIG!U186=0,"",ORIG!U186)</f>
        <v/>
      </c>
      <c r="V186" s="9">
        <f>IF(ORIG!V186=0,"",ORIG!V186)</f>
        <v/>
      </c>
      <c r="W186" s="9">
        <f>IF(ORIG!W186=0,"",ORIG!W186)</f>
        <v/>
      </c>
      <c r="X186" s="9">
        <f>IF(ORIG!X186=0,"",ORIG!X186)</f>
        <v/>
      </c>
      <c r="Y186" s="9">
        <f>IF(ORIG!Y186=0,"",ORIG!Y186)</f>
        <v/>
      </c>
      <c r="Z186" s="3">
        <f>SUMPRODUCT($B186:$Y186,$B$2649:$Y$2649)</f>
        <v/>
      </c>
      <c r="AA186" s="3">
        <f>SUMPRODUCT($B186:$Y186,$B$2655:$Y$2655)</f>
        <v/>
      </c>
      <c r="AC186" s="1">
        <f>A186</f>
        <v/>
      </c>
      <c r="AD186">
        <f>IF(ISNUMBER(V186),V186*($AB$1/V$2635),"")</f>
        <v/>
      </c>
      <c r="AE186">
        <f>IF(ISNUMBER(Z186),Z186*($AB$1/Z$2635),"")</f>
        <v/>
      </c>
      <c r="AF186" s="25">
        <f>IF(ISNUMBER(AD186+AE186),AD186+AE186,"")</f>
        <v/>
      </c>
      <c r="AH186" s="1">
        <f>A186</f>
        <v/>
      </c>
      <c r="AI186">
        <f>IF(ISNUMBER((1+V186)*AI185),(1+V186)*AI185,AI185)</f>
        <v/>
      </c>
      <c r="AJ186">
        <f>IF(ISNUMBER((1+Z186)*AJ185),(1+Z186)*AJ185,AJ185)</f>
        <v/>
      </c>
    </row>
    <row r="187">
      <c r="A187" s="1" t="n">
        <v>42272</v>
      </c>
      <c r="B187" s="3">
        <f>IF(ORIG!B187=0,"",ORIG!B187)</f>
        <v/>
      </c>
      <c r="C187" s="3">
        <f>IF(ORIG!C187=0,"",ORIG!C187)</f>
        <v/>
      </c>
      <c r="D187" s="3">
        <f>IF(ORIG!D187=0,"",ORIG!D187)</f>
        <v/>
      </c>
      <c r="E187" s="3">
        <f>IF(ORIG!E187=0,"",ORIG!E187)</f>
        <v/>
      </c>
      <c r="F187" s="3">
        <f>IF(ORIG!F187=0,"",ORIG!F187)</f>
        <v/>
      </c>
      <c r="G187" s="3">
        <f>IF(ORIG!G187=0,"",ORIG!G187)</f>
        <v/>
      </c>
      <c r="H187" s="3">
        <f>IF(ORIG!H187=0,"",ORIG!H187)</f>
        <v/>
      </c>
      <c r="I187" s="3">
        <f>IF(ORIG!I187=0,"",ORIG!I187)</f>
        <v/>
      </c>
      <c r="J187" s="3">
        <f>IF(ORIG!J187=0,"",ORIG!J187)</f>
        <v/>
      </c>
      <c r="K187" s="3">
        <f>IF(ORIG!K187=0,"",ORIG!K187)</f>
        <v/>
      </c>
      <c r="L187" s="3">
        <f>IF(ORIG!L187=0,"",ORIG!L187)</f>
        <v/>
      </c>
      <c r="M187" s="3">
        <f>IF(ORIG!M187=0,"",ORIG!M187)</f>
        <v/>
      </c>
      <c r="N187" s="3">
        <f>IF(ORIG!N187=0,"",ORIG!N187)</f>
        <v/>
      </c>
      <c r="O187" s="3">
        <f>IF(ORIG!O187=0,"",ORIG!O187)</f>
        <v/>
      </c>
      <c r="P187" s="3">
        <f>IF(ORIG!P187=0,"",ORIG!P187)</f>
        <v/>
      </c>
      <c r="Q187" s="3">
        <f>IF(ORIG!Q187=0,"",ORIG!Q187)</f>
        <v/>
      </c>
      <c r="R187" s="3">
        <f>IF(ORIG!R187=0,"",ORIG!R187)</f>
        <v/>
      </c>
      <c r="S187" s="3">
        <f>IF(ORIG!S187=0,"",ORIG!S187)</f>
        <v/>
      </c>
      <c r="T187" s="3">
        <f>IF(ORIG!T187=0,"",ORIG!T187)</f>
        <v/>
      </c>
      <c r="U187" s="3">
        <f>IF(ORIG!U187=0,"",ORIG!U187)</f>
        <v/>
      </c>
      <c r="V187" s="9">
        <f>IF(ORIG!V187=0,"",ORIG!V187)</f>
        <v/>
      </c>
      <c r="W187" s="9">
        <f>IF(ORIG!W187=0,"",ORIG!W187)</f>
        <v/>
      </c>
      <c r="X187" s="9">
        <f>IF(ORIG!X187=0,"",ORIG!X187)</f>
        <v/>
      </c>
      <c r="Y187" s="9">
        <f>IF(ORIG!Y187=0,"",ORIG!Y187)</f>
        <v/>
      </c>
      <c r="Z187" s="3">
        <f>SUMPRODUCT($B187:$Y187,$B$2649:$Y$2649)</f>
        <v/>
      </c>
      <c r="AA187" s="3">
        <f>SUMPRODUCT($B187:$Y187,$B$2655:$Y$2655)</f>
        <v/>
      </c>
      <c r="AC187" s="1">
        <f>A187</f>
        <v/>
      </c>
      <c r="AD187">
        <f>IF(ISNUMBER(V187),V187*($AB$1/V$2635),"")</f>
        <v/>
      </c>
      <c r="AE187">
        <f>IF(ISNUMBER(Z187),Z187*($AB$1/Z$2635),"")</f>
        <v/>
      </c>
      <c r="AF187" s="25">
        <f>IF(ISNUMBER(AD187+AE187),AD187+AE187,"")</f>
        <v/>
      </c>
      <c r="AH187" s="1">
        <f>A187</f>
        <v/>
      </c>
      <c r="AI187">
        <f>IF(ISNUMBER((1+V187)*AI186),(1+V187)*AI186,AI186)</f>
        <v/>
      </c>
      <c r="AJ187">
        <f>IF(ISNUMBER((1+Z187)*AJ186),(1+Z187)*AJ186,AJ186)</f>
        <v/>
      </c>
    </row>
    <row r="188">
      <c r="A188" s="1" t="n">
        <v>42275</v>
      </c>
      <c r="B188" s="3">
        <f>IF(ORIG!B188=0,"",ORIG!B188)</f>
        <v/>
      </c>
      <c r="C188" s="3">
        <f>IF(ORIG!C188=0,"",ORIG!C188)</f>
        <v/>
      </c>
      <c r="D188" s="3">
        <f>IF(ORIG!D188=0,"",ORIG!D188)</f>
        <v/>
      </c>
      <c r="E188" s="3">
        <f>IF(ORIG!E188=0,"",ORIG!E188)</f>
        <v/>
      </c>
      <c r="F188" s="3">
        <f>IF(ORIG!F188=0,"",ORIG!F188)</f>
        <v/>
      </c>
      <c r="G188" s="3">
        <f>IF(ORIG!G188=0,"",ORIG!G188)</f>
        <v/>
      </c>
      <c r="H188" s="3">
        <f>IF(ORIG!H188=0,"",ORIG!H188)</f>
        <v/>
      </c>
      <c r="I188" s="3">
        <f>IF(ORIG!I188=0,"",ORIG!I188)</f>
        <v/>
      </c>
      <c r="J188" s="3">
        <f>IF(ORIG!J188=0,"",ORIG!J188)</f>
        <v/>
      </c>
      <c r="K188" s="3">
        <f>IF(ORIG!K188=0,"",ORIG!K188)</f>
        <v/>
      </c>
      <c r="L188" s="3">
        <f>IF(ORIG!L188=0,"",ORIG!L188)</f>
        <v/>
      </c>
      <c r="M188" s="3">
        <f>IF(ORIG!M188=0,"",ORIG!M188)</f>
        <v/>
      </c>
      <c r="N188" s="3">
        <f>IF(ORIG!N188=0,"",ORIG!N188)</f>
        <v/>
      </c>
      <c r="O188" s="3">
        <f>IF(ORIG!O188=0,"",ORIG!O188)</f>
        <v/>
      </c>
      <c r="P188" s="3">
        <f>IF(ORIG!P188=0,"",ORIG!P188)</f>
        <v/>
      </c>
      <c r="Q188" s="3">
        <f>IF(ORIG!Q188=0,"",ORIG!Q188)</f>
        <v/>
      </c>
      <c r="R188" s="3">
        <f>IF(ORIG!R188=0,"",ORIG!R188)</f>
        <v/>
      </c>
      <c r="S188" s="3">
        <f>IF(ORIG!S188=0,"",ORIG!S188)</f>
        <v/>
      </c>
      <c r="T188" s="3">
        <f>IF(ORIG!T188=0,"",ORIG!T188)</f>
        <v/>
      </c>
      <c r="U188" s="3">
        <f>IF(ORIG!U188=0,"",ORIG!U188)</f>
        <v/>
      </c>
      <c r="V188" s="9">
        <f>IF(ORIG!V188=0,"",ORIG!V188)</f>
        <v/>
      </c>
      <c r="W188" s="9">
        <f>IF(ORIG!W188=0,"",ORIG!W188)</f>
        <v/>
      </c>
      <c r="X188" s="9">
        <f>IF(ORIG!X188=0,"",ORIG!X188)</f>
        <v/>
      </c>
      <c r="Y188" s="9">
        <f>IF(ORIG!Y188=0,"",ORIG!Y188)</f>
        <v/>
      </c>
      <c r="Z188" s="3">
        <f>SUMPRODUCT($B188:$Y188,$B$2649:$Y$2649)</f>
        <v/>
      </c>
      <c r="AA188" s="3">
        <f>SUMPRODUCT($B188:$Y188,$B$2655:$Y$2655)</f>
        <v/>
      </c>
      <c r="AC188" s="1">
        <f>A188</f>
        <v/>
      </c>
      <c r="AD188">
        <f>IF(ISNUMBER(V188),V188*($AB$1/V$2635),"")</f>
        <v/>
      </c>
      <c r="AE188">
        <f>IF(ISNUMBER(Z188),Z188*($AB$1/Z$2635),"")</f>
        <v/>
      </c>
      <c r="AF188" s="25">
        <f>IF(ISNUMBER(AD188+AE188),AD188+AE188,"")</f>
        <v/>
      </c>
      <c r="AH188" s="1">
        <f>A188</f>
        <v/>
      </c>
      <c r="AI188">
        <f>IF(ISNUMBER((1+V188)*AI187),(1+V188)*AI187,AI187)</f>
        <v/>
      </c>
      <c r="AJ188">
        <f>IF(ISNUMBER((1+Z188)*AJ187),(1+Z188)*AJ187,AJ187)</f>
        <v/>
      </c>
    </row>
    <row r="189">
      <c r="A189" s="1" t="n">
        <v>42276</v>
      </c>
      <c r="B189" s="3">
        <f>IF(ORIG!B189=0,"",ORIG!B189)</f>
        <v/>
      </c>
      <c r="C189" s="3">
        <f>IF(ORIG!C189=0,"",ORIG!C189)</f>
        <v/>
      </c>
      <c r="D189" s="3">
        <f>IF(ORIG!D189=0,"",ORIG!D189)</f>
        <v/>
      </c>
      <c r="E189" s="3">
        <f>IF(ORIG!E189=0,"",ORIG!E189)</f>
        <v/>
      </c>
      <c r="F189" s="3">
        <f>IF(ORIG!F189=0,"",ORIG!F189)</f>
        <v/>
      </c>
      <c r="G189" s="3">
        <f>IF(ORIG!G189=0,"",ORIG!G189)</f>
        <v/>
      </c>
      <c r="H189" s="3">
        <f>IF(ORIG!H189=0,"",ORIG!H189)</f>
        <v/>
      </c>
      <c r="I189" s="3">
        <f>IF(ORIG!I189=0,"",ORIG!I189)</f>
        <v/>
      </c>
      <c r="J189" s="3">
        <f>IF(ORIG!J189=0,"",ORIG!J189)</f>
        <v/>
      </c>
      <c r="K189" s="3">
        <f>IF(ORIG!K189=0,"",ORIG!K189)</f>
        <v/>
      </c>
      <c r="L189" s="3">
        <f>IF(ORIG!L189=0,"",ORIG!L189)</f>
        <v/>
      </c>
      <c r="M189" s="3">
        <f>IF(ORIG!M189=0,"",ORIG!M189)</f>
        <v/>
      </c>
      <c r="N189" s="3">
        <f>IF(ORIG!N189=0,"",ORIG!N189)</f>
        <v/>
      </c>
      <c r="O189" s="3">
        <f>IF(ORIG!O189=0,"",ORIG!O189)</f>
        <v/>
      </c>
      <c r="P189" s="3">
        <f>IF(ORIG!P189=0,"",ORIG!P189)</f>
        <v/>
      </c>
      <c r="Q189" s="3">
        <f>IF(ORIG!Q189=0,"",ORIG!Q189)</f>
        <v/>
      </c>
      <c r="R189" s="3">
        <f>IF(ORIG!R189=0,"",ORIG!R189)</f>
        <v/>
      </c>
      <c r="S189" s="3">
        <f>IF(ORIG!S189=0,"",ORIG!S189)</f>
        <v/>
      </c>
      <c r="T189" s="3">
        <f>IF(ORIG!T189=0,"",ORIG!T189)</f>
        <v/>
      </c>
      <c r="U189" s="3">
        <f>IF(ORIG!U189=0,"",ORIG!U189)</f>
        <v/>
      </c>
      <c r="V189" s="9">
        <f>IF(ORIG!V189=0,"",ORIG!V189)</f>
        <v/>
      </c>
      <c r="W189" s="9">
        <f>IF(ORIG!W189=0,"",ORIG!W189)</f>
        <v/>
      </c>
      <c r="X189" s="9">
        <f>IF(ORIG!X189=0,"",ORIG!X189)</f>
        <v/>
      </c>
      <c r="Y189" s="9">
        <f>IF(ORIG!Y189=0,"",ORIG!Y189)</f>
        <v/>
      </c>
      <c r="Z189" s="3">
        <f>SUMPRODUCT($B189:$Y189,$B$2649:$Y$2649)</f>
        <v/>
      </c>
      <c r="AA189" s="3">
        <f>SUMPRODUCT($B189:$Y189,$B$2655:$Y$2655)</f>
        <v/>
      </c>
      <c r="AC189" s="1">
        <f>A189</f>
        <v/>
      </c>
      <c r="AD189">
        <f>IF(ISNUMBER(V189),V189*($AB$1/V$2635),"")</f>
        <v/>
      </c>
      <c r="AE189">
        <f>IF(ISNUMBER(Z189),Z189*($AB$1/Z$2635),"")</f>
        <v/>
      </c>
      <c r="AF189" s="25">
        <f>IF(ISNUMBER(AD189+AE189),AD189+AE189,"")</f>
        <v/>
      </c>
      <c r="AH189" s="1">
        <f>A189</f>
        <v/>
      </c>
      <c r="AI189">
        <f>IF(ISNUMBER((1+V189)*AI188),(1+V189)*AI188,AI188)</f>
        <v/>
      </c>
      <c r="AJ189">
        <f>IF(ISNUMBER((1+Z189)*AJ188),(1+Z189)*AJ188,AJ188)</f>
        <v/>
      </c>
    </row>
    <row r="190">
      <c r="A190" s="1" t="n">
        <v>42277</v>
      </c>
      <c r="B190" s="3">
        <f>IF(ORIG!B190=0,"",ORIG!B190)</f>
        <v/>
      </c>
      <c r="C190" s="3">
        <f>IF(ORIG!C190=0,"",ORIG!C190)</f>
        <v/>
      </c>
      <c r="D190" s="3">
        <f>IF(ORIG!D190=0,"",ORIG!D190)</f>
        <v/>
      </c>
      <c r="E190" s="3">
        <f>IF(ORIG!E190=0,"",ORIG!E190)</f>
        <v/>
      </c>
      <c r="F190" s="3">
        <f>IF(ORIG!F190=0,"",ORIG!F190)</f>
        <v/>
      </c>
      <c r="G190" s="3">
        <f>IF(ORIG!G190=0,"",ORIG!G190)</f>
        <v/>
      </c>
      <c r="H190" s="3">
        <f>IF(ORIG!H190=0,"",ORIG!H190)</f>
        <v/>
      </c>
      <c r="I190" s="3">
        <f>IF(ORIG!I190=0,"",ORIG!I190)</f>
        <v/>
      </c>
      <c r="J190" s="3">
        <f>IF(ORIG!J190=0,"",ORIG!J190)</f>
        <v/>
      </c>
      <c r="K190" s="3">
        <f>IF(ORIG!K190=0,"",ORIG!K190)</f>
        <v/>
      </c>
      <c r="L190" s="3">
        <f>IF(ORIG!L190=0,"",ORIG!L190)</f>
        <v/>
      </c>
      <c r="M190" s="3">
        <f>IF(ORIG!M190=0,"",ORIG!M190)</f>
        <v/>
      </c>
      <c r="N190" s="3">
        <f>IF(ORIG!N190=0,"",ORIG!N190)</f>
        <v/>
      </c>
      <c r="O190" s="3">
        <f>IF(ORIG!O190=0,"",ORIG!O190)</f>
        <v/>
      </c>
      <c r="P190" s="3">
        <f>IF(ORIG!P190=0,"",ORIG!P190)</f>
        <v/>
      </c>
      <c r="Q190" s="3">
        <f>IF(ORIG!Q190=0,"",ORIG!Q190)</f>
        <v/>
      </c>
      <c r="R190" s="3">
        <f>IF(ORIG!R190=0,"",ORIG!R190)</f>
        <v/>
      </c>
      <c r="S190" s="3">
        <f>IF(ORIG!S190=0,"",ORIG!S190)</f>
        <v/>
      </c>
      <c r="T190" s="3">
        <f>IF(ORIG!T190=0,"",ORIG!T190)</f>
        <v/>
      </c>
      <c r="U190" s="3">
        <f>IF(ORIG!U190=0,"",ORIG!U190)</f>
        <v/>
      </c>
      <c r="V190" s="9">
        <f>IF(ORIG!V190=0,"",ORIG!V190)</f>
        <v/>
      </c>
      <c r="W190" s="9">
        <f>IF(ORIG!W190=0,"",ORIG!W190)</f>
        <v/>
      </c>
      <c r="X190" s="9">
        <f>IF(ORIG!X190=0,"",ORIG!X190)</f>
        <v/>
      </c>
      <c r="Y190" s="9">
        <f>IF(ORIG!Y190=0,"",ORIG!Y190)</f>
        <v/>
      </c>
      <c r="Z190" s="3">
        <f>SUMPRODUCT($B190:$Y190,$B$2649:$Y$2649)</f>
        <v/>
      </c>
      <c r="AA190" s="3">
        <f>SUMPRODUCT($B190:$Y190,$B$2655:$Y$2655)</f>
        <v/>
      </c>
      <c r="AC190" s="1">
        <f>A190</f>
        <v/>
      </c>
      <c r="AD190">
        <f>IF(ISNUMBER(V190),V190*($AB$1/V$2635),"")</f>
        <v/>
      </c>
      <c r="AE190">
        <f>IF(ISNUMBER(Z190),Z190*($AB$1/Z$2635),"")</f>
        <v/>
      </c>
      <c r="AF190" s="25">
        <f>IF(ISNUMBER(AD190+AE190),AD190+AE190,"")</f>
        <v/>
      </c>
      <c r="AH190" s="1">
        <f>A190</f>
        <v/>
      </c>
      <c r="AI190">
        <f>IF(ISNUMBER((1+V190)*AI189),(1+V190)*AI189,AI189)</f>
        <v/>
      </c>
      <c r="AJ190">
        <f>IF(ISNUMBER((1+Z190)*AJ189),(1+Z190)*AJ189,AJ189)</f>
        <v/>
      </c>
    </row>
    <row r="191">
      <c r="A191" s="1" t="n">
        <v>42278</v>
      </c>
      <c r="B191" s="3">
        <f>IF(ORIG!B191=0,"",ORIG!B191)</f>
        <v/>
      </c>
      <c r="C191" s="3">
        <f>IF(ORIG!C191=0,"",ORIG!C191)</f>
        <v/>
      </c>
      <c r="D191" s="3">
        <f>IF(ORIG!D191=0,"",ORIG!D191)</f>
        <v/>
      </c>
      <c r="E191" s="3">
        <f>IF(ORIG!E191=0,"",ORIG!E191)</f>
        <v/>
      </c>
      <c r="F191" s="3">
        <f>IF(ORIG!F191=0,"",ORIG!F191)</f>
        <v/>
      </c>
      <c r="G191" s="3">
        <f>IF(ORIG!G191=0,"",ORIG!G191)</f>
        <v/>
      </c>
      <c r="H191" s="3">
        <f>IF(ORIG!H191=0,"",ORIG!H191)</f>
        <v/>
      </c>
      <c r="I191" s="3">
        <f>IF(ORIG!I191=0,"",ORIG!I191)</f>
        <v/>
      </c>
      <c r="J191" s="3">
        <f>IF(ORIG!J191=0,"",ORIG!J191)</f>
        <v/>
      </c>
      <c r="K191" s="3">
        <f>IF(ORIG!K191=0,"",ORIG!K191)</f>
        <v/>
      </c>
      <c r="L191" s="3">
        <f>IF(ORIG!L191=0,"",ORIG!L191)</f>
        <v/>
      </c>
      <c r="M191" s="3">
        <f>IF(ORIG!M191=0,"",ORIG!M191)</f>
        <v/>
      </c>
      <c r="N191" s="3">
        <f>IF(ORIG!N191=0,"",ORIG!N191)</f>
        <v/>
      </c>
      <c r="O191" s="3">
        <f>IF(ORIG!O191=0,"",ORIG!O191)</f>
        <v/>
      </c>
      <c r="P191" s="3">
        <f>IF(ORIG!P191=0,"",ORIG!P191)</f>
        <v/>
      </c>
      <c r="Q191" s="3">
        <f>IF(ORIG!Q191=0,"",ORIG!Q191)</f>
        <v/>
      </c>
      <c r="R191" s="3">
        <f>IF(ORIG!R191=0,"",ORIG!R191)</f>
        <v/>
      </c>
      <c r="S191" s="3">
        <f>IF(ORIG!S191=0,"",ORIG!S191)</f>
        <v/>
      </c>
      <c r="T191" s="3">
        <f>IF(ORIG!T191=0,"",ORIG!T191)</f>
        <v/>
      </c>
      <c r="U191" s="3">
        <f>IF(ORIG!U191=0,"",ORIG!U191)</f>
        <v/>
      </c>
      <c r="V191" s="9">
        <f>IF(ORIG!V191=0,"",ORIG!V191)</f>
        <v/>
      </c>
      <c r="W191" s="9">
        <f>IF(ORIG!W191=0,"",ORIG!W191)</f>
        <v/>
      </c>
      <c r="X191" s="9">
        <f>IF(ORIG!X191=0,"",ORIG!X191)</f>
        <v/>
      </c>
      <c r="Y191" s="9">
        <f>IF(ORIG!Y191=0,"",ORIG!Y191)</f>
        <v/>
      </c>
      <c r="Z191" s="3">
        <f>SUMPRODUCT($B191:$Y191,$B$2649:$Y$2649)</f>
        <v/>
      </c>
      <c r="AA191" s="3">
        <f>SUMPRODUCT($B191:$Y191,$B$2655:$Y$2655)</f>
        <v/>
      </c>
      <c r="AC191" s="1">
        <f>A191</f>
        <v/>
      </c>
      <c r="AD191">
        <f>IF(ISNUMBER(V191),V191*($AB$1/V$2635),"")</f>
        <v/>
      </c>
      <c r="AE191">
        <f>IF(ISNUMBER(Z191),Z191*($AB$1/Z$2635),"")</f>
        <v/>
      </c>
      <c r="AF191" s="25">
        <f>IF(ISNUMBER(AD191+AE191),AD191+AE191,"")</f>
        <v/>
      </c>
      <c r="AH191" s="1">
        <f>A191</f>
        <v/>
      </c>
      <c r="AI191">
        <f>IF(ISNUMBER((1+V191)*AI190),(1+V191)*AI190,AI190)</f>
        <v/>
      </c>
      <c r="AJ191">
        <f>IF(ISNUMBER((1+Z191)*AJ190),(1+Z191)*AJ190,AJ190)</f>
        <v/>
      </c>
    </row>
    <row r="192">
      <c r="A192" s="1" t="n">
        <v>42279</v>
      </c>
      <c r="B192" s="3">
        <f>IF(ORIG!B192=0,"",ORIG!B192)</f>
        <v/>
      </c>
      <c r="C192" s="3">
        <f>IF(ORIG!C192=0,"",ORIG!C192)</f>
        <v/>
      </c>
      <c r="D192" s="3">
        <f>IF(ORIG!D192=0,"",ORIG!D192)</f>
        <v/>
      </c>
      <c r="E192" s="3">
        <f>IF(ORIG!E192=0,"",ORIG!E192)</f>
        <v/>
      </c>
      <c r="F192" s="3">
        <f>IF(ORIG!F192=0,"",ORIG!F192)</f>
        <v/>
      </c>
      <c r="G192" s="3">
        <f>IF(ORIG!G192=0,"",ORIG!G192)</f>
        <v/>
      </c>
      <c r="H192" s="3">
        <f>IF(ORIG!H192=0,"",ORIG!H192)</f>
        <v/>
      </c>
      <c r="I192" s="3">
        <f>IF(ORIG!I192=0,"",ORIG!I192)</f>
        <v/>
      </c>
      <c r="J192" s="3">
        <f>IF(ORIG!J192=0,"",ORIG!J192)</f>
        <v/>
      </c>
      <c r="K192" s="3">
        <f>IF(ORIG!K192=0,"",ORIG!K192)</f>
        <v/>
      </c>
      <c r="L192" s="3">
        <f>IF(ORIG!L192=0,"",ORIG!L192)</f>
        <v/>
      </c>
      <c r="M192" s="3">
        <f>IF(ORIG!M192=0,"",ORIG!M192)</f>
        <v/>
      </c>
      <c r="N192" s="3">
        <f>IF(ORIG!N192=0,"",ORIG!N192)</f>
        <v/>
      </c>
      <c r="O192" s="3">
        <f>IF(ORIG!O192=0,"",ORIG!O192)</f>
        <v/>
      </c>
      <c r="P192" s="3">
        <f>IF(ORIG!P192=0,"",ORIG!P192)</f>
        <v/>
      </c>
      <c r="Q192" s="3">
        <f>IF(ORIG!Q192=0,"",ORIG!Q192)</f>
        <v/>
      </c>
      <c r="R192" s="3">
        <f>IF(ORIG!R192=0,"",ORIG!R192)</f>
        <v/>
      </c>
      <c r="S192" s="3">
        <f>IF(ORIG!S192=0,"",ORIG!S192)</f>
        <v/>
      </c>
      <c r="T192" s="3">
        <f>IF(ORIG!T192=0,"",ORIG!T192)</f>
        <v/>
      </c>
      <c r="U192" s="3">
        <f>IF(ORIG!U192=0,"",ORIG!U192)</f>
        <v/>
      </c>
      <c r="V192" s="9">
        <f>IF(ORIG!V192=0,"",ORIG!V192)</f>
        <v/>
      </c>
      <c r="W192" s="9">
        <f>IF(ORIG!W192=0,"",ORIG!W192)</f>
        <v/>
      </c>
      <c r="X192" s="9">
        <f>IF(ORIG!X192=0,"",ORIG!X192)</f>
        <v/>
      </c>
      <c r="Y192" s="9">
        <f>IF(ORIG!Y192=0,"",ORIG!Y192)</f>
        <v/>
      </c>
      <c r="Z192" s="3">
        <f>SUMPRODUCT($B192:$Y192,$B$2649:$Y$2649)</f>
        <v/>
      </c>
      <c r="AA192" s="3">
        <f>SUMPRODUCT($B192:$Y192,$B$2655:$Y$2655)</f>
        <v/>
      </c>
      <c r="AC192" s="1">
        <f>A192</f>
        <v/>
      </c>
      <c r="AD192">
        <f>IF(ISNUMBER(V192),V192*($AB$1/V$2635),"")</f>
        <v/>
      </c>
      <c r="AE192">
        <f>IF(ISNUMBER(Z192),Z192*($AB$1/Z$2635),"")</f>
        <v/>
      </c>
      <c r="AF192" s="25">
        <f>IF(ISNUMBER(AD192+AE192),AD192+AE192,"")</f>
        <v/>
      </c>
      <c r="AH192" s="1">
        <f>A192</f>
        <v/>
      </c>
      <c r="AI192">
        <f>IF(ISNUMBER((1+V192)*AI191),(1+V192)*AI191,AI191)</f>
        <v/>
      </c>
      <c r="AJ192">
        <f>IF(ISNUMBER((1+Z192)*AJ191),(1+Z192)*AJ191,AJ191)</f>
        <v/>
      </c>
    </row>
    <row r="193">
      <c r="A193" s="1" t="n">
        <v>42282</v>
      </c>
      <c r="B193" s="3">
        <f>IF(ORIG!B193=0,"",ORIG!B193)</f>
        <v/>
      </c>
      <c r="C193" s="3">
        <f>IF(ORIG!C193=0,"",ORIG!C193)</f>
        <v/>
      </c>
      <c r="D193" s="3">
        <f>IF(ORIG!D193=0,"",ORIG!D193)</f>
        <v/>
      </c>
      <c r="E193" s="3">
        <f>IF(ORIG!E193=0,"",ORIG!E193)</f>
        <v/>
      </c>
      <c r="F193" s="3">
        <f>IF(ORIG!F193=0,"",ORIG!F193)</f>
        <v/>
      </c>
      <c r="G193" s="3">
        <f>IF(ORIG!G193=0,"",ORIG!G193)</f>
        <v/>
      </c>
      <c r="H193" s="3">
        <f>IF(ORIG!H193=0,"",ORIG!H193)</f>
        <v/>
      </c>
      <c r="I193" s="3">
        <f>IF(ORIG!I193=0,"",ORIG!I193)</f>
        <v/>
      </c>
      <c r="J193" s="3">
        <f>IF(ORIG!J193=0,"",ORIG!J193)</f>
        <v/>
      </c>
      <c r="K193" s="3">
        <f>IF(ORIG!K193=0,"",ORIG!K193)</f>
        <v/>
      </c>
      <c r="L193" s="3">
        <f>IF(ORIG!L193=0,"",ORIG!L193)</f>
        <v/>
      </c>
      <c r="M193" s="3">
        <f>IF(ORIG!M193=0,"",ORIG!M193)</f>
        <v/>
      </c>
      <c r="N193" s="3">
        <f>IF(ORIG!N193=0,"",ORIG!N193)</f>
        <v/>
      </c>
      <c r="O193" s="3">
        <f>IF(ORIG!O193=0,"",ORIG!O193)</f>
        <v/>
      </c>
      <c r="P193" s="3">
        <f>IF(ORIG!P193=0,"",ORIG!P193)</f>
        <v/>
      </c>
      <c r="Q193" s="3">
        <f>IF(ORIG!Q193=0,"",ORIG!Q193)</f>
        <v/>
      </c>
      <c r="R193" s="3">
        <f>IF(ORIG!R193=0,"",ORIG!R193)</f>
        <v/>
      </c>
      <c r="S193" s="3">
        <f>IF(ORIG!S193=0,"",ORIG!S193)</f>
        <v/>
      </c>
      <c r="T193" s="3">
        <f>IF(ORIG!T193=0,"",ORIG!T193)</f>
        <v/>
      </c>
      <c r="U193" s="3">
        <f>IF(ORIG!U193=0,"",ORIG!U193)</f>
        <v/>
      </c>
      <c r="V193" s="9">
        <f>IF(ORIG!V193=0,"",ORIG!V193)</f>
        <v/>
      </c>
      <c r="W193" s="9">
        <f>IF(ORIG!W193=0,"",ORIG!W193)</f>
        <v/>
      </c>
      <c r="X193" s="9">
        <f>IF(ORIG!X193=0,"",ORIG!X193)</f>
        <v/>
      </c>
      <c r="Y193" s="9">
        <f>IF(ORIG!Y193=0,"",ORIG!Y193)</f>
        <v/>
      </c>
      <c r="Z193" s="3">
        <f>SUMPRODUCT($B193:$Y193,$B$2649:$Y$2649)</f>
        <v/>
      </c>
      <c r="AA193" s="3">
        <f>SUMPRODUCT($B193:$Y193,$B$2655:$Y$2655)</f>
        <v/>
      </c>
      <c r="AC193" s="1">
        <f>A193</f>
        <v/>
      </c>
      <c r="AD193">
        <f>IF(ISNUMBER(V193),V193*($AB$1/V$2635),"")</f>
        <v/>
      </c>
      <c r="AE193">
        <f>IF(ISNUMBER(Z193),Z193*($AB$1/Z$2635),"")</f>
        <v/>
      </c>
      <c r="AF193" s="25">
        <f>IF(ISNUMBER(AD193+AE193),AD193+AE193,"")</f>
        <v/>
      </c>
      <c r="AH193" s="1">
        <f>A193</f>
        <v/>
      </c>
      <c r="AI193">
        <f>IF(ISNUMBER((1+V193)*AI192),(1+V193)*AI192,AI192)</f>
        <v/>
      </c>
      <c r="AJ193">
        <f>IF(ISNUMBER((1+Z193)*AJ192),(1+Z193)*AJ192,AJ192)</f>
        <v/>
      </c>
    </row>
    <row r="194">
      <c r="A194" s="1" t="n">
        <v>42283</v>
      </c>
      <c r="B194" s="3">
        <f>IF(ORIG!B194=0,"",ORIG!B194)</f>
        <v/>
      </c>
      <c r="C194" s="3">
        <f>IF(ORIG!C194=0,"",ORIG!C194)</f>
        <v/>
      </c>
      <c r="D194" s="3">
        <f>IF(ORIG!D194=0,"",ORIG!D194)</f>
        <v/>
      </c>
      <c r="E194" s="3">
        <f>IF(ORIG!E194=0,"",ORIG!E194)</f>
        <v/>
      </c>
      <c r="F194" s="3">
        <f>IF(ORIG!F194=0,"",ORIG!F194)</f>
        <v/>
      </c>
      <c r="G194" s="3">
        <f>IF(ORIG!G194=0,"",ORIG!G194)</f>
        <v/>
      </c>
      <c r="H194" s="3">
        <f>IF(ORIG!H194=0,"",ORIG!H194)</f>
        <v/>
      </c>
      <c r="I194" s="3">
        <f>IF(ORIG!I194=0,"",ORIG!I194)</f>
        <v/>
      </c>
      <c r="J194" s="3">
        <f>IF(ORIG!J194=0,"",ORIG!J194)</f>
        <v/>
      </c>
      <c r="K194" s="3">
        <f>IF(ORIG!K194=0,"",ORIG!K194)</f>
        <v/>
      </c>
      <c r="L194" s="3">
        <f>IF(ORIG!L194=0,"",ORIG!L194)</f>
        <v/>
      </c>
      <c r="M194" s="3">
        <f>IF(ORIG!M194=0,"",ORIG!M194)</f>
        <v/>
      </c>
      <c r="N194" s="3">
        <f>IF(ORIG!N194=0,"",ORIG!N194)</f>
        <v/>
      </c>
      <c r="O194" s="3">
        <f>IF(ORIG!O194=0,"",ORIG!O194)</f>
        <v/>
      </c>
      <c r="P194" s="3">
        <f>IF(ORIG!P194=0,"",ORIG!P194)</f>
        <v/>
      </c>
      <c r="Q194" s="3">
        <f>IF(ORIG!Q194=0,"",ORIG!Q194)</f>
        <v/>
      </c>
      <c r="R194" s="3">
        <f>IF(ORIG!R194=0,"",ORIG!R194)</f>
        <v/>
      </c>
      <c r="S194" s="3">
        <f>IF(ORIG!S194=0,"",ORIG!S194)</f>
        <v/>
      </c>
      <c r="T194" s="3">
        <f>IF(ORIG!T194=0,"",ORIG!T194)</f>
        <v/>
      </c>
      <c r="U194" s="3">
        <f>IF(ORIG!U194=0,"",ORIG!U194)</f>
        <v/>
      </c>
      <c r="V194" s="9">
        <f>IF(ORIG!V194=0,"",ORIG!V194)</f>
        <v/>
      </c>
      <c r="W194" s="9">
        <f>IF(ORIG!W194=0,"",ORIG!W194)</f>
        <v/>
      </c>
      <c r="X194" s="9">
        <f>IF(ORIG!X194=0,"",ORIG!X194)</f>
        <v/>
      </c>
      <c r="Y194" s="9">
        <f>IF(ORIG!Y194=0,"",ORIG!Y194)</f>
        <v/>
      </c>
      <c r="Z194" s="3">
        <f>SUMPRODUCT($B194:$Y194,$B$2649:$Y$2649)</f>
        <v/>
      </c>
      <c r="AA194" s="3">
        <f>SUMPRODUCT($B194:$Y194,$B$2655:$Y$2655)</f>
        <v/>
      </c>
      <c r="AC194" s="1">
        <f>A194</f>
        <v/>
      </c>
      <c r="AD194">
        <f>IF(ISNUMBER(V194),V194*($AB$1/V$2635),"")</f>
        <v/>
      </c>
      <c r="AE194">
        <f>IF(ISNUMBER(Z194),Z194*($AB$1/Z$2635),"")</f>
        <v/>
      </c>
      <c r="AF194" s="25">
        <f>IF(ISNUMBER(AD194+AE194),AD194+AE194,"")</f>
        <v/>
      </c>
      <c r="AH194" s="1">
        <f>A194</f>
        <v/>
      </c>
      <c r="AI194">
        <f>IF(ISNUMBER((1+V194)*AI193),(1+V194)*AI193,AI193)</f>
        <v/>
      </c>
      <c r="AJ194">
        <f>IF(ISNUMBER((1+Z194)*AJ193),(1+Z194)*AJ193,AJ193)</f>
        <v/>
      </c>
    </row>
    <row r="195">
      <c r="A195" s="1" t="n">
        <v>42284</v>
      </c>
      <c r="B195" s="3">
        <f>IF(ORIG!B195=0,"",ORIG!B195)</f>
        <v/>
      </c>
      <c r="C195" s="3">
        <f>IF(ORIG!C195=0,"",ORIG!C195)</f>
        <v/>
      </c>
      <c r="D195" s="3">
        <f>IF(ORIG!D195=0,"",ORIG!D195)</f>
        <v/>
      </c>
      <c r="E195" s="3">
        <f>IF(ORIG!E195=0,"",ORIG!E195)</f>
        <v/>
      </c>
      <c r="F195" s="3">
        <f>IF(ORIG!F195=0,"",ORIG!F195)</f>
        <v/>
      </c>
      <c r="G195" s="3">
        <f>IF(ORIG!G195=0,"",ORIG!G195)</f>
        <v/>
      </c>
      <c r="H195" s="3">
        <f>IF(ORIG!H195=0,"",ORIG!H195)</f>
        <v/>
      </c>
      <c r="I195" s="3">
        <f>IF(ORIG!I195=0,"",ORIG!I195)</f>
        <v/>
      </c>
      <c r="J195" s="3">
        <f>IF(ORIG!J195=0,"",ORIG!J195)</f>
        <v/>
      </c>
      <c r="K195" s="3">
        <f>IF(ORIG!K195=0,"",ORIG!K195)</f>
        <v/>
      </c>
      <c r="L195" s="3">
        <f>IF(ORIG!L195=0,"",ORIG!L195)</f>
        <v/>
      </c>
      <c r="M195" s="3">
        <f>IF(ORIG!M195=0,"",ORIG!M195)</f>
        <v/>
      </c>
      <c r="N195" s="3">
        <f>IF(ORIG!N195=0,"",ORIG!N195)</f>
        <v/>
      </c>
      <c r="O195" s="3">
        <f>IF(ORIG!O195=0,"",ORIG!O195)</f>
        <v/>
      </c>
      <c r="P195" s="3">
        <f>IF(ORIG!P195=0,"",ORIG!P195)</f>
        <v/>
      </c>
      <c r="Q195" s="3">
        <f>IF(ORIG!Q195=0,"",ORIG!Q195)</f>
        <v/>
      </c>
      <c r="R195" s="3">
        <f>IF(ORIG!R195=0,"",ORIG!R195)</f>
        <v/>
      </c>
      <c r="S195" s="3">
        <f>IF(ORIG!S195=0,"",ORIG!S195)</f>
        <v/>
      </c>
      <c r="T195" s="3">
        <f>IF(ORIG!T195=0,"",ORIG!T195)</f>
        <v/>
      </c>
      <c r="U195" s="3">
        <f>IF(ORIG!U195=0,"",ORIG!U195)</f>
        <v/>
      </c>
      <c r="V195" s="9">
        <f>IF(ORIG!V195=0,"",ORIG!V195)</f>
        <v/>
      </c>
      <c r="W195" s="9">
        <f>IF(ORIG!W195=0,"",ORIG!W195)</f>
        <v/>
      </c>
      <c r="X195" s="9">
        <f>IF(ORIG!X195=0,"",ORIG!X195)</f>
        <v/>
      </c>
      <c r="Y195" s="9">
        <f>IF(ORIG!Y195=0,"",ORIG!Y195)</f>
        <v/>
      </c>
      <c r="Z195" s="3">
        <f>SUMPRODUCT($B195:$Y195,$B$2649:$Y$2649)</f>
        <v/>
      </c>
      <c r="AA195" s="3">
        <f>SUMPRODUCT($B195:$Y195,$B$2655:$Y$2655)</f>
        <v/>
      </c>
      <c r="AC195" s="1">
        <f>A195</f>
        <v/>
      </c>
      <c r="AD195">
        <f>IF(ISNUMBER(V195),V195*($AB$1/V$2635),"")</f>
        <v/>
      </c>
      <c r="AE195">
        <f>IF(ISNUMBER(Z195),Z195*($AB$1/Z$2635),"")</f>
        <v/>
      </c>
      <c r="AF195" s="25">
        <f>IF(ISNUMBER(AD195+AE195),AD195+AE195,"")</f>
        <v/>
      </c>
      <c r="AH195" s="1">
        <f>A195</f>
        <v/>
      </c>
      <c r="AI195">
        <f>IF(ISNUMBER((1+V195)*AI194),(1+V195)*AI194,AI194)</f>
        <v/>
      </c>
      <c r="AJ195">
        <f>IF(ISNUMBER((1+Z195)*AJ194),(1+Z195)*AJ194,AJ194)</f>
        <v/>
      </c>
    </row>
    <row r="196">
      <c r="A196" s="1" t="n">
        <v>42285</v>
      </c>
      <c r="B196" s="3">
        <f>IF(ORIG!B196=0,"",ORIG!B196)</f>
        <v/>
      </c>
      <c r="C196" s="3">
        <f>IF(ORIG!C196=0,"",ORIG!C196)</f>
        <v/>
      </c>
      <c r="D196" s="3">
        <f>IF(ORIG!D196=0,"",ORIG!D196)</f>
        <v/>
      </c>
      <c r="E196" s="3">
        <f>IF(ORIG!E196=0,"",ORIG!E196)</f>
        <v/>
      </c>
      <c r="F196" s="3">
        <f>IF(ORIG!F196=0,"",ORIG!F196)</f>
        <v/>
      </c>
      <c r="G196" s="3">
        <f>IF(ORIG!G196=0,"",ORIG!G196)</f>
        <v/>
      </c>
      <c r="H196" s="3">
        <f>IF(ORIG!H196=0,"",ORIG!H196)</f>
        <v/>
      </c>
      <c r="I196" s="3">
        <f>IF(ORIG!I196=0,"",ORIG!I196)</f>
        <v/>
      </c>
      <c r="J196" s="3">
        <f>IF(ORIG!J196=0,"",ORIG!J196)</f>
        <v/>
      </c>
      <c r="K196" s="3">
        <f>IF(ORIG!K196=0,"",ORIG!K196)</f>
        <v/>
      </c>
      <c r="L196" s="3">
        <f>IF(ORIG!L196=0,"",ORIG!L196)</f>
        <v/>
      </c>
      <c r="M196" s="3">
        <f>IF(ORIG!M196=0,"",ORIG!M196)</f>
        <v/>
      </c>
      <c r="N196" s="3">
        <f>IF(ORIG!N196=0,"",ORIG!N196)</f>
        <v/>
      </c>
      <c r="O196" s="3">
        <f>IF(ORIG!O196=0,"",ORIG!O196)</f>
        <v/>
      </c>
      <c r="P196" s="3">
        <f>IF(ORIG!P196=0,"",ORIG!P196)</f>
        <v/>
      </c>
      <c r="Q196" s="3">
        <f>IF(ORIG!Q196=0,"",ORIG!Q196)</f>
        <v/>
      </c>
      <c r="R196" s="3">
        <f>IF(ORIG!R196=0,"",ORIG!R196)</f>
        <v/>
      </c>
      <c r="S196" s="3">
        <f>IF(ORIG!S196=0,"",ORIG!S196)</f>
        <v/>
      </c>
      <c r="T196" s="3">
        <f>IF(ORIG!T196=0,"",ORIG!T196)</f>
        <v/>
      </c>
      <c r="U196" s="3">
        <f>IF(ORIG!U196=0,"",ORIG!U196)</f>
        <v/>
      </c>
      <c r="V196" s="9">
        <f>IF(ORIG!V196=0,"",ORIG!V196)</f>
        <v/>
      </c>
      <c r="W196" s="9">
        <f>IF(ORIG!W196=0,"",ORIG!W196)</f>
        <v/>
      </c>
      <c r="X196" s="9">
        <f>IF(ORIG!X196=0,"",ORIG!X196)</f>
        <v/>
      </c>
      <c r="Y196" s="9">
        <f>IF(ORIG!Y196=0,"",ORIG!Y196)</f>
        <v/>
      </c>
      <c r="Z196" s="3">
        <f>SUMPRODUCT($B196:$Y196,$B$2649:$Y$2649)</f>
        <v/>
      </c>
      <c r="AA196" s="3">
        <f>SUMPRODUCT($B196:$Y196,$B$2655:$Y$2655)</f>
        <v/>
      </c>
      <c r="AC196" s="1">
        <f>A196</f>
        <v/>
      </c>
      <c r="AD196">
        <f>IF(ISNUMBER(V196),V196*($AB$1/V$2635),"")</f>
        <v/>
      </c>
      <c r="AE196">
        <f>IF(ISNUMBER(Z196),Z196*($AB$1/Z$2635),"")</f>
        <v/>
      </c>
      <c r="AF196" s="25">
        <f>IF(ISNUMBER(AD196+AE196),AD196+AE196,"")</f>
        <v/>
      </c>
      <c r="AH196" s="1">
        <f>A196</f>
        <v/>
      </c>
      <c r="AI196">
        <f>IF(ISNUMBER((1+V196)*AI195),(1+V196)*AI195,AI195)</f>
        <v/>
      </c>
      <c r="AJ196">
        <f>IF(ISNUMBER((1+Z196)*AJ195),(1+Z196)*AJ195,AJ195)</f>
        <v/>
      </c>
    </row>
    <row r="197">
      <c r="A197" s="1" t="n">
        <v>42286</v>
      </c>
      <c r="B197" s="3">
        <f>IF(ORIG!B197=0,"",ORIG!B197)</f>
        <v/>
      </c>
      <c r="C197" s="3">
        <f>IF(ORIG!C197=0,"",ORIG!C197)</f>
        <v/>
      </c>
      <c r="D197" s="3">
        <f>IF(ORIG!D197=0,"",ORIG!D197)</f>
        <v/>
      </c>
      <c r="E197" s="3">
        <f>IF(ORIG!E197=0,"",ORIG!E197)</f>
        <v/>
      </c>
      <c r="F197" s="3">
        <f>IF(ORIG!F197=0,"",ORIG!F197)</f>
        <v/>
      </c>
      <c r="G197" s="3">
        <f>IF(ORIG!G197=0,"",ORIG!G197)</f>
        <v/>
      </c>
      <c r="H197" s="3">
        <f>IF(ORIG!H197=0,"",ORIG!H197)</f>
        <v/>
      </c>
      <c r="I197" s="3">
        <f>IF(ORIG!I197=0,"",ORIG!I197)</f>
        <v/>
      </c>
      <c r="J197" s="3">
        <f>IF(ORIG!J197=0,"",ORIG!J197)</f>
        <v/>
      </c>
      <c r="K197" s="3">
        <f>IF(ORIG!K197=0,"",ORIG!K197)</f>
        <v/>
      </c>
      <c r="L197" s="3">
        <f>IF(ORIG!L197=0,"",ORIG!L197)</f>
        <v/>
      </c>
      <c r="M197" s="3">
        <f>IF(ORIG!M197=0,"",ORIG!M197)</f>
        <v/>
      </c>
      <c r="N197" s="3">
        <f>IF(ORIG!N197=0,"",ORIG!N197)</f>
        <v/>
      </c>
      <c r="O197" s="3">
        <f>IF(ORIG!O197=0,"",ORIG!O197)</f>
        <v/>
      </c>
      <c r="P197" s="3">
        <f>IF(ORIG!P197=0,"",ORIG!P197)</f>
        <v/>
      </c>
      <c r="Q197" s="3">
        <f>IF(ORIG!Q197=0,"",ORIG!Q197)</f>
        <v/>
      </c>
      <c r="R197" s="3">
        <f>IF(ORIG!R197=0,"",ORIG!R197)</f>
        <v/>
      </c>
      <c r="S197" s="3">
        <f>IF(ORIG!S197=0,"",ORIG!S197)</f>
        <v/>
      </c>
      <c r="T197" s="3">
        <f>IF(ORIG!T197=0,"",ORIG!T197)</f>
        <v/>
      </c>
      <c r="U197" s="3">
        <f>IF(ORIG!U197=0,"",ORIG!U197)</f>
        <v/>
      </c>
      <c r="V197" s="9">
        <f>IF(ORIG!V197=0,"",ORIG!V197)</f>
        <v/>
      </c>
      <c r="W197" s="9">
        <f>IF(ORIG!W197=0,"",ORIG!W197)</f>
        <v/>
      </c>
      <c r="X197" s="9">
        <f>IF(ORIG!X197=0,"",ORIG!X197)</f>
        <v/>
      </c>
      <c r="Y197" s="9">
        <f>IF(ORIG!Y197=0,"",ORIG!Y197)</f>
        <v/>
      </c>
      <c r="Z197" s="3">
        <f>SUMPRODUCT($B197:$Y197,$B$2649:$Y$2649)</f>
        <v/>
      </c>
      <c r="AA197" s="3">
        <f>SUMPRODUCT($B197:$Y197,$B$2655:$Y$2655)</f>
        <v/>
      </c>
      <c r="AC197" s="1">
        <f>A197</f>
        <v/>
      </c>
      <c r="AD197">
        <f>IF(ISNUMBER(V197),V197*($AB$1/V$2635),"")</f>
        <v/>
      </c>
      <c r="AE197">
        <f>IF(ISNUMBER(Z197),Z197*($AB$1/Z$2635),"")</f>
        <v/>
      </c>
      <c r="AF197" s="25">
        <f>IF(ISNUMBER(AD197+AE197),AD197+AE197,"")</f>
        <v/>
      </c>
      <c r="AH197" s="1">
        <f>A197</f>
        <v/>
      </c>
      <c r="AI197">
        <f>IF(ISNUMBER((1+V197)*AI196),(1+V197)*AI196,AI196)</f>
        <v/>
      </c>
      <c r="AJ197">
        <f>IF(ISNUMBER((1+Z197)*AJ196),(1+Z197)*AJ196,AJ196)</f>
        <v/>
      </c>
    </row>
    <row r="198">
      <c r="A198" s="1" t="n">
        <v>42289</v>
      </c>
      <c r="B198" s="3">
        <f>IF(ORIG!B198=0,"",ORIG!B198)</f>
        <v/>
      </c>
      <c r="C198" s="3">
        <f>IF(ORIG!C198=0,"",ORIG!C198)</f>
        <v/>
      </c>
      <c r="D198" s="3">
        <f>IF(ORIG!D198=0,"",ORIG!D198)</f>
        <v/>
      </c>
      <c r="E198" s="3">
        <f>IF(ORIG!E198=0,"",ORIG!E198)</f>
        <v/>
      </c>
      <c r="F198" s="3">
        <f>IF(ORIG!F198=0,"",ORIG!F198)</f>
        <v/>
      </c>
      <c r="G198" s="3">
        <f>IF(ORIG!G198=0,"",ORIG!G198)</f>
        <v/>
      </c>
      <c r="H198" s="3">
        <f>IF(ORIG!H198=0,"",ORIG!H198)</f>
        <v/>
      </c>
      <c r="I198" s="3">
        <f>IF(ORIG!I198=0,"",ORIG!I198)</f>
        <v/>
      </c>
      <c r="J198" s="3">
        <f>IF(ORIG!J198=0,"",ORIG!J198)</f>
        <v/>
      </c>
      <c r="K198" s="3">
        <f>IF(ORIG!K198=0,"",ORIG!K198)</f>
        <v/>
      </c>
      <c r="L198" s="3">
        <f>IF(ORIG!L198=0,"",ORIG!L198)</f>
        <v/>
      </c>
      <c r="M198" s="3">
        <f>IF(ORIG!M198=0,"",ORIG!M198)</f>
        <v/>
      </c>
      <c r="N198" s="3">
        <f>IF(ORIG!N198=0,"",ORIG!N198)</f>
        <v/>
      </c>
      <c r="O198" s="3">
        <f>IF(ORIG!O198=0,"",ORIG!O198)</f>
        <v/>
      </c>
      <c r="P198" s="3">
        <f>IF(ORIG!P198=0,"",ORIG!P198)</f>
        <v/>
      </c>
      <c r="Q198" s="3">
        <f>IF(ORIG!Q198=0,"",ORIG!Q198)</f>
        <v/>
      </c>
      <c r="R198" s="3">
        <f>IF(ORIG!R198=0,"",ORIG!R198)</f>
        <v/>
      </c>
      <c r="S198" s="3">
        <f>IF(ORIG!S198=0,"",ORIG!S198)</f>
        <v/>
      </c>
      <c r="T198" s="3">
        <f>IF(ORIG!T198=0,"",ORIG!T198)</f>
        <v/>
      </c>
      <c r="U198" s="3">
        <f>IF(ORIG!U198=0,"",ORIG!U198)</f>
        <v/>
      </c>
      <c r="V198" s="9">
        <f>IF(ORIG!V198=0,"",ORIG!V198)</f>
        <v/>
      </c>
      <c r="W198" s="9">
        <f>IF(ORIG!W198=0,"",ORIG!W198)</f>
        <v/>
      </c>
      <c r="X198" s="9">
        <f>IF(ORIG!X198=0,"",ORIG!X198)</f>
        <v/>
      </c>
      <c r="Y198" s="9">
        <f>IF(ORIG!Y198=0,"",ORIG!Y198)</f>
        <v/>
      </c>
      <c r="Z198" s="3">
        <f>SUMPRODUCT($B198:$Y198,$B$2649:$Y$2649)</f>
        <v/>
      </c>
      <c r="AA198" s="3">
        <f>SUMPRODUCT($B198:$Y198,$B$2655:$Y$2655)</f>
        <v/>
      </c>
      <c r="AC198" s="1">
        <f>A198</f>
        <v/>
      </c>
      <c r="AD198">
        <f>IF(ISNUMBER(V198),V198*($AB$1/V$2635),"")</f>
        <v/>
      </c>
      <c r="AE198">
        <f>IF(ISNUMBER(Z198),Z198*($AB$1/Z$2635),"")</f>
        <v/>
      </c>
      <c r="AF198" s="25">
        <f>IF(ISNUMBER(AD198+AE198),AD198+AE198,"")</f>
        <v/>
      </c>
      <c r="AH198" s="1">
        <f>A198</f>
        <v/>
      </c>
      <c r="AI198">
        <f>IF(ISNUMBER((1+V198)*AI197),(1+V198)*AI197,AI197)</f>
        <v/>
      </c>
      <c r="AJ198">
        <f>IF(ISNUMBER((1+Z198)*AJ197),(1+Z198)*AJ197,AJ197)</f>
        <v/>
      </c>
    </row>
    <row r="199">
      <c r="A199" s="1" t="n">
        <v>42290</v>
      </c>
      <c r="B199" s="3">
        <f>IF(ORIG!B199=0,"",ORIG!B199)</f>
        <v/>
      </c>
      <c r="C199" s="3">
        <f>IF(ORIG!C199=0,"",ORIG!C199)</f>
        <v/>
      </c>
      <c r="D199" s="3">
        <f>IF(ORIG!D199=0,"",ORIG!D199)</f>
        <v/>
      </c>
      <c r="E199" s="3">
        <f>IF(ORIG!E199=0,"",ORIG!E199)</f>
        <v/>
      </c>
      <c r="F199" s="3">
        <f>IF(ORIG!F199=0,"",ORIG!F199)</f>
        <v/>
      </c>
      <c r="G199" s="3">
        <f>IF(ORIG!G199=0,"",ORIG!G199)</f>
        <v/>
      </c>
      <c r="H199" s="3">
        <f>IF(ORIG!H199=0,"",ORIG!H199)</f>
        <v/>
      </c>
      <c r="I199" s="3">
        <f>IF(ORIG!I199=0,"",ORIG!I199)</f>
        <v/>
      </c>
      <c r="J199" s="3">
        <f>IF(ORIG!J199=0,"",ORIG!J199)</f>
        <v/>
      </c>
      <c r="K199" s="3">
        <f>IF(ORIG!K199=0,"",ORIG!K199)</f>
        <v/>
      </c>
      <c r="L199" s="3">
        <f>IF(ORIG!L199=0,"",ORIG!L199)</f>
        <v/>
      </c>
      <c r="M199" s="3">
        <f>IF(ORIG!M199=0,"",ORIG!M199)</f>
        <v/>
      </c>
      <c r="N199" s="3">
        <f>IF(ORIG!N199=0,"",ORIG!N199)</f>
        <v/>
      </c>
      <c r="O199" s="3">
        <f>IF(ORIG!O199=0,"",ORIG!O199)</f>
        <v/>
      </c>
      <c r="P199" s="3">
        <f>IF(ORIG!P199=0,"",ORIG!P199)</f>
        <v/>
      </c>
      <c r="Q199" s="3">
        <f>IF(ORIG!Q199=0,"",ORIG!Q199)</f>
        <v/>
      </c>
      <c r="R199" s="3">
        <f>IF(ORIG!R199=0,"",ORIG!R199)</f>
        <v/>
      </c>
      <c r="S199" s="3">
        <f>IF(ORIG!S199=0,"",ORIG!S199)</f>
        <v/>
      </c>
      <c r="T199" s="3">
        <f>IF(ORIG!T199=0,"",ORIG!T199)</f>
        <v/>
      </c>
      <c r="U199" s="3">
        <f>IF(ORIG!U199=0,"",ORIG!U199)</f>
        <v/>
      </c>
      <c r="V199" s="9">
        <f>IF(ORIG!V199=0,"",ORIG!V199)</f>
        <v/>
      </c>
      <c r="W199" s="9">
        <f>IF(ORIG!W199=0,"",ORIG!W199)</f>
        <v/>
      </c>
      <c r="X199" s="9">
        <f>IF(ORIG!X199=0,"",ORIG!X199)</f>
        <v/>
      </c>
      <c r="Y199" s="9">
        <f>IF(ORIG!Y199=0,"",ORIG!Y199)</f>
        <v/>
      </c>
      <c r="Z199" s="3">
        <f>SUMPRODUCT($B199:$Y199,$B$2649:$Y$2649)</f>
        <v/>
      </c>
      <c r="AA199" s="3">
        <f>SUMPRODUCT($B199:$Y199,$B$2655:$Y$2655)</f>
        <v/>
      </c>
      <c r="AC199" s="1">
        <f>A199</f>
        <v/>
      </c>
      <c r="AD199">
        <f>IF(ISNUMBER(V199),V199*($AB$1/V$2635),"")</f>
        <v/>
      </c>
      <c r="AE199">
        <f>IF(ISNUMBER(Z199),Z199*($AB$1/Z$2635),"")</f>
        <v/>
      </c>
      <c r="AF199" s="25">
        <f>IF(ISNUMBER(AD199+AE199),AD199+AE199,"")</f>
        <v/>
      </c>
      <c r="AH199" s="1">
        <f>A199</f>
        <v/>
      </c>
      <c r="AI199">
        <f>IF(ISNUMBER((1+V199)*AI198),(1+V199)*AI198,AI198)</f>
        <v/>
      </c>
      <c r="AJ199">
        <f>IF(ISNUMBER((1+Z199)*AJ198),(1+Z199)*AJ198,AJ198)</f>
        <v/>
      </c>
    </row>
    <row r="200">
      <c r="A200" s="1" t="n">
        <v>42291</v>
      </c>
      <c r="B200" s="3">
        <f>IF(ORIG!B200=0,"",ORIG!B200)</f>
        <v/>
      </c>
      <c r="C200" s="3">
        <f>IF(ORIG!C200=0,"",ORIG!C200)</f>
        <v/>
      </c>
      <c r="D200" s="3">
        <f>IF(ORIG!D200=0,"",ORIG!D200)</f>
        <v/>
      </c>
      <c r="E200" s="3">
        <f>IF(ORIG!E200=0,"",ORIG!E200)</f>
        <v/>
      </c>
      <c r="F200" s="3">
        <f>IF(ORIG!F200=0,"",ORIG!F200)</f>
        <v/>
      </c>
      <c r="G200" s="3">
        <f>IF(ORIG!G200=0,"",ORIG!G200)</f>
        <v/>
      </c>
      <c r="H200" s="3">
        <f>IF(ORIG!H200=0,"",ORIG!H200)</f>
        <v/>
      </c>
      <c r="I200" s="3">
        <f>IF(ORIG!I200=0,"",ORIG!I200)</f>
        <v/>
      </c>
      <c r="J200" s="3">
        <f>IF(ORIG!J200=0,"",ORIG!J200)</f>
        <v/>
      </c>
      <c r="K200" s="3">
        <f>IF(ORIG!K200=0,"",ORIG!K200)</f>
        <v/>
      </c>
      <c r="L200" s="3">
        <f>IF(ORIG!L200=0,"",ORIG!L200)</f>
        <v/>
      </c>
      <c r="M200" s="3">
        <f>IF(ORIG!M200=0,"",ORIG!M200)</f>
        <v/>
      </c>
      <c r="N200" s="3">
        <f>IF(ORIG!N200=0,"",ORIG!N200)</f>
        <v/>
      </c>
      <c r="O200" s="3">
        <f>IF(ORIG!O200=0,"",ORIG!O200)</f>
        <v/>
      </c>
      <c r="P200" s="3">
        <f>IF(ORIG!P200=0,"",ORIG!P200)</f>
        <v/>
      </c>
      <c r="Q200" s="3">
        <f>IF(ORIG!Q200=0,"",ORIG!Q200)</f>
        <v/>
      </c>
      <c r="R200" s="3">
        <f>IF(ORIG!R200=0,"",ORIG!R200)</f>
        <v/>
      </c>
      <c r="S200" s="3">
        <f>IF(ORIG!S200=0,"",ORIG!S200)</f>
        <v/>
      </c>
      <c r="T200" s="3">
        <f>IF(ORIG!T200=0,"",ORIG!T200)</f>
        <v/>
      </c>
      <c r="U200" s="3">
        <f>IF(ORIG!U200=0,"",ORIG!U200)</f>
        <v/>
      </c>
      <c r="V200" s="9">
        <f>IF(ORIG!V200=0,"",ORIG!V200)</f>
        <v/>
      </c>
      <c r="W200" s="9">
        <f>IF(ORIG!W200=0,"",ORIG!W200)</f>
        <v/>
      </c>
      <c r="X200" s="9">
        <f>IF(ORIG!X200=0,"",ORIG!X200)</f>
        <v/>
      </c>
      <c r="Y200" s="9">
        <f>IF(ORIG!Y200=0,"",ORIG!Y200)</f>
        <v/>
      </c>
      <c r="Z200" s="3">
        <f>SUMPRODUCT($B200:$Y200,$B$2649:$Y$2649)</f>
        <v/>
      </c>
      <c r="AA200" s="3">
        <f>SUMPRODUCT($B200:$Y200,$B$2655:$Y$2655)</f>
        <v/>
      </c>
      <c r="AC200" s="1">
        <f>A200</f>
        <v/>
      </c>
      <c r="AD200">
        <f>IF(ISNUMBER(V200),V200*($AB$1/V$2635),"")</f>
        <v/>
      </c>
      <c r="AE200">
        <f>IF(ISNUMBER(Z200),Z200*($AB$1/Z$2635),"")</f>
        <v/>
      </c>
      <c r="AF200" s="25">
        <f>IF(ISNUMBER(AD200+AE200),AD200+AE200,"")</f>
        <v/>
      </c>
      <c r="AH200" s="1">
        <f>A200</f>
        <v/>
      </c>
      <c r="AI200">
        <f>IF(ISNUMBER((1+V200)*AI199),(1+V200)*AI199,AI199)</f>
        <v/>
      </c>
      <c r="AJ200">
        <f>IF(ISNUMBER((1+Z200)*AJ199),(1+Z200)*AJ199,AJ199)</f>
        <v/>
      </c>
    </row>
    <row r="201">
      <c r="A201" s="1" t="n">
        <v>42292</v>
      </c>
      <c r="B201" s="3">
        <f>IF(ORIG!B201=0,"",ORIG!B201)</f>
        <v/>
      </c>
      <c r="C201" s="3">
        <f>IF(ORIG!C201=0,"",ORIG!C201)</f>
        <v/>
      </c>
      <c r="D201" s="3">
        <f>IF(ORIG!D201=0,"",ORIG!D201)</f>
        <v/>
      </c>
      <c r="E201" s="3">
        <f>IF(ORIG!E201=0,"",ORIG!E201)</f>
        <v/>
      </c>
      <c r="F201" s="3">
        <f>IF(ORIG!F201=0,"",ORIG!F201)</f>
        <v/>
      </c>
      <c r="G201" s="3">
        <f>IF(ORIG!G201=0,"",ORIG!G201)</f>
        <v/>
      </c>
      <c r="H201" s="3">
        <f>IF(ORIG!H201=0,"",ORIG!H201)</f>
        <v/>
      </c>
      <c r="I201" s="3">
        <f>IF(ORIG!I201=0,"",ORIG!I201)</f>
        <v/>
      </c>
      <c r="J201" s="3">
        <f>IF(ORIG!J201=0,"",ORIG!J201)</f>
        <v/>
      </c>
      <c r="K201" s="3">
        <f>IF(ORIG!K201=0,"",ORIG!K201)</f>
        <v/>
      </c>
      <c r="L201" s="3">
        <f>IF(ORIG!L201=0,"",ORIG!L201)</f>
        <v/>
      </c>
      <c r="M201" s="3">
        <f>IF(ORIG!M201=0,"",ORIG!M201)</f>
        <v/>
      </c>
      <c r="N201" s="3">
        <f>IF(ORIG!N201=0,"",ORIG!N201)</f>
        <v/>
      </c>
      <c r="O201" s="3">
        <f>IF(ORIG!O201=0,"",ORIG!O201)</f>
        <v/>
      </c>
      <c r="P201" s="3">
        <f>IF(ORIG!P201=0,"",ORIG!P201)</f>
        <v/>
      </c>
      <c r="Q201" s="3">
        <f>IF(ORIG!Q201=0,"",ORIG!Q201)</f>
        <v/>
      </c>
      <c r="R201" s="3">
        <f>IF(ORIG!R201=0,"",ORIG!R201)</f>
        <v/>
      </c>
      <c r="S201" s="3">
        <f>IF(ORIG!S201=0,"",ORIG!S201)</f>
        <v/>
      </c>
      <c r="T201" s="3">
        <f>IF(ORIG!T201=0,"",ORIG!T201)</f>
        <v/>
      </c>
      <c r="U201" s="3">
        <f>IF(ORIG!U201=0,"",ORIG!U201)</f>
        <v/>
      </c>
      <c r="V201" s="9">
        <f>IF(ORIG!V201=0,"",ORIG!V201)</f>
        <v/>
      </c>
      <c r="W201" s="9">
        <f>IF(ORIG!W201=0,"",ORIG!W201)</f>
        <v/>
      </c>
      <c r="X201" s="9">
        <f>IF(ORIG!X201=0,"",ORIG!X201)</f>
        <v/>
      </c>
      <c r="Y201" s="9">
        <f>IF(ORIG!Y201=0,"",ORIG!Y201)</f>
        <v/>
      </c>
      <c r="Z201" s="3">
        <f>SUMPRODUCT($B201:$Y201,$B$2649:$Y$2649)</f>
        <v/>
      </c>
      <c r="AA201" s="3">
        <f>SUMPRODUCT($B201:$Y201,$B$2655:$Y$2655)</f>
        <v/>
      </c>
      <c r="AC201" s="1">
        <f>A201</f>
        <v/>
      </c>
      <c r="AD201">
        <f>IF(ISNUMBER(V201),V201*($AB$1/V$2635),"")</f>
        <v/>
      </c>
      <c r="AE201">
        <f>IF(ISNUMBER(Z201),Z201*($AB$1/Z$2635),"")</f>
        <v/>
      </c>
      <c r="AF201" s="25">
        <f>IF(ISNUMBER(AD201+AE201),AD201+AE201,"")</f>
        <v/>
      </c>
      <c r="AH201" s="1">
        <f>A201</f>
        <v/>
      </c>
      <c r="AI201">
        <f>IF(ISNUMBER((1+V201)*AI200),(1+V201)*AI200,AI200)</f>
        <v/>
      </c>
      <c r="AJ201">
        <f>IF(ISNUMBER((1+Z201)*AJ200),(1+Z201)*AJ200,AJ200)</f>
        <v/>
      </c>
    </row>
    <row r="202">
      <c r="A202" s="1" t="n">
        <v>42293</v>
      </c>
      <c r="B202" s="3">
        <f>IF(ORIG!B202=0,"",ORIG!B202)</f>
        <v/>
      </c>
      <c r="C202" s="3">
        <f>IF(ORIG!C202=0,"",ORIG!C202)</f>
        <v/>
      </c>
      <c r="D202" s="3">
        <f>IF(ORIG!D202=0,"",ORIG!D202)</f>
        <v/>
      </c>
      <c r="E202" s="3">
        <f>IF(ORIG!E202=0,"",ORIG!E202)</f>
        <v/>
      </c>
      <c r="F202" s="3">
        <f>IF(ORIG!F202=0,"",ORIG!F202)</f>
        <v/>
      </c>
      <c r="G202" s="3">
        <f>IF(ORIG!G202=0,"",ORIG!G202)</f>
        <v/>
      </c>
      <c r="H202" s="3">
        <f>IF(ORIG!H202=0,"",ORIG!H202)</f>
        <v/>
      </c>
      <c r="I202" s="3">
        <f>IF(ORIG!I202=0,"",ORIG!I202)</f>
        <v/>
      </c>
      <c r="J202" s="3">
        <f>IF(ORIG!J202=0,"",ORIG!J202)</f>
        <v/>
      </c>
      <c r="K202" s="3">
        <f>IF(ORIG!K202=0,"",ORIG!K202)</f>
        <v/>
      </c>
      <c r="L202" s="3">
        <f>IF(ORIG!L202=0,"",ORIG!L202)</f>
        <v/>
      </c>
      <c r="M202" s="3">
        <f>IF(ORIG!M202=0,"",ORIG!M202)</f>
        <v/>
      </c>
      <c r="N202" s="3">
        <f>IF(ORIG!N202=0,"",ORIG!N202)</f>
        <v/>
      </c>
      <c r="O202" s="3">
        <f>IF(ORIG!O202=0,"",ORIG!O202)</f>
        <v/>
      </c>
      <c r="P202" s="3">
        <f>IF(ORIG!P202=0,"",ORIG!P202)</f>
        <v/>
      </c>
      <c r="Q202" s="3">
        <f>IF(ORIG!Q202=0,"",ORIG!Q202)</f>
        <v/>
      </c>
      <c r="R202" s="3">
        <f>IF(ORIG!R202=0,"",ORIG!R202)</f>
        <v/>
      </c>
      <c r="S202" s="3">
        <f>IF(ORIG!S202=0,"",ORIG!S202)</f>
        <v/>
      </c>
      <c r="T202" s="3">
        <f>IF(ORIG!T202=0,"",ORIG!T202)</f>
        <v/>
      </c>
      <c r="U202" s="3">
        <f>IF(ORIG!U202=0,"",ORIG!U202)</f>
        <v/>
      </c>
      <c r="V202" s="9">
        <f>IF(ORIG!V202=0,"",ORIG!V202)</f>
        <v/>
      </c>
      <c r="W202" s="9">
        <f>IF(ORIG!W202=0,"",ORIG!W202)</f>
        <v/>
      </c>
      <c r="X202" s="9">
        <f>IF(ORIG!X202=0,"",ORIG!X202)</f>
        <v/>
      </c>
      <c r="Y202" s="9">
        <f>IF(ORIG!Y202=0,"",ORIG!Y202)</f>
        <v/>
      </c>
      <c r="Z202" s="3">
        <f>SUMPRODUCT($B202:$Y202,$B$2649:$Y$2649)</f>
        <v/>
      </c>
      <c r="AA202" s="3">
        <f>SUMPRODUCT($B202:$Y202,$B$2655:$Y$2655)</f>
        <v/>
      </c>
      <c r="AC202" s="1">
        <f>A202</f>
        <v/>
      </c>
      <c r="AD202">
        <f>IF(ISNUMBER(V202),V202*($AB$1/V$2635),"")</f>
        <v/>
      </c>
      <c r="AE202">
        <f>IF(ISNUMBER(Z202),Z202*($AB$1/Z$2635),"")</f>
        <v/>
      </c>
      <c r="AF202" s="25">
        <f>IF(ISNUMBER(AD202+AE202),AD202+AE202,"")</f>
        <v/>
      </c>
      <c r="AH202" s="1">
        <f>A202</f>
        <v/>
      </c>
      <c r="AI202">
        <f>IF(ISNUMBER((1+V202)*AI201),(1+V202)*AI201,AI201)</f>
        <v/>
      </c>
      <c r="AJ202">
        <f>IF(ISNUMBER((1+Z202)*AJ201),(1+Z202)*AJ201,AJ201)</f>
        <v/>
      </c>
    </row>
    <row r="203">
      <c r="A203" s="1" t="n">
        <v>42296</v>
      </c>
      <c r="B203" s="3">
        <f>IF(ORIG!B203=0,"",ORIG!B203)</f>
        <v/>
      </c>
      <c r="C203" s="3">
        <f>IF(ORIG!C203=0,"",ORIG!C203)</f>
        <v/>
      </c>
      <c r="D203" s="3">
        <f>IF(ORIG!D203=0,"",ORIG!D203)</f>
        <v/>
      </c>
      <c r="E203" s="3">
        <f>IF(ORIG!E203=0,"",ORIG!E203)</f>
        <v/>
      </c>
      <c r="F203" s="3">
        <f>IF(ORIG!F203=0,"",ORIG!F203)</f>
        <v/>
      </c>
      <c r="G203" s="3">
        <f>IF(ORIG!G203=0,"",ORIG!G203)</f>
        <v/>
      </c>
      <c r="H203" s="3">
        <f>IF(ORIG!H203=0,"",ORIG!H203)</f>
        <v/>
      </c>
      <c r="I203" s="3">
        <f>IF(ORIG!I203=0,"",ORIG!I203)</f>
        <v/>
      </c>
      <c r="J203" s="3">
        <f>IF(ORIG!J203=0,"",ORIG!J203)</f>
        <v/>
      </c>
      <c r="K203" s="3">
        <f>IF(ORIG!K203=0,"",ORIG!K203)</f>
        <v/>
      </c>
      <c r="L203" s="3">
        <f>IF(ORIG!L203=0,"",ORIG!L203)</f>
        <v/>
      </c>
      <c r="M203" s="3">
        <f>IF(ORIG!M203=0,"",ORIG!M203)</f>
        <v/>
      </c>
      <c r="N203" s="3">
        <f>IF(ORIG!N203=0,"",ORIG!N203)</f>
        <v/>
      </c>
      <c r="O203" s="3">
        <f>IF(ORIG!O203=0,"",ORIG!O203)</f>
        <v/>
      </c>
      <c r="P203" s="3">
        <f>IF(ORIG!P203=0,"",ORIG!P203)</f>
        <v/>
      </c>
      <c r="Q203" s="3">
        <f>IF(ORIG!Q203=0,"",ORIG!Q203)</f>
        <v/>
      </c>
      <c r="R203" s="3">
        <f>IF(ORIG!R203=0,"",ORIG!R203)</f>
        <v/>
      </c>
      <c r="S203" s="3">
        <f>IF(ORIG!S203=0,"",ORIG!S203)</f>
        <v/>
      </c>
      <c r="T203" s="3">
        <f>IF(ORIG!T203=0,"",ORIG!T203)</f>
        <v/>
      </c>
      <c r="U203" s="3">
        <f>IF(ORIG!U203=0,"",ORIG!U203)</f>
        <v/>
      </c>
      <c r="V203" s="9">
        <f>IF(ORIG!V203=0,"",ORIG!V203)</f>
        <v/>
      </c>
      <c r="W203" s="9">
        <f>IF(ORIG!W203=0,"",ORIG!W203)</f>
        <v/>
      </c>
      <c r="X203" s="9">
        <f>IF(ORIG!X203=0,"",ORIG!X203)</f>
        <v/>
      </c>
      <c r="Y203" s="9">
        <f>IF(ORIG!Y203=0,"",ORIG!Y203)</f>
        <v/>
      </c>
      <c r="Z203" s="3">
        <f>SUMPRODUCT($B203:$Y203,$B$2649:$Y$2649)</f>
        <v/>
      </c>
      <c r="AA203" s="3">
        <f>SUMPRODUCT($B203:$Y203,$B$2655:$Y$2655)</f>
        <v/>
      </c>
      <c r="AC203" s="1">
        <f>A203</f>
        <v/>
      </c>
      <c r="AD203">
        <f>IF(ISNUMBER(V203),V203*($AB$1/V$2635),"")</f>
        <v/>
      </c>
      <c r="AE203">
        <f>IF(ISNUMBER(Z203),Z203*($AB$1/Z$2635),"")</f>
        <v/>
      </c>
      <c r="AF203" s="25">
        <f>IF(ISNUMBER(AD203+AE203),AD203+AE203,"")</f>
        <v/>
      </c>
      <c r="AH203" s="1">
        <f>A203</f>
        <v/>
      </c>
      <c r="AI203">
        <f>IF(ISNUMBER((1+V203)*AI202),(1+V203)*AI202,AI202)</f>
        <v/>
      </c>
      <c r="AJ203">
        <f>IF(ISNUMBER((1+Z203)*AJ202),(1+Z203)*AJ202,AJ202)</f>
        <v/>
      </c>
    </row>
    <row r="204">
      <c r="A204" s="1" t="n">
        <v>42297</v>
      </c>
      <c r="B204" s="3">
        <f>IF(ORIG!B204=0,"",ORIG!B204)</f>
        <v/>
      </c>
      <c r="C204" s="3">
        <f>IF(ORIG!C204=0,"",ORIG!C204)</f>
        <v/>
      </c>
      <c r="D204" s="3">
        <f>IF(ORIG!D204=0,"",ORIG!D204)</f>
        <v/>
      </c>
      <c r="E204" s="3">
        <f>IF(ORIG!E204=0,"",ORIG!E204)</f>
        <v/>
      </c>
      <c r="F204" s="3">
        <f>IF(ORIG!F204=0,"",ORIG!F204)</f>
        <v/>
      </c>
      <c r="G204" s="3">
        <f>IF(ORIG!G204=0,"",ORIG!G204)</f>
        <v/>
      </c>
      <c r="H204" s="3">
        <f>IF(ORIG!H204=0,"",ORIG!H204)</f>
        <v/>
      </c>
      <c r="I204" s="3">
        <f>IF(ORIG!I204=0,"",ORIG!I204)</f>
        <v/>
      </c>
      <c r="J204" s="3">
        <f>IF(ORIG!J204=0,"",ORIG!J204)</f>
        <v/>
      </c>
      <c r="K204" s="3">
        <f>IF(ORIG!K204=0,"",ORIG!K204)</f>
        <v/>
      </c>
      <c r="L204" s="3">
        <f>IF(ORIG!L204=0,"",ORIG!L204)</f>
        <v/>
      </c>
      <c r="M204" s="3">
        <f>IF(ORIG!M204=0,"",ORIG!M204)</f>
        <v/>
      </c>
      <c r="N204" s="3">
        <f>IF(ORIG!N204=0,"",ORIG!N204)</f>
        <v/>
      </c>
      <c r="O204" s="3">
        <f>IF(ORIG!O204=0,"",ORIG!O204)</f>
        <v/>
      </c>
      <c r="P204" s="3">
        <f>IF(ORIG!P204=0,"",ORIG!P204)</f>
        <v/>
      </c>
      <c r="Q204" s="3">
        <f>IF(ORIG!Q204=0,"",ORIG!Q204)</f>
        <v/>
      </c>
      <c r="R204" s="3">
        <f>IF(ORIG!R204=0,"",ORIG!R204)</f>
        <v/>
      </c>
      <c r="S204" s="3">
        <f>IF(ORIG!S204=0,"",ORIG!S204)</f>
        <v/>
      </c>
      <c r="T204" s="3">
        <f>IF(ORIG!T204=0,"",ORIG!T204)</f>
        <v/>
      </c>
      <c r="U204" s="3">
        <f>IF(ORIG!U204=0,"",ORIG!U204)</f>
        <v/>
      </c>
      <c r="V204" s="9">
        <f>IF(ORIG!V204=0,"",ORIG!V204)</f>
        <v/>
      </c>
      <c r="W204" s="9">
        <f>IF(ORIG!W204=0,"",ORIG!W204)</f>
        <v/>
      </c>
      <c r="X204" s="9">
        <f>IF(ORIG!X204=0,"",ORIG!X204)</f>
        <v/>
      </c>
      <c r="Y204" s="9">
        <f>IF(ORIG!Y204=0,"",ORIG!Y204)</f>
        <v/>
      </c>
      <c r="Z204" s="3">
        <f>SUMPRODUCT($B204:$Y204,$B$2649:$Y$2649)</f>
        <v/>
      </c>
      <c r="AA204" s="3">
        <f>SUMPRODUCT($B204:$Y204,$B$2655:$Y$2655)</f>
        <v/>
      </c>
      <c r="AC204" s="1">
        <f>A204</f>
        <v/>
      </c>
      <c r="AD204">
        <f>IF(ISNUMBER(V204),V204*($AB$1/V$2635),"")</f>
        <v/>
      </c>
      <c r="AE204">
        <f>IF(ISNUMBER(Z204),Z204*($AB$1/Z$2635),"")</f>
        <v/>
      </c>
      <c r="AF204" s="25">
        <f>IF(ISNUMBER(AD204+AE204),AD204+AE204,"")</f>
        <v/>
      </c>
      <c r="AH204" s="1">
        <f>A204</f>
        <v/>
      </c>
      <c r="AI204">
        <f>IF(ISNUMBER((1+V204)*AI203),(1+V204)*AI203,AI203)</f>
        <v/>
      </c>
      <c r="AJ204">
        <f>IF(ISNUMBER((1+Z204)*AJ203),(1+Z204)*AJ203,AJ203)</f>
        <v/>
      </c>
    </row>
    <row r="205">
      <c r="A205" s="1" t="n">
        <v>42298</v>
      </c>
      <c r="B205" s="3">
        <f>IF(ORIG!B205=0,"",ORIG!B205)</f>
        <v/>
      </c>
      <c r="C205" s="3">
        <f>IF(ORIG!C205=0,"",ORIG!C205)</f>
        <v/>
      </c>
      <c r="D205" s="3">
        <f>IF(ORIG!D205=0,"",ORIG!D205)</f>
        <v/>
      </c>
      <c r="E205" s="3">
        <f>IF(ORIG!E205=0,"",ORIG!E205)</f>
        <v/>
      </c>
      <c r="F205" s="3">
        <f>IF(ORIG!F205=0,"",ORIG!F205)</f>
        <v/>
      </c>
      <c r="G205" s="3">
        <f>IF(ORIG!G205=0,"",ORIG!G205)</f>
        <v/>
      </c>
      <c r="H205" s="3">
        <f>IF(ORIG!H205=0,"",ORIG!H205)</f>
        <v/>
      </c>
      <c r="I205" s="3">
        <f>IF(ORIG!I205=0,"",ORIG!I205)</f>
        <v/>
      </c>
      <c r="J205" s="3">
        <f>IF(ORIG!J205=0,"",ORIG!J205)</f>
        <v/>
      </c>
      <c r="K205" s="3">
        <f>IF(ORIG!K205=0,"",ORIG!K205)</f>
        <v/>
      </c>
      <c r="L205" s="3">
        <f>IF(ORIG!L205=0,"",ORIG!L205)</f>
        <v/>
      </c>
      <c r="M205" s="3">
        <f>IF(ORIG!M205=0,"",ORIG!M205)</f>
        <v/>
      </c>
      <c r="N205" s="3">
        <f>IF(ORIG!N205=0,"",ORIG!N205)</f>
        <v/>
      </c>
      <c r="O205" s="3">
        <f>IF(ORIG!O205=0,"",ORIG!O205)</f>
        <v/>
      </c>
      <c r="P205" s="3">
        <f>IF(ORIG!P205=0,"",ORIG!P205)</f>
        <v/>
      </c>
      <c r="Q205" s="3">
        <f>IF(ORIG!Q205=0,"",ORIG!Q205)</f>
        <v/>
      </c>
      <c r="R205" s="3">
        <f>IF(ORIG!R205=0,"",ORIG!R205)</f>
        <v/>
      </c>
      <c r="S205" s="3">
        <f>IF(ORIG!S205=0,"",ORIG!S205)</f>
        <v/>
      </c>
      <c r="T205" s="3">
        <f>IF(ORIG!T205=0,"",ORIG!T205)</f>
        <v/>
      </c>
      <c r="U205" s="3">
        <f>IF(ORIG!U205=0,"",ORIG!U205)</f>
        <v/>
      </c>
      <c r="V205" s="9">
        <f>IF(ORIG!V205=0,"",ORIG!V205)</f>
        <v/>
      </c>
      <c r="W205" s="9">
        <f>IF(ORIG!W205=0,"",ORIG!W205)</f>
        <v/>
      </c>
      <c r="X205" s="9">
        <f>IF(ORIG!X205=0,"",ORIG!X205)</f>
        <v/>
      </c>
      <c r="Y205" s="9">
        <f>IF(ORIG!Y205=0,"",ORIG!Y205)</f>
        <v/>
      </c>
      <c r="Z205" s="3">
        <f>SUMPRODUCT($B205:$Y205,$B$2649:$Y$2649)</f>
        <v/>
      </c>
      <c r="AA205" s="3">
        <f>SUMPRODUCT($B205:$Y205,$B$2655:$Y$2655)</f>
        <v/>
      </c>
      <c r="AC205" s="1">
        <f>A205</f>
        <v/>
      </c>
      <c r="AD205">
        <f>IF(ISNUMBER(V205),V205*($AB$1/V$2635),"")</f>
        <v/>
      </c>
      <c r="AE205">
        <f>IF(ISNUMBER(Z205),Z205*($AB$1/Z$2635),"")</f>
        <v/>
      </c>
      <c r="AF205" s="25">
        <f>IF(ISNUMBER(AD205+AE205),AD205+AE205,"")</f>
        <v/>
      </c>
      <c r="AH205" s="1">
        <f>A205</f>
        <v/>
      </c>
      <c r="AI205">
        <f>IF(ISNUMBER((1+V205)*AI204),(1+V205)*AI204,AI204)</f>
        <v/>
      </c>
      <c r="AJ205">
        <f>IF(ISNUMBER((1+Z205)*AJ204),(1+Z205)*AJ204,AJ204)</f>
        <v/>
      </c>
    </row>
    <row r="206">
      <c r="A206" s="1" t="n">
        <v>42299</v>
      </c>
      <c r="B206" s="3">
        <f>IF(ORIG!B206=0,"",ORIG!B206)</f>
        <v/>
      </c>
      <c r="C206" s="3">
        <f>IF(ORIG!C206=0,"",ORIG!C206)</f>
        <v/>
      </c>
      <c r="D206" s="3">
        <f>IF(ORIG!D206=0,"",ORIG!D206)</f>
        <v/>
      </c>
      <c r="E206" s="3">
        <f>IF(ORIG!E206=0,"",ORIG!E206)</f>
        <v/>
      </c>
      <c r="F206" s="3">
        <f>IF(ORIG!F206=0,"",ORIG!F206)</f>
        <v/>
      </c>
      <c r="G206" s="3">
        <f>IF(ORIG!G206=0,"",ORIG!G206)</f>
        <v/>
      </c>
      <c r="H206" s="3">
        <f>IF(ORIG!H206=0,"",ORIG!H206)</f>
        <v/>
      </c>
      <c r="I206" s="3">
        <f>IF(ORIG!I206=0,"",ORIG!I206)</f>
        <v/>
      </c>
      <c r="J206" s="3">
        <f>IF(ORIG!J206=0,"",ORIG!J206)</f>
        <v/>
      </c>
      <c r="K206" s="3">
        <f>IF(ORIG!K206=0,"",ORIG!K206)</f>
        <v/>
      </c>
      <c r="L206" s="3">
        <f>IF(ORIG!L206=0,"",ORIG!L206)</f>
        <v/>
      </c>
      <c r="M206" s="3">
        <f>IF(ORIG!M206=0,"",ORIG!M206)</f>
        <v/>
      </c>
      <c r="N206" s="3">
        <f>IF(ORIG!N206=0,"",ORIG!N206)</f>
        <v/>
      </c>
      <c r="O206" s="3">
        <f>IF(ORIG!O206=0,"",ORIG!O206)</f>
        <v/>
      </c>
      <c r="P206" s="3">
        <f>IF(ORIG!P206=0,"",ORIG!P206)</f>
        <v/>
      </c>
      <c r="Q206" s="3">
        <f>IF(ORIG!Q206=0,"",ORIG!Q206)</f>
        <v/>
      </c>
      <c r="R206" s="3">
        <f>IF(ORIG!R206=0,"",ORIG!R206)</f>
        <v/>
      </c>
      <c r="S206" s="3">
        <f>IF(ORIG!S206=0,"",ORIG!S206)</f>
        <v/>
      </c>
      <c r="T206" s="3">
        <f>IF(ORIG!T206=0,"",ORIG!T206)</f>
        <v/>
      </c>
      <c r="U206" s="3">
        <f>IF(ORIG!U206=0,"",ORIG!U206)</f>
        <v/>
      </c>
      <c r="V206" s="9">
        <f>IF(ORIG!V206=0,"",ORIG!V206)</f>
        <v/>
      </c>
      <c r="W206" s="9">
        <f>IF(ORIG!W206=0,"",ORIG!W206)</f>
        <v/>
      </c>
      <c r="X206" s="9">
        <f>IF(ORIG!X206=0,"",ORIG!X206)</f>
        <v/>
      </c>
      <c r="Y206" s="9">
        <f>IF(ORIG!Y206=0,"",ORIG!Y206)</f>
        <v/>
      </c>
      <c r="Z206" s="3">
        <f>SUMPRODUCT($B206:$Y206,$B$2649:$Y$2649)</f>
        <v/>
      </c>
      <c r="AA206" s="3">
        <f>SUMPRODUCT($B206:$Y206,$B$2655:$Y$2655)</f>
        <v/>
      </c>
      <c r="AC206" s="1">
        <f>A206</f>
        <v/>
      </c>
      <c r="AD206">
        <f>IF(ISNUMBER(V206),V206*($AB$1/V$2635),"")</f>
        <v/>
      </c>
      <c r="AE206">
        <f>IF(ISNUMBER(Z206),Z206*($AB$1/Z$2635),"")</f>
        <v/>
      </c>
      <c r="AF206" s="25">
        <f>IF(ISNUMBER(AD206+AE206),AD206+AE206,"")</f>
        <v/>
      </c>
      <c r="AH206" s="1">
        <f>A206</f>
        <v/>
      </c>
      <c r="AI206">
        <f>IF(ISNUMBER((1+V206)*AI205),(1+V206)*AI205,AI205)</f>
        <v/>
      </c>
      <c r="AJ206">
        <f>IF(ISNUMBER((1+Z206)*AJ205),(1+Z206)*AJ205,AJ205)</f>
        <v/>
      </c>
    </row>
    <row r="207">
      <c r="A207" s="1" t="n">
        <v>42300</v>
      </c>
      <c r="B207" s="3">
        <f>IF(ORIG!B207=0,"",ORIG!B207)</f>
        <v/>
      </c>
      <c r="C207" s="3">
        <f>IF(ORIG!C207=0,"",ORIG!C207)</f>
        <v/>
      </c>
      <c r="D207" s="3">
        <f>IF(ORIG!D207=0,"",ORIG!D207)</f>
        <v/>
      </c>
      <c r="E207" s="3">
        <f>IF(ORIG!E207=0,"",ORIG!E207)</f>
        <v/>
      </c>
      <c r="F207" s="3">
        <f>IF(ORIG!F207=0,"",ORIG!F207)</f>
        <v/>
      </c>
      <c r="G207" s="3">
        <f>IF(ORIG!G207=0,"",ORIG!G207)</f>
        <v/>
      </c>
      <c r="H207" s="3">
        <f>IF(ORIG!H207=0,"",ORIG!H207)</f>
        <v/>
      </c>
      <c r="I207" s="3">
        <f>IF(ORIG!I207=0,"",ORIG!I207)</f>
        <v/>
      </c>
      <c r="J207" s="3">
        <f>IF(ORIG!J207=0,"",ORIG!J207)</f>
        <v/>
      </c>
      <c r="K207" s="3">
        <f>IF(ORIG!K207=0,"",ORIG!K207)</f>
        <v/>
      </c>
      <c r="L207" s="3">
        <f>IF(ORIG!L207=0,"",ORIG!L207)</f>
        <v/>
      </c>
      <c r="M207" s="3">
        <f>IF(ORIG!M207=0,"",ORIG!M207)</f>
        <v/>
      </c>
      <c r="N207" s="3">
        <f>IF(ORIG!N207=0,"",ORIG!N207)</f>
        <v/>
      </c>
      <c r="O207" s="3">
        <f>IF(ORIG!O207=0,"",ORIG!O207)</f>
        <v/>
      </c>
      <c r="P207" s="3">
        <f>IF(ORIG!P207=0,"",ORIG!P207)</f>
        <v/>
      </c>
      <c r="Q207" s="3">
        <f>IF(ORIG!Q207=0,"",ORIG!Q207)</f>
        <v/>
      </c>
      <c r="R207" s="3">
        <f>IF(ORIG!R207=0,"",ORIG!R207)</f>
        <v/>
      </c>
      <c r="S207" s="3">
        <f>IF(ORIG!S207=0,"",ORIG!S207)</f>
        <v/>
      </c>
      <c r="T207" s="3">
        <f>IF(ORIG!T207=0,"",ORIG!T207)</f>
        <v/>
      </c>
      <c r="U207" s="3">
        <f>IF(ORIG!U207=0,"",ORIG!U207)</f>
        <v/>
      </c>
      <c r="V207" s="9">
        <f>IF(ORIG!V207=0,"",ORIG!V207)</f>
        <v/>
      </c>
      <c r="W207" s="9">
        <f>IF(ORIG!W207=0,"",ORIG!W207)</f>
        <v/>
      </c>
      <c r="X207" s="9">
        <f>IF(ORIG!X207=0,"",ORIG!X207)</f>
        <v/>
      </c>
      <c r="Y207" s="9">
        <f>IF(ORIG!Y207=0,"",ORIG!Y207)</f>
        <v/>
      </c>
      <c r="Z207" s="3">
        <f>SUMPRODUCT($B207:$Y207,$B$2649:$Y$2649)</f>
        <v/>
      </c>
      <c r="AA207" s="3">
        <f>SUMPRODUCT($B207:$Y207,$B$2655:$Y$2655)</f>
        <v/>
      </c>
      <c r="AC207" s="1">
        <f>A207</f>
        <v/>
      </c>
      <c r="AD207">
        <f>IF(ISNUMBER(V207),V207*($AB$1/V$2635),"")</f>
        <v/>
      </c>
      <c r="AE207">
        <f>IF(ISNUMBER(Z207),Z207*($AB$1/Z$2635),"")</f>
        <v/>
      </c>
      <c r="AF207" s="25">
        <f>IF(ISNUMBER(AD207+AE207),AD207+AE207,"")</f>
        <v/>
      </c>
      <c r="AH207" s="1">
        <f>A207</f>
        <v/>
      </c>
      <c r="AI207">
        <f>IF(ISNUMBER((1+V207)*AI206),(1+V207)*AI206,AI206)</f>
        <v/>
      </c>
      <c r="AJ207">
        <f>IF(ISNUMBER((1+Z207)*AJ206),(1+Z207)*AJ206,AJ206)</f>
        <v/>
      </c>
    </row>
    <row r="208">
      <c r="A208" s="1" t="n">
        <v>42303</v>
      </c>
      <c r="B208" s="3">
        <f>IF(ORIG!B208=0,"",ORIG!B208)</f>
        <v/>
      </c>
      <c r="C208" s="3">
        <f>IF(ORIG!C208=0,"",ORIG!C208)</f>
        <v/>
      </c>
      <c r="D208" s="3">
        <f>IF(ORIG!D208=0,"",ORIG!D208)</f>
        <v/>
      </c>
      <c r="E208" s="3">
        <f>IF(ORIG!E208=0,"",ORIG!E208)</f>
        <v/>
      </c>
      <c r="F208" s="3">
        <f>IF(ORIG!F208=0,"",ORIG!F208)</f>
        <v/>
      </c>
      <c r="G208" s="3">
        <f>IF(ORIG!G208=0,"",ORIG!G208)</f>
        <v/>
      </c>
      <c r="H208" s="3">
        <f>IF(ORIG!H208=0,"",ORIG!H208)</f>
        <v/>
      </c>
      <c r="I208" s="3">
        <f>IF(ORIG!I208=0,"",ORIG!I208)</f>
        <v/>
      </c>
      <c r="J208" s="3">
        <f>IF(ORIG!J208=0,"",ORIG!J208)</f>
        <v/>
      </c>
      <c r="K208" s="3">
        <f>IF(ORIG!K208=0,"",ORIG!K208)</f>
        <v/>
      </c>
      <c r="L208" s="3">
        <f>IF(ORIG!L208=0,"",ORIG!L208)</f>
        <v/>
      </c>
      <c r="M208" s="3">
        <f>IF(ORIG!M208=0,"",ORIG!M208)</f>
        <v/>
      </c>
      <c r="N208" s="3">
        <f>IF(ORIG!N208=0,"",ORIG!N208)</f>
        <v/>
      </c>
      <c r="O208" s="3">
        <f>IF(ORIG!O208=0,"",ORIG!O208)</f>
        <v/>
      </c>
      <c r="P208" s="3">
        <f>IF(ORIG!P208=0,"",ORIG!P208)</f>
        <v/>
      </c>
      <c r="Q208" s="3">
        <f>IF(ORIG!Q208=0,"",ORIG!Q208)</f>
        <v/>
      </c>
      <c r="R208" s="3">
        <f>IF(ORIG!R208=0,"",ORIG!R208)</f>
        <v/>
      </c>
      <c r="S208" s="3">
        <f>IF(ORIG!S208=0,"",ORIG!S208)</f>
        <v/>
      </c>
      <c r="T208" s="3">
        <f>IF(ORIG!T208=0,"",ORIG!T208)</f>
        <v/>
      </c>
      <c r="U208" s="3">
        <f>IF(ORIG!U208=0,"",ORIG!U208)</f>
        <v/>
      </c>
      <c r="V208" s="9">
        <f>IF(ORIG!V208=0,"",ORIG!V208)</f>
        <v/>
      </c>
      <c r="W208" s="9">
        <f>IF(ORIG!W208=0,"",ORIG!W208)</f>
        <v/>
      </c>
      <c r="X208" s="9">
        <f>IF(ORIG!X208=0,"",ORIG!X208)</f>
        <v/>
      </c>
      <c r="Y208" s="9">
        <f>IF(ORIG!Y208=0,"",ORIG!Y208)</f>
        <v/>
      </c>
      <c r="Z208" s="3">
        <f>SUMPRODUCT($B208:$Y208,$B$2649:$Y$2649)</f>
        <v/>
      </c>
      <c r="AA208" s="3">
        <f>SUMPRODUCT($B208:$Y208,$B$2655:$Y$2655)</f>
        <v/>
      </c>
      <c r="AC208" s="1">
        <f>A208</f>
        <v/>
      </c>
      <c r="AD208">
        <f>IF(ISNUMBER(V208),V208*($AB$1/V$2635),"")</f>
        <v/>
      </c>
      <c r="AE208">
        <f>IF(ISNUMBER(Z208),Z208*($AB$1/Z$2635),"")</f>
        <v/>
      </c>
      <c r="AF208" s="25">
        <f>IF(ISNUMBER(AD208+AE208),AD208+AE208,"")</f>
        <v/>
      </c>
      <c r="AH208" s="1">
        <f>A208</f>
        <v/>
      </c>
      <c r="AI208">
        <f>IF(ISNUMBER((1+V208)*AI207),(1+V208)*AI207,AI207)</f>
        <v/>
      </c>
      <c r="AJ208">
        <f>IF(ISNUMBER((1+Z208)*AJ207),(1+Z208)*AJ207,AJ207)</f>
        <v/>
      </c>
    </row>
    <row r="209">
      <c r="A209" s="1" t="n">
        <v>42304</v>
      </c>
      <c r="B209" s="3">
        <f>IF(ORIG!B209=0,"",ORIG!B209)</f>
        <v/>
      </c>
      <c r="C209" s="3">
        <f>IF(ORIG!C209=0,"",ORIG!C209)</f>
        <v/>
      </c>
      <c r="D209" s="3">
        <f>IF(ORIG!D209=0,"",ORIG!D209)</f>
        <v/>
      </c>
      <c r="E209" s="3">
        <f>IF(ORIG!E209=0,"",ORIG!E209)</f>
        <v/>
      </c>
      <c r="F209" s="3">
        <f>IF(ORIG!F209=0,"",ORIG!F209)</f>
        <v/>
      </c>
      <c r="G209" s="3">
        <f>IF(ORIG!G209=0,"",ORIG!G209)</f>
        <v/>
      </c>
      <c r="H209" s="3">
        <f>IF(ORIG!H209=0,"",ORIG!H209)</f>
        <v/>
      </c>
      <c r="I209" s="3">
        <f>IF(ORIG!I209=0,"",ORIG!I209)</f>
        <v/>
      </c>
      <c r="J209" s="3">
        <f>IF(ORIG!J209=0,"",ORIG!J209)</f>
        <v/>
      </c>
      <c r="K209" s="3">
        <f>IF(ORIG!K209=0,"",ORIG!K209)</f>
        <v/>
      </c>
      <c r="L209" s="3">
        <f>IF(ORIG!L209=0,"",ORIG!L209)</f>
        <v/>
      </c>
      <c r="M209" s="3">
        <f>IF(ORIG!M209=0,"",ORIG!M209)</f>
        <v/>
      </c>
      <c r="N209" s="3">
        <f>IF(ORIG!N209=0,"",ORIG!N209)</f>
        <v/>
      </c>
      <c r="O209" s="3">
        <f>IF(ORIG!O209=0,"",ORIG!O209)</f>
        <v/>
      </c>
      <c r="P209" s="3">
        <f>IF(ORIG!P209=0,"",ORIG!P209)</f>
        <v/>
      </c>
      <c r="Q209" s="3">
        <f>IF(ORIG!Q209=0,"",ORIG!Q209)</f>
        <v/>
      </c>
      <c r="R209" s="3">
        <f>IF(ORIG!R209=0,"",ORIG!R209)</f>
        <v/>
      </c>
      <c r="S209" s="3">
        <f>IF(ORIG!S209=0,"",ORIG!S209)</f>
        <v/>
      </c>
      <c r="T209" s="3">
        <f>IF(ORIG!T209=0,"",ORIG!T209)</f>
        <v/>
      </c>
      <c r="U209" s="3">
        <f>IF(ORIG!U209=0,"",ORIG!U209)</f>
        <v/>
      </c>
      <c r="V209" s="9">
        <f>IF(ORIG!V209=0,"",ORIG!V209)</f>
        <v/>
      </c>
      <c r="W209" s="9">
        <f>IF(ORIG!W209=0,"",ORIG!W209)</f>
        <v/>
      </c>
      <c r="X209" s="9">
        <f>IF(ORIG!X209=0,"",ORIG!X209)</f>
        <v/>
      </c>
      <c r="Y209" s="9">
        <f>IF(ORIG!Y209=0,"",ORIG!Y209)</f>
        <v/>
      </c>
      <c r="Z209" s="3">
        <f>SUMPRODUCT($B209:$Y209,$B$2649:$Y$2649)</f>
        <v/>
      </c>
      <c r="AA209" s="3">
        <f>SUMPRODUCT($B209:$Y209,$B$2655:$Y$2655)</f>
        <v/>
      </c>
      <c r="AC209" s="1">
        <f>A209</f>
        <v/>
      </c>
      <c r="AD209">
        <f>IF(ISNUMBER(V209),V209*($AB$1/V$2635),"")</f>
        <v/>
      </c>
      <c r="AE209">
        <f>IF(ISNUMBER(Z209),Z209*($AB$1/Z$2635),"")</f>
        <v/>
      </c>
      <c r="AF209" s="25">
        <f>IF(ISNUMBER(AD209+AE209),AD209+AE209,"")</f>
        <v/>
      </c>
      <c r="AH209" s="1">
        <f>A209</f>
        <v/>
      </c>
      <c r="AI209">
        <f>IF(ISNUMBER((1+V209)*AI208),(1+V209)*AI208,AI208)</f>
        <v/>
      </c>
      <c r="AJ209">
        <f>IF(ISNUMBER((1+Z209)*AJ208),(1+Z209)*AJ208,AJ208)</f>
        <v/>
      </c>
    </row>
    <row r="210">
      <c r="A210" s="1" t="n">
        <v>42305</v>
      </c>
      <c r="B210" s="3">
        <f>IF(ORIG!B210=0,"",ORIG!B210)</f>
        <v/>
      </c>
      <c r="C210" s="3">
        <f>IF(ORIG!C210=0,"",ORIG!C210)</f>
        <v/>
      </c>
      <c r="D210" s="3">
        <f>IF(ORIG!D210=0,"",ORIG!D210)</f>
        <v/>
      </c>
      <c r="E210" s="3">
        <f>IF(ORIG!E210=0,"",ORIG!E210)</f>
        <v/>
      </c>
      <c r="F210" s="3">
        <f>IF(ORIG!F210=0,"",ORIG!F210)</f>
        <v/>
      </c>
      <c r="G210" s="3">
        <f>IF(ORIG!G210=0,"",ORIG!G210)</f>
        <v/>
      </c>
      <c r="H210" s="3">
        <f>IF(ORIG!H210=0,"",ORIG!H210)</f>
        <v/>
      </c>
      <c r="I210" s="3">
        <f>IF(ORIG!I210=0,"",ORIG!I210)</f>
        <v/>
      </c>
      <c r="J210" s="3">
        <f>IF(ORIG!J210=0,"",ORIG!J210)</f>
        <v/>
      </c>
      <c r="K210" s="3">
        <f>IF(ORIG!K210=0,"",ORIG!K210)</f>
        <v/>
      </c>
      <c r="L210" s="3">
        <f>IF(ORIG!L210=0,"",ORIG!L210)</f>
        <v/>
      </c>
      <c r="M210" s="3">
        <f>IF(ORIG!M210=0,"",ORIG!M210)</f>
        <v/>
      </c>
      <c r="N210" s="3">
        <f>IF(ORIG!N210=0,"",ORIG!N210)</f>
        <v/>
      </c>
      <c r="O210" s="3">
        <f>IF(ORIG!O210=0,"",ORIG!O210)</f>
        <v/>
      </c>
      <c r="P210" s="3">
        <f>IF(ORIG!P210=0,"",ORIG!P210)</f>
        <v/>
      </c>
      <c r="Q210" s="3">
        <f>IF(ORIG!Q210=0,"",ORIG!Q210)</f>
        <v/>
      </c>
      <c r="R210" s="3">
        <f>IF(ORIG!R210=0,"",ORIG!R210)</f>
        <v/>
      </c>
      <c r="S210" s="3">
        <f>IF(ORIG!S210=0,"",ORIG!S210)</f>
        <v/>
      </c>
      <c r="T210" s="3">
        <f>IF(ORIG!T210=0,"",ORIG!T210)</f>
        <v/>
      </c>
      <c r="U210" s="3">
        <f>IF(ORIG!U210=0,"",ORIG!U210)</f>
        <v/>
      </c>
      <c r="V210" s="9">
        <f>IF(ORIG!V210=0,"",ORIG!V210)</f>
        <v/>
      </c>
      <c r="W210" s="9">
        <f>IF(ORIG!W210=0,"",ORIG!W210)</f>
        <v/>
      </c>
      <c r="X210" s="9">
        <f>IF(ORIG!X210=0,"",ORIG!X210)</f>
        <v/>
      </c>
      <c r="Y210" s="9">
        <f>IF(ORIG!Y210=0,"",ORIG!Y210)</f>
        <v/>
      </c>
      <c r="Z210" s="3">
        <f>SUMPRODUCT($B210:$Y210,$B$2649:$Y$2649)</f>
        <v/>
      </c>
      <c r="AA210" s="3">
        <f>SUMPRODUCT($B210:$Y210,$B$2655:$Y$2655)</f>
        <v/>
      </c>
      <c r="AC210" s="1">
        <f>A210</f>
        <v/>
      </c>
      <c r="AD210">
        <f>IF(ISNUMBER(V210),V210*($AB$1/V$2635),"")</f>
        <v/>
      </c>
      <c r="AE210">
        <f>IF(ISNUMBER(Z210),Z210*($AB$1/Z$2635),"")</f>
        <v/>
      </c>
      <c r="AF210" s="25">
        <f>IF(ISNUMBER(AD210+AE210),AD210+AE210,"")</f>
        <v/>
      </c>
      <c r="AH210" s="1">
        <f>A210</f>
        <v/>
      </c>
      <c r="AI210">
        <f>IF(ISNUMBER((1+V210)*AI209),(1+V210)*AI209,AI209)</f>
        <v/>
      </c>
      <c r="AJ210">
        <f>IF(ISNUMBER((1+Z210)*AJ209),(1+Z210)*AJ209,AJ209)</f>
        <v/>
      </c>
    </row>
    <row r="211">
      <c r="A211" s="1" t="n">
        <v>42306</v>
      </c>
      <c r="B211" s="3">
        <f>IF(ORIG!B211=0,"",ORIG!B211)</f>
        <v/>
      </c>
      <c r="C211" s="3">
        <f>IF(ORIG!C211=0,"",ORIG!C211)</f>
        <v/>
      </c>
      <c r="D211" s="3">
        <f>IF(ORIG!D211=0,"",ORIG!D211)</f>
        <v/>
      </c>
      <c r="E211" s="3">
        <f>IF(ORIG!E211=0,"",ORIG!E211)</f>
        <v/>
      </c>
      <c r="F211" s="3">
        <f>IF(ORIG!F211=0,"",ORIG!F211)</f>
        <v/>
      </c>
      <c r="G211" s="3">
        <f>IF(ORIG!G211=0,"",ORIG!G211)</f>
        <v/>
      </c>
      <c r="H211" s="3">
        <f>IF(ORIG!H211=0,"",ORIG!H211)</f>
        <v/>
      </c>
      <c r="I211" s="3">
        <f>IF(ORIG!I211=0,"",ORIG!I211)</f>
        <v/>
      </c>
      <c r="J211" s="3">
        <f>IF(ORIG!J211=0,"",ORIG!J211)</f>
        <v/>
      </c>
      <c r="K211" s="3">
        <f>IF(ORIG!K211=0,"",ORIG!K211)</f>
        <v/>
      </c>
      <c r="L211" s="3">
        <f>IF(ORIG!L211=0,"",ORIG!L211)</f>
        <v/>
      </c>
      <c r="M211" s="3">
        <f>IF(ORIG!M211=0,"",ORIG!M211)</f>
        <v/>
      </c>
      <c r="N211" s="3">
        <f>IF(ORIG!N211=0,"",ORIG!N211)</f>
        <v/>
      </c>
      <c r="O211" s="3">
        <f>IF(ORIG!O211=0,"",ORIG!O211)</f>
        <v/>
      </c>
      <c r="P211" s="3">
        <f>IF(ORIG!P211=0,"",ORIG!P211)</f>
        <v/>
      </c>
      <c r="Q211" s="3">
        <f>IF(ORIG!Q211=0,"",ORIG!Q211)</f>
        <v/>
      </c>
      <c r="R211" s="3">
        <f>IF(ORIG!R211=0,"",ORIG!R211)</f>
        <v/>
      </c>
      <c r="S211" s="3">
        <f>IF(ORIG!S211=0,"",ORIG!S211)</f>
        <v/>
      </c>
      <c r="T211" s="3">
        <f>IF(ORIG!T211=0,"",ORIG!T211)</f>
        <v/>
      </c>
      <c r="U211" s="3">
        <f>IF(ORIG!U211=0,"",ORIG!U211)</f>
        <v/>
      </c>
      <c r="V211" s="9">
        <f>IF(ORIG!V211=0,"",ORIG!V211)</f>
        <v/>
      </c>
      <c r="W211" s="9">
        <f>IF(ORIG!W211=0,"",ORIG!W211)</f>
        <v/>
      </c>
      <c r="X211" s="9">
        <f>IF(ORIG!X211=0,"",ORIG!X211)</f>
        <v/>
      </c>
      <c r="Y211" s="9">
        <f>IF(ORIG!Y211=0,"",ORIG!Y211)</f>
        <v/>
      </c>
      <c r="Z211" s="3">
        <f>SUMPRODUCT($B211:$Y211,$B$2649:$Y$2649)</f>
        <v/>
      </c>
      <c r="AA211" s="3">
        <f>SUMPRODUCT($B211:$Y211,$B$2655:$Y$2655)</f>
        <v/>
      </c>
      <c r="AC211" s="1">
        <f>A211</f>
        <v/>
      </c>
      <c r="AD211">
        <f>IF(ISNUMBER(V211),V211*($AB$1/V$2635),"")</f>
        <v/>
      </c>
      <c r="AE211">
        <f>IF(ISNUMBER(Z211),Z211*($AB$1/Z$2635),"")</f>
        <v/>
      </c>
      <c r="AF211" s="25">
        <f>IF(ISNUMBER(AD211+AE211),AD211+AE211,"")</f>
        <v/>
      </c>
      <c r="AH211" s="1">
        <f>A211</f>
        <v/>
      </c>
      <c r="AI211">
        <f>IF(ISNUMBER((1+V211)*AI210),(1+V211)*AI210,AI210)</f>
        <v/>
      </c>
      <c r="AJ211">
        <f>IF(ISNUMBER((1+Z211)*AJ210),(1+Z211)*AJ210,AJ210)</f>
        <v/>
      </c>
    </row>
    <row r="212">
      <c r="A212" s="1" t="n">
        <v>42307</v>
      </c>
      <c r="B212" s="3">
        <f>IF(ORIG!B212=0,"",ORIG!B212)</f>
        <v/>
      </c>
      <c r="C212" s="3">
        <f>IF(ORIG!C212=0,"",ORIG!C212)</f>
        <v/>
      </c>
      <c r="D212" s="3">
        <f>IF(ORIG!D212=0,"",ORIG!D212)</f>
        <v/>
      </c>
      <c r="E212" s="3">
        <f>IF(ORIG!E212=0,"",ORIG!E212)</f>
        <v/>
      </c>
      <c r="F212" s="3">
        <f>IF(ORIG!F212=0,"",ORIG!F212)</f>
        <v/>
      </c>
      <c r="G212" s="3">
        <f>IF(ORIG!G212=0,"",ORIG!G212)</f>
        <v/>
      </c>
      <c r="H212" s="3">
        <f>IF(ORIG!H212=0,"",ORIG!H212)</f>
        <v/>
      </c>
      <c r="I212" s="3">
        <f>IF(ORIG!I212=0,"",ORIG!I212)</f>
        <v/>
      </c>
      <c r="J212" s="3">
        <f>IF(ORIG!J212=0,"",ORIG!J212)</f>
        <v/>
      </c>
      <c r="K212" s="3">
        <f>IF(ORIG!K212=0,"",ORIG!K212)</f>
        <v/>
      </c>
      <c r="L212" s="3">
        <f>IF(ORIG!L212=0,"",ORIG!L212)</f>
        <v/>
      </c>
      <c r="M212" s="3">
        <f>IF(ORIG!M212=0,"",ORIG!M212)</f>
        <v/>
      </c>
      <c r="N212" s="3">
        <f>IF(ORIG!N212=0,"",ORIG!N212)</f>
        <v/>
      </c>
      <c r="O212" s="3">
        <f>IF(ORIG!O212=0,"",ORIG!O212)</f>
        <v/>
      </c>
      <c r="P212" s="3">
        <f>IF(ORIG!P212=0,"",ORIG!P212)</f>
        <v/>
      </c>
      <c r="Q212" s="3">
        <f>IF(ORIG!Q212=0,"",ORIG!Q212)</f>
        <v/>
      </c>
      <c r="R212" s="3">
        <f>IF(ORIG!R212=0,"",ORIG!R212)</f>
        <v/>
      </c>
      <c r="S212" s="3">
        <f>IF(ORIG!S212=0,"",ORIG!S212)</f>
        <v/>
      </c>
      <c r="T212" s="3">
        <f>IF(ORIG!T212=0,"",ORIG!T212)</f>
        <v/>
      </c>
      <c r="U212" s="3">
        <f>IF(ORIG!U212=0,"",ORIG!U212)</f>
        <v/>
      </c>
      <c r="V212" s="9">
        <f>IF(ORIG!V212=0,"",ORIG!V212)</f>
        <v/>
      </c>
      <c r="W212" s="9">
        <f>IF(ORIG!W212=0,"",ORIG!W212)</f>
        <v/>
      </c>
      <c r="X212" s="9">
        <f>IF(ORIG!X212=0,"",ORIG!X212)</f>
        <v/>
      </c>
      <c r="Y212" s="9">
        <f>IF(ORIG!Y212=0,"",ORIG!Y212)</f>
        <v/>
      </c>
      <c r="Z212" s="3">
        <f>SUMPRODUCT($B212:$Y212,$B$2649:$Y$2649)</f>
        <v/>
      </c>
      <c r="AA212" s="3">
        <f>SUMPRODUCT($B212:$Y212,$B$2655:$Y$2655)</f>
        <v/>
      </c>
      <c r="AC212" s="1">
        <f>A212</f>
        <v/>
      </c>
      <c r="AD212">
        <f>IF(ISNUMBER(V212),V212*($AB$1/V$2635),"")</f>
        <v/>
      </c>
      <c r="AE212">
        <f>IF(ISNUMBER(Z212),Z212*($AB$1/Z$2635),"")</f>
        <v/>
      </c>
      <c r="AF212" s="25">
        <f>IF(ISNUMBER(AD212+AE212),AD212+AE212,"")</f>
        <v/>
      </c>
      <c r="AH212" s="1">
        <f>A212</f>
        <v/>
      </c>
      <c r="AI212">
        <f>IF(ISNUMBER((1+V212)*AI211),(1+V212)*AI211,AI211)</f>
        <v/>
      </c>
      <c r="AJ212">
        <f>IF(ISNUMBER((1+Z212)*AJ211),(1+Z212)*AJ211,AJ211)</f>
        <v/>
      </c>
    </row>
    <row r="213">
      <c r="A213" s="1" t="n">
        <v>42310</v>
      </c>
      <c r="B213" s="3">
        <f>IF(ORIG!B213=0,"",ORIG!B213)</f>
        <v/>
      </c>
      <c r="C213" s="3">
        <f>IF(ORIG!C213=0,"",ORIG!C213)</f>
        <v/>
      </c>
      <c r="D213" s="3">
        <f>IF(ORIG!D213=0,"",ORIG!D213)</f>
        <v/>
      </c>
      <c r="E213" s="3">
        <f>IF(ORIG!E213=0,"",ORIG!E213)</f>
        <v/>
      </c>
      <c r="F213" s="3">
        <f>IF(ORIG!F213=0,"",ORIG!F213)</f>
        <v/>
      </c>
      <c r="G213" s="3">
        <f>IF(ORIG!G213=0,"",ORIG!G213)</f>
        <v/>
      </c>
      <c r="H213" s="3">
        <f>IF(ORIG!H213=0,"",ORIG!H213)</f>
        <v/>
      </c>
      <c r="I213" s="3">
        <f>IF(ORIG!I213=0,"",ORIG!I213)</f>
        <v/>
      </c>
      <c r="J213" s="3">
        <f>IF(ORIG!J213=0,"",ORIG!J213)</f>
        <v/>
      </c>
      <c r="K213" s="3">
        <f>IF(ORIG!K213=0,"",ORIG!K213)</f>
        <v/>
      </c>
      <c r="L213" s="3">
        <f>IF(ORIG!L213=0,"",ORIG!L213)</f>
        <v/>
      </c>
      <c r="M213" s="3">
        <f>IF(ORIG!M213=0,"",ORIG!M213)</f>
        <v/>
      </c>
      <c r="N213" s="3">
        <f>IF(ORIG!N213=0,"",ORIG!N213)</f>
        <v/>
      </c>
      <c r="O213" s="3">
        <f>IF(ORIG!O213=0,"",ORIG!O213)</f>
        <v/>
      </c>
      <c r="P213" s="3">
        <f>IF(ORIG!P213=0,"",ORIG!P213)</f>
        <v/>
      </c>
      <c r="Q213" s="3">
        <f>IF(ORIG!Q213=0,"",ORIG!Q213)</f>
        <v/>
      </c>
      <c r="R213" s="3">
        <f>IF(ORIG!R213=0,"",ORIG!R213)</f>
        <v/>
      </c>
      <c r="S213" s="3">
        <f>IF(ORIG!S213=0,"",ORIG!S213)</f>
        <v/>
      </c>
      <c r="T213" s="3">
        <f>IF(ORIG!T213=0,"",ORIG!T213)</f>
        <v/>
      </c>
      <c r="U213" s="3">
        <f>IF(ORIG!U213=0,"",ORIG!U213)</f>
        <v/>
      </c>
      <c r="V213" s="9">
        <f>IF(ORIG!V213=0,"",ORIG!V213)</f>
        <v/>
      </c>
      <c r="W213" s="9">
        <f>IF(ORIG!W213=0,"",ORIG!W213)</f>
        <v/>
      </c>
      <c r="X213" s="9">
        <f>IF(ORIG!X213=0,"",ORIG!X213)</f>
        <v/>
      </c>
      <c r="Y213" s="9">
        <f>IF(ORIG!Y213=0,"",ORIG!Y213)</f>
        <v/>
      </c>
      <c r="Z213" s="3">
        <f>SUMPRODUCT($B213:$Y213,$B$2649:$Y$2649)</f>
        <v/>
      </c>
      <c r="AA213" s="3">
        <f>SUMPRODUCT($B213:$Y213,$B$2655:$Y$2655)</f>
        <v/>
      </c>
      <c r="AC213" s="1">
        <f>A213</f>
        <v/>
      </c>
      <c r="AD213">
        <f>IF(ISNUMBER(V213),V213*($AB$1/V$2635),"")</f>
        <v/>
      </c>
      <c r="AE213">
        <f>IF(ISNUMBER(Z213),Z213*($AB$1/Z$2635),"")</f>
        <v/>
      </c>
      <c r="AF213" s="25">
        <f>IF(ISNUMBER(AD213+AE213),AD213+AE213,"")</f>
        <v/>
      </c>
      <c r="AH213" s="1">
        <f>A213</f>
        <v/>
      </c>
      <c r="AI213">
        <f>IF(ISNUMBER((1+V213)*AI212),(1+V213)*AI212,AI212)</f>
        <v/>
      </c>
      <c r="AJ213">
        <f>IF(ISNUMBER((1+Z213)*AJ212),(1+Z213)*AJ212,AJ212)</f>
        <v/>
      </c>
    </row>
    <row r="214">
      <c r="A214" s="1" t="n">
        <v>42311</v>
      </c>
      <c r="B214" s="3">
        <f>IF(ORIG!B214=0,"",ORIG!B214)</f>
        <v/>
      </c>
      <c r="C214" s="3">
        <f>IF(ORIG!C214=0,"",ORIG!C214)</f>
        <v/>
      </c>
      <c r="D214" s="3">
        <f>IF(ORIG!D214=0,"",ORIG!D214)</f>
        <v/>
      </c>
      <c r="E214" s="3">
        <f>IF(ORIG!E214=0,"",ORIG!E214)</f>
        <v/>
      </c>
      <c r="F214" s="3">
        <f>IF(ORIG!F214=0,"",ORIG!F214)</f>
        <v/>
      </c>
      <c r="G214" s="3">
        <f>IF(ORIG!G214=0,"",ORIG!G214)</f>
        <v/>
      </c>
      <c r="H214" s="3">
        <f>IF(ORIG!H214=0,"",ORIG!H214)</f>
        <v/>
      </c>
      <c r="I214" s="3">
        <f>IF(ORIG!I214=0,"",ORIG!I214)</f>
        <v/>
      </c>
      <c r="J214" s="3">
        <f>IF(ORIG!J214=0,"",ORIG!J214)</f>
        <v/>
      </c>
      <c r="K214" s="3">
        <f>IF(ORIG!K214=0,"",ORIG!K214)</f>
        <v/>
      </c>
      <c r="L214" s="3">
        <f>IF(ORIG!L214=0,"",ORIG!L214)</f>
        <v/>
      </c>
      <c r="M214" s="3">
        <f>IF(ORIG!M214=0,"",ORIG!M214)</f>
        <v/>
      </c>
      <c r="N214" s="3">
        <f>IF(ORIG!N214=0,"",ORIG!N214)</f>
        <v/>
      </c>
      <c r="O214" s="3">
        <f>IF(ORIG!O214=0,"",ORIG!O214)</f>
        <v/>
      </c>
      <c r="P214" s="3">
        <f>IF(ORIG!P214=0,"",ORIG!P214)</f>
        <v/>
      </c>
      <c r="Q214" s="3">
        <f>IF(ORIG!Q214=0,"",ORIG!Q214)</f>
        <v/>
      </c>
      <c r="R214" s="3">
        <f>IF(ORIG!R214=0,"",ORIG!R214)</f>
        <v/>
      </c>
      <c r="S214" s="3">
        <f>IF(ORIG!S214=0,"",ORIG!S214)</f>
        <v/>
      </c>
      <c r="T214" s="3">
        <f>IF(ORIG!T214=0,"",ORIG!T214)</f>
        <v/>
      </c>
      <c r="U214" s="3">
        <f>IF(ORIG!U214=0,"",ORIG!U214)</f>
        <v/>
      </c>
      <c r="V214" s="9">
        <f>IF(ORIG!V214=0,"",ORIG!V214)</f>
        <v/>
      </c>
      <c r="W214" s="9">
        <f>IF(ORIG!W214=0,"",ORIG!W214)</f>
        <v/>
      </c>
      <c r="X214" s="9">
        <f>IF(ORIG!X214=0,"",ORIG!X214)</f>
        <v/>
      </c>
      <c r="Y214" s="9">
        <f>IF(ORIG!Y214=0,"",ORIG!Y214)</f>
        <v/>
      </c>
      <c r="Z214" s="3">
        <f>SUMPRODUCT($B214:$Y214,$B$2649:$Y$2649)</f>
        <v/>
      </c>
      <c r="AA214" s="3">
        <f>SUMPRODUCT($B214:$Y214,$B$2655:$Y$2655)</f>
        <v/>
      </c>
      <c r="AC214" s="1">
        <f>A214</f>
        <v/>
      </c>
      <c r="AD214">
        <f>IF(ISNUMBER(V214),V214*($AB$1/V$2635),"")</f>
        <v/>
      </c>
      <c r="AE214">
        <f>IF(ISNUMBER(Z214),Z214*($AB$1/Z$2635),"")</f>
        <v/>
      </c>
      <c r="AF214" s="25">
        <f>IF(ISNUMBER(AD214+AE214),AD214+AE214,"")</f>
        <v/>
      </c>
      <c r="AH214" s="1">
        <f>A214</f>
        <v/>
      </c>
      <c r="AI214">
        <f>IF(ISNUMBER((1+V214)*AI213),(1+V214)*AI213,AI213)</f>
        <v/>
      </c>
      <c r="AJ214">
        <f>IF(ISNUMBER((1+Z214)*AJ213),(1+Z214)*AJ213,AJ213)</f>
        <v/>
      </c>
    </row>
    <row r="215">
      <c r="A215" s="1" t="n">
        <v>42312</v>
      </c>
      <c r="B215" s="3">
        <f>IF(ORIG!B215=0,"",ORIG!B215)</f>
        <v/>
      </c>
      <c r="C215" s="3">
        <f>IF(ORIG!C215=0,"",ORIG!C215)</f>
        <v/>
      </c>
      <c r="D215" s="3">
        <f>IF(ORIG!D215=0,"",ORIG!D215)</f>
        <v/>
      </c>
      <c r="E215" s="3">
        <f>IF(ORIG!E215=0,"",ORIG!E215)</f>
        <v/>
      </c>
      <c r="F215" s="3">
        <f>IF(ORIG!F215=0,"",ORIG!F215)</f>
        <v/>
      </c>
      <c r="G215" s="3">
        <f>IF(ORIG!G215=0,"",ORIG!G215)</f>
        <v/>
      </c>
      <c r="H215" s="3">
        <f>IF(ORIG!H215=0,"",ORIG!H215)</f>
        <v/>
      </c>
      <c r="I215" s="3">
        <f>IF(ORIG!I215=0,"",ORIG!I215)</f>
        <v/>
      </c>
      <c r="J215" s="3">
        <f>IF(ORIG!J215=0,"",ORIG!J215)</f>
        <v/>
      </c>
      <c r="K215" s="3">
        <f>IF(ORIG!K215=0,"",ORIG!K215)</f>
        <v/>
      </c>
      <c r="L215" s="3">
        <f>IF(ORIG!L215=0,"",ORIG!L215)</f>
        <v/>
      </c>
      <c r="M215" s="3">
        <f>IF(ORIG!M215=0,"",ORIG!M215)</f>
        <v/>
      </c>
      <c r="N215" s="3">
        <f>IF(ORIG!N215=0,"",ORIG!N215)</f>
        <v/>
      </c>
      <c r="O215" s="3">
        <f>IF(ORIG!O215=0,"",ORIG!O215)</f>
        <v/>
      </c>
      <c r="P215" s="3">
        <f>IF(ORIG!P215=0,"",ORIG!P215)</f>
        <v/>
      </c>
      <c r="Q215" s="3">
        <f>IF(ORIG!Q215=0,"",ORIG!Q215)</f>
        <v/>
      </c>
      <c r="R215" s="3">
        <f>IF(ORIG!R215=0,"",ORIG!R215)</f>
        <v/>
      </c>
      <c r="S215" s="3">
        <f>IF(ORIG!S215=0,"",ORIG!S215)</f>
        <v/>
      </c>
      <c r="T215" s="3">
        <f>IF(ORIG!T215=0,"",ORIG!T215)</f>
        <v/>
      </c>
      <c r="U215" s="3">
        <f>IF(ORIG!U215=0,"",ORIG!U215)</f>
        <v/>
      </c>
      <c r="V215" s="9">
        <f>IF(ORIG!V215=0,"",ORIG!V215)</f>
        <v/>
      </c>
      <c r="W215" s="9">
        <f>IF(ORIG!W215=0,"",ORIG!W215)</f>
        <v/>
      </c>
      <c r="X215" s="9">
        <f>IF(ORIG!X215=0,"",ORIG!X215)</f>
        <v/>
      </c>
      <c r="Y215" s="9">
        <f>IF(ORIG!Y215=0,"",ORIG!Y215)</f>
        <v/>
      </c>
      <c r="Z215" s="3">
        <f>SUMPRODUCT($B215:$Y215,$B$2649:$Y$2649)</f>
        <v/>
      </c>
      <c r="AA215" s="3">
        <f>SUMPRODUCT($B215:$Y215,$B$2655:$Y$2655)</f>
        <v/>
      </c>
      <c r="AC215" s="1">
        <f>A215</f>
        <v/>
      </c>
      <c r="AD215">
        <f>IF(ISNUMBER(V215),V215*($AB$1/V$2635),"")</f>
        <v/>
      </c>
      <c r="AE215">
        <f>IF(ISNUMBER(Z215),Z215*($AB$1/Z$2635),"")</f>
        <v/>
      </c>
      <c r="AF215" s="25">
        <f>IF(ISNUMBER(AD215+AE215),AD215+AE215,"")</f>
        <v/>
      </c>
      <c r="AH215" s="1">
        <f>A215</f>
        <v/>
      </c>
      <c r="AI215">
        <f>IF(ISNUMBER((1+V215)*AI214),(1+V215)*AI214,AI214)</f>
        <v/>
      </c>
      <c r="AJ215">
        <f>IF(ISNUMBER((1+Z215)*AJ214),(1+Z215)*AJ214,AJ214)</f>
        <v/>
      </c>
    </row>
    <row r="216">
      <c r="A216" s="1" t="n">
        <v>42313</v>
      </c>
      <c r="B216" s="3">
        <f>IF(ORIG!B216=0,"",ORIG!B216)</f>
        <v/>
      </c>
      <c r="C216" s="3">
        <f>IF(ORIG!C216=0,"",ORIG!C216)</f>
        <v/>
      </c>
      <c r="D216" s="3">
        <f>IF(ORIG!D216=0,"",ORIG!D216)</f>
        <v/>
      </c>
      <c r="E216" s="3">
        <f>IF(ORIG!E216=0,"",ORIG!E216)</f>
        <v/>
      </c>
      <c r="F216" s="3">
        <f>IF(ORIG!F216=0,"",ORIG!F216)</f>
        <v/>
      </c>
      <c r="G216" s="3">
        <f>IF(ORIG!G216=0,"",ORIG!G216)</f>
        <v/>
      </c>
      <c r="H216" s="3">
        <f>IF(ORIG!H216=0,"",ORIG!H216)</f>
        <v/>
      </c>
      <c r="I216" s="3">
        <f>IF(ORIG!I216=0,"",ORIG!I216)</f>
        <v/>
      </c>
      <c r="J216" s="3">
        <f>IF(ORIG!J216=0,"",ORIG!J216)</f>
        <v/>
      </c>
      <c r="K216" s="3">
        <f>IF(ORIG!K216=0,"",ORIG!K216)</f>
        <v/>
      </c>
      <c r="L216" s="3">
        <f>IF(ORIG!L216=0,"",ORIG!L216)</f>
        <v/>
      </c>
      <c r="M216" s="3">
        <f>IF(ORIG!M216=0,"",ORIG!M216)</f>
        <v/>
      </c>
      <c r="N216" s="3">
        <f>IF(ORIG!N216=0,"",ORIG!N216)</f>
        <v/>
      </c>
      <c r="O216" s="3">
        <f>IF(ORIG!O216=0,"",ORIG!O216)</f>
        <v/>
      </c>
      <c r="P216" s="3">
        <f>IF(ORIG!P216=0,"",ORIG!P216)</f>
        <v/>
      </c>
      <c r="Q216" s="3">
        <f>IF(ORIG!Q216=0,"",ORIG!Q216)</f>
        <v/>
      </c>
      <c r="R216" s="3">
        <f>IF(ORIG!R216=0,"",ORIG!R216)</f>
        <v/>
      </c>
      <c r="S216" s="3">
        <f>IF(ORIG!S216=0,"",ORIG!S216)</f>
        <v/>
      </c>
      <c r="T216" s="3">
        <f>IF(ORIG!T216=0,"",ORIG!T216)</f>
        <v/>
      </c>
      <c r="U216" s="3">
        <f>IF(ORIG!U216=0,"",ORIG!U216)</f>
        <v/>
      </c>
      <c r="V216" s="9">
        <f>IF(ORIG!V216=0,"",ORIG!V216)</f>
        <v/>
      </c>
      <c r="W216" s="9">
        <f>IF(ORIG!W216=0,"",ORIG!W216)</f>
        <v/>
      </c>
      <c r="X216" s="9">
        <f>IF(ORIG!X216=0,"",ORIG!X216)</f>
        <v/>
      </c>
      <c r="Y216" s="9">
        <f>IF(ORIG!Y216=0,"",ORIG!Y216)</f>
        <v/>
      </c>
      <c r="Z216" s="3">
        <f>SUMPRODUCT($B216:$Y216,$B$2649:$Y$2649)</f>
        <v/>
      </c>
      <c r="AA216" s="3">
        <f>SUMPRODUCT($B216:$Y216,$B$2655:$Y$2655)</f>
        <v/>
      </c>
      <c r="AC216" s="1">
        <f>A216</f>
        <v/>
      </c>
      <c r="AD216">
        <f>IF(ISNUMBER(V216),V216*($AB$1/V$2635),"")</f>
        <v/>
      </c>
      <c r="AE216">
        <f>IF(ISNUMBER(Z216),Z216*($AB$1/Z$2635),"")</f>
        <v/>
      </c>
      <c r="AF216" s="25">
        <f>IF(ISNUMBER(AD216+AE216),AD216+AE216,"")</f>
        <v/>
      </c>
      <c r="AH216" s="1">
        <f>A216</f>
        <v/>
      </c>
      <c r="AI216">
        <f>IF(ISNUMBER((1+V216)*AI215),(1+V216)*AI215,AI215)</f>
        <v/>
      </c>
      <c r="AJ216">
        <f>IF(ISNUMBER((1+Z216)*AJ215),(1+Z216)*AJ215,AJ215)</f>
        <v/>
      </c>
    </row>
    <row r="217">
      <c r="A217" s="1" t="n">
        <v>42314</v>
      </c>
      <c r="B217" s="3">
        <f>IF(ORIG!B217=0,"",ORIG!B217)</f>
        <v/>
      </c>
      <c r="C217" s="3">
        <f>IF(ORIG!C217=0,"",ORIG!C217)</f>
        <v/>
      </c>
      <c r="D217" s="3">
        <f>IF(ORIG!D217=0,"",ORIG!D217)</f>
        <v/>
      </c>
      <c r="E217" s="3">
        <f>IF(ORIG!E217=0,"",ORIG!E217)</f>
        <v/>
      </c>
      <c r="F217" s="3">
        <f>IF(ORIG!F217=0,"",ORIG!F217)</f>
        <v/>
      </c>
      <c r="G217" s="3">
        <f>IF(ORIG!G217=0,"",ORIG!G217)</f>
        <v/>
      </c>
      <c r="H217" s="3">
        <f>IF(ORIG!H217=0,"",ORIG!H217)</f>
        <v/>
      </c>
      <c r="I217" s="3">
        <f>IF(ORIG!I217=0,"",ORIG!I217)</f>
        <v/>
      </c>
      <c r="J217" s="3">
        <f>IF(ORIG!J217=0,"",ORIG!J217)</f>
        <v/>
      </c>
      <c r="K217" s="3">
        <f>IF(ORIG!K217=0,"",ORIG!K217)</f>
        <v/>
      </c>
      <c r="L217" s="3">
        <f>IF(ORIG!L217=0,"",ORIG!L217)</f>
        <v/>
      </c>
      <c r="M217" s="3">
        <f>IF(ORIG!M217=0,"",ORIG!M217)</f>
        <v/>
      </c>
      <c r="N217" s="3">
        <f>IF(ORIG!N217=0,"",ORIG!N217)</f>
        <v/>
      </c>
      <c r="O217" s="3">
        <f>IF(ORIG!O217=0,"",ORIG!O217)</f>
        <v/>
      </c>
      <c r="P217" s="3">
        <f>IF(ORIG!P217=0,"",ORIG!P217)</f>
        <v/>
      </c>
      <c r="Q217" s="3">
        <f>IF(ORIG!Q217=0,"",ORIG!Q217)</f>
        <v/>
      </c>
      <c r="R217" s="3">
        <f>IF(ORIG!R217=0,"",ORIG!R217)</f>
        <v/>
      </c>
      <c r="S217" s="3">
        <f>IF(ORIG!S217=0,"",ORIG!S217)</f>
        <v/>
      </c>
      <c r="T217" s="3">
        <f>IF(ORIG!T217=0,"",ORIG!T217)</f>
        <v/>
      </c>
      <c r="U217" s="3">
        <f>IF(ORIG!U217=0,"",ORIG!U217)</f>
        <v/>
      </c>
      <c r="V217" s="9">
        <f>IF(ORIG!V217=0,"",ORIG!V217)</f>
        <v/>
      </c>
      <c r="W217" s="9">
        <f>IF(ORIG!W217=0,"",ORIG!W217)</f>
        <v/>
      </c>
      <c r="X217" s="9">
        <f>IF(ORIG!X217=0,"",ORIG!X217)</f>
        <v/>
      </c>
      <c r="Y217" s="9">
        <f>IF(ORIG!Y217=0,"",ORIG!Y217)</f>
        <v/>
      </c>
      <c r="Z217" s="3">
        <f>SUMPRODUCT($B217:$Y217,$B$2649:$Y$2649)</f>
        <v/>
      </c>
      <c r="AA217" s="3">
        <f>SUMPRODUCT($B217:$Y217,$B$2655:$Y$2655)</f>
        <v/>
      </c>
      <c r="AC217" s="1">
        <f>A217</f>
        <v/>
      </c>
      <c r="AD217">
        <f>IF(ISNUMBER(V217),V217*($AB$1/V$2635),"")</f>
        <v/>
      </c>
      <c r="AE217">
        <f>IF(ISNUMBER(Z217),Z217*($AB$1/Z$2635),"")</f>
        <v/>
      </c>
      <c r="AF217" s="25">
        <f>IF(ISNUMBER(AD217+AE217),AD217+AE217,"")</f>
        <v/>
      </c>
      <c r="AH217" s="1">
        <f>A217</f>
        <v/>
      </c>
      <c r="AI217">
        <f>IF(ISNUMBER((1+V217)*AI216),(1+V217)*AI216,AI216)</f>
        <v/>
      </c>
      <c r="AJ217">
        <f>IF(ISNUMBER((1+Z217)*AJ216),(1+Z217)*AJ216,AJ216)</f>
        <v/>
      </c>
    </row>
    <row r="218">
      <c r="A218" s="1" t="n">
        <v>42317</v>
      </c>
      <c r="B218" s="3">
        <f>IF(ORIG!B218=0,"",ORIG!B218)</f>
        <v/>
      </c>
      <c r="C218" s="3">
        <f>IF(ORIG!C218=0,"",ORIG!C218)</f>
        <v/>
      </c>
      <c r="D218" s="3">
        <f>IF(ORIG!D218=0,"",ORIG!D218)</f>
        <v/>
      </c>
      <c r="E218" s="3">
        <f>IF(ORIG!E218=0,"",ORIG!E218)</f>
        <v/>
      </c>
      <c r="F218" s="3">
        <f>IF(ORIG!F218=0,"",ORIG!F218)</f>
        <v/>
      </c>
      <c r="G218" s="3">
        <f>IF(ORIG!G218=0,"",ORIG!G218)</f>
        <v/>
      </c>
      <c r="H218" s="3">
        <f>IF(ORIG!H218=0,"",ORIG!H218)</f>
        <v/>
      </c>
      <c r="I218" s="3">
        <f>IF(ORIG!I218=0,"",ORIG!I218)</f>
        <v/>
      </c>
      <c r="J218" s="3">
        <f>IF(ORIG!J218=0,"",ORIG!J218)</f>
        <v/>
      </c>
      <c r="K218" s="3">
        <f>IF(ORIG!K218=0,"",ORIG!K218)</f>
        <v/>
      </c>
      <c r="L218" s="3">
        <f>IF(ORIG!L218=0,"",ORIG!L218)</f>
        <v/>
      </c>
      <c r="M218" s="3">
        <f>IF(ORIG!M218=0,"",ORIG!M218)</f>
        <v/>
      </c>
      <c r="N218" s="3">
        <f>IF(ORIG!N218=0,"",ORIG!N218)</f>
        <v/>
      </c>
      <c r="O218" s="3">
        <f>IF(ORIG!O218=0,"",ORIG!O218)</f>
        <v/>
      </c>
      <c r="P218" s="3">
        <f>IF(ORIG!P218=0,"",ORIG!P218)</f>
        <v/>
      </c>
      <c r="Q218" s="3">
        <f>IF(ORIG!Q218=0,"",ORIG!Q218)</f>
        <v/>
      </c>
      <c r="R218" s="3">
        <f>IF(ORIG!R218=0,"",ORIG!R218)</f>
        <v/>
      </c>
      <c r="S218" s="3">
        <f>IF(ORIG!S218=0,"",ORIG!S218)</f>
        <v/>
      </c>
      <c r="T218" s="3">
        <f>IF(ORIG!T218=0,"",ORIG!T218)</f>
        <v/>
      </c>
      <c r="U218" s="3">
        <f>IF(ORIG!U218=0,"",ORIG!U218)</f>
        <v/>
      </c>
      <c r="V218" s="9">
        <f>IF(ORIG!V218=0,"",ORIG!V218)</f>
        <v/>
      </c>
      <c r="W218" s="9">
        <f>IF(ORIG!W218=0,"",ORIG!W218)</f>
        <v/>
      </c>
      <c r="X218" s="9">
        <f>IF(ORIG!X218=0,"",ORIG!X218)</f>
        <v/>
      </c>
      <c r="Y218" s="9">
        <f>IF(ORIG!Y218=0,"",ORIG!Y218)</f>
        <v/>
      </c>
      <c r="Z218" s="3">
        <f>SUMPRODUCT($B218:$Y218,$B$2649:$Y$2649)</f>
        <v/>
      </c>
      <c r="AA218" s="3">
        <f>SUMPRODUCT($B218:$Y218,$B$2655:$Y$2655)</f>
        <v/>
      </c>
      <c r="AC218" s="1">
        <f>A218</f>
        <v/>
      </c>
      <c r="AD218">
        <f>IF(ISNUMBER(V218),V218*($AB$1/V$2635),"")</f>
        <v/>
      </c>
      <c r="AE218">
        <f>IF(ISNUMBER(Z218),Z218*($AB$1/Z$2635),"")</f>
        <v/>
      </c>
      <c r="AF218" s="25">
        <f>IF(ISNUMBER(AD218+AE218),AD218+AE218,"")</f>
        <v/>
      </c>
      <c r="AH218" s="1">
        <f>A218</f>
        <v/>
      </c>
      <c r="AI218">
        <f>IF(ISNUMBER((1+V218)*AI217),(1+V218)*AI217,AI217)</f>
        <v/>
      </c>
      <c r="AJ218">
        <f>IF(ISNUMBER((1+Z218)*AJ217),(1+Z218)*AJ217,AJ217)</f>
        <v/>
      </c>
    </row>
    <row r="219">
      <c r="A219" s="1" t="n">
        <v>42318</v>
      </c>
      <c r="B219" s="3">
        <f>IF(ORIG!B219=0,"",ORIG!B219)</f>
        <v/>
      </c>
      <c r="C219" s="3">
        <f>IF(ORIG!C219=0,"",ORIG!C219)</f>
        <v/>
      </c>
      <c r="D219" s="3">
        <f>IF(ORIG!D219=0,"",ORIG!D219)</f>
        <v/>
      </c>
      <c r="E219" s="3">
        <f>IF(ORIG!E219=0,"",ORIG!E219)</f>
        <v/>
      </c>
      <c r="F219" s="3">
        <f>IF(ORIG!F219=0,"",ORIG!F219)</f>
        <v/>
      </c>
      <c r="G219" s="3">
        <f>IF(ORIG!G219=0,"",ORIG!G219)</f>
        <v/>
      </c>
      <c r="H219" s="3">
        <f>IF(ORIG!H219=0,"",ORIG!H219)</f>
        <v/>
      </c>
      <c r="I219" s="3">
        <f>IF(ORIG!I219=0,"",ORIG!I219)</f>
        <v/>
      </c>
      <c r="J219" s="3">
        <f>IF(ORIG!J219=0,"",ORIG!J219)</f>
        <v/>
      </c>
      <c r="K219" s="3">
        <f>IF(ORIG!K219=0,"",ORIG!K219)</f>
        <v/>
      </c>
      <c r="L219" s="3">
        <f>IF(ORIG!L219=0,"",ORIG!L219)</f>
        <v/>
      </c>
      <c r="M219" s="3">
        <f>IF(ORIG!M219=0,"",ORIG!M219)</f>
        <v/>
      </c>
      <c r="N219" s="3">
        <f>IF(ORIG!N219=0,"",ORIG!N219)</f>
        <v/>
      </c>
      <c r="O219" s="3">
        <f>IF(ORIG!O219=0,"",ORIG!O219)</f>
        <v/>
      </c>
      <c r="P219" s="3">
        <f>IF(ORIG!P219=0,"",ORIG!P219)</f>
        <v/>
      </c>
      <c r="Q219" s="3">
        <f>IF(ORIG!Q219=0,"",ORIG!Q219)</f>
        <v/>
      </c>
      <c r="R219" s="3">
        <f>IF(ORIG!R219=0,"",ORIG!R219)</f>
        <v/>
      </c>
      <c r="S219" s="3">
        <f>IF(ORIG!S219=0,"",ORIG!S219)</f>
        <v/>
      </c>
      <c r="T219" s="3">
        <f>IF(ORIG!T219=0,"",ORIG!T219)</f>
        <v/>
      </c>
      <c r="U219" s="3">
        <f>IF(ORIG!U219=0,"",ORIG!U219)</f>
        <v/>
      </c>
      <c r="V219" s="9">
        <f>IF(ORIG!V219=0,"",ORIG!V219)</f>
        <v/>
      </c>
      <c r="W219" s="9">
        <f>IF(ORIG!W219=0,"",ORIG!W219)</f>
        <v/>
      </c>
      <c r="X219" s="9">
        <f>IF(ORIG!X219=0,"",ORIG!X219)</f>
        <v/>
      </c>
      <c r="Y219" s="9">
        <f>IF(ORIG!Y219=0,"",ORIG!Y219)</f>
        <v/>
      </c>
      <c r="Z219" s="3">
        <f>SUMPRODUCT($B219:$Y219,$B$2649:$Y$2649)</f>
        <v/>
      </c>
      <c r="AA219" s="3">
        <f>SUMPRODUCT($B219:$Y219,$B$2655:$Y$2655)</f>
        <v/>
      </c>
      <c r="AC219" s="1">
        <f>A219</f>
        <v/>
      </c>
      <c r="AD219">
        <f>IF(ISNUMBER(V219),V219*($AB$1/V$2635),"")</f>
        <v/>
      </c>
      <c r="AE219">
        <f>IF(ISNUMBER(Z219),Z219*($AB$1/Z$2635),"")</f>
        <v/>
      </c>
      <c r="AF219" s="25">
        <f>IF(ISNUMBER(AD219+AE219),AD219+AE219,"")</f>
        <v/>
      </c>
      <c r="AH219" s="1">
        <f>A219</f>
        <v/>
      </c>
      <c r="AI219">
        <f>IF(ISNUMBER((1+V219)*AI218),(1+V219)*AI218,AI218)</f>
        <v/>
      </c>
      <c r="AJ219">
        <f>IF(ISNUMBER((1+Z219)*AJ218),(1+Z219)*AJ218,AJ218)</f>
        <v/>
      </c>
    </row>
    <row r="220">
      <c r="A220" s="1" t="n">
        <v>42319</v>
      </c>
      <c r="B220" s="3">
        <f>IF(ORIG!B220=0,"",ORIG!B220)</f>
        <v/>
      </c>
      <c r="C220" s="3">
        <f>IF(ORIG!C220=0,"",ORIG!C220)</f>
        <v/>
      </c>
      <c r="D220" s="3">
        <f>IF(ORIG!D220=0,"",ORIG!D220)</f>
        <v/>
      </c>
      <c r="E220" s="3">
        <f>IF(ORIG!E220=0,"",ORIG!E220)</f>
        <v/>
      </c>
      <c r="F220" s="3">
        <f>IF(ORIG!F220=0,"",ORIG!F220)</f>
        <v/>
      </c>
      <c r="G220" s="3">
        <f>IF(ORIG!G220=0,"",ORIG!G220)</f>
        <v/>
      </c>
      <c r="H220" s="3">
        <f>IF(ORIG!H220=0,"",ORIG!H220)</f>
        <v/>
      </c>
      <c r="I220" s="3">
        <f>IF(ORIG!I220=0,"",ORIG!I220)</f>
        <v/>
      </c>
      <c r="J220" s="3">
        <f>IF(ORIG!J220=0,"",ORIG!J220)</f>
        <v/>
      </c>
      <c r="K220" s="3">
        <f>IF(ORIG!K220=0,"",ORIG!K220)</f>
        <v/>
      </c>
      <c r="L220" s="3">
        <f>IF(ORIG!L220=0,"",ORIG!L220)</f>
        <v/>
      </c>
      <c r="M220" s="3">
        <f>IF(ORIG!M220=0,"",ORIG!M220)</f>
        <v/>
      </c>
      <c r="N220" s="3">
        <f>IF(ORIG!N220=0,"",ORIG!N220)</f>
        <v/>
      </c>
      <c r="O220" s="3">
        <f>IF(ORIG!O220=0,"",ORIG!O220)</f>
        <v/>
      </c>
      <c r="P220" s="3">
        <f>IF(ORIG!P220=0,"",ORIG!P220)</f>
        <v/>
      </c>
      <c r="Q220" s="3">
        <f>IF(ORIG!Q220=0,"",ORIG!Q220)</f>
        <v/>
      </c>
      <c r="R220" s="3">
        <f>IF(ORIG!R220=0,"",ORIG!R220)</f>
        <v/>
      </c>
      <c r="S220" s="3">
        <f>IF(ORIG!S220=0,"",ORIG!S220)</f>
        <v/>
      </c>
      <c r="T220" s="3">
        <f>IF(ORIG!T220=0,"",ORIG!T220)</f>
        <v/>
      </c>
      <c r="U220" s="3">
        <f>IF(ORIG!U220=0,"",ORIG!U220)</f>
        <v/>
      </c>
      <c r="V220" s="9">
        <f>IF(ORIG!V220=0,"",ORIG!V220)</f>
        <v/>
      </c>
      <c r="W220" s="9">
        <f>IF(ORIG!W220=0,"",ORIG!W220)</f>
        <v/>
      </c>
      <c r="X220" s="9">
        <f>IF(ORIG!X220=0,"",ORIG!X220)</f>
        <v/>
      </c>
      <c r="Y220" s="9">
        <f>IF(ORIG!Y220=0,"",ORIG!Y220)</f>
        <v/>
      </c>
      <c r="Z220" s="3">
        <f>SUMPRODUCT($B220:$Y220,$B$2649:$Y$2649)</f>
        <v/>
      </c>
      <c r="AA220" s="3">
        <f>SUMPRODUCT($B220:$Y220,$B$2655:$Y$2655)</f>
        <v/>
      </c>
      <c r="AC220" s="1">
        <f>A220</f>
        <v/>
      </c>
      <c r="AD220">
        <f>IF(ISNUMBER(V220),V220*($AB$1/V$2635),"")</f>
        <v/>
      </c>
      <c r="AE220">
        <f>IF(ISNUMBER(Z220),Z220*($AB$1/Z$2635),"")</f>
        <v/>
      </c>
      <c r="AF220" s="25">
        <f>IF(ISNUMBER(AD220+AE220),AD220+AE220,"")</f>
        <v/>
      </c>
      <c r="AH220" s="1">
        <f>A220</f>
        <v/>
      </c>
      <c r="AI220">
        <f>IF(ISNUMBER((1+V220)*AI219),(1+V220)*AI219,AI219)</f>
        <v/>
      </c>
      <c r="AJ220">
        <f>IF(ISNUMBER((1+Z220)*AJ219),(1+Z220)*AJ219,AJ219)</f>
        <v/>
      </c>
    </row>
    <row r="221">
      <c r="A221" s="1" t="n">
        <v>42320</v>
      </c>
      <c r="B221" s="3">
        <f>IF(ORIG!B221=0,"",ORIG!B221)</f>
        <v/>
      </c>
      <c r="C221" s="3">
        <f>IF(ORIG!C221=0,"",ORIG!C221)</f>
        <v/>
      </c>
      <c r="D221" s="3">
        <f>IF(ORIG!D221=0,"",ORIG!D221)</f>
        <v/>
      </c>
      <c r="E221" s="3">
        <f>IF(ORIG!E221=0,"",ORIG!E221)</f>
        <v/>
      </c>
      <c r="F221" s="3">
        <f>IF(ORIG!F221=0,"",ORIG!F221)</f>
        <v/>
      </c>
      <c r="G221" s="3">
        <f>IF(ORIG!G221=0,"",ORIG!G221)</f>
        <v/>
      </c>
      <c r="H221" s="3">
        <f>IF(ORIG!H221=0,"",ORIG!H221)</f>
        <v/>
      </c>
      <c r="I221" s="3">
        <f>IF(ORIG!I221=0,"",ORIG!I221)</f>
        <v/>
      </c>
      <c r="J221" s="3">
        <f>IF(ORIG!J221=0,"",ORIG!J221)</f>
        <v/>
      </c>
      <c r="K221" s="3">
        <f>IF(ORIG!K221=0,"",ORIG!K221)</f>
        <v/>
      </c>
      <c r="L221" s="3">
        <f>IF(ORIG!L221=0,"",ORIG!L221)</f>
        <v/>
      </c>
      <c r="M221" s="3">
        <f>IF(ORIG!M221=0,"",ORIG!M221)</f>
        <v/>
      </c>
      <c r="N221" s="3">
        <f>IF(ORIG!N221=0,"",ORIG!N221)</f>
        <v/>
      </c>
      <c r="O221" s="3">
        <f>IF(ORIG!O221=0,"",ORIG!O221)</f>
        <v/>
      </c>
      <c r="P221" s="3">
        <f>IF(ORIG!P221=0,"",ORIG!P221)</f>
        <v/>
      </c>
      <c r="Q221" s="3">
        <f>IF(ORIG!Q221=0,"",ORIG!Q221)</f>
        <v/>
      </c>
      <c r="R221" s="3">
        <f>IF(ORIG!R221=0,"",ORIG!R221)</f>
        <v/>
      </c>
      <c r="S221" s="3">
        <f>IF(ORIG!S221=0,"",ORIG!S221)</f>
        <v/>
      </c>
      <c r="T221" s="3">
        <f>IF(ORIG!T221=0,"",ORIG!T221)</f>
        <v/>
      </c>
      <c r="U221" s="3">
        <f>IF(ORIG!U221=0,"",ORIG!U221)</f>
        <v/>
      </c>
      <c r="V221" s="9">
        <f>IF(ORIG!V221=0,"",ORIG!V221)</f>
        <v/>
      </c>
      <c r="W221" s="9">
        <f>IF(ORIG!W221=0,"",ORIG!W221)</f>
        <v/>
      </c>
      <c r="X221" s="9">
        <f>IF(ORIG!X221=0,"",ORIG!X221)</f>
        <v/>
      </c>
      <c r="Y221" s="9">
        <f>IF(ORIG!Y221=0,"",ORIG!Y221)</f>
        <v/>
      </c>
      <c r="Z221" s="3">
        <f>SUMPRODUCT($B221:$Y221,$B$2649:$Y$2649)</f>
        <v/>
      </c>
      <c r="AA221" s="3">
        <f>SUMPRODUCT($B221:$Y221,$B$2655:$Y$2655)</f>
        <v/>
      </c>
      <c r="AC221" s="1">
        <f>A221</f>
        <v/>
      </c>
      <c r="AD221">
        <f>IF(ISNUMBER(V221),V221*($AB$1/V$2635),"")</f>
        <v/>
      </c>
      <c r="AE221">
        <f>IF(ISNUMBER(Z221),Z221*($AB$1/Z$2635),"")</f>
        <v/>
      </c>
      <c r="AF221" s="25">
        <f>IF(ISNUMBER(AD221+AE221),AD221+AE221,"")</f>
        <v/>
      </c>
      <c r="AH221" s="1">
        <f>A221</f>
        <v/>
      </c>
      <c r="AI221">
        <f>IF(ISNUMBER((1+V221)*AI220),(1+V221)*AI220,AI220)</f>
        <v/>
      </c>
      <c r="AJ221">
        <f>IF(ISNUMBER((1+Z221)*AJ220),(1+Z221)*AJ220,AJ220)</f>
        <v/>
      </c>
    </row>
    <row r="222">
      <c r="A222" s="1" t="n">
        <v>42321</v>
      </c>
      <c r="B222" s="3">
        <f>IF(ORIG!B222=0,"",ORIG!B222)</f>
        <v/>
      </c>
      <c r="C222" s="3">
        <f>IF(ORIG!C222=0,"",ORIG!C222)</f>
        <v/>
      </c>
      <c r="D222" s="3">
        <f>IF(ORIG!D222=0,"",ORIG!D222)</f>
        <v/>
      </c>
      <c r="E222" s="3">
        <f>IF(ORIG!E222=0,"",ORIG!E222)</f>
        <v/>
      </c>
      <c r="F222" s="3">
        <f>IF(ORIG!F222=0,"",ORIG!F222)</f>
        <v/>
      </c>
      <c r="G222" s="3">
        <f>IF(ORIG!G222=0,"",ORIG!G222)</f>
        <v/>
      </c>
      <c r="H222" s="3">
        <f>IF(ORIG!H222=0,"",ORIG!H222)</f>
        <v/>
      </c>
      <c r="I222" s="3">
        <f>IF(ORIG!I222=0,"",ORIG!I222)</f>
        <v/>
      </c>
      <c r="J222" s="3">
        <f>IF(ORIG!J222=0,"",ORIG!J222)</f>
        <v/>
      </c>
      <c r="K222" s="3">
        <f>IF(ORIG!K222=0,"",ORIG!K222)</f>
        <v/>
      </c>
      <c r="L222" s="3">
        <f>IF(ORIG!L222=0,"",ORIG!L222)</f>
        <v/>
      </c>
      <c r="M222" s="3">
        <f>IF(ORIG!M222=0,"",ORIG!M222)</f>
        <v/>
      </c>
      <c r="N222" s="3">
        <f>IF(ORIG!N222=0,"",ORIG!N222)</f>
        <v/>
      </c>
      <c r="O222" s="3">
        <f>IF(ORIG!O222=0,"",ORIG!O222)</f>
        <v/>
      </c>
      <c r="P222" s="3">
        <f>IF(ORIG!P222=0,"",ORIG!P222)</f>
        <v/>
      </c>
      <c r="Q222" s="3">
        <f>IF(ORIG!Q222=0,"",ORIG!Q222)</f>
        <v/>
      </c>
      <c r="R222" s="3">
        <f>IF(ORIG!R222=0,"",ORIG!R222)</f>
        <v/>
      </c>
      <c r="S222" s="3">
        <f>IF(ORIG!S222=0,"",ORIG!S222)</f>
        <v/>
      </c>
      <c r="T222" s="3">
        <f>IF(ORIG!T222=0,"",ORIG!T222)</f>
        <v/>
      </c>
      <c r="U222" s="3">
        <f>IF(ORIG!U222=0,"",ORIG!U222)</f>
        <v/>
      </c>
      <c r="V222" s="9">
        <f>IF(ORIG!V222=0,"",ORIG!V222)</f>
        <v/>
      </c>
      <c r="W222" s="9">
        <f>IF(ORIG!W222=0,"",ORIG!W222)</f>
        <v/>
      </c>
      <c r="X222" s="9">
        <f>IF(ORIG!X222=0,"",ORIG!X222)</f>
        <v/>
      </c>
      <c r="Y222" s="9">
        <f>IF(ORIG!Y222=0,"",ORIG!Y222)</f>
        <v/>
      </c>
      <c r="Z222" s="3">
        <f>SUMPRODUCT($B222:$Y222,$B$2649:$Y$2649)</f>
        <v/>
      </c>
      <c r="AA222" s="3">
        <f>SUMPRODUCT($B222:$Y222,$B$2655:$Y$2655)</f>
        <v/>
      </c>
      <c r="AC222" s="1">
        <f>A222</f>
        <v/>
      </c>
      <c r="AD222">
        <f>IF(ISNUMBER(V222),V222*($AB$1/V$2635),"")</f>
        <v/>
      </c>
      <c r="AE222">
        <f>IF(ISNUMBER(Z222),Z222*($AB$1/Z$2635),"")</f>
        <v/>
      </c>
      <c r="AF222" s="25">
        <f>IF(ISNUMBER(AD222+AE222),AD222+AE222,"")</f>
        <v/>
      </c>
      <c r="AH222" s="1">
        <f>A222</f>
        <v/>
      </c>
      <c r="AI222">
        <f>IF(ISNUMBER((1+V222)*AI221),(1+V222)*AI221,AI221)</f>
        <v/>
      </c>
      <c r="AJ222">
        <f>IF(ISNUMBER((1+Z222)*AJ221),(1+Z222)*AJ221,AJ221)</f>
        <v/>
      </c>
    </row>
    <row r="223">
      <c r="A223" s="1" t="n">
        <v>42324</v>
      </c>
      <c r="B223" s="3">
        <f>IF(ORIG!B223=0,"",ORIG!B223)</f>
        <v/>
      </c>
      <c r="C223" s="3">
        <f>IF(ORIG!C223=0,"",ORIG!C223)</f>
        <v/>
      </c>
      <c r="D223" s="3">
        <f>IF(ORIG!D223=0,"",ORIG!D223)</f>
        <v/>
      </c>
      <c r="E223" s="3">
        <f>IF(ORIG!E223=0,"",ORIG!E223)</f>
        <v/>
      </c>
      <c r="F223" s="3">
        <f>IF(ORIG!F223=0,"",ORIG!F223)</f>
        <v/>
      </c>
      <c r="G223" s="3">
        <f>IF(ORIG!G223=0,"",ORIG!G223)</f>
        <v/>
      </c>
      <c r="H223" s="3">
        <f>IF(ORIG!H223=0,"",ORIG!H223)</f>
        <v/>
      </c>
      <c r="I223" s="3">
        <f>IF(ORIG!I223=0,"",ORIG!I223)</f>
        <v/>
      </c>
      <c r="J223" s="3">
        <f>IF(ORIG!J223=0,"",ORIG!J223)</f>
        <v/>
      </c>
      <c r="K223" s="3">
        <f>IF(ORIG!K223=0,"",ORIG!K223)</f>
        <v/>
      </c>
      <c r="L223" s="3">
        <f>IF(ORIG!L223=0,"",ORIG!L223)</f>
        <v/>
      </c>
      <c r="M223" s="3">
        <f>IF(ORIG!M223=0,"",ORIG!M223)</f>
        <v/>
      </c>
      <c r="N223" s="3">
        <f>IF(ORIG!N223=0,"",ORIG!N223)</f>
        <v/>
      </c>
      <c r="O223" s="3">
        <f>IF(ORIG!O223=0,"",ORIG!O223)</f>
        <v/>
      </c>
      <c r="P223" s="3">
        <f>IF(ORIG!P223=0,"",ORIG!P223)</f>
        <v/>
      </c>
      <c r="Q223" s="3">
        <f>IF(ORIG!Q223=0,"",ORIG!Q223)</f>
        <v/>
      </c>
      <c r="R223" s="3">
        <f>IF(ORIG!R223=0,"",ORIG!R223)</f>
        <v/>
      </c>
      <c r="S223" s="3">
        <f>IF(ORIG!S223=0,"",ORIG!S223)</f>
        <v/>
      </c>
      <c r="T223" s="3">
        <f>IF(ORIG!T223=0,"",ORIG!T223)</f>
        <v/>
      </c>
      <c r="U223" s="3">
        <f>IF(ORIG!U223=0,"",ORIG!U223)</f>
        <v/>
      </c>
      <c r="V223" s="9">
        <f>IF(ORIG!V223=0,"",ORIG!V223)</f>
        <v/>
      </c>
      <c r="W223" s="9">
        <f>IF(ORIG!W223=0,"",ORIG!W223)</f>
        <v/>
      </c>
      <c r="X223" s="9">
        <f>IF(ORIG!X223=0,"",ORIG!X223)</f>
        <v/>
      </c>
      <c r="Y223" s="9">
        <f>IF(ORIG!Y223=0,"",ORIG!Y223)</f>
        <v/>
      </c>
      <c r="Z223" s="3">
        <f>SUMPRODUCT($B223:$Y223,$B$2649:$Y$2649)</f>
        <v/>
      </c>
      <c r="AA223" s="3">
        <f>SUMPRODUCT($B223:$Y223,$B$2655:$Y$2655)</f>
        <v/>
      </c>
      <c r="AC223" s="1">
        <f>A223</f>
        <v/>
      </c>
      <c r="AD223">
        <f>IF(ISNUMBER(V223),V223*($AB$1/V$2635),"")</f>
        <v/>
      </c>
      <c r="AE223">
        <f>IF(ISNUMBER(Z223),Z223*($AB$1/Z$2635),"")</f>
        <v/>
      </c>
      <c r="AF223" s="25">
        <f>IF(ISNUMBER(AD223+AE223),AD223+AE223,"")</f>
        <v/>
      </c>
      <c r="AH223" s="1">
        <f>A223</f>
        <v/>
      </c>
      <c r="AI223">
        <f>IF(ISNUMBER((1+V223)*AI222),(1+V223)*AI222,AI222)</f>
        <v/>
      </c>
      <c r="AJ223">
        <f>IF(ISNUMBER((1+Z223)*AJ222),(1+Z223)*AJ222,AJ222)</f>
        <v/>
      </c>
    </row>
    <row r="224">
      <c r="A224" s="1" t="n">
        <v>42325</v>
      </c>
      <c r="B224" s="3">
        <f>IF(ORIG!B224=0,"",ORIG!B224)</f>
        <v/>
      </c>
      <c r="C224" s="3">
        <f>IF(ORIG!C224=0,"",ORIG!C224)</f>
        <v/>
      </c>
      <c r="D224" s="3">
        <f>IF(ORIG!D224=0,"",ORIG!D224)</f>
        <v/>
      </c>
      <c r="E224" s="3">
        <f>IF(ORIG!E224=0,"",ORIG!E224)</f>
        <v/>
      </c>
      <c r="F224" s="3">
        <f>IF(ORIG!F224=0,"",ORIG!F224)</f>
        <v/>
      </c>
      <c r="G224" s="3">
        <f>IF(ORIG!G224=0,"",ORIG!G224)</f>
        <v/>
      </c>
      <c r="H224" s="3">
        <f>IF(ORIG!H224=0,"",ORIG!H224)</f>
        <v/>
      </c>
      <c r="I224" s="3">
        <f>IF(ORIG!I224=0,"",ORIG!I224)</f>
        <v/>
      </c>
      <c r="J224" s="3">
        <f>IF(ORIG!J224=0,"",ORIG!J224)</f>
        <v/>
      </c>
      <c r="K224" s="3">
        <f>IF(ORIG!K224=0,"",ORIG!K224)</f>
        <v/>
      </c>
      <c r="L224" s="3">
        <f>IF(ORIG!L224=0,"",ORIG!L224)</f>
        <v/>
      </c>
      <c r="M224" s="3">
        <f>IF(ORIG!M224=0,"",ORIG!M224)</f>
        <v/>
      </c>
      <c r="N224" s="3">
        <f>IF(ORIG!N224=0,"",ORIG!N224)</f>
        <v/>
      </c>
      <c r="O224" s="3">
        <f>IF(ORIG!O224=0,"",ORIG!O224)</f>
        <v/>
      </c>
      <c r="P224" s="3">
        <f>IF(ORIG!P224=0,"",ORIG!P224)</f>
        <v/>
      </c>
      <c r="Q224" s="3">
        <f>IF(ORIG!Q224=0,"",ORIG!Q224)</f>
        <v/>
      </c>
      <c r="R224" s="3">
        <f>IF(ORIG!R224=0,"",ORIG!R224)</f>
        <v/>
      </c>
      <c r="S224" s="3">
        <f>IF(ORIG!S224=0,"",ORIG!S224)</f>
        <v/>
      </c>
      <c r="T224" s="3">
        <f>IF(ORIG!T224=0,"",ORIG!T224)</f>
        <v/>
      </c>
      <c r="U224" s="3">
        <f>IF(ORIG!U224=0,"",ORIG!U224)</f>
        <v/>
      </c>
      <c r="V224" s="9">
        <f>IF(ORIG!V224=0,"",ORIG!V224)</f>
        <v/>
      </c>
      <c r="W224" s="9">
        <f>IF(ORIG!W224=0,"",ORIG!W224)</f>
        <v/>
      </c>
      <c r="X224" s="9">
        <f>IF(ORIG!X224=0,"",ORIG!X224)</f>
        <v/>
      </c>
      <c r="Y224" s="9">
        <f>IF(ORIG!Y224=0,"",ORIG!Y224)</f>
        <v/>
      </c>
      <c r="Z224" s="3">
        <f>SUMPRODUCT($B224:$Y224,$B$2649:$Y$2649)</f>
        <v/>
      </c>
      <c r="AA224" s="3">
        <f>SUMPRODUCT($B224:$Y224,$B$2655:$Y$2655)</f>
        <v/>
      </c>
      <c r="AC224" s="1">
        <f>A224</f>
        <v/>
      </c>
      <c r="AD224">
        <f>IF(ISNUMBER(V224),V224*($AB$1/V$2635),"")</f>
        <v/>
      </c>
      <c r="AE224">
        <f>IF(ISNUMBER(Z224),Z224*($AB$1/Z$2635),"")</f>
        <v/>
      </c>
      <c r="AF224" s="25">
        <f>IF(ISNUMBER(AD224+AE224),AD224+AE224,"")</f>
        <v/>
      </c>
      <c r="AH224" s="1">
        <f>A224</f>
        <v/>
      </c>
      <c r="AI224">
        <f>IF(ISNUMBER((1+V224)*AI223),(1+V224)*AI223,AI223)</f>
        <v/>
      </c>
      <c r="AJ224">
        <f>IF(ISNUMBER((1+Z224)*AJ223),(1+Z224)*AJ223,AJ223)</f>
        <v/>
      </c>
    </row>
    <row r="225">
      <c r="A225" s="1" t="n">
        <v>42326</v>
      </c>
      <c r="B225" s="3">
        <f>IF(ORIG!B225=0,"",ORIG!B225)</f>
        <v/>
      </c>
      <c r="C225" s="3">
        <f>IF(ORIG!C225=0,"",ORIG!C225)</f>
        <v/>
      </c>
      <c r="D225" s="3">
        <f>IF(ORIG!D225=0,"",ORIG!D225)</f>
        <v/>
      </c>
      <c r="E225" s="3">
        <f>IF(ORIG!E225=0,"",ORIG!E225)</f>
        <v/>
      </c>
      <c r="F225" s="3">
        <f>IF(ORIG!F225=0,"",ORIG!F225)</f>
        <v/>
      </c>
      <c r="G225" s="3">
        <f>IF(ORIG!G225=0,"",ORIG!G225)</f>
        <v/>
      </c>
      <c r="H225" s="3">
        <f>IF(ORIG!H225=0,"",ORIG!H225)</f>
        <v/>
      </c>
      <c r="I225" s="3">
        <f>IF(ORIG!I225=0,"",ORIG!I225)</f>
        <v/>
      </c>
      <c r="J225" s="3">
        <f>IF(ORIG!J225=0,"",ORIG!J225)</f>
        <v/>
      </c>
      <c r="K225" s="3">
        <f>IF(ORIG!K225=0,"",ORIG!K225)</f>
        <v/>
      </c>
      <c r="L225" s="3">
        <f>IF(ORIG!L225=0,"",ORIG!L225)</f>
        <v/>
      </c>
      <c r="M225" s="3">
        <f>IF(ORIG!M225=0,"",ORIG!M225)</f>
        <v/>
      </c>
      <c r="N225" s="3">
        <f>IF(ORIG!N225=0,"",ORIG!N225)</f>
        <v/>
      </c>
      <c r="O225" s="3">
        <f>IF(ORIG!O225=0,"",ORIG!O225)</f>
        <v/>
      </c>
      <c r="P225" s="3">
        <f>IF(ORIG!P225=0,"",ORIG!P225)</f>
        <v/>
      </c>
      <c r="Q225" s="3">
        <f>IF(ORIG!Q225=0,"",ORIG!Q225)</f>
        <v/>
      </c>
      <c r="R225" s="3">
        <f>IF(ORIG!R225=0,"",ORIG!R225)</f>
        <v/>
      </c>
      <c r="S225" s="3">
        <f>IF(ORIG!S225=0,"",ORIG!S225)</f>
        <v/>
      </c>
      <c r="T225" s="3">
        <f>IF(ORIG!T225=0,"",ORIG!T225)</f>
        <v/>
      </c>
      <c r="U225" s="3">
        <f>IF(ORIG!U225=0,"",ORIG!U225)</f>
        <v/>
      </c>
      <c r="V225" s="9">
        <f>IF(ORIG!V225=0,"",ORIG!V225)</f>
        <v/>
      </c>
      <c r="W225" s="9">
        <f>IF(ORIG!W225=0,"",ORIG!W225)</f>
        <v/>
      </c>
      <c r="X225" s="9">
        <f>IF(ORIG!X225=0,"",ORIG!X225)</f>
        <v/>
      </c>
      <c r="Y225" s="9">
        <f>IF(ORIG!Y225=0,"",ORIG!Y225)</f>
        <v/>
      </c>
      <c r="Z225" s="3">
        <f>SUMPRODUCT($B225:$Y225,$B$2649:$Y$2649)</f>
        <v/>
      </c>
      <c r="AA225" s="3">
        <f>SUMPRODUCT($B225:$Y225,$B$2655:$Y$2655)</f>
        <v/>
      </c>
      <c r="AC225" s="1">
        <f>A225</f>
        <v/>
      </c>
      <c r="AD225">
        <f>IF(ISNUMBER(V225),V225*($AB$1/V$2635),"")</f>
        <v/>
      </c>
      <c r="AE225">
        <f>IF(ISNUMBER(Z225),Z225*($AB$1/Z$2635),"")</f>
        <v/>
      </c>
      <c r="AF225" s="25">
        <f>IF(ISNUMBER(AD225+AE225),AD225+AE225,"")</f>
        <v/>
      </c>
      <c r="AH225" s="1">
        <f>A225</f>
        <v/>
      </c>
      <c r="AI225">
        <f>IF(ISNUMBER((1+V225)*AI224),(1+V225)*AI224,AI224)</f>
        <v/>
      </c>
      <c r="AJ225">
        <f>IF(ISNUMBER((1+Z225)*AJ224),(1+Z225)*AJ224,AJ224)</f>
        <v/>
      </c>
    </row>
    <row r="226">
      <c r="A226" s="1" t="n">
        <v>42327</v>
      </c>
      <c r="B226" s="3">
        <f>IF(ORIG!B226=0,"",ORIG!B226)</f>
        <v/>
      </c>
      <c r="C226" s="3">
        <f>IF(ORIG!C226=0,"",ORIG!C226)</f>
        <v/>
      </c>
      <c r="D226" s="3">
        <f>IF(ORIG!D226=0,"",ORIG!D226)</f>
        <v/>
      </c>
      <c r="E226" s="3">
        <f>IF(ORIG!E226=0,"",ORIG!E226)</f>
        <v/>
      </c>
      <c r="F226" s="3">
        <f>IF(ORIG!F226=0,"",ORIG!F226)</f>
        <v/>
      </c>
      <c r="G226" s="3">
        <f>IF(ORIG!G226=0,"",ORIG!G226)</f>
        <v/>
      </c>
      <c r="H226" s="3">
        <f>IF(ORIG!H226=0,"",ORIG!H226)</f>
        <v/>
      </c>
      <c r="I226" s="3">
        <f>IF(ORIG!I226=0,"",ORIG!I226)</f>
        <v/>
      </c>
      <c r="J226" s="3">
        <f>IF(ORIG!J226=0,"",ORIG!J226)</f>
        <v/>
      </c>
      <c r="K226" s="3">
        <f>IF(ORIG!K226=0,"",ORIG!K226)</f>
        <v/>
      </c>
      <c r="L226" s="3">
        <f>IF(ORIG!L226=0,"",ORIG!L226)</f>
        <v/>
      </c>
      <c r="M226" s="3">
        <f>IF(ORIG!M226=0,"",ORIG!M226)</f>
        <v/>
      </c>
      <c r="N226" s="3">
        <f>IF(ORIG!N226=0,"",ORIG!N226)</f>
        <v/>
      </c>
      <c r="O226" s="3">
        <f>IF(ORIG!O226=0,"",ORIG!O226)</f>
        <v/>
      </c>
      <c r="P226" s="3">
        <f>IF(ORIG!P226=0,"",ORIG!P226)</f>
        <v/>
      </c>
      <c r="Q226" s="3">
        <f>IF(ORIG!Q226=0,"",ORIG!Q226)</f>
        <v/>
      </c>
      <c r="R226" s="3">
        <f>IF(ORIG!R226=0,"",ORIG!R226)</f>
        <v/>
      </c>
      <c r="S226" s="3">
        <f>IF(ORIG!S226=0,"",ORIG!S226)</f>
        <v/>
      </c>
      <c r="T226" s="3">
        <f>IF(ORIG!T226=0,"",ORIG!T226)</f>
        <v/>
      </c>
      <c r="U226" s="3">
        <f>IF(ORIG!U226=0,"",ORIG!U226)</f>
        <v/>
      </c>
      <c r="V226" s="9">
        <f>IF(ORIG!V226=0,"",ORIG!V226)</f>
        <v/>
      </c>
      <c r="W226" s="9">
        <f>IF(ORIG!W226=0,"",ORIG!W226)</f>
        <v/>
      </c>
      <c r="X226" s="9">
        <f>IF(ORIG!X226=0,"",ORIG!X226)</f>
        <v/>
      </c>
      <c r="Y226" s="9">
        <f>IF(ORIG!Y226=0,"",ORIG!Y226)</f>
        <v/>
      </c>
      <c r="Z226" s="3">
        <f>SUMPRODUCT($B226:$Y226,$B$2649:$Y$2649)</f>
        <v/>
      </c>
      <c r="AA226" s="3">
        <f>SUMPRODUCT($B226:$Y226,$B$2655:$Y$2655)</f>
        <v/>
      </c>
      <c r="AC226" s="1">
        <f>A226</f>
        <v/>
      </c>
      <c r="AD226">
        <f>IF(ISNUMBER(V226),V226*($AB$1/V$2635),"")</f>
        <v/>
      </c>
      <c r="AE226">
        <f>IF(ISNUMBER(Z226),Z226*($AB$1/Z$2635),"")</f>
        <v/>
      </c>
      <c r="AF226" s="25">
        <f>IF(ISNUMBER(AD226+AE226),AD226+AE226,"")</f>
        <v/>
      </c>
      <c r="AH226" s="1">
        <f>A226</f>
        <v/>
      </c>
      <c r="AI226">
        <f>IF(ISNUMBER((1+V226)*AI225),(1+V226)*AI225,AI225)</f>
        <v/>
      </c>
      <c r="AJ226">
        <f>IF(ISNUMBER((1+Z226)*AJ225),(1+Z226)*AJ225,AJ225)</f>
        <v/>
      </c>
    </row>
    <row r="227">
      <c r="A227" s="1" t="n">
        <v>42328</v>
      </c>
      <c r="B227" s="3">
        <f>IF(ORIG!B227=0,"",ORIG!B227)</f>
        <v/>
      </c>
      <c r="C227" s="3">
        <f>IF(ORIG!C227=0,"",ORIG!C227)</f>
        <v/>
      </c>
      <c r="D227" s="3">
        <f>IF(ORIG!D227=0,"",ORIG!D227)</f>
        <v/>
      </c>
      <c r="E227" s="3">
        <f>IF(ORIG!E227=0,"",ORIG!E227)</f>
        <v/>
      </c>
      <c r="F227" s="3">
        <f>IF(ORIG!F227=0,"",ORIG!F227)</f>
        <v/>
      </c>
      <c r="G227" s="3">
        <f>IF(ORIG!G227=0,"",ORIG!G227)</f>
        <v/>
      </c>
      <c r="H227" s="3">
        <f>IF(ORIG!H227=0,"",ORIG!H227)</f>
        <v/>
      </c>
      <c r="I227" s="3">
        <f>IF(ORIG!I227=0,"",ORIG!I227)</f>
        <v/>
      </c>
      <c r="J227" s="3">
        <f>IF(ORIG!J227=0,"",ORIG!J227)</f>
        <v/>
      </c>
      <c r="K227" s="3">
        <f>IF(ORIG!K227=0,"",ORIG!K227)</f>
        <v/>
      </c>
      <c r="L227" s="3">
        <f>IF(ORIG!L227=0,"",ORIG!L227)</f>
        <v/>
      </c>
      <c r="M227" s="3">
        <f>IF(ORIG!M227=0,"",ORIG!M227)</f>
        <v/>
      </c>
      <c r="N227" s="3">
        <f>IF(ORIG!N227=0,"",ORIG!N227)</f>
        <v/>
      </c>
      <c r="O227" s="3">
        <f>IF(ORIG!O227=0,"",ORIG!O227)</f>
        <v/>
      </c>
      <c r="P227" s="3">
        <f>IF(ORIG!P227=0,"",ORIG!P227)</f>
        <v/>
      </c>
      <c r="Q227" s="3">
        <f>IF(ORIG!Q227=0,"",ORIG!Q227)</f>
        <v/>
      </c>
      <c r="R227" s="3">
        <f>IF(ORIG!R227=0,"",ORIG!R227)</f>
        <v/>
      </c>
      <c r="S227" s="3">
        <f>IF(ORIG!S227=0,"",ORIG!S227)</f>
        <v/>
      </c>
      <c r="T227" s="3">
        <f>IF(ORIG!T227=0,"",ORIG!T227)</f>
        <v/>
      </c>
      <c r="U227" s="3">
        <f>IF(ORIG!U227=0,"",ORIG!U227)</f>
        <v/>
      </c>
      <c r="V227" s="9">
        <f>IF(ORIG!V227=0,"",ORIG!V227)</f>
        <v/>
      </c>
      <c r="W227" s="9">
        <f>IF(ORIG!W227=0,"",ORIG!W227)</f>
        <v/>
      </c>
      <c r="X227" s="9">
        <f>IF(ORIG!X227=0,"",ORIG!X227)</f>
        <v/>
      </c>
      <c r="Y227" s="9">
        <f>IF(ORIG!Y227=0,"",ORIG!Y227)</f>
        <v/>
      </c>
      <c r="Z227" s="3">
        <f>SUMPRODUCT($B227:$Y227,$B$2649:$Y$2649)</f>
        <v/>
      </c>
      <c r="AA227" s="3">
        <f>SUMPRODUCT($B227:$Y227,$B$2655:$Y$2655)</f>
        <v/>
      </c>
      <c r="AC227" s="1">
        <f>A227</f>
        <v/>
      </c>
      <c r="AD227">
        <f>IF(ISNUMBER(V227),V227*($AB$1/V$2635),"")</f>
        <v/>
      </c>
      <c r="AE227">
        <f>IF(ISNUMBER(Z227),Z227*($AB$1/Z$2635),"")</f>
        <v/>
      </c>
      <c r="AF227" s="25">
        <f>IF(ISNUMBER(AD227+AE227),AD227+AE227,"")</f>
        <v/>
      </c>
      <c r="AH227" s="1">
        <f>A227</f>
        <v/>
      </c>
      <c r="AI227">
        <f>IF(ISNUMBER((1+V227)*AI226),(1+V227)*AI226,AI226)</f>
        <v/>
      </c>
      <c r="AJ227">
        <f>IF(ISNUMBER((1+Z227)*AJ226),(1+Z227)*AJ226,AJ226)</f>
        <v/>
      </c>
    </row>
    <row r="228">
      <c r="A228" s="1" t="n">
        <v>42331</v>
      </c>
      <c r="B228" s="3">
        <f>IF(ORIG!B228=0,"",ORIG!B228)</f>
        <v/>
      </c>
      <c r="C228" s="3">
        <f>IF(ORIG!C228=0,"",ORIG!C228)</f>
        <v/>
      </c>
      <c r="D228" s="3">
        <f>IF(ORIG!D228=0,"",ORIG!D228)</f>
        <v/>
      </c>
      <c r="E228" s="3">
        <f>IF(ORIG!E228=0,"",ORIG!E228)</f>
        <v/>
      </c>
      <c r="F228" s="3">
        <f>IF(ORIG!F228=0,"",ORIG!F228)</f>
        <v/>
      </c>
      <c r="G228" s="3">
        <f>IF(ORIG!G228=0,"",ORIG!G228)</f>
        <v/>
      </c>
      <c r="H228" s="3">
        <f>IF(ORIG!H228=0,"",ORIG!H228)</f>
        <v/>
      </c>
      <c r="I228" s="3">
        <f>IF(ORIG!I228=0,"",ORIG!I228)</f>
        <v/>
      </c>
      <c r="J228" s="3">
        <f>IF(ORIG!J228=0,"",ORIG!J228)</f>
        <v/>
      </c>
      <c r="K228" s="3">
        <f>IF(ORIG!K228=0,"",ORIG!K228)</f>
        <v/>
      </c>
      <c r="L228" s="3">
        <f>IF(ORIG!L228=0,"",ORIG!L228)</f>
        <v/>
      </c>
      <c r="M228" s="3">
        <f>IF(ORIG!M228=0,"",ORIG!M228)</f>
        <v/>
      </c>
      <c r="N228" s="3">
        <f>IF(ORIG!N228=0,"",ORIG!N228)</f>
        <v/>
      </c>
      <c r="O228" s="3">
        <f>IF(ORIG!O228=0,"",ORIG!O228)</f>
        <v/>
      </c>
      <c r="P228" s="3">
        <f>IF(ORIG!P228=0,"",ORIG!P228)</f>
        <v/>
      </c>
      <c r="Q228" s="3">
        <f>IF(ORIG!Q228=0,"",ORIG!Q228)</f>
        <v/>
      </c>
      <c r="R228" s="3">
        <f>IF(ORIG!R228=0,"",ORIG!R228)</f>
        <v/>
      </c>
      <c r="S228" s="3">
        <f>IF(ORIG!S228=0,"",ORIG!S228)</f>
        <v/>
      </c>
      <c r="T228" s="3">
        <f>IF(ORIG!T228=0,"",ORIG!T228)</f>
        <v/>
      </c>
      <c r="U228" s="3">
        <f>IF(ORIG!U228=0,"",ORIG!U228)</f>
        <v/>
      </c>
      <c r="V228" s="9">
        <f>IF(ORIG!V228=0,"",ORIG!V228)</f>
        <v/>
      </c>
      <c r="W228" s="9">
        <f>IF(ORIG!W228=0,"",ORIG!W228)</f>
        <v/>
      </c>
      <c r="X228" s="9">
        <f>IF(ORIG!X228=0,"",ORIG!X228)</f>
        <v/>
      </c>
      <c r="Y228" s="9">
        <f>IF(ORIG!Y228=0,"",ORIG!Y228)</f>
        <v/>
      </c>
      <c r="Z228" s="3">
        <f>SUMPRODUCT($B228:$Y228,$B$2649:$Y$2649)</f>
        <v/>
      </c>
      <c r="AA228" s="3">
        <f>SUMPRODUCT($B228:$Y228,$B$2655:$Y$2655)</f>
        <v/>
      </c>
      <c r="AC228" s="1">
        <f>A228</f>
        <v/>
      </c>
      <c r="AD228">
        <f>IF(ISNUMBER(V228),V228*($AB$1/V$2635),"")</f>
        <v/>
      </c>
      <c r="AE228">
        <f>IF(ISNUMBER(Z228),Z228*($AB$1/Z$2635),"")</f>
        <v/>
      </c>
      <c r="AF228" s="25">
        <f>IF(ISNUMBER(AD228+AE228),AD228+AE228,"")</f>
        <v/>
      </c>
      <c r="AH228" s="1">
        <f>A228</f>
        <v/>
      </c>
      <c r="AI228">
        <f>IF(ISNUMBER((1+V228)*AI227),(1+V228)*AI227,AI227)</f>
        <v/>
      </c>
      <c r="AJ228">
        <f>IF(ISNUMBER((1+Z228)*AJ227),(1+Z228)*AJ227,AJ227)</f>
        <v/>
      </c>
    </row>
    <row r="229">
      <c r="A229" s="1" t="n">
        <v>42332</v>
      </c>
      <c r="B229" s="3">
        <f>IF(ORIG!B229=0,"",ORIG!B229)</f>
        <v/>
      </c>
      <c r="C229" s="3">
        <f>IF(ORIG!C229=0,"",ORIG!C229)</f>
        <v/>
      </c>
      <c r="D229" s="3">
        <f>IF(ORIG!D229=0,"",ORIG!D229)</f>
        <v/>
      </c>
      <c r="E229" s="3">
        <f>IF(ORIG!E229=0,"",ORIG!E229)</f>
        <v/>
      </c>
      <c r="F229" s="3">
        <f>IF(ORIG!F229=0,"",ORIG!F229)</f>
        <v/>
      </c>
      <c r="G229" s="3">
        <f>IF(ORIG!G229=0,"",ORIG!G229)</f>
        <v/>
      </c>
      <c r="H229" s="3">
        <f>IF(ORIG!H229=0,"",ORIG!H229)</f>
        <v/>
      </c>
      <c r="I229" s="3">
        <f>IF(ORIG!I229=0,"",ORIG!I229)</f>
        <v/>
      </c>
      <c r="J229" s="3">
        <f>IF(ORIG!J229=0,"",ORIG!J229)</f>
        <v/>
      </c>
      <c r="K229" s="3">
        <f>IF(ORIG!K229=0,"",ORIG!K229)</f>
        <v/>
      </c>
      <c r="L229" s="3">
        <f>IF(ORIG!L229=0,"",ORIG!L229)</f>
        <v/>
      </c>
      <c r="M229" s="3">
        <f>IF(ORIG!M229=0,"",ORIG!M229)</f>
        <v/>
      </c>
      <c r="N229" s="3">
        <f>IF(ORIG!N229=0,"",ORIG!N229)</f>
        <v/>
      </c>
      <c r="O229" s="3">
        <f>IF(ORIG!O229=0,"",ORIG!O229)</f>
        <v/>
      </c>
      <c r="P229" s="3">
        <f>IF(ORIG!P229=0,"",ORIG!P229)</f>
        <v/>
      </c>
      <c r="Q229" s="3">
        <f>IF(ORIG!Q229=0,"",ORIG!Q229)</f>
        <v/>
      </c>
      <c r="R229" s="3">
        <f>IF(ORIG!R229=0,"",ORIG!R229)</f>
        <v/>
      </c>
      <c r="S229" s="3">
        <f>IF(ORIG!S229=0,"",ORIG!S229)</f>
        <v/>
      </c>
      <c r="T229" s="3">
        <f>IF(ORIG!T229=0,"",ORIG!T229)</f>
        <v/>
      </c>
      <c r="U229" s="3">
        <f>IF(ORIG!U229=0,"",ORIG!U229)</f>
        <v/>
      </c>
      <c r="V229" s="9">
        <f>IF(ORIG!V229=0,"",ORIG!V229)</f>
        <v/>
      </c>
      <c r="W229" s="9">
        <f>IF(ORIG!W229=0,"",ORIG!W229)</f>
        <v/>
      </c>
      <c r="X229" s="9">
        <f>IF(ORIG!X229=0,"",ORIG!X229)</f>
        <v/>
      </c>
      <c r="Y229" s="9">
        <f>IF(ORIG!Y229=0,"",ORIG!Y229)</f>
        <v/>
      </c>
      <c r="Z229" s="3">
        <f>SUMPRODUCT($B229:$Y229,$B$2649:$Y$2649)</f>
        <v/>
      </c>
      <c r="AA229" s="3">
        <f>SUMPRODUCT($B229:$Y229,$B$2655:$Y$2655)</f>
        <v/>
      </c>
      <c r="AC229" s="1">
        <f>A229</f>
        <v/>
      </c>
      <c r="AD229">
        <f>IF(ISNUMBER(V229),V229*($AB$1/V$2635),"")</f>
        <v/>
      </c>
      <c r="AE229">
        <f>IF(ISNUMBER(Z229),Z229*($AB$1/Z$2635),"")</f>
        <v/>
      </c>
      <c r="AF229" s="25">
        <f>IF(ISNUMBER(AD229+AE229),AD229+AE229,"")</f>
        <v/>
      </c>
      <c r="AH229" s="1">
        <f>A229</f>
        <v/>
      </c>
      <c r="AI229">
        <f>IF(ISNUMBER((1+V229)*AI228),(1+V229)*AI228,AI228)</f>
        <v/>
      </c>
      <c r="AJ229">
        <f>IF(ISNUMBER((1+Z229)*AJ228),(1+Z229)*AJ228,AJ228)</f>
        <v/>
      </c>
    </row>
    <row r="230">
      <c r="A230" s="1" t="n">
        <v>42333</v>
      </c>
      <c r="B230" s="3">
        <f>IF(ORIG!B230=0,"",ORIG!B230)</f>
        <v/>
      </c>
      <c r="C230" s="3">
        <f>IF(ORIG!C230=0,"",ORIG!C230)</f>
        <v/>
      </c>
      <c r="D230" s="3">
        <f>IF(ORIG!D230=0,"",ORIG!D230)</f>
        <v/>
      </c>
      <c r="E230" s="3">
        <f>IF(ORIG!E230=0,"",ORIG!E230)</f>
        <v/>
      </c>
      <c r="F230" s="3">
        <f>IF(ORIG!F230=0,"",ORIG!F230)</f>
        <v/>
      </c>
      <c r="G230" s="3">
        <f>IF(ORIG!G230=0,"",ORIG!G230)</f>
        <v/>
      </c>
      <c r="H230" s="3">
        <f>IF(ORIG!H230=0,"",ORIG!H230)</f>
        <v/>
      </c>
      <c r="I230" s="3">
        <f>IF(ORIG!I230=0,"",ORIG!I230)</f>
        <v/>
      </c>
      <c r="J230" s="3">
        <f>IF(ORIG!J230=0,"",ORIG!J230)</f>
        <v/>
      </c>
      <c r="K230" s="3">
        <f>IF(ORIG!K230=0,"",ORIG!K230)</f>
        <v/>
      </c>
      <c r="L230" s="3">
        <f>IF(ORIG!L230=0,"",ORIG!L230)</f>
        <v/>
      </c>
      <c r="M230" s="3">
        <f>IF(ORIG!M230=0,"",ORIG!M230)</f>
        <v/>
      </c>
      <c r="N230" s="3">
        <f>IF(ORIG!N230=0,"",ORIG!N230)</f>
        <v/>
      </c>
      <c r="O230" s="3">
        <f>IF(ORIG!O230=0,"",ORIG!O230)</f>
        <v/>
      </c>
      <c r="P230" s="3">
        <f>IF(ORIG!P230=0,"",ORIG!P230)</f>
        <v/>
      </c>
      <c r="Q230" s="3">
        <f>IF(ORIG!Q230=0,"",ORIG!Q230)</f>
        <v/>
      </c>
      <c r="R230" s="3">
        <f>IF(ORIG!R230=0,"",ORIG!R230)</f>
        <v/>
      </c>
      <c r="S230" s="3">
        <f>IF(ORIG!S230=0,"",ORIG!S230)</f>
        <v/>
      </c>
      <c r="T230" s="3">
        <f>IF(ORIG!T230=0,"",ORIG!T230)</f>
        <v/>
      </c>
      <c r="U230" s="3">
        <f>IF(ORIG!U230=0,"",ORIG!U230)</f>
        <v/>
      </c>
      <c r="V230" s="9">
        <f>IF(ORIG!V230=0,"",ORIG!V230)</f>
        <v/>
      </c>
      <c r="W230" s="9">
        <f>IF(ORIG!W230=0,"",ORIG!W230)</f>
        <v/>
      </c>
      <c r="X230" s="9">
        <f>IF(ORIG!X230=0,"",ORIG!X230)</f>
        <v/>
      </c>
      <c r="Y230" s="9">
        <f>IF(ORIG!Y230=0,"",ORIG!Y230)</f>
        <v/>
      </c>
      <c r="Z230" s="3">
        <f>SUMPRODUCT($B230:$Y230,$B$2649:$Y$2649)</f>
        <v/>
      </c>
      <c r="AA230" s="3">
        <f>SUMPRODUCT($B230:$Y230,$B$2655:$Y$2655)</f>
        <v/>
      </c>
      <c r="AC230" s="1">
        <f>A230</f>
        <v/>
      </c>
      <c r="AD230">
        <f>IF(ISNUMBER(V230),V230*($AB$1/V$2635),"")</f>
        <v/>
      </c>
      <c r="AE230">
        <f>IF(ISNUMBER(Z230),Z230*($AB$1/Z$2635),"")</f>
        <v/>
      </c>
      <c r="AF230" s="25">
        <f>IF(ISNUMBER(AD230+AE230),AD230+AE230,"")</f>
        <v/>
      </c>
      <c r="AH230" s="1">
        <f>A230</f>
        <v/>
      </c>
      <c r="AI230">
        <f>IF(ISNUMBER((1+V230)*AI229),(1+V230)*AI229,AI229)</f>
        <v/>
      </c>
      <c r="AJ230">
        <f>IF(ISNUMBER((1+Z230)*AJ229),(1+Z230)*AJ229,AJ229)</f>
        <v/>
      </c>
    </row>
    <row r="231">
      <c r="A231" s="1" t="n">
        <v>42335</v>
      </c>
      <c r="B231" s="3">
        <f>IF(ORIG!B231=0,"",ORIG!B231)</f>
        <v/>
      </c>
      <c r="C231" s="3">
        <f>IF(ORIG!C231=0,"",ORIG!C231)</f>
        <v/>
      </c>
      <c r="D231" s="3">
        <f>IF(ORIG!D231=0,"",ORIG!D231)</f>
        <v/>
      </c>
      <c r="E231" s="3">
        <f>IF(ORIG!E231=0,"",ORIG!E231)</f>
        <v/>
      </c>
      <c r="F231" s="3">
        <f>IF(ORIG!F231=0,"",ORIG!F231)</f>
        <v/>
      </c>
      <c r="G231" s="3">
        <f>IF(ORIG!G231=0,"",ORIG!G231)</f>
        <v/>
      </c>
      <c r="H231" s="3">
        <f>IF(ORIG!H231=0,"",ORIG!H231)</f>
        <v/>
      </c>
      <c r="I231" s="3">
        <f>IF(ORIG!I231=0,"",ORIG!I231)</f>
        <v/>
      </c>
      <c r="J231" s="3">
        <f>IF(ORIG!J231=0,"",ORIG!J231)</f>
        <v/>
      </c>
      <c r="K231" s="3">
        <f>IF(ORIG!K231=0,"",ORIG!K231)</f>
        <v/>
      </c>
      <c r="L231" s="3">
        <f>IF(ORIG!L231=0,"",ORIG!L231)</f>
        <v/>
      </c>
      <c r="M231" s="3">
        <f>IF(ORIG!M231=0,"",ORIG!M231)</f>
        <v/>
      </c>
      <c r="N231" s="3">
        <f>IF(ORIG!N231=0,"",ORIG!N231)</f>
        <v/>
      </c>
      <c r="O231" s="3">
        <f>IF(ORIG!O231=0,"",ORIG!O231)</f>
        <v/>
      </c>
      <c r="P231" s="3">
        <f>IF(ORIG!P231=0,"",ORIG!P231)</f>
        <v/>
      </c>
      <c r="Q231" s="3">
        <f>IF(ORIG!Q231=0,"",ORIG!Q231)</f>
        <v/>
      </c>
      <c r="R231" s="3">
        <f>IF(ORIG!R231=0,"",ORIG!R231)</f>
        <v/>
      </c>
      <c r="S231" s="3">
        <f>IF(ORIG!S231=0,"",ORIG!S231)</f>
        <v/>
      </c>
      <c r="T231" s="3">
        <f>IF(ORIG!T231=0,"",ORIG!T231)</f>
        <v/>
      </c>
      <c r="U231" s="3">
        <f>IF(ORIG!U231=0,"",ORIG!U231)</f>
        <v/>
      </c>
      <c r="V231" s="9">
        <f>IF(ORIG!V231=0,"",ORIG!V231)</f>
        <v/>
      </c>
      <c r="W231" s="9">
        <f>IF(ORIG!W231=0,"",ORIG!W231)</f>
        <v/>
      </c>
      <c r="X231" s="9">
        <f>IF(ORIG!X231=0,"",ORIG!X231)</f>
        <v/>
      </c>
      <c r="Y231" s="9">
        <f>IF(ORIG!Y231=0,"",ORIG!Y231)</f>
        <v/>
      </c>
      <c r="Z231" s="3">
        <f>SUMPRODUCT($B231:$Y231,$B$2649:$Y$2649)</f>
        <v/>
      </c>
      <c r="AA231" s="3">
        <f>SUMPRODUCT($B231:$Y231,$B$2655:$Y$2655)</f>
        <v/>
      </c>
      <c r="AC231" s="1">
        <f>A231</f>
        <v/>
      </c>
      <c r="AD231">
        <f>IF(ISNUMBER(V231),V231*($AB$1/V$2635),"")</f>
        <v/>
      </c>
      <c r="AE231">
        <f>IF(ISNUMBER(Z231),Z231*($AB$1/Z$2635),"")</f>
        <v/>
      </c>
      <c r="AF231" s="25">
        <f>IF(ISNUMBER(AD231+AE231),AD231+AE231,"")</f>
        <v/>
      </c>
      <c r="AH231" s="1">
        <f>A231</f>
        <v/>
      </c>
      <c r="AI231">
        <f>IF(ISNUMBER((1+V231)*AI230),(1+V231)*AI230,AI230)</f>
        <v/>
      </c>
      <c r="AJ231">
        <f>IF(ISNUMBER((1+Z231)*AJ230),(1+Z231)*AJ230,AJ230)</f>
        <v/>
      </c>
    </row>
    <row r="232">
      <c r="A232" s="1" t="n">
        <v>42338</v>
      </c>
      <c r="B232" s="3">
        <f>IF(ORIG!B232=0,"",ORIG!B232)</f>
        <v/>
      </c>
      <c r="C232" s="3">
        <f>IF(ORIG!C232=0,"",ORIG!C232)</f>
        <v/>
      </c>
      <c r="D232" s="3">
        <f>IF(ORIG!D232=0,"",ORIG!D232)</f>
        <v/>
      </c>
      <c r="E232" s="3">
        <f>IF(ORIG!E232=0,"",ORIG!E232)</f>
        <v/>
      </c>
      <c r="F232" s="3">
        <f>IF(ORIG!F232=0,"",ORIG!F232)</f>
        <v/>
      </c>
      <c r="G232" s="3">
        <f>IF(ORIG!G232=0,"",ORIG!G232)</f>
        <v/>
      </c>
      <c r="H232" s="3">
        <f>IF(ORIG!H232=0,"",ORIG!H232)</f>
        <v/>
      </c>
      <c r="I232" s="3">
        <f>IF(ORIG!I232=0,"",ORIG!I232)</f>
        <v/>
      </c>
      <c r="J232" s="3">
        <f>IF(ORIG!J232=0,"",ORIG!J232)</f>
        <v/>
      </c>
      <c r="K232" s="3">
        <f>IF(ORIG!K232=0,"",ORIG!K232)</f>
        <v/>
      </c>
      <c r="L232" s="3">
        <f>IF(ORIG!L232=0,"",ORIG!L232)</f>
        <v/>
      </c>
      <c r="M232" s="3">
        <f>IF(ORIG!M232=0,"",ORIG!M232)</f>
        <v/>
      </c>
      <c r="N232" s="3">
        <f>IF(ORIG!N232=0,"",ORIG!N232)</f>
        <v/>
      </c>
      <c r="O232" s="3">
        <f>IF(ORIG!O232=0,"",ORIG!O232)</f>
        <v/>
      </c>
      <c r="P232" s="3">
        <f>IF(ORIG!P232=0,"",ORIG!P232)</f>
        <v/>
      </c>
      <c r="Q232" s="3">
        <f>IF(ORIG!Q232=0,"",ORIG!Q232)</f>
        <v/>
      </c>
      <c r="R232" s="3">
        <f>IF(ORIG!R232=0,"",ORIG!R232)</f>
        <v/>
      </c>
      <c r="S232" s="3">
        <f>IF(ORIG!S232=0,"",ORIG!S232)</f>
        <v/>
      </c>
      <c r="T232" s="3">
        <f>IF(ORIG!T232=0,"",ORIG!T232)</f>
        <v/>
      </c>
      <c r="U232" s="3">
        <f>IF(ORIG!U232=0,"",ORIG!U232)</f>
        <v/>
      </c>
      <c r="V232" s="9">
        <f>IF(ORIG!V232=0,"",ORIG!V232)</f>
        <v/>
      </c>
      <c r="W232" s="9">
        <f>IF(ORIG!W232=0,"",ORIG!W232)</f>
        <v/>
      </c>
      <c r="X232" s="9">
        <f>IF(ORIG!X232=0,"",ORIG!X232)</f>
        <v/>
      </c>
      <c r="Y232" s="9">
        <f>IF(ORIG!Y232=0,"",ORIG!Y232)</f>
        <v/>
      </c>
      <c r="Z232" s="3">
        <f>SUMPRODUCT($B232:$Y232,$B$2649:$Y$2649)</f>
        <v/>
      </c>
      <c r="AA232" s="3">
        <f>SUMPRODUCT($B232:$Y232,$B$2655:$Y$2655)</f>
        <v/>
      </c>
      <c r="AC232" s="1">
        <f>A232</f>
        <v/>
      </c>
      <c r="AD232">
        <f>IF(ISNUMBER(V232),V232*($AB$1/V$2635),"")</f>
        <v/>
      </c>
      <c r="AE232">
        <f>IF(ISNUMBER(Z232),Z232*($AB$1/Z$2635),"")</f>
        <v/>
      </c>
      <c r="AF232" s="25">
        <f>IF(ISNUMBER(AD232+AE232),AD232+AE232,"")</f>
        <v/>
      </c>
      <c r="AH232" s="1">
        <f>A232</f>
        <v/>
      </c>
      <c r="AI232">
        <f>IF(ISNUMBER((1+V232)*AI231),(1+V232)*AI231,AI231)</f>
        <v/>
      </c>
      <c r="AJ232">
        <f>IF(ISNUMBER((1+Z232)*AJ231),(1+Z232)*AJ231,AJ231)</f>
        <v/>
      </c>
    </row>
    <row r="233">
      <c r="A233" s="1" t="n">
        <v>42339</v>
      </c>
      <c r="B233" s="3">
        <f>IF(ORIG!B233=0,"",ORIG!B233)</f>
        <v/>
      </c>
      <c r="C233" s="3">
        <f>IF(ORIG!C233=0,"",ORIG!C233)</f>
        <v/>
      </c>
      <c r="D233" s="3">
        <f>IF(ORIG!D233=0,"",ORIG!D233)</f>
        <v/>
      </c>
      <c r="E233" s="3">
        <f>IF(ORIG!E233=0,"",ORIG!E233)</f>
        <v/>
      </c>
      <c r="F233" s="3">
        <f>IF(ORIG!F233=0,"",ORIG!F233)</f>
        <v/>
      </c>
      <c r="G233" s="3">
        <f>IF(ORIG!G233=0,"",ORIG!G233)</f>
        <v/>
      </c>
      <c r="H233" s="3">
        <f>IF(ORIG!H233=0,"",ORIG!H233)</f>
        <v/>
      </c>
      <c r="I233" s="3">
        <f>IF(ORIG!I233=0,"",ORIG!I233)</f>
        <v/>
      </c>
      <c r="J233" s="3">
        <f>IF(ORIG!J233=0,"",ORIG!J233)</f>
        <v/>
      </c>
      <c r="K233" s="3">
        <f>IF(ORIG!K233=0,"",ORIG!K233)</f>
        <v/>
      </c>
      <c r="L233" s="3">
        <f>IF(ORIG!L233=0,"",ORIG!L233)</f>
        <v/>
      </c>
      <c r="M233" s="3">
        <f>IF(ORIG!M233=0,"",ORIG!M233)</f>
        <v/>
      </c>
      <c r="N233" s="3">
        <f>IF(ORIG!N233=0,"",ORIG!N233)</f>
        <v/>
      </c>
      <c r="O233" s="3">
        <f>IF(ORIG!O233=0,"",ORIG!O233)</f>
        <v/>
      </c>
      <c r="P233" s="3">
        <f>IF(ORIG!P233=0,"",ORIG!P233)</f>
        <v/>
      </c>
      <c r="Q233" s="3">
        <f>IF(ORIG!Q233=0,"",ORIG!Q233)</f>
        <v/>
      </c>
      <c r="R233" s="3">
        <f>IF(ORIG!R233=0,"",ORIG!R233)</f>
        <v/>
      </c>
      <c r="S233" s="3">
        <f>IF(ORIG!S233=0,"",ORIG!S233)</f>
        <v/>
      </c>
      <c r="T233" s="3">
        <f>IF(ORIG!T233=0,"",ORIG!T233)</f>
        <v/>
      </c>
      <c r="U233" s="3">
        <f>IF(ORIG!U233=0,"",ORIG!U233)</f>
        <v/>
      </c>
      <c r="V233" s="9">
        <f>IF(ORIG!V233=0,"",ORIG!V233)</f>
        <v/>
      </c>
      <c r="W233" s="9">
        <f>IF(ORIG!W233=0,"",ORIG!W233)</f>
        <v/>
      </c>
      <c r="X233" s="9">
        <f>IF(ORIG!X233=0,"",ORIG!X233)</f>
        <v/>
      </c>
      <c r="Y233" s="9">
        <f>IF(ORIG!Y233=0,"",ORIG!Y233)</f>
        <v/>
      </c>
      <c r="Z233" s="3">
        <f>SUMPRODUCT($B233:$Y233,$B$2649:$Y$2649)</f>
        <v/>
      </c>
      <c r="AA233" s="3">
        <f>SUMPRODUCT($B233:$Y233,$B$2655:$Y$2655)</f>
        <v/>
      </c>
      <c r="AC233" s="1">
        <f>A233</f>
        <v/>
      </c>
      <c r="AD233">
        <f>IF(ISNUMBER(V233),V233*($AB$1/V$2635),"")</f>
        <v/>
      </c>
      <c r="AE233">
        <f>IF(ISNUMBER(Z233),Z233*($AB$1/Z$2635),"")</f>
        <v/>
      </c>
      <c r="AF233" s="25">
        <f>IF(ISNUMBER(AD233+AE233),AD233+AE233,"")</f>
        <v/>
      </c>
      <c r="AH233" s="1">
        <f>A233</f>
        <v/>
      </c>
      <c r="AI233">
        <f>IF(ISNUMBER((1+V233)*AI232),(1+V233)*AI232,AI232)</f>
        <v/>
      </c>
      <c r="AJ233">
        <f>IF(ISNUMBER((1+Z233)*AJ232),(1+Z233)*AJ232,AJ232)</f>
        <v/>
      </c>
    </row>
    <row r="234">
      <c r="A234" s="1" t="n">
        <v>42340</v>
      </c>
      <c r="B234" s="3">
        <f>IF(ORIG!B234=0,"",ORIG!B234)</f>
        <v/>
      </c>
      <c r="C234" s="3">
        <f>IF(ORIG!C234=0,"",ORIG!C234)</f>
        <v/>
      </c>
      <c r="D234" s="3">
        <f>IF(ORIG!D234=0,"",ORIG!D234)</f>
        <v/>
      </c>
      <c r="E234" s="3">
        <f>IF(ORIG!E234=0,"",ORIG!E234)</f>
        <v/>
      </c>
      <c r="F234" s="3">
        <f>IF(ORIG!F234=0,"",ORIG!F234)</f>
        <v/>
      </c>
      <c r="G234" s="3">
        <f>IF(ORIG!G234=0,"",ORIG!G234)</f>
        <v/>
      </c>
      <c r="H234" s="3">
        <f>IF(ORIG!H234=0,"",ORIG!H234)</f>
        <v/>
      </c>
      <c r="I234" s="3">
        <f>IF(ORIG!I234=0,"",ORIG!I234)</f>
        <v/>
      </c>
      <c r="J234" s="3">
        <f>IF(ORIG!J234=0,"",ORIG!J234)</f>
        <v/>
      </c>
      <c r="K234" s="3">
        <f>IF(ORIG!K234=0,"",ORIG!K234)</f>
        <v/>
      </c>
      <c r="L234" s="3">
        <f>IF(ORIG!L234=0,"",ORIG!L234)</f>
        <v/>
      </c>
      <c r="M234" s="3">
        <f>IF(ORIG!M234=0,"",ORIG!M234)</f>
        <v/>
      </c>
      <c r="N234" s="3">
        <f>IF(ORIG!N234=0,"",ORIG!N234)</f>
        <v/>
      </c>
      <c r="O234" s="3">
        <f>IF(ORIG!O234=0,"",ORIG!O234)</f>
        <v/>
      </c>
      <c r="P234" s="3">
        <f>IF(ORIG!P234=0,"",ORIG!P234)</f>
        <v/>
      </c>
      <c r="Q234" s="3">
        <f>IF(ORIG!Q234=0,"",ORIG!Q234)</f>
        <v/>
      </c>
      <c r="R234" s="3">
        <f>IF(ORIG!R234=0,"",ORIG!R234)</f>
        <v/>
      </c>
      <c r="S234" s="3">
        <f>IF(ORIG!S234=0,"",ORIG!S234)</f>
        <v/>
      </c>
      <c r="T234" s="3">
        <f>IF(ORIG!T234=0,"",ORIG!T234)</f>
        <v/>
      </c>
      <c r="U234" s="3">
        <f>IF(ORIG!U234=0,"",ORIG!U234)</f>
        <v/>
      </c>
      <c r="V234" s="9">
        <f>IF(ORIG!V234=0,"",ORIG!V234)</f>
        <v/>
      </c>
      <c r="W234" s="9">
        <f>IF(ORIG!W234=0,"",ORIG!W234)</f>
        <v/>
      </c>
      <c r="X234" s="9">
        <f>IF(ORIG!X234=0,"",ORIG!X234)</f>
        <v/>
      </c>
      <c r="Y234" s="9">
        <f>IF(ORIG!Y234=0,"",ORIG!Y234)</f>
        <v/>
      </c>
      <c r="Z234" s="3">
        <f>SUMPRODUCT($B234:$Y234,$B$2649:$Y$2649)</f>
        <v/>
      </c>
      <c r="AA234" s="3">
        <f>SUMPRODUCT($B234:$Y234,$B$2655:$Y$2655)</f>
        <v/>
      </c>
      <c r="AC234" s="1">
        <f>A234</f>
        <v/>
      </c>
      <c r="AD234">
        <f>IF(ISNUMBER(V234),V234*($AB$1/V$2635),"")</f>
        <v/>
      </c>
      <c r="AE234">
        <f>IF(ISNUMBER(Z234),Z234*($AB$1/Z$2635),"")</f>
        <v/>
      </c>
      <c r="AF234" s="25">
        <f>IF(ISNUMBER(AD234+AE234),AD234+AE234,"")</f>
        <v/>
      </c>
      <c r="AH234" s="1">
        <f>A234</f>
        <v/>
      </c>
      <c r="AI234">
        <f>IF(ISNUMBER((1+V234)*AI233),(1+V234)*AI233,AI233)</f>
        <v/>
      </c>
      <c r="AJ234">
        <f>IF(ISNUMBER((1+Z234)*AJ233),(1+Z234)*AJ233,AJ233)</f>
        <v/>
      </c>
    </row>
    <row r="235">
      <c r="A235" s="1" t="n">
        <v>42341</v>
      </c>
      <c r="B235" s="3">
        <f>IF(ORIG!B235=0,"",ORIG!B235)</f>
        <v/>
      </c>
      <c r="C235" s="3">
        <f>IF(ORIG!C235=0,"",ORIG!C235)</f>
        <v/>
      </c>
      <c r="D235" s="3">
        <f>IF(ORIG!D235=0,"",ORIG!D235)</f>
        <v/>
      </c>
      <c r="E235" s="3">
        <f>IF(ORIG!E235=0,"",ORIG!E235)</f>
        <v/>
      </c>
      <c r="F235" s="3">
        <f>IF(ORIG!F235=0,"",ORIG!F235)</f>
        <v/>
      </c>
      <c r="G235" s="3">
        <f>IF(ORIG!G235=0,"",ORIG!G235)</f>
        <v/>
      </c>
      <c r="H235" s="3">
        <f>IF(ORIG!H235=0,"",ORIG!H235)</f>
        <v/>
      </c>
      <c r="I235" s="3">
        <f>IF(ORIG!I235=0,"",ORIG!I235)</f>
        <v/>
      </c>
      <c r="J235" s="3">
        <f>IF(ORIG!J235=0,"",ORIG!J235)</f>
        <v/>
      </c>
      <c r="K235" s="3">
        <f>IF(ORIG!K235=0,"",ORIG!K235)</f>
        <v/>
      </c>
      <c r="L235" s="3">
        <f>IF(ORIG!L235=0,"",ORIG!L235)</f>
        <v/>
      </c>
      <c r="M235" s="3">
        <f>IF(ORIG!M235=0,"",ORIG!M235)</f>
        <v/>
      </c>
      <c r="N235" s="3">
        <f>IF(ORIG!N235=0,"",ORIG!N235)</f>
        <v/>
      </c>
      <c r="O235" s="3">
        <f>IF(ORIG!O235=0,"",ORIG!O235)</f>
        <v/>
      </c>
      <c r="P235" s="3">
        <f>IF(ORIG!P235=0,"",ORIG!P235)</f>
        <v/>
      </c>
      <c r="Q235" s="3">
        <f>IF(ORIG!Q235=0,"",ORIG!Q235)</f>
        <v/>
      </c>
      <c r="R235" s="3">
        <f>IF(ORIG!R235=0,"",ORIG!R235)</f>
        <v/>
      </c>
      <c r="S235" s="3">
        <f>IF(ORIG!S235=0,"",ORIG!S235)</f>
        <v/>
      </c>
      <c r="T235" s="3">
        <f>IF(ORIG!T235=0,"",ORIG!T235)</f>
        <v/>
      </c>
      <c r="U235" s="3">
        <f>IF(ORIG!U235=0,"",ORIG!U235)</f>
        <v/>
      </c>
      <c r="V235" s="9">
        <f>IF(ORIG!V235=0,"",ORIG!V235)</f>
        <v/>
      </c>
      <c r="W235" s="9">
        <f>IF(ORIG!W235=0,"",ORIG!W235)</f>
        <v/>
      </c>
      <c r="X235" s="9">
        <f>IF(ORIG!X235=0,"",ORIG!X235)</f>
        <v/>
      </c>
      <c r="Y235" s="9">
        <f>IF(ORIG!Y235=0,"",ORIG!Y235)</f>
        <v/>
      </c>
      <c r="Z235" s="3">
        <f>SUMPRODUCT($B235:$Y235,$B$2649:$Y$2649)</f>
        <v/>
      </c>
      <c r="AA235" s="3">
        <f>SUMPRODUCT($B235:$Y235,$B$2655:$Y$2655)</f>
        <v/>
      </c>
      <c r="AC235" s="1">
        <f>A235</f>
        <v/>
      </c>
      <c r="AD235">
        <f>IF(ISNUMBER(V235),V235*($AB$1/V$2635),"")</f>
        <v/>
      </c>
      <c r="AE235">
        <f>IF(ISNUMBER(Z235),Z235*($AB$1/Z$2635),"")</f>
        <v/>
      </c>
      <c r="AF235" s="25">
        <f>IF(ISNUMBER(AD235+AE235),AD235+AE235,"")</f>
        <v/>
      </c>
      <c r="AH235" s="1">
        <f>A235</f>
        <v/>
      </c>
      <c r="AI235">
        <f>IF(ISNUMBER((1+V235)*AI234),(1+V235)*AI234,AI234)</f>
        <v/>
      </c>
      <c r="AJ235">
        <f>IF(ISNUMBER((1+Z235)*AJ234),(1+Z235)*AJ234,AJ234)</f>
        <v/>
      </c>
    </row>
    <row r="236">
      <c r="A236" s="1" t="n">
        <v>42342</v>
      </c>
      <c r="B236" s="3">
        <f>IF(ORIG!B236=0,"",ORIG!B236)</f>
        <v/>
      </c>
      <c r="C236" s="3">
        <f>IF(ORIG!C236=0,"",ORIG!C236)</f>
        <v/>
      </c>
      <c r="D236" s="3">
        <f>IF(ORIG!D236=0,"",ORIG!D236)</f>
        <v/>
      </c>
      <c r="E236" s="3">
        <f>IF(ORIG!E236=0,"",ORIG!E236)</f>
        <v/>
      </c>
      <c r="F236" s="3">
        <f>IF(ORIG!F236=0,"",ORIG!F236)</f>
        <v/>
      </c>
      <c r="G236" s="3">
        <f>IF(ORIG!G236=0,"",ORIG!G236)</f>
        <v/>
      </c>
      <c r="H236" s="3">
        <f>IF(ORIG!H236=0,"",ORIG!H236)</f>
        <v/>
      </c>
      <c r="I236" s="3">
        <f>IF(ORIG!I236=0,"",ORIG!I236)</f>
        <v/>
      </c>
      <c r="J236" s="3">
        <f>IF(ORIG!J236=0,"",ORIG!J236)</f>
        <v/>
      </c>
      <c r="K236" s="3">
        <f>IF(ORIG!K236=0,"",ORIG!K236)</f>
        <v/>
      </c>
      <c r="L236" s="3">
        <f>IF(ORIG!L236=0,"",ORIG!L236)</f>
        <v/>
      </c>
      <c r="M236" s="3">
        <f>IF(ORIG!M236=0,"",ORIG!M236)</f>
        <v/>
      </c>
      <c r="N236" s="3">
        <f>IF(ORIG!N236=0,"",ORIG!N236)</f>
        <v/>
      </c>
      <c r="O236" s="3">
        <f>IF(ORIG!O236=0,"",ORIG!O236)</f>
        <v/>
      </c>
      <c r="P236" s="3">
        <f>IF(ORIG!P236=0,"",ORIG!P236)</f>
        <v/>
      </c>
      <c r="Q236" s="3">
        <f>IF(ORIG!Q236=0,"",ORIG!Q236)</f>
        <v/>
      </c>
      <c r="R236" s="3">
        <f>IF(ORIG!R236=0,"",ORIG!R236)</f>
        <v/>
      </c>
      <c r="S236" s="3">
        <f>IF(ORIG!S236=0,"",ORIG!S236)</f>
        <v/>
      </c>
      <c r="T236" s="3">
        <f>IF(ORIG!T236=0,"",ORIG!T236)</f>
        <v/>
      </c>
      <c r="U236" s="3">
        <f>IF(ORIG!U236=0,"",ORIG!U236)</f>
        <v/>
      </c>
      <c r="V236" s="9">
        <f>IF(ORIG!V236=0,"",ORIG!V236)</f>
        <v/>
      </c>
      <c r="W236" s="9">
        <f>IF(ORIG!W236=0,"",ORIG!W236)</f>
        <v/>
      </c>
      <c r="X236" s="9">
        <f>IF(ORIG!X236=0,"",ORIG!X236)</f>
        <v/>
      </c>
      <c r="Y236" s="9">
        <f>IF(ORIG!Y236=0,"",ORIG!Y236)</f>
        <v/>
      </c>
      <c r="Z236" s="3">
        <f>SUMPRODUCT($B236:$Y236,$B$2649:$Y$2649)</f>
        <v/>
      </c>
      <c r="AA236" s="3">
        <f>SUMPRODUCT($B236:$Y236,$B$2655:$Y$2655)</f>
        <v/>
      </c>
      <c r="AC236" s="1">
        <f>A236</f>
        <v/>
      </c>
      <c r="AD236">
        <f>IF(ISNUMBER(V236),V236*($AB$1/V$2635),"")</f>
        <v/>
      </c>
      <c r="AE236">
        <f>IF(ISNUMBER(Z236),Z236*($AB$1/Z$2635),"")</f>
        <v/>
      </c>
      <c r="AF236" s="25">
        <f>IF(ISNUMBER(AD236+AE236),AD236+AE236,"")</f>
        <v/>
      </c>
      <c r="AH236" s="1">
        <f>A236</f>
        <v/>
      </c>
      <c r="AI236">
        <f>IF(ISNUMBER((1+V236)*AI235),(1+V236)*AI235,AI235)</f>
        <v/>
      </c>
      <c r="AJ236">
        <f>IF(ISNUMBER((1+Z236)*AJ235),(1+Z236)*AJ235,AJ235)</f>
        <v/>
      </c>
    </row>
    <row r="237">
      <c r="A237" s="1" t="n">
        <v>42345</v>
      </c>
      <c r="B237" s="3">
        <f>IF(ORIG!B237=0,"",ORIG!B237)</f>
        <v/>
      </c>
      <c r="C237" s="3">
        <f>IF(ORIG!C237=0,"",ORIG!C237)</f>
        <v/>
      </c>
      <c r="D237" s="3">
        <f>IF(ORIG!D237=0,"",ORIG!D237)</f>
        <v/>
      </c>
      <c r="E237" s="3">
        <f>IF(ORIG!E237=0,"",ORIG!E237)</f>
        <v/>
      </c>
      <c r="F237" s="3">
        <f>IF(ORIG!F237=0,"",ORIG!F237)</f>
        <v/>
      </c>
      <c r="G237" s="3">
        <f>IF(ORIG!G237=0,"",ORIG!G237)</f>
        <v/>
      </c>
      <c r="H237" s="3">
        <f>IF(ORIG!H237=0,"",ORIG!H237)</f>
        <v/>
      </c>
      <c r="I237" s="3">
        <f>IF(ORIG!I237=0,"",ORIG!I237)</f>
        <v/>
      </c>
      <c r="J237" s="3">
        <f>IF(ORIG!J237=0,"",ORIG!J237)</f>
        <v/>
      </c>
      <c r="K237" s="3">
        <f>IF(ORIG!K237=0,"",ORIG!K237)</f>
        <v/>
      </c>
      <c r="L237" s="3">
        <f>IF(ORIG!L237=0,"",ORIG!L237)</f>
        <v/>
      </c>
      <c r="M237" s="3">
        <f>IF(ORIG!M237=0,"",ORIG!M237)</f>
        <v/>
      </c>
      <c r="N237" s="3">
        <f>IF(ORIG!N237=0,"",ORIG!N237)</f>
        <v/>
      </c>
      <c r="O237" s="3">
        <f>IF(ORIG!O237=0,"",ORIG!O237)</f>
        <v/>
      </c>
      <c r="P237" s="3">
        <f>IF(ORIG!P237=0,"",ORIG!P237)</f>
        <v/>
      </c>
      <c r="Q237" s="3">
        <f>IF(ORIG!Q237=0,"",ORIG!Q237)</f>
        <v/>
      </c>
      <c r="R237" s="3">
        <f>IF(ORIG!R237=0,"",ORIG!R237)</f>
        <v/>
      </c>
      <c r="S237" s="3">
        <f>IF(ORIG!S237=0,"",ORIG!S237)</f>
        <v/>
      </c>
      <c r="T237" s="3">
        <f>IF(ORIG!T237=0,"",ORIG!T237)</f>
        <v/>
      </c>
      <c r="U237" s="3">
        <f>IF(ORIG!U237=0,"",ORIG!U237)</f>
        <v/>
      </c>
      <c r="V237" s="9">
        <f>IF(ORIG!V237=0,"",ORIG!V237)</f>
        <v/>
      </c>
      <c r="W237" s="9">
        <f>IF(ORIG!W237=0,"",ORIG!W237)</f>
        <v/>
      </c>
      <c r="X237" s="9">
        <f>IF(ORIG!X237=0,"",ORIG!X237)</f>
        <v/>
      </c>
      <c r="Y237" s="9">
        <f>IF(ORIG!Y237=0,"",ORIG!Y237)</f>
        <v/>
      </c>
      <c r="Z237" s="3">
        <f>SUMPRODUCT($B237:$Y237,$B$2649:$Y$2649)</f>
        <v/>
      </c>
      <c r="AA237" s="3">
        <f>SUMPRODUCT($B237:$Y237,$B$2655:$Y$2655)</f>
        <v/>
      </c>
      <c r="AC237" s="1">
        <f>A237</f>
        <v/>
      </c>
      <c r="AD237">
        <f>IF(ISNUMBER(V237),V237*($AB$1/V$2635),"")</f>
        <v/>
      </c>
      <c r="AE237">
        <f>IF(ISNUMBER(Z237),Z237*($AB$1/Z$2635),"")</f>
        <v/>
      </c>
      <c r="AF237" s="25">
        <f>IF(ISNUMBER(AD237+AE237),AD237+AE237,"")</f>
        <v/>
      </c>
      <c r="AH237" s="1">
        <f>A237</f>
        <v/>
      </c>
      <c r="AI237">
        <f>IF(ISNUMBER((1+V237)*AI236),(1+V237)*AI236,AI236)</f>
        <v/>
      </c>
      <c r="AJ237">
        <f>IF(ISNUMBER((1+Z237)*AJ236),(1+Z237)*AJ236,AJ236)</f>
        <v/>
      </c>
    </row>
    <row r="238">
      <c r="A238" s="1" t="n">
        <v>42346</v>
      </c>
      <c r="B238" s="3">
        <f>IF(ORIG!B238=0,"",ORIG!B238)</f>
        <v/>
      </c>
      <c r="C238" s="3">
        <f>IF(ORIG!C238=0,"",ORIG!C238)</f>
        <v/>
      </c>
      <c r="D238" s="3">
        <f>IF(ORIG!D238=0,"",ORIG!D238)</f>
        <v/>
      </c>
      <c r="E238" s="3">
        <f>IF(ORIG!E238=0,"",ORIG!E238)</f>
        <v/>
      </c>
      <c r="F238" s="3">
        <f>IF(ORIG!F238=0,"",ORIG!F238)</f>
        <v/>
      </c>
      <c r="G238" s="3">
        <f>IF(ORIG!G238=0,"",ORIG!G238)</f>
        <v/>
      </c>
      <c r="H238" s="3">
        <f>IF(ORIG!H238=0,"",ORIG!H238)</f>
        <v/>
      </c>
      <c r="I238" s="3">
        <f>IF(ORIG!I238=0,"",ORIG!I238)</f>
        <v/>
      </c>
      <c r="J238" s="3">
        <f>IF(ORIG!J238=0,"",ORIG!J238)</f>
        <v/>
      </c>
      <c r="K238" s="3">
        <f>IF(ORIG!K238=0,"",ORIG!K238)</f>
        <v/>
      </c>
      <c r="L238" s="3">
        <f>IF(ORIG!L238=0,"",ORIG!L238)</f>
        <v/>
      </c>
      <c r="M238" s="3">
        <f>IF(ORIG!M238=0,"",ORIG!M238)</f>
        <v/>
      </c>
      <c r="N238" s="3">
        <f>IF(ORIG!N238=0,"",ORIG!N238)</f>
        <v/>
      </c>
      <c r="O238" s="3">
        <f>IF(ORIG!O238=0,"",ORIG!O238)</f>
        <v/>
      </c>
      <c r="P238" s="3">
        <f>IF(ORIG!P238=0,"",ORIG!P238)</f>
        <v/>
      </c>
      <c r="Q238" s="3">
        <f>IF(ORIG!Q238=0,"",ORIG!Q238)</f>
        <v/>
      </c>
      <c r="R238" s="3">
        <f>IF(ORIG!R238=0,"",ORIG!R238)</f>
        <v/>
      </c>
      <c r="S238" s="3">
        <f>IF(ORIG!S238=0,"",ORIG!S238)</f>
        <v/>
      </c>
      <c r="T238" s="3">
        <f>IF(ORIG!T238=0,"",ORIG!T238)</f>
        <v/>
      </c>
      <c r="U238" s="3">
        <f>IF(ORIG!U238=0,"",ORIG!U238)</f>
        <v/>
      </c>
      <c r="V238" s="9">
        <f>IF(ORIG!V238=0,"",ORIG!V238)</f>
        <v/>
      </c>
      <c r="W238" s="9">
        <f>IF(ORIG!W238=0,"",ORIG!W238)</f>
        <v/>
      </c>
      <c r="X238" s="9">
        <f>IF(ORIG!X238=0,"",ORIG!X238)</f>
        <v/>
      </c>
      <c r="Y238" s="9">
        <f>IF(ORIG!Y238=0,"",ORIG!Y238)</f>
        <v/>
      </c>
      <c r="Z238" s="3">
        <f>SUMPRODUCT($B238:$Y238,$B$2649:$Y$2649)</f>
        <v/>
      </c>
      <c r="AA238" s="3">
        <f>SUMPRODUCT($B238:$Y238,$B$2655:$Y$2655)</f>
        <v/>
      </c>
      <c r="AC238" s="1">
        <f>A238</f>
        <v/>
      </c>
      <c r="AD238">
        <f>IF(ISNUMBER(V238),V238*($AB$1/V$2635),"")</f>
        <v/>
      </c>
      <c r="AE238">
        <f>IF(ISNUMBER(Z238),Z238*($AB$1/Z$2635),"")</f>
        <v/>
      </c>
      <c r="AF238" s="25">
        <f>IF(ISNUMBER(AD238+AE238),AD238+AE238,"")</f>
        <v/>
      </c>
      <c r="AH238" s="1">
        <f>A238</f>
        <v/>
      </c>
      <c r="AI238">
        <f>IF(ISNUMBER((1+V238)*AI237),(1+V238)*AI237,AI237)</f>
        <v/>
      </c>
      <c r="AJ238">
        <f>IF(ISNUMBER((1+Z238)*AJ237),(1+Z238)*AJ237,AJ237)</f>
        <v/>
      </c>
    </row>
    <row r="239">
      <c r="A239" s="1" t="n">
        <v>42347</v>
      </c>
      <c r="B239" s="3">
        <f>IF(ORIG!B239=0,"",ORIG!B239)</f>
        <v/>
      </c>
      <c r="C239" s="3">
        <f>IF(ORIG!C239=0,"",ORIG!C239)</f>
        <v/>
      </c>
      <c r="D239" s="3">
        <f>IF(ORIG!D239=0,"",ORIG!D239)</f>
        <v/>
      </c>
      <c r="E239" s="3">
        <f>IF(ORIG!E239=0,"",ORIG!E239)</f>
        <v/>
      </c>
      <c r="F239" s="3">
        <f>IF(ORIG!F239=0,"",ORIG!F239)</f>
        <v/>
      </c>
      <c r="G239" s="3">
        <f>IF(ORIG!G239=0,"",ORIG!G239)</f>
        <v/>
      </c>
      <c r="H239" s="3">
        <f>IF(ORIG!H239=0,"",ORIG!H239)</f>
        <v/>
      </c>
      <c r="I239" s="3">
        <f>IF(ORIG!I239=0,"",ORIG!I239)</f>
        <v/>
      </c>
      <c r="J239" s="3">
        <f>IF(ORIG!J239=0,"",ORIG!J239)</f>
        <v/>
      </c>
      <c r="K239" s="3">
        <f>IF(ORIG!K239=0,"",ORIG!K239)</f>
        <v/>
      </c>
      <c r="L239" s="3">
        <f>IF(ORIG!L239=0,"",ORIG!L239)</f>
        <v/>
      </c>
      <c r="M239" s="3">
        <f>IF(ORIG!M239=0,"",ORIG!M239)</f>
        <v/>
      </c>
      <c r="N239" s="3">
        <f>IF(ORIG!N239=0,"",ORIG!N239)</f>
        <v/>
      </c>
      <c r="O239" s="3">
        <f>IF(ORIG!O239=0,"",ORIG!O239)</f>
        <v/>
      </c>
      <c r="P239" s="3">
        <f>IF(ORIG!P239=0,"",ORIG!P239)</f>
        <v/>
      </c>
      <c r="Q239" s="3">
        <f>IF(ORIG!Q239=0,"",ORIG!Q239)</f>
        <v/>
      </c>
      <c r="R239" s="3">
        <f>IF(ORIG!R239=0,"",ORIG!R239)</f>
        <v/>
      </c>
      <c r="S239" s="3">
        <f>IF(ORIG!S239=0,"",ORIG!S239)</f>
        <v/>
      </c>
      <c r="T239" s="3">
        <f>IF(ORIG!T239=0,"",ORIG!T239)</f>
        <v/>
      </c>
      <c r="U239" s="3">
        <f>IF(ORIG!U239=0,"",ORIG!U239)</f>
        <v/>
      </c>
      <c r="V239" s="9">
        <f>IF(ORIG!V239=0,"",ORIG!V239)</f>
        <v/>
      </c>
      <c r="W239" s="9">
        <f>IF(ORIG!W239=0,"",ORIG!W239)</f>
        <v/>
      </c>
      <c r="X239" s="9">
        <f>IF(ORIG!X239=0,"",ORIG!X239)</f>
        <v/>
      </c>
      <c r="Y239" s="9">
        <f>IF(ORIG!Y239=0,"",ORIG!Y239)</f>
        <v/>
      </c>
      <c r="Z239" s="3">
        <f>SUMPRODUCT($B239:$Y239,$B$2649:$Y$2649)</f>
        <v/>
      </c>
      <c r="AA239" s="3">
        <f>SUMPRODUCT($B239:$Y239,$B$2655:$Y$2655)</f>
        <v/>
      </c>
      <c r="AC239" s="1">
        <f>A239</f>
        <v/>
      </c>
      <c r="AD239">
        <f>IF(ISNUMBER(V239),V239*($AB$1/V$2635),"")</f>
        <v/>
      </c>
      <c r="AE239">
        <f>IF(ISNUMBER(Z239),Z239*($AB$1/Z$2635),"")</f>
        <v/>
      </c>
      <c r="AF239" s="25">
        <f>IF(ISNUMBER(AD239+AE239),AD239+AE239,"")</f>
        <v/>
      </c>
      <c r="AH239" s="1">
        <f>A239</f>
        <v/>
      </c>
      <c r="AI239">
        <f>IF(ISNUMBER((1+V239)*AI238),(1+V239)*AI238,AI238)</f>
        <v/>
      </c>
      <c r="AJ239">
        <f>IF(ISNUMBER((1+Z239)*AJ238),(1+Z239)*AJ238,AJ238)</f>
        <v/>
      </c>
    </row>
    <row r="240">
      <c r="A240" s="1" t="n">
        <v>42348</v>
      </c>
      <c r="B240" s="3">
        <f>IF(ORIG!B240=0,"",ORIG!B240)</f>
        <v/>
      </c>
      <c r="C240" s="3">
        <f>IF(ORIG!C240=0,"",ORIG!C240)</f>
        <v/>
      </c>
      <c r="D240" s="3">
        <f>IF(ORIG!D240=0,"",ORIG!D240)</f>
        <v/>
      </c>
      <c r="E240" s="3">
        <f>IF(ORIG!E240=0,"",ORIG!E240)</f>
        <v/>
      </c>
      <c r="F240" s="3">
        <f>IF(ORIG!F240=0,"",ORIG!F240)</f>
        <v/>
      </c>
      <c r="G240" s="3">
        <f>IF(ORIG!G240=0,"",ORIG!G240)</f>
        <v/>
      </c>
      <c r="H240" s="3">
        <f>IF(ORIG!H240=0,"",ORIG!H240)</f>
        <v/>
      </c>
      <c r="I240" s="3">
        <f>IF(ORIG!I240=0,"",ORIG!I240)</f>
        <v/>
      </c>
      <c r="J240" s="3">
        <f>IF(ORIG!J240=0,"",ORIG!J240)</f>
        <v/>
      </c>
      <c r="K240" s="3">
        <f>IF(ORIG!K240=0,"",ORIG!K240)</f>
        <v/>
      </c>
      <c r="L240" s="3">
        <f>IF(ORIG!L240=0,"",ORIG!L240)</f>
        <v/>
      </c>
      <c r="M240" s="3">
        <f>IF(ORIG!M240=0,"",ORIG!M240)</f>
        <v/>
      </c>
      <c r="N240" s="3">
        <f>IF(ORIG!N240=0,"",ORIG!N240)</f>
        <v/>
      </c>
      <c r="O240" s="3">
        <f>IF(ORIG!O240=0,"",ORIG!O240)</f>
        <v/>
      </c>
      <c r="P240" s="3">
        <f>IF(ORIG!P240=0,"",ORIG!P240)</f>
        <v/>
      </c>
      <c r="Q240" s="3">
        <f>IF(ORIG!Q240=0,"",ORIG!Q240)</f>
        <v/>
      </c>
      <c r="R240" s="3">
        <f>IF(ORIG!R240=0,"",ORIG!R240)</f>
        <v/>
      </c>
      <c r="S240" s="3">
        <f>IF(ORIG!S240=0,"",ORIG!S240)</f>
        <v/>
      </c>
      <c r="T240" s="3">
        <f>IF(ORIG!T240=0,"",ORIG!T240)</f>
        <v/>
      </c>
      <c r="U240" s="3">
        <f>IF(ORIG!U240=0,"",ORIG!U240)</f>
        <v/>
      </c>
      <c r="V240" s="9">
        <f>IF(ORIG!V240=0,"",ORIG!V240)</f>
        <v/>
      </c>
      <c r="W240" s="9">
        <f>IF(ORIG!W240=0,"",ORIG!W240)</f>
        <v/>
      </c>
      <c r="X240" s="9">
        <f>IF(ORIG!X240=0,"",ORIG!X240)</f>
        <v/>
      </c>
      <c r="Y240" s="9">
        <f>IF(ORIG!Y240=0,"",ORIG!Y240)</f>
        <v/>
      </c>
      <c r="Z240" s="3">
        <f>SUMPRODUCT($B240:$Y240,$B$2649:$Y$2649)</f>
        <v/>
      </c>
      <c r="AA240" s="3">
        <f>SUMPRODUCT($B240:$Y240,$B$2655:$Y$2655)</f>
        <v/>
      </c>
      <c r="AC240" s="1">
        <f>A240</f>
        <v/>
      </c>
      <c r="AD240">
        <f>IF(ISNUMBER(V240),V240*($AB$1/V$2635),"")</f>
        <v/>
      </c>
      <c r="AE240">
        <f>IF(ISNUMBER(Z240),Z240*($AB$1/Z$2635),"")</f>
        <v/>
      </c>
      <c r="AF240" s="25">
        <f>IF(ISNUMBER(AD240+AE240),AD240+AE240,"")</f>
        <v/>
      </c>
      <c r="AH240" s="1">
        <f>A240</f>
        <v/>
      </c>
      <c r="AI240">
        <f>IF(ISNUMBER((1+V240)*AI239),(1+V240)*AI239,AI239)</f>
        <v/>
      </c>
      <c r="AJ240">
        <f>IF(ISNUMBER((1+Z240)*AJ239),(1+Z240)*AJ239,AJ239)</f>
        <v/>
      </c>
    </row>
    <row r="241">
      <c r="A241" s="1" t="n">
        <v>42349</v>
      </c>
      <c r="B241" s="3">
        <f>IF(ORIG!B241=0,"",ORIG!B241)</f>
        <v/>
      </c>
      <c r="C241" s="3">
        <f>IF(ORIG!C241=0,"",ORIG!C241)</f>
        <v/>
      </c>
      <c r="D241" s="3">
        <f>IF(ORIG!D241=0,"",ORIG!D241)</f>
        <v/>
      </c>
      <c r="E241" s="3">
        <f>IF(ORIG!E241=0,"",ORIG!E241)</f>
        <v/>
      </c>
      <c r="F241" s="3">
        <f>IF(ORIG!F241=0,"",ORIG!F241)</f>
        <v/>
      </c>
      <c r="G241" s="3">
        <f>IF(ORIG!G241=0,"",ORIG!G241)</f>
        <v/>
      </c>
      <c r="H241" s="3">
        <f>IF(ORIG!H241=0,"",ORIG!H241)</f>
        <v/>
      </c>
      <c r="I241" s="3">
        <f>IF(ORIG!I241=0,"",ORIG!I241)</f>
        <v/>
      </c>
      <c r="J241" s="3">
        <f>IF(ORIG!J241=0,"",ORIG!J241)</f>
        <v/>
      </c>
      <c r="K241" s="3">
        <f>IF(ORIG!K241=0,"",ORIG!K241)</f>
        <v/>
      </c>
      <c r="L241" s="3">
        <f>IF(ORIG!L241=0,"",ORIG!L241)</f>
        <v/>
      </c>
      <c r="M241" s="3">
        <f>IF(ORIG!M241=0,"",ORIG!M241)</f>
        <v/>
      </c>
      <c r="N241" s="3">
        <f>IF(ORIG!N241=0,"",ORIG!N241)</f>
        <v/>
      </c>
      <c r="O241" s="3">
        <f>IF(ORIG!O241=0,"",ORIG!O241)</f>
        <v/>
      </c>
      <c r="P241" s="3">
        <f>IF(ORIG!P241=0,"",ORIG!P241)</f>
        <v/>
      </c>
      <c r="Q241" s="3">
        <f>IF(ORIG!Q241=0,"",ORIG!Q241)</f>
        <v/>
      </c>
      <c r="R241" s="3">
        <f>IF(ORIG!R241=0,"",ORIG!R241)</f>
        <v/>
      </c>
      <c r="S241" s="3">
        <f>IF(ORIG!S241=0,"",ORIG!S241)</f>
        <v/>
      </c>
      <c r="T241" s="3">
        <f>IF(ORIG!T241=0,"",ORIG!T241)</f>
        <v/>
      </c>
      <c r="U241" s="3">
        <f>IF(ORIG!U241=0,"",ORIG!U241)</f>
        <v/>
      </c>
      <c r="V241" s="9">
        <f>IF(ORIG!V241=0,"",ORIG!V241)</f>
        <v/>
      </c>
      <c r="W241" s="9">
        <f>IF(ORIG!W241=0,"",ORIG!W241)</f>
        <v/>
      </c>
      <c r="X241" s="9">
        <f>IF(ORIG!X241=0,"",ORIG!X241)</f>
        <v/>
      </c>
      <c r="Y241" s="9">
        <f>IF(ORIG!Y241=0,"",ORIG!Y241)</f>
        <v/>
      </c>
      <c r="Z241" s="3">
        <f>SUMPRODUCT($B241:$Y241,$B$2649:$Y$2649)</f>
        <v/>
      </c>
      <c r="AA241" s="3">
        <f>SUMPRODUCT($B241:$Y241,$B$2655:$Y$2655)</f>
        <v/>
      </c>
      <c r="AC241" s="1">
        <f>A241</f>
        <v/>
      </c>
      <c r="AD241">
        <f>IF(ISNUMBER(V241),V241*($AB$1/V$2635),"")</f>
        <v/>
      </c>
      <c r="AE241">
        <f>IF(ISNUMBER(Z241),Z241*($AB$1/Z$2635),"")</f>
        <v/>
      </c>
      <c r="AF241" s="25">
        <f>IF(ISNUMBER(AD241+AE241),AD241+AE241,"")</f>
        <v/>
      </c>
      <c r="AH241" s="1">
        <f>A241</f>
        <v/>
      </c>
      <c r="AI241">
        <f>IF(ISNUMBER((1+V241)*AI240),(1+V241)*AI240,AI240)</f>
        <v/>
      </c>
      <c r="AJ241">
        <f>IF(ISNUMBER((1+Z241)*AJ240),(1+Z241)*AJ240,AJ240)</f>
        <v/>
      </c>
    </row>
    <row r="242">
      <c r="A242" s="1" t="n">
        <v>42352</v>
      </c>
      <c r="B242" s="3">
        <f>IF(ORIG!B242=0,"",ORIG!B242)</f>
        <v/>
      </c>
      <c r="C242" s="3">
        <f>IF(ORIG!C242=0,"",ORIG!C242)</f>
        <v/>
      </c>
      <c r="D242" s="3">
        <f>IF(ORIG!D242=0,"",ORIG!D242)</f>
        <v/>
      </c>
      <c r="E242" s="3">
        <f>IF(ORIG!E242=0,"",ORIG!E242)</f>
        <v/>
      </c>
      <c r="F242" s="3">
        <f>IF(ORIG!F242=0,"",ORIG!F242)</f>
        <v/>
      </c>
      <c r="G242" s="3">
        <f>IF(ORIG!G242=0,"",ORIG!G242)</f>
        <v/>
      </c>
      <c r="H242" s="3">
        <f>IF(ORIG!H242=0,"",ORIG!H242)</f>
        <v/>
      </c>
      <c r="I242" s="3">
        <f>IF(ORIG!I242=0,"",ORIG!I242)</f>
        <v/>
      </c>
      <c r="J242" s="3">
        <f>IF(ORIG!J242=0,"",ORIG!J242)</f>
        <v/>
      </c>
      <c r="K242" s="3">
        <f>IF(ORIG!K242=0,"",ORIG!K242)</f>
        <v/>
      </c>
      <c r="L242" s="3">
        <f>IF(ORIG!L242=0,"",ORIG!L242)</f>
        <v/>
      </c>
      <c r="M242" s="3">
        <f>IF(ORIG!M242=0,"",ORIG!M242)</f>
        <v/>
      </c>
      <c r="N242" s="3">
        <f>IF(ORIG!N242=0,"",ORIG!N242)</f>
        <v/>
      </c>
      <c r="O242" s="3">
        <f>IF(ORIG!O242=0,"",ORIG!O242)</f>
        <v/>
      </c>
      <c r="P242" s="3">
        <f>IF(ORIG!P242=0,"",ORIG!P242)</f>
        <v/>
      </c>
      <c r="Q242" s="3">
        <f>IF(ORIG!Q242=0,"",ORIG!Q242)</f>
        <v/>
      </c>
      <c r="R242" s="3">
        <f>IF(ORIG!R242=0,"",ORIG!R242)</f>
        <v/>
      </c>
      <c r="S242" s="3">
        <f>IF(ORIG!S242=0,"",ORIG!S242)</f>
        <v/>
      </c>
      <c r="T242" s="3">
        <f>IF(ORIG!T242=0,"",ORIG!T242)</f>
        <v/>
      </c>
      <c r="U242" s="3">
        <f>IF(ORIG!U242=0,"",ORIG!U242)</f>
        <v/>
      </c>
      <c r="V242" s="9">
        <f>IF(ORIG!V242=0,"",ORIG!V242)</f>
        <v/>
      </c>
      <c r="W242" s="9">
        <f>IF(ORIG!W242=0,"",ORIG!W242)</f>
        <v/>
      </c>
      <c r="X242" s="9">
        <f>IF(ORIG!X242=0,"",ORIG!X242)</f>
        <v/>
      </c>
      <c r="Y242" s="9">
        <f>IF(ORIG!Y242=0,"",ORIG!Y242)</f>
        <v/>
      </c>
      <c r="Z242" s="3">
        <f>SUMPRODUCT($B242:$Y242,$B$2649:$Y$2649)</f>
        <v/>
      </c>
      <c r="AA242" s="3">
        <f>SUMPRODUCT($B242:$Y242,$B$2655:$Y$2655)</f>
        <v/>
      </c>
      <c r="AC242" s="1">
        <f>A242</f>
        <v/>
      </c>
      <c r="AD242">
        <f>IF(ISNUMBER(V242),V242*($AB$1/V$2635),"")</f>
        <v/>
      </c>
      <c r="AE242">
        <f>IF(ISNUMBER(Z242),Z242*($AB$1/Z$2635),"")</f>
        <v/>
      </c>
      <c r="AF242" s="25">
        <f>IF(ISNUMBER(AD242+AE242),AD242+AE242,"")</f>
        <v/>
      </c>
      <c r="AH242" s="1">
        <f>A242</f>
        <v/>
      </c>
      <c r="AI242">
        <f>IF(ISNUMBER((1+V242)*AI241),(1+V242)*AI241,AI241)</f>
        <v/>
      </c>
      <c r="AJ242">
        <f>IF(ISNUMBER((1+Z242)*AJ241),(1+Z242)*AJ241,AJ241)</f>
        <v/>
      </c>
    </row>
    <row r="243">
      <c r="A243" s="1" t="n">
        <v>42353</v>
      </c>
      <c r="B243" s="3">
        <f>IF(ORIG!B243=0,"",ORIG!B243)</f>
        <v/>
      </c>
      <c r="C243" s="3">
        <f>IF(ORIG!C243=0,"",ORIG!C243)</f>
        <v/>
      </c>
      <c r="D243" s="3">
        <f>IF(ORIG!D243=0,"",ORIG!D243)</f>
        <v/>
      </c>
      <c r="E243" s="3">
        <f>IF(ORIG!E243=0,"",ORIG!E243)</f>
        <v/>
      </c>
      <c r="F243" s="3">
        <f>IF(ORIG!F243=0,"",ORIG!F243)</f>
        <v/>
      </c>
      <c r="G243" s="3">
        <f>IF(ORIG!G243=0,"",ORIG!G243)</f>
        <v/>
      </c>
      <c r="H243" s="3">
        <f>IF(ORIG!H243=0,"",ORIG!H243)</f>
        <v/>
      </c>
      <c r="I243" s="3">
        <f>IF(ORIG!I243=0,"",ORIG!I243)</f>
        <v/>
      </c>
      <c r="J243" s="3">
        <f>IF(ORIG!J243=0,"",ORIG!J243)</f>
        <v/>
      </c>
      <c r="K243" s="3">
        <f>IF(ORIG!K243=0,"",ORIG!K243)</f>
        <v/>
      </c>
      <c r="L243" s="3">
        <f>IF(ORIG!L243=0,"",ORIG!L243)</f>
        <v/>
      </c>
      <c r="M243" s="3">
        <f>IF(ORIG!M243=0,"",ORIG!M243)</f>
        <v/>
      </c>
      <c r="N243" s="3">
        <f>IF(ORIG!N243=0,"",ORIG!N243)</f>
        <v/>
      </c>
      <c r="O243" s="3">
        <f>IF(ORIG!O243=0,"",ORIG!O243)</f>
        <v/>
      </c>
      <c r="P243" s="3">
        <f>IF(ORIG!P243=0,"",ORIG!P243)</f>
        <v/>
      </c>
      <c r="Q243" s="3">
        <f>IF(ORIG!Q243=0,"",ORIG!Q243)</f>
        <v/>
      </c>
      <c r="R243" s="3">
        <f>IF(ORIG!R243=0,"",ORIG!R243)</f>
        <v/>
      </c>
      <c r="S243" s="3">
        <f>IF(ORIG!S243=0,"",ORIG!S243)</f>
        <v/>
      </c>
      <c r="T243" s="3">
        <f>IF(ORIG!T243=0,"",ORIG!T243)</f>
        <v/>
      </c>
      <c r="U243" s="3">
        <f>IF(ORIG!U243=0,"",ORIG!U243)</f>
        <v/>
      </c>
      <c r="V243" s="9">
        <f>IF(ORIG!V243=0,"",ORIG!V243)</f>
        <v/>
      </c>
      <c r="W243" s="9">
        <f>IF(ORIG!W243=0,"",ORIG!W243)</f>
        <v/>
      </c>
      <c r="X243" s="9">
        <f>IF(ORIG!X243=0,"",ORIG!X243)</f>
        <v/>
      </c>
      <c r="Y243" s="9">
        <f>IF(ORIG!Y243=0,"",ORIG!Y243)</f>
        <v/>
      </c>
      <c r="Z243" s="3">
        <f>SUMPRODUCT($B243:$Y243,$B$2649:$Y$2649)</f>
        <v/>
      </c>
      <c r="AA243" s="3">
        <f>SUMPRODUCT($B243:$Y243,$B$2655:$Y$2655)</f>
        <v/>
      </c>
      <c r="AC243" s="1">
        <f>A243</f>
        <v/>
      </c>
      <c r="AD243">
        <f>IF(ISNUMBER(V243),V243*($AB$1/V$2635),"")</f>
        <v/>
      </c>
      <c r="AE243">
        <f>IF(ISNUMBER(Z243),Z243*($AB$1/Z$2635),"")</f>
        <v/>
      </c>
      <c r="AF243" s="25">
        <f>IF(ISNUMBER(AD243+AE243),AD243+AE243,"")</f>
        <v/>
      </c>
      <c r="AH243" s="1">
        <f>A243</f>
        <v/>
      </c>
      <c r="AI243">
        <f>IF(ISNUMBER((1+V243)*AI242),(1+V243)*AI242,AI242)</f>
        <v/>
      </c>
      <c r="AJ243">
        <f>IF(ISNUMBER((1+Z243)*AJ242),(1+Z243)*AJ242,AJ242)</f>
        <v/>
      </c>
    </row>
    <row r="244">
      <c r="A244" s="1" t="n">
        <v>42354</v>
      </c>
      <c r="B244" s="3">
        <f>IF(ORIG!B244=0,"",ORIG!B244)</f>
        <v/>
      </c>
      <c r="C244" s="3">
        <f>IF(ORIG!C244=0,"",ORIG!C244)</f>
        <v/>
      </c>
      <c r="D244" s="3">
        <f>IF(ORIG!D244=0,"",ORIG!D244)</f>
        <v/>
      </c>
      <c r="E244" s="3">
        <f>IF(ORIG!E244=0,"",ORIG!E244)</f>
        <v/>
      </c>
      <c r="F244" s="3">
        <f>IF(ORIG!F244=0,"",ORIG!F244)</f>
        <v/>
      </c>
      <c r="G244" s="3">
        <f>IF(ORIG!G244=0,"",ORIG!G244)</f>
        <v/>
      </c>
      <c r="H244" s="3">
        <f>IF(ORIG!H244=0,"",ORIG!H244)</f>
        <v/>
      </c>
      <c r="I244" s="3">
        <f>IF(ORIG!I244=0,"",ORIG!I244)</f>
        <v/>
      </c>
      <c r="J244" s="3">
        <f>IF(ORIG!J244=0,"",ORIG!J244)</f>
        <v/>
      </c>
      <c r="K244" s="3">
        <f>IF(ORIG!K244=0,"",ORIG!K244)</f>
        <v/>
      </c>
      <c r="L244" s="3">
        <f>IF(ORIG!L244=0,"",ORIG!L244)</f>
        <v/>
      </c>
      <c r="M244" s="3">
        <f>IF(ORIG!M244=0,"",ORIG!M244)</f>
        <v/>
      </c>
      <c r="N244" s="3">
        <f>IF(ORIG!N244=0,"",ORIG!N244)</f>
        <v/>
      </c>
      <c r="O244" s="3">
        <f>IF(ORIG!O244=0,"",ORIG!O244)</f>
        <v/>
      </c>
      <c r="P244" s="3">
        <f>IF(ORIG!P244=0,"",ORIG!P244)</f>
        <v/>
      </c>
      <c r="Q244" s="3">
        <f>IF(ORIG!Q244=0,"",ORIG!Q244)</f>
        <v/>
      </c>
      <c r="R244" s="3">
        <f>IF(ORIG!R244=0,"",ORIG!R244)</f>
        <v/>
      </c>
      <c r="S244" s="3">
        <f>IF(ORIG!S244=0,"",ORIG!S244)</f>
        <v/>
      </c>
      <c r="T244" s="3">
        <f>IF(ORIG!T244=0,"",ORIG!T244)</f>
        <v/>
      </c>
      <c r="U244" s="3">
        <f>IF(ORIG!U244=0,"",ORIG!U244)</f>
        <v/>
      </c>
      <c r="V244" s="9">
        <f>IF(ORIG!V244=0,"",ORIG!V244)</f>
        <v/>
      </c>
      <c r="W244" s="9">
        <f>IF(ORIG!W244=0,"",ORIG!W244)</f>
        <v/>
      </c>
      <c r="X244" s="9">
        <f>IF(ORIG!X244=0,"",ORIG!X244)</f>
        <v/>
      </c>
      <c r="Y244" s="9">
        <f>IF(ORIG!Y244=0,"",ORIG!Y244)</f>
        <v/>
      </c>
      <c r="Z244" s="3">
        <f>SUMPRODUCT($B244:$Y244,$B$2649:$Y$2649)</f>
        <v/>
      </c>
      <c r="AA244" s="3">
        <f>SUMPRODUCT($B244:$Y244,$B$2655:$Y$2655)</f>
        <v/>
      </c>
      <c r="AC244" s="1">
        <f>A244</f>
        <v/>
      </c>
      <c r="AD244">
        <f>IF(ISNUMBER(V244),V244*($AB$1/V$2635),"")</f>
        <v/>
      </c>
      <c r="AE244">
        <f>IF(ISNUMBER(Z244),Z244*($AB$1/Z$2635),"")</f>
        <v/>
      </c>
      <c r="AF244" s="25">
        <f>IF(ISNUMBER(AD244+AE244),AD244+AE244,"")</f>
        <v/>
      </c>
      <c r="AH244" s="1">
        <f>A244</f>
        <v/>
      </c>
      <c r="AI244">
        <f>IF(ISNUMBER((1+V244)*AI243),(1+V244)*AI243,AI243)</f>
        <v/>
      </c>
      <c r="AJ244">
        <f>IF(ISNUMBER((1+Z244)*AJ243),(1+Z244)*AJ243,AJ243)</f>
        <v/>
      </c>
    </row>
    <row r="245">
      <c r="A245" s="1" t="n">
        <v>42355</v>
      </c>
      <c r="B245" s="3">
        <f>IF(ORIG!B245=0,"",ORIG!B245)</f>
        <v/>
      </c>
      <c r="C245" s="3">
        <f>IF(ORIG!C245=0,"",ORIG!C245)</f>
        <v/>
      </c>
      <c r="D245" s="3">
        <f>IF(ORIG!D245=0,"",ORIG!D245)</f>
        <v/>
      </c>
      <c r="E245" s="3">
        <f>IF(ORIG!E245=0,"",ORIG!E245)</f>
        <v/>
      </c>
      <c r="F245" s="3">
        <f>IF(ORIG!F245=0,"",ORIG!F245)</f>
        <v/>
      </c>
      <c r="G245" s="3">
        <f>IF(ORIG!G245=0,"",ORIG!G245)</f>
        <v/>
      </c>
      <c r="H245" s="3">
        <f>IF(ORIG!H245=0,"",ORIG!H245)</f>
        <v/>
      </c>
      <c r="I245" s="3">
        <f>IF(ORIG!I245=0,"",ORIG!I245)</f>
        <v/>
      </c>
      <c r="J245" s="3">
        <f>IF(ORIG!J245=0,"",ORIG!J245)</f>
        <v/>
      </c>
      <c r="K245" s="3">
        <f>IF(ORIG!K245=0,"",ORIG!K245)</f>
        <v/>
      </c>
      <c r="L245" s="3">
        <f>IF(ORIG!L245=0,"",ORIG!L245)</f>
        <v/>
      </c>
      <c r="M245" s="3">
        <f>IF(ORIG!M245=0,"",ORIG!M245)</f>
        <v/>
      </c>
      <c r="N245" s="3">
        <f>IF(ORIG!N245=0,"",ORIG!N245)</f>
        <v/>
      </c>
      <c r="O245" s="3">
        <f>IF(ORIG!O245=0,"",ORIG!O245)</f>
        <v/>
      </c>
      <c r="P245" s="3">
        <f>IF(ORIG!P245=0,"",ORIG!P245)</f>
        <v/>
      </c>
      <c r="Q245" s="3">
        <f>IF(ORIG!Q245=0,"",ORIG!Q245)</f>
        <v/>
      </c>
      <c r="R245" s="3">
        <f>IF(ORIG!R245=0,"",ORIG!R245)</f>
        <v/>
      </c>
      <c r="S245" s="3">
        <f>IF(ORIG!S245=0,"",ORIG!S245)</f>
        <v/>
      </c>
      <c r="T245" s="3">
        <f>IF(ORIG!T245=0,"",ORIG!T245)</f>
        <v/>
      </c>
      <c r="U245" s="3">
        <f>IF(ORIG!U245=0,"",ORIG!U245)</f>
        <v/>
      </c>
      <c r="V245" s="9">
        <f>IF(ORIG!V245=0,"",ORIG!V245)</f>
        <v/>
      </c>
      <c r="W245" s="9">
        <f>IF(ORIG!W245=0,"",ORIG!W245)</f>
        <v/>
      </c>
      <c r="X245" s="9">
        <f>IF(ORIG!X245=0,"",ORIG!X245)</f>
        <v/>
      </c>
      <c r="Y245" s="9">
        <f>IF(ORIG!Y245=0,"",ORIG!Y245)</f>
        <v/>
      </c>
      <c r="Z245" s="3">
        <f>SUMPRODUCT($B245:$Y245,$B$2649:$Y$2649)</f>
        <v/>
      </c>
      <c r="AA245" s="3">
        <f>SUMPRODUCT($B245:$Y245,$B$2655:$Y$2655)</f>
        <v/>
      </c>
      <c r="AC245" s="1">
        <f>A245</f>
        <v/>
      </c>
      <c r="AD245">
        <f>IF(ISNUMBER(V245),V245*($AB$1/V$2635),"")</f>
        <v/>
      </c>
      <c r="AE245">
        <f>IF(ISNUMBER(Z245),Z245*($AB$1/Z$2635),"")</f>
        <v/>
      </c>
      <c r="AF245" s="25">
        <f>IF(ISNUMBER(AD245+AE245),AD245+AE245,"")</f>
        <v/>
      </c>
      <c r="AH245" s="1">
        <f>A245</f>
        <v/>
      </c>
      <c r="AI245">
        <f>IF(ISNUMBER((1+V245)*AI244),(1+V245)*AI244,AI244)</f>
        <v/>
      </c>
      <c r="AJ245">
        <f>IF(ISNUMBER((1+Z245)*AJ244),(1+Z245)*AJ244,AJ244)</f>
        <v/>
      </c>
    </row>
    <row r="246">
      <c r="A246" s="1" t="n">
        <v>42356</v>
      </c>
      <c r="B246" s="3">
        <f>IF(ORIG!B246=0,"",ORIG!B246)</f>
        <v/>
      </c>
      <c r="C246" s="3">
        <f>IF(ORIG!C246=0,"",ORIG!C246)</f>
        <v/>
      </c>
      <c r="D246" s="3">
        <f>IF(ORIG!D246=0,"",ORIG!D246)</f>
        <v/>
      </c>
      <c r="E246" s="3">
        <f>IF(ORIG!E246=0,"",ORIG!E246)</f>
        <v/>
      </c>
      <c r="F246" s="3">
        <f>IF(ORIG!F246=0,"",ORIG!F246)</f>
        <v/>
      </c>
      <c r="G246" s="3">
        <f>IF(ORIG!G246=0,"",ORIG!G246)</f>
        <v/>
      </c>
      <c r="H246" s="3">
        <f>IF(ORIG!H246=0,"",ORIG!H246)</f>
        <v/>
      </c>
      <c r="I246" s="3">
        <f>IF(ORIG!I246=0,"",ORIG!I246)</f>
        <v/>
      </c>
      <c r="J246" s="3">
        <f>IF(ORIG!J246=0,"",ORIG!J246)</f>
        <v/>
      </c>
      <c r="K246" s="3">
        <f>IF(ORIG!K246=0,"",ORIG!K246)</f>
        <v/>
      </c>
      <c r="L246" s="3">
        <f>IF(ORIG!L246=0,"",ORIG!L246)</f>
        <v/>
      </c>
      <c r="M246" s="3">
        <f>IF(ORIG!M246=0,"",ORIG!M246)</f>
        <v/>
      </c>
      <c r="N246" s="3">
        <f>IF(ORIG!N246=0,"",ORIG!N246)</f>
        <v/>
      </c>
      <c r="O246" s="3">
        <f>IF(ORIG!O246=0,"",ORIG!O246)</f>
        <v/>
      </c>
      <c r="P246" s="3">
        <f>IF(ORIG!P246=0,"",ORIG!P246)</f>
        <v/>
      </c>
      <c r="Q246" s="3">
        <f>IF(ORIG!Q246=0,"",ORIG!Q246)</f>
        <v/>
      </c>
      <c r="R246" s="3">
        <f>IF(ORIG!R246=0,"",ORIG!R246)</f>
        <v/>
      </c>
      <c r="S246" s="3">
        <f>IF(ORIG!S246=0,"",ORIG!S246)</f>
        <v/>
      </c>
      <c r="T246" s="3">
        <f>IF(ORIG!T246=0,"",ORIG!T246)</f>
        <v/>
      </c>
      <c r="U246" s="3">
        <f>IF(ORIG!U246=0,"",ORIG!U246)</f>
        <v/>
      </c>
      <c r="V246" s="9">
        <f>IF(ORIG!V246=0,"",ORIG!V246)</f>
        <v/>
      </c>
      <c r="W246" s="9">
        <f>IF(ORIG!W246=0,"",ORIG!W246)</f>
        <v/>
      </c>
      <c r="X246" s="9">
        <f>IF(ORIG!X246=0,"",ORIG!X246)</f>
        <v/>
      </c>
      <c r="Y246" s="9">
        <f>IF(ORIG!Y246=0,"",ORIG!Y246)</f>
        <v/>
      </c>
      <c r="Z246" s="3">
        <f>SUMPRODUCT($B246:$Y246,$B$2649:$Y$2649)</f>
        <v/>
      </c>
      <c r="AA246" s="3">
        <f>SUMPRODUCT($B246:$Y246,$B$2655:$Y$2655)</f>
        <v/>
      </c>
      <c r="AC246" s="1">
        <f>A246</f>
        <v/>
      </c>
      <c r="AD246">
        <f>IF(ISNUMBER(V246),V246*($AB$1/V$2635),"")</f>
        <v/>
      </c>
      <c r="AE246">
        <f>IF(ISNUMBER(Z246),Z246*($AB$1/Z$2635),"")</f>
        <v/>
      </c>
      <c r="AF246" s="25">
        <f>IF(ISNUMBER(AD246+AE246),AD246+AE246,"")</f>
        <v/>
      </c>
      <c r="AH246" s="1">
        <f>A246</f>
        <v/>
      </c>
      <c r="AI246">
        <f>IF(ISNUMBER((1+V246)*AI245),(1+V246)*AI245,AI245)</f>
        <v/>
      </c>
      <c r="AJ246">
        <f>IF(ISNUMBER((1+Z246)*AJ245),(1+Z246)*AJ245,AJ245)</f>
        <v/>
      </c>
    </row>
    <row r="247">
      <c r="A247" s="1" t="n">
        <v>42359</v>
      </c>
      <c r="B247" s="3">
        <f>IF(ORIG!B247=0,"",ORIG!B247)</f>
        <v/>
      </c>
      <c r="C247" s="3">
        <f>IF(ORIG!C247=0,"",ORIG!C247)</f>
        <v/>
      </c>
      <c r="D247" s="3">
        <f>IF(ORIG!D247=0,"",ORIG!D247)</f>
        <v/>
      </c>
      <c r="E247" s="3">
        <f>IF(ORIG!E247=0,"",ORIG!E247)</f>
        <v/>
      </c>
      <c r="F247" s="3">
        <f>IF(ORIG!F247=0,"",ORIG!F247)</f>
        <v/>
      </c>
      <c r="G247" s="3">
        <f>IF(ORIG!G247=0,"",ORIG!G247)</f>
        <v/>
      </c>
      <c r="H247" s="3">
        <f>IF(ORIG!H247=0,"",ORIG!H247)</f>
        <v/>
      </c>
      <c r="I247" s="3">
        <f>IF(ORIG!I247=0,"",ORIG!I247)</f>
        <v/>
      </c>
      <c r="J247" s="3">
        <f>IF(ORIG!J247=0,"",ORIG!J247)</f>
        <v/>
      </c>
      <c r="K247" s="3">
        <f>IF(ORIG!K247=0,"",ORIG!K247)</f>
        <v/>
      </c>
      <c r="L247" s="3">
        <f>IF(ORIG!L247=0,"",ORIG!L247)</f>
        <v/>
      </c>
      <c r="M247" s="3">
        <f>IF(ORIG!M247=0,"",ORIG!M247)</f>
        <v/>
      </c>
      <c r="N247" s="3">
        <f>IF(ORIG!N247=0,"",ORIG!N247)</f>
        <v/>
      </c>
      <c r="O247" s="3">
        <f>IF(ORIG!O247=0,"",ORIG!O247)</f>
        <v/>
      </c>
      <c r="P247" s="3">
        <f>IF(ORIG!P247=0,"",ORIG!P247)</f>
        <v/>
      </c>
      <c r="Q247" s="3">
        <f>IF(ORIG!Q247=0,"",ORIG!Q247)</f>
        <v/>
      </c>
      <c r="R247" s="3">
        <f>IF(ORIG!R247=0,"",ORIG!R247)</f>
        <v/>
      </c>
      <c r="S247" s="3">
        <f>IF(ORIG!S247=0,"",ORIG!S247)</f>
        <v/>
      </c>
      <c r="T247" s="3">
        <f>IF(ORIG!T247=0,"",ORIG!T247)</f>
        <v/>
      </c>
      <c r="U247" s="3">
        <f>IF(ORIG!U247=0,"",ORIG!U247)</f>
        <v/>
      </c>
      <c r="V247" s="9">
        <f>IF(ORIG!V247=0,"",ORIG!V247)</f>
        <v/>
      </c>
      <c r="W247" s="9">
        <f>IF(ORIG!W247=0,"",ORIG!W247)</f>
        <v/>
      </c>
      <c r="X247" s="9">
        <f>IF(ORIG!X247=0,"",ORIG!X247)</f>
        <v/>
      </c>
      <c r="Y247" s="9">
        <f>IF(ORIG!Y247=0,"",ORIG!Y247)</f>
        <v/>
      </c>
      <c r="Z247" s="3">
        <f>SUMPRODUCT($B247:$Y247,$B$2649:$Y$2649)</f>
        <v/>
      </c>
      <c r="AA247" s="3">
        <f>SUMPRODUCT($B247:$Y247,$B$2655:$Y$2655)</f>
        <v/>
      </c>
      <c r="AC247" s="1">
        <f>A247</f>
        <v/>
      </c>
      <c r="AD247">
        <f>IF(ISNUMBER(V247),V247*($AB$1/V$2635),"")</f>
        <v/>
      </c>
      <c r="AE247">
        <f>IF(ISNUMBER(Z247),Z247*($AB$1/Z$2635),"")</f>
        <v/>
      </c>
      <c r="AF247" s="25">
        <f>IF(ISNUMBER(AD247+AE247),AD247+AE247,"")</f>
        <v/>
      </c>
      <c r="AH247" s="1">
        <f>A247</f>
        <v/>
      </c>
      <c r="AI247">
        <f>IF(ISNUMBER((1+V247)*AI246),(1+V247)*AI246,AI246)</f>
        <v/>
      </c>
      <c r="AJ247">
        <f>IF(ISNUMBER((1+Z247)*AJ246),(1+Z247)*AJ246,AJ246)</f>
        <v/>
      </c>
    </row>
    <row r="248">
      <c r="A248" s="1" t="n">
        <v>42360</v>
      </c>
      <c r="B248" s="3">
        <f>IF(ORIG!B248=0,"",ORIG!B248)</f>
        <v/>
      </c>
      <c r="C248" s="3">
        <f>IF(ORIG!C248=0,"",ORIG!C248)</f>
        <v/>
      </c>
      <c r="D248" s="3">
        <f>IF(ORIG!D248=0,"",ORIG!D248)</f>
        <v/>
      </c>
      <c r="E248" s="3">
        <f>IF(ORIG!E248=0,"",ORIG!E248)</f>
        <v/>
      </c>
      <c r="F248" s="3">
        <f>IF(ORIG!F248=0,"",ORIG!F248)</f>
        <v/>
      </c>
      <c r="G248" s="3">
        <f>IF(ORIG!G248=0,"",ORIG!G248)</f>
        <v/>
      </c>
      <c r="H248" s="3">
        <f>IF(ORIG!H248=0,"",ORIG!H248)</f>
        <v/>
      </c>
      <c r="I248" s="3">
        <f>IF(ORIG!I248=0,"",ORIG!I248)</f>
        <v/>
      </c>
      <c r="J248" s="3">
        <f>IF(ORIG!J248=0,"",ORIG!J248)</f>
        <v/>
      </c>
      <c r="K248" s="3">
        <f>IF(ORIG!K248=0,"",ORIG!K248)</f>
        <v/>
      </c>
      <c r="L248" s="3">
        <f>IF(ORIG!L248=0,"",ORIG!L248)</f>
        <v/>
      </c>
      <c r="M248" s="3">
        <f>IF(ORIG!M248=0,"",ORIG!M248)</f>
        <v/>
      </c>
      <c r="N248" s="3">
        <f>IF(ORIG!N248=0,"",ORIG!N248)</f>
        <v/>
      </c>
      <c r="O248" s="3">
        <f>IF(ORIG!O248=0,"",ORIG!O248)</f>
        <v/>
      </c>
      <c r="P248" s="3">
        <f>IF(ORIG!P248=0,"",ORIG!P248)</f>
        <v/>
      </c>
      <c r="Q248" s="3">
        <f>IF(ORIG!Q248=0,"",ORIG!Q248)</f>
        <v/>
      </c>
      <c r="R248" s="3">
        <f>IF(ORIG!R248=0,"",ORIG!R248)</f>
        <v/>
      </c>
      <c r="S248" s="3">
        <f>IF(ORIG!S248=0,"",ORIG!S248)</f>
        <v/>
      </c>
      <c r="T248" s="3">
        <f>IF(ORIG!T248=0,"",ORIG!T248)</f>
        <v/>
      </c>
      <c r="U248" s="3">
        <f>IF(ORIG!U248=0,"",ORIG!U248)</f>
        <v/>
      </c>
      <c r="V248" s="9">
        <f>IF(ORIG!V248=0,"",ORIG!V248)</f>
        <v/>
      </c>
      <c r="W248" s="9">
        <f>IF(ORIG!W248=0,"",ORIG!W248)</f>
        <v/>
      </c>
      <c r="X248" s="9">
        <f>IF(ORIG!X248=0,"",ORIG!X248)</f>
        <v/>
      </c>
      <c r="Y248" s="9">
        <f>IF(ORIG!Y248=0,"",ORIG!Y248)</f>
        <v/>
      </c>
      <c r="Z248" s="3">
        <f>SUMPRODUCT($B248:$Y248,$B$2649:$Y$2649)</f>
        <v/>
      </c>
      <c r="AA248" s="3">
        <f>SUMPRODUCT($B248:$Y248,$B$2655:$Y$2655)</f>
        <v/>
      </c>
      <c r="AC248" s="1">
        <f>A248</f>
        <v/>
      </c>
      <c r="AD248">
        <f>IF(ISNUMBER(V248),V248*($AB$1/V$2635),"")</f>
        <v/>
      </c>
      <c r="AE248">
        <f>IF(ISNUMBER(Z248),Z248*($AB$1/Z$2635),"")</f>
        <v/>
      </c>
      <c r="AF248" s="25">
        <f>IF(ISNUMBER(AD248+AE248),AD248+AE248,"")</f>
        <v/>
      </c>
      <c r="AH248" s="1">
        <f>A248</f>
        <v/>
      </c>
      <c r="AI248">
        <f>IF(ISNUMBER((1+V248)*AI247),(1+V248)*AI247,AI247)</f>
        <v/>
      </c>
      <c r="AJ248">
        <f>IF(ISNUMBER((1+Z248)*AJ247),(1+Z248)*AJ247,AJ247)</f>
        <v/>
      </c>
    </row>
    <row r="249">
      <c r="A249" s="1" t="n">
        <v>42361</v>
      </c>
      <c r="B249" s="3">
        <f>IF(ORIG!B249=0,"",ORIG!B249)</f>
        <v/>
      </c>
      <c r="C249" s="3">
        <f>IF(ORIG!C249=0,"",ORIG!C249)</f>
        <v/>
      </c>
      <c r="D249" s="3">
        <f>IF(ORIG!D249=0,"",ORIG!D249)</f>
        <v/>
      </c>
      <c r="E249" s="3">
        <f>IF(ORIG!E249=0,"",ORIG!E249)</f>
        <v/>
      </c>
      <c r="F249" s="3">
        <f>IF(ORIG!F249=0,"",ORIG!F249)</f>
        <v/>
      </c>
      <c r="G249" s="3">
        <f>IF(ORIG!G249=0,"",ORIG!G249)</f>
        <v/>
      </c>
      <c r="H249" s="3">
        <f>IF(ORIG!H249=0,"",ORIG!H249)</f>
        <v/>
      </c>
      <c r="I249" s="3">
        <f>IF(ORIG!I249=0,"",ORIG!I249)</f>
        <v/>
      </c>
      <c r="J249" s="3">
        <f>IF(ORIG!J249=0,"",ORIG!J249)</f>
        <v/>
      </c>
      <c r="K249" s="3">
        <f>IF(ORIG!K249=0,"",ORIG!K249)</f>
        <v/>
      </c>
      <c r="L249" s="3">
        <f>IF(ORIG!L249=0,"",ORIG!L249)</f>
        <v/>
      </c>
      <c r="M249" s="3">
        <f>IF(ORIG!M249=0,"",ORIG!M249)</f>
        <v/>
      </c>
      <c r="N249" s="3">
        <f>IF(ORIG!N249=0,"",ORIG!N249)</f>
        <v/>
      </c>
      <c r="O249" s="3">
        <f>IF(ORIG!O249=0,"",ORIG!O249)</f>
        <v/>
      </c>
      <c r="P249" s="3">
        <f>IF(ORIG!P249=0,"",ORIG!P249)</f>
        <v/>
      </c>
      <c r="Q249" s="3">
        <f>IF(ORIG!Q249=0,"",ORIG!Q249)</f>
        <v/>
      </c>
      <c r="R249" s="3">
        <f>IF(ORIG!R249=0,"",ORIG!R249)</f>
        <v/>
      </c>
      <c r="S249" s="3">
        <f>IF(ORIG!S249=0,"",ORIG!S249)</f>
        <v/>
      </c>
      <c r="T249" s="3">
        <f>IF(ORIG!T249=0,"",ORIG!T249)</f>
        <v/>
      </c>
      <c r="U249" s="3">
        <f>IF(ORIG!U249=0,"",ORIG!U249)</f>
        <v/>
      </c>
      <c r="V249" s="9">
        <f>IF(ORIG!V249=0,"",ORIG!V249)</f>
        <v/>
      </c>
      <c r="W249" s="9">
        <f>IF(ORIG!W249=0,"",ORIG!W249)</f>
        <v/>
      </c>
      <c r="X249" s="9">
        <f>IF(ORIG!X249=0,"",ORIG!X249)</f>
        <v/>
      </c>
      <c r="Y249" s="9">
        <f>IF(ORIG!Y249=0,"",ORIG!Y249)</f>
        <v/>
      </c>
      <c r="Z249" s="3">
        <f>SUMPRODUCT($B249:$Y249,$B$2649:$Y$2649)</f>
        <v/>
      </c>
      <c r="AA249" s="3">
        <f>SUMPRODUCT($B249:$Y249,$B$2655:$Y$2655)</f>
        <v/>
      </c>
      <c r="AC249" s="1">
        <f>A249</f>
        <v/>
      </c>
      <c r="AD249">
        <f>IF(ISNUMBER(V249),V249*($AB$1/V$2635),"")</f>
        <v/>
      </c>
      <c r="AE249">
        <f>IF(ISNUMBER(Z249),Z249*($AB$1/Z$2635),"")</f>
        <v/>
      </c>
      <c r="AF249" s="25">
        <f>IF(ISNUMBER(AD249+AE249),AD249+AE249,"")</f>
        <v/>
      </c>
      <c r="AH249" s="1">
        <f>A249</f>
        <v/>
      </c>
      <c r="AI249">
        <f>IF(ISNUMBER((1+V249)*AI248),(1+V249)*AI248,AI248)</f>
        <v/>
      </c>
      <c r="AJ249">
        <f>IF(ISNUMBER((1+Z249)*AJ248),(1+Z249)*AJ248,AJ248)</f>
        <v/>
      </c>
    </row>
    <row r="250">
      <c r="A250" s="1" t="n">
        <v>42362</v>
      </c>
      <c r="B250" s="3">
        <f>IF(ORIG!B250=0,"",ORIG!B250)</f>
        <v/>
      </c>
      <c r="C250" s="3">
        <f>IF(ORIG!C250=0,"",ORIG!C250)</f>
        <v/>
      </c>
      <c r="D250" s="3">
        <f>IF(ORIG!D250=0,"",ORIG!D250)</f>
        <v/>
      </c>
      <c r="E250" s="3">
        <f>IF(ORIG!E250=0,"",ORIG!E250)</f>
        <v/>
      </c>
      <c r="F250" s="3">
        <f>IF(ORIG!F250=0,"",ORIG!F250)</f>
        <v/>
      </c>
      <c r="G250" s="3">
        <f>IF(ORIG!G250=0,"",ORIG!G250)</f>
        <v/>
      </c>
      <c r="H250" s="3">
        <f>IF(ORIG!H250=0,"",ORIG!H250)</f>
        <v/>
      </c>
      <c r="I250" s="3">
        <f>IF(ORIG!I250=0,"",ORIG!I250)</f>
        <v/>
      </c>
      <c r="J250" s="3">
        <f>IF(ORIG!J250=0,"",ORIG!J250)</f>
        <v/>
      </c>
      <c r="K250" s="3">
        <f>IF(ORIG!K250=0,"",ORIG!K250)</f>
        <v/>
      </c>
      <c r="L250" s="3">
        <f>IF(ORIG!L250=0,"",ORIG!L250)</f>
        <v/>
      </c>
      <c r="M250" s="3">
        <f>IF(ORIG!M250=0,"",ORIG!M250)</f>
        <v/>
      </c>
      <c r="N250" s="3">
        <f>IF(ORIG!N250=0,"",ORIG!N250)</f>
        <v/>
      </c>
      <c r="O250" s="3">
        <f>IF(ORIG!O250=0,"",ORIG!O250)</f>
        <v/>
      </c>
      <c r="P250" s="3">
        <f>IF(ORIG!P250=0,"",ORIG!P250)</f>
        <v/>
      </c>
      <c r="Q250" s="3">
        <f>IF(ORIG!Q250=0,"",ORIG!Q250)</f>
        <v/>
      </c>
      <c r="R250" s="3">
        <f>IF(ORIG!R250=0,"",ORIG!R250)</f>
        <v/>
      </c>
      <c r="S250" s="3">
        <f>IF(ORIG!S250=0,"",ORIG!S250)</f>
        <v/>
      </c>
      <c r="T250" s="3">
        <f>IF(ORIG!T250=0,"",ORIG!T250)</f>
        <v/>
      </c>
      <c r="U250" s="3">
        <f>IF(ORIG!U250=0,"",ORIG!U250)</f>
        <v/>
      </c>
      <c r="V250" s="9">
        <f>IF(ORIG!V250=0,"",ORIG!V250)</f>
        <v/>
      </c>
      <c r="W250" s="9">
        <f>IF(ORIG!W250=0,"",ORIG!W250)</f>
        <v/>
      </c>
      <c r="X250" s="9">
        <f>IF(ORIG!X250=0,"",ORIG!X250)</f>
        <v/>
      </c>
      <c r="Y250" s="9">
        <f>IF(ORIG!Y250=0,"",ORIG!Y250)</f>
        <v/>
      </c>
      <c r="Z250" s="3">
        <f>SUMPRODUCT($B250:$Y250,$B$2649:$Y$2649)</f>
        <v/>
      </c>
      <c r="AA250" s="3">
        <f>SUMPRODUCT($B250:$Y250,$B$2655:$Y$2655)</f>
        <v/>
      </c>
      <c r="AC250" s="1">
        <f>A250</f>
        <v/>
      </c>
      <c r="AD250">
        <f>IF(ISNUMBER(V250),V250*($AB$1/V$2635),"")</f>
        <v/>
      </c>
      <c r="AE250">
        <f>IF(ISNUMBER(Z250),Z250*($AB$1/Z$2635),"")</f>
        <v/>
      </c>
      <c r="AF250" s="25">
        <f>IF(ISNUMBER(AD250+AE250),AD250+AE250,"")</f>
        <v/>
      </c>
      <c r="AH250" s="1">
        <f>A250</f>
        <v/>
      </c>
      <c r="AI250">
        <f>IF(ISNUMBER((1+V250)*AI249),(1+V250)*AI249,AI249)</f>
        <v/>
      </c>
      <c r="AJ250">
        <f>IF(ISNUMBER((1+Z250)*AJ249),(1+Z250)*AJ249,AJ249)</f>
        <v/>
      </c>
    </row>
    <row r="251">
      <c r="A251" s="1" t="n">
        <v>42366</v>
      </c>
      <c r="B251" s="3">
        <f>IF(ORIG!B251=0,"",ORIG!B251)</f>
        <v/>
      </c>
      <c r="C251" s="3">
        <f>IF(ORIG!C251=0,"",ORIG!C251)</f>
        <v/>
      </c>
      <c r="D251" s="3">
        <f>IF(ORIG!D251=0,"",ORIG!D251)</f>
        <v/>
      </c>
      <c r="E251" s="3">
        <f>IF(ORIG!E251=0,"",ORIG!E251)</f>
        <v/>
      </c>
      <c r="F251" s="3">
        <f>IF(ORIG!F251=0,"",ORIG!F251)</f>
        <v/>
      </c>
      <c r="G251" s="3">
        <f>IF(ORIG!G251=0,"",ORIG!G251)</f>
        <v/>
      </c>
      <c r="H251" s="3">
        <f>IF(ORIG!H251=0,"",ORIG!H251)</f>
        <v/>
      </c>
      <c r="I251" s="3">
        <f>IF(ORIG!I251=0,"",ORIG!I251)</f>
        <v/>
      </c>
      <c r="J251" s="3">
        <f>IF(ORIG!J251=0,"",ORIG!J251)</f>
        <v/>
      </c>
      <c r="K251" s="3">
        <f>IF(ORIG!K251=0,"",ORIG!K251)</f>
        <v/>
      </c>
      <c r="L251" s="3">
        <f>IF(ORIG!L251=0,"",ORIG!L251)</f>
        <v/>
      </c>
      <c r="M251" s="3">
        <f>IF(ORIG!M251=0,"",ORIG!M251)</f>
        <v/>
      </c>
      <c r="N251" s="3">
        <f>IF(ORIG!N251=0,"",ORIG!N251)</f>
        <v/>
      </c>
      <c r="O251" s="3">
        <f>IF(ORIG!O251=0,"",ORIG!O251)</f>
        <v/>
      </c>
      <c r="P251" s="3">
        <f>IF(ORIG!P251=0,"",ORIG!P251)</f>
        <v/>
      </c>
      <c r="Q251" s="3">
        <f>IF(ORIG!Q251=0,"",ORIG!Q251)</f>
        <v/>
      </c>
      <c r="R251" s="3">
        <f>IF(ORIG!R251=0,"",ORIG!R251)</f>
        <v/>
      </c>
      <c r="S251" s="3">
        <f>IF(ORIG!S251=0,"",ORIG!S251)</f>
        <v/>
      </c>
      <c r="T251" s="3">
        <f>IF(ORIG!T251=0,"",ORIG!T251)</f>
        <v/>
      </c>
      <c r="U251" s="3">
        <f>IF(ORIG!U251=0,"",ORIG!U251)</f>
        <v/>
      </c>
      <c r="V251" s="9">
        <f>IF(ORIG!V251=0,"",ORIG!V251)</f>
        <v/>
      </c>
      <c r="W251" s="9">
        <f>IF(ORIG!W251=0,"",ORIG!W251)</f>
        <v/>
      </c>
      <c r="X251" s="9">
        <f>IF(ORIG!X251=0,"",ORIG!X251)</f>
        <v/>
      </c>
      <c r="Y251" s="9">
        <f>IF(ORIG!Y251=0,"",ORIG!Y251)</f>
        <v/>
      </c>
      <c r="Z251" s="3">
        <f>SUMPRODUCT($B251:$Y251,$B$2649:$Y$2649)</f>
        <v/>
      </c>
      <c r="AA251" s="3">
        <f>SUMPRODUCT($B251:$Y251,$B$2655:$Y$2655)</f>
        <v/>
      </c>
      <c r="AC251" s="1">
        <f>A251</f>
        <v/>
      </c>
      <c r="AD251">
        <f>IF(ISNUMBER(V251),V251*($AB$1/V$2635),"")</f>
        <v/>
      </c>
      <c r="AE251">
        <f>IF(ISNUMBER(Z251),Z251*($AB$1/Z$2635),"")</f>
        <v/>
      </c>
      <c r="AF251" s="25">
        <f>IF(ISNUMBER(AD251+AE251),AD251+AE251,"")</f>
        <v/>
      </c>
      <c r="AH251" s="1">
        <f>A251</f>
        <v/>
      </c>
      <c r="AI251">
        <f>IF(ISNUMBER((1+V251)*AI250),(1+V251)*AI250,AI250)</f>
        <v/>
      </c>
      <c r="AJ251">
        <f>IF(ISNUMBER((1+Z251)*AJ250),(1+Z251)*AJ250,AJ250)</f>
        <v/>
      </c>
    </row>
    <row r="252">
      <c r="A252" s="1" t="n">
        <v>42367</v>
      </c>
      <c r="B252" s="3">
        <f>IF(ORIG!B252=0,"",ORIG!B252)</f>
        <v/>
      </c>
      <c r="C252" s="3">
        <f>IF(ORIG!C252=0,"",ORIG!C252)</f>
        <v/>
      </c>
      <c r="D252" s="3">
        <f>IF(ORIG!D252=0,"",ORIG!D252)</f>
        <v/>
      </c>
      <c r="E252" s="3">
        <f>IF(ORIG!E252=0,"",ORIG!E252)</f>
        <v/>
      </c>
      <c r="F252" s="3">
        <f>IF(ORIG!F252=0,"",ORIG!F252)</f>
        <v/>
      </c>
      <c r="G252" s="3">
        <f>IF(ORIG!G252=0,"",ORIG!G252)</f>
        <v/>
      </c>
      <c r="H252" s="3">
        <f>IF(ORIG!H252=0,"",ORIG!H252)</f>
        <v/>
      </c>
      <c r="I252" s="3">
        <f>IF(ORIG!I252=0,"",ORIG!I252)</f>
        <v/>
      </c>
      <c r="J252" s="3">
        <f>IF(ORIG!J252=0,"",ORIG!J252)</f>
        <v/>
      </c>
      <c r="K252" s="3">
        <f>IF(ORIG!K252=0,"",ORIG!K252)</f>
        <v/>
      </c>
      <c r="L252" s="3">
        <f>IF(ORIG!L252=0,"",ORIG!L252)</f>
        <v/>
      </c>
      <c r="M252" s="3">
        <f>IF(ORIG!M252=0,"",ORIG!M252)</f>
        <v/>
      </c>
      <c r="N252" s="3">
        <f>IF(ORIG!N252=0,"",ORIG!N252)</f>
        <v/>
      </c>
      <c r="O252" s="3">
        <f>IF(ORIG!O252=0,"",ORIG!O252)</f>
        <v/>
      </c>
      <c r="P252" s="3">
        <f>IF(ORIG!P252=0,"",ORIG!P252)</f>
        <v/>
      </c>
      <c r="Q252" s="3">
        <f>IF(ORIG!Q252=0,"",ORIG!Q252)</f>
        <v/>
      </c>
      <c r="R252" s="3">
        <f>IF(ORIG!R252=0,"",ORIG!R252)</f>
        <v/>
      </c>
      <c r="S252" s="3">
        <f>IF(ORIG!S252=0,"",ORIG!S252)</f>
        <v/>
      </c>
      <c r="T252" s="3">
        <f>IF(ORIG!T252=0,"",ORIG!T252)</f>
        <v/>
      </c>
      <c r="U252" s="3">
        <f>IF(ORIG!U252=0,"",ORIG!U252)</f>
        <v/>
      </c>
      <c r="V252" s="9">
        <f>IF(ORIG!V252=0,"",ORIG!V252)</f>
        <v/>
      </c>
      <c r="W252" s="9">
        <f>IF(ORIG!W252=0,"",ORIG!W252)</f>
        <v/>
      </c>
      <c r="X252" s="9">
        <f>IF(ORIG!X252=0,"",ORIG!X252)</f>
        <v/>
      </c>
      <c r="Y252" s="9">
        <f>IF(ORIG!Y252=0,"",ORIG!Y252)</f>
        <v/>
      </c>
      <c r="Z252" s="3">
        <f>SUMPRODUCT($B252:$Y252,$B$2649:$Y$2649)</f>
        <v/>
      </c>
      <c r="AA252" s="3">
        <f>SUMPRODUCT($B252:$Y252,$B$2655:$Y$2655)</f>
        <v/>
      </c>
      <c r="AC252" s="1">
        <f>A252</f>
        <v/>
      </c>
      <c r="AD252">
        <f>IF(ISNUMBER(V252),V252*($AB$1/V$2635),"")</f>
        <v/>
      </c>
      <c r="AE252">
        <f>IF(ISNUMBER(Z252),Z252*($AB$1/Z$2635),"")</f>
        <v/>
      </c>
      <c r="AF252" s="25">
        <f>IF(ISNUMBER(AD252+AE252),AD252+AE252,"")</f>
        <v/>
      </c>
      <c r="AH252" s="1">
        <f>A252</f>
        <v/>
      </c>
      <c r="AI252">
        <f>IF(ISNUMBER((1+V252)*AI251),(1+V252)*AI251,AI251)</f>
        <v/>
      </c>
      <c r="AJ252">
        <f>IF(ISNUMBER((1+Z252)*AJ251),(1+Z252)*AJ251,AJ251)</f>
        <v/>
      </c>
    </row>
    <row r="253">
      <c r="A253" s="1" t="n">
        <v>42368</v>
      </c>
      <c r="B253" s="3">
        <f>IF(ORIG!B253=0,"",ORIG!B253)</f>
        <v/>
      </c>
      <c r="C253" s="3">
        <f>IF(ORIG!C253=0,"",ORIG!C253)</f>
        <v/>
      </c>
      <c r="D253" s="3">
        <f>IF(ORIG!D253=0,"",ORIG!D253)</f>
        <v/>
      </c>
      <c r="E253" s="3">
        <f>IF(ORIG!E253=0,"",ORIG!E253)</f>
        <v/>
      </c>
      <c r="F253" s="3">
        <f>IF(ORIG!F253=0,"",ORIG!F253)</f>
        <v/>
      </c>
      <c r="G253" s="3">
        <f>IF(ORIG!G253=0,"",ORIG!G253)</f>
        <v/>
      </c>
      <c r="H253" s="3">
        <f>IF(ORIG!H253=0,"",ORIG!H253)</f>
        <v/>
      </c>
      <c r="I253" s="3">
        <f>IF(ORIG!I253=0,"",ORIG!I253)</f>
        <v/>
      </c>
      <c r="J253" s="3">
        <f>IF(ORIG!J253=0,"",ORIG!J253)</f>
        <v/>
      </c>
      <c r="K253" s="3">
        <f>IF(ORIG!K253=0,"",ORIG!K253)</f>
        <v/>
      </c>
      <c r="L253" s="3">
        <f>IF(ORIG!L253=0,"",ORIG!L253)</f>
        <v/>
      </c>
      <c r="M253" s="3">
        <f>IF(ORIG!M253=0,"",ORIG!M253)</f>
        <v/>
      </c>
      <c r="N253" s="3">
        <f>IF(ORIG!N253=0,"",ORIG!N253)</f>
        <v/>
      </c>
      <c r="O253" s="3">
        <f>IF(ORIG!O253=0,"",ORIG!O253)</f>
        <v/>
      </c>
      <c r="P253" s="3">
        <f>IF(ORIG!P253=0,"",ORIG!P253)</f>
        <v/>
      </c>
      <c r="Q253" s="3">
        <f>IF(ORIG!Q253=0,"",ORIG!Q253)</f>
        <v/>
      </c>
      <c r="R253" s="3">
        <f>IF(ORIG!R253=0,"",ORIG!R253)</f>
        <v/>
      </c>
      <c r="S253" s="3">
        <f>IF(ORIG!S253=0,"",ORIG!S253)</f>
        <v/>
      </c>
      <c r="T253" s="3">
        <f>IF(ORIG!T253=0,"",ORIG!T253)</f>
        <v/>
      </c>
      <c r="U253" s="3">
        <f>IF(ORIG!U253=0,"",ORIG!U253)</f>
        <v/>
      </c>
      <c r="V253" s="9">
        <f>IF(ORIG!V253=0,"",ORIG!V253)</f>
        <v/>
      </c>
      <c r="W253" s="9">
        <f>IF(ORIG!W253=0,"",ORIG!W253)</f>
        <v/>
      </c>
      <c r="X253" s="9">
        <f>IF(ORIG!X253=0,"",ORIG!X253)</f>
        <v/>
      </c>
      <c r="Y253" s="9">
        <f>IF(ORIG!Y253=0,"",ORIG!Y253)</f>
        <v/>
      </c>
      <c r="Z253" s="3">
        <f>SUMPRODUCT($B253:$Y253,$B$2649:$Y$2649)</f>
        <v/>
      </c>
      <c r="AA253" s="3">
        <f>SUMPRODUCT($B253:$Y253,$B$2655:$Y$2655)</f>
        <v/>
      </c>
      <c r="AC253" s="1">
        <f>A253</f>
        <v/>
      </c>
      <c r="AD253">
        <f>IF(ISNUMBER(V253),V253*($AB$1/V$2635),"")</f>
        <v/>
      </c>
      <c r="AE253">
        <f>IF(ISNUMBER(Z253),Z253*($AB$1/Z$2635),"")</f>
        <v/>
      </c>
      <c r="AF253" s="25">
        <f>IF(ISNUMBER(AD253+AE253),AD253+AE253,"")</f>
        <v/>
      </c>
      <c r="AH253" s="1">
        <f>A253</f>
        <v/>
      </c>
      <c r="AI253">
        <f>IF(ISNUMBER((1+V253)*AI252),(1+V253)*AI252,AI252)</f>
        <v/>
      </c>
      <c r="AJ253">
        <f>IF(ISNUMBER((1+Z253)*AJ252),(1+Z253)*AJ252,AJ252)</f>
        <v/>
      </c>
    </row>
    <row r="254">
      <c r="A254" s="1" t="n">
        <v>42369</v>
      </c>
      <c r="B254" s="3">
        <f>IF(ORIG!B254=0,"",ORIG!B254)</f>
        <v/>
      </c>
      <c r="C254" s="3">
        <f>IF(ORIG!C254=0,"",ORIG!C254)</f>
        <v/>
      </c>
      <c r="D254" s="3">
        <f>IF(ORIG!D254=0,"",ORIG!D254)</f>
        <v/>
      </c>
      <c r="E254" s="3">
        <f>IF(ORIG!E254=0,"",ORIG!E254)</f>
        <v/>
      </c>
      <c r="F254" s="3">
        <f>IF(ORIG!F254=0,"",ORIG!F254)</f>
        <v/>
      </c>
      <c r="G254" s="3">
        <f>IF(ORIG!G254=0,"",ORIG!G254)</f>
        <v/>
      </c>
      <c r="H254" s="3">
        <f>IF(ORIG!H254=0,"",ORIG!H254)</f>
        <v/>
      </c>
      <c r="I254" s="3">
        <f>IF(ORIG!I254=0,"",ORIG!I254)</f>
        <v/>
      </c>
      <c r="J254" s="3">
        <f>IF(ORIG!J254=0,"",ORIG!J254)</f>
        <v/>
      </c>
      <c r="K254" s="3">
        <f>IF(ORIG!K254=0,"",ORIG!K254)</f>
        <v/>
      </c>
      <c r="L254" s="3">
        <f>IF(ORIG!L254=0,"",ORIG!L254)</f>
        <v/>
      </c>
      <c r="M254" s="3">
        <f>IF(ORIG!M254=0,"",ORIG!M254)</f>
        <v/>
      </c>
      <c r="N254" s="3">
        <f>IF(ORIG!N254=0,"",ORIG!N254)</f>
        <v/>
      </c>
      <c r="O254" s="3">
        <f>IF(ORIG!O254=0,"",ORIG!O254)</f>
        <v/>
      </c>
      <c r="P254" s="3">
        <f>IF(ORIG!P254=0,"",ORIG!P254)</f>
        <v/>
      </c>
      <c r="Q254" s="3">
        <f>IF(ORIG!Q254=0,"",ORIG!Q254)</f>
        <v/>
      </c>
      <c r="R254" s="3">
        <f>IF(ORIG!R254=0,"",ORIG!R254)</f>
        <v/>
      </c>
      <c r="S254" s="3">
        <f>IF(ORIG!S254=0,"",ORIG!S254)</f>
        <v/>
      </c>
      <c r="T254" s="3">
        <f>IF(ORIG!T254=0,"",ORIG!T254)</f>
        <v/>
      </c>
      <c r="U254" s="3">
        <f>IF(ORIG!U254=0,"",ORIG!U254)</f>
        <v/>
      </c>
      <c r="V254" s="9">
        <f>IF(ORIG!V254=0,"",ORIG!V254)</f>
        <v/>
      </c>
      <c r="W254" s="9">
        <f>IF(ORIG!W254=0,"",ORIG!W254)</f>
        <v/>
      </c>
      <c r="X254" s="9">
        <f>IF(ORIG!X254=0,"",ORIG!X254)</f>
        <v/>
      </c>
      <c r="Y254" s="9">
        <f>IF(ORIG!Y254=0,"",ORIG!Y254)</f>
        <v/>
      </c>
      <c r="Z254" s="3">
        <f>SUMPRODUCT($B254:$Y254,$B$2649:$Y$2649)</f>
        <v/>
      </c>
      <c r="AA254" s="3">
        <f>SUMPRODUCT($B254:$Y254,$B$2655:$Y$2655)</f>
        <v/>
      </c>
      <c r="AC254" s="1">
        <f>A254</f>
        <v/>
      </c>
      <c r="AD254">
        <f>IF(ISNUMBER(V254),V254*($AB$1/V$2635),"")</f>
        <v/>
      </c>
      <c r="AE254">
        <f>IF(ISNUMBER(Z254),Z254*($AB$1/Z$2635),"")</f>
        <v/>
      </c>
      <c r="AF254" s="25">
        <f>IF(ISNUMBER(AD254+AE254),AD254+AE254,"")</f>
        <v/>
      </c>
      <c r="AH254" s="1">
        <f>A254</f>
        <v/>
      </c>
      <c r="AI254">
        <f>IF(ISNUMBER((1+V254)*AI253),(1+V254)*AI253,AI253)</f>
        <v/>
      </c>
      <c r="AJ254">
        <f>IF(ISNUMBER((1+Z254)*AJ253),(1+Z254)*AJ253,AJ253)</f>
        <v/>
      </c>
    </row>
    <row r="255">
      <c r="A255" s="1" t="n">
        <v>42373</v>
      </c>
      <c r="B255" s="3">
        <f>IF(ORIG!B255=0,"",ORIG!B255)</f>
        <v/>
      </c>
      <c r="C255" s="3">
        <f>IF(ORIG!C255=0,"",ORIG!C255)</f>
        <v/>
      </c>
      <c r="D255" s="3">
        <f>IF(ORIG!D255=0,"",ORIG!D255)</f>
        <v/>
      </c>
      <c r="E255" s="3">
        <f>IF(ORIG!E255=0,"",ORIG!E255)</f>
        <v/>
      </c>
      <c r="F255" s="3">
        <f>IF(ORIG!F255=0,"",ORIG!F255)</f>
        <v/>
      </c>
      <c r="G255" s="3">
        <f>IF(ORIG!G255=0,"",ORIG!G255)</f>
        <v/>
      </c>
      <c r="H255" s="3">
        <f>IF(ORIG!H255=0,"",ORIG!H255)</f>
        <v/>
      </c>
      <c r="I255" s="3">
        <f>IF(ORIG!I255=0,"",ORIG!I255)</f>
        <v/>
      </c>
      <c r="J255" s="3">
        <f>IF(ORIG!J255=0,"",ORIG!J255)</f>
        <v/>
      </c>
      <c r="K255" s="3">
        <f>IF(ORIG!K255=0,"",ORIG!K255)</f>
        <v/>
      </c>
      <c r="L255" s="3">
        <f>IF(ORIG!L255=0,"",ORIG!L255)</f>
        <v/>
      </c>
      <c r="M255" s="3">
        <f>IF(ORIG!M255=0,"",ORIG!M255)</f>
        <v/>
      </c>
      <c r="N255" s="3">
        <f>IF(ORIG!N255=0,"",ORIG!N255)</f>
        <v/>
      </c>
      <c r="O255" s="3">
        <f>IF(ORIG!O255=0,"",ORIG!O255)</f>
        <v/>
      </c>
      <c r="P255" s="3">
        <f>IF(ORIG!P255=0,"",ORIG!P255)</f>
        <v/>
      </c>
      <c r="Q255" s="3">
        <f>IF(ORIG!Q255=0,"",ORIG!Q255)</f>
        <v/>
      </c>
      <c r="R255" s="3">
        <f>IF(ORIG!R255=0,"",ORIG!R255)</f>
        <v/>
      </c>
      <c r="S255" s="3">
        <f>IF(ORIG!S255=0,"",ORIG!S255)</f>
        <v/>
      </c>
      <c r="T255" s="3">
        <f>IF(ORIG!T255=0,"",ORIG!T255)</f>
        <v/>
      </c>
      <c r="U255" s="3">
        <f>IF(ORIG!U255=0,"",ORIG!U255)</f>
        <v/>
      </c>
      <c r="V255" s="9">
        <f>IF(ORIG!V255=0,"",ORIG!V255)</f>
        <v/>
      </c>
      <c r="W255" s="9">
        <f>IF(ORIG!W255=0,"",ORIG!W255)</f>
        <v/>
      </c>
      <c r="X255" s="9">
        <f>IF(ORIG!X255=0,"",ORIG!X255)</f>
        <v/>
      </c>
      <c r="Y255" s="9">
        <f>IF(ORIG!Y255=0,"",ORIG!Y255)</f>
        <v/>
      </c>
      <c r="Z255" s="3">
        <f>SUMPRODUCT($B255:$Y255,$B$2649:$Y$2649)</f>
        <v/>
      </c>
      <c r="AA255" s="3">
        <f>SUMPRODUCT($B255:$Y255,$B$2655:$Y$2655)</f>
        <v/>
      </c>
      <c r="AC255" s="1">
        <f>A255</f>
        <v/>
      </c>
      <c r="AD255">
        <f>IF(ISNUMBER(V255),V255*($AB$1/V$2635),"")</f>
        <v/>
      </c>
      <c r="AE255">
        <f>IF(ISNUMBER(Z255),Z255*($AB$1/Z$2635),"")</f>
        <v/>
      </c>
      <c r="AF255" s="25">
        <f>IF(ISNUMBER(AD255+AE255),AD255+AE255,"")</f>
        <v/>
      </c>
      <c r="AH255" s="1">
        <f>A255</f>
        <v/>
      </c>
      <c r="AI255">
        <f>IF(ISNUMBER((1+V255)*AI254),(1+V255)*AI254,AI254)</f>
        <v/>
      </c>
      <c r="AJ255">
        <f>IF(ISNUMBER((1+Z255)*AJ254),(1+Z255)*AJ254,AJ254)</f>
        <v/>
      </c>
    </row>
    <row r="256">
      <c r="A256" s="1" t="n">
        <v>42374</v>
      </c>
      <c r="B256" s="3">
        <f>IF(ORIG!B256=0,"",ORIG!B256)</f>
        <v/>
      </c>
      <c r="C256" s="3">
        <f>IF(ORIG!C256=0,"",ORIG!C256)</f>
        <v/>
      </c>
      <c r="D256" s="3">
        <f>IF(ORIG!D256=0,"",ORIG!D256)</f>
        <v/>
      </c>
      <c r="E256" s="3">
        <f>IF(ORIG!E256=0,"",ORIG!E256)</f>
        <v/>
      </c>
      <c r="F256" s="3">
        <f>IF(ORIG!F256=0,"",ORIG!F256)</f>
        <v/>
      </c>
      <c r="G256" s="3">
        <f>IF(ORIG!G256=0,"",ORIG!G256)</f>
        <v/>
      </c>
      <c r="H256" s="3">
        <f>IF(ORIG!H256=0,"",ORIG!H256)</f>
        <v/>
      </c>
      <c r="I256" s="3">
        <f>IF(ORIG!I256=0,"",ORIG!I256)</f>
        <v/>
      </c>
      <c r="J256" s="3">
        <f>IF(ORIG!J256=0,"",ORIG!J256)</f>
        <v/>
      </c>
      <c r="K256" s="3">
        <f>IF(ORIG!K256=0,"",ORIG!K256)</f>
        <v/>
      </c>
      <c r="L256" s="3">
        <f>IF(ORIG!L256=0,"",ORIG!L256)</f>
        <v/>
      </c>
      <c r="M256" s="3">
        <f>IF(ORIG!M256=0,"",ORIG!M256)</f>
        <v/>
      </c>
      <c r="N256" s="3">
        <f>IF(ORIG!N256=0,"",ORIG!N256)</f>
        <v/>
      </c>
      <c r="O256" s="3">
        <f>IF(ORIG!O256=0,"",ORIG!O256)</f>
        <v/>
      </c>
      <c r="P256" s="3">
        <f>IF(ORIG!P256=0,"",ORIG!P256)</f>
        <v/>
      </c>
      <c r="Q256" s="3">
        <f>IF(ORIG!Q256=0,"",ORIG!Q256)</f>
        <v/>
      </c>
      <c r="R256" s="3">
        <f>IF(ORIG!R256=0,"",ORIG!R256)</f>
        <v/>
      </c>
      <c r="S256" s="3">
        <f>IF(ORIG!S256=0,"",ORIG!S256)</f>
        <v/>
      </c>
      <c r="T256" s="3">
        <f>IF(ORIG!T256=0,"",ORIG!T256)</f>
        <v/>
      </c>
      <c r="U256" s="3">
        <f>IF(ORIG!U256=0,"",ORIG!U256)</f>
        <v/>
      </c>
      <c r="V256" s="9">
        <f>IF(ORIG!V256=0,"",ORIG!V256)</f>
        <v/>
      </c>
      <c r="W256" s="9">
        <f>IF(ORIG!W256=0,"",ORIG!W256)</f>
        <v/>
      </c>
      <c r="X256" s="9">
        <f>IF(ORIG!X256=0,"",ORIG!X256)</f>
        <v/>
      </c>
      <c r="Y256" s="9">
        <f>IF(ORIG!Y256=0,"",ORIG!Y256)</f>
        <v/>
      </c>
      <c r="Z256" s="3">
        <f>SUMPRODUCT($B256:$Y256,$B$2649:$Y$2649)</f>
        <v/>
      </c>
      <c r="AA256" s="3">
        <f>SUMPRODUCT($B256:$Y256,$B$2655:$Y$2655)</f>
        <v/>
      </c>
      <c r="AC256" s="1">
        <f>A256</f>
        <v/>
      </c>
      <c r="AD256">
        <f>IF(ISNUMBER(V256),V256*($AB$1/V$2635),"")</f>
        <v/>
      </c>
      <c r="AE256">
        <f>IF(ISNUMBER(Z256),Z256*($AB$1/Z$2635),"")</f>
        <v/>
      </c>
      <c r="AF256" s="25">
        <f>IF(ISNUMBER(AD256+AE256),AD256+AE256,"")</f>
        <v/>
      </c>
      <c r="AH256" s="1">
        <f>A256</f>
        <v/>
      </c>
      <c r="AI256">
        <f>IF(ISNUMBER((1+V256)*AI255),(1+V256)*AI255,AI255)</f>
        <v/>
      </c>
      <c r="AJ256">
        <f>IF(ISNUMBER((1+Z256)*AJ255),(1+Z256)*AJ255,AJ255)</f>
        <v/>
      </c>
    </row>
    <row r="257">
      <c r="A257" s="1" t="n">
        <v>42375</v>
      </c>
      <c r="B257" s="3">
        <f>IF(ORIG!B257=0,"",ORIG!B257)</f>
        <v/>
      </c>
      <c r="C257" s="3">
        <f>IF(ORIG!C257=0,"",ORIG!C257)</f>
        <v/>
      </c>
      <c r="D257" s="3">
        <f>IF(ORIG!D257=0,"",ORIG!D257)</f>
        <v/>
      </c>
      <c r="E257" s="3">
        <f>IF(ORIG!E257=0,"",ORIG!E257)</f>
        <v/>
      </c>
      <c r="F257" s="3">
        <f>IF(ORIG!F257=0,"",ORIG!F257)</f>
        <v/>
      </c>
      <c r="G257" s="3">
        <f>IF(ORIG!G257=0,"",ORIG!G257)</f>
        <v/>
      </c>
      <c r="H257" s="3">
        <f>IF(ORIG!H257=0,"",ORIG!H257)</f>
        <v/>
      </c>
      <c r="I257" s="3">
        <f>IF(ORIG!I257=0,"",ORIG!I257)</f>
        <v/>
      </c>
      <c r="J257" s="3">
        <f>IF(ORIG!J257=0,"",ORIG!J257)</f>
        <v/>
      </c>
      <c r="K257" s="3">
        <f>IF(ORIG!K257=0,"",ORIG!K257)</f>
        <v/>
      </c>
      <c r="L257" s="3">
        <f>IF(ORIG!L257=0,"",ORIG!L257)</f>
        <v/>
      </c>
      <c r="M257" s="3">
        <f>IF(ORIG!M257=0,"",ORIG!M257)</f>
        <v/>
      </c>
      <c r="N257" s="3">
        <f>IF(ORIG!N257=0,"",ORIG!N257)</f>
        <v/>
      </c>
      <c r="O257" s="3">
        <f>IF(ORIG!O257=0,"",ORIG!O257)</f>
        <v/>
      </c>
      <c r="P257" s="3">
        <f>IF(ORIG!P257=0,"",ORIG!P257)</f>
        <v/>
      </c>
      <c r="Q257" s="3">
        <f>IF(ORIG!Q257=0,"",ORIG!Q257)</f>
        <v/>
      </c>
      <c r="R257" s="3">
        <f>IF(ORIG!R257=0,"",ORIG!R257)</f>
        <v/>
      </c>
      <c r="S257" s="3">
        <f>IF(ORIG!S257=0,"",ORIG!S257)</f>
        <v/>
      </c>
      <c r="T257" s="3">
        <f>IF(ORIG!T257=0,"",ORIG!T257)</f>
        <v/>
      </c>
      <c r="U257" s="3">
        <f>IF(ORIG!U257=0,"",ORIG!U257)</f>
        <v/>
      </c>
      <c r="V257" s="9">
        <f>IF(ORIG!V257=0,"",ORIG!V257)</f>
        <v/>
      </c>
      <c r="W257" s="9">
        <f>IF(ORIG!W257=0,"",ORIG!W257)</f>
        <v/>
      </c>
      <c r="X257" s="9">
        <f>IF(ORIG!X257=0,"",ORIG!X257)</f>
        <v/>
      </c>
      <c r="Y257" s="9">
        <f>IF(ORIG!Y257=0,"",ORIG!Y257)</f>
        <v/>
      </c>
      <c r="Z257" s="3">
        <f>SUMPRODUCT($B257:$Y257,$B$2649:$Y$2649)</f>
        <v/>
      </c>
      <c r="AA257" s="3">
        <f>SUMPRODUCT($B257:$Y257,$B$2655:$Y$2655)</f>
        <v/>
      </c>
      <c r="AC257" s="1">
        <f>A257</f>
        <v/>
      </c>
      <c r="AD257">
        <f>IF(ISNUMBER(V257),V257*($AB$1/V$2635),"")</f>
        <v/>
      </c>
      <c r="AE257">
        <f>IF(ISNUMBER(Z257),Z257*($AB$1/Z$2635),"")</f>
        <v/>
      </c>
      <c r="AF257" s="25">
        <f>IF(ISNUMBER(AD257+AE257),AD257+AE257,"")</f>
        <v/>
      </c>
      <c r="AH257" s="1">
        <f>A257</f>
        <v/>
      </c>
      <c r="AI257">
        <f>IF(ISNUMBER((1+V257)*AI256),(1+V257)*AI256,AI256)</f>
        <v/>
      </c>
      <c r="AJ257">
        <f>IF(ISNUMBER((1+Z257)*AJ256),(1+Z257)*AJ256,AJ256)</f>
        <v/>
      </c>
    </row>
    <row r="258">
      <c r="A258" s="1" t="n">
        <v>42376</v>
      </c>
      <c r="B258" s="3">
        <f>IF(ORIG!B258=0,"",ORIG!B258)</f>
        <v/>
      </c>
      <c r="C258" s="3">
        <f>IF(ORIG!C258=0,"",ORIG!C258)</f>
        <v/>
      </c>
      <c r="D258" s="3">
        <f>IF(ORIG!D258=0,"",ORIG!D258)</f>
        <v/>
      </c>
      <c r="E258" s="3">
        <f>IF(ORIG!E258=0,"",ORIG!E258)</f>
        <v/>
      </c>
      <c r="F258" s="3">
        <f>IF(ORIG!F258=0,"",ORIG!F258)</f>
        <v/>
      </c>
      <c r="G258" s="3">
        <f>IF(ORIG!G258=0,"",ORIG!G258)</f>
        <v/>
      </c>
      <c r="H258" s="3">
        <f>IF(ORIG!H258=0,"",ORIG!H258)</f>
        <v/>
      </c>
      <c r="I258" s="3">
        <f>IF(ORIG!I258=0,"",ORIG!I258)</f>
        <v/>
      </c>
      <c r="J258" s="3">
        <f>IF(ORIG!J258=0,"",ORIG!J258)</f>
        <v/>
      </c>
      <c r="K258" s="3">
        <f>IF(ORIG!K258=0,"",ORIG!K258)</f>
        <v/>
      </c>
      <c r="L258" s="3">
        <f>IF(ORIG!L258=0,"",ORIG!L258)</f>
        <v/>
      </c>
      <c r="M258" s="3">
        <f>IF(ORIG!M258=0,"",ORIG!M258)</f>
        <v/>
      </c>
      <c r="N258" s="3">
        <f>IF(ORIG!N258=0,"",ORIG!N258)</f>
        <v/>
      </c>
      <c r="O258" s="3">
        <f>IF(ORIG!O258=0,"",ORIG!O258)</f>
        <v/>
      </c>
      <c r="P258" s="3">
        <f>IF(ORIG!P258=0,"",ORIG!P258)</f>
        <v/>
      </c>
      <c r="Q258" s="3">
        <f>IF(ORIG!Q258=0,"",ORIG!Q258)</f>
        <v/>
      </c>
      <c r="R258" s="3">
        <f>IF(ORIG!R258=0,"",ORIG!R258)</f>
        <v/>
      </c>
      <c r="S258" s="3">
        <f>IF(ORIG!S258=0,"",ORIG!S258)</f>
        <v/>
      </c>
      <c r="T258" s="3">
        <f>IF(ORIG!T258=0,"",ORIG!T258)</f>
        <v/>
      </c>
      <c r="U258" s="3">
        <f>IF(ORIG!U258=0,"",ORIG!U258)</f>
        <v/>
      </c>
      <c r="V258" s="9">
        <f>IF(ORIG!V258=0,"",ORIG!V258)</f>
        <v/>
      </c>
      <c r="W258" s="9">
        <f>IF(ORIG!W258=0,"",ORIG!W258)</f>
        <v/>
      </c>
      <c r="X258" s="9">
        <f>IF(ORIG!X258=0,"",ORIG!X258)</f>
        <v/>
      </c>
      <c r="Y258" s="9">
        <f>IF(ORIG!Y258=0,"",ORIG!Y258)</f>
        <v/>
      </c>
      <c r="Z258" s="3">
        <f>SUMPRODUCT($B258:$Y258,$B$2649:$Y$2649)</f>
        <v/>
      </c>
      <c r="AA258" s="3">
        <f>SUMPRODUCT($B258:$Y258,$B$2655:$Y$2655)</f>
        <v/>
      </c>
      <c r="AC258" s="1">
        <f>A258</f>
        <v/>
      </c>
      <c r="AD258">
        <f>IF(ISNUMBER(V258),V258*($AB$1/V$2635),"")</f>
        <v/>
      </c>
      <c r="AE258">
        <f>IF(ISNUMBER(Z258),Z258*($AB$1/Z$2635),"")</f>
        <v/>
      </c>
      <c r="AF258" s="25">
        <f>IF(ISNUMBER(AD258+AE258),AD258+AE258,"")</f>
        <v/>
      </c>
      <c r="AH258" s="1">
        <f>A258</f>
        <v/>
      </c>
      <c r="AI258">
        <f>IF(ISNUMBER((1+V258)*AI257),(1+V258)*AI257,AI257)</f>
        <v/>
      </c>
      <c r="AJ258">
        <f>IF(ISNUMBER((1+Z258)*AJ257),(1+Z258)*AJ257,AJ257)</f>
        <v/>
      </c>
    </row>
    <row r="259">
      <c r="A259" s="1" t="n">
        <v>42377</v>
      </c>
      <c r="B259" s="3">
        <f>IF(ORIG!B259=0,"",ORIG!B259)</f>
        <v/>
      </c>
      <c r="C259" s="3">
        <f>IF(ORIG!C259=0,"",ORIG!C259)</f>
        <v/>
      </c>
      <c r="D259" s="3">
        <f>IF(ORIG!D259=0,"",ORIG!D259)</f>
        <v/>
      </c>
      <c r="E259" s="3">
        <f>IF(ORIG!E259=0,"",ORIG!E259)</f>
        <v/>
      </c>
      <c r="F259" s="3">
        <f>IF(ORIG!F259=0,"",ORIG!F259)</f>
        <v/>
      </c>
      <c r="G259" s="3">
        <f>IF(ORIG!G259=0,"",ORIG!G259)</f>
        <v/>
      </c>
      <c r="H259" s="3">
        <f>IF(ORIG!H259=0,"",ORIG!H259)</f>
        <v/>
      </c>
      <c r="I259" s="3">
        <f>IF(ORIG!I259=0,"",ORIG!I259)</f>
        <v/>
      </c>
      <c r="J259" s="3">
        <f>IF(ORIG!J259=0,"",ORIG!J259)</f>
        <v/>
      </c>
      <c r="K259" s="3">
        <f>IF(ORIG!K259=0,"",ORIG!K259)</f>
        <v/>
      </c>
      <c r="L259" s="3">
        <f>IF(ORIG!L259=0,"",ORIG!L259)</f>
        <v/>
      </c>
      <c r="M259" s="3">
        <f>IF(ORIG!M259=0,"",ORIG!M259)</f>
        <v/>
      </c>
      <c r="N259" s="3">
        <f>IF(ORIG!N259=0,"",ORIG!N259)</f>
        <v/>
      </c>
      <c r="O259" s="3">
        <f>IF(ORIG!O259=0,"",ORIG!O259)</f>
        <v/>
      </c>
      <c r="P259" s="3">
        <f>IF(ORIG!P259=0,"",ORIG!P259)</f>
        <v/>
      </c>
      <c r="Q259" s="3">
        <f>IF(ORIG!Q259=0,"",ORIG!Q259)</f>
        <v/>
      </c>
      <c r="R259" s="3">
        <f>IF(ORIG!R259=0,"",ORIG!R259)</f>
        <v/>
      </c>
      <c r="S259" s="3">
        <f>IF(ORIG!S259=0,"",ORIG!S259)</f>
        <v/>
      </c>
      <c r="T259" s="3">
        <f>IF(ORIG!T259=0,"",ORIG!T259)</f>
        <v/>
      </c>
      <c r="U259" s="3">
        <f>IF(ORIG!U259=0,"",ORIG!U259)</f>
        <v/>
      </c>
      <c r="V259" s="9">
        <f>IF(ORIG!V259=0,"",ORIG!V259)</f>
        <v/>
      </c>
      <c r="W259" s="9">
        <f>IF(ORIG!W259=0,"",ORIG!W259)</f>
        <v/>
      </c>
      <c r="X259" s="9">
        <f>IF(ORIG!X259=0,"",ORIG!X259)</f>
        <v/>
      </c>
      <c r="Y259" s="9">
        <f>IF(ORIG!Y259=0,"",ORIG!Y259)</f>
        <v/>
      </c>
      <c r="Z259" s="3">
        <f>SUMPRODUCT($B259:$Y259,$B$2649:$Y$2649)</f>
        <v/>
      </c>
      <c r="AA259" s="3">
        <f>SUMPRODUCT($B259:$Y259,$B$2655:$Y$2655)</f>
        <v/>
      </c>
      <c r="AC259" s="1">
        <f>A259</f>
        <v/>
      </c>
      <c r="AD259">
        <f>IF(ISNUMBER(V259),V259*($AB$1/V$2635),"")</f>
        <v/>
      </c>
      <c r="AE259">
        <f>IF(ISNUMBER(Z259),Z259*($AB$1/Z$2635),"")</f>
        <v/>
      </c>
      <c r="AF259" s="25">
        <f>IF(ISNUMBER(AD259+AE259),AD259+AE259,"")</f>
        <v/>
      </c>
      <c r="AH259" s="1">
        <f>A259</f>
        <v/>
      </c>
      <c r="AI259">
        <f>IF(ISNUMBER((1+V259)*AI258),(1+V259)*AI258,AI258)</f>
        <v/>
      </c>
      <c r="AJ259">
        <f>IF(ISNUMBER((1+Z259)*AJ258),(1+Z259)*AJ258,AJ258)</f>
        <v/>
      </c>
    </row>
    <row r="260">
      <c r="A260" s="1" t="n">
        <v>42380</v>
      </c>
      <c r="B260" s="3">
        <f>IF(ORIG!B260=0,"",ORIG!B260)</f>
        <v/>
      </c>
      <c r="C260" s="3">
        <f>IF(ORIG!C260=0,"",ORIG!C260)</f>
        <v/>
      </c>
      <c r="D260" s="3">
        <f>IF(ORIG!D260=0,"",ORIG!D260)</f>
        <v/>
      </c>
      <c r="E260" s="3">
        <f>IF(ORIG!E260=0,"",ORIG!E260)</f>
        <v/>
      </c>
      <c r="F260" s="3">
        <f>IF(ORIG!F260=0,"",ORIG!F260)</f>
        <v/>
      </c>
      <c r="G260" s="3">
        <f>IF(ORIG!G260=0,"",ORIG!G260)</f>
        <v/>
      </c>
      <c r="H260" s="3">
        <f>IF(ORIG!H260=0,"",ORIG!H260)</f>
        <v/>
      </c>
      <c r="I260" s="3">
        <f>IF(ORIG!I260=0,"",ORIG!I260)</f>
        <v/>
      </c>
      <c r="J260" s="3">
        <f>IF(ORIG!J260=0,"",ORIG!J260)</f>
        <v/>
      </c>
      <c r="K260" s="3">
        <f>IF(ORIG!K260=0,"",ORIG!K260)</f>
        <v/>
      </c>
      <c r="L260" s="3">
        <f>IF(ORIG!L260=0,"",ORIG!L260)</f>
        <v/>
      </c>
      <c r="M260" s="3">
        <f>IF(ORIG!M260=0,"",ORIG!M260)</f>
        <v/>
      </c>
      <c r="N260" s="3">
        <f>IF(ORIG!N260=0,"",ORIG!N260)</f>
        <v/>
      </c>
      <c r="O260" s="3">
        <f>IF(ORIG!O260=0,"",ORIG!O260)</f>
        <v/>
      </c>
      <c r="P260" s="3">
        <f>IF(ORIG!P260=0,"",ORIG!P260)</f>
        <v/>
      </c>
      <c r="Q260" s="3">
        <f>IF(ORIG!Q260=0,"",ORIG!Q260)</f>
        <v/>
      </c>
      <c r="R260" s="3">
        <f>IF(ORIG!R260=0,"",ORIG!R260)</f>
        <v/>
      </c>
      <c r="S260" s="3">
        <f>IF(ORIG!S260=0,"",ORIG!S260)</f>
        <v/>
      </c>
      <c r="T260" s="3">
        <f>IF(ORIG!T260=0,"",ORIG!T260)</f>
        <v/>
      </c>
      <c r="U260" s="3">
        <f>IF(ORIG!U260=0,"",ORIG!U260)</f>
        <v/>
      </c>
      <c r="V260" s="9">
        <f>IF(ORIG!V260=0,"",ORIG!V260)</f>
        <v/>
      </c>
      <c r="W260" s="9">
        <f>IF(ORIG!W260=0,"",ORIG!W260)</f>
        <v/>
      </c>
      <c r="X260" s="9">
        <f>IF(ORIG!X260=0,"",ORIG!X260)</f>
        <v/>
      </c>
      <c r="Y260" s="9">
        <f>IF(ORIG!Y260=0,"",ORIG!Y260)</f>
        <v/>
      </c>
      <c r="Z260" s="3">
        <f>SUMPRODUCT($B260:$Y260,$B$2649:$Y$2649)</f>
        <v/>
      </c>
      <c r="AA260" s="3">
        <f>SUMPRODUCT($B260:$Y260,$B$2655:$Y$2655)</f>
        <v/>
      </c>
      <c r="AC260" s="1">
        <f>A260</f>
        <v/>
      </c>
      <c r="AD260">
        <f>IF(ISNUMBER(V260),V260*($AB$1/V$2635),"")</f>
        <v/>
      </c>
      <c r="AE260">
        <f>IF(ISNUMBER(Z260),Z260*($AB$1/Z$2635),"")</f>
        <v/>
      </c>
      <c r="AF260" s="25">
        <f>IF(ISNUMBER(AD260+AE260),AD260+AE260,"")</f>
        <v/>
      </c>
      <c r="AH260" s="1">
        <f>A260</f>
        <v/>
      </c>
      <c r="AI260">
        <f>IF(ISNUMBER((1+V260)*AI259),(1+V260)*AI259,AI259)</f>
        <v/>
      </c>
      <c r="AJ260">
        <f>IF(ISNUMBER((1+Z260)*AJ259),(1+Z260)*AJ259,AJ259)</f>
        <v/>
      </c>
    </row>
    <row r="261">
      <c r="A261" s="1" t="n">
        <v>42381</v>
      </c>
      <c r="B261" s="3">
        <f>IF(ORIG!B261=0,"",ORIG!B261)</f>
        <v/>
      </c>
      <c r="C261" s="3">
        <f>IF(ORIG!C261=0,"",ORIG!C261)</f>
        <v/>
      </c>
      <c r="D261" s="3">
        <f>IF(ORIG!D261=0,"",ORIG!D261)</f>
        <v/>
      </c>
      <c r="E261" s="3">
        <f>IF(ORIG!E261=0,"",ORIG!E261)</f>
        <v/>
      </c>
      <c r="F261" s="3">
        <f>IF(ORIG!F261=0,"",ORIG!F261)</f>
        <v/>
      </c>
      <c r="G261" s="3">
        <f>IF(ORIG!G261=0,"",ORIG!G261)</f>
        <v/>
      </c>
      <c r="H261" s="3">
        <f>IF(ORIG!H261=0,"",ORIG!H261)</f>
        <v/>
      </c>
      <c r="I261" s="3">
        <f>IF(ORIG!I261=0,"",ORIG!I261)</f>
        <v/>
      </c>
      <c r="J261" s="3">
        <f>IF(ORIG!J261=0,"",ORIG!J261)</f>
        <v/>
      </c>
      <c r="K261" s="3">
        <f>IF(ORIG!K261=0,"",ORIG!K261)</f>
        <v/>
      </c>
      <c r="L261" s="3">
        <f>IF(ORIG!L261=0,"",ORIG!L261)</f>
        <v/>
      </c>
      <c r="M261" s="3">
        <f>IF(ORIG!M261=0,"",ORIG!M261)</f>
        <v/>
      </c>
      <c r="N261" s="3">
        <f>IF(ORIG!N261=0,"",ORIG!N261)</f>
        <v/>
      </c>
      <c r="O261" s="3">
        <f>IF(ORIG!O261=0,"",ORIG!O261)</f>
        <v/>
      </c>
      <c r="P261" s="3">
        <f>IF(ORIG!P261=0,"",ORIG!P261)</f>
        <v/>
      </c>
      <c r="Q261" s="3">
        <f>IF(ORIG!Q261=0,"",ORIG!Q261)</f>
        <v/>
      </c>
      <c r="R261" s="3">
        <f>IF(ORIG!R261=0,"",ORIG!R261)</f>
        <v/>
      </c>
      <c r="S261" s="3">
        <f>IF(ORIG!S261=0,"",ORIG!S261)</f>
        <v/>
      </c>
      <c r="T261" s="3">
        <f>IF(ORIG!T261=0,"",ORIG!T261)</f>
        <v/>
      </c>
      <c r="U261" s="3">
        <f>IF(ORIG!U261=0,"",ORIG!U261)</f>
        <v/>
      </c>
      <c r="V261" s="9">
        <f>IF(ORIG!V261=0,"",ORIG!V261)</f>
        <v/>
      </c>
      <c r="W261" s="9">
        <f>IF(ORIG!W261=0,"",ORIG!W261)</f>
        <v/>
      </c>
      <c r="X261" s="9">
        <f>IF(ORIG!X261=0,"",ORIG!X261)</f>
        <v/>
      </c>
      <c r="Y261" s="9">
        <f>IF(ORIG!Y261=0,"",ORIG!Y261)</f>
        <v/>
      </c>
      <c r="Z261" s="3">
        <f>SUMPRODUCT($B261:$Y261,$B$2649:$Y$2649)</f>
        <v/>
      </c>
      <c r="AA261" s="3">
        <f>SUMPRODUCT($B261:$Y261,$B$2655:$Y$2655)</f>
        <v/>
      </c>
      <c r="AC261" s="1">
        <f>A261</f>
        <v/>
      </c>
      <c r="AD261">
        <f>IF(ISNUMBER(V261),V261*($AB$1/V$2635),"")</f>
        <v/>
      </c>
      <c r="AE261">
        <f>IF(ISNUMBER(Z261),Z261*($AB$1/Z$2635),"")</f>
        <v/>
      </c>
      <c r="AF261" s="25">
        <f>IF(ISNUMBER(AD261+AE261),AD261+AE261,"")</f>
        <v/>
      </c>
      <c r="AH261" s="1">
        <f>A261</f>
        <v/>
      </c>
      <c r="AI261">
        <f>IF(ISNUMBER((1+V261)*AI260),(1+V261)*AI260,AI260)</f>
        <v/>
      </c>
      <c r="AJ261">
        <f>IF(ISNUMBER((1+Z261)*AJ260),(1+Z261)*AJ260,AJ260)</f>
        <v/>
      </c>
    </row>
    <row r="262">
      <c r="A262" s="1" t="n">
        <v>42382</v>
      </c>
      <c r="B262" s="3">
        <f>IF(ORIG!B262=0,"",ORIG!B262)</f>
        <v/>
      </c>
      <c r="C262" s="3">
        <f>IF(ORIG!C262=0,"",ORIG!C262)</f>
        <v/>
      </c>
      <c r="D262" s="3">
        <f>IF(ORIG!D262=0,"",ORIG!D262)</f>
        <v/>
      </c>
      <c r="E262" s="3">
        <f>IF(ORIG!E262=0,"",ORIG!E262)</f>
        <v/>
      </c>
      <c r="F262" s="3">
        <f>IF(ORIG!F262=0,"",ORIG!F262)</f>
        <v/>
      </c>
      <c r="G262" s="3">
        <f>IF(ORIG!G262=0,"",ORIG!G262)</f>
        <v/>
      </c>
      <c r="H262" s="3">
        <f>IF(ORIG!H262=0,"",ORIG!H262)</f>
        <v/>
      </c>
      <c r="I262" s="3">
        <f>IF(ORIG!I262=0,"",ORIG!I262)</f>
        <v/>
      </c>
      <c r="J262" s="3">
        <f>IF(ORIG!J262=0,"",ORIG!J262)</f>
        <v/>
      </c>
      <c r="K262" s="3">
        <f>IF(ORIG!K262=0,"",ORIG!K262)</f>
        <v/>
      </c>
      <c r="L262" s="3">
        <f>IF(ORIG!L262=0,"",ORIG!L262)</f>
        <v/>
      </c>
      <c r="M262" s="3">
        <f>IF(ORIG!M262=0,"",ORIG!M262)</f>
        <v/>
      </c>
      <c r="N262" s="3">
        <f>IF(ORIG!N262=0,"",ORIG!N262)</f>
        <v/>
      </c>
      <c r="O262" s="3">
        <f>IF(ORIG!O262=0,"",ORIG!O262)</f>
        <v/>
      </c>
      <c r="P262" s="3">
        <f>IF(ORIG!P262=0,"",ORIG!P262)</f>
        <v/>
      </c>
      <c r="Q262" s="3">
        <f>IF(ORIG!Q262=0,"",ORIG!Q262)</f>
        <v/>
      </c>
      <c r="R262" s="3">
        <f>IF(ORIG!R262=0,"",ORIG!R262)</f>
        <v/>
      </c>
      <c r="S262" s="3">
        <f>IF(ORIG!S262=0,"",ORIG!S262)</f>
        <v/>
      </c>
      <c r="T262" s="3">
        <f>IF(ORIG!T262=0,"",ORIG!T262)</f>
        <v/>
      </c>
      <c r="U262" s="3">
        <f>IF(ORIG!U262=0,"",ORIG!U262)</f>
        <v/>
      </c>
      <c r="V262" s="9">
        <f>IF(ORIG!V262=0,"",ORIG!V262)</f>
        <v/>
      </c>
      <c r="W262" s="9">
        <f>IF(ORIG!W262=0,"",ORIG!W262)</f>
        <v/>
      </c>
      <c r="X262" s="9">
        <f>IF(ORIG!X262=0,"",ORIG!X262)</f>
        <v/>
      </c>
      <c r="Y262" s="9">
        <f>IF(ORIG!Y262=0,"",ORIG!Y262)</f>
        <v/>
      </c>
      <c r="Z262" s="3">
        <f>SUMPRODUCT($B262:$Y262,$B$2649:$Y$2649)</f>
        <v/>
      </c>
      <c r="AA262" s="3">
        <f>SUMPRODUCT($B262:$Y262,$B$2655:$Y$2655)</f>
        <v/>
      </c>
      <c r="AC262" s="1">
        <f>A262</f>
        <v/>
      </c>
      <c r="AD262">
        <f>IF(ISNUMBER(V262),V262*($AB$1/V$2635),"")</f>
        <v/>
      </c>
      <c r="AE262">
        <f>IF(ISNUMBER(Z262),Z262*($AB$1/Z$2635),"")</f>
        <v/>
      </c>
      <c r="AF262" s="25">
        <f>IF(ISNUMBER(AD262+AE262),AD262+AE262,"")</f>
        <v/>
      </c>
      <c r="AH262" s="1">
        <f>A262</f>
        <v/>
      </c>
      <c r="AI262">
        <f>IF(ISNUMBER((1+V262)*AI261),(1+V262)*AI261,AI261)</f>
        <v/>
      </c>
      <c r="AJ262">
        <f>IF(ISNUMBER((1+Z262)*AJ261),(1+Z262)*AJ261,AJ261)</f>
        <v/>
      </c>
    </row>
    <row r="263">
      <c r="A263" s="1" t="n">
        <v>42383</v>
      </c>
      <c r="B263" s="3">
        <f>IF(ORIG!B263=0,"",ORIG!B263)</f>
        <v/>
      </c>
      <c r="C263" s="3">
        <f>IF(ORIG!C263=0,"",ORIG!C263)</f>
        <v/>
      </c>
      <c r="D263" s="3">
        <f>IF(ORIG!D263=0,"",ORIG!D263)</f>
        <v/>
      </c>
      <c r="E263" s="3">
        <f>IF(ORIG!E263=0,"",ORIG!E263)</f>
        <v/>
      </c>
      <c r="F263" s="3">
        <f>IF(ORIG!F263=0,"",ORIG!F263)</f>
        <v/>
      </c>
      <c r="G263" s="3">
        <f>IF(ORIG!G263=0,"",ORIG!G263)</f>
        <v/>
      </c>
      <c r="H263" s="3">
        <f>IF(ORIG!H263=0,"",ORIG!H263)</f>
        <v/>
      </c>
      <c r="I263" s="3">
        <f>IF(ORIG!I263=0,"",ORIG!I263)</f>
        <v/>
      </c>
      <c r="J263" s="3">
        <f>IF(ORIG!J263=0,"",ORIG!J263)</f>
        <v/>
      </c>
      <c r="K263" s="3">
        <f>IF(ORIG!K263=0,"",ORIG!K263)</f>
        <v/>
      </c>
      <c r="L263" s="3">
        <f>IF(ORIG!L263=0,"",ORIG!L263)</f>
        <v/>
      </c>
      <c r="M263" s="3">
        <f>IF(ORIG!M263=0,"",ORIG!M263)</f>
        <v/>
      </c>
      <c r="N263" s="3">
        <f>IF(ORIG!N263=0,"",ORIG!N263)</f>
        <v/>
      </c>
      <c r="O263" s="3">
        <f>IF(ORIG!O263=0,"",ORIG!O263)</f>
        <v/>
      </c>
      <c r="P263" s="3">
        <f>IF(ORIG!P263=0,"",ORIG!P263)</f>
        <v/>
      </c>
      <c r="Q263" s="3">
        <f>IF(ORIG!Q263=0,"",ORIG!Q263)</f>
        <v/>
      </c>
      <c r="R263" s="3">
        <f>IF(ORIG!R263=0,"",ORIG!R263)</f>
        <v/>
      </c>
      <c r="S263" s="3">
        <f>IF(ORIG!S263=0,"",ORIG!S263)</f>
        <v/>
      </c>
      <c r="T263" s="3">
        <f>IF(ORIG!T263=0,"",ORIG!T263)</f>
        <v/>
      </c>
      <c r="U263" s="3">
        <f>IF(ORIG!U263=0,"",ORIG!U263)</f>
        <v/>
      </c>
      <c r="V263" s="9">
        <f>IF(ORIG!V263=0,"",ORIG!V263)</f>
        <v/>
      </c>
      <c r="W263" s="9">
        <f>IF(ORIG!W263=0,"",ORIG!W263)</f>
        <v/>
      </c>
      <c r="X263" s="9">
        <f>IF(ORIG!X263=0,"",ORIG!X263)</f>
        <v/>
      </c>
      <c r="Y263" s="9">
        <f>IF(ORIG!Y263=0,"",ORIG!Y263)</f>
        <v/>
      </c>
      <c r="Z263" s="3">
        <f>SUMPRODUCT($B263:$Y263,$B$2649:$Y$2649)</f>
        <v/>
      </c>
      <c r="AA263" s="3">
        <f>SUMPRODUCT($B263:$Y263,$B$2655:$Y$2655)</f>
        <v/>
      </c>
      <c r="AC263" s="1">
        <f>A263</f>
        <v/>
      </c>
      <c r="AD263">
        <f>IF(ISNUMBER(V263),V263*($AB$1/V$2635),"")</f>
        <v/>
      </c>
      <c r="AE263">
        <f>IF(ISNUMBER(Z263),Z263*($AB$1/Z$2635),"")</f>
        <v/>
      </c>
      <c r="AF263" s="25">
        <f>IF(ISNUMBER(AD263+AE263),AD263+AE263,"")</f>
        <v/>
      </c>
      <c r="AH263" s="1">
        <f>A263</f>
        <v/>
      </c>
      <c r="AI263">
        <f>IF(ISNUMBER((1+V263)*AI262),(1+V263)*AI262,AI262)</f>
        <v/>
      </c>
      <c r="AJ263">
        <f>IF(ISNUMBER((1+Z263)*AJ262),(1+Z263)*AJ262,AJ262)</f>
        <v/>
      </c>
    </row>
    <row r="264">
      <c r="A264" s="1" t="n">
        <v>42384</v>
      </c>
      <c r="B264" s="3">
        <f>IF(ORIG!B264=0,"",ORIG!B264)</f>
        <v/>
      </c>
      <c r="C264" s="3">
        <f>IF(ORIG!C264=0,"",ORIG!C264)</f>
        <v/>
      </c>
      <c r="D264" s="3">
        <f>IF(ORIG!D264=0,"",ORIG!D264)</f>
        <v/>
      </c>
      <c r="E264" s="3">
        <f>IF(ORIG!E264=0,"",ORIG!E264)</f>
        <v/>
      </c>
      <c r="F264" s="3">
        <f>IF(ORIG!F264=0,"",ORIG!F264)</f>
        <v/>
      </c>
      <c r="G264" s="3">
        <f>IF(ORIG!G264=0,"",ORIG!G264)</f>
        <v/>
      </c>
      <c r="H264" s="3">
        <f>IF(ORIG!H264=0,"",ORIG!H264)</f>
        <v/>
      </c>
      <c r="I264" s="3">
        <f>IF(ORIG!I264=0,"",ORIG!I264)</f>
        <v/>
      </c>
      <c r="J264" s="3">
        <f>IF(ORIG!J264=0,"",ORIG!J264)</f>
        <v/>
      </c>
      <c r="K264" s="3">
        <f>IF(ORIG!K264=0,"",ORIG!K264)</f>
        <v/>
      </c>
      <c r="L264" s="3">
        <f>IF(ORIG!L264=0,"",ORIG!L264)</f>
        <v/>
      </c>
      <c r="M264" s="3">
        <f>IF(ORIG!M264=0,"",ORIG!M264)</f>
        <v/>
      </c>
      <c r="N264" s="3">
        <f>IF(ORIG!N264=0,"",ORIG!N264)</f>
        <v/>
      </c>
      <c r="O264" s="3">
        <f>IF(ORIG!O264=0,"",ORIG!O264)</f>
        <v/>
      </c>
      <c r="P264" s="3">
        <f>IF(ORIG!P264=0,"",ORIG!P264)</f>
        <v/>
      </c>
      <c r="Q264" s="3">
        <f>IF(ORIG!Q264=0,"",ORIG!Q264)</f>
        <v/>
      </c>
      <c r="R264" s="3">
        <f>IF(ORIG!R264=0,"",ORIG!R264)</f>
        <v/>
      </c>
      <c r="S264" s="3">
        <f>IF(ORIG!S264=0,"",ORIG!S264)</f>
        <v/>
      </c>
      <c r="T264" s="3">
        <f>IF(ORIG!T264=0,"",ORIG!T264)</f>
        <v/>
      </c>
      <c r="U264" s="3">
        <f>IF(ORIG!U264=0,"",ORIG!U264)</f>
        <v/>
      </c>
      <c r="V264" s="9">
        <f>IF(ORIG!V264=0,"",ORIG!V264)</f>
        <v/>
      </c>
      <c r="W264" s="9">
        <f>IF(ORIG!W264=0,"",ORIG!W264)</f>
        <v/>
      </c>
      <c r="X264" s="9">
        <f>IF(ORIG!X264=0,"",ORIG!X264)</f>
        <v/>
      </c>
      <c r="Y264" s="9">
        <f>IF(ORIG!Y264=0,"",ORIG!Y264)</f>
        <v/>
      </c>
      <c r="Z264" s="3">
        <f>SUMPRODUCT($B264:$Y264,$B$2649:$Y$2649)</f>
        <v/>
      </c>
      <c r="AA264" s="3">
        <f>SUMPRODUCT($B264:$Y264,$B$2655:$Y$2655)</f>
        <v/>
      </c>
      <c r="AC264" s="1">
        <f>A264</f>
        <v/>
      </c>
      <c r="AD264">
        <f>IF(ISNUMBER(V264),V264*($AB$1/V$2635),"")</f>
        <v/>
      </c>
      <c r="AE264">
        <f>IF(ISNUMBER(Z264),Z264*($AB$1/Z$2635),"")</f>
        <v/>
      </c>
      <c r="AF264" s="25">
        <f>IF(ISNUMBER(AD264+AE264),AD264+AE264,"")</f>
        <v/>
      </c>
      <c r="AH264" s="1">
        <f>A264</f>
        <v/>
      </c>
      <c r="AI264">
        <f>IF(ISNUMBER((1+V264)*AI263),(1+V264)*AI263,AI263)</f>
        <v/>
      </c>
      <c r="AJ264">
        <f>IF(ISNUMBER((1+Z264)*AJ263),(1+Z264)*AJ263,AJ263)</f>
        <v/>
      </c>
    </row>
    <row r="265">
      <c r="A265" s="1" t="n">
        <v>42388</v>
      </c>
      <c r="B265" s="3">
        <f>IF(ORIG!B265=0,"",ORIG!B265)</f>
        <v/>
      </c>
      <c r="C265" s="3">
        <f>IF(ORIG!C265=0,"",ORIG!C265)</f>
        <v/>
      </c>
      <c r="D265" s="3">
        <f>IF(ORIG!D265=0,"",ORIG!D265)</f>
        <v/>
      </c>
      <c r="E265" s="3">
        <f>IF(ORIG!E265=0,"",ORIG!E265)</f>
        <v/>
      </c>
      <c r="F265" s="3">
        <f>IF(ORIG!F265=0,"",ORIG!F265)</f>
        <v/>
      </c>
      <c r="G265" s="3">
        <f>IF(ORIG!G265=0,"",ORIG!G265)</f>
        <v/>
      </c>
      <c r="H265" s="3">
        <f>IF(ORIG!H265=0,"",ORIG!H265)</f>
        <v/>
      </c>
      <c r="I265" s="3">
        <f>IF(ORIG!I265=0,"",ORIG!I265)</f>
        <v/>
      </c>
      <c r="J265" s="3">
        <f>IF(ORIG!J265=0,"",ORIG!J265)</f>
        <v/>
      </c>
      <c r="K265" s="3">
        <f>IF(ORIG!K265=0,"",ORIG!K265)</f>
        <v/>
      </c>
      <c r="L265" s="3">
        <f>IF(ORIG!L265=0,"",ORIG!L265)</f>
        <v/>
      </c>
      <c r="M265" s="3">
        <f>IF(ORIG!M265=0,"",ORIG!M265)</f>
        <v/>
      </c>
      <c r="N265" s="3">
        <f>IF(ORIG!N265=0,"",ORIG!N265)</f>
        <v/>
      </c>
      <c r="O265" s="3">
        <f>IF(ORIG!O265=0,"",ORIG!O265)</f>
        <v/>
      </c>
      <c r="P265" s="3">
        <f>IF(ORIG!P265=0,"",ORIG!P265)</f>
        <v/>
      </c>
      <c r="Q265" s="3">
        <f>IF(ORIG!Q265=0,"",ORIG!Q265)</f>
        <v/>
      </c>
      <c r="R265" s="3">
        <f>IF(ORIG!R265=0,"",ORIG!R265)</f>
        <v/>
      </c>
      <c r="S265" s="3">
        <f>IF(ORIG!S265=0,"",ORIG!S265)</f>
        <v/>
      </c>
      <c r="T265" s="3">
        <f>IF(ORIG!T265=0,"",ORIG!T265)</f>
        <v/>
      </c>
      <c r="U265" s="3">
        <f>IF(ORIG!U265=0,"",ORIG!U265)</f>
        <v/>
      </c>
      <c r="V265" s="9">
        <f>IF(ORIG!V265=0,"",ORIG!V265)</f>
        <v/>
      </c>
      <c r="W265" s="9">
        <f>IF(ORIG!W265=0,"",ORIG!W265)</f>
        <v/>
      </c>
      <c r="X265" s="9">
        <f>IF(ORIG!X265=0,"",ORIG!X265)</f>
        <v/>
      </c>
      <c r="Y265" s="9">
        <f>IF(ORIG!Y265=0,"",ORIG!Y265)</f>
        <v/>
      </c>
      <c r="Z265" s="3">
        <f>SUMPRODUCT($B265:$Y265,$B$2649:$Y$2649)</f>
        <v/>
      </c>
      <c r="AA265" s="3">
        <f>SUMPRODUCT($B265:$Y265,$B$2655:$Y$2655)</f>
        <v/>
      </c>
      <c r="AC265" s="1">
        <f>A265</f>
        <v/>
      </c>
      <c r="AD265">
        <f>IF(ISNUMBER(V265),V265*($AB$1/V$2635),"")</f>
        <v/>
      </c>
      <c r="AE265">
        <f>IF(ISNUMBER(Z265),Z265*($AB$1/Z$2635),"")</f>
        <v/>
      </c>
      <c r="AF265" s="25">
        <f>IF(ISNUMBER(AD265+AE265),AD265+AE265,"")</f>
        <v/>
      </c>
      <c r="AH265" s="1">
        <f>A265</f>
        <v/>
      </c>
      <c r="AI265">
        <f>IF(ISNUMBER((1+V265)*AI264),(1+V265)*AI264,AI264)</f>
        <v/>
      </c>
      <c r="AJ265">
        <f>IF(ISNUMBER((1+Z265)*AJ264),(1+Z265)*AJ264,AJ264)</f>
        <v/>
      </c>
    </row>
    <row r="266">
      <c r="A266" s="1" t="n">
        <v>42389</v>
      </c>
      <c r="B266" s="3">
        <f>IF(ORIG!B266=0,"",ORIG!B266)</f>
        <v/>
      </c>
      <c r="C266" s="3">
        <f>IF(ORIG!C266=0,"",ORIG!C266)</f>
        <v/>
      </c>
      <c r="D266" s="3">
        <f>IF(ORIG!D266=0,"",ORIG!D266)</f>
        <v/>
      </c>
      <c r="E266" s="3">
        <f>IF(ORIG!E266=0,"",ORIG!E266)</f>
        <v/>
      </c>
      <c r="F266" s="3">
        <f>IF(ORIG!F266=0,"",ORIG!F266)</f>
        <v/>
      </c>
      <c r="G266" s="3">
        <f>IF(ORIG!G266=0,"",ORIG!G266)</f>
        <v/>
      </c>
      <c r="H266" s="3">
        <f>IF(ORIG!H266=0,"",ORIG!H266)</f>
        <v/>
      </c>
      <c r="I266" s="3">
        <f>IF(ORIG!I266=0,"",ORIG!I266)</f>
        <v/>
      </c>
      <c r="J266" s="3">
        <f>IF(ORIG!J266=0,"",ORIG!J266)</f>
        <v/>
      </c>
      <c r="K266" s="3">
        <f>IF(ORIG!K266=0,"",ORIG!K266)</f>
        <v/>
      </c>
      <c r="L266" s="3">
        <f>IF(ORIG!L266=0,"",ORIG!L266)</f>
        <v/>
      </c>
      <c r="M266" s="3">
        <f>IF(ORIG!M266=0,"",ORIG!M266)</f>
        <v/>
      </c>
      <c r="N266" s="3">
        <f>IF(ORIG!N266=0,"",ORIG!N266)</f>
        <v/>
      </c>
      <c r="O266" s="3">
        <f>IF(ORIG!O266=0,"",ORIG!O266)</f>
        <v/>
      </c>
      <c r="P266" s="3">
        <f>IF(ORIG!P266=0,"",ORIG!P266)</f>
        <v/>
      </c>
      <c r="Q266" s="3">
        <f>IF(ORIG!Q266=0,"",ORIG!Q266)</f>
        <v/>
      </c>
      <c r="R266" s="3">
        <f>IF(ORIG!R266=0,"",ORIG!R266)</f>
        <v/>
      </c>
      <c r="S266" s="3">
        <f>IF(ORIG!S266=0,"",ORIG!S266)</f>
        <v/>
      </c>
      <c r="T266" s="3">
        <f>IF(ORIG!T266=0,"",ORIG!T266)</f>
        <v/>
      </c>
      <c r="U266" s="3">
        <f>IF(ORIG!U266=0,"",ORIG!U266)</f>
        <v/>
      </c>
      <c r="V266" s="9">
        <f>IF(ORIG!V266=0,"",ORIG!V266)</f>
        <v/>
      </c>
      <c r="W266" s="9">
        <f>IF(ORIG!W266=0,"",ORIG!W266)</f>
        <v/>
      </c>
      <c r="X266" s="9">
        <f>IF(ORIG!X266=0,"",ORIG!X266)</f>
        <v/>
      </c>
      <c r="Y266" s="9">
        <f>IF(ORIG!Y266=0,"",ORIG!Y266)</f>
        <v/>
      </c>
      <c r="Z266" s="3">
        <f>SUMPRODUCT($B266:$Y266,$B$2649:$Y$2649)</f>
        <v/>
      </c>
      <c r="AA266" s="3">
        <f>SUMPRODUCT($B266:$Y266,$B$2655:$Y$2655)</f>
        <v/>
      </c>
      <c r="AC266" s="1">
        <f>A266</f>
        <v/>
      </c>
      <c r="AD266">
        <f>IF(ISNUMBER(V266),V266*($AB$1/V$2635),"")</f>
        <v/>
      </c>
      <c r="AE266">
        <f>IF(ISNUMBER(Z266),Z266*($AB$1/Z$2635),"")</f>
        <v/>
      </c>
      <c r="AF266" s="25">
        <f>IF(ISNUMBER(AD266+AE266),AD266+AE266,"")</f>
        <v/>
      </c>
      <c r="AH266" s="1">
        <f>A266</f>
        <v/>
      </c>
      <c r="AI266">
        <f>IF(ISNUMBER((1+V266)*AI265),(1+V266)*AI265,AI265)</f>
        <v/>
      </c>
      <c r="AJ266">
        <f>IF(ISNUMBER((1+Z266)*AJ265),(1+Z266)*AJ265,AJ265)</f>
        <v/>
      </c>
    </row>
    <row r="267">
      <c r="A267" s="1" t="n">
        <v>42390</v>
      </c>
      <c r="B267" s="3">
        <f>IF(ORIG!B267=0,"",ORIG!B267)</f>
        <v/>
      </c>
      <c r="C267" s="3">
        <f>IF(ORIG!C267=0,"",ORIG!C267)</f>
        <v/>
      </c>
      <c r="D267" s="3">
        <f>IF(ORIG!D267=0,"",ORIG!D267)</f>
        <v/>
      </c>
      <c r="E267" s="3">
        <f>IF(ORIG!E267=0,"",ORIG!E267)</f>
        <v/>
      </c>
      <c r="F267" s="3">
        <f>IF(ORIG!F267=0,"",ORIG!F267)</f>
        <v/>
      </c>
      <c r="G267" s="3">
        <f>IF(ORIG!G267=0,"",ORIG!G267)</f>
        <v/>
      </c>
      <c r="H267" s="3">
        <f>IF(ORIG!H267=0,"",ORIG!H267)</f>
        <v/>
      </c>
      <c r="I267" s="3">
        <f>IF(ORIG!I267=0,"",ORIG!I267)</f>
        <v/>
      </c>
      <c r="J267" s="3">
        <f>IF(ORIG!J267=0,"",ORIG!J267)</f>
        <v/>
      </c>
      <c r="K267" s="3">
        <f>IF(ORIG!K267=0,"",ORIG!K267)</f>
        <v/>
      </c>
      <c r="L267" s="3">
        <f>IF(ORIG!L267=0,"",ORIG!L267)</f>
        <v/>
      </c>
      <c r="M267" s="3">
        <f>IF(ORIG!M267=0,"",ORIG!M267)</f>
        <v/>
      </c>
      <c r="N267" s="3">
        <f>IF(ORIG!N267=0,"",ORIG!N267)</f>
        <v/>
      </c>
      <c r="O267" s="3">
        <f>IF(ORIG!O267=0,"",ORIG!O267)</f>
        <v/>
      </c>
      <c r="P267" s="3">
        <f>IF(ORIG!P267=0,"",ORIG!P267)</f>
        <v/>
      </c>
      <c r="Q267" s="3">
        <f>IF(ORIG!Q267=0,"",ORIG!Q267)</f>
        <v/>
      </c>
      <c r="R267" s="3">
        <f>IF(ORIG!R267=0,"",ORIG!R267)</f>
        <v/>
      </c>
      <c r="S267" s="3">
        <f>IF(ORIG!S267=0,"",ORIG!S267)</f>
        <v/>
      </c>
      <c r="T267" s="3">
        <f>IF(ORIG!T267=0,"",ORIG!T267)</f>
        <v/>
      </c>
      <c r="U267" s="3">
        <f>IF(ORIG!U267=0,"",ORIG!U267)</f>
        <v/>
      </c>
      <c r="V267" s="9">
        <f>IF(ORIG!V267=0,"",ORIG!V267)</f>
        <v/>
      </c>
      <c r="W267" s="9">
        <f>IF(ORIG!W267=0,"",ORIG!W267)</f>
        <v/>
      </c>
      <c r="X267" s="9">
        <f>IF(ORIG!X267=0,"",ORIG!X267)</f>
        <v/>
      </c>
      <c r="Y267" s="9">
        <f>IF(ORIG!Y267=0,"",ORIG!Y267)</f>
        <v/>
      </c>
      <c r="Z267" s="3">
        <f>SUMPRODUCT($B267:$Y267,$B$2649:$Y$2649)</f>
        <v/>
      </c>
      <c r="AA267" s="3">
        <f>SUMPRODUCT($B267:$Y267,$B$2655:$Y$2655)</f>
        <v/>
      </c>
      <c r="AC267" s="1">
        <f>A267</f>
        <v/>
      </c>
      <c r="AD267">
        <f>IF(ISNUMBER(V267),V267*($AB$1/V$2635),"")</f>
        <v/>
      </c>
      <c r="AE267">
        <f>IF(ISNUMBER(Z267),Z267*($AB$1/Z$2635),"")</f>
        <v/>
      </c>
      <c r="AF267" s="25">
        <f>IF(ISNUMBER(AD267+AE267),AD267+AE267,"")</f>
        <v/>
      </c>
      <c r="AH267" s="1">
        <f>A267</f>
        <v/>
      </c>
      <c r="AI267">
        <f>IF(ISNUMBER((1+V267)*AI266),(1+V267)*AI266,AI266)</f>
        <v/>
      </c>
      <c r="AJ267">
        <f>IF(ISNUMBER((1+Z267)*AJ266),(1+Z267)*AJ266,AJ266)</f>
        <v/>
      </c>
    </row>
    <row r="268">
      <c r="A268" s="1" t="n">
        <v>42391</v>
      </c>
      <c r="B268" s="3">
        <f>IF(ORIG!B268=0,"",ORIG!B268)</f>
        <v/>
      </c>
      <c r="C268" s="3">
        <f>IF(ORIG!C268=0,"",ORIG!C268)</f>
        <v/>
      </c>
      <c r="D268" s="3">
        <f>IF(ORIG!D268=0,"",ORIG!D268)</f>
        <v/>
      </c>
      <c r="E268" s="3">
        <f>IF(ORIG!E268=0,"",ORIG!E268)</f>
        <v/>
      </c>
      <c r="F268" s="3">
        <f>IF(ORIG!F268=0,"",ORIG!F268)</f>
        <v/>
      </c>
      <c r="G268" s="3">
        <f>IF(ORIG!G268=0,"",ORIG!G268)</f>
        <v/>
      </c>
      <c r="H268" s="3">
        <f>IF(ORIG!H268=0,"",ORIG!H268)</f>
        <v/>
      </c>
      <c r="I268" s="3">
        <f>IF(ORIG!I268=0,"",ORIG!I268)</f>
        <v/>
      </c>
      <c r="J268" s="3">
        <f>IF(ORIG!J268=0,"",ORIG!J268)</f>
        <v/>
      </c>
      <c r="K268" s="3">
        <f>IF(ORIG!K268=0,"",ORIG!K268)</f>
        <v/>
      </c>
      <c r="L268" s="3">
        <f>IF(ORIG!L268=0,"",ORIG!L268)</f>
        <v/>
      </c>
      <c r="M268" s="3">
        <f>IF(ORIG!M268=0,"",ORIG!M268)</f>
        <v/>
      </c>
      <c r="N268" s="3">
        <f>IF(ORIG!N268=0,"",ORIG!N268)</f>
        <v/>
      </c>
      <c r="O268" s="3">
        <f>IF(ORIG!O268=0,"",ORIG!O268)</f>
        <v/>
      </c>
      <c r="P268" s="3">
        <f>IF(ORIG!P268=0,"",ORIG!P268)</f>
        <v/>
      </c>
      <c r="Q268" s="3">
        <f>IF(ORIG!Q268=0,"",ORIG!Q268)</f>
        <v/>
      </c>
      <c r="R268" s="3">
        <f>IF(ORIG!R268=0,"",ORIG!R268)</f>
        <v/>
      </c>
      <c r="S268" s="3">
        <f>IF(ORIG!S268=0,"",ORIG!S268)</f>
        <v/>
      </c>
      <c r="T268" s="3">
        <f>IF(ORIG!T268=0,"",ORIG!T268)</f>
        <v/>
      </c>
      <c r="U268" s="3">
        <f>IF(ORIG!U268=0,"",ORIG!U268)</f>
        <v/>
      </c>
      <c r="V268" s="9">
        <f>IF(ORIG!V268=0,"",ORIG!V268)</f>
        <v/>
      </c>
      <c r="W268" s="9">
        <f>IF(ORIG!W268=0,"",ORIG!W268)</f>
        <v/>
      </c>
      <c r="X268" s="9">
        <f>IF(ORIG!X268=0,"",ORIG!X268)</f>
        <v/>
      </c>
      <c r="Y268" s="9">
        <f>IF(ORIG!Y268=0,"",ORIG!Y268)</f>
        <v/>
      </c>
      <c r="Z268" s="3">
        <f>SUMPRODUCT($B268:$Y268,$B$2649:$Y$2649)</f>
        <v/>
      </c>
      <c r="AA268" s="3">
        <f>SUMPRODUCT($B268:$Y268,$B$2655:$Y$2655)</f>
        <v/>
      </c>
      <c r="AC268" s="1">
        <f>A268</f>
        <v/>
      </c>
      <c r="AD268">
        <f>IF(ISNUMBER(V268),V268*($AB$1/V$2635),"")</f>
        <v/>
      </c>
      <c r="AE268">
        <f>IF(ISNUMBER(Z268),Z268*($AB$1/Z$2635),"")</f>
        <v/>
      </c>
      <c r="AF268" s="25">
        <f>IF(ISNUMBER(AD268+AE268),AD268+AE268,"")</f>
        <v/>
      </c>
      <c r="AH268" s="1">
        <f>A268</f>
        <v/>
      </c>
      <c r="AI268">
        <f>IF(ISNUMBER((1+V268)*AI267),(1+V268)*AI267,AI267)</f>
        <v/>
      </c>
      <c r="AJ268">
        <f>IF(ISNUMBER((1+Z268)*AJ267),(1+Z268)*AJ267,AJ267)</f>
        <v/>
      </c>
    </row>
    <row r="269">
      <c r="A269" s="1" t="n">
        <v>42394</v>
      </c>
      <c r="B269" s="3">
        <f>IF(ORIG!B269=0,"",ORIG!B269)</f>
        <v/>
      </c>
      <c r="C269" s="3">
        <f>IF(ORIG!C269=0,"",ORIG!C269)</f>
        <v/>
      </c>
      <c r="D269" s="3">
        <f>IF(ORIG!D269=0,"",ORIG!D269)</f>
        <v/>
      </c>
      <c r="E269" s="3">
        <f>IF(ORIG!E269=0,"",ORIG!E269)</f>
        <v/>
      </c>
      <c r="F269" s="3">
        <f>IF(ORIG!F269=0,"",ORIG!F269)</f>
        <v/>
      </c>
      <c r="G269" s="3">
        <f>IF(ORIG!G269=0,"",ORIG!G269)</f>
        <v/>
      </c>
      <c r="H269" s="3">
        <f>IF(ORIG!H269=0,"",ORIG!H269)</f>
        <v/>
      </c>
      <c r="I269" s="3">
        <f>IF(ORIG!I269=0,"",ORIG!I269)</f>
        <v/>
      </c>
      <c r="J269" s="3">
        <f>IF(ORIG!J269=0,"",ORIG!J269)</f>
        <v/>
      </c>
      <c r="K269" s="3">
        <f>IF(ORIG!K269=0,"",ORIG!K269)</f>
        <v/>
      </c>
      <c r="L269" s="3">
        <f>IF(ORIG!L269=0,"",ORIG!L269)</f>
        <v/>
      </c>
      <c r="M269" s="3">
        <f>IF(ORIG!M269=0,"",ORIG!M269)</f>
        <v/>
      </c>
      <c r="N269" s="3">
        <f>IF(ORIG!N269=0,"",ORIG!N269)</f>
        <v/>
      </c>
      <c r="O269" s="3">
        <f>IF(ORIG!O269=0,"",ORIG!O269)</f>
        <v/>
      </c>
      <c r="P269" s="3">
        <f>IF(ORIG!P269=0,"",ORIG!P269)</f>
        <v/>
      </c>
      <c r="Q269" s="3">
        <f>IF(ORIG!Q269=0,"",ORIG!Q269)</f>
        <v/>
      </c>
      <c r="R269" s="3">
        <f>IF(ORIG!R269=0,"",ORIG!R269)</f>
        <v/>
      </c>
      <c r="S269" s="3">
        <f>IF(ORIG!S269=0,"",ORIG!S269)</f>
        <v/>
      </c>
      <c r="T269" s="3">
        <f>IF(ORIG!T269=0,"",ORIG!T269)</f>
        <v/>
      </c>
      <c r="U269" s="3">
        <f>IF(ORIG!U269=0,"",ORIG!U269)</f>
        <v/>
      </c>
      <c r="V269" s="9">
        <f>IF(ORIG!V269=0,"",ORIG!V269)</f>
        <v/>
      </c>
      <c r="W269" s="9">
        <f>IF(ORIG!W269=0,"",ORIG!W269)</f>
        <v/>
      </c>
      <c r="X269" s="9">
        <f>IF(ORIG!X269=0,"",ORIG!X269)</f>
        <v/>
      </c>
      <c r="Y269" s="9">
        <f>IF(ORIG!Y269=0,"",ORIG!Y269)</f>
        <v/>
      </c>
      <c r="Z269" s="3">
        <f>SUMPRODUCT($B269:$Y269,$B$2649:$Y$2649)</f>
        <v/>
      </c>
      <c r="AA269" s="3">
        <f>SUMPRODUCT($B269:$Y269,$B$2655:$Y$2655)</f>
        <v/>
      </c>
      <c r="AC269" s="1">
        <f>A269</f>
        <v/>
      </c>
      <c r="AD269">
        <f>IF(ISNUMBER(V269),V269*($AB$1/V$2635),"")</f>
        <v/>
      </c>
      <c r="AE269">
        <f>IF(ISNUMBER(Z269),Z269*($AB$1/Z$2635),"")</f>
        <v/>
      </c>
      <c r="AF269" s="25">
        <f>IF(ISNUMBER(AD269+AE269),AD269+AE269,"")</f>
        <v/>
      </c>
      <c r="AH269" s="1">
        <f>A269</f>
        <v/>
      </c>
      <c r="AI269">
        <f>IF(ISNUMBER((1+V269)*AI268),(1+V269)*AI268,AI268)</f>
        <v/>
      </c>
      <c r="AJ269">
        <f>IF(ISNUMBER((1+Z269)*AJ268),(1+Z269)*AJ268,AJ268)</f>
        <v/>
      </c>
    </row>
    <row r="270">
      <c r="A270" s="1" t="n">
        <v>42395</v>
      </c>
      <c r="B270" s="3">
        <f>IF(ORIG!B270=0,"",ORIG!B270)</f>
        <v/>
      </c>
      <c r="C270" s="3">
        <f>IF(ORIG!C270=0,"",ORIG!C270)</f>
        <v/>
      </c>
      <c r="D270" s="3">
        <f>IF(ORIG!D270=0,"",ORIG!D270)</f>
        <v/>
      </c>
      <c r="E270" s="3">
        <f>IF(ORIG!E270=0,"",ORIG!E270)</f>
        <v/>
      </c>
      <c r="F270" s="3">
        <f>IF(ORIG!F270=0,"",ORIG!F270)</f>
        <v/>
      </c>
      <c r="G270" s="3">
        <f>IF(ORIG!G270=0,"",ORIG!G270)</f>
        <v/>
      </c>
      <c r="H270" s="3">
        <f>IF(ORIG!H270=0,"",ORIG!H270)</f>
        <v/>
      </c>
      <c r="I270" s="3">
        <f>IF(ORIG!I270=0,"",ORIG!I270)</f>
        <v/>
      </c>
      <c r="J270" s="3">
        <f>IF(ORIG!J270=0,"",ORIG!J270)</f>
        <v/>
      </c>
      <c r="K270" s="3">
        <f>IF(ORIG!K270=0,"",ORIG!K270)</f>
        <v/>
      </c>
      <c r="L270" s="3">
        <f>IF(ORIG!L270=0,"",ORIG!L270)</f>
        <v/>
      </c>
      <c r="M270" s="3">
        <f>IF(ORIG!M270=0,"",ORIG!M270)</f>
        <v/>
      </c>
      <c r="N270" s="3">
        <f>IF(ORIG!N270=0,"",ORIG!N270)</f>
        <v/>
      </c>
      <c r="O270" s="3">
        <f>IF(ORIG!O270=0,"",ORIG!O270)</f>
        <v/>
      </c>
      <c r="P270" s="3">
        <f>IF(ORIG!P270=0,"",ORIG!P270)</f>
        <v/>
      </c>
      <c r="Q270" s="3">
        <f>IF(ORIG!Q270=0,"",ORIG!Q270)</f>
        <v/>
      </c>
      <c r="R270" s="3">
        <f>IF(ORIG!R270=0,"",ORIG!R270)</f>
        <v/>
      </c>
      <c r="S270" s="3">
        <f>IF(ORIG!S270=0,"",ORIG!S270)</f>
        <v/>
      </c>
      <c r="T270" s="3">
        <f>IF(ORIG!T270=0,"",ORIG!T270)</f>
        <v/>
      </c>
      <c r="U270" s="3">
        <f>IF(ORIG!U270=0,"",ORIG!U270)</f>
        <v/>
      </c>
      <c r="V270" s="9">
        <f>IF(ORIG!V270=0,"",ORIG!V270)</f>
        <v/>
      </c>
      <c r="W270" s="9">
        <f>IF(ORIG!W270=0,"",ORIG!W270)</f>
        <v/>
      </c>
      <c r="X270" s="9">
        <f>IF(ORIG!X270=0,"",ORIG!X270)</f>
        <v/>
      </c>
      <c r="Y270" s="9">
        <f>IF(ORIG!Y270=0,"",ORIG!Y270)</f>
        <v/>
      </c>
      <c r="Z270" s="3">
        <f>SUMPRODUCT($B270:$Y270,$B$2649:$Y$2649)</f>
        <v/>
      </c>
      <c r="AA270" s="3">
        <f>SUMPRODUCT($B270:$Y270,$B$2655:$Y$2655)</f>
        <v/>
      </c>
      <c r="AC270" s="1">
        <f>A270</f>
        <v/>
      </c>
      <c r="AD270">
        <f>IF(ISNUMBER(V270),V270*($AB$1/V$2635),"")</f>
        <v/>
      </c>
      <c r="AE270">
        <f>IF(ISNUMBER(Z270),Z270*($AB$1/Z$2635),"")</f>
        <v/>
      </c>
      <c r="AF270" s="25">
        <f>IF(ISNUMBER(AD270+AE270),AD270+AE270,"")</f>
        <v/>
      </c>
      <c r="AH270" s="1">
        <f>A270</f>
        <v/>
      </c>
      <c r="AI270">
        <f>IF(ISNUMBER((1+V270)*AI269),(1+V270)*AI269,AI269)</f>
        <v/>
      </c>
      <c r="AJ270">
        <f>IF(ISNUMBER((1+Z270)*AJ269),(1+Z270)*AJ269,AJ269)</f>
        <v/>
      </c>
    </row>
    <row r="271">
      <c r="A271" s="1" t="n">
        <v>42396</v>
      </c>
      <c r="B271" s="3">
        <f>IF(ORIG!B271=0,"",ORIG!B271)</f>
        <v/>
      </c>
      <c r="C271" s="3">
        <f>IF(ORIG!C271=0,"",ORIG!C271)</f>
        <v/>
      </c>
      <c r="D271" s="3">
        <f>IF(ORIG!D271=0,"",ORIG!D271)</f>
        <v/>
      </c>
      <c r="E271" s="3">
        <f>IF(ORIG!E271=0,"",ORIG!E271)</f>
        <v/>
      </c>
      <c r="F271" s="3">
        <f>IF(ORIG!F271=0,"",ORIG!F271)</f>
        <v/>
      </c>
      <c r="G271" s="3">
        <f>IF(ORIG!G271=0,"",ORIG!G271)</f>
        <v/>
      </c>
      <c r="H271" s="3">
        <f>IF(ORIG!H271=0,"",ORIG!H271)</f>
        <v/>
      </c>
      <c r="I271" s="3">
        <f>IF(ORIG!I271=0,"",ORIG!I271)</f>
        <v/>
      </c>
      <c r="J271" s="3">
        <f>IF(ORIG!J271=0,"",ORIG!J271)</f>
        <v/>
      </c>
      <c r="K271" s="3">
        <f>IF(ORIG!K271=0,"",ORIG!K271)</f>
        <v/>
      </c>
      <c r="L271" s="3">
        <f>IF(ORIG!L271=0,"",ORIG!L271)</f>
        <v/>
      </c>
      <c r="M271" s="3">
        <f>IF(ORIG!M271=0,"",ORIG!M271)</f>
        <v/>
      </c>
      <c r="N271" s="3">
        <f>IF(ORIG!N271=0,"",ORIG!N271)</f>
        <v/>
      </c>
      <c r="O271" s="3">
        <f>IF(ORIG!O271=0,"",ORIG!O271)</f>
        <v/>
      </c>
      <c r="P271" s="3">
        <f>IF(ORIG!P271=0,"",ORIG!P271)</f>
        <v/>
      </c>
      <c r="Q271" s="3">
        <f>IF(ORIG!Q271=0,"",ORIG!Q271)</f>
        <v/>
      </c>
      <c r="R271" s="3">
        <f>IF(ORIG!R271=0,"",ORIG!R271)</f>
        <v/>
      </c>
      <c r="S271" s="3">
        <f>IF(ORIG!S271=0,"",ORIG!S271)</f>
        <v/>
      </c>
      <c r="T271" s="3">
        <f>IF(ORIG!T271=0,"",ORIG!T271)</f>
        <v/>
      </c>
      <c r="U271" s="3">
        <f>IF(ORIG!U271=0,"",ORIG!U271)</f>
        <v/>
      </c>
      <c r="V271" s="9">
        <f>IF(ORIG!V271=0,"",ORIG!V271)</f>
        <v/>
      </c>
      <c r="W271" s="9">
        <f>IF(ORIG!W271=0,"",ORIG!W271)</f>
        <v/>
      </c>
      <c r="X271" s="9">
        <f>IF(ORIG!X271=0,"",ORIG!X271)</f>
        <v/>
      </c>
      <c r="Y271" s="9">
        <f>IF(ORIG!Y271=0,"",ORIG!Y271)</f>
        <v/>
      </c>
      <c r="Z271" s="3">
        <f>SUMPRODUCT($B271:$Y271,$B$2649:$Y$2649)</f>
        <v/>
      </c>
      <c r="AA271" s="3">
        <f>SUMPRODUCT($B271:$Y271,$B$2655:$Y$2655)</f>
        <v/>
      </c>
      <c r="AC271" s="1">
        <f>A271</f>
        <v/>
      </c>
      <c r="AD271">
        <f>IF(ISNUMBER(V271),V271*($AB$1/V$2635),"")</f>
        <v/>
      </c>
      <c r="AE271">
        <f>IF(ISNUMBER(Z271),Z271*($AB$1/Z$2635),"")</f>
        <v/>
      </c>
      <c r="AF271" s="25">
        <f>IF(ISNUMBER(AD271+AE271),AD271+AE271,"")</f>
        <v/>
      </c>
      <c r="AH271" s="1">
        <f>A271</f>
        <v/>
      </c>
      <c r="AI271">
        <f>IF(ISNUMBER((1+V271)*AI270),(1+V271)*AI270,AI270)</f>
        <v/>
      </c>
      <c r="AJ271">
        <f>IF(ISNUMBER((1+Z271)*AJ270),(1+Z271)*AJ270,AJ270)</f>
        <v/>
      </c>
    </row>
    <row r="272">
      <c r="A272" s="1" t="n">
        <v>42397</v>
      </c>
      <c r="B272" s="3">
        <f>IF(ORIG!B272=0,"",ORIG!B272)</f>
        <v/>
      </c>
      <c r="C272" s="3">
        <f>IF(ORIG!C272=0,"",ORIG!C272)</f>
        <v/>
      </c>
      <c r="D272" s="3">
        <f>IF(ORIG!D272=0,"",ORIG!D272)</f>
        <v/>
      </c>
      <c r="E272" s="3">
        <f>IF(ORIG!E272=0,"",ORIG!E272)</f>
        <v/>
      </c>
      <c r="F272" s="3">
        <f>IF(ORIG!F272=0,"",ORIG!F272)</f>
        <v/>
      </c>
      <c r="G272" s="3">
        <f>IF(ORIG!G272=0,"",ORIG!G272)</f>
        <v/>
      </c>
      <c r="H272" s="3">
        <f>IF(ORIG!H272=0,"",ORIG!H272)</f>
        <v/>
      </c>
      <c r="I272" s="3">
        <f>IF(ORIG!I272=0,"",ORIG!I272)</f>
        <v/>
      </c>
      <c r="J272" s="3">
        <f>IF(ORIG!J272=0,"",ORIG!J272)</f>
        <v/>
      </c>
      <c r="K272" s="3">
        <f>IF(ORIG!K272=0,"",ORIG!K272)</f>
        <v/>
      </c>
      <c r="L272" s="3">
        <f>IF(ORIG!L272=0,"",ORIG!L272)</f>
        <v/>
      </c>
      <c r="M272" s="3">
        <f>IF(ORIG!M272=0,"",ORIG!M272)</f>
        <v/>
      </c>
      <c r="N272" s="3">
        <f>IF(ORIG!N272=0,"",ORIG!N272)</f>
        <v/>
      </c>
      <c r="O272" s="3">
        <f>IF(ORIG!O272=0,"",ORIG!O272)</f>
        <v/>
      </c>
      <c r="P272" s="3">
        <f>IF(ORIG!P272=0,"",ORIG!P272)</f>
        <v/>
      </c>
      <c r="Q272" s="3">
        <f>IF(ORIG!Q272=0,"",ORIG!Q272)</f>
        <v/>
      </c>
      <c r="R272" s="3">
        <f>IF(ORIG!R272=0,"",ORIG!R272)</f>
        <v/>
      </c>
      <c r="S272" s="3">
        <f>IF(ORIG!S272=0,"",ORIG!S272)</f>
        <v/>
      </c>
      <c r="T272" s="3">
        <f>IF(ORIG!T272=0,"",ORIG!T272)</f>
        <v/>
      </c>
      <c r="U272" s="3">
        <f>IF(ORIG!U272=0,"",ORIG!U272)</f>
        <v/>
      </c>
      <c r="V272" s="9">
        <f>IF(ORIG!V272=0,"",ORIG!V272)</f>
        <v/>
      </c>
      <c r="W272" s="9">
        <f>IF(ORIG!W272=0,"",ORIG!W272)</f>
        <v/>
      </c>
      <c r="X272" s="9">
        <f>IF(ORIG!X272=0,"",ORIG!X272)</f>
        <v/>
      </c>
      <c r="Y272" s="9">
        <f>IF(ORIG!Y272=0,"",ORIG!Y272)</f>
        <v/>
      </c>
      <c r="Z272" s="3">
        <f>SUMPRODUCT($B272:$Y272,$B$2649:$Y$2649)</f>
        <v/>
      </c>
      <c r="AA272" s="3">
        <f>SUMPRODUCT($B272:$Y272,$B$2655:$Y$2655)</f>
        <v/>
      </c>
      <c r="AC272" s="1">
        <f>A272</f>
        <v/>
      </c>
      <c r="AD272">
        <f>IF(ISNUMBER(V272),V272*($AB$1/V$2635),"")</f>
        <v/>
      </c>
      <c r="AE272">
        <f>IF(ISNUMBER(Z272),Z272*($AB$1/Z$2635),"")</f>
        <v/>
      </c>
      <c r="AF272" s="25">
        <f>IF(ISNUMBER(AD272+AE272),AD272+AE272,"")</f>
        <v/>
      </c>
      <c r="AH272" s="1">
        <f>A272</f>
        <v/>
      </c>
      <c r="AI272">
        <f>IF(ISNUMBER((1+V272)*AI271),(1+V272)*AI271,AI271)</f>
        <v/>
      </c>
      <c r="AJ272">
        <f>IF(ISNUMBER((1+Z272)*AJ271),(1+Z272)*AJ271,AJ271)</f>
        <v/>
      </c>
    </row>
    <row r="273">
      <c r="A273" s="1" t="n">
        <v>42398</v>
      </c>
      <c r="B273" s="3">
        <f>IF(ORIG!B273=0,"",ORIG!B273)</f>
        <v/>
      </c>
      <c r="C273" s="3">
        <f>IF(ORIG!C273=0,"",ORIG!C273)</f>
        <v/>
      </c>
      <c r="D273" s="3">
        <f>IF(ORIG!D273=0,"",ORIG!D273)</f>
        <v/>
      </c>
      <c r="E273" s="3">
        <f>IF(ORIG!E273=0,"",ORIG!E273)</f>
        <v/>
      </c>
      <c r="F273" s="3">
        <f>IF(ORIG!F273=0,"",ORIG!F273)</f>
        <v/>
      </c>
      <c r="G273" s="3">
        <f>IF(ORIG!G273=0,"",ORIG!G273)</f>
        <v/>
      </c>
      <c r="H273" s="3">
        <f>IF(ORIG!H273=0,"",ORIG!H273)</f>
        <v/>
      </c>
      <c r="I273" s="3">
        <f>IF(ORIG!I273=0,"",ORIG!I273)</f>
        <v/>
      </c>
      <c r="J273" s="3">
        <f>IF(ORIG!J273=0,"",ORIG!J273)</f>
        <v/>
      </c>
      <c r="K273" s="3">
        <f>IF(ORIG!K273=0,"",ORIG!K273)</f>
        <v/>
      </c>
      <c r="L273" s="3">
        <f>IF(ORIG!L273=0,"",ORIG!L273)</f>
        <v/>
      </c>
      <c r="M273" s="3">
        <f>IF(ORIG!M273=0,"",ORIG!M273)</f>
        <v/>
      </c>
      <c r="N273" s="3">
        <f>IF(ORIG!N273=0,"",ORIG!N273)</f>
        <v/>
      </c>
      <c r="O273" s="3">
        <f>IF(ORIG!O273=0,"",ORIG!O273)</f>
        <v/>
      </c>
      <c r="P273" s="3">
        <f>IF(ORIG!P273=0,"",ORIG!P273)</f>
        <v/>
      </c>
      <c r="Q273" s="3">
        <f>IF(ORIG!Q273=0,"",ORIG!Q273)</f>
        <v/>
      </c>
      <c r="R273" s="3">
        <f>IF(ORIG!R273=0,"",ORIG!R273)</f>
        <v/>
      </c>
      <c r="S273" s="3">
        <f>IF(ORIG!S273=0,"",ORIG!S273)</f>
        <v/>
      </c>
      <c r="T273" s="3">
        <f>IF(ORIG!T273=0,"",ORIG!T273)</f>
        <v/>
      </c>
      <c r="U273" s="3">
        <f>IF(ORIG!U273=0,"",ORIG!U273)</f>
        <v/>
      </c>
      <c r="V273" s="9">
        <f>IF(ORIG!V273=0,"",ORIG!V273)</f>
        <v/>
      </c>
      <c r="W273" s="9">
        <f>IF(ORIG!W273=0,"",ORIG!W273)</f>
        <v/>
      </c>
      <c r="X273" s="9">
        <f>IF(ORIG!X273=0,"",ORIG!X273)</f>
        <v/>
      </c>
      <c r="Y273" s="9">
        <f>IF(ORIG!Y273=0,"",ORIG!Y273)</f>
        <v/>
      </c>
      <c r="Z273" s="3">
        <f>SUMPRODUCT($B273:$Y273,$B$2649:$Y$2649)</f>
        <v/>
      </c>
      <c r="AA273" s="3">
        <f>SUMPRODUCT($B273:$Y273,$B$2655:$Y$2655)</f>
        <v/>
      </c>
      <c r="AC273" s="1">
        <f>A273</f>
        <v/>
      </c>
      <c r="AD273">
        <f>IF(ISNUMBER(V273),V273*($AB$1/V$2635),"")</f>
        <v/>
      </c>
      <c r="AE273">
        <f>IF(ISNUMBER(Z273),Z273*($AB$1/Z$2635),"")</f>
        <v/>
      </c>
      <c r="AF273" s="25">
        <f>IF(ISNUMBER(AD273+AE273),AD273+AE273,"")</f>
        <v/>
      </c>
      <c r="AH273" s="1">
        <f>A273</f>
        <v/>
      </c>
      <c r="AI273">
        <f>IF(ISNUMBER((1+V273)*AI272),(1+V273)*AI272,AI272)</f>
        <v/>
      </c>
      <c r="AJ273">
        <f>IF(ISNUMBER((1+Z273)*AJ272),(1+Z273)*AJ272,AJ272)</f>
        <v/>
      </c>
    </row>
    <row r="274">
      <c r="A274" s="1" t="n">
        <v>42401</v>
      </c>
      <c r="B274" s="3">
        <f>IF(ORIG!B274=0,"",ORIG!B274)</f>
        <v/>
      </c>
      <c r="C274" s="3">
        <f>IF(ORIG!C274=0,"",ORIG!C274)</f>
        <v/>
      </c>
      <c r="D274" s="3">
        <f>IF(ORIG!D274=0,"",ORIG!D274)</f>
        <v/>
      </c>
      <c r="E274" s="3">
        <f>IF(ORIG!E274=0,"",ORIG!E274)</f>
        <v/>
      </c>
      <c r="F274" s="3">
        <f>IF(ORIG!F274=0,"",ORIG!F274)</f>
        <v/>
      </c>
      <c r="G274" s="3">
        <f>IF(ORIG!G274=0,"",ORIG!G274)</f>
        <v/>
      </c>
      <c r="H274" s="3">
        <f>IF(ORIG!H274=0,"",ORIG!H274)</f>
        <v/>
      </c>
      <c r="I274" s="3">
        <f>IF(ORIG!I274=0,"",ORIG!I274)</f>
        <v/>
      </c>
      <c r="J274" s="3">
        <f>IF(ORIG!J274=0,"",ORIG!J274)</f>
        <v/>
      </c>
      <c r="K274" s="3">
        <f>IF(ORIG!K274=0,"",ORIG!K274)</f>
        <v/>
      </c>
      <c r="L274" s="3">
        <f>IF(ORIG!L274=0,"",ORIG!L274)</f>
        <v/>
      </c>
      <c r="M274" s="3">
        <f>IF(ORIG!M274=0,"",ORIG!M274)</f>
        <v/>
      </c>
      <c r="N274" s="3">
        <f>IF(ORIG!N274=0,"",ORIG!N274)</f>
        <v/>
      </c>
      <c r="O274" s="3">
        <f>IF(ORIG!O274=0,"",ORIG!O274)</f>
        <v/>
      </c>
      <c r="P274" s="3">
        <f>IF(ORIG!P274=0,"",ORIG!P274)</f>
        <v/>
      </c>
      <c r="Q274" s="3">
        <f>IF(ORIG!Q274=0,"",ORIG!Q274)</f>
        <v/>
      </c>
      <c r="R274" s="3">
        <f>IF(ORIG!R274=0,"",ORIG!R274)</f>
        <v/>
      </c>
      <c r="S274" s="3">
        <f>IF(ORIG!S274=0,"",ORIG!S274)</f>
        <v/>
      </c>
      <c r="T274" s="3">
        <f>IF(ORIG!T274=0,"",ORIG!T274)</f>
        <v/>
      </c>
      <c r="U274" s="3">
        <f>IF(ORIG!U274=0,"",ORIG!U274)</f>
        <v/>
      </c>
      <c r="V274" s="9">
        <f>IF(ORIG!V274=0,"",ORIG!V274)</f>
        <v/>
      </c>
      <c r="W274" s="9">
        <f>IF(ORIG!W274=0,"",ORIG!W274)</f>
        <v/>
      </c>
      <c r="X274" s="9">
        <f>IF(ORIG!X274=0,"",ORIG!X274)</f>
        <v/>
      </c>
      <c r="Y274" s="9">
        <f>IF(ORIG!Y274=0,"",ORIG!Y274)</f>
        <v/>
      </c>
      <c r="Z274" s="3">
        <f>SUMPRODUCT($B274:$Y274,$B$2649:$Y$2649)</f>
        <v/>
      </c>
      <c r="AA274" s="3">
        <f>SUMPRODUCT($B274:$Y274,$B$2655:$Y$2655)</f>
        <v/>
      </c>
      <c r="AC274" s="1">
        <f>A274</f>
        <v/>
      </c>
      <c r="AD274">
        <f>IF(ISNUMBER(V274),V274*($AB$1/V$2635),"")</f>
        <v/>
      </c>
      <c r="AE274">
        <f>IF(ISNUMBER(Z274),Z274*($AB$1/Z$2635),"")</f>
        <v/>
      </c>
      <c r="AF274" s="25">
        <f>IF(ISNUMBER(AD274+AE274),AD274+AE274,"")</f>
        <v/>
      </c>
      <c r="AH274" s="1">
        <f>A274</f>
        <v/>
      </c>
      <c r="AI274">
        <f>IF(ISNUMBER((1+V274)*AI273),(1+V274)*AI273,AI273)</f>
        <v/>
      </c>
      <c r="AJ274">
        <f>IF(ISNUMBER((1+Z274)*AJ273),(1+Z274)*AJ273,AJ273)</f>
        <v/>
      </c>
    </row>
    <row r="275">
      <c r="A275" s="1" t="n">
        <v>42402</v>
      </c>
      <c r="B275" s="3">
        <f>IF(ORIG!B275=0,"",ORIG!B275)</f>
        <v/>
      </c>
      <c r="C275" s="3">
        <f>IF(ORIG!C275=0,"",ORIG!C275)</f>
        <v/>
      </c>
      <c r="D275" s="3">
        <f>IF(ORIG!D275=0,"",ORIG!D275)</f>
        <v/>
      </c>
      <c r="E275" s="3">
        <f>IF(ORIG!E275=0,"",ORIG!E275)</f>
        <v/>
      </c>
      <c r="F275" s="3">
        <f>IF(ORIG!F275=0,"",ORIG!F275)</f>
        <v/>
      </c>
      <c r="G275" s="3">
        <f>IF(ORIG!G275=0,"",ORIG!G275)</f>
        <v/>
      </c>
      <c r="H275" s="3">
        <f>IF(ORIG!H275=0,"",ORIG!H275)</f>
        <v/>
      </c>
      <c r="I275" s="3">
        <f>IF(ORIG!I275=0,"",ORIG!I275)</f>
        <v/>
      </c>
      <c r="J275" s="3">
        <f>IF(ORIG!J275=0,"",ORIG!J275)</f>
        <v/>
      </c>
      <c r="K275" s="3">
        <f>IF(ORIG!K275=0,"",ORIG!K275)</f>
        <v/>
      </c>
      <c r="L275" s="3">
        <f>IF(ORIG!L275=0,"",ORIG!L275)</f>
        <v/>
      </c>
      <c r="M275" s="3">
        <f>IF(ORIG!M275=0,"",ORIG!M275)</f>
        <v/>
      </c>
      <c r="N275" s="3">
        <f>IF(ORIG!N275=0,"",ORIG!N275)</f>
        <v/>
      </c>
      <c r="O275" s="3">
        <f>IF(ORIG!O275=0,"",ORIG!O275)</f>
        <v/>
      </c>
      <c r="P275" s="3">
        <f>IF(ORIG!P275=0,"",ORIG!P275)</f>
        <v/>
      </c>
      <c r="Q275" s="3">
        <f>IF(ORIG!Q275=0,"",ORIG!Q275)</f>
        <v/>
      </c>
      <c r="R275" s="3">
        <f>IF(ORIG!R275=0,"",ORIG!R275)</f>
        <v/>
      </c>
      <c r="S275" s="3">
        <f>IF(ORIG!S275=0,"",ORIG!S275)</f>
        <v/>
      </c>
      <c r="T275" s="3">
        <f>IF(ORIG!T275=0,"",ORIG!T275)</f>
        <v/>
      </c>
      <c r="U275" s="3">
        <f>IF(ORIG!U275=0,"",ORIG!U275)</f>
        <v/>
      </c>
      <c r="V275" s="9">
        <f>IF(ORIG!V275=0,"",ORIG!V275)</f>
        <v/>
      </c>
      <c r="W275" s="9">
        <f>IF(ORIG!W275=0,"",ORIG!W275)</f>
        <v/>
      </c>
      <c r="X275" s="9">
        <f>IF(ORIG!X275=0,"",ORIG!X275)</f>
        <v/>
      </c>
      <c r="Y275" s="9">
        <f>IF(ORIG!Y275=0,"",ORIG!Y275)</f>
        <v/>
      </c>
      <c r="Z275" s="3">
        <f>SUMPRODUCT($B275:$Y275,$B$2649:$Y$2649)</f>
        <v/>
      </c>
      <c r="AA275" s="3">
        <f>SUMPRODUCT($B275:$Y275,$B$2655:$Y$2655)</f>
        <v/>
      </c>
      <c r="AC275" s="1">
        <f>A275</f>
        <v/>
      </c>
      <c r="AD275">
        <f>IF(ISNUMBER(V275),V275*($AB$1/V$2635),"")</f>
        <v/>
      </c>
      <c r="AE275">
        <f>IF(ISNUMBER(Z275),Z275*($AB$1/Z$2635),"")</f>
        <v/>
      </c>
      <c r="AF275" s="25">
        <f>IF(ISNUMBER(AD275+AE275),AD275+AE275,"")</f>
        <v/>
      </c>
      <c r="AH275" s="1">
        <f>A275</f>
        <v/>
      </c>
      <c r="AI275">
        <f>IF(ISNUMBER((1+V275)*AI274),(1+V275)*AI274,AI274)</f>
        <v/>
      </c>
      <c r="AJ275">
        <f>IF(ISNUMBER((1+Z275)*AJ274),(1+Z275)*AJ274,AJ274)</f>
        <v/>
      </c>
    </row>
    <row r="276">
      <c r="A276" s="1" t="n">
        <v>42403</v>
      </c>
      <c r="B276" s="3">
        <f>IF(ORIG!B276=0,"",ORIG!B276)</f>
        <v/>
      </c>
      <c r="C276" s="3">
        <f>IF(ORIG!C276=0,"",ORIG!C276)</f>
        <v/>
      </c>
      <c r="D276" s="3">
        <f>IF(ORIG!D276=0,"",ORIG!D276)</f>
        <v/>
      </c>
      <c r="E276" s="3">
        <f>IF(ORIG!E276=0,"",ORIG!E276)</f>
        <v/>
      </c>
      <c r="F276" s="3">
        <f>IF(ORIG!F276=0,"",ORIG!F276)</f>
        <v/>
      </c>
      <c r="G276" s="3">
        <f>IF(ORIG!G276=0,"",ORIG!G276)</f>
        <v/>
      </c>
      <c r="H276" s="3">
        <f>IF(ORIG!H276=0,"",ORIG!H276)</f>
        <v/>
      </c>
      <c r="I276" s="3">
        <f>IF(ORIG!I276=0,"",ORIG!I276)</f>
        <v/>
      </c>
      <c r="J276" s="3">
        <f>IF(ORIG!J276=0,"",ORIG!J276)</f>
        <v/>
      </c>
      <c r="K276" s="3">
        <f>IF(ORIG!K276=0,"",ORIG!K276)</f>
        <v/>
      </c>
      <c r="L276" s="3">
        <f>IF(ORIG!L276=0,"",ORIG!L276)</f>
        <v/>
      </c>
      <c r="M276" s="3">
        <f>IF(ORIG!M276=0,"",ORIG!M276)</f>
        <v/>
      </c>
      <c r="N276" s="3">
        <f>IF(ORIG!N276=0,"",ORIG!N276)</f>
        <v/>
      </c>
      <c r="O276" s="3">
        <f>IF(ORIG!O276=0,"",ORIG!O276)</f>
        <v/>
      </c>
      <c r="P276" s="3">
        <f>IF(ORIG!P276=0,"",ORIG!P276)</f>
        <v/>
      </c>
      <c r="Q276" s="3">
        <f>IF(ORIG!Q276=0,"",ORIG!Q276)</f>
        <v/>
      </c>
      <c r="R276" s="3">
        <f>IF(ORIG!R276=0,"",ORIG!R276)</f>
        <v/>
      </c>
      <c r="S276" s="3">
        <f>IF(ORIG!S276=0,"",ORIG!S276)</f>
        <v/>
      </c>
      <c r="T276" s="3">
        <f>IF(ORIG!T276=0,"",ORIG!T276)</f>
        <v/>
      </c>
      <c r="U276" s="3">
        <f>IF(ORIG!U276=0,"",ORIG!U276)</f>
        <v/>
      </c>
      <c r="V276" s="9">
        <f>IF(ORIG!V276=0,"",ORIG!V276)</f>
        <v/>
      </c>
      <c r="W276" s="9">
        <f>IF(ORIG!W276=0,"",ORIG!W276)</f>
        <v/>
      </c>
      <c r="X276" s="9">
        <f>IF(ORIG!X276=0,"",ORIG!X276)</f>
        <v/>
      </c>
      <c r="Y276" s="9">
        <f>IF(ORIG!Y276=0,"",ORIG!Y276)</f>
        <v/>
      </c>
      <c r="Z276" s="3">
        <f>SUMPRODUCT($B276:$Y276,$B$2649:$Y$2649)</f>
        <v/>
      </c>
      <c r="AA276" s="3">
        <f>SUMPRODUCT($B276:$Y276,$B$2655:$Y$2655)</f>
        <v/>
      </c>
      <c r="AC276" s="1">
        <f>A276</f>
        <v/>
      </c>
      <c r="AD276">
        <f>IF(ISNUMBER(V276),V276*($AB$1/V$2635),"")</f>
        <v/>
      </c>
      <c r="AE276">
        <f>IF(ISNUMBER(Z276),Z276*($AB$1/Z$2635),"")</f>
        <v/>
      </c>
      <c r="AF276" s="25">
        <f>IF(ISNUMBER(AD276+AE276),AD276+AE276,"")</f>
        <v/>
      </c>
      <c r="AH276" s="1">
        <f>A276</f>
        <v/>
      </c>
      <c r="AI276">
        <f>IF(ISNUMBER((1+V276)*AI275),(1+V276)*AI275,AI275)</f>
        <v/>
      </c>
      <c r="AJ276">
        <f>IF(ISNUMBER((1+Z276)*AJ275),(1+Z276)*AJ275,AJ275)</f>
        <v/>
      </c>
    </row>
    <row r="277">
      <c r="A277" s="1" t="n">
        <v>42404</v>
      </c>
      <c r="B277" s="3">
        <f>IF(ORIG!B277=0,"",ORIG!B277)</f>
        <v/>
      </c>
      <c r="C277" s="3">
        <f>IF(ORIG!C277=0,"",ORIG!C277)</f>
        <v/>
      </c>
      <c r="D277" s="3">
        <f>IF(ORIG!D277=0,"",ORIG!D277)</f>
        <v/>
      </c>
      <c r="E277" s="3">
        <f>IF(ORIG!E277=0,"",ORIG!E277)</f>
        <v/>
      </c>
      <c r="F277" s="3">
        <f>IF(ORIG!F277=0,"",ORIG!F277)</f>
        <v/>
      </c>
      <c r="G277" s="3">
        <f>IF(ORIG!G277=0,"",ORIG!G277)</f>
        <v/>
      </c>
      <c r="H277" s="3">
        <f>IF(ORIG!H277=0,"",ORIG!H277)</f>
        <v/>
      </c>
      <c r="I277" s="3">
        <f>IF(ORIG!I277=0,"",ORIG!I277)</f>
        <v/>
      </c>
      <c r="J277" s="3">
        <f>IF(ORIG!J277=0,"",ORIG!J277)</f>
        <v/>
      </c>
      <c r="K277" s="3">
        <f>IF(ORIG!K277=0,"",ORIG!K277)</f>
        <v/>
      </c>
      <c r="L277" s="3">
        <f>IF(ORIG!L277=0,"",ORIG!L277)</f>
        <v/>
      </c>
      <c r="M277" s="3">
        <f>IF(ORIG!M277=0,"",ORIG!M277)</f>
        <v/>
      </c>
      <c r="N277" s="3">
        <f>IF(ORIG!N277=0,"",ORIG!N277)</f>
        <v/>
      </c>
      <c r="O277" s="3">
        <f>IF(ORIG!O277=0,"",ORIG!O277)</f>
        <v/>
      </c>
      <c r="P277" s="3">
        <f>IF(ORIG!P277=0,"",ORIG!P277)</f>
        <v/>
      </c>
      <c r="Q277" s="3">
        <f>IF(ORIG!Q277=0,"",ORIG!Q277)</f>
        <v/>
      </c>
      <c r="R277" s="3">
        <f>IF(ORIG!R277=0,"",ORIG!R277)</f>
        <v/>
      </c>
      <c r="S277" s="3">
        <f>IF(ORIG!S277=0,"",ORIG!S277)</f>
        <v/>
      </c>
      <c r="T277" s="3">
        <f>IF(ORIG!T277=0,"",ORIG!T277)</f>
        <v/>
      </c>
      <c r="U277" s="3">
        <f>IF(ORIG!U277=0,"",ORIG!U277)</f>
        <v/>
      </c>
      <c r="V277" s="9">
        <f>IF(ORIG!V277=0,"",ORIG!V277)</f>
        <v/>
      </c>
      <c r="W277" s="9">
        <f>IF(ORIG!W277=0,"",ORIG!W277)</f>
        <v/>
      </c>
      <c r="X277" s="9">
        <f>IF(ORIG!X277=0,"",ORIG!X277)</f>
        <v/>
      </c>
      <c r="Y277" s="9">
        <f>IF(ORIG!Y277=0,"",ORIG!Y277)</f>
        <v/>
      </c>
      <c r="Z277" s="3">
        <f>SUMPRODUCT($B277:$Y277,$B$2649:$Y$2649)</f>
        <v/>
      </c>
      <c r="AA277" s="3">
        <f>SUMPRODUCT($B277:$Y277,$B$2655:$Y$2655)</f>
        <v/>
      </c>
      <c r="AC277" s="1">
        <f>A277</f>
        <v/>
      </c>
      <c r="AD277">
        <f>IF(ISNUMBER(V277),V277*($AB$1/V$2635),"")</f>
        <v/>
      </c>
      <c r="AE277">
        <f>IF(ISNUMBER(Z277),Z277*($AB$1/Z$2635),"")</f>
        <v/>
      </c>
      <c r="AF277" s="25">
        <f>IF(ISNUMBER(AD277+AE277),AD277+AE277,"")</f>
        <v/>
      </c>
      <c r="AH277" s="1">
        <f>A277</f>
        <v/>
      </c>
      <c r="AI277">
        <f>IF(ISNUMBER((1+V277)*AI276),(1+V277)*AI276,AI276)</f>
        <v/>
      </c>
      <c r="AJ277">
        <f>IF(ISNUMBER((1+Z277)*AJ276),(1+Z277)*AJ276,AJ276)</f>
        <v/>
      </c>
    </row>
    <row r="278">
      <c r="A278" s="1" t="n">
        <v>42405</v>
      </c>
      <c r="B278" s="3">
        <f>IF(ORIG!B278=0,"",ORIG!B278)</f>
        <v/>
      </c>
      <c r="C278" s="3">
        <f>IF(ORIG!C278=0,"",ORIG!C278)</f>
        <v/>
      </c>
      <c r="D278" s="3">
        <f>IF(ORIG!D278=0,"",ORIG!D278)</f>
        <v/>
      </c>
      <c r="E278" s="3">
        <f>IF(ORIG!E278=0,"",ORIG!E278)</f>
        <v/>
      </c>
      <c r="F278" s="3">
        <f>IF(ORIG!F278=0,"",ORIG!F278)</f>
        <v/>
      </c>
      <c r="G278" s="3">
        <f>IF(ORIG!G278=0,"",ORIG!G278)</f>
        <v/>
      </c>
      <c r="H278" s="3">
        <f>IF(ORIG!H278=0,"",ORIG!H278)</f>
        <v/>
      </c>
      <c r="I278" s="3">
        <f>IF(ORIG!I278=0,"",ORIG!I278)</f>
        <v/>
      </c>
      <c r="J278" s="3">
        <f>IF(ORIG!J278=0,"",ORIG!J278)</f>
        <v/>
      </c>
      <c r="K278" s="3">
        <f>IF(ORIG!K278=0,"",ORIG!K278)</f>
        <v/>
      </c>
      <c r="L278" s="3">
        <f>IF(ORIG!L278=0,"",ORIG!L278)</f>
        <v/>
      </c>
      <c r="M278" s="3">
        <f>IF(ORIG!M278=0,"",ORIG!M278)</f>
        <v/>
      </c>
      <c r="N278" s="3">
        <f>IF(ORIG!N278=0,"",ORIG!N278)</f>
        <v/>
      </c>
      <c r="O278" s="3">
        <f>IF(ORIG!O278=0,"",ORIG!O278)</f>
        <v/>
      </c>
      <c r="P278" s="3">
        <f>IF(ORIG!P278=0,"",ORIG!P278)</f>
        <v/>
      </c>
      <c r="Q278" s="3">
        <f>IF(ORIG!Q278=0,"",ORIG!Q278)</f>
        <v/>
      </c>
      <c r="R278" s="3">
        <f>IF(ORIG!R278=0,"",ORIG!R278)</f>
        <v/>
      </c>
      <c r="S278" s="3">
        <f>IF(ORIG!S278=0,"",ORIG!S278)</f>
        <v/>
      </c>
      <c r="T278" s="3">
        <f>IF(ORIG!T278=0,"",ORIG!T278)</f>
        <v/>
      </c>
      <c r="U278" s="3">
        <f>IF(ORIG!U278=0,"",ORIG!U278)</f>
        <v/>
      </c>
      <c r="V278" s="9">
        <f>IF(ORIG!V278=0,"",ORIG!V278)</f>
        <v/>
      </c>
      <c r="W278" s="9">
        <f>IF(ORIG!W278=0,"",ORIG!W278)</f>
        <v/>
      </c>
      <c r="X278" s="9">
        <f>IF(ORIG!X278=0,"",ORIG!X278)</f>
        <v/>
      </c>
      <c r="Y278" s="9">
        <f>IF(ORIG!Y278=0,"",ORIG!Y278)</f>
        <v/>
      </c>
      <c r="Z278" s="3">
        <f>SUMPRODUCT($B278:$Y278,$B$2649:$Y$2649)</f>
        <v/>
      </c>
      <c r="AA278" s="3">
        <f>SUMPRODUCT($B278:$Y278,$B$2655:$Y$2655)</f>
        <v/>
      </c>
      <c r="AC278" s="1">
        <f>A278</f>
        <v/>
      </c>
      <c r="AD278">
        <f>IF(ISNUMBER(V278),V278*($AB$1/V$2635),"")</f>
        <v/>
      </c>
      <c r="AE278">
        <f>IF(ISNUMBER(Z278),Z278*($AB$1/Z$2635),"")</f>
        <v/>
      </c>
      <c r="AF278" s="25">
        <f>IF(ISNUMBER(AD278+AE278),AD278+AE278,"")</f>
        <v/>
      </c>
      <c r="AH278" s="1">
        <f>A278</f>
        <v/>
      </c>
      <c r="AI278">
        <f>IF(ISNUMBER((1+V278)*AI277),(1+V278)*AI277,AI277)</f>
        <v/>
      </c>
      <c r="AJ278">
        <f>IF(ISNUMBER((1+Z278)*AJ277),(1+Z278)*AJ277,AJ277)</f>
        <v/>
      </c>
    </row>
    <row r="279">
      <c r="A279" s="1" t="n">
        <v>42408</v>
      </c>
      <c r="B279" s="3">
        <f>IF(ORIG!B279=0,"",ORIG!B279)</f>
        <v/>
      </c>
      <c r="C279" s="3">
        <f>IF(ORIG!C279=0,"",ORIG!C279)</f>
        <v/>
      </c>
      <c r="D279" s="3">
        <f>IF(ORIG!D279=0,"",ORIG!D279)</f>
        <v/>
      </c>
      <c r="E279" s="3">
        <f>IF(ORIG!E279=0,"",ORIG!E279)</f>
        <v/>
      </c>
      <c r="F279" s="3">
        <f>IF(ORIG!F279=0,"",ORIG!F279)</f>
        <v/>
      </c>
      <c r="G279" s="3">
        <f>IF(ORIG!G279=0,"",ORIG!G279)</f>
        <v/>
      </c>
      <c r="H279" s="3">
        <f>IF(ORIG!H279=0,"",ORIG!H279)</f>
        <v/>
      </c>
      <c r="I279" s="3">
        <f>IF(ORIG!I279=0,"",ORIG!I279)</f>
        <v/>
      </c>
      <c r="J279" s="3">
        <f>IF(ORIG!J279=0,"",ORIG!J279)</f>
        <v/>
      </c>
      <c r="K279" s="3">
        <f>IF(ORIG!K279=0,"",ORIG!K279)</f>
        <v/>
      </c>
      <c r="L279" s="3">
        <f>IF(ORIG!L279=0,"",ORIG!L279)</f>
        <v/>
      </c>
      <c r="M279" s="3">
        <f>IF(ORIG!M279=0,"",ORIG!M279)</f>
        <v/>
      </c>
      <c r="N279" s="3">
        <f>IF(ORIG!N279=0,"",ORIG!N279)</f>
        <v/>
      </c>
      <c r="O279" s="3">
        <f>IF(ORIG!O279=0,"",ORIG!O279)</f>
        <v/>
      </c>
      <c r="P279" s="3">
        <f>IF(ORIG!P279=0,"",ORIG!P279)</f>
        <v/>
      </c>
      <c r="Q279" s="3">
        <f>IF(ORIG!Q279=0,"",ORIG!Q279)</f>
        <v/>
      </c>
      <c r="R279" s="3">
        <f>IF(ORIG!R279=0,"",ORIG!R279)</f>
        <v/>
      </c>
      <c r="S279" s="3">
        <f>IF(ORIG!S279=0,"",ORIG!S279)</f>
        <v/>
      </c>
      <c r="T279" s="3">
        <f>IF(ORIG!T279=0,"",ORIG!T279)</f>
        <v/>
      </c>
      <c r="U279" s="3">
        <f>IF(ORIG!U279=0,"",ORIG!U279)</f>
        <v/>
      </c>
      <c r="V279" s="9">
        <f>IF(ORIG!V279=0,"",ORIG!V279)</f>
        <v/>
      </c>
      <c r="W279" s="9">
        <f>IF(ORIG!W279=0,"",ORIG!W279)</f>
        <v/>
      </c>
      <c r="X279" s="9">
        <f>IF(ORIG!X279=0,"",ORIG!X279)</f>
        <v/>
      </c>
      <c r="Y279" s="9">
        <f>IF(ORIG!Y279=0,"",ORIG!Y279)</f>
        <v/>
      </c>
      <c r="Z279" s="3">
        <f>SUMPRODUCT($B279:$Y279,$B$2649:$Y$2649)</f>
        <v/>
      </c>
      <c r="AA279" s="3">
        <f>SUMPRODUCT($B279:$Y279,$B$2655:$Y$2655)</f>
        <v/>
      </c>
      <c r="AC279" s="1">
        <f>A279</f>
        <v/>
      </c>
      <c r="AD279">
        <f>IF(ISNUMBER(V279),V279*($AB$1/V$2635),"")</f>
        <v/>
      </c>
      <c r="AE279">
        <f>IF(ISNUMBER(Z279),Z279*($AB$1/Z$2635),"")</f>
        <v/>
      </c>
      <c r="AF279" s="25">
        <f>IF(ISNUMBER(AD279+AE279),AD279+AE279,"")</f>
        <v/>
      </c>
      <c r="AH279" s="1">
        <f>A279</f>
        <v/>
      </c>
      <c r="AI279">
        <f>IF(ISNUMBER((1+V279)*AI278),(1+V279)*AI278,AI278)</f>
        <v/>
      </c>
      <c r="AJ279">
        <f>IF(ISNUMBER((1+Z279)*AJ278),(1+Z279)*AJ278,AJ278)</f>
        <v/>
      </c>
    </row>
    <row r="280">
      <c r="A280" s="1" t="n">
        <v>42409</v>
      </c>
      <c r="B280" s="3">
        <f>IF(ORIG!B280=0,"",ORIG!B280)</f>
        <v/>
      </c>
      <c r="C280" s="3">
        <f>IF(ORIG!C280=0,"",ORIG!C280)</f>
        <v/>
      </c>
      <c r="D280" s="3">
        <f>IF(ORIG!D280=0,"",ORIG!D280)</f>
        <v/>
      </c>
      <c r="E280" s="3">
        <f>IF(ORIG!E280=0,"",ORIG!E280)</f>
        <v/>
      </c>
      <c r="F280" s="3">
        <f>IF(ORIG!F280=0,"",ORIG!F280)</f>
        <v/>
      </c>
      <c r="G280" s="3">
        <f>IF(ORIG!G280=0,"",ORIG!G280)</f>
        <v/>
      </c>
      <c r="H280" s="3">
        <f>IF(ORIG!H280=0,"",ORIG!H280)</f>
        <v/>
      </c>
      <c r="I280" s="3">
        <f>IF(ORIG!I280=0,"",ORIG!I280)</f>
        <v/>
      </c>
      <c r="J280" s="3">
        <f>IF(ORIG!J280=0,"",ORIG!J280)</f>
        <v/>
      </c>
      <c r="K280" s="3">
        <f>IF(ORIG!K280=0,"",ORIG!K280)</f>
        <v/>
      </c>
      <c r="L280" s="3">
        <f>IF(ORIG!L280=0,"",ORIG!L280)</f>
        <v/>
      </c>
      <c r="M280" s="3">
        <f>IF(ORIG!M280=0,"",ORIG!M280)</f>
        <v/>
      </c>
      <c r="N280" s="3">
        <f>IF(ORIG!N280=0,"",ORIG!N280)</f>
        <v/>
      </c>
      <c r="O280" s="3">
        <f>IF(ORIG!O280=0,"",ORIG!O280)</f>
        <v/>
      </c>
      <c r="P280" s="3">
        <f>IF(ORIG!P280=0,"",ORIG!P280)</f>
        <v/>
      </c>
      <c r="Q280" s="3">
        <f>IF(ORIG!Q280=0,"",ORIG!Q280)</f>
        <v/>
      </c>
      <c r="R280" s="3">
        <f>IF(ORIG!R280=0,"",ORIG!R280)</f>
        <v/>
      </c>
      <c r="S280" s="3">
        <f>IF(ORIG!S280=0,"",ORIG!S280)</f>
        <v/>
      </c>
      <c r="T280" s="3">
        <f>IF(ORIG!T280=0,"",ORIG!T280)</f>
        <v/>
      </c>
      <c r="U280" s="3">
        <f>IF(ORIG!U280=0,"",ORIG!U280)</f>
        <v/>
      </c>
      <c r="V280" s="9">
        <f>IF(ORIG!V280=0,"",ORIG!V280)</f>
        <v/>
      </c>
      <c r="W280" s="9">
        <f>IF(ORIG!W280=0,"",ORIG!W280)</f>
        <v/>
      </c>
      <c r="X280" s="9">
        <f>IF(ORIG!X280=0,"",ORIG!X280)</f>
        <v/>
      </c>
      <c r="Y280" s="9">
        <f>IF(ORIG!Y280=0,"",ORIG!Y280)</f>
        <v/>
      </c>
      <c r="Z280" s="3">
        <f>SUMPRODUCT($B280:$Y280,$B$2649:$Y$2649)</f>
        <v/>
      </c>
      <c r="AA280" s="3">
        <f>SUMPRODUCT($B280:$Y280,$B$2655:$Y$2655)</f>
        <v/>
      </c>
      <c r="AC280" s="1">
        <f>A280</f>
        <v/>
      </c>
      <c r="AD280">
        <f>IF(ISNUMBER(V280),V280*($AB$1/V$2635),"")</f>
        <v/>
      </c>
      <c r="AE280">
        <f>IF(ISNUMBER(Z280),Z280*($AB$1/Z$2635),"")</f>
        <v/>
      </c>
      <c r="AF280" s="25">
        <f>IF(ISNUMBER(AD280+AE280),AD280+AE280,"")</f>
        <v/>
      </c>
      <c r="AH280" s="1">
        <f>A280</f>
        <v/>
      </c>
      <c r="AI280">
        <f>IF(ISNUMBER((1+V280)*AI279),(1+V280)*AI279,AI279)</f>
        <v/>
      </c>
      <c r="AJ280">
        <f>IF(ISNUMBER((1+Z280)*AJ279),(1+Z280)*AJ279,AJ279)</f>
        <v/>
      </c>
    </row>
    <row r="281">
      <c r="A281" s="1" t="n">
        <v>42410</v>
      </c>
      <c r="B281" s="3">
        <f>IF(ORIG!B281=0,"",ORIG!B281)</f>
        <v/>
      </c>
      <c r="C281" s="3">
        <f>IF(ORIG!C281=0,"",ORIG!C281)</f>
        <v/>
      </c>
      <c r="D281" s="3">
        <f>IF(ORIG!D281=0,"",ORIG!D281)</f>
        <v/>
      </c>
      <c r="E281" s="3">
        <f>IF(ORIG!E281=0,"",ORIG!E281)</f>
        <v/>
      </c>
      <c r="F281" s="3">
        <f>IF(ORIG!F281=0,"",ORIG!F281)</f>
        <v/>
      </c>
      <c r="G281" s="3">
        <f>IF(ORIG!G281=0,"",ORIG!G281)</f>
        <v/>
      </c>
      <c r="H281" s="3">
        <f>IF(ORIG!H281=0,"",ORIG!H281)</f>
        <v/>
      </c>
      <c r="I281" s="3">
        <f>IF(ORIG!I281=0,"",ORIG!I281)</f>
        <v/>
      </c>
      <c r="J281" s="3">
        <f>IF(ORIG!J281=0,"",ORIG!J281)</f>
        <v/>
      </c>
      <c r="K281" s="3">
        <f>IF(ORIG!K281=0,"",ORIG!K281)</f>
        <v/>
      </c>
      <c r="L281" s="3">
        <f>IF(ORIG!L281=0,"",ORIG!L281)</f>
        <v/>
      </c>
      <c r="M281" s="3">
        <f>IF(ORIG!M281=0,"",ORIG!M281)</f>
        <v/>
      </c>
      <c r="N281" s="3">
        <f>IF(ORIG!N281=0,"",ORIG!N281)</f>
        <v/>
      </c>
      <c r="O281" s="3">
        <f>IF(ORIG!O281=0,"",ORIG!O281)</f>
        <v/>
      </c>
      <c r="P281" s="3">
        <f>IF(ORIG!P281=0,"",ORIG!P281)</f>
        <v/>
      </c>
      <c r="Q281" s="3">
        <f>IF(ORIG!Q281=0,"",ORIG!Q281)</f>
        <v/>
      </c>
      <c r="R281" s="3">
        <f>IF(ORIG!R281=0,"",ORIG!R281)</f>
        <v/>
      </c>
      <c r="S281" s="3">
        <f>IF(ORIG!S281=0,"",ORIG!S281)</f>
        <v/>
      </c>
      <c r="T281" s="3">
        <f>IF(ORIG!T281=0,"",ORIG!T281)</f>
        <v/>
      </c>
      <c r="U281" s="3">
        <f>IF(ORIG!U281=0,"",ORIG!U281)</f>
        <v/>
      </c>
      <c r="V281" s="9">
        <f>IF(ORIG!V281=0,"",ORIG!V281)</f>
        <v/>
      </c>
      <c r="W281" s="9">
        <f>IF(ORIG!W281=0,"",ORIG!W281)</f>
        <v/>
      </c>
      <c r="X281" s="9">
        <f>IF(ORIG!X281=0,"",ORIG!X281)</f>
        <v/>
      </c>
      <c r="Y281" s="9">
        <f>IF(ORIG!Y281=0,"",ORIG!Y281)</f>
        <v/>
      </c>
      <c r="Z281" s="3">
        <f>SUMPRODUCT($B281:$Y281,$B$2649:$Y$2649)</f>
        <v/>
      </c>
      <c r="AA281" s="3">
        <f>SUMPRODUCT($B281:$Y281,$B$2655:$Y$2655)</f>
        <v/>
      </c>
      <c r="AC281" s="1">
        <f>A281</f>
        <v/>
      </c>
      <c r="AD281">
        <f>IF(ISNUMBER(V281),V281*($AB$1/V$2635),"")</f>
        <v/>
      </c>
      <c r="AE281">
        <f>IF(ISNUMBER(Z281),Z281*($AB$1/Z$2635),"")</f>
        <v/>
      </c>
      <c r="AF281" s="25">
        <f>IF(ISNUMBER(AD281+AE281),AD281+AE281,"")</f>
        <v/>
      </c>
      <c r="AH281" s="1">
        <f>A281</f>
        <v/>
      </c>
      <c r="AI281">
        <f>IF(ISNUMBER((1+V281)*AI280),(1+V281)*AI280,AI280)</f>
        <v/>
      </c>
      <c r="AJ281">
        <f>IF(ISNUMBER((1+Z281)*AJ280),(1+Z281)*AJ280,AJ280)</f>
        <v/>
      </c>
    </row>
    <row r="282">
      <c r="A282" s="1" t="n">
        <v>42411</v>
      </c>
      <c r="B282" s="3">
        <f>IF(ORIG!B282=0,"",ORIG!B282)</f>
        <v/>
      </c>
      <c r="C282" s="3">
        <f>IF(ORIG!C282=0,"",ORIG!C282)</f>
        <v/>
      </c>
      <c r="D282" s="3">
        <f>IF(ORIG!D282=0,"",ORIG!D282)</f>
        <v/>
      </c>
      <c r="E282" s="3">
        <f>IF(ORIG!E282=0,"",ORIG!E282)</f>
        <v/>
      </c>
      <c r="F282" s="3">
        <f>IF(ORIG!F282=0,"",ORIG!F282)</f>
        <v/>
      </c>
      <c r="G282" s="3">
        <f>IF(ORIG!G282=0,"",ORIG!G282)</f>
        <v/>
      </c>
      <c r="H282" s="3">
        <f>IF(ORIG!H282=0,"",ORIG!H282)</f>
        <v/>
      </c>
      <c r="I282" s="3">
        <f>IF(ORIG!I282=0,"",ORIG!I282)</f>
        <v/>
      </c>
      <c r="J282" s="3">
        <f>IF(ORIG!J282=0,"",ORIG!J282)</f>
        <v/>
      </c>
      <c r="K282" s="3">
        <f>IF(ORIG!K282=0,"",ORIG!K282)</f>
        <v/>
      </c>
      <c r="L282" s="3">
        <f>IF(ORIG!L282=0,"",ORIG!L282)</f>
        <v/>
      </c>
      <c r="M282" s="3">
        <f>IF(ORIG!M282=0,"",ORIG!M282)</f>
        <v/>
      </c>
      <c r="N282" s="3">
        <f>IF(ORIG!N282=0,"",ORIG!N282)</f>
        <v/>
      </c>
      <c r="O282" s="3">
        <f>IF(ORIG!O282=0,"",ORIG!O282)</f>
        <v/>
      </c>
      <c r="P282" s="3">
        <f>IF(ORIG!P282=0,"",ORIG!P282)</f>
        <v/>
      </c>
      <c r="Q282" s="3">
        <f>IF(ORIG!Q282=0,"",ORIG!Q282)</f>
        <v/>
      </c>
      <c r="R282" s="3">
        <f>IF(ORIG!R282=0,"",ORIG!R282)</f>
        <v/>
      </c>
      <c r="S282" s="3">
        <f>IF(ORIG!S282=0,"",ORIG!S282)</f>
        <v/>
      </c>
      <c r="T282" s="3">
        <f>IF(ORIG!T282=0,"",ORIG!T282)</f>
        <v/>
      </c>
      <c r="U282" s="3">
        <f>IF(ORIG!U282=0,"",ORIG!U282)</f>
        <v/>
      </c>
      <c r="V282" s="9">
        <f>IF(ORIG!V282=0,"",ORIG!V282)</f>
        <v/>
      </c>
      <c r="W282" s="9">
        <f>IF(ORIG!W282=0,"",ORIG!W282)</f>
        <v/>
      </c>
      <c r="X282" s="9">
        <f>IF(ORIG!X282=0,"",ORIG!X282)</f>
        <v/>
      </c>
      <c r="Y282" s="9">
        <f>IF(ORIG!Y282=0,"",ORIG!Y282)</f>
        <v/>
      </c>
      <c r="Z282" s="3">
        <f>SUMPRODUCT($B282:$Y282,$B$2649:$Y$2649)</f>
        <v/>
      </c>
      <c r="AA282" s="3">
        <f>SUMPRODUCT($B282:$Y282,$B$2655:$Y$2655)</f>
        <v/>
      </c>
      <c r="AC282" s="1">
        <f>A282</f>
        <v/>
      </c>
      <c r="AD282">
        <f>IF(ISNUMBER(V282),V282*($AB$1/V$2635),"")</f>
        <v/>
      </c>
      <c r="AE282">
        <f>IF(ISNUMBER(Z282),Z282*($AB$1/Z$2635),"")</f>
        <v/>
      </c>
      <c r="AF282" s="25">
        <f>IF(ISNUMBER(AD282+AE282),AD282+AE282,"")</f>
        <v/>
      </c>
      <c r="AH282" s="1">
        <f>A282</f>
        <v/>
      </c>
      <c r="AI282">
        <f>IF(ISNUMBER((1+V282)*AI281),(1+V282)*AI281,AI281)</f>
        <v/>
      </c>
      <c r="AJ282">
        <f>IF(ISNUMBER((1+Z282)*AJ281),(1+Z282)*AJ281,AJ281)</f>
        <v/>
      </c>
    </row>
    <row r="283">
      <c r="A283" s="1" t="n">
        <v>42412</v>
      </c>
      <c r="B283" s="3">
        <f>IF(ORIG!B283=0,"",ORIG!B283)</f>
        <v/>
      </c>
      <c r="C283" s="3">
        <f>IF(ORIG!C283=0,"",ORIG!C283)</f>
        <v/>
      </c>
      <c r="D283" s="3">
        <f>IF(ORIG!D283=0,"",ORIG!D283)</f>
        <v/>
      </c>
      <c r="E283" s="3">
        <f>IF(ORIG!E283=0,"",ORIG!E283)</f>
        <v/>
      </c>
      <c r="F283" s="3">
        <f>IF(ORIG!F283=0,"",ORIG!F283)</f>
        <v/>
      </c>
      <c r="G283" s="3">
        <f>IF(ORIG!G283=0,"",ORIG!G283)</f>
        <v/>
      </c>
      <c r="H283" s="3">
        <f>IF(ORIG!H283=0,"",ORIG!H283)</f>
        <v/>
      </c>
      <c r="I283" s="3">
        <f>IF(ORIG!I283=0,"",ORIG!I283)</f>
        <v/>
      </c>
      <c r="J283" s="3">
        <f>IF(ORIG!J283=0,"",ORIG!J283)</f>
        <v/>
      </c>
      <c r="K283" s="3">
        <f>IF(ORIG!K283=0,"",ORIG!K283)</f>
        <v/>
      </c>
      <c r="L283" s="3">
        <f>IF(ORIG!L283=0,"",ORIG!L283)</f>
        <v/>
      </c>
      <c r="M283" s="3">
        <f>IF(ORIG!M283=0,"",ORIG!M283)</f>
        <v/>
      </c>
      <c r="N283" s="3">
        <f>IF(ORIG!N283=0,"",ORIG!N283)</f>
        <v/>
      </c>
      <c r="O283" s="3">
        <f>IF(ORIG!O283=0,"",ORIG!O283)</f>
        <v/>
      </c>
      <c r="P283" s="3">
        <f>IF(ORIG!P283=0,"",ORIG!P283)</f>
        <v/>
      </c>
      <c r="Q283" s="3">
        <f>IF(ORIG!Q283=0,"",ORIG!Q283)</f>
        <v/>
      </c>
      <c r="R283" s="3">
        <f>IF(ORIG!R283=0,"",ORIG!R283)</f>
        <v/>
      </c>
      <c r="S283" s="3">
        <f>IF(ORIG!S283=0,"",ORIG!S283)</f>
        <v/>
      </c>
      <c r="T283" s="3">
        <f>IF(ORIG!T283=0,"",ORIG!T283)</f>
        <v/>
      </c>
      <c r="U283" s="3">
        <f>IF(ORIG!U283=0,"",ORIG!U283)</f>
        <v/>
      </c>
      <c r="V283" s="9">
        <f>IF(ORIG!V283=0,"",ORIG!V283)</f>
        <v/>
      </c>
      <c r="W283" s="9">
        <f>IF(ORIG!W283=0,"",ORIG!W283)</f>
        <v/>
      </c>
      <c r="X283" s="9">
        <f>IF(ORIG!X283=0,"",ORIG!X283)</f>
        <v/>
      </c>
      <c r="Y283" s="9">
        <f>IF(ORIG!Y283=0,"",ORIG!Y283)</f>
        <v/>
      </c>
      <c r="Z283" s="3">
        <f>SUMPRODUCT($B283:$Y283,$B$2649:$Y$2649)</f>
        <v/>
      </c>
      <c r="AA283" s="3">
        <f>SUMPRODUCT($B283:$Y283,$B$2655:$Y$2655)</f>
        <v/>
      </c>
      <c r="AC283" s="1">
        <f>A283</f>
        <v/>
      </c>
      <c r="AD283">
        <f>IF(ISNUMBER(V283),V283*($AB$1/V$2635),"")</f>
        <v/>
      </c>
      <c r="AE283">
        <f>IF(ISNUMBER(Z283),Z283*($AB$1/Z$2635),"")</f>
        <v/>
      </c>
      <c r="AF283" s="25">
        <f>IF(ISNUMBER(AD283+AE283),AD283+AE283,"")</f>
        <v/>
      </c>
      <c r="AH283" s="1">
        <f>A283</f>
        <v/>
      </c>
      <c r="AI283">
        <f>IF(ISNUMBER((1+V283)*AI282),(1+V283)*AI282,AI282)</f>
        <v/>
      </c>
      <c r="AJ283">
        <f>IF(ISNUMBER((1+Z283)*AJ282),(1+Z283)*AJ282,AJ282)</f>
        <v/>
      </c>
    </row>
    <row r="284">
      <c r="A284" s="1" t="n">
        <v>42416</v>
      </c>
      <c r="B284" s="3">
        <f>IF(ORIG!B284=0,"",ORIG!B284)</f>
        <v/>
      </c>
      <c r="C284" s="3">
        <f>IF(ORIG!C284=0,"",ORIG!C284)</f>
        <v/>
      </c>
      <c r="D284" s="3">
        <f>IF(ORIG!D284=0,"",ORIG!D284)</f>
        <v/>
      </c>
      <c r="E284" s="3">
        <f>IF(ORIG!E284=0,"",ORIG!E284)</f>
        <v/>
      </c>
      <c r="F284" s="3">
        <f>IF(ORIG!F284=0,"",ORIG!F284)</f>
        <v/>
      </c>
      <c r="G284" s="3">
        <f>IF(ORIG!G284=0,"",ORIG!G284)</f>
        <v/>
      </c>
      <c r="H284" s="3">
        <f>IF(ORIG!H284=0,"",ORIG!H284)</f>
        <v/>
      </c>
      <c r="I284" s="3">
        <f>IF(ORIG!I284=0,"",ORIG!I284)</f>
        <v/>
      </c>
      <c r="J284" s="3">
        <f>IF(ORIG!J284=0,"",ORIG!J284)</f>
        <v/>
      </c>
      <c r="K284" s="3">
        <f>IF(ORIG!K284=0,"",ORIG!K284)</f>
        <v/>
      </c>
      <c r="L284" s="3">
        <f>IF(ORIG!L284=0,"",ORIG!L284)</f>
        <v/>
      </c>
      <c r="M284" s="3">
        <f>IF(ORIG!M284=0,"",ORIG!M284)</f>
        <v/>
      </c>
      <c r="N284" s="3">
        <f>IF(ORIG!N284=0,"",ORIG!N284)</f>
        <v/>
      </c>
      <c r="O284" s="3">
        <f>IF(ORIG!O284=0,"",ORIG!O284)</f>
        <v/>
      </c>
      <c r="P284" s="3">
        <f>IF(ORIG!P284=0,"",ORIG!P284)</f>
        <v/>
      </c>
      <c r="Q284" s="3">
        <f>IF(ORIG!Q284=0,"",ORIG!Q284)</f>
        <v/>
      </c>
      <c r="R284" s="3">
        <f>IF(ORIG!R284=0,"",ORIG!R284)</f>
        <v/>
      </c>
      <c r="S284" s="3">
        <f>IF(ORIG!S284=0,"",ORIG!S284)</f>
        <v/>
      </c>
      <c r="T284" s="3">
        <f>IF(ORIG!T284=0,"",ORIG!T284)</f>
        <v/>
      </c>
      <c r="U284" s="3">
        <f>IF(ORIG!U284=0,"",ORIG!U284)</f>
        <v/>
      </c>
      <c r="V284" s="9">
        <f>IF(ORIG!V284=0,"",ORIG!V284)</f>
        <v/>
      </c>
      <c r="W284" s="9">
        <f>IF(ORIG!W284=0,"",ORIG!W284)</f>
        <v/>
      </c>
      <c r="X284" s="9">
        <f>IF(ORIG!X284=0,"",ORIG!X284)</f>
        <v/>
      </c>
      <c r="Y284" s="9">
        <f>IF(ORIG!Y284=0,"",ORIG!Y284)</f>
        <v/>
      </c>
      <c r="Z284" s="3">
        <f>SUMPRODUCT($B284:$Y284,$B$2649:$Y$2649)</f>
        <v/>
      </c>
      <c r="AA284" s="3">
        <f>SUMPRODUCT($B284:$Y284,$B$2655:$Y$2655)</f>
        <v/>
      </c>
      <c r="AC284" s="1">
        <f>A284</f>
        <v/>
      </c>
      <c r="AD284">
        <f>IF(ISNUMBER(V284),V284*($AB$1/V$2635),"")</f>
        <v/>
      </c>
      <c r="AE284">
        <f>IF(ISNUMBER(Z284),Z284*($AB$1/Z$2635),"")</f>
        <v/>
      </c>
      <c r="AF284" s="25">
        <f>IF(ISNUMBER(AD284+AE284),AD284+AE284,"")</f>
        <v/>
      </c>
      <c r="AH284" s="1">
        <f>A284</f>
        <v/>
      </c>
      <c r="AI284">
        <f>IF(ISNUMBER((1+V284)*AI283),(1+V284)*AI283,AI283)</f>
        <v/>
      </c>
      <c r="AJ284">
        <f>IF(ISNUMBER((1+Z284)*AJ283),(1+Z284)*AJ283,AJ283)</f>
        <v/>
      </c>
    </row>
    <row r="285">
      <c r="A285" s="1" t="n">
        <v>42417</v>
      </c>
      <c r="B285" s="3">
        <f>IF(ORIG!B285=0,"",ORIG!B285)</f>
        <v/>
      </c>
      <c r="C285" s="3">
        <f>IF(ORIG!C285=0,"",ORIG!C285)</f>
        <v/>
      </c>
      <c r="D285" s="3">
        <f>IF(ORIG!D285=0,"",ORIG!D285)</f>
        <v/>
      </c>
      <c r="E285" s="3">
        <f>IF(ORIG!E285=0,"",ORIG!E285)</f>
        <v/>
      </c>
      <c r="F285" s="3">
        <f>IF(ORIG!F285=0,"",ORIG!F285)</f>
        <v/>
      </c>
      <c r="G285" s="3">
        <f>IF(ORIG!G285=0,"",ORIG!G285)</f>
        <v/>
      </c>
      <c r="H285" s="3">
        <f>IF(ORIG!H285=0,"",ORIG!H285)</f>
        <v/>
      </c>
      <c r="I285" s="3">
        <f>IF(ORIG!I285=0,"",ORIG!I285)</f>
        <v/>
      </c>
      <c r="J285" s="3">
        <f>IF(ORIG!J285=0,"",ORIG!J285)</f>
        <v/>
      </c>
      <c r="K285" s="3">
        <f>IF(ORIG!K285=0,"",ORIG!K285)</f>
        <v/>
      </c>
      <c r="L285" s="3">
        <f>IF(ORIG!L285=0,"",ORIG!L285)</f>
        <v/>
      </c>
      <c r="M285" s="3">
        <f>IF(ORIG!M285=0,"",ORIG!M285)</f>
        <v/>
      </c>
      <c r="N285" s="3">
        <f>IF(ORIG!N285=0,"",ORIG!N285)</f>
        <v/>
      </c>
      <c r="O285" s="3">
        <f>IF(ORIG!O285=0,"",ORIG!O285)</f>
        <v/>
      </c>
      <c r="P285" s="3">
        <f>IF(ORIG!P285=0,"",ORIG!P285)</f>
        <v/>
      </c>
      <c r="Q285" s="3">
        <f>IF(ORIG!Q285=0,"",ORIG!Q285)</f>
        <v/>
      </c>
      <c r="R285" s="3">
        <f>IF(ORIG!R285=0,"",ORIG!R285)</f>
        <v/>
      </c>
      <c r="S285" s="3">
        <f>IF(ORIG!S285=0,"",ORIG!S285)</f>
        <v/>
      </c>
      <c r="T285" s="3">
        <f>IF(ORIG!T285=0,"",ORIG!T285)</f>
        <v/>
      </c>
      <c r="U285" s="3">
        <f>IF(ORIG!U285=0,"",ORIG!U285)</f>
        <v/>
      </c>
      <c r="V285" s="9">
        <f>IF(ORIG!V285=0,"",ORIG!V285)</f>
        <v/>
      </c>
      <c r="W285" s="9">
        <f>IF(ORIG!W285=0,"",ORIG!W285)</f>
        <v/>
      </c>
      <c r="X285" s="9">
        <f>IF(ORIG!X285=0,"",ORIG!X285)</f>
        <v/>
      </c>
      <c r="Y285" s="9">
        <f>IF(ORIG!Y285=0,"",ORIG!Y285)</f>
        <v/>
      </c>
      <c r="Z285" s="3">
        <f>SUMPRODUCT($B285:$Y285,$B$2649:$Y$2649)</f>
        <v/>
      </c>
      <c r="AA285" s="3">
        <f>SUMPRODUCT($B285:$Y285,$B$2655:$Y$2655)</f>
        <v/>
      </c>
      <c r="AC285" s="1">
        <f>A285</f>
        <v/>
      </c>
      <c r="AD285">
        <f>IF(ISNUMBER(V285),V285*($AB$1/V$2635),"")</f>
        <v/>
      </c>
      <c r="AE285">
        <f>IF(ISNUMBER(Z285),Z285*($AB$1/Z$2635),"")</f>
        <v/>
      </c>
      <c r="AF285" s="25">
        <f>IF(ISNUMBER(AD285+AE285),AD285+AE285,"")</f>
        <v/>
      </c>
      <c r="AH285" s="1">
        <f>A285</f>
        <v/>
      </c>
      <c r="AI285">
        <f>IF(ISNUMBER((1+V285)*AI284),(1+V285)*AI284,AI284)</f>
        <v/>
      </c>
      <c r="AJ285">
        <f>IF(ISNUMBER((1+Z285)*AJ284),(1+Z285)*AJ284,AJ284)</f>
        <v/>
      </c>
    </row>
    <row r="286">
      <c r="A286" s="1" t="n">
        <v>42418</v>
      </c>
      <c r="B286" s="3">
        <f>IF(ORIG!B286=0,"",ORIG!B286)</f>
        <v/>
      </c>
      <c r="C286" s="3">
        <f>IF(ORIG!C286=0,"",ORIG!C286)</f>
        <v/>
      </c>
      <c r="D286" s="3">
        <f>IF(ORIG!D286=0,"",ORIG!D286)</f>
        <v/>
      </c>
      <c r="E286" s="3">
        <f>IF(ORIG!E286=0,"",ORIG!E286)</f>
        <v/>
      </c>
      <c r="F286" s="3">
        <f>IF(ORIG!F286=0,"",ORIG!F286)</f>
        <v/>
      </c>
      <c r="G286" s="3">
        <f>IF(ORIG!G286=0,"",ORIG!G286)</f>
        <v/>
      </c>
      <c r="H286" s="3">
        <f>IF(ORIG!H286=0,"",ORIG!H286)</f>
        <v/>
      </c>
      <c r="I286" s="3">
        <f>IF(ORIG!I286=0,"",ORIG!I286)</f>
        <v/>
      </c>
      <c r="J286" s="3">
        <f>IF(ORIG!J286=0,"",ORIG!J286)</f>
        <v/>
      </c>
      <c r="K286" s="3">
        <f>IF(ORIG!K286=0,"",ORIG!K286)</f>
        <v/>
      </c>
      <c r="L286" s="3">
        <f>IF(ORIG!L286=0,"",ORIG!L286)</f>
        <v/>
      </c>
      <c r="M286" s="3">
        <f>IF(ORIG!M286=0,"",ORIG!M286)</f>
        <v/>
      </c>
      <c r="N286" s="3">
        <f>IF(ORIG!N286=0,"",ORIG!N286)</f>
        <v/>
      </c>
      <c r="O286" s="3">
        <f>IF(ORIG!O286=0,"",ORIG!O286)</f>
        <v/>
      </c>
      <c r="P286" s="3">
        <f>IF(ORIG!P286=0,"",ORIG!P286)</f>
        <v/>
      </c>
      <c r="Q286" s="3">
        <f>IF(ORIG!Q286=0,"",ORIG!Q286)</f>
        <v/>
      </c>
      <c r="R286" s="3">
        <f>IF(ORIG!R286=0,"",ORIG!R286)</f>
        <v/>
      </c>
      <c r="S286" s="3">
        <f>IF(ORIG!S286=0,"",ORIG!S286)</f>
        <v/>
      </c>
      <c r="T286" s="3">
        <f>IF(ORIG!T286=0,"",ORIG!T286)</f>
        <v/>
      </c>
      <c r="U286" s="3">
        <f>IF(ORIG!U286=0,"",ORIG!U286)</f>
        <v/>
      </c>
      <c r="V286" s="9">
        <f>IF(ORIG!V286=0,"",ORIG!V286)</f>
        <v/>
      </c>
      <c r="W286" s="9">
        <f>IF(ORIG!W286=0,"",ORIG!W286)</f>
        <v/>
      </c>
      <c r="X286" s="9">
        <f>IF(ORIG!X286=0,"",ORIG!X286)</f>
        <v/>
      </c>
      <c r="Y286" s="9">
        <f>IF(ORIG!Y286=0,"",ORIG!Y286)</f>
        <v/>
      </c>
      <c r="Z286" s="3">
        <f>SUMPRODUCT($B286:$Y286,$B$2649:$Y$2649)</f>
        <v/>
      </c>
      <c r="AA286" s="3">
        <f>SUMPRODUCT($B286:$Y286,$B$2655:$Y$2655)</f>
        <v/>
      </c>
      <c r="AC286" s="1">
        <f>A286</f>
        <v/>
      </c>
      <c r="AD286">
        <f>IF(ISNUMBER(V286),V286*($AB$1/V$2635),"")</f>
        <v/>
      </c>
      <c r="AE286">
        <f>IF(ISNUMBER(Z286),Z286*($AB$1/Z$2635),"")</f>
        <v/>
      </c>
      <c r="AF286" s="25">
        <f>IF(ISNUMBER(AD286+AE286),AD286+AE286,"")</f>
        <v/>
      </c>
      <c r="AH286" s="1">
        <f>A286</f>
        <v/>
      </c>
      <c r="AI286">
        <f>IF(ISNUMBER((1+V286)*AI285),(1+V286)*AI285,AI285)</f>
        <v/>
      </c>
      <c r="AJ286">
        <f>IF(ISNUMBER((1+Z286)*AJ285),(1+Z286)*AJ285,AJ285)</f>
        <v/>
      </c>
    </row>
    <row r="287">
      <c r="A287" s="1" t="n">
        <v>42419</v>
      </c>
      <c r="B287" s="3">
        <f>IF(ORIG!B287=0,"",ORIG!B287)</f>
        <v/>
      </c>
      <c r="C287" s="3">
        <f>IF(ORIG!C287=0,"",ORIG!C287)</f>
        <v/>
      </c>
      <c r="D287" s="3">
        <f>IF(ORIG!D287=0,"",ORIG!D287)</f>
        <v/>
      </c>
      <c r="E287" s="3">
        <f>IF(ORIG!E287=0,"",ORIG!E287)</f>
        <v/>
      </c>
      <c r="F287" s="3">
        <f>IF(ORIG!F287=0,"",ORIG!F287)</f>
        <v/>
      </c>
      <c r="G287" s="3">
        <f>IF(ORIG!G287=0,"",ORIG!G287)</f>
        <v/>
      </c>
      <c r="H287" s="3">
        <f>IF(ORIG!H287=0,"",ORIG!H287)</f>
        <v/>
      </c>
      <c r="I287" s="3">
        <f>IF(ORIG!I287=0,"",ORIG!I287)</f>
        <v/>
      </c>
      <c r="J287" s="3">
        <f>IF(ORIG!J287=0,"",ORIG!J287)</f>
        <v/>
      </c>
      <c r="K287" s="3">
        <f>IF(ORIG!K287=0,"",ORIG!K287)</f>
        <v/>
      </c>
      <c r="L287" s="3">
        <f>IF(ORIG!L287=0,"",ORIG!L287)</f>
        <v/>
      </c>
      <c r="M287" s="3">
        <f>IF(ORIG!M287=0,"",ORIG!M287)</f>
        <v/>
      </c>
      <c r="N287" s="3">
        <f>IF(ORIG!N287=0,"",ORIG!N287)</f>
        <v/>
      </c>
      <c r="O287" s="3">
        <f>IF(ORIG!O287=0,"",ORIG!O287)</f>
        <v/>
      </c>
      <c r="P287" s="3">
        <f>IF(ORIG!P287=0,"",ORIG!P287)</f>
        <v/>
      </c>
      <c r="Q287" s="3">
        <f>IF(ORIG!Q287=0,"",ORIG!Q287)</f>
        <v/>
      </c>
      <c r="R287" s="3">
        <f>IF(ORIG!R287=0,"",ORIG!R287)</f>
        <v/>
      </c>
      <c r="S287" s="3">
        <f>IF(ORIG!S287=0,"",ORIG!S287)</f>
        <v/>
      </c>
      <c r="T287" s="3">
        <f>IF(ORIG!T287=0,"",ORIG!T287)</f>
        <v/>
      </c>
      <c r="U287" s="3">
        <f>IF(ORIG!U287=0,"",ORIG!U287)</f>
        <v/>
      </c>
      <c r="V287" s="9">
        <f>IF(ORIG!V287=0,"",ORIG!V287)</f>
        <v/>
      </c>
      <c r="W287" s="9">
        <f>IF(ORIG!W287=0,"",ORIG!W287)</f>
        <v/>
      </c>
      <c r="X287" s="9">
        <f>IF(ORIG!X287=0,"",ORIG!X287)</f>
        <v/>
      </c>
      <c r="Y287" s="9">
        <f>IF(ORIG!Y287=0,"",ORIG!Y287)</f>
        <v/>
      </c>
      <c r="Z287" s="3">
        <f>SUMPRODUCT($B287:$Y287,$B$2649:$Y$2649)</f>
        <v/>
      </c>
      <c r="AA287" s="3">
        <f>SUMPRODUCT($B287:$Y287,$B$2655:$Y$2655)</f>
        <v/>
      </c>
      <c r="AC287" s="1">
        <f>A287</f>
        <v/>
      </c>
      <c r="AD287">
        <f>IF(ISNUMBER(V287),V287*($AB$1/V$2635),"")</f>
        <v/>
      </c>
      <c r="AE287">
        <f>IF(ISNUMBER(Z287),Z287*($AB$1/Z$2635),"")</f>
        <v/>
      </c>
      <c r="AF287" s="25">
        <f>IF(ISNUMBER(AD287+AE287),AD287+AE287,"")</f>
        <v/>
      </c>
      <c r="AH287" s="1">
        <f>A287</f>
        <v/>
      </c>
      <c r="AI287">
        <f>IF(ISNUMBER((1+V287)*AI286),(1+V287)*AI286,AI286)</f>
        <v/>
      </c>
      <c r="AJ287">
        <f>IF(ISNUMBER((1+Z287)*AJ286),(1+Z287)*AJ286,AJ286)</f>
        <v/>
      </c>
    </row>
    <row r="288">
      <c r="A288" s="1" t="n">
        <v>42422</v>
      </c>
      <c r="B288" s="3">
        <f>IF(ORIG!B288=0,"",ORIG!B288)</f>
        <v/>
      </c>
      <c r="C288" s="3">
        <f>IF(ORIG!C288=0,"",ORIG!C288)</f>
        <v/>
      </c>
      <c r="D288" s="3">
        <f>IF(ORIG!D288=0,"",ORIG!D288)</f>
        <v/>
      </c>
      <c r="E288" s="3">
        <f>IF(ORIG!E288=0,"",ORIG!E288)</f>
        <v/>
      </c>
      <c r="F288" s="3">
        <f>IF(ORIG!F288=0,"",ORIG!F288)</f>
        <v/>
      </c>
      <c r="G288" s="3">
        <f>IF(ORIG!G288=0,"",ORIG!G288)</f>
        <v/>
      </c>
      <c r="H288" s="3">
        <f>IF(ORIG!H288=0,"",ORIG!H288)</f>
        <v/>
      </c>
      <c r="I288" s="3">
        <f>IF(ORIG!I288=0,"",ORIG!I288)</f>
        <v/>
      </c>
      <c r="J288" s="3">
        <f>IF(ORIG!J288=0,"",ORIG!J288)</f>
        <v/>
      </c>
      <c r="K288" s="3">
        <f>IF(ORIG!K288=0,"",ORIG!K288)</f>
        <v/>
      </c>
      <c r="L288" s="3">
        <f>IF(ORIG!L288=0,"",ORIG!L288)</f>
        <v/>
      </c>
      <c r="M288" s="3">
        <f>IF(ORIG!M288=0,"",ORIG!M288)</f>
        <v/>
      </c>
      <c r="N288" s="3">
        <f>IF(ORIG!N288=0,"",ORIG!N288)</f>
        <v/>
      </c>
      <c r="O288" s="3">
        <f>IF(ORIG!O288=0,"",ORIG!O288)</f>
        <v/>
      </c>
      <c r="P288" s="3">
        <f>IF(ORIG!P288=0,"",ORIG!P288)</f>
        <v/>
      </c>
      <c r="Q288" s="3">
        <f>IF(ORIG!Q288=0,"",ORIG!Q288)</f>
        <v/>
      </c>
      <c r="R288" s="3">
        <f>IF(ORIG!R288=0,"",ORIG!R288)</f>
        <v/>
      </c>
      <c r="S288" s="3">
        <f>IF(ORIG!S288=0,"",ORIG!S288)</f>
        <v/>
      </c>
      <c r="T288" s="3">
        <f>IF(ORIG!T288=0,"",ORIG!T288)</f>
        <v/>
      </c>
      <c r="U288" s="3">
        <f>IF(ORIG!U288=0,"",ORIG!U288)</f>
        <v/>
      </c>
      <c r="V288" s="9">
        <f>IF(ORIG!V288=0,"",ORIG!V288)</f>
        <v/>
      </c>
      <c r="W288" s="9">
        <f>IF(ORIG!W288=0,"",ORIG!W288)</f>
        <v/>
      </c>
      <c r="X288" s="9">
        <f>IF(ORIG!X288=0,"",ORIG!X288)</f>
        <v/>
      </c>
      <c r="Y288" s="9">
        <f>IF(ORIG!Y288=0,"",ORIG!Y288)</f>
        <v/>
      </c>
      <c r="Z288" s="3">
        <f>SUMPRODUCT($B288:$Y288,$B$2649:$Y$2649)</f>
        <v/>
      </c>
      <c r="AA288" s="3">
        <f>SUMPRODUCT($B288:$Y288,$B$2655:$Y$2655)</f>
        <v/>
      </c>
      <c r="AC288" s="1">
        <f>A288</f>
        <v/>
      </c>
      <c r="AD288">
        <f>IF(ISNUMBER(V288),V288*($AB$1/V$2635),"")</f>
        <v/>
      </c>
      <c r="AE288">
        <f>IF(ISNUMBER(Z288),Z288*($AB$1/Z$2635),"")</f>
        <v/>
      </c>
      <c r="AF288" s="25">
        <f>IF(ISNUMBER(AD288+AE288),AD288+AE288,"")</f>
        <v/>
      </c>
      <c r="AH288" s="1">
        <f>A288</f>
        <v/>
      </c>
      <c r="AI288">
        <f>IF(ISNUMBER((1+V288)*AI287),(1+V288)*AI287,AI287)</f>
        <v/>
      </c>
      <c r="AJ288">
        <f>IF(ISNUMBER((1+Z288)*AJ287),(1+Z288)*AJ287,AJ287)</f>
        <v/>
      </c>
    </row>
    <row r="289">
      <c r="A289" s="1" t="n">
        <v>42423</v>
      </c>
      <c r="B289" s="3">
        <f>IF(ORIG!B289=0,"",ORIG!B289)</f>
        <v/>
      </c>
      <c r="C289" s="3">
        <f>IF(ORIG!C289=0,"",ORIG!C289)</f>
        <v/>
      </c>
      <c r="D289" s="3">
        <f>IF(ORIG!D289=0,"",ORIG!D289)</f>
        <v/>
      </c>
      <c r="E289" s="3">
        <f>IF(ORIG!E289=0,"",ORIG!E289)</f>
        <v/>
      </c>
      <c r="F289" s="3">
        <f>IF(ORIG!F289=0,"",ORIG!F289)</f>
        <v/>
      </c>
      <c r="G289" s="3">
        <f>IF(ORIG!G289=0,"",ORIG!G289)</f>
        <v/>
      </c>
      <c r="H289" s="3">
        <f>IF(ORIG!H289=0,"",ORIG!H289)</f>
        <v/>
      </c>
      <c r="I289" s="3">
        <f>IF(ORIG!I289=0,"",ORIG!I289)</f>
        <v/>
      </c>
      <c r="J289" s="3">
        <f>IF(ORIG!J289=0,"",ORIG!J289)</f>
        <v/>
      </c>
      <c r="K289" s="3">
        <f>IF(ORIG!K289=0,"",ORIG!K289)</f>
        <v/>
      </c>
      <c r="L289" s="3">
        <f>IF(ORIG!L289=0,"",ORIG!L289)</f>
        <v/>
      </c>
      <c r="M289" s="3">
        <f>IF(ORIG!M289=0,"",ORIG!M289)</f>
        <v/>
      </c>
      <c r="N289" s="3">
        <f>IF(ORIG!N289=0,"",ORIG!N289)</f>
        <v/>
      </c>
      <c r="O289" s="3">
        <f>IF(ORIG!O289=0,"",ORIG!O289)</f>
        <v/>
      </c>
      <c r="P289" s="3">
        <f>IF(ORIG!P289=0,"",ORIG!P289)</f>
        <v/>
      </c>
      <c r="Q289" s="3">
        <f>IF(ORIG!Q289=0,"",ORIG!Q289)</f>
        <v/>
      </c>
      <c r="R289" s="3">
        <f>IF(ORIG!R289=0,"",ORIG!R289)</f>
        <v/>
      </c>
      <c r="S289" s="3">
        <f>IF(ORIG!S289=0,"",ORIG!S289)</f>
        <v/>
      </c>
      <c r="T289" s="3">
        <f>IF(ORIG!T289=0,"",ORIG!T289)</f>
        <v/>
      </c>
      <c r="U289" s="3">
        <f>IF(ORIG!U289=0,"",ORIG!U289)</f>
        <v/>
      </c>
      <c r="V289" s="9">
        <f>IF(ORIG!V289=0,"",ORIG!V289)</f>
        <v/>
      </c>
      <c r="W289" s="9">
        <f>IF(ORIG!W289=0,"",ORIG!W289)</f>
        <v/>
      </c>
      <c r="X289" s="9">
        <f>IF(ORIG!X289=0,"",ORIG!X289)</f>
        <v/>
      </c>
      <c r="Y289" s="9">
        <f>IF(ORIG!Y289=0,"",ORIG!Y289)</f>
        <v/>
      </c>
      <c r="Z289" s="3">
        <f>SUMPRODUCT($B289:$Y289,$B$2649:$Y$2649)</f>
        <v/>
      </c>
      <c r="AA289" s="3">
        <f>SUMPRODUCT($B289:$Y289,$B$2655:$Y$2655)</f>
        <v/>
      </c>
      <c r="AC289" s="1">
        <f>A289</f>
        <v/>
      </c>
      <c r="AD289">
        <f>IF(ISNUMBER(V289),V289*($AB$1/V$2635),"")</f>
        <v/>
      </c>
      <c r="AE289">
        <f>IF(ISNUMBER(Z289),Z289*($AB$1/Z$2635),"")</f>
        <v/>
      </c>
      <c r="AF289" s="25">
        <f>IF(ISNUMBER(AD289+AE289),AD289+AE289,"")</f>
        <v/>
      </c>
      <c r="AH289" s="1">
        <f>A289</f>
        <v/>
      </c>
      <c r="AI289">
        <f>IF(ISNUMBER((1+V289)*AI288),(1+V289)*AI288,AI288)</f>
        <v/>
      </c>
      <c r="AJ289">
        <f>IF(ISNUMBER((1+Z289)*AJ288),(1+Z289)*AJ288,AJ288)</f>
        <v/>
      </c>
    </row>
    <row r="290">
      <c r="A290" s="1" t="n">
        <v>42424</v>
      </c>
      <c r="B290" s="3">
        <f>IF(ORIG!B290=0,"",ORIG!B290)</f>
        <v/>
      </c>
      <c r="C290" s="3">
        <f>IF(ORIG!C290=0,"",ORIG!C290)</f>
        <v/>
      </c>
      <c r="D290" s="3">
        <f>IF(ORIG!D290=0,"",ORIG!D290)</f>
        <v/>
      </c>
      <c r="E290" s="3">
        <f>IF(ORIG!E290=0,"",ORIG!E290)</f>
        <v/>
      </c>
      <c r="F290" s="3">
        <f>IF(ORIG!F290=0,"",ORIG!F290)</f>
        <v/>
      </c>
      <c r="G290" s="3">
        <f>IF(ORIG!G290=0,"",ORIG!G290)</f>
        <v/>
      </c>
      <c r="H290" s="3">
        <f>IF(ORIG!H290=0,"",ORIG!H290)</f>
        <v/>
      </c>
      <c r="I290" s="3">
        <f>IF(ORIG!I290=0,"",ORIG!I290)</f>
        <v/>
      </c>
      <c r="J290" s="3">
        <f>IF(ORIG!J290=0,"",ORIG!J290)</f>
        <v/>
      </c>
      <c r="K290" s="3">
        <f>IF(ORIG!K290=0,"",ORIG!K290)</f>
        <v/>
      </c>
      <c r="L290" s="3">
        <f>IF(ORIG!L290=0,"",ORIG!L290)</f>
        <v/>
      </c>
      <c r="M290" s="3">
        <f>IF(ORIG!M290=0,"",ORIG!M290)</f>
        <v/>
      </c>
      <c r="N290" s="3">
        <f>IF(ORIG!N290=0,"",ORIG!N290)</f>
        <v/>
      </c>
      <c r="O290" s="3">
        <f>IF(ORIG!O290=0,"",ORIG!O290)</f>
        <v/>
      </c>
      <c r="P290" s="3">
        <f>IF(ORIG!P290=0,"",ORIG!P290)</f>
        <v/>
      </c>
      <c r="Q290" s="3">
        <f>IF(ORIG!Q290=0,"",ORIG!Q290)</f>
        <v/>
      </c>
      <c r="R290" s="3">
        <f>IF(ORIG!R290=0,"",ORIG!R290)</f>
        <v/>
      </c>
      <c r="S290" s="3">
        <f>IF(ORIG!S290=0,"",ORIG!S290)</f>
        <v/>
      </c>
      <c r="T290" s="3">
        <f>IF(ORIG!T290=0,"",ORIG!T290)</f>
        <v/>
      </c>
      <c r="U290" s="3">
        <f>IF(ORIG!U290=0,"",ORIG!U290)</f>
        <v/>
      </c>
      <c r="V290" s="9">
        <f>IF(ORIG!V290=0,"",ORIG!V290)</f>
        <v/>
      </c>
      <c r="W290" s="9">
        <f>IF(ORIG!W290=0,"",ORIG!W290)</f>
        <v/>
      </c>
      <c r="X290" s="9">
        <f>IF(ORIG!X290=0,"",ORIG!X290)</f>
        <v/>
      </c>
      <c r="Y290" s="9">
        <f>IF(ORIG!Y290=0,"",ORIG!Y290)</f>
        <v/>
      </c>
      <c r="Z290" s="3">
        <f>SUMPRODUCT($B290:$Y290,$B$2649:$Y$2649)</f>
        <v/>
      </c>
      <c r="AA290" s="3">
        <f>SUMPRODUCT($B290:$Y290,$B$2655:$Y$2655)</f>
        <v/>
      </c>
      <c r="AC290" s="1">
        <f>A290</f>
        <v/>
      </c>
      <c r="AD290">
        <f>IF(ISNUMBER(V290),V290*($AB$1/V$2635),"")</f>
        <v/>
      </c>
      <c r="AE290">
        <f>IF(ISNUMBER(Z290),Z290*($AB$1/Z$2635),"")</f>
        <v/>
      </c>
      <c r="AF290" s="25">
        <f>IF(ISNUMBER(AD290+AE290),AD290+AE290,"")</f>
        <v/>
      </c>
      <c r="AH290" s="1">
        <f>A290</f>
        <v/>
      </c>
      <c r="AI290">
        <f>IF(ISNUMBER((1+V290)*AI289),(1+V290)*AI289,AI289)</f>
        <v/>
      </c>
      <c r="AJ290">
        <f>IF(ISNUMBER((1+Z290)*AJ289),(1+Z290)*AJ289,AJ289)</f>
        <v/>
      </c>
    </row>
    <row r="291">
      <c r="A291" s="1" t="n">
        <v>42425</v>
      </c>
      <c r="B291" s="3">
        <f>IF(ORIG!B291=0,"",ORIG!B291)</f>
        <v/>
      </c>
      <c r="C291" s="3">
        <f>IF(ORIG!C291=0,"",ORIG!C291)</f>
        <v/>
      </c>
      <c r="D291" s="3">
        <f>IF(ORIG!D291=0,"",ORIG!D291)</f>
        <v/>
      </c>
      <c r="E291" s="3">
        <f>IF(ORIG!E291=0,"",ORIG!E291)</f>
        <v/>
      </c>
      <c r="F291" s="3">
        <f>IF(ORIG!F291=0,"",ORIG!F291)</f>
        <v/>
      </c>
      <c r="G291" s="3">
        <f>IF(ORIG!G291=0,"",ORIG!G291)</f>
        <v/>
      </c>
      <c r="H291" s="3">
        <f>IF(ORIG!H291=0,"",ORIG!H291)</f>
        <v/>
      </c>
      <c r="I291" s="3">
        <f>IF(ORIG!I291=0,"",ORIG!I291)</f>
        <v/>
      </c>
      <c r="J291" s="3">
        <f>IF(ORIG!J291=0,"",ORIG!J291)</f>
        <v/>
      </c>
      <c r="K291" s="3">
        <f>IF(ORIG!K291=0,"",ORIG!K291)</f>
        <v/>
      </c>
      <c r="L291" s="3">
        <f>IF(ORIG!L291=0,"",ORIG!L291)</f>
        <v/>
      </c>
      <c r="M291" s="3">
        <f>IF(ORIG!M291=0,"",ORIG!M291)</f>
        <v/>
      </c>
      <c r="N291" s="3">
        <f>IF(ORIG!N291=0,"",ORIG!N291)</f>
        <v/>
      </c>
      <c r="O291" s="3">
        <f>IF(ORIG!O291=0,"",ORIG!O291)</f>
        <v/>
      </c>
      <c r="P291" s="3">
        <f>IF(ORIG!P291=0,"",ORIG!P291)</f>
        <v/>
      </c>
      <c r="Q291" s="3">
        <f>IF(ORIG!Q291=0,"",ORIG!Q291)</f>
        <v/>
      </c>
      <c r="R291" s="3">
        <f>IF(ORIG!R291=0,"",ORIG!R291)</f>
        <v/>
      </c>
      <c r="S291" s="3">
        <f>IF(ORIG!S291=0,"",ORIG!S291)</f>
        <v/>
      </c>
      <c r="T291" s="3">
        <f>IF(ORIG!T291=0,"",ORIG!T291)</f>
        <v/>
      </c>
      <c r="U291" s="3">
        <f>IF(ORIG!U291=0,"",ORIG!U291)</f>
        <v/>
      </c>
      <c r="V291" s="9">
        <f>IF(ORIG!V291=0,"",ORIG!V291)</f>
        <v/>
      </c>
      <c r="W291" s="9">
        <f>IF(ORIG!W291=0,"",ORIG!W291)</f>
        <v/>
      </c>
      <c r="X291" s="9">
        <f>IF(ORIG!X291=0,"",ORIG!X291)</f>
        <v/>
      </c>
      <c r="Y291" s="9">
        <f>IF(ORIG!Y291=0,"",ORIG!Y291)</f>
        <v/>
      </c>
      <c r="Z291" s="3">
        <f>SUMPRODUCT($B291:$Y291,$B$2649:$Y$2649)</f>
        <v/>
      </c>
      <c r="AA291" s="3">
        <f>SUMPRODUCT($B291:$Y291,$B$2655:$Y$2655)</f>
        <v/>
      </c>
      <c r="AC291" s="1">
        <f>A291</f>
        <v/>
      </c>
      <c r="AD291">
        <f>IF(ISNUMBER(V291),V291*($AB$1/V$2635),"")</f>
        <v/>
      </c>
      <c r="AE291">
        <f>IF(ISNUMBER(Z291),Z291*($AB$1/Z$2635),"")</f>
        <v/>
      </c>
      <c r="AF291" s="25">
        <f>IF(ISNUMBER(AD291+AE291),AD291+AE291,"")</f>
        <v/>
      </c>
      <c r="AH291" s="1">
        <f>A291</f>
        <v/>
      </c>
      <c r="AI291">
        <f>IF(ISNUMBER((1+V291)*AI290),(1+V291)*AI290,AI290)</f>
        <v/>
      </c>
      <c r="AJ291">
        <f>IF(ISNUMBER((1+Z291)*AJ290),(1+Z291)*AJ290,AJ290)</f>
        <v/>
      </c>
    </row>
    <row r="292">
      <c r="A292" s="1" t="n">
        <v>42426</v>
      </c>
      <c r="B292" s="3">
        <f>IF(ORIG!B292=0,"",ORIG!B292)</f>
        <v/>
      </c>
      <c r="C292" s="3">
        <f>IF(ORIG!C292=0,"",ORIG!C292)</f>
        <v/>
      </c>
      <c r="D292" s="3">
        <f>IF(ORIG!D292=0,"",ORIG!D292)</f>
        <v/>
      </c>
      <c r="E292" s="3">
        <f>IF(ORIG!E292=0,"",ORIG!E292)</f>
        <v/>
      </c>
      <c r="F292" s="3">
        <f>IF(ORIG!F292=0,"",ORIG!F292)</f>
        <v/>
      </c>
      <c r="G292" s="3">
        <f>IF(ORIG!G292=0,"",ORIG!G292)</f>
        <v/>
      </c>
      <c r="H292" s="3">
        <f>IF(ORIG!H292=0,"",ORIG!H292)</f>
        <v/>
      </c>
      <c r="I292" s="3">
        <f>IF(ORIG!I292=0,"",ORIG!I292)</f>
        <v/>
      </c>
      <c r="J292" s="3">
        <f>IF(ORIG!J292=0,"",ORIG!J292)</f>
        <v/>
      </c>
      <c r="K292" s="3">
        <f>IF(ORIG!K292=0,"",ORIG!K292)</f>
        <v/>
      </c>
      <c r="L292" s="3">
        <f>IF(ORIG!L292=0,"",ORIG!L292)</f>
        <v/>
      </c>
      <c r="M292" s="3">
        <f>IF(ORIG!M292=0,"",ORIG!M292)</f>
        <v/>
      </c>
      <c r="N292" s="3">
        <f>IF(ORIG!N292=0,"",ORIG!N292)</f>
        <v/>
      </c>
      <c r="O292" s="3">
        <f>IF(ORIG!O292=0,"",ORIG!O292)</f>
        <v/>
      </c>
      <c r="P292" s="3">
        <f>IF(ORIG!P292=0,"",ORIG!P292)</f>
        <v/>
      </c>
      <c r="Q292" s="3">
        <f>IF(ORIG!Q292=0,"",ORIG!Q292)</f>
        <v/>
      </c>
      <c r="R292" s="3">
        <f>IF(ORIG!R292=0,"",ORIG!R292)</f>
        <v/>
      </c>
      <c r="S292" s="3">
        <f>IF(ORIG!S292=0,"",ORIG!S292)</f>
        <v/>
      </c>
      <c r="T292" s="3">
        <f>IF(ORIG!T292=0,"",ORIG!T292)</f>
        <v/>
      </c>
      <c r="U292" s="3">
        <f>IF(ORIG!U292=0,"",ORIG!U292)</f>
        <v/>
      </c>
      <c r="V292" s="9">
        <f>IF(ORIG!V292=0,"",ORIG!V292)</f>
        <v/>
      </c>
      <c r="W292" s="9">
        <f>IF(ORIG!W292=0,"",ORIG!W292)</f>
        <v/>
      </c>
      <c r="X292" s="9">
        <f>IF(ORIG!X292=0,"",ORIG!X292)</f>
        <v/>
      </c>
      <c r="Y292" s="9">
        <f>IF(ORIG!Y292=0,"",ORIG!Y292)</f>
        <v/>
      </c>
      <c r="Z292" s="3">
        <f>SUMPRODUCT($B292:$Y292,$B$2649:$Y$2649)</f>
        <v/>
      </c>
      <c r="AA292" s="3">
        <f>SUMPRODUCT($B292:$Y292,$B$2655:$Y$2655)</f>
        <v/>
      </c>
      <c r="AC292" s="1">
        <f>A292</f>
        <v/>
      </c>
      <c r="AD292">
        <f>IF(ISNUMBER(V292),V292*($AB$1/V$2635),"")</f>
        <v/>
      </c>
      <c r="AE292">
        <f>IF(ISNUMBER(Z292),Z292*($AB$1/Z$2635),"")</f>
        <v/>
      </c>
      <c r="AF292" s="25">
        <f>IF(ISNUMBER(AD292+AE292),AD292+AE292,"")</f>
        <v/>
      </c>
      <c r="AH292" s="1">
        <f>A292</f>
        <v/>
      </c>
      <c r="AI292">
        <f>IF(ISNUMBER((1+V292)*AI291),(1+V292)*AI291,AI291)</f>
        <v/>
      </c>
      <c r="AJ292">
        <f>IF(ISNUMBER((1+Z292)*AJ291),(1+Z292)*AJ291,AJ291)</f>
        <v/>
      </c>
    </row>
    <row r="293">
      <c r="A293" s="1" t="n">
        <v>42429</v>
      </c>
      <c r="B293" s="3">
        <f>IF(ORIG!B293=0,"",ORIG!B293)</f>
        <v/>
      </c>
      <c r="C293" s="3">
        <f>IF(ORIG!C293=0,"",ORIG!C293)</f>
        <v/>
      </c>
      <c r="D293" s="3">
        <f>IF(ORIG!D293=0,"",ORIG!D293)</f>
        <v/>
      </c>
      <c r="E293" s="3">
        <f>IF(ORIG!E293=0,"",ORIG!E293)</f>
        <v/>
      </c>
      <c r="F293" s="3">
        <f>IF(ORIG!F293=0,"",ORIG!F293)</f>
        <v/>
      </c>
      <c r="G293" s="3">
        <f>IF(ORIG!G293=0,"",ORIG!G293)</f>
        <v/>
      </c>
      <c r="H293" s="3">
        <f>IF(ORIG!H293=0,"",ORIG!H293)</f>
        <v/>
      </c>
      <c r="I293" s="3">
        <f>IF(ORIG!I293=0,"",ORIG!I293)</f>
        <v/>
      </c>
      <c r="J293" s="3">
        <f>IF(ORIG!J293=0,"",ORIG!J293)</f>
        <v/>
      </c>
      <c r="K293" s="3">
        <f>IF(ORIG!K293=0,"",ORIG!K293)</f>
        <v/>
      </c>
      <c r="L293" s="3">
        <f>IF(ORIG!L293=0,"",ORIG!L293)</f>
        <v/>
      </c>
      <c r="M293" s="3">
        <f>IF(ORIG!M293=0,"",ORIG!M293)</f>
        <v/>
      </c>
      <c r="N293" s="3">
        <f>IF(ORIG!N293=0,"",ORIG!N293)</f>
        <v/>
      </c>
      <c r="O293" s="3">
        <f>IF(ORIG!O293=0,"",ORIG!O293)</f>
        <v/>
      </c>
      <c r="P293" s="3">
        <f>IF(ORIG!P293=0,"",ORIG!P293)</f>
        <v/>
      </c>
      <c r="Q293" s="3">
        <f>IF(ORIG!Q293=0,"",ORIG!Q293)</f>
        <v/>
      </c>
      <c r="R293" s="3">
        <f>IF(ORIG!R293=0,"",ORIG!R293)</f>
        <v/>
      </c>
      <c r="S293" s="3">
        <f>IF(ORIG!S293=0,"",ORIG!S293)</f>
        <v/>
      </c>
      <c r="T293" s="3">
        <f>IF(ORIG!T293=0,"",ORIG!T293)</f>
        <v/>
      </c>
      <c r="U293" s="3">
        <f>IF(ORIG!U293=0,"",ORIG!U293)</f>
        <v/>
      </c>
      <c r="V293" s="9">
        <f>IF(ORIG!V293=0,"",ORIG!V293)</f>
        <v/>
      </c>
      <c r="W293" s="9">
        <f>IF(ORIG!W293=0,"",ORIG!W293)</f>
        <v/>
      </c>
      <c r="X293" s="9">
        <f>IF(ORIG!X293=0,"",ORIG!X293)</f>
        <v/>
      </c>
      <c r="Y293" s="9">
        <f>IF(ORIG!Y293=0,"",ORIG!Y293)</f>
        <v/>
      </c>
      <c r="Z293" s="3">
        <f>SUMPRODUCT($B293:$Y293,$B$2649:$Y$2649)</f>
        <v/>
      </c>
      <c r="AA293" s="3">
        <f>SUMPRODUCT($B293:$Y293,$B$2655:$Y$2655)</f>
        <v/>
      </c>
      <c r="AC293" s="1">
        <f>A293</f>
        <v/>
      </c>
      <c r="AD293">
        <f>IF(ISNUMBER(V293),V293*($AB$1/V$2635),"")</f>
        <v/>
      </c>
      <c r="AE293">
        <f>IF(ISNUMBER(Z293),Z293*($AB$1/Z$2635),"")</f>
        <v/>
      </c>
      <c r="AF293" s="25">
        <f>IF(ISNUMBER(AD293+AE293),AD293+AE293,"")</f>
        <v/>
      </c>
      <c r="AH293" s="1">
        <f>A293</f>
        <v/>
      </c>
      <c r="AI293">
        <f>IF(ISNUMBER((1+V293)*AI292),(1+V293)*AI292,AI292)</f>
        <v/>
      </c>
      <c r="AJ293">
        <f>IF(ISNUMBER((1+Z293)*AJ292),(1+Z293)*AJ292,AJ292)</f>
        <v/>
      </c>
    </row>
    <row r="294">
      <c r="A294" s="1" t="n">
        <v>42430</v>
      </c>
      <c r="B294" s="3">
        <f>IF(ORIG!B294=0,"",ORIG!B294)</f>
        <v/>
      </c>
      <c r="C294" s="3">
        <f>IF(ORIG!C294=0,"",ORIG!C294)</f>
        <v/>
      </c>
      <c r="D294" s="3">
        <f>IF(ORIG!D294=0,"",ORIG!D294)</f>
        <v/>
      </c>
      <c r="E294" s="3">
        <f>IF(ORIG!E294=0,"",ORIG!E294)</f>
        <v/>
      </c>
      <c r="F294" s="3">
        <f>IF(ORIG!F294=0,"",ORIG!F294)</f>
        <v/>
      </c>
      <c r="G294" s="3">
        <f>IF(ORIG!G294=0,"",ORIG!G294)</f>
        <v/>
      </c>
      <c r="H294" s="3">
        <f>IF(ORIG!H294=0,"",ORIG!H294)</f>
        <v/>
      </c>
      <c r="I294" s="3">
        <f>IF(ORIG!I294=0,"",ORIG!I294)</f>
        <v/>
      </c>
      <c r="J294" s="3">
        <f>IF(ORIG!J294=0,"",ORIG!J294)</f>
        <v/>
      </c>
      <c r="K294" s="3">
        <f>IF(ORIG!K294=0,"",ORIG!K294)</f>
        <v/>
      </c>
      <c r="L294" s="3">
        <f>IF(ORIG!L294=0,"",ORIG!L294)</f>
        <v/>
      </c>
      <c r="M294" s="3">
        <f>IF(ORIG!M294=0,"",ORIG!M294)</f>
        <v/>
      </c>
      <c r="N294" s="3">
        <f>IF(ORIG!N294=0,"",ORIG!N294)</f>
        <v/>
      </c>
      <c r="O294" s="3">
        <f>IF(ORIG!O294=0,"",ORIG!O294)</f>
        <v/>
      </c>
      <c r="P294" s="3">
        <f>IF(ORIG!P294=0,"",ORIG!P294)</f>
        <v/>
      </c>
      <c r="Q294" s="3">
        <f>IF(ORIG!Q294=0,"",ORIG!Q294)</f>
        <v/>
      </c>
      <c r="R294" s="3">
        <f>IF(ORIG!R294=0,"",ORIG!R294)</f>
        <v/>
      </c>
      <c r="S294" s="3">
        <f>IF(ORIG!S294=0,"",ORIG!S294)</f>
        <v/>
      </c>
      <c r="T294" s="3">
        <f>IF(ORIG!T294=0,"",ORIG!T294)</f>
        <v/>
      </c>
      <c r="U294" s="3">
        <f>IF(ORIG!U294=0,"",ORIG!U294)</f>
        <v/>
      </c>
      <c r="V294" s="9">
        <f>IF(ORIG!V294=0,"",ORIG!V294)</f>
        <v/>
      </c>
      <c r="W294" s="9">
        <f>IF(ORIG!W294=0,"",ORIG!W294)</f>
        <v/>
      </c>
      <c r="X294" s="9">
        <f>IF(ORIG!X294=0,"",ORIG!X294)</f>
        <v/>
      </c>
      <c r="Y294" s="9">
        <f>IF(ORIG!Y294=0,"",ORIG!Y294)</f>
        <v/>
      </c>
      <c r="Z294" s="3">
        <f>SUMPRODUCT($B294:$Y294,$B$2649:$Y$2649)</f>
        <v/>
      </c>
      <c r="AA294" s="3">
        <f>SUMPRODUCT($B294:$Y294,$B$2655:$Y$2655)</f>
        <v/>
      </c>
      <c r="AC294" s="1">
        <f>A294</f>
        <v/>
      </c>
      <c r="AD294">
        <f>IF(ISNUMBER(V294),V294*($AB$1/V$2635),"")</f>
        <v/>
      </c>
      <c r="AE294">
        <f>IF(ISNUMBER(Z294),Z294*($AB$1/Z$2635),"")</f>
        <v/>
      </c>
      <c r="AF294" s="25">
        <f>IF(ISNUMBER(AD294+AE294),AD294+AE294,"")</f>
        <v/>
      </c>
      <c r="AH294" s="1">
        <f>A294</f>
        <v/>
      </c>
      <c r="AI294">
        <f>IF(ISNUMBER((1+V294)*AI293),(1+V294)*AI293,AI293)</f>
        <v/>
      </c>
      <c r="AJ294">
        <f>IF(ISNUMBER((1+Z294)*AJ293),(1+Z294)*AJ293,AJ293)</f>
        <v/>
      </c>
    </row>
    <row r="295">
      <c r="A295" s="1" t="n">
        <v>42431</v>
      </c>
      <c r="B295" s="3">
        <f>IF(ORIG!B295=0,"",ORIG!B295)</f>
        <v/>
      </c>
      <c r="C295" s="3">
        <f>IF(ORIG!C295=0,"",ORIG!C295)</f>
        <v/>
      </c>
      <c r="D295" s="3">
        <f>IF(ORIG!D295=0,"",ORIG!D295)</f>
        <v/>
      </c>
      <c r="E295" s="3">
        <f>IF(ORIG!E295=0,"",ORIG!E295)</f>
        <v/>
      </c>
      <c r="F295" s="3">
        <f>IF(ORIG!F295=0,"",ORIG!F295)</f>
        <v/>
      </c>
      <c r="G295" s="3">
        <f>IF(ORIG!G295=0,"",ORIG!G295)</f>
        <v/>
      </c>
      <c r="H295" s="3">
        <f>IF(ORIG!H295=0,"",ORIG!H295)</f>
        <v/>
      </c>
      <c r="I295" s="3">
        <f>IF(ORIG!I295=0,"",ORIG!I295)</f>
        <v/>
      </c>
      <c r="J295" s="3">
        <f>IF(ORIG!J295=0,"",ORIG!J295)</f>
        <v/>
      </c>
      <c r="K295" s="3">
        <f>IF(ORIG!K295=0,"",ORIG!K295)</f>
        <v/>
      </c>
      <c r="L295" s="3">
        <f>IF(ORIG!L295=0,"",ORIG!L295)</f>
        <v/>
      </c>
      <c r="M295" s="3">
        <f>IF(ORIG!M295=0,"",ORIG!M295)</f>
        <v/>
      </c>
      <c r="N295" s="3">
        <f>IF(ORIG!N295=0,"",ORIG!N295)</f>
        <v/>
      </c>
      <c r="O295" s="3">
        <f>IF(ORIG!O295=0,"",ORIG!O295)</f>
        <v/>
      </c>
      <c r="P295" s="3">
        <f>IF(ORIG!P295=0,"",ORIG!P295)</f>
        <v/>
      </c>
      <c r="Q295" s="3">
        <f>IF(ORIG!Q295=0,"",ORIG!Q295)</f>
        <v/>
      </c>
      <c r="R295" s="3">
        <f>IF(ORIG!R295=0,"",ORIG!R295)</f>
        <v/>
      </c>
      <c r="S295" s="3">
        <f>IF(ORIG!S295=0,"",ORIG!S295)</f>
        <v/>
      </c>
      <c r="T295" s="3">
        <f>IF(ORIG!T295=0,"",ORIG!T295)</f>
        <v/>
      </c>
      <c r="U295" s="3">
        <f>IF(ORIG!U295=0,"",ORIG!U295)</f>
        <v/>
      </c>
      <c r="V295" s="9">
        <f>IF(ORIG!V295=0,"",ORIG!V295)</f>
        <v/>
      </c>
      <c r="W295" s="9">
        <f>IF(ORIG!W295=0,"",ORIG!W295)</f>
        <v/>
      </c>
      <c r="X295" s="9">
        <f>IF(ORIG!X295=0,"",ORIG!X295)</f>
        <v/>
      </c>
      <c r="Y295" s="9">
        <f>IF(ORIG!Y295=0,"",ORIG!Y295)</f>
        <v/>
      </c>
      <c r="Z295" s="3">
        <f>SUMPRODUCT($B295:$Y295,$B$2649:$Y$2649)</f>
        <v/>
      </c>
      <c r="AA295" s="3">
        <f>SUMPRODUCT($B295:$Y295,$B$2655:$Y$2655)</f>
        <v/>
      </c>
      <c r="AC295" s="1">
        <f>A295</f>
        <v/>
      </c>
      <c r="AD295">
        <f>IF(ISNUMBER(V295),V295*($AB$1/V$2635),"")</f>
        <v/>
      </c>
      <c r="AE295">
        <f>IF(ISNUMBER(Z295),Z295*($AB$1/Z$2635),"")</f>
        <v/>
      </c>
      <c r="AF295" s="25">
        <f>IF(ISNUMBER(AD295+AE295),AD295+AE295,"")</f>
        <v/>
      </c>
      <c r="AH295" s="1">
        <f>A295</f>
        <v/>
      </c>
      <c r="AI295">
        <f>IF(ISNUMBER((1+V295)*AI294),(1+V295)*AI294,AI294)</f>
        <v/>
      </c>
      <c r="AJ295">
        <f>IF(ISNUMBER((1+Z295)*AJ294),(1+Z295)*AJ294,AJ294)</f>
        <v/>
      </c>
    </row>
    <row r="296">
      <c r="A296" s="1" t="n">
        <v>42432</v>
      </c>
      <c r="B296" s="3">
        <f>IF(ORIG!B296=0,"",ORIG!B296)</f>
        <v/>
      </c>
      <c r="C296" s="3">
        <f>IF(ORIG!C296=0,"",ORIG!C296)</f>
        <v/>
      </c>
      <c r="D296" s="3">
        <f>IF(ORIG!D296=0,"",ORIG!D296)</f>
        <v/>
      </c>
      <c r="E296" s="3">
        <f>IF(ORIG!E296=0,"",ORIG!E296)</f>
        <v/>
      </c>
      <c r="F296" s="3">
        <f>IF(ORIG!F296=0,"",ORIG!F296)</f>
        <v/>
      </c>
      <c r="G296" s="3">
        <f>IF(ORIG!G296=0,"",ORIG!G296)</f>
        <v/>
      </c>
      <c r="H296" s="3">
        <f>IF(ORIG!H296=0,"",ORIG!H296)</f>
        <v/>
      </c>
      <c r="I296" s="3">
        <f>IF(ORIG!I296=0,"",ORIG!I296)</f>
        <v/>
      </c>
      <c r="J296" s="3">
        <f>IF(ORIG!J296=0,"",ORIG!J296)</f>
        <v/>
      </c>
      <c r="K296" s="3">
        <f>IF(ORIG!K296=0,"",ORIG!K296)</f>
        <v/>
      </c>
      <c r="L296" s="3">
        <f>IF(ORIG!L296=0,"",ORIG!L296)</f>
        <v/>
      </c>
      <c r="M296" s="3">
        <f>IF(ORIG!M296=0,"",ORIG!M296)</f>
        <v/>
      </c>
      <c r="N296" s="3">
        <f>IF(ORIG!N296=0,"",ORIG!N296)</f>
        <v/>
      </c>
      <c r="O296" s="3">
        <f>IF(ORIG!O296=0,"",ORIG!O296)</f>
        <v/>
      </c>
      <c r="P296" s="3">
        <f>IF(ORIG!P296=0,"",ORIG!P296)</f>
        <v/>
      </c>
      <c r="Q296" s="3">
        <f>IF(ORIG!Q296=0,"",ORIG!Q296)</f>
        <v/>
      </c>
      <c r="R296" s="3">
        <f>IF(ORIG!R296=0,"",ORIG!R296)</f>
        <v/>
      </c>
      <c r="S296" s="3">
        <f>IF(ORIG!S296=0,"",ORIG!S296)</f>
        <v/>
      </c>
      <c r="T296" s="3">
        <f>IF(ORIG!T296=0,"",ORIG!T296)</f>
        <v/>
      </c>
      <c r="U296" s="3">
        <f>IF(ORIG!U296=0,"",ORIG!U296)</f>
        <v/>
      </c>
      <c r="V296" s="9">
        <f>IF(ORIG!V296=0,"",ORIG!V296)</f>
        <v/>
      </c>
      <c r="W296" s="9">
        <f>IF(ORIG!W296=0,"",ORIG!W296)</f>
        <v/>
      </c>
      <c r="X296" s="9">
        <f>IF(ORIG!X296=0,"",ORIG!X296)</f>
        <v/>
      </c>
      <c r="Y296" s="9">
        <f>IF(ORIG!Y296=0,"",ORIG!Y296)</f>
        <v/>
      </c>
      <c r="Z296" s="3">
        <f>SUMPRODUCT($B296:$Y296,$B$2649:$Y$2649)</f>
        <v/>
      </c>
      <c r="AA296" s="3">
        <f>SUMPRODUCT($B296:$Y296,$B$2655:$Y$2655)</f>
        <v/>
      </c>
      <c r="AC296" s="1">
        <f>A296</f>
        <v/>
      </c>
      <c r="AD296">
        <f>IF(ISNUMBER(V296),V296*($AB$1/V$2635),"")</f>
        <v/>
      </c>
      <c r="AE296">
        <f>IF(ISNUMBER(Z296),Z296*($AB$1/Z$2635),"")</f>
        <v/>
      </c>
      <c r="AF296" s="25">
        <f>IF(ISNUMBER(AD296+AE296),AD296+AE296,"")</f>
        <v/>
      </c>
      <c r="AH296" s="1">
        <f>A296</f>
        <v/>
      </c>
      <c r="AI296">
        <f>IF(ISNUMBER((1+V296)*AI295),(1+V296)*AI295,AI295)</f>
        <v/>
      </c>
      <c r="AJ296">
        <f>IF(ISNUMBER((1+Z296)*AJ295),(1+Z296)*AJ295,AJ295)</f>
        <v/>
      </c>
    </row>
    <row r="297">
      <c r="A297" s="1" t="n">
        <v>42433</v>
      </c>
      <c r="B297" s="3">
        <f>IF(ORIG!B297=0,"",ORIG!B297)</f>
        <v/>
      </c>
      <c r="C297" s="3">
        <f>IF(ORIG!C297=0,"",ORIG!C297)</f>
        <v/>
      </c>
      <c r="D297" s="3">
        <f>IF(ORIG!D297=0,"",ORIG!D297)</f>
        <v/>
      </c>
      <c r="E297" s="3">
        <f>IF(ORIG!E297=0,"",ORIG!E297)</f>
        <v/>
      </c>
      <c r="F297" s="3">
        <f>IF(ORIG!F297=0,"",ORIG!F297)</f>
        <v/>
      </c>
      <c r="G297" s="3">
        <f>IF(ORIG!G297=0,"",ORIG!G297)</f>
        <v/>
      </c>
      <c r="H297" s="3">
        <f>IF(ORIG!H297=0,"",ORIG!H297)</f>
        <v/>
      </c>
      <c r="I297" s="3">
        <f>IF(ORIG!I297=0,"",ORIG!I297)</f>
        <v/>
      </c>
      <c r="J297" s="3">
        <f>IF(ORIG!J297=0,"",ORIG!J297)</f>
        <v/>
      </c>
      <c r="K297" s="3">
        <f>IF(ORIG!K297=0,"",ORIG!K297)</f>
        <v/>
      </c>
      <c r="L297" s="3">
        <f>IF(ORIG!L297=0,"",ORIG!L297)</f>
        <v/>
      </c>
      <c r="M297" s="3">
        <f>IF(ORIG!M297=0,"",ORIG!M297)</f>
        <v/>
      </c>
      <c r="N297" s="3">
        <f>IF(ORIG!N297=0,"",ORIG!N297)</f>
        <v/>
      </c>
      <c r="O297" s="3">
        <f>IF(ORIG!O297=0,"",ORIG!O297)</f>
        <v/>
      </c>
      <c r="P297" s="3">
        <f>IF(ORIG!P297=0,"",ORIG!P297)</f>
        <v/>
      </c>
      <c r="Q297" s="3">
        <f>IF(ORIG!Q297=0,"",ORIG!Q297)</f>
        <v/>
      </c>
      <c r="R297" s="3">
        <f>IF(ORIG!R297=0,"",ORIG!R297)</f>
        <v/>
      </c>
      <c r="S297" s="3">
        <f>IF(ORIG!S297=0,"",ORIG!S297)</f>
        <v/>
      </c>
      <c r="T297" s="3">
        <f>IF(ORIG!T297=0,"",ORIG!T297)</f>
        <v/>
      </c>
      <c r="U297" s="3">
        <f>IF(ORIG!U297=0,"",ORIG!U297)</f>
        <v/>
      </c>
      <c r="V297" s="9">
        <f>IF(ORIG!V297=0,"",ORIG!V297)</f>
        <v/>
      </c>
      <c r="W297" s="9">
        <f>IF(ORIG!W297=0,"",ORIG!W297)</f>
        <v/>
      </c>
      <c r="X297" s="9">
        <f>IF(ORIG!X297=0,"",ORIG!X297)</f>
        <v/>
      </c>
      <c r="Y297" s="9">
        <f>IF(ORIG!Y297=0,"",ORIG!Y297)</f>
        <v/>
      </c>
      <c r="Z297" s="3">
        <f>SUMPRODUCT($B297:$Y297,$B$2649:$Y$2649)</f>
        <v/>
      </c>
      <c r="AA297" s="3">
        <f>SUMPRODUCT($B297:$Y297,$B$2655:$Y$2655)</f>
        <v/>
      </c>
      <c r="AC297" s="1">
        <f>A297</f>
        <v/>
      </c>
      <c r="AD297">
        <f>IF(ISNUMBER(V297),V297*($AB$1/V$2635),"")</f>
        <v/>
      </c>
      <c r="AE297">
        <f>IF(ISNUMBER(Z297),Z297*($AB$1/Z$2635),"")</f>
        <v/>
      </c>
      <c r="AF297" s="25">
        <f>IF(ISNUMBER(AD297+AE297),AD297+AE297,"")</f>
        <v/>
      </c>
      <c r="AH297" s="1">
        <f>A297</f>
        <v/>
      </c>
      <c r="AI297">
        <f>IF(ISNUMBER((1+V297)*AI296),(1+V297)*AI296,AI296)</f>
        <v/>
      </c>
      <c r="AJ297">
        <f>IF(ISNUMBER((1+Z297)*AJ296),(1+Z297)*AJ296,AJ296)</f>
        <v/>
      </c>
    </row>
    <row r="298">
      <c r="A298" s="1" t="n">
        <v>42436</v>
      </c>
      <c r="B298" s="3">
        <f>IF(ORIG!B298=0,"",ORIG!B298)</f>
        <v/>
      </c>
      <c r="C298" s="3">
        <f>IF(ORIG!C298=0,"",ORIG!C298)</f>
        <v/>
      </c>
      <c r="D298" s="3">
        <f>IF(ORIG!D298=0,"",ORIG!D298)</f>
        <v/>
      </c>
      <c r="E298" s="3">
        <f>IF(ORIG!E298=0,"",ORIG!E298)</f>
        <v/>
      </c>
      <c r="F298" s="3">
        <f>IF(ORIG!F298=0,"",ORIG!F298)</f>
        <v/>
      </c>
      <c r="G298" s="3">
        <f>IF(ORIG!G298=0,"",ORIG!G298)</f>
        <v/>
      </c>
      <c r="H298" s="3">
        <f>IF(ORIG!H298=0,"",ORIG!H298)</f>
        <v/>
      </c>
      <c r="I298" s="3">
        <f>IF(ORIG!I298=0,"",ORIG!I298)</f>
        <v/>
      </c>
      <c r="J298" s="3">
        <f>IF(ORIG!J298=0,"",ORIG!J298)</f>
        <v/>
      </c>
      <c r="K298" s="3">
        <f>IF(ORIG!K298=0,"",ORIG!K298)</f>
        <v/>
      </c>
      <c r="L298" s="3">
        <f>IF(ORIG!L298=0,"",ORIG!L298)</f>
        <v/>
      </c>
      <c r="M298" s="3">
        <f>IF(ORIG!M298=0,"",ORIG!M298)</f>
        <v/>
      </c>
      <c r="N298" s="3">
        <f>IF(ORIG!N298=0,"",ORIG!N298)</f>
        <v/>
      </c>
      <c r="O298" s="3">
        <f>IF(ORIG!O298=0,"",ORIG!O298)</f>
        <v/>
      </c>
      <c r="P298" s="3">
        <f>IF(ORIG!P298=0,"",ORIG!P298)</f>
        <v/>
      </c>
      <c r="Q298" s="3">
        <f>IF(ORIG!Q298=0,"",ORIG!Q298)</f>
        <v/>
      </c>
      <c r="R298" s="3">
        <f>IF(ORIG!R298=0,"",ORIG!R298)</f>
        <v/>
      </c>
      <c r="S298" s="3">
        <f>IF(ORIG!S298=0,"",ORIG!S298)</f>
        <v/>
      </c>
      <c r="T298" s="3">
        <f>IF(ORIG!T298=0,"",ORIG!T298)</f>
        <v/>
      </c>
      <c r="U298" s="3">
        <f>IF(ORIG!U298=0,"",ORIG!U298)</f>
        <v/>
      </c>
      <c r="V298" s="9">
        <f>IF(ORIG!V298=0,"",ORIG!V298)</f>
        <v/>
      </c>
      <c r="W298" s="9">
        <f>IF(ORIG!W298=0,"",ORIG!W298)</f>
        <v/>
      </c>
      <c r="X298" s="9">
        <f>IF(ORIG!X298=0,"",ORIG!X298)</f>
        <v/>
      </c>
      <c r="Y298" s="9">
        <f>IF(ORIG!Y298=0,"",ORIG!Y298)</f>
        <v/>
      </c>
      <c r="Z298" s="3">
        <f>SUMPRODUCT($B298:$Y298,$B$2649:$Y$2649)</f>
        <v/>
      </c>
      <c r="AA298" s="3">
        <f>SUMPRODUCT($B298:$Y298,$B$2655:$Y$2655)</f>
        <v/>
      </c>
      <c r="AC298" s="1">
        <f>A298</f>
        <v/>
      </c>
      <c r="AD298">
        <f>IF(ISNUMBER(V298),V298*($AB$1/V$2635),"")</f>
        <v/>
      </c>
      <c r="AE298">
        <f>IF(ISNUMBER(Z298),Z298*($AB$1/Z$2635),"")</f>
        <v/>
      </c>
      <c r="AF298" s="25">
        <f>IF(ISNUMBER(AD298+AE298),AD298+AE298,"")</f>
        <v/>
      </c>
      <c r="AH298" s="1">
        <f>A298</f>
        <v/>
      </c>
      <c r="AI298">
        <f>IF(ISNUMBER((1+V298)*AI297),(1+V298)*AI297,AI297)</f>
        <v/>
      </c>
      <c r="AJ298">
        <f>IF(ISNUMBER((1+Z298)*AJ297),(1+Z298)*AJ297,AJ297)</f>
        <v/>
      </c>
    </row>
    <row r="299">
      <c r="A299" s="1" t="n">
        <v>42437</v>
      </c>
      <c r="B299" s="3">
        <f>IF(ORIG!B299=0,"",ORIG!B299)</f>
        <v/>
      </c>
      <c r="C299" s="3">
        <f>IF(ORIG!C299=0,"",ORIG!C299)</f>
        <v/>
      </c>
      <c r="D299" s="3">
        <f>IF(ORIG!D299=0,"",ORIG!D299)</f>
        <v/>
      </c>
      <c r="E299" s="3">
        <f>IF(ORIG!E299=0,"",ORIG!E299)</f>
        <v/>
      </c>
      <c r="F299" s="3">
        <f>IF(ORIG!F299=0,"",ORIG!F299)</f>
        <v/>
      </c>
      <c r="G299" s="3">
        <f>IF(ORIG!G299=0,"",ORIG!G299)</f>
        <v/>
      </c>
      <c r="H299" s="3">
        <f>IF(ORIG!H299=0,"",ORIG!H299)</f>
        <v/>
      </c>
      <c r="I299" s="3">
        <f>IF(ORIG!I299=0,"",ORIG!I299)</f>
        <v/>
      </c>
      <c r="J299" s="3">
        <f>IF(ORIG!J299=0,"",ORIG!J299)</f>
        <v/>
      </c>
      <c r="K299" s="3">
        <f>IF(ORIG!K299=0,"",ORIG!K299)</f>
        <v/>
      </c>
      <c r="L299" s="3">
        <f>IF(ORIG!L299=0,"",ORIG!L299)</f>
        <v/>
      </c>
      <c r="M299" s="3">
        <f>IF(ORIG!M299=0,"",ORIG!M299)</f>
        <v/>
      </c>
      <c r="N299" s="3">
        <f>IF(ORIG!N299=0,"",ORIG!N299)</f>
        <v/>
      </c>
      <c r="O299" s="3">
        <f>IF(ORIG!O299=0,"",ORIG!O299)</f>
        <v/>
      </c>
      <c r="P299" s="3">
        <f>IF(ORIG!P299=0,"",ORIG!P299)</f>
        <v/>
      </c>
      <c r="Q299" s="3">
        <f>IF(ORIG!Q299=0,"",ORIG!Q299)</f>
        <v/>
      </c>
      <c r="R299" s="3">
        <f>IF(ORIG!R299=0,"",ORIG!R299)</f>
        <v/>
      </c>
      <c r="S299" s="3">
        <f>IF(ORIG!S299=0,"",ORIG!S299)</f>
        <v/>
      </c>
      <c r="T299" s="3">
        <f>IF(ORIG!T299=0,"",ORIG!T299)</f>
        <v/>
      </c>
      <c r="U299" s="3">
        <f>IF(ORIG!U299=0,"",ORIG!U299)</f>
        <v/>
      </c>
      <c r="V299" s="9">
        <f>IF(ORIG!V299=0,"",ORIG!V299)</f>
        <v/>
      </c>
      <c r="W299" s="9">
        <f>IF(ORIG!W299=0,"",ORIG!W299)</f>
        <v/>
      </c>
      <c r="X299" s="9">
        <f>IF(ORIG!X299=0,"",ORIG!X299)</f>
        <v/>
      </c>
      <c r="Y299" s="9">
        <f>IF(ORIG!Y299=0,"",ORIG!Y299)</f>
        <v/>
      </c>
      <c r="Z299" s="3">
        <f>SUMPRODUCT($B299:$Y299,$B$2649:$Y$2649)</f>
        <v/>
      </c>
      <c r="AA299" s="3">
        <f>SUMPRODUCT($B299:$Y299,$B$2655:$Y$2655)</f>
        <v/>
      </c>
      <c r="AC299" s="1">
        <f>A299</f>
        <v/>
      </c>
      <c r="AD299">
        <f>IF(ISNUMBER(V299),V299*($AB$1/V$2635),"")</f>
        <v/>
      </c>
      <c r="AE299">
        <f>IF(ISNUMBER(Z299),Z299*($AB$1/Z$2635),"")</f>
        <v/>
      </c>
      <c r="AF299" s="25">
        <f>IF(ISNUMBER(AD299+AE299),AD299+AE299,"")</f>
        <v/>
      </c>
      <c r="AH299" s="1">
        <f>A299</f>
        <v/>
      </c>
      <c r="AI299">
        <f>IF(ISNUMBER((1+V299)*AI298),(1+V299)*AI298,AI298)</f>
        <v/>
      </c>
      <c r="AJ299">
        <f>IF(ISNUMBER((1+Z299)*AJ298),(1+Z299)*AJ298,AJ298)</f>
        <v/>
      </c>
    </row>
    <row r="300">
      <c r="A300" s="1" t="n">
        <v>42438</v>
      </c>
      <c r="B300" s="3">
        <f>IF(ORIG!B300=0,"",ORIG!B300)</f>
        <v/>
      </c>
      <c r="C300" s="3">
        <f>IF(ORIG!C300=0,"",ORIG!C300)</f>
        <v/>
      </c>
      <c r="D300" s="3">
        <f>IF(ORIG!D300=0,"",ORIG!D300)</f>
        <v/>
      </c>
      <c r="E300" s="3">
        <f>IF(ORIG!E300=0,"",ORIG!E300)</f>
        <v/>
      </c>
      <c r="F300" s="3">
        <f>IF(ORIG!F300=0,"",ORIG!F300)</f>
        <v/>
      </c>
      <c r="G300" s="3">
        <f>IF(ORIG!G300=0,"",ORIG!G300)</f>
        <v/>
      </c>
      <c r="H300" s="3">
        <f>IF(ORIG!H300=0,"",ORIG!H300)</f>
        <v/>
      </c>
      <c r="I300" s="3">
        <f>IF(ORIG!I300=0,"",ORIG!I300)</f>
        <v/>
      </c>
      <c r="J300" s="3">
        <f>IF(ORIG!J300=0,"",ORIG!J300)</f>
        <v/>
      </c>
      <c r="K300" s="3">
        <f>IF(ORIG!K300=0,"",ORIG!K300)</f>
        <v/>
      </c>
      <c r="L300" s="3">
        <f>IF(ORIG!L300=0,"",ORIG!L300)</f>
        <v/>
      </c>
      <c r="M300" s="3">
        <f>IF(ORIG!M300=0,"",ORIG!M300)</f>
        <v/>
      </c>
      <c r="N300" s="3">
        <f>IF(ORIG!N300=0,"",ORIG!N300)</f>
        <v/>
      </c>
      <c r="O300" s="3">
        <f>IF(ORIG!O300=0,"",ORIG!O300)</f>
        <v/>
      </c>
      <c r="P300" s="3">
        <f>IF(ORIG!P300=0,"",ORIG!P300)</f>
        <v/>
      </c>
      <c r="Q300" s="3">
        <f>IF(ORIG!Q300=0,"",ORIG!Q300)</f>
        <v/>
      </c>
      <c r="R300" s="3">
        <f>IF(ORIG!R300=0,"",ORIG!R300)</f>
        <v/>
      </c>
      <c r="S300" s="3">
        <f>IF(ORIG!S300=0,"",ORIG!S300)</f>
        <v/>
      </c>
      <c r="T300" s="3">
        <f>IF(ORIG!T300=0,"",ORIG!T300)</f>
        <v/>
      </c>
      <c r="U300" s="3">
        <f>IF(ORIG!U300=0,"",ORIG!U300)</f>
        <v/>
      </c>
      <c r="V300" s="9">
        <f>IF(ORIG!V300=0,"",ORIG!V300)</f>
        <v/>
      </c>
      <c r="W300" s="9">
        <f>IF(ORIG!W300=0,"",ORIG!W300)</f>
        <v/>
      </c>
      <c r="X300" s="9">
        <f>IF(ORIG!X300=0,"",ORIG!X300)</f>
        <v/>
      </c>
      <c r="Y300" s="9">
        <f>IF(ORIG!Y300=0,"",ORIG!Y300)</f>
        <v/>
      </c>
      <c r="Z300" s="3">
        <f>SUMPRODUCT($B300:$Y300,$B$2649:$Y$2649)</f>
        <v/>
      </c>
      <c r="AA300" s="3">
        <f>SUMPRODUCT($B300:$Y300,$B$2655:$Y$2655)</f>
        <v/>
      </c>
      <c r="AC300" s="1">
        <f>A300</f>
        <v/>
      </c>
      <c r="AD300">
        <f>IF(ISNUMBER(V300),V300*($AB$1/V$2635),"")</f>
        <v/>
      </c>
      <c r="AE300">
        <f>IF(ISNUMBER(Z300),Z300*($AB$1/Z$2635),"")</f>
        <v/>
      </c>
      <c r="AF300" s="25">
        <f>IF(ISNUMBER(AD300+AE300),AD300+AE300,"")</f>
        <v/>
      </c>
      <c r="AH300" s="1">
        <f>A300</f>
        <v/>
      </c>
      <c r="AI300">
        <f>IF(ISNUMBER((1+V300)*AI299),(1+V300)*AI299,AI299)</f>
        <v/>
      </c>
      <c r="AJ300">
        <f>IF(ISNUMBER((1+Z300)*AJ299),(1+Z300)*AJ299,AJ299)</f>
        <v/>
      </c>
    </row>
    <row r="301">
      <c r="A301" s="1" t="n">
        <v>42439</v>
      </c>
      <c r="B301" s="3">
        <f>IF(ORIG!B301=0,"",ORIG!B301)</f>
        <v/>
      </c>
      <c r="C301" s="3">
        <f>IF(ORIG!C301=0,"",ORIG!C301)</f>
        <v/>
      </c>
      <c r="D301" s="3">
        <f>IF(ORIG!D301=0,"",ORIG!D301)</f>
        <v/>
      </c>
      <c r="E301" s="3">
        <f>IF(ORIG!E301=0,"",ORIG!E301)</f>
        <v/>
      </c>
      <c r="F301" s="3">
        <f>IF(ORIG!F301=0,"",ORIG!F301)</f>
        <v/>
      </c>
      <c r="G301" s="3">
        <f>IF(ORIG!G301=0,"",ORIG!G301)</f>
        <v/>
      </c>
      <c r="H301" s="3">
        <f>IF(ORIG!H301=0,"",ORIG!H301)</f>
        <v/>
      </c>
      <c r="I301" s="3">
        <f>IF(ORIG!I301=0,"",ORIG!I301)</f>
        <v/>
      </c>
      <c r="J301" s="3">
        <f>IF(ORIG!J301=0,"",ORIG!J301)</f>
        <v/>
      </c>
      <c r="K301" s="3">
        <f>IF(ORIG!K301=0,"",ORIG!K301)</f>
        <v/>
      </c>
      <c r="L301" s="3">
        <f>IF(ORIG!L301=0,"",ORIG!L301)</f>
        <v/>
      </c>
      <c r="M301" s="3">
        <f>IF(ORIG!M301=0,"",ORIG!M301)</f>
        <v/>
      </c>
      <c r="N301" s="3">
        <f>IF(ORIG!N301=0,"",ORIG!N301)</f>
        <v/>
      </c>
      <c r="O301" s="3">
        <f>IF(ORIG!O301=0,"",ORIG!O301)</f>
        <v/>
      </c>
      <c r="P301" s="3">
        <f>IF(ORIG!P301=0,"",ORIG!P301)</f>
        <v/>
      </c>
      <c r="Q301" s="3">
        <f>IF(ORIG!Q301=0,"",ORIG!Q301)</f>
        <v/>
      </c>
      <c r="R301" s="3">
        <f>IF(ORIG!R301=0,"",ORIG!R301)</f>
        <v/>
      </c>
      <c r="S301" s="3">
        <f>IF(ORIG!S301=0,"",ORIG!S301)</f>
        <v/>
      </c>
      <c r="T301" s="3">
        <f>IF(ORIG!T301=0,"",ORIG!T301)</f>
        <v/>
      </c>
      <c r="U301" s="3">
        <f>IF(ORIG!U301=0,"",ORIG!U301)</f>
        <v/>
      </c>
      <c r="V301" s="9">
        <f>IF(ORIG!V301=0,"",ORIG!V301)</f>
        <v/>
      </c>
      <c r="W301" s="9">
        <f>IF(ORIG!W301=0,"",ORIG!W301)</f>
        <v/>
      </c>
      <c r="X301" s="9">
        <f>IF(ORIG!X301=0,"",ORIG!X301)</f>
        <v/>
      </c>
      <c r="Y301" s="9">
        <f>IF(ORIG!Y301=0,"",ORIG!Y301)</f>
        <v/>
      </c>
      <c r="Z301" s="3">
        <f>SUMPRODUCT($B301:$Y301,$B$2649:$Y$2649)</f>
        <v/>
      </c>
      <c r="AA301" s="3">
        <f>SUMPRODUCT($B301:$Y301,$B$2655:$Y$2655)</f>
        <v/>
      </c>
      <c r="AC301" s="1">
        <f>A301</f>
        <v/>
      </c>
      <c r="AD301">
        <f>IF(ISNUMBER(V301),V301*($AB$1/V$2635),"")</f>
        <v/>
      </c>
      <c r="AE301">
        <f>IF(ISNUMBER(Z301),Z301*($AB$1/Z$2635),"")</f>
        <v/>
      </c>
      <c r="AF301" s="25">
        <f>IF(ISNUMBER(AD301+AE301),AD301+AE301,"")</f>
        <v/>
      </c>
      <c r="AH301" s="1">
        <f>A301</f>
        <v/>
      </c>
      <c r="AI301">
        <f>IF(ISNUMBER((1+V301)*AI300),(1+V301)*AI300,AI300)</f>
        <v/>
      </c>
      <c r="AJ301">
        <f>IF(ISNUMBER((1+Z301)*AJ300),(1+Z301)*AJ300,AJ300)</f>
        <v/>
      </c>
    </row>
    <row r="302">
      <c r="A302" s="1" t="n">
        <v>42440</v>
      </c>
      <c r="B302" s="3">
        <f>IF(ORIG!B302=0,"",ORIG!B302)</f>
        <v/>
      </c>
      <c r="C302" s="3">
        <f>IF(ORIG!C302=0,"",ORIG!C302)</f>
        <v/>
      </c>
      <c r="D302" s="3">
        <f>IF(ORIG!D302=0,"",ORIG!D302)</f>
        <v/>
      </c>
      <c r="E302" s="3">
        <f>IF(ORIG!E302=0,"",ORIG!E302)</f>
        <v/>
      </c>
      <c r="F302" s="3">
        <f>IF(ORIG!F302=0,"",ORIG!F302)</f>
        <v/>
      </c>
      <c r="G302" s="3">
        <f>IF(ORIG!G302=0,"",ORIG!G302)</f>
        <v/>
      </c>
      <c r="H302" s="3">
        <f>IF(ORIG!H302=0,"",ORIG!H302)</f>
        <v/>
      </c>
      <c r="I302" s="3">
        <f>IF(ORIG!I302=0,"",ORIG!I302)</f>
        <v/>
      </c>
      <c r="J302" s="3">
        <f>IF(ORIG!J302=0,"",ORIG!J302)</f>
        <v/>
      </c>
      <c r="K302" s="3">
        <f>IF(ORIG!K302=0,"",ORIG!K302)</f>
        <v/>
      </c>
      <c r="L302" s="3">
        <f>IF(ORIG!L302=0,"",ORIG!L302)</f>
        <v/>
      </c>
      <c r="M302" s="3">
        <f>IF(ORIG!M302=0,"",ORIG!M302)</f>
        <v/>
      </c>
      <c r="N302" s="3">
        <f>IF(ORIG!N302=0,"",ORIG!N302)</f>
        <v/>
      </c>
      <c r="O302" s="3">
        <f>IF(ORIG!O302=0,"",ORIG!O302)</f>
        <v/>
      </c>
      <c r="P302" s="3">
        <f>IF(ORIG!P302=0,"",ORIG!P302)</f>
        <v/>
      </c>
      <c r="Q302" s="3">
        <f>IF(ORIG!Q302=0,"",ORIG!Q302)</f>
        <v/>
      </c>
      <c r="R302" s="3">
        <f>IF(ORIG!R302=0,"",ORIG!R302)</f>
        <v/>
      </c>
      <c r="S302" s="3">
        <f>IF(ORIG!S302=0,"",ORIG!S302)</f>
        <v/>
      </c>
      <c r="T302" s="3">
        <f>IF(ORIG!T302=0,"",ORIG!T302)</f>
        <v/>
      </c>
      <c r="U302" s="3">
        <f>IF(ORIG!U302=0,"",ORIG!U302)</f>
        <v/>
      </c>
      <c r="V302" s="9">
        <f>IF(ORIG!V302=0,"",ORIG!V302)</f>
        <v/>
      </c>
      <c r="W302" s="9">
        <f>IF(ORIG!W302=0,"",ORIG!W302)</f>
        <v/>
      </c>
      <c r="X302" s="9">
        <f>IF(ORIG!X302=0,"",ORIG!X302)</f>
        <v/>
      </c>
      <c r="Y302" s="9">
        <f>IF(ORIG!Y302=0,"",ORIG!Y302)</f>
        <v/>
      </c>
      <c r="Z302" s="3">
        <f>SUMPRODUCT($B302:$Y302,$B$2649:$Y$2649)</f>
        <v/>
      </c>
      <c r="AA302" s="3">
        <f>SUMPRODUCT($B302:$Y302,$B$2655:$Y$2655)</f>
        <v/>
      </c>
      <c r="AC302" s="1">
        <f>A302</f>
        <v/>
      </c>
      <c r="AD302">
        <f>IF(ISNUMBER(V302),V302*($AB$1/V$2635),"")</f>
        <v/>
      </c>
      <c r="AE302">
        <f>IF(ISNUMBER(Z302),Z302*($AB$1/Z$2635),"")</f>
        <v/>
      </c>
      <c r="AF302" s="25">
        <f>IF(ISNUMBER(AD302+AE302),AD302+AE302,"")</f>
        <v/>
      </c>
      <c r="AH302" s="1">
        <f>A302</f>
        <v/>
      </c>
      <c r="AI302">
        <f>IF(ISNUMBER((1+V302)*AI301),(1+V302)*AI301,AI301)</f>
        <v/>
      </c>
      <c r="AJ302">
        <f>IF(ISNUMBER((1+Z302)*AJ301),(1+Z302)*AJ301,AJ301)</f>
        <v/>
      </c>
    </row>
    <row r="303">
      <c r="A303" s="1" t="n">
        <v>42443</v>
      </c>
      <c r="B303" s="3">
        <f>IF(ORIG!B303=0,"",ORIG!B303)</f>
        <v/>
      </c>
      <c r="C303" s="3">
        <f>IF(ORIG!C303=0,"",ORIG!C303)</f>
        <v/>
      </c>
      <c r="D303" s="3">
        <f>IF(ORIG!D303=0,"",ORIG!D303)</f>
        <v/>
      </c>
      <c r="E303" s="3">
        <f>IF(ORIG!E303=0,"",ORIG!E303)</f>
        <v/>
      </c>
      <c r="F303" s="3">
        <f>IF(ORIG!F303=0,"",ORIG!F303)</f>
        <v/>
      </c>
      <c r="G303" s="3">
        <f>IF(ORIG!G303=0,"",ORIG!G303)</f>
        <v/>
      </c>
      <c r="H303" s="3">
        <f>IF(ORIG!H303=0,"",ORIG!H303)</f>
        <v/>
      </c>
      <c r="I303" s="3">
        <f>IF(ORIG!I303=0,"",ORIG!I303)</f>
        <v/>
      </c>
      <c r="J303" s="3">
        <f>IF(ORIG!J303=0,"",ORIG!J303)</f>
        <v/>
      </c>
      <c r="K303" s="3">
        <f>IF(ORIG!K303=0,"",ORIG!K303)</f>
        <v/>
      </c>
      <c r="L303" s="3">
        <f>IF(ORIG!L303=0,"",ORIG!L303)</f>
        <v/>
      </c>
      <c r="M303" s="3">
        <f>IF(ORIG!M303=0,"",ORIG!M303)</f>
        <v/>
      </c>
      <c r="N303" s="3">
        <f>IF(ORIG!N303=0,"",ORIG!N303)</f>
        <v/>
      </c>
      <c r="O303" s="3">
        <f>IF(ORIG!O303=0,"",ORIG!O303)</f>
        <v/>
      </c>
      <c r="P303" s="3">
        <f>IF(ORIG!P303=0,"",ORIG!P303)</f>
        <v/>
      </c>
      <c r="Q303" s="3">
        <f>IF(ORIG!Q303=0,"",ORIG!Q303)</f>
        <v/>
      </c>
      <c r="R303" s="3">
        <f>IF(ORIG!R303=0,"",ORIG!R303)</f>
        <v/>
      </c>
      <c r="S303" s="3">
        <f>IF(ORIG!S303=0,"",ORIG!S303)</f>
        <v/>
      </c>
      <c r="T303" s="3">
        <f>IF(ORIG!T303=0,"",ORIG!T303)</f>
        <v/>
      </c>
      <c r="U303" s="3">
        <f>IF(ORIG!U303=0,"",ORIG!U303)</f>
        <v/>
      </c>
      <c r="V303" s="9">
        <f>IF(ORIG!V303=0,"",ORIG!V303)</f>
        <v/>
      </c>
      <c r="W303" s="9">
        <f>IF(ORIG!W303=0,"",ORIG!W303)</f>
        <v/>
      </c>
      <c r="X303" s="9">
        <f>IF(ORIG!X303=0,"",ORIG!X303)</f>
        <v/>
      </c>
      <c r="Y303" s="9">
        <f>IF(ORIG!Y303=0,"",ORIG!Y303)</f>
        <v/>
      </c>
      <c r="Z303" s="3">
        <f>SUMPRODUCT($B303:$Y303,$B$2649:$Y$2649)</f>
        <v/>
      </c>
      <c r="AA303" s="3">
        <f>SUMPRODUCT($B303:$Y303,$B$2655:$Y$2655)</f>
        <v/>
      </c>
      <c r="AC303" s="1">
        <f>A303</f>
        <v/>
      </c>
      <c r="AD303">
        <f>IF(ISNUMBER(V303),V303*($AB$1/V$2635),"")</f>
        <v/>
      </c>
      <c r="AE303">
        <f>IF(ISNUMBER(Z303),Z303*($AB$1/Z$2635),"")</f>
        <v/>
      </c>
      <c r="AF303" s="25">
        <f>IF(ISNUMBER(AD303+AE303),AD303+AE303,"")</f>
        <v/>
      </c>
      <c r="AH303" s="1">
        <f>A303</f>
        <v/>
      </c>
      <c r="AI303">
        <f>IF(ISNUMBER((1+V303)*AI302),(1+V303)*AI302,AI302)</f>
        <v/>
      </c>
      <c r="AJ303">
        <f>IF(ISNUMBER((1+Z303)*AJ302),(1+Z303)*AJ302,AJ302)</f>
        <v/>
      </c>
    </row>
    <row r="304">
      <c r="A304" s="1" t="n">
        <v>42444</v>
      </c>
      <c r="B304" s="3">
        <f>IF(ORIG!B304=0,"",ORIG!B304)</f>
        <v/>
      </c>
      <c r="C304" s="3">
        <f>IF(ORIG!C304=0,"",ORIG!C304)</f>
        <v/>
      </c>
      <c r="D304" s="3">
        <f>IF(ORIG!D304=0,"",ORIG!D304)</f>
        <v/>
      </c>
      <c r="E304" s="3">
        <f>IF(ORIG!E304=0,"",ORIG!E304)</f>
        <v/>
      </c>
      <c r="F304" s="3">
        <f>IF(ORIG!F304=0,"",ORIG!F304)</f>
        <v/>
      </c>
      <c r="G304" s="3">
        <f>IF(ORIG!G304=0,"",ORIG!G304)</f>
        <v/>
      </c>
      <c r="H304" s="3">
        <f>IF(ORIG!H304=0,"",ORIG!H304)</f>
        <v/>
      </c>
      <c r="I304" s="3">
        <f>IF(ORIG!I304=0,"",ORIG!I304)</f>
        <v/>
      </c>
      <c r="J304" s="3">
        <f>IF(ORIG!J304=0,"",ORIG!J304)</f>
        <v/>
      </c>
      <c r="K304" s="3">
        <f>IF(ORIG!K304=0,"",ORIG!K304)</f>
        <v/>
      </c>
      <c r="L304" s="3">
        <f>IF(ORIG!L304=0,"",ORIG!L304)</f>
        <v/>
      </c>
      <c r="M304" s="3">
        <f>IF(ORIG!M304=0,"",ORIG!M304)</f>
        <v/>
      </c>
      <c r="N304" s="3">
        <f>IF(ORIG!N304=0,"",ORIG!N304)</f>
        <v/>
      </c>
      <c r="O304" s="3">
        <f>IF(ORIG!O304=0,"",ORIG!O304)</f>
        <v/>
      </c>
      <c r="P304" s="3">
        <f>IF(ORIG!P304=0,"",ORIG!P304)</f>
        <v/>
      </c>
      <c r="Q304" s="3">
        <f>IF(ORIG!Q304=0,"",ORIG!Q304)</f>
        <v/>
      </c>
      <c r="R304" s="3">
        <f>IF(ORIG!R304=0,"",ORIG!R304)</f>
        <v/>
      </c>
      <c r="S304" s="3">
        <f>IF(ORIG!S304=0,"",ORIG!S304)</f>
        <v/>
      </c>
      <c r="T304" s="3">
        <f>IF(ORIG!T304=0,"",ORIG!T304)</f>
        <v/>
      </c>
      <c r="U304" s="3">
        <f>IF(ORIG!U304=0,"",ORIG!U304)</f>
        <v/>
      </c>
      <c r="V304" s="9">
        <f>IF(ORIG!V304=0,"",ORIG!V304)</f>
        <v/>
      </c>
      <c r="W304" s="9">
        <f>IF(ORIG!W304=0,"",ORIG!W304)</f>
        <v/>
      </c>
      <c r="X304" s="9">
        <f>IF(ORIG!X304=0,"",ORIG!X304)</f>
        <v/>
      </c>
      <c r="Y304" s="9">
        <f>IF(ORIG!Y304=0,"",ORIG!Y304)</f>
        <v/>
      </c>
      <c r="Z304" s="3">
        <f>SUMPRODUCT($B304:$Y304,$B$2649:$Y$2649)</f>
        <v/>
      </c>
      <c r="AA304" s="3">
        <f>SUMPRODUCT($B304:$Y304,$B$2655:$Y$2655)</f>
        <v/>
      </c>
      <c r="AC304" s="1">
        <f>A304</f>
        <v/>
      </c>
      <c r="AD304">
        <f>IF(ISNUMBER(V304),V304*($AB$1/V$2635),"")</f>
        <v/>
      </c>
      <c r="AE304">
        <f>IF(ISNUMBER(Z304),Z304*($AB$1/Z$2635),"")</f>
        <v/>
      </c>
      <c r="AF304" s="25">
        <f>IF(ISNUMBER(AD304+AE304),AD304+AE304,"")</f>
        <v/>
      </c>
      <c r="AH304" s="1">
        <f>A304</f>
        <v/>
      </c>
      <c r="AI304">
        <f>IF(ISNUMBER((1+V304)*AI303),(1+V304)*AI303,AI303)</f>
        <v/>
      </c>
      <c r="AJ304">
        <f>IF(ISNUMBER((1+Z304)*AJ303),(1+Z304)*AJ303,AJ303)</f>
        <v/>
      </c>
    </row>
    <row r="305">
      <c r="A305" s="1" t="n">
        <v>42445</v>
      </c>
      <c r="B305" s="3">
        <f>IF(ORIG!B305=0,"",ORIG!B305)</f>
        <v/>
      </c>
      <c r="C305" s="3">
        <f>IF(ORIG!C305=0,"",ORIG!C305)</f>
        <v/>
      </c>
      <c r="D305" s="3">
        <f>IF(ORIG!D305=0,"",ORIG!D305)</f>
        <v/>
      </c>
      <c r="E305" s="3">
        <f>IF(ORIG!E305=0,"",ORIG!E305)</f>
        <v/>
      </c>
      <c r="F305" s="3">
        <f>IF(ORIG!F305=0,"",ORIG!F305)</f>
        <v/>
      </c>
      <c r="G305" s="3">
        <f>IF(ORIG!G305=0,"",ORIG!G305)</f>
        <v/>
      </c>
      <c r="H305" s="3">
        <f>IF(ORIG!H305=0,"",ORIG!H305)</f>
        <v/>
      </c>
      <c r="I305" s="3">
        <f>IF(ORIG!I305=0,"",ORIG!I305)</f>
        <v/>
      </c>
      <c r="J305" s="3">
        <f>IF(ORIG!J305=0,"",ORIG!J305)</f>
        <v/>
      </c>
      <c r="K305" s="3">
        <f>IF(ORIG!K305=0,"",ORIG!K305)</f>
        <v/>
      </c>
      <c r="L305" s="3">
        <f>IF(ORIG!L305=0,"",ORIG!L305)</f>
        <v/>
      </c>
      <c r="M305" s="3">
        <f>IF(ORIG!M305=0,"",ORIG!M305)</f>
        <v/>
      </c>
      <c r="N305" s="3">
        <f>IF(ORIG!N305=0,"",ORIG!N305)</f>
        <v/>
      </c>
      <c r="O305" s="3">
        <f>IF(ORIG!O305=0,"",ORIG!O305)</f>
        <v/>
      </c>
      <c r="P305" s="3">
        <f>IF(ORIG!P305=0,"",ORIG!P305)</f>
        <v/>
      </c>
      <c r="Q305" s="3">
        <f>IF(ORIG!Q305=0,"",ORIG!Q305)</f>
        <v/>
      </c>
      <c r="R305" s="3">
        <f>IF(ORIG!R305=0,"",ORIG!R305)</f>
        <v/>
      </c>
      <c r="S305" s="3">
        <f>IF(ORIG!S305=0,"",ORIG!S305)</f>
        <v/>
      </c>
      <c r="T305" s="3">
        <f>IF(ORIG!T305=0,"",ORIG!T305)</f>
        <v/>
      </c>
      <c r="U305" s="3">
        <f>IF(ORIG!U305=0,"",ORIG!U305)</f>
        <v/>
      </c>
      <c r="V305" s="9">
        <f>IF(ORIG!V305=0,"",ORIG!V305)</f>
        <v/>
      </c>
      <c r="W305" s="9">
        <f>IF(ORIG!W305=0,"",ORIG!W305)</f>
        <v/>
      </c>
      <c r="X305" s="9">
        <f>IF(ORIG!X305=0,"",ORIG!X305)</f>
        <v/>
      </c>
      <c r="Y305" s="9">
        <f>IF(ORIG!Y305=0,"",ORIG!Y305)</f>
        <v/>
      </c>
      <c r="Z305" s="3">
        <f>SUMPRODUCT($B305:$Y305,$B$2649:$Y$2649)</f>
        <v/>
      </c>
      <c r="AA305" s="3">
        <f>SUMPRODUCT($B305:$Y305,$B$2655:$Y$2655)</f>
        <v/>
      </c>
      <c r="AC305" s="1">
        <f>A305</f>
        <v/>
      </c>
      <c r="AD305">
        <f>IF(ISNUMBER(V305),V305*($AB$1/V$2635),"")</f>
        <v/>
      </c>
      <c r="AE305">
        <f>IF(ISNUMBER(Z305),Z305*($AB$1/Z$2635),"")</f>
        <v/>
      </c>
      <c r="AF305" s="25">
        <f>IF(ISNUMBER(AD305+AE305),AD305+AE305,"")</f>
        <v/>
      </c>
      <c r="AH305" s="1">
        <f>A305</f>
        <v/>
      </c>
      <c r="AI305">
        <f>IF(ISNUMBER((1+V305)*AI304),(1+V305)*AI304,AI304)</f>
        <v/>
      </c>
      <c r="AJ305">
        <f>IF(ISNUMBER((1+Z305)*AJ304),(1+Z305)*AJ304,AJ304)</f>
        <v/>
      </c>
    </row>
    <row r="306">
      <c r="A306" s="1" t="n">
        <v>42446</v>
      </c>
      <c r="B306" s="3">
        <f>IF(ORIG!B306=0,"",ORIG!B306)</f>
        <v/>
      </c>
      <c r="C306" s="3">
        <f>IF(ORIG!C306=0,"",ORIG!C306)</f>
        <v/>
      </c>
      <c r="D306" s="3">
        <f>IF(ORIG!D306=0,"",ORIG!D306)</f>
        <v/>
      </c>
      <c r="E306" s="3">
        <f>IF(ORIG!E306=0,"",ORIG!E306)</f>
        <v/>
      </c>
      <c r="F306" s="3">
        <f>IF(ORIG!F306=0,"",ORIG!F306)</f>
        <v/>
      </c>
      <c r="G306" s="3">
        <f>IF(ORIG!G306=0,"",ORIG!G306)</f>
        <v/>
      </c>
      <c r="H306" s="3">
        <f>IF(ORIG!H306=0,"",ORIG!H306)</f>
        <v/>
      </c>
      <c r="I306" s="3">
        <f>IF(ORIG!I306=0,"",ORIG!I306)</f>
        <v/>
      </c>
      <c r="J306" s="3">
        <f>IF(ORIG!J306=0,"",ORIG!J306)</f>
        <v/>
      </c>
      <c r="K306" s="3">
        <f>IF(ORIG!K306=0,"",ORIG!K306)</f>
        <v/>
      </c>
      <c r="L306" s="3">
        <f>IF(ORIG!L306=0,"",ORIG!L306)</f>
        <v/>
      </c>
      <c r="M306" s="3">
        <f>IF(ORIG!M306=0,"",ORIG!M306)</f>
        <v/>
      </c>
      <c r="N306" s="3">
        <f>IF(ORIG!N306=0,"",ORIG!N306)</f>
        <v/>
      </c>
      <c r="O306" s="3">
        <f>IF(ORIG!O306=0,"",ORIG!O306)</f>
        <v/>
      </c>
      <c r="P306" s="3">
        <f>IF(ORIG!P306=0,"",ORIG!P306)</f>
        <v/>
      </c>
      <c r="Q306" s="3">
        <f>IF(ORIG!Q306=0,"",ORIG!Q306)</f>
        <v/>
      </c>
      <c r="R306" s="3">
        <f>IF(ORIG!R306=0,"",ORIG!R306)</f>
        <v/>
      </c>
      <c r="S306" s="3">
        <f>IF(ORIG!S306=0,"",ORIG!S306)</f>
        <v/>
      </c>
      <c r="T306" s="3">
        <f>IF(ORIG!T306=0,"",ORIG!T306)</f>
        <v/>
      </c>
      <c r="U306" s="3">
        <f>IF(ORIG!U306=0,"",ORIG!U306)</f>
        <v/>
      </c>
      <c r="V306" s="9">
        <f>IF(ORIG!V306=0,"",ORIG!V306)</f>
        <v/>
      </c>
      <c r="W306" s="9">
        <f>IF(ORIG!W306=0,"",ORIG!W306)</f>
        <v/>
      </c>
      <c r="X306" s="9">
        <f>IF(ORIG!X306=0,"",ORIG!X306)</f>
        <v/>
      </c>
      <c r="Y306" s="9">
        <f>IF(ORIG!Y306=0,"",ORIG!Y306)</f>
        <v/>
      </c>
      <c r="Z306" s="3">
        <f>SUMPRODUCT($B306:$Y306,$B$2649:$Y$2649)</f>
        <v/>
      </c>
      <c r="AA306" s="3">
        <f>SUMPRODUCT($B306:$Y306,$B$2655:$Y$2655)</f>
        <v/>
      </c>
      <c r="AC306" s="1">
        <f>A306</f>
        <v/>
      </c>
      <c r="AD306">
        <f>IF(ISNUMBER(V306),V306*($AB$1/V$2635),"")</f>
        <v/>
      </c>
      <c r="AE306">
        <f>IF(ISNUMBER(Z306),Z306*($AB$1/Z$2635),"")</f>
        <v/>
      </c>
      <c r="AF306" s="25">
        <f>IF(ISNUMBER(AD306+AE306),AD306+AE306,"")</f>
        <v/>
      </c>
      <c r="AH306" s="1">
        <f>A306</f>
        <v/>
      </c>
      <c r="AI306">
        <f>IF(ISNUMBER((1+V306)*AI305),(1+V306)*AI305,AI305)</f>
        <v/>
      </c>
      <c r="AJ306">
        <f>IF(ISNUMBER((1+Z306)*AJ305),(1+Z306)*AJ305,AJ305)</f>
        <v/>
      </c>
    </row>
    <row r="307">
      <c r="A307" s="1" t="n">
        <v>42447</v>
      </c>
      <c r="B307" s="3">
        <f>IF(ORIG!B307=0,"",ORIG!B307)</f>
        <v/>
      </c>
      <c r="C307" s="3">
        <f>IF(ORIG!C307=0,"",ORIG!C307)</f>
        <v/>
      </c>
      <c r="D307" s="3">
        <f>IF(ORIG!D307=0,"",ORIG!D307)</f>
        <v/>
      </c>
      <c r="E307" s="3">
        <f>IF(ORIG!E307=0,"",ORIG!E307)</f>
        <v/>
      </c>
      <c r="F307" s="3">
        <f>IF(ORIG!F307=0,"",ORIG!F307)</f>
        <v/>
      </c>
      <c r="G307" s="3">
        <f>IF(ORIG!G307=0,"",ORIG!G307)</f>
        <v/>
      </c>
      <c r="H307" s="3">
        <f>IF(ORIG!H307=0,"",ORIG!H307)</f>
        <v/>
      </c>
      <c r="I307" s="3">
        <f>IF(ORIG!I307=0,"",ORIG!I307)</f>
        <v/>
      </c>
      <c r="J307" s="3">
        <f>IF(ORIG!J307=0,"",ORIG!J307)</f>
        <v/>
      </c>
      <c r="K307" s="3">
        <f>IF(ORIG!K307=0,"",ORIG!K307)</f>
        <v/>
      </c>
      <c r="L307" s="3">
        <f>IF(ORIG!L307=0,"",ORIG!L307)</f>
        <v/>
      </c>
      <c r="M307" s="3">
        <f>IF(ORIG!M307=0,"",ORIG!M307)</f>
        <v/>
      </c>
      <c r="N307" s="3">
        <f>IF(ORIG!N307=0,"",ORIG!N307)</f>
        <v/>
      </c>
      <c r="O307" s="3">
        <f>IF(ORIG!O307=0,"",ORIG!O307)</f>
        <v/>
      </c>
      <c r="P307" s="3">
        <f>IF(ORIG!P307=0,"",ORIG!P307)</f>
        <v/>
      </c>
      <c r="Q307" s="3">
        <f>IF(ORIG!Q307=0,"",ORIG!Q307)</f>
        <v/>
      </c>
      <c r="R307" s="3">
        <f>IF(ORIG!R307=0,"",ORIG!R307)</f>
        <v/>
      </c>
      <c r="S307" s="3">
        <f>IF(ORIG!S307=0,"",ORIG!S307)</f>
        <v/>
      </c>
      <c r="T307" s="3">
        <f>IF(ORIG!T307=0,"",ORIG!T307)</f>
        <v/>
      </c>
      <c r="U307" s="3">
        <f>IF(ORIG!U307=0,"",ORIG!U307)</f>
        <v/>
      </c>
      <c r="V307" s="9">
        <f>IF(ORIG!V307=0,"",ORIG!V307)</f>
        <v/>
      </c>
      <c r="W307" s="9">
        <f>IF(ORIG!W307=0,"",ORIG!W307)</f>
        <v/>
      </c>
      <c r="X307" s="9">
        <f>IF(ORIG!X307=0,"",ORIG!X307)</f>
        <v/>
      </c>
      <c r="Y307" s="9">
        <f>IF(ORIG!Y307=0,"",ORIG!Y307)</f>
        <v/>
      </c>
      <c r="Z307" s="3">
        <f>SUMPRODUCT($B307:$Y307,$B$2649:$Y$2649)</f>
        <v/>
      </c>
      <c r="AA307" s="3">
        <f>SUMPRODUCT($B307:$Y307,$B$2655:$Y$2655)</f>
        <v/>
      </c>
      <c r="AC307" s="1">
        <f>A307</f>
        <v/>
      </c>
      <c r="AD307">
        <f>IF(ISNUMBER(V307),V307*($AB$1/V$2635),"")</f>
        <v/>
      </c>
      <c r="AE307">
        <f>IF(ISNUMBER(Z307),Z307*($AB$1/Z$2635),"")</f>
        <v/>
      </c>
      <c r="AF307" s="25">
        <f>IF(ISNUMBER(AD307+AE307),AD307+AE307,"")</f>
        <v/>
      </c>
      <c r="AH307" s="1">
        <f>A307</f>
        <v/>
      </c>
      <c r="AI307">
        <f>IF(ISNUMBER((1+V307)*AI306),(1+V307)*AI306,AI306)</f>
        <v/>
      </c>
      <c r="AJ307">
        <f>IF(ISNUMBER((1+Z307)*AJ306),(1+Z307)*AJ306,AJ306)</f>
        <v/>
      </c>
    </row>
    <row r="308">
      <c r="A308" s="1" t="n">
        <v>42450</v>
      </c>
      <c r="B308" s="3">
        <f>IF(ORIG!B308=0,"",ORIG!B308)</f>
        <v/>
      </c>
      <c r="C308" s="3">
        <f>IF(ORIG!C308=0,"",ORIG!C308)</f>
        <v/>
      </c>
      <c r="D308" s="3">
        <f>IF(ORIG!D308=0,"",ORIG!D308)</f>
        <v/>
      </c>
      <c r="E308" s="3">
        <f>IF(ORIG!E308=0,"",ORIG!E308)</f>
        <v/>
      </c>
      <c r="F308" s="3">
        <f>IF(ORIG!F308=0,"",ORIG!F308)</f>
        <v/>
      </c>
      <c r="G308" s="3">
        <f>IF(ORIG!G308=0,"",ORIG!G308)</f>
        <v/>
      </c>
      <c r="H308" s="3">
        <f>IF(ORIG!H308=0,"",ORIG!H308)</f>
        <v/>
      </c>
      <c r="I308" s="3">
        <f>IF(ORIG!I308=0,"",ORIG!I308)</f>
        <v/>
      </c>
      <c r="J308" s="3">
        <f>IF(ORIG!J308=0,"",ORIG!J308)</f>
        <v/>
      </c>
      <c r="K308" s="3">
        <f>IF(ORIG!K308=0,"",ORIG!K308)</f>
        <v/>
      </c>
      <c r="L308" s="3">
        <f>IF(ORIG!L308=0,"",ORIG!L308)</f>
        <v/>
      </c>
      <c r="M308" s="3">
        <f>IF(ORIG!M308=0,"",ORIG!M308)</f>
        <v/>
      </c>
      <c r="N308" s="3">
        <f>IF(ORIG!N308=0,"",ORIG!N308)</f>
        <v/>
      </c>
      <c r="O308" s="3">
        <f>IF(ORIG!O308=0,"",ORIG!O308)</f>
        <v/>
      </c>
      <c r="P308" s="3">
        <f>IF(ORIG!P308=0,"",ORIG!P308)</f>
        <v/>
      </c>
      <c r="Q308" s="3">
        <f>IF(ORIG!Q308=0,"",ORIG!Q308)</f>
        <v/>
      </c>
      <c r="R308" s="3">
        <f>IF(ORIG!R308=0,"",ORIG!R308)</f>
        <v/>
      </c>
      <c r="S308" s="3">
        <f>IF(ORIG!S308=0,"",ORIG!S308)</f>
        <v/>
      </c>
      <c r="T308" s="3">
        <f>IF(ORIG!T308=0,"",ORIG!T308)</f>
        <v/>
      </c>
      <c r="U308" s="3">
        <f>IF(ORIG!U308=0,"",ORIG!U308)</f>
        <v/>
      </c>
      <c r="V308" s="9">
        <f>IF(ORIG!V308=0,"",ORIG!V308)</f>
        <v/>
      </c>
      <c r="W308" s="9">
        <f>IF(ORIG!W308=0,"",ORIG!W308)</f>
        <v/>
      </c>
      <c r="X308" s="9">
        <f>IF(ORIG!X308=0,"",ORIG!X308)</f>
        <v/>
      </c>
      <c r="Y308" s="9">
        <f>IF(ORIG!Y308=0,"",ORIG!Y308)</f>
        <v/>
      </c>
      <c r="Z308" s="3">
        <f>SUMPRODUCT($B308:$Y308,$B$2649:$Y$2649)</f>
        <v/>
      </c>
      <c r="AA308" s="3">
        <f>SUMPRODUCT($B308:$Y308,$B$2655:$Y$2655)</f>
        <v/>
      </c>
      <c r="AC308" s="1">
        <f>A308</f>
        <v/>
      </c>
      <c r="AD308">
        <f>IF(ISNUMBER(V308),V308*($AB$1/V$2635),"")</f>
        <v/>
      </c>
      <c r="AE308">
        <f>IF(ISNUMBER(Z308),Z308*($AB$1/Z$2635),"")</f>
        <v/>
      </c>
      <c r="AF308" s="25">
        <f>IF(ISNUMBER(AD308+AE308),AD308+AE308,"")</f>
        <v/>
      </c>
      <c r="AH308" s="1">
        <f>A308</f>
        <v/>
      </c>
      <c r="AI308">
        <f>IF(ISNUMBER((1+V308)*AI307),(1+V308)*AI307,AI307)</f>
        <v/>
      </c>
      <c r="AJ308">
        <f>IF(ISNUMBER((1+Z308)*AJ307),(1+Z308)*AJ307,AJ307)</f>
        <v/>
      </c>
    </row>
    <row r="309">
      <c r="A309" s="1" t="n">
        <v>42451</v>
      </c>
      <c r="B309" s="3">
        <f>IF(ORIG!B309=0,"",ORIG!B309)</f>
        <v/>
      </c>
      <c r="C309" s="3">
        <f>IF(ORIG!C309=0,"",ORIG!C309)</f>
        <v/>
      </c>
      <c r="D309" s="3">
        <f>IF(ORIG!D309=0,"",ORIG!D309)</f>
        <v/>
      </c>
      <c r="E309" s="3">
        <f>IF(ORIG!E309=0,"",ORIG!E309)</f>
        <v/>
      </c>
      <c r="F309" s="3">
        <f>IF(ORIG!F309=0,"",ORIG!F309)</f>
        <v/>
      </c>
      <c r="G309" s="3">
        <f>IF(ORIG!G309=0,"",ORIG!G309)</f>
        <v/>
      </c>
      <c r="H309" s="3">
        <f>IF(ORIG!H309=0,"",ORIG!H309)</f>
        <v/>
      </c>
      <c r="I309" s="3">
        <f>IF(ORIG!I309=0,"",ORIG!I309)</f>
        <v/>
      </c>
      <c r="J309" s="3">
        <f>IF(ORIG!J309=0,"",ORIG!J309)</f>
        <v/>
      </c>
      <c r="K309" s="3">
        <f>IF(ORIG!K309=0,"",ORIG!K309)</f>
        <v/>
      </c>
      <c r="L309" s="3">
        <f>IF(ORIG!L309=0,"",ORIG!L309)</f>
        <v/>
      </c>
      <c r="M309" s="3">
        <f>IF(ORIG!M309=0,"",ORIG!M309)</f>
        <v/>
      </c>
      <c r="N309" s="3">
        <f>IF(ORIG!N309=0,"",ORIG!N309)</f>
        <v/>
      </c>
      <c r="O309" s="3">
        <f>IF(ORIG!O309=0,"",ORIG!O309)</f>
        <v/>
      </c>
      <c r="P309" s="3">
        <f>IF(ORIG!P309=0,"",ORIG!P309)</f>
        <v/>
      </c>
      <c r="Q309" s="3">
        <f>IF(ORIG!Q309=0,"",ORIG!Q309)</f>
        <v/>
      </c>
      <c r="R309" s="3">
        <f>IF(ORIG!R309=0,"",ORIG!R309)</f>
        <v/>
      </c>
      <c r="S309" s="3">
        <f>IF(ORIG!S309=0,"",ORIG!S309)</f>
        <v/>
      </c>
      <c r="T309" s="3">
        <f>IF(ORIG!T309=0,"",ORIG!T309)</f>
        <v/>
      </c>
      <c r="U309" s="3">
        <f>IF(ORIG!U309=0,"",ORIG!U309)</f>
        <v/>
      </c>
      <c r="V309" s="9">
        <f>IF(ORIG!V309=0,"",ORIG!V309)</f>
        <v/>
      </c>
      <c r="W309" s="9">
        <f>IF(ORIG!W309=0,"",ORIG!W309)</f>
        <v/>
      </c>
      <c r="X309" s="9">
        <f>IF(ORIG!X309=0,"",ORIG!X309)</f>
        <v/>
      </c>
      <c r="Y309" s="9">
        <f>IF(ORIG!Y309=0,"",ORIG!Y309)</f>
        <v/>
      </c>
      <c r="Z309" s="3">
        <f>SUMPRODUCT($B309:$Y309,$B$2649:$Y$2649)</f>
        <v/>
      </c>
      <c r="AA309" s="3">
        <f>SUMPRODUCT($B309:$Y309,$B$2655:$Y$2655)</f>
        <v/>
      </c>
      <c r="AC309" s="1">
        <f>A309</f>
        <v/>
      </c>
      <c r="AD309">
        <f>IF(ISNUMBER(V309),V309*($AB$1/V$2635),"")</f>
        <v/>
      </c>
      <c r="AE309">
        <f>IF(ISNUMBER(Z309),Z309*($AB$1/Z$2635),"")</f>
        <v/>
      </c>
      <c r="AF309" s="25">
        <f>IF(ISNUMBER(AD309+AE309),AD309+AE309,"")</f>
        <v/>
      </c>
      <c r="AH309" s="1">
        <f>A309</f>
        <v/>
      </c>
      <c r="AI309">
        <f>IF(ISNUMBER((1+V309)*AI308),(1+V309)*AI308,AI308)</f>
        <v/>
      </c>
      <c r="AJ309">
        <f>IF(ISNUMBER((1+Z309)*AJ308),(1+Z309)*AJ308,AJ308)</f>
        <v/>
      </c>
    </row>
    <row r="310">
      <c r="A310" s="1" t="n">
        <v>42452</v>
      </c>
      <c r="B310" s="3">
        <f>IF(ORIG!B310=0,"",ORIG!B310)</f>
        <v/>
      </c>
      <c r="C310" s="3">
        <f>IF(ORIG!C310=0,"",ORIG!C310)</f>
        <v/>
      </c>
      <c r="D310" s="3">
        <f>IF(ORIG!D310=0,"",ORIG!D310)</f>
        <v/>
      </c>
      <c r="E310" s="3">
        <f>IF(ORIG!E310=0,"",ORIG!E310)</f>
        <v/>
      </c>
      <c r="F310" s="3">
        <f>IF(ORIG!F310=0,"",ORIG!F310)</f>
        <v/>
      </c>
      <c r="G310" s="3">
        <f>IF(ORIG!G310=0,"",ORIG!G310)</f>
        <v/>
      </c>
      <c r="H310" s="3">
        <f>IF(ORIG!H310=0,"",ORIG!H310)</f>
        <v/>
      </c>
      <c r="I310" s="3">
        <f>IF(ORIG!I310=0,"",ORIG!I310)</f>
        <v/>
      </c>
      <c r="J310" s="3">
        <f>IF(ORIG!J310=0,"",ORIG!J310)</f>
        <v/>
      </c>
      <c r="K310" s="3">
        <f>IF(ORIG!K310=0,"",ORIG!K310)</f>
        <v/>
      </c>
      <c r="L310" s="3">
        <f>IF(ORIG!L310=0,"",ORIG!L310)</f>
        <v/>
      </c>
      <c r="M310" s="3">
        <f>IF(ORIG!M310=0,"",ORIG!M310)</f>
        <v/>
      </c>
      <c r="N310" s="3">
        <f>IF(ORIG!N310=0,"",ORIG!N310)</f>
        <v/>
      </c>
      <c r="O310" s="3">
        <f>IF(ORIG!O310=0,"",ORIG!O310)</f>
        <v/>
      </c>
      <c r="P310" s="3">
        <f>IF(ORIG!P310=0,"",ORIG!P310)</f>
        <v/>
      </c>
      <c r="Q310" s="3">
        <f>IF(ORIG!Q310=0,"",ORIG!Q310)</f>
        <v/>
      </c>
      <c r="R310" s="3">
        <f>IF(ORIG!R310=0,"",ORIG!R310)</f>
        <v/>
      </c>
      <c r="S310" s="3">
        <f>IF(ORIG!S310=0,"",ORIG!S310)</f>
        <v/>
      </c>
      <c r="T310" s="3">
        <f>IF(ORIG!T310=0,"",ORIG!T310)</f>
        <v/>
      </c>
      <c r="U310" s="3">
        <f>IF(ORIG!U310=0,"",ORIG!U310)</f>
        <v/>
      </c>
      <c r="V310" s="9">
        <f>IF(ORIG!V310=0,"",ORIG!V310)</f>
        <v/>
      </c>
      <c r="W310" s="9">
        <f>IF(ORIG!W310=0,"",ORIG!W310)</f>
        <v/>
      </c>
      <c r="X310" s="9">
        <f>IF(ORIG!X310=0,"",ORIG!X310)</f>
        <v/>
      </c>
      <c r="Y310" s="9">
        <f>IF(ORIG!Y310=0,"",ORIG!Y310)</f>
        <v/>
      </c>
      <c r="Z310" s="3">
        <f>SUMPRODUCT($B310:$Y310,$B$2649:$Y$2649)</f>
        <v/>
      </c>
      <c r="AA310" s="3">
        <f>SUMPRODUCT($B310:$Y310,$B$2655:$Y$2655)</f>
        <v/>
      </c>
      <c r="AC310" s="1">
        <f>A310</f>
        <v/>
      </c>
      <c r="AD310">
        <f>IF(ISNUMBER(V310),V310*($AB$1/V$2635),"")</f>
        <v/>
      </c>
      <c r="AE310">
        <f>IF(ISNUMBER(Z310),Z310*($AB$1/Z$2635),"")</f>
        <v/>
      </c>
      <c r="AF310" s="25">
        <f>IF(ISNUMBER(AD310+AE310),AD310+AE310,"")</f>
        <v/>
      </c>
      <c r="AH310" s="1">
        <f>A310</f>
        <v/>
      </c>
      <c r="AI310">
        <f>IF(ISNUMBER((1+V310)*AI309),(1+V310)*AI309,AI309)</f>
        <v/>
      </c>
      <c r="AJ310">
        <f>IF(ISNUMBER((1+Z310)*AJ309),(1+Z310)*AJ309,AJ309)</f>
        <v/>
      </c>
    </row>
    <row r="311">
      <c r="A311" s="1" t="n">
        <v>42453</v>
      </c>
      <c r="B311" s="3">
        <f>IF(ORIG!B311=0,"",ORIG!B311)</f>
        <v/>
      </c>
      <c r="C311" s="3">
        <f>IF(ORIG!C311=0,"",ORIG!C311)</f>
        <v/>
      </c>
      <c r="D311" s="3">
        <f>IF(ORIG!D311=0,"",ORIG!D311)</f>
        <v/>
      </c>
      <c r="E311" s="3">
        <f>IF(ORIG!E311=0,"",ORIG!E311)</f>
        <v/>
      </c>
      <c r="F311" s="3">
        <f>IF(ORIG!F311=0,"",ORIG!F311)</f>
        <v/>
      </c>
      <c r="G311" s="3">
        <f>IF(ORIG!G311=0,"",ORIG!G311)</f>
        <v/>
      </c>
      <c r="H311" s="3">
        <f>IF(ORIG!H311=0,"",ORIG!H311)</f>
        <v/>
      </c>
      <c r="I311" s="3">
        <f>IF(ORIG!I311=0,"",ORIG!I311)</f>
        <v/>
      </c>
      <c r="J311" s="3">
        <f>IF(ORIG!J311=0,"",ORIG!J311)</f>
        <v/>
      </c>
      <c r="K311" s="3">
        <f>IF(ORIG!K311=0,"",ORIG!K311)</f>
        <v/>
      </c>
      <c r="L311" s="3">
        <f>IF(ORIG!L311=0,"",ORIG!L311)</f>
        <v/>
      </c>
      <c r="M311" s="3">
        <f>IF(ORIG!M311=0,"",ORIG!M311)</f>
        <v/>
      </c>
      <c r="N311" s="3">
        <f>IF(ORIG!N311=0,"",ORIG!N311)</f>
        <v/>
      </c>
      <c r="O311" s="3">
        <f>IF(ORIG!O311=0,"",ORIG!O311)</f>
        <v/>
      </c>
      <c r="P311" s="3">
        <f>IF(ORIG!P311=0,"",ORIG!P311)</f>
        <v/>
      </c>
      <c r="Q311" s="3">
        <f>IF(ORIG!Q311=0,"",ORIG!Q311)</f>
        <v/>
      </c>
      <c r="R311" s="3">
        <f>IF(ORIG!R311=0,"",ORIG!R311)</f>
        <v/>
      </c>
      <c r="S311" s="3">
        <f>IF(ORIG!S311=0,"",ORIG!S311)</f>
        <v/>
      </c>
      <c r="T311" s="3">
        <f>IF(ORIG!T311=0,"",ORIG!T311)</f>
        <v/>
      </c>
      <c r="U311" s="3">
        <f>IF(ORIG!U311=0,"",ORIG!U311)</f>
        <v/>
      </c>
      <c r="V311" s="9">
        <f>IF(ORIG!V311=0,"",ORIG!V311)</f>
        <v/>
      </c>
      <c r="W311" s="9">
        <f>IF(ORIG!W311=0,"",ORIG!W311)</f>
        <v/>
      </c>
      <c r="X311" s="9">
        <f>IF(ORIG!X311=0,"",ORIG!X311)</f>
        <v/>
      </c>
      <c r="Y311" s="9">
        <f>IF(ORIG!Y311=0,"",ORIG!Y311)</f>
        <v/>
      </c>
      <c r="Z311" s="3">
        <f>SUMPRODUCT($B311:$Y311,$B$2649:$Y$2649)</f>
        <v/>
      </c>
      <c r="AA311" s="3">
        <f>SUMPRODUCT($B311:$Y311,$B$2655:$Y$2655)</f>
        <v/>
      </c>
      <c r="AC311" s="1">
        <f>A311</f>
        <v/>
      </c>
      <c r="AD311">
        <f>IF(ISNUMBER(V311),V311*($AB$1/V$2635),"")</f>
        <v/>
      </c>
      <c r="AE311">
        <f>IF(ISNUMBER(Z311),Z311*($AB$1/Z$2635),"")</f>
        <v/>
      </c>
      <c r="AF311" s="25">
        <f>IF(ISNUMBER(AD311+AE311),AD311+AE311,"")</f>
        <v/>
      </c>
      <c r="AH311" s="1">
        <f>A311</f>
        <v/>
      </c>
      <c r="AI311">
        <f>IF(ISNUMBER((1+V311)*AI310),(1+V311)*AI310,AI310)</f>
        <v/>
      </c>
      <c r="AJ311">
        <f>IF(ISNUMBER((1+Z311)*AJ310),(1+Z311)*AJ310,AJ310)</f>
        <v/>
      </c>
    </row>
    <row r="312">
      <c r="A312" s="1" t="n">
        <v>42457</v>
      </c>
      <c r="B312" s="3">
        <f>IF(ORIG!B312=0,"",ORIG!B312)</f>
        <v/>
      </c>
      <c r="C312" s="3">
        <f>IF(ORIG!C312=0,"",ORIG!C312)</f>
        <v/>
      </c>
      <c r="D312" s="3">
        <f>IF(ORIG!D312=0,"",ORIG!D312)</f>
        <v/>
      </c>
      <c r="E312" s="3">
        <f>IF(ORIG!E312=0,"",ORIG!E312)</f>
        <v/>
      </c>
      <c r="F312" s="3">
        <f>IF(ORIG!F312=0,"",ORIG!F312)</f>
        <v/>
      </c>
      <c r="G312" s="3">
        <f>IF(ORIG!G312=0,"",ORIG!G312)</f>
        <v/>
      </c>
      <c r="H312" s="3">
        <f>IF(ORIG!H312=0,"",ORIG!H312)</f>
        <v/>
      </c>
      <c r="I312" s="3">
        <f>IF(ORIG!I312=0,"",ORIG!I312)</f>
        <v/>
      </c>
      <c r="J312" s="3">
        <f>IF(ORIG!J312=0,"",ORIG!J312)</f>
        <v/>
      </c>
      <c r="K312" s="3">
        <f>IF(ORIG!K312=0,"",ORIG!K312)</f>
        <v/>
      </c>
      <c r="L312" s="3">
        <f>IF(ORIG!L312=0,"",ORIG!L312)</f>
        <v/>
      </c>
      <c r="M312" s="3">
        <f>IF(ORIG!M312=0,"",ORIG!M312)</f>
        <v/>
      </c>
      <c r="N312" s="3">
        <f>IF(ORIG!N312=0,"",ORIG!N312)</f>
        <v/>
      </c>
      <c r="O312" s="3">
        <f>IF(ORIG!O312=0,"",ORIG!O312)</f>
        <v/>
      </c>
      <c r="P312" s="3">
        <f>IF(ORIG!P312=0,"",ORIG!P312)</f>
        <v/>
      </c>
      <c r="Q312" s="3">
        <f>IF(ORIG!Q312=0,"",ORIG!Q312)</f>
        <v/>
      </c>
      <c r="R312" s="3">
        <f>IF(ORIG!R312=0,"",ORIG!R312)</f>
        <v/>
      </c>
      <c r="S312" s="3">
        <f>IF(ORIG!S312=0,"",ORIG!S312)</f>
        <v/>
      </c>
      <c r="T312" s="3">
        <f>IF(ORIG!T312=0,"",ORIG!T312)</f>
        <v/>
      </c>
      <c r="U312" s="3">
        <f>IF(ORIG!U312=0,"",ORIG!U312)</f>
        <v/>
      </c>
      <c r="V312" s="9">
        <f>IF(ORIG!V312=0,"",ORIG!V312)</f>
        <v/>
      </c>
      <c r="W312" s="9">
        <f>IF(ORIG!W312=0,"",ORIG!W312)</f>
        <v/>
      </c>
      <c r="X312" s="9">
        <f>IF(ORIG!X312=0,"",ORIG!X312)</f>
        <v/>
      </c>
      <c r="Y312" s="9">
        <f>IF(ORIG!Y312=0,"",ORIG!Y312)</f>
        <v/>
      </c>
      <c r="Z312" s="3">
        <f>SUMPRODUCT($B312:$Y312,$B$2649:$Y$2649)</f>
        <v/>
      </c>
      <c r="AA312" s="3">
        <f>SUMPRODUCT($B312:$Y312,$B$2655:$Y$2655)</f>
        <v/>
      </c>
      <c r="AC312" s="1">
        <f>A312</f>
        <v/>
      </c>
      <c r="AD312">
        <f>IF(ISNUMBER(V312),V312*($AB$1/V$2635),"")</f>
        <v/>
      </c>
      <c r="AE312">
        <f>IF(ISNUMBER(Z312),Z312*($AB$1/Z$2635),"")</f>
        <v/>
      </c>
      <c r="AF312" s="25">
        <f>IF(ISNUMBER(AD312+AE312),AD312+AE312,"")</f>
        <v/>
      </c>
      <c r="AH312" s="1">
        <f>A312</f>
        <v/>
      </c>
      <c r="AI312">
        <f>IF(ISNUMBER((1+V312)*AI311),(1+V312)*AI311,AI311)</f>
        <v/>
      </c>
      <c r="AJ312">
        <f>IF(ISNUMBER((1+Z312)*AJ311),(1+Z312)*AJ311,AJ311)</f>
        <v/>
      </c>
    </row>
    <row r="313">
      <c r="A313" s="1" t="n">
        <v>42458</v>
      </c>
      <c r="B313" s="3">
        <f>IF(ORIG!B313=0,"",ORIG!B313)</f>
        <v/>
      </c>
      <c r="C313" s="3">
        <f>IF(ORIG!C313=0,"",ORIG!C313)</f>
        <v/>
      </c>
      <c r="D313" s="3">
        <f>IF(ORIG!D313=0,"",ORIG!D313)</f>
        <v/>
      </c>
      <c r="E313" s="3">
        <f>IF(ORIG!E313=0,"",ORIG!E313)</f>
        <v/>
      </c>
      <c r="F313" s="3">
        <f>IF(ORIG!F313=0,"",ORIG!F313)</f>
        <v/>
      </c>
      <c r="G313" s="3">
        <f>IF(ORIG!G313=0,"",ORIG!G313)</f>
        <v/>
      </c>
      <c r="H313" s="3">
        <f>IF(ORIG!H313=0,"",ORIG!H313)</f>
        <v/>
      </c>
      <c r="I313" s="3">
        <f>IF(ORIG!I313=0,"",ORIG!I313)</f>
        <v/>
      </c>
      <c r="J313" s="3">
        <f>IF(ORIG!J313=0,"",ORIG!J313)</f>
        <v/>
      </c>
      <c r="K313" s="3">
        <f>IF(ORIG!K313=0,"",ORIG!K313)</f>
        <v/>
      </c>
      <c r="L313" s="3">
        <f>IF(ORIG!L313=0,"",ORIG!L313)</f>
        <v/>
      </c>
      <c r="M313" s="3">
        <f>IF(ORIG!M313=0,"",ORIG!M313)</f>
        <v/>
      </c>
      <c r="N313" s="3">
        <f>IF(ORIG!N313=0,"",ORIG!N313)</f>
        <v/>
      </c>
      <c r="O313" s="3">
        <f>IF(ORIG!O313=0,"",ORIG!O313)</f>
        <v/>
      </c>
      <c r="P313" s="3">
        <f>IF(ORIG!P313=0,"",ORIG!P313)</f>
        <v/>
      </c>
      <c r="Q313" s="3">
        <f>IF(ORIG!Q313=0,"",ORIG!Q313)</f>
        <v/>
      </c>
      <c r="R313" s="3">
        <f>IF(ORIG!R313=0,"",ORIG!R313)</f>
        <v/>
      </c>
      <c r="S313" s="3">
        <f>IF(ORIG!S313=0,"",ORIG!S313)</f>
        <v/>
      </c>
      <c r="T313" s="3">
        <f>IF(ORIG!T313=0,"",ORIG!T313)</f>
        <v/>
      </c>
      <c r="U313" s="3">
        <f>IF(ORIG!U313=0,"",ORIG!U313)</f>
        <v/>
      </c>
      <c r="V313" s="9">
        <f>IF(ORIG!V313=0,"",ORIG!V313)</f>
        <v/>
      </c>
      <c r="W313" s="9">
        <f>IF(ORIG!W313=0,"",ORIG!W313)</f>
        <v/>
      </c>
      <c r="X313" s="9">
        <f>IF(ORIG!X313=0,"",ORIG!X313)</f>
        <v/>
      </c>
      <c r="Y313" s="9">
        <f>IF(ORIG!Y313=0,"",ORIG!Y313)</f>
        <v/>
      </c>
      <c r="Z313" s="3">
        <f>SUMPRODUCT($B313:$Y313,$B$2649:$Y$2649)</f>
        <v/>
      </c>
      <c r="AA313" s="3">
        <f>SUMPRODUCT($B313:$Y313,$B$2655:$Y$2655)</f>
        <v/>
      </c>
      <c r="AC313" s="1">
        <f>A313</f>
        <v/>
      </c>
      <c r="AD313">
        <f>IF(ISNUMBER(V313),V313*($AB$1/V$2635),"")</f>
        <v/>
      </c>
      <c r="AE313">
        <f>IF(ISNUMBER(Z313),Z313*($AB$1/Z$2635),"")</f>
        <v/>
      </c>
      <c r="AF313" s="25">
        <f>IF(ISNUMBER(AD313+AE313),AD313+AE313,"")</f>
        <v/>
      </c>
      <c r="AH313" s="1">
        <f>A313</f>
        <v/>
      </c>
      <c r="AI313">
        <f>IF(ISNUMBER((1+V313)*AI312),(1+V313)*AI312,AI312)</f>
        <v/>
      </c>
      <c r="AJ313">
        <f>IF(ISNUMBER((1+Z313)*AJ312),(1+Z313)*AJ312,AJ312)</f>
        <v/>
      </c>
    </row>
    <row r="314">
      <c r="A314" s="1" t="n">
        <v>42459</v>
      </c>
      <c r="B314" s="3">
        <f>IF(ORIG!B314=0,"",ORIG!B314)</f>
        <v/>
      </c>
      <c r="C314" s="3">
        <f>IF(ORIG!C314=0,"",ORIG!C314)</f>
        <v/>
      </c>
      <c r="D314" s="3">
        <f>IF(ORIG!D314=0,"",ORIG!D314)</f>
        <v/>
      </c>
      <c r="E314" s="3">
        <f>IF(ORIG!E314=0,"",ORIG!E314)</f>
        <v/>
      </c>
      <c r="F314" s="3">
        <f>IF(ORIG!F314=0,"",ORIG!F314)</f>
        <v/>
      </c>
      <c r="G314" s="3">
        <f>IF(ORIG!G314=0,"",ORIG!G314)</f>
        <v/>
      </c>
      <c r="H314" s="3">
        <f>IF(ORIG!H314=0,"",ORIG!H314)</f>
        <v/>
      </c>
      <c r="I314" s="3">
        <f>IF(ORIG!I314=0,"",ORIG!I314)</f>
        <v/>
      </c>
      <c r="J314" s="3">
        <f>IF(ORIG!J314=0,"",ORIG!J314)</f>
        <v/>
      </c>
      <c r="K314" s="3">
        <f>IF(ORIG!K314=0,"",ORIG!K314)</f>
        <v/>
      </c>
      <c r="L314" s="3">
        <f>IF(ORIG!L314=0,"",ORIG!L314)</f>
        <v/>
      </c>
      <c r="M314" s="3">
        <f>IF(ORIG!M314=0,"",ORIG!M314)</f>
        <v/>
      </c>
      <c r="N314" s="3">
        <f>IF(ORIG!N314=0,"",ORIG!N314)</f>
        <v/>
      </c>
      <c r="O314" s="3">
        <f>IF(ORIG!O314=0,"",ORIG!O314)</f>
        <v/>
      </c>
      <c r="P314" s="3">
        <f>IF(ORIG!P314=0,"",ORIG!P314)</f>
        <v/>
      </c>
      <c r="Q314" s="3">
        <f>IF(ORIG!Q314=0,"",ORIG!Q314)</f>
        <v/>
      </c>
      <c r="R314" s="3">
        <f>IF(ORIG!R314=0,"",ORIG!R314)</f>
        <v/>
      </c>
      <c r="S314" s="3">
        <f>IF(ORIG!S314=0,"",ORIG!S314)</f>
        <v/>
      </c>
      <c r="T314" s="3">
        <f>IF(ORIG!T314=0,"",ORIG!T314)</f>
        <v/>
      </c>
      <c r="U314" s="3">
        <f>IF(ORIG!U314=0,"",ORIG!U314)</f>
        <v/>
      </c>
      <c r="V314" s="9">
        <f>IF(ORIG!V314=0,"",ORIG!V314)</f>
        <v/>
      </c>
      <c r="W314" s="9">
        <f>IF(ORIG!W314=0,"",ORIG!W314)</f>
        <v/>
      </c>
      <c r="X314" s="9">
        <f>IF(ORIG!X314=0,"",ORIG!X314)</f>
        <v/>
      </c>
      <c r="Y314" s="9">
        <f>IF(ORIG!Y314=0,"",ORIG!Y314)</f>
        <v/>
      </c>
      <c r="Z314" s="3">
        <f>SUMPRODUCT($B314:$Y314,$B$2649:$Y$2649)</f>
        <v/>
      </c>
      <c r="AA314" s="3">
        <f>SUMPRODUCT($B314:$Y314,$B$2655:$Y$2655)</f>
        <v/>
      </c>
      <c r="AC314" s="1">
        <f>A314</f>
        <v/>
      </c>
      <c r="AD314">
        <f>IF(ISNUMBER(V314),V314*($AB$1/V$2635),"")</f>
        <v/>
      </c>
      <c r="AE314">
        <f>IF(ISNUMBER(Z314),Z314*($AB$1/Z$2635),"")</f>
        <v/>
      </c>
      <c r="AF314" s="25">
        <f>IF(ISNUMBER(AD314+AE314),AD314+AE314,"")</f>
        <v/>
      </c>
      <c r="AH314" s="1">
        <f>A314</f>
        <v/>
      </c>
      <c r="AI314">
        <f>IF(ISNUMBER((1+V314)*AI313),(1+V314)*AI313,AI313)</f>
        <v/>
      </c>
      <c r="AJ314">
        <f>IF(ISNUMBER((1+Z314)*AJ313),(1+Z314)*AJ313,AJ313)</f>
        <v/>
      </c>
    </row>
    <row r="315">
      <c r="A315" s="1" t="n">
        <v>42460</v>
      </c>
      <c r="B315" s="3">
        <f>IF(ORIG!B315=0,"",ORIG!B315)</f>
        <v/>
      </c>
      <c r="C315" s="3">
        <f>IF(ORIG!C315=0,"",ORIG!C315)</f>
        <v/>
      </c>
      <c r="D315" s="3">
        <f>IF(ORIG!D315=0,"",ORIG!D315)</f>
        <v/>
      </c>
      <c r="E315" s="3">
        <f>IF(ORIG!E315=0,"",ORIG!E315)</f>
        <v/>
      </c>
      <c r="F315" s="3">
        <f>IF(ORIG!F315=0,"",ORIG!F315)</f>
        <v/>
      </c>
      <c r="G315" s="3">
        <f>IF(ORIG!G315=0,"",ORIG!G315)</f>
        <v/>
      </c>
      <c r="H315" s="3">
        <f>IF(ORIG!H315=0,"",ORIG!H315)</f>
        <v/>
      </c>
      <c r="I315" s="3">
        <f>IF(ORIG!I315=0,"",ORIG!I315)</f>
        <v/>
      </c>
      <c r="J315" s="3">
        <f>IF(ORIG!J315=0,"",ORIG!J315)</f>
        <v/>
      </c>
      <c r="K315" s="3">
        <f>IF(ORIG!K315=0,"",ORIG!K315)</f>
        <v/>
      </c>
      <c r="L315" s="3">
        <f>IF(ORIG!L315=0,"",ORIG!L315)</f>
        <v/>
      </c>
      <c r="M315" s="3">
        <f>IF(ORIG!M315=0,"",ORIG!M315)</f>
        <v/>
      </c>
      <c r="N315" s="3">
        <f>IF(ORIG!N315=0,"",ORIG!N315)</f>
        <v/>
      </c>
      <c r="O315" s="3">
        <f>IF(ORIG!O315=0,"",ORIG!O315)</f>
        <v/>
      </c>
      <c r="P315" s="3">
        <f>IF(ORIG!P315=0,"",ORIG!P315)</f>
        <v/>
      </c>
      <c r="Q315" s="3">
        <f>IF(ORIG!Q315=0,"",ORIG!Q315)</f>
        <v/>
      </c>
      <c r="R315" s="3">
        <f>IF(ORIG!R315=0,"",ORIG!R315)</f>
        <v/>
      </c>
      <c r="S315" s="3">
        <f>IF(ORIG!S315=0,"",ORIG!S315)</f>
        <v/>
      </c>
      <c r="T315" s="3">
        <f>IF(ORIG!T315=0,"",ORIG!T315)</f>
        <v/>
      </c>
      <c r="U315" s="3">
        <f>IF(ORIG!U315=0,"",ORIG!U315)</f>
        <v/>
      </c>
      <c r="V315" s="9">
        <f>IF(ORIG!V315=0,"",ORIG!V315)</f>
        <v/>
      </c>
      <c r="W315" s="9">
        <f>IF(ORIG!W315=0,"",ORIG!W315)</f>
        <v/>
      </c>
      <c r="X315" s="9">
        <f>IF(ORIG!X315=0,"",ORIG!X315)</f>
        <v/>
      </c>
      <c r="Y315" s="9">
        <f>IF(ORIG!Y315=0,"",ORIG!Y315)</f>
        <v/>
      </c>
      <c r="Z315" s="3">
        <f>SUMPRODUCT($B315:$Y315,$B$2649:$Y$2649)</f>
        <v/>
      </c>
      <c r="AA315" s="3">
        <f>SUMPRODUCT($B315:$Y315,$B$2655:$Y$2655)</f>
        <v/>
      </c>
      <c r="AC315" s="1">
        <f>A315</f>
        <v/>
      </c>
      <c r="AD315">
        <f>IF(ISNUMBER(V315),V315*($AB$1/V$2635),"")</f>
        <v/>
      </c>
      <c r="AE315">
        <f>IF(ISNUMBER(Z315),Z315*($AB$1/Z$2635),"")</f>
        <v/>
      </c>
      <c r="AF315" s="25">
        <f>IF(ISNUMBER(AD315+AE315),AD315+AE315,"")</f>
        <v/>
      </c>
      <c r="AH315" s="1">
        <f>A315</f>
        <v/>
      </c>
      <c r="AI315">
        <f>IF(ISNUMBER((1+V315)*AI314),(1+V315)*AI314,AI314)</f>
        <v/>
      </c>
      <c r="AJ315">
        <f>IF(ISNUMBER((1+Z315)*AJ314),(1+Z315)*AJ314,AJ314)</f>
        <v/>
      </c>
    </row>
    <row r="316">
      <c r="A316" s="1" t="n">
        <v>42461</v>
      </c>
      <c r="B316" s="3">
        <f>IF(ORIG!B316=0,"",ORIG!B316)</f>
        <v/>
      </c>
      <c r="C316" s="3">
        <f>IF(ORIG!C316=0,"",ORIG!C316)</f>
        <v/>
      </c>
      <c r="D316" s="3">
        <f>IF(ORIG!D316=0,"",ORIG!D316)</f>
        <v/>
      </c>
      <c r="E316" s="3">
        <f>IF(ORIG!E316=0,"",ORIG!E316)</f>
        <v/>
      </c>
      <c r="F316" s="3">
        <f>IF(ORIG!F316=0,"",ORIG!F316)</f>
        <v/>
      </c>
      <c r="G316" s="3">
        <f>IF(ORIG!G316=0,"",ORIG!G316)</f>
        <v/>
      </c>
      <c r="H316" s="3">
        <f>IF(ORIG!H316=0,"",ORIG!H316)</f>
        <v/>
      </c>
      <c r="I316" s="3">
        <f>IF(ORIG!I316=0,"",ORIG!I316)</f>
        <v/>
      </c>
      <c r="J316" s="3">
        <f>IF(ORIG!J316=0,"",ORIG!J316)</f>
        <v/>
      </c>
      <c r="K316" s="3">
        <f>IF(ORIG!K316=0,"",ORIG!K316)</f>
        <v/>
      </c>
      <c r="L316" s="3">
        <f>IF(ORIG!L316=0,"",ORIG!L316)</f>
        <v/>
      </c>
      <c r="M316" s="3">
        <f>IF(ORIG!M316=0,"",ORIG!M316)</f>
        <v/>
      </c>
      <c r="N316" s="3">
        <f>IF(ORIG!N316=0,"",ORIG!N316)</f>
        <v/>
      </c>
      <c r="O316" s="3">
        <f>IF(ORIG!O316=0,"",ORIG!O316)</f>
        <v/>
      </c>
      <c r="P316" s="3">
        <f>IF(ORIG!P316=0,"",ORIG!P316)</f>
        <v/>
      </c>
      <c r="Q316" s="3">
        <f>IF(ORIG!Q316=0,"",ORIG!Q316)</f>
        <v/>
      </c>
      <c r="R316" s="3">
        <f>IF(ORIG!R316=0,"",ORIG!R316)</f>
        <v/>
      </c>
      <c r="S316" s="3">
        <f>IF(ORIG!S316=0,"",ORIG!S316)</f>
        <v/>
      </c>
      <c r="T316" s="3">
        <f>IF(ORIG!T316=0,"",ORIG!T316)</f>
        <v/>
      </c>
      <c r="U316" s="3">
        <f>IF(ORIG!U316=0,"",ORIG!U316)</f>
        <v/>
      </c>
      <c r="V316" s="9">
        <f>IF(ORIG!V316=0,"",ORIG!V316)</f>
        <v/>
      </c>
      <c r="W316" s="9">
        <f>IF(ORIG!W316=0,"",ORIG!W316)</f>
        <v/>
      </c>
      <c r="X316" s="9">
        <f>IF(ORIG!X316=0,"",ORIG!X316)</f>
        <v/>
      </c>
      <c r="Y316" s="9">
        <f>IF(ORIG!Y316=0,"",ORIG!Y316)</f>
        <v/>
      </c>
      <c r="Z316" s="3">
        <f>SUMPRODUCT($B316:$Y316,$B$2649:$Y$2649)</f>
        <v/>
      </c>
      <c r="AA316" s="3">
        <f>SUMPRODUCT($B316:$Y316,$B$2655:$Y$2655)</f>
        <v/>
      </c>
      <c r="AC316" s="1">
        <f>A316</f>
        <v/>
      </c>
      <c r="AD316">
        <f>IF(ISNUMBER(V316),V316*($AB$1/V$2635),"")</f>
        <v/>
      </c>
      <c r="AE316">
        <f>IF(ISNUMBER(Z316),Z316*($AB$1/Z$2635),"")</f>
        <v/>
      </c>
      <c r="AF316" s="25">
        <f>IF(ISNUMBER(AD316+AE316),AD316+AE316,"")</f>
        <v/>
      </c>
      <c r="AH316" s="1">
        <f>A316</f>
        <v/>
      </c>
      <c r="AI316">
        <f>IF(ISNUMBER((1+V316)*AI315),(1+V316)*AI315,AI315)</f>
        <v/>
      </c>
      <c r="AJ316">
        <f>IF(ISNUMBER((1+Z316)*AJ315),(1+Z316)*AJ315,AJ315)</f>
        <v/>
      </c>
    </row>
    <row r="317">
      <c r="A317" s="1" t="n">
        <v>42464</v>
      </c>
      <c r="B317" s="3">
        <f>IF(ORIG!B317=0,"",ORIG!B317)</f>
        <v/>
      </c>
      <c r="C317" s="3">
        <f>IF(ORIG!C317=0,"",ORIG!C317)</f>
        <v/>
      </c>
      <c r="D317" s="3">
        <f>IF(ORIG!D317=0,"",ORIG!D317)</f>
        <v/>
      </c>
      <c r="E317" s="3">
        <f>IF(ORIG!E317=0,"",ORIG!E317)</f>
        <v/>
      </c>
      <c r="F317" s="3">
        <f>IF(ORIG!F317=0,"",ORIG!F317)</f>
        <v/>
      </c>
      <c r="G317" s="3">
        <f>IF(ORIG!G317=0,"",ORIG!G317)</f>
        <v/>
      </c>
      <c r="H317" s="3">
        <f>IF(ORIG!H317=0,"",ORIG!H317)</f>
        <v/>
      </c>
      <c r="I317" s="3">
        <f>IF(ORIG!I317=0,"",ORIG!I317)</f>
        <v/>
      </c>
      <c r="J317" s="3">
        <f>IF(ORIG!J317=0,"",ORIG!J317)</f>
        <v/>
      </c>
      <c r="K317" s="3">
        <f>IF(ORIG!K317=0,"",ORIG!K317)</f>
        <v/>
      </c>
      <c r="L317" s="3">
        <f>IF(ORIG!L317=0,"",ORIG!L317)</f>
        <v/>
      </c>
      <c r="M317" s="3">
        <f>IF(ORIG!M317=0,"",ORIG!M317)</f>
        <v/>
      </c>
      <c r="N317" s="3">
        <f>IF(ORIG!N317=0,"",ORIG!N317)</f>
        <v/>
      </c>
      <c r="O317" s="3">
        <f>IF(ORIG!O317=0,"",ORIG!O317)</f>
        <v/>
      </c>
      <c r="P317" s="3">
        <f>IF(ORIG!P317=0,"",ORIG!P317)</f>
        <v/>
      </c>
      <c r="Q317" s="3">
        <f>IF(ORIG!Q317=0,"",ORIG!Q317)</f>
        <v/>
      </c>
      <c r="R317" s="3">
        <f>IF(ORIG!R317=0,"",ORIG!R317)</f>
        <v/>
      </c>
      <c r="S317" s="3">
        <f>IF(ORIG!S317=0,"",ORIG!S317)</f>
        <v/>
      </c>
      <c r="T317" s="3">
        <f>IF(ORIG!T317=0,"",ORIG!T317)</f>
        <v/>
      </c>
      <c r="U317" s="3">
        <f>IF(ORIG!U317=0,"",ORIG!U317)</f>
        <v/>
      </c>
      <c r="V317" s="9">
        <f>IF(ORIG!V317=0,"",ORIG!V317)</f>
        <v/>
      </c>
      <c r="W317" s="9">
        <f>IF(ORIG!W317=0,"",ORIG!W317)</f>
        <v/>
      </c>
      <c r="X317" s="9">
        <f>IF(ORIG!X317=0,"",ORIG!X317)</f>
        <v/>
      </c>
      <c r="Y317" s="9">
        <f>IF(ORIG!Y317=0,"",ORIG!Y317)</f>
        <v/>
      </c>
      <c r="Z317" s="3">
        <f>SUMPRODUCT($B317:$Y317,$B$2649:$Y$2649)</f>
        <v/>
      </c>
      <c r="AA317" s="3">
        <f>SUMPRODUCT($B317:$Y317,$B$2655:$Y$2655)</f>
        <v/>
      </c>
      <c r="AC317" s="1">
        <f>A317</f>
        <v/>
      </c>
      <c r="AD317">
        <f>IF(ISNUMBER(V317),V317*($AB$1/V$2635),"")</f>
        <v/>
      </c>
      <c r="AE317">
        <f>IF(ISNUMBER(Z317),Z317*($AB$1/Z$2635),"")</f>
        <v/>
      </c>
      <c r="AF317" s="25">
        <f>IF(ISNUMBER(AD317+AE317),AD317+AE317,"")</f>
        <v/>
      </c>
      <c r="AH317" s="1">
        <f>A317</f>
        <v/>
      </c>
      <c r="AI317">
        <f>IF(ISNUMBER((1+V317)*AI316),(1+V317)*AI316,AI316)</f>
        <v/>
      </c>
      <c r="AJ317">
        <f>IF(ISNUMBER((1+Z317)*AJ316),(1+Z317)*AJ316,AJ316)</f>
        <v/>
      </c>
    </row>
    <row r="318">
      <c r="A318" s="1" t="n">
        <v>42465</v>
      </c>
      <c r="B318" s="3">
        <f>IF(ORIG!B318=0,"",ORIG!B318)</f>
        <v/>
      </c>
      <c r="C318" s="3">
        <f>IF(ORIG!C318=0,"",ORIG!C318)</f>
        <v/>
      </c>
      <c r="D318" s="3">
        <f>IF(ORIG!D318=0,"",ORIG!D318)</f>
        <v/>
      </c>
      <c r="E318" s="3">
        <f>IF(ORIG!E318=0,"",ORIG!E318)</f>
        <v/>
      </c>
      <c r="F318" s="3">
        <f>IF(ORIG!F318=0,"",ORIG!F318)</f>
        <v/>
      </c>
      <c r="G318" s="3">
        <f>IF(ORIG!G318=0,"",ORIG!G318)</f>
        <v/>
      </c>
      <c r="H318" s="3">
        <f>IF(ORIG!H318=0,"",ORIG!H318)</f>
        <v/>
      </c>
      <c r="I318" s="3">
        <f>IF(ORIG!I318=0,"",ORIG!I318)</f>
        <v/>
      </c>
      <c r="J318" s="3">
        <f>IF(ORIG!J318=0,"",ORIG!J318)</f>
        <v/>
      </c>
      <c r="K318" s="3">
        <f>IF(ORIG!K318=0,"",ORIG!K318)</f>
        <v/>
      </c>
      <c r="L318" s="3">
        <f>IF(ORIG!L318=0,"",ORIG!L318)</f>
        <v/>
      </c>
      <c r="M318" s="3">
        <f>IF(ORIG!M318=0,"",ORIG!M318)</f>
        <v/>
      </c>
      <c r="N318" s="3">
        <f>IF(ORIG!N318=0,"",ORIG!N318)</f>
        <v/>
      </c>
      <c r="O318" s="3">
        <f>IF(ORIG!O318=0,"",ORIG!O318)</f>
        <v/>
      </c>
      <c r="P318" s="3">
        <f>IF(ORIG!P318=0,"",ORIG!P318)</f>
        <v/>
      </c>
      <c r="Q318" s="3">
        <f>IF(ORIG!Q318=0,"",ORIG!Q318)</f>
        <v/>
      </c>
      <c r="R318" s="3">
        <f>IF(ORIG!R318=0,"",ORIG!R318)</f>
        <v/>
      </c>
      <c r="S318" s="3">
        <f>IF(ORIG!S318=0,"",ORIG!S318)</f>
        <v/>
      </c>
      <c r="T318" s="3">
        <f>IF(ORIG!T318=0,"",ORIG!T318)</f>
        <v/>
      </c>
      <c r="U318" s="3">
        <f>IF(ORIG!U318=0,"",ORIG!U318)</f>
        <v/>
      </c>
      <c r="V318" s="9">
        <f>IF(ORIG!V318=0,"",ORIG!V318)</f>
        <v/>
      </c>
      <c r="W318" s="9">
        <f>IF(ORIG!W318=0,"",ORIG!W318)</f>
        <v/>
      </c>
      <c r="X318" s="9">
        <f>IF(ORIG!X318=0,"",ORIG!X318)</f>
        <v/>
      </c>
      <c r="Y318" s="9">
        <f>IF(ORIG!Y318=0,"",ORIG!Y318)</f>
        <v/>
      </c>
      <c r="Z318" s="3">
        <f>SUMPRODUCT($B318:$Y318,$B$2649:$Y$2649)</f>
        <v/>
      </c>
      <c r="AA318" s="3">
        <f>SUMPRODUCT($B318:$Y318,$B$2655:$Y$2655)</f>
        <v/>
      </c>
      <c r="AC318" s="1">
        <f>A318</f>
        <v/>
      </c>
      <c r="AD318">
        <f>IF(ISNUMBER(V318),V318*($AB$1/V$2635),"")</f>
        <v/>
      </c>
      <c r="AE318">
        <f>IF(ISNUMBER(Z318),Z318*($AB$1/Z$2635),"")</f>
        <v/>
      </c>
      <c r="AF318" s="25">
        <f>IF(ISNUMBER(AD318+AE318),AD318+AE318,"")</f>
        <v/>
      </c>
      <c r="AH318" s="1">
        <f>A318</f>
        <v/>
      </c>
      <c r="AI318">
        <f>IF(ISNUMBER((1+V318)*AI317),(1+V318)*AI317,AI317)</f>
        <v/>
      </c>
      <c r="AJ318">
        <f>IF(ISNUMBER((1+Z318)*AJ317),(1+Z318)*AJ317,AJ317)</f>
        <v/>
      </c>
    </row>
    <row r="319">
      <c r="A319" s="1" t="n">
        <v>42466</v>
      </c>
      <c r="B319" s="3">
        <f>IF(ORIG!B319=0,"",ORIG!B319)</f>
        <v/>
      </c>
      <c r="C319" s="3">
        <f>IF(ORIG!C319=0,"",ORIG!C319)</f>
        <v/>
      </c>
      <c r="D319" s="3">
        <f>IF(ORIG!D319=0,"",ORIG!D319)</f>
        <v/>
      </c>
      <c r="E319" s="3">
        <f>IF(ORIG!E319=0,"",ORIG!E319)</f>
        <v/>
      </c>
      <c r="F319" s="3">
        <f>IF(ORIG!F319=0,"",ORIG!F319)</f>
        <v/>
      </c>
      <c r="G319" s="3">
        <f>IF(ORIG!G319=0,"",ORIG!G319)</f>
        <v/>
      </c>
      <c r="H319" s="3">
        <f>IF(ORIG!H319=0,"",ORIG!H319)</f>
        <v/>
      </c>
      <c r="I319" s="3">
        <f>IF(ORIG!I319=0,"",ORIG!I319)</f>
        <v/>
      </c>
      <c r="J319" s="3">
        <f>IF(ORIG!J319=0,"",ORIG!J319)</f>
        <v/>
      </c>
      <c r="K319" s="3">
        <f>IF(ORIG!K319=0,"",ORIG!K319)</f>
        <v/>
      </c>
      <c r="L319" s="3">
        <f>IF(ORIG!L319=0,"",ORIG!L319)</f>
        <v/>
      </c>
      <c r="M319" s="3">
        <f>IF(ORIG!M319=0,"",ORIG!M319)</f>
        <v/>
      </c>
      <c r="N319" s="3">
        <f>IF(ORIG!N319=0,"",ORIG!N319)</f>
        <v/>
      </c>
      <c r="O319" s="3">
        <f>IF(ORIG!O319=0,"",ORIG!O319)</f>
        <v/>
      </c>
      <c r="P319" s="3">
        <f>IF(ORIG!P319=0,"",ORIG!P319)</f>
        <v/>
      </c>
      <c r="Q319" s="3">
        <f>IF(ORIG!Q319=0,"",ORIG!Q319)</f>
        <v/>
      </c>
      <c r="R319" s="3">
        <f>IF(ORIG!R319=0,"",ORIG!R319)</f>
        <v/>
      </c>
      <c r="S319" s="3">
        <f>IF(ORIG!S319=0,"",ORIG!S319)</f>
        <v/>
      </c>
      <c r="T319" s="3">
        <f>IF(ORIG!T319=0,"",ORIG!T319)</f>
        <v/>
      </c>
      <c r="U319" s="3">
        <f>IF(ORIG!U319=0,"",ORIG!U319)</f>
        <v/>
      </c>
      <c r="V319" s="9">
        <f>IF(ORIG!V319=0,"",ORIG!V319)</f>
        <v/>
      </c>
      <c r="W319" s="9">
        <f>IF(ORIG!W319=0,"",ORIG!W319)</f>
        <v/>
      </c>
      <c r="X319" s="9">
        <f>IF(ORIG!X319=0,"",ORIG!X319)</f>
        <v/>
      </c>
      <c r="Y319" s="9">
        <f>IF(ORIG!Y319=0,"",ORIG!Y319)</f>
        <v/>
      </c>
      <c r="Z319" s="3">
        <f>SUMPRODUCT($B319:$Y319,$B$2649:$Y$2649)</f>
        <v/>
      </c>
      <c r="AA319" s="3">
        <f>SUMPRODUCT($B319:$Y319,$B$2655:$Y$2655)</f>
        <v/>
      </c>
      <c r="AC319" s="1">
        <f>A319</f>
        <v/>
      </c>
      <c r="AD319">
        <f>IF(ISNUMBER(V319),V319*($AB$1/V$2635),"")</f>
        <v/>
      </c>
      <c r="AE319">
        <f>IF(ISNUMBER(Z319),Z319*($AB$1/Z$2635),"")</f>
        <v/>
      </c>
      <c r="AF319" s="25">
        <f>IF(ISNUMBER(AD319+AE319),AD319+AE319,"")</f>
        <v/>
      </c>
      <c r="AH319" s="1">
        <f>A319</f>
        <v/>
      </c>
      <c r="AI319">
        <f>IF(ISNUMBER((1+V319)*AI318),(1+V319)*AI318,AI318)</f>
        <v/>
      </c>
      <c r="AJ319">
        <f>IF(ISNUMBER((1+Z319)*AJ318),(1+Z319)*AJ318,AJ318)</f>
        <v/>
      </c>
    </row>
    <row r="320">
      <c r="A320" s="1" t="n">
        <v>42467</v>
      </c>
      <c r="B320" s="3">
        <f>IF(ORIG!B320=0,"",ORIG!B320)</f>
        <v/>
      </c>
      <c r="C320" s="3">
        <f>IF(ORIG!C320=0,"",ORIG!C320)</f>
        <v/>
      </c>
      <c r="D320" s="3">
        <f>IF(ORIG!D320=0,"",ORIG!D320)</f>
        <v/>
      </c>
      <c r="E320" s="3">
        <f>IF(ORIG!E320=0,"",ORIG!E320)</f>
        <v/>
      </c>
      <c r="F320" s="3">
        <f>IF(ORIG!F320=0,"",ORIG!F320)</f>
        <v/>
      </c>
      <c r="G320" s="3">
        <f>IF(ORIG!G320=0,"",ORIG!G320)</f>
        <v/>
      </c>
      <c r="H320" s="3">
        <f>IF(ORIG!H320=0,"",ORIG!H320)</f>
        <v/>
      </c>
      <c r="I320" s="3">
        <f>IF(ORIG!I320=0,"",ORIG!I320)</f>
        <v/>
      </c>
      <c r="J320" s="3">
        <f>IF(ORIG!J320=0,"",ORIG!J320)</f>
        <v/>
      </c>
      <c r="K320" s="3">
        <f>IF(ORIG!K320=0,"",ORIG!K320)</f>
        <v/>
      </c>
      <c r="L320" s="3">
        <f>IF(ORIG!L320=0,"",ORIG!L320)</f>
        <v/>
      </c>
      <c r="M320" s="3">
        <f>IF(ORIG!M320=0,"",ORIG!M320)</f>
        <v/>
      </c>
      <c r="N320" s="3">
        <f>IF(ORIG!N320=0,"",ORIG!N320)</f>
        <v/>
      </c>
      <c r="O320" s="3">
        <f>IF(ORIG!O320=0,"",ORIG!O320)</f>
        <v/>
      </c>
      <c r="P320" s="3">
        <f>IF(ORIG!P320=0,"",ORIG!P320)</f>
        <v/>
      </c>
      <c r="Q320" s="3">
        <f>IF(ORIG!Q320=0,"",ORIG!Q320)</f>
        <v/>
      </c>
      <c r="R320" s="3">
        <f>IF(ORIG!R320=0,"",ORIG!R320)</f>
        <v/>
      </c>
      <c r="S320" s="3">
        <f>IF(ORIG!S320=0,"",ORIG!S320)</f>
        <v/>
      </c>
      <c r="T320" s="3">
        <f>IF(ORIG!T320=0,"",ORIG!T320)</f>
        <v/>
      </c>
      <c r="U320" s="3">
        <f>IF(ORIG!U320=0,"",ORIG!U320)</f>
        <v/>
      </c>
      <c r="V320" s="9">
        <f>IF(ORIG!V320=0,"",ORIG!V320)</f>
        <v/>
      </c>
      <c r="W320" s="9">
        <f>IF(ORIG!W320=0,"",ORIG!W320)</f>
        <v/>
      </c>
      <c r="X320" s="9">
        <f>IF(ORIG!X320=0,"",ORIG!X320)</f>
        <v/>
      </c>
      <c r="Y320" s="9">
        <f>IF(ORIG!Y320=0,"",ORIG!Y320)</f>
        <v/>
      </c>
      <c r="Z320" s="3">
        <f>SUMPRODUCT($B320:$Y320,$B$2649:$Y$2649)</f>
        <v/>
      </c>
      <c r="AA320" s="3">
        <f>SUMPRODUCT($B320:$Y320,$B$2655:$Y$2655)</f>
        <v/>
      </c>
      <c r="AC320" s="1">
        <f>A320</f>
        <v/>
      </c>
      <c r="AD320">
        <f>IF(ISNUMBER(V320),V320*($AB$1/V$2635),"")</f>
        <v/>
      </c>
      <c r="AE320">
        <f>IF(ISNUMBER(Z320),Z320*($AB$1/Z$2635),"")</f>
        <v/>
      </c>
      <c r="AF320" s="25">
        <f>IF(ISNUMBER(AD320+AE320),AD320+AE320,"")</f>
        <v/>
      </c>
      <c r="AH320" s="1">
        <f>A320</f>
        <v/>
      </c>
      <c r="AI320">
        <f>IF(ISNUMBER((1+V320)*AI319),(1+V320)*AI319,AI319)</f>
        <v/>
      </c>
      <c r="AJ320">
        <f>IF(ISNUMBER((1+Z320)*AJ319),(1+Z320)*AJ319,AJ319)</f>
        <v/>
      </c>
    </row>
    <row r="321">
      <c r="A321" s="1" t="n">
        <v>42468</v>
      </c>
      <c r="B321" s="3">
        <f>IF(ORIG!B321=0,"",ORIG!B321)</f>
        <v/>
      </c>
      <c r="C321" s="3">
        <f>IF(ORIG!C321=0,"",ORIG!C321)</f>
        <v/>
      </c>
      <c r="D321" s="3">
        <f>IF(ORIG!D321=0,"",ORIG!D321)</f>
        <v/>
      </c>
      <c r="E321" s="3">
        <f>IF(ORIG!E321=0,"",ORIG!E321)</f>
        <v/>
      </c>
      <c r="F321" s="3">
        <f>IF(ORIG!F321=0,"",ORIG!F321)</f>
        <v/>
      </c>
      <c r="G321" s="3">
        <f>IF(ORIG!G321=0,"",ORIG!G321)</f>
        <v/>
      </c>
      <c r="H321" s="3">
        <f>IF(ORIG!H321=0,"",ORIG!H321)</f>
        <v/>
      </c>
      <c r="I321" s="3">
        <f>IF(ORIG!I321=0,"",ORIG!I321)</f>
        <v/>
      </c>
      <c r="J321" s="3">
        <f>IF(ORIG!J321=0,"",ORIG!J321)</f>
        <v/>
      </c>
      <c r="K321" s="3">
        <f>IF(ORIG!K321=0,"",ORIG!K321)</f>
        <v/>
      </c>
      <c r="L321" s="3">
        <f>IF(ORIG!L321=0,"",ORIG!L321)</f>
        <v/>
      </c>
      <c r="M321" s="3">
        <f>IF(ORIG!M321=0,"",ORIG!M321)</f>
        <v/>
      </c>
      <c r="N321" s="3">
        <f>IF(ORIG!N321=0,"",ORIG!N321)</f>
        <v/>
      </c>
      <c r="O321" s="3">
        <f>IF(ORIG!O321=0,"",ORIG!O321)</f>
        <v/>
      </c>
      <c r="P321" s="3">
        <f>IF(ORIG!P321=0,"",ORIG!P321)</f>
        <v/>
      </c>
      <c r="Q321" s="3">
        <f>IF(ORIG!Q321=0,"",ORIG!Q321)</f>
        <v/>
      </c>
      <c r="R321" s="3">
        <f>IF(ORIG!R321=0,"",ORIG!R321)</f>
        <v/>
      </c>
      <c r="S321" s="3">
        <f>IF(ORIG!S321=0,"",ORIG!S321)</f>
        <v/>
      </c>
      <c r="T321" s="3">
        <f>IF(ORIG!T321=0,"",ORIG!T321)</f>
        <v/>
      </c>
      <c r="U321" s="3">
        <f>IF(ORIG!U321=0,"",ORIG!U321)</f>
        <v/>
      </c>
      <c r="V321" s="9">
        <f>IF(ORIG!V321=0,"",ORIG!V321)</f>
        <v/>
      </c>
      <c r="W321" s="9">
        <f>IF(ORIG!W321=0,"",ORIG!W321)</f>
        <v/>
      </c>
      <c r="X321" s="9">
        <f>IF(ORIG!X321=0,"",ORIG!X321)</f>
        <v/>
      </c>
      <c r="Y321" s="9">
        <f>IF(ORIG!Y321=0,"",ORIG!Y321)</f>
        <v/>
      </c>
      <c r="Z321" s="3">
        <f>SUMPRODUCT($B321:$Y321,$B$2649:$Y$2649)</f>
        <v/>
      </c>
      <c r="AA321" s="3">
        <f>SUMPRODUCT($B321:$Y321,$B$2655:$Y$2655)</f>
        <v/>
      </c>
      <c r="AC321" s="1">
        <f>A321</f>
        <v/>
      </c>
      <c r="AD321">
        <f>IF(ISNUMBER(V321),V321*($AB$1/V$2635),"")</f>
        <v/>
      </c>
      <c r="AE321">
        <f>IF(ISNUMBER(Z321),Z321*($AB$1/Z$2635),"")</f>
        <v/>
      </c>
      <c r="AF321" s="25">
        <f>IF(ISNUMBER(AD321+AE321),AD321+AE321,"")</f>
        <v/>
      </c>
      <c r="AH321" s="1">
        <f>A321</f>
        <v/>
      </c>
      <c r="AI321">
        <f>IF(ISNUMBER((1+V321)*AI320),(1+V321)*AI320,AI320)</f>
        <v/>
      </c>
      <c r="AJ321">
        <f>IF(ISNUMBER((1+Z321)*AJ320),(1+Z321)*AJ320,AJ320)</f>
        <v/>
      </c>
    </row>
    <row r="322">
      <c r="A322" s="1" t="n">
        <v>42471</v>
      </c>
      <c r="B322" s="3">
        <f>IF(ORIG!B322=0,"",ORIG!B322)</f>
        <v/>
      </c>
      <c r="C322" s="3">
        <f>IF(ORIG!C322=0,"",ORIG!C322)</f>
        <v/>
      </c>
      <c r="D322" s="3">
        <f>IF(ORIG!D322=0,"",ORIG!D322)</f>
        <v/>
      </c>
      <c r="E322" s="3">
        <f>IF(ORIG!E322=0,"",ORIG!E322)</f>
        <v/>
      </c>
      <c r="F322" s="3">
        <f>IF(ORIG!F322=0,"",ORIG!F322)</f>
        <v/>
      </c>
      <c r="G322" s="3">
        <f>IF(ORIG!G322=0,"",ORIG!G322)</f>
        <v/>
      </c>
      <c r="H322" s="3">
        <f>IF(ORIG!H322=0,"",ORIG!H322)</f>
        <v/>
      </c>
      <c r="I322" s="3">
        <f>IF(ORIG!I322=0,"",ORIG!I322)</f>
        <v/>
      </c>
      <c r="J322" s="3">
        <f>IF(ORIG!J322=0,"",ORIG!J322)</f>
        <v/>
      </c>
      <c r="K322" s="3">
        <f>IF(ORIG!K322=0,"",ORIG!K322)</f>
        <v/>
      </c>
      <c r="L322" s="3">
        <f>IF(ORIG!L322=0,"",ORIG!L322)</f>
        <v/>
      </c>
      <c r="M322" s="3">
        <f>IF(ORIG!M322=0,"",ORIG!M322)</f>
        <v/>
      </c>
      <c r="N322" s="3">
        <f>IF(ORIG!N322=0,"",ORIG!N322)</f>
        <v/>
      </c>
      <c r="O322" s="3">
        <f>IF(ORIG!O322=0,"",ORIG!O322)</f>
        <v/>
      </c>
      <c r="P322" s="3">
        <f>IF(ORIG!P322=0,"",ORIG!P322)</f>
        <v/>
      </c>
      <c r="Q322" s="3">
        <f>IF(ORIG!Q322=0,"",ORIG!Q322)</f>
        <v/>
      </c>
      <c r="R322" s="3">
        <f>IF(ORIG!R322=0,"",ORIG!R322)</f>
        <v/>
      </c>
      <c r="S322" s="3">
        <f>IF(ORIG!S322=0,"",ORIG!S322)</f>
        <v/>
      </c>
      <c r="T322" s="3">
        <f>IF(ORIG!T322=0,"",ORIG!T322)</f>
        <v/>
      </c>
      <c r="U322" s="3">
        <f>IF(ORIG!U322=0,"",ORIG!U322)</f>
        <v/>
      </c>
      <c r="V322" s="9">
        <f>IF(ORIG!V322=0,"",ORIG!V322)</f>
        <v/>
      </c>
      <c r="W322" s="9">
        <f>IF(ORIG!W322=0,"",ORIG!W322)</f>
        <v/>
      </c>
      <c r="X322" s="9">
        <f>IF(ORIG!X322=0,"",ORIG!X322)</f>
        <v/>
      </c>
      <c r="Y322" s="9">
        <f>IF(ORIG!Y322=0,"",ORIG!Y322)</f>
        <v/>
      </c>
      <c r="Z322" s="3">
        <f>SUMPRODUCT($B322:$Y322,$B$2649:$Y$2649)</f>
        <v/>
      </c>
      <c r="AA322" s="3">
        <f>SUMPRODUCT($B322:$Y322,$B$2655:$Y$2655)</f>
        <v/>
      </c>
      <c r="AC322" s="1">
        <f>A322</f>
        <v/>
      </c>
      <c r="AD322">
        <f>IF(ISNUMBER(V322),V322*($AB$1/V$2635),"")</f>
        <v/>
      </c>
      <c r="AE322">
        <f>IF(ISNUMBER(Z322),Z322*($AB$1/Z$2635),"")</f>
        <v/>
      </c>
      <c r="AF322" s="25">
        <f>IF(ISNUMBER(AD322+AE322),AD322+AE322,"")</f>
        <v/>
      </c>
      <c r="AH322" s="1">
        <f>A322</f>
        <v/>
      </c>
      <c r="AI322">
        <f>IF(ISNUMBER((1+V322)*AI321),(1+V322)*AI321,AI321)</f>
        <v/>
      </c>
      <c r="AJ322">
        <f>IF(ISNUMBER((1+Z322)*AJ321),(1+Z322)*AJ321,AJ321)</f>
        <v/>
      </c>
    </row>
    <row r="323">
      <c r="A323" s="1" t="n">
        <v>42472</v>
      </c>
      <c r="B323" s="3">
        <f>IF(ORIG!B323=0,"",ORIG!B323)</f>
        <v/>
      </c>
      <c r="C323" s="3">
        <f>IF(ORIG!C323=0,"",ORIG!C323)</f>
        <v/>
      </c>
      <c r="D323" s="3">
        <f>IF(ORIG!D323=0,"",ORIG!D323)</f>
        <v/>
      </c>
      <c r="E323" s="3">
        <f>IF(ORIG!E323=0,"",ORIG!E323)</f>
        <v/>
      </c>
      <c r="F323" s="3">
        <f>IF(ORIG!F323=0,"",ORIG!F323)</f>
        <v/>
      </c>
      <c r="G323" s="3">
        <f>IF(ORIG!G323=0,"",ORIG!G323)</f>
        <v/>
      </c>
      <c r="H323" s="3">
        <f>IF(ORIG!H323=0,"",ORIG!H323)</f>
        <v/>
      </c>
      <c r="I323" s="3">
        <f>IF(ORIG!I323=0,"",ORIG!I323)</f>
        <v/>
      </c>
      <c r="J323" s="3">
        <f>IF(ORIG!J323=0,"",ORIG!J323)</f>
        <v/>
      </c>
      <c r="K323" s="3">
        <f>IF(ORIG!K323=0,"",ORIG!K323)</f>
        <v/>
      </c>
      <c r="L323" s="3">
        <f>IF(ORIG!L323=0,"",ORIG!L323)</f>
        <v/>
      </c>
      <c r="M323" s="3">
        <f>IF(ORIG!M323=0,"",ORIG!M323)</f>
        <v/>
      </c>
      <c r="N323" s="3">
        <f>IF(ORIG!N323=0,"",ORIG!N323)</f>
        <v/>
      </c>
      <c r="O323" s="3">
        <f>IF(ORIG!O323=0,"",ORIG!O323)</f>
        <v/>
      </c>
      <c r="P323" s="3">
        <f>IF(ORIG!P323=0,"",ORIG!P323)</f>
        <v/>
      </c>
      <c r="Q323" s="3">
        <f>IF(ORIG!Q323=0,"",ORIG!Q323)</f>
        <v/>
      </c>
      <c r="R323" s="3">
        <f>IF(ORIG!R323=0,"",ORIG!R323)</f>
        <v/>
      </c>
      <c r="S323" s="3">
        <f>IF(ORIG!S323=0,"",ORIG!S323)</f>
        <v/>
      </c>
      <c r="T323" s="3">
        <f>IF(ORIG!T323=0,"",ORIG!T323)</f>
        <v/>
      </c>
      <c r="U323" s="3">
        <f>IF(ORIG!U323=0,"",ORIG!U323)</f>
        <v/>
      </c>
      <c r="V323" s="9">
        <f>IF(ORIG!V323=0,"",ORIG!V323)</f>
        <v/>
      </c>
      <c r="W323" s="9">
        <f>IF(ORIG!W323=0,"",ORIG!W323)</f>
        <v/>
      </c>
      <c r="X323" s="9">
        <f>IF(ORIG!X323=0,"",ORIG!X323)</f>
        <v/>
      </c>
      <c r="Y323" s="9">
        <f>IF(ORIG!Y323=0,"",ORIG!Y323)</f>
        <v/>
      </c>
      <c r="Z323" s="3">
        <f>SUMPRODUCT($B323:$Y323,$B$2649:$Y$2649)</f>
        <v/>
      </c>
      <c r="AA323" s="3">
        <f>SUMPRODUCT($B323:$Y323,$B$2655:$Y$2655)</f>
        <v/>
      </c>
      <c r="AC323" s="1">
        <f>A323</f>
        <v/>
      </c>
      <c r="AD323">
        <f>IF(ISNUMBER(V323),V323*($AB$1/V$2635),"")</f>
        <v/>
      </c>
      <c r="AE323">
        <f>IF(ISNUMBER(Z323),Z323*($AB$1/Z$2635),"")</f>
        <v/>
      </c>
      <c r="AF323" s="25">
        <f>IF(ISNUMBER(AD323+AE323),AD323+AE323,"")</f>
        <v/>
      </c>
      <c r="AH323" s="1">
        <f>A323</f>
        <v/>
      </c>
      <c r="AI323">
        <f>IF(ISNUMBER((1+V323)*AI322),(1+V323)*AI322,AI322)</f>
        <v/>
      </c>
      <c r="AJ323">
        <f>IF(ISNUMBER((1+Z323)*AJ322),(1+Z323)*AJ322,AJ322)</f>
        <v/>
      </c>
    </row>
    <row r="324">
      <c r="A324" s="1" t="n">
        <v>42473</v>
      </c>
      <c r="B324" s="3">
        <f>IF(ORIG!B324=0,"",ORIG!B324)</f>
        <v/>
      </c>
      <c r="C324" s="3">
        <f>IF(ORIG!C324=0,"",ORIG!C324)</f>
        <v/>
      </c>
      <c r="D324" s="3">
        <f>IF(ORIG!D324=0,"",ORIG!D324)</f>
        <v/>
      </c>
      <c r="E324" s="3">
        <f>IF(ORIG!E324=0,"",ORIG!E324)</f>
        <v/>
      </c>
      <c r="F324" s="3">
        <f>IF(ORIG!F324=0,"",ORIG!F324)</f>
        <v/>
      </c>
      <c r="G324" s="3">
        <f>IF(ORIG!G324=0,"",ORIG!G324)</f>
        <v/>
      </c>
      <c r="H324" s="3">
        <f>IF(ORIG!H324=0,"",ORIG!H324)</f>
        <v/>
      </c>
      <c r="I324" s="3">
        <f>IF(ORIG!I324=0,"",ORIG!I324)</f>
        <v/>
      </c>
      <c r="J324" s="3">
        <f>IF(ORIG!J324=0,"",ORIG!J324)</f>
        <v/>
      </c>
      <c r="K324" s="3">
        <f>IF(ORIG!K324=0,"",ORIG!K324)</f>
        <v/>
      </c>
      <c r="L324" s="3">
        <f>IF(ORIG!L324=0,"",ORIG!L324)</f>
        <v/>
      </c>
      <c r="M324" s="3">
        <f>IF(ORIG!M324=0,"",ORIG!M324)</f>
        <v/>
      </c>
      <c r="N324" s="3">
        <f>IF(ORIG!N324=0,"",ORIG!N324)</f>
        <v/>
      </c>
      <c r="O324" s="3">
        <f>IF(ORIG!O324=0,"",ORIG!O324)</f>
        <v/>
      </c>
      <c r="P324" s="3">
        <f>IF(ORIG!P324=0,"",ORIG!P324)</f>
        <v/>
      </c>
      <c r="Q324" s="3">
        <f>IF(ORIG!Q324=0,"",ORIG!Q324)</f>
        <v/>
      </c>
      <c r="R324" s="3">
        <f>IF(ORIG!R324=0,"",ORIG!R324)</f>
        <v/>
      </c>
      <c r="S324" s="3">
        <f>IF(ORIG!S324=0,"",ORIG!S324)</f>
        <v/>
      </c>
      <c r="T324" s="3">
        <f>IF(ORIG!T324=0,"",ORIG!T324)</f>
        <v/>
      </c>
      <c r="U324" s="3">
        <f>IF(ORIG!U324=0,"",ORIG!U324)</f>
        <v/>
      </c>
      <c r="V324" s="9">
        <f>IF(ORIG!V324=0,"",ORIG!V324)</f>
        <v/>
      </c>
      <c r="W324" s="9">
        <f>IF(ORIG!W324=0,"",ORIG!W324)</f>
        <v/>
      </c>
      <c r="X324" s="9">
        <f>IF(ORIG!X324=0,"",ORIG!X324)</f>
        <v/>
      </c>
      <c r="Y324" s="9">
        <f>IF(ORIG!Y324=0,"",ORIG!Y324)</f>
        <v/>
      </c>
      <c r="Z324" s="3">
        <f>SUMPRODUCT($B324:$Y324,$B$2649:$Y$2649)</f>
        <v/>
      </c>
      <c r="AA324" s="3">
        <f>SUMPRODUCT($B324:$Y324,$B$2655:$Y$2655)</f>
        <v/>
      </c>
      <c r="AC324" s="1">
        <f>A324</f>
        <v/>
      </c>
      <c r="AD324">
        <f>IF(ISNUMBER(V324),V324*($AB$1/V$2635),"")</f>
        <v/>
      </c>
      <c r="AE324">
        <f>IF(ISNUMBER(Z324),Z324*($AB$1/Z$2635),"")</f>
        <v/>
      </c>
      <c r="AF324" s="25">
        <f>IF(ISNUMBER(AD324+AE324),AD324+AE324,"")</f>
        <v/>
      </c>
      <c r="AH324" s="1">
        <f>A324</f>
        <v/>
      </c>
      <c r="AI324">
        <f>IF(ISNUMBER((1+V324)*AI323),(1+V324)*AI323,AI323)</f>
        <v/>
      </c>
      <c r="AJ324">
        <f>IF(ISNUMBER((1+Z324)*AJ323),(1+Z324)*AJ323,AJ323)</f>
        <v/>
      </c>
    </row>
    <row r="325">
      <c r="A325" s="1" t="n">
        <v>42474</v>
      </c>
      <c r="B325" s="3">
        <f>IF(ORIG!B325=0,"",ORIG!B325)</f>
        <v/>
      </c>
      <c r="C325" s="3">
        <f>IF(ORIG!C325=0,"",ORIG!C325)</f>
        <v/>
      </c>
      <c r="D325" s="3">
        <f>IF(ORIG!D325=0,"",ORIG!D325)</f>
        <v/>
      </c>
      <c r="E325" s="3">
        <f>IF(ORIG!E325=0,"",ORIG!E325)</f>
        <v/>
      </c>
      <c r="F325" s="3">
        <f>IF(ORIG!F325=0,"",ORIG!F325)</f>
        <v/>
      </c>
      <c r="G325" s="3">
        <f>IF(ORIG!G325=0,"",ORIG!G325)</f>
        <v/>
      </c>
      <c r="H325" s="3">
        <f>IF(ORIG!H325=0,"",ORIG!H325)</f>
        <v/>
      </c>
      <c r="I325" s="3">
        <f>IF(ORIG!I325=0,"",ORIG!I325)</f>
        <v/>
      </c>
      <c r="J325" s="3">
        <f>IF(ORIG!J325=0,"",ORIG!J325)</f>
        <v/>
      </c>
      <c r="K325" s="3">
        <f>IF(ORIG!K325=0,"",ORIG!K325)</f>
        <v/>
      </c>
      <c r="L325" s="3">
        <f>IF(ORIG!L325=0,"",ORIG!L325)</f>
        <v/>
      </c>
      <c r="M325" s="3">
        <f>IF(ORIG!M325=0,"",ORIG!M325)</f>
        <v/>
      </c>
      <c r="N325" s="3">
        <f>IF(ORIG!N325=0,"",ORIG!N325)</f>
        <v/>
      </c>
      <c r="O325" s="3">
        <f>IF(ORIG!O325=0,"",ORIG!O325)</f>
        <v/>
      </c>
      <c r="P325" s="3">
        <f>IF(ORIG!P325=0,"",ORIG!P325)</f>
        <v/>
      </c>
      <c r="Q325" s="3">
        <f>IF(ORIG!Q325=0,"",ORIG!Q325)</f>
        <v/>
      </c>
      <c r="R325" s="3">
        <f>IF(ORIG!R325=0,"",ORIG!R325)</f>
        <v/>
      </c>
      <c r="S325" s="3">
        <f>IF(ORIG!S325=0,"",ORIG!S325)</f>
        <v/>
      </c>
      <c r="T325" s="3">
        <f>IF(ORIG!T325=0,"",ORIG!T325)</f>
        <v/>
      </c>
      <c r="U325" s="3">
        <f>IF(ORIG!U325=0,"",ORIG!U325)</f>
        <v/>
      </c>
      <c r="V325" s="9">
        <f>IF(ORIG!V325=0,"",ORIG!V325)</f>
        <v/>
      </c>
      <c r="W325" s="9">
        <f>IF(ORIG!W325=0,"",ORIG!W325)</f>
        <v/>
      </c>
      <c r="X325" s="9">
        <f>IF(ORIG!X325=0,"",ORIG!X325)</f>
        <v/>
      </c>
      <c r="Y325" s="9">
        <f>IF(ORIG!Y325=0,"",ORIG!Y325)</f>
        <v/>
      </c>
      <c r="Z325" s="3">
        <f>SUMPRODUCT($B325:$Y325,$B$2649:$Y$2649)</f>
        <v/>
      </c>
      <c r="AA325" s="3">
        <f>SUMPRODUCT($B325:$Y325,$B$2655:$Y$2655)</f>
        <v/>
      </c>
      <c r="AC325" s="1">
        <f>A325</f>
        <v/>
      </c>
      <c r="AD325">
        <f>IF(ISNUMBER(V325),V325*($AB$1/V$2635),"")</f>
        <v/>
      </c>
      <c r="AE325">
        <f>IF(ISNUMBER(Z325),Z325*($AB$1/Z$2635),"")</f>
        <v/>
      </c>
      <c r="AF325" s="25">
        <f>IF(ISNUMBER(AD325+AE325),AD325+AE325,"")</f>
        <v/>
      </c>
      <c r="AH325" s="1">
        <f>A325</f>
        <v/>
      </c>
      <c r="AI325">
        <f>IF(ISNUMBER((1+V325)*AI324),(1+V325)*AI324,AI324)</f>
        <v/>
      </c>
      <c r="AJ325">
        <f>IF(ISNUMBER((1+Z325)*AJ324),(1+Z325)*AJ324,AJ324)</f>
        <v/>
      </c>
    </row>
    <row r="326">
      <c r="A326" s="1" t="n">
        <v>42475</v>
      </c>
      <c r="B326" s="3">
        <f>IF(ORIG!B326=0,"",ORIG!B326)</f>
        <v/>
      </c>
      <c r="C326" s="3">
        <f>IF(ORIG!C326=0,"",ORIG!C326)</f>
        <v/>
      </c>
      <c r="D326" s="3">
        <f>IF(ORIG!D326=0,"",ORIG!D326)</f>
        <v/>
      </c>
      <c r="E326" s="3">
        <f>IF(ORIG!E326=0,"",ORIG!E326)</f>
        <v/>
      </c>
      <c r="F326" s="3">
        <f>IF(ORIG!F326=0,"",ORIG!F326)</f>
        <v/>
      </c>
      <c r="G326" s="3">
        <f>IF(ORIG!G326=0,"",ORIG!G326)</f>
        <v/>
      </c>
      <c r="H326" s="3">
        <f>IF(ORIG!H326=0,"",ORIG!H326)</f>
        <v/>
      </c>
      <c r="I326" s="3">
        <f>IF(ORIG!I326=0,"",ORIG!I326)</f>
        <v/>
      </c>
      <c r="J326" s="3">
        <f>IF(ORIG!J326=0,"",ORIG!J326)</f>
        <v/>
      </c>
      <c r="K326" s="3">
        <f>IF(ORIG!K326=0,"",ORIG!K326)</f>
        <v/>
      </c>
      <c r="L326" s="3">
        <f>IF(ORIG!L326=0,"",ORIG!L326)</f>
        <v/>
      </c>
      <c r="M326" s="3">
        <f>IF(ORIG!M326=0,"",ORIG!M326)</f>
        <v/>
      </c>
      <c r="N326" s="3">
        <f>IF(ORIG!N326=0,"",ORIG!N326)</f>
        <v/>
      </c>
      <c r="O326" s="3">
        <f>IF(ORIG!O326=0,"",ORIG!O326)</f>
        <v/>
      </c>
      <c r="P326" s="3">
        <f>IF(ORIG!P326=0,"",ORIG!P326)</f>
        <v/>
      </c>
      <c r="Q326" s="3">
        <f>IF(ORIG!Q326=0,"",ORIG!Q326)</f>
        <v/>
      </c>
      <c r="R326" s="3">
        <f>IF(ORIG!R326=0,"",ORIG!R326)</f>
        <v/>
      </c>
      <c r="S326" s="3">
        <f>IF(ORIG!S326=0,"",ORIG!S326)</f>
        <v/>
      </c>
      <c r="T326" s="3">
        <f>IF(ORIG!T326=0,"",ORIG!T326)</f>
        <v/>
      </c>
      <c r="U326" s="3">
        <f>IF(ORIG!U326=0,"",ORIG!U326)</f>
        <v/>
      </c>
      <c r="V326" s="9">
        <f>IF(ORIG!V326=0,"",ORIG!V326)</f>
        <v/>
      </c>
      <c r="W326" s="9">
        <f>IF(ORIG!W326=0,"",ORIG!W326)</f>
        <v/>
      </c>
      <c r="X326" s="9">
        <f>IF(ORIG!X326=0,"",ORIG!X326)</f>
        <v/>
      </c>
      <c r="Y326" s="9">
        <f>IF(ORIG!Y326=0,"",ORIG!Y326)</f>
        <v/>
      </c>
      <c r="Z326" s="3">
        <f>SUMPRODUCT($B326:$Y326,$B$2649:$Y$2649)</f>
        <v/>
      </c>
      <c r="AA326" s="3">
        <f>SUMPRODUCT($B326:$Y326,$B$2655:$Y$2655)</f>
        <v/>
      </c>
      <c r="AC326" s="1">
        <f>A326</f>
        <v/>
      </c>
      <c r="AD326">
        <f>IF(ISNUMBER(V326),V326*($AB$1/V$2635),"")</f>
        <v/>
      </c>
      <c r="AE326">
        <f>IF(ISNUMBER(Z326),Z326*($AB$1/Z$2635),"")</f>
        <v/>
      </c>
      <c r="AF326" s="25">
        <f>IF(ISNUMBER(AD326+AE326),AD326+AE326,"")</f>
        <v/>
      </c>
      <c r="AH326" s="1">
        <f>A326</f>
        <v/>
      </c>
      <c r="AI326">
        <f>IF(ISNUMBER((1+V326)*AI325),(1+V326)*AI325,AI325)</f>
        <v/>
      </c>
      <c r="AJ326">
        <f>IF(ISNUMBER((1+Z326)*AJ325),(1+Z326)*AJ325,AJ325)</f>
        <v/>
      </c>
    </row>
    <row r="327">
      <c r="A327" s="1" t="n">
        <v>42478</v>
      </c>
      <c r="B327" s="3">
        <f>IF(ORIG!B327=0,"",ORIG!B327)</f>
        <v/>
      </c>
      <c r="C327" s="3">
        <f>IF(ORIG!C327=0,"",ORIG!C327)</f>
        <v/>
      </c>
      <c r="D327" s="3">
        <f>IF(ORIG!D327=0,"",ORIG!D327)</f>
        <v/>
      </c>
      <c r="E327" s="3">
        <f>IF(ORIG!E327=0,"",ORIG!E327)</f>
        <v/>
      </c>
      <c r="F327" s="3">
        <f>IF(ORIG!F327=0,"",ORIG!F327)</f>
        <v/>
      </c>
      <c r="G327" s="3">
        <f>IF(ORIG!G327=0,"",ORIG!G327)</f>
        <v/>
      </c>
      <c r="H327" s="3">
        <f>IF(ORIG!H327=0,"",ORIG!H327)</f>
        <v/>
      </c>
      <c r="I327" s="3">
        <f>IF(ORIG!I327=0,"",ORIG!I327)</f>
        <v/>
      </c>
      <c r="J327" s="3">
        <f>IF(ORIG!J327=0,"",ORIG!J327)</f>
        <v/>
      </c>
      <c r="K327" s="3">
        <f>IF(ORIG!K327=0,"",ORIG!K327)</f>
        <v/>
      </c>
      <c r="L327" s="3">
        <f>IF(ORIG!L327=0,"",ORIG!L327)</f>
        <v/>
      </c>
      <c r="M327" s="3">
        <f>IF(ORIG!M327=0,"",ORIG!M327)</f>
        <v/>
      </c>
      <c r="N327" s="3">
        <f>IF(ORIG!N327=0,"",ORIG!N327)</f>
        <v/>
      </c>
      <c r="O327" s="3">
        <f>IF(ORIG!O327=0,"",ORIG!O327)</f>
        <v/>
      </c>
      <c r="P327" s="3">
        <f>IF(ORIG!P327=0,"",ORIG!P327)</f>
        <v/>
      </c>
      <c r="Q327" s="3">
        <f>IF(ORIG!Q327=0,"",ORIG!Q327)</f>
        <v/>
      </c>
      <c r="R327" s="3">
        <f>IF(ORIG!R327=0,"",ORIG!R327)</f>
        <v/>
      </c>
      <c r="S327" s="3">
        <f>IF(ORIG!S327=0,"",ORIG!S327)</f>
        <v/>
      </c>
      <c r="T327" s="3">
        <f>IF(ORIG!T327=0,"",ORIG!T327)</f>
        <v/>
      </c>
      <c r="U327" s="3">
        <f>IF(ORIG!U327=0,"",ORIG!U327)</f>
        <v/>
      </c>
      <c r="V327" s="9">
        <f>IF(ORIG!V327=0,"",ORIG!V327)</f>
        <v/>
      </c>
      <c r="W327" s="9">
        <f>IF(ORIG!W327=0,"",ORIG!W327)</f>
        <v/>
      </c>
      <c r="X327" s="9">
        <f>IF(ORIG!X327=0,"",ORIG!X327)</f>
        <v/>
      </c>
      <c r="Y327" s="9">
        <f>IF(ORIG!Y327=0,"",ORIG!Y327)</f>
        <v/>
      </c>
      <c r="Z327" s="3">
        <f>SUMPRODUCT($B327:$Y327,$B$2649:$Y$2649)</f>
        <v/>
      </c>
      <c r="AA327" s="3">
        <f>SUMPRODUCT($B327:$Y327,$B$2655:$Y$2655)</f>
        <v/>
      </c>
      <c r="AC327" s="1">
        <f>A327</f>
        <v/>
      </c>
      <c r="AD327">
        <f>IF(ISNUMBER(V327),V327*($AB$1/V$2635),"")</f>
        <v/>
      </c>
      <c r="AE327">
        <f>IF(ISNUMBER(Z327),Z327*($AB$1/Z$2635),"")</f>
        <v/>
      </c>
      <c r="AF327" s="25">
        <f>IF(ISNUMBER(AD327+AE327),AD327+AE327,"")</f>
        <v/>
      </c>
      <c r="AH327" s="1">
        <f>A327</f>
        <v/>
      </c>
      <c r="AI327">
        <f>IF(ISNUMBER((1+V327)*AI326),(1+V327)*AI326,AI326)</f>
        <v/>
      </c>
      <c r="AJ327">
        <f>IF(ISNUMBER((1+Z327)*AJ326),(1+Z327)*AJ326,AJ326)</f>
        <v/>
      </c>
    </row>
    <row r="328">
      <c r="A328" s="1" t="n">
        <v>42479</v>
      </c>
      <c r="B328" s="3">
        <f>IF(ORIG!B328=0,"",ORIG!B328)</f>
        <v/>
      </c>
      <c r="C328" s="3">
        <f>IF(ORIG!C328=0,"",ORIG!C328)</f>
        <v/>
      </c>
      <c r="D328" s="3">
        <f>IF(ORIG!D328=0,"",ORIG!D328)</f>
        <v/>
      </c>
      <c r="E328" s="3">
        <f>IF(ORIG!E328=0,"",ORIG!E328)</f>
        <v/>
      </c>
      <c r="F328" s="3">
        <f>IF(ORIG!F328=0,"",ORIG!F328)</f>
        <v/>
      </c>
      <c r="G328" s="3">
        <f>IF(ORIG!G328=0,"",ORIG!G328)</f>
        <v/>
      </c>
      <c r="H328" s="3">
        <f>IF(ORIG!H328=0,"",ORIG!H328)</f>
        <v/>
      </c>
      <c r="I328" s="3">
        <f>IF(ORIG!I328=0,"",ORIG!I328)</f>
        <v/>
      </c>
      <c r="J328" s="3">
        <f>IF(ORIG!J328=0,"",ORIG!J328)</f>
        <v/>
      </c>
      <c r="K328" s="3">
        <f>IF(ORIG!K328=0,"",ORIG!K328)</f>
        <v/>
      </c>
      <c r="L328" s="3">
        <f>IF(ORIG!L328=0,"",ORIG!L328)</f>
        <v/>
      </c>
      <c r="M328" s="3">
        <f>IF(ORIG!M328=0,"",ORIG!M328)</f>
        <v/>
      </c>
      <c r="N328" s="3">
        <f>IF(ORIG!N328=0,"",ORIG!N328)</f>
        <v/>
      </c>
      <c r="O328" s="3">
        <f>IF(ORIG!O328=0,"",ORIG!O328)</f>
        <v/>
      </c>
      <c r="P328" s="3">
        <f>IF(ORIG!P328=0,"",ORIG!P328)</f>
        <v/>
      </c>
      <c r="Q328" s="3">
        <f>IF(ORIG!Q328=0,"",ORIG!Q328)</f>
        <v/>
      </c>
      <c r="R328" s="3">
        <f>IF(ORIG!R328=0,"",ORIG!R328)</f>
        <v/>
      </c>
      <c r="S328" s="3">
        <f>IF(ORIG!S328=0,"",ORIG!S328)</f>
        <v/>
      </c>
      <c r="T328" s="3">
        <f>IF(ORIG!T328=0,"",ORIG!T328)</f>
        <v/>
      </c>
      <c r="U328" s="3">
        <f>IF(ORIG!U328=0,"",ORIG!U328)</f>
        <v/>
      </c>
      <c r="V328" s="9">
        <f>IF(ORIG!V328=0,"",ORIG!V328)</f>
        <v/>
      </c>
      <c r="W328" s="9">
        <f>IF(ORIG!W328=0,"",ORIG!W328)</f>
        <v/>
      </c>
      <c r="X328" s="9">
        <f>IF(ORIG!X328=0,"",ORIG!X328)</f>
        <v/>
      </c>
      <c r="Y328" s="9">
        <f>IF(ORIG!Y328=0,"",ORIG!Y328)</f>
        <v/>
      </c>
      <c r="Z328" s="3">
        <f>SUMPRODUCT($B328:$Y328,$B$2649:$Y$2649)</f>
        <v/>
      </c>
      <c r="AA328" s="3">
        <f>SUMPRODUCT($B328:$Y328,$B$2655:$Y$2655)</f>
        <v/>
      </c>
      <c r="AC328" s="1">
        <f>A328</f>
        <v/>
      </c>
      <c r="AD328">
        <f>IF(ISNUMBER(V328),V328*($AB$1/V$2635),"")</f>
        <v/>
      </c>
      <c r="AE328">
        <f>IF(ISNUMBER(Z328),Z328*($AB$1/Z$2635),"")</f>
        <v/>
      </c>
      <c r="AF328" s="25">
        <f>IF(ISNUMBER(AD328+AE328),AD328+AE328,"")</f>
        <v/>
      </c>
      <c r="AH328" s="1">
        <f>A328</f>
        <v/>
      </c>
      <c r="AI328">
        <f>IF(ISNUMBER((1+V328)*AI327),(1+V328)*AI327,AI327)</f>
        <v/>
      </c>
      <c r="AJ328">
        <f>IF(ISNUMBER((1+Z328)*AJ327),(1+Z328)*AJ327,AJ327)</f>
        <v/>
      </c>
    </row>
    <row r="329">
      <c r="A329" s="1" t="n">
        <v>42480</v>
      </c>
      <c r="B329" s="3">
        <f>IF(ORIG!B329=0,"",ORIG!B329)</f>
        <v/>
      </c>
      <c r="C329" s="3">
        <f>IF(ORIG!C329=0,"",ORIG!C329)</f>
        <v/>
      </c>
      <c r="D329" s="3">
        <f>IF(ORIG!D329=0,"",ORIG!D329)</f>
        <v/>
      </c>
      <c r="E329" s="3">
        <f>IF(ORIG!E329=0,"",ORIG!E329)</f>
        <v/>
      </c>
      <c r="F329" s="3">
        <f>IF(ORIG!F329=0,"",ORIG!F329)</f>
        <v/>
      </c>
      <c r="G329" s="3">
        <f>IF(ORIG!G329=0,"",ORIG!G329)</f>
        <v/>
      </c>
      <c r="H329" s="3">
        <f>IF(ORIG!H329=0,"",ORIG!H329)</f>
        <v/>
      </c>
      <c r="I329" s="3">
        <f>IF(ORIG!I329=0,"",ORIG!I329)</f>
        <v/>
      </c>
      <c r="J329" s="3">
        <f>IF(ORIG!J329=0,"",ORIG!J329)</f>
        <v/>
      </c>
      <c r="K329" s="3">
        <f>IF(ORIG!K329=0,"",ORIG!K329)</f>
        <v/>
      </c>
      <c r="L329" s="3">
        <f>IF(ORIG!L329=0,"",ORIG!L329)</f>
        <v/>
      </c>
      <c r="M329" s="3">
        <f>IF(ORIG!M329=0,"",ORIG!M329)</f>
        <v/>
      </c>
      <c r="N329" s="3">
        <f>IF(ORIG!N329=0,"",ORIG!N329)</f>
        <v/>
      </c>
      <c r="O329" s="3">
        <f>IF(ORIG!O329=0,"",ORIG!O329)</f>
        <v/>
      </c>
      <c r="P329" s="3">
        <f>IF(ORIG!P329=0,"",ORIG!P329)</f>
        <v/>
      </c>
      <c r="Q329" s="3">
        <f>IF(ORIG!Q329=0,"",ORIG!Q329)</f>
        <v/>
      </c>
      <c r="R329" s="3">
        <f>IF(ORIG!R329=0,"",ORIG!R329)</f>
        <v/>
      </c>
      <c r="S329" s="3">
        <f>IF(ORIG!S329=0,"",ORIG!S329)</f>
        <v/>
      </c>
      <c r="T329" s="3">
        <f>IF(ORIG!T329=0,"",ORIG!T329)</f>
        <v/>
      </c>
      <c r="U329" s="3">
        <f>IF(ORIG!U329=0,"",ORIG!U329)</f>
        <v/>
      </c>
      <c r="V329" s="9">
        <f>IF(ORIG!V329=0,"",ORIG!V329)</f>
        <v/>
      </c>
      <c r="W329" s="9">
        <f>IF(ORIG!W329=0,"",ORIG!W329)</f>
        <v/>
      </c>
      <c r="X329" s="9">
        <f>IF(ORIG!X329=0,"",ORIG!X329)</f>
        <v/>
      </c>
      <c r="Y329" s="9">
        <f>IF(ORIG!Y329=0,"",ORIG!Y329)</f>
        <v/>
      </c>
      <c r="Z329" s="3">
        <f>SUMPRODUCT($B329:$Y329,$B$2649:$Y$2649)</f>
        <v/>
      </c>
      <c r="AA329" s="3">
        <f>SUMPRODUCT($B329:$Y329,$B$2655:$Y$2655)</f>
        <v/>
      </c>
      <c r="AC329" s="1">
        <f>A329</f>
        <v/>
      </c>
      <c r="AD329">
        <f>IF(ISNUMBER(V329),V329*($AB$1/V$2635),"")</f>
        <v/>
      </c>
      <c r="AE329">
        <f>IF(ISNUMBER(Z329),Z329*($AB$1/Z$2635),"")</f>
        <v/>
      </c>
      <c r="AF329" s="25">
        <f>IF(ISNUMBER(AD329+AE329),AD329+AE329,"")</f>
        <v/>
      </c>
      <c r="AH329" s="1">
        <f>A329</f>
        <v/>
      </c>
      <c r="AI329">
        <f>IF(ISNUMBER((1+V329)*AI328),(1+V329)*AI328,AI328)</f>
        <v/>
      </c>
      <c r="AJ329">
        <f>IF(ISNUMBER((1+Z329)*AJ328),(1+Z329)*AJ328,AJ328)</f>
        <v/>
      </c>
    </row>
    <row r="330">
      <c r="A330" s="1" t="n">
        <v>42481</v>
      </c>
      <c r="B330" s="3">
        <f>IF(ORIG!B330=0,"",ORIG!B330)</f>
        <v/>
      </c>
      <c r="C330" s="3">
        <f>IF(ORIG!C330=0,"",ORIG!C330)</f>
        <v/>
      </c>
      <c r="D330" s="3">
        <f>IF(ORIG!D330=0,"",ORIG!D330)</f>
        <v/>
      </c>
      <c r="E330" s="3">
        <f>IF(ORIG!E330=0,"",ORIG!E330)</f>
        <v/>
      </c>
      <c r="F330" s="3">
        <f>IF(ORIG!F330=0,"",ORIG!F330)</f>
        <v/>
      </c>
      <c r="G330" s="3">
        <f>IF(ORIG!G330=0,"",ORIG!G330)</f>
        <v/>
      </c>
      <c r="H330" s="3">
        <f>IF(ORIG!H330=0,"",ORIG!H330)</f>
        <v/>
      </c>
      <c r="I330" s="3">
        <f>IF(ORIG!I330=0,"",ORIG!I330)</f>
        <v/>
      </c>
      <c r="J330" s="3">
        <f>IF(ORIG!J330=0,"",ORIG!J330)</f>
        <v/>
      </c>
      <c r="K330" s="3">
        <f>IF(ORIG!K330=0,"",ORIG!K330)</f>
        <v/>
      </c>
      <c r="L330" s="3">
        <f>IF(ORIG!L330=0,"",ORIG!L330)</f>
        <v/>
      </c>
      <c r="M330" s="3">
        <f>IF(ORIG!M330=0,"",ORIG!M330)</f>
        <v/>
      </c>
      <c r="N330" s="3">
        <f>IF(ORIG!N330=0,"",ORIG!N330)</f>
        <v/>
      </c>
      <c r="O330" s="3">
        <f>IF(ORIG!O330=0,"",ORIG!O330)</f>
        <v/>
      </c>
      <c r="P330" s="3">
        <f>IF(ORIG!P330=0,"",ORIG!P330)</f>
        <v/>
      </c>
      <c r="Q330" s="3">
        <f>IF(ORIG!Q330=0,"",ORIG!Q330)</f>
        <v/>
      </c>
      <c r="R330" s="3">
        <f>IF(ORIG!R330=0,"",ORIG!R330)</f>
        <v/>
      </c>
      <c r="S330" s="3">
        <f>IF(ORIG!S330=0,"",ORIG!S330)</f>
        <v/>
      </c>
      <c r="T330" s="3">
        <f>IF(ORIG!T330=0,"",ORIG!T330)</f>
        <v/>
      </c>
      <c r="U330" s="3">
        <f>IF(ORIG!U330=0,"",ORIG!U330)</f>
        <v/>
      </c>
      <c r="V330" s="9">
        <f>IF(ORIG!V330=0,"",ORIG!V330)</f>
        <v/>
      </c>
      <c r="W330" s="9">
        <f>IF(ORIG!W330=0,"",ORIG!W330)</f>
        <v/>
      </c>
      <c r="X330" s="9">
        <f>IF(ORIG!X330=0,"",ORIG!X330)</f>
        <v/>
      </c>
      <c r="Y330" s="9">
        <f>IF(ORIG!Y330=0,"",ORIG!Y330)</f>
        <v/>
      </c>
      <c r="Z330" s="3">
        <f>SUMPRODUCT($B330:$Y330,$B$2649:$Y$2649)</f>
        <v/>
      </c>
      <c r="AA330" s="3">
        <f>SUMPRODUCT($B330:$Y330,$B$2655:$Y$2655)</f>
        <v/>
      </c>
      <c r="AC330" s="1">
        <f>A330</f>
        <v/>
      </c>
      <c r="AD330">
        <f>IF(ISNUMBER(V330),V330*($AB$1/V$2635),"")</f>
        <v/>
      </c>
      <c r="AE330">
        <f>IF(ISNUMBER(Z330),Z330*($AB$1/Z$2635),"")</f>
        <v/>
      </c>
      <c r="AF330" s="25">
        <f>IF(ISNUMBER(AD330+AE330),AD330+AE330,"")</f>
        <v/>
      </c>
      <c r="AH330" s="1">
        <f>A330</f>
        <v/>
      </c>
      <c r="AI330">
        <f>IF(ISNUMBER((1+V330)*AI329),(1+V330)*AI329,AI329)</f>
        <v/>
      </c>
      <c r="AJ330">
        <f>IF(ISNUMBER((1+Z330)*AJ329),(1+Z330)*AJ329,AJ329)</f>
        <v/>
      </c>
    </row>
    <row r="331">
      <c r="A331" s="1" t="n">
        <v>42482</v>
      </c>
      <c r="B331" s="3">
        <f>IF(ORIG!B331=0,"",ORIG!B331)</f>
        <v/>
      </c>
      <c r="C331" s="3">
        <f>IF(ORIG!C331=0,"",ORIG!C331)</f>
        <v/>
      </c>
      <c r="D331" s="3">
        <f>IF(ORIG!D331=0,"",ORIG!D331)</f>
        <v/>
      </c>
      <c r="E331" s="3">
        <f>IF(ORIG!E331=0,"",ORIG!E331)</f>
        <v/>
      </c>
      <c r="F331" s="3">
        <f>IF(ORIG!F331=0,"",ORIG!F331)</f>
        <v/>
      </c>
      <c r="G331" s="3">
        <f>IF(ORIG!G331=0,"",ORIG!G331)</f>
        <v/>
      </c>
      <c r="H331" s="3">
        <f>IF(ORIG!H331=0,"",ORIG!H331)</f>
        <v/>
      </c>
      <c r="I331" s="3">
        <f>IF(ORIG!I331=0,"",ORIG!I331)</f>
        <v/>
      </c>
      <c r="J331" s="3">
        <f>IF(ORIG!J331=0,"",ORIG!J331)</f>
        <v/>
      </c>
      <c r="K331" s="3">
        <f>IF(ORIG!K331=0,"",ORIG!K331)</f>
        <v/>
      </c>
      <c r="L331" s="3">
        <f>IF(ORIG!L331=0,"",ORIG!L331)</f>
        <v/>
      </c>
      <c r="M331" s="3">
        <f>IF(ORIG!M331=0,"",ORIG!M331)</f>
        <v/>
      </c>
      <c r="N331" s="3">
        <f>IF(ORIG!N331=0,"",ORIG!N331)</f>
        <v/>
      </c>
      <c r="O331" s="3">
        <f>IF(ORIG!O331=0,"",ORIG!O331)</f>
        <v/>
      </c>
      <c r="P331" s="3">
        <f>IF(ORIG!P331=0,"",ORIG!P331)</f>
        <v/>
      </c>
      <c r="Q331" s="3">
        <f>IF(ORIG!Q331=0,"",ORIG!Q331)</f>
        <v/>
      </c>
      <c r="R331" s="3">
        <f>IF(ORIG!R331=0,"",ORIG!R331)</f>
        <v/>
      </c>
      <c r="S331" s="3">
        <f>IF(ORIG!S331=0,"",ORIG!S331)</f>
        <v/>
      </c>
      <c r="T331" s="3">
        <f>IF(ORIG!T331=0,"",ORIG!T331)</f>
        <v/>
      </c>
      <c r="U331" s="3">
        <f>IF(ORIG!U331=0,"",ORIG!U331)</f>
        <v/>
      </c>
      <c r="V331" s="9">
        <f>IF(ORIG!V331=0,"",ORIG!V331)</f>
        <v/>
      </c>
      <c r="W331" s="9">
        <f>IF(ORIG!W331=0,"",ORIG!W331)</f>
        <v/>
      </c>
      <c r="X331" s="9">
        <f>IF(ORIG!X331=0,"",ORIG!X331)</f>
        <v/>
      </c>
      <c r="Y331" s="9">
        <f>IF(ORIG!Y331=0,"",ORIG!Y331)</f>
        <v/>
      </c>
      <c r="Z331" s="3">
        <f>SUMPRODUCT($B331:$Y331,$B$2649:$Y$2649)</f>
        <v/>
      </c>
      <c r="AA331" s="3">
        <f>SUMPRODUCT($B331:$Y331,$B$2655:$Y$2655)</f>
        <v/>
      </c>
      <c r="AC331" s="1">
        <f>A331</f>
        <v/>
      </c>
      <c r="AD331">
        <f>IF(ISNUMBER(V331),V331*($AB$1/V$2635),"")</f>
        <v/>
      </c>
      <c r="AE331">
        <f>IF(ISNUMBER(Z331),Z331*($AB$1/Z$2635),"")</f>
        <v/>
      </c>
      <c r="AF331" s="25">
        <f>IF(ISNUMBER(AD331+AE331),AD331+AE331,"")</f>
        <v/>
      </c>
      <c r="AH331" s="1">
        <f>A331</f>
        <v/>
      </c>
      <c r="AI331">
        <f>IF(ISNUMBER((1+V331)*AI330),(1+V331)*AI330,AI330)</f>
        <v/>
      </c>
      <c r="AJ331">
        <f>IF(ISNUMBER((1+Z331)*AJ330),(1+Z331)*AJ330,AJ330)</f>
        <v/>
      </c>
    </row>
    <row r="332">
      <c r="A332" s="1" t="n">
        <v>42485</v>
      </c>
      <c r="B332" s="3">
        <f>IF(ORIG!B332=0,"",ORIG!B332)</f>
        <v/>
      </c>
      <c r="C332" s="3">
        <f>IF(ORIG!C332=0,"",ORIG!C332)</f>
        <v/>
      </c>
      <c r="D332" s="3">
        <f>IF(ORIG!D332=0,"",ORIG!D332)</f>
        <v/>
      </c>
      <c r="E332" s="3">
        <f>IF(ORIG!E332=0,"",ORIG!E332)</f>
        <v/>
      </c>
      <c r="F332" s="3">
        <f>IF(ORIG!F332=0,"",ORIG!F332)</f>
        <v/>
      </c>
      <c r="G332" s="3">
        <f>IF(ORIG!G332=0,"",ORIG!G332)</f>
        <v/>
      </c>
      <c r="H332" s="3">
        <f>IF(ORIG!H332=0,"",ORIG!H332)</f>
        <v/>
      </c>
      <c r="I332" s="3">
        <f>IF(ORIG!I332=0,"",ORIG!I332)</f>
        <v/>
      </c>
      <c r="J332" s="3">
        <f>IF(ORIG!J332=0,"",ORIG!J332)</f>
        <v/>
      </c>
      <c r="K332" s="3">
        <f>IF(ORIG!K332=0,"",ORIG!K332)</f>
        <v/>
      </c>
      <c r="L332" s="3">
        <f>IF(ORIG!L332=0,"",ORIG!L332)</f>
        <v/>
      </c>
      <c r="M332" s="3">
        <f>IF(ORIG!M332=0,"",ORIG!M332)</f>
        <v/>
      </c>
      <c r="N332" s="3">
        <f>IF(ORIG!N332=0,"",ORIG!N332)</f>
        <v/>
      </c>
      <c r="O332" s="3">
        <f>IF(ORIG!O332=0,"",ORIG!O332)</f>
        <v/>
      </c>
      <c r="P332" s="3">
        <f>IF(ORIG!P332=0,"",ORIG!P332)</f>
        <v/>
      </c>
      <c r="Q332" s="3">
        <f>IF(ORIG!Q332=0,"",ORIG!Q332)</f>
        <v/>
      </c>
      <c r="R332" s="3">
        <f>IF(ORIG!R332=0,"",ORIG!R332)</f>
        <v/>
      </c>
      <c r="S332" s="3">
        <f>IF(ORIG!S332=0,"",ORIG!S332)</f>
        <v/>
      </c>
      <c r="T332" s="3">
        <f>IF(ORIG!T332=0,"",ORIG!T332)</f>
        <v/>
      </c>
      <c r="U332" s="3">
        <f>IF(ORIG!U332=0,"",ORIG!U332)</f>
        <v/>
      </c>
      <c r="V332" s="9">
        <f>IF(ORIG!V332=0,"",ORIG!V332)</f>
        <v/>
      </c>
      <c r="W332" s="9">
        <f>IF(ORIG!W332=0,"",ORIG!W332)</f>
        <v/>
      </c>
      <c r="X332" s="9">
        <f>IF(ORIG!X332=0,"",ORIG!X332)</f>
        <v/>
      </c>
      <c r="Y332" s="9">
        <f>IF(ORIG!Y332=0,"",ORIG!Y332)</f>
        <v/>
      </c>
      <c r="Z332" s="3">
        <f>SUMPRODUCT($B332:$Y332,$B$2649:$Y$2649)</f>
        <v/>
      </c>
      <c r="AA332" s="3">
        <f>SUMPRODUCT($B332:$Y332,$B$2655:$Y$2655)</f>
        <v/>
      </c>
      <c r="AC332" s="1">
        <f>A332</f>
        <v/>
      </c>
      <c r="AD332">
        <f>IF(ISNUMBER(V332),V332*($AB$1/V$2635),"")</f>
        <v/>
      </c>
      <c r="AE332">
        <f>IF(ISNUMBER(Z332),Z332*($AB$1/Z$2635),"")</f>
        <v/>
      </c>
      <c r="AF332" s="25">
        <f>IF(ISNUMBER(AD332+AE332),AD332+AE332,"")</f>
        <v/>
      </c>
      <c r="AH332" s="1">
        <f>A332</f>
        <v/>
      </c>
      <c r="AI332">
        <f>IF(ISNUMBER((1+V332)*AI331),(1+V332)*AI331,AI331)</f>
        <v/>
      </c>
      <c r="AJ332">
        <f>IF(ISNUMBER((1+Z332)*AJ331),(1+Z332)*AJ331,AJ331)</f>
        <v/>
      </c>
    </row>
    <row r="333">
      <c r="A333" s="1" t="n">
        <v>42486</v>
      </c>
      <c r="B333" s="3">
        <f>IF(ORIG!B333=0,"",ORIG!B333)</f>
        <v/>
      </c>
      <c r="C333" s="3">
        <f>IF(ORIG!C333=0,"",ORIG!C333)</f>
        <v/>
      </c>
      <c r="D333" s="3">
        <f>IF(ORIG!D333=0,"",ORIG!D333)</f>
        <v/>
      </c>
      <c r="E333" s="3">
        <f>IF(ORIG!E333=0,"",ORIG!E333)</f>
        <v/>
      </c>
      <c r="F333" s="3">
        <f>IF(ORIG!F333=0,"",ORIG!F333)</f>
        <v/>
      </c>
      <c r="G333" s="3">
        <f>IF(ORIG!G333=0,"",ORIG!G333)</f>
        <v/>
      </c>
      <c r="H333" s="3">
        <f>IF(ORIG!H333=0,"",ORIG!H333)</f>
        <v/>
      </c>
      <c r="I333" s="3">
        <f>IF(ORIG!I333=0,"",ORIG!I333)</f>
        <v/>
      </c>
      <c r="J333" s="3">
        <f>IF(ORIG!J333=0,"",ORIG!J333)</f>
        <v/>
      </c>
      <c r="K333" s="3">
        <f>IF(ORIG!K333=0,"",ORIG!K333)</f>
        <v/>
      </c>
      <c r="L333" s="3">
        <f>IF(ORIG!L333=0,"",ORIG!L333)</f>
        <v/>
      </c>
      <c r="M333" s="3">
        <f>IF(ORIG!M333=0,"",ORIG!M333)</f>
        <v/>
      </c>
      <c r="N333" s="3">
        <f>IF(ORIG!N333=0,"",ORIG!N333)</f>
        <v/>
      </c>
      <c r="O333" s="3">
        <f>IF(ORIG!O333=0,"",ORIG!O333)</f>
        <v/>
      </c>
      <c r="P333" s="3">
        <f>IF(ORIG!P333=0,"",ORIG!P333)</f>
        <v/>
      </c>
      <c r="Q333" s="3">
        <f>IF(ORIG!Q333=0,"",ORIG!Q333)</f>
        <v/>
      </c>
      <c r="R333" s="3">
        <f>IF(ORIG!R333=0,"",ORIG!R333)</f>
        <v/>
      </c>
      <c r="S333" s="3">
        <f>IF(ORIG!S333=0,"",ORIG!S333)</f>
        <v/>
      </c>
      <c r="T333" s="3">
        <f>IF(ORIG!T333=0,"",ORIG!T333)</f>
        <v/>
      </c>
      <c r="U333" s="3">
        <f>IF(ORIG!U333=0,"",ORIG!U333)</f>
        <v/>
      </c>
      <c r="V333" s="9">
        <f>IF(ORIG!V333=0,"",ORIG!V333)</f>
        <v/>
      </c>
      <c r="W333" s="9">
        <f>IF(ORIG!W333=0,"",ORIG!W333)</f>
        <v/>
      </c>
      <c r="X333" s="9">
        <f>IF(ORIG!X333=0,"",ORIG!X333)</f>
        <v/>
      </c>
      <c r="Y333" s="9">
        <f>IF(ORIG!Y333=0,"",ORIG!Y333)</f>
        <v/>
      </c>
      <c r="Z333" s="3">
        <f>SUMPRODUCT($B333:$Y333,$B$2649:$Y$2649)</f>
        <v/>
      </c>
      <c r="AA333" s="3">
        <f>SUMPRODUCT($B333:$Y333,$B$2655:$Y$2655)</f>
        <v/>
      </c>
      <c r="AC333" s="1">
        <f>A333</f>
        <v/>
      </c>
      <c r="AD333">
        <f>IF(ISNUMBER(V333),V333*($AB$1/V$2635),"")</f>
        <v/>
      </c>
      <c r="AE333">
        <f>IF(ISNUMBER(Z333),Z333*($AB$1/Z$2635),"")</f>
        <v/>
      </c>
      <c r="AF333" s="25">
        <f>IF(ISNUMBER(AD333+AE333),AD333+AE333,"")</f>
        <v/>
      </c>
      <c r="AH333" s="1">
        <f>A333</f>
        <v/>
      </c>
      <c r="AI333">
        <f>IF(ISNUMBER((1+V333)*AI332),(1+V333)*AI332,AI332)</f>
        <v/>
      </c>
      <c r="AJ333">
        <f>IF(ISNUMBER((1+Z333)*AJ332),(1+Z333)*AJ332,AJ332)</f>
        <v/>
      </c>
    </row>
    <row r="334">
      <c r="A334" s="1" t="n">
        <v>42487</v>
      </c>
      <c r="B334" s="3">
        <f>IF(ORIG!B334=0,"",ORIG!B334)</f>
        <v/>
      </c>
      <c r="C334" s="3">
        <f>IF(ORIG!C334=0,"",ORIG!C334)</f>
        <v/>
      </c>
      <c r="D334" s="3">
        <f>IF(ORIG!D334=0,"",ORIG!D334)</f>
        <v/>
      </c>
      <c r="E334" s="3">
        <f>IF(ORIG!E334=0,"",ORIG!E334)</f>
        <v/>
      </c>
      <c r="F334" s="3">
        <f>IF(ORIG!F334=0,"",ORIG!F334)</f>
        <v/>
      </c>
      <c r="G334" s="3">
        <f>IF(ORIG!G334=0,"",ORIG!G334)</f>
        <v/>
      </c>
      <c r="H334" s="3">
        <f>IF(ORIG!H334=0,"",ORIG!H334)</f>
        <v/>
      </c>
      <c r="I334" s="3">
        <f>IF(ORIG!I334=0,"",ORIG!I334)</f>
        <v/>
      </c>
      <c r="J334" s="3">
        <f>IF(ORIG!J334=0,"",ORIG!J334)</f>
        <v/>
      </c>
      <c r="K334" s="3">
        <f>IF(ORIG!K334=0,"",ORIG!K334)</f>
        <v/>
      </c>
      <c r="L334" s="3">
        <f>IF(ORIG!L334=0,"",ORIG!L334)</f>
        <v/>
      </c>
      <c r="M334" s="3">
        <f>IF(ORIG!M334=0,"",ORIG!M334)</f>
        <v/>
      </c>
      <c r="N334" s="3">
        <f>IF(ORIG!N334=0,"",ORIG!N334)</f>
        <v/>
      </c>
      <c r="O334" s="3">
        <f>IF(ORIG!O334=0,"",ORIG!O334)</f>
        <v/>
      </c>
      <c r="P334" s="3">
        <f>IF(ORIG!P334=0,"",ORIG!P334)</f>
        <v/>
      </c>
      <c r="Q334" s="3">
        <f>IF(ORIG!Q334=0,"",ORIG!Q334)</f>
        <v/>
      </c>
      <c r="R334" s="3">
        <f>IF(ORIG!R334=0,"",ORIG!R334)</f>
        <v/>
      </c>
      <c r="S334" s="3">
        <f>IF(ORIG!S334=0,"",ORIG!S334)</f>
        <v/>
      </c>
      <c r="T334" s="3">
        <f>IF(ORIG!T334=0,"",ORIG!T334)</f>
        <v/>
      </c>
      <c r="U334" s="3">
        <f>IF(ORIG!U334=0,"",ORIG!U334)</f>
        <v/>
      </c>
      <c r="V334" s="9">
        <f>IF(ORIG!V334=0,"",ORIG!V334)</f>
        <v/>
      </c>
      <c r="W334" s="9">
        <f>IF(ORIG!W334=0,"",ORIG!W334)</f>
        <v/>
      </c>
      <c r="X334" s="9">
        <f>IF(ORIG!X334=0,"",ORIG!X334)</f>
        <v/>
      </c>
      <c r="Y334" s="9">
        <f>IF(ORIG!Y334=0,"",ORIG!Y334)</f>
        <v/>
      </c>
      <c r="Z334" s="3">
        <f>SUMPRODUCT($B334:$Y334,$B$2649:$Y$2649)</f>
        <v/>
      </c>
      <c r="AA334" s="3">
        <f>SUMPRODUCT($B334:$Y334,$B$2655:$Y$2655)</f>
        <v/>
      </c>
      <c r="AC334" s="1">
        <f>A334</f>
        <v/>
      </c>
      <c r="AD334">
        <f>IF(ISNUMBER(V334),V334*($AB$1/V$2635),"")</f>
        <v/>
      </c>
      <c r="AE334">
        <f>IF(ISNUMBER(Z334),Z334*($AB$1/Z$2635),"")</f>
        <v/>
      </c>
      <c r="AF334" s="25">
        <f>IF(ISNUMBER(AD334+AE334),AD334+AE334,"")</f>
        <v/>
      </c>
      <c r="AH334" s="1">
        <f>A334</f>
        <v/>
      </c>
      <c r="AI334">
        <f>IF(ISNUMBER((1+V334)*AI333),(1+V334)*AI333,AI333)</f>
        <v/>
      </c>
      <c r="AJ334">
        <f>IF(ISNUMBER((1+Z334)*AJ333),(1+Z334)*AJ333,AJ333)</f>
        <v/>
      </c>
    </row>
    <row r="335">
      <c r="A335" s="1" t="n">
        <v>42488</v>
      </c>
      <c r="B335" s="3">
        <f>IF(ORIG!B335=0,"",ORIG!B335)</f>
        <v/>
      </c>
      <c r="C335" s="3">
        <f>IF(ORIG!C335=0,"",ORIG!C335)</f>
        <v/>
      </c>
      <c r="D335" s="3">
        <f>IF(ORIG!D335=0,"",ORIG!D335)</f>
        <v/>
      </c>
      <c r="E335" s="3">
        <f>IF(ORIG!E335=0,"",ORIG!E335)</f>
        <v/>
      </c>
      <c r="F335" s="3">
        <f>IF(ORIG!F335=0,"",ORIG!F335)</f>
        <v/>
      </c>
      <c r="G335" s="3">
        <f>IF(ORIG!G335=0,"",ORIG!G335)</f>
        <v/>
      </c>
      <c r="H335" s="3">
        <f>IF(ORIG!H335=0,"",ORIG!H335)</f>
        <v/>
      </c>
      <c r="I335" s="3">
        <f>IF(ORIG!I335=0,"",ORIG!I335)</f>
        <v/>
      </c>
      <c r="J335" s="3">
        <f>IF(ORIG!J335=0,"",ORIG!J335)</f>
        <v/>
      </c>
      <c r="K335" s="3">
        <f>IF(ORIG!K335=0,"",ORIG!K335)</f>
        <v/>
      </c>
      <c r="L335" s="3">
        <f>IF(ORIG!L335=0,"",ORIG!L335)</f>
        <v/>
      </c>
      <c r="M335" s="3">
        <f>IF(ORIG!M335=0,"",ORIG!M335)</f>
        <v/>
      </c>
      <c r="N335" s="3">
        <f>IF(ORIG!N335=0,"",ORIG!N335)</f>
        <v/>
      </c>
      <c r="O335" s="3">
        <f>IF(ORIG!O335=0,"",ORIG!O335)</f>
        <v/>
      </c>
      <c r="P335" s="3">
        <f>IF(ORIG!P335=0,"",ORIG!P335)</f>
        <v/>
      </c>
      <c r="Q335" s="3">
        <f>IF(ORIG!Q335=0,"",ORIG!Q335)</f>
        <v/>
      </c>
      <c r="R335" s="3">
        <f>IF(ORIG!R335=0,"",ORIG!R335)</f>
        <v/>
      </c>
      <c r="S335" s="3">
        <f>IF(ORIG!S335=0,"",ORIG!S335)</f>
        <v/>
      </c>
      <c r="T335" s="3">
        <f>IF(ORIG!T335=0,"",ORIG!T335)</f>
        <v/>
      </c>
      <c r="U335" s="3">
        <f>IF(ORIG!U335=0,"",ORIG!U335)</f>
        <v/>
      </c>
      <c r="V335" s="9">
        <f>IF(ORIG!V335=0,"",ORIG!V335)</f>
        <v/>
      </c>
      <c r="W335" s="9">
        <f>IF(ORIG!W335=0,"",ORIG!W335)</f>
        <v/>
      </c>
      <c r="X335" s="9">
        <f>IF(ORIG!X335=0,"",ORIG!X335)</f>
        <v/>
      </c>
      <c r="Y335" s="9">
        <f>IF(ORIG!Y335=0,"",ORIG!Y335)</f>
        <v/>
      </c>
      <c r="Z335" s="3">
        <f>SUMPRODUCT($B335:$Y335,$B$2649:$Y$2649)</f>
        <v/>
      </c>
      <c r="AA335" s="3">
        <f>SUMPRODUCT($B335:$Y335,$B$2655:$Y$2655)</f>
        <v/>
      </c>
      <c r="AC335" s="1">
        <f>A335</f>
        <v/>
      </c>
      <c r="AD335">
        <f>IF(ISNUMBER(V335),V335*($AB$1/V$2635),"")</f>
        <v/>
      </c>
      <c r="AE335">
        <f>IF(ISNUMBER(Z335),Z335*($AB$1/Z$2635),"")</f>
        <v/>
      </c>
      <c r="AF335" s="25">
        <f>IF(ISNUMBER(AD335+AE335),AD335+AE335,"")</f>
        <v/>
      </c>
      <c r="AH335" s="1">
        <f>A335</f>
        <v/>
      </c>
      <c r="AI335">
        <f>IF(ISNUMBER((1+V335)*AI334),(1+V335)*AI334,AI334)</f>
        <v/>
      </c>
      <c r="AJ335">
        <f>IF(ISNUMBER((1+Z335)*AJ334),(1+Z335)*AJ334,AJ334)</f>
        <v/>
      </c>
    </row>
    <row r="336">
      <c r="A336" s="1" t="n">
        <v>42489</v>
      </c>
      <c r="B336" s="3">
        <f>IF(ORIG!B336=0,"",ORIG!B336)</f>
        <v/>
      </c>
      <c r="C336" s="3">
        <f>IF(ORIG!C336=0,"",ORIG!C336)</f>
        <v/>
      </c>
      <c r="D336" s="3">
        <f>IF(ORIG!D336=0,"",ORIG!D336)</f>
        <v/>
      </c>
      <c r="E336" s="3">
        <f>IF(ORIG!E336=0,"",ORIG!E336)</f>
        <v/>
      </c>
      <c r="F336" s="3">
        <f>IF(ORIG!F336=0,"",ORIG!F336)</f>
        <v/>
      </c>
      <c r="G336" s="3">
        <f>IF(ORIG!G336=0,"",ORIG!G336)</f>
        <v/>
      </c>
      <c r="H336" s="3">
        <f>IF(ORIG!H336=0,"",ORIG!H336)</f>
        <v/>
      </c>
      <c r="I336" s="3">
        <f>IF(ORIG!I336=0,"",ORIG!I336)</f>
        <v/>
      </c>
      <c r="J336" s="3">
        <f>IF(ORIG!J336=0,"",ORIG!J336)</f>
        <v/>
      </c>
      <c r="K336" s="3">
        <f>IF(ORIG!K336=0,"",ORIG!K336)</f>
        <v/>
      </c>
      <c r="L336" s="3">
        <f>IF(ORIG!L336=0,"",ORIG!L336)</f>
        <v/>
      </c>
      <c r="M336" s="3">
        <f>IF(ORIG!M336=0,"",ORIG!M336)</f>
        <v/>
      </c>
      <c r="N336" s="3">
        <f>IF(ORIG!N336=0,"",ORIG!N336)</f>
        <v/>
      </c>
      <c r="O336" s="3">
        <f>IF(ORIG!O336=0,"",ORIG!O336)</f>
        <v/>
      </c>
      <c r="P336" s="3">
        <f>IF(ORIG!P336=0,"",ORIG!P336)</f>
        <v/>
      </c>
      <c r="Q336" s="3">
        <f>IF(ORIG!Q336=0,"",ORIG!Q336)</f>
        <v/>
      </c>
      <c r="R336" s="3">
        <f>IF(ORIG!R336=0,"",ORIG!R336)</f>
        <v/>
      </c>
      <c r="S336" s="3">
        <f>IF(ORIG!S336=0,"",ORIG!S336)</f>
        <v/>
      </c>
      <c r="T336" s="3">
        <f>IF(ORIG!T336=0,"",ORIG!T336)</f>
        <v/>
      </c>
      <c r="U336" s="3">
        <f>IF(ORIG!U336=0,"",ORIG!U336)</f>
        <v/>
      </c>
      <c r="V336" s="9">
        <f>IF(ORIG!V336=0,"",ORIG!V336)</f>
        <v/>
      </c>
      <c r="W336" s="9">
        <f>IF(ORIG!W336=0,"",ORIG!W336)</f>
        <v/>
      </c>
      <c r="X336" s="9">
        <f>IF(ORIG!X336=0,"",ORIG!X336)</f>
        <v/>
      </c>
      <c r="Y336" s="9">
        <f>IF(ORIG!Y336=0,"",ORIG!Y336)</f>
        <v/>
      </c>
      <c r="Z336" s="3">
        <f>SUMPRODUCT($B336:$Y336,$B$2649:$Y$2649)</f>
        <v/>
      </c>
      <c r="AA336" s="3">
        <f>SUMPRODUCT($B336:$Y336,$B$2655:$Y$2655)</f>
        <v/>
      </c>
      <c r="AC336" s="1">
        <f>A336</f>
        <v/>
      </c>
      <c r="AD336">
        <f>IF(ISNUMBER(V336),V336*($AB$1/V$2635),"")</f>
        <v/>
      </c>
      <c r="AE336">
        <f>IF(ISNUMBER(Z336),Z336*($AB$1/Z$2635),"")</f>
        <v/>
      </c>
      <c r="AF336" s="25">
        <f>IF(ISNUMBER(AD336+AE336),AD336+AE336,"")</f>
        <v/>
      </c>
      <c r="AH336" s="1">
        <f>A336</f>
        <v/>
      </c>
      <c r="AI336">
        <f>IF(ISNUMBER((1+V336)*AI335),(1+V336)*AI335,AI335)</f>
        <v/>
      </c>
      <c r="AJ336">
        <f>IF(ISNUMBER((1+Z336)*AJ335),(1+Z336)*AJ335,AJ335)</f>
        <v/>
      </c>
    </row>
    <row r="337">
      <c r="A337" s="1" t="n">
        <v>42492</v>
      </c>
      <c r="B337" s="3">
        <f>IF(ORIG!B337=0,"",ORIG!B337)</f>
        <v/>
      </c>
      <c r="C337" s="3">
        <f>IF(ORIG!C337=0,"",ORIG!C337)</f>
        <v/>
      </c>
      <c r="D337" s="3">
        <f>IF(ORIG!D337=0,"",ORIG!D337)</f>
        <v/>
      </c>
      <c r="E337" s="3">
        <f>IF(ORIG!E337=0,"",ORIG!E337)</f>
        <v/>
      </c>
      <c r="F337" s="3">
        <f>IF(ORIG!F337=0,"",ORIG!F337)</f>
        <v/>
      </c>
      <c r="G337" s="3">
        <f>IF(ORIG!G337=0,"",ORIG!G337)</f>
        <v/>
      </c>
      <c r="H337" s="3">
        <f>IF(ORIG!H337=0,"",ORIG!H337)</f>
        <v/>
      </c>
      <c r="I337" s="3">
        <f>IF(ORIG!I337=0,"",ORIG!I337)</f>
        <v/>
      </c>
      <c r="J337" s="3">
        <f>IF(ORIG!J337=0,"",ORIG!J337)</f>
        <v/>
      </c>
      <c r="K337" s="3">
        <f>IF(ORIG!K337=0,"",ORIG!K337)</f>
        <v/>
      </c>
      <c r="L337" s="3">
        <f>IF(ORIG!L337=0,"",ORIG!L337)</f>
        <v/>
      </c>
      <c r="M337" s="3">
        <f>IF(ORIG!M337=0,"",ORIG!M337)</f>
        <v/>
      </c>
      <c r="N337" s="3">
        <f>IF(ORIG!N337=0,"",ORIG!N337)</f>
        <v/>
      </c>
      <c r="O337" s="3">
        <f>IF(ORIG!O337=0,"",ORIG!O337)</f>
        <v/>
      </c>
      <c r="P337" s="3">
        <f>IF(ORIG!P337=0,"",ORIG!P337)</f>
        <v/>
      </c>
      <c r="Q337" s="3">
        <f>IF(ORIG!Q337=0,"",ORIG!Q337)</f>
        <v/>
      </c>
      <c r="R337" s="3">
        <f>IF(ORIG!R337=0,"",ORIG!R337)</f>
        <v/>
      </c>
      <c r="S337" s="3">
        <f>IF(ORIG!S337=0,"",ORIG!S337)</f>
        <v/>
      </c>
      <c r="T337" s="3">
        <f>IF(ORIG!T337=0,"",ORIG!T337)</f>
        <v/>
      </c>
      <c r="U337" s="3">
        <f>IF(ORIG!U337=0,"",ORIG!U337)</f>
        <v/>
      </c>
      <c r="V337" s="9">
        <f>IF(ORIG!V337=0,"",ORIG!V337)</f>
        <v/>
      </c>
      <c r="W337" s="9">
        <f>IF(ORIG!W337=0,"",ORIG!W337)</f>
        <v/>
      </c>
      <c r="X337" s="9">
        <f>IF(ORIG!X337=0,"",ORIG!X337)</f>
        <v/>
      </c>
      <c r="Y337" s="9">
        <f>IF(ORIG!Y337=0,"",ORIG!Y337)</f>
        <v/>
      </c>
      <c r="Z337" s="3">
        <f>SUMPRODUCT($B337:$Y337,$B$2649:$Y$2649)</f>
        <v/>
      </c>
      <c r="AA337" s="3">
        <f>SUMPRODUCT($B337:$Y337,$B$2655:$Y$2655)</f>
        <v/>
      </c>
      <c r="AC337" s="1">
        <f>A337</f>
        <v/>
      </c>
      <c r="AD337">
        <f>IF(ISNUMBER(V337),V337*($AB$1/V$2635),"")</f>
        <v/>
      </c>
      <c r="AE337">
        <f>IF(ISNUMBER(Z337),Z337*($AB$1/Z$2635),"")</f>
        <v/>
      </c>
      <c r="AF337" s="25">
        <f>IF(ISNUMBER(AD337+AE337),AD337+AE337,"")</f>
        <v/>
      </c>
      <c r="AH337" s="1">
        <f>A337</f>
        <v/>
      </c>
      <c r="AI337">
        <f>IF(ISNUMBER((1+V337)*AI336),(1+V337)*AI336,AI336)</f>
        <v/>
      </c>
      <c r="AJ337">
        <f>IF(ISNUMBER((1+Z337)*AJ336),(1+Z337)*AJ336,AJ336)</f>
        <v/>
      </c>
    </row>
    <row r="338">
      <c r="A338" s="1" t="n">
        <v>42493</v>
      </c>
      <c r="B338" s="3">
        <f>IF(ORIG!B338=0,"",ORIG!B338)</f>
        <v/>
      </c>
      <c r="C338" s="3">
        <f>IF(ORIG!C338=0,"",ORIG!C338)</f>
        <v/>
      </c>
      <c r="D338" s="3">
        <f>IF(ORIG!D338=0,"",ORIG!D338)</f>
        <v/>
      </c>
      <c r="E338" s="3">
        <f>IF(ORIG!E338=0,"",ORIG!E338)</f>
        <v/>
      </c>
      <c r="F338" s="3">
        <f>IF(ORIG!F338=0,"",ORIG!F338)</f>
        <v/>
      </c>
      <c r="G338" s="3">
        <f>IF(ORIG!G338=0,"",ORIG!G338)</f>
        <v/>
      </c>
      <c r="H338" s="3">
        <f>IF(ORIG!H338=0,"",ORIG!H338)</f>
        <v/>
      </c>
      <c r="I338" s="3">
        <f>IF(ORIG!I338=0,"",ORIG!I338)</f>
        <v/>
      </c>
      <c r="J338" s="3">
        <f>IF(ORIG!J338=0,"",ORIG!J338)</f>
        <v/>
      </c>
      <c r="K338" s="3">
        <f>IF(ORIG!K338=0,"",ORIG!K338)</f>
        <v/>
      </c>
      <c r="L338" s="3">
        <f>IF(ORIG!L338=0,"",ORIG!L338)</f>
        <v/>
      </c>
      <c r="M338" s="3">
        <f>IF(ORIG!M338=0,"",ORIG!M338)</f>
        <v/>
      </c>
      <c r="N338" s="3">
        <f>IF(ORIG!N338=0,"",ORIG!N338)</f>
        <v/>
      </c>
      <c r="O338" s="3">
        <f>IF(ORIG!O338=0,"",ORIG!O338)</f>
        <v/>
      </c>
      <c r="P338" s="3">
        <f>IF(ORIG!P338=0,"",ORIG!P338)</f>
        <v/>
      </c>
      <c r="Q338" s="3">
        <f>IF(ORIG!Q338=0,"",ORIG!Q338)</f>
        <v/>
      </c>
      <c r="R338" s="3">
        <f>IF(ORIG!R338=0,"",ORIG!R338)</f>
        <v/>
      </c>
      <c r="S338" s="3">
        <f>IF(ORIG!S338=0,"",ORIG!S338)</f>
        <v/>
      </c>
      <c r="T338" s="3">
        <f>IF(ORIG!T338=0,"",ORIG!T338)</f>
        <v/>
      </c>
      <c r="U338" s="3">
        <f>IF(ORIG!U338=0,"",ORIG!U338)</f>
        <v/>
      </c>
      <c r="V338" s="9">
        <f>IF(ORIG!V338=0,"",ORIG!V338)</f>
        <v/>
      </c>
      <c r="W338" s="9">
        <f>IF(ORIG!W338=0,"",ORIG!W338)</f>
        <v/>
      </c>
      <c r="X338" s="9">
        <f>IF(ORIG!X338=0,"",ORIG!X338)</f>
        <v/>
      </c>
      <c r="Y338" s="9">
        <f>IF(ORIG!Y338=0,"",ORIG!Y338)</f>
        <v/>
      </c>
      <c r="Z338" s="3">
        <f>SUMPRODUCT($B338:$Y338,$B$2649:$Y$2649)</f>
        <v/>
      </c>
      <c r="AA338" s="3">
        <f>SUMPRODUCT($B338:$Y338,$B$2655:$Y$2655)</f>
        <v/>
      </c>
      <c r="AC338" s="1">
        <f>A338</f>
        <v/>
      </c>
      <c r="AD338">
        <f>IF(ISNUMBER(V338),V338*($AB$1/V$2635),"")</f>
        <v/>
      </c>
      <c r="AE338">
        <f>IF(ISNUMBER(Z338),Z338*($AB$1/Z$2635),"")</f>
        <v/>
      </c>
      <c r="AF338" s="25">
        <f>IF(ISNUMBER(AD338+AE338),AD338+AE338,"")</f>
        <v/>
      </c>
      <c r="AH338" s="1">
        <f>A338</f>
        <v/>
      </c>
      <c r="AI338">
        <f>IF(ISNUMBER((1+V338)*AI337),(1+V338)*AI337,AI337)</f>
        <v/>
      </c>
      <c r="AJ338">
        <f>IF(ISNUMBER((1+Z338)*AJ337),(1+Z338)*AJ337,AJ337)</f>
        <v/>
      </c>
    </row>
    <row r="339">
      <c r="A339" s="1" t="n">
        <v>42494</v>
      </c>
      <c r="B339" s="3">
        <f>IF(ORIG!B339=0,"",ORIG!B339)</f>
        <v/>
      </c>
      <c r="C339" s="3">
        <f>IF(ORIG!C339=0,"",ORIG!C339)</f>
        <v/>
      </c>
      <c r="D339" s="3">
        <f>IF(ORIG!D339=0,"",ORIG!D339)</f>
        <v/>
      </c>
      <c r="E339" s="3">
        <f>IF(ORIG!E339=0,"",ORIG!E339)</f>
        <v/>
      </c>
      <c r="F339" s="3">
        <f>IF(ORIG!F339=0,"",ORIG!F339)</f>
        <v/>
      </c>
      <c r="G339" s="3">
        <f>IF(ORIG!G339=0,"",ORIG!G339)</f>
        <v/>
      </c>
      <c r="H339" s="3">
        <f>IF(ORIG!H339=0,"",ORIG!H339)</f>
        <v/>
      </c>
      <c r="I339" s="3">
        <f>IF(ORIG!I339=0,"",ORIG!I339)</f>
        <v/>
      </c>
      <c r="J339" s="3">
        <f>IF(ORIG!J339=0,"",ORIG!J339)</f>
        <v/>
      </c>
      <c r="K339" s="3">
        <f>IF(ORIG!K339=0,"",ORIG!K339)</f>
        <v/>
      </c>
      <c r="L339" s="3">
        <f>IF(ORIG!L339=0,"",ORIG!L339)</f>
        <v/>
      </c>
      <c r="M339" s="3">
        <f>IF(ORIG!M339=0,"",ORIG!M339)</f>
        <v/>
      </c>
      <c r="N339" s="3">
        <f>IF(ORIG!N339=0,"",ORIG!N339)</f>
        <v/>
      </c>
      <c r="O339" s="3">
        <f>IF(ORIG!O339=0,"",ORIG!O339)</f>
        <v/>
      </c>
      <c r="P339" s="3">
        <f>IF(ORIG!P339=0,"",ORIG!P339)</f>
        <v/>
      </c>
      <c r="Q339" s="3">
        <f>IF(ORIG!Q339=0,"",ORIG!Q339)</f>
        <v/>
      </c>
      <c r="R339" s="3">
        <f>IF(ORIG!R339=0,"",ORIG!R339)</f>
        <v/>
      </c>
      <c r="S339" s="3">
        <f>IF(ORIG!S339=0,"",ORIG!S339)</f>
        <v/>
      </c>
      <c r="T339" s="3">
        <f>IF(ORIG!T339=0,"",ORIG!T339)</f>
        <v/>
      </c>
      <c r="U339" s="3">
        <f>IF(ORIG!U339=0,"",ORIG!U339)</f>
        <v/>
      </c>
      <c r="V339" s="9">
        <f>IF(ORIG!V339=0,"",ORIG!V339)</f>
        <v/>
      </c>
      <c r="W339" s="9">
        <f>IF(ORIG!W339=0,"",ORIG!W339)</f>
        <v/>
      </c>
      <c r="X339" s="9">
        <f>IF(ORIG!X339=0,"",ORIG!X339)</f>
        <v/>
      </c>
      <c r="Y339" s="9">
        <f>IF(ORIG!Y339=0,"",ORIG!Y339)</f>
        <v/>
      </c>
      <c r="Z339" s="3">
        <f>SUMPRODUCT($B339:$Y339,$B$2649:$Y$2649)</f>
        <v/>
      </c>
      <c r="AA339" s="3">
        <f>SUMPRODUCT($B339:$Y339,$B$2655:$Y$2655)</f>
        <v/>
      </c>
      <c r="AC339" s="1">
        <f>A339</f>
        <v/>
      </c>
      <c r="AD339">
        <f>IF(ISNUMBER(V339),V339*($AB$1/V$2635),"")</f>
        <v/>
      </c>
      <c r="AE339">
        <f>IF(ISNUMBER(Z339),Z339*($AB$1/Z$2635),"")</f>
        <v/>
      </c>
      <c r="AF339" s="25">
        <f>IF(ISNUMBER(AD339+AE339),AD339+AE339,"")</f>
        <v/>
      </c>
      <c r="AH339" s="1">
        <f>A339</f>
        <v/>
      </c>
      <c r="AI339">
        <f>IF(ISNUMBER((1+V339)*AI338),(1+V339)*AI338,AI338)</f>
        <v/>
      </c>
      <c r="AJ339">
        <f>IF(ISNUMBER((1+Z339)*AJ338),(1+Z339)*AJ338,AJ338)</f>
        <v/>
      </c>
    </row>
    <row r="340">
      <c r="A340" s="1" t="n">
        <v>42495</v>
      </c>
      <c r="B340" s="3">
        <f>IF(ORIG!B340=0,"",ORIG!B340)</f>
        <v/>
      </c>
      <c r="C340" s="3">
        <f>IF(ORIG!C340=0,"",ORIG!C340)</f>
        <v/>
      </c>
      <c r="D340" s="3">
        <f>IF(ORIG!D340=0,"",ORIG!D340)</f>
        <v/>
      </c>
      <c r="E340" s="3">
        <f>IF(ORIG!E340=0,"",ORIG!E340)</f>
        <v/>
      </c>
      <c r="F340" s="3">
        <f>IF(ORIG!F340=0,"",ORIG!F340)</f>
        <v/>
      </c>
      <c r="G340" s="3">
        <f>IF(ORIG!G340=0,"",ORIG!G340)</f>
        <v/>
      </c>
      <c r="H340" s="3">
        <f>IF(ORIG!H340=0,"",ORIG!H340)</f>
        <v/>
      </c>
      <c r="I340" s="3">
        <f>IF(ORIG!I340=0,"",ORIG!I340)</f>
        <v/>
      </c>
      <c r="J340" s="3">
        <f>IF(ORIG!J340=0,"",ORIG!J340)</f>
        <v/>
      </c>
      <c r="K340" s="3">
        <f>IF(ORIG!K340=0,"",ORIG!K340)</f>
        <v/>
      </c>
      <c r="L340" s="3">
        <f>IF(ORIG!L340=0,"",ORIG!L340)</f>
        <v/>
      </c>
      <c r="M340" s="3">
        <f>IF(ORIG!M340=0,"",ORIG!M340)</f>
        <v/>
      </c>
      <c r="N340" s="3">
        <f>IF(ORIG!N340=0,"",ORIG!N340)</f>
        <v/>
      </c>
      <c r="O340" s="3">
        <f>IF(ORIG!O340=0,"",ORIG!O340)</f>
        <v/>
      </c>
      <c r="P340" s="3">
        <f>IF(ORIG!P340=0,"",ORIG!P340)</f>
        <v/>
      </c>
      <c r="Q340" s="3">
        <f>IF(ORIG!Q340=0,"",ORIG!Q340)</f>
        <v/>
      </c>
      <c r="R340" s="3">
        <f>IF(ORIG!R340=0,"",ORIG!R340)</f>
        <v/>
      </c>
      <c r="S340" s="3">
        <f>IF(ORIG!S340=0,"",ORIG!S340)</f>
        <v/>
      </c>
      <c r="T340" s="3">
        <f>IF(ORIG!T340=0,"",ORIG!T340)</f>
        <v/>
      </c>
      <c r="U340" s="3">
        <f>IF(ORIG!U340=0,"",ORIG!U340)</f>
        <v/>
      </c>
      <c r="V340" s="9">
        <f>IF(ORIG!V340=0,"",ORIG!V340)</f>
        <v/>
      </c>
      <c r="W340" s="9">
        <f>IF(ORIG!W340=0,"",ORIG!W340)</f>
        <v/>
      </c>
      <c r="X340" s="9">
        <f>IF(ORIG!X340=0,"",ORIG!X340)</f>
        <v/>
      </c>
      <c r="Y340" s="9">
        <f>IF(ORIG!Y340=0,"",ORIG!Y340)</f>
        <v/>
      </c>
      <c r="Z340" s="3">
        <f>SUMPRODUCT($B340:$Y340,$B$2649:$Y$2649)</f>
        <v/>
      </c>
      <c r="AA340" s="3">
        <f>SUMPRODUCT($B340:$Y340,$B$2655:$Y$2655)</f>
        <v/>
      </c>
      <c r="AC340" s="1">
        <f>A340</f>
        <v/>
      </c>
      <c r="AD340">
        <f>IF(ISNUMBER(V340),V340*($AB$1/V$2635),"")</f>
        <v/>
      </c>
      <c r="AE340">
        <f>IF(ISNUMBER(Z340),Z340*($AB$1/Z$2635),"")</f>
        <v/>
      </c>
      <c r="AF340" s="25">
        <f>IF(ISNUMBER(AD340+AE340),AD340+AE340,"")</f>
        <v/>
      </c>
      <c r="AH340" s="1">
        <f>A340</f>
        <v/>
      </c>
      <c r="AI340">
        <f>IF(ISNUMBER((1+V340)*AI339),(1+V340)*AI339,AI339)</f>
        <v/>
      </c>
      <c r="AJ340">
        <f>IF(ISNUMBER((1+Z340)*AJ339),(1+Z340)*AJ339,AJ339)</f>
        <v/>
      </c>
    </row>
    <row r="341">
      <c r="A341" s="1" t="n">
        <v>42496</v>
      </c>
      <c r="B341" s="3">
        <f>IF(ORIG!B341=0,"",ORIG!B341)</f>
        <v/>
      </c>
      <c r="C341" s="3">
        <f>IF(ORIG!C341=0,"",ORIG!C341)</f>
        <v/>
      </c>
      <c r="D341" s="3">
        <f>IF(ORIG!D341=0,"",ORIG!D341)</f>
        <v/>
      </c>
      <c r="E341" s="3">
        <f>IF(ORIG!E341=0,"",ORIG!E341)</f>
        <v/>
      </c>
      <c r="F341" s="3">
        <f>IF(ORIG!F341=0,"",ORIG!F341)</f>
        <v/>
      </c>
      <c r="G341" s="3">
        <f>IF(ORIG!G341=0,"",ORIG!G341)</f>
        <v/>
      </c>
      <c r="H341" s="3">
        <f>IF(ORIG!H341=0,"",ORIG!H341)</f>
        <v/>
      </c>
      <c r="I341" s="3">
        <f>IF(ORIG!I341=0,"",ORIG!I341)</f>
        <v/>
      </c>
      <c r="J341" s="3">
        <f>IF(ORIG!J341=0,"",ORIG!J341)</f>
        <v/>
      </c>
      <c r="K341" s="3">
        <f>IF(ORIG!K341=0,"",ORIG!K341)</f>
        <v/>
      </c>
      <c r="L341" s="3">
        <f>IF(ORIG!L341=0,"",ORIG!L341)</f>
        <v/>
      </c>
      <c r="M341" s="3">
        <f>IF(ORIG!M341=0,"",ORIG!M341)</f>
        <v/>
      </c>
      <c r="N341" s="3">
        <f>IF(ORIG!N341=0,"",ORIG!N341)</f>
        <v/>
      </c>
      <c r="O341" s="3">
        <f>IF(ORIG!O341=0,"",ORIG!O341)</f>
        <v/>
      </c>
      <c r="P341" s="3">
        <f>IF(ORIG!P341=0,"",ORIG!P341)</f>
        <v/>
      </c>
      <c r="Q341" s="3">
        <f>IF(ORIG!Q341=0,"",ORIG!Q341)</f>
        <v/>
      </c>
      <c r="R341" s="3">
        <f>IF(ORIG!R341=0,"",ORIG!R341)</f>
        <v/>
      </c>
      <c r="S341" s="3">
        <f>IF(ORIG!S341=0,"",ORIG!S341)</f>
        <v/>
      </c>
      <c r="T341" s="3">
        <f>IF(ORIG!T341=0,"",ORIG!T341)</f>
        <v/>
      </c>
      <c r="U341" s="3">
        <f>IF(ORIG!U341=0,"",ORIG!U341)</f>
        <v/>
      </c>
      <c r="V341" s="9">
        <f>IF(ORIG!V341=0,"",ORIG!V341)</f>
        <v/>
      </c>
      <c r="W341" s="9">
        <f>IF(ORIG!W341=0,"",ORIG!W341)</f>
        <v/>
      </c>
      <c r="X341" s="9">
        <f>IF(ORIG!X341=0,"",ORIG!X341)</f>
        <v/>
      </c>
      <c r="Y341" s="9">
        <f>IF(ORIG!Y341=0,"",ORIG!Y341)</f>
        <v/>
      </c>
      <c r="Z341" s="3">
        <f>SUMPRODUCT($B341:$Y341,$B$2649:$Y$2649)</f>
        <v/>
      </c>
      <c r="AA341" s="3">
        <f>SUMPRODUCT($B341:$Y341,$B$2655:$Y$2655)</f>
        <v/>
      </c>
      <c r="AC341" s="1">
        <f>A341</f>
        <v/>
      </c>
      <c r="AD341">
        <f>IF(ISNUMBER(V341),V341*($AB$1/V$2635),"")</f>
        <v/>
      </c>
      <c r="AE341">
        <f>IF(ISNUMBER(Z341),Z341*($AB$1/Z$2635),"")</f>
        <v/>
      </c>
      <c r="AF341" s="25">
        <f>IF(ISNUMBER(AD341+AE341),AD341+AE341,"")</f>
        <v/>
      </c>
      <c r="AH341" s="1">
        <f>A341</f>
        <v/>
      </c>
      <c r="AI341">
        <f>IF(ISNUMBER((1+V341)*AI340),(1+V341)*AI340,AI340)</f>
        <v/>
      </c>
      <c r="AJ341">
        <f>IF(ISNUMBER((1+Z341)*AJ340),(1+Z341)*AJ340,AJ340)</f>
        <v/>
      </c>
    </row>
    <row r="342">
      <c r="A342" s="1" t="n">
        <v>42499</v>
      </c>
      <c r="B342" s="3">
        <f>IF(ORIG!B342=0,"",ORIG!B342)</f>
        <v/>
      </c>
      <c r="C342" s="3">
        <f>IF(ORIG!C342=0,"",ORIG!C342)</f>
        <v/>
      </c>
      <c r="D342" s="3">
        <f>IF(ORIG!D342=0,"",ORIG!D342)</f>
        <v/>
      </c>
      <c r="E342" s="3">
        <f>IF(ORIG!E342=0,"",ORIG!E342)</f>
        <v/>
      </c>
      <c r="F342" s="3">
        <f>IF(ORIG!F342=0,"",ORIG!F342)</f>
        <v/>
      </c>
      <c r="G342" s="3">
        <f>IF(ORIG!G342=0,"",ORIG!G342)</f>
        <v/>
      </c>
      <c r="H342" s="3">
        <f>IF(ORIG!H342=0,"",ORIG!H342)</f>
        <v/>
      </c>
      <c r="I342" s="3">
        <f>IF(ORIG!I342=0,"",ORIG!I342)</f>
        <v/>
      </c>
      <c r="J342" s="3">
        <f>IF(ORIG!J342=0,"",ORIG!J342)</f>
        <v/>
      </c>
      <c r="K342" s="3">
        <f>IF(ORIG!K342=0,"",ORIG!K342)</f>
        <v/>
      </c>
      <c r="L342" s="3">
        <f>IF(ORIG!L342=0,"",ORIG!L342)</f>
        <v/>
      </c>
      <c r="M342" s="3">
        <f>IF(ORIG!M342=0,"",ORIG!M342)</f>
        <v/>
      </c>
      <c r="N342" s="3">
        <f>IF(ORIG!N342=0,"",ORIG!N342)</f>
        <v/>
      </c>
      <c r="O342" s="3">
        <f>IF(ORIG!O342=0,"",ORIG!O342)</f>
        <v/>
      </c>
      <c r="P342" s="3">
        <f>IF(ORIG!P342=0,"",ORIG!P342)</f>
        <v/>
      </c>
      <c r="Q342" s="3">
        <f>IF(ORIG!Q342=0,"",ORIG!Q342)</f>
        <v/>
      </c>
      <c r="R342" s="3">
        <f>IF(ORIG!R342=0,"",ORIG!R342)</f>
        <v/>
      </c>
      <c r="S342" s="3">
        <f>IF(ORIG!S342=0,"",ORIG!S342)</f>
        <v/>
      </c>
      <c r="T342" s="3">
        <f>IF(ORIG!T342=0,"",ORIG!T342)</f>
        <v/>
      </c>
      <c r="U342" s="3">
        <f>IF(ORIG!U342=0,"",ORIG!U342)</f>
        <v/>
      </c>
      <c r="V342" s="9">
        <f>IF(ORIG!V342=0,"",ORIG!V342)</f>
        <v/>
      </c>
      <c r="W342" s="9">
        <f>IF(ORIG!W342=0,"",ORIG!W342)</f>
        <v/>
      </c>
      <c r="X342" s="9">
        <f>IF(ORIG!X342=0,"",ORIG!X342)</f>
        <v/>
      </c>
      <c r="Y342" s="9">
        <f>IF(ORIG!Y342=0,"",ORIG!Y342)</f>
        <v/>
      </c>
      <c r="Z342" s="3">
        <f>SUMPRODUCT($B342:$Y342,$B$2649:$Y$2649)</f>
        <v/>
      </c>
      <c r="AA342" s="3">
        <f>SUMPRODUCT($B342:$Y342,$B$2655:$Y$2655)</f>
        <v/>
      </c>
      <c r="AC342" s="1">
        <f>A342</f>
        <v/>
      </c>
      <c r="AD342">
        <f>IF(ISNUMBER(V342),V342*($AB$1/V$2635),"")</f>
        <v/>
      </c>
      <c r="AE342">
        <f>IF(ISNUMBER(Z342),Z342*($AB$1/Z$2635),"")</f>
        <v/>
      </c>
      <c r="AF342" s="25">
        <f>IF(ISNUMBER(AD342+AE342),AD342+AE342,"")</f>
        <v/>
      </c>
      <c r="AH342" s="1">
        <f>A342</f>
        <v/>
      </c>
      <c r="AI342">
        <f>IF(ISNUMBER((1+V342)*AI341),(1+V342)*AI341,AI341)</f>
        <v/>
      </c>
      <c r="AJ342">
        <f>IF(ISNUMBER((1+Z342)*AJ341),(1+Z342)*AJ341,AJ341)</f>
        <v/>
      </c>
    </row>
    <row r="343">
      <c r="A343" s="1" t="n">
        <v>42500</v>
      </c>
      <c r="B343" s="3">
        <f>IF(ORIG!B343=0,"",ORIG!B343)</f>
        <v/>
      </c>
      <c r="C343" s="3">
        <f>IF(ORIG!C343=0,"",ORIG!C343)</f>
        <v/>
      </c>
      <c r="D343" s="3">
        <f>IF(ORIG!D343=0,"",ORIG!D343)</f>
        <v/>
      </c>
      <c r="E343" s="3">
        <f>IF(ORIG!E343=0,"",ORIG!E343)</f>
        <v/>
      </c>
      <c r="F343" s="3">
        <f>IF(ORIG!F343=0,"",ORIG!F343)</f>
        <v/>
      </c>
      <c r="G343" s="3">
        <f>IF(ORIG!G343=0,"",ORIG!G343)</f>
        <v/>
      </c>
      <c r="H343" s="3">
        <f>IF(ORIG!H343=0,"",ORIG!H343)</f>
        <v/>
      </c>
      <c r="I343" s="3">
        <f>IF(ORIG!I343=0,"",ORIG!I343)</f>
        <v/>
      </c>
      <c r="J343" s="3">
        <f>IF(ORIG!J343=0,"",ORIG!J343)</f>
        <v/>
      </c>
      <c r="K343" s="3">
        <f>IF(ORIG!K343=0,"",ORIG!K343)</f>
        <v/>
      </c>
      <c r="L343" s="3">
        <f>IF(ORIG!L343=0,"",ORIG!L343)</f>
        <v/>
      </c>
      <c r="M343" s="3">
        <f>IF(ORIG!M343=0,"",ORIG!M343)</f>
        <v/>
      </c>
      <c r="N343" s="3">
        <f>IF(ORIG!N343=0,"",ORIG!N343)</f>
        <v/>
      </c>
      <c r="O343" s="3">
        <f>IF(ORIG!O343=0,"",ORIG!O343)</f>
        <v/>
      </c>
      <c r="P343" s="3">
        <f>IF(ORIG!P343=0,"",ORIG!P343)</f>
        <v/>
      </c>
      <c r="Q343" s="3">
        <f>IF(ORIG!Q343=0,"",ORIG!Q343)</f>
        <v/>
      </c>
      <c r="R343" s="3">
        <f>IF(ORIG!R343=0,"",ORIG!R343)</f>
        <v/>
      </c>
      <c r="S343" s="3">
        <f>IF(ORIG!S343=0,"",ORIG!S343)</f>
        <v/>
      </c>
      <c r="T343" s="3">
        <f>IF(ORIG!T343=0,"",ORIG!T343)</f>
        <v/>
      </c>
      <c r="U343" s="3">
        <f>IF(ORIG!U343=0,"",ORIG!U343)</f>
        <v/>
      </c>
      <c r="V343" s="9">
        <f>IF(ORIG!V343=0,"",ORIG!V343)</f>
        <v/>
      </c>
      <c r="W343" s="9">
        <f>IF(ORIG!W343=0,"",ORIG!W343)</f>
        <v/>
      </c>
      <c r="X343" s="9">
        <f>IF(ORIG!X343=0,"",ORIG!X343)</f>
        <v/>
      </c>
      <c r="Y343" s="9">
        <f>IF(ORIG!Y343=0,"",ORIG!Y343)</f>
        <v/>
      </c>
      <c r="Z343" s="3">
        <f>SUMPRODUCT($B343:$Y343,$B$2649:$Y$2649)</f>
        <v/>
      </c>
      <c r="AA343" s="3">
        <f>SUMPRODUCT($B343:$Y343,$B$2655:$Y$2655)</f>
        <v/>
      </c>
      <c r="AC343" s="1">
        <f>A343</f>
        <v/>
      </c>
      <c r="AD343">
        <f>IF(ISNUMBER(V343),V343*($AB$1/V$2635),"")</f>
        <v/>
      </c>
      <c r="AE343">
        <f>IF(ISNUMBER(Z343),Z343*($AB$1/Z$2635),"")</f>
        <v/>
      </c>
      <c r="AF343" s="25">
        <f>IF(ISNUMBER(AD343+AE343),AD343+AE343,"")</f>
        <v/>
      </c>
      <c r="AH343" s="1">
        <f>A343</f>
        <v/>
      </c>
      <c r="AI343">
        <f>IF(ISNUMBER((1+V343)*AI342),(1+V343)*AI342,AI342)</f>
        <v/>
      </c>
      <c r="AJ343">
        <f>IF(ISNUMBER((1+Z343)*AJ342),(1+Z343)*AJ342,AJ342)</f>
        <v/>
      </c>
    </row>
    <row r="344">
      <c r="A344" s="1" t="n">
        <v>42501</v>
      </c>
      <c r="B344" s="3">
        <f>IF(ORIG!B344=0,"",ORIG!B344)</f>
        <v/>
      </c>
      <c r="C344" s="3">
        <f>IF(ORIG!C344=0,"",ORIG!C344)</f>
        <v/>
      </c>
      <c r="D344" s="3">
        <f>IF(ORIG!D344=0,"",ORIG!D344)</f>
        <v/>
      </c>
      <c r="E344" s="3">
        <f>IF(ORIG!E344=0,"",ORIG!E344)</f>
        <v/>
      </c>
      <c r="F344" s="3">
        <f>IF(ORIG!F344=0,"",ORIG!F344)</f>
        <v/>
      </c>
      <c r="G344" s="3">
        <f>IF(ORIG!G344=0,"",ORIG!G344)</f>
        <v/>
      </c>
      <c r="H344" s="3">
        <f>IF(ORIG!H344=0,"",ORIG!H344)</f>
        <v/>
      </c>
      <c r="I344" s="3">
        <f>IF(ORIG!I344=0,"",ORIG!I344)</f>
        <v/>
      </c>
      <c r="J344" s="3">
        <f>IF(ORIG!J344=0,"",ORIG!J344)</f>
        <v/>
      </c>
      <c r="K344" s="3">
        <f>IF(ORIG!K344=0,"",ORIG!K344)</f>
        <v/>
      </c>
      <c r="L344" s="3">
        <f>IF(ORIG!L344=0,"",ORIG!L344)</f>
        <v/>
      </c>
      <c r="M344" s="3">
        <f>IF(ORIG!M344=0,"",ORIG!M344)</f>
        <v/>
      </c>
      <c r="N344" s="3">
        <f>IF(ORIG!N344=0,"",ORIG!N344)</f>
        <v/>
      </c>
      <c r="O344" s="3">
        <f>IF(ORIG!O344=0,"",ORIG!O344)</f>
        <v/>
      </c>
      <c r="P344" s="3">
        <f>IF(ORIG!P344=0,"",ORIG!P344)</f>
        <v/>
      </c>
      <c r="Q344" s="3">
        <f>IF(ORIG!Q344=0,"",ORIG!Q344)</f>
        <v/>
      </c>
      <c r="R344" s="3">
        <f>IF(ORIG!R344=0,"",ORIG!R344)</f>
        <v/>
      </c>
      <c r="S344" s="3">
        <f>IF(ORIG!S344=0,"",ORIG!S344)</f>
        <v/>
      </c>
      <c r="T344" s="3">
        <f>IF(ORIG!T344=0,"",ORIG!T344)</f>
        <v/>
      </c>
      <c r="U344" s="3">
        <f>IF(ORIG!U344=0,"",ORIG!U344)</f>
        <v/>
      </c>
      <c r="V344" s="9">
        <f>IF(ORIG!V344=0,"",ORIG!V344)</f>
        <v/>
      </c>
      <c r="W344" s="9">
        <f>IF(ORIG!W344=0,"",ORIG!W344)</f>
        <v/>
      </c>
      <c r="X344" s="9">
        <f>IF(ORIG!X344=0,"",ORIG!X344)</f>
        <v/>
      </c>
      <c r="Y344" s="9">
        <f>IF(ORIG!Y344=0,"",ORIG!Y344)</f>
        <v/>
      </c>
      <c r="Z344" s="3">
        <f>SUMPRODUCT($B344:$Y344,$B$2649:$Y$2649)</f>
        <v/>
      </c>
      <c r="AA344" s="3">
        <f>SUMPRODUCT($B344:$Y344,$B$2655:$Y$2655)</f>
        <v/>
      </c>
      <c r="AC344" s="1">
        <f>A344</f>
        <v/>
      </c>
      <c r="AD344">
        <f>IF(ISNUMBER(V344),V344*($AB$1/V$2635),"")</f>
        <v/>
      </c>
      <c r="AE344">
        <f>IF(ISNUMBER(Z344),Z344*($AB$1/Z$2635),"")</f>
        <v/>
      </c>
      <c r="AF344" s="25">
        <f>IF(ISNUMBER(AD344+AE344),AD344+AE344,"")</f>
        <v/>
      </c>
      <c r="AH344" s="1">
        <f>A344</f>
        <v/>
      </c>
      <c r="AI344">
        <f>IF(ISNUMBER((1+V344)*AI343),(1+V344)*AI343,AI343)</f>
        <v/>
      </c>
      <c r="AJ344">
        <f>IF(ISNUMBER((1+Z344)*AJ343),(1+Z344)*AJ343,AJ343)</f>
        <v/>
      </c>
    </row>
    <row r="345">
      <c r="A345" s="1" t="n">
        <v>42502</v>
      </c>
      <c r="B345" s="3">
        <f>IF(ORIG!B345=0,"",ORIG!B345)</f>
        <v/>
      </c>
      <c r="C345" s="3">
        <f>IF(ORIG!C345=0,"",ORIG!C345)</f>
        <v/>
      </c>
      <c r="D345" s="3">
        <f>IF(ORIG!D345=0,"",ORIG!D345)</f>
        <v/>
      </c>
      <c r="E345" s="3">
        <f>IF(ORIG!E345=0,"",ORIG!E345)</f>
        <v/>
      </c>
      <c r="F345" s="3">
        <f>IF(ORIG!F345=0,"",ORIG!F345)</f>
        <v/>
      </c>
      <c r="G345" s="3">
        <f>IF(ORIG!G345=0,"",ORIG!G345)</f>
        <v/>
      </c>
      <c r="H345" s="3">
        <f>IF(ORIG!H345=0,"",ORIG!H345)</f>
        <v/>
      </c>
      <c r="I345" s="3">
        <f>IF(ORIG!I345=0,"",ORIG!I345)</f>
        <v/>
      </c>
      <c r="J345" s="3">
        <f>IF(ORIG!J345=0,"",ORIG!J345)</f>
        <v/>
      </c>
      <c r="K345" s="3">
        <f>IF(ORIG!K345=0,"",ORIG!K345)</f>
        <v/>
      </c>
      <c r="L345" s="3">
        <f>IF(ORIG!L345=0,"",ORIG!L345)</f>
        <v/>
      </c>
      <c r="M345" s="3">
        <f>IF(ORIG!M345=0,"",ORIG!M345)</f>
        <v/>
      </c>
      <c r="N345" s="3">
        <f>IF(ORIG!N345=0,"",ORIG!N345)</f>
        <v/>
      </c>
      <c r="O345" s="3">
        <f>IF(ORIG!O345=0,"",ORIG!O345)</f>
        <v/>
      </c>
      <c r="P345" s="3">
        <f>IF(ORIG!P345=0,"",ORIG!P345)</f>
        <v/>
      </c>
      <c r="Q345" s="3">
        <f>IF(ORIG!Q345=0,"",ORIG!Q345)</f>
        <v/>
      </c>
      <c r="R345" s="3">
        <f>IF(ORIG!R345=0,"",ORIG!R345)</f>
        <v/>
      </c>
      <c r="S345" s="3">
        <f>IF(ORIG!S345=0,"",ORIG!S345)</f>
        <v/>
      </c>
      <c r="T345" s="3">
        <f>IF(ORIG!T345=0,"",ORIG!T345)</f>
        <v/>
      </c>
      <c r="U345" s="3">
        <f>IF(ORIG!U345=0,"",ORIG!U345)</f>
        <v/>
      </c>
      <c r="V345" s="9">
        <f>IF(ORIG!V345=0,"",ORIG!V345)</f>
        <v/>
      </c>
      <c r="W345" s="9">
        <f>IF(ORIG!W345=0,"",ORIG!W345)</f>
        <v/>
      </c>
      <c r="X345" s="9">
        <f>IF(ORIG!X345=0,"",ORIG!X345)</f>
        <v/>
      </c>
      <c r="Y345" s="9">
        <f>IF(ORIG!Y345=0,"",ORIG!Y345)</f>
        <v/>
      </c>
      <c r="Z345" s="3">
        <f>SUMPRODUCT($B345:$Y345,$B$2649:$Y$2649)</f>
        <v/>
      </c>
      <c r="AA345" s="3">
        <f>SUMPRODUCT($B345:$Y345,$B$2655:$Y$2655)</f>
        <v/>
      </c>
      <c r="AC345" s="1">
        <f>A345</f>
        <v/>
      </c>
      <c r="AD345">
        <f>IF(ISNUMBER(V345),V345*($AB$1/V$2635),"")</f>
        <v/>
      </c>
      <c r="AE345">
        <f>IF(ISNUMBER(Z345),Z345*($AB$1/Z$2635),"")</f>
        <v/>
      </c>
      <c r="AF345" s="25">
        <f>IF(ISNUMBER(AD345+AE345),AD345+AE345,"")</f>
        <v/>
      </c>
      <c r="AH345" s="1">
        <f>A345</f>
        <v/>
      </c>
      <c r="AI345">
        <f>IF(ISNUMBER((1+V345)*AI344),(1+V345)*AI344,AI344)</f>
        <v/>
      </c>
      <c r="AJ345">
        <f>IF(ISNUMBER((1+Z345)*AJ344),(1+Z345)*AJ344,AJ344)</f>
        <v/>
      </c>
    </row>
    <row r="346">
      <c r="A346" s="1" t="n">
        <v>42503</v>
      </c>
      <c r="B346" s="3">
        <f>IF(ORIG!B346=0,"",ORIG!B346)</f>
        <v/>
      </c>
      <c r="C346" s="3">
        <f>IF(ORIG!C346=0,"",ORIG!C346)</f>
        <v/>
      </c>
      <c r="D346" s="3">
        <f>IF(ORIG!D346=0,"",ORIG!D346)</f>
        <v/>
      </c>
      <c r="E346" s="3">
        <f>IF(ORIG!E346=0,"",ORIG!E346)</f>
        <v/>
      </c>
      <c r="F346" s="3">
        <f>IF(ORIG!F346=0,"",ORIG!F346)</f>
        <v/>
      </c>
      <c r="G346" s="3">
        <f>IF(ORIG!G346=0,"",ORIG!G346)</f>
        <v/>
      </c>
      <c r="H346" s="3">
        <f>IF(ORIG!H346=0,"",ORIG!H346)</f>
        <v/>
      </c>
      <c r="I346" s="3">
        <f>IF(ORIG!I346=0,"",ORIG!I346)</f>
        <v/>
      </c>
      <c r="J346" s="3">
        <f>IF(ORIG!J346=0,"",ORIG!J346)</f>
        <v/>
      </c>
      <c r="K346" s="3">
        <f>IF(ORIG!K346=0,"",ORIG!K346)</f>
        <v/>
      </c>
      <c r="L346" s="3">
        <f>IF(ORIG!L346=0,"",ORIG!L346)</f>
        <v/>
      </c>
      <c r="M346" s="3">
        <f>IF(ORIG!M346=0,"",ORIG!M346)</f>
        <v/>
      </c>
      <c r="N346" s="3">
        <f>IF(ORIG!N346=0,"",ORIG!N346)</f>
        <v/>
      </c>
      <c r="O346" s="3">
        <f>IF(ORIG!O346=0,"",ORIG!O346)</f>
        <v/>
      </c>
      <c r="P346" s="3">
        <f>IF(ORIG!P346=0,"",ORIG!P346)</f>
        <v/>
      </c>
      <c r="Q346" s="3">
        <f>IF(ORIG!Q346=0,"",ORIG!Q346)</f>
        <v/>
      </c>
      <c r="R346" s="3">
        <f>IF(ORIG!R346=0,"",ORIG!R346)</f>
        <v/>
      </c>
      <c r="S346" s="3">
        <f>IF(ORIG!S346=0,"",ORIG!S346)</f>
        <v/>
      </c>
      <c r="T346" s="3">
        <f>IF(ORIG!T346=0,"",ORIG!T346)</f>
        <v/>
      </c>
      <c r="U346" s="3">
        <f>IF(ORIG!U346=0,"",ORIG!U346)</f>
        <v/>
      </c>
      <c r="V346" s="9">
        <f>IF(ORIG!V346=0,"",ORIG!V346)</f>
        <v/>
      </c>
      <c r="W346" s="9">
        <f>IF(ORIG!W346=0,"",ORIG!W346)</f>
        <v/>
      </c>
      <c r="X346" s="9">
        <f>IF(ORIG!X346=0,"",ORIG!X346)</f>
        <v/>
      </c>
      <c r="Y346" s="9">
        <f>IF(ORIG!Y346=0,"",ORIG!Y346)</f>
        <v/>
      </c>
      <c r="Z346" s="3">
        <f>SUMPRODUCT($B346:$Y346,$B$2649:$Y$2649)</f>
        <v/>
      </c>
      <c r="AA346" s="3">
        <f>SUMPRODUCT($B346:$Y346,$B$2655:$Y$2655)</f>
        <v/>
      </c>
      <c r="AC346" s="1">
        <f>A346</f>
        <v/>
      </c>
      <c r="AD346">
        <f>IF(ISNUMBER(V346),V346*($AB$1/V$2635),"")</f>
        <v/>
      </c>
      <c r="AE346">
        <f>IF(ISNUMBER(Z346),Z346*($AB$1/Z$2635),"")</f>
        <v/>
      </c>
      <c r="AF346" s="25">
        <f>IF(ISNUMBER(AD346+AE346),AD346+AE346,"")</f>
        <v/>
      </c>
      <c r="AH346" s="1">
        <f>A346</f>
        <v/>
      </c>
      <c r="AI346">
        <f>IF(ISNUMBER((1+V346)*AI345),(1+V346)*AI345,AI345)</f>
        <v/>
      </c>
      <c r="AJ346">
        <f>IF(ISNUMBER((1+Z346)*AJ345),(1+Z346)*AJ345,AJ345)</f>
        <v/>
      </c>
    </row>
    <row r="347">
      <c r="A347" s="1" t="n">
        <v>42506</v>
      </c>
      <c r="B347" s="3">
        <f>IF(ORIG!B347=0,"",ORIG!B347)</f>
        <v/>
      </c>
      <c r="C347" s="3">
        <f>IF(ORIG!C347=0,"",ORIG!C347)</f>
        <v/>
      </c>
      <c r="D347" s="3">
        <f>IF(ORIG!D347=0,"",ORIG!D347)</f>
        <v/>
      </c>
      <c r="E347" s="3">
        <f>IF(ORIG!E347=0,"",ORIG!E347)</f>
        <v/>
      </c>
      <c r="F347" s="3">
        <f>IF(ORIG!F347=0,"",ORIG!F347)</f>
        <v/>
      </c>
      <c r="G347" s="3">
        <f>IF(ORIG!G347=0,"",ORIG!G347)</f>
        <v/>
      </c>
      <c r="H347" s="3">
        <f>IF(ORIG!H347=0,"",ORIG!H347)</f>
        <v/>
      </c>
      <c r="I347" s="3">
        <f>IF(ORIG!I347=0,"",ORIG!I347)</f>
        <v/>
      </c>
      <c r="J347" s="3">
        <f>IF(ORIG!J347=0,"",ORIG!J347)</f>
        <v/>
      </c>
      <c r="K347" s="3">
        <f>IF(ORIG!K347=0,"",ORIG!K347)</f>
        <v/>
      </c>
      <c r="L347" s="3">
        <f>IF(ORIG!L347=0,"",ORIG!L347)</f>
        <v/>
      </c>
      <c r="M347" s="3">
        <f>IF(ORIG!M347=0,"",ORIG!M347)</f>
        <v/>
      </c>
      <c r="N347" s="3">
        <f>IF(ORIG!N347=0,"",ORIG!N347)</f>
        <v/>
      </c>
      <c r="O347" s="3">
        <f>IF(ORIG!O347=0,"",ORIG!O347)</f>
        <v/>
      </c>
      <c r="P347" s="3">
        <f>IF(ORIG!P347=0,"",ORIG!P347)</f>
        <v/>
      </c>
      <c r="Q347" s="3">
        <f>IF(ORIG!Q347=0,"",ORIG!Q347)</f>
        <v/>
      </c>
      <c r="R347" s="3">
        <f>IF(ORIG!R347=0,"",ORIG!R347)</f>
        <v/>
      </c>
      <c r="S347" s="3">
        <f>IF(ORIG!S347=0,"",ORIG!S347)</f>
        <v/>
      </c>
      <c r="T347" s="3">
        <f>IF(ORIG!T347=0,"",ORIG!T347)</f>
        <v/>
      </c>
      <c r="U347" s="3">
        <f>IF(ORIG!U347=0,"",ORIG!U347)</f>
        <v/>
      </c>
      <c r="V347" s="9">
        <f>IF(ORIG!V347=0,"",ORIG!V347)</f>
        <v/>
      </c>
      <c r="W347" s="9">
        <f>IF(ORIG!W347=0,"",ORIG!W347)</f>
        <v/>
      </c>
      <c r="X347" s="9">
        <f>IF(ORIG!X347=0,"",ORIG!X347)</f>
        <v/>
      </c>
      <c r="Y347" s="9">
        <f>IF(ORIG!Y347=0,"",ORIG!Y347)</f>
        <v/>
      </c>
      <c r="Z347" s="3">
        <f>SUMPRODUCT($B347:$Y347,$B$2649:$Y$2649)</f>
        <v/>
      </c>
      <c r="AA347" s="3">
        <f>SUMPRODUCT($B347:$Y347,$B$2655:$Y$2655)</f>
        <v/>
      </c>
      <c r="AC347" s="1">
        <f>A347</f>
        <v/>
      </c>
      <c r="AD347">
        <f>IF(ISNUMBER(V347),V347*($AB$1/V$2635),"")</f>
        <v/>
      </c>
      <c r="AE347">
        <f>IF(ISNUMBER(Z347),Z347*($AB$1/Z$2635),"")</f>
        <v/>
      </c>
      <c r="AF347" s="25">
        <f>IF(ISNUMBER(AD347+AE347),AD347+AE347,"")</f>
        <v/>
      </c>
      <c r="AH347" s="1">
        <f>A347</f>
        <v/>
      </c>
      <c r="AI347">
        <f>IF(ISNUMBER((1+V347)*AI346),(1+V347)*AI346,AI346)</f>
        <v/>
      </c>
      <c r="AJ347">
        <f>IF(ISNUMBER((1+Z347)*AJ346),(1+Z347)*AJ346,AJ346)</f>
        <v/>
      </c>
    </row>
    <row r="348">
      <c r="A348" s="1" t="n">
        <v>42507</v>
      </c>
      <c r="B348" s="3">
        <f>IF(ORIG!B348=0,"",ORIG!B348)</f>
        <v/>
      </c>
      <c r="C348" s="3">
        <f>IF(ORIG!C348=0,"",ORIG!C348)</f>
        <v/>
      </c>
      <c r="D348" s="3">
        <f>IF(ORIG!D348=0,"",ORIG!D348)</f>
        <v/>
      </c>
      <c r="E348" s="3">
        <f>IF(ORIG!E348=0,"",ORIG!E348)</f>
        <v/>
      </c>
      <c r="F348" s="3">
        <f>IF(ORIG!F348=0,"",ORIG!F348)</f>
        <v/>
      </c>
      <c r="G348" s="3">
        <f>IF(ORIG!G348=0,"",ORIG!G348)</f>
        <v/>
      </c>
      <c r="H348" s="3">
        <f>IF(ORIG!H348=0,"",ORIG!H348)</f>
        <v/>
      </c>
      <c r="I348" s="3">
        <f>IF(ORIG!I348=0,"",ORIG!I348)</f>
        <v/>
      </c>
      <c r="J348" s="3">
        <f>IF(ORIG!J348=0,"",ORIG!J348)</f>
        <v/>
      </c>
      <c r="K348" s="3">
        <f>IF(ORIG!K348=0,"",ORIG!K348)</f>
        <v/>
      </c>
      <c r="L348" s="3">
        <f>IF(ORIG!L348=0,"",ORIG!L348)</f>
        <v/>
      </c>
      <c r="M348" s="3">
        <f>IF(ORIG!M348=0,"",ORIG!M348)</f>
        <v/>
      </c>
      <c r="N348" s="3">
        <f>IF(ORIG!N348=0,"",ORIG!N348)</f>
        <v/>
      </c>
      <c r="O348" s="3">
        <f>IF(ORIG!O348=0,"",ORIG!O348)</f>
        <v/>
      </c>
      <c r="P348" s="3">
        <f>IF(ORIG!P348=0,"",ORIG!P348)</f>
        <v/>
      </c>
      <c r="Q348" s="3">
        <f>IF(ORIG!Q348=0,"",ORIG!Q348)</f>
        <v/>
      </c>
      <c r="R348" s="3">
        <f>IF(ORIG!R348=0,"",ORIG!R348)</f>
        <v/>
      </c>
      <c r="S348" s="3">
        <f>IF(ORIG!S348=0,"",ORIG!S348)</f>
        <v/>
      </c>
      <c r="T348" s="3">
        <f>IF(ORIG!T348=0,"",ORIG!T348)</f>
        <v/>
      </c>
      <c r="U348" s="3">
        <f>IF(ORIG!U348=0,"",ORIG!U348)</f>
        <v/>
      </c>
      <c r="V348" s="9">
        <f>IF(ORIG!V348=0,"",ORIG!V348)</f>
        <v/>
      </c>
      <c r="W348" s="9">
        <f>IF(ORIG!W348=0,"",ORIG!W348)</f>
        <v/>
      </c>
      <c r="X348" s="9">
        <f>IF(ORIG!X348=0,"",ORIG!X348)</f>
        <v/>
      </c>
      <c r="Y348" s="9">
        <f>IF(ORIG!Y348=0,"",ORIG!Y348)</f>
        <v/>
      </c>
      <c r="Z348" s="3">
        <f>SUMPRODUCT($B348:$Y348,$B$2649:$Y$2649)</f>
        <v/>
      </c>
      <c r="AA348" s="3">
        <f>SUMPRODUCT($B348:$Y348,$B$2655:$Y$2655)</f>
        <v/>
      </c>
      <c r="AC348" s="1">
        <f>A348</f>
        <v/>
      </c>
      <c r="AD348">
        <f>IF(ISNUMBER(V348),V348*($AB$1/V$2635),"")</f>
        <v/>
      </c>
      <c r="AE348">
        <f>IF(ISNUMBER(Z348),Z348*($AB$1/Z$2635),"")</f>
        <v/>
      </c>
      <c r="AF348" s="25">
        <f>IF(ISNUMBER(AD348+AE348),AD348+AE348,"")</f>
        <v/>
      </c>
      <c r="AH348" s="1">
        <f>A348</f>
        <v/>
      </c>
      <c r="AI348">
        <f>IF(ISNUMBER((1+V348)*AI347),(1+V348)*AI347,AI347)</f>
        <v/>
      </c>
      <c r="AJ348">
        <f>IF(ISNUMBER((1+Z348)*AJ347),(1+Z348)*AJ347,AJ347)</f>
        <v/>
      </c>
    </row>
    <row r="349">
      <c r="A349" s="1" t="n">
        <v>42508</v>
      </c>
      <c r="B349" s="3">
        <f>IF(ORIG!B349=0,"",ORIG!B349)</f>
        <v/>
      </c>
      <c r="C349" s="3">
        <f>IF(ORIG!C349=0,"",ORIG!C349)</f>
        <v/>
      </c>
      <c r="D349" s="3">
        <f>IF(ORIG!D349=0,"",ORIG!D349)</f>
        <v/>
      </c>
      <c r="E349" s="3">
        <f>IF(ORIG!E349=0,"",ORIG!E349)</f>
        <v/>
      </c>
      <c r="F349" s="3">
        <f>IF(ORIG!F349=0,"",ORIG!F349)</f>
        <v/>
      </c>
      <c r="G349" s="3">
        <f>IF(ORIG!G349=0,"",ORIG!G349)</f>
        <v/>
      </c>
      <c r="H349" s="3">
        <f>IF(ORIG!H349=0,"",ORIG!H349)</f>
        <v/>
      </c>
      <c r="I349" s="3">
        <f>IF(ORIG!I349=0,"",ORIG!I349)</f>
        <v/>
      </c>
      <c r="J349" s="3">
        <f>IF(ORIG!J349=0,"",ORIG!J349)</f>
        <v/>
      </c>
      <c r="K349" s="3">
        <f>IF(ORIG!K349=0,"",ORIG!K349)</f>
        <v/>
      </c>
      <c r="L349" s="3">
        <f>IF(ORIG!L349=0,"",ORIG!L349)</f>
        <v/>
      </c>
      <c r="M349" s="3">
        <f>IF(ORIG!M349=0,"",ORIG!M349)</f>
        <v/>
      </c>
      <c r="N349" s="3">
        <f>IF(ORIG!N349=0,"",ORIG!N349)</f>
        <v/>
      </c>
      <c r="O349" s="3">
        <f>IF(ORIG!O349=0,"",ORIG!O349)</f>
        <v/>
      </c>
      <c r="P349" s="3">
        <f>IF(ORIG!P349=0,"",ORIG!P349)</f>
        <v/>
      </c>
      <c r="Q349" s="3">
        <f>IF(ORIG!Q349=0,"",ORIG!Q349)</f>
        <v/>
      </c>
      <c r="R349" s="3">
        <f>IF(ORIG!R349=0,"",ORIG!R349)</f>
        <v/>
      </c>
      <c r="S349" s="3">
        <f>IF(ORIG!S349=0,"",ORIG!S349)</f>
        <v/>
      </c>
      <c r="T349" s="3">
        <f>IF(ORIG!T349=0,"",ORIG!T349)</f>
        <v/>
      </c>
      <c r="U349" s="3">
        <f>IF(ORIG!U349=0,"",ORIG!U349)</f>
        <v/>
      </c>
      <c r="V349" s="9">
        <f>IF(ORIG!V349=0,"",ORIG!V349)</f>
        <v/>
      </c>
      <c r="W349" s="9">
        <f>IF(ORIG!W349=0,"",ORIG!W349)</f>
        <v/>
      </c>
      <c r="X349" s="9">
        <f>IF(ORIG!X349=0,"",ORIG!X349)</f>
        <v/>
      </c>
      <c r="Y349" s="9">
        <f>IF(ORIG!Y349=0,"",ORIG!Y349)</f>
        <v/>
      </c>
      <c r="Z349" s="3">
        <f>SUMPRODUCT($B349:$Y349,$B$2649:$Y$2649)</f>
        <v/>
      </c>
      <c r="AA349" s="3">
        <f>SUMPRODUCT($B349:$Y349,$B$2655:$Y$2655)</f>
        <v/>
      </c>
      <c r="AC349" s="1">
        <f>A349</f>
        <v/>
      </c>
      <c r="AD349">
        <f>IF(ISNUMBER(V349),V349*($AB$1/V$2635),"")</f>
        <v/>
      </c>
      <c r="AE349">
        <f>IF(ISNUMBER(Z349),Z349*($AB$1/Z$2635),"")</f>
        <v/>
      </c>
      <c r="AF349" s="25">
        <f>IF(ISNUMBER(AD349+AE349),AD349+AE349,"")</f>
        <v/>
      </c>
      <c r="AH349" s="1">
        <f>A349</f>
        <v/>
      </c>
      <c r="AI349">
        <f>IF(ISNUMBER((1+V349)*AI348),(1+V349)*AI348,AI348)</f>
        <v/>
      </c>
      <c r="AJ349">
        <f>IF(ISNUMBER((1+Z349)*AJ348),(1+Z349)*AJ348,AJ348)</f>
        <v/>
      </c>
    </row>
    <row r="350">
      <c r="A350" s="1" t="n">
        <v>42509</v>
      </c>
      <c r="B350" s="3">
        <f>IF(ORIG!B350=0,"",ORIG!B350)</f>
        <v/>
      </c>
      <c r="C350" s="3">
        <f>IF(ORIG!C350=0,"",ORIG!C350)</f>
        <v/>
      </c>
      <c r="D350" s="3">
        <f>IF(ORIG!D350=0,"",ORIG!D350)</f>
        <v/>
      </c>
      <c r="E350" s="3">
        <f>IF(ORIG!E350=0,"",ORIG!E350)</f>
        <v/>
      </c>
      <c r="F350" s="3">
        <f>IF(ORIG!F350=0,"",ORIG!F350)</f>
        <v/>
      </c>
      <c r="G350" s="3">
        <f>IF(ORIG!G350=0,"",ORIG!G350)</f>
        <v/>
      </c>
      <c r="H350" s="3">
        <f>IF(ORIG!H350=0,"",ORIG!H350)</f>
        <v/>
      </c>
      <c r="I350" s="3">
        <f>IF(ORIG!I350=0,"",ORIG!I350)</f>
        <v/>
      </c>
      <c r="J350" s="3">
        <f>IF(ORIG!J350=0,"",ORIG!J350)</f>
        <v/>
      </c>
      <c r="K350" s="3">
        <f>IF(ORIG!K350=0,"",ORIG!K350)</f>
        <v/>
      </c>
      <c r="L350" s="3">
        <f>IF(ORIG!L350=0,"",ORIG!L350)</f>
        <v/>
      </c>
      <c r="M350" s="3">
        <f>IF(ORIG!M350=0,"",ORIG!M350)</f>
        <v/>
      </c>
      <c r="N350" s="3">
        <f>IF(ORIG!N350=0,"",ORIG!N350)</f>
        <v/>
      </c>
      <c r="O350" s="3">
        <f>IF(ORIG!O350=0,"",ORIG!O350)</f>
        <v/>
      </c>
      <c r="P350" s="3">
        <f>IF(ORIG!P350=0,"",ORIG!P350)</f>
        <v/>
      </c>
      <c r="Q350" s="3">
        <f>IF(ORIG!Q350=0,"",ORIG!Q350)</f>
        <v/>
      </c>
      <c r="R350" s="3">
        <f>IF(ORIG!R350=0,"",ORIG!R350)</f>
        <v/>
      </c>
      <c r="S350" s="3">
        <f>IF(ORIG!S350=0,"",ORIG!S350)</f>
        <v/>
      </c>
      <c r="T350" s="3">
        <f>IF(ORIG!T350=0,"",ORIG!T350)</f>
        <v/>
      </c>
      <c r="U350" s="3">
        <f>IF(ORIG!U350=0,"",ORIG!U350)</f>
        <v/>
      </c>
      <c r="V350" s="9">
        <f>IF(ORIG!V350=0,"",ORIG!V350)</f>
        <v/>
      </c>
      <c r="W350" s="9">
        <f>IF(ORIG!W350=0,"",ORIG!W350)</f>
        <v/>
      </c>
      <c r="X350" s="9">
        <f>IF(ORIG!X350=0,"",ORIG!X350)</f>
        <v/>
      </c>
      <c r="Y350" s="9">
        <f>IF(ORIG!Y350=0,"",ORIG!Y350)</f>
        <v/>
      </c>
      <c r="Z350" s="3">
        <f>SUMPRODUCT($B350:$Y350,$B$2649:$Y$2649)</f>
        <v/>
      </c>
      <c r="AA350" s="3">
        <f>SUMPRODUCT($B350:$Y350,$B$2655:$Y$2655)</f>
        <v/>
      </c>
      <c r="AC350" s="1">
        <f>A350</f>
        <v/>
      </c>
      <c r="AD350">
        <f>IF(ISNUMBER(V350),V350*($AB$1/V$2635),"")</f>
        <v/>
      </c>
      <c r="AE350">
        <f>IF(ISNUMBER(Z350),Z350*($AB$1/Z$2635),"")</f>
        <v/>
      </c>
      <c r="AF350" s="25">
        <f>IF(ISNUMBER(AD350+AE350),AD350+AE350,"")</f>
        <v/>
      </c>
      <c r="AH350" s="1">
        <f>A350</f>
        <v/>
      </c>
      <c r="AI350">
        <f>IF(ISNUMBER((1+V350)*AI349),(1+V350)*AI349,AI349)</f>
        <v/>
      </c>
      <c r="AJ350">
        <f>IF(ISNUMBER((1+Z350)*AJ349),(1+Z350)*AJ349,AJ349)</f>
        <v/>
      </c>
    </row>
    <row r="351">
      <c r="A351" s="1" t="n">
        <v>42510</v>
      </c>
      <c r="B351" s="3">
        <f>IF(ORIG!B351=0,"",ORIG!B351)</f>
        <v/>
      </c>
      <c r="C351" s="3">
        <f>IF(ORIG!C351=0,"",ORIG!C351)</f>
        <v/>
      </c>
      <c r="D351" s="3">
        <f>IF(ORIG!D351=0,"",ORIG!D351)</f>
        <v/>
      </c>
      <c r="E351" s="3">
        <f>IF(ORIG!E351=0,"",ORIG!E351)</f>
        <v/>
      </c>
      <c r="F351" s="3">
        <f>IF(ORIG!F351=0,"",ORIG!F351)</f>
        <v/>
      </c>
      <c r="G351" s="3">
        <f>IF(ORIG!G351=0,"",ORIG!G351)</f>
        <v/>
      </c>
      <c r="H351" s="3">
        <f>IF(ORIG!H351=0,"",ORIG!H351)</f>
        <v/>
      </c>
      <c r="I351" s="3">
        <f>IF(ORIG!I351=0,"",ORIG!I351)</f>
        <v/>
      </c>
      <c r="J351" s="3">
        <f>IF(ORIG!J351=0,"",ORIG!J351)</f>
        <v/>
      </c>
      <c r="K351" s="3">
        <f>IF(ORIG!K351=0,"",ORIG!K351)</f>
        <v/>
      </c>
      <c r="L351" s="3">
        <f>IF(ORIG!L351=0,"",ORIG!L351)</f>
        <v/>
      </c>
      <c r="M351" s="3">
        <f>IF(ORIG!M351=0,"",ORIG!M351)</f>
        <v/>
      </c>
      <c r="N351" s="3">
        <f>IF(ORIG!N351=0,"",ORIG!N351)</f>
        <v/>
      </c>
      <c r="O351" s="3">
        <f>IF(ORIG!O351=0,"",ORIG!O351)</f>
        <v/>
      </c>
      <c r="P351" s="3">
        <f>IF(ORIG!P351=0,"",ORIG!P351)</f>
        <v/>
      </c>
      <c r="Q351" s="3">
        <f>IF(ORIG!Q351=0,"",ORIG!Q351)</f>
        <v/>
      </c>
      <c r="R351" s="3">
        <f>IF(ORIG!R351=0,"",ORIG!R351)</f>
        <v/>
      </c>
      <c r="S351" s="3">
        <f>IF(ORIG!S351=0,"",ORIG!S351)</f>
        <v/>
      </c>
      <c r="T351" s="3">
        <f>IF(ORIG!T351=0,"",ORIG!T351)</f>
        <v/>
      </c>
      <c r="U351" s="3">
        <f>IF(ORIG!U351=0,"",ORIG!U351)</f>
        <v/>
      </c>
      <c r="V351" s="9">
        <f>IF(ORIG!V351=0,"",ORIG!V351)</f>
        <v/>
      </c>
      <c r="W351" s="9">
        <f>IF(ORIG!W351=0,"",ORIG!W351)</f>
        <v/>
      </c>
      <c r="X351" s="9">
        <f>IF(ORIG!X351=0,"",ORIG!X351)</f>
        <v/>
      </c>
      <c r="Y351" s="9">
        <f>IF(ORIG!Y351=0,"",ORIG!Y351)</f>
        <v/>
      </c>
      <c r="Z351" s="3">
        <f>SUMPRODUCT($B351:$Y351,$B$2649:$Y$2649)</f>
        <v/>
      </c>
      <c r="AA351" s="3">
        <f>SUMPRODUCT($B351:$Y351,$B$2655:$Y$2655)</f>
        <v/>
      </c>
      <c r="AC351" s="1">
        <f>A351</f>
        <v/>
      </c>
      <c r="AD351">
        <f>IF(ISNUMBER(V351),V351*($AB$1/V$2635),"")</f>
        <v/>
      </c>
      <c r="AE351">
        <f>IF(ISNUMBER(Z351),Z351*($AB$1/Z$2635),"")</f>
        <v/>
      </c>
      <c r="AF351" s="25">
        <f>IF(ISNUMBER(AD351+AE351),AD351+AE351,"")</f>
        <v/>
      </c>
      <c r="AH351" s="1">
        <f>A351</f>
        <v/>
      </c>
      <c r="AI351">
        <f>IF(ISNUMBER((1+V351)*AI350),(1+V351)*AI350,AI350)</f>
        <v/>
      </c>
      <c r="AJ351">
        <f>IF(ISNUMBER((1+Z351)*AJ350),(1+Z351)*AJ350,AJ350)</f>
        <v/>
      </c>
    </row>
    <row r="352">
      <c r="A352" s="1" t="n">
        <v>42513</v>
      </c>
      <c r="B352" s="3">
        <f>IF(ORIG!B352=0,"",ORIG!B352)</f>
        <v/>
      </c>
      <c r="C352" s="3">
        <f>IF(ORIG!C352=0,"",ORIG!C352)</f>
        <v/>
      </c>
      <c r="D352" s="3">
        <f>IF(ORIG!D352=0,"",ORIG!D352)</f>
        <v/>
      </c>
      <c r="E352" s="3">
        <f>IF(ORIG!E352=0,"",ORIG!E352)</f>
        <v/>
      </c>
      <c r="F352" s="3">
        <f>IF(ORIG!F352=0,"",ORIG!F352)</f>
        <v/>
      </c>
      <c r="G352" s="3">
        <f>IF(ORIG!G352=0,"",ORIG!G352)</f>
        <v/>
      </c>
      <c r="H352" s="3">
        <f>IF(ORIG!H352=0,"",ORIG!H352)</f>
        <v/>
      </c>
      <c r="I352" s="3">
        <f>IF(ORIG!I352=0,"",ORIG!I352)</f>
        <v/>
      </c>
      <c r="J352" s="3">
        <f>IF(ORIG!J352=0,"",ORIG!J352)</f>
        <v/>
      </c>
      <c r="K352" s="3">
        <f>IF(ORIG!K352=0,"",ORIG!K352)</f>
        <v/>
      </c>
      <c r="L352" s="3">
        <f>IF(ORIG!L352=0,"",ORIG!L352)</f>
        <v/>
      </c>
      <c r="M352" s="3">
        <f>IF(ORIG!M352=0,"",ORIG!M352)</f>
        <v/>
      </c>
      <c r="N352" s="3">
        <f>IF(ORIG!N352=0,"",ORIG!N352)</f>
        <v/>
      </c>
      <c r="O352" s="3">
        <f>IF(ORIG!O352=0,"",ORIG!O352)</f>
        <v/>
      </c>
      <c r="P352" s="3">
        <f>IF(ORIG!P352=0,"",ORIG!P352)</f>
        <v/>
      </c>
      <c r="Q352" s="3">
        <f>IF(ORIG!Q352=0,"",ORIG!Q352)</f>
        <v/>
      </c>
      <c r="R352" s="3">
        <f>IF(ORIG!R352=0,"",ORIG!R352)</f>
        <v/>
      </c>
      <c r="S352" s="3">
        <f>IF(ORIG!S352=0,"",ORIG!S352)</f>
        <v/>
      </c>
      <c r="T352" s="3">
        <f>IF(ORIG!T352=0,"",ORIG!T352)</f>
        <v/>
      </c>
      <c r="U352" s="3">
        <f>IF(ORIG!U352=0,"",ORIG!U352)</f>
        <v/>
      </c>
      <c r="V352" s="9">
        <f>IF(ORIG!V352=0,"",ORIG!V352)</f>
        <v/>
      </c>
      <c r="W352" s="9">
        <f>IF(ORIG!W352=0,"",ORIG!W352)</f>
        <v/>
      </c>
      <c r="X352" s="9">
        <f>IF(ORIG!X352=0,"",ORIG!X352)</f>
        <v/>
      </c>
      <c r="Y352" s="9">
        <f>IF(ORIG!Y352=0,"",ORIG!Y352)</f>
        <v/>
      </c>
      <c r="Z352" s="3">
        <f>SUMPRODUCT($B352:$Y352,$B$2649:$Y$2649)</f>
        <v/>
      </c>
      <c r="AA352" s="3">
        <f>SUMPRODUCT($B352:$Y352,$B$2655:$Y$2655)</f>
        <v/>
      </c>
      <c r="AC352" s="1">
        <f>A352</f>
        <v/>
      </c>
      <c r="AD352">
        <f>IF(ISNUMBER(V352),V352*($AB$1/V$2635),"")</f>
        <v/>
      </c>
      <c r="AE352">
        <f>IF(ISNUMBER(Z352),Z352*($AB$1/Z$2635),"")</f>
        <v/>
      </c>
      <c r="AF352" s="25">
        <f>IF(ISNUMBER(AD352+AE352),AD352+AE352,"")</f>
        <v/>
      </c>
      <c r="AH352" s="1">
        <f>A352</f>
        <v/>
      </c>
      <c r="AI352">
        <f>IF(ISNUMBER((1+V352)*AI351),(1+V352)*AI351,AI351)</f>
        <v/>
      </c>
      <c r="AJ352">
        <f>IF(ISNUMBER((1+Z352)*AJ351),(1+Z352)*AJ351,AJ351)</f>
        <v/>
      </c>
    </row>
    <row r="353">
      <c r="A353" s="1" t="n">
        <v>42514</v>
      </c>
      <c r="B353" s="3">
        <f>IF(ORIG!B353=0,"",ORIG!B353)</f>
        <v/>
      </c>
      <c r="C353" s="3">
        <f>IF(ORIG!C353=0,"",ORIG!C353)</f>
        <v/>
      </c>
      <c r="D353" s="3">
        <f>IF(ORIG!D353=0,"",ORIG!D353)</f>
        <v/>
      </c>
      <c r="E353" s="3">
        <f>IF(ORIG!E353=0,"",ORIG!E353)</f>
        <v/>
      </c>
      <c r="F353" s="3">
        <f>IF(ORIG!F353=0,"",ORIG!F353)</f>
        <v/>
      </c>
      <c r="G353" s="3">
        <f>IF(ORIG!G353=0,"",ORIG!G353)</f>
        <v/>
      </c>
      <c r="H353" s="3">
        <f>IF(ORIG!H353=0,"",ORIG!H353)</f>
        <v/>
      </c>
      <c r="I353" s="3">
        <f>IF(ORIG!I353=0,"",ORIG!I353)</f>
        <v/>
      </c>
      <c r="J353" s="3">
        <f>IF(ORIG!J353=0,"",ORIG!J353)</f>
        <v/>
      </c>
      <c r="K353" s="3">
        <f>IF(ORIG!K353=0,"",ORIG!K353)</f>
        <v/>
      </c>
      <c r="L353" s="3">
        <f>IF(ORIG!L353=0,"",ORIG!L353)</f>
        <v/>
      </c>
      <c r="M353" s="3">
        <f>IF(ORIG!M353=0,"",ORIG!M353)</f>
        <v/>
      </c>
      <c r="N353" s="3">
        <f>IF(ORIG!N353=0,"",ORIG!N353)</f>
        <v/>
      </c>
      <c r="O353" s="3">
        <f>IF(ORIG!O353=0,"",ORIG!O353)</f>
        <v/>
      </c>
      <c r="P353" s="3">
        <f>IF(ORIG!P353=0,"",ORIG!P353)</f>
        <v/>
      </c>
      <c r="Q353" s="3">
        <f>IF(ORIG!Q353=0,"",ORIG!Q353)</f>
        <v/>
      </c>
      <c r="R353" s="3">
        <f>IF(ORIG!R353=0,"",ORIG!R353)</f>
        <v/>
      </c>
      <c r="S353" s="3">
        <f>IF(ORIG!S353=0,"",ORIG!S353)</f>
        <v/>
      </c>
      <c r="T353" s="3">
        <f>IF(ORIG!T353=0,"",ORIG!T353)</f>
        <v/>
      </c>
      <c r="U353" s="3">
        <f>IF(ORIG!U353=0,"",ORIG!U353)</f>
        <v/>
      </c>
      <c r="V353" s="9">
        <f>IF(ORIG!V353=0,"",ORIG!V353)</f>
        <v/>
      </c>
      <c r="W353" s="9">
        <f>IF(ORIG!W353=0,"",ORIG!W353)</f>
        <v/>
      </c>
      <c r="X353" s="9">
        <f>IF(ORIG!X353=0,"",ORIG!X353)</f>
        <v/>
      </c>
      <c r="Y353" s="9">
        <f>IF(ORIG!Y353=0,"",ORIG!Y353)</f>
        <v/>
      </c>
      <c r="Z353" s="3">
        <f>SUMPRODUCT($B353:$Y353,$B$2649:$Y$2649)</f>
        <v/>
      </c>
      <c r="AA353" s="3">
        <f>SUMPRODUCT($B353:$Y353,$B$2655:$Y$2655)</f>
        <v/>
      </c>
      <c r="AC353" s="1">
        <f>A353</f>
        <v/>
      </c>
      <c r="AD353">
        <f>IF(ISNUMBER(V353),V353*($AB$1/V$2635),"")</f>
        <v/>
      </c>
      <c r="AE353">
        <f>IF(ISNUMBER(Z353),Z353*($AB$1/Z$2635),"")</f>
        <v/>
      </c>
      <c r="AF353" s="25">
        <f>IF(ISNUMBER(AD353+AE353),AD353+AE353,"")</f>
        <v/>
      </c>
      <c r="AH353" s="1">
        <f>A353</f>
        <v/>
      </c>
      <c r="AI353">
        <f>IF(ISNUMBER((1+V353)*AI352),(1+V353)*AI352,AI352)</f>
        <v/>
      </c>
      <c r="AJ353">
        <f>IF(ISNUMBER((1+Z353)*AJ352),(1+Z353)*AJ352,AJ352)</f>
        <v/>
      </c>
    </row>
    <row r="354">
      <c r="A354" s="1" t="n">
        <v>42515</v>
      </c>
      <c r="B354" s="3">
        <f>IF(ORIG!B354=0,"",ORIG!B354)</f>
        <v/>
      </c>
      <c r="C354" s="3">
        <f>IF(ORIG!C354=0,"",ORIG!C354)</f>
        <v/>
      </c>
      <c r="D354" s="3">
        <f>IF(ORIG!D354=0,"",ORIG!D354)</f>
        <v/>
      </c>
      <c r="E354" s="3">
        <f>IF(ORIG!E354=0,"",ORIG!E354)</f>
        <v/>
      </c>
      <c r="F354" s="3">
        <f>IF(ORIG!F354=0,"",ORIG!F354)</f>
        <v/>
      </c>
      <c r="G354" s="3">
        <f>IF(ORIG!G354=0,"",ORIG!G354)</f>
        <v/>
      </c>
      <c r="H354" s="3">
        <f>IF(ORIG!H354=0,"",ORIG!H354)</f>
        <v/>
      </c>
      <c r="I354" s="3">
        <f>IF(ORIG!I354=0,"",ORIG!I354)</f>
        <v/>
      </c>
      <c r="J354" s="3">
        <f>IF(ORIG!J354=0,"",ORIG!J354)</f>
        <v/>
      </c>
      <c r="K354" s="3">
        <f>IF(ORIG!K354=0,"",ORIG!K354)</f>
        <v/>
      </c>
      <c r="L354" s="3">
        <f>IF(ORIG!L354=0,"",ORIG!L354)</f>
        <v/>
      </c>
      <c r="M354" s="3">
        <f>IF(ORIG!M354=0,"",ORIG!M354)</f>
        <v/>
      </c>
      <c r="N354" s="3">
        <f>IF(ORIG!N354=0,"",ORIG!N354)</f>
        <v/>
      </c>
      <c r="O354" s="3">
        <f>IF(ORIG!O354=0,"",ORIG!O354)</f>
        <v/>
      </c>
      <c r="P354" s="3">
        <f>IF(ORIG!P354=0,"",ORIG!P354)</f>
        <v/>
      </c>
      <c r="Q354" s="3">
        <f>IF(ORIG!Q354=0,"",ORIG!Q354)</f>
        <v/>
      </c>
      <c r="R354" s="3">
        <f>IF(ORIG!R354=0,"",ORIG!R354)</f>
        <v/>
      </c>
      <c r="S354" s="3">
        <f>IF(ORIG!S354=0,"",ORIG!S354)</f>
        <v/>
      </c>
      <c r="T354" s="3">
        <f>IF(ORIG!T354=0,"",ORIG!T354)</f>
        <v/>
      </c>
      <c r="U354" s="3">
        <f>IF(ORIG!U354=0,"",ORIG!U354)</f>
        <v/>
      </c>
      <c r="V354" s="9">
        <f>IF(ORIG!V354=0,"",ORIG!V354)</f>
        <v/>
      </c>
      <c r="W354" s="9">
        <f>IF(ORIG!W354=0,"",ORIG!W354)</f>
        <v/>
      </c>
      <c r="X354" s="9">
        <f>IF(ORIG!X354=0,"",ORIG!X354)</f>
        <v/>
      </c>
      <c r="Y354" s="9">
        <f>IF(ORIG!Y354=0,"",ORIG!Y354)</f>
        <v/>
      </c>
      <c r="Z354" s="3">
        <f>SUMPRODUCT($B354:$Y354,$B$2649:$Y$2649)</f>
        <v/>
      </c>
      <c r="AA354" s="3">
        <f>SUMPRODUCT($B354:$Y354,$B$2655:$Y$2655)</f>
        <v/>
      </c>
      <c r="AC354" s="1">
        <f>A354</f>
        <v/>
      </c>
      <c r="AD354">
        <f>IF(ISNUMBER(V354),V354*($AB$1/V$2635),"")</f>
        <v/>
      </c>
      <c r="AE354">
        <f>IF(ISNUMBER(Z354),Z354*($AB$1/Z$2635),"")</f>
        <v/>
      </c>
      <c r="AF354" s="25">
        <f>IF(ISNUMBER(AD354+AE354),AD354+AE354,"")</f>
        <v/>
      </c>
      <c r="AH354" s="1">
        <f>A354</f>
        <v/>
      </c>
      <c r="AI354">
        <f>IF(ISNUMBER((1+V354)*AI353),(1+V354)*AI353,AI353)</f>
        <v/>
      </c>
      <c r="AJ354">
        <f>IF(ISNUMBER((1+Z354)*AJ353),(1+Z354)*AJ353,AJ353)</f>
        <v/>
      </c>
    </row>
    <row r="355">
      <c r="A355" s="1" t="n">
        <v>42516</v>
      </c>
      <c r="B355" s="3">
        <f>IF(ORIG!B355=0,"",ORIG!B355)</f>
        <v/>
      </c>
      <c r="C355" s="3">
        <f>IF(ORIG!C355=0,"",ORIG!C355)</f>
        <v/>
      </c>
      <c r="D355" s="3">
        <f>IF(ORIG!D355=0,"",ORIG!D355)</f>
        <v/>
      </c>
      <c r="E355" s="3">
        <f>IF(ORIG!E355=0,"",ORIG!E355)</f>
        <v/>
      </c>
      <c r="F355" s="3">
        <f>IF(ORIG!F355=0,"",ORIG!F355)</f>
        <v/>
      </c>
      <c r="G355" s="3">
        <f>IF(ORIG!G355=0,"",ORIG!G355)</f>
        <v/>
      </c>
      <c r="H355" s="3">
        <f>IF(ORIG!H355=0,"",ORIG!H355)</f>
        <v/>
      </c>
      <c r="I355" s="3">
        <f>IF(ORIG!I355=0,"",ORIG!I355)</f>
        <v/>
      </c>
      <c r="J355" s="3">
        <f>IF(ORIG!J355=0,"",ORIG!J355)</f>
        <v/>
      </c>
      <c r="K355" s="3">
        <f>IF(ORIG!K355=0,"",ORIG!K355)</f>
        <v/>
      </c>
      <c r="L355" s="3">
        <f>IF(ORIG!L355=0,"",ORIG!L355)</f>
        <v/>
      </c>
      <c r="M355" s="3">
        <f>IF(ORIG!M355=0,"",ORIG!M355)</f>
        <v/>
      </c>
      <c r="N355" s="3">
        <f>IF(ORIG!N355=0,"",ORIG!N355)</f>
        <v/>
      </c>
      <c r="O355" s="3">
        <f>IF(ORIG!O355=0,"",ORIG!O355)</f>
        <v/>
      </c>
      <c r="P355" s="3">
        <f>IF(ORIG!P355=0,"",ORIG!P355)</f>
        <v/>
      </c>
      <c r="Q355" s="3">
        <f>IF(ORIG!Q355=0,"",ORIG!Q355)</f>
        <v/>
      </c>
      <c r="R355" s="3">
        <f>IF(ORIG!R355=0,"",ORIG!R355)</f>
        <v/>
      </c>
      <c r="S355" s="3">
        <f>IF(ORIG!S355=0,"",ORIG!S355)</f>
        <v/>
      </c>
      <c r="T355" s="3">
        <f>IF(ORIG!T355=0,"",ORIG!T355)</f>
        <v/>
      </c>
      <c r="U355" s="3">
        <f>IF(ORIG!U355=0,"",ORIG!U355)</f>
        <v/>
      </c>
      <c r="V355" s="9">
        <f>IF(ORIG!V355=0,"",ORIG!V355)</f>
        <v/>
      </c>
      <c r="W355" s="9">
        <f>IF(ORIG!W355=0,"",ORIG!W355)</f>
        <v/>
      </c>
      <c r="X355" s="9">
        <f>IF(ORIG!X355=0,"",ORIG!X355)</f>
        <v/>
      </c>
      <c r="Y355" s="9">
        <f>IF(ORIG!Y355=0,"",ORIG!Y355)</f>
        <v/>
      </c>
      <c r="Z355" s="3">
        <f>SUMPRODUCT($B355:$Y355,$B$2649:$Y$2649)</f>
        <v/>
      </c>
      <c r="AA355" s="3">
        <f>SUMPRODUCT($B355:$Y355,$B$2655:$Y$2655)</f>
        <v/>
      </c>
      <c r="AC355" s="1">
        <f>A355</f>
        <v/>
      </c>
      <c r="AD355">
        <f>IF(ISNUMBER(V355),V355*($AB$1/V$2635),"")</f>
        <v/>
      </c>
      <c r="AE355">
        <f>IF(ISNUMBER(Z355),Z355*($AB$1/Z$2635),"")</f>
        <v/>
      </c>
      <c r="AF355" s="25">
        <f>IF(ISNUMBER(AD355+AE355),AD355+AE355,"")</f>
        <v/>
      </c>
      <c r="AH355" s="1">
        <f>A355</f>
        <v/>
      </c>
      <c r="AI355">
        <f>IF(ISNUMBER((1+V355)*AI354),(1+V355)*AI354,AI354)</f>
        <v/>
      </c>
      <c r="AJ355">
        <f>IF(ISNUMBER((1+Z355)*AJ354),(1+Z355)*AJ354,AJ354)</f>
        <v/>
      </c>
    </row>
    <row r="356">
      <c r="A356" s="1" t="n">
        <v>42517</v>
      </c>
      <c r="B356" s="3">
        <f>IF(ORIG!B356=0,"",ORIG!B356)</f>
        <v/>
      </c>
      <c r="C356" s="3">
        <f>IF(ORIG!C356=0,"",ORIG!C356)</f>
        <v/>
      </c>
      <c r="D356" s="3">
        <f>IF(ORIG!D356=0,"",ORIG!D356)</f>
        <v/>
      </c>
      <c r="E356" s="3">
        <f>IF(ORIG!E356=0,"",ORIG!E356)</f>
        <v/>
      </c>
      <c r="F356" s="3">
        <f>IF(ORIG!F356=0,"",ORIG!F356)</f>
        <v/>
      </c>
      <c r="G356" s="3">
        <f>IF(ORIG!G356=0,"",ORIG!G356)</f>
        <v/>
      </c>
      <c r="H356" s="3">
        <f>IF(ORIG!H356=0,"",ORIG!H356)</f>
        <v/>
      </c>
      <c r="I356" s="3">
        <f>IF(ORIG!I356=0,"",ORIG!I356)</f>
        <v/>
      </c>
      <c r="J356" s="3">
        <f>IF(ORIG!J356=0,"",ORIG!J356)</f>
        <v/>
      </c>
      <c r="K356" s="3">
        <f>IF(ORIG!K356=0,"",ORIG!K356)</f>
        <v/>
      </c>
      <c r="L356" s="3">
        <f>IF(ORIG!L356=0,"",ORIG!L356)</f>
        <v/>
      </c>
      <c r="M356" s="3">
        <f>IF(ORIG!M356=0,"",ORIG!M356)</f>
        <v/>
      </c>
      <c r="N356" s="3">
        <f>IF(ORIG!N356=0,"",ORIG!N356)</f>
        <v/>
      </c>
      <c r="O356" s="3">
        <f>IF(ORIG!O356=0,"",ORIG!O356)</f>
        <v/>
      </c>
      <c r="P356" s="3">
        <f>IF(ORIG!P356=0,"",ORIG!P356)</f>
        <v/>
      </c>
      <c r="Q356" s="3">
        <f>IF(ORIG!Q356=0,"",ORIG!Q356)</f>
        <v/>
      </c>
      <c r="R356" s="3">
        <f>IF(ORIG!R356=0,"",ORIG!R356)</f>
        <v/>
      </c>
      <c r="S356" s="3">
        <f>IF(ORIG!S356=0,"",ORIG!S356)</f>
        <v/>
      </c>
      <c r="T356" s="3">
        <f>IF(ORIG!T356=0,"",ORIG!T356)</f>
        <v/>
      </c>
      <c r="U356" s="3">
        <f>IF(ORIG!U356=0,"",ORIG!U356)</f>
        <v/>
      </c>
      <c r="V356" s="9">
        <f>IF(ORIG!V356=0,"",ORIG!V356)</f>
        <v/>
      </c>
      <c r="W356" s="9">
        <f>IF(ORIG!W356=0,"",ORIG!W356)</f>
        <v/>
      </c>
      <c r="X356" s="9">
        <f>IF(ORIG!X356=0,"",ORIG!X356)</f>
        <v/>
      </c>
      <c r="Y356" s="9">
        <f>IF(ORIG!Y356=0,"",ORIG!Y356)</f>
        <v/>
      </c>
      <c r="Z356" s="3">
        <f>SUMPRODUCT($B356:$Y356,$B$2649:$Y$2649)</f>
        <v/>
      </c>
      <c r="AA356" s="3">
        <f>SUMPRODUCT($B356:$Y356,$B$2655:$Y$2655)</f>
        <v/>
      </c>
      <c r="AC356" s="1">
        <f>A356</f>
        <v/>
      </c>
      <c r="AD356">
        <f>IF(ISNUMBER(V356),V356*($AB$1/V$2635),"")</f>
        <v/>
      </c>
      <c r="AE356">
        <f>IF(ISNUMBER(Z356),Z356*($AB$1/Z$2635),"")</f>
        <v/>
      </c>
      <c r="AF356" s="25">
        <f>IF(ISNUMBER(AD356+AE356),AD356+AE356,"")</f>
        <v/>
      </c>
      <c r="AH356" s="1">
        <f>A356</f>
        <v/>
      </c>
      <c r="AI356">
        <f>IF(ISNUMBER((1+V356)*AI355),(1+V356)*AI355,AI355)</f>
        <v/>
      </c>
      <c r="AJ356">
        <f>IF(ISNUMBER((1+Z356)*AJ355),(1+Z356)*AJ355,AJ355)</f>
        <v/>
      </c>
    </row>
    <row r="357">
      <c r="A357" s="1" t="n">
        <v>42521</v>
      </c>
      <c r="B357" s="3">
        <f>IF(ORIG!B357=0,"",ORIG!B357)</f>
        <v/>
      </c>
      <c r="C357" s="3">
        <f>IF(ORIG!C357=0,"",ORIG!C357)</f>
        <v/>
      </c>
      <c r="D357" s="3">
        <f>IF(ORIG!D357=0,"",ORIG!D357)</f>
        <v/>
      </c>
      <c r="E357" s="3">
        <f>IF(ORIG!E357=0,"",ORIG!E357)</f>
        <v/>
      </c>
      <c r="F357" s="3">
        <f>IF(ORIG!F357=0,"",ORIG!F357)</f>
        <v/>
      </c>
      <c r="G357" s="3">
        <f>IF(ORIG!G357=0,"",ORIG!G357)</f>
        <v/>
      </c>
      <c r="H357" s="3">
        <f>IF(ORIG!H357=0,"",ORIG!H357)</f>
        <v/>
      </c>
      <c r="I357" s="3">
        <f>IF(ORIG!I357=0,"",ORIG!I357)</f>
        <v/>
      </c>
      <c r="J357" s="3">
        <f>IF(ORIG!J357=0,"",ORIG!J357)</f>
        <v/>
      </c>
      <c r="K357" s="3">
        <f>IF(ORIG!K357=0,"",ORIG!K357)</f>
        <v/>
      </c>
      <c r="L357" s="3">
        <f>IF(ORIG!L357=0,"",ORIG!L357)</f>
        <v/>
      </c>
      <c r="M357" s="3">
        <f>IF(ORIG!M357=0,"",ORIG!M357)</f>
        <v/>
      </c>
      <c r="N357" s="3">
        <f>IF(ORIG!N357=0,"",ORIG!N357)</f>
        <v/>
      </c>
      <c r="O357" s="3">
        <f>IF(ORIG!O357=0,"",ORIG!O357)</f>
        <v/>
      </c>
      <c r="P357" s="3">
        <f>IF(ORIG!P357=0,"",ORIG!P357)</f>
        <v/>
      </c>
      <c r="Q357" s="3">
        <f>IF(ORIG!Q357=0,"",ORIG!Q357)</f>
        <v/>
      </c>
      <c r="R357" s="3">
        <f>IF(ORIG!R357=0,"",ORIG!R357)</f>
        <v/>
      </c>
      <c r="S357" s="3">
        <f>IF(ORIG!S357=0,"",ORIG!S357)</f>
        <v/>
      </c>
      <c r="T357" s="3">
        <f>IF(ORIG!T357=0,"",ORIG!T357)</f>
        <v/>
      </c>
      <c r="U357" s="3">
        <f>IF(ORIG!U357=0,"",ORIG!U357)</f>
        <v/>
      </c>
      <c r="V357" s="9">
        <f>IF(ORIG!V357=0,"",ORIG!V357)</f>
        <v/>
      </c>
      <c r="W357" s="9">
        <f>IF(ORIG!W357=0,"",ORIG!W357)</f>
        <v/>
      </c>
      <c r="X357" s="9">
        <f>IF(ORIG!X357=0,"",ORIG!X357)</f>
        <v/>
      </c>
      <c r="Y357" s="9">
        <f>IF(ORIG!Y357=0,"",ORIG!Y357)</f>
        <v/>
      </c>
      <c r="Z357" s="3">
        <f>SUMPRODUCT($B357:$Y357,$B$2649:$Y$2649)</f>
        <v/>
      </c>
      <c r="AA357" s="3">
        <f>SUMPRODUCT($B357:$Y357,$B$2655:$Y$2655)</f>
        <v/>
      </c>
      <c r="AC357" s="1">
        <f>A357</f>
        <v/>
      </c>
      <c r="AD357">
        <f>IF(ISNUMBER(V357),V357*($AB$1/V$2635),"")</f>
        <v/>
      </c>
      <c r="AE357">
        <f>IF(ISNUMBER(Z357),Z357*($AB$1/Z$2635),"")</f>
        <v/>
      </c>
      <c r="AF357" s="25">
        <f>IF(ISNUMBER(AD357+AE357),AD357+AE357,"")</f>
        <v/>
      </c>
      <c r="AH357" s="1">
        <f>A357</f>
        <v/>
      </c>
      <c r="AI357">
        <f>IF(ISNUMBER((1+V357)*AI356),(1+V357)*AI356,AI356)</f>
        <v/>
      </c>
      <c r="AJ357">
        <f>IF(ISNUMBER((1+Z357)*AJ356),(1+Z357)*AJ356,AJ356)</f>
        <v/>
      </c>
    </row>
    <row r="358">
      <c r="A358" s="1" t="n">
        <v>42522</v>
      </c>
      <c r="B358" s="3">
        <f>IF(ORIG!B358=0,"",ORIG!B358)</f>
        <v/>
      </c>
      <c r="C358" s="3">
        <f>IF(ORIG!C358=0,"",ORIG!C358)</f>
        <v/>
      </c>
      <c r="D358" s="3">
        <f>IF(ORIG!D358=0,"",ORIG!D358)</f>
        <v/>
      </c>
      <c r="E358" s="3">
        <f>IF(ORIG!E358=0,"",ORIG!E358)</f>
        <v/>
      </c>
      <c r="F358" s="3">
        <f>IF(ORIG!F358=0,"",ORIG!F358)</f>
        <v/>
      </c>
      <c r="G358" s="3">
        <f>IF(ORIG!G358=0,"",ORIG!G358)</f>
        <v/>
      </c>
      <c r="H358" s="3">
        <f>IF(ORIG!H358=0,"",ORIG!H358)</f>
        <v/>
      </c>
      <c r="I358" s="3">
        <f>IF(ORIG!I358=0,"",ORIG!I358)</f>
        <v/>
      </c>
      <c r="J358" s="3">
        <f>IF(ORIG!J358=0,"",ORIG!J358)</f>
        <v/>
      </c>
      <c r="K358" s="3">
        <f>IF(ORIG!K358=0,"",ORIG!K358)</f>
        <v/>
      </c>
      <c r="L358" s="3">
        <f>IF(ORIG!L358=0,"",ORIG!L358)</f>
        <v/>
      </c>
      <c r="M358" s="3">
        <f>IF(ORIG!M358=0,"",ORIG!M358)</f>
        <v/>
      </c>
      <c r="N358" s="3">
        <f>IF(ORIG!N358=0,"",ORIG!N358)</f>
        <v/>
      </c>
      <c r="O358" s="3">
        <f>IF(ORIG!O358=0,"",ORIG!O358)</f>
        <v/>
      </c>
      <c r="P358" s="3">
        <f>IF(ORIG!P358=0,"",ORIG!P358)</f>
        <v/>
      </c>
      <c r="Q358" s="3">
        <f>IF(ORIG!Q358=0,"",ORIG!Q358)</f>
        <v/>
      </c>
      <c r="R358" s="3">
        <f>IF(ORIG!R358=0,"",ORIG!R358)</f>
        <v/>
      </c>
      <c r="S358" s="3">
        <f>IF(ORIG!S358=0,"",ORIG!S358)</f>
        <v/>
      </c>
      <c r="T358" s="3">
        <f>IF(ORIG!T358=0,"",ORIG!T358)</f>
        <v/>
      </c>
      <c r="U358" s="3">
        <f>IF(ORIG!U358=0,"",ORIG!U358)</f>
        <v/>
      </c>
      <c r="V358" s="9">
        <f>IF(ORIG!V358=0,"",ORIG!V358)</f>
        <v/>
      </c>
      <c r="W358" s="9">
        <f>IF(ORIG!W358=0,"",ORIG!W358)</f>
        <v/>
      </c>
      <c r="X358" s="9">
        <f>IF(ORIG!X358=0,"",ORIG!X358)</f>
        <v/>
      </c>
      <c r="Y358" s="9">
        <f>IF(ORIG!Y358=0,"",ORIG!Y358)</f>
        <v/>
      </c>
      <c r="Z358" s="3">
        <f>SUMPRODUCT($B358:$Y358,$B$2649:$Y$2649)</f>
        <v/>
      </c>
      <c r="AA358" s="3">
        <f>SUMPRODUCT($B358:$Y358,$B$2655:$Y$2655)</f>
        <v/>
      </c>
      <c r="AC358" s="1">
        <f>A358</f>
        <v/>
      </c>
      <c r="AD358">
        <f>IF(ISNUMBER(V358),V358*($AB$1/V$2635),"")</f>
        <v/>
      </c>
      <c r="AE358">
        <f>IF(ISNUMBER(Z358),Z358*($AB$1/Z$2635),"")</f>
        <v/>
      </c>
      <c r="AF358" s="25">
        <f>IF(ISNUMBER(AD358+AE358),AD358+AE358,"")</f>
        <v/>
      </c>
      <c r="AH358" s="1">
        <f>A358</f>
        <v/>
      </c>
      <c r="AI358">
        <f>IF(ISNUMBER((1+V358)*AI357),(1+V358)*AI357,AI357)</f>
        <v/>
      </c>
      <c r="AJ358">
        <f>IF(ISNUMBER((1+Z358)*AJ357),(1+Z358)*AJ357,AJ357)</f>
        <v/>
      </c>
    </row>
    <row r="359">
      <c r="A359" s="1" t="n">
        <v>42523</v>
      </c>
      <c r="B359" s="3">
        <f>IF(ORIG!B359=0,"",ORIG!B359)</f>
        <v/>
      </c>
      <c r="C359" s="3">
        <f>IF(ORIG!C359=0,"",ORIG!C359)</f>
        <v/>
      </c>
      <c r="D359" s="3">
        <f>IF(ORIG!D359=0,"",ORIG!D359)</f>
        <v/>
      </c>
      <c r="E359" s="3">
        <f>IF(ORIG!E359=0,"",ORIG!E359)</f>
        <v/>
      </c>
      <c r="F359" s="3">
        <f>IF(ORIG!F359=0,"",ORIG!F359)</f>
        <v/>
      </c>
      <c r="G359" s="3">
        <f>IF(ORIG!G359=0,"",ORIG!G359)</f>
        <v/>
      </c>
      <c r="H359" s="3">
        <f>IF(ORIG!H359=0,"",ORIG!H359)</f>
        <v/>
      </c>
      <c r="I359" s="3">
        <f>IF(ORIG!I359=0,"",ORIG!I359)</f>
        <v/>
      </c>
      <c r="J359" s="3">
        <f>IF(ORIG!J359=0,"",ORIG!J359)</f>
        <v/>
      </c>
      <c r="K359" s="3">
        <f>IF(ORIG!K359=0,"",ORIG!K359)</f>
        <v/>
      </c>
      <c r="L359" s="3">
        <f>IF(ORIG!L359=0,"",ORIG!L359)</f>
        <v/>
      </c>
      <c r="M359" s="3">
        <f>IF(ORIG!M359=0,"",ORIG!M359)</f>
        <v/>
      </c>
      <c r="N359" s="3">
        <f>IF(ORIG!N359=0,"",ORIG!N359)</f>
        <v/>
      </c>
      <c r="O359" s="3">
        <f>IF(ORIG!O359=0,"",ORIG!O359)</f>
        <v/>
      </c>
      <c r="P359" s="3">
        <f>IF(ORIG!P359=0,"",ORIG!P359)</f>
        <v/>
      </c>
      <c r="Q359" s="3">
        <f>IF(ORIG!Q359=0,"",ORIG!Q359)</f>
        <v/>
      </c>
      <c r="R359" s="3">
        <f>IF(ORIG!R359=0,"",ORIG!R359)</f>
        <v/>
      </c>
      <c r="S359" s="3">
        <f>IF(ORIG!S359=0,"",ORIG!S359)</f>
        <v/>
      </c>
      <c r="T359" s="3">
        <f>IF(ORIG!T359=0,"",ORIG!T359)</f>
        <v/>
      </c>
      <c r="U359" s="3">
        <f>IF(ORIG!U359=0,"",ORIG!U359)</f>
        <v/>
      </c>
      <c r="V359" s="9">
        <f>IF(ORIG!V359=0,"",ORIG!V359)</f>
        <v/>
      </c>
      <c r="W359" s="9">
        <f>IF(ORIG!W359=0,"",ORIG!W359)</f>
        <v/>
      </c>
      <c r="X359" s="9">
        <f>IF(ORIG!X359=0,"",ORIG!X359)</f>
        <v/>
      </c>
      <c r="Y359" s="9">
        <f>IF(ORIG!Y359=0,"",ORIG!Y359)</f>
        <v/>
      </c>
      <c r="Z359" s="3">
        <f>SUMPRODUCT($B359:$Y359,$B$2649:$Y$2649)</f>
        <v/>
      </c>
      <c r="AA359" s="3">
        <f>SUMPRODUCT($B359:$Y359,$B$2655:$Y$2655)</f>
        <v/>
      </c>
      <c r="AC359" s="1">
        <f>A359</f>
        <v/>
      </c>
      <c r="AD359">
        <f>IF(ISNUMBER(V359),V359*($AB$1/V$2635),"")</f>
        <v/>
      </c>
      <c r="AE359">
        <f>IF(ISNUMBER(Z359),Z359*($AB$1/Z$2635),"")</f>
        <v/>
      </c>
      <c r="AF359" s="25">
        <f>IF(ISNUMBER(AD359+AE359),AD359+AE359,"")</f>
        <v/>
      </c>
      <c r="AH359" s="1">
        <f>A359</f>
        <v/>
      </c>
      <c r="AI359">
        <f>IF(ISNUMBER((1+V359)*AI358),(1+V359)*AI358,AI358)</f>
        <v/>
      </c>
      <c r="AJ359">
        <f>IF(ISNUMBER((1+Z359)*AJ358),(1+Z359)*AJ358,AJ358)</f>
        <v/>
      </c>
    </row>
    <row r="360">
      <c r="A360" s="1" t="n">
        <v>42524</v>
      </c>
      <c r="B360" s="3">
        <f>IF(ORIG!B360=0,"",ORIG!B360)</f>
        <v/>
      </c>
      <c r="C360" s="3">
        <f>IF(ORIG!C360=0,"",ORIG!C360)</f>
        <v/>
      </c>
      <c r="D360" s="3">
        <f>IF(ORIG!D360=0,"",ORIG!D360)</f>
        <v/>
      </c>
      <c r="E360" s="3">
        <f>IF(ORIG!E360=0,"",ORIG!E360)</f>
        <v/>
      </c>
      <c r="F360" s="3">
        <f>IF(ORIG!F360=0,"",ORIG!F360)</f>
        <v/>
      </c>
      <c r="G360" s="3">
        <f>IF(ORIG!G360=0,"",ORIG!G360)</f>
        <v/>
      </c>
      <c r="H360" s="3">
        <f>IF(ORIG!H360=0,"",ORIG!H360)</f>
        <v/>
      </c>
      <c r="I360" s="3">
        <f>IF(ORIG!I360=0,"",ORIG!I360)</f>
        <v/>
      </c>
      <c r="J360" s="3">
        <f>IF(ORIG!J360=0,"",ORIG!J360)</f>
        <v/>
      </c>
      <c r="K360" s="3">
        <f>IF(ORIG!K360=0,"",ORIG!K360)</f>
        <v/>
      </c>
      <c r="L360" s="3">
        <f>IF(ORIG!L360=0,"",ORIG!L360)</f>
        <v/>
      </c>
      <c r="M360" s="3">
        <f>IF(ORIG!M360=0,"",ORIG!M360)</f>
        <v/>
      </c>
      <c r="N360" s="3">
        <f>IF(ORIG!N360=0,"",ORIG!N360)</f>
        <v/>
      </c>
      <c r="O360" s="3">
        <f>IF(ORIG!O360=0,"",ORIG!O360)</f>
        <v/>
      </c>
      <c r="P360" s="3">
        <f>IF(ORIG!P360=0,"",ORIG!P360)</f>
        <v/>
      </c>
      <c r="Q360" s="3">
        <f>IF(ORIG!Q360=0,"",ORIG!Q360)</f>
        <v/>
      </c>
      <c r="R360" s="3">
        <f>IF(ORIG!R360=0,"",ORIG!R360)</f>
        <v/>
      </c>
      <c r="S360" s="3">
        <f>IF(ORIG!S360=0,"",ORIG!S360)</f>
        <v/>
      </c>
      <c r="T360" s="3">
        <f>IF(ORIG!T360=0,"",ORIG!T360)</f>
        <v/>
      </c>
      <c r="U360" s="3">
        <f>IF(ORIG!U360=0,"",ORIG!U360)</f>
        <v/>
      </c>
      <c r="V360" s="9">
        <f>IF(ORIG!V360=0,"",ORIG!V360)</f>
        <v/>
      </c>
      <c r="W360" s="9">
        <f>IF(ORIG!W360=0,"",ORIG!W360)</f>
        <v/>
      </c>
      <c r="X360" s="9">
        <f>IF(ORIG!X360=0,"",ORIG!X360)</f>
        <v/>
      </c>
      <c r="Y360" s="9">
        <f>IF(ORIG!Y360=0,"",ORIG!Y360)</f>
        <v/>
      </c>
      <c r="Z360" s="3">
        <f>SUMPRODUCT($B360:$Y360,$B$2649:$Y$2649)</f>
        <v/>
      </c>
      <c r="AA360" s="3">
        <f>SUMPRODUCT($B360:$Y360,$B$2655:$Y$2655)</f>
        <v/>
      </c>
      <c r="AC360" s="1">
        <f>A360</f>
        <v/>
      </c>
      <c r="AD360">
        <f>IF(ISNUMBER(V360),V360*($AB$1/V$2635),"")</f>
        <v/>
      </c>
      <c r="AE360">
        <f>IF(ISNUMBER(Z360),Z360*($AB$1/Z$2635),"")</f>
        <v/>
      </c>
      <c r="AF360" s="25">
        <f>IF(ISNUMBER(AD360+AE360),AD360+AE360,"")</f>
        <v/>
      </c>
      <c r="AH360" s="1">
        <f>A360</f>
        <v/>
      </c>
      <c r="AI360">
        <f>IF(ISNUMBER((1+V360)*AI359),(1+V360)*AI359,AI359)</f>
        <v/>
      </c>
      <c r="AJ360">
        <f>IF(ISNUMBER((1+Z360)*AJ359),(1+Z360)*AJ359,AJ359)</f>
        <v/>
      </c>
    </row>
    <row r="361">
      <c r="A361" s="1" t="n">
        <v>42527</v>
      </c>
      <c r="B361" s="3">
        <f>IF(ORIG!B361=0,"",ORIG!B361)</f>
        <v/>
      </c>
      <c r="C361" s="3">
        <f>IF(ORIG!C361=0,"",ORIG!C361)</f>
        <v/>
      </c>
      <c r="D361" s="3">
        <f>IF(ORIG!D361=0,"",ORIG!D361)</f>
        <v/>
      </c>
      <c r="E361" s="3">
        <f>IF(ORIG!E361=0,"",ORIG!E361)</f>
        <v/>
      </c>
      <c r="F361" s="3">
        <f>IF(ORIG!F361=0,"",ORIG!F361)</f>
        <v/>
      </c>
      <c r="G361" s="3">
        <f>IF(ORIG!G361=0,"",ORIG!G361)</f>
        <v/>
      </c>
      <c r="H361" s="3">
        <f>IF(ORIG!H361=0,"",ORIG!H361)</f>
        <v/>
      </c>
      <c r="I361" s="3">
        <f>IF(ORIG!I361=0,"",ORIG!I361)</f>
        <v/>
      </c>
      <c r="J361" s="3">
        <f>IF(ORIG!J361=0,"",ORIG!J361)</f>
        <v/>
      </c>
      <c r="K361" s="3">
        <f>IF(ORIG!K361=0,"",ORIG!K361)</f>
        <v/>
      </c>
      <c r="L361" s="3">
        <f>IF(ORIG!L361=0,"",ORIG!L361)</f>
        <v/>
      </c>
      <c r="M361" s="3">
        <f>IF(ORIG!M361=0,"",ORIG!M361)</f>
        <v/>
      </c>
      <c r="N361" s="3">
        <f>IF(ORIG!N361=0,"",ORIG!N361)</f>
        <v/>
      </c>
      <c r="O361" s="3">
        <f>IF(ORIG!O361=0,"",ORIG!O361)</f>
        <v/>
      </c>
      <c r="P361" s="3">
        <f>IF(ORIG!P361=0,"",ORIG!P361)</f>
        <v/>
      </c>
      <c r="Q361" s="3">
        <f>IF(ORIG!Q361=0,"",ORIG!Q361)</f>
        <v/>
      </c>
      <c r="R361" s="3">
        <f>IF(ORIG!R361=0,"",ORIG!R361)</f>
        <v/>
      </c>
      <c r="S361" s="3">
        <f>IF(ORIG!S361=0,"",ORIG!S361)</f>
        <v/>
      </c>
      <c r="T361" s="3">
        <f>IF(ORIG!T361=0,"",ORIG!T361)</f>
        <v/>
      </c>
      <c r="U361" s="3">
        <f>IF(ORIG!U361=0,"",ORIG!U361)</f>
        <v/>
      </c>
      <c r="V361" s="9">
        <f>IF(ORIG!V361=0,"",ORIG!V361)</f>
        <v/>
      </c>
      <c r="W361" s="9">
        <f>IF(ORIG!W361=0,"",ORIG!W361)</f>
        <v/>
      </c>
      <c r="X361" s="9">
        <f>IF(ORIG!X361=0,"",ORIG!X361)</f>
        <v/>
      </c>
      <c r="Y361" s="9">
        <f>IF(ORIG!Y361=0,"",ORIG!Y361)</f>
        <v/>
      </c>
      <c r="Z361" s="3">
        <f>SUMPRODUCT($B361:$Y361,$B$2649:$Y$2649)</f>
        <v/>
      </c>
      <c r="AA361" s="3">
        <f>SUMPRODUCT($B361:$Y361,$B$2655:$Y$2655)</f>
        <v/>
      </c>
      <c r="AC361" s="1">
        <f>A361</f>
        <v/>
      </c>
      <c r="AD361">
        <f>IF(ISNUMBER(V361),V361*($AB$1/V$2635),"")</f>
        <v/>
      </c>
      <c r="AE361">
        <f>IF(ISNUMBER(Z361),Z361*($AB$1/Z$2635),"")</f>
        <v/>
      </c>
      <c r="AF361" s="25">
        <f>IF(ISNUMBER(AD361+AE361),AD361+AE361,"")</f>
        <v/>
      </c>
      <c r="AH361" s="1">
        <f>A361</f>
        <v/>
      </c>
      <c r="AI361">
        <f>IF(ISNUMBER((1+V361)*AI360),(1+V361)*AI360,AI360)</f>
        <v/>
      </c>
      <c r="AJ361">
        <f>IF(ISNUMBER((1+Z361)*AJ360),(1+Z361)*AJ360,AJ360)</f>
        <v/>
      </c>
    </row>
    <row r="362">
      <c r="A362" s="1" t="n">
        <v>42528</v>
      </c>
      <c r="B362" s="3">
        <f>IF(ORIG!B362=0,"",ORIG!B362)</f>
        <v/>
      </c>
      <c r="C362" s="3">
        <f>IF(ORIG!C362=0,"",ORIG!C362)</f>
        <v/>
      </c>
      <c r="D362" s="3">
        <f>IF(ORIG!D362=0,"",ORIG!D362)</f>
        <v/>
      </c>
      <c r="E362" s="3">
        <f>IF(ORIG!E362=0,"",ORIG!E362)</f>
        <v/>
      </c>
      <c r="F362" s="3">
        <f>IF(ORIG!F362=0,"",ORIG!F362)</f>
        <v/>
      </c>
      <c r="G362" s="3">
        <f>IF(ORIG!G362=0,"",ORIG!G362)</f>
        <v/>
      </c>
      <c r="H362" s="3">
        <f>IF(ORIG!H362=0,"",ORIG!H362)</f>
        <v/>
      </c>
      <c r="I362" s="3">
        <f>IF(ORIG!I362=0,"",ORIG!I362)</f>
        <v/>
      </c>
      <c r="J362" s="3">
        <f>IF(ORIG!J362=0,"",ORIG!J362)</f>
        <v/>
      </c>
      <c r="K362" s="3">
        <f>IF(ORIG!K362=0,"",ORIG!K362)</f>
        <v/>
      </c>
      <c r="L362" s="3">
        <f>IF(ORIG!L362=0,"",ORIG!L362)</f>
        <v/>
      </c>
      <c r="M362" s="3">
        <f>IF(ORIG!M362=0,"",ORIG!M362)</f>
        <v/>
      </c>
      <c r="N362" s="3">
        <f>IF(ORIG!N362=0,"",ORIG!N362)</f>
        <v/>
      </c>
      <c r="O362" s="3">
        <f>IF(ORIG!O362=0,"",ORIG!O362)</f>
        <v/>
      </c>
      <c r="P362" s="3">
        <f>IF(ORIG!P362=0,"",ORIG!P362)</f>
        <v/>
      </c>
      <c r="Q362" s="3">
        <f>IF(ORIG!Q362=0,"",ORIG!Q362)</f>
        <v/>
      </c>
      <c r="R362" s="3">
        <f>IF(ORIG!R362=0,"",ORIG!R362)</f>
        <v/>
      </c>
      <c r="S362" s="3">
        <f>IF(ORIG!S362=0,"",ORIG!S362)</f>
        <v/>
      </c>
      <c r="T362" s="3">
        <f>IF(ORIG!T362=0,"",ORIG!T362)</f>
        <v/>
      </c>
      <c r="U362" s="3">
        <f>IF(ORIG!U362=0,"",ORIG!U362)</f>
        <v/>
      </c>
      <c r="V362" s="9">
        <f>IF(ORIG!V362=0,"",ORIG!V362)</f>
        <v/>
      </c>
      <c r="W362" s="9">
        <f>IF(ORIG!W362=0,"",ORIG!W362)</f>
        <v/>
      </c>
      <c r="X362" s="9">
        <f>IF(ORIG!X362=0,"",ORIG!X362)</f>
        <v/>
      </c>
      <c r="Y362" s="9">
        <f>IF(ORIG!Y362=0,"",ORIG!Y362)</f>
        <v/>
      </c>
      <c r="Z362" s="3">
        <f>SUMPRODUCT($B362:$Y362,$B$2649:$Y$2649)</f>
        <v/>
      </c>
      <c r="AA362" s="3">
        <f>SUMPRODUCT($B362:$Y362,$B$2655:$Y$2655)</f>
        <v/>
      </c>
      <c r="AC362" s="1">
        <f>A362</f>
        <v/>
      </c>
      <c r="AD362">
        <f>IF(ISNUMBER(V362),V362*($AB$1/V$2635),"")</f>
        <v/>
      </c>
      <c r="AE362">
        <f>IF(ISNUMBER(Z362),Z362*($AB$1/Z$2635),"")</f>
        <v/>
      </c>
      <c r="AF362" s="25">
        <f>IF(ISNUMBER(AD362+AE362),AD362+AE362,"")</f>
        <v/>
      </c>
      <c r="AH362" s="1">
        <f>A362</f>
        <v/>
      </c>
      <c r="AI362">
        <f>IF(ISNUMBER((1+V362)*AI361),(1+V362)*AI361,AI361)</f>
        <v/>
      </c>
      <c r="AJ362">
        <f>IF(ISNUMBER((1+Z362)*AJ361),(1+Z362)*AJ361,AJ361)</f>
        <v/>
      </c>
    </row>
    <row r="363">
      <c r="A363" s="1" t="n">
        <v>42529</v>
      </c>
      <c r="B363" s="3">
        <f>IF(ORIG!B363=0,"",ORIG!B363)</f>
        <v/>
      </c>
      <c r="C363" s="3">
        <f>IF(ORIG!C363=0,"",ORIG!C363)</f>
        <v/>
      </c>
      <c r="D363" s="3">
        <f>IF(ORIG!D363=0,"",ORIG!D363)</f>
        <v/>
      </c>
      <c r="E363" s="3">
        <f>IF(ORIG!E363=0,"",ORIG!E363)</f>
        <v/>
      </c>
      <c r="F363" s="3">
        <f>IF(ORIG!F363=0,"",ORIG!F363)</f>
        <v/>
      </c>
      <c r="G363" s="3">
        <f>IF(ORIG!G363=0,"",ORIG!G363)</f>
        <v/>
      </c>
      <c r="H363" s="3">
        <f>IF(ORIG!H363=0,"",ORIG!H363)</f>
        <v/>
      </c>
      <c r="I363" s="3">
        <f>IF(ORIG!I363=0,"",ORIG!I363)</f>
        <v/>
      </c>
      <c r="J363" s="3">
        <f>IF(ORIG!J363=0,"",ORIG!J363)</f>
        <v/>
      </c>
      <c r="K363" s="3">
        <f>IF(ORIG!K363=0,"",ORIG!K363)</f>
        <v/>
      </c>
      <c r="L363" s="3">
        <f>IF(ORIG!L363=0,"",ORIG!L363)</f>
        <v/>
      </c>
      <c r="M363" s="3">
        <f>IF(ORIG!M363=0,"",ORIG!M363)</f>
        <v/>
      </c>
      <c r="N363" s="3">
        <f>IF(ORIG!N363=0,"",ORIG!N363)</f>
        <v/>
      </c>
      <c r="O363" s="3">
        <f>IF(ORIG!O363=0,"",ORIG!O363)</f>
        <v/>
      </c>
      <c r="P363" s="3">
        <f>IF(ORIG!P363=0,"",ORIG!P363)</f>
        <v/>
      </c>
      <c r="Q363" s="3">
        <f>IF(ORIG!Q363=0,"",ORIG!Q363)</f>
        <v/>
      </c>
      <c r="R363" s="3">
        <f>IF(ORIG!R363=0,"",ORIG!R363)</f>
        <v/>
      </c>
      <c r="S363" s="3">
        <f>IF(ORIG!S363=0,"",ORIG!S363)</f>
        <v/>
      </c>
      <c r="T363" s="3">
        <f>IF(ORIG!T363=0,"",ORIG!T363)</f>
        <v/>
      </c>
      <c r="U363" s="3">
        <f>IF(ORIG!U363=0,"",ORIG!U363)</f>
        <v/>
      </c>
      <c r="V363" s="9">
        <f>IF(ORIG!V363=0,"",ORIG!V363)</f>
        <v/>
      </c>
      <c r="W363" s="9">
        <f>IF(ORIG!W363=0,"",ORIG!W363)</f>
        <v/>
      </c>
      <c r="X363" s="9">
        <f>IF(ORIG!X363=0,"",ORIG!X363)</f>
        <v/>
      </c>
      <c r="Y363" s="9">
        <f>IF(ORIG!Y363=0,"",ORIG!Y363)</f>
        <v/>
      </c>
      <c r="Z363" s="3">
        <f>SUMPRODUCT($B363:$Y363,$B$2649:$Y$2649)</f>
        <v/>
      </c>
      <c r="AA363" s="3">
        <f>SUMPRODUCT($B363:$Y363,$B$2655:$Y$2655)</f>
        <v/>
      </c>
      <c r="AC363" s="1">
        <f>A363</f>
        <v/>
      </c>
      <c r="AD363">
        <f>IF(ISNUMBER(V363),V363*($AB$1/V$2635),"")</f>
        <v/>
      </c>
      <c r="AE363">
        <f>IF(ISNUMBER(Z363),Z363*($AB$1/Z$2635),"")</f>
        <v/>
      </c>
      <c r="AF363" s="25">
        <f>IF(ISNUMBER(AD363+AE363),AD363+AE363,"")</f>
        <v/>
      </c>
      <c r="AH363" s="1">
        <f>A363</f>
        <v/>
      </c>
      <c r="AI363">
        <f>IF(ISNUMBER((1+V363)*AI362),(1+V363)*AI362,AI362)</f>
        <v/>
      </c>
      <c r="AJ363">
        <f>IF(ISNUMBER((1+Z363)*AJ362),(1+Z363)*AJ362,AJ362)</f>
        <v/>
      </c>
    </row>
    <row r="364">
      <c r="A364" s="1" t="n">
        <v>42530</v>
      </c>
      <c r="B364" s="3">
        <f>IF(ORIG!B364=0,"",ORIG!B364)</f>
        <v/>
      </c>
      <c r="C364" s="3">
        <f>IF(ORIG!C364=0,"",ORIG!C364)</f>
        <v/>
      </c>
      <c r="D364" s="3">
        <f>IF(ORIG!D364=0,"",ORIG!D364)</f>
        <v/>
      </c>
      <c r="E364" s="3">
        <f>IF(ORIG!E364=0,"",ORIG!E364)</f>
        <v/>
      </c>
      <c r="F364" s="3">
        <f>IF(ORIG!F364=0,"",ORIG!F364)</f>
        <v/>
      </c>
      <c r="G364" s="3">
        <f>IF(ORIG!G364=0,"",ORIG!G364)</f>
        <v/>
      </c>
      <c r="H364" s="3">
        <f>IF(ORIG!H364=0,"",ORIG!H364)</f>
        <v/>
      </c>
      <c r="I364" s="3">
        <f>IF(ORIG!I364=0,"",ORIG!I364)</f>
        <v/>
      </c>
      <c r="J364" s="3">
        <f>IF(ORIG!J364=0,"",ORIG!J364)</f>
        <v/>
      </c>
      <c r="K364" s="3">
        <f>IF(ORIG!K364=0,"",ORIG!K364)</f>
        <v/>
      </c>
      <c r="L364" s="3">
        <f>IF(ORIG!L364=0,"",ORIG!L364)</f>
        <v/>
      </c>
      <c r="M364" s="3">
        <f>IF(ORIG!M364=0,"",ORIG!M364)</f>
        <v/>
      </c>
      <c r="N364" s="3">
        <f>IF(ORIG!N364=0,"",ORIG!N364)</f>
        <v/>
      </c>
      <c r="O364" s="3">
        <f>IF(ORIG!O364=0,"",ORIG!O364)</f>
        <v/>
      </c>
      <c r="P364" s="3">
        <f>IF(ORIG!P364=0,"",ORIG!P364)</f>
        <v/>
      </c>
      <c r="Q364" s="3">
        <f>IF(ORIG!Q364=0,"",ORIG!Q364)</f>
        <v/>
      </c>
      <c r="R364" s="3">
        <f>IF(ORIG!R364=0,"",ORIG!R364)</f>
        <v/>
      </c>
      <c r="S364" s="3">
        <f>IF(ORIG!S364=0,"",ORIG!S364)</f>
        <v/>
      </c>
      <c r="T364" s="3">
        <f>IF(ORIG!T364=0,"",ORIG!T364)</f>
        <v/>
      </c>
      <c r="U364" s="3">
        <f>IF(ORIG!U364=0,"",ORIG!U364)</f>
        <v/>
      </c>
      <c r="V364" s="9">
        <f>IF(ORIG!V364=0,"",ORIG!V364)</f>
        <v/>
      </c>
      <c r="W364" s="9">
        <f>IF(ORIG!W364=0,"",ORIG!W364)</f>
        <v/>
      </c>
      <c r="X364" s="9">
        <f>IF(ORIG!X364=0,"",ORIG!X364)</f>
        <v/>
      </c>
      <c r="Y364" s="9">
        <f>IF(ORIG!Y364=0,"",ORIG!Y364)</f>
        <v/>
      </c>
      <c r="Z364" s="3">
        <f>SUMPRODUCT($B364:$Y364,$B$2649:$Y$2649)</f>
        <v/>
      </c>
      <c r="AA364" s="3">
        <f>SUMPRODUCT($B364:$Y364,$B$2655:$Y$2655)</f>
        <v/>
      </c>
      <c r="AC364" s="1">
        <f>A364</f>
        <v/>
      </c>
      <c r="AD364">
        <f>IF(ISNUMBER(V364),V364*($AB$1/V$2635),"")</f>
        <v/>
      </c>
      <c r="AE364">
        <f>IF(ISNUMBER(Z364),Z364*($AB$1/Z$2635),"")</f>
        <v/>
      </c>
      <c r="AF364" s="25">
        <f>IF(ISNUMBER(AD364+AE364),AD364+AE364,"")</f>
        <v/>
      </c>
      <c r="AH364" s="1">
        <f>A364</f>
        <v/>
      </c>
      <c r="AI364">
        <f>IF(ISNUMBER((1+V364)*AI363),(1+V364)*AI363,AI363)</f>
        <v/>
      </c>
      <c r="AJ364">
        <f>IF(ISNUMBER((1+Z364)*AJ363),(1+Z364)*AJ363,AJ363)</f>
        <v/>
      </c>
    </row>
    <row r="365">
      <c r="A365" s="1" t="n">
        <v>42531</v>
      </c>
      <c r="B365" s="3">
        <f>IF(ORIG!B365=0,"",ORIG!B365)</f>
        <v/>
      </c>
      <c r="C365" s="3">
        <f>IF(ORIG!C365=0,"",ORIG!C365)</f>
        <v/>
      </c>
      <c r="D365" s="3">
        <f>IF(ORIG!D365=0,"",ORIG!D365)</f>
        <v/>
      </c>
      <c r="E365" s="3">
        <f>IF(ORIG!E365=0,"",ORIG!E365)</f>
        <v/>
      </c>
      <c r="F365" s="3">
        <f>IF(ORIG!F365=0,"",ORIG!F365)</f>
        <v/>
      </c>
      <c r="G365" s="3">
        <f>IF(ORIG!G365=0,"",ORIG!G365)</f>
        <v/>
      </c>
      <c r="H365" s="3">
        <f>IF(ORIG!H365=0,"",ORIG!H365)</f>
        <v/>
      </c>
      <c r="I365" s="3">
        <f>IF(ORIG!I365=0,"",ORIG!I365)</f>
        <v/>
      </c>
      <c r="J365" s="3">
        <f>IF(ORIG!J365=0,"",ORIG!J365)</f>
        <v/>
      </c>
      <c r="K365" s="3">
        <f>IF(ORIG!K365=0,"",ORIG!K365)</f>
        <v/>
      </c>
      <c r="L365" s="3">
        <f>IF(ORIG!L365=0,"",ORIG!L365)</f>
        <v/>
      </c>
      <c r="M365" s="3">
        <f>IF(ORIG!M365=0,"",ORIG!M365)</f>
        <v/>
      </c>
      <c r="N365" s="3">
        <f>IF(ORIG!N365=0,"",ORIG!N365)</f>
        <v/>
      </c>
      <c r="O365" s="3">
        <f>IF(ORIG!O365=0,"",ORIG!O365)</f>
        <v/>
      </c>
      <c r="P365" s="3">
        <f>IF(ORIG!P365=0,"",ORIG!P365)</f>
        <v/>
      </c>
      <c r="Q365" s="3">
        <f>IF(ORIG!Q365=0,"",ORIG!Q365)</f>
        <v/>
      </c>
      <c r="R365" s="3">
        <f>IF(ORIG!R365=0,"",ORIG!R365)</f>
        <v/>
      </c>
      <c r="S365" s="3">
        <f>IF(ORIG!S365=0,"",ORIG!S365)</f>
        <v/>
      </c>
      <c r="T365" s="3">
        <f>IF(ORIG!T365=0,"",ORIG!T365)</f>
        <v/>
      </c>
      <c r="U365" s="3">
        <f>IF(ORIG!U365=0,"",ORIG!U365)</f>
        <v/>
      </c>
      <c r="V365" s="9">
        <f>IF(ORIG!V365=0,"",ORIG!V365)</f>
        <v/>
      </c>
      <c r="W365" s="9">
        <f>IF(ORIG!W365=0,"",ORIG!W365)</f>
        <v/>
      </c>
      <c r="X365" s="9">
        <f>IF(ORIG!X365=0,"",ORIG!X365)</f>
        <v/>
      </c>
      <c r="Y365" s="9">
        <f>IF(ORIG!Y365=0,"",ORIG!Y365)</f>
        <v/>
      </c>
      <c r="Z365" s="3">
        <f>SUMPRODUCT($B365:$Y365,$B$2649:$Y$2649)</f>
        <v/>
      </c>
      <c r="AA365" s="3">
        <f>SUMPRODUCT($B365:$Y365,$B$2655:$Y$2655)</f>
        <v/>
      </c>
      <c r="AC365" s="1">
        <f>A365</f>
        <v/>
      </c>
      <c r="AD365">
        <f>IF(ISNUMBER(V365),V365*($AB$1/V$2635),"")</f>
        <v/>
      </c>
      <c r="AE365">
        <f>IF(ISNUMBER(Z365),Z365*($AB$1/Z$2635),"")</f>
        <v/>
      </c>
      <c r="AF365" s="25">
        <f>IF(ISNUMBER(AD365+AE365),AD365+AE365,"")</f>
        <v/>
      </c>
      <c r="AH365" s="1">
        <f>A365</f>
        <v/>
      </c>
      <c r="AI365">
        <f>IF(ISNUMBER((1+V365)*AI364),(1+V365)*AI364,AI364)</f>
        <v/>
      </c>
      <c r="AJ365">
        <f>IF(ISNUMBER((1+Z365)*AJ364),(1+Z365)*AJ364,AJ364)</f>
        <v/>
      </c>
    </row>
    <row r="366">
      <c r="A366" s="1" t="n">
        <v>42534</v>
      </c>
      <c r="B366" s="3">
        <f>IF(ORIG!B366=0,"",ORIG!B366)</f>
        <v/>
      </c>
      <c r="C366" s="3">
        <f>IF(ORIG!C366=0,"",ORIG!C366)</f>
        <v/>
      </c>
      <c r="D366" s="3">
        <f>IF(ORIG!D366=0,"",ORIG!D366)</f>
        <v/>
      </c>
      <c r="E366" s="3">
        <f>IF(ORIG!E366=0,"",ORIG!E366)</f>
        <v/>
      </c>
      <c r="F366" s="3">
        <f>IF(ORIG!F366=0,"",ORIG!F366)</f>
        <v/>
      </c>
      <c r="G366" s="3">
        <f>IF(ORIG!G366=0,"",ORIG!G366)</f>
        <v/>
      </c>
      <c r="H366" s="3">
        <f>IF(ORIG!H366=0,"",ORIG!H366)</f>
        <v/>
      </c>
      <c r="I366" s="3">
        <f>IF(ORIG!I366=0,"",ORIG!I366)</f>
        <v/>
      </c>
      <c r="J366" s="3">
        <f>IF(ORIG!J366=0,"",ORIG!J366)</f>
        <v/>
      </c>
      <c r="K366" s="3">
        <f>IF(ORIG!K366=0,"",ORIG!K366)</f>
        <v/>
      </c>
      <c r="L366" s="3">
        <f>IF(ORIG!L366=0,"",ORIG!L366)</f>
        <v/>
      </c>
      <c r="M366" s="3">
        <f>IF(ORIG!M366=0,"",ORIG!M366)</f>
        <v/>
      </c>
      <c r="N366" s="3">
        <f>IF(ORIG!N366=0,"",ORIG!N366)</f>
        <v/>
      </c>
      <c r="O366" s="3">
        <f>IF(ORIG!O366=0,"",ORIG!O366)</f>
        <v/>
      </c>
      <c r="P366" s="3">
        <f>IF(ORIG!P366=0,"",ORIG!P366)</f>
        <v/>
      </c>
      <c r="Q366" s="3">
        <f>IF(ORIG!Q366=0,"",ORIG!Q366)</f>
        <v/>
      </c>
      <c r="R366" s="3">
        <f>IF(ORIG!R366=0,"",ORIG!R366)</f>
        <v/>
      </c>
      <c r="S366" s="3">
        <f>IF(ORIG!S366=0,"",ORIG!S366)</f>
        <v/>
      </c>
      <c r="T366" s="3">
        <f>IF(ORIG!T366=0,"",ORIG!T366)</f>
        <v/>
      </c>
      <c r="U366" s="3">
        <f>IF(ORIG!U366=0,"",ORIG!U366)</f>
        <v/>
      </c>
      <c r="V366" s="9">
        <f>IF(ORIG!V366=0,"",ORIG!V366)</f>
        <v/>
      </c>
      <c r="W366" s="9">
        <f>IF(ORIG!W366=0,"",ORIG!W366)</f>
        <v/>
      </c>
      <c r="X366" s="9">
        <f>IF(ORIG!X366=0,"",ORIG!X366)</f>
        <v/>
      </c>
      <c r="Y366" s="9">
        <f>IF(ORIG!Y366=0,"",ORIG!Y366)</f>
        <v/>
      </c>
      <c r="Z366" s="3">
        <f>SUMPRODUCT($B366:$Y366,$B$2649:$Y$2649)</f>
        <v/>
      </c>
      <c r="AA366" s="3">
        <f>SUMPRODUCT($B366:$Y366,$B$2655:$Y$2655)</f>
        <v/>
      </c>
      <c r="AC366" s="1">
        <f>A366</f>
        <v/>
      </c>
      <c r="AD366">
        <f>IF(ISNUMBER(V366),V366*($AB$1/V$2635),"")</f>
        <v/>
      </c>
      <c r="AE366">
        <f>IF(ISNUMBER(Z366),Z366*($AB$1/Z$2635),"")</f>
        <v/>
      </c>
      <c r="AF366" s="25">
        <f>IF(ISNUMBER(AD366+AE366),AD366+AE366,"")</f>
        <v/>
      </c>
      <c r="AH366" s="1">
        <f>A366</f>
        <v/>
      </c>
      <c r="AI366">
        <f>IF(ISNUMBER((1+V366)*AI365),(1+V366)*AI365,AI365)</f>
        <v/>
      </c>
      <c r="AJ366">
        <f>IF(ISNUMBER((1+Z366)*AJ365),(1+Z366)*AJ365,AJ365)</f>
        <v/>
      </c>
    </row>
    <row r="367">
      <c r="A367" s="1" t="n">
        <v>42535</v>
      </c>
      <c r="B367" s="3">
        <f>IF(ORIG!B367=0,"",ORIG!B367)</f>
        <v/>
      </c>
      <c r="C367" s="3">
        <f>IF(ORIG!C367=0,"",ORIG!C367)</f>
        <v/>
      </c>
      <c r="D367" s="3">
        <f>IF(ORIG!D367=0,"",ORIG!D367)</f>
        <v/>
      </c>
      <c r="E367" s="3">
        <f>IF(ORIG!E367=0,"",ORIG!E367)</f>
        <v/>
      </c>
      <c r="F367" s="3">
        <f>IF(ORIG!F367=0,"",ORIG!F367)</f>
        <v/>
      </c>
      <c r="G367" s="3">
        <f>IF(ORIG!G367=0,"",ORIG!G367)</f>
        <v/>
      </c>
      <c r="H367" s="3">
        <f>IF(ORIG!H367=0,"",ORIG!H367)</f>
        <v/>
      </c>
      <c r="I367" s="3">
        <f>IF(ORIG!I367=0,"",ORIG!I367)</f>
        <v/>
      </c>
      <c r="J367" s="3">
        <f>IF(ORIG!J367=0,"",ORIG!J367)</f>
        <v/>
      </c>
      <c r="K367" s="3">
        <f>IF(ORIG!K367=0,"",ORIG!K367)</f>
        <v/>
      </c>
      <c r="L367" s="3">
        <f>IF(ORIG!L367=0,"",ORIG!L367)</f>
        <v/>
      </c>
      <c r="M367" s="3">
        <f>IF(ORIG!M367=0,"",ORIG!M367)</f>
        <v/>
      </c>
      <c r="N367" s="3">
        <f>IF(ORIG!N367=0,"",ORIG!N367)</f>
        <v/>
      </c>
      <c r="O367" s="3">
        <f>IF(ORIG!O367=0,"",ORIG!O367)</f>
        <v/>
      </c>
      <c r="P367" s="3">
        <f>IF(ORIG!P367=0,"",ORIG!P367)</f>
        <v/>
      </c>
      <c r="Q367" s="3">
        <f>IF(ORIG!Q367=0,"",ORIG!Q367)</f>
        <v/>
      </c>
      <c r="R367" s="3">
        <f>IF(ORIG!R367=0,"",ORIG!R367)</f>
        <v/>
      </c>
      <c r="S367" s="3">
        <f>IF(ORIG!S367=0,"",ORIG!S367)</f>
        <v/>
      </c>
      <c r="T367" s="3">
        <f>IF(ORIG!T367=0,"",ORIG!T367)</f>
        <v/>
      </c>
      <c r="U367" s="3">
        <f>IF(ORIG!U367=0,"",ORIG!U367)</f>
        <v/>
      </c>
      <c r="V367" s="9">
        <f>IF(ORIG!V367=0,"",ORIG!V367)</f>
        <v/>
      </c>
      <c r="W367" s="9">
        <f>IF(ORIG!W367=0,"",ORIG!W367)</f>
        <v/>
      </c>
      <c r="X367" s="9">
        <f>IF(ORIG!X367=0,"",ORIG!X367)</f>
        <v/>
      </c>
      <c r="Y367" s="9">
        <f>IF(ORIG!Y367=0,"",ORIG!Y367)</f>
        <v/>
      </c>
      <c r="Z367" s="3">
        <f>SUMPRODUCT($B367:$Y367,$B$2649:$Y$2649)</f>
        <v/>
      </c>
      <c r="AA367" s="3">
        <f>SUMPRODUCT($B367:$Y367,$B$2655:$Y$2655)</f>
        <v/>
      </c>
      <c r="AC367" s="1">
        <f>A367</f>
        <v/>
      </c>
      <c r="AD367">
        <f>IF(ISNUMBER(V367),V367*($AB$1/V$2635),"")</f>
        <v/>
      </c>
      <c r="AE367">
        <f>IF(ISNUMBER(Z367),Z367*($AB$1/Z$2635),"")</f>
        <v/>
      </c>
      <c r="AF367" s="25">
        <f>IF(ISNUMBER(AD367+AE367),AD367+AE367,"")</f>
        <v/>
      </c>
      <c r="AH367" s="1">
        <f>A367</f>
        <v/>
      </c>
      <c r="AI367">
        <f>IF(ISNUMBER((1+V367)*AI366),(1+V367)*AI366,AI366)</f>
        <v/>
      </c>
      <c r="AJ367">
        <f>IF(ISNUMBER((1+Z367)*AJ366),(1+Z367)*AJ366,AJ366)</f>
        <v/>
      </c>
    </row>
    <row r="368">
      <c r="A368" s="1" t="n">
        <v>42536</v>
      </c>
      <c r="B368" s="3">
        <f>IF(ORIG!B368=0,"",ORIG!B368)</f>
        <v/>
      </c>
      <c r="C368" s="3">
        <f>IF(ORIG!C368=0,"",ORIG!C368)</f>
        <v/>
      </c>
      <c r="D368" s="3">
        <f>IF(ORIG!D368=0,"",ORIG!D368)</f>
        <v/>
      </c>
      <c r="E368" s="3">
        <f>IF(ORIG!E368=0,"",ORIG!E368)</f>
        <v/>
      </c>
      <c r="F368" s="3">
        <f>IF(ORIG!F368=0,"",ORIG!F368)</f>
        <v/>
      </c>
      <c r="G368" s="3">
        <f>IF(ORIG!G368=0,"",ORIG!G368)</f>
        <v/>
      </c>
      <c r="H368" s="3">
        <f>IF(ORIG!H368=0,"",ORIG!H368)</f>
        <v/>
      </c>
      <c r="I368" s="3">
        <f>IF(ORIG!I368=0,"",ORIG!I368)</f>
        <v/>
      </c>
      <c r="J368" s="3">
        <f>IF(ORIG!J368=0,"",ORIG!J368)</f>
        <v/>
      </c>
      <c r="K368" s="3">
        <f>IF(ORIG!K368=0,"",ORIG!K368)</f>
        <v/>
      </c>
      <c r="L368" s="3">
        <f>IF(ORIG!L368=0,"",ORIG!L368)</f>
        <v/>
      </c>
      <c r="M368" s="3">
        <f>IF(ORIG!M368=0,"",ORIG!M368)</f>
        <v/>
      </c>
      <c r="N368" s="3">
        <f>IF(ORIG!N368=0,"",ORIG!N368)</f>
        <v/>
      </c>
      <c r="O368" s="3">
        <f>IF(ORIG!O368=0,"",ORIG!O368)</f>
        <v/>
      </c>
      <c r="P368" s="3">
        <f>IF(ORIG!P368=0,"",ORIG!P368)</f>
        <v/>
      </c>
      <c r="Q368" s="3">
        <f>IF(ORIG!Q368=0,"",ORIG!Q368)</f>
        <v/>
      </c>
      <c r="R368" s="3">
        <f>IF(ORIG!R368=0,"",ORIG!R368)</f>
        <v/>
      </c>
      <c r="S368" s="3">
        <f>IF(ORIG!S368=0,"",ORIG!S368)</f>
        <v/>
      </c>
      <c r="T368" s="3">
        <f>IF(ORIG!T368=0,"",ORIG!T368)</f>
        <v/>
      </c>
      <c r="U368" s="3">
        <f>IF(ORIG!U368=0,"",ORIG!U368)</f>
        <v/>
      </c>
      <c r="V368" s="9">
        <f>IF(ORIG!V368=0,"",ORIG!V368)</f>
        <v/>
      </c>
      <c r="W368" s="9">
        <f>IF(ORIG!W368=0,"",ORIG!W368)</f>
        <v/>
      </c>
      <c r="X368" s="9">
        <f>IF(ORIG!X368=0,"",ORIG!X368)</f>
        <v/>
      </c>
      <c r="Y368" s="9">
        <f>IF(ORIG!Y368=0,"",ORIG!Y368)</f>
        <v/>
      </c>
      <c r="Z368" s="3">
        <f>SUMPRODUCT($B368:$Y368,$B$2649:$Y$2649)</f>
        <v/>
      </c>
      <c r="AA368" s="3">
        <f>SUMPRODUCT($B368:$Y368,$B$2655:$Y$2655)</f>
        <v/>
      </c>
      <c r="AC368" s="1">
        <f>A368</f>
        <v/>
      </c>
      <c r="AD368">
        <f>IF(ISNUMBER(V368),V368*($AB$1/V$2635),"")</f>
        <v/>
      </c>
      <c r="AE368">
        <f>IF(ISNUMBER(Z368),Z368*($AB$1/Z$2635),"")</f>
        <v/>
      </c>
      <c r="AF368" s="25">
        <f>IF(ISNUMBER(AD368+AE368),AD368+AE368,"")</f>
        <v/>
      </c>
      <c r="AH368" s="1">
        <f>A368</f>
        <v/>
      </c>
      <c r="AI368">
        <f>IF(ISNUMBER((1+V368)*AI367),(1+V368)*AI367,AI367)</f>
        <v/>
      </c>
      <c r="AJ368">
        <f>IF(ISNUMBER((1+Z368)*AJ367),(1+Z368)*AJ367,AJ367)</f>
        <v/>
      </c>
    </row>
    <row r="369">
      <c r="A369" s="1" t="n">
        <v>42537</v>
      </c>
      <c r="B369" s="3">
        <f>IF(ORIG!B369=0,"",ORIG!B369)</f>
        <v/>
      </c>
      <c r="C369" s="3">
        <f>IF(ORIG!C369=0,"",ORIG!C369)</f>
        <v/>
      </c>
      <c r="D369" s="3">
        <f>IF(ORIG!D369=0,"",ORIG!D369)</f>
        <v/>
      </c>
      <c r="E369" s="3">
        <f>IF(ORIG!E369=0,"",ORIG!E369)</f>
        <v/>
      </c>
      <c r="F369" s="3">
        <f>IF(ORIG!F369=0,"",ORIG!F369)</f>
        <v/>
      </c>
      <c r="G369" s="3">
        <f>IF(ORIG!G369=0,"",ORIG!G369)</f>
        <v/>
      </c>
      <c r="H369" s="3">
        <f>IF(ORIG!H369=0,"",ORIG!H369)</f>
        <v/>
      </c>
      <c r="I369" s="3">
        <f>IF(ORIG!I369=0,"",ORIG!I369)</f>
        <v/>
      </c>
      <c r="J369" s="3">
        <f>IF(ORIG!J369=0,"",ORIG!J369)</f>
        <v/>
      </c>
      <c r="K369" s="3">
        <f>IF(ORIG!K369=0,"",ORIG!K369)</f>
        <v/>
      </c>
      <c r="L369" s="3">
        <f>IF(ORIG!L369=0,"",ORIG!L369)</f>
        <v/>
      </c>
      <c r="M369" s="3">
        <f>IF(ORIG!M369=0,"",ORIG!M369)</f>
        <v/>
      </c>
      <c r="N369" s="3">
        <f>IF(ORIG!N369=0,"",ORIG!N369)</f>
        <v/>
      </c>
      <c r="O369" s="3">
        <f>IF(ORIG!O369=0,"",ORIG!O369)</f>
        <v/>
      </c>
      <c r="P369" s="3">
        <f>IF(ORIG!P369=0,"",ORIG!P369)</f>
        <v/>
      </c>
      <c r="Q369" s="3">
        <f>IF(ORIG!Q369=0,"",ORIG!Q369)</f>
        <v/>
      </c>
      <c r="R369" s="3">
        <f>IF(ORIG!R369=0,"",ORIG!R369)</f>
        <v/>
      </c>
      <c r="S369" s="3">
        <f>IF(ORIG!S369=0,"",ORIG!S369)</f>
        <v/>
      </c>
      <c r="T369" s="3">
        <f>IF(ORIG!T369=0,"",ORIG!T369)</f>
        <v/>
      </c>
      <c r="U369" s="3">
        <f>IF(ORIG!U369=0,"",ORIG!U369)</f>
        <v/>
      </c>
      <c r="V369" s="9">
        <f>IF(ORIG!V369=0,"",ORIG!V369)</f>
        <v/>
      </c>
      <c r="W369" s="9">
        <f>IF(ORIG!W369=0,"",ORIG!W369)</f>
        <v/>
      </c>
      <c r="X369" s="9">
        <f>IF(ORIG!X369=0,"",ORIG!X369)</f>
        <v/>
      </c>
      <c r="Y369" s="9">
        <f>IF(ORIG!Y369=0,"",ORIG!Y369)</f>
        <v/>
      </c>
      <c r="Z369" s="3">
        <f>SUMPRODUCT($B369:$Y369,$B$2649:$Y$2649)</f>
        <v/>
      </c>
      <c r="AA369" s="3">
        <f>SUMPRODUCT($B369:$Y369,$B$2655:$Y$2655)</f>
        <v/>
      </c>
      <c r="AC369" s="1">
        <f>A369</f>
        <v/>
      </c>
      <c r="AD369">
        <f>IF(ISNUMBER(V369),V369*($AB$1/V$2635),"")</f>
        <v/>
      </c>
      <c r="AE369">
        <f>IF(ISNUMBER(Z369),Z369*($AB$1/Z$2635),"")</f>
        <v/>
      </c>
      <c r="AF369" s="25">
        <f>IF(ISNUMBER(AD369+AE369),AD369+AE369,"")</f>
        <v/>
      </c>
      <c r="AH369" s="1">
        <f>A369</f>
        <v/>
      </c>
      <c r="AI369">
        <f>IF(ISNUMBER((1+V369)*AI368),(1+V369)*AI368,AI368)</f>
        <v/>
      </c>
      <c r="AJ369">
        <f>IF(ISNUMBER((1+Z369)*AJ368),(1+Z369)*AJ368,AJ368)</f>
        <v/>
      </c>
    </row>
    <row r="370">
      <c r="A370" s="1" t="n">
        <v>42538</v>
      </c>
      <c r="B370" s="3">
        <f>IF(ORIG!B370=0,"",ORIG!B370)</f>
        <v/>
      </c>
      <c r="C370" s="3">
        <f>IF(ORIG!C370=0,"",ORIG!C370)</f>
        <v/>
      </c>
      <c r="D370" s="3">
        <f>IF(ORIG!D370=0,"",ORIG!D370)</f>
        <v/>
      </c>
      <c r="E370" s="3">
        <f>IF(ORIG!E370=0,"",ORIG!E370)</f>
        <v/>
      </c>
      <c r="F370" s="3">
        <f>IF(ORIG!F370=0,"",ORIG!F370)</f>
        <v/>
      </c>
      <c r="G370" s="3">
        <f>IF(ORIG!G370=0,"",ORIG!G370)</f>
        <v/>
      </c>
      <c r="H370" s="3">
        <f>IF(ORIG!H370=0,"",ORIG!H370)</f>
        <v/>
      </c>
      <c r="I370" s="3">
        <f>IF(ORIG!I370=0,"",ORIG!I370)</f>
        <v/>
      </c>
      <c r="J370" s="3">
        <f>IF(ORIG!J370=0,"",ORIG!J370)</f>
        <v/>
      </c>
      <c r="K370" s="3">
        <f>IF(ORIG!K370=0,"",ORIG!K370)</f>
        <v/>
      </c>
      <c r="L370" s="3">
        <f>IF(ORIG!L370=0,"",ORIG!L370)</f>
        <v/>
      </c>
      <c r="M370" s="3">
        <f>IF(ORIG!M370=0,"",ORIG!M370)</f>
        <v/>
      </c>
      <c r="N370" s="3">
        <f>IF(ORIG!N370=0,"",ORIG!N370)</f>
        <v/>
      </c>
      <c r="O370" s="3">
        <f>IF(ORIG!O370=0,"",ORIG!O370)</f>
        <v/>
      </c>
      <c r="P370" s="3">
        <f>IF(ORIG!P370=0,"",ORIG!P370)</f>
        <v/>
      </c>
      <c r="Q370" s="3">
        <f>IF(ORIG!Q370=0,"",ORIG!Q370)</f>
        <v/>
      </c>
      <c r="R370" s="3">
        <f>IF(ORIG!R370=0,"",ORIG!R370)</f>
        <v/>
      </c>
      <c r="S370" s="3">
        <f>IF(ORIG!S370=0,"",ORIG!S370)</f>
        <v/>
      </c>
      <c r="T370" s="3">
        <f>IF(ORIG!T370=0,"",ORIG!T370)</f>
        <v/>
      </c>
      <c r="U370" s="3">
        <f>IF(ORIG!U370=0,"",ORIG!U370)</f>
        <v/>
      </c>
      <c r="V370" s="9">
        <f>IF(ORIG!V370=0,"",ORIG!V370)</f>
        <v/>
      </c>
      <c r="W370" s="9">
        <f>IF(ORIG!W370=0,"",ORIG!W370)</f>
        <v/>
      </c>
      <c r="X370" s="9">
        <f>IF(ORIG!X370=0,"",ORIG!X370)</f>
        <v/>
      </c>
      <c r="Y370" s="9">
        <f>IF(ORIG!Y370=0,"",ORIG!Y370)</f>
        <v/>
      </c>
      <c r="Z370" s="3">
        <f>SUMPRODUCT($B370:$Y370,$B$2649:$Y$2649)</f>
        <v/>
      </c>
      <c r="AA370" s="3">
        <f>SUMPRODUCT($B370:$Y370,$B$2655:$Y$2655)</f>
        <v/>
      </c>
      <c r="AC370" s="1">
        <f>A370</f>
        <v/>
      </c>
      <c r="AD370">
        <f>IF(ISNUMBER(V370),V370*($AB$1/V$2635),"")</f>
        <v/>
      </c>
      <c r="AE370">
        <f>IF(ISNUMBER(Z370),Z370*($AB$1/Z$2635),"")</f>
        <v/>
      </c>
      <c r="AF370" s="25">
        <f>IF(ISNUMBER(AD370+AE370),AD370+AE370,"")</f>
        <v/>
      </c>
      <c r="AH370" s="1">
        <f>A370</f>
        <v/>
      </c>
      <c r="AI370">
        <f>IF(ISNUMBER((1+V370)*AI369),(1+V370)*AI369,AI369)</f>
        <v/>
      </c>
      <c r="AJ370">
        <f>IF(ISNUMBER((1+Z370)*AJ369),(1+Z370)*AJ369,AJ369)</f>
        <v/>
      </c>
    </row>
    <row r="371">
      <c r="A371" s="1" t="n">
        <v>42541</v>
      </c>
      <c r="B371" s="3">
        <f>IF(ORIG!B371=0,"",ORIG!B371)</f>
        <v/>
      </c>
      <c r="C371" s="3">
        <f>IF(ORIG!C371=0,"",ORIG!C371)</f>
        <v/>
      </c>
      <c r="D371" s="3">
        <f>IF(ORIG!D371=0,"",ORIG!D371)</f>
        <v/>
      </c>
      <c r="E371" s="3">
        <f>IF(ORIG!E371=0,"",ORIG!E371)</f>
        <v/>
      </c>
      <c r="F371" s="3">
        <f>IF(ORIG!F371=0,"",ORIG!F371)</f>
        <v/>
      </c>
      <c r="G371" s="3">
        <f>IF(ORIG!G371=0,"",ORIG!G371)</f>
        <v/>
      </c>
      <c r="H371" s="3">
        <f>IF(ORIG!H371=0,"",ORIG!H371)</f>
        <v/>
      </c>
      <c r="I371" s="3">
        <f>IF(ORIG!I371=0,"",ORIG!I371)</f>
        <v/>
      </c>
      <c r="J371" s="3">
        <f>IF(ORIG!J371=0,"",ORIG!J371)</f>
        <v/>
      </c>
      <c r="K371" s="3">
        <f>IF(ORIG!K371=0,"",ORIG!K371)</f>
        <v/>
      </c>
      <c r="L371" s="3">
        <f>IF(ORIG!L371=0,"",ORIG!L371)</f>
        <v/>
      </c>
      <c r="M371" s="3">
        <f>IF(ORIG!M371=0,"",ORIG!M371)</f>
        <v/>
      </c>
      <c r="N371" s="3">
        <f>IF(ORIG!N371=0,"",ORIG!N371)</f>
        <v/>
      </c>
      <c r="O371" s="3">
        <f>IF(ORIG!O371=0,"",ORIG!O371)</f>
        <v/>
      </c>
      <c r="P371" s="3">
        <f>IF(ORIG!P371=0,"",ORIG!P371)</f>
        <v/>
      </c>
      <c r="Q371" s="3">
        <f>IF(ORIG!Q371=0,"",ORIG!Q371)</f>
        <v/>
      </c>
      <c r="R371" s="3">
        <f>IF(ORIG!R371=0,"",ORIG!R371)</f>
        <v/>
      </c>
      <c r="S371" s="3">
        <f>IF(ORIG!S371=0,"",ORIG!S371)</f>
        <v/>
      </c>
      <c r="T371" s="3">
        <f>IF(ORIG!T371=0,"",ORIG!T371)</f>
        <v/>
      </c>
      <c r="U371" s="3">
        <f>IF(ORIG!U371=0,"",ORIG!U371)</f>
        <v/>
      </c>
      <c r="V371" s="9">
        <f>IF(ORIG!V371=0,"",ORIG!V371)</f>
        <v/>
      </c>
      <c r="W371" s="9">
        <f>IF(ORIG!W371=0,"",ORIG!W371)</f>
        <v/>
      </c>
      <c r="X371" s="9">
        <f>IF(ORIG!X371=0,"",ORIG!X371)</f>
        <v/>
      </c>
      <c r="Y371" s="9">
        <f>IF(ORIG!Y371=0,"",ORIG!Y371)</f>
        <v/>
      </c>
      <c r="Z371" s="3">
        <f>SUMPRODUCT($B371:$Y371,$B$2649:$Y$2649)</f>
        <v/>
      </c>
      <c r="AA371" s="3">
        <f>SUMPRODUCT($B371:$Y371,$B$2655:$Y$2655)</f>
        <v/>
      </c>
      <c r="AC371" s="1">
        <f>A371</f>
        <v/>
      </c>
      <c r="AD371">
        <f>IF(ISNUMBER(V371),V371*($AB$1/V$2635),"")</f>
        <v/>
      </c>
      <c r="AE371">
        <f>IF(ISNUMBER(Z371),Z371*($AB$1/Z$2635),"")</f>
        <v/>
      </c>
      <c r="AF371" s="25">
        <f>IF(ISNUMBER(AD371+AE371),AD371+AE371,"")</f>
        <v/>
      </c>
      <c r="AH371" s="1">
        <f>A371</f>
        <v/>
      </c>
      <c r="AI371">
        <f>IF(ISNUMBER((1+V371)*AI370),(1+V371)*AI370,AI370)</f>
        <v/>
      </c>
      <c r="AJ371">
        <f>IF(ISNUMBER((1+Z371)*AJ370),(1+Z371)*AJ370,AJ370)</f>
        <v/>
      </c>
    </row>
    <row r="372">
      <c r="A372" s="1" t="n">
        <v>42542</v>
      </c>
      <c r="B372" s="3">
        <f>IF(ORIG!B372=0,"",ORIG!B372)</f>
        <v/>
      </c>
      <c r="C372" s="3">
        <f>IF(ORIG!C372=0,"",ORIG!C372)</f>
        <v/>
      </c>
      <c r="D372" s="3">
        <f>IF(ORIG!D372=0,"",ORIG!D372)</f>
        <v/>
      </c>
      <c r="E372" s="3">
        <f>IF(ORIG!E372=0,"",ORIG!E372)</f>
        <v/>
      </c>
      <c r="F372" s="3">
        <f>IF(ORIG!F372=0,"",ORIG!F372)</f>
        <v/>
      </c>
      <c r="G372" s="3">
        <f>IF(ORIG!G372=0,"",ORIG!G372)</f>
        <v/>
      </c>
      <c r="H372" s="3">
        <f>IF(ORIG!H372=0,"",ORIG!H372)</f>
        <v/>
      </c>
      <c r="I372" s="3">
        <f>IF(ORIG!I372=0,"",ORIG!I372)</f>
        <v/>
      </c>
      <c r="J372" s="3">
        <f>IF(ORIG!J372=0,"",ORIG!J372)</f>
        <v/>
      </c>
      <c r="K372" s="3">
        <f>IF(ORIG!K372=0,"",ORIG!K372)</f>
        <v/>
      </c>
      <c r="L372" s="3">
        <f>IF(ORIG!L372=0,"",ORIG!L372)</f>
        <v/>
      </c>
      <c r="M372" s="3">
        <f>IF(ORIG!M372=0,"",ORIG!M372)</f>
        <v/>
      </c>
      <c r="N372" s="3">
        <f>IF(ORIG!N372=0,"",ORIG!N372)</f>
        <v/>
      </c>
      <c r="O372" s="3">
        <f>IF(ORIG!O372=0,"",ORIG!O372)</f>
        <v/>
      </c>
      <c r="P372" s="3">
        <f>IF(ORIG!P372=0,"",ORIG!P372)</f>
        <v/>
      </c>
      <c r="Q372" s="3">
        <f>IF(ORIG!Q372=0,"",ORIG!Q372)</f>
        <v/>
      </c>
      <c r="R372" s="3">
        <f>IF(ORIG!R372=0,"",ORIG!R372)</f>
        <v/>
      </c>
      <c r="S372" s="3">
        <f>IF(ORIG!S372=0,"",ORIG!S372)</f>
        <v/>
      </c>
      <c r="T372" s="3">
        <f>IF(ORIG!T372=0,"",ORIG!T372)</f>
        <v/>
      </c>
      <c r="U372" s="3">
        <f>IF(ORIG!U372=0,"",ORIG!U372)</f>
        <v/>
      </c>
      <c r="V372" s="9">
        <f>IF(ORIG!V372=0,"",ORIG!V372)</f>
        <v/>
      </c>
      <c r="W372" s="9">
        <f>IF(ORIG!W372=0,"",ORIG!W372)</f>
        <v/>
      </c>
      <c r="X372" s="9">
        <f>IF(ORIG!X372=0,"",ORIG!X372)</f>
        <v/>
      </c>
      <c r="Y372" s="9">
        <f>IF(ORIG!Y372=0,"",ORIG!Y372)</f>
        <v/>
      </c>
      <c r="Z372" s="3">
        <f>SUMPRODUCT($B372:$Y372,$B$2649:$Y$2649)</f>
        <v/>
      </c>
      <c r="AA372" s="3">
        <f>SUMPRODUCT($B372:$Y372,$B$2655:$Y$2655)</f>
        <v/>
      </c>
      <c r="AC372" s="1">
        <f>A372</f>
        <v/>
      </c>
      <c r="AD372">
        <f>IF(ISNUMBER(V372),V372*($AB$1/V$2635),"")</f>
        <v/>
      </c>
      <c r="AE372">
        <f>IF(ISNUMBER(Z372),Z372*($AB$1/Z$2635),"")</f>
        <v/>
      </c>
      <c r="AF372" s="25">
        <f>IF(ISNUMBER(AD372+AE372),AD372+AE372,"")</f>
        <v/>
      </c>
      <c r="AH372" s="1">
        <f>A372</f>
        <v/>
      </c>
      <c r="AI372">
        <f>IF(ISNUMBER((1+V372)*AI371),(1+V372)*AI371,AI371)</f>
        <v/>
      </c>
      <c r="AJ372">
        <f>IF(ISNUMBER((1+Z372)*AJ371),(1+Z372)*AJ371,AJ371)</f>
        <v/>
      </c>
    </row>
    <row r="373">
      <c r="A373" s="1" t="n">
        <v>42543</v>
      </c>
      <c r="B373" s="3">
        <f>IF(ORIG!B373=0,"",ORIG!B373)</f>
        <v/>
      </c>
      <c r="C373" s="3">
        <f>IF(ORIG!C373=0,"",ORIG!C373)</f>
        <v/>
      </c>
      <c r="D373" s="3">
        <f>IF(ORIG!D373=0,"",ORIG!D373)</f>
        <v/>
      </c>
      <c r="E373" s="3">
        <f>IF(ORIG!E373=0,"",ORIG!E373)</f>
        <v/>
      </c>
      <c r="F373" s="3">
        <f>IF(ORIG!F373=0,"",ORIG!F373)</f>
        <v/>
      </c>
      <c r="G373" s="3">
        <f>IF(ORIG!G373=0,"",ORIG!G373)</f>
        <v/>
      </c>
      <c r="H373" s="3">
        <f>IF(ORIG!H373=0,"",ORIG!H373)</f>
        <v/>
      </c>
      <c r="I373" s="3">
        <f>IF(ORIG!I373=0,"",ORIG!I373)</f>
        <v/>
      </c>
      <c r="J373" s="3">
        <f>IF(ORIG!J373=0,"",ORIG!J373)</f>
        <v/>
      </c>
      <c r="K373" s="3">
        <f>IF(ORIG!K373=0,"",ORIG!K373)</f>
        <v/>
      </c>
      <c r="L373" s="3">
        <f>IF(ORIG!L373=0,"",ORIG!L373)</f>
        <v/>
      </c>
      <c r="M373" s="3">
        <f>IF(ORIG!M373=0,"",ORIG!M373)</f>
        <v/>
      </c>
      <c r="N373" s="3">
        <f>IF(ORIG!N373=0,"",ORIG!N373)</f>
        <v/>
      </c>
      <c r="O373" s="3">
        <f>IF(ORIG!O373=0,"",ORIG!O373)</f>
        <v/>
      </c>
      <c r="P373" s="3">
        <f>IF(ORIG!P373=0,"",ORIG!P373)</f>
        <v/>
      </c>
      <c r="Q373" s="3">
        <f>IF(ORIG!Q373=0,"",ORIG!Q373)</f>
        <v/>
      </c>
      <c r="R373" s="3">
        <f>IF(ORIG!R373=0,"",ORIG!R373)</f>
        <v/>
      </c>
      <c r="S373" s="3">
        <f>IF(ORIG!S373=0,"",ORIG!S373)</f>
        <v/>
      </c>
      <c r="T373" s="3">
        <f>IF(ORIG!T373=0,"",ORIG!T373)</f>
        <v/>
      </c>
      <c r="U373" s="3">
        <f>IF(ORIG!U373=0,"",ORIG!U373)</f>
        <v/>
      </c>
      <c r="V373" s="9">
        <f>IF(ORIG!V373=0,"",ORIG!V373)</f>
        <v/>
      </c>
      <c r="W373" s="9">
        <f>IF(ORIG!W373=0,"",ORIG!W373)</f>
        <v/>
      </c>
      <c r="X373" s="9">
        <f>IF(ORIG!X373=0,"",ORIG!X373)</f>
        <v/>
      </c>
      <c r="Y373" s="9">
        <f>IF(ORIG!Y373=0,"",ORIG!Y373)</f>
        <v/>
      </c>
      <c r="Z373" s="3">
        <f>SUMPRODUCT($B373:$Y373,$B$2649:$Y$2649)</f>
        <v/>
      </c>
      <c r="AA373" s="3">
        <f>SUMPRODUCT($B373:$Y373,$B$2655:$Y$2655)</f>
        <v/>
      </c>
      <c r="AC373" s="1">
        <f>A373</f>
        <v/>
      </c>
      <c r="AD373">
        <f>IF(ISNUMBER(V373),V373*($AB$1/V$2635),"")</f>
        <v/>
      </c>
      <c r="AE373">
        <f>IF(ISNUMBER(Z373),Z373*($AB$1/Z$2635),"")</f>
        <v/>
      </c>
      <c r="AF373" s="25">
        <f>IF(ISNUMBER(AD373+AE373),AD373+AE373,"")</f>
        <v/>
      </c>
      <c r="AH373" s="1">
        <f>A373</f>
        <v/>
      </c>
      <c r="AI373">
        <f>IF(ISNUMBER((1+V373)*AI372),(1+V373)*AI372,AI372)</f>
        <v/>
      </c>
      <c r="AJ373">
        <f>IF(ISNUMBER((1+Z373)*AJ372),(1+Z373)*AJ372,AJ372)</f>
        <v/>
      </c>
    </row>
    <row r="374">
      <c r="A374" s="1" t="n">
        <v>42544</v>
      </c>
      <c r="B374" s="3">
        <f>IF(ORIG!B374=0,"",ORIG!B374)</f>
        <v/>
      </c>
      <c r="C374" s="3">
        <f>IF(ORIG!C374=0,"",ORIG!C374)</f>
        <v/>
      </c>
      <c r="D374" s="3">
        <f>IF(ORIG!D374=0,"",ORIG!D374)</f>
        <v/>
      </c>
      <c r="E374" s="3">
        <f>IF(ORIG!E374=0,"",ORIG!E374)</f>
        <v/>
      </c>
      <c r="F374" s="3">
        <f>IF(ORIG!F374=0,"",ORIG!F374)</f>
        <v/>
      </c>
      <c r="G374" s="3">
        <f>IF(ORIG!G374=0,"",ORIG!G374)</f>
        <v/>
      </c>
      <c r="H374" s="3">
        <f>IF(ORIG!H374=0,"",ORIG!H374)</f>
        <v/>
      </c>
      <c r="I374" s="3">
        <f>IF(ORIG!I374=0,"",ORIG!I374)</f>
        <v/>
      </c>
      <c r="J374" s="3">
        <f>IF(ORIG!J374=0,"",ORIG!J374)</f>
        <v/>
      </c>
      <c r="K374" s="3">
        <f>IF(ORIG!K374=0,"",ORIG!K374)</f>
        <v/>
      </c>
      <c r="L374" s="3">
        <f>IF(ORIG!L374=0,"",ORIG!L374)</f>
        <v/>
      </c>
      <c r="M374" s="3">
        <f>IF(ORIG!M374=0,"",ORIG!M374)</f>
        <v/>
      </c>
      <c r="N374" s="3">
        <f>IF(ORIG!N374=0,"",ORIG!N374)</f>
        <v/>
      </c>
      <c r="O374" s="3">
        <f>IF(ORIG!O374=0,"",ORIG!O374)</f>
        <v/>
      </c>
      <c r="P374" s="3">
        <f>IF(ORIG!P374=0,"",ORIG!P374)</f>
        <v/>
      </c>
      <c r="Q374" s="3">
        <f>IF(ORIG!Q374=0,"",ORIG!Q374)</f>
        <v/>
      </c>
      <c r="R374" s="3">
        <f>IF(ORIG!R374=0,"",ORIG!R374)</f>
        <v/>
      </c>
      <c r="S374" s="3">
        <f>IF(ORIG!S374=0,"",ORIG!S374)</f>
        <v/>
      </c>
      <c r="T374" s="3">
        <f>IF(ORIG!T374=0,"",ORIG!T374)</f>
        <v/>
      </c>
      <c r="U374" s="3">
        <f>IF(ORIG!U374=0,"",ORIG!U374)</f>
        <v/>
      </c>
      <c r="V374" s="9">
        <f>IF(ORIG!V374=0,"",ORIG!V374)</f>
        <v/>
      </c>
      <c r="W374" s="9">
        <f>IF(ORIG!W374=0,"",ORIG!W374)</f>
        <v/>
      </c>
      <c r="X374" s="9">
        <f>IF(ORIG!X374=0,"",ORIG!X374)</f>
        <v/>
      </c>
      <c r="Y374" s="9">
        <f>IF(ORIG!Y374=0,"",ORIG!Y374)</f>
        <v/>
      </c>
      <c r="Z374" s="3">
        <f>SUMPRODUCT($B374:$Y374,$B$2649:$Y$2649)</f>
        <v/>
      </c>
      <c r="AA374" s="3">
        <f>SUMPRODUCT($B374:$Y374,$B$2655:$Y$2655)</f>
        <v/>
      </c>
      <c r="AC374" s="1">
        <f>A374</f>
        <v/>
      </c>
      <c r="AD374">
        <f>IF(ISNUMBER(V374),V374*($AB$1/V$2635),"")</f>
        <v/>
      </c>
      <c r="AE374">
        <f>IF(ISNUMBER(Z374),Z374*($AB$1/Z$2635),"")</f>
        <v/>
      </c>
      <c r="AF374" s="25">
        <f>IF(ISNUMBER(AD374+AE374),AD374+AE374,"")</f>
        <v/>
      </c>
      <c r="AH374" s="1">
        <f>A374</f>
        <v/>
      </c>
      <c r="AI374">
        <f>IF(ISNUMBER((1+V374)*AI373),(1+V374)*AI373,AI373)</f>
        <v/>
      </c>
      <c r="AJ374">
        <f>IF(ISNUMBER((1+Z374)*AJ373),(1+Z374)*AJ373,AJ373)</f>
        <v/>
      </c>
    </row>
    <row r="375">
      <c r="A375" s="1" t="n">
        <v>42545</v>
      </c>
      <c r="B375" s="3">
        <f>IF(ORIG!B375=0,"",ORIG!B375)</f>
        <v/>
      </c>
      <c r="C375" s="3">
        <f>IF(ORIG!C375=0,"",ORIG!C375)</f>
        <v/>
      </c>
      <c r="D375" s="3">
        <f>IF(ORIG!D375=0,"",ORIG!D375)</f>
        <v/>
      </c>
      <c r="E375" s="3">
        <f>IF(ORIG!E375=0,"",ORIG!E375)</f>
        <v/>
      </c>
      <c r="F375" s="3">
        <f>IF(ORIG!F375=0,"",ORIG!F375)</f>
        <v/>
      </c>
      <c r="G375" s="3">
        <f>IF(ORIG!G375=0,"",ORIG!G375)</f>
        <v/>
      </c>
      <c r="H375" s="3">
        <f>IF(ORIG!H375=0,"",ORIG!H375)</f>
        <v/>
      </c>
      <c r="I375" s="3">
        <f>IF(ORIG!I375=0,"",ORIG!I375)</f>
        <v/>
      </c>
      <c r="J375" s="3">
        <f>IF(ORIG!J375=0,"",ORIG!J375)</f>
        <v/>
      </c>
      <c r="K375" s="3">
        <f>IF(ORIG!K375=0,"",ORIG!K375)</f>
        <v/>
      </c>
      <c r="L375" s="3">
        <f>IF(ORIG!L375=0,"",ORIG!L375)</f>
        <v/>
      </c>
      <c r="M375" s="3">
        <f>IF(ORIG!M375=0,"",ORIG!M375)</f>
        <v/>
      </c>
      <c r="N375" s="3">
        <f>IF(ORIG!N375=0,"",ORIG!N375)</f>
        <v/>
      </c>
      <c r="O375" s="3">
        <f>IF(ORIG!O375=0,"",ORIG!O375)</f>
        <v/>
      </c>
      <c r="P375" s="3">
        <f>IF(ORIG!P375=0,"",ORIG!P375)</f>
        <v/>
      </c>
      <c r="Q375" s="3">
        <f>IF(ORIG!Q375=0,"",ORIG!Q375)</f>
        <v/>
      </c>
      <c r="R375" s="3">
        <f>IF(ORIG!R375=0,"",ORIG!R375)</f>
        <v/>
      </c>
      <c r="S375" s="3">
        <f>IF(ORIG!S375=0,"",ORIG!S375)</f>
        <v/>
      </c>
      <c r="T375" s="3">
        <f>IF(ORIG!T375=0,"",ORIG!T375)</f>
        <v/>
      </c>
      <c r="U375" s="3">
        <f>IF(ORIG!U375=0,"",ORIG!U375)</f>
        <v/>
      </c>
      <c r="V375" s="9">
        <f>IF(ORIG!V375=0,"",ORIG!V375)</f>
        <v/>
      </c>
      <c r="W375" s="9">
        <f>IF(ORIG!W375=0,"",ORIG!W375)</f>
        <v/>
      </c>
      <c r="X375" s="9">
        <f>IF(ORIG!X375=0,"",ORIG!X375)</f>
        <v/>
      </c>
      <c r="Y375" s="9">
        <f>IF(ORIG!Y375=0,"",ORIG!Y375)</f>
        <v/>
      </c>
      <c r="Z375" s="3">
        <f>SUMPRODUCT($B375:$Y375,$B$2649:$Y$2649)</f>
        <v/>
      </c>
      <c r="AA375" s="3">
        <f>SUMPRODUCT($B375:$Y375,$B$2655:$Y$2655)</f>
        <v/>
      </c>
      <c r="AC375" s="1">
        <f>A375</f>
        <v/>
      </c>
      <c r="AD375">
        <f>IF(ISNUMBER(V375),V375*($AB$1/V$2635),"")</f>
        <v/>
      </c>
      <c r="AE375">
        <f>IF(ISNUMBER(Z375),Z375*($AB$1/Z$2635),"")</f>
        <v/>
      </c>
      <c r="AF375" s="25">
        <f>IF(ISNUMBER(AD375+AE375),AD375+AE375,"")</f>
        <v/>
      </c>
      <c r="AH375" s="1">
        <f>A375</f>
        <v/>
      </c>
      <c r="AI375">
        <f>IF(ISNUMBER((1+V375)*AI374),(1+V375)*AI374,AI374)</f>
        <v/>
      </c>
      <c r="AJ375">
        <f>IF(ISNUMBER((1+Z375)*AJ374),(1+Z375)*AJ374,AJ374)</f>
        <v/>
      </c>
    </row>
    <row r="376">
      <c r="A376" s="1" t="n">
        <v>42548</v>
      </c>
      <c r="B376" s="3">
        <f>IF(ORIG!B376=0,"",ORIG!B376)</f>
        <v/>
      </c>
      <c r="C376" s="3">
        <f>IF(ORIG!C376=0,"",ORIG!C376)</f>
        <v/>
      </c>
      <c r="D376" s="3">
        <f>IF(ORIG!D376=0,"",ORIG!D376)</f>
        <v/>
      </c>
      <c r="E376" s="3">
        <f>IF(ORIG!E376=0,"",ORIG!E376)</f>
        <v/>
      </c>
      <c r="F376" s="3">
        <f>IF(ORIG!F376=0,"",ORIG!F376)</f>
        <v/>
      </c>
      <c r="G376" s="3">
        <f>IF(ORIG!G376=0,"",ORIG!G376)</f>
        <v/>
      </c>
      <c r="H376" s="3">
        <f>IF(ORIG!H376=0,"",ORIG!H376)</f>
        <v/>
      </c>
      <c r="I376" s="3">
        <f>IF(ORIG!I376=0,"",ORIG!I376)</f>
        <v/>
      </c>
      <c r="J376" s="3">
        <f>IF(ORIG!J376=0,"",ORIG!J376)</f>
        <v/>
      </c>
      <c r="K376" s="3">
        <f>IF(ORIG!K376=0,"",ORIG!K376)</f>
        <v/>
      </c>
      <c r="L376" s="3">
        <f>IF(ORIG!L376=0,"",ORIG!L376)</f>
        <v/>
      </c>
      <c r="M376" s="3">
        <f>IF(ORIG!M376=0,"",ORIG!M376)</f>
        <v/>
      </c>
      <c r="N376" s="3">
        <f>IF(ORIG!N376=0,"",ORIG!N376)</f>
        <v/>
      </c>
      <c r="O376" s="3">
        <f>IF(ORIG!O376=0,"",ORIG!O376)</f>
        <v/>
      </c>
      <c r="P376" s="3">
        <f>IF(ORIG!P376=0,"",ORIG!P376)</f>
        <v/>
      </c>
      <c r="Q376" s="3">
        <f>IF(ORIG!Q376=0,"",ORIG!Q376)</f>
        <v/>
      </c>
      <c r="R376" s="3">
        <f>IF(ORIG!R376=0,"",ORIG!R376)</f>
        <v/>
      </c>
      <c r="S376" s="3">
        <f>IF(ORIG!S376=0,"",ORIG!S376)</f>
        <v/>
      </c>
      <c r="T376" s="3">
        <f>IF(ORIG!T376=0,"",ORIG!T376)</f>
        <v/>
      </c>
      <c r="U376" s="3">
        <f>IF(ORIG!U376=0,"",ORIG!U376)</f>
        <v/>
      </c>
      <c r="V376" s="9">
        <f>IF(ORIG!V376=0,"",ORIG!V376)</f>
        <v/>
      </c>
      <c r="W376" s="9">
        <f>IF(ORIG!W376=0,"",ORIG!W376)</f>
        <v/>
      </c>
      <c r="X376" s="9">
        <f>IF(ORIG!X376=0,"",ORIG!X376)</f>
        <v/>
      </c>
      <c r="Y376" s="9">
        <f>IF(ORIG!Y376=0,"",ORIG!Y376)</f>
        <v/>
      </c>
      <c r="Z376" s="3">
        <f>SUMPRODUCT($B376:$Y376,$B$2649:$Y$2649)</f>
        <v/>
      </c>
      <c r="AA376" s="3">
        <f>SUMPRODUCT($B376:$Y376,$B$2655:$Y$2655)</f>
        <v/>
      </c>
      <c r="AC376" s="1">
        <f>A376</f>
        <v/>
      </c>
      <c r="AD376">
        <f>IF(ISNUMBER(V376),V376*($AB$1/V$2635),"")</f>
        <v/>
      </c>
      <c r="AE376">
        <f>IF(ISNUMBER(Z376),Z376*($AB$1/Z$2635),"")</f>
        <v/>
      </c>
      <c r="AF376" s="25">
        <f>IF(ISNUMBER(AD376+AE376),AD376+AE376,"")</f>
        <v/>
      </c>
      <c r="AH376" s="1">
        <f>A376</f>
        <v/>
      </c>
      <c r="AI376">
        <f>IF(ISNUMBER((1+V376)*AI375),(1+V376)*AI375,AI375)</f>
        <v/>
      </c>
      <c r="AJ376">
        <f>IF(ISNUMBER((1+Z376)*AJ375),(1+Z376)*AJ375,AJ375)</f>
        <v/>
      </c>
    </row>
    <row r="377">
      <c r="A377" s="1" t="n">
        <v>42549</v>
      </c>
      <c r="B377" s="3">
        <f>IF(ORIG!B377=0,"",ORIG!B377)</f>
        <v/>
      </c>
      <c r="C377" s="3">
        <f>IF(ORIG!C377=0,"",ORIG!C377)</f>
        <v/>
      </c>
      <c r="D377" s="3">
        <f>IF(ORIG!D377=0,"",ORIG!D377)</f>
        <v/>
      </c>
      <c r="E377" s="3">
        <f>IF(ORIG!E377=0,"",ORIG!E377)</f>
        <v/>
      </c>
      <c r="F377" s="3">
        <f>IF(ORIG!F377=0,"",ORIG!F377)</f>
        <v/>
      </c>
      <c r="G377" s="3">
        <f>IF(ORIG!G377=0,"",ORIG!G377)</f>
        <v/>
      </c>
      <c r="H377" s="3">
        <f>IF(ORIG!H377=0,"",ORIG!H377)</f>
        <v/>
      </c>
      <c r="I377" s="3">
        <f>IF(ORIG!I377=0,"",ORIG!I377)</f>
        <v/>
      </c>
      <c r="J377" s="3">
        <f>IF(ORIG!J377=0,"",ORIG!J377)</f>
        <v/>
      </c>
      <c r="K377" s="3">
        <f>IF(ORIG!K377=0,"",ORIG!K377)</f>
        <v/>
      </c>
      <c r="L377" s="3">
        <f>IF(ORIG!L377=0,"",ORIG!L377)</f>
        <v/>
      </c>
      <c r="M377" s="3">
        <f>IF(ORIG!M377=0,"",ORIG!M377)</f>
        <v/>
      </c>
      <c r="N377" s="3">
        <f>IF(ORIG!N377=0,"",ORIG!N377)</f>
        <v/>
      </c>
      <c r="O377" s="3">
        <f>IF(ORIG!O377=0,"",ORIG!O377)</f>
        <v/>
      </c>
      <c r="P377" s="3">
        <f>IF(ORIG!P377=0,"",ORIG!P377)</f>
        <v/>
      </c>
      <c r="Q377" s="3">
        <f>IF(ORIG!Q377=0,"",ORIG!Q377)</f>
        <v/>
      </c>
      <c r="R377" s="3">
        <f>IF(ORIG!R377=0,"",ORIG!R377)</f>
        <v/>
      </c>
      <c r="S377" s="3">
        <f>IF(ORIG!S377=0,"",ORIG!S377)</f>
        <v/>
      </c>
      <c r="T377" s="3">
        <f>IF(ORIG!T377=0,"",ORIG!T377)</f>
        <v/>
      </c>
      <c r="U377" s="3">
        <f>IF(ORIG!U377=0,"",ORIG!U377)</f>
        <v/>
      </c>
      <c r="V377" s="9">
        <f>IF(ORIG!V377=0,"",ORIG!V377)</f>
        <v/>
      </c>
      <c r="W377" s="9">
        <f>IF(ORIG!W377=0,"",ORIG!W377)</f>
        <v/>
      </c>
      <c r="X377" s="9">
        <f>IF(ORIG!X377=0,"",ORIG!X377)</f>
        <v/>
      </c>
      <c r="Y377" s="9">
        <f>IF(ORIG!Y377=0,"",ORIG!Y377)</f>
        <v/>
      </c>
      <c r="Z377" s="3">
        <f>SUMPRODUCT($B377:$Y377,$B$2649:$Y$2649)</f>
        <v/>
      </c>
      <c r="AA377" s="3">
        <f>SUMPRODUCT($B377:$Y377,$B$2655:$Y$2655)</f>
        <v/>
      </c>
      <c r="AC377" s="1">
        <f>A377</f>
        <v/>
      </c>
      <c r="AD377">
        <f>IF(ISNUMBER(V377),V377*($AB$1/V$2635),"")</f>
        <v/>
      </c>
      <c r="AE377">
        <f>IF(ISNUMBER(Z377),Z377*($AB$1/Z$2635),"")</f>
        <v/>
      </c>
      <c r="AF377" s="25">
        <f>IF(ISNUMBER(AD377+AE377),AD377+AE377,"")</f>
        <v/>
      </c>
      <c r="AH377" s="1">
        <f>A377</f>
        <v/>
      </c>
      <c r="AI377">
        <f>IF(ISNUMBER((1+V377)*AI376),(1+V377)*AI376,AI376)</f>
        <v/>
      </c>
      <c r="AJ377">
        <f>IF(ISNUMBER((1+Z377)*AJ376),(1+Z377)*AJ376,AJ376)</f>
        <v/>
      </c>
    </row>
    <row r="378">
      <c r="A378" s="1" t="n">
        <v>42550</v>
      </c>
      <c r="B378" s="3">
        <f>IF(ORIG!B378=0,"",ORIG!B378)</f>
        <v/>
      </c>
      <c r="C378" s="3">
        <f>IF(ORIG!C378=0,"",ORIG!C378)</f>
        <v/>
      </c>
      <c r="D378" s="3">
        <f>IF(ORIG!D378=0,"",ORIG!D378)</f>
        <v/>
      </c>
      <c r="E378" s="3">
        <f>IF(ORIG!E378=0,"",ORIG!E378)</f>
        <v/>
      </c>
      <c r="F378" s="3">
        <f>IF(ORIG!F378=0,"",ORIG!F378)</f>
        <v/>
      </c>
      <c r="G378" s="3">
        <f>IF(ORIG!G378=0,"",ORIG!G378)</f>
        <v/>
      </c>
      <c r="H378" s="3">
        <f>IF(ORIG!H378=0,"",ORIG!H378)</f>
        <v/>
      </c>
      <c r="I378" s="3">
        <f>IF(ORIG!I378=0,"",ORIG!I378)</f>
        <v/>
      </c>
      <c r="J378" s="3">
        <f>IF(ORIG!J378=0,"",ORIG!J378)</f>
        <v/>
      </c>
      <c r="K378" s="3">
        <f>IF(ORIG!K378=0,"",ORIG!K378)</f>
        <v/>
      </c>
      <c r="L378" s="3">
        <f>IF(ORIG!L378=0,"",ORIG!L378)</f>
        <v/>
      </c>
      <c r="M378" s="3">
        <f>IF(ORIG!M378=0,"",ORIG!M378)</f>
        <v/>
      </c>
      <c r="N378" s="3">
        <f>IF(ORIG!N378=0,"",ORIG!N378)</f>
        <v/>
      </c>
      <c r="O378" s="3">
        <f>IF(ORIG!O378=0,"",ORIG!O378)</f>
        <v/>
      </c>
      <c r="P378" s="3">
        <f>IF(ORIG!P378=0,"",ORIG!P378)</f>
        <v/>
      </c>
      <c r="Q378" s="3">
        <f>IF(ORIG!Q378=0,"",ORIG!Q378)</f>
        <v/>
      </c>
      <c r="R378" s="3">
        <f>IF(ORIG!R378=0,"",ORIG!R378)</f>
        <v/>
      </c>
      <c r="S378" s="3">
        <f>IF(ORIG!S378=0,"",ORIG!S378)</f>
        <v/>
      </c>
      <c r="T378" s="3">
        <f>IF(ORIG!T378=0,"",ORIG!T378)</f>
        <v/>
      </c>
      <c r="U378" s="3">
        <f>IF(ORIG!U378=0,"",ORIG!U378)</f>
        <v/>
      </c>
      <c r="V378" s="9">
        <f>IF(ORIG!V378=0,"",ORIG!V378)</f>
        <v/>
      </c>
      <c r="W378" s="9">
        <f>IF(ORIG!W378=0,"",ORIG!W378)</f>
        <v/>
      </c>
      <c r="X378" s="9">
        <f>IF(ORIG!X378=0,"",ORIG!X378)</f>
        <v/>
      </c>
      <c r="Y378" s="9">
        <f>IF(ORIG!Y378=0,"",ORIG!Y378)</f>
        <v/>
      </c>
      <c r="Z378" s="3">
        <f>SUMPRODUCT($B378:$Y378,$B$2649:$Y$2649)</f>
        <v/>
      </c>
      <c r="AA378" s="3">
        <f>SUMPRODUCT($B378:$Y378,$B$2655:$Y$2655)</f>
        <v/>
      </c>
      <c r="AC378" s="1">
        <f>A378</f>
        <v/>
      </c>
      <c r="AD378">
        <f>IF(ISNUMBER(V378),V378*($AB$1/V$2635),"")</f>
        <v/>
      </c>
      <c r="AE378">
        <f>IF(ISNUMBER(Z378),Z378*($AB$1/Z$2635),"")</f>
        <v/>
      </c>
      <c r="AF378" s="25">
        <f>IF(ISNUMBER(AD378+AE378),AD378+AE378,"")</f>
        <v/>
      </c>
      <c r="AH378" s="1">
        <f>A378</f>
        <v/>
      </c>
      <c r="AI378">
        <f>IF(ISNUMBER((1+V378)*AI377),(1+V378)*AI377,AI377)</f>
        <v/>
      </c>
      <c r="AJ378">
        <f>IF(ISNUMBER((1+Z378)*AJ377),(1+Z378)*AJ377,AJ377)</f>
        <v/>
      </c>
    </row>
    <row r="379">
      <c r="A379" s="1" t="n">
        <v>42551</v>
      </c>
      <c r="B379" s="3">
        <f>IF(ORIG!B379=0,"",ORIG!B379)</f>
        <v/>
      </c>
      <c r="C379" s="3">
        <f>IF(ORIG!C379=0,"",ORIG!C379)</f>
        <v/>
      </c>
      <c r="D379" s="3">
        <f>IF(ORIG!D379=0,"",ORIG!D379)</f>
        <v/>
      </c>
      <c r="E379" s="3">
        <f>IF(ORIG!E379=0,"",ORIG!E379)</f>
        <v/>
      </c>
      <c r="F379" s="3">
        <f>IF(ORIG!F379=0,"",ORIG!F379)</f>
        <v/>
      </c>
      <c r="G379" s="3">
        <f>IF(ORIG!G379=0,"",ORIG!G379)</f>
        <v/>
      </c>
      <c r="H379" s="3">
        <f>IF(ORIG!H379=0,"",ORIG!H379)</f>
        <v/>
      </c>
      <c r="I379" s="3">
        <f>IF(ORIG!I379=0,"",ORIG!I379)</f>
        <v/>
      </c>
      <c r="J379" s="3">
        <f>IF(ORIG!J379=0,"",ORIG!J379)</f>
        <v/>
      </c>
      <c r="K379" s="3">
        <f>IF(ORIG!K379=0,"",ORIG!K379)</f>
        <v/>
      </c>
      <c r="L379" s="3">
        <f>IF(ORIG!L379=0,"",ORIG!L379)</f>
        <v/>
      </c>
      <c r="M379" s="3">
        <f>IF(ORIG!M379=0,"",ORIG!M379)</f>
        <v/>
      </c>
      <c r="N379" s="3">
        <f>IF(ORIG!N379=0,"",ORIG!N379)</f>
        <v/>
      </c>
      <c r="O379" s="3">
        <f>IF(ORIG!O379=0,"",ORIG!O379)</f>
        <v/>
      </c>
      <c r="P379" s="3">
        <f>IF(ORIG!P379=0,"",ORIG!P379)</f>
        <v/>
      </c>
      <c r="Q379" s="3">
        <f>IF(ORIG!Q379=0,"",ORIG!Q379)</f>
        <v/>
      </c>
      <c r="R379" s="3">
        <f>IF(ORIG!R379=0,"",ORIG!R379)</f>
        <v/>
      </c>
      <c r="S379" s="3">
        <f>IF(ORIG!S379=0,"",ORIG!S379)</f>
        <v/>
      </c>
      <c r="T379" s="3">
        <f>IF(ORIG!T379=0,"",ORIG!T379)</f>
        <v/>
      </c>
      <c r="U379" s="3">
        <f>IF(ORIG!U379=0,"",ORIG!U379)</f>
        <v/>
      </c>
      <c r="V379" s="9">
        <f>IF(ORIG!V379=0,"",ORIG!V379)</f>
        <v/>
      </c>
      <c r="W379" s="9">
        <f>IF(ORIG!W379=0,"",ORIG!W379)</f>
        <v/>
      </c>
      <c r="X379" s="9">
        <f>IF(ORIG!X379=0,"",ORIG!X379)</f>
        <v/>
      </c>
      <c r="Y379" s="9">
        <f>IF(ORIG!Y379=0,"",ORIG!Y379)</f>
        <v/>
      </c>
      <c r="Z379" s="3">
        <f>SUMPRODUCT($B379:$Y379,$B$2649:$Y$2649)</f>
        <v/>
      </c>
      <c r="AA379" s="3">
        <f>SUMPRODUCT($B379:$Y379,$B$2655:$Y$2655)</f>
        <v/>
      </c>
      <c r="AC379" s="1">
        <f>A379</f>
        <v/>
      </c>
      <c r="AD379">
        <f>IF(ISNUMBER(V379),V379*($AB$1/V$2635),"")</f>
        <v/>
      </c>
      <c r="AE379">
        <f>IF(ISNUMBER(Z379),Z379*($AB$1/Z$2635),"")</f>
        <v/>
      </c>
      <c r="AF379" s="25">
        <f>IF(ISNUMBER(AD379+AE379),AD379+AE379,"")</f>
        <v/>
      </c>
      <c r="AH379" s="1">
        <f>A379</f>
        <v/>
      </c>
      <c r="AI379">
        <f>IF(ISNUMBER((1+V379)*AI378),(1+V379)*AI378,AI378)</f>
        <v/>
      </c>
      <c r="AJ379">
        <f>IF(ISNUMBER((1+Z379)*AJ378),(1+Z379)*AJ378,AJ378)</f>
        <v/>
      </c>
    </row>
    <row r="380">
      <c r="A380" s="1" t="n">
        <v>42552</v>
      </c>
      <c r="B380" s="3">
        <f>IF(ORIG!B380=0,"",ORIG!B380)</f>
        <v/>
      </c>
      <c r="C380" s="3">
        <f>IF(ORIG!C380=0,"",ORIG!C380)</f>
        <v/>
      </c>
      <c r="D380" s="3">
        <f>IF(ORIG!D380=0,"",ORIG!D380)</f>
        <v/>
      </c>
      <c r="E380" s="3">
        <f>IF(ORIG!E380=0,"",ORIG!E380)</f>
        <v/>
      </c>
      <c r="F380" s="3">
        <f>IF(ORIG!F380=0,"",ORIG!F380)</f>
        <v/>
      </c>
      <c r="G380" s="3">
        <f>IF(ORIG!G380=0,"",ORIG!G380)</f>
        <v/>
      </c>
      <c r="H380" s="3">
        <f>IF(ORIG!H380=0,"",ORIG!H380)</f>
        <v/>
      </c>
      <c r="I380" s="3">
        <f>IF(ORIG!I380=0,"",ORIG!I380)</f>
        <v/>
      </c>
      <c r="J380" s="3">
        <f>IF(ORIG!J380=0,"",ORIG!J380)</f>
        <v/>
      </c>
      <c r="K380" s="3">
        <f>IF(ORIG!K380=0,"",ORIG!K380)</f>
        <v/>
      </c>
      <c r="L380" s="3">
        <f>IF(ORIG!L380=0,"",ORIG!L380)</f>
        <v/>
      </c>
      <c r="M380" s="3">
        <f>IF(ORIG!M380=0,"",ORIG!M380)</f>
        <v/>
      </c>
      <c r="N380" s="3">
        <f>IF(ORIG!N380=0,"",ORIG!N380)</f>
        <v/>
      </c>
      <c r="O380" s="3">
        <f>IF(ORIG!O380=0,"",ORIG!O380)</f>
        <v/>
      </c>
      <c r="P380" s="3">
        <f>IF(ORIG!P380=0,"",ORIG!P380)</f>
        <v/>
      </c>
      <c r="Q380" s="3">
        <f>IF(ORIG!Q380=0,"",ORIG!Q380)</f>
        <v/>
      </c>
      <c r="R380" s="3">
        <f>IF(ORIG!R380=0,"",ORIG!R380)</f>
        <v/>
      </c>
      <c r="S380" s="3">
        <f>IF(ORIG!S380=0,"",ORIG!S380)</f>
        <v/>
      </c>
      <c r="T380" s="3">
        <f>IF(ORIG!T380=0,"",ORIG!T380)</f>
        <v/>
      </c>
      <c r="U380" s="3">
        <f>IF(ORIG!U380=0,"",ORIG!U380)</f>
        <v/>
      </c>
      <c r="V380" s="9">
        <f>IF(ORIG!V380=0,"",ORIG!V380)</f>
        <v/>
      </c>
      <c r="W380" s="9">
        <f>IF(ORIG!W380=0,"",ORIG!W380)</f>
        <v/>
      </c>
      <c r="X380" s="9">
        <f>IF(ORIG!X380=0,"",ORIG!X380)</f>
        <v/>
      </c>
      <c r="Y380" s="9">
        <f>IF(ORIG!Y380=0,"",ORIG!Y380)</f>
        <v/>
      </c>
      <c r="Z380" s="3">
        <f>SUMPRODUCT($B380:$Y380,$B$2649:$Y$2649)</f>
        <v/>
      </c>
      <c r="AA380" s="3">
        <f>SUMPRODUCT($B380:$Y380,$B$2655:$Y$2655)</f>
        <v/>
      </c>
      <c r="AC380" s="1">
        <f>A380</f>
        <v/>
      </c>
      <c r="AD380">
        <f>IF(ISNUMBER(V380),V380*($AB$1/V$2635),"")</f>
        <v/>
      </c>
      <c r="AE380">
        <f>IF(ISNUMBER(Z380),Z380*($AB$1/Z$2635),"")</f>
        <v/>
      </c>
      <c r="AF380" s="25">
        <f>IF(ISNUMBER(AD380+AE380),AD380+AE380,"")</f>
        <v/>
      </c>
      <c r="AH380" s="1">
        <f>A380</f>
        <v/>
      </c>
      <c r="AI380">
        <f>IF(ISNUMBER((1+V380)*AI379),(1+V380)*AI379,AI379)</f>
        <v/>
      </c>
      <c r="AJ380">
        <f>IF(ISNUMBER((1+Z380)*AJ379),(1+Z380)*AJ379,AJ379)</f>
        <v/>
      </c>
    </row>
    <row r="381">
      <c r="A381" s="1" t="n">
        <v>42556</v>
      </c>
      <c r="B381" s="3">
        <f>IF(ORIG!B381=0,"",ORIG!B381)</f>
        <v/>
      </c>
      <c r="C381" s="3">
        <f>IF(ORIG!C381=0,"",ORIG!C381)</f>
        <v/>
      </c>
      <c r="D381" s="3">
        <f>IF(ORIG!D381=0,"",ORIG!D381)</f>
        <v/>
      </c>
      <c r="E381" s="3">
        <f>IF(ORIG!E381=0,"",ORIG!E381)</f>
        <v/>
      </c>
      <c r="F381" s="3">
        <f>IF(ORIG!F381=0,"",ORIG!F381)</f>
        <v/>
      </c>
      <c r="G381" s="3">
        <f>IF(ORIG!G381=0,"",ORIG!G381)</f>
        <v/>
      </c>
      <c r="H381" s="3">
        <f>IF(ORIG!H381=0,"",ORIG!H381)</f>
        <v/>
      </c>
      <c r="I381" s="3">
        <f>IF(ORIG!I381=0,"",ORIG!I381)</f>
        <v/>
      </c>
      <c r="J381" s="3">
        <f>IF(ORIG!J381=0,"",ORIG!J381)</f>
        <v/>
      </c>
      <c r="K381" s="3">
        <f>IF(ORIG!K381=0,"",ORIG!K381)</f>
        <v/>
      </c>
      <c r="L381" s="3">
        <f>IF(ORIG!L381=0,"",ORIG!L381)</f>
        <v/>
      </c>
      <c r="M381" s="3">
        <f>IF(ORIG!M381=0,"",ORIG!M381)</f>
        <v/>
      </c>
      <c r="N381" s="3">
        <f>IF(ORIG!N381=0,"",ORIG!N381)</f>
        <v/>
      </c>
      <c r="O381" s="3">
        <f>IF(ORIG!O381=0,"",ORIG!O381)</f>
        <v/>
      </c>
      <c r="P381" s="3">
        <f>IF(ORIG!P381=0,"",ORIG!P381)</f>
        <v/>
      </c>
      <c r="Q381" s="3">
        <f>IF(ORIG!Q381=0,"",ORIG!Q381)</f>
        <v/>
      </c>
      <c r="R381" s="3">
        <f>IF(ORIG!R381=0,"",ORIG!R381)</f>
        <v/>
      </c>
      <c r="S381" s="3">
        <f>IF(ORIG!S381=0,"",ORIG!S381)</f>
        <v/>
      </c>
      <c r="T381" s="3">
        <f>IF(ORIG!T381=0,"",ORIG!T381)</f>
        <v/>
      </c>
      <c r="U381" s="3">
        <f>IF(ORIG!U381=0,"",ORIG!U381)</f>
        <v/>
      </c>
      <c r="V381" s="9">
        <f>IF(ORIG!V381=0,"",ORIG!V381)</f>
        <v/>
      </c>
      <c r="W381" s="9">
        <f>IF(ORIG!W381=0,"",ORIG!W381)</f>
        <v/>
      </c>
      <c r="X381" s="9">
        <f>IF(ORIG!X381=0,"",ORIG!X381)</f>
        <v/>
      </c>
      <c r="Y381" s="9">
        <f>IF(ORIG!Y381=0,"",ORIG!Y381)</f>
        <v/>
      </c>
      <c r="Z381" s="3">
        <f>SUMPRODUCT($B381:$Y381,$B$2649:$Y$2649)</f>
        <v/>
      </c>
      <c r="AA381" s="3">
        <f>SUMPRODUCT($B381:$Y381,$B$2655:$Y$2655)</f>
        <v/>
      </c>
      <c r="AC381" s="1">
        <f>A381</f>
        <v/>
      </c>
      <c r="AD381">
        <f>IF(ISNUMBER(V381),V381*($AB$1/V$2635),"")</f>
        <v/>
      </c>
      <c r="AE381">
        <f>IF(ISNUMBER(Z381),Z381*($AB$1/Z$2635),"")</f>
        <v/>
      </c>
      <c r="AF381" s="25">
        <f>IF(ISNUMBER(AD381+AE381),AD381+AE381,"")</f>
        <v/>
      </c>
      <c r="AH381" s="1">
        <f>A381</f>
        <v/>
      </c>
      <c r="AI381">
        <f>IF(ISNUMBER((1+V381)*AI380),(1+V381)*AI380,AI380)</f>
        <v/>
      </c>
      <c r="AJ381">
        <f>IF(ISNUMBER((1+Z381)*AJ380),(1+Z381)*AJ380,AJ380)</f>
        <v/>
      </c>
    </row>
    <row r="382">
      <c r="A382" s="1" t="n">
        <v>42557</v>
      </c>
      <c r="B382" s="3">
        <f>IF(ORIG!B382=0,"",ORIG!B382)</f>
        <v/>
      </c>
      <c r="C382" s="3">
        <f>IF(ORIG!C382=0,"",ORIG!C382)</f>
        <v/>
      </c>
      <c r="D382" s="3">
        <f>IF(ORIG!D382=0,"",ORIG!D382)</f>
        <v/>
      </c>
      <c r="E382" s="3">
        <f>IF(ORIG!E382=0,"",ORIG!E382)</f>
        <v/>
      </c>
      <c r="F382" s="3">
        <f>IF(ORIG!F382=0,"",ORIG!F382)</f>
        <v/>
      </c>
      <c r="G382" s="3">
        <f>IF(ORIG!G382=0,"",ORIG!G382)</f>
        <v/>
      </c>
      <c r="H382" s="3">
        <f>IF(ORIG!H382=0,"",ORIG!H382)</f>
        <v/>
      </c>
      <c r="I382" s="3">
        <f>IF(ORIG!I382=0,"",ORIG!I382)</f>
        <v/>
      </c>
      <c r="J382" s="3">
        <f>IF(ORIG!J382=0,"",ORIG!J382)</f>
        <v/>
      </c>
      <c r="K382" s="3">
        <f>IF(ORIG!K382=0,"",ORIG!K382)</f>
        <v/>
      </c>
      <c r="L382" s="3">
        <f>IF(ORIG!L382=0,"",ORIG!L382)</f>
        <v/>
      </c>
      <c r="M382" s="3">
        <f>IF(ORIG!M382=0,"",ORIG!M382)</f>
        <v/>
      </c>
      <c r="N382" s="3">
        <f>IF(ORIG!N382=0,"",ORIG!N382)</f>
        <v/>
      </c>
      <c r="O382" s="3">
        <f>IF(ORIG!O382=0,"",ORIG!O382)</f>
        <v/>
      </c>
      <c r="P382" s="3">
        <f>IF(ORIG!P382=0,"",ORIG!P382)</f>
        <v/>
      </c>
      <c r="Q382" s="3">
        <f>IF(ORIG!Q382=0,"",ORIG!Q382)</f>
        <v/>
      </c>
      <c r="R382" s="3">
        <f>IF(ORIG!R382=0,"",ORIG!R382)</f>
        <v/>
      </c>
      <c r="S382" s="3">
        <f>IF(ORIG!S382=0,"",ORIG!S382)</f>
        <v/>
      </c>
      <c r="T382" s="3">
        <f>IF(ORIG!T382=0,"",ORIG!T382)</f>
        <v/>
      </c>
      <c r="U382" s="3">
        <f>IF(ORIG!U382=0,"",ORIG!U382)</f>
        <v/>
      </c>
      <c r="V382" s="9">
        <f>IF(ORIG!V382=0,"",ORIG!V382)</f>
        <v/>
      </c>
      <c r="W382" s="9">
        <f>IF(ORIG!W382=0,"",ORIG!W382)</f>
        <v/>
      </c>
      <c r="X382" s="9">
        <f>IF(ORIG!X382=0,"",ORIG!X382)</f>
        <v/>
      </c>
      <c r="Y382" s="9">
        <f>IF(ORIG!Y382=0,"",ORIG!Y382)</f>
        <v/>
      </c>
      <c r="Z382" s="3">
        <f>SUMPRODUCT($B382:$Y382,$B$2649:$Y$2649)</f>
        <v/>
      </c>
      <c r="AA382" s="3">
        <f>SUMPRODUCT($B382:$Y382,$B$2655:$Y$2655)</f>
        <v/>
      </c>
      <c r="AC382" s="1">
        <f>A382</f>
        <v/>
      </c>
      <c r="AD382">
        <f>IF(ISNUMBER(V382),V382*($AB$1/V$2635),"")</f>
        <v/>
      </c>
      <c r="AE382">
        <f>IF(ISNUMBER(Z382),Z382*($AB$1/Z$2635),"")</f>
        <v/>
      </c>
      <c r="AF382" s="25">
        <f>IF(ISNUMBER(AD382+AE382),AD382+AE382,"")</f>
        <v/>
      </c>
      <c r="AH382" s="1">
        <f>A382</f>
        <v/>
      </c>
      <c r="AI382">
        <f>IF(ISNUMBER((1+V382)*AI381),(1+V382)*AI381,AI381)</f>
        <v/>
      </c>
      <c r="AJ382">
        <f>IF(ISNUMBER((1+Z382)*AJ381),(1+Z382)*AJ381,AJ381)</f>
        <v/>
      </c>
    </row>
    <row r="383">
      <c r="A383" s="1" t="n">
        <v>42558</v>
      </c>
      <c r="B383" s="3">
        <f>IF(ORIG!B383=0,"",ORIG!B383)</f>
        <v/>
      </c>
      <c r="C383" s="3">
        <f>IF(ORIG!C383=0,"",ORIG!C383)</f>
        <v/>
      </c>
      <c r="D383" s="3">
        <f>IF(ORIG!D383=0,"",ORIG!D383)</f>
        <v/>
      </c>
      <c r="E383" s="3">
        <f>IF(ORIG!E383=0,"",ORIG!E383)</f>
        <v/>
      </c>
      <c r="F383" s="3">
        <f>IF(ORIG!F383=0,"",ORIG!F383)</f>
        <v/>
      </c>
      <c r="G383" s="3">
        <f>IF(ORIG!G383=0,"",ORIG!G383)</f>
        <v/>
      </c>
      <c r="H383" s="3">
        <f>IF(ORIG!H383=0,"",ORIG!H383)</f>
        <v/>
      </c>
      <c r="I383" s="3">
        <f>IF(ORIG!I383=0,"",ORIG!I383)</f>
        <v/>
      </c>
      <c r="J383" s="3">
        <f>IF(ORIG!J383=0,"",ORIG!J383)</f>
        <v/>
      </c>
      <c r="K383" s="3">
        <f>IF(ORIG!K383=0,"",ORIG!K383)</f>
        <v/>
      </c>
      <c r="L383" s="3">
        <f>IF(ORIG!L383=0,"",ORIG!L383)</f>
        <v/>
      </c>
      <c r="M383" s="3">
        <f>IF(ORIG!M383=0,"",ORIG!M383)</f>
        <v/>
      </c>
      <c r="N383" s="3">
        <f>IF(ORIG!N383=0,"",ORIG!N383)</f>
        <v/>
      </c>
      <c r="O383" s="3">
        <f>IF(ORIG!O383=0,"",ORIG!O383)</f>
        <v/>
      </c>
      <c r="P383" s="3">
        <f>IF(ORIG!P383=0,"",ORIG!P383)</f>
        <v/>
      </c>
      <c r="Q383" s="3">
        <f>IF(ORIG!Q383=0,"",ORIG!Q383)</f>
        <v/>
      </c>
      <c r="R383" s="3">
        <f>IF(ORIG!R383=0,"",ORIG!R383)</f>
        <v/>
      </c>
      <c r="S383" s="3">
        <f>IF(ORIG!S383=0,"",ORIG!S383)</f>
        <v/>
      </c>
      <c r="T383" s="3">
        <f>IF(ORIG!T383=0,"",ORIG!T383)</f>
        <v/>
      </c>
      <c r="U383" s="3">
        <f>IF(ORIG!U383=0,"",ORIG!U383)</f>
        <v/>
      </c>
      <c r="V383" s="9">
        <f>IF(ORIG!V383=0,"",ORIG!V383)</f>
        <v/>
      </c>
      <c r="W383" s="9">
        <f>IF(ORIG!W383=0,"",ORIG!W383)</f>
        <v/>
      </c>
      <c r="X383" s="9">
        <f>IF(ORIG!X383=0,"",ORIG!X383)</f>
        <v/>
      </c>
      <c r="Y383" s="9">
        <f>IF(ORIG!Y383=0,"",ORIG!Y383)</f>
        <v/>
      </c>
      <c r="Z383" s="3">
        <f>SUMPRODUCT($B383:$Y383,$B$2649:$Y$2649)</f>
        <v/>
      </c>
      <c r="AA383" s="3">
        <f>SUMPRODUCT($B383:$Y383,$B$2655:$Y$2655)</f>
        <v/>
      </c>
      <c r="AC383" s="1">
        <f>A383</f>
        <v/>
      </c>
      <c r="AD383">
        <f>IF(ISNUMBER(V383),V383*($AB$1/V$2635),"")</f>
        <v/>
      </c>
      <c r="AE383">
        <f>IF(ISNUMBER(Z383),Z383*($AB$1/Z$2635),"")</f>
        <v/>
      </c>
      <c r="AF383" s="25">
        <f>IF(ISNUMBER(AD383+AE383),AD383+AE383,"")</f>
        <v/>
      </c>
      <c r="AH383" s="1">
        <f>A383</f>
        <v/>
      </c>
      <c r="AI383">
        <f>IF(ISNUMBER((1+V383)*AI382),(1+V383)*AI382,AI382)</f>
        <v/>
      </c>
      <c r="AJ383">
        <f>IF(ISNUMBER((1+Z383)*AJ382),(1+Z383)*AJ382,AJ382)</f>
        <v/>
      </c>
    </row>
    <row r="384">
      <c r="A384" s="1" t="n">
        <v>42559</v>
      </c>
      <c r="B384" s="3">
        <f>IF(ORIG!B384=0,"",ORIG!B384)</f>
        <v/>
      </c>
      <c r="C384" s="3">
        <f>IF(ORIG!C384=0,"",ORIG!C384)</f>
        <v/>
      </c>
      <c r="D384" s="3">
        <f>IF(ORIG!D384=0,"",ORIG!D384)</f>
        <v/>
      </c>
      <c r="E384" s="3">
        <f>IF(ORIG!E384=0,"",ORIG!E384)</f>
        <v/>
      </c>
      <c r="F384" s="3">
        <f>IF(ORIG!F384=0,"",ORIG!F384)</f>
        <v/>
      </c>
      <c r="G384" s="3">
        <f>IF(ORIG!G384=0,"",ORIG!G384)</f>
        <v/>
      </c>
      <c r="H384" s="3">
        <f>IF(ORIG!H384=0,"",ORIG!H384)</f>
        <v/>
      </c>
      <c r="I384" s="3">
        <f>IF(ORIG!I384=0,"",ORIG!I384)</f>
        <v/>
      </c>
      <c r="J384" s="3">
        <f>IF(ORIG!J384=0,"",ORIG!J384)</f>
        <v/>
      </c>
      <c r="K384" s="3">
        <f>IF(ORIG!K384=0,"",ORIG!K384)</f>
        <v/>
      </c>
      <c r="L384" s="3">
        <f>IF(ORIG!L384=0,"",ORIG!L384)</f>
        <v/>
      </c>
      <c r="M384" s="3">
        <f>IF(ORIG!M384=0,"",ORIG!M384)</f>
        <v/>
      </c>
      <c r="N384" s="3">
        <f>IF(ORIG!N384=0,"",ORIG!N384)</f>
        <v/>
      </c>
      <c r="O384" s="3">
        <f>IF(ORIG!O384=0,"",ORIG!O384)</f>
        <v/>
      </c>
      <c r="P384" s="3">
        <f>IF(ORIG!P384=0,"",ORIG!P384)</f>
        <v/>
      </c>
      <c r="Q384" s="3">
        <f>IF(ORIG!Q384=0,"",ORIG!Q384)</f>
        <v/>
      </c>
      <c r="R384" s="3">
        <f>IF(ORIG!R384=0,"",ORIG!R384)</f>
        <v/>
      </c>
      <c r="S384" s="3">
        <f>IF(ORIG!S384=0,"",ORIG!S384)</f>
        <v/>
      </c>
      <c r="T384" s="3">
        <f>IF(ORIG!T384=0,"",ORIG!T384)</f>
        <v/>
      </c>
      <c r="U384" s="3">
        <f>IF(ORIG!U384=0,"",ORIG!U384)</f>
        <v/>
      </c>
      <c r="V384" s="9">
        <f>IF(ORIG!V384=0,"",ORIG!V384)</f>
        <v/>
      </c>
      <c r="W384" s="9">
        <f>IF(ORIG!W384=0,"",ORIG!W384)</f>
        <v/>
      </c>
      <c r="X384" s="9">
        <f>IF(ORIG!X384=0,"",ORIG!X384)</f>
        <v/>
      </c>
      <c r="Y384" s="9">
        <f>IF(ORIG!Y384=0,"",ORIG!Y384)</f>
        <v/>
      </c>
      <c r="Z384" s="3">
        <f>SUMPRODUCT($B384:$Y384,$B$2649:$Y$2649)</f>
        <v/>
      </c>
      <c r="AA384" s="3">
        <f>SUMPRODUCT($B384:$Y384,$B$2655:$Y$2655)</f>
        <v/>
      </c>
      <c r="AC384" s="1">
        <f>A384</f>
        <v/>
      </c>
      <c r="AD384">
        <f>IF(ISNUMBER(V384),V384*($AB$1/V$2635),"")</f>
        <v/>
      </c>
      <c r="AE384">
        <f>IF(ISNUMBER(Z384),Z384*($AB$1/Z$2635),"")</f>
        <v/>
      </c>
      <c r="AF384" s="25">
        <f>IF(ISNUMBER(AD384+AE384),AD384+AE384,"")</f>
        <v/>
      </c>
      <c r="AH384" s="1">
        <f>A384</f>
        <v/>
      </c>
      <c r="AI384">
        <f>IF(ISNUMBER((1+V384)*AI383),(1+V384)*AI383,AI383)</f>
        <v/>
      </c>
      <c r="AJ384">
        <f>IF(ISNUMBER((1+Z384)*AJ383),(1+Z384)*AJ383,AJ383)</f>
        <v/>
      </c>
    </row>
    <row r="385">
      <c r="A385" s="1" t="n">
        <v>42562</v>
      </c>
      <c r="B385" s="3">
        <f>IF(ORIG!B385=0,"",ORIG!B385)</f>
        <v/>
      </c>
      <c r="C385" s="3">
        <f>IF(ORIG!C385=0,"",ORIG!C385)</f>
        <v/>
      </c>
      <c r="D385" s="3">
        <f>IF(ORIG!D385=0,"",ORIG!D385)</f>
        <v/>
      </c>
      <c r="E385" s="3">
        <f>IF(ORIG!E385=0,"",ORIG!E385)</f>
        <v/>
      </c>
      <c r="F385" s="3">
        <f>IF(ORIG!F385=0,"",ORIG!F385)</f>
        <v/>
      </c>
      <c r="G385" s="3">
        <f>IF(ORIG!G385=0,"",ORIG!G385)</f>
        <v/>
      </c>
      <c r="H385" s="3">
        <f>IF(ORIG!H385=0,"",ORIG!H385)</f>
        <v/>
      </c>
      <c r="I385" s="3">
        <f>IF(ORIG!I385=0,"",ORIG!I385)</f>
        <v/>
      </c>
      <c r="J385" s="3">
        <f>IF(ORIG!J385=0,"",ORIG!J385)</f>
        <v/>
      </c>
      <c r="K385" s="3">
        <f>IF(ORIG!K385=0,"",ORIG!K385)</f>
        <v/>
      </c>
      <c r="L385" s="3">
        <f>IF(ORIG!L385=0,"",ORIG!L385)</f>
        <v/>
      </c>
      <c r="M385" s="3">
        <f>IF(ORIG!M385=0,"",ORIG!M385)</f>
        <v/>
      </c>
      <c r="N385" s="3">
        <f>IF(ORIG!N385=0,"",ORIG!N385)</f>
        <v/>
      </c>
      <c r="O385" s="3">
        <f>IF(ORIG!O385=0,"",ORIG!O385)</f>
        <v/>
      </c>
      <c r="P385" s="3">
        <f>IF(ORIG!P385=0,"",ORIG!P385)</f>
        <v/>
      </c>
      <c r="Q385" s="3">
        <f>IF(ORIG!Q385=0,"",ORIG!Q385)</f>
        <v/>
      </c>
      <c r="R385" s="3">
        <f>IF(ORIG!R385=0,"",ORIG!R385)</f>
        <v/>
      </c>
      <c r="S385" s="3">
        <f>IF(ORIG!S385=0,"",ORIG!S385)</f>
        <v/>
      </c>
      <c r="T385" s="3">
        <f>IF(ORIG!T385=0,"",ORIG!T385)</f>
        <v/>
      </c>
      <c r="U385" s="3">
        <f>IF(ORIG!U385=0,"",ORIG!U385)</f>
        <v/>
      </c>
      <c r="V385" s="9">
        <f>IF(ORIG!V385=0,"",ORIG!V385)</f>
        <v/>
      </c>
      <c r="W385" s="9">
        <f>IF(ORIG!W385=0,"",ORIG!W385)</f>
        <v/>
      </c>
      <c r="X385" s="9">
        <f>IF(ORIG!X385=0,"",ORIG!X385)</f>
        <v/>
      </c>
      <c r="Y385" s="9">
        <f>IF(ORIG!Y385=0,"",ORIG!Y385)</f>
        <v/>
      </c>
      <c r="Z385" s="3">
        <f>SUMPRODUCT($B385:$Y385,$B$2649:$Y$2649)</f>
        <v/>
      </c>
      <c r="AA385" s="3">
        <f>SUMPRODUCT($B385:$Y385,$B$2655:$Y$2655)</f>
        <v/>
      </c>
      <c r="AC385" s="1">
        <f>A385</f>
        <v/>
      </c>
      <c r="AD385">
        <f>IF(ISNUMBER(V385),V385*($AB$1/V$2635),"")</f>
        <v/>
      </c>
      <c r="AE385">
        <f>IF(ISNUMBER(Z385),Z385*($AB$1/Z$2635),"")</f>
        <v/>
      </c>
      <c r="AF385" s="25">
        <f>IF(ISNUMBER(AD385+AE385),AD385+AE385,"")</f>
        <v/>
      </c>
      <c r="AH385" s="1">
        <f>A385</f>
        <v/>
      </c>
      <c r="AI385">
        <f>IF(ISNUMBER((1+V385)*AI384),(1+V385)*AI384,AI384)</f>
        <v/>
      </c>
      <c r="AJ385">
        <f>IF(ISNUMBER((1+Z385)*AJ384),(1+Z385)*AJ384,AJ384)</f>
        <v/>
      </c>
    </row>
    <row r="386">
      <c r="A386" s="1" t="n">
        <v>42563</v>
      </c>
      <c r="B386" s="3">
        <f>IF(ORIG!B386=0,"",ORIG!B386)</f>
        <v/>
      </c>
      <c r="C386" s="3">
        <f>IF(ORIG!C386=0,"",ORIG!C386)</f>
        <v/>
      </c>
      <c r="D386" s="3">
        <f>IF(ORIG!D386=0,"",ORIG!D386)</f>
        <v/>
      </c>
      <c r="E386" s="3">
        <f>IF(ORIG!E386=0,"",ORIG!E386)</f>
        <v/>
      </c>
      <c r="F386" s="3">
        <f>IF(ORIG!F386=0,"",ORIG!F386)</f>
        <v/>
      </c>
      <c r="G386" s="3">
        <f>IF(ORIG!G386=0,"",ORIG!G386)</f>
        <v/>
      </c>
      <c r="H386" s="3">
        <f>IF(ORIG!H386=0,"",ORIG!H386)</f>
        <v/>
      </c>
      <c r="I386" s="3">
        <f>IF(ORIG!I386=0,"",ORIG!I386)</f>
        <v/>
      </c>
      <c r="J386" s="3">
        <f>IF(ORIG!J386=0,"",ORIG!J386)</f>
        <v/>
      </c>
      <c r="K386" s="3">
        <f>IF(ORIG!K386=0,"",ORIG!K386)</f>
        <v/>
      </c>
      <c r="L386" s="3">
        <f>IF(ORIG!L386=0,"",ORIG!L386)</f>
        <v/>
      </c>
      <c r="M386" s="3">
        <f>IF(ORIG!M386=0,"",ORIG!M386)</f>
        <v/>
      </c>
      <c r="N386" s="3">
        <f>IF(ORIG!N386=0,"",ORIG!N386)</f>
        <v/>
      </c>
      <c r="O386" s="3">
        <f>IF(ORIG!O386=0,"",ORIG!O386)</f>
        <v/>
      </c>
      <c r="P386" s="3">
        <f>IF(ORIG!P386=0,"",ORIG!P386)</f>
        <v/>
      </c>
      <c r="Q386" s="3">
        <f>IF(ORIG!Q386=0,"",ORIG!Q386)</f>
        <v/>
      </c>
      <c r="R386" s="3">
        <f>IF(ORIG!R386=0,"",ORIG!R386)</f>
        <v/>
      </c>
      <c r="S386" s="3">
        <f>IF(ORIG!S386=0,"",ORIG!S386)</f>
        <v/>
      </c>
      <c r="T386" s="3">
        <f>IF(ORIG!T386=0,"",ORIG!T386)</f>
        <v/>
      </c>
      <c r="U386" s="3">
        <f>IF(ORIG!U386=0,"",ORIG!U386)</f>
        <v/>
      </c>
      <c r="V386" s="9">
        <f>IF(ORIG!V386=0,"",ORIG!V386)</f>
        <v/>
      </c>
      <c r="W386" s="9">
        <f>IF(ORIG!W386=0,"",ORIG!W386)</f>
        <v/>
      </c>
      <c r="X386" s="9">
        <f>IF(ORIG!X386=0,"",ORIG!X386)</f>
        <v/>
      </c>
      <c r="Y386" s="9">
        <f>IF(ORIG!Y386=0,"",ORIG!Y386)</f>
        <v/>
      </c>
      <c r="Z386" s="3">
        <f>SUMPRODUCT($B386:$Y386,$B$2649:$Y$2649)</f>
        <v/>
      </c>
      <c r="AA386" s="3">
        <f>SUMPRODUCT($B386:$Y386,$B$2655:$Y$2655)</f>
        <v/>
      </c>
      <c r="AC386" s="1">
        <f>A386</f>
        <v/>
      </c>
      <c r="AD386">
        <f>IF(ISNUMBER(V386),V386*($AB$1/V$2635),"")</f>
        <v/>
      </c>
      <c r="AE386">
        <f>IF(ISNUMBER(Z386),Z386*($AB$1/Z$2635),"")</f>
        <v/>
      </c>
      <c r="AF386" s="25">
        <f>IF(ISNUMBER(AD386+AE386),AD386+AE386,"")</f>
        <v/>
      </c>
      <c r="AH386" s="1">
        <f>A386</f>
        <v/>
      </c>
      <c r="AI386">
        <f>IF(ISNUMBER((1+V386)*AI385),(1+V386)*AI385,AI385)</f>
        <v/>
      </c>
      <c r="AJ386">
        <f>IF(ISNUMBER((1+Z386)*AJ385),(1+Z386)*AJ385,AJ385)</f>
        <v/>
      </c>
    </row>
    <row r="387">
      <c r="A387" s="1" t="n">
        <v>42564</v>
      </c>
      <c r="B387" s="3">
        <f>IF(ORIG!B387=0,"",ORIG!B387)</f>
        <v/>
      </c>
      <c r="C387" s="3">
        <f>IF(ORIG!C387=0,"",ORIG!C387)</f>
        <v/>
      </c>
      <c r="D387" s="3">
        <f>IF(ORIG!D387=0,"",ORIG!D387)</f>
        <v/>
      </c>
      <c r="E387" s="3">
        <f>IF(ORIG!E387=0,"",ORIG!E387)</f>
        <v/>
      </c>
      <c r="F387" s="3">
        <f>IF(ORIG!F387=0,"",ORIG!F387)</f>
        <v/>
      </c>
      <c r="G387" s="3">
        <f>IF(ORIG!G387=0,"",ORIG!G387)</f>
        <v/>
      </c>
      <c r="H387" s="3">
        <f>IF(ORIG!H387=0,"",ORIG!H387)</f>
        <v/>
      </c>
      <c r="I387" s="3">
        <f>IF(ORIG!I387=0,"",ORIG!I387)</f>
        <v/>
      </c>
      <c r="J387" s="3">
        <f>IF(ORIG!J387=0,"",ORIG!J387)</f>
        <v/>
      </c>
      <c r="K387" s="3">
        <f>IF(ORIG!K387=0,"",ORIG!K387)</f>
        <v/>
      </c>
      <c r="L387" s="3">
        <f>IF(ORIG!L387=0,"",ORIG!L387)</f>
        <v/>
      </c>
      <c r="M387" s="3">
        <f>IF(ORIG!M387=0,"",ORIG!M387)</f>
        <v/>
      </c>
      <c r="N387" s="3">
        <f>IF(ORIG!N387=0,"",ORIG!N387)</f>
        <v/>
      </c>
      <c r="O387" s="3">
        <f>IF(ORIG!O387=0,"",ORIG!O387)</f>
        <v/>
      </c>
      <c r="P387" s="3">
        <f>IF(ORIG!P387=0,"",ORIG!P387)</f>
        <v/>
      </c>
      <c r="Q387" s="3">
        <f>IF(ORIG!Q387=0,"",ORIG!Q387)</f>
        <v/>
      </c>
      <c r="R387" s="3">
        <f>IF(ORIG!R387=0,"",ORIG!R387)</f>
        <v/>
      </c>
      <c r="S387" s="3">
        <f>IF(ORIG!S387=0,"",ORIG!S387)</f>
        <v/>
      </c>
      <c r="T387" s="3">
        <f>IF(ORIG!T387=0,"",ORIG!T387)</f>
        <v/>
      </c>
      <c r="U387" s="3">
        <f>IF(ORIG!U387=0,"",ORIG!U387)</f>
        <v/>
      </c>
      <c r="V387" s="9">
        <f>IF(ORIG!V387=0,"",ORIG!V387)</f>
        <v/>
      </c>
      <c r="W387" s="9">
        <f>IF(ORIG!W387=0,"",ORIG!W387)</f>
        <v/>
      </c>
      <c r="X387" s="9">
        <f>IF(ORIG!X387=0,"",ORIG!X387)</f>
        <v/>
      </c>
      <c r="Y387" s="9">
        <f>IF(ORIG!Y387=0,"",ORIG!Y387)</f>
        <v/>
      </c>
      <c r="Z387" s="3">
        <f>SUMPRODUCT($B387:$Y387,$B$2649:$Y$2649)</f>
        <v/>
      </c>
      <c r="AA387" s="3">
        <f>SUMPRODUCT($B387:$Y387,$B$2655:$Y$2655)</f>
        <v/>
      </c>
      <c r="AC387" s="1">
        <f>A387</f>
        <v/>
      </c>
      <c r="AD387">
        <f>IF(ISNUMBER(V387),V387*($AB$1/V$2635),"")</f>
        <v/>
      </c>
      <c r="AE387">
        <f>IF(ISNUMBER(Z387),Z387*($AB$1/Z$2635),"")</f>
        <v/>
      </c>
      <c r="AF387" s="25">
        <f>IF(ISNUMBER(AD387+AE387),AD387+AE387,"")</f>
        <v/>
      </c>
      <c r="AH387" s="1">
        <f>A387</f>
        <v/>
      </c>
      <c r="AI387">
        <f>IF(ISNUMBER((1+V387)*AI386),(1+V387)*AI386,AI386)</f>
        <v/>
      </c>
      <c r="AJ387">
        <f>IF(ISNUMBER((1+Z387)*AJ386),(1+Z387)*AJ386,AJ386)</f>
        <v/>
      </c>
    </row>
    <row r="388">
      <c r="A388" s="1" t="n">
        <v>42565</v>
      </c>
      <c r="B388" s="3">
        <f>IF(ORIG!B388=0,"",ORIG!B388)</f>
        <v/>
      </c>
      <c r="C388" s="3">
        <f>IF(ORIG!C388=0,"",ORIG!C388)</f>
        <v/>
      </c>
      <c r="D388" s="3">
        <f>IF(ORIG!D388=0,"",ORIG!D388)</f>
        <v/>
      </c>
      <c r="E388" s="3">
        <f>IF(ORIG!E388=0,"",ORIG!E388)</f>
        <v/>
      </c>
      <c r="F388" s="3">
        <f>IF(ORIG!F388=0,"",ORIG!F388)</f>
        <v/>
      </c>
      <c r="G388" s="3">
        <f>IF(ORIG!G388=0,"",ORIG!G388)</f>
        <v/>
      </c>
      <c r="H388" s="3">
        <f>IF(ORIG!H388=0,"",ORIG!H388)</f>
        <v/>
      </c>
      <c r="I388" s="3">
        <f>IF(ORIG!I388=0,"",ORIG!I388)</f>
        <v/>
      </c>
      <c r="J388" s="3">
        <f>IF(ORIG!J388=0,"",ORIG!J388)</f>
        <v/>
      </c>
      <c r="K388" s="3">
        <f>IF(ORIG!K388=0,"",ORIG!K388)</f>
        <v/>
      </c>
      <c r="L388" s="3">
        <f>IF(ORIG!L388=0,"",ORIG!L388)</f>
        <v/>
      </c>
      <c r="M388" s="3">
        <f>IF(ORIG!M388=0,"",ORIG!M388)</f>
        <v/>
      </c>
      <c r="N388" s="3">
        <f>IF(ORIG!N388=0,"",ORIG!N388)</f>
        <v/>
      </c>
      <c r="O388" s="3">
        <f>IF(ORIG!O388=0,"",ORIG!O388)</f>
        <v/>
      </c>
      <c r="P388" s="3">
        <f>IF(ORIG!P388=0,"",ORIG!P388)</f>
        <v/>
      </c>
      <c r="Q388" s="3">
        <f>IF(ORIG!Q388=0,"",ORIG!Q388)</f>
        <v/>
      </c>
      <c r="R388" s="3">
        <f>IF(ORIG!R388=0,"",ORIG!R388)</f>
        <v/>
      </c>
      <c r="S388" s="3">
        <f>IF(ORIG!S388=0,"",ORIG!S388)</f>
        <v/>
      </c>
      <c r="T388" s="3">
        <f>IF(ORIG!T388=0,"",ORIG!T388)</f>
        <v/>
      </c>
      <c r="U388" s="3">
        <f>IF(ORIG!U388=0,"",ORIG!U388)</f>
        <v/>
      </c>
      <c r="V388" s="9">
        <f>IF(ORIG!V388=0,"",ORIG!V388)</f>
        <v/>
      </c>
      <c r="W388" s="9">
        <f>IF(ORIG!W388=0,"",ORIG!W388)</f>
        <v/>
      </c>
      <c r="X388" s="9">
        <f>IF(ORIG!X388=0,"",ORIG!X388)</f>
        <v/>
      </c>
      <c r="Y388" s="9">
        <f>IF(ORIG!Y388=0,"",ORIG!Y388)</f>
        <v/>
      </c>
      <c r="Z388" s="3">
        <f>SUMPRODUCT($B388:$Y388,$B$2649:$Y$2649)</f>
        <v/>
      </c>
      <c r="AA388" s="3">
        <f>SUMPRODUCT($B388:$Y388,$B$2655:$Y$2655)</f>
        <v/>
      </c>
      <c r="AC388" s="1">
        <f>A388</f>
        <v/>
      </c>
      <c r="AD388">
        <f>IF(ISNUMBER(V388),V388*($AB$1/V$2635),"")</f>
        <v/>
      </c>
      <c r="AE388">
        <f>IF(ISNUMBER(Z388),Z388*($AB$1/Z$2635),"")</f>
        <v/>
      </c>
      <c r="AF388" s="25">
        <f>IF(ISNUMBER(AD388+AE388),AD388+AE388,"")</f>
        <v/>
      </c>
      <c r="AH388" s="1">
        <f>A388</f>
        <v/>
      </c>
      <c r="AI388">
        <f>IF(ISNUMBER((1+V388)*AI387),(1+V388)*AI387,AI387)</f>
        <v/>
      </c>
      <c r="AJ388">
        <f>IF(ISNUMBER((1+Z388)*AJ387),(1+Z388)*AJ387,AJ387)</f>
        <v/>
      </c>
    </row>
    <row r="389">
      <c r="A389" s="1" t="n">
        <v>42566</v>
      </c>
      <c r="B389" s="3">
        <f>IF(ORIG!B389=0,"",ORIG!B389)</f>
        <v/>
      </c>
      <c r="C389" s="3">
        <f>IF(ORIG!C389=0,"",ORIG!C389)</f>
        <v/>
      </c>
      <c r="D389" s="3">
        <f>IF(ORIG!D389=0,"",ORIG!D389)</f>
        <v/>
      </c>
      <c r="E389" s="3">
        <f>IF(ORIG!E389=0,"",ORIG!E389)</f>
        <v/>
      </c>
      <c r="F389" s="3">
        <f>IF(ORIG!F389=0,"",ORIG!F389)</f>
        <v/>
      </c>
      <c r="G389" s="3">
        <f>IF(ORIG!G389=0,"",ORIG!G389)</f>
        <v/>
      </c>
      <c r="H389" s="3">
        <f>IF(ORIG!H389=0,"",ORIG!H389)</f>
        <v/>
      </c>
      <c r="I389" s="3">
        <f>IF(ORIG!I389=0,"",ORIG!I389)</f>
        <v/>
      </c>
      <c r="J389" s="3">
        <f>IF(ORIG!J389=0,"",ORIG!J389)</f>
        <v/>
      </c>
      <c r="K389" s="3">
        <f>IF(ORIG!K389=0,"",ORIG!K389)</f>
        <v/>
      </c>
      <c r="L389" s="3">
        <f>IF(ORIG!L389=0,"",ORIG!L389)</f>
        <v/>
      </c>
      <c r="M389" s="3">
        <f>IF(ORIG!M389=0,"",ORIG!M389)</f>
        <v/>
      </c>
      <c r="N389" s="3">
        <f>IF(ORIG!N389=0,"",ORIG!N389)</f>
        <v/>
      </c>
      <c r="O389" s="3">
        <f>IF(ORIG!O389=0,"",ORIG!O389)</f>
        <v/>
      </c>
      <c r="P389" s="3">
        <f>IF(ORIG!P389=0,"",ORIG!P389)</f>
        <v/>
      </c>
      <c r="Q389" s="3">
        <f>IF(ORIG!Q389=0,"",ORIG!Q389)</f>
        <v/>
      </c>
      <c r="R389" s="3">
        <f>IF(ORIG!R389=0,"",ORIG!R389)</f>
        <v/>
      </c>
      <c r="S389" s="3">
        <f>IF(ORIG!S389=0,"",ORIG!S389)</f>
        <v/>
      </c>
      <c r="T389" s="3">
        <f>IF(ORIG!T389=0,"",ORIG!T389)</f>
        <v/>
      </c>
      <c r="U389" s="3">
        <f>IF(ORIG!U389=0,"",ORIG!U389)</f>
        <v/>
      </c>
      <c r="V389" s="9">
        <f>IF(ORIG!V389=0,"",ORIG!V389)</f>
        <v/>
      </c>
      <c r="W389" s="9">
        <f>IF(ORIG!W389=0,"",ORIG!W389)</f>
        <v/>
      </c>
      <c r="X389" s="9">
        <f>IF(ORIG!X389=0,"",ORIG!X389)</f>
        <v/>
      </c>
      <c r="Y389" s="9">
        <f>IF(ORIG!Y389=0,"",ORIG!Y389)</f>
        <v/>
      </c>
      <c r="Z389" s="3">
        <f>SUMPRODUCT($B389:$Y389,$B$2649:$Y$2649)</f>
        <v/>
      </c>
      <c r="AA389" s="3">
        <f>SUMPRODUCT($B389:$Y389,$B$2655:$Y$2655)</f>
        <v/>
      </c>
      <c r="AC389" s="1">
        <f>A389</f>
        <v/>
      </c>
      <c r="AD389">
        <f>IF(ISNUMBER(V389),V389*($AB$1/V$2635),"")</f>
        <v/>
      </c>
      <c r="AE389">
        <f>IF(ISNUMBER(Z389),Z389*($AB$1/Z$2635),"")</f>
        <v/>
      </c>
      <c r="AF389" s="25">
        <f>IF(ISNUMBER(AD389+AE389),AD389+AE389,"")</f>
        <v/>
      </c>
      <c r="AH389" s="1">
        <f>A389</f>
        <v/>
      </c>
      <c r="AI389">
        <f>IF(ISNUMBER((1+V389)*AI388),(1+V389)*AI388,AI388)</f>
        <v/>
      </c>
      <c r="AJ389">
        <f>IF(ISNUMBER((1+Z389)*AJ388),(1+Z389)*AJ388,AJ388)</f>
        <v/>
      </c>
    </row>
    <row r="390">
      <c r="A390" s="1" t="n">
        <v>42569</v>
      </c>
      <c r="B390" s="3">
        <f>IF(ORIG!B390=0,"",ORIG!B390)</f>
        <v/>
      </c>
      <c r="C390" s="3">
        <f>IF(ORIG!C390=0,"",ORIG!C390)</f>
        <v/>
      </c>
      <c r="D390" s="3">
        <f>IF(ORIG!D390=0,"",ORIG!D390)</f>
        <v/>
      </c>
      <c r="E390" s="3">
        <f>IF(ORIG!E390=0,"",ORIG!E390)</f>
        <v/>
      </c>
      <c r="F390" s="3">
        <f>IF(ORIG!F390=0,"",ORIG!F390)</f>
        <v/>
      </c>
      <c r="G390" s="3">
        <f>IF(ORIG!G390=0,"",ORIG!G390)</f>
        <v/>
      </c>
      <c r="H390" s="3">
        <f>IF(ORIG!H390=0,"",ORIG!H390)</f>
        <v/>
      </c>
      <c r="I390" s="3">
        <f>IF(ORIG!I390=0,"",ORIG!I390)</f>
        <v/>
      </c>
      <c r="J390" s="3">
        <f>IF(ORIG!J390=0,"",ORIG!J390)</f>
        <v/>
      </c>
      <c r="K390" s="3">
        <f>IF(ORIG!K390=0,"",ORIG!K390)</f>
        <v/>
      </c>
      <c r="L390" s="3">
        <f>IF(ORIG!L390=0,"",ORIG!L390)</f>
        <v/>
      </c>
      <c r="M390" s="3">
        <f>IF(ORIG!M390=0,"",ORIG!M390)</f>
        <v/>
      </c>
      <c r="N390" s="3">
        <f>IF(ORIG!N390=0,"",ORIG!N390)</f>
        <v/>
      </c>
      <c r="O390" s="3">
        <f>IF(ORIG!O390=0,"",ORIG!O390)</f>
        <v/>
      </c>
      <c r="P390" s="3">
        <f>IF(ORIG!P390=0,"",ORIG!P390)</f>
        <v/>
      </c>
      <c r="Q390" s="3">
        <f>IF(ORIG!Q390=0,"",ORIG!Q390)</f>
        <v/>
      </c>
      <c r="R390" s="3">
        <f>IF(ORIG!R390=0,"",ORIG!R390)</f>
        <v/>
      </c>
      <c r="S390" s="3">
        <f>IF(ORIG!S390=0,"",ORIG!S390)</f>
        <v/>
      </c>
      <c r="T390" s="3">
        <f>IF(ORIG!T390=0,"",ORIG!T390)</f>
        <v/>
      </c>
      <c r="U390" s="3">
        <f>IF(ORIG!U390=0,"",ORIG!U390)</f>
        <v/>
      </c>
      <c r="V390" s="9">
        <f>IF(ORIG!V390=0,"",ORIG!V390)</f>
        <v/>
      </c>
      <c r="W390" s="9">
        <f>IF(ORIG!W390=0,"",ORIG!W390)</f>
        <v/>
      </c>
      <c r="X390" s="9">
        <f>IF(ORIG!X390=0,"",ORIG!X390)</f>
        <v/>
      </c>
      <c r="Y390" s="9">
        <f>IF(ORIG!Y390=0,"",ORIG!Y390)</f>
        <v/>
      </c>
      <c r="Z390" s="3">
        <f>SUMPRODUCT($B390:$Y390,$B$2649:$Y$2649)</f>
        <v/>
      </c>
      <c r="AA390" s="3">
        <f>SUMPRODUCT($B390:$Y390,$B$2655:$Y$2655)</f>
        <v/>
      </c>
      <c r="AC390" s="1">
        <f>A390</f>
        <v/>
      </c>
      <c r="AD390">
        <f>IF(ISNUMBER(V390),V390*($AB$1/V$2635),"")</f>
        <v/>
      </c>
      <c r="AE390">
        <f>IF(ISNUMBER(Z390),Z390*($AB$1/Z$2635),"")</f>
        <v/>
      </c>
      <c r="AF390" s="25">
        <f>IF(ISNUMBER(AD390+AE390),AD390+AE390,"")</f>
        <v/>
      </c>
      <c r="AH390" s="1">
        <f>A390</f>
        <v/>
      </c>
      <c r="AI390">
        <f>IF(ISNUMBER((1+V390)*AI389),(1+V390)*AI389,AI389)</f>
        <v/>
      </c>
      <c r="AJ390">
        <f>IF(ISNUMBER((1+Z390)*AJ389),(1+Z390)*AJ389,AJ389)</f>
        <v/>
      </c>
    </row>
    <row r="391">
      <c r="A391" s="1" t="n">
        <v>42570</v>
      </c>
      <c r="B391" s="3">
        <f>IF(ORIG!B391=0,"",ORIG!B391)</f>
        <v/>
      </c>
      <c r="C391" s="3">
        <f>IF(ORIG!C391=0,"",ORIG!C391)</f>
        <v/>
      </c>
      <c r="D391" s="3">
        <f>IF(ORIG!D391=0,"",ORIG!D391)</f>
        <v/>
      </c>
      <c r="E391" s="3">
        <f>IF(ORIG!E391=0,"",ORIG!E391)</f>
        <v/>
      </c>
      <c r="F391" s="3">
        <f>IF(ORIG!F391=0,"",ORIG!F391)</f>
        <v/>
      </c>
      <c r="G391" s="3">
        <f>IF(ORIG!G391=0,"",ORIG!G391)</f>
        <v/>
      </c>
      <c r="H391" s="3">
        <f>IF(ORIG!H391=0,"",ORIG!H391)</f>
        <v/>
      </c>
      <c r="I391" s="3">
        <f>IF(ORIG!I391=0,"",ORIG!I391)</f>
        <v/>
      </c>
      <c r="J391" s="3">
        <f>IF(ORIG!J391=0,"",ORIG!J391)</f>
        <v/>
      </c>
      <c r="K391" s="3">
        <f>IF(ORIG!K391=0,"",ORIG!K391)</f>
        <v/>
      </c>
      <c r="L391" s="3">
        <f>IF(ORIG!L391=0,"",ORIG!L391)</f>
        <v/>
      </c>
      <c r="M391" s="3">
        <f>IF(ORIG!M391=0,"",ORIG!M391)</f>
        <v/>
      </c>
      <c r="N391" s="3">
        <f>IF(ORIG!N391=0,"",ORIG!N391)</f>
        <v/>
      </c>
      <c r="O391" s="3">
        <f>IF(ORIG!O391=0,"",ORIG!O391)</f>
        <v/>
      </c>
      <c r="P391" s="3">
        <f>IF(ORIG!P391=0,"",ORIG!P391)</f>
        <v/>
      </c>
      <c r="Q391" s="3">
        <f>IF(ORIG!Q391=0,"",ORIG!Q391)</f>
        <v/>
      </c>
      <c r="R391" s="3">
        <f>IF(ORIG!R391=0,"",ORIG!R391)</f>
        <v/>
      </c>
      <c r="S391" s="3">
        <f>IF(ORIG!S391=0,"",ORIG!S391)</f>
        <v/>
      </c>
      <c r="T391" s="3">
        <f>IF(ORIG!T391=0,"",ORIG!T391)</f>
        <v/>
      </c>
      <c r="U391" s="3">
        <f>IF(ORIG!U391=0,"",ORIG!U391)</f>
        <v/>
      </c>
      <c r="V391" s="9">
        <f>IF(ORIG!V391=0,"",ORIG!V391)</f>
        <v/>
      </c>
      <c r="W391" s="9">
        <f>IF(ORIG!W391=0,"",ORIG!W391)</f>
        <v/>
      </c>
      <c r="X391" s="9">
        <f>IF(ORIG!X391=0,"",ORIG!X391)</f>
        <v/>
      </c>
      <c r="Y391" s="9">
        <f>IF(ORIG!Y391=0,"",ORIG!Y391)</f>
        <v/>
      </c>
      <c r="Z391" s="3">
        <f>SUMPRODUCT($B391:$Y391,$B$2649:$Y$2649)</f>
        <v/>
      </c>
      <c r="AA391" s="3">
        <f>SUMPRODUCT($B391:$Y391,$B$2655:$Y$2655)</f>
        <v/>
      </c>
      <c r="AC391" s="1">
        <f>A391</f>
        <v/>
      </c>
      <c r="AD391">
        <f>IF(ISNUMBER(V391),V391*($AB$1/V$2635),"")</f>
        <v/>
      </c>
      <c r="AE391">
        <f>IF(ISNUMBER(Z391),Z391*($AB$1/Z$2635),"")</f>
        <v/>
      </c>
      <c r="AF391" s="25">
        <f>IF(ISNUMBER(AD391+AE391),AD391+AE391,"")</f>
        <v/>
      </c>
      <c r="AH391" s="1">
        <f>A391</f>
        <v/>
      </c>
      <c r="AI391">
        <f>IF(ISNUMBER((1+V391)*AI390),(1+V391)*AI390,AI390)</f>
        <v/>
      </c>
      <c r="AJ391">
        <f>IF(ISNUMBER((1+Z391)*AJ390),(1+Z391)*AJ390,AJ390)</f>
        <v/>
      </c>
    </row>
    <row r="392">
      <c r="A392" s="1" t="n">
        <v>42571</v>
      </c>
      <c r="B392" s="3">
        <f>IF(ORIG!B392=0,"",ORIG!B392)</f>
        <v/>
      </c>
      <c r="C392" s="3">
        <f>IF(ORIG!C392=0,"",ORIG!C392)</f>
        <v/>
      </c>
      <c r="D392" s="3">
        <f>IF(ORIG!D392=0,"",ORIG!D392)</f>
        <v/>
      </c>
      <c r="E392" s="3">
        <f>IF(ORIG!E392=0,"",ORIG!E392)</f>
        <v/>
      </c>
      <c r="F392" s="3">
        <f>IF(ORIG!F392=0,"",ORIG!F392)</f>
        <v/>
      </c>
      <c r="G392" s="3">
        <f>IF(ORIG!G392=0,"",ORIG!G392)</f>
        <v/>
      </c>
      <c r="H392" s="3">
        <f>IF(ORIG!H392=0,"",ORIG!H392)</f>
        <v/>
      </c>
      <c r="I392" s="3">
        <f>IF(ORIG!I392=0,"",ORIG!I392)</f>
        <v/>
      </c>
      <c r="J392" s="3">
        <f>IF(ORIG!J392=0,"",ORIG!J392)</f>
        <v/>
      </c>
      <c r="K392" s="3">
        <f>IF(ORIG!K392=0,"",ORIG!K392)</f>
        <v/>
      </c>
      <c r="L392" s="3">
        <f>IF(ORIG!L392=0,"",ORIG!L392)</f>
        <v/>
      </c>
      <c r="M392" s="3">
        <f>IF(ORIG!M392=0,"",ORIG!M392)</f>
        <v/>
      </c>
      <c r="N392" s="3">
        <f>IF(ORIG!N392=0,"",ORIG!N392)</f>
        <v/>
      </c>
      <c r="O392" s="3">
        <f>IF(ORIG!O392=0,"",ORIG!O392)</f>
        <v/>
      </c>
      <c r="P392" s="3">
        <f>IF(ORIG!P392=0,"",ORIG!P392)</f>
        <v/>
      </c>
      <c r="Q392" s="3">
        <f>IF(ORIG!Q392=0,"",ORIG!Q392)</f>
        <v/>
      </c>
      <c r="R392" s="3">
        <f>IF(ORIG!R392=0,"",ORIG!R392)</f>
        <v/>
      </c>
      <c r="S392" s="3">
        <f>IF(ORIG!S392=0,"",ORIG!S392)</f>
        <v/>
      </c>
      <c r="T392" s="3">
        <f>IF(ORIG!T392=0,"",ORIG!T392)</f>
        <v/>
      </c>
      <c r="U392" s="3">
        <f>IF(ORIG!U392=0,"",ORIG!U392)</f>
        <v/>
      </c>
      <c r="V392" s="9">
        <f>IF(ORIG!V392=0,"",ORIG!V392)</f>
        <v/>
      </c>
      <c r="W392" s="9">
        <f>IF(ORIG!W392=0,"",ORIG!W392)</f>
        <v/>
      </c>
      <c r="X392" s="9">
        <f>IF(ORIG!X392=0,"",ORIG!X392)</f>
        <v/>
      </c>
      <c r="Y392" s="9">
        <f>IF(ORIG!Y392=0,"",ORIG!Y392)</f>
        <v/>
      </c>
      <c r="Z392" s="3">
        <f>SUMPRODUCT($B392:$Y392,$B$2649:$Y$2649)</f>
        <v/>
      </c>
      <c r="AA392" s="3">
        <f>SUMPRODUCT($B392:$Y392,$B$2655:$Y$2655)</f>
        <v/>
      </c>
      <c r="AC392" s="1">
        <f>A392</f>
        <v/>
      </c>
      <c r="AD392">
        <f>IF(ISNUMBER(V392),V392*($AB$1/V$2635),"")</f>
        <v/>
      </c>
      <c r="AE392">
        <f>IF(ISNUMBER(Z392),Z392*($AB$1/Z$2635),"")</f>
        <v/>
      </c>
      <c r="AF392" s="25">
        <f>IF(ISNUMBER(AD392+AE392),AD392+AE392,"")</f>
        <v/>
      </c>
      <c r="AH392" s="1">
        <f>A392</f>
        <v/>
      </c>
      <c r="AI392">
        <f>IF(ISNUMBER((1+V392)*AI391),(1+V392)*AI391,AI391)</f>
        <v/>
      </c>
      <c r="AJ392">
        <f>IF(ISNUMBER((1+Z392)*AJ391),(1+Z392)*AJ391,AJ391)</f>
        <v/>
      </c>
    </row>
    <row r="393">
      <c r="A393" s="1" t="n">
        <v>42572</v>
      </c>
      <c r="B393" s="3">
        <f>IF(ORIG!B393=0,"",ORIG!B393)</f>
        <v/>
      </c>
      <c r="C393" s="3">
        <f>IF(ORIG!C393=0,"",ORIG!C393)</f>
        <v/>
      </c>
      <c r="D393" s="3">
        <f>IF(ORIG!D393=0,"",ORIG!D393)</f>
        <v/>
      </c>
      <c r="E393" s="3">
        <f>IF(ORIG!E393=0,"",ORIG!E393)</f>
        <v/>
      </c>
      <c r="F393" s="3">
        <f>IF(ORIG!F393=0,"",ORIG!F393)</f>
        <v/>
      </c>
      <c r="G393" s="3">
        <f>IF(ORIG!G393=0,"",ORIG!G393)</f>
        <v/>
      </c>
      <c r="H393" s="3">
        <f>IF(ORIG!H393=0,"",ORIG!H393)</f>
        <v/>
      </c>
      <c r="I393" s="3">
        <f>IF(ORIG!I393=0,"",ORIG!I393)</f>
        <v/>
      </c>
      <c r="J393" s="3">
        <f>IF(ORIG!J393=0,"",ORIG!J393)</f>
        <v/>
      </c>
      <c r="K393" s="3">
        <f>IF(ORIG!K393=0,"",ORIG!K393)</f>
        <v/>
      </c>
      <c r="L393" s="3">
        <f>IF(ORIG!L393=0,"",ORIG!L393)</f>
        <v/>
      </c>
      <c r="M393" s="3">
        <f>IF(ORIG!M393=0,"",ORIG!M393)</f>
        <v/>
      </c>
      <c r="N393" s="3">
        <f>IF(ORIG!N393=0,"",ORIG!N393)</f>
        <v/>
      </c>
      <c r="O393" s="3">
        <f>IF(ORIG!O393=0,"",ORIG!O393)</f>
        <v/>
      </c>
      <c r="P393" s="3">
        <f>IF(ORIG!P393=0,"",ORIG!P393)</f>
        <v/>
      </c>
      <c r="Q393" s="3">
        <f>IF(ORIG!Q393=0,"",ORIG!Q393)</f>
        <v/>
      </c>
      <c r="R393" s="3">
        <f>IF(ORIG!R393=0,"",ORIG!R393)</f>
        <v/>
      </c>
      <c r="S393" s="3">
        <f>IF(ORIG!S393=0,"",ORIG!S393)</f>
        <v/>
      </c>
      <c r="T393" s="3">
        <f>IF(ORIG!T393=0,"",ORIG!T393)</f>
        <v/>
      </c>
      <c r="U393" s="3">
        <f>IF(ORIG!U393=0,"",ORIG!U393)</f>
        <v/>
      </c>
      <c r="V393" s="9">
        <f>IF(ORIG!V393=0,"",ORIG!V393)</f>
        <v/>
      </c>
      <c r="W393" s="9">
        <f>IF(ORIG!W393=0,"",ORIG!W393)</f>
        <v/>
      </c>
      <c r="X393" s="9">
        <f>IF(ORIG!X393=0,"",ORIG!X393)</f>
        <v/>
      </c>
      <c r="Y393" s="9">
        <f>IF(ORIG!Y393=0,"",ORIG!Y393)</f>
        <v/>
      </c>
      <c r="Z393" s="3">
        <f>SUMPRODUCT($B393:$Y393,$B$2649:$Y$2649)</f>
        <v/>
      </c>
      <c r="AA393" s="3">
        <f>SUMPRODUCT($B393:$Y393,$B$2655:$Y$2655)</f>
        <v/>
      </c>
      <c r="AC393" s="1">
        <f>A393</f>
        <v/>
      </c>
      <c r="AD393">
        <f>IF(ISNUMBER(V393),V393*($AB$1/V$2635),"")</f>
        <v/>
      </c>
      <c r="AE393">
        <f>IF(ISNUMBER(Z393),Z393*($AB$1/Z$2635),"")</f>
        <v/>
      </c>
      <c r="AF393" s="25">
        <f>IF(ISNUMBER(AD393+AE393),AD393+AE393,"")</f>
        <v/>
      </c>
      <c r="AH393" s="1">
        <f>A393</f>
        <v/>
      </c>
      <c r="AI393">
        <f>IF(ISNUMBER((1+V393)*AI392),(1+V393)*AI392,AI392)</f>
        <v/>
      </c>
      <c r="AJ393">
        <f>IF(ISNUMBER((1+Z393)*AJ392),(1+Z393)*AJ392,AJ392)</f>
        <v/>
      </c>
    </row>
    <row r="394">
      <c r="A394" s="1" t="n">
        <v>42573</v>
      </c>
      <c r="B394" s="3">
        <f>IF(ORIG!B394=0,"",ORIG!B394)</f>
        <v/>
      </c>
      <c r="C394" s="3">
        <f>IF(ORIG!C394=0,"",ORIG!C394)</f>
        <v/>
      </c>
      <c r="D394" s="3">
        <f>IF(ORIG!D394=0,"",ORIG!D394)</f>
        <v/>
      </c>
      <c r="E394" s="3">
        <f>IF(ORIG!E394=0,"",ORIG!E394)</f>
        <v/>
      </c>
      <c r="F394" s="3">
        <f>IF(ORIG!F394=0,"",ORIG!F394)</f>
        <v/>
      </c>
      <c r="G394" s="3">
        <f>IF(ORIG!G394=0,"",ORIG!G394)</f>
        <v/>
      </c>
      <c r="H394" s="3">
        <f>IF(ORIG!H394=0,"",ORIG!H394)</f>
        <v/>
      </c>
      <c r="I394" s="3">
        <f>IF(ORIG!I394=0,"",ORIG!I394)</f>
        <v/>
      </c>
      <c r="J394" s="3">
        <f>IF(ORIG!J394=0,"",ORIG!J394)</f>
        <v/>
      </c>
      <c r="K394" s="3">
        <f>IF(ORIG!K394=0,"",ORIG!K394)</f>
        <v/>
      </c>
      <c r="L394" s="3">
        <f>IF(ORIG!L394=0,"",ORIG!L394)</f>
        <v/>
      </c>
      <c r="M394" s="3">
        <f>IF(ORIG!M394=0,"",ORIG!M394)</f>
        <v/>
      </c>
      <c r="N394" s="3">
        <f>IF(ORIG!N394=0,"",ORIG!N394)</f>
        <v/>
      </c>
      <c r="O394" s="3">
        <f>IF(ORIG!O394=0,"",ORIG!O394)</f>
        <v/>
      </c>
      <c r="P394" s="3">
        <f>IF(ORIG!P394=0,"",ORIG!P394)</f>
        <v/>
      </c>
      <c r="Q394" s="3">
        <f>IF(ORIG!Q394=0,"",ORIG!Q394)</f>
        <v/>
      </c>
      <c r="R394" s="3">
        <f>IF(ORIG!R394=0,"",ORIG!R394)</f>
        <v/>
      </c>
      <c r="S394" s="3">
        <f>IF(ORIG!S394=0,"",ORIG!S394)</f>
        <v/>
      </c>
      <c r="T394" s="3">
        <f>IF(ORIG!T394=0,"",ORIG!T394)</f>
        <v/>
      </c>
      <c r="U394" s="3">
        <f>IF(ORIG!U394=0,"",ORIG!U394)</f>
        <v/>
      </c>
      <c r="V394" s="9">
        <f>IF(ORIG!V394=0,"",ORIG!V394)</f>
        <v/>
      </c>
      <c r="W394" s="9">
        <f>IF(ORIG!W394=0,"",ORIG!W394)</f>
        <v/>
      </c>
      <c r="X394" s="9">
        <f>IF(ORIG!X394=0,"",ORIG!X394)</f>
        <v/>
      </c>
      <c r="Y394" s="9">
        <f>IF(ORIG!Y394=0,"",ORIG!Y394)</f>
        <v/>
      </c>
      <c r="Z394" s="3">
        <f>SUMPRODUCT($B394:$Y394,$B$2649:$Y$2649)</f>
        <v/>
      </c>
      <c r="AA394" s="3">
        <f>SUMPRODUCT($B394:$Y394,$B$2655:$Y$2655)</f>
        <v/>
      </c>
      <c r="AC394" s="1">
        <f>A394</f>
        <v/>
      </c>
      <c r="AD394">
        <f>IF(ISNUMBER(V394),V394*($AB$1/V$2635),"")</f>
        <v/>
      </c>
      <c r="AE394">
        <f>IF(ISNUMBER(Z394),Z394*($AB$1/Z$2635),"")</f>
        <v/>
      </c>
      <c r="AF394" s="25">
        <f>IF(ISNUMBER(AD394+AE394),AD394+AE394,"")</f>
        <v/>
      </c>
      <c r="AH394" s="1">
        <f>A394</f>
        <v/>
      </c>
      <c r="AI394">
        <f>IF(ISNUMBER((1+V394)*AI393),(1+V394)*AI393,AI393)</f>
        <v/>
      </c>
      <c r="AJ394">
        <f>IF(ISNUMBER((1+Z394)*AJ393),(1+Z394)*AJ393,AJ393)</f>
        <v/>
      </c>
    </row>
    <row r="395">
      <c r="A395" s="1" t="n">
        <v>42576</v>
      </c>
      <c r="B395" s="3">
        <f>IF(ORIG!B395=0,"",ORIG!B395)</f>
        <v/>
      </c>
      <c r="C395" s="3">
        <f>IF(ORIG!C395=0,"",ORIG!C395)</f>
        <v/>
      </c>
      <c r="D395" s="3">
        <f>IF(ORIG!D395=0,"",ORIG!D395)</f>
        <v/>
      </c>
      <c r="E395" s="3">
        <f>IF(ORIG!E395=0,"",ORIG!E395)</f>
        <v/>
      </c>
      <c r="F395" s="3">
        <f>IF(ORIG!F395=0,"",ORIG!F395)</f>
        <v/>
      </c>
      <c r="G395" s="3">
        <f>IF(ORIG!G395=0,"",ORIG!G395)</f>
        <v/>
      </c>
      <c r="H395" s="3">
        <f>IF(ORIG!H395=0,"",ORIG!H395)</f>
        <v/>
      </c>
      <c r="I395" s="3">
        <f>IF(ORIG!I395=0,"",ORIG!I395)</f>
        <v/>
      </c>
      <c r="J395" s="3">
        <f>IF(ORIG!J395=0,"",ORIG!J395)</f>
        <v/>
      </c>
      <c r="K395" s="3">
        <f>IF(ORIG!K395=0,"",ORIG!K395)</f>
        <v/>
      </c>
      <c r="L395" s="3">
        <f>IF(ORIG!L395=0,"",ORIG!L395)</f>
        <v/>
      </c>
      <c r="M395" s="3">
        <f>IF(ORIG!M395=0,"",ORIG!M395)</f>
        <v/>
      </c>
      <c r="N395" s="3">
        <f>IF(ORIG!N395=0,"",ORIG!N395)</f>
        <v/>
      </c>
      <c r="O395" s="3">
        <f>IF(ORIG!O395=0,"",ORIG!O395)</f>
        <v/>
      </c>
      <c r="P395" s="3">
        <f>IF(ORIG!P395=0,"",ORIG!P395)</f>
        <v/>
      </c>
      <c r="Q395" s="3">
        <f>IF(ORIG!Q395=0,"",ORIG!Q395)</f>
        <v/>
      </c>
      <c r="R395" s="3">
        <f>IF(ORIG!R395=0,"",ORIG!R395)</f>
        <v/>
      </c>
      <c r="S395" s="3">
        <f>IF(ORIG!S395=0,"",ORIG!S395)</f>
        <v/>
      </c>
      <c r="T395" s="3">
        <f>IF(ORIG!T395=0,"",ORIG!T395)</f>
        <v/>
      </c>
      <c r="U395" s="3">
        <f>IF(ORIG!U395=0,"",ORIG!U395)</f>
        <v/>
      </c>
      <c r="V395" s="9">
        <f>IF(ORIG!V395=0,"",ORIG!V395)</f>
        <v/>
      </c>
      <c r="W395" s="9">
        <f>IF(ORIG!W395=0,"",ORIG!W395)</f>
        <v/>
      </c>
      <c r="X395" s="9">
        <f>IF(ORIG!X395=0,"",ORIG!X395)</f>
        <v/>
      </c>
      <c r="Y395" s="9">
        <f>IF(ORIG!Y395=0,"",ORIG!Y395)</f>
        <v/>
      </c>
      <c r="Z395" s="3">
        <f>SUMPRODUCT($B395:$Y395,$B$2649:$Y$2649)</f>
        <v/>
      </c>
      <c r="AA395" s="3">
        <f>SUMPRODUCT($B395:$Y395,$B$2655:$Y$2655)</f>
        <v/>
      </c>
      <c r="AC395" s="1">
        <f>A395</f>
        <v/>
      </c>
      <c r="AD395">
        <f>IF(ISNUMBER(V395),V395*($AB$1/V$2635),"")</f>
        <v/>
      </c>
      <c r="AE395">
        <f>IF(ISNUMBER(Z395),Z395*($AB$1/Z$2635),"")</f>
        <v/>
      </c>
      <c r="AF395" s="25">
        <f>IF(ISNUMBER(AD395+AE395),AD395+AE395,"")</f>
        <v/>
      </c>
      <c r="AH395" s="1">
        <f>A395</f>
        <v/>
      </c>
      <c r="AI395">
        <f>IF(ISNUMBER((1+V395)*AI394),(1+V395)*AI394,AI394)</f>
        <v/>
      </c>
      <c r="AJ395">
        <f>IF(ISNUMBER((1+Z395)*AJ394),(1+Z395)*AJ394,AJ394)</f>
        <v/>
      </c>
    </row>
    <row r="396">
      <c r="A396" s="1" t="n">
        <v>42577</v>
      </c>
      <c r="B396" s="3">
        <f>IF(ORIG!B396=0,"",ORIG!B396)</f>
        <v/>
      </c>
      <c r="C396" s="3">
        <f>IF(ORIG!C396=0,"",ORIG!C396)</f>
        <v/>
      </c>
      <c r="D396" s="3">
        <f>IF(ORIG!D396=0,"",ORIG!D396)</f>
        <v/>
      </c>
      <c r="E396" s="3">
        <f>IF(ORIG!E396=0,"",ORIG!E396)</f>
        <v/>
      </c>
      <c r="F396" s="3">
        <f>IF(ORIG!F396=0,"",ORIG!F396)</f>
        <v/>
      </c>
      <c r="G396" s="3">
        <f>IF(ORIG!G396=0,"",ORIG!G396)</f>
        <v/>
      </c>
      <c r="H396" s="3">
        <f>IF(ORIG!H396=0,"",ORIG!H396)</f>
        <v/>
      </c>
      <c r="I396" s="3">
        <f>IF(ORIG!I396=0,"",ORIG!I396)</f>
        <v/>
      </c>
      <c r="J396" s="3">
        <f>IF(ORIG!J396=0,"",ORIG!J396)</f>
        <v/>
      </c>
      <c r="K396" s="3">
        <f>IF(ORIG!K396=0,"",ORIG!K396)</f>
        <v/>
      </c>
      <c r="L396" s="3">
        <f>IF(ORIG!L396=0,"",ORIG!L396)</f>
        <v/>
      </c>
      <c r="M396" s="3">
        <f>IF(ORIG!M396=0,"",ORIG!M396)</f>
        <v/>
      </c>
      <c r="N396" s="3">
        <f>IF(ORIG!N396=0,"",ORIG!N396)</f>
        <v/>
      </c>
      <c r="O396" s="3">
        <f>IF(ORIG!O396=0,"",ORIG!O396)</f>
        <v/>
      </c>
      <c r="P396" s="3">
        <f>IF(ORIG!P396=0,"",ORIG!P396)</f>
        <v/>
      </c>
      <c r="Q396" s="3">
        <f>IF(ORIG!Q396=0,"",ORIG!Q396)</f>
        <v/>
      </c>
      <c r="R396" s="3">
        <f>IF(ORIG!R396=0,"",ORIG!R396)</f>
        <v/>
      </c>
      <c r="S396" s="3">
        <f>IF(ORIG!S396=0,"",ORIG!S396)</f>
        <v/>
      </c>
      <c r="T396" s="3">
        <f>IF(ORIG!T396=0,"",ORIG!T396)</f>
        <v/>
      </c>
      <c r="U396" s="3">
        <f>IF(ORIG!U396=0,"",ORIG!U396)</f>
        <v/>
      </c>
      <c r="V396" s="9">
        <f>IF(ORIG!V396=0,"",ORIG!V396)</f>
        <v/>
      </c>
      <c r="W396" s="9">
        <f>IF(ORIG!W396=0,"",ORIG!W396)</f>
        <v/>
      </c>
      <c r="X396" s="9">
        <f>IF(ORIG!X396=0,"",ORIG!X396)</f>
        <v/>
      </c>
      <c r="Y396" s="9">
        <f>IF(ORIG!Y396=0,"",ORIG!Y396)</f>
        <v/>
      </c>
      <c r="Z396" s="3">
        <f>SUMPRODUCT($B396:$Y396,$B$2649:$Y$2649)</f>
        <v/>
      </c>
      <c r="AA396" s="3">
        <f>SUMPRODUCT($B396:$Y396,$B$2655:$Y$2655)</f>
        <v/>
      </c>
      <c r="AC396" s="1">
        <f>A396</f>
        <v/>
      </c>
      <c r="AD396">
        <f>IF(ISNUMBER(V396),V396*($AB$1/V$2635),"")</f>
        <v/>
      </c>
      <c r="AE396">
        <f>IF(ISNUMBER(Z396),Z396*($AB$1/Z$2635),"")</f>
        <v/>
      </c>
      <c r="AF396" s="25">
        <f>IF(ISNUMBER(AD396+AE396),AD396+AE396,"")</f>
        <v/>
      </c>
      <c r="AH396" s="1">
        <f>A396</f>
        <v/>
      </c>
      <c r="AI396">
        <f>IF(ISNUMBER((1+V396)*AI395),(1+V396)*AI395,AI395)</f>
        <v/>
      </c>
      <c r="AJ396">
        <f>IF(ISNUMBER((1+Z396)*AJ395),(1+Z396)*AJ395,AJ395)</f>
        <v/>
      </c>
    </row>
    <row r="397">
      <c r="A397" s="1" t="n">
        <v>42578</v>
      </c>
      <c r="B397" s="3">
        <f>IF(ORIG!B397=0,"",ORIG!B397)</f>
        <v/>
      </c>
      <c r="C397" s="3">
        <f>IF(ORIG!C397=0,"",ORIG!C397)</f>
        <v/>
      </c>
      <c r="D397" s="3">
        <f>IF(ORIG!D397=0,"",ORIG!D397)</f>
        <v/>
      </c>
      <c r="E397" s="3">
        <f>IF(ORIG!E397=0,"",ORIG!E397)</f>
        <v/>
      </c>
      <c r="F397" s="3">
        <f>IF(ORIG!F397=0,"",ORIG!F397)</f>
        <v/>
      </c>
      <c r="G397" s="3">
        <f>IF(ORIG!G397=0,"",ORIG!G397)</f>
        <v/>
      </c>
      <c r="H397" s="3">
        <f>IF(ORIG!H397=0,"",ORIG!H397)</f>
        <v/>
      </c>
      <c r="I397" s="3">
        <f>IF(ORIG!I397=0,"",ORIG!I397)</f>
        <v/>
      </c>
      <c r="J397" s="3">
        <f>IF(ORIG!J397=0,"",ORIG!J397)</f>
        <v/>
      </c>
      <c r="K397" s="3">
        <f>IF(ORIG!K397=0,"",ORIG!K397)</f>
        <v/>
      </c>
      <c r="L397" s="3">
        <f>IF(ORIG!L397=0,"",ORIG!L397)</f>
        <v/>
      </c>
      <c r="M397" s="3">
        <f>IF(ORIG!M397=0,"",ORIG!M397)</f>
        <v/>
      </c>
      <c r="N397" s="3">
        <f>IF(ORIG!N397=0,"",ORIG!N397)</f>
        <v/>
      </c>
      <c r="O397" s="3">
        <f>IF(ORIG!O397=0,"",ORIG!O397)</f>
        <v/>
      </c>
      <c r="P397" s="3">
        <f>IF(ORIG!P397=0,"",ORIG!P397)</f>
        <v/>
      </c>
      <c r="Q397" s="3">
        <f>IF(ORIG!Q397=0,"",ORIG!Q397)</f>
        <v/>
      </c>
      <c r="R397" s="3">
        <f>IF(ORIG!R397=0,"",ORIG!R397)</f>
        <v/>
      </c>
      <c r="S397" s="3">
        <f>IF(ORIG!S397=0,"",ORIG!S397)</f>
        <v/>
      </c>
      <c r="T397" s="3">
        <f>IF(ORIG!T397=0,"",ORIG!T397)</f>
        <v/>
      </c>
      <c r="U397" s="3">
        <f>IF(ORIG!U397=0,"",ORIG!U397)</f>
        <v/>
      </c>
      <c r="V397" s="9">
        <f>IF(ORIG!V397=0,"",ORIG!V397)</f>
        <v/>
      </c>
      <c r="W397" s="9">
        <f>IF(ORIG!W397=0,"",ORIG!W397)</f>
        <v/>
      </c>
      <c r="X397" s="9">
        <f>IF(ORIG!X397=0,"",ORIG!X397)</f>
        <v/>
      </c>
      <c r="Y397" s="9">
        <f>IF(ORIG!Y397=0,"",ORIG!Y397)</f>
        <v/>
      </c>
      <c r="Z397" s="3">
        <f>SUMPRODUCT($B397:$Y397,$B$2649:$Y$2649)</f>
        <v/>
      </c>
      <c r="AA397" s="3">
        <f>SUMPRODUCT($B397:$Y397,$B$2655:$Y$2655)</f>
        <v/>
      </c>
      <c r="AC397" s="1">
        <f>A397</f>
        <v/>
      </c>
      <c r="AD397">
        <f>IF(ISNUMBER(V397),V397*($AB$1/V$2635),"")</f>
        <v/>
      </c>
      <c r="AE397">
        <f>IF(ISNUMBER(Z397),Z397*($AB$1/Z$2635),"")</f>
        <v/>
      </c>
      <c r="AF397" s="25">
        <f>IF(ISNUMBER(AD397+AE397),AD397+AE397,"")</f>
        <v/>
      </c>
      <c r="AH397" s="1">
        <f>A397</f>
        <v/>
      </c>
      <c r="AI397">
        <f>IF(ISNUMBER((1+V397)*AI396),(1+V397)*AI396,AI396)</f>
        <v/>
      </c>
      <c r="AJ397">
        <f>IF(ISNUMBER((1+Z397)*AJ396),(1+Z397)*AJ396,AJ396)</f>
        <v/>
      </c>
    </row>
    <row r="398">
      <c r="A398" s="1" t="n">
        <v>42579</v>
      </c>
      <c r="B398" s="3">
        <f>IF(ORIG!B398=0,"",ORIG!B398)</f>
        <v/>
      </c>
      <c r="C398" s="3">
        <f>IF(ORIG!C398=0,"",ORIG!C398)</f>
        <v/>
      </c>
      <c r="D398" s="3">
        <f>IF(ORIG!D398=0,"",ORIG!D398)</f>
        <v/>
      </c>
      <c r="E398" s="3">
        <f>IF(ORIG!E398=0,"",ORIG!E398)</f>
        <v/>
      </c>
      <c r="F398" s="3">
        <f>IF(ORIG!F398=0,"",ORIG!F398)</f>
        <v/>
      </c>
      <c r="G398" s="3">
        <f>IF(ORIG!G398=0,"",ORIG!G398)</f>
        <v/>
      </c>
      <c r="H398" s="3">
        <f>IF(ORIG!H398=0,"",ORIG!H398)</f>
        <v/>
      </c>
      <c r="I398" s="3">
        <f>IF(ORIG!I398=0,"",ORIG!I398)</f>
        <v/>
      </c>
      <c r="J398" s="3">
        <f>IF(ORIG!J398=0,"",ORIG!J398)</f>
        <v/>
      </c>
      <c r="K398" s="3">
        <f>IF(ORIG!K398=0,"",ORIG!K398)</f>
        <v/>
      </c>
      <c r="L398" s="3">
        <f>IF(ORIG!L398=0,"",ORIG!L398)</f>
        <v/>
      </c>
      <c r="M398" s="3">
        <f>IF(ORIG!M398=0,"",ORIG!M398)</f>
        <v/>
      </c>
      <c r="N398" s="3">
        <f>IF(ORIG!N398=0,"",ORIG!N398)</f>
        <v/>
      </c>
      <c r="O398" s="3">
        <f>IF(ORIG!O398=0,"",ORIG!O398)</f>
        <v/>
      </c>
      <c r="P398" s="3">
        <f>IF(ORIG!P398=0,"",ORIG!P398)</f>
        <v/>
      </c>
      <c r="Q398" s="3">
        <f>IF(ORIG!Q398=0,"",ORIG!Q398)</f>
        <v/>
      </c>
      <c r="R398" s="3">
        <f>IF(ORIG!R398=0,"",ORIG!R398)</f>
        <v/>
      </c>
      <c r="S398" s="3">
        <f>IF(ORIG!S398=0,"",ORIG!S398)</f>
        <v/>
      </c>
      <c r="T398" s="3">
        <f>IF(ORIG!T398=0,"",ORIG!T398)</f>
        <v/>
      </c>
      <c r="U398" s="3">
        <f>IF(ORIG!U398=0,"",ORIG!U398)</f>
        <v/>
      </c>
      <c r="V398" s="9">
        <f>IF(ORIG!V398=0,"",ORIG!V398)</f>
        <v/>
      </c>
      <c r="W398" s="9">
        <f>IF(ORIG!W398=0,"",ORIG!W398)</f>
        <v/>
      </c>
      <c r="X398" s="9">
        <f>IF(ORIG!X398=0,"",ORIG!X398)</f>
        <v/>
      </c>
      <c r="Y398" s="9">
        <f>IF(ORIG!Y398=0,"",ORIG!Y398)</f>
        <v/>
      </c>
      <c r="Z398" s="3">
        <f>SUMPRODUCT($B398:$Y398,$B$2649:$Y$2649)</f>
        <v/>
      </c>
      <c r="AA398" s="3">
        <f>SUMPRODUCT($B398:$Y398,$B$2655:$Y$2655)</f>
        <v/>
      </c>
      <c r="AC398" s="1">
        <f>A398</f>
        <v/>
      </c>
      <c r="AD398">
        <f>IF(ISNUMBER(V398),V398*($AB$1/V$2635),"")</f>
        <v/>
      </c>
      <c r="AE398">
        <f>IF(ISNUMBER(Z398),Z398*($AB$1/Z$2635),"")</f>
        <v/>
      </c>
      <c r="AF398" s="25">
        <f>IF(ISNUMBER(AD398+AE398),AD398+AE398,"")</f>
        <v/>
      </c>
      <c r="AH398" s="1">
        <f>A398</f>
        <v/>
      </c>
      <c r="AI398">
        <f>IF(ISNUMBER((1+V398)*AI397),(1+V398)*AI397,AI397)</f>
        <v/>
      </c>
      <c r="AJ398">
        <f>IF(ISNUMBER((1+Z398)*AJ397),(1+Z398)*AJ397,AJ397)</f>
        <v/>
      </c>
    </row>
    <row r="399">
      <c r="A399" s="1" t="n">
        <v>42580</v>
      </c>
      <c r="B399" s="3">
        <f>IF(ORIG!B399=0,"",ORIG!B399)</f>
        <v/>
      </c>
      <c r="C399" s="3">
        <f>IF(ORIG!C399=0,"",ORIG!C399)</f>
        <v/>
      </c>
      <c r="D399" s="3">
        <f>IF(ORIG!D399=0,"",ORIG!D399)</f>
        <v/>
      </c>
      <c r="E399" s="3">
        <f>IF(ORIG!E399=0,"",ORIG!E399)</f>
        <v/>
      </c>
      <c r="F399" s="3">
        <f>IF(ORIG!F399=0,"",ORIG!F399)</f>
        <v/>
      </c>
      <c r="G399" s="3">
        <f>IF(ORIG!G399=0,"",ORIG!G399)</f>
        <v/>
      </c>
      <c r="H399" s="3">
        <f>IF(ORIG!H399=0,"",ORIG!H399)</f>
        <v/>
      </c>
      <c r="I399" s="3">
        <f>IF(ORIG!I399=0,"",ORIG!I399)</f>
        <v/>
      </c>
      <c r="J399" s="3">
        <f>IF(ORIG!J399=0,"",ORIG!J399)</f>
        <v/>
      </c>
      <c r="K399" s="3">
        <f>IF(ORIG!K399=0,"",ORIG!K399)</f>
        <v/>
      </c>
      <c r="L399" s="3">
        <f>IF(ORIG!L399=0,"",ORIG!L399)</f>
        <v/>
      </c>
      <c r="M399" s="3">
        <f>IF(ORIG!M399=0,"",ORIG!M399)</f>
        <v/>
      </c>
      <c r="N399" s="3">
        <f>IF(ORIG!N399=0,"",ORIG!N399)</f>
        <v/>
      </c>
      <c r="O399" s="3">
        <f>IF(ORIG!O399=0,"",ORIG!O399)</f>
        <v/>
      </c>
      <c r="P399" s="3">
        <f>IF(ORIG!P399=0,"",ORIG!P399)</f>
        <v/>
      </c>
      <c r="Q399" s="3">
        <f>IF(ORIG!Q399=0,"",ORIG!Q399)</f>
        <v/>
      </c>
      <c r="R399" s="3">
        <f>IF(ORIG!R399=0,"",ORIG!R399)</f>
        <v/>
      </c>
      <c r="S399" s="3">
        <f>IF(ORIG!S399=0,"",ORIG!S399)</f>
        <v/>
      </c>
      <c r="T399" s="3">
        <f>IF(ORIG!T399=0,"",ORIG!T399)</f>
        <v/>
      </c>
      <c r="U399" s="3">
        <f>IF(ORIG!U399=0,"",ORIG!U399)</f>
        <v/>
      </c>
      <c r="V399" s="9">
        <f>IF(ORIG!V399=0,"",ORIG!V399)</f>
        <v/>
      </c>
      <c r="W399" s="9">
        <f>IF(ORIG!W399=0,"",ORIG!W399)</f>
        <v/>
      </c>
      <c r="X399" s="9">
        <f>IF(ORIG!X399=0,"",ORIG!X399)</f>
        <v/>
      </c>
      <c r="Y399" s="9">
        <f>IF(ORIG!Y399=0,"",ORIG!Y399)</f>
        <v/>
      </c>
      <c r="Z399" s="3">
        <f>SUMPRODUCT($B399:$Y399,$B$2649:$Y$2649)</f>
        <v/>
      </c>
      <c r="AA399" s="3">
        <f>SUMPRODUCT($B399:$Y399,$B$2655:$Y$2655)</f>
        <v/>
      </c>
      <c r="AC399" s="1">
        <f>A399</f>
        <v/>
      </c>
      <c r="AD399">
        <f>IF(ISNUMBER(V399),V399*($AB$1/V$2635),"")</f>
        <v/>
      </c>
      <c r="AE399">
        <f>IF(ISNUMBER(Z399),Z399*($AB$1/Z$2635),"")</f>
        <v/>
      </c>
      <c r="AF399" s="25">
        <f>IF(ISNUMBER(AD399+AE399),AD399+AE399,"")</f>
        <v/>
      </c>
      <c r="AH399" s="1">
        <f>A399</f>
        <v/>
      </c>
      <c r="AI399">
        <f>IF(ISNUMBER((1+V399)*AI398),(1+V399)*AI398,AI398)</f>
        <v/>
      </c>
      <c r="AJ399">
        <f>IF(ISNUMBER((1+Z399)*AJ398),(1+Z399)*AJ398,AJ398)</f>
        <v/>
      </c>
    </row>
    <row r="400">
      <c r="A400" s="1" t="n">
        <v>42583</v>
      </c>
      <c r="B400" s="3">
        <f>IF(ORIG!B400=0,"",ORIG!B400)</f>
        <v/>
      </c>
      <c r="C400" s="3">
        <f>IF(ORIG!C400=0,"",ORIG!C400)</f>
        <v/>
      </c>
      <c r="D400" s="3">
        <f>IF(ORIG!D400=0,"",ORIG!D400)</f>
        <v/>
      </c>
      <c r="E400" s="3">
        <f>IF(ORIG!E400=0,"",ORIG!E400)</f>
        <v/>
      </c>
      <c r="F400" s="3">
        <f>IF(ORIG!F400=0,"",ORIG!F400)</f>
        <v/>
      </c>
      <c r="G400" s="3">
        <f>IF(ORIG!G400=0,"",ORIG!G400)</f>
        <v/>
      </c>
      <c r="H400" s="3">
        <f>IF(ORIG!H400=0,"",ORIG!H400)</f>
        <v/>
      </c>
      <c r="I400" s="3">
        <f>IF(ORIG!I400=0,"",ORIG!I400)</f>
        <v/>
      </c>
      <c r="J400" s="3">
        <f>IF(ORIG!J400=0,"",ORIG!J400)</f>
        <v/>
      </c>
      <c r="K400" s="3">
        <f>IF(ORIG!K400=0,"",ORIG!K400)</f>
        <v/>
      </c>
      <c r="L400" s="3">
        <f>IF(ORIG!L400=0,"",ORIG!L400)</f>
        <v/>
      </c>
      <c r="M400" s="3">
        <f>IF(ORIG!M400=0,"",ORIG!M400)</f>
        <v/>
      </c>
      <c r="N400" s="3">
        <f>IF(ORIG!N400=0,"",ORIG!N400)</f>
        <v/>
      </c>
      <c r="O400" s="3">
        <f>IF(ORIG!O400=0,"",ORIG!O400)</f>
        <v/>
      </c>
      <c r="P400" s="3">
        <f>IF(ORIG!P400=0,"",ORIG!P400)</f>
        <v/>
      </c>
      <c r="Q400" s="3">
        <f>IF(ORIG!Q400=0,"",ORIG!Q400)</f>
        <v/>
      </c>
      <c r="R400" s="3">
        <f>IF(ORIG!R400=0,"",ORIG!R400)</f>
        <v/>
      </c>
      <c r="S400" s="3">
        <f>IF(ORIG!S400=0,"",ORIG!S400)</f>
        <v/>
      </c>
      <c r="T400" s="3">
        <f>IF(ORIG!T400=0,"",ORIG!T400)</f>
        <v/>
      </c>
      <c r="U400" s="3">
        <f>IF(ORIG!U400=0,"",ORIG!U400)</f>
        <v/>
      </c>
      <c r="V400" s="9">
        <f>IF(ORIG!V400=0,"",ORIG!V400)</f>
        <v/>
      </c>
      <c r="W400" s="9">
        <f>IF(ORIG!W400=0,"",ORIG!W400)</f>
        <v/>
      </c>
      <c r="X400" s="9">
        <f>IF(ORIG!X400=0,"",ORIG!X400)</f>
        <v/>
      </c>
      <c r="Y400" s="9">
        <f>IF(ORIG!Y400=0,"",ORIG!Y400)</f>
        <v/>
      </c>
      <c r="Z400" s="3">
        <f>SUMPRODUCT($B400:$Y400,$B$2649:$Y$2649)</f>
        <v/>
      </c>
      <c r="AA400" s="3">
        <f>SUMPRODUCT($B400:$Y400,$B$2655:$Y$2655)</f>
        <v/>
      </c>
      <c r="AC400" s="1">
        <f>A400</f>
        <v/>
      </c>
      <c r="AD400">
        <f>IF(ISNUMBER(V400),V400*($AB$1/V$2635),"")</f>
        <v/>
      </c>
      <c r="AE400">
        <f>IF(ISNUMBER(Z400),Z400*($AB$1/Z$2635),"")</f>
        <v/>
      </c>
      <c r="AF400" s="25">
        <f>IF(ISNUMBER(AD400+AE400),AD400+AE400,"")</f>
        <v/>
      </c>
      <c r="AH400" s="1">
        <f>A400</f>
        <v/>
      </c>
      <c r="AI400">
        <f>IF(ISNUMBER((1+V400)*AI399),(1+V400)*AI399,AI399)</f>
        <v/>
      </c>
      <c r="AJ400">
        <f>IF(ISNUMBER((1+Z400)*AJ399),(1+Z400)*AJ399,AJ399)</f>
        <v/>
      </c>
    </row>
    <row r="401">
      <c r="A401" s="1" t="n">
        <v>42584</v>
      </c>
      <c r="B401" s="3">
        <f>IF(ORIG!B401=0,"",ORIG!B401)</f>
        <v/>
      </c>
      <c r="C401" s="3">
        <f>IF(ORIG!C401=0,"",ORIG!C401)</f>
        <v/>
      </c>
      <c r="D401" s="3">
        <f>IF(ORIG!D401=0,"",ORIG!D401)</f>
        <v/>
      </c>
      <c r="E401" s="3">
        <f>IF(ORIG!E401=0,"",ORIG!E401)</f>
        <v/>
      </c>
      <c r="F401" s="3">
        <f>IF(ORIG!F401=0,"",ORIG!F401)</f>
        <v/>
      </c>
      <c r="G401" s="3">
        <f>IF(ORIG!G401=0,"",ORIG!G401)</f>
        <v/>
      </c>
      <c r="H401" s="3">
        <f>IF(ORIG!H401=0,"",ORIG!H401)</f>
        <v/>
      </c>
      <c r="I401" s="3">
        <f>IF(ORIG!I401=0,"",ORIG!I401)</f>
        <v/>
      </c>
      <c r="J401" s="3">
        <f>IF(ORIG!J401=0,"",ORIG!J401)</f>
        <v/>
      </c>
      <c r="K401" s="3">
        <f>IF(ORIG!K401=0,"",ORIG!K401)</f>
        <v/>
      </c>
      <c r="L401" s="3">
        <f>IF(ORIG!L401=0,"",ORIG!L401)</f>
        <v/>
      </c>
      <c r="M401" s="3">
        <f>IF(ORIG!M401=0,"",ORIG!M401)</f>
        <v/>
      </c>
      <c r="N401" s="3">
        <f>IF(ORIG!N401=0,"",ORIG!N401)</f>
        <v/>
      </c>
      <c r="O401" s="3">
        <f>IF(ORIG!O401=0,"",ORIG!O401)</f>
        <v/>
      </c>
      <c r="P401" s="3">
        <f>IF(ORIG!P401=0,"",ORIG!P401)</f>
        <v/>
      </c>
      <c r="Q401" s="3">
        <f>IF(ORIG!Q401=0,"",ORIG!Q401)</f>
        <v/>
      </c>
      <c r="R401" s="3">
        <f>IF(ORIG!R401=0,"",ORIG!R401)</f>
        <v/>
      </c>
      <c r="S401" s="3">
        <f>IF(ORIG!S401=0,"",ORIG!S401)</f>
        <v/>
      </c>
      <c r="T401" s="3">
        <f>IF(ORIG!T401=0,"",ORIG!T401)</f>
        <v/>
      </c>
      <c r="U401" s="3">
        <f>IF(ORIG!U401=0,"",ORIG!U401)</f>
        <v/>
      </c>
      <c r="V401" s="9">
        <f>IF(ORIG!V401=0,"",ORIG!V401)</f>
        <v/>
      </c>
      <c r="W401" s="9">
        <f>IF(ORIG!W401=0,"",ORIG!W401)</f>
        <v/>
      </c>
      <c r="X401" s="9">
        <f>IF(ORIG!X401=0,"",ORIG!X401)</f>
        <v/>
      </c>
      <c r="Y401" s="9">
        <f>IF(ORIG!Y401=0,"",ORIG!Y401)</f>
        <v/>
      </c>
      <c r="Z401" s="3">
        <f>SUMPRODUCT($B401:$Y401,$B$2649:$Y$2649)</f>
        <v/>
      </c>
      <c r="AA401" s="3">
        <f>SUMPRODUCT($B401:$Y401,$B$2655:$Y$2655)</f>
        <v/>
      </c>
      <c r="AC401" s="1">
        <f>A401</f>
        <v/>
      </c>
      <c r="AD401">
        <f>IF(ISNUMBER(V401),V401*($AB$1/V$2635),"")</f>
        <v/>
      </c>
      <c r="AE401">
        <f>IF(ISNUMBER(Z401),Z401*($AB$1/Z$2635),"")</f>
        <v/>
      </c>
      <c r="AF401" s="25">
        <f>IF(ISNUMBER(AD401+AE401),AD401+AE401,"")</f>
        <v/>
      </c>
      <c r="AH401" s="1">
        <f>A401</f>
        <v/>
      </c>
      <c r="AI401">
        <f>IF(ISNUMBER((1+V401)*AI400),(1+V401)*AI400,AI400)</f>
        <v/>
      </c>
      <c r="AJ401">
        <f>IF(ISNUMBER((1+Z401)*AJ400),(1+Z401)*AJ400,AJ400)</f>
        <v/>
      </c>
    </row>
    <row r="402">
      <c r="A402" s="1" t="n">
        <v>42585</v>
      </c>
      <c r="B402" s="3">
        <f>IF(ORIG!B402=0,"",ORIG!B402)</f>
        <v/>
      </c>
      <c r="C402" s="3">
        <f>IF(ORIG!C402=0,"",ORIG!C402)</f>
        <v/>
      </c>
      <c r="D402" s="3">
        <f>IF(ORIG!D402=0,"",ORIG!D402)</f>
        <v/>
      </c>
      <c r="E402" s="3">
        <f>IF(ORIG!E402=0,"",ORIG!E402)</f>
        <v/>
      </c>
      <c r="F402" s="3">
        <f>IF(ORIG!F402=0,"",ORIG!F402)</f>
        <v/>
      </c>
      <c r="G402" s="3">
        <f>IF(ORIG!G402=0,"",ORIG!G402)</f>
        <v/>
      </c>
      <c r="H402" s="3">
        <f>IF(ORIG!H402=0,"",ORIG!H402)</f>
        <v/>
      </c>
      <c r="I402" s="3">
        <f>IF(ORIG!I402=0,"",ORIG!I402)</f>
        <v/>
      </c>
      <c r="J402" s="3">
        <f>IF(ORIG!J402=0,"",ORIG!J402)</f>
        <v/>
      </c>
      <c r="K402" s="3">
        <f>IF(ORIG!K402=0,"",ORIG!K402)</f>
        <v/>
      </c>
      <c r="L402" s="3">
        <f>IF(ORIG!L402=0,"",ORIG!L402)</f>
        <v/>
      </c>
      <c r="M402" s="3">
        <f>IF(ORIG!M402=0,"",ORIG!M402)</f>
        <v/>
      </c>
      <c r="N402" s="3">
        <f>IF(ORIG!N402=0,"",ORIG!N402)</f>
        <v/>
      </c>
      <c r="O402" s="3">
        <f>IF(ORIG!O402=0,"",ORIG!O402)</f>
        <v/>
      </c>
      <c r="P402" s="3">
        <f>IF(ORIG!P402=0,"",ORIG!P402)</f>
        <v/>
      </c>
      <c r="Q402" s="3">
        <f>IF(ORIG!Q402=0,"",ORIG!Q402)</f>
        <v/>
      </c>
      <c r="R402" s="3">
        <f>IF(ORIG!R402=0,"",ORIG!R402)</f>
        <v/>
      </c>
      <c r="S402" s="3">
        <f>IF(ORIG!S402=0,"",ORIG!S402)</f>
        <v/>
      </c>
      <c r="T402" s="3">
        <f>IF(ORIG!T402=0,"",ORIG!T402)</f>
        <v/>
      </c>
      <c r="U402" s="3">
        <f>IF(ORIG!U402=0,"",ORIG!U402)</f>
        <v/>
      </c>
      <c r="V402" s="9">
        <f>IF(ORIG!V402=0,"",ORIG!V402)</f>
        <v/>
      </c>
      <c r="W402" s="9">
        <f>IF(ORIG!W402=0,"",ORIG!W402)</f>
        <v/>
      </c>
      <c r="X402" s="9">
        <f>IF(ORIG!X402=0,"",ORIG!X402)</f>
        <v/>
      </c>
      <c r="Y402" s="9">
        <f>IF(ORIG!Y402=0,"",ORIG!Y402)</f>
        <v/>
      </c>
      <c r="Z402" s="3">
        <f>SUMPRODUCT($B402:$Y402,$B$2649:$Y$2649)</f>
        <v/>
      </c>
      <c r="AA402" s="3">
        <f>SUMPRODUCT($B402:$Y402,$B$2655:$Y$2655)</f>
        <v/>
      </c>
      <c r="AC402" s="1">
        <f>A402</f>
        <v/>
      </c>
      <c r="AD402">
        <f>IF(ISNUMBER(V402),V402*($AB$1/V$2635),"")</f>
        <v/>
      </c>
      <c r="AE402">
        <f>IF(ISNUMBER(Z402),Z402*($AB$1/Z$2635),"")</f>
        <v/>
      </c>
      <c r="AF402" s="25">
        <f>IF(ISNUMBER(AD402+AE402),AD402+AE402,"")</f>
        <v/>
      </c>
      <c r="AH402" s="1">
        <f>A402</f>
        <v/>
      </c>
      <c r="AI402">
        <f>IF(ISNUMBER((1+V402)*AI401),(1+V402)*AI401,AI401)</f>
        <v/>
      </c>
      <c r="AJ402">
        <f>IF(ISNUMBER((1+Z402)*AJ401),(1+Z402)*AJ401,AJ401)</f>
        <v/>
      </c>
    </row>
    <row r="403">
      <c r="A403" s="1" t="n">
        <v>42586</v>
      </c>
      <c r="B403" s="3">
        <f>IF(ORIG!B403=0,"",ORIG!B403)</f>
        <v/>
      </c>
      <c r="C403" s="3">
        <f>IF(ORIG!C403=0,"",ORIG!C403)</f>
        <v/>
      </c>
      <c r="D403" s="3">
        <f>IF(ORIG!D403=0,"",ORIG!D403)</f>
        <v/>
      </c>
      <c r="E403" s="3">
        <f>IF(ORIG!E403=0,"",ORIG!E403)</f>
        <v/>
      </c>
      <c r="F403" s="3">
        <f>IF(ORIG!F403=0,"",ORIG!F403)</f>
        <v/>
      </c>
      <c r="G403" s="3">
        <f>IF(ORIG!G403=0,"",ORIG!G403)</f>
        <v/>
      </c>
      <c r="H403" s="3">
        <f>IF(ORIG!H403=0,"",ORIG!H403)</f>
        <v/>
      </c>
      <c r="I403" s="3">
        <f>IF(ORIG!I403=0,"",ORIG!I403)</f>
        <v/>
      </c>
      <c r="J403" s="3">
        <f>IF(ORIG!J403=0,"",ORIG!J403)</f>
        <v/>
      </c>
      <c r="K403" s="3">
        <f>IF(ORIG!K403=0,"",ORIG!K403)</f>
        <v/>
      </c>
      <c r="L403" s="3">
        <f>IF(ORIG!L403=0,"",ORIG!L403)</f>
        <v/>
      </c>
      <c r="M403" s="3">
        <f>IF(ORIG!M403=0,"",ORIG!M403)</f>
        <v/>
      </c>
      <c r="N403" s="3">
        <f>IF(ORIG!N403=0,"",ORIG!N403)</f>
        <v/>
      </c>
      <c r="O403" s="3">
        <f>IF(ORIG!O403=0,"",ORIG!O403)</f>
        <v/>
      </c>
      <c r="P403" s="3">
        <f>IF(ORIG!P403=0,"",ORIG!P403)</f>
        <v/>
      </c>
      <c r="Q403" s="3">
        <f>IF(ORIG!Q403=0,"",ORIG!Q403)</f>
        <v/>
      </c>
      <c r="R403" s="3">
        <f>IF(ORIG!R403=0,"",ORIG!R403)</f>
        <v/>
      </c>
      <c r="S403" s="3">
        <f>IF(ORIG!S403=0,"",ORIG!S403)</f>
        <v/>
      </c>
      <c r="T403" s="3">
        <f>IF(ORIG!T403=0,"",ORIG!T403)</f>
        <v/>
      </c>
      <c r="U403" s="3">
        <f>IF(ORIG!U403=0,"",ORIG!U403)</f>
        <v/>
      </c>
      <c r="V403" s="9">
        <f>IF(ORIG!V403=0,"",ORIG!V403)</f>
        <v/>
      </c>
      <c r="W403" s="9">
        <f>IF(ORIG!W403=0,"",ORIG!W403)</f>
        <v/>
      </c>
      <c r="X403" s="9">
        <f>IF(ORIG!X403=0,"",ORIG!X403)</f>
        <v/>
      </c>
      <c r="Y403" s="9">
        <f>IF(ORIG!Y403=0,"",ORIG!Y403)</f>
        <v/>
      </c>
      <c r="Z403" s="3">
        <f>SUMPRODUCT($B403:$Y403,$B$2649:$Y$2649)</f>
        <v/>
      </c>
      <c r="AA403" s="3">
        <f>SUMPRODUCT($B403:$Y403,$B$2655:$Y$2655)</f>
        <v/>
      </c>
      <c r="AC403" s="1">
        <f>A403</f>
        <v/>
      </c>
      <c r="AD403">
        <f>IF(ISNUMBER(V403),V403*($AB$1/V$2635),"")</f>
        <v/>
      </c>
      <c r="AE403">
        <f>IF(ISNUMBER(Z403),Z403*($AB$1/Z$2635),"")</f>
        <v/>
      </c>
      <c r="AF403" s="25">
        <f>IF(ISNUMBER(AD403+AE403),AD403+AE403,"")</f>
        <v/>
      </c>
      <c r="AH403" s="1">
        <f>A403</f>
        <v/>
      </c>
      <c r="AI403">
        <f>IF(ISNUMBER((1+V403)*AI402),(1+V403)*AI402,AI402)</f>
        <v/>
      </c>
      <c r="AJ403">
        <f>IF(ISNUMBER((1+Z403)*AJ402),(1+Z403)*AJ402,AJ402)</f>
        <v/>
      </c>
    </row>
    <row r="404">
      <c r="A404" s="1" t="n">
        <v>42587</v>
      </c>
      <c r="B404" s="3">
        <f>IF(ORIG!B404=0,"",ORIG!B404)</f>
        <v/>
      </c>
      <c r="C404" s="3">
        <f>IF(ORIG!C404=0,"",ORIG!C404)</f>
        <v/>
      </c>
      <c r="D404" s="3">
        <f>IF(ORIG!D404=0,"",ORIG!D404)</f>
        <v/>
      </c>
      <c r="E404" s="3">
        <f>IF(ORIG!E404=0,"",ORIG!E404)</f>
        <v/>
      </c>
      <c r="F404" s="3">
        <f>IF(ORIG!F404=0,"",ORIG!F404)</f>
        <v/>
      </c>
      <c r="G404" s="3">
        <f>IF(ORIG!G404=0,"",ORIG!G404)</f>
        <v/>
      </c>
      <c r="H404" s="3">
        <f>IF(ORIG!H404=0,"",ORIG!H404)</f>
        <v/>
      </c>
      <c r="I404" s="3">
        <f>IF(ORIG!I404=0,"",ORIG!I404)</f>
        <v/>
      </c>
      <c r="J404" s="3">
        <f>IF(ORIG!J404=0,"",ORIG!J404)</f>
        <v/>
      </c>
      <c r="K404" s="3">
        <f>IF(ORIG!K404=0,"",ORIG!K404)</f>
        <v/>
      </c>
      <c r="L404" s="3">
        <f>IF(ORIG!L404=0,"",ORIG!L404)</f>
        <v/>
      </c>
      <c r="M404" s="3">
        <f>IF(ORIG!M404=0,"",ORIG!M404)</f>
        <v/>
      </c>
      <c r="N404" s="3">
        <f>IF(ORIG!N404=0,"",ORIG!N404)</f>
        <v/>
      </c>
      <c r="O404" s="3">
        <f>IF(ORIG!O404=0,"",ORIG!O404)</f>
        <v/>
      </c>
      <c r="P404" s="3">
        <f>IF(ORIG!P404=0,"",ORIG!P404)</f>
        <v/>
      </c>
      <c r="Q404" s="3">
        <f>IF(ORIG!Q404=0,"",ORIG!Q404)</f>
        <v/>
      </c>
      <c r="R404" s="3">
        <f>IF(ORIG!R404=0,"",ORIG!R404)</f>
        <v/>
      </c>
      <c r="S404" s="3">
        <f>IF(ORIG!S404=0,"",ORIG!S404)</f>
        <v/>
      </c>
      <c r="T404" s="3">
        <f>IF(ORIG!T404=0,"",ORIG!T404)</f>
        <v/>
      </c>
      <c r="U404" s="3">
        <f>IF(ORIG!U404=0,"",ORIG!U404)</f>
        <v/>
      </c>
      <c r="V404" s="9">
        <f>IF(ORIG!V404=0,"",ORIG!V404)</f>
        <v/>
      </c>
      <c r="W404" s="9">
        <f>IF(ORIG!W404=0,"",ORIG!W404)</f>
        <v/>
      </c>
      <c r="X404" s="9">
        <f>IF(ORIG!X404=0,"",ORIG!X404)</f>
        <v/>
      </c>
      <c r="Y404" s="9">
        <f>IF(ORIG!Y404=0,"",ORIG!Y404)</f>
        <v/>
      </c>
      <c r="Z404" s="3">
        <f>SUMPRODUCT($B404:$Y404,$B$2649:$Y$2649)</f>
        <v/>
      </c>
      <c r="AA404" s="3">
        <f>SUMPRODUCT($B404:$Y404,$B$2655:$Y$2655)</f>
        <v/>
      </c>
      <c r="AC404" s="1">
        <f>A404</f>
        <v/>
      </c>
      <c r="AD404">
        <f>IF(ISNUMBER(V404),V404*($AB$1/V$2635),"")</f>
        <v/>
      </c>
      <c r="AE404">
        <f>IF(ISNUMBER(Z404),Z404*($AB$1/Z$2635),"")</f>
        <v/>
      </c>
      <c r="AF404" s="25">
        <f>IF(ISNUMBER(AD404+AE404),AD404+AE404,"")</f>
        <v/>
      </c>
      <c r="AH404" s="1">
        <f>A404</f>
        <v/>
      </c>
      <c r="AI404">
        <f>IF(ISNUMBER((1+V404)*AI403),(1+V404)*AI403,AI403)</f>
        <v/>
      </c>
      <c r="AJ404">
        <f>IF(ISNUMBER((1+Z404)*AJ403),(1+Z404)*AJ403,AJ403)</f>
        <v/>
      </c>
    </row>
    <row r="405">
      <c r="A405" s="1" t="n">
        <v>42590</v>
      </c>
      <c r="B405" s="3">
        <f>IF(ORIG!B405=0,"",ORIG!B405)</f>
        <v/>
      </c>
      <c r="C405" s="3">
        <f>IF(ORIG!C405=0,"",ORIG!C405)</f>
        <v/>
      </c>
      <c r="D405" s="3">
        <f>IF(ORIG!D405=0,"",ORIG!D405)</f>
        <v/>
      </c>
      <c r="E405" s="3">
        <f>IF(ORIG!E405=0,"",ORIG!E405)</f>
        <v/>
      </c>
      <c r="F405" s="3">
        <f>IF(ORIG!F405=0,"",ORIG!F405)</f>
        <v/>
      </c>
      <c r="G405" s="3">
        <f>IF(ORIG!G405=0,"",ORIG!G405)</f>
        <v/>
      </c>
      <c r="H405" s="3">
        <f>IF(ORIG!H405=0,"",ORIG!H405)</f>
        <v/>
      </c>
      <c r="I405" s="3">
        <f>IF(ORIG!I405=0,"",ORIG!I405)</f>
        <v/>
      </c>
      <c r="J405" s="3">
        <f>IF(ORIG!J405=0,"",ORIG!J405)</f>
        <v/>
      </c>
      <c r="K405" s="3">
        <f>IF(ORIG!K405=0,"",ORIG!K405)</f>
        <v/>
      </c>
      <c r="L405" s="3">
        <f>IF(ORIG!L405=0,"",ORIG!L405)</f>
        <v/>
      </c>
      <c r="M405" s="3">
        <f>IF(ORIG!M405=0,"",ORIG!M405)</f>
        <v/>
      </c>
      <c r="N405" s="3">
        <f>IF(ORIG!N405=0,"",ORIG!N405)</f>
        <v/>
      </c>
      <c r="O405" s="3">
        <f>IF(ORIG!O405=0,"",ORIG!O405)</f>
        <v/>
      </c>
      <c r="P405" s="3">
        <f>IF(ORIG!P405=0,"",ORIG!P405)</f>
        <v/>
      </c>
      <c r="Q405" s="3">
        <f>IF(ORIG!Q405=0,"",ORIG!Q405)</f>
        <v/>
      </c>
      <c r="R405" s="3">
        <f>IF(ORIG!R405=0,"",ORIG!R405)</f>
        <v/>
      </c>
      <c r="S405" s="3">
        <f>IF(ORIG!S405=0,"",ORIG!S405)</f>
        <v/>
      </c>
      <c r="T405" s="3">
        <f>IF(ORIG!T405=0,"",ORIG!T405)</f>
        <v/>
      </c>
      <c r="U405" s="3">
        <f>IF(ORIG!U405=0,"",ORIG!U405)</f>
        <v/>
      </c>
      <c r="V405" s="9">
        <f>IF(ORIG!V405=0,"",ORIG!V405)</f>
        <v/>
      </c>
      <c r="W405" s="9">
        <f>IF(ORIG!W405=0,"",ORIG!W405)</f>
        <v/>
      </c>
      <c r="X405" s="9">
        <f>IF(ORIG!X405=0,"",ORIG!X405)</f>
        <v/>
      </c>
      <c r="Y405" s="9">
        <f>IF(ORIG!Y405=0,"",ORIG!Y405)</f>
        <v/>
      </c>
      <c r="Z405" s="3">
        <f>SUMPRODUCT($B405:$Y405,$B$2649:$Y$2649)</f>
        <v/>
      </c>
      <c r="AA405" s="3">
        <f>SUMPRODUCT($B405:$Y405,$B$2655:$Y$2655)</f>
        <v/>
      </c>
      <c r="AC405" s="1">
        <f>A405</f>
        <v/>
      </c>
      <c r="AD405">
        <f>IF(ISNUMBER(V405),V405*($AB$1/V$2635),"")</f>
        <v/>
      </c>
      <c r="AE405">
        <f>IF(ISNUMBER(Z405),Z405*($AB$1/Z$2635),"")</f>
        <v/>
      </c>
      <c r="AF405" s="25">
        <f>IF(ISNUMBER(AD405+AE405),AD405+AE405,"")</f>
        <v/>
      </c>
      <c r="AH405" s="1">
        <f>A405</f>
        <v/>
      </c>
      <c r="AI405">
        <f>IF(ISNUMBER((1+V405)*AI404),(1+V405)*AI404,AI404)</f>
        <v/>
      </c>
      <c r="AJ405">
        <f>IF(ISNUMBER((1+Z405)*AJ404),(1+Z405)*AJ404,AJ404)</f>
        <v/>
      </c>
    </row>
    <row r="406">
      <c r="A406" s="1" t="n">
        <v>42591</v>
      </c>
      <c r="B406" s="3">
        <f>IF(ORIG!B406=0,"",ORIG!B406)</f>
        <v/>
      </c>
      <c r="C406" s="3">
        <f>IF(ORIG!C406=0,"",ORIG!C406)</f>
        <v/>
      </c>
      <c r="D406" s="3">
        <f>IF(ORIG!D406=0,"",ORIG!D406)</f>
        <v/>
      </c>
      <c r="E406" s="3">
        <f>IF(ORIG!E406=0,"",ORIG!E406)</f>
        <v/>
      </c>
      <c r="F406" s="3">
        <f>IF(ORIG!F406=0,"",ORIG!F406)</f>
        <v/>
      </c>
      <c r="G406" s="3">
        <f>IF(ORIG!G406=0,"",ORIG!G406)</f>
        <v/>
      </c>
      <c r="H406" s="3">
        <f>IF(ORIG!H406=0,"",ORIG!H406)</f>
        <v/>
      </c>
      <c r="I406" s="3">
        <f>IF(ORIG!I406=0,"",ORIG!I406)</f>
        <v/>
      </c>
      <c r="J406" s="3">
        <f>IF(ORIG!J406=0,"",ORIG!J406)</f>
        <v/>
      </c>
      <c r="K406" s="3">
        <f>IF(ORIG!K406=0,"",ORIG!K406)</f>
        <v/>
      </c>
      <c r="L406" s="3">
        <f>IF(ORIG!L406=0,"",ORIG!L406)</f>
        <v/>
      </c>
      <c r="M406" s="3">
        <f>IF(ORIG!M406=0,"",ORIG!M406)</f>
        <v/>
      </c>
      <c r="N406" s="3">
        <f>IF(ORIG!N406=0,"",ORIG!N406)</f>
        <v/>
      </c>
      <c r="O406" s="3">
        <f>IF(ORIG!O406=0,"",ORIG!O406)</f>
        <v/>
      </c>
      <c r="P406" s="3">
        <f>IF(ORIG!P406=0,"",ORIG!P406)</f>
        <v/>
      </c>
      <c r="Q406" s="3">
        <f>IF(ORIG!Q406=0,"",ORIG!Q406)</f>
        <v/>
      </c>
      <c r="R406" s="3">
        <f>IF(ORIG!R406=0,"",ORIG!R406)</f>
        <v/>
      </c>
      <c r="S406" s="3">
        <f>IF(ORIG!S406=0,"",ORIG!S406)</f>
        <v/>
      </c>
      <c r="T406" s="3">
        <f>IF(ORIG!T406=0,"",ORIG!T406)</f>
        <v/>
      </c>
      <c r="U406" s="3">
        <f>IF(ORIG!U406=0,"",ORIG!U406)</f>
        <v/>
      </c>
      <c r="V406" s="9">
        <f>IF(ORIG!V406=0,"",ORIG!V406)</f>
        <v/>
      </c>
      <c r="W406" s="9">
        <f>IF(ORIG!W406=0,"",ORIG!W406)</f>
        <v/>
      </c>
      <c r="X406" s="9">
        <f>IF(ORIG!X406=0,"",ORIG!X406)</f>
        <v/>
      </c>
      <c r="Y406" s="9">
        <f>IF(ORIG!Y406=0,"",ORIG!Y406)</f>
        <v/>
      </c>
      <c r="Z406" s="3">
        <f>SUMPRODUCT($B406:$Y406,$B$2649:$Y$2649)</f>
        <v/>
      </c>
      <c r="AA406" s="3">
        <f>SUMPRODUCT($B406:$Y406,$B$2655:$Y$2655)</f>
        <v/>
      </c>
      <c r="AC406" s="1">
        <f>A406</f>
        <v/>
      </c>
      <c r="AD406">
        <f>IF(ISNUMBER(V406),V406*($AB$1/V$2635),"")</f>
        <v/>
      </c>
      <c r="AE406">
        <f>IF(ISNUMBER(Z406),Z406*($AB$1/Z$2635),"")</f>
        <v/>
      </c>
      <c r="AF406" s="25">
        <f>IF(ISNUMBER(AD406+AE406),AD406+AE406,"")</f>
        <v/>
      </c>
      <c r="AH406" s="1">
        <f>A406</f>
        <v/>
      </c>
      <c r="AI406">
        <f>IF(ISNUMBER((1+V406)*AI405),(1+V406)*AI405,AI405)</f>
        <v/>
      </c>
      <c r="AJ406">
        <f>IF(ISNUMBER((1+Z406)*AJ405),(1+Z406)*AJ405,AJ405)</f>
        <v/>
      </c>
    </row>
    <row r="407">
      <c r="A407" s="1" t="n">
        <v>42592</v>
      </c>
      <c r="B407" s="3">
        <f>IF(ORIG!B407=0,"",ORIG!B407)</f>
        <v/>
      </c>
      <c r="C407" s="3">
        <f>IF(ORIG!C407=0,"",ORIG!C407)</f>
        <v/>
      </c>
      <c r="D407" s="3">
        <f>IF(ORIG!D407=0,"",ORIG!D407)</f>
        <v/>
      </c>
      <c r="E407" s="3">
        <f>IF(ORIG!E407=0,"",ORIG!E407)</f>
        <v/>
      </c>
      <c r="F407" s="3">
        <f>IF(ORIG!F407=0,"",ORIG!F407)</f>
        <v/>
      </c>
      <c r="G407" s="3">
        <f>IF(ORIG!G407=0,"",ORIG!G407)</f>
        <v/>
      </c>
      <c r="H407" s="3">
        <f>IF(ORIG!H407=0,"",ORIG!H407)</f>
        <v/>
      </c>
      <c r="I407" s="3">
        <f>IF(ORIG!I407=0,"",ORIG!I407)</f>
        <v/>
      </c>
      <c r="J407" s="3">
        <f>IF(ORIG!J407=0,"",ORIG!J407)</f>
        <v/>
      </c>
      <c r="K407" s="3">
        <f>IF(ORIG!K407=0,"",ORIG!K407)</f>
        <v/>
      </c>
      <c r="L407" s="3">
        <f>IF(ORIG!L407=0,"",ORIG!L407)</f>
        <v/>
      </c>
      <c r="M407" s="3">
        <f>IF(ORIG!M407=0,"",ORIG!M407)</f>
        <v/>
      </c>
      <c r="N407" s="3">
        <f>IF(ORIG!N407=0,"",ORIG!N407)</f>
        <v/>
      </c>
      <c r="O407" s="3">
        <f>IF(ORIG!O407=0,"",ORIG!O407)</f>
        <v/>
      </c>
      <c r="P407" s="3">
        <f>IF(ORIG!P407=0,"",ORIG!P407)</f>
        <v/>
      </c>
      <c r="Q407" s="3">
        <f>IF(ORIG!Q407=0,"",ORIG!Q407)</f>
        <v/>
      </c>
      <c r="R407" s="3">
        <f>IF(ORIG!R407=0,"",ORIG!R407)</f>
        <v/>
      </c>
      <c r="S407" s="3">
        <f>IF(ORIG!S407=0,"",ORIG!S407)</f>
        <v/>
      </c>
      <c r="T407" s="3">
        <f>IF(ORIG!T407=0,"",ORIG!T407)</f>
        <v/>
      </c>
      <c r="U407" s="3">
        <f>IF(ORIG!U407=0,"",ORIG!U407)</f>
        <v/>
      </c>
      <c r="V407" s="9">
        <f>IF(ORIG!V407=0,"",ORIG!V407)</f>
        <v/>
      </c>
      <c r="W407" s="9">
        <f>IF(ORIG!W407=0,"",ORIG!W407)</f>
        <v/>
      </c>
      <c r="X407" s="9">
        <f>IF(ORIG!X407=0,"",ORIG!X407)</f>
        <v/>
      </c>
      <c r="Y407" s="9">
        <f>IF(ORIG!Y407=0,"",ORIG!Y407)</f>
        <v/>
      </c>
      <c r="Z407" s="3">
        <f>SUMPRODUCT($B407:$Y407,$B$2649:$Y$2649)</f>
        <v/>
      </c>
      <c r="AA407" s="3">
        <f>SUMPRODUCT($B407:$Y407,$B$2655:$Y$2655)</f>
        <v/>
      </c>
      <c r="AC407" s="1">
        <f>A407</f>
        <v/>
      </c>
      <c r="AD407">
        <f>IF(ISNUMBER(V407),V407*($AB$1/V$2635),"")</f>
        <v/>
      </c>
      <c r="AE407">
        <f>IF(ISNUMBER(Z407),Z407*($AB$1/Z$2635),"")</f>
        <v/>
      </c>
      <c r="AF407" s="25">
        <f>IF(ISNUMBER(AD407+AE407),AD407+AE407,"")</f>
        <v/>
      </c>
      <c r="AH407" s="1">
        <f>A407</f>
        <v/>
      </c>
      <c r="AI407">
        <f>IF(ISNUMBER((1+V407)*AI406),(1+V407)*AI406,AI406)</f>
        <v/>
      </c>
      <c r="AJ407">
        <f>IF(ISNUMBER((1+Z407)*AJ406),(1+Z407)*AJ406,AJ406)</f>
        <v/>
      </c>
    </row>
    <row r="408">
      <c r="A408" s="1" t="n">
        <v>42593</v>
      </c>
      <c r="B408" s="3">
        <f>IF(ORIG!B408=0,"",ORIG!B408)</f>
        <v/>
      </c>
      <c r="C408" s="3">
        <f>IF(ORIG!C408=0,"",ORIG!C408)</f>
        <v/>
      </c>
      <c r="D408" s="3">
        <f>IF(ORIG!D408=0,"",ORIG!D408)</f>
        <v/>
      </c>
      <c r="E408" s="3">
        <f>IF(ORIG!E408=0,"",ORIG!E408)</f>
        <v/>
      </c>
      <c r="F408" s="3">
        <f>IF(ORIG!F408=0,"",ORIG!F408)</f>
        <v/>
      </c>
      <c r="G408" s="3">
        <f>IF(ORIG!G408=0,"",ORIG!G408)</f>
        <v/>
      </c>
      <c r="H408" s="3">
        <f>IF(ORIG!H408=0,"",ORIG!H408)</f>
        <v/>
      </c>
      <c r="I408" s="3">
        <f>IF(ORIG!I408=0,"",ORIG!I408)</f>
        <v/>
      </c>
      <c r="J408" s="3">
        <f>IF(ORIG!J408=0,"",ORIG!J408)</f>
        <v/>
      </c>
      <c r="K408" s="3">
        <f>IF(ORIG!K408=0,"",ORIG!K408)</f>
        <v/>
      </c>
      <c r="L408" s="3">
        <f>IF(ORIG!L408=0,"",ORIG!L408)</f>
        <v/>
      </c>
      <c r="M408" s="3">
        <f>IF(ORIG!M408=0,"",ORIG!M408)</f>
        <v/>
      </c>
      <c r="N408" s="3">
        <f>IF(ORIG!N408=0,"",ORIG!N408)</f>
        <v/>
      </c>
      <c r="O408" s="3">
        <f>IF(ORIG!O408=0,"",ORIG!O408)</f>
        <v/>
      </c>
      <c r="P408" s="3">
        <f>IF(ORIG!P408=0,"",ORIG!P408)</f>
        <v/>
      </c>
      <c r="Q408" s="3">
        <f>IF(ORIG!Q408=0,"",ORIG!Q408)</f>
        <v/>
      </c>
      <c r="R408" s="3">
        <f>IF(ORIG!R408=0,"",ORIG!R408)</f>
        <v/>
      </c>
      <c r="S408" s="3">
        <f>IF(ORIG!S408=0,"",ORIG!S408)</f>
        <v/>
      </c>
      <c r="T408" s="3">
        <f>IF(ORIG!T408=0,"",ORIG!T408)</f>
        <v/>
      </c>
      <c r="U408" s="3">
        <f>IF(ORIG!U408=0,"",ORIG!U408)</f>
        <v/>
      </c>
      <c r="V408" s="9">
        <f>IF(ORIG!V408=0,"",ORIG!V408)</f>
        <v/>
      </c>
      <c r="W408" s="9">
        <f>IF(ORIG!W408=0,"",ORIG!W408)</f>
        <v/>
      </c>
      <c r="X408" s="9">
        <f>IF(ORIG!X408=0,"",ORIG!X408)</f>
        <v/>
      </c>
      <c r="Y408" s="9">
        <f>IF(ORIG!Y408=0,"",ORIG!Y408)</f>
        <v/>
      </c>
      <c r="Z408" s="3">
        <f>SUMPRODUCT($B408:$Y408,$B$2649:$Y$2649)</f>
        <v/>
      </c>
      <c r="AA408" s="3">
        <f>SUMPRODUCT($B408:$Y408,$B$2655:$Y$2655)</f>
        <v/>
      </c>
      <c r="AC408" s="1">
        <f>A408</f>
        <v/>
      </c>
      <c r="AD408">
        <f>IF(ISNUMBER(V408),V408*($AB$1/V$2635),"")</f>
        <v/>
      </c>
      <c r="AE408">
        <f>IF(ISNUMBER(Z408),Z408*($AB$1/Z$2635),"")</f>
        <v/>
      </c>
      <c r="AF408" s="25">
        <f>IF(ISNUMBER(AD408+AE408),AD408+AE408,"")</f>
        <v/>
      </c>
      <c r="AH408" s="1">
        <f>A408</f>
        <v/>
      </c>
      <c r="AI408">
        <f>IF(ISNUMBER((1+V408)*AI407),(1+V408)*AI407,AI407)</f>
        <v/>
      </c>
      <c r="AJ408">
        <f>IF(ISNUMBER((1+Z408)*AJ407),(1+Z408)*AJ407,AJ407)</f>
        <v/>
      </c>
    </row>
    <row r="409">
      <c r="A409" s="1" t="n">
        <v>42594</v>
      </c>
      <c r="B409" s="3">
        <f>IF(ORIG!B409=0,"",ORIG!B409)</f>
        <v/>
      </c>
      <c r="C409" s="3">
        <f>IF(ORIG!C409=0,"",ORIG!C409)</f>
        <v/>
      </c>
      <c r="D409" s="3">
        <f>IF(ORIG!D409=0,"",ORIG!D409)</f>
        <v/>
      </c>
      <c r="E409" s="3">
        <f>IF(ORIG!E409=0,"",ORIG!E409)</f>
        <v/>
      </c>
      <c r="F409" s="3">
        <f>IF(ORIG!F409=0,"",ORIG!F409)</f>
        <v/>
      </c>
      <c r="G409" s="3">
        <f>IF(ORIG!G409=0,"",ORIG!G409)</f>
        <v/>
      </c>
      <c r="H409" s="3">
        <f>IF(ORIG!H409=0,"",ORIG!H409)</f>
        <v/>
      </c>
      <c r="I409" s="3">
        <f>IF(ORIG!I409=0,"",ORIG!I409)</f>
        <v/>
      </c>
      <c r="J409" s="3">
        <f>IF(ORIG!J409=0,"",ORIG!J409)</f>
        <v/>
      </c>
      <c r="K409" s="3">
        <f>IF(ORIG!K409=0,"",ORIG!K409)</f>
        <v/>
      </c>
      <c r="L409" s="3">
        <f>IF(ORIG!L409=0,"",ORIG!L409)</f>
        <v/>
      </c>
      <c r="M409" s="3">
        <f>IF(ORIG!M409=0,"",ORIG!M409)</f>
        <v/>
      </c>
      <c r="N409" s="3">
        <f>IF(ORIG!N409=0,"",ORIG!N409)</f>
        <v/>
      </c>
      <c r="O409" s="3">
        <f>IF(ORIG!O409=0,"",ORIG!O409)</f>
        <v/>
      </c>
      <c r="P409" s="3">
        <f>IF(ORIG!P409=0,"",ORIG!P409)</f>
        <v/>
      </c>
      <c r="Q409" s="3">
        <f>IF(ORIG!Q409=0,"",ORIG!Q409)</f>
        <v/>
      </c>
      <c r="R409" s="3">
        <f>IF(ORIG!R409=0,"",ORIG!R409)</f>
        <v/>
      </c>
      <c r="S409" s="3">
        <f>IF(ORIG!S409=0,"",ORIG!S409)</f>
        <v/>
      </c>
      <c r="T409" s="3">
        <f>IF(ORIG!T409=0,"",ORIG!T409)</f>
        <v/>
      </c>
      <c r="U409" s="3">
        <f>IF(ORIG!U409=0,"",ORIG!U409)</f>
        <v/>
      </c>
      <c r="V409" s="9">
        <f>IF(ORIG!V409=0,"",ORIG!V409)</f>
        <v/>
      </c>
      <c r="W409" s="9">
        <f>IF(ORIG!W409=0,"",ORIG!W409)</f>
        <v/>
      </c>
      <c r="X409" s="9">
        <f>IF(ORIG!X409=0,"",ORIG!X409)</f>
        <v/>
      </c>
      <c r="Y409" s="9">
        <f>IF(ORIG!Y409=0,"",ORIG!Y409)</f>
        <v/>
      </c>
      <c r="Z409" s="3">
        <f>SUMPRODUCT($B409:$Y409,$B$2649:$Y$2649)</f>
        <v/>
      </c>
      <c r="AA409" s="3">
        <f>SUMPRODUCT($B409:$Y409,$B$2655:$Y$2655)</f>
        <v/>
      </c>
      <c r="AC409" s="1">
        <f>A409</f>
        <v/>
      </c>
      <c r="AD409">
        <f>IF(ISNUMBER(V409),V409*($AB$1/V$2635),"")</f>
        <v/>
      </c>
      <c r="AE409">
        <f>IF(ISNUMBER(Z409),Z409*($AB$1/Z$2635),"")</f>
        <v/>
      </c>
      <c r="AF409" s="25">
        <f>IF(ISNUMBER(AD409+AE409),AD409+AE409,"")</f>
        <v/>
      </c>
      <c r="AH409" s="1">
        <f>A409</f>
        <v/>
      </c>
      <c r="AI409">
        <f>IF(ISNUMBER((1+V409)*AI408),(1+V409)*AI408,AI408)</f>
        <v/>
      </c>
      <c r="AJ409">
        <f>IF(ISNUMBER((1+Z409)*AJ408),(1+Z409)*AJ408,AJ408)</f>
        <v/>
      </c>
    </row>
    <row r="410">
      <c r="A410" s="1" t="n">
        <v>42597</v>
      </c>
      <c r="B410" s="3">
        <f>IF(ORIG!B410=0,"",ORIG!B410)</f>
        <v/>
      </c>
      <c r="C410" s="3">
        <f>IF(ORIG!C410=0,"",ORIG!C410)</f>
        <v/>
      </c>
      <c r="D410" s="3">
        <f>IF(ORIG!D410=0,"",ORIG!D410)</f>
        <v/>
      </c>
      <c r="E410" s="3">
        <f>IF(ORIG!E410=0,"",ORIG!E410)</f>
        <v/>
      </c>
      <c r="F410" s="3">
        <f>IF(ORIG!F410=0,"",ORIG!F410)</f>
        <v/>
      </c>
      <c r="G410" s="3">
        <f>IF(ORIG!G410=0,"",ORIG!G410)</f>
        <v/>
      </c>
      <c r="H410" s="3">
        <f>IF(ORIG!H410=0,"",ORIG!H410)</f>
        <v/>
      </c>
      <c r="I410" s="3">
        <f>IF(ORIG!I410=0,"",ORIG!I410)</f>
        <v/>
      </c>
      <c r="J410" s="3">
        <f>IF(ORIG!J410=0,"",ORIG!J410)</f>
        <v/>
      </c>
      <c r="K410" s="3">
        <f>IF(ORIG!K410=0,"",ORIG!K410)</f>
        <v/>
      </c>
      <c r="L410" s="3">
        <f>IF(ORIG!L410=0,"",ORIG!L410)</f>
        <v/>
      </c>
      <c r="M410" s="3">
        <f>IF(ORIG!M410=0,"",ORIG!M410)</f>
        <v/>
      </c>
      <c r="N410" s="3">
        <f>IF(ORIG!N410=0,"",ORIG!N410)</f>
        <v/>
      </c>
      <c r="O410" s="3">
        <f>IF(ORIG!O410=0,"",ORIG!O410)</f>
        <v/>
      </c>
      <c r="P410" s="3">
        <f>IF(ORIG!P410=0,"",ORIG!P410)</f>
        <v/>
      </c>
      <c r="Q410" s="3">
        <f>IF(ORIG!Q410=0,"",ORIG!Q410)</f>
        <v/>
      </c>
      <c r="R410" s="3">
        <f>IF(ORIG!R410=0,"",ORIG!R410)</f>
        <v/>
      </c>
      <c r="S410" s="3">
        <f>IF(ORIG!S410=0,"",ORIG!S410)</f>
        <v/>
      </c>
      <c r="T410" s="3">
        <f>IF(ORIG!T410=0,"",ORIG!T410)</f>
        <v/>
      </c>
      <c r="U410" s="3">
        <f>IF(ORIG!U410=0,"",ORIG!U410)</f>
        <v/>
      </c>
      <c r="V410" s="9">
        <f>IF(ORIG!V410=0,"",ORIG!V410)</f>
        <v/>
      </c>
      <c r="W410" s="9">
        <f>IF(ORIG!W410=0,"",ORIG!W410)</f>
        <v/>
      </c>
      <c r="X410" s="9">
        <f>IF(ORIG!X410=0,"",ORIG!X410)</f>
        <v/>
      </c>
      <c r="Y410" s="9">
        <f>IF(ORIG!Y410=0,"",ORIG!Y410)</f>
        <v/>
      </c>
      <c r="Z410" s="3">
        <f>SUMPRODUCT($B410:$Y410,$B$2649:$Y$2649)</f>
        <v/>
      </c>
      <c r="AA410" s="3">
        <f>SUMPRODUCT($B410:$Y410,$B$2655:$Y$2655)</f>
        <v/>
      </c>
      <c r="AC410" s="1">
        <f>A410</f>
        <v/>
      </c>
      <c r="AD410">
        <f>IF(ISNUMBER(V410),V410*($AB$1/V$2635),"")</f>
        <v/>
      </c>
      <c r="AE410">
        <f>IF(ISNUMBER(Z410),Z410*($AB$1/Z$2635),"")</f>
        <v/>
      </c>
      <c r="AF410" s="25">
        <f>IF(ISNUMBER(AD410+AE410),AD410+AE410,"")</f>
        <v/>
      </c>
      <c r="AH410" s="1">
        <f>A410</f>
        <v/>
      </c>
      <c r="AI410">
        <f>IF(ISNUMBER((1+V410)*AI409),(1+V410)*AI409,AI409)</f>
        <v/>
      </c>
      <c r="AJ410">
        <f>IF(ISNUMBER((1+Z410)*AJ409),(1+Z410)*AJ409,AJ409)</f>
        <v/>
      </c>
    </row>
    <row r="411">
      <c r="A411" s="1" t="n">
        <v>42598</v>
      </c>
      <c r="B411" s="3">
        <f>IF(ORIG!B411=0,"",ORIG!B411)</f>
        <v/>
      </c>
      <c r="C411" s="3">
        <f>IF(ORIG!C411=0,"",ORIG!C411)</f>
        <v/>
      </c>
      <c r="D411" s="3">
        <f>IF(ORIG!D411=0,"",ORIG!D411)</f>
        <v/>
      </c>
      <c r="E411" s="3">
        <f>IF(ORIG!E411=0,"",ORIG!E411)</f>
        <v/>
      </c>
      <c r="F411" s="3">
        <f>IF(ORIG!F411=0,"",ORIG!F411)</f>
        <v/>
      </c>
      <c r="G411" s="3">
        <f>IF(ORIG!G411=0,"",ORIG!G411)</f>
        <v/>
      </c>
      <c r="H411" s="3">
        <f>IF(ORIG!H411=0,"",ORIG!H411)</f>
        <v/>
      </c>
      <c r="I411" s="3">
        <f>IF(ORIG!I411=0,"",ORIG!I411)</f>
        <v/>
      </c>
      <c r="J411" s="3">
        <f>IF(ORIG!J411=0,"",ORIG!J411)</f>
        <v/>
      </c>
      <c r="K411" s="3">
        <f>IF(ORIG!K411=0,"",ORIG!K411)</f>
        <v/>
      </c>
      <c r="L411" s="3">
        <f>IF(ORIG!L411=0,"",ORIG!L411)</f>
        <v/>
      </c>
      <c r="M411" s="3">
        <f>IF(ORIG!M411=0,"",ORIG!M411)</f>
        <v/>
      </c>
      <c r="N411" s="3">
        <f>IF(ORIG!N411=0,"",ORIG!N411)</f>
        <v/>
      </c>
      <c r="O411" s="3">
        <f>IF(ORIG!O411=0,"",ORIG!O411)</f>
        <v/>
      </c>
      <c r="P411" s="3">
        <f>IF(ORIG!P411=0,"",ORIG!P411)</f>
        <v/>
      </c>
      <c r="Q411" s="3">
        <f>IF(ORIG!Q411=0,"",ORIG!Q411)</f>
        <v/>
      </c>
      <c r="R411" s="3">
        <f>IF(ORIG!R411=0,"",ORIG!R411)</f>
        <v/>
      </c>
      <c r="S411" s="3">
        <f>IF(ORIG!S411=0,"",ORIG!S411)</f>
        <v/>
      </c>
      <c r="T411" s="3">
        <f>IF(ORIG!T411=0,"",ORIG!T411)</f>
        <v/>
      </c>
      <c r="U411" s="3">
        <f>IF(ORIG!U411=0,"",ORIG!U411)</f>
        <v/>
      </c>
      <c r="V411" s="9">
        <f>IF(ORIG!V411=0,"",ORIG!V411)</f>
        <v/>
      </c>
      <c r="W411" s="9">
        <f>IF(ORIG!W411=0,"",ORIG!W411)</f>
        <v/>
      </c>
      <c r="X411" s="9">
        <f>IF(ORIG!X411=0,"",ORIG!X411)</f>
        <v/>
      </c>
      <c r="Y411" s="9">
        <f>IF(ORIG!Y411=0,"",ORIG!Y411)</f>
        <v/>
      </c>
      <c r="Z411" s="3">
        <f>SUMPRODUCT($B411:$Y411,$B$2649:$Y$2649)</f>
        <v/>
      </c>
      <c r="AA411" s="3">
        <f>SUMPRODUCT($B411:$Y411,$B$2655:$Y$2655)</f>
        <v/>
      </c>
      <c r="AC411" s="1">
        <f>A411</f>
        <v/>
      </c>
      <c r="AD411">
        <f>IF(ISNUMBER(V411),V411*($AB$1/V$2635),"")</f>
        <v/>
      </c>
      <c r="AE411">
        <f>IF(ISNUMBER(Z411),Z411*($AB$1/Z$2635),"")</f>
        <v/>
      </c>
      <c r="AF411" s="25">
        <f>IF(ISNUMBER(AD411+AE411),AD411+AE411,"")</f>
        <v/>
      </c>
      <c r="AH411" s="1">
        <f>A411</f>
        <v/>
      </c>
      <c r="AI411">
        <f>IF(ISNUMBER((1+V411)*AI410),(1+V411)*AI410,AI410)</f>
        <v/>
      </c>
      <c r="AJ411">
        <f>IF(ISNUMBER((1+Z411)*AJ410),(1+Z411)*AJ410,AJ410)</f>
        <v/>
      </c>
    </row>
    <row r="412">
      <c r="A412" s="1" t="n">
        <v>42599</v>
      </c>
      <c r="B412" s="3">
        <f>IF(ORIG!B412=0,"",ORIG!B412)</f>
        <v/>
      </c>
      <c r="C412" s="3">
        <f>IF(ORIG!C412=0,"",ORIG!C412)</f>
        <v/>
      </c>
      <c r="D412" s="3">
        <f>IF(ORIG!D412=0,"",ORIG!D412)</f>
        <v/>
      </c>
      <c r="E412" s="3">
        <f>IF(ORIG!E412=0,"",ORIG!E412)</f>
        <v/>
      </c>
      <c r="F412" s="3">
        <f>IF(ORIG!F412=0,"",ORIG!F412)</f>
        <v/>
      </c>
      <c r="G412" s="3">
        <f>IF(ORIG!G412=0,"",ORIG!G412)</f>
        <v/>
      </c>
      <c r="H412" s="3">
        <f>IF(ORIG!H412=0,"",ORIG!H412)</f>
        <v/>
      </c>
      <c r="I412" s="3">
        <f>IF(ORIG!I412=0,"",ORIG!I412)</f>
        <v/>
      </c>
      <c r="J412" s="3">
        <f>IF(ORIG!J412=0,"",ORIG!J412)</f>
        <v/>
      </c>
      <c r="K412" s="3">
        <f>IF(ORIG!K412=0,"",ORIG!K412)</f>
        <v/>
      </c>
      <c r="L412" s="3">
        <f>IF(ORIG!L412=0,"",ORIG!L412)</f>
        <v/>
      </c>
      <c r="M412" s="3">
        <f>IF(ORIG!M412=0,"",ORIG!M412)</f>
        <v/>
      </c>
      <c r="N412" s="3">
        <f>IF(ORIG!N412=0,"",ORIG!N412)</f>
        <v/>
      </c>
      <c r="O412" s="3">
        <f>IF(ORIG!O412=0,"",ORIG!O412)</f>
        <v/>
      </c>
      <c r="P412" s="3">
        <f>IF(ORIG!P412=0,"",ORIG!P412)</f>
        <v/>
      </c>
      <c r="Q412" s="3">
        <f>IF(ORIG!Q412=0,"",ORIG!Q412)</f>
        <v/>
      </c>
      <c r="R412" s="3">
        <f>IF(ORIG!R412=0,"",ORIG!R412)</f>
        <v/>
      </c>
      <c r="S412" s="3">
        <f>IF(ORIG!S412=0,"",ORIG!S412)</f>
        <v/>
      </c>
      <c r="T412" s="3">
        <f>IF(ORIG!T412=0,"",ORIG!T412)</f>
        <v/>
      </c>
      <c r="U412" s="3">
        <f>IF(ORIG!U412=0,"",ORIG!U412)</f>
        <v/>
      </c>
      <c r="V412" s="9">
        <f>IF(ORIG!V412=0,"",ORIG!V412)</f>
        <v/>
      </c>
      <c r="W412" s="9">
        <f>IF(ORIG!W412=0,"",ORIG!W412)</f>
        <v/>
      </c>
      <c r="X412" s="9">
        <f>IF(ORIG!X412=0,"",ORIG!X412)</f>
        <v/>
      </c>
      <c r="Y412" s="9">
        <f>IF(ORIG!Y412=0,"",ORIG!Y412)</f>
        <v/>
      </c>
      <c r="Z412" s="3">
        <f>SUMPRODUCT($B412:$Y412,$B$2649:$Y$2649)</f>
        <v/>
      </c>
      <c r="AA412" s="3">
        <f>SUMPRODUCT($B412:$Y412,$B$2655:$Y$2655)</f>
        <v/>
      </c>
      <c r="AC412" s="1">
        <f>A412</f>
        <v/>
      </c>
      <c r="AD412">
        <f>IF(ISNUMBER(V412),V412*($AB$1/V$2635),"")</f>
        <v/>
      </c>
      <c r="AE412">
        <f>IF(ISNUMBER(Z412),Z412*($AB$1/Z$2635),"")</f>
        <v/>
      </c>
      <c r="AF412" s="25">
        <f>IF(ISNUMBER(AD412+AE412),AD412+AE412,"")</f>
        <v/>
      </c>
      <c r="AH412" s="1">
        <f>A412</f>
        <v/>
      </c>
      <c r="AI412">
        <f>IF(ISNUMBER((1+V412)*AI411),(1+V412)*AI411,AI411)</f>
        <v/>
      </c>
      <c r="AJ412">
        <f>IF(ISNUMBER((1+Z412)*AJ411),(1+Z412)*AJ411,AJ411)</f>
        <v/>
      </c>
    </row>
    <row r="413">
      <c r="A413" s="1" t="n">
        <v>42600</v>
      </c>
      <c r="B413" s="3">
        <f>IF(ORIG!B413=0,"",ORIG!B413)</f>
        <v/>
      </c>
      <c r="C413" s="3">
        <f>IF(ORIG!C413=0,"",ORIG!C413)</f>
        <v/>
      </c>
      <c r="D413" s="3">
        <f>IF(ORIG!D413=0,"",ORIG!D413)</f>
        <v/>
      </c>
      <c r="E413" s="3">
        <f>IF(ORIG!E413=0,"",ORIG!E413)</f>
        <v/>
      </c>
      <c r="F413" s="3">
        <f>IF(ORIG!F413=0,"",ORIG!F413)</f>
        <v/>
      </c>
      <c r="G413" s="3">
        <f>IF(ORIG!G413=0,"",ORIG!G413)</f>
        <v/>
      </c>
      <c r="H413" s="3">
        <f>IF(ORIG!H413=0,"",ORIG!H413)</f>
        <v/>
      </c>
      <c r="I413" s="3">
        <f>IF(ORIG!I413=0,"",ORIG!I413)</f>
        <v/>
      </c>
      <c r="J413" s="3">
        <f>IF(ORIG!J413=0,"",ORIG!J413)</f>
        <v/>
      </c>
      <c r="K413" s="3">
        <f>IF(ORIG!K413=0,"",ORIG!K413)</f>
        <v/>
      </c>
      <c r="L413" s="3">
        <f>IF(ORIG!L413=0,"",ORIG!L413)</f>
        <v/>
      </c>
      <c r="M413" s="3">
        <f>IF(ORIG!M413=0,"",ORIG!M413)</f>
        <v/>
      </c>
      <c r="N413" s="3">
        <f>IF(ORIG!N413=0,"",ORIG!N413)</f>
        <v/>
      </c>
      <c r="O413" s="3">
        <f>IF(ORIG!O413=0,"",ORIG!O413)</f>
        <v/>
      </c>
      <c r="P413" s="3">
        <f>IF(ORIG!P413=0,"",ORIG!P413)</f>
        <v/>
      </c>
      <c r="Q413" s="3">
        <f>IF(ORIG!Q413=0,"",ORIG!Q413)</f>
        <v/>
      </c>
      <c r="R413" s="3">
        <f>IF(ORIG!R413=0,"",ORIG!R413)</f>
        <v/>
      </c>
      <c r="S413" s="3">
        <f>IF(ORIG!S413=0,"",ORIG!S413)</f>
        <v/>
      </c>
      <c r="T413" s="3">
        <f>IF(ORIG!T413=0,"",ORIG!T413)</f>
        <v/>
      </c>
      <c r="U413" s="3">
        <f>IF(ORIG!U413=0,"",ORIG!U413)</f>
        <v/>
      </c>
      <c r="V413" s="9">
        <f>IF(ORIG!V413=0,"",ORIG!V413)</f>
        <v/>
      </c>
      <c r="W413" s="9">
        <f>IF(ORIG!W413=0,"",ORIG!W413)</f>
        <v/>
      </c>
      <c r="X413" s="9">
        <f>IF(ORIG!X413=0,"",ORIG!X413)</f>
        <v/>
      </c>
      <c r="Y413" s="9">
        <f>IF(ORIG!Y413=0,"",ORIG!Y413)</f>
        <v/>
      </c>
      <c r="Z413" s="3">
        <f>SUMPRODUCT($B413:$Y413,$B$2649:$Y$2649)</f>
        <v/>
      </c>
      <c r="AA413" s="3">
        <f>SUMPRODUCT($B413:$Y413,$B$2655:$Y$2655)</f>
        <v/>
      </c>
      <c r="AC413" s="1">
        <f>A413</f>
        <v/>
      </c>
      <c r="AD413">
        <f>IF(ISNUMBER(V413),V413*($AB$1/V$2635),"")</f>
        <v/>
      </c>
      <c r="AE413">
        <f>IF(ISNUMBER(Z413),Z413*($AB$1/Z$2635),"")</f>
        <v/>
      </c>
      <c r="AF413" s="25">
        <f>IF(ISNUMBER(AD413+AE413),AD413+AE413,"")</f>
        <v/>
      </c>
      <c r="AH413" s="1">
        <f>A413</f>
        <v/>
      </c>
      <c r="AI413">
        <f>IF(ISNUMBER((1+V413)*AI412),(1+V413)*AI412,AI412)</f>
        <v/>
      </c>
      <c r="AJ413">
        <f>IF(ISNUMBER((1+Z413)*AJ412),(1+Z413)*AJ412,AJ412)</f>
        <v/>
      </c>
    </row>
    <row r="414">
      <c r="A414" s="1" t="n">
        <v>42601</v>
      </c>
      <c r="B414" s="3">
        <f>IF(ORIG!B414=0,"",ORIG!B414)</f>
        <v/>
      </c>
      <c r="C414" s="3">
        <f>IF(ORIG!C414=0,"",ORIG!C414)</f>
        <v/>
      </c>
      <c r="D414" s="3">
        <f>IF(ORIG!D414=0,"",ORIG!D414)</f>
        <v/>
      </c>
      <c r="E414" s="3">
        <f>IF(ORIG!E414=0,"",ORIG!E414)</f>
        <v/>
      </c>
      <c r="F414" s="3">
        <f>IF(ORIG!F414=0,"",ORIG!F414)</f>
        <v/>
      </c>
      <c r="G414" s="3">
        <f>IF(ORIG!G414=0,"",ORIG!G414)</f>
        <v/>
      </c>
      <c r="H414" s="3">
        <f>IF(ORIG!H414=0,"",ORIG!H414)</f>
        <v/>
      </c>
      <c r="I414" s="3">
        <f>IF(ORIG!I414=0,"",ORIG!I414)</f>
        <v/>
      </c>
      <c r="J414" s="3">
        <f>IF(ORIG!J414=0,"",ORIG!J414)</f>
        <v/>
      </c>
      <c r="K414" s="3">
        <f>IF(ORIG!K414=0,"",ORIG!K414)</f>
        <v/>
      </c>
      <c r="L414" s="3">
        <f>IF(ORIG!L414=0,"",ORIG!L414)</f>
        <v/>
      </c>
      <c r="M414" s="3">
        <f>IF(ORIG!M414=0,"",ORIG!M414)</f>
        <v/>
      </c>
      <c r="N414" s="3">
        <f>IF(ORIG!N414=0,"",ORIG!N414)</f>
        <v/>
      </c>
      <c r="O414" s="3">
        <f>IF(ORIG!O414=0,"",ORIG!O414)</f>
        <v/>
      </c>
      <c r="P414" s="3">
        <f>IF(ORIG!P414=0,"",ORIG!P414)</f>
        <v/>
      </c>
      <c r="Q414" s="3">
        <f>IF(ORIG!Q414=0,"",ORIG!Q414)</f>
        <v/>
      </c>
      <c r="R414" s="3">
        <f>IF(ORIG!R414=0,"",ORIG!R414)</f>
        <v/>
      </c>
      <c r="S414" s="3">
        <f>IF(ORIG!S414=0,"",ORIG!S414)</f>
        <v/>
      </c>
      <c r="T414" s="3">
        <f>IF(ORIG!T414=0,"",ORIG!T414)</f>
        <v/>
      </c>
      <c r="U414" s="3">
        <f>IF(ORIG!U414=0,"",ORIG!U414)</f>
        <v/>
      </c>
      <c r="V414" s="9">
        <f>IF(ORIG!V414=0,"",ORIG!V414)</f>
        <v/>
      </c>
      <c r="W414" s="9">
        <f>IF(ORIG!W414=0,"",ORIG!W414)</f>
        <v/>
      </c>
      <c r="X414" s="9">
        <f>IF(ORIG!X414=0,"",ORIG!X414)</f>
        <v/>
      </c>
      <c r="Y414" s="9">
        <f>IF(ORIG!Y414=0,"",ORIG!Y414)</f>
        <v/>
      </c>
      <c r="Z414" s="3">
        <f>SUMPRODUCT($B414:$Y414,$B$2649:$Y$2649)</f>
        <v/>
      </c>
      <c r="AA414" s="3">
        <f>SUMPRODUCT($B414:$Y414,$B$2655:$Y$2655)</f>
        <v/>
      </c>
      <c r="AC414" s="1">
        <f>A414</f>
        <v/>
      </c>
      <c r="AD414">
        <f>IF(ISNUMBER(V414),V414*($AB$1/V$2635),"")</f>
        <v/>
      </c>
      <c r="AE414">
        <f>IF(ISNUMBER(Z414),Z414*($AB$1/Z$2635),"")</f>
        <v/>
      </c>
      <c r="AF414" s="25">
        <f>IF(ISNUMBER(AD414+AE414),AD414+AE414,"")</f>
        <v/>
      </c>
      <c r="AH414" s="1">
        <f>A414</f>
        <v/>
      </c>
      <c r="AI414">
        <f>IF(ISNUMBER((1+V414)*AI413),(1+V414)*AI413,AI413)</f>
        <v/>
      </c>
      <c r="AJ414">
        <f>IF(ISNUMBER((1+Z414)*AJ413),(1+Z414)*AJ413,AJ413)</f>
        <v/>
      </c>
    </row>
    <row r="415">
      <c r="A415" s="1" t="n">
        <v>42604</v>
      </c>
      <c r="B415" s="3">
        <f>IF(ORIG!B415=0,"",ORIG!B415)</f>
        <v/>
      </c>
      <c r="C415" s="3">
        <f>IF(ORIG!C415=0,"",ORIG!C415)</f>
        <v/>
      </c>
      <c r="D415" s="3">
        <f>IF(ORIG!D415=0,"",ORIG!D415)</f>
        <v/>
      </c>
      <c r="E415" s="3">
        <f>IF(ORIG!E415=0,"",ORIG!E415)</f>
        <v/>
      </c>
      <c r="F415" s="3">
        <f>IF(ORIG!F415=0,"",ORIG!F415)</f>
        <v/>
      </c>
      <c r="G415" s="3">
        <f>IF(ORIG!G415=0,"",ORIG!G415)</f>
        <v/>
      </c>
      <c r="H415" s="3">
        <f>IF(ORIG!H415=0,"",ORIG!H415)</f>
        <v/>
      </c>
      <c r="I415" s="3">
        <f>IF(ORIG!I415=0,"",ORIG!I415)</f>
        <v/>
      </c>
      <c r="J415" s="3">
        <f>IF(ORIG!J415=0,"",ORIG!J415)</f>
        <v/>
      </c>
      <c r="K415" s="3">
        <f>IF(ORIG!K415=0,"",ORIG!K415)</f>
        <v/>
      </c>
      <c r="L415" s="3">
        <f>IF(ORIG!L415=0,"",ORIG!L415)</f>
        <v/>
      </c>
      <c r="M415" s="3">
        <f>IF(ORIG!M415=0,"",ORIG!M415)</f>
        <v/>
      </c>
      <c r="N415" s="3">
        <f>IF(ORIG!N415=0,"",ORIG!N415)</f>
        <v/>
      </c>
      <c r="O415" s="3">
        <f>IF(ORIG!O415=0,"",ORIG!O415)</f>
        <v/>
      </c>
      <c r="P415" s="3">
        <f>IF(ORIG!P415=0,"",ORIG!P415)</f>
        <v/>
      </c>
      <c r="Q415" s="3">
        <f>IF(ORIG!Q415=0,"",ORIG!Q415)</f>
        <v/>
      </c>
      <c r="R415" s="3">
        <f>IF(ORIG!R415=0,"",ORIG!R415)</f>
        <v/>
      </c>
      <c r="S415" s="3">
        <f>IF(ORIG!S415=0,"",ORIG!S415)</f>
        <v/>
      </c>
      <c r="T415" s="3">
        <f>IF(ORIG!T415=0,"",ORIG!T415)</f>
        <v/>
      </c>
      <c r="U415" s="3">
        <f>IF(ORIG!U415=0,"",ORIG!U415)</f>
        <v/>
      </c>
      <c r="V415" s="9">
        <f>IF(ORIG!V415=0,"",ORIG!V415)</f>
        <v/>
      </c>
      <c r="W415" s="9">
        <f>IF(ORIG!W415=0,"",ORIG!W415)</f>
        <v/>
      </c>
      <c r="X415" s="9">
        <f>IF(ORIG!X415=0,"",ORIG!X415)</f>
        <v/>
      </c>
      <c r="Y415" s="9">
        <f>IF(ORIG!Y415=0,"",ORIG!Y415)</f>
        <v/>
      </c>
      <c r="Z415" s="3">
        <f>SUMPRODUCT($B415:$Y415,$B$2649:$Y$2649)</f>
        <v/>
      </c>
      <c r="AA415" s="3">
        <f>SUMPRODUCT($B415:$Y415,$B$2655:$Y$2655)</f>
        <v/>
      </c>
      <c r="AC415" s="1">
        <f>A415</f>
        <v/>
      </c>
      <c r="AD415">
        <f>IF(ISNUMBER(V415),V415*($AB$1/V$2635),"")</f>
        <v/>
      </c>
      <c r="AE415">
        <f>IF(ISNUMBER(Z415),Z415*($AB$1/Z$2635),"")</f>
        <v/>
      </c>
      <c r="AF415" s="25">
        <f>IF(ISNUMBER(AD415+AE415),AD415+AE415,"")</f>
        <v/>
      </c>
      <c r="AH415" s="1">
        <f>A415</f>
        <v/>
      </c>
      <c r="AI415">
        <f>IF(ISNUMBER((1+V415)*AI414),(1+V415)*AI414,AI414)</f>
        <v/>
      </c>
      <c r="AJ415">
        <f>IF(ISNUMBER((1+Z415)*AJ414),(1+Z415)*AJ414,AJ414)</f>
        <v/>
      </c>
    </row>
    <row r="416">
      <c r="A416" s="1" t="n">
        <v>42605</v>
      </c>
      <c r="B416" s="3">
        <f>IF(ORIG!B416=0,"",ORIG!B416)</f>
        <v/>
      </c>
      <c r="C416" s="3">
        <f>IF(ORIG!C416=0,"",ORIG!C416)</f>
        <v/>
      </c>
      <c r="D416" s="3">
        <f>IF(ORIG!D416=0,"",ORIG!D416)</f>
        <v/>
      </c>
      <c r="E416" s="3">
        <f>IF(ORIG!E416=0,"",ORIG!E416)</f>
        <v/>
      </c>
      <c r="F416" s="3">
        <f>IF(ORIG!F416=0,"",ORIG!F416)</f>
        <v/>
      </c>
      <c r="G416" s="3">
        <f>IF(ORIG!G416=0,"",ORIG!G416)</f>
        <v/>
      </c>
      <c r="H416" s="3">
        <f>IF(ORIG!H416=0,"",ORIG!H416)</f>
        <v/>
      </c>
      <c r="I416" s="3">
        <f>IF(ORIG!I416=0,"",ORIG!I416)</f>
        <v/>
      </c>
      <c r="J416" s="3">
        <f>IF(ORIG!J416=0,"",ORIG!J416)</f>
        <v/>
      </c>
      <c r="K416" s="3">
        <f>IF(ORIG!K416=0,"",ORIG!K416)</f>
        <v/>
      </c>
      <c r="L416" s="3">
        <f>IF(ORIG!L416=0,"",ORIG!L416)</f>
        <v/>
      </c>
      <c r="M416" s="3">
        <f>IF(ORIG!M416=0,"",ORIG!M416)</f>
        <v/>
      </c>
      <c r="N416" s="3">
        <f>IF(ORIG!N416=0,"",ORIG!N416)</f>
        <v/>
      </c>
      <c r="O416" s="3">
        <f>IF(ORIG!O416=0,"",ORIG!O416)</f>
        <v/>
      </c>
      <c r="P416" s="3">
        <f>IF(ORIG!P416=0,"",ORIG!P416)</f>
        <v/>
      </c>
      <c r="Q416" s="3">
        <f>IF(ORIG!Q416=0,"",ORIG!Q416)</f>
        <v/>
      </c>
      <c r="R416" s="3">
        <f>IF(ORIG!R416=0,"",ORIG!R416)</f>
        <v/>
      </c>
      <c r="S416" s="3">
        <f>IF(ORIG!S416=0,"",ORIG!S416)</f>
        <v/>
      </c>
      <c r="T416" s="3">
        <f>IF(ORIG!T416=0,"",ORIG!T416)</f>
        <v/>
      </c>
      <c r="U416" s="3">
        <f>IF(ORIG!U416=0,"",ORIG!U416)</f>
        <v/>
      </c>
      <c r="V416" s="9">
        <f>IF(ORIG!V416=0,"",ORIG!V416)</f>
        <v/>
      </c>
      <c r="W416" s="9">
        <f>IF(ORIG!W416=0,"",ORIG!W416)</f>
        <v/>
      </c>
      <c r="X416" s="9">
        <f>IF(ORIG!X416=0,"",ORIG!X416)</f>
        <v/>
      </c>
      <c r="Y416" s="9">
        <f>IF(ORIG!Y416=0,"",ORIG!Y416)</f>
        <v/>
      </c>
      <c r="Z416" s="3">
        <f>SUMPRODUCT($B416:$Y416,$B$2649:$Y$2649)</f>
        <v/>
      </c>
      <c r="AA416" s="3">
        <f>SUMPRODUCT($B416:$Y416,$B$2655:$Y$2655)</f>
        <v/>
      </c>
      <c r="AC416" s="1">
        <f>A416</f>
        <v/>
      </c>
      <c r="AD416">
        <f>IF(ISNUMBER(V416),V416*($AB$1/V$2635),"")</f>
        <v/>
      </c>
      <c r="AE416">
        <f>IF(ISNUMBER(Z416),Z416*($AB$1/Z$2635),"")</f>
        <v/>
      </c>
      <c r="AF416" s="25">
        <f>IF(ISNUMBER(AD416+AE416),AD416+AE416,"")</f>
        <v/>
      </c>
      <c r="AH416" s="1">
        <f>A416</f>
        <v/>
      </c>
      <c r="AI416">
        <f>IF(ISNUMBER((1+V416)*AI415),(1+V416)*AI415,AI415)</f>
        <v/>
      </c>
      <c r="AJ416">
        <f>IF(ISNUMBER((1+Z416)*AJ415),(1+Z416)*AJ415,AJ415)</f>
        <v/>
      </c>
    </row>
    <row r="417">
      <c r="A417" s="1" t="n">
        <v>42606</v>
      </c>
      <c r="B417" s="3">
        <f>IF(ORIG!B417=0,"",ORIG!B417)</f>
        <v/>
      </c>
      <c r="C417" s="3">
        <f>IF(ORIG!C417=0,"",ORIG!C417)</f>
        <v/>
      </c>
      <c r="D417" s="3">
        <f>IF(ORIG!D417=0,"",ORIG!D417)</f>
        <v/>
      </c>
      <c r="E417" s="3">
        <f>IF(ORIG!E417=0,"",ORIG!E417)</f>
        <v/>
      </c>
      <c r="F417" s="3">
        <f>IF(ORIG!F417=0,"",ORIG!F417)</f>
        <v/>
      </c>
      <c r="G417" s="3">
        <f>IF(ORIG!G417=0,"",ORIG!G417)</f>
        <v/>
      </c>
      <c r="H417" s="3">
        <f>IF(ORIG!H417=0,"",ORIG!H417)</f>
        <v/>
      </c>
      <c r="I417" s="3">
        <f>IF(ORIG!I417=0,"",ORIG!I417)</f>
        <v/>
      </c>
      <c r="J417" s="3">
        <f>IF(ORIG!J417=0,"",ORIG!J417)</f>
        <v/>
      </c>
      <c r="K417" s="3">
        <f>IF(ORIG!K417=0,"",ORIG!K417)</f>
        <v/>
      </c>
      <c r="L417" s="3">
        <f>IF(ORIG!L417=0,"",ORIG!L417)</f>
        <v/>
      </c>
      <c r="M417" s="3">
        <f>IF(ORIG!M417=0,"",ORIG!M417)</f>
        <v/>
      </c>
      <c r="N417" s="3">
        <f>IF(ORIG!N417=0,"",ORIG!N417)</f>
        <v/>
      </c>
      <c r="O417" s="3">
        <f>IF(ORIG!O417=0,"",ORIG!O417)</f>
        <v/>
      </c>
      <c r="P417" s="3">
        <f>IF(ORIG!P417=0,"",ORIG!P417)</f>
        <v/>
      </c>
      <c r="Q417" s="3">
        <f>IF(ORIG!Q417=0,"",ORIG!Q417)</f>
        <v/>
      </c>
      <c r="R417" s="3">
        <f>IF(ORIG!R417=0,"",ORIG!R417)</f>
        <v/>
      </c>
      <c r="S417" s="3">
        <f>IF(ORIG!S417=0,"",ORIG!S417)</f>
        <v/>
      </c>
      <c r="T417" s="3">
        <f>IF(ORIG!T417=0,"",ORIG!T417)</f>
        <v/>
      </c>
      <c r="U417" s="3">
        <f>IF(ORIG!U417=0,"",ORIG!U417)</f>
        <v/>
      </c>
      <c r="V417" s="9">
        <f>IF(ORIG!V417=0,"",ORIG!V417)</f>
        <v/>
      </c>
      <c r="W417" s="9">
        <f>IF(ORIG!W417=0,"",ORIG!W417)</f>
        <v/>
      </c>
      <c r="X417" s="9">
        <f>IF(ORIG!X417=0,"",ORIG!X417)</f>
        <v/>
      </c>
      <c r="Y417" s="9">
        <f>IF(ORIG!Y417=0,"",ORIG!Y417)</f>
        <v/>
      </c>
      <c r="Z417" s="3">
        <f>SUMPRODUCT($B417:$Y417,$B$2649:$Y$2649)</f>
        <v/>
      </c>
      <c r="AA417" s="3">
        <f>SUMPRODUCT($B417:$Y417,$B$2655:$Y$2655)</f>
        <v/>
      </c>
      <c r="AC417" s="1">
        <f>A417</f>
        <v/>
      </c>
      <c r="AD417">
        <f>IF(ISNUMBER(V417),V417*($AB$1/V$2635),"")</f>
        <v/>
      </c>
      <c r="AE417">
        <f>IF(ISNUMBER(Z417),Z417*($AB$1/Z$2635),"")</f>
        <v/>
      </c>
      <c r="AF417" s="25">
        <f>IF(ISNUMBER(AD417+AE417),AD417+AE417,"")</f>
        <v/>
      </c>
      <c r="AH417" s="1">
        <f>A417</f>
        <v/>
      </c>
      <c r="AI417">
        <f>IF(ISNUMBER((1+V417)*AI416),(1+V417)*AI416,AI416)</f>
        <v/>
      </c>
      <c r="AJ417">
        <f>IF(ISNUMBER((1+Z417)*AJ416),(1+Z417)*AJ416,AJ416)</f>
        <v/>
      </c>
    </row>
    <row r="418">
      <c r="A418" s="1" t="n">
        <v>42607</v>
      </c>
      <c r="B418" s="3">
        <f>IF(ORIG!B418=0,"",ORIG!B418)</f>
        <v/>
      </c>
      <c r="C418" s="3">
        <f>IF(ORIG!C418=0,"",ORIG!C418)</f>
        <v/>
      </c>
      <c r="D418" s="3">
        <f>IF(ORIG!D418=0,"",ORIG!D418)</f>
        <v/>
      </c>
      <c r="E418" s="3">
        <f>IF(ORIG!E418=0,"",ORIG!E418)</f>
        <v/>
      </c>
      <c r="F418" s="3">
        <f>IF(ORIG!F418=0,"",ORIG!F418)</f>
        <v/>
      </c>
      <c r="G418" s="3">
        <f>IF(ORIG!G418=0,"",ORIG!G418)</f>
        <v/>
      </c>
      <c r="H418" s="3">
        <f>IF(ORIG!H418=0,"",ORIG!H418)</f>
        <v/>
      </c>
      <c r="I418" s="3">
        <f>IF(ORIG!I418=0,"",ORIG!I418)</f>
        <v/>
      </c>
      <c r="J418" s="3">
        <f>IF(ORIG!J418=0,"",ORIG!J418)</f>
        <v/>
      </c>
      <c r="K418" s="3">
        <f>IF(ORIG!K418=0,"",ORIG!K418)</f>
        <v/>
      </c>
      <c r="L418" s="3">
        <f>IF(ORIG!L418=0,"",ORIG!L418)</f>
        <v/>
      </c>
      <c r="M418" s="3">
        <f>IF(ORIG!M418=0,"",ORIG!M418)</f>
        <v/>
      </c>
      <c r="N418" s="3">
        <f>IF(ORIG!N418=0,"",ORIG!N418)</f>
        <v/>
      </c>
      <c r="O418" s="3">
        <f>IF(ORIG!O418=0,"",ORIG!O418)</f>
        <v/>
      </c>
      <c r="P418" s="3">
        <f>IF(ORIG!P418=0,"",ORIG!P418)</f>
        <v/>
      </c>
      <c r="Q418" s="3">
        <f>IF(ORIG!Q418=0,"",ORIG!Q418)</f>
        <v/>
      </c>
      <c r="R418" s="3">
        <f>IF(ORIG!R418=0,"",ORIG!R418)</f>
        <v/>
      </c>
      <c r="S418" s="3">
        <f>IF(ORIG!S418=0,"",ORIG!S418)</f>
        <v/>
      </c>
      <c r="T418" s="3">
        <f>IF(ORIG!T418=0,"",ORIG!T418)</f>
        <v/>
      </c>
      <c r="U418" s="3">
        <f>IF(ORIG!U418=0,"",ORIG!U418)</f>
        <v/>
      </c>
      <c r="V418" s="9">
        <f>IF(ORIG!V418=0,"",ORIG!V418)</f>
        <v/>
      </c>
      <c r="W418" s="9">
        <f>IF(ORIG!W418=0,"",ORIG!W418)</f>
        <v/>
      </c>
      <c r="X418" s="9">
        <f>IF(ORIG!X418=0,"",ORIG!X418)</f>
        <v/>
      </c>
      <c r="Y418" s="9">
        <f>IF(ORIG!Y418=0,"",ORIG!Y418)</f>
        <v/>
      </c>
      <c r="Z418" s="3">
        <f>SUMPRODUCT($B418:$Y418,$B$2649:$Y$2649)</f>
        <v/>
      </c>
      <c r="AA418" s="3">
        <f>SUMPRODUCT($B418:$Y418,$B$2655:$Y$2655)</f>
        <v/>
      </c>
      <c r="AC418" s="1">
        <f>A418</f>
        <v/>
      </c>
      <c r="AD418">
        <f>IF(ISNUMBER(V418),V418*($AB$1/V$2635),"")</f>
        <v/>
      </c>
      <c r="AE418">
        <f>IF(ISNUMBER(Z418),Z418*($AB$1/Z$2635),"")</f>
        <v/>
      </c>
      <c r="AF418" s="25">
        <f>IF(ISNUMBER(AD418+AE418),AD418+AE418,"")</f>
        <v/>
      </c>
      <c r="AH418" s="1">
        <f>A418</f>
        <v/>
      </c>
      <c r="AI418">
        <f>IF(ISNUMBER((1+V418)*AI417),(1+V418)*AI417,AI417)</f>
        <v/>
      </c>
      <c r="AJ418">
        <f>IF(ISNUMBER((1+Z418)*AJ417),(1+Z418)*AJ417,AJ417)</f>
        <v/>
      </c>
    </row>
    <row r="419">
      <c r="A419" s="1" t="n">
        <v>42608</v>
      </c>
      <c r="B419" s="3">
        <f>IF(ORIG!B419=0,"",ORIG!B419)</f>
        <v/>
      </c>
      <c r="C419" s="3">
        <f>IF(ORIG!C419=0,"",ORIG!C419)</f>
        <v/>
      </c>
      <c r="D419" s="3">
        <f>IF(ORIG!D419=0,"",ORIG!D419)</f>
        <v/>
      </c>
      <c r="E419" s="3">
        <f>IF(ORIG!E419=0,"",ORIG!E419)</f>
        <v/>
      </c>
      <c r="F419" s="3">
        <f>IF(ORIG!F419=0,"",ORIG!F419)</f>
        <v/>
      </c>
      <c r="G419" s="3">
        <f>IF(ORIG!G419=0,"",ORIG!G419)</f>
        <v/>
      </c>
      <c r="H419" s="3">
        <f>IF(ORIG!H419=0,"",ORIG!H419)</f>
        <v/>
      </c>
      <c r="I419" s="3">
        <f>IF(ORIG!I419=0,"",ORIG!I419)</f>
        <v/>
      </c>
      <c r="J419" s="3">
        <f>IF(ORIG!J419=0,"",ORIG!J419)</f>
        <v/>
      </c>
      <c r="K419" s="3">
        <f>IF(ORIG!K419=0,"",ORIG!K419)</f>
        <v/>
      </c>
      <c r="L419" s="3">
        <f>IF(ORIG!L419=0,"",ORIG!L419)</f>
        <v/>
      </c>
      <c r="M419" s="3">
        <f>IF(ORIG!M419=0,"",ORIG!M419)</f>
        <v/>
      </c>
      <c r="N419" s="3">
        <f>IF(ORIG!N419=0,"",ORIG!N419)</f>
        <v/>
      </c>
      <c r="O419" s="3">
        <f>IF(ORIG!O419=0,"",ORIG!O419)</f>
        <v/>
      </c>
      <c r="P419" s="3">
        <f>IF(ORIG!P419=0,"",ORIG!P419)</f>
        <v/>
      </c>
      <c r="Q419" s="3">
        <f>IF(ORIG!Q419=0,"",ORIG!Q419)</f>
        <v/>
      </c>
      <c r="R419" s="3">
        <f>IF(ORIG!R419=0,"",ORIG!R419)</f>
        <v/>
      </c>
      <c r="S419" s="3">
        <f>IF(ORIG!S419=0,"",ORIG!S419)</f>
        <v/>
      </c>
      <c r="T419" s="3">
        <f>IF(ORIG!T419=0,"",ORIG!T419)</f>
        <v/>
      </c>
      <c r="U419" s="3">
        <f>IF(ORIG!U419=0,"",ORIG!U419)</f>
        <v/>
      </c>
      <c r="V419" s="9">
        <f>IF(ORIG!V419=0,"",ORIG!V419)</f>
        <v/>
      </c>
      <c r="W419" s="9">
        <f>IF(ORIG!W419=0,"",ORIG!W419)</f>
        <v/>
      </c>
      <c r="X419" s="9">
        <f>IF(ORIG!X419=0,"",ORIG!X419)</f>
        <v/>
      </c>
      <c r="Y419" s="9">
        <f>IF(ORIG!Y419=0,"",ORIG!Y419)</f>
        <v/>
      </c>
      <c r="Z419" s="3">
        <f>SUMPRODUCT($B419:$Y419,$B$2649:$Y$2649)</f>
        <v/>
      </c>
      <c r="AA419" s="3">
        <f>SUMPRODUCT($B419:$Y419,$B$2655:$Y$2655)</f>
        <v/>
      </c>
      <c r="AC419" s="1">
        <f>A419</f>
        <v/>
      </c>
      <c r="AD419">
        <f>IF(ISNUMBER(V419),V419*($AB$1/V$2635),"")</f>
        <v/>
      </c>
      <c r="AE419">
        <f>IF(ISNUMBER(Z419),Z419*($AB$1/Z$2635),"")</f>
        <v/>
      </c>
      <c r="AF419" s="25">
        <f>IF(ISNUMBER(AD419+AE419),AD419+AE419,"")</f>
        <v/>
      </c>
      <c r="AH419" s="1">
        <f>A419</f>
        <v/>
      </c>
      <c r="AI419">
        <f>IF(ISNUMBER((1+V419)*AI418),(1+V419)*AI418,AI418)</f>
        <v/>
      </c>
      <c r="AJ419">
        <f>IF(ISNUMBER((1+Z419)*AJ418),(1+Z419)*AJ418,AJ418)</f>
        <v/>
      </c>
    </row>
    <row r="420">
      <c r="A420" s="1" t="n">
        <v>42611</v>
      </c>
      <c r="B420" s="3">
        <f>IF(ORIG!B420=0,"",ORIG!B420)</f>
        <v/>
      </c>
      <c r="C420" s="3">
        <f>IF(ORIG!C420=0,"",ORIG!C420)</f>
        <v/>
      </c>
      <c r="D420" s="3">
        <f>IF(ORIG!D420=0,"",ORIG!D420)</f>
        <v/>
      </c>
      <c r="E420" s="3">
        <f>IF(ORIG!E420=0,"",ORIG!E420)</f>
        <v/>
      </c>
      <c r="F420" s="3">
        <f>IF(ORIG!F420=0,"",ORIG!F420)</f>
        <v/>
      </c>
      <c r="G420" s="3">
        <f>IF(ORIG!G420=0,"",ORIG!G420)</f>
        <v/>
      </c>
      <c r="H420" s="3">
        <f>IF(ORIG!H420=0,"",ORIG!H420)</f>
        <v/>
      </c>
      <c r="I420" s="3">
        <f>IF(ORIG!I420=0,"",ORIG!I420)</f>
        <v/>
      </c>
      <c r="J420" s="3">
        <f>IF(ORIG!J420=0,"",ORIG!J420)</f>
        <v/>
      </c>
      <c r="K420" s="3">
        <f>IF(ORIG!K420=0,"",ORIG!K420)</f>
        <v/>
      </c>
      <c r="L420" s="3">
        <f>IF(ORIG!L420=0,"",ORIG!L420)</f>
        <v/>
      </c>
      <c r="M420" s="3">
        <f>IF(ORIG!M420=0,"",ORIG!M420)</f>
        <v/>
      </c>
      <c r="N420" s="3">
        <f>IF(ORIG!N420=0,"",ORIG!N420)</f>
        <v/>
      </c>
      <c r="O420" s="3">
        <f>IF(ORIG!O420=0,"",ORIG!O420)</f>
        <v/>
      </c>
      <c r="P420" s="3">
        <f>IF(ORIG!P420=0,"",ORIG!P420)</f>
        <v/>
      </c>
      <c r="Q420" s="3">
        <f>IF(ORIG!Q420=0,"",ORIG!Q420)</f>
        <v/>
      </c>
      <c r="R420" s="3">
        <f>IF(ORIG!R420=0,"",ORIG!R420)</f>
        <v/>
      </c>
      <c r="S420" s="3">
        <f>IF(ORIG!S420=0,"",ORIG!S420)</f>
        <v/>
      </c>
      <c r="T420" s="3">
        <f>IF(ORIG!T420=0,"",ORIG!T420)</f>
        <v/>
      </c>
      <c r="U420" s="3">
        <f>IF(ORIG!U420=0,"",ORIG!U420)</f>
        <v/>
      </c>
      <c r="V420" s="9">
        <f>IF(ORIG!V420=0,"",ORIG!V420)</f>
        <v/>
      </c>
      <c r="W420" s="9">
        <f>IF(ORIG!W420=0,"",ORIG!W420)</f>
        <v/>
      </c>
      <c r="X420" s="9">
        <f>IF(ORIG!X420=0,"",ORIG!X420)</f>
        <v/>
      </c>
      <c r="Y420" s="9">
        <f>IF(ORIG!Y420=0,"",ORIG!Y420)</f>
        <v/>
      </c>
      <c r="Z420" s="3">
        <f>SUMPRODUCT($B420:$Y420,$B$2649:$Y$2649)</f>
        <v/>
      </c>
      <c r="AA420" s="3">
        <f>SUMPRODUCT($B420:$Y420,$B$2655:$Y$2655)</f>
        <v/>
      </c>
      <c r="AC420" s="1">
        <f>A420</f>
        <v/>
      </c>
      <c r="AD420">
        <f>IF(ISNUMBER(V420),V420*($AB$1/V$2635),"")</f>
        <v/>
      </c>
      <c r="AE420">
        <f>IF(ISNUMBER(Z420),Z420*($AB$1/Z$2635),"")</f>
        <v/>
      </c>
      <c r="AF420" s="25">
        <f>IF(ISNUMBER(AD420+AE420),AD420+AE420,"")</f>
        <v/>
      </c>
      <c r="AH420" s="1">
        <f>A420</f>
        <v/>
      </c>
      <c r="AI420">
        <f>IF(ISNUMBER((1+V420)*AI419),(1+V420)*AI419,AI419)</f>
        <v/>
      </c>
      <c r="AJ420">
        <f>IF(ISNUMBER((1+Z420)*AJ419),(1+Z420)*AJ419,AJ419)</f>
        <v/>
      </c>
    </row>
    <row r="421">
      <c r="A421" s="1" t="n">
        <v>42612</v>
      </c>
      <c r="B421" s="3">
        <f>IF(ORIG!B421=0,"",ORIG!B421)</f>
        <v/>
      </c>
      <c r="C421" s="3">
        <f>IF(ORIG!C421=0,"",ORIG!C421)</f>
        <v/>
      </c>
      <c r="D421" s="3">
        <f>IF(ORIG!D421=0,"",ORIG!D421)</f>
        <v/>
      </c>
      <c r="E421" s="3">
        <f>IF(ORIG!E421=0,"",ORIG!E421)</f>
        <v/>
      </c>
      <c r="F421" s="3">
        <f>IF(ORIG!F421=0,"",ORIG!F421)</f>
        <v/>
      </c>
      <c r="G421" s="3">
        <f>IF(ORIG!G421=0,"",ORIG!G421)</f>
        <v/>
      </c>
      <c r="H421" s="3">
        <f>IF(ORIG!H421=0,"",ORIG!H421)</f>
        <v/>
      </c>
      <c r="I421" s="3">
        <f>IF(ORIG!I421=0,"",ORIG!I421)</f>
        <v/>
      </c>
      <c r="J421" s="3">
        <f>IF(ORIG!J421=0,"",ORIG!J421)</f>
        <v/>
      </c>
      <c r="K421" s="3">
        <f>IF(ORIG!K421=0,"",ORIG!K421)</f>
        <v/>
      </c>
      <c r="L421" s="3">
        <f>IF(ORIG!L421=0,"",ORIG!L421)</f>
        <v/>
      </c>
      <c r="M421" s="3">
        <f>IF(ORIG!M421=0,"",ORIG!M421)</f>
        <v/>
      </c>
      <c r="N421" s="3">
        <f>IF(ORIG!N421=0,"",ORIG!N421)</f>
        <v/>
      </c>
      <c r="O421" s="3">
        <f>IF(ORIG!O421=0,"",ORIG!O421)</f>
        <v/>
      </c>
      <c r="P421" s="3">
        <f>IF(ORIG!P421=0,"",ORIG!P421)</f>
        <v/>
      </c>
      <c r="Q421" s="3">
        <f>IF(ORIG!Q421=0,"",ORIG!Q421)</f>
        <v/>
      </c>
      <c r="R421" s="3">
        <f>IF(ORIG!R421=0,"",ORIG!R421)</f>
        <v/>
      </c>
      <c r="S421" s="3">
        <f>IF(ORIG!S421=0,"",ORIG!S421)</f>
        <v/>
      </c>
      <c r="T421" s="3">
        <f>IF(ORIG!T421=0,"",ORIG!T421)</f>
        <v/>
      </c>
      <c r="U421" s="3">
        <f>IF(ORIG!U421=0,"",ORIG!U421)</f>
        <v/>
      </c>
      <c r="V421" s="9">
        <f>IF(ORIG!V421=0,"",ORIG!V421)</f>
        <v/>
      </c>
      <c r="W421" s="9">
        <f>IF(ORIG!W421=0,"",ORIG!W421)</f>
        <v/>
      </c>
      <c r="X421" s="9">
        <f>IF(ORIG!X421=0,"",ORIG!X421)</f>
        <v/>
      </c>
      <c r="Y421" s="9">
        <f>IF(ORIG!Y421=0,"",ORIG!Y421)</f>
        <v/>
      </c>
      <c r="Z421" s="3">
        <f>SUMPRODUCT($B421:$Y421,$B$2649:$Y$2649)</f>
        <v/>
      </c>
      <c r="AA421" s="3">
        <f>SUMPRODUCT($B421:$Y421,$B$2655:$Y$2655)</f>
        <v/>
      </c>
      <c r="AC421" s="1">
        <f>A421</f>
        <v/>
      </c>
      <c r="AD421">
        <f>IF(ISNUMBER(V421),V421*($AB$1/V$2635),"")</f>
        <v/>
      </c>
      <c r="AE421">
        <f>IF(ISNUMBER(Z421),Z421*($AB$1/Z$2635),"")</f>
        <v/>
      </c>
      <c r="AF421" s="25">
        <f>IF(ISNUMBER(AD421+AE421),AD421+AE421,"")</f>
        <v/>
      </c>
      <c r="AH421" s="1">
        <f>A421</f>
        <v/>
      </c>
      <c r="AI421">
        <f>IF(ISNUMBER((1+V421)*AI420),(1+V421)*AI420,AI420)</f>
        <v/>
      </c>
      <c r="AJ421">
        <f>IF(ISNUMBER((1+Z421)*AJ420),(1+Z421)*AJ420,AJ420)</f>
        <v/>
      </c>
    </row>
    <row r="422">
      <c r="A422" s="1" t="n">
        <v>42613</v>
      </c>
      <c r="B422" s="3">
        <f>IF(ORIG!B422=0,"",ORIG!B422)</f>
        <v/>
      </c>
      <c r="C422" s="3">
        <f>IF(ORIG!C422=0,"",ORIG!C422)</f>
        <v/>
      </c>
      <c r="D422" s="3">
        <f>IF(ORIG!D422=0,"",ORIG!D422)</f>
        <v/>
      </c>
      <c r="E422" s="3">
        <f>IF(ORIG!E422=0,"",ORIG!E422)</f>
        <v/>
      </c>
      <c r="F422" s="3">
        <f>IF(ORIG!F422=0,"",ORIG!F422)</f>
        <v/>
      </c>
      <c r="G422" s="3">
        <f>IF(ORIG!G422=0,"",ORIG!G422)</f>
        <v/>
      </c>
      <c r="H422" s="3">
        <f>IF(ORIG!H422=0,"",ORIG!H422)</f>
        <v/>
      </c>
      <c r="I422" s="3">
        <f>IF(ORIG!I422=0,"",ORIG!I422)</f>
        <v/>
      </c>
      <c r="J422" s="3">
        <f>IF(ORIG!J422=0,"",ORIG!J422)</f>
        <v/>
      </c>
      <c r="K422" s="3">
        <f>IF(ORIG!K422=0,"",ORIG!K422)</f>
        <v/>
      </c>
      <c r="L422" s="3">
        <f>IF(ORIG!L422=0,"",ORIG!L422)</f>
        <v/>
      </c>
      <c r="M422" s="3">
        <f>IF(ORIG!M422=0,"",ORIG!M422)</f>
        <v/>
      </c>
      <c r="N422" s="3">
        <f>IF(ORIG!N422=0,"",ORIG!N422)</f>
        <v/>
      </c>
      <c r="O422" s="3">
        <f>IF(ORIG!O422=0,"",ORIG!O422)</f>
        <v/>
      </c>
      <c r="P422" s="3">
        <f>IF(ORIG!P422=0,"",ORIG!P422)</f>
        <v/>
      </c>
      <c r="Q422" s="3">
        <f>IF(ORIG!Q422=0,"",ORIG!Q422)</f>
        <v/>
      </c>
      <c r="R422" s="3">
        <f>IF(ORIG!R422=0,"",ORIG!R422)</f>
        <v/>
      </c>
      <c r="S422" s="3">
        <f>IF(ORIG!S422=0,"",ORIG!S422)</f>
        <v/>
      </c>
      <c r="T422" s="3">
        <f>IF(ORIG!T422=0,"",ORIG!T422)</f>
        <v/>
      </c>
      <c r="U422" s="3">
        <f>IF(ORIG!U422=0,"",ORIG!U422)</f>
        <v/>
      </c>
      <c r="V422" s="9">
        <f>IF(ORIG!V422=0,"",ORIG!V422)</f>
        <v/>
      </c>
      <c r="W422" s="9">
        <f>IF(ORIG!W422=0,"",ORIG!W422)</f>
        <v/>
      </c>
      <c r="X422" s="9">
        <f>IF(ORIG!X422=0,"",ORIG!X422)</f>
        <v/>
      </c>
      <c r="Y422" s="9">
        <f>IF(ORIG!Y422=0,"",ORIG!Y422)</f>
        <v/>
      </c>
      <c r="Z422" s="3">
        <f>SUMPRODUCT($B422:$Y422,$B$2649:$Y$2649)</f>
        <v/>
      </c>
      <c r="AA422" s="3">
        <f>SUMPRODUCT($B422:$Y422,$B$2655:$Y$2655)</f>
        <v/>
      </c>
      <c r="AC422" s="1">
        <f>A422</f>
        <v/>
      </c>
      <c r="AD422">
        <f>IF(ISNUMBER(V422),V422*($AB$1/V$2635),"")</f>
        <v/>
      </c>
      <c r="AE422">
        <f>IF(ISNUMBER(Z422),Z422*($AB$1/Z$2635),"")</f>
        <v/>
      </c>
      <c r="AF422" s="25">
        <f>IF(ISNUMBER(AD422+AE422),AD422+AE422,"")</f>
        <v/>
      </c>
      <c r="AH422" s="1">
        <f>A422</f>
        <v/>
      </c>
      <c r="AI422">
        <f>IF(ISNUMBER((1+V422)*AI421),(1+V422)*AI421,AI421)</f>
        <v/>
      </c>
      <c r="AJ422">
        <f>IF(ISNUMBER((1+Z422)*AJ421),(1+Z422)*AJ421,AJ421)</f>
        <v/>
      </c>
    </row>
    <row r="423">
      <c r="A423" s="1" t="n">
        <v>42614</v>
      </c>
      <c r="B423" s="3">
        <f>IF(ORIG!B423=0,"",ORIG!B423)</f>
        <v/>
      </c>
      <c r="C423" s="3">
        <f>IF(ORIG!C423=0,"",ORIG!C423)</f>
        <v/>
      </c>
      <c r="D423" s="3">
        <f>IF(ORIG!D423=0,"",ORIG!D423)</f>
        <v/>
      </c>
      <c r="E423" s="3">
        <f>IF(ORIG!E423=0,"",ORIG!E423)</f>
        <v/>
      </c>
      <c r="F423" s="3">
        <f>IF(ORIG!F423=0,"",ORIG!F423)</f>
        <v/>
      </c>
      <c r="G423" s="3">
        <f>IF(ORIG!G423=0,"",ORIG!G423)</f>
        <v/>
      </c>
      <c r="H423" s="3">
        <f>IF(ORIG!H423=0,"",ORIG!H423)</f>
        <v/>
      </c>
      <c r="I423" s="3">
        <f>IF(ORIG!I423=0,"",ORIG!I423)</f>
        <v/>
      </c>
      <c r="J423" s="3">
        <f>IF(ORIG!J423=0,"",ORIG!J423)</f>
        <v/>
      </c>
      <c r="K423" s="3">
        <f>IF(ORIG!K423=0,"",ORIG!K423)</f>
        <v/>
      </c>
      <c r="L423" s="3">
        <f>IF(ORIG!L423=0,"",ORIG!L423)</f>
        <v/>
      </c>
      <c r="M423" s="3">
        <f>IF(ORIG!M423=0,"",ORIG!M423)</f>
        <v/>
      </c>
      <c r="N423" s="3">
        <f>IF(ORIG!N423=0,"",ORIG!N423)</f>
        <v/>
      </c>
      <c r="O423" s="3">
        <f>IF(ORIG!O423=0,"",ORIG!O423)</f>
        <v/>
      </c>
      <c r="P423" s="3">
        <f>IF(ORIG!P423=0,"",ORIG!P423)</f>
        <v/>
      </c>
      <c r="Q423" s="3">
        <f>IF(ORIG!Q423=0,"",ORIG!Q423)</f>
        <v/>
      </c>
      <c r="R423" s="3">
        <f>IF(ORIG!R423=0,"",ORIG!R423)</f>
        <v/>
      </c>
      <c r="S423" s="3">
        <f>IF(ORIG!S423=0,"",ORIG!S423)</f>
        <v/>
      </c>
      <c r="T423" s="3">
        <f>IF(ORIG!T423=0,"",ORIG!T423)</f>
        <v/>
      </c>
      <c r="U423" s="3">
        <f>IF(ORIG!U423=0,"",ORIG!U423)</f>
        <v/>
      </c>
      <c r="V423" s="9">
        <f>IF(ORIG!V423=0,"",ORIG!V423)</f>
        <v/>
      </c>
      <c r="W423" s="9">
        <f>IF(ORIG!W423=0,"",ORIG!W423)</f>
        <v/>
      </c>
      <c r="X423" s="9">
        <f>IF(ORIG!X423=0,"",ORIG!X423)</f>
        <v/>
      </c>
      <c r="Y423" s="9">
        <f>IF(ORIG!Y423=0,"",ORIG!Y423)</f>
        <v/>
      </c>
      <c r="Z423" s="3">
        <f>SUMPRODUCT($B423:$Y423,$B$2649:$Y$2649)</f>
        <v/>
      </c>
      <c r="AA423" s="3">
        <f>SUMPRODUCT($B423:$Y423,$B$2655:$Y$2655)</f>
        <v/>
      </c>
      <c r="AC423" s="1">
        <f>A423</f>
        <v/>
      </c>
      <c r="AD423">
        <f>IF(ISNUMBER(V423),V423*($AB$1/V$2635),"")</f>
        <v/>
      </c>
      <c r="AE423">
        <f>IF(ISNUMBER(Z423),Z423*($AB$1/Z$2635),"")</f>
        <v/>
      </c>
      <c r="AF423" s="25">
        <f>IF(ISNUMBER(AD423+AE423),AD423+AE423,"")</f>
        <v/>
      </c>
      <c r="AH423" s="1">
        <f>A423</f>
        <v/>
      </c>
      <c r="AI423">
        <f>IF(ISNUMBER((1+V423)*AI422),(1+V423)*AI422,AI422)</f>
        <v/>
      </c>
      <c r="AJ423">
        <f>IF(ISNUMBER((1+Z423)*AJ422),(1+Z423)*AJ422,AJ422)</f>
        <v/>
      </c>
    </row>
    <row r="424">
      <c r="A424" s="1" t="n">
        <v>42615</v>
      </c>
      <c r="B424" s="3">
        <f>IF(ORIG!B424=0,"",ORIG!B424)</f>
        <v/>
      </c>
      <c r="C424" s="3">
        <f>IF(ORIG!C424=0,"",ORIG!C424)</f>
        <v/>
      </c>
      <c r="D424" s="3">
        <f>IF(ORIG!D424=0,"",ORIG!D424)</f>
        <v/>
      </c>
      <c r="E424" s="3">
        <f>IF(ORIG!E424=0,"",ORIG!E424)</f>
        <v/>
      </c>
      <c r="F424" s="3">
        <f>IF(ORIG!F424=0,"",ORIG!F424)</f>
        <v/>
      </c>
      <c r="G424" s="3">
        <f>IF(ORIG!G424=0,"",ORIG!G424)</f>
        <v/>
      </c>
      <c r="H424" s="3">
        <f>IF(ORIG!H424=0,"",ORIG!H424)</f>
        <v/>
      </c>
      <c r="I424" s="3">
        <f>IF(ORIG!I424=0,"",ORIG!I424)</f>
        <v/>
      </c>
      <c r="J424" s="3">
        <f>IF(ORIG!J424=0,"",ORIG!J424)</f>
        <v/>
      </c>
      <c r="K424" s="3">
        <f>IF(ORIG!K424=0,"",ORIG!K424)</f>
        <v/>
      </c>
      <c r="L424" s="3">
        <f>IF(ORIG!L424=0,"",ORIG!L424)</f>
        <v/>
      </c>
      <c r="M424" s="3">
        <f>IF(ORIG!M424=0,"",ORIG!M424)</f>
        <v/>
      </c>
      <c r="N424" s="3">
        <f>IF(ORIG!N424=0,"",ORIG!N424)</f>
        <v/>
      </c>
      <c r="O424" s="3">
        <f>IF(ORIG!O424=0,"",ORIG!O424)</f>
        <v/>
      </c>
      <c r="P424" s="3">
        <f>IF(ORIG!P424=0,"",ORIG!P424)</f>
        <v/>
      </c>
      <c r="Q424" s="3">
        <f>IF(ORIG!Q424=0,"",ORIG!Q424)</f>
        <v/>
      </c>
      <c r="R424" s="3">
        <f>IF(ORIG!R424=0,"",ORIG!R424)</f>
        <v/>
      </c>
      <c r="S424" s="3">
        <f>IF(ORIG!S424=0,"",ORIG!S424)</f>
        <v/>
      </c>
      <c r="T424" s="3">
        <f>IF(ORIG!T424=0,"",ORIG!T424)</f>
        <v/>
      </c>
      <c r="U424" s="3">
        <f>IF(ORIG!U424=0,"",ORIG!U424)</f>
        <v/>
      </c>
      <c r="V424" s="9">
        <f>IF(ORIG!V424=0,"",ORIG!V424)</f>
        <v/>
      </c>
      <c r="W424" s="9">
        <f>IF(ORIG!W424=0,"",ORIG!W424)</f>
        <v/>
      </c>
      <c r="X424" s="9">
        <f>IF(ORIG!X424=0,"",ORIG!X424)</f>
        <v/>
      </c>
      <c r="Y424" s="9">
        <f>IF(ORIG!Y424=0,"",ORIG!Y424)</f>
        <v/>
      </c>
      <c r="Z424" s="3">
        <f>SUMPRODUCT($B424:$Y424,$B$2649:$Y$2649)</f>
        <v/>
      </c>
      <c r="AA424" s="3">
        <f>SUMPRODUCT($B424:$Y424,$B$2655:$Y$2655)</f>
        <v/>
      </c>
      <c r="AC424" s="1">
        <f>A424</f>
        <v/>
      </c>
      <c r="AD424">
        <f>IF(ISNUMBER(V424),V424*($AB$1/V$2635),"")</f>
        <v/>
      </c>
      <c r="AE424">
        <f>IF(ISNUMBER(Z424),Z424*($AB$1/Z$2635),"")</f>
        <v/>
      </c>
      <c r="AF424" s="25">
        <f>IF(ISNUMBER(AD424+AE424),AD424+AE424,"")</f>
        <v/>
      </c>
      <c r="AH424" s="1">
        <f>A424</f>
        <v/>
      </c>
      <c r="AI424">
        <f>IF(ISNUMBER((1+V424)*AI423),(1+V424)*AI423,AI423)</f>
        <v/>
      </c>
      <c r="AJ424">
        <f>IF(ISNUMBER((1+Z424)*AJ423),(1+Z424)*AJ423,AJ423)</f>
        <v/>
      </c>
    </row>
    <row r="425">
      <c r="A425" s="1" t="n">
        <v>42619</v>
      </c>
      <c r="B425" s="3">
        <f>IF(ORIG!B425=0,"",ORIG!B425)</f>
        <v/>
      </c>
      <c r="C425" s="3">
        <f>IF(ORIG!C425=0,"",ORIG!C425)</f>
        <v/>
      </c>
      <c r="D425" s="3">
        <f>IF(ORIG!D425=0,"",ORIG!D425)</f>
        <v/>
      </c>
      <c r="E425" s="3">
        <f>IF(ORIG!E425=0,"",ORIG!E425)</f>
        <v/>
      </c>
      <c r="F425" s="3">
        <f>IF(ORIG!F425=0,"",ORIG!F425)</f>
        <v/>
      </c>
      <c r="G425" s="3">
        <f>IF(ORIG!G425=0,"",ORIG!G425)</f>
        <v/>
      </c>
      <c r="H425" s="3">
        <f>IF(ORIG!H425=0,"",ORIG!H425)</f>
        <v/>
      </c>
      <c r="I425" s="3">
        <f>IF(ORIG!I425=0,"",ORIG!I425)</f>
        <v/>
      </c>
      <c r="J425" s="3">
        <f>IF(ORIG!J425=0,"",ORIG!J425)</f>
        <v/>
      </c>
      <c r="K425" s="3">
        <f>IF(ORIG!K425=0,"",ORIG!K425)</f>
        <v/>
      </c>
      <c r="L425" s="3">
        <f>IF(ORIG!L425=0,"",ORIG!L425)</f>
        <v/>
      </c>
      <c r="M425" s="3">
        <f>IF(ORIG!M425=0,"",ORIG!M425)</f>
        <v/>
      </c>
      <c r="N425" s="3">
        <f>IF(ORIG!N425=0,"",ORIG!N425)</f>
        <v/>
      </c>
      <c r="O425" s="3">
        <f>IF(ORIG!O425=0,"",ORIG!O425)</f>
        <v/>
      </c>
      <c r="P425" s="3">
        <f>IF(ORIG!P425=0,"",ORIG!P425)</f>
        <v/>
      </c>
      <c r="Q425" s="3">
        <f>IF(ORIG!Q425=0,"",ORIG!Q425)</f>
        <v/>
      </c>
      <c r="R425" s="3">
        <f>IF(ORIG!R425=0,"",ORIG!R425)</f>
        <v/>
      </c>
      <c r="S425" s="3">
        <f>IF(ORIG!S425=0,"",ORIG!S425)</f>
        <v/>
      </c>
      <c r="T425" s="3">
        <f>IF(ORIG!T425=0,"",ORIG!T425)</f>
        <v/>
      </c>
      <c r="U425" s="3">
        <f>IF(ORIG!U425=0,"",ORIG!U425)</f>
        <v/>
      </c>
      <c r="V425" s="9">
        <f>IF(ORIG!V425=0,"",ORIG!V425)</f>
        <v/>
      </c>
      <c r="W425" s="9">
        <f>IF(ORIG!W425=0,"",ORIG!W425)</f>
        <v/>
      </c>
      <c r="X425" s="9">
        <f>IF(ORIG!X425=0,"",ORIG!X425)</f>
        <v/>
      </c>
      <c r="Y425" s="9">
        <f>IF(ORIG!Y425=0,"",ORIG!Y425)</f>
        <v/>
      </c>
      <c r="Z425" s="3">
        <f>SUMPRODUCT($B425:$Y425,$B$2649:$Y$2649)</f>
        <v/>
      </c>
      <c r="AA425" s="3">
        <f>SUMPRODUCT($B425:$Y425,$B$2655:$Y$2655)</f>
        <v/>
      </c>
      <c r="AC425" s="1">
        <f>A425</f>
        <v/>
      </c>
      <c r="AD425">
        <f>IF(ISNUMBER(V425),V425*($AB$1/V$2635),"")</f>
        <v/>
      </c>
      <c r="AE425">
        <f>IF(ISNUMBER(Z425),Z425*($AB$1/Z$2635),"")</f>
        <v/>
      </c>
      <c r="AF425" s="25">
        <f>IF(ISNUMBER(AD425+AE425),AD425+AE425,"")</f>
        <v/>
      </c>
      <c r="AH425" s="1">
        <f>A425</f>
        <v/>
      </c>
      <c r="AI425">
        <f>IF(ISNUMBER((1+V425)*AI424),(1+V425)*AI424,AI424)</f>
        <v/>
      </c>
      <c r="AJ425">
        <f>IF(ISNUMBER((1+Z425)*AJ424),(1+Z425)*AJ424,AJ424)</f>
        <v/>
      </c>
    </row>
    <row r="426">
      <c r="A426" s="1" t="n">
        <v>42620</v>
      </c>
      <c r="B426" s="3">
        <f>IF(ORIG!B426=0,"",ORIG!B426)</f>
        <v/>
      </c>
      <c r="C426" s="3">
        <f>IF(ORIG!C426=0,"",ORIG!C426)</f>
        <v/>
      </c>
      <c r="D426" s="3">
        <f>IF(ORIG!D426=0,"",ORIG!D426)</f>
        <v/>
      </c>
      <c r="E426" s="3">
        <f>IF(ORIG!E426=0,"",ORIG!E426)</f>
        <v/>
      </c>
      <c r="F426" s="3">
        <f>IF(ORIG!F426=0,"",ORIG!F426)</f>
        <v/>
      </c>
      <c r="G426" s="3">
        <f>IF(ORIG!G426=0,"",ORIG!G426)</f>
        <v/>
      </c>
      <c r="H426" s="3">
        <f>IF(ORIG!H426=0,"",ORIG!H426)</f>
        <v/>
      </c>
      <c r="I426" s="3">
        <f>IF(ORIG!I426=0,"",ORIG!I426)</f>
        <v/>
      </c>
      <c r="J426" s="3">
        <f>IF(ORIG!J426=0,"",ORIG!J426)</f>
        <v/>
      </c>
      <c r="K426" s="3">
        <f>IF(ORIG!K426=0,"",ORIG!K426)</f>
        <v/>
      </c>
      <c r="L426" s="3">
        <f>IF(ORIG!L426=0,"",ORIG!L426)</f>
        <v/>
      </c>
      <c r="M426" s="3">
        <f>IF(ORIG!M426=0,"",ORIG!M426)</f>
        <v/>
      </c>
      <c r="N426" s="3">
        <f>IF(ORIG!N426=0,"",ORIG!N426)</f>
        <v/>
      </c>
      <c r="O426" s="3">
        <f>IF(ORIG!O426=0,"",ORIG!O426)</f>
        <v/>
      </c>
      <c r="P426" s="3">
        <f>IF(ORIG!P426=0,"",ORIG!P426)</f>
        <v/>
      </c>
      <c r="Q426" s="3">
        <f>IF(ORIG!Q426=0,"",ORIG!Q426)</f>
        <v/>
      </c>
      <c r="R426" s="3">
        <f>IF(ORIG!R426=0,"",ORIG!R426)</f>
        <v/>
      </c>
      <c r="S426" s="3">
        <f>IF(ORIG!S426=0,"",ORIG!S426)</f>
        <v/>
      </c>
      <c r="T426" s="3">
        <f>IF(ORIG!T426=0,"",ORIG!T426)</f>
        <v/>
      </c>
      <c r="U426" s="3">
        <f>IF(ORIG!U426=0,"",ORIG!U426)</f>
        <v/>
      </c>
      <c r="V426" s="9">
        <f>IF(ORIG!V426=0,"",ORIG!V426)</f>
        <v/>
      </c>
      <c r="W426" s="9">
        <f>IF(ORIG!W426=0,"",ORIG!W426)</f>
        <v/>
      </c>
      <c r="X426" s="9">
        <f>IF(ORIG!X426=0,"",ORIG!X426)</f>
        <v/>
      </c>
      <c r="Y426" s="9">
        <f>IF(ORIG!Y426=0,"",ORIG!Y426)</f>
        <v/>
      </c>
      <c r="Z426" s="3">
        <f>SUMPRODUCT($B426:$Y426,$B$2649:$Y$2649)</f>
        <v/>
      </c>
      <c r="AA426" s="3">
        <f>SUMPRODUCT($B426:$Y426,$B$2655:$Y$2655)</f>
        <v/>
      </c>
      <c r="AC426" s="1">
        <f>A426</f>
        <v/>
      </c>
      <c r="AD426">
        <f>IF(ISNUMBER(V426),V426*($AB$1/V$2635),"")</f>
        <v/>
      </c>
      <c r="AE426">
        <f>IF(ISNUMBER(Z426),Z426*($AB$1/Z$2635),"")</f>
        <v/>
      </c>
      <c r="AF426" s="25">
        <f>IF(ISNUMBER(AD426+AE426),AD426+AE426,"")</f>
        <v/>
      </c>
      <c r="AH426" s="1">
        <f>A426</f>
        <v/>
      </c>
      <c r="AI426">
        <f>IF(ISNUMBER((1+V426)*AI425),(1+V426)*AI425,AI425)</f>
        <v/>
      </c>
      <c r="AJ426">
        <f>IF(ISNUMBER((1+Z426)*AJ425),(1+Z426)*AJ425,AJ425)</f>
        <v/>
      </c>
    </row>
    <row r="427">
      <c r="A427" s="1" t="n">
        <v>42621</v>
      </c>
      <c r="B427" s="3">
        <f>IF(ORIG!B427=0,"",ORIG!B427)</f>
        <v/>
      </c>
      <c r="C427" s="3">
        <f>IF(ORIG!C427=0,"",ORIG!C427)</f>
        <v/>
      </c>
      <c r="D427" s="3">
        <f>IF(ORIG!D427=0,"",ORIG!D427)</f>
        <v/>
      </c>
      <c r="E427" s="3">
        <f>IF(ORIG!E427=0,"",ORIG!E427)</f>
        <v/>
      </c>
      <c r="F427" s="3">
        <f>IF(ORIG!F427=0,"",ORIG!F427)</f>
        <v/>
      </c>
      <c r="G427" s="3">
        <f>IF(ORIG!G427=0,"",ORIG!G427)</f>
        <v/>
      </c>
      <c r="H427" s="3">
        <f>IF(ORIG!H427=0,"",ORIG!H427)</f>
        <v/>
      </c>
      <c r="I427" s="3">
        <f>IF(ORIG!I427=0,"",ORIG!I427)</f>
        <v/>
      </c>
      <c r="J427" s="3">
        <f>IF(ORIG!J427=0,"",ORIG!J427)</f>
        <v/>
      </c>
      <c r="K427" s="3">
        <f>IF(ORIG!K427=0,"",ORIG!K427)</f>
        <v/>
      </c>
      <c r="L427" s="3">
        <f>IF(ORIG!L427=0,"",ORIG!L427)</f>
        <v/>
      </c>
      <c r="M427" s="3">
        <f>IF(ORIG!M427=0,"",ORIG!M427)</f>
        <v/>
      </c>
      <c r="N427" s="3">
        <f>IF(ORIG!N427=0,"",ORIG!N427)</f>
        <v/>
      </c>
      <c r="O427" s="3">
        <f>IF(ORIG!O427=0,"",ORIG!O427)</f>
        <v/>
      </c>
      <c r="P427" s="3">
        <f>IF(ORIG!P427=0,"",ORIG!P427)</f>
        <v/>
      </c>
      <c r="Q427" s="3">
        <f>IF(ORIG!Q427=0,"",ORIG!Q427)</f>
        <v/>
      </c>
      <c r="R427" s="3">
        <f>IF(ORIG!R427=0,"",ORIG!R427)</f>
        <v/>
      </c>
      <c r="S427" s="3">
        <f>IF(ORIG!S427=0,"",ORIG!S427)</f>
        <v/>
      </c>
      <c r="T427" s="3">
        <f>IF(ORIG!T427=0,"",ORIG!T427)</f>
        <v/>
      </c>
      <c r="U427" s="3">
        <f>IF(ORIG!U427=0,"",ORIG!U427)</f>
        <v/>
      </c>
      <c r="V427" s="9">
        <f>IF(ORIG!V427=0,"",ORIG!V427)</f>
        <v/>
      </c>
      <c r="W427" s="9">
        <f>IF(ORIG!W427=0,"",ORIG!W427)</f>
        <v/>
      </c>
      <c r="X427" s="9">
        <f>IF(ORIG!X427=0,"",ORIG!X427)</f>
        <v/>
      </c>
      <c r="Y427" s="9">
        <f>IF(ORIG!Y427=0,"",ORIG!Y427)</f>
        <v/>
      </c>
      <c r="Z427" s="3">
        <f>SUMPRODUCT($B427:$Y427,$B$2649:$Y$2649)</f>
        <v/>
      </c>
      <c r="AA427" s="3">
        <f>SUMPRODUCT($B427:$Y427,$B$2655:$Y$2655)</f>
        <v/>
      </c>
      <c r="AC427" s="1">
        <f>A427</f>
        <v/>
      </c>
      <c r="AD427">
        <f>IF(ISNUMBER(V427),V427*($AB$1/V$2635),"")</f>
        <v/>
      </c>
      <c r="AE427">
        <f>IF(ISNUMBER(Z427),Z427*($AB$1/Z$2635),"")</f>
        <v/>
      </c>
      <c r="AF427" s="25">
        <f>IF(ISNUMBER(AD427+AE427),AD427+AE427,"")</f>
        <v/>
      </c>
      <c r="AH427" s="1">
        <f>A427</f>
        <v/>
      </c>
      <c r="AI427">
        <f>IF(ISNUMBER((1+V427)*AI426),(1+V427)*AI426,AI426)</f>
        <v/>
      </c>
      <c r="AJ427">
        <f>IF(ISNUMBER((1+Z427)*AJ426),(1+Z427)*AJ426,AJ426)</f>
        <v/>
      </c>
    </row>
    <row r="428">
      <c r="A428" s="1" t="n">
        <v>42622</v>
      </c>
      <c r="B428" s="3">
        <f>IF(ORIG!B428=0,"",ORIG!B428)</f>
        <v/>
      </c>
      <c r="C428" s="3">
        <f>IF(ORIG!C428=0,"",ORIG!C428)</f>
        <v/>
      </c>
      <c r="D428" s="3">
        <f>IF(ORIG!D428=0,"",ORIG!D428)</f>
        <v/>
      </c>
      <c r="E428" s="3">
        <f>IF(ORIG!E428=0,"",ORIG!E428)</f>
        <v/>
      </c>
      <c r="F428" s="3">
        <f>IF(ORIG!F428=0,"",ORIG!F428)</f>
        <v/>
      </c>
      <c r="G428" s="3">
        <f>IF(ORIG!G428=0,"",ORIG!G428)</f>
        <v/>
      </c>
      <c r="H428" s="3">
        <f>IF(ORIG!H428=0,"",ORIG!H428)</f>
        <v/>
      </c>
      <c r="I428" s="3">
        <f>IF(ORIG!I428=0,"",ORIG!I428)</f>
        <v/>
      </c>
      <c r="J428" s="3">
        <f>IF(ORIG!J428=0,"",ORIG!J428)</f>
        <v/>
      </c>
      <c r="K428" s="3">
        <f>IF(ORIG!K428=0,"",ORIG!K428)</f>
        <v/>
      </c>
      <c r="L428" s="3">
        <f>IF(ORIG!L428=0,"",ORIG!L428)</f>
        <v/>
      </c>
      <c r="M428" s="3">
        <f>IF(ORIG!M428=0,"",ORIG!M428)</f>
        <v/>
      </c>
      <c r="N428" s="3">
        <f>IF(ORIG!N428=0,"",ORIG!N428)</f>
        <v/>
      </c>
      <c r="O428" s="3">
        <f>IF(ORIG!O428=0,"",ORIG!O428)</f>
        <v/>
      </c>
      <c r="P428" s="3">
        <f>IF(ORIG!P428=0,"",ORIG!P428)</f>
        <v/>
      </c>
      <c r="Q428" s="3">
        <f>IF(ORIG!Q428=0,"",ORIG!Q428)</f>
        <v/>
      </c>
      <c r="R428" s="3">
        <f>IF(ORIG!R428=0,"",ORIG!R428)</f>
        <v/>
      </c>
      <c r="S428" s="3">
        <f>IF(ORIG!S428=0,"",ORIG!S428)</f>
        <v/>
      </c>
      <c r="T428" s="3">
        <f>IF(ORIG!T428=0,"",ORIG!T428)</f>
        <v/>
      </c>
      <c r="U428" s="3">
        <f>IF(ORIG!U428=0,"",ORIG!U428)</f>
        <v/>
      </c>
      <c r="V428" s="9">
        <f>IF(ORIG!V428=0,"",ORIG!V428)</f>
        <v/>
      </c>
      <c r="W428" s="9">
        <f>IF(ORIG!W428=0,"",ORIG!W428)</f>
        <v/>
      </c>
      <c r="X428" s="9">
        <f>IF(ORIG!X428=0,"",ORIG!X428)</f>
        <v/>
      </c>
      <c r="Y428" s="9">
        <f>IF(ORIG!Y428=0,"",ORIG!Y428)</f>
        <v/>
      </c>
      <c r="Z428" s="3">
        <f>SUMPRODUCT($B428:$Y428,$B$2649:$Y$2649)</f>
        <v/>
      </c>
      <c r="AA428" s="3">
        <f>SUMPRODUCT($B428:$Y428,$B$2655:$Y$2655)</f>
        <v/>
      </c>
      <c r="AC428" s="1">
        <f>A428</f>
        <v/>
      </c>
      <c r="AD428">
        <f>IF(ISNUMBER(V428),V428*($AB$1/V$2635),"")</f>
        <v/>
      </c>
      <c r="AE428">
        <f>IF(ISNUMBER(Z428),Z428*($AB$1/Z$2635),"")</f>
        <v/>
      </c>
      <c r="AF428" s="25">
        <f>IF(ISNUMBER(AD428+AE428),AD428+AE428,"")</f>
        <v/>
      </c>
      <c r="AH428" s="1">
        <f>A428</f>
        <v/>
      </c>
      <c r="AI428">
        <f>IF(ISNUMBER((1+V428)*AI427),(1+V428)*AI427,AI427)</f>
        <v/>
      </c>
      <c r="AJ428">
        <f>IF(ISNUMBER((1+Z428)*AJ427),(1+Z428)*AJ427,AJ427)</f>
        <v/>
      </c>
    </row>
    <row r="429">
      <c r="A429" s="1" t="n">
        <v>42625</v>
      </c>
      <c r="B429" s="3">
        <f>IF(ORIG!B429=0,"",ORIG!B429)</f>
        <v/>
      </c>
      <c r="C429" s="3">
        <f>IF(ORIG!C429=0,"",ORIG!C429)</f>
        <v/>
      </c>
      <c r="D429" s="3">
        <f>IF(ORIG!D429=0,"",ORIG!D429)</f>
        <v/>
      </c>
      <c r="E429" s="3">
        <f>IF(ORIG!E429=0,"",ORIG!E429)</f>
        <v/>
      </c>
      <c r="F429" s="3">
        <f>IF(ORIG!F429=0,"",ORIG!F429)</f>
        <v/>
      </c>
      <c r="G429" s="3">
        <f>IF(ORIG!G429=0,"",ORIG!G429)</f>
        <v/>
      </c>
      <c r="H429" s="3">
        <f>IF(ORIG!H429=0,"",ORIG!H429)</f>
        <v/>
      </c>
      <c r="I429" s="3">
        <f>IF(ORIG!I429=0,"",ORIG!I429)</f>
        <v/>
      </c>
      <c r="J429" s="3">
        <f>IF(ORIG!J429=0,"",ORIG!J429)</f>
        <v/>
      </c>
      <c r="K429" s="3">
        <f>IF(ORIG!K429=0,"",ORIG!K429)</f>
        <v/>
      </c>
      <c r="L429" s="3">
        <f>IF(ORIG!L429=0,"",ORIG!L429)</f>
        <v/>
      </c>
      <c r="M429" s="3">
        <f>IF(ORIG!M429=0,"",ORIG!M429)</f>
        <v/>
      </c>
      <c r="N429" s="3">
        <f>IF(ORIG!N429=0,"",ORIG!N429)</f>
        <v/>
      </c>
      <c r="O429" s="3">
        <f>IF(ORIG!O429=0,"",ORIG!O429)</f>
        <v/>
      </c>
      <c r="P429" s="3">
        <f>IF(ORIG!P429=0,"",ORIG!P429)</f>
        <v/>
      </c>
      <c r="Q429" s="3">
        <f>IF(ORIG!Q429=0,"",ORIG!Q429)</f>
        <v/>
      </c>
      <c r="R429" s="3">
        <f>IF(ORIG!R429=0,"",ORIG!R429)</f>
        <v/>
      </c>
      <c r="S429" s="3">
        <f>IF(ORIG!S429=0,"",ORIG!S429)</f>
        <v/>
      </c>
      <c r="T429" s="3">
        <f>IF(ORIG!T429=0,"",ORIG!T429)</f>
        <v/>
      </c>
      <c r="U429" s="3">
        <f>IF(ORIG!U429=0,"",ORIG!U429)</f>
        <v/>
      </c>
      <c r="V429" s="9">
        <f>IF(ORIG!V429=0,"",ORIG!V429)</f>
        <v/>
      </c>
      <c r="W429" s="9">
        <f>IF(ORIG!W429=0,"",ORIG!W429)</f>
        <v/>
      </c>
      <c r="X429" s="9">
        <f>IF(ORIG!X429=0,"",ORIG!X429)</f>
        <v/>
      </c>
      <c r="Y429" s="9">
        <f>IF(ORIG!Y429=0,"",ORIG!Y429)</f>
        <v/>
      </c>
      <c r="Z429" s="3">
        <f>SUMPRODUCT($B429:$Y429,$B$2649:$Y$2649)</f>
        <v/>
      </c>
      <c r="AA429" s="3">
        <f>SUMPRODUCT($B429:$Y429,$B$2655:$Y$2655)</f>
        <v/>
      </c>
      <c r="AC429" s="1">
        <f>A429</f>
        <v/>
      </c>
      <c r="AD429">
        <f>IF(ISNUMBER(V429),V429*($AB$1/V$2635),"")</f>
        <v/>
      </c>
      <c r="AE429">
        <f>IF(ISNUMBER(Z429),Z429*($AB$1/Z$2635),"")</f>
        <v/>
      </c>
      <c r="AF429" s="25">
        <f>IF(ISNUMBER(AD429+AE429),AD429+AE429,"")</f>
        <v/>
      </c>
      <c r="AH429" s="1">
        <f>A429</f>
        <v/>
      </c>
      <c r="AI429">
        <f>IF(ISNUMBER((1+V429)*AI428),(1+V429)*AI428,AI428)</f>
        <v/>
      </c>
      <c r="AJ429">
        <f>IF(ISNUMBER((1+Z429)*AJ428),(1+Z429)*AJ428,AJ428)</f>
        <v/>
      </c>
    </row>
    <row r="430">
      <c r="A430" s="1" t="n">
        <v>42626</v>
      </c>
      <c r="B430" s="3">
        <f>IF(ORIG!B430=0,"",ORIG!B430)</f>
        <v/>
      </c>
      <c r="C430" s="3">
        <f>IF(ORIG!C430=0,"",ORIG!C430)</f>
        <v/>
      </c>
      <c r="D430" s="3">
        <f>IF(ORIG!D430=0,"",ORIG!D430)</f>
        <v/>
      </c>
      <c r="E430" s="3">
        <f>IF(ORIG!E430=0,"",ORIG!E430)</f>
        <v/>
      </c>
      <c r="F430" s="3">
        <f>IF(ORIG!F430=0,"",ORIG!F430)</f>
        <v/>
      </c>
      <c r="G430" s="3">
        <f>IF(ORIG!G430=0,"",ORIG!G430)</f>
        <v/>
      </c>
      <c r="H430" s="3">
        <f>IF(ORIG!H430=0,"",ORIG!H430)</f>
        <v/>
      </c>
      <c r="I430" s="3">
        <f>IF(ORIG!I430=0,"",ORIG!I430)</f>
        <v/>
      </c>
      <c r="J430" s="3">
        <f>IF(ORIG!J430=0,"",ORIG!J430)</f>
        <v/>
      </c>
      <c r="K430" s="3">
        <f>IF(ORIG!K430=0,"",ORIG!K430)</f>
        <v/>
      </c>
      <c r="L430" s="3">
        <f>IF(ORIG!L430=0,"",ORIG!L430)</f>
        <v/>
      </c>
      <c r="M430" s="3">
        <f>IF(ORIG!M430=0,"",ORIG!M430)</f>
        <v/>
      </c>
      <c r="N430" s="3">
        <f>IF(ORIG!N430=0,"",ORIG!N430)</f>
        <v/>
      </c>
      <c r="O430" s="3">
        <f>IF(ORIG!O430=0,"",ORIG!O430)</f>
        <v/>
      </c>
      <c r="P430" s="3">
        <f>IF(ORIG!P430=0,"",ORIG!P430)</f>
        <v/>
      </c>
      <c r="Q430" s="3">
        <f>IF(ORIG!Q430=0,"",ORIG!Q430)</f>
        <v/>
      </c>
      <c r="R430" s="3">
        <f>IF(ORIG!R430=0,"",ORIG!R430)</f>
        <v/>
      </c>
      <c r="S430" s="3">
        <f>IF(ORIG!S430=0,"",ORIG!S430)</f>
        <v/>
      </c>
      <c r="T430" s="3">
        <f>IF(ORIG!T430=0,"",ORIG!T430)</f>
        <v/>
      </c>
      <c r="U430" s="3">
        <f>IF(ORIG!U430=0,"",ORIG!U430)</f>
        <v/>
      </c>
      <c r="V430" s="9">
        <f>IF(ORIG!V430=0,"",ORIG!V430)</f>
        <v/>
      </c>
      <c r="W430" s="9">
        <f>IF(ORIG!W430=0,"",ORIG!W430)</f>
        <v/>
      </c>
      <c r="X430" s="9">
        <f>IF(ORIG!X430=0,"",ORIG!X430)</f>
        <v/>
      </c>
      <c r="Y430" s="9">
        <f>IF(ORIG!Y430=0,"",ORIG!Y430)</f>
        <v/>
      </c>
      <c r="Z430" s="3">
        <f>SUMPRODUCT($B430:$Y430,$B$2649:$Y$2649)</f>
        <v/>
      </c>
      <c r="AA430" s="3">
        <f>SUMPRODUCT($B430:$Y430,$B$2655:$Y$2655)</f>
        <v/>
      </c>
      <c r="AC430" s="1">
        <f>A430</f>
        <v/>
      </c>
      <c r="AD430">
        <f>IF(ISNUMBER(V430),V430*($AB$1/V$2635),"")</f>
        <v/>
      </c>
      <c r="AE430">
        <f>IF(ISNUMBER(Z430),Z430*($AB$1/Z$2635),"")</f>
        <v/>
      </c>
      <c r="AF430" s="25">
        <f>IF(ISNUMBER(AD430+AE430),AD430+AE430,"")</f>
        <v/>
      </c>
      <c r="AH430" s="1">
        <f>A430</f>
        <v/>
      </c>
      <c r="AI430">
        <f>IF(ISNUMBER((1+V430)*AI429),(1+V430)*AI429,AI429)</f>
        <v/>
      </c>
      <c r="AJ430">
        <f>IF(ISNUMBER((1+Z430)*AJ429),(1+Z430)*AJ429,AJ429)</f>
        <v/>
      </c>
    </row>
    <row r="431">
      <c r="A431" s="1" t="n">
        <v>42627</v>
      </c>
      <c r="B431" s="3">
        <f>IF(ORIG!B431=0,"",ORIG!B431)</f>
        <v/>
      </c>
      <c r="C431" s="3">
        <f>IF(ORIG!C431=0,"",ORIG!C431)</f>
        <v/>
      </c>
      <c r="D431" s="3">
        <f>IF(ORIG!D431=0,"",ORIG!D431)</f>
        <v/>
      </c>
      <c r="E431" s="3">
        <f>IF(ORIG!E431=0,"",ORIG!E431)</f>
        <v/>
      </c>
      <c r="F431" s="3">
        <f>IF(ORIG!F431=0,"",ORIG!F431)</f>
        <v/>
      </c>
      <c r="G431" s="3">
        <f>IF(ORIG!G431=0,"",ORIG!G431)</f>
        <v/>
      </c>
      <c r="H431" s="3">
        <f>IF(ORIG!H431=0,"",ORIG!H431)</f>
        <v/>
      </c>
      <c r="I431" s="3">
        <f>IF(ORIG!I431=0,"",ORIG!I431)</f>
        <v/>
      </c>
      <c r="J431" s="3">
        <f>IF(ORIG!J431=0,"",ORIG!J431)</f>
        <v/>
      </c>
      <c r="K431" s="3">
        <f>IF(ORIG!K431=0,"",ORIG!K431)</f>
        <v/>
      </c>
      <c r="L431" s="3">
        <f>IF(ORIG!L431=0,"",ORIG!L431)</f>
        <v/>
      </c>
      <c r="M431" s="3">
        <f>IF(ORIG!M431=0,"",ORIG!M431)</f>
        <v/>
      </c>
      <c r="N431" s="3">
        <f>IF(ORIG!N431=0,"",ORIG!N431)</f>
        <v/>
      </c>
      <c r="O431" s="3">
        <f>IF(ORIG!O431=0,"",ORIG!O431)</f>
        <v/>
      </c>
      <c r="P431" s="3">
        <f>IF(ORIG!P431=0,"",ORIG!P431)</f>
        <v/>
      </c>
      <c r="Q431" s="3">
        <f>IF(ORIG!Q431=0,"",ORIG!Q431)</f>
        <v/>
      </c>
      <c r="R431" s="3">
        <f>IF(ORIG!R431=0,"",ORIG!R431)</f>
        <v/>
      </c>
      <c r="S431" s="3">
        <f>IF(ORIG!S431=0,"",ORIG!S431)</f>
        <v/>
      </c>
      <c r="T431" s="3">
        <f>IF(ORIG!T431=0,"",ORIG!T431)</f>
        <v/>
      </c>
      <c r="U431" s="3">
        <f>IF(ORIG!U431=0,"",ORIG!U431)</f>
        <v/>
      </c>
      <c r="V431" s="9">
        <f>IF(ORIG!V431=0,"",ORIG!V431)</f>
        <v/>
      </c>
      <c r="W431" s="9">
        <f>IF(ORIG!W431=0,"",ORIG!W431)</f>
        <v/>
      </c>
      <c r="X431" s="9">
        <f>IF(ORIG!X431=0,"",ORIG!X431)</f>
        <v/>
      </c>
      <c r="Y431" s="9">
        <f>IF(ORIG!Y431=0,"",ORIG!Y431)</f>
        <v/>
      </c>
      <c r="Z431" s="3">
        <f>SUMPRODUCT($B431:$Y431,$B$2649:$Y$2649)</f>
        <v/>
      </c>
      <c r="AA431" s="3">
        <f>SUMPRODUCT($B431:$Y431,$B$2655:$Y$2655)</f>
        <v/>
      </c>
      <c r="AC431" s="1">
        <f>A431</f>
        <v/>
      </c>
      <c r="AD431">
        <f>IF(ISNUMBER(V431),V431*($AB$1/V$2635),"")</f>
        <v/>
      </c>
      <c r="AE431">
        <f>IF(ISNUMBER(Z431),Z431*($AB$1/Z$2635),"")</f>
        <v/>
      </c>
      <c r="AF431" s="25">
        <f>IF(ISNUMBER(AD431+AE431),AD431+AE431,"")</f>
        <v/>
      </c>
      <c r="AH431" s="1">
        <f>A431</f>
        <v/>
      </c>
      <c r="AI431">
        <f>IF(ISNUMBER((1+V431)*AI430),(1+V431)*AI430,AI430)</f>
        <v/>
      </c>
      <c r="AJ431">
        <f>IF(ISNUMBER((1+Z431)*AJ430),(1+Z431)*AJ430,AJ430)</f>
        <v/>
      </c>
    </row>
    <row r="432">
      <c r="A432" s="1" t="n">
        <v>42628</v>
      </c>
      <c r="B432" s="3">
        <f>IF(ORIG!B432=0,"",ORIG!B432)</f>
        <v/>
      </c>
      <c r="C432" s="3">
        <f>IF(ORIG!C432=0,"",ORIG!C432)</f>
        <v/>
      </c>
      <c r="D432" s="3">
        <f>IF(ORIG!D432=0,"",ORIG!D432)</f>
        <v/>
      </c>
      <c r="E432" s="3">
        <f>IF(ORIG!E432=0,"",ORIG!E432)</f>
        <v/>
      </c>
      <c r="F432" s="3">
        <f>IF(ORIG!F432=0,"",ORIG!F432)</f>
        <v/>
      </c>
      <c r="G432" s="3">
        <f>IF(ORIG!G432=0,"",ORIG!G432)</f>
        <v/>
      </c>
      <c r="H432" s="3">
        <f>IF(ORIG!H432=0,"",ORIG!H432)</f>
        <v/>
      </c>
      <c r="I432" s="3">
        <f>IF(ORIG!I432=0,"",ORIG!I432)</f>
        <v/>
      </c>
      <c r="J432" s="3">
        <f>IF(ORIG!J432=0,"",ORIG!J432)</f>
        <v/>
      </c>
      <c r="K432" s="3">
        <f>IF(ORIG!K432=0,"",ORIG!K432)</f>
        <v/>
      </c>
      <c r="L432" s="3">
        <f>IF(ORIG!L432=0,"",ORIG!L432)</f>
        <v/>
      </c>
      <c r="M432" s="3">
        <f>IF(ORIG!M432=0,"",ORIG!M432)</f>
        <v/>
      </c>
      <c r="N432" s="3">
        <f>IF(ORIG!N432=0,"",ORIG!N432)</f>
        <v/>
      </c>
      <c r="O432" s="3">
        <f>IF(ORIG!O432=0,"",ORIG!O432)</f>
        <v/>
      </c>
      <c r="P432" s="3">
        <f>IF(ORIG!P432=0,"",ORIG!P432)</f>
        <v/>
      </c>
      <c r="Q432" s="3">
        <f>IF(ORIG!Q432=0,"",ORIG!Q432)</f>
        <v/>
      </c>
      <c r="R432" s="3">
        <f>IF(ORIG!R432=0,"",ORIG!R432)</f>
        <v/>
      </c>
      <c r="S432" s="3">
        <f>IF(ORIG!S432=0,"",ORIG!S432)</f>
        <v/>
      </c>
      <c r="T432" s="3">
        <f>IF(ORIG!T432=0,"",ORIG!T432)</f>
        <v/>
      </c>
      <c r="U432" s="3">
        <f>IF(ORIG!U432=0,"",ORIG!U432)</f>
        <v/>
      </c>
      <c r="V432" s="9">
        <f>IF(ORIG!V432=0,"",ORIG!V432)</f>
        <v/>
      </c>
      <c r="W432" s="9">
        <f>IF(ORIG!W432=0,"",ORIG!W432)</f>
        <v/>
      </c>
      <c r="X432" s="9">
        <f>IF(ORIG!X432=0,"",ORIG!X432)</f>
        <v/>
      </c>
      <c r="Y432" s="9">
        <f>IF(ORIG!Y432=0,"",ORIG!Y432)</f>
        <v/>
      </c>
      <c r="Z432" s="3">
        <f>SUMPRODUCT($B432:$Y432,$B$2649:$Y$2649)</f>
        <v/>
      </c>
      <c r="AA432" s="3">
        <f>SUMPRODUCT($B432:$Y432,$B$2655:$Y$2655)</f>
        <v/>
      </c>
      <c r="AC432" s="1">
        <f>A432</f>
        <v/>
      </c>
      <c r="AD432">
        <f>IF(ISNUMBER(V432),V432*($AB$1/V$2635),"")</f>
        <v/>
      </c>
      <c r="AE432">
        <f>IF(ISNUMBER(Z432),Z432*($AB$1/Z$2635),"")</f>
        <v/>
      </c>
      <c r="AF432" s="25">
        <f>IF(ISNUMBER(AD432+AE432),AD432+AE432,"")</f>
        <v/>
      </c>
      <c r="AH432" s="1">
        <f>A432</f>
        <v/>
      </c>
      <c r="AI432">
        <f>IF(ISNUMBER((1+V432)*AI431),(1+V432)*AI431,AI431)</f>
        <v/>
      </c>
      <c r="AJ432">
        <f>IF(ISNUMBER((1+Z432)*AJ431),(1+Z432)*AJ431,AJ431)</f>
        <v/>
      </c>
    </row>
    <row r="433">
      <c r="A433" s="1" t="n">
        <v>42629</v>
      </c>
      <c r="B433" s="3">
        <f>IF(ORIG!B433=0,"",ORIG!B433)</f>
        <v/>
      </c>
      <c r="C433" s="3">
        <f>IF(ORIG!C433=0,"",ORIG!C433)</f>
        <v/>
      </c>
      <c r="D433" s="3">
        <f>IF(ORIG!D433=0,"",ORIG!D433)</f>
        <v/>
      </c>
      <c r="E433" s="3">
        <f>IF(ORIG!E433=0,"",ORIG!E433)</f>
        <v/>
      </c>
      <c r="F433" s="3">
        <f>IF(ORIG!F433=0,"",ORIG!F433)</f>
        <v/>
      </c>
      <c r="G433" s="3">
        <f>IF(ORIG!G433=0,"",ORIG!G433)</f>
        <v/>
      </c>
      <c r="H433" s="3">
        <f>IF(ORIG!H433=0,"",ORIG!H433)</f>
        <v/>
      </c>
      <c r="I433" s="3">
        <f>IF(ORIG!I433=0,"",ORIG!I433)</f>
        <v/>
      </c>
      <c r="J433" s="3">
        <f>IF(ORIG!J433=0,"",ORIG!J433)</f>
        <v/>
      </c>
      <c r="K433" s="3">
        <f>IF(ORIG!K433=0,"",ORIG!K433)</f>
        <v/>
      </c>
      <c r="L433" s="3">
        <f>IF(ORIG!L433=0,"",ORIG!L433)</f>
        <v/>
      </c>
      <c r="M433" s="3">
        <f>IF(ORIG!M433=0,"",ORIG!M433)</f>
        <v/>
      </c>
      <c r="N433" s="3">
        <f>IF(ORIG!N433=0,"",ORIG!N433)</f>
        <v/>
      </c>
      <c r="O433" s="3">
        <f>IF(ORIG!O433=0,"",ORIG!O433)</f>
        <v/>
      </c>
      <c r="P433" s="3">
        <f>IF(ORIG!P433=0,"",ORIG!P433)</f>
        <v/>
      </c>
      <c r="Q433" s="3">
        <f>IF(ORIG!Q433=0,"",ORIG!Q433)</f>
        <v/>
      </c>
      <c r="R433" s="3">
        <f>IF(ORIG!R433=0,"",ORIG!R433)</f>
        <v/>
      </c>
      <c r="S433" s="3">
        <f>IF(ORIG!S433=0,"",ORIG!S433)</f>
        <v/>
      </c>
      <c r="T433" s="3">
        <f>IF(ORIG!T433=0,"",ORIG!T433)</f>
        <v/>
      </c>
      <c r="U433" s="3">
        <f>IF(ORIG!U433=0,"",ORIG!U433)</f>
        <v/>
      </c>
      <c r="V433" s="9">
        <f>IF(ORIG!V433=0,"",ORIG!V433)</f>
        <v/>
      </c>
      <c r="W433" s="9">
        <f>IF(ORIG!W433=0,"",ORIG!W433)</f>
        <v/>
      </c>
      <c r="X433" s="9">
        <f>IF(ORIG!X433=0,"",ORIG!X433)</f>
        <v/>
      </c>
      <c r="Y433" s="9">
        <f>IF(ORIG!Y433=0,"",ORIG!Y433)</f>
        <v/>
      </c>
      <c r="Z433" s="3">
        <f>SUMPRODUCT($B433:$Y433,$B$2649:$Y$2649)</f>
        <v/>
      </c>
      <c r="AA433" s="3">
        <f>SUMPRODUCT($B433:$Y433,$B$2655:$Y$2655)</f>
        <v/>
      </c>
      <c r="AC433" s="1">
        <f>A433</f>
        <v/>
      </c>
      <c r="AD433">
        <f>IF(ISNUMBER(V433),V433*($AB$1/V$2635),"")</f>
        <v/>
      </c>
      <c r="AE433">
        <f>IF(ISNUMBER(Z433),Z433*($AB$1/Z$2635),"")</f>
        <v/>
      </c>
      <c r="AF433" s="25">
        <f>IF(ISNUMBER(AD433+AE433),AD433+AE433,"")</f>
        <v/>
      </c>
      <c r="AH433" s="1">
        <f>A433</f>
        <v/>
      </c>
      <c r="AI433">
        <f>IF(ISNUMBER((1+V433)*AI432),(1+V433)*AI432,AI432)</f>
        <v/>
      </c>
      <c r="AJ433">
        <f>IF(ISNUMBER((1+Z433)*AJ432),(1+Z433)*AJ432,AJ432)</f>
        <v/>
      </c>
    </row>
    <row r="434">
      <c r="A434" s="1" t="n">
        <v>42632</v>
      </c>
      <c r="B434" s="3">
        <f>IF(ORIG!B434=0,"",ORIG!B434)</f>
        <v/>
      </c>
      <c r="C434" s="3">
        <f>IF(ORIG!C434=0,"",ORIG!C434)</f>
        <v/>
      </c>
      <c r="D434" s="3">
        <f>IF(ORIG!D434=0,"",ORIG!D434)</f>
        <v/>
      </c>
      <c r="E434" s="3">
        <f>IF(ORIG!E434=0,"",ORIG!E434)</f>
        <v/>
      </c>
      <c r="F434" s="3">
        <f>IF(ORIG!F434=0,"",ORIG!F434)</f>
        <v/>
      </c>
      <c r="G434" s="3">
        <f>IF(ORIG!G434=0,"",ORIG!G434)</f>
        <v/>
      </c>
      <c r="H434" s="3">
        <f>IF(ORIG!H434=0,"",ORIG!H434)</f>
        <v/>
      </c>
      <c r="I434" s="3">
        <f>IF(ORIG!I434=0,"",ORIG!I434)</f>
        <v/>
      </c>
      <c r="J434" s="3">
        <f>IF(ORIG!J434=0,"",ORIG!J434)</f>
        <v/>
      </c>
      <c r="K434" s="3">
        <f>IF(ORIG!K434=0,"",ORIG!K434)</f>
        <v/>
      </c>
      <c r="L434" s="3">
        <f>IF(ORIG!L434=0,"",ORIG!L434)</f>
        <v/>
      </c>
      <c r="M434" s="3">
        <f>IF(ORIG!M434=0,"",ORIG!M434)</f>
        <v/>
      </c>
      <c r="N434" s="3">
        <f>IF(ORIG!N434=0,"",ORIG!N434)</f>
        <v/>
      </c>
      <c r="O434" s="3">
        <f>IF(ORIG!O434=0,"",ORIG!O434)</f>
        <v/>
      </c>
      <c r="P434" s="3">
        <f>IF(ORIG!P434=0,"",ORIG!P434)</f>
        <v/>
      </c>
      <c r="Q434" s="3">
        <f>IF(ORIG!Q434=0,"",ORIG!Q434)</f>
        <v/>
      </c>
      <c r="R434" s="3">
        <f>IF(ORIG!R434=0,"",ORIG!R434)</f>
        <v/>
      </c>
      <c r="S434" s="3">
        <f>IF(ORIG!S434=0,"",ORIG!S434)</f>
        <v/>
      </c>
      <c r="T434" s="3">
        <f>IF(ORIG!T434=0,"",ORIG!T434)</f>
        <v/>
      </c>
      <c r="U434" s="3">
        <f>IF(ORIG!U434=0,"",ORIG!U434)</f>
        <v/>
      </c>
      <c r="V434" s="9">
        <f>IF(ORIG!V434=0,"",ORIG!V434)</f>
        <v/>
      </c>
      <c r="W434" s="9">
        <f>IF(ORIG!W434=0,"",ORIG!W434)</f>
        <v/>
      </c>
      <c r="X434" s="9">
        <f>IF(ORIG!X434=0,"",ORIG!X434)</f>
        <v/>
      </c>
      <c r="Y434" s="9">
        <f>IF(ORIG!Y434=0,"",ORIG!Y434)</f>
        <v/>
      </c>
      <c r="Z434" s="3">
        <f>SUMPRODUCT($B434:$Y434,$B$2649:$Y$2649)</f>
        <v/>
      </c>
      <c r="AA434" s="3">
        <f>SUMPRODUCT($B434:$Y434,$B$2655:$Y$2655)</f>
        <v/>
      </c>
      <c r="AC434" s="1">
        <f>A434</f>
        <v/>
      </c>
      <c r="AD434">
        <f>IF(ISNUMBER(V434),V434*($AB$1/V$2635),"")</f>
        <v/>
      </c>
      <c r="AE434">
        <f>IF(ISNUMBER(Z434),Z434*($AB$1/Z$2635),"")</f>
        <v/>
      </c>
      <c r="AF434" s="25">
        <f>IF(ISNUMBER(AD434+AE434),AD434+AE434,"")</f>
        <v/>
      </c>
      <c r="AH434" s="1">
        <f>A434</f>
        <v/>
      </c>
      <c r="AI434">
        <f>IF(ISNUMBER((1+V434)*AI433),(1+V434)*AI433,AI433)</f>
        <v/>
      </c>
      <c r="AJ434">
        <f>IF(ISNUMBER((1+Z434)*AJ433),(1+Z434)*AJ433,AJ433)</f>
        <v/>
      </c>
    </row>
    <row r="435">
      <c r="A435" s="1" t="n">
        <v>42633</v>
      </c>
      <c r="B435" s="3">
        <f>IF(ORIG!B435=0,"",ORIG!B435)</f>
        <v/>
      </c>
      <c r="C435" s="3">
        <f>IF(ORIG!C435=0,"",ORIG!C435)</f>
        <v/>
      </c>
      <c r="D435" s="3">
        <f>IF(ORIG!D435=0,"",ORIG!D435)</f>
        <v/>
      </c>
      <c r="E435" s="3">
        <f>IF(ORIG!E435=0,"",ORIG!E435)</f>
        <v/>
      </c>
      <c r="F435" s="3">
        <f>IF(ORIG!F435=0,"",ORIG!F435)</f>
        <v/>
      </c>
      <c r="G435" s="3">
        <f>IF(ORIG!G435=0,"",ORIG!G435)</f>
        <v/>
      </c>
      <c r="H435" s="3">
        <f>IF(ORIG!H435=0,"",ORIG!H435)</f>
        <v/>
      </c>
      <c r="I435" s="3">
        <f>IF(ORIG!I435=0,"",ORIG!I435)</f>
        <v/>
      </c>
      <c r="J435" s="3">
        <f>IF(ORIG!J435=0,"",ORIG!J435)</f>
        <v/>
      </c>
      <c r="K435" s="3">
        <f>IF(ORIG!K435=0,"",ORIG!K435)</f>
        <v/>
      </c>
      <c r="L435" s="3">
        <f>IF(ORIG!L435=0,"",ORIG!L435)</f>
        <v/>
      </c>
      <c r="M435" s="3">
        <f>IF(ORIG!M435=0,"",ORIG!M435)</f>
        <v/>
      </c>
      <c r="N435" s="3">
        <f>IF(ORIG!N435=0,"",ORIG!N435)</f>
        <v/>
      </c>
      <c r="O435" s="3">
        <f>IF(ORIG!O435=0,"",ORIG!O435)</f>
        <v/>
      </c>
      <c r="P435" s="3">
        <f>IF(ORIG!P435=0,"",ORIG!P435)</f>
        <v/>
      </c>
      <c r="Q435" s="3">
        <f>IF(ORIG!Q435=0,"",ORIG!Q435)</f>
        <v/>
      </c>
      <c r="R435" s="3">
        <f>IF(ORIG!R435=0,"",ORIG!R435)</f>
        <v/>
      </c>
      <c r="S435" s="3">
        <f>IF(ORIG!S435=0,"",ORIG!S435)</f>
        <v/>
      </c>
      <c r="T435" s="3">
        <f>IF(ORIG!T435=0,"",ORIG!T435)</f>
        <v/>
      </c>
      <c r="U435" s="3">
        <f>IF(ORIG!U435=0,"",ORIG!U435)</f>
        <v/>
      </c>
      <c r="V435" s="9">
        <f>IF(ORIG!V435=0,"",ORIG!V435)</f>
        <v/>
      </c>
      <c r="W435" s="9">
        <f>IF(ORIG!W435=0,"",ORIG!W435)</f>
        <v/>
      </c>
      <c r="X435" s="9">
        <f>IF(ORIG!X435=0,"",ORIG!X435)</f>
        <v/>
      </c>
      <c r="Y435" s="9">
        <f>IF(ORIG!Y435=0,"",ORIG!Y435)</f>
        <v/>
      </c>
      <c r="Z435" s="3">
        <f>SUMPRODUCT($B435:$Y435,$B$2649:$Y$2649)</f>
        <v/>
      </c>
      <c r="AA435" s="3">
        <f>SUMPRODUCT($B435:$Y435,$B$2655:$Y$2655)</f>
        <v/>
      </c>
      <c r="AC435" s="1">
        <f>A435</f>
        <v/>
      </c>
      <c r="AD435">
        <f>IF(ISNUMBER(V435),V435*($AB$1/V$2635),"")</f>
        <v/>
      </c>
      <c r="AE435">
        <f>IF(ISNUMBER(Z435),Z435*($AB$1/Z$2635),"")</f>
        <v/>
      </c>
      <c r="AF435" s="25">
        <f>IF(ISNUMBER(AD435+AE435),AD435+AE435,"")</f>
        <v/>
      </c>
      <c r="AH435" s="1">
        <f>A435</f>
        <v/>
      </c>
      <c r="AI435">
        <f>IF(ISNUMBER((1+V435)*AI434),(1+V435)*AI434,AI434)</f>
        <v/>
      </c>
      <c r="AJ435">
        <f>IF(ISNUMBER((1+Z435)*AJ434),(1+Z435)*AJ434,AJ434)</f>
        <v/>
      </c>
    </row>
    <row r="436">
      <c r="A436" s="1" t="n">
        <v>42634</v>
      </c>
      <c r="B436" s="3">
        <f>IF(ORIG!B436=0,"",ORIG!B436)</f>
        <v/>
      </c>
      <c r="C436" s="3">
        <f>IF(ORIG!C436=0,"",ORIG!C436)</f>
        <v/>
      </c>
      <c r="D436" s="3">
        <f>IF(ORIG!D436=0,"",ORIG!D436)</f>
        <v/>
      </c>
      <c r="E436" s="3">
        <f>IF(ORIG!E436=0,"",ORIG!E436)</f>
        <v/>
      </c>
      <c r="F436" s="3">
        <f>IF(ORIG!F436=0,"",ORIG!F436)</f>
        <v/>
      </c>
      <c r="G436" s="3">
        <f>IF(ORIG!G436=0,"",ORIG!G436)</f>
        <v/>
      </c>
      <c r="H436" s="3">
        <f>IF(ORIG!H436=0,"",ORIG!H436)</f>
        <v/>
      </c>
      <c r="I436" s="3">
        <f>IF(ORIG!I436=0,"",ORIG!I436)</f>
        <v/>
      </c>
      <c r="J436" s="3">
        <f>IF(ORIG!J436=0,"",ORIG!J436)</f>
        <v/>
      </c>
      <c r="K436" s="3">
        <f>IF(ORIG!K436=0,"",ORIG!K436)</f>
        <v/>
      </c>
      <c r="L436" s="3">
        <f>IF(ORIG!L436=0,"",ORIG!L436)</f>
        <v/>
      </c>
      <c r="M436" s="3">
        <f>IF(ORIG!M436=0,"",ORIG!M436)</f>
        <v/>
      </c>
      <c r="N436" s="3">
        <f>IF(ORIG!N436=0,"",ORIG!N436)</f>
        <v/>
      </c>
      <c r="O436" s="3">
        <f>IF(ORIG!O436=0,"",ORIG!O436)</f>
        <v/>
      </c>
      <c r="P436" s="3">
        <f>IF(ORIG!P436=0,"",ORIG!P436)</f>
        <v/>
      </c>
      <c r="Q436" s="3">
        <f>IF(ORIG!Q436=0,"",ORIG!Q436)</f>
        <v/>
      </c>
      <c r="R436" s="3">
        <f>IF(ORIG!R436=0,"",ORIG!R436)</f>
        <v/>
      </c>
      <c r="S436" s="3">
        <f>IF(ORIG!S436=0,"",ORIG!S436)</f>
        <v/>
      </c>
      <c r="T436" s="3">
        <f>IF(ORIG!T436=0,"",ORIG!T436)</f>
        <v/>
      </c>
      <c r="U436" s="3">
        <f>IF(ORIG!U436=0,"",ORIG!U436)</f>
        <v/>
      </c>
      <c r="V436" s="9">
        <f>IF(ORIG!V436=0,"",ORIG!V436)</f>
        <v/>
      </c>
      <c r="W436" s="9">
        <f>IF(ORIG!W436=0,"",ORIG!W436)</f>
        <v/>
      </c>
      <c r="X436" s="9">
        <f>IF(ORIG!X436=0,"",ORIG!X436)</f>
        <v/>
      </c>
      <c r="Y436" s="9">
        <f>IF(ORIG!Y436=0,"",ORIG!Y436)</f>
        <v/>
      </c>
      <c r="Z436" s="3">
        <f>SUMPRODUCT($B436:$Y436,$B$2649:$Y$2649)</f>
        <v/>
      </c>
      <c r="AA436" s="3">
        <f>SUMPRODUCT($B436:$Y436,$B$2655:$Y$2655)</f>
        <v/>
      </c>
      <c r="AC436" s="1">
        <f>A436</f>
        <v/>
      </c>
      <c r="AD436">
        <f>IF(ISNUMBER(V436),V436*($AB$1/V$2635),"")</f>
        <v/>
      </c>
      <c r="AE436">
        <f>IF(ISNUMBER(Z436),Z436*($AB$1/Z$2635),"")</f>
        <v/>
      </c>
      <c r="AF436" s="25">
        <f>IF(ISNUMBER(AD436+AE436),AD436+AE436,"")</f>
        <v/>
      </c>
      <c r="AH436" s="1">
        <f>A436</f>
        <v/>
      </c>
      <c r="AI436">
        <f>IF(ISNUMBER((1+V436)*AI435),(1+V436)*AI435,AI435)</f>
        <v/>
      </c>
      <c r="AJ436">
        <f>IF(ISNUMBER((1+Z436)*AJ435),(1+Z436)*AJ435,AJ435)</f>
        <v/>
      </c>
    </row>
    <row r="437">
      <c r="A437" s="1" t="n">
        <v>42635</v>
      </c>
      <c r="B437" s="3">
        <f>IF(ORIG!B437=0,"",ORIG!B437)</f>
        <v/>
      </c>
      <c r="C437" s="3">
        <f>IF(ORIG!C437=0,"",ORIG!C437)</f>
        <v/>
      </c>
      <c r="D437" s="3">
        <f>IF(ORIG!D437=0,"",ORIG!D437)</f>
        <v/>
      </c>
      <c r="E437" s="3">
        <f>IF(ORIG!E437=0,"",ORIG!E437)</f>
        <v/>
      </c>
      <c r="F437" s="3">
        <f>IF(ORIG!F437=0,"",ORIG!F437)</f>
        <v/>
      </c>
      <c r="G437" s="3">
        <f>IF(ORIG!G437=0,"",ORIG!G437)</f>
        <v/>
      </c>
      <c r="H437" s="3">
        <f>IF(ORIG!H437=0,"",ORIG!H437)</f>
        <v/>
      </c>
      <c r="I437" s="3">
        <f>IF(ORIG!I437=0,"",ORIG!I437)</f>
        <v/>
      </c>
      <c r="J437" s="3">
        <f>IF(ORIG!J437=0,"",ORIG!J437)</f>
        <v/>
      </c>
      <c r="K437" s="3">
        <f>IF(ORIG!K437=0,"",ORIG!K437)</f>
        <v/>
      </c>
      <c r="L437" s="3">
        <f>IF(ORIG!L437=0,"",ORIG!L437)</f>
        <v/>
      </c>
      <c r="M437" s="3">
        <f>IF(ORIG!M437=0,"",ORIG!M437)</f>
        <v/>
      </c>
      <c r="N437" s="3">
        <f>IF(ORIG!N437=0,"",ORIG!N437)</f>
        <v/>
      </c>
      <c r="O437" s="3">
        <f>IF(ORIG!O437=0,"",ORIG!O437)</f>
        <v/>
      </c>
      <c r="P437" s="3">
        <f>IF(ORIG!P437=0,"",ORIG!P437)</f>
        <v/>
      </c>
      <c r="Q437" s="3">
        <f>IF(ORIG!Q437=0,"",ORIG!Q437)</f>
        <v/>
      </c>
      <c r="R437" s="3">
        <f>IF(ORIG!R437=0,"",ORIG!R437)</f>
        <v/>
      </c>
      <c r="S437" s="3">
        <f>IF(ORIG!S437=0,"",ORIG!S437)</f>
        <v/>
      </c>
      <c r="T437" s="3">
        <f>IF(ORIG!T437=0,"",ORIG!T437)</f>
        <v/>
      </c>
      <c r="U437" s="3">
        <f>IF(ORIG!U437=0,"",ORIG!U437)</f>
        <v/>
      </c>
      <c r="V437" s="9">
        <f>IF(ORIG!V437=0,"",ORIG!V437)</f>
        <v/>
      </c>
      <c r="W437" s="9">
        <f>IF(ORIG!W437=0,"",ORIG!W437)</f>
        <v/>
      </c>
      <c r="X437" s="9">
        <f>IF(ORIG!X437=0,"",ORIG!X437)</f>
        <v/>
      </c>
      <c r="Y437" s="9">
        <f>IF(ORIG!Y437=0,"",ORIG!Y437)</f>
        <v/>
      </c>
      <c r="Z437" s="3">
        <f>SUMPRODUCT($B437:$Y437,$B$2649:$Y$2649)</f>
        <v/>
      </c>
      <c r="AA437" s="3">
        <f>SUMPRODUCT($B437:$Y437,$B$2655:$Y$2655)</f>
        <v/>
      </c>
      <c r="AC437" s="1">
        <f>A437</f>
        <v/>
      </c>
      <c r="AD437">
        <f>IF(ISNUMBER(V437),V437*($AB$1/V$2635),"")</f>
        <v/>
      </c>
      <c r="AE437">
        <f>IF(ISNUMBER(Z437),Z437*($AB$1/Z$2635),"")</f>
        <v/>
      </c>
      <c r="AF437" s="25">
        <f>IF(ISNUMBER(AD437+AE437),AD437+AE437,"")</f>
        <v/>
      </c>
      <c r="AH437" s="1">
        <f>A437</f>
        <v/>
      </c>
      <c r="AI437">
        <f>IF(ISNUMBER((1+V437)*AI436),(1+V437)*AI436,AI436)</f>
        <v/>
      </c>
      <c r="AJ437">
        <f>IF(ISNUMBER((1+Z437)*AJ436),(1+Z437)*AJ436,AJ436)</f>
        <v/>
      </c>
    </row>
    <row r="438">
      <c r="A438" s="1" t="n">
        <v>42636</v>
      </c>
      <c r="B438" s="3">
        <f>IF(ORIG!B438=0,"",ORIG!B438)</f>
        <v/>
      </c>
      <c r="C438" s="3">
        <f>IF(ORIG!C438=0,"",ORIG!C438)</f>
        <v/>
      </c>
      <c r="D438" s="3">
        <f>IF(ORIG!D438=0,"",ORIG!D438)</f>
        <v/>
      </c>
      <c r="E438" s="3">
        <f>IF(ORIG!E438=0,"",ORIG!E438)</f>
        <v/>
      </c>
      <c r="F438" s="3">
        <f>IF(ORIG!F438=0,"",ORIG!F438)</f>
        <v/>
      </c>
      <c r="G438" s="3">
        <f>IF(ORIG!G438=0,"",ORIG!G438)</f>
        <v/>
      </c>
      <c r="H438" s="3">
        <f>IF(ORIG!H438=0,"",ORIG!H438)</f>
        <v/>
      </c>
      <c r="I438" s="3">
        <f>IF(ORIG!I438=0,"",ORIG!I438)</f>
        <v/>
      </c>
      <c r="J438" s="3">
        <f>IF(ORIG!J438=0,"",ORIG!J438)</f>
        <v/>
      </c>
      <c r="K438" s="3">
        <f>IF(ORIG!K438=0,"",ORIG!K438)</f>
        <v/>
      </c>
      <c r="L438" s="3">
        <f>IF(ORIG!L438=0,"",ORIG!L438)</f>
        <v/>
      </c>
      <c r="M438" s="3">
        <f>IF(ORIG!M438=0,"",ORIG!M438)</f>
        <v/>
      </c>
      <c r="N438" s="3">
        <f>IF(ORIG!N438=0,"",ORIG!N438)</f>
        <v/>
      </c>
      <c r="O438" s="3">
        <f>IF(ORIG!O438=0,"",ORIG!O438)</f>
        <v/>
      </c>
      <c r="P438" s="3">
        <f>IF(ORIG!P438=0,"",ORIG!P438)</f>
        <v/>
      </c>
      <c r="Q438" s="3">
        <f>IF(ORIG!Q438=0,"",ORIG!Q438)</f>
        <v/>
      </c>
      <c r="R438" s="3">
        <f>IF(ORIG!R438=0,"",ORIG!R438)</f>
        <v/>
      </c>
      <c r="S438" s="3">
        <f>IF(ORIG!S438=0,"",ORIG!S438)</f>
        <v/>
      </c>
      <c r="T438" s="3">
        <f>IF(ORIG!T438=0,"",ORIG!T438)</f>
        <v/>
      </c>
      <c r="U438" s="3">
        <f>IF(ORIG!U438=0,"",ORIG!U438)</f>
        <v/>
      </c>
      <c r="V438" s="9">
        <f>IF(ORIG!V438=0,"",ORIG!V438)</f>
        <v/>
      </c>
      <c r="W438" s="9">
        <f>IF(ORIG!W438=0,"",ORIG!W438)</f>
        <v/>
      </c>
      <c r="X438" s="9">
        <f>IF(ORIG!X438=0,"",ORIG!X438)</f>
        <v/>
      </c>
      <c r="Y438" s="9">
        <f>IF(ORIG!Y438=0,"",ORIG!Y438)</f>
        <v/>
      </c>
      <c r="Z438" s="3">
        <f>SUMPRODUCT($B438:$Y438,$B$2649:$Y$2649)</f>
        <v/>
      </c>
      <c r="AA438" s="3">
        <f>SUMPRODUCT($B438:$Y438,$B$2655:$Y$2655)</f>
        <v/>
      </c>
      <c r="AC438" s="1">
        <f>A438</f>
        <v/>
      </c>
      <c r="AD438">
        <f>IF(ISNUMBER(V438),V438*($AB$1/V$2635),"")</f>
        <v/>
      </c>
      <c r="AE438">
        <f>IF(ISNUMBER(Z438),Z438*($AB$1/Z$2635),"")</f>
        <v/>
      </c>
      <c r="AF438" s="25">
        <f>IF(ISNUMBER(AD438+AE438),AD438+AE438,"")</f>
        <v/>
      </c>
      <c r="AH438" s="1">
        <f>A438</f>
        <v/>
      </c>
      <c r="AI438">
        <f>IF(ISNUMBER((1+V438)*AI437),(1+V438)*AI437,AI437)</f>
        <v/>
      </c>
      <c r="AJ438">
        <f>IF(ISNUMBER((1+Z438)*AJ437),(1+Z438)*AJ437,AJ437)</f>
        <v/>
      </c>
    </row>
    <row r="439">
      <c r="A439" s="1" t="n">
        <v>42639</v>
      </c>
      <c r="B439" s="3">
        <f>IF(ORIG!B439=0,"",ORIG!B439)</f>
        <v/>
      </c>
      <c r="C439" s="3">
        <f>IF(ORIG!C439=0,"",ORIG!C439)</f>
        <v/>
      </c>
      <c r="D439" s="3">
        <f>IF(ORIG!D439=0,"",ORIG!D439)</f>
        <v/>
      </c>
      <c r="E439" s="3">
        <f>IF(ORIG!E439=0,"",ORIG!E439)</f>
        <v/>
      </c>
      <c r="F439" s="3">
        <f>IF(ORIG!F439=0,"",ORIG!F439)</f>
        <v/>
      </c>
      <c r="G439" s="3">
        <f>IF(ORIG!G439=0,"",ORIG!G439)</f>
        <v/>
      </c>
      <c r="H439" s="3">
        <f>IF(ORIG!H439=0,"",ORIG!H439)</f>
        <v/>
      </c>
      <c r="I439" s="3">
        <f>IF(ORIG!I439=0,"",ORIG!I439)</f>
        <v/>
      </c>
      <c r="J439" s="3">
        <f>IF(ORIG!J439=0,"",ORIG!J439)</f>
        <v/>
      </c>
      <c r="K439" s="3">
        <f>IF(ORIG!K439=0,"",ORIG!K439)</f>
        <v/>
      </c>
      <c r="L439" s="3">
        <f>IF(ORIG!L439=0,"",ORIG!L439)</f>
        <v/>
      </c>
      <c r="M439" s="3">
        <f>IF(ORIG!M439=0,"",ORIG!M439)</f>
        <v/>
      </c>
      <c r="N439" s="3">
        <f>IF(ORIG!N439=0,"",ORIG!N439)</f>
        <v/>
      </c>
      <c r="O439" s="3">
        <f>IF(ORIG!O439=0,"",ORIG!O439)</f>
        <v/>
      </c>
      <c r="P439" s="3">
        <f>IF(ORIG!P439=0,"",ORIG!P439)</f>
        <v/>
      </c>
      <c r="Q439" s="3">
        <f>IF(ORIG!Q439=0,"",ORIG!Q439)</f>
        <v/>
      </c>
      <c r="R439" s="3">
        <f>IF(ORIG!R439=0,"",ORIG!R439)</f>
        <v/>
      </c>
      <c r="S439" s="3">
        <f>IF(ORIG!S439=0,"",ORIG!S439)</f>
        <v/>
      </c>
      <c r="T439" s="3">
        <f>IF(ORIG!T439=0,"",ORIG!T439)</f>
        <v/>
      </c>
      <c r="U439" s="3">
        <f>IF(ORIG!U439=0,"",ORIG!U439)</f>
        <v/>
      </c>
      <c r="V439" s="9">
        <f>IF(ORIG!V439=0,"",ORIG!V439)</f>
        <v/>
      </c>
      <c r="W439" s="9">
        <f>IF(ORIG!W439=0,"",ORIG!W439)</f>
        <v/>
      </c>
      <c r="X439" s="9">
        <f>IF(ORIG!X439=0,"",ORIG!X439)</f>
        <v/>
      </c>
      <c r="Y439" s="9">
        <f>IF(ORIG!Y439=0,"",ORIG!Y439)</f>
        <v/>
      </c>
      <c r="Z439" s="3">
        <f>SUMPRODUCT($B439:$Y439,$B$2649:$Y$2649)</f>
        <v/>
      </c>
      <c r="AA439" s="3">
        <f>SUMPRODUCT($B439:$Y439,$B$2655:$Y$2655)</f>
        <v/>
      </c>
      <c r="AC439" s="1">
        <f>A439</f>
        <v/>
      </c>
      <c r="AD439">
        <f>IF(ISNUMBER(V439),V439*($AB$1/V$2635),"")</f>
        <v/>
      </c>
      <c r="AE439">
        <f>IF(ISNUMBER(Z439),Z439*($AB$1/Z$2635),"")</f>
        <v/>
      </c>
      <c r="AF439" s="25">
        <f>IF(ISNUMBER(AD439+AE439),AD439+AE439,"")</f>
        <v/>
      </c>
      <c r="AH439" s="1">
        <f>A439</f>
        <v/>
      </c>
      <c r="AI439">
        <f>IF(ISNUMBER((1+V439)*AI438),(1+V439)*AI438,AI438)</f>
        <v/>
      </c>
      <c r="AJ439">
        <f>IF(ISNUMBER((1+Z439)*AJ438),(1+Z439)*AJ438,AJ438)</f>
        <v/>
      </c>
    </row>
    <row r="440">
      <c r="A440" s="1" t="n">
        <v>42640</v>
      </c>
      <c r="B440" s="3">
        <f>IF(ORIG!B440=0,"",ORIG!B440)</f>
        <v/>
      </c>
      <c r="C440" s="3">
        <f>IF(ORIG!C440=0,"",ORIG!C440)</f>
        <v/>
      </c>
      <c r="D440" s="3">
        <f>IF(ORIG!D440=0,"",ORIG!D440)</f>
        <v/>
      </c>
      <c r="E440" s="3">
        <f>IF(ORIG!E440=0,"",ORIG!E440)</f>
        <v/>
      </c>
      <c r="F440" s="3">
        <f>IF(ORIG!F440=0,"",ORIG!F440)</f>
        <v/>
      </c>
      <c r="G440" s="3">
        <f>IF(ORIG!G440=0,"",ORIG!G440)</f>
        <v/>
      </c>
      <c r="H440" s="3">
        <f>IF(ORIG!H440=0,"",ORIG!H440)</f>
        <v/>
      </c>
      <c r="I440" s="3">
        <f>IF(ORIG!I440=0,"",ORIG!I440)</f>
        <v/>
      </c>
      <c r="J440" s="3">
        <f>IF(ORIG!J440=0,"",ORIG!J440)</f>
        <v/>
      </c>
      <c r="K440" s="3">
        <f>IF(ORIG!K440=0,"",ORIG!K440)</f>
        <v/>
      </c>
      <c r="L440" s="3">
        <f>IF(ORIG!L440=0,"",ORIG!L440)</f>
        <v/>
      </c>
      <c r="M440" s="3">
        <f>IF(ORIG!M440=0,"",ORIG!M440)</f>
        <v/>
      </c>
      <c r="N440" s="3">
        <f>IF(ORIG!N440=0,"",ORIG!N440)</f>
        <v/>
      </c>
      <c r="O440" s="3">
        <f>IF(ORIG!O440=0,"",ORIG!O440)</f>
        <v/>
      </c>
      <c r="P440" s="3">
        <f>IF(ORIG!P440=0,"",ORIG!P440)</f>
        <v/>
      </c>
      <c r="Q440" s="3">
        <f>IF(ORIG!Q440=0,"",ORIG!Q440)</f>
        <v/>
      </c>
      <c r="R440" s="3">
        <f>IF(ORIG!R440=0,"",ORIG!R440)</f>
        <v/>
      </c>
      <c r="S440" s="3">
        <f>IF(ORIG!S440=0,"",ORIG!S440)</f>
        <v/>
      </c>
      <c r="T440" s="3">
        <f>IF(ORIG!T440=0,"",ORIG!T440)</f>
        <v/>
      </c>
      <c r="U440" s="3">
        <f>IF(ORIG!U440=0,"",ORIG!U440)</f>
        <v/>
      </c>
      <c r="V440" s="9">
        <f>IF(ORIG!V440=0,"",ORIG!V440)</f>
        <v/>
      </c>
      <c r="W440" s="9">
        <f>IF(ORIG!W440=0,"",ORIG!W440)</f>
        <v/>
      </c>
      <c r="X440" s="9">
        <f>IF(ORIG!X440=0,"",ORIG!X440)</f>
        <v/>
      </c>
      <c r="Y440" s="9">
        <f>IF(ORIG!Y440=0,"",ORIG!Y440)</f>
        <v/>
      </c>
      <c r="Z440" s="3">
        <f>SUMPRODUCT($B440:$Y440,$B$2649:$Y$2649)</f>
        <v/>
      </c>
      <c r="AA440" s="3">
        <f>SUMPRODUCT($B440:$Y440,$B$2655:$Y$2655)</f>
        <v/>
      </c>
      <c r="AC440" s="1">
        <f>A440</f>
        <v/>
      </c>
      <c r="AD440">
        <f>IF(ISNUMBER(V440),V440*($AB$1/V$2635),"")</f>
        <v/>
      </c>
      <c r="AE440">
        <f>IF(ISNUMBER(Z440),Z440*($AB$1/Z$2635),"")</f>
        <v/>
      </c>
      <c r="AF440" s="25">
        <f>IF(ISNUMBER(AD440+AE440),AD440+AE440,"")</f>
        <v/>
      </c>
      <c r="AH440" s="1">
        <f>A440</f>
        <v/>
      </c>
      <c r="AI440">
        <f>IF(ISNUMBER((1+V440)*AI439),(1+V440)*AI439,AI439)</f>
        <v/>
      </c>
      <c r="AJ440">
        <f>IF(ISNUMBER((1+Z440)*AJ439),(1+Z440)*AJ439,AJ439)</f>
        <v/>
      </c>
    </row>
    <row r="441">
      <c r="A441" s="1" t="n">
        <v>42641</v>
      </c>
      <c r="B441" s="3">
        <f>IF(ORIG!B441=0,"",ORIG!B441)</f>
        <v/>
      </c>
      <c r="C441" s="3">
        <f>IF(ORIG!C441=0,"",ORIG!C441)</f>
        <v/>
      </c>
      <c r="D441" s="3">
        <f>IF(ORIG!D441=0,"",ORIG!D441)</f>
        <v/>
      </c>
      <c r="E441" s="3">
        <f>IF(ORIG!E441=0,"",ORIG!E441)</f>
        <v/>
      </c>
      <c r="F441" s="3">
        <f>IF(ORIG!F441=0,"",ORIG!F441)</f>
        <v/>
      </c>
      <c r="G441" s="3">
        <f>IF(ORIG!G441=0,"",ORIG!G441)</f>
        <v/>
      </c>
      <c r="H441" s="3">
        <f>IF(ORIG!H441=0,"",ORIG!H441)</f>
        <v/>
      </c>
      <c r="I441" s="3">
        <f>IF(ORIG!I441=0,"",ORIG!I441)</f>
        <v/>
      </c>
      <c r="J441" s="3">
        <f>IF(ORIG!J441=0,"",ORIG!J441)</f>
        <v/>
      </c>
      <c r="K441" s="3">
        <f>IF(ORIG!K441=0,"",ORIG!K441)</f>
        <v/>
      </c>
      <c r="L441" s="3">
        <f>IF(ORIG!L441=0,"",ORIG!L441)</f>
        <v/>
      </c>
      <c r="M441" s="3">
        <f>IF(ORIG!M441=0,"",ORIG!M441)</f>
        <v/>
      </c>
      <c r="N441" s="3">
        <f>IF(ORIG!N441=0,"",ORIG!N441)</f>
        <v/>
      </c>
      <c r="O441" s="3">
        <f>IF(ORIG!O441=0,"",ORIG!O441)</f>
        <v/>
      </c>
      <c r="P441" s="3">
        <f>IF(ORIG!P441=0,"",ORIG!P441)</f>
        <v/>
      </c>
      <c r="Q441" s="3">
        <f>IF(ORIG!Q441=0,"",ORIG!Q441)</f>
        <v/>
      </c>
      <c r="R441" s="3">
        <f>IF(ORIG!R441=0,"",ORIG!R441)</f>
        <v/>
      </c>
      <c r="S441" s="3">
        <f>IF(ORIG!S441=0,"",ORIG!S441)</f>
        <v/>
      </c>
      <c r="T441" s="3">
        <f>IF(ORIG!T441=0,"",ORIG!T441)</f>
        <v/>
      </c>
      <c r="U441" s="3">
        <f>IF(ORIG!U441=0,"",ORIG!U441)</f>
        <v/>
      </c>
      <c r="V441" s="9">
        <f>IF(ORIG!V441=0,"",ORIG!V441)</f>
        <v/>
      </c>
      <c r="W441" s="9">
        <f>IF(ORIG!W441=0,"",ORIG!W441)</f>
        <v/>
      </c>
      <c r="X441" s="9">
        <f>IF(ORIG!X441=0,"",ORIG!X441)</f>
        <v/>
      </c>
      <c r="Y441" s="9">
        <f>IF(ORIG!Y441=0,"",ORIG!Y441)</f>
        <v/>
      </c>
      <c r="Z441" s="3">
        <f>SUMPRODUCT($B441:$Y441,$B$2649:$Y$2649)</f>
        <v/>
      </c>
      <c r="AA441" s="3">
        <f>SUMPRODUCT($B441:$Y441,$B$2655:$Y$2655)</f>
        <v/>
      </c>
      <c r="AC441" s="1">
        <f>A441</f>
        <v/>
      </c>
      <c r="AD441">
        <f>IF(ISNUMBER(V441),V441*($AB$1/V$2635),"")</f>
        <v/>
      </c>
      <c r="AE441">
        <f>IF(ISNUMBER(Z441),Z441*($AB$1/Z$2635),"")</f>
        <v/>
      </c>
      <c r="AF441" s="25">
        <f>IF(ISNUMBER(AD441+AE441),AD441+AE441,"")</f>
        <v/>
      </c>
      <c r="AH441" s="1">
        <f>A441</f>
        <v/>
      </c>
      <c r="AI441">
        <f>IF(ISNUMBER((1+V441)*AI440),(1+V441)*AI440,AI440)</f>
        <v/>
      </c>
      <c r="AJ441">
        <f>IF(ISNUMBER((1+Z441)*AJ440),(1+Z441)*AJ440,AJ440)</f>
        <v/>
      </c>
    </row>
    <row r="442">
      <c r="A442" s="1" t="n">
        <v>42642</v>
      </c>
      <c r="B442" s="3">
        <f>IF(ORIG!B442=0,"",ORIG!B442)</f>
        <v/>
      </c>
      <c r="C442" s="3">
        <f>IF(ORIG!C442=0,"",ORIG!C442)</f>
        <v/>
      </c>
      <c r="D442" s="3">
        <f>IF(ORIG!D442=0,"",ORIG!D442)</f>
        <v/>
      </c>
      <c r="E442" s="3">
        <f>IF(ORIG!E442=0,"",ORIG!E442)</f>
        <v/>
      </c>
      <c r="F442" s="3">
        <f>IF(ORIG!F442=0,"",ORIG!F442)</f>
        <v/>
      </c>
      <c r="G442" s="3">
        <f>IF(ORIG!G442=0,"",ORIG!G442)</f>
        <v/>
      </c>
      <c r="H442" s="3">
        <f>IF(ORIG!H442=0,"",ORIG!H442)</f>
        <v/>
      </c>
      <c r="I442" s="3">
        <f>IF(ORIG!I442=0,"",ORIG!I442)</f>
        <v/>
      </c>
      <c r="J442" s="3">
        <f>IF(ORIG!J442=0,"",ORIG!J442)</f>
        <v/>
      </c>
      <c r="K442" s="3">
        <f>IF(ORIG!K442=0,"",ORIG!K442)</f>
        <v/>
      </c>
      <c r="L442" s="3">
        <f>IF(ORIG!L442=0,"",ORIG!L442)</f>
        <v/>
      </c>
      <c r="M442" s="3">
        <f>IF(ORIG!M442=0,"",ORIG!M442)</f>
        <v/>
      </c>
      <c r="N442" s="3">
        <f>IF(ORIG!N442=0,"",ORIG!N442)</f>
        <v/>
      </c>
      <c r="O442" s="3">
        <f>IF(ORIG!O442=0,"",ORIG!O442)</f>
        <v/>
      </c>
      <c r="P442" s="3">
        <f>IF(ORIG!P442=0,"",ORIG!P442)</f>
        <v/>
      </c>
      <c r="Q442" s="3">
        <f>IF(ORIG!Q442=0,"",ORIG!Q442)</f>
        <v/>
      </c>
      <c r="R442" s="3">
        <f>IF(ORIG!R442=0,"",ORIG!R442)</f>
        <v/>
      </c>
      <c r="S442" s="3">
        <f>IF(ORIG!S442=0,"",ORIG!S442)</f>
        <v/>
      </c>
      <c r="T442" s="3">
        <f>IF(ORIG!T442=0,"",ORIG!T442)</f>
        <v/>
      </c>
      <c r="U442" s="3">
        <f>IF(ORIG!U442=0,"",ORIG!U442)</f>
        <v/>
      </c>
      <c r="V442" s="9">
        <f>IF(ORIG!V442=0,"",ORIG!V442)</f>
        <v/>
      </c>
      <c r="W442" s="9">
        <f>IF(ORIG!W442=0,"",ORIG!W442)</f>
        <v/>
      </c>
      <c r="X442" s="9">
        <f>IF(ORIG!X442=0,"",ORIG!X442)</f>
        <v/>
      </c>
      <c r="Y442" s="9">
        <f>IF(ORIG!Y442=0,"",ORIG!Y442)</f>
        <v/>
      </c>
      <c r="Z442" s="3">
        <f>SUMPRODUCT($B442:$Y442,$B$2649:$Y$2649)</f>
        <v/>
      </c>
      <c r="AA442" s="3">
        <f>SUMPRODUCT($B442:$Y442,$B$2655:$Y$2655)</f>
        <v/>
      </c>
      <c r="AC442" s="1">
        <f>A442</f>
        <v/>
      </c>
      <c r="AD442">
        <f>IF(ISNUMBER(V442),V442*($AB$1/V$2635),"")</f>
        <v/>
      </c>
      <c r="AE442">
        <f>IF(ISNUMBER(Z442),Z442*($AB$1/Z$2635),"")</f>
        <v/>
      </c>
      <c r="AF442" s="25">
        <f>IF(ISNUMBER(AD442+AE442),AD442+AE442,"")</f>
        <v/>
      </c>
      <c r="AH442" s="1">
        <f>A442</f>
        <v/>
      </c>
      <c r="AI442">
        <f>IF(ISNUMBER((1+V442)*AI441),(1+V442)*AI441,AI441)</f>
        <v/>
      </c>
      <c r="AJ442">
        <f>IF(ISNUMBER((1+Z442)*AJ441),(1+Z442)*AJ441,AJ441)</f>
        <v/>
      </c>
    </row>
    <row r="443">
      <c r="A443" s="1" t="n">
        <v>42643</v>
      </c>
      <c r="B443" s="3">
        <f>IF(ORIG!B443=0,"",ORIG!B443)</f>
        <v/>
      </c>
      <c r="C443" s="3">
        <f>IF(ORIG!C443=0,"",ORIG!C443)</f>
        <v/>
      </c>
      <c r="D443" s="3">
        <f>IF(ORIG!D443=0,"",ORIG!D443)</f>
        <v/>
      </c>
      <c r="E443" s="3">
        <f>IF(ORIG!E443=0,"",ORIG!E443)</f>
        <v/>
      </c>
      <c r="F443" s="3">
        <f>IF(ORIG!F443=0,"",ORIG!F443)</f>
        <v/>
      </c>
      <c r="G443" s="3">
        <f>IF(ORIG!G443=0,"",ORIG!G443)</f>
        <v/>
      </c>
      <c r="H443" s="3">
        <f>IF(ORIG!H443=0,"",ORIG!H443)</f>
        <v/>
      </c>
      <c r="I443" s="3">
        <f>IF(ORIG!I443=0,"",ORIG!I443)</f>
        <v/>
      </c>
      <c r="J443" s="3">
        <f>IF(ORIG!J443=0,"",ORIG!J443)</f>
        <v/>
      </c>
      <c r="K443" s="3">
        <f>IF(ORIG!K443=0,"",ORIG!K443)</f>
        <v/>
      </c>
      <c r="L443" s="3">
        <f>IF(ORIG!L443=0,"",ORIG!L443)</f>
        <v/>
      </c>
      <c r="M443" s="3">
        <f>IF(ORIG!M443=0,"",ORIG!M443)</f>
        <v/>
      </c>
      <c r="N443" s="3">
        <f>IF(ORIG!N443=0,"",ORIG!N443)</f>
        <v/>
      </c>
      <c r="O443" s="3">
        <f>IF(ORIG!O443=0,"",ORIG!O443)</f>
        <v/>
      </c>
      <c r="P443" s="3">
        <f>IF(ORIG!P443=0,"",ORIG!P443)</f>
        <v/>
      </c>
      <c r="Q443" s="3">
        <f>IF(ORIG!Q443=0,"",ORIG!Q443)</f>
        <v/>
      </c>
      <c r="R443" s="3">
        <f>IF(ORIG!R443=0,"",ORIG!R443)</f>
        <v/>
      </c>
      <c r="S443" s="3">
        <f>IF(ORIG!S443=0,"",ORIG!S443)</f>
        <v/>
      </c>
      <c r="T443" s="3">
        <f>IF(ORIG!T443=0,"",ORIG!T443)</f>
        <v/>
      </c>
      <c r="U443" s="3">
        <f>IF(ORIG!U443=0,"",ORIG!U443)</f>
        <v/>
      </c>
      <c r="V443" s="9">
        <f>IF(ORIG!V443=0,"",ORIG!V443)</f>
        <v/>
      </c>
      <c r="W443" s="9">
        <f>IF(ORIG!W443=0,"",ORIG!W443)</f>
        <v/>
      </c>
      <c r="X443" s="9">
        <f>IF(ORIG!X443=0,"",ORIG!X443)</f>
        <v/>
      </c>
      <c r="Y443" s="9">
        <f>IF(ORIG!Y443=0,"",ORIG!Y443)</f>
        <v/>
      </c>
      <c r="Z443" s="3">
        <f>SUMPRODUCT($B443:$Y443,$B$2649:$Y$2649)</f>
        <v/>
      </c>
      <c r="AA443" s="3">
        <f>SUMPRODUCT($B443:$Y443,$B$2655:$Y$2655)</f>
        <v/>
      </c>
      <c r="AC443" s="1">
        <f>A443</f>
        <v/>
      </c>
      <c r="AD443">
        <f>IF(ISNUMBER(V443),V443*($AB$1/V$2635),"")</f>
        <v/>
      </c>
      <c r="AE443">
        <f>IF(ISNUMBER(Z443),Z443*($AB$1/Z$2635),"")</f>
        <v/>
      </c>
      <c r="AF443" s="25">
        <f>IF(ISNUMBER(AD443+AE443),AD443+AE443,"")</f>
        <v/>
      </c>
      <c r="AH443" s="1">
        <f>A443</f>
        <v/>
      </c>
      <c r="AI443">
        <f>IF(ISNUMBER((1+V443)*AI442),(1+V443)*AI442,AI442)</f>
        <v/>
      </c>
      <c r="AJ443">
        <f>IF(ISNUMBER((1+Z443)*AJ442),(1+Z443)*AJ442,AJ442)</f>
        <v/>
      </c>
    </row>
    <row r="444">
      <c r="A444" s="1" t="n">
        <v>42646</v>
      </c>
      <c r="B444" s="3">
        <f>IF(ORIG!B444=0,"",ORIG!B444)</f>
        <v/>
      </c>
      <c r="C444" s="3">
        <f>IF(ORIG!C444=0,"",ORIG!C444)</f>
        <v/>
      </c>
      <c r="D444" s="3">
        <f>IF(ORIG!D444=0,"",ORIG!D444)</f>
        <v/>
      </c>
      <c r="E444" s="3">
        <f>IF(ORIG!E444=0,"",ORIG!E444)</f>
        <v/>
      </c>
      <c r="F444" s="3">
        <f>IF(ORIG!F444=0,"",ORIG!F444)</f>
        <v/>
      </c>
      <c r="G444" s="3">
        <f>IF(ORIG!G444=0,"",ORIG!G444)</f>
        <v/>
      </c>
      <c r="H444" s="3">
        <f>IF(ORIG!H444=0,"",ORIG!H444)</f>
        <v/>
      </c>
      <c r="I444" s="3">
        <f>IF(ORIG!I444=0,"",ORIG!I444)</f>
        <v/>
      </c>
      <c r="J444" s="3">
        <f>IF(ORIG!J444=0,"",ORIG!J444)</f>
        <v/>
      </c>
      <c r="K444" s="3">
        <f>IF(ORIG!K444=0,"",ORIG!K444)</f>
        <v/>
      </c>
      <c r="L444" s="3">
        <f>IF(ORIG!L444=0,"",ORIG!L444)</f>
        <v/>
      </c>
      <c r="M444" s="3">
        <f>IF(ORIG!M444=0,"",ORIG!M444)</f>
        <v/>
      </c>
      <c r="N444" s="3">
        <f>IF(ORIG!N444=0,"",ORIG!N444)</f>
        <v/>
      </c>
      <c r="O444" s="3">
        <f>IF(ORIG!O444=0,"",ORIG!O444)</f>
        <v/>
      </c>
      <c r="P444" s="3">
        <f>IF(ORIG!P444=0,"",ORIG!P444)</f>
        <v/>
      </c>
      <c r="Q444" s="3">
        <f>IF(ORIG!Q444=0,"",ORIG!Q444)</f>
        <v/>
      </c>
      <c r="R444" s="3">
        <f>IF(ORIG!R444=0,"",ORIG!R444)</f>
        <v/>
      </c>
      <c r="S444" s="3">
        <f>IF(ORIG!S444=0,"",ORIG!S444)</f>
        <v/>
      </c>
      <c r="T444" s="3">
        <f>IF(ORIG!T444=0,"",ORIG!T444)</f>
        <v/>
      </c>
      <c r="U444" s="3">
        <f>IF(ORIG!U444=0,"",ORIG!U444)</f>
        <v/>
      </c>
      <c r="V444" s="9">
        <f>IF(ORIG!V444=0,"",ORIG!V444)</f>
        <v/>
      </c>
      <c r="W444" s="9">
        <f>IF(ORIG!W444=0,"",ORIG!W444)</f>
        <v/>
      </c>
      <c r="X444" s="9">
        <f>IF(ORIG!X444=0,"",ORIG!X444)</f>
        <v/>
      </c>
      <c r="Y444" s="9">
        <f>IF(ORIG!Y444=0,"",ORIG!Y444)</f>
        <v/>
      </c>
      <c r="Z444" s="3">
        <f>SUMPRODUCT($B444:$Y444,$B$2649:$Y$2649)</f>
        <v/>
      </c>
      <c r="AA444" s="3">
        <f>SUMPRODUCT($B444:$Y444,$B$2655:$Y$2655)</f>
        <v/>
      </c>
      <c r="AC444" s="1">
        <f>A444</f>
        <v/>
      </c>
      <c r="AD444">
        <f>IF(ISNUMBER(V444),V444*($AB$1/V$2635),"")</f>
        <v/>
      </c>
      <c r="AE444">
        <f>IF(ISNUMBER(Z444),Z444*($AB$1/Z$2635),"")</f>
        <v/>
      </c>
      <c r="AF444" s="25">
        <f>IF(ISNUMBER(AD444+AE444),AD444+AE444,"")</f>
        <v/>
      </c>
      <c r="AH444" s="1">
        <f>A444</f>
        <v/>
      </c>
      <c r="AI444">
        <f>IF(ISNUMBER((1+V444)*AI443),(1+V444)*AI443,AI443)</f>
        <v/>
      </c>
      <c r="AJ444">
        <f>IF(ISNUMBER((1+Z444)*AJ443),(1+Z444)*AJ443,AJ443)</f>
        <v/>
      </c>
    </row>
    <row r="445">
      <c r="A445" s="1" t="n">
        <v>42647</v>
      </c>
      <c r="B445" s="3">
        <f>IF(ORIG!B445=0,"",ORIG!B445)</f>
        <v/>
      </c>
      <c r="C445" s="3">
        <f>IF(ORIG!C445=0,"",ORIG!C445)</f>
        <v/>
      </c>
      <c r="D445" s="3">
        <f>IF(ORIG!D445=0,"",ORIG!D445)</f>
        <v/>
      </c>
      <c r="E445" s="3">
        <f>IF(ORIG!E445=0,"",ORIG!E445)</f>
        <v/>
      </c>
      <c r="F445" s="3">
        <f>IF(ORIG!F445=0,"",ORIG!F445)</f>
        <v/>
      </c>
      <c r="G445" s="3">
        <f>IF(ORIG!G445=0,"",ORIG!G445)</f>
        <v/>
      </c>
      <c r="H445" s="3">
        <f>IF(ORIG!H445=0,"",ORIG!H445)</f>
        <v/>
      </c>
      <c r="I445" s="3">
        <f>IF(ORIG!I445=0,"",ORIG!I445)</f>
        <v/>
      </c>
      <c r="J445" s="3">
        <f>IF(ORIG!J445=0,"",ORIG!J445)</f>
        <v/>
      </c>
      <c r="K445" s="3">
        <f>IF(ORIG!K445=0,"",ORIG!K445)</f>
        <v/>
      </c>
      <c r="L445" s="3">
        <f>IF(ORIG!L445=0,"",ORIG!L445)</f>
        <v/>
      </c>
      <c r="M445" s="3">
        <f>IF(ORIG!M445=0,"",ORIG!M445)</f>
        <v/>
      </c>
      <c r="N445" s="3">
        <f>IF(ORIG!N445=0,"",ORIG!N445)</f>
        <v/>
      </c>
      <c r="O445" s="3">
        <f>IF(ORIG!O445=0,"",ORIG!O445)</f>
        <v/>
      </c>
      <c r="P445" s="3">
        <f>IF(ORIG!P445=0,"",ORIG!P445)</f>
        <v/>
      </c>
      <c r="Q445" s="3">
        <f>IF(ORIG!Q445=0,"",ORIG!Q445)</f>
        <v/>
      </c>
      <c r="R445" s="3">
        <f>IF(ORIG!R445=0,"",ORIG!R445)</f>
        <v/>
      </c>
      <c r="S445" s="3">
        <f>IF(ORIG!S445=0,"",ORIG!S445)</f>
        <v/>
      </c>
      <c r="T445" s="3">
        <f>IF(ORIG!T445=0,"",ORIG!T445)</f>
        <v/>
      </c>
      <c r="U445" s="3">
        <f>IF(ORIG!U445=0,"",ORIG!U445)</f>
        <v/>
      </c>
      <c r="V445" s="9">
        <f>IF(ORIG!V445=0,"",ORIG!V445)</f>
        <v/>
      </c>
      <c r="W445" s="9">
        <f>IF(ORIG!W445=0,"",ORIG!W445)</f>
        <v/>
      </c>
      <c r="X445" s="9">
        <f>IF(ORIG!X445=0,"",ORIG!X445)</f>
        <v/>
      </c>
      <c r="Y445" s="9">
        <f>IF(ORIG!Y445=0,"",ORIG!Y445)</f>
        <v/>
      </c>
      <c r="Z445" s="3">
        <f>SUMPRODUCT($B445:$Y445,$B$2649:$Y$2649)</f>
        <v/>
      </c>
      <c r="AA445" s="3">
        <f>SUMPRODUCT($B445:$Y445,$B$2655:$Y$2655)</f>
        <v/>
      </c>
      <c r="AC445" s="1">
        <f>A445</f>
        <v/>
      </c>
      <c r="AD445">
        <f>IF(ISNUMBER(V445),V445*($AB$1/V$2635),"")</f>
        <v/>
      </c>
      <c r="AE445">
        <f>IF(ISNUMBER(Z445),Z445*($AB$1/Z$2635),"")</f>
        <v/>
      </c>
      <c r="AF445" s="25">
        <f>IF(ISNUMBER(AD445+AE445),AD445+AE445,"")</f>
        <v/>
      </c>
      <c r="AH445" s="1">
        <f>A445</f>
        <v/>
      </c>
      <c r="AI445">
        <f>IF(ISNUMBER((1+V445)*AI444),(1+V445)*AI444,AI444)</f>
        <v/>
      </c>
      <c r="AJ445">
        <f>IF(ISNUMBER((1+Z445)*AJ444),(1+Z445)*AJ444,AJ444)</f>
        <v/>
      </c>
    </row>
    <row r="446">
      <c r="A446" s="1" t="n">
        <v>42648</v>
      </c>
      <c r="B446" s="3">
        <f>IF(ORIG!B446=0,"",ORIG!B446)</f>
        <v/>
      </c>
      <c r="C446" s="3">
        <f>IF(ORIG!C446=0,"",ORIG!C446)</f>
        <v/>
      </c>
      <c r="D446" s="3">
        <f>IF(ORIG!D446=0,"",ORIG!D446)</f>
        <v/>
      </c>
      <c r="E446" s="3">
        <f>IF(ORIG!E446=0,"",ORIG!E446)</f>
        <v/>
      </c>
      <c r="F446" s="3">
        <f>IF(ORIG!F446=0,"",ORIG!F446)</f>
        <v/>
      </c>
      <c r="G446" s="3">
        <f>IF(ORIG!G446=0,"",ORIG!G446)</f>
        <v/>
      </c>
      <c r="H446" s="3">
        <f>IF(ORIG!H446=0,"",ORIG!H446)</f>
        <v/>
      </c>
      <c r="I446" s="3">
        <f>IF(ORIG!I446=0,"",ORIG!I446)</f>
        <v/>
      </c>
      <c r="J446" s="3">
        <f>IF(ORIG!J446=0,"",ORIG!J446)</f>
        <v/>
      </c>
      <c r="K446" s="3">
        <f>IF(ORIG!K446=0,"",ORIG!K446)</f>
        <v/>
      </c>
      <c r="L446" s="3">
        <f>IF(ORIG!L446=0,"",ORIG!L446)</f>
        <v/>
      </c>
      <c r="M446" s="3">
        <f>IF(ORIG!M446=0,"",ORIG!M446)</f>
        <v/>
      </c>
      <c r="N446" s="3">
        <f>IF(ORIG!N446=0,"",ORIG!N446)</f>
        <v/>
      </c>
      <c r="O446" s="3">
        <f>IF(ORIG!O446=0,"",ORIG!O446)</f>
        <v/>
      </c>
      <c r="P446" s="3">
        <f>IF(ORIG!P446=0,"",ORIG!P446)</f>
        <v/>
      </c>
      <c r="Q446" s="3">
        <f>IF(ORIG!Q446=0,"",ORIG!Q446)</f>
        <v/>
      </c>
      <c r="R446" s="3">
        <f>IF(ORIG!R446=0,"",ORIG!R446)</f>
        <v/>
      </c>
      <c r="S446" s="3">
        <f>IF(ORIG!S446=0,"",ORIG!S446)</f>
        <v/>
      </c>
      <c r="T446" s="3">
        <f>IF(ORIG!T446=0,"",ORIG!T446)</f>
        <v/>
      </c>
      <c r="U446" s="3">
        <f>IF(ORIG!U446=0,"",ORIG!U446)</f>
        <v/>
      </c>
      <c r="V446" s="9">
        <f>IF(ORIG!V446=0,"",ORIG!V446)</f>
        <v/>
      </c>
      <c r="W446" s="9">
        <f>IF(ORIG!W446=0,"",ORIG!W446)</f>
        <v/>
      </c>
      <c r="X446" s="9">
        <f>IF(ORIG!X446=0,"",ORIG!X446)</f>
        <v/>
      </c>
      <c r="Y446" s="9">
        <f>IF(ORIG!Y446=0,"",ORIG!Y446)</f>
        <v/>
      </c>
      <c r="Z446" s="3">
        <f>SUMPRODUCT($B446:$Y446,$B$2649:$Y$2649)</f>
        <v/>
      </c>
      <c r="AA446" s="3">
        <f>SUMPRODUCT($B446:$Y446,$B$2655:$Y$2655)</f>
        <v/>
      </c>
      <c r="AC446" s="1">
        <f>A446</f>
        <v/>
      </c>
      <c r="AD446">
        <f>IF(ISNUMBER(V446),V446*($AB$1/V$2635),"")</f>
        <v/>
      </c>
      <c r="AE446">
        <f>IF(ISNUMBER(Z446),Z446*($AB$1/Z$2635),"")</f>
        <v/>
      </c>
      <c r="AF446" s="25">
        <f>IF(ISNUMBER(AD446+AE446),AD446+AE446,"")</f>
        <v/>
      </c>
      <c r="AH446" s="1">
        <f>A446</f>
        <v/>
      </c>
      <c r="AI446">
        <f>IF(ISNUMBER((1+V446)*AI445),(1+V446)*AI445,AI445)</f>
        <v/>
      </c>
      <c r="AJ446">
        <f>IF(ISNUMBER((1+Z446)*AJ445),(1+Z446)*AJ445,AJ445)</f>
        <v/>
      </c>
    </row>
    <row r="447">
      <c r="A447" s="1" t="n">
        <v>42649</v>
      </c>
      <c r="B447" s="3">
        <f>IF(ORIG!B447=0,"",ORIG!B447)</f>
        <v/>
      </c>
      <c r="C447" s="3">
        <f>IF(ORIG!C447=0,"",ORIG!C447)</f>
        <v/>
      </c>
      <c r="D447" s="3">
        <f>IF(ORIG!D447=0,"",ORIG!D447)</f>
        <v/>
      </c>
      <c r="E447" s="3">
        <f>IF(ORIG!E447=0,"",ORIG!E447)</f>
        <v/>
      </c>
      <c r="F447" s="3">
        <f>IF(ORIG!F447=0,"",ORIG!F447)</f>
        <v/>
      </c>
      <c r="G447" s="3">
        <f>IF(ORIG!G447=0,"",ORIG!G447)</f>
        <v/>
      </c>
      <c r="H447" s="3">
        <f>IF(ORIG!H447=0,"",ORIG!H447)</f>
        <v/>
      </c>
      <c r="I447" s="3">
        <f>IF(ORIG!I447=0,"",ORIG!I447)</f>
        <v/>
      </c>
      <c r="J447" s="3">
        <f>IF(ORIG!J447=0,"",ORIG!J447)</f>
        <v/>
      </c>
      <c r="K447" s="3">
        <f>IF(ORIG!K447=0,"",ORIG!K447)</f>
        <v/>
      </c>
      <c r="L447" s="3">
        <f>IF(ORIG!L447=0,"",ORIG!L447)</f>
        <v/>
      </c>
      <c r="M447" s="3">
        <f>IF(ORIG!M447=0,"",ORIG!M447)</f>
        <v/>
      </c>
      <c r="N447" s="3">
        <f>IF(ORIG!N447=0,"",ORIG!N447)</f>
        <v/>
      </c>
      <c r="O447" s="3">
        <f>IF(ORIG!O447=0,"",ORIG!O447)</f>
        <v/>
      </c>
      <c r="P447" s="3">
        <f>IF(ORIG!P447=0,"",ORIG!P447)</f>
        <v/>
      </c>
      <c r="Q447" s="3">
        <f>IF(ORIG!Q447=0,"",ORIG!Q447)</f>
        <v/>
      </c>
      <c r="R447" s="3">
        <f>IF(ORIG!R447=0,"",ORIG!R447)</f>
        <v/>
      </c>
      <c r="S447" s="3">
        <f>IF(ORIG!S447=0,"",ORIG!S447)</f>
        <v/>
      </c>
      <c r="T447" s="3">
        <f>IF(ORIG!T447=0,"",ORIG!T447)</f>
        <v/>
      </c>
      <c r="U447" s="3">
        <f>IF(ORIG!U447=0,"",ORIG!U447)</f>
        <v/>
      </c>
      <c r="V447" s="9">
        <f>IF(ORIG!V447=0,"",ORIG!V447)</f>
        <v/>
      </c>
      <c r="W447" s="9">
        <f>IF(ORIG!W447=0,"",ORIG!W447)</f>
        <v/>
      </c>
      <c r="X447" s="9">
        <f>IF(ORIG!X447=0,"",ORIG!X447)</f>
        <v/>
      </c>
      <c r="Y447" s="9">
        <f>IF(ORIG!Y447=0,"",ORIG!Y447)</f>
        <v/>
      </c>
      <c r="Z447" s="3">
        <f>SUMPRODUCT($B447:$Y447,$B$2649:$Y$2649)</f>
        <v/>
      </c>
      <c r="AA447" s="3">
        <f>SUMPRODUCT($B447:$Y447,$B$2655:$Y$2655)</f>
        <v/>
      </c>
      <c r="AC447" s="1">
        <f>A447</f>
        <v/>
      </c>
      <c r="AD447">
        <f>IF(ISNUMBER(V447),V447*($AB$1/V$2635),"")</f>
        <v/>
      </c>
      <c r="AE447">
        <f>IF(ISNUMBER(Z447),Z447*($AB$1/Z$2635),"")</f>
        <v/>
      </c>
      <c r="AF447" s="25">
        <f>IF(ISNUMBER(AD447+AE447),AD447+AE447,"")</f>
        <v/>
      </c>
      <c r="AH447" s="1">
        <f>A447</f>
        <v/>
      </c>
      <c r="AI447">
        <f>IF(ISNUMBER((1+V447)*AI446),(1+V447)*AI446,AI446)</f>
        <v/>
      </c>
      <c r="AJ447">
        <f>IF(ISNUMBER((1+Z447)*AJ446),(1+Z447)*AJ446,AJ446)</f>
        <v/>
      </c>
    </row>
    <row r="448">
      <c r="A448" s="1" t="n">
        <v>42650</v>
      </c>
      <c r="B448" s="3">
        <f>IF(ORIG!B448=0,"",ORIG!B448)</f>
        <v/>
      </c>
      <c r="C448" s="3">
        <f>IF(ORIG!C448=0,"",ORIG!C448)</f>
        <v/>
      </c>
      <c r="D448" s="3">
        <f>IF(ORIG!D448=0,"",ORIG!D448)</f>
        <v/>
      </c>
      <c r="E448" s="3">
        <f>IF(ORIG!E448=0,"",ORIG!E448)</f>
        <v/>
      </c>
      <c r="F448" s="3">
        <f>IF(ORIG!F448=0,"",ORIG!F448)</f>
        <v/>
      </c>
      <c r="G448" s="3">
        <f>IF(ORIG!G448=0,"",ORIG!G448)</f>
        <v/>
      </c>
      <c r="H448" s="3">
        <f>IF(ORIG!H448=0,"",ORIG!H448)</f>
        <v/>
      </c>
      <c r="I448" s="3">
        <f>IF(ORIG!I448=0,"",ORIG!I448)</f>
        <v/>
      </c>
      <c r="J448" s="3">
        <f>IF(ORIG!J448=0,"",ORIG!J448)</f>
        <v/>
      </c>
      <c r="K448" s="3">
        <f>IF(ORIG!K448=0,"",ORIG!K448)</f>
        <v/>
      </c>
      <c r="L448" s="3">
        <f>IF(ORIG!L448=0,"",ORIG!L448)</f>
        <v/>
      </c>
      <c r="M448" s="3">
        <f>IF(ORIG!M448=0,"",ORIG!M448)</f>
        <v/>
      </c>
      <c r="N448" s="3">
        <f>IF(ORIG!N448=0,"",ORIG!N448)</f>
        <v/>
      </c>
      <c r="O448" s="3">
        <f>IF(ORIG!O448=0,"",ORIG!O448)</f>
        <v/>
      </c>
      <c r="P448" s="3">
        <f>IF(ORIG!P448=0,"",ORIG!P448)</f>
        <v/>
      </c>
      <c r="Q448" s="3">
        <f>IF(ORIG!Q448=0,"",ORIG!Q448)</f>
        <v/>
      </c>
      <c r="R448" s="3">
        <f>IF(ORIG!R448=0,"",ORIG!R448)</f>
        <v/>
      </c>
      <c r="S448" s="3">
        <f>IF(ORIG!S448=0,"",ORIG!S448)</f>
        <v/>
      </c>
      <c r="T448" s="3">
        <f>IF(ORIG!T448=0,"",ORIG!T448)</f>
        <v/>
      </c>
      <c r="U448" s="3">
        <f>IF(ORIG!U448=0,"",ORIG!U448)</f>
        <v/>
      </c>
      <c r="V448" s="9">
        <f>IF(ORIG!V448=0,"",ORIG!V448)</f>
        <v/>
      </c>
      <c r="W448" s="9">
        <f>IF(ORIG!W448=0,"",ORIG!W448)</f>
        <v/>
      </c>
      <c r="X448" s="9">
        <f>IF(ORIG!X448=0,"",ORIG!X448)</f>
        <v/>
      </c>
      <c r="Y448" s="9">
        <f>IF(ORIG!Y448=0,"",ORIG!Y448)</f>
        <v/>
      </c>
      <c r="Z448" s="3">
        <f>SUMPRODUCT($B448:$Y448,$B$2649:$Y$2649)</f>
        <v/>
      </c>
      <c r="AA448" s="3">
        <f>SUMPRODUCT($B448:$Y448,$B$2655:$Y$2655)</f>
        <v/>
      </c>
      <c r="AC448" s="1">
        <f>A448</f>
        <v/>
      </c>
      <c r="AD448">
        <f>IF(ISNUMBER(V448),V448*($AB$1/V$2635),"")</f>
        <v/>
      </c>
      <c r="AE448">
        <f>IF(ISNUMBER(Z448),Z448*($AB$1/Z$2635),"")</f>
        <v/>
      </c>
      <c r="AF448" s="25">
        <f>IF(ISNUMBER(AD448+AE448),AD448+AE448,"")</f>
        <v/>
      </c>
      <c r="AH448" s="1">
        <f>A448</f>
        <v/>
      </c>
      <c r="AI448">
        <f>IF(ISNUMBER((1+V448)*AI447),(1+V448)*AI447,AI447)</f>
        <v/>
      </c>
      <c r="AJ448">
        <f>IF(ISNUMBER((1+Z448)*AJ447),(1+Z448)*AJ447,AJ447)</f>
        <v/>
      </c>
    </row>
    <row r="449">
      <c r="A449" s="1" t="n">
        <v>42653</v>
      </c>
      <c r="B449" s="3">
        <f>IF(ORIG!B449=0,"",ORIG!B449)</f>
        <v/>
      </c>
      <c r="C449" s="3">
        <f>IF(ORIG!C449=0,"",ORIG!C449)</f>
        <v/>
      </c>
      <c r="D449" s="3">
        <f>IF(ORIG!D449=0,"",ORIG!D449)</f>
        <v/>
      </c>
      <c r="E449" s="3">
        <f>IF(ORIG!E449=0,"",ORIG!E449)</f>
        <v/>
      </c>
      <c r="F449" s="3">
        <f>IF(ORIG!F449=0,"",ORIG!F449)</f>
        <v/>
      </c>
      <c r="G449" s="3">
        <f>IF(ORIG!G449=0,"",ORIG!G449)</f>
        <v/>
      </c>
      <c r="H449" s="3">
        <f>IF(ORIG!H449=0,"",ORIG!H449)</f>
        <v/>
      </c>
      <c r="I449" s="3">
        <f>IF(ORIG!I449=0,"",ORIG!I449)</f>
        <v/>
      </c>
      <c r="J449" s="3">
        <f>IF(ORIG!J449=0,"",ORIG!J449)</f>
        <v/>
      </c>
      <c r="K449" s="3">
        <f>IF(ORIG!K449=0,"",ORIG!K449)</f>
        <v/>
      </c>
      <c r="L449" s="3">
        <f>IF(ORIG!L449=0,"",ORIG!L449)</f>
        <v/>
      </c>
      <c r="M449" s="3">
        <f>IF(ORIG!M449=0,"",ORIG!M449)</f>
        <v/>
      </c>
      <c r="N449" s="3">
        <f>IF(ORIG!N449=0,"",ORIG!N449)</f>
        <v/>
      </c>
      <c r="O449" s="3">
        <f>IF(ORIG!O449=0,"",ORIG!O449)</f>
        <v/>
      </c>
      <c r="P449" s="3">
        <f>IF(ORIG!P449=0,"",ORIG!P449)</f>
        <v/>
      </c>
      <c r="Q449" s="3">
        <f>IF(ORIG!Q449=0,"",ORIG!Q449)</f>
        <v/>
      </c>
      <c r="R449" s="3">
        <f>IF(ORIG!R449=0,"",ORIG!R449)</f>
        <v/>
      </c>
      <c r="S449" s="3">
        <f>IF(ORIG!S449=0,"",ORIG!S449)</f>
        <v/>
      </c>
      <c r="T449" s="3">
        <f>IF(ORIG!T449=0,"",ORIG!T449)</f>
        <v/>
      </c>
      <c r="U449" s="3">
        <f>IF(ORIG!U449=0,"",ORIG!U449)</f>
        <v/>
      </c>
      <c r="V449" s="9">
        <f>IF(ORIG!V449=0,"",ORIG!V449)</f>
        <v/>
      </c>
      <c r="W449" s="9">
        <f>IF(ORIG!W449=0,"",ORIG!W449)</f>
        <v/>
      </c>
      <c r="X449" s="9">
        <f>IF(ORIG!X449=0,"",ORIG!X449)</f>
        <v/>
      </c>
      <c r="Y449" s="9">
        <f>IF(ORIG!Y449=0,"",ORIG!Y449)</f>
        <v/>
      </c>
      <c r="Z449" s="3">
        <f>SUMPRODUCT($B449:$Y449,$B$2649:$Y$2649)</f>
        <v/>
      </c>
      <c r="AA449" s="3">
        <f>SUMPRODUCT($B449:$Y449,$B$2655:$Y$2655)</f>
        <v/>
      </c>
      <c r="AC449" s="1">
        <f>A449</f>
        <v/>
      </c>
      <c r="AD449">
        <f>IF(ISNUMBER(V449),V449*($AB$1/V$2635),"")</f>
        <v/>
      </c>
      <c r="AE449">
        <f>IF(ISNUMBER(Z449),Z449*($AB$1/Z$2635),"")</f>
        <v/>
      </c>
      <c r="AF449" s="25">
        <f>IF(ISNUMBER(AD449+AE449),AD449+AE449,"")</f>
        <v/>
      </c>
      <c r="AH449" s="1">
        <f>A449</f>
        <v/>
      </c>
      <c r="AI449">
        <f>IF(ISNUMBER((1+V449)*AI448),(1+V449)*AI448,AI448)</f>
        <v/>
      </c>
      <c r="AJ449">
        <f>IF(ISNUMBER((1+Z449)*AJ448),(1+Z449)*AJ448,AJ448)</f>
        <v/>
      </c>
    </row>
    <row r="450">
      <c r="A450" s="1" t="n">
        <v>42654</v>
      </c>
      <c r="B450" s="3">
        <f>IF(ORIG!B450=0,"",ORIG!B450)</f>
        <v/>
      </c>
      <c r="C450" s="3">
        <f>IF(ORIG!C450=0,"",ORIG!C450)</f>
        <v/>
      </c>
      <c r="D450" s="3">
        <f>IF(ORIG!D450=0,"",ORIG!D450)</f>
        <v/>
      </c>
      <c r="E450" s="3">
        <f>IF(ORIG!E450=0,"",ORIG!E450)</f>
        <v/>
      </c>
      <c r="F450" s="3">
        <f>IF(ORIG!F450=0,"",ORIG!F450)</f>
        <v/>
      </c>
      <c r="G450" s="3">
        <f>IF(ORIG!G450=0,"",ORIG!G450)</f>
        <v/>
      </c>
      <c r="H450" s="3">
        <f>IF(ORIG!H450=0,"",ORIG!H450)</f>
        <v/>
      </c>
      <c r="I450" s="3">
        <f>IF(ORIG!I450=0,"",ORIG!I450)</f>
        <v/>
      </c>
      <c r="J450" s="3">
        <f>IF(ORIG!J450=0,"",ORIG!J450)</f>
        <v/>
      </c>
      <c r="K450" s="3">
        <f>IF(ORIG!K450=0,"",ORIG!K450)</f>
        <v/>
      </c>
      <c r="L450" s="3">
        <f>IF(ORIG!L450=0,"",ORIG!L450)</f>
        <v/>
      </c>
      <c r="M450" s="3">
        <f>IF(ORIG!M450=0,"",ORIG!M450)</f>
        <v/>
      </c>
      <c r="N450" s="3">
        <f>IF(ORIG!N450=0,"",ORIG!N450)</f>
        <v/>
      </c>
      <c r="O450" s="3">
        <f>IF(ORIG!O450=0,"",ORIG!O450)</f>
        <v/>
      </c>
      <c r="P450" s="3">
        <f>IF(ORIG!P450=0,"",ORIG!P450)</f>
        <v/>
      </c>
      <c r="Q450" s="3">
        <f>IF(ORIG!Q450=0,"",ORIG!Q450)</f>
        <v/>
      </c>
      <c r="R450" s="3">
        <f>IF(ORIG!R450=0,"",ORIG!R450)</f>
        <v/>
      </c>
      <c r="S450" s="3">
        <f>IF(ORIG!S450=0,"",ORIG!S450)</f>
        <v/>
      </c>
      <c r="T450" s="3">
        <f>IF(ORIG!T450=0,"",ORIG!T450)</f>
        <v/>
      </c>
      <c r="U450" s="3">
        <f>IF(ORIG!U450=0,"",ORIG!U450)</f>
        <v/>
      </c>
      <c r="V450" s="9">
        <f>IF(ORIG!V450=0,"",ORIG!V450)</f>
        <v/>
      </c>
      <c r="W450" s="9">
        <f>IF(ORIG!W450=0,"",ORIG!W450)</f>
        <v/>
      </c>
      <c r="X450" s="9">
        <f>IF(ORIG!X450=0,"",ORIG!X450)</f>
        <v/>
      </c>
      <c r="Y450" s="9">
        <f>IF(ORIG!Y450=0,"",ORIG!Y450)</f>
        <v/>
      </c>
      <c r="Z450" s="3">
        <f>SUMPRODUCT($B450:$Y450,$B$2649:$Y$2649)</f>
        <v/>
      </c>
      <c r="AA450" s="3">
        <f>SUMPRODUCT($B450:$Y450,$B$2655:$Y$2655)</f>
        <v/>
      </c>
      <c r="AC450" s="1">
        <f>A450</f>
        <v/>
      </c>
      <c r="AD450">
        <f>IF(ISNUMBER(V450),V450*($AB$1/V$2635),"")</f>
        <v/>
      </c>
      <c r="AE450">
        <f>IF(ISNUMBER(Z450),Z450*($AB$1/Z$2635),"")</f>
        <v/>
      </c>
      <c r="AF450" s="25">
        <f>IF(ISNUMBER(AD450+AE450),AD450+AE450,"")</f>
        <v/>
      </c>
      <c r="AH450" s="1">
        <f>A450</f>
        <v/>
      </c>
      <c r="AI450">
        <f>IF(ISNUMBER((1+V450)*AI449),(1+V450)*AI449,AI449)</f>
        <v/>
      </c>
      <c r="AJ450">
        <f>IF(ISNUMBER((1+Z450)*AJ449),(1+Z450)*AJ449,AJ449)</f>
        <v/>
      </c>
    </row>
    <row r="451">
      <c r="A451" s="1" t="n">
        <v>42655</v>
      </c>
      <c r="B451" s="3">
        <f>IF(ORIG!B451=0,"",ORIG!B451)</f>
        <v/>
      </c>
      <c r="C451" s="3">
        <f>IF(ORIG!C451=0,"",ORIG!C451)</f>
        <v/>
      </c>
      <c r="D451" s="3">
        <f>IF(ORIG!D451=0,"",ORIG!D451)</f>
        <v/>
      </c>
      <c r="E451" s="3">
        <f>IF(ORIG!E451=0,"",ORIG!E451)</f>
        <v/>
      </c>
      <c r="F451" s="3">
        <f>IF(ORIG!F451=0,"",ORIG!F451)</f>
        <v/>
      </c>
      <c r="G451" s="3">
        <f>IF(ORIG!G451=0,"",ORIG!G451)</f>
        <v/>
      </c>
      <c r="H451" s="3">
        <f>IF(ORIG!H451=0,"",ORIG!H451)</f>
        <v/>
      </c>
      <c r="I451" s="3">
        <f>IF(ORIG!I451=0,"",ORIG!I451)</f>
        <v/>
      </c>
      <c r="J451" s="3">
        <f>IF(ORIG!J451=0,"",ORIG!J451)</f>
        <v/>
      </c>
      <c r="K451" s="3">
        <f>IF(ORIG!K451=0,"",ORIG!K451)</f>
        <v/>
      </c>
      <c r="L451" s="3">
        <f>IF(ORIG!L451=0,"",ORIG!L451)</f>
        <v/>
      </c>
      <c r="M451" s="3">
        <f>IF(ORIG!M451=0,"",ORIG!M451)</f>
        <v/>
      </c>
      <c r="N451" s="3">
        <f>IF(ORIG!N451=0,"",ORIG!N451)</f>
        <v/>
      </c>
      <c r="O451" s="3">
        <f>IF(ORIG!O451=0,"",ORIG!O451)</f>
        <v/>
      </c>
      <c r="P451" s="3">
        <f>IF(ORIG!P451=0,"",ORIG!P451)</f>
        <v/>
      </c>
      <c r="Q451" s="3">
        <f>IF(ORIG!Q451=0,"",ORIG!Q451)</f>
        <v/>
      </c>
      <c r="R451" s="3">
        <f>IF(ORIG!R451=0,"",ORIG!R451)</f>
        <v/>
      </c>
      <c r="S451" s="3">
        <f>IF(ORIG!S451=0,"",ORIG!S451)</f>
        <v/>
      </c>
      <c r="T451" s="3">
        <f>IF(ORIG!T451=0,"",ORIG!T451)</f>
        <v/>
      </c>
      <c r="U451" s="3">
        <f>IF(ORIG!U451=0,"",ORIG!U451)</f>
        <v/>
      </c>
      <c r="V451" s="9">
        <f>IF(ORIG!V451=0,"",ORIG!V451)</f>
        <v/>
      </c>
      <c r="W451" s="9">
        <f>IF(ORIG!W451=0,"",ORIG!W451)</f>
        <v/>
      </c>
      <c r="X451" s="9">
        <f>IF(ORIG!X451=0,"",ORIG!X451)</f>
        <v/>
      </c>
      <c r="Y451" s="9">
        <f>IF(ORIG!Y451=0,"",ORIG!Y451)</f>
        <v/>
      </c>
      <c r="Z451" s="3">
        <f>SUMPRODUCT($B451:$Y451,$B$2649:$Y$2649)</f>
        <v/>
      </c>
      <c r="AA451" s="3">
        <f>SUMPRODUCT($B451:$Y451,$B$2655:$Y$2655)</f>
        <v/>
      </c>
      <c r="AC451" s="1">
        <f>A451</f>
        <v/>
      </c>
      <c r="AD451">
        <f>IF(ISNUMBER(V451),V451*($AB$1/V$2635),"")</f>
        <v/>
      </c>
      <c r="AE451">
        <f>IF(ISNUMBER(Z451),Z451*($AB$1/Z$2635),"")</f>
        <v/>
      </c>
      <c r="AF451" s="25">
        <f>IF(ISNUMBER(AD451+AE451),AD451+AE451,"")</f>
        <v/>
      </c>
      <c r="AH451" s="1">
        <f>A451</f>
        <v/>
      </c>
      <c r="AI451">
        <f>IF(ISNUMBER((1+V451)*AI450),(1+V451)*AI450,AI450)</f>
        <v/>
      </c>
      <c r="AJ451">
        <f>IF(ISNUMBER((1+Z451)*AJ450),(1+Z451)*AJ450,AJ450)</f>
        <v/>
      </c>
    </row>
    <row r="452">
      <c r="A452" s="1" t="n">
        <v>42656</v>
      </c>
      <c r="B452" s="3">
        <f>IF(ORIG!B452=0,"",ORIG!B452)</f>
        <v/>
      </c>
      <c r="C452" s="3">
        <f>IF(ORIG!C452=0,"",ORIG!C452)</f>
        <v/>
      </c>
      <c r="D452" s="3">
        <f>IF(ORIG!D452=0,"",ORIG!D452)</f>
        <v/>
      </c>
      <c r="E452" s="3">
        <f>IF(ORIG!E452=0,"",ORIG!E452)</f>
        <v/>
      </c>
      <c r="F452" s="3">
        <f>IF(ORIG!F452=0,"",ORIG!F452)</f>
        <v/>
      </c>
      <c r="G452" s="3">
        <f>IF(ORIG!G452=0,"",ORIG!G452)</f>
        <v/>
      </c>
      <c r="H452" s="3">
        <f>IF(ORIG!H452=0,"",ORIG!H452)</f>
        <v/>
      </c>
      <c r="I452" s="3">
        <f>IF(ORIG!I452=0,"",ORIG!I452)</f>
        <v/>
      </c>
      <c r="J452" s="3">
        <f>IF(ORIG!J452=0,"",ORIG!J452)</f>
        <v/>
      </c>
      <c r="K452" s="3">
        <f>IF(ORIG!K452=0,"",ORIG!K452)</f>
        <v/>
      </c>
      <c r="L452" s="3">
        <f>IF(ORIG!L452=0,"",ORIG!L452)</f>
        <v/>
      </c>
      <c r="M452" s="3">
        <f>IF(ORIG!M452=0,"",ORIG!M452)</f>
        <v/>
      </c>
      <c r="N452" s="3">
        <f>IF(ORIG!N452=0,"",ORIG!N452)</f>
        <v/>
      </c>
      <c r="O452" s="3">
        <f>IF(ORIG!O452=0,"",ORIG!O452)</f>
        <v/>
      </c>
      <c r="P452" s="3">
        <f>IF(ORIG!P452=0,"",ORIG!P452)</f>
        <v/>
      </c>
      <c r="Q452" s="3">
        <f>IF(ORIG!Q452=0,"",ORIG!Q452)</f>
        <v/>
      </c>
      <c r="R452" s="3">
        <f>IF(ORIG!R452=0,"",ORIG!R452)</f>
        <v/>
      </c>
      <c r="S452" s="3">
        <f>IF(ORIG!S452=0,"",ORIG!S452)</f>
        <v/>
      </c>
      <c r="T452" s="3">
        <f>IF(ORIG!T452=0,"",ORIG!T452)</f>
        <v/>
      </c>
      <c r="U452" s="3">
        <f>IF(ORIG!U452=0,"",ORIG!U452)</f>
        <v/>
      </c>
      <c r="V452" s="9">
        <f>IF(ORIG!V452=0,"",ORIG!V452)</f>
        <v/>
      </c>
      <c r="W452" s="9">
        <f>IF(ORIG!W452=0,"",ORIG!W452)</f>
        <v/>
      </c>
      <c r="X452" s="9">
        <f>IF(ORIG!X452=0,"",ORIG!X452)</f>
        <v/>
      </c>
      <c r="Y452" s="9">
        <f>IF(ORIG!Y452=0,"",ORIG!Y452)</f>
        <v/>
      </c>
      <c r="Z452" s="3">
        <f>SUMPRODUCT($B452:$Y452,$B$2649:$Y$2649)</f>
        <v/>
      </c>
      <c r="AA452" s="3">
        <f>SUMPRODUCT($B452:$Y452,$B$2655:$Y$2655)</f>
        <v/>
      </c>
      <c r="AC452" s="1">
        <f>A452</f>
        <v/>
      </c>
      <c r="AD452">
        <f>IF(ISNUMBER(V452),V452*($AB$1/V$2635),"")</f>
        <v/>
      </c>
      <c r="AE452">
        <f>IF(ISNUMBER(Z452),Z452*($AB$1/Z$2635),"")</f>
        <v/>
      </c>
      <c r="AF452" s="25">
        <f>IF(ISNUMBER(AD452+AE452),AD452+AE452,"")</f>
        <v/>
      </c>
      <c r="AH452" s="1">
        <f>A452</f>
        <v/>
      </c>
      <c r="AI452">
        <f>IF(ISNUMBER((1+V452)*AI451),(1+V452)*AI451,AI451)</f>
        <v/>
      </c>
      <c r="AJ452">
        <f>IF(ISNUMBER((1+Z452)*AJ451),(1+Z452)*AJ451,AJ451)</f>
        <v/>
      </c>
    </row>
    <row r="453">
      <c r="A453" s="1" t="n">
        <v>42657</v>
      </c>
      <c r="B453" s="3">
        <f>IF(ORIG!B453=0,"",ORIG!B453)</f>
        <v/>
      </c>
      <c r="C453" s="3">
        <f>IF(ORIG!C453=0,"",ORIG!C453)</f>
        <v/>
      </c>
      <c r="D453" s="3">
        <f>IF(ORIG!D453=0,"",ORIG!D453)</f>
        <v/>
      </c>
      <c r="E453" s="3">
        <f>IF(ORIG!E453=0,"",ORIG!E453)</f>
        <v/>
      </c>
      <c r="F453" s="3">
        <f>IF(ORIG!F453=0,"",ORIG!F453)</f>
        <v/>
      </c>
      <c r="G453" s="3">
        <f>IF(ORIG!G453=0,"",ORIG!G453)</f>
        <v/>
      </c>
      <c r="H453" s="3">
        <f>IF(ORIG!H453=0,"",ORIG!H453)</f>
        <v/>
      </c>
      <c r="I453" s="3">
        <f>IF(ORIG!I453=0,"",ORIG!I453)</f>
        <v/>
      </c>
      <c r="J453" s="3">
        <f>IF(ORIG!J453=0,"",ORIG!J453)</f>
        <v/>
      </c>
      <c r="K453" s="3">
        <f>IF(ORIG!K453=0,"",ORIG!K453)</f>
        <v/>
      </c>
      <c r="L453" s="3">
        <f>IF(ORIG!L453=0,"",ORIG!L453)</f>
        <v/>
      </c>
      <c r="M453" s="3">
        <f>IF(ORIG!M453=0,"",ORIG!M453)</f>
        <v/>
      </c>
      <c r="N453" s="3">
        <f>IF(ORIG!N453=0,"",ORIG!N453)</f>
        <v/>
      </c>
      <c r="O453" s="3">
        <f>IF(ORIG!O453=0,"",ORIG!O453)</f>
        <v/>
      </c>
      <c r="P453" s="3">
        <f>IF(ORIG!P453=0,"",ORIG!P453)</f>
        <v/>
      </c>
      <c r="Q453" s="3">
        <f>IF(ORIG!Q453=0,"",ORIG!Q453)</f>
        <v/>
      </c>
      <c r="R453" s="3">
        <f>IF(ORIG!R453=0,"",ORIG!R453)</f>
        <v/>
      </c>
      <c r="S453" s="3">
        <f>IF(ORIG!S453=0,"",ORIG!S453)</f>
        <v/>
      </c>
      <c r="T453" s="3">
        <f>IF(ORIG!T453=0,"",ORIG!T453)</f>
        <v/>
      </c>
      <c r="U453" s="3">
        <f>IF(ORIG!U453=0,"",ORIG!U453)</f>
        <v/>
      </c>
      <c r="V453" s="9">
        <f>IF(ORIG!V453=0,"",ORIG!V453)</f>
        <v/>
      </c>
      <c r="W453" s="9">
        <f>IF(ORIG!W453=0,"",ORIG!W453)</f>
        <v/>
      </c>
      <c r="X453" s="9">
        <f>IF(ORIG!X453=0,"",ORIG!X453)</f>
        <v/>
      </c>
      <c r="Y453" s="9">
        <f>IF(ORIG!Y453=0,"",ORIG!Y453)</f>
        <v/>
      </c>
      <c r="Z453" s="3">
        <f>SUMPRODUCT($B453:$Y453,$B$2649:$Y$2649)</f>
        <v/>
      </c>
      <c r="AA453" s="3">
        <f>SUMPRODUCT($B453:$Y453,$B$2655:$Y$2655)</f>
        <v/>
      </c>
      <c r="AC453" s="1">
        <f>A453</f>
        <v/>
      </c>
      <c r="AD453">
        <f>IF(ISNUMBER(V453),V453*($AB$1/V$2635),"")</f>
        <v/>
      </c>
      <c r="AE453">
        <f>IF(ISNUMBER(Z453),Z453*($AB$1/Z$2635),"")</f>
        <v/>
      </c>
      <c r="AF453" s="25">
        <f>IF(ISNUMBER(AD453+AE453),AD453+AE453,"")</f>
        <v/>
      </c>
      <c r="AH453" s="1">
        <f>A453</f>
        <v/>
      </c>
      <c r="AI453">
        <f>IF(ISNUMBER((1+V453)*AI452),(1+V453)*AI452,AI452)</f>
        <v/>
      </c>
      <c r="AJ453">
        <f>IF(ISNUMBER((1+Z453)*AJ452),(1+Z453)*AJ452,AJ452)</f>
        <v/>
      </c>
    </row>
    <row r="454">
      <c r="A454" s="1" t="n">
        <v>42660</v>
      </c>
      <c r="B454" s="3">
        <f>IF(ORIG!B454=0,"",ORIG!B454)</f>
        <v/>
      </c>
      <c r="C454" s="3">
        <f>IF(ORIG!C454=0,"",ORIG!C454)</f>
        <v/>
      </c>
      <c r="D454" s="3">
        <f>IF(ORIG!D454=0,"",ORIG!D454)</f>
        <v/>
      </c>
      <c r="E454" s="3">
        <f>IF(ORIG!E454=0,"",ORIG!E454)</f>
        <v/>
      </c>
      <c r="F454" s="3">
        <f>IF(ORIG!F454=0,"",ORIG!F454)</f>
        <v/>
      </c>
      <c r="G454" s="3">
        <f>IF(ORIG!G454=0,"",ORIG!G454)</f>
        <v/>
      </c>
      <c r="H454" s="3">
        <f>IF(ORIG!H454=0,"",ORIG!H454)</f>
        <v/>
      </c>
      <c r="I454" s="3">
        <f>IF(ORIG!I454=0,"",ORIG!I454)</f>
        <v/>
      </c>
      <c r="J454" s="3">
        <f>IF(ORIG!J454=0,"",ORIG!J454)</f>
        <v/>
      </c>
      <c r="K454" s="3">
        <f>IF(ORIG!K454=0,"",ORIG!K454)</f>
        <v/>
      </c>
      <c r="L454" s="3">
        <f>IF(ORIG!L454=0,"",ORIG!L454)</f>
        <v/>
      </c>
      <c r="M454" s="3">
        <f>IF(ORIG!M454=0,"",ORIG!M454)</f>
        <v/>
      </c>
      <c r="N454" s="3">
        <f>IF(ORIG!N454=0,"",ORIG!N454)</f>
        <v/>
      </c>
      <c r="O454" s="3">
        <f>IF(ORIG!O454=0,"",ORIG!O454)</f>
        <v/>
      </c>
      <c r="P454" s="3">
        <f>IF(ORIG!P454=0,"",ORIG!P454)</f>
        <v/>
      </c>
      <c r="Q454" s="3">
        <f>IF(ORIG!Q454=0,"",ORIG!Q454)</f>
        <v/>
      </c>
      <c r="R454" s="3">
        <f>IF(ORIG!R454=0,"",ORIG!R454)</f>
        <v/>
      </c>
      <c r="S454" s="3">
        <f>IF(ORIG!S454=0,"",ORIG!S454)</f>
        <v/>
      </c>
      <c r="T454" s="3">
        <f>IF(ORIG!T454=0,"",ORIG!T454)</f>
        <v/>
      </c>
      <c r="U454" s="3">
        <f>IF(ORIG!U454=0,"",ORIG!U454)</f>
        <v/>
      </c>
      <c r="V454" s="9">
        <f>IF(ORIG!V454=0,"",ORIG!V454)</f>
        <v/>
      </c>
      <c r="W454" s="9">
        <f>IF(ORIG!W454=0,"",ORIG!W454)</f>
        <v/>
      </c>
      <c r="X454" s="9">
        <f>IF(ORIG!X454=0,"",ORIG!X454)</f>
        <v/>
      </c>
      <c r="Y454" s="9">
        <f>IF(ORIG!Y454=0,"",ORIG!Y454)</f>
        <v/>
      </c>
      <c r="Z454" s="3">
        <f>SUMPRODUCT($B454:$Y454,$B$2649:$Y$2649)</f>
        <v/>
      </c>
      <c r="AA454" s="3">
        <f>SUMPRODUCT($B454:$Y454,$B$2655:$Y$2655)</f>
        <v/>
      </c>
      <c r="AC454" s="1">
        <f>A454</f>
        <v/>
      </c>
      <c r="AD454">
        <f>IF(ISNUMBER(V454),V454*($AB$1/V$2635),"")</f>
        <v/>
      </c>
      <c r="AE454">
        <f>IF(ISNUMBER(Z454),Z454*($AB$1/Z$2635),"")</f>
        <v/>
      </c>
      <c r="AF454" s="25">
        <f>IF(ISNUMBER(AD454+AE454),AD454+AE454,"")</f>
        <v/>
      </c>
      <c r="AH454" s="1">
        <f>A454</f>
        <v/>
      </c>
      <c r="AI454">
        <f>IF(ISNUMBER((1+V454)*AI453),(1+V454)*AI453,AI453)</f>
        <v/>
      </c>
      <c r="AJ454">
        <f>IF(ISNUMBER((1+Z454)*AJ453),(1+Z454)*AJ453,AJ453)</f>
        <v/>
      </c>
    </row>
    <row r="455">
      <c r="A455" s="1" t="n">
        <v>42661</v>
      </c>
      <c r="B455" s="3">
        <f>IF(ORIG!B455=0,"",ORIG!B455)</f>
        <v/>
      </c>
      <c r="C455" s="3">
        <f>IF(ORIG!C455=0,"",ORIG!C455)</f>
        <v/>
      </c>
      <c r="D455" s="3">
        <f>IF(ORIG!D455=0,"",ORIG!D455)</f>
        <v/>
      </c>
      <c r="E455" s="3">
        <f>IF(ORIG!E455=0,"",ORIG!E455)</f>
        <v/>
      </c>
      <c r="F455" s="3">
        <f>IF(ORIG!F455=0,"",ORIG!F455)</f>
        <v/>
      </c>
      <c r="G455" s="3">
        <f>IF(ORIG!G455=0,"",ORIG!G455)</f>
        <v/>
      </c>
      <c r="H455" s="3">
        <f>IF(ORIG!H455=0,"",ORIG!H455)</f>
        <v/>
      </c>
      <c r="I455" s="3">
        <f>IF(ORIG!I455=0,"",ORIG!I455)</f>
        <v/>
      </c>
      <c r="J455" s="3">
        <f>IF(ORIG!J455=0,"",ORIG!J455)</f>
        <v/>
      </c>
      <c r="K455" s="3">
        <f>IF(ORIG!K455=0,"",ORIG!K455)</f>
        <v/>
      </c>
      <c r="L455" s="3">
        <f>IF(ORIG!L455=0,"",ORIG!L455)</f>
        <v/>
      </c>
      <c r="M455" s="3">
        <f>IF(ORIG!M455=0,"",ORIG!M455)</f>
        <v/>
      </c>
      <c r="N455" s="3">
        <f>IF(ORIG!N455=0,"",ORIG!N455)</f>
        <v/>
      </c>
      <c r="O455" s="3">
        <f>IF(ORIG!O455=0,"",ORIG!O455)</f>
        <v/>
      </c>
      <c r="P455" s="3">
        <f>IF(ORIG!P455=0,"",ORIG!P455)</f>
        <v/>
      </c>
      <c r="Q455" s="3">
        <f>IF(ORIG!Q455=0,"",ORIG!Q455)</f>
        <v/>
      </c>
      <c r="R455" s="3">
        <f>IF(ORIG!R455=0,"",ORIG!R455)</f>
        <v/>
      </c>
      <c r="S455" s="3">
        <f>IF(ORIG!S455=0,"",ORIG!S455)</f>
        <v/>
      </c>
      <c r="T455" s="3">
        <f>IF(ORIG!T455=0,"",ORIG!T455)</f>
        <v/>
      </c>
      <c r="U455" s="3">
        <f>IF(ORIG!U455=0,"",ORIG!U455)</f>
        <v/>
      </c>
      <c r="V455" s="9">
        <f>IF(ORIG!V455=0,"",ORIG!V455)</f>
        <v/>
      </c>
      <c r="W455" s="9">
        <f>IF(ORIG!W455=0,"",ORIG!W455)</f>
        <v/>
      </c>
      <c r="X455" s="9">
        <f>IF(ORIG!X455=0,"",ORIG!X455)</f>
        <v/>
      </c>
      <c r="Y455" s="9">
        <f>IF(ORIG!Y455=0,"",ORIG!Y455)</f>
        <v/>
      </c>
      <c r="Z455" s="3">
        <f>SUMPRODUCT($B455:$Y455,$B$2649:$Y$2649)</f>
        <v/>
      </c>
      <c r="AA455" s="3">
        <f>SUMPRODUCT($B455:$Y455,$B$2655:$Y$2655)</f>
        <v/>
      </c>
      <c r="AC455" s="1">
        <f>A455</f>
        <v/>
      </c>
      <c r="AD455">
        <f>IF(ISNUMBER(V455),V455*($AB$1/V$2635),"")</f>
        <v/>
      </c>
      <c r="AE455">
        <f>IF(ISNUMBER(Z455),Z455*($AB$1/Z$2635),"")</f>
        <v/>
      </c>
      <c r="AF455" s="25">
        <f>IF(ISNUMBER(AD455+AE455),AD455+AE455,"")</f>
        <v/>
      </c>
      <c r="AH455" s="1">
        <f>A455</f>
        <v/>
      </c>
      <c r="AI455">
        <f>IF(ISNUMBER((1+V455)*AI454),(1+V455)*AI454,AI454)</f>
        <v/>
      </c>
      <c r="AJ455">
        <f>IF(ISNUMBER((1+Z455)*AJ454),(1+Z455)*AJ454,AJ454)</f>
        <v/>
      </c>
    </row>
    <row r="456">
      <c r="A456" s="1" t="n">
        <v>42662</v>
      </c>
      <c r="B456" s="3">
        <f>IF(ORIG!B456=0,"",ORIG!B456)</f>
        <v/>
      </c>
      <c r="C456" s="3">
        <f>IF(ORIG!C456=0,"",ORIG!C456)</f>
        <v/>
      </c>
      <c r="D456" s="3">
        <f>IF(ORIG!D456=0,"",ORIG!D456)</f>
        <v/>
      </c>
      <c r="E456" s="3">
        <f>IF(ORIG!E456=0,"",ORIG!E456)</f>
        <v/>
      </c>
      <c r="F456" s="3">
        <f>IF(ORIG!F456=0,"",ORIG!F456)</f>
        <v/>
      </c>
      <c r="G456" s="3">
        <f>IF(ORIG!G456=0,"",ORIG!G456)</f>
        <v/>
      </c>
      <c r="H456" s="3">
        <f>IF(ORIG!H456=0,"",ORIG!H456)</f>
        <v/>
      </c>
      <c r="I456" s="3">
        <f>IF(ORIG!I456=0,"",ORIG!I456)</f>
        <v/>
      </c>
      <c r="J456" s="3">
        <f>IF(ORIG!J456=0,"",ORIG!J456)</f>
        <v/>
      </c>
      <c r="K456" s="3">
        <f>IF(ORIG!K456=0,"",ORIG!K456)</f>
        <v/>
      </c>
      <c r="L456" s="3">
        <f>IF(ORIG!L456=0,"",ORIG!L456)</f>
        <v/>
      </c>
      <c r="M456" s="3">
        <f>IF(ORIG!M456=0,"",ORIG!M456)</f>
        <v/>
      </c>
      <c r="N456" s="3">
        <f>IF(ORIG!N456=0,"",ORIG!N456)</f>
        <v/>
      </c>
      <c r="O456" s="3">
        <f>IF(ORIG!O456=0,"",ORIG!O456)</f>
        <v/>
      </c>
      <c r="P456" s="3">
        <f>IF(ORIG!P456=0,"",ORIG!P456)</f>
        <v/>
      </c>
      <c r="Q456" s="3">
        <f>IF(ORIG!Q456=0,"",ORIG!Q456)</f>
        <v/>
      </c>
      <c r="R456" s="3">
        <f>IF(ORIG!R456=0,"",ORIG!R456)</f>
        <v/>
      </c>
      <c r="S456" s="3">
        <f>IF(ORIG!S456=0,"",ORIG!S456)</f>
        <v/>
      </c>
      <c r="T456" s="3">
        <f>IF(ORIG!T456=0,"",ORIG!T456)</f>
        <v/>
      </c>
      <c r="U456" s="3">
        <f>IF(ORIG!U456=0,"",ORIG!U456)</f>
        <v/>
      </c>
      <c r="V456" s="9">
        <f>IF(ORIG!V456=0,"",ORIG!V456)</f>
        <v/>
      </c>
      <c r="W456" s="9">
        <f>IF(ORIG!W456=0,"",ORIG!W456)</f>
        <v/>
      </c>
      <c r="X456" s="9">
        <f>IF(ORIG!X456=0,"",ORIG!X456)</f>
        <v/>
      </c>
      <c r="Y456" s="9">
        <f>IF(ORIG!Y456=0,"",ORIG!Y456)</f>
        <v/>
      </c>
      <c r="Z456" s="3">
        <f>SUMPRODUCT($B456:$Y456,$B$2649:$Y$2649)</f>
        <v/>
      </c>
      <c r="AA456" s="3">
        <f>SUMPRODUCT($B456:$Y456,$B$2655:$Y$2655)</f>
        <v/>
      </c>
      <c r="AC456" s="1">
        <f>A456</f>
        <v/>
      </c>
      <c r="AD456">
        <f>IF(ISNUMBER(V456),V456*($AB$1/V$2635),"")</f>
        <v/>
      </c>
      <c r="AE456">
        <f>IF(ISNUMBER(Z456),Z456*($AB$1/Z$2635),"")</f>
        <v/>
      </c>
      <c r="AF456" s="25">
        <f>IF(ISNUMBER(AD456+AE456),AD456+AE456,"")</f>
        <v/>
      </c>
      <c r="AH456" s="1">
        <f>A456</f>
        <v/>
      </c>
      <c r="AI456">
        <f>IF(ISNUMBER((1+V456)*AI455),(1+V456)*AI455,AI455)</f>
        <v/>
      </c>
      <c r="AJ456">
        <f>IF(ISNUMBER((1+Z456)*AJ455),(1+Z456)*AJ455,AJ455)</f>
        <v/>
      </c>
    </row>
    <row r="457">
      <c r="A457" s="1" t="n">
        <v>42663</v>
      </c>
      <c r="B457" s="3">
        <f>IF(ORIG!B457=0,"",ORIG!B457)</f>
        <v/>
      </c>
      <c r="C457" s="3">
        <f>IF(ORIG!C457=0,"",ORIG!C457)</f>
        <v/>
      </c>
      <c r="D457" s="3">
        <f>IF(ORIG!D457=0,"",ORIG!D457)</f>
        <v/>
      </c>
      <c r="E457" s="3">
        <f>IF(ORIG!E457=0,"",ORIG!E457)</f>
        <v/>
      </c>
      <c r="F457" s="3">
        <f>IF(ORIG!F457=0,"",ORIG!F457)</f>
        <v/>
      </c>
      <c r="G457" s="3">
        <f>IF(ORIG!G457=0,"",ORIG!G457)</f>
        <v/>
      </c>
      <c r="H457" s="3">
        <f>IF(ORIG!H457=0,"",ORIG!H457)</f>
        <v/>
      </c>
      <c r="I457" s="3">
        <f>IF(ORIG!I457=0,"",ORIG!I457)</f>
        <v/>
      </c>
      <c r="J457" s="3">
        <f>IF(ORIG!J457=0,"",ORIG!J457)</f>
        <v/>
      </c>
      <c r="K457" s="3">
        <f>IF(ORIG!K457=0,"",ORIG!K457)</f>
        <v/>
      </c>
      <c r="L457" s="3">
        <f>IF(ORIG!L457=0,"",ORIG!L457)</f>
        <v/>
      </c>
      <c r="M457" s="3">
        <f>IF(ORIG!M457=0,"",ORIG!M457)</f>
        <v/>
      </c>
      <c r="N457" s="3">
        <f>IF(ORIG!N457=0,"",ORIG!N457)</f>
        <v/>
      </c>
      <c r="O457" s="3">
        <f>IF(ORIG!O457=0,"",ORIG!O457)</f>
        <v/>
      </c>
      <c r="P457" s="3">
        <f>IF(ORIG!P457=0,"",ORIG!P457)</f>
        <v/>
      </c>
      <c r="Q457" s="3">
        <f>IF(ORIG!Q457=0,"",ORIG!Q457)</f>
        <v/>
      </c>
      <c r="R457" s="3">
        <f>IF(ORIG!R457=0,"",ORIG!R457)</f>
        <v/>
      </c>
      <c r="S457" s="3">
        <f>IF(ORIG!S457=0,"",ORIG!S457)</f>
        <v/>
      </c>
      <c r="T457" s="3">
        <f>IF(ORIG!T457=0,"",ORIG!T457)</f>
        <v/>
      </c>
      <c r="U457" s="3">
        <f>IF(ORIG!U457=0,"",ORIG!U457)</f>
        <v/>
      </c>
      <c r="V457" s="9">
        <f>IF(ORIG!V457=0,"",ORIG!V457)</f>
        <v/>
      </c>
      <c r="W457" s="9">
        <f>IF(ORIG!W457=0,"",ORIG!W457)</f>
        <v/>
      </c>
      <c r="X457" s="9">
        <f>IF(ORIG!X457=0,"",ORIG!X457)</f>
        <v/>
      </c>
      <c r="Y457" s="9">
        <f>IF(ORIG!Y457=0,"",ORIG!Y457)</f>
        <v/>
      </c>
      <c r="Z457" s="3">
        <f>SUMPRODUCT($B457:$Y457,$B$2649:$Y$2649)</f>
        <v/>
      </c>
      <c r="AA457" s="3">
        <f>SUMPRODUCT($B457:$Y457,$B$2655:$Y$2655)</f>
        <v/>
      </c>
      <c r="AC457" s="1">
        <f>A457</f>
        <v/>
      </c>
      <c r="AD457">
        <f>IF(ISNUMBER(V457),V457*($AB$1/V$2635),"")</f>
        <v/>
      </c>
      <c r="AE457">
        <f>IF(ISNUMBER(Z457),Z457*($AB$1/Z$2635),"")</f>
        <v/>
      </c>
      <c r="AF457" s="25">
        <f>IF(ISNUMBER(AD457+AE457),AD457+AE457,"")</f>
        <v/>
      </c>
      <c r="AH457" s="1">
        <f>A457</f>
        <v/>
      </c>
      <c r="AI457">
        <f>IF(ISNUMBER((1+V457)*AI456),(1+V457)*AI456,AI456)</f>
        <v/>
      </c>
      <c r="AJ457">
        <f>IF(ISNUMBER((1+Z457)*AJ456),(1+Z457)*AJ456,AJ456)</f>
        <v/>
      </c>
    </row>
    <row r="458">
      <c r="A458" s="1" t="n">
        <v>42664</v>
      </c>
      <c r="B458" s="3">
        <f>IF(ORIG!B458=0,"",ORIG!B458)</f>
        <v/>
      </c>
      <c r="C458" s="3">
        <f>IF(ORIG!C458=0,"",ORIG!C458)</f>
        <v/>
      </c>
      <c r="D458" s="3">
        <f>IF(ORIG!D458=0,"",ORIG!D458)</f>
        <v/>
      </c>
      <c r="E458" s="3">
        <f>IF(ORIG!E458=0,"",ORIG!E458)</f>
        <v/>
      </c>
      <c r="F458" s="3">
        <f>IF(ORIG!F458=0,"",ORIG!F458)</f>
        <v/>
      </c>
      <c r="G458" s="3">
        <f>IF(ORIG!G458=0,"",ORIG!G458)</f>
        <v/>
      </c>
      <c r="H458" s="3">
        <f>IF(ORIG!H458=0,"",ORIG!H458)</f>
        <v/>
      </c>
      <c r="I458" s="3">
        <f>IF(ORIG!I458=0,"",ORIG!I458)</f>
        <v/>
      </c>
      <c r="J458" s="3">
        <f>IF(ORIG!J458=0,"",ORIG!J458)</f>
        <v/>
      </c>
      <c r="K458" s="3">
        <f>IF(ORIG!K458=0,"",ORIG!K458)</f>
        <v/>
      </c>
      <c r="L458" s="3">
        <f>IF(ORIG!L458=0,"",ORIG!L458)</f>
        <v/>
      </c>
      <c r="M458" s="3">
        <f>IF(ORIG!M458=0,"",ORIG!M458)</f>
        <v/>
      </c>
      <c r="N458" s="3">
        <f>IF(ORIG!N458=0,"",ORIG!N458)</f>
        <v/>
      </c>
      <c r="O458" s="3">
        <f>IF(ORIG!O458=0,"",ORIG!O458)</f>
        <v/>
      </c>
      <c r="P458" s="3">
        <f>IF(ORIG!P458=0,"",ORIG!P458)</f>
        <v/>
      </c>
      <c r="Q458" s="3">
        <f>IF(ORIG!Q458=0,"",ORIG!Q458)</f>
        <v/>
      </c>
      <c r="R458" s="3">
        <f>IF(ORIG!R458=0,"",ORIG!R458)</f>
        <v/>
      </c>
      <c r="S458" s="3">
        <f>IF(ORIG!S458=0,"",ORIG!S458)</f>
        <v/>
      </c>
      <c r="T458" s="3">
        <f>IF(ORIG!T458=0,"",ORIG!T458)</f>
        <v/>
      </c>
      <c r="U458" s="3">
        <f>IF(ORIG!U458=0,"",ORIG!U458)</f>
        <v/>
      </c>
      <c r="V458" s="9">
        <f>IF(ORIG!V458=0,"",ORIG!V458)</f>
        <v/>
      </c>
      <c r="W458" s="9">
        <f>IF(ORIG!W458=0,"",ORIG!W458)</f>
        <v/>
      </c>
      <c r="X458" s="9">
        <f>IF(ORIG!X458=0,"",ORIG!X458)</f>
        <v/>
      </c>
      <c r="Y458" s="9">
        <f>IF(ORIG!Y458=0,"",ORIG!Y458)</f>
        <v/>
      </c>
      <c r="Z458" s="3">
        <f>SUMPRODUCT($B458:$Y458,$B$2649:$Y$2649)</f>
        <v/>
      </c>
      <c r="AA458" s="3">
        <f>SUMPRODUCT($B458:$Y458,$B$2655:$Y$2655)</f>
        <v/>
      </c>
      <c r="AC458" s="1">
        <f>A458</f>
        <v/>
      </c>
      <c r="AD458">
        <f>IF(ISNUMBER(V458),V458*($AB$1/V$2635),"")</f>
        <v/>
      </c>
      <c r="AE458">
        <f>IF(ISNUMBER(Z458),Z458*($AB$1/Z$2635),"")</f>
        <v/>
      </c>
      <c r="AF458" s="25">
        <f>IF(ISNUMBER(AD458+AE458),AD458+AE458,"")</f>
        <v/>
      </c>
      <c r="AH458" s="1">
        <f>A458</f>
        <v/>
      </c>
      <c r="AI458">
        <f>IF(ISNUMBER((1+V458)*AI457),(1+V458)*AI457,AI457)</f>
        <v/>
      </c>
      <c r="AJ458">
        <f>IF(ISNUMBER((1+Z458)*AJ457),(1+Z458)*AJ457,AJ457)</f>
        <v/>
      </c>
    </row>
    <row r="459">
      <c r="A459" s="1" t="n">
        <v>42667</v>
      </c>
      <c r="B459" s="3">
        <f>IF(ORIG!B459=0,"",ORIG!B459)</f>
        <v/>
      </c>
      <c r="C459" s="3">
        <f>IF(ORIG!C459=0,"",ORIG!C459)</f>
        <v/>
      </c>
      <c r="D459" s="3">
        <f>IF(ORIG!D459=0,"",ORIG!D459)</f>
        <v/>
      </c>
      <c r="E459" s="3">
        <f>IF(ORIG!E459=0,"",ORIG!E459)</f>
        <v/>
      </c>
      <c r="F459" s="3">
        <f>IF(ORIG!F459=0,"",ORIG!F459)</f>
        <v/>
      </c>
      <c r="G459" s="3">
        <f>IF(ORIG!G459=0,"",ORIG!G459)</f>
        <v/>
      </c>
      <c r="H459" s="3">
        <f>IF(ORIG!H459=0,"",ORIG!H459)</f>
        <v/>
      </c>
      <c r="I459" s="3">
        <f>IF(ORIG!I459=0,"",ORIG!I459)</f>
        <v/>
      </c>
      <c r="J459" s="3">
        <f>IF(ORIG!J459=0,"",ORIG!J459)</f>
        <v/>
      </c>
      <c r="K459" s="3">
        <f>IF(ORIG!K459=0,"",ORIG!K459)</f>
        <v/>
      </c>
      <c r="L459" s="3">
        <f>IF(ORIG!L459=0,"",ORIG!L459)</f>
        <v/>
      </c>
      <c r="M459" s="3">
        <f>IF(ORIG!M459=0,"",ORIG!M459)</f>
        <v/>
      </c>
      <c r="N459" s="3">
        <f>IF(ORIG!N459=0,"",ORIG!N459)</f>
        <v/>
      </c>
      <c r="O459" s="3">
        <f>IF(ORIG!O459=0,"",ORIG!O459)</f>
        <v/>
      </c>
      <c r="P459" s="3">
        <f>IF(ORIG!P459=0,"",ORIG!P459)</f>
        <v/>
      </c>
      <c r="Q459" s="3">
        <f>IF(ORIG!Q459=0,"",ORIG!Q459)</f>
        <v/>
      </c>
      <c r="R459" s="3">
        <f>IF(ORIG!R459=0,"",ORIG!R459)</f>
        <v/>
      </c>
      <c r="S459" s="3">
        <f>IF(ORIG!S459=0,"",ORIG!S459)</f>
        <v/>
      </c>
      <c r="T459" s="3">
        <f>IF(ORIG!T459=0,"",ORIG!T459)</f>
        <v/>
      </c>
      <c r="U459" s="3">
        <f>IF(ORIG!U459=0,"",ORIG!U459)</f>
        <v/>
      </c>
      <c r="V459" s="9">
        <f>IF(ORIG!V459=0,"",ORIG!V459)</f>
        <v/>
      </c>
      <c r="W459" s="9">
        <f>IF(ORIG!W459=0,"",ORIG!W459)</f>
        <v/>
      </c>
      <c r="X459" s="9">
        <f>IF(ORIG!X459=0,"",ORIG!X459)</f>
        <v/>
      </c>
      <c r="Y459" s="9">
        <f>IF(ORIG!Y459=0,"",ORIG!Y459)</f>
        <v/>
      </c>
      <c r="Z459" s="3">
        <f>SUMPRODUCT($B459:$Y459,$B$2649:$Y$2649)</f>
        <v/>
      </c>
      <c r="AA459" s="3">
        <f>SUMPRODUCT($B459:$Y459,$B$2655:$Y$2655)</f>
        <v/>
      </c>
      <c r="AC459" s="1">
        <f>A459</f>
        <v/>
      </c>
      <c r="AD459">
        <f>IF(ISNUMBER(V459),V459*($AB$1/V$2635),"")</f>
        <v/>
      </c>
      <c r="AE459">
        <f>IF(ISNUMBER(Z459),Z459*($AB$1/Z$2635),"")</f>
        <v/>
      </c>
      <c r="AF459" s="25">
        <f>IF(ISNUMBER(AD459+AE459),AD459+AE459,"")</f>
        <v/>
      </c>
      <c r="AH459" s="1">
        <f>A459</f>
        <v/>
      </c>
      <c r="AI459">
        <f>IF(ISNUMBER((1+V459)*AI458),(1+V459)*AI458,AI458)</f>
        <v/>
      </c>
      <c r="AJ459">
        <f>IF(ISNUMBER((1+Z459)*AJ458),(1+Z459)*AJ458,AJ458)</f>
        <v/>
      </c>
    </row>
    <row r="460">
      <c r="A460" s="1" t="n">
        <v>42668</v>
      </c>
      <c r="B460" s="3">
        <f>IF(ORIG!B460=0,"",ORIG!B460)</f>
        <v/>
      </c>
      <c r="C460" s="3">
        <f>IF(ORIG!C460=0,"",ORIG!C460)</f>
        <v/>
      </c>
      <c r="D460" s="3">
        <f>IF(ORIG!D460=0,"",ORIG!D460)</f>
        <v/>
      </c>
      <c r="E460" s="3">
        <f>IF(ORIG!E460=0,"",ORIG!E460)</f>
        <v/>
      </c>
      <c r="F460" s="3">
        <f>IF(ORIG!F460=0,"",ORIG!F460)</f>
        <v/>
      </c>
      <c r="G460" s="3">
        <f>IF(ORIG!G460=0,"",ORIG!G460)</f>
        <v/>
      </c>
      <c r="H460" s="3">
        <f>IF(ORIG!H460=0,"",ORIG!H460)</f>
        <v/>
      </c>
      <c r="I460" s="3">
        <f>IF(ORIG!I460=0,"",ORIG!I460)</f>
        <v/>
      </c>
      <c r="J460" s="3">
        <f>IF(ORIG!J460=0,"",ORIG!J460)</f>
        <v/>
      </c>
      <c r="K460" s="3">
        <f>IF(ORIG!K460=0,"",ORIG!K460)</f>
        <v/>
      </c>
      <c r="L460" s="3">
        <f>IF(ORIG!L460=0,"",ORIG!L460)</f>
        <v/>
      </c>
      <c r="M460" s="3">
        <f>IF(ORIG!M460=0,"",ORIG!M460)</f>
        <v/>
      </c>
      <c r="N460" s="3">
        <f>IF(ORIG!N460=0,"",ORIG!N460)</f>
        <v/>
      </c>
      <c r="O460" s="3">
        <f>IF(ORIG!O460=0,"",ORIG!O460)</f>
        <v/>
      </c>
      <c r="P460" s="3">
        <f>IF(ORIG!P460=0,"",ORIG!P460)</f>
        <v/>
      </c>
      <c r="Q460" s="3">
        <f>IF(ORIG!Q460=0,"",ORIG!Q460)</f>
        <v/>
      </c>
      <c r="R460" s="3">
        <f>IF(ORIG!R460=0,"",ORIG!R460)</f>
        <v/>
      </c>
      <c r="S460" s="3">
        <f>IF(ORIG!S460=0,"",ORIG!S460)</f>
        <v/>
      </c>
      <c r="T460" s="3">
        <f>IF(ORIG!T460=0,"",ORIG!T460)</f>
        <v/>
      </c>
      <c r="U460" s="3">
        <f>IF(ORIG!U460=0,"",ORIG!U460)</f>
        <v/>
      </c>
      <c r="V460" s="9">
        <f>IF(ORIG!V460=0,"",ORIG!V460)</f>
        <v/>
      </c>
      <c r="W460" s="9">
        <f>IF(ORIG!W460=0,"",ORIG!W460)</f>
        <v/>
      </c>
      <c r="X460" s="9">
        <f>IF(ORIG!X460=0,"",ORIG!X460)</f>
        <v/>
      </c>
      <c r="Y460" s="9">
        <f>IF(ORIG!Y460=0,"",ORIG!Y460)</f>
        <v/>
      </c>
      <c r="Z460" s="3">
        <f>SUMPRODUCT($B460:$Y460,$B$2649:$Y$2649)</f>
        <v/>
      </c>
      <c r="AA460" s="3">
        <f>SUMPRODUCT($B460:$Y460,$B$2655:$Y$2655)</f>
        <v/>
      </c>
      <c r="AC460" s="1">
        <f>A460</f>
        <v/>
      </c>
      <c r="AD460">
        <f>IF(ISNUMBER(V460),V460*($AB$1/V$2635),"")</f>
        <v/>
      </c>
      <c r="AE460">
        <f>IF(ISNUMBER(Z460),Z460*($AB$1/Z$2635),"")</f>
        <v/>
      </c>
      <c r="AF460" s="25">
        <f>IF(ISNUMBER(AD460+AE460),AD460+AE460,"")</f>
        <v/>
      </c>
      <c r="AH460" s="1">
        <f>A460</f>
        <v/>
      </c>
      <c r="AI460">
        <f>IF(ISNUMBER((1+V460)*AI459),(1+V460)*AI459,AI459)</f>
        <v/>
      </c>
      <c r="AJ460">
        <f>IF(ISNUMBER((1+Z460)*AJ459),(1+Z460)*AJ459,AJ459)</f>
        <v/>
      </c>
    </row>
    <row r="461">
      <c r="A461" s="1" t="n">
        <v>42669</v>
      </c>
      <c r="B461" s="3">
        <f>IF(ORIG!B461=0,"",ORIG!B461)</f>
        <v/>
      </c>
      <c r="C461" s="3">
        <f>IF(ORIG!C461=0,"",ORIG!C461)</f>
        <v/>
      </c>
      <c r="D461" s="3">
        <f>IF(ORIG!D461=0,"",ORIG!D461)</f>
        <v/>
      </c>
      <c r="E461" s="3">
        <f>IF(ORIG!E461=0,"",ORIG!E461)</f>
        <v/>
      </c>
      <c r="F461" s="3">
        <f>IF(ORIG!F461=0,"",ORIG!F461)</f>
        <v/>
      </c>
      <c r="G461" s="3">
        <f>IF(ORIG!G461=0,"",ORIG!G461)</f>
        <v/>
      </c>
      <c r="H461" s="3">
        <f>IF(ORIG!H461=0,"",ORIG!H461)</f>
        <v/>
      </c>
      <c r="I461" s="3">
        <f>IF(ORIG!I461=0,"",ORIG!I461)</f>
        <v/>
      </c>
      <c r="J461" s="3">
        <f>IF(ORIG!J461=0,"",ORIG!J461)</f>
        <v/>
      </c>
      <c r="K461" s="3">
        <f>IF(ORIG!K461=0,"",ORIG!K461)</f>
        <v/>
      </c>
      <c r="L461" s="3">
        <f>IF(ORIG!L461=0,"",ORIG!L461)</f>
        <v/>
      </c>
      <c r="M461" s="3">
        <f>IF(ORIG!M461=0,"",ORIG!M461)</f>
        <v/>
      </c>
      <c r="N461" s="3">
        <f>IF(ORIG!N461=0,"",ORIG!N461)</f>
        <v/>
      </c>
      <c r="O461" s="3">
        <f>IF(ORIG!O461=0,"",ORIG!O461)</f>
        <v/>
      </c>
      <c r="P461" s="3">
        <f>IF(ORIG!P461=0,"",ORIG!P461)</f>
        <v/>
      </c>
      <c r="Q461" s="3">
        <f>IF(ORIG!Q461=0,"",ORIG!Q461)</f>
        <v/>
      </c>
      <c r="R461" s="3">
        <f>IF(ORIG!R461=0,"",ORIG!R461)</f>
        <v/>
      </c>
      <c r="S461" s="3">
        <f>IF(ORIG!S461=0,"",ORIG!S461)</f>
        <v/>
      </c>
      <c r="T461" s="3">
        <f>IF(ORIG!T461=0,"",ORIG!T461)</f>
        <v/>
      </c>
      <c r="U461" s="3">
        <f>IF(ORIG!U461=0,"",ORIG!U461)</f>
        <v/>
      </c>
      <c r="V461" s="9">
        <f>IF(ORIG!V461=0,"",ORIG!V461)</f>
        <v/>
      </c>
      <c r="W461" s="9">
        <f>IF(ORIG!W461=0,"",ORIG!W461)</f>
        <v/>
      </c>
      <c r="X461" s="9">
        <f>IF(ORIG!X461=0,"",ORIG!X461)</f>
        <v/>
      </c>
      <c r="Y461" s="9">
        <f>IF(ORIG!Y461=0,"",ORIG!Y461)</f>
        <v/>
      </c>
      <c r="Z461" s="3">
        <f>SUMPRODUCT($B461:$Y461,$B$2649:$Y$2649)</f>
        <v/>
      </c>
      <c r="AA461" s="3">
        <f>SUMPRODUCT($B461:$Y461,$B$2655:$Y$2655)</f>
        <v/>
      </c>
      <c r="AC461" s="1">
        <f>A461</f>
        <v/>
      </c>
      <c r="AD461">
        <f>IF(ISNUMBER(V461),V461*($AB$1/V$2635),"")</f>
        <v/>
      </c>
      <c r="AE461">
        <f>IF(ISNUMBER(Z461),Z461*($AB$1/Z$2635),"")</f>
        <v/>
      </c>
      <c r="AF461" s="25">
        <f>IF(ISNUMBER(AD461+AE461),AD461+AE461,"")</f>
        <v/>
      </c>
      <c r="AH461" s="1">
        <f>A461</f>
        <v/>
      </c>
      <c r="AI461">
        <f>IF(ISNUMBER((1+V461)*AI460),(1+V461)*AI460,AI460)</f>
        <v/>
      </c>
      <c r="AJ461">
        <f>IF(ISNUMBER((1+Z461)*AJ460),(1+Z461)*AJ460,AJ460)</f>
        <v/>
      </c>
    </row>
    <row r="462">
      <c r="A462" s="1" t="n">
        <v>42670</v>
      </c>
      <c r="B462" s="3">
        <f>IF(ORIG!B462=0,"",ORIG!B462)</f>
        <v/>
      </c>
      <c r="C462" s="3">
        <f>IF(ORIG!C462=0,"",ORIG!C462)</f>
        <v/>
      </c>
      <c r="D462" s="3">
        <f>IF(ORIG!D462=0,"",ORIG!D462)</f>
        <v/>
      </c>
      <c r="E462" s="3">
        <f>IF(ORIG!E462=0,"",ORIG!E462)</f>
        <v/>
      </c>
      <c r="F462" s="3">
        <f>IF(ORIG!F462=0,"",ORIG!F462)</f>
        <v/>
      </c>
      <c r="G462" s="3">
        <f>IF(ORIG!G462=0,"",ORIG!G462)</f>
        <v/>
      </c>
      <c r="H462" s="3">
        <f>IF(ORIG!H462=0,"",ORIG!H462)</f>
        <v/>
      </c>
      <c r="I462" s="3">
        <f>IF(ORIG!I462=0,"",ORIG!I462)</f>
        <v/>
      </c>
      <c r="J462" s="3">
        <f>IF(ORIG!J462=0,"",ORIG!J462)</f>
        <v/>
      </c>
      <c r="K462" s="3">
        <f>IF(ORIG!K462=0,"",ORIG!K462)</f>
        <v/>
      </c>
      <c r="L462" s="3">
        <f>IF(ORIG!L462=0,"",ORIG!L462)</f>
        <v/>
      </c>
      <c r="M462" s="3">
        <f>IF(ORIG!M462=0,"",ORIG!M462)</f>
        <v/>
      </c>
      <c r="N462" s="3">
        <f>IF(ORIG!N462=0,"",ORIG!N462)</f>
        <v/>
      </c>
      <c r="O462" s="3">
        <f>IF(ORIG!O462=0,"",ORIG!O462)</f>
        <v/>
      </c>
      <c r="P462" s="3">
        <f>IF(ORIG!P462=0,"",ORIG!P462)</f>
        <v/>
      </c>
      <c r="Q462" s="3">
        <f>IF(ORIG!Q462=0,"",ORIG!Q462)</f>
        <v/>
      </c>
      <c r="R462" s="3">
        <f>IF(ORIG!R462=0,"",ORIG!R462)</f>
        <v/>
      </c>
      <c r="S462" s="3">
        <f>IF(ORIG!S462=0,"",ORIG!S462)</f>
        <v/>
      </c>
      <c r="T462" s="3">
        <f>IF(ORIG!T462=0,"",ORIG!T462)</f>
        <v/>
      </c>
      <c r="U462" s="3">
        <f>IF(ORIG!U462=0,"",ORIG!U462)</f>
        <v/>
      </c>
      <c r="V462" s="9">
        <f>IF(ORIG!V462=0,"",ORIG!V462)</f>
        <v/>
      </c>
      <c r="W462" s="9">
        <f>IF(ORIG!W462=0,"",ORIG!W462)</f>
        <v/>
      </c>
      <c r="X462" s="9">
        <f>IF(ORIG!X462=0,"",ORIG!X462)</f>
        <v/>
      </c>
      <c r="Y462" s="9">
        <f>IF(ORIG!Y462=0,"",ORIG!Y462)</f>
        <v/>
      </c>
      <c r="Z462" s="3">
        <f>SUMPRODUCT($B462:$Y462,$B$2649:$Y$2649)</f>
        <v/>
      </c>
      <c r="AA462" s="3">
        <f>SUMPRODUCT($B462:$Y462,$B$2655:$Y$2655)</f>
        <v/>
      </c>
      <c r="AC462" s="1">
        <f>A462</f>
        <v/>
      </c>
      <c r="AD462">
        <f>IF(ISNUMBER(V462),V462*($AB$1/V$2635),"")</f>
        <v/>
      </c>
      <c r="AE462">
        <f>IF(ISNUMBER(Z462),Z462*($AB$1/Z$2635),"")</f>
        <v/>
      </c>
      <c r="AF462" s="25">
        <f>IF(ISNUMBER(AD462+AE462),AD462+AE462,"")</f>
        <v/>
      </c>
      <c r="AH462" s="1">
        <f>A462</f>
        <v/>
      </c>
      <c r="AI462">
        <f>IF(ISNUMBER((1+V462)*AI461),(1+V462)*AI461,AI461)</f>
        <v/>
      </c>
      <c r="AJ462">
        <f>IF(ISNUMBER((1+Z462)*AJ461),(1+Z462)*AJ461,AJ461)</f>
        <v/>
      </c>
    </row>
    <row r="463">
      <c r="A463" s="1" t="n">
        <v>42671</v>
      </c>
      <c r="B463" s="3">
        <f>IF(ORIG!B463=0,"",ORIG!B463)</f>
        <v/>
      </c>
      <c r="C463" s="3">
        <f>IF(ORIG!C463=0,"",ORIG!C463)</f>
        <v/>
      </c>
      <c r="D463" s="3">
        <f>IF(ORIG!D463=0,"",ORIG!D463)</f>
        <v/>
      </c>
      <c r="E463" s="3">
        <f>IF(ORIG!E463=0,"",ORIG!E463)</f>
        <v/>
      </c>
      <c r="F463" s="3">
        <f>IF(ORIG!F463=0,"",ORIG!F463)</f>
        <v/>
      </c>
      <c r="G463" s="3">
        <f>IF(ORIG!G463=0,"",ORIG!G463)</f>
        <v/>
      </c>
      <c r="H463" s="3">
        <f>IF(ORIG!H463=0,"",ORIG!H463)</f>
        <v/>
      </c>
      <c r="I463" s="3">
        <f>IF(ORIG!I463=0,"",ORIG!I463)</f>
        <v/>
      </c>
      <c r="J463" s="3">
        <f>IF(ORIG!J463=0,"",ORIG!J463)</f>
        <v/>
      </c>
      <c r="K463" s="3">
        <f>IF(ORIG!K463=0,"",ORIG!K463)</f>
        <v/>
      </c>
      <c r="L463" s="3">
        <f>IF(ORIG!L463=0,"",ORIG!L463)</f>
        <v/>
      </c>
      <c r="M463" s="3">
        <f>IF(ORIG!M463=0,"",ORIG!M463)</f>
        <v/>
      </c>
      <c r="N463" s="3">
        <f>IF(ORIG!N463=0,"",ORIG!N463)</f>
        <v/>
      </c>
      <c r="O463" s="3">
        <f>IF(ORIG!O463=0,"",ORIG!O463)</f>
        <v/>
      </c>
      <c r="P463" s="3">
        <f>IF(ORIG!P463=0,"",ORIG!P463)</f>
        <v/>
      </c>
      <c r="Q463" s="3">
        <f>IF(ORIG!Q463=0,"",ORIG!Q463)</f>
        <v/>
      </c>
      <c r="R463" s="3">
        <f>IF(ORIG!R463=0,"",ORIG!R463)</f>
        <v/>
      </c>
      <c r="S463" s="3">
        <f>IF(ORIG!S463=0,"",ORIG!S463)</f>
        <v/>
      </c>
      <c r="T463" s="3">
        <f>IF(ORIG!T463=0,"",ORIG!T463)</f>
        <v/>
      </c>
      <c r="U463" s="3">
        <f>IF(ORIG!U463=0,"",ORIG!U463)</f>
        <v/>
      </c>
      <c r="V463" s="9">
        <f>IF(ORIG!V463=0,"",ORIG!V463)</f>
        <v/>
      </c>
      <c r="W463" s="9">
        <f>IF(ORIG!W463=0,"",ORIG!W463)</f>
        <v/>
      </c>
      <c r="X463" s="9">
        <f>IF(ORIG!X463=0,"",ORIG!X463)</f>
        <v/>
      </c>
      <c r="Y463" s="9">
        <f>IF(ORIG!Y463=0,"",ORIG!Y463)</f>
        <v/>
      </c>
      <c r="Z463" s="3">
        <f>SUMPRODUCT($B463:$Y463,$B$2649:$Y$2649)</f>
        <v/>
      </c>
      <c r="AA463" s="3">
        <f>SUMPRODUCT($B463:$Y463,$B$2655:$Y$2655)</f>
        <v/>
      </c>
      <c r="AC463" s="1">
        <f>A463</f>
        <v/>
      </c>
      <c r="AD463">
        <f>IF(ISNUMBER(V463),V463*($AB$1/V$2635),"")</f>
        <v/>
      </c>
      <c r="AE463">
        <f>IF(ISNUMBER(Z463),Z463*($AB$1/Z$2635),"")</f>
        <v/>
      </c>
      <c r="AF463" s="25">
        <f>IF(ISNUMBER(AD463+AE463),AD463+AE463,"")</f>
        <v/>
      </c>
      <c r="AH463" s="1">
        <f>A463</f>
        <v/>
      </c>
      <c r="AI463">
        <f>IF(ISNUMBER((1+V463)*AI462),(1+V463)*AI462,AI462)</f>
        <v/>
      </c>
      <c r="AJ463">
        <f>IF(ISNUMBER((1+Z463)*AJ462),(1+Z463)*AJ462,AJ462)</f>
        <v/>
      </c>
    </row>
    <row r="464">
      <c r="A464" s="1" t="n">
        <v>42674</v>
      </c>
      <c r="B464" s="3">
        <f>IF(ORIG!B464=0,"",ORIG!B464)</f>
        <v/>
      </c>
      <c r="C464" s="3">
        <f>IF(ORIG!C464=0,"",ORIG!C464)</f>
        <v/>
      </c>
      <c r="D464" s="3">
        <f>IF(ORIG!D464=0,"",ORIG!D464)</f>
        <v/>
      </c>
      <c r="E464" s="3">
        <f>IF(ORIG!E464=0,"",ORIG!E464)</f>
        <v/>
      </c>
      <c r="F464" s="3">
        <f>IF(ORIG!F464=0,"",ORIG!F464)</f>
        <v/>
      </c>
      <c r="G464" s="3">
        <f>IF(ORIG!G464=0,"",ORIG!G464)</f>
        <v/>
      </c>
      <c r="H464" s="3">
        <f>IF(ORIG!H464=0,"",ORIG!H464)</f>
        <v/>
      </c>
      <c r="I464" s="3">
        <f>IF(ORIG!I464=0,"",ORIG!I464)</f>
        <v/>
      </c>
      <c r="J464" s="3">
        <f>IF(ORIG!J464=0,"",ORIG!J464)</f>
        <v/>
      </c>
      <c r="K464" s="3">
        <f>IF(ORIG!K464=0,"",ORIG!K464)</f>
        <v/>
      </c>
      <c r="L464" s="3">
        <f>IF(ORIG!L464=0,"",ORIG!L464)</f>
        <v/>
      </c>
      <c r="M464" s="3">
        <f>IF(ORIG!M464=0,"",ORIG!M464)</f>
        <v/>
      </c>
      <c r="N464" s="3">
        <f>IF(ORIG!N464=0,"",ORIG!N464)</f>
        <v/>
      </c>
      <c r="O464" s="3">
        <f>IF(ORIG!O464=0,"",ORIG!O464)</f>
        <v/>
      </c>
      <c r="P464" s="3">
        <f>IF(ORIG!P464=0,"",ORIG!P464)</f>
        <v/>
      </c>
      <c r="Q464" s="3">
        <f>IF(ORIG!Q464=0,"",ORIG!Q464)</f>
        <v/>
      </c>
      <c r="R464" s="3">
        <f>IF(ORIG!R464=0,"",ORIG!R464)</f>
        <v/>
      </c>
      <c r="S464" s="3">
        <f>IF(ORIG!S464=0,"",ORIG!S464)</f>
        <v/>
      </c>
      <c r="T464" s="3">
        <f>IF(ORIG!T464=0,"",ORIG!T464)</f>
        <v/>
      </c>
      <c r="U464" s="3">
        <f>IF(ORIG!U464=0,"",ORIG!U464)</f>
        <v/>
      </c>
      <c r="V464" s="9">
        <f>IF(ORIG!V464=0,"",ORIG!V464)</f>
        <v/>
      </c>
      <c r="W464" s="9">
        <f>IF(ORIG!W464=0,"",ORIG!W464)</f>
        <v/>
      </c>
      <c r="X464" s="9">
        <f>IF(ORIG!X464=0,"",ORIG!X464)</f>
        <v/>
      </c>
      <c r="Y464" s="9">
        <f>IF(ORIG!Y464=0,"",ORIG!Y464)</f>
        <v/>
      </c>
      <c r="Z464" s="3">
        <f>SUMPRODUCT($B464:$Y464,$B$2649:$Y$2649)</f>
        <v/>
      </c>
      <c r="AA464" s="3">
        <f>SUMPRODUCT($B464:$Y464,$B$2655:$Y$2655)</f>
        <v/>
      </c>
      <c r="AC464" s="1">
        <f>A464</f>
        <v/>
      </c>
      <c r="AD464">
        <f>IF(ISNUMBER(V464),V464*($AB$1/V$2635),"")</f>
        <v/>
      </c>
      <c r="AE464">
        <f>IF(ISNUMBER(Z464),Z464*($AB$1/Z$2635),"")</f>
        <v/>
      </c>
      <c r="AF464" s="25">
        <f>IF(ISNUMBER(AD464+AE464),AD464+AE464,"")</f>
        <v/>
      </c>
      <c r="AH464" s="1">
        <f>A464</f>
        <v/>
      </c>
      <c r="AI464">
        <f>IF(ISNUMBER((1+V464)*AI463),(1+V464)*AI463,AI463)</f>
        <v/>
      </c>
      <c r="AJ464">
        <f>IF(ISNUMBER((1+Z464)*AJ463),(1+Z464)*AJ463,AJ463)</f>
        <v/>
      </c>
    </row>
    <row r="465">
      <c r="A465" s="1" t="n">
        <v>42675</v>
      </c>
      <c r="B465" s="3">
        <f>IF(ORIG!B465=0,"",ORIG!B465)</f>
        <v/>
      </c>
      <c r="C465" s="3">
        <f>IF(ORIG!C465=0,"",ORIG!C465)</f>
        <v/>
      </c>
      <c r="D465" s="3">
        <f>IF(ORIG!D465=0,"",ORIG!D465)</f>
        <v/>
      </c>
      <c r="E465" s="3">
        <f>IF(ORIG!E465=0,"",ORIG!E465)</f>
        <v/>
      </c>
      <c r="F465" s="3">
        <f>IF(ORIG!F465=0,"",ORIG!F465)</f>
        <v/>
      </c>
      <c r="G465" s="3">
        <f>IF(ORIG!G465=0,"",ORIG!G465)</f>
        <v/>
      </c>
      <c r="H465" s="3">
        <f>IF(ORIG!H465=0,"",ORIG!H465)</f>
        <v/>
      </c>
      <c r="I465" s="3">
        <f>IF(ORIG!I465=0,"",ORIG!I465)</f>
        <v/>
      </c>
      <c r="J465" s="3">
        <f>IF(ORIG!J465=0,"",ORIG!J465)</f>
        <v/>
      </c>
      <c r="K465" s="3">
        <f>IF(ORIG!K465=0,"",ORIG!K465)</f>
        <v/>
      </c>
      <c r="L465" s="3">
        <f>IF(ORIG!L465=0,"",ORIG!L465)</f>
        <v/>
      </c>
      <c r="M465" s="3">
        <f>IF(ORIG!M465=0,"",ORIG!M465)</f>
        <v/>
      </c>
      <c r="N465" s="3">
        <f>IF(ORIG!N465=0,"",ORIG!N465)</f>
        <v/>
      </c>
      <c r="O465" s="3">
        <f>IF(ORIG!O465=0,"",ORIG!O465)</f>
        <v/>
      </c>
      <c r="P465" s="3">
        <f>IF(ORIG!P465=0,"",ORIG!P465)</f>
        <v/>
      </c>
      <c r="Q465" s="3">
        <f>IF(ORIG!Q465=0,"",ORIG!Q465)</f>
        <v/>
      </c>
      <c r="R465" s="3">
        <f>IF(ORIG!R465=0,"",ORIG!R465)</f>
        <v/>
      </c>
      <c r="S465" s="3">
        <f>IF(ORIG!S465=0,"",ORIG!S465)</f>
        <v/>
      </c>
      <c r="T465" s="3">
        <f>IF(ORIG!T465=0,"",ORIG!T465)</f>
        <v/>
      </c>
      <c r="U465" s="3">
        <f>IF(ORIG!U465=0,"",ORIG!U465)</f>
        <v/>
      </c>
      <c r="V465" s="9">
        <f>IF(ORIG!V465=0,"",ORIG!V465)</f>
        <v/>
      </c>
      <c r="W465" s="9">
        <f>IF(ORIG!W465=0,"",ORIG!W465)</f>
        <v/>
      </c>
      <c r="X465" s="9">
        <f>IF(ORIG!X465=0,"",ORIG!X465)</f>
        <v/>
      </c>
      <c r="Y465" s="9">
        <f>IF(ORIG!Y465=0,"",ORIG!Y465)</f>
        <v/>
      </c>
      <c r="Z465" s="3">
        <f>SUMPRODUCT($B465:$Y465,$B$2649:$Y$2649)</f>
        <v/>
      </c>
      <c r="AA465" s="3">
        <f>SUMPRODUCT($B465:$Y465,$B$2655:$Y$2655)</f>
        <v/>
      </c>
      <c r="AC465" s="1">
        <f>A465</f>
        <v/>
      </c>
      <c r="AD465">
        <f>IF(ISNUMBER(V465),V465*($AB$1/V$2635),"")</f>
        <v/>
      </c>
      <c r="AE465">
        <f>IF(ISNUMBER(Z465),Z465*($AB$1/Z$2635),"")</f>
        <v/>
      </c>
      <c r="AF465" s="25">
        <f>IF(ISNUMBER(AD465+AE465),AD465+AE465,"")</f>
        <v/>
      </c>
      <c r="AH465" s="1">
        <f>A465</f>
        <v/>
      </c>
      <c r="AI465">
        <f>IF(ISNUMBER((1+V465)*AI464),(1+V465)*AI464,AI464)</f>
        <v/>
      </c>
      <c r="AJ465">
        <f>IF(ISNUMBER((1+Z465)*AJ464),(1+Z465)*AJ464,AJ464)</f>
        <v/>
      </c>
    </row>
    <row r="466">
      <c r="A466" s="1" t="n">
        <v>42676</v>
      </c>
      <c r="B466" s="3">
        <f>IF(ORIG!B466=0,"",ORIG!B466)</f>
        <v/>
      </c>
      <c r="C466" s="3">
        <f>IF(ORIG!C466=0,"",ORIG!C466)</f>
        <v/>
      </c>
      <c r="D466" s="3">
        <f>IF(ORIG!D466=0,"",ORIG!D466)</f>
        <v/>
      </c>
      <c r="E466" s="3">
        <f>IF(ORIG!E466=0,"",ORIG!E466)</f>
        <v/>
      </c>
      <c r="F466" s="3">
        <f>IF(ORIG!F466=0,"",ORIG!F466)</f>
        <v/>
      </c>
      <c r="G466" s="3">
        <f>IF(ORIG!G466=0,"",ORIG!G466)</f>
        <v/>
      </c>
      <c r="H466" s="3">
        <f>IF(ORIG!H466=0,"",ORIG!H466)</f>
        <v/>
      </c>
      <c r="I466" s="3">
        <f>IF(ORIG!I466=0,"",ORIG!I466)</f>
        <v/>
      </c>
      <c r="J466" s="3">
        <f>IF(ORIG!J466=0,"",ORIG!J466)</f>
        <v/>
      </c>
      <c r="K466" s="3">
        <f>IF(ORIG!K466=0,"",ORIG!K466)</f>
        <v/>
      </c>
      <c r="L466" s="3">
        <f>IF(ORIG!L466=0,"",ORIG!L466)</f>
        <v/>
      </c>
      <c r="M466" s="3">
        <f>IF(ORIG!M466=0,"",ORIG!M466)</f>
        <v/>
      </c>
      <c r="N466" s="3">
        <f>IF(ORIG!N466=0,"",ORIG!N466)</f>
        <v/>
      </c>
      <c r="O466" s="3">
        <f>IF(ORIG!O466=0,"",ORIG!O466)</f>
        <v/>
      </c>
      <c r="P466" s="3">
        <f>IF(ORIG!P466=0,"",ORIG!P466)</f>
        <v/>
      </c>
      <c r="Q466" s="3">
        <f>IF(ORIG!Q466=0,"",ORIG!Q466)</f>
        <v/>
      </c>
      <c r="R466" s="3">
        <f>IF(ORIG!R466=0,"",ORIG!R466)</f>
        <v/>
      </c>
      <c r="S466" s="3">
        <f>IF(ORIG!S466=0,"",ORIG!S466)</f>
        <v/>
      </c>
      <c r="T466" s="3">
        <f>IF(ORIG!T466=0,"",ORIG!T466)</f>
        <v/>
      </c>
      <c r="U466" s="3">
        <f>IF(ORIG!U466=0,"",ORIG!U466)</f>
        <v/>
      </c>
      <c r="V466" s="9">
        <f>IF(ORIG!V466=0,"",ORIG!V466)</f>
        <v/>
      </c>
      <c r="W466" s="9">
        <f>IF(ORIG!W466=0,"",ORIG!W466)</f>
        <v/>
      </c>
      <c r="X466" s="9">
        <f>IF(ORIG!X466=0,"",ORIG!X466)</f>
        <v/>
      </c>
      <c r="Y466" s="9">
        <f>IF(ORIG!Y466=0,"",ORIG!Y466)</f>
        <v/>
      </c>
      <c r="Z466" s="3">
        <f>SUMPRODUCT($B466:$Y466,$B$2649:$Y$2649)</f>
        <v/>
      </c>
      <c r="AA466" s="3">
        <f>SUMPRODUCT($B466:$Y466,$B$2655:$Y$2655)</f>
        <v/>
      </c>
      <c r="AC466" s="1">
        <f>A466</f>
        <v/>
      </c>
      <c r="AD466">
        <f>IF(ISNUMBER(V466),V466*($AB$1/V$2635),"")</f>
        <v/>
      </c>
      <c r="AE466">
        <f>IF(ISNUMBER(Z466),Z466*($AB$1/Z$2635),"")</f>
        <v/>
      </c>
      <c r="AF466" s="25">
        <f>IF(ISNUMBER(AD466+AE466),AD466+AE466,"")</f>
        <v/>
      </c>
      <c r="AH466" s="1">
        <f>A466</f>
        <v/>
      </c>
      <c r="AI466">
        <f>IF(ISNUMBER((1+V466)*AI465),(1+V466)*AI465,AI465)</f>
        <v/>
      </c>
      <c r="AJ466">
        <f>IF(ISNUMBER((1+Z466)*AJ465),(1+Z466)*AJ465,AJ465)</f>
        <v/>
      </c>
    </row>
    <row r="467">
      <c r="A467" s="1" t="n">
        <v>42677</v>
      </c>
      <c r="B467" s="3">
        <f>IF(ORIG!B467=0,"",ORIG!B467)</f>
        <v/>
      </c>
      <c r="C467" s="3">
        <f>IF(ORIG!C467=0,"",ORIG!C467)</f>
        <v/>
      </c>
      <c r="D467" s="3">
        <f>IF(ORIG!D467=0,"",ORIG!D467)</f>
        <v/>
      </c>
      <c r="E467" s="3">
        <f>IF(ORIG!E467=0,"",ORIG!E467)</f>
        <v/>
      </c>
      <c r="F467" s="3">
        <f>IF(ORIG!F467=0,"",ORIG!F467)</f>
        <v/>
      </c>
      <c r="G467" s="3">
        <f>IF(ORIG!G467=0,"",ORIG!G467)</f>
        <v/>
      </c>
      <c r="H467" s="3">
        <f>IF(ORIG!H467=0,"",ORIG!H467)</f>
        <v/>
      </c>
      <c r="I467" s="3">
        <f>IF(ORIG!I467=0,"",ORIG!I467)</f>
        <v/>
      </c>
      <c r="J467" s="3">
        <f>IF(ORIG!J467=0,"",ORIG!J467)</f>
        <v/>
      </c>
      <c r="K467" s="3">
        <f>IF(ORIG!K467=0,"",ORIG!K467)</f>
        <v/>
      </c>
      <c r="L467" s="3">
        <f>IF(ORIG!L467=0,"",ORIG!L467)</f>
        <v/>
      </c>
      <c r="M467" s="3">
        <f>IF(ORIG!M467=0,"",ORIG!M467)</f>
        <v/>
      </c>
      <c r="N467" s="3">
        <f>IF(ORIG!N467=0,"",ORIG!N467)</f>
        <v/>
      </c>
      <c r="O467" s="3">
        <f>IF(ORIG!O467=0,"",ORIG!O467)</f>
        <v/>
      </c>
      <c r="P467" s="3">
        <f>IF(ORIG!P467=0,"",ORIG!P467)</f>
        <v/>
      </c>
      <c r="Q467" s="3">
        <f>IF(ORIG!Q467=0,"",ORIG!Q467)</f>
        <v/>
      </c>
      <c r="R467" s="3">
        <f>IF(ORIG!R467=0,"",ORIG!R467)</f>
        <v/>
      </c>
      <c r="S467" s="3">
        <f>IF(ORIG!S467=0,"",ORIG!S467)</f>
        <v/>
      </c>
      <c r="T467" s="3">
        <f>IF(ORIG!T467=0,"",ORIG!T467)</f>
        <v/>
      </c>
      <c r="U467" s="3">
        <f>IF(ORIG!U467=0,"",ORIG!U467)</f>
        <v/>
      </c>
      <c r="V467" s="9">
        <f>IF(ORIG!V467=0,"",ORIG!V467)</f>
        <v/>
      </c>
      <c r="W467" s="9">
        <f>IF(ORIG!W467=0,"",ORIG!W467)</f>
        <v/>
      </c>
      <c r="X467" s="9">
        <f>IF(ORIG!X467=0,"",ORIG!X467)</f>
        <v/>
      </c>
      <c r="Y467" s="9">
        <f>IF(ORIG!Y467=0,"",ORIG!Y467)</f>
        <v/>
      </c>
      <c r="Z467" s="3">
        <f>SUMPRODUCT($B467:$Y467,$B$2649:$Y$2649)</f>
        <v/>
      </c>
      <c r="AA467" s="3">
        <f>SUMPRODUCT($B467:$Y467,$B$2655:$Y$2655)</f>
        <v/>
      </c>
      <c r="AC467" s="1">
        <f>A467</f>
        <v/>
      </c>
      <c r="AD467">
        <f>IF(ISNUMBER(V467),V467*($AB$1/V$2635),"")</f>
        <v/>
      </c>
      <c r="AE467">
        <f>IF(ISNUMBER(Z467),Z467*($AB$1/Z$2635),"")</f>
        <v/>
      </c>
      <c r="AF467" s="25">
        <f>IF(ISNUMBER(AD467+AE467),AD467+AE467,"")</f>
        <v/>
      </c>
      <c r="AH467" s="1">
        <f>A467</f>
        <v/>
      </c>
      <c r="AI467">
        <f>IF(ISNUMBER((1+V467)*AI466),(1+V467)*AI466,AI466)</f>
        <v/>
      </c>
      <c r="AJ467">
        <f>IF(ISNUMBER((1+Z467)*AJ466),(1+Z467)*AJ466,AJ466)</f>
        <v/>
      </c>
    </row>
    <row r="468">
      <c r="A468" s="1" t="n">
        <v>42678</v>
      </c>
      <c r="B468" s="3">
        <f>IF(ORIG!B468=0,"",ORIG!B468)</f>
        <v/>
      </c>
      <c r="C468" s="3">
        <f>IF(ORIG!C468=0,"",ORIG!C468)</f>
        <v/>
      </c>
      <c r="D468" s="3">
        <f>IF(ORIG!D468=0,"",ORIG!D468)</f>
        <v/>
      </c>
      <c r="E468" s="3">
        <f>IF(ORIG!E468=0,"",ORIG!E468)</f>
        <v/>
      </c>
      <c r="F468" s="3">
        <f>IF(ORIG!F468=0,"",ORIG!F468)</f>
        <v/>
      </c>
      <c r="G468" s="3">
        <f>IF(ORIG!G468=0,"",ORIG!G468)</f>
        <v/>
      </c>
      <c r="H468" s="3">
        <f>IF(ORIG!H468=0,"",ORIG!H468)</f>
        <v/>
      </c>
      <c r="I468" s="3">
        <f>IF(ORIG!I468=0,"",ORIG!I468)</f>
        <v/>
      </c>
      <c r="J468" s="3">
        <f>IF(ORIG!J468=0,"",ORIG!J468)</f>
        <v/>
      </c>
      <c r="K468" s="3">
        <f>IF(ORIG!K468=0,"",ORIG!K468)</f>
        <v/>
      </c>
      <c r="L468" s="3">
        <f>IF(ORIG!L468=0,"",ORIG!L468)</f>
        <v/>
      </c>
      <c r="M468" s="3">
        <f>IF(ORIG!M468=0,"",ORIG!M468)</f>
        <v/>
      </c>
      <c r="N468" s="3">
        <f>IF(ORIG!N468=0,"",ORIG!N468)</f>
        <v/>
      </c>
      <c r="O468" s="3">
        <f>IF(ORIG!O468=0,"",ORIG!O468)</f>
        <v/>
      </c>
      <c r="P468" s="3">
        <f>IF(ORIG!P468=0,"",ORIG!P468)</f>
        <v/>
      </c>
      <c r="Q468" s="3">
        <f>IF(ORIG!Q468=0,"",ORIG!Q468)</f>
        <v/>
      </c>
      <c r="R468" s="3">
        <f>IF(ORIG!R468=0,"",ORIG!R468)</f>
        <v/>
      </c>
      <c r="S468" s="3">
        <f>IF(ORIG!S468=0,"",ORIG!S468)</f>
        <v/>
      </c>
      <c r="T468" s="3">
        <f>IF(ORIG!T468=0,"",ORIG!T468)</f>
        <v/>
      </c>
      <c r="U468" s="3">
        <f>IF(ORIG!U468=0,"",ORIG!U468)</f>
        <v/>
      </c>
      <c r="V468" s="9">
        <f>IF(ORIG!V468=0,"",ORIG!V468)</f>
        <v/>
      </c>
      <c r="W468" s="9">
        <f>IF(ORIG!W468=0,"",ORIG!W468)</f>
        <v/>
      </c>
      <c r="X468" s="9">
        <f>IF(ORIG!X468=0,"",ORIG!X468)</f>
        <v/>
      </c>
      <c r="Y468" s="9">
        <f>IF(ORIG!Y468=0,"",ORIG!Y468)</f>
        <v/>
      </c>
      <c r="Z468" s="3">
        <f>SUMPRODUCT($B468:$Y468,$B$2649:$Y$2649)</f>
        <v/>
      </c>
      <c r="AA468" s="3">
        <f>SUMPRODUCT($B468:$Y468,$B$2655:$Y$2655)</f>
        <v/>
      </c>
      <c r="AC468" s="1">
        <f>A468</f>
        <v/>
      </c>
      <c r="AD468">
        <f>IF(ISNUMBER(V468),V468*($AB$1/V$2635),"")</f>
        <v/>
      </c>
      <c r="AE468">
        <f>IF(ISNUMBER(Z468),Z468*($AB$1/Z$2635),"")</f>
        <v/>
      </c>
      <c r="AF468" s="25">
        <f>IF(ISNUMBER(AD468+AE468),AD468+AE468,"")</f>
        <v/>
      </c>
      <c r="AH468" s="1">
        <f>A468</f>
        <v/>
      </c>
      <c r="AI468">
        <f>IF(ISNUMBER((1+V468)*AI467),(1+V468)*AI467,AI467)</f>
        <v/>
      </c>
      <c r="AJ468">
        <f>IF(ISNUMBER((1+Z468)*AJ467),(1+Z468)*AJ467,AJ467)</f>
        <v/>
      </c>
    </row>
    <row r="469">
      <c r="A469" s="1" t="n">
        <v>42681</v>
      </c>
      <c r="B469" s="3">
        <f>IF(ORIG!B469=0,"",ORIG!B469)</f>
        <v/>
      </c>
      <c r="C469" s="3">
        <f>IF(ORIG!C469=0,"",ORIG!C469)</f>
        <v/>
      </c>
      <c r="D469" s="3">
        <f>IF(ORIG!D469=0,"",ORIG!D469)</f>
        <v/>
      </c>
      <c r="E469" s="3">
        <f>IF(ORIG!E469=0,"",ORIG!E469)</f>
        <v/>
      </c>
      <c r="F469" s="3">
        <f>IF(ORIG!F469=0,"",ORIG!F469)</f>
        <v/>
      </c>
      <c r="G469" s="3">
        <f>IF(ORIG!G469=0,"",ORIG!G469)</f>
        <v/>
      </c>
      <c r="H469" s="3">
        <f>IF(ORIG!H469=0,"",ORIG!H469)</f>
        <v/>
      </c>
      <c r="I469" s="3">
        <f>IF(ORIG!I469=0,"",ORIG!I469)</f>
        <v/>
      </c>
      <c r="J469" s="3">
        <f>IF(ORIG!J469=0,"",ORIG!J469)</f>
        <v/>
      </c>
      <c r="K469" s="3">
        <f>IF(ORIG!K469=0,"",ORIG!K469)</f>
        <v/>
      </c>
      <c r="L469" s="3">
        <f>IF(ORIG!L469=0,"",ORIG!L469)</f>
        <v/>
      </c>
      <c r="M469" s="3">
        <f>IF(ORIG!M469=0,"",ORIG!M469)</f>
        <v/>
      </c>
      <c r="N469" s="3">
        <f>IF(ORIG!N469=0,"",ORIG!N469)</f>
        <v/>
      </c>
      <c r="O469" s="3">
        <f>IF(ORIG!O469=0,"",ORIG!O469)</f>
        <v/>
      </c>
      <c r="P469" s="3">
        <f>IF(ORIG!P469=0,"",ORIG!P469)</f>
        <v/>
      </c>
      <c r="Q469" s="3">
        <f>IF(ORIG!Q469=0,"",ORIG!Q469)</f>
        <v/>
      </c>
      <c r="R469" s="3">
        <f>IF(ORIG!R469=0,"",ORIG!R469)</f>
        <v/>
      </c>
      <c r="S469" s="3">
        <f>IF(ORIG!S469=0,"",ORIG!S469)</f>
        <v/>
      </c>
      <c r="T469" s="3">
        <f>IF(ORIG!T469=0,"",ORIG!T469)</f>
        <v/>
      </c>
      <c r="U469" s="3">
        <f>IF(ORIG!U469=0,"",ORIG!U469)</f>
        <v/>
      </c>
      <c r="V469" s="9">
        <f>IF(ORIG!V469=0,"",ORIG!V469)</f>
        <v/>
      </c>
      <c r="W469" s="9">
        <f>IF(ORIG!W469=0,"",ORIG!W469)</f>
        <v/>
      </c>
      <c r="X469" s="9">
        <f>IF(ORIG!X469=0,"",ORIG!X469)</f>
        <v/>
      </c>
      <c r="Y469" s="9">
        <f>IF(ORIG!Y469=0,"",ORIG!Y469)</f>
        <v/>
      </c>
      <c r="Z469" s="3">
        <f>SUMPRODUCT($B469:$Y469,$B$2649:$Y$2649)</f>
        <v/>
      </c>
      <c r="AA469" s="3">
        <f>SUMPRODUCT($B469:$Y469,$B$2655:$Y$2655)</f>
        <v/>
      </c>
      <c r="AC469" s="1">
        <f>A469</f>
        <v/>
      </c>
      <c r="AD469">
        <f>IF(ISNUMBER(V469),V469*($AB$1/V$2635),"")</f>
        <v/>
      </c>
      <c r="AE469">
        <f>IF(ISNUMBER(Z469),Z469*($AB$1/Z$2635),"")</f>
        <v/>
      </c>
      <c r="AF469" s="25">
        <f>IF(ISNUMBER(AD469+AE469),AD469+AE469,"")</f>
        <v/>
      </c>
      <c r="AH469" s="1">
        <f>A469</f>
        <v/>
      </c>
      <c r="AI469">
        <f>IF(ISNUMBER((1+V469)*AI468),(1+V469)*AI468,AI468)</f>
        <v/>
      </c>
      <c r="AJ469">
        <f>IF(ISNUMBER((1+Z469)*AJ468),(1+Z469)*AJ468,AJ468)</f>
        <v/>
      </c>
    </row>
    <row r="470">
      <c r="A470" s="1" t="n">
        <v>42682</v>
      </c>
      <c r="B470" s="3">
        <f>IF(ORIG!B470=0,"",ORIG!B470)</f>
        <v/>
      </c>
      <c r="C470" s="3">
        <f>IF(ORIG!C470=0,"",ORIG!C470)</f>
        <v/>
      </c>
      <c r="D470" s="3">
        <f>IF(ORIG!D470=0,"",ORIG!D470)</f>
        <v/>
      </c>
      <c r="E470" s="3">
        <f>IF(ORIG!E470=0,"",ORIG!E470)</f>
        <v/>
      </c>
      <c r="F470" s="3">
        <f>IF(ORIG!F470=0,"",ORIG!F470)</f>
        <v/>
      </c>
      <c r="G470" s="3">
        <f>IF(ORIG!G470=0,"",ORIG!G470)</f>
        <v/>
      </c>
      <c r="H470" s="3">
        <f>IF(ORIG!H470=0,"",ORIG!H470)</f>
        <v/>
      </c>
      <c r="I470" s="3">
        <f>IF(ORIG!I470=0,"",ORIG!I470)</f>
        <v/>
      </c>
      <c r="J470" s="3">
        <f>IF(ORIG!J470=0,"",ORIG!J470)</f>
        <v/>
      </c>
      <c r="K470" s="3">
        <f>IF(ORIG!K470=0,"",ORIG!K470)</f>
        <v/>
      </c>
      <c r="L470" s="3">
        <f>IF(ORIG!L470=0,"",ORIG!L470)</f>
        <v/>
      </c>
      <c r="M470" s="3">
        <f>IF(ORIG!M470=0,"",ORIG!M470)</f>
        <v/>
      </c>
      <c r="N470" s="3">
        <f>IF(ORIG!N470=0,"",ORIG!N470)</f>
        <v/>
      </c>
      <c r="O470" s="3">
        <f>IF(ORIG!O470=0,"",ORIG!O470)</f>
        <v/>
      </c>
      <c r="P470" s="3">
        <f>IF(ORIG!P470=0,"",ORIG!P470)</f>
        <v/>
      </c>
      <c r="Q470" s="3">
        <f>IF(ORIG!Q470=0,"",ORIG!Q470)</f>
        <v/>
      </c>
      <c r="R470" s="3">
        <f>IF(ORIG!R470=0,"",ORIG!R470)</f>
        <v/>
      </c>
      <c r="S470" s="3">
        <f>IF(ORIG!S470=0,"",ORIG!S470)</f>
        <v/>
      </c>
      <c r="T470" s="3">
        <f>IF(ORIG!T470=0,"",ORIG!T470)</f>
        <v/>
      </c>
      <c r="U470" s="3">
        <f>IF(ORIG!U470=0,"",ORIG!U470)</f>
        <v/>
      </c>
      <c r="V470" s="9">
        <f>IF(ORIG!V470=0,"",ORIG!V470)</f>
        <v/>
      </c>
      <c r="W470" s="9">
        <f>IF(ORIG!W470=0,"",ORIG!W470)</f>
        <v/>
      </c>
      <c r="X470" s="9">
        <f>IF(ORIG!X470=0,"",ORIG!X470)</f>
        <v/>
      </c>
      <c r="Y470" s="9">
        <f>IF(ORIG!Y470=0,"",ORIG!Y470)</f>
        <v/>
      </c>
      <c r="Z470" s="3">
        <f>SUMPRODUCT($B470:$Y470,$B$2649:$Y$2649)</f>
        <v/>
      </c>
      <c r="AA470" s="3">
        <f>SUMPRODUCT($B470:$Y470,$B$2655:$Y$2655)</f>
        <v/>
      </c>
      <c r="AC470" s="1">
        <f>A470</f>
        <v/>
      </c>
      <c r="AD470">
        <f>IF(ISNUMBER(V470),V470*($AB$1/V$2635),"")</f>
        <v/>
      </c>
      <c r="AE470">
        <f>IF(ISNUMBER(Z470),Z470*($AB$1/Z$2635),"")</f>
        <v/>
      </c>
      <c r="AF470" s="25">
        <f>IF(ISNUMBER(AD470+AE470),AD470+AE470,"")</f>
        <v/>
      </c>
      <c r="AH470" s="1">
        <f>A470</f>
        <v/>
      </c>
      <c r="AI470">
        <f>IF(ISNUMBER((1+V470)*AI469),(1+V470)*AI469,AI469)</f>
        <v/>
      </c>
      <c r="AJ470">
        <f>IF(ISNUMBER((1+Z470)*AJ469),(1+Z470)*AJ469,AJ469)</f>
        <v/>
      </c>
    </row>
    <row r="471">
      <c r="A471" s="1" t="n">
        <v>42683</v>
      </c>
      <c r="B471" s="3">
        <f>IF(ORIG!B471=0,"",ORIG!B471)</f>
        <v/>
      </c>
      <c r="C471" s="3">
        <f>IF(ORIG!C471=0,"",ORIG!C471)</f>
        <v/>
      </c>
      <c r="D471" s="3">
        <f>IF(ORIG!D471=0,"",ORIG!D471)</f>
        <v/>
      </c>
      <c r="E471" s="3">
        <f>IF(ORIG!E471=0,"",ORIG!E471)</f>
        <v/>
      </c>
      <c r="F471" s="3">
        <f>IF(ORIG!F471=0,"",ORIG!F471)</f>
        <v/>
      </c>
      <c r="G471" s="3">
        <f>IF(ORIG!G471=0,"",ORIG!G471)</f>
        <v/>
      </c>
      <c r="H471" s="3">
        <f>IF(ORIG!H471=0,"",ORIG!H471)</f>
        <v/>
      </c>
      <c r="I471" s="3">
        <f>IF(ORIG!I471=0,"",ORIG!I471)</f>
        <v/>
      </c>
      <c r="J471" s="3">
        <f>IF(ORIG!J471=0,"",ORIG!J471)</f>
        <v/>
      </c>
      <c r="K471" s="3">
        <f>IF(ORIG!K471=0,"",ORIG!K471)</f>
        <v/>
      </c>
      <c r="L471" s="3">
        <f>IF(ORIG!L471=0,"",ORIG!L471)</f>
        <v/>
      </c>
      <c r="M471" s="3">
        <f>IF(ORIG!M471=0,"",ORIG!M471)</f>
        <v/>
      </c>
      <c r="N471" s="3">
        <f>IF(ORIG!N471=0,"",ORIG!N471)</f>
        <v/>
      </c>
      <c r="O471" s="3">
        <f>IF(ORIG!O471=0,"",ORIG!O471)</f>
        <v/>
      </c>
      <c r="P471" s="3">
        <f>IF(ORIG!P471=0,"",ORIG!P471)</f>
        <v/>
      </c>
      <c r="Q471" s="3">
        <f>IF(ORIG!Q471=0,"",ORIG!Q471)</f>
        <v/>
      </c>
      <c r="R471" s="3">
        <f>IF(ORIG!R471=0,"",ORIG!R471)</f>
        <v/>
      </c>
      <c r="S471" s="3">
        <f>IF(ORIG!S471=0,"",ORIG!S471)</f>
        <v/>
      </c>
      <c r="T471" s="3">
        <f>IF(ORIG!T471=0,"",ORIG!T471)</f>
        <v/>
      </c>
      <c r="U471" s="3">
        <f>IF(ORIG!U471=0,"",ORIG!U471)</f>
        <v/>
      </c>
      <c r="V471" s="9">
        <f>IF(ORIG!V471=0,"",ORIG!V471)</f>
        <v/>
      </c>
      <c r="W471" s="9">
        <f>IF(ORIG!W471=0,"",ORIG!W471)</f>
        <v/>
      </c>
      <c r="X471" s="9">
        <f>IF(ORIG!X471=0,"",ORIG!X471)</f>
        <v/>
      </c>
      <c r="Y471" s="9">
        <f>IF(ORIG!Y471=0,"",ORIG!Y471)</f>
        <v/>
      </c>
      <c r="Z471" s="3">
        <f>SUMPRODUCT($B471:$Y471,$B$2649:$Y$2649)</f>
        <v/>
      </c>
      <c r="AA471" s="3">
        <f>SUMPRODUCT($B471:$Y471,$B$2655:$Y$2655)</f>
        <v/>
      </c>
      <c r="AC471" s="1">
        <f>A471</f>
        <v/>
      </c>
      <c r="AD471">
        <f>IF(ISNUMBER(V471),V471*($AB$1/V$2635),"")</f>
        <v/>
      </c>
      <c r="AE471">
        <f>IF(ISNUMBER(Z471),Z471*($AB$1/Z$2635),"")</f>
        <v/>
      </c>
      <c r="AF471" s="25">
        <f>IF(ISNUMBER(AD471+AE471),AD471+AE471,"")</f>
        <v/>
      </c>
      <c r="AH471" s="1">
        <f>A471</f>
        <v/>
      </c>
      <c r="AI471">
        <f>IF(ISNUMBER((1+V471)*AI470),(1+V471)*AI470,AI470)</f>
        <v/>
      </c>
      <c r="AJ471">
        <f>IF(ISNUMBER((1+Z471)*AJ470),(1+Z471)*AJ470,AJ470)</f>
        <v/>
      </c>
    </row>
    <row r="472">
      <c r="A472" s="1" t="n">
        <v>42684</v>
      </c>
      <c r="B472" s="3">
        <f>IF(ORIG!B472=0,"",ORIG!B472)</f>
        <v/>
      </c>
      <c r="C472" s="3">
        <f>IF(ORIG!C472=0,"",ORIG!C472)</f>
        <v/>
      </c>
      <c r="D472" s="3">
        <f>IF(ORIG!D472=0,"",ORIG!D472)</f>
        <v/>
      </c>
      <c r="E472" s="3">
        <f>IF(ORIG!E472=0,"",ORIG!E472)</f>
        <v/>
      </c>
      <c r="F472" s="3">
        <f>IF(ORIG!F472=0,"",ORIG!F472)</f>
        <v/>
      </c>
      <c r="G472" s="3">
        <f>IF(ORIG!G472=0,"",ORIG!G472)</f>
        <v/>
      </c>
      <c r="H472" s="3">
        <f>IF(ORIG!H472=0,"",ORIG!H472)</f>
        <v/>
      </c>
      <c r="I472" s="3">
        <f>IF(ORIG!I472=0,"",ORIG!I472)</f>
        <v/>
      </c>
      <c r="J472" s="3">
        <f>IF(ORIG!J472=0,"",ORIG!J472)</f>
        <v/>
      </c>
      <c r="K472" s="3">
        <f>IF(ORIG!K472=0,"",ORIG!K472)</f>
        <v/>
      </c>
      <c r="L472" s="3">
        <f>IF(ORIG!L472=0,"",ORIG!L472)</f>
        <v/>
      </c>
      <c r="M472" s="3">
        <f>IF(ORIG!M472=0,"",ORIG!M472)</f>
        <v/>
      </c>
      <c r="N472" s="3">
        <f>IF(ORIG!N472=0,"",ORIG!N472)</f>
        <v/>
      </c>
      <c r="O472" s="3">
        <f>IF(ORIG!O472=0,"",ORIG!O472)</f>
        <v/>
      </c>
      <c r="P472" s="3">
        <f>IF(ORIG!P472=0,"",ORIG!P472)</f>
        <v/>
      </c>
      <c r="Q472" s="3">
        <f>IF(ORIG!Q472=0,"",ORIG!Q472)</f>
        <v/>
      </c>
      <c r="R472" s="3">
        <f>IF(ORIG!R472=0,"",ORIG!R472)</f>
        <v/>
      </c>
      <c r="S472" s="3">
        <f>IF(ORIG!S472=0,"",ORIG!S472)</f>
        <v/>
      </c>
      <c r="T472" s="3">
        <f>IF(ORIG!T472=0,"",ORIG!T472)</f>
        <v/>
      </c>
      <c r="U472" s="3">
        <f>IF(ORIG!U472=0,"",ORIG!U472)</f>
        <v/>
      </c>
      <c r="V472" s="9">
        <f>IF(ORIG!V472=0,"",ORIG!V472)</f>
        <v/>
      </c>
      <c r="W472" s="9">
        <f>IF(ORIG!W472=0,"",ORIG!W472)</f>
        <v/>
      </c>
      <c r="X472" s="9">
        <f>IF(ORIG!X472=0,"",ORIG!X472)</f>
        <v/>
      </c>
      <c r="Y472" s="9">
        <f>IF(ORIG!Y472=0,"",ORIG!Y472)</f>
        <v/>
      </c>
      <c r="Z472" s="3">
        <f>SUMPRODUCT($B472:$Y472,$B$2649:$Y$2649)</f>
        <v/>
      </c>
      <c r="AA472" s="3">
        <f>SUMPRODUCT($B472:$Y472,$B$2655:$Y$2655)</f>
        <v/>
      </c>
      <c r="AC472" s="1">
        <f>A472</f>
        <v/>
      </c>
      <c r="AD472">
        <f>IF(ISNUMBER(V472),V472*($AB$1/V$2635),"")</f>
        <v/>
      </c>
      <c r="AE472">
        <f>IF(ISNUMBER(Z472),Z472*($AB$1/Z$2635),"")</f>
        <v/>
      </c>
      <c r="AF472" s="25">
        <f>IF(ISNUMBER(AD472+AE472),AD472+AE472,"")</f>
        <v/>
      </c>
      <c r="AH472" s="1">
        <f>A472</f>
        <v/>
      </c>
      <c r="AI472">
        <f>IF(ISNUMBER((1+V472)*AI471),(1+V472)*AI471,AI471)</f>
        <v/>
      </c>
      <c r="AJ472">
        <f>IF(ISNUMBER((1+Z472)*AJ471),(1+Z472)*AJ471,AJ471)</f>
        <v/>
      </c>
    </row>
    <row r="473">
      <c r="A473" s="1" t="n">
        <v>42685</v>
      </c>
      <c r="B473" s="3">
        <f>IF(ORIG!B473=0,"",ORIG!B473)</f>
        <v/>
      </c>
      <c r="C473" s="3">
        <f>IF(ORIG!C473=0,"",ORIG!C473)</f>
        <v/>
      </c>
      <c r="D473" s="3">
        <f>IF(ORIG!D473=0,"",ORIG!D473)</f>
        <v/>
      </c>
      <c r="E473" s="3">
        <f>IF(ORIG!E473=0,"",ORIG!E473)</f>
        <v/>
      </c>
      <c r="F473" s="3">
        <f>IF(ORIG!F473=0,"",ORIG!F473)</f>
        <v/>
      </c>
      <c r="G473" s="3">
        <f>IF(ORIG!G473=0,"",ORIG!G473)</f>
        <v/>
      </c>
      <c r="H473" s="3">
        <f>IF(ORIG!H473=0,"",ORIG!H473)</f>
        <v/>
      </c>
      <c r="I473" s="3">
        <f>IF(ORIG!I473=0,"",ORIG!I473)</f>
        <v/>
      </c>
      <c r="J473" s="3">
        <f>IF(ORIG!J473=0,"",ORIG!J473)</f>
        <v/>
      </c>
      <c r="K473" s="3">
        <f>IF(ORIG!K473=0,"",ORIG!K473)</f>
        <v/>
      </c>
      <c r="L473" s="3">
        <f>IF(ORIG!L473=0,"",ORIG!L473)</f>
        <v/>
      </c>
      <c r="M473" s="3">
        <f>IF(ORIG!M473=0,"",ORIG!M473)</f>
        <v/>
      </c>
      <c r="N473" s="3">
        <f>IF(ORIG!N473=0,"",ORIG!N473)</f>
        <v/>
      </c>
      <c r="O473" s="3">
        <f>IF(ORIG!O473=0,"",ORIG!O473)</f>
        <v/>
      </c>
      <c r="P473" s="3">
        <f>IF(ORIG!P473=0,"",ORIG!P473)</f>
        <v/>
      </c>
      <c r="Q473" s="3">
        <f>IF(ORIG!Q473=0,"",ORIG!Q473)</f>
        <v/>
      </c>
      <c r="R473" s="3">
        <f>IF(ORIG!R473=0,"",ORIG!R473)</f>
        <v/>
      </c>
      <c r="S473" s="3">
        <f>IF(ORIG!S473=0,"",ORIG!S473)</f>
        <v/>
      </c>
      <c r="T473" s="3">
        <f>IF(ORIG!T473=0,"",ORIG!T473)</f>
        <v/>
      </c>
      <c r="U473" s="3">
        <f>IF(ORIG!U473=0,"",ORIG!U473)</f>
        <v/>
      </c>
      <c r="V473" s="9">
        <f>IF(ORIG!V473=0,"",ORIG!V473)</f>
        <v/>
      </c>
      <c r="W473" s="9">
        <f>IF(ORIG!W473=0,"",ORIG!W473)</f>
        <v/>
      </c>
      <c r="X473" s="9">
        <f>IF(ORIG!X473=0,"",ORIG!X473)</f>
        <v/>
      </c>
      <c r="Y473" s="9">
        <f>IF(ORIG!Y473=0,"",ORIG!Y473)</f>
        <v/>
      </c>
      <c r="Z473" s="3">
        <f>SUMPRODUCT($B473:$Y473,$B$2649:$Y$2649)</f>
        <v/>
      </c>
      <c r="AA473" s="3">
        <f>SUMPRODUCT($B473:$Y473,$B$2655:$Y$2655)</f>
        <v/>
      </c>
      <c r="AC473" s="1">
        <f>A473</f>
        <v/>
      </c>
      <c r="AD473">
        <f>IF(ISNUMBER(V473),V473*($AB$1/V$2635),"")</f>
        <v/>
      </c>
      <c r="AE473">
        <f>IF(ISNUMBER(Z473),Z473*($AB$1/Z$2635),"")</f>
        <v/>
      </c>
      <c r="AF473" s="25">
        <f>IF(ISNUMBER(AD473+AE473),AD473+AE473,"")</f>
        <v/>
      </c>
      <c r="AH473" s="1">
        <f>A473</f>
        <v/>
      </c>
      <c r="AI473">
        <f>IF(ISNUMBER((1+V473)*AI472),(1+V473)*AI472,AI472)</f>
        <v/>
      </c>
      <c r="AJ473">
        <f>IF(ISNUMBER((1+Z473)*AJ472),(1+Z473)*AJ472,AJ472)</f>
        <v/>
      </c>
    </row>
    <row r="474">
      <c r="A474" s="1" t="n">
        <v>42688</v>
      </c>
      <c r="B474" s="3">
        <f>IF(ORIG!B474=0,"",ORIG!B474)</f>
        <v/>
      </c>
      <c r="C474" s="3">
        <f>IF(ORIG!C474=0,"",ORIG!C474)</f>
        <v/>
      </c>
      <c r="D474" s="3">
        <f>IF(ORIG!D474=0,"",ORIG!D474)</f>
        <v/>
      </c>
      <c r="E474" s="3">
        <f>IF(ORIG!E474=0,"",ORIG!E474)</f>
        <v/>
      </c>
      <c r="F474" s="3">
        <f>IF(ORIG!F474=0,"",ORIG!F474)</f>
        <v/>
      </c>
      <c r="G474" s="3">
        <f>IF(ORIG!G474=0,"",ORIG!G474)</f>
        <v/>
      </c>
      <c r="H474" s="3">
        <f>IF(ORIG!H474=0,"",ORIG!H474)</f>
        <v/>
      </c>
      <c r="I474" s="3">
        <f>IF(ORIG!I474=0,"",ORIG!I474)</f>
        <v/>
      </c>
      <c r="J474" s="3">
        <f>IF(ORIG!J474=0,"",ORIG!J474)</f>
        <v/>
      </c>
      <c r="K474" s="3">
        <f>IF(ORIG!K474=0,"",ORIG!K474)</f>
        <v/>
      </c>
      <c r="L474" s="3">
        <f>IF(ORIG!L474=0,"",ORIG!L474)</f>
        <v/>
      </c>
      <c r="M474" s="3">
        <f>IF(ORIG!M474=0,"",ORIG!M474)</f>
        <v/>
      </c>
      <c r="N474" s="3">
        <f>IF(ORIG!N474=0,"",ORIG!N474)</f>
        <v/>
      </c>
      <c r="O474" s="3">
        <f>IF(ORIG!O474=0,"",ORIG!O474)</f>
        <v/>
      </c>
      <c r="P474" s="3">
        <f>IF(ORIG!P474=0,"",ORIG!P474)</f>
        <v/>
      </c>
      <c r="Q474" s="3">
        <f>IF(ORIG!Q474=0,"",ORIG!Q474)</f>
        <v/>
      </c>
      <c r="R474" s="3">
        <f>IF(ORIG!R474=0,"",ORIG!R474)</f>
        <v/>
      </c>
      <c r="S474" s="3">
        <f>IF(ORIG!S474=0,"",ORIG!S474)</f>
        <v/>
      </c>
      <c r="T474" s="3">
        <f>IF(ORIG!T474=0,"",ORIG!T474)</f>
        <v/>
      </c>
      <c r="U474" s="3">
        <f>IF(ORIG!U474=0,"",ORIG!U474)</f>
        <v/>
      </c>
      <c r="V474" s="9">
        <f>IF(ORIG!V474=0,"",ORIG!V474)</f>
        <v/>
      </c>
      <c r="W474" s="9">
        <f>IF(ORIG!W474=0,"",ORIG!W474)</f>
        <v/>
      </c>
      <c r="X474" s="9">
        <f>IF(ORIG!X474=0,"",ORIG!X474)</f>
        <v/>
      </c>
      <c r="Y474" s="9">
        <f>IF(ORIG!Y474=0,"",ORIG!Y474)</f>
        <v/>
      </c>
      <c r="Z474" s="3">
        <f>SUMPRODUCT($B474:$Y474,$B$2649:$Y$2649)</f>
        <v/>
      </c>
      <c r="AA474" s="3">
        <f>SUMPRODUCT($B474:$Y474,$B$2655:$Y$2655)</f>
        <v/>
      </c>
      <c r="AC474" s="1">
        <f>A474</f>
        <v/>
      </c>
      <c r="AD474">
        <f>IF(ISNUMBER(V474),V474*($AB$1/V$2635),"")</f>
        <v/>
      </c>
      <c r="AE474">
        <f>IF(ISNUMBER(Z474),Z474*($AB$1/Z$2635),"")</f>
        <v/>
      </c>
      <c r="AF474" s="25">
        <f>IF(ISNUMBER(AD474+AE474),AD474+AE474,"")</f>
        <v/>
      </c>
      <c r="AH474" s="1">
        <f>A474</f>
        <v/>
      </c>
      <c r="AI474">
        <f>IF(ISNUMBER((1+V474)*AI473),(1+V474)*AI473,AI473)</f>
        <v/>
      </c>
      <c r="AJ474">
        <f>IF(ISNUMBER((1+Z474)*AJ473),(1+Z474)*AJ473,AJ473)</f>
        <v/>
      </c>
    </row>
    <row r="475">
      <c r="A475" s="1" t="n">
        <v>42689</v>
      </c>
      <c r="B475" s="3">
        <f>IF(ORIG!B475=0,"",ORIG!B475)</f>
        <v/>
      </c>
      <c r="C475" s="3">
        <f>IF(ORIG!C475=0,"",ORIG!C475)</f>
        <v/>
      </c>
      <c r="D475" s="3">
        <f>IF(ORIG!D475=0,"",ORIG!D475)</f>
        <v/>
      </c>
      <c r="E475" s="3">
        <f>IF(ORIG!E475=0,"",ORIG!E475)</f>
        <v/>
      </c>
      <c r="F475" s="3">
        <f>IF(ORIG!F475=0,"",ORIG!F475)</f>
        <v/>
      </c>
      <c r="G475" s="3">
        <f>IF(ORIG!G475=0,"",ORIG!G475)</f>
        <v/>
      </c>
      <c r="H475" s="3">
        <f>IF(ORIG!H475=0,"",ORIG!H475)</f>
        <v/>
      </c>
      <c r="I475" s="3">
        <f>IF(ORIG!I475=0,"",ORIG!I475)</f>
        <v/>
      </c>
      <c r="J475" s="3">
        <f>IF(ORIG!J475=0,"",ORIG!J475)</f>
        <v/>
      </c>
      <c r="K475" s="3">
        <f>IF(ORIG!K475=0,"",ORIG!K475)</f>
        <v/>
      </c>
      <c r="L475" s="3">
        <f>IF(ORIG!L475=0,"",ORIG!L475)</f>
        <v/>
      </c>
      <c r="M475" s="3">
        <f>IF(ORIG!M475=0,"",ORIG!M475)</f>
        <v/>
      </c>
      <c r="N475" s="3">
        <f>IF(ORIG!N475=0,"",ORIG!N475)</f>
        <v/>
      </c>
      <c r="O475" s="3">
        <f>IF(ORIG!O475=0,"",ORIG!O475)</f>
        <v/>
      </c>
      <c r="P475" s="3">
        <f>IF(ORIG!P475=0,"",ORIG!P475)</f>
        <v/>
      </c>
      <c r="Q475" s="3">
        <f>IF(ORIG!Q475=0,"",ORIG!Q475)</f>
        <v/>
      </c>
      <c r="R475" s="3">
        <f>IF(ORIG!R475=0,"",ORIG!R475)</f>
        <v/>
      </c>
      <c r="S475" s="3">
        <f>IF(ORIG!S475=0,"",ORIG!S475)</f>
        <v/>
      </c>
      <c r="T475" s="3">
        <f>IF(ORIG!T475=0,"",ORIG!T475)</f>
        <v/>
      </c>
      <c r="U475" s="3">
        <f>IF(ORIG!U475=0,"",ORIG!U475)</f>
        <v/>
      </c>
      <c r="V475" s="9">
        <f>IF(ORIG!V475=0,"",ORIG!V475)</f>
        <v/>
      </c>
      <c r="W475" s="9">
        <f>IF(ORIG!W475=0,"",ORIG!W475)</f>
        <v/>
      </c>
      <c r="X475" s="9">
        <f>IF(ORIG!X475=0,"",ORIG!X475)</f>
        <v/>
      </c>
      <c r="Y475" s="9">
        <f>IF(ORIG!Y475=0,"",ORIG!Y475)</f>
        <v/>
      </c>
      <c r="Z475" s="3">
        <f>SUMPRODUCT($B475:$Y475,$B$2649:$Y$2649)</f>
        <v/>
      </c>
      <c r="AA475" s="3">
        <f>SUMPRODUCT($B475:$Y475,$B$2655:$Y$2655)</f>
        <v/>
      </c>
      <c r="AC475" s="1">
        <f>A475</f>
        <v/>
      </c>
      <c r="AD475">
        <f>IF(ISNUMBER(V475),V475*($AB$1/V$2635),"")</f>
        <v/>
      </c>
      <c r="AE475">
        <f>IF(ISNUMBER(Z475),Z475*($AB$1/Z$2635),"")</f>
        <v/>
      </c>
      <c r="AF475" s="25">
        <f>IF(ISNUMBER(AD475+AE475),AD475+AE475,"")</f>
        <v/>
      </c>
      <c r="AH475" s="1">
        <f>A475</f>
        <v/>
      </c>
      <c r="AI475">
        <f>IF(ISNUMBER((1+V475)*AI474),(1+V475)*AI474,AI474)</f>
        <v/>
      </c>
      <c r="AJ475">
        <f>IF(ISNUMBER((1+Z475)*AJ474),(1+Z475)*AJ474,AJ474)</f>
        <v/>
      </c>
    </row>
    <row r="476">
      <c r="A476" s="1" t="n">
        <v>42690</v>
      </c>
      <c r="B476" s="3">
        <f>IF(ORIG!B476=0,"",ORIG!B476)</f>
        <v/>
      </c>
      <c r="C476" s="3">
        <f>IF(ORIG!C476=0,"",ORIG!C476)</f>
        <v/>
      </c>
      <c r="D476" s="3">
        <f>IF(ORIG!D476=0,"",ORIG!D476)</f>
        <v/>
      </c>
      <c r="E476" s="3">
        <f>IF(ORIG!E476=0,"",ORIG!E476)</f>
        <v/>
      </c>
      <c r="F476" s="3">
        <f>IF(ORIG!F476=0,"",ORIG!F476)</f>
        <v/>
      </c>
      <c r="G476" s="3">
        <f>IF(ORIG!G476=0,"",ORIG!G476)</f>
        <v/>
      </c>
      <c r="H476" s="3">
        <f>IF(ORIG!H476=0,"",ORIG!H476)</f>
        <v/>
      </c>
      <c r="I476" s="3">
        <f>IF(ORIG!I476=0,"",ORIG!I476)</f>
        <v/>
      </c>
      <c r="J476" s="3">
        <f>IF(ORIG!J476=0,"",ORIG!J476)</f>
        <v/>
      </c>
      <c r="K476" s="3">
        <f>IF(ORIG!K476=0,"",ORIG!K476)</f>
        <v/>
      </c>
      <c r="L476" s="3">
        <f>IF(ORIG!L476=0,"",ORIG!L476)</f>
        <v/>
      </c>
      <c r="M476" s="3">
        <f>IF(ORIG!M476=0,"",ORIG!M476)</f>
        <v/>
      </c>
      <c r="N476" s="3">
        <f>IF(ORIG!N476=0,"",ORIG!N476)</f>
        <v/>
      </c>
      <c r="O476" s="3">
        <f>IF(ORIG!O476=0,"",ORIG!O476)</f>
        <v/>
      </c>
      <c r="P476" s="3">
        <f>IF(ORIG!P476=0,"",ORIG!P476)</f>
        <v/>
      </c>
      <c r="Q476" s="3">
        <f>IF(ORIG!Q476=0,"",ORIG!Q476)</f>
        <v/>
      </c>
      <c r="R476" s="3">
        <f>IF(ORIG!R476=0,"",ORIG!R476)</f>
        <v/>
      </c>
      <c r="S476" s="3">
        <f>IF(ORIG!S476=0,"",ORIG!S476)</f>
        <v/>
      </c>
      <c r="T476" s="3">
        <f>IF(ORIG!T476=0,"",ORIG!T476)</f>
        <v/>
      </c>
      <c r="U476" s="3">
        <f>IF(ORIG!U476=0,"",ORIG!U476)</f>
        <v/>
      </c>
      <c r="V476" s="9">
        <f>IF(ORIG!V476=0,"",ORIG!V476)</f>
        <v/>
      </c>
      <c r="W476" s="9">
        <f>IF(ORIG!W476=0,"",ORIG!W476)</f>
        <v/>
      </c>
      <c r="X476" s="9">
        <f>IF(ORIG!X476=0,"",ORIG!X476)</f>
        <v/>
      </c>
      <c r="Y476" s="9">
        <f>IF(ORIG!Y476=0,"",ORIG!Y476)</f>
        <v/>
      </c>
      <c r="Z476" s="3">
        <f>SUMPRODUCT($B476:$Y476,$B$2649:$Y$2649)</f>
        <v/>
      </c>
      <c r="AA476" s="3">
        <f>SUMPRODUCT($B476:$Y476,$B$2655:$Y$2655)</f>
        <v/>
      </c>
      <c r="AC476" s="1">
        <f>A476</f>
        <v/>
      </c>
      <c r="AD476">
        <f>IF(ISNUMBER(V476),V476*($AB$1/V$2635),"")</f>
        <v/>
      </c>
      <c r="AE476">
        <f>IF(ISNUMBER(Z476),Z476*($AB$1/Z$2635),"")</f>
        <v/>
      </c>
      <c r="AF476" s="25">
        <f>IF(ISNUMBER(AD476+AE476),AD476+AE476,"")</f>
        <v/>
      </c>
      <c r="AH476" s="1">
        <f>A476</f>
        <v/>
      </c>
      <c r="AI476">
        <f>IF(ISNUMBER((1+V476)*AI475),(1+V476)*AI475,AI475)</f>
        <v/>
      </c>
      <c r="AJ476">
        <f>IF(ISNUMBER((1+Z476)*AJ475),(1+Z476)*AJ475,AJ475)</f>
        <v/>
      </c>
    </row>
    <row r="477">
      <c r="A477" s="1" t="n">
        <v>42691</v>
      </c>
      <c r="B477" s="3">
        <f>IF(ORIG!B477=0,"",ORIG!B477)</f>
        <v/>
      </c>
      <c r="C477" s="3">
        <f>IF(ORIG!C477=0,"",ORIG!C477)</f>
        <v/>
      </c>
      <c r="D477" s="3">
        <f>IF(ORIG!D477=0,"",ORIG!D477)</f>
        <v/>
      </c>
      <c r="E477" s="3">
        <f>IF(ORIG!E477=0,"",ORIG!E477)</f>
        <v/>
      </c>
      <c r="F477" s="3">
        <f>IF(ORIG!F477=0,"",ORIG!F477)</f>
        <v/>
      </c>
      <c r="G477" s="3">
        <f>IF(ORIG!G477=0,"",ORIG!G477)</f>
        <v/>
      </c>
      <c r="H477" s="3">
        <f>IF(ORIG!H477=0,"",ORIG!H477)</f>
        <v/>
      </c>
      <c r="I477" s="3">
        <f>IF(ORIG!I477=0,"",ORIG!I477)</f>
        <v/>
      </c>
      <c r="J477" s="3">
        <f>IF(ORIG!J477=0,"",ORIG!J477)</f>
        <v/>
      </c>
      <c r="K477" s="3">
        <f>IF(ORIG!K477=0,"",ORIG!K477)</f>
        <v/>
      </c>
      <c r="L477" s="3">
        <f>IF(ORIG!L477=0,"",ORIG!L477)</f>
        <v/>
      </c>
      <c r="M477" s="3">
        <f>IF(ORIG!M477=0,"",ORIG!M477)</f>
        <v/>
      </c>
      <c r="N477" s="3">
        <f>IF(ORIG!N477=0,"",ORIG!N477)</f>
        <v/>
      </c>
      <c r="O477" s="3">
        <f>IF(ORIG!O477=0,"",ORIG!O477)</f>
        <v/>
      </c>
      <c r="P477" s="3">
        <f>IF(ORIG!P477=0,"",ORIG!P477)</f>
        <v/>
      </c>
      <c r="Q477" s="3">
        <f>IF(ORIG!Q477=0,"",ORIG!Q477)</f>
        <v/>
      </c>
      <c r="R477" s="3">
        <f>IF(ORIG!R477=0,"",ORIG!R477)</f>
        <v/>
      </c>
      <c r="S477" s="3">
        <f>IF(ORIG!S477=0,"",ORIG!S477)</f>
        <v/>
      </c>
      <c r="T477" s="3">
        <f>IF(ORIG!T477=0,"",ORIG!T477)</f>
        <v/>
      </c>
      <c r="U477" s="3">
        <f>IF(ORIG!U477=0,"",ORIG!U477)</f>
        <v/>
      </c>
      <c r="V477" s="9">
        <f>IF(ORIG!V477=0,"",ORIG!V477)</f>
        <v/>
      </c>
      <c r="W477" s="9">
        <f>IF(ORIG!W477=0,"",ORIG!W477)</f>
        <v/>
      </c>
      <c r="X477" s="9">
        <f>IF(ORIG!X477=0,"",ORIG!X477)</f>
        <v/>
      </c>
      <c r="Y477" s="9">
        <f>IF(ORIG!Y477=0,"",ORIG!Y477)</f>
        <v/>
      </c>
      <c r="Z477" s="3">
        <f>SUMPRODUCT($B477:$Y477,$B$2649:$Y$2649)</f>
        <v/>
      </c>
      <c r="AA477" s="3">
        <f>SUMPRODUCT($B477:$Y477,$B$2655:$Y$2655)</f>
        <v/>
      </c>
      <c r="AC477" s="1">
        <f>A477</f>
        <v/>
      </c>
      <c r="AD477">
        <f>IF(ISNUMBER(V477),V477*($AB$1/V$2635),"")</f>
        <v/>
      </c>
      <c r="AE477">
        <f>IF(ISNUMBER(Z477),Z477*($AB$1/Z$2635),"")</f>
        <v/>
      </c>
      <c r="AF477" s="25">
        <f>IF(ISNUMBER(AD477+AE477),AD477+AE477,"")</f>
        <v/>
      </c>
      <c r="AH477" s="1">
        <f>A477</f>
        <v/>
      </c>
      <c r="AI477">
        <f>IF(ISNUMBER((1+V477)*AI476),(1+V477)*AI476,AI476)</f>
        <v/>
      </c>
      <c r="AJ477">
        <f>IF(ISNUMBER((1+Z477)*AJ476),(1+Z477)*AJ476,AJ476)</f>
        <v/>
      </c>
    </row>
    <row r="478">
      <c r="A478" s="1" t="n">
        <v>42692</v>
      </c>
      <c r="B478" s="3">
        <f>IF(ORIG!B478=0,"",ORIG!B478)</f>
        <v/>
      </c>
      <c r="C478" s="3">
        <f>IF(ORIG!C478=0,"",ORIG!C478)</f>
        <v/>
      </c>
      <c r="D478" s="3">
        <f>IF(ORIG!D478=0,"",ORIG!D478)</f>
        <v/>
      </c>
      <c r="E478" s="3">
        <f>IF(ORIG!E478=0,"",ORIG!E478)</f>
        <v/>
      </c>
      <c r="F478" s="3">
        <f>IF(ORIG!F478=0,"",ORIG!F478)</f>
        <v/>
      </c>
      <c r="G478" s="3">
        <f>IF(ORIG!G478=0,"",ORIG!G478)</f>
        <v/>
      </c>
      <c r="H478" s="3">
        <f>IF(ORIG!H478=0,"",ORIG!H478)</f>
        <v/>
      </c>
      <c r="I478" s="3">
        <f>IF(ORIG!I478=0,"",ORIG!I478)</f>
        <v/>
      </c>
      <c r="J478" s="3">
        <f>IF(ORIG!J478=0,"",ORIG!J478)</f>
        <v/>
      </c>
      <c r="K478" s="3">
        <f>IF(ORIG!K478=0,"",ORIG!K478)</f>
        <v/>
      </c>
      <c r="L478" s="3">
        <f>IF(ORIG!L478=0,"",ORIG!L478)</f>
        <v/>
      </c>
      <c r="M478" s="3">
        <f>IF(ORIG!M478=0,"",ORIG!M478)</f>
        <v/>
      </c>
      <c r="N478" s="3">
        <f>IF(ORIG!N478=0,"",ORIG!N478)</f>
        <v/>
      </c>
      <c r="O478" s="3">
        <f>IF(ORIG!O478=0,"",ORIG!O478)</f>
        <v/>
      </c>
      <c r="P478" s="3">
        <f>IF(ORIG!P478=0,"",ORIG!P478)</f>
        <v/>
      </c>
      <c r="Q478" s="3">
        <f>IF(ORIG!Q478=0,"",ORIG!Q478)</f>
        <v/>
      </c>
      <c r="R478" s="3">
        <f>IF(ORIG!R478=0,"",ORIG!R478)</f>
        <v/>
      </c>
      <c r="S478" s="3">
        <f>IF(ORIG!S478=0,"",ORIG!S478)</f>
        <v/>
      </c>
      <c r="T478" s="3">
        <f>IF(ORIG!T478=0,"",ORIG!T478)</f>
        <v/>
      </c>
      <c r="U478" s="3">
        <f>IF(ORIG!U478=0,"",ORIG!U478)</f>
        <v/>
      </c>
      <c r="V478" s="9">
        <f>IF(ORIG!V478=0,"",ORIG!V478)</f>
        <v/>
      </c>
      <c r="W478" s="9">
        <f>IF(ORIG!W478=0,"",ORIG!W478)</f>
        <v/>
      </c>
      <c r="X478" s="9">
        <f>IF(ORIG!X478=0,"",ORIG!X478)</f>
        <v/>
      </c>
      <c r="Y478" s="9">
        <f>IF(ORIG!Y478=0,"",ORIG!Y478)</f>
        <v/>
      </c>
      <c r="Z478" s="3">
        <f>SUMPRODUCT($B478:$Y478,$B$2649:$Y$2649)</f>
        <v/>
      </c>
      <c r="AA478" s="3">
        <f>SUMPRODUCT($B478:$Y478,$B$2655:$Y$2655)</f>
        <v/>
      </c>
      <c r="AC478" s="1">
        <f>A478</f>
        <v/>
      </c>
      <c r="AD478">
        <f>IF(ISNUMBER(V478),V478*($AB$1/V$2635),"")</f>
        <v/>
      </c>
      <c r="AE478">
        <f>IF(ISNUMBER(Z478),Z478*($AB$1/Z$2635),"")</f>
        <v/>
      </c>
      <c r="AF478" s="25">
        <f>IF(ISNUMBER(AD478+AE478),AD478+AE478,"")</f>
        <v/>
      </c>
      <c r="AH478" s="1">
        <f>A478</f>
        <v/>
      </c>
      <c r="AI478">
        <f>IF(ISNUMBER((1+V478)*AI477),(1+V478)*AI477,AI477)</f>
        <v/>
      </c>
      <c r="AJ478">
        <f>IF(ISNUMBER((1+Z478)*AJ477),(1+Z478)*AJ477,AJ477)</f>
        <v/>
      </c>
    </row>
    <row r="479">
      <c r="A479" s="1" t="n">
        <v>42695</v>
      </c>
      <c r="B479" s="3">
        <f>IF(ORIG!B479=0,"",ORIG!B479)</f>
        <v/>
      </c>
      <c r="C479" s="3">
        <f>IF(ORIG!C479=0,"",ORIG!C479)</f>
        <v/>
      </c>
      <c r="D479" s="3">
        <f>IF(ORIG!D479=0,"",ORIG!D479)</f>
        <v/>
      </c>
      <c r="E479" s="3">
        <f>IF(ORIG!E479=0,"",ORIG!E479)</f>
        <v/>
      </c>
      <c r="F479" s="3">
        <f>IF(ORIG!F479=0,"",ORIG!F479)</f>
        <v/>
      </c>
      <c r="G479" s="3">
        <f>IF(ORIG!G479=0,"",ORIG!G479)</f>
        <v/>
      </c>
      <c r="H479" s="3">
        <f>IF(ORIG!H479=0,"",ORIG!H479)</f>
        <v/>
      </c>
      <c r="I479" s="3">
        <f>IF(ORIG!I479=0,"",ORIG!I479)</f>
        <v/>
      </c>
      <c r="J479" s="3">
        <f>IF(ORIG!J479=0,"",ORIG!J479)</f>
        <v/>
      </c>
      <c r="K479" s="3">
        <f>IF(ORIG!K479=0,"",ORIG!K479)</f>
        <v/>
      </c>
      <c r="L479" s="3">
        <f>IF(ORIG!L479=0,"",ORIG!L479)</f>
        <v/>
      </c>
      <c r="M479" s="3">
        <f>IF(ORIG!M479=0,"",ORIG!M479)</f>
        <v/>
      </c>
      <c r="N479" s="3">
        <f>IF(ORIG!N479=0,"",ORIG!N479)</f>
        <v/>
      </c>
      <c r="O479" s="3">
        <f>IF(ORIG!O479=0,"",ORIG!O479)</f>
        <v/>
      </c>
      <c r="P479" s="3">
        <f>IF(ORIG!P479=0,"",ORIG!P479)</f>
        <v/>
      </c>
      <c r="Q479" s="3">
        <f>IF(ORIG!Q479=0,"",ORIG!Q479)</f>
        <v/>
      </c>
      <c r="R479" s="3">
        <f>IF(ORIG!R479=0,"",ORIG!R479)</f>
        <v/>
      </c>
      <c r="S479" s="3">
        <f>IF(ORIG!S479=0,"",ORIG!S479)</f>
        <v/>
      </c>
      <c r="T479" s="3">
        <f>IF(ORIG!T479=0,"",ORIG!T479)</f>
        <v/>
      </c>
      <c r="U479" s="3">
        <f>IF(ORIG!U479=0,"",ORIG!U479)</f>
        <v/>
      </c>
      <c r="V479" s="9">
        <f>IF(ORIG!V479=0,"",ORIG!V479)</f>
        <v/>
      </c>
      <c r="W479" s="9">
        <f>IF(ORIG!W479=0,"",ORIG!W479)</f>
        <v/>
      </c>
      <c r="X479" s="9">
        <f>IF(ORIG!X479=0,"",ORIG!X479)</f>
        <v/>
      </c>
      <c r="Y479" s="9">
        <f>IF(ORIG!Y479=0,"",ORIG!Y479)</f>
        <v/>
      </c>
      <c r="Z479" s="3">
        <f>SUMPRODUCT($B479:$Y479,$B$2649:$Y$2649)</f>
        <v/>
      </c>
      <c r="AA479" s="3">
        <f>SUMPRODUCT($B479:$Y479,$B$2655:$Y$2655)</f>
        <v/>
      </c>
      <c r="AC479" s="1">
        <f>A479</f>
        <v/>
      </c>
      <c r="AD479">
        <f>IF(ISNUMBER(V479),V479*($AB$1/V$2635),"")</f>
        <v/>
      </c>
      <c r="AE479">
        <f>IF(ISNUMBER(Z479),Z479*($AB$1/Z$2635),"")</f>
        <v/>
      </c>
      <c r="AF479" s="25">
        <f>IF(ISNUMBER(AD479+AE479),AD479+AE479,"")</f>
        <v/>
      </c>
      <c r="AH479" s="1">
        <f>A479</f>
        <v/>
      </c>
      <c r="AI479">
        <f>IF(ISNUMBER((1+V479)*AI478),(1+V479)*AI478,AI478)</f>
        <v/>
      </c>
      <c r="AJ479">
        <f>IF(ISNUMBER((1+Z479)*AJ478),(1+Z479)*AJ478,AJ478)</f>
        <v/>
      </c>
    </row>
    <row r="480">
      <c r="A480" s="1" t="n">
        <v>42696</v>
      </c>
      <c r="B480" s="3">
        <f>IF(ORIG!B480=0,"",ORIG!B480)</f>
        <v/>
      </c>
      <c r="C480" s="3">
        <f>IF(ORIG!C480=0,"",ORIG!C480)</f>
        <v/>
      </c>
      <c r="D480" s="3">
        <f>IF(ORIG!D480=0,"",ORIG!D480)</f>
        <v/>
      </c>
      <c r="E480" s="3">
        <f>IF(ORIG!E480=0,"",ORIG!E480)</f>
        <v/>
      </c>
      <c r="F480" s="3">
        <f>IF(ORIG!F480=0,"",ORIG!F480)</f>
        <v/>
      </c>
      <c r="G480" s="3">
        <f>IF(ORIG!G480=0,"",ORIG!G480)</f>
        <v/>
      </c>
      <c r="H480" s="3">
        <f>IF(ORIG!H480=0,"",ORIG!H480)</f>
        <v/>
      </c>
      <c r="I480" s="3">
        <f>IF(ORIG!I480=0,"",ORIG!I480)</f>
        <v/>
      </c>
      <c r="J480" s="3">
        <f>IF(ORIG!J480=0,"",ORIG!J480)</f>
        <v/>
      </c>
      <c r="K480" s="3">
        <f>IF(ORIG!K480=0,"",ORIG!K480)</f>
        <v/>
      </c>
      <c r="L480" s="3">
        <f>IF(ORIG!L480=0,"",ORIG!L480)</f>
        <v/>
      </c>
      <c r="M480" s="3">
        <f>IF(ORIG!M480=0,"",ORIG!M480)</f>
        <v/>
      </c>
      <c r="N480" s="3">
        <f>IF(ORIG!N480=0,"",ORIG!N480)</f>
        <v/>
      </c>
      <c r="O480" s="3">
        <f>IF(ORIG!O480=0,"",ORIG!O480)</f>
        <v/>
      </c>
      <c r="P480" s="3">
        <f>IF(ORIG!P480=0,"",ORIG!P480)</f>
        <v/>
      </c>
      <c r="Q480" s="3">
        <f>IF(ORIG!Q480=0,"",ORIG!Q480)</f>
        <v/>
      </c>
      <c r="R480" s="3">
        <f>IF(ORIG!R480=0,"",ORIG!R480)</f>
        <v/>
      </c>
      <c r="S480" s="3">
        <f>IF(ORIG!S480=0,"",ORIG!S480)</f>
        <v/>
      </c>
      <c r="T480" s="3">
        <f>IF(ORIG!T480=0,"",ORIG!T480)</f>
        <v/>
      </c>
      <c r="U480" s="3">
        <f>IF(ORIG!U480=0,"",ORIG!U480)</f>
        <v/>
      </c>
      <c r="V480" s="9">
        <f>IF(ORIG!V480=0,"",ORIG!V480)</f>
        <v/>
      </c>
      <c r="W480" s="9">
        <f>IF(ORIG!W480=0,"",ORIG!W480)</f>
        <v/>
      </c>
      <c r="X480" s="9">
        <f>IF(ORIG!X480=0,"",ORIG!X480)</f>
        <v/>
      </c>
      <c r="Y480" s="9">
        <f>IF(ORIG!Y480=0,"",ORIG!Y480)</f>
        <v/>
      </c>
      <c r="Z480" s="3">
        <f>SUMPRODUCT($B480:$Y480,$B$2649:$Y$2649)</f>
        <v/>
      </c>
      <c r="AA480" s="3">
        <f>SUMPRODUCT($B480:$Y480,$B$2655:$Y$2655)</f>
        <v/>
      </c>
      <c r="AC480" s="1">
        <f>A480</f>
        <v/>
      </c>
      <c r="AD480">
        <f>IF(ISNUMBER(V480),V480*($AB$1/V$2635),"")</f>
        <v/>
      </c>
      <c r="AE480">
        <f>IF(ISNUMBER(Z480),Z480*($AB$1/Z$2635),"")</f>
        <v/>
      </c>
      <c r="AF480" s="25">
        <f>IF(ISNUMBER(AD480+AE480),AD480+AE480,"")</f>
        <v/>
      </c>
      <c r="AH480" s="1">
        <f>A480</f>
        <v/>
      </c>
      <c r="AI480">
        <f>IF(ISNUMBER((1+V480)*AI479),(1+V480)*AI479,AI479)</f>
        <v/>
      </c>
      <c r="AJ480">
        <f>IF(ISNUMBER((1+Z480)*AJ479),(1+Z480)*AJ479,AJ479)</f>
        <v/>
      </c>
    </row>
    <row r="481">
      <c r="A481" s="1" t="n">
        <v>42697</v>
      </c>
      <c r="B481" s="3">
        <f>IF(ORIG!B481=0,"",ORIG!B481)</f>
        <v/>
      </c>
      <c r="C481" s="3">
        <f>IF(ORIG!C481=0,"",ORIG!C481)</f>
        <v/>
      </c>
      <c r="D481" s="3">
        <f>IF(ORIG!D481=0,"",ORIG!D481)</f>
        <v/>
      </c>
      <c r="E481" s="3">
        <f>IF(ORIG!E481=0,"",ORIG!E481)</f>
        <v/>
      </c>
      <c r="F481" s="3">
        <f>IF(ORIG!F481=0,"",ORIG!F481)</f>
        <v/>
      </c>
      <c r="G481" s="3">
        <f>IF(ORIG!G481=0,"",ORIG!G481)</f>
        <v/>
      </c>
      <c r="H481" s="3">
        <f>IF(ORIG!H481=0,"",ORIG!H481)</f>
        <v/>
      </c>
      <c r="I481" s="3">
        <f>IF(ORIG!I481=0,"",ORIG!I481)</f>
        <v/>
      </c>
      <c r="J481" s="3">
        <f>IF(ORIG!J481=0,"",ORIG!J481)</f>
        <v/>
      </c>
      <c r="K481" s="3">
        <f>IF(ORIG!K481=0,"",ORIG!K481)</f>
        <v/>
      </c>
      <c r="L481" s="3">
        <f>IF(ORIG!L481=0,"",ORIG!L481)</f>
        <v/>
      </c>
      <c r="M481" s="3">
        <f>IF(ORIG!M481=0,"",ORIG!M481)</f>
        <v/>
      </c>
      <c r="N481" s="3">
        <f>IF(ORIG!N481=0,"",ORIG!N481)</f>
        <v/>
      </c>
      <c r="O481" s="3">
        <f>IF(ORIG!O481=0,"",ORIG!O481)</f>
        <v/>
      </c>
      <c r="P481" s="3">
        <f>IF(ORIG!P481=0,"",ORIG!P481)</f>
        <v/>
      </c>
      <c r="Q481" s="3">
        <f>IF(ORIG!Q481=0,"",ORIG!Q481)</f>
        <v/>
      </c>
      <c r="R481" s="3">
        <f>IF(ORIG!R481=0,"",ORIG!R481)</f>
        <v/>
      </c>
      <c r="S481" s="3">
        <f>IF(ORIG!S481=0,"",ORIG!S481)</f>
        <v/>
      </c>
      <c r="T481" s="3">
        <f>IF(ORIG!T481=0,"",ORIG!T481)</f>
        <v/>
      </c>
      <c r="U481" s="3">
        <f>IF(ORIG!U481=0,"",ORIG!U481)</f>
        <v/>
      </c>
      <c r="V481" s="9">
        <f>IF(ORIG!V481=0,"",ORIG!V481)</f>
        <v/>
      </c>
      <c r="W481" s="9">
        <f>IF(ORIG!W481=0,"",ORIG!W481)</f>
        <v/>
      </c>
      <c r="X481" s="9">
        <f>IF(ORIG!X481=0,"",ORIG!X481)</f>
        <v/>
      </c>
      <c r="Y481" s="9">
        <f>IF(ORIG!Y481=0,"",ORIG!Y481)</f>
        <v/>
      </c>
      <c r="Z481" s="3">
        <f>SUMPRODUCT($B481:$Y481,$B$2649:$Y$2649)</f>
        <v/>
      </c>
      <c r="AA481" s="3">
        <f>SUMPRODUCT($B481:$Y481,$B$2655:$Y$2655)</f>
        <v/>
      </c>
      <c r="AC481" s="1">
        <f>A481</f>
        <v/>
      </c>
      <c r="AD481">
        <f>IF(ISNUMBER(V481),V481*($AB$1/V$2635),"")</f>
        <v/>
      </c>
      <c r="AE481">
        <f>IF(ISNUMBER(Z481),Z481*($AB$1/Z$2635),"")</f>
        <v/>
      </c>
      <c r="AF481" s="25">
        <f>IF(ISNUMBER(AD481+AE481),AD481+AE481,"")</f>
        <v/>
      </c>
      <c r="AH481" s="1">
        <f>A481</f>
        <v/>
      </c>
      <c r="AI481">
        <f>IF(ISNUMBER((1+V481)*AI480),(1+V481)*AI480,AI480)</f>
        <v/>
      </c>
      <c r="AJ481">
        <f>IF(ISNUMBER((1+Z481)*AJ480),(1+Z481)*AJ480,AJ480)</f>
        <v/>
      </c>
    </row>
    <row r="482">
      <c r="A482" s="1" t="n">
        <v>42699</v>
      </c>
      <c r="B482" s="3">
        <f>IF(ORIG!B482=0,"",ORIG!B482)</f>
        <v/>
      </c>
      <c r="C482" s="3">
        <f>IF(ORIG!C482=0,"",ORIG!C482)</f>
        <v/>
      </c>
      <c r="D482" s="3">
        <f>IF(ORIG!D482=0,"",ORIG!D482)</f>
        <v/>
      </c>
      <c r="E482" s="3">
        <f>IF(ORIG!E482=0,"",ORIG!E482)</f>
        <v/>
      </c>
      <c r="F482" s="3">
        <f>IF(ORIG!F482=0,"",ORIG!F482)</f>
        <v/>
      </c>
      <c r="G482" s="3">
        <f>IF(ORIG!G482=0,"",ORIG!G482)</f>
        <v/>
      </c>
      <c r="H482" s="3">
        <f>IF(ORIG!H482=0,"",ORIG!H482)</f>
        <v/>
      </c>
      <c r="I482" s="3">
        <f>IF(ORIG!I482=0,"",ORIG!I482)</f>
        <v/>
      </c>
      <c r="J482" s="3">
        <f>IF(ORIG!J482=0,"",ORIG!J482)</f>
        <v/>
      </c>
      <c r="K482" s="3">
        <f>IF(ORIG!K482=0,"",ORIG!K482)</f>
        <v/>
      </c>
      <c r="L482" s="3">
        <f>IF(ORIG!L482=0,"",ORIG!L482)</f>
        <v/>
      </c>
      <c r="M482" s="3">
        <f>IF(ORIG!M482=0,"",ORIG!M482)</f>
        <v/>
      </c>
      <c r="N482" s="3">
        <f>IF(ORIG!N482=0,"",ORIG!N482)</f>
        <v/>
      </c>
      <c r="O482" s="3">
        <f>IF(ORIG!O482=0,"",ORIG!O482)</f>
        <v/>
      </c>
      <c r="P482" s="3">
        <f>IF(ORIG!P482=0,"",ORIG!P482)</f>
        <v/>
      </c>
      <c r="Q482" s="3">
        <f>IF(ORIG!Q482=0,"",ORIG!Q482)</f>
        <v/>
      </c>
      <c r="R482" s="3">
        <f>IF(ORIG!R482=0,"",ORIG!R482)</f>
        <v/>
      </c>
      <c r="S482" s="3">
        <f>IF(ORIG!S482=0,"",ORIG!S482)</f>
        <v/>
      </c>
      <c r="T482" s="3">
        <f>IF(ORIG!T482=0,"",ORIG!T482)</f>
        <v/>
      </c>
      <c r="U482" s="3">
        <f>IF(ORIG!U482=0,"",ORIG!U482)</f>
        <v/>
      </c>
      <c r="V482" s="9">
        <f>IF(ORIG!V482=0,"",ORIG!V482)</f>
        <v/>
      </c>
      <c r="W482" s="9">
        <f>IF(ORIG!W482=0,"",ORIG!W482)</f>
        <v/>
      </c>
      <c r="X482" s="9">
        <f>IF(ORIG!X482=0,"",ORIG!X482)</f>
        <v/>
      </c>
      <c r="Y482" s="9">
        <f>IF(ORIG!Y482=0,"",ORIG!Y482)</f>
        <v/>
      </c>
      <c r="Z482" s="3">
        <f>SUMPRODUCT($B482:$Y482,$B$2649:$Y$2649)</f>
        <v/>
      </c>
      <c r="AA482" s="3">
        <f>SUMPRODUCT($B482:$Y482,$B$2655:$Y$2655)</f>
        <v/>
      </c>
      <c r="AC482" s="1">
        <f>A482</f>
        <v/>
      </c>
      <c r="AD482">
        <f>IF(ISNUMBER(V482),V482*($AB$1/V$2635),"")</f>
        <v/>
      </c>
      <c r="AE482">
        <f>IF(ISNUMBER(Z482),Z482*($AB$1/Z$2635),"")</f>
        <v/>
      </c>
      <c r="AF482" s="25">
        <f>IF(ISNUMBER(AD482+AE482),AD482+AE482,"")</f>
        <v/>
      </c>
      <c r="AH482" s="1">
        <f>A482</f>
        <v/>
      </c>
      <c r="AI482">
        <f>IF(ISNUMBER((1+V482)*AI481),(1+V482)*AI481,AI481)</f>
        <v/>
      </c>
      <c r="AJ482">
        <f>IF(ISNUMBER((1+Z482)*AJ481),(1+Z482)*AJ481,AJ481)</f>
        <v/>
      </c>
    </row>
    <row r="483">
      <c r="A483" s="1" t="n">
        <v>42702</v>
      </c>
      <c r="B483" s="3">
        <f>IF(ORIG!B483=0,"",ORIG!B483)</f>
        <v/>
      </c>
      <c r="C483" s="3">
        <f>IF(ORIG!C483=0,"",ORIG!C483)</f>
        <v/>
      </c>
      <c r="D483" s="3">
        <f>IF(ORIG!D483=0,"",ORIG!D483)</f>
        <v/>
      </c>
      <c r="E483" s="3">
        <f>IF(ORIG!E483=0,"",ORIG!E483)</f>
        <v/>
      </c>
      <c r="F483" s="3">
        <f>IF(ORIG!F483=0,"",ORIG!F483)</f>
        <v/>
      </c>
      <c r="G483" s="3">
        <f>IF(ORIG!G483=0,"",ORIG!G483)</f>
        <v/>
      </c>
      <c r="H483" s="3">
        <f>IF(ORIG!H483=0,"",ORIG!H483)</f>
        <v/>
      </c>
      <c r="I483" s="3">
        <f>IF(ORIG!I483=0,"",ORIG!I483)</f>
        <v/>
      </c>
      <c r="J483" s="3">
        <f>IF(ORIG!J483=0,"",ORIG!J483)</f>
        <v/>
      </c>
      <c r="K483" s="3">
        <f>IF(ORIG!K483=0,"",ORIG!K483)</f>
        <v/>
      </c>
      <c r="L483" s="3">
        <f>IF(ORIG!L483=0,"",ORIG!L483)</f>
        <v/>
      </c>
      <c r="M483" s="3">
        <f>IF(ORIG!M483=0,"",ORIG!M483)</f>
        <v/>
      </c>
      <c r="N483" s="3">
        <f>IF(ORIG!N483=0,"",ORIG!N483)</f>
        <v/>
      </c>
      <c r="O483" s="3">
        <f>IF(ORIG!O483=0,"",ORIG!O483)</f>
        <v/>
      </c>
      <c r="P483" s="3">
        <f>IF(ORIG!P483=0,"",ORIG!P483)</f>
        <v/>
      </c>
      <c r="Q483" s="3">
        <f>IF(ORIG!Q483=0,"",ORIG!Q483)</f>
        <v/>
      </c>
      <c r="R483" s="3">
        <f>IF(ORIG!R483=0,"",ORIG!R483)</f>
        <v/>
      </c>
      <c r="S483" s="3">
        <f>IF(ORIG!S483=0,"",ORIG!S483)</f>
        <v/>
      </c>
      <c r="T483" s="3">
        <f>IF(ORIG!T483=0,"",ORIG!T483)</f>
        <v/>
      </c>
      <c r="U483" s="3">
        <f>IF(ORIG!U483=0,"",ORIG!U483)</f>
        <v/>
      </c>
      <c r="V483" s="9">
        <f>IF(ORIG!V483=0,"",ORIG!V483)</f>
        <v/>
      </c>
      <c r="W483" s="9">
        <f>IF(ORIG!W483=0,"",ORIG!W483)</f>
        <v/>
      </c>
      <c r="X483" s="9">
        <f>IF(ORIG!X483=0,"",ORIG!X483)</f>
        <v/>
      </c>
      <c r="Y483" s="9">
        <f>IF(ORIG!Y483=0,"",ORIG!Y483)</f>
        <v/>
      </c>
      <c r="Z483" s="3">
        <f>SUMPRODUCT($B483:$Y483,$B$2649:$Y$2649)</f>
        <v/>
      </c>
      <c r="AA483" s="3">
        <f>SUMPRODUCT($B483:$Y483,$B$2655:$Y$2655)</f>
        <v/>
      </c>
      <c r="AC483" s="1">
        <f>A483</f>
        <v/>
      </c>
      <c r="AD483">
        <f>IF(ISNUMBER(V483),V483*($AB$1/V$2635),"")</f>
        <v/>
      </c>
      <c r="AE483">
        <f>IF(ISNUMBER(Z483),Z483*($AB$1/Z$2635),"")</f>
        <v/>
      </c>
      <c r="AF483" s="25">
        <f>IF(ISNUMBER(AD483+AE483),AD483+AE483,"")</f>
        <v/>
      </c>
      <c r="AH483" s="1">
        <f>A483</f>
        <v/>
      </c>
      <c r="AI483">
        <f>IF(ISNUMBER((1+V483)*AI482),(1+V483)*AI482,AI482)</f>
        <v/>
      </c>
      <c r="AJ483">
        <f>IF(ISNUMBER((1+Z483)*AJ482),(1+Z483)*AJ482,AJ482)</f>
        <v/>
      </c>
    </row>
    <row r="484">
      <c r="A484" s="1" t="n">
        <v>42703</v>
      </c>
      <c r="B484" s="3">
        <f>IF(ORIG!B484=0,"",ORIG!B484)</f>
        <v/>
      </c>
      <c r="C484" s="3">
        <f>IF(ORIG!C484=0,"",ORIG!C484)</f>
        <v/>
      </c>
      <c r="D484" s="3">
        <f>IF(ORIG!D484=0,"",ORIG!D484)</f>
        <v/>
      </c>
      <c r="E484" s="3">
        <f>IF(ORIG!E484=0,"",ORIG!E484)</f>
        <v/>
      </c>
      <c r="F484" s="3">
        <f>IF(ORIG!F484=0,"",ORIG!F484)</f>
        <v/>
      </c>
      <c r="G484" s="3">
        <f>IF(ORIG!G484=0,"",ORIG!G484)</f>
        <v/>
      </c>
      <c r="H484" s="3">
        <f>IF(ORIG!H484=0,"",ORIG!H484)</f>
        <v/>
      </c>
      <c r="I484" s="3">
        <f>IF(ORIG!I484=0,"",ORIG!I484)</f>
        <v/>
      </c>
      <c r="J484" s="3">
        <f>IF(ORIG!J484=0,"",ORIG!J484)</f>
        <v/>
      </c>
      <c r="K484" s="3">
        <f>IF(ORIG!K484=0,"",ORIG!K484)</f>
        <v/>
      </c>
      <c r="L484" s="3">
        <f>IF(ORIG!L484=0,"",ORIG!L484)</f>
        <v/>
      </c>
      <c r="M484" s="3">
        <f>IF(ORIG!M484=0,"",ORIG!M484)</f>
        <v/>
      </c>
      <c r="N484" s="3">
        <f>IF(ORIG!N484=0,"",ORIG!N484)</f>
        <v/>
      </c>
      <c r="O484" s="3">
        <f>IF(ORIG!O484=0,"",ORIG!O484)</f>
        <v/>
      </c>
      <c r="P484" s="3">
        <f>IF(ORIG!P484=0,"",ORIG!P484)</f>
        <v/>
      </c>
      <c r="Q484" s="3">
        <f>IF(ORIG!Q484=0,"",ORIG!Q484)</f>
        <v/>
      </c>
      <c r="R484" s="3">
        <f>IF(ORIG!R484=0,"",ORIG!R484)</f>
        <v/>
      </c>
      <c r="S484" s="3">
        <f>IF(ORIG!S484=0,"",ORIG!S484)</f>
        <v/>
      </c>
      <c r="T484" s="3">
        <f>IF(ORIG!T484=0,"",ORIG!T484)</f>
        <v/>
      </c>
      <c r="U484" s="3">
        <f>IF(ORIG!U484=0,"",ORIG!U484)</f>
        <v/>
      </c>
      <c r="V484" s="9">
        <f>IF(ORIG!V484=0,"",ORIG!V484)</f>
        <v/>
      </c>
      <c r="W484" s="9">
        <f>IF(ORIG!W484=0,"",ORIG!W484)</f>
        <v/>
      </c>
      <c r="X484" s="9">
        <f>IF(ORIG!X484=0,"",ORIG!X484)</f>
        <v/>
      </c>
      <c r="Y484" s="9">
        <f>IF(ORIG!Y484=0,"",ORIG!Y484)</f>
        <v/>
      </c>
      <c r="Z484" s="3">
        <f>SUMPRODUCT($B484:$Y484,$B$2649:$Y$2649)</f>
        <v/>
      </c>
      <c r="AA484" s="3">
        <f>SUMPRODUCT($B484:$Y484,$B$2655:$Y$2655)</f>
        <v/>
      </c>
      <c r="AC484" s="1">
        <f>A484</f>
        <v/>
      </c>
      <c r="AD484">
        <f>IF(ISNUMBER(V484),V484*($AB$1/V$2635),"")</f>
        <v/>
      </c>
      <c r="AE484">
        <f>IF(ISNUMBER(Z484),Z484*($AB$1/Z$2635),"")</f>
        <v/>
      </c>
      <c r="AF484" s="25">
        <f>IF(ISNUMBER(AD484+AE484),AD484+AE484,"")</f>
        <v/>
      </c>
      <c r="AH484" s="1">
        <f>A484</f>
        <v/>
      </c>
      <c r="AI484">
        <f>IF(ISNUMBER((1+V484)*AI483),(1+V484)*AI483,AI483)</f>
        <v/>
      </c>
      <c r="AJ484">
        <f>IF(ISNUMBER((1+Z484)*AJ483),(1+Z484)*AJ483,AJ483)</f>
        <v/>
      </c>
    </row>
    <row r="485">
      <c r="A485" s="1" t="n">
        <v>42704</v>
      </c>
      <c r="B485" s="3">
        <f>IF(ORIG!B485=0,"",ORIG!B485)</f>
        <v/>
      </c>
      <c r="C485" s="3">
        <f>IF(ORIG!C485=0,"",ORIG!C485)</f>
        <v/>
      </c>
      <c r="D485" s="3">
        <f>IF(ORIG!D485=0,"",ORIG!D485)</f>
        <v/>
      </c>
      <c r="E485" s="3">
        <f>IF(ORIG!E485=0,"",ORIG!E485)</f>
        <v/>
      </c>
      <c r="F485" s="3">
        <f>IF(ORIG!F485=0,"",ORIG!F485)</f>
        <v/>
      </c>
      <c r="G485" s="3">
        <f>IF(ORIG!G485=0,"",ORIG!G485)</f>
        <v/>
      </c>
      <c r="H485" s="3">
        <f>IF(ORIG!H485=0,"",ORIG!H485)</f>
        <v/>
      </c>
      <c r="I485" s="3">
        <f>IF(ORIG!I485=0,"",ORIG!I485)</f>
        <v/>
      </c>
      <c r="J485" s="3">
        <f>IF(ORIG!J485=0,"",ORIG!J485)</f>
        <v/>
      </c>
      <c r="K485" s="3">
        <f>IF(ORIG!K485=0,"",ORIG!K485)</f>
        <v/>
      </c>
      <c r="L485" s="3">
        <f>IF(ORIG!L485=0,"",ORIG!L485)</f>
        <v/>
      </c>
      <c r="M485" s="3">
        <f>IF(ORIG!M485=0,"",ORIG!M485)</f>
        <v/>
      </c>
      <c r="N485" s="3">
        <f>IF(ORIG!N485=0,"",ORIG!N485)</f>
        <v/>
      </c>
      <c r="O485" s="3">
        <f>IF(ORIG!O485=0,"",ORIG!O485)</f>
        <v/>
      </c>
      <c r="P485" s="3">
        <f>IF(ORIG!P485=0,"",ORIG!P485)</f>
        <v/>
      </c>
      <c r="Q485" s="3">
        <f>IF(ORIG!Q485=0,"",ORIG!Q485)</f>
        <v/>
      </c>
      <c r="R485" s="3">
        <f>IF(ORIG!R485=0,"",ORIG!R485)</f>
        <v/>
      </c>
      <c r="S485" s="3">
        <f>IF(ORIG!S485=0,"",ORIG!S485)</f>
        <v/>
      </c>
      <c r="T485" s="3">
        <f>IF(ORIG!T485=0,"",ORIG!T485)</f>
        <v/>
      </c>
      <c r="U485" s="3">
        <f>IF(ORIG!U485=0,"",ORIG!U485)</f>
        <v/>
      </c>
      <c r="V485" s="9">
        <f>IF(ORIG!V485=0,"",ORIG!V485)</f>
        <v/>
      </c>
      <c r="W485" s="9">
        <f>IF(ORIG!W485=0,"",ORIG!W485)</f>
        <v/>
      </c>
      <c r="X485" s="9">
        <f>IF(ORIG!X485=0,"",ORIG!X485)</f>
        <v/>
      </c>
      <c r="Y485" s="9">
        <f>IF(ORIG!Y485=0,"",ORIG!Y485)</f>
        <v/>
      </c>
      <c r="Z485" s="3">
        <f>SUMPRODUCT($B485:$Y485,$B$2649:$Y$2649)</f>
        <v/>
      </c>
      <c r="AA485" s="3">
        <f>SUMPRODUCT($B485:$Y485,$B$2655:$Y$2655)</f>
        <v/>
      </c>
      <c r="AC485" s="1">
        <f>A485</f>
        <v/>
      </c>
      <c r="AD485">
        <f>IF(ISNUMBER(V485),V485*($AB$1/V$2635),"")</f>
        <v/>
      </c>
      <c r="AE485">
        <f>IF(ISNUMBER(Z485),Z485*($AB$1/Z$2635),"")</f>
        <v/>
      </c>
      <c r="AF485" s="25">
        <f>IF(ISNUMBER(AD485+AE485),AD485+AE485,"")</f>
        <v/>
      </c>
      <c r="AH485" s="1">
        <f>A485</f>
        <v/>
      </c>
      <c r="AI485">
        <f>IF(ISNUMBER((1+V485)*AI484),(1+V485)*AI484,AI484)</f>
        <v/>
      </c>
      <c r="AJ485">
        <f>IF(ISNUMBER((1+Z485)*AJ484),(1+Z485)*AJ484,AJ484)</f>
        <v/>
      </c>
    </row>
    <row r="486">
      <c r="A486" s="1" t="n">
        <v>42705</v>
      </c>
      <c r="B486" s="3">
        <f>IF(ORIG!B486=0,"",ORIG!B486)</f>
        <v/>
      </c>
      <c r="C486" s="3">
        <f>IF(ORIG!C486=0,"",ORIG!C486)</f>
        <v/>
      </c>
      <c r="D486" s="3">
        <f>IF(ORIG!D486=0,"",ORIG!D486)</f>
        <v/>
      </c>
      <c r="E486" s="3">
        <f>IF(ORIG!E486=0,"",ORIG!E486)</f>
        <v/>
      </c>
      <c r="F486" s="3">
        <f>IF(ORIG!F486=0,"",ORIG!F486)</f>
        <v/>
      </c>
      <c r="G486" s="3">
        <f>IF(ORIG!G486=0,"",ORIG!G486)</f>
        <v/>
      </c>
      <c r="H486" s="3">
        <f>IF(ORIG!H486=0,"",ORIG!H486)</f>
        <v/>
      </c>
      <c r="I486" s="3">
        <f>IF(ORIG!I486=0,"",ORIG!I486)</f>
        <v/>
      </c>
      <c r="J486" s="3">
        <f>IF(ORIG!J486=0,"",ORIG!J486)</f>
        <v/>
      </c>
      <c r="K486" s="3">
        <f>IF(ORIG!K486=0,"",ORIG!K486)</f>
        <v/>
      </c>
      <c r="L486" s="3">
        <f>IF(ORIG!L486=0,"",ORIG!L486)</f>
        <v/>
      </c>
      <c r="M486" s="3">
        <f>IF(ORIG!M486=0,"",ORIG!M486)</f>
        <v/>
      </c>
      <c r="N486" s="3">
        <f>IF(ORIG!N486=0,"",ORIG!N486)</f>
        <v/>
      </c>
      <c r="O486" s="3">
        <f>IF(ORIG!O486=0,"",ORIG!O486)</f>
        <v/>
      </c>
      <c r="P486" s="3">
        <f>IF(ORIG!P486=0,"",ORIG!P486)</f>
        <v/>
      </c>
      <c r="Q486" s="3">
        <f>IF(ORIG!Q486=0,"",ORIG!Q486)</f>
        <v/>
      </c>
      <c r="R486" s="3">
        <f>IF(ORIG!R486=0,"",ORIG!R486)</f>
        <v/>
      </c>
      <c r="S486" s="3">
        <f>IF(ORIG!S486=0,"",ORIG!S486)</f>
        <v/>
      </c>
      <c r="T486" s="3">
        <f>IF(ORIG!T486=0,"",ORIG!T486)</f>
        <v/>
      </c>
      <c r="U486" s="3">
        <f>IF(ORIG!U486=0,"",ORIG!U486)</f>
        <v/>
      </c>
      <c r="V486" s="9">
        <f>IF(ORIG!V486=0,"",ORIG!V486)</f>
        <v/>
      </c>
      <c r="W486" s="9">
        <f>IF(ORIG!W486=0,"",ORIG!W486)</f>
        <v/>
      </c>
      <c r="X486" s="9">
        <f>IF(ORIG!X486=0,"",ORIG!X486)</f>
        <v/>
      </c>
      <c r="Y486" s="9">
        <f>IF(ORIG!Y486=0,"",ORIG!Y486)</f>
        <v/>
      </c>
      <c r="Z486" s="3">
        <f>SUMPRODUCT($B486:$Y486,$B$2649:$Y$2649)</f>
        <v/>
      </c>
      <c r="AA486" s="3">
        <f>SUMPRODUCT($B486:$Y486,$B$2655:$Y$2655)</f>
        <v/>
      </c>
      <c r="AC486" s="1">
        <f>A486</f>
        <v/>
      </c>
      <c r="AD486">
        <f>IF(ISNUMBER(V486),V486*($AB$1/V$2635),"")</f>
        <v/>
      </c>
      <c r="AE486">
        <f>IF(ISNUMBER(Z486),Z486*($AB$1/Z$2635),"")</f>
        <v/>
      </c>
      <c r="AF486" s="25">
        <f>IF(ISNUMBER(AD486+AE486),AD486+AE486,"")</f>
        <v/>
      </c>
      <c r="AH486" s="1">
        <f>A486</f>
        <v/>
      </c>
      <c r="AI486">
        <f>IF(ISNUMBER((1+V486)*AI485),(1+V486)*AI485,AI485)</f>
        <v/>
      </c>
      <c r="AJ486">
        <f>IF(ISNUMBER((1+Z486)*AJ485),(1+Z486)*AJ485,AJ485)</f>
        <v/>
      </c>
    </row>
    <row r="487">
      <c r="A487" s="1" t="n">
        <v>42706</v>
      </c>
      <c r="B487" s="3">
        <f>IF(ORIG!B487=0,"",ORIG!B487)</f>
        <v/>
      </c>
      <c r="C487" s="3">
        <f>IF(ORIG!C487=0,"",ORIG!C487)</f>
        <v/>
      </c>
      <c r="D487" s="3">
        <f>IF(ORIG!D487=0,"",ORIG!D487)</f>
        <v/>
      </c>
      <c r="E487" s="3">
        <f>IF(ORIG!E487=0,"",ORIG!E487)</f>
        <v/>
      </c>
      <c r="F487" s="3">
        <f>IF(ORIG!F487=0,"",ORIG!F487)</f>
        <v/>
      </c>
      <c r="G487" s="3">
        <f>IF(ORIG!G487=0,"",ORIG!G487)</f>
        <v/>
      </c>
      <c r="H487" s="3">
        <f>IF(ORIG!H487=0,"",ORIG!H487)</f>
        <v/>
      </c>
      <c r="I487" s="3">
        <f>IF(ORIG!I487=0,"",ORIG!I487)</f>
        <v/>
      </c>
      <c r="J487" s="3">
        <f>IF(ORIG!J487=0,"",ORIG!J487)</f>
        <v/>
      </c>
      <c r="K487" s="3">
        <f>IF(ORIG!K487=0,"",ORIG!K487)</f>
        <v/>
      </c>
      <c r="L487" s="3">
        <f>IF(ORIG!L487=0,"",ORIG!L487)</f>
        <v/>
      </c>
      <c r="M487" s="3">
        <f>IF(ORIG!M487=0,"",ORIG!M487)</f>
        <v/>
      </c>
      <c r="N487" s="3">
        <f>IF(ORIG!N487=0,"",ORIG!N487)</f>
        <v/>
      </c>
      <c r="O487" s="3">
        <f>IF(ORIG!O487=0,"",ORIG!O487)</f>
        <v/>
      </c>
      <c r="P487" s="3">
        <f>IF(ORIG!P487=0,"",ORIG!P487)</f>
        <v/>
      </c>
      <c r="Q487" s="3">
        <f>IF(ORIG!Q487=0,"",ORIG!Q487)</f>
        <v/>
      </c>
      <c r="R487" s="3">
        <f>IF(ORIG!R487=0,"",ORIG!R487)</f>
        <v/>
      </c>
      <c r="S487" s="3">
        <f>IF(ORIG!S487=0,"",ORIG!S487)</f>
        <v/>
      </c>
      <c r="T487" s="3">
        <f>IF(ORIG!T487=0,"",ORIG!T487)</f>
        <v/>
      </c>
      <c r="U487" s="3">
        <f>IF(ORIG!U487=0,"",ORIG!U487)</f>
        <v/>
      </c>
      <c r="V487" s="9">
        <f>IF(ORIG!V487=0,"",ORIG!V487)</f>
        <v/>
      </c>
      <c r="W487" s="9">
        <f>IF(ORIG!W487=0,"",ORIG!W487)</f>
        <v/>
      </c>
      <c r="X487" s="9">
        <f>IF(ORIG!X487=0,"",ORIG!X487)</f>
        <v/>
      </c>
      <c r="Y487" s="9">
        <f>IF(ORIG!Y487=0,"",ORIG!Y487)</f>
        <v/>
      </c>
      <c r="Z487" s="3">
        <f>SUMPRODUCT($B487:$Y487,$B$2649:$Y$2649)</f>
        <v/>
      </c>
      <c r="AA487" s="3">
        <f>SUMPRODUCT($B487:$Y487,$B$2655:$Y$2655)</f>
        <v/>
      </c>
      <c r="AC487" s="1">
        <f>A487</f>
        <v/>
      </c>
      <c r="AD487">
        <f>IF(ISNUMBER(V487),V487*($AB$1/V$2635),"")</f>
        <v/>
      </c>
      <c r="AE487">
        <f>IF(ISNUMBER(Z487),Z487*($AB$1/Z$2635),"")</f>
        <v/>
      </c>
      <c r="AF487" s="25">
        <f>IF(ISNUMBER(AD487+AE487),AD487+AE487,"")</f>
        <v/>
      </c>
      <c r="AH487" s="1">
        <f>A487</f>
        <v/>
      </c>
      <c r="AI487">
        <f>IF(ISNUMBER((1+V487)*AI486),(1+V487)*AI486,AI486)</f>
        <v/>
      </c>
      <c r="AJ487">
        <f>IF(ISNUMBER((1+Z487)*AJ486),(1+Z487)*AJ486,AJ486)</f>
        <v/>
      </c>
    </row>
    <row r="488">
      <c r="A488" s="1" t="n">
        <v>42709</v>
      </c>
      <c r="B488" s="3">
        <f>IF(ORIG!B488=0,"",ORIG!B488)</f>
        <v/>
      </c>
      <c r="C488" s="3">
        <f>IF(ORIG!C488=0,"",ORIG!C488)</f>
        <v/>
      </c>
      <c r="D488" s="3">
        <f>IF(ORIG!D488=0,"",ORIG!D488)</f>
        <v/>
      </c>
      <c r="E488" s="3">
        <f>IF(ORIG!E488=0,"",ORIG!E488)</f>
        <v/>
      </c>
      <c r="F488" s="3">
        <f>IF(ORIG!F488=0,"",ORIG!F488)</f>
        <v/>
      </c>
      <c r="G488" s="3">
        <f>IF(ORIG!G488=0,"",ORIG!G488)</f>
        <v/>
      </c>
      <c r="H488" s="3">
        <f>IF(ORIG!H488=0,"",ORIG!H488)</f>
        <v/>
      </c>
      <c r="I488" s="3">
        <f>IF(ORIG!I488=0,"",ORIG!I488)</f>
        <v/>
      </c>
      <c r="J488" s="3">
        <f>IF(ORIG!J488=0,"",ORIG!J488)</f>
        <v/>
      </c>
      <c r="K488" s="3">
        <f>IF(ORIG!K488=0,"",ORIG!K488)</f>
        <v/>
      </c>
      <c r="L488" s="3">
        <f>IF(ORIG!L488=0,"",ORIG!L488)</f>
        <v/>
      </c>
      <c r="M488" s="3">
        <f>IF(ORIG!M488=0,"",ORIG!M488)</f>
        <v/>
      </c>
      <c r="N488" s="3">
        <f>IF(ORIG!N488=0,"",ORIG!N488)</f>
        <v/>
      </c>
      <c r="O488" s="3">
        <f>IF(ORIG!O488=0,"",ORIG!O488)</f>
        <v/>
      </c>
      <c r="P488" s="3">
        <f>IF(ORIG!P488=0,"",ORIG!P488)</f>
        <v/>
      </c>
      <c r="Q488" s="3">
        <f>IF(ORIG!Q488=0,"",ORIG!Q488)</f>
        <v/>
      </c>
      <c r="R488" s="3">
        <f>IF(ORIG!R488=0,"",ORIG!R488)</f>
        <v/>
      </c>
      <c r="S488" s="3">
        <f>IF(ORIG!S488=0,"",ORIG!S488)</f>
        <v/>
      </c>
      <c r="T488" s="3">
        <f>IF(ORIG!T488=0,"",ORIG!T488)</f>
        <v/>
      </c>
      <c r="U488" s="3">
        <f>IF(ORIG!U488=0,"",ORIG!U488)</f>
        <v/>
      </c>
      <c r="V488" s="9">
        <f>IF(ORIG!V488=0,"",ORIG!V488)</f>
        <v/>
      </c>
      <c r="W488" s="9">
        <f>IF(ORIG!W488=0,"",ORIG!W488)</f>
        <v/>
      </c>
      <c r="X488" s="9">
        <f>IF(ORIG!X488=0,"",ORIG!X488)</f>
        <v/>
      </c>
      <c r="Y488" s="9">
        <f>IF(ORIG!Y488=0,"",ORIG!Y488)</f>
        <v/>
      </c>
      <c r="Z488" s="3">
        <f>SUMPRODUCT($B488:$Y488,$B$2649:$Y$2649)</f>
        <v/>
      </c>
      <c r="AA488" s="3">
        <f>SUMPRODUCT($B488:$Y488,$B$2655:$Y$2655)</f>
        <v/>
      </c>
      <c r="AC488" s="1">
        <f>A488</f>
        <v/>
      </c>
      <c r="AD488">
        <f>IF(ISNUMBER(V488),V488*($AB$1/V$2635),"")</f>
        <v/>
      </c>
      <c r="AE488">
        <f>IF(ISNUMBER(Z488),Z488*($AB$1/Z$2635),"")</f>
        <v/>
      </c>
      <c r="AF488" s="25">
        <f>IF(ISNUMBER(AD488+AE488),AD488+AE488,"")</f>
        <v/>
      </c>
      <c r="AH488" s="1">
        <f>A488</f>
        <v/>
      </c>
      <c r="AI488">
        <f>IF(ISNUMBER((1+V488)*AI487),(1+V488)*AI487,AI487)</f>
        <v/>
      </c>
      <c r="AJ488">
        <f>IF(ISNUMBER((1+Z488)*AJ487),(1+Z488)*AJ487,AJ487)</f>
        <v/>
      </c>
    </row>
    <row r="489">
      <c r="A489" s="1" t="n">
        <v>42710</v>
      </c>
      <c r="B489" s="3">
        <f>IF(ORIG!B489=0,"",ORIG!B489)</f>
        <v/>
      </c>
      <c r="C489" s="3">
        <f>IF(ORIG!C489=0,"",ORIG!C489)</f>
        <v/>
      </c>
      <c r="D489" s="3">
        <f>IF(ORIG!D489=0,"",ORIG!D489)</f>
        <v/>
      </c>
      <c r="E489" s="3">
        <f>IF(ORIG!E489=0,"",ORIG!E489)</f>
        <v/>
      </c>
      <c r="F489" s="3">
        <f>IF(ORIG!F489=0,"",ORIG!F489)</f>
        <v/>
      </c>
      <c r="G489" s="3">
        <f>IF(ORIG!G489=0,"",ORIG!G489)</f>
        <v/>
      </c>
      <c r="H489" s="3">
        <f>IF(ORIG!H489=0,"",ORIG!H489)</f>
        <v/>
      </c>
      <c r="I489" s="3">
        <f>IF(ORIG!I489=0,"",ORIG!I489)</f>
        <v/>
      </c>
      <c r="J489" s="3">
        <f>IF(ORIG!J489=0,"",ORIG!J489)</f>
        <v/>
      </c>
      <c r="K489" s="3">
        <f>IF(ORIG!K489=0,"",ORIG!K489)</f>
        <v/>
      </c>
      <c r="L489" s="3">
        <f>IF(ORIG!L489=0,"",ORIG!L489)</f>
        <v/>
      </c>
      <c r="M489" s="3">
        <f>IF(ORIG!M489=0,"",ORIG!M489)</f>
        <v/>
      </c>
      <c r="N489" s="3">
        <f>IF(ORIG!N489=0,"",ORIG!N489)</f>
        <v/>
      </c>
      <c r="O489" s="3">
        <f>IF(ORIG!O489=0,"",ORIG!O489)</f>
        <v/>
      </c>
      <c r="P489" s="3">
        <f>IF(ORIG!P489=0,"",ORIG!P489)</f>
        <v/>
      </c>
      <c r="Q489" s="3">
        <f>IF(ORIG!Q489=0,"",ORIG!Q489)</f>
        <v/>
      </c>
      <c r="R489" s="3">
        <f>IF(ORIG!R489=0,"",ORIG!R489)</f>
        <v/>
      </c>
      <c r="S489" s="3">
        <f>IF(ORIG!S489=0,"",ORIG!S489)</f>
        <v/>
      </c>
      <c r="T489" s="3">
        <f>IF(ORIG!T489=0,"",ORIG!T489)</f>
        <v/>
      </c>
      <c r="U489" s="3">
        <f>IF(ORIG!U489=0,"",ORIG!U489)</f>
        <v/>
      </c>
      <c r="V489" s="9">
        <f>IF(ORIG!V489=0,"",ORIG!V489)</f>
        <v/>
      </c>
      <c r="W489" s="9">
        <f>IF(ORIG!W489=0,"",ORIG!W489)</f>
        <v/>
      </c>
      <c r="X489" s="9">
        <f>IF(ORIG!X489=0,"",ORIG!X489)</f>
        <v/>
      </c>
      <c r="Y489" s="9">
        <f>IF(ORIG!Y489=0,"",ORIG!Y489)</f>
        <v/>
      </c>
      <c r="Z489" s="3">
        <f>SUMPRODUCT($B489:$Y489,$B$2649:$Y$2649)</f>
        <v/>
      </c>
      <c r="AA489" s="3">
        <f>SUMPRODUCT($B489:$Y489,$B$2655:$Y$2655)</f>
        <v/>
      </c>
      <c r="AC489" s="1">
        <f>A489</f>
        <v/>
      </c>
      <c r="AD489">
        <f>IF(ISNUMBER(V489),V489*($AB$1/V$2635),"")</f>
        <v/>
      </c>
      <c r="AE489">
        <f>IF(ISNUMBER(Z489),Z489*($AB$1/Z$2635),"")</f>
        <v/>
      </c>
      <c r="AF489" s="25">
        <f>IF(ISNUMBER(AD489+AE489),AD489+AE489,"")</f>
        <v/>
      </c>
      <c r="AH489" s="1">
        <f>A489</f>
        <v/>
      </c>
      <c r="AI489">
        <f>IF(ISNUMBER((1+V489)*AI488),(1+V489)*AI488,AI488)</f>
        <v/>
      </c>
      <c r="AJ489">
        <f>IF(ISNUMBER((1+Z489)*AJ488),(1+Z489)*AJ488,AJ488)</f>
        <v/>
      </c>
    </row>
    <row r="490">
      <c r="A490" s="1" t="n">
        <v>42711</v>
      </c>
      <c r="B490" s="3">
        <f>IF(ORIG!B490=0,"",ORIG!B490)</f>
        <v/>
      </c>
      <c r="C490" s="3">
        <f>IF(ORIG!C490=0,"",ORIG!C490)</f>
        <v/>
      </c>
      <c r="D490" s="3">
        <f>IF(ORIG!D490=0,"",ORIG!D490)</f>
        <v/>
      </c>
      <c r="E490" s="3">
        <f>IF(ORIG!E490=0,"",ORIG!E490)</f>
        <v/>
      </c>
      <c r="F490" s="3">
        <f>IF(ORIG!F490=0,"",ORIG!F490)</f>
        <v/>
      </c>
      <c r="G490" s="3">
        <f>IF(ORIG!G490=0,"",ORIG!G490)</f>
        <v/>
      </c>
      <c r="H490" s="3">
        <f>IF(ORIG!H490=0,"",ORIG!H490)</f>
        <v/>
      </c>
      <c r="I490" s="3">
        <f>IF(ORIG!I490=0,"",ORIG!I490)</f>
        <v/>
      </c>
      <c r="J490" s="3">
        <f>IF(ORIG!J490=0,"",ORIG!J490)</f>
        <v/>
      </c>
      <c r="K490" s="3">
        <f>IF(ORIG!K490=0,"",ORIG!K490)</f>
        <v/>
      </c>
      <c r="L490" s="3">
        <f>IF(ORIG!L490=0,"",ORIG!L490)</f>
        <v/>
      </c>
      <c r="M490" s="3">
        <f>IF(ORIG!M490=0,"",ORIG!M490)</f>
        <v/>
      </c>
      <c r="N490" s="3">
        <f>IF(ORIG!N490=0,"",ORIG!N490)</f>
        <v/>
      </c>
      <c r="O490" s="3">
        <f>IF(ORIG!O490=0,"",ORIG!O490)</f>
        <v/>
      </c>
      <c r="P490" s="3">
        <f>IF(ORIG!P490=0,"",ORIG!P490)</f>
        <v/>
      </c>
      <c r="Q490" s="3">
        <f>IF(ORIG!Q490=0,"",ORIG!Q490)</f>
        <v/>
      </c>
      <c r="R490" s="3">
        <f>IF(ORIG!R490=0,"",ORIG!R490)</f>
        <v/>
      </c>
      <c r="S490" s="3">
        <f>IF(ORIG!S490=0,"",ORIG!S490)</f>
        <v/>
      </c>
      <c r="T490" s="3">
        <f>IF(ORIG!T490=0,"",ORIG!T490)</f>
        <v/>
      </c>
      <c r="U490" s="3">
        <f>IF(ORIG!U490=0,"",ORIG!U490)</f>
        <v/>
      </c>
      <c r="V490" s="9">
        <f>IF(ORIG!V490=0,"",ORIG!V490)</f>
        <v/>
      </c>
      <c r="W490" s="9">
        <f>IF(ORIG!W490=0,"",ORIG!W490)</f>
        <v/>
      </c>
      <c r="X490" s="9">
        <f>IF(ORIG!X490=0,"",ORIG!X490)</f>
        <v/>
      </c>
      <c r="Y490" s="9">
        <f>IF(ORIG!Y490=0,"",ORIG!Y490)</f>
        <v/>
      </c>
      <c r="Z490" s="3">
        <f>SUMPRODUCT($B490:$Y490,$B$2649:$Y$2649)</f>
        <v/>
      </c>
      <c r="AA490" s="3">
        <f>SUMPRODUCT($B490:$Y490,$B$2655:$Y$2655)</f>
        <v/>
      </c>
      <c r="AC490" s="1">
        <f>A490</f>
        <v/>
      </c>
      <c r="AD490">
        <f>IF(ISNUMBER(V490),V490*($AB$1/V$2635),"")</f>
        <v/>
      </c>
      <c r="AE490">
        <f>IF(ISNUMBER(Z490),Z490*($AB$1/Z$2635),"")</f>
        <v/>
      </c>
      <c r="AF490" s="25">
        <f>IF(ISNUMBER(AD490+AE490),AD490+AE490,"")</f>
        <v/>
      </c>
      <c r="AH490" s="1">
        <f>A490</f>
        <v/>
      </c>
      <c r="AI490">
        <f>IF(ISNUMBER((1+V490)*AI489),(1+V490)*AI489,AI489)</f>
        <v/>
      </c>
      <c r="AJ490">
        <f>IF(ISNUMBER((1+Z490)*AJ489),(1+Z490)*AJ489,AJ489)</f>
        <v/>
      </c>
    </row>
    <row r="491">
      <c r="A491" s="1" t="n">
        <v>42712</v>
      </c>
      <c r="B491" s="3">
        <f>IF(ORIG!B491=0,"",ORIG!B491)</f>
        <v/>
      </c>
      <c r="C491" s="3">
        <f>IF(ORIG!C491=0,"",ORIG!C491)</f>
        <v/>
      </c>
      <c r="D491" s="3">
        <f>IF(ORIG!D491=0,"",ORIG!D491)</f>
        <v/>
      </c>
      <c r="E491" s="3">
        <f>IF(ORIG!E491=0,"",ORIG!E491)</f>
        <v/>
      </c>
      <c r="F491" s="3">
        <f>IF(ORIG!F491=0,"",ORIG!F491)</f>
        <v/>
      </c>
      <c r="G491" s="3">
        <f>IF(ORIG!G491=0,"",ORIG!G491)</f>
        <v/>
      </c>
      <c r="H491" s="3">
        <f>IF(ORIG!H491=0,"",ORIG!H491)</f>
        <v/>
      </c>
      <c r="I491" s="3">
        <f>IF(ORIG!I491=0,"",ORIG!I491)</f>
        <v/>
      </c>
      <c r="J491" s="3">
        <f>IF(ORIG!J491=0,"",ORIG!J491)</f>
        <v/>
      </c>
      <c r="K491" s="3">
        <f>IF(ORIG!K491=0,"",ORIG!K491)</f>
        <v/>
      </c>
      <c r="L491" s="3">
        <f>IF(ORIG!L491=0,"",ORIG!L491)</f>
        <v/>
      </c>
      <c r="M491" s="3">
        <f>IF(ORIG!M491=0,"",ORIG!M491)</f>
        <v/>
      </c>
      <c r="N491" s="3">
        <f>IF(ORIG!N491=0,"",ORIG!N491)</f>
        <v/>
      </c>
      <c r="O491" s="3">
        <f>IF(ORIG!O491=0,"",ORIG!O491)</f>
        <v/>
      </c>
      <c r="P491" s="3">
        <f>IF(ORIG!P491=0,"",ORIG!P491)</f>
        <v/>
      </c>
      <c r="Q491" s="3">
        <f>IF(ORIG!Q491=0,"",ORIG!Q491)</f>
        <v/>
      </c>
      <c r="R491" s="3">
        <f>IF(ORIG!R491=0,"",ORIG!R491)</f>
        <v/>
      </c>
      <c r="S491" s="3">
        <f>IF(ORIG!S491=0,"",ORIG!S491)</f>
        <v/>
      </c>
      <c r="T491" s="3">
        <f>IF(ORIG!T491=0,"",ORIG!T491)</f>
        <v/>
      </c>
      <c r="U491" s="3">
        <f>IF(ORIG!U491=0,"",ORIG!U491)</f>
        <v/>
      </c>
      <c r="V491" s="9">
        <f>IF(ORIG!V491=0,"",ORIG!V491)</f>
        <v/>
      </c>
      <c r="W491" s="9">
        <f>IF(ORIG!W491=0,"",ORIG!W491)</f>
        <v/>
      </c>
      <c r="X491" s="9">
        <f>IF(ORIG!X491=0,"",ORIG!X491)</f>
        <v/>
      </c>
      <c r="Y491" s="9">
        <f>IF(ORIG!Y491=0,"",ORIG!Y491)</f>
        <v/>
      </c>
      <c r="Z491" s="3">
        <f>SUMPRODUCT($B491:$Y491,$B$2649:$Y$2649)</f>
        <v/>
      </c>
      <c r="AA491" s="3">
        <f>SUMPRODUCT($B491:$Y491,$B$2655:$Y$2655)</f>
        <v/>
      </c>
      <c r="AC491" s="1">
        <f>A491</f>
        <v/>
      </c>
      <c r="AD491">
        <f>IF(ISNUMBER(V491),V491*($AB$1/V$2635),"")</f>
        <v/>
      </c>
      <c r="AE491">
        <f>IF(ISNUMBER(Z491),Z491*($AB$1/Z$2635),"")</f>
        <v/>
      </c>
      <c r="AF491" s="25">
        <f>IF(ISNUMBER(AD491+AE491),AD491+AE491,"")</f>
        <v/>
      </c>
      <c r="AH491" s="1">
        <f>A491</f>
        <v/>
      </c>
      <c r="AI491">
        <f>IF(ISNUMBER((1+V491)*AI490),(1+V491)*AI490,AI490)</f>
        <v/>
      </c>
      <c r="AJ491">
        <f>IF(ISNUMBER((1+Z491)*AJ490),(1+Z491)*AJ490,AJ490)</f>
        <v/>
      </c>
    </row>
    <row r="492">
      <c r="A492" s="1" t="n">
        <v>42713</v>
      </c>
      <c r="B492" s="3">
        <f>IF(ORIG!B492=0,"",ORIG!B492)</f>
        <v/>
      </c>
      <c r="C492" s="3">
        <f>IF(ORIG!C492=0,"",ORIG!C492)</f>
        <v/>
      </c>
      <c r="D492" s="3">
        <f>IF(ORIG!D492=0,"",ORIG!D492)</f>
        <v/>
      </c>
      <c r="E492" s="3">
        <f>IF(ORIG!E492=0,"",ORIG!E492)</f>
        <v/>
      </c>
      <c r="F492" s="3">
        <f>IF(ORIG!F492=0,"",ORIG!F492)</f>
        <v/>
      </c>
      <c r="G492" s="3">
        <f>IF(ORIG!G492=0,"",ORIG!G492)</f>
        <v/>
      </c>
      <c r="H492" s="3">
        <f>IF(ORIG!H492=0,"",ORIG!H492)</f>
        <v/>
      </c>
      <c r="I492" s="3">
        <f>IF(ORIG!I492=0,"",ORIG!I492)</f>
        <v/>
      </c>
      <c r="J492" s="3">
        <f>IF(ORIG!J492=0,"",ORIG!J492)</f>
        <v/>
      </c>
      <c r="K492" s="3">
        <f>IF(ORIG!K492=0,"",ORIG!K492)</f>
        <v/>
      </c>
      <c r="L492" s="3">
        <f>IF(ORIG!L492=0,"",ORIG!L492)</f>
        <v/>
      </c>
      <c r="M492" s="3">
        <f>IF(ORIG!M492=0,"",ORIG!M492)</f>
        <v/>
      </c>
      <c r="N492" s="3">
        <f>IF(ORIG!N492=0,"",ORIG!N492)</f>
        <v/>
      </c>
      <c r="O492" s="3">
        <f>IF(ORIG!O492=0,"",ORIG!O492)</f>
        <v/>
      </c>
      <c r="P492" s="3">
        <f>IF(ORIG!P492=0,"",ORIG!P492)</f>
        <v/>
      </c>
      <c r="Q492" s="3">
        <f>IF(ORIG!Q492=0,"",ORIG!Q492)</f>
        <v/>
      </c>
      <c r="R492" s="3">
        <f>IF(ORIG!R492=0,"",ORIG!R492)</f>
        <v/>
      </c>
      <c r="S492" s="3">
        <f>IF(ORIG!S492=0,"",ORIG!S492)</f>
        <v/>
      </c>
      <c r="T492" s="3">
        <f>IF(ORIG!T492=0,"",ORIG!T492)</f>
        <v/>
      </c>
      <c r="U492" s="3">
        <f>IF(ORIG!U492=0,"",ORIG!U492)</f>
        <v/>
      </c>
      <c r="V492" s="9">
        <f>IF(ORIG!V492=0,"",ORIG!V492)</f>
        <v/>
      </c>
      <c r="W492" s="9">
        <f>IF(ORIG!W492=0,"",ORIG!W492)</f>
        <v/>
      </c>
      <c r="X492" s="9">
        <f>IF(ORIG!X492=0,"",ORIG!X492)</f>
        <v/>
      </c>
      <c r="Y492" s="9">
        <f>IF(ORIG!Y492=0,"",ORIG!Y492)</f>
        <v/>
      </c>
      <c r="Z492" s="3">
        <f>SUMPRODUCT($B492:$Y492,$B$2649:$Y$2649)</f>
        <v/>
      </c>
      <c r="AA492" s="3">
        <f>SUMPRODUCT($B492:$Y492,$B$2655:$Y$2655)</f>
        <v/>
      </c>
      <c r="AC492" s="1">
        <f>A492</f>
        <v/>
      </c>
      <c r="AD492">
        <f>IF(ISNUMBER(V492),V492*($AB$1/V$2635),"")</f>
        <v/>
      </c>
      <c r="AE492">
        <f>IF(ISNUMBER(Z492),Z492*($AB$1/Z$2635),"")</f>
        <v/>
      </c>
      <c r="AF492" s="25">
        <f>IF(ISNUMBER(AD492+AE492),AD492+AE492,"")</f>
        <v/>
      </c>
      <c r="AH492" s="1">
        <f>A492</f>
        <v/>
      </c>
      <c r="AI492">
        <f>IF(ISNUMBER((1+V492)*AI491),(1+V492)*AI491,AI491)</f>
        <v/>
      </c>
      <c r="AJ492">
        <f>IF(ISNUMBER((1+Z492)*AJ491),(1+Z492)*AJ491,AJ491)</f>
        <v/>
      </c>
    </row>
    <row r="493">
      <c r="A493" s="1" t="n">
        <v>42716</v>
      </c>
      <c r="B493" s="3">
        <f>IF(ORIG!B493=0,"",ORIG!B493)</f>
        <v/>
      </c>
      <c r="C493" s="3">
        <f>IF(ORIG!C493=0,"",ORIG!C493)</f>
        <v/>
      </c>
      <c r="D493" s="3">
        <f>IF(ORIG!D493=0,"",ORIG!D493)</f>
        <v/>
      </c>
      <c r="E493" s="3">
        <f>IF(ORIG!E493=0,"",ORIG!E493)</f>
        <v/>
      </c>
      <c r="F493" s="3">
        <f>IF(ORIG!F493=0,"",ORIG!F493)</f>
        <v/>
      </c>
      <c r="G493" s="3">
        <f>IF(ORIG!G493=0,"",ORIG!G493)</f>
        <v/>
      </c>
      <c r="H493" s="3">
        <f>IF(ORIG!H493=0,"",ORIG!H493)</f>
        <v/>
      </c>
      <c r="I493" s="3">
        <f>IF(ORIG!I493=0,"",ORIG!I493)</f>
        <v/>
      </c>
      <c r="J493" s="3">
        <f>IF(ORIG!J493=0,"",ORIG!J493)</f>
        <v/>
      </c>
      <c r="K493" s="3">
        <f>IF(ORIG!K493=0,"",ORIG!K493)</f>
        <v/>
      </c>
      <c r="L493" s="3">
        <f>IF(ORIG!L493=0,"",ORIG!L493)</f>
        <v/>
      </c>
      <c r="M493" s="3">
        <f>IF(ORIG!M493=0,"",ORIG!M493)</f>
        <v/>
      </c>
      <c r="N493" s="3">
        <f>IF(ORIG!N493=0,"",ORIG!N493)</f>
        <v/>
      </c>
      <c r="O493" s="3">
        <f>IF(ORIG!O493=0,"",ORIG!O493)</f>
        <v/>
      </c>
      <c r="P493" s="3">
        <f>IF(ORIG!P493=0,"",ORIG!P493)</f>
        <v/>
      </c>
      <c r="Q493" s="3">
        <f>IF(ORIG!Q493=0,"",ORIG!Q493)</f>
        <v/>
      </c>
      <c r="R493" s="3">
        <f>IF(ORIG!R493=0,"",ORIG!R493)</f>
        <v/>
      </c>
      <c r="S493" s="3">
        <f>IF(ORIG!S493=0,"",ORIG!S493)</f>
        <v/>
      </c>
      <c r="T493" s="3">
        <f>IF(ORIG!T493=0,"",ORIG!T493)</f>
        <v/>
      </c>
      <c r="U493" s="3">
        <f>IF(ORIG!U493=0,"",ORIG!U493)</f>
        <v/>
      </c>
      <c r="V493" s="9">
        <f>IF(ORIG!V493=0,"",ORIG!V493)</f>
        <v/>
      </c>
      <c r="W493" s="9">
        <f>IF(ORIG!W493=0,"",ORIG!W493)</f>
        <v/>
      </c>
      <c r="X493" s="9">
        <f>IF(ORIG!X493=0,"",ORIG!X493)</f>
        <v/>
      </c>
      <c r="Y493" s="9">
        <f>IF(ORIG!Y493=0,"",ORIG!Y493)</f>
        <v/>
      </c>
      <c r="Z493" s="3">
        <f>SUMPRODUCT($B493:$Y493,$B$2649:$Y$2649)</f>
        <v/>
      </c>
      <c r="AA493" s="3">
        <f>SUMPRODUCT($B493:$Y493,$B$2655:$Y$2655)</f>
        <v/>
      </c>
      <c r="AC493" s="1">
        <f>A493</f>
        <v/>
      </c>
      <c r="AD493">
        <f>IF(ISNUMBER(V493),V493*($AB$1/V$2635),"")</f>
        <v/>
      </c>
      <c r="AE493">
        <f>IF(ISNUMBER(Z493),Z493*($AB$1/Z$2635),"")</f>
        <v/>
      </c>
      <c r="AF493" s="25">
        <f>IF(ISNUMBER(AD493+AE493),AD493+AE493,"")</f>
        <v/>
      </c>
      <c r="AH493" s="1">
        <f>A493</f>
        <v/>
      </c>
      <c r="AI493">
        <f>IF(ISNUMBER((1+V493)*AI492),(1+V493)*AI492,AI492)</f>
        <v/>
      </c>
      <c r="AJ493">
        <f>IF(ISNUMBER((1+Z493)*AJ492),(1+Z493)*AJ492,AJ492)</f>
        <v/>
      </c>
    </row>
    <row r="494">
      <c r="A494" s="1" t="n">
        <v>42717</v>
      </c>
      <c r="B494" s="3">
        <f>IF(ORIG!B494=0,"",ORIG!B494)</f>
        <v/>
      </c>
      <c r="C494" s="3">
        <f>IF(ORIG!C494=0,"",ORIG!C494)</f>
        <v/>
      </c>
      <c r="D494" s="3">
        <f>IF(ORIG!D494=0,"",ORIG!D494)</f>
        <v/>
      </c>
      <c r="E494" s="3">
        <f>IF(ORIG!E494=0,"",ORIG!E494)</f>
        <v/>
      </c>
      <c r="F494" s="3">
        <f>IF(ORIG!F494=0,"",ORIG!F494)</f>
        <v/>
      </c>
      <c r="G494" s="3">
        <f>IF(ORIG!G494=0,"",ORIG!G494)</f>
        <v/>
      </c>
      <c r="H494" s="3">
        <f>IF(ORIG!H494=0,"",ORIG!H494)</f>
        <v/>
      </c>
      <c r="I494" s="3">
        <f>IF(ORIG!I494=0,"",ORIG!I494)</f>
        <v/>
      </c>
      <c r="J494" s="3">
        <f>IF(ORIG!J494=0,"",ORIG!J494)</f>
        <v/>
      </c>
      <c r="K494" s="3">
        <f>IF(ORIG!K494=0,"",ORIG!K494)</f>
        <v/>
      </c>
      <c r="L494" s="3">
        <f>IF(ORIG!L494=0,"",ORIG!L494)</f>
        <v/>
      </c>
      <c r="M494" s="3">
        <f>IF(ORIG!M494=0,"",ORIG!M494)</f>
        <v/>
      </c>
      <c r="N494" s="3">
        <f>IF(ORIG!N494=0,"",ORIG!N494)</f>
        <v/>
      </c>
      <c r="O494" s="3">
        <f>IF(ORIG!O494=0,"",ORIG!O494)</f>
        <v/>
      </c>
      <c r="P494" s="3">
        <f>IF(ORIG!P494=0,"",ORIG!P494)</f>
        <v/>
      </c>
      <c r="Q494" s="3">
        <f>IF(ORIG!Q494=0,"",ORIG!Q494)</f>
        <v/>
      </c>
      <c r="R494" s="3">
        <f>IF(ORIG!R494=0,"",ORIG!R494)</f>
        <v/>
      </c>
      <c r="S494" s="3">
        <f>IF(ORIG!S494=0,"",ORIG!S494)</f>
        <v/>
      </c>
      <c r="T494" s="3">
        <f>IF(ORIG!T494=0,"",ORIG!T494)</f>
        <v/>
      </c>
      <c r="U494" s="3">
        <f>IF(ORIG!U494=0,"",ORIG!U494)</f>
        <v/>
      </c>
      <c r="V494" s="9">
        <f>IF(ORIG!V494=0,"",ORIG!V494)</f>
        <v/>
      </c>
      <c r="W494" s="9">
        <f>IF(ORIG!W494=0,"",ORIG!W494)</f>
        <v/>
      </c>
      <c r="X494" s="9">
        <f>IF(ORIG!X494=0,"",ORIG!X494)</f>
        <v/>
      </c>
      <c r="Y494" s="9">
        <f>IF(ORIG!Y494=0,"",ORIG!Y494)</f>
        <v/>
      </c>
      <c r="Z494" s="3">
        <f>SUMPRODUCT($B494:$Y494,$B$2649:$Y$2649)</f>
        <v/>
      </c>
      <c r="AA494" s="3">
        <f>SUMPRODUCT($B494:$Y494,$B$2655:$Y$2655)</f>
        <v/>
      </c>
      <c r="AC494" s="1">
        <f>A494</f>
        <v/>
      </c>
      <c r="AD494">
        <f>IF(ISNUMBER(V494),V494*($AB$1/V$2635),"")</f>
        <v/>
      </c>
      <c r="AE494">
        <f>IF(ISNUMBER(Z494),Z494*($AB$1/Z$2635),"")</f>
        <v/>
      </c>
      <c r="AF494" s="25">
        <f>IF(ISNUMBER(AD494+AE494),AD494+AE494,"")</f>
        <v/>
      </c>
      <c r="AH494" s="1">
        <f>A494</f>
        <v/>
      </c>
      <c r="AI494">
        <f>IF(ISNUMBER((1+V494)*AI493),(1+V494)*AI493,AI493)</f>
        <v/>
      </c>
      <c r="AJ494">
        <f>IF(ISNUMBER((1+Z494)*AJ493),(1+Z494)*AJ493,AJ493)</f>
        <v/>
      </c>
    </row>
    <row r="495">
      <c r="A495" s="1" t="n">
        <v>42718</v>
      </c>
      <c r="B495" s="3">
        <f>IF(ORIG!B495=0,"",ORIG!B495)</f>
        <v/>
      </c>
      <c r="C495" s="3">
        <f>IF(ORIG!C495=0,"",ORIG!C495)</f>
        <v/>
      </c>
      <c r="D495" s="3">
        <f>IF(ORIG!D495=0,"",ORIG!D495)</f>
        <v/>
      </c>
      <c r="E495" s="3">
        <f>IF(ORIG!E495=0,"",ORIG!E495)</f>
        <v/>
      </c>
      <c r="F495" s="3">
        <f>IF(ORIG!F495=0,"",ORIG!F495)</f>
        <v/>
      </c>
      <c r="G495" s="3">
        <f>IF(ORIG!G495=0,"",ORIG!G495)</f>
        <v/>
      </c>
      <c r="H495" s="3">
        <f>IF(ORIG!H495=0,"",ORIG!H495)</f>
        <v/>
      </c>
      <c r="I495" s="3">
        <f>IF(ORIG!I495=0,"",ORIG!I495)</f>
        <v/>
      </c>
      <c r="J495" s="3">
        <f>IF(ORIG!J495=0,"",ORIG!J495)</f>
        <v/>
      </c>
      <c r="K495" s="3">
        <f>IF(ORIG!K495=0,"",ORIG!K495)</f>
        <v/>
      </c>
      <c r="L495" s="3">
        <f>IF(ORIG!L495=0,"",ORIG!L495)</f>
        <v/>
      </c>
      <c r="M495" s="3">
        <f>IF(ORIG!M495=0,"",ORIG!M495)</f>
        <v/>
      </c>
      <c r="N495" s="3">
        <f>IF(ORIG!N495=0,"",ORIG!N495)</f>
        <v/>
      </c>
      <c r="O495" s="3">
        <f>IF(ORIG!O495=0,"",ORIG!O495)</f>
        <v/>
      </c>
      <c r="P495" s="3">
        <f>IF(ORIG!P495=0,"",ORIG!P495)</f>
        <v/>
      </c>
      <c r="Q495" s="3">
        <f>IF(ORIG!Q495=0,"",ORIG!Q495)</f>
        <v/>
      </c>
      <c r="R495" s="3">
        <f>IF(ORIG!R495=0,"",ORIG!R495)</f>
        <v/>
      </c>
      <c r="S495" s="3">
        <f>IF(ORIG!S495=0,"",ORIG!S495)</f>
        <v/>
      </c>
      <c r="T495" s="3">
        <f>IF(ORIG!T495=0,"",ORIG!T495)</f>
        <v/>
      </c>
      <c r="U495" s="3">
        <f>IF(ORIG!U495=0,"",ORIG!U495)</f>
        <v/>
      </c>
      <c r="V495" s="9">
        <f>IF(ORIG!V495=0,"",ORIG!V495)</f>
        <v/>
      </c>
      <c r="W495" s="9">
        <f>IF(ORIG!W495=0,"",ORIG!W495)</f>
        <v/>
      </c>
      <c r="X495" s="9">
        <f>IF(ORIG!X495=0,"",ORIG!X495)</f>
        <v/>
      </c>
      <c r="Y495" s="9">
        <f>IF(ORIG!Y495=0,"",ORIG!Y495)</f>
        <v/>
      </c>
      <c r="Z495" s="3">
        <f>SUMPRODUCT($B495:$Y495,$B$2649:$Y$2649)</f>
        <v/>
      </c>
      <c r="AA495" s="3">
        <f>SUMPRODUCT($B495:$Y495,$B$2655:$Y$2655)</f>
        <v/>
      </c>
      <c r="AC495" s="1">
        <f>A495</f>
        <v/>
      </c>
      <c r="AD495">
        <f>IF(ISNUMBER(V495),V495*($AB$1/V$2635),"")</f>
        <v/>
      </c>
      <c r="AE495">
        <f>IF(ISNUMBER(Z495),Z495*($AB$1/Z$2635),"")</f>
        <v/>
      </c>
      <c r="AF495" s="25">
        <f>IF(ISNUMBER(AD495+AE495),AD495+AE495,"")</f>
        <v/>
      </c>
      <c r="AH495" s="1">
        <f>A495</f>
        <v/>
      </c>
      <c r="AI495">
        <f>IF(ISNUMBER((1+V495)*AI494),(1+V495)*AI494,AI494)</f>
        <v/>
      </c>
      <c r="AJ495">
        <f>IF(ISNUMBER((1+Z495)*AJ494),(1+Z495)*AJ494,AJ494)</f>
        <v/>
      </c>
    </row>
    <row r="496">
      <c r="A496" s="1" t="n">
        <v>42719</v>
      </c>
      <c r="B496" s="3">
        <f>IF(ORIG!B496=0,"",ORIG!B496)</f>
        <v/>
      </c>
      <c r="C496" s="3">
        <f>IF(ORIG!C496=0,"",ORIG!C496)</f>
        <v/>
      </c>
      <c r="D496" s="3">
        <f>IF(ORIG!D496=0,"",ORIG!D496)</f>
        <v/>
      </c>
      <c r="E496" s="3">
        <f>IF(ORIG!E496=0,"",ORIG!E496)</f>
        <v/>
      </c>
      <c r="F496" s="3">
        <f>IF(ORIG!F496=0,"",ORIG!F496)</f>
        <v/>
      </c>
      <c r="G496" s="3">
        <f>IF(ORIG!G496=0,"",ORIG!G496)</f>
        <v/>
      </c>
      <c r="H496" s="3">
        <f>IF(ORIG!H496=0,"",ORIG!H496)</f>
        <v/>
      </c>
      <c r="I496" s="3">
        <f>IF(ORIG!I496=0,"",ORIG!I496)</f>
        <v/>
      </c>
      <c r="J496" s="3">
        <f>IF(ORIG!J496=0,"",ORIG!J496)</f>
        <v/>
      </c>
      <c r="K496" s="3">
        <f>IF(ORIG!K496=0,"",ORIG!K496)</f>
        <v/>
      </c>
      <c r="L496" s="3">
        <f>IF(ORIG!L496=0,"",ORIG!L496)</f>
        <v/>
      </c>
      <c r="M496" s="3">
        <f>IF(ORIG!M496=0,"",ORIG!M496)</f>
        <v/>
      </c>
      <c r="N496" s="3">
        <f>IF(ORIG!N496=0,"",ORIG!N496)</f>
        <v/>
      </c>
      <c r="O496" s="3">
        <f>IF(ORIG!O496=0,"",ORIG!O496)</f>
        <v/>
      </c>
      <c r="P496" s="3">
        <f>IF(ORIG!P496=0,"",ORIG!P496)</f>
        <v/>
      </c>
      <c r="Q496" s="3">
        <f>IF(ORIG!Q496=0,"",ORIG!Q496)</f>
        <v/>
      </c>
      <c r="R496" s="3">
        <f>IF(ORIG!R496=0,"",ORIG!R496)</f>
        <v/>
      </c>
      <c r="S496" s="3">
        <f>IF(ORIG!S496=0,"",ORIG!S496)</f>
        <v/>
      </c>
      <c r="T496" s="3">
        <f>IF(ORIG!T496=0,"",ORIG!T496)</f>
        <v/>
      </c>
      <c r="U496" s="3">
        <f>IF(ORIG!U496=0,"",ORIG!U496)</f>
        <v/>
      </c>
      <c r="V496" s="9">
        <f>IF(ORIG!V496=0,"",ORIG!V496)</f>
        <v/>
      </c>
      <c r="W496" s="9">
        <f>IF(ORIG!W496=0,"",ORIG!W496)</f>
        <v/>
      </c>
      <c r="X496" s="9">
        <f>IF(ORIG!X496=0,"",ORIG!X496)</f>
        <v/>
      </c>
      <c r="Y496" s="9">
        <f>IF(ORIG!Y496=0,"",ORIG!Y496)</f>
        <v/>
      </c>
      <c r="Z496" s="3">
        <f>SUMPRODUCT($B496:$Y496,$B$2649:$Y$2649)</f>
        <v/>
      </c>
      <c r="AA496" s="3">
        <f>SUMPRODUCT($B496:$Y496,$B$2655:$Y$2655)</f>
        <v/>
      </c>
      <c r="AC496" s="1">
        <f>A496</f>
        <v/>
      </c>
      <c r="AD496">
        <f>IF(ISNUMBER(V496),V496*($AB$1/V$2635),"")</f>
        <v/>
      </c>
      <c r="AE496">
        <f>IF(ISNUMBER(Z496),Z496*($AB$1/Z$2635),"")</f>
        <v/>
      </c>
      <c r="AF496" s="25">
        <f>IF(ISNUMBER(AD496+AE496),AD496+AE496,"")</f>
        <v/>
      </c>
      <c r="AH496" s="1">
        <f>A496</f>
        <v/>
      </c>
      <c r="AI496">
        <f>IF(ISNUMBER((1+V496)*AI495),(1+V496)*AI495,AI495)</f>
        <v/>
      </c>
      <c r="AJ496">
        <f>IF(ISNUMBER((1+Z496)*AJ495),(1+Z496)*AJ495,AJ495)</f>
        <v/>
      </c>
    </row>
    <row r="497">
      <c r="A497" s="1" t="n">
        <v>42720</v>
      </c>
      <c r="B497" s="3">
        <f>IF(ORIG!B497=0,"",ORIG!B497)</f>
        <v/>
      </c>
      <c r="C497" s="3">
        <f>IF(ORIG!C497=0,"",ORIG!C497)</f>
        <v/>
      </c>
      <c r="D497" s="3">
        <f>IF(ORIG!D497=0,"",ORIG!D497)</f>
        <v/>
      </c>
      <c r="E497" s="3">
        <f>IF(ORIG!E497=0,"",ORIG!E497)</f>
        <v/>
      </c>
      <c r="F497" s="3">
        <f>IF(ORIG!F497=0,"",ORIG!F497)</f>
        <v/>
      </c>
      <c r="G497" s="3">
        <f>IF(ORIG!G497=0,"",ORIG!G497)</f>
        <v/>
      </c>
      <c r="H497" s="3">
        <f>IF(ORIG!H497=0,"",ORIG!H497)</f>
        <v/>
      </c>
      <c r="I497" s="3">
        <f>IF(ORIG!I497=0,"",ORIG!I497)</f>
        <v/>
      </c>
      <c r="J497" s="3">
        <f>IF(ORIG!J497=0,"",ORIG!J497)</f>
        <v/>
      </c>
      <c r="K497" s="3">
        <f>IF(ORIG!K497=0,"",ORIG!K497)</f>
        <v/>
      </c>
      <c r="L497" s="3">
        <f>IF(ORIG!L497=0,"",ORIG!L497)</f>
        <v/>
      </c>
      <c r="M497" s="3">
        <f>IF(ORIG!M497=0,"",ORIG!M497)</f>
        <v/>
      </c>
      <c r="N497" s="3">
        <f>IF(ORIG!N497=0,"",ORIG!N497)</f>
        <v/>
      </c>
      <c r="O497" s="3">
        <f>IF(ORIG!O497=0,"",ORIG!O497)</f>
        <v/>
      </c>
      <c r="P497" s="3">
        <f>IF(ORIG!P497=0,"",ORIG!P497)</f>
        <v/>
      </c>
      <c r="Q497" s="3">
        <f>IF(ORIG!Q497=0,"",ORIG!Q497)</f>
        <v/>
      </c>
      <c r="R497" s="3">
        <f>IF(ORIG!R497=0,"",ORIG!R497)</f>
        <v/>
      </c>
      <c r="S497" s="3">
        <f>IF(ORIG!S497=0,"",ORIG!S497)</f>
        <v/>
      </c>
      <c r="T497" s="3">
        <f>IF(ORIG!T497=0,"",ORIG!T497)</f>
        <v/>
      </c>
      <c r="U497" s="3">
        <f>IF(ORIG!U497=0,"",ORIG!U497)</f>
        <v/>
      </c>
      <c r="V497" s="9">
        <f>IF(ORIG!V497=0,"",ORIG!V497)</f>
        <v/>
      </c>
      <c r="W497" s="9">
        <f>IF(ORIG!W497=0,"",ORIG!W497)</f>
        <v/>
      </c>
      <c r="X497" s="9">
        <f>IF(ORIG!X497=0,"",ORIG!X497)</f>
        <v/>
      </c>
      <c r="Y497" s="9">
        <f>IF(ORIG!Y497=0,"",ORIG!Y497)</f>
        <v/>
      </c>
      <c r="Z497" s="3">
        <f>SUMPRODUCT($B497:$Y497,$B$2649:$Y$2649)</f>
        <v/>
      </c>
      <c r="AA497" s="3">
        <f>SUMPRODUCT($B497:$Y497,$B$2655:$Y$2655)</f>
        <v/>
      </c>
      <c r="AC497" s="1">
        <f>A497</f>
        <v/>
      </c>
      <c r="AD497">
        <f>IF(ISNUMBER(V497),V497*($AB$1/V$2635),"")</f>
        <v/>
      </c>
      <c r="AE497">
        <f>IF(ISNUMBER(Z497),Z497*($AB$1/Z$2635),"")</f>
        <v/>
      </c>
      <c r="AF497" s="25">
        <f>IF(ISNUMBER(AD497+AE497),AD497+AE497,"")</f>
        <v/>
      </c>
      <c r="AH497" s="1">
        <f>A497</f>
        <v/>
      </c>
      <c r="AI497">
        <f>IF(ISNUMBER((1+V497)*AI496),(1+V497)*AI496,AI496)</f>
        <v/>
      </c>
      <c r="AJ497">
        <f>IF(ISNUMBER((1+Z497)*AJ496),(1+Z497)*AJ496,AJ496)</f>
        <v/>
      </c>
    </row>
    <row r="498">
      <c r="A498" s="1" t="n">
        <v>42723</v>
      </c>
      <c r="B498" s="3">
        <f>IF(ORIG!B498=0,"",ORIG!B498)</f>
        <v/>
      </c>
      <c r="C498" s="3">
        <f>IF(ORIG!C498=0,"",ORIG!C498)</f>
        <v/>
      </c>
      <c r="D498" s="3">
        <f>IF(ORIG!D498=0,"",ORIG!D498)</f>
        <v/>
      </c>
      <c r="E498" s="3">
        <f>IF(ORIG!E498=0,"",ORIG!E498)</f>
        <v/>
      </c>
      <c r="F498" s="3">
        <f>IF(ORIG!F498=0,"",ORIG!F498)</f>
        <v/>
      </c>
      <c r="G498" s="3">
        <f>IF(ORIG!G498=0,"",ORIG!G498)</f>
        <v/>
      </c>
      <c r="H498" s="3">
        <f>IF(ORIG!H498=0,"",ORIG!H498)</f>
        <v/>
      </c>
      <c r="I498" s="3">
        <f>IF(ORIG!I498=0,"",ORIG!I498)</f>
        <v/>
      </c>
      <c r="J498" s="3">
        <f>IF(ORIG!J498=0,"",ORIG!J498)</f>
        <v/>
      </c>
      <c r="K498" s="3">
        <f>IF(ORIG!K498=0,"",ORIG!K498)</f>
        <v/>
      </c>
      <c r="L498" s="3">
        <f>IF(ORIG!L498=0,"",ORIG!L498)</f>
        <v/>
      </c>
      <c r="M498" s="3">
        <f>IF(ORIG!M498=0,"",ORIG!M498)</f>
        <v/>
      </c>
      <c r="N498" s="3">
        <f>IF(ORIG!N498=0,"",ORIG!N498)</f>
        <v/>
      </c>
      <c r="O498" s="3">
        <f>IF(ORIG!O498=0,"",ORIG!O498)</f>
        <v/>
      </c>
      <c r="P498" s="3">
        <f>IF(ORIG!P498=0,"",ORIG!P498)</f>
        <v/>
      </c>
      <c r="Q498" s="3">
        <f>IF(ORIG!Q498=0,"",ORIG!Q498)</f>
        <v/>
      </c>
      <c r="R498" s="3">
        <f>IF(ORIG!R498=0,"",ORIG!R498)</f>
        <v/>
      </c>
      <c r="S498" s="3">
        <f>IF(ORIG!S498=0,"",ORIG!S498)</f>
        <v/>
      </c>
      <c r="T498" s="3">
        <f>IF(ORIG!T498=0,"",ORIG!T498)</f>
        <v/>
      </c>
      <c r="U498" s="3">
        <f>IF(ORIG!U498=0,"",ORIG!U498)</f>
        <v/>
      </c>
      <c r="V498" s="9">
        <f>IF(ORIG!V498=0,"",ORIG!V498)</f>
        <v/>
      </c>
      <c r="W498" s="9">
        <f>IF(ORIG!W498=0,"",ORIG!W498)</f>
        <v/>
      </c>
      <c r="X498" s="9">
        <f>IF(ORIG!X498=0,"",ORIG!X498)</f>
        <v/>
      </c>
      <c r="Y498" s="9">
        <f>IF(ORIG!Y498=0,"",ORIG!Y498)</f>
        <v/>
      </c>
      <c r="Z498" s="3">
        <f>SUMPRODUCT($B498:$Y498,$B$2649:$Y$2649)</f>
        <v/>
      </c>
      <c r="AA498" s="3">
        <f>SUMPRODUCT($B498:$Y498,$B$2655:$Y$2655)</f>
        <v/>
      </c>
      <c r="AC498" s="1">
        <f>A498</f>
        <v/>
      </c>
      <c r="AD498">
        <f>IF(ISNUMBER(V498),V498*($AB$1/V$2635),"")</f>
        <v/>
      </c>
      <c r="AE498">
        <f>IF(ISNUMBER(Z498),Z498*($AB$1/Z$2635),"")</f>
        <v/>
      </c>
      <c r="AF498" s="25">
        <f>IF(ISNUMBER(AD498+AE498),AD498+AE498,"")</f>
        <v/>
      </c>
      <c r="AH498" s="1">
        <f>A498</f>
        <v/>
      </c>
      <c r="AI498">
        <f>IF(ISNUMBER((1+V498)*AI497),(1+V498)*AI497,AI497)</f>
        <v/>
      </c>
      <c r="AJ498">
        <f>IF(ISNUMBER((1+Z498)*AJ497),(1+Z498)*AJ497,AJ497)</f>
        <v/>
      </c>
    </row>
    <row r="499">
      <c r="A499" s="1" t="n">
        <v>42724</v>
      </c>
      <c r="B499" s="3">
        <f>IF(ORIG!B499=0,"",ORIG!B499)</f>
        <v/>
      </c>
      <c r="C499" s="3">
        <f>IF(ORIG!C499=0,"",ORIG!C499)</f>
        <v/>
      </c>
      <c r="D499" s="3">
        <f>IF(ORIG!D499=0,"",ORIG!D499)</f>
        <v/>
      </c>
      <c r="E499" s="3">
        <f>IF(ORIG!E499=0,"",ORIG!E499)</f>
        <v/>
      </c>
      <c r="F499" s="3">
        <f>IF(ORIG!F499=0,"",ORIG!F499)</f>
        <v/>
      </c>
      <c r="G499" s="3">
        <f>IF(ORIG!G499=0,"",ORIG!G499)</f>
        <v/>
      </c>
      <c r="H499" s="3">
        <f>IF(ORIG!H499=0,"",ORIG!H499)</f>
        <v/>
      </c>
      <c r="I499" s="3">
        <f>IF(ORIG!I499=0,"",ORIG!I499)</f>
        <v/>
      </c>
      <c r="J499" s="3">
        <f>IF(ORIG!J499=0,"",ORIG!J499)</f>
        <v/>
      </c>
      <c r="K499" s="3">
        <f>IF(ORIG!K499=0,"",ORIG!K499)</f>
        <v/>
      </c>
      <c r="L499" s="3">
        <f>IF(ORIG!L499=0,"",ORIG!L499)</f>
        <v/>
      </c>
      <c r="M499" s="3">
        <f>IF(ORIG!M499=0,"",ORIG!M499)</f>
        <v/>
      </c>
      <c r="N499" s="3">
        <f>IF(ORIG!N499=0,"",ORIG!N499)</f>
        <v/>
      </c>
      <c r="O499" s="3">
        <f>IF(ORIG!O499=0,"",ORIG!O499)</f>
        <v/>
      </c>
      <c r="P499" s="3">
        <f>IF(ORIG!P499=0,"",ORIG!P499)</f>
        <v/>
      </c>
      <c r="Q499" s="3">
        <f>IF(ORIG!Q499=0,"",ORIG!Q499)</f>
        <v/>
      </c>
      <c r="R499" s="3">
        <f>IF(ORIG!R499=0,"",ORIG!R499)</f>
        <v/>
      </c>
      <c r="S499" s="3">
        <f>IF(ORIG!S499=0,"",ORIG!S499)</f>
        <v/>
      </c>
      <c r="T499" s="3">
        <f>IF(ORIG!T499=0,"",ORIG!T499)</f>
        <v/>
      </c>
      <c r="U499" s="3">
        <f>IF(ORIG!U499=0,"",ORIG!U499)</f>
        <v/>
      </c>
      <c r="V499" s="9">
        <f>IF(ORIG!V499=0,"",ORIG!V499)</f>
        <v/>
      </c>
      <c r="W499" s="9">
        <f>IF(ORIG!W499=0,"",ORIG!W499)</f>
        <v/>
      </c>
      <c r="X499" s="9">
        <f>IF(ORIG!X499=0,"",ORIG!X499)</f>
        <v/>
      </c>
      <c r="Y499" s="9">
        <f>IF(ORIG!Y499=0,"",ORIG!Y499)</f>
        <v/>
      </c>
      <c r="Z499" s="3">
        <f>SUMPRODUCT($B499:$Y499,$B$2649:$Y$2649)</f>
        <v/>
      </c>
      <c r="AA499" s="3">
        <f>SUMPRODUCT($B499:$Y499,$B$2655:$Y$2655)</f>
        <v/>
      </c>
      <c r="AC499" s="1">
        <f>A499</f>
        <v/>
      </c>
      <c r="AD499">
        <f>IF(ISNUMBER(V499),V499*($AB$1/V$2635),"")</f>
        <v/>
      </c>
      <c r="AE499">
        <f>IF(ISNUMBER(Z499),Z499*($AB$1/Z$2635),"")</f>
        <v/>
      </c>
      <c r="AF499" s="25">
        <f>IF(ISNUMBER(AD499+AE499),AD499+AE499,"")</f>
        <v/>
      </c>
      <c r="AH499" s="1">
        <f>A499</f>
        <v/>
      </c>
      <c r="AI499">
        <f>IF(ISNUMBER((1+V499)*AI498),(1+V499)*AI498,AI498)</f>
        <v/>
      </c>
      <c r="AJ499">
        <f>IF(ISNUMBER((1+Z499)*AJ498),(1+Z499)*AJ498,AJ498)</f>
        <v/>
      </c>
    </row>
    <row r="500">
      <c r="A500" s="1" t="n">
        <v>42725</v>
      </c>
      <c r="B500" s="3">
        <f>IF(ORIG!B500=0,"",ORIG!B500)</f>
        <v/>
      </c>
      <c r="C500" s="3">
        <f>IF(ORIG!C500=0,"",ORIG!C500)</f>
        <v/>
      </c>
      <c r="D500" s="3">
        <f>IF(ORIG!D500=0,"",ORIG!D500)</f>
        <v/>
      </c>
      <c r="E500" s="3">
        <f>IF(ORIG!E500=0,"",ORIG!E500)</f>
        <v/>
      </c>
      <c r="F500" s="3">
        <f>IF(ORIG!F500=0,"",ORIG!F500)</f>
        <v/>
      </c>
      <c r="G500" s="3">
        <f>IF(ORIG!G500=0,"",ORIG!G500)</f>
        <v/>
      </c>
      <c r="H500" s="3">
        <f>IF(ORIG!H500=0,"",ORIG!H500)</f>
        <v/>
      </c>
      <c r="I500" s="3">
        <f>IF(ORIG!I500=0,"",ORIG!I500)</f>
        <v/>
      </c>
      <c r="J500" s="3">
        <f>IF(ORIG!J500=0,"",ORIG!J500)</f>
        <v/>
      </c>
      <c r="K500" s="3">
        <f>IF(ORIG!K500=0,"",ORIG!K500)</f>
        <v/>
      </c>
      <c r="L500" s="3">
        <f>IF(ORIG!L500=0,"",ORIG!L500)</f>
        <v/>
      </c>
      <c r="M500" s="3">
        <f>IF(ORIG!M500=0,"",ORIG!M500)</f>
        <v/>
      </c>
      <c r="N500" s="3">
        <f>IF(ORIG!N500=0,"",ORIG!N500)</f>
        <v/>
      </c>
      <c r="O500" s="3">
        <f>IF(ORIG!O500=0,"",ORIG!O500)</f>
        <v/>
      </c>
      <c r="P500" s="3">
        <f>IF(ORIG!P500=0,"",ORIG!P500)</f>
        <v/>
      </c>
      <c r="Q500" s="3">
        <f>IF(ORIG!Q500=0,"",ORIG!Q500)</f>
        <v/>
      </c>
      <c r="R500" s="3">
        <f>IF(ORIG!R500=0,"",ORIG!R500)</f>
        <v/>
      </c>
      <c r="S500" s="3">
        <f>IF(ORIG!S500=0,"",ORIG!S500)</f>
        <v/>
      </c>
      <c r="T500" s="3">
        <f>IF(ORIG!T500=0,"",ORIG!T500)</f>
        <v/>
      </c>
      <c r="U500" s="3">
        <f>IF(ORIG!U500=0,"",ORIG!U500)</f>
        <v/>
      </c>
      <c r="V500" s="9">
        <f>IF(ORIG!V500=0,"",ORIG!V500)</f>
        <v/>
      </c>
      <c r="W500" s="9">
        <f>IF(ORIG!W500=0,"",ORIG!W500)</f>
        <v/>
      </c>
      <c r="X500" s="9">
        <f>IF(ORIG!X500=0,"",ORIG!X500)</f>
        <v/>
      </c>
      <c r="Y500" s="9">
        <f>IF(ORIG!Y500=0,"",ORIG!Y500)</f>
        <v/>
      </c>
      <c r="Z500" s="3">
        <f>SUMPRODUCT($B500:$Y500,$B$2649:$Y$2649)</f>
        <v/>
      </c>
      <c r="AA500" s="3">
        <f>SUMPRODUCT($B500:$Y500,$B$2655:$Y$2655)</f>
        <v/>
      </c>
      <c r="AC500" s="1">
        <f>A500</f>
        <v/>
      </c>
      <c r="AD500">
        <f>IF(ISNUMBER(V500),V500*($AB$1/V$2635),"")</f>
        <v/>
      </c>
      <c r="AE500">
        <f>IF(ISNUMBER(Z500),Z500*($AB$1/Z$2635),"")</f>
        <v/>
      </c>
      <c r="AF500" s="25">
        <f>IF(ISNUMBER(AD500+AE500),AD500+AE500,"")</f>
        <v/>
      </c>
      <c r="AH500" s="1">
        <f>A500</f>
        <v/>
      </c>
      <c r="AI500">
        <f>IF(ISNUMBER((1+V500)*AI499),(1+V500)*AI499,AI499)</f>
        <v/>
      </c>
      <c r="AJ500">
        <f>IF(ISNUMBER((1+Z500)*AJ499),(1+Z500)*AJ499,AJ499)</f>
        <v/>
      </c>
    </row>
    <row r="501">
      <c r="A501" s="1" t="n">
        <v>42726</v>
      </c>
      <c r="B501" s="3">
        <f>IF(ORIG!B501=0,"",ORIG!B501)</f>
        <v/>
      </c>
      <c r="C501" s="3">
        <f>IF(ORIG!C501=0,"",ORIG!C501)</f>
        <v/>
      </c>
      <c r="D501" s="3">
        <f>IF(ORIG!D501=0,"",ORIG!D501)</f>
        <v/>
      </c>
      <c r="E501" s="3">
        <f>IF(ORIG!E501=0,"",ORIG!E501)</f>
        <v/>
      </c>
      <c r="F501" s="3">
        <f>IF(ORIG!F501=0,"",ORIG!F501)</f>
        <v/>
      </c>
      <c r="G501" s="3">
        <f>IF(ORIG!G501=0,"",ORIG!G501)</f>
        <v/>
      </c>
      <c r="H501" s="3">
        <f>IF(ORIG!H501=0,"",ORIG!H501)</f>
        <v/>
      </c>
      <c r="I501" s="3">
        <f>IF(ORIG!I501=0,"",ORIG!I501)</f>
        <v/>
      </c>
      <c r="J501" s="3">
        <f>IF(ORIG!J501=0,"",ORIG!J501)</f>
        <v/>
      </c>
      <c r="K501" s="3">
        <f>IF(ORIG!K501=0,"",ORIG!K501)</f>
        <v/>
      </c>
      <c r="L501" s="3">
        <f>IF(ORIG!L501=0,"",ORIG!L501)</f>
        <v/>
      </c>
      <c r="M501" s="3">
        <f>IF(ORIG!M501=0,"",ORIG!M501)</f>
        <v/>
      </c>
      <c r="N501" s="3">
        <f>IF(ORIG!N501=0,"",ORIG!N501)</f>
        <v/>
      </c>
      <c r="O501" s="3">
        <f>IF(ORIG!O501=0,"",ORIG!O501)</f>
        <v/>
      </c>
      <c r="P501" s="3">
        <f>IF(ORIG!P501=0,"",ORIG!P501)</f>
        <v/>
      </c>
      <c r="Q501" s="3">
        <f>IF(ORIG!Q501=0,"",ORIG!Q501)</f>
        <v/>
      </c>
      <c r="R501" s="3">
        <f>IF(ORIG!R501=0,"",ORIG!R501)</f>
        <v/>
      </c>
      <c r="S501" s="3">
        <f>IF(ORIG!S501=0,"",ORIG!S501)</f>
        <v/>
      </c>
      <c r="T501" s="3">
        <f>IF(ORIG!T501=0,"",ORIG!T501)</f>
        <v/>
      </c>
      <c r="U501" s="3">
        <f>IF(ORIG!U501=0,"",ORIG!U501)</f>
        <v/>
      </c>
      <c r="V501" s="9">
        <f>IF(ORIG!V501=0,"",ORIG!V501)</f>
        <v/>
      </c>
      <c r="W501" s="9">
        <f>IF(ORIG!W501=0,"",ORIG!W501)</f>
        <v/>
      </c>
      <c r="X501" s="9">
        <f>IF(ORIG!X501=0,"",ORIG!X501)</f>
        <v/>
      </c>
      <c r="Y501" s="9">
        <f>IF(ORIG!Y501=0,"",ORIG!Y501)</f>
        <v/>
      </c>
      <c r="Z501" s="3">
        <f>SUMPRODUCT($B501:$Y501,$B$2649:$Y$2649)</f>
        <v/>
      </c>
      <c r="AA501" s="3">
        <f>SUMPRODUCT($B501:$Y501,$B$2655:$Y$2655)</f>
        <v/>
      </c>
      <c r="AC501" s="1">
        <f>A501</f>
        <v/>
      </c>
      <c r="AD501">
        <f>IF(ISNUMBER(V501),V501*($AB$1/V$2635),"")</f>
        <v/>
      </c>
      <c r="AE501">
        <f>IF(ISNUMBER(Z501),Z501*($AB$1/Z$2635),"")</f>
        <v/>
      </c>
      <c r="AF501" s="25">
        <f>IF(ISNUMBER(AD501+AE501),AD501+AE501,"")</f>
        <v/>
      </c>
      <c r="AH501" s="1">
        <f>A501</f>
        <v/>
      </c>
      <c r="AI501">
        <f>IF(ISNUMBER((1+V501)*AI500),(1+V501)*AI500,AI500)</f>
        <v/>
      </c>
      <c r="AJ501">
        <f>IF(ISNUMBER((1+Z501)*AJ500),(1+Z501)*AJ500,AJ500)</f>
        <v/>
      </c>
    </row>
    <row r="502">
      <c r="A502" s="1" t="n">
        <v>42727</v>
      </c>
      <c r="B502" s="3">
        <f>IF(ORIG!B502=0,"",ORIG!B502)</f>
        <v/>
      </c>
      <c r="C502" s="3">
        <f>IF(ORIG!C502=0,"",ORIG!C502)</f>
        <v/>
      </c>
      <c r="D502" s="3">
        <f>IF(ORIG!D502=0,"",ORIG!D502)</f>
        <v/>
      </c>
      <c r="E502" s="3">
        <f>IF(ORIG!E502=0,"",ORIG!E502)</f>
        <v/>
      </c>
      <c r="F502" s="3">
        <f>IF(ORIG!F502=0,"",ORIG!F502)</f>
        <v/>
      </c>
      <c r="G502" s="3">
        <f>IF(ORIG!G502=0,"",ORIG!G502)</f>
        <v/>
      </c>
      <c r="H502" s="3">
        <f>IF(ORIG!H502=0,"",ORIG!H502)</f>
        <v/>
      </c>
      <c r="I502" s="3">
        <f>IF(ORIG!I502=0,"",ORIG!I502)</f>
        <v/>
      </c>
      <c r="J502" s="3">
        <f>IF(ORIG!J502=0,"",ORIG!J502)</f>
        <v/>
      </c>
      <c r="K502" s="3">
        <f>IF(ORIG!K502=0,"",ORIG!K502)</f>
        <v/>
      </c>
      <c r="L502" s="3">
        <f>IF(ORIG!L502=0,"",ORIG!L502)</f>
        <v/>
      </c>
      <c r="M502" s="3">
        <f>IF(ORIG!M502=0,"",ORIG!M502)</f>
        <v/>
      </c>
      <c r="N502" s="3">
        <f>IF(ORIG!N502=0,"",ORIG!N502)</f>
        <v/>
      </c>
      <c r="O502" s="3">
        <f>IF(ORIG!O502=0,"",ORIG!O502)</f>
        <v/>
      </c>
      <c r="P502" s="3">
        <f>IF(ORIG!P502=0,"",ORIG!P502)</f>
        <v/>
      </c>
      <c r="Q502" s="3">
        <f>IF(ORIG!Q502=0,"",ORIG!Q502)</f>
        <v/>
      </c>
      <c r="R502" s="3">
        <f>IF(ORIG!R502=0,"",ORIG!R502)</f>
        <v/>
      </c>
      <c r="S502" s="3">
        <f>IF(ORIG!S502=0,"",ORIG!S502)</f>
        <v/>
      </c>
      <c r="T502" s="3">
        <f>IF(ORIG!T502=0,"",ORIG!T502)</f>
        <v/>
      </c>
      <c r="U502" s="3">
        <f>IF(ORIG!U502=0,"",ORIG!U502)</f>
        <v/>
      </c>
      <c r="V502" s="9">
        <f>IF(ORIG!V502=0,"",ORIG!V502)</f>
        <v/>
      </c>
      <c r="W502" s="9">
        <f>IF(ORIG!W502=0,"",ORIG!W502)</f>
        <v/>
      </c>
      <c r="X502" s="9">
        <f>IF(ORIG!X502=0,"",ORIG!X502)</f>
        <v/>
      </c>
      <c r="Y502" s="9">
        <f>IF(ORIG!Y502=0,"",ORIG!Y502)</f>
        <v/>
      </c>
      <c r="Z502" s="3">
        <f>SUMPRODUCT($B502:$Y502,$B$2649:$Y$2649)</f>
        <v/>
      </c>
      <c r="AA502" s="3">
        <f>SUMPRODUCT($B502:$Y502,$B$2655:$Y$2655)</f>
        <v/>
      </c>
      <c r="AC502" s="1">
        <f>A502</f>
        <v/>
      </c>
      <c r="AD502">
        <f>IF(ISNUMBER(V502),V502*($AB$1/V$2635),"")</f>
        <v/>
      </c>
      <c r="AE502">
        <f>IF(ISNUMBER(Z502),Z502*($AB$1/Z$2635),"")</f>
        <v/>
      </c>
      <c r="AF502" s="25">
        <f>IF(ISNUMBER(AD502+AE502),AD502+AE502,"")</f>
        <v/>
      </c>
      <c r="AH502" s="1">
        <f>A502</f>
        <v/>
      </c>
      <c r="AI502">
        <f>IF(ISNUMBER((1+V502)*AI501),(1+V502)*AI501,AI501)</f>
        <v/>
      </c>
      <c r="AJ502">
        <f>IF(ISNUMBER((1+Z502)*AJ501),(1+Z502)*AJ501,AJ501)</f>
        <v/>
      </c>
    </row>
    <row r="503">
      <c r="A503" s="1" t="n">
        <v>42731</v>
      </c>
      <c r="B503" s="3">
        <f>IF(ORIG!B503=0,"",ORIG!B503)</f>
        <v/>
      </c>
      <c r="C503" s="3">
        <f>IF(ORIG!C503=0,"",ORIG!C503)</f>
        <v/>
      </c>
      <c r="D503" s="3">
        <f>IF(ORIG!D503=0,"",ORIG!D503)</f>
        <v/>
      </c>
      <c r="E503" s="3">
        <f>IF(ORIG!E503=0,"",ORIG!E503)</f>
        <v/>
      </c>
      <c r="F503" s="3">
        <f>IF(ORIG!F503=0,"",ORIG!F503)</f>
        <v/>
      </c>
      <c r="G503" s="3">
        <f>IF(ORIG!G503=0,"",ORIG!G503)</f>
        <v/>
      </c>
      <c r="H503" s="3">
        <f>IF(ORIG!H503=0,"",ORIG!H503)</f>
        <v/>
      </c>
      <c r="I503" s="3">
        <f>IF(ORIG!I503=0,"",ORIG!I503)</f>
        <v/>
      </c>
      <c r="J503" s="3">
        <f>IF(ORIG!J503=0,"",ORIG!J503)</f>
        <v/>
      </c>
      <c r="K503" s="3">
        <f>IF(ORIG!K503=0,"",ORIG!K503)</f>
        <v/>
      </c>
      <c r="L503" s="3">
        <f>IF(ORIG!L503=0,"",ORIG!L503)</f>
        <v/>
      </c>
      <c r="M503" s="3">
        <f>IF(ORIG!M503=0,"",ORIG!M503)</f>
        <v/>
      </c>
      <c r="N503" s="3">
        <f>IF(ORIG!N503=0,"",ORIG!N503)</f>
        <v/>
      </c>
      <c r="O503" s="3">
        <f>IF(ORIG!O503=0,"",ORIG!O503)</f>
        <v/>
      </c>
      <c r="P503" s="3">
        <f>IF(ORIG!P503=0,"",ORIG!P503)</f>
        <v/>
      </c>
      <c r="Q503" s="3">
        <f>IF(ORIG!Q503=0,"",ORIG!Q503)</f>
        <v/>
      </c>
      <c r="R503" s="3">
        <f>IF(ORIG!R503=0,"",ORIG!R503)</f>
        <v/>
      </c>
      <c r="S503" s="3">
        <f>IF(ORIG!S503=0,"",ORIG!S503)</f>
        <v/>
      </c>
      <c r="T503" s="3">
        <f>IF(ORIG!T503=0,"",ORIG!T503)</f>
        <v/>
      </c>
      <c r="U503" s="3">
        <f>IF(ORIG!U503=0,"",ORIG!U503)</f>
        <v/>
      </c>
      <c r="V503" s="9">
        <f>IF(ORIG!V503=0,"",ORIG!V503)</f>
        <v/>
      </c>
      <c r="W503" s="9">
        <f>IF(ORIG!W503=0,"",ORIG!W503)</f>
        <v/>
      </c>
      <c r="X503" s="9">
        <f>IF(ORIG!X503=0,"",ORIG!X503)</f>
        <v/>
      </c>
      <c r="Y503" s="9">
        <f>IF(ORIG!Y503=0,"",ORIG!Y503)</f>
        <v/>
      </c>
      <c r="Z503" s="3">
        <f>SUMPRODUCT($B503:$Y503,$B$2649:$Y$2649)</f>
        <v/>
      </c>
      <c r="AA503" s="3">
        <f>SUMPRODUCT($B503:$Y503,$B$2655:$Y$2655)</f>
        <v/>
      </c>
      <c r="AC503" s="1">
        <f>A503</f>
        <v/>
      </c>
      <c r="AD503">
        <f>IF(ISNUMBER(V503),V503*($AB$1/V$2635),"")</f>
        <v/>
      </c>
      <c r="AE503">
        <f>IF(ISNUMBER(Z503),Z503*($AB$1/Z$2635),"")</f>
        <v/>
      </c>
      <c r="AF503" s="25">
        <f>IF(ISNUMBER(AD503+AE503),AD503+AE503,"")</f>
        <v/>
      </c>
      <c r="AH503" s="1">
        <f>A503</f>
        <v/>
      </c>
      <c r="AI503">
        <f>IF(ISNUMBER((1+V503)*AI502),(1+V503)*AI502,AI502)</f>
        <v/>
      </c>
      <c r="AJ503">
        <f>IF(ISNUMBER((1+Z503)*AJ502),(1+Z503)*AJ502,AJ502)</f>
        <v/>
      </c>
    </row>
    <row r="504">
      <c r="A504" s="1" t="n">
        <v>42732</v>
      </c>
      <c r="B504" s="3">
        <f>IF(ORIG!B504=0,"",ORIG!B504)</f>
        <v/>
      </c>
      <c r="C504" s="3">
        <f>IF(ORIG!C504=0,"",ORIG!C504)</f>
        <v/>
      </c>
      <c r="D504" s="3">
        <f>IF(ORIG!D504=0,"",ORIG!D504)</f>
        <v/>
      </c>
      <c r="E504" s="3">
        <f>IF(ORIG!E504=0,"",ORIG!E504)</f>
        <v/>
      </c>
      <c r="F504" s="3">
        <f>IF(ORIG!F504=0,"",ORIG!F504)</f>
        <v/>
      </c>
      <c r="G504" s="3">
        <f>IF(ORIG!G504=0,"",ORIG!G504)</f>
        <v/>
      </c>
      <c r="H504" s="3">
        <f>IF(ORIG!H504=0,"",ORIG!H504)</f>
        <v/>
      </c>
      <c r="I504" s="3">
        <f>IF(ORIG!I504=0,"",ORIG!I504)</f>
        <v/>
      </c>
      <c r="J504" s="3">
        <f>IF(ORIG!J504=0,"",ORIG!J504)</f>
        <v/>
      </c>
      <c r="K504" s="3">
        <f>IF(ORIG!K504=0,"",ORIG!K504)</f>
        <v/>
      </c>
      <c r="L504" s="3">
        <f>IF(ORIG!L504=0,"",ORIG!L504)</f>
        <v/>
      </c>
      <c r="M504" s="3">
        <f>IF(ORIG!M504=0,"",ORIG!M504)</f>
        <v/>
      </c>
      <c r="N504" s="3">
        <f>IF(ORIG!N504=0,"",ORIG!N504)</f>
        <v/>
      </c>
      <c r="O504" s="3">
        <f>IF(ORIG!O504=0,"",ORIG!O504)</f>
        <v/>
      </c>
      <c r="P504" s="3">
        <f>IF(ORIG!P504=0,"",ORIG!P504)</f>
        <v/>
      </c>
      <c r="Q504" s="3">
        <f>IF(ORIG!Q504=0,"",ORIG!Q504)</f>
        <v/>
      </c>
      <c r="R504" s="3">
        <f>IF(ORIG!R504=0,"",ORIG!R504)</f>
        <v/>
      </c>
      <c r="S504" s="3">
        <f>IF(ORIG!S504=0,"",ORIG!S504)</f>
        <v/>
      </c>
      <c r="T504" s="3">
        <f>IF(ORIG!T504=0,"",ORIG!T504)</f>
        <v/>
      </c>
      <c r="U504" s="3">
        <f>IF(ORIG!U504=0,"",ORIG!U504)</f>
        <v/>
      </c>
      <c r="V504" s="9">
        <f>IF(ORIG!V504=0,"",ORIG!V504)</f>
        <v/>
      </c>
      <c r="W504" s="9">
        <f>IF(ORIG!W504=0,"",ORIG!W504)</f>
        <v/>
      </c>
      <c r="X504" s="9">
        <f>IF(ORIG!X504=0,"",ORIG!X504)</f>
        <v/>
      </c>
      <c r="Y504" s="9">
        <f>IF(ORIG!Y504=0,"",ORIG!Y504)</f>
        <v/>
      </c>
      <c r="Z504" s="3">
        <f>SUMPRODUCT($B504:$Y504,$B$2649:$Y$2649)</f>
        <v/>
      </c>
      <c r="AA504" s="3">
        <f>SUMPRODUCT($B504:$Y504,$B$2655:$Y$2655)</f>
        <v/>
      </c>
      <c r="AC504" s="1">
        <f>A504</f>
        <v/>
      </c>
      <c r="AD504">
        <f>IF(ISNUMBER(V504),V504*($AB$1/V$2635),"")</f>
        <v/>
      </c>
      <c r="AE504">
        <f>IF(ISNUMBER(Z504),Z504*($AB$1/Z$2635),"")</f>
        <v/>
      </c>
      <c r="AF504" s="25">
        <f>IF(ISNUMBER(AD504+AE504),AD504+AE504,"")</f>
        <v/>
      </c>
      <c r="AH504" s="1">
        <f>A504</f>
        <v/>
      </c>
      <c r="AI504">
        <f>IF(ISNUMBER((1+V504)*AI503),(1+V504)*AI503,AI503)</f>
        <v/>
      </c>
      <c r="AJ504">
        <f>IF(ISNUMBER((1+Z504)*AJ503),(1+Z504)*AJ503,AJ503)</f>
        <v/>
      </c>
    </row>
    <row r="505">
      <c r="A505" s="1" t="n">
        <v>42733</v>
      </c>
      <c r="B505" s="3">
        <f>IF(ORIG!B505=0,"",ORIG!B505)</f>
        <v/>
      </c>
      <c r="C505" s="3">
        <f>IF(ORIG!C505=0,"",ORIG!C505)</f>
        <v/>
      </c>
      <c r="D505" s="3">
        <f>IF(ORIG!D505=0,"",ORIG!D505)</f>
        <v/>
      </c>
      <c r="E505" s="3">
        <f>IF(ORIG!E505=0,"",ORIG!E505)</f>
        <v/>
      </c>
      <c r="F505" s="3">
        <f>IF(ORIG!F505=0,"",ORIG!F505)</f>
        <v/>
      </c>
      <c r="G505" s="3">
        <f>IF(ORIG!G505=0,"",ORIG!G505)</f>
        <v/>
      </c>
      <c r="H505" s="3">
        <f>IF(ORIG!H505=0,"",ORIG!H505)</f>
        <v/>
      </c>
      <c r="I505" s="3">
        <f>IF(ORIG!I505=0,"",ORIG!I505)</f>
        <v/>
      </c>
      <c r="J505" s="3">
        <f>IF(ORIG!J505=0,"",ORIG!J505)</f>
        <v/>
      </c>
      <c r="K505" s="3">
        <f>IF(ORIG!K505=0,"",ORIG!K505)</f>
        <v/>
      </c>
      <c r="L505" s="3">
        <f>IF(ORIG!L505=0,"",ORIG!L505)</f>
        <v/>
      </c>
      <c r="M505" s="3">
        <f>IF(ORIG!M505=0,"",ORIG!M505)</f>
        <v/>
      </c>
      <c r="N505" s="3">
        <f>IF(ORIG!N505=0,"",ORIG!N505)</f>
        <v/>
      </c>
      <c r="O505" s="3">
        <f>IF(ORIG!O505=0,"",ORIG!O505)</f>
        <v/>
      </c>
      <c r="P505" s="3">
        <f>IF(ORIG!P505=0,"",ORIG!P505)</f>
        <v/>
      </c>
      <c r="Q505" s="3">
        <f>IF(ORIG!Q505=0,"",ORIG!Q505)</f>
        <v/>
      </c>
      <c r="R505" s="3">
        <f>IF(ORIG!R505=0,"",ORIG!R505)</f>
        <v/>
      </c>
      <c r="S505" s="3">
        <f>IF(ORIG!S505=0,"",ORIG!S505)</f>
        <v/>
      </c>
      <c r="T505" s="3">
        <f>IF(ORIG!T505=0,"",ORIG!T505)</f>
        <v/>
      </c>
      <c r="U505" s="3">
        <f>IF(ORIG!U505=0,"",ORIG!U505)</f>
        <v/>
      </c>
      <c r="V505" s="9">
        <f>IF(ORIG!V505=0,"",ORIG!V505)</f>
        <v/>
      </c>
      <c r="W505" s="9">
        <f>IF(ORIG!W505=0,"",ORIG!W505)</f>
        <v/>
      </c>
      <c r="X505" s="9">
        <f>IF(ORIG!X505=0,"",ORIG!X505)</f>
        <v/>
      </c>
      <c r="Y505" s="9">
        <f>IF(ORIG!Y505=0,"",ORIG!Y505)</f>
        <v/>
      </c>
      <c r="Z505" s="3">
        <f>SUMPRODUCT($B505:$Y505,$B$2649:$Y$2649)</f>
        <v/>
      </c>
      <c r="AA505" s="3">
        <f>SUMPRODUCT($B505:$Y505,$B$2655:$Y$2655)</f>
        <v/>
      </c>
      <c r="AC505" s="1">
        <f>A505</f>
        <v/>
      </c>
      <c r="AD505">
        <f>IF(ISNUMBER(V505),V505*($AB$1/V$2635),"")</f>
        <v/>
      </c>
      <c r="AE505">
        <f>IF(ISNUMBER(Z505),Z505*($AB$1/Z$2635),"")</f>
        <v/>
      </c>
      <c r="AF505" s="25">
        <f>IF(ISNUMBER(AD505+AE505),AD505+AE505,"")</f>
        <v/>
      </c>
      <c r="AH505" s="1">
        <f>A505</f>
        <v/>
      </c>
      <c r="AI505">
        <f>IF(ISNUMBER((1+V505)*AI504),(1+V505)*AI504,AI504)</f>
        <v/>
      </c>
      <c r="AJ505">
        <f>IF(ISNUMBER((1+Z505)*AJ504),(1+Z505)*AJ504,AJ504)</f>
        <v/>
      </c>
    </row>
    <row r="506">
      <c r="A506" s="1" t="n">
        <v>42734</v>
      </c>
      <c r="B506" s="3">
        <f>IF(ORIG!B506=0,"",ORIG!B506)</f>
        <v/>
      </c>
      <c r="C506" s="3">
        <f>IF(ORIG!C506=0,"",ORIG!C506)</f>
        <v/>
      </c>
      <c r="D506" s="3">
        <f>IF(ORIG!D506=0,"",ORIG!D506)</f>
        <v/>
      </c>
      <c r="E506" s="3">
        <f>IF(ORIG!E506=0,"",ORIG!E506)</f>
        <v/>
      </c>
      <c r="F506" s="3">
        <f>IF(ORIG!F506=0,"",ORIG!F506)</f>
        <v/>
      </c>
      <c r="G506" s="3">
        <f>IF(ORIG!G506=0,"",ORIG!G506)</f>
        <v/>
      </c>
      <c r="H506" s="3">
        <f>IF(ORIG!H506=0,"",ORIG!H506)</f>
        <v/>
      </c>
      <c r="I506" s="3">
        <f>IF(ORIG!I506=0,"",ORIG!I506)</f>
        <v/>
      </c>
      <c r="J506" s="3">
        <f>IF(ORIG!J506=0,"",ORIG!J506)</f>
        <v/>
      </c>
      <c r="K506" s="3">
        <f>IF(ORIG!K506=0,"",ORIG!K506)</f>
        <v/>
      </c>
      <c r="L506" s="3">
        <f>IF(ORIG!L506=0,"",ORIG!L506)</f>
        <v/>
      </c>
      <c r="M506" s="3">
        <f>IF(ORIG!M506=0,"",ORIG!M506)</f>
        <v/>
      </c>
      <c r="N506" s="3">
        <f>IF(ORIG!N506=0,"",ORIG!N506)</f>
        <v/>
      </c>
      <c r="O506" s="3">
        <f>IF(ORIG!O506=0,"",ORIG!O506)</f>
        <v/>
      </c>
      <c r="P506" s="3">
        <f>IF(ORIG!P506=0,"",ORIG!P506)</f>
        <v/>
      </c>
      <c r="Q506" s="3">
        <f>IF(ORIG!Q506=0,"",ORIG!Q506)</f>
        <v/>
      </c>
      <c r="R506" s="3">
        <f>IF(ORIG!R506=0,"",ORIG!R506)</f>
        <v/>
      </c>
      <c r="S506" s="3">
        <f>IF(ORIG!S506=0,"",ORIG!S506)</f>
        <v/>
      </c>
      <c r="T506" s="3">
        <f>IF(ORIG!T506=0,"",ORIG!T506)</f>
        <v/>
      </c>
      <c r="U506" s="3">
        <f>IF(ORIG!U506=0,"",ORIG!U506)</f>
        <v/>
      </c>
      <c r="V506" s="9">
        <f>IF(ORIG!V506=0,"",ORIG!V506)</f>
        <v/>
      </c>
      <c r="W506" s="9">
        <f>IF(ORIG!W506=0,"",ORIG!W506)</f>
        <v/>
      </c>
      <c r="X506" s="9">
        <f>IF(ORIG!X506=0,"",ORIG!X506)</f>
        <v/>
      </c>
      <c r="Y506" s="9">
        <f>IF(ORIG!Y506=0,"",ORIG!Y506)</f>
        <v/>
      </c>
      <c r="Z506" s="3">
        <f>SUMPRODUCT($B506:$Y506,$B$2649:$Y$2649)</f>
        <v/>
      </c>
      <c r="AA506" s="3">
        <f>SUMPRODUCT($B506:$Y506,$B$2655:$Y$2655)</f>
        <v/>
      </c>
      <c r="AC506" s="1">
        <f>A506</f>
        <v/>
      </c>
      <c r="AD506">
        <f>IF(ISNUMBER(V506),V506*($AB$1/V$2635),"")</f>
        <v/>
      </c>
      <c r="AE506">
        <f>IF(ISNUMBER(Z506),Z506*($AB$1/Z$2635),"")</f>
        <v/>
      </c>
      <c r="AF506" s="25">
        <f>IF(ISNUMBER(AD506+AE506),AD506+AE506,"")</f>
        <v/>
      </c>
      <c r="AH506" s="1">
        <f>A506</f>
        <v/>
      </c>
      <c r="AI506">
        <f>IF(ISNUMBER((1+V506)*AI505),(1+V506)*AI505,AI505)</f>
        <v/>
      </c>
      <c r="AJ506">
        <f>IF(ISNUMBER((1+Z506)*AJ505),(1+Z506)*AJ505,AJ505)</f>
        <v/>
      </c>
    </row>
    <row r="507">
      <c r="A507" s="1" t="n">
        <v>42738</v>
      </c>
      <c r="B507" s="3">
        <f>IF(ORIG!B507=0,"",ORIG!B507)</f>
        <v/>
      </c>
      <c r="C507" s="3">
        <f>IF(ORIG!C507=0,"",ORIG!C507)</f>
        <v/>
      </c>
      <c r="D507" s="3">
        <f>IF(ORIG!D507=0,"",ORIG!D507)</f>
        <v/>
      </c>
      <c r="E507" s="3">
        <f>IF(ORIG!E507=0,"",ORIG!E507)</f>
        <v/>
      </c>
      <c r="F507" s="3">
        <f>IF(ORIG!F507=0,"",ORIG!F507)</f>
        <v/>
      </c>
      <c r="G507" s="3">
        <f>IF(ORIG!G507=0,"",ORIG!G507)</f>
        <v/>
      </c>
      <c r="H507" s="3">
        <f>IF(ORIG!H507=0,"",ORIG!H507)</f>
        <v/>
      </c>
      <c r="I507" s="3">
        <f>IF(ORIG!I507=0,"",ORIG!I507)</f>
        <v/>
      </c>
      <c r="J507" s="3">
        <f>IF(ORIG!J507=0,"",ORIG!J507)</f>
        <v/>
      </c>
      <c r="K507" s="3">
        <f>IF(ORIG!K507=0,"",ORIG!K507)</f>
        <v/>
      </c>
      <c r="L507" s="3">
        <f>IF(ORIG!L507=0,"",ORIG!L507)</f>
        <v/>
      </c>
      <c r="M507" s="3">
        <f>IF(ORIG!M507=0,"",ORIG!M507)</f>
        <v/>
      </c>
      <c r="N507" s="3">
        <f>IF(ORIG!N507=0,"",ORIG!N507)</f>
        <v/>
      </c>
      <c r="O507" s="3">
        <f>IF(ORIG!O507=0,"",ORIG!O507)</f>
        <v/>
      </c>
      <c r="P507" s="3">
        <f>IF(ORIG!P507=0,"",ORIG!P507)</f>
        <v/>
      </c>
      <c r="Q507" s="3">
        <f>IF(ORIG!Q507=0,"",ORIG!Q507)</f>
        <v/>
      </c>
      <c r="R507" s="3">
        <f>IF(ORIG!R507=0,"",ORIG!R507)</f>
        <v/>
      </c>
      <c r="S507" s="3">
        <f>IF(ORIG!S507=0,"",ORIG!S507)</f>
        <v/>
      </c>
      <c r="T507" s="3">
        <f>IF(ORIG!T507=0,"",ORIG!T507)</f>
        <v/>
      </c>
      <c r="U507" s="3">
        <f>IF(ORIG!U507=0,"",ORIG!U507)</f>
        <v/>
      </c>
      <c r="V507" s="9">
        <f>IF(ORIG!V507=0,"",ORIG!V507)</f>
        <v/>
      </c>
      <c r="W507" s="9">
        <f>IF(ORIG!W507=0,"",ORIG!W507)</f>
        <v/>
      </c>
      <c r="X507" s="9">
        <f>IF(ORIG!X507=0,"",ORIG!X507)</f>
        <v/>
      </c>
      <c r="Y507" s="9">
        <f>IF(ORIG!Y507=0,"",ORIG!Y507)</f>
        <v/>
      </c>
      <c r="Z507" s="3">
        <f>SUMPRODUCT($B507:$Y507,$B$2649:$Y$2649)</f>
        <v/>
      </c>
      <c r="AA507" s="3">
        <f>SUMPRODUCT($B507:$Y507,$B$2655:$Y$2655)</f>
        <v/>
      </c>
      <c r="AC507" s="1">
        <f>A507</f>
        <v/>
      </c>
      <c r="AD507">
        <f>IF(ISNUMBER(V507),V507*($AB$1/V$2635),"")</f>
        <v/>
      </c>
      <c r="AE507">
        <f>IF(ISNUMBER(Z507),Z507*($AB$1/Z$2635),"")</f>
        <v/>
      </c>
      <c r="AF507" s="25">
        <f>IF(ISNUMBER(AD507+AE507),AD507+AE507,"")</f>
        <v/>
      </c>
      <c r="AH507" s="1">
        <f>A507</f>
        <v/>
      </c>
      <c r="AI507">
        <f>IF(ISNUMBER((1+V507)*AI506),(1+V507)*AI506,AI506)</f>
        <v/>
      </c>
      <c r="AJ507">
        <f>IF(ISNUMBER((1+Z507)*AJ506),(1+Z507)*AJ506,AJ506)</f>
        <v/>
      </c>
    </row>
    <row r="508">
      <c r="A508" s="1" t="n">
        <v>42739</v>
      </c>
      <c r="B508" s="3">
        <f>IF(ORIG!B508=0,"",ORIG!B508)</f>
        <v/>
      </c>
      <c r="C508" s="3">
        <f>IF(ORIG!C508=0,"",ORIG!C508)</f>
        <v/>
      </c>
      <c r="D508" s="3">
        <f>IF(ORIG!D508=0,"",ORIG!D508)</f>
        <v/>
      </c>
      <c r="E508" s="3">
        <f>IF(ORIG!E508=0,"",ORIG!E508)</f>
        <v/>
      </c>
      <c r="F508" s="3">
        <f>IF(ORIG!F508=0,"",ORIG!F508)</f>
        <v/>
      </c>
      <c r="G508" s="3">
        <f>IF(ORIG!G508=0,"",ORIG!G508)</f>
        <v/>
      </c>
      <c r="H508" s="3">
        <f>IF(ORIG!H508=0,"",ORIG!H508)</f>
        <v/>
      </c>
      <c r="I508" s="3">
        <f>IF(ORIG!I508=0,"",ORIG!I508)</f>
        <v/>
      </c>
      <c r="J508" s="3">
        <f>IF(ORIG!J508=0,"",ORIG!J508)</f>
        <v/>
      </c>
      <c r="K508" s="3">
        <f>IF(ORIG!K508=0,"",ORIG!K508)</f>
        <v/>
      </c>
      <c r="L508" s="3">
        <f>IF(ORIG!L508=0,"",ORIG!L508)</f>
        <v/>
      </c>
      <c r="M508" s="3">
        <f>IF(ORIG!M508=0,"",ORIG!M508)</f>
        <v/>
      </c>
      <c r="N508" s="3">
        <f>IF(ORIG!N508=0,"",ORIG!N508)</f>
        <v/>
      </c>
      <c r="O508" s="3">
        <f>IF(ORIG!O508=0,"",ORIG!O508)</f>
        <v/>
      </c>
      <c r="P508" s="3">
        <f>IF(ORIG!P508=0,"",ORIG!P508)</f>
        <v/>
      </c>
      <c r="Q508" s="3">
        <f>IF(ORIG!Q508=0,"",ORIG!Q508)</f>
        <v/>
      </c>
      <c r="R508" s="3">
        <f>IF(ORIG!R508=0,"",ORIG!R508)</f>
        <v/>
      </c>
      <c r="S508" s="3">
        <f>IF(ORIG!S508=0,"",ORIG!S508)</f>
        <v/>
      </c>
      <c r="T508" s="3">
        <f>IF(ORIG!T508=0,"",ORIG!T508)</f>
        <v/>
      </c>
      <c r="U508" s="3">
        <f>IF(ORIG!U508=0,"",ORIG!U508)</f>
        <v/>
      </c>
      <c r="V508" s="9">
        <f>IF(ORIG!V508=0,"",ORIG!V508)</f>
        <v/>
      </c>
      <c r="W508" s="9">
        <f>IF(ORIG!W508=0,"",ORIG!W508)</f>
        <v/>
      </c>
      <c r="X508" s="9">
        <f>IF(ORIG!X508=0,"",ORIG!X508)</f>
        <v/>
      </c>
      <c r="Y508" s="9">
        <f>IF(ORIG!Y508=0,"",ORIG!Y508)</f>
        <v/>
      </c>
      <c r="Z508" s="3">
        <f>SUMPRODUCT($B508:$Y508,$B$2649:$Y$2649)</f>
        <v/>
      </c>
      <c r="AA508" s="3">
        <f>SUMPRODUCT($B508:$Y508,$B$2655:$Y$2655)</f>
        <v/>
      </c>
      <c r="AC508" s="1">
        <f>A508</f>
        <v/>
      </c>
      <c r="AD508">
        <f>IF(ISNUMBER(V508),V508*($AB$1/V$2635),"")</f>
        <v/>
      </c>
      <c r="AE508">
        <f>IF(ISNUMBER(Z508),Z508*($AB$1/Z$2635),"")</f>
        <v/>
      </c>
      <c r="AF508" s="25">
        <f>IF(ISNUMBER(AD508+AE508),AD508+AE508,"")</f>
        <v/>
      </c>
      <c r="AH508" s="1">
        <f>A508</f>
        <v/>
      </c>
      <c r="AI508">
        <f>IF(ISNUMBER((1+V508)*AI507),(1+V508)*AI507,AI507)</f>
        <v/>
      </c>
      <c r="AJ508">
        <f>IF(ISNUMBER((1+Z508)*AJ507),(1+Z508)*AJ507,AJ507)</f>
        <v/>
      </c>
    </row>
    <row r="509">
      <c r="A509" s="1" t="n">
        <v>42740</v>
      </c>
      <c r="B509" s="3">
        <f>IF(ORIG!B509=0,"",ORIG!B509)</f>
        <v/>
      </c>
      <c r="C509" s="3">
        <f>IF(ORIG!C509=0,"",ORIG!C509)</f>
        <v/>
      </c>
      <c r="D509" s="3">
        <f>IF(ORIG!D509=0,"",ORIG!D509)</f>
        <v/>
      </c>
      <c r="E509" s="3">
        <f>IF(ORIG!E509=0,"",ORIG!E509)</f>
        <v/>
      </c>
      <c r="F509" s="3">
        <f>IF(ORIG!F509=0,"",ORIG!F509)</f>
        <v/>
      </c>
      <c r="G509" s="3">
        <f>IF(ORIG!G509=0,"",ORIG!G509)</f>
        <v/>
      </c>
      <c r="H509" s="3">
        <f>IF(ORIG!H509=0,"",ORIG!H509)</f>
        <v/>
      </c>
      <c r="I509" s="3">
        <f>IF(ORIG!I509=0,"",ORIG!I509)</f>
        <v/>
      </c>
      <c r="J509" s="3">
        <f>IF(ORIG!J509=0,"",ORIG!J509)</f>
        <v/>
      </c>
      <c r="K509" s="3">
        <f>IF(ORIG!K509=0,"",ORIG!K509)</f>
        <v/>
      </c>
      <c r="L509" s="3">
        <f>IF(ORIG!L509=0,"",ORIG!L509)</f>
        <v/>
      </c>
      <c r="M509" s="3">
        <f>IF(ORIG!M509=0,"",ORIG!M509)</f>
        <v/>
      </c>
      <c r="N509" s="3">
        <f>IF(ORIG!N509=0,"",ORIG!N509)</f>
        <v/>
      </c>
      <c r="O509" s="3">
        <f>IF(ORIG!O509=0,"",ORIG!O509)</f>
        <v/>
      </c>
      <c r="P509" s="3">
        <f>IF(ORIG!P509=0,"",ORIG!P509)</f>
        <v/>
      </c>
      <c r="Q509" s="3">
        <f>IF(ORIG!Q509=0,"",ORIG!Q509)</f>
        <v/>
      </c>
      <c r="R509" s="3">
        <f>IF(ORIG!R509=0,"",ORIG!R509)</f>
        <v/>
      </c>
      <c r="S509" s="3">
        <f>IF(ORIG!S509=0,"",ORIG!S509)</f>
        <v/>
      </c>
      <c r="T509" s="3">
        <f>IF(ORIG!T509=0,"",ORIG!T509)</f>
        <v/>
      </c>
      <c r="U509" s="3">
        <f>IF(ORIG!U509=0,"",ORIG!U509)</f>
        <v/>
      </c>
      <c r="V509" s="9">
        <f>IF(ORIG!V509=0,"",ORIG!V509)</f>
        <v/>
      </c>
      <c r="W509" s="9">
        <f>IF(ORIG!W509=0,"",ORIG!W509)</f>
        <v/>
      </c>
      <c r="X509" s="9">
        <f>IF(ORIG!X509=0,"",ORIG!X509)</f>
        <v/>
      </c>
      <c r="Y509" s="9">
        <f>IF(ORIG!Y509=0,"",ORIG!Y509)</f>
        <v/>
      </c>
      <c r="Z509" s="3">
        <f>SUMPRODUCT($B509:$Y509,$B$2649:$Y$2649)</f>
        <v/>
      </c>
      <c r="AA509" s="3">
        <f>SUMPRODUCT($B509:$Y509,$B$2655:$Y$2655)</f>
        <v/>
      </c>
      <c r="AC509" s="1">
        <f>A509</f>
        <v/>
      </c>
      <c r="AD509">
        <f>IF(ISNUMBER(V509),V509*($AB$1/V$2635),"")</f>
        <v/>
      </c>
      <c r="AE509">
        <f>IF(ISNUMBER(Z509),Z509*($AB$1/Z$2635),"")</f>
        <v/>
      </c>
      <c r="AF509" s="25">
        <f>IF(ISNUMBER(AD509+AE509),AD509+AE509,"")</f>
        <v/>
      </c>
      <c r="AH509" s="1">
        <f>A509</f>
        <v/>
      </c>
      <c r="AI509">
        <f>IF(ISNUMBER((1+V509)*AI508),(1+V509)*AI508,AI508)</f>
        <v/>
      </c>
      <c r="AJ509">
        <f>IF(ISNUMBER((1+Z509)*AJ508),(1+Z509)*AJ508,AJ508)</f>
        <v/>
      </c>
    </row>
    <row r="510">
      <c r="A510" s="1" t="n">
        <v>42741</v>
      </c>
      <c r="B510" s="3">
        <f>IF(ORIG!B510=0,"",ORIG!B510)</f>
        <v/>
      </c>
      <c r="C510" s="3">
        <f>IF(ORIG!C510=0,"",ORIG!C510)</f>
        <v/>
      </c>
      <c r="D510" s="3">
        <f>IF(ORIG!D510=0,"",ORIG!D510)</f>
        <v/>
      </c>
      <c r="E510" s="3">
        <f>IF(ORIG!E510=0,"",ORIG!E510)</f>
        <v/>
      </c>
      <c r="F510" s="3">
        <f>IF(ORIG!F510=0,"",ORIG!F510)</f>
        <v/>
      </c>
      <c r="G510" s="3">
        <f>IF(ORIG!G510=0,"",ORIG!G510)</f>
        <v/>
      </c>
      <c r="H510" s="3">
        <f>IF(ORIG!H510=0,"",ORIG!H510)</f>
        <v/>
      </c>
      <c r="I510" s="3">
        <f>IF(ORIG!I510=0,"",ORIG!I510)</f>
        <v/>
      </c>
      <c r="J510" s="3">
        <f>IF(ORIG!J510=0,"",ORIG!J510)</f>
        <v/>
      </c>
      <c r="K510" s="3">
        <f>IF(ORIG!K510=0,"",ORIG!K510)</f>
        <v/>
      </c>
      <c r="L510" s="3">
        <f>IF(ORIG!L510=0,"",ORIG!L510)</f>
        <v/>
      </c>
      <c r="M510" s="3">
        <f>IF(ORIG!M510=0,"",ORIG!M510)</f>
        <v/>
      </c>
      <c r="N510" s="3">
        <f>IF(ORIG!N510=0,"",ORIG!N510)</f>
        <v/>
      </c>
      <c r="O510" s="3">
        <f>IF(ORIG!O510=0,"",ORIG!O510)</f>
        <v/>
      </c>
      <c r="P510" s="3">
        <f>IF(ORIG!P510=0,"",ORIG!P510)</f>
        <v/>
      </c>
      <c r="Q510" s="3">
        <f>IF(ORIG!Q510=0,"",ORIG!Q510)</f>
        <v/>
      </c>
      <c r="R510" s="3">
        <f>IF(ORIG!R510=0,"",ORIG!R510)</f>
        <v/>
      </c>
      <c r="S510" s="3">
        <f>IF(ORIG!S510=0,"",ORIG!S510)</f>
        <v/>
      </c>
      <c r="T510" s="3">
        <f>IF(ORIG!T510=0,"",ORIG!T510)</f>
        <v/>
      </c>
      <c r="U510" s="3">
        <f>IF(ORIG!U510=0,"",ORIG!U510)</f>
        <v/>
      </c>
      <c r="V510" s="9">
        <f>IF(ORIG!V510=0,"",ORIG!V510)</f>
        <v/>
      </c>
      <c r="W510" s="9">
        <f>IF(ORIG!W510=0,"",ORIG!W510)</f>
        <v/>
      </c>
      <c r="X510" s="9">
        <f>IF(ORIG!X510=0,"",ORIG!X510)</f>
        <v/>
      </c>
      <c r="Y510" s="9">
        <f>IF(ORIG!Y510=0,"",ORIG!Y510)</f>
        <v/>
      </c>
      <c r="Z510" s="3">
        <f>SUMPRODUCT($B510:$Y510,$B$2649:$Y$2649)</f>
        <v/>
      </c>
      <c r="AA510" s="3">
        <f>SUMPRODUCT($B510:$Y510,$B$2655:$Y$2655)</f>
        <v/>
      </c>
      <c r="AC510" s="1">
        <f>A510</f>
        <v/>
      </c>
      <c r="AD510">
        <f>IF(ISNUMBER(V510),V510*($AB$1/V$2635),"")</f>
        <v/>
      </c>
      <c r="AE510">
        <f>IF(ISNUMBER(Z510),Z510*($AB$1/Z$2635),"")</f>
        <v/>
      </c>
      <c r="AF510" s="25">
        <f>IF(ISNUMBER(AD510+AE510),AD510+AE510,"")</f>
        <v/>
      </c>
      <c r="AH510" s="1">
        <f>A510</f>
        <v/>
      </c>
      <c r="AI510">
        <f>IF(ISNUMBER((1+V510)*AI509),(1+V510)*AI509,AI509)</f>
        <v/>
      </c>
      <c r="AJ510">
        <f>IF(ISNUMBER((1+Z510)*AJ509),(1+Z510)*AJ509,AJ509)</f>
        <v/>
      </c>
    </row>
    <row r="511">
      <c r="A511" s="1" t="n">
        <v>42744</v>
      </c>
      <c r="B511" s="3">
        <f>IF(ORIG!B511=0,"",ORIG!B511)</f>
        <v/>
      </c>
      <c r="C511" s="3">
        <f>IF(ORIG!C511=0,"",ORIG!C511)</f>
        <v/>
      </c>
      <c r="D511" s="3">
        <f>IF(ORIG!D511=0,"",ORIG!D511)</f>
        <v/>
      </c>
      <c r="E511" s="3">
        <f>IF(ORIG!E511=0,"",ORIG!E511)</f>
        <v/>
      </c>
      <c r="F511" s="3">
        <f>IF(ORIG!F511=0,"",ORIG!F511)</f>
        <v/>
      </c>
      <c r="G511" s="3">
        <f>IF(ORIG!G511=0,"",ORIG!G511)</f>
        <v/>
      </c>
      <c r="H511" s="3">
        <f>IF(ORIG!H511=0,"",ORIG!H511)</f>
        <v/>
      </c>
      <c r="I511" s="3">
        <f>IF(ORIG!I511=0,"",ORIG!I511)</f>
        <v/>
      </c>
      <c r="J511" s="3">
        <f>IF(ORIG!J511=0,"",ORIG!J511)</f>
        <v/>
      </c>
      <c r="K511" s="3">
        <f>IF(ORIG!K511=0,"",ORIG!K511)</f>
        <v/>
      </c>
      <c r="L511" s="3">
        <f>IF(ORIG!L511=0,"",ORIG!L511)</f>
        <v/>
      </c>
      <c r="M511" s="3">
        <f>IF(ORIG!M511=0,"",ORIG!M511)</f>
        <v/>
      </c>
      <c r="N511" s="3">
        <f>IF(ORIG!N511=0,"",ORIG!N511)</f>
        <v/>
      </c>
      <c r="O511" s="3">
        <f>IF(ORIG!O511=0,"",ORIG!O511)</f>
        <v/>
      </c>
      <c r="P511" s="3">
        <f>IF(ORIG!P511=0,"",ORIG!P511)</f>
        <v/>
      </c>
      <c r="Q511" s="3">
        <f>IF(ORIG!Q511=0,"",ORIG!Q511)</f>
        <v/>
      </c>
      <c r="R511" s="3">
        <f>IF(ORIG!R511=0,"",ORIG!R511)</f>
        <v/>
      </c>
      <c r="S511" s="3">
        <f>IF(ORIG!S511=0,"",ORIG!S511)</f>
        <v/>
      </c>
      <c r="T511" s="3">
        <f>IF(ORIG!T511=0,"",ORIG!T511)</f>
        <v/>
      </c>
      <c r="U511" s="3">
        <f>IF(ORIG!U511=0,"",ORIG!U511)</f>
        <v/>
      </c>
      <c r="V511" s="9">
        <f>IF(ORIG!V511=0,"",ORIG!V511)</f>
        <v/>
      </c>
      <c r="W511" s="9">
        <f>IF(ORIG!W511=0,"",ORIG!W511)</f>
        <v/>
      </c>
      <c r="X511" s="9">
        <f>IF(ORIG!X511=0,"",ORIG!X511)</f>
        <v/>
      </c>
      <c r="Y511" s="9">
        <f>IF(ORIG!Y511=0,"",ORIG!Y511)</f>
        <v/>
      </c>
      <c r="Z511" s="3">
        <f>SUMPRODUCT($B511:$Y511,$B$2649:$Y$2649)</f>
        <v/>
      </c>
      <c r="AA511" s="3">
        <f>SUMPRODUCT($B511:$Y511,$B$2655:$Y$2655)</f>
        <v/>
      </c>
      <c r="AC511" s="1">
        <f>A511</f>
        <v/>
      </c>
      <c r="AD511">
        <f>IF(ISNUMBER(V511),V511*($AB$1/V$2635),"")</f>
        <v/>
      </c>
      <c r="AE511">
        <f>IF(ISNUMBER(Z511),Z511*($AB$1/Z$2635),"")</f>
        <v/>
      </c>
      <c r="AF511" s="25">
        <f>IF(ISNUMBER(AD511+AE511),AD511+AE511,"")</f>
        <v/>
      </c>
      <c r="AH511" s="1">
        <f>A511</f>
        <v/>
      </c>
      <c r="AI511">
        <f>IF(ISNUMBER((1+V511)*AI510),(1+V511)*AI510,AI510)</f>
        <v/>
      </c>
      <c r="AJ511">
        <f>IF(ISNUMBER((1+Z511)*AJ510),(1+Z511)*AJ510,AJ510)</f>
        <v/>
      </c>
    </row>
    <row r="512">
      <c r="A512" s="1" t="n">
        <v>42745</v>
      </c>
      <c r="B512" s="3">
        <f>IF(ORIG!B512=0,"",ORIG!B512)</f>
        <v/>
      </c>
      <c r="C512" s="3">
        <f>IF(ORIG!C512=0,"",ORIG!C512)</f>
        <v/>
      </c>
      <c r="D512" s="3">
        <f>IF(ORIG!D512=0,"",ORIG!D512)</f>
        <v/>
      </c>
      <c r="E512" s="3">
        <f>IF(ORIG!E512=0,"",ORIG!E512)</f>
        <v/>
      </c>
      <c r="F512" s="3">
        <f>IF(ORIG!F512=0,"",ORIG!F512)</f>
        <v/>
      </c>
      <c r="G512" s="3">
        <f>IF(ORIG!G512=0,"",ORIG!G512)</f>
        <v/>
      </c>
      <c r="H512" s="3">
        <f>IF(ORIG!H512=0,"",ORIG!H512)</f>
        <v/>
      </c>
      <c r="I512" s="3">
        <f>IF(ORIG!I512=0,"",ORIG!I512)</f>
        <v/>
      </c>
      <c r="J512" s="3">
        <f>IF(ORIG!J512=0,"",ORIG!J512)</f>
        <v/>
      </c>
      <c r="K512" s="3">
        <f>IF(ORIG!K512=0,"",ORIG!K512)</f>
        <v/>
      </c>
      <c r="L512" s="3">
        <f>IF(ORIG!L512=0,"",ORIG!L512)</f>
        <v/>
      </c>
      <c r="M512" s="3">
        <f>IF(ORIG!M512=0,"",ORIG!M512)</f>
        <v/>
      </c>
      <c r="N512" s="3">
        <f>IF(ORIG!N512=0,"",ORIG!N512)</f>
        <v/>
      </c>
      <c r="O512" s="3">
        <f>IF(ORIG!O512=0,"",ORIG!O512)</f>
        <v/>
      </c>
      <c r="P512" s="3">
        <f>IF(ORIG!P512=0,"",ORIG!P512)</f>
        <v/>
      </c>
      <c r="Q512" s="3">
        <f>IF(ORIG!Q512=0,"",ORIG!Q512)</f>
        <v/>
      </c>
      <c r="R512" s="3">
        <f>IF(ORIG!R512=0,"",ORIG!R512)</f>
        <v/>
      </c>
      <c r="S512" s="3">
        <f>IF(ORIG!S512=0,"",ORIG!S512)</f>
        <v/>
      </c>
      <c r="T512" s="3">
        <f>IF(ORIG!T512=0,"",ORIG!T512)</f>
        <v/>
      </c>
      <c r="U512" s="3">
        <f>IF(ORIG!U512=0,"",ORIG!U512)</f>
        <v/>
      </c>
      <c r="V512" s="9">
        <f>IF(ORIG!V512=0,"",ORIG!V512)</f>
        <v/>
      </c>
      <c r="W512" s="9">
        <f>IF(ORIG!W512=0,"",ORIG!W512)</f>
        <v/>
      </c>
      <c r="X512" s="9">
        <f>IF(ORIG!X512=0,"",ORIG!X512)</f>
        <v/>
      </c>
      <c r="Y512" s="9">
        <f>IF(ORIG!Y512=0,"",ORIG!Y512)</f>
        <v/>
      </c>
      <c r="Z512" s="3">
        <f>SUMPRODUCT($B512:$Y512,$B$2649:$Y$2649)</f>
        <v/>
      </c>
      <c r="AA512" s="3">
        <f>SUMPRODUCT($B512:$Y512,$B$2655:$Y$2655)</f>
        <v/>
      </c>
      <c r="AC512" s="1">
        <f>A512</f>
        <v/>
      </c>
      <c r="AD512">
        <f>IF(ISNUMBER(V512),V512*($AB$1/V$2635),"")</f>
        <v/>
      </c>
      <c r="AE512">
        <f>IF(ISNUMBER(Z512),Z512*($AB$1/Z$2635),"")</f>
        <v/>
      </c>
      <c r="AF512" s="25">
        <f>IF(ISNUMBER(AD512+AE512),AD512+AE512,"")</f>
        <v/>
      </c>
      <c r="AH512" s="1">
        <f>A512</f>
        <v/>
      </c>
      <c r="AI512">
        <f>IF(ISNUMBER((1+V512)*AI511),(1+V512)*AI511,AI511)</f>
        <v/>
      </c>
      <c r="AJ512">
        <f>IF(ISNUMBER((1+Z512)*AJ511),(1+Z512)*AJ511,AJ511)</f>
        <v/>
      </c>
    </row>
    <row r="513">
      <c r="A513" s="1" t="n">
        <v>42746</v>
      </c>
      <c r="B513" s="3">
        <f>IF(ORIG!B513=0,"",ORIG!B513)</f>
        <v/>
      </c>
      <c r="C513" s="3">
        <f>IF(ORIG!C513=0,"",ORIG!C513)</f>
        <v/>
      </c>
      <c r="D513" s="3">
        <f>IF(ORIG!D513=0,"",ORIG!D513)</f>
        <v/>
      </c>
      <c r="E513" s="3">
        <f>IF(ORIG!E513=0,"",ORIG!E513)</f>
        <v/>
      </c>
      <c r="F513" s="3">
        <f>IF(ORIG!F513=0,"",ORIG!F513)</f>
        <v/>
      </c>
      <c r="G513" s="3">
        <f>IF(ORIG!G513=0,"",ORIG!G513)</f>
        <v/>
      </c>
      <c r="H513" s="3">
        <f>IF(ORIG!H513=0,"",ORIG!H513)</f>
        <v/>
      </c>
      <c r="I513" s="3">
        <f>IF(ORIG!I513=0,"",ORIG!I513)</f>
        <v/>
      </c>
      <c r="J513" s="3">
        <f>IF(ORIG!J513=0,"",ORIG!J513)</f>
        <v/>
      </c>
      <c r="K513" s="3">
        <f>IF(ORIG!K513=0,"",ORIG!K513)</f>
        <v/>
      </c>
      <c r="L513" s="3">
        <f>IF(ORIG!L513=0,"",ORIG!L513)</f>
        <v/>
      </c>
      <c r="M513" s="3">
        <f>IF(ORIG!M513=0,"",ORIG!M513)</f>
        <v/>
      </c>
      <c r="N513" s="3">
        <f>IF(ORIG!N513=0,"",ORIG!N513)</f>
        <v/>
      </c>
      <c r="O513" s="3">
        <f>IF(ORIG!O513=0,"",ORIG!O513)</f>
        <v/>
      </c>
      <c r="P513" s="3">
        <f>IF(ORIG!P513=0,"",ORIG!P513)</f>
        <v/>
      </c>
      <c r="Q513" s="3">
        <f>IF(ORIG!Q513=0,"",ORIG!Q513)</f>
        <v/>
      </c>
      <c r="R513" s="3">
        <f>IF(ORIG!R513=0,"",ORIG!R513)</f>
        <v/>
      </c>
      <c r="S513" s="3">
        <f>IF(ORIG!S513=0,"",ORIG!S513)</f>
        <v/>
      </c>
      <c r="T513" s="3">
        <f>IF(ORIG!T513=0,"",ORIG!T513)</f>
        <v/>
      </c>
      <c r="U513" s="3">
        <f>IF(ORIG!U513=0,"",ORIG!U513)</f>
        <v/>
      </c>
      <c r="V513" s="9">
        <f>IF(ORIG!V513=0,"",ORIG!V513)</f>
        <v/>
      </c>
      <c r="W513" s="9">
        <f>IF(ORIG!W513=0,"",ORIG!W513)</f>
        <v/>
      </c>
      <c r="X513" s="9">
        <f>IF(ORIG!X513=0,"",ORIG!X513)</f>
        <v/>
      </c>
      <c r="Y513" s="9">
        <f>IF(ORIG!Y513=0,"",ORIG!Y513)</f>
        <v/>
      </c>
      <c r="Z513" s="3">
        <f>SUMPRODUCT($B513:$Y513,$B$2649:$Y$2649)</f>
        <v/>
      </c>
      <c r="AA513" s="3">
        <f>SUMPRODUCT($B513:$Y513,$B$2655:$Y$2655)</f>
        <v/>
      </c>
      <c r="AC513" s="1">
        <f>A513</f>
        <v/>
      </c>
      <c r="AD513">
        <f>IF(ISNUMBER(V513),V513*($AB$1/V$2635),"")</f>
        <v/>
      </c>
      <c r="AE513">
        <f>IF(ISNUMBER(Z513),Z513*($AB$1/Z$2635),"")</f>
        <v/>
      </c>
      <c r="AF513" s="25">
        <f>IF(ISNUMBER(AD513+AE513),AD513+AE513,"")</f>
        <v/>
      </c>
      <c r="AH513" s="1">
        <f>A513</f>
        <v/>
      </c>
      <c r="AI513">
        <f>IF(ISNUMBER((1+V513)*AI512),(1+V513)*AI512,AI512)</f>
        <v/>
      </c>
      <c r="AJ513">
        <f>IF(ISNUMBER((1+Z513)*AJ512),(1+Z513)*AJ512,AJ512)</f>
        <v/>
      </c>
    </row>
    <row r="514">
      <c r="A514" s="1" t="n">
        <v>42747</v>
      </c>
      <c r="B514" s="3">
        <f>IF(ORIG!B514=0,"",ORIG!B514)</f>
        <v/>
      </c>
      <c r="C514" s="3">
        <f>IF(ORIG!C514=0,"",ORIG!C514)</f>
        <v/>
      </c>
      <c r="D514" s="3">
        <f>IF(ORIG!D514=0,"",ORIG!D514)</f>
        <v/>
      </c>
      <c r="E514" s="3">
        <f>IF(ORIG!E514=0,"",ORIG!E514)</f>
        <v/>
      </c>
      <c r="F514" s="3">
        <f>IF(ORIG!F514=0,"",ORIG!F514)</f>
        <v/>
      </c>
      <c r="G514" s="3">
        <f>IF(ORIG!G514=0,"",ORIG!G514)</f>
        <v/>
      </c>
      <c r="H514" s="3">
        <f>IF(ORIG!H514=0,"",ORIG!H514)</f>
        <v/>
      </c>
      <c r="I514" s="3">
        <f>IF(ORIG!I514=0,"",ORIG!I514)</f>
        <v/>
      </c>
      <c r="J514" s="3">
        <f>IF(ORIG!J514=0,"",ORIG!J514)</f>
        <v/>
      </c>
      <c r="K514" s="3">
        <f>IF(ORIG!K514=0,"",ORIG!K514)</f>
        <v/>
      </c>
      <c r="L514" s="3">
        <f>IF(ORIG!L514=0,"",ORIG!L514)</f>
        <v/>
      </c>
      <c r="M514" s="3">
        <f>IF(ORIG!M514=0,"",ORIG!M514)</f>
        <v/>
      </c>
      <c r="N514" s="3">
        <f>IF(ORIG!N514=0,"",ORIG!N514)</f>
        <v/>
      </c>
      <c r="O514" s="3">
        <f>IF(ORIG!O514=0,"",ORIG!O514)</f>
        <v/>
      </c>
      <c r="P514" s="3">
        <f>IF(ORIG!P514=0,"",ORIG!P514)</f>
        <v/>
      </c>
      <c r="Q514" s="3">
        <f>IF(ORIG!Q514=0,"",ORIG!Q514)</f>
        <v/>
      </c>
      <c r="R514" s="3">
        <f>IF(ORIG!R514=0,"",ORIG!R514)</f>
        <v/>
      </c>
      <c r="S514" s="3">
        <f>IF(ORIG!S514=0,"",ORIG!S514)</f>
        <v/>
      </c>
      <c r="T514" s="3">
        <f>IF(ORIG!T514=0,"",ORIG!T514)</f>
        <v/>
      </c>
      <c r="U514" s="3">
        <f>IF(ORIG!U514=0,"",ORIG!U514)</f>
        <v/>
      </c>
      <c r="V514" s="9">
        <f>IF(ORIG!V514=0,"",ORIG!V514)</f>
        <v/>
      </c>
      <c r="W514" s="9">
        <f>IF(ORIG!W514=0,"",ORIG!W514)</f>
        <v/>
      </c>
      <c r="X514" s="9">
        <f>IF(ORIG!X514=0,"",ORIG!X514)</f>
        <v/>
      </c>
      <c r="Y514" s="9">
        <f>IF(ORIG!Y514=0,"",ORIG!Y514)</f>
        <v/>
      </c>
      <c r="Z514" s="3">
        <f>SUMPRODUCT($B514:$Y514,$B$2649:$Y$2649)</f>
        <v/>
      </c>
      <c r="AA514" s="3">
        <f>SUMPRODUCT($B514:$Y514,$B$2655:$Y$2655)</f>
        <v/>
      </c>
      <c r="AC514" s="1">
        <f>A514</f>
        <v/>
      </c>
      <c r="AD514">
        <f>IF(ISNUMBER(V514),V514*($AB$1/V$2635),"")</f>
        <v/>
      </c>
      <c r="AE514">
        <f>IF(ISNUMBER(Z514),Z514*($AB$1/Z$2635),"")</f>
        <v/>
      </c>
      <c r="AF514" s="25">
        <f>IF(ISNUMBER(AD514+AE514),AD514+AE514,"")</f>
        <v/>
      </c>
      <c r="AH514" s="1">
        <f>A514</f>
        <v/>
      </c>
      <c r="AI514">
        <f>IF(ISNUMBER((1+V514)*AI513),(1+V514)*AI513,AI513)</f>
        <v/>
      </c>
      <c r="AJ514">
        <f>IF(ISNUMBER((1+Z514)*AJ513),(1+Z514)*AJ513,AJ513)</f>
        <v/>
      </c>
    </row>
    <row r="515">
      <c r="A515" s="1" t="n">
        <v>42748</v>
      </c>
      <c r="B515" s="3">
        <f>IF(ORIG!B515=0,"",ORIG!B515)</f>
        <v/>
      </c>
      <c r="C515" s="3">
        <f>IF(ORIG!C515=0,"",ORIG!C515)</f>
        <v/>
      </c>
      <c r="D515" s="3">
        <f>IF(ORIG!D515=0,"",ORIG!D515)</f>
        <v/>
      </c>
      <c r="E515" s="3">
        <f>IF(ORIG!E515=0,"",ORIG!E515)</f>
        <v/>
      </c>
      <c r="F515" s="3">
        <f>IF(ORIG!F515=0,"",ORIG!F515)</f>
        <v/>
      </c>
      <c r="G515" s="3">
        <f>IF(ORIG!G515=0,"",ORIG!G515)</f>
        <v/>
      </c>
      <c r="H515" s="3">
        <f>IF(ORIG!H515=0,"",ORIG!H515)</f>
        <v/>
      </c>
      <c r="I515" s="3">
        <f>IF(ORIG!I515=0,"",ORIG!I515)</f>
        <v/>
      </c>
      <c r="J515" s="3">
        <f>IF(ORIG!J515=0,"",ORIG!J515)</f>
        <v/>
      </c>
      <c r="K515" s="3">
        <f>IF(ORIG!K515=0,"",ORIG!K515)</f>
        <v/>
      </c>
      <c r="L515" s="3">
        <f>IF(ORIG!L515=0,"",ORIG!L515)</f>
        <v/>
      </c>
      <c r="M515" s="3">
        <f>IF(ORIG!M515=0,"",ORIG!M515)</f>
        <v/>
      </c>
      <c r="N515" s="3">
        <f>IF(ORIG!N515=0,"",ORIG!N515)</f>
        <v/>
      </c>
      <c r="O515" s="3">
        <f>IF(ORIG!O515=0,"",ORIG!O515)</f>
        <v/>
      </c>
      <c r="P515" s="3">
        <f>IF(ORIG!P515=0,"",ORIG!P515)</f>
        <v/>
      </c>
      <c r="Q515" s="3">
        <f>IF(ORIG!Q515=0,"",ORIG!Q515)</f>
        <v/>
      </c>
      <c r="R515" s="3">
        <f>IF(ORIG!R515=0,"",ORIG!R515)</f>
        <v/>
      </c>
      <c r="S515" s="3">
        <f>IF(ORIG!S515=0,"",ORIG!S515)</f>
        <v/>
      </c>
      <c r="T515" s="3">
        <f>IF(ORIG!T515=0,"",ORIG!T515)</f>
        <v/>
      </c>
      <c r="U515" s="3">
        <f>IF(ORIG!U515=0,"",ORIG!U515)</f>
        <v/>
      </c>
      <c r="V515" s="9">
        <f>IF(ORIG!V515=0,"",ORIG!V515)</f>
        <v/>
      </c>
      <c r="W515" s="9">
        <f>IF(ORIG!W515=0,"",ORIG!W515)</f>
        <v/>
      </c>
      <c r="X515" s="9">
        <f>IF(ORIG!X515=0,"",ORIG!X515)</f>
        <v/>
      </c>
      <c r="Y515" s="9">
        <f>IF(ORIG!Y515=0,"",ORIG!Y515)</f>
        <v/>
      </c>
      <c r="Z515" s="3">
        <f>SUMPRODUCT($B515:$Y515,$B$2649:$Y$2649)</f>
        <v/>
      </c>
      <c r="AA515" s="3">
        <f>SUMPRODUCT($B515:$Y515,$B$2655:$Y$2655)</f>
        <v/>
      </c>
      <c r="AC515" s="1">
        <f>A515</f>
        <v/>
      </c>
      <c r="AD515">
        <f>IF(ISNUMBER(V515),V515*($AB$1/V$2635),"")</f>
        <v/>
      </c>
      <c r="AE515">
        <f>IF(ISNUMBER(Z515),Z515*($AB$1/Z$2635),"")</f>
        <v/>
      </c>
      <c r="AF515" s="25">
        <f>IF(ISNUMBER(AD515+AE515),AD515+AE515,"")</f>
        <v/>
      </c>
      <c r="AH515" s="1">
        <f>A515</f>
        <v/>
      </c>
      <c r="AI515">
        <f>IF(ISNUMBER((1+V515)*AI514),(1+V515)*AI514,AI514)</f>
        <v/>
      </c>
      <c r="AJ515">
        <f>IF(ISNUMBER((1+Z515)*AJ514),(1+Z515)*AJ514,AJ514)</f>
        <v/>
      </c>
    </row>
    <row r="516">
      <c r="A516" s="1" t="n">
        <v>42752</v>
      </c>
      <c r="B516" s="3">
        <f>IF(ORIG!B516=0,"",ORIG!B516)</f>
        <v/>
      </c>
      <c r="C516" s="3">
        <f>IF(ORIG!C516=0,"",ORIG!C516)</f>
        <v/>
      </c>
      <c r="D516" s="3">
        <f>IF(ORIG!D516=0,"",ORIG!D516)</f>
        <v/>
      </c>
      <c r="E516" s="3">
        <f>IF(ORIG!E516=0,"",ORIG!E516)</f>
        <v/>
      </c>
      <c r="F516" s="3">
        <f>IF(ORIG!F516=0,"",ORIG!F516)</f>
        <v/>
      </c>
      <c r="G516" s="3">
        <f>IF(ORIG!G516=0,"",ORIG!G516)</f>
        <v/>
      </c>
      <c r="H516" s="3">
        <f>IF(ORIG!H516=0,"",ORIG!H516)</f>
        <v/>
      </c>
      <c r="I516" s="3">
        <f>IF(ORIG!I516=0,"",ORIG!I516)</f>
        <v/>
      </c>
      <c r="J516" s="3">
        <f>IF(ORIG!J516=0,"",ORIG!J516)</f>
        <v/>
      </c>
      <c r="K516" s="3">
        <f>IF(ORIG!K516=0,"",ORIG!K516)</f>
        <v/>
      </c>
      <c r="L516" s="3">
        <f>IF(ORIG!L516=0,"",ORIG!L516)</f>
        <v/>
      </c>
      <c r="M516" s="3">
        <f>IF(ORIG!M516=0,"",ORIG!M516)</f>
        <v/>
      </c>
      <c r="N516" s="3">
        <f>IF(ORIG!N516=0,"",ORIG!N516)</f>
        <v/>
      </c>
      <c r="O516" s="3">
        <f>IF(ORIG!O516=0,"",ORIG!O516)</f>
        <v/>
      </c>
      <c r="P516" s="3">
        <f>IF(ORIG!P516=0,"",ORIG!P516)</f>
        <v/>
      </c>
      <c r="Q516" s="3">
        <f>IF(ORIG!Q516=0,"",ORIG!Q516)</f>
        <v/>
      </c>
      <c r="R516" s="3">
        <f>IF(ORIG!R516=0,"",ORIG!R516)</f>
        <v/>
      </c>
      <c r="S516" s="3">
        <f>IF(ORIG!S516=0,"",ORIG!S516)</f>
        <v/>
      </c>
      <c r="T516" s="3">
        <f>IF(ORIG!T516=0,"",ORIG!T516)</f>
        <v/>
      </c>
      <c r="U516" s="3">
        <f>IF(ORIG!U516=0,"",ORIG!U516)</f>
        <v/>
      </c>
      <c r="V516" s="9">
        <f>IF(ORIG!V516=0,"",ORIG!V516)</f>
        <v/>
      </c>
      <c r="W516" s="9">
        <f>IF(ORIG!W516=0,"",ORIG!W516)</f>
        <v/>
      </c>
      <c r="X516" s="9">
        <f>IF(ORIG!X516=0,"",ORIG!X516)</f>
        <v/>
      </c>
      <c r="Y516" s="9">
        <f>IF(ORIG!Y516=0,"",ORIG!Y516)</f>
        <v/>
      </c>
      <c r="Z516" s="3">
        <f>SUMPRODUCT($B516:$Y516,$B$2649:$Y$2649)</f>
        <v/>
      </c>
      <c r="AA516" s="3">
        <f>SUMPRODUCT($B516:$Y516,$B$2655:$Y$2655)</f>
        <v/>
      </c>
      <c r="AC516" s="1">
        <f>A516</f>
        <v/>
      </c>
      <c r="AD516">
        <f>IF(ISNUMBER(V516),V516*($AB$1/V$2635),"")</f>
        <v/>
      </c>
      <c r="AE516">
        <f>IF(ISNUMBER(Z516),Z516*($AB$1/Z$2635),"")</f>
        <v/>
      </c>
      <c r="AF516" s="25">
        <f>IF(ISNUMBER(AD516+AE516),AD516+AE516,"")</f>
        <v/>
      </c>
      <c r="AH516" s="1">
        <f>A516</f>
        <v/>
      </c>
      <c r="AI516">
        <f>IF(ISNUMBER((1+V516)*AI515),(1+V516)*AI515,AI515)</f>
        <v/>
      </c>
      <c r="AJ516">
        <f>IF(ISNUMBER((1+Z516)*AJ515),(1+Z516)*AJ515,AJ515)</f>
        <v/>
      </c>
    </row>
    <row r="517">
      <c r="A517" s="1" t="n">
        <v>42753</v>
      </c>
      <c r="B517" s="3">
        <f>IF(ORIG!B517=0,"",ORIG!B517)</f>
        <v/>
      </c>
      <c r="C517" s="3">
        <f>IF(ORIG!C517=0,"",ORIG!C517)</f>
        <v/>
      </c>
      <c r="D517" s="3">
        <f>IF(ORIG!D517=0,"",ORIG!D517)</f>
        <v/>
      </c>
      <c r="E517" s="3">
        <f>IF(ORIG!E517=0,"",ORIG!E517)</f>
        <v/>
      </c>
      <c r="F517" s="3">
        <f>IF(ORIG!F517=0,"",ORIG!F517)</f>
        <v/>
      </c>
      <c r="G517" s="3">
        <f>IF(ORIG!G517=0,"",ORIG!G517)</f>
        <v/>
      </c>
      <c r="H517" s="3">
        <f>IF(ORIG!H517=0,"",ORIG!H517)</f>
        <v/>
      </c>
      <c r="I517" s="3">
        <f>IF(ORIG!I517=0,"",ORIG!I517)</f>
        <v/>
      </c>
      <c r="J517" s="3">
        <f>IF(ORIG!J517=0,"",ORIG!J517)</f>
        <v/>
      </c>
      <c r="K517" s="3">
        <f>IF(ORIG!K517=0,"",ORIG!K517)</f>
        <v/>
      </c>
      <c r="L517" s="3">
        <f>IF(ORIG!L517=0,"",ORIG!L517)</f>
        <v/>
      </c>
      <c r="M517" s="3">
        <f>IF(ORIG!M517=0,"",ORIG!M517)</f>
        <v/>
      </c>
      <c r="N517" s="3">
        <f>IF(ORIG!N517=0,"",ORIG!N517)</f>
        <v/>
      </c>
      <c r="O517" s="3">
        <f>IF(ORIG!O517=0,"",ORIG!O517)</f>
        <v/>
      </c>
      <c r="P517" s="3">
        <f>IF(ORIG!P517=0,"",ORIG!P517)</f>
        <v/>
      </c>
      <c r="Q517" s="3">
        <f>IF(ORIG!Q517=0,"",ORIG!Q517)</f>
        <v/>
      </c>
      <c r="R517" s="3">
        <f>IF(ORIG!R517=0,"",ORIG!R517)</f>
        <v/>
      </c>
      <c r="S517" s="3">
        <f>IF(ORIG!S517=0,"",ORIG!S517)</f>
        <v/>
      </c>
      <c r="T517" s="3">
        <f>IF(ORIG!T517=0,"",ORIG!T517)</f>
        <v/>
      </c>
      <c r="U517" s="3">
        <f>IF(ORIG!U517=0,"",ORIG!U517)</f>
        <v/>
      </c>
      <c r="V517" s="9">
        <f>IF(ORIG!V517=0,"",ORIG!V517)</f>
        <v/>
      </c>
      <c r="W517" s="9">
        <f>IF(ORIG!W517=0,"",ORIG!W517)</f>
        <v/>
      </c>
      <c r="X517" s="9">
        <f>IF(ORIG!X517=0,"",ORIG!X517)</f>
        <v/>
      </c>
      <c r="Y517" s="9">
        <f>IF(ORIG!Y517=0,"",ORIG!Y517)</f>
        <v/>
      </c>
      <c r="Z517" s="3">
        <f>SUMPRODUCT($B517:$Y517,$B$2649:$Y$2649)</f>
        <v/>
      </c>
      <c r="AA517" s="3">
        <f>SUMPRODUCT($B517:$Y517,$B$2655:$Y$2655)</f>
        <v/>
      </c>
      <c r="AC517" s="1">
        <f>A517</f>
        <v/>
      </c>
      <c r="AD517">
        <f>IF(ISNUMBER(V517),V517*($AB$1/V$2635),"")</f>
        <v/>
      </c>
      <c r="AE517">
        <f>IF(ISNUMBER(Z517),Z517*($AB$1/Z$2635),"")</f>
        <v/>
      </c>
      <c r="AF517" s="25">
        <f>IF(ISNUMBER(AD517+AE517),AD517+AE517,"")</f>
        <v/>
      </c>
      <c r="AH517" s="1">
        <f>A517</f>
        <v/>
      </c>
      <c r="AI517">
        <f>IF(ISNUMBER((1+V517)*AI516),(1+V517)*AI516,AI516)</f>
        <v/>
      </c>
      <c r="AJ517">
        <f>IF(ISNUMBER((1+Z517)*AJ516),(1+Z517)*AJ516,AJ516)</f>
        <v/>
      </c>
    </row>
    <row r="518">
      <c r="A518" s="1" t="n">
        <v>42754</v>
      </c>
      <c r="B518" s="3">
        <f>IF(ORIG!B518=0,"",ORIG!B518)</f>
        <v/>
      </c>
      <c r="C518" s="3">
        <f>IF(ORIG!C518=0,"",ORIG!C518)</f>
        <v/>
      </c>
      <c r="D518" s="3">
        <f>IF(ORIG!D518=0,"",ORIG!D518)</f>
        <v/>
      </c>
      <c r="E518" s="3">
        <f>IF(ORIG!E518=0,"",ORIG!E518)</f>
        <v/>
      </c>
      <c r="F518" s="3">
        <f>IF(ORIG!F518=0,"",ORIG!F518)</f>
        <v/>
      </c>
      <c r="G518" s="3">
        <f>IF(ORIG!G518=0,"",ORIG!G518)</f>
        <v/>
      </c>
      <c r="H518" s="3">
        <f>IF(ORIG!H518=0,"",ORIG!H518)</f>
        <v/>
      </c>
      <c r="I518" s="3">
        <f>IF(ORIG!I518=0,"",ORIG!I518)</f>
        <v/>
      </c>
      <c r="J518" s="3">
        <f>IF(ORIG!J518=0,"",ORIG!J518)</f>
        <v/>
      </c>
      <c r="K518" s="3">
        <f>IF(ORIG!K518=0,"",ORIG!K518)</f>
        <v/>
      </c>
      <c r="L518" s="3">
        <f>IF(ORIG!L518=0,"",ORIG!L518)</f>
        <v/>
      </c>
      <c r="M518" s="3">
        <f>IF(ORIG!M518=0,"",ORIG!M518)</f>
        <v/>
      </c>
      <c r="N518" s="3">
        <f>IF(ORIG!N518=0,"",ORIG!N518)</f>
        <v/>
      </c>
      <c r="O518" s="3">
        <f>IF(ORIG!O518=0,"",ORIG!O518)</f>
        <v/>
      </c>
      <c r="P518" s="3">
        <f>IF(ORIG!P518=0,"",ORIG!P518)</f>
        <v/>
      </c>
      <c r="Q518" s="3">
        <f>IF(ORIG!Q518=0,"",ORIG!Q518)</f>
        <v/>
      </c>
      <c r="R518" s="3">
        <f>IF(ORIG!R518=0,"",ORIG!R518)</f>
        <v/>
      </c>
      <c r="S518" s="3">
        <f>IF(ORIG!S518=0,"",ORIG!S518)</f>
        <v/>
      </c>
      <c r="T518" s="3">
        <f>IF(ORIG!T518=0,"",ORIG!T518)</f>
        <v/>
      </c>
      <c r="U518" s="3">
        <f>IF(ORIG!U518=0,"",ORIG!U518)</f>
        <v/>
      </c>
      <c r="V518" s="9">
        <f>IF(ORIG!V518=0,"",ORIG!V518)</f>
        <v/>
      </c>
      <c r="W518" s="9">
        <f>IF(ORIG!W518=0,"",ORIG!W518)</f>
        <v/>
      </c>
      <c r="X518" s="9">
        <f>IF(ORIG!X518=0,"",ORIG!X518)</f>
        <v/>
      </c>
      <c r="Y518" s="9">
        <f>IF(ORIG!Y518=0,"",ORIG!Y518)</f>
        <v/>
      </c>
      <c r="Z518" s="3">
        <f>SUMPRODUCT($B518:$Y518,$B$2649:$Y$2649)</f>
        <v/>
      </c>
      <c r="AA518" s="3">
        <f>SUMPRODUCT($B518:$Y518,$B$2655:$Y$2655)</f>
        <v/>
      </c>
      <c r="AC518" s="1">
        <f>A518</f>
        <v/>
      </c>
      <c r="AD518">
        <f>IF(ISNUMBER(V518),V518*($AB$1/V$2635),"")</f>
        <v/>
      </c>
      <c r="AE518">
        <f>IF(ISNUMBER(Z518),Z518*($AB$1/Z$2635),"")</f>
        <v/>
      </c>
      <c r="AF518" s="25">
        <f>IF(ISNUMBER(AD518+AE518),AD518+AE518,"")</f>
        <v/>
      </c>
      <c r="AH518" s="1">
        <f>A518</f>
        <v/>
      </c>
      <c r="AI518">
        <f>IF(ISNUMBER((1+V518)*AI517),(1+V518)*AI517,AI517)</f>
        <v/>
      </c>
      <c r="AJ518">
        <f>IF(ISNUMBER((1+Z518)*AJ517),(1+Z518)*AJ517,AJ517)</f>
        <v/>
      </c>
    </row>
    <row r="519">
      <c r="A519" s="1" t="n">
        <v>42755</v>
      </c>
      <c r="B519" s="3">
        <f>IF(ORIG!B519=0,"",ORIG!B519)</f>
        <v/>
      </c>
      <c r="C519" s="3">
        <f>IF(ORIG!C519=0,"",ORIG!C519)</f>
        <v/>
      </c>
      <c r="D519" s="3">
        <f>IF(ORIG!D519=0,"",ORIG!D519)</f>
        <v/>
      </c>
      <c r="E519" s="3">
        <f>IF(ORIG!E519=0,"",ORIG!E519)</f>
        <v/>
      </c>
      <c r="F519" s="3">
        <f>IF(ORIG!F519=0,"",ORIG!F519)</f>
        <v/>
      </c>
      <c r="G519" s="3">
        <f>IF(ORIG!G519=0,"",ORIG!G519)</f>
        <v/>
      </c>
      <c r="H519" s="3">
        <f>IF(ORIG!H519=0,"",ORIG!H519)</f>
        <v/>
      </c>
      <c r="I519" s="3">
        <f>IF(ORIG!I519=0,"",ORIG!I519)</f>
        <v/>
      </c>
      <c r="J519" s="3">
        <f>IF(ORIG!J519=0,"",ORIG!J519)</f>
        <v/>
      </c>
      <c r="K519" s="3">
        <f>IF(ORIG!K519=0,"",ORIG!K519)</f>
        <v/>
      </c>
      <c r="L519" s="3">
        <f>IF(ORIG!L519=0,"",ORIG!L519)</f>
        <v/>
      </c>
      <c r="M519" s="3">
        <f>IF(ORIG!M519=0,"",ORIG!M519)</f>
        <v/>
      </c>
      <c r="N519" s="3">
        <f>IF(ORIG!N519=0,"",ORIG!N519)</f>
        <v/>
      </c>
      <c r="O519" s="3">
        <f>IF(ORIG!O519=0,"",ORIG!O519)</f>
        <v/>
      </c>
      <c r="P519" s="3">
        <f>IF(ORIG!P519=0,"",ORIG!P519)</f>
        <v/>
      </c>
      <c r="Q519" s="3">
        <f>IF(ORIG!Q519=0,"",ORIG!Q519)</f>
        <v/>
      </c>
      <c r="R519" s="3">
        <f>IF(ORIG!R519=0,"",ORIG!R519)</f>
        <v/>
      </c>
      <c r="S519" s="3">
        <f>IF(ORIG!S519=0,"",ORIG!S519)</f>
        <v/>
      </c>
      <c r="T519" s="3">
        <f>IF(ORIG!T519=0,"",ORIG!T519)</f>
        <v/>
      </c>
      <c r="U519" s="3">
        <f>IF(ORIG!U519=0,"",ORIG!U519)</f>
        <v/>
      </c>
      <c r="V519" s="9">
        <f>IF(ORIG!V519=0,"",ORIG!V519)</f>
        <v/>
      </c>
      <c r="W519" s="9">
        <f>IF(ORIG!W519=0,"",ORIG!W519)</f>
        <v/>
      </c>
      <c r="X519" s="9">
        <f>IF(ORIG!X519=0,"",ORIG!X519)</f>
        <v/>
      </c>
      <c r="Y519" s="9">
        <f>IF(ORIG!Y519=0,"",ORIG!Y519)</f>
        <v/>
      </c>
      <c r="Z519" s="3">
        <f>SUMPRODUCT($B519:$Y519,$B$2649:$Y$2649)</f>
        <v/>
      </c>
      <c r="AA519" s="3">
        <f>SUMPRODUCT($B519:$Y519,$B$2655:$Y$2655)</f>
        <v/>
      </c>
      <c r="AC519" s="1">
        <f>A519</f>
        <v/>
      </c>
      <c r="AD519">
        <f>IF(ISNUMBER(V519),V519*($AB$1/V$2635),"")</f>
        <v/>
      </c>
      <c r="AE519">
        <f>IF(ISNUMBER(Z519),Z519*($AB$1/Z$2635),"")</f>
        <v/>
      </c>
      <c r="AF519" s="25">
        <f>IF(ISNUMBER(AD519+AE519),AD519+AE519,"")</f>
        <v/>
      </c>
      <c r="AH519" s="1">
        <f>A519</f>
        <v/>
      </c>
      <c r="AI519">
        <f>IF(ISNUMBER((1+V519)*AI518),(1+V519)*AI518,AI518)</f>
        <v/>
      </c>
      <c r="AJ519">
        <f>IF(ISNUMBER((1+Z519)*AJ518),(1+Z519)*AJ518,AJ518)</f>
        <v/>
      </c>
    </row>
    <row r="520">
      <c r="A520" s="1" t="n">
        <v>42758</v>
      </c>
      <c r="B520" s="3">
        <f>IF(ORIG!B520=0,"",ORIG!B520)</f>
        <v/>
      </c>
      <c r="C520" s="3">
        <f>IF(ORIG!C520=0,"",ORIG!C520)</f>
        <v/>
      </c>
      <c r="D520" s="3">
        <f>IF(ORIG!D520=0,"",ORIG!D520)</f>
        <v/>
      </c>
      <c r="E520" s="3">
        <f>IF(ORIG!E520=0,"",ORIG!E520)</f>
        <v/>
      </c>
      <c r="F520" s="3">
        <f>IF(ORIG!F520=0,"",ORIG!F520)</f>
        <v/>
      </c>
      <c r="G520" s="3">
        <f>IF(ORIG!G520=0,"",ORIG!G520)</f>
        <v/>
      </c>
      <c r="H520" s="3">
        <f>IF(ORIG!H520=0,"",ORIG!H520)</f>
        <v/>
      </c>
      <c r="I520" s="3">
        <f>IF(ORIG!I520=0,"",ORIG!I520)</f>
        <v/>
      </c>
      <c r="J520" s="3">
        <f>IF(ORIG!J520=0,"",ORIG!J520)</f>
        <v/>
      </c>
      <c r="K520" s="3">
        <f>IF(ORIG!K520=0,"",ORIG!K520)</f>
        <v/>
      </c>
      <c r="L520" s="3">
        <f>IF(ORIG!L520=0,"",ORIG!L520)</f>
        <v/>
      </c>
      <c r="M520" s="3">
        <f>IF(ORIG!M520=0,"",ORIG!M520)</f>
        <v/>
      </c>
      <c r="N520" s="3">
        <f>IF(ORIG!N520=0,"",ORIG!N520)</f>
        <v/>
      </c>
      <c r="O520" s="3">
        <f>IF(ORIG!O520=0,"",ORIG!O520)</f>
        <v/>
      </c>
      <c r="P520" s="3">
        <f>IF(ORIG!P520=0,"",ORIG!P520)</f>
        <v/>
      </c>
      <c r="Q520" s="3">
        <f>IF(ORIG!Q520=0,"",ORIG!Q520)</f>
        <v/>
      </c>
      <c r="R520" s="3">
        <f>IF(ORIG!R520=0,"",ORIG!R520)</f>
        <v/>
      </c>
      <c r="S520" s="3">
        <f>IF(ORIG!S520=0,"",ORIG!S520)</f>
        <v/>
      </c>
      <c r="T520" s="3">
        <f>IF(ORIG!T520=0,"",ORIG!T520)</f>
        <v/>
      </c>
      <c r="U520" s="3">
        <f>IF(ORIG!U520=0,"",ORIG!U520)</f>
        <v/>
      </c>
      <c r="V520" s="9">
        <f>IF(ORIG!V520=0,"",ORIG!V520)</f>
        <v/>
      </c>
      <c r="W520" s="9">
        <f>IF(ORIG!W520=0,"",ORIG!W520)</f>
        <v/>
      </c>
      <c r="X520" s="9">
        <f>IF(ORIG!X520=0,"",ORIG!X520)</f>
        <v/>
      </c>
      <c r="Y520" s="9">
        <f>IF(ORIG!Y520=0,"",ORIG!Y520)</f>
        <v/>
      </c>
      <c r="Z520" s="3">
        <f>SUMPRODUCT($B520:$Y520,$B$2649:$Y$2649)</f>
        <v/>
      </c>
      <c r="AA520" s="3">
        <f>SUMPRODUCT($B520:$Y520,$B$2655:$Y$2655)</f>
        <v/>
      </c>
      <c r="AC520" s="1">
        <f>A520</f>
        <v/>
      </c>
      <c r="AD520">
        <f>IF(ISNUMBER(V520),V520*($AB$1/V$2635),"")</f>
        <v/>
      </c>
      <c r="AE520">
        <f>IF(ISNUMBER(Z520),Z520*($AB$1/Z$2635),"")</f>
        <v/>
      </c>
      <c r="AF520" s="25">
        <f>IF(ISNUMBER(AD520+AE520),AD520+AE520,"")</f>
        <v/>
      </c>
      <c r="AH520" s="1">
        <f>A520</f>
        <v/>
      </c>
      <c r="AI520">
        <f>IF(ISNUMBER((1+V520)*AI519),(1+V520)*AI519,AI519)</f>
        <v/>
      </c>
      <c r="AJ520">
        <f>IF(ISNUMBER((1+Z520)*AJ519),(1+Z520)*AJ519,AJ519)</f>
        <v/>
      </c>
    </row>
    <row r="521">
      <c r="A521" s="1" t="n">
        <v>42759</v>
      </c>
      <c r="B521" s="3">
        <f>IF(ORIG!B521=0,"",ORIG!B521)</f>
        <v/>
      </c>
      <c r="C521" s="3">
        <f>IF(ORIG!C521=0,"",ORIG!C521)</f>
        <v/>
      </c>
      <c r="D521" s="3">
        <f>IF(ORIG!D521=0,"",ORIG!D521)</f>
        <v/>
      </c>
      <c r="E521" s="3">
        <f>IF(ORIG!E521=0,"",ORIG!E521)</f>
        <v/>
      </c>
      <c r="F521" s="3">
        <f>IF(ORIG!F521=0,"",ORIG!F521)</f>
        <v/>
      </c>
      <c r="G521" s="3">
        <f>IF(ORIG!G521=0,"",ORIG!G521)</f>
        <v/>
      </c>
      <c r="H521" s="3">
        <f>IF(ORIG!H521=0,"",ORIG!H521)</f>
        <v/>
      </c>
      <c r="I521" s="3">
        <f>IF(ORIG!I521=0,"",ORIG!I521)</f>
        <v/>
      </c>
      <c r="J521" s="3">
        <f>IF(ORIG!J521=0,"",ORIG!J521)</f>
        <v/>
      </c>
      <c r="K521" s="3">
        <f>IF(ORIG!K521=0,"",ORIG!K521)</f>
        <v/>
      </c>
      <c r="L521" s="3">
        <f>IF(ORIG!L521=0,"",ORIG!L521)</f>
        <v/>
      </c>
      <c r="M521" s="3">
        <f>IF(ORIG!M521=0,"",ORIG!M521)</f>
        <v/>
      </c>
      <c r="N521" s="3">
        <f>IF(ORIG!N521=0,"",ORIG!N521)</f>
        <v/>
      </c>
      <c r="O521" s="3">
        <f>IF(ORIG!O521=0,"",ORIG!O521)</f>
        <v/>
      </c>
      <c r="P521" s="3">
        <f>IF(ORIG!P521=0,"",ORIG!P521)</f>
        <v/>
      </c>
      <c r="Q521" s="3">
        <f>IF(ORIG!Q521=0,"",ORIG!Q521)</f>
        <v/>
      </c>
      <c r="R521" s="3">
        <f>IF(ORIG!R521=0,"",ORIG!R521)</f>
        <v/>
      </c>
      <c r="S521" s="3">
        <f>IF(ORIG!S521=0,"",ORIG!S521)</f>
        <v/>
      </c>
      <c r="T521" s="3">
        <f>IF(ORIG!T521=0,"",ORIG!T521)</f>
        <v/>
      </c>
      <c r="U521" s="3">
        <f>IF(ORIG!U521=0,"",ORIG!U521)</f>
        <v/>
      </c>
      <c r="V521" s="9">
        <f>IF(ORIG!V521=0,"",ORIG!V521)</f>
        <v/>
      </c>
      <c r="W521" s="9">
        <f>IF(ORIG!W521=0,"",ORIG!W521)</f>
        <v/>
      </c>
      <c r="X521" s="9">
        <f>IF(ORIG!X521=0,"",ORIG!X521)</f>
        <v/>
      </c>
      <c r="Y521" s="9">
        <f>IF(ORIG!Y521=0,"",ORIG!Y521)</f>
        <v/>
      </c>
      <c r="Z521" s="3">
        <f>SUMPRODUCT($B521:$Y521,$B$2649:$Y$2649)</f>
        <v/>
      </c>
      <c r="AA521" s="3">
        <f>SUMPRODUCT($B521:$Y521,$B$2655:$Y$2655)</f>
        <v/>
      </c>
      <c r="AC521" s="1">
        <f>A521</f>
        <v/>
      </c>
      <c r="AD521">
        <f>IF(ISNUMBER(V521),V521*($AB$1/V$2635),"")</f>
        <v/>
      </c>
      <c r="AE521">
        <f>IF(ISNUMBER(Z521),Z521*($AB$1/Z$2635),"")</f>
        <v/>
      </c>
      <c r="AF521" s="25">
        <f>IF(ISNUMBER(AD521+AE521),AD521+AE521,"")</f>
        <v/>
      </c>
      <c r="AH521" s="1">
        <f>A521</f>
        <v/>
      </c>
      <c r="AI521">
        <f>IF(ISNUMBER((1+V521)*AI520),(1+V521)*AI520,AI520)</f>
        <v/>
      </c>
      <c r="AJ521">
        <f>IF(ISNUMBER((1+Z521)*AJ520),(1+Z521)*AJ520,AJ520)</f>
        <v/>
      </c>
    </row>
    <row r="522">
      <c r="A522" s="1" t="n">
        <v>42760</v>
      </c>
      <c r="B522" s="3">
        <f>IF(ORIG!B522=0,"",ORIG!B522)</f>
        <v/>
      </c>
      <c r="C522" s="3">
        <f>IF(ORIG!C522=0,"",ORIG!C522)</f>
        <v/>
      </c>
      <c r="D522" s="3">
        <f>IF(ORIG!D522=0,"",ORIG!D522)</f>
        <v/>
      </c>
      <c r="E522" s="3">
        <f>IF(ORIG!E522=0,"",ORIG!E522)</f>
        <v/>
      </c>
      <c r="F522" s="3">
        <f>IF(ORIG!F522=0,"",ORIG!F522)</f>
        <v/>
      </c>
      <c r="G522" s="3">
        <f>IF(ORIG!G522=0,"",ORIG!G522)</f>
        <v/>
      </c>
      <c r="H522" s="3">
        <f>IF(ORIG!H522=0,"",ORIG!H522)</f>
        <v/>
      </c>
      <c r="I522" s="3">
        <f>IF(ORIG!I522=0,"",ORIG!I522)</f>
        <v/>
      </c>
      <c r="J522" s="3">
        <f>IF(ORIG!J522=0,"",ORIG!J522)</f>
        <v/>
      </c>
      <c r="K522" s="3">
        <f>IF(ORIG!K522=0,"",ORIG!K522)</f>
        <v/>
      </c>
      <c r="L522" s="3">
        <f>IF(ORIG!L522=0,"",ORIG!L522)</f>
        <v/>
      </c>
      <c r="M522" s="3">
        <f>IF(ORIG!M522=0,"",ORIG!M522)</f>
        <v/>
      </c>
      <c r="N522" s="3">
        <f>IF(ORIG!N522=0,"",ORIG!N522)</f>
        <v/>
      </c>
      <c r="O522" s="3">
        <f>IF(ORIG!O522=0,"",ORIG!O522)</f>
        <v/>
      </c>
      <c r="P522" s="3">
        <f>IF(ORIG!P522=0,"",ORIG!P522)</f>
        <v/>
      </c>
      <c r="Q522" s="3">
        <f>IF(ORIG!Q522=0,"",ORIG!Q522)</f>
        <v/>
      </c>
      <c r="R522" s="3">
        <f>IF(ORIG!R522=0,"",ORIG!R522)</f>
        <v/>
      </c>
      <c r="S522" s="3">
        <f>IF(ORIG!S522=0,"",ORIG!S522)</f>
        <v/>
      </c>
      <c r="T522" s="3">
        <f>IF(ORIG!T522=0,"",ORIG!T522)</f>
        <v/>
      </c>
      <c r="U522" s="3">
        <f>IF(ORIG!U522=0,"",ORIG!U522)</f>
        <v/>
      </c>
      <c r="V522" s="9">
        <f>IF(ORIG!V522=0,"",ORIG!V522)</f>
        <v/>
      </c>
      <c r="W522" s="9">
        <f>IF(ORIG!W522=0,"",ORIG!W522)</f>
        <v/>
      </c>
      <c r="X522" s="9">
        <f>IF(ORIG!X522=0,"",ORIG!X522)</f>
        <v/>
      </c>
      <c r="Y522" s="9">
        <f>IF(ORIG!Y522=0,"",ORIG!Y522)</f>
        <v/>
      </c>
      <c r="Z522" s="3">
        <f>SUMPRODUCT($B522:$Y522,$B$2649:$Y$2649)</f>
        <v/>
      </c>
      <c r="AA522" s="3">
        <f>SUMPRODUCT($B522:$Y522,$B$2655:$Y$2655)</f>
        <v/>
      </c>
      <c r="AC522" s="1">
        <f>A522</f>
        <v/>
      </c>
      <c r="AD522">
        <f>IF(ISNUMBER(V522),V522*($AB$1/V$2635),"")</f>
        <v/>
      </c>
      <c r="AE522">
        <f>IF(ISNUMBER(Z522),Z522*($AB$1/Z$2635),"")</f>
        <v/>
      </c>
      <c r="AF522" s="25">
        <f>IF(ISNUMBER(AD522+AE522),AD522+AE522,"")</f>
        <v/>
      </c>
      <c r="AH522" s="1">
        <f>A522</f>
        <v/>
      </c>
      <c r="AI522">
        <f>IF(ISNUMBER((1+V522)*AI521),(1+V522)*AI521,AI521)</f>
        <v/>
      </c>
      <c r="AJ522">
        <f>IF(ISNUMBER((1+Z522)*AJ521),(1+Z522)*AJ521,AJ521)</f>
        <v/>
      </c>
    </row>
    <row r="523">
      <c r="A523" s="1" t="n">
        <v>42761</v>
      </c>
      <c r="B523" s="3">
        <f>IF(ORIG!B523=0,"",ORIG!B523)</f>
        <v/>
      </c>
      <c r="C523" s="3">
        <f>IF(ORIG!C523=0,"",ORIG!C523)</f>
        <v/>
      </c>
      <c r="D523" s="3">
        <f>IF(ORIG!D523=0,"",ORIG!D523)</f>
        <v/>
      </c>
      <c r="E523" s="3">
        <f>IF(ORIG!E523=0,"",ORIG!E523)</f>
        <v/>
      </c>
      <c r="F523" s="3">
        <f>IF(ORIG!F523=0,"",ORIG!F523)</f>
        <v/>
      </c>
      <c r="G523" s="3">
        <f>IF(ORIG!G523=0,"",ORIG!G523)</f>
        <v/>
      </c>
      <c r="H523" s="3">
        <f>IF(ORIG!H523=0,"",ORIG!H523)</f>
        <v/>
      </c>
      <c r="I523" s="3">
        <f>IF(ORIG!I523=0,"",ORIG!I523)</f>
        <v/>
      </c>
      <c r="J523" s="3">
        <f>IF(ORIG!J523=0,"",ORIG!J523)</f>
        <v/>
      </c>
      <c r="K523" s="3">
        <f>IF(ORIG!K523=0,"",ORIG!K523)</f>
        <v/>
      </c>
      <c r="L523" s="3">
        <f>IF(ORIG!L523=0,"",ORIG!L523)</f>
        <v/>
      </c>
      <c r="M523" s="3">
        <f>IF(ORIG!M523=0,"",ORIG!M523)</f>
        <v/>
      </c>
      <c r="N523" s="3">
        <f>IF(ORIG!N523=0,"",ORIG!N523)</f>
        <v/>
      </c>
      <c r="O523" s="3">
        <f>IF(ORIG!O523=0,"",ORIG!O523)</f>
        <v/>
      </c>
      <c r="P523" s="3">
        <f>IF(ORIG!P523=0,"",ORIG!P523)</f>
        <v/>
      </c>
      <c r="Q523" s="3">
        <f>IF(ORIG!Q523=0,"",ORIG!Q523)</f>
        <v/>
      </c>
      <c r="R523" s="3">
        <f>IF(ORIG!R523=0,"",ORIG!R523)</f>
        <v/>
      </c>
      <c r="S523" s="3">
        <f>IF(ORIG!S523=0,"",ORIG!S523)</f>
        <v/>
      </c>
      <c r="T523" s="3">
        <f>IF(ORIG!T523=0,"",ORIG!T523)</f>
        <v/>
      </c>
      <c r="U523" s="3">
        <f>IF(ORIG!U523=0,"",ORIG!U523)</f>
        <v/>
      </c>
      <c r="V523" s="9">
        <f>IF(ORIG!V523=0,"",ORIG!V523)</f>
        <v/>
      </c>
      <c r="W523" s="9">
        <f>IF(ORIG!W523=0,"",ORIG!W523)</f>
        <v/>
      </c>
      <c r="X523" s="9">
        <f>IF(ORIG!X523=0,"",ORIG!X523)</f>
        <v/>
      </c>
      <c r="Y523" s="9">
        <f>IF(ORIG!Y523=0,"",ORIG!Y523)</f>
        <v/>
      </c>
      <c r="Z523" s="3">
        <f>SUMPRODUCT($B523:$Y523,$B$2649:$Y$2649)</f>
        <v/>
      </c>
      <c r="AA523" s="3">
        <f>SUMPRODUCT($B523:$Y523,$B$2655:$Y$2655)</f>
        <v/>
      </c>
      <c r="AC523" s="1">
        <f>A523</f>
        <v/>
      </c>
      <c r="AD523">
        <f>IF(ISNUMBER(V523),V523*($AB$1/V$2635),"")</f>
        <v/>
      </c>
      <c r="AE523">
        <f>IF(ISNUMBER(Z523),Z523*($AB$1/Z$2635),"")</f>
        <v/>
      </c>
      <c r="AF523" s="25">
        <f>IF(ISNUMBER(AD523+AE523),AD523+AE523,"")</f>
        <v/>
      </c>
      <c r="AH523" s="1">
        <f>A523</f>
        <v/>
      </c>
      <c r="AI523">
        <f>IF(ISNUMBER((1+V523)*AI522),(1+V523)*AI522,AI522)</f>
        <v/>
      </c>
      <c r="AJ523">
        <f>IF(ISNUMBER((1+Z523)*AJ522),(1+Z523)*AJ522,AJ522)</f>
        <v/>
      </c>
    </row>
    <row r="524">
      <c r="A524" s="1" t="n">
        <v>42762</v>
      </c>
      <c r="B524" s="3">
        <f>IF(ORIG!B524=0,"",ORIG!B524)</f>
        <v/>
      </c>
      <c r="C524" s="3">
        <f>IF(ORIG!C524=0,"",ORIG!C524)</f>
        <v/>
      </c>
      <c r="D524" s="3">
        <f>IF(ORIG!D524=0,"",ORIG!D524)</f>
        <v/>
      </c>
      <c r="E524" s="3">
        <f>IF(ORIG!E524=0,"",ORIG!E524)</f>
        <v/>
      </c>
      <c r="F524" s="3">
        <f>IF(ORIG!F524=0,"",ORIG!F524)</f>
        <v/>
      </c>
      <c r="G524" s="3">
        <f>IF(ORIG!G524=0,"",ORIG!G524)</f>
        <v/>
      </c>
      <c r="H524" s="3">
        <f>IF(ORIG!H524=0,"",ORIG!H524)</f>
        <v/>
      </c>
      <c r="I524" s="3">
        <f>IF(ORIG!I524=0,"",ORIG!I524)</f>
        <v/>
      </c>
      <c r="J524" s="3">
        <f>IF(ORIG!J524=0,"",ORIG!J524)</f>
        <v/>
      </c>
      <c r="K524" s="3">
        <f>IF(ORIG!K524=0,"",ORIG!K524)</f>
        <v/>
      </c>
      <c r="L524" s="3">
        <f>IF(ORIG!L524=0,"",ORIG!L524)</f>
        <v/>
      </c>
      <c r="M524" s="3">
        <f>IF(ORIG!M524=0,"",ORIG!M524)</f>
        <v/>
      </c>
      <c r="N524" s="3">
        <f>IF(ORIG!N524=0,"",ORIG!N524)</f>
        <v/>
      </c>
      <c r="O524" s="3">
        <f>IF(ORIG!O524=0,"",ORIG!O524)</f>
        <v/>
      </c>
      <c r="P524" s="3">
        <f>IF(ORIG!P524=0,"",ORIG!P524)</f>
        <v/>
      </c>
      <c r="Q524" s="3">
        <f>IF(ORIG!Q524=0,"",ORIG!Q524)</f>
        <v/>
      </c>
      <c r="R524" s="3">
        <f>IF(ORIG!R524=0,"",ORIG!R524)</f>
        <v/>
      </c>
      <c r="S524" s="3">
        <f>IF(ORIG!S524=0,"",ORIG!S524)</f>
        <v/>
      </c>
      <c r="T524" s="3">
        <f>IF(ORIG!T524=0,"",ORIG!T524)</f>
        <v/>
      </c>
      <c r="U524" s="3">
        <f>IF(ORIG!U524=0,"",ORIG!U524)</f>
        <v/>
      </c>
      <c r="V524" s="9">
        <f>IF(ORIG!V524=0,"",ORIG!V524)</f>
        <v/>
      </c>
      <c r="W524" s="9">
        <f>IF(ORIG!W524=0,"",ORIG!W524)</f>
        <v/>
      </c>
      <c r="X524" s="9">
        <f>IF(ORIG!X524=0,"",ORIG!X524)</f>
        <v/>
      </c>
      <c r="Y524" s="9">
        <f>IF(ORIG!Y524=0,"",ORIG!Y524)</f>
        <v/>
      </c>
      <c r="Z524" s="3">
        <f>SUMPRODUCT($B524:$Y524,$B$2649:$Y$2649)</f>
        <v/>
      </c>
      <c r="AA524" s="3">
        <f>SUMPRODUCT($B524:$Y524,$B$2655:$Y$2655)</f>
        <v/>
      </c>
      <c r="AC524" s="1">
        <f>A524</f>
        <v/>
      </c>
      <c r="AD524">
        <f>IF(ISNUMBER(V524),V524*($AB$1/V$2635),"")</f>
        <v/>
      </c>
      <c r="AE524">
        <f>IF(ISNUMBER(Z524),Z524*($AB$1/Z$2635),"")</f>
        <v/>
      </c>
      <c r="AF524" s="25">
        <f>IF(ISNUMBER(AD524+AE524),AD524+AE524,"")</f>
        <v/>
      </c>
      <c r="AH524" s="1">
        <f>A524</f>
        <v/>
      </c>
      <c r="AI524">
        <f>IF(ISNUMBER((1+V524)*AI523),(1+V524)*AI523,AI523)</f>
        <v/>
      </c>
      <c r="AJ524">
        <f>IF(ISNUMBER((1+Z524)*AJ523),(1+Z524)*AJ523,AJ523)</f>
        <v/>
      </c>
    </row>
    <row r="525">
      <c r="A525" s="1" t="n">
        <v>42765</v>
      </c>
      <c r="B525" s="3">
        <f>IF(ORIG!B525=0,"",ORIG!B525)</f>
        <v/>
      </c>
      <c r="C525" s="3">
        <f>IF(ORIG!C525=0,"",ORIG!C525)</f>
        <v/>
      </c>
      <c r="D525" s="3">
        <f>IF(ORIG!D525=0,"",ORIG!D525)</f>
        <v/>
      </c>
      <c r="E525" s="3">
        <f>IF(ORIG!E525=0,"",ORIG!E525)</f>
        <v/>
      </c>
      <c r="F525" s="3">
        <f>IF(ORIG!F525=0,"",ORIG!F525)</f>
        <v/>
      </c>
      <c r="G525" s="3">
        <f>IF(ORIG!G525=0,"",ORIG!G525)</f>
        <v/>
      </c>
      <c r="H525" s="3">
        <f>IF(ORIG!H525=0,"",ORIG!H525)</f>
        <v/>
      </c>
      <c r="I525" s="3">
        <f>IF(ORIG!I525=0,"",ORIG!I525)</f>
        <v/>
      </c>
      <c r="J525" s="3">
        <f>IF(ORIG!J525=0,"",ORIG!J525)</f>
        <v/>
      </c>
      <c r="K525" s="3">
        <f>IF(ORIG!K525=0,"",ORIG!K525)</f>
        <v/>
      </c>
      <c r="L525" s="3">
        <f>IF(ORIG!L525=0,"",ORIG!L525)</f>
        <v/>
      </c>
      <c r="M525" s="3">
        <f>IF(ORIG!M525=0,"",ORIG!M525)</f>
        <v/>
      </c>
      <c r="N525" s="3">
        <f>IF(ORIG!N525=0,"",ORIG!N525)</f>
        <v/>
      </c>
      <c r="O525" s="3">
        <f>IF(ORIG!O525=0,"",ORIG!O525)</f>
        <v/>
      </c>
      <c r="P525" s="3">
        <f>IF(ORIG!P525=0,"",ORIG!P525)</f>
        <v/>
      </c>
      <c r="Q525" s="3">
        <f>IF(ORIG!Q525=0,"",ORIG!Q525)</f>
        <v/>
      </c>
      <c r="R525" s="3">
        <f>IF(ORIG!R525=0,"",ORIG!R525)</f>
        <v/>
      </c>
      <c r="S525" s="3">
        <f>IF(ORIG!S525=0,"",ORIG!S525)</f>
        <v/>
      </c>
      <c r="T525" s="3">
        <f>IF(ORIG!T525=0,"",ORIG!T525)</f>
        <v/>
      </c>
      <c r="U525" s="3">
        <f>IF(ORIG!U525=0,"",ORIG!U525)</f>
        <v/>
      </c>
      <c r="V525" s="9">
        <f>IF(ORIG!V525=0,"",ORIG!V525)</f>
        <v/>
      </c>
      <c r="W525" s="9">
        <f>IF(ORIG!W525=0,"",ORIG!W525)</f>
        <v/>
      </c>
      <c r="X525" s="9">
        <f>IF(ORIG!X525=0,"",ORIG!X525)</f>
        <v/>
      </c>
      <c r="Y525" s="9">
        <f>IF(ORIG!Y525=0,"",ORIG!Y525)</f>
        <v/>
      </c>
      <c r="Z525" s="3">
        <f>SUMPRODUCT($B525:$Y525,$B$2649:$Y$2649)</f>
        <v/>
      </c>
      <c r="AA525" s="3">
        <f>SUMPRODUCT($B525:$Y525,$B$2655:$Y$2655)</f>
        <v/>
      </c>
      <c r="AC525" s="1">
        <f>A525</f>
        <v/>
      </c>
      <c r="AD525">
        <f>IF(ISNUMBER(V525),V525*($AB$1/V$2635),"")</f>
        <v/>
      </c>
      <c r="AE525">
        <f>IF(ISNUMBER(Z525),Z525*($AB$1/Z$2635),"")</f>
        <v/>
      </c>
      <c r="AF525" s="25">
        <f>IF(ISNUMBER(AD525+AE525),AD525+AE525,"")</f>
        <v/>
      </c>
      <c r="AH525" s="1">
        <f>A525</f>
        <v/>
      </c>
      <c r="AI525">
        <f>IF(ISNUMBER((1+V525)*AI524),(1+V525)*AI524,AI524)</f>
        <v/>
      </c>
      <c r="AJ525">
        <f>IF(ISNUMBER((1+Z525)*AJ524),(1+Z525)*AJ524,AJ524)</f>
        <v/>
      </c>
    </row>
    <row r="526">
      <c r="A526" s="1" t="n">
        <v>42766</v>
      </c>
      <c r="B526" s="3">
        <f>IF(ORIG!B526=0,"",ORIG!B526)</f>
        <v/>
      </c>
      <c r="C526" s="3">
        <f>IF(ORIG!C526=0,"",ORIG!C526)</f>
        <v/>
      </c>
      <c r="D526" s="3">
        <f>IF(ORIG!D526=0,"",ORIG!D526)</f>
        <v/>
      </c>
      <c r="E526" s="3">
        <f>IF(ORIG!E526=0,"",ORIG!E526)</f>
        <v/>
      </c>
      <c r="F526" s="3">
        <f>IF(ORIG!F526=0,"",ORIG!F526)</f>
        <v/>
      </c>
      <c r="G526" s="3">
        <f>IF(ORIG!G526=0,"",ORIG!G526)</f>
        <v/>
      </c>
      <c r="H526" s="3">
        <f>IF(ORIG!H526=0,"",ORIG!H526)</f>
        <v/>
      </c>
      <c r="I526" s="3">
        <f>IF(ORIG!I526=0,"",ORIG!I526)</f>
        <v/>
      </c>
      <c r="J526" s="3">
        <f>IF(ORIG!J526=0,"",ORIG!J526)</f>
        <v/>
      </c>
      <c r="K526" s="3">
        <f>IF(ORIG!K526=0,"",ORIG!K526)</f>
        <v/>
      </c>
      <c r="L526" s="3">
        <f>IF(ORIG!L526=0,"",ORIG!L526)</f>
        <v/>
      </c>
      <c r="M526" s="3">
        <f>IF(ORIG!M526=0,"",ORIG!M526)</f>
        <v/>
      </c>
      <c r="N526" s="3">
        <f>IF(ORIG!N526=0,"",ORIG!N526)</f>
        <v/>
      </c>
      <c r="O526" s="3">
        <f>IF(ORIG!O526=0,"",ORIG!O526)</f>
        <v/>
      </c>
      <c r="P526" s="3">
        <f>IF(ORIG!P526=0,"",ORIG!P526)</f>
        <v/>
      </c>
      <c r="Q526" s="3">
        <f>IF(ORIG!Q526=0,"",ORIG!Q526)</f>
        <v/>
      </c>
      <c r="R526" s="3">
        <f>IF(ORIG!R526=0,"",ORIG!R526)</f>
        <v/>
      </c>
      <c r="S526" s="3">
        <f>IF(ORIG!S526=0,"",ORIG!S526)</f>
        <v/>
      </c>
      <c r="T526" s="3">
        <f>IF(ORIG!T526=0,"",ORIG!T526)</f>
        <v/>
      </c>
      <c r="U526" s="3">
        <f>IF(ORIG!U526=0,"",ORIG!U526)</f>
        <v/>
      </c>
      <c r="V526" s="9">
        <f>IF(ORIG!V526=0,"",ORIG!V526)</f>
        <v/>
      </c>
      <c r="W526" s="9">
        <f>IF(ORIG!W526=0,"",ORIG!W526)</f>
        <v/>
      </c>
      <c r="X526" s="9">
        <f>IF(ORIG!X526=0,"",ORIG!X526)</f>
        <v/>
      </c>
      <c r="Y526" s="9">
        <f>IF(ORIG!Y526=0,"",ORIG!Y526)</f>
        <v/>
      </c>
      <c r="Z526" s="3">
        <f>SUMPRODUCT($B526:$Y526,$B$2649:$Y$2649)</f>
        <v/>
      </c>
      <c r="AA526" s="3">
        <f>SUMPRODUCT($B526:$Y526,$B$2655:$Y$2655)</f>
        <v/>
      </c>
      <c r="AC526" s="1">
        <f>A526</f>
        <v/>
      </c>
      <c r="AD526">
        <f>IF(ISNUMBER(V526),V526*($AB$1/V$2635),"")</f>
        <v/>
      </c>
      <c r="AE526">
        <f>IF(ISNUMBER(Z526),Z526*($AB$1/Z$2635),"")</f>
        <v/>
      </c>
      <c r="AF526" s="25">
        <f>IF(ISNUMBER(AD526+AE526),AD526+AE526,"")</f>
        <v/>
      </c>
      <c r="AH526" s="1">
        <f>A526</f>
        <v/>
      </c>
      <c r="AI526">
        <f>IF(ISNUMBER((1+V526)*AI525),(1+V526)*AI525,AI525)</f>
        <v/>
      </c>
      <c r="AJ526">
        <f>IF(ISNUMBER((1+Z526)*AJ525),(1+Z526)*AJ525,AJ525)</f>
        <v/>
      </c>
    </row>
    <row r="527">
      <c r="A527" s="1" t="n">
        <v>42767</v>
      </c>
      <c r="B527" s="3">
        <f>IF(ORIG!B527=0,"",ORIG!B527)</f>
        <v/>
      </c>
      <c r="C527" s="3">
        <f>IF(ORIG!C527=0,"",ORIG!C527)</f>
        <v/>
      </c>
      <c r="D527" s="3">
        <f>IF(ORIG!D527=0,"",ORIG!D527)</f>
        <v/>
      </c>
      <c r="E527" s="3">
        <f>IF(ORIG!E527=0,"",ORIG!E527)</f>
        <v/>
      </c>
      <c r="F527" s="3">
        <f>IF(ORIG!F527=0,"",ORIG!F527)</f>
        <v/>
      </c>
      <c r="G527" s="3">
        <f>IF(ORIG!G527=0,"",ORIG!G527)</f>
        <v/>
      </c>
      <c r="H527" s="3">
        <f>IF(ORIG!H527=0,"",ORIG!H527)</f>
        <v/>
      </c>
      <c r="I527" s="3">
        <f>IF(ORIG!I527=0,"",ORIG!I527)</f>
        <v/>
      </c>
      <c r="J527" s="3">
        <f>IF(ORIG!J527=0,"",ORIG!J527)</f>
        <v/>
      </c>
      <c r="K527" s="3">
        <f>IF(ORIG!K527=0,"",ORIG!K527)</f>
        <v/>
      </c>
      <c r="L527" s="3">
        <f>IF(ORIG!L527=0,"",ORIG!L527)</f>
        <v/>
      </c>
      <c r="M527" s="3">
        <f>IF(ORIG!M527=0,"",ORIG!M527)</f>
        <v/>
      </c>
      <c r="N527" s="3">
        <f>IF(ORIG!N527=0,"",ORIG!N527)</f>
        <v/>
      </c>
      <c r="O527" s="3">
        <f>IF(ORIG!O527=0,"",ORIG!O527)</f>
        <v/>
      </c>
      <c r="P527" s="3">
        <f>IF(ORIG!P527=0,"",ORIG!P527)</f>
        <v/>
      </c>
      <c r="Q527" s="3">
        <f>IF(ORIG!Q527=0,"",ORIG!Q527)</f>
        <v/>
      </c>
      <c r="R527" s="3">
        <f>IF(ORIG!R527=0,"",ORIG!R527)</f>
        <v/>
      </c>
      <c r="S527" s="3">
        <f>IF(ORIG!S527=0,"",ORIG!S527)</f>
        <v/>
      </c>
      <c r="T527" s="3">
        <f>IF(ORIG!T527=0,"",ORIG!T527)</f>
        <v/>
      </c>
      <c r="U527" s="3">
        <f>IF(ORIG!U527=0,"",ORIG!U527)</f>
        <v/>
      </c>
      <c r="V527" s="9">
        <f>IF(ORIG!V527=0,"",ORIG!V527)</f>
        <v/>
      </c>
      <c r="W527" s="9">
        <f>IF(ORIG!W527=0,"",ORIG!W527)</f>
        <v/>
      </c>
      <c r="X527" s="9">
        <f>IF(ORIG!X527=0,"",ORIG!X527)</f>
        <v/>
      </c>
      <c r="Y527" s="9">
        <f>IF(ORIG!Y527=0,"",ORIG!Y527)</f>
        <v/>
      </c>
      <c r="Z527" s="3">
        <f>SUMPRODUCT($B527:$Y527,$B$2649:$Y$2649)</f>
        <v/>
      </c>
      <c r="AA527" s="3">
        <f>SUMPRODUCT($B527:$Y527,$B$2655:$Y$2655)</f>
        <v/>
      </c>
      <c r="AC527" s="1">
        <f>A527</f>
        <v/>
      </c>
      <c r="AD527">
        <f>IF(ISNUMBER(V527),V527*($AB$1/V$2635),"")</f>
        <v/>
      </c>
      <c r="AE527">
        <f>IF(ISNUMBER(Z527),Z527*($AB$1/Z$2635),"")</f>
        <v/>
      </c>
      <c r="AF527" s="25">
        <f>IF(ISNUMBER(AD527+AE527),AD527+AE527,"")</f>
        <v/>
      </c>
      <c r="AH527" s="1">
        <f>A527</f>
        <v/>
      </c>
      <c r="AI527">
        <f>IF(ISNUMBER((1+V527)*AI526),(1+V527)*AI526,AI526)</f>
        <v/>
      </c>
      <c r="AJ527">
        <f>IF(ISNUMBER((1+Z527)*AJ526),(1+Z527)*AJ526,AJ526)</f>
        <v/>
      </c>
    </row>
    <row r="528">
      <c r="A528" s="1" t="n">
        <v>42768</v>
      </c>
      <c r="B528" s="3">
        <f>IF(ORIG!B528=0,"",ORIG!B528)</f>
        <v/>
      </c>
      <c r="C528" s="3">
        <f>IF(ORIG!C528=0,"",ORIG!C528)</f>
        <v/>
      </c>
      <c r="D528" s="3">
        <f>IF(ORIG!D528=0,"",ORIG!D528)</f>
        <v/>
      </c>
      <c r="E528" s="3">
        <f>IF(ORIG!E528=0,"",ORIG!E528)</f>
        <v/>
      </c>
      <c r="F528" s="3">
        <f>IF(ORIG!F528=0,"",ORIG!F528)</f>
        <v/>
      </c>
      <c r="G528" s="3">
        <f>IF(ORIG!G528=0,"",ORIG!G528)</f>
        <v/>
      </c>
      <c r="H528" s="3">
        <f>IF(ORIG!H528=0,"",ORIG!H528)</f>
        <v/>
      </c>
      <c r="I528" s="3">
        <f>IF(ORIG!I528=0,"",ORIG!I528)</f>
        <v/>
      </c>
      <c r="J528" s="3">
        <f>IF(ORIG!J528=0,"",ORIG!J528)</f>
        <v/>
      </c>
      <c r="K528" s="3">
        <f>IF(ORIG!K528=0,"",ORIG!K528)</f>
        <v/>
      </c>
      <c r="L528" s="3">
        <f>IF(ORIG!L528=0,"",ORIG!L528)</f>
        <v/>
      </c>
      <c r="M528" s="3">
        <f>IF(ORIG!M528=0,"",ORIG!M528)</f>
        <v/>
      </c>
      <c r="N528" s="3">
        <f>IF(ORIG!N528=0,"",ORIG!N528)</f>
        <v/>
      </c>
      <c r="O528" s="3">
        <f>IF(ORIG!O528=0,"",ORIG!O528)</f>
        <v/>
      </c>
      <c r="P528" s="3">
        <f>IF(ORIG!P528=0,"",ORIG!P528)</f>
        <v/>
      </c>
      <c r="Q528" s="3">
        <f>IF(ORIG!Q528=0,"",ORIG!Q528)</f>
        <v/>
      </c>
      <c r="R528" s="3">
        <f>IF(ORIG!R528=0,"",ORIG!R528)</f>
        <v/>
      </c>
      <c r="S528" s="3">
        <f>IF(ORIG!S528=0,"",ORIG!S528)</f>
        <v/>
      </c>
      <c r="T528" s="3">
        <f>IF(ORIG!T528=0,"",ORIG!T528)</f>
        <v/>
      </c>
      <c r="U528" s="3">
        <f>IF(ORIG!U528=0,"",ORIG!U528)</f>
        <v/>
      </c>
      <c r="V528" s="9">
        <f>IF(ORIG!V528=0,"",ORIG!V528)</f>
        <v/>
      </c>
      <c r="W528" s="9">
        <f>IF(ORIG!W528=0,"",ORIG!W528)</f>
        <v/>
      </c>
      <c r="X528" s="9">
        <f>IF(ORIG!X528=0,"",ORIG!X528)</f>
        <v/>
      </c>
      <c r="Y528" s="9">
        <f>IF(ORIG!Y528=0,"",ORIG!Y528)</f>
        <v/>
      </c>
      <c r="Z528" s="3">
        <f>SUMPRODUCT($B528:$Y528,$B$2649:$Y$2649)</f>
        <v/>
      </c>
      <c r="AA528" s="3">
        <f>SUMPRODUCT($B528:$Y528,$B$2655:$Y$2655)</f>
        <v/>
      </c>
      <c r="AC528" s="1">
        <f>A528</f>
        <v/>
      </c>
      <c r="AD528">
        <f>IF(ISNUMBER(V528),V528*($AB$1/V$2635),"")</f>
        <v/>
      </c>
      <c r="AE528">
        <f>IF(ISNUMBER(Z528),Z528*($AB$1/Z$2635),"")</f>
        <v/>
      </c>
      <c r="AF528" s="25">
        <f>IF(ISNUMBER(AD528+AE528),AD528+AE528,"")</f>
        <v/>
      </c>
      <c r="AH528" s="1">
        <f>A528</f>
        <v/>
      </c>
      <c r="AI528">
        <f>IF(ISNUMBER((1+V528)*AI527),(1+V528)*AI527,AI527)</f>
        <v/>
      </c>
      <c r="AJ528">
        <f>IF(ISNUMBER((1+Z528)*AJ527),(1+Z528)*AJ527,AJ527)</f>
        <v/>
      </c>
    </row>
    <row r="529">
      <c r="A529" s="1" t="n">
        <v>42769</v>
      </c>
      <c r="B529" s="3">
        <f>IF(ORIG!B529=0,"",ORIG!B529)</f>
        <v/>
      </c>
      <c r="C529" s="3">
        <f>IF(ORIG!C529=0,"",ORIG!C529)</f>
        <v/>
      </c>
      <c r="D529" s="3">
        <f>IF(ORIG!D529=0,"",ORIG!D529)</f>
        <v/>
      </c>
      <c r="E529" s="3">
        <f>IF(ORIG!E529=0,"",ORIG!E529)</f>
        <v/>
      </c>
      <c r="F529" s="3">
        <f>IF(ORIG!F529=0,"",ORIG!F529)</f>
        <v/>
      </c>
      <c r="G529" s="3">
        <f>IF(ORIG!G529=0,"",ORIG!G529)</f>
        <v/>
      </c>
      <c r="H529" s="3">
        <f>IF(ORIG!H529=0,"",ORIG!H529)</f>
        <v/>
      </c>
      <c r="I529" s="3">
        <f>IF(ORIG!I529=0,"",ORIG!I529)</f>
        <v/>
      </c>
      <c r="J529" s="3">
        <f>IF(ORIG!J529=0,"",ORIG!J529)</f>
        <v/>
      </c>
      <c r="K529" s="3">
        <f>IF(ORIG!K529=0,"",ORIG!K529)</f>
        <v/>
      </c>
      <c r="L529" s="3">
        <f>IF(ORIG!L529=0,"",ORIG!L529)</f>
        <v/>
      </c>
      <c r="M529" s="3">
        <f>IF(ORIG!M529=0,"",ORIG!M529)</f>
        <v/>
      </c>
      <c r="N529" s="3">
        <f>IF(ORIG!N529=0,"",ORIG!N529)</f>
        <v/>
      </c>
      <c r="O529" s="3">
        <f>IF(ORIG!O529=0,"",ORIG!O529)</f>
        <v/>
      </c>
      <c r="P529" s="3">
        <f>IF(ORIG!P529=0,"",ORIG!P529)</f>
        <v/>
      </c>
      <c r="Q529" s="3">
        <f>IF(ORIG!Q529=0,"",ORIG!Q529)</f>
        <v/>
      </c>
      <c r="R529" s="3">
        <f>IF(ORIG!R529=0,"",ORIG!R529)</f>
        <v/>
      </c>
      <c r="S529" s="3">
        <f>IF(ORIG!S529=0,"",ORIG!S529)</f>
        <v/>
      </c>
      <c r="T529" s="3">
        <f>IF(ORIG!T529=0,"",ORIG!T529)</f>
        <v/>
      </c>
      <c r="U529" s="3">
        <f>IF(ORIG!U529=0,"",ORIG!U529)</f>
        <v/>
      </c>
      <c r="V529" s="9">
        <f>IF(ORIG!V529=0,"",ORIG!V529)</f>
        <v/>
      </c>
      <c r="W529" s="9">
        <f>IF(ORIG!W529=0,"",ORIG!W529)</f>
        <v/>
      </c>
      <c r="X529" s="9">
        <f>IF(ORIG!X529=0,"",ORIG!X529)</f>
        <v/>
      </c>
      <c r="Y529" s="9">
        <f>IF(ORIG!Y529=0,"",ORIG!Y529)</f>
        <v/>
      </c>
      <c r="Z529" s="3">
        <f>SUMPRODUCT($B529:$Y529,$B$2649:$Y$2649)</f>
        <v/>
      </c>
      <c r="AA529" s="3">
        <f>SUMPRODUCT($B529:$Y529,$B$2655:$Y$2655)</f>
        <v/>
      </c>
      <c r="AC529" s="1">
        <f>A529</f>
        <v/>
      </c>
      <c r="AD529">
        <f>IF(ISNUMBER(V529),V529*($AB$1/V$2635),"")</f>
        <v/>
      </c>
      <c r="AE529">
        <f>IF(ISNUMBER(Z529),Z529*($AB$1/Z$2635),"")</f>
        <v/>
      </c>
      <c r="AF529" s="25">
        <f>IF(ISNUMBER(AD529+AE529),AD529+AE529,"")</f>
        <v/>
      </c>
      <c r="AH529" s="1">
        <f>A529</f>
        <v/>
      </c>
      <c r="AI529">
        <f>IF(ISNUMBER((1+V529)*AI528),(1+V529)*AI528,AI528)</f>
        <v/>
      </c>
      <c r="AJ529">
        <f>IF(ISNUMBER((1+Z529)*AJ528),(1+Z529)*AJ528,AJ528)</f>
        <v/>
      </c>
    </row>
    <row r="530">
      <c r="A530" s="1" t="n">
        <v>42772</v>
      </c>
      <c r="B530" s="3">
        <f>IF(ORIG!B530=0,"",ORIG!B530)</f>
        <v/>
      </c>
      <c r="C530" s="3">
        <f>IF(ORIG!C530=0,"",ORIG!C530)</f>
        <v/>
      </c>
      <c r="D530" s="3">
        <f>IF(ORIG!D530=0,"",ORIG!D530)</f>
        <v/>
      </c>
      <c r="E530" s="3">
        <f>IF(ORIG!E530=0,"",ORIG!E530)</f>
        <v/>
      </c>
      <c r="F530" s="3">
        <f>IF(ORIG!F530=0,"",ORIG!F530)</f>
        <v/>
      </c>
      <c r="G530" s="3">
        <f>IF(ORIG!G530=0,"",ORIG!G530)</f>
        <v/>
      </c>
      <c r="H530" s="3">
        <f>IF(ORIG!H530=0,"",ORIG!H530)</f>
        <v/>
      </c>
      <c r="I530" s="3">
        <f>IF(ORIG!I530=0,"",ORIG!I530)</f>
        <v/>
      </c>
      <c r="J530" s="3">
        <f>IF(ORIG!J530=0,"",ORIG!J530)</f>
        <v/>
      </c>
      <c r="K530" s="3">
        <f>IF(ORIG!K530=0,"",ORIG!K530)</f>
        <v/>
      </c>
      <c r="L530" s="3">
        <f>IF(ORIG!L530=0,"",ORIG!L530)</f>
        <v/>
      </c>
      <c r="M530" s="3">
        <f>IF(ORIG!M530=0,"",ORIG!M530)</f>
        <v/>
      </c>
      <c r="N530" s="3">
        <f>IF(ORIG!N530=0,"",ORIG!N530)</f>
        <v/>
      </c>
      <c r="O530" s="3">
        <f>IF(ORIG!O530=0,"",ORIG!O530)</f>
        <v/>
      </c>
      <c r="P530" s="3">
        <f>IF(ORIG!P530=0,"",ORIG!P530)</f>
        <v/>
      </c>
      <c r="Q530" s="3">
        <f>IF(ORIG!Q530=0,"",ORIG!Q530)</f>
        <v/>
      </c>
      <c r="R530" s="3">
        <f>IF(ORIG!R530=0,"",ORIG!R530)</f>
        <v/>
      </c>
      <c r="S530" s="3">
        <f>IF(ORIG!S530=0,"",ORIG!S530)</f>
        <v/>
      </c>
      <c r="T530" s="3">
        <f>IF(ORIG!T530=0,"",ORIG!T530)</f>
        <v/>
      </c>
      <c r="U530" s="3">
        <f>IF(ORIG!U530=0,"",ORIG!U530)</f>
        <v/>
      </c>
      <c r="V530" s="9">
        <f>IF(ORIG!V530=0,"",ORIG!V530)</f>
        <v/>
      </c>
      <c r="W530" s="9">
        <f>IF(ORIG!W530=0,"",ORIG!W530)</f>
        <v/>
      </c>
      <c r="X530" s="9">
        <f>IF(ORIG!X530=0,"",ORIG!X530)</f>
        <v/>
      </c>
      <c r="Y530" s="9">
        <f>IF(ORIG!Y530=0,"",ORIG!Y530)</f>
        <v/>
      </c>
      <c r="Z530" s="3">
        <f>SUMPRODUCT($B530:$Y530,$B$2649:$Y$2649)</f>
        <v/>
      </c>
      <c r="AA530" s="3">
        <f>SUMPRODUCT($B530:$Y530,$B$2655:$Y$2655)</f>
        <v/>
      </c>
      <c r="AC530" s="1">
        <f>A530</f>
        <v/>
      </c>
      <c r="AD530">
        <f>IF(ISNUMBER(V530),V530*($AB$1/V$2635),"")</f>
        <v/>
      </c>
      <c r="AE530">
        <f>IF(ISNUMBER(Z530),Z530*($AB$1/Z$2635),"")</f>
        <v/>
      </c>
      <c r="AF530" s="25">
        <f>IF(ISNUMBER(AD530+AE530),AD530+AE530,"")</f>
        <v/>
      </c>
      <c r="AH530" s="1">
        <f>A530</f>
        <v/>
      </c>
      <c r="AI530">
        <f>IF(ISNUMBER((1+V530)*AI529),(1+V530)*AI529,AI529)</f>
        <v/>
      </c>
      <c r="AJ530">
        <f>IF(ISNUMBER((1+Z530)*AJ529),(1+Z530)*AJ529,AJ529)</f>
        <v/>
      </c>
    </row>
    <row r="531">
      <c r="A531" s="1" t="n">
        <v>42773</v>
      </c>
      <c r="B531" s="3">
        <f>IF(ORIG!B531=0,"",ORIG!B531)</f>
        <v/>
      </c>
      <c r="C531" s="3">
        <f>IF(ORIG!C531=0,"",ORIG!C531)</f>
        <v/>
      </c>
      <c r="D531" s="3">
        <f>IF(ORIG!D531=0,"",ORIG!D531)</f>
        <v/>
      </c>
      <c r="E531" s="3">
        <f>IF(ORIG!E531=0,"",ORIG!E531)</f>
        <v/>
      </c>
      <c r="F531" s="3">
        <f>IF(ORIG!F531=0,"",ORIG!F531)</f>
        <v/>
      </c>
      <c r="G531" s="3">
        <f>IF(ORIG!G531=0,"",ORIG!G531)</f>
        <v/>
      </c>
      <c r="H531" s="3">
        <f>IF(ORIG!H531=0,"",ORIG!H531)</f>
        <v/>
      </c>
      <c r="I531" s="3">
        <f>IF(ORIG!I531=0,"",ORIG!I531)</f>
        <v/>
      </c>
      <c r="J531" s="3">
        <f>IF(ORIG!J531=0,"",ORIG!J531)</f>
        <v/>
      </c>
      <c r="K531" s="3">
        <f>IF(ORIG!K531=0,"",ORIG!K531)</f>
        <v/>
      </c>
      <c r="L531" s="3">
        <f>IF(ORIG!L531=0,"",ORIG!L531)</f>
        <v/>
      </c>
      <c r="M531" s="3">
        <f>IF(ORIG!M531=0,"",ORIG!M531)</f>
        <v/>
      </c>
      <c r="N531" s="3">
        <f>IF(ORIG!N531=0,"",ORIG!N531)</f>
        <v/>
      </c>
      <c r="O531" s="3">
        <f>IF(ORIG!O531=0,"",ORIG!O531)</f>
        <v/>
      </c>
      <c r="P531" s="3">
        <f>IF(ORIG!P531=0,"",ORIG!P531)</f>
        <v/>
      </c>
      <c r="Q531" s="3">
        <f>IF(ORIG!Q531=0,"",ORIG!Q531)</f>
        <v/>
      </c>
      <c r="R531" s="3">
        <f>IF(ORIG!R531=0,"",ORIG!R531)</f>
        <v/>
      </c>
      <c r="S531" s="3">
        <f>IF(ORIG!S531=0,"",ORIG!S531)</f>
        <v/>
      </c>
      <c r="T531" s="3">
        <f>IF(ORIG!T531=0,"",ORIG!T531)</f>
        <v/>
      </c>
      <c r="U531" s="3">
        <f>IF(ORIG!U531=0,"",ORIG!U531)</f>
        <v/>
      </c>
      <c r="V531" s="9">
        <f>IF(ORIG!V531=0,"",ORIG!V531)</f>
        <v/>
      </c>
      <c r="W531" s="9">
        <f>IF(ORIG!W531=0,"",ORIG!W531)</f>
        <v/>
      </c>
      <c r="X531" s="9">
        <f>IF(ORIG!X531=0,"",ORIG!X531)</f>
        <v/>
      </c>
      <c r="Y531" s="9">
        <f>IF(ORIG!Y531=0,"",ORIG!Y531)</f>
        <v/>
      </c>
      <c r="Z531" s="3">
        <f>SUMPRODUCT($B531:$Y531,$B$2649:$Y$2649)</f>
        <v/>
      </c>
      <c r="AA531" s="3">
        <f>SUMPRODUCT($B531:$Y531,$B$2655:$Y$2655)</f>
        <v/>
      </c>
      <c r="AC531" s="1">
        <f>A531</f>
        <v/>
      </c>
      <c r="AD531">
        <f>IF(ISNUMBER(V531),V531*($AB$1/V$2635),"")</f>
        <v/>
      </c>
      <c r="AE531">
        <f>IF(ISNUMBER(Z531),Z531*($AB$1/Z$2635),"")</f>
        <v/>
      </c>
      <c r="AF531" s="25">
        <f>IF(ISNUMBER(AD531+AE531),AD531+AE531,"")</f>
        <v/>
      </c>
      <c r="AH531" s="1">
        <f>A531</f>
        <v/>
      </c>
      <c r="AI531">
        <f>IF(ISNUMBER((1+V531)*AI530),(1+V531)*AI530,AI530)</f>
        <v/>
      </c>
      <c r="AJ531">
        <f>IF(ISNUMBER((1+Z531)*AJ530),(1+Z531)*AJ530,AJ530)</f>
        <v/>
      </c>
    </row>
    <row r="532">
      <c r="A532" s="1" t="n">
        <v>42774</v>
      </c>
      <c r="B532" s="3">
        <f>IF(ORIG!B532=0,"",ORIG!B532)</f>
        <v/>
      </c>
      <c r="C532" s="3">
        <f>IF(ORIG!C532=0,"",ORIG!C532)</f>
        <v/>
      </c>
      <c r="D532" s="3">
        <f>IF(ORIG!D532=0,"",ORIG!D532)</f>
        <v/>
      </c>
      <c r="E532" s="3">
        <f>IF(ORIG!E532=0,"",ORIG!E532)</f>
        <v/>
      </c>
      <c r="F532" s="3">
        <f>IF(ORIG!F532=0,"",ORIG!F532)</f>
        <v/>
      </c>
      <c r="G532" s="3">
        <f>IF(ORIG!G532=0,"",ORIG!G532)</f>
        <v/>
      </c>
      <c r="H532" s="3">
        <f>IF(ORIG!H532=0,"",ORIG!H532)</f>
        <v/>
      </c>
      <c r="I532" s="3">
        <f>IF(ORIG!I532=0,"",ORIG!I532)</f>
        <v/>
      </c>
      <c r="J532" s="3">
        <f>IF(ORIG!J532=0,"",ORIG!J532)</f>
        <v/>
      </c>
      <c r="K532" s="3">
        <f>IF(ORIG!K532=0,"",ORIG!K532)</f>
        <v/>
      </c>
      <c r="L532" s="3">
        <f>IF(ORIG!L532=0,"",ORIG!L532)</f>
        <v/>
      </c>
      <c r="M532" s="3">
        <f>IF(ORIG!M532=0,"",ORIG!M532)</f>
        <v/>
      </c>
      <c r="N532" s="3">
        <f>IF(ORIG!N532=0,"",ORIG!N532)</f>
        <v/>
      </c>
      <c r="O532" s="3">
        <f>IF(ORIG!O532=0,"",ORIG!O532)</f>
        <v/>
      </c>
      <c r="P532" s="3">
        <f>IF(ORIG!P532=0,"",ORIG!P532)</f>
        <v/>
      </c>
      <c r="Q532" s="3">
        <f>IF(ORIG!Q532=0,"",ORIG!Q532)</f>
        <v/>
      </c>
      <c r="R532" s="3">
        <f>IF(ORIG!R532=0,"",ORIG!R532)</f>
        <v/>
      </c>
      <c r="S532" s="3">
        <f>IF(ORIG!S532=0,"",ORIG!S532)</f>
        <v/>
      </c>
      <c r="T532" s="3">
        <f>IF(ORIG!T532=0,"",ORIG!T532)</f>
        <v/>
      </c>
      <c r="U532" s="3">
        <f>IF(ORIG!U532=0,"",ORIG!U532)</f>
        <v/>
      </c>
      <c r="V532" s="9">
        <f>IF(ORIG!V532=0,"",ORIG!V532)</f>
        <v/>
      </c>
      <c r="W532" s="9">
        <f>IF(ORIG!W532=0,"",ORIG!W532)</f>
        <v/>
      </c>
      <c r="X532" s="9">
        <f>IF(ORIG!X532=0,"",ORIG!X532)</f>
        <v/>
      </c>
      <c r="Y532" s="9">
        <f>IF(ORIG!Y532=0,"",ORIG!Y532)</f>
        <v/>
      </c>
      <c r="Z532" s="3">
        <f>SUMPRODUCT($B532:$Y532,$B$2649:$Y$2649)</f>
        <v/>
      </c>
      <c r="AA532" s="3">
        <f>SUMPRODUCT($B532:$Y532,$B$2655:$Y$2655)</f>
        <v/>
      </c>
      <c r="AC532" s="1">
        <f>A532</f>
        <v/>
      </c>
      <c r="AD532">
        <f>IF(ISNUMBER(V532),V532*($AB$1/V$2635),"")</f>
        <v/>
      </c>
      <c r="AE532">
        <f>IF(ISNUMBER(Z532),Z532*($AB$1/Z$2635),"")</f>
        <v/>
      </c>
      <c r="AF532" s="25">
        <f>IF(ISNUMBER(AD532+AE532),AD532+AE532,"")</f>
        <v/>
      </c>
      <c r="AH532" s="1">
        <f>A532</f>
        <v/>
      </c>
      <c r="AI532">
        <f>IF(ISNUMBER((1+V532)*AI531),(1+V532)*AI531,AI531)</f>
        <v/>
      </c>
      <c r="AJ532">
        <f>IF(ISNUMBER((1+Z532)*AJ531),(1+Z532)*AJ531,AJ531)</f>
        <v/>
      </c>
    </row>
    <row r="533">
      <c r="A533" s="1" t="n">
        <v>42775</v>
      </c>
      <c r="B533" s="3">
        <f>IF(ORIG!B533=0,"",ORIG!B533)</f>
        <v/>
      </c>
      <c r="C533" s="3">
        <f>IF(ORIG!C533=0,"",ORIG!C533)</f>
        <v/>
      </c>
      <c r="D533" s="3">
        <f>IF(ORIG!D533=0,"",ORIG!D533)</f>
        <v/>
      </c>
      <c r="E533" s="3">
        <f>IF(ORIG!E533=0,"",ORIG!E533)</f>
        <v/>
      </c>
      <c r="F533" s="3">
        <f>IF(ORIG!F533=0,"",ORIG!F533)</f>
        <v/>
      </c>
      <c r="G533" s="3">
        <f>IF(ORIG!G533=0,"",ORIG!G533)</f>
        <v/>
      </c>
      <c r="H533" s="3">
        <f>IF(ORIG!H533=0,"",ORIG!H533)</f>
        <v/>
      </c>
      <c r="I533" s="3">
        <f>IF(ORIG!I533=0,"",ORIG!I533)</f>
        <v/>
      </c>
      <c r="J533" s="3">
        <f>IF(ORIG!J533=0,"",ORIG!J533)</f>
        <v/>
      </c>
      <c r="K533" s="3">
        <f>IF(ORIG!K533=0,"",ORIG!K533)</f>
        <v/>
      </c>
      <c r="L533" s="3">
        <f>IF(ORIG!L533=0,"",ORIG!L533)</f>
        <v/>
      </c>
      <c r="M533" s="3">
        <f>IF(ORIG!M533=0,"",ORIG!M533)</f>
        <v/>
      </c>
      <c r="N533" s="3">
        <f>IF(ORIG!N533=0,"",ORIG!N533)</f>
        <v/>
      </c>
      <c r="O533" s="3">
        <f>IF(ORIG!O533=0,"",ORIG!O533)</f>
        <v/>
      </c>
      <c r="P533" s="3">
        <f>IF(ORIG!P533=0,"",ORIG!P533)</f>
        <v/>
      </c>
      <c r="Q533" s="3">
        <f>IF(ORIG!Q533=0,"",ORIG!Q533)</f>
        <v/>
      </c>
      <c r="R533" s="3">
        <f>IF(ORIG!R533=0,"",ORIG!R533)</f>
        <v/>
      </c>
      <c r="S533" s="3">
        <f>IF(ORIG!S533=0,"",ORIG!S533)</f>
        <v/>
      </c>
      <c r="T533" s="3">
        <f>IF(ORIG!T533=0,"",ORIG!T533)</f>
        <v/>
      </c>
      <c r="U533" s="3">
        <f>IF(ORIG!U533=0,"",ORIG!U533)</f>
        <v/>
      </c>
      <c r="V533" s="9">
        <f>IF(ORIG!V533=0,"",ORIG!V533)</f>
        <v/>
      </c>
      <c r="W533" s="9">
        <f>IF(ORIG!W533=0,"",ORIG!W533)</f>
        <v/>
      </c>
      <c r="X533" s="9">
        <f>IF(ORIG!X533=0,"",ORIG!X533)</f>
        <v/>
      </c>
      <c r="Y533" s="9">
        <f>IF(ORIG!Y533=0,"",ORIG!Y533)</f>
        <v/>
      </c>
      <c r="Z533" s="3">
        <f>SUMPRODUCT($B533:$Y533,$B$2649:$Y$2649)</f>
        <v/>
      </c>
      <c r="AA533" s="3">
        <f>SUMPRODUCT($B533:$Y533,$B$2655:$Y$2655)</f>
        <v/>
      </c>
      <c r="AC533" s="1">
        <f>A533</f>
        <v/>
      </c>
      <c r="AD533">
        <f>IF(ISNUMBER(V533),V533*($AB$1/V$2635),"")</f>
        <v/>
      </c>
      <c r="AE533">
        <f>IF(ISNUMBER(Z533),Z533*($AB$1/Z$2635),"")</f>
        <v/>
      </c>
      <c r="AF533" s="25">
        <f>IF(ISNUMBER(AD533+AE533),AD533+AE533,"")</f>
        <v/>
      </c>
      <c r="AH533" s="1">
        <f>A533</f>
        <v/>
      </c>
      <c r="AI533">
        <f>IF(ISNUMBER((1+V533)*AI532),(1+V533)*AI532,AI532)</f>
        <v/>
      </c>
      <c r="AJ533">
        <f>IF(ISNUMBER((1+Z533)*AJ532),(1+Z533)*AJ532,AJ532)</f>
        <v/>
      </c>
    </row>
    <row r="534">
      <c r="A534" s="1" t="n">
        <v>42776</v>
      </c>
      <c r="B534" s="3">
        <f>IF(ORIG!B534=0,"",ORIG!B534)</f>
        <v/>
      </c>
      <c r="C534" s="3">
        <f>IF(ORIG!C534=0,"",ORIG!C534)</f>
        <v/>
      </c>
      <c r="D534" s="3">
        <f>IF(ORIG!D534=0,"",ORIG!D534)</f>
        <v/>
      </c>
      <c r="E534" s="3">
        <f>IF(ORIG!E534=0,"",ORIG!E534)</f>
        <v/>
      </c>
      <c r="F534" s="3">
        <f>IF(ORIG!F534=0,"",ORIG!F534)</f>
        <v/>
      </c>
      <c r="G534" s="3">
        <f>IF(ORIG!G534=0,"",ORIG!G534)</f>
        <v/>
      </c>
      <c r="H534" s="3">
        <f>IF(ORIG!H534=0,"",ORIG!H534)</f>
        <v/>
      </c>
      <c r="I534" s="3">
        <f>IF(ORIG!I534=0,"",ORIG!I534)</f>
        <v/>
      </c>
      <c r="J534" s="3">
        <f>IF(ORIG!J534=0,"",ORIG!J534)</f>
        <v/>
      </c>
      <c r="K534" s="3">
        <f>IF(ORIG!K534=0,"",ORIG!K534)</f>
        <v/>
      </c>
      <c r="L534" s="3">
        <f>IF(ORIG!L534=0,"",ORIG!L534)</f>
        <v/>
      </c>
      <c r="M534" s="3">
        <f>IF(ORIG!M534=0,"",ORIG!M534)</f>
        <v/>
      </c>
      <c r="N534" s="3">
        <f>IF(ORIG!N534=0,"",ORIG!N534)</f>
        <v/>
      </c>
      <c r="O534" s="3">
        <f>IF(ORIG!O534=0,"",ORIG!O534)</f>
        <v/>
      </c>
      <c r="P534" s="3">
        <f>IF(ORIG!P534=0,"",ORIG!P534)</f>
        <v/>
      </c>
      <c r="Q534" s="3">
        <f>IF(ORIG!Q534=0,"",ORIG!Q534)</f>
        <v/>
      </c>
      <c r="R534" s="3">
        <f>IF(ORIG!R534=0,"",ORIG!R534)</f>
        <v/>
      </c>
      <c r="S534" s="3">
        <f>IF(ORIG!S534=0,"",ORIG!S534)</f>
        <v/>
      </c>
      <c r="T534" s="3">
        <f>IF(ORIG!T534=0,"",ORIG!T534)</f>
        <v/>
      </c>
      <c r="U534" s="3">
        <f>IF(ORIG!U534=0,"",ORIG!U534)</f>
        <v/>
      </c>
      <c r="V534" s="9">
        <f>IF(ORIG!V534=0,"",ORIG!V534)</f>
        <v/>
      </c>
      <c r="W534" s="9">
        <f>IF(ORIG!W534=0,"",ORIG!W534)</f>
        <v/>
      </c>
      <c r="X534" s="9">
        <f>IF(ORIG!X534=0,"",ORIG!X534)</f>
        <v/>
      </c>
      <c r="Y534" s="9">
        <f>IF(ORIG!Y534=0,"",ORIG!Y534)</f>
        <v/>
      </c>
      <c r="Z534" s="3">
        <f>SUMPRODUCT($B534:$Y534,$B$2649:$Y$2649)</f>
        <v/>
      </c>
      <c r="AA534" s="3">
        <f>SUMPRODUCT($B534:$Y534,$B$2655:$Y$2655)</f>
        <v/>
      </c>
      <c r="AC534" s="1">
        <f>A534</f>
        <v/>
      </c>
      <c r="AD534">
        <f>IF(ISNUMBER(V534),V534*($AB$1/V$2635),"")</f>
        <v/>
      </c>
      <c r="AE534">
        <f>IF(ISNUMBER(Z534),Z534*($AB$1/Z$2635),"")</f>
        <v/>
      </c>
      <c r="AF534" s="25">
        <f>IF(ISNUMBER(AD534+AE534),AD534+AE534,"")</f>
        <v/>
      </c>
      <c r="AH534" s="1">
        <f>A534</f>
        <v/>
      </c>
      <c r="AI534">
        <f>IF(ISNUMBER((1+V534)*AI533),(1+V534)*AI533,AI533)</f>
        <v/>
      </c>
      <c r="AJ534">
        <f>IF(ISNUMBER((1+Z534)*AJ533),(1+Z534)*AJ533,AJ533)</f>
        <v/>
      </c>
    </row>
    <row r="535">
      <c r="A535" s="1" t="n">
        <v>42779</v>
      </c>
      <c r="B535" s="3">
        <f>IF(ORIG!B535=0,"",ORIG!B535)</f>
        <v/>
      </c>
      <c r="C535" s="3">
        <f>IF(ORIG!C535=0,"",ORIG!C535)</f>
        <v/>
      </c>
      <c r="D535" s="3">
        <f>IF(ORIG!D535=0,"",ORIG!D535)</f>
        <v/>
      </c>
      <c r="E535" s="3">
        <f>IF(ORIG!E535=0,"",ORIG!E535)</f>
        <v/>
      </c>
      <c r="F535" s="3">
        <f>IF(ORIG!F535=0,"",ORIG!F535)</f>
        <v/>
      </c>
      <c r="G535" s="3">
        <f>IF(ORIG!G535=0,"",ORIG!G535)</f>
        <v/>
      </c>
      <c r="H535" s="3">
        <f>IF(ORIG!H535=0,"",ORIG!H535)</f>
        <v/>
      </c>
      <c r="I535" s="3">
        <f>IF(ORIG!I535=0,"",ORIG!I535)</f>
        <v/>
      </c>
      <c r="J535" s="3">
        <f>IF(ORIG!J535=0,"",ORIG!J535)</f>
        <v/>
      </c>
      <c r="K535" s="3">
        <f>IF(ORIG!K535=0,"",ORIG!K535)</f>
        <v/>
      </c>
      <c r="L535" s="3">
        <f>IF(ORIG!L535=0,"",ORIG!L535)</f>
        <v/>
      </c>
      <c r="M535" s="3">
        <f>IF(ORIG!M535=0,"",ORIG!M535)</f>
        <v/>
      </c>
      <c r="N535" s="3">
        <f>IF(ORIG!N535=0,"",ORIG!N535)</f>
        <v/>
      </c>
      <c r="O535" s="3">
        <f>IF(ORIG!O535=0,"",ORIG!O535)</f>
        <v/>
      </c>
      <c r="P535" s="3">
        <f>IF(ORIG!P535=0,"",ORIG!P535)</f>
        <v/>
      </c>
      <c r="Q535" s="3">
        <f>IF(ORIG!Q535=0,"",ORIG!Q535)</f>
        <v/>
      </c>
      <c r="R535" s="3">
        <f>IF(ORIG!R535=0,"",ORIG!R535)</f>
        <v/>
      </c>
      <c r="S535" s="3">
        <f>IF(ORIG!S535=0,"",ORIG!S535)</f>
        <v/>
      </c>
      <c r="T535" s="3">
        <f>IF(ORIG!T535=0,"",ORIG!T535)</f>
        <v/>
      </c>
      <c r="U535" s="3">
        <f>IF(ORIG!U535=0,"",ORIG!U535)</f>
        <v/>
      </c>
      <c r="V535" s="9">
        <f>IF(ORIG!V535=0,"",ORIG!V535)</f>
        <v/>
      </c>
      <c r="W535" s="9">
        <f>IF(ORIG!W535=0,"",ORIG!W535)</f>
        <v/>
      </c>
      <c r="X535" s="9">
        <f>IF(ORIG!X535=0,"",ORIG!X535)</f>
        <v/>
      </c>
      <c r="Y535" s="9">
        <f>IF(ORIG!Y535=0,"",ORIG!Y535)</f>
        <v/>
      </c>
      <c r="Z535" s="3">
        <f>SUMPRODUCT($B535:$Y535,$B$2649:$Y$2649)</f>
        <v/>
      </c>
      <c r="AA535" s="3">
        <f>SUMPRODUCT($B535:$Y535,$B$2655:$Y$2655)</f>
        <v/>
      </c>
      <c r="AC535" s="1">
        <f>A535</f>
        <v/>
      </c>
      <c r="AD535">
        <f>IF(ISNUMBER(V535),V535*($AB$1/V$2635),"")</f>
        <v/>
      </c>
      <c r="AE535">
        <f>IF(ISNUMBER(Z535),Z535*($AB$1/Z$2635),"")</f>
        <v/>
      </c>
      <c r="AF535" s="25">
        <f>IF(ISNUMBER(AD535+AE535),AD535+AE535,"")</f>
        <v/>
      </c>
      <c r="AH535" s="1">
        <f>A535</f>
        <v/>
      </c>
      <c r="AI535">
        <f>IF(ISNUMBER((1+V535)*AI534),(1+V535)*AI534,AI534)</f>
        <v/>
      </c>
      <c r="AJ535">
        <f>IF(ISNUMBER((1+Z535)*AJ534),(1+Z535)*AJ534,AJ534)</f>
        <v/>
      </c>
    </row>
    <row r="536">
      <c r="A536" s="1" t="n">
        <v>42780</v>
      </c>
      <c r="B536" s="3">
        <f>IF(ORIG!B536=0,"",ORIG!B536)</f>
        <v/>
      </c>
      <c r="C536" s="3">
        <f>IF(ORIG!C536=0,"",ORIG!C536)</f>
        <v/>
      </c>
      <c r="D536" s="3">
        <f>IF(ORIG!D536=0,"",ORIG!D536)</f>
        <v/>
      </c>
      <c r="E536" s="3">
        <f>IF(ORIG!E536=0,"",ORIG!E536)</f>
        <v/>
      </c>
      <c r="F536" s="3">
        <f>IF(ORIG!F536=0,"",ORIG!F536)</f>
        <v/>
      </c>
      <c r="G536" s="3">
        <f>IF(ORIG!G536=0,"",ORIG!G536)</f>
        <v/>
      </c>
      <c r="H536" s="3">
        <f>IF(ORIG!H536=0,"",ORIG!H536)</f>
        <v/>
      </c>
      <c r="I536" s="3">
        <f>IF(ORIG!I536=0,"",ORIG!I536)</f>
        <v/>
      </c>
      <c r="J536" s="3">
        <f>IF(ORIG!J536=0,"",ORIG!J536)</f>
        <v/>
      </c>
      <c r="K536" s="3">
        <f>IF(ORIG!K536=0,"",ORIG!K536)</f>
        <v/>
      </c>
      <c r="L536" s="3">
        <f>IF(ORIG!L536=0,"",ORIG!L536)</f>
        <v/>
      </c>
      <c r="M536" s="3">
        <f>IF(ORIG!M536=0,"",ORIG!M536)</f>
        <v/>
      </c>
      <c r="N536" s="3">
        <f>IF(ORIG!N536=0,"",ORIG!N536)</f>
        <v/>
      </c>
      <c r="O536" s="3">
        <f>IF(ORIG!O536=0,"",ORIG!O536)</f>
        <v/>
      </c>
      <c r="P536" s="3">
        <f>IF(ORIG!P536=0,"",ORIG!P536)</f>
        <v/>
      </c>
      <c r="Q536" s="3">
        <f>IF(ORIG!Q536=0,"",ORIG!Q536)</f>
        <v/>
      </c>
      <c r="R536" s="3">
        <f>IF(ORIG!R536=0,"",ORIG!R536)</f>
        <v/>
      </c>
      <c r="S536" s="3">
        <f>IF(ORIG!S536=0,"",ORIG!S536)</f>
        <v/>
      </c>
      <c r="T536" s="3">
        <f>IF(ORIG!T536=0,"",ORIG!T536)</f>
        <v/>
      </c>
      <c r="U536" s="3">
        <f>IF(ORIG!U536=0,"",ORIG!U536)</f>
        <v/>
      </c>
      <c r="V536" s="9">
        <f>IF(ORIG!V536=0,"",ORIG!V536)</f>
        <v/>
      </c>
      <c r="W536" s="9">
        <f>IF(ORIG!W536=0,"",ORIG!W536)</f>
        <v/>
      </c>
      <c r="X536" s="9">
        <f>IF(ORIG!X536=0,"",ORIG!X536)</f>
        <v/>
      </c>
      <c r="Y536" s="9">
        <f>IF(ORIG!Y536=0,"",ORIG!Y536)</f>
        <v/>
      </c>
      <c r="Z536" s="3">
        <f>SUMPRODUCT($B536:$Y536,$B$2649:$Y$2649)</f>
        <v/>
      </c>
      <c r="AA536" s="3">
        <f>SUMPRODUCT($B536:$Y536,$B$2655:$Y$2655)</f>
        <v/>
      </c>
      <c r="AC536" s="1">
        <f>A536</f>
        <v/>
      </c>
      <c r="AD536">
        <f>IF(ISNUMBER(V536),V536*($AB$1/V$2635),"")</f>
        <v/>
      </c>
      <c r="AE536">
        <f>IF(ISNUMBER(Z536),Z536*($AB$1/Z$2635),"")</f>
        <v/>
      </c>
      <c r="AF536" s="25">
        <f>IF(ISNUMBER(AD536+AE536),AD536+AE536,"")</f>
        <v/>
      </c>
      <c r="AH536" s="1">
        <f>A536</f>
        <v/>
      </c>
      <c r="AI536">
        <f>IF(ISNUMBER((1+V536)*AI535),(1+V536)*AI535,AI535)</f>
        <v/>
      </c>
      <c r="AJ536">
        <f>IF(ISNUMBER((1+Z536)*AJ535),(1+Z536)*AJ535,AJ535)</f>
        <v/>
      </c>
    </row>
    <row r="537">
      <c r="A537" s="1" t="n">
        <v>42781</v>
      </c>
      <c r="B537" s="3">
        <f>IF(ORIG!B537=0,"",ORIG!B537)</f>
        <v/>
      </c>
      <c r="C537" s="3">
        <f>IF(ORIG!C537=0,"",ORIG!C537)</f>
        <v/>
      </c>
      <c r="D537" s="3">
        <f>IF(ORIG!D537=0,"",ORIG!D537)</f>
        <v/>
      </c>
      <c r="E537" s="3">
        <f>IF(ORIG!E537=0,"",ORIG!E537)</f>
        <v/>
      </c>
      <c r="F537" s="3">
        <f>IF(ORIG!F537=0,"",ORIG!F537)</f>
        <v/>
      </c>
      <c r="G537" s="3">
        <f>IF(ORIG!G537=0,"",ORIG!G537)</f>
        <v/>
      </c>
      <c r="H537" s="3">
        <f>IF(ORIG!H537=0,"",ORIG!H537)</f>
        <v/>
      </c>
      <c r="I537" s="3">
        <f>IF(ORIG!I537=0,"",ORIG!I537)</f>
        <v/>
      </c>
      <c r="J537" s="3">
        <f>IF(ORIG!J537=0,"",ORIG!J537)</f>
        <v/>
      </c>
      <c r="K537" s="3">
        <f>IF(ORIG!K537=0,"",ORIG!K537)</f>
        <v/>
      </c>
      <c r="L537" s="3">
        <f>IF(ORIG!L537=0,"",ORIG!L537)</f>
        <v/>
      </c>
      <c r="M537" s="3">
        <f>IF(ORIG!M537=0,"",ORIG!M537)</f>
        <v/>
      </c>
      <c r="N537" s="3">
        <f>IF(ORIG!N537=0,"",ORIG!N537)</f>
        <v/>
      </c>
      <c r="O537" s="3">
        <f>IF(ORIG!O537=0,"",ORIG!O537)</f>
        <v/>
      </c>
      <c r="P537" s="3">
        <f>IF(ORIG!P537=0,"",ORIG!P537)</f>
        <v/>
      </c>
      <c r="Q537" s="3">
        <f>IF(ORIG!Q537=0,"",ORIG!Q537)</f>
        <v/>
      </c>
      <c r="R537" s="3">
        <f>IF(ORIG!R537=0,"",ORIG!R537)</f>
        <v/>
      </c>
      <c r="S537" s="3">
        <f>IF(ORIG!S537=0,"",ORIG!S537)</f>
        <v/>
      </c>
      <c r="T537" s="3">
        <f>IF(ORIG!T537=0,"",ORIG!T537)</f>
        <v/>
      </c>
      <c r="U537" s="3">
        <f>IF(ORIG!U537=0,"",ORIG!U537)</f>
        <v/>
      </c>
      <c r="V537" s="9">
        <f>IF(ORIG!V537=0,"",ORIG!V537)</f>
        <v/>
      </c>
      <c r="W537" s="9">
        <f>IF(ORIG!W537=0,"",ORIG!W537)</f>
        <v/>
      </c>
      <c r="X537" s="9">
        <f>IF(ORIG!X537=0,"",ORIG!X537)</f>
        <v/>
      </c>
      <c r="Y537" s="9">
        <f>IF(ORIG!Y537=0,"",ORIG!Y537)</f>
        <v/>
      </c>
      <c r="Z537" s="3">
        <f>SUMPRODUCT($B537:$Y537,$B$2649:$Y$2649)</f>
        <v/>
      </c>
      <c r="AA537" s="3">
        <f>SUMPRODUCT($B537:$Y537,$B$2655:$Y$2655)</f>
        <v/>
      </c>
      <c r="AC537" s="1">
        <f>A537</f>
        <v/>
      </c>
      <c r="AD537">
        <f>IF(ISNUMBER(V537),V537*($AB$1/V$2635),"")</f>
        <v/>
      </c>
      <c r="AE537">
        <f>IF(ISNUMBER(Z537),Z537*($AB$1/Z$2635),"")</f>
        <v/>
      </c>
      <c r="AF537" s="25">
        <f>IF(ISNUMBER(AD537+AE537),AD537+AE537,"")</f>
        <v/>
      </c>
      <c r="AH537" s="1">
        <f>A537</f>
        <v/>
      </c>
      <c r="AI537">
        <f>IF(ISNUMBER((1+V537)*AI536),(1+V537)*AI536,AI536)</f>
        <v/>
      </c>
      <c r="AJ537">
        <f>IF(ISNUMBER((1+Z537)*AJ536),(1+Z537)*AJ536,AJ536)</f>
        <v/>
      </c>
    </row>
    <row r="538">
      <c r="A538" s="1" t="n">
        <v>42782</v>
      </c>
      <c r="B538" s="3">
        <f>IF(ORIG!B538=0,"",ORIG!B538)</f>
        <v/>
      </c>
      <c r="C538" s="3">
        <f>IF(ORIG!C538=0,"",ORIG!C538)</f>
        <v/>
      </c>
      <c r="D538" s="3">
        <f>IF(ORIG!D538=0,"",ORIG!D538)</f>
        <v/>
      </c>
      <c r="E538" s="3">
        <f>IF(ORIG!E538=0,"",ORIG!E538)</f>
        <v/>
      </c>
      <c r="F538" s="3">
        <f>IF(ORIG!F538=0,"",ORIG!F538)</f>
        <v/>
      </c>
      <c r="G538" s="3">
        <f>IF(ORIG!G538=0,"",ORIG!G538)</f>
        <v/>
      </c>
      <c r="H538" s="3">
        <f>IF(ORIG!H538=0,"",ORIG!H538)</f>
        <v/>
      </c>
      <c r="I538" s="3">
        <f>IF(ORIG!I538=0,"",ORIG!I538)</f>
        <v/>
      </c>
      <c r="J538" s="3">
        <f>IF(ORIG!J538=0,"",ORIG!J538)</f>
        <v/>
      </c>
      <c r="K538" s="3">
        <f>IF(ORIG!K538=0,"",ORIG!K538)</f>
        <v/>
      </c>
      <c r="L538" s="3">
        <f>IF(ORIG!L538=0,"",ORIG!L538)</f>
        <v/>
      </c>
      <c r="M538" s="3">
        <f>IF(ORIG!M538=0,"",ORIG!M538)</f>
        <v/>
      </c>
      <c r="N538" s="3">
        <f>IF(ORIG!N538=0,"",ORIG!N538)</f>
        <v/>
      </c>
      <c r="O538" s="3">
        <f>IF(ORIG!O538=0,"",ORIG!O538)</f>
        <v/>
      </c>
      <c r="P538" s="3">
        <f>IF(ORIG!P538=0,"",ORIG!P538)</f>
        <v/>
      </c>
      <c r="Q538" s="3">
        <f>IF(ORIG!Q538=0,"",ORIG!Q538)</f>
        <v/>
      </c>
      <c r="R538" s="3">
        <f>IF(ORIG!R538=0,"",ORIG!R538)</f>
        <v/>
      </c>
      <c r="S538" s="3">
        <f>IF(ORIG!S538=0,"",ORIG!S538)</f>
        <v/>
      </c>
      <c r="T538" s="3">
        <f>IF(ORIG!T538=0,"",ORIG!T538)</f>
        <v/>
      </c>
      <c r="U538" s="3">
        <f>IF(ORIG!U538=0,"",ORIG!U538)</f>
        <v/>
      </c>
      <c r="V538" s="9">
        <f>IF(ORIG!V538=0,"",ORIG!V538)</f>
        <v/>
      </c>
      <c r="W538" s="9">
        <f>IF(ORIG!W538=0,"",ORIG!W538)</f>
        <v/>
      </c>
      <c r="X538" s="9">
        <f>IF(ORIG!X538=0,"",ORIG!X538)</f>
        <v/>
      </c>
      <c r="Y538" s="9">
        <f>IF(ORIG!Y538=0,"",ORIG!Y538)</f>
        <v/>
      </c>
      <c r="Z538" s="3">
        <f>SUMPRODUCT($B538:$Y538,$B$2649:$Y$2649)</f>
        <v/>
      </c>
      <c r="AA538" s="3">
        <f>SUMPRODUCT($B538:$Y538,$B$2655:$Y$2655)</f>
        <v/>
      </c>
      <c r="AC538" s="1">
        <f>A538</f>
        <v/>
      </c>
      <c r="AD538">
        <f>IF(ISNUMBER(V538),V538*($AB$1/V$2635),"")</f>
        <v/>
      </c>
      <c r="AE538">
        <f>IF(ISNUMBER(Z538),Z538*($AB$1/Z$2635),"")</f>
        <v/>
      </c>
      <c r="AF538" s="25">
        <f>IF(ISNUMBER(AD538+AE538),AD538+AE538,"")</f>
        <v/>
      </c>
      <c r="AH538" s="1">
        <f>A538</f>
        <v/>
      </c>
      <c r="AI538">
        <f>IF(ISNUMBER((1+V538)*AI537),(1+V538)*AI537,AI537)</f>
        <v/>
      </c>
      <c r="AJ538">
        <f>IF(ISNUMBER((1+Z538)*AJ537),(1+Z538)*AJ537,AJ537)</f>
        <v/>
      </c>
    </row>
    <row r="539">
      <c r="A539" s="1" t="n">
        <v>42783</v>
      </c>
      <c r="B539" s="3">
        <f>IF(ORIG!B539=0,"",ORIG!B539)</f>
        <v/>
      </c>
      <c r="C539" s="3">
        <f>IF(ORIG!C539=0,"",ORIG!C539)</f>
        <v/>
      </c>
      <c r="D539" s="3">
        <f>IF(ORIG!D539=0,"",ORIG!D539)</f>
        <v/>
      </c>
      <c r="E539" s="3">
        <f>IF(ORIG!E539=0,"",ORIG!E539)</f>
        <v/>
      </c>
      <c r="F539" s="3">
        <f>IF(ORIG!F539=0,"",ORIG!F539)</f>
        <v/>
      </c>
      <c r="G539" s="3">
        <f>IF(ORIG!G539=0,"",ORIG!G539)</f>
        <v/>
      </c>
      <c r="H539" s="3">
        <f>IF(ORIG!H539=0,"",ORIG!H539)</f>
        <v/>
      </c>
      <c r="I539" s="3">
        <f>IF(ORIG!I539=0,"",ORIG!I539)</f>
        <v/>
      </c>
      <c r="J539" s="3">
        <f>IF(ORIG!J539=0,"",ORIG!J539)</f>
        <v/>
      </c>
      <c r="K539" s="3">
        <f>IF(ORIG!K539=0,"",ORIG!K539)</f>
        <v/>
      </c>
      <c r="L539" s="3">
        <f>IF(ORIG!L539=0,"",ORIG!L539)</f>
        <v/>
      </c>
      <c r="M539" s="3">
        <f>IF(ORIG!M539=0,"",ORIG!M539)</f>
        <v/>
      </c>
      <c r="N539" s="3">
        <f>IF(ORIG!N539=0,"",ORIG!N539)</f>
        <v/>
      </c>
      <c r="O539" s="3">
        <f>IF(ORIG!O539=0,"",ORIG!O539)</f>
        <v/>
      </c>
      <c r="P539" s="3">
        <f>IF(ORIG!P539=0,"",ORIG!P539)</f>
        <v/>
      </c>
      <c r="Q539" s="3">
        <f>IF(ORIG!Q539=0,"",ORIG!Q539)</f>
        <v/>
      </c>
      <c r="R539" s="3">
        <f>IF(ORIG!R539=0,"",ORIG!R539)</f>
        <v/>
      </c>
      <c r="S539" s="3">
        <f>IF(ORIG!S539=0,"",ORIG!S539)</f>
        <v/>
      </c>
      <c r="T539" s="3">
        <f>IF(ORIG!T539=0,"",ORIG!T539)</f>
        <v/>
      </c>
      <c r="U539" s="3">
        <f>IF(ORIG!U539=0,"",ORIG!U539)</f>
        <v/>
      </c>
      <c r="V539" s="9">
        <f>IF(ORIG!V539=0,"",ORIG!V539)</f>
        <v/>
      </c>
      <c r="W539" s="9">
        <f>IF(ORIG!W539=0,"",ORIG!W539)</f>
        <v/>
      </c>
      <c r="X539" s="9">
        <f>IF(ORIG!X539=0,"",ORIG!X539)</f>
        <v/>
      </c>
      <c r="Y539" s="9">
        <f>IF(ORIG!Y539=0,"",ORIG!Y539)</f>
        <v/>
      </c>
      <c r="Z539" s="3">
        <f>SUMPRODUCT($B539:$Y539,$B$2649:$Y$2649)</f>
        <v/>
      </c>
      <c r="AA539" s="3">
        <f>SUMPRODUCT($B539:$Y539,$B$2655:$Y$2655)</f>
        <v/>
      </c>
      <c r="AC539" s="1">
        <f>A539</f>
        <v/>
      </c>
      <c r="AD539">
        <f>IF(ISNUMBER(V539),V539*($AB$1/V$2635),"")</f>
        <v/>
      </c>
      <c r="AE539">
        <f>IF(ISNUMBER(Z539),Z539*($AB$1/Z$2635),"")</f>
        <v/>
      </c>
      <c r="AF539" s="25">
        <f>IF(ISNUMBER(AD539+AE539),AD539+AE539,"")</f>
        <v/>
      </c>
      <c r="AH539" s="1">
        <f>A539</f>
        <v/>
      </c>
      <c r="AI539">
        <f>IF(ISNUMBER((1+V539)*AI538),(1+V539)*AI538,AI538)</f>
        <v/>
      </c>
      <c r="AJ539">
        <f>IF(ISNUMBER((1+Z539)*AJ538),(1+Z539)*AJ538,AJ538)</f>
        <v/>
      </c>
    </row>
    <row r="540">
      <c r="A540" s="1" t="n">
        <v>42787</v>
      </c>
      <c r="B540" s="3">
        <f>IF(ORIG!B540=0,"",ORIG!B540)</f>
        <v/>
      </c>
      <c r="C540" s="3">
        <f>IF(ORIG!C540=0,"",ORIG!C540)</f>
        <v/>
      </c>
      <c r="D540" s="3">
        <f>IF(ORIG!D540=0,"",ORIG!D540)</f>
        <v/>
      </c>
      <c r="E540" s="3">
        <f>IF(ORIG!E540=0,"",ORIG!E540)</f>
        <v/>
      </c>
      <c r="F540" s="3">
        <f>IF(ORIG!F540=0,"",ORIG!F540)</f>
        <v/>
      </c>
      <c r="G540" s="3">
        <f>IF(ORIG!G540=0,"",ORIG!G540)</f>
        <v/>
      </c>
      <c r="H540" s="3">
        <f>IF(ORIG!H540=0,"",ORIG!H540)</f>
        <v/>
      </c>
      <c r="I540" s="3">
        <f>IF(ORIG!I540=0,"",ORIG!I540)</f>
        <v/>
      </c>
      <c r="J540" s="3">
        <f>IF(ORIG!J540=0,"",ORIG!J540)</f>
        <v/>
      </c>
      <c r="K540" s="3">
        <f>IF(ORIG!K540=0,"",ORIG!K540)</f>
        <v/>
      </c>
      <c r="L540" s="3">
        <f>IF(ORIG!L540=0,"",ORIG!L540)</f>
        <v/>
      </c>
      <c r="M540" s="3">
        <f>IF(ORIG!M540=0,"",ORIG!M540)</f>
        <v/>
      </c>
      <c r="N540" s="3">
        <f>IF(ORIG!N540=0,"",ORIG!N540)</f>
        <v/>
      </c>
      <c r="O540" s="3">
        <f>IF(ORIG!O540=0,"",ORIG!O540)</f>
        <v/>
      </c>
      <c r="P540" s="3">
        <f>IF(ORIG!P540=0,"",ORIG!P540)</f>
        <v/>
      </c>
      <c r="Q540" s="3">
        <f>IF(ORIG!Q540=0,"",ORIG!Q540)</f>
        <v/>
      </c>
      <c r="R540" s="3">
        <f>IF(ORIG!R540=0,"",ORIG!R540)</f>
        <v/>
      </c>
      <c r="S540" s="3">
        <f>IF(ORIG!S540=0,"",ORIG!S540)</f>
        <v/>
      </c>
      <c r="T540" s="3">
        <f>IF(ORIG!T540=0,"",ORIG!T540)</f>
        <v/>
      </c>
      <c r="U540" s="3">
        <f>IF(ORIG!U540=0,"",ORIG!U540)</f>
        <v/>
      </c>
      <c r="V540" s="9">
        <f>IF(ORIG!V540=0,"",ORIG!V540)</f>
        <v/>
      </c>
      <c r="W540" s="9">
        <f>IF(ORIG!W540=0,"",ORIG!W540)</f>
        <v/>
      </c>
      <c r="X540" s="9">
        <f>IF(ORIG!X540=0,"",ORIG!X540)</f>
        <v/>
      </c>
      <c r="Y540" s="9">
        <f>IF(ORIG!Y540=0,"",ORIG!Y540)</f>
        <v/>
      </c>
      <c r="Z540" s="3">
        <f>SUMPRODUCT($B540:$Y540,$B$2649:$Y$2649)</f>
        <v/>
      </c>
      <c r="AA540" s="3">
        <f>SUMPRODUCT($B540:$Y540,$B$2655:$Y$2655)</f>
        <v/>
      </c>
      <c r="AC540" s="1">
        <f>A540</f>
        <v/>
      </c>
      <c r="AD540">
        <f>IF(ISNUMBER(V540),V540*($AB$1/V$2635),"")</f>
        <v/>
      </c>
      <c r="AE540">
        <f>IF(ISNUMBER(Z540),Z540*($AB$1/Z$2635),"")</f>
        <v/>
      </c>
      <c r="AF540" s="25">
        <f>IF(ISNUMBER(AD540+AE540),AD540+AE540,"")</f>
        <v/>
      </c>
      <c r="AH540" s="1">
        <f>A540</f>
        <v/>
      </c>
      <c r="AI540">
        <f>IF(ISNUMBER((1+V540)*AI539),(1+V540)*AI539,AI539)</f>
        <v/>
      </c>
      <c r="AJ540">
        <f>IF(ISNUMBER((1+Z540)*AJ539),(1+Z540)*AJ539,AJ539)</f>
        <v/>
      </c>
    </row>
    <row r="541">
      <c r="A541" s="1" t="n">
        <v>42788</v>
      </c>
      <c r="B541" s="3">
        <f>IF(ORIG!B541=0,"",ORIG!B541)</f>
        <v/>
      </c>
      <c r="C541" s="3">
        <f>IF(ORIG!C541=0,"",ORIG!C541)</f>
        <v/>
      </c>
      <c r="D541" s="3">
        <f>IF(ORIG!D541=0,"",ORIG!D541)</f>
        <v/>
      </c>
      <c r="E541" s="3">
        <f>IF(ORIG!E541=0,"",ORIG!E541)</f>
        <v/>
      </c>
      <c r="F541" s="3">
        <f>IF(ORIG!F541=0,"",ORIG!F541)</f>
        <v/>
      </c>
      <c r="G541" s="3">
        <f>IF(ORIG!G541=0,"",ORIG!G541)</f>
        <v/>
      </c>
      <c r="H541" s="3">
        <f>IF(ORIG!H541=0,"",ORIG!H541)</f>
        <v/>
      </c>
      <c r="I541" s="3">
        <f>IF(ORIG!I541=0,"",ORIG!I541)</f>
        <v/>
      </c>
      <c r="J541" s="3">
        <f>IF(ORIG!J541=0,"",ORIG!J541)</f>
        <v/>
      </c>
      <c r="K541" s="3">
        <f>IF(ORIG!K541=0,"",ORIG!K541)</f>
        <v/>
      </c>
      <c r="L541" s="3">
        <f>IF(ORIG!L541=0,"",ORIG!L541)</f>
        <v/>
      </c>
      <c r="M541" s="3">
        <f>IF(ORIG!M541=0,"",ORIG!M541)</f>
        <v/>
      </c>
      <c r="N541" s="3">
        <f>IF(ORIG!N541=0,"",ORIG!N541)</f>
        <v/>
      </c>
      <c r="O541" s="3">
        <f>IF(ORIG!O541=0,"",ORIG!O541)</f>
        <v/>
      </c>
      <c r="P541" s="3">
        <f>IF(ORIG!P541=0,"",ORIG!P541)</f>
        <v/>
      </c>
      <c r="Q541" s="3">
        <f>IF(ORIG!Q541=0,"",ORIG!Q541)</f>
        <v/>
      </c>
      <c r="R541" s="3">
        <f>IF(ORIG!R541=0,"",ORIG!R541)</f>
        <v/>
      </c>
      <c r="S541" s="3">
        <f>IF(ORIG!S541=0,"",ORIG!S541)</f>
        <v/>
      </c>
      <c r="T541" s="3">
        <f>IF(ORIG!T541=0,"",ORIG!T541)</f>
        <v/>
      </c>
      <c r="U541" s="3">
        <f>IF(ORIG!U541=0,"",ORIG!U541)</f>
        <v/>
      </c>
      <c r="V541" s="9">
        <f>IF(ORIG!V541=0,"",ORIG!V541)</f>
        <v/>
      </c>
      <c r="W541" s="9">
        <f>IF(ORIG!W541=0,"",ORIG!W541)</f>
        <v/>
      </c>
      <c r="X541" s="9">
        <f>IF(ORIG!X541=0,"",ORIG!X541)</f>
        <v/>
      </c>
      <c r="Y541" s="9">
        <f>IF(ORIG!Y541=0,"",ORIG!Y541)</f>
        <v/>
      </c>
      <c r="Z541" s="3">
        <f>SUMPRODUCT($B541:$Y541,$B$2649:$Y$2649)</f>
        <v/>
      </c>
      <c r="AA541" s="3">
        <f>SUMPRODUCT($B541:$Y541,$B$2655:$Y$2655)</f>
        <v/>
      </c>
      <c r="AC541" s="1">
        <f>A541</f>
        <v/>
      </c>
      <c r="AD541">
        <f>IF(ISNUMBER(V541),V541*($AB$1/V$2635),"")</f>
        <v/>
      </c>
      <c r="AE541">
        <f>IF(ISNUMBER(Z541),Z541*($AB$1/Z$2635),"")</f>
        <v/>
      </c>
      <c r="AF541" s="25">
        <f>IF(ISNUMBER(AD541+AE541),AD541+AE541,"")</f>
        <v/>
      </c>
      <c r="AH541" s="1">
        <f>A541</f>
        <v/>
      </c>
      <c r="AI541">
        <f>IF(ISNUMBER((1+V541)*AI540),(1+V541)*AI540,AI540)</f>
        <v/>
      </c>
      <c r="AJ541">
        <f>IF(ISNUMBER((1+Z541)*AJ540),(1+Z541)*AJ540,AJ540)</f>
        <v/>
      </c>
    </row>
    <row r="542">
      <c r="A542" s="1" t="n">
        <v>42789</v>
      </c>
      <c r="B542" s="3">
        <f>IF(ORIG!B542=0,"",ORIG!B542)</f>
        <v/>
      </c>
      <c r="C542" s="3">
        <f>IF(ORIG!C542=0,"",ORIG!C542)</f>
        <v/>
      </c>
      <c r="D542" s="3">
        <f>IF(ORIG!D542=0,"",ORIG!D542)</f>
        <v/>
      </c>
      <c r="E542" s="3">
        <f>IF(ORIG!E542=0,"",ORIG!E542)</f>
        <v/>
      </c>
      <c r="F542" s="3">
        <f>IF(ORIG!F542=0,"",ORIG!F542)</f>
        <v/>
      </c>
      <c r="G542" s="3">
        <f>IF(ORIG!G542=0,"",ORIG!G542)</f>
        <v/>
      </c>
      <c r="H542" s="3">
        <f>IF(ORIG!H542=0,"",ORIG!H542)</f>
        <v/>
      </c>
      <c r="I542" s="3">
        <f>IF(ORIG!I542=0,"",ORIG!I542)</f>
        <v/>
      </c>
      <c r="J542" s="3">
        <f>IF(ORIG!J542=0,"",ORIG!J542)</f>
        <v/>
      </c>
      <c r="K542" s="3">
        <f>IF(ORIG!K542=0,"",ORIG!K542)</f>
        <v/>
      </c>
      <c r="L542" s="3">
        <f>IF(ORIG!L542=0,"",ORIG!L542)</f>
        <v/>
      </c>
      <c r="M542" s="3">
        <f>IF(ORIG!M542=0,"",ORIG!M542)</f>
        <v/>
      </c>
      <c r="N542" s="3">
        <f>IF(ORIG!N542=0,"",ORIG!N542)</f>
        <v/>
      </c>
      <c r="O542" s="3">
        <f>IF(ORIG!O542=0,"",ORIG!O542)</f>
        <v/>
      </c>
      <c r="P542" s="3">
        <f>IF(ORIG!P542=0,"",ORIG!P542)</f>
        <v/>
      </c>
      <c r="Q542" s="3">
        <f>IF(ORIG!Q542=0,"",ORIG!Q542)</f>
        <v/>
      </c>
      <c r="R542" s="3">
        <f>IF(ORIG!R542=0,"",ORIG!R542)</f>
        <v/>
      </c>
      <c r="S542" s="3">
        <f>IF(ORIG!S542=0,"",ORIG!S542)</f>
        <v/>
      </c>
      <c r="T542" s="3">
        <f>IF(ORIG!T542=0,"",ORIG!T542)</f>
        <v/>
      </c>
      <c r="U542" s="3">
        <f>IF(ORIG!U542=0,"",ORIG!U542)</f>
        <v/>
      </c>
      <c r="V542" s="9">
        <f>IF(ORIG!V542=0,"",ORIG!V542)</f>
        <v/>
      </c>
      <c r="W542" s="9">
        <f>IF(ORIG!W542=0,"",ORIG!W542)</f>
        <v/>
      </c>
      <c r="X542" s="9">
        <f>IF(ORIG!X542=0,"",ORIG!X542)</f>
        <v/>
      </c>
      <c r="Y542" s="9">
        <f>IF(ORIG!Y542=0,"",ORIG!Y542)</f>
        <v/>
      </c>
      <c r="Z542" s="3">
        <f>SUMPRODUCT($B542:$Y542,$B$2649:$Y$2649)</f>
        <v/>
      </c>
      <c r="AA542" s="3">
        <f>SUMPRODUCT($B542:$Y542,$B$2655:$Y$2655)</f>
        <v/>
      </c>
      <c r="AC542" s="1">
        <f>A542</f>
        <v/>
      </c>
      <c r="AD542">
        <f>IF(ISNUMBER(V542),V542*($AB$1/V$2635),"")</f>
        <v/>
      </c>
      <c r="AE542">
        <f>IF(ISNUMBER(Z542),Z542*($AB$1/Z$2635),"")</f>
        <v/>
      </c>
      <c r="AF542" s="25">
        <f>IF(ISNUMBER(AD542+AE542),AD542+AE542,"")</f>
        <v/>
      </c>
      <c r="AH542" s="1">
        <f>A542</f>
        <v/>
      </c>
      <c r="AI542">
        <f>IF(ISNUMBER((1+V542)*AI541),(1+V542)*AI541,AI541)</f>
        <v/>
      </c>
      <c r="AJ542">
        <f>IF(ISNUMBER((1+Z542)*AJ541),(1+Z542)*AJ541,AJ541)</f>
        <v/>
      </c>
    </row>
    <row r="543">
      <c r="A543" s="1" t="n">
        <v>42790</v>
      </c>
      <c r="B543" s="3">
        <f>IF(ORIG!B543=0,"",ORIG!B543)</f>
        <v/>
      </c>
      <c r="C543" s="3">
        <f>IF(ORIG!C543=0,"",ORIG!C543)</f>
        <v/>
      </c>
      <c r="D543" s="3">
        <f>IF(ORIG!D543=0,"",ORIG!D543)</f>
        <v/>
      </c>
      <c r="E543" s="3">
        <f>IF(ORIG!E543=0,"",ORIG!E543)</f>
        <v/>
      </c>
      <c r="F543" s="3">
        <f>IF(ORIG!F543=0,"",ORIG!F543)</f>
        <v/>
      </c>
      <c r="G543" s="3">
        <f>IF(ORIG!G543=0,"",ORIG!G543)</f>
        <v/>
      </c>
      <c r="H543" s="3">
        <f>IF(ORIG!H543=0,"",ORIG!H543)</f>
        <v/>
      </c>
      <c r="I543" s="3">
        <f>IF(ORIG!I543=0,"",ORIG!I543)</f>
        <v/>
      </c>
      <c r="J543" s="3">
        <f>IF(ORIG!J543=0,"",ORIG!J543)</f>
        <v/>
      </c>
      <c r="K543" s="3">
        <f>IF(ORIG!K543=0,"",ORIG!K543)</f>
        <v/>
      </c>
      <c r="L543" s="3">
        <f>IF(ORIG!L543=0,"",ORIG!L543)</f>
        <v/>
      </c>
      <c r="M543" s="3">
        <f>IF(ORIG!M543=0,"",ORIG!M543)</f>
        <v/>
      </c>
      <c r="N543" s="3">
        <f>IF(ORIG!N543=0,"",ORIG!N543)</f>
        <v/>
      </c>
      <c r="O543" s="3">
        <f>IF(ORIG!O543=0,"",ORIG!O543)</f>
        <v/>
      </c>
      <c r="P543" s="3">
        <f>IF(ORIG!P543=0,"",ORIG!P543)</f>
        <v/>
      </c>
      <c r="Q543" s="3">
        <f>IF(ORIG!Q543=0,"",ORIG!Q543)</f>
        <v/>
      </c>
      <c r="R543" s="3">
        <f>IF(ORIG!R543=0,"",ORIG!R543)</f>
        <v/>
      </c>
      <c r="S543" s="3">
        <f>IF(ORIG!S543=0,"",ORIG!S543)</f>
        <v/>
      </c>
      <c r="T543" s="3">
        <f>IF(ORIG!T543=0,"",ORIG!T543)</f>
        <v/>
      </c>
      <c r="U543" s="3">
        <f>IF(ORIG!U543=0,"",ORIG!U543)</f>
        <v/>
      </c>
      <c r="V543" s="9">
        <f>IF(ORIG!V543=0,"",ORIG!V543)</f>
        <v/>
      </c>
      <c r="W543" s="9">
        <f>IF(ORIG!W543=0,"",ORIG!W543)</f>
        <v/>
      </c>
      <c r="X543" s="9">
        <f>IF(ORIG!X543=0,"",ORIG!X543)</f>
        <v/>
      </c>
      <c r="Y543" s="9">
        <f>IF(ORIG!Y543=0,"",ORIG!Y543)</f>
        <v/>
      </c>
      <c r="Z543" s="3">
        <f>SUMPRODUCT($B543:$Y543,$B$2649:$Y$2649)</f>
        <v/>
      </c>
      <c r="AA543" s="3">
        <f>SUMPRODUCT($B543:$Y543,$B$2655:$Y$2655)</f>
        <v/>
      </c>
      <c r="AC543" s="1">
        <f>A543</f>
        <v/>
      </c>
      <c r="AD543">
        <f>IF(ISNUMBER(V543),V543*($AB$1/V$2635),"")</f>
        <v/>
      </c>
      <c r="AE543">
        <f>IF(ISNUMBER(Z543),Z543*($AB$1/Z$2635),"")</f>
        <v/>
      </c>
      <c r="AF543" s="25">
        <f>IF(ISNUMBER(AD543+AE543),AD543+AE543,"")</f>
        <v/>
      </c>
      <c r="AH543" s="1">
        <f>A543</f>
        <v/>
      </c>
      <c r="AI543">
        <f>IF(ISNUMBER((1+V543)*AI542),(1+V543)*AI542,AI542)</f>
        <v/>
      </c>
      <c r="AJ543">
        <f>IF(ISNUMBER((1+Z543)*AJ542),(1+Z543)*AJ542,AJ542)</f>
        <v/>
      </c>
    </row>
    <row r="544">
      <c r="A544" s="1" t="n">
        <v>42793</v>
      </c>
      <c r="B544" s="3">
        <f>IF(ORIG!B544=0,"",ORIG!B544)</f>
        <v/>
      </c>
      <c r="C544" s="3">
        <f>IF(ORIG!C544=0,"",ORIG!C544)</f>
        <v/>
      </c>
      <c r="D544" s="3">
        <f>IF(ORIG!D544=0,"",ORIG!D544)</f>
        <v/>
      </c>
      <c r="E544" s="3">
        <f>IF(ORIG!E544=0,"",ORIG!E544)</f>
        <v/>
      </c>
      <c r="F544" s="3">
        <f>IF(ORIG!F544=0,"",ORIG!F544)</f>
        <v/>
      </c>
      <c r="G544" s="3">
        <f>IF(ORIG!G544=0,"",ORIG!G544)</f>
        <v/>
      </c>
      <c r="H544" s="3">
        <f>IF(ORIG!H544=0,"",ORIG!H544)</f>
        <v/>
      </c>
      <c r="I544" s="3">
        <f>IF(ORIG!I544=0,"",ORIG!I544)</f>
        <v/>
      </c>
      <c r="J544" s="3">
        <f>IF(ORIG!J544=0,"",ORIG!J544)</f>
        <v/>
      </c>
      <c r="K544" s="3">
        <f>IF(ORIG!K544=0,"",ORIG!K544)</f>
        <v/>
      </c>
      <c r="L544" s="3">
        <f>IF(ORIG!L544=0,"",ORIG!L544)</f>
        <v/>
      </c>
      <c r="M544" s="3">
        <f>IF(ORIG!M544=0,"",ORIG!M544)</f>
        <v/>
      </c>
      <c r="N544" s="3">
        <f>IF(ORIG!N544=0,"",ORIG!N544)</f>
        <v/>
      </c>
      <c r="O544" s="3">
        <f>IF(ORIG!O544=0,"",ORIG!O544)</f>
        <v/>
      </c>
      <c r="P544" s="3">
        <f>IF(ORIG!P544=0,"",ORIG!P544)</f>
        <v/>
      </c>
      <c r="Q544" s="3">
        <f>IF(ORIG!Q544=0,"",ORIG!Q544)</f>
        <v/>
      </c>
      <c r="R544" s="3">
        <f>IF(ORIG!R544=0,"",ORIG!R544)</f>
        <v/>
      </c>
      <c r="S544" s="3">
        <f>IF(ORIG!S544=0,"",ORIG!S544)</f>
        <v/>
      </c>
      <c r="T544" s="3">
        <f>IF(ORIG!T544=0,"",ORIG!T544)</f>
        <v/>
      </c>
      <c r="U544" s="3">
        <f>IF(ORIG!U544=0,"",ORIG!U544)</f>
        <v/>
      </c>
      <c r="V544" s="9">
        <f>IF(ORIG!V544=0,"",ORIG!V544)</f>
        <v/>
      </c>
      <c r="W544" s="9">
        <f>IF(ORIG!W544=0,"",ORIG!W544)</f>
        <v/>
      </c>
      <c r="X544" s="9">
        <f>IF(ORIG!X544=0,"",ORIG!X544)</f>
        <v/>
      </c>
      <c r="Y544" s="9">
        <f>IF(ORIG!Y544=0,"",ORIG!Y544)</f>
        <v/>
      </c>
      <c r="Z544" s="3">
        <f>SUMPRODUCT($B544:$Y544,$B$2649:$Y$2649)</f>
        <v/>
      </c>
      <c r="AA544" s="3">
        <f>SUMPRODUCT($B544:$Y544,$B$2655:$Y$2655)</f>
        <v/>
      </c>
      <c r="AC544" s="1">
        <f>A544</f>
        <v/>
      </c>
      <c r="AD544">
        <f>IF(ISNUMBER(V544),V544*($AB$1/V$2635),"")</f>
        <v/>
      </c>
      <c r="AE544">
        <f>IF(ISNUMBER(Z544),Z544*($AB$1/Z$2635),"")</f>
        <v/>
      </c>
      <c r="AF544" s="25">
        <f>IF(ISNUMBER(AD544+AE544),AD544+AE544,"")</f>
        <v/>
      </c>
      <c r="AH544" s="1">
        <f>A544</f>
        <v/>
      </c>
      <c r="AI544">
        <f>IF(ISNUMBER((1+V544)*AI543),(1+V544)*AI543,AI543)</f>
        <v/>
      </c>
      <c r="AJ544">
        <f>IF(ISNUMBER((1+Z544)*AJ543),(1+Z544)*AJ543,AJ543)</f>
        <v/>
      </c>
    </row>
    <row r="545">
      <c r="A545" s="1" t="n">
        <v>42794</v>
      </c>
      <c r="B545" s="3">
        <f>IF(ORIG!B545=0,"",ORIG!B545)</f>
        <v/>
      </c>
      <c r="C545" s="3">
        <f>IF(ORIG!C545=0,"",ORIG!C545)</f>
        <v/>
      </c>
      <c r="D545" s="3">
        <f>IF(ORIG!D545=0,"",ORIG!D545)</f>
        <v/>
      </c>
      <c r="E545" s="3">
        <f>IF(ORIG!E545=0,"",ORIG!E545)</f>
        <v/>
      </c>
      <c r="F545" s="3">
        <f>IF(ORIG!F545=0,"",ORIG!F545)</f>
        <v/>
      </c>
      <c r="G545" s="3">
        <f>IF(ORIG!G545=0,"",ORIG!G545)</f>
        <v/>
      </c>
      <c r="H545" s="3">
        <f>IF(ORIG!H545=0,"",ORIG!H545)</f>
        <v/>
      </c>
      <c r="I545" s="3">
        <f>IF(ORIG!I545=0,"",ORIG!I545)</f>
        <v/>
      </c>
      <c r="J545" s="3">
        <f>IF(ORIG!J545=0,"",ORIG!J545)</f>
        <v/>
      </c>
      <c r="K545" s="3">
        <f>IF(ORIG!K545=0,"",ORIG!K545)</f>
        <v/>
      </c>
      <c r="L545" s="3">
        <f>IF(ORIG!L545=0,"",ORIG!L545)</f>
        <v/>
      </c>
      <c r="M545" s="3">
        <f>IF(ORIG!M545=0,"",ORIG!M545)</f>
        <v/>
      </c>
      <c r="N545" s="3">
        <f>IF(ORIG!N545=0,"",ORIG!N545)</f>
        <v/>
      </c>
      <c r="O545" s="3">
        <f>IF(ORIG!O545=0,"",ORIG!O545)</f>
        <v/>
      </c>
      <c r="P545" s="3">
        <f>IF(ORIG!P545=0,"",ORIG!P545)</f>
        <v/>
      </c>
      <c r="Q545" s="3">
        <f>IF(ORIG!Q545=0,"",ORIG!Q545)</f>
        <v/>
      </c>
      <c r="R545" s="3">
        <f>IF(ORIG!R545=0,"",ORIG!R545)</f>
        <v/>
      </c>
      <c r="S545" s="3">
        <f>IF(ORIG!S545=0,"",ORIG!S545)</f>
        <v/>
      </c>
      <c r="T545" s="3">
        <f>IF(ORIG!T545=0,"",ORIG!T545)</f>
        <v/>
      </c>
      <c r="U545" s="3">
        <f>IF(ORIG!U545=0,"",ORIG!U545)</f>
        <v/>
      </c>
      <c r="V545" s="9">
        <f>IF(ORIG!V545=0,"",ORIG!V545)</f>
        <v/>
      </c>
      <c r="W545" s="9">
        <f>IF(ORIG!W545=0,"",ORIG!W545)</f>
        <v/>
      </c>
      <c r="X545" s="9">
        <f>IF(ORIG!X545=0,"",ORIG!X545)</f>
        <v/>
      </c>
      <c r="Y545" s="9">
        <f>IF(ORIG!Y545=0,"",ORIG!Y545)</f>
        <v/>
      </c>
      <c r="Z545" s="3">
        <f>SUMPRODUCT($B545:$Y545,$B$2649:$Y$2649)</f>
        <v/>
      </c>
      <c r="AA545" s="3">
        <f>SUMPRODUCT($B545:$Y545,$B$2655:$Y$2655)</f>
        <v/>
      </c>
      <c r="AC545" s="1">
        <f>A545</f>
        <v/>
      </c>
      <c r="AD545">
        <f>IF(ISNUMBER(V545),V545*($AB$1/V$2635),"")</f>
        <v/>
      </c>
      <c r="AE545">
        <f>IF(ISNUMBER(Z545),Z545*($AB$1/Z$2635),"")</f>
        <v/>
      </c>
      <c r="AF545" s="25">
        <f>IF(ISNUMBER(AD545+AE545),AD545+AE545,"")</f>
        <v/>
      </c>
      <c r="AH545" s="1">
        <f>A545</f>
        <v/>
      </c>
      <c r="AI545">
        <f>IF(ISNUMBER((1+V545)*AI544),(1+V545)*AI544,AI544)</f>
        <v/>
      </c>
      <c r="AJ545">
        <f>IF(ISNUMBER((1+Z545)*AJ544),(1+Z545)*AJ544,AJ544)</f>
        <v/>
      </c>
    </row>
    <row r="546">
      <c r="A546" s="1" t="n">
        <v>42795</v>
      </c>
      <c r="B546" s="3">
        <f>IF(ORIG!B546=0,"",ORIG!B546)</f>
        <v/>
      </c>
      <c r="C546" s="3">
        <f>IF(ORIG!C546=0,"",ORIG!C546)</f>
        <v/>
      </c>
      <c r="D546" s="3">
        <f>IF(ORIG!D546=0,"",ORIG!D546)</f>
        <v/>
      </c>
      <c r="E546" s="3">
        <f>IF(ORIG!E546=0,"",ORIG!E546)</f>
        <v/>
      </c>
      <c r="F546" s="3">
        <f>IF(ORIG!F546=0,"",ORIG!F546)</f>
        <v/>
      </c>
      <c r="G546" s="3">
        <f>IF(ORIG!G546=0,"",ORIG!G546)</f>
        <v/>
      </c>
      <c r="H546" s="3">
        <f>IF(ORIG!H546=0,"",ORIG!H546)</f>
        <v/>
      </c>
      <c r="I546" s="3">
        <f>IF(ORIG!I546=0,"",ORIG!I546)</f>
        <v/>
      </c>
      <c r="J546" s="3">
        <f>IF(ORIG!J546=0,"",ORIG!J546)</f>
        <v/>
      </c>
      <c r="K546" s="3">
        <f>IF(ORIG!K546=0,"",ORIG!K546)</f>
        <v/>
      </c>
      <c r="L546" s="3">
        <f>IF(ORIG!L546=0,"",ORIG!L546)</f>
        <v/>
      </c>
      <c r="M546" s="3">
        <f>IF(ORIG!M546=0,"",ORIG!M546)</f>
        <v/>
      </c>
      <c r="N546" s="3">
        <f>IF(ORIG!N546=0,"",ORIG!N546)</f>
        <v/>
      </c>
      <c r="O546" s="3">
        <f>IF(ORIG!O546=0,"",ORIG!O546)</f>
        <v/>
      </c>
      <c r="P546" s="3">
        <f>IF(ORIG!P546=0,"",ORIG!P546)</f>
        <v/>
      </c>
      <c r="Q546" s="3">
        <f>IF(ORIG!Q546=0,"",ORIG!Q546)</f>
        <v/>
      </c>
      <c r="R546" s="3">
        <f>IF(ORIG!R546=0,"",ORIG!R546)</f>
        <v/>
      </c>
      <c r="S546" s="3">
        <f>IF(ORIG!S546=0,"",ORIG!S546)</f>
        <v/>
      </c>
      <c r="T546" s="3">
        <f>IF(ORIG!T546=0,"",ORIG!T546)</f>
        <v/>
      </c>
      <c r="U546" s="3">
        <f>IF(ORIG!U546=0,"",ORIG!U546)</f>
        <v/>
      </c>
      <c r="V546" s="9">
        <f>IF(ORIG!V546=0,"",ORIG!V546)</f>
        <v/>
      </c>
      <c r="W546" s="9">
        <f>IF(ORIG!W546=0,"",ORIG!W546)</f>
        <v/>
      </c>
      <c r="X546" s="9">
        <f>IF(ORIG!X546=0,"",ORIG!X546)</f>
        <v/>
      </c>
      <c r="Y546" s="9">
        <f>IF(ORIG!Y546=0,"",ORIG!Y546)</f>
        <v/>
      </c>
      <c r="Z546" s="3">
        <f>SUMPRODUCT($B546:$Y546,$B$2649:$Y$2649)</f>
        <v/>
      </c>
      <c r="AA546" s="3">
        <f>SUMPRODUCT($B546:$Y546,$B$2655:$Y$2655)</f>
        <v/>
      </c>
      <c r="AC546" s="1">
        <f>A546</f>
        <v/>
      </c>
      <c r="AD546">
        <f>IF(ISNUMBER(V546),V546*($AB$1/V$2635),"")</f>
        <v/>
      </c>
      <c r="AE546">
        <f>IF(ISNUMBER(Z546),Z546*($AB$1/Z$2635),"")</f>
        <v/>
      </c>
      <c r="AF546" s="25">
        <f>IF(ISNUMBER(AD546+AE546),AD546+AE546,"")</f>
        <v/>
      </c>
      <c r="AH546" s="1">
        <f>A546</f>
        <v/>
      </c>
      <c r="AI546">
        <f>IF(ISNUMBER((1+V546)*AI545),(1+V546)*AI545,AI545)</f>
        <v/>
      </c>
      <c r="AJ546">
        <f>IF(ISNUMBER((1+Z546)*AJ545),(1+Z546)*AJ545,AJ545)</f>
        <v/>
      </c>
    </row>
    <row r="547">
      <c r="A547" s="1" t="n">
        <v>42796</v>
      </c>
      <c r="B547" s="3">
        <f>IF(ORIG!B547=0,"",ORIG!B547)</f>
        <v/>
      </c>
      <c r="C547" s="3">
        <f>IF(ORIG!C547=0,"",ORIG!C547)</f>
        <v/>
      </c>
      <c r="D547" s="3">
        <f>IF(ORIG!D547=0,"",ORIG!D547)</f>
        <v/>
      </c>
      <c r="E547" s="3">
        <f>IF(ORIG!E547=0,"",ORIG!E547)</f>
        <v/>
      </c>
      <c r="F547" s="3">
        <f>IF(ORIG!F547=0,"",ORIG!F547)</f>
        <v/>
      </c>
      <c r="G547" s="3">
        <f>IF(ORIG!G547=0,"",ORIG!G547)</f>
        <v/>
      </c>
      <c r="H547" s="3">
        <f>IF(ORIG!H547=0,"",ORIG!H547)</f>
        <v/>
      </c>
      <c r="I547" s="3">
        <f>IF(ORIG!I547=0,"",ORIG!I547)</f>
        <v/>
      </c>
      <c r="J547" s="3">
        <f>IF(ORIG!J547=0,"",ORIG!J547)</f>
        <v/>
      </c>
      <c r="K547" s="3">
        <f>IF(ORIG!K547=0,"",ORIG!K547)</f>
        <v/>
      </c>
      <c r="L547" s="3">
        <f>IF(ORIG!L547=0,"",ORIG!L547)</f>
        <v/>
      </c>
      <c r="M547" s="3">
        <f>IF(ORIG!M547=0,"",ORIG!M547)</f>
        <v/>
      </c>
      <c r="N547" s="3">
        <f>IF(ORIG!N547=0,"",ORIG!N547)</f>
        <v/>
      </c>
      <c r="O547" s="3">
        <f>IF(ORIG!O547=0,"",ORIG!O547)</f>
        <v/>
      </c>
      <c r="P547" s="3">
        <f>IF(ORIG!P547=0,"",ORIG!P547)</f>
        <v/>
      </c>
      <c r="Q547" s="3">
        <f>IF(ORIG!Q547=0,"",ORIG!Q547)</f>
        <v/>
      </c>
      <c r="R547" s="3">
        <f>IF(ORIG!R547=0,"",ORIG!R547)</f>
        <v/>
      </c>
      <c r="S547" s="3">
        <f>IF(ORIG!S547=0,"",ORIG!S547)</f>
        <v/>
      </c>
      <c r="T547" s="3">
        <f>IF(ORIG!T547=0,"",ORIG!T547)</f>
        <v/>
      </c>
      <c r="U547" s="3">
        <f>IF(ORIG!U547=0,"",ORIG!U547)</f>
        <v/>
      </c>
      <c r="V547" s="9">
        <f>IF(ORIG!V547=0,"",ORIG!V547)</f>
        <v/>
      </c>
      <c r="W547" s="9">
        <f>IF(ORIG!W547=0,"",ORIG!W547)</f>
        <v/>
      </c>
      <c r="X547" s="9">
        <f>IF(ORIG!X547=0,"",ORIG!X547)</f>
        <v/>
      </c>
      <c r="Y547" s="9">
        <f>IF(ORIG!Y547=0,"",ORIG!Y547)</f>
        <v/>
      </c>
      <c r="Z547" s="3">
        <f>SUMPRODUCT($B547:$Y547,$B$2649:$Y$2649)</f>
        <v/>
      </c>
      <c r="AA547" s="3">
        <f>SUMPRODUCT($B547:$Y547,$B$2655:$Y$2655)</f>
        <v/>
      </c>
      <c r="AC547" s="1">
        <f>A547</f>
        <v/>
      </c>
      <c r="AD547">
        <f>IF(ISNUMBER(V547),V547*($AB$1/V$2635),"")</f>
        <v/>
      </c>
      <c r="AE547">
        <f>IF(ISNUMBER(Z547),Z547*($AB$1/Z$2635),"")</f>
        <v/>
      </c>
      <c r="AF547" s="25">
        <f>IF(ISNUMBER(AD547+AE547),AD547+AE547,"")</f>
        <v/>
      </c>
      <c r="AH547" s="1">
        <f>A547</f>
        <v/>
      </c>
      <c r="AI547">
        <f>IF(ISNUMBER((1+V547)*AI546),(1+V547)*AI546,AI546)</f>
        <v/>
      </c>
      <c r="AJ547">
        <f>IF(ISNUMBER((1+Z547)*AJ546),(1+Z547)*AJ546,AJ546)</f>
        <v/>
      </c>
    </row>
    <row r="548">
      <c r="A548" s="1" t="n">
        <v>42797</v>
      </c>
      <c r="B548" s="3">
        <f>IF(ORIG!B548=0,"",ORIG!B548)</f>
        <v/>
      </c>
      <c r="C548" s="3">
        <f>IF(ORIG!C548=0,"",ORIG!C548)</f>
        <v/>
      </c>
      <c r="D548" s="3">
        <f>IF(ORIG!D548=0,"",ORIG!D548)</f>
        <v/>
      </c>
      <c r="E548" s="3">
        <f>IF(ORIG!E548=0,"",ORIG!E548)</f>
        <v/>
      </c>
      <c r="F548" s="3">
        <f>IF(ORIG!F548=0,"",ORIG!F548)</f>
        <v/>
      </c>
      <c r="G548" s="3">
        <f>IF(ORIG!G548=0,"",ORIG!G548)</f>
        <v/>
      </c>
      <c r="H548" s="3">
        <f>IF(ORIG!H548=0,"",ORIG!H548)</f>
        <v/>
      </c>
      <c r="I548" s="3">
        <f>IF(ORIG!I548=0,"",ORIG!I548)</f>
        <v/>
      </c>
      <c r="J548" s="3">
        <f>IF(ORIG!J548=0,"",ORIG!J548)</f>
        <v/>
      </c>
      <c r="K548" s="3">
        <f>IF(ORIG!K548=0,"",ORIG!K548)</f>
        <v/>
      </c>
      <c r="L548" s="3">
        <f>IF(ORIG!L548=0,"",ORIG!L548)</f>
        <v/>
      </c>
      <c r="M548" s="3">
        <f>IF(ORIG!M548=0,"",ORIG!M548)</f>
        <v/>
      </c>
      <c r="N548" s="3">
        <f>IF(ORIG!N548=0,"",ORIG!N548)</f>
        <v/>
      </c>
      <c r="O548" s="3">
        <f>IF(ORIG!O548=0,"",ORIG!O548)</f>
        <v/>
      </c>
      <c r="P548" s="3">
        <f>IF(ORIG!P548=0,"",ORIG!P548)</f>
        <v/>
      </c>
      <c r="Q548" s="3">
        <f>IF(ORIG!Q548=0,"",ORIG!Q548)</f>
        <v/>
      </c>
      <c r="R548" s="3">
        <f>IF(ORIG!R548=0,"",ORIG!R548)</f>
        <v/>
      </c>
      <c r="S548" s="3">
        <f>IF(ORIG!S548=0,"",ORIG!S548)</f>
        <v/>
      </c>
      <c r="T548" s="3">
        <f>IF(ORIG!T548=0,"",ORIG!T548)</f>
        <v/>
      </c>
      <c r="U548" s="3">
        <f>IF(ORIG!U548=0,"",ORIG!U548)</f>
        <v/>
      </c>
      <c r="V548" s="9">
        <f>IF(ORIG!V548=0,"",ORIG!V548)</f>
        <v/>
      </c>
      <c r="W548" s="9">
        <f>IF(ORIG!W548=0,"",ORIG!W548)</f>
        <v/>
      </c>
      <c r="X548" s="9">
        <f>IF(ORIG!X548=0,"",ORIG!X548)</f>
        <v/>
      </c>
      <c r="Y548" s="9">
        <f>IF(ORIG!Y548=0,"",ORIG!Y548)</f>
        <v/>
      </c>
      <c r="Z548" s="3">
        <f>SUMPRODUCT($B548:$Y548,$B$2649:$Y$2649)</f>
        <v/>
      </c>
      <c r="AA548" s="3">
        <f>SUMPRODUCT($B548:$Y548,$B$2655:$Y$2655)</f>
        <v/>
      </c>
      <c r="AC548" s="1">
        <f>A548</f>
        <v/>
      </c>
      <c r="AD548">
        <f>IF(ISNUMBER(V548),V548*($AB$1/V$2635),"")</f>
        <v/>
      </c>
      <c r="AE548">
        <f>IF(ISNUMBER(Z548),Z548*($AB$1/Z$2635),"")</f>
        <v/>
      </c>
      <c r="AF548" s="25">
        <f>IF(ISNUMBER(AD548+AE548),AD548+AE548,"")</f>
        <v/>
      </c>
      <c r="AH548" s="1">
        <f>A548</f>
        <v/>
      </c>
      <c r="AI548">
        <f>IF(ISNUMBER((1+V548)*AI547),(1+V548)*AI547,AI547)</f>
        <v/>
      </c>
      <c r="AJ548">
        <f>IF(ISNUMBER((1+Z548)*AJ547),(1+Z548)*AJ547,AJ547)</f>
        <v/>
      </c>
    </row>
    <row r="549">
      <c r="A549" s="1" t="n">
        <v>42800</v>
      </c>
      <c r="B549" s="3">
        <f>IF(ORIG!B549=0,"",ORIG!B549)</f>
        <v/>
      </c>
      <c r="C549" s="3">
        <f>IF(ORIG!C549=0,"",ORIG!C549)</f>
        <v/>
      </c>
      <c r="D549" s="3">
        <f>IF(ORIG!D549=0,"",ORIG!D549)</f>
        <v/>
      </c>
      <c r="E549" s="3">
        <f>IF(ORIG!E549=0,"",ORIG!E549)</f>
        <v/>
      </c>
      <c r="F549" s="3">
        <f>IF(ORIG!F549=0,"",ORIG!F549)</f>
        <v/>
      </c>
      <c r="G549" s="3">
        <f>IF(ORIG!G549=0,"",ORIG!G549)</f>
        <v/>
      </c>
      <c r="H549" s="3">
        <f>IF(ORIG!H549=0,"",ORIG!H549)</f>
        <v/>
      </c>
      <c r="I549" s="3">
        <f>IF(ORIG!I549=0,"",ORIG!I549)</f>
        <v/>
      </c>
      <c r="J549" s="3">
        <f>IF(ORIG!J549=0,"",ORIG!J549)</f>
        <v/>
      </c>
      <c r="K549" s="3">
        <f>IF(ORIG!K549=0,"",ORIG!K549)</f>
        <v/>
      </c>
      <c r="L549" s="3">
        <f>IF(ORIG!L549=0,"",ORIG!L549)</f>
        <v/>
      </c>
      <c r="M549" s="3">
        <f>IF(ORIG!M549=0,"",ORIG!M549)</f>
        <v/>
      </c>
      <c r="N549" s="3">
        <f>IF(ORIG!N549=0,"",ORIG!N549)</f>
        <v/>
      </c>
      <c r="O549" s="3">
        <f>IF(ORIG!O549=0,"",ORIG!O549)</f>
        <v/>
      </c>
      <c r="P549" s="3">
        <f>IF(ORIG!P549=0,"",ORIG!P549)</f>
        <v/>
      </c>
      <c r="Q549" s="3">
        <f>IF(ORIG!Q549=0,"",ORIG!Q549)</f>
        <v/>
      </c>
      <c r="R549" s="3">
        <f>IF(ORIG!R549=0,"",ORIG!R549)</f>
        <v/>
      </c>
      <c r="S549" s="3">
        <f>IF(ORIG!S549=0,"",ORIG!S549)</f>
        <v/>
      </c>
      <c r="T549" s="3">
        <f>IF(ORIG!T549=0,"",ORIG!T549)</f>
        <v/>
      </c>
      <c r="U549" s="3">
        <f>IF(ORIG!U549=0,"",ORIG!U549)</f>
        <v/>
      </c>
      <c r="V549" s="9">
        <f>IF(ORIG!V549=0,"",ORIG!V549)</f>
        <v/>
      </c>
      <c r="W549" s="9">
        <f>IF(ORIG!W549=0,"",ORIG!W549)</f>
        <v/>
      </c>
      <c r="X549" s="9">
        <f>IF(ORIG!X549=0,"",ORIG!X549)</f>
        <v/>
      </c>
      <c r="Y549" s="9">
        <f>IF(ORIG!Y549=0,"",ORIG!Y549)</f>
        <v/>
      </c>
      <c r="Z549" s="3">
        <f>SUMPRODUCT($B549:$Y549,$B$2649:$Y$2649)</f>
        <v/>
      </c>
      <c r="AA549" s="3">
        <f>SUMPRODUCT($B549:$Y549,$B$2655:$Y$2655)</f>
        <v/>
      </c>
      <c r="AC549" s="1">
        <f>A549</f>
        <v/>
      </c>
      <c r="AD549">
        <f>IF(ISNUMBER(V549),V549*($AB$1/V$2635),"")</f>
        <v/>
      </c>
      <c r="AE549">
        <f>IF(ISNUMBER(Z549),Z549*($AB$1/Z$2635),"")</f>
        <v/>
      </c>
      <c r="AF549" s="25">
        <f>IF(ISNUMBER(AD549+AE549),AD549+AE549,"")</f>
        <v/>
      </c>
      <c r="AH549" s="1">
        <f>A549</f>
        <v/>
      </c>
      <c r="AI549">
        <f>IF(ISNUMBER((1+V549)*AI548),(1+V549)*AI548,AI548)</f>
        <v/>
      </c>
      <c r="AJ549">
        <f>IF(ISNUMBER((1+Z549)*AJ548),(1+Z549)*AJ548,AJ548)</f>
        <v/>
      </c>
    </row>
    <row r="550">
      <c r="A550" s="1" t="n">
        <v>42801</v>
      </c>
      <c r="B550" s="3">
        <f>IF(ORIG!B550=0,"",ORIG!B550)</f>
        <v/>
      </c>
      <c r="C550" s="3">
        <f>IF(ORIG!C550=0,"",ORIG!C550)</f>
        <v/>
      </c>
      <c r="D550" s="3">
        <f>IF(ORIG!D550=0,"",ORIG!D550)</f>
        <v/>
      </c>
      <c r="E550" s="3">
        <f>IF(ORIG!E550=0,"",ORIG!E550)</f>
        <v/>
      </c>
      <c r="F550" s="3">
        <f>IF(ORIG!F550=0,"",ORIG!F550)</f>
        <v/>
      </c>
      <c r="G550" s="3">
        <f>IF(ORIG!G550=0,"",ORIG!G550)</f>
        <v/>
      </c>
      <c r="H550" s="3">
        <f>IF(ORIG!H550=0,"",ORIG!H550)</f>
        <v/>
      </c>
      <c r="I550" s="3">
        <f>IF(ORIG!I550=0,"",ORIG!I550)</f>
        <v/>
      </c>
      <c r="J550" s="3">
        <f>IF(ORIG!J550=0,"",ORIG!J550)</f>
        <v/>
      </c>
      <c r="K550" s="3">
        <f>IF(ORIG!K550=0,"",ORIG!K550)</f>
        <v/>
      </c>
      <c r="L550" s="3">
        <f>IF(ORIG!L550=0,"",ORIG!L550)</f>
        <v/>
      </c>
      <c r="M550" s="3">
        <f>IF(ORIG!M550=0,"",ORIG!M550)</f>
        <v/>
      </c>
      <c r="N550" s="3">
        <f>IF(ORIG!N550=0,"",ORIG!N550)</f>
        <v/>
      </c>
      <c r="O550" s="3">
        <f>IF(ORIG!O550=0,"",ORIG!O550)</f>
        <v/>
      </c>
      <c r="P550" s="3">
        <f>IF(ORIG!P550=0,"",ORIG!P550)</f>
        <v/>
      </c>
      <c r="Q550" s="3">
        <f>IF(ORIG!Q550=0,"",ORIG!Q550)</f>
        <v/>
      </c>
      <c r="R550" s="3">
        <f>IF(ORIG!R550=0,"",ORIG!R550)</f>
        <v/>
      </c>
      <c r="S550" s="3">
        <f>IF(ORIG!S550=0,"",ORIG!S550)</f>
        <v/>
      </c>
      <c r="T550" s="3">
        <f>IF(ORIG!T550=0,"",ORIG!T550)</f>
        <v/>
      </c>
      <c r="U550" s="3">
        <f>IF(ORIG!U550=0,"",ORIG!U550)</f>
        <v/>
      </c>
      <c r="V550" s="9">
        <f>IF(ORIG!V550=0,"",ORIG!V550)</f>
        <v/>
      </c>
      <c r="W550" s="9">
        <f>IF(ORIG!W550=0,"",ORIG!W550)</f>
        <v/>
      </c>
      <c r="X550" s="9">
        <f>IF(ORIG!X550=0,"",ORIG!X550)</f>
        <v/>
      </c>
      <c r="Y550" s="9">
        <f>IF(ORIG!Y550=0,"",ORIG!Y550)</f>
        <v/>
      </c>
      <c r="Z550" s="3">
        <f>SUMPRODUCT($B550:$Y550,$B$2649:$Y$2649)</f>
        <v/>
      </c>
      <c r="AA550" s="3">
        <f>SUMPRODUCT($B550:$Y550,$B$2655:$Y$2655)</f>
        <v/>
      </c>
      <c r="AC550" s="1">
        <f>A550</f>
        <v/>
      </c>
      <c r="AD550">
        <f>IF(ISNUMBER(V550),V550*($AB$1/V$2635),"")</f>
        <v/>
      </c>
      <c r="AE550">
        <f>IF(ISNUMBER(Z550),Z550*($AB$1/Z$2635),"")</f>
        <v/>
      </c>
      <c r="AF550" s="25">
        <f>IF(ISNUMBER(AD550+AE550),AD550+AE550,"")</f>
        <v/>
      </c>
      <c r="AH550" s="1">
        <f>A550</f>
        <v/>
      </c>
      <c r="AI550">
        <f>IF(ISNUMBER((1+V550)*AI549),(1+V550)*AI549,AI549)</f>
        <v/>
      </c>
      <c r="AJ550">
        <f>IF(ISNUMBER((1+Z550)*AJ549),(1+Z550)*AJ549,AJ549)</f>
        <v/>
      </c>
    </row>
    <row r="551">
      <c r="A551" s="1" t="n">
        <v>42802</v>
      </c>
      <c r="B551" s="3">
        <f>IF(ORIG!B551=0,"",ORIG!B551)</f>
        <v/>
      </c>
      <c r="C551" s="3">
        <f>IF(ORIG!C551=0,"",ORIG!C551)</f>
        <v/>
      </c>
      <c r="D551" s="3">
        <f>IF(ORIG!D551=0,"",ORIG!D551)</f>
        <v/>
      </c>
      <c r="E551" s="3">
        <f>IF(ORIG!E551=0,"",ORIG!E551)</f>
        <v/>
      </c>
      <c r="F551" s="3">
        <f>IF(ORIG!F551=0,"",ORIG!F551)</f>
        <v/>
      </c>
      <c r="G551" s="3">
        <f>IF(ORIG!G551=0,"",ORIG!G551)</f>
        <v/>
      </c>
      <c r="H551" s="3">
        <f>IF(ORIG!H551=0,"",ORIG!H551)</f>
        <v/>
      </c>
      <c r="I551" s="3">
        <f>IF(ORIG!I551=0,"",ORIG!I551)</f>
        <v/>
      </c>
      <c r="J551" s="3">
        <f>IF(ORIG!J551=0,"",ORIG!J551)</f>
        <v/>
      </c>
      <c r="K551" s="3">
        <f>IF(ORIG!K551=0,"",ORIG!K551)</f>
        <v/>
      </c>
      <c r="L551" s="3">
        <f>IF(ORIG!L551=0,"",ORIG!L551)</f>
        <v/>
      </c>
      <c r="M551" s="3">
        <f>IF(ORIG!M551=0,"",ORIG!M551)</f>
        <v/>
      </c>
      <c r="N551" s="3">
        <f>IF(ORIG!N551=0,"",ORIG!N551)</f>
        <v/>
      </c>
      <c r="O551" s="3">
        <f>IF(ORIG!O551=0,"",ORIG!O551)</f>
        <v/>
      </c>
      <c r="P551" s="3">
        <f>IF(ORIG!P551=0,"",ORIG!P551)</f>
        <v/>
      </c>
      <c r="Q551" s="3">
        <f>IF(ORIG!Q551=0,"",ORIG!Q551)</f>
        <v/>
      </c>
      <c r="R551" s="3">
        <f>IF(ORIG!R551=0,"",ORIG!R551)</f>
        <v/>
      </c>
      <c r="S551" s="3">
        <f>IF(ORIG!S551=0,"",ORIG!S551)</f>
        <v/>
      </c>
      <c r="T551" s="3">
        <f>IF(ORIG!T551=0,"",ORIG!T551)</f>
        <v/>
      </c>
      <c r="U551" s="3">
        <f>IF(ORIG!U551=0,"",ORIG!U551)</f>
        <v/>
      </c>
      <c r="V551" s="9">
        <f>IF(ORIG!V551=0,"",ORIG!V551)</f>
        <v/>
      </c>
      <c r="W551" s="9">
        <f>IF(ORIG!W551=0,"",ORIG!W551)</f>
        <v/>
      </c>
      <c r="X551" s="9">
        <f>IF(ORIG!X551=0,"",ORIG!X551)</f>
        <v/>
      </c>
      <c r="Y551" s="9">
        <f>IF(ORIG!Y551=0,"",ORIG!Y551)</f>
        <v/>
      </c>
      <c r="Z551" s="3">
        <f>SUMPRODUCT($B551:$Y551,$B$2649:$Y$2649)</f>
        <v/>
      </c>
      <c r="AA551" s="3">
        <f>SUMPRODUCT($B551:$Y551,$B$2655:$Y$2655)</f>
        <v/>
      </c>
      <c r="AC551" s="1">
        <f>A551</f>
        <v/>
      </c>
      <c r="AD551">
        <f>IF(ISNUMBER(V551),V551*($AB$1/V$2635),"")</f>
        <v/>
      </c>
      <c r="AE551">
        <f>IF(ISNUMBER(Z551),Z551*($AB$1/Z$2635),"")</f>
        <v/>
      </c>
      <c r="AF551" s="25">
        <f>IF(ISNUMBER(AD551+AE551),AD551+AE551,"")</f>
        <v/>
      </c>
      <c r="AH551" s="1">
        <f>A551</f>
        <v/>
      </c>
      <c r="AI551">
        <f>IF(ISNUMBER((1+V551)*AI550),(1+V551)*AI550,AI550)</f>
        <v/>
      </c>
      <c r="AJ551">
        <f>IF(ISNUMBER((1+Z551)*AJ550),(1+Z551)*AJ550,AJ550)</f>
        <v/>
      </c>
    </row>
    <row r="552">
      <c r="A552" s="1" t="n">
        <v>42803</v>
      </c>
      <c r="B552" s="3">
        <f>IF(ORIG!B552=0,"",ORIG!B552)</f>
        <v/>
      </c>
      <c r="C552" s="3">
        <f>IF(ORIG!C552=0,"",ORIG!C552)</f>
        <v/>
      </c>
      <c r="D552" s="3">
        <f>IF(ORIG!D552=0,"",ORIG!D552)</f>
        <v/>
      </c>
      <c r="E552" s="3">
        <f>IF(ORIG!E552=0,"",ORIG!E552)</f>
        <v/>
      </c>
      <c r="F552" s="3">
        <f>IF(ORIG!F552=0,"",ORIG!F552)</f>
        <v/>
      </c>
      <c r="G552" s="3">
        <f>IF(ORIG!G552=0,"",ORIG!G552)</f>
        <v/>
      </c>
      <c r="H552" s="3">
        <f>IF(ORIG!H552=0,"",ORIG!H552)</f>
        <v/>
      </c>
      <c r="I552" s="3">
        <f>IF(ORIG!I552=0,"",ORIG!I552)</f>
        <v/>
      </c>
      <c r="J552" s="3">
        <f>IF(ORIG!J552=0,"",ORIG!J552)</f>
        <v/>
      </c>
      <c r="K552" s="3">
        <f>IF(ORIG!K552=0,"",ORIG!K552)</f>
        <v/>
      </c>
      <c r="L552" s="3">
        <f>IF(ORIG!L552=0,"",ORIG!L552)</f>
        <v/>
      </c>
      <c r="M552" s="3">
        <f>IF(ORIG!M552=0,"",ORIG!M552)</f>
        <v/>
      </c>
      <c r="N552" s="3">
        <f>IF(ORIG!N552=0,"",ORIG!N552)</f>
        <v/>
      </c>
      <c r="O552" s="3">
        <f>IF(ORIG!O552=0,"",ORIG!O552)</f>
        <v/>
      </c>
      <c r="P552" s="3">
        <f>IF(ORIG!P552=0,"",ORIG!P552)</f>
        <v/>
      </c>
      <c r="Q552" s="3">
        <f>IF(ORIG!Q552=0,"",ORIG!Q552)</f>
        <v/>
      </c>
      <c r="R552" s="3">
        <f>IF(ORIG!R552=0,"",ORIG!R552)</f>
        <v/>
      </c>
      <c r="S552" s="3">
        <f>IF(ORIG!S552=0,"",ORIG!S552)</f>
        <v/>
      </c>
      <c r="T552" s="3">
        <f>IF(ORIG!T552=0,"",ORIG!T552)</f>
        <v/>
      </c>
      <c r="U552" s="3">
        <f>IF(ORIG!U552=0,"",ORIG!U552)</f>
        <v/>
      </c>
      <c r="V552" s="9">
        <f>IF(ORIG!V552=0,"",ORIG!V552)</f>
        <v/>
      </c>
      <c r="W552" s="9">
        <f>IF(ORIG!W552=0,"",ORIG!W552)</f>
        <v/>
      </c>
      <c r="X552" s="9">
        <f>IF(ORIG!X552=0,"",ORIG!X552)</f>
        <v/>
      </c>
      <c r="Y552" s="9">
        <f>IF(ORIG!Y552=0,"",ORIG!Y552)</f>
        <v/>
      </c>
      <c r="Z552" s="3">
        <f>SUMPRODUCT($B552:$Y552,$B$2649:$Y$2649)</f>
        <v/>
      </c>
      <c r="AA552" s="3">
        <f>SUMPRODUCT($B552:$Y552,$B$2655:$Y$2655)</f>
        <v/>
      </c>
      <c r="AC552" s="1">
        <f>A552</f>
        <v/>
      </c>
      <c r="AD552">
        <f>IF(ISNUMBER(V552),V552*($AB$1/V$2635),"")</f>
        <v/>
      </c>
      <c r="AE552">
        <f>IF(ISNUMBER(Z552),Z552*($AB$1/Z$2635),"")</f>
        <v/>
      </c>
      <c r="AF552" s="25">
        <f>IF(ISNUMBER(AD552+AE552),AD552+AE552,"")</f>
        <v/>
      </c>
      <c r="AH552" s="1">
        <f>A552</f>
        <v/>
      </c>
      <c r="AI552">
        <f>IF(ISNUMBER((1+V552)*AI551),(1+V552)*AI551,AI551)</f>
        <v/>
      </c>
      <c r="AJ552">
        <f>IF(ISNUMBER((1+Z552)*AJ551),(1+Z552)*AJ551,AJ551)</f>
        <v/>
      </c>
    </row>
    <row r="553">
      <c r="A553" s="1" t="n">
        <v>42804</v>
      </c>
      <c r="B553" s="3">
        <f>IF(ORIG!B553=0,"",ORIG!B553)</f>
        <v/>
      </c>
      <c r="C553" s="3">
        <f>IF(ORIG!C553=0,"",ORIG!C553)</f>
        <v/>
      </c>
      <c r="D553" s="3">
        <f>IF(ORIG!D553=0,"",ORIG!D553)</f>
        <v/>
      </c>
      <c r="E553" s="3">
        <f>IF(ORIG!E553=0,"",ORIG!E553)</f>
        <v/>
      </c>
      <c r="F553" s="3">
        <f>IF(ORIG!F553=0,"",ORIG!F553)</f>
        <v/>
      </c>
      <c r="G553" s="3">
        <f>IF(ORIG!G553=0,"",ORIG!G553)</f>
        <v/>
      </c>
      <c r="H553" s="3">
        <f>IF(ORIG!H553=0,"",ORIG!H553)</f>
        <v/>
      </c>
      <c r="I553" s="3">
        <f>IF(ORIG!I553=0,"",ORIG!I553)</f>
        <v/>
      </c>
      <c r="J553" s="3">
        <f>IF(ORIG!J553=0,"",ORIG!J553)</f>
        <v/>
      </c>
      <c r="K553" s="3">
        <f>IF(ORIG!K553=0,"",ORIG!K553)</f>
        <v/>
      </c>
      <c r="L553" s="3">
        <f>IF(ORIG!L553=0,"",ORIG!L553)</f>
        <v/>
      </c>
      <c r="M553" s="3">
        <f>IF(ORIG!M553=0,"",ORIG!M553)</f>
        <v/>
      </c>
      <c r="N553" s="3">
        <f>IF(ORIG!N553=0,"",ORIG!N553)</f>
        <v/>
      </c>
      <c r="O553" s="3">
        <f>IF(ORIG!O553=0,"",ORIG!O553)</f>
        <v/>
      </c>
      <c r="P553" s="3">
        <f>IF(ORIG!P553=0,"",ORIG!P553)</f>
        <v/>
      </c>
      <c r="Q553" s="3">
        <f>IF(ORIG!Q553=0,"",ORIG!Q553)</f>
        <v/>
      </c>
      <c r="R553" s="3">
        <f>IF(ORIG!R553=0,"",ORIG!R553)</f>
        <v/>
      </c>
      <c r="S553" s="3">
        <f>IF(ORIG!S553=0,"",ORIG!S553)</f>
        <v/>
      </c>
      <c r="T553" s="3">
        <f>IF(ORIG!T553=0,"",ORIG!T553)</f>
        <v/>
      </c>
      <c r="U553" s="3">
        <f>IF(ORIG!U553=0,"",ORIG!U553)</f>
        <v/>
      </c>
      <c r="V553" s="9">
        <f>IF(ORIG!V553=0,"",ORIG!V553)</f>
        <v/>
      </c>
      <c r="W553" s="9">
        <f>IF(ORIG!W553=0,"",ORIG!W553)</f>
        <v/>
      </c>
      <c r="X553" s="9">
        <f>IF(ORIG!X553=0,"",ORIG!X553)</f>
        <v/>
      </c>
      <c r="Y553" s="9">
        <f>IF(ORIG!Y553=0,"",ORIG!Y553)</f>
        <v/>
      </c>
      <c r="Z553" s="3">
        <f>SUMPRODUCT($B553:$Y553,$B$2649:$Y$2649)</f>
        <v/>
      </c>
      <c r="AA553" s="3">
        <f>SUMPRODUCT($B553:$Y553,$B$2655:$Y$2655)</f>
        <v/>
      </c>
      <c r="AC553" s="1">
        <f>A553</f>
        <v/>
      </c>
      <c r="AD553">
        <f>IF(ISNUMBER(V553),V553*($AB$1/V$2635),"")</f>
        <v/>
      </c>
      <c r="AE553">
        <f>IF(ISNUMBER(Z553),Z553*($AB$1/Z$2635),"")</f>
        <v/>
      </c>
      <c r="AF553" s="25">
        <f>IF(ISNUMBER(AD553+AE553),AD553+AE553,"")</f>
        <v/>
      </c>
      <c r="AH553" s="1">
        <f>A553</f>
        <v/>
      </c>
      <c r="AI553">
        <f>IF(ISNUMBER((1+V553)*AI552),(1+V553)*AI552,AI552)</f>
        <v/>
      </c>
      <c r="AJ553">
        <f>IF(ISNUMBER((1+Z553)*AJ552),(1+Z553)*AJ552,AJ552)</f>
        <v/>
      </c>
    </row>
    <row r="554">
      <c r="A554" s="1" t="n">
        <v>42807</v>
      </c>
      <c r="B554" s="3">
        <f>IF(ORIG!B554=0,"",ORIG!B554)</f>
        <v/>
      </c>
      <c r="C554" s="3">
        <f>IF(ORIG!C554=0,"",ORIG!C554)</f>
        <v/>
      </c>
      <c r="D554" s="3">
        <f>IF(ORIG!D554=0,"",ORIG!D554)</f>
        <v/>
      </c>
      <c r="E554" s="3">
        <f>IF(ORIG!E554=0,"",ORIG!E554)</f>
        <v/>
      </c>
      <c r="F554" s="3">
        <f>IF(ORIG!F554=0,"",ORIG!F554)</f>
        <v/>
      </c>
      <c r="G554" s="3">
        <f>IF(ORIG!G554=0,"",ORIG!G554)</f>
        <v/>
      </c>
      <c r="H554" s="3">
        <f>IF(ORIG!H554=0,"",ORIG!H554)</f>
        <v/>
      </c>
      <c r="I554" s="3">
        <f>IF(ORIG!I554=0,"",ORIG!I554)</f>
        <v/>
      </c>
      <c r="J554" s="3">
        <f>IF(ORIG!J554=0,"",ORIG!J554)</f>
        <v/>
      </c>
      <c r="K554" s="3">
        <f>IF(ORIG!K554=0,"",ORIG!K554)</f>
        <v/>
      </c>
      <c r="L554" s="3">
        <f>IF(ORIG!L554=0,"",ORIG!L554)</f>
        <v/>
      </c>
      <c r="M554" s="3">
        <f>IF(ORIG!M554=0,"",ORIG!M554)</f>
        <v/>
      </c>
      <c r="N554" s="3">
        <f>IF(ORIG!N554=0,"",ORIG!N554)</f>
        <v/>
      </c>
      <c r="O554" s="3">
        <f>IF(ORIG!O554=0,"",ORIG!O554)</f>
        <v/>
      </c>
      <c r="P554" s="3">
        <f>IF(ORIG!P554=0,"",ORIG!P554)</f>
        <v/>
      </c>
      <c r="Q554" s="3">
        <f>IF(ORIG!Q554=0,"",ORIG!Q554)</f>
        <v/>
      </c>
      <c r="R554" s="3">
        <f>IF(ORIG!R554=0,"",ORIG!R554)</f>
        <v/>
      </c>
      <c r="S554" s="3">
        <f>IF(ORIG!S554=0,"",ORIG!S554)</f>
        <v/>
      </c>
      <c r="T554" s="3">
        <f>IF(ORIG!T554=0,"",ORIG!T554)</f>
        <v/>
      </c>
      <c r="U554" s="3">
        <f>IF(ORIG!U554=0,"",ORIG!U554)</f>
        <v/>
      </c>
      <c r="V554" s="9">
        <f>IF(ORIG!V554=0,"",ORIG!V554)</f>
        <v/>
      </c>
      <c r="W554" s="9">
        <f>IF(ORIG!W554=0,"",ORIG!W554)</f>
        <v/>
      </c>
      <c r="X554" s="9">
        <f>IF(ORIG!X554=0,"",ORIG!X554)</f>
        <v/>
      </c>
      <c r="Y554" s="9">
        <f>IF(ORIG!Y554=0,"",ORIG!Y554)</f>
        <v/>
      </c>
      <c r="Z554" s="3">
        <f>SUMPRODUCT($B554:$Y554,$B$2649:$Y$2649)</f>
        <v/>
      </c>
      <c r="AA554" s="3">
        <f>SUMPRODUCT($B554:$Y554,$B$2655:$Y$2655)</f>
        <v/>
      </c>
      <c r="AC554" s="1">
        <f>A554</f>
        <v/>
      </c>
      <c r="AD554">
        <f>IF(ISNUMBER(V554),V554*($AB$1/V$2635),"")</f>
        <v/>
      </c>
      <c r="AE554">
        <f>IF(ISNUMBER(Z554),Z554*($AB$1/Z$2635),"")</f>
        <v/>
      </c>
      <c r="AF554" s="25">
        <f>IF(ISNUMBER(AD554+AE554),AD554+AE554,"")</f>
        <v/>
      </c>
      <c r="AH554" s="1">
        <f>A554</f>
        <v/>
      </c>
      <c r="AI554">
        <f>IF(ISNUMBER((1+V554)*AI553),(1+V554)*AI553,AI553)</f>
        <v/>
      </c>
      <c r="AJ554">
        <f>IF(ISNUMBER((1+Z554)*AJ553),(1+Z554)*AJ553,AJ553)</f>
        <v/>
      </c>
    </row>
    <row r="555">
      <c r="A555" s="1" t="n">
        <v>42808</v>
      </c>
      <c r="B555" s="3">
        <f>IF(ORIG!B555=0,"",ORIG!B555)</f>
        <v/>
      </c>
      <c r="C555" s="3">
        <f>IF(ORIG!C555=0,"",ORIG!C555)</f>
        <v/>
      </c>
      <c r="D555" s="3">
        <f>IF(ORIG!D555=0,"",ORIG!D555)</f>
        <v/>
      </c>
      <c r="E555" s="3">
        <f>IF(ORIG!E555=0,"",ORIG!E555)</f>
        <v/>
      </c>
      <c r="F555" s="3">
        <f>IF(ORIG!F555=0,"",ORIG!F555)</f>
        <v/>
      </c>
      <c r="G555" s="3">
        <f>IF(ORIG!G555=0,"",ORIG!G555)</f>
        <v/>
      </c>
      <c r="H555" s="3">
        <f>IF(ORIG!H555=0,"",ORIG!H555)</f>
        <v/>
      </c>
      <c r="I555" s="3">
        <f>IF(ORIG!I555=0,"",ORIG!I555)</f>
        <v/>
      </c>
      <c r="J555" s="3">
        <f>IF(ORIG!J555=0,"",ORIG!J555)</f>
        <v/>
      </c>
      <c r="K555" s="3">
        <f>IF(ORIG!K555=0,"",ORIG!K555)</f>
        <v/>
      </c>
      <c r="L555" s="3">
        <f>IF(ORIG!L555=0,"",ORIG!L555)</f>
        <v/>
      </c>
      <c r="M555" s="3">
        <f>IF(ORIG!M555=0,"",ORIG!M555)</f>
        <v/>
      </c>
      <c r="N555" s="3">
        <f>IF(ORIG!N555=0,"",ORIG!N555)</f>
        <v/>
      </c>
      <c r="O555" s="3">
        <f>IF(ORIG!O555=0,"",ORIG!O555)</f>
        <v/>
      </c>
      <c r="P555" s="3">
        <f>IF(ORIG!P555=0,"",ORIG!P555)</f>
        <v/>
      </c>
      <c r="Q555" s="3">
        <f>IF(ORIG!Q555=0,"",ORIG!Q555)</f>
        <v/>
      </c>
      <c r="R555" s="3">
        <f>IF(ORIG!R555=0,"",ORIG!R555)</f>
        <v/>
      </c>
      <c r="S555" s="3">
        <f>IF(ORIG!S555=0,"",ORIG!S555)</f>
        <v/>
      </c>
      <c r="T555" s="3">
        <f>IF(ORIG!T555=0,"",ORIG!T555)</f>
        <v/>
      </c>
      <c r="U555" s="3">
        <f>IF(ORIG!U555=0,"",ORIG!U555)</f>
        <v/>
      </c>
      <c r="V555" s="9">
        <f>IF(ORIG!V555=0,"",ORIG!V555)</f>
        <v/>
      </c>
      <c r="W555" s="9">
        <f>IF(ORIG!W555=0,"",ORIG!W555)</f>
        <v/>
      </c>
      <c r="X555" s="9">
        <f>IF(ORIG!X555=0,"",ORIG!X555)</f>
        <v/>
      </c>
      <c r="Y555" s="9">
        <f>IF(ORIG!Y555=0,"",ORIG!Y555)</f>
        <v/>
      </c>
      <c r="Z555" s="3">
        <f>SUMPRODUCT($B555:$Y555,$B$2649:$Y$2649)</f>
        <v/>
      </c>
      <c r="AA555" s="3">
        <f>SUMPRODUCT($B555:$Y555,$B$2655:$Y$2655)</f>
        <v/>
      </c>
      <c r="AC555" s="1">
        <f>A555</f>
        <v/>
      </c>
      <c r="AD555">
        <f>IF(ISNUMBER(V555),V555*($AB$1/V$2635),"")</f>
        <v/>
      </c>
      <c r="AE555">
        <f>IF(ISNUMBER(Z555),Z555*($AB$1/Z$2635),"")</f>
        <v/>
      </c>
      <c r="AF555" s="25">
        <f>IF(ISNUMBER(AD555+AE555),AD555+AE555,"")</f>
        <v/>
      </c>
      <c r="AH555" s="1">
        <f>A555</f>
        <v/>
      </c>
      <c r="AI555">
        <f>IF(ISNUMBER((1+V555)*AI554),(1+V555)*AI554,AI554)</f>
        <v/>
      </c>
      <c r="AJ555">
        <f>IF(ISNUMBER((1+Z555)*AJ554),(1+Z555)*AJ554,AJ554)</f>
        <v/>
      </c>
    </row>
    <row r="556">
      <c r="A556" s="1" t="n">
        <v>42809</v>
      </c>
      <c r="B556" s="3">
        <f>IF(ORIG!B556=0,"",ORIG!B556)</f>
        <v/>
      </c>
      <c r="C556" s="3">
        <f>IF(ORIG!C556=0,"",ORIG!C556)</f>
        <v/>
      </c>
      <c r="D556" s="3">
        <f>IF(ORIG!D556=0,"",ORIG!D556)</f>
        <v/>
      </c>
      <c r="E556" s="3">
        <f>IF(ORIG!E556=0,"",ORIG!E556)</f>
        <v/>
      </c>
      <c r="F556" s="3">
        <f>IF(ORIG!F556=0,"",ORIG!F556)</f>
        <v/>
      </c>
      <c r="G556" s="3">
        <f>IF(ORIG!G556=0,"",ORIG!G556)</f>
        <v/>
      </c>
      <c r="H556" s="3">
        <f>IF(ORIG!H556=0,"",ORIG!H556)</f>
        <v/>
      </c>
      <c r="I556" s="3">
        <f>IF(ORIG!I556=0,"",ORIG!I556)</f>
        <v/>
      </c>
      <c r="J556" s="3">
        <f>IF(ORIG!J556=0,"",ORIG!J556)</f>
        <v/>
      </c>
      <c r="K556" s="3">
        <f>IF(ORIG!K556=0,"",ORIG!K556)</f>
        <v/>
      </c>
      <c r="L556" s="3">
        <f>IF(ORIG!L556=0,"",ORIG!L556)</f>
        <v/>
      </c>
      <c r="M556" s="3">
        <f>IF(ORIG!M556=0,"",ORIG!M556)</f>
        <v/>
      </c>
      <c r="N556" s="3">
        <f>IF(ORIG!N556=0,"",ORIG!N556)</f>
        <v/>
      </c>
      <c r="O556" s="3">
        <f>IF(ORIG!O556=0,"",ORIG!O556)</f>
        <v/>
      </c>
      <c r="P556" s="3">
        <f>IF(ORIG!P556=0,"",ORIG!P556)</f>
        <v/>
      </c>
      <c r="Q556" s="3">
        <f>IF(ORIG!Q556=0,"",ORIG!Q556)</f>
        <v/>
      </c>
      <c r="R556" s="3">
        <f>IF(ORIG!R556=0,"",ORIG!R556)</f>
        <v/>
      </c>
      <c r="S556" s="3">
        <f>IF(ORIG!S556=0,"",ORIG!S556)</f>
        <v/>
      </c>
      <c r="T556" s="3">
        <f>IF(ORIG!T556=0,"",ORIG!T556)</f>
        <v/>
      </c>
      <c r="U556" s="3">
        <f>IF(ORIG!U556=0,"",ORIG!U556)</f>
        <v/>
      </c>
      <c r="V556" s="9">
        <f>IF(ORIG!V556=0,"",ORIG!V556)</f>
        <v/>
      </c>
      <c r="W556" s="9">
        <f>IF(ORIG!W556=0,"",ORIG!W556)</f>
        <v/>
      </c>
      <c r="X556" s="9">
        <f>IF(ORIG!X556=0,"",ORIG!X556)</f>
        <v/>
      </c>
      <c r="Y556" s="9">
        <f>IF(ORIG!Y556=0,"",ORIG!Y556)</f>
        <v/>
      </c>
      <c r="Z556" s="3">
        <f>SUMPRODUCT($B556:$Y556,$B$2649:$Y$2649)</f>
        <v/>
      </c>
      <c r="AA556" s="3">
        <f>SUMPRODUCT($B556:$Y556,$B$2655:$Y$2655)</f>
        <v/>
      </c>
      <c r="AC556" s="1">
        <f>A556</f>
        <v/>
      </c>
      <c r="AD556">
        <f>IF(ISNUMBER(V556),V556*($AB$1/V$2635),"")</f>
        <v/>
      </c>
      <c r="AE556">
        <f>IF(ISNUMBER(Z556),Z556*($AB$1/Z$2635),"")</f>
        <v/>
      </c>
      <c r="AF556" s="25">
        <f>IF(ISNUMBER(AD556+AE556),AD556+AE556,"")</f>
        <v/>
      </c>
      <c r="AH556" s="1">
        <f>A556</f>
        <v/>
      </c>
      <c r="AI556">
        <f>IF(ISNUMBER((1+V556)*AI555),(1+V556)*AI555,AI555)</f>
        <v/>
      </c>
      <c r="AJ556">
        <f>IF(ISNUMBER((1+Z556)*AJ555),(1+Z556)*AJ555,AJ555)</f>
        <v/>
      </c>
    </row>
    <row r="557">
      <c r="A557" s="1" t="n">
        <v>42810</v>
      </c>
      <c r="B557" s="3">
        <f>IF(ORIG!B557=0,"",ORIG!B557)</f>
        <v/>
      </c>
      <c r="C557" s="3">
        <f>IF(ORIG!C557=0,"",ORIG!C557)</f>
        <v/>
      </c>
      <c r="D557" s="3">
        <f>IF(ORIG!D557=0,"",ORIG!D557)</f>
        <v/>
      </c>
      <c r="E557" s="3">
        <f>IF(ORIG!E557=0,"",ORIG!E557)</f>
        <v/>
      </c>
      <c r="F557" s="3">
        <f>IF(ORIG!F557=0,"",ORIG!F557)</f>
        <v/>
      </c>
      <c r="G557" s="3">
        <f>IF(ORIG!G557=0,"",ORIG!G557)</f>
        <v/>
      </c>
      <c r="H557" s="3">
        <f>IF(ORIG!H557=0,"",ORIG!H557)</f>
        <v/>
      </c>
      <c r="I557" s="3">
        <f>IF(ORIG!I557=0,"",ORIG!I557)</f>
        <v/>
      </c>
      <c r="J557" s="3">
        <f>IF(ORIG!J557=0,"",ORIG!J557)</f>
        <v/>
      </c>
      <c r="K557" s="3">
        <f>IF(ORIG!K557=0,"",ORIG!K557)</f>
        <v/>
      </c>
      <c r="L557" s="3">
        <f>IF(ORIG!L557=0,"",ORIG!L557)</f>
        <v/>
      </c>
      <c r="M557" s="3">
        <f>IF(ORIG!M557=0,"",ORIG!M557)</f>
        <v/>
      </c>
      <c r="N557" s="3">
        <f>IF(ORIG!N557=0,"",ORIG!N557)</f>
        <v/>
      </c>
      <c r="O557" s="3">
        <f>IF(ORIG!O557=0,"",ORIG!O557)</f>
        <v/>
      </c>
      <c r="P557" s="3">
        <f>IF(ORIG!P557=0,"",ORIG!P557)</f>
        <v/>
      </c>
      <c r="Q557" s="3">
        <f>IF(ORIG!Q557=0,"",ORIG!Q557)</f>
        <v/>
      </c>
      <c r="R557" s="3">
        <f>IF(ORIG!R557=0,"",ORIG!R557)</f>
        <v/>
      </c>
      <c r="S557" s="3">
        <f>IF(ORIG!S557=0,"",ORIG!S557)</f>
        <v/>
      </c>
      <c r="T557" s="3">
        <f>IF(ORIG!T557=0,"",ORIG!T557)</f>
        <v/>
      </c>
      <c r="U557" s="3">
        <f>IF(ORIG!U557=0,"",ORIG!U557)</f>
        <v/>
      </c>
      <c r="V557" s="9">
        <f>IF(ORIG!V557=0,"",ORIG!V557)</f>
        <v/>
      </c>
      <c r="W557" s="9">
        <f>IF(ORIG!W557=0,"",ORIG!W557)</f>
        <v/>
      </c>
      <c r="X557" s="9">
        <f>IF(ORIG!X557=0,"",ORIG!X557)</f>
        <v/>
      </c>
      <c r="Y557" s="9">
        <f>IF(ORIG!Y557=0,"",ORIG!Y557)</f>
        <v/>
      </c>
      <c r="Z557" s="3">
        <f>SUMPRODUCT($B557:$Y557,$B$2649:$Y$2649)</f>
        <v/>
      </c>
      <c r="AA557" s="3">
        <f>SUMPRODUCT($B557:$Y557,$B$2655:$Y$2655)</f>
        <v/>
      </c>
      <c r="AC557" s="1">
        <f>A557</f>
        <v/>
      </c>
      <c r="AD557">
        <f>IF(ISNUMBER(V557),V557*($AB$1/V$2635),"")</f>
        <v/>
      </c>
      <c r="AE557">
        <f>IF(ISNUMBER(Z557),Z557*($AB$1/Z$2635),"")</f>
        <v/>
      </c>
      <c r="AF557" s="25">
        <f>IF(ISNUMBER(AD557+AE557),AD557+AE557,"")</f>
        <v/>
      </c>
      <c r="AH557" s="1">
        <f>A557</f>
        <v/>
      </c>
      <c r="AI557">
        <f>IF(ISNUMBER((1+V557)*AI556),(1+V557)*AI556,AI556)</f>
        <v/>
      </c>
      <c r="AJ557">
        <f>IF(ISNUMBER((1+Z557)*AJ556),(1+Z557)*AJ556,AJ556)</f>
        <v/>
      </c>
    </row>
    <row r="558">
      <c r="A558" s="1" t="n">
        <v>42811</v>
      </c>
      <c r="B558" s="3">
        <f>IF(ORIG!B558=0,"",ORIG!B558)</f>
        <v/>
      </c>
      <c r="C558" s="3">
        <f>IF(ORIG!C558=0,"",ORIG!C558)</f>
        <v/>
      </c>
      <c r="D558" s="3">
        <f>IF(ORIG!D558=0,"",ORIG!D558)</f>
        <v/>
      </c>
      <c r="E558" s="3">
        <f>IF(ORIG!E558=0,"",ORIG!E558)</f>
        <v/>
      </c>
      <c r="F558" s="3">
        <f>IF(ORIG!F558=0,"",ORIG!F558)</f>
        <v/>
      </c>
      <c r="G558" s="3">
        <f>IF(ORIG!G558=0,"",ORIG!G558)</f>
        <v/>
      </c>
      <c r="H558" s="3">
        <f>IF(ORIG!H558=0,"",ORIG!H558)</f>
        <v/>
      </c>
      <c r="I558" s="3">
        <f>IF(ORIG!I558=0,"",ORIG!I558)</f>
        <v/>
      </c>
      <c r="J558" s="3">
        <f>IF(ORIG!J558=0,"",ORIG!J558)</f>
        <v/>
      </c>
      <c r="K558" s="3">
        <f>IF(ORIG!K558=0,"",ORIG!K558)</f>
        <v/>
      </c>
      <c r="L558" s="3">
        <f>IF(ORIG!L558=0,"",ORIG!L558)</f>
        <v/>
      </c>
      <c r="M558" s="3">
        <f>IF(ORIG!M558=0,"",ORIG!M558)</f>
        <v/>
      </c>
      <c r="N558" s="3">
        <f>IF(ORIG!N558=0,"",ORIG!N558)</f>
        <v/>
      </c>
      <c r="O558" s="3">
        <f>IF(ORIG!O558=0,"",ORIG!O558)</f>
        <v/>
      </c>
      <c r="P558" s="3">
        <f>IF(ORIG!P558=0,"",ORIG!P558)</f>
        <v/>
      </c>
      <c r="Q558" s="3">
        <f>IF(ORIG!Q558=0,"",ORIG!Q558)</f>
        <v/>
      </c>
      <c r="R558" s="3">
        <f>IF(ORIG!R558=0,"",ORIG!R558)</f>
        <v/>
      </c>
      <c r="S558" s="3">
        <f>IF(ORIG!S558=0,"",ORIG!S558)</f>
        <v/>
      </c>
      <c r="T558" s="3">
        <f>IF(ORIG!T558=0,"",ORIG!T558)</f>
        <v/>
      </c>
      <c r="U558" s="3">
        <f>IF(ORIG!U558=0,"",ORIG!U558)</f>
        <v/>
      </c>
      <c r="V558" s="9">
        <f>IF(ORIG!V558=0,"",ORIG!V558)</f>
        <v/>
      </c>
      <c r="W558" s="9">
        <f>IF(ORIG!W558=0,"",ORIG!W558)</f>
        <v/>
      </c>
      <c r="X558" s="9">
        <f>IF(ORIG!X558=0,"",ORIG!X558)</f>
        <v/>
      </c>
      <c r="Y558" s="9">
        <f>IF(ORIG!Y558=0,"",ORIG!Y558)</f>
        <v/>
      </c>
      <c r="Z558" s="3">
        <f>SUMPRODUCT($B558:$Y558,$B$2649:$Y$2649)</f>
        <v/>
      </c>
      <c r="AA558" s="3">
        <f>SUMPRODUCT($B558:$Y558,$B$2655:$Y$2655)</f>
        <v/>
      </c>
      <c r="AC558" s="1">
        <f>A558</f>
        <v/>
      </c>
      <c r="AD558">
        <f>IF(ISNUMBER(V558),V558*($AB$1/V$2635),"")</f>
        <v/>
      </c>
      <c r="AE558">
        <f>IF(ISNUMBER(Z558),Z558*($AB$1/Z$2635),"")</f>
        <v/>
      </c>
      <c r="AF558" s="25">
        <f>IF(ISNUMBER(AD558+AE558),AD558+AE558,"")</f>
        <v/>
      </c>
      <c r="AH558" s="1">
        <f>A558</f>
        <v/>
      </c>
      <c r="AI558">
        <f>IF(ISNUMBER((1+V558)*AI557),(1+V558)*AI557,AI557)</f>
        <v/>
      </c>
      <c r="AJ558">
        <f>IF(ISNUMBER((1+Z558)*AJ557),(1+Z558)*AJ557,AJ557)</f>
        <v/>
      </c>
    </row>
    <row r="559">
      <c r="A559" s="1" t="n">
        <v>42814</v>
      </c>
      <c r="B559" s="3">
        <f>IF(ORIG!B559=0,"",ORIG!B559)</f>
        <v/>
      </c>
      <c r="C559" s="3">
        <f>IF(ORIG!C559=0,"",ORIG!C559)</f>
        <v/>
      </c>
      <c r="D559" s="3">
        <f>IF(ORIG!D559=0,"",ORIG!D559)</f>
        <v/>
      </c>
      <c r="E559" s="3">
        <f>IF(ORIG!E559=0,"",ORIG!E559)</f>
        <v/>
      </c>
      <c r="F559" s="3">
        <f>IF(ORIG!F559=0,"",ORIG!F559)</f>
        <v/>
      </c>
      <c r="G559" s="3">
        <f>IF(ORIG!G559=0,"",ORIG!G559)</f>
        <v/>
      </c>
      <c r="H559" s="3">
        <f>IF(ORIG!H559=0,"",ORIG!H559)</f>
        <v/>
      </c>
      <c r="I559" s="3">
        <f>IF(ORIG!I559=0,"",ORIG!I559)</f>
        <v/>
      </c>
      <c r="J559" s="3">
        <f>IF(ORIG!J559=0,"",ORIG!J559)</f>
        <v/>
      </c>
      <c r="K559" s="3">
        <f>IF(ORIG!K559=0,"",ORIG!K559)</f>
        <v/>
      </c>
      <c r="L559" s="3">
        <f>IF(ORIG!L559=0,"",ORIG!L559)</f>
        <v/>
      </c>
      <c r="M559" s="3">
        <f>IF(ORIG!M559=0,"",ORIG!M559)</f>
        <v/>
      </c>
      <c r="N559" s="3">
        <f>IF(ORIG!N559=0,"",ORIG!N559)</f>
        <v/>
      </c>
      <c r="O559" s="3">
        <f>IF(ORIG!O559=0,"",ORIG!O559)</f>
        <v/>
      </c>
      <c r="P559" s="3">
        <f>IF(ORIG!P559=0,"",ORIG!P559)</f>
        <v/>
      </c>
      <c r="Q559" s="3">
        <f>IF(ORIG!Q559=0,"",ORIG!Q559)</f>
        <v/>
      </c>
      <c r="R559" s="3">
        <f>IF(ORIG!R559=0,"",ORIG!R559)</f>
        <v/>
      </c>
      <c r="S559" s="3">
        <f>IF(ORIG!S559=0,"",ORIG!S559)</f>
        <v/>
      </c>
      <c r="T559" s="3">
        <f>IF(ORIG!T559=0,"",ORIG!T559)</f>
        <v/>
      </c>
      <c r="U559" s="3">
        <f>IF(ORIG!U559=0,"",ORIG!U559)</f>
        <v/>
      </c>
      <c r="V559" s="9">
        <f>IF(ORIG!V559=0,"",ORIG!V559)</f>
        <v/>
      </c>
      <c r="W559" s="9">
        <f>IF(ORIG!W559=0,"",ORIG!W559)</f>
        <v/>
      </c>
      <c r="X559" s="9">
        <f>IF(ORIG!X559=0,"",ORIG!X559)</f>
        <v/>
      </c>
      <c r="Y559" s="9">
        <f>IF(ORIG!Y559=0,"",ORIG!Y559)</f>
        <v/>
      </c>
      <c r="Z559" s="3">
        <f>SUMPRODUCT($B559:$Y559,$B$2649:$Y$2649)</f>
        <v/>
      </c>
      <c r="AA559" s="3">
        <f>SUMPRODUCT($B559:$Y559,$B$2655:$Y$2655)</f>
        <v/>
      </c>
      <c r="AC559" s="1">
        <f>A559</f>
        <v/>
      </c>
      <c r="AD559">
        <f>IF(ISNUMBER(V559),V559*($AB$1/V$2635),"")</f>
        <v/>
      </c>
      <c r="AE559">
        <f>IF(ISNUMBER(Z559),Z559*($AB$1/Z$2635),"")</f>
        <v/>
      </c>
      <c r="AF559" s="25">
        <f>IF(ISNUMBER(AD559+AE559),AD559+AE559,"")</f>
        <v/>
      </c>
      <c r="AH559" s="1">
        <f>A559</f>
        <v/>
      </c>
      <c r="AI559">
        <f>IF(ISNUMBER((1+V559)*AI558),(1+V559)*AI558,AI558)</f>
        <v/>
      </c>
      <c r="AJ559">
        <f>IF(ISNUMBER((1+Z559)*AJ558),(1+Z559)*AJ558,AJ558)</f>
        <v/>
      </c>
    </row>
    <row r="560">
      <c r="A560" s="1" t="n">
        <v>42815</v>
      </c>
      <c r="B560" s="3">
        <f>IF(ORIG!B560=0,"",ORIG!B560)</f>
        <v/>
      </c>
      <c r="C560" s="3">
        <f>IF(ORIG!C560=0,"",ORIG!C560)</f>
        <v/>
      </c>
      <c r="D560" s="3">
        <f>IF(ORIG!D560=0,"",ORIG!D560)</f>
        <v/>
      </c>
      <c r="E560" s="3">
        <f>IF(ORIG!E560=0,"",ORIG!E560)</f>
        <v/>
      </c>
      <c r="F560" s="3">
        <f>IF(ORIG!F560=0,"",ORIG!F560)</f>
        <v/>
      </c>
      <c r="G560" s="3">
        <f>IF(ORIG!G560=0,"",ORIG!G560)</f>
        <v/>
      </c>
      <c r="H560" s="3">
        <f>IF(ORIG!H560=0,"",ORIG!H560)</f>
        <v/>
      </c>
      <c r="I560" s="3">
        <f>IF(ORIG!I560=0,"",ORIG!I560)</f>
        <v/>
      </c>
      <c r="J560" s="3">
        <f>IF(ORIG!J560=0,"",ORIG!J560)</f>
        <v/>
      </c>
      <c r="K560" s="3">
        <f>IF(ORIG!K560=0,"",ORIG!K560)</f>
        <v/>
      </c>
      <c r="L560" s="3">
        <f>IF(ORIG!L560=0,"",ORIG!L560)</f>
        <v/>
      </c>
      <c r="M560" s="3">
        <f>IF(ORIG!M560=0,"",ORIG!M560)</f>
        <v/>
      </c>
      <c r="N560" s="3">
        <f>IF(ORIG!N560=0,"",ORIG!N560)</f>
        <v/>
      </c>
      <c r="O560" s="3">
        <f>IF(ORIG!O560=0,"",ORIG!O560)</f>
        <v/>
      </c>
      <c r="P560" s="3">
        <f>IF(ORIG!P560=0,"",ORIG!P560)</f>
        <v/>
      </c>
      <c r="Q560" s="3">
        <f>IF(ORIG!Q560=0,"",ORIG!Q560)</f>
        <v/>
      </c>
      <c r="R560" s="3">
        <f>IF(ORIG!R560=0,"",ORIG!R560)</f>
        <v/>
      </c>
      <c r="S560" s="3">
        <f>IF(ORIG!S560=0,"",ORIG!S560)</f>
        <v/>
      </c>
      <c r="T560" s="3">
        <f>IF(ORIG!T560=0,"",ORIG!T560)</f>
        <v/>
      </c>
      <c r="U560" s="3">
        <f>IF(ORIG!U560=0,"",ORIG!U560)</f>
        <v/>
      </c>
      <c r="V560" s="9">
        <f>IF(ORIG!V560=0,"",ORIG!V560)</f>
        <v/>
      </c>
      <c r="W560" s="9">
        <f>IF(ORIG!W560=0,"",ORIG!W560)</f>
        <v/>
      </c>
      <c r="X560" s="9">
        <f>IF(ORIG!X560=0,"",ORIG!X560)</f>
        <v/>
      </c>
      <c r="Y560" s="9">
        <f>IF(ORIG!Y560=0,"",ORIG!Y560)</f>
        <v/>
      </c>
      <c r="Z560" s="3">
        <f>SUMPRODUCT($B560:$Y560,$B$2649:$Y$2649)</f>
        <v/>
      </c>
      <c r="AA560" s="3">
        <f>SUMPRODUCT($B560:$Y560,$B$2655:$Y$2655)</f>
        <v/>
      </c>
      <c r="AC560" s="1">
        <f>A560</f>
        <v/>
      </c>
      <c r="AD560">
        <f>IF(ISNUMBER(V560),V560*($AB$1/V$2635),"")</f>
        <v/>
      </c>
      <c r="AE560">
        <f>IF(ISNUMBER(Z560),Z560*($AB$1/Z$2635),"")</f>
        <v/>
      </c>
      <c r="AF560" s="25">
        <f>IF(ISNUMBER(AD560+AE560),AD560+AE560,"")</f>
        <v/>
      </c>
      <c r="AH560" s="1">
        <f>A560</f>
        <v/>
      </c>
      <c r="AI560">
        <f>IF(ISNUMBER((1+V560)*AI559),(1+V560)*AI559,AI559)</f>
        <v/>
      </c>
      <c r="AJ560">
        <f>IF(ISNUMBER((1+Z560)*AJ559),(1+Z560)*AJ559,AJ559)</f>
        <v/>
      </c>
    </row>
    <row r="561">
      <c r="A561" s="1" t="n">
        <v>42816</v>
      </c>
      <c r="B561" s="3">
        <f>IF(ORIG!B561=0,"",ORIG!B561)</f>
        <v/>
      </c>
      <c r="C561" s="3">
        <f>IF(ORIG!C561=0,"",ORIG!C561)</f>
        <v/>
      </c>
      <c r="D561" s="3">
        <f>IF(ORIG!D561=0,"",ORIG!D561)</f>
        <v/>
      </c>
      <c r="E561" s="3">
        <f>IF(ORIG!E561=0,"",ORIG!E561)</f>
        <v/>
      </c>
      <c r="F561" s="3">
        <f>IF(ORIG!F561=0,"",ORIG!F561)</f>
        <v/>
      </c>
      <c r="G561" s="3">
        <f>IF(ORIG!G561=0,"",ORIG!G561)</f>
        <v/>
      </c>
      <c r="H561" s="3">
        <f>IF(ORIG!H561=0,"",ORIG!H561)</f>
        <v/>
      </c>
      <c r="I561" s="3">
        <f>IF(ORIG!I561=0,"",ORIG!I561)</f>
        <v/>
      </c>
      <c r="J561" s="3">
        <f>IF(ORIG!J561=0,"",ORIG!J561)</f>
        <v/>
      </c>
      <c r="K561" s="3">
        <f>IF(ORIG!K561=0,"",ORIG!K561)</f>
        <v/>
      </c>
      <c r="L561" s="3">
        <f>IF(ORIG!L561=0,"",ORIG!L561)</f>
        <v/>
      </c>
      <c r="M561" s="3">
        <f>IF(ORIG!M561=0,"",ORIG!M561)</f>
        <v/>
      </c>
      <c r="N561" s="3">
        <f>IF(ORIG!N561=0,"",ORIG!N561)</f>
        <v/>
      </c>
      <c r="O561" s="3">
        <f>IF(ORIG!O561=0,"",ORIG!O561)</f>
        <v/>
      </c>
      <c r="P561" s="3">
        <f>IF(ORIG!P561=0,"",ORIG!P561)</f>
        <v/>
      </c>
      <c r="Q561" s="3">
        <f>IF(ORIG!Q561=0,"",ORIG!Q561)</f>
        <v/>
      </c>
      <c r="R561" s="3">
        <f>IF(ORIG!R561=0,"",ORIG!R561)</f>
        <v/>
      </c>
      <c r="S561" s="3">
        <f>IF(ORIG!S561=0,"",ORIG!S561)</f>
        <v/>
      </c>
      <c r="T561" s="3">
        <f>IF(ORIG!T561=0,"",ORIG!T561)</f>
        <v/>
      </c>
      <c r="U561" s="3">
        <f>IF(ORIG!U561=0,"",ORIG!U561)</f>
        <v/>
      </c>
      <c r="V561" s="9">
        <f>IF(ORIG!V561=0,"",ORIG!V561)</f>
        <v/>
      </c>
      <c r="W561" s="9">
        <f>IF(ORIG!W561=0,"",ORIG!W561)</f>
        <v/>
      </c>
      <c r="X561" s="9">
        <f>IF(ORIG!X561=0,"",ORIG!X561)</f>
        <v/>
      </c>
      <c r="Y561" s="9">
        <f>IF(ORIG!Y561=0,"",ORIG!Y561)</f>
        <v/>
      </c>
      <c r="Z561" s="3">
        <f>SUMPRODUCT($B561:$Y561,$B$2649:$Y$2649)</f>
        <v/>
      </c>
      <c r="AA561" s="3">
        <f>SUMPRODUCT($B561:$Y561,$B$2655:$Y$2655)</f>
        <v/>
      </c>
      <c r="AC561" s="1">
        <f>A561</f>
        <v/>
      </c>
      <c r="AD561">
        <f>IF(ISNUMBER(V561),V561*($AB$1/V$2635),"")</f>
        <v/>
      </c>
      <c r="AE561">
        <f>IF(ISNUMBER(Z561),Z561*($AB$1/Z$2635),"")</f>
        <v/>
      </c>
      <c r="AF561" s="25">
        <f>IF(ISNUMBER(AD561+AE561),AD561+AE561,"")</f>
        <v/>
      </c>
      <c r="AH561" s="1">
        <f>A561</f>
        <v/>
      </c>
      <c r="AI561">
        <f>IF(ISNUMBER((1+V561)*AI560),(1+V561)*AI560,AI560)</f>
        <v/>
      </c>
      <c r="AJ561">
        <f>IF(ISNUMBER((1+Z561)*AJ560),(1+Z561)*AJ560,AJ560)</f>
        <v/>
      </c>
    </row>
    <row r="562">
      <c r="A562" s="1" t="n">
        <v>42817</v>
      </c>
      <c r="B562" s="3">
        <f>IF(ORIG!B562=0,"",ORIG!B562)</f>
        <v/>
      </c>
      <c r="C562" s="3">
        <f>IF(ORIG!C562=0,"",ORIG!C562)</f>
        <v/>
      </c>
      <c r="D562" s="3">
        <f>IF(ORIG!D562=0,"",ORIG!D562)</f>
        <v/>
      </c>
      <c r="E562" s="3">
        <f>IF(ORIG!E562=0,"",ORIG!E562)</f>
        <v/>
      </c>
      <c r="F562" s="3">
        <f>IF(ORIG!F562=0,"",ORIG!F562)</f>
        <v/>
      </c>
      <c r="G562" s="3">
        <f>IF(ORIG!G562=0,"",ORIG!G562)</f>
        <v/>
      </c>
      <c r="H562" s="3">
        <f>IF(ORIG!H562=0,"",ORIG!H562)</f>
        <v/>
      </c>
      <c r="I562" s="3">
        <f>IF(ORIG!I562=0,"",ORIG!I562)</f>
        <v/>
      </c>
      <c r="J562" s="3">
        <f>IF(ORIG!J562=0,"",ORIG!J562)</f>
        <v/>
      </c>
      <c r="K562" s="3">
        <f>IF(ORIG!K562=0,"",ORIG!K562)</f>
        <v/>
      </c>
      <c r="L562" s="3">
        <f>IF(ORIG!L562=0,"",ORIG!L562)</f>
        <v/>
      </c>
      <c r="M562" s="3">
        <f>IF(ORIG!M562=0,"",ORIG!M562)</f>
        <v/>
      </c>
      <c r="N562" s="3">
        <f>IF(ORIG!N562=0,"",ORIG!N562)</f>
        <v/>
      </c>
      <c r="O562" s="3">
        <f>IF(ORIG!O562=0,"",ORIG!O562)</f>
        <v/>
      </c>
      <c r="P562" s="3">
        <f>IF(ORIG!P562=0,"",ORIG!P562)</f>
        <v/>
      </c>
      <c r="Q562" s="3">
        <f>IF(ORIG!Q562=0,"",ORIG!Q562)</f>
        <v/>
      </c>
      <c r="R562" s="3">
        <f>IF(ORIG!R562=0,"",ORIG!R562)</f>
        <v/>
      </c>
      <c r="S562" s="3">
        <f>IF(ORIG!S562=0,"",ORIG!S562)</f>
        <v/>
      </c>
      <c r="T562" s="3">
        <f>IF(ORIG!T562=0,"",ORIG!T562)</f>
        <v/>
      </c>
      <c r="U562" s="3">
        <f>IF(ORIG!U562=0,"",ORIG!U562)</f>
        <v/>
      </c>
      <c r="V562" s="9">
        <f>IF(ORIG!V562=0,"",ORIG!V562)</f>
        <v/>
      </c>
      <c r="W562" s="9">
        <f>IF(ORIG!W562=0,"",ORIG!W562)</f>
        <v/>
      </c>
      <c r="X562" s="9">
        <f>IF(ORIG!X562=0,"",ORIG!X562)</f>
        <v/>
      </c>
      <c r="Y562" s="9">
        <f>IF(ORIG!Y562=0,"",ORIG!Y562)</f>
        <v/>
      </c>
      <c r="Z562" s="3">
        <f>SUMPRODUCT($B562:$Y562,$B$2649:$Y$2649)</f>
        <v/>
      </c>
      <c r="AA562" s="3">
        <f>SUMPRODUCT($B562:$Y562,$B$2655:$Y$2655)</f>
        <v/>
      </c>
      <c r="AC562" s="1">
        <f>A562</f>
        <v/>
      </c>
      <c r="AD562">
        <f>IF(ISNUMBER(V562),V562*($AB$1/V$2635),"")</f>
        <v/>
      </c>
      <c r="AE562">
        <f>IF(ISNUMBER(Z562),Z562*($AB$1/Z$2635),"")</f>
        <v/>
      </c>
      <c r="AF562" s="25">
        <f>IF(ISNUMBER(AD562+AE562),AD562+AE562,"")</f>
        <v/>
      </c>
      <c r="AH562" s="1">
        <f>A562</f>
        <v/>
      </c>
      <c r="AI562">
        <f>IF(ISNUMBER((1+V562)*AI561),(1+V562)*AI561,AI561)</f>
        <v/>
      </c>
      <c r="AJ562">
        <f>IF(ISNUMBER((1+Z562)*AJ561),(1+Z562)*AJ561,AJ561)</f>
        <v/>
      </c>
    </row>
    <row r="563">
      <c r="A563" s="1" t="n">
        <v>42818</v>
      </c>
      <c r="B563" s="3">
        <f>IF(ORIG!B563=0,"",ORIG!B563)</f>
        <v/>
      </c>
      <c r="C563" s="3">
        <f>IF(ORIG!C563=0,"",ORIG!C563)</f>
        <v/>
      </c>
      <c r="D563" s="3">
        <f>IF(ORIG!D563=0,"",ORIG!D563)</f>
        <v/>
      </c>
      <c r="E563" s="3">
        <f>IF(ORIG!E563=0,"",ORIG!E563)</f>
        <v/>
      </c>
      <c r="F563" s="3">
        <f>IF(ORIG!F563=0,"",ORIG!F563)</f>
        <v/>
      </c>
      <c r="G563" s="3">
        <f>IF(ORIG!G563=0,"",ORIG!G563)</f>
        <v/>
      </c>
      <c r="H563" s="3">
        <f>IF(ORIG!H563=0,"",ORIG!H563)</f>
        <v/>
      </c>
      <c r="I563" s="3">
        <f>IF(ORIG!I563=0,"",ORIG!I563)</f>
        <v/>
      </c>
      <c r="J563" s="3">
        <f>IF(ORIG!J563=0,"",ORIG!J563)</f>
        <v/>
      </c>
      <c r="K563" s="3">
        <f>IF(ORIG!K563=0,"",ORIG!K563)</f>
        <v/>
      </c>
      <c r="L563" s="3">
        <f>IF(ORIG!L563=0,"",ORIG!L563)</f>
        <v/>
      </c>
      <c r="M563" s="3">
        <f>IF(ORIG!M563=0,"",ORIG!M563)</f>
        <v/>
      </c>
      <c r="N563" s="3">
        <f>IF(ORIG!N563=0,"",ORIG!N563)</f>
        <v/>
      </c>
      <c r="O563" s="3">
        <f>IF(ORIG!O563=0,"",ORIG!O563)</f>
        <v/>
      </c>
      <c r="P563" s="3">
        <f>IF(ORIG!P563=0,"",ORIG!P563)</f>
        <v/>
      </c>
      <c r="Q563" s="3">
        <f>IF(ORIG!Q563=0,"",ORIG!Q563)</f>
        <v/>
      </c>
      <c r="R563" s="3">
        <f>IF(ORIG!R563=0,"",ORIG!R563)</f>
        <v/>
      </c>
      <c r="S563" s="3">
        <f>IF(ORIG!S563=0,"",ORIG!S563)</f>
        <v/>
      </c>
      <c r="T563" s="3">
        <f>IF(ORIG!T563=0,"",ORIG!T563)</f>
        <v/>
      </c>
      <c r="U563" s="3">
        <f>IF(ORIG!U563=0,"",ORIG!U563)</f>
        <v/>
      </c>
      <c r="V563" s="9">
        <f>IF(ORIG!V563=0,"",ORIG!V563)</f>
        <v/>
      </c>
      <c r="W563" s="9">
        <f>IF(ORIG!W563=0,"",ORIG!W563)</f>
        <v/>
      </c>
      <c r="X563" s="9">
        <f>IF(ORIG!X563=0,"",ORIG!X563)</f>
        <v/>
      </c>
      <c r="Y563" s="9">
        <f>IF(ORIG!Y563=0,"",ORIG!Y563)</f>
        <v/>
      </c>
      <c r="Z563" s="3">
        <f>SUMPRODUCT($B563:$Y563,$B$2649:$Y$2649)</f>
        <v/>
      </c>
      <c r="AA563" s="3">
        <f>SUMPRODUCT($B563:$Y563,$B$2655:$Y$2655)</f>
        <v/>
      </c>
      <c r="AC563" s="1">
        <f>A563</f>
        <v/>
      </c>
      <c r="AD563">
        <f>IF(ISNUMBER(V563),V563*($AB$1/V$2635),"")</f>
        <v/>
      </c>
      <c r="AE563">
        <f>IF(ISNUMBER(Z563),Z563*($AB$1/Z$2635),"")</f>
        <v/>
      </c>
      <c r="AF563" s="25">
        <f>IF(ISNUMBER(AD563+AE563),AD563+AE563,"")</f>
        <v/>
      </c>
      <c r="AH563" s="1">
        <f>A563</f>
        <v/>
      </c>
      <c r="AI563">
        <f>IF(ISNUMBER((1+V563)*AI562),(1+V563)*AI562,AI562)</f>
        <v/>
      </c>
      <c r="AJ563">
        <f>IF(ISNUMBER((1+Z563)*AJ562),(1+Z563)*AJ562,AJ562)</f>
        <v/>
      </c>
    </row>
    <row r="564">
      <c r="A564" s="1" t="n">
        <v>42821</v>
      </c>
      <c r="B564" s="3">
        <f>IF(ORIG!B564=0,"",ORIG!B564)</f>
        <v/>
      </c>
      <c r="C564" s="3">
        <f>IF(ORIG!C564=0,"",ORIG!C564)</f>
        <v/>
      </c>
      <c r="D564" s="3">
        <f>IF(ORIG!D564=0,"",ORIG!D564)</f>
        <v/>
      </c>
      <c r="E564" s="3">
        <f>IF(ORIG!E564=0,"",ORIG!E564)</f>
        <v/>
      </c>
      <c r="F564" s="3">
        <f>IF(ORIG!F564=0,"",ORIG!F564)</f>
        <v/>
      </c>
      <c r="G564" s="3">
        <f>IF(ORIG!G564=0,"",ORIG!G564)</f>
        <v/>
      </c>
      <c r="H564" s="3">
        <f>IF(ORIG!H564=0,"",ORIG!H564)</f>
        <v/>
      </c>
      <c r="I564" s="3">
        <f>IF(ORIG!I564=0,"",ORIG!I564)</f>
        <v/>
      </c>
      <c r="J564" s="3">
        <f>IF(ORIG!J564=0,"",ORIG!J564)</f>
        <v/>
      </c>
      <c r="K564" s="3">
        <f>IF(ORIG!K564=0,"",ORIG!K564)</f>
        <v/>
      </c>
      <c r="L564" s="3">
        <f>IF(ORIG!L564=0,"",ORIG!L564)</f>
        <v/>
      </c>
      <c r="M564" s="3">
        <f>IF(ORIG!M564=0,"",ORIG!M564)</f>
        <v/>
      </c>
      <c r="N564" s="3">
        <f>IF(ORIG!N564=0,"",ORIG!N564)</f>
        <v/>
      </c>
      <c r="O564" s="3">
        <f>IF(ORIG!O564=0,"",ORIG!O564)</f>
        <v/>
      </c>
      <c r="P564" s="3">
        <f>IF(ORIG!P564=0,"",ORIG!P564)</f>
        <v/>
      </c>
      <c r="Q564" s="3">
        <f>IF(ORIG!Q564=0,"",ORIG!Q564)</f>
        <v/>
      </c>
      <c r="R564" s="3">
        <f>IF(ORIG!R564=0,"",ORIG!R564)</f>
        <v/>
      </c>
      <c r="S564" s="3">
        <f>IF(ORIG!S564=0,"",ORIG!S564)</f>
        <v/>
      </c>
      <c r="T564" s="3">
        <f>IF(ORIG!T564=0,"",ORIG!T564)</f>
        <v/>
      </c>
      <c r="U564" s="3">
        <f>IF(ORIG!U564=0,"",ORIG!U564)</f>
        <v/>
      </c>
      <c r="V564" s="9">
        <f>IF(ORIG!V564=0,"",ORIG!V564)</f>
        <v/>
      </c>
      <c r="W564" s="9">
        <f>IF(ORIG!W564=0,"",ORIG!W564)</f>
        <v/>
      </c>
      <c r="X564" s="9">
        <f>IF(ORIG!X564=0,"",ORIG!X564)</f>
        <v/>
      </c>
      <c r="Y564" s="9">
        <f>IF(ORIG!Y564=0,"",ORIG!Y564)</f>
        <v/>
      </c>
      <c r="Z564" s="3">
        <f>SUMPRODUCT($B564:$Y564,$B$2649:$Y$2649)</f>
        <v/>
      </c>
      <c r="AA564" s="3">
        <f>SUMPRODUCT($B564:$Y564,$B$2655:$Y$2655)</f>
        <v/>
      </c>
      <c r="AC564" s="1">
        <f>A564</f>
        <v/>
      </c>
      <c r="AD564">
        <f>IF(ISNUMBER(V564),V564*($AB$1/V$2635),"")</f>
        <v/>
      </c>
      <c r="AE564">
        <f>IF(ISNUMBER(Z564),Z564*($AB$1/Z$2635),"")</f>
        <v/>
      </c>
      <c r="AF564" s="25">
        <f>IF(ISNUMBER(AD564+AE564),AD564+AE564,"")</f>
        <v/>
      </c>
      <c r="AH564" s="1">
        <f>A564</f>
        <v/>
      </c>
      <c r="AI564">
        <f>IF(ISNUMBER((1+V564)*AI563),(1+V564)*AI563,AI563)</f>
        <v/>
      </c>
      <c r="AJ564">
        <f>IF(ISNUMBER((1+Z564)*AJ563),(1+Z564)*AJ563,AJ563)</f>
        <v/>
      </c>
    </row>
    <row r="565">
      <c r="A565" s="1" t="n">
        <v>42822</v>
      </c>
      <c r="B565" s="3">
        <f>IF(ORIG!B565=0,"",ORIG!B565)</f>
        <v/>
      </c>
      <c r="C565" s="3">
        <f>IF(ORIG!C565=0,"",ORIG!C565)</f>
        <v/>
      </c>
      <c r="D565" s="3">
        <f>IF(ORIG!D565=0,"",ORIG!D565)</f>
        <v/>
      </c>
      <c r="E565" s="3">
        <f>IF(ORIG!E565=0,"",ORIG!E565)</f>
        <v/>
      </c>
      <c r="F565" s="3">
        <f>IF(ORIG!F565=0,"",ORIG!F565)</f>
        <v/>
      </c>
      <c r="G565" s="3">
        <f>IF(ORIG!G565=0,"",ORIG!G565)</f>
        <v/>
      </c>
      <c r="H565" s="3">
        <f>IF(ORIG!H565=0,"",ORIG!H565)</f>
        <v/>
      </c>
      <c r="I565" s="3">
        <f>IF(ORIG!I565=0,"",ORIG!I565)</f>
        <v/>
      </c>
      <c r="J565" s="3">
        <f>IF(ORIG!J565=0,"",ORIG!J565)</f>
        <v/>
      </c>
      <c r="K565" s="3">
        <f>IF(ORIG!K565=0,"",ORIG!K565)</f>
        <v/>
      </c>
      <c r="L565" s="3">
        <f>IF(ORIG!L565=0,"",ORIG!L565)</f>
        <v/>
      </c>
      <c r="M565" s="3">
        <f>IF(ORIG!M565=0,"",ORIG!M565)</f>
        <v/>
      </c>
      <c r="N565" s="3">
        <f>IF(ORIG!N565=0,"",ORIG!N565)</f>
        <v/>
      </c>
      <c r="O565" s="3">
        <f>IF(ORIG!O565=0,"",ORIG!O565)</f>
        <v/>
      </c>
      <c r="P565" s="3">
        <f>IF(ORIG!P565=0,"",ORIG!P565)</f>
        <v/>
      </c>
      <c r="Q565" s="3">
        <f>IF(ORIG!Q565=0,"",ORIG!Q565)</f>
        <v/>
      </c>
      <c r="R565" s="3">
        <f>IF(ORIG!R565=0,"",ORIG!R565)</f>
        <v/>
      </c>
      <c r="S565" s="3">
        <f>IF(ORIG!S565=0,"",ORIG!S565)</f>
        <v/>
      </c>
      <c r="T565" s="3">
        <f>IF(ORIG!T565=0,"",ORIG!T565)</f>
        <v/>
      </c>
      <c r="U565" s="3">
        <f>IF(ORIG!U565=0,"",ORIG!U565)</f>
        <v/>
      </c>
      <c r="V565" s="9">
        <f>IF(ORIG!V565=0,"",ORIG!V565)</f>
        <v/>
      </c>
      <c r="W565" s="9">
        <f>IF(ORIG!W565=0,"",ORIG!W565)</f>
        <v/>
      </c>
      <c r="X565" s="9">
        <f>IF(ORIG!X565=0,"",ORIG!X565)</f>
        <v/>
      </c>
      <c r="Y565" s="9">
        <f>IF(ORIG!Y565=0,"",ORIG!Y565)</f>
        <v/>
      </c>
      <c r="Z565" s="3">
        <f>SUMPRODUCT($B565:$Y565,$B$2649:$Y$2649)</f>
        <v/>
      </c>
      <c r="AA565" s="3">
        <f>SUMPRODUCT($B565:$Y565,$B$2655:$Y$2655)</f>
        <v/>
      </c>
      <c r="AC565" s="1">
        <f>A565</f>
        <v/>
      </c>
      <c r="AD565">
        <f>IF(ISNUMBER(V565),V565*($AB$1/V$2635),"")</f>
        <v/>
      </c>
      <c r="AE565">
        <f>IF(ISNUMBER(Z565),Z565*($AB$1/Z$2635),"")</f>
        <v/>
      </c>
      <c r="AF565" s="25">
        <f>IF(ISNUMBER(AD565+AE565),AD565+AE565,"")</f>
        <v/>
      </c>
      <c r="AH565" s="1">
        <f>A565</f>
        <v/>
      </c>
      <c r="AI565">
        <f>IF(ISNUMBER((1+V565)*AI564),(1+V565)*AI564,AI564)</f>
        <v/>
      </c>
      <c r="AJ565">
        <f>IF(ISNUMBER((1+Z565)*AJ564),(1+Z565)*AJ564,AJ564)</f>
        <v/>
      </c>
    </row>
    <row r="566">
      <c r="A566" s="1" t="n">
        <v>42823</v>
      </c>
      <c r="B566" s="3">
        <f>IF(ORIG!B566=0,"",ORIG!B566)</f>
        <v/>
      </c>
      <c r="C566" s="3">
        <f>IF(ORIG!C566=0,"",ORIG!C566)</f>
        <v/>
      </c>
      <c r="D566" s="3">
        <f>IF(ORIG!D566=0,"",ORIG!D566)</f>
        <v/>
      </c>
      <c r="E566" s="3">
        <f>IF(ORIG!E566=0,"",ORIG!E566)</f>
        <v/>
      </c>
      <c r="F566" s="3">
        <f>IF(ORIG!F566=0,"",ORIG!F566)</f>
        <v/>
      </c>
      <c r="G566" s="3">
        <f>IF(ORIG!G566=0,"",ORIG!G566)</f>
        <v/>
      </c>
      <c r="H566" s="3">
        <f>IF(ORIG!H566=0,"",ORIG!H566)</f>
        <v/>
      </c>
      <c r="I566" s="3">
        <f>IF(ORIG!I566=0,"",ORIG!I566)</f>
        <v/>
      </c>
      <c r="J566" s="3">
        <f>IF(ORIG!J566=0,"",ORIG!J566)</f>
        <v/>
      </c>
      <c r="K566" s="3">
        <f>IF(ORIG!K566=0,"",ORIG!K566)</f>
        <v/>
      </c>
      <c r="L566" s="3">
        <f>IF(ORIG!L566=0,"",ORIG!L566)</f>
        <v/>
      </c>
      <c r="M566" s="3">
        <f>IF(ORIG!M566=0,"",ORIG!M566)</f>
        <v/>
      </c>
      <c r="N566" s="3">
        <f>IF(ORIG!N566=0,"",ORIG!N566)</f>
        <v/>
      </c>
      <c r="O566" s="3">
        <f>IF(ORIG!O566=0,"",ORIG!O566)</f>
        <v/>
      </c>
      <c r="P566" s="3">
        <f>IF(ORIG!P566=0,"",ORIG!P566)</f>
        <v/>
      </c>
      <c r="Q566" s="3">
        <f>IF(ORIG!Q566=0,"",ORIG!Q566)</f>
        <v/>
      </c>
      <c r="R566" s="3">
        <f>IF(ORIG!R566=0,"",ORIG!R566)</f>
        <v/>
      </c>
      <c r="S566" s="3">
        <f>IF(ORIG!S566=0,"",ORIG!S566)</f>
        <v/>
      </c>
      <c r="T566" s="3">
        <f>IF(ORIG!T566=0,"",ORIG!T566)</f>
        <v/>
      </c>
      <c r="U566" s="3">
        <f>IF(ORIG!U566=0,"",ORIG!U566)</f>
        <v/>
      </c>
      <c r="V566" s="9">
        <f>IF(ORIG!V566=0,"",ORIG!V566)</f>
        <v/>
      </c>
      <c r="W566" s="9">
        <f>IF(ORIG!W566=0,"",ORIG!W566)</f>
        <v/>
      </c>
      <c r="X566" s="9">
        <f>IF(ORIG!X566=0,"",ORIG!X566)</f>
        <v/>
      </c>
      <c r="Y566" s="9">
        <f>IF(ORIG!Y566=0,"",ORIG!Y566)</f>
        <v/>
      </c>
      <c r="Z566" s="3">
        <f>SUMPRODUCT($B566:$Y566,$B$2649:$Y$2649)</f>
        <v/>
      </c>
      <c r="AA566" s="3">
        <f>SUMPRODUCT($B566:$Y566,$B$2655:$Y$2655)</f>
        <v/>
      </c>
      <c r="AC566" s="1">
        <f>A566</f>
        <v/>
      </c>
      <c r="AD566">
        <f>IF(ISNUMBER(V566),V566*($AB$1/V$2635),"")</f>
        <v/>
      </c>
      <c r="AE566">
        <f>IF(ISNUMBER(Z566),Z566*($AB$1/Z$2635),"")</f>
        <v/>
      </c>
      <c r="AF566" s="25">
        <f>IF(ISNUMBER(AD566+AE566),AD566+AE566,"")</f>
        <v/>
      </c>
      <c r="AH566" s="1">
        <f>A566</f>
        <v/>
      </c>
      <c r="AI566">
        <f>IF(ISNUMBER((1+V566)*AI565),(1+V566)*AI565,AI565)</f>
        <v/>
      </c>
      <c r="AJ566">
        <f>IF(ISNUMBER((1+Z566)*AJ565),(1+Z566)*AJ565,AJ565)</f>
        <v/>
      </c>
    </row>
    <row r="567">
      <c r="A567" s="1" t="n">
        <v>42824</v>
      </c>
      <c r="B567" s="3">
        <f>IF(ORIG!B567=0,"",ORIG!B567)</f>
        <v/>
      </c>
      <c r="C567" s="3">
        <f>IF(ORIG!C567=0,"",ORIG!C567)</f>
        <v/>
      </c>
      <c r="D567" s="3">
        <f>IF(ORIG!D567=0,"",ORIG!D567)</f>
        <v/>
      </c>
      <c r="E567" s="3">
        <f>IF(ORIG!E567=0,"",ORIG!E567)</f>
        <v/>
      </c>
      <c r="F567" s="3">
        <f>IF(ORIG!F567=0,"",ORIG!F567)</f>
        <v/>
      </c>
      <c r="G567" s="3">
        <f>IF(ORIG!G567=0,"",ORIG!G567)</f>
        <v/>
      </c>
      <c r="H567" s="3">
        <f>IF(ORIG!H567=0,"",ORIG!H567)</f>
        <v/>
      </c>
      <c r="I567" s="3">
        <f>IF(ORIG!I567=0,"",ORIG!I567)</f>
        <v/>
      </c>
      <c r="J567" s="3">
        <f>IF(ORIG!J567=0,"",ORIG!J567)</f>
        <v/>
      </c>
      <c r="K567" s="3">
        <f>IF(ORIG!K567=0,"",ORIG!K567)</f>
        <v/>
      </c>
      <c r="L567" s="3">
        <f>IF(ORIG!L567=0,"",ORIG!L567)</f>
        <v/>
      </c>
      <c r="M567" s="3">
        <f>IF(ORIG!M567=0,"",ORIG!M567)</f>
        <v/>
      </c>
      <c r="N567" s="3">
        <f>IF(ORIG!N567=0,"",ORIG!N567)</f>
        <v/>
      </c>
      <c r="O567" s="3">
        <f>IF(ORIG!O567=0,"",ORIG!O567)</f>
        <v/>
      </c>
      <c r="P567" s="3">
        <f>IF(ORIG!P567=0,"",ORIG!P567)</f>
        <v/>
      </c>
      <c r="Q567" s="3">
        <f>IF(ORIG!Q567=0,"",ORIG!Q567)</f>
        <v/>
      </c>
      <c r="R567" s="3">
        <f>IF(ORIG!R567=0,"",ORIG!R567)</f>
        <v/>
      </c>
      <c r="S567" s="3">
        <f>IF(ORIG!S567=0,"",ORIG!S567)</f>
        <v/>
      </c>
      <c r="T567" s="3">
        <f>IF(ORIG!T567=0,"",ORIG!T567)</f>
        <v/>
      </c>
      <c r="U567" s="3">
        <f>IF(ORIG!U567=0,"",ORIG!U567)</f>
        <v/>
      </c>
      <c r="V567" s="9">
        <f>IF(ORIG!V567=0,"",ORIG!V567)</f>
        <v/>
      </c>
      <c r="W567" s="9">
        <f>IF(ORIG!W567=0,"",ORIG!W567)</f>
        <v/>
      </c>
      <c r="X567" s="9">
        <f>IF(ORIG!X567=0,"",ORIG!X567)</f>
        <v/>
      </c>
      <c r="Y567" s="9">
        <f>IF(ORIG!Y567=0,"",ORIG!Y567)</f>
        <v/>
      </c>
      <c r="Z567" s="3">
        <f>SUMPRODUCT($B567:$Y567,$B$2649:$Y$2649)</f>
        <v/>
      </c>
      <c r="AA567" s="3">
        <f>SUMPRODUCT($B567:$Y567,$B$2655:$Y$2655)</f>
        <v/>
      </c>
      <c r="AC567" s="1">
        <f>A567</f>
        <v/>
      </c>
      <c r="AD567">
        <f>IF(ISNUMBER(V567),V567*($AB$1/V$2635),"")</f>
        <v/>
      </c>
      <c r="AE567">
        <f>IF(ISNUMBER(Z567),Z567*($AB$1/Z$2635),"")</f>
        <v/>
      </c>
      <c r="AF567" s="25">
        <f>IF(ISNUMBER(AD567+AE567),AD567+AE567,"")</f>
        <v/>
      </c>
      <c r="AH567" s="1">
        <f>A567</f>
        <v/>
      </c>
      <c r="AI567">
        <f>IF(ISNUMBER((1+V567)*AI566),(1+V567)*AI566,AI566)</f>
        <v/>
      </c>
      <c r="AJ567">
        <f>IF(ISNUMBER((1+Z567)*AJ566),(1+Z567)*AJ566,AJ566)</f>
        <v/>
      </c>
    </row>
    <row r="568">
      <c r="A568" s="1" t="n">
        <v>42825</v>
      </c>
      <c r="B568" s="3">
        <f>IF(ORIG!B568=0,"",ORIG!B568)</f>
        <v/>
      </c>
      <c r="C568" s="3">
        <f>IF(ORIG!C568=0,"",ORIG!C568)</f>
        <v/>
      </c>
      <c r="D568" s="3">
        <f>IF(ORIG!D568=0,"",ORIG!D568)</f>
        <v/>
      </c>
      <c r="E568" s="3">
        <f>IF(ORIG!E568=0,"",ORIG!E568)</f>
        <v/>
      </c>
      <c r="F568" s="3">
        <f>IF(ORIG!F568=0,"",ORIG!F568)</f>
        <v/>
      </c>
      <c r="G568" s="3">
        <f>IF(ORIG!G568=0,"",ORIG!G568)</f>
        <v/>
      </c>
      <c r="H568" s="3">
        <f>IF(ORIG!H568=0,"",ORIG!H568)</f>
        <v/>
      </c>
      <c r="I568" s="3">
        <f>IF(ORIG!I568=0,"",ORIG!I568)</f>
        <v/>
      </c>
      <c r="J568" s="3">
        <f>IF(ORIG!J568=0,"",ORIG!J568)</f>
        <v/>
      </c>
      <c r="K568" s="3">
        <f>IF(ORIG!K568=0,"",ORIG!K568)</f>
        <v/>
      </c>
      <c r="L568" s="3">
        <f>IF(ORIG!L568=0,"",ORIG!L568)</f>
        <v/>
      </c>
      <c r="M568" s="3">
        <f>IF(ORIG!M568=0,"",ORIG!M568)</f>
        <v/>
      </c>
      <c r="N568" s="3">
        <f>IF(ORIG!N568=0,"",ORIG!N568)</f>
        <v/>
      </c>
      <c r="O568" s="3">
        <f>IF(ORIG!O568=0,"",ORIG!O568)</f>
        <v/>
      </c>
      <c r="P568" s="3">
        <f>IF(ORIG!P568=0,"",ORIG!P568)</f>
        <v/>
      </c>
      <c r="Q568" s="3">
        <f>IF(ORIG!Q568=0,"",ORIG!Q568)</f>
        <v/>
      </c>
      <c r="R568" s="3">
        <f>IF(ORIG!R568=0,"",ORIG!R568)</f>
        <v/>
      </c>
      <c r="S568" s="3">
        <f>IF(ORIG!S568=0,"",ORIG!S568)</f>
        <v/>
      </c>
      <c r="T568" s="3">
        <f>IF(ORIG!T568=0,"",ORIG!T568)</f>
        <v/>
      </c>
      <c r="U568" s="3">
        <f>IF(ORIG!U568=0,"",ORIG!U568)</f>
        <v/>
      </c>
      <c r="V568" s="9">
        <f>IF(ORIG!V568=0,"",ORIG!V568)</f>
        <v/>
      </c>
      <c r="W568" s="9">
        <f>IF(ORIG!W568=0,"",ORIG!W568)</f>
        <v/>
      </c>
      <c r="X568" s="9">
        <f>IF(ORIG!X568=0,"",ORIG!X568)</f>
        <v/>
      </c>
      <c r="Y568" s="9">
        <f>IF(ORIG!Y568=0,"",ORIG!Y568)</f>
        <v/>
      </c>
      <c r="Z568" s="3">
        <f>SUMPRODUCT($B568:$Y568,$B$2649:$Y$2649)</f>
        <v/>
      </c>
      <c r="AA568" s="3">
        <f>SUMPRODUCT($B568:$Y568,$B$2655:$Y$2655)</f>
        <v/>
      </c>
      <c r="AC568" s="1">
        <f>A568</f>
        <v/>
      </c>
      <c r="AD568">
        <f>IF(ISNUMBER(V568),V568*($AB$1/V$2635),"")</f>
        <v/>
      </c>
      <c r="AE568">
        <f>IF(ISNUMBER(Z568),Z568*($AB$1/Z$2635),"")</f>
        <v/>
      </c>
      <c r="AF568" s="25">
        <f>IF(ISNUMBER(AD568+AE568),AD568+AE568,"")</f>
        <v/>
      </c>
      <c r="AH568" s="1">
        <f>A568</f>
        <v/>
      </c>
      <c r="AI568">
        <f>IF(ISNUMBER((1+V568)*AI567),(1+V568)*AI567,AI567)</f>
        <v/>
      </c>
      <c r="AJ568">
        <f>IF(ISNUMBER((1+Z568)*AJ567),(1+Z568)*AJ567,AJ567)</f>
        <v/>
      </c>
    </row>
    <row r="569">
      <c r="A569" s="1" t="n">
        <v>42828</v>
      </c>
      <c r="B569" s="3">
        <f>IF(ORIG!B569=0,"",ORIG!B569)</f>
        <v/>
      </c>
      <c r="C569" s="3">
        <f>IF(ORIG!C569=0,"",ORIG!C569)</f>
        <v/>
      </c>
      <c r="D569" s="3">
        <f>IF(ORIG!D569=0,"",ORIG!D569)</f>
        <v/>
      </c>
      <c r="E569" s="3">
        <f>IF(ORIG!E569=0,"",ORIG!E569)</f>
        <v/>
      </c>
      <c r="F569" s="3">
        <f>IF(ORIG!F569=0,"",ORIG!F569)</f>
        <v/>
      </c>
      <c r="G569" s="3">
        <f>IF(ORIG!G569=0,"",ORIG!G569)</f>
        <v/>
      </c>
      <c r="H569" s="3">
        <f>IF(ORIG!H569=0,"",ORIG!H569)</f>
        <v/>
      </c>
      <c r="I569" s="3">
        <f>IF(ORIG!I569=0,"",ORIG!I569)</f>
        <v/>
      </c>
      <c r="J569" s="3">
        <f>IF(ORIG!J569=0,"",ORIG!J569)</f>
        <v/>
      </c>
      <c r="K569" s="3">
        <f>IF(ORIG!K569=0,"",ORIG!K569)</f>
        <v/>
      </c>
      <c r="L569" s="3">
        <f>IF(ORIG!L569=0,"",ORIG!L569)</f>
        <v/>
      </c>
      <c r="M569" s="3">
        <f>IF(ORIG!M569=0,"",ORIG!M569)</f>
        <v/>
      </c>
      <c r="N569" s="3">
        <f>IF(ORIG!N569=0,"",ORIG!N569)</f>
        <v/>
      </c>
      <c r="O569" s="3">
        <f>IF(ORIG!O569=0,"",ORIG!O569)</f>
        <v/>
      </c>
      <c r="P569" s="3">
        <f>IF(ORIG!P569=0,"",ORIG!P569)</f>
        <v/>
      </c>
      <c r="Q569" s="3">
        <f>IF(ORIG!Q569=0,"",ORIG!Q569)</f>
        <v/>
      </c>
      <c r="R569" s="3">
        <f>IF(ORIG!R569=0,"",ORIG!R569)</f>
        <v/>
      </c>
      <c r="S569" s="3">
        <f>IF(ORIG!S569=0,"",ORIG!S569)</f>
        <v/>
      </c>
      <c r="T569" s="3">
        <f>IF(ORIG!T569=0,"",ORIG!T569)</f>
        <v/>
      </c>
      <c r="U569" s="3">
        <f>IF(ORIG!U569=0,"",ORIG!U569)</f>
        <v/>
      </c>
      <c r="V569" s="9">
        <f>IF(ORIG!V569=0,"",ORIG!V569)</f>
        <v/>
      </c>
      <c r="W569" s="9">
        <f>IF(ORIG!W569=0,"",ORIG!W569)</f>
        <v/>
      </c>
      <c r="X569" s="9">
        <f>IF(ORIG!X569=0,"",ORIG!X569)</f>
        <v/>
      </c>
      <c r="Y569" s="9">
        <f>IF(ORIG!Y569=0,"",ORIG!Y569)</f>
        <v/>
      </c>
      <c r="Z569" s="3">
        <f>SUMPRODUCT($B569:$Y569,$B$2649:$Y$2649)</f>
        <v/>
      </c>
      <c r="AA569" s="3">
        <f>SUMPRODUCT($B569:$Y569,$B$2655:$Y$2655)</f>
        <v/>
      </c>
      <c r="AC569" s="1">
        <f>A569</f>
        <v/>
      </c>
      <c r="AD569">
        <f>IF(ISNUMBER(V569),V569*($AB$1/V$2635),"")</f>
        <v/>
      </c>
      <c r="AE569">
        <f>IF(ISNUMBER(Z569),Z569*($AB$1/Z$2635),"")</f>
        <v/>
      </c>
      <c r="AF569" s="25">
        <f>IF(ISNUMBER(AD569+AE569),AD569+AE569,"")</f>
        <v/>
      </c>
      <c r="AH569" s="1">
        <f>A569</f>
        <v/>
      </c>
      <c r="AI569">
        <f>IF(ISNUMBER((1+V569)*AI568),(1+V569)*AI568,AI568)</f>
        <v/>
      </c>
      <c r="AJ569">
        <f>IF(ISNUMBER((1+Z569)*AJ568),(1+Z569)*AJ568,AJ568)</f>
        <v/>
      </c>
    </row>
    <row r="570">
      <c r="A570" s="1" t="n">
        <v>42829</v>
      </c>
      <c r="B570" s="3">
        <f>IF(ORIG!B570=0,"",ORIG!B570)</f>
        <v/>
      </c>
      <c r="C570" s="3">
        <f>IF(ORIG!C570=0,"",ORIG!C570)</f>
        <v/>
      </c>
      <c r="D570" s="3">
        <f>IF(ORIG!D570=0,"",ORIG!D570)</f>
        <v/>
      </c>
      <c r="E570" s="3">
        <f>IF(ORIG!E570=0,"",ORIG!E570)</f>
        <v/>
      </c>
      <c r="F570" s="3">
        <f>IF(ORIG!F570=0,"",ORIG!F570)</f>
        <v/>
      </c>
      <c r="G570" s="3">
        <f>IF(ORIG!G570=0,"",ORIG!G570)</f>
        <v/>
      </c>
      <c r="H570" s="3">
        <f>IF(ORIG!H570=0,"",ORIG!H570)</f>
        <v/>
      </c>
      <c r="I570" s="3">
        <f>IF(ORIG!I570=0,"",ORIG!I570)</f>
        <v/>
      </c>
      <c r="J570" s="3">
        <f>IF(ORIG!J570=0,"",ORIG!J570)</f>
        <v/>
      </c>
      <c r="K570" s="3">
        <f>IF(ORIG!K570=0,"",ORIG!K570)</f>
        <v/>
      </c>
      <c r="L570" s="3">
        <f>IF(ORIG!L570=0,"",ORIG!L570)</f>
        <v/>
      </c>
      <c r="M570" s="3">
        <f>IF(ORIG!M570=0,"",ORIG!M570)</f>
        <v/>
      </c>
      <c r="N570" s="3">
        <f>IF(ORIG!N570=0,"",ORIG!N570)</f>
        <v/>
      </c>
      <c r="O570" s="3">
        <f>IF(ORIG!O570=0,"",ORIG!O570)</f>
        <v/>
      </c>
      <c r="P570" s="3">
        <f>IF(ORIG!P570=0,"",ORIG!P570)</f>
        <v/>
      </c>
      <c r="Q570" s="3">
        <f>IF(ORIG!Q570=0,"",ORIG!Q570)</f>
        <v/>
      </c>
      <c r="R570" s="3">
        <f>IF(ORIG!R570=0,"",ORIG!R570)</f>
        <v/>
      </c>
      <c r="S570" s="3">
        <f>IF(ORIG!S570=0,"",ORIG!S570)</f>
        <v/>
      </c>
      <c r="T570" s="3">
        <f>IF(ORIG!T570=0,"",ORIG!T570)</f>
        <v/>
      </c>
      <c r="U570" s="3">
        <f>IF(ORIG!U570=0,"",ORIG!U570)</f>
        <v/>
      </c>
      <c r="V570" s="9">
        <f>IF(ORIG!V570=0,"",ORIG!V570)</f>
        <v/>
      </c>
      <c r="W570" s="9">
        <f>IF(ORIG!W570=0,"",ORIG!W570)</f>
        <v/>
      </c>
      <c r="X570" s="9">
        <f>IF(ORIG!X570=0,"",ORIG!X570)</f>
        <v/>
      </c>
      <c r="Y570" s="9">
        <f>IF(ORIG!Y570=0,"",ORIG!Y570)</f>
        <v/>
      </c>
      <c r="Z570" s="3">
        <f>SUMPRODUCT($B570:$Y570,$B$2649:$Y$2649)</f>
        <v/>
      </c>
      <c r="AA570" s="3">
        <f>SUMPRODUCT($B570:$Y570,$B$2655:$Y$2655)</f>
        <v/>
      </c>
      <c r="AC570" s="1">
        <f>A570</f>
        <v/>
      </c>
      <c r="AD570">
        <f>IF(ISNUMBER(V570),V570*($AB$1/V$2635),"")</f>
        <v/>
      </c>
      <c r="AE570">
        <f>IF(ISNUMBER(Z570),Z570*($AB$1/Z$2635),"")</f>
        <v/>
      </c>
      <c r="AF570" s="25">
        <f>IF(ISNUMBER(AD570+AE570),AD570+AE570,"")</f>
        <v/>
      </c>
      <c r="AH570" s="1">
        <f>A570</f>
        <v/>
      </c>
      <c r="AI570">
        <f>IF(ISNUMBER((1+V570)*AI569),(1+V570)*AI569,AI569)</f>
        <v/>
      </c>
      <c r="AJ570">
        <f>IF(ISNUMBER((1+Z570)*AJ569),(1+Z570)*AJ569,AJ569)</f>
        <v/>
      </c>
    </row>
    <row r="571">
      <c r="A571" s="1" t="n">
        <v>42830</v>
      </c>
      <c r="B571" s="3">
        <f>IF(ORIG!B571=0,"",ORIG!B571)</f>
        <v/>
      </c>
      <c r="C571" s="3">
        <f>IF(ORIG!C571=0,"",ORIG!C571)</f>
        <v/>
      </c>
      <c r="D571" s="3">
        <f>IF(ORIG!D571=0,"",ORIG!D571)</f>
        <v/>
      </c>
      <c r="E571" s="3">
        <f>IF(ORIG!E571=0,"",ORIG!E571)</f>
        <v/>
      </c>
      <c r="F571" s="3">
        <f>IF(ORIG!F571=0,"",ORIG!F571)</f>
        <v/>
      </c>
      <c r="G571" s="3">
        <f>IF(ORIG!G571=0,"",ORIG!G571)</f>
        <v/>
      </c>
      <c r="H571" s="3">
        <f>IF(ORIG!H571=0,"",ORIG!H571)</f>
        <v/>
      </c>
      <c r="I571" s="3">
        <f>IF(ORIG!I571=0,"",ORIG!I571)</f>
        <v/>
      </c>
      <c r="J571" s="3">
        <f>IF(ORIG!J571=0,"",ORIG!J571)</f>
        <v/>
      </c>
      <c r="K571" s="3">
        <f>IF(ORIG!K571=0,"",ORIG!K571)</f>
        <v/>
      </c>
      <c r="L571" s="3">
        <f>IF(ORIG!L571=0,"",ORIG!L571)</f>
        <v/>
      </c>
      <c r="M571" s="3">
        <f>IF(ORIG!M571=0,"",ORIG!M571)</f>
        <v/>
      </c>
      <c r="N571" s="3">
        <f>IF(ORIG!N571=0,"",ORIG!N571)</f>
        <v/>
      </c>
      <c r="O571" s="3">
        <f>IF(ORIG!O571=0,"",ORIG!O571)</f>
        <v/>
      </c>
      <c r="P571" s="3">
        <f>IF(ORIG!P571=0,"",ORIG!P571)</f>
        <v/>
      </c>
      <c r="Q571" s="3">
        <f>IF(ORIG!Q571=0,"",ORIG!Q571)</f>
        <v/>
      </c>
      <c r="R571" s="3">
        <f>IF(ORIG!R571=0,"",ORIG!R571)</f>
        <v/>
      </c>
      <c r="S571" s="3">
        <f>IF(ORIG!S571=0,"",ORIG!S571)</f>
        <v/>
      </c>
      <c r="T571" s="3">
        <f>IF(ORIG!T571=0,"",ORIG!T571)</f>
        <v/>
      </c>
      <c r="U571" s="3">
        <f>IF(ORIG!U571=0,"",ORIG!U571)</f>
        <v/>
      </c>
      <c r="V571" s="9">
        <f>IF(ORIG!V571=0,"",ORIG!V571)</f>
        <v/>
      </c>
      <c r="W571" s="9">
        <f>IF(ORIG!W571=0,"",ORIG!W571)</f>
        <v/>
      </c>
      <c r="X571" s="9">
        <f>IF(ORIG!X571=0,"",ORIG!X571)</f>
        <v/>
      </c>
      <c r="Y571" s="9">
        <f>IF(ORIG!Y571=0,"",ORIG!Y571)</f>
        <v/>
      </c>
      <c r="Z571" s="3">
        <f>SUMPRODUCT($B571:$Y571,$B$2649:$Y$2649)</f>
        <v/>
      </c>
      <c r="AA571" s="3">
        <f>SUMPRODUCT($B571:$Y571,$B$2655:$Y$2655)</f>
        <v/>
      </c>
      <c r="AC571" s="1">
        <f>A571</f>
        <v/>
      </c>
      <c r="AD571">
        <f>IF(ISNUMBER(V571),V571*($AB$1/V$2635),"")</f>
        <v/>
      </c>
      <c r="AE571">
        <f>IF(ISNUMBER(Z571),Z571*($AB$1/Z$2635),"")</f>
        <v/>
      </c>
      <c r="AF571" s="25">
        <f>IF(ISNUMBER(AD571+AE571),AD571+AE571,"")</f>
        <v/>
      </c>
      <c r="AH571" s="1">
        <f>A571</f>
        <v/>
      </c>
      <c r="AI571">
        <f>IF(ISNUMBER((1+V571)*AI570),(1+V571)*AI570,AI570)</f>
        <v/>
      </c>
      <c r="AJ571">
        <f>IF(ISNUMBER((1+Z571)*AJ570),(1+Z571)*AJ570,AJ570)</f>
        <v/>
      </c>
    </row>
    <row r="572">
      <c r="A572" s="1" t="n">
        <v>42831</v>
      </c>
      <c r="B572" s="3">
        <f>IF(ORIG!B572=0,"",ORIG!B572)</f>
        <v/>
      </c>
      <c r="C572" s="3">
        <f>IF(ORIG!C572=0,"",ORIG!C572)</f>
        <v/>
      </c>
      <c r="D572" s="3">
        <f>IF(ORIG!D572=0,"",ORIG!D572)</f>
        <v/>
      </c>
      <c r="E572" s="3">
        <f>IF(ORIG!E572=0,"",ORIG!E572)</f>
        <v/>
      </c>
      <c r="F572" s="3">
        <f>IF(ORIG!F572=0,"",ORIG!F572)</f>
        <v/>
      </c>
      <c r="G572" s="3">
        <f>IF(ORIG!G572=0,"",ORIG!G572)</f>
        <v/>
      </c>
      <c r="H572" s="3">
        <f>IF(ORIG!H572=0,"",ORIG!H572)</f>
        <v/>
      </c>
      <c r="I572" s="3">
        <f>IF(ORIG!I572=0,"",ORIG!I572)</f>
        <v/>
      </c>
      <c r="J572" s="3">
        <f>IF(ORIG!J572=0,"",ORIG!J572)</f>
        <v/>
      </c>
      <c r="K572" s="3">
        <f>IF(ORIG!K572=0,"",ORIG!K572)</f>
        <v/>
      </c>
      <c r="L572" s="3">
        <f>IF(ORIG!L572=0,"",ORIG!L572)</f>
        <v/>
      </c>
      <c r="M572" s="3">
        <f>IF(ORIG!M572=0,"",ORIG!M572)</f>
        <v/>
      </c>
      <c r="N572" s="3">
        <f>IF(ORIG!N572=0,"",ORIG!N572)</f>
        <v/>
      </c>
      <c r="O572" s="3">
        <f>IF(ORIG!O572=0,"",ORIG!O572)</f>
        <v/>
      </c>
      <c r="P572" s="3">
        <f>IF(ORIG!P572=0,"",ORIG!P572)</f>
        <v/>
      </c>
      <c r="Q572" s="3">
        <f>IF(ORIG!Q572=0,"",ORIG!Q572)</f>
        <v/>
      </c>
      <c r="R572" s="3">
        <f>IF(ORIG!R572=0,"",ORIG!R572)</f>
        <v/>
      </c>
      <c r="S572" s="3">
        <f>IF(ORIG!S572=0,"",ORIG!S572)</f>
        <v/>
      </c>
      <c r="T572" s="3">
        <f>IF(ORIG!T572=0,"",ORIG!T572)</f>
        <v/>
      </c>
      <c r="U572" s="3">
        <f>IF(ORIG!U572=0,"",ORIG!U572)</f>
        <v/>
      </c>
      <c r="V572" s="9">
        <f>IF(ORIG!V572=0,"",ORIG!V572)</f>
        <v/>
      </c>
      <c r="W572" s="9">
        <f>IF(ORIG!W572=0,"",ORIG!W572)</f>
        <v/>
      </c>
      <c r="X572" s="9">
        <f>IF(ORIG!X572=0,"",ORIG!X572)</f>
        <v/>
      </c>
      <c r="Y572" s="9">
        <f>IF(ORIG!Y572=0,"",ORIG!Y572)</f>
        <v/>
      </c>
      <c r="Z572" s="3">
        <f>SUMPRODUCT($B572:$Y572,$B$2649:$Y$2649)</f>
        <v/>
      </c>
      <c r="AA572" s="3">
        <f>SUMPRODUCT($B572:$Y572,$B$2655:$Y$2655)</f>
        <v/>
      </c>
      <c r="AC572" s="1">
        <f>A572</f>
        <v/>
      </c>
      <c r="AD572">
        <f>IF(ISNUMBER(V572),V572*($AB$1/V$2635),"")</f>
        <v/>
      </c>
      <c r="AE572">
        <f>IF(ISNUMBER(Z572),Z572*($AB$1/Z$2635),"")</f>
        <v/>
      </c>
      <c r="AF572" s="25">
        <f>IF(ISNUMBER(AD572+AE572),AD572+AE572,"")</f>
        <v/>
      </c>
      <c r="AH572" s="1">
        <f>A572</f>
        <v/>
      </c>
      <c r="AI572">
        <f>IF(ISNUMBER((1+V572)*AI571),(1+V572)*AI571,AI571)</f>
        <v/>
      </c>
      <c r="AJ572">
        <f>IF(ISNUMBER((1+Z572)*AJ571),(1+Z572)*AJ571,AJ571)</f>
        <v/>
      </c>
    </row>
    <row r="573">
      <c r="A573" s="1" t="n">
        <v>42832</v>
      </c>
      <c r="B573" s="3">
        <f>IF(ORIG!B573=0,"",ORIG!B573)</f>
        <v/>
      </c>
      <c r="C573" s="3">
        <f>IF(ORIG!C573=0,"",ORIG!C573)</f>
        <v/>
      </c>
      <c r="D573" s="3">
        <f>IF(ORIG!D573=0,"",ORIG!D573)</f>
        <v/>
      </c>
      <c r="E573" s="3">
        <f>IF(ORIG!E573=0,"",ORIG!E573)</f>
        <v/>
      </c>
      <c r="F573" s="3">
        <f>IF(ORIG!F573=0,"",ORIG!F573)</f>
        <v/>
      </c>
      <c r="G573" s="3">
        <f>IF(ORIG!G573=0,"",ORIG!G573)</f>
        <v/>
      </c>
      <c r="H573" s="3">
        <f>IF(ORIG!H573=0,"",ORIG!H573)</f>
        <v/>
      </c>
      <c r="I573" s="3">
        <f>IF(ORIG!I573=0,"",ORIG!I573)</f>
        <v/>
      </c>
      <c r="J573" s="3">
        <f>IF(ORIG!J573=0,"",ORIG!J573)</f>
        <v/>
      </c>
      <c r="K573" s="3">
        <f>IF(ORIG!K573=0,"",ORIG!K573)</f>
        <v/>
      </c>
      <c r="L573" s="3">
        <f>IF(ORIG!L573=0,"",ORIG!L573)</f>
        <v/>
      </c>
      <c r="M573" s="3">
        <f>IF(ORIG!M573=0,"",ORIG!M573)</f>
        <v/>
      </c>
      <c r="N573" s="3">
        <f>IF(ORIG!N573=0,"",ORIG!N573)</f>
        <v/>
      </c>
      <c r="O573" s="3">
        <f>IF(ORIG!O573=0,"",ORIG!O573)</f>
        <v/>
      </c>
      <c r="P573" s="3">
        <f>IF(ORIG!P573=0,"",ORIG!P573)</f>
        <v/>
      </c>
      <c r="Q573" s="3">
        <f>IF(ORIG!Q573=0,"",ORIG!Q573)</f>
        <v/>
      </c>
      <c r="R573" s="3">
        <f>IF(ORIG!R573=0,"",ORIG!R573)</f>
        <v/>
      </c>
      <c r="S573" s="3">
        <f>IF(ORIG!S573=0,"",ORIG!S573)</f>
        <v/>
      </c>
      <c r="T573" s="3">
        <f>IF(ORIG!T573=0,"",ORIG!T573)</f>
        <v/>
      </c>
      <c r="U573" s="3">
        <f>IF(ORIG!U573=0,"",ORIG!U573)</f>
        <v/>
      </c>
      <c r="V573" s="9">
        <f>IF(ORIG!V573=0,"",ORIG!V573)</f>
        <v/>
      </c>
      <c r="W573" s="9">
        <f>IF(ORIG!W573=0,"",ORIG!W573)</f>
        <v/>
      </c>
      <c r="X573" s="9">
        <f>IF(ORIG!X573=0,"",ORIG!X573)</f>
        <v/>
      </c>
      <c r="Y573" s="9">
        <f>IF(ORIG!Y573=0,"",ORIG!Y573)</f>
        <v/>
      </c>
      <c r="Z573" s="3">
        <f>SUMPRODUCT($B573:$Y573,$B$2649:$Y$2649)</f>
        <v/>
      </c>
      <c r="AA573" s="3">
        <f>SUMPRODUCT($B573:$Y573,$B$2655:$Y$2655)</f>
        <v/>
      </c>
      <c r="AC573" s="1">
        <f>A573</f>
        <v/>
      </c>
      <c r="AD573">
        <f>IF(ISNUMBER(V573),V573*($AB$1/V$2635),"")</f>
        <v/>
      </c>
      <c r="AE573">
        <f>IF(ISNUMBER(Z573),Z573*($AB$1/Z$2635),"")</f>
        <v/>
      </c>
      <c r="AF573" s="25">
        <f>IF(ISNUMBER(AD573+AE573),AD573+AE573,"")</f>
        <v/>
      </c>
      <c r="AH573" s="1">
        <f>A573</f>
        <v/>
      </c>
      <c r="AI573">
        <f>IF(ISNUMBER((1+V573)*AI572),(1+V573)*AI572,AI572)</f>
        <v/>
      </c>
      <c r="AJ573">
        <f>IF(ISNUMBER((1+Z573)*AJ572),(1+Z573)*AJ572,AJ572)</f>
        <v/>
      </c>
    </row>
    <row r="574">
      <c r="A574" s="1" t="n">
        <v>42835</v>
      </c>
      <c r="B574" s="3">
        <f>IF(ORIG!B574=0,"",ORIG!B574)</f>
        <v/>
      </c>
      <c r="C574" s="3">
        <f>IF(ORIG!C574=0,"",ORIG!C574)</f>
        <v/>
      </c>
      <c r="D574" s="3">
        <f>IF(ORIG!D574=0,"",ORIG!D574)</f>
        <v/>
      </c>
      <c r="E574" s="3">
        <f>IF(ORIG!E574=0,"",ORIG!E574)</f>
        <v/>
      </c>
      <c r="F574" s="3">
        <f>IF(ORIG!F574=0,"",ORIG!F574)</f>
        <v/>
      </c>
      <c r="G574" s="3">
        <f>IF(ORIG!G574=0,"",ORIG!G574)</f>
        <v/>
      </c>
      <c r="H574" s="3">
        <f>IF(ORIG!H574=0,"",ORIG!H574)</f>
        <v/>
      </c>
      <c r="I574" s="3">
        <f>IF(ORIG!I574=0,"",ORIG!I574)</f>
        <v/>
      </c>
      <c r="J574" s="3">
        <f>IF(ORIG!J574=0,"",ORIG!J574)</f>
        <v/>
      </c>
      <c r="K574" s="3">
        <f>IF(ORIG!K574=0,"",ORIG!K574)</f>
        <v/>
      </c>
      <c r="L574" s="3">
        <f>IF(ORIG!L574=0,"",ORIG!L574)</f>
        <v/>
      </c>
      <c r="M574" s="3">
        <f>IF(ORIG!M574=0,"",ORIG!M574)</f>
        <v/>
      </c>
      <c r="N574" s="3">
        <f>IF(ORIG!N574=0,"",ORIG!N574)</f>
        <v/>
      </c>
      <c r="O574" s="3">
        <f>IF(ORIG!O574=0,"",ORIG!O574)</f>
        <v/>
      </c>
      <c r="P574" s="3">
        <f>IF(ORIG!P574=0,"",ORIG!P574)</f>
        <v/>
      </c>
      <c r="Q574" s="3">
        <f>IF(ORIG!Q574=0,"",ORIG!Q574)</f>
        <v/>
      </c>
      <c r="R574" s="3">
        <f>IF(ORIG!R574=0,"",ORIG!R574)</f>
        <v/>
      </c>
      <c r="S574" s="3">
        <f>IF(ORIG!S574=0,"",ORIG!S574)</f>
        <v/>
      </c>
      <c r="T574" s="3">
        <f>IF(ORIG!T574=0,"",ORIG!T574)</f>
        <v/>
      </c>
      <c r="U574" s="3">
        <f>IF(ORIG!U574=0,"",ORIG!U574)</f>
        <v/>
      </c>
      <c r="V574" s="9">
        <f>IF(ORIG!V574=0,"",ORIG!V574)</f>
        <v/>
      </c>
      <c r="W574" s="9">
        <f>IF(ORIG!W574=0,"",ORIG!W574)</f>
        <v/>
      </c>
      <c r="X574" s="9">
        <f>IF(ORIG!X574=0,"",ORIG!X574)</f>
        <v/>
      </c>
      <c r="Y574" s="9">
        <f>IF(ORIG!Y574=0,"",ORIG!Y574)</f>
        <v/>
      </c>
      <c r="Z574" s="3">
        <f>SUMPRODUCT($B574:$Y574,$B$2649:$Y$2649)</f>
        <v/>
      </c>
      <c r="AA574" s="3">
        <f>SUMPRODUCT($B574:$Y574,$B$2655:$Y$2655)</f>
        <v/>
      </c>
      <c r="AC574" s="1">
        <f>A574</f>
        <v/>
      </c>
      <c r="AD574">
        <f>IF(ISNUMBER(V574),V574*($AB$1/V$2635),"")</f>
        <v/>
      </c>
      <c r="AE574">
        <f>IF(ISNUMBER(Z574),Z574*($AB$1/Z$2635),"")</f>
        <v/>
      </c>
      <c r="AF574" s="25">
        <f>IF(ISNUMBER(AD574+AE574),AD574+AE574,"")</f>
        <v/>
      </c>
      <c r="AH574" s="1">
        <f>A574</f>
        <v/>
      </c>
      <c r="AI574">
        <f>IF(ISNUMBER((1+V574)*AI573),(1+V574)*AI573,AI573)</f>
        <v/>
      </c>
      <c r="AJ574">
        <f>IF(ISNUMBER((1+Z574)*AJ573),(1+Z574)*AJ573,AJ573)</f>
        <v/>
      </c>
    </row>
    <row r="575">
      <c r="A575" s="1" t="n">
        <v>42836</v>
      </c>
      <c r="B575" s="3">
        <f>IF(ORIG!B575=0,"",ORIG!B575)</f>
        <v/>
      </c>
      <c r="C575" s="3">
        <f>IF(ORIG!C575=0,"",ORIG!C575)</f>
        <v/>
      </c>
      <c r="D575" s="3">
        <f>IF(ORIG!D575=0,"",ORIG!D575)</f>
        <v/>
      </c>
      <c r="E575" s="3">
        <f>IF(ORIG!E575=0,"",ORIG!E575)</f>
        <v/>
      </c>
      <c r="F575" s="3">
        <f>IF(ORIG!F575=0,"",ORIG!F575)</f>
        <v/>
      </c>
      <c r="G575" s="3">
        <f>IF(ORIG!G575=0,"",ORIG!G575)</f>
        <v/>
      </c>
      <c r="H575" s="3">
        <f>IF(ORIG!H575=0,"",ORIG!H575)</f>
        <v/>
      </c>
      <c r="I575" s="3">
        <f>IF(ORIG!I575=0,"",ORIG!I575)</f>
        <v/>
      </c>
      <c r="J575" s="3">
        <f>IF(ORIG!J575=0,"",ORIG!J575)</f>
        <v/>
      </c>
      <c r="K575" s="3">
        <f>IF(ORIG!K575=0,"",ORIG!K575)</f>
        <v/>
      </c>
      <c r="L575" s="3">
        <f>IF(ORIG!L575=0,"",ORIG!L575)</f>
        <v/>
      </c>
      <c r="M575" s="3">
        <f>IF(ORIG!M575=0,"",ORIG!M575)</f>
        <v/>
      </c>
      <c r="N575" s="3">
        <f>IF(ORIG!N575=0,"",ORIG!N575)</f>
        <v/>
      </c>
      <c r="O575" s="3">
        <f>IF(ORIG!O575=0,"",ORIG!O575)</f>
        <v/>
      </c>
      <c r="P575" s="3">
        <f>IF(ORIG!P575=0,"",ORIG!P575)</f>
        <v/>
      </c>
      <c r="Q575" s="3">
        <f>IF(ORIG!Q575=0,"",ORIG!Q575)</f>
        <v/>
      </c>
      <c r="R575" s="3">
        <f>IF(ORIG!R575=0,"",ORIG!R575)</f>
        <v/>
      </c>
      <c r="S575" s="3">
        <f>IF(ORIG!S575=0,"",ORIG!S575)</f>
        <v/>
      </c>
      <c r="T575" s="3">
        <f>IF(ORIG!T575=0,"",ORIG!T575)</f>
        <v/>
      </c>
      <c r="U575" s="3">
        <f>IF(ORIG!U575=0,"",ORIG!U575)</f>
        <v/>
      </c>
      <c r="V575" s="9">
        <f>IF(ORIG!V575=0,"",ORIG!V575)</f>
        <v/>
      </c>
      <c r="W575" s="9">
        <f>IF(ORIG!W575=0,"",ORIG!W575)</f>
        <v/>
      </c>
      <c r="X575" s="9">
        <f>IF(ORIG!X575=0,"",ORIG!X575)</f>
        <v/>
      </c>
      <c r="Y575" s="9">
        <f>IF(ORIG!Y575=0,"",ORIG!Y575)</f>
        <v/>
      </c>
      <c r="Z575" s="3">
        <f>SUMPRODUCT($B575:$Y575,$B$2649:$Y$2649)</f>
        <v/>
      </c>
      <c r="AA575" s="3">
        <f>SUMPRODUCT($B575:$Y575,$B$2655:$Y$2655)</f>
        <v/>
      </c>
      <c r="AC575" s="1">
        <f>A575</f>
        <v/>
      </c>
      <c r="AD575">
        <f>IF(ISNUMBER(V575),V575*($AB$1/V$2635),"")</f>
        <v/>
      </c>
      <c r="AE575">
        <f>IF(ISNUMBER(Z575),Z575*($AB$1/Z$2635),"")</f>
        <v/>
      </c>
      <c r="AF575" s="25">
        <f>IF(ISNUMBER(AD575+AE575),AD575+AE575,"")</f>
        <v/>
      </c>
      <c r="AH575" s="1">
        <f>A575</f>
        <v/>
      </c>
      <c r="AI575">
        <f>IF(ISNUMBER((1+V575)*AI574),(1+V575)*AI574,AI574)</f>
        <v/>
      </c>
      <c r="AJ575">
        <f>IF(ISNUMBER((1+Z575)*AJ574),(1+Z575)*AJ574,AJ574)</f>
        <v/>
      </c>
    </row>
    <row r="576">
      <c r="A576" s="1" t="n">
        <v>42837</v>
      </c>
      <c r="B576" s="3">
        <f>IF(ORIG!B576=0,"",ORIG!B576)</f>
        <v/>
      </c>
      <c r="C576" s="3">
        <f>IF(ORIG!C576=0,"",ORIG!C576)</f>
        <v/>
      </c>
      <c r="D576" s="3">
        <f>IF(ORIG!D576=0,"",ORIG!D576)</f>
        <v/>
      </c>
      <c r="E576" s="3">
        <f>IF(ORIG!E576=0,"",ORIG!E576)</f>
        <v/>
      </c>
      <c r="F576" s="3">
        <f>IF(ORIG!F576=0,"",ORIG!F576)</f>
        <v/>
      </c>
      <c r="G576" s="3">
        <f>IF(ORIG!G576=0,"",ORIG!G576)</f>
        <v/>
      </c>
      <c r="H576" s="3">
        <f>IF(ORIG!H576=0,"",ORIG!H576)</f>
        <v/>
      </c>
      <c r="I576" s="3">
        <f>IF(ORIG!I576=0,"",ORIG!I576)</f>
        <v/>
      </c>
      <c r="J576" s="3">
        <f>IF(ORIG!J576=0,"",ORIG!J576)</f>
        <v/>
      </c>
      <c r="K576" s="3">
        <f>IF(ORIG!K576=0,"",ORIG!K576)</f>
        <v/>
      </c>
      <c r="L576" s="3">
        <f>IF(ORIG!L576=0,"",ORIG!L576)</f>
        <v/>
      </c>
      <c r="M576" s="3">
        <f>IF(ORIG!M576=0,"",ORIG!M576)</f>
        <v/>
      </c>
      <c r="N576" s="3">
        <f>IF(ORIG!N576=0,"",ORIG!N576)</f>
        <v/>
      </c>
      <c r="O576" s="3">
        <f>IF(ORIG!O576=0,"",ORIG!O576)</f>
        <v/>
      </c>
      <c r="P576" s="3">
        <f>IF(ORIG!P576=0,"",ORIG!P576)</f>
        <v/>
      </c>
      <c r="Q576" s="3">
        <f>IF(ORIG!Q576=0,"",ORIG!Q576)</f>
        <v/>
      </c>
      <c r="R576" s="3">
        <f>IF(ORIG!R576=0,"",ORIG!R576)</f>
        <v/>
      </c>
      <c r="S576" s="3">
        <f>IF(ORIG!S576=0,"",ORIG!S576)</f>
        <v/>
      </c>
      <c r="T576" s="3">
        <f>IF(ORIG!T576=0,"",ORIG!T576)</f>
        <v/>
      </c>
      <c r="U576" s="3">
        <f>IF(ORIG!U576=0,"",ORIG!U576)</f>
        <v/>
      </c>
      <c r="V576" s="9">
        <f>IF(ORIG!V576=0,"",ORIG!V576)</f>
        <v/>
      </c>
      <c r="W576" s="9">
        <f>IF(ORIG!W576=0,"",ORIG!W576)</f>
        <v/>
      </c>
      <c r="X576" s="9">
        <f>IF(ORIG!X576=0,"",ORIG!X576)</f>
        <v/>
      </c>
      <c r="Y576" s="9">
        <f>IF(ORIG!Y576=0,"",ORIG!Y576)</f>
        <v/>
      </c>
      <c r="Z576" s="3">
        <f>SUMPRODUCT($B576:$Y576,$B$2649:$Y$2649)</f>
        <v/>
      </c>
      <c r="AA576" s="3">
        <f>SUMPRODUCT($B576:$Y576,$B$2655:$Y$2655)</f>
        <v/>
      </c>
      <c r="AC576" s="1">
        <f>A576</f>
        <v/>
      </c>
      <c r="AD576">
        <f>IF(ISNUMBER(V576),V576*($AB$1/V$2635),"")</f>
        <v/>
      </c>
      <c r="AE576">
        <f>IF(ISNUMBER(Z576),Z576*($AB$1/Z$2635),"")</f>
        <v/>
      </c>
      <c r="AF576" s="25">
        <f>IF(ISNUMBER(AD576+AE576),AD576+AE576,"")</f>
        <v/>
      </c>
      <c r="AH576" s="1">
        <f>A576</f>
        <v/>
      </c>
      <c r="AI576">
        <f>IF(ISNUMBER((1+V576)*AI575),(1+V576)*AI575,AI575)</f>
        <v/>
      </c>
      <c r="AJ576">
        <f>IF(ISNUMBER((1+Z576)*AJ575),(1+Z576)*AJ575,AJ575)</f>
        <v/>
      </c>
    </row>
    <row r="577">
      <c r="A577" s="1" t="n">
        <v>42838</v>
      </c>
      <c r="B577" s="3">
        <f>IF(ORIG!B577=0,"",ORIG!B577)</f>
        <v/>
      </c>
      <c r="C577" s="3">
        <f>IF(ORIG!C577=0,"",ORIG!C577)</f>
        <v/>
      </c>
      <c r="D577" s="3">
        <f>IF(ORIG!D577=0,"",ORIG!D577)</f>
        <v/>
      </c>
      <c r="E577" s="3">
        <f>IF(ORIG!E577=0,"",ORIG!E577)</f>
        <v/>
      </c>
      <c r="F577" s="3">
        <f>IF(ORIG!F577=0,"",ORIG!F577)</f>
        <v/>
      </c>
      <c r="G577" s="3">
        <f>IF(ORIG!G577=0,"",ORIG!G577)</f>
        <v/>
      </c>
      <c r="H577" s="3">
        <f>IF(ORIG!H577=0,"",ORIG!H577)</f>
        <v/>
      </c>
      <c r="I577" s="3">
        <f>IF(ORIG!I577=0,"",ORIG!I577)</f>
        <v/>
      </c>
      <c r="J577" s="3">
        <f>IF(ORIG!J577=0,"",ORIG!J577)</f>
        <v/>
      </c>
      <c r="K577" s="3">
        <f>IF(ORIG!K577=0,"",ORIG!K577)</f>
        <v/>
      </c>
      <c r="L577" s="3">
        <f>IF(ORIG!L577=0,"",ORIG!L577)</f>
        <v/>
      </c>
      <c r="M577" s="3">
        <f>IF(ORIG!M577=0,"",ORIG!M577)</f>
        <v/>
      </c>
      <c r="N577" s="3">
        <f>IF(ORIG!N577=0,"",ORIG!N577)</f>
        <v/>
      </c>
      <c r="O577" s="3">
        <f>IF(ORIG!O577=0,"",ORIG!O577)</f>
        <v/>
      </c>
      <c r="P577" s="3">
        <f>IF(ORIG!P577=0,"",ORIG!P577)</f>
        <v/>
      </c>
      <c r="Q577" s="3">
        <f>IF(ORIG!Q577=0,"",ORIG!Q577)</f>
        <v/>
      </c>
      <c r="R577" s="3">
        <f>IF(ORIG!R577=0,"",ORIG!R577)</f>
        <v/>
      </c>
      <c r="S577" s="3">
        <f>IF(ORIG!S577=0,"",ORIG!S577)</f>
        <v/>
      </c>
      <c r="T577" s="3">
        <f>IF(ORIG!T577=0,"",ORIG!T577)</f>
        <v/>
      </c>
      <c r="U577" s="3">
        <f>IF(ORIG!U577=0,"",ORIG!U577)</f>
        <v/>
      </c>
      <c r="V577" s="9">
        <f>IF(ORIG!V577=0,"",ORIG!V577)</f>
        <v/>
      </c>
      <c r="W577" s="9">
        <f>IF(ORIG!W577=0,"",ORIG!W577)</f>
        <v/>
      </c>
      <c r="X577" s="9">
        <f>IF(ORIG!X577=0,"",ORIG!X577)</f>
        <v/>
      </c>
      <c r="Y577" s="9">
        <f>IF(ORIG!Y577=0,"",ORIG!Y577)</f>
        <v/>
      </c>
      <c r="Z577" s="3">
        <f>SUMPRODUCT($B577:$Y577,$B$2649:$Y$2649)</f>
        <v/>
      </c>
      <c r="AA577" s="3">
        <f>SUMPRODUCT($B577:$Y577,$B$2655:$Y$2655)</f>
        <v/>
      </c>
      <c r="AC577" s="1">
        <f>A577</f>
        <v/>
      </c>
      <c r="AD577">
        <f>IF(ISNUMBER(V577),V577*($AB$1/V$2635),"")</f>
        <v/>
      </c>
      <c r="AE577">
        <f>IF(ISNUMBER(Z577),Z577*($AB$1/Z$2635),"")</f>
        <v/>
      </c>
      <c r="AF577" s="25">
        <f>IF(ISNUMBER(AD577+AE577),AD577+AE577,"")</f>
        <v/>
      </c>
      <c r="AH577" s="1">
        <f>A577</f>
        <v/>
      </c>
      <c r="AI577">
        <f>IF(ISNUMBER((1+V577)*AI576),(1+V577)*AI576,AI576)</f>
        <v/>
      </c>
      <c r="AJ577">
        <f>IF(ISNUMBER((1+Z577)*AJ576),(1+Z577)*AJ576,AJ576)</f>
        <v/>
      </c>
    </row>
    <row r="578">
      <c r="A578" s="1" t="n">
        <v>42842</v>
      </c>
      <c r="B578" s="3">
        <f>IF(ORIG!B578=0,"",ORIG!B578)</f>
        <v/>
      </c>
      <c r="C578" s="3">
        <f>IF(ORIG!C578=0,"",ORIG!C578)</f>
        <v/>
      </c>
      <c r="D578" s="3">
        <f>IF(ORIG!D578=0,"",ORIG!D578)</f>
        <v/>
      </c>
      <c r="E578" s="3">
        <f>IF(ORIG!E578=0,"",ORIG!E578)</f>
        <v/>
      </c>
      <c r="F578" s="3">
        <f>IF(ORIG!F578=0,"",ORIG!F578)</f>
        <v/>
      </c>
      <c r="G578" s="3">
        <f>IF(ORIG!G578=0,"",ORIG!G578)</f>
        <v/>
      </c>
      <c r="H578" s="3">
        <f>IF(ORIG!H578=0,"",ORIG!H578)</f>
        <v/>
      </c>
      <c r="I578" s="3">
        <f>IF(ORIG!I578=0,"",ORIG!I578)</f>
        <v/>
      </c>
      <c r="J578" s="3">
        <f>IF(ORIG!J578=0,"",ORIG!J578)</f>
        <v/>
      </c>
      <c r="K578" s="3">
        <f>IF(ORIG!K578=0,"",ORIG!K578)</f>
        <v/>
      </c>
      <c r="L578" s="3">
        <f>IF(ORIG!L578=0,"",ORIG!L578)</f>
        <v/>
      </c>
      <c r="M578" s="3">
        <f>IF(ORIG!M578=0,"",ORIG!M578)</f>
        <v/>
      </c>
      <c r="N578" s="3">
        <f>IF(ORIG!N578=0,"",ORIG!N578)</f>
        <v/>
      </c>
      <c r="O578" s="3">
        <f>IF(ORIG!O578=0,"",ORIG!O578)</f>
        <v/>
      </c>
      <c r="P578" s="3">
        <f>IF(ORIG!P578=0,"",ORIG!P578)</f>
        <v/>
      </c>
      <c r="Q578" s="3">
        <f>IF(ORIG!Q578=0,"",ORIG!Q578)</f>
        <v/>
      </c>
      <c r="R578" s="3">
        <f>IF(ORIG!R578=0,"",ORIG!R578)</f>
        <v/>
      </c>
      <c r="S578" s="3">
        <f>IF(ORIG!S578=0,"",ORIG!S578)</f>
        <v/>
      </c>
      <c r="T578" s="3">
        <f>IF(ORIG!T578=0,"",ORIG!T578)</f>
        <v/>
      </c>
      <c r="U578" s="3">
        <f>IF(ORIG!U578=0,"",ORIG!U578)</f>
        <v/>
      </c>
      <c r="V578" s="9">
        <f>IF(ORIG!V578=0,"",ORIG!V578)</f>
        <v/>
      </c>
      <c r="W578" s="9">
        <f>IF(ORIG!W578=0,"",ORIG!W578)</f>
        <v/>
      </c>
      <c r="X578" s="9">
        <f>IF(ORIG!X578=0,"",ORIG!X578)</f>
        <v/>
      </c>
      <c r="Y578" s="9">
        <f>IF(ORIG!Y578=0,"",ORIG!Y578)</f>
        <v/>
      </c>
      <c r="Z578" s="3">
        <f>SUMPRODUCT($B578:$Y578,$B$2649:$Y$2649)</f>
        <v/>
      </c>
      <c r="AA578" s="3">
        <f>SUMPRODUCT($B578:$Y578,$B$2655:$Y$2655)</f>
        <v/>
      </c>
      <c r="AC578" s="1">
        <f>A578</f>
        <v/>
      </c>
      <c r="AD578">
        <f>IF(ISNUMBER(V578),V578*($AB$1/V$2635),"")</f>
        <v/>
      </c>
      <c r="AE578">
        <f>IF(ISNUMBER(Z578),Z578*($AB$1/Z$2635),"")</f>
        <v/>
      </c>
      <c r="AF578" s="25">
        <f>IF(ISNUMBER(AD578+AE578),AD578+AE578,"")</f>
        <v/>
      </c>
      <c r="AH578" s="1">
        <f>A578</f>
        <v/>
      </c>
      <c r="AI578">
        <f>IF(ISNUMBER((1+V578)*AI577),(1+V578)*AI577,AI577)</f>
        <v/>
      </c>
      <c r="AJ578">
        <f>IF(ISNUMBER((1+Z578)*AJ577),(1+Z578)*AJ577,AJ577)</f>
        <v/>
      </c>
    </row>
    <row r="579">
      <c r="A579" s="1" t="n">
        <v>42843</v>
      </c>
      <c r="B579" s="3">
        <f>IF(ORIG!B579=0,"",ORIG!B579)</f>
        <v/>
      </c>
      <c r="C579" s="3">
        <f>IF(ORIG!C579=0,"",ORIG!C579)</f>
        <v/>
      </c>
      <c r="D579" s="3">
        <f>IF(ORIG!D579=0,"",ORIG!D579)</f>
        <v/>
      </c>
      <c r="E579" s="3">
        <f>IF(ORIG!E579=0,"",ORIG!E579)</f>
        <v/>
      </c>
      <c r="F579" s="3">
        <f>IF(ORIG!F579=0,"",ORIG!F579)</f>
        <v/>
      </c>
      <c r="G579" s="3">
        <f>IF(ORIG!G579=0,"",ORIG!G579)</f>
        <v/>
      </c>
      <c r="H579" s="3">
        <f>IF(ORIG!H579=0,"",ORIG!H579)</f>
        <v/>
      </c>
      <c r="I579" s="3">
        <f>IF(ORIG!I579=0,"",ORIG!I579)</f>
        <v/>
      </c>
      <c r="J579" s="3">
        <f>IF(ORIG!J579=0,"",ORIG!J579)</f>
        <v/>
      </c>
      <c r="K579" s="3">
        <f>IF(ORIG!K579=0,"",ORIG!K579)</f>
        <v/>
      </c>
      <c r="L579" s="3">
        <f>IF(ORIG!L579=0,"",ORIG!L579)</f>
        <v/>
      </c>
      <c r="M579" s="3">
        <f>IF(ORIG!M579=0,"",ORIG!M579)</f>
        <v/>
      </c>
      <c r="N579" s="3">
        <f>IF(ORIG!N579=0,"",ORIG!N579)</f>
        <v/>
      </c>
      <c r="O579" s="3">
        <f>IF(ORIG!O579=0,"",ORIG!O579)</f>
        <v/>
      </c>
      <c r="P579" s="3">
        <f>IF(ORIG!P579=0,"",ORIG!P579)</f>
        <v/>
      </c>
      <c r="Q579" s="3">
        <f>IF(ORIG!Q579=0,"",ORIG!Q579)</f>
        <v/>
      </c>
      <c r="R579" s="3">
        <f>IF(ORIG!R579=0,"",ORIG!R579)</f>
        <v/>
      </c>
      <c r="S579" s="3">
        <f>IF(ORIG!S579=0,"",ORIG!S579)</f>
        <v/>
      </c>
      <c r="T579" s="3">
        <f>IF(ORIG!T579=0,"",ORIG!T579)</f>
        <v/>
      </c>
      <c r="U579" s="3">
        <f>IF(ORIG!U579=0,"",ORIG!U579)</f>
        <v/>
      </c>
      <c r="V579" s="9">
        <f>IF(ORIG!V579=0,"",ORIG!V579)</f>
        <v/>
      </c>
      <c r="W579" s="9">
        <f>IF(ORIG!W579=0,"",ORIG!W579)</f>
        <v/>
      </c>
      <c r="X579" s="9">
        <f>IF(ORIG!X579=0,"",ORIG!X579)</f>
        <v/>
      </c>
      <c r="Y579" s="9">
        <f>IF(ORIG!Y579=0,"",ORIG!Y579)</f>
        <v/>
      </c>
      <c r="Z579" s="3">
        <f>SUMPRODUCT($B579:$Y579,$B$2649:$Y$2649)</f>
        <v/>
      </c>
      <c r="AA579" s="3">
        <f>SUMPRODUCT($B579:$Y579,$B$2655:$Y$2655)</f>
        <v/>
      </c>
      <c r="AC579" s="1">
        <f>A579</f>
        <v/>
      </c>
      <c r="AD579">
        <f>IF(ISNUMBER(V579),V579*($AB$1/V$2635),"")</f>
        <v/>
      </c>
      <c r="AE579">
        <f>IF(ISNUMBER(Z579),Z579*($AB$1/Z$2635),"")</f>
        <v/>
      </c>
      <c r="AF579" s="25">
        <f>IF(ISNUMBER(AD579+AE579),AD579+AE579,"")</f>
        <v/>
      </c>
      <c r="AH579" s="1">
        <f>A579</f>
        <v/>
      </c>
      <c r="AI579">
        <f>IF(ISNUMBER((1+V579)*AI578),(1+V579)*AI578,AI578)</f>
        <v/>
      </c>
      <c r="AJ579">
        <f>IF(ISNUMBER((1+Z579)*AJ578),(1+Z579)*AJ578,AJ578)</f>
        <v/>
      </c>
    </row>
    <row r="580">
      <c r="A580" s="1" t="n">
        <v>42844</v>
      </c>
      <c r="B580" s="3">
        <f>IF(ORIG!B580=0,"",ORIG!B580)</f>
        <v/>
      </c>
      <c r="C580" s="3">
        <f>IF(ORIG!C580=0,"",ORIG!C580)</f>
        <v/>
      </c>
      <c r="D580" s="3">
        <f>IF(ORIG!D580=0,"",ORIG!D580)</f>
        <v/>
      </c>
      <c r="E580" s="3">
        <f>IF(ORIG!E580=0,"",ORIG!E580)</f>
        <v/>
      </c>
      <c r="F580" s="3">
        <f>IF(ORIG!F580=0,"",ORIG!F580)</f>
        <v/>
      </c>
      <c r="G580" s="3">
        <f>IF(ORIG!G580=0,"",ORIG!G580)</f>
        <v/>
      </c>
      <c r="H580" s="3">
        <f>IF(ORIG!H580=0,"",ORIG!H580)</f>
        <v/>
      </c>
      <c r="I580" s="3">
        <f>IF(ORIG!I580=0,"",ORIG!I580)</f>
        <v/>
      </c>
      <c r="J580" s="3">
        <f>IF(ORIG!J580=0,"",ORIG!J580)</f>
        <v/>
      </c>
      <c r="K580" s="3">
        <f>IF(ORIG!K580=0,"",ORIG!K580)</f>
        <v/>
      </c>
      <c r="L580" s="3">
        <f>IF(ORIG!L580=0,"",ORIG!L580)</f>
        <v/>
      </c>
      <c r="M580" s="3">
        <f>IF(ORIG!M580=0,"",ORIG!M580)</f>
        <v/>
      </c>
      <c r="N580" s="3">
        <f>IF(ORIG!N580=0,"",ORIG!N580)</f>
        <v/>
      </c>
      <c r="O580" s="3">
        <f>IF(ORIG!O580=0,"",ORIG!O580)</f>
        <v/>
      </c>
      <c r="P580" s="3">
        <f>IF(ORIG!P580=0,"",ORIG!P580)</f>
        <v/>
      </c>
      <c r="Q580" s="3">
        <f>IF(ORIG!Q580=0,"",ORIG!Q580)</f>
        <v/>
      </c>
      <c r="R580" s="3">
        <f>IF(ORIG!R580=0,"",ORIG!R580)</f>
        <v/>
      </c>
      <c r="S580" s="3">
        <f>IF(ORIG!S580=0,"",ORIG!S580)</f>
        <v/>
      </c>
      <c r="T580" s="3">
        <f>IF(ORIG!T580=0,"",ORIG!T580)</f>
        <v/>
      </c>
      <c r="U580" s="3">
        <f>IF(ORIG!U580=0,"",ORIG!U580)</f>
        <v/>
      </c>
      <c r="V580" s="9">
        <f>IF(ORIG!V580=0,"",ORIG!V580)</f>
        <v/>
      </c>
      <c r="W580" s="9">
        <f>IF(ORIG!W580=0,"",ORIG!W580)</f>
        <v/>
      </c>
      <c r="X580" s="9">
        <f>IF(ORIG!X580=0,"",ORIG!X580)</f>
        <v/>
      </c>
      <c r="Y580" s="9">
        <f>IF(ORIG!Y580=0,"",ORIG!Y580)</f>
        <v/>
      </c>
      <c r="Z580" s="3">
        <f>SUMPRODUCT($B580:$Y580,$B$2649:$Y$2649)</f>
        <v/>
      </c>
      <c r="AA580" s="3">
        <f>SUMPRODUCT($B580:$Y580,$B$2655:$Y$2655)</f>
        <v/>
      </c>
      <c r="AC580" s="1">
        <f>A580</f>
        <v/>
      </c>
      <c r="AD580">
        <f>IF(ISNUMBER(V580),V580*($AB$1/V$2635),"")</f>
        <v/>
      </c>
      <c r="AE580">
        <f>IF(ISNUMBER(Z580),Z580*($AB$1/Z$2635),"")</f>
        <v/>
      </c>
      <c r="AF580" s="25">
        <f>IF(ISNUMBER(AD580+AE580),AD580+AE580,"")</f>
        <v/>
      </c>
      <c r="AH580" s="1">
        <f>A580</f>
        <v/>
      </c>
      <c r="AI580">
        <f>IF(ISNUMBER((1+V580)*AI579),(1+V580)*AI579,AI579)</f>
        <v/>
      </c>
      <c r="AJ580">
        <f>IF(ISNUMBER((1+Z580)*AJ579),(1+Z580)*AJ579,AJ579)</f>
        <v/>
      </c>
    </row>
    <row r="581">
      <c r="A581" s="1" t="n">
        <v>42845</v>
      </c>
      <c r="B581" s="3">
        <f>IF(ORIG!B581=0,"",ORIG!B581)</f>
        <v/>
      </c>
      <c r="C581" s="3">
        <f>IF(ORIG!C581=0,"",ORIG!C581)</f>
        <v/>
      </c>
      <c r="D581" s="3">
        <f>IF(ORIG!D581=0,"",ORIG!D581)</f>
        <v/>
      </c>
      <c r="E581" s="3">
        <f>IF(ORIG!E581=0,"",ORIG!E581)</f>
        <v/>
      </c>
      <c r="F581" s="3">
        <f>IF(ORIG!F581=0,"",ORIG!F581)</f>
        <v/>
      </c>
      <c r="G581" s="3">
        <f>IF(ORIG!G581=0,"",ORIG!G581)</f>
        <v/>
      </c>
      <c r="H581" s="3">
        <f>IF(ORIG!H581=0,"",ORIG!H581)</f>
        <v/>
      </c>
      <c r="I581" s="3">
        <f>IF(ORIG!I581=0,"",ORIG!I581)</f>
        <v/>
      </c>
      <c r="J581" s="3">
        <f>IF(ORIG!J581=0,"",ORIG!J581)</f>
        <v/>
      </c>
      <c r="K581" s="3">
        <f>IF(ORIG!K581=0,"",ORIG!K581)</f>
        <v/>
      </c>
      <c r="L581" s="3">
        <f>IF(ORIG!L581=0,"",ORIG!L581)</f>
        <v/>
      </c>
      <c r="M581" s="3">
        <f>IF(ORIG!M581=0,"",ORIG!M581)</f>
        <v/>
      </c>
      <c r="N581" s="3">
        <f>IF(ORIG!N581=0,"",ORIG!N581)</f>
        <v/>
      </c>
      <c r="O581" s="3">
        <f>IF(ORIG!O581=0,"",ORIG!O581)</f>
        <v/>
      </c>
      <c r="P581" s="3">
        <f>IF(ORIG!P581=0,"",ORIG!P581)</f>
        <v/>
      </c>
      <c r="Q581" s="3">
        <f>IF(ORIG!Q581=0,"",ORIG!Q581)</f>
        <v/>
      </c>
      <c r="R581" s="3">
        <f>IF(ORIG!R581=0,"",ORIG!R581)</f>
        <v/>
      </c>
      <c r="S581" s="3">
        <f>IF(ORIG!S581=0,"",ORIG!S581)</f>
        <v/>
      </c>
      <c r="T581" s="3">
        <f>IF(ORIG!T581=0,"",ORIG!T581)</f>
        <v/>
      </c>
      <c r="U581" s="3">
        <f>IF(ORIG!U581=0,"",ORIG!U581)</f>
        <v/>
      </c>
      <c r="V581" s="9">
        <f>IF(ORIG!V581=0,"",ORIG!V581)</f>
        <v/>
      </c>
      <c r="W581" s="9">
        <f>IF(ORIG!W581=0,"",ORIG!W581)</f>
        <v/>
      </c>
      <c r="X581" s="9">
        <f>IF(ORIG!X581=0,"",ORIG!X581)</f>
        <v/>
      </c>
      <c r="Y581" s="9">
        <f>IF(ORIG!Y581=0,"",ORIG!Y581)</f>
        <v/>
      </c>
      <c r="Z581" s="3">
        <f>SUMPRODUCT($B581:$Y581,$B$2649:$Y$2649)</f>
        <v/>
      </c>
      <c r="AA581" s="3">
        <f>SUMPRODUCT($B581:$Y581,$B$2655:$Y$2655)</f>
        <v/>
      </c>
      <c r="AC581" s="1">
        <f>A581</f>
        <v/>
      </c>
      <c r="AD581">
        <f>IF(ISNUMBER(V581),V581*($AB$1/V$2635),"")</f>
        <v/>
      </c>
      <c r="AE581">
        <f>IF(ISNUMBER(Z581),Z581*($AB$1/Z$2635),"")</f>
        <v/>
      </c>
      <c r="AF581" s="25">
        <f>IF(ISNUMBER(AD581+AE581),AD581+AE581,"")</f>
        <v/>
      </c>
      <c r="AH581" s="1">
        <f>A581</f>
        <v/>
      </c>
      <c r="AI581">
        <f>IF(ISNUMBER((1+V581)*AI580),(1+V581)*AI580,AI580)</f>
        <v/>
      </c>
      <c r="AJ581">
        <f>IF(ISNUMBER((1+Z581)*AJ580),(1+Z581)*AJ580,AJ580)</f>
        <v/>
      </c>
    </row>
    <row r="582">
      <c r="A582" s="1" t="n">
        <v>42846</v>
      </c>
      <c r="B582" s="3">
        <f>IF(ORIG!B582=0,"",ORIG!B582)</f>
        <v/>
      </c>
      <c r="C582" s="3">
        <f>IF(ORIG!C582=0,"",ORIG!C582)</f>
        <v/>
      </c>
      <c r="D582" s="3">
        <f>IF(ORIG!D582=0,"",ORIG!D582)</f>
        <v/>
      </c>
      <c r="E582" s="3">
        <f>IF(ORIG!E582=0,"",ORIG!E582)</f>
        <v/>
      </c>
      <c r="F582" s="3">
        <f>IF(ORIG!F582=0,"",ORIG!F582)</f>
        <v/>
      </c>
      <c r="G582" s="3">
        <f>IF(ORIG!G582=0,"",ORIG!G582)</f>
        <v/>
      </c>
      <c r="H582" s="3">
        <f>IF(ORIG!H582=0,"",ORIG!H582)</f>
        <v/>
      </c>
      <c r="I582" s="3">
        <f>IF(ORIG!I582=0,"",ORIG!I582)</f>
        <v/>
      </c>
      <c r="J582" s="3">
        <f>IF(ORIG!J582=0,"",ORIG!J582)</f>
        <v/>
      </c>
      <c r="K582" s="3">
        <f>IF(ORIG!K582=0,"",ORIG!K582)</f>
        <v/>
      </c>
      <c r="L582" s="3">
        <f>IF(ORIG!L582=0,"",ORIG!L582)</f>
        <v/>
      </c>
      <c r="M582" s="3">
        <f>IF(ORIG!M582=0,"",ORIG!M582)</f>
        <v/>
      </c>
      <c r="N582" s="3">
        <f>IF(ORIG!N582=0,"",ORIG!N582)</f>
        <v/>
      </c>
      <c r="O582" s="3">
        <f>IF(ORIG!O582=0,"",ORIG!O582)</f>
        <v/>
      </c>
      <c r="P582" s="3">
        <f>IF(ORIG!P582=0,"",ORIG!P582)</f>
        <v/>
      </c>
      <c r="Q582" s="3">
        <f>IF(ORIG!Q582=0,"",ORIG!Q582)</f>
        <v/>
      </c>
      <c r="R582" s="3">
        <f>IF(ORIG!R582=0,"",ORIG!R582)</f>
        <v/>
      </c>
      <c r="S582" s="3">
        <f>IF(ORIG!S582=0,"",ORIG!S582)</f>
        <v/>
      </c>
      <c r="T582" s="3">
        <f>IF(ORIG!T582=0,"",ORIG!T582)</f>
        <v/>
      </c>
      <c r="U582" s="3">
        <f>IF(ORIG!U582=0,"",ORIG!U582)</f>
        <v/>
      </c>
      <c r="V582" s="9">
        <f>IF(ORIG!V582=0,"",ORIG!V582)</f>
        <v/>
      </c>
      <c r="W582" s="9">
        <f>IF(ORIG!W582=0,"",ORIG!W582)</f>
        <v/>
      </c>
      <c r="X582" s="9">
        <f>IF(ORIG!X582=0,"",ORIG!X582)</f>
        <v/>
      </c>
      <c r="Y582" s="9">
        <f>IF(ORIG!Y582=0,"",ORIG!Y582)</f>
        <v/>
      </c>
      <c r="Z582" s="3">
        <f>SUMPRODUCT($B582:$Y582,$B$2649:$Y$2649)</f>
        <v/>
      </c>
      <c r="AA582" s="3">
        <f>SUMPRODUCT($B582:$Y582,$B$2655:$Y$2655)</f>
        <v/>
      </c>
      <c r="AC582" s="1">
        <f>A582</f>
        <v/>
      </c>
      <c r="AD582">
        <f>IF(ISNUMBER(V582),V582*($AB$1/V$2635),"")</f>
        <v/>
      </c>
      <c r="AE582">
        <f>IF(ISNUMBER(Z582),Z582*($AB$1/Z$2635),"")</f>
        <v/>
      </c>
      <c r="AF582" s="25">
        <f>IF(ISNUMBER(AD582+AE582),AD582+AE582,"")</f>
        <v/>
      </c>
      <c r="AH582" s="1">
        <f>A582</f>
        <v/>
      </c>
      <c r="AI582">
        <f>IF(ISNUMBER((1+V582)*AI581),(1+V582)*AI581,AI581)</f>
        <v/>
      </c>
      <c r="AJ582">
        <f>IF(ISNUMBER((1+Z582)*AJ581),(1+Z582)*AJ581,AJ581)</f>
        <v/>
      </c>
    </row>
    <row r="583">
      <c r="A583" s="1" t="n">
        <v>42849</v>
      </c>
      <c r="B583" s="3">
        <f>IF(ORIG!B583=0,"",ORIG!B583)</f>
        <v/>
      </c>
      <c r="C583" s="3">
        <f>IF(ORIG!C583=0,"",ORIG!C583)</f>
        <v/>
      </c>
      <c r="D583" s="3">
        <f>IF(ORIG!D583=0,"",ORIG!D583)</f>
        <v/>
      </c>
      <c r="E583" s="3">
        <f>IF(ORIG!E583=0,"",ORIG!E583)</f>
        <v/>
      </c>
      <c r="F583" s="3">
        <f>IF(ORIG!F583=0,"",ORIG!F583)</f>
        <v/>
      </c>
      <c r="G583" s="3">
        <f>IF(ORIG!G583=0,"",ORIG!G583)</f>
        <v/>
      </c>
      <c r="H583" s="3">
        <f>IF(ORIG!H583=0,"",ORIG!H583)</f>
        <v/>
      </c>
      <c r="I583" s="3">
        <f>IF(ORIG!I583=0,"",ORIG!I583)</f>
        <v/>
      </c>
      <c r="J583" s="3">
        <f>IF(ORIG!J583=0,"",ORIG!J583)</f>
        <v/>
      </c>
      <c r="K583" s="3">
        <f>IF(ORIG!K583=0,"",ORIG!K583)</f>
        <v/>
      </c>
      <c r="L583" s="3">
        <f>IF(ORIG!L583=0,"",ORIG!L583)</f>
        <v/>
      </c>
      <c r="M583" s="3">
        <f>IF(ORIG!M583=0,"",ORIG!M583)</f>
        <v/>
      </c>
      <c r="N583" s="3">
        <f>IF(ORIG!N583=0,"",ORIG!N583)</f>
        <v/>
      </c>
      <c r="O583" s="3">
        <f>IF(ORIG!O583=0,"",ORIG!O583)</f>
        <v/>
      </c>
      <c r="P583" s="3">
        <f>IF(ORIG!P583=0,"",ORIG!P583)</f>
        <v/>
      </c>
      <c r="Q583" s="3">
        <f>IF(ORIG!Q583=0,"",ORIG!Q583)</f>
        <v/>
      </c>
      <c r="R583" s="3">
        <f>IF(ORIG!R583=0,"",ORIG!R583)</f>
        <v/>
      </c>
      <c r="S583" s="3">
        <f>IF(ORIG!S583=0,"",ORIG!S583)</f>
        <v/>
      </c>
      <c r="T583" s="3">
        <f>IF(ORIG!T583=0,"",ORIG!T583)</f>
        <v/>
      </c>
      <c r="U583" s="3">
        <f>IF(ORIG!U583=0,"",ORIG!U583)</f>
        <v/>
      </c>
      <c r="V583" s="9">
        <f>IF(ORIG!V583=0,"",ORIG!V583)</f>
        <v/>
      </c>
      <c r="W583" s="9">
        <f>IF(ORIG!W583=0,"",ORIG!W583)</f>
        <v/>
      </c>
      <c r="X583" s="9">
        <f>IF(ORIG!X583=0,"",ORIG!X583)</f>
        <v/>
      </c>
      <c r="Y583" s="9">
        <f>IF(ORIG!Y583=0,"",ORIG!Y583)</f>
        <v/>
      </c>
      <c r="Z583" s="3">
        <f>SUMPRODUCT($B583:$Y583,$B$2649:$Y$2649)</f>
        <v/>
      </c>
      <c r="AA583" s="3">
        <f>SUMPRODUCT($B583:$Y583,$B$2655:$Y$2655)</f>
        <v/>
      </c>
      <c r="AC583" s="1">
        <f>A583</f>
        <v/>
      </c>
      <c r="AD583">
        <f>IF(ISNUMBER(V583),V583*($AB$1/V$2635),"")</f>
        <v/>
      </c>
      <c r="AE583">
        <f>IF(ISNUMBER(Z583),Z583*($AB$1/Z$2635),"")</f>
        <v/>
      </c>
      <c r="AF583" s="25">
        <f>IF(ISNUMBER(AD583+AE583),AD583+AE583,"")</f>
        <v/>
      </c>
      <c r="AH583" s="1">
        <f>A583</f>
        <v/>
      </c>
      <c r="AI583">
        <f>IF(ISNUMBER((1+V583)*AI582),(1+V583)*AI582,AI582)</f>
        <v/>
      </c>
      <c r="AJ583">
        <f>IF(ISNUMBER((1+Z583)*AJ582),(1+Z583)*AJ582,AJ582)</f>
        <v/>
      </c>
    </row>
    <row r="584">
      <c r="A584" s="1" t="n">
        <v>42850</v>
      </c>
      <c r="B584" s="3">
        <f>IF(ORIG!B584=0,"",ORIG!B584)</f>
        <v/>
      </c>
      <c r="C584" s="3">
        <f>IF(ORIG!C584=0,"",ORIG!C584)</f>
        <v/>
      </c>
      <c r="D584" s="3">
        <f>IF(ORIG!D584=0,"",ORIG!D584)</f>
        <v/>
      </c>
      <c r="E584" s="3">
        <f>IF(ORIG!E584=0,"",ORIG!E584)</f>
        <v/>
      </c>
      <c r="F584" s="3">
        <f>IF(ORIG!F584=0,"",ORIG!F584)</f>
        <v/>
      </c>
      <c r="G584" s="3">
        <f>IF(ORIG!G584=0,"",ORIG!G584)</f>
        <v/>
      </c>
      <c r="H584" s="3">
        <f>IF(ORIG!H584=0,"",ORIG!H584)</f>
        <v/>
      </c>
      <c r="I584" s="3">
        <f>IF(ORIG!I584=0,"",ORIG!I584)</f>
        <v/>
      </c>
      <c r="J584" s="3">
        <f>IF(ORIG!J584=0,"",ORIG!J584)</f>
        <v/>
      </c>
      <c r="K584" s="3">
        <f>IF(ORIG!K584=0,"",ORIG!K584)</f>
        <v/>
      </c>
      <c r="L584" s="3">
        <f>IF(ORIG!L584=0,"",ORIG!L584)</f>
        <v/>
      </c>
      <c r="M584" s="3">
        <f>IF(ORIG!M584=0,"",ORIG!M584)</f>
        <v/>
      </c>
      <c r="N584" s="3">
        <f>IF(ORIG!N584=0,"",ORIG!N584)</f>
        <v/>
      </c>
      <c r="O584" s="3">
        <f>IF(ORIG!O584=0,"",ORIG!O584)</f>
        <v/>
      </c>
      <c r="P584" s="3">
        <f>IF(ORIG!P584=0,"",ORIG!P584)</f>
        <v/>
      </c>
      <c r="Q584" s="3">
        <f>IF(ORIG!Q584=0,"",ORIG!Q584)</f>
        <v/>
      </c>
      <c r="R584" s="3">
        <f>IF(ORIG!R584=0,"",ORIG!R584)</f>
        <v/>
      </c>
      <c r="S584" s="3">
        <f>IF(ORIG!S584=0,"",ORIG!S584)</f>
        <v/>
      </c>
      <c r="T584" s="3">
        <f>IF(ORIG!T584=0,"",ORIG!T584)</f>
        <v/>
      </c>
      <c r="U584" s="3">
        <f>IF(ORIG!U584=0,"",ORIG!U584)</f>
        <v/>
      </c>
      <c r="V584" s="9">
        <f>IF(ORIG!V584=0,"",ORIG!V584)</f>
        <v/>
      </c>
      <c r="W584" s="9">
        <f>IF(ORIG!W584=0,"",ORIG!W584)</f>
        <v/>
      </c>
      <c r="X584" s="9">
        <f>IF(ORIG!X584=0,"",ORIG!X584)</f>
        <v/>
      </c>
      <c r="Y584" s="9">
        <f>IF(ORIG!Y584=0,"",ORIG!Y584)</f>
        <v/>
      </c>
      <c r="Z584" s="3">
        <f>SUMPRODUCT($B584:$Y584,$B$2649:$Y$2649)</f>
        <v/>
      </c>
      <c r="AA584" s="3">
        <f>SUMPRODUCT($B584:$Y584,$B$2655:$Y$2655)</f>
        <v/>
      </c>
      <c r="AC584" s="1">
        <f>A584</f>
        <v/>
      </c>
      <c r="AD584">
        <f>IF(ISNUMBER(V584),V584*($AB$1/V$2635),"")</f>
        <v/>
      </c>
      <c r="AE584">
        <f>IF(ISNUMBER(Z584),Z584*($AB$1/Z$2635),"")</f>
        <v/>
      </c>
      <c r="AF584" s="25">
        <f>IF(ISNUMBER(AD584+AE584),AD584+AE584,"")</f>
        <v/>
      </c>
      <c r="AH584" s="1">
        <f>A584</f>
        <v/>
      </c>
      <c r="AI584">
        <f>IF(ISNUMBER((1+V584)*AI583),(1+V584)*AI583,AI583)</f>
        <v/>
      </c>
      <c r="AJ584">
        <f>IF(ISNUMBER((1+Z584)*AJ583),(1+Z584)*AJ583,AJ583)</f>
        <v/>
      </c>
    </row>
    <row r="585">
      <c r="A585" s="1" t="n">
        <v>42851</v>
      </c>
      <c r="B585" s="3">
        <f>IF(ORIG!B585=0,"",ORIG!B585)</f>
        <v/>
      </c>
      <c r="C585" s="3">
        <f>IF(ORIG!C585=0,"",ORIG!C585)</f>
        <v/>
      </c>
      <c r="D585" s="3">
        <f>IF(ORIG!D585=0,"",ORIG!D585)</f>
        <v/>
      </c>
      <c r="E585" s="3">
        <f>IF(ORIG!E585=0,"",ORIG!E585)</f>
        <v/>
      </c>
      <c r="F585" s="3">
        <f>IF(ORIG!F585=0,"",ORIG!F585)</f>
        <v/>
      </c>
      <c r="G585" s="3">
        <f>IF(ORIG!G585=0,"",ORIG!G585)</f>
        <v/>
      </c>
      <c r="H585" s="3">
        <f>IF(ORIG!H585=0,"",ORIG!H585)</f>
        <v/>
      </c>
      <c r="I585" s="3">
        <f>IF(ORIG!I585=0,"",ORIG!I585)</f>
        <v/>
      </c>
      <c r="J585" s="3">
        <f>IF(ORIG!J585=0,"",ORIG!J585)</f>
        <v/>
      </c>
      <c r="K585" s="3">
        <f>IF(ORIG!K585=0,"",ORIG!K585)</f>
        <v/>
      </c>
      <c r="L585" s="3">
        <f>IF(ORIG!L585=0,"",ORIG!L585)</f>
        <v/>
      </c>
      <c r="M585" s="3">
        <f>IF(ORIG!M585=0,"",ORIG!M585)</f>
        <v/>
      </c>
      <c r="N585" s="3">
        <f>IF(ORIG!N585=0,"",ORIG!N585)</f>
        <v/>
      </c>
      <c r="O585" s="3">
        <f>IF(ORIG!O585=0,"",ORIG!O585)</f>
        <v/>
      </c>
      <c r="P585" s="3">
        <f>IF(ORIG!P585=0,"",ORIG!P585)</f>
        <v/>
      </c>
      <c r="Q585" s="3">
        <f>IF(ORIG!Q585=0,"",ORIG!Q585)</f>
        <v/>
      </c>
      <c r="R585" s="3">
        <f>IF(ORIG!R585=0,"",ORIG!R585)</f>
        <v/>
      </c>
      <c r="S585" s="3">
        <f>IF(ORIG!S585=0,"",ORIG!S585)</f>
        <v/>
      </c>
      <c r="T585" s="3">
        <f>IF(ORIG!T585=0,"",ORIG!T585)</f>
        <v/>
      </c>
      <c r="U585" s="3">
        <f>IF(ORIG!U585=0,"",ORIG!U585)</f>
        <v/>
      </c>
      <c r="V585" s="9">
        <f>IF(ORIG!V585=0,"",ORIG!V585)</f>
        <v/>
      </c>
      <c r="W585" s="9">
        <f>IF(ORIG!W585=0,"",ORIG!W585)</f>
        <v/>
      </c>
      <c r="X585" s="9">
        <f>IF(ORIG!X585=0,"",ORIG!X585)</f>
        <v/>
      </c>
      <c r="Y585" s="9">
        <f>IF(ORIG!Y585=0,"",ORIG!Y585)</f>
        <v/>
      </c>
      <c r="Z585" s="3">
        <f>SUMPRODUCT($B585:$Y585,$B$2649:$Y$2649)</f>
        <v/>
      </c>
      <c r="AA585" s="3">
        <f>SUMPRODUCT($B585:$Y585,$B$2655:$Y$2655)</f>
        <v/>
      </c>
      <c r="AC585" s="1">
        <f>A585</f>
        <v/>
      </c>
      <c r="AD585">
        <f>IF(ISNUMBER(V585),V585*($AB$1/V$2635),"")</f>
        <v/>
      </c>
      <c r="AE585">
        <f>IF(ISNUMBER(Z585),Z585*($AB$1/Z$2635),"")</f>
        <v/>
      </c>
      <c r="AF585" s="25">
        <f>IF(ISNUMBER(AD585+AE585),AD585+AE585,"")</f>
        <v/>
      </c>
      <c r="AH585" s="1">
        <f>A585</f>
        <v/>
      </c>
      <c r="AI585">
        <f>IF(ISNUMBER((1+V585)*AI584),(1+V585)*AI584,AI584)</f>
        <v/>
      </c>
      <c r="AJ585">
        <f>IF(ISNUMBER((1+Z585)*AJ584),(1+Z585)*AJ584,AJ584)</f>
        <v/>
      </c>
    </row>
    <row r="586">
      <c r="A586" s="1" t="n">
        <v>42852</v>
      </c>
      <c r="B586" s="3">
        <f>IF(ORIG!B586=0,"",ORIG!B586)</f>
        <v/>
      </c>
      <c r="C586" s="3">
        <f>IF(ORIG!C586=0,"",ORIG!C586)</f>
        <v/>
      </c>
      <c r="D586" s="3">
        <f>IF(ORIG!D586=0,"",ORIG!D586)</f>
        <v/>
      </c>
      <c r="E586" s="3">
        <f>IF(ORIG!E586=0,"",ORIG!E586)</f>
        <v/>
      </c>
      <c r="F586" s="3">
        <f>IF(ORIG!F586=0,"",ORIG!F586)</f>
        <v/>
      </c>
      <c r="G586" s="3">
        <f>IF(ORIG!G586=0,"",ORIG!G586)</f>
        <v/>
      </c>
      <c r="H586" s="3">
        <f>IF(ORIG!H586=0,"",ORIG!H586)</f>
        <v/>
      </c>
      <c r="I586" s="3">
        <f>IF(ORIG!I586=0,"",ORIG!I586)</f>
        <v/>
      </c>
      <c r="J586" s="3">
        <f>IF(ORIG!J586=0,"",ORIG!J586)</f>
        <v/>
      </c>
      <c r="K586" s="3">
        <f>IF(ORIG!K586=0,"",ORIG!K586)</f>
        <v/>
      </c>
      <c r="L586" s="3">
        <f>IF(ORIG!L586=0,"",ORIG!L586)</f>
        <v/>
      </c>
      <c r="M586" s="3">
        <f>IF(ORIG!M586=0,"",ORIG!M586)</f>
        <v/>
      </c>
      <c r="N586" s="3">
        <f>IF(ORIG!N586=0,"",ORIG!N586)</f>
        <v/>
      </c>
      <c r="O586" s="3">
        <f>IF(ORIG!O586=0,"",ORIG!O586)</f>
        <v/>
      </c>
      <c r="P586" s="3">
        <f>IF(ORIG!P586=0,"",ORIG!P586)</f>
        <v/>
      </c>
      <c r="Q586" s="3">
        <f>IF(ORIG!Q586=0,"",ORIG!Q586)</f>
        <v/>
      </c>
      <c r="R586" s="3">
        <f>IF(ORIG!R586=0,"",ORIG!R586)</f>
        <v/>
      </c>
      <c r="S586" s="3">
        <f>IF(ORIG!S586=0,"",ORIG!S586)</f>
        <v/>
      </c>
      <c r="T586" s="3">
        <f>IF(ORIG!T586=0,"",ORIG!T586)</f>
        <v/>
      </c>
      <c r="U586" s="3">
        <f>IF(ORIG!U586=0,"",ORIG!U586)</f>
        <v/>
      </c>
      <c r="V586" s="9">
        <f>IF(ORIG!V586=0,"",ORIG!V586)</f>
        <v/>
      </c>
      <c r="W586" s="9">
        <f>IF(ORIG!W586=0,"",ORIG!W586)</f>
        <v/>
      </c>
      <c r="X586" s="9">
        <f>IF(ORIG!X586=0,"",ORIG!X586)</f>
        <v/>
      </c>
      <c r="Y586" s="9">
        <f>IF(ORIG!Y586=0,"",ORIG!Y586)</f>
        <v/>
      </c>
      <c r="Z586" s="3">
        <f>SUMPRODUCT($B586:$Y586,$B$2649:$Y$2649)</f>
        <v/>
      </c>
      <c r="AA586" s="3">
        <f>SUMPRODUCT($B586:$Y586,$B$2655:$Y$2655)</f>
        <v/>
      </c>
      <c r="AC586" s="1">
        <f>A586</f>
        <v/>
      </c>
      <c r="AD586">
        <f>IF(ISNUMBER(V586),V586*($AB$1/V$2635),"")</f>
        <v/>
      </c>
      <c r="AE586">
        <f>IF(ISNUMBER(Z586),Z586*($AB$1/Z$2635),"")</f>
        <v/>
      </c>
      <c r="AF586" s="25">
        <f>IF(ISNUMBER(AD586+AE586),AD586+AE586,"")</f>
        <v/>
      </c>
      <c r="AH586" s="1">
        <f>A586</f>
        <v/>
      </c>
      <c r="AI586">
        <f>IF(ISNUMBER((1+V586)*AI585),(1+V586)*AI585,AI585)</f>
        <v/>
      </c>
      <c r="AJ586">
        <f>IF(ISNUMBER((1+Z586)*AJ585),(1+Z586)*AJ585,AJ585)</f>
        <v/>
      </c>
    </row>
    <row r="587">
      <c r="A587" s="1" t="n">
        <v>42853</v>
      </c>
      <c r="B587" s="3">
        <f>IF(ORIG!B587=0,"",ORIG!B587)</f>
        <v/>
      </c>
      <c r="C587" s="3">
        <f>IF(ORIG!C587=0,"",ORIG!C587)</f>
        <v/>
      </c>
      <c r="D587" s="3">
        <f>IF(ORIG!D587=0,"",ORIG!D587)</f>
        <v/>
      </c>
      <c r="E587" s="3">
        <f>IF(ORIG!E587=0,"",ORIG!E587)</f>
        <v/>
      </c>
      <c r="F587" s="3">
        <f>IF(ORIG!F587=0,"",ORIG!F587)</f>
        <v/>
      </c>
      <c r="G587" s="3">
        <f>IF(ORIG!G587=0,"",ORIG!G587)</f>
        <v/>
      </c>
      <c r="H587" s="3">
        <f>IF(ORIG!H587=0,"",ORIG!H587)</f>
        <v/>
      </c>
      <c r="I587" s="3">
        <f>IF(ORIG!I587=0,"",ORIG!I587)</f>
        <v/>
      </c>
      <c r="J587" s="3">
        <f>IF(ORIG!J587=0,"",ORIG!J587)</f>
        <v/>
      </c>
      <c r="K587" s="3">
        <f>IF(ORIG!K587=0,"",ORIG!K587)</f>
        <v/>
      </c>
      <c r="L587" s="3">
        <f>IF(ORIG!L587=0,"",ORIG!L587)</f>
        <v/>
      </c>
      <c r="M587" s="3">
        <f>IF(ORIG!M587=0,"",ORIG!M587)</f>
        <v/>
      </c>
      <c r="N587" s="3">
        <f>IF(ORIG!N587=0,"",ORIG!N587)</f>
        <v/>
      </c>
      <c r="O587" s="3">
        <f>IF(ORIG!O587=0,"",ORIG!O587)</f>
        <v/>
      </c>
      <c r="P587" s="3">
        <f>IF(ORIG!P587=0,"",ORIG!P587)</f>
        <v/>
      </c>
      <c r="Q587" s="3">
        <f>IF(ORIG!Q587=0,"",ORIG!Q587)</f>
        <v/>
      </c>
      <c r="R587" s="3">
        <f>IF(ORIG!R587=0,"",ORIG!R587)</f>
        <v/>
      </c>
      <c r="S587" s="3">
        <f>IF(ORIG!S587=0,"",ORIG!S587)</f>
        <v/>
      </c>
      <c r="T587" s="3">
        <f>IF(ORIG!T587=0,"",ORIG!T587)</f>
        <v/>
      </c>
      <c r="U587" s="3">
        <f>IF(ORIG!U587=0,"",ORIG!U587)</f>
        <v/>
      </c>
      <c r="V587" s="9">
        <f>IF(ORIG!V587=0,"",ORIG!V587)</f>
        <v/>
      </c>
      <c r="W587" s="9">
        <f>IF(ORIG!W587=0,"",ORIG!W587)</f>
        <v/>
      </c>
      <c r="X587" s="9">
        <f>IF(ORIG!X587=0,"",ORIG!X587)</f>
        <v/>
      </c>
      <c r="Y587" s="9">
        <f>IF(ORIG!Y587=0,"",ORIG!Y587)</f>
        <v/>
      </c>
      <c r="Z587" s="3">
        <f>SUMPRODUCT($B587:$Y587,$B$2649:$Y$2649)</f>
        <v/>
      </c>
      <c r="AA587" s="3">
        <f>SUMPRODUCT($B587:$Y587,$B$2655:$Y$2655)</f>
        <v/>
      </c>
      <c r="AC587" s="1">
        <f>A587</f>
        <v/>
      </c>
      <c r="AD587">
        <f>IF(ISNUMBER(V587),V587*($AB$1/V$2635),"")</f>
        <v/>
      </c>
      <c r="AE587">
        <f>IF(ISNUMBER(Z587),Z587*($AB$1/Z$2635),"")</f>
        <v/>
      </c>
      <c r="AF587" s="25">
        <f>IF(ISNUMBER(AD587+AE587),AD587+AE587,"")</f>
        <v/>
      </c>
      <c r="AH587" s="1">
        <f>A587</f>
        <v/>
      </c>
      <c r="AI587">
        <f>IF(ISNUMBER((1+V587)*AI586),(1+V587)*AI586,AI586)</f>
        <v/>
      </c>
      <c r="AJ587">
        <f>IF(ISNUMBER((1+Z587)*AJ586),(1+Z587)*AJ586,AJ586)</f>
        <v/>
      </c>
    </row>
    <row r="588">
      <c r="A588" s="1" t="n">
        <v>42856</v>
      </c>
      <c r="B588" s="3">
        <f>IF(ORIG!B588=0,"",ORIG!B588)</f>
        <v/>
      </c>
      <c r="C588" s="3">
        <f>IF(ORIG!C588=0,"",ORIG!C588)</f>
        <v/>
      </c>
      <c r="D588" s="3">
        <f>IF(ORIG!D588=0,"",ORIG!D588)</f>
        <v/>
      </c>
      <c r="E588" s="3">
        <f>IF(ORIG!E588=0,"",ORIG!E588)</f>
        <v/>
      </c>
      <c r="F588" s="3">
        <f>IF(ORIG!F588=0,"",ORIG!F588)</f>
        <v/>
      </c>
      <c r="G588" s="3">
        <f>IF(ORIG!G588=0,"",ORIG!G588)</f>
        <v/>
      </c>
      <c r="H588" s="3">
        <f>IF(ORIG!H588=0,"",ORIG!H588)</f>
        <v/>
      </c>
      <c r="I588" s="3">
        <f>IF(ORIG!I588=0,"",ORIG!I588)</f>
        <v/>
      </c>
      <c r="J588" s="3">
        <f>IF(ORIG!J588=0,"",ORIG!J588)</f>
        <v/>
      </c>
      <c r="K588" s="3">
        <f>IF(ORIG!K588=0,"",ORIG!K588)</f>
        <v/>
      </c>
      <c r="L588" s="3">
        <f>IF(ORIG!L588=0,"",ORIG!L588)</f>
        <v/>
      </c>
      <c r="M588" s="3">
        <f>IF(ORIG!M588=0,"",ORIG!M588)</f>
        <v/>
      </c>
      <c r="N588" s="3">
        <f>IF(ORIG!N588=0,"",ORIG!N588)</f>
        <v/>
      </c>
      <c r="O588" s="3">
        <f>IF(ORIG!O588=0,"",ORIG!O588)</f>
        <v/>
      </c>
      <c r="P588" s="3">
        <f>IF(ORIG!P588=0,"",ORIG!P588)</f>
        <v/>
      </c>
      <c r="Q588" s="3">
        <f>IF(ORIG!Q588=0,"",ORIG!Q588)</f>
        <v/>
      </c>
      <c r="R588" s="3">
        <f>IF(ORIG!R588=0,"",ORIG!R588)</f>
        <v/>
      </c>
      <c r="S588" s="3">
        <f>IF(ORIG!S588=0,"",ORIG!S588)</f>
        <v/>
      </c>
      <c r="T588" s="3">
        <f>IF(ORIG!T588=0,"",ORIG!T588)</f>
        <v/>
      </c>
      <c r="U588" s="3">
        <f>IF(ORIG!U588=0,"",ORIG!U588)</f>
        <v/>
      </c>
      <c r="V588" s="9">
        <f>IF(ORIG!V588=0,"",ORIG!V588)</f>
        <v/>
      </c>
      <c r="W588" s="9">
        <f>IF(ORIG!W588=0,"",ORIG!W588)</f>
        <v/>
      </c>
      <c r="X588" s="9">
        <f>IF(ORIG!X588=0,"",ORIG!X588)</f>
        <v/>
      </c>
      <c r="Y588" s="9">
        <f>IF(ORIG!Y588=0,"",ORIG!Y588)</f>
        <v/>
      </c>
      <c r="Z588" s="3">
        <f>SUMPRODUCT($B588:$Y588,$B$2649:$Y$2649)</f>
        <v/>
      </c>
      <c r="AA588" s="3">
        <f>SUMPRODUCT($B588:$Y588,$B$2655:$Y$2655)</f>
        <v/>
      </c>
      <c r="AC588" s="1">
        <f>A588</f>
        <v/>
      </c>
      <c r="AD588">
        <f>IF(ISNUMBER(V588),V588*($AB$1/V$2635),"")</f>
        <v/>
      </c>
      <c r="AE588">
        <f>IF(ISNUMBER(Z588),Z588*($AB$1/Z$2635),"")</f>
        <v/>
      </c>
      <c r="AF588" s="25">
        <f>IF(ISNUMBER(AD588+AE588),AD588+AE588,"")</f>
        <v/>
      </c>
      <c r="AH588" s="1">
        <f>A588</f>
        <v/>
      </c>
      <c r="AI588">
        <f>IF(ISNUMBER((1+V588)*AI587),(1+V588)*AI587,AI587)</f>
        <v/>
      </c>
      <c r="AJ588">
        <f>IF(ISNUMBER((1+Z588)*AJ587),(1+Z588)*AJ587,AJ587)</f>
        <v/>
      </c>
    </row>
    <row r="589">
      <c r="A589" s="1" t="n">
        <v>42857</v>
      </c>
      <c r="B589" s="3">
        <f>IF(ORIG!B589=0,"",ORIG!B589)</f>
        <v/>
      </c>
      <c r="C589" s="3">
        <f>IF(ORIG!C589=0,"",ORIG!C589)</f>
        <v/>
      </c>
      <c r="D589" s="3">
        <f>IF(ORIG!D589=0,"",ORIG!D589)</f>
        <v/>
      </c>
      <c r="E589" s="3">
        <f>IF(ORIG!E589=0,"",ORIG!E589)</f>
        <v/>
      </c>
      <c r="F589" s="3">
        <f>IF(ORIG!F589=0,"",ORIG!F589)</f>
        <v/>
      </c>
      <c r="G589" s="3">
        <f>IF(ORIG!G589=0,"",ORIG!G589)</f>
        <v/>
      </c>
      <c r="H589" s="3">
        <f>IF(ORIG!H589=0,"",ORIG!H589)</f>
        <v/>
      </c>
      <c r="I589" s="3">
        <f>IF(ORIG!I589=0,"",ORIG!I589)</f>
        <v/>
      </c>
      <c r="J589" s="3">
        <f>IF(ORIG!J589=0,"",ORIG!J589)</f>
        <v/>
      </c>
      <c r="K589" s="3">
        <f>IF(ORIG!K589=0,"",ORIG!K589)</f>
        <v/>
      </c>
      <c r="L589" s="3">
        <f>IF(ORIG!L589=0,"",ORIG!L589)</f>
        <v/>
      </c>
      <c r="M589" s="3">
        <f>IF(ORIG!M589=0,"",ORIG!M589)</f>
        <v/>
      </c>
      <c r="N589" s="3">
        <f>IF(ORIG!N589=0,"",ORIG!N589)</f>
        <v/>
      </c>
      <c r="O589" s="3">
        <f>IF(ORIG!O589=0,"",ORIG!O589)</f>
        <v/>
      </c>
      <c r="P589" s="3">
        <f>IF(ORIG!P589=0,"",ORIG!P589)</f>
        <v/>
      </c>
      <c r="Q589" s="3">
        <f>IF(ORIG!Q589=0,"",ORIG!Q589)</f>
        <v/>
      </c>
      <c r="R589" s="3">
        <f>IF(ORIG!R589=0,"",ORIG!R589)</f>
        <v/>
      </c>
      <c r="S589" s="3">
        <f>IF(ORIG!S589=0,"",ORIG!S589)</f>
        <v/>
      </c>
      <c r="T589" s="3">
        <f>IF(ORIG!T589=0,"",ORIG!T589)</f>
        <v/>
      </c>
      <c r="U589" s="3">
        <f>IF(ORIG!U589=0,"",ORIG!U589)</f>
        <v/>
      </c>
      <c r="V589" s="9">
        <f>IF(ORIG!V589=0,"",ORIG!V589)</f>
        <v/>
      </c>
      <c r="W589" s="9">
        <f>IF(ORIG!W589=0,"",ORIG!W589)</f>
        <v/>
      </c>
      <c r="X589" s="9">
        <f>IF(ORIG!X589=0,"",ORIG!X589)</f>
        <v/>
      </c>
      <c r="Y589" s="9">
        <f>IF(ORIG!Y589=0,"",ORIG!Y589)</f>
        <v/>
      </c>
      <c r="Z589" s="3">
        <f>SUMPRODUCT($B589:$Y589,$B$2649:$Y$2649)</f>
        <v/>
      </c>
      <c r="AA589" s="3">
        <f>SUMPRODUCT($B589:$Y589,$B$2655:$Y$2655)</f>
        <v/>
      </c>
      <c r="AC589" s="1">
        <f>A589</f>
        <v/>
      </c>
      <c r="AD589">
        <f>IF(ISNUMBER(V589),V589*($AB$1/V$2635),"")</f>
        <v/>
      </c>
      <c r="AE589">
        <f>IF(ISNUMBER(Z589),Z589*($AB$1/Z$2635),"")</f>
        <v/>
      </c>
      <c r="AF589" s="25">
        <f>IF(ISNUMBER(AD589+AE589),AD589+AE589,"")</f>
        <v/>
      </c>
      <c r="AH589" s="1">
        <f>A589</f>
        <v/>
      </c>
      <c r="AI589">
        <f>IF(ISNUMBER((1+V589)*AI588),(1+V589)*AI588,AI588)</f>
        <v/>
      </c>
      <c r="AJ589">
        <f>IF(ISNUMBER((1+Z589)*AJ588),(1+Z589)*AJ588,AJ588)</f>
        <v/>
      </c>
    </row>
    <row r="590">
      <c r="A590" s="1" t="n">
        <v>42858</v>
      </c>
      <c r="B590" s="3">
        <f>IF(ORIG!B590=0,"",ORIG!B590)</f>
        <v/>
      </c>
      <c r="C590" s="3">
        <f>IF(ORIG!C590=0,"",ORIG!C590)</f>
        <v/>
      </c>
      <c r="D590" s="3">
        <f>IF(ORIG!D590=0,"",ORIG!D590)</f>
        <v/>
      </c>
      <c r="E590" s="3">
        <f>IF(ORIG!E590=0,"",ORIG!E590)</f>
        <v/>
      </c>
      <c r="F590" s="3">
        <f>IF(ORIG!F590=0,"",ORIG!F590)</f>
        <v/>
      </c>
      <c r="G590" s="3">
        <f>IF(ORIG!G590=0,"",ORIG!G590)</f>
        <v/>
      </c>
      <c r="H590" s="3">
        <f>IF(ORIG!H590=0,"",ORIG!H590)</f>
        <v/>
      </c>
      <c r="I590" s="3">
        <f>IF(ORIG!I590=0,"",ORIG!I590)</f>
        <v/>
      </c>
      <c r="J590" s="3">
        <f>IF(ORIG!J590=0,"",ORIG!J590)</f>
        <v/>
      </c>
      <c r="K590" s="3">
        <f>IF(ORIG!K590=0,"",ORIG!K590)</f>
        <v/>
      </c>
      <c r="L590" s="3">
        <f>IF(ORIG!L590=0,"",ORIG!L590)</f>
        <v/>
      </c>
      <c r="M590" s="3">
        <f>IF(ORIG!M590=0,"",ORIG!M590)</f>
        <v/>
      </c>
      <c r="N590" s="3">
        <f>IF(ORIG!N590=0,"",ORIG!N590)</f>
        <v/>
      </c>
      <c r="O590" s="3">
        <f>IF(ORIG!O590=0,"",ORIG!O590)</f>
        <v/>
      </c>
      <c r="P590" s="3">
        <f>IF(ORIG!P590=0,"",ORIG!P590)</f>
        <v/>
      </c>
      <c r="Q590" s="3">
        <f>IF(ORIG!Q590=0,"",ORIG!Q590)</f>
        <v/>
      </c>
      <c r="R590" s="3">
        <f>IF(ORIG!R590=0,"",ORIG!R590)</f>
        <v/>
      </c>
      <c r="S590" s="3">
        <f>IF(ORIG!S590=0,"",ORIG!S590)</f>
        <v/>
      </c>
      <c r="T590" s="3">
        <f>IF(ORIG!T590=0,"",ORIG!T590)</f>
        <v/>
      </c>
      <c r="U590" s="3">
        <f>IF(ORIG!U590=0,"",ORIG!U590)</f>
        <v/>
      </c>
      <c r="V590" s="9">
        <f>IF(ORIG!V590=0,"",ORIG!V590)</f>
        <v/>
      </c>
      <c r="W590" s="9">
        <f>IF(ORIG!W590=0,"",ORIG!W590)</f>
        <v/>
      </c>
      <c r="X590" s="9">
        <f>IF(ORIG!X590=0,"",ORIG!X590)</f>
        <v/>
      </c>
      <c r="Y590" s="9">
        <f>IF(ORIG!Y590=0,"",ORIG!Y590)</f>
        <v/>
      </c>
      <c r="Z590" s="3">
        <f>SUMPRODUCT($B590:$Y590,$B$2649:$Y$2649)</f>
        <v/>
      </c>
      <c r="AA590" s="3">
        <f>SUMPRODUCT($B590:$Y590,$B$2655:$Y$2655)</f>
        <v/>
      </c>
      <c r="AC590" s="1">
        <f>A590</f>
        <v/>
      </c>
      <c r="AD590">
        <f>IF(ISNUMBER(V590),V590*($AB$1/V$2635),"")</f>
        <v/>
      </c>
      <c r="AE590">
        <f>IF(ISNUMBER(Z590),Z590*($AB$1/Z$2635),"")</f>
        <v/>
      </c>
      <c r="AF590" s="25">
        <f>IF(ISNUMBER(AD590+AE590),AD590+AE590,"")</f>
        <v/>
      </c>
      <c r="AH590" s="1">
        <f>A590</f>
        <v/>
      </c>
      <c r="AI590">
        <f>IF(ISNUMBER((1+V590)*AI589),(1+V590)*AI589,AI589)</f>
        <v/>
      </c>
      <c r="AJ590">
        <f>IF(ISNUMBER((1+Z590)*AJ589),(1+Z590)*AJ589,AJ589)</f>
        <v/>
      </c>
    </row>
    <row r="591">
      <c r="A591" s="1" t="n">
        <v>42859</v>
      </c>
      <c r="B591" s="3">
        <f>IF(ORIG!B591=0,"",ORIG!B591)</f>
        <v/>
      </c>
      <c r="C591" s="3">
        <f>IF(ORIG!C591=0,"",ORIG!C591)</f>
        <v/>
      </c>
      <c r="D591" s="3">
        <f>IF(ORIG!D591=0,"",ORIG!D591)</f>
        <v/>
      </c>
      <c r="E591" s="3">
        <f>IF(ORIG!E591=0,"",ORIG!E591)</f>
        <v/>
      </c>
      <c r="F591" s="3">
        <f>IF(ORIG!F591=0,"",ORIG!F591)</f>
        <v/>
      </c>
      <c r="G591" s="3">
        <f>IF(ORIG!G591=0,"",ORIG!G591)</f>
        <v/>
      </c>
      <c r="H591" s="3">
        <f>IF(ORIG!H591=0,"",ORIG!H591)</f>
        <v/>
      </c>
      <c r="I591" s="3">
        <f>IF(ORIG!I591=0,"",ORIG!I591)</f>
        <v/>
      </c>
      <c r="J591" s="3">
        <f>IF(ORIG!J591=0,"",ORIG!J591)</f>
        <v/>
      </c>
      <c r="K591" s="3">
        <f>IF(ORIG!K591=0,"",ORIG!K591)</f>
        <v/>
      </c>
      <c r="L591" s="3">
        <f>IF(ORIG!L591=0,"",ORIG!L591)</f>
        <v/>
      </c>
      <c r="M591" s="3">
        <f>IF(ORIG!M591=0,"",ORIG!M591)</f>
        <v/>
      </c>
      <c r="N591" s="3">
        <f>IF(ORIG!N591=0,"",ORIG!N591)</f>
        <v/>
      </c>
      <c r="O591" s="3">
        <f>IF(ORIG!O591=0,"",ORIG!O591)</f>
        <v/>
      </c>
      <c r="P591" s="3">
        <f>IF(ORIG!P591=0,"",ORIG!P591)</f>
        <v/>
      </c>
      <c r="Q591" s="3">
        <f>IF(ORIG!Q591=0,"",ORIG!Q591)</f>
        <v/>
      </c>
      <c r="R591" s="3">
        <f>IF(ORIG!R591=0,"",ORIG!R591)</f>
        <v/>
      </c>
      <c r="S591" s="3">
        <f>IF(ORIG!S591=0,"",ORIG!S591)</f>
        <v/>
      </c>
      <c r="T591" s="3">
        <f>IF(ORIG!T591=0,"",ORIG!T591)</f>
        <v/>
      </c>
      <c r="U591" s="3">
        <f>IF(ORIG!U591=0,"",ORIG!U591)</f>
        <v/>
      </c>
      <c r="V591" s="9">
        <f>IF(ORIG!V591=0,"",ORIG!V591)</f>
        <v/>
      </c>
      <c r="W591" s="9">
        <f>IF(ORIG!W591=0,"",ORIG!W591)</f>
        <v/>
      </c>
      <c r="X591" s="9">
        <f>IF(ORIG!X591=0,"",ORIG!X591)</f>
        <v/>
      </c>
      <c r="Y591" s="9">
        <f>IF(ORIG!Y591=0,"",ORIG!Y591)</f>
        <v/>
      </c>
      <c r="Z591" s="3">
        <f>SUMPRODUCT($B591:$Y591,$B$2649:$Y$2649)</f>
        <v/>
      </c>
      <c r="AA591" s="3">
        <f>SUMPRODUCT($B591:$Y591,$B$2655:$Y$2655)</f>
        <v/>
      </c>
      <c r="AC591" s="1">
        <f>A591</f>
        <v/>
      </c>
      <c r="AD591">
        <f>IF(ISNUMBER(V591),V591*($AB$1/V$2635),"")</f>
        <v/>
      </c>
      <c r="AE591">
        <f>IF(ISNUMBER(Z591),Z591*($AB$1/Z$2635),"")</f>
        <v/>
      </c>
      <c r="AF591" s="25">
        <f>IF(ISNUMBER(AD591+AE591),AD591+AE591,"")</f>
        <v/>
      </c>
      <c r="AH591" s="1">
        <f>A591</f>
        <v/>
      </c>
      <c r="AI591">
        <f>IF(ISNUMBER((1+V591)*AI590),(1+V591)*AI590,AI590)</f>
        <v/>
      </c>
      <c r="AJ591">
        <f>IF(ISNUMBER((1+Z591)*AJ590),(1+Z591)*AJ590,AJ590)</f>
        <v/>
      </c>
    </row>
    <row r="592">
      <c r="A592" s="1" t="n">
        <v>42860</v>
      </c>
      <c r="B592" s="3">
        <f>IF(ORIG!B592=0,"",ORIG!B592)</f>
        <v/>
      </c>
      <c r="C592" s="3">
        <f>IF(ORIG!C592=0,"",ORIG!C592)</f>
        <v/>
      </c>
      <c r="D592" s="3">
        <f>IF(ORIG!D592=0,"",ORIG!D592)</f>
        <v/>
      </c>
      <c r="E592" s="3">
        <f>IF(ORIG!E592=0,"",ORIG!E592)</f>
        <v/>
      </c>
      <c r="F592" s="3">
        <f>IF(ORIG!F592=0,"",ORIG!F592)</f>
        <v/>
      </c>
      <c r="G592" s="3">
        <f>IF(ORIG!G592=0,"",ORIG!G592)</f>
        <v/>
      </c>
      <c r="H592" s="3">
        <f>IF(ORIG!H592=0,"",ORIG!H592)</f>
        <v/>
      </c>
      <c r="I592" s="3">
        <f>IF(ORIG!I592=0,"",ORIG!I592)</f>
        <v/>
      </c>
      <c r="J592" s="3">
        <f>IF(ORIG!J592=0,"",ORIG!J592)</f>
        <v/>
      </c>
      <c r="K592" s="3">
        <f>IF(ORIG!K592=0,"",ORIG!K592)</f>
        <v/>
      </c>
      <c r="L592" s="3">
        <f>IF(ORIG!L592=0,"",ORIG!L592)</f>
        <v/>
      </c>
      <c r="M592" s="3">
        <f>IF(ORIG!M592=0,"",ORIG!M592)</f>
        <v/>
      </c>
      <c r="N592" s="3">
        <f>IF(ORIG!N592=0,"",ORIG!N592)</f>
        <v/>
      </c>
      <c r="O592" s="3">
        <f>IF(ORIG!O592=0,"",ORIG!O592)</f>
        <v/>
      </c>
      <c r="P592" s="3">
        <f>IF(ORIG!P592=0,"",ORIG!P592)</f>
        <v/>
      </c>
      <c r="Q592" s="3">
        <f>IF(ORIG!Q592=0,"",ORIG!Q592)</f>
        <v/>
      </c>
      <c r="R592" s="3">
        <f>IF(ORIG!R592=0,"",ORIG!R592)</f>
        <v/>
      </c>
      <c r="S592" s="3">
        <f>IF(ORIG!S592=0,"",ORIG!S592)</f>
        <v/>
      </c>
      <c r="T592" s="3">
        <f>IF(ORIG!T592=0,"",ORIG!T592)</f>
        <v/>
      </c>
      <c r="U592" s="3">
        <f>IF(ORIG!U592=0,"",ORIG!U592)</f>
        <v/>
      </c>
      <c r="V592" s="9">
        <f>IF(ORIG!V592=0,"",ORIG!V592)</f>
        <v/>
      </c>
      <c r="W592" s="9">
        <f>IF(ORIG!W592=0,"",ORIG!W592)</f>
        <v/>
      </c>
      <c r="X592" s="9">
        <f>IF(ORIG!X592=0,"",ORIG!X592)</f>
        <v/>
      </c>
      <c r="Y592" s="9">
        <f>IF(ORIG!Y592=0,"",ORIG!Y592)</f>
        <v/>
      </c>
      <c r="Z592" s="3">
        <f>SUMPRODUCT($B592:$Y592,$B$2649:$Y$2649)</f>
        <v/>
      </c>
      <c r="AA592" s="3">
        <f>SUMPRODUCT($B592:$Y592,$B$2655:$Y$2655)</f>
        <v/>
      </c>
      <c r="AC592" s="1">
        <f>A592</f>
        <v/>
      </c>
      <c r="AD592">
        <f>IF(ISNUMBER(V592),V592*($AB$1/V$2635),"")</f>
        <v/>
      </c>
      <c r="AE592">
        <f>IF(ISNUMBER(Z592),Z592*($AB$1/Z$2635),"")</f>
        <v/>
      </c>
      <c r="AF592" s="25">
        <f>IF(ISNUMBER(AD592+AE592),AD592+AE592,"")</f>
        <v/>
      </c>
      <c r="AH592" s="1">
        <f>A592</f>
        <v/>
      </c>
      <c r="AI592">
        <f>IF(ISNUMBER((1+V592)*AI591),(1+V592)*AI591,AI591)</f>
        <v/>
      </c>
      <c r="AJ592">
        <f>IF(ISNUMBER((1+Z592)*AJ591),(1+Z592)*AJ591,AJ591)</f>
        <v/>
      </c>
    </row>
    <row r="593">
      <c r="A593" s="1" t="n">
        <v>42863</v>
      </c>
      <c r="B593" s="3">
        <f>IF(ORIG!B593=0,"",ORIG!B593)</f>
        <v/>
      </c>
      <c r="C593" s="3">
        <f>IF(ORIG!C593=0,"",ORIG!C593)</f>
        <v/>
      </c>
      <c r="D593" s="3">
        <f>IF(ORIG!D593=0,"",ORIG!D593)</f>
        <v/>
      </c>
      <c r="E593" s="3">
        <f>IF(ORIG!E593=0,"",ORIG!E593)</f>
        <v/>
      </c>
      <c r="F593" s="3">
        <f>IF(ORIG!F593=0,"",ORIG!F593)</f>
        <v/>
      </c>
      <c r="G593" s="3">
        <f>IF(ORIG!G593=0,"",ORIG!G593)</f>
        <v/>
      </c>
      <c r="H593" s="3">
        <f>IF(ORIG!H593=0,"",ORIG!H593)</f>
        <v/>
      </c>
      <c r="I593" s="3">
        <f>IF(ORIG!I593=0,"",ORIG!I593)</f>
        <v/>
      </c>
      <c r="J593" s="3">
        <f>IF(ORIG!J593=0,"",ORIG!J593)</f>
        <v/>
      </c>
      <c r="K593" s="3">
        <f>IF(ORIG!K593=0,"",ORIG!K593)</f>
        <v/>
      </c>
      <c r="L593" s="3">
        <f>IF(ORIG!L593=0,"",ORIG!L593)</f>
        <v/>
      </c>
      <c r="M593" s="3">
        <f>IF(ORIG!M593=0,"",ORIG!M593)</f>
        <v/>
      </c>
      <c r="N593" s="3">
        <f>IF(ORIG!N593=0,"",ORIG!N593)</f>
        <v/>
      </c>
      <c r="O593" s="3">
        <f>IF(ORIG!O593=0,"",ORIG!O593)</f>
        <v/>
      </c>
      <c r="P593" s="3">
        <f>IF(ORIG!P593=0,"",ORIG!P593)</f>
        <v/>
      </c>
      <c r="Q593" s="3">
        <f>IF(ORIG!Q593=0,"",ORIG!Q593)</f>
        <v/>
      </c>
      <c r="R593" s="3">
        <f>IF(ORIG!R593=0,"",ORIG!R593)</f>
        <v/>
      </c>
      <c r="S593" s="3">
        <f>IF(ORIG!S593=0,"",ORIG!S593)</f>
        <v/>
      </c>
      <c r="T593" s="3">
        <f>IF(ORIG!T593=0,"",ORIG!T593)</f>
        <v/>
      </c>
      <c r="U593" s="3">
        <f>IF(ORIG!U593=0,"",ORIG!U593)</f>
        <v/>
      </c>
      <c r="V593" s="9">
        <f>IF(ORIG!V593=0,"",ORIG!V593)</f>
        <v/>
      </c>
      <c r="W593" s="9">
        <f>IF(ORIG!W593=0,"",ORIG!W593)</f>
        <v/>
      </c>
      <c r="X593" s="9">
        <f>IF(ORIG!X593=0,"",ORIG!X593)</f>
        <v/>
      </c>
      <c r="Y593" s="9">
        <f>IF(ORIG!Y593=0,"",ORIG!Y593)</f>
        <v/>
      </c>
      <c r="Z593" s="3">
        <f>SUMPRODUCT($B593:$Y593,$B$2649:$Y$2649)</f>
        <v/>
      </c>
      <c r="AA593" s="3">
        <f>SUMPRODUCT($B593:$Y593,$B$2655:$Y$2655)</f>
        <v/>
      </c>
      <c r="AC593" s="1">
        <f>A593</f>
        <v/>
      </c>
      <c r="AD593">
        <f>IF(ISNUMBER(V593),V593*($AB$1/V$2635),"")</f>
        <v/>
      </c>
      <c r="AE593">
        <f>IF(ISNUMBER(Z593),Z593*($AB$1/Z$2635),"")</f>
        <v/>
      </c>
      <c r="AF593" s="25">
        <f>IF(ISNUMBER(AD593+AE593),AD593+AE593,"")</f>
        <v/>
      </c>
      <c r="AH593" s="1">
        <f>A593</f>
        <v/>
      </c>
      <c r="AI593">
        <f>IF(ISNUMBER((1+V593)*AI592),(1+V593)*AI592,AI592)</f>
        <v/>
      </c>
      <c r="AJ593">
        <f>IF(ISNUMBER((1+Z593)*AJ592),(1+Z593)*AJ592,AJ592)</f>
        <v/>
      </c>
    </row>
    <row r="594">
      <c r="A594" s="1" t="n">
        <v>42864</v>
      </c>
      <c r="B594" s="3">
        <f>IF(ORIG!B594=0,"",ORIG!B594)</f>
        <v/>
      </c>
      <c r="C594" s="3">
        <f>IF(ORIG!C594=0,"",ORIG!C594)</f>
        <v/>
      </c>
      <c r="D594" s="3">
        <f>IF(ORIG!D594=0,"",ORIG!D594)</f>
        <v/>
      </c>
      <c r="E594" s="3">
        <f>IF(ORIG!E594=0,"",ORIG!E594)</f>
        <v/>
      </c>
      <c r="F594" s="3">
        <f>IF(ORIG!F594=0,"",ORIG!F594)</f>
        <v/>
      </c>
      <c r="G594" s="3">
        <f>IF(ORIG!G594=0,"",ORIG!G594)</f>
        <v/>
      </c>
      <c r="H594" s="3">
        <f>IF(ORIG!H594=0,"",ORIG!H594)</f>
        <v/>
      </c>
      <c r="I594" s="3">
        <f>IF(ORIG!I594=0,"",ORIG!I594)</f>
        <v/>
      </c>
      <c r="J594" s="3">
        <f>IF(ORIG!J594=0,"",ORIG!J594)</f>
        <v/>
      </c>
      <c r="K594" s="3">
        <f>IF(ORIG!K594=0,"",ORIG!K594)</f>
        <v/>
      </c>
      <c r="L594" s="3">
        <f>IF(ORIG!L594=0,"",ORIG!L594)</f>
        <v/>
      </c>
      <c r="M594" s="3">
        <f>IF(ORIG!M594=0,"",ORIG!M594)</f>
        <v/>
      </c>
      <c r="N594" s="3">
        <f>IF(ORIG!N594=0,"",ORIG!N594)</f>
        <v/>
      </c>
      <c r="O594" s="3">
        <f>IF(ORIG!O594=0,"",ORIG!O594)</f>
        <v/>
      </c>
      <c r="P594" s="3">
        <f>IF(ORIG!P594=0,"",ORIG!P594)</f>
        <v/>
      </c>
      <c r="Q594" s="3">
        <f>IF(ORIG!Q594=0,"",ORIG!Q594)</f>
        <v/>
      </c>
      <c r="R594" s="3">
        <f>IF(ORIG!R594=0,"",ORIG!R594)</f>
        <v/>
      </c>
      <c r="S594" s="3">
        <f>IF(ORIG!S594=0,"",ORIG!S594)</f>
        <v/>
      </c>
      <c r="T594" s="3">
        <f>IF(ORIG!T594=0,"",ORIG!T594)</f>
        <v/>
      </c>
      <c r="U594" s="3">
        <f>IF(ORIG!U594=0,"",ORIG!U594)</f>
        <v/>
      </c>
      <c r="V594" s="9">
        <f>IF(ORIG!V594=0,"",ORIG!V594)</f>
        <v/>
      </c>
      <c r="W594" s="9">
        <f>IF(ORIG!W594=0,"",ORIG!W594)</f>
        <v/>
      </c>
      <c r="X594" s="9">
        <f>IF(ORIG!X594=0,"",ORIG!X594)</f>
        <v/>
      </c>
      <c r="Y594" s="9">
        <f>IF(ORIG!Y594=0,"",ORIG!Y594)</f>
        <v/>
      </c>
      <c r="Z594" s="3">
        <f>SUMPRODUCT($B594:$Y594,$B$2649:$Y$2649)</f>
        <v/>
      </c>
      <c r="AA594" s="3">
        <f>SUMPRODUCT($B594:$Y594,$B$2655:$Y$2655)</f>
        <v/>
      </c>
      <c r="AC594" s="1">
        <f>A594</f>
        <v/>
      </c>
      <c r="AD594">
        <f>IF(ISNUMBER(V594),V594*($AB$1/V$2635),"")</f>
        <v/>
      </c>
      <c r="AE594">
        <f>IF(ISNUMBER(Z594),Z594*($AB$1/Z$2635),"")</f>
        <v/>
      </c>
      <c r="AF594" s="25">
        <f>IF(ISNUMBER(AD594+AE594),AD594+AE594,"")</f>
        <v/>
      </c>
      <c r="AH594" s="1">
        <f>A594</f>
        <v/>
      </c>
      <c r="AI594">
        <f>IF(ISNUMBER((1+V594)*AI593),(1+V594)*AI593,AI593)</f>
        <v/>
      </c>
      <c r="AJ594">
        <f>IF(ISNUMBER((1+Z594)*AJ593),(1+Z594)*AJ593,AJ593)</f>
        <v/>
      </c>
    </row>
    <row r="595">
      <c r="A595" s="1" t="n">
        <v>42865</v>
      </c>
      <c r="B595" s="3">
        <f>IF(ORIG!B595=0,"",ORIG!B595)</f>
        <v/>
      </c>
      <c r="C595" s="3">
        <f>IF(ORIG!C595=0,"",ORIG!C595)</f>
        <v/>
      </c>
      <c r="D595" s="3">
        <f>IF(ORIG!D595=0,"",ORIG!D595)</f>
        <v/>
      </c>
      <c r="E595" s="3">
        <f>IF(ORIG!E595=0,"",ORIG!E595)</f>
        <v/>
      </c>
      <c r="F595" s="3">
        <f>IF(ORIG!F595=0,"",ORIG!F595)</f>
        <v/>
      </c>
      <c r="G595" s="3">
        <f>IF(ORIG!G595=0,"",ORIG!G595)</f>
        <v/>
      </c>
      <c r="H595" s="3">
        <f>IF(ORIG!H595=0,"",ORIG!H595)</f>
        <v/>
      </c>
      <c r="I595" s="3">
        <f>IF(ORIG!I595=0,"",ORIG!I595)</f>
        <v/>
      </c>
      <c r="J595" s="3">
        <f>IF(ORIG!J595=0,"",ORIG!J595)</f>
        <v/>
      </c>
      <c r="K595" s="3">
        <f>IF(ORIG!K595=0,"",ORIG!K595)</f>
        <v/>
      </c>
      <c r="L595" s="3">
        <f>IF(ORIG!L595=0,"",ORIG!L595)</f>
        <v/>
      </c>
      <c r="M595" s="3">
        <f>IF(ORIG!M595=0,"",ORIG!M595)</f>
        <v/>
      </c>
      <c r="N595" s="3">
        <f>IF(ORIG!N595=0,"",ORIG!N595)</f>
        <v/>
      </c>
      <c r="O595" s="3">
        <f>IF(ORIG!O595=0,"",ORIG!O595)</f>
        <v/>
      </c>
      <c r="P595" s="3">
        <f>IF(ORIG!P595=0,"",ORIG!P595)</f>
        <v/>
      </c>
      <c r="Q595" s="3">
        <f>IF(ORIG!Q595=0,"",ORIG!Q595)</f>
        <v/>
      </c>
      <c r="R595" s="3">
        <f>IF(ORIG!R595=0,"",ORIG!R595)</f>
        <v/>
      </c>
      <c r="S595" s="3">
        <f>IF(ORIG!S595=0,"",ORIG!S595)</f>
        <v/>
      </c>
      <c r="T595" s="3">
        <f>IF(ORIG!T595=0,"",ORIG!T595)</f>
        <v/>
      </c>
      <c r="U595" s="3">
        <f>IF(ORIG!U595=0,"",ORIG!U595)</f>
        <v/>
      </c>
      <c r="V595" s="9">
        <f>IF(ORIG!V595=0,"",ORIG!V595)</f>
        <v/>
      </c>
      <c r="W595" s="9">
        <f>IF(ORIG!W595=0,"",ORIG!W595)</f>
        <v/>
      </c>
      <c r="X595" s="9">
        <f>IF(ORIG!X595=0,"",ORIG!X595)</f>
        <v/>
      </c>
      <c r="Y595" s="9">
        <f>IF(ORIG!Y595=0,"",ORIG!Y595)</f>
        <v/>
      </c>
      <c r="Z595" s="3">
        <f>SUMPRODUCT($B595:$Y595,$B$2649:$Y$2649)</f>
        <v/>
      </c>
      <c r="AA595" s="3">
        <f>SUMPRODUCT($B595:$Y595,$B$2655:$Y$2655)</f>
        <v/>
      </c>
      <c r="AC595" s="1">
        <f>A595</f>
        <v/>
      </c>
      <c r="AD595">
        <f>IF(ISNUMBER(V595),V595*($AB$1/V$2635),"")</f>
        <v/>
      </c>
      <c r="AE595">
        <f>IF(ISNUMBER(Z595),Z595*($AB$1/Z$2635),"")</f>
        <v/>
      </c>
      <c r="AF595" s="25">
        <f>IF(ISNUMBER(AD595+AE595),AD595+AE595,"")</f>
        <v/>
      </c>
      <c r="AH595" s="1">
        <f>A595</f>
        <v/>
      </c>
      <c r="AI595">
        <f>IF(ISNUMBER((1+V595)*AI594),(1+V595)*AI594,AI594)</f>
        <v/>
      </c>
      <c r="AJ595">
        <f>IF(ISNUMBER((1+Z595)*AJ594),(1+Z595)*AJ594,AJ594)</f>
        <v/>
      </c>
    </row>
    <row r="596">
      <c r="A596" s="1" t="n">
        <v>42866</v>
      </c>
      <c r="B596" s="3">
        <f>IF(ORIG!B596=0,"",ORIG!B596)</f>
        <v/>
      </c>
      <c r="C596" s="3">
        <f>IF(ORIG!C596=0,"",ORIG!C596)</f>
        <v/>
      </c>
      <c r="D596" s="3">
        <f>IF(ORIG!D596=0,"",ORIG!D596)</f>
        <v/>
      </c>
      <c r="E596" s="3">
        <f>IF(ORIG!E596=0,"",ORIG!E596)</f>
        <v/>
      </c>
      <c r="F596" s="3">
        <f>IF(ORIG!F596=0,"",ORIG!F596)</f>
        <v/>
      </c>
      <c r="G596" s="3">
        <f>IF(ORIG!G596=0,"",ORIG!G596)</f>
        <v/>
      </c>
      <c r="H596" s="3">
        <f>IF(ORIG!H596=0,"",ORIG!H596)</f>
        <v/>
      </c>
      <c r="I596" s="3">
        <f>IF(ORIG!I596=0,"",ORIG!I596)</f>
        <v/>
      </c>
      <c r="J596" s="3">
        <f>IF(ORIG!J596=0,"",ORIG!J596)</f>
        <v/>
      </c>
      <c r="K596" s="3">
        <f>IF(ORIG!K596=0,"",ORIG!K596)</f>
        <v/>
      </c>
      <c r="L596" s="3">
        <f>IF(ORIG!L596=0,"",ORIG!L596)</f>
        <v/>
      </c>
      <c r="M596" s="3">
        <f>IF(ORIG!M596=0,"",ORIG!M596)</f>
        <v/>
      </c>
      <c r="N596" s="3">
        <f>IF(ORIG!N596=0,"",ORIG!N596)</f>
        <v/>
      </c>
      <c r="O596" s="3">
        <f>IF(ORIG!O596=0,"",ORIG!O596)</f>
        <v/>
      </c>
      <c r="P596" s="3">
        <f>IF(ORIG!P596=0,"",ORIG!P596)</f>
        <v/>
      </c>
      <c r="Q596" s="3">
        <f>IF(ORIG!Q596=0,"",ORIG!Q596)</f>
        <v/>
      </c>
      <c r="R596" s="3">
        <f>IF(ORIG!R596=0,"",ORIG!R596)</f>
        <v/>
      </c>
      <c r="S596" s="3">
        <f>IF(ORIG!S596=0,"",ORIG!S596)</f>
        <v/>
      </c>
      <c r="T596" s="3">
        <f>IF(ORIG!T596=0,"",ORIG!T596)</f>
        <v/>
      </c>
      <c r="U596" s="3">
        <f>IF(ORIG!U596=0,"",ORIG!U596)</f>
        <v/>
      </c>
      <c r="V596" s="9">
        <f>IF(ORIG!V596=0,"",ORIG!V596)</f>
        <v/>
      </c>
      <c r="W596" s="9">
        <f>IF(ORIG!W596=0,"",ORIG!W596)</f>
        <v/>
      </c>
      <c r="X596" s="9">
        <f>IF(ORIG!X596=0,"",ORIG!X596)</f>
        <v/>
      </c>
      <c r="Y596" s="9">
        <f>IF(ORIG!Y596=0,"",ORIG!Y596)</f>
        <v/>
      </c>
      <c r="Z596" s="3">
        <f>SUMPRODUCT($B596:$Y596,$B$2649:$Y$2649)</f>
        <v/>
      </c>
      <c r="AA596" s="3">
        <f>SUMPRODUCT($B596:$Y596,$B$2655:$Y$2655)</f>
        <v/>
      </c>
      <c r="AC596" s="1">
        <f>A596</f>
        <v/>
      </c>
      <c r="AD596">
        <f>IF(ISNUMBER(V596),V596*($AB$1/V$2635),"")</f>
        <v/>
      </c>
      <c r="AE596">
        <f>IF(ISNUMBER(Z596),Z596*($AB$1/Z$2635),"")</f>
        <v/>
      </c>
      <c r="AF596" s="25">
        <f>IF(ISNUMBER(AD596+AE596),AD596+AE596,"")</f>
        <v/>
      </c>
      <c r="AH596" s="1">
        <f>A596</f>
        <v/>
      </c>
      <c r="AI596">
        <f>IF(ISNUMBER((1+V596)*AI595),(1+V596)*AI595,AI595)</f>
        <v/>
      </c>
      <c r="AJ596">
        <f>IF(ISNUMBER((1+Z596)*AJ595),(1+Z596)*AJ595,AJ595)</f>
        <v/>
      </c>
    </row>
    <row r="597">
      <c r="A597" s="1" t="n">
        <v>42867</v>
      </c>
      <c r="B597" s="3">
        <f>IF(ORIG!B597=0,"",ORIG!B597)</f>
        <v/>
      </c>
      <c r="C597" s="3">
        <f>IF(ORIG!C597=0,"",ORIG!C597)</f>
        <v/>
      </c>
      <c r="D597" s="3">
        <f>IF(ORIG!D597=0,"",ORIG!D597)</f>
        <v/>
      </c>
      <c r="E597" s="3">
        <f>IF(ORIG!E597=0,"",ORIG!E597)</f>
        <v/>
      </c>
      <c r="F597" s="3">
        <f>IF(ORIG!F597=0,"",ORIG!F597)</f>
        <v/>
      </c>
      <c r="G597" s="3">
        <f>IF(ORIG!G597=0,"",ORIG!G597)</f>
        <v/>
      </c>
      <c r="H597" s="3">
        <f>IF(ORIG!H597=0,"",ORIG!H597)</f>
        <v/>
      </c>
      <c r="I597" s="3">
        <f>IF(ORIG!I597=0,"",ORIG!I597)</f>
        <v/>
      </c>
      <c r="J597" s="3">
        <f>IF(ORIG!J597=0,"",ORIG!J597)</f>
        <v/>
      </c>
      <c r="K597" s="3">
        <f>IF(ORIG!K597=0,"",ORIG!K597)</f>
        <v/>
      </c>
      <c r="L597" s="3">
        <f>IF(ORIG!L597=0,"",ORIG!L597)</f>
        <v/>
      </c>
      <c r="M597" s="3">
        <f>IF(ORIG!M597=0,"",ORIG!M597)</f>
        <v/>
      </c>
      <c r="N597" s="3">
        <f>IF(ORIG!N597=0,"",ORIG!N597)</f>
        <v/>
      </c>
      <c r="O597" s="3">
        <f>IF(ORIG!O597=0,"",ORIG!O597)</f>
        <v/>
      </c>
      <c r="P597" s="3">
        <f>IF(ORIG!P597=0,"",ORIG!P597)</f>
        <v/>
      </c>
      <c r="Q597" s="3">
        <f>IF(ORIG!Q597=0,"",ORIG!Q597)</f>
        <v/>
      </c>
      <c r="R597" s="3">
        <f>IF(ORIG!R597=0,"",ORIG!R597)</f>
        <v/>
      </c>
      <c r="S597" s="3">
        <f>IF(ORIG!S597=0,"",ORIG!S597)</f>
        <v/>
      </c>
      <c r="T597" s="3">
        <f>IF(ORIG!T597=0,"",ORIG!T597)</f>
        <v/>
      </c>
      <c r="U597" s="3">
        <f>IF(ORIG!U597=0,"",ORIG!U597)</f>
        <v/>
      </c>
      <c r="V597" s="9">
        <f>IF(ORIG!V597=0,"",ORIG!V597)</f>
        <v/>
      </c>
      <c r="W597" s="9">
        <f>IF(ORIG!W597=0,"",ORIG!W597)</f>
        <v/>
      </c>
      <c r="X597" s="9">
        <f>IF(ORIG!X597=0,"",ORIG!X597)</f>
        <v/>
      </c>
      <c r="Y597" s="9">
        <f>IF(ORIG!Y597=0,"",ORIG!Y597)</f>
        <v/>
      </c>
      <c r="Z597" s="3">
        <f>SUMPRODUCT($B597:$Y597,$B$2649:$Y$2649)</f>
        <v/>
      </c>
      <c r="AA597" s="3">
        <f>SUMPRODUCT($B597:$Y597,$B$2655:$Y$2655)</f>
        <v/>
      </c>
      <c r="AC597" s="1">
        <f>A597</f>
        <v/>
      </c>
      <c r="AD597">
        <f>IF(ISNUMBER(V597),V597*($AB$1/V$2635),"")</f>
        <v/>
      </c>
      <c r="AE597">
        <f>IF(ISNUMBER(Z597),Z597*($AB$1/Z$2635),"")</f>
        <v/>
      </c>
      <c r="AF597" s="25">
        <f>IF(ISNUMBER(AD597+AE597),AD597+AE597,"")</f>
        <v/>
      </c>
      <c r="AH597" s="1">
        <f>A597</f>
        <v/>
      </c>
      <c r="AI597">
        <f>IF(ISNUMBER((1+V597)*AI596),(1+V597)*AI596,AI596)</f>
        <v/>
      </c>
      <c r="AJ597">
        <f>IF(ISNUMBER((1+Z597)*AJ596),(1+Z597)*AJ596,AJ596)</f>
        <v/>
      </c>
    </row>
    <row r="598">
      <c r="A598" s="1" t="n">
        <v>42870</v>
      </c>
      <c r="B598" s="3">
        <f>IF(ORIG!B598=0,"",ORIG!B598)</f>
        <v/>
      </c>
      <c r="C598" s="3">
        <f>IF(ORIG!C598=0,"",ORIG!C598)</f>
        <v/>
      </c>
      <c r="D598" s="3">
        <f>IF(ORIG!D598=0,"",ORIG!D598)</f>
        <v/>
      </c>
      <c r="E598" s="3">
        <f>IF(ORIG!E598=0,"",ORIG!E598)</f>
        <v/>
      </c>
      <c r="F598" s="3">
        <f>IF(ORIG!F598=0,"",ORIG!F598)</f>
        <v/>
      </c>
      <c r="G598" s="3">
        <f>IF(ORIG!G598=0,"",ORIG!G598)</f>
        <v/>
      </c>
      <c r="H598" s="3">
        <f>IF(ORIG!H598=0,"",ORIG!H598)</f>
        <v/>
      </c>
      <c r="I598" s="3">
        <f>IF(ORIG!I598=0,"",ORIG!I598)</f>
        <v/>
      </c>
      <c r="J598" s="3">
        <f>IF(ORIG!J598=0,"",ORIG!J598)</f>
        <v/>
      </c>
      <c r="K598" s="3">
        <f>IF(ORIG!K598=0,"",ORIG!K598)</f>
        <v/>
      </c>
      <c r="L598" s="3">
        <f>IF(ORIG!L598=0,"",ORIG!L598)</f>
        <v/>
      </c>
      <c r="M598" s="3">
        <f>IF(ORIG!M598=0,"",ORIG!M598)</f>
        <v/>
      </c>
      <c r="N598" s="3">
        <f>IF(ORIG!N598=0,"",ORIG!N598)</f>
        <v/>
      </c>
      <c r="O598" s="3">
        <f>IF(ORIG!O598=0,"",ORIG!O598)</f>
        <v/>
      </c>
      <c r="P598" s="3">
        <f>IF(ORIG!P598=0,"",ORIG!P598)</f>
        <v/>
      </c>
      <c r="Q598" s="3">
        <f>IF(ORIG!Q598=0,"",ORIG!Q598)</f>
        <v/>
      </c>
      <c r="R598" s="3">
        <f>IF(ORIG!R598=0,"",ORIG!R598)</f>
        <v/>
      </c>
      <c r="S598" s="3">
        <f>IF(ORIG!S598=0,"",ORIG!S598)</f>
        <v/>
      </c>
      <c r="T598" s="3">
        <f>IF(ORIG!T598=0,"",ORIG!T598)</f>
        <v/>
      </c>
      <c r="U598" s="3">
        <f>IF(ORIG!U598=0,"",ORIG!U598)</f>
        <v/>
      </c>
      <c r="V598" s="9">
        <f>IF(ORIG!V598=0,"",ORIG!V598)</f>
        <v/>
      </c>
      <c r="W598" s="9">
        <f>IF(ORIG!W598=0,"",ORIG!W598)</f>
        <v/>
      </c>
      <c r="X598" s="9">
        <f>IF(ORIG!X598=0,"",ORIG!X598)</f>
        <v/>
      </c>
      <c r="Y598" s="9">
        <f>IF(ORIG!Y598=0,"",ORIG!Y598)</f>
        <v/>
      </c>
      <c r="Z598" s="3">
        <f>SUMPRODUCT($B598:$Y598,$B$2649:$Y$2649)</f>
        <v/>
      </c>
      <c r="AA598" s="3">
        <f>SUMPRODUCT($B598:$Y598,$B$2655:$Y$2655)</f>
        <v/>
      </c>
      <c r="AC598" s="1">
        <f>A598</f>
        <v/>
      </c>
      <c r="AD598">
        <f>IF(ISNUMBER(V598),V598*($AB$1/V$2635),"")</f>
        <v/>
      </c>
      <c r="AE598">
        <f>IF(ISNUMBER(Z598),Z598*($AB$1/Z$2635),"")</f>
        <v/>
      </c>
      <c r="AF598" s="25">
        <f>IF(ISNUMBER(AD598+AE598),AD598+AE598,"")</f>
        <v/>
      </c>
      <c r="AH598" s="1">
        <f>A598</f>
        <v/>
      </c>
      <c r="AI598">
        <f>IF(ISNUMBER((1+V598)*AI597),(1+V598)*AI597,AI597)</f>
        <v/>
      </c>
      <c r="AJ598">
        <f>IF(ISNUMBER((1+Z598)*AJ597),(1+Z598)*AJ597,AJ597)</f>
        <v/>
      </c>
    </row>
    <row r="599">
      <c r="A599" s="1" t="n">
        <v>42871</v>
      </c>
      <c r="B599" s="3">
        <f>IF(ORIG!B599=0,"",ORIG!B599)</f>
        <v/>
      </c>
      <c r="C599" s="3">
        <f>IF(ORIG!C599=0,"",ORIG!C599)</f>
        <v/>
      </c>
      <c r="D599" s="3">
        <f>IF(ORIG!D599=0,"",ORIG!D599)</f>
        <v/>
      </c>
      <c r="E599" s="3">
        <f>IF(ORIG!E599=0,"",ORIG!E599)</f>
        <v/>
      </c>
      <c r="F599" s="3">
        <f>IF(ORIG!F599=0,"",ORIG!F599)</f>
        <v/>
      </c>
      <c r="G599" s="3">
        <f>IF(ORIG!G599=0,"",ORIG!G599)</f>
        <v/>
      </c>
      <c r="H599" s="3">
        <f>IF(ORIG!H599=0,"",ORIG!H599)</f>
        <v/>
      </c>
      <c r="I599" s="3">
        <f>IF(ORIG!I599=0,"",ORIG!I599)</f>
        <v/>
      </c>
      <c r="J599" s="3">
        <f>IF(ORIG!J599=0,"",ORIG!J599)</f>
        <v/>
      </c>
      <c r="K599" s="3">
        <f>IF(ORIG!K599=0,"",ORIG!K599)</f>
        <v/>
      </c>
      <c r="L599" s="3">
        <f>IF(ORIG!L599=0,"",ORIG!L599)</f>
        <v/>
      </c>
      <c r="M599" s="3">
        <f>IF(ORIG!M599=0,"",ORIG!M599)</f>
        <v/>
      </c>
      <c r="N599" s="3">
        <f>IF(ORIG!N599=0,"",ORIG!N599)</f>
        <v/>
      </c>
      <c r="O599" s="3">
        <f>IF(ORIG!O599=0,"",ORIG!O599)</f>
        <v/>
      </c>
      <c r="P599" s="3">
        <f>IF(ORIG!P599=0,"",ORIG!P599)</f>
        <v/>
      </c>
      <c r="Q599" s="3">
        <f>IF(ORIG!Q599=0,"",ORIG!Q599)</f>
        <v/>
      </c>
      <c r="R599" s="3">
        <f>IF(ORIG!R599=0,"",ORIG!R599)</f>
        <v/>
      </c>
      <c r="S599" s="3">
        <f>IF(ORIG!S599=0,"",ORIG!S599)</f>
        <v/>
      </c>
      <c r="T599" s="3">
        <f>IF(ORIG!T599=0,"",ORIG!T599)</f>
        <v/>
      </c>
      <c r="U599" s="3">
        <f>IF(ORIG!U599=0,"",ORIG!U599)</f>
        <v/>
      </c>
      <c r="V599" s="9">
        <f>IF(ORIG!V599=0,"",ORIG!V599)</f>
        <v/>
      </c>
      <c r="W599" s="9">
        <f>IF(ORIG!W599=0,"",ORIG!W599)</f>
        <v/>
      </c>
      <c r="X599" s="9">
        <f>IF(ORIG!X599=0,"",ORIG!X599)</f>
        <v/>
      </c>
      <c r="Y599" s="9">
        <f>IF(ORIG!Y599=0,"",ORIG!Y599)</f>
        <v/>
      </c>
      <c r="Z599" s="3">
        <f>SUMPRODUCT($B599:$Y599,$B$2649:$Y$2649)</f>
        <v/>
      </c>
      <c r="AA599" s="3">
        <f>SUMPRODUCT($B599:$Y599,$B$2655:$Y$2655)</f>
        <v/>
      </c>
      <c r="AC599" s="1">
        <f>A599</f>
        <v/>
      </c>
      <c r="AD599">
        <f>IF(ISNUMBER(V599),V599*($AB$1/V$2635),"")</f>
        <v/>
      </c>
      <c r="AE599">
        <f>IF(ISNUMBER(Z599),Z599*($AB$1/Z$2635),"")</f>
        <v/>
      </c>
      <c r="AF599" s="25">
        <f>IF(ISNUMBER(AD599+AE599),AD599+AE599,"")</f>
        <v/>
      </c>
      <c r="AH599" s="1">
        <f>A599</f>
        <v/>
      </c>
      <c r="AI599">
        <f>IF(ISNUMBER((1+V599)*AI598),(1+V599)*AI598,AI598)</f>
        <v/>
      </c>
      <c r="AJ599">
        <f>IF(ISNUMBER((1+Z599)*AJ598),(1+Z599)*AJ598,AJ598)</f>
        <v/>
      </c>
    </row>
    <row r="600">
      <c r="A600" s="1" t="n">
        <v>42872</v>
      </c>
      <c r="B600" s="3">
        <f>IF(ORIG!B600=0,"",ORIG!B600)</f>
        <v/>
      </c>
      <c r="C600" s="3">
        <f>IF(ORIG!C600=0,"",ORIG!C600)</f>
        <v/>
      </c>
      <c r="D600" s="3">
        <f>IF(ORIG!D600=0,"",ORIG!D600)</f>
        <v/>
      </c>
      <c r="E600" s="3">
        <f>IF(ORIG!E600=0,"",ORIG!E600)</f>
        <v/>
      </c>
      <c r="F600" s="3">
        <f>IF(ORIG!F600=0,"",ORIG!F600)</f>
        <v/>
      </c>
      <c r="G600" s="3">
        <f>IF(ORIG!G600=0,"",ORIG!G600)</f>
        <v/>
      </c>
      <c r="H600" s="3">
        <f>IF(ORIG!H600=0,"",ORIG!H600)</f>
        <v/>
      </c>
      <c r="I600" s="3">
        <f>IF(ORIG!I600=0,"",ORIG!I600)</f>
        <v/>
      </c>
      <c r="J600" s="3">
        <f>IF(ORIG!J600=0,"",ORIG!J600)</f>
        <v/>
      </c>
      <c r="K600" s="3">
        <f>IF(ORIG!K600=0,"",ORIG!K600)</f>
        <v/>
      </c>
      <c r="L600" s="3">
        <f>IF(ORIG!L600=0,"",ORIG!L600)</f>
        <v/>
      </c>
      <c r="M600" s="3">
        <f>IF(ORIG!M600=0,"",ORIG!M600)</f>
        <v/>
      </c>
      <c r="N600" s="3">
        <f>IF(ORIG!N600=0,"",ORIG!N600)</f>
        <v/>
      </c>
      <c r="O600" s="3">
        <f>IF(ORIG!O600=0,"",ORIG!O600)</f>
        <v/>
      </c>
      <c r="P600" s="3">
        <f>IF(ORIG!P600=0,"",ORIG!P600)</f>
        <v/>
      </c>
      <c r="Q600" s="3">
        <f>IF(ORIG!Q600=0,"",ORIG!Q600)</f>
        <v/>
      </c>
      <c r="R600" s="3">
        <f>IF(ORIG!R600=0,"",ORIG!R600)</f>
        <v/>
      </c>
      <c r="S600" s="3">
        <f>IF(ORIG!S600=0,"",ORIG!S600)</f>
        <v/>
      </c>
      <c r="T600" s="3">
        <f>IF(ORIG!T600=0,"",ORIG!T600)</f>
        <v/>
      </c>
      <c r="U600" s="3">
        <f>IF(ORIG!U600=0,"",ORIG!U600)</f>
        <v/>
      </c>
      <c r="V600" s="9">
        <f>IF(ORIG!V600=0,"",ORIG!V600)</f>
        <v/>
      </c>
      <c r="W600" s="9">
        <f>IF(ORIG!W600=0,"",ORIG!W600)</f>
        <v/>
      </c>
      <c r="X600" s="9">
        <f>IF(ORIG!X600=0,"",ORIG!X600)</f>
        <v/>
      </c>
      <c r="Y600" s="9">
        <f>IF(ORIG!Y600=0,"",ORIG!Y600)</f>
        <v/>
      </c>
      <c r="Z600" s="3">
        <f>SUMPRODUCT($B600:$Y600,$B$2649:$Y$2649)</f>
        <v/>
      </c>
      <c r="AA600" s="3">
        <f>SUMPRODUCT($B600:$Y600,$B$2655:$Y$2655)</f>
        <v/>
      </c>
      <c r="AC600" s="1">
        <f>A600</f>
        <v/>
      </c>
      <c r="AD600">
        <f>IF(ISNUMBER(V600),V600*($AB$1/V$2635),"")</f>
        <v/>
      </c>
      <c r="AE600">
        <f>IF(ISNUMBER(Z600),Z600*($AB$1/Z$2635),"")</f>
        <v/>
      </c>
      <c r="AF600" s="25">
        <f>IF(ISNUMBER(AD600+AE600),AD600+AE600,"")</f>
        <v/>
      </c>
      <c r="AH600" s="1">
        <f>A600</f>
        <v/>
      </c>
      <c r="AI600">
        <f>IF(ISNUMBER((1+V600)*AI599),(1+V600)*AI599,AI599)</f>
        <v/>
      </c>
      <c r="AJ600">
        <f>IF(ISNUMBER((1+Z600)*AJ599),(1+Z600)*AJ599,AJ599)</f>
        <v/>
      </c>
    </row>
    <row r="601">
      <c r="A601" s="1" t="n">
        <v>42873</v>
      </c>
      <c r="B601" s="3">
        <f>IF(ORIG!B601=0,"",ORIG!B601)</f>
        <v/>
      </c>
      <c r="C601" s="3">
        <f>IF(ORIG!C601=0,"",ORIG!C601)</f>
        <v/>
      </c>
      <c r="D601" s="3">
        <f>IF(ORIG!D601=0,"",ORIG!D601)</f>
        <v/>
      </c>
      <c r="E601" s="3">
        <f>IF(ORIG!E601=0,"",ORIG!E601)</f>
        <v/>
      </c>
      <c r="F601" s="3">
        <f>IF(ORIG!F601=0,"",ORIG!F601)</f>
        <v/>
      </c>
      <c r="G601" s="3">
        <f>IF(ORIG!G601=0,"",ORIG!G601)</f>
        <v/>
      </c>
      <c r="H601" s="3">
        <f>IF(ORIG!H601=0,"",ORIG!H601)</f>
        <v/>
      </c>
      <c r="I601" s="3">
        <f>IF(ORIG!I601=0,"",ORIG!I601)</f>
        <v/>
      </c>
      <c r="J601" s="3">
        <f>IF(ORIG!J601=0,"",ORIG!J601)</f>
        <v/>
      </c>
      <c r="K601" s="3">
        <f>IF(ORIG!K601=0,"",ORIG!K601)</f>
        <v/>
      </c>
      <c r="L601" s="3">
        <f>IF(ORIG!L601=0,"",ORIG!L601)</f>
        <v/>
      </c>
      <c r="M601" s="3">
        <f>IF(ORIG!M601=0,"",ORIG!M601)</f>
        <v/>
      </c>
      <c r="N601" s="3">
        <f>IF(ORIG!N601=0,"",ORIG!N601)</f>
        <v/>
      </c>
      <c r="O601" s="3">
        <f>IF(ORIG!O601=0,"",ORIG!O601)</f>
        <v/>
      </c>
      <c r="P601" s="3">
        <f>IF(ORIG!P601=0,"",ORIG!P601)</f>
        <v/>
      </c>
      <c r="Q601" s="3">
        <f>IF(ORIG!Q601=0,"",ORIG!Q601)</f>
        <v/>
      </c>
      <c r="R601" s="3">
        <f>IF(ORIG!R601=0,"",ORIG!R601)</f>
        <v/>
      </c>
      <c r="S601" s="3">
        <f>IF(ORIG!S601=0,"",ORIG!S601)</f>
        <v/>
      </c>
      <c r="T601" s="3">
        <f>IF(ORIG!T601=0,"",ORIG!T601)</f>
        <v/>
      </c>
      <c r="U601" s="3">
        <f>IF(ORIG!U601=0,"",ORIG!U601)</f>
        <v/>
      </c>
      <c r="V601" s="9">
        <f>IF(ORIG!V601=0,"",ORIG!V601)</f>
        <v/>
      </c>
      <c r="W601" s="9">
        <f>IF(ORIG!W601=0,"",ORIG!W601)</f>
        <v/>
      </c>
      <c r="X601" s="9">
        <f>IF(ORIG!X601=0,"",ORIG!X601)</f>
        <v/>
      </c>
      <c r="Y601" s="9">
        <f>IF(ORIG!Y601=0,"",ORIG!Y601)</f>
        <v/>
      </c>
      <c r="Z601" s="3">
        <f>SUMPRODUCT($B601:$Y601,$B$2649:$Y$2649)</f>
        <v/>
      </c>
      <c r="AA601" s="3">
        <f>SUMPRODUCT($B601:$Y601,$B$2655:$Y$2655)</f>
        <v/>
      </c>
      <c r="AC601" s="1">
        <f>A601</f>
        <v/>
      </c>
      <c r="AD601">
        <f>IF(ISNUMBER(V601),V601*($AB$1/V$2635),"")</f>
        <v/>
      </c>
      <c r="AE601">
        <f>IF(ISNUMBER(Z601),Z601*($AB$1/Z$2635),"")</f>
        <v/>
      </c>
      <c r="AF601" s="25">
        <f>IF(ISNUMBER(AD601+AE601),AD601+AE601,"")</f>
        <v/>
      </c>
      <c r="AH601" s="1">
        <f>A601</f>
        <v/>
      </c>
      <c r="AI601">
        <f>IF(ISNUMBER((1+V601)*AI600),(1+V601)*AI600,AI600)</f>
        <v/>
      </c>
      <c r="AJ601">
        <f>IF(ISNUMBER((1+Z601)*AJ600),(1+Z601)*AJ600,AJ600)</f>
        <v/>
      </c>
    </row>
    <row r="602">
      <c r="A602" s="1" t="n">
        <v>42874</v>
      </c>
      <c r="B602" s="3">
        <f>IF(ORIG!B602=0,"",ORIG!B602)</f>
        <v/>
      </c>
      <c r="C602" s="3">
        <f>IF(ORIG!C602=0,"",ORIG!C602)</f>
        <v/>
      </c>
      <c r="D602" s="3">
        <f>IF(ORIG!D602=0,"",ORIG!D602)</f>
        <v/>
      </c>
      <c r="E602" s="3">
        <f>IF(ORIG!E602=0,"",ORIG!E602)</f>
        <v/>
      </c>
      <c r="F602" s="3">
        <f>IF(ORIG!F602=0,"",ORIG!F602)</f>
        <v/>
      </c>
      <c r="G602" s="3">
        <f>IF(ORIG!G602=0,"",ORIG!G602)</f>
        <v/>
      </c>
      <c r="H602" s="3">
        <f>IF(ORIG!H602=0,"",ORIG!H602)</f>
        <v/>
      </c>
      <c r="I602" s="3">
        <f>IF(ORIG!I602=0,"",ORIG!I602)</f>
        <v/>
      </c>
      <c r="J602" s="3">
        <f>IF(ORIG!J602=0,"",ORIG!J602)</f>
        <v/>
      </c>
      <c r="K602" s="3">
        <f>IF(ORIG!K602=0,"",ORIG!K602)</f>
        <v/>
      </c>
      <c r="L602" s="3">
        <f>IF(ORIG!L602=0,"",ORIG!L602)</f>
        <v/>
      </c>
      <c r="M602" s="3">
        <f>IF(ORIG!M602=0,"",ORIG!M602)</f>
        <v/>
      </c>
      <c r="N602" s="3">
        <f>IF(ORIG!N602=0,"",ORIG!N602)</f>
        <v/>
      </c>
      <c r="O602" s="3">
        <f>IF(ORIG!O602=0,"",ORIG!O602)</f>
        <v/>
      </c>
      <c r="P602" s="3">
        <f>IF(ORIG!P602=0,"",ORIG!P602)</f>
        <v/>
      </c>
      <c r="Q602" s="3">
        <f>IF(ORIG!Q602=0,"",ORIG!Q602)</f>
        <v/>
      </c>
      <c r="R602" s="3">
        <f>IF(ORIG!R602=0,"",ORIG!R602)</f>
        <v/>
      </c>
      <c r="S602" s="3">
        <f>IF(ORIG!S602=0,"",ORIG!S602)</f>
        <v/>
      </c>
      <c r="T602" s="3">
        <f>IF(ORIG!T602=0,"",ORIG!T602)</f>
        <v/>
      </c>
      <c r="U602" s="3">
        <f>IF(ORIG!U602=0,"",ORIG!U602)</f>
        <v/>
      </c>
      <c r="V602" s="9">
        <f>IF(ORIG!V602=0,"",ORIG!V602)</f>
        <v/>
      </c>
      <c r="W602" s="9">
        <f>IF(ORIG!W602=0,"",ORIG!W602)</f>
        <v/>
      </c>
      <c r="X602" s="9">
        <f>IF(ORIG!X602=0,"",ORIG!X602)</f>
        <v/>
      </c>
      <c r="Y602" s="9">
        <f>IF(ORIG!Y602=0,"",ORIG!Y602)</f>
        <v/>
      </c>
      <c r="Z602" s="3">
        <f>SUMPRODUCT($B602:$Y602,$B$2649:$Y$2649)</f>
        <v/>
      </c>
      <c r="AA602" s="3">
        <f>SUMPRODUCT($B602:$Y602,$B$2655:$Y$2655)</f>
        <v/>
      </c>
      <c r="AC602" s="1">
        <f>A602</f>
        <v/>
      </c>
      <c r="AD602">
        <f>IF(ISNUMBER(V602),V602*($AB$1/V$2635),"")</f>
        <v/>
      </c>
      <c r="AE602">
        <f>IF(ISNUMBER(Z602),Z602*($AB$1/Z$2635),"")</f>
        <v/>
      </c>
      <c r="AF602" s="25">
        <f>IF(ISNUMBER(AD602+AE602),AD602+AE602,"")</f>
        <v/>
      </c>
      <c r="AH602" s="1">
        <f>A602</f>
        <v/>
      </c>
      <c r="AI602">
        <f>IF(ISNUMBER((1+V602)*AI601),(1+V602)*AI601,AI601)</f>
        <v/>
      </c>
      <c r="AJ602">
        <f>IF(ISNUMBER((1+Z602)*AJ601),(1+Z602)*AJ601,AJ601)</f>
        <v/>
      </c>
    </row>
    <row r="603">
      <c r="A603" s="1" t="n">
        <v>42877</v>
      </c>
      <c r="B603" s="3">
        <f>IF(ORIG!B603=0,"",ORIG!B603)</f>
        <v/>
      </c>
      <c r="C603" s="3">
        <f>IF(ORIG!C603=0,"",ORIG!C603)</f>
        <v/>
      </c>
      <c r="D603" s="3">
        <f>IF(ORIG!D603=0,"",ORIG!D603)</f>
        <v/>
      </c>
      <c r="E603" s="3">
        <f>IF(ORIG!E603=0,"",ORIG!E603)</f>
        <v/>
      </c>
      <c r="F603" s="3">
        <f>IF(ORIG!F603=0,"",ORIG!F603)</f>
        <v/>
      </c>
      <c r="G603" s="3">
        <f>IF(ORIG!G603=0,"",ORIG!G603)</f>
        <v/>
      </c>
      <c r="H603" s="3">
        <f>IF(ORIG!H603=0,"",ORIG!H603)</f>
        <v/>
      </c>
      <c r="I603" s="3">
        <f>IF(ORIG!I603=0,"",ORIG!I603)</f>
        <v/>
      </c>
      <c r="J603" s="3">
        <f>IF(ORIG!J603=0,"",ORIG!J603)</f>
        <v/>
      </c>
      <c r="K603" s="3">
        <f>IF(ORIG!K603=0,"",ORIG!K603)</f>
        <v/>
      </c>
      <c r="L603" s="3">
        <f>IF(ORIG!L603=0,"",ORIG!L603)</f>
        <v/>
      </c>
      <c r="M603" s="3">
        <f>IF(ORIG!M603=0,"",ORIG!M603)</f>
        <v/>
      </c>
      <c r="N603" s="3">
        <f>IF(ORIG!N603=0,"",ORIG!N603)</f>
        <v/>
      </c>
      <c r="O603" s="3">
        <f>IF(ORIG!O603=0,"",ORIG!O603)</f>
        <v/>
      </c>
      <c r="P603" s="3">
        <f>IF(ORIG!P603=0,"",ORIG!P603)</f>
        <v/>
      </c>
      <c r="Q603" s="3">
        <f>IF(ORIG!Q603=0,"",ORIG!Q603)</f>
        <v/>
      </c>
      <c r="R603" s="3">
        <f>IF(ORIG!R603=0,"",ORIG!R603)</f>
        <v/>
      </c>
      <c r="S603" s="3">
        <f>IF(ORIG!S603=0,"",ORIG!S603)</f>
        <v/>
      </c>
      <c r="T603" s="3">
        <f>IF(ORIG!T603=0,"",ORIG!T603)</f>
        <v/>
      </c>
      <c r="U603" s="3">
        <f>IF(ORIG!U603=0,"",ORIG!U603)</f>
        <v/>
      </c>
      <c r="V603" s="9">
        <f>IF(ORIG!V603=0,"",ORIG!V603)</f>
        <v/>
      </c>
      <c r="W603" s="9">
        <f>IF(ORIG!W603=0,"",ORIG!W603)</f>
        <v/>
      </c>
      <c r="X603" s="9">
        <f>IF(ORIG!X603=0,"",ORIG!X603)</f>
        <v/>
      </c>
      <c r="Y603" s="9">
        <f>IF(ORIG!Y603=0,"",ORIG!Y603)</f>
        <v/>
      </c>
      <c r="Z603" s="3">
        <f>SUMPRODUCT($B603:$Y603,$B$2649:$Y$2649)</f>
        <v/>
      </c>
      <c r="AA603" s="3">
        <f>SUMPRODUCT($B603:$Y603,$B$2655:$Y$2655)</f>
        <v/>
      </c>
      <c r="AC603" s="1">
        <f>A603</f>
        <v/>
      </c>
      <c r="AD603">
        <f>IF(ISNUMBER(V603),V603*($AB$1/V$2635),"")</f>
        <v/>
      </c>
      <c r="AE603">
        <f>IF(ISNUMBER(Z603),Z603*($AB$1/Z$2635),"")</f>
        <v/>
      </c>
      <c r="AF603" s="25">
        <f>IF(ISNUMBER(AD603+AE603),AD603+AE603,"")</f>
        <v/>
      </c>
      <c r="AH603" s="1">
        <f>A603</f>
        <v/>
      </c>
      <c r="AI603">
        <f>IF(ISNUMBER((1+V603)*AI602),(1+V603)*AI602,AI602)</f>
        <v/>
      </c>
      <c r="AJ603">
        <f>IF(ISNUMBER((1+Z603)*AJ602),(1+Z603)*AJ602,AJ602)</f>
        <v/>
      </c>
    </row>
    <row r="604">
      <c r="A604" s="1" t="n">
        <v>42878</v>
      </c>
      <c r="B604" s="3">
        <f>IF(ORIG!B604=0,"",ORIG!B604)</f>
        <v/>
      </c>
      <c r="C604" s="3">
        <f>IF(ORIG!C604=0,"",ORIG!C604)</f>
        <v/>
      </c>
      <c r="D604" s="3">
        <f>IF(ORIG!D604=0,"",ORIG!D604)</f>
        <v/>
      </c>
      <c r="E604" s="3">
        <f>IF(ORIG!E604=0,"",ORIG!E604)</f>
        <v/>
      </c>
      <c r="F604" s="3">
        <f>IF(ORIG!F604=0,"",ORIG!F604)</f>
        <v/>
      </c>
      <c r="G604" s="3">
        <f>IF(ORIG!G604=0,"",ORIG!G604)</f>
        <v/>
      </c>
      <c r="H604" s="3">
        <f>IF(ORIG!H604=0,"",ORIG!H604)</f>
        <v/>
      </c>
      <c r="I604" s="3">
        <f>IF(ORIG!I604=0,"",ORIG!I604)</f>
        <v/>
      </c>
      <c r="J604" s="3">
        <f>IF(ORIG!J604=0,"",ORIG!J604)</f>
        <v/>
      </c>
      <c r="K604" s="3">
        <f>IF(ORIG!K604=0,"",ORIG!K604)</f>
        <v/>
      </c>
      <c r="L604" s="3">
        <f>IF(ORIG!L604=0,"",ORIG!L604)</f>
        <v/>
      </c>
      <c r="M604" s="3">
        <f>IF(ORIG!M604=0,"",ORIG!M604)</f>
        <v/>
      </c>
      <c r="N604" s="3">
        <f>IF(ORIG!N604=0,"",ORIG!N604)</f>
        <v/>
      </c>
      <c r="O604" s="3">
        <f>IF(ORIG!O604=0,"",ORIG!O604)</f>
        <v/>
      </c>
      <c r="P604" s="3">
        <f>IF(ORIG!P604=0,"",ORIG!P604)</f>
        <v/>
      </c>
      <c r="Q604" s="3">
        <f>IF(ORIG!Q604=0,"",ORIG!Q604)</f>
        <v/>
      </c>
      <c r="R604" s="3">
        <f>IF(ORIG!R604=0,"",ORIG!R604)</f>
        <v/>
      </c>
      <c r="S604" s="3">
        <f>IF(ORIG!S604=0,"",ORIG!S604)</f>
        <v/>
      </c>
      <c r="T604" s="3">
        <f>IF(ORIG!T604=0,"",ORIG!T604)</f>
        <v/>
      </c>
      <c r="U604" s="3">
        <f>IF(ORIG!U604=0,"",ORIG!U604)</f>
        <v/>
      </c>
      <c r="V604" s="9">
        <f>IF(ORIG!V604=0,"",ORIG!V604)</f>
        <v/>
      </c>
      <c r="W604" s="9">
        <f>IF(ORIG!W604=0,"",ORIG!W604)</f>
        <v/>
      </c>
      <c r="X604" s="9">
        <f>IF(ORIG!X604=0,"",ORIG!X604)</f>
        <v/>
      </c>
      <c r="Y604" s="9">
        <f>IF(ORIG!Y604=0,"",ORIG!Y604)</f>
        <v/>
      </c>
      <c r="Z604" s="3">
        <f>SUMPRODUCT($B604:$Y604,$B$2649:$Y$2649)</f>
        <v/>
      </c>
      <c r="AA604" s="3">
        <f>SUMPRODUCT($B604:$Y604,$B$2655:$Y$2655)</f>
        <v/>
      </c>
      <c r="AC604" s="1">
        <f>A604</f>
        <v/>
      </c>
      <c r="AD604">
        <f>IF(ISNUMBER(V604),V604*($AB$1/V$2635),"")</f>
        <v/>
      </c>
      <c r="AE604">
        <f>IF(ISNUMBER(Z604),Z604*($AB$1/Z$2635),"")</f>
        <v/>
      </c>
      <c r="AF604" s="25">
        <f>IF(ISNUMBER(AD604+AE604),AD604+AE604,"")</f>
        <v/>
      </c>
      <c r="AH604" s="1">
        <f>A604</f>
        <v/>
      </c>
      <c r="AI604">
        <f>IF(ISNUMBER((1+V604)*AI603),(1+V604)*AI603,AI603)</f>
        <v/>
      </c>
      <c r="AJ604">
        <f>IF(ISNUMBER((1+Z604)*AJ603),(1+Z604)*AJ603,AJ603)</f>
        <v/>
      </c>
    </row>
    <row r="605">
      <c r="A605" s="1" t="n">
        <v>42879</v>
      </c>
      <c r="B605" s="3">
        <f>IF(ORIG!B605=0,"",ORIG!B605)</f>
        <v/>
      </c>
      <c r="C605" s="3">
        <f>IF(ORIG!C605=0,"",ORIG!C605)</f>
        <v/>
      </c>
      <c r="D605" s="3">
        <f>IF(ORIG!D605=0,"",ORIG!D605)</f>
        <v/>
      </c>
      <c r="E605" s="3">
        <f>IF(ORIG!E605=0,"",ORIG!E605)</f>
        <v/>
      </c>
      <c r="F605" s="3">
        <f>IF(ORIG!F605=0,"",ORIG!F605)</f>
        <v/>
      </c>
      <c r="G605" s="3">
        <f>IF(ORIG!G605=0,"",ORIG!G605)</f>
        <v/>
      </c>
      <c r="H605" s="3">
        <f>IF(ORIG!H605=0,"",ORIG!H605)</f>
        <v/>
      </c>
      <c r="I605" s="3">
        <f>IF(ORIG!I605=0,"",ORIG!I605)</f>
        <v/>
      </c>
      <c r="J605" s="3">
        <f>IF(ORIG!J605=0,"",ORIG!J605)</f>
        <v/>
      </c>
      <c r="K605" s="3">
        <f>IF(ORIG!K605=0,"",ORIG!K605)</f>
        <v/>
      </c>
      <c r="L605" s="3">
        <f>IF(ORIG!L605=0,"",ORIG!L605)</f>
        <v/>
      </c>
      <c r="M605" s="3">
        <f>IF(ORIG!M605=0,"",ORIG!M605)</f>
        <v/>
      </c>
      <c r="N605" s="3">
        <f>IF(ORIG!N605=0,"",ORIG!N605)</f>
        <v/>
      </c>
      <c r="O605" s="3">
        <f>IF(ORIG!O605=0,"",ORIG!O605)</f>
        <v/>
      </c>
      <c r="P605" s="3">
        <f>IF(ORIG!P605=0,"",ORIG!P605)</f>
        <v/>
      </c>
      <c r="Q605" s="3">
        <f>IF(ORIG!Q605=0,"",ORIG!Q605)</f>
        <v/>
      </c>
      <c r="R605" s="3">
        <f>IF(ORIG!R605=0,"",ORIG!R605)</f>
        <v/>
      </c>
      <c r="S605" s="3">
        <f>IF(ORIG!S605=0,"",ORIG!S605)</f>
        <v/>
      </c>
      <c r="T605" s="3">
        <f>IF(ORIG!T605=0,"",ORIG!T605)</f>
        <v/>
      </c>
      <c r="U605" s="3">
        <f>IF(ORIG!U605=0,"",ORIG!U605)</f>
        <v/>
      </c>
      <c r="V605" s="9">
        <f>IF(ORIG!V605=0,"",ORIG!V605)</f>
        <v/>
      </c>
      <c r="W605" s="9">
        <f>IF(ORIG!W605=0,"",ORIG!W605)</f>
        <v/>
      </c>
      <c r="X605" s="9">
        <f>IF(ORIG!X605=0,"",ORIG!X605)</f>
        <v/>
      </c>
      <c r="Y605" s="9">
        <f>IF(ORIG!Y605=0,"",ORIG!Y605)</f>
        <v/>
      </c>
      <c r="Z605" s="3">
        <f>SUMPRODUCT($B605:$Y605,$B$2649:$Y$2649)</f>
        <v/>
      </c>
      <c r="AA605" s="3">
        <f>SUMPRODUCT($B605:$Y605,$B$2655:$Y$2655)</f>
        <v/>
      </c>
      <c r="AC605" s="1">
        <f>A605</f>
        <v/>
      </c>
      <c r="AD605">
        <f>IF(ISNUMBER(V605),V605*($AB$1/V$2635),"")</f>
        <v/>
      </c>
      <c r="AE605">
        <f>IF(ISNUMBER(Z605),Z605*($AB$1/Z$2635),"")</f>
        <v/>
      </c>
      <c r="AF605" s="25">
        <f>IF(ISNUMBER(AD605+AE605),AD605+AE605,"")</f>
        <v/>
      </c>
      <c r="AH605" s="1">
        <f>A605</f>
        <v/>
      </c>
      <c r="AI605">
        <f>IF(ISNUMBER((1+V605)*AI604),(1+V605)*AI604,AI604)</f>
        <v/>
      </c>
      <c r="AJ605">
        <f>IF(ISNUMBER((1+Z605)*AJ604),(1+Z605)*AJ604,AJ604)</f>
        <v/>
      </c>
    </row>
    <row r="606">
      <c r="A606" s="1" t="n">
        <v>42880</v>
      </c>
      <c r="B606" s="3">
        <f>IF(ORIG!B606=0,"",ORIG!B606)</f>
        <v/>
      </c>
      <c r="C606" s="3">
        <f>IF(ORIG!C606=0,"",ORIG!C606)</f>
        <v/>
      </c>
      <c r="D606" s="3">
        <f>IF(ORIG!D606=0,"",ORIG!D606)</f>
        <v/>
      </c>
      <c r="E606" s="3">
        <f>IF(ORIG!E606=0,"",ORIG!E606)</f>
        <v/>
      </c>
      <c r="F606" s="3">
        <f>IF(ORIG!F606=0,"",ORIG!F606)</f>
        <v/>
      </c>
      <c r="G606" s="3">
        <f>IF(ORIG!G606=0,"",ORIG!G606)</f>
        <v/>
      </c>
      <c r="H606" s="3">
        <f>IF(ORIG!H606=0,"",ORIG!H606)</f>
        <v/>
      </c>
      <c r="I606" s="3">
        <f>IF(ORIG!I606=0,"",ORIG!I606)</f>
        <v/>
      </c>
      <c r="J606" s="3">
        <f>IF(ORIG!J606=0,"",ORIG!J606)</f>
        <v/>
      </c>
      <c r="K606" s="3">
        <f>IF(ORIG!K606=0,"",ORIG!K606)</f>
        <v/>
      </c>
      <c r="L606" s="3">
        <f>IF(ORIG!L606=0,"",ORIG!L606)</f>
        <v/>
      </c>
      <c r="M606" s="3">
        <f>IF(ORIG!M606=0,"",ORIG!M606)</f>
        <v/>
      </c>
      <c r="N606" s="3">
        <f>IF(ORIG!N606=0,"",ORIG!N606)</f>
        <v/>
      </c>
      <c r="O606" s="3">
        <f>IF(ORIG!O606=0,"",ORIG!O606)</f>
        <v/>
      </c>
      <c r="P606" s="3">
        <f>IF(ORIG!P606=0,"",ORIG!P606)</f>
        <v/>
      </c>
      <c r="Q606" s="3">
        <f>IF(ORIG!Q606=0,"",ORIG!Q606)</f>
        <v/>
      </c>
      <c r="R606" s="3">
        <f>IF(ORIG!R606=0,"",ORIG!R606)</f>
        <v/>
      </c>
      <c r="S606" s="3">
        <f>IF(ORIG!S606=0,"",ORIG!S606)</f>
        <v/>
      </c>
      <c r="T606" s="3">
        <f>IF(ORIG!T606=0,"",ORIG!T606)</f>
        <v/>
      </c>
      <c r="U606" s="3">
        <f>IF(ORIG!U606=0,"",ORIG!U606)</f>
        <v/>
      </c>
      <c r="V606" s="9">
        <f>IF(ORIG!V606=0,"",ORIG!V606)</f>
        <v/>
      </c>
      <c r="W606" s="9">
        <f>IF(ORIG!W606=0,"",ORIG!W606)</f>
        <v/>
      </c>
      <c r="X606" s="9">
        <f>IF(ORIG!X606=0,"",ORIG!X606)</f>
        <v/>
      </c>
      <c r="Y606" s="9">
        <f>IF(ORIG!Y606=0,"",ORIG!Y606)</f>
        <v/>
      </c>
      <c r="Z606" s="3">
        <f>SUMPRODUCT($B606:$Y606,$B$2649:$Y$2649)</f>
        <v/>
      </c>
      <c r="AA606" s="3">
        <f>SUMPRODUCT($B606:$Y606,$B$2655:$Y$2655)</f>
        <v/>
      </c>
      <c r="AC606" s="1">
        <f>A606</f>
        <v/>
      </c>
      <c r="AD606">
        <f>IF(ISNUMBER(V606),V606*($AB$1/V$2635),"")</f>
        <v/>
      </c>
      <c r="AE606">
        <f>IF(ISNUMBER(Z606),Z606*($AB$1/Z$2635),"")</f>
        <v/>
      </c>
      <c r="AF606" s="25">
        <f>IF(ISNUMBER(AD606+AE606),AD606+AE606,"")</f>
        <v/>
      </c>
      <c r="AH606" s="1">
        <f>A606</f>
        <v/>
      </c>
      <c r="AI606">
        <f>IF(ISNUMBER((1+V606)*AI605),(1+V606)*AI605,AI605)</f>
        <v/>
      </c>
      <c r="AJ606">
        <f>IF(ISNUMBER((1+Z606)*AJ605),(1+Z606)*AJ605,AJ605)</f>
        <v/>
      </c>
    </row>
    <row r="607">
      <c r="A607" s="1" t="n">
        <v>42881</v>
      </c>
      <c r="B607" s="3">
        <f>IF(ORIG!B607=0,"",ORIG!B607)</f>
        <v/>
      </c>
      <c r="C607" s="3">
        <f>IF(ORIG!C607=0,"",ORIG!C607)</f>
        <v/>
      </c>
      <c r="D607" s="3">
        <f>IF(ORIG!D607=0,"",ORIG!D607)</f>
        <v/>
      </c>
      <c r="E607" s="3">
        <f>IF(ORIG!E607=0,"",ORIG!E607)</f>
        <v/>
      </c>
      <c r="F607" s="3">
        <f>IF(ORIG!F607=0,"",ORIG!F607)</f>
        <v/>
      </c>
      <c r="G607" s="3">
        <f>IF(ORIG!G607=0,"",ORIG!G607)</f>
        <v/>
      </c>
      <c r="H607" s="3">
        <f>IF(ORIG!H607=0,"",ORIG!H607)</f>
        <v/>
      </c>
      <c r="I607" s="3">
        <f>IF(ORIG!I607=0,"",ORIG!I607)</f>
        <v/>
      </c>
      <c r="J607" s="3">
        <f>IF(ORIG!J607=0,"",ORIG!J607)</f>
        <v/>
      </c>
      <c r="K607" s="3">
        <f>IF(ORIG!K607=0,"",ORIG!K607)</f>
        <v/>
      </c>
      <c r="L607" s="3">
        <f>IF(ORIG!L607=0,"",ORIG!L607)</f>
        <v/>
      </c>
      <c r="M607" s="3">
        <f>IF(ORIG!M607=0,"",ORIG!M607)</f>
        <v/>
      </c>
      <c r="N607" s="3">
        <f>IF(ORIG!N607=0,"",ORIG!N607)</f>
        <v/>
      </c>
      <c r="O607" s="3">
        <f>IF(ORIG!O607=0,"",ORIG!O607)</f>
        <v/>
      </c>
      <c r="P607" s="3">
        <f>IF(ORIG!P607=0,"",ORIG!P607)</f>
        <v/>
      </c>
      <c r="Q607" s="3">
        <f>IF(ORIG!Q607=0,"",ORIG!Q607)</f>
        <v/>
      </c>
      <c r="R607" s="3">
        <f>IF(ORIG!R607=0,"",ORIG!R607)</f>
        <v/>
      </c>
      <c r="S607" s="3">
        <f>IF(ORIG!S607=0,"",ORIG!S607)</f>
        <v/>
      </c>
      <c r="T607" s="3">
        <f>IF(ORIG!T607=0,"",ORIG!T607)</f>
        <v/>
      </c>
      <c r="U607" s="3">
        <f>IF(ORIG!U607=0,"",ORIG!U607)</f>
        <v/>
      </c>
      <c r="V607" s="9">
        <f>IF(ORIG!V607=0,"",ORIG!V607)</f>
        <v/>
      </c>
      <c r="W607" s="9">
        <f>IF(ORIG!W607=0,"",ORIG!W607)</f>
        <v/>
      </c>
      <c r="X607" s="9">
        <f>IF(ORIG!X607=0,"",ORIG!X607)</f>
        <v/>
      </c>
      <c r="Y607" s="9">
        <f>IF(ORIG!Y607=0,"",ORIG!Y607)</f>
        <v/>
      </c>
      <c r="Z607" s="3">
        <f>SUMPRODUCT($B607:$Y607,$B$2649:$Y$2649)</f>
        <v/>
      </c>
      <c r="AA607" s="3">
        <f>SUMPRODUCT($B607:$Y607,$B$2655:$Y$2655)</f>
        <v/>
      </c>
      <c r="AC607" s="1">
        <f>A607</f>
        <v/>
      </c>
      <c r="AD607">
        <f>IF(ISNUMBER(V607),V607*($AB$1/V$2635),"")</f>
        <v/>
      </c>
      <c r="AE607">
        <f>IF(ISNUMBER(Z607),Z607*($AB$1/Z$2635),"")</f>
        <v/>
      </c>
      <c r="AF607" s="25">
        <f>IF(ISNUMBER(AD607+AE607),AD607+AE607,"")</f>
        <v/>
      </c>
      <c r="AH607" s="1">
        <f>A607</f>
        <v/>
      </c>
      <c r="AI607">
        <f>IF(ISNUMBER((1+V607)*AI606),(1+V607)*AI606,AI606)</f>
        <v/>
      </c>
      <c r="AJ607">
        <f>IF(ISNUMBER((1+Z607)*AJ606),(1+Z607)*AJ606,AJ606)</f>
        <v/>
      </c>
    </row>
    <row r="608">
      <c r="A608" s="1" t="n">
        <v>42885</v>
      </c>
      <c r="B608" s="3">
        <f>IF(ORIG!B608=0,"",ORIG!B608)</f>
        <v/>
      </c>
      <c r="C608" s="3">
        <f>IF(ORIG!C608=0,"",ORIG!C608)</f>
        <v/>
      </c>
      <c r="D608" s="3">
        <f>IF(ORIG!D608=0,"",ORIG!D608)</f>
        <v/>
      </c>
      <c r="E608" s="3">
        <f>IF(ORIG!E608=0,"",ORIG!E608)</f>
        <v/>
      </c>
      <c r="F608" s="3">
        <f>IF(ORIG!F608=0,"",ORIG!F608)</f>
        <v/>
      </c>
      <c r="G608" s="3">
        <f>IF(ORIG!G608=0,"",ORIG!G608)</f>
        <v/>
      </c>
      <c r="H608" s="3">
        <f>IF(ORIG!H608=0,"",ORIG!H608)</f>
        <v/>
      </c>
      <c r="I608" s="3">
        <f>IF(ORIG!I608=0,"",ORIG!I608)</f>
        <v/>
      </c>
      <c r="J608" s="3">
        <f>IF(ORIG!J608=0,"",ORIG!J608)</f>
        <v/>
      </c>
      <c r="K608" s="3">
        <f>IF(ORIG!K608=0,"",ORIG!K608)</f>
        <v/>
      </c>
      <c r="L608" s="3">
        <f>IF(ORIG!L608=0,"",ORIG!L608)</f>
        <v/>
      </c>
      <c r="M608" s="3">
        <f>IF(ORIG!M608=0,"",ORIG!M608)</f>
        <v/>
      </c>
      <c r="N608" s="3">
        <f>IF(ORIG!N608=0,"",ORIG!N608)</f>
        <v/>
      </c>
      <c r="O608" s="3">
        <f>IF(ORIG!O608=0,"",ORIG!O608)</f>
        <v/>
      </c>
      <c r="P608" s="3">
        <f>IF(ORIG!P608=0,"",ORIG!P608)</f>
        <v/>
      </c>
      <c r="Q608" s="3">
        <f>IF(ORIG!Q608=0,"",ORIG!Q608)</f>
        <v/>
      </c>
      <c r="R608" s="3">
        <f>IF(ORIG!R608=0,"",ORIG!R608)</f>
        <v/>
      </c>
      <c r="S608" s="3">
        <f>IF(ORIG!S608=0,"",ORIG!S608)</f>
        <v/>
      </c>
      <c r="T608" s="3">
        <f>IF(ORIG!T608=0,"",ORIG!T608)</f>
        <v/>
      </c>
      <c r="U608" s="3">
        <f>IF(ORIG!U608=0,"",ORIG!U608)</f>
        <v/>
      </c>
      <c r="V608" s="9">
        <f>IF(ORIG!V608=0,"",ORIG!V608)</f>
        <v/>
      </c>
      <c r="W608" s="9">
        <f>IF(ORIG!W608=0,"",ORIG!W608)</f>
        <v/>
      </c>
      <c r="X608" s="9">
        <f>IF(ORIG!X608=0,"",ORIG!X608)</f>
        <v/>
      </c>
      <c r="Y608" s="9">
        <f>IF(ORIG!Y608=0,"",ORIG!Y608)</f>
        <v/>
      </c>
      <c r="Z608" s="3">
        <f>SUMPRODUCT($B608:$Y608,$B$2649:$Y$2649)</f>
        <v/>
      </c>
      <c r="AA608" s="3">
        <f>SUMPRODUCT($B608:$Y608,$B$2655:$Y$2655)</f>
        <v/>
      </c>
      <c r="AC608" s="1">
        <f>A608</f>
        <v/>
      </c>
      <c r="AD608">
        <f>IF(ISNUMBER(V608),V608*($AB$1/V$2635),"")</f>
        <v/>
      </c>
      <c r="AE608">
        <f>IF(ISNUMBER(Z608),Z608*($AB$1/Z$2635),"")</f>
        <v/>
      </c>
      <c r="AF608" s="25">
        <f>IF(ISNUMBER(AD608+AE608),AD608+AE608,"")</f>
        <v/>
      </c>
      <c r="AH608" s="1">
        <f>A608</f>
        <v/>
      </c>
      <c r="AI608">
        <f>IF(ISNUMBER((1+V608)*AI607),(1+V608)*AI607,AI607)</f>
        <v/>
      </c>
      <c r="AJ608">
        <f>IF(ISNUMBER((1+Z608)*AJ607),(1+Z608)*AJ607,AJ607)</f>
        <v/>
      </c>
    </row>
    <row r="609">
      <c r="A609" s="1" t="n">
        <v>42886</v>
      </c>
      <c r="B609" s="3">
        <f>IF(ORIG!B609=0,"",ORIG!B609)</f>
        <v/>
      </c>
      <c r="C609" s="3">
        <f>IF(ORIG!C609=0,"",ORIG!C609)</f>
        <v/>
      </c>
      <c r="D609" s="3">
        <f>IF(ORIG!D609=0,"",ORIG!D609)</f>
        <v/>
      </c>
      <c r="E609" s="3">
        <f>IF(ORIG!E609=0,"",ORIG!E609)</f>
        <v/>
      </c>
      <c r="F609" s="3">
        <f>IF(ORIG!F609=0,"",ORIG!F609)</f>
        <v/>
      </c>
      <c r="G609" s="3">
        <f>IF(ORIG!G609=0,"",ORIG!G609)</f>
        <v/>
      </c>
      <c r="H609" s="3">
        <f>IF(ORIG!H609=0,"",ORIG!H609)</f>
        <v/>
      </c>
      <c r="I609" s="3">
        <f>IF(ORIG!I609=0,"",ORIG!I609)</f>
        <v/>
      </c>
      <c r="J609" s="3">
        <f>IF(ORIG!J609=0,"",ORIG!J609)</f>
        <v/>
      </c>
      <c r="K609" s="3">
        <f>IF(ORIG!K609=0,"",ORIG!K609)</f>
        <v/>
      </c>
      <c r="L609" s="3">
        <f>IF(ORIG!L609=0,"",ORIG!L609)</f>
        <v/>
      </c>
      <c r="M609" s="3">
        <f>IF(ORIG!M609=0,"",ORIG!M609)</f>
        <v/>
      </c>
      <c r="N609" s="3">
        <f>IF(ORIG!N609=0,"",ORIG!N609)</f>
        <v/>
      </c>
      <c r="O609" s="3">
        <f>IF(ORIG!O609=0,"",ORIG!O609)</f>
        <v/>
      </c>
      <c r="P609" s="3">
        <f>IF(ORIG!P609=0,"",ORIG!P609)</f>
        <v/>
      </c>
      <c r="Q609" s="3">
        <f>IF(ORIG!Q609=0,"",ORIG!Q609)</f>
        <v/>
      </c>
      <c r="R609" s="3">
        <f>IF(ORIG!R609=0,"",ORIG!R609)</f>
        <v/>
      </c>
      <c r="S609" s="3">
        <f>IF(ORIG!S609=0,"",ORIG!S609)</f>
        <v/>
      </c>
      <c r="T609" s="3">
        <f>IF(ORIG!T609=0,"",ORIG!T609)</f>
        <v/>
      </c>
      <c r="U609" s="3">
        <f>IF(ORIG!U609=0,"",ORIG!U609)</f>
        <v/>
      </c>
      <c r="V609" s="9">
        <f>IF(ORIG!V609=0,"",ORIG!V609)</f>
        <v/>
      </c>
      <c r="W609" s="9">
        <f>IF(ORIG!W609=0,"",ORIG!W609)</f>
        <v/>
      </c>
      <c r="X609" s="9">
        <f>IF(ORIG!X609=0,"",ORIG!X609)</f>
        <v/>
      </c>
      <c r="Y609" s="9">
        <f>IF(ORIG!Y609=0,"",ORIG!Y609)</f>
        <v/>
      </c>
      <c r="Z609" s="3">
        <f>SUMPRODUCT($B609:$Y609,$B$2649:$Y$2649)</f>
        <v/>
      </c>
      <c r="AA609" s="3">
        <f>SUMPRODUCT($B609:$Y609,$B$2655:$Y$2655)</f>
        <v/>
      </c>
      <c r="AC609" s="1">
        <f>A609</f>
        <v/>
      </c>
      <c r="AD609">
        <f>IF(ISNUMBER(V609),V609*($AB$1/V$2635),"")</f>
        <v/>
      </c>
      <c r="AE609">
        <f>IF(ISNUMBER(Z609),Z609*($AB$1/Z$2635),"")</f>
        <v/>
      </c>
      <c r="AF609" s="25">
        <f>IF(ISNUMBER(AD609+AE609),AD609+AE609,"")</f>
        <v/>
      </c>
      <c r="AH609" s="1">
        <f>A609</f>
        <v/>
      </c>
      <c r="AI609">
        <f>IF(ISNUMBER((1+V609)*AI608),(1+V609)*AI608,AI608)</f>
        <v/>
      </c>
      <c r="AJ609">
        <f>IF(ISNUMBER((1+Z609)*AJ608),(1+Z609)*AJ608,AJ608)</f>
        <v/>
      </c>
    </row>
    <row r="610">
      <c r="A610" s="1" t="n">
        <v>42887</v>
      </c>
      <c r="B610" s="3">
        <f>IF(ORIG!B610=0,"",ORIG!B610)</f>
        <v/>
      </c>
      <c r="C610" s="3">
        <f>IF(ORIG!C610=0,"",ORIG!C610)</f>
        <v/>
      </c>
      <c r="D610" s="3">
        <f>IF(ORIG!D610=0,"",ORIG!D610)</f>
        <v/>
      </c>
      <c r="E610" s="3">
        <f>IF(ORIG!E610=0,"",ORIG!E610)</f>
        <v/>
      </c>
      <c r="F610" s="3">
        <f>IF(ORIG!F610=0,"",ORIG!F610)</f>
        <v/>
      </c>
      <c r="G610" s="3">
        <f>IF(ORIG!G610=0,"",ORIG!G610)</f>
        <v/>
      </c>
      <c r="H610" s="3">
        <f>IF(ORIG!H610=0,"",ORIG!H610)</f>
        <v/>
      </c>
      <c r="I610" s="3">
        <f>IF(ORIG!I610=0,"",ORIG!I610)</f>
        <v/>
      </c>
      <c r="J610" s="3">
        <f>IF(ORIG!J610=0,"",ORIG!J610)</f>
        <v/>
      </c>
      <c r="K610" s="3">
        <f>IF(ORIG!K610=0,"",ORIG!K610)</f>
        <v/>
      </c>
      <c r="L610" s="3">
        <f>IF(ORIG!L610=0,"",ORIG!L610)</f>
        <v/>
      </c>
      <c r="M610" s="3">
        <f>IF(ORIG!M610=0,"",ORIG!M610)</f>
        <v/>
      </c>
      <c r="N610" s="3">
        <f>IF(ORIG!N610=0,"",ORIG!N610)</f>
        <v/>
      </c>
      <c r="O610" s="3">
        <f>IF(ORIG!O610=0,"",ORIG!O610)</f>
        <v/>
      </c>
      <c r="P610" s="3">
        <f>IF(ORIG!P610=0,"",ORIG!P610)</f>
        <v/>
      </c>
      <c r="Q610" s="3">
        <f>IF(ORIG!Q610=0,"",ORIG!Q610)</f>
        <v/>
      </c>
      <c r="R610" s="3">
        <f>IF(ORIG!R610=0,"",ORIG!R610)</f>
        <v/>
      </c>
      <c r="S610" s="3">
        <f>IF(ORIG!S610=0,"",ORIG!S610)</f>
        <v/>
      </c>
      <c r="T610" s="3">
        <f>IF(ORIG!T610=0,"",ORIG!T610)</f>
        <v/>
      </c>
      <c r="U610" s="3">
        <f>IF(ORIG!U610=0,"",ORIG!U610)</f>
        <v/>
      </c>
      <c r="V610" s="9">
        <f>IF(ORIG!V610=0,"",ORIG!V610)</f>
        <v/>
      </c>
      <c r="W610" s="9">
        <f>IF(ORIG!W610=0,"",ORIG!W610)</f>
        <v/>
      </c>
      <c r="X610" s="9">
        <f>IF(ORIG!X610=0,"",ORIG!X610)</f>
        <v/>
      </c>
      <c r="Y610" s="9">
        <f>IF(ORIG!Y610=0,"",ORIG!Y610)</f>
        <v/>
      </c>
      <c r="Z610" s="3">
        <f>SUMPRODUCT($B610:$Y610,$B$2649:$Y$2649)</f>
        <v/>
      </c>
      <c r="AA610" s="3">
        <f>SUMPRODUCT($B610:$Y610,$B$2655:$Y$2655)</f>
        <v/>
      </c>
      <c r="AC610" s="1">
        <f>A610</f>
        <v/>
      </c>
      <c r="AD610">
        <f>IF(ISNUMBER(V610),V610*($AB$1/V$2635),"")</f>
        <v/>
      </c>
      <c r="AE610">
        <f>IF(ISNUMBER(Z610),Z610*($AB$1/Z$2635),"")</f>
        <v/>
      </c>
      <c r="AF610" s="25">
        <f>IF(ISNUMBER(AD610+AE610),AD610+AE610,"")</f>
        <v/>
      </c>
      <c r="AH610" s="1">
        <f>A610</f>
        <v/>
      </c>
      <c r="AI610">
        <f>IF(ISNUMBER((1+V610)*AI609),(1+V610)*AI609,AI609)</f>
        <v/>
      </c>
      <c r="AJ610">
        <f>IF(ISNUMBER((1+Z610)*AJ609),(1+Z610)*AJ609,AJ609)</f>
        <v/>
      </c>
    </row>
    <row r="611">
      <c r="A611" s="1" t="n">
        <v>42888</v>
      </c>
      <c r="B611" s="3">
        <f>IF(ORIG!B611=0,"",ORIG!B611)</f>
        <v/>
      </c>
      <c r="C611" s="3">
        <f>IF(ORIG!C611=0,"",ORIG!C611)</f>
        <v/>
      </c>
      <c r="D611" s="3">
        <f>IF(ORIG!D611=0,"",ORIG!D611)</f>
        <v/>
      </c>
      <c r="E611" s="3">
        <f>IF(ORIG!E611=0,"",ORIG!E611)</f>
        <v/>
      </c>
      <c r="F611" s="3">
        <f>IF(ORIG!F611=0,"",ORIG!F611)</f>
        <v/>
      </c>
      <c r="G611" s="3">
        <f>IF(ORIG!G611=0,"",ORIG!G611)</f>
        <v/>
      </c>
      <c r="H611" s="3">
        <f>IF(ORIG!H611=0,"",ORIG!H611)</f>
        <v/>
      </c>
      <c r="I611" s="3">
        <f>IF(ORIG!I611=0,"",ORIG!I611)</f>
        <v/>
      </c>
      <c r="J611" s="3">
        <f>IF(ORIG!J611=0,"",ORIG!J611)</f>
        <v/>
      </c>
      <c r="K611" s="3">
        <f>IF(ORIG!K611=0,"",ORIG!K611)</f>
        <v/>
      </c>
      <c r="L611" s="3">
        <f>IF(ORIG!L611=0,"",ORIG!L611)</f>
        <v/>
      </c>
      <c r="M611" s="3">
        <f>IF(ORIG!M611=0,"",ORIG!M611)</f>
        <v/>
      </c>
      <c r="N611" s="3">
        <f>IF(ORIG!N611=0,"",ORIG!N611)</f>
        <v/>
      </c>
      <c r="O611" s="3">
        <f>IF(ORIG!O611=0,"",ORIG!O611)</f>
        <v/>
      </c>
      <c r="P611" s="3">
        <f>IF(ORIG!P611=0,"",ORIG!P611)</f>
        <v/>
      </c>
      <c r="Q611" s="3">
        <f>IF(ORIG!Q611=0,"",ORIG!Q611)</f>
        <v/>
      </c>
      <c r="R611" s="3">
        <f>IF(ORIG!R611=0,"",ORIG!R611)</f>
        <v/>
      </c>
      <c r="S611" s="3">
        <f>IF(ORIG!S611=0,"",ORIG!S611)</f>
        <v/>
      </c>
      <c r="T611" s="3">
        <f>IF(ORIG!T611=0,"",ORIG!T611)</f>
        <v/>
      </c>
      <c r="U611" s="3">
        <f>IF(ORIG!U611=0,"",ORIG!U611)</f>
        <v/>
      </c>
      <c r="V611" s="9">
        <f>IF(ORIG!V611=0,"",ORIG!V611)</f>
        <v/>
      </c>
      <c r="W611" s="9">
        <f>IF(ORIG!W611=0,"",ORIG!W611)</f>
        <v/>
      </c>
      <c r="X611" s="9">
        <f>IF(ORIG!X611=0,"",ORIG!X611)</f>
        <v/>
      </c>
      <c r="Y611" s="9">
        <f>IF(ORIG!Y611=0,"",ORIG!Y611)</f>
        <v/>
      </c>
      <c r="Z611" s="3">
        <f>SUMPRODUCT($B611:$Y611,$B$2649:$Y$2649)</f>
        <v/>
      </c>
      <c r="AA611" s="3">
        <f>SUMPRODUCT($B611:$Y611,$B$2655:$Y$2655)</f>
        <v/>
      </c>
      <c r="AC611" s="1">
        <f>A611</f>
        <v/>
      </c>
      <c r="AD611">
        <f>IF(ISNUMBER(V611),V611*($AB$1/V$2635),"")</f>
        <v/>
      </c>
      <c r="AE611">
        <f>IF(ISNUMBER(Z611),Z611*($AB$1/Z$2635),"")</f>
        <v/>
      </c>
      <c r="AF611" s="25">
        <f>IF(ISNUMBER(AD611+AE611),AD611+AE611,"")</f>
        <v/>
      </c>
      <c r="AH611" s="1">
        <f>A611</f>
        <v/>
      </c>
      <c r="AI611">
        <f>IF(ISNUMBER((1+V611)*AI610),(1+V611)*AI610,AI610)</f>
        <v/>
      </c>
      <c r="AJ611">
        <f>IF(ISNUMBER((1+Z611)*AJ610),(1+Z611)*AJ610,AJ610)</f>
        <v/>
      </c>
    </row>
    <row r="612">
      <c r="A612" s="1" t="n">
        <v>42891</v>
      </c>
      <c r="B612" s="3">
        <f>IF(ORIG!B612=0,"",ORIG!B612)</f>
        <v/>
      </c>
      <c r="C612" s="3">
        <f>IF(ORIG!C612=0,"",ORIG!C612)</f>
        <v/>
      </c>
      <c r="D612" s="3">
        <f>IF(ORIG!D612=0,"",ORIG!D612)</f>
        <v/>
      </c>
      <c r="E612" s="3">
        <f>IF(ORIG!E612=0,"",ORIG!E612)</f>
        <v/>
      </c>
      <c r="F612" s="3">
        <f>IF(ORIG!F612=0,"",ORIG!F612)</f>
        <v/>
      </c>
      <c r="G612" s="3">
        <f>IF(ORIG!G612=0,"",ORIG!G612)</f>
        <v/>
      </c>
      <c r="H612" s="3">
        <f>IF(ORIG!H612=0,"",ORIG!H612)</f>
        <v/>
      </c>
      <c r="I612" s="3">
        <f>IF(ORIG!I612=0,"",ORIG!I612)</f>
        <v/>
      </c>
      <c r="J612" s="3">
        <f>IF(ORIG!J612=0,"",ORIG!J612)</f>
        <v/>
      </c>
      <c r="K612" s="3">
        <f>IF(ORIG!K612=0,"",ORIG!K612)</f>
        <v/>
      </c>
      <c r="L612" s="3">
        <f>IF(ORIG!L612=0,"",ORIG!L612)</f>
        <v/>
      </c>
      <c r="M612" s="3">
        <f>IF(ORIG!M612=0,"",ORIG!M612)</f>
        <v/>
      </c>
      <c r="N612" s="3">
        <f>IF(ORIG!N612=0,"",ORIG!N612)</f>
        <v/>
      </c>
      <c r="O612" s="3">
        <f>IF(ORIG!O612=0,"",ORIG!O612)</f>
        <v/>
      </c>
      <c r="P612" s="3">
        <f>IF(ORIG!P612=0,"",ORIG!P612)</f>
        <v/>
      </c>
      <c r="Q612" s="3">
        <f>IF(ORIG!Q612=0,"",ORIG!Q612)</f>
        <v/>
      </c>
      <c r="R612" s="3">
        <f>IF(ORIG!R612=0,"",ORIG!R612)</f>
        <v/>
      </c>
      <c r="S612" s="3">
        <f>IF(ORIG!S612=0,"",ORIG!S612)</f>
        <v/>
      </c>
      <c r="T612" s="3">
        <f>IF(ORIG!T612=0,"",ORIG!T612)</f>
        <v/>
      </c>
      <c r="U612" s="3">
        <f>IF(ORIG!U612=0,"",ORIG!U612)</f>
        <v/>
      </c>
      <c r="V612" s="9">
        <f>IF(ORIG!V612=0,"",ORIG!V612)</f>
        <v/>
      </c>
      <c r="W612" s="9">
        <f>IF(ORIG!W612=0,"",ORIG!W612)</f>
        <v/>
      </c>
      <c r="X612" s="9">
        <f>IF(ORIG!X612=0,"",ORIG!X612)</f>
        <v/>
      </c>
      <c r="Y612" s="9">
        <f>IF(ORIG!Y612=0,"",ORIG!Y612)</f>
        <v/>
      </c>
      <c r="Z612" s="3">
        <f>SUMPRODUCT($B612:$Y612,$B$2649:$Y$2649)</f>
        <v/>
      </c>
      <c r="AA612" s="3">
        <f>SUMPRODUCT($B612:$Y612,$B$2655:$Y$2655)</f>
        <v/>
      </c>
      <c r="AC612" s="1">
        <f>A612</f>
        <v/>
      </c>
      <c r="AD612">
        <f>IF(ISNUMBER(V612),V612*($AB$1/V$2635),"")</f>
        <v/>
      </c>
      <c r="AE612">
        <f>IF(ISNUMBER(Z612),Z612*($AB$1/Z$2635),"")</f>
        <v/>
      </c>
      <c r="AF612" s="25">
        <f>IF(ISNUMBER(AD612+AE612),AD612+AE612,"")</f>
        <v/>
      </c>
      <c r="AH612" s="1">
        <f>A612</f>
        <v/>
      </c>
      <c r="AI612">
        <f>IF(ISNUMBER((1+V612)*AI611),(1+V612)*AI611,AI611)</f>
        <v/>
      </c>
      <c r="AJ612">
        <f>IF(ISNUMBER((1+Z612)*AJ611),(1+Z612)*AJ611,AJ611)</f>
        <v/>
      </c>
    </row>
    <row r="613">
      <c r="A613" s="1" t="n">
        <v>42892</v>
      </c>
      <c r="B613" s="3">
        <f>IF(ORIG!B613=0,"",ORIG!B613)</f>
        <v/>
      </c>
      <c r="C613" s="3">
        <f>IF(ORIG!C613=0,"",ORIG!C613)</f>
        <v/>
      </c>
      <c r="D613" s="3">
        <f>IF(ORIG!D613=0,"",ORIG!D613)</f>
        <v/>
      </c>
      <c r="E613" s="3">
        <f>IF(ORIG!E613=0,"",ORIG!E613)</f>
        <v/>
      </c>
      <c r="F613" s="3">
        <f>IF(ORIG!F613=0,"",ORIG!F613)</f>
        <v/>
      </c>
      <c r="G613" s="3">
        <f>IF(ORIG!G613=0,"",ORIG!G613)</f>
        <v/>
      </c>
      <c r="H613" s="3">
        <f>IF(ORIG!H613=0,"",ORIG!H613)</f>
        <v/>
      </c>
      <c r="I613" s="3">
        <f>IF(ORIG!I613=0,"",ORIG!I613)</f>
        <v/>
      </c>
      <c r="J613" s="3">
        <f>IF(ORIG!J613=0,"",ORIG!J613)</f>
        <v/>
      </c>
      <c r="K613" s="3">
        <f>IF(ORIG!K613=0,"",ORIG!K613)</f>
        <v/>
      </c>
      <c r="L613" s="3">
        <f>IF(ORIG!L613=0,"",ORIG!L613)</f>
        <v/>
      </c>
      <c r="M613" s="3">
        <f>IF(ORIG!M613=0,"",ORIG!M613)</f>
        <v/>
      </c>
      <c r="N613" s="3">
        <f>IF(ORIG!N613=0,"",ORIG!N613)</f>
        <v/>
      </c>
      <c r="O613" s="3">
        <f>IF(ORIG!O613=0,"",ORIG!O613)</f>
        <v/>
      </c>
      <c r="P613" s="3">
        <f>IF(ORIG!P613=0,"",ORIG!P613)</f>
        <v/>
      </c>
      <c r="Q613" s="3">
        <f>IF(ORIG!Q613=0,"",ORIG!Q613)</f>
        <v/>
      </c>
      <c r="R613" s="3">
        <f>IF(ORIG!R613=0,"",ORIG!R613)</f>
        <v/>
      </c>
      <c r="S613" s="3">
        <f>IF(ORIG!S613=0,"",ORIG!S613)</f>
        <v/>
      </c>
      <c r="T613" s="3">
        <f>IF(ORIG!T613=0,"",ORIG!T613)</f>
        <v/>
      </c>
      <c r="U613" s="3">
        <f>IF(ORIG!U613=0,"",ORIG!U613)</f>
        <v/>
      </c>
      <c r="V613" s="9">
        <f>IF(ORIG!V613=0,"",ORIG!V613)</f>
        <v/>
      </c>
      <c r="W613" s="9">
        <f>IF(ORIG!W613=0,"",ORIG!W613)</f>
        <v/>
      </c>
      <c r="X613" s="9">
        <f>IF(ORIG!X613=0,"",ORIG!X613)</f>
        <v/>
      </c>
      <c r="Y613" s="9">
        <f>IF(ORIG!Y613=0,"",ORIG!Y613)</f>
        <v/>
      </c>
      <c r="Z613" s="3">
        <f>SUMPRODUCT($B613:$Y613,$B$2649:$Y$2649)</f>
        <v/>
      </c>
      <c r="AA613" s="3">
        <f>SUMPRODUCT($B613:$Y613,$B$2655:$Y$2655)</f>
        <v/>
      </c>
      <c r="AC613" s="1">
        <f>A613</f>
        <v/>
      </c>
      <c r="AD613">
        <f>IF(ISNUMBER(V613),V613*($AB$1/V$2635),"")</f>
        <v/>
      </c>
      <c r="AE613">
        <f>IF(ISNUMBER(Z613),Z613*($AB$1/Z$2635),"")</f>
        <v/>
      </c>
      <c r="AF613" s="25">
        <f>IF(ISNUMBER(AD613+AE613),AD613+AE613,"")</f>
        <v/>
      </c>
      <c r="AH613" s="1">
        <f>A613</f>
        <v/>
      </c>
      <c r="AI613">
        <f>IF(ISNUMBER((1+V613)*AI612),(1+V613)*AI612,AI612)</f>
        <v/>
      </c>
      <c r="AJ613">
        <f>IF(ISNUMBER((1+Z613)*AJ612),(1+Z613)*AJ612,AJ612)</f>
        <v/>
      </c>
    </row>
    <row r="614">
      <c r="A614" s="1" t="n">
        <v>42893</v>
      </c>
      <c r="B614" s="3">
        <f>IF(ORIG!B614=0,"",ORIG!B614)</f>
        <v/>
      </c>
      <c r="C614" s="3">
        <f>IF(ORIG!C614=0,"",ORIG!C614)</f>
        <v/>
      </c>
      <c r="D614" s="3">
        <f>IF(ORIG!D614=0,"",ORIG!D614)</f>
        <v/>
      </c>
      <c r="E614" s="3">
        <f>IF(ORIG!E614=0,"",ORIG!E614)</f>
        <v/>
      </c>
      <c r="F614" s="3">
        <f>IF(ORIG!F614=0,"",ORIG!F614)</f>
        <v/>
      </c>
      <c r="G614" s="3">
        <f>IF(ORIG!G614=0,"",ORIG!G614)</f>
        <v/>
      </c>
      <c r="H614" s="3">
        <f>IF(ORIG!H614=0,"",ORIG!H614)</f>
        <v/>
      </c>
      <c r="I614" s="3">
        <f>IF(ORIG!I614=0,"",ORIG!I614)</f>
        <v/>
      </c>
      <c r="J614" s="3">
        <f>IF(ORIG!J614=0,"",ORIG!J614)</f>
        <v/>
      </c>
      <c r="K614" s="3">
        <f>IF(ORIG!K614=0,"",ORIG!K614)</f>
        <v/>
      </c>
      <c r="L614" s="3">
        <f>IF(ORIG!L614=0,"",ORIG!L614)</f>
        <v/>
      </c>
      <c r="M614" s="3">
        <f>IF(ORIG!M614=0,"",ORIG!M614)</f>
        <v/>
      </c>
      <c r="N614" s="3">
        <f>IF(ORIG!N614=0,"",ORIG!N614)</f>
        <v/>
      </c>
      <c r="O614" s="3">
        <f>IF(ORIG!O614=0,"",ORIG!O614)</f>
        <v/>
      </c>
      <c r="P614" s="3">
        <f>IF(ORIG!P614=0,"",ORIG!P614)</f>
        <v/>
      </c>
      <c r="Q614" s="3">
        <f>IF(ORIG!Q614=0,"",ORIG!Q614)</f>
        <v/>
      </c>
      <c r="R614" s="3">
        <f>IF(ORIG!R614=0,"",ORIG!R614)</f>
        <v/>
      </c>
      <c r="S614" s="3">
        <f>IF(ORIG!S614=0,"",ORIG!S614)</f>
        <v/>
      </c>
      <c r="T614" s="3">
        <f>IF(ORIG!T614=0,"",ORIG!T614)</f>
        <v/>
      </c>
      <c r="U614" s="3">
        <f>IF(ORIG!U614=0,"",ORIG!U614)</f>
        <v/>
      </c>
      <c r="V614" s="9">
        <f>IF(ORIG!V614=0,"",ORIG!V614)</f>
        <v/>
      </c>
      <c r="W614" s="9">
        <f>IF(ORIG!W614=0,"",ORIG!W614)</f>
        <v/>
      </c>
      <c r="X614" s="9">
        <f>IF(ORIG!X614=0,"",ORIG!X614)</f>
        <v/>
      </c>
      <c r="Y614" s="9">
        <f>IF(ORIG!Y614=0,"",ORIG!Y614)</f>
        <v/>
      </c>
      <c r="Z614" s="3">
        <f>SUMPRODUCT($B614:$Y614,$B$2649:$Y$2649)</f>
        <v/>
      </c>
      <c r="AA614" s="3">
        <f>SUMPRODUCT($B614:$Y614,$B$2655:$Y$2655)</f>
        <v/>
      </c>
      <c r="AC614" s="1">
        <f>A614</f>
        <v/>
      </c>
      <c r="AD614">
        <f>IF(ISNUMBER(V614),V614*($AB$1/V$2635),"")</f>
        <v/>
      </c>
      <c r="AE614">
        <f>IF(ISNUMBER(Z614),Z614*($AB$1/Z$2635),"")</f>
        <v/>
      </c>
      <c r="AF614" s="25">
        <f>IF(ISNUMBER(AD614+AE614),AD614+AE614,"")</f>
        <v/>
      </c>
      <c r="AH614" s="1">
        <f>A614</f>
        <v/>
      </c>
      <c r="AI614">
        <f>IF(ISNUMBER((1+V614)*AI613),(1+V614)*AI613,AI613)</f>
        <v/>
      </c>
      <c r="AJ614">
        <f>IF(ISNUMBER((1+Z614)*AJ613),(1+Z614)*AJ613,AJ613)</f>
        <v/>
      </c>
    </row>
    <row r="615">
      <c r="A615" s="1" t="n">
        <v>42894</v>
      </c>
      <c r="B615" s="3">
        <f>IF(ORIG!B615=0,"",ORIG!B615)</f>
        <v/>
      </c>
      <c r="C615" s="3">
        <f>IF(ORIG!C615=0,"",ORIG!C615)</f>
        <v/>
      </c>
      <c r="D615" s="3">
        <f>IF(ORIG!D615=0,"",ORIG!D615)</f>
        <v/>
      </c>
      <c r="E615" s="3">
        <f>IF(ORIG!E615=0,"",ORIG!E615)</f>
        <v/>
      </c>
      <c r="F615" s="3">
        <f>IF(ORIG!F615=0,"",ORIG!F615)</f>
        <v/>
      </c>
      <c r="G615" s="3">
        <f>IF(ORIG!G615=0,"",ORIG!G615)</f>
        <v/>
      </c>
      <c r="H615" s="3">
        <f>IF(ORIG!H615=0,"",ORIG!H615)</f>
        <v/>
      </c>
      <c r="I615" s="3">
        <f>IF(ORIG!I615=0,"",ORIG!I615)</f>
        <v/>
      </c>
      <c r="J615" s="3">
        <f>IF(ORIG!J615=0,"",ORIG!J615)</f>
        <v/>
      </c>
      <c r="K615" s="3">
        <f>IF(ORIG!K615=0,"",ORIG!K615)</f>
        <v/>
      </c>
      <c r="L615" s="3">
        <f>IF(ORIG!L615=0,"",ORIG!L615)</f>
        <v/>
      </c>
      <c r="M615" s="3">
        <f>IF(ORIG!M615=0,"",ORIG!M615)</f>
        <v/>
      </c>
      <c r="N615" s="3">
        <f>IF(ORIG!N615=0,"",ORIG!N615)</f>
        <v/>
      </c>
      <c r="O615" s="3">
        <f>IF(ORIG!O615=0,"",ORIG!O615)</f>
        <v/>
      </c>
      <c r="P615" s="3">
        <f>IF(ORIG!P615=0,"",ORIG!P615)</f>
        <v/>
      </c>
      <c r="Q615" s="3">
        <f>IF(ORIG!Q615=0,"",ORIG!Q615)</f>
        <v/>
      </c>
      <c r="R615" s="3">
        <f>IF(ORIG!R615=0,"",ORIG!R615)</f>
        <v/>
      </c>
      <c r="S615" s="3">
        <f>IF(ORIG!S615=0,"",ORIG!S615)</f>
        <v/>
      </c>
      <c r="T615" s="3">
        <f>IF(ORIG!T615=0,"",ORIG!T615)</f>
        <v/>
      </c>
      <c r="U615" s="3">
        <f>IF(ORIG!U615=0,"",ORIG!U615)</f>
        <v/>
      </c>
      <c r="V615" s="9">
        <f>IF(ORIG!V615=0,"",ORIG!V615)</f>
        <v/>
      </c>
      <c r="W615" s="9">
        <f>IF(ORIG!W615=0,"",ORIG!W615)</f>
        <v/>
      </c>
      <c r="X615" s="9">
        <f>IF(ORIG!X615=0,"",ORIG!X615)</f>
        <v/>
      </c>
      <c r="Y615" s="9">
        <f>IF(ORIG!Y615=0,"",ORIG!Y615)</f>
        <v/>
      </c>
      <c r="Z615" s="3">
        <f>SUMPRODUCT($B615:$Y615,$B$2649:$Y$2649)</f>
        <v/>
      </c>
      <c r="AA615" s="3">
        <f>SUMPRODUCT($B615:$Y615,$B$2655:$Y$2655)</f>
        <v/>
      </c>
      <c r="AC615" s="1">
        <f>A615</f>
        <v/>
      </c>
      <c r="AD615">
        <f>IF(ISNUMBER(V615),V615*($AB$1/V$2635),"")</f>
        <v/>
      </c>
      <c r="AE615">
        <f>IF(ISNUMBER(Z615),Z615*($AB$1/Z$2635),"")</f>
        <v/>
      </c>
      <c r="AF615" s="25">
        <f>IF(ISNUMBER(AD615+AE615),AD615+AE615,"")</f>
        <v/>
      </c>
      <c r="AH615" s="1">
        <f>A615</f>
        <v/>
      </c>
      <c r="AI615">
        <f>IF(ISNUMBER((1+V615)*AI614),(1+V615)*AI614,AI614)</f>
        <v/>
      </c>
      <c r="AJ615">
        <f>IF(ISNUMBER((1+Z615)*AJ614),(1+Z615)*AJ614,AJ614)</f>
        <v/>
      </c>
    </row>
    <row r="616">
      <c r="A616" s="1" t="n">
        <v>42895</v>
      </c>
      <c r="B616" s="3">
        <f>IF(ORIG!B616=0,"",ORIG!B616)</f>
        <v/>
      </c>
      <c r="C616" s="3">
        <f>IF(ORIG!C616=0,"",ORIG!C616)</f>
        <v/>
      </c>
      <c r="D616" s="3">
        <f>IF(ORIG!D616=0,"",ORIG!D616)</f>
        <v/>
      </c>
      <c r="E616" s="3">
        <f>IF(ORIG!E616=0,"",ORIG!E616)</f>
        <v/>
      </c>
      <c r="F616" s="3">
        <f>IF(ORIG!F616=0,"",ORIG!F616)</f>
        <v/>
      </c>
      <c r="G616" s="3">
        <f>IF(ORIG!G616=0,"",ORIG!G616)</f>
        <v/>
      </c>
      <c r="H616" s="3">
        <f>IF(ORIG!H616=0,"",ORIG!H616)</f>
        <v/>
      </c>
      <c r="I616" s="3">
        <f>IF(ORIG!I616=0,"",ORIG!I616)</f>
        <v/>
      </c>
      <c r="J616" s="3">
        <f>IF(ORIG!J616=0,"",ORIG!J616)</f>
        <v/>
      </c>
      <c r="K616" s="3">
        <f>IF(ORIG!K616=0,"",ORIG!K616)</f>
        <v/>
      </c>
      <c r="L616" s="3">
        <f>IF(ORIG!L616=0,"",ORIG!L616)</f>
        <v/>
      </c>
      <c r="M616" s="3">
        <f>IF(ORIG!M616=0,"",ORIG!M616)</f>
        <v/>
      </c>
      <c r="N616" s="3">
        <f>IF(ORIG!N616=0,"",ORIG!N616)</f>
        <v/>
      </c>
      <c r="O616" s="3">
        <f>IF(ORIG!O616=0,"",ORIG!O616)</f>
        <v/>
      </c>
      <c r="P616" s="3">
        <f>IF(ORIG!P616=0,"",ORIG!P616)</f>
        <v/>
      </c>
      <c r="Q616" s="3">
        <f>IF(ORIG!Q616=0,"",ORIG!Q616)</f>
        <v/>
      </c>
      <c r="R616" s="3">
        <f>IF(ORIG!R616=0,"",ORIG!R616)</f>
        <v/>
      </c>
      <c r="S616" s="3">
        <f>IF(ORIG!S616=0,"",ORIG!S616)</f>
        <v/>
      </c>
      <c r="T616" s="3">
        <f>IF(ORIG!T616=0,"",ORIG!T616)</f>
        <v/>
      </c>
      <c r="U616" s="3">
        <f>IF(ORIG!U616=0,"",ORIG!U616)</f>
        <v/>
      </c>
      <c r="V616" s="9">
        <f>IF(ORIG!V616=0,"",ORIG!V616)</f>
        <v/>
      </c>
      <c r="W616" s="9">
        <f>IF(ORIG!W616=0,"",ORIG!W616)</f>
        <v/>
      </c>
      <c r="X616" s="9">
        <f>IF(ORIG!X616=0,"",ORIG!X616)</f>
        <v/>
      </c>
      <c r="Y616" s="9">
        <f>IF(ORIG!Y616=0,"",ORIG!Y616)</f>
        <v/>
      </c>
      <c r="Z616" s="3">
        <f>SUMPRODUCT($B616:$Y616,$B$2649:$Y$2649)</f>
        <v/>
      </c>
      <c r="AA616" s="3">
        <f>SUMPRODUCT($B616:$Y616,$B$2655:$Y$2655)</f>
        <v/>
      </c>
      <c r="AC616" s="1">
        <f>A616</f>
        <v/>
      </c>
      <c r="AD616">
        <f>IF(ISNUMBER(V616),V616*($AB$1/V$2635),"")</f>
        <v/>
      </c>
      <c r="AE616">
        <f>IF(ISNUMBER(Z616),Z616*($AB$1/Z$2635),"")</f>
        <v/>
      </c>
      <c r="AF616" s="25">
        <f>IF(ISNUMBER(AD616+AE616),AD616+AE616,"")</f>
        <v/>
      </c>
      <c r="AH616" s="1">
        <f>A616</f>
        <v/>
      </c>
      <c r="AI616">
        <f>IF(ISNUMBER((1+V616)*AI615),(1+V616)*AI615,AI615)</f>
        <v/>
      </c>
      <c r="AJ616">
        <f>IF(ISNUMBER((1+Z616)*AJ615),(1+Z616)*AJ615,AJ615)</f>
        <v/>
      </c>
    </row>
    <row r="617">
      <c r="A617" s="1" t="n">
        <v>42898</v>
      </c>
      <c r="B617" s="3">
        <f>IF(ORIG!B617=0,"",ORIG!B617)</f>
        <v/>
      </c>
      <c r="C617" s="3">
        <f>IF(ORIG!C617=0,"",ORIG!C617)</f>
        <v/>
      </c>
      <c r="D617" s="3">
        <f>IF(ORIG!D617=0,"",ORIG!D617)</f>
        <v/>
      </c>
      <c r="E617" s="3">
        <f>IF(ORIG!E617=0,"",ORIG!E617)</f>
        <v/>
      </c>
      <c r="F617" s="3">
        <f>IF(ORIG!F617=0,"",ORIG!F617)</f>
        <v/>
      </c>
      <c r="G617" s="3">
        <f>IF(ORIG!G617=0,"",ORIG!G617)</f>
        <v/>
      </c>
      <c r="H617" s="3">
        <f>IF(ORIG!H617=0,"",ORIG!H617)</f>
        <v/>
      </c>
      <c r="I617" s="3">
        <f>IF(ORIG!I617=0,"",ORIG!I617)</f>
        <v/>
      </c>
      <c r="J617" s="3">
        <f>IF(ORIG!J617=0,"",ORIG!J617)</f>
        <v/>
      </c>
      <c r="K617" s="3">
        <f>IF(ORIG!K617=0,"",ORIG!K617)</f>
        <v/>
      </c>
      <c r="L617" s="3">
        <f>IF(ORIG!L617=0,"",ORIG!L617)</f>
        <v/>
      </c>
      <c r="M617" s="3">
        <f>IF(ORIG!M617=0,"",ORIG!M617)</f>
        <v/>
      </c>
      <c r="N617" s="3">
        <f>IF(ORIG!N617=0,"",ORIG!N617)</f>
        <v/>
      </c>
      <c r="O617" s="3">
        <f>IF(ORIG!O617=0,"",ORIG!O617)</f>
        <v/>
      </c>
      <c r="P617" s="3">
        <f>IF(ORIG!P617=0,"",ORIG!P617)</f>
        <v/>
      </c>
      <c r="Q617" s="3">
        <f>IF(ORIG!Q617=0,"",ORIG!Q617)</f>
        <v/>
      </c>
      <c r="R617" s="3">
        <f>IF(ORIG!R617=0,"",ORIG!R617)</f>
        <v/>
      </c>
      <c r="S617" s="3">
        <f>IF(ORIG!S617=0,"",ORIG!S617)</f>
        <v/>
      </c>
      <c r="T617" s="3">
        <f>IF(ORIG!T617=0,"",ORIG!T617)</f>
        <v/>
      </c>
      <c r="U617" s="3">
        <f>IF(ORIG!U617=0,"",ORIG!U617)</f>
        <v/>
      </c>
      <c r="V617" s="9">
        <f>IF(ORIG!V617=0,"",ORIG!V617)</f>
        <v/>
      </c>
      <c r="W617" s="9">
        <f>IF(ORIG!W617=0,"",ORIG!W617)</f>
        <v/>
      </c>
      <c r="X617" s="9">
        <f>IF(ORIG!X617=0,"",ORIG!X617)</f>
        <v/>
      </c>
      <c r="Y617" s="9">
        <f>IF(ORIG!Y617=0,"",ORIG!Y617)</f>
        <v/>
      </c>
      <c r="Z617" s="3">
        <f>SUMPRODUCT($B617:$Y617,$B$2649:$Y$2649)</f>
        <v/>
      </c>
      <c r="AA617" s="3">
        <f>SUMPRODUCT($B617:$Y617,$B$2655:$Y$2655)</f>
        <v/>
      </c>
      <c r="AC617" s="1">
        <f>A617</f>
        <v/>
      </c>
      <c r="AD617">
        <f>IF(ISNUMBER(V617),V617*($AB$1/V$2635),"")</f>
        <v/>
      </c>
      <c r="AE617">
        <f>IF(ISNUMBER(Z617),Z617*($AB$1/Z$2635),"")</f>
        <v/>
      </c>
      <c r="AF617" s="25">
        <f>IF(ISNUMBER(AD617+AE617),AD617+AE617,"")</f>
        <v/>
      </c>
      <c r="AH617" s="1">
        <f>A617</f>
        <v/>
      </c>
      <c r="AI617">
        <f>IF(ISNUMBER((1+V617)*AI616),(1+V617)*AI616,AI616)</f>
        <v/>
      </c>
      <c r="AJ617">
        <f>IF(ISNUMBER((1+Z617)*AJ616),(1+Z617)*AJ616,AJ616)</f>
        <v/>
      </c>
    </row>
    <row r="618">
      <c r="A618" s="1" t="n">
        <v>42899</v>
      </c>
      <c r="B618" s="3">
        <f>IF(ORIG!B618=0,"",ORIG!B618)</f>
        <v/>
      </c>
      <c r="C618" s="3">
        <f>IF(ORIG!C618=0,"",ORIG!C618)</f>
        <v/>
      </c>
      <c r="D618" s="3">
        <f>IF(ORIG!D618=0,"",ORIG!D618)</f>
        <v/>
      </c>
      <c r="E618" s="3">
        <f>IF(ORIG!E618=0,"",ORIG!E618)</f>
        <v/>
      </c>
      <c r="F618" s="3">
        <f>IF(ORIG!F618=0,"",ORIG!F618)</f>
        <v/>
      </c>
      <c r="G618" s="3">
        <f>IF(ORIG!G618=0,"",ORIG!G618)</f>
        <v/>
      </c>
      <c r="H618" s="3">
        <f>IF(ORIG!H618=0,"",ORIG!H618)</f>
        <v/>
      </c>
      <c r="I618" s="3">
        <f>IF(ORIG!I618=0,"",ORIG!I618)</f>
        <v/>
      </c>
      <c r="J618" s="3">
        <f>IF(ORIG!J618=0,"",ORIG!J618)</f>
        <v/>
      </c>
      <c r="K618" s="3">
        <f>IF(ORIG!K618=0,"",ORIG!K618)</f>
        <v/>
      </c>
      <c r="L618" s="3">
        <f>IF(ORIG!L618=0,"",ORIG!L618)</f>
        <v/>
      </c>
      <c r="M618" s="3">
        <f>IF(ORIG!M618=0,"",ORIG!M618)</f>
        <v/>
      </c>
      <c r="N618" s="3">
        <f>IF(ORIG!N618=0,"",ORIG!N618)</f>
        <v/>
      </c>
      <c r="O618" s="3">
        <f>IF(ORIG!O618=0,"",ORIG!O618)</f>
        <v/>
      </c>
      <c r="P618" s="3">
        <f>IF(ORIG!P618=0,"",ORIG!P618)</f>
        <v/>
      </c>
      <c r="Q618" s="3">
        <f>IF(ORIG!Q618=0,"",ORIG!Q618)</f>
        <v/>
      </c>
      <c r="R618" s="3">
        <f>IF(ORIG!R618=0,"",ORIG!R618)</f>
        <v/>
      </c>
      <c r="S618" s="3">
        <f>IF(ORIG!S618=0,"",ORIG!S618)</f>
        <v/>
      </c>
      <c r="T618" s="3">
        <f>IF(ORIG!T618=0,"",ORIG!T618)</f>
        <v/>
      </c>
      <c r="U618" s="3">
        <f>IF(ORIG!U618=0,"",ORIG!U618)</f>
        <v/>
      </c>
      <c r="V618" s="9">
        <f>IF(ORIG!V618=0,"",ORIG!V618)</f>
        <v/>
      </c>
      <c r="W618" s="9">
        <f>IF(ORIG!W618=0,"",ORIG!W618)</f>
        <v/>
      </c>
      <c r="X618" s="9">
        <f>IF(ORIG!X618=0,"",ORIG!X618)</f>
        <v/>
      </c>
      <c r="Y618" s="9">
        <f>IF(ORIG!Y618=0,"",ORIG!Y618)</f>
        <v/>
      </c>
      <c r="Z618" s="3">
        <f>SUMPRODUCT($B618:$Y618,$B$2649:$Y$2649)</f>
        <v/>
      </c>
      <c r="AA618" s="3">
        <f>SUMPRODUCT($B618:$Y618,$B$2655:$Y$2655)</f>
        <v/>
      </c>
      <c r="AC618" s="1">
        <f>A618</f>
        <v/>
      </c>
      <c r="AD618">
        <f>IF(ISNUMBER(V618),V618*($AB$1/V$2635),"")</f>
        <v/>
      </c>
      <c r="AE618">
        <f>IF(ISNUMBER(Z618),Z618*($AB$1/Z$2635),"")</f>
        <v/>
      </c>
      <c r="AF618" s="25">
        <f>IF(ISNUMBER(AD618+AE618),AD618+AE618,"")</f>
        <v/>
      </c>
      <c r="AH618" s="1">
        <f>A618</f>
        <v/>
      </c>
      <c r="AI618">
        <f>IF(ISNUMBER((1+V618)*AI617),(1+V618)*AI617,AI617)</f>
        <v/>
      </c>
      <c r="AJ618">
        <f>IF(ISNUMBER((1+Z618)*AJ617),(1+Z618)*AJ617,AJ617)</f>
        <v/>
      </c>
    </row>
    <row r="619">
      <c r="A619" s="1" t="n">
        <v>42900</v>
      </c>
      <c r="B619" s="3">
        <f>IF(ORIG!B619=0,"",ORIG!B619)</f>
        <v/>
      </c>
      <c r="C619" s="3">
        <f>IF(ORIG!C619=0,"",ORIG!C619)</f>
        <v/>
      </c>
      <c r="D619" s="3">
        <f>IF(ORIG!D619=0,"",ORIG!D619)</f>
        <v/>
      </c>
      <c r="E619" s="3">
        <f>IF(ORIG!E619=0,"",ORIG!E619)</f>
        <v/>
      </c>
      <c r="F619" s="3">
        <f>IF(ORIG!F619=0,"",ORIG!F619)</f>
        <v/>
      </c>
      <c r="G619" s="3">
        <f>IF(ORIG!G619=0,"",ORIG!G619)</f>
        <v/>
      </c>
      <c r="H619" s="3">
        <f>IF(ORIG!H619=0,"",ORIG!H619)</f>
        <v/>
      </c>
      <c r="I619" s="3">
        <f>IF(ORIG!I619=0,"",ORIG!I619)</f>
        <v/>
      </c>
      <c r="J619" s="3">
        <f>IF(ORIG!J619=0,"",ORIG!J619)</f>
        <v/>
      </c>
      <c r="K619" s="3">
        <f>IF(ORIG!K619=0,"",ORIG!K619)</f>
        <v/>
      </c>
      <c r="L619" s="3">
        <f>IF(ORIG!L619=0,"",ORIG!L619)</f>
        <v/>
      </c>
      <c r="M619" s="3">
        <f>IF(ORIG!M619=0,"",ORIG!M619)</f>
        <v/>
      </c>
      <c r="N619" s="3">
        <f>IF(ORIG!N619=0,"",ORIG!N619)</f>
        <v/>
      </c>
      <c r="O619" s="3">
        <f>IF(ORIG!O619=0,"",ORIG!O619)</f>
        <v/>
      </c>
      <c r="P619" s="3">
        <f>IF(ORIG!P619=0,"",ORIG!P619)</f>
        <v/>
      </c>
      <c r="Q619" s="3">
        <f>IF(ORIG!Q619=0,"",ORIG!Q619)</f>
        <v/>
      </c>
      <c r="R619" s="3">
        <f>IF(ORIG!R619=0,"",ORIG!R619)</f>
        <v/>
      </c>
      <c r="S619" s="3">
        <f>IF(ORIG!S619=0,"",ORIG!S619)</f>
        <v/>
      </c>
      <c r="T619" s="3">
        <f>IF(ORIG!T619=0,"",ORIG!T619)</f>
        <v/>
      </c>
      <c r="U619" s="3">
        <f>IF(ORIG!U619=0,"",ORIG!U619)</f>
        <v/>
      </c>
      <c r="V619" s="9">
        <f>IF(ORIG!V619=0,"",ORIG!V619)</f>
        <v/>
      </c>
      <c r="W619" s="9">
        <f>IF(ORIG!W619=0,"",ORIG!W619)</f>
        <v/>
      </c>
      <c r="X619" s="9">
        <f>IF(ORIG!X619=0,"",ORIG!X619)</f>
        <v/>
      </c>
      <c r="Y619" s="9">
        <f>IF(ORIG!Y619=0,"",ORIG!Y619)</f>
        <v/>
      </c>
      <c r="Z619" s="3">
        <f>SUMPRODUCT($B619:$Y619,$B$2649:$Y$2649)</f>
        <v/>
      </c>
      <c r="AA619" s="3">
        <f>SUMPRODUCT($B619:$Y619,$B$2655:$Y$2655)</f>
        <v/>
      </c>
      <c r="AC619" s="1">
        <f>A619</f>
        <v/>
      </c>
      <c r="AD619">
        <f>IF(ISNUMBER(V619),V619*($AB$1/V$2635),"")</f>
        <v/>
      </c>
      <c r="AE619">
        <f>IF(ISNUMBER(Z619),Z619*($AB$1/Z$2635),"")</f>
        <v/>
      </c>
      <c r="AF619" s="25">
        <f>IF(ISNUMBER(AD619+AE619),AD619+AE619,"")</f>
        <v/>
      </c>
      <c r="AH619" s="1">
        <f>A619</f>
        <v/>
      </c>
      <c r="AI619">
        <f>IF(ISNUMBER((1+V619)*AI618),(1+V619)*AI618,AI618)</f>
        <v/>
      </c>
      <c r="AJ619">
        <f>IF(ISNUMBER((1+Z619)*AJ618),(1+Z619)*AJ618,AJ618)</f>
        <v/>
      </c>
    </row>
    <row r="620">
      <c r="A620" s="1" t="n">
        <v>42901</v>
      </c>
      <c r="B620" s="3">
        <f>IF(ORIG!B620=0,"",ORIG!B620)</f>
        <v/>
      </c>
      <c r="C620" s="3">
        <f>IF(ORIG!C620=0,"",ORIG!C620)</f>
        <v/>
      </c>
      <c r="D620" s="3">
        <f>IF(ORIG!D620=0,"",ORIG!D620)</f>
        <v/>
      </c>
      <c r="E620" s="3">
        <f>IF(ORIG!E620=0,"",ORIG!E620)</f>
        <v/>
      </c>
      <c r="F620" s="3">
        <f>IF(ORIG!F620=0,"",ORIG!F620)</f>
        <v/>
      </c>
      <c r="G620" s="3">
        <f>IF(ORIG!G620=0,"",ORIG!G620)</f>
        <v/>
      </c>
      <c r="H620" s="3">
        <f>IF(ORIG!H620=0,"",ORIG!H620)</f>
        <v/>
      </c>
      <c r="I620" s="3">
        <f>IF(ORIG!I620=0,"",ORIG!I620)</f>
        <v/>
      </c>
      <c r="J620" s="3">
        <f>IF(ORIG!J620=0,"",ORIG!J620)</f>
        <v/>
      </c>
      <c r="K620" s="3">
        <f>IF(ORIG!K620=0,"",ORIG!K620)</f>
        <v/>
      </c>
      <c r="L620" s="3">
        <f>IF(ORIG!L620=0,"",ORIG!L620)</f>
        <v/>
      </c>
      <c r="M620" s="3">
        <f>IF(ORIG!M620=0,"",ORIG!M620)</f>
        <v/>
      </c>
      <c r="N620" s="3">
        <f>IF(ORIG!N620=0,"",ORIG!N620)</f>
        <v/>
      </c>
      <c r="O620" s="3">
        <f>IF(ORIG!O620=0,"",ORIG!O620)</f>
        <v/>
      </c>
      <c r="P620" s="3">
        <f>IF(ORIG!P620=0,"",ORIG!P620)</f>
        <v/>
      </c>
      <c r="Q620" s="3">
        <f>IF(ORIG!Q620=0,"",ORIG!Q620)</f>
        <v/>
      </c>
      <c r="R620" s="3">
        <f>IF(ORIG!R620=0,"",ORIG!R620)</f>
        <v/>
      </c>
      <c r="S620" s="3">
        <f>IF(ORIG!S620=0,"",ORIG!S620)</f>
        <v/>
      </c>
      <c r="T620" s="3">
        <f>IF(ORIG!T620=0,"",ORIG!T620)</f>
        <v/>
      </c>
      <c r="U620" s="3">
        <f>IF(ORIG!U620=0,"",ORIG!U620)</f>
        <v/>
      </c>
      <c r="V620" s="9">
        <f>IF(ORIG!V620=0,"",ORIG!V620)</f>
        <v/>
      </c>
      <c r="W620" s="9">
        <f>IF(ORIG!W620=0,"",ORIG!W620)</f>
        <v/>
      </c>
      <c r="X620" s="9">
        <f>IF(ORIG!X620=0,"",ORIG!X620)</f>
        <v/>
      </c>
      <c r="Y620" s="9">
        <f>IF(ORIG!Y620=0,"",ORIG!Y620)</f>
        <v/>
      </c>
      <c r="Z620" s="3">
        <f>SUMPRODUCT($B620:$Y620,$B$2649:$Y$2649)</f>
        <v/>
      </c>
      <c r="AA620" s="3">
        <f>SUMPRODUCT($B620:$Y620,$B$2655:$Y$2655)</f>
        <v/>
      </c>
      <c r="AC620" s="1">
        <f>A620</f>
        <v/>
      </c>
      <c r="AD620">
        <f>IF(ISNUMBER(V620),V620*($AB$1/V$2635),"")</f>
        <v/>
      </c>
      <c r="AE620">
        <f>IF(ISNUMBER(Z620),Z620*($AB$1/Z$2635),"")</f>
        <v/>
      </c>
      <c r="AF620" s="25">
        <f>IF(ISNUMBER(AD620+AE620),AD620+AE620,"")</f>
        <v/>
      </c>
      <c r="AH620" s="1">
        <f>A620</f>
        <v/>
      </c>
      <c r="AI620">
        <f>IF(ISNUMBER((1+V620)*AI619),(1+V620)*AI619,AI619)</f>
        <v/>
      </c>
      <c r="AJ620">
        <f>IF(ISNUMBER((1+Z620)*AJ619),(1+Z620)*AJ619,AJ619)</f>
        <v/>
      </c>
    </row>
    <row r="621">
      <c r="A621" s="1" t="n">
        <v>42902</v>
      </c>
      <c r="B621" s="3">
        <f>IF(ORIG!B621=0,"",ORIG!B621)</f>
        <v/>
      </c>
      <c r="C621" s="3">
        <f>IF(ORIG!C621=0,"",ORIG!C621)</f>
        <v/>
      </c>
      <c r="D621" s="3">
        <f>IF(ORIG!D621=0,"",ORIG!D621)</f>
        <v/>
      </c>
      <c r="E621" s="3">
        <f>IF(ORIG!E621=0,"",ORIG!E621)</f>
        <v/>
      </c>
      <c r="F621" s="3">
        <f>IF(ORIG!F621=0,"",ORIG!F621)</f>
        <v/>
      </c>
      <c r="G621" s="3">
        <f>IF(ORIG!G621=0,"",ORIG!G621)</f>
        <v/>
      </c>
      <c r="H621" s="3">
        <f>IF(ORIG!H621=0,"",ORIG!H621)</f>
        <v/>
      </c>
      <c r="I621" s="3">
        <f>IF(ORIG!I621=0,"",ORIG!I621)</f>
        <v/>
      </c>
      <c r="J621" s="3">
        <f>IF(ORIG!J621=0,"",ORIG!J621)</f>
        <v/>
      </c>
      <c r="K621" s="3">
        <f>IF(ORIG!K621=0,"",ORIG!K621)</f>
        <v/>
      </c>
      <c r="L621" s="3">
        <f>IF(ORIG!L621=0,"",ORIG!L621)</f>
        <v/>
      </c>
      <c r="M621" s="3">
        <f>IF(ORIG!M621=0,"",ORIG!M621)</f>
        <v/>
      </c>
      <c r="N621" s="3">
        <f>IF(ORIG!N621=0,"",ORIG!N621)</f>
        <v/>
      </c>
      <c r="O621" s="3">
        <f>IF(ORIG!O621=0,"",ORIG!O621)</f>
        <v/>
      </c>
      <c r="P621" s="3">
        <f>IF(ORIG!P621=0,"",ORIG!P621)</f>
        <v/>
      </c>
      <c r="Q621" s="3">
        <f>IF(ORIG!Q621=0,"",ORIG!Q621)</f>
        <v/>
      </c>
      <c r="R621" s="3">
        <f>IF(ORIG!R621=0,"",ORIG!R621)</f>
        <v/>
      </c>
      <c r="S621" s="3">
        <f>IF(ORIG!S621=0,"",ORIG!S621)</f>
        <v/>
      </c>
      <c r="T621" s="3">
        <f>IF(ORIG!T621=0,"",ORIG!T621)</f>
        <v/>
      </c>
      <c r="U621" s="3">
        <f>IF(ORIG!U621=0,"",ORIG!U621)</f>
        <v/>
      </c>
      <c r="V621" s="9">
        <f>IF(ORIG!V621=0,"",ORIG!V621)</f>
        <v/>
      </c>
      <c r="W621" s="9">
        <f>IF(ORIG!W621=0,"",ORIG!W621)</f>
        <v/>
      </c>
      <c r="X621" s="9">
        <f>IF(ORIG!X621=0,"",ORIG!X621)</f>
        <v/>
      </c>
      <c r="Y621" s="9">
        <f>IF(ORIG!Y621=0,"",ORIG!Y621)</f>
        <v/>
      </c>
      <c r="Z621" s="3">
        <f>SUMPRODUCT($B621:$Y621,$B$2649:$Y$2649)</f>
        <v/>
      </c>
      <c r="AA621" s="3">
        <f>SUMPRODUCT($B621:$Y621,$B$2655:$Y$2655)</f>
        <v/>
      </c>
      <c r="AC621" s="1">
        <f>A621</f>
        <v/>
      </c>
      <c r="AD621">
        <f>IF(ISNUMBER(V621),V621*($AB$1/V$2635),"")</f>
        <v/>
      </c>
      <c r="AE621">
        <f>IF(ISNUMBER(Z621),Z621*($AB$1/Z$2635),"")</f>
        <v/>
      </c>
      <c r="AF621" s="25">
        <f>IF(ISNUMBER(AD621+AE621),AD621+AE621,"")</f>
        <v/>
      </c>
      <c r="AH621" s="1">
        <f>A621</f>
        <v/>
      </c>
      <c r="AI621">
        <f>IF(ISNUMBER((1+V621)*AI620),(1+V621)*AI620,AI620)</f>
        <v/>
      </c>
      <c r="AJ621">
        <f>IF(ISNUMBER((1+Z621)*AJ620),(1+Z621)*AJ620,AJ620)</f>
        <v/>
      </c>
    </row>
    <row r="622">
      <c r="A622" s="1" t="n">
        <v>42905</v>
      </c>
      <c r="B622" s="3">
        <f>IF(ORIG!B622=0,"",ORIG!B622)</f>
        <v/>
      </c>
      <c r="C622" s="3">
        <f>IF(ORIG!C622=0,"",ORIG!C622)</f>
        <v/>
      </c>
      <c r="D622" s="3">
        <f>IF(ORIG!D622=0,"",ORIG!D622)</f>
        <v/>
      </c>
      <c r="E622" s="3">
        <f>IF(ORIG!E622=0,"",ORIG!E622)</f>
        <v/>
      </c>
      <c r="F622" s="3">
        <f>IF(ORIG!F622=0,"",ORIG!F622)</f>
        <v/>
      </c>
      <c r="G622" s="3">
        <f>IF(ORIG!G622=0,"",ORIG!G622)</f>
        <v/>
      </c>
      <c r="H622" s="3">
        <f>IF(ORIG!H622=0,"",ORIG!H622)</f>
        <v/>
      </c>
      <c r="I622" s="3">
        <f>IF(ORIG!I622=0,"",ORIG!I622)</f>
        <v/>
      </c>
      <c r="J622" s="3">
        <f>IF(ORIG!J622=0,"",ORIG!J622)</f>
        <v/>
      </c>
      <c r="K622" s="3">
        <f>IF(ORIG!K622=0,"",ORIG!K622)</f>
        <v/>
      </c>
      <c r="L622" s="3">
        <f>IF(ORIG!L622=0,"",ORIG!L622)</f>
        <v/>
      </c>
      <c r="M622" s="3">
        <f>IF(ORIG!M622=0,"",ORIG!M622)</f>
        <v/>
      </c>
      <c r="N622" s="3">
        <f>IF(ORIG!N622=0,"",ORIG!N622)</f>
        <v/>
      </c>
      <c r="O622" s="3">
        <f>IF(ORIG!O622=0,"",ORIG!O622)</f>
        <v/>
      </c>
      <c r="P622" s="3">
        <f>IF(ORIG!P622=0,"",ORIG!P622)</f>
        <v/>
      </c>
      <c r="Q622" s="3">
        <f>IF(ORIG!Q622=0,"",ORIG!Q622)</f>
        <v/>
      </c>
      <c r="R622" s="3">
        <f>IF(ORIG!R622=0,"",ORIG!R622)</f>
        <v/>
      </c>
      <c r="S622" s="3">
        <f>IF(ORIG!S622=0,"",ORIG!S622)</f>
        <v/>
      </c>
      <c r="T622" s="3">
        <f>IF(ORIG!T622=0,"",ORIG!T622)</f>
        <v/>
      </c>
      <c r="U622" s="3">
        <f>IF(ORIG!U622=0,"",ORIG!U622)</f>
        <v/>
      </c>
      <c r="V622" s="9">
        <f>IF(ORIG!V622=0,"",ORIG!V622)</f>
        <v/>
      </c>
      <c r="W622" s="9">
        <f>IF(ORIG!W622=0,"",ORIG!W622)</f>
        <v/>
      </c>
      <c r="X622" s="9">
        <f>IF(ORIG!X622=0,"",ORIG!X622)</f>
        <v/>
      </c>
      <c r="Y622" s="9">
        <f>IF(ORIG!Y622=0,"",ORIG!Y622)</f>
        <v/>
      </c>
      <c r="Z622" s="3">
        <f>SUMPRODUCT($B622:$Y622,$B$2649:$Y$2649)</f>
        <v/>
      </c>
      <c r="AA622" s="3">
        <f>SUMPRODUCT($B622:$Y622,$B$2655:$Y$2655)</f>
        <v/>
      </c>
      <c r="AC622" s="1">
        <f>A622</f>
        <v/>
      </c>
      <c r="AD622">
        <f>IF(ISNUMBER(V622),V622*($AB$1/V$2635),"")</f>
        <v/>
      </c>
      <c r="AE622">
        <f>IF(ISNUMBER(Z622),Z622*($AB$1/Z$2635),"")</f>
        <v/>
      </c>
      <c r="AF622" s="25">
        <f>IF(ISNUMBER(AD622+AE622),AD622+AE622,"")</f>
        <v/>
      </c>
      <c r="AH622" s="1">
        <f>A622</f>
        <v/>
      </c>
      <c r="AI622">
        <f>IF(ISNUMBER((1+V622)*AI621),(1+V622)*AI621,AI621)</f>
        <v/>
      </c>
      <c r="AJ622">
        <f>IF(ISNUMBER((1+Z622)*AJ621),(1+Z622)*AJ621,AJ621)</f>
        <v/>
      </c>
    </row>
    <row r="623">
      <c r="A623" s="1" t="n">
        <v>42906</v>
      </c>
      <c r="B623" s="3">
        <f>IF(ORIG!B623=0,"",ORIG!B623)</f>
        <v/>
      </c>
      <c r="C623" s="3">
        <f>IF(ORIG!C623=0,"",ORIG!C623)</f>
        <v/>
      </c>
      <c r="D623" s="3">
        <f>IF(ORIG!D623=0,"",ORIG!D623)</f>
        <v/>
      </c>
      <c r="E623" s="3">
        <f>IF(ORIG!E623=0,"",ORIG!E623)</f>
        <v/>
      </c>
      <c r="F623" s="3">
        <f>IF(ORIG!F623=0,"",ORIG!F623)</f>
        <v/>
      </c>
      <c r="G623" s="3">
        <f>IF(ORIG!G623=0,"",ORIG!G623)</f>
        <v/>
      </c>
      <c r="H623" s="3">
        <f>IF(ORIG!H623=0,"",ORIG!H623)</f>
        <v/>
      </c>
      <c r="I623" s="3">
        <f>IF(ORIG!I623=0,"",ORIG!I623)</f>
        <v/>
      </c>
      <c r="J623" s="3">
        <f>IF(ORIG!J623=0,"",ORIG!J623)</f>
        <v/>
      </c>
      <c r="K623" s="3">
        <f>IF(ORIG!K623=0,"",ORIG!K623)</f>
        <v/>
      </c>
      <c r="L623" s="3">
        <f>IF(ORIG!L623=0,"",ORIG!L623)</f>
        <v/>
      </c>
      <c r="M623" s="3">
        <f>IF(ORIG!M623=0,"",ORIG!M623)</f>
        <v/>
      </c>
      <c r="N623" s="3">
        <f>IF(ORIG!N623=0,"",ORIG!N623)</f>
        <v/>
      </c>
      <c r="O623" s="3">
        <f>IF(ORIG!O623=0,"",ORIG!O623)</f>
        <v/>
      </c>
      <c r="P623" s="3">
        <f>IF(ORIG!P623=0,"",ORIG!P623)</f>
        <v/>
      </c>
      <c r="Q623" s="3">
        <f>IF(ORIG!Q623=0,"",ORIG!Q623)</f>
        <v/>
      </c>
      <c r="R623" s="3">
        <f>IF(ORIG!R623=0,"",ORIG!R623)</f>
        <v/>
      </c>
      <c r="S623" s="3">
        <f>IF(ORIG!S623=0,"",ORIG!S623)</f>
        <v/>
      </c>
      <c r="T623" s="3">
        <f>IF(ORIG!T623=0,"",ORIG!T623)</f>
        <v/>
      </c>
      <c r="U623" s="3">
        <f>IF(ORIG!U623=0,"",ORIG!U623)</f>
        <v/>
      </c>
      <c r="V623" s="9">
        <f>IF(ORIG!V623=0,"",ORIG!V623)</f>
        <v/>
      </c>
      <c r="W623" s="9">
        <f>IF(ORIG!W623=0,"",ORIG!W623)</f>
        <v/>
      </c>
      <c r="X623" s="9">
        <f>IF(ORIG!X623=0,"",ORIG!X623)</f>
        <v/>
      </c>
      <c r="Y623" s="9">
        <f>IF(ORIG!Y623=0,"",ORIG!Y623)</f>
        <v/>
      </c>
      <c r="Z623" s="3">
        <f>SUMPRODUCT($B623:$Y623,$B$2649:$Y$2649)</f>
        <v/>
      </c>
      <c r="AA623" s="3">
        <f>SUMPRODUCT($B623:$Y623,$B$2655:$Y$2655)</f>
        <v/>
      </c>
      <c r="AC623" s="1">
        <f>A623</f>
        <v/>
      </c>
      <c r="AD623">
        <f>IF(ISNUMBER(V623),V623*($AB$1/V$2635),"")</f>
        <v/>
      </c>
      <c r="AE623">
        <f>IF(ISNUMBER(Z623),Z623*($AB$1/Z$2635),"")</f>
        <v/>
      </c>
      <c r="AF623" s="25">
        <f>IF(ISNUMBER(AD623+AE623),AD623+AE623,"")</f>
        <v/>
      </c>
      <c r="AH623" s="1">
        <f>A623</f>
        <v/>
      </c>
      <c r="AI623">
        <f>IF(ISNUMBER((1+V623)*AI622),(1+V623)*AI622,AI622)</f>
        <v/>
      </c>
      <c r="AJ623">
        <f>IF(ISNUMBER((1+Z623)*AJ622),(1+Z623)*AJ622,AJ622)</f>
        <v/>
      </c>
    </row>
    <row r="624">
      <c r="A624" s="1" t="n">
        <v>42907</v>
      </c>
      <c r="B624" s="3">
        <f>IF(ORIG!B624=0,"",ORIG!B624)</f>
        <v/>
      </c>
      <c r="C624" s="3">
        <f>IF(ORIG!C624=0,"",ORIG!C624)</f>
        <v/>
      </c>
      <c r="D624" s="3">
        <f>IF(ORIG!D624=0,"",ORIG!D624)</f>
        <v/>
      </c>
      <c r="E624" s="3">
        <f>IF(ORIG!E624=0,"",ORIG!E624)</f>
        <v/>
      </c>
      <c r="F624" s="3">
        <f>IF(ORIG!F624=0,"",ORIG!F624)</f>
        <v/>
      </c>
      <c r="G624" s="3">
        <f>IF(ORIG!G624=0,"",ORIG!G624)</f>
        <v/>
      </c>
      <c r="H624" s="3">
        <f>IF(ORIG!H624=0,"",ORIG!H624)</f>
        <v/>
      </c>
      <c r="I624" s="3">
        <f>IF(ORIG!I624=0,"",ORIG!I624)</f>
        <v/>
      </c>
      <c r="J624" s="3">
        <f>IF(ORIG!J624=0,"",ORIG!J624)</f>
        <v/>
      </c>
      <c r="K624" s="3">
        <f>IF(ORIG!K624=0,"",ORIG!K624)</f>
        <v/>
      </c>
      <c r="L624" s="3">
        <f>IF(ORIG!L624=0,"",ORIG!L624)</f>
        <v/>
      </c>
      <c r="M624" s="3">
        <f>IF(ORIG!M624=0,"",ORIG!M624)</f>
        <v/>
      </c>
      <c r="N624" s="3">
        <f>IF(ORIG!N624=0,"",ORIG!N624)</f>
        <v/>
      </c>
      <c r="O624" s="3">
        <f>IF(ORIG!O624=0,"",ORIG!O624)</f>
        <v/>
      </c>
      <c r="P624" s="3">
        <f>IF(ORIG!P624=0,"",ORIG!P624)</f>
        <v/>
      </c>
      <c r="Q624" s="3">
        <f>IF(ORIG!Q624=0,"",ORIG!Q624)</f>
        <v/>
      </c>
      <c r="R624" s="3">
        <f>IF(ORIG!R624=0,"",ORIG!R624)</f>
        <v/>
      </c>
      <c r="S624" s="3">
        <f>IF(ORIG!S624=0,"",ORIG!S624)</f>
        <v/>
      </c>
      <c r="T624" s="3">
        <f>IF(ORIG!T624=0,"",ORIG!T624)</f>
        <v/>
      </c>
      <c r="U624" s="3">
        <f>IF(ORIG!U624=0,"",ORIG!U624)</f>
        <v/>
      </c>
      <c r="V624" s="9">
        <f>IF(ORIG!V624=0,"",ORIG!V624)</f>
        <v/>
      </c>
      <c r="W624" s="9">
        <f>IF(ORIG!W624=0,"",ORIG!W624)</f>
        <v/>
      </c>
      <c r="X624" s="9">
        <f>IF(ORIG!X624=0,"",ORIG!X624)</f>
        <v/>
      </c>
      <c r="Y624" s="9">
        <f>IF(ORIG!Y624=0,"",ORIG!Y624)</f>
        <v/>
      </c>
      <c r="Z624" s="3">
        <f>SUMPRODUCT($B624:$Y624,$B$2649:$Y$2649)</f>
        <v/>
      </c>
      <c r="AA624" s="3">
        <f>SUMPRODUCT($B624:$Y624,$B$2655:$Y$2655)</f>
        <v/>
      </c>
      <c r="AC624" s="1">
        <f>A624</f>
        <v/>
      </c>
      <c r="AD624">
        <f>IF(ISNUMBER(V624),V624*($AB$1/V$2635),"")</f>
        <v/>
      </c>
      <c r="AE624">
        <f>IF(ISNUMBER(Z624),Z624*($AB$1/Z$2635),"")</f>
        <v/>
      </c>
      <c r="AF624" s="25">
        <f>IF(ISNUMBER(AD624+AE624),AD624+AE624,"")</f>
        <v/>
      </c>
      <c r="AH624" s="1">
        <f>A624</f>
        <v/>
      </c>
      <c r="AI624">
        <f>IF(ISNUMBER((1+V624)*AI623),(1+V624)*AI623,AI623)</f>
        <v/>
      </c>
      <c r="AJ624">
        <f>IF(ISNUMBER((1+Z624)*AJ623),(1+Z624)*AJ623,AJ623)</f>
        <v/>
      </c>
    </row>
    <row r="625">
      <c r="A625" s="1" t="n">
        <v>42908</v>
      </c>
      <c r="B625" s="3">
        <f>IF(ORIG!B625=0,"",ORIG!B625)</f>
        <v/>
      </c>
      <c r="C625" s="3">
        <f>IF(ORIG!C625=0,"",ORIG!C625)</f>
        <v/>
      </c>
      <c r="D625" s="3">
        <f>IF(ORIG!D625=0,"",ORIG!D625)</f>
        <v/>
      </c>
      <c r="E625" s="3">
        <f>IF(ORIG!E625=0,"",ORIG!E625)</f>
        <v/>
      </c>
      <c r="F625" s="3">
        <f>IF(ORIG!F625=0,"",ORIG!F625)</f>
        <v/>
      </c>
      <c r="G625" s="3">
        <f>IF(ORIG!G625=0,"",ORIG!G625)</f>
        <v/>
      </c>
      <c r="H625" s="3">
        <f>IF(ORIG!H625=0,"",ORIG!H625)</f>
        <v/>
      </c>
      <c r="I625" s="3">
        <f>IF(ORIG!I625=0,"",ORIG!I625)</f>
        <v/>
      </c>
      <c r="J625" s="3">
        <f>IF(ORIG!J625=0,"",ORIG!J625)</f>
        <v/>
      </c>
      <c r="K625" s="3">
        <f>IF(ORIG!K625=0,"",ORIG!K625)</f>
        <v/>
      </c>
      <c r="L625" s="3">
        <f>IF(ORIG!L625=0,"",ORIG!L625)</f>
        <v/>
      </c>
      <c r="M625" s="3">
        <f>IF(ORIG!M625=0,"",ORIG!M625)</f>
        <v/>
      </c>
      <c r="N625" s="3">
        <f>IF(ORIG!N625=0,"",ORIG!N625)</f>
        <v/>
      </c>
      <c r="O625" s="3">
        <f>IF(ORIG!O625=0,"",ORIG!O625)</f>
        <v/>
      </c>
      <c r="P625" s="3">
        <f>IF(ORIG!P625=0,"",ORIG!P625)</f>
        <v/>
      </c>
      <c r="Q625" s="3">
        <f>IF(ORIG!Q625=0,"",ORIG!Q625)</f>
        <v/>
      </c>
      <c r="R625" s="3">
        <f>IF(ORIG!R625=0,"",ORIG!R625)</f>
        <v/>
      </c>
      <c r="S625" s="3">
        <f>IF(ORIG!S625=0,"",ORIG!S625)</f>
        <v/>
      </c>
      <c r="T625" s="3">
        <f>IF(ORIG!T625=0,"",ORIG!T625)</f>
        <v/>
      </c>
      <c r="U625" s="3">
        <f>IF(ORIG!U625=0,"",ORIG!U625)</f>
        <v/>
      </c>
      <c r="V625" s="9">
        <f>IF(ORIG!V625=0,"",ORIG!V625)</f>
        <v/>
      </c>
      <c r="W625" s="9">
        <f>IF(ORIG!W625=0,"",ORIG!W625)</f>
        <v/>
      </c>
      <c r="X625" s="9">
        <f>IF(ORIG!X625=0,"",ORIG!X625)</f>
        <v/>
      </c>
      <c r="Y625" s="9">
        <f>IF(ORIG!Y625=0,"",ORIG!Y625)</f>
        <v/>
      </c>
      <c r="Z625" s="3">
        <f>SUMPRODUCT($B625:$Y625,$B$2649:$Y$2649)</f>
        <v/>
      </c>
      <c r="AA625" s="3">
        <f>SUMPRODUCT($B625:$Y625,$B$2655:$Y$2655)</f>
        <v/>
      </c>
      <c r="AC625" s="1">
        <f>A625</f>
        <v/>
      </c>
      <c r="AD625">
        <f>IF(ISNUMBER(V625),V625*($AB$1/V$2635),"")</f>
        <v/>
      </c>
      <c r="AE625">
        <f>IF(ISNUMBER(Z625),Z625*($AB$1/Z$2635),"")</f>
        <v/>
      </c>
      <c r="AF625" s="25">
        <f>IF(ISNUMBER(AD625+AE625),AD625+AE625,"")</f>
        <v/>
      </c>
      <c r="AH625" s="1">
        <f>A625</f>
        <v/>
      </c>
      <c r="AI625">
        <f>IF(ISNUMBER((1+V625)*AI624),(1+V625)*AI624,AI624)</f>
        <v/>
      </c>
      <c r="AJ625">
        <f>IF(ISNUMBER((1+Z625)*AJ624),(1+Z625)*AJ624,AJ624)</f>
        <v/>
      </c>
    </row>
    <row r="626">
      <c r="A626" s="1" t="n">
        <v>42909</v>
      </c>
      <c r="B626" s="3">
        <f>IF(ORIG!B626=0,"",ORIG!B626)</f>
        <v/>
      </c>
      <c r="C626" s="3">
        <f>IF(ORIG!C626=0,"",ORIG!C626)</f>
        <v/>
      </c>
      <c r="D626" s="3">
        <f>IF(ORIG!D626=0,"",ORIG!D626)</f>
        <v/>
      </c>
      <c r="E626" s="3">
        <f>IF(ORIG!E626=0,"",ORIG!E626)</f>
        <v/>
      </c>
      <c r="F626" s="3">
        <f>IF(ORIG!F626=0,"",ORIG!F626)</f>
        <v/>
      </c>
      <c r="G626" s="3">
        <f>IF(ORIG!G626=0,"",ORIG!G626)</f>
        <v/>
      </c>
      <c r="H626" s="3">
        <f>IF(ORIG!H626=0,"",ORIG!H626)</f>
        <v/>
      </c>
      <c r="I626" s="3">
        <f>IF(ORIG!I626=0,"",ORIG!I626)</f>
        <v/>
      </c>
      <c r="J626" s="3">
        <f>IF(ORIG!J626=0,"",ORIG!J626)</f>
        <v/>
      </c>
      <c r="K626" s="3">
        <f>IF(ORIG!K626=0,"",ORIG!K626)</f>
        <v/>
      </c>
      <c r="L626" s="3">
        <f>IF(ORIG!L626=0,"",ORIG!L626)</f>
        <v/>
      </c>
      <c r="M626" s="3">
        <f>IF(ORIG!M626=0,"",ORIG!M626)</f>
        <v/>
      </c>
      <c r="N626" s="3">
        <f>IF(ORIG!N626=0,"",ORIG!N626)</f>
        <v/>
      </c>
      <c r="O626" s="3">
        <f>IF(ORIG!O626=0,"",ORIG!O626)</f>
        <v/>
      </c>
      <c r="P626" s="3">
        <f>IF(ORIG!P626=0,"",ORIG!P626)</f>
        <v/>
      </c>
      <c r="Q626" s="3">
        <f>IF(ORIG!Q626=0,"",ORIG!Q626)</f>
        <v/>
      </c>
      <c r="R626" s="3">
        <f>IF(ORIG!R626=0,"",ORIG!R626)</f>
        <v/>
      </c>
      <c r="S626" s="3">
        <f>IF(ORIG!S626=0,"",ORIG!S626)</f>
        <v/>
      </c>
      <c r="T626" s="3">
        <f>IF(ORIG!T626=0,"",ORIG!T626)</f>
        <v/>
      </c>
      <c r="U626" s="3">
        <f>IF(ORIG!U626=0,"",ORIG!U626)</f>
        <v/>
      </c>
      <c r="V626" s="9">
        <f>IF(ORIG!V626=0,"",ORIG!V626)</f>
        <v/>
      </c>
      <c r="W626" s="9">
        <f>IF(ORIG!W626=0,"",ORIG!W626)</f>
        <v/>
      </c>
      <c r="X626" s="9">
        <f>IF(ORIG!X626=0,"",ORIG!X626)</f>
        <v/>
      </c>
      <c r="Y626" s="9">
        <f>IF(ORIG!Y626=0,"",ORIG!Y626)</f>
        <v/>
      </c>
      <c r="Z626" s="3">
        <f>SUMPRODUCT($B626:$Y626,$B$2649:$Y$2649)</f>
        <v/>
      </c>
      <c r="AA626" s="3">
        <f>SUMPRODUCT($B626:$Y626,$B$2655:$Y$2655)</f>
        <v/>
      </c>
      <c r="AC626" s="1">
        <f>A626</f>
        <v/>
      </c>
      <c r="AD626">
        <f>IF(ISNUMBER(V626),V626*($AB$1/V$2635),"")</f>
        <v/>
      </c>
      <c r="AE626">
        <f>IF(ISNUMBER(Z626),Z626*($AB$1/Z$2635),"")</f>
        <v/>
      </c>
      <c r="AF626" s="25">
        <f>IF(ISNUMBER(AD626+AE626),AD626+AE626,"")</f>
        <v/>
      </c>
      <c r="AH626" s="1">
        <f>A626</f>
        <v/>
      </c>
      <c r="AI626">
        <f>IF(ISNUMBER((1+V626)*AI625),(1+V626)*AI625,AI625)</f>
        <v/>
      </c>
      <c r="AJ626">
        <f>IF(ISNUMBER((1+Z626)*AJ625),(1+Z626)*AJ625,AJ625)</f>
        <v/>
      </c>
    </row>
    <row r="627">
      <c r="A627" s="1" t="n">
        <v>42912</v>
      </c>
      <c r="B627" s="3">
        <f>IF(ORIG!B627=0,"",ORIG!B627)</f>
        <v/>
      </c>
      <c r="C627" s="3">
        <f>IF(ORIG!C627=0,"",ORIG!C627)</f>
        <v/>
      </c>
      <c r="D627" s="3">
        <f>IF(ORIG!D627=0,"",ORIG!D627)</f>
        <v/>
      </c>
      <c r="E627" s="3">
        <f>IF(ORIG!E627=0,"",ORIG!E627)</f>
        <v/>
      </c>
      <c r="F627" s="3">
        <f>IF(ORIG!F627=0,"",ORIG!F627)</f>
        <v/>
      </c>
      <c r="G627" s="3">
        <f>IF(ORIG!G627=0,"",ORIG!G627)</f>
        <v/>
      </c>
      <c r="H627" s="3">
        <f>IF(ORIG!H627=0,"",ORIG!H627)</f>
        <v/>
      </c>
      <c r="I627" s="3">
        <f>IF(ORIG!I627=0,"",ORIG!I627)</f>
        <v/>
      </c>
      <c r="J627" s="3">
        <f>IF(ORIG!J627=0,"",ORIG!J627)</f>
        <v/>
      </c>
      <c r="K627" s="3">
        <f>IF(ORIG!K627=0,"",ORIG!K627)</f>
        <v/>
      </c>
      <c r="L627" s="3">
        <f>IF(ORIG!L627=0,"",ORIG!L627)</f>
        <v/>
      </c>
      <c r="M627" s="3">
        <f>IF(ORIG!M627=0,"",ORIG!M627)</f>
        <v/>
      </c>
      <c r="N627" s="3">
        <f>IF(ORIG!N627=0,"",ORIG!N627)</f>
        <v/>
      </c>
      <c r="O627" s="3">
        <f>IF(ORIG!O627=0,"",ORIG!O627)</f>
        <v/>
      </c>
      <c r="P627" s="3">
        <f>IF(ORIG!P627=0,"",ORIG!P627)</f>
        <v/>
      </c>
      <c r="Q627" s="3">
        <f>IF(ORIG!Q627=0,"",ORIG!Q627)</f>
        <v/>
      </c>
      <c r="R627" s="3">
        <f>IF(ORIG!R627=0,"",ORIG!R627)</f>
        <v/>
      </c>
      <c r="S627" s="3">
        <f>IF(ORIG!S627=0,"",ORIG!S627)</f>
        <v/>
      </c>
      <c r="T627" s="3">
        <f>IF(ORIG!T627=0,"",ORIG!T627)</f>
        <v/>
      </c>
      <c r="U627" s="3">
        <f>IF(ORIG!U627=0,"",ORIG!U627)</f>
        <v/>
      </c>
      <c r="V627" s="9">
        <f>IF(ORIG!V627=0,"",ORIG!V627)</f>
        <v/>
      </c>
      <c r="W627" s="9">
        <f>IF(ORIG!W627=0,"",ORIG!W627)</f>
        <v/>
      </c>
      <c r="X627" s="9">
        <f>IF(ORIG!X627=0,"",ORIG!X627)</f>
        <v/>
      </c>
      <c r="Y627" s="9">
        <f>IF(ORIG!Y627=0,"",ORIG!Y627)</f>
        <v/>
      </c>
      <c r="Z627" s="3">
        <f>SUMPRODUCT($B627:$Y627,$B$2649:$Y$2649)</f>
        <v/>
      </c>
      <c r="AA627" s="3">
        <f>SUMPRODUCT($B627:$Y627,$B$2655:$Y$2655)</f>
        <v/>
      </c>
      <c r="AC627" s="1">
        <f>A627</f>
        <v/>
      </c>
      <c r="AD627">
        <f>IF(ISNUMBER(V627),V627*($AB$1/V$2635),"")</f>
        <v/>
      </c>
      <c r="AE627">
        <f>IF(ISNUMBER(Z627),Z627*($AB$1/Z$2635),"")</f>
        <v/>
      </c>
      <c r="AF627" s="25">
        <f>IF(ISNUMBER(AD627+AE627),AD627+AE627,"")</f>
        <v/>
      </c>
      <c r="AH627" s="1">
        <f>A627</f>
        <v/>
      </c>
      <c r="AI627">
        <f>IF(ISNUMBER((1+V627)*AI626),(1+V627)*AI626,AI626)</f>
        <v/>
      </c>
      <c r="AJ627">
        <f>IF(ISNUMBER((1+Z627)*AJ626),(1+Z627)*AJ626,AJ626)</f>
        <v/>
      </c>
    </row>
    <row r="628">
      <c r="A628" s="1" t="n">
        <v>42913</v>
      </c>
      <c r="B628" s="3">
        <f>IF(ORIG!B628=0,"",ORIG!B628)</f>
        <v/>
      </c>
      <c r="C628" s="3">
        <f>IF(ORIG!C628=0,"",ORIG!C628)</f>
        <v/>
      </c>
      <c r="D628" s="3">
        <f>IF(ORIG!D628=0,"",ORIG!D628)</f>
        <v/>
      </c>
      <c r="E628" s="3">
        <f>IF(ORIG!E628=0,"",ORIG!E628)</f>
        <v/>
      </c>
      <c r="F628" s="3">
        <f>IF(ORIG!F628=0,"",ORIG!F628)</f>
        <v/>
      </c>
      <c r="G628" s="3">
        <f>IF(ORIG!G628=0,"",ORIG!G628)</f>
        <v/>
      </c>
      <c r="H628" s="3">
        <f>IF(ORIG!H628=0,"",ORIG!H628)</f>
        <v/>
      </c>
      <c r="I628" s="3">
        <f>IF(ORIG!I628=0,"",ORIG!I628)</f>
        <v/>
      </c>
      <c r="J628" s="3">
        <f>IF(ORIG!J628=0,"",ORIG!J628)</f>
        <v/>
      </c>
      <c r="K628" s="3">
        <f>IF(ORIG!K628=0,"",ORIG!K628)</f>
        <v/>
      </c>
      <c r="L628" s="3">
        <f>IF(ORIG!L628=0,"",ORIG!L628)</f>
        <v/>
      </c>
      <c r="M628" s="3">
        <f>IF(ORIG!M628=0,"",ORIG!M628)</f>
        <v/>
      </c>
      <c r="N628" s="3">
        <f>IF(ORIG!N628=0,"",ORIG!N628)</f>
        <v/>
      </c>
      <c r="O628" s="3">
        <f>IF(ORIG!O628=0,"",ORIG!O628)</f>
        <v/>
      </c>
      <c r="P628" s="3">
        <f>IF(ORIG!P628=0,"",ORIG!P628)</f>
        <v/>
      </c>
      <c r="Q628" s="3">
        <f>IF(ORIG!Q628=0,"",ORIG!Q628)</f>
        <v/>
      </c>
      <c r="R628" s="3">
        <f>IF(ORIG!R628=0,"",ORIG!R628)</f>
        <v/>
      </c>
      <c r="S628" s="3">
        <f>IF(ORIG!S628=0,"",ORIG!S628)</f>
        <v/>
      </c>
      <c r="T628" s="3">
        <f>IF(ORIG!T628=0,"",ORIG!T628)</f>
        <v/>
      </c>
      <c r="U628" s="3">
        <f>IF(ORIG!U628=0,"",ORIG!U628)</f>
        <v/>
      </c>
      <c r="V628" s="9">
        <f>IF(ORIG!V628=0,"",ORIG!V628)</f>
        <v/>
      </c>
      <c r="W628" s="9">
        <f>IF(ORIG!W628=0,"",ORIG!W628)</f>
        <v/>
      </c>
      <c r="X628" s="9">
        <f>IF(ORIG!X628=0,"",ORIG!X628)</f>
        <v/>
      </c>
      <c r="Y628" s="9">
        <f>IF(ORIG!Y628=0,"",ORIG!Y628)</f>
        <v/>
      </c>
      <c r="Z628" s="3">
        <f>SUMPRODUCT($B628:$Y628,$B$2649:$Y$2649)</f>
        <v/>
      </c>
      <c r="AA628" s="3">
        <f>SUMPRODUCT($B628:$Y628,$B$2655:$Y$2655)</f>
        <v/>
      </c>
      <c r="AC628" s="1">
        <f>A628</f>
        <v/>
      </c>
      <c r="AD628">
        <f>IF(ISNUMBER(V628),V628*($AB$1/V$2635),"")</f>
        <v/>
      </c>
      <c r="AE628">
        <f>IF(ISNUMBER(Z628),Z628*($AB$1/Z$2635),"")</f>
        <v/>
      </c>
      <c r="AF628" s="25">
        <f>IF(ISNUMBER(AD628+AE628),AD628+AE628,"")</f>
        <v/>
      </c>
      <c r="AH628" s="1">
        <f>A628</f>
        <v/>
      </c>
      <c r="AI628">
        <f>IF(ISNUMBER((1+V628)*AI627),(1+V628)*AI627,AI627)</f>
        <v/>
      </c>
      <c r="AJ628">
        <f>IF(ISNUMBER((1+Z628)*AJ627),(1+Z628)*AJ627,AJ627)</f>
        <v/>
      </c>
    </row>
    <row r="629">
      <c r="A629" s="1" t="n">
        <v>42914</v>
      </c>
      <c r="B629" s="3">
        <f>IF(ORIG!B629=0,"",ORIG!B629)</f>
        <v/>
      </c>
      <c r="C629" s="3">
        <f>IF(ORIG!C629=0,"",ORIG!C629)</f>
        <v/>
      </c>
      <c r="D629" s="3">
        <f>IF(ORIG!D629=0,"",ORIG!D629)</f>
        <v/>
      </c>
      <c r="E629" s="3">
        <f>IF(ORIG!E629=0,"",ORIG!E629)</f>
        <v/>
      </c>
      <c r="F629" s="3">
        <f>IF(ORIG!F629=0,"",ORIG!F629)</f>
        <v/>
      </c>
      <c r="G629" s="3">
        <f>IF(ORIG!G629=0,"",ORIG!G629)</f>
        <v/>
      </c>
      <c r="H629" s="3">
        <f>IF(ORIG!H629=0,"",ORIG!H629)</f>
        <v/>
      </c>
      <c r="I629" s="3">
        <f>IF(ORIG!I629=0,"",ORIG!I629)</f>
        <v/>
      </c>
      <c r="J629" s="3">
        <f>IF(ORIG!J629=0,"",ORIG!J629)</f>
        <v/>
      </c>
      <c r="K629" s="3">
        <f>IF(ORIG!K629=0,"",ORIG!K629)</f>
        <v/>
      </c>
      <c r="L629" s="3">
        <f>IF(ORIG!L629=0,"",ORIG!L629)</f>
        <v/>
      </c>
      <c r="M629" s="3">
        <f>IF(ORIG!M629=0,"",ORIG!M629)</f>
        <v/>
      </c>
      <c r="N629" s="3">
        <f>IF(ORIG!N629=0,"",ORIG!N629)</f>
        <v/>
      </c>
      <c r="O629" s="3">
        <f>IF(ORIG!O629=0,"",ORIG!O629)</f>
        <v/>
      </c>
      <c r="P629" s="3">
        <f>IF(ORIG!P629=0,"",ORIG!P629)</f>
        <v/>
      </c>
      <c r="Q629" s="3">
        <f>IF(ORIG!Q629=0,"",ORIG!Q629)</f>
        <v/>
      </c>
      <c r="R629" s="3">
        <f>IF(ORIG!R629=0,"",ORIG!R629)</f>
        <v/>
      </c>
      <c r="S629" s="3">
        <f>IF(ORIG!S629=0,"",ORIG!S629)</f>
        <v/>
      </c>
      <c r="T629" s="3">
        <f>IF(ORIG!T629=0,"",ORIG!T629)</f>
        <v/>
      </c>
      <c r="U629" s="3">
        <f>IF(ORIG!U629=0,"",ORIG!U629)</f>
        <v/>
      </c>
      <c r="V629" s="9">
        <f>IF(ORIG!V629=0,"",ORIG!V629)</f>
        <v/>
      </c>
      <c r="W629" s="9">
        <f>IF(ORIG!W629=0,"",ORIG!W629)</f>
        <v/>
      </c>
      <c r="X629" s="9">
        <f>IF(ORIG!X629=0,"",ORIG!X629)</f>
        <v/>
      </c>
      <c r="Y629" s="9">
        <f>IF(ORIG!Y629=0,"",ORIG!Y629)</f>
        <v/>
      </c>
      <c r="Z629" s="3">
        <f>SUMPRODUCT($B629:$Y629,$B$2649:$Y$2649)</f>
        <v/>
      </c>
      <c r="AA629" s="3">
        <f>SUMPRODUCT($B629:$Y629,$B$2655:$Y$2655)</f>
        <v/>
      </c>
      <c r="AC629" s="1">
        <f>A629</f>
        <v/>
      </c>
      <c r="AD629">
        <f>IF(ISNUMBER(V629),V629*($AB$1/V$2635),"")</f>
        <v/>
      </c>
      <c r="AE629">
        <f>IF(ISNUMBER(Z629),Z629*($AB$1/Z$2635),"")</f>
        <v/>
      </c>
      <c r="AF629" s="25">
        <f>IF(ISNUMBER(AD629+AE629),AD629+AE629,"")</f>
        <v/>
      </c>
      <c r="AH629" s="1">
        <f>A629</f>
        <v/>
      </c>
      <c r="AI629">
        <f>IF(ISNUMBER((1+V629)*AI628),(1+V629)*AI628,AI628)</f>
        <v/>
      </c>
      <c r="AJ629">
        <f>IF(ISNUMBER((1+Z629)*AJ628),(1+Z629)*AJ628,AJ628)</f>
        <v/>
      </c>
    </row>
    <row r="630">
      <c r="A630" s="1" t="n">
        <v>42915</v>
      </c>
      <c r="B630" s="3">
        <f>IF(ORIG!B630=0,"",ORIG!B630)</f>
        <v/>
      </c>
      <c r="C630" s="3">
        <f>IF(ORIG!C630=0,"",ORIG!C630)</f>
        <v/>
      </c>
      <c r="D630" s="3">
        <f>IF(ORIG!D630=0,"",ORIG!D630)</f>
        <v/>
      </c>
      <c r="E630" s="3">
        <f>IF(ORIG!E630=0,"",ORIG!E630)</f>
        <v/>
      </c>
      <c r="F630" s="3">
        <f>IF(ORIG!F630=0,"",ORIG!F630)</f>
        <v/>
      </c>
      <c r="G630" s="3">
        <f>IF(ORIG!G630=0,"",ORIG!G630)</f>
        <v/>
      </c>
      <c r="H630" s="3">
        <f>IF(ORIG!H630=0,"",ORIG!H630)</f>
        <v/>
      </c>
      <c r="I630" s="3">
        <f>IF(ORIG!I630=0,"",ORIG!I630)</f>
        <v/>
      </c>
      <c r="J630" s="3">
        <f>IF(ORIG!J630=0,"",ORIG!J630)</f>
        <v/>
      </c>
      <c r="K630" s="3">
        <f>IF(ORIG!K630=0,"",ORIG!K630)</f>
        <v/>
      </c>
      <c r="L630" s="3">
        <f>IF(ORIG!L630=0,"",ORIG!L630)</f>
        <v/>
      </c>
      <c r="M630" s="3">
        <f>IF(ORIG!M630=0,"",ORIG!M630)</f>
        <v/>
      </c>
      <c r="N630" s="3">
        <f>IF(ORIG!N630=0,"",ORIG!N630)</f>
        <v/>
      </c>
      <c r="O630" s="3">
        <f>IF(ORIG!O630=0,"",ORIG!O630)</f>
        <v/>
      </c>
      <c r="P630" s="3">
        <f>IF(ORIG!P630=0,"",ORIG!P630)</f>
        <v/>
      </c>
      <c r="Q630" s="3">
        <f>IF(ORIG!Q630=0,"",ORIG!Q630)</f>
        <v/>
      </c>
      <c r="R630" s="3">
        <f>IF(ORIG!R630=0,"",ORIG!R630)</f>
        <v/>
      </c>
      <c r="S630" s="3">
        <f>IF(ORIG!S630=0,"",ORIG!S630)</f>
        <v/>
      </c>
      <c r="T630" s="3">
        <f>IF(ORIG!T630=0,"",ORIG!T630)</f>
        <v/>
      </c>
      <c r="U630" s="3">
        <f>IF(ORIG!U630=0,"",ORIG!U630)</f>
        <v/>
      </c>
      <c r="V630" s="9">
        <f>IF(ORIG!V630=0,"",ORIG!V630)</f>
        <v/>
      </c>
      <c r="W630" s="9">
        <f>IF(ORIG!W630=0,"",ORIG!W630)</f>
        <v/>
      </c>
      <c r="X630" s="9">
        <f>IF(ORIG!X630=0,"",ORIG!X630)</f>
        <v/>
      </c>
      <c r="Y630" s="9">
        <f>IF(ORIG!Y630=0,"",ORIG!Y630)</f>
        <v/>
      </c>
      <c r="Z630" s="3">
        <f>SUMPRODUCT($B630:$Y630,$B$2649:$Y$2649)</f>
        <v/>
      </c>
      <c r="AA630" s="3">
        <f>SUMPRODUCT($B630:$Y630,$B$2655:$Y$2655)</f>
        <v/>
      </c>
      <c r="AC630" s="1">
        <f>A630</f>
        <v/>
      </c>
      <c r="AD630">
        <f>IF(ISNUMBER(V630),V630*($AB$1/V$2635),"")</f>
        <v/>
      </c>
      <c r="AE630">
        <f>IF(ISNUMBER(Z630),Z630*($AB$1/Z$2635),"")</f>
        <v/>
      </c>
      <c r="AF630" s="25">
        <f>IF(ISNUMBER(AD630+AE630),AD630+AE630,"")</f>
        <v/>
      </c>
      <c r="AH630" s="1">
        <f>A630</f>
        <v/>
      </c>
      <c r="AI630">
        <f>IF(ISNUMBER((1+V630)*AI629),(1+V630)*AI629,AI629)</f>
        <v/>
      </c>
      <c r="AJ630">
        <f>IF(ISNUMBER((1+Z630)*AJ629),(1+Z630)*AJ629,AJ629)</f>
        <v/>
      </c>
    </row>
    <row r="631">
      <c r="A631" s="1" t="n">
        <v>42916</v>
      </c>
      <c r="B631" s="3">
        <f>IF(ORIG!B631=0,"",ORIG!B631)</f>
        <v/>
      </c>
      <c r="C631" s="3">
        <f>IF(ORIG!C631=0,"",ORIG!C631)</f>
        <v/>
      </c>
      <c r="D631" s="3">
        <f>IF(ORIG!D631=0,"",ORIG!D631)</f>
        <v/>
      </c>
      <c r="E631" s="3">
        <f>IF(ORIG!E631=0,"",ORIG!E631)</f>
        <v/>
      </c>
      <c r="F631" s="3">
        <f>IF(ORIG!F631=0,"",ORIG!F631)</f>
        <v/>
      </c>
      <c r="G631" s="3">
        <f>IF(ORIG!G631=0,"",ORIG!G631)</f>
        <v/>
      </c>
      <c r="H631" s="3">
        <f>IF(ORIG!H631=0,"",ORIG!H631)</f>
        <v/>
      </c>
      <c r="I631" s="3">
        <f>IF(ORIG!I631=0,"",ORIG!I631)</f>
        <v/>
      </c>
      <c r="J631" s="3">
        <f>IF(ORIG!J631=0,"",ORIG!J631)</f>
        <v/>
      </c>
      <c r="K631" s="3">
        <f>IF(ORIG!K631=0,"",ORIG!K631)</f>
        <v/>
      </c>
      <c r="L631" s="3">
        <f>IF(ORIG!L631=0,"",ORIG!L631)</f>
        <v/>
      </c>
      <c r="M631" s="3">
        <f>IF(ORIG!M631=0,"",ORIG!M631)</f>
        <v/>
      </c>
      <c r="N631" s="3">
        <f>IF(ORIG!N631=0,"",ORIG!N631)</f>
        <v/>
      </c>
      <c r="O631" s="3">
        <f>IF(ORIG!O631=0,"",ORIG!O631)</f>
        <v/>
      </c>
      <c r="P631" s="3">
        <f>IF(ORIG!P631=0,"",ORIG!P631)</f>
        <v/>
      </c>
      <c r="Q631" s="3">
        <f>IF(ORIG!Q631=0,"",ORIG!Q631)</f>
        <v/>
      </c>
      <c r="R631" s="3">
        <f>IF(ORIG!R631=0,"",ORIG!R631)</f>
        <v/>
      </c>
      <c r="S631" s="3">
        <f>IF(ORIG!S631=0,"",ORIG!S631)</f>
        <v/>
      </c>
      <c r="T631" s="3">
        <f>IF(ORIG!T631=0,"",ORIG!T631)</f>
        <v/>
      </c>
      <c r="U631" s="3">
        <f>IF(ORIG!U631=0,"",ORIG!U631)</f>
        <v/>
      </c>
      <c r="V631" s="9">
        <f>IF(ORIG!V631=0,"",ORIG!V631)</f>
        <v/>
      </c>
      <c r="W631" s="9">
        <f>IF(ORIG!W631=0,"",ORIG!W631)</f>
        <v/>
      </c>
      <c r="X631" s="9">
        <f>IF(ORIG!X631=0,"",ORIG!X631)</f>
        <v/>
      </c>
      <c r="Y631" s="9">
        <f>IF(ORIG!Y631=0,"",ORIG!Y631)</f>
        <v/>
      </c>
      <c r="Z631" s="3">
        <f>SUMPRODUCT($B631:$Y631,$B$2649:$Y$2649)</f>
        <v/>
      </c>
      <c r="AA631" s="3">
        <f>SUMPRODUCT($B631:$Y631,$B$2655:$Y$2655)</f>
        <v/>
      </c>
      <c r="AC631" s="1">
        <f>A631</f>
        <v/>
      </c>
      <c r="AD631">
        <f>IF(ISNUMBER(V631),V631*($AB$1/V$2635),"")</f>
        <v/>
      </c>
      <c r="AE631">
        <f>IF(ISNUMBER(Z631),Z631*($AB$1/Z$2635),"")</f>
        <v/>
      </c>
      <c r="AF631" s="25">
        <f>IF(ISNUMBER(AD631+AE631),AD631+AE631,"")</f>
        <v/>
      </c>
      <c r="AH631" s="1">
        <f>A631</f>
        <v/>
      </c>
      <c r="AI631">
        <f>IF(ISNUMBER((1+V631)*AI630),(1+V631)*AI630,AI630)</f>
        <v/>
      </c>
      <c r="AJ631">
        <f>IF(ISNUMBER((1+Z631)*AJ630),(1+Z631)*AJ630,AJ630)</f>
        <v/>
      </c>
    </row>
    <row r="632">
      <c r="A632" s="1" t="n">
        <v>42919</v>
      </c>
      <c r="B632" s="3">
        <f>IF(ORIG!B632=0,"",ORIG!B632)</f>
        <v/>
      </c>
      <c r="C632" s="3">
        <f>IF(ORIG!C632=0,"",ORIG!C632)</f>
        <v/>
      </c>
      <c r="D632" s="3">
        <f>IF(ORIG!D632=0,"",ORIG!D632)</f>
        <v/>
      </c>
      <c r="E632" s="3">
        <f>IF(ORIG!E632=0,"",ORIG!E632)</f>
        <v/>
      </c>
      <c r="F632" s="3">
        <f>IF(ORIG!F632=0,"",ORIG!F632)</f>
        <v/>
      </c>
      <c r="G632" s="3">
        <f>IF(ORIG!G632=0,"",ORIG!G632)</f>
        <v/>
      </c>
      <c r="H632" s="3">
        <f>IF(ORIG!H632=0,"",ORIG!H632)</f>
        <v/>
      </c>
      <c r="I632" s="3">
        <f>IF(ORIG!I632=0,"",ORIG!I632)</f>
        <v/>
      </c>
      <c r="J632" s="3">
        <f>IF(ORIG!J632=0,"",ORIG!J632)</f>
        <v/>
      </c>
      <c r="K632" s="3">
        <f>IF(ORIG!K632=0,"",ORIG!K632)</f>
        <v/>
      </c>
      <c r="L632" s="3">
        <f>IF(ORIG!L632=0,"",ORIG!L632)</f>
        <v/>
      </c>
      <c r="M632" s="3">
        <f>IF(ORIG!M632=0,"",ORIG!M632)</f>
        <v/>
      </c>
      <c r="N632" s="3">
        <f>IF(ORIG!N632=0,"",ORIG!N632)</f>
        <v/>
      </c>
      <c r="O632" s="3">
        <f>IF(ORIG!O632=0,"",ORIG!O632)</f>
        <v/>
      </c>
      <c r="P632" s="3">
        <f>IF(ORIG!P632=0,"",ORIG!P632)</f>
        <v/>
      </c>
      <c r="Q632" s="3">
        <f>IF(ORIG!Q632=0,"",ORIG!Q632)</f>
        <v/>
      </c>
      <c r="R632" s="3">
        <f>IF(ORIG!R632=0,"",ORIG!R632)</f>
        <v/>
      </c>
      <c r="S632" s="3">
        <f>IF(ORIG!S632=0,"",ORIG!S632)</f>
        <v/>
      </c>
      <c r="T632" s="3">
        <f>IF(ORIG!T632=0,"",ORIG!T632)</f>
        <v/>
      </c>
      <c r="U632" s="3">
        <f>IF(ORIG!U632=0,"",ORIG!U632)</f>
        <v/>
      </c>
      <c r="V632" s="9">
        <f>IF(ORIG!V632=0,"",ORIG!V632)</f>
        <v/>
      </c>
      <c r="W632" s="9">
        <f>IF(ORIG!W632=0,"",ORIG!W632)</f>
        <v/>
      </c>
      <c r="X632" s="9">
        <f>IF(ORIG!X632=0,"",ORIG!X632)</f>
        <v/>
      </c>
      <c r="Y632" s="9">
        <f>IF(ORIG!Y632=0,"",ORIG!Y632)</f>
        <v/>
      </c>
      <c r="Z632" s="3">
        <f>SUMPRODUCT($B632:$Y632,$B$2649:$Y$2649)</f>
        <v/>
      </c>
      <c r="AA632" s="3">
        <f>SUMPRODUCT($B632:$Y632,$B$2655:$Y$2655)</f>
        <v/>
      </c>
      <c r="AC632" s="1">
        <f>A632</f>
        <v/>
      </c>
      <c r="AD632">
        <f>IF(ISNUMBER(V632),V632*($AB$1/V$2635),"")</f>
        <v/>
      </c>
      <c r="AE632">
        <f>IF(ISNUMBER(Z632),Z632*($AB$1/Z$2635),"")</f>
        <v/>
      </c>
      <c r="AF632" s="25">
        <f>IF(ISNUMBER(AD632+AE632),AD632+AE632,"")</f>
        <v/>
      </c>
      <c r="AH632" s="1">
        <f>A632</f>
        <v/>
      </c>
      <c r="AI632">
        <f>IF(ISNUMBER((1+V632)*AI631),(1+V632)*AI631,AI631)</f>
        <v/>
      </c>
      <c r="AJ632">
        <f>IF(ISNUMBER((1+Z632)*AJ631),(1+Z632)*AJ631,AJ631)</f>
        <v/>
      </c>
    </row>
    <row r="633">
      <c r="A633" s="1" t="n">
        <v>42921</v>
      </c>
      <c r="B633" s="3">
        <f>IF(ORIG!B633=0,"",ORIG!B633)</f>
        <v/>
      </c>
      <c r="C633" s="3">
        <f>IF(ORIG!C633=0,"",ORIG!C633)</f>
        <v/>
      </c>
      <c r="D633" s="3">
        <f>IF(ORIG!D633=0,"",ORIG!D633)</f>
        <v/>
      </c>
      <c r="E633" s="3">
        <f>IF(ORIG!E633=0,"",ORIG!E633)</f>
        <v/>
      </c>
      <c r="F633" s="3">
        <f>IF(ORIG!F633=0,"",ORIG!F633)</f>
        <v/>
      </c>
      <c r="G633" s="3">
        <f>IF(ORIG!G633=0,"",ORIG!G633)</f>
        <v/>
      </c>
      <c r="H633" s="3">
        <f>IF(ORIG!H633=0,"",ORIG!H633)</f>
        <v/>
      </c>
      <c r="I633" s="3">
        <f>IF(ORIG!I633=0,"",ORIG!I633)</f>
        <v/>
      </c>
      <c r="J633" s="3">
        <f>IF(ORIG!J633=0,"",ORIG!J633)</f>
        <v/>
      </c>
      <c r="K633" s="3">
        <f>IF(ORIG!K633=0,"",ORIG!K633)</f>
        <v/>
      </c>
      <c r="L633" s="3">
        <f>IF(ORIG!L633=0,"",ORIG!L633)</f>
        <v/>
      </c>
      <c r="M633" s="3">
        <f>IF(ORIG!M633=0,"",ORIG!M633)</f>
        <v/>
      </c>
      <c r="N633" s="3">
        <f>IF(ORIG!N633=0,"",ORIG!N633)</f>
        <v/>
      </c>
      <c r="O633" s="3">
        <f>IF(ORIG!O633=0,"",ORIG!O633)</f>
        <v/>
      </c>
      <c r="P633" s="3">
        <f>IF(ORIG!P633=0,"",ORIG!P633)</f>
        <v/>
      </c>
      <c r="Q633" s="3">
        <f>IF(ORIG!Q633=0,"",ORIG!Q633)</f>
        <v/>
      </c>
      <c r="R633" s="3">
        <f>IF(ORIG!R633=0,"",ORIG!R633)</f>
        <v/>
      </c>
      <c r="S633" s="3">
        <f>IF(ORIG!S633=0,"",ORIG!S633)</f>
        <v/>
      </c>
      <c r="T633" s="3">
        <f>IF(ORIG!T633=0,"",ORIG!T633)</f>
        <v/>
      </c>
      <c r="U633" s="3">
        <f>IF(ORIG!U633=0,"",ORIG!U633)</f>
        <v/>
      </c>
      <c r="V633" s="9">
        <f>IF(ORIG!V633=0,"",ORIG!V633)</f>
        <v/>
      </c>
      <c r="W633" s="9">
        <f>IF(ORIG!W633=0,"",ORIG!W633)</f>
        <v/>
      </c>
      <c r="X633" s="9">
        <f>IF(ORIG!X633=0,"",ORIG!X633)</f>
        <v/>
      </c>
      <c r="Y633" s="9">
        <f>IF(ORIG!Y633=0,"",ORIG!Y633)</f>
        <v/>
      </c>
      <c r="Z633" s="3">
        <f>SUMPRODUCT($B633:$Y633,$B$2649:$Y$2649)</f>
        <v/>
      </c>
      <c r="AA633" s="3">
        <f>SUMPRODUCT($B633:$Y633,$B$2655:$Y$2655)</f>
        <v/>
      </c>
      <c r="AC633" s="1">
        <f>A633</f>
        <v/>
      </c>
      <c r="AD633">
        <f>IF(ISNUMBER(V633),V633*($AB$1/V$2635),"")</f>
        <v/>
      </c>
      <c r="AE633">
        <f>IF(ISNUMBER(Z633),Z633*($AB$1/Z$2635),"")</f>
        <v/>
      </c>
      <c r="AF633" s="25">
        <f>IF(ISNUMBER(AD633+AE633),AD633+AE633,"")</f>
        <v/>
      </c>
      <c r="AH633" s="1">
        <f>A633</f>
        <v/>
      </c>
      <c r="AI633">
        <f>IF(ISNUMBER((1+V633)*AI632),(1+V633)*AI632,AI632)</f>
        <v/>
      </c>
      <c r="AJ633">
        <f>IF(ISNUMBER((1+Z633)*AJ632),(1+Z633)*AJ632,AJ632)</f>
        <v/>
      </c>
    </row>
    <row r="634">
      <c r="A634" s="1" t="n">
        <v>42922</v>
      </c>
      <c r="B634" s="3">
        <f>IF(ORIG!B634=0,"",ORIG!B634)</f>
        <v/>
      </c>
      <c r="C634" s="3">
        <f>IF(ORIG!C634=0,"",ORIG!C634)</f>
        <v/>
      </c>
      <c r="D634" s="3">
        <f>IF(ORIG!D634=0,"",ORIG!D634)</f>
        <v/>
      </c>
      <c r="E634" s="3">
        <f>IF(ORIG!E634=0,"",ORIG!E634)</f>
        <v/>
      </c>
      <c r="F634" s="3">
        <f>IF(ORIG!F634=0,"",ORIG!F634)</f>
        <v/>
      </c>
      <c r="G634" s="3">
        <f>IF(ORIG!G634=0,"",ORIG!G634)</f>
        <v/>
      </c>
      <c r="H634" s="3">
        <f>IF(ORIG!H634=0,"",ORIG!H634)</f>
        <v/>
      </c>
      <c r="I634" s="3">
        <f>IF(ORIG!I634=0,"",ORIG!I634)</f>
        <v/>
      </c>
      <c r="J634" s="3">
        <f>IF(ORIG!J634=0,"",ORIG!J634)</f>
        <v/>
      </c>
      <c r="K634" s="3">
        <f>IF(ORIG!K634=0,"",ORIG!K634)</f>
        <v/>
      </c>
      <c r="L634" s="3">
        <f>IF(ORIG!L634=0,"",ORIG!L634)</f>
        <v/>
      </c>
      <c r="M634" s="3">
        <f>IF(ORIG!M634=0,"",ORIG!M634)</f>
        <v/>
      </c>
      <c r="N634" s="3">
        <f>IF(ORIG!N634=0,"",ORIG!N634)</f>
        <v/>
      </c>
      <c r="O634" s="3">
        <f>IF(ORIG!O634=0,"",ORIG!O634)</f>
        <v/>
      </c>
      <c r="P634" s="3">
        <f>IF(ORIG!P634=0,"",ORIG!P634)</f>
        <v/>
      </c>
      <c r="Q634" s="3">
        <f>IF(ORIG!Q634=0,"",ORIG!Q634)</f>
        <v/>
      </c>
      <c r="R634" s="3">
        <f>IF(ORIG!R634=0,"",ORIG!R634)</f>
        <v/>
      </c>
      <c r="S634" s="3">
        <f>IF(ORIG!S634=0,"",ORIG!S634)</f>
        <v/>
      </c>
      <c r="T634" s="3">
        <f>IF(ORIG!T634=0,"",ORIG!T634)</f>
        <v/>
      </c>
      <c r="U634" s="3">
        <f>IF(ORIG!U634=0,"",ORIG!U634)</f>
        <v/>
      </c>
      <c r="V634" s="9">
        <f>IF(ORIG!V634=0,"",ORIG!V634)</f>
        <v/>
      </c>
      <c r="W634" s="9">
        <f>IF(ORIG!W634=0,"",ORIG!W634)</f>
        <v/>
      </c>
      <c r="X634" s="9">
        <f>IF(ORIG!X634=0,"",ORIG!X634)</f>
        <v/>
      </c>
      <c r="Y634" s="9">
        <f>IF(ORIG!Y634=0,"",ORIG!Y634)</f>
        <v/>
      </c>
      <c r="Z634" s="3">
        <f>SUMPRODUCT($B634:$Y634,$B$2649:$Y$2649)</f>
        <v/>
      </c>
      <c r="AA634" s="3">
        <f>SUMPRODUCT($B634:$Y634,$B$2655:$Y$2655)</f>
        <v/>
      </c>
      <c r="AC634" s="1">
        <f>A634</f>
        <v/>
      </c>
      <c r="AD634">
        <f>IF(ISNUMBER(V634),V634*($AB$1/V$2635),"")</f>
        <v/>
      </c>
      <c r="AE634">
        <f>IF(ISNUMBER(Z634),Z634*($AB$1/Z$2635),"")</f>
        <v/>
      </c>
      <c r="AF634" s="25">
        <f>IF(ISNUMBER(AD634+AE634),AD634+AE634,"")</f>
        <v/>
      </c>
      <c r="AH634" s="1">
        <f>A634</f>
        <v/>
      </c>
      <c r="AI634">
        <f>IF(ISNUMBER((1+V634)*AI633),(1+V634)*AI633,AI633)</f>
        <v/>
      </c>
      <c r="AJ634">
        <f>IF(ISNUMBER((1+Z634)*AJ633),(1+Z634)*AJ633,AJ633)</f>
        <v/>
      </c>
    </row>
    <row r="635">
      <c r="A635" s="1" t="n">
        <v>42923</v>
      </c>
      <c r="B635" s="3">
        <f>IF(ORIG!B635=0,"",ORIG!B635)</f>
        <v/>
      </c>
      <c r="C635" s="3">
        <f>IF(ORIG!C635=0,"",ORIG!C635)</f>
        <v/>
      </c>
      <c r="D635" s="3">
        <f>IF(ORIG!D635=0,"",ORIG!D635)</f>
        <v/>
      </c>
      <c r="E635" s="3">
        <f>IF(ORIG!E635=0,"",ORIG!E635)</f>
        <v/>
      </c>
      <c r="F635" s="3">
        <f>IF(ORIG!F635=0,"",ORIG!F635)</f>
        <v/>
      </c>
      <c r="G635" s="3">
        <f>IF(ORIG!G635=0,"",ORIG!G635)</f>
        <v/>
      </c>
      <c r="H635" s="3">
        <f>IF(ORIG!H635=0,"",ORIG!H635)</f>
        <v/>
      </c>
      <c r="I635" s="3">
        <f>IF(ORIG!I635=0,"",ORIG!I635)</f>
        <v/>
      </c>
      <c r="J635" s="3">
        <f>IF(ORIG!J635=0,"",ORIG!J635)</f>
        <v/>
      </c>
      <c r="K635" s="3">
        <f>IF(ORIG!K635=0,"",ORIG!K635)</f>
        <v/>
      </c>
      <c r="L635" s="3">
        <f>IF(ORIG!L635=0,"",ORIG!L635)</f>
        <v/>
      </c>
      <c r="M635" s="3">
        <f>IF(ORIG!M635=0,"",ORIG!M635)</f>
        <v/>
      </c>
      <c r="N635" s="3">
        <f>IF(ORIG!N635=0,"",ORIG!N635)</f>
        <v/>
      </c>
      <c r="O635" s="3">
        <f>IF(ORIG!O635=0,"",ORIG!O635)</f>
        <v/>
      </c>
      <c r="P635" s="3">
        <f>IF(ORIG!P635=0,"",ORIG!P635)</f>
        <v/>
      </c>
      <c r="Q635" s="3">
        <f>IF(ORIG!Q635=0,"",ORIG!Q635)</f>
        <v/>
      </c>
      <c r="R635" s="3">
        <f>IF(ORIG!R635=0,"",ORIG!R635)</f>
        <v/>
      </c>
      <c r="S635" s="3">
        <f>IF(ORIG!S635=0,"",ORIG!S635)</f>
        <v/>
      </c>
      <c r="T635" s="3">
        <f>IF(ORIG!T635=0,"",ORIG!T635)</f>
        <v/>
      </c>
      <c r="U635" s="3">
        <f>IF(ORIG!U635=0,"",ORIG!U635)</f>
        <v/>
      </c>
      <c r="V635" s="9">
        <f>IF(ORIG!V635=0,"",ORIG!V635)</f>
        <v/>
      </c>
      <c r="W635" s="9">
        <f>IF(ORIG!W635=0,"",ORIG!W635)</f>
        <v/>
      </c>
      <c r="X635" s="9">
        <f>IF(ORIG!X635=0,"",ORIG!X635)</f>
        <v/>
      </c>
      <c r="Y635" s="9">
        <f>IF(ORIG!Y635=0,"",ORIG!Y635)</f>
        <v/>
      </c>
      <c r="Z635" s="3">
        <f>SUMPRODUCT($B635:$Y635,$B$2649:$Y$2649)</f>
        <v/>
      </c>
      <c r="AA635" s="3">
        <f>SUMPRODUCT($B635:$Y635,$B$2655:$Y$2655)</f>
        <v/>
      </c>
      <c r="AC635" s="1">
        <f>A635</f>
        <v/>
      </c>
      <c r="AD635">
        <f>IF(ISNUMBER(V635),V635*($AB$1/V$2635),"")</f>
        <v/>
      </c>
      <c r="AE635">
        <f>IF(ISNUMBER(Z635),Z635*($AB$1/Z$2635),"")</f>
        <v/>
      </c>
      <c r="AF635" s="25">
        <f>IF(ISNUMBER(AD635+AE635),AD635+AE635,"")</f>
        <v/>
      </c>
      <c r="AH635" s="1">
        <f>A635</f>
        <v/>
      </c>
      <c r="AI635">
        <f>IF(ISNUMBER((1+V635)*AI634),(1+V635)*AI634,AI634)</f>
        <v/>
      </c>
      <c r="AJ635">
        <f>IF(ISNUMBER((1+Z635)*AJ634),(1+Z635)*AJ634,AJ634)</f>
        <v/>
      </c>
    </row>
    <row r="636">
      <c r="A636" s="1" t="n">
        <v>42926</v>
      </c>
      <c r="B636" s="3">
        <f>IF(ORIG!B636=0,"",ORIG!B636)</f>
        <v/>
      </c>
      <c r="C636" s="3">
        <f>IF(ORIG!C636=0,"",ORIG!C636)</f>
        <v/>
      </c>
      <c r="D636" s="3">
        <f>IF(ORIG!D636=0,"",ORIG!D636)</f>
        <v/>
      </c>
      <c r="E636" s="3">
        <f>IF(ORIG!E636=0,"",ORIG!E636)</f>
        <v/>
      </c>
      <c r="F636" s="3">
        <f>IF(ORIG!F636=0,"",ORIG!F636)</f>
        <v/>
      </c>
      <c r="G636" s="3">
        <f>IF(ORIG!G636=0,"",ORIG!G636)</f>
        <v/>
      </c>
      <c r="H636" s="3">
        <f>IF(ORIG!H636=0,"",ORIG!H636)</f>
        <v/>
      </c>
      <c r="I636" s="3">
        <f>IF(ORIG!I636=0,"",ORIG!I636)</f>
        <v/>
      </c>
      <c r="J636" s="3">
        <f>IF(ORIG!J636=0,"",ORIG!J636)</f>
        <v/>
      </c>
      <c r="K636" s="3">
        <f>IF(ORIG!K636=0,"",ORIG!K636)</f>
        <v/>
      </c>
      <c r="L636" s="3">
        <f>IF(ORIG!L636=0,"",ORIG!L636)</f>
        <v/>
      </c>
      <c r="M636" s="3">
        <f>IF(ORIG!M636=0,"",ORIG!M636)</f>
        <v/>
      </c>
      <c r="N636" s="3">
        <f>IF(ORIG!N636=0,"",ORIG!N636)</f>
        <v/>
      </c>
      <c r="O636" s="3">
        <f>IF(ORIG!O636=0,"",ORIG!O636)</f>
        <v/>
      </c>
      <c r="P636" s="3">
        <f>IF(ORIG!P636=0,"",ORIG!P636)</f>
        <v/>
      </c>
      <c r="Q636" s="3">
        <f>IF(ORIG!Q636=0,"",ORIG!Q636)</f>
        <v/>
      </c>
      <c r="R636" s="3">
        <f>IF(ORIG!R636=0,"",ORIG!R636)</f>
        <v/>
      </c>
      <c r="S636" s="3">
        <f>IF(ORIG!S636=0,"",ORIG!S636)</f>
        <v/>
      </c>
      <c r="T636" s="3">
        <f>IF(ORIG!T636=0,"",ORIG!T636)</f>
        <v/>
      </c>
      <c r="U636" s="3">
        <f>IF(ORIG!U636=0,"",ORIG!U636)</f>
        <v/>
      </c>
      <c r="V636" s="9">
        <f>IF(ORIG!V636=0,"",ORIG!V636)</f>
        <v/>
      </c>
      <c r="W636" s="9">
        <f>IF(ORIG!W636=0,"",ORIG!W636)</f>
        <v/>
      </c>
      <c r="X636" s="9">
        <f>IF(ORIG!X636=0,"",ORIG!X636)</f>
        <v/>
      </c>
      <c r="Y636" s="9">
        <f>IF(ORIG!Y636=0,"",ORIG!Y636)</f>
        <v/>
      </c>
      <c r="Z636" s="3">
        <f>SUMPRODUCT($B636:$Y636,$B$2649:$Y$2649)</f>
        <v/>
      </c>
      <c r="AA636" s="3">
        <f>SUMPRODUCT($B636:$Y636,$B$2655:$Y$2655)</f>
        <v/>
      </c>
      <c r="AC636" s="1">
        <f>A636</f>
        <v/>
      </c>
      <c r="AD636">
        <f>IF(ISNUMBER(V636),V636*($AB$1/V$2635),"")</f>
        <v/>
      </c>
      <c r="AE636">
        <f>IF(ISNUMBER(Z636),Z636*($AB$1/Z$2635),"")</f>
        <v/>
      </c>
      <c r="AF636" s="25">
        <f>IF(ISNUMBER(AD636+AE636),AD636+AE636,"")</f>
        <v/>
      </c>
      <c r="AH636" s="1">
        <f>A636</f>
        <v/>
      </c>
      <c r="AI636">
        <f>IF(ISNUMBER((1+V636)*AI635),(1+V636)*AI635,AI635)</f>
        <v/>
      </c>
      <c r="AJ636">
        <f>IF(ISNUMBER((1+Z636)*AJ635),(1+Z636)*AJ635,AJ635)</f>
        <v/>
      </c>
    </row>
    <row r="637">
      <c r="A637" s="1" t="n">
        <v>42927</v>
      </c>
      <c r="B637" s="3">
        <f>IF(ORIG!B637=0,"",ORIG!B637)</f>
        <v/>
      </c>
      <c r="C637" s="3">
        <f>IF(ORIG!C637=0,"",ORIG!C637)</f>
        <v/>
      </c>
      <c r="D637" s="3">
        <f>IF(ORIG!D637=0,"",ORIG!D637)</f>
        <v/>
      </c>
      <c r="E637" s="3">
        <f>IF(ORIG!E637=0,"",ORIG!E637)</f>
        <v/>
      </c>
      <c r="F637" s="3">
        <f>IF(ORIG!F637=0,"",ORIG!F637)</f>
        <v/>
      </c>
      <c r="G637" s="3">
        <f>IF(ORIG!G637=0,"",ORIG!G637)</f>
        <v/>
      </c>
      <c r="H637" s="3">
        <f>IF(ORIG!H637=0,"",ORIG!H637)</f>
        <v/>
      </c>
      <c r="I637" s="3">
        <f>IF(ORIG!I637=0,"",ORIG!I637)</f>
        <v/>
      </c>
      <c r="J637" s="3">
        <f>IF(ORIG!J637=0,"",ORIG!J637)</f>
        <v/>
      </c>
      <c r="K637" s="3">
        <f>IF(ORIG!K637=0,"",ORIG!K637)</f>
        <v/>
      </c>
      <c r="L637" s="3">
        <f>IF(ORIG!L637=0,"",ORIG!L637)</f>
        <v/>
      </c>
      <c r="M637" s="3">
        <f>IF(ORIG!M637=0,"",ORIG!M637)</f>
        <v/>
      </c>
      <c r="N637" s="3">
        <f>IF(ORIG!N637=0,"",ORIG!N637)</f>
        <v/>
      </c>
      <c r="O637" s="3">
        <f>IF(ORIG!O637=0,"",ORIG!O637)</f>
        <v/>
      </c>
      <c r="P637" s="3">
        <f>IF(ORIG!P637=0,"",ORIG!P637)</f>
        <v/>
      </c>
      <c r="Q637" s="3">
        <f>IF(ORIG!Q637=0,"",ORIG!Q637)</f>
        <v/>
      </c>
      <c r="R637" s="3">
        <f>IF(ORIG!R637=0,"",ORIG!R637)</f>
        <v/>
      </c>
      <c r="S637" s="3">
        <f>IF(ORIG!S637=0,"",ORIG!S637)</f>
        <v/>
      </c>
      <c r="T637" s="3">
        <f>IF(ORIG!T637=0,"",ORIG!T637)</f>
        <v/>
      </c>
      <c r="U637" s="3">
        <f>IF(ORIG!U637=0,"",ORIG!U637)</f>
        <v/>
      </c>
      <c r="V637" s="9">
        <f>IF(ORIG!V637=0,"",ORIG!V637)</f>
        <v/>
      </c>
      <c r="W637" s="9">
        <f>IF(ORIG!W637=0,"",ORIG!W637)</f>
        <v/>
      </c>
      <c r="X637" s="9">
        <f>IF(ORIG!X637=0,"",ORIG!X637)</f>
        <v/>
      </c>
      <c r="Y637" s="9">
        <f>IF(ORIG!Y637=0,"",ORIG!Y637)</f>
        <v/>
      </c>
      <c r="Z637" s="3">
        <f>SUMPRODUCT($B637:$Y637,$B$2649:$Y$2649)</f>
        <v/>
      </c>
      <c r="AA637" s="3">
        <f>SUMPRODUCT($B637:$Y637,$B$2655:$Y$2655)</f>
        <v/>
      </c>
      <c r="AC637" s="1">
        <f>A637</f>
        <v/>
      </c>
      <c r="AD637">
        <f>IF(ISNUMBER(V637),V637*($AB$1/V$2635),"")</f>
        <v/>
      </c>
      <c r="AE637">
        <f>IF(ISNUMBER(Z637),Z637*($AB$1/Z$2635),"")</f>
        <v/>
      </c>
      <c r="AF637" s="25">
        <f>IF(ISNUMBER(AD637+AE637),AD637+AE637,"")</f>
        <v/>
      </c>
      <c r="AH637" s="1">
        <f>A637</f>
        <v/>
      </c>
      <c r="AI637">
        <f>IF(ISNUMBER((1+V637)*AI636),(1+V637)*AI636,AI636)</f>
        <v/>
      </c>
      <c r="AJ637">
        <f>IF(ISNUMBER((1+Z637)*AJ636),(1+Z637)*AJ636,AJ636)</f>
        <v/>
      </c>
    </row>
    <row r="638">
      <c r="A638" s="1" t="n">
        <v>42928</v>
      </c>
      <c r="B638" s="3">
        <f>IF(ORIG!B638=0,"",ORIG!B638)</f>
        <v/>
      </c>
      <c r="C638" s="3">
        <f>IF(ORIG!C638=0,"",ORIG!C638)</f>
        <v/>
      </c>
      <c r="D638" s="3">
        <f>IF(ORIG!D638=0,"",ORIG!D638)</f>
        <v/>
      </c>
      <c r="E638" s="3">
        <f>IF(ORIG!E638=0,"",ORIG!E638)</f>
        <v/>
      </c>
      <c r="F638" s="3">
        <f>IF(ORIG!F638=0,"",ORIG!F638)</f>
        <v/>
      </c>
      <c r="G638" s="3">
        <f>IF(ORIG!G638=0,"",ORIG!G638)</f>
        <v/>
      </c>
      <c r="H638" s="3">
        <f>IF(ORIG!H638=0,"",ORIG!H638)</f>
        <v/>
      </c>
      <c r="I638" s="3">
        <f>IF(ORIG!I638=0,"",ORIG!I638)</f>
        <v/>
      </c>
      <c r="J638" s="3">
        <f>IF(ORIG!J638=0,"",ORIG!J638)</f>
        <v/>
      </c>
      <c r="K638" s="3">
        <f>IF(ORIG!K638=0,"",ORIG!K638)</f>
        <v/>
      </c>
      <c r="L638" s="3">
        <f>IF(ORIG!L638=0,"",ORIG!L638)</f>
        <v/>
      </c>
      <c r="M638" s="3">
        <f>IF(ORIG!M638=0,"",ORIG!M638)</f>
        <v/>
      </c>
      <c r="N638" s="3">
        <f>IF(ORIG!N638=0,"",ORIG!N638)</f>
        <v/>
      </c>
      <c r="O638" s="3">
        <f>IF(ORIG!O638=0,"",ORIG!O638)</f>
        <v/>
      </c>
      <c r="P638" s="3">
        <f>IF(ORIG!P638=0,"",ORIG!P638)</f>
        <v/>
      </c>
      <c r="Q638" s="3">
        <f>IF(ORIG!Q638=0,"",ORIG!Q638)</f>
        <v/>
      </c>
      <c r="R638" s="3">
        <f>IF(ORIG!R638=0,"",ORIG!R638)</f>
        <v/>
      </c>
      <c r="S638" s="3">
        <f>IF(ORIG!S638=0,"",ORIG!S638)</f>
        <v/>
      </c>
      <c r="T638" s="3">
        <f>IF(ORIG!T638=0,"",ORIG!T638)</f>
        <v/>
      </c>
      <c r="U638" s="3">
        <f>IF(ORIG!U638=0,"",ORIG!U638)</f>
        <v/>
      </c>
      <c r="V638" s="9">
        <f>IF(ORIG!V638=0,"",ORIG!V638)</f>
        <v/>
      </c>
      <c r="W638" s="9">
        <f>IF(ORIG!W638=0,"",ORIG!W638)</f>
        <v/>
      </c>
      <c r="X638" s="9">
        <f>IF(ORIG!X638=0,"",ORIG!X638)</f>
        <v/>
      </c>
      <c r="Y638" s="9">
        <f>IF(ORIG!Y638=0,"",ORIG!Y638)</f>
        <v/>
      </c>
      <c r="Z638" s="3">
        <f>SUMPRODUCT($B638:$Y638,$B$2649:$Y$2649)</f>
        <v/>
      </c>
      <c r="AA638" s="3">
        <f>SUMPRODUCT($B638:$Y638,$B$2655:$Y$2655)</f>
        <v/>
      </c>
      <c r="AC638" s="1">
        <f>A638</f>
        <v/>
      </c>
      <c r="AD638">
        <f>IF(ISNUMBER(V638),V638*($AB$1/V$2635),"")</f>
        <v/>
      </c>
      <c r="AE638">
        <f>IF(ISNUMBER(Z638),Z638*($AB$1/Z$2635),"")</f>
        <v/>
      </c>
      <c r="AF638" s="25">
        <f>IF(ISNUMBER(AD638+AE638),AD638+AE638,"")</f>
        <v/>
      </c>
      <c r="AH638" s="1">
        <f>A638</f>
        <v/>
      </c>
      <c r="AI638">
        <f>IF(ISNUMBER((1+V638)*AI637),(1+V638)*AI637,AI637)</f>
        <v/>
      </c>
      <c r="AJ638">
        <f>IF(ISNUMBER((1+Z638)*AJ637),(1+Z638)*AJ637,AJ637)</f>
        <v/>
      </c>
    </row>
    <row r="639">
      <c r="A639" s="1" t="n">
        <v>42929</v>
      </c>
      <c r="B639" s="3">
        <f>IF(ORIG!B639=0,"",ORIG!B639)</f>
        <v/>
      </c>
      <c r="C639" s="3">
        <f>IF(ORIG!C639=0,"",ORIG!C639)</f>
        <v/>
      </c>
      <c r="D639" s="3">
        <f>IF(ORIG!D639=0,"",ORIG!D639)</f>
        <v/>
      </c>
      <c r="E639" s="3">
        <f>IF(ORIG!E639=0,"",ORIG!E639)</f>
        <v/>
      </c>
      <c r="F639" s="3">
        <f>IF(ORIG!F639=0,"",ORIG!F639)</f>
        <v/>
      </c>
      <c r="G639" s="3">
        <f>IF(ORIG!G639=0,"",ORIG!G639)</f>
        <v/>
      </c>
      <c r="H639" s="3">
        <f>IF(ORIG!H639=0,"",ORIG!H639)</f>
        <v/>
      </c>
      <c r="I639" s="3">
        <f>IF(ORIG!I639=0,"",ORIG!I639)</f>
        <v/>
      </c>
      <c r="J639" s="3">
        <f>IF(ORIG!J639=0,"",ORIG!J639)</f>
        <v/>
      </c>
      <c r="K639" s="3">
        <f>IF(ORIG!K639=0,"",ORIG!K639)</f>
        <v/>
      </c>
      <c r="L639" s="3">
        <f>IF(ORIG!L639=0,"",ORIG!L639)</f>
        <v/>
      </c>
      <c r="M639" s="3">
        <f>IF(ORIG!M639=0,"",ORIG!M639)</f>
        <v/>
      </c>
      <c r="N639" s="3">
        <f>IF(ORIG!N639=0,"",ORIG!N639)</f>
        <v/>
      </c>
      <c r="O639" s="3">
        <f>IF(ORIG!O639=0,"",ORIG!O639)</f>
        <v/>
      </c>
      <c r="P639" s="3">
        <f>IF(ORIG!P639=0,"",ORIG!P639)</f>
        <v/>
      </c>
      <c r="Q639" s="3">
        <f>IF(ORIG!Q639=0,"",ORIG!Q639)</f>
        <v/>
      </c>
      <c r="R639" s="3">
        <f>IF(ORIG!R639=0,"",ORIG!R639)</f>
        <v/>
      </c>
      <c r="S639" s="3">
        <f>IF(ORIG!S639=0,"",ORIG!S639)</f>
        <v/>
      </c>
      <c r="T639" s="3">
        <f>IF(ORIG!T639=0,"",ORIG!T639)</f>
        <v/>
      </c>
      <c r="U639" s="3">
        <f>IF(ORIG!U639=0,"",ORIG!U639)</f>
        <v/>
      </c>
      <c r="V639" s="9">
        <f>IF(ORIG!V639=0,"",ORIG!V639)</f>
        <v/>
      </c>
      <c r="W639" s="9">
        <f>IF(ORIG!W639=0,"",ORIG!W639)</f>
        <v/>
      </c>
      <c r="X639" s="9">
        <f>IF(ORIG!X639=0,"",ORIG!X639)</f>
        <v/>
      </c>
      <c r="Y639" s="9">
        <f>IF(ORIG!Y639=0,"",ORIG!Y639)</f>
        <v/>
      </c>
      <c r="Z639" s="3">
        <f>SUMPRODUCT($B639:$Y639,$B$2649:$Y$2649)</f>
        <v/>
      </c>
      <c r="AA639" s="3">
        <f>SUMPRODUCT($B639:$Y639,$B$2655:$Y$2655)</f>
        <v/>
      </c>
      <c r="AC639" s="1">
        <f>A639</f>
        <v/>
      </c>
      <c r="AD639">
        <f>IF(ISNUMBER(V639),V639*($AB$1/V$2635),"")</f>
        <v/>
      </c>
      <c r="AE639">
        <f>IF(ISNUMBER(Z639),Z639*($AB$1/Z$2635),"")</f>
        <v/>
      </c>
      <c r="AF639" s="25">
        <f>IF(ISNUMBER(AD639+AE639),AD639+AE639,"")</f>
        <v/>
      </c>
      <c r="AH639" s="1">
        <f>A639</f>
        <v/>
      </c>
      <c r="AI639">
        <f>IF(ISNUMBER((1+V639)*AI638),(1+V639)*AI638,AI638)</f>
        <v/>
      </c>
      <c r="AJ639">
        <f>IF(ISNUMBER((1+Z639)*AJ638),(1+Z639)*AJ638,AJ638)</f>
        <v/>
      </c>
    </row>
    <row r="640">
      <c r="A640" s="1" t="n">
        <v>42930</v>
      </c>
      <c r="B640" s="3">
        <f>IF(ORIG!B640=0,"",ORIG!B640)</f>
        <v/>
      </c>
      <c r="C640" s="3">
        <f>IF(ORIG!C640=0,"",ORIG!C640)</f>
        <v/>
      </c>
      <c r="D640" s="3">
        <f>IF(ORIG!D640=0,"",ORIG!D640)</f>
        <v/>
      </c>
      <c r="E640" s="3">
        <f>IF(ORIG!E640=0,"",ORIG!E640)</f>
        <v/>
      </c>
      <c r="F640" s="3">
        <f>IF(ORIG!F640=0,"",ORIG!F640)</f>
        <v/>
      </c>
      <c r="G640" s="3">
        <f>IF(ORIG!G640=0,"",ORIG!G640)</f>
        <v/>
      </c>
      <c r="H640" s="3">
        <f>IF(ORIG!H640=0,"",ORIG!H640)</f>
        <v/>
      </c>
      <c r="I640" s="3">
        <f>IF(ORIG!I640=0,"",ORIG!I640)</f>
        <v/>
      </c>
      <c r="J640" s="3">
        <f>IF(ORIG!J640=0,"",ORIG!J640)</f>
        <v/>
      </c>
      <c r="K640" s="3">
        <f>IF(ORIG!K640=0,"",ORIG!K640)</f>
        <v/>
      </c>
      <c r="L640" s="3">
        <f>IF(ORIG!L640=0,"",ORIG!L640)</f>
        <v/>
      </c>
      <c r="M640" s="3">
        <f>IF(ORIG!M640=0,"",ORIG!M640)</f>
        <v/>
      </c>
      <c r="N640" s="3">
        <f>IF(ORIG!N640=0,"",ORIG!N640)</f>
        <v/>
      </c>
      <c r="O640" s="3">
        <f>IF(ORIG!O640=0,"",ORIG!O640)</f>
        <v/>
      </c>
      <c r="P640" s="3">
        <f>IF(ORIG!P640=0,"",ORIG!P640)</f>
        <v/>
      </c>
      <c r="Q640" s="3">
        <f>IF(ORIG!Q640=0,"",ORIG!Q640)</f>
        <v/>
      </c>
      <c r="R640" s="3">
        <f>IF(ORIG!R640=0,"",ORIG!R640)</f>
        <v/>
      </c>
      <c r="S640" s="3">
        <f>IF(ORIG!S640=0,"",ORIG!S640)</f>
        <v/>
      </c>
      <c r="T640" s="3">
        <f>IF(ORIG!T640=0,"",ORIG!T640)</f>
        <v/>
      </c>
      <c r="U640" s="3">
        <f>IF(ORIG!U640=0,"",ORIG!U640)</f>
        <v/>
      </c>
      <c r="V640" s="9">
        <f>IF(ORIG!V640=0,"",ORIG!V640)</f>
        <v/>
      </c>
      <c r="W640" s="9">
        <f>IF(ORIG!W640=0,"",ORIG!W640)</f>
        <v/>
      </c>
      <c r="X640" s="9">
        <f>IF(ORIG!X640=0,"",ORIG!X640)</f>
        <v/>
      </c>
      <c r="Y640" s="9">
        <f>IF(ORIG!Y640=0,"",ORIG!Y640)</f>
        <v/>
      </c>
      <c r="Z640" s="3">
        <f>SUMPRODUCT($B640:$Y640,$B$2649:$Y$2649)</f>
        <v/>
      </c>
      <c r="AA640" s="3">
        <f>SUMPRODUCT($B640:$Y640,$B$2655:$Y$2655)</f>
        <v/>
      </c>
      <c r="AC640" s="1">
        <f>A640</f>
        <v/>
      </c>
      <c r="AD640">
        <f>IF(ISNUMBER(V640),V640*($AB$1/V$2635),"")</f>
        <v/>
      </c>
      <c r="AE640">
        <f>IF(ISNUMBER(Z640),Z640*($AB$1/Z$2635),"")</f>
        <v/>
      </c>
      <c r="AF640" s="25">
        <f>IF(ISNUMBER(AD640+AE640),AD640+AE640,"")</f>
        <v/>
      </c>
      <c r="AH640" s="1">
        <f>A640</f>
        <v/>
      </c>
      <c r="AI640">
        <f>IF(ISNUMBER((1+V640)*AI639),(1+V640)*AI639,AI639)</f>
        <v/>
      </c>
      <c r="AJ640">
        <f>IF(ISNUMBER((1+Z640)*AJ639),(1+Z640)*AJ639,AJ639)</f>
        <v/>
      </c>
    </row>
    <row r="641">
      <c r="A641" s="1" t="n">
        <v>42933</v>
      </c>
      <c r="B641" s="3">
        <f>IF(ORIG!B641=0,"",ORIG!B641)</f>
        <v/>
      </c>
      <c r="C641" s="3">
        <f>IF(ORIG!C641=0,"",ORIG!C641)</f>
        <v/>
      </c>
      <c r="D641" s="3">
        <f>IF(ORIG!D641=0,"",ORIG!D641)</f>
        <v/>
      </c>
      <c r="E641" s="3">
        <f>IF(ORIG!E641=0,"",ORIG!E641)</f>
        <v/>
      </c>
      <c r="F641" s="3">
        <f>IF(ORIG!F641=0,"",ORIG!F641)</f>
        <v/>
      </c>
      <c r="G641" s="3">
        <f>IF(ORIG!G641=0,"",ORIG!G641)</f>
        <v/>
      </c>
      <c r="H641" s="3">
        <f>IF(ORIG!H641=0,"",ORIG!H641)</f>
        <v/>
      </c>
      <c r="I641" s="3">
        <f>IF(ORIG!I641=0,"",ORIG!I641)</f>
        <v/>
      </c>
      <c r="J641" s="3">
        <f>IF(ORIG!J641=0,"",ORIG!J641)</f>
        <v/>
      </c>
      <c r="K641" s="3">
        <f>IF(ORIG!K641=0,"",ORIG!K641)</f>
        <v/>
      </c>
      <c r="L641" s="3">
        <f>IF(ORIG!L641=0,"",ORIG!L641)</f>
        <v/>
      </c>
      <c r="M641" s="3">
        <f>IF(ORIG!M641=0,"",ORIG!M641)</f>
        <v/>
      </c>
      <c r="N641" s="3">
        <f>IF(ORIG!N641=0,"",ORIG!N641)</f>
        <v/>
      </c>
      <c r="O641" s="3">
        <f>IF(ORIG!O641=0,"",ORIG!O641)</f>
        <v/>
      </c>
      <c r="P641" s="3">
        <f>IF(ORIG!P641=0,"",ORIG!P641)</f>
        <v/>
      </c>
      <c r="Q641" s="3">
        <f>IF(ORIG!Q641=0,"",ORIG!Q641)</f>
        <v/>
      </c>
      <c r="R641" s="3">
        <f>IF(ORIG!R641=0,"",ORIG!R641)</f>
        <v/>
      </c>
      <c r="S641" s="3">
        <f>IF(ORIG!S641=0,"",ORIG!S641)</f>
        <v/>
      </c>
      <c r="T641" s="3">
        <f>IF(ORIG!T641=0,"",ORIG!T641)</f>
        <v/>
      </c>
      <c r="U641" s="3">
        <f>IF(ORIG!U641=0,"",ORIG!U641)</f>
        <v/>
      </c>
      <c r="V641" s="9">
        <f>IF(ORIG!V641=0,"",ORIG!V641)</f>
        <v/>
      </c>
      <c r="W641" s="9">
        <f>IF(ORIG!W641=0,"",ORIG!W641)</f>
        <v/>
      </c>
      <c r="X641" s="9">
        <f>IF(ORIG!X641=0,"",ORIG!X641)</f>
        <v/>
      </c>
      <c r="Y641" s="9">
        <f>IF(ORIG!Y641=0,"",ORIG!Y641)</f>
        <v/>
      </c>
      <c r="Z641" s="3">
        <f>SUMPRODUCT($B641:$Y641,$B$2649:$Y$2649)</f>
        <v/>
      </c>
      <c r="AA641" s="3">
        <f>SUMPRODUCT($B641:$Y641,$B$2655:$Y$2655)</f>
        <v/>
      </c>
      <c r="AC641" s="1">
        <f>A641</f>
        <v/>
      </c>
      <c r="AD641">
        <f>IF(ISNUMBER(V641),V641*($AB$1/V$2635),"")</f>
        <v/>
      </c>
      <c r="AE641">
        <f>IF(ISNUMBER(Z641),Z641*($AB$1/Z$2635),"")</f>
        <v/>
      </c>
      <c r="AF641" s="25">
        <f>IF(ISNUMBER(AD641+AE641),AD641+AE641,"")</f>
        <v/>
      </c>
      <c r="AH641" s="1">
        <f>A641</f>
        <v/>
      </c>
      <c r="AI641">
        <f>IF(ISNUMBER((1+V641)*AI640),(1+V641)*AI640,AI640)</f>
        <v/>
      </c>
      <c r="AJ641">
        <f>IF(ISNUMBER((1+Z641)*AJ640),(1+Z641)*AJ640,AJ640)</f>
        <v/>
      </c>
    </row>
    <row r="642">
      <c r="A642" s="1" t="n">
        <v>42934</v>
      </c>
      <c r="B642" s="3">
        <f>IF(ORIG!B642=0,"",ORIG!B642)</f>
        <v/>
      </c>
      <c r="C642" s="3">
        <f>IF(ORIG!C642=0,"",ORIG!C642)</f>
        <v/>
      </c>
      <c r="D642" s="3">
        <f>IF(ORIG!D642=0,"",ORIG!D642)</f>
        <v/>
      </c>
      <c r="E642" s="3">
        <f>IF(ORIG!E642=0,"",ORIG!E642)</f>
        <v/>
      </c>
      <c r="F642" s="3">
        <f>IF(ORIG!F642=0,"",ORIG!F642)</f>
        <v/>
      </c>
      <c r="G642" s="3">
        <f>IF(ORIG!G642=0,"",ORIG!G642)</f>
        <v/>
      </c>
      <c r="H642" s="3">
        <f>IF(ORIG!H642=0,"",ORIG!H642)</f>
        <v/>
      </c>
      <c r="I642" s="3">
        <f>IF(ORIG!I642=0,"",ORIG!I642)</f>
        <v/>
      </c>
      <c r="J642" s="3">
        <f>IF(ORIG!J642=0,"",ORIG!J642)</f>
        <v/>
      </c>
      <c r="K642" s="3">
        <f>IF(ORIG!K642=0,"",ORIG!K642)</f>
        <v/>
      </c>
      <c r="L642" s="3">
        <f>IF(ORIG!L642=0,"",ORIG!L642)</f>
        <v/>
      </c>
      <c r="M642" s="3">
        <f>IF(ORIG!M642=0,"",ORIG!M642)</f>
        <v/>
      </c>
      <c r="N642" s="3">
        <f>IF(ORIG!N642=0,"",ORIG!N642)</f>
        <v/>
      </c>
      <c r="O642" s="3">
        <f>IF(ORIG!O642=0,"",ORIG!O642)</f>
        <v/>
      </c>
      <c r="P642" s="3">
        <f>IF(ORIG!P642=0,"",ORIG!P642)</f>
        <v/>
      </c>
      <c r="Q642" s="3">
        <f>IF(ORIG!Q642=0,"",ORIG!Q642)</f>
        <v/>
      </c>
      <c r="R642" s="3">
        <f>IF(ORIG!R642=0,"",ORIG!R642)</f>
        <v/>
      </c>
      <c r="S642" s="3">
        <f>IF(ORIG!S642=0,"",ORIG!S642)</f>
        <v/>
      </c>
      <c r="T642" s="3">
        <f>IF(ORIG!T642=0,"",ORIG!T642)</f>
        <v/>
      </c>
      <c r="U642" s="3">
        <f>IF(ORIG!U642=0,"",ORIG!U642)</f>
        <v/>
      </c>
      <c r="V642" s="9">
        <f>IF(ORIG!V642=0,"",ORIG!V642)</f>
        <v/>
      </c>
      <c r="W642" s="9">
        <f>IF(ORIG!W642=0,"",ORIG!W642)</f>
        <v/>
      </c>
      <c r="X642" s="9">
        <f>IF(ORIG!X642=0,"",ORIG!X642)</f>
        <v/>
      </c>
      <c r="Y642" s="9">
        <f>IF(ORIG!Y642=0,"",ORIG!Y642)</f>
        <v/>
      </c>
      <c r="Z642" s="3">
        <f>SUMPRODUCT($B642:$Y642,$B$2649:$Y$2649)</f>
        <v/>
      </c>
      <c r="AA642" s="3">
        <f>SUMPRODUCT($B642:$Y642,$B$2655:$Y$2655)</f>
        <v/>
      </c>
      <c r="AC642" s="1">
        <f>A642</f>
        <v/>
      </c>
      <c r="AD642">
        <f>IF(ISNUMBER(V642),V642*($AB$1/V$2635),"")</f>
        <v/>
      </c>
      <c r="AE642">
        <f>IF(ISNUMBER(Z642),Z642*($AB$1/Z$2635),"")</f>
        <v/>
      </c>
      <c r="AF642" s="25">
        <f>IF(ISNUMBER(AD642+AE642),AD642+AE642,"")</f>
        <v/>
      </c>
      <c r="AH642" s="1">
        <f>A642</f>
        <v/>
      </c>
      <c r="AI642">
        <f>IF(ISNUMBER((1+V642)*AI641),(1+V642)*AI641,AI641)</f>
        <v/>
      </c>
      <c r="AJ642">
        <f>IF(ISNUMBER((1+Z642)*AJ641),(1+Z642)*AJ641,AJ641)</f>
        <v/>
      </c>
    </row>
    <row r="643">
      <c r="A643" s="1" t="n">
        <v>42935</v>
      </c>
      <c r="B643" s="3">
        <f>IF(ORIG!B643=0,"",ORIG!B643)</f>
        <v/>
      </c>
      <c r="C643" s="3">
        <f>IF(ORIG!C643=0,"",ORIG!C643)</f>
        <v/>
      </c>
      <c r="D643" s="3">
        <f>IF(ORIG!D643=0,"",ORIG!D643)</f>
        <v/>
      </c>
      <c r="E643" s="3">
        <f>IF(ORIG!E643=0,"",ORIG!E643)</f>
        <v/>
      </c>
      <c r="F643" s="3">
        <f>IF(ORIG!F643=0,"",ORIG!F643)</f>
        <v/>
      </c>
      <c r="G643" s="3">
        <f>IF(ORIG!G643=0,"",ORIG!G643)</f>
        <v/>
      </c>
      <c r="H643" s="3">
        <f>IF(ORIG!H643=0,"",ORIG!H643)</f>
        <v/>
      </c>
      <c r="I643" s="3">
        <f>IF(ORIG!I643=0,"",ORIG!I643)</f>
        <v/>
      </c>
      <c r="J643" s="3">
        <f>IF(ORIG!J643=0,"",ORIG!J643)</f>
        <v/>
      </c>
      <c r="K643" s="3">
        <f>IF(ORIG!K643=0,"",ORIG!K643)</f>
        <v/>
      </c>
      <c r="L643" s="3">
        <f>IF(ORIG!L643=0,"",ORIG!L643)</f>
        <v/>
      </c>
      <c r="M643" s="3">
        <f>IF(ORIG!M643=0,"",ORIG!M643)</f>
        <v/>
      </c>
      <c r="N643" s="3">
        <f>IF(ORIG!N643=0,"",ORIG!N643)</f>
        <v/>
      </c>
      <c r="O643" s="3">
        <f>IF(ORIG!O643=0,"",ORIG!O643)</f>
        <v/>
      </c>
      <c r="P643" s="3">
        <f>IF(ORIG!P643=0,"",ORIG!P643)</f>
        <v/>
      </c>
      <c r="Q643" s="3">
        <f>IF(ORIG!Q643=0,"",ORIG!Q643)</f>
        <v/>
      </c>
      <c r="R643" s="3">
        <f>IF(ORIG!R643=0,"",ORIG!R643)</f>
        <v/>
      </c>
      <c r="S643" s="3">
        <f>IF(ORIG!S643=0,"",ORIG!S643)</f>
        <v/>
      </c>
      <c r="T643" s="3">
        <f>IF(ORIG!T643=0,"",ORIG!T643)</f>
        <v/>
      </c>
      <c r="U643" s="3">
        <f>IF(ORIG!U643=0,"",ORIG!U643)</f>
        <v/>
      </c>
      <c r="V643" s="9">
        <f>IF(ORIG!V643=0,"",ORIG!V643)</f>
        <v/>
      </c>
      <c r="W643" s="9">
        <f>IF(ORIG!W643=0,"",ORIG!W643)</f>
        <v/>
      </c>
      <c r="X643" s="9">
        <f>IF(ORIG!X643=0,"",ORIG!X643)</f>
        <v/>
      </c>
      <c r="Y643" s="9">
        <f>IF(ORIG!Y643=0,"",ORIG!Y643)</f>
        <v/>
      </c>
      <c r="Z643" s="3">
        <f>SUMPRODUCT($B643:$Y643,$B$2649:$Y$2649)</f>
        <v/>
      </c>
      <c r="AA643" s="3">
        <f>SUMPRODUCT($B643:$Y643,$B$2655:$Y$2655)</f>
        <v/>
      </c>
      <c r="AC643" s="1">
        <f>A643</f>
        <v/>
      </c>
      <c r="AD643">
        <f>IF(ISNUMBER(V643),V643*($AB$1/V$2635),"")</f>
        <v/>
      </c>
      <c r="AE643">
        <f>IF(ISNUMBER(Z643),Z643*($AB$1/Z$2635),"")</f>
        <v/>
      </c>
      <c r="AF643" s="25">
        <f>IF(ISNUMBER(AD643+AE643),AD643+AE643,"")</f>
        <v/>
      </c>
      <c r="AH643" s="1">
        <f>A643</f>
        <v/>
      </c>
      <c r="AI643">
        <f>IF(ISNUMBER((1+V643)*AI642),(1+V643)*AI642,AI642)</f>
        <v/>
      </c>
      <c r="AJ643">
        <f>IF(ISNUMBER((1+Z643)*AJ642),(1+Z643)*AJ642,AJ642)</f>
        <v/>
      </c>
    </row>
    <row r="644">
      <c r="A644" s="1" t="n">
        <v>42936</v>
      </c>
      <c r="B644" s="3">
        <f>IF(ORIG!B644=0,"",ORIG!B644)</f>
        <v/>
      </c>
      <c r="C644" s="3">
        <f>IF(ORIG!C644=0,"",ORIG!C644)</f>
        <v/>
      </c>
      <c r="D644" s="3">
        <f>IF(ORIG!D644=0,"",ORIG!D644)</f>
        <v/>
      </c>
      <c r="E644" s="3">
        <f>IF(ORIG!E644=0,"",ORIG!E644)</f>
        <v/>
      </c>
      <c r="F644" s="3">
        <f>IF(ORIG!F644=0,"",ORIG!F644)</f>
        <v/>
      </c>
      <c r="G644" s="3">
        <f>IF(ORIG!G644=0,"",ORIG!G644)</f>
        <v/>
      </c>
      <c r="H644" s="3">
        <f>IF(ORIG!H644=0,"",ORIG!H644)</f>
        <v/>
      </c>
      <c r="I644" s="3">
        <f>IF(ORIG!I644=0,"",ORIG!I644)</f>
        <v/>
      </c>
      <c r="J644" s="3">
        <f>IF(ORIG!J644=0,"",ORIG!J644)</f>
        <v/>
      </c>
      <c r="K644" s="3">
        <f>IF(ORIG!K644=0,"",ORIG!K644)</f>
        <v/>
      </c>
      <c r="L644" s="3">
        <f>IF(ORIG!L644=0,"",ORIG!L644)</f>
        <v/>
      </c>
      <c r="M644" s="3">
        <f>IF(ORIG!M644=0,"",ORIG!M644)</f>
        <v/>
      </c>
      <c r="N644" s="3">
        <f>IF(ORIG!N644=0,"",ORIG!N644)</f>
        <v/>
      </c>
      <c r="O644" s="3">
        <f>IF(ORIG!O644=0,"",ORIG!O644)</f>
        <v/>
      </c>
      <c r="P644" s="3">
        <f>IF(ORIG!P644=0,"",ORIG!P644)</f>
        <v/>
      </c>
      <c r="Q644" s="3">
        <f>IF(ORIG!Q644=0,"",ORIG!Q644)</f>
        <v/>
      </c>
      <c r="R644" s="3">
        <f>IF(ORIG!R644=0,"",ORIG!R644)</f>
        <v/>
      </c>
      <c r="S644" s="3">
        <f>IF(ORIG!S644=0,"",ORIG!S644)</f>
        <v/>
      </c>
      <c r="T644" s="3">
        <f>IF(ORIG!T644=0,"",ORIG!T644)</f>
        <v/>
      </c>
      <c r="U644" s="3">
        <f>IF(ORIG!U644=0,"",ORIG!U644)</f>
        <v/>
      </c>
      <c r="V644" s="9">
        <f>IF(ORIG!V644=0,"",ORIG!V644)</f>
        <v/>
      </c>
      <c r="W644" s="9">
        <f>IF(ORIG!W644=0,"",ORIG!W644)</f>
        <v/>
      </c>
      <c r="X644" s="9">
        <f>IF(ORIG!X644=0,"",ORIG!X644)</f>
        <v/>
      </c>
      <c r="Y644" s="9">
        <f>IF(ORIG!Y644=0,"",ORIG!Y644)</f>
        <v/>
      </c>
      <c r="Z644" s="3">
        <f>SUMPRODUCT($B644:$Y644,$B$2649:$Y$2649)</f>
        <v/>
      </c>
      <c r="AA644" s="3">
        <f>SUMPRODUCT($B644:$Y644,$B$2655:$Y$2655)</f>
        <v/>
      </c>
      <c r="AC644" s="1">
        <f>A644</f>
        <v/>
      </c>
      <c r="AD644">
        <f>IF(ISNUMBER(V644),V644*($AB$1/V$2635),"")</f>
        <v/>
      </c>
      <c r="AE644">
        <f>IF(ISNUMBER(Z644),Z644*($AB$1/Z$2635),"")</f>
        <v/>
      </c>
      <c r="AF644" s="25">
        <f>IF(ISNUMBER(AD644+AE644),AD644+AE644,"")</f>
        <v/>
      </c>
      <c r="AH644" s="1">
        <f>A644</f>
        <v/>
      </c>
      <c r="AI644">
        <f>IF(ISNUMBER((1+V644)*AI643),(1+V644)*AI643,AI643)</f>
        <v/>
      </c>
      <c r="AJ644">
        <f>IF(ISNUMBER((1+Z644)*AJ643),(1+Z644)*AJ643,AJ643)</f>
        <v/>
      </c>
    </row>
    <row r="645">
      <c r="A645" s="1" t="n">
        <v>42937</v>
      </c>
      <c r="B645" s="3">
        <f>IF(ORIG!B645=0,"",ORIG!B645)</f>
        <v/>
      </c>
      <c r="C645" s="3">
        <f>IF(ORIG!C645=0,"",ORIG!C645)</f>
        <v/>
      </c>
      <c r="D645" s="3">
        <f>IF(ORIG!D645=0,"",ORIG!D645)</f>
        <v/>
      </c>
      <c r="E645" s="3">
        <f>IF(ORIG!E645=0,"",ORIG!E645)</f>
        <v/>
      </c>
      <c r="F645" s="3">
        <f>IF(ORIG!F645=0,"",ORIG!F645)</f>
        <v/>
      </c>
      <c r="G645" s="3">
        <f>IF(ORIG!G645=0,"",ORIG!G645)</f>
        <v/>
      </c>
      <c r="H645" s="3">
        <f>IF(ORIG!H645=0,"",ORIG!H645)</f>
        <v/>
      </c>
      <c r="I645" s="3">
        <f>IF(ORIG!I645=0,"",ORIG!I645)</f>
        <v/>
      </c>
      <c r="J645" s="3">
        <f>IF(ORIG!J645=0,"",ORIG!J645)</f>
        <v/>
      </c>
      <c r="K645" s="3">
        <f>IF(ORIG!K645=0,"",ORIG!K645)</f>
        <v/>
      </c>
      <c r="L645" s="3">
        <f>IF(ORIG!L645=0,"",ORIG!L645)</f>
        <v/>
      </c>
      <c r="M645" s="3">
        <f>IF(ORIG!M645=0,"",ORIG!M645)</f>
        <v/>
      </c>
      <c r="N645" s="3">
        <f>IF(ORIG!N645=0,"",ORIG!N645)</f>
        <v/>
      </c>
      <c r="O645" s="3">
        <f>IF(ORIG!O645=0,"",ORIG!O645)</f>
        <v/>
      </c>
      <c r="P645" s="3">
        <f>IF(ORIG!P645=0,"",ORIG!P645)</f>
        <v/>
      </c>
      <c r="Q645" s="3">
        <f>IF(ORIG!Q645=0,"",ORIG!Q645)</f>
        <v/>
      </c>
      <c r="R645" s="3">
        <f>IF(ORIG!R645=0,"",ORIG!R645)</f>
        <v/>
      </c>
      <c r="S645" s="3">
        <f>IF(ORIG!S645=0,"",ORIG!S645)</f>
        <v/>
      </c>
      <c r="T645" s="3">
        <f>IF(ORIG!T645=0,"",ORIG!T645)</f>
        <v/>
      </c>
      <c r="U645" s="3">
        <f>IF(ORIG!U645=0,"",ORIG!U645)</f>
        <v/>
      </c>
      <c r="V645" s="9">
        <f>IF(ORIG!V645=0,"",ORIG!V645)</f>
        <v/>
      </c>
      <c r="W645" s="9">
        <f>IF(ORIG!W645=0,"",ORIG!W645)</f>
        <v/>
      </c>
      <c r="X645" s="9">
        <f>IF(ORIG!X645=0,"",ORIG!X645)</f>
        <v/>
      </c>
      <c r="Y645" s="9">
        <f>IF(ORIG!Y645=0,"",ORIG!Y645)</f>
        <v/>
      </c>
      <c r="Z645" s="3">
        <f>SUMPRODUCT($B645:$Y645,$B$2649:$Y$2649)</f>
        <v/>
      </c>
      <c r="AA645" s="3">
        <f>SUMPRODUCT($B645:$Y645,$B$2655:$Y$2655)</f>
        <v/>
      </c>
      <c r="AC645" s="1">
        <f>A645</f>
        <v/>
      </c>
      <c r="AD645">
        <f>IF(ISNUMBER(V645),V645*($AB$1/V$2635),"")</f>
        <v/>
      </c>
      <c r="AE645">
        <f>IF(ISNUMBER(Z645),Z645*($AB$1/Z$2635),"")</f>
        <v/>
      </c>
      <c r="AF645" s="25">
        <f>IF(ISNUMBER(AD645+AE645),AD645+AE645,"")</f>
        <v/>
      </c>
      <c r="AH645" s="1">
        <f>A645</f>
        <v/>
      </c>
      <c r="AI645">
        <f>IF(ISNUMBER((1+V645)*AI644),(1+V645)*AI644,AI644)</f>
        <v/>
      </c>
      <c r="AJ645">
        <f>IF(ISNUMBER((1+Z645)*AJ644),(1+Z645)*AJ644,AJ644)</f>
        <v/>
      </c>
    </row>
    <row r="646">
      <c r="A646" s="1" t="n">
        <v>42940</v>
      </c>
      <c r="B646" s="3">
        <f>IF(ORIG!B646=0,"",ORIG!B646)</f>
        <v/>
      </c>
      <c r="C646" s="3">
        <f>IF(ORIG!C646=0,"",ORIG!C646)</f>
        <v/>
      </c>
      <c r="D646" s="3">
        <f>IF(ORIG!D646=0,"",ORIG!D646)</f>
        <v/>
      </c>
      <c r="E646" s="3">
        <f>IF(ORIG!E646=0,"",ORIG!E646)</f>
        <v/>
      </c>
      <c r="F646" s="3">
        <f>IF(ORIG!F646=0,"",ORIG!F646)</f>
        <v/>
      </c>
      <c r="G646" s="3">
        <f>IF(ORIG!G646=0,"",ORIG!G646)</f>
        <v/>
      </c>
      <c r="H646" s="3">
        <f>IF(ORIG!H646=0,"",ORIG!H646)</f>
        <v/>
      </c>
      <c r="I646" s="3">
        <f>IF(ORIG!I646=0,"",ORIG!I646)</f>
        <v/>
      </c>
      <c r="J646" s="3">
        <f>IF(ORIG!J646=0,"",ORIG!J646)</f>
        <v/>
      </c>
      <c r="K646" s="3">
        <f>IF(ORIG!K646=0,"",ORIG!K646)</f>
        <v/>
      </c>
      <c r="L646" s="3">
        <f>IF(ORIG!L646=0,"",ORIG!L646)</f>
        <v/>
      </c>
      <c r="M646" s="3">
        <f>IF(ORIG!M646=0,"",ORIG!M646)</f>
        <v/>
      </c>
      <c r="N646" s="3">
        <f>IF(ORIG!N646=0,"",ORIG!N646)</f>
        <v/>
      </c>
      <c r="O646" s="3">
        <f>IF(ORIG!O646=0,"",ORIG!O646)</f>
        <v/>
      </c>
      <c r="P646" s="3">
        <f>IF(ORIG!P646=0,"",ORIG!P646)</f>
        <v/>
      </c>
      <c r="Q646" s="3">
        <f>IF(ORIG!Q646=0,"",ORIG!Q646)</f>
        <v/>
      </c>
      <c r="R646" s="3">
        <f>IF(ORIG!R646=0,"",ORIG!R646)</f>
        <v/>
      </c>
      <c r="S646" s="3">
        <f>IF(ORIG!S646=0,"",ORIG!S646)</f>
        <v/>
      </c>
      <c r="T646" s="3">
        <f>IF(ORIG!T646=0,"",ORIG!T646)</f>
        <v/>
      </c>
      <c r="U646" s="3">
        <f>IF(ORIG!U646=0,"",ORIG!U646)</f>
        <v/>
      </c>
      <c r="V646" s="9">
        <f>IF(ORIG!V646=0,"",ORIG!V646)</f>
        <v/>
      </c>
      <c r="W646" s="9">
        <f>IF(ORIG!W646=0,"",ORIG!W646)</f>
        <v/>
      </c>
      <c r="X646" s="9">
        <f>IF(ORIG!X646=0,"",ORIG!X646)</f>
        <v/>
      </c>
      <c r="Y646" s="9">
        <f>IF(ORIG!Y646=0,"",ORIG!Y646)</f>
        <v/>
      </c>
      <c r="Z646" s="3">
        <f>SUMPRODUCT($B646:$Y646,$B$2649:$Y$2649)</f>
        <v/>
      </c>
      <c r="AA646" s="3">
        <f>SUMPRODUCT($B646:$Y646,$B$2655:$Y$2655)</f>
        <v/>
      </c>
      <c r="AC646" s="1">
        <f>A646</f>
        <v/>
      </c>
      <c r="AD646">
        <f>IF(ISNUMBER(V646),V646*($AB$1/V$2635),"")</f>
        <v/>
      </c>
      <c r="AE646">
        <f>IF(ISNUMBER(Z646),Z646*($AB$1/Z$2635),"")</f>
        <v/>
      </c>
      <c r="AF646" s="25">
        <f>IF(ISNUMBER(AD646+AE646),AD646+AE646,"")</f>
        <v/>
      </c>
      <c r="AH646" s="1">
        <f>A646</f>
        <v/>
      </c>
      <c r="AI646">
        <f>IF(ISNUMBER((1+V646)*AI645),(1+V646)*AI645,AI645)</f>
        <v/>
      </c>
      <c r="AJ646">
        <f>IF(ISNUMBER((1+Z646)*AJ645),(1+Z646)*AJ645,AJ645)</f>
        <v/>
      </c>
    </row>
    <row r="647">
      <c r="A647" s="1" t="n">
        <v>42941</v>
      </c>
      <c r="B647" s="3">
        <f>IF(ORIG!B647=0,"",ORIG!B647)</f>
        <v/>
      </c>
      <c r="C647" s="3">
        <f>IF(ORIG!C647=0,"",ORIG!C647)</f>
        <v/>
      </c>
      <c r="D647" s="3">
        <f>IF(ORIG!D647=0,"",ORIG!D647)</f>
        <v/>
      </c>
      <c r="E647" s="3">
        <f>IF(ORIG!E647=0,"",ORIG!E647)</f>
        <v/>
      </c>
      <c r="F647" s="3">
        <f>IF(ORIG!F647=0,"",ORIG!F647)</f>
        <v/>
      </c>
      <c r="G647" s="3">
        <f>IF(ORIG!G647=0,"",ORIG!G647)</f>
        <v/>
      </c>
      <c r="H647" s="3">
        <f>IF(ORIG!H647=0,"",ORIG!H647)</f>
        <v/>
      </c>
      <c r="I647" s="3">
        <f>IF(ORIG!I647=0,"",ORIG!I647)</f>
        <v/>
      </c>
      <c r="J647" s="3">
        <f>IF(ORIG!J647=0,"",ORIG!J647)</f>
        <v/>
      </c>
      <c r="K647" s="3">
        <f>IF(ORIG!K647=0,"",ORIG!K647)</f>
        <v/>
      </c>
      <c r="L647" s="3">
        <f>IF(ORIG!L647=0,"",ORIG!L647)</f>
        <v/>
      </c>
      <c r="M647" s="3">
        <f>IF(ORIG!M647=0,"",ORIG!M647)</f>
        <v/>
      </c>
      <c r="N647" s="3">
        <f>IF(ORIG!N647=0,"",ORIG!N647)</f>
        <v/>
      </c>
      <c r="O647" s="3">
        <f>IF(ORIG!O647=0,"",ORIG!O647)</f>
        <v/>
      </c>
      <c r="P647" s="3">
        <f>IF(ORIG!P647=0,"",ORIG!P647)</f>
        <v/>
      </c>
      <c r="Q647" s="3">
        <f>IF(ORIG!Q647=0,"",ORIG!Q647)</f>
        <v/>
      </c>
      <c r="R647" s="3">
        <f>IF(ORIG!R647=0,"",ORIG!R647)</f>
        <v/>
      </c>
      <c r="S647" s="3">
        <f>IF(ORIG!S647=0,"",ORIG!S647)</f>
        <v/>
      </c>
      <c r="T647" s="3">
        <f>IF(ORIG!T647=0,"",ORIG!T647)</f>
        <v/>
      </c>
      <c r="U647" s="3">
        <f>IF(ORIG!U647=0,"",ORIG!U647)</f>
        <v/>
      </c>
      <c r="V647" s="9">
        <f>IF(ORIG!V647=0,"",ORIG!V647)</f>
        <v/>
      </c>
      <c r="W647" s="9">
        <f>IF(ORIG!W647=0,"",ORIG!W647)</f>
        <v/>
      </c>
      <c r="X647" s="9">
        <f>IF(ORIG!X647=0,"",ORIG!X647)</f>
        <v/>
      </c>
      <c r="Y647" s="9">
        <f>IF(ORIG!Y647=0,"",ORIG!Y647)</f>
        <v/>
      </c>
      <c r="Z647" s="3">
        <f>SUMPRODUCT($B647:$Y647,$B$2649:$Y$2649)</f>
        <v/>
      </c>
      <c r="AA647" s="3">
        <f>SUMPRODUCT($B647:$Y647,$B$2655:$Y$2655)</f>
        <v/>
      </c>
      <c r="AC647" s="1">
        <f>A647</f>
        <v/>
      </c>
      <c r="AD647">
        <f>IF(ISNUMBER(V647),V647*($AB$1/V$2635),"")</f>
        <v/>
      </c>
      <c r="AE647">
        <f>IF(ISNUMBER(Z647),Z647*($AB$1/Z$2635),"")</f>
        <v/>
      </c>
      <c r="AF647" s="25">
        <f>IF(ISNUMBER(AD647+AE647),AD647+AE647,"")</f>
        <v/>
      </c>
      <c r="AH647" s="1">
        <f>A647</f>
        <v/>
      </c>
      <c r="AI647">
        <f>IF(ISNUMBER((1+V647)*AI646),(1+V647)*AI646,AI646)</f>
        <v/>
      </c>
      <c r="AJ647">
        <f>IF(ISNUMBER((1+Z647)*AJ646),(1+Z647)*AJ646,AJ646)</f>
        <v/>
      </c>
    </row>
    <row r="648">
      <c r="A648" s="1" t="n">
        <v>42942</v>
      </c>
      <c r="B648" s="3">
        <f>IF(ORIG!B648=0,"",ORIG!B648)</f>
        <v/>
      </c>
      <c r="C648" s="3">
        <f>IF(ORIG!C648=0,"",ORIG!C648)</f>
        <v/>
      </c>
      <c r="D648" s="3">
        <f>IF(ORIG!D648=0,"",ORIG!D648)</f>
        <v/>
      </c>
      <c r="E648" s="3">
        <f>IF(ORIG!E648=0,"",ORIG!E648)</f>
        <v/>
      </c>
      <c r="F648" s="3">
        <f>IF(ORIG!F648=0,"",ORIG!F648)</f>
        <v/>
      </c>
      <c r="G648" s="3">
        <f>IF(ORIG!G648=0,"",ORIG!G648)</f>
        <v/>
      </c>
      <c r="H648" s="3">
        <f>IF(ORIG!H648=0,"",ORIG!H648)</f>
        <v/>
      </c>
      <c r="I648" s="3">
        <f>IF(ORIG!I648=0,"",ORIG!I648)</f>
        <v/>
      </c>
      <c r="J648" s="3">
        <f>IF(ORIG!J648=0,"",ORIG!J648)</f>
        <v/>
      </c>
      <c r="K648" s="3">
        <f>IF(ORIG!K648=0,"",ORIG!K648)</f>
        <v/>
      </c>
      <c r="L648" s="3">
        <f>IF(ORIG!L648=0,"",ORIG!L648)</f>
        <v/>
      </c>
      <c r="M648" s="3">
        <f>IF(ORIG!M648=0,"",ORIG!M648)</f>
        <v/>
      </c>
      <c r="N648" s="3">
        <f>IF(ORIG!N648=0,"",ORIG!N648)</f>
        <v/>
      </c>
      <c r="O648" s="3">
        <f>IF(ORIG!O648=0,"",ORIG!O648)</f>
        <v/>
      </c>
      <c r="P648" s="3">
        <f>IF(ORIG!P648=0,"",ORIG!P648)</f>
        <v/>
      </c>
      <c r="Q648" s="3">
        <f>IF(ORIG!Q648=0,"",ORIG!Q648)</f>
        <v/>
      </c>
      <c r="R648" s="3">
        <f>IF(ORIG!R648=0,"",ORIG!R648)</f>
        <v/>
      </c>
      <c r="S648" s="3">
        <f>IF(ORIG!S648=0,"",ORIG!S648)</f>
        <v/>
      </c>
      <c r="T648" s="3">
        <f>IF(ORIG!T648=0,"",ORIG!T648)</f>
        <v/>
      </c>
      <c r="U648" s="3">
        <f>IF(ORIG!U648=0,"",ORIG!U648)</f>
        <v/>
      </c>
      <c r="V648" s="9">
        <f>IF(ORIG!V648=0,"",ORIG!V648)</f>
        <v/>
      </c>
      <c r="W648" s="9">
        <f>IF(ORIG!W648=0,"",ORIG!W648)</f>
        <v/>
      </c>
      <c r="X648" s="9">
        <f>IF(ORIG!X648=0,"",ORIG!X648)</f>
        <v/>
      </c>
      <c r="Y648" s="9">
        <f>IF(ORIG!Y648=0,"",ORIG!Y648)</f>
        <v/>
      </c>
      <c r="Z648" s="3">
        <f>SUMPRODUCT($B648:$Y648,$B$2649:$Y$2649)</f>
        <v/>
      </c>
      <c r="AA648" s="3">
        <f>SUMPRODUCT($B648:$Y648,$B$2655:$Y$2655)</f>
        <v/>
      </c>
      <c r="AC648" s="1">
        <f>A648</f>
        <v/>
      </c>
      <c r="AD648">
        <f>IF(ISNUMBER(V648),V648*($AB$1/V$2635),"")</f>
        <v/>
      </c>
      <c r="AE648">
        <f>IF(ISNUMBER(Z648),Z648*($AB$1/Z$2635),"")</f>
        <v/>
      </c>
      <c r="AF648" s="25">
        <f>IF(ISNUMBER(AD648+AE648),AD648+AE648,"")</f>
        <v/>
      </c>
      <c r="AH648" s="1">
        <f>A648</f>
        <v/>
      </c>
      <c r="AI648">
        <f>IF(ISNUMBER((1+V648)*AI647),(1+V648)*AI647,AI647)</f>
        <v/>
      </c>
      <c r="AJ648">
        <f>IF(ISNUMBER((1+Z648)*AJ647),(1+Z648)*AJ647,AJ647)</f>
        <v/>
      </c>
    </row>
    <row r="649">
      <c r="A649" s="1" t="n">
        <v>42943</v>
      </c>
      <c r="B649" s="3">
        <f>IF(ORIG!B649=0,"",ORIG!B649)</f>
        <v/>
      </c>
      <c r="C649" s="3">
        <f>IF(ORIG!C649=0,"",ORIG!C649)</f>
        <v/>
      </c>
      <c r="D649" s="3">
        <f>IF(ORIG!D649=0,"",ORIG!D649)</f>
        <v/>
      </c>
      <c r="E649" s="3">
        <f>IF(ORIG!E649=0,"",ORIG!E649)</f>
        <v/>
      </c>
      <c r="F649" s="3">
        <f>IF(ORIG!F649=0,"",ORIG!F649)</f>
        <v/>
      </c>
      <c r="G649" s="3">
        <f>IF(ORIG!G649=0,"",ORIG!G649)</f>
        <v/>
      </c>
      <c r="H649" s="3">
        <f>IF(ORIG!H649=0,"",ORIG!H649)</f>
        <v/>
      </c>
      <c r="I649" s="3">
        <f>IF(ORIG!I649=0,"",ORIG!I649)</f>
        <v/>
      </c>
      <c r="J649" s="3">
        <f>IF(ORIG!J649=0,"",ORIG!J649)</f>
        <v/>
      </c>
      <c r="K649" s="3">
        <f>IF(ORIG!K649=0,"",ORIG!K649)</f>
        <v/>
      </c>
      <c r="L649" s="3">
        <f>IF(ORIG!L649=0,"",ORIG!L649)</f>
        <v/>
      </c>
      <c r="M649" s="3">
        <f>IF(ORIG!M649=0,"",ORIG!M649)</f>
        <v/>
      </c>
      <c r="N649" s="3">
        <f>IF(ORIG!N649=0,"",ORIG!N649)</f>
        <v/>
      </c>
      <c r="O649" s="3">
        <f>IF(ORIG!O649=0,"",ORIG!O649)</f>
        <v/>
      </c>
      <c r="P649" s="3">
        <f>IF(ORIG!P649=0,"",ORIG!P649)</f>
        <v/>
      </c>
      <c r="Q649" s="3">
        <f>IF(ORIG!Q649=0,"",ORIG!Q649)</f>
        <v/>
      </c>
      <c r="R649" s="3">
        <f>IF(ORIG!R649=0,"",ORIG!R649)</f>
        <v/>
      </c>
      <c r="S649" s="3">
        <f>IF(ORIG!S649=0,"",ORIG!S649)</f>
        <v/>
      </c>
      <c r="T649" s="3">
        <f>IF(ORIG!T649=0,"",ORIG!T649)</f>
        <v/>
      </c>
      <c r="U649" s="3">
        <f>IF(ORIG!U649=0,"",ORIG!U649)</f>
        <v/>
      </c>
      <c r="V649" s="9">
        <f>IF(ORIG!V649=0,"",ORIG!V649)</f>
        <v/>
      </c>
      <c r="W649" s="9">
        <f>IF(ORIG!W649=0,"",ORIG!W649)</f>
        <v/>
      </c>
      <c r="X649" s="9">
        <f>IF(ORIG!X649=0,"",ORIG!X649)</f>
        <v/>
      </c>
      <c r="Y649" s="9">
        <f>IF(ORIG!Y649=0,"",ORIG!Y649)</f>
        <v/>
      </c>
      <c r="Z649" s="3">
        <f>SUMPRODUCT($B649:$Y649,$B$2649:$Y$2649)</f>
        <v/>
      </c>
      <c r="AA649" s="3">
        <f>SUMPRODUCT($B649:$Y649,$B$2655:$Y$2655)</f>
        <v/>
      </c>
      <c r="AC649" s="1">
        <f>A649</f>
        <v/>
      </c>
      <c r="AD649">
        <f>IF(ISNUMBER(V649),V649*($AB$1/V$2635),"")</f>
        <v/>
      </c>
      <c r="AE649">
        <f>IF(ISNUMBER(Z649),Z649*($AB$1/Z$2635),"")</f>
        <v/>
      </c>
      <c r="AF649" s="25">
        <f>IF(ISNUMBER(AD649+AE649),AD649+AE649,"")</f>
        <v/>
      </c>
      <c r="AH649" s="1">
        <f>A649</f>
        <v/>
      </c>
      <c r="AI649">
        <f>IF(ISNUMBER((1+V649)*AI648),(1+V649)*AI648,AI648)</f>
        <v/>
      </c>
      <c r="AJ649">
        <f>IF(ISNUMBER((1+Z649)*AJ648),(1+Z649)*AJ648,AJ648)</f>
        <v/>
      </c>
    </row>
    <row r="650">
      <c r="A650" s="1" t="n">
        <v>42944</v>
      </c>
      <c r="B650" s="3">
        <f>IF(ORIG!B650=0,"",ORIG!B650)</f>
        <v/>
      </c>
      <c r="C650" s="3">
        <f>IF(ORIG!C650=0,"",ORIG!C650)</f>
        <v/>
      </c>
      <c r="D650" s="3">
        <f>IF(ORIG!D650=0,"",ORIG!D650)</f>
        <v/>
      </c>
      <c r="E650" s="3">
        <f>IF(ORIG!E650=0,"",ORIG!E650)</f>
        <v/>
      </c>
      <c r="F650" s="3">
        <f>IF(ORIG!F650=0,"",ORIG!F650)</f>
        <v/>
      </c>
      <c r="G650" s="3">
        <f>IF(ORIG!G650=0,"",ORIG!G650)</f>
        <v/>
      </c>
      <c r="H650" s="3">
        <f>IF(ORIG!H650=0,"",ORIG!H650)</f>
        <v/>
      </c>
      <c r="I650" s="3">
        <f>IF(ORIG!I650=0,"",ORIG!I650)</f>
        <v/>
      </c>
      <c r="J650" s="3">
        <f>IF(ORIG!J650=0,"",ORIG!J650)</f>
        <v/>
      </c>
      <c r="K650" s="3">
        <f>IF(ORIG!K650=0,"",ORIG!K650)</f>
        <v/>
      </c>
      <c r="L650" s="3">
        <f>IF(ORIG!L650=0,"",ORIG!L650)</f>
        <v/>
      </c>
      <c r="M650" s="3">
        <f>IF(ORIG!M650=0,"",ORIG!M650)</f>
        <v/>
      </c>
      <c r="N650" s="3">
        <f>IF(ORIG!N650=0,"",ORIG!N650)</f>
        <v/>
      </c>
      <c r="O650" s="3">
        <f>IF(ORIG!O650=0,"",ORIG!O650)</f>
        <v/>
      </c>
      <c r="P650" s="3">
        <f>IF(ORIG!P650=0,"",ORIG!P650)</f>
        <v/>
      </c>
      <c r="Q650" s="3">
        <f>IF(ORIG!Q650=0,"",ORIG!Q650)</f>
        <v/>
      </c>
      <c r="R650" s="3">
        <f>IF(ORIG!R650=0,"",ORIG!R650)</f>
        <v/>
      </c>
      <c r="S650" s="3">
        <f>IF(ORIG!S650=0,"",ORIG!S650)</f>
        <v/>
      </c>
      <c r="T650" s="3">
        <f>IF(ORIG!T650=0,"",ORIG!T650)</f>
        <v/>
      </c>
      <c r="U650" s="3">
        <f>IF(ORIG!U650=0,"",ORIG!U650)</f>
        <v/>
      </c>
      <c r="V650" s="9">
        <f>IF(ORIG!V650=0,"",ORIG!V650)</f>
        <v/>
      </c>
      <c r="W650" s="9">
        <f>IF(ORIG!W650=0,"",ORIG!W650)</f>
        <v/>
      </c>
      <c r="X650" s="9">
        <f>IF(ORIG!X650=0,"",ORIG!X650)</f>
        <v/>
      </c>
      <c r="Y650" s="9">
        <f>IF(ORIG!Y650=0,"",ORIG!Y650)</f>
        <v/>
      </c>
      <c r="Z650" s="3">
        <f>SUMPRODUCT($B650:$Y650,$B$2649:$Y$2649)</f>
        <v/>
      </c>
      <c r="AA650" s="3">
        <f>SUMPRODUCT($B650:$Y650,$B$2655:$Y$2655)</f>
        <v/>
      </c>
      <c r="AC650" s="1">
        <f>A650</f>
        <v/>
      </c>
      <c r="AD650">
        <f>IF(ISNUMBER(V650),V650*($AB$1/V$2635),"")</f>
        <v/>
      </c>
      <c r="AE650">
        <f>IF(ISNUMBER(Z650),Z650*($AB$1/Z$2635),"")</f>
        <v/>
      </c>
      <c r="AF650" s="25">
        <f>IF(ISNUMBER(AD650+AE650),AD650+AE650,"")</f>
        <v/>
      </c>
      <c r="AH650" s="1">
        <f>A650</f>
        <v/>
      </c>
      <c r="AI650">
        <f>IF(ISNUMBER((1+V650)*AI649),(1+V650)*AI649,AI649)</f>
        <v/>
      </c>
      <c r="AJ650">
        <f>IF(ISNUMBER((1+Z650)*AJ649),(1+Z650)*AJ649,AJ649)</f>
        <v/>
      </c>
    </row>
    <row r="651">
      <c r="A651" s="1" t="n">
        <v>42947</v>
      </c>
      <c r="B651" s="3">
        <f>IF(ORIG!B651=0,"",ORIG!B651)</f>
        <v/>
      </c>
      <c r="C651" s="3">
        <f>IF(ORIG!C651=0,"",ORIG!C651)</f>
        <v/>
      </c>
      <c r="D651" s="3">
        <f>IF(ORIG!D651=0,"",ORIG!D651)</f>
        <v/>
      </c>
      <c r="E651" s="3">
        <f>IF(ORIG!E651=0,"",ORIG!E651)</f>
        <v/>
      </c>
      <c r="F651" s="3">
        <f>IF(ORIG!F651=0,"",ORIG!F651)</f>
        <v/>
      </c>
      <c r="G651" s="3">
        <f>IF(ORIG!G651=0,"",ORIG!G651)</f>
        <v/>
      </c>
      <c r="H651" s="3">
        <f>IF(ORIG!H651=0,"",ORIG!H651)</f>
        <v/>
      </c>
      <c r="I651" s="3">
        <f>IF(ORIG!I651=0,"",ORIG!I651)</f>
        <v/>
      </c>
      <c r="J651" s="3">
        <f>IF(ORIG!J651=0,"",ORIG!J651)</f>
        <v/>
      </c>
      <c r="K651" s="3">
        <f>IF(ORIG!K651=0,"",ORIG!K651)</f>
        <v/>
      </c>
      <c r="L651" s="3">
        <f>IF(ORIG!L651=0,"",ORIG!L651)</f>
        <v/>
      </c>
      <c r="M651" s="3">
        <f>IF(ORIG!M651=0,"",ORIG!M651)</f>
        <v/>
      </c>
      <c r="N651" s="3">
        <f>IF(ORIG!N651=0,"",ORIG!N651)</f>
        <v/>
      </c>
      <c r="O651" s="3">
        <f>IF(ORIG!O651=0,"",ORIG!O651)</f>
        <v/>
      </c>
      <c r="P651" s="3">
        <f>IF(ORIG!P651=0,"",ORIG!P651)</f>
        <v/>
      </c>
      <c r="Q651" s="3">
        <f>IF(ORIG!Q651=0,"",ORIG!Q651)</f>
        <v/>
      </c>
      <c r="R651" s="3">
        <f>IF(ORIG!R651=0,"",ORIG!R651)</f>
        <v/>
      </c>
      <c r="S651" s="3">
        <f>IF(ORIG!S651=0,"",ORIG!S651)</f>
        <v/>
      </c>
      <c r="T651" s="3">
        <f>IF(ORIG!T651=0,"",ORIG!T651)</f>
        <v/>
      </c>
      <c r="U651" s="3">
        <f>IF(ORIG!U651=0,"",ORIG!U651)</f>
        <v/>
      </c>
      <c r="V651" s="9">
        <f>IF(ORIG!V651=0,"",ORIG!V651)</f>
        <v/>
      </c>
      <c r="W651" s="9">
        <f>IF(ORIG!W651=0,"",ORIG!W651)</f>
        <v/>
      </c>
      <c r="X651" s="9">
        <f>IF(ORIG!X651=0,"",ORIG!X651)</f>
        <v/>
      </c>
      <c r="Y651" s="9">
        <f>IF(ORIG!Y651=0,"",ORIG!Y651)</f>
        <v/>
      </c>
      <c r="Z651" s="3">
        <f>SUMPRODUCT($B651:$Y651,$B$2649:$Y$2649)</f>
        <v/>
      </c>
      <c r="AA651" s="3">
        <f>SUMPRODUCT($B651:$Y651,$B$2655:$Y$2655)</f>
        <v/>
      </c>
      <c r="AC651" s="1">
        <f>A651</f>
        <v/>
      </c>
      <c r="AD651">
        <f>IF(ISNUMBER(V651),V651*($AB$1/V$2635),"")</f>
        <v/>
      </c>
      <c r="AE651">
        <f>IF(ISNUMBER(Z651),Z651*($AB$1/Z$2635),"")</f>
        <v/>
      </c>
      <c r="AF651" s="25">
        <f>IF(ISNUMBER(AD651+AE651),AD651+AE651,"")</f>
        <v/>
      </c>
      <c r="AH651" s="1">
        <f>A651</f>
        <v/>
      </c>
      <c r="AI651">
        <f>IF(ISNUMBER((1+V651)*AI650),(1+V651)*AI650,AI650)</f>
        <v/>
      </c>
      <c r="AJ651">
        <f>IF(ISNUMBER((1+Z651)*AJ650),(1+Z651)*AJ650,AJ650)</f>
        <v/>
      </c>
    </row>
    <row r="652">
      <c r="A652" s="1" t="n">
        <v>42948</v>
      </c>
      <c r="B652" s="3">
        <f>IF(ORIG!B652=0,"",ORIG!B652)</f>
        <v/>
      </c>
      <c r="C652" s="3">
        <f>IF(ORIG!C652=0,"",ORIG!C652)</f>
        <v/>
      </c>
      <c r="D652" s="3">
        <f>IF(ORIG!D652=0,"",ORIG!D652)</f>
        <v/>
      </c>
      <c r="E652" s="3">
        <f>IF(ORIG!E652=0,"",ORIG!E652)</f>
        <v/>
      </c>
      <c r="F652" s="3">
        <f>IF(ORIG!F652=0,"",ORIG!F652)</f>
        <v/>
      </c>
      <c r="G652" s="3">
        <f>IF(ORIG!G652=0,"",ORIG!G652)</f>
        <v/>
      </c>
      <c r="H652" s="3">
        <f>IF(ORIG!H652=0,"",ORIG!H652)</f>
        <v/>
      </c>
      <c r="I652" s="3">
        <f>IF(ORIG!I652=0,"",ORIG!I652)</f>
        <v/>
      </c>
      <c r="J652" s="3">
        <f>IF(ORIG!J652=0,"",ORIG!J652)</f>
        <v/>
      </c>
      <c r="K652" s="3">
        <f>IF(ORIG!K652=0,"",ORIG!K652)</f>
        <v/>
      </c>
      <c r="L652" s="3">
        <f>IF(ORIG!L652=0,"",ORIG!L652)</f>
        <v/>
      </c>
      <c r="M652" s="3">
        <f>IF(ORIG!M652=0,"",ORIG!M652)</f>
        <v/>
      </c>
      <c r="N652" s="3">
        <f>IF(ORIG!N652=0,"",ORIG!N652)</f>
        <v/>
      </c>
      <c r="O652" s="3">
        <f>IF(ORIG!O652=0,"",ORIG!O652)</f>
        <v/>
      </c>
      <c r="P652" s="3">
        <f>IF(ORIG!P652=0,"",ORIG!P652)</f>
        <v/>
      </c>
      <c r="Q652" s="3">
        <f>IF(ORIG!Q652=0,"",ORIG!Q652)</f>
        <v/>
      </c>
      <c r="R652" s="3">
        <f>IF(ORIG!R652=0,"",ORIG!R652)</f>
        <v/>
      </c>
      <c r="S652" s="3">
        <f>IF(ORIG!S652=0,"",ORIG!S652)</f>
        <v/>
      </c>
      <c r="T652" s="3">
        <f>IF(ORIG!T652=0,"",ORIG!T652)</f>
        <v/>
      </c>
      <c r="U652" s="3">
        <f>IF(ORIG!U652=0,"",ORIG!U652)</f>
        <v/>
      </c>
      <c r="V652" s="9">
        <f>IF(ORIG!V652=0,"",ORIG!V652)</f>
        <v/>
      </c>
      <c r="W652" s="9">
        <f>IF(ORIG!W652=0,"",ORIG!W652)</f>
        <v/>
      </c>
      <c r="X652" s="9">
        <f>IF(ORIG!X652=0,"",ORIG!X652)</f>
        <v/>
      </c>
      <c r="Y652" s="9">
        <f>IF(ORIG!Y652=0,"",ORIG!Y652)</f>
        <v/>
      </c>
      <c r="Z652" s="3">
        <f>SUMPRODUCT($B652:$Y652,$B$2649:$Y$2649)</f>
        <v/>
      </c>
      <c r="AA652" s="3">
        <f>SUMPRODUCT($B652:$Y652,$B$2655:$Y$2655)</f>
        <v/>
      </c>
      <c r="AC652" s="1">
        <f>A652</f>
        <v/>
      </c>
      <c r="AD652">
        <f>IF(ISNUMBER(V652),V652*($AB$1/V$2635),"")</f>
        <v/>
      </c>
      <c r="AE652">
        <f>IF(ISNUMBER(Z652),Z652*($AB$1/Z$2635),"")</f>
        <v/>
      </c>
      <c r="AF652" s="25">
        <f>IF(ISNUMBER(AD652+AE652),AD652+AE652,"")</f>
        <v/>
      </c>
      <c r="AH652" s="1">
        <f>A652</f>
        <v/>
      </c>
      <c r="AI652">
        <f>IF(ISNUMBER((1+V652)*AI651),(1+V652)*AI651,AI651)</f>
        <v/>
      </c>
      <c r="AJ652">
        <f>IF(ISNUMBER((1+Z652)*AJ651),(1+Z652)*AJ651,AJ651)</f>
        <v/>
      </c>
    </row>
    <row r="653">
      <c r="A653" s="1" t="n">
        <v>42949</v>
      </c>
      <c r="B653" s="3">
        <f>IF(ORIG!B653=0,"",ORIG!B653)</f>
        <v/>
      </c>
      <c r="C653" s="3">
        <f>IF(ORIG!C653=0,"",ORIG!C653)</f>
        <v/>
      </c>
      <c r="D653" s="3">
        <f>IF(ORIG!D653=0,"",ORIG!D653)</f>
        <v/>
      </c>
      <c r="E653" s="3">
        <f>IF(ORIG!E653=0,"",ORIG!E653)</f>
        <v/>
      </c>
      <c r="F653" s="3">
        <f>IF(ORIG!F653=0,"",ORIG!F653)</f>
        <v/>
      </c>
      <c r="G653" s="3">
        <f>IF(ORIG!G653=0,"",ORIG!G653)</f>
        <v/>
      </c>
      <c r="H653" s="3">
        <f>IF(ORIG!H653=0,"",ORIG!H653)</f>
        <v/>
      </c>
      <c r="I653" s="3">
        <f>IF(ORIG!I653=0,"",ORIG!I653)</f>
        <v/>
      </c>
      <c r="J653" s="3">
        <f>IF(ORIG!J653=0,"",ORIG!J653)</f>
        <v/>
      </c>
      <c r="K653" s="3">
        <f>IF(ORIG!K653=0,"",ORIG!K653)</f>
        <v/>
      </c>
      <c r="L653" s="3">
        <f>IF(ORIG!L653=0,"",ORIG!L653)</f>
        <v/>
      </c>
      <c r="M653" s="3">
        <f>IF(ORIG!M653=0,"",ORIG!M653)</f>
        <v/>
      </c>
      <c r="N653" s="3">
        <f>IF(ORIG!N653=0,"",ORIG!N653)</f>
        <v/>
      </c>
      <c r="O653" s="3">
        <f>IF(ORIG!O653=0,"",ORIG!O653)</f>
        <v/>
      </c>
      <c r="P653" s="3">
        <f>IF(ORIG!P653=0,"",ORIG!P653)</f>
        <v/>
      </c>
      <c r="Q653" s="3">
        <f>IF(ORIG!Q653=0,"",ORIG!Q653)</f>
        <v/>
      </c>
      <c r="R653" s="3">
        <f>IF(ORIG!R653=0,"",ORIG!R653)</f>
        <v/>
      </c>
      <c r="S653" s="3">
        <f>IF(ORIG!S653=0,"",ORIG!S653)</f>
        <v/>
      </c>
      <c r="T653" s="3">
        <f>IF(ORIG!T653=0,"",ORIG!T653)</f>
        <v/>
      </c>
      <c r="U653" s="3">
        <f>IF(ORIG!U653=0,"",ORIG!U653)</f>
        <v/>
      </c>
      <c r="V653" s="9">
        <f>IF(ORIG!V653=0,"",ORIG!V653)</f>
        <v/>
      </c>
      <c r="W653" s="9">
        <f>IF(ORIG!W653=0,"",ORIG!W653)</f>
        <v/>
      </c>
      <c r="X653" s="9">
        <f>IF(ORIG!X653=0,"",ORIG!X653)</f>
        <v/>
      </c>
      <c r="Y653" s="9">
        <f>IF(ORIG!Y653=0,"",ORIG!Y653)</f>
        <v/>
      </c>
      <c r="Z653" s="3">
        <f>SUMPRODUCT($B653:$Y653,$B$2649:$Y$2649)</f>
        <v/>
      </c>
      <c r="AA653" s="3">
        <f>SUMPRODUCT($B653:$Y653,$B$2655:$Y$2655)</f>
        <v/>
      </c>
      <c r="AC653" s="1">
        <f>A653</f>
        <v/>
      </c>
      <c r="AD653">
        <f>IF(ISNUMBER(V653),V653*($AB$1/V$2635),"")</f>
        <v/>
      </c>
      <c r="AE653">
        <f>IF(ISNUMBER(Z653),Z653*($AB$1/Z$2635),"")</f>
        <v/>
      </c>
      <c r="AF653" s="25">
        <f>IF(ISNUMBER(AD653+AE653),AD653+AE653,"")</f>
        <v/>
      </c>
      <c r="AH653" s="1">
        <f>A653</f>
        <v/>
      </c>
      <c r="AI653">
        <f>IF(ISNUMBER((1+V653)*AI652),(1+V653)*AI652,AI652)</f>
        <v/>
      </c>
      <c r="AJ653">
        <f>IF(ISNUMBER((1+Z653)*AJ652),(1+Z653)*AJ652,AJ652)</f>
        <v/>
      </c>
    </row>
    <row r="654">
      <c r="A654" s="1" t="n">
        <v>42950</v>
      </c>
      <c r="B654" s="3">
        <f>IF(ORIG!B654=0,"",ORIG!B654)</f>
        <v/>
      </c>
      <c r="C654" s="3">
        <f>IF(ORIG!C654=0,"",ORIG!C654)</f>
        <v/>
      </c>
      <c r="D654" s="3">
        <f>IF(ORIG!D654=0,"",ORIG!D654)</f>
        <v/>
      </c>
      <c r="E654" s="3">
        <f>IF(ORIG!E654=0,"",ORIG!E654)</f>
        <v/>
      </c>
      <c r="F654" s="3">
        <f>IF(ORIG!F654=0,"",ORIG!F654)</f>
        <v/>
      </c>
      <c r="G654" s="3">
        <f>IF(ORIG!G654=0,"",ORIG!G654)</f>
        <v/>
      </c>
      <c r="H654" s="3">
        <f>IF(ORIG!H654=0,"",ORIG!H654)</f>
        <v/>
      </c>
      <c r="I654" s="3">
        <f>IF(ORIG!I654=0,"",ORIG!I654)</f>
        <v/>
      </c>
      <c r="J654" s="3">
        <f>IF(ORIG!J654=0,"",ORIG!J654)</f>
        <v/>
      </c>
      <c r="K654" s="3">
        <f>IF(ORIG!K654=0,"",ORIG!K654)</f>
        <v/>
      </c>
      <c r="L654" s="3">
        <f>IF(ORIG!L654=0,"",ORIG!L654)</f>
        <v/>
      </c>
      <c r="M654" s="3">
        <f>IF(ORIG!M654=0,"",ORIG!M654)</f>
        <v/>
      </c>
      <c r="N654" s="3">
        <f>IF(ORIG!N654=0,"",ORIG!N654)</f>
        <v/>
      </c>
      <c r="O654" s="3">
        <f>IF(ORIG!O654=0,"",ORIG!O654)</f>
        <v/>
      </c>
      <c r="P654" s="3">
        <f>IF(ORIG!P654=0,"",ORIG!P654)</f>
        <v/>
      </c>
      <c r="Q654" s="3">
        <f>IF(ORIG!Q654=0,"",ORIG!Q654)</f>
        <v/>
      </c>
      <c r="R654" s="3">
        <f>IF(ORIG!R654=0,"",ORIG!R654)</f>
        <v/>
      </c>
      <c r="S654" s="3">
        <f>IF(ORIG!S654=0,"",ORIG!S654)</f>
        <v/>
      </c>
      <c r="T654" s="3">
        <f>IF(ORIG!T654=0,"",ORIG!T654)</f>
        <v/>
      </c>
      <c r="U654" s="3">
        <f>IF(ORIG!U654=0,"",ORIG!U654)</f>
        <v/>
      </c>
      <c r="V654" s="9">
        <f>IF(ORIG!V654=0,"",ORIG!V654)</f>
        <v/>
      </c>
      <c r="W654" s="9">
        <f>IF(ORIG!W654=0,"",ORIG!W654)</f>
        <v/>
      </c>
      <c r="X654" s="9">
        <f>IF(ORIG!X654=0,"",ORIG!X654)</f>
        <v/>
      </c>
      <c r="Y654" s="9">
        <f>IF(ORIG!Y654=0,"",ORIG!Y654)</f>
        <v/>
      </c>
      <c r="Z654" s="3">
        <f>SUMPRODUCT($B654:$Y654,$B$2649:$Y$2649)</f>
        <v/>
      </c>
      <c r="AA654" s="3">
        <f>SUMPRODUCT($B654:$Y654,$B$2655:$Y$2655)</f>
        <v/>
      </c>
      <c r="AC654" s="1">
        <f>A654</f>
        <v/>
      </c>
      <c r="AD654">
        <f>IF(ISNUMBER(V654),V654*($AB$1/V$2635),"")</f>
        <v/>
      </c>
      <c r="AE654">
        <f>IF(ISNUMBER(Z654),Z654*($AB$1/Z$2635),"")</f>
        <v/>
      </c>
      <c r="AF654" s="25">
        <f>IF(ISNUMBER(AD654+AE654),AD654+AE654,"")</f>
        <v/>
      </c>
      <c r="AH654" s="1">
        <f>A654</f>
        <v/>
      </c>
      <c r="AI654">
        <f>IF(ISNUMBER((1+V654)*AI653),(1+V654)*AI653,AI653)</f>
        <v/>
      </c>
      <c r="AJ654">
        <f>IF(ISNUMBER((1+Z654)*AJ653),(1+Z654)*AJ653,AJ653)</f>
        <v/>
      </c>
    </row>
    <row r="655">
      <c r="A655" s="1" t="n">
        <v>42951</v>
      </c>
      <c r="B655" s="3">
        <f>IF(ORIG!B655=0,"",ORIG!B655)</f>
        <v/>
      </c>
      <c r="C655" s="3">
        <f>IF(ORIG!C655=0,"",ORIG!C655)</f>
        <v/>
      </c>
      <c r="D655" s="3">
        <f>IF(ORIG!D655=0,"",ORIG!D655)</f>
        <v/>
      </c>
      <c r="E655" s="3">
        <f>IF(ORIG!E655=0,"",ORIG!E655)</f>
        <v/>
      </c>
      <c r="F655" s="3">
        <f>IF(ORIG!F655=0,"",ORIG!F655)</f>
        <v/>
      </c>
      <c r="G655" s="3">
        <f>IF(ORIG!G655=0,"",ORIG!G655)</f>
        <v/>
      </c>
      <c r="H655" s="3">
        <f>IF(ORIG!H655=0,"",ORIG!H655)</f>
        <v/>
      </c>
      <c r="I655" s="3">
        <f>IF(ORIG!I655=0,"",ORIG!I655)</f>
        <v/>
      </c>
      <c r="J655" s="3">
        <f>IF(ORIG!J655=0,"",ORIG!J655)</f>
        <v/>
      </c>
      <c r="K655" s="3">
        <f>IF(ORIG!K655=0,"",ORIG!K655)</f>
        <v/>
      </c>
      <c r="L655" s="3">
        <f>IF(ORIG!L655=0,"",ORIG!L655)</f>
        <v/>
      </c>
      <c r="M655" s="3">
        <f>IF(ORIG!M655=0,"",ORIG!M655)</f>
        <v/>
      </c>
      <c r="N655" s="3">
        <f>IF(ORIG!N655=0,"",ORIG!N655)</f>
        <v/>
      </c>
      <c r="O655" s="3">
        <f>IF(ORIG!O655=0,"",ORIG!O655)</f>
        <v/>
      </c>
      <c r="P655" s="3">
        <f>IF(ORIG!P655=0,"",ORIG!P655)</f>
        <v/>
      </c>
      <c r="Q655" s="3">
        <f>IF(ORIG!Q655=0,"",ORIG!Q655)</f>
        <v/>
      </c>
      <c r="R655" s="3">
        <f>IF(ORIG!R655=0,"",ORIG!R655)</f>
        <v/>
      </c>
      <c r="S655" s="3">
        <f>IF(ORIG!S655=0,"",ORIG!S655)</f>
        <v/>
      </c>
      <c r="T655" s="3">
        <f>IF(ORIG!T655=0,"",ORIG!T655)</f>
        <v/>
      </c>
      <c r="U655" s="3">
        <f>IF(ORIG!U655=0,"",ORIG!U655)</f>
        <v/>
      </c>
      <c r="V655" s="9">
        <f>IF(ORIG!V655=0,"",ORIG!V655)</f>
        <v/>
      </c>
      <c r="W655" s="9">
        <f>IF(ORIG!W655=0,"",ORIG!W655)</f>
        <v/>
      </c>
      <c r="X655" s="9">
        <f>IF(ORIG!X655=0,"",ORIG!X655)</f>
        <v/>
      </c>
      <c r="Y655" s="9">
        <f>IF(ORIG!Y655=0,"",ORIG!Y655)</f>
        <v/>
      </c>
      <c r="Z655" s="3">
        <f>SUMPRODUCT($B655:$Y655,$B$2649:$Y$2649)</f>
        <v/>
      </c>
      <c r="AA655" s="3">
        <f>SUMPRODUCT($B655:$Y655,$B$2655:$Y$2655)</f>
        <v/>
      </c>
      <c r="AC655" s="1">
        <f>A655</f>
        <v/>
      </c>
      <c r="AD655">
        <f>IF(ISNUMBER(V655),V655*($AB$1/V$2635),"")</f>
        <v/>
      </c>
      <c r="AE655">
        <f>IF(ISNUMBER(Z655),Z655*($AB$1/Z$2635),"")</f>
        <v/>
      </c>
      <c r="AF655" s="25">
        <f>IF(ISNUMBER(AD655+AE655),AD655+AE655,"")</f>
        <v/>
      </c>
      <c r="AH655" s="1">
        <f>A655</f>
        <v/>
      </c>
      <c r="AI655">
        <f>IF(ISNUMBER((1+V655)*AI654),(1+V655)*AI654,AI654)</f>
        <v/>
      </c>
      <c r="AJ655">
        <f>IF(ISNUMBER((1+Z655)*AJ654),(1+Z655)*AJ654,AJ654)</f>
        <v/>
      </c>
    </row>
    <row r="656">
      <c r="A656" s="1" t="n">
        <v>42954</v>
      </c>
      <c r="B656" s="3">
        <f>IF(ORIG!B656=0,"",ORIG!B656)</f>
        <v/>
      </c>
      <c r="C656" s="3">
        <f>IF(ORIG!C656=0,"",ORIG!C656)</f>
        <v/>
      </c>
      <c r="D656" s="3">
        <f>IF(ORIG!D656=0,"",ORIG!D656)</f>
        <v/>
      </c>
      <c r="E656" s="3">
        <f>IF(ORIG!E656=0,"",ORIG!E656)</f>
        <v/>
      </c>
      <c r="F656" s="3">
        <f>IF(ORIG!F656=0,"",ORIG!F656)</f>
        <v/>
      </c>
      <c r="G656" s="3">
        <f>IF(ORIG!G656=0,"",ORIG!G656)</f>
        <v/>
      </c>
      <c r="H656" s="3">
        <f>IF(ORIG!H656=0,"",ORIG!H656)</f>
        <v/>
      </c>
      <c r="I656" s="3">
        <f>IF(ORIG!I656=0,"",ORIG!I656)</f>
        <v/>
      </c>
      <c r="J656" s="3">
        <f>IF(ORIG!J656=0,"",ORIG!J656)</f>
        <v/>
      </c>
      <c r="K656" s="3">
        <f>IF(ORIG!K656=0,"",ORIG!K656)</f>
        <v/>
      </c>
      <c r="L656" s="3">
        <f>IF(ORIG!L656=0,"",ORIG!L656)</f>
        <v/>
      </c>
      <c r="M656" s="3">
        <f>IF(ORIG!M656=0,"",ORIG!M656)</f>
        <v/>
      </c>
      <c r="N656" s="3">
        <f>IF(ORIG!N656=0,"",ORIG!N656)</f>
        <v/>
      </c>
      <c r="O656" s="3">
        <f>IF(ORIG!O656=0,"",ORIG!O656)</f>
        <v/>
      </c>
      <c r="P656" s="3">
        <f>IF(ORIG!P656=0,"",ORIG!P656)</f>
        <v/>
      </c>
      <c r="Q656" s="3">
        <f>IF(ORIG!Q656=0,"",ORIG!Q656)</f>
        <v/>
      </c>
      <c r="R656" s="3">
        <f>IF(ORIG!R656=0,"",ORIG!R656)</f>
        <v/>
      </c>
      <c r="S656" s="3">
        <f>IF(ORIG!S656=0,"",ORIG!S656)</f>
        <v/>
      </c>
      <c r="T656" s="3">
        <f>IF(ORIG!T656=0,"",ORIG!T656)</f>
        <v/>
      </c>
      <c r="U656" s="3">
        <f>IF(ORIG!U656=0,"",ORIG!U656)</f>
        <v/>
      </c>
      <c r="V656" s="9">
        <f>IF(ORIG!V656=0,"",ORIG!V656)</f>
        <v/>
      </c>
      <c r="W656" s="9">
        <f>IF(ORIG!W656=0,"",ORIG!W656)</f>
        <v/>
      </c>
      <c r="X656" s="9">
        <f>IF(ORIG!X656=0,"",ORIG!X656)</f>
        <v/>
      </c>
      <c r="Y656" s="9">
        <f>IF(ORIG!Y656=0,"",ORIG!Y656)</f>
        <v/>
      </c>
      <c r="Z656" s="3">
        <f>SUMPRODUCT($B656:$Y656,$B$2649:$Y$2649)</f>
        <v/>
      </c>
      <c r="AA656" s="3">
        <f>SUMPRODUCT($B656:$Y656,$B$2655:$Y$2655)</f>
        <v/>
      </c>
      <c r="AC656" s="1">
        <f>A656</f>
        <v/>
      </c>
      <c r="AD656">
        <f>IF(ISNUMBER(V656),V656*($AB$1/V$2635),"")</f>
        <v/>
      </c>
      <c r="AE656">
        <f>IF(ISNUMBER(Z656),Z656*($AB$1/Z$2635),"")</f>
        <v/>
      </c>
      <c r="AF656" s="25">
        <f>IF(ISNUMBER(AD656+AE656),AD656+AE656,"")</f>
        <v/>
      </c>
      <c r="AH656" s="1">
        <f>A656</f>
        <v/>
      </c>
      <c r="AI656">
        <f>IF(ISNUMBER((1+V656)*AI655),(1+V656)*AI655,AI655)</f>
        <v/>
      </c>
      <c r="AJ656">
        <f>IF(ISNUMBER((1+Z656)*AJ655),(1+Z656)*AJ655,AJ655)</f>
        <v/>
      </c>
    </row>
    <row r="657">
      <c r="A657" s="1" t="n">
        <v>42955</v>
      </c>
      <c r="B657" s="3">
        <f>IF(ORIG!B657=0,"",ORIG!B657)</f>
        <v/>
      </c>
      <c r="C657" s="3">
        <f>IF(ORIG!C657=0,"",ORIG!C657)</f>
        <v/>
      </c>
      <c r="D657" s="3">
        <f>IF(ORIG!D657=0,"",ORIG!D657)</f>
        <v/>
      </c>
      <c r="E657" s="3">
        <f>IF(ORIG!E657=0,"",ORIG!E657)</f>
        <v/>
      </c>
      <c r="F657" s="3">
        <f>IF(ORIG!F657=0,"",ORIG!F657)</f>
        <v/>
      </c>
      <c r="G657" s="3">
        <f>IF(ORIG!G657=0,"",ORIG!G657)</f>
        <v/>
      </c>
      <c r="H657" s="3">
        <f>IF(ORIG!H657=0,"",ORIG!H657)</f>
        <v/>
      </c>
      <c r="I657" s="3">
        <f>IF(ORIG!I657=0,"",ORIG!I657)</f>
        <v/>
      </c>
      <c r="J657" s="3">
        <f>IF(ORIG!J657=0,"",ORIG!J657)</f>
        <v/>
      </c>
      <c r="K657" s="3">
        <f>IF(ORIG!K657=0,"",ORIG!K657)</f>
        <v/>
      </c>
      <c r="L657" s="3">
        <f>IF(ORIG!L657=0,"",ORIG!L657)</f>
        <v/>
      </c>
      <c r="M657" s="3">
        <f>IF(ORIG!M657=0,"",ORIG!M657)</f>
        <v/>
      </c>
      <c r="N657" s="3">
        <f>IF(ORIG!N657=0,"",ORIG!N657)</f>
        <v/>
      </c>
      <c r="O657" s="3">
        <f>IF(ORIG!O657=0,"",ORIG!O657)</f>
        <v/>
      </c>
      <c r="P657" s="3">
        <f>IF(ORIG!P657=0,"",ORIG!P657)</f>
        <v/>
      </c>
      <c r="Q657" s="3">
        <f>IF(ORIG!Q657=0,"",ORIG!Q657)</f>
        <v/>
      </c>
      <c r="R657" s="3">
        <f>IF(ORIG!R657=0,"",ORIG!R657)</f>
        <v/>
      </c>
      <c r="S657" s="3">
        <f>IF(ORIG!S657=0,"",ORIG!S657)</f>
        <v/>
      </c>
      <c r="T657" s="3">
        <f>IF(ORIG!T657=0,"",ORIG!T657)</f>
        <v/>
      </c>
      <c r="U657" s="3">
        <f>IF(ORIG!U657=0,"",ORIG!U657)</f>
        <v/>
      </c>
      <c r="V657" s="9">
        <f>IF(ORIG!V657=0,"",ORIG!V657)</f>
        <v/>
      </c>
      <c r="W657" s="9">
        <f>IF(ORIG!W657=0,"",ORIG!W657)</f>
        <v/>
      </c>
      <c r="X657" s="9">
        <f>IF(ORIG!X657=0,"",ORIG!X657)</f>
        <v/>
      </c>
      <c r="Y657" s="9">
        <f>IF(ORIG!Y657=0,"",ORIG!Y657)</f>
        <v/>
      </c>
      <c r="Z657" s="3">
        <f>SUMPRODUCT($B657:$Y657,$B$2649:$Y$2649)</f>
        <v/>
      </c>
      <c r="AA657" s="3">
        <f>SUMPRODUCT($B657:$Y657,$B$2655:$Y$2655)</f>
        <v/>
      </c>
      <c r="AC657" s="1">
        <f>A657</f>
        <v/>
      </c>
      <c r="AD657">
        <f>IF(ISNUMBER(V657),V657*($AB$1/V$2635),"")</f>
        <v/>
      </c>
      <c r="AE657">
        <f>IF(ISNUMBER(Z657),Z657*($AB$1/Z$2635),"")</f>
        <v/>
      </c>
      <c r="AF657" s="25">
        <f>IF(ISNUMBER(AD657+AE657),AD657+AE657,"")</f>
        <v/>
      </c>
      <c r="AH657" s="1">
        <f>A657</f>
        <v/>
      </c>
      <c r="AI657">
        <f>IF(ISNUMBER((1+V657)*AI656),(1+V657)*AI656,AI656)</f>
        <v/>
      </c>
      <c r="AJ657">
        <f>IF(ISNUMBER((1+Z657)*AJ656),(1+Z657)*AJ656,AJ656)</f>
        <v/>
      </c>
    </row>
    <row r="658">
      <c r="A658" s="1" t="n">
        <v>42956</v>
      </c>
      <c r="B658" s="3">
        <f>IF(ORIG!B658=0,"",ORIG!B658)</f>
        <v/>
      </c>
      <c r="C658" s="3">
        <f>IF(ORIG!C658=0,"",ORIG!C658)</f>
        <v/>
      </c>
      <c r="D658" s="3">
        <f>IF(ORIG!D658=0,"",ORIG!D658)</f>
        <v/>
      </c>
      <c r="E658" s="3">
        <f>IF(ORIG!E658=0,"",ORIG!E658)</f>
        <v/>
      </c>
      <c r="F658" s="3">
        <f>IF(ORIG!F658=0,"",ORIG!F658)</f>
        <v/>
      </c>
      <c r="G658" s="3">
        <f>IF(ORIG!G658=0,"",ORIG!G658)</f>
        <v/>
      </c>
      <c r="H658" s="3">
        <f>IF(ORIG!H658=0,"",ORIG!H658)</f>
        <v/>
      </c>
      <c r="I658" s="3">
        <f>IF(ORIG!I658=0,"",ORIG!I658)</f>
        <v/>
      </c>
      <c r="J658" s="3">
        <f>IF(ORIG!J658=0,"",ORIG!J658)</f>
        <v/>
      </c>
      <c r="K658" s="3">
        <f>IF(ORIG!K658=0,"",ORIG!K658)</f>
        <v/>
      </c>
      <c r="L658" s="3">
        <f>IF(ORIG!L658=0,"",ORIG!L658)</f>
        <v/>
      </c>
      <c r="M658" s="3">
        <f>IF(ORIG!M658=0,"",ORIG!M658)</f>
        <v/>
      </c>
      <c r="N658" s="3">
        <f>IF(ORIG!N658=0,"",ORIG!N658)</f>
        <v/>
      </c>
      <c r="O658" s="3">
        <f>IF(ORIG!O658=0,"",ORIG!O658)</f>
        <v/>
      </c>
      <c r="P658" s="3">
        <f>IF(ORIG!P658=0,"",ORIG!P658)</f>
        <v/>
      </c>
      <c r="Q658" s="3">
        <f>IF(ORIG!Q658=0,"",ORIG!Q658)</f>
        <v/>
      </c>
      <c r="R658" s="3">
        <f>IF(ORIG!R658=0,"",ORIG!R658)</f>
        <v/>
      </c>
      <c r="S658" s="3">
        <f>IF(ORIG!S658=0,"",ORIG!S658)</f>
        <v/>
      </c>
      <c r="T658" s="3">
        <f>IF(ORIG!T658=0,"",ORIG!T658)</f>
        <v/>
      </c>
      <c r="U658" s="3">
        <f>IF(ORIG!U658=0,"",ORIG!U658)</f>
        <v/>
      </c>
      <c r="V658" s="9">
        <f>IF(ORIG!V658=0,"",ORIG!V658)</f>
        <v/>
      </c>
      <c r="W658" s="9">
        <f>IF(ORIG!W658=0,"",ORIG!W658)</f>
        <v/>
      </c>
      <c r="X658" s="9">
        <f>IF(ORIG!X658=0,"",ORIG!X658)</f>
        <v/>
      </c>
      <c r="Y658" s="9">
        <f>IF(ORIG!Y658=0,"",ORIG!Y658)</f>
        <v/>
      </c>
      <c r="Z658" s="3">
        <f>SUMPRODUCT($B658:$Y658,$B$2649:$Y$2649)</f>
        <v/>
      </c>
      <c r="AA658" s="3">
        <f>SUMPRODUCT($B658:$Y658,$B$2655:$Y$2655)</f>
        <v/>
      </c>
      <c r="AC658" s="1">
        <f>A658</f>
        <v/>
      </c>
      <c r="AD658">
        <f>IF(ISNUMBER(V658),V658*($AB$1/V$2635),"")</f>
        <v/>
      </c>
      <c r="AE658">
        <f>IF(ISNUMBER(Z658),Z658*($AB$1/Z$2635),"")</f>
        <v/>
      </c>
      <c r="AF658" s="25">
        <f>IF(ISNUMBER(AD658+AE658),AD658+AE658,"")</f>
        <v/>
      </c>
      <c r="AH658" s="1">
        <f>A658</f>
        <v/>
      </c>
      <c r="AI658">
        <f>IF(ISNUMBER((1+V658)*AI657),(1+V658)*AI657,AI657)</f>
        <v/>
      </c>
      <c r="AJ658">
        <f>IF(ISNUMBER((1+Z658)*AJ657),(1+Z658)*AJ657,AJ657)</f>
        <v/>
      </c>
    </row>
    <row r="659">
      <c r="A659" s="1" t="n">
        <v>42957</v>
      </c>
      <c r="B659" s="3">
        <f>IF(ORIG!B659=0,"",ORIG!B659)</f>
        <v/>
      </c>
      <c r="C659" s="3">
        <f>IF(ORIG!C659=0,"",ORIG!C659)</f>
        <v/>
      </c>
      <c r="D659" s="3">
        <f>IF(ORIG!D659=0,"",ORIG!D659)</f>
        <v/>
      </c>
      <c r="E659" s="3">
        <f>IF(ORIG!E659=0,"",ORIG!E659)</f>
        <v/>
      </c>
      <c r="F659" s="3">
        <f>IF(ORIG!F659=0,"",ORIG!F659)</f>
        <v/>
      </c>
      <c r="G659" s="3">
        <f>IF(ORIG!G659=0,"",ORIG!G659)</f>
        <v/>
      </c>
      <c r="H659" s="3">
        <f>IF(ORIG!H659=0,"",ORIG!H659)</f>
        <v/>
      </c>
      <c r="I659" s="3">
        <f>IF(ORIG!I659=0,"",ORIG!I659)</f>
        <v/>
      </c>
      <c r="J659" s="3">
        <f>IF(ORIG!J659=0,"",ORIG!J659)</f>
        <v/>
      </c>
      <c r="K659" s="3">
        <f>IF(ORIG!K659=0,"",ORIG!K659)</f>
        <v/>
      </c>
      <c r="L659" s="3">
        <f>IF(ORIG!L659=0,"",ORIG!L659)</f>
        <v/>
      </c>
      <c r="M659" s="3">
        <f>IF(ORIG!M659=0,"",ORIG!M659)</f>
        <v/>
      </c>
      <c r="N659" s="3">
        <f>IF(ORIG!N659=0,"",ORIG!N659)</f>
        <v/>
      </c>
      <c r="O659" s="3">
        <f>IF(ORIG!O659=0,"",ORIG!O659)</f>
        <v/>
      </c>
      <c r="P659" s="3">
        <f>IF(ORIG!P659=0,"",ORIG!P659)</f>
        <v/>
      </c>
      <c r="Q659" s="3">
        <f>IF(ORIG!Q659=0,"",ORIG!Q659)</f>
        <v/>
      </c>
      <c r="R659" s="3">
        <f>IF(ORIG!R659=0,"",ORIG!R659)</f>
        <v/>
      </c>
      <c r="S659" s="3">
        <f>IF(ORIG!S659=0,"",ORIG!S659)</f>
        <v/>
      </c>
      <c r="T659" s="3">
        <f>IF(ORIG!T659=0,"",ORIG!T659)</f>
        <v/>
      </c>
      <c r="U659" s="3">
        <f>IF(ORIG!U659=0,"",ORIG!U659)</f>
        <v/>
      </c>
      <c r="V659" s="9">
        <f>IF(ORIG!V659=0,"",ORIG!V659)</f>
        <v/>
      </c>
      <c r="W659" s="9">
        <f>IF(ORIG!W659=0,"",ORIG!W659)</f>
        <v/>
      </c>
      <c r="X659" s="9">
        <f>IF(ORIG!X659=0,"",ORIG!X659)</f>
        <v/>
      </c>
      <c r="Y659" s="9">
        <f>IF(ORIG!Y659=0,"",ORIG!Y659)</f>
        <v/>
      </c>
      <c r="Z659" s="3">
        <f>SUMPRODUCT($B659:$Y659,$B$2649:$Y$2649)</f>
        <v/>
      </c>
      <c r="AA659" s="3">
        <f>SUMPRODUCT($B659:$Y659,$B$2655:$Y$2655)</f>
        <v/>
      </c>
      <c r="AC659" s="1">
        <f>A659</f>
        <v/>
      </c>
      <c r="AD659">
        <f>IF(ISNUMBER(V659),V659*($AB$1/V$2635),"")</f>
        <v/>
      </c>
      <c r="AE659">
        <f>IF(ISNUMBER(Z659),Z659*($AB$1/Z$2635),"")</f>
        <v/>
      </c>
      <c r="AF659" s="25">
        <f>IF(ISNUMBER(AD659+AE659),AD659+AE659,"")</f>
        <v/>
      </c>
      <c r="AH659" s="1">
        <f>A659</f>
        <v/>
      </c>
      <c r="AI659">
        <f>IF(ISNUMBER((1+V659)*AI658),(1+V659)*AI658,AI658)</f>
        <v/>
      </c>
      <c r="AJ659">
        <f>IF(ISNUMBER((1+Z659)*AJ658),(1+Z659)*AJ658,AJ658)</f>
        <v/>
      </c>
    </row>
    <row r="660">
      <c r="A660" s="1" t="n">
        <v>42958</v>
      </c>
      <c r="B660" s="3">
        <f>IF(ORIG!B660=0,"",ORIG!B660)</f>
        <v/>
      </c>
      <c r="C660" s="3">
        <f>IF(ORIG!C660=0,"",ORIG!C660)</f>
        <v/>
      </c>
      <c r="D660" s="3">
        <f>IF(ORIG!D660=0,"",ORIG!D660)</f>
        <v/>
      </c>
      <c r="E660" s="3">
        <f>IF(ORIG!E660=0,"",ORIG!E660)</f>
        <v/>
      </c>
      <c r="F660" s="3">
        <f>IF(ORIG!F660=0,"",ORIG!F660)</f>
        <v/>
      </c>
      <c r="G660" s="3">
        <f>IF(ORIG!G660=0,"",ORIG!G660)</f>
        <v/>
      </c>
      <c r="H660" s="3">
        <f>IF(ORIG!H660=0,"",ORIG!H660)</f>
        <v/>
      </c>
      <c r="I660" s="3">
        <f>IF(ORIG!I660=0,"",ORIG!I660)</f>
        <v/>
      </c>
      <c r="J660" s="3">
        <f>IF(ORIG!J660=0,"",ORIG!J660)</f>
        <v/>
      </c>
      <c r="K660" s="3">
        <f>IF(ORIG!K660=0,"",ORIG!K660)</f>
        <v/>
      </c>
      <c r="L660" s="3">
        <f>IF(ORIG!L660=0,"",ORIG!L660)</f>
        <v/>
      </c>
      <c r="M660" s="3">
        <f>IF(ORIG!M660=0,"",ORIG!M660)</f>
        <v/>
      </c>
      <c r="N660" s="3">
        <f>IF(ORIG!N660=0,"",ORIG!N660)</f>
        <v/>
      </c>
      <c r="O660" s="3">
        <f>IF(ORIG!O660=0,"",ORIG!O660)</f>
        <v/>
      </c>
      <c r="P660" s="3">
        <f>IF(ORIG!P660=0,"",ORIG!P660)</f>
        <v/>
      </c>
      <c r="Q660" s="3">
        <f>IF(ORIG!Q660=0,"",ORIG!Q660)</f>
        <v/>
      </c>
      <c r="R660" s="3">
        <f>IF(ORIG!R660=0,"",ORIG!R660)</f>
        <v/>
      </c>
      <c r="S660" s="3">
        <f>IF(ORIG!S660=0,"",ORIG!S660)</f>
        <v/>
      </c>
      <c r="T660" s="3">
        <f>IF(ORIG!T660=0,"",ORIG!T660)</f>
        <v/>
      </c>
      <c r="U660" s="3">
        <f>IF(ORIG!U660=0,"",ORIG!U660)</f>
        <v/>
      </c>
      <c r="V660" s="9">
        <f>IF(ORIG!V660=0,"",ORIG!V660)</f>
        <v/>
      </c>
      <c r="W660" s="9">
        <f>IF(ORIG!W660=0,"",ORIG!W660)</f>
        <v/>
      </c>
      <c r="X660" s="9">
        <f>IF(ORIG!X660=0,"",ORIG!X660)</f>
        <v/>
      </c>
      <c r="Y660" s="9">
        <f>IF(ORIG!Y660=0,"",ORIG!Y660)</f>
        <v/>
      </c>
      <c r="Z660" s="3">
        <f>SUMPRODUCT($B660:$Y660,$B$2649:$Y$2649)</f>
        <v/>
      </c>
      <c r="AA660" s="3">
        <f>SUMPRODUCT($B660:$Y660,$B$2655:$Y$2655)</f>
        <v/>
      </c>
      <c r="AC660" s="1">
        <f>A660</f>
        <v/>
      </c>
      <c r="AD660">
        <f>IF(ISNUMBER(V660),V660*($AB$1/V$2635),"")</f>
        <v/>
      </c>
      <c r="AE660">
        <f>IF(ISNUMBER(Z660),Z660*($AB$1/Z$2635),"")</f>
        <v/>
      </c>
      <c r="AF660" s="25">
        <f>IF(ISNUMBER(AD660+AE660),AD660+AE660,"")</f>
        <v/>
      </c>
      <c r="AH660" s="1">
        <f>A660</f>
        <v/>
      </c>
      <c r="AI660">
        <f>IF(ISNUMBER((1+V660)*AI659),(1+V660)*AI659,AI659)</f>
        <v/>
      </c>
      <c r="AJ660">
        <f>IF(ISNUMBER((1+Z660)*AJ659),(1+Z660)*AJ659,AJ659)</f>
        <v/>
      </c>
    </row>
    <row r="661">
      <c r="A661" s="1" t="n">
        <v>42961</v>
      </c>
      <c r="B661" s="3">
        <f>IF(ORIG!B661=0,"",ORIG!B661)</f>
        <v/>
      </c>
      <c r="C661" s="3">
        <f>IF(ORIG!C661=0,"",ORIG!C661)</f>
        <v/>
      </c>
      <c r="D661" s="3">
        <f>IF(ORIG!D661=0,"",ORIG!D661)</f>
        <v/>
      </c>
      <c r="E661" s="3">
        <f>IF(ORIG!E661=0,"",ORIG!E661)</f>
        <v/>
      </c>
      <c r="F661" s="3">
        <f>IF(ORIG!F661=0,"",ORIG!F661)</f>
        <v/>
      </c>
      <c r="G661" s="3">
        <f>IF(ORIG!G661=0,"",ORIG!G661)</f>
        <v/>
      </c>
      <c r="H661" s="3">
        <f>IF(ORIG!H661=0,"",ORIG!H661)</f>
        <v/>
      </c>
      <c r="I661" s="3">
        <f>IF(ORIG!I661=0,"",ORIG!I661)</f>
        <v/>
      </c>
      <c r="J661" s="3">
        <f>IF(ORIG!J661=0,"",ORIG!J661)</f>
        <v/>
      </c>
      <c r="K661" s="3">
        <f>IF(ORIG!K661=0,"",ORIG!K661)</f>
        <v/>
      </c>
      <c r="L661" s="3">
        <f>IF(ORIG!L661=0,"",ORIG!L661)</f>
        <v/>
      </c>
      <c r="M661" s="3">
        <f>IF(ORIG!M661=0,"",ORIG!M661)</f>
        <v/>
      </c>
      <c r="N661" s="3">
        <f>IF(ORIG!N661=0,"",ORIG!N661)</f>
        <v/>
      </c>
      <c r="O661" s="3">
        <f>IF(ORIG!O661=0,"",ORIG!O661)</f>
        <v/>
      </c>
      <c r="P661" s="3">
        <f>IF(ORIG!P661=0,"",ORIG!P661)</f>
        <v/>
      </c>
      <c r="Q661" s="3">
        <f>IF(ORIG!Q661=0,"",ORIG!Q661)</f>
        <v/>
      </c>
      <c r="R661" s="3">
        <f>IF(ORIG!R661=0,"",ORIG!R661)</f>
        <v/>
      </c>
      <c r="S661" s="3">
        <f>IF(ORIG!S661=0,"",ORIG!S661)</f>
        <v/>
      </c>
      <c r="T661" s="3">
        <f>IF(ORIG!T661=0,"",ORIG!T661)</f>
        <v/>
      </c>
      <c r="U661" s="3">
        <f>IF(ORIG!U661=0,"",ORIG!U661)</f>
        <v/>
      </c>
      <c r="V661" s="9">
        <f>IF(ORIG!V661=0,"",ORIG!V661)</f>
        <v/>
      </c>
      <c r="W661" s="9">
        <f>IF(ORIG!W661=0,"",ORIG!W661)</f>
        <v/>
      </c>
      <c r="X661" s="9">
        <f>IF(ORIG!X661=0,"",ORIG!X661)</f>
        <v/>
      </c>
      <c r="Y661" s="9">
        <f>IF(ORIG!Y661=0,"",ORIG!Y661)</f>
        <v/>
      </c>
      <c r="Z661" s="3">
        <f>SUMPRODUCT($B661:$Y661,$B$2649:$Y$2649)</f>
        <v/>
      </c>
      <c r="AA661" s="3">
        <f>SUMPRODUCT($B661:$Y661,$B$2655:$Y$2655)</f>
        <v/>
      </c>
      <c r="AC661" s="1">
        <f>A661</f>
        <v/>
      </c>
      <c r="AD661">
        <f>IF(ISNUMBER(V661),V661*($AB$1/V$2635),"")</f>
        <v/>
      </c>
      <c r="AE661">
        <f>IF(ISNUMBER(Z661),Z661*($AB$1/Z$2635),"")</f>
        <v/>
      </c>
      <c r="AF661" s="25">
        <f>IF(ISNUMBER(AD661+AE661),AD661+AE661,"")</f>
        <v/>
      </c>
      <c r="AH661" s="1">
        <f>A661</f>
        <v/>
      </c>
      <c r="AI661">
        <f>IF(ISNUMBER((1+V661)*AI660),(1+V661)*AI660,AI660)</f>
        <v/>
      </c>
      <c r="AJ661">
        <f>IF(ISNUMBER((1+Z661)*AJ660),(1+Z661)*AJ660,AJ660)</f>
        <v/>
      </c>
    </row>
    <row r="662">
      <c r="A662" s="1" t="n">
        <v>42962</v>
      </c>
      <c r="B662" s="3">
        <f>IF(ORIG!B662=0,"",ORIG!B662)</f>
        <v/>
      </c>
      <c r="C662" s="3">
        <f>IF(ORIG!C662=0,"",ORIG!C662)</f>
        <v/>
      </c>
      <c r="D662" s="3">
        <f>IF(ORIG!D662=0,"",ORIG!D662)</f>
        <v/>
      </c>
      <c r="E662" s="3">
        <f>IF(ORIG!E662=0,"",ORIG!E662)</f>
        <v/>
      </c>
      <c r="F662" s="3">
        <f>IF(ORIG!F662=0,"",ORIG!F662)</f>
        <v/>
      </c>
      <c r="G662" s="3">
        <f>IF(ORIG!G662=0,"",ORIG!G662)</f>
        <v/>
      </c>
      <c r="H662" s="3">
        <f>IF(ORIG!H662=0,"",ORIG!H662)</f>
        <v/>
      </c>
      <c r="I662" s="3">
        <f>IF(ORIG!I662=0,"",ORIG!I662)</f>
        <v/>
      </c>
      <c r="J662" s="3">
        <f>IF(ORIG!J662=0,"",ORIG!J662)</f>
        <v/>
      </c>
      <c r="K662" s="3">
        <f>IF(ORIG!K662=0,"",ORIG!K662)</f>
        <v/>
      </c>
      <c r="L662" s="3">
        <f>IF(ORIG!L662=0,"",ORIG!L662)</f>
        <v/>
      </c>
      <c r="M662" s="3">
        <f>IF(ORIG!M662=0,"",ORIG!M662)</f>
        <v/>
      </c>
      <c r="N662" s="3">
        <f>IF(ORIG!N662=0,"",ORIG!N662)</f>
        <v/>
      </c>
      <c r="O662" s="3">
        <f>IF(ORIG!O662=0,"",ORIG!O662)</f>
        <v/>
      </c>
      <c r="P662" s="3">
        <f>IF(ORIG!P662=0,"",ORIG!P662)</f>
        <v/>
      </c>
      <c r="Q662" s="3">
        <f>IF(ORIG!Q662=0,"",ORIG!Q662)</f>
        <v/>
      </c>
      <c r="R662" s="3">
        <f>IF(ORIG!R662=0,"",ORIG!R662)</f>
        <v/>
      </c>
      <c r="S662" s="3">
        <f>IF(ORIG!S662=0,"",ORIG!S662)</f>
        <v/>
      </c>
      <c r="T662" s="3">
        <f>IF(ORIG!T662=0,"",ORIG!T662)</f>
        <v/>
      </c>
      <c r="U662" s="3">
        <f>IF(ORIG!U662=0,"",ORIG!U662)</f>
        <v/>
      </c>
      <c r="V662" s="9">
        <f>IF(ORIG!V662=0,"",ORIG!V662)</f>
        <v/>
      </c>
      <c r="W662" s="9">
        <f>IF(ORIG!W662=0,"",ORIG!W662)</f>
        <v/>
      </c>
      <c r="X662" s="9">
        <f>IF(ORIG!X662=0,"",ORIG!X662)</f>
        <v/>
      </c>
      <c r="Y662" s="9">
        <f>IF(ORIG!Y662=0,"",ORIG!Y662)</f>
        <v/>
      </c>
      <c r="Z662" s="3">
        <f>SUMPRODUCT($B662:$Y662,$B$2649:$Y$2649)</f>
        <v/>
      </c>
      <c r="AA662" s="3">
        <f>SUMPRODUCT($B662:$Y662,$B$2655:$Y$2655)</f>
        <v/>
      </c>
      <c r="AC662" s="1">
        <f>A662</f>
        <v/>
      </c>
      <c r="AD662">
        <f>IF(ISNUMBER(V662),V662*($AB$1/V$2635),"")</f>
        <v/>
      </c>
      <c r="AE662">
        <f>IF(ISNUMBER(Z662),Z662*($AB$1/Z$2635),"")</f>
        <v/>
      </c>
      <c r="AF662" s="25">
        <f>IF(ISNUMBER(AD662+AE662),AD662+AE662,"")</f>
        <v/>
      </c>
      <c r="AH662" s="1">
        <f>A662</f>
        <v/>
      </c>
      <c r="AI662">
        <f>IF(ISNUMBER((1+V662)*AI661),(1+V662)*AI661,AI661)</f>
        <v/>
      </c>
      <c r="AJ662">
        <f>IF(ISNUMBER((1+Z662)*AJ661),(1+Z662)*AJ661,AJ661)</f>
        <v/>
      </c>
    </row>
    <row r="663">
      <c r="A663" s="1" t="n">
        <v>42963</v>
      </c>
      <c r="B663" s="3">
        <f>IF(ORIG!B663=0,"",ORIG!B663)</f>
        <v/>
      </c>
      <c r="C663" s="3">
        <f>IF(ORIG!C663=0,"",ORIG!C663)</f>
        <v/>
      </c>
      <c r="D663" s="3">
        <f>IF(ORIG!D663=0,"",ORIG!D663)</f>
        <v/>
      </c>
      <c r="E663" s="3">
        <f>IF(ORIG!E663=0,"",ORIG!E663)</f>
        <v/>
      </c>
      <c r="F663" s="3">
        <f>IF(ORIG!F663=0,"",ORIG!F663)</f>
        <v/>
      </c>
      <c r="G663" s="3">
        <f>IF(ORIG!G663=0,"",ORIG!G663)</f>
        <v/>
      </c>
      <c r="H663" s="3">
        <f>IF(ORIG!H663=0,"",ORIG!H663)</f>
        <v/>
      </c>
      <c r="I663" s="3">
        <f>IF(ORIG!I663=0,"",ORIG!I663)</f>
        <v/>
      </c>
      <c r="J663" s="3">
        <f>IF(ORIG!J663=0,"",ORIG!J663)</f>
        <v/>
      </c>
      <c r="K663" s="3">
        <f>IF(ORIG!K663=0,"",ORIG!K663)</f>
        <v/>
      </c>
      <c r="L663" s="3">
        <f>IF(ORIG!L663=0,"",ORIG!L663)</f>
        <v/>
      </c>
      <c r="M663" s="3">
        <f>IF(ORIG!M663=0,"",ORIG!M663)</f>
        <v/>
      </c>
      <c r="N663" s="3">
        <f>IF(ORIG!N663=0,"",ORIG!N663)</f>
        <v/>
      </c>
      <c r="O663" s="3">
        <f>IF(ORIG!O663=0,"",ORIG!O663)</f>
        <v/>
      </c>
      <c r="P663" s="3">
        <f>IF(ORIG!P663=0,"",ORIG!P663)</f>
        <v/>
      </c>
      <c r="Q663" s="3">
        <f>IF(ORIG!Q663=0,"",ORIG!Q663)</f>
        <v/>
      </c>
      <c r="R663" s="3">
        <f>IF(ORIG!R663=0,"",ORIG!R663)</f>
        <v/>
      </c>
      <c r="S663" s="3">
        <f>IF(ORIG!S663=0,"",ORIG!S663)</f>
        <v/>
      </c>
      <c r="T663" s="3">
        <f>IF(ORIG!T663=0,"",ORIG!T663)</f>
        <v/>
      </c>
      <c r="U663" s="3">
        <f>IF(ORIG!U663=0,"",ORIG!U663)</f>
        <v/>
      </c>
      <c r="V663" s="9">
        <f>IF(ORIG!V663=0,"",ORIG!V663)</f>
        <v/>
      </c>
      <c r="W663" s="9">
        <f>IF(ORIG!W663=0,"",ORIG!W663)</f>
        <v/>
      </c>
      <c r="X663" s="9">
        <f>IF(ORIG!X663=0,"",ORIG!X663)</f>
        <v/>
      </c>
      <c r="Y663" s="9">
        <f>IF(ORIG!Y663=0,"",ORIG!Y663)</f>
        <v/>
      </c>
      <c r="Z663" s="3">
        <f>SUMPRODUCT($B663:$Y663,$B$2649:$Y$2649)</f>
        <v/>
      </c>
      <c r="AA663" s="3">
        <f>SUMPRODUCT($B663:$Y663,$B$2655:$Y$2655)</f>
        <v/>
      </c>
      <c r="AC663" s="1">
        <f>A663</f>
        <v/>
      </c>
      <c r="AD663">
        <f>IF(ISNUMBER(V663),V663*($AB$1/V$2635),"")</f>
        <v/>
      </c>
      <c r="AE663">
        <f>IF(ISNUMBER(Z663),Z663*($AB$1/Z$2635),"")</f>
        <v/>
      </c>
      <c r="AF663" s="25">
        <f>IF(ISNUMBER(AD663+AE663),AD663+AE663,"")</f>
        <v/>
      </c>
      <c r="AH663" s="1">
        <f>A663</f>
        <v/>
      </c>
      <c r="AI663">
        <f>IF(ISNUMBER((1+V663)*AI662),(1+V663)*AI662,AI662)</f>
        <v/>
      </c>
      <c r="AJ663">
        <f>IF(ISNUMBER((1+Z663)*AJ662),(1+Z663)*AJ662,AJ662)</f>
        <v/>
      </c>
    </row>
    <row r="664">
      <c r="A664" s="1" t="n">
        <v>42964</v>
      </c>
      <c r="B664" s="3">
        <f>IF(ORIG!B664=0,"",ORIG!B664)</f>
        <v/>
      </c>
      <c r="C664" s="3">
        <f>IF(ORIG!C664=0,"",ORIG!C664)</f>
        <v/>
      </c>
      <c r="D664" s="3">
        <f>IF(ORIG!D664=0,"",ORIG!D664)</f>
        <v/>
      </c>
      <c r="E664" s="3">
        <f>IF(ORIG!E664=0,"",ORIG!E664)</f>
        <v/>
      </c>
      <c r="F664" s="3">
        <f>IF(ORIG!F664=0,"",ORIG!F664)</f>
        <v/>
      </c>
      <c r="G664" s="3">
        <f>IF(ORIG!G664=0,"",ORIG!G664)</f>
        <v/>
      </c>
      <c r="H664" s="3">
        <f>IF(ORIG!H664=0,"",ORIG!H664)</f>
        <v/>
      </c>
      <c r="I664" s="3">
        <f>IF(ORIG!I664=0,"",ORIG!I664)</f>
        <v/>
      </c>
      <c r="J664" s="3">
        <f>IF(ORIG!J664=0,"",ORIG!J664)</f>
        <v/>
      </c>
      <c r="K664" s="3">
        <f>IF(ORIG!K664=0,"",ORIG!K664)</f>
        <v/>
      </c>
      <c r="L664" s="3">
        <f>IF(ORIG!L664=0,"",ORIG!L664)</f>
        <v/>
      </c>
      <c r="M664" s="3">
        <f>IF(ORIG!M664=0,"",ORIG!M664)</f>
        <v/>
      </c>
      <c r="N664" s="3">
        <f>IF(ORIG!N664=0,"",ORIG!N664)</f>
        <v/>
      </c>
      <c r="O664" s="3">
        <f>IF(ORIG!O664=0,"",ORIG!O664)</f>
        <v/>
      </c>
      <c r="P664" s="3">
        <f>IF(ORIG!P664=0,"",ORIG!P664)</f>
        <v/>
      </c>
      <c r="Q664" s="3">
        <f>IF(ORIG!Q664=0,"",ORIG!Q664)</f>
        <v/>
      </c>
      <c r="R664" s="3">
        <f>IF(ORIG!R664=0,"",ORIG!R664)</f>
        <v/>
      </c>
      <c r="S664" s="3">
        <f>IF(ORIG!S664=0,"",ORIG!S664)</f>
        <v/>
      </c>
      <c r="T664" s="3">
        <f>IF(ORIG!T664=0,"",ORIG!T664)</f>
        <v/>
      </c>
      <c r="U664" s="3">
        <f>IF(ORIG!U664=0,"",ORIG!U664)</f>
        <v/>
      </c>
      <c r="V664" s="9">
        <f>IF(ORIG!V664=0,"",ORIG!V664)</f>
        <v/>
      </c>
      <c r="W664" s="9">
        <f>IF(ORIG!W664=0,"",ORIG!W664)</f>
        <v/>
      </c>
      <c r="X664" s="9">
        <f>IF(ORIG!X664=0,"",ORIG!X664)</f>
        <v/>
      </c>
      <c r="Y664" s="9">
        <f>IF(ORIG!Y664=0,"",ORIG!Y664)</f>
        <v/>
      </c>
      <c r="Z664" s="3">
        <f>SUMPRODUCT($B664:$Y664,$B$2649:$Y$2649)</f>
        <v/>
      </c>
      <c r="AA664" s="3">
        <f>SUMPRODUCT($B664:$Y664,$B$2655:$Y$2655)</f>
        <v/>
      </c>
      <c r="AC664" s="1">
        <f>A664</f>
        <v/>
      </c>
      <c r="AD664">
        <f>IF(ISNUMBER(V664),V664*($AB$1/V$2635),"")</f>
        <v/>
      </c>
      <c r="AE664">
        <f>IF(ISNUMBER(Z664),Z664*($AB$1/Z$2635),"")</f>
        <v/>
      </c>
      <c r="AF664" s="25">
        <f>IF(ISNUMBER(AD664+AE664),AD664+AE664,"")</f>
        <v/>
      </c>
      <c r="AH664" s="1">
        <f>A664</f>
        <v/>
      </c>
      <c r="AI664">
        <f>IF(ISNUMBER((1+V664)*AI663),(1+V664)*AI663,AI663)</f>
        <v/>
      </c>
      <c r="AJ664">
        <f>IF(ISNUMBER((1+Z664)*AJ663),(1+Z664)*AJ663,AJ663)</f>
        <v/>
      </c>
    </row>
    <row r="665">
      <c r="A665" s="1" t="n">
        <v>42965</v>
      </c>
      <c r="B665" s="3">
        <f>IF(ORIG!B665=0,"",ORIG!B665)</f>
        <v/>
      </c>
      <c r="C665" s="3">
        <f>IF(ORIG!C665=0,"",ORIG!C665)</f>
        <v/>
      </c>
      <c r="D665" s="3">
        <f>IF(ORIG!D665=0,"",ORIG!D665)</f>
        <v/>
      </c>
      <c r="E665" s="3">
        <f>IF(ORIG!E665=0,"",ORIG!E665)</f>
        <v/>
      </c>
      <c r="F665" s="3">
        <f>IF(ORIG!F665=0,"",ORIG!F665)</f>
        <v/>
      </c>
      <c r="G665" s="3">
        <f>IF(ORIG!G665=0,"",ORIG!G665)</f>
        <v/>
      </c>
      <c r="H665" s="3">
        <f>IF(ORIG!H665=0,"",ORIG!H665)</f>
        <v/>
      </c>
      <c r="I665" s="3">
        <f>IF(ORIG!I665=0,"",ORIG!I665)</f>
        <v/>
      </c>
      <c r="J665" s="3">
        <f>IF(ORIG!J665=0,"",ORIG!J665)</f>
        <v/>
      </c>
      <c r="K665" s="3">
        <f>IF(ORIG!K665=0,"",ORIG!K665)</f>
        <v/>
      </c>
      <c r="L665" s="3">
        <f>IF(ORIG!L665=0,"",ORIG!L665)</f>
        <v/>
      </c>
      <c r="M665" s="3">
        <f>IF(ORIG!M665=0,"",ORIG!M665)</f>
        <v/>
      </c>
      <c r="N665" s="3">
        <f>IF(ORIG!N665=0,"",ORIG!N665)</f>
        <v/>
      </c>
      <c r="O665" s="3">
        <f>IF(ORIG!O665=0,"",ORIG!O665)</f>
        <v/>
      </c>
      <c r="P665" s="3">
        <f>IF(ORIG!P665=0,"",ORIG!P665)</f>
        <v/>
      </c>
      <c r="Q665" s="3">
        <f>IF(ORIG!Q665=0,"",ORIG!Q665)</f>
        <v/>
      </c>
      <c r="R665" s="3">
        <f>IF(ORIG!R665=0,"",ORIG!R665)</f>
        <v/>
      </c>
      <c r="S665" s="3">
        <f>IF(ORIG!S665=0,"",ORIG!S665)</f>
        <v/>
      </c>
      <c r="T665" s="3">
        <f>IF(ORIG!T665=0,"",ORIG!T665)</f>
        <v/>
      </c>
      <c r="U665" s="3">
        <f>IF(ORIG!U665=0,"",ORIG!U665)</f>
        <v/>
      </c>
      <c r="V665" s="9">
        <f>IF(ORIG!V665=0,"",ORIG!V665)</f>
        <v/>
      </c>
      <c r="W665" s="9">
        <f>IF(ORIG!W665=0,"",ORIG!W665)</f>
        <v/>
      </c>
      <c r="X665" s="9">
        <f>IF(ORIG!X665=0,"",ORIG!X665)</f>
        <v/>
      </c>
      <c r="Y665" s="9">
        <f>IF(ORIG!Y665=0,"",ORIG!Y665)</f>
        <v/>
      </c>
      <c r="Z665" s="3">
        <f>SUMPRODUCT($B665:$Y665,$B$2649:$Y$2649)</f>
        <v/>
      </c>
      <c r="AA665" s="3">
        <f>SUMPRODUCT($B665:$Y665,$B$2655:$Y$2655)</f>
        <v/>
      </c>
      <c r="AC665" s="1">
        <f>A665</f>
        <v/>
      </c>
      <c r="AD665">
        <f>IF(ISNUMBER(V665),V665*($AB$1/V$2635),"")</f>
        <v/>
      </c>
      <c r="AE665">
        <f>IF(ISNUMBER(Z665),Z665*($AB$1/Z$2635),"")</f>
        <v/>
      </c>
      <c r="AF665" s="25">
        <f>IF(ISNUMBER(AD665+AE665),AD665+AE665,"")</f>
        <v/>
      </c>
      <c r="AH665" s="1">
        <f>A665</f>
        <v/>
      </c>
      <c r="AI665">
        <f>IF(ISNUMBER((1+V665)*AI664),(1+V665)*AI664,AI664)</f>
        <v/>
      </c>
      <c r="AJ665">
        <f>IF(ISNUMBER((1+Z665)*AJ664),(1+Z665)*AJ664,AJ664)</f>
        <v/>
      </c>
    </row>
    <row r="666">
      <c r="A666" s="1" t="n">
        <v>42968</v>
      </c>
      <c r="B666" s="3">
        <f>IF(ORIG!B666=0,"",ORIG!B666)</f>
        <v/>
      </c>
      <c r="C666" s="3">
        <f>IF(ORIG!C666=0,"",ORIG!C666)</f>
        <v/>
      </c>
      <c r="D666" s="3">
        <f>IF(ORIG!D666=0,"",ORIG!D666)</f>
        <v/>
      </c>
      <c r="E666" s="3">
        <f>IF(ORIG!E666=0,"",ORIG!E666)</f>
        <v/>
      </c>
      <c r="F666" s="3">
        <f>IF(ORIG!F666=0,"",ORIG!F666)</f>
        <v/>
      </c>
      <c r="G666" s="3">
        <f>IF(ORIG!G666=0,"",ORIG!G666)</f>
        <v/>
      </c>
      <c r="H666" s="3">
        <f>IF(ORIG!H666=0,"",ORIG!H666)</f>
        <v/>
      </c>
      <c r="I666" s="3">
        <f>IF(ORIG!I666=0,"",ORIG!I666)</f>
        <v/>
      </c>
      <c r="J666" s="3">
        <f>IF(ORIG!J666=0,"",ORIG!J666)</f>
        <v/>
      </c>
      <c r="K666" s="3">
        <f>IF(ORIG!K666=0,"",ORIG!K666)</f>
        <v/>
      </c>
      <c r="L666" s="3">
        <f>IF(ORIG!L666=0,"",ORIG!L666)</f>
        <v/>
      </c>
      <c r="M666" s="3">
        <f>IF(ORIG!M666=0,"",ORIG!M666)</f>
        <v/>
      </c>
      <c r="N666" s="3">
        <f>IF(ORIG!N666=0,"",ORIG!N666)</f>
        <v/>
      </c>
      <c r="O666" s="3">
        <f>IF(ORIG!O666=0,"",ORIG!O666)</f>
        <v/>
      </c>
      <c r="P666" s="3">
        <f>IF(ORIG!P666=0,"",ORIG!P666)</f>
        <v/>
      </c>
      <c r="Q666" s="3">
        <f>IF(ORIG!Q666=0,"",ORIG!Q666)</f>
        <v/>
      </c>
      <c r="R666" s="3">
        <f>IF(ORIG!R666=0,"",ORIG!R666)</f>
        <v/>
      </c>
      <c r="S666" s="3">
        <f>IF(ORIG!S666=0,"",ORIG!S666)</f>
        <v/>
      </c>
      <c r="T666" s="3">
        <f>IF(ORIG!T666=0,"",ORIG!T666)</f>
        <v/>
      </c>
      <c r="U666" s="3">
        <f>IF(ORIG!U666=0,"",ORIG!U666)</f>
        <v/>
      </c>
      <c r="V666" s="9">
        <f>IF(ORIG!V666=0,"",ORIG!V666)</f>
        <v/>
      </c>
      <c r="W666" s="9">
        <f>IF(ORIG!W666=0,"",ORIG!W666)</f>
        <v/>
      </c>
      <c r="X666" s="9">
        <f>IF(ORIG!X666=0,"",ORIG!X666)</f>
        <v/>
      </c>
      <c r="Y666" s="9">
        <f>IF(ORIG!Y666=0,"",ORIG!Y666)</f>
        <v/>
      </c>
      <c r="Z666" s="3">
        <f>SUMPRODUCT($B666:$Y666,$B$2649:$Y$2649)</f>
        <v/>
      </c>
      <c r="AA666" s="3">
        <f>SUMPRODUCT($B666:$Y666,$B$2655:$Y$2655)</f>
        <v/>
      </c>
      <c r="AC666" s="1">
        <f>A666</f>
        <v/>
      </c>
      <c r="AD666">
        <f>IF(ISNUMBER(V666),V666*($AB$1/V$2635),"")</f>
        <v/>
      </c>
      <c r="AE666">
        <f>IF(ISNUMBER(Z666),Z666*($AB$1/Z$2635),"")</f>
        <v/>
      </c>
      <c r="AF666" s="25">
        <f>IF(ISNUMBER(AD666+AE666),AD666+AE666,"")</f>
        <v/>
      </c>
      <c r="AH666" s="1">
        <f>A666</f>
        <v/>
      </c>
      <c r="AI666">
        <f>IF(ISNUMBER((1+V666)*AI665),(1+V666)*AI665,AI665)</f>
        <v/>
      </c>
      <c r="AJ666">
        <f>IF(ISNUMBER((1+Z666)*AJ665),(1+Z666)*AJ665,AJ665)</f>
        <v/>
      </c>
    </row>
    <row r="667">
      <c r="A667" s="1" t="n">
        <v>42969</v>
      </c>
      <c r="B667" s="3">
        <f>IF(ORIG!B667=0,"",ORIG!B667)</f>
        <v/>
      </c>
      <c r="C667" s="3">
        <f>IF(ORIG!C667=0,"",ORIG!C667)</f>
        <v/>
      </c>
      <c r="D667" s="3">
        <f>IF(ORIG!D667=0,"",ORIG!D667)</f>
        <v/>
      </c>
      <c r="E667" s="3">
        <f>IF(ORIG!E667=0,"",ORIG!E667)</f>
        <v/>
      </c>
      <c r="F667" s="3">
        <f>IF(ORIG!F667=0,"",ORIG!F667)</f>
        <v/>
      </c>
      <c r="G667" s="3">
        <f>IF(ORIG!G667=0,"",ORIG!G667)</f>
        <v/>
      </c>
      <c r="H667" s="3">
        <f>IF(ORIG!H667=0,"",ORIG!H667)</f>
        <v/>
      </c>
      <c r="I667" s="3">
        <f>IF(ORIG!I667=0,"",ORIG!I667)</f>
        <v/>
      </c>
      <c r="J667" s="3">
        <f>IF(ORIG!J667=0,"",ORIG!J667)</f>
        <v/>
      </c>
      <c r="K667" s="3">
        <f>IF(ORIG!K667=0,"",ORIG!K667)</f>
        <v/>
      </c>
      <c r="L667" s="3">
        <f>IF(ORIG!L667=0,"",ORIG!L667)</f>
        <v/>
      </c>
      <c r="M667" s="3">
        <f>IF(ORIG!M667=0,"",ORIG!M667)</f>
        <v/>
      </c>
      <c r="N667" s="3">
        <f>IF(ORIG!N667=0,"",ORIG!N667)</f>
        <v/>
      </c>
      <c r="O667" s="3">
        <f>IF(ORIG!O667=0,"",ORIG!O667)</f>
        <v/>
      </c>
      <c r="P667" s="3">
        <f>IF(ORIG!P667=0,"",ORIG!P667)</f>
        <v/>
      </c>
      <c r="Q667" s="3">
        <f>IF(ORIG!Q667=0,"",ORIG!Q667)</f>
        <v/>
      </c>
      <c r="R667" s="3">
        <f>IF(ORIG!R667=0,"",ORIG!R667)</f>
        <v/>
      </c>
      <c r="S667" s="3">
        <f>IF(ORIG!S667=0,"",ORIG!S667)</f>
        <v/>
      </c>
      <c r="T667" s="3">
        <f>IF(ORIG!T667=0,"",ORIG!T667)</f>
        <v/>
      </c>
      <c r="U667" s="3">
        <f>IF(ORIG!U667=0,"",ORIG!U667)</f>
        <v/>
      </c>
      <c r="V667" s="9">
        <f>IF(ORIG!V667=0,"",ORIG!V667)</f>
        <v/>
      </c>
      <c r="W667" s="9">
        <f>IF(ORIG!W667=0,"",ORIG!W667)</f>
        <v/>
      </c>
      <c r="X667" s="9">
        <f>IF(ORIG!X667=0,"",ORIG!X667)</f>
        <v/>
      </c>
      <c r="Y667" s="9">
        <f>IF(ORIG!Y667=0,"",ORIG!Y667)</f>
        <v/>
      </c>
      <c r="Z667" s="3">
        <f>SUMPRODUCT($B667:$Y667,$B$2649:$Y$2649)</f>
        <v/>
      </c>
      <c r="AA667" s="3">
        <f>SUMPRODUCT($B667:$Y667,$B$2655:$Y$2655)</f>
        <v/>
      </c>
      <c r="AC667" s="1">
        <f>A667</f>
        <v/>
      </c>
      <c r="AD667">
        <f>IF(ISNUMBER(V667),V667*($AB$1/V$2635),"")</f>
        <v/>
      </c>
      <c r="AE667">
        <f>IF(ISNUMBER(Z667),Z667*($AB$1/Z$2635),"")</f>
        <v/>
      </c>
      <c r="AF667" s="25">
        <f>IF(ISNUMBER(AD667+AE667),AD667+AE667,"")</f>
        <v/>
      </c>
      <c r="AH667" s="1">
        <f>A667</f>
        <v/>
      </c>
      <c r="AI667">
        <f>IF(ISNUMBER((1+V667)*AI666),(1+V667)*AI666,AI666)</f>
        <v/>
      </c>
      <c r="AJ667">
        <f>IF(ISNUMBER((1+Z667)*AJ666),(1+Z667)*AJ666,AJ666)</f>
        <v/>
      </c>
    </row>
    <row r="668">
      <c r="A668" s="1" t="n">
        <v>42970</v>
      </c>
      <c r="B668" s="3">
        <f>IF(ORIG!B668=0,"",ORIG!B668)</f>
        <v/>
      </c>
      <c r="C668" s="3">
        <f>IF(ORIG!C668=0,"",ORIG!C668)</f>
        <v/>
      </c>
      <c r="D668" s="3">
        <f>IF(ORIG!D668=0,"",ORIG!D668)</f>
        <v/>
      </c>
      <c r="E668" s="3">
        <f>IF(ORIG!E668=0,"",ORIG!E668)</f>
        <v/>
      </c>
      <c r="F668" s="3">
        <f>IF(ORIG!F668=0,"",ORIG!F668)</f>
        <v/>
      </c>
      <c r="G668" s="3">
        <f>IF(ORIG!G668=0,"",ORIG!G668)</f>
        <v/>
      </c>
      <c r="H668" s="3">
        <f>IF(ORIG!H668=0,"",ORIG!H668)</f>
        <v/>
      </c>
      <c r="I668" s="3">
        <f>IF(ORIG!I668=0,"",ORIG!I668)</f>
        <v/>
      </c>
      <c r="J668" s="3">
        <f>IF(ORIG!J668=0,"",ORIG!J668)</f>
        <v/>
      </c>
      <c r="K668" s="3">
        <f>IF(ORIG!K668=0,"",ORIG!K668)</f>
        <v/>
      </c>
      <c r="L668" s="3">
        <f>IF(ORIG!L668=0,"",ORIG!L668)</f>
        <v/>
      </c>
      <c r="M668" s="3">
        <f>IF(ORIG!M668=0,"",ORIG!M668)</f>
        <v/>
      </c>
      <c r="N668" s="3">
        <f>IF(ORIG!N668=0,"",ORIG!N668)</f>
        <v/>
      </c>
      <c r="O668" s="3">
        <f>IF(ORIG!O668=0,"",ORIG!O668)</f>
        <v/>
      </c>
      <c r="P668" s="3">
        <f>IF(ORIG!P668=0,"",ORIG!P668)</f>
        <v/>
      </c>
      <c r="Q668" s="3">
        <f>IF(ORIG!Q668=0,"",ORIG!Q668)</f>
        <v/>
      </c>
      <c r="R668" s="3">
        <f>IF(ORIG!R668=0,"",ORIG!R668)</f>
        <v/>
      </c>
      <c r="S668" s="3">
        <f>IF(ORIG!S668=0,"",ORIG!S668)</f>
        <v/>
      </c>
      <c r="T668" s="3">
        <f>IF(ORIG!T668=0,"",ORIG!T668)</f>
        <v/>
      </c>
      <c r="U668" s="3">
        <f>IF(ORIG!U668=0,"",ORIG!U668)</f>
        <v/>
      </c>
      <c r="V668" s="9">
        <f>IF(ORIG!V668=0,"",ORIG!V668)</f>
        <v/>
      </c>
      <c r="W668" s="9">
        <f>IF(ORIG!W668=0,"",ORIG!W668)</f>
        <v/>
      </c>
      <c r="X668" s="9">
        <f>IF(ORIG!X668=0,"",ORIG!X668)</f>
        <v/>
      </c>
      <c r="Y668" s="9">
        <f>IF(ORIG!Y668=0,"",ORIG!Y668)</f>
        <v/>
      </c>
      <c r="Z668" s="3">
        <f>SUMPRODUCT($B668:$Y668,$B$2649:$Y$2649)</f>
        <v/>
      </c>
      <c r="AA668" s="3">
        <f>SUMPRODUCT($B668:$Y668,$B$2655:$Y$2655)</f>
        <v/>
      </c>
      <c r="AC668" s="1">
        <f>A668</f>
        <v/>
      </c>
      <c r="AD668">
        <f>IF(ISNUMBER(V668),V668*($AB$1/V$2635),"")</f>
        <v/>
      </c>
      <c r="AE668">
        <f>IF(ISNUMBER(Z668),Z668*($AB$1/Z$2635),"")</f>
        <v/>
      </c>
      <c r="AF668" s="25">
        <f>IF(ISNUMBER(AD668+AE668),AD668+AE668,"")</f>
        <v/>
      </c>
      <c r="AH668" s="1">
        <f>A668</f>
        <v/>
      </c>
      <c r="AI668">
        <f>IF(ISNUMBER((1+V668)*AI667),(1+V668)*AI667,AI667)</f>
        <v/>
      </c>
      <c r="AJ668">
        <f>IF(ISNUMBER((1+Z668)*AJ667),(1+Z668)*AJ667,AJ667)</f>
        <v/>
      </c>
    </row>
    <row r="669">
      <c r="A669" s="1" t="n">
        <v>42971</v>
      </c>
      <c r="B669" s="3">
        <f>IF(ORIG!B669=0,"",ORIG!B669)</f>
        <v/>
      </c>
      <c r="C669" s="3">
        <f>IF(ORIG!C669=0,"",ORIG!C669)</f>
        <v/>
      </c>
      <c r="D669" s="3">
        <f>IF(ORIG!D669=0,"",ORIG!D669)</f>
        <v/>
      </c>
      <c r="E669" s="3">
        <f>IF(ORIG!E669=0,"",ORIG!E669)</f>
        <v/>
      </c>
      <c r="F669" s="3">
        <f>IF(ORIG!F669=0,"",ORIG!F669)</f>
        <v/>
      </c>
      <c r="G669" s="3">
        <f>IF(ORIG!G669=0,"",ORIG!G669)</f>
        <v/>
      </c>
      <c r="H669" s="3">
        <f>IF(ORIG!H669=0,"",ORIG!H669)</f>
        <v/>
      </c>
      <c r="I669" s="3">
        <f>IF(ORIG!I669=0,"",ORIG!I669)</f>
        <v/>
      </c>
      <c r="J669" s="3">
        <f>IF(ORIG!J669=0,"",ORIG!J669)</f>
        <v/>
      </c>
      <c r="K669" s="3">
        <f>IF(ORIG!K669=0,"",ORIG!K669)</f>
        <v/>
      </c>
      <c r="L669" s="3">
        <f>IF(ORIG!L669=0,"",ORIG!L669)</f>
        <v/>
      </c>
      <c r="M669" s="3">
        <f>IF(ORIG!M669=0,"",ORIG!M669)</f>
        <v/>
      </c>
      <c r="N669" s="3">
        <f>IF(ORIG!N669=0,"",ORIG!N669)</f>
        <v/>
      </c>
      <c r="O669" s="3">
        <f>IF(ORIG!O669=0,"",ORIG!O669)</f>
        <v/>
      </c>
      <c r="P669" s="3">
        <f>IF(ORIG!P669=0,"",ORIG!P669)</f>
        <v/>
      </c>
      <c r="Q669" s="3">
        <f>IF(ORIG!Q669=0,"",ORIG!Q669)</f>
        <v/>
      </c>
      <c r="R669" s="3">
        <f>IF(ORIG!R669=0,"",ORIG!R669)</f>
        <v/>
      </c>
      <c r="S669" s="3">
        <f>IF(ORIG!S669=0,"",ORIG!S669)</f>
        <v/>
      </c>
      <c r="T669" s="3">
        <f>IF(ORIG!T669=0,"",ORIG!T669)</f>
        <v/>
      </c>
      <c r="U669" s="3">
        <f>IF(ORIG!U669=0,"",ORIG!U669)</f>
        <v/>
      </c>
      <c r="V669" s="9">
        <f>IF(ORIG!V669=0,"",ORIG!V669)</f>
        <v/>
      </c>
      <c r="W669" s="9">
        <f>IF(ORIG!W669=0,"",ORIG!W669)</f>
        <v/>
      </c>
      <c r="X669" s="9">
        <f>IF(ORIG!X669=0,"",ORIG!X669)</f>
        <v/>
      </c>
      <c r="Y669" s="9">
        <f>IF(ORIG!Y669=0,"",ORIG!Y669)</f>
        <v/>
      </c>
      <c r="Z669" s="3">
        <f>SUMPRODUCT($B669:$Y669,$B$2649:$Y$2649)</f>
        <v/>
      </c>
      <c r="AA669" s="3">
        <f>SUMPRODUCT($B669:$Y669,$B$2655:$Y$2655)</f>
        <v/>
      </c>
      <c r="AC669" s="1">
        <f>A669</f>
        <v/>
      </c>
      <c r="AD669">
        <f>IF(ISNUMBER(V669),V669*($AB$1/V$2635),"")</f>
        <v/>
      </c>
      <c r="AE669">
        <f>IF(ISNUMBER(Z669),Z669*($AB$1/Z$2635),"")</f>
        <v/>
      </c>
      <c r="AF669" s="25">
        <f>IF(ISNUMBER(AD669+AE669),AD669+AE669,"")</f>
        <v/>
      </c>
      <c r="AH669" s="1">
        <f>A669</f>
        <v/>
      </c>
      <c r="AI669">
        <f>IF(ISNUMBER((1+V669)*AI668),(1+V669)*AI668,AI668)</f>
        <v/>
      </c>
      <c r="AJ669">
        <f>IF(ISNUMBER((1+Z669)*AJ668),(1+Z669)*AJ668,AJ668)</f>
        <v/>
      </c>
    </row>
    <row r="670">
      <c r="A670" s="1" t="n">
        <v>42972</v>
      </c>
      <c r="B670" s="3">
        <f>IF(ORIG!B670=0,"",ORIG!B670)</f>
        <v/>
      </c>
      <c r="C670" s="3">
        <f>IF(ORIG!C670=0,"",ORIG!C670)</f>
        <v/>
      </c>
      <c r="D670" s="3">
        <f>IF(ORIG!D670=0,"",ORIG!D670)</f>
        <v/>
      </c>
      <c r="E670" s="3">
        <f>IF(ORIG!E670=0,"",ORIG!E670)</f>
        <v/>
      </c>
      <c r="F670" s="3">
        <f>IF(ORIG!F670=0,"",ORIG!F670)</f>
        <v/>
      </c>
      <c r="G670" s="3">
        <f>IF(ORIG!G670=0,"",ORIG!G670)</f>
        <v/>
      </c>
      <c r="H670" s="3">
        <f>IF(ORIG!H670=0,"",ORIG!H670)</f>
        <v/>
      </c>
      <c r="I670" s="3">
        <f>IF(ORIG!I670=0,"",ORIG!I670)</f>
        <v/>
      </c>
      <c r="J670" s="3">
        <f>IF(ORIG!J670=0,"",ORIG!J670)</f>
        <v/>
      </c>
      <c r="K670" s="3">
        <f>IF(ORIG!K670=0,"",ORIG!K670)</f>
        <v/>
      </c>
      <c r="L670" s="3">
        <f>IF(ORIG!L670=0,"",ORIG!L670)</f>
        <v/>
      </c>
      <c r="M670" s="3">
        <f>IF(ORIG!M670=0,"",ORIG!M670)</f>
        <v/>
      </c>
      <c r="N670" s="3">
        <f>IF(ORIG!N670=0,"",ORIG!N670)</f>
        <v/>
      </c>
      <c r="O670" s="3">
        <f>IF(ORIG!O670=0,"",ORIG!O670)</f>
        <v/>
      </c>
      <c r="P670" s="3">
        <f>IF(ORIG!P670=0,"",ORIG!P670)</f>
        <v/>
      </c>
      <c r="Q670" s="3">
        <f>IF(ORIG!Q670=0,"",ORIG!Q670)</f>
        <v/>
      </c>
      <c r="R670" s="3">
        <f>IF(ORIG!R670=0,"",ORIG!R670)</f>
        <v/>
      </c>
      <c r="S670" s="3">
        <f>IF(ORIG!S670=0,"",ORIG!S670)</f>
        <v/>
      </c>
      <c r="T670" s="3">
        <f>IF(ORIG!T670=0,"",ORIG!T670)</f>
        <v/>
      </c>
      <c r="U670" s="3">
        <f>IF(ORIG!U670=0,"",ORIG!U670)</f>
        <v/>
      </c>
      <c r="V670" s="9">
        <f>IF(ORIG!V670=0,"",ORIG!V670)</f>
        <v/>
      </c>
      <c r="W670" s="9">
        <f>IF(ORIG!W670=0,"",ORIG!W670)</f>
        <v/>
      </c>
      <c r="X670" s="9">
        <f>IF(ORIG!X670=0,"",ORIG!X670)</f>
        <v/>
      </c>
      <c r="Y670" s="9">
        <f>IF(ORIG!Y670=0,"",ORIG!Y670)</f>
        <v/>
      </c>
      <c r="Z670" s="3">
        <f>SUMPRODUCT($B670:$Y670,$B$2649:$Y$2649)</f>
        <v/>
      </c>
      <c r="AA670" s="3">
        <f>SUMPRODUCT($B670:$Y670,$B$2655:$Y$2655)</f>
        <v/>
      </c>
      <c r="AC670" s="1">
        <f>A670</f>
        <v/>
      </c>
      <c r="AD670">
        <f>IF(ISNUMBER(V670),V670*($AB$1/V$2635),"")</f>
        <v/>
      </c>
      <c r="AE670">
        <f>IF(ISNUMBER(Z670),Z670*($AB$1/Z$2635),"")</f>
        <v/>
      </c>
      <c r="AF670" s="25">
        <f>IF(ISNUMBER(AD670+AE670),AD670+AE670,"")</f>
        <v/>
      </c>
      <c r="AH670" s="1">
        <f>A670</f>
        <v/>
      </c>
      <c r="AI670">
        <f>IF(ISNUMBER((1+V670)*AI669),(1+V670)*AI669,AI669)</f>
        <v/>
      </c>
      <c r="AJ670">
        <f>IF(ISNUMBER((1+Z670)*AJ669),(1+Z670)*AJ669,AJ669)</f>
        <v/>
      </c>
    </row>
    <row r="671">
      <c r="A671" s="1" t="n">
        <v>42975</v>
      </c>
      <c r="B671" s="3">
        <f>IF(ORIG!B671=0,"",ORIG!B671)</f>
        <v/>
      </c>
      <c r="C671" s="3">
        <f>IF(ORIG!C671=0,"",ORIG!C671)</f>
        <v/>
      </c>
      <c r="D671" s="3">
        <f>IF(ORIG!D671=0,"",ORIG!D671)</f>
        <v/>
      </c>
      <c r="E671" s="3">
        <f>IF(ORIG!E671=0,"",ORIG!E671)</f>
        <v/>
      </c>
      <c r="F671" s="3">
        <f>IF(ORIG!F671=0,"",ORIG!F671)</f>
        <v/>
      </c>
      <c r="G671" s="3">
        <f>IF(ORIG!G671=0,"",ORIG!G671)</f>
        <v/>
      </c>
      <c r="H671" s="3">
        <f>IF(ORIG!H671=0,"",ORIG!H671)</f>
        <v/>
      </c>
      <c r="I671" s="3">
        <f>IF(ORIG!I671=0,"",ORIG!I671)</f>
        <v/>
      </c>
      <c r="J671" s="3">
        <f>IF(ORIG!J671=0,"",ORIG!J671)</f>
        <v/>
      </c>
      <c r="K671" s="3">
        <f>IF(ORIG!K671=0,"",ORIG!K671)</f>
        <v/>
      </c>
      <c r="L671" s="3">
        <f>IF(ORIG!L671=0,"",ORIG!L671)</f>
        <v/>
      </c>
      <c r="M671" s="3">
        <f>IF(ORIG!M671=0,"",ORIG!M671)</f>
        <v/>
      </c>
      <c r="N671" s="3">
        <f>IF(ORIG!N671=0,"",ORIG!N671)</f>
        <v/>
      </c>
      <c r="O671" s="3">
        <f>IF(ORIG!O671=0,"",ORIG!O671)</f>
        <v/>
      </c>
      <c r="P671" s="3">
        <f>IF(ORIG!P671=0,"",ORIG!P671)</f>
        <v/>
      </c>
      <c r="Q671" s="3">
        <f>IF(ORIG!Q671=0,"",ORIG!Q671)</f>
        <v/>
      </c>
      <c r="R671" s="3">
        <f>IF(ORIG!R671=0,"",ORIG!R671)</f>
        <v/>
      </c>
      <c r="S671" s="3">
        <f>IF(ORIG!S671=0,"",ORIG!S671)</f>
        <v/>
      </c>
      <c r="T671" s="3">
        <f>IF(ORIG!T671=0,"",ORIG!T671)</f>
        <v/>
      </c>
      <c r="U671" s="3">
        <f>IF(ORIG!U671=0,"",ORIG!U671)</f>
        <v/>
      </c>
      <c r="V671" s="9">
        <f>IF(ORIG!V671=0,"",ORIG!V671)</f>
        <v/>
      </c>
      <c r="W671" s="9">
        <f>IF(ORIG!W671=0,"",ORIG!W671)</f>
        <v/>
      </c>
      <c r="X671" s="9">
        <f>IF(ORIG!X671=0,"",ORIG!X671)</f>
        <v/>
      </c>
      <c r="Y671" s="9">
        <f>IF(ORIG!Y671=0,"",ORIG!Y671)</f>
        <v/>
      </c>
      <c r="Z671" s="3">
        <f>SUMPRODUCT($B671:$Y671,$B$2649:$Y$2649)</f>
        <v/>
      </c>
      <c r="AA671" s="3">
        <f>SUMPRODUCT($B671:$Y671,$B$2655:$Y$2655)</f>
        <v/>
      </c>
      <c r="AC671" s="1">
        <f>A671</f>
        <v/>
      </c>
      <c r="AD671">
        <f>IF(ISNUMBER(V671),V671*($AB$1/V$2635),"")</f>
        <v/>
      </c>
      <c r="AE671">
        <f>IF(ISNUMBER(Z671),Z671*($AB$1/Z$2635),"")</f>
        <v/>
      </c>
      <c r="AF671" s="25">
        <f>IF(ISNUMBER(AD671+AE671),AD671+AE671,"")</f>
        <v/>
      </c>
      <c r="AH671" s="1">
        <f>A671</f>
        <v/>
      </c>
      <c r="AI671">
        <f>IF(ISNUMBER((1+V671)*AI670),(1+V671)*AI670,AI670)</f>
        <v/>
      </c>
      <c r="AJ671">
        <f>IF(ISNUMBER((1+Z671)*AJ670),(1+Z671)*AJ670,AJ670)</f>
        <v/>
      </c>
    </row>
    <row r="672">
      <c r="A672" s="1" t="n">
        <v>42976</v>
      </c>
      <c r="B672" s="3">
        <f>IF(ORIG!B672=0,"",ORIG!B672)</f>
        <v/>
      </c>
      <c r="C672" s="3">
        <f>IF(ORIG!C672=0,"",ORIG!C672)</f>
        <v/>
      </c>
      <c r="D672" s="3">
        <f>IF(ORIG!D672=0,"",ORIG!D672)</f>
        <v/>
      </c>
      <c r="E672" s="3">
        <f>IF(ORIG!E672=0,"",ORIG!E672)</f>
        <v/>
      </c>
      <c r="F672" s="3">
        <f>IF(ORIG!F672=0,"",ORIG!F672)</f>
        <v/>
      </c>
      <c r="G672" s="3">
        <f>IF(ORIG!G672=0,"",ORIG!G672)</f>
        <v/>
      </c>
      <c r="H672" s="3">
        <f>IF(ORIG!H672=0,"",ORIG!H672)</f>
        <v/>
      </c>
      <c r="I672" s="3">
        <f>IF(ORIG!I672=0,"",ORIG!I672)</f>
        <v/>
      </c>
      <c r="J672" s="3">
        <f>IF(ORIG!J672=0,"",ORIG!J672)</f>
        <v/>
      </c>
      <c r="K672" s="3">
        <f>IF(ORIG!K672=0,"",ORIG!K672)</f>
        <v/>
      </c>
      <c r="L672" s="3">
        <f>IF(ORIG!L672=0,"",ORIG!L672)</f>
        <v/>
      </c>
      <c r="M672" s="3">
        <f>IF(ORIG!M672=0,"",ORIG!M672)</f>
        <v/>
      </c>
      <c r="N672" s="3">
        <f>IF(ORIG!N672=0,"",ORIG!N672)</f>
        <v/>
      </c>
      <c r="O672" s="3">
        <f>IF(ORIG!O672=0,"",ORIG!O672)</f>
        <v/>
      </c>
      <c r="P672" s="3">
        <f>IF(ORIG!P672=0,"",ORIG!P672)</f>
        <v/>
      </c>
      <c r="Q672" s="3">
        <f>IF(ORIG!Q672=0,"",ORIG!Q672)</f>
        <v/>
      </c>
      <c r="R672" s="3">
        <f>IF(ORIG!R672=0,"",ORIG!R672)</f>
        <v/>
      </c>
      <c r="S672" s="3">
        <f>IF(ORIG!S672=0,"",ORIG!S672)</f>
        <v/>
      </c>
      <c r="T672" s="3">
        <f>IF(ORIG!T672=0,"",ORIG!T672)</f>
        <v/>
      </c>
      <c r="U672" s="3">
        <f>IF(ORIG!U672=0,"",ORIG!U672)</f>
        <v/>
      </c>
      <c r="V672" s="9">
        <f>IF(ORIG!V672=0,"",ORIG!V672)</f>
        <v/>
      </c>
      <c r="W672" s="9">
        <f>IF(ORIG!W672=0,"",ORIG!W672)</f>
        <v/>
      </c>
      <c r="X672" s="9">
        <f>IF(ORIG!X672=0,"",ORIG!X672)</f>
        <v/>
      </c>
      <c r="Y672" s="9">
        <f>IF(ORIG!Y672=0,"",ORIG!Y672)</f>
        <v/>
      </c>
      <c r="Z672" s="3">
        <f>SUMPRODUCT($B672:$Y672,$B$2649:$Y$2649)</f>
        <v/>
      </c>
      <c r="AA672" s="3">
        <f>SUMPRODUCT($B672:$Y672,$B$2655:$Y$2655)</f>
        <v/>
      </c>
      <c r="AC672" s="1">
        <f>A672</f>
        <v/>
      </c>
      <c r="AD672">
        <f>IF(ISNUMBER(V672),V672*($AB$1/V$2635),"")</f>
        <v/>
      </c>
      <c r="AE672">
        <f>IF(ISNUMBER(Z672),Z672*($AB$1/Z$2635),"")</f>
        <v/>
      </c>
      <c r="AF672" s="25">
        <f>IF(ISNUMBER(AD672+AE672),AD672+AE672,"")</f>
        <v/>
      </c>
      <c r="AH672" s="1">
        <f>A672</f>
        <v/>
      </c>
      <c r="AI672">
        <f>IF(ISNUMBER((1+V672)*AI671),(1+V672)*AI671,AI671)</f>
        <v/>
      </c>
      <c r="AJ672">
        <f>IF(ISNUMBER((1+Z672)*AJ671),(1+Z672)*AJ671,AJ671)</f>
        <v/>
      </c>
    </row>
    <row r="673">
      <c r="A673" s="1" t="n">
        <v>42977</v>
      </c>
      <c r="B673" s="3">
        <f>IF(ORIG!B673=0,"",ORIG!B673)</f>
        <v/>
      </c>
      <c r="C673" s="3">
        <f>IF(ORIG!C673=0,"",ORIG!C673)</f>
        <v/>
      </c>
      <c r="D673" s="3">
        <f>IF(ORIG!D673=0,"",ORIG!D673)</f>
        <v/>
      </c>
      <c r="E673" s="3">
        <f>IF(ORIG!E673=0,"",ORIG!E673)</f>
        <v/>
      </c>
      <c r="F673" s="3">
        <f>IF(ORIG!F673=0,"",ORIG!F673)</f>
        <v/>
      </c>
      <c r="G673" s="3">
        <f>IF(ORIG!G673=0,"",ORIG!G673)</f>
        <v/>
      </c>
      <c r="H673" s="3">
        <f>IF(ORIG!H673=0,"",ORIG!H673)</f>
        <v/>
      </c>
      <c r="I673" s="3">
        <f>IF(ORIG!I673=0,"",ORIG!I673)</f>
        <v/>
      </c>
      <c r="J673" s="3">
        <f>IF(ORIG!J673=0,"",ORIG!J673)</f>
        <v/>
      </c>
      <c r="K673" s="3">
        <f>IF(ORIG!K673=0,"",ORIG!K673)</f>
        <v/>
      </c>
      <c r="L673" s="3">
        <f>IF(ORIG!L673=0,"",ORIG!L673)</f>
        <v/>
      </c>
      <c r="M673" s="3">
        <f>IF(ORIG!M673=0,"",ORIG!M673)</f>
        <v/>
      </c>
      <c r="N673" s="3">
        <f>IF(ORIG!N673=0,"",ORIG!N673)</f>
        <v/>
      </c>
      <c r="O673" s="3">
        <f>IF(ORIG!O673=0,"",ORIG!O673)</f>
        <v/>
      </c>
      <c r="P673" s="3">
        <f>IF(ORIG!P673=0,"",ORIG!P673)</f>
        <v/>
      </c>
      <c r="Q673" s="3">
        <f>IF(ORIG!Q673=0,"",ORIG!Q673)</f>
        <v/>
      </c>
      <c r="R673" s="3">
        <f>IF(ORIG!R673=0,"",ORIG!R673)</f>
        <v/>
      </c>
      <c r="S673" s="3">
        <f>IF(ORIG!S673=0,"",ORIG!S673)</f>
        <v/>
      </c>
      <c r="T673" s="3">
        <f>IF(ORIG!T673=0,"",ORIG!T673)</f>
        <v/>
      </c>
      <c r="U673" s="3">
        <f>IF(ORIG!U673=0,"",ORIG!U673)</f>
        <v/>
      </c>
      <c r="V673" s="9">
        <f>IF(ORIG!V673=0,"",ORIG!V673)</f>
        <v/>
      </c>
      <c r="W673" s="9">
        <f>IF(ORIG!W673=0,"",ORIG!W673)</f>
        <v/>
      </c>
      <c r="X673" s="9">
        <f>IF(ORIG!X673=0,"",ORIG!X673)</f>
        <v/>
      </c>
      <c r="Y673" s="9">
        <f>IF(ORIG!Y673=0,"",ORIG!Y673)</f>
        <v/>
      </c>
      <c r="Z673" s="3">
        <f>SUMPRODUCT($B673:$Y673,$B$2649:$Y$2649)</f>
        <v/>
      </c>
      <c r="AA673" s="3">
        <f>SUMPRODUCT($B673:$Y673,$B$2655:$Y$2655)</f>
        <v/>
      </c>
      <c r="AC673" s="1">
        <f>A673</f>
        <v/>
      </c>
      <c r="AD673">
        <f>IF(ISNUMBER(V673),V673*($AB$1/V$2635),"")</f>
        <v/>
      </c>
      <c r="AE673">
        <f>IF(ISNUMBER(Z673),Z673*($AB$1/Z$2635),"")</f>
        <v/>
      </c>
      <c r="AF673" s="25">
        <f>IF(ISNUMBER(AD673+AE673),AD673+AE673,"")</f>
        <v/>
      </c>
      <c r="AH673" s="1">
        <f>A673</f>
        <v/>
      </c>
      <c r="AI673">
        <f>IF(ISNUMBER((1+V673)*AI672),(1+V673)*AI672,AI672)</f>
        <v/>
      </c>
      <c r="AJ673">
        <f>IF(ISNUMBER((1+Z673)*AJ672),(1+Z673)*AJ672,AJ672)</f>
        <v/>
      </c>
    </row>
    <row r="674">
      <c r="A674" s="1" t="n">
        <v>42978</v>
      </c>
      <c r="B674" s="3">
        <f>IF(ORIG!B674=0,"",ORIG!B674)</f>
        <v/>
      </c>
      <c r="C674" s="3">
        <f>IF(ORIG!C674=0,"",ORIG!C674)</f>
        <v/>
      </c>
      <c r="D674" s="3">
        <f>IF(ORIG!D674=0,"",ORIG!D674)</f>
        <v/>
      </c>
      <c r="E674" s="3">
        <f>IF(ORIG!E674=0,"",ORIG!E674)</f>
        <v/>
      </c>
      <c r="F674" s="3">
        <f>IF(ORIG!F674=0,"",ORIG!F674)</f>
        <v/>
      </c>
      <c r="G674" s="3">
        <f>IF(ORIG!G674=0,"",ORIG!G674)</f>
        <v/>
      </c>
      <c r="H674" s="3">
        <f>IF(ORIG!H674=0,"",ORIG!H674)</f>
        <v/>
      </c>
      <c r="I674" s="3">
        <f>IF(ORIG!I674=0,"",ORIG!I674)</f>
        <v/>
      </c>
      <c r="J674" s="3">
        <f>IF(ORIG!J674=0,"",ORIG!J674)</f>
        <v/>
      </c>
      <c r="K674" s="3">
        <f>IF(ORIG!K674=0,"",ORIG!K674)</f>
        <v/>
      </c>
      <c r="L674" s="3">
        <f>IF(ORIG!L674=0,"",ORIG!L674)</f>
        <v/>
      </c>
      <c r="M674" s="3">
        <f>IF(ORIG!M674=0,"",ORIG!M674)</f>
        <v/>
      </c>
      <c r="N674" s="3">
        <f>IF(ORIG!N674=0,"",ORIG!N674)</f>
        <v/>
      </c>
      <c r="O674" s="3">
        <f>IF(ORIG!O674=0,"",ORIG!O674)</f>
        <v/>
      </c>
      <c r="P674" s="3">
        <f>IF(ORIG!P674=0,"",ORIG!P674)</f>
        <v/>
      </c>
      <c r="Q674" s="3">
        <f>IF(ORIG!Q674=0,"",ORIG!Q674)</f>
        <v/>
      </c>
      <c r="R674" s="3">
        <f>IF(ORIG!R674=0,"",ORIG!R674)</f>
        <v/>
      </c>
      <c r="S674" s="3">
        <f>IF(ORIG!S674=0,"",ORIG!S674)</f>
        <v/>
      </c>
      <c r="T674" s="3">
        <f>IF(ORIG!T674=0,"",ORIG!T674)</f>
        <v/>
      </c>
      <c r="U674" s="3">
        <f>IF(ORIG!U674=0,"",ORIG!U674)</f>
        <v/>
      </c>
      <c r="V674" s="9">
        <f>IF(ORIG!V674=0,"",ORIG!V674)</f>
        <v/>
      </c>
      <c r="W674" s="9">
        <f>IF(ORIG!W674=0,"",ORIG!W674)</f>
        <v/>
      </c>
      <c r="X674" s="9">
        <f>IF(ORIG!X674=0,"",ORIG!X674)</f>
        <v/>
      </c>
      <c r="Y674" s="9">
        <f>IF(ORIG!Y674=0,"",ORIG!Y674)</f>
        <v/>
      </c>
      <c r="Z674" s="3">
        <f>SUMPRODUCT($B674:$Y674,$B$2649:$Y$2649)</f>
        <v/>
      </c>
      <c r="AA674" s="3">
        <f>SUMPRODUCT($B674:$Y674,$B$2655:$Y$2655)</f>
        <v/>
      </c>
      <c r="AC674" s="1">
        <f>A674</f>
        <v/>
      </c>
      <c r="AD674">
        <f>IF(ISNUMBER(V674),V674*($AB$1/V$2635),"")</f>
        <v/>
      </c>
      <c r="AE674">
        <f>IF(ISNUMBER(Z674),Z674*($AB$1/Z$2635),"")</f>
        <v/>
      </c>
      <c r="AF674" s="25">
        <f>IF(ISNUMBER(AD674+AE674),AD674+AE674,"")</f>
        <v/>
      </c>
      <c r="AH674" s="1">
        <f>A674</f>
        <v/>
      </c>
      <c r="AI674">
        <f>IF(ISNUMBER((1+V674)*AI673),(1+V674)*AI673,AI673)</f>
        <v/>
      </c>
      <c r="AJ674">
        <f>IF(ISNUMBER((1+Z674)*AJ673),(1+Z674)*AJ673,AJ673)</f>
        <v/>
      </c>
    </row>
    <row r="675">
      <c r="A675" s="1" t="n">
        <v>42979</v>
      </c>
      <c r="B675" s="3">
        <f>IF(ORIG!B675=0,"",ORIG!B675)</f>
        <v/>
      </c>
      <c r="C675" s="3">
        <f>IF(ORIG!C675=0,"",ORIG!C675)</f>
        <v/>
      </c>
      <c r="D675" s="3">
        <f>IF(ORIG!D675=0,"",ORIG!D675)</f>
        <v/>
      </c>
      <c r="E675" s="3">
        <f>IF(ORIG!E675=0,"",ORIG!E675)</f>
        <v/>
      </c>
      <c r="F675" s="3">
        <f>IF(ORIG!F675=0,"",ORIG!F675)</f>
        <v/>
      </c>
      <c r="G675" s="3">
        <f>IF(ORIG!G675=0,"",ORIG!G675)</f>
        <v/>
      </c>
      <c r="H675" s="3">
        <f>IF(ORIG!H675=0,"",ORIG!H675)</f>
        <v/>
      </c>
      <c r="I675" s="3">
        <f>IF(ORIG!I675=0,"",ORIG!I675)</f>
        <v/>
      </c>
      <c r="J675" s="3">
        <f>IF(ORIG!J675=0,"",ORIG!J675)</f>
        <v/>
      </c>
      <c r="K675" s="3">
        <f>IF(ORIG!K675=0,"",ORIG!K675)</f>
        <v/>
      </c>
      <c r="L675" s="3">
        <f>IF(ORIG!L675=0,"",ORIG!L675)</f>
        <v/>
      </c>
      <c r="M675" s="3">
        <f>IF(ORIG!M675=0,"",ORIG!M675)</f>
        <v/>
      </c>
      <c r="N675" s="3">
        <f>IF(ORIG!N675=0,"",ORIG!N675)</f>
        <v/>
      </c>
      <c r="O675" s="3">
        <f>IF(ORIG!O675=0,"",ORIG!O675)</f>
        <v/>
      </c>
      <c r="P675" s="3">
        <f>IF(ORIG!P675=0,"",ORIG!P675)</f>
        <v/>
      </c>
      <c r="Q675" s="3">
        <f>IF(ORIG!Q675=0,"",ORIG!Q675)</f>
        <v/>
      </c>
      <c r="R675" s="3">
        <f>IF(ORIG!R675=0,"",ORIG!R675)</f>
        <v/>
      </c>
      <c r="S675" s="3">
        <f>IF(ORIG!S675=0,"",ORIG!S675)</f>
        <v/>
      </c>
      <c r="T675" s="3">
        <f>IF(ORIG!T675=0,"",ORIG!T675)</f>
        <v/>
      </c>
      <c r="U675" s="3">
        <f>IF(ORIG!U675=0,"",ORIG!U675)</f>
        <v/>
      </c>
      <c r="V675" s="9">
        <f>IF(ORIG!V675=0,"",ORIG!V675)</f>
        <v/>
      </c>
      <c r="W675" s="9">
        <f>IF(ORIG!W675=0,"",ORIG!W675)</f>
        <v/>
      </c>
      <c r="X675" s="9">
        <f>IF(ORIG!X675=0,"",ORIG!X675)</f>
        <v/>
      </c>
      <c r="Y675" s="9">
        <f>IF(ORIG!Y675=0,"",ORIG!Y675)</f>
        <v/>
      </c>
      <c r="Z675" s="3">
        <f>SUMPRODUCT($B675:$Y675,$B$2649:$Y$2649)</f>
        <v/>
      </c>
      <c r="AA675" s="3">
        <f>SUMPRODUCT($B675:$Y675,$B$2655:$Y$2655)</f>
        <v/>
      </c>
      <c r="AC675" s="1">
        <f>A675</f>
        <v/>
      </c>
      <c r="AD675">
        <f>IF(ISNUMBER(V675),V675*($AB$1/V$2635),"")</f>
        <v/>
      </c>
      <c r="AE675">
        <f>IF(ISNUMBER(Z675),Z675*($AB$1/Z$2635),"")</f>
        <v/>
      </c>
      <c r="AF675" s="25">
        <f>IF(ISNUMBER(AD675+AE675),AD675+AE675,"")</f>
        <v/>
      </c>
      <c r="AH675" s="1">
        <f>A675</f>
        <v/>
      </c>
      <c r="AI675">
        <f>IF(ISNUMBER((1+V675)*AI674),(1+V675)*AI674,AI674)</f>
        <v/>
      </c>
      <c r="AJ675">
        <f>IF(ISNUMBER((1+Z675)*AJ674),(1+Z675)*AJ674,AJ674)</f>
        <v/>
      </c>
    </row>
    <row r="676">
      <c r="A676" s="1" t="n">
        <v>42983</v>
      </c>
      <c r="B676" s="3">
        <f>IF(ORIG!B676=0,"",ORIG!B676)</f>
        <v/>
      </c>
      <c r="C676" s="3">
        <f>IF(ORIG!C676=0,"",ORIG!C676)</f>
        <v/>
      </c>
      <c r="D676" s="3">
        <f>IF(ORIG!D676=0,"",ORIG!D676)</f>
        <v/>
      </c>
      <c r="E676" s="3">
        <f>IF(ORIG!E676=0,"",ORIG!E676)</f>
        <v/>
      </c>
      <c r="F676" s="3">
        <f>IF(ORIG!F676=0,"",ORIG!F676)</f>
        <v/>
      </c>
      <c r="G676" s="3">
        <f>IF(ORIG!G676=0,"",ORIG!G676)</f>
        <v/>
      </c>
      <c r="H676" s="3">
        <f>IF(ORIG!H676=0,"",ORIG!H676)</f>
        <v/>
      </c>
      <c r="I676" s="3">
        <f>IF(ORIG!I676=0,"",ORIG!I676)</f>
        <v/>
      </c>
      <c r="J676" s="3">
        <f>IF(ORIG!J676=0,"",ORIG!J676)</f>
        <v/>
      </c>
      <c r="K676" s="3">
        <f>IF(ORIG!K676=0,"",ORIG!K676)</f>
        <v/>
      </c>
      <c r="L676" s="3">
        <f>IF(ORIG!L676=0,"",ORIG!L676)</f>
        <v/>
      </c>
      <c r="M676" s="3">
        <f>IF(ORIG!M676=0,"",ORIG!M676)</f>
        <v/>
      </c>
      <c r="N676" s="3">
        <f>IF(ORIG!N676=0,"",ORIG!N676)</f>
        <v/>
      </c>
      <c r="O676" s="3">
        <f>IF(ORIG!O676=0,"",ORIG!O676)</f>
        <v/>
      </c>
      <c r="P676" s="3">
        <f>IF(ORIG!P676=0,"",ORIG!P676)</f>
        <v/>
      </c>
      <c r="Q676" s="3">
        <f>IF(ORIG!Q676=0,"",ORIG!Q676)</f>
        <v/>
      </c>
      <c r="R676" s="3">
        <f>IF(ORIG!R676=0,"",ORIG!R676)</f>
        <v/>
      </c>
      <c r="S676" s="3">
        <f>IF(ORIG!S676=0,"",ORIG!S676)</f>
        <v/>
      </c>
      <c r="T676" s="3">
        <f>IF(ORIG!T676=0,"",ORIG!T676)</f>
        <v/>
      </c>
      <c r="U676" s="3">
        <f>IF(ORIG!U676=0,"",ORIG!U676)</f>
        <v/>
      </c>
      <c r="V676" s="9">
        <f>IF(ORIG!V676=0,"",ORIG!V676)</f>
        <v/>
      </c>
      <c r="W676" s="9">
        <f>IF(ORIG!W676=0,"",ORIG!W676)</f>
        <v/>
      </c>
      <c r="X676" s="9">
        <f>IF(ORIG!X676=0,"",ORIG!X676)</f>
        <v/>
      </c>
      <c r="Y676" s="9">
        <f>IF(ORIG!Y676=0,"",ORIG!Y676)</f>
        <v/>
      </c>
      <c r="Z676" s="3">
        <f>SUMPRODUCT($B676:$Y676,$B$2649:$Y$2649)</f>
        <v/>
      </c>
      <c r="AA676" s="3">
        <f>SUMPRODUCT($B676:$Y676,$B$2655:$Y$2655)</f>
        <v/>
      </c>
      <c r="AC676" s="1">
        <f>A676</f>
        <v/>
      </c>
      <c r="AD676">
        <f>IF(ISNUMBER(V676),V676*($AB$1/V$2635),"")</f>
        <v/>
      </c>
      <c r="AE676">
        <f>IF(ISNUMBER(Z676),Z676*($AB$1/Z$2635),"")</f>
        <v/>
      </c>
      <c r="AF676" s="25">
        <f>IF(ISNUMBER(AD676+AE676),AD676+AE676,"")</f>
        <v/>
      </c>
      <c r="AH676" s="1">
        <f>A676</f>
        <v/>
      </c>
      <c r="AI676">
        <f>IF(ISNUMBER((1+V676)*AI675),(1+V676)*AI675,AI675)</f>
        <v/>
      </c>
      <c r="AJ676">
        <f>IF(ISNUMBER((1+Z676)*AJ675),(1+Z676)*AJ675,AJ675)</f>
        <v/>
      </c>
    </row>
    <row r="677">
      <c r="A677" s="1" t="n">
        <v>42984</v>
      </c>
      <c r="B677" s="3">
        <f>IF(ORIG!B677=0,"",ORIG!B677)</f>
        <v/>
      </c>
      <c r="C677" s="3">
        <f>IF(ORIG!C677=0,"",ORIG!C677)</f>
        <v/>
      </c>
      <c r="D677" s="3">
        <f>IF(ORIG!D677=0,"",ORIG!D677)</f>
        <v/>
      </c>
      <c r="E677" s="3">
        <f>IF(ORIG!E677=0,"",ORIG!E677)</f>
        <v/>
      </c>
      <c r="F677" s="3">
        <f>IF(ORIG!F677=0,"",ORIG!F677)</f>
        <v/>
      </c>
      <c r="G677" s="3">
        <f>IF(ORIG!G677=0,"",ORIG!G677)</f>
        <v/>
      </c>
      <c r="H677" s="3">
        <f>IF(ORIG!H677=0,"",ORIG!H677)</f>
        <v/>
      </c>
      <c r="I677" s="3">
        <f>IF(ORIG!I677=0,"",ORIG!I677)</f>
        <v/>
      </c>
      <c r="J677" s="3">
        <f>IF(ORIG!J677=0,"",ORIG!J677)</f>
        <v/>
      </c>
      <c r="K677" s="3">
        <f>IF(ORIG!K677=0,"",ORIG!K677)</f>
        <v/>
      </c>
      <c r="L677" s="3">
        <f>IF(ORIG!L677=0,"",ORIG!L677)</f>
        <v/>
      </c>
      <c r="M677" s="3">
        <f>IF(ORIG!M677=0,"",ORIG!M677)</f>
        <v/>
      </c>
      <c r="N677" s="3">
        <f>IF(ORIG!N677=0,"",ORIG!N677)</f>
        <v/>
      </c>
      <c r="O677" s="3">
        <f>IF(ORIG!O677=0,"",ORIG!O677)</f>
        <v/>
      </c>
      <c r="P677" s="3">
        <f>IF(ORIG!P677=0,"",ORIG!P677)</f>
        <v/>
      </c>
      <c r="Q677" s="3">
        <f>IF(ORIG!Q677=0,"",ORIG!Q677)</f>
        <v/>
      </c>
      <c r="R677" s="3">
        <f>IF(ORIG!R677=0,"",ORIG!R677)</f>
        <v/>
      </c>
      <c r="S677" s="3">
        <f>IF(ORIG!S677=0,"",ORIG!S677)</f>
        <v/>
      </c>
      <c r="T677" s="3">
        <f>IF(ORIG!T677=0,"",ORIG!T677)</f>
        <v/>
      </c>
      <c r="U677" s="3">
        <f>IF(ORIG!U677=0,"",ORIG!U677)</f>
        <v/>
      </c>
      <c r="V677" s="9">
        <f>IF(ORIG!V677=0,"",ORIG!V677)</f>
        <v/>
      </c>
      <c r="W677" s="9">
        <f>IF(ORIG!W677=0,"",ORIG!W677)</f>
        <v/>
      </c>
      <c r="X677" s="9">
        <f>IF(ORIG!X677=0,"",ORIG!X677)</f>
        <v/>
      </c>
      <c r="Y677" s="9">
        <f>IF(ORIG!Y677=0,"",ORIG!Y677)</f>
        <v/>
      </c>
      <c r="Z677" s="3">
        <f>SUMPRODUCT($B677:$Y677,$B$2649:$Y$2649)</f>
        <v/>
      </c>
      <c r="AA677" s="3">
        <f>SUMPRODUCT($B677:$Y677,$B$2655:$Y$2655)</f>
        <v/>
      </c>
      <c r="AC677" s="1">
        <f>A677</f>
        <v/>
      </c>
      <c r="AD677">
        <f>IF(ISNUMBER(V677),V677*($AB$1/V$2635),"")</f>
        <v/>
      </c>
      <c r="AE677">
        <f>IF(ISNUMBER(Z677),Z677*($AB$1/Z$2635),"")</f>
        <v/>
      </c>
      <c r="AF677" s="25">
        <f>IF(ISNUMBER(AD677+AE677),AD677+AE677,"")</f>
        <v/>
      </c>
      <c r="AH677" s="1">
        <f>A677</f>
        <v/>
      </c>
      <c r="AI677">
        <f>IF(ISNUMBER((1+V677)*AI676),(1+V677)*AI676,AI676)</f>
        <v/>
      </c>
      <c r="AJ677">
        <f>IF(ISNUMBER((1+Z677)*AJ676),(1+Z677)*AJ676,AJ676)</f>
        <v/>
      </c>
    </row>
    <row r="678">
      <c r="A678" s="1" t="n">
        <v>42985</v>
      </c>
      <c r="B678" s="3">
        <f>IF(ORIG!B678=0,"",ORIG!B678)</f>
        <v/>
      </c>
      <c r="C678" s="3">
        <f>IF(ORIG!C678=0,"",ORIG!C678)</f>
        <v/>
      </c>
      <c r="D678" s="3">
        <f>IF(ORIG!D678=0,"",ORIG!D678)</f>
        <v/>
      </c>
      <c r="E678" s="3">
        <f>IF(ORIG!E678=0,"",ORIG!E678)</f>
        <v/>
      </c>
      <c r="F678" s="3">
        <f>IF(ORIG!F678=0,"",ORIG!F678)</f>
        <v/>
      </c>
      <c r="G678" s="3">
        <f>IF(ORIG!G678=0,"",ORIG!G678)</f>
        <v/>
      </c>
      <c r="H678" s="3">
        <f>IF(ORIG!H678=0,"",ORIG!H678)</f>
        <v/>
      </c>
      <c r="I678" s="3">
        <f>IF(ORIG!I678=0,"",ORIG!I678)</f>
        <v/>
      </c>
      <c r="J678" s="3">
        <f>IF(ORIG!J678=0,"",ORIG!J678)</f>
        <v/>
      </c>
      <c r="K678" s="3">
        <f>IF(ORIG!K678=0,"",ORIG!K678)</f>
        <v/>
      </c>
      <c r="L678" s="3">
        <f>IF(ORIG!L678=0,"",ORIG!L678)</f>
        <v/>
      </c>
      <c r="M678" s="3">
        <f>IF(ORIG!M678=0,"",ORIG!M678)</f>
        <v/>
      </c>
      <c r="N678" s="3">
        <f>IF(ORIG!N678=0,"",ORIG!N678)</f>
        <v/>
      </c>
      <c r="O678" s="3">
        <f>IF(ORIG!O678=0,"",ORIG!O678)</f>
        <v/>
      </c>
      <c r="P678" s="3">
        <f>IF(ORIG!P678=0,"",ORIG!P678)</f>
        <v/>
      </c>
      <c r="Q678" s="3">
        <f>IF(ORIG!Q678=0,"",ORIG!Q678)</f>
        <v/>
      </c>
      <c r="R678" s="3">
        <f>IF(ORIG!R678=0,"",ORIG!R678)</f>
        <v/>
      </c>
      <c r="S678" s="3">
        <f>IF(ORIG!S678=0,"",ORIG!S678)</f>
        <v/>
      </c>
      <c r="T678" s="3">
        <f>IF(ORIG!T678=0,"",ORIG!T678)</f>
        <v/>
      </c>
      <c r="U678" s="3">
        <f>IF(ORIG!U678=0,"",ORIG!U678)</f>
        <v/>
      </c>
      <c r="V678" s="9">
        <f>IF(ORIG!V678=0,"",ORIG!V678)</f>
        <v/>
      </c>
      <c r="W678" s="9">
        <f>IF(ORIG!W678=0,"",ORIG!W678)</f>
        <v/>
      </c>
      <c r="X678" s="9">
        <f>IF(ORIG!X678=0,"",ORIG!X678)</f>
        <v/>
      </c>
      <c r="Y678" s="9">
        <f>IF(ORIG!Y678=0,"",ORIG!Y678)</f>
        <v/>
      </c>
      <c r="Z678" s="3">
        <f>SUMPRODUCT($B678:$Y678,$B$2649:$Y$2649)</f>
        <v/>
      </c>
      <c r="AA678" s="3">
        <f>SUMPRODUCT($B678:$Y678,$B$2655:$Y$2655)</f>
        <v/>
      </c>
      <c r="AC678" s="1">
        <f>A678</f>
        <v/>
      </c>
      <c r="AD678">
        <f>IF(ISNUMBER(V678),V678*($AB$1/V$2635),"")</f>
        <v/>
      </c>
      <c r="AE678">
        <f>IF(ISNUMBER(Z678),Z678*($AB$1/Z$2635),"")</f>
        <v/>
      </c>
      <c r="AF678" s="25">
        <f>IF(ISNUMBER(AD678+AE678),AD678+AE678,"")</f>
        <v/>
      </c>
      <c r="AH678" s="1">
        <f>A678</f>
        <v/>
      </c>
      <c r="AI678">
        <f>IF(ISNUMBER((1+V678)*AI677),(1+V678)*AI677,AI677)</f>
        <v/>
      </c>
      <c r="AJ678">
        <f>IF(ISNUMBER((1+Z678)*AJ677),(1+Z678)*AJ677,AJ677)</f>
        <v/>
      </c>
    </row>
    <row r="679">
      <c r="A679" s="1" t="n">
        <v>42986</v>
      </c>
      <c r="B679" s="3">
        <f>IF(ORIG!B679=0,"",ORIG!B679)</f>
        <v/>
      </c>
      <c r="C679" s="3">
        <f>IF(ORIG!C679=0,"",ORIG!C679)</f>
        <v/>
      </c>
      <c r="D679" s="3">
        <f>IF(ORIG!D679=0,"",ORIG!D679)</f>
        <v/>
      </c>
      <c r="E679" s="3">
        <f>IF(ORIG!E679=0,"",ORIG!E679)</f>
        <v/>
      </c>
      <c r="F679" s="3">
        <f>IF(ORIG!F679=0,"",ORIG!F679)</f>
        <v/>
      </c>
      <c r="G679" s="3">
        <f>IF(ORIG!G679=0,"",ORIG!G679)</f>
        <v/>
      </c>
      <c r="H679" s="3">
        <f>IF(ORIG!H679=0,"",ORIG!H679)</f>
        <v/>
      </c>
      <c r="I679" s="3">
        <f>IF(ORIG!I679=0,"",ORIG!I679)</f>
        <v/>
      </c>
      <c r="J679" s="3">
        <f>IF(ORIG!J679=0,"",ORIG!J679)</f>
        <v/>
      </c>
      <c r="K679" s="3">
        <f>IF(ORIG!K679=0,"",ORIG!K679)</f>
        <v/>
      </c>
      <c r="L679" s="3">
        <f>IF(ORIG!L679=0,"",ORIG!L679)</f>
        <v/>
      </c>
      <c r="M679" s="3">
        <f>IF(ORIG!M679=0,"",ORIG!M679)</f>
        <v/>
      </c>
      <c r="N679" s="3">
        <f>IF(ORIG!N679=0,"",ORIG!N679)</f>
        <v/>
      </c>
      <c r="O679" s="3">
        <f>IF(ORIG!O679=0,"",ORIG!O679)</f>
        <v/>
      </c>
      <c r="P679" s="3">
        <f>IF(ORIG!P679=0,"",ORIG!P679)</f>
        <v/>
      </c>
      <c r="Q679" s="3">
        <f>IF(ORIG!Q679=0,"",ORIG!Q679)</f>
        <v/>
      </c>
      <c r="R679" s="3">
        <f>IF(ORIG!R679=0,"",ORIG!R679)</f>
        <v/>
      </c>
      <c r="S679" s="3">
        <f>IF(ORIG!S679=0,"",ORIG!S679)</f>
        <v/>
      </c>
      <c r="T679" s="3">
        <f>IF(ORIG!T679=0,"",ORIG!T679)</f>
        <v/>
      </c>
      <c r="U679" s="3">
        <f>IF(ORIG!U679=0,"",ORIG!U679)</f>
        <v/>
      </c>
      <c r="V679" s="9">
        <f>IF(ORIG!V679=0,"",ORIG!V679)</f>
        <v/>
      </c>
      <c r="W679" s="9">
        <f>IF(ORIG!W679=0,"",ORIG!W679)</f>
        <v/>
      </c>
      <c r="X679" s="9">
        <f>IF(ORIG!X679=0,"",ORIG!X679)</f>
        <v/>
      </c>
      <c r="Y679" s="9">
        <f>IF(ORIG!Y679=0,"",ORIG!Y679)</f>
        <v/>
      </c>
      <c r="Z679" s="3">
        <f>SUMPRODUCT($B679:$Y679,$B$2649:$Y$2649)</f>
        <v/>
      </c>
      <c r="AA679" s="3">
        <f>SUMPRODUCT($B679:$Y679,$B$2655:$Y$2655)</f>
        <v/>
      </c>
      <c r="AC679" s="1">
        <f>A679</f>
        <v/>
      </c>
      <c r="AD679">
        <f>IF(ISNUMBER(V679),V679*($AB$1/V$2635),"")</f>
        <v/>
      </c>
      <c r="AE679">
        <f>IF(ISNUMBER(Z679),Z679*($AB$1/Z$2635),"")</f>
        <v/>
      </c>
      <c r="AF679" s="25">
        <f>IF(ISNUMBER(AD679+AE679),AD679+AE679,"")</f>
        <v/>
      </c>
      <c r="AH679" s="1">
        <f>A679</f>
        <v/>
      </c>
      <c r="AI679">
        <f>IF(ISNUMBER((1+V679)*AI678),(1+V679)*AI678,AI678)</f>
        <v/>
      </c>
      <c r="AJ679">
        <f>IF(ISNUMBER((1+Z679)*AJ678),(1+Z679)*AJ678,AJ678)</f>
        <v/>
      </c>
    </row>
    <row r="680">
      <c r="A680" s="1" t="n">
        <v>42989</v>
      </c>
      <c r="B680" s="3">
        <f>IF(ORIG!B680=0,"",ORIG!B680)</f>
        <v/>
      </c>
      <c r="C680" s="3">
        <f>IF(ORIG!C680=0,"",ORIG!C680)</f>
        <v/>
      </c>
      <c r="D680" s="3">
        <f>IF(ORIG!D680=0,"",ORIG!D680)</f>
        <v/>
      </c>
      <c r="E680" s="3">
        <f>IF(ORIG!E680=0,"",ORIG!E680)</f>
        <v/>
      </c>
      <c r="F680" s="3">
        <f>IF(ORIG!F680=0,"",ORIG!F680)</f>
        <v/>
      </c>
      <c r="G680" s="3">
        <f>IF(ORIG!G680=0,"",ORIG!G680)</f>
        <v/>
      </c>
      <c r="H680" s="3">
        <f>IF(ORIG!H680=0,"",ORIG!H680)</f>
        <v/>
      </c>
      <c r="I680" s="3">
        <f>IF(ORIG!I680=0,"",ORIG!I680)</f>
        <v/>
      </c>
      <c r="J680" s="3">
        <f>IF(ORIG!J680=0,"",ORIG!J680)</f>
        <v/>
      </c>
      <c r="K680" s="3">
        <f>IF(ORIG!K680=0,"",ORIG!K680)</f>
        <v/>
      </c>
      <c r="L680" s="3">
        <f>IF(ORIG!L680=0,"",ORIG!L680)</f>
        <v/>
      </c>
      <c r="M680" s="3">
        <f>IF(ORIG!M680=0,"",ORIG!M680)</f>
        <v/>
      </c>
      <c r="N680" s="3">
        <f>IF(ORIG!N680=0,"",ORIG!N680)</f>
        <v/>
      </c>
      <c r="O680" s="3">
        <f>IF(ORIG!O680=0,"",ORIG!O680)</f>
        <v/>
      </c>
      <c r="P680" s="3">
        <f>IF(ORIG!P680=0,"",ORIG!P680)</f>
        <v/>
      </c>
      <c r="Q680" s="3">
        <f>IF(ORIG!Q680=0,"",ORIG!Q680)</f>
        <v/>
      </c>
      <c r="R680" s="3">
        <f>IF(ORIG!R680=0,"",ORIG!R680)</f>
        <v/>
      </c>
      <c r="S680" s="3">
        <f>IF(ORIG!S680=0,"",ORIG!S680)</f>
        <v/>
      </c>
      <c r="T680" s="3">
        <f>IF(ORIG!T680=0,"",ORIG!T680)</f>
        <v/>
      </c>
      <c r="U680" s="3">
        <f>IF(ORIG!U680=0,"",ORIG!U680)</f>
        <v/>
      </c>
      <c r="V680" s="9">
        <f>IF(ORIG!V680=0,"",ORIG!V680)</f>
        <v/>
      </c>
      <c r="W680" s="9">
        <f>IF(ORIG!W680=0,"",ORIG!W680)</f>
        <v/>
      </c>
      <c r="X680" s="9">
        <f>IF(ORIG!X680=0,"",ORIG!X680)</f>
        <v/>
      </c>
      <c r="Y680" s="9">
        <f>IF(ORIG!Y680=0,"",ORIG!Y680)</f>
        <v/>
      </c>
      <c r="Z680" s="3">
        <f>SUMPRODUCT($B680:$Y680,$B$2649:$Y$2649)</f>
        <v/>
      </c>
      <c r="AA680" s="3">
        <f>SUMPRODUCT($B680:$Y680,$B$2655:$Y$2655)</f>
        <v/>
      </c>
      <c r="AC680" s="1">
        <f>A680</f>
        <v/>
      </c>
      <c r="AD680">
        <f>IF(ISNUMBER(V680),V680*($AB$1/V$2635),"")</f>
        <v/>
      </c>
      <c r="AE680">
        <f>IF(ISNUMBER(Z680),Z680*($AB$1/Z$2635),"")</f>
        <v/>
      </c>
      <c r="AF680" s="25">
        <f>IF(ISNUMBER(AD680+AE680),AD680+AE680,"")</f>
        <v/>
      </c>
      <c r="AH680" s="1">
        <f>A680</f>
        <v/>
      </c>
      <c r="AI680">
        <f>IF(ISNUMBER((1+V680)*AI679),(1+V680)*AI679,AI679)</f>
        <v/>
      </c>
      <c r="AJ680">
        <f>IF(ISNUMBER((1+Z680)*AJ679),(1+Z680)*AJ679,AJ679)</f>
        <v/>
      </c>
    </row>
    <row r="681">
      <c r="A681" s="1" t="n">
        <v>42990</v>
      </c>
      <c r="B681" s="3">
        <f>IF(ORIG!B681=0,"",ORIG!B681)</f>
        <v/>
      </c>
      <c r="C681" s="3">
        <f>IF(ORIG!C681=0,"",ORIG!C681)</f>
        <v/>
      </c>
      <c r="D681" s="3">
        <f>IF(ORIG!D681=0,"",ORIG!D681)</f>
        <v/>
      </c>
      <c r="E681" s="3">
        <f>IF(ORIG!E681=0,"",ORIG!E681)</f>
        <v/>
      </c>
      <c r="F681" s="3">
        <f>IF(ORIG!F681=0,"",ORIG!F681)</f>
        <v/>
      </c>
      <c r="G681" s="3">
        <f>IF(ORIG!G681=0,"",ORIG!G681)</f>
        <v/>
      </c>
      <c r="H681" s="3">
        <f>IF(ORIG!H681=0,"",ORIG!H681)</f>
        <v/>
      </c>
      <c r="I681" s="3">
        <f>IF(ORIG!I681=0,"",ORIG!I681)</f>
        <v/>
      </c>
      <c r="J681" s="3">
        <f>IF(ORIG!J681=0,"",ORIG!J681)</f>
        <v/>
      </c>
      <c r="K681" s="3">
        <f>IF(ORIG!K681=0,"",ORIG!K681)</f>
        <v/>
      </c>
      <c r="L681" s="3">
        <f>IF(ORIG!L681=0,"",ORIG!L681)</f>
        <v/>
      </c>
      <c r="M681" s="3">
        <f>IF(ORIG!M681=0,"",ORIG!M681)</f>
        <v/>
      </c>
      <c r="N681" s="3">
        <f>IF(ORIG!N681=0,"",ORIG!N681)</f>
        <v/>
      </c>
      <c r="O681" s="3">
        <f>IF(ORIG!O681=0,"",ORIG!O681)</f>
        <v/>
      </c>
      <c r="P681" s="3">
        <f>IF(ORIG!P681=0,"",ORIG!P681)</f>
        <v/>
      </c>
      <c r="Q681" s="3">
        <f>IF(ORIG!Q681=0,"",ORIG!Q681)</f>
        <v/>
      </c>
      <c r="R681" s="3">
        <f>IF(ORIG!R681=0,"",ORIG!R681)</f>
        <v/>
      </c>
      <c r="S681" s="3">
        <f>IF(ORIG!S681=0,"",ORIG!S681)</f>
        <v/>
      </c>
      <c r="T681" s="3">
        <f>IF(ORIG!T681=0,"",ORIG!T681)</f>
        <v/>
      </c>
      <c r="U681" s="3">
        <f>IF(ORIG!U681=0,"",ORIG!U681)</f>
        <v/>
      </c>
      <c r="V681" s="9">
        <f>IF(ORIG!V681=0,"",ORIG!V681)</f>
        <v/>
      </c>
      <c r="W681" s="9">
        <f>IF(ORIG!W681=0,"",ORIG!W681)</f>
        <v/>
      </c>
      <c r="X681" s="9">
        <f>IF(ORIG!X681=0,"",ORIG!X681)</f>
        <v/>
      </c>
      <c r="Y681" s="9">
        <f>IF(ORIG!Y681=0,"",ORIG!Y681)</f>
        <v/>
      </c>
      <c r="Z681" s="3">
        <f>SUMPRODUCT($B681:$Y681,$B$2649:$Y$2649)</f>
        <v/>
      </c>
      <c r="AA681" s="3">
        <f>SUMPRODUCT($B681:$Y681,$B$2655:$Y$2655)</f>
        <v/>
      </c>
      <c r="AC681" s="1">
        <f>A681</f>
        <v/>
      </c>
      <c r="AD681">
        <f>IF(ISNUMBER(V681),V681*($AB$1/V$2635),"")</f>
        <v/>
      </c>
      <c r="AE681">
        <f>IF(ISNUMBER(Z681),Z681*($AB$1/Z$2635),"")</f>
        <v/>
      </c>
      <c r="AF681" s="25">
        <f>IF(ISNUMBER(AD681+AE681),AD681+AE681,"")</f>
        <v/>
      </c>
      <c r="AH681" s="1">
        <f>A681</f>
        <v/>
      </c>
      <c r="AI681">
        <f>IF(ISNUMBER((1+V681)*AI680),(1+V681)*AI680,AI680)</f>
        <v/>
      </c>
      <c r="AJ681">
        <f>IF(ISNUMBER((1+Z681)*AJ680),(1+Z681)*AJ680,AJ680)</f>
        <v/>
      </c>
    </row>
    <row r="682">
      <c r="A682" s="1" t="n">
        <v>42991</v>
      </c>
      <c r="B682" s="3">
        <f>IF(ORIG!B682=0,"",ORIG!B682)</f>
        <v/>
      </c>
      <c r="C682" s="3">
        <f>IF(ORIG!C682=0,"",ORIG!C682)</f>
        <v/>
      </c>
      <c r="D682" s="3">
        <f>IF(ORIG!D682=0,"",ORIG!D682)</f>
        <v/>
      </c>
      <c r="E682" s="3">
        <f>IF(ORIG!E682=0,"",ORIG!E682)</f>
        <v/>
      </c>
      <c r="F682" s="3">
        <f>IF(ORIG!F682=0,"",ORIG!F682)</f>
        <v/>
      </c>
      <c r="G682" s="3">
        <f>IF(ORIG!G682=0,"",ORIG!G682)</f>
        <v/>
      </c>
      <c r="H682" s="3">
        <f>IF(ORIG!H682=0,"",ORIG!H682)</f>
        <v/>
      </c>
      <c r="I682" s="3">
        <f>IF(ORIG!I682=0,"",ORIG!I682)</f>
        <v/>
      </c>
      <c r="J682" s="3">
        <f>IF(ORIG!J682=0,"",ORIG!J682)</f>
        <v/>
      </c>
      <c r="K682" s="3">
        <f>IF(ORIG!K682=0,"",ORIG!K682)</f>
        <v/>
      </c>
      <c r="L682" s="3">
        <f>IF(ORIG!L682=0,"",ORIG!L682)</f>
        <v/>
      </c>
      <c r="M682" s="3">
        <f>IF(ORIG!M682=0,"",ORIG!M682)</f>
        <v/>
      </c>
      <c r="N682" s="3">
        <f>IF(ORIG!N682=0,"",ORIG!N682)</f>
        <v/>
      </c>
      <c r="O682" s="3">
        <f>IF(ORIG!O682=0,"",ORIG!O682)</f>
        <v/>
      </c>
      <c r="P682" s="3">
        <f>IF(ORIG!P682=0,"",ORIG!P682)</f>
        <v/>
      </c>
      <c r="Q682" s="3">
        <f>IF(ORIG!Q682=0,"",ORIG!Q682)</f>
        <v/>
      </c>
      <c r="R682" s="3">
        <f>IF(ORIG!R682=0,"",ORIG!R682)</f>
        <v/>
      </c>
      <c r="S682" s="3">
        <f>IF(ORIG!S682=0,"",ORIG!S682)</f>
        <v/>
      </c>
      <c r="T682" s="3">
        <f>IF(ORIG!T682=0,"",ORIG!T682)</f>
        <v/>
      </c>
      <c r="U682" s="3">
        <f>IF(ORIG!U682=0,"",ORIG!U682)</f>
        <v/>
      </c>
      <c r="V682" s="9">
        <f>IF(ORIG!V682=0,"",ORIG!V682)</f>
        <v/>
      </c>
      <c r="W682" s="9">
        <f>IF(ORIG!W682=0,"",ORIG!W682)</f>
        <v/>
      </c>
      <c r="X682" s="9">
        <f>IF(ORIG!X682=0,"",ORIG!X682)</f>
        <v/>
      </c>
      <c r="Y682" s="9">
        <f>IF(ORIG!Y682=0,"",ORIG!Y682)</f>
        <v/>
      </c>
      <c r="Z682" s="3">
        <f>SUMPRODUCT($B682:$Y682,$B$2649:$Y$2649)</f>
        <v/>
      </c>
      <c r="AA682" s="3">
        <f>SUMPRODUCT($B682:$Y682,$B$2655:$Y$2655)</f>
        <v/>
      </c>
      <c r="AC682" s="1">
        <f>A682</f>
        <v/>
      </c>
      <c r="AD682">
        <f>IF(ISNUMBER(V682),V682*($AB$1/V$2635),"")</f>
        <v/>
      </c>
      <c r="AE682">
        <f>IF(ISNUMBER(Z682),Z682*($AB$1/Z$2635),"")</f>
        <v/>
      </c>
      <c r="AF682" s="25">
        <f>IF(ISNUMBER(AD682+AE682),AD682+AE682,"")</f>
        <v/>
      </c>
      <c r="AH682" s="1">
        <f>A682</f>
        <v/>
      </c>
      <c r="AI682">
        <f>IF(ISNUMBER((1+V682)*AI681),(1+V682)*AI681,AI681)</f>
        <v/>
      </c>
      <c r="AJ682">
        <f>IF(ISNUMBER((1+Z682)*AJ681),(1+Z682)*AJ681,AJ681)</f>
        <v/>
      </c>
    </row>
    <row r="683">
      <c r="A683" s="1" t="n">
        <v>42992</v>
      </c>
      <c r="B683" s="3">
        <f>IF(ORIG!B683=0,"",ORIG!B683)</f>
        <v/>
      </c>
      <c r="C683" s="3">
        <f>IF(ORIG!C683=0,"",ORIG!C683)</f>
        <v/>
      </c>
      <c r="D683" s="3">
        <f>IF(ORIG!D683=0,"",ORIG!D683)</f>
        <v/>
      </c>
      <c r="E683" s="3">
        <f>IF(ORIG!E683=0,"",ORIG!E683)</f>
        <v/>
      </c>
      <c r="F683" s="3">
        <f>IF(ORIG!F683=0,"",ORIG!F683)</f>
        <v/>
      </c>
      <c r="G683" s="3">
        <f>IF(ORIG!G683=0,"",ORIG!G683)</f>
        <v/>
      </c>
      <c r="H683" s="3">
        <f>IF(ORIG!H683=0,"",ORIG!H683)</f>
        <v/>
      </c>
      <c r="I683" s="3">
        <f>IF(ORIG!I683=0,"",ORIG!I683)</f>
        <v/>
      </c>
      <c r="J683" s="3">
        <f>IF(ORIG!J683=0,"",ORIG!J683)</f>
        <v/>
      </c>
      <c r="K683" s="3">
        <f>IF(ORIG!K683=0,"",ORIG!K683)</f>
        <v/>
      </c>
      <c r="L683" s="3">
        <f>IF(ORIG!L683=0,"",ORIG!L683)</f>
        <v/>
      </c>
      <c r="M683" s="3">
        <f>IF(ORIG!M683=0,"",ORIG!M683)</f>
        <v/>
      </c>
      <c r="N683" s="3">
        <f>IF(ORIG!N683=0,"",ORIG!N683)</f>
        <v/>
      </c>
      <c r="O683" s="3">
        <f>IF(ORIG!O683=0,"",ORIG!O683)</f>
        <v/>
      </c>
      <c r="P683" s="3">
        <f>IF(ORIG!P683=0,"",ORIG!P683)</f>
        <v/>
      </c>
      <c r="Q683" s="3">
        <f>IF(ORIG!Q683=0,"",ORIG!Q683)</f>
        <v/>
      </c>
      <c r="R683" s="3">
        <f>IF(ORIG!R683=0,"",ORIG!R683)</f>
        <v/>
      </c>
      <c r="S683" s="3">
        <f>IF(ORIG!S683=0,"",ORIG!S683)</f>
        <v/>
      </c>
      <c r="T683" s="3">
        <f>IF(ORIG!T683=0,"",ORIG!T683)</f>
        <v/>
      </c>
      <c r="U683" s="3">
        <f>IF(ORIG!U683=0,"",ORIG!U683)</f>
        <v/>
      </c>
      <c r="V683" s="9">
        <f>IF(ORIG!V683=0,"",ORIG!V683)</f>
        <v/>
      </c>
      <c r="W683" s="9">
        <f>IF(ORIG!W683=0,"",ORIG!W683)</f>
        <v/>
      </c>
      <c r="X683" s="9">
        <f>IF(ORIG!X683=0,"",ORIG!X683)</f>
        <v/>
      </c>
      <c r="Y683" s="9">
        <f>IF(ORIG!Y683=0,"",ORIG!Y683)</f>
        <v/>
      </c>
      <c r="Z683" s="3">
        <f>SUMPRODUCT($B683:$Y683,$B$2649:$Y$2649)</f>
        <v/>
      </c>
      <c r="AA683" s="3">
        <f>SUMPRODUCT($B683:$Y683,$B$2655:$Y$2655)</f>
        <v/>
      </c>
      <c r="AC683" s="1">
        <f>A683</f>
        <v/>
      </c>
      <c r="AD683">
        <f>IF(ISNUMBER(V683),V683*($AB$1/V$2635),"")</f>
        <v/>
      </c>
      <c r="AE683">
        <f>IF(ISNUMBER(Z683),Z683*($AB$1/Z$2635),"")</f>
        <v/>
      </c>
      <c r="AF683" s="25">
        <f>IF(ISNUMBER(AD683+AE683),AD683+AE683,"")</f>
        <v/>
      </c>
      <c r="AH683" s="1">
        <f>A683</f>
        <v/>
      </c>
      <c r="AI683">
        <f>IF(ISNUMBER((1+V683)*AI682),(1+V683)*AI682,AI682)</f>
        <v/>
      </c>
      <c r="AJ683">
        <f>IF(ISNUMBER((1+Z683)*AJ682),(1+Z683)*AJ682,AJ682)</f>
        <v/>
      </c>
    </row>
    <row r="684">
      <c r="A684" s="1" t="n">
        <v>42993</v>
      </c>
      <c r="B684" s="3">
        <f>IF(ORIG!B684=0,"",ORIG!B684)</f>
        <v/>
      </c>
      <c r="C684" s="3">
        <f>IF(ORIG!C684=0,"",ORIG!C684)</f>
        <v/>
      </c>
      <c r="D684" s="3">
        <f>IF(ORIG!D684=0,"",ORIG!D684)</f>
        <v/>
      </c>
      <c r="E684" s="3">
        <f>IF(ORIG!E684=0,"",ORIG!E684)</f>
        <v/>
      </c>
      <c r="F684" s="3">
        <f>IF(ORIG!F684=0,"",ORIG!F684)</f>
        <v/>
      </c>
      <c r="G684" s="3">
        <f>IF(ORIG!G684=0,"",ORIG!G684)</f>
        <v/>
      </c>
      <c r="H684" s="3">
        <f>IF(ORIG!H684=0,"",ORIG!H684)</f>
        <v/>
      </c>
      <c r="I684" s="3">
        <f>IF(ORIG!I684=0,"",ORIG!I684)</f>
        <v/>
      </c>
      <c r="J684" s="3">
        <f>IF(ORIG!J684=0,"",ORIG!J684)</f>
        <v/>
      </c>
      <c r="K684" s="3">
        <f>IF(ORIG!K684=0,"",ORIG!K684)</f>
        <v/>
      </c>
      <c r="L684" s="3">
        <f>IF(ORIG!L684=0,"",ORIG!L684)</f>
        <v/>
      </c>
      <c r="M684" s="3">
        <f>IF(ORIG!M684=0,"",ORIG!M684)</f>
        <v/>
      </c>
      <c r="N684" s="3">
        <f>IF(ORIG!N684=0,"",ORIG!N684)</f>
        <v/>
      </c>
      <c r="O684" s="3">
        <f>IF(ORIG!O684=0,"",ORIG!O684)</f>
        <v/>
      </c>
      <c r="P684" s="3">
        <f>IF(ORIG!P684=0,"",ORIG!P684)</f>
        <v/>
      </c>
      <c r="Q684" s="3">
        <f>IF(ORIG!Q684=0,"",ORIG!Q684)</f>
        <v/>
      </c>
      <c r="R684" s="3">
        <f>IF(ORIG!R684=0,"",ORIG!R684)</f>
        <v/>
      </c>
      <c r="S684" s="3">
        <f>IF(ORIG!S684=0,"",ORIG!S684)</f>
        <v/>
      </c>
      <c r="T684" s="3">
        <f>IF(ORIG!T684=0,"",ORIG!T684)</f>
        <v/>
      </c>
      <c r="U684" s="3">
        <f>IF(ORIG!U684=0,"",ORIG!U684)</f>
        <v/>
      </c>
      <c r="V684" s="9">
        <f>IF(ORIG!V684=0,"",ORIG!V684)</f>
        <v/>
      </c>
      <c r="W684" s="9">
        <f>IF(ORIG!W684=0,"",ORIG!W684)</f>
        <v/>
      </c>
      <c r="X684" s="9">
        <f>IF(ORIG!X684=0,"",ORIG!X684)</f>
        <v/>
      </c>
      <c r="Y684" s="9">
        <f>IF(ORIG!Y684=0,"",ORIG!Y684)</f>
        <v/>
      </c>
      <c r="Z684" s="3">
        <f>SUMPRODUCT($B684:$Y684,$B$2649:$Y$2649)</f>
        <v/>
      </c>
      <c r="AA684" s="3">
        <f>SUMPRODUCT($B684:$Y684,$B$2655:$Y$2655)</f>
        <v/>
      </c>
      <c r="AC684" s="1">
        <f>A684</f>
        <v/>
      </c>
      <c r="AD684">
        <f>IF(ISNUMBER(V684),V684*($AB$1/V$2635),"")</f>
        <v/>
      </c>
      <c r="AE684">
        <f>IF(ISNUMBER(Z684),Z684*($AB$1/Z$2635),"")</f>
        <v/>
      </c>
      <c r="AF684" s="25">
        <f>IF(ISNUMBER(AD684+AE684),AD684+AE684,"")</f>
        <v/>
      </c>
      <c r="AH684" s="1">
        <f>A684</f>
        <v/>
      </c>
      <c r="AI684">
        <f>IF(ISNUMBER((1+V684)*AI683),(1+V684)*AI683,AI683)</f>
        <v/>
      </c>
      <c r="AJ684">
        <f>IF(ISNUMBER((1+Z684)*AJ683),(1+Z684)*AJ683,AJ683)</f>
        <v/>
      </c>
    </row>
    <row r="685">
      <c r="A685" s="1" t="n">
        <v>42996</v>
      </c>
      <c r="B685" s="3">
        <f>IF(ORIG!B685=0,"",ORIG!B685)</f>
        <v/>
      </c>
      <c r="C685" s="3">
        <f>IF(ORIG!C685=0,"",ORIG!C685)</f>
        <v/>
      </c>
      <c r="D685" s="3">
        <f>IF(ORIG!D685=0,"",ORIG!D685)</f>
        <v/>
      </c>
      <c r="E685" s="3">
        <f>IF(ORIG!E685=0,"",ORIG!E685)</f>
        <v/>
      </c>
      <c r="F685" s="3">
        <f>IF(ORIG!F685=0,"",ORIG!F685)</f>
        <v/>
      </c>
      <c r="G685" s="3">
        <f>IF(ORIG!G685=0,"",ORIG!G685)</f>
        <v/>
      </c>
      <c r="H685" s="3">
        <f>IF(ORIG!H685=0,"",ORIG!H685)</f>
        <v/>
      </c>
      <c r="I685" s="3">
        <f>IF(ORIG!I685=0,"",ORIG!I685)</f>
        <v/>
      </c>
      <c r="J685" s="3">
        <f>IF(ORIG!J685=0,"",ORIG!J685)</f>
        <v/>
      </c>
      <c r="K685" s="3">
        <f>IF(ORIG!K685=0,"",ORIG!K685)</f>
        <v/>
      </c>
      <c r="L685" s="3">
        <f>IF(ORIG!L685=0,"",ORIG!L685)</f>
        <v/>
      </c>
      <c r="M685" s="3">
        <f>IF(ORIG!M685=0,"",ORIG!M685)</f>
        <v/>
      </c>
      <c r="N685" s="3">
        <f>IF(ORIG!N685=0,"",ORIG!N685)</f>
        <v/>
      </c>
      <c r="O685" s="3">
        <f>IF(ORIG!O685=0,"",ORIG!O685)</f>
        <v/>
      </c>
      <c r="P685" s="3">
        <f>IF(ORIG!P685=0,"",ORIG!P685)</f>
        <v/>
      </c>
      <c r="Q685" s="3">
        <f>IF(ORIG!Q685=0,"",ORIG!Q685)</f>
        <v/>
      </c>
      <c r="R685" s="3">
        <f>IF(ORIG!R685=0,"",ORIG!R685)</f>
        <v/>
      </c>
      <c r="S685" s="3">
        <f>IF(ORIG!S685=0,"",ORIG!S685)</f>
        <v/>
      </c>
      <c r="T685" s="3">
        <f>IF(ORIG!T685=0,"",ORIG!T685)</f>
        <v/>
      </c>
      <c r="U685" s="3">
        <f>IF(ORIG!U685=0,"",ORIG!U685)</f>
        <v/>
      </c>
      <c r="V685" s="9">
        <f>IF(ORIG!V685=0,"",ORIG!V685)</f>
        <v/>
      </c>
      <c r="W685" s="9">
        <f>IF(ORIG!W685=0,"",ORIG!W685)</f>
        <v/>
      </c>
      <c r="X685" s="9">
        <f>IF(ORIG!X685=0,"",ORIG!X685)</f>
        <v/>
      </c>
      <c r="Y685" s="9">
        <f>IF(ORIG!Y685=0,"",ORIG!Y685)</f>
        <v/>
      </c>
      <c r="Z685" s="3">
        <f>SUMPRODUCT($B685:$Y685,$B$2649:$Y$2649)</f>
        <v/>
      </c>
      <c r="AA685" s="3">
        <f>SUMPRODUCT($B685:$Y685,$B$2655:$Y$2655)</f>
        <v/>
      </c>
      <c r="AC685" s="1">
        <f>A685</f>
        <v/>
      </c>
      <c r="AD685">
        <f>IF(ISNUMBER(V685),V685*($AB$1/V$2635),"")</f>
        <v/>
      </c>
      <c r="AE685">
        <f>IF(ISNUMBER(Z685),Z685*($AB$1/Z$2635),"")</f>
        <v/>
      </c>
      <c r="AF685" s="25">
        <f>IF(ISNUMBER(AD685+AE685),AD685+AE685,"")</f>
        <v/>
      </c>
      <c r="AH685" s="1">
        <f>A685</f>
        <v/>
      </c>
      <c r="AI685">
        <f>IF(ISNUMBER((1+V685)*AI684),(1+V685)*AI684,AI684)</f>
        <v/>
      </c>
      <c r="AJ685">
        <f>IF(ISNUMBER((1+Z685)*AJ684),(1+Z685)*AJ684,AJ684)</f>
        <v/>
      </c>
    </row>
    <row r="686">
      <c r="A686" s="1" t="n">
        <v>42997</v>
      </c>
      <c r="B686" s="3">
        <f>IF(ORIG!B686=0,"",ORIG!B686)</f>
        <v/>
      </c>
      <c r="C686" s="3">
        <f>IF(ORIG!C686=0,"",ORIG!C686)</f>
        <v/>
      </c>
      <c r="D686" s="3">
        <f>IF(ORIG!D686=0,"",ORIG!D686)</f>
        <v/>
      </c>
      <c r="E686" s="3">
        <f>IF(ORIG!E686=0,"",ORIG!E686)</f>
        <v/>
      </c>
      <c r="F686" s="3">
        <f>IF(ORIG!F686=0,"",ORIG!F686)</f>
        <v/>
      </c>
      <c r="G686" s="3">
        <f>IF(ORIG!G686=0,"",ORIG!G686)</f>
        <v/>
      </c>
      <c r="H686" s="3">
        <f>IF(ORIG!H686=0,"",ORIG!H686)</f>
        <v/>
      </c>
      <c r="I686" s="3">
        <f>IF(ORIG!I686=0,"",ORIG!I686)</f>
        <v/>
      </c>
      <c r="J686" s="3">
        <f>IF(ORIG!J686=0,"",ORIG!J686)</f>
        <v/>
      </c>
      <c r="K686" s="3">
        <f>IF(ORIG!K686=0,"",ORIG!K686)</f>
        <v/>
      </c>
      <c r="L686" s="3">
        <f>IF(ORIG!L686=0,"",ORIG!L686)</f>
        <v/>
      </c>
      <c r="M686" s="3">
        <f>IF(ORIG!M686=0,"",ORIG!M686)</f>
        <v/>
      </c>
      <c r="N686" s="3">
        <f>IF(ORIG!N686=0,"",ORIG!N686)</f>
        <v/>
      </c>
      <c r="O686" s="3">
        <f>IF(ORIG!O686=0,"",ORIG!O686)</f>
        <v/>
      </c>
      <c r="P686" s="3">
        <f>IF(ORIG!P686=0,"",ORIG!P686)</f>
        <v/>
      </c>
      <c r="Q686" s="3">
        <f>IF(ORIG!Q686=0,"",ORIG!Q686)</f>
        <v/>
      </c>
      <c r="R686" s="3">
        <f>IF(ORIG!R686=0,"",ORIG!R686)</f>
        <v/>
      </c>
      <c r="S686" s="3">
        <f>IF(ORIG!S686=0,"",ORIG!S686)</f>
        <v/>
      </c>
      <c r="T686" s="3">
        <f>IF(ORIG!T686=0,"",ORIG!T686)</f>
        <v/>
      </c>
      <c r="U686" s="3">
        <f>IF(ORIG!U686=0,"",ORIG!U686)</f>
        <v/>
      </c>
      <c r="V686" s="9">
        <f>IF(ORIG!V686=0,"",ORIG!V686)</f>
        <v/>
      </c>
      <c r="W686" s="9">
        <f>IF(ORIG!W686=0,"",ORIG!W686)</f>
        <v/>
      </c>
      <c r="X686" s="9">
        <f>IF(ORIG!X686=0,"",ORIG!X686)</f>
        <v/>
      </c>
      <c r="Y686" s="9">
        <f>IF(ORIG!Y686=0,"",ORIG!Y686)</f>
        <v/>
      </c>
      <c r="Z686" s="3">
        <f>SUMPRODUCT($B686:$Y686,$B$2649:$Y$2649)</f>
        <v/>
      </c>
      <c r="AA686" s="3">
        <f>SUMPRODUCT($B686:$Y686,$B$2655:$Y$2655)</f>
        <v/>
      </c>
      <c r="AC686" s="1">
        <f>A686</f>
        <v/>
      </c>
      <c r="AD686">
        <f>IF(ISNUMBER(V686),V686*($AB$1/V$2635),"")</f>
        <v/>
      </c>
      <c r="AE686">
        <f>IF(ISNUMBER(Z686),Z686*($AB$1/Z$2635),"")</f>
        <v/>
      </c>
      <c r="AF686" s="25">
        <f>IF(ISNUMBER(AD686+AE686),AD686+AE686,"")</f>
        <v/>
      </c>
      <c r="AH686" s="1">
        <f>A686</f>
        <v/>
      </c>
      <c r="AI686">
        <f>IF(ISNUMBER((1+V686)*AI685),(1+V686)*AI685,AI685)</f>
        <v/>
      </c>
      <c r="AJ686">
        <f>IF(ISNUMBER((1+Z686)*AJ685),(1+Z686)*AJ685,AJ685)</f>
        <v/>
      </c>
    </row>
    <row r="687">
      <c r="A687" s="1" t="n">
        <v>42998</v>
      </c>
      <c r="B687" s="3">
        <f>IF(ORIG!B687=0,"",ORIG!B687)</f>
        <v/>
      </c>
      <c r="C687" s="3">
        <f>IF(ORIG!C687=0,"",ORIG!C687)</f>
        <v/>
      </c>
      <c r="D687" s="3">
        <f>IF(ORIG!D687=0,"",ORIG!D687)</f>
        <v/>
      </c>
      <c r="E687" s="3">
        <f>IF(ORIG!E687=0,"",ORIG!E687)</f>
        <v/>
      </c>
      <c r="F687" s="3">
        <f>IF(ORIG!F687=0,"",ORIG!F687)</f>
        <v/>
      </c>
      <c r="G687" s="3">
        <f>IF(ORIG!G687=0,"",ORIG!G687)</f>
        <v/>
      </c>
      <c r="H687" s="3">
        <f>IF(ORIG!H687=0,"",ORIG!H687)</f>
        <v/>
      </c>
      <c r="I687" s="3">
        <f>IF(ORIG!I687=0,"",ORIG!I687)</f>
        <v/>
      </c>
      <c r="J687" s="3">
        <f>IF(ORIG!J687=0,"",ORIG!J687)</f>
        <v/>
      </c>
      <c r="K687" s="3">
        <f>IF(ORIG!K687=0,"",ORIG!K687)</f>
        <v/>
      </c>
      <c r="L687" s="3">
        <f>IF(ORIG!L687=0,"",ORIG!L687)</f>
        <v/>
      </c>
      <c r="M687" s="3">
        <f>IF(ORIG!M687=0,"",ORIG!M687)</f>
        <v/>
      </c>
      <c r="N687" s="3">
        <f>IF(ORIG!N687=0,"",ORIG!N687)</f>
        <v/>
      </c>
      <c r="O687" s="3">
        <f>IF(ORIG!O687=0,"",ORIG!O687)</f>
        <v/>
      </c>
      <c r="P687" s="3">
        <f>IF(ORIG!P687=0,"",ORIG!P687)</f>
        <v/>
      </c>
      <c r="Q687" s="3">
        <f>IF(ORIG!Q687=0,"",ORIG!Q687)</f>
        <v/>
      </c>
      <c r="R687" s="3">
        <f>IF(ORIG!R687=0,"",ORIG!R687)</f>
        <v/>
      </c>
      <c r="S687" s="3">
        <f>IF(ORIG!S687=0,"",ORIG!S687)</f>
        <v/>
      </c>
      <c r="T687" s="3">
        <f>IF(ORIG!T687=0,"",ORIG!T687)</f>
        <v/>
      </c>
      <c r="U687" s="3">
        <f>IF(ORIG!U687=0,"",ORIG!U687)</f>
        <v/>
      </c>
      <c r="V687" s="9">
        <f>IF(ORIG!V687=0,"",ORIG!V687)</f>
        <v/>
      </c>
      <c r="W687" s="9">
        <f>IF(ORIG!W687=0,"",ORIG!W687)</f>
        <v/>
      </c>
      <c r="X687" s="9">
        <f>IF(ORIG!X687=0,"",ORIG!X687)</f>
        <v/>
      </c>
      <c r="Y687" s="9">
        <f>IF(ORIG!Y687=0,"",ORIG!Y687)</f>
        <v/>
      </c>
      <c r="Z687" s="3">
        <f>SUMPRODUCT($B687:$Y687,$B$2649:$Y$2649)</f>
        <v/>
      </c>
      <c r="AA687" s="3">
        <f>SUMPRODUCT($B687:$Y687,$B$2655:$Y$2655)</f>
        <v/>
      </c>
      <c r="AC687" s="1">
        <f>A687</f>
        <v/>
      </c>
      <c r="AD687">
        <f>IF(ISNUMBER(V687),V687*($AB$1/V$2635),"")</f>
        <v/>
      </c>
      <c r="AE687">
        <f>IF(ISNUMBER(Z687),Z687*($AB$1/Z$2635),"")</f>
        <v/>
      </c>
      <c r="AF687" s="25">
        <f>IF(ISNUMBER(AD687+AE687),AD687+AE687,"")</f>
        <v/>
      </c>
      <c r="AH687" s="1">
        <f>A687</f>
        <v/>
      </c>
      <c r="AI687">
        <f>IF(ISNUMBER((1+V687)*AI686),(1+V687)*AI686,AI686)</f>
        <v/>
      </c>
      <c r="AJ687">
        <f>IF(ISNUMBER((1+Z687)*AJ686),(1+Z687)*AJ686,AJ686)</f>
        <v/>
      </c>
    </row>
    <row r="688">
      <c r="A688" s="1" t="n">
        <v>42999</v>
      </c>
      <c r="B688" s="3">
        <f>IF(ORIG!B688=0,"",ORIG!B688)</f>
        <v/>
      </c>
      <c r="C688" s="3">
        <f>IF(ORIG!C688=0,"",ORIG!C688)</f>
        <v/>
      </c>
      <c r="D688" s="3">
        <f>IF(ORIG!D688=0,"",ORIG!D688)</f>
        <v/>
      </c>
      <c r="E688" s="3">
        <f>IF(ORIG!E688=0,"",ORIG!E688)</f>
        <v/>
      </c>
      <c r="F688" s="3">
        <f>IF(ORIG!F688=0,"",ORIG!F688)</f>
        <v/>
      </c>
      <c r="G688" s="3">
        <f>IF(ORIG!G688=0,"",ORIG!G688)</f>
        <v/>
      </c>
      <c r="H688" s="3">
        <f>IF(ORIG!H688=0,"",ORIG!H688)</f>
        <v/>
      </c>
      <c r="I688" s="3">
        <f>IF(ORIG!I688=0,"",ORIG!I688)</f>
        <v/>
      </c>
      <c r="J688" s="3">
        <f>IF(ORIG!J688=0,"",ORIG!J688)</f>
        <v/>
      </c>
      <c r="K688" s="3">
        <f>IF(ORIG!K688=0,"",ORIG!K688)</f>
        <v/>
      </c>
      <c r="L688" s="3">
        <f>IF(ORIG!L688=0,"",ORIG!L688)</f>
        <v/>
      </c>
      <c r="M688" s="3">
        <f>IF(ORIG!M688=0,"",ORIG!M688)</f>
        <v/>
      </c>
      <c r="N688" s="3">
        <f>IF(ORIG!N688=0,"",ORIG!N688)</f>
        <v/>
      </c>
      <c r="O688" s="3">
        <f>IF(ORIG!O688=0,"",ORIG!O688)</f>
        <v/>
      </c>
      <c r="P688" s="3">
        <f>IF(ORIG!P688=0,"",ORIG!P688)</f>
        <v/>
      </c>
      <c r="Q688" s="3">
        <f>IF(ORIG!Q688=0,"",ORIG!Q688)</f>
        <v/>
      </c>
      <c r="R688" s="3">
        <f>IF(ORIG!R688=0,"",ORIG!R688)</f>
        <v/>
      </c>
      <c r="S688" s="3">
        <f>IF(ORIG!S688=0,"",ORIG!S688)</f>
        <v/>
      </c>
      <c r="T688" s="3">
        <f>IF(ORIG!T688=0,"",ORIG!T688)</f>
        <v/>
      </c>
      <c r="U688" s="3">
        <f>IF(ORIG!U688=0,"",ORIG!U688)</f>
        <v/>
      </c>
      <c r="V688" s="9">
        <f>IF(ORIG!V688=0,"",ORIG!V688)</f>
        <v/>
      </c>
      <c r="W688" s="9">
        <f>IF(ORIG!W688=0,"",ORIG!W688)</f>
        <v/>
      </c>
      <c r="X688" s="9">
        <f>IF(ORIG!X688=0,"",ORIG!X688)</f>
        <v/>
      </c>
      <c r="Y688" s="9">
        <f>IF(ORIG!Y688=0,"",ORIG!Y688)</f>
        <v/>
      </c>
      <c r="Z688" s="3">
        <f>SUMPRODUCT($B688:$Y688,$B$2649:$Y$2649)</f>
        <v/>
      </c>
      <c r="AA688" s="3">
        <f>SUMPRODUCT($B688:$Y688,$B$2655:$Y$2655)</f>
        <v/>
      </c>
      <c r="AC688" s="1">
        <f>A688</f>
        <v/>
      </c>
      <c r="AD688">
        <f>IF(ISNUMBER(V688),V688*($AB$1/V$2635),"")</f>
        <v/>
      </c>
      <c r="AE688">
        <f>IF(ISNUMBER(Z688),Z688*($AB$1/Z$2635),"")</f>
        <v/>
      </c>
      <c r="AF688" s="25">
        <f>IF(ISNUMBER(AD688+AE688),AD688+AE688,"")</f>
        <v/>
      </c>
      <c r="AH688" s="1">
        <f>A688</f>
        <v/>
      </c>
      <c r="AI688">
        <f>IF(ISNUMBER((1+V688)*AI687),(1+V688)*AI687,AI687)</f>
        <v/>
      </c>
      <c r="AJ688">
        <f>IF(ISNUMBER((1+Z688)*AJ687),(1+Z688)*AJ687,AJ687)</f>
        <v/>
      </c>
    </row>
    <row r="689">
      <c r="A689" s="1" t="n">
        <v>43000</v>
      </c>
      <c r="B689" s="3">
        <f>IF(ORIG!B689=0,"",ORIG!B689)</f>
        <v/>
      </c>
      <c r="C689" s="3">
        <f>IF(ORIG!C689=0,"",ORIG!C689)</f>
        <v/>
      </c>
      <c r="D689" s="3">
        <f>IF(ORIG!D689=0,"",ORIG!D689)</f>
        <v/>
      </c>
      <c r="E689" s="3">
        <f>IF(ORIG!E689=0,"",ORIG!E689)</f>
        <v/>
      </c>
      <c r="F689" s="3">
        <f>IF(ORIG!F689=0,"",ORIG!F689)</f>
        <v/>
      </c>
      <c r="G689" s="3">
        <f>IF(ORIG!G689=0,"",ORIG!G689)</f>
        <v/>
      </c>
      <c r="H689" s="3">
        <f>IF(ORIG!H689=0,"",ORIG!H689)</f>
        <v/>
      </c>
      <c r="I689" s="3">
        <f>IF(ORIG!I689=0,"",ORIG!I689)</f>
        <v/>
      </c>
      <c r="J689" s="3">
        <f>IF(ORIG!J689=0,"",ORIG!J689)</f>
        <v/>
      </c>
      <c r="K689" s="3">
        <f>IF(ORIG!K689=0,"",ORIG!K689)</f>
        <v/>
      </c>
      <c r="L689" s="3">
        <f>IF(ORIG!L689=0,"",ORIG!L689)</f>
        <v/>
      </c>
      <c r="M689" s="3">
        <f>IF(ORIG!M689=0,"",ORIG!M689)</f>
        <v/>
      </c>
      <c r="N689" s="3">
        <f>IF(ORIG!N689=0,"",ORIG!N689)</f>
        <v/>
      </c>
      <c r="O689" s="3">
        <f>IF(ORIG!O689=0,"",ORIG!O689)</f>
        <v/>
      </c>
      <c r="P689" s="3">
        <f>IF(ORIG!P689=0,"",ORIG!P689)</f>
        <v/>
      </c>
      <c r="Q689" s="3">
        <f>IF(ORIG!Q689=0,"",ORIG!Q689)</f>
        <v/>
      </c>
      <c r="R689" s="3">
        <f>IF(ORIG!R689=0,"",ORIG!R689)</f>
        <v/>
      </c>
      <c r="S689" s="3">
        <f>IF(ORIG!S689=0,"",ORIG!S689)</f>
        <v/>
      </c>
      <c r="T689" s="3">
        <f>IF(ORIG!T689=0,"",ORIG!T689)</f>
        <v/>
      </c>
      <c r="U689" s="3">
        <f>IF(ORIG!U689=0,"",ORIG!U689)</f>
        <v/>
      </c>
      <c r="V689" s="9">
        <f>IF(ORIG!V689=0,"",ORIG!V689)</f>
        <v/>
      </c>
      <c r="W689" s="9">
        <f>IF(ORIG!W689=0,"",ORIG!W689)</f>
        <v/>
      </c>
      <c r="X689" s="9">
        <f>IF(ORIG!X689=0,"",ORIG!X689)</f>
        <v/>
      </c>
      <c r="Y689" s="9">
        <f>IF(ORIG!Y689=0,"",ORIG!Y689)</f>
        <v/>
      </c>
      <c r="Z689" s="3">
        <f>SUMPRODUCT($B689:$Y689,$B$2649:$Y$2649)</f>
        <v/>
      </c>
      <c r="AA689" s="3">
        <f>SUMPRODUCT($B689:$Y689,$B$2655:$Y$2655)</f>
        <v/>
      </c>
      <c r="AC689" s="1">
        <f>A689</f>
        <v/>
      </c>
      <c r="AD689">
        <f>IF(ISNUMBER(V689),V689*($AB$1/V$2635),"")</f>
        <v/>
      </c>
      <c r="AE689">
        <f>IF(ISNUMBER(Z689),Z689*($AB$1/Z$2635),"")</f>
        <v/>
      </c>
      <c r="AF689" s="25">
        <f>IF(ISNUMBER(AD689+AE689),AD689+AE689,"")</f>
        <v/>
      </c>
      <c r="AH689" s="1">
        <f>A689</f>
        <v/>
      </c>
      <c r="AI689">
        <f>IF(ISNUMBER((1+V689)*AI688),(1+V689)*AI688,AI688)</f>
        <v/>
      </c>
      <c r="AJ689">
        <f>IF(ISNUMBER((1+Z689)*AJ688),(1+Z689)*AJ688,AJ688)</f>
        <v/>
      </c>
    </row>
    <row r="690">
      <c r="A690" s="1" t="n">
        <v>43003</v>
      </c>
      <c r="B690" s="3">
        <f>IF(ORIG!B690=0,"",ORIG!B690)</f>
        <v/>
      </c>
      <c r="C690" s="3">
        <f>IF(ORIG!C690=0,"",ORIG!C690)</f>
        <v/>
      </c>
      <c r="D690" s="3">
        <f>IF(ORIG!D690=0,"",ORIG!D690)</f>
        <v/>
      </c>
      <c r="E690" s="3">
        <f>IF(ORIG!E690=0,"",ORIG!E690)</f>
        <v/>
      </c>
      <c r="F690" s="3">
        <f>IF(ORIG!F690=0,"",ORIG!F690)</f>
        <v/>
      </c>
      <c r="G690" s="3">
        <f>IF(ORIG!G690=0,"",ORIG!G690)</f>
        <v/>
      </c>
      <c r="H690" s="3">
        <f>IF(ORIG!H690=0,"",ORIG!H690)</f>
        <v/>
      </c>
      <c r="I690" s="3">
        <f>IF(ORIG!I690=0,"",ORIG!I690)</f>
        <v/>
      </c>
      <c r="J690" s="3">
        <f>IF(ORIG!J690=0,"",ORIG!J690)</f>
        <v/>
      </c>
      <c r="K690" s="3">
        <f>IF(ORIG!K690=0,"",ORIG!K690)</f>
        <v/>
      </c>
      <c r="L690" s="3">
        <f>IF(ORIG!L690=0,"",ORIG!L690)</f>
        <v/>
      </c>
      <c r="M690" s="3">
        <f>IF(ORIG!M690=0,"",ORIG!M690)</f>
        <v/>
      </c>
      <c r="N690" s="3">
        <f>IF(ORIG!N690=0,"",ORIG!N690)</f>
        <v/>
      </c>
      <c r="O690" s="3">
        <f>IF(ORIG!O690=0,"",ORIG!O690)</f>
        <v/>
      </c>
      <c r="P690" s="3">
        <f>IF(ORIG!P690=0,"",ORIG!P690)</f>
        <v/>
      </c>
      <c r="Q690" s="3">
        <f>IF(ORIG!Q690=0,"",ORIG!Q690)</f>
        <v/>
      </c>
      <c r="R690" s="3">
        <f>IF(ORIG!R690=0,"",ORIG!R690)</f>
        <v/>
      </c>
      <c r="S690" s="3">
        <f>IF(ORIG!S690=0,"",ORIG!S690)</f>
        <v/>
      </c>
      <c r="T690" s="3">
        <f>IF(ORIG!T690=0,"",ORIG!T690)</f>
        <v/>
      </c>
      <c r="U690" s="3">
        <f>IF(ORIG!U690=0,"",ORIG!U690)</f>
        <v/>
      </c>
      <c r="V690" s="9">
        <f>IF(ORIG!V690=0,"",ORIG!V690)</f>
        <v/>
      </c>
      <c r="W690" s="9">
        <f>IF(ORIG!W690=0,"",ORIG!W690)</f>
        <v/>
      </c>
      <c r="X690" s="9">
        <f>IF(ORIG!X690=0,"",ORIG!X690)</f>
        <v/>
      </c>
      <c r="Y690" s="9">
        <f>IF(ORIG!Y690=0,"",ORIG!Y690)</f>
        <v/>
      </c>
      <c r="Z690" s="3">
        <f>SUMPRODUCT($B690:$Y690,$B$2649:$Y$2649)</f>
        <v/>
      </c>
      <c r="AA690" s="3">
        <f>SUMPRODUCT($B690:$Y690,$B$2655:$Y$2655)</f>
        <v/>
      </c>
      <c r="AC690" s="1">
        <f>A690</f>
        <v/>
      </c>
      <c r="AD690">
        <f>IF(ISNUMBER(V690),V690*($AB$1/V$2635),"")</f>
        <v/>
      </c>
      <c r="AE690">
        <f>IF(ISNUMBER(Z690),Z690*($AB$1/Z$2635),"")</f>
        <v/>
      </c>
      <c r="AF690" s="25">
        <f>IF(ISNUMBER(AD690+AE690),AD690+AE690,"")</f>
        <v/>
      </c>
      <c r="AH690" s="1">
        <f>A690</f>
        <v/>
      </c>
      <c r="AI690">
        <f>IF(ISNUMBER((1+V690)*AI689),(1+V690)*AI689,AI689)</f>
        <v/>
      </c>
      <c r="AJ690">
        <f>IF(ISNUMBER((1+Z690)*AJ689),(1+Z690)*AJ689,AJ689)</f>
        <v/>
      </c>
    </row>
    <row r="691">
      <c r="A691" s="1" t="n">
        <v>43004</v>
      </c>
      <c r="B691" s="3">
        <f>IF(ORIG!B691=0,"",ORIG!B691)</f>
        <v/>
      </c>
      <c r="C691" s="3">
        <f>IF(ORIG!C691=0,"",ORIG!C691)</f>
        <v/>
      </c>
      <c r="D691" s="3">
        <f>IF(ORIG!D691=0,"",ORIG!D691)</f>
        <v/>
      </c>
      <c r="E691" s="3">
        <f>IF(ORIG!E691=0,"",ORIG!E691)</f>
        <v/>
      </c>
      <c r="F691" s="3">
        <f>IF(ORIG!F691=0,"",ORIG!F691)</f>
        <v/>
      </c>
      <c r="G691" s="3">
        <f>IF(ORIG!G691=0,"",ORIG!G691)</f>
        <v/>
      </c>
      <c r="H691" s="3">
        <f>IF(ORIG!H691=0,"",ORIG!H691)</f>
        <v/>
      </c>
      <c r="I691" s="3">
        <f>IF(ORIG!I691=0,"",ORIG!I691)</f>
        <v/>
      </c>
      <c r="J691" s="3">
        <f>IF(ORIG!J691=0,"",ORIG!J691)</f>
        <v/>
      </c>
      <c r="K691" s="3">
        <f>IF(ORIG!K691=0,"",ORIG!K691)</f>
        <v/>
      </c>
      <c r="L691" s="3">
        <f>IF(ORIG!L691=0,"",ORIG!L691)</f>
        <v/>
      </c>
      <c r="M691" s="3">
        <f>IF(ORIG!M691=0,"",ORIG!M691)</f>
        <v/>
      </c>
      <c r="N691" s="3">
        <f>IF(ORIG!N691=0,"",ORIG!N691)</f>
        <v/>
      </c>
      <c r="O691" s="3">
        <f>IF(ORIG!O691=0,"",ORIG!O691)</f>
        <v/>
      </c>
      <c r="P691" s="3">
        <f>IF(ORIG!P691=0,"",ORIG!P691)</f>
        <v/>
      </c>
      <c r="Q691" s="3">
        <f>IF(ORIG!Q691=0,"",ORIG!Q691)</f>
        <v/>
      </c>
      <c r="R691" s="3">
        <f>IF(ORIG!R691=0,"",ORIG!R691)</f>
        <v/>
      </c>
      <c r="S691" s="3">
        <f>IF(ORIG!S691=0,"",ORIG!S691)</f>
        <v/>
      </c>
      <c r="T691" s="3">
        <f>IF(ORIG!T691=0,"",ORIG!T691)</f>
        <v/>
      </c>
      <c r="U691" s="3">
        <f>IF(ORIG!U691=0,"",ORIG!U691)</f>
        <v/>
      </c>
      <c r="V691" s="9">
        <f>IF(ORIG!V691=0,"",ORIG!V691)</f>
        <v/>
      </c>
      <c r="W691" s="9">
        <f>IF(ORIG!W691=0,"",ORIG!W691)</f>
        <v/>
      </c>
      <c r="X691" s="9">
        <f>IF(ORIG!X691=0,"",ORIG!X691)</f>
        <v/>
      </c>
      <c r="Y691" s="9">
        <f>IF(ORIG!Y691=0,"",ORIG!Y691)</f>
        <v/>
      </c>
      <c r="Z691" s="3">
        <f>SUMPRODUCT($B691:$Y691,$B$2649:$Y$2649)</f>
        <v/>
      </c>
      <c r="AA691" s="3">
        <f>SUMPRODUCT($B691:$Y691,$B$2655:$Y$2655)</f>
        <v/>
      </c>
      <c r="AC691" s="1">
        <f>A691</f>
        <v/>
      </c>
      <c r="AD691">
        <f>IF(ISNUMBER(V691),V691*($AB$1/V$2635),"")</f>
        <v/>
      </c>
      <c r="AE691">
        <f>IF(ISNUMBER(Z691),Z691*($AB$1/Z$2635),"")</f>
        <v/>
      </c>
      <c r="AF691" s="25">
        <f>IF(ISNUMBER(AD691+AE691),AD691+AE691,"")</f>
        <v/>
      </c>
      <c r="AH691" s="1">
        <f>A691</f>
        <v/>
      </c>
      <c r="AI691">
        <f>IF(ISNUMBER((1+V691)*AI690),(1+V691)*AI690,AI690)</f>
        <v/>
      </c>
      <c r="AJ691">
        <f>IF(ISNUMBER((1+Z691)*AJ690),(1+Z691)*AJ690,AJ690)</f>
        <v/>
      </c>
    </row>
    <row r="692">
      <c r="A692" s="1" t="n">
        <v>43005</v>
      </c>
      <c r="B692" s="3">
        <f>IF(ORIG!B692=0,"",ORIG!B692)</f>
        <v/>
      </c>
      <c r="C692" s="3">
        <f>IF(ORIG!C692=0,"",ORIG!C692)</f>
        <v/>
      </c>
      <c r="D692" s="3">
        <f>IF(ORIG!D692=0,"",ORIG!D692)</f>
        <v/>
      </c>
      <c r="E692" s="3">
        <f>IF(ORIG!E692=0,"",ORIG!E692)</f>
        <v/>
      </c>
      <c r="F692" s="3">
        <f>IF(ORIG!F692=0,"",ORIG!F692)</f>
        <v/>
      </c>
      <c r="G692" s="3">
        <f>IF(ORIG!G692=0,"",ORIG!G692)</f>
        <v/>
      </c>
      <c r="H692" s="3">
        <f>IF(ORIG!H692=0,"",ORIG!H692)</f>
        <v/>
      </c>
      <c r="I692" s="3">
        <f>IF(ORIG!I692=0,"",ORIG!I692)</f>
        <v/>
      </c>
      <c r="J692" s="3">
        <f>IF(ORIG!J692=0,"",ORIG!J692)</f>
        <v/>
      </c>
      <c r="K692" s="3">
        <f>IF(ORIG!K692=0,"",ORIG!K692)</f>
        <v/>
      </c>
      <c r="L692" s="3">
        <f>IF(ORIG!L692=0,"",ORIG!L692)</f>
        <v/>
      </c>
      <c r="M692" s="3">
        <f>IF(ORIG!M692=0,"",ORIG!M692)</f>
        <v/>
      </c>
      <c r="N692" s="3">
        <f>IF(ORIG!N692=0,"",ORIG!N692)</f>
        <v/>
      </c>
      <c r="O692" s="3">
        <f>IF(ORIG!O692=0,"",ORIG!O692)</f>
        <v/>
      </c>
      <c r="P692" s="3">
        <f>IF(ORIG!P692=0,"",ORIG!P692)</f>
        <v/>
      </c>
      <c r="Q692" s="3">
        <f>IF(ORIG!Q692=0,"",ORIG!Q692)</f>
        <v/>
      </c>
      <c r="R692" s="3">
        <f>IF(ORIG!R692=0,"",ORIG!R692)</f>
        <v/>
      </c>
      <c r="S692" s="3">
        <f>IF(ORIG!S692=0,"",ORIG!S692)</f>
        <v/>
      </c>
      <c r="T692" s="3">
        <f>IF(ORIG!T692=0,"",ORIG!T692)</f>
        <v/>
      </c>
      <c r="U692" s="3">
        <f>IF(ORIG!U692=0,"",ORIG!U692)</f>
        <v/>
      </c>
      <c r="V692" s="9">
        <f>IF(ORIG!V692=0,"",ORIG!V692)</f>
        <v/>
      </c>
      <c r="W692" s="9">
        <f>IF(ORIG!W692=0,"",ORIG!W692)</f>
        <v/>
      </c>
      <c r="X692" s="9">
        <f>IF(ORIG!X692=0,"",ORIG!X692)</f>
        <v/>
      </c>
      <c r="Y692" s="9">
        <f>IF(ORIG!Y692=0,"",ORIG!Y692)</f>
        <v/>
      </c>
      <c r="Z692" s="3">
        <f>SUMPRODUCT($B692:$Y692,$B$2649:$Y$2649)</f>
        <v/>
      </c>
      <c r="AA692" s="3">
        <f>SUMPRODUCT($B692:$Y692,$B$2655:$Y$2655)</f>
        <v/>
      </c>
      <c r="AC692" s="1">
        <f>A692</f>
        <v/>
      </c>
      <c r="AD692">
        <f>IF(ISNUMBER(V692),V692*($AB$1/V$2635),"")</f>
        <v/>
      </c>
      <c r="AE692">
        <f>IF(ISNUMBER(Z692),Z692*($AB$1/Z$2635),"")</f>
        <v/>
      </c>
      <c r="AF692" s="25">
        <f>IF(ISNUMBER(AD692+AE692),AD692+AE692,"")</f>
        <v/>
      </c>
      <c r="AH692" s="1">
        <f>A692</f>
        <v/>
      </c>
      <c r="AI692">
        <f>IF(ISNUMBER((1+V692)*AI691),(1+V692)*AI691,AI691)</f>
        <v/>
      </c>
      <c r="AJ692">
        <f>IF(ISNUMBER((1+Z692)*AJ691),(1+Z692)*AJ691,AJ691)</f>
        <v/>
      </c>
    </row>
    <row r="693">
      <c r="A693" s="1" t="n">
        <v>43006</v>
      </c>
      <c r="B693" s="3">
        <f>IF(ORIG!B693=0,"",ORIG!B693)</f>
        <v/>
      </c>
      <c r="C693" s="3">
        <f>IF(ORIG!C693=0,"",ORIG!C693)</f>
        <v/>
      </c>
      <c r="D693" s="3">
        <f>IF(ORIG!D693=0,"",ORIG!D693)</f>
        <v/>
      </c>
      <c r="E693" s="3">
        <f>IF(ORIG!E693=0,"",ORIG!E693)</f>
        <v/>
      </c>
      <c r="F693" s="3">
        <f>IF(ORIG!F693=0,"",ORIG!F693)</f>
        <v/>
      </c>
      <c r="G693" s="3">
        <f>IF(ORIG!G693=0,"",ORIG!G693)</f>
        <v/>
      </c>
      <c r="H693" s="3">
        <f>IF(ORIG!H693=0,"",ORIG!H693)</f>
        <v/>
      </c>
      <c r="I693" s="3">
        <f>IF(ORIG!I693=0,"",ORIG!I693)</f>
        <v/>
      </c>
      <c r="J693" s="3">
        <f>IF(ORIG!J693=0,"",ORIG!J693)</f>
        <v/>
      </c>
      <c r="K693" s="3">
        <f>IF(ORIG!K693=0,"",ORIG!K693)</f>
        <v/>
      </c>
      <c r="L693" s="3">
        <f>IF(ORIG!L693=0,"",ORIG!L693)</f>
        <v/>
      </c>
      <c r="M693" s="3">
        <f>IF(ORIG!M693=0,"",ORIG!M693)</f>
        <v/>
      </c>
      <c r="N693" s="3">
        <f>IF(ORIG!N693=0,"",ORIG!N693)</f>
        <v/>
      </c>
      <c r="O693" s="3">
        <f>IF(ORIG!O693=0,"",ORIG!O693)</f>
        <v/>
      </c>
      <c r="P693" s="3">
        <f>IF(ORIG!P693=0,"",ORIG!P693)</f>
        <v/>
      </c>
      <c r="Q693" s="3">
        <f>IF(ORIG!Q693=0,"",ORIG!Q693)</f>
        <v/>
      </c>
      <c r="R693" s="3">
        <f>IF(ORIG!R693=0,"",ORIG!R693)</f>
        <v/>
      </c>
      <c r="S693" s="3">
        <f>IF(ORIG!S693=0,"",ORIG!S693)</f>
        <v/>
      </c>
      <c r="T693" s="3">
        <f>IF(ORIG!T693=0,"",ORIG!T693)</f>
        <v/>
      </c>
      <c r="U693" s="3">
        <f>IF(ORIG!U693=0,"",ORIG!U693)</f>
        <v/>
      </c>
      <c r="V693" s="9">
        <f>IF(ORIG!V693=0,"",ORIG!V693)</f>
        <v/>
      </c>
      <c r="W693" s="9">
        <f>IF(ORIG!W693=0,"",ORIG!W693)</f>
        <v/>
      </c>
      <c r="X693" s="9">
        <f>IF(ORIG!X693=0,"",ORIG!X693)</f>
        <v/>
      </c>
      <c r="Y693" s="9">
        <f>IF(ORIG!Y693=0,"",ORIG!Y693)</f>
        <v/>
      </c>
      <c r="Z693" s="3">
        <f>SUMPRODUCT($B693:$Y693,$B$2649:$Y$2649)</f>
        <v/>
      </c>
      <c r="AA693" s="3">
        <f>SUMPRODUCT($B693:$Y693,$B$2655:$Y$2655)</f>
        <v/>
      </c>
      <c r="AC693" s="1">
        <f>A693</f>
        <v/>
      </c>
      <c r="AD693">
        <f>IF(ISNUMBER(V693),V693*($AB$1/V$2635),"")</f>
        <v/>
      </c>
      <c r="AE693">
        <f>IF(ISNUMBER(Z693),Z693*($AB$1/Z$2635),"")</f>
        <v/>
      </c>
      <c r="AF693" s="25">
        <f>IF(ISNUMBER(AD693+AE693),AD693+AE693,"")</f>
        <v/>
      </c>
      <c r="AH693" s="1">
        <f>A693</f>
        <v/>
      </c>
      <c r="AI693">
        <f>IF(ISNUMBER((1+V693)*AI692),(1+V693)*AI692,AI692)</f>
        <v/>
      </c>
      <c r="AJ693">
        <f>IF(ISNUMBER((1+Z693)*AJ692),(1+Z693)*AJ692,AJ692)</f>
        <v/>
      </c>
    </row>
    <row r="694">
      <c r="A694" s="1" t="n">
        <v>43007</v>
      </c>
      <c r="B694" s="3">
        <f>IF(ORIG!B694=0,"",ORIG!B694)</f>
        <v/>
      </c>
      <c r="C694" s="3">
        <f>IF(ORIG!C694=0,"",ORIG!C694)</f>
        <v/>
      </c>
      <c r="D694" s="3">
        <f>IF(ORIG!D694=0,"",ORIG!D694)</f>
        <v/>
      </c>
      <c r="E694" s="3">
        <f>IF(ORIG!E694=0,"",ORIG!E694)</f>
        <v/>
      </c>
      <c r="F694" s="3">
        <f>IF(ORIG!F694=0,"",ORIG!F694)</f>
        <v/>
      </c>
      <c r="G694" s="3">
        <f>IF(ORIG!G694=0,"",ORIG!G694)</f>
        <v/>
      </c>
      <c r="H694" s="3">
        <f>IF(ORIG!H694=0,"",ORIG!H694)</f>
        <v/>
      </c>
      <c r="I694" s="3">
        <f>IF(ORIG!I694=0,"",ORIG!I694)</f>
        <v/>
      </c>
      <c r="J694" s="3">
        <f>IF(ORIG!J694=0,"",ORIG!J694)</f>
        <v/>
      </c>
      <c r="K694" s="3">
        <f>IF(ORIG!K694=0,"",ORIG!K694)</f>
        <v/>
      </c>
      <c r="L694" s="3">
        <f>IF(ORIG!L694=0,"",ORIG!L694)</f>
        <v/>
      </c>
      <c r="M694" s="3">
        <f>IF(ORIG!M694=0,"",ORIG!M694)</f>
        <v/>
      </c>
      <c r="N694" s="3">
        <f>IF(ORIG!N694=0,"",ORIG!N694)</f>
        <v/>
      </c>
      <c r="O694" s="3">
        <f>IF(ORIG!O694=0,"",ORIG!O694)</f>
        <v/>
      </c>
      <c r="P694" s="3">
        <f>IF(ORIG!P694=0,"",ORIG!P694)</f>
        <v/>
      </c>
      <c r="Q694" s="3">
        <f>IF(ORIG!Q694=0,"",ORIG!Q694)</f>
        <v/>
      </c>
      <c r="R694" s="3">
        <f>IF(ORIG!R694=0,"",ORIG!R694)</f>
        <v/>
      </c>
      <c r="S694" s="3">
        <f>IF(ORIG!S694=0,"",ORIG!S694)</f>
        <v/>
      </c>
      <c r="T694" s="3">
        <f>IF(ORIG!T694=0,"",ORIG!T694)</f>
        <v/>
      </c>
      <c r="U694" s="3">
        <f>IF(ORIG!U694=0,"",ORIG!U694)</f>
        <v/>
      </c>
      <c r="V694" s="9">
        <f>IF(ORIG!V694=0,"",ORIG!V694)</f>
        <v/>
      </c>
      <c r="W694" s="9">
        <f>IF(ORIG!W694=0,"",ORIG!W694)</f>
        <v/>
      </c>
      <c r="X694" s="9">
        <f>IF(ORIG!X694=0,"",ORIG!X694)</f>
        <v/>
      </c>
      <c r="Y694" s="9">
        <f>IF(ORIG!Y694=0,"",ORIG!Y694)</f>
        <v/>
      </c>
      <c r="Z694" s="3">
        <f>SUMPRODUCT($B694:$Y694,$B$2649:$Y$2649)</f>
        <v/>
      </c>
      <c r="AA694" s="3">
        <f>SUMPRODUCT($B694:$Y694,$B$2655:$Y$2655)</f>
        <v/>
      </c>
      <c r="AC694" s="1">
        <f>A694</f>
        <v/>
      </c>
      <c r="AD694">
        <f>IF(ISNUMBER(V694),V694*($AB$1/V$2635),"")</f>
        <v/>
      </c>
      <c r="AE694">
        <f>IF(ISNUMBER(Z694),Z694*($AB$1/Z$2635),"")</f>
        <v/>
      </c>
      <c r="AF694" s="25">
        <f>IF(ISNUMBER(AD694+AE694),AD694+AE694,"")</f>
        <v/>
      </c>
      <c r="AH694" s="1">
        <f>A694</f>
        <v/>
      </c>
      <c r="AI694">
        <f>IF(ISNUMBER((1+V694)*AI693),(1+V694)*AI693,AI693)</f>
        <v/>
      </c>
      <c r="AJ694">
        <f>IF(ISNUMBER((1+Z694)*AJ693),(1+Z694)*AJ693,AJ693)</f>
        <v/>
      </c>
    </row>
    <row r="695">
      <c r="A695" s="1" t="n">
        <v>43010</v>
      </c>
      <c r="B695" s="3">
        <f>IF(ORIG!B695=0,"",ORIG!B695)</f>
        <v/>
      </c>
      <c r="C695" s="3">
        <f>IF(ORIG!C695=0,"",ORIG!C695)</f>
        <v/>
      </c>
      <c r="D695" s="3">
        <f>IF(ORIG!D695=0,"",ORIG!D695)</f>
        <v/>
      </c>
      <c r="E695" s="3">
        <f>IF(ORIG!E695=0,"",ORIG!E695)</f>
        <v/>
      </c>
      <c r="F695" s="3">
        <f>IF(ORIG!F695=0,"",ORIG!F695)</f>
        <v/>
      </c>
      <c r="G695" s="3">
        <f>IF(ORIG!G695=0,"",ORIG!G695)</f>
        <v/>
      </c>
      <c r="H695" s="3">
        <f>IF(ORIG!H695=0,"",ORIG!H695)</f>
        <v/>
      </c>
      <c r="I695" s="3">
        <f>IF(ORIG!I695=0,"",ORIG!I695)</f>
        <v/>
      </c>
      <c r="J695" s="3">
        <f>IF(ORIG!J695=0,"",ORIG!J695)</f>
        <v/>
      </c>
      <c r="K695" s="3">
        <f>IF(ORIG!K695=0,"",ORIG!K695)</f>
        <v/>
      </c>
      <c r="L695" s="3">
        <f>IF(ORIG!L695=0,"",ORIG!L695)</f>
        <v/>
      </c>
      <c r="M695" s="3">
        <f>IF(ORIG!M695=0,"",ORIG!M695)</f>
        <v/>
      </c>
      <c r="N695" s="3">
        <f>IF(ORIG!N695=0,"",ORIG!N695)</f>
        <v/>
      </c>
      <c r="O695" s="3">
        <f>IF(ORIG!O695=0,"",ORIG!O695)</f>
        <v/>
      </c>
      <c r="P695" s="3">
        <f>IF(ORIG!P695=0,"",ORIG!P695)</f>
        <v/>
      </c>
      <c r="Q695" s="3">
        <f>IF(ORIG!Q695=0,"",ORIG!Q695)</f>
        <v/>
      </c>
      <c r="R695" s="3">
        <f>IF(ORIG!R695=0,"",ORIG!R695)</f>
        <v/>
      </c>
      <c r="S695" s="3">
        <f>IF(ORIG!S695=0,"",ORIG!S695)</f>
        <v/>
      </c>
      <c r="T695" s="3">
        <f>IF(ORIG!T695=0,"",ORIG!T695)</f>
        <v/>
      </c>
      <c r="U695" s="3">
        <f>IF(ORIG!U695=0,"",ORIG!U695)</f>
        <v/>
      </c>
      <c r="V695" s="9">
        <f>IF(ORIG!V695=0,"",ORIG!V695)</f>
        <v/>
      </c>
      <c r="W695" s="9">
        <f>IF(ORIG!W695=0,"",ORIG!W695)</f>
        <v/>
      </c>
      <c r="X695" s="9">
        <f>IF(ORIG!X695=0,"",ORIG!X695)</f>
        <v/>
      </c>
      <c r="Y695" s="9">
        <f>IF(ORIG!Y695=0,"",ORIG!Y695)</f>
        <v/>
      </c>
      <c r="Z695" s="3">
        <f>SUMPRODUCT($B695:$Y695,$B$2649:$Y$2649)</f>
        <v/>
      </c>
      <c r="AA695" s="3">
        <f>SUMPRODUCT($B695:$Y695,$B$2655:$Y$2655)</f>
        <v/>
      </c>
      <c r="AC695" s="1">
        <f>A695</f>
        <v/>
      </c>
      <c r="AD695">
        <f>IF(ISNUMBER(V695),V695*($AB$1/V$2635),"")</f>
        <v/>
      </c>
      <c r="AE695">
        <f>IF(ISNUMBER(Z695),Z695*($AB$1/Z$2635),"")</f>
        <v/>
      </c>
      <c r="AF695" s="25">
        <f>IF(ISNUMBER(AD695+AE695),AD695+AE695,"")</f>
        <v/>
      </c>
      <c r="AH695" s="1">
        <f>A695</f>
        <v/>
      </c>
      <c r="AI695">
        <f>IF(ISNUMBER((1+V695)*AI694),(1+V695)*AI694,AI694)</f>
        <v/>
      </c>
      <c r="AJ695">
        <f>IF(ISNUMBER((1+Z695)*AJ694),(1+Z695)*AJ694,AJ694)</f>
        <v/>
      </c>
    </row>
    <row r="696">
      <c r="A696" s="1" t="n">
        <v>43011</v>
      </c>
      <c r="B696" s="3">
        <f>IF(ORIG!B696=0,"",ORIG!B696)</f>
        <v/>
      </c>
      <c r="C696" s="3">
        <f>IF(ORIG!C696=0,"",ORIG!C696)</f>
        <v/>
      </c>
      <c r="D696" s="3">
        <f>IF(ORIG!D696=0,"",ORIG!D696)</f>
        <v/>
      </c>
      <c r="E696" s="3">
        <f>IF(ORIG!E696=0,"",ORIG!E696)</f>
        <v/>
      </c>
      <c r="F696" s="3">
        <f>IF(ORIG!F696=0,"",ORIG!F696)</f>
        <v/>
      </c>
      <c r="G696" s="3">
        <f>IF(ORIG!G696=0,"",ORIG!G696)</f>
        <v/>
      </c>
      <c r="H696" s="3">
        <f>IF(ORIG!H696=0,"",ORIG!H696)</f>
        <v/>
      </c>
      <c r="I696" s="3">
        <f>IF(ORIG!I696=0,"",ORIG!I696)</f>
        <v/>
      </c>
      <c r="J696" s="3">
        <f>IF(ORIG!J696=0,"",ORIG!J696)</f>
        <v/>
      </c>
      <c r="K696" s="3">
        <f>IF(ORIG!K696=0,"",ORIG!K696)</f>
        <v/>
      </c>
      <c r="L696" s="3">
        <f>IF(ORIG!L696=0,"",ORIG!L696)</f>
        <v/>
      </c>
      <c r="M696" s="3">
        <f>IF(ORIG!M696=0,"",ORIG!M696)</f>
        <v/>
      </c>
      <c r="N696" s="3">
        <f>IF(ORIG!N696=0,"",ORIG!N696)</f>
        <v/>
      </c>
      <c r="O696" s="3">
        <f>IF(ORIG!O696=0,"",ORIG!O696)</f>
        <v/>
      </c>
      <c r="P696" s="3">
        <f>IF(ORIG!P696=0,"",ORIG!P696)</f>
        <v/>
      </c>
      <c r="Q696" s="3">
        <f>IF(ORIG!Q696=0,"",ORIG!Q696)</f>
        <v/>
      </c>
      <c r="R696" s="3">
        <f>IF(ORIG!R696=0,"",ORIG!R696)</f>
        <v/>
      </c>
      <c r="S696" s="3">
        <f>IF(ORIG!S696=0,"",ORIG!S696)</f>
        <v/>
      </c>
      <c r="T696" s="3">
        <f>IF(ORIG!T696=0,"",ORIG!T696)</f>
        <v/>
      </c>
      <c r="U696" s="3">
        <f>IF(ORIG!U696=0,"",ORIG!U696)</f>
        <v/>
      </c>
      <c r="V696" s="9">
        <f>IF(ORIG!V696=0,"",ORIG!V696)</f>
        <v/>
      </c>
      <c r="W696" s="9">
        <f>IF(ORIG!W696=0,"",ORIG!W696)</f>
        <v/>
      </c>
      <c r="X696" s="9">
        <f>IF(ORIG!X696=0,"",ORIG!X696)</f>
        <v/>
      </c>
      <c r="Y696" s="9">
        <f>IF(ORIG!Y696=0,"",ORIG!Y696)</f>
        <v/>
      </c>
      <c r="Z696" s="3">
        <f>SUMPRODUCT($B696:$Y696,$B$2649:$Y$2649)</f>
        <v/>
      </c>
      <c r="AA696" s="3">
        <f>SUMPRODUCT($B696:$Y696,$B$2655:$Y$2655)</f>
        <v/>
      </c>
      <c r="AC696" s="1">
        <f>A696</f>
        <v/>
      </c>
      <c r="AD696">
        <f>IF(ISNUMBER(V696),V696*($AB$1/V$2635),"")</f>
        <v/>
      </c>
      <c r="AE696">
        <f>IF(ISNUMBER(Z696),Z696*($AB$1/Z$2635),"")</f>
        <v/>
      </c>
      <c r="AF696" s="25">
        <f>IF(ISNUMBER(AD696+AE696),AD696+AE696,"")</f>
        <v/>
      </c>
      <c r="AH696" s="1">
        <f>A696</f>
        <v/>
      </c>
      <c r="AI696">
        <f>IF(ISNUMBER((1+V696)*AI695),(1+V696)*AI695,AI695)</f>
        <v/>
      </c>
      <c r="AJ696">
        <f>IF(ISNUMBER((1+Z696)*AJ695),(1+Z696)*AJ695,AJ695)</f>
        <v/>
      </c>
    </row>
    <row r="697">
      <c r="A697" s="1" t="n">
        <v>43012</v>
      </c>
      <c r="B697" s="3">
        <f>IF(ORIG!B697=0,"",ORIG!B697)</f>
        <v/>
      </c>
      <c r="C697" s="3">
        <f>IF(ORIG!C697=0,"",ORIG!C697)</f>
        <v/>
      </c>
      <c r="D697" s="3">
        <f>IF(ORIG!D697=0,"",ORIG!D697)</f>
        <v/>
      </c>
      <c r="E697" s="3">
        <f>IF(ORIG!E697=0,"",ORIG!E697)</f>
        <v/>
      </c>
      <c r="F697" s="3">
        <f>IF(ORIG!F697=0,"",ORIG!F697)</f>
        <v/>
      </c>
      <c r="G697" s="3">
        <f>IF(ORIG!G697=0,"",ORIG!G697)</f>
        <v/>
      </c>
      <c r="H697" s="3">
        <f>IF(ORIG!H697=0,"",ORIG!H697)</f>
        <v/>
      </c>
      <c r="I697" s="3">
        <f>IF(ORIG!I697=0,"",ORIG!I697)</f>
        <v/>
      </c>
      <c r="J697" s="3">
        <f>IF(ORIG!J697=0,"",ORIG!J697)</f>
        <v/>
      </c>
      <c r="K697" s="3">
        <f>IF(ORIG!K697=0,"",ORIG!K697)</f>
        <v/>
      </c>
      <c r="L697" s="3">
        <f>IF(ORIG!L697=0,"",ORIG!L697)</f>
        <v/>
      </c>
      <c r="M697" s="3">
        <f>IF(ORIG!M697=0,"",ORIG!M697)</f>
        <v/>
      </c>
      <c r="N697" s="3">
        <f>IF(ORIG!N697=0,"",ORIG!N697)</f>
        <v/>
      </c>
      <c r="O697" s="3">
        <f>IF(ORIG!O697=0,"",ORIG!O697)</f>
        <v/>
      </c>
      <c r="P697" s="3">
        <f>IF(ORIG!P697=0,"",ORIG!P697)</f>
        <v/>
      </c>
      <c r="Q697" s="3">
        <f>IF(ORIG!Q697=0,"",ORIG!Q697)</f>
        <v/>
      </c>
      <c r="R697" s="3">
        <f>IF(ORIG!R697=0,"",ORIG!R697)</f>
        <v/>
      </c>
      <c r="S697" s="3">
        <f>IF(ORIG!S697=0,"",ORIG!S697)</f>
        <v/>
      </c>
      <c r="T697" s="3">
        <f>IF(ORIG!T697=0,"",ORIG!T697)</f>
        <v/>
      </c>
      <c r="U697" s="3">
        <f>IF(ORIG!U697=0,"",ORIG!U697)</f>
        <v/>
      </c>
      <c r="V697" s="9">
        <f>IF(ORIG!V697=0,"",ORIG!V697)</f>
        <v/>
      </c>
      <c r="W697" s="9">
        <f>IF(ORIG!W697=0,"",ORIG!W697)</f>
        <v/>
      </c>
      <c r="X697" s="9">
        <f>IF(ORIG!X697=0,"",ORIG!X697)</f>
        <v/>
      </c>
      <c r="Y697" s="9">
        <f>IF(ORIG!Y697=0,"",ORIG!Y697)</f>
        <v/>
      </c>
      <c r="Z697" s="3">
        <f>SUMPRODUCT($B697:$Y697,$B$2649:$Y$2649)</f>
        <v/>
      </c>
      <c r="AA697" s="3">
        <f>SUMPRODUCT($B697:$Y697,$B$2655:$Y$2655)</f>
        <v/>
      </c>
      <c r="AC697" s="1">
        <f>A697</f>
        <v/>
      </c>
      <c r="AD697">
        <f>IF(ISNUMBER(V697),V697*($AB$1/V$2635),"")</f>
        <v/>
      </c>
      <c r="AE697">
        <f>IF(ISNUMBER(Z697),Z697*($AB$1/Z$2635),"")</f>
        <v/>
      </c>
      <c r="AF697" s="25">
        <f>IF(ISNUMBER(AD697+AE697),AD697+AE697,"")</f>
        <v/>
      </c>
      <c r="AH697" s="1">
        <f>A697</f>
        <v/>
      </c>
      <c r="AI697">
        <f>IF(ISNUMBER((1+V697)*AI696),(1+V697)*AI696,AI696)</f>
        <v/>
      </c>
      <c r="AJ697">
        <f>IF(ISNUMBER((1+Z697)*AJ696),(1+Z697)*AJ696,AJ696)</f>
        <v/>
      </c>
    </row>
    <row r="698">
      <c r="A698" s="1" t="n">
        <v>43013</v>
      </c>
      <c r="B698" s="3">
        <f>IF(ORIG!B698=0,"",ORIG!B698)</f>
        <v/>
      </c>
      <c r="C698" s="3">
        <f>IF(ORIG!C698=0,"",ORIG!C698)</f>
        <v/>
      </c>
      <c r="D698" s="3">
        <f>IF(ORIG!D698=0,"",ORIG!D698)</f>
        <v/>
      </c>
      <c r="E698" s="3">
        <f>IF(ORIG!E698=0,"",ORIG!E698)</f>
        <v/>
      </c>
      <c r="F698" s="3">
        <f>IF(ORIG!F698=0,"",ORIG!F698)</f>
        <v/>
      </c>
      <c r="G698" s="3">
        <f>IF(ORIG!G698=0,"",ORIG!G698)</f>
        <v/>
      </c>
      <c r="H698" s="3">
        <f>IF(ORIG!H698=0,"",ORIG!H698)</f>
        <v/>
      </c>
      <c r="I698" s="3">
        <f>IF(ORIG!I698=0,"",ORIG!I698)</f>
        <v/>
      </c>
      <c r="J698" s="3">
        <f>IF(ORIG!J698=0,"",ORIG!J698)</f>
        <v/>
      </c>
      <c r="K698" s="3">
        <f>IF(ORIG!K698=0,"",ORIG!K698)</f>
        <v/>
      </c>
      <c r="L698" s="3">
        <f>IF(ORIG!L698=0,"",ORIG!L698)</f>
        <v/>
      </c>
      <c r="M698" s="3">
        <f>IF(ORIG!M698=0,"",ORIG!M698)</f>
        <v/>
      </c>
      <c r="N698" s="3">
        <f>IF(ORIG!N698=0,"",ORIG!N698)</f>
        <v/>
      </c>
      <c r="O698" s="3">
        <f>IF(ORIG!O698=0,"",ORIG!O698)</f>
        <v/>
      </c>
      <c r="P698" s="3">
        <f>IF(ORIG!P698=0,"",ORIG!P698)</f>
        <v/>
      </c>
      <c r="Q698" s="3">
        <f>IF(ORIG!Q698=0,"",ORIG!Q698)</f>
        <v/>
      </c>
      <c r="R698" s="3">
        <f>IF(ORIG!R698=0,"",ORIG!R698)</f>
        <v/>
      </c>
      <c r="S698" s="3">
        <f>IF(ORIG!S698=0,"",ORIG!S698)</f>
        <v/>
      </c>
      <c r="T698" s="3">
        <f>IF(ORIG!T698=0,"",ORIG!T698)</f>
        <v/>
      </c>
      <c r="U698" s="3">
        <f>IF(ORIG!U698=0,"",ORIG!U698)</f>
        <v/>
      </c>
      <c r="V698" s="9">
        <f>IF(ORIG!V698=0,"",ORIG!V698)</f>
        <v/>
      </c>
      <c r="W698" s="9">
        <f>IF(ORIG!W698=0,"",ORIG!W698)</f>
        <v/>
      </c>
      <c r="X698" s="9">
        <f>IF(ORIG!X698=0,"",ORIG!X698)</f>
        <v/>
      </c>
      <c r="Y698" s="9">
        <f>IF(ORIG!Y698=0,"",ORIG!Y698)</f>
        <v/>
      </c>
      <c r="Z698" s="3">
        <f>SUMPRODUCT($B698:$Y698,$B$2649:$Y$2649)</f>
        <v/>
      </c>
      <c r="AA698" s="3">
        <f>SUMPRODUCT($B698:$Y698,$B$2655:$Y$2655)</f>
        <v/>
      </c>
      <c r="AC698" s="1">
        <f>A698</f>
        <v/>
      </c>
      <c r="AD698">
        <f>IF(ISNUMBER(V698),V698*($AB$1/V$2635),"")</f>
        <v/>
      </c>
      <c r="AE698">
        <f>IF(ISNUMBER(Z698),Z698*($AB$1/Z$2635),"")</f>
        <v/>
      </c>
      <c r="AF698" s="25">
        <f>IF(ISNUMBER(AD698+AE698),AD698+AE698,"")</f>
        <v/>
      </c>
      <c r="AH698" s="1">
        <f>A698</f>
        <v/>
      </c>
      <c r="AI698">
        <f>IF(ISNUMBER((1+V698)*AI697),(1+V698)*AI697,AI697)</f>
        <v/>
      </c>
      <c r="AJ698">
        <f>IF(ISNUMBER((1+Z698)*AJ697),(1+Z698)*AJ697,AJ697)</f>
        <v/>
      </c>
    </row>
    <row r="699">
      <c r="A699" s="1" t="n">
        <v>43014</v>
      </c>
      <c r="B699" s="3">
        <f>IF(ORIG!B699=0,"",ORIG!B699)</f>
        <v/>
      </c>
      <c r="C699" s="3">
        <f>IF(ORIG!C699=0,"",ORIG!C699)</f>
        <v/>
      </c>
      <c r="D699" s="3">
        <f>IF(ORIG!D699=0,"",ORIG!D699)</f>
        <v/>
      </c>
      <c r="E699" s="3">
        <f>IF(ORIG!E699=0,"",ORIG!E699)</f>
        <v/>
      </c>
      <c r="F699" s="3">
        <f>IF(ORIG!F699=0,"",ORIG!F699)</f>
        <v/>
      </c>
      <c r="G699" s="3">
        <f>IF(ORIG!G699=0,"",ORIG!G699)</f>
        <v/>
      </c>
      <c r="H699" s="3">
        <f>IF(ORIG!H699=0,"",ORIG!H699)</f>
        <v/>
      </c>
      <c r="I699" s="3">
        <f>IF(ORIG!I699=0,"",ORIG!I699)</f>
        <v/>
      </c>
      <c r="J699" s="3">
        <f>IF(ORIG!J699=0,"",ORIG!J699)</f>
        <v/>
      </c>
      <c r="K699" s="3">
        <f>IF(ORIG!K699=0,"",ORIG!K699)</f>
        <v/>
      </c>
      <c r="L699" s="3">
        <f>IF(ORIG!L699=0,"",ORIG!L699)</f>
        <v/>
      </c>
      <c r="M699" s="3">
        <f>IF(ORIG!M699=0,"",ORIG!M699)</f>
        <v/>
      </c>
      <c r="N699" s="3">
        <f>IF(ORIG!N699=0,"",ORIG!N699)</f>
        <v/>
      </c>
      <c r="O699" s="3">
        <f>IF(ORIG!O699=0,"",ORIG!O699)</f>
        <v/>
      </c>
      <c r="P699" s="3">
        <f>IF(ORIG!P699=0,"",ORIG!P699)</f>
        <v/>
      </c>
      <c r="Q699" s="3">
        <f>IF(ORIG!Q699=0,"",ORIG!Q699)</f>
        <v/>
      </c>
      <c r="R699" s="3">
        <f>IF(ORIG!R699=0,"",ORIG!R699)</f>
        <v/>
      </c>
      <c r="S699" s="3">
        <f>IF(ORIG!S699=0,"",ORIG!S699)</f>
        <v/>
      </c>
      <c r="T699" s="3">
        <f>IF(ORIG!T699=0,"",ORIG!T699)</f>
        <v/>
      </c>
      <c r="U699" s="3">
        <f>IF(ORIG!U699=0,"",ORIG!U699)</f>
        <v/>
      </c>
      <c r="V699" s="9">
        <f>IF(ORIG!V699=0,"",ORIG!V699)</f>
        <v/>
      </c>
      <c r="W699" s="9">
        <f>IF(ORIG!W699=0,"",ORIG!W699)</f>
        <v/>
      </c>
      <c r="X699" s="9">
        <f>IF(ORIG!X699=0,"",ORIG!X699)</f>
        <v/>
      </c>
      <c r="Y699" s="9">
        <f>IF(ORIG!Y699=0,"",ORIG!Y699)</f>
        <v/>
      </c>
      <c r="Z699" s="3">
        <f>SUMPRODUCT($B699:$Y699,$B$2649:$Y$2649)</f>
        <v/>
      </c>
      <c r="AA699" s="3">
        <f>SUMPRODUCT($B699:$Y699,$B$2655:$Y$2655)</f>
        <v/>
      </c>
      <c r="AC699" s="1">
        <f>A699</f>
        <v/>
      </c>
      <c r="AD699">
        <f>IF(ISNUMBER(V699),V699*($AB$1/V$2635),"")</f>
        <v/>
      </c>
      <c r="AE699">
        <f>IF(ISNUMBER(Z699),Z699*($AB$1/Z$2635),"")</f>
        <v/>
      </c>
      <c r="AF699" s="25">
        <f>IF(ISNUMBER(AD699+AE699),AD699+AE699,"")</f>
        <v/>
      </c>
      <c r="AH699" s="1">
        <f>A699</f>
        <v/>
      </c>
      <c r="AI699">
        <f>IF(ISNUMBER((1+V699)*AI698),(1+V699)*AI698,AI698)</f>
        <v/>
      </c>
      <c r="AJ699">
        <f>IF(ISNUMBER((1+Z699)*AJ698),(1+Z699)*AJ698,AJ698)</f>
        <v/>
      </c>
    </row>
    <row r="700">
      <c r="A700" s="1" t="n">
        <v>43017</v>
      </c>
      <c r="B700" s="3">
        <f>IF(ORIG!B700=0,"",ORIG!B700)</f>
        <v/>
      </c>
      <c r="C700" s="3">
        <f>IF(ORIG!C700=0,"",ORIG!C700)</f>
        <v/>
      </c>
      <c r="D700" s="3">
        <f>IF(ORIG!D700=0,"",ORIG!D700)</f>
        <v/>
      </c>
      <c r="E700" s="3">
        <f>IF(ORIG!E700=0,"",ORIG!E700)</f>
        <v/>
      </c>
      <c r="F700" s="3">
        <f>IF(ORIG!F700=0,"",ORIG!F700)</f>
        <v/>
      </c>
      <c r="G700" s="3">
        <f>IF(ORIG!G700=0,"",ORIG!G700)</f>
        <v/>
      </c>
      <c r="H700" s="3">
        <f>IF(ORIG!H700=0,"",ORIG!H700)</f>
        <v/>
      </c>
      <c r="I700" s="3">
        <f>IF(ORIG!I700=0,"",ORIG!I700)</f>
        <v/>
      </c>
      <c r="J700" s="3">
        <f>IF(ORIG!J700=0,"",ORIG!J700)</f>
        <v/>
      </c>
      <c r="K700" s="3">
        <f>IF(ORIG!K700=0,"",ORIG!K700)</f>
        <v/>
      </c>
      <c r="L700" s="3">
        <f>IF(ORIG!L700=0,"",ORIG!L700)</f>
        <v/>
      </c>
      <c r="M700" s="3">
        <f>IF(ORIG!M700=0,"",ORIG!M700)</f>
        <v/>
      </c>
      <c r="N700" s="3">
        <f>IF(ORIG!N700=0,"",ORIG!N700)</f>
        <v/>
      </c>
      <c r="O700" s="3">
        <f>IF(ORIG!O700=0,"",ORIG!O700)</f>
        <v/>
      </c>
      <c r="P700" s="3">
        <f>IF(ORIG!P700=0,"",ORIG!P700)</f>
        <v/>
      </c>
      <c r="Q700" s="3">
        <f>IF(ORIG!Q700=0,"",ORIG!Q700)</f>
        <v/>
      </c>
      <c r="R700" s="3">
        <f>IF(ORIG!R700=0,"",ORIG!R700)</f>
        <v/>
      </c>
      <c r="S700" s="3">
        <f>IF(ORIG!S700=0,"",ORIG!S700)</f>
        <v/>
      </c>
      <c r="T700" s="3">
        <f>IF(ORIG!T700=0,"",ORIG!T700)</f>
        <v/>
      </c>
      <c r="U700" s="3">
        <f>IF(ORIG!U700=0,"",ORIG!U700)</f>
        <v/>
      </c>
      <c r="V700" s="9">
        <f>IF(ORIG!V700=0,"",ORIG!V700)</f>
        <v/>
      </c>
      <c r="W700" s="9">
        <f>IF(ORIG!W700=0,"",ORIG!W700)</f>
        <v/>
      </c>
      <c r="X700" s="9">
        <f>IF(ORIG!X700=0,"",ORIG!X700)</f>
        <v/>
      </c>
      <c r="Y700" s="9">
        <f>IF(ORIG!Y700=0,"",ORIG!Y700)</f>
        <v/>
      </c>
      <c r="Z700" s="3">
        <f>SUMPRODUCT($B700:$Y700,$B$2649:$Y$2649)</f>
        <v/>
      </c>
      <c r="AA700" s="3">
        <f>SUMPRODUCT($B700:$Y700,$B$2655:$Y$2655)</f>
        <v/>
      </c>
      <c r="AC700" s="1">
        <f>A700</f>
        <v/>
      </c>
      <c r="AD700">
        <f>IF(ISNUMBER(V700),V700*($AB$1/V$2635),"")</f>
        <v/>
      </c>
      <c r="AE700">
        <f>IF(ISNUMBER(Z700),Z700*($AB$1/Z$2635),"")</f>
        <v/>
      </c>
      <c r="AF700" s="25">
        <f>IF(ISNUMBER(AD700+AE700),AD700+AE700,"")</f>
        <v/>
      </c>
      <c r="AH700" s="1">
        <f>A700</f>
        <v/>
      </c>
      <c r="AI700">
        <f>IF(ISNUMBER((1+V700)*AI699),(1+V700)*AI699,AI699)</f>
        <v/>
      </c>
      <c r="AJ700">
        <f>IF(ISNUMBER((1+Z700)*AJ699),(1+Z700)*AJ699,AJ699)</f>
        <v/>
      </c>
    </row>
    <row r="701">
      <c r="A701" s="1" t="n">
        <v>43018</v>
      </c>
      <c r="B701" s="3">
        <f>IF(ORIG!B701=0,"",ORIG!B701)</f>
        <v/>
      </c>
      <c r="C701" s="3">
        <f>IF(ORIG!C701=0,"",ORIG!C701)</f>
        <v/>
      </c>
      <c r="D701" s="3">
        <f>IF(ORIG!D701=0,"",ORIG!D701)</f>
        <v/>
      </c>
      <c r="E701" s="3">
        <f>IF(ORIG!E701=0,"",ORIG!E701)</f>
        <v/>
      </c>
      <c r="F701" s="3">
        <f>IF(ORIG!F701=0,"",ORIG!F701)</f>
        <v/>
      </c>
      <c r="G701" s="3">
        <f>IF(ORIG!G701=0,"",ORIG!G701)</f>
        <v/>
      </c>
      <c r="H701" s="3">
        <f>IF(ORIG!H701=0,"",ORIG!H701)</f>
        <v/>
      </c>
      <c r="I701" s="3">
        <f>IF(ORIG!I701=0,"",ORIG!I701)</f>
        <v/>
      </c>
      <c r="J701" s="3">
        <f>IF(ORIG!J701=0,"",ORIG!J701)</f>
        <v/>
      </c>
      <c r="K701" s="3">
        <f>IF(ORIG!K701=0,"",ORIG!K701)</f>
        <v/>
      </c>
      <c r="L701" s="3">
        <f>IF(ORIG!L701=0,"",ORIG!L701)</f>
        <v/>
      </c>
      <c r="M701" s="3">
        <f>IF(ORIG!M701=0,"",ORIG!M701)</f>
        <v/>
      </c>
      <c r="N701" s="3">
        <f>IF(ORIG!N701=0,"",ORIG!N701)</f>
        <v/>
      </c>
      <c r="O701" s="3">
        <f>IF(ORIG!O701=0,"",ORIG!O701)</f>
        <v/>
      </c>
      <c r="P701" s="3">
        <f>IF(ORIG!P701=0,"",ORIG!P701)</f>
        <v/>
      </c>
      <c r="Q701" s="3">
        <f>IF(ORIG!Q701=0,"",ORIG!Q701)</f>
        <v/>
      </c>
      <c r="R701" s="3">
        <f>IF(ORIG!R701=0,"",ORIG!R701)</f>
        <v/>
      </c>
      <c r="S701" s="3">
        <f>IF(ORIG!S701=0,"",ORIG!S701)</f>
        <v/>
      </c>
      <c r="T701" s="3">
        <f>IF(ORIG!T701=0,"",ORIG!T701)</f>
        <v/>
      </c>
      <c r="U701" s="3">
        <f>IF(ORIG!U701=0,"",ORIG!U701)</f>
        <v/>
      </c>
      <c r="V701" s="9">
        <f>IF(ORIG!V701=0,"",ORIG!V701)</f>
        <v/>
      </c>
      <c r="W701" s="9">
        <f>IF(ORIG!W701=0,"",ORIG!W701)</f>
        <v/>
      </c>
      <c r="X701" s="9">
        <f>IF(ORIG!X701=0,"",ORIG!X701)</f>
        <v/>
      </c>
      <c r="Y701" s="9">
        <f>IF(ORIG!Y701=0,"",ORIG!Y701)</f>
        <v/>
      </c>
      <c r="Z701" s="3">
        <f>SUMPRODUCT($B701:$Y701,$B$2649:$Y$2649)</f>
        <v/>
      </c>
      <c r="AA701" s="3">
        <f>SUMPRODUCT($B701:$Y701,$B$2655:$Y$2655)</f>
        <v/>
      </c>
      <c r="AC701" s="1">
        <f>A701</f>
        <v/>
      </c>
      <c r="AD701">
        <f>IF(ISNUMBER(V701),V701*($AB$1/V$2635),"")</f>
        <v/>
      </c>
      <c r="AE701">
        <f>IF(ISNUMBER(Z701),Z701*($AB$1/Z$2635),"")</f>
        <v/>
      </c>
      <c r="AF701" s="25">
        <f>IF(ISNUMBER(AD701+AE701),AD701+AE701,"")</f>
        <v/>
      </c>
      <c r="AH701" s="1">
        <f>A701</f>
        <v/>
      </c>
      <c r="AI701">
        <f>IF(ISNUMBER((1+V701)*AI700),(1+V701)*AI700,AI700)</f>
        <v/>
      </c>
      <c r="AJ701">
        <f>IF(ISNUMBER((1+Z701)*AJ700),(1+Z701)*AJ700,AJ700)</f>
        <v/>
      </c>
    </row>
    <row r="702">
      <c r="A702" s="1" t="n">
        <v>43019</v>
      </c>
      <c r="B702" s="3">
        <f>IF(ORIG!B702=0,"",ORIG!B702)</f>
        <v/>
      </c>
      <c r="C702" s="3">
        <f>IF(ORIG!C702=0,"",ORIG!C702)</f>
        <v/>
      </c>
      <c r="D702" s="3">
        <f>IF(ORIG!D702=0,"",ORIG!D702)</f>
        <v/>
      </c>
      <c r="E702" s="3">
        <f>IF(ORIG!E702=0,"",ORIG!E702)</f>
        <v/>
      </c>
      <c r="F702" s="3">
        <f>IF(ORIG!F702=0,"",ORIG!F702)</f>
        <v/>
      </c>
      <c r="G702" s="3">
        <f>IF(ORIG!G702=0,"",ORIG!G702)</f>
        <v/>
      </c>
      <c r="H702" s="3">
        <f>IF(ORIG!H702=0,"",ORIG!H702)</f>
        <v/>
      </c>
      <c r="I702" s="3">
        <f>IF(ORIG!I702=0,"",ORIG!I702)</f>
        <v/>
      </c>
      <c r="J702" s="3">
        <f>IF(ORIG!J702=0,"",ORIG!J702)</f>
        <v/>
      </c>
      <c r="K702" s="3">
        <f>IF(ORIG!K702=0,"",ORIG!K702)</f>
        <v/>
      </c>
      <c r="L702" s="3">
        <f>IF(ORIG!L702=0,"",ORIG!L702)</f>
        <v/>
      </c>
      <c r="M702" s="3">
        <f>IF(ORIG!M702=0,"",ORIG!M702)</f>
        <v/>
      </c>
      <c r="N702" s="3">
        <f>IF(ORIG!N702=0,"",ORIG!N702)</f>
        <v/>
      </c>
      <c r="O702" s="3">
        <f>IF(ORIG!O702=0,"",ORIG!O702)</f>
        <v/>
      </c>
      <c r="P702" s="3">
        <f>IF(ORIG!P702=0,"",ORIG!P702)</f>
        <v/>
      </c>
      <c r="Q702" s="3">
        <f>IF(ORIG!Q702=0,"",ORIG!Q702)</f>
        <v/>
      </c>
      <c r="R702" s="3">
        <f>IF(ORIG!R702=0,"",ORIG!R702)</f>
        <v/>
      </c>
      <c r="S702" s="3">
        <f>IF(ORIG!S702=0,"",ORIG!S702)</f>
        <v/>
      </c>
      <c r="T702" s="3">
        <f>IF(ORIG!T702=0,"",ORIG!T702)</f>
        <v/>
      </c>
      <c r="U702" s="3">
        <f>IF(ORIG!U702=0,"",ORIG!U702)</f>
        <v/>
      </c>
      <c r="V702" s="9">
        <f>IF(ORIG!V702=0,"",ORIG!V702)</f>
        <v/>
      </c>
      <c r="W702" s="9">
        <f>IF(ORIG!W702=0,"",ORIG!W702)</f>
        <v/>
      </c>
      <c r="X702" s="9">
        <f>IF(ORIG!X702=0,"",ORIG!X702)</f>
        <v/>
      </c>
      <c r="Y702" s="9">
        <f>IF(ORIG!Y702=0,"",ORIG!Y702)</f>
        <v/>
      </c>
      <c r="Z702" s="3">
        <f>SUMPRODUCT($B702:$Y702,$B$2649:$Y$2649)</f>
        <v/>
      </c>
      <c r="AA702" s="3">
        <f>SUMPRODUCT($B702:$Y702,$B$2655:$Y$2655)</f>
        <v/>
      </c>
      <c r="AC702" s="1">
        <f>A702</f>
        <v/>
      </c>
      <c r="AD702">
        <f>IF(ISNUMBER(V702),V702*($AB$1/V$2635),"")</f>
        <v/>
      </c>
      <c r="AE702">
        <f>IF(ISNUMBER(Z702),Z702*($AB$1/Z$2635),"")</f>
        <v/>
      </c>
      <c r="AF702" s="25">
        <f>IF(ISNUMBER(AD702+AE702),AD702+AE702,"")</f>
        <v/>
      </c>
      <c r="AH702" s="1">
        <f>A702</f>
        <v/>
      </c>
      <c r="AI702">
        <f>IF(ISNUMBER((1+V702)*AI701),(1+V702)*AI701,AI701)</f>
        <v/>
      </c>
      <c r="AJ702">
        <f>IF(ISNUMBER((1+Z702)*AJ701),(1+Z702)*AJ701,AJ701)</f>
        <v/>
      </c>
    </row>
    <row r="703">
      <c r="A703" s="1" t="n">
        <v>43020</v>
      </c>
      <c r="B703" s="3">
        <f>IF(ORIG!B703=0,"",ORIG!B703)</f>
        <v/>
      </c>
      <c r="C703" s="3">
        <f>IF(ORIG!C703=0,"",ORIG!C703)</f>
        <v/>
      </c>
      <c r="D703" s="3">
        <f>IF(ORIG!D703=0,"",ORIG!D703)</f>
        <v/>
      </c>
      <c r="E703" s="3">
        <f>IF(ORIG!E703=0,"",ORIG!E703)</f>
        <v/>
      </c>
      <c r="F703" s="3">
        <f>IF(ORIG!F703=0,"",ORIG!F703)</f>
        <v/>
      </c>
      <c r="G703" s="3">
        <f>IF(ORIG!G703=0,"",ORIG!G703)</f>
        <v/>
      </c>
      <c r="H703" s="3">
        <f>IF(ORIG!H703=0,"",ORIG!H703)</f>
        <v/>
      </c>
      <c r="I703" s="3">
        <f>IF(ORIG!I703=0,"",ORIG!I703)</f>
        <v/>
      </c>
      <c r="J703" s="3">
        <f>IF(ORIG!J703=0,"",ORIG!J703)</f>
        <v/>
      </c>
      <c r="K703" s="3">
        <f>IF(ORIG!K703=0,"",ORIG!K703)</f>
        <v/>
      </c>
      <c r="L703" s="3">
        <f>IF(ORIG!L703=0,"",ORIG!L703)</f>
        <v/>
      </c>
      <c r="M703" s="3">
        <f>IF(ORIG!M703=0,"",ORIG!M703)</f>
        <v/>
      </c>
      <c r="N703" s="3">
        <f>IF(ORIG!N703=0,"",ORIG!N703)</f>
        <v/>
      </c>
      <c r="O703" s="3">
        <f>IF(ORIG!O703=0,"",ORIG!O703)</f>
        <v/>
      </c>
      <c r="P703" s="3">
        <f>IF(ORIG!P703=0,"",ORIG!P703)</f>
        <v/>
      </c>
      <c r="Q703" s="3">
        <f>IF(ORIG!Q703=0,"",ORIG!Q703)</f>
        <v/>
      </c>
      <c r="R703" s="3">
        <f>IF(ORIG!R703=0,"",ORIG!R703)</f>
        <v/>
      </c>
      <c r="S703" s="3">
        <f>IF(ORIG!S703=0,"",ORIG!S703)</f>
        <v/>
      </c>
      <c r="T703" s="3">
        <f>IF(ORIG!T703=0,"",ORIG!T703)</f>
        <v/>
      </c>
      <c r="U703" s="3">
        <f>IF(ORIG!U703=0,"",ORIG!U703)</f>
        <v/>
      </c>
      <c r="V703" s="9">
        <f>IF(ORIG!V703=0,"",ORIG!V703)</f>
        <v/>
      </c>
      <c r="W703" s="9">
        <f>IF(ORIG!W703=0,"",ORIG!W703)</f>
        <v/>
      </c>
      <c r="X703" s="9">
        <f>IF(ORIG!X703=0,"",ORIG!X703)</f>
        <v/>
      </c>
      <c r="Y703" s="9">
        <f>IF(ORIG!Y703=0,"",ORIG!Y703)</f>
        <v/>
      </c>
      <c r="Z703" s="3">
        <f>SUMPRODUCT($B703:$Y703,$B$2649:$Y$2649)</f>
        <v/>
      </c>
      <c r="AA703" s="3">
        <f>SUMPRODUCT($B703:$Y703,$B$2655:$Y$2655)</f>
        <v/>
      </c>
      <c r="AC703" s="1">
        <f>A703</f>
        <v/>
      </c>
      <c r="AD703">
        <f>IF(ISNUMBER(V703),V703*($AB$1/V$2635),"")</f>
        <v/>
      </c>
      <c r="AE703">
        <f>IF(ISNUMBER(Z703),Z703*($AB$1/Z$2635),"")</f>
        <v/>
      </c>
      <c r="AF703" s="25">
        <f>IF(ISNUMBER(AD703+AE703),AD703+AE703,"")</f>
        <v/>
      </c>
      <c r="AH703" s="1">
        <f>A703</f>
        <v/>
      </c>
      <c r="AI703">
        <f>IF(ISNUMBER((1+V703)*AI702),(1+V703)*AI702,AI702)</f>
        <v/>
      </c>
      <c r="AJ703">
        <f>IF(ISNUMBER((1+Z703)*AJ702),(1+Z703)*AJ702,AJ702)</f>
        <v/>
      </c>
    </row>
    <row r="704">
      <c r="A704" s="1" t="n">
        <v>43021</v>
      </c>
      <c r="B704" s="3">
        <f>IF(ORIG!B704=0,"",ORIG!B704)</f>
        <v/>
      </c>
      <c r="C704" s="3">
        <f>IF(ORIG!C704=0,"",ORIG!C704)</f>
        <v/>
      </c>
      <c r="D704" s="3">
        <f>IF(ORIG!D704=0,"",ORIG!D704)</f>
        <v/>
      </c>
      <c r="E704" s="3">
        <f>IF(ORIG!E704=0,"",ORIG!E704)</f>
        <v/>
      </c>
      <c r="F704" s="3">
        <f>IF(ORIG!F704=0,"",ORIG!F704)</f>
        <v/>
      </c>
      <c r="G704" s="3">
        <f>IF(ORIG!G704=0,"",ORIG!G704)</f>
        <v/>
      </c>
      <c r="H704" s="3">
        <f>IF(ORIG!H704=0,"",ORIG!H704)</f>
        <v/>
      </c>
      <c r="I704" s="3">
        <f>IF(ORIG!I704=0,"",ORIG!I704)</f>
        <v/>
      </c>
      <c r="J704" s="3">
        <f>IF(ORIG!J704=0,"",ORIG!J704)</f>
        <v/>
      </c>
      <c r="K704" s="3">
        <f>IF(ORIG!K704=0,"",ORIG!K704)</f>
        <v/>
      </c>
      <c r="L704" s="3">
        <f>IF(ORIG!L704=0,"",ORIG!L704)</f>
        <v/>
      </c>
      <c r="M704" s="3">
        <f>IF(ORIG!M704=0,"",ORIG!M704)</f>
        <v/>
      </c>
      <c r="N704" s="3">
        <f>IF(ORIG!N704=0,"",ORIG!N704)</f>
        <v/>
      </c>
      <c r="O704" s="3">
        <f>IF(ORIG!O704=0,"",ORIG!O704)</f>
        <v/>
      </c>
      <c r="P704" s="3">
        <f>IF(ORIG!P704=0,"",ORIG!P704)</f>
        <v/>
      </c>
      <c r="Q704" s="3">
        <f>IF(ORIG!Q704=0,"",ORIG!Q704)</f>
        <v/>
      </c>
      <c r="R704" s="3">
        <f>IF(ORIG!R704=0,"",ORIG!R704)</f>
        <v/>
      </c>
      <c r="S704" s="3">
        <f>IF(ORIG!S704=0,"",ORIG!S704)</f>
        <v/>
      </c>
      <c r="T704" s="3">
        <f>IF(ORIG!T704=0,"",ORIG!T704)</f>
        <v/>
      </c>
      <c r="U704" s="3">
        <f>IF(ORIG!U704=0,"",ORIG!U704)</f>
        <v/>
      </c>
      <c r="V704" s="9">
        <f>IF(ORIG!V704=0,"",ORIG!V704)</f>
        <v/>
      </c>
      <c r="W704" s="9">
        <f>IF(ORIG!W704=0,"",ORIG!W704)</f>
        <v/>
      </c>
      <c r="X704" s="9">
        <f>IF(ORIG!X704=0,"",ORIG!X704)</f>
        <v/>
      </c>
      <c r="Y704" s="9">
        <f>IF(ORIG!Y704=0,"",ORIG!Y704)</f>
        <v/>
      </c>
      <c r="Z704" s="3">
        <f>SUMPRODUCT($B704:$Y704,$B$2649:$Y$2649)</f>
        <v/>
      </c>
      <c r="AA704" s="3">
        <f>SUMPRODUCT($B704:$Y704,$B$2655:$Y$2655)</f>
        <v/>
      </c>
      <c r="AC704" s="1">
        <f>A704</f>
        <v/>
      </c>
      <c r="AD704">
        <f>IF(ISNUMBER(V704),V704*($AB$1/V$2635),"")</f>
        <v/>
      </c>
      <c r="AE704">
        <f>IF(ISNUMBER(Z704),Z704*($AB$1/Z$2635),"")</f>
        <v/>
      </c>
      <c r="AF704" s="25">
        <f>IF(ISNUMBER(AD704+AE704),AD704+AE704,"")</f>
        <v/>
      </c>
      <c r="AH704" s="1">
        <f>A704</f>
        <v/>
      </c>
      <c r="AI704">
        <f>IF(ISNUMBER((1+V704)*AI703),(1+V704)*AI703,AI703)</f>
        <v/>
      </c>
      <c r="AJ704">
        <f>IF(ISNUMBER((1+Z704)*AJ703),(1+Z704)*AJ703,AJ703)</f>
        <v/>
      </c>
    </row>
    <row r="705">
      <c r="A705" s="1" t="n">
        <v>43024</v>
      </c>
      <c r="B705" s="3">
        <f>IF(ORIG!B705=0,"",ORIG!B705)</f>
        <v/>
      </c>
      <c r="C705" s="3">
        <f>IF(ORIG!C705=0,"",ORIG!C705)</f>
        <v/>
      </c>
      <c r="D705" s="3">
        <f>IF(ORIG!D705=0,"",ORIG!D705)</f>
        <v/>
      </c>
      <c r="E705" s="3">
        <f>IF(ORIG!E705=0,"",ORIG!E705)</f>
        <v/>
      </c>
      <c r="F705" s="3">
        <f>IF(ORIG!F705=0,"",ORIG!F705)</f>
        <v/>
      </c>
      <c r="G705" s="3">
        <f>IF(ORIG!G705=0,"",ORIG!G705)</f>
        <v/>
      </c>
      <c r="H705" s="3">
        <f>IF(ORIG!H705=0,"",ORIG!H705)</f>
        <v/>
      </c>
      <c r="I705" s="3">
        <f>IF(ORIG!I705=0,"",ORIG!I705)</f>
        <v/>
      </c>
      <c r="J705" s="3">
        <f>IF(ORIG!J705=0,"",ORIG!J705)</f>
        <v/>
      </c>
      <c r="K705" s="3">
        <f>IF(ORIG!K705=0,"",ORIG!K705)</f>
        <v/>
      </c>
      <c r="L705" s="3">
        <f>IF(ORIG!L705=0,"",ORIG!L705)</f>
        <v/>
      </c>
      <c r="M705" s="3">
        <f>IF(ORIG!M705=0,"",ORIG!M705)</f>
        <v/>
      </c>
      <c r="N705" s="3">
        <f>IF(ORIG!N705=0,"",ORIG!N705)</f>
        <v/>
      </c>
      <c r="O705" s="3">
        <f>IF(ORIG!O705=0,"",ORIG!O705)</f>
        <v/>
      </c>
      <c r="P705" s="3">
        <f>IF(ORIG!P705=0,"",ORIG!P705)</f>
        <v/>
      </c>
      <c r="Q705" s="3">
        <f>IF(ORIG!Q705=0,"",ORIG!Q705)</f>
        <v/>
      </c>
      <c r="R705" s="3">
        <f>IF(ORIG!R705=0,"",ORIG!R705)</f>
        <v/>
      </c>
      <c r="S705" s="3">
        <f>IF(ORIG!S705=0,"",ORIG!S705)</f>
        <v/>
      </c>
      <c r="T705" s="3">
        <f>IF(ORIG!T705=0,"",ORIG!T705)</f>
        <v/>
      </c>
      <c r="U705" s="3">
        <f>IF(ORIG!U705=0,"",ORIG!U705)</f>
        <v/>
      </c>
      <c r="V705" s="9">
        <f>IF(ORIG!V705=0,"",ORIG!V705)</f>
        <v/>
      </c>
      <c r="W705" s="9">
        <f>IF(ORIG!W705=0,"",ORIG!W705)</f>
        <v/>
      </c>
      <c r="X705" s="9">
        <f>IF(ORIG!X705=0,"",ORIG!X705)</f>
        <v/>
      </c>
      <c r="Y705" s="9">
        <f>IF(ORIG!Y705=0,"",ORIG!Y705)</f>
        <v/>
      </c>
      <c r="Z705" s="3">
        <f>SUMPRODUCT($B705:$Y705,$B$2649:$Y$2649)</f>
        <v/>
      </c>
      <c r="AA705" s="3">
        <f>SUMPRODUCT($B705:$Y705,$B$2655:$Y$2655)</f>
        <v/>
      </c>
      <c r="AC705" s="1">
        <f>A705</f>
        <v/>
      </c>
      <c r="AD705">
        <f>IF(ISNUMBER(V705),V705*($AB$1/V$2635),"")</f>
        <v/>
      </c>
      <c r="AE705">
        <f>IF(ISNUMBER(Z705),Z705*($AB$1/Z$2635),"")</f>
        <v/>
      </c>
      <c r="AF705" s="25">
        <f>IF(ISNUMBER(AD705+AE705),AD705+AE705,"")</f>
        <v/>
      </c>
      <c r="AH705" s="1">
        <f>A705</f>
        <v/>
      </c>
      <c r="AI705">
        <f>IF(ISNUMBER((1+V705)*AI704),(1+V705)*AI704,AI704)</f>
        <v/>
      </c>
      <c r="AJ705">
        <f>IF(ISNUMBER((1+Z705)*AJ704),(1+Z705)*AJ704,AJ704)</f>
        <v/>
      </c>
    </row>
    <row r="706">
      <c r="A706" s="1" t="n">
        <v>43025</v>
      </c>
      <c r="B706" s="3">
        <f>IF(ORIG!B706=0,"",ORIG!B706)</f>
        <v/>
      </c>
      <c r="C706" s="3">
        <f>IF(ORIG!C706=0,"",ORIG!C706)</f>
        <v/>
      </c>
      <c r="D706" s="3">
        <f>IF(ORIG!D706=0,"",ORIG!D706)</f>
        <v/>
      </c>
      <c r="E706" s="3">
        <f>IF(ORIG!E706=0,"",ORIG!E706)</f>
        <v/>
      </c>
      <c r="F706" s="3">
        <f>IF(ORIG!F706=0,"",ORIG!F706)</f>
        <v/>
      </c>
      <c r="G706" s="3">
        <f>IF(ORIG!G706=0,"",ORIG!G706)</f>
        <v/>
      </c>
      <c r="H706" s="3">
        <f>IF(ORIG!H706=0,"",ORIG!H706)</f>
        <v/>
      </c>
      <c r="I706" s="3">
        <f>IF(ORIG!I706=0,"",ORIG!I706)</f>
        <v/>
      </c>
      <c r="J706" s="3">
        <f>IF(ORIG!J706=0,"",ORIG!J706)</f>
        <v/>
      </c>
      <c r="K706" s="3">
        <f>IF(ORIG!K706=0,"",ORIG!K706)</f>
        <v/>
      </c>
      <c r="L706" s="3">
        <f>IF(ORIG!L706=0,"",ORIG!L706)</f>
        <v/>
      </c>
      <c r="M706" s="3">
        <f>IF(ORIG!M706=0,"",ORIG!M706)</f>
        <v/>
      </c>
      <c r="N706" s="3">
        <f>IF(ORIG!N706=0,"",ORIG!N706)</f>
        <v/>
      </c>
      <c r="O706" s="3">
        <f>IF(ORIG!O706=0,"",ORIG!O706)</f>
        <v/>
      </c>
      <c r="P706" s="3">
        <f>IF(ORIG!P706=0,"",ORIG!P706)</f>
        <v/>
      </c>
      <c r="Q706" s="3">
        <f>IF(ORIG!Q706=0,"",ORIG!Q706)</f>
        <v/>
      </c>
      <c r="R706" s="3">
        <f>IF(ORIG!R706=0,"",ORIG!R706)</f>
        <v/>
      </c>
      <c r="S706" s="3">
        <f>IF(ORIG!S706=0,"",ORIG!S706)</f>
        <v/>
      </c>
      <c r="T706" s="3">
        <f>IF(ORIG!T706=0,"",ORIG!T706)</f>
        <v/>
      </c>
      <c r="U706" s="3">
        <f>IF(ORIG!U706=0,"",ORIG!U706)</f>
        <v/>
      </c>
      <c r="V706" s="9">
        <f>IF(ORIG!V706=0,"",ORIG!V706)</f>
        <v/>
      </c>
      <c r="W706" s="9">
        <f>IF(ORIG!W706=0,"",ORIG!W706)</f>
        <v/>
      </c>
      <c r="X706" s="9">
        <f>IF(ORIG!X706=0,"",ORIG!X706)</f>
        <v/>
      </c>
      <c r="Y706" s="9">
        <f>IF(ORIG!Y706=0,"",ORIG!Y706)</f>
        <v/>
      </c>
      <c r="Z706" s="3">
        <f>SUMPRODUCT($B706:$Y706,$B$2649:$Y$2649)</f>
        <v/>
      </c>
      <c r="AA706" s="3">
        <f>SUMPRODUCT($B706:$Y706,$B$2655:$Y$2655)</f>
        <v/>
      </c>
      <c r="AC706" s="1">
        <f>A706</f>
        <v/>
      </c>
      <c r="AD706">
        <f>IF(ISNUMBER(V706),V706*($AB$1/V$2635),"")</f>
        <v/>
      </c>
      <c r="AE706">
        <f>IF(ISNUMBER(Z706),Z706*($AB$1/Z$2635),"")</f>
        <v/>
      </c>
      <c r="AF706" s="25">
        <f>IF(ISNUMBER(AD706+AE706),AD706+AE706,"")</f>
        <v/>
      </c>
      <c r="AH706" s="1">
        <f>A706</f>
        <v/>
      </c>
      <c r="AI706">
        <f>IF(ISNUMBER((1+V706)*AI705),(1+V706)*AI705,AI705)</f>
        <v/>
      </c>
      <c r="AJ706">
        <f>IF(ISNUMBER((1+Z706)*AJ705),(1+Z706)*AJ705,AJ705)</f>
        <v/>
      </c>
    </row>
    <row r="707">
      <c r="A707" s="1" t="n">
        <v>43026</v>
      </c>
      <c r="B707" s="3">
        <f>IF(ORIG!B707=0,"",ORIG!B707)</f>
        <v/>
      </c>
      <c r="C707" s="3">
        <f>IF(ORIG!C707=0,"",ORIG!C707)</f>
        <v/>
      </c>
      <c r="D707" s="3">
        <f>IF(ORIG!D707=0,"",ORIG!D707)</f>
        <v/>
      </c>
      <c r="E707" s="3">
        <f>IF(ORIG!E707=0,"",ORIG!E707)</f>
        <v/>
      </c>
      <c r="F707" s="3">
        <f>IF(ORIG!F707=0,"",ORIG!F707)</f>
        <v/>
      </c>
      <c r="G707" s="3">
        <f>IF(ORIG!G707=0,"",ORIG!G707)</f>
        <v/>
      </c>
      <c r="H707" s="3">
        <f>IF(ORIG!H707=0,"",ORIG!H707)</f>
        <v/>
      </c>
      <c r="I707" s="3">
        <f>IF(ORIG!I707=0,"",ORIG!I707)</f>
        <v/>
      </c>
      <c r="J707" s="3">
        <f>IF(ORIG!J707=0,"",ORIG!J707)</f>
        <v/>
      </c>
      <c r="K707" s="3">
        <f>IF(ORIG!K707=0,"",ORIG!K707)</f>
        <v/>
      </c>
      <c r="L707" s="3">
        <f>IF(ORIG!L707=0,"",ORIG!L707)</f>
        <v/>
      </c>
      <c r="M707" s="3">
        <f>IF(ORIG!M707=0,"",ORIG!M707)</f>
        <v/>
      </c>
      <c r="N707" s="3">
        <f>IF(ORIG!N707=0,"",ORIG!N707)</f>
        <v/>
      </c>
      <c r="O707" s="3">
        <f>IF(ORIG!O707=0,"",ORIG!O707)</f>
        <v/>
      </c>
      <c r="P707" s="3">
        <f>IF(ORIG!P707=0,"",ORIG!P707)</f>
        <v/>
      </c>
      <c r="Q707" s="3">
        <f>IF(ORIG!Q707=0,"",ORIG!Q707)</f>
        <v/>
      </c>
      <c r="R707" s="3">
        <f>IF(ORIG!R707=0,"",ORIG!R707)</f>
        <v/>
      </c>
      <c r="S707" s="3">
        <f>IF(ORIG!S707=0,"",ORIG!S707)</f>
        <v/>
      </c>
      <c r="T707" s="3">
        <f>IF(ORIG!T707=0,"",ORIG!T707)</f>
        <v/>
      </c>
      <c r="U707" s="3">
        <f>IF(ORIG!U707=0,"",ORIG!U707)</f>
        <v/>
      </c>
      <c r="V707" s="9">
        <f>IF(ORIG!V707=0,"",ORIG!V707)</f>
        <v/>
      </c>
      <c r="W707" s="9">
        <f>IF(ORIG!W707=0,"",ORIG!W707)</f>
        <v/>
      </c>
      <c r="X707" s="9">
        <f>IF(ORIG!X707=0,"",ORIG!X707)</f>
        <v/>
      </c>
      <c r="Y707" s="9">
        <f>IF(ORIG!Y707=0,"",ORIG!Y707)</f>
        <v/>
      </c>
      <c r="Z707" s="3">
        <f>SUMPRODUCT($B707:$Y707,$B$2649:$Y$2649)</f>
        <v/>
      </c>
      <c r="AA707" s="3">
        <f>SUMPRODUCT($B707:$Y707,$B$2655:$Y$2655)</f>
        <v/>
      </c>
      <c r="AC707" s="1">
        <f>A707</f>
        <v/>
      </c>
      <c r="AD707">
        <f>IF(ISNUMBER(V707),V707*($AB$1/V$2635),"")</f>
        <v/>
      </c>
      <c r="AE707">
        <f>IF(ISNUMBER(Z707),Z707*($AB$1/Z$2635),"")</f>
        <v/>
      </c>
      <c r="AF707" s="25">
        <f>IF(ISNUMBER(AD707+AE707),AD707+AE707,"")</f>
        <v/>
      </c>
      <c r="AH707" s="1">
        <f>A707</f>
        <v/>
      </c>
      <c r="AI707">
        <f>IF(ISNUMBER((1+V707)*AI706),(1+V707)*AI706,AI706)</f>
        <v/>
      </c>
      <c r="AJ707">
        <f>IF(ISNUMBER((1+Z707)*AJ706),(1+Z707)*AJ706,AJ706)</f>
        <v/>
      </c>
    </row>
    <row r="708">
      <c r="A708" s="1" t="n">
        <v>43027</v>
      </c>
      <c r="B708" s="3">
        <f>IF(ORIG!B708=0,"",ORIG!B708)</f>
        <v/>
      </c>
      <c r="C708" s="3">
        <f>IF(ORIG!C708=0,"",ORIG!C708)</f>
        <v/>
      </c>
      <c r="D708" s="3">
        <f>IF(ORIG!D708=0,"",ORIG!D708)</f>
        <v/>
      </c>
      <c r="E708" s="3">
        <f>IF(ORIG!E708=0,"",ORIG!E708)</f>
        <v/>
      </c>
      <c r="F708" s="3">
        <f>IF(ORIG!F708=0,"",ORIG!F708)</f>
        <v/>
      </c>
      <c r="G708" s="3">
        <f>IF(ORIG!G708=0,"",ORIG!G708)</f>
        <v/>
      </c>
      <c r="H708" s="3">
        <f>IF(ORIG!H708=0,"",ORIG!H708)</f>
        <v/>
      </c>
      <c r="I708" s="3">
        <f>IF(ORIG!I708=0,"",ORIG!I708)</f>
        <v/>
      </c>
      <c r="J708" s="3">
        <f>IF(ORIG!J708=0,"",ORIG!J708)</f>
        <v/>
      </c>
      <c r="K708" s="3">
        <f>IF(ORIG!K708=0,"",ORIG!K708)</f>
        <v/>
      </c>
      <c r="L708" s="3">
        <f>IF(ORIG!L708=0,"",ORIG!L708)</f>
        <v/>
      </c>
      <c r="M708" s="3">
        <f>IF(ORIG!M708=0,"",ORIG!M708)</f>
        <v/>
      </c>
      <c r="N708" s="3">
        <f>IF(ORIG!N708=0,"",ORIG!N708)</f>
        <v/>
      </c>
      <c r="O708" s="3">
        <f>IF(ORIG!O708=0,"",ORIG!O708)</f>
        <v/>
      </c>
      <c r="P708" s="3">
        <f>IF(ORIG!P708=0,"",ORIG!P708)</f>
        <v/>
      </c>
      <c r="Q708" s="3">
        <f>IF(ORIG!Q708=0,"",ORIG!Q708)</f>
        <v/>
      </c>
      <c r="R708" s="3">
        <f>IF(ORIG!R708=0,"",ORIG!R708)</f>
        <v/>
      </c>
      <c r="S708" s="3">
        <f>IF(ORIG!S708=0,"",ORIG!S708)</f>
        <v/>
      </c>
      <c r="T708" s="3">
        <f>IF(ORIG!T708=0,"",ORIG!T708)</f>
        <v/>
      </c>
      <c r="U708" s="3">
        <f>IF(ORIG!U708=0,"",ORIG!U708)</f>
        <v/>
      </c>
      <c r="V708" s="9">
        <f>IF(ORIG!V708=0,"",ORIG!V708)</f>
        <v/>
      </c>
      <c r="W708" s="9">
        <f>IF(ORIG!W708=0,"",ORIG!W708)</f>
        <v/>
      </c>
      <c r="X708" s="9">
        <f>IF(ORIG!X708=0,"",ORIG!X708)</f>
        <v/>
      </c>
      <c r="Y708" s="9">
        <f>IF(ORIG!Y708=0,"",ORIG!Y708)</f>
        <v/>
      </c>
      <c r="Z708" s="3">
        <f>SUMPRODUCT($B708:$Y708,$B$2649:$Y$2649)</f>
        <v/>
      </c>
      <c r="AA708" s="3">
        <f>SUMPRODUCT($B708:$Y708,$B$2655:$Y$2655)</f>
        <v/>
      </c>
      <c r="AC708" s="1">
        <f>A708</f>
        <v/>
      </c>
      <c r="AD708">
        <f>IF(ISNUMBER(V708),V708*($AB$1/V$2635),"")</f>
        <v/>
      </c>
      <c r="AE708">
        <f>IF(ISNUMBER(Z708),Z708*($AB$1/Z$2635),"")</f>
        <v/>
      </c>
      <c r="AF708" s="25">
        <f>IF(ISNUMBER(AD708+AE708),AD708+AE708,"")</f>
        <v/>
      </c>
      <c r="AH708" s="1">
        <f>A708</f>
        <v/>
      </c>
      <c r="AI708">
        <f>IF(ISNUMBER((1+V708)*AI707),(1+V708)*AI707,AI707)</f>
        <v/>
      </c>
      <c r="AJ708">
        <f>IF(ISNUMBER((1+Z708)*AJ707),(1+Z708)*AJ707,AJ707)</f>
        <v/>
      </c>
    </row>
    <row r="709">
      <c r="A709" s="1" t="n">
        <v>43028</v>
      </c>
      <c r="B709" s="3">
        <f>IF(ORIG!B709=0,"",ORIG!B709)</f>
        <v/>
      </c>
      <c r="C709" s="3">
        <f>IF(ORIG!C709=0,"",ORIG!C709)</f>
        <v/>
      </c>
      <c r="D709" s="3">
        <f>IF(ORIG!D709=0,"",ORIG!D709)</f>
        <v/>
      </c>
      <c r="E709" s="3">
        <f>IF(ORIG!E709=0,"",ORIG!E709)</f>
        <v/>
      </c>
      <c r="F709" s="3">
        <f>IF(ORIG!F709=0,"",ORIG!F709)</f>
        <v/>
      </c>
      <c r="G709" s="3">
        <f>IF(ORIG!G709=0,"",ORIG!G709)</f>
        <v/>
      </c>
      <c r="H709" s="3">
        <f>IF(ORIG!H709=0,"",ORIG!H709)</f>
        <v/>
      </c>
      <c r="I709" s="3">
        <f>IF(ORIG!I709=0,"",ORIG!I709)</f>
        <v/>
      </c>
      <c r="J709" s="3">
        <f>IF(ORIG!J709=0,"",ORIG!J709)</f>
        <v/>
      </c>
      <c r="K709" s="3">
        <f>IF(ORIG!K709=0,"",ORIG!K709)</f>
        <v/>
      </c>
      <c r="L709" s="3">
        <f>IF(ORIG!L709=0,"",ORIG!L709)</f>
        <v/>
      </c>
      <c r="M709" s="3">
        <f>IF(ORIG!M709=0,"",ORIG!M709)</f>
        <v/>
      </c>
      <c r="N709" s="3">
        <f>IF(ORIG!N709=0,"",ORIG!N709)</f>
        <v/>
      </c>
      <c r="O709" s="3">
        <f>IF(ORIG!O709=0,"",ORIG!O709)</f>
        <v/>
      </c>
      <c r="P709" s="3">
        <f>IF(ORIG!P709=0,"",ORIG!P709)</f>
        <v/>
      </c>
      <c r="Q709" s="3">
        <f>IF(ORIG!Q709=0,"",ORIG!Q709)</f>
        <v/>
      </c>
      <c r="R709" s="3">
        <f>IF(ORIG!R709=0,"",ORIG!R709)</f>
        <v/>
      </c>
      <c r="S709" s="3">
        <f>IF(ORIG!S709=0,"",ORIG!S709)</f>
        <v/>
      </c>
      <c r="T709" s="3">
        <f>IF(ORIG!T709=0,"",ORIG!T709)</f>
        <v/>
      </c>
      <c r="U709" s="3">
        <f>IF(ORIG!U709=0,"",ORIG!U709)</f>
        <v/>
      </c>
      <c r="V709" s="9">
        <f>IF(ORIG!V709=0,"",ORIG!V709)</f>
        <v/>
      </c>
      <c r="W709" s="9">
        <f>IF(ORIG!W709=0,"",ORIG!W709)</f>
        <v/>
      </c>
      <c r="X709" s="9">
        <f>IF(ORIG!X709=0,"",ORIG!X709)</f>
        <v/>
      </c>
      <c r="Y709" s="9">
        <f>IF(ORIG!Y709=0,"",ORIG!Y709)</f>
        <v/>
      </c>
      <c r="Z709" s="3">
        <f>SUMPRODUCT($B709:$Y709,$B$2649:$Y$2649)</f>
        <v/>
      </c>
      <c r="AA709" s="3">
        <f>SUMPRODUCT($B709:$Y709,$B$2655:$Y$2655)</f>
        <v/>
      </c>
      <c r="AC709" s="1">
        <f>A709</f>
        <v/>
      </c>
      <c r="AD709">
        <f>IF(ISNUMBER(V709),V709*($AB$1/V$2635),"")</f>
        <v/>
      </c>
      <c r="AE709">
        <f>IF(ISNUMBER(Z709),Z709*($AB$1/Z$2635),"")</f>
        <v/>
      </c>
      <c r="AF709" s="25">
        <f>IF(ISNUMBER(AD709+AE709),AD709+AE709,"")</f>
        <v/>
      </c>
      <c r="AH709" s="1">
        <f>A709</f>
        <v/>
      </c>
      <c r="AI709">
        <f>IF(ISNUMBER((1+V709)*AI708),(1+V709)*AI708,AI708)</f>
        <v/>
      </c>
      <c r="AJ709">
        <f>IF(ISNUMBER((1+Z709)*AJ708),(1+Z709)*AJ708,AJ708)</f>
        <v/>
      </c>
    </row>
    <row r="710">
      <c r="A710" s="1" t="n">
        <v>43031</v>
      </c>
      <c r="B710" s="3">
        <f>IF(ORIG!B710=0,"",ORIG!B710)</f>
        <v/>
      </c>
      <c r="C710" s="3">
        <f>IF(ORIG!C710=0,"",ORIG!C710)</f>
        <v/>
      </c>
      <c r="D710" s="3">
        <f>IF(ORIG!D710=0,"",ORIG!D710)</f>
        <v/>
      </c>
      <c r="E710" s="3">
        <f>IF(ORIG!E710=0,"",ORIG!E710)</f>
        <v/>
      </c>
      <c r="F710" s="3">
        <f>IF(ORIG!F710=0,"",ORIG!F710)</f>
        <v/>
      </c>
      <c r="G710" s="3">
        <f>IF(ORIG!G710=0,"",ORIG!G710)</f>
        <v/>
      </c>
      <c r="H710" s="3">
        <f>IF(ORIG!H710=0,"",ORIG!H710)</f>
        <v/>
      </c>
      <c r="I710" s="3">
        <f>IF(ORIG!I710=0,"",ORIG!I710)</f>
        <v/>
      </c>
      <c r="J710" s="3">
        <f>IF(ORIG!J710=0,"",ORIG!J710)</f>
        <v/>
      </c>
      <c r="K710" s="3">
        <f>IF(ORIG!K710=0,"",ORIG!K710)</f>
        <v/>
      </c>
      <c r="L710" s="3">
        <f>IF(ORIG!L710=0,"",ORIG!L710)</f>
        <v/>
      </c>
      <c r="M710" s="3">
        <f>IF(ORIG!M710=0,"",ORIG!M710)</f>
        <v/>
      </c>
      <c r="N710" s="3">
        <f>IF(ORIG!N710=0,"",ORIG!N710)</f>
        <v/>
      </c>
      <c r="O710" s="3">
        <f>IF(ORIG!O710=0,"",ORIG!O710)</f>
        <v/>
      </c>
      <c r="P710" s="3">
        <f>IF(ORIG!P710=0,"",ORIG!P710)</f>
        <v/>
      </c>
      <c r="Q710" s="3">
        <f>IF(ORIG!Q710=0,"",ORIG!Q710)</f>
        <v/>
      </c>
      <c r="R710" s="3">
        <f>IF(ORIG!R710=0,"",ORIG!R710)</f>
        <v/>
      </c>
      <c r="S710" s="3">
        <f>IF(ORIG!S710=0,"",ORIG!S710)</f>
        <v/>
      </c>
      <c r="T710" s="3">
        <f>IF(ORIG!T710=0,"",ORIG!T710)</f>
        <v/>
      </c>
      <c r="U710" s="3">
        <f>IF(ORIG!U710=0,"",ORIG!U710)</f>
        <v/>
      </c>
      <c r="V710" s="9">
        <f>IF(ORIG!V710=0,"",ORIG!V710)</f>
        <v/>
      </c>
      <c r="W710" s="9">
        <f>IF(ORIG!W710=0,"",ORIG!W710)</f>
        <v/>
      </c>
      <c r="X710" s="9">
        <f>IF(ORIG!X710=0,"",ORIG!X710)</f>
        <v/>
      </c>
      <c r="Y710" s="9">
        <f>IF(ORIG!Y710=0,"",ORIG!Y710)</f>
        <v/>
      </c>
      <c r="Z710" s="3">
        <f>SUMPRODUCT($B710:$Y710,$B$2649:$Y$2649)</f>
        <v/>
      </c>
      <c r="AA710" s="3">
        <f>SUMPRODUCT($B710:$Y710,$B$2655:$Y$2655)</f>
        <v/>
      </c>
      <c r="AC710" s="1">
        <f>A710</f>
        <v/>
      </c>
      <c r="AD710">
        <f>IF(ISNUMBER(V710),V710*($AB$1/V$2635),"")</f>
        <v/>
      </c>
      <c r="AE710">
        <f>IF(ISNUMBER(Z710),Z710*($AB$1/Z$2635),"")</f>
        <v/>
      </c>
      <c r="AF710" s="25">
        <f>IF(ISNUMBER(AD710+AE710),AD710+AE710,"")</f>
        <v/>
      </c>
      <c r="AH710" s="1">
        <f>A710</f>
        <v/>
      </c>
      <c r="AI710">
        <f>IF(ISNUMBER((1+V710)*AI709),(1+V710)*AI709,AI709)</f>
        <v/>
      </c>
      <c r="AJ710">
        <f>IF(ISNUMBER((1+Z710)*AJ709),(1+Z710)*AJ709,AJ709)</f>
        <v/>
      </c>
    </row>
    <row r="711">
      <c r="A711" s="1" t="n">
        <v>43032</v>
      </c>
      <c r="B711" s="3">
        <f>IF(ORIG!B711=0,"",ORIG!B711)</f>
        <v/>
      </c>
      <c r="C711" s="3">
        <f>IF(ORIG!C711=0,"",ORIG!C711)</f>
        <v/>
      </c>
      <c r="D711" s="3">
        <f>IF(ORIG!D711=0,"",ORIG!D711)</f>
        <v/>
      </c>
      <c r="E711" s="3">
        <f>IF(ORIG!E711=0,"",ORIG!E711)</f>
        <v/>
      </c>
      <c r="F711" s="3">
        <f>IF(ORIG!F711=0,"",ORIG!F711)</f>
        <v/>
      </c>
      <c r="G711" s="3">
        <f>IF(ORIG!G711=0,"",ORIG!G711)</f>
        <v/>
      </c>
      <c r="H711" s="3">
        <f>IF(ORIG!H711=0,"",ORIG!H711)</f>
        <v/>
      </c>
      <c r="I711" s="3">
        <f>IF(ORIG!I711=0,"",ORIG!I711)</f>
        <v/>
      </c>
      <c r="J711" s="3">
        <f>IF(ORIG!J711=0,"",ORIG!J711)</f>
        <v/>
      </c>
      <c r="K711" s="3">
        <f>IF(ORIG!K711=0,"",ORIG!K711)</f>
        <v/>
      </c>
      <c r="L711" s="3">
        <f>IF(ORIG!L711=0,"",ORIG!L711)</f>
        <v/>
      </c>
      <c r="M711" s="3">
        <f>IF(ORIG!M711=0,"",ORIG!M711)</f>
        <v/>
      </c>
      <c r="N711" s="3">
        <f>IF(ORIG!N711=0,"",ORIG!N711)</f>
        <v/>
      </c>
      <c r="O711" s="3">
        <f>IF(ORIG!O711=0,"",ORIG!O711)</f>
        <v/>
      </c>
      <c r="P711" s="3">
        <f>IF(ORIG!P711=0,"",ORIG!P711)</f>
        <v/>
      </c>
      <c r="Q711" s="3">
        <f>IF(ORIG!Q711=0,"",ORIG!Q711)</f>
        <v/>
      </c>
      <c r="R711" s="3">
        <f>IF(ORIG!R711=0,"",ORIG!R711)</f>
        <v/>
      </c>
      <c r="S711" s="3">
        <f>IF(ORIG!S711=0,"",ORIG!S711)</f>
        <v/>
      </c>
      <c r="T711" s="3">
        <f>IF(ORIG!T711=0,"",ORIG!T711)</f>
        <v/>
      </c>
      <c r="U711" s="3">
        <f>IF(ORIG!U711=0,"",ORIG!U711)</f>
        <v/>
      </c>
      <c r="V711" s="9">
        <f>IF(ORIG!V711=0,"",ORIG!V711)</f>
        <v/>
      </c>
      <c r="W711" s="9">
        <f>IF(ORIG!W711=0,"",ORIG!W711)</f>
        <v/>
      </c>
      <c r="X711" s="9">
        <f>IF(ORIG!X711=0,"",ORIG!X711)</f>
        <v/>
      </c>
      <c r="Y711" s="9">
        <f>IF(ORIG!Y711=0,"",ORIG!Y711)</f>
        <v/>
      </c>
      <c r="Z711" s="3">
        <f>SUMPRODUCT($B711:$Y711,$B$2649:$Y$2649)</f>
        <v/>
      </c>
      <c r="AA711" s="3">
        <f>SUMPRODUCT($B711:$Y711,$B$2655:$Y$2655)</f>
        <v/>
      </c>
      <c r="AC711" s="1">
        <f>A711</f>
        <v/>
      </c>
      <c r="AD711">
        <f>IF(ISNUMBER(V711),V711*($AB$1/V$2635),"")</f>
        <v/>
      </c>
      <c r="AE711">
        <f>IF(ISNUMBER(Z711),Z711*($AB$1/Z$2635),"")</f>
        <v/>
      </c>
      <c r="AF711" s="25">
        <f>IF(ISNUMBER(AD711+AE711),AD711+AE711,"")</f>
        <v/>
      </c>
      <c r="AH711" s="1">
        <f>A711</f>
        <v/>
      </c>
      <c r="AI711">
        <f>IF(ISNUMBER((1+V711)*AI710),(1+V711)*AI710,AI710)</f>
        <v/>
      </c>
      <c r="AJ711">
        <f>IF(ISNUMBER((1+Z711)*AJ710),(1+Z711)*AJ710,AJ710)</f>
        <v/>
      </c>
    </row>
    <row r="712">
      <c r="A712" s="1" t="n">
        <v>43033</v>
      </c>
      <c r="B712" s="3">
        <f>IF(ORIG!B712=0,"",ORIG!B712)</f>
        <v/>
      </c>
      <c r="C712" s="3">
        <f>IF(ORIG!C712=0,"",ORIG!C712)</f>
        <v/>
      </c>
      <c r="D712" s="3">
        <f>IF(ORIG!D712=0,"",ORIG!D712)</f>
        <v/>
      </c>
      <c r="E712" s="3">
        <f>IF(ORIG!E712=0,"",ORIG!E712)</f>
        <v/>
      </c>
      <c r="F712" s="3">
        <f>IF(ORIG!F712=0,"",ORIG!F712)</f>
        <v/>
      </c>
      <c r="G712" s="3">
        <f>IF(ORIG!G712=0,"",ORIG!G712)</f>
        <v/>
      </c>
      <c r="H712" s="3">
        <f>IF(ORIG!H712=0,"",ORIG!H712)</f>
        <v/>
      </c>
      <c r="I712" s="3">
        <f>IF(ORIG!I712=0,"",ORIG!I712)</f>
        <v/>
      </c>
      <c r="J712" s="3">
        <f>IF(ORIG!J712=0,"",ORIG!J712)</f>
        <v/>
      </c>
      <c r="K712" s="3">
        <f>IF(ORIG!K712=0,"",ORIG!K712)</f>
        <v/>
      </c>
      <c r="L712" s="3">
        <f>IF(ORIG!L712=0,"",ORIG!L712)</f>
        <v/>
      </c>
      <c r="M712" s="3">
        <f>IF(ORIG!M712=0,"",ORIG!M712)</f>
        <v/>
      </c>
      <c r="N712" s="3">
        <f>IF(ORIG!N712=0,"",ORIG!N712)</f>
        <v/>
      </c>
      <c r="O712" s="3">
        <f>IF(ORIG!O712=0,"",ORIG!O712)</f>
        <v/>
      </c>
      <c r="P712" s="3">
        <f>IF(ORIG!P712=0,"",ORIG!P712)</f>
        <v/>
      </c>
      <c r="Q712" s="3">
        <f>IF(ORIG!Q712=0,"",ORIG!Q712)</f>
        <v/>
      </c>
      <c r="R712" s="3">
        <f>IF(ORIG!R712=0,"",ORIG!R712)</f>
        <v/>
      </c>
      <c r="S712" s="3">
        <f>IF(ORIG!S712=0,"",ORIG!S712)</f>
        <v/>
      </c>
      <c r="T712" s="3">
        <f>IF(ORIG!T712=0,"",ORIG!T712)</f>
        <v/>
      </c>
      <c r="U712" s="3">
        <f>IF(ORIG!U712=0,"",ORIG!U712)</f>
        <v/>
      </c>
      <c r="V712" s="9">
        <f>IF(ORIG!V712=0,"",ORIG!V712)</f>
        <v/>
      </c>
      <c r="W712" s="9">
        <f>IF(ORIG!W712=0,"",ORIG!W712)</f>
        <v/>
      </c>
      <c r="X712" s="9">
        <f>IF(ORIG!X712=0,"",ORIG!X712)</f>
        <v/>
      </c>
      <c r="Y712" s="9">
        <f>IF(ORIG!Y712=0,"",ORIG!Y712)</f>
        <v/>
      </c>
      <c r="Z712" s="3">
        <f>SUMPRODUCT($B712:$Y712,$B$2649:$Y$2649)</f>
        <v/>
      </c>
      <c r="AA712" s="3">
        <f>SUMPRODUCT($B712:$Y712,$B$2655:$Y$2655)</f>
        <v/>
      </c>
      <c r="AC712" s="1">
        <f>A712</f>
        <v/>
      </c>
      <c r="AD712">
        <f>IF(ISNUMBER(V712),V712*($AB$1/V$2635),"")</f>
        <v/>
      </c>
      <c r="AE712">
        <f>IF(ISNUMBER(Z712),Z712*($AB$1/Z$2635),"")</f>
        <v/>
      </c>
      <c r="AF712" s="25">
        <f>IF(ISNUMBER(AD712+AE712),AD712+AE712,"")</f>
        <v/>
      </c>
      <c r="AH712" s="1">
        <f>A712</f>
        <v/>
      </c>
      <c r="AI712">
        <f>IF(ISNUMBER((1+V712)*AI711),(1+V712)*AI711,AI711)</f>
        <v/>
      </c>
      <c r="AJ712">
        <f>IF(ISNUMBER((1+Z712)*AJ711),(1+Z712)*AJ711,AJ711)</f>
        <v/>
      </c>
    </row>
    <row r="713">
      <c r="A713" s="1" t="n">
        <v>43034</v>
      </c>
      <c r="B713" s="3">
        <f>IF(ORIG!B713=0,"",ORIG!B713)</f>
        <v/>
      </c>
      <c r="C713" s="3">
        <f>IF(ORIG!C713=0,"",ORIG!C713)</f>
        <v/>
      </c>
      <c r="D713" s="3">
        <f>IF(ORIG!D713=0,"",ORIG!D713)</f>
        <v/>
      </c>
      <c r="E713" s="3">
        <f>IF(ORIG!E713=0,"",ORIG!E713)</f>
        <v/>
      </c>
      <c r="F713" s="3">
        <f>IF(ORIG!F713=0,"",ORIG!F713)</f>
        <v/>
      </c>
      <c r="G713" s="3">
        <f>IF(ORIG!G713=0,"",ORIG!G713)</f>
        <v/>
      </c>
      <c r="H713" s="3">
        <f>IF(ORIG!H713=0,"",ORIG!H713)</f>
        <v/>
      </c>
      <c r="I713" s="3">
        <f>IF(ORIG!I713=0,"",ORIG!I713)</f>
        <v/>
      </c>
      <c r="J713" s="3">
        <f>IF(ORIG!J713=0,"",ORIG!J713)</f>
        <v/>
      </c>
      <c r="K713" s="3">
        <f>IF(ORIG!K713=0,"",ORIG!K713)</f>
        <v/>
      </c>
      <c r="L713" s="3">
        <f>IF(ORIG!L713=0,"",ORIG!L713)</f>
        <v/>
      </c>
      <c r="M713" s="3">
        <f>IF(ORIG!M713=0,"",ORIG!M713)</f>
        <v/>
      </c>
      <c r="N713" s="3">
        <f>IF(ORIG!N713=0,"",ORIG!N713)</f>
        <v/>
      </c>
      <c r="O713" s="3">
        <f>IF(ORIG!O713=0,"",ORIG!O713)</f>
        <v/>
      </c>
      <c r="P713" s="3">
        <f>IF(ORIG!P713=0,"",ORIG!P713)</f>
        <v/>
      </c>
      <c r="Q713" s="3">
        <f>IF(ORIG!Q713=0,"",ORIG!Q713)</f>
        <v/>
      </c>
      <c r="R713" s="3">
        <f>IF(ORIG!R713=0,"",ORIG!R713)</f>
        <v/>
      </c>
      <c r="S713" s="3">
        <f>IF(ORIG!S713=0,"",ORIG!S713)</f>
        <v/>
      </c>
      <c r="T713" s="3">
        <f>IF(ORIG!T713=0,"",ORIG!T713)</f>
        <v/>
      </c>
      <c r="U713" s="3">
        <f>IF(ORIG!U713=0,"",ORIG!U713)</f>
        <v/>
      </c>
      <c r="V713" s="9">
        <f>IF(ORIG!V713=0,"",ORIG!V713)</f>
        <v/>
      </c>
      <c r="W713" s="9">
        <f>IF(ORIG!W713=0,"",ORIG!W713)</f>
        <v/>
      </c>
      <c r="X713" s="9">
        <f>IF(ORIG!X713=0,"",ORIG!X713)</f>
        <v/>
      </c>
      <c r="Y713" s="9">
        <f>IF(ORIG!Y713=0,"",ORIG!Y713)</f>
        <v/>
      </c>
      <c r="Z713" s="3">
        <f>SUMPRODUCT($B713:$Y713,$B$2649:$Y$2649)</f>
        <v/>
      </c>
      <c r="AA713" s="3">
        <f>SUMPRODUCT($B713:$Y713,$B$2655:$Y$2655)</f>
        <v/>
      </c>
      <c r="AC713" s="1">
        <f>A713</f>
        <v/>
      </c>
      <c r="AD713">
        <f>IF(ISNUMBER(V713),V713*($AB$1/V$2635),"")</f>
        <v/>
      </c>
      <c r="AE713">
        <f>IF(ISNUMBER(Z713),Z713*($AB$1/Z$2635),"")</f>
        <v/>
      </c>
      <c r="AF713" s="25">
        <f>IF(ISNUMBER(AD713+AE713),AD713+AE713,"")</f>
        <v/>
      </c>
      <c r="AH713" s="1">
        <f>A713</f>
        <v/>
      </c>
      <c r="AI713">
        <f>IF(ISNUMBER((1+V713)*AI712),(1+V713)*AI712,AI712)</f>
        <v/>
      </c>
      <c r="AJ713">
        <f>IF(ISNUMBER((1+Z713)*AJ712),(1+Z713)*AJ712,AJ712)</f>
        <v/>
      </c>
    </row>
    <row r="714">
      <c r="A714" s="1" t="n">
        <v>43035</v>
      </c>
      <c r="B714" s="3">
        <f>IF(ORIG!B714=0,"",ORIG!B714)</f>
        <v/>
      </c>
      <c r="C714" s="3">
        <f>IF(ORIG!C714=0,"",ORIG!C714)</f>
        <v/>
      </c>
      <c r="D714" s="3">
        <f>IF(ORIG!D714=0,"",ORIG!D714)</f>
        <v/>
      </c>
      <c r="E714" s="3">
        <f>IF(ORIG!E714=0,"",ORIG!E714)</f>
        <v/>
      </c>
      <c r="F714" s="3">
        <f>IF(ORIG!F714=0,"",ORIG!F714)</f>
        <v/>
      </c>
      <c r="G714" s="3">
        <f>IF(ORIG!G714=0,"",ORIG!G714)</f>
        <v/>
      </c>
      <c r="H714" s="3">
        <f>IF(ORIG!H714=0,"",ORIG!H714)</f>
        <v/>
      </c>
      <c r="I714" s="3">
        <f>IF(ORIG!I714=0,"",ORIG!I714)</f>
        <v/>
      </c>
      <c r="J714" s="3">
        <f>IF(ORIG!J714=0,"",ORIG!J714)</f>
        <v/>
      </c>
      <c r="K714" s="3">
        <f>IF(ORIG!K714=0,"",ORIG!K714)</f>
        <v/>
      </c>
      <c r="L714" s="3">
        <f>IF(ORIG!L714=0,"",ORIG!L714)</f>
        <v/>
      </c>
      <c r="M714" s="3">
        <f>IF(ORIG!M714=0,"",ORIG!M714)</f>
        <v/>
      </c>
      <c r="N714" s="3">
        <f>IF(ORIG!N714=0,"",ORIG!N714)</f>
        <v/>
      </c>
      <c r="O714" s="3">
        <f>IF(ORIG!O714=0,"",ORIG!O714)</f>
        <v/>
      </c>
      <c r="P714" s="3">
        <f>IF(ORIG!P714=0,"",ORIG!P714)</f>
        <v/>
      </c>
      <c r="Q714" s="3">
        <f>IF(ORIG!Q714=0,"",ORIG!Q714)</f>
        <v/>
      </c>
      <c r="R714" s="3">
        <f>IF(ORIG!R714=0,"",ORIG!R714)</f>
        <v/>
      </c>
      <c r="S714" s="3">
        <f>IF(ORIG!S714=0,"",ORIG!S714)</f>
        <v/>
      </c>
      <c r="T714" s="3">
        <f>IF(ORIG!T714=0,"",ORIG!T714)</f>
        <v/>
      </c>
      <c r="U714" s="3">
        <f>IF(ORIG!U714=0,"",ORIG!U714)</f>
        <v/>
      </c>
      <c r="V714" s="9">
        <f>IF(ORIG!V714=0,"",ORIG!V714)</f>
        <v/>
      </c>
      <c r="W714" s="9">
        <f>IF(ORIG!W714=0,"",ORIG!W714)</f>
        <v/>
      </c>
      <c r="X714" s="9">
        <f>IF(ORIG!X714=0,"",ORIG!X714)</f>
        <v/>
      </c>
      <c r="Y714" s="9">
        <f>IF(ORIG!Y714=0,"",ORIG!Y714)</f>
        <v/>
      </c>
      <c r="Z714" s="3">
        <f>SUMPRODUCT($B714:$Y714,$B$2649:$Y$2649)</f>
        <v/>
      </c>
      <c r="AA714" s="3">
        <f>SUMPRODUCT($B714:$Y714,$B$2655:$Y$2655)</f>
        <v/>
      </c>
      <c r="AC714" s="1">
        <f>A714</f>
        <v/>
      </c>
      <c r="AD714">
        <f>IF(ISNUMBER(V714),V714*($AB$1/V$2635),"")</f>
        <v/>
      </c>
      <c r="AE714">
        <f>IF(ISNUMBER(Z714),Z714*($AB$1/Z$2635),"")</f>
        <v/>
      </c>
      <c r="AF714" s="25">
        <f>IF(ISNUMBER(AD714+AE714),AD714+AE714,"")</f>
        <v/>
      </c>
      <c r="AH714" s="1">
        <f>A714</f>
        <v/>
      </c>
      <c r="AI714">
        <f>IF(ISNUMBER((1+V714)*AI713),(1+V714)*AI713,AI713)</f>
        <v/>
      </c>
      <c r="AJ714">
        <f>IF(ISNUMBER((1+Z714)*AJ713),(1+Z714)*AJ713,AJ713)</f>
        <v/>
      </c>
    </row>
    <row r="715">
      <c r="A715" s="1" t="n">
        <v>43038</v>
      </c>
      <c r="B715" s="3">
        <f>IF(ORIG!B715=0,"",ORIG!B715)</f>
        <v/>
      </c>
      <c r="C715" s="3">
        <f>IF(ORIG!C715=0,"",ORIG!C715)</f>
        <v/>
      </c>
      <c r="D715" s="3">
        <f>IF(ORIG!D715=0,"",ORIG!D715)</f>
        <v/>
      </c>
      <c r="E715" s="3">
        <f>IF(ORIG!E715=0,"",ORIG!E715)</f>
        <v/>
      </c>
      <c r="F715" s="3">
        <f>IF(ORIG!F715=0,"",ORIG!F715)</f>
        <v/>
      </c>
      <c r="G715" s="3">
        <f>IF(ORIG!G715=0,"",ORIG!G715)</f>
        <v/>
      </c>
      <c r="H715" s="3">
        <f>IF(ORIG!H715=0,"",ORIG!H715)</f>
        <v/>
      </c>
      <c r="I715" s="3">
        <f>IF(ORIG!I715=0,"",ORIG!I715)</f>
        <v/>
      </c>
      <c r="J715" s="3">
        <f>IF(ORIG!J715=0,"",ORIG!J715)</f>
        <v/>
      </c>
      <c r="K715" s="3">
        <f>IF(ORIG!K715=0,"",ORIG!K715)</f>
        <v/>
      </c>
      <c r="L715" s="3">
        <f>IF(ORIG!L715=0,"",ORIG!L715)</f>
        <v/>
      </c>
      <c r="M715" s="3">
        <f>IF(ORIG!M715=0,"",ORIG!M715)</f>
        <v/>
      </c>
      <c r="N715" s="3">
        <f>IF(ORIG!N715=0,"",ORIG!N715)</f>
        <v/>
      </c>
      <c r="O715" s="3">
        <f>IF(ORIG!O715=0,"",ORIG!O715)</f>
        <v/>
      </c>
      <c r="P715" s="3">
        <f>IF(ORIG!P715=0,"",ORIG!P715)</f>
        <v/>
      </c>
      <c r="Q715" s="3">
        <f>IF(ORIG!Q715=0,"",ORIG!Q715)</f>
        <v/>
      </c>
      <c r="R715" s="3">
        <f>IF(ORIG!R715=0,"",ORIG!R715)</f>
        <v/>
      </c>
      <c r="S715" s="3">
        <f>IF(ORIG!S715=0,"",ORIG!S715)</f>
        <v/>
      </c>
      <c r="T715" s="3">
        <f>IF(ORIG!T715=0,"",ORIG!T715)</f>
        <v/>
      </c>
      <c r="U715" s="3">
        <f>IF(ORIG!U715=0,"",ORIG!U715)</f>
        <v/>
      </c>
      <c r="V715" s="9">
        <f>IF(ORIG!V715=0,"",ORIG!V715)</f>
        <v/>
      </c>
      <c r="W715" s="9">
        <f>IF(ORIG!W715=0,"",ORIG!W715)</f>
        <v/>
      </c>
      <c r="X715" s="9">
        <f>IF(ORIG!X715=0,"",ORIG!X715)</f>
        <v/>
      </c>
      <c r="Y715" s="9">
        <f>IF(ORIG!Y715=0,"",ORIG!Y715)</f>
        <v/>
      </c>
      <c r="Z715" s="3">
        <f>SUMPRODUCT($B715:$Y715,$B$2649:$Y$2649)</f>
        <v/>
      </c>
      <c r="AA715" s="3">
        <f>SUMPRODUCT($B715:$Y715,$B$2655:$Y$2655)</f>
        <v/>
      </c>
      <c r="AC715" s="1">
        <f>A715</f>
        <v/>
      </c>
      <c r="AD715">
        <f>IF(ISNUMBER(V715),V715*($AB$1/V$2635),"")</f>
        <v/>
      </c>
      <c r="AE715">
        <f>IF(ISNUMBER(Z715),Z715*($AB$1/Z$2635),"")</f>
        <v/>
      </c>
      <c r="AF715" s="25">
        <f>IF(ISNUMBER(AD715+AE715),AD715+AE715,"")</f>
        <v/>
      </c>
      <c r="AH715" s="1">
        <f>A715</f>
        <v/>
      </c>
      <c r="AI715">
        <f>IF(ISNUMBER((1+V715)*AI714),(1+V715)*AI714,AI714)</f>
        <v/>
      </c>
      <c r="AJ715">
        <f>IF(ISNUMBER((1+Z715)*AJ714),(1+Z715)*AJ714,AJ714)</f>
        <v/>
      </c>
    </row>
    <row r="716">
      <c r="A716" s="1" t="n">
        <v>43039</v>
      </c>
      <c r="B716" s="3">
        <f>IF(ORIG!B716=0,"",ORIG!B716)</f>
        <v/>
      </c>
      <c r="C716" s="3">
        <f>IF(ORIG!C716=0,"",ORIG!C716)</f>
        <v/>
      </c>
      <c r="D716" s="3">
        <f>IF(ORIG!D716=0,"",ORIG!D716)</f>
        <v/>
      </c>
      <c r="E716" s="3">
        <f>IF(ORIG!E716=0,"",ORIG!E716)</f>
        <v/>
      </c>
      <c r="F716" s="3">
        <f>IF(ORIG!F716=0,"",ORIG!F716)</f>
        <v/>
      </c>
      <c r="G716" s="3">
        <f>IF(ORIG!G716=0,"",ORIG!G716)</f>
        <v/>
      </c>
      <c r="H716" s="3">
        <f>IF(ORIG!H716=0,"",ORIG!H716)</f>
        <v/>
      </c>
      <c r="I716" s="3">
        <f>IF(ORIG!I716=0,"",ORIG!I716)</f>
        <v/>
      </c>
      <c r="J716" s="3">
        <f>IF(ORIG!J716=0,"",ORIG!J716)</f>
        <v/>
      </c>
      <c r="K716" s="3">
        <f>IF(ORIG!K716=0,"",ORIG!K716)</f>
        <v/>
      </c>
      <c r="L716" s="3">
        <f>IF(ORIG!L716=0,"",ORIG!L716)</f>
        <v/>
      </c>
      <c r="M716" s="3">
        <f>IF(ORIG!M716=0,"",ORIG!M716)</f>
        <v/>
      </c>
      <c r="N716" s="3">
        <f>IF(ORIG!N716=0,"",ORIG!N716)</f>
        <v/>
      </c>
      <c r="O716" s="3">
        <f>IF(ORIG!O716=0,"",ORIG!O716)</f>
        <v/>
      </c>
      <c r="P716" s="3">
        <f>IF(ORIG!P716=0,"",ORIG!P716)</f>
        <v/>
      </c>
      <c r="Q716" s="3">
        <f>IF(ORIG!Q716=0,"",ORIG!Q716)</f>
        <v/>
      </c>
      <c r="R716" s="3">
        <f>IF(ORIG!R716=0,"",ORIG!R716)</f>
        <v/>
      </c>
      <c r="S716" s="3">
        <f>IF(ORIG!S716=0,"",ORIG!S716)</f>
        <v/>
      </c>
      <c r="T716" s="3">
        <f>IF(ORIG!T716=0,"",ORIG!T716)</f>
        <v/>
      </c>
      <c r="U716" s="3">
        <f>IF(ORIG!U716=0,"",ORIG!U716)</f>
        <v/>
      </c>
      <c r="V716" s="9">
        <f>IF(ORIG!V716=0,"",ORIG!V716)</f>
        <v/>
      </c>
      <c r="W716" s="9">
        <f>IF(ORIG!W716=0,"",ORIG!W716)</f>
        <v/>
      </c>
      <c r="X716" s="9">
        <f>IF(ORIG!X716=0,"",ORIG!X716)</f>
        <v/>
      </c>
      <c r="Y716" s="9">
        <f>IF(ORIG!Y716=0,"",ORIG!Y716)</f>
        <v/>
      </c>
      <c r="Z716" s="3">
        <f>SUMPRODUCT($B716:$Y716,$B$2649:$Y$2649)</f>
        <v/>
      </c>
      <c r="AA716" s="3">
        <f>SUMPRODUCT($B716:$Y716,$B$2655:$Y$2655)</f>
        <v/>
      </c>
      <c r="AC716" s="1">
        <f>A716</f>
        <v/>
      </c>
      <c r="AD716">
        <f>IF(ISNUMBER(V716),V716*($AB$1/V$2635),"")</f>
        <v/>
      </c>
      <c r="AE716">
        <f>IF(ISNUMBER(Z716),Z716*($AB$1/Z$2635),"")</f>
        <v/>
      </c>
      <c r="AF716" s="25">
        <f>IF(ISNUMBER(AD716+AE716),AD716+AE716,"")</f>
        <v/>
      </c>
      <c r="AH716" s="1">
        <f>A716</f>
        <v/>
      </c>
      <c r="AI716">
        <f>IF(ISNUMBER((1+V716)*AI715),(1+V716)*AI715,AI715)</f>
        <v/>
      </c>
      <c r="AJ716">
        <f>IF(ISNUMBER((1+Z716)*AJ715),(1+Z716)*AJ715,AJ715)</f>
        <v/>
      </c>
    </row>
    <row r="717">
      <c r="A717" s="1" t="n">
        <v>43040</v>
      </c>
      <c r="B717" s="3">
        <f>IF(ORIG!B717=0,"",ORIG!B717)</f>
        <v/>
      </c>
      <c r="C717" s="3">
        <f>IF(ORIG!C717=0,"",ORIG!C717)</f>
        <v/>
      </c>
      <c r="D717" s="3">
        <f>IF(ORIG!D717=0,"",ORIG!D717)</f>
        <v/>
      </c>
      <c r="E717" s="3">
        <f>IF(ORIG!E717=0,"",ORIG!E717)</f>
        <v/>
      </c>
      <c r="F717" s="3">
        <f>IF(ORIG!F717=0,"",ORIG!F717)</f>
        <v/>
      </c>
      <c r="G717" s="3">
        <f>IF(ORIG!G717=0,"",ORIG!G717)</f>
        <v/>
      </c>
      <c r="H717" s="3">
        <f>IF(ORIG!H717=0,"",ORIG!H717)</f>
        <v/>
      </c>
      <c r="I717" s="3">
        <f>IF(ORIG!I717=0,"",ORIG!I717)</f>
        <v/>
      </c>
      <c r="J717" s="3">
        <f>IF(ORIG!J717=0,"",ORIG!J717)</f>
        <v/>
      </c>
      <c r="K717" s="3">
        <f>IF(ORIG!K717=0,"",ORIG!K717)</f>
        <v/>
      </c>
      <c r="L717" s="3">
        <f>IF(ORIG!L717=0,"",ORIG!L717)</f>
        <v/>
      </c>
      <c r="M717" s="3">
        <f>IF(ORIG!M717=0,"",ORIG!M717)</f>
        <v/>
      </c>
      <c r="N717" s="3">
        <f>IF(ORIG!N717=0,"",ORIG!N717)</f>
        <v/>
      </c>
      <c r="O717" s="3">
        <f>IF(ORIG!O717=0,"",ORIG!O717)</f>
        <v/>
      </c>
      <c r="P717" s="3">
        <f>IF(ORIG!P717=0,"",ORIG!P717)</f>
        <v/>
      </c>
      <c r="Q717" s="3">
        <f>IF(ORIG!Q717=0,"",ORIG!Q717)</f>
        <v/>
      </c>
      <c r="R717" s="3">
        <f>IF(ORIG!R717=0,"",ORIG!R717)</f>
        <v/>
      </c>
      <c r="S717" s="3">
        <f>IF(ORIG!S717=0,"",ORIG!S717)</f>
        <v/>
      </c>
      <c r="T717" s="3">
        <f>IF(ORIG!T717=0,"",ORIG!T717)</f>
        <v/>
      </c>
      <c r="U717" s="3">
        <f>IF(ORIG!U717=0,"",ORIG!U717)</f>
        <v/>
      </c>
      <c r="V717" s="9">
        <f>IF(ORIG!V717=0,"",ORIG!V717)</f>
        <v/>
      </c>
      <c r="W717" s="9">
        <f>IF(ORIG!W717=0,"",ORIG!W717)</f>
        <v/>
      </c>
      <c r="X717" s="9">
        <f>IF(ORIG!X717=0,"",ORIG!X717)</f>
        <v/>
      </c>
      <c r="Y717" s="9">
        <f>IF(ORIG!Y717=0,"",ORIG!Y717)</f>
        <v/>
      </c>
      <c r="Z717" s="3">
        <f>SUMPRODUCT($B717:$Y717,$B$2649:$Y$2649)</f>
        <v/>
      </c>
      <c r="AA717" s="3">
        <f>SUMPRODUCT($B717:$Y717,$B$2655:$Y$2655)</f>
        <v/>
      </c>
      <c r="AC717" s="1">
        <f>A717</f>
        <v/>
      </c>
      <c r="AD717">
        <f>IF(ISNUMBER(V717),V717*($AB$1/V$2635),"")</f>
        <v/>
      </c>
      <c r="AE717">
        <f>IF(ISNUMBER(Z717),Z717*($AB$1/Z$2635),"")</f>
        <v/>
      </c>
      <c r="AF717" s="25">
        <f>IF(ISNUMBER(AD717+AE717),AD717+AE717,"")</f>
        <v/>
      </c>
      <c r="AH717" s="1">
        <f>A717</f>
        <v/>
      </c>
      <c r="AI717">
        <f>IF(ISNUMBER((1+V717)*AI716),(1+V717)*AI716,AI716)</f>
        <v/>
      </c>
      <c r="AJ717">
        <f>IF(ISNUMBER((1+Z717)*AJ716),(1+Z717)*AJ716,AJ716)</f>
        <v/>
      </c>
    </row>
    <row r="718">
      <c r="A718" s="1" t="n">
        <v>43041</v>
      </c>
      <c r="B718" s="3">
        <f>IF(ORIG!B718=0,"",ORIG!B718)</f>
        <v/>
      </c>
      <c r="C718" s="3">
        <f>IF(ORIG!C718=0,"",ORIG!C718)</f>
        <v/>
      </c>
      <c r="D718" s="3">
        <f>IF(ORIG!D718=0,"",ORIG!D718)</f>
        <v/>
      </c>
      <c r="E718" s="3">
        <f>IF(ORIG!E718=0,"",ORIG!E718)</f>
        <v/>
      </c>
      <c r="F718" s="3">
        <f>IF(ORIG!F718=0,"",ORIG!F718)</f>
        <v/>
      </c>
      <c r="G718" s="3">
        <f>IF(ORIG!G718=0,"",ORIG!G718)</f>
        <v/>
      </c>
      <c r="H718" s="3">
        <f>IF(ORIG!H718=0,"",ORIG!H718)</f>
        <v/>
      </c>
      <c r="I718" s="3">
        <f>IF(ORIG!I718=0,"",ORIG!I718)</f>
        <v/>
      </c>
      <c r="J718" s="3">
        <f>IF(ORIG!J718=0,"",ORIG!J718)</f>
        <v/>
      </c>
      <c r="K718" s="3">
        <f>IF(ORIG!K718=0,"",ORIG!K718)</f>
        <v/>
      </c>
      <c r="L718" s="3">
        <f>IF(ORIG!L718=0,"",ORIG!L718)</f>
        <v/>
      </c>
      <c r="M718" s="3">
        <f>IF(ORIG!M718=0,"",ORIG!M718)</f>
        <v/>
      </c>
      <c r="N718" s="3">
        <f>IF(ORIG!N718=0,"",ORIG!N718)</f>
        <v/>
      </c>
      <c r="O718" s="3">
        <f>IF(ORIG!O718=0,"",ORIG!O718)</f>
        <v/>
      </c>
      <c r="P718" s="3">
        <f>IF(ORIG!P718=0,"",ORIG!P718)</f>
        <v/>
      </c>
      <c r="Q718" s="3">
        <f>IF(ORIG!Q718=0,"",ORIG!Q718)</f>
        <v/>
      </c>
      <c r="R718" s="3">
        <f>IF(ORIG!R718=0,"",ORIG!R718)</f>
        <v/>
      </c>
      <c r="S718" s="3">
        <f>IF(ORIG!S718=0,"",ORIG!S718)</f>
        <v/>
      </c>
      <c r="T718" s="3">
        <f>IF(ORIG!T718=0,"",ORIG!T718)</f>
        <v/>
      </c>
      <c r="U718" s="3">
        <f>IF(ORIG!U718=0,"",ORIG!U718)</f>
        <v/>
      </c>
      <c r="V718" s="9">
        <f>IF(ORIG!V718=0,"",ORIG!V718)</f>
        <v/>
      </c>
      <c r="W718" s="9">
        <f>IF(ORIG!W718=0,"",ORIG!W718)</f>
        <v/>
      </c>
      <c r="X718" s="9">
        <f>IF(ORIG!X718=0,"",ORIG!X718)</f>
        <v/>
      </c>
      <c r="Y718" s="9">
        <f>IF(ORIG!Y718=0,"",ORIG!Y718)</f>
        <v/>
      </c>
      <c r="Z718" s="3">
        <f>SUMPRODUCT($B718:$Y718,$B$2649:$Y$2649)</f>
        <v/>
      </c>
      <c r="AA718" s="3">
        <f>SUMPRODUCT($B718:$Y718,$B$2655:$Y$2655)</f>
        <v/>
      </c>
      <c r="AC718" s="1">
        <f>A718</f>
        <v/>
      </c>
      <c r="AD718">
        <f>IF(ISNUMBER(V718),V718*($AB$1/V$2635),"")</f>
        <v/>
      </c>
      <c r="AE718">
        <f>IF(ISNUMBER(Z718),Z718*($AB$1/Z$2635),"")</f>
        <v/>
      </c>
      <c r="AF718" s="25">
        <f>IF(ISNUMBER(AD718+AE718),AD718+AE718,"")</f>
        <v/>
      </c>
      <c r="AH718" s="1">
        <f>A718</f>
        <v/>
      </c>
      <c r="AI718">
        <f>IF(ISNUMBER((1+V718)*AI717),(1+V718)*AI717,AI717)</f>
        <v/>
      </c>
      <c r="AJ718">
        <f>IF(ISNUMBER((1+Z718)*AJ717),(1+Z718)*AJ717,AJ717)</f>
        <v/>
      </c>
    </row>
    <row r="719">
      <c r="A719" s="1" t="n">
        <v>43042</v>
      </c>
      <c r="B719" s="3">
        <f>IF(ORIG!B719=0,"",ORIG!B719)</f>
        <v/>
      </c>
      <c r="C719" s="3">
        <f>IF(ORIG!C719=0,"",ORIG!C719)</f>
        <v/>
      </c>
      <c r="D719" s="3">
        <f>IF(ORIG!D719=0,"",ORIG!D719)</f>
        <v/>
      </c>
      <c r="E719" s="3">
        <f>IF(ORIG!E719=0,"",ORIG!E719)</f>
        <v/>
      </c>
      <c r="F719" s="3">
        <f>IF(ORIG!F719=0,"",ORIG!F719)</f>
        <v/>
      </c>
      <c r="G719" s="3">
        <f>IF(ORIG!G719=0,"",ORIG!G719)</f>
        <v/>
      </c>
      <c r="H719" s="3">
        <f>IF(ORIG!H719=0,"",ORIG!H719)</f>
        <v/>
      </c>
      <c r="I719" s="3">
        <f>IF(ORIG!I719=0,"",ORIG!I719)</f>
        <v/>
      </c>
      <c r="J719" s="3">
        <f>IF(ORIG!J719=0,"",ORIG!J719)</f>
        <v/>
      </c>
      <c r="K719" s="3">
        <f>IF(ORIG!K719=0,"",ORIG!K719)</f>
        <v/>
      </c>
      <c r="L719" s="3">
        <f>IF(ORIG!L719=0,"",ORIG!L719)</f>
        <v/>
      </c>
      <c r="M719" s="3">
        <f>IF(ORIG!M719=0,"",ORIG!M719)</f>
        <v/>
      </c>
      <c r="N719" s="3">
        <f>IF(ORIG!N719=0,"",ORIG!N719)</f>
        <v/>
      </c>
      <c r="O719" s="3">
        <f>IF(ORIG!O719=0,"",ORIG!O719)</f>
        <v/>
      </c>
      <c r="P719" s="3">
        <f>IF(ORIG!P719=0,"",ORIG!P719)</f>
        <v/>
      </c>
      <c r="Q719" s="3">
        <f>IF(ORIG!Q719=0,"",ORIG!Q719)</f>
        <v/>
      </c>
      <c r="R719" s="3">
        <f>IF(ORIG!R719=0,"",ORIG!R719)</f>
        <v/>
      </c>
      <c r="S719" s="3">
        <f>IF(ORIG!S719=0,"",ORIG!S719)</f>
        <v/>
      </c>
      <c r="T719" s="3">
        <f>IF(ORIG!T719=0,"",ORIG!T719)</f>
        <v/>
      </c>
      <c r="U719" s="3">
        <f>IF(ORIG!U719=0,"",ORIG!U719)</f>
        <v/>
      </c>
      <c r="V719" s="9">
        <f>IF(ORIG!V719=0,"",ORIG!V719)</f>
        <v/>
      </c>
      <c r="W719" s="9">
        <f>IF(ORIG!W719=0,"",ORIG!W719)</f>
        <v/>
      </c>
      <c r="X719" s="9">
        <f>IF(ORIG!X719=0,"",ORIG!X719)</f>
        <v/>
      </c>
      <c r="Y719" s="9">
        <f>IF(ORIG!Y719=0,"",ORIG!Y719)</f>
        <v/>
      </c>
      <c r="Z719" s="3">
        <f>SUMPRODUCT($B719:$Y719,$B$2649:$Y$2649)</f>
        <v/>
      </c>
      <c r="AA719" s="3">
        <f>SUMPRODUCT($B719:$Y719,$B$2655:$Y$2655)</f>
        <v/>
      </c>
      <c r="AC719" s="1">
        <f>A719</f>
        <v/>
      </c>
      <c r="AD719">
        <f>IF(ISNUMBER(V719),V719*($AB$1/V$2635),"")</f>
        <v/>
      </c>
      <c r="AE719">
        <f>IF(ISNUMBER(Z719),Z719*($AB$1/Z$2635),"")</f>
        <v/>
      </c>
      <c r="AF719" s="25">
        <f>IF(ISNUMBER(AD719+AE719),AD719+AE719,"")</f>
        <v/>
      </c>
      <c r="AH719" s="1">
        <f>A719</f>
        <v/>
      </c>
      <c r="AI719">
        <f>IF(ISNUMBER((1+V719)*AI718),(1+V719)*AI718,AI718)</f>
        <v/>
      </c>
      <c r="AJ719">
        <f>IF(ISNUMBER((1+Z719)*AJ718),(1+Z719)*AJ718,AJ718)</f>
        <v/>
      </c>
    </row>
    <row r="720">
      <c r="A720" s="1" t="n">
        <v>43045</v>
      </c>
      <c r="B720" s="3">
        <f>IF(ORIG!B720=0,"",ORIG!B720)</f>
        <v/>
      </c>
      <c r="C720" s="3">
        <f>IF(ORIG!C720=0,"",ORIG!C720)</f>
        <v/>
      </c>
      <c r="D720" s="3">
        <f>IF(ORIG!D720=0,"",ORIG!D720)</f>
        <v/>
      </c>
      <c r="E720" s="3">
        <f>IF(ORIG!E720=0,"",ORIG!E720)</f>
        <v/>
      </c>
      <c r="F720" s="3">
        <f>IF(ORIG!F720=0,"",ORIG!F720)</f>
        <v/>
      </c>
      <c r="G720" s="3">
        <f>IF(ORIG!G720=0,"",ORIG!G720)</f>
        <v/>
      </c>
      <c r="H720" s="3">
        <f>IF(ORIG!H720=0,"",ORIG!H720)</f>
        <v/>
      </c>
      <c r="I720" s="3">
        <f>IF(ORIG!I720=0,"",ORIG!I720)</f>
        <v/>
      </c>
      <c r="J720" s="3">
        <f>IF(ORIG!J720=0,"",ORIG!J720)</f>
        <v/>
      </c>
      <c r="K720" s="3">
        <f>IF(ORIG!K720=0,"",ORIG!K720)</f>
        <v/>
      </c>
      <c r="L720" s="3">
        <f>IF(ORIG!L720=0,"",ORIG!L720)</f>
        <v/>
      </c>
      <c r="M720" s="3">
        <f>IF(ORIG!M720=0,"",ORIG!M720)</f>
        <v/>
      </c>
      <c r="N720" s="3">
        <f>IF(ORIG!N720=0,"",ORIG!N720)</f>
        <v/>
      </c>
      <c r="O720" s="3">
        <f>IF(ORIG!O720=0,"",ORIG!O720)</f>
        <v/>
      </c>
      <c r="P720" s="3">
        <f>IF(ORIG!P720=0,"",ORIG!P720)</f>
        <v/>
      </c>
      <c r="Q720" s="3">
        <f>IF(ORIG!Q720=0,"",ORIG!Q720)</f>
        <v/>
      </c>
      <c r="R720" s="3">
        <f>IF(ORIG!R720=0,"",ORIG!R720)</f>
        <v/>
      </c>
      <c r="S720" s="3">
        <f>IF(ORIG!S720=0,"",ORIG!S720)</f>
        <v/>
      </c>
      <c r="T720" s="3">
        <f>IF(ORIG!T720=0,"",ORIG!T720)</f>
        <v/>
      </c>
      <c r="U720" s="3">
        <f>IF(ORIG!U720=0,"",ORIG!U720)</f>
        <v/>
      </c>
      <c r="V720" s="9">
        <f>IF(ORIG!V720=0,"",ORIG!V720)</f>
        <v/>
      </c>
      <c r="W720" s="9">
        <f>IF(ORIG!W720=0,"",ORIG!W720)</f>
        <v/>
      </c>
      <c r="X720" s="9">
        <f>IF(ORIG!X720=0,"",ORIG!X720)</f>
        <v/>
      </c>
      <c r="Y720" s="9">
        <f>IF(ORIG!Y720=0,"",ORIG!Y720)</f>
        <v/>
      </c>
      <c r="Z720" s="3">
        <f>SUMPRODUCT($B720:$Y720,$B$2649:$Y$2649)</f>
        <v/>
      </c>
      <c r="AA720" s="3">
        <f>SUMPRODUCT($B720:$Y720,$B$2655:$Y$2655)</f>
        <v/>
      </c>
      <c r="AC720" s="1">
        <f>A720</f>
        <v/>
      </c>
      <c r="AD720">
        <f>IF(ISNUMBER(V720),V720*($AB$1/V$2635),"")</f>
        <v/>
      </c>
      <c r="AE720">
        <f>IF(ISNUMBER(Z720),Z720*($AB$1/Z$2635),"")</f>
        <v/>
      </c>
      <c r="AF720" s="25">
        <f>IF(ISNUMBER(AD720+AE720),AD720+AE720,"")</f>
        <v/>
      </c>
      <c r="AH720" s="1">
        <f>A720</f>
        <v/>
      </c>
      <c r="AI720">
        <f>IF(ISNUMBER((1+V720)*AI719),(1+V720)*AI719,AI719)</f>
        <v/>
      </c>
      <c r="AJ720">
        <f>IF(ISNUMBER((1+Z720)*AJ719),(1+Z720)*AJ719,AJ719)</f>
        <v/>
      </c>
    </row>
    <row r="721">
      <c r="A721" s="1" t="n">
        <v>43046</v>
      </c>
      <c r="B721" s="3">
        <f>IF(ORIG!B721=0,"",ORIG!B721)</f>
        <v/>
      </c>
      <c r="C721" s="3">
        <f>IF(ORIG!C721=0,"",ORIG!C721)</f>
        <v/>
      </c>
      <c r="D721" s="3">
        <f>IF(ORIG!D721=0,"",ORIG!D721)</f>
        <v/>
      </c>
      <c r="E721" s="3">
        <f>IF(ORIG!E721=0,"",ORIG!E721)</f>
        <v/>
      </c>
      <c r="F721" s="3">
        <f>IF(ORIG!F721=0,"",ORIG!F721)</f>
        <v/>
      </c>
      <c r="G721" s="3">
        <f>IF(ORIG!G721=0,"",ORIG!G721)</f>
        <v/>
      </c>
      <c r="H721" s="3">
        <f>IF(ORIG!H721=0,"",ORIG!H721)</f>
        <v/>
      </c>
      <c r="I721" s="3">
        <f>IF(ORIG!I721=0,"",ORIG!I721)</f>
        <v/>
      </c>
      <c r="J721" s="3">
        <f>IF(ORIG!J721=0,"",ORIG!J721)</f>
        <v/>
      </c>
      <c r="K721" s="3">
        <f>IF(ORIG!K721=0,"",ORIG!K721)</f>
        <v/>
      </c>
      <c r="L721" s="3">
        <f>IF(ORIG!L721=0,"",ORIG!L721)</f>
        <v/>
      </c>
      <c r="M721" s="3">
        <f>IF(ORIG!M721=0,"",ORIG!M721)</f>
        <v/>
      </c>
      <c r="N721" s="3">
        <f>IF(ORIG!N721=0,"",ORIG!N721)</f>
        <v/>
      </c>
      <c r="O721" s="3">
        <f>IF(ORIG!O721=0,"",ORIG!O721)</f>
        <v/>
      </c>
      <c r="P721" s="3">
        <f>IF(ORIG!P721=0,"",ORIG!P721)</f>
        <v/>
      </c>
      <c r="Q721" s="3">
        <f>IF(ORIG!Q721=0,"",ORIG!Q721)</f>
        <v/>
      </c>
      <c r="R721" s="3">
        <f>IF(ORIG!R721=0,"",ORIG!R721)</f>
        <v/>
      </c>
      <c r="S721" s="3">
        <f>IF(ORIG!S721=0,"",ORIG!S721)</f>
        <v/>
      </c>
      <c r="T721" s="3">
        <f>IF(ORIG!T721=0,"",ORIG!T721)</f>
        <v/>
      </c>
      <c r="U721" s="3">
        <f>IF(ORIG!U721=0,"",ORIG!U721)</f>
        <v/>
      </c>
      <c r="V721" s="9">
        <f>IF(ORIG!V721=0,"",ORIG!V721)</f>
        <v/>
      </c>
      <c r="W721" s="9">
        <f>IF(ORIG!W721=0,"",ORIG!W721)</f>
        <v/>
      </c>
      <c r="X721" s="9">
        <f>IF(ORIG!X721=0,"",ORIG!X721)</f>
        <v/>
      </c>
      <c r="Y721" s="9">
        <f>IF(ORIG!Y721=0,"",ORIG!Y721)</f>
        <v/>
      </c>
      <c r="Z721" s="3">
        <f>SUMPRODUCT($B721:$Y721,$B$2649:$Y$2649)</f>
        <v/>
      </c>
      <c r="AA721" s="3">
        <f>SUMPRODUCT($B721:$Y721,$B$2655:$Y$2655)</f>
        <v/>
      </c>
      <c r="AC721" s="1">
        <f>A721</f>
        <v/>
      </c>
      <c r="AD721">
        <f>IF(ISNUMBER(V721),V721*($AB$1/V$2635),"")</f>
        <v/>
      </c>
      <c r="AE721">
        <f>IF(ISNUMBER(Z721),Z721*($AB$1/Z$2635),"")</f>
        <v/>
      </c>
      <c r="AF721" s="25">
        <f>IF(ISNUMBER(AD721+AE721),AD721+AE721,"")</f>
        <v/>
      </c>
      <c r="AH721" s="1">
        <f>A721</f>
        <v/>
      </c>
      <c r="AI721">
        <f>IF(ISNUMBER((1+V721)*AI720),(1+V721)*AI720,AI720)</f>
        <v/>
      </c>
      <c r="AJ721">
        <f>IF(ISNUMBER((1+Z721)*AJ720),(1+Z721)*AJ720,AJ720)</f>
        <v/>
      </c>
    </row>
    <row r="722">
      <c r="A722" s="1" t="n">
        <v>43047</v>
      </c>
      <c r="B722" s="3">
        <f>IF(ORIG!B722=0,"",ORIG!B722)</f>
        <v/>
      </c>
      <c r="C722" s="3">
        <f>IF(ORIG!C722=0,"",ORIG!C722)</f>
        <v/>
      </c>
      <c r="D722" s="3">
        <f>IF(ORIG!D722=0,"",ORIG!D722)</f>
        <v/>
      </c>
      <c r="E722" s="3">
        <f>IF(ORIG!E722=0,"",ORIG!E722)</f>
        <v/>
      </c>
      <c r="F722" s="3">
        <f>IF(ORIG!F722=0,"",ORIG!F722)</f>
        <v/>
      </c>
      <c r="G722" s="3">
        <f>IF(ORIG!G722=0,"",ORIG!G722)</f>
        <v/>
      </c>
      <c r="H722" s="3">
        <f>IF(ORIG!H722=0,"",ORIG!H722)</f>
        <v/>
      </c>
      <c r="I722" s="3">
        <f>IF(ORIG!I722=0,"",ORIG!I722)</f>
        <v/>
      </c>
      <c r="J722" s="3">
        <f>IF(ORIG!J722=0,"",ORIG!J722)</f>
        <v/>
      </c>
      <c r="K722" s="3">
        <f>IF(ORIG!K722=0,"",ORIG!K722)</f>
        <v/>
      </c>
      <c r="L722" s="3">
        <f>IF(ORIG!L722=0,"",ORIG!L722)</f>
        <v/>
      </c>
      <c r="M722" s="3">
        <f>IF(ORIG!M722=0,"",ORIG!M722)</f>
        <v/>
      </c>
      <c r="N722" s="3">
        <f>IF(ORIG!N722=0,"",ORIG!N722)</f>
        <v/>
      </c>
      <c r="O722" s="3">
        <f>IF(ORIG!O722=0,"",ORIG!O722)</f>
        <v/>
      </c>
      <c r="P722" s="3">
        <f>IF(ORIG!P722=0,"",ORIG!P722)</f>
        <v/>
      </c>
      <c r="Q722" s="3">
        <f>IF(ORIG!Q722=0,"",ORIG!Q722)</f>
        <v/>
      </c>
      <c r="R722" s="3">
        <f>IF(ORIG!R722=0,"",ORIG!R722)</f>
        <v/>
      </c>
      <c r="S722" s="3">
        <f>IF(ORIG!S722=0,"",ORIG!S722)</f>
        <v/>
      </c>
      <c r="T722" s="3">
        <f>IF(ORIG!T722=0,"",ORIG!T722)</f>
        <v/>
      </c>
      <c r="U722" s="3">
        <f>IF(ORIG!U722=0,"",ORIG!U722)</f>
        <v/>
      </c>
      <c r="V722" s="9">
        <f>IF(ORIG!V722=0,"",ORIG!V722)</f>
        <v/>
      </c>
      <c r="W722" s="9">
        <f>IF(ORIG!W722=0,"",ORIG!W722)</f>
        <v/>
      </c>
      <c r="X722" s="9">
        <f>IF(ORIG!X722=0,"",ORIG!X722)</f>
        <v/>
      </c>
      <c r="Y722" s="9">
        <f>IF(ORIG!Y722=0,"",ORIG!Y722)</f>
        <v/>
      </c>
      <c r="Z722" s="3">
        <f>SUMPRODUCT($B722:$Y722,$B$2649:$Y$2649)</f>
        <v/>
      </c>
      <c r="AA722" s="3">
        <f>SUMPRODUCT($B722:$Y722,$B$2655:$Y$2655)</f>
        <v/>
      </c>
      <c r="AC722" s="1">
        <f>A722</f>
        <v/>
      </c>
      <c r="AD722">
        <f>IF(ISNUMBER(V722),V722*($AB$1/V$2635),"")</f>
        <v/>
      </c>
      <c r="AE722">
        <f>IF(ISNUMBER(Z722),Z722*($AB$1/Z$2635),"")</f>
        <v/>
      </c>
      <c r="AF722" s="25">
        <f>IF(ISNUMBER(AD722+AE722),AD722+AE722,"")</f>
        <v/>
      </c>
      <c r="AH722" s="1">
        <f>A722</f>
        <v/>
      </c>
      <c r="AI722">
        <f>IF(ISNUMBER((1+V722)*AI721),(1+V722)*AI721,AI721)</f>
        <v/>
      </c>
      <c r="AJ722">
        <f>IF(ISNUMBER((1+Z722)*AJ721),(1+Z722)*AJ721,AJ721)</f>
        <v/>
      </c>
    </row>
    <row r="723">
      <c r="A723" s="1" t="n">
        <v>43048</v>
      </c>
      <c r="B723" s="3">
        <f>IF(ORIG!B723=0,"",ORIG!B723)</f>
        <v/>
      </c>
      <c r="C723" s="3">
        <f>IF(ORIG!C723=0,"",ORIG!C723)</f>
        <v/>
      </c>
      <c r="D723" s="3">
        <f>IF(ORIG!D723=0,"",ORIG!D723)</f>
        <v/>
      </c>
      <c r="E723" s="3">
        <f>IF(ORIG!E723=0,"",ORIG!E723)</f>
        <v/>
      </c>
      <c r="F723" s="3">
        <f>IF(ORIG!F723=0,"",ORIG!F723)</f>
        <v/>
      </c>
      <c r="G723" s="3">
        <f>IF(ORIG!G723=0,"",ORIG!G723)</f>
        <v/>
      </c>
      <c r="H723" s="3">
        <f>IF(ORIG!H723=0,"",ORIG!H723)</f>
        <v/>
      </c>
      <c r="I723" s="3">
        <f>IF(ORIG!I723=0,"",ORIG!I723)</f>
        <v/>
      </c>
      <c r="J723" s="3">
        <f>IF(ORIG!J723=0,"",ORIG!J723)</f>
        <v/>
      </c>
      <c r="K723" s="3">
        <f>IF(ORIG!K723=0,"",ORIG!K723)</f>
        <v/>
      </c>
      <c r="L723" s="3">
        <f>IF(ORIG!L723=0,"",ORIG!L723)</f>
        <v/>
      </c>
      <c r="M723" s="3">
        <f>IF(ORIG!M723=0,"",ORIG!M723)</f>
        <v/>
      </c>
      <c r="N723" s="3">
        <f>IF(ORIG!N723=0,"",ORIG!N723)</f>
        <v/>
      </c>
      <c r="O723" s="3">
        <f>IF(ORIG!O723=0,"",ORIG!O723)</f>
        <v/>
      </c>
      <c r="P723" s="3">
        <f>IF(ORIG!P723=0,"",ORIG!P723)</f>
        <v/>
      </c>
      <c r="Q723" s="3">
        <f>IF(ORIG!Q723=0,"",ORIG!Q723)</f>
        <v/>
      </c>
      <c r="R723" s="3">
        <f>IF(ORIG!R723=0,"",ORIG!R723)</f>
        <v/>
      </c>
      <c r="S723" s="3">
        <f>IF(ORIG!S723=0,"",ORIG!S723)</f>
        <v/>
      </c>
      <c r="T723" s="3">
        <f>IF(ORIG!T723=0,"",ORIG!T723)</f>
        <v/>
      </c>
      <c r="U723" s="3">
        <f>IF(ORIG!U723=0,"",ORIG!U723)</f>
        <v/>
      </c>
      <c r="V723" s="9">
        <f>IF(ORIG!V723=0,"",ORIG!V723)</f>
        <v/>
      </c>
      <c r="W723" s="9">
        <f>IF(ORIG!W723=0,"",ORIG!W723)</f>
        <v/>
      </c>
      <c r="X723" s="9">
        <f>IF(ORIG!X723=0,"",ORIG!X723)</f>
        <v/>
      </c>
      <c r="Y723" s="9">
        <f>IF(ORIG!Y723=0,"",ORIG!Y723)</f>
        <v/>
      </c>
      <c r="Z723" s="3">
        <f>SUMPRODUCT($B723:$Y723,$B$2649:$Y$2649)</f>
        <v/>
      </c>
      <c r="AA723" s="3">
        <f>SUMPRODUCT($B723:$Y723,$B$2655:$Y$2655)</f>
        <v/>
      </c>
      <c r="AC723" s="1">
        <f>A723</f>
        <v/>
      </c>
      <c r="AD723">
        <f>IF(ISNUMBER(V723),V723*($AB$1/V$2635),"")</f>
        <v/>
      </c>
      <c r="AE723">
        <f>IF(ISNUMBER(Z723),Z723*($AB$1/Z$2635),"")</f>
        <v/>
      </c>
      <c r="AF723" s="25">
        <f>IF(ISNUMBER(AD723+AE723),AD723+AE723,"")</f>
        <v/>
      </c>
      <c r="AH723" s="1">
        <f>A723</f>
        <v/>
      </c>
      <c r="AI723">
        <f>IF(ISNUMBER((1+V723)*AI722),(1+V723)*AI722,AI722)</f>
        <v/>
      </c>
      <c r="AJ723">
        <f>IF(ISNUMBER((1+Z723)*AJ722),(1+Z723)*AJ722,AJ722)</f>
        <v/>
      </c>
    </row>
    <row r="724">
      <c r="A724" s="1" t="n">
        <v>43049</v>
      </c>
      <c r="B724" s="3">
        <f>IF(ORIG!B724=0,"",ORIG!B724)</f>
        <v/>
      </c>
      <c r="C724" s="3">
        <f>IF(ORIG!C724=0,"",ORIG!C724)</f>
        <v/>
      </c>
      <c r="D724" s="3">
        <f>IF(ORIG!D724=0,"",ORIG!D724)</f>
        <v/>
      </c>
      <c r="E724" s="3">
        <f>IF(ORIG!E724=0,"",ORIG!E724)</f>
        <v/>
      </c>
      <c r="F724" s="3">
        <f>IF(ORIG!F724=0,"",ORIG!F724)</f>
        <v/>
      </c>
      <c r="G724" s="3">
        <f>IF(ORIG!G724=0,"",ORIG!G724)</f>
        <v/>
      </c>
      <c r="H724" s="3">
        <f>IF(ORIG!H724=0,"",ORIG!H724)</f>
        <v/>
      </c>
      <c r="I724" s="3">
        <f>IF(ORIG!I724=0,"",ORIG!I724)</f>
        <v/>
      </c>
      <c r="J724" s="3">
        <f>IF(ORIG!J724=0,"",ORIG!J724)</f>
        <v/>
      </c>
      <c r="K724" s="3">
        <f>IF(ORIG!K724=0,"",ORIG!K724)</f>
        <v/>
      </c>
      <c r="L724" s="3">
        <f>IF(ORIG!L724=0,"",ORIG!L724)</f>
        <v/>
      </c>
      <c r="M724" s="3">
        <f>IF(ORIG!M724=0,"",ORIG!M724)</f>
        <v/>
      </c>
      <c r="N724" s="3">
        <f>IF(ORIG!N724=0,"",ORIG!N724)</f>
        <v/>
      </c>
      <c r="O724" s="3">
        <f>IF(ORIG!O724=0,"",ORIG!O724)</f>
        <v/>
      </c>
      <c r="P724" s="3">
        <f>IF(ORIG!P724=0,"",ORIG!P724)</f>
        <v/>
      </c>
      <c r="Q724" s="3">
        <f>IF(ORIG!Q724=0,"",ORIG!Q724)</f>
        <v/>
      </c>
      <c r="R724" s="3">
        <f>IF(ORIG!R724=0,"",ORIG!R724)</f>
        <v/>
      </c>
      <c r="S724" s="3">
        <f>IF(ORIG!S724=0,"",ORIG!S724)</f>
        <v/>
      </c>
      <c r="T724" s="3">
        <f>IF(ORIG!T724=0,"",ORIG!T724)</f>
        <v/>
      </c>
      <c r="U724" s="3">
        <f>IF(ORIG!U724=0,"",ORIG!U724)</f>
        <v/>
      </c>
      <c r="V724" s="9">
        <f>IF(ORIG!V724=0,"",ORIG!V724)</f>
        <v/>
      </c>
      <c r="W724" s="9">
        <f>IF(ORIG!W724=0,"",ORIG!W724)</f>
        <v/>
      </c>
      <c r="X724" s="9">
        <f>IF(ORIG!X724=0,"",ORIG!X724)</f>
        <v/>
      </c>
      <c r="Y724" s="9">
        <f>IF(ORIG!Y724=0,"",ORIG!Y724)</f>
        <v/>
      </c>
      <c r="Z724" s="3">
        <f>SUMPRODUCT($B724:$Y724,$B$2649:$Y$2649)</f>
        <v/>
      </c>
      <c r="AA724" s="3">
        <f>SUMPRODUCT($B724:$Y724,$B$2655:$Y$2655)</f>
        <v/>
      </c>
      <c r="AC724" s="1">
        <f>A724</f>
        <v/>
      </c>
      <c r="AD724">
        <f>IF(ISNUMBER(V724),V724*($AB$1/V$2635),"")</f>
        <v/>
      </c>
      <c r="AE724">
        <f>IF(ISNUMBER(Z724),Z724*($AB$1/Z$2635),"")</f>
        <v/>
      </c>
      <c r="AF724" s="25">
        <f>IF(ISNUMBER(AD724+AE724),AD724+AE724,"")</f>
        <v/>
      </c>
      <c r="AH724" s="1">
        <f>A724</f>
        <v/>
      </c>
      <c r="AI724">
        <f>IF(ISNUMBER((1+V724)*AI723),(1+V724)*AI723,AI723)</f>
        <v/>
      </c>
      <c r="AJ724">
        <f>IF(ISNUMBER((1+Z724)*AJ723),(1+Z724)*AJ723,AJ723)</f>
        <v/>
      </c>
    </row>
    <row r="725">
      <c r="A725" s="1" t="n">
        <v>43052</v>
      </c>
      <c r="B725" s="3">
        <f>IF(ORIG!B725=0,"",ORIG!B725)</f>
        <v/>
      </c>
      <c r="C725" s="3">
        <f>IF(ORIG!C725=0,"",ORIG!C725)</f>
        <v/>
      </c>
      <c r="D725" s="3">
        <f>IF(ORIG!D725=0,"",ORIG!D725)</f>
        <v/>
      </c>
      <c r="E725" s="3">
        <f>IF(ORIG!E725=0,"",ORIG!E725)</f>
        <v/>
      </c>
      <c r="F725" s="3">
        <f>IF(ORIG!F725=0,"",ORIG!F725)</f>
        <v/>
      </c>
      <c r="G725" s="3">
        <f>IF(ORIG!G725=0,"",ORIG!G725)</f>
        <v/>
      </c>
      <c r="H725" s="3">
        <f>IF(ORIG!H725=0,"",ORIG!H725)</f>
        <v/>
      </c>
      <c r="I725" s="3">
        <f>IF(ORIG!I725=0,"",ORIG!I725)</f>
        <v/>
      </c>
      <c r="J725" s="3">
        <f>IF(ORIG!J725=0,"",ORIG!J725)</f>
        <v/>
      </c>
      <c r="K725" s="3">
        <f>IF(ORIG!K725=0,"",ORIG!K725)</f>
        <v/>
      </c>
      <c r="L725" s="3">
        <f>IF(ORIG!L725=0,"",ORIG!L725)</f>
        <v/>
      </c>
      <c r="M725" s="3">
        <f>IF(ORIG!M725=0,"",ORIG!M725)</f>
        <v/>
      </c>
      <c r="N725" s="3">
        <f>IF(ORIG!N725=0,"",ORIG!N725)</f>
        <v/>
      </c>
      <c r="O725" s="3">
        <f>IF(ORIG!O725=0,"",ORIG!O725)</f>
        <v/>
      </c>
      <c r="P725" s="3">
        <f>IF(ORIG!P725=0,"",ORIG!P725)</f>
        <v/>
      </c>
      <c r="Q725" s="3">
        <f>IF(ORIG!Q725=0,"",ORIG!Q725)</f>
        <v/>
      </c>
      <c r="R725" s="3">
        <f>IF(ORIG!R725=0,"",ORIG!R725)</f>
        <v/>
      </c>
      <c r="S725" s="3">
        <f>IF(ORIG!S725=0,"",ORIG!S725)</f>
        <v/>
      </c>
      <c r="T725" s="3">
        <f>IF(ORIG!T725=0,"",ORIG!T725)</f>
        <v/>
      </c>
      <c r="U725" s="3">
        <f>IF(ORIG!U725=0,"",ORIG!U725)</f>
        <v/>
      </c>
      <c r="V725" s="9">
        <f>IF(ORIG!V725=0,"",ORIG!V725)</f>
        <v/>
      </c>
      <c r="W725" s="9">
        <f>IF(ORIG!W725=0,"",ORIG!W725)</f>
        <v/>
      </c>
      <c r="X725" s="9">
        <f>IF(ORIG!X725=0,"",ORIG!X725)</f>
        <v/>
      </c>
      <c r="Y725" s="9">
        <f>IF(ORIG!Y725=0,"",ORIG!Y725)</f>
        <v/>
      </c>
      <c r="Z725" s="3">
        <f>SUMPRODUCT($B725:$Y725,$B$2649:$Y$2649)</f>
        <v/>
      </c>
      <c r="AA725" s="3">
        <f>SUMPRODUCT($B725:$Y725,$B$2655:$Y$2655)</f>
        <v/>
      </c>
      <c r="AC725" s="1">
        <f>A725</f>
        <v/>
      </c>
      <c r="AD725">
        <f>IF(ISNUMBER(V725),V725*($AB$1/V$2635),"")</f>
        <v/>
      </c>
      <c r="AE725">
        <f>IF(ISNUMBER(Z725),Z725*($AB$1/Z$2635),"")</f>
        <v/>
      </c>
      <c r="AF725" s="25">
        <f>IF(ISNUMBER(AD725+AE725),AD725+AE725,"")</f>
        <v/>
      </c>
      <c r="AH725" s="1">
        <f>A725</f>
        <v/>
      </c>
      <c r="AI725">
        <f>IF(ISNUMBER((1+V725)*AI724),(1+V725)*AI724,AI724)</f>
        <v/>
      </c>
      <c r="AJ725">
        <f>IF(ISNUMBER((1+Z725)*AJ724),(1+Z725)*AJ724,AJ724)</f>
        <v/>
      </c>
    </row>
    <row r="726">
      <c r="A726" s="1" t="n">
        <v>43053</v>
      </c>
      <c r="B726" s="3">
        <f>IF(ORIG!B726=0,"",ORIG!B726)</f>
        <v/>
      </c>
      <c r="C726" s="3">
        <f>IF(ORIG!C726=0,"",ORIG!C726)</f>
        <v/>
      </c>
      <c r="D726" s="3">
        <f>IF(ORIG!D726=0,"",ORIG!D726)</f>
        <v/>
      </c>
      <c r="E726" s="3">
        <f>IF(ORIG!E726=0,"",ORIG!E726)</f>
        <v/>
      </c>
      <c r="F726" s="3">
        <f>IF(ORIG!F726=0,"",ORIG!F726)</f>
        <v/>
      </c>
      <c r="G726" s="3">
        <f>IF(ORIG!G726=0,"",ORIG!G726)</f>
        <v/>
      </c>
      <c r="H726" s="3">
        <f>IF(ORIG!H726=0,"",ORIG!H726)</f>
        <v/>
      </c>
      <c r="I726" s="3">
        <f>IF(ORIG!I726=0,"",ORIG!I726)</f>
        <v/>
      </c>
      <c r="J726" s="3">
        <f>IF(ORIG!J726=0,"",ORIG!J726)</f>
        <v/>
      </c>
      <c r="K726" s="3">
        <f>IF(ORIG!K726=0,"",ORIG!K726)</f>
        <v/>
      </c>
      <c r="L726" s="3">
        <f>IF(ORIG!L726=0,"",ORIG!L726)</f>
        <v/>
      </c>
      <c r="M726" s="3">
        <f>IF(ORIG!M726=0,"",ORIG!M726)</f>
        <v/>
      </c>
      <c r="N726" s="3">
        <f>IF(ORIG!N726=0,"",ORIG!N726)</f>
        <v/>
      </c>
      <c r="O726" s="3">
        <f>IF(ORIG!O726=0,"",ORIG!O726)</f>
        <v/>
      </c>
      <c r="P726" s="3">
        <f>IF(ORIG!P726=0,"",ORIG!P726)</f>
        <v/>
      </c>
      <c r="Q726" s="3">
        <f>IF(ORIG!Q726=0,"",ORIG!Q726)</f>
        <v/>
      </c>
      <c r="R726" s="3">
        <f>IF(ORIG!R726=0,"",ORIG!R726)</f>
        <v/>
      </c>
      <c r="S726" s="3">
        <f>IF(ORIG!S726=0,"",ORIG!S726)</f>
        <v/>
      </c>
      <c r="T726" s="3">
        <f>IF(ORIG!T726=0,"",ORIG!T726)</f>
        <v/>
      </c>
      <c r="U726" s="3">
        <f>IF(ORIG!U726=0,"",ORIG!U726)</f>
        <v/>
      </c>
      <c r="V726" s="9">
        <f>IF(ORIG!V726=0,"",ORIG!V726)</f>
        <v/>
      </c>
      <c r="W726" s="9">
        <f>IF(ORIG!W726=0,"",ORIG!W726)</f>
        <v/>
      </c>
      <c r="X726" s="9">
        <f>IF(ORIG!X726=0,"",ORIG!X726)</f>
        <v/>
      </c>
      <c r="Y726" s="9">
        <f>IF(ORIG!Y726=0,"",ORIG!Y726)</f>
        <v/>
      </c>
      <c r="Z726" s="3">
        <f>SUMPRODUCT($B726:$Y726,$B$2649:$Y$2649)</f>
        <v/>
      </c>
      <c r="AA726" s="3">
        <f>SUMPRODUCT($B726:$Y726,$B$2655:$Y$2655)</f>
        <v/>
      </c>
      <c r="AC726" s="1">
        <f>A726</f>
        <v/>
      </c>
      <c r="AD726">
        <f>IF(ISNUMBER(V726),V726*($AB$1/V$2635),"")</f>
        <v/>
      </c>
      <c r="AE726">
        <f>IF(ISNUMBER(Z726),Z726*($AB$1/Z$2635),"")</f>
        <v/>
      </c>
      <c r="AF726" s="25">
        <f>IF(ISNUMBER(AD726+AE726),AD726+AE726,"")</f>
        <v/>
      </c>
      <c r="AH726" s="1">
        <f>A726</f>
        <v/>
      </c>
      <c r="AI726">
        <f>IF(ISNUMBER((1+V726)*AI725),(1+V726)*AI725,AI725)</f>
        <v/>
      </c>
      <c r="AJ726">
        <f>IF(ISNUMBER((1+Z726)*AJ725),(1+Z726)*AJ725,AJ725)</f>
        <v/>
      </c>
    </row>
    <row r="727">
      <c r="A727" s="1" t="n">
        <v>43054</v>
      </c>
      <c r="B727" s="3">
        <f>IF(ORIG!B727=0,"",ORIG!B727)</f>
        <v/>
      </c>
      <c r="C727" s="3">
        <f>IF(ORIG!C727=0,"",ORIG!C727)</f>
        <v/>
      </c>
      <c r="D727" s="3">
        <f>IF(ORIG!D727=0,"",ORIG!D727)</f>
        <v/>
      </c>
      <c r="E727" s="3">
        <f>IF(ORIG!E727=0,"",ORIG!E727)</f>
        <v/>
      </c>
      <c r="F727" s="3">
        <f>IF(ORIG!F727=0,"",ORIG!F727)</f>
        <v/>
      </c>
      <c r="G727" s="3">
        <f>IF(ORIG!G727=0,"",ORIG!G727)</f>
        <v/>
      </c>
      <c r="H727" s="3">
        <f>IF(ORIG!H727=0,"",ORIG!H727)</f>
        <v/>
      </c>
      <c r="I727" s="3">
        <f>IF(ORIG!I727=0,"",ORIG!I727)</f>
        <v/>
      </c>
      <c r="J727" s="3">
        <f>IF(ORIG!J727=0,"",ORIG!J727)</f>
        <v/>
      </c>
      <c r="K727" s="3">
        <f>IF(ORIG!K727=0,"",ORIG!K727)</f>
        <v/>
      </c>
      <c r="L727" s="3">
        <f>IF(ORIG!L727=0,"",ORIG!L727)</f>
        <v/>
      </c>
      <c r="M727" s="3">
        <f>IF(ORIG!M727=0,"",ORIG!M727)</f>
        <v/>
      </c>
      <c r="N727" s="3">
        <f>IF(ORIG!N727=0,"",ORIG!N727)</f>
        <v/>
      </c>
      <c r="O727" s="3">
        <f>IF(ORIG!O727=0,"",ORIG!O727)</f>
        <v/>
      </c>
      <c r="P727" s="3">
        <f>IF(ORIG!P727=0,"",ORIG!P727)</f>
        <v/>
      </c>
      <c r="Q727" s="3">
        <f>IF(ORIG!Q727=0,"",ORIG!Q727)</f>
        <v/>
      </c>
      <c r="R727" s="3">
        <f>IF(ORIG!R727=0,"",ORIG!R727)</f>
        <v/>
      </c>
      <c r="S727" s="3">
        <f>IF(ORIG!S727=0,"",ORIG!S727)</f>
        <v/>
      </c>
      <c r="T727" s="3">
        <f>IF(ORIG!T727=0,"",ORIG!T727)</f>
        <v/>
      </c>
      <c r="U727" s="3">
        <f>IF(ORIG!U727=0,"",ORIG!U727)</f>
        <v/>
      </c>
      <c r="V727" s="9">
        <f>IF(ORIG!V727=0,"",ORIG!V727)</f>
        <v/>
      </c>
      <c r="W727" s="9">
        <f>IF(ORIG!W727=0,"",ORIG!W727)</f>
        <v/>
      </c>
      <c r="X727" s="9">
        <f>IF(ORIG!X727=0,"",ORIG!X727)</f>
        <v/>
      </c>
      <c r="Y727" s="9">
        <f>IF(ORIG!Y727=0,"",ORIG!Y727)</f>
        <v/>
      </c>
      <c r="Z727" s="3">
        <f>SUMPRODUCT($B727:$Y727,$B$2649:$Y$2649)</f>
        <v/>
      </c>
      <c r="AA727" s="3">
        <f>SUMPRODUCT($B727:$Y727,$B$2655:$Y$2655)</f>
        <v/>
      </c>
      <c r="AC727" s="1">
        <f>A727</f>
        <v/>
      </c>
      <c r="AD727">
        <f>IF(ISNUMBER(V727),V727*($AB$1/V$2635),"")</f>
        <v/>
      </c>
      <c r="AE727">
        <f>IF(ISNUMBER(Z727),Z727*($AB$1/Z$2635),"")</f>
        <v/>
      </c>
      <c r="AF727" s="25">
        <f>IF(ISNUMBER(AD727+AE727),AD727+AE727,"")</f>
        <v/>
      </c>
      <c r="AH727" s="1">
        <f>A727</f>
        <v/>
      </c>
      <c r="AI727">
        <f>IF(ISNUMBER((1+V727)*AI726),(1+V727)*AI726,AI726)</f>
        <v/>
      </c>
      <c r="AJ727">
        <f>IF(ISNUMBER((1+Z727)*AJ726),(1+Z727)*AJ726,AJ726)</f>
        <v/>
      </c>
    </row>
    <row r="728">
      <c r="A728" s="1" t="n">
        <v>43055</v>
      </c>
      <c r="B728" s="3">
        <f>IF(ORIG!B728=0,"",ORIG!B728)</f>
        <v/>
      </c>
      <c r="C728" s="3">
        <f>IF(ORIG!C728=0,"",ORIG!C728)</f>
        <v/>
      </c>
      <c r="D728" s="3">
        <f>IF(ORIG!D728=0,"",ORIG!D728)</f>
        <v/>
      </c>
      <c r="E728" s="3">
        <f>IF(ORIG!E728=0,"",ORIG!E728)</f>
        <v/>
      </c>
      <c r="F728" s="3">
        <f>IF(ORIG!F728=0,"",ORIG!F728)</f>
        <v/>
      </c>
      <c r="G728" s="3">
        <f>IF(ORIG!G728=0,"",ORIG!G728)</f>
        <v/>
      </c>
      <c r="H728" s="3">
        <f>IF(ORIG!H728=0,"",ORIG!H728)</f>
        <v/>
      </c>
      <c r="I728" s="3">
        <f>IF(ORIG!I728=0,"",ORIG!I728)</f>
        <v/>
      </c>
      <c r="J728" s="3">
        <f>IF(ORIG!J728=0,"",ORIG!J728)</f>
        <v/>
      </c>
      <c r="K728" s="3">
        <f>IF(ORIG!K728=0,"",ORIG!K728)</f>
        <v/>
      </c>
      <c r="L728" s="3">
        <f>IF(ORIG!L728=0,"",ORIG!L728)</f>
        <v/>
      </c>
      <c r="M728" s="3">
        <f>IF(ORIG!M728=0,"",ORIG!M728)</f>
        <v/>
      </c>
      <c r="N728" s="3">
        <f>IF(ORIG!N728=0,"",ORIG!N728)</f>
        <v/>
      </c>
      <c r="O728" s="3">
        <f>IF(ORIG!O728=0,"",ORIG!O728)</f>
        <v/>
      </c>
      <c r="P728" s="3">
        <f>IF(ORIG!P728=0,"",ORIG!P728)</f>
        <v/>
      </c>
      <c r="Q728" s="3">
        <f>IF(ORIG!Q728=0,"",ORIG!Q728)</f>
        <v/>
      </c>
      <c r="R728" s="3">
        <f>IF(ORIG!R728=0,"",ORIG!R728)</f>
        <v/>
      </c>
      <c r="S728" s="3">
        <f>IF(ORIG!S728=0,"",ORIG!S728)</f>
        <v/>
      </c>
      <c r="T728" s="3">
        <f>IF(ORIG!T728=0,"",ORIG!T728)</f>
        <v/>
      </c>
      <c r="U728" s="3">
        <f>IF(ORIG!U728=0,"",ORIG!U728)</f>
        <v/>
      </c>
      <c r="V728" s="9">
        <f>IF(ORIG!V728=0,"",ORIG!V728)</f>
        <v/>
      </c>
      <c r="W728" s="9">
        <f>IF(ORIG!W728=0,"",ORIG!W728)</f>
        <v/>
      </c>
      <c r="X728" s="9">
        <f>IF(ORIG!X728=0,"",ORIG!X728)</f>
        <v/>
      </c>
      <c r="Y728" s="9">
        <f>IF(ORIG!Y728=0,"",ORIG!Y728)</f>
        <v/>
      </c>
      <c r="Z728" s="3">
        <f>SUMPRODUCT($B728:$Y728,$B$2649:$Y$2649)</f>
        <v/>
      </c>
      <c r="AA728" s="3">
        <f>SUMPRODUCT($B728:$Y728,$B$2655:$Y$2655)</f>
        <v/>
      </c>
      <c r="AC728" s="1">
        <f>A728</f>
        <v/>
      </c>
      <c r="AD728">
        <f>IF(ISNUMBER(V728),V728*($AB$1/V$2635),"")</f>
        <v/>
      </c>
      <c r="AE728">
        <f>IF(ISNUMBER(Z728),Z728*($AB$1/Z$2635),"")</f>
        <v/>
      </c>
      <c r="AF728" s="25">
        <f>IF(ISNUMBER(AD728+AE728),AD728+AE728,"")</f>
        <v/>
      </c>
      <c r="AH728" s="1">
        <f>A728</f>
        <v/>
      </c>
      <c r="AI728">
        <f>IF(ISNUMBER((1+V728)*AI727),(1+V728)*AI727,AI727)</f>
        <v/>
      </c>
      <c r="AJ728">
        <f>IF(ISNUMBER((1+Z728)*AJ727),(1+Z728)*AJ727,AJ727)</f>
        <v/>
      </c>
    </row>
    <row r="729">
      <c r="A729" s="1" t="n">
        <v>43056</v>
      </c>
      <c r="B729" s="3">
        <f>IF(ORIG!B729=0,"",ORIG!B729)</f>
        <v/>
      </c>
      <c r="C729" s="3">
        <f>IF(ORIG!C729=0,"",ORIG!C729)</f>
        <v/>
      </c>
      <c r="D729" s="3">
        <f>IF(ORIG!D729=0,"",ORIG!D729)</f>
        <v/>
      </c>
      <c r="E729" s="3">
        <f>IF(ORIG!E729=0,"",ORIG!E729)</f>
        <v/>
      </c>
      <c r="F729" s="3">
        <f>IF(ORIG!F729=0,"",ORIG!F729)</f>
        <v/>
      </c>
      <c r="G729" s="3">
        <f>IF(ORIG!G729=0,"",ORIG!G729)</f>
        <v/>
      </c>
      <c r="H729" s="3">
        <f>IF(ORIG!H729=0,"",ORIG!H729)</f>
        <v/>
      </c>
      <c r="I729" s="3">
        <f>IF(ORIG!I729=0,"",ORIG!I729)</f>
        <v/>
      </c>
      <c r="J729" s="3">
        <f>IF(ORIG!J729=0,"",ORIG!J729)</f>
        <v/>
      </c>
      <c r="K729" s="3">
        <f>IF(ORIG!K729=0,"",ORIG!K729)</f>
        <v/>
      </c>
      <c r="L729" s="3">
        <f>IF(ORIG!L729=0,"",ORIG!L729)</f>
        <v/>
      </c>
      <c r="M729" s="3">
        <f>IF(ORIG!M729=0,"",ORIG!M729)</f>
        <v/>
      </c>
      <c r="N729" s="3">
        <f>IF(ORIG!N729=0,"",ORIG!N729)</f>
        <v/>
      </c>
      <c r="O729" s="3">
        <f>IF(ORIG!O729=0,"",ORIG!O729)</f>
        <v/>
      </c>
      <c r="P729" s="3">
        <f>IF(ORIG!P729=0,"",ORIG!P729)</f>
        <v/>
      </c>
      <c r="Q729" s="3">
        <f>IF(ORIG!Q729=0,"",ORIG!Q729)</f>
        <v/>
      </c>
      <c r="R729" s="3">
        <f>IF(ORIG!R729=0,"",ORIG!R729)</f>
        <v/>
      </c>
      <c r="S729" s="3">
        <f>IF(ORIG!S729=0,"",ORIG!S729)</f>
        <v/>
      </c>
      <c r="T729" s="3">
        <f>IF(ORIG!T729=0,"",ORIG!T729)</f>
        <v/>
      </c>
      <c r="U729" s="3">
        <f>IF(ORIG!U729=0,"",ORIG!U729)</f>
        <v/>
      </c>
      <c r="V729" s="9">
        <f>IF(ORIG!V729=0,"",ORIG!V729)</f>
        <v/>
      </c>
      <c r="W729" s="9">
        <f>IF(ORIG!W729=0,"",ORIG!W729)</f>
        <v/>
      </c>
      <c r="X729" s="9">
        <f>IF(ORIG!X729=0,"",ORIG!X729)</f>
        <v/>
      </c>
      <c r="Y729" s="9">
        <f>IF(ORIG!Y729=0,"",ORIG!Y729)</f>
        <v/>
      </c>
      <c r="Z729" s="3">
        <f>SUMPRODUCT($B729:$Y729,$B$2649:$Y$2649)</f>
        <v/>
      </c>
      <c r="AA729" s="3">
        <f>SUMPRODUCT($B729:$Y729,$B$2655:$Y$2655)</f>
        <v/>
      </c>
      <c r="AC729" s="1">
        <f>A729</f>
        <v/>
      </c>
      <c r="AD729">
        <f>IF(ISNUMBER(V729),V729*($AB$1/V$2635),"")</f>
        <v/>
      </c>
      <c r="AE729">
        <f>IF(ISNUMBER(Z729),Z729*($AB$1/Z$2635),"")</f>
        <v/>
      </c>
      <c r="AF729" s="25">
        <f>IF(ISNUMBER(AD729+AE729),AD729+AE729,"")</f>
        <v/>
      </c>
      <c r="AH729" s="1">
        <f>A729</f>
        <v/>
      </c>
      <c r="AI729">
        <f>IF(ISNUMBER((1+V729)*AI728),(1+V729)*AI728,AI728)</f>
        <v/>
      </c>
      <c r="AJ729">
        <f>IF(ISNUMBER((1+Z729)*AJ728),(1+Z729)*AJ728,AJ728)</f>
        <v/>
      </c>
    </row>
    <row r="730">
      <c r="A730" s="1" t="n">
        <v>43059</v>
      </c>
      <c r="B730" s="3">
        <f>IF(ORIG!B730=0,"",ORIG!B730)</f>
        <v/>
      </c>
      <c r="C730" s="3">
        <f>IF(ORIG!C730=0,"",ORIG!C730)</f>
        <v/>
      </c>
      <c r="D730" s="3">
        <f>IF(ORIG!D730=0,"",ORIG!D730)</f>
        <v/>
      </c>
      <c r="E730" s="3">
        <f>IF(ORIG!E730=0,"",ORIG!E730)</f>
        <v/>
      </c>
      <c r="F730" s="3">
        <f>IF(ORIG!F730=0,"",ORIG!F730)</f>
        <v/>
      </c>
      <c r="G730" s="3">
        <f>IF(ORIG!G730=0,"",ORIG!G730)</f>
        <v/>
      </c>
      <c r="H730" s="3">
        <f>IF(ORIG!H730=0,"",ORIG!H730)</f>
        <v/>
      </c>
      <c r="I730" s="3">
        <f>IF(ORIG!I730=0,"",ORIG!I730)</f>
        <v/>
      </c>
      <c r="J730" s="3">
        <f>IF(ORIG!J730=0,"",ORIG!J730)</f>
        <v/>
      </c>
      <c r="K730" s="3">
        <f>IF(ORIG!K730=0,"",ORIG!K730)</f>
        <v/>
      </c>
      <c r="L730" s="3">
        <f>IF(ORIG!L730=0,"",ORIG!L730)</f>
        <v/>
      </c>
      <c r="M730" s="3">
        <f>IF(ORIG!M730=0,"",ORIG!M730)</f>
        <v/>
      </c>
      <c r="N730" s="3">
        <f>IF(ORIG!N730=0,"",ORIG!N730)</f>
        <v/>
      </c>
      <c r="O730" s="3">
        <f>IF(ORIG!O730=0,"",ORIG!O730)</f>
        <v/>
      </c>
      <c r="P730" s="3">
        <f>IF(ORIG!P730=0,"",ORIG!P730)</f>
        <v/>
      </c>
      <c r="Q730" s="3">
        <f>IF(ORIG!Q730=0,"",ORIG!Q730)</f>
        <v/>
      </c>
      <c r="R730" s="3">
        <f>IF(ORIG!R730=0,"",ORIG!R730)</f>
        <v/>
      </c>
      <c r="S730" s="3">
        <f>IF(ORIG!S730=0,"",ORIG!S730)</f>
        <v/>
      </c>
      <c r="T730" s="3">
        <f>IF(ORIG!T730=0,"",ORIG!T730)</f>
        <v/>
      </c>
      <c r="U730" s="3">
        <f>IF(ORIG!U730=0,"",ORIG!U730)</f>
        <v/>
      </c>
      <c r="V730" s="9">
        <f>IF(ORIG!V730=0,"",ORIG!V730)</f>
        <v/>
      </c>
      <c r="W730" s="9">
        <f>IF(ORIG!W730=0,"",ORIG!W730)</f>
        <v/>
      </c>
      <c r="X730" s="9">
        <f>IF(ORIG!X730=0,"",ORIG!X730)</f>
        <v/>
      </c>
      <c r="Y730" s="9">
        <f>IF(ORIG!Y730=0,"",ORIG!Y730)</f>
        <v/>
      </c>
      <c r="Z730" s="3">
        <f>SUMPRODUCT($B730:$Y730,$B$2649:$Y$2649)</f>
        <v/>
      </c>
      <c r="AA730" s="3">
        <f>SUMPRODUCT($B730:$Y730,$B$2655:$Y$2655)</f>
        <v/>
      </c>
      <c r="AC730" s="1">
        <f>A730</f>
        <v/>
      </c>
      <c r="AD730">
        <f>IF(ISNUMBER(V730),V730*($AB$1/V$2635),"")</f>
        <v/>
      </c>
      <c r="AE730">
        <f>IF(ISNUMBER(Z730),Z730*($AB$1/Z$2635),"")</f>
        <v/>
      </c>
      <c r="AF730" s="25">
        <f>IF(ISNUMBER(AD730+AE730),AD730+AE730,"")</f>
        <v/>
      </c>
      <c r="AH730" s="1">
        <f>A730</f>
        <v/>
      </c>
      <c r="AI730">
        <f>IF(ISNUMBER((1+V730)*AI729),(1+V730)*AI729,AI729)</f>
        <v/>
      </c>
      <c r="AJ730">
        <f>IF(ISNUMBER((1+Z730)*AJ729),(1+Z730)*AJ729,AJ729)</f>
        <v/>
      </c>
    </row>
    <row r="731">
      <c r="A731" s="1" t="n">
        <v>43060</v>
      </c>
      <c r="B731" s="3">
        <f>IF(ORIG!B731=0,"",ORIG!B731)</f>
        <v/>
      </c>
      <c r="C731" s="3">
        <f>IF(ORIG!C731=0,"",ORIG!C731)</f>
        <v/>
      </c>
      <c r="D731" s="3">
        <f>IF(ORIG!D731=0,"",ORIG!D731)</f>
        <v/>
      </c>
      <c r="E731" s="3">
        <f>IF(ORIG!E731=0,"",ORIG!E731)</f>
        <v/>
      </c>
      <c r="F731" s="3">
        <f>IF(ORIG!F731=0,"",ORIG!F731)</f>
        <v/>
      </c>
      <c r="G731" s="3">
        <f>IF(ORIG!G731=0,"",ORIG!G731)</f>
        <v/>
      </c>
      <c r="H731" s="3">
        <f>IF(ORIG!H731=0,"",ORIG!H731)</f>
        <v/>
      </c>
      <c r="I731" s="3">
        <f>IF(ORIG!I731=0,"",ORIG!I731)</f>
        <v/>
      </c>
      <c r="J731" s="3">
        <f>IF(ORIG!J731=0,"",ORIG!J731)</f>
        <v/>
      </c>
      <c r="K731" s="3">
        <f>IF(ORIG!K731=0,"",ORIG!K731)</f>
        <v/>
      </c>
      <c r="L731" s="3">
        <f>IF(ORIG!L731=0,"",ORIG!L731)</f>
        <v/>
      </c>
      <c r="M731" s="3">
        <f>IF(ORIG!M731=0,"",ORIG!M731)</f>
        <v/>
      </c>
      <c r="N731" s="3">
        <f>IF(ORIG!N731=0,"",ORIG!N731)</f>
        <v/>
      </c>
      <c r="O731" s="3">
        <f>IF(ORIG!O731=0,"",ORIG!O731)</f>
        <v/>
      </c>
      <c r="P731" s="3">
        <f>IF(ORIG!P731=0,"",ORIG!P731)</f>
        <v/>
      </c>
      <c r="Q731" s="3">
        <f>IF(ORIG!Q731=0,"",ORIG!Q731)</f>
        <v/>
      </c>
      <c r="R731" s="3">
        <f>IF(ORIG!R731=0,"",ORIG!R731)</f>
        <v/>
      </c>
      <c r="S731" s="3">
        <f>IF(ORIG!S731=0,"",ORIG!S731)</f>
        <v/>
      </c>
      <c r="T731" s="3">
        <f>IF(ORIG!T731=0,"",ORIG!T731)</f>
        <v/>
      </c>
      <c r="U731" s="3">
        <f>IF(ORIG!U731=0,"",ORIG!U731)</f>
        <v/>
      </c>
      <c r="V731" s="9">
        <f>IF(ORIG!V731=0,"",ORIG!V731)</f>
        <v/>
      </c>
      <c r="W731" s="9">
        <f>IF(ORIG!W731=0,"",ORIG!W731)</f>
        <v/>
      </c>
      <c r="X731" s="9">
        <f>IF(ORIG!X731=0,"",ORIG!X731)</f>
        <v/>
      </c>
      <c r="Y731" s="9">
        <f>IF(ORIG!Y731=0,"",ORIG!Y731)</f>
        <v/>
      </c>
      <c r="Z731" s="3">
        <f>SUMPRODUCT($B731:$Y731,$B$2649:$Y$2649)</f>
        <v/>
      </c>
      <c r="AA731" s="3">
        <f>SUMPRODUCT($B731:$Y731,$B$2655:$Y$2655)</f>
        <v/>
      </c>
      <c r="AC731" s="1">
        <f>A731</f>
        <v/>
      </c>
      <c r="AD731">
        <f>IF(ISNUMBER(V731),V731*($AB$1/V$2635),"")</f>
        <v/>
      </c>
      <c r="AE731">
        <f>IF(ISNUMBER(Z731),Z731*($AB$1/Z$2635),"")</f>
        <v/>
      </c>
      <c r="AF731" s="25">
        <f>IF(ISNUMBER(AD731+AE731),AD731+AE731,"")</f>
        <v/>
      </c>
      <c r="AH731" s="1">
        <f>A731</f>
        <v/>
      </c>
      <c r="AI731">
        <f>IF(ISNUMBER((1+V731)*AI730),(1+V731)*AI730,AI730)</f>
        <v/>
      </c>
      <c r="AJ731">
        <f>IF(ISNUMBER((1+Z731)*AJ730),(1+Z731)*AJ730,AJ730)</f>
        <v/>
      </c>
    </row>
    <row r="732">
      <c r="A732" s="1" t="n">
        <v>43061</v>
      </c>
      <c r="B732" s="3">
        <f>IF(ORIG!B732=0,"",ORIG!B732)</f>
        <v/>
      </c>
      <c r="C732" s="3">
        <f>IF(ORIG!C732=0,"",ORIG!C732)</f>
        <v/>
      </c>
      <c r="D732" s="3">
        <f>IF(ORIG!D732=0,"",ORIG!D732)</f>
        <v/>
      </c>
      <c r="E732" s="3">
        <f>IF(ORIG!E732=0,"",ORIG!E732)</f>
        <v/>
      </c>
      <c r="F732" s="3">
        <f>IF(ORIG!F732=0,"",ORIG!F732)</f>
        <v/>
      </c>
      <c r="G732" s="3">
        <f>IF(ORIG!G732=0,"",ORIG!G732)</f>
        <v/>
      </c>
      <c r="H732" s="3">
        <f>IF(ORIG!H732=0,"",ORIG!H732)</f>
        <v/>
      </c>
      <c r="I732" s="3">
        <f>IF(ORIG!I732=0,"",ORIG!I732)</f>
        <v/>
      </c>
      <c r="J732" s="3">
        <f>IF(ORIG!J732=0,"",ORIG!J732)</f>
        <v/>
      </c>
      <c r="K732" s="3">
        <f>IF(ORIG!K732=0,"",ORIG!K732)</f>
        <v/>
      </c>
      <c r="L732" s="3">
        <f>IF(ORIG!L732=0,"",ORIG!L732)</f>
        <v/>
      </c>
      <c r="M732" s="3">
        <f>IF(ORIG!M732=0,"",ORIG!M732)</f>
        <v/>
      </c>
      <c r="N732" s="3">
        <f>IF(ORIG!N732=0,"",ORIG!N732)</f>
        <v/>
      </c>
      <c r="O732" s="3">
        <f>IF(ORIG!O732=0,"",ORIG!O732)</f>
        <v/>
      </c>
      <c r="P732" s="3">
        <f>IF(ORIG!P732=0,"",ORIG!P732)</f>
        <v/>
      </c>
      <c r="Q732" s="3">
        <f>IF(ORIG!Q732=0,"",ORIG!Q732)</f>
        <v/>
      </c>
      <c r="R732" s="3">
        <f>IF(ORIG!R732=0,"",ORIG!R732)</f>
        <v/>
      </c>
      <c r="S732" s="3">
        <f>IF(ORIG!S732=0,"",ORIG!S732)</f>
        <v/>
      </c>
      <c r="T732" s="3">
        <f>IF(ORIG!T732=0,"",ORIG!T732)</f>
        <v/>
      </c>
      <c r="U732" s="3">
        <f>IF(ORIG!U732=0,"",ORIG!U732)</f>
        <v/>
      </c>
      <c r="V732" s="9">
        <f>IF(ORIG!V732=0,"",ORIG!V732)</f>
        <v/>
      </c>
      <c r="W732" s="9">
        <f>IF(ORIG!W732=0,"",ORIG!W732)</f>
        <v/>
      </c>
      <c r="X732" s="9">
        <f>IF(ORIG!X732=0,"",ORIG!X732)</f>
        <v/>
      </c>
      <c r="Y732" s="9">
        <f>IF(ORIG!Y732=0,"",ORIG!Y732)</f>
        <v/>
      </c>
      <c r="Z732" s="3">
        <f>SUMPRODUCT($B732:$Y732,$B$2649:$Y$2649)</f>
        <v/>
      </c>
      <c r="AA732" s="3">
        <f>SUMPRODUCT($B732:$Y732,$B$2655:$Y$2655)</f>
        <v/>
      </c>
      <c r="AC732" s="1">
        <f>A732</f>
        <v/>
      </c>
      <c r="AD732">
        <f>IF(ISNUMBER(V732),V732*($AB$1/V$2635),"")</f>
        <v/>
      </c>
      <c r="AE732">
        <f>IF(ISNUMBER(Z732),Z732*($AB$1/Z$2635),"")</f>
        <v/>
      </c>
      <c r="AF732" s="25">
        <f>IF(ISNUMBER(AD732+AE732),AD732+AE732,"")</f>
        <v/>
      </c>
      <c r="AH732" s="1">
        <f>A732</f>
        <v/>
      </c>
      <c r="AI732">
        <f>IF(ISNUMBER((1+V732)*AI731),(1+V732)*AI731,AI731)</f>
        <v/>
      </c>
      <c r="AJ732">
        <f>IF(ISNUMBER((1+Z732)*AJ731),(1+Z732)*AJ731,AJ731)</f>
        <v/>
      </c>
    </row>
    <row r="733">
      <c r="A733" s="1" t="n">
        <v>43063</v>
      </c>
      <c r="B733" s="3">
        <f>IF(ORIG!B733=0,"",ORIG!B733)</f>
        <v/>
      </c>
      <c r="C733" s="3">
        <f>IF(ORIG!C733=0,"",ORIG!C733)</f>
        <v/>
      </c>
      <c r="D733" s="3">
        <f>IF(ORIG!D733=0,"",ORIG!D733)</f>
        <v/>
      </c>
      <c r="E733" s="3">
        <f>IF(ORIG!E733=0,"",ORIG!E733)</f>
        <v/>
      </c>
      <c r="F733" s="3">
        <f>IF(ORIG!F733=0,"",ORIG!F733)</f>
        <v/>
      </c>
      <c r="G733" s="3">
        <f>IF(ORIG!G733=0,"",ORIG!G733)</f>
        <v/>
      </c>
      <c r="H733" s="3">
        <f>IF(ORIG!H733=0,"",ORIG!H733)</f>
        <v/>
      </c>
      <c r="I733" s="3">
        <f>IF(ORIG!I733=0,"",ORIG!I733)</f>
        <v/>
      </c>
      <c r="J733" s="3">
        <f>IF(ORIG!J733=0,"",ORIG!J733)</f>
        <v/>
      </c>
      <c r="K733" s="3">
        <f>IF(ORIG!K733=0,"",ORIG!K733)</f>
        <v/>
      </c>
      <c r="L733" s="3">
        <f>IF(ORIG!L733=0,"",ORIG!L733)</f>
        <v/>
      </c>
      <c r="M733" s="3">
        <f>IF(ORIG!M733=0,"",ORIG!M733)</f>
        <v/>
      </c>
      <c r="N733" s="3">
        <f>IF(ORIG!N733=0,"",ORIG!N733)</f>
        <v/>
      </c>
      <c r="O733" s="3">
        <f>IF(ORIG!O733=0,"",ORIG!O733)</f>
        <v/>
      </c>
      <c r="P733" s="3">
        <f>IF(ORIG!P733=0,"",ORIG!P733)</f>
        <v/>
      </c>
      <c r="Q733" s="3">
        <f>IF(ORIG!Q733=0,"",ORIG!Q733)</f>
        <v/>
      </c>
      <c r="R733" s="3">
        <f>IF(ORIG!R733=0,"",ORIG!R733)</f>
        <v/>
      </c>
      <c r="S733" s="3">
        <f>IF(ORIG!S733=0,"",ORIG!S733)</f>
        <v/>
      </c>
      <c r="T733" s="3">
        <f>IF(ORIG!T733=0,"",ORIG!T733)</f>
        <v/>
      </c>
      <c r="U733" s="3">
        <f>IF(ORIG!U733=0,"",ORIG!U733)</f>
        <v/>
      </c>
      <c r="V733" s="9">
        <f>IF(ORIG!V733=0,"",ORIG!V733)</f>
        <v/>
      </c>
      <c r="W733" s="9">
        <f>IF(ORIG!W733=0,"",ORIG!W733)</f>
        <v/>
      </c>
      <c r="X733" s="9">
        <f>IF(ORIG!X733=0,"",ORIG!X733)</f>
        <v/>
      </c>
      <c r="Y733" s="9">
        <f>IF(ORIG!Y733=0,"",ORIG!Y733)</f>
        <v/>
      </c>
      <c r="Z733" s="3">
        <f>SUMPRODUCT($B733:$Y733,$B$2649:$Y$2649)</f>
        <v/>
      </c>
      <c r="AA733" s="3">
        <f>SUMPRODUCT($B733:$Y733,$B$2655:$Y$2655)</f>
        <v/>
      </c>
      <c r="AC733" s="1">
        <f>A733</f>
        <v/>
      </c>
      <c r="AD733">
        <f>IF(ISNUMBER(V733),V733*($AB$1/V$2635),"")</f>
        <v/>
      </c>
      <c r="AE733">
        <f>IF(ISNUMBER(Z733),Z733*($AB$1/Z$2635),"")</f>
        <v/>
      </c>
      <c r="AF733" s="25">
        <f>IF(ISNUMBER(AD733+AE733),AD733+AE733,"")</f>
        <v/>
      </c>
      <c r="AH733" s="1">
        <f>A733</f>
        <v/>
      </c>
      <c r="AI733">
        <f>IF(ISNUMBER((1+V733)*AI732),(1+V733)*AI732,AI732)</f>
        <v/>
      </c>
      <c r="AJ733">
        <f>IF(ISNUMBER((1+Z733)*AJ732),(1+Z733)*AJ732,AJ732)</f>
        <v/>
      </c>
    </row>
    <row r="734">
      <c r="A734" s="1" t="n">
        <v>43066</v>
      </c>
      <c r="B734" s="3">
        <f>IF(ORIG!B734=0,"",ORIG!B734)</f>
        <v/>
      </c>
      <c r="C734" s="3">
        <f>IF(ORIG!C734=0,"",ORIG!C734)</f>
        <v/>
      </c>
      <c r="D734" s="3">
        <f>IF(ORIG!D734=0,"",ORIG!D734)</f>
        <v/>
      </c>
      <c r="E734" s="3">
        <f>IF(ORIG!E734=0,"",ORIG!E734)</f>
        <v/>
      </c>
      <c r="F734" s="3">
        <f>IF(ORIG!F734=0,"",ORIG!F734)</f>
        <v/>
      </c>
      <c r="G734" s="3">
        <f>IF(ORIG!G734=0,"",ORIG!G734)</f>
        <v/>
      </c>
      <c r="H734" s="3">
        <f>IF(ORIG!H734=0,"",ORIG!H734)</f>
        <v/>
      </c>
      <c r="I734" s="3">
        <f>IF(ORIG!I734=0,"",ORIG!I734)</f>
        <v/>
      </c>
      <c r="J734" s="3">
        <f>IF(ORIG!J734=0,"",ORIG!J734)</f>
        <v/>
      </c>
      <c r="K734" s="3">
        <f>IF(ORIG!K734=0,"",ORIG!K734)</f>
        <v/>
      </c>
      <c r="L734" s="3">
        <f>IF(ORIG!L734=0,"",ORIG!L734)</f>
        <v/>
      </c>
      <c r="M734" s="3">
        <f>IF(ORIG!M734=0,"",ORIG!M734)</f>
        <v/>
      </c>
      <c r="N734" s="3">
        <f>IF(ORIG!N734=0,"",ORIG!N734)</f>
        <v/>
      </c>
      <c r="O734" s="3">
        <f>IF(ORIG!O734=0,"",ORIG!O734)</f>
        <v/>
      </c>
      <c r="P734" s="3">
        <f>IF(ORIG!P734=0,"",ORIG!P734)</f>
        <v/>
      </c>
      <c r="Q734" s="3">
        <f>IF(ORIG!Q734=0,"",ORIG!Q734)</f>
        <v/>
      </c>
      <c r="R734" s="3">
        <f>IF(ORIG!R734=0,"",ORIG!R734)</f>
        <v/>
      </c>
      <c r="S734" s="3">
        <f>IF(ORIG!S734=0,"",ORIG!S734)</f>
        <v/>
      </c>
      <c r="T734" s="3">
        <f>IF(ORIG!T734=0,"",ORIG!T734)</f>
        <v/>
      </c>
      <c r="U734" s="3">
        <f>IF(ORIG!U734=0,"",ORIG!U734)</f>
        <v/>
      </c>
      <c r="V734" s="9">
        <f>IF(ORIG!V734=0,"",ORIG!V734)</f>
        <v/>
      </c>
      <c r="W734" s="9">
        <f>IF(ORIG!W734=0,"",ORIG!W734)</f>
        <v/>
      </c>
      <c r="X734" s="9">
        <f>IF(ORIG!X734=0,"",ORIG!X734)</f>
        <v/>
      </c>
      <c r="Y734" s="9">
        <f>IF(ORIG!Y734=0,"",ORIG!Y734)</f>
        <v/>
      </c>
      <c r="Z734" s="3">
        <f>SUMPRODUCT($B734:$Y734,$B$2649:$Y$2649)</f>
        <v/>
      </c>
      <c r="AA734" s="3">
        <f>SUMPRODUCT($B734:$Y734,$B$2655:$Y$2655)</f>
        <v/>
      </c>
      <c r="AC734" s="1">
        <f>A734</f>
        <v/>
      </c>
      <c r="AD734">
        <f>IF(ISNUMBER(V734),V734*($AB$1/V$2635),"")</f>
        <v/>
      </c>
      <c r="AE734">
        <f>IF(ISNUMBER(Z734),Z734*($AB$1/Z$2635),"")</f>
        <v/>
      </c>
      <c r="AF734" s="25">
        <f>IF(ISNUMBER(AD734+AE734),AD734+AE734,"")</f>
        <v/>
      </c>
      <c r="AH734" s="1">
        <f>A734</f>
        <v/>
      </c>
      <c r="AI734">
        <f>IF(ISNUMBER((1+V734)*AI733),(1+V734)*AI733,AI733)</f>
        <v/>
      </c>
      <c r="AJ734">
        <f>IF(ISNUMBER((1+Z734)*AJ733),(1+Z734)*AJ733,AJ733)</f>
        <v/>
      </c>
    </row>
    <row r="735">
      <c r="A735" s="1" t="n">
        <v>43067</v>
      </c>
      <c r="B735" s="3">
        <f>IF(ORIG!B735=0,"",ORIG!B735)</f>
        <v/>
      </c>
      <c r="C735" s="3">
        <f>IF(ORIG!C735=0,"",ORIG!C735)</f>
        <v/>
      </c>
      <c r="D735" s="3">
        <f>IF(ORIG!D735=0,"",ORIG!D735)</f>
        <v/>
      </c>
      <c r="E735" s="3">
        <f>IF(ORIG!E735=0,"",ORIG!E735)</f>
        <v/>
      </c>
      <c r="F735" s="3">
        <f>IF(ORIG!F735=0,"",ORIG!F735)</f>
        <v/>
      </c>
      <c r="G735" s="3">
        <f>IF(ORIG!G735=0,"",ORIG!G735)</f>
        <v/>
      </c>
      <c r="H735" s="3">
        <f>IF(ORIG!H735=0,"",ORIG!H735)</f>
        <v/>
      </c>
      <c r="I735" s="3">
        <f>IF(ORIG!I735=0,"",ORIG!I735)</f>
        <v/>
      </c>
      <c r="J735" s="3">
        <f>IF(ORIG!J735=0,"",ORIG!J735)</f>
        <v/>
      </c>
      <c r="K735" s="3">
        <f>IF(ORIG!K735=0,"",ORIG!K735)</f>
        <v/>
      </c>
      <c r="L735" s="3">
        <f>IF(ORIG!L735=0,"",ORIG!L735)</f>
        <v/>
      </c>
      <c r="M735" s="3">
        <f>IF(ORIG!M735=0,"",ORIG!M735)</f>
        <v/>
      </c>
      <c r="N735" s="3">
        <f>IF(ORIG!N735=0,"",ORIG!N735)</f>
        <v/>
      </c>
      <c r="O735" s="3">
        <f>IF(ORIG!O735=0,"",ORIG!O735)</f>
        <v/>
      </c>
      <c r="P735" s="3">
        <f>IF(ORIG!P735=0,"",ORIG!P735)</f>
        <v/>
      </c>
      <c r="Q735" s="3">
        <f>IF(ORIG!Q735=0,"",ORIG!Q735)</f>
        <v/>
      </c>
      <c r="R735" s="3">
        <f>IF(ORIG!R735=0,"",ORIG!R735)</f>
        <v/>
      </c>
      <c r="S735" s="3">
        <f>IF(ORIG!S735=0,"",ORIG!S735)</f>
        <v/>
      </c>
      <c r="T735" s="3">
        <f>IF(ORIG!T735=0,"",ORIG!T735)</f>
        <v/>
      </c>
      <c r="U735" s="3">
        <f>IF(ORIG!U735=0,"",ORIG!U735)</f>
        <v/>
      </c>
      <c r="V735" s="9">
        <f>IF(ORIG!V735=0,"",ORIG!V735)</f>
        <v/>
      </c>
      <c r="W735" s="9">
        <f>IF(ORIG!W735=0,"",ORIG!W735)</f>
        <v/>
      </c>
      <c r="X735" s="9">
        <f>IF(ORIG!X735=0,"",ORIG!X735)</f>
        <v/>
      </c>
      <c r="Y735" s="9">
        <f>IF(ORIG!Y735=0,"",ORIG!Y735)</f>
        <v/>
      </c>
      <c r="Z735" s="3">
        <f>SUMPRODUCT($B735:$Y735,$B$2649:$Y$2649)</f>
        <v/>
      </c>
      <c r="AA735" s="3">
        <f>SUMPRODUCT($B735:$Y735,$B$2655:$Y$2655)</f>
        <v/>
      </c>
      <c r="AC735" s="1">
        <f>A735</f>
        <v/>
      </c>
      <c r="AD735">
        <f>IF(ISNUMBER(V735),V735*($AB$1/V$2635),"")</f>
        <v/>
      </c>
      <c r="AE735">
        <f>IF(ISNUMBER(Z735),Z735*($AB$1/Z$2635),"")</f>
        <v/>
      </c>
      <c r="AF735" s="25">
        <f>IF(ISNUMBER(AD735+AE735),AD735+AE735,"")</f>
        <v/>
      </c>
      <c r="AH735" s="1">
        <f>A735</f>
        <v/>
      </c>
      <c r="AI735">
        <f>IF(ISNUMBER((1+V735)*AI734),(1+V735)*AI734,AI734)</f>
        <v/>
      </c>
      <c r="AJ735">
        <f>IF(ISNUMBER((1+Z735)*AJ734),(1+Z735)*AJ734,AJ734)</f>
        <v/>
      </c>
    </row>
    <row r="736">
      <c r="A736" s="1" t="n">
        <v>43068</v>
      </c>
      <c r="B736" s="3">
        <f>IF(ORIG!B736=0,"",ORIG!B736)</f>
        <v/>
      </c>
      <c r="C736" s="3">
        <f>IF(ORIG!C736=0,"",ORIG!C736)</f>
        <v/>
      </c>
      <c r="D736" s="3">
        <f>IF(ORIG!D736=0,"",ORIG!D736)</f>
        <v/>
      </c>
      <c r="E736" s="3">
        <f>IF(ORIG!E736=0,"",ORIG!E736)</f>
        <v/>
      </c>
      <c r="F736" s="3">
        <f>IF(ORIG!F736=0,"",ORIG!F736)</f>
        <v/>
      </c>
      <c r="G736" s="3">
        <f>IF(ORIG!G736=0,"",ORIG!G736)</f>
        <v/>
      </c>
      <c r="H736" s="3">
        <f>IF(ORIG!H736=0,"",ORIG!H736)</f>
        <v/>
      </c>
      <c r="I736" s="3">
        <f>IF(ORIG!I736=0,"",ORIG!I736)</f>
        <v/>
      </c>
      <c r="J736" s="3">
        <f>IF(ORIG!J736=0,"",ORIG!J736)</f>
        <v/>
      </c>
      <c r="K736" s="3">
        <f>IF(ORIG!K736=0,"",ORIG!K736)</f>
        <v/>
      </c>
      <c r="L736" s="3">
        <f>IF(ORIG!L736=0,"",ORIG!L736)</f>
        <v/>
      </c>
      <c r="M736" s="3">
        <f>IF(ORIG!M736=0,"",ORIG!M736)</f>
        <v/>
      </c>
      <c r="N736" s="3">
        <f>IF(ORIG!N736=0,"",ORIG!N736)</f>
        <v/>
      </c>
      <c r="O736" s="3">
        <f>IF(ORIG!O736=0,"",ORIG!O736)</f>
        <v/>
      </c>
      <c r="P736" s="3">
        <f>IF(ORIG!P736=0,"",ORIG!P736)</f>
        <v/>
      </c>
      <c r="Q736" s="3">
        <f>IF(ORIG!Q736=0,"",ORIG!Q736)</f>
        <v/>
      </c>
      <c r="R736" s="3">
        <f>IF(ORIG!R736=0,"",ORIG!R736)</f>
        <v/>
      </c>
      <c r="S736" s="3">
        <f>IF(ORIG!S736=0,"",ORIG!S736)</f>
        <v/>
      </c>
      <c r="T736" s="3">
        <f>IF(ORIG!T736=0,"",ORIG!T736)</f>
        <v/>
      </c>
      <c r="U736" s="3">
        <f>IF(ORIG!U736=0,"",ORIG!U736)</f>
        <v/>
      </c>
      <c r="V736" s="9">
        <f>IF(ORIG!V736=0,"",ORIG!V736)</f>
        <v/>
      </c>
      <c r="W736" s="9">
        <f>IF(ORIG!W736=0,"",ORIG!W736)</f>
        <v/>
      </c>
      <c r="X736" s="9">
        <f>IF(ORIG!X736=0,"",ORIG!X736)</f>
        <v/>
      </c>
      <c r="Y736" s="9">
        <f>IF(ORIG!Y736=0,"",ORIG!Y736)</f>
        <v/>
      </c>
      <c r="Z736" s="3">
        <f>SUMPRODUCT($B736:$Y736,$B$2649:$Y$2649)</f>
        <v/>
      </c>
      <c r="AA736" s="3">
        <f>SUMPRODUCT($B736:$Y736,$B$2655:$Y$2655)</f>
        <v/>
      </c>
      <c r="AC736" s="1">
        <f>A736</f>
        <v/>
      </c>
      <c r="AD736">
        <f>IF(ISNUMBER(V736),V736*($AB$1/V$2635),"")</f>
        <v/>
      </c>
      <c r="AE736">
        <f>IF(ISNUMBER(Z736),Z736*($AB$1/Z$2635),"")</f>
        <v/>
      </c>
      <c r="AF736" s="25">
        <f>IF(ISNUMBER(AD736+AE736),AD736+AE736,"")</f>
        <v/>
      </c>
      <c r="AH736" s="1">
        <f>A736</f>
        <v/>
      </c>
      <c r="AI736">
        <f>IF(ISNUMBER((1+V736)*AI735),(1+V736)*AI735,AI735)</f>
        <v/>
      </c>
      <c r="AJ736">
        <f>IF(ISNUMBER((1+Z736)*AJ735),(1+Z736)*AJ735,AJ735)</f>
        <v/>
      </c>
    </row>
    <row r="737">
      <c r="A737" s="1" t="n">
        <v>43069</v>
      </c>
      <c r="B737" s="3">
        <f>IF(ORIG!B737=0,"",ORIG!B737)</f>
        <v/>
      </c>
      <c r="C737" s="3">
        <f>IF(ORIG!C737=0,"",ORIG!C737)</f>
        <v/>
      </c>
      <c r="D737" s="3">
        <f>IF(ORIG!D737=0,"",ORIG!D737)</f>
        <v/>
      </c>
      <c r="E737" s="3">
        <f>IF(ORIG!E737=0,"",ORIG!E737)</f>
        <v/>
      </c>
      <c r="F737" s="3">
        <f>IF(ORIG!F737=0,"",ORIG!F737)</f>
        <v/>
      </c>
      <c r="G737" s="3">
        <f>IF(ORIG!G737=0,"",ORIG!G737)</f>
        <v/>
      </c>
      <c r="H737" s="3">
        <f>IF(ORIG!H737=0,"",ORIG!H737)</f>
        <v/>
      </c>
      <c r="I737" s="3">
        <f>IF(ORIG!I737=0,"",ORIG!I737)</f>
        <v/>
      </c>
      <c r="J737" s="3">
        <f>IF(ORIG!J737=0,"",ORIG!J737)</f>
        <v/>
      </c>
      <c r="K737" s="3">
        <f>IF(ORIG!K737=0,"",ORIG!K737)</f>
        <v/>
      </c>
      <c r="L737" s="3">
        <f>IF(ORIG!L737=0,"",ORIG!L737)</f>
        <v/>
      </c>
      <c r="M737" s="3">
        <f>IF(ORIG!M737=0,"",ORIG!M737)</f>
        <v/>
      </c>
      <c r="N737" s="3">
        <f>IF(ORIG!N737=0,"",ORIG!N737)</f>
        <v/>
      </c>
      <c r="O737" s="3">
        <f>IF(ORIG!O737=0,"",ORIG!O737)</f>
        <v/>
      </c>
      <c r="P737" s="3">
        <f>IF(ORIG!P737=0,"",ORIG!P737)</f>
        <v/>
      </c>
      <c r="Q737" s="3">
        <f>IF(ORIG!Q737=0,"",ORIG!Q737)</f>
        <v/>
      </c>
      <c r="R737" s="3">
        <f>IF(ORIG!R737=0,"",ORIG!R737)</f>
        <v/>
      </c>
      <c r="S737" s="3">
        <f>IF(ORIG!S737=0,"",ORIG!S737)</f>
        <v/>
      </c>
      <c r="T737" s="3">
        <f>IF(ORIG!T737=0,"",ORIG!T737)</f>
        <v/>
      </c>
      <c r="U737" s="3">
        <f>IF(ORIG!U737=0,"",ORIG!U737)</f>
        <v/>
      </c>
      <c r="V737" s="9">
        <f>IF(ORIG!V737=0,"",ORIG!V737)</f>
        <v/>
      </c>
      <c r="W737" s="9">
        <f>IF(ORIG!W737=0,"",ORIG!W737)</f>
        <v/>
      </c>
      <c r="X737" s="9">
        <f>IF(ORIG!X737=0,"",ORIG!X737)</f>
        <v/>
      </c>
      <c r="Y737" s="9">
        <f>IF(ORIG!Y737=0,"",ORIG!Y737)</f>
        <v/>
      </c>
      <c r="Z737" s="3">
        <f>SUMPRODUCT($B737:$Y737,$B$2649:$Y$2649)</f>
        <v/>
      </c>
      <c r="AA737" s="3">
        <f>SUMPRODUCT($B737:$Y737,$B$2655:$Y$2655)</f>
        <v/>
      </c>
      <c r="AC737" s="1">
        <f>A737</f>
        <v/>
      </c>
      <c r="AD737">
        <f>IF(ISNUMBER(V737),V737*($AB$1/V$2635),"")</f>
        <v/>
      </c>
      <c r="AE737">
        <f>IF(ISNUMBER(Z737),Z737*($AB$1/Z$2635),"")</f>
        <v/>
      </c>
      <c r="AF737" s="25">
        <f>IF(ISNUMBER(AD737+AE737),AD737+AE737,"")</f>
        <v/>
      </c>
      <c r="AH737" s="1">
        <f>A737</f>
        <v/>
      </c>
      <c r="AI737">
        <f>IF(ISNUMBER((1+V737)*AI736),(1+V737)*AI736,AI736)</f>
        <v/>
      </c>
      <c r="AJ737">
        <f>IF(ISNUMBER((1+Z737)*AJ736),(1+Z737)*AJ736,AJ736)</f>
        <v/>
      </c>
    </row>
    <row r="738">
      <c r="A738" s="1" t="n">
        <v>43070</v>
      </c>
      <c r="B738" s="3">
        <f>IF(ORIG!B738=0,"",ORIG!B738)</f>
        <v/>
      </c>
      <c r="C738" s="3">
        <f>IF(ORIG!C738=0,"",ORIG!C738)</f>
        <v/>
      </c>
      <c r="D738" s="3">
        <f>IF(ORIG!D738=0,"",ORIG!D738)</f>
        <v/>
      </c>
      <c r="E738" s="3">
        <f>IF(ORIG!E738=0,"",ORIG!E738)</f>
        <v/>
      </c>
      <c r="F738" s="3">
        <f>IF(ORIG!F738=0,"",ORIG!F738)</f>
        <v/>
      </c>
      <c r="G738" s="3">
        <f>IF(ORIG!G738=0,"",ORIG!G738)</f>
        <v/>
      </c>
      <c r="H738" s="3">
        <f>IF(ORIG!H738=0,"",ORIG!H738)</f>
        <v/>
      </c>
      <c r="I738" s="3">
        <f>IF(ORIG!I738=0,"",ORIG!I738)</f>
        <v/>
      </c>
      <c r="J738" s="3">
        <f>IF(ORIG!J738=0,"",ORIG!J738)</f>
        <v/>
      </c>
      <c r="K738" s="3">
        <f>IF(ORIG!K738=0,"",ORIG!K738)</f>
        <v/>
      </c>
      <c r="L738" s="3">
        <f>IF(ORIG!L738=0,"",ORIG!L738)</f>
        <v/>
      </c>
      <c r="M738" s="3">
        <f>IF(ORIG!M738=0,"",ORIG!M738)</f>
        <v/>
      </c>
      <c r="N738" s="3">
        <f>IF(ORIG!N738=0,"",ORIG!N738)</f>
        <v/>
      </c>
      <c r="O738" s="3">
        <f>IF(ORIG!O738=0,"",ORIG!O738)</f>
        <v/>
      </c>
      <c r="P738" s="3">
        <f>IF(ORIG!P738=0,"",ORIG!P738)</f>
        <v/>
      </c>
      <c r="Q738" s="3">
        <f>IF(ORIG!Q738=0,"",ORIG!Q738)</f>
        <v/>
      </c>
      <c r="R738" s="3">
        <f>IF(ORIG!R738=0,"",ORIG!R738)</f>
        <v/>
      </c>
      <c r="S738" s="3">
        <f>IF(ORIG!S738=0,"",ORIG!S738)</f>
        <v/>
      </c>
      <c r="T738" s="3">
        <f>IF(ORIG!T738=0,"",ORIG!T738)</f>
        <v/>
      </c>
      <c r="U738" s="3">
        <f>IF(ORIG!U738=0,"",ORIG!U738)</f>
        <v/>
      </c>
      <c r="V738" s="9">
        <f>IF(ORIG!V738=0,"",ORIG!V738)</f>
        <v/>
      </c>
      <c r="W738" s="9">
        <f>IF(ORIG!W738=0,"",ORIG!W738)</f>
        <v/>
      </c>
      <c r="X738" s="9">
        <f>IF(ORIG!X738=0,"",ORIG!X738)</f>
        <v/>
      </c>
      <c r="Y738" s="9">
        <f>IF(ORIG!Y738=0,"",ORIG!Y738)</f>
        <v/>
      </c>
      <c r="Z738" s="3">
        <f>SUMPRODUCT($B738:$Y738,$B$2649:$Y$2649)</f>
        <v/>
      </c>
      <c r="AA738" s="3">
        <f>SUMPRODUCT($B738:$Y738,$B$2655:$Y$2655)</f>
        <v/>
      </c>
      <c r="AC738" s="1">
        <f>A738</f>
        <v/>
      </c>
      <c r="AD738">
        <f>IF(ISNUMBER(V738),V738*($AB$1/V$2635),"")</f>
        <v/>
      </c>
      <c r="AE738">
        <f>IF(ISNUMBER(Z738),Z738*($AB$1/Z$2635),"")</f>
        <v/>
      </c>
      <c r="AF738" s="25">
        <f>IF(ISNUMBER(AD738+AE738),AD738+AE738,"")</f>
        <v/>
      </c>
      <c r="AH738" s="1">
        <f>A738</f>
        <v/>
      </c>
      <c r="AI738">
        <f>IF(ISNUMBER((1+V738)*AI737),(1+V738)*AI737,AI737)</f>
        <v/>
      </c>
      <c r="AJ738">
        <f>IF(ISNUMBER((1+Z738)*AJ737),(1+Z738)*AJ737,AJ737)</f>
        <v/>
      </c>
    </row>
    <row r="739">
      <c r="A739" s="1" t="n">
        <v>43073</v>
      </c>
      <c r="B739" s="3">
        <f>IF(ORIG!B739=0,"",ORIG!B739)</f>
        <v/>
      </c>
      <c r="C739" s="3">
        <f>IF(ORIG!C739=0,"",ORIG!C739)</f>
        <v/>
      </c>
      <c r="D739" s="3">
        <f>IF(ORIG!D739=0,"",ORIG!D739)</f>
        <v/>
      </c>
      <c r="E739" s="3">
        <f>IF(ORIG!E739=0,"",ORIG!E739)</f>
        <v/>
      </c>
      <c r="F739" s="3">
        <f>IF(ORIG!F739=0,"",ORIG!F739)</f>
        <v/>
      </c>
      <c r="G739" s="3">
        <f>IF(ORIG!G739=0,"",ORIG!G739)</f>
        <v/>
      </c>
      <c r="H739" s="3">
        <f>IF(ORIG!H739=0,"",ORIG!H739)</f>
        <v/>
      </c>
      <c r="I739" s="3">
        <f>IF(ORIG!I739=0,"",ORIG!I739)</f>
        <v/>
      </c>
      <c r="J739" s="3">
        <f>IF(ORIG!J739=0,"",ORIG!J739)</f>
        <v/>
      </c>
      <c r="K739" s="3">
        <f>IF(ORIG!K739=0,"",ORIG!K739)</f>
        <v/>
      </c>
      <c r="L739" s="3">
        <f>IF(ORIG!L739=0,"",ORIG!L739)</f>
        <v/>
      </c>
      <c r="M739" s="3">
        <f>IF(ORIG!M739=0,"",ORIG!M739)</f>
        <v/>
      </c>
      <c r="N739" s="3">
        <f>IF(ORIG!N739=0,"",ORIG!N739)</f>
        <v/>
      </c>
      <c r="O739" s="3">
        <f>IF(ORIG!O739=0,"",ORIG!O739)</f>
        <v/>
      </c>
      <c r="P739" s="3">
        <f>IF(ORIG!P739=0,"",ORIG!P739)</f>
        <v/>
      </c>
      <c r="Q739" s="3">
        <f>IF(ORIG!Q739=0,"",ORIG!Q739)</f>
        <v/>
      </c>
      <c r="R739" s="3">
        <f>IF(ORIG!R739=0,"",ORIG!R739)</f>
        <v/>
      </c>
      <c r="S739" s="3">
        <f>IF(ORIG!S739=0,"",ORIG!S739)</f>
        <v/>
      </c>
      <c r="T739" s="3">
        <f>IF(ORIG!T739=0,"",ORIG!T739)</f>
        <v/>
      </c>
      <c r="U739" s="3">
        <f>IF(ORIG!U739=0,"",ORIG!U739)</f>
        <v/>
      </c>
      <c r="V739" s="9">
        <f>IF(ORIG!V739=0,"",ORIG!V739)</f>
        <v/>
      </c>
      <c r="W739" s="9">
        <f>IF(ORIG!W739=0,"",ORIG!W739)</f>
        <v/>
      </c>
      <c r="X739" s="9">
        <f>IF(ORIG!X739=0,"",ORIG!X739)</f>
        <v/>
      </c>
      <c r="Y739" s="9">
        <f>IF(ORIG!Y739=0,"",ORIG!Y739)</f>
        <v/>
      </c>
      <c r="Z739" s="3">
        <f>SUMPRODUCT($B739:$Y739,$B$2649:$Y$2649)</f>
        <v/>
      </c>
      <c r="AA739" s="3">
        <f>SUMPRODUCT($B739:$Y739,$B$2655:$Y$2655)</f>
        <v/>
      </c>
      <c r="AC739" s="1">
        <f>A739</f>
        <v/>
      </c>
      <c r="AD739">
        <f>IF(ISNUMBER(V739),V739*($AB$1/V$2635),"")</f>
        <v/>
      </c>
      <c r="AE739">
        <f>IF(ISNUMBER(Z739),Z739*($AB$1/Z$2635),"")</f>
        <v/>
      </c>
      <c r="AF739" s="25">
        <f>IF(ISNUMBER(AD739+AE739),AD739+AE739,"")</f>
        <v/>
      </c>
      <c r="AH739" s="1">
        <f>A739</f>
        <v/>
      </c>
      <c r="AI739">
        <f>IF(ISNUMBER((1+V739)*AI738),(1+V739)*AI738,AI738)</f>
        <v/>
      </c>
      <c r="AJ739">
        <f>IF(ISNUMBER((1+Z739)*AJ738),(1+Z739)*AJ738,AJ738)</f>
        <v/>
      </c>
    </row>
    <row r="740">
      <c r="A740" s="1" t="n">
        <v>43075</v>
      </c>
      <c r="B740" s="3">
        <f>IF(ORIG!B740=0,"",ORIG!B740)</f>
        <v/>
      </c>
      <c r="C740" s="3">
        <f>IF(ORIG!C740=0,"",ORIG!C740)</f>
        <v/>
      </c>
      <c r="D740" s="3">
        <f>IF(ORIG!D740=0,"",ORIG!D740)</f>
        <v/>
      </c>
      <c r="E740" s="3">
        <f>IF(ORIG!E740=0,"",ORIG!E740)</f>
        <v/>
      </c>
      <c r="F740" s="3">
        <f>IF(ORIG!F740=0,"",ORIG!F740)</f>
        <v/>
      </c>
      <c r="G740" s="3">
        <f>IF(ORIG!G740=0,"",ORIG!G740)</f>
        <v/>
      </c>
      <c r="H740" s="3">
        <f>IF(ORIG!H740=0,"",ORIG!H740)</f>
        <v/>
      </c>
      <c r="I740" s="3">
        <f>IF(ORIG!I740=0,"",ORIG!I740)</f>
        <v/>
      </c>
      <c r="J740" s="3">
        <f>IF(ORIG!J740=0,"",ORIG!J740)</f>
        <v/>
      </c>
      <c r="K740" s="3">
        <f>IF(ORIG!K740=0,"",ORIG!K740)</f>
        <v/>
      </c>
      <c r="L740" s="3">
        <f>IF(ORIG!L740=0,"",ORIG!L740)</f>
        <v/>
      </c>
      <c r="M740" s="3">
        <f>IF(ORIG!M740=0,"",ORIG!M740)</f>
        <v/>
      </c>
      <c r="N740" s="3">
        <f>IF(ORIG!N740=0,"",ORIG!N740)</f>
        <v/>
      </c>
      <c r="O740" s="3">
        <f>IF(ORIG!O740=0,"",ORIG!O740)</f>
        <v/>
      </c>
      <c r="P740" s="3">
        <f>IF(ORIG!P740=0,"",ORIG!P740)</f>
        <v/>
      </c>
      <c r="Q740" s="3">
        <f>IF(ORIG!Q740=0,"",ORIG!Q740)</f>
        <v/>
      </c>
      <c r="R740" s="3">
        <f>IF(ORIG!R740=0,"",ORIG!R740)</f>
        <v/>
      </c>
      <c r="S740" s="3">
        <f>IF(ORIG!S740=0,"",ORIG!S740)</f>
        <v/>
      </c>
      <c r="T740" s="3">
        <f>IF(ORIG!T740=0,"",ORIG!T740)</f>
        <v/>
      </c>
      <c r="U740" s="3">
        <f>IF(ORIG!U740=0,"",ORIG!U740)</f>
        <v/>
      </c>
      <c r="V740" s="9">
        <f>IF(ORIG!V740=0,"",ORIG!V740)</f>
        <v/>
      </c>
      <c r="W740" s="9">
        <f>IF(ORIG!W740=0,"",ORIG!W740)</f>
        <v/>
      </c>
      <c r="X740" s="9">
        <f>IF(ORIG!X740=0,"",ORIG!X740)</f>
        <v/>
      </c>
      <c r="Y740" s="9">
        <f>IF(ORIG!Y740=0,"",ORIG!Y740)</f>
        <v/>
      </c>
      <c r="Z740" s="3">
        <f>SUMPRODUCT($B740:$Y740,$B$2649:$Y$2649)</f>
        <v/>
      </c>
      <c r="AA740" s="3">
        <f>SUMPRODUCT($B740:$Y740,$B$2655:$Y$2655)</f>
        <v/>
      </c>
      <c r="AC740" s="1">
        <f>A740</f>
        <v/>
      </c>
      <c r="AD740">
        <f>IF(ISNUMBER(V740),V740*($AB$1/V$2635),"")</f>
        <v/>
      </c>
      <c r="AE740">
        <f>IF(ISNUMBER(Z740),Z740*($AB$1/Z$2635),"")</f>
        <v/>
      </c>
      <c r="AF740" s="25">
        <f>IF(ISNUMBER(AD740+AE740),AD740+AE740,"")</f>
        <v/>
      </c>
      <c r="AH740" s="1">
        <f>A740</f>
        <v/>
      </c>
      <c r="AI740">
        <f>IF(ISNUMBER((1+V740)*AI739),(1+V740)*AI739,AI739)</f>
        <v/>
      </c>
      <c r="AJ740">
        <f>IF(ISNUMBER((1+Z740)*AJ739),(1+Z740)*AJ739,AJ739)</f>
        <v/>
      </c>
    </row>
    <row r="741">
      <c r="A741" s="1" t="n">
        <v>43076</v>
      </c>
      <c r="B741" s="3">
        <f>IF(ORIG!B741=0,"",ORIG!B741)</f>
        <v/>
      </c>
      <c r="C741" s="3">
        <f>IF(ORIG!C741=0,"",ORIG!C741)</f>
        <v/>
      </c>
      <c r="D741" s="3">
        <f>IF(ORIG!D741=0,"",ORIG!D741)</f>
        <v/>
      </c>
      <c r="E741" s="3">
        <f>IF(ORIG!E741=0,"",ORIG!E741)</f>
        <v/>
      </c>
      <c r="F741" s="3">
        <f>IF(ORIG!F741=0,"",ORIG!F741)</f>
        <v/>
      </c>
      <c r="G741" s="3">
        <f>IF(ORIG!G741=0,"",ORIG!G741)</f>
        <v/>
      </c>
      <c r="H741" s="3">
        <f>IF(ORIG!H741=0,"",ORIG!H741)</f>
        <v/>
      </c>
      <c r="I741" s="3">
        <f>IF(ORIG!I741=0,"",ORIG!I741)</f>
        <v/>
      </c>
      <c r="J741" s="3">
        <f>IF(ORIG!J741=0,"",ORIG!J741)</f>
        <v/>
      </c>
      <c r="K741" s="3">
        <f>IF(ORIG!K741=0,"",ORIG!K741)</f>
        <v/>
      </c>
      <c r="L741" s="3">
        <f>IF(ORIG!L741=0,"",ORIG!L741)</f>
        <v/>
      </c>
      <c r="M741" s="3">
        <f>IF(ORIG!M741=0,"",ORIG!M741)</f>
        <v/>
      </c>
      <c r="N741" s="3">
        <f>IF(ORIG!N741=0,"",ORIG!N741)</f>
        <v/>
      </c>
      <c r="O741" s="3">
        <f>IF(ORIG!O741=0,"",ORIG!O741)</f>
        <v/>
      </c>
      <c r="P741" s="3">
        <f>IF(ORIG!P741=0,"",ORIG!P741)</f>
        <v/>
      </c>
      <c r="Q741" s="3">
        <f>IF(ORIG!Q741=0,"",ORIG!Q741)</f>
        <v/>
      </c>
      <c r="R741" s="3">
        <f>IF(ORIG!R741=0,"",ORIG!R741)</f>
        <v/>
      </c>
      <c r="S741" s="3">
        <f>IF(ORIG!S741=0,"",ORIG!S741)</f>
        <v/>
      </c>
      <c r="T741" s="3">
        <f>IF(ORIG!T741=0,"",ORIG!T741)</f>
        <v/>
      </c>
      <c r="U741" s="3">
        <f>IF(ORIG!U741=0,"",ORIG!U741)</f>
        <v/>
      </c>
      <c r="V741" s="9">
        <f>IF(ORIG!V741=0,"",ORIG!V741)</f>
        <v/>
      </c>
      <c r="W741" s="9">
        <f>IF(ORIG!W741=0,"",ORIG!W741)</f>
        <v/>
      </c>
      <c r="X741" s="9">
        <f>IF(ORIG!X741=0,"",ORIG!X741)</f>
        <v/>
      </c>
      <c r="Y741" s="9">
        <f>IF(ORIG!Y741=0,"",ORIG!Y741)</f>
        <v/>
      </c>
      <c r="Z741" s="3">
        <f>SUMPRODUCT($B741:$Y741,$B$2649:$Y$2649)</f>
        <v/>
      </c>
      <c r="AA741" s="3">
        <f>SUMPRODUCT($B741:$Y741,$B$2655:$Y$2655)</f>
        <v/>
      </c>
      <c r="AC741" s="1">
        <f>A741</f>
        <v/>
      </c>
      <c r="AD741">
        <f>IF(ISNUMBER(V741),V741*($AB$1/V$2635),"")</f>
        <v/>
      </c>
      <c r="AE741">
        <f>IF(ISNUMBER(Z741),Z741*($AB$1/Z$2635),"")</f>
        <v/>
      </c>
      <c r="AF741" s="25">
        <f>IF(ISNUMBER(AD741+AE741),AD741+AE741,"")</f>
        <v/>
      </c>
      <c r="AH741" s="1">
        <f>A741</f>
        <v/>
      </c>
      <c r="AI741">
        <f>IF(ISNUMBER((1+V741)*AI740),(1+V741)*AI740,AI740)</f>
        <v/>
      </c>
      <c r="AJ741">
        <f>IF(ISNUMBER((1+Z741)*AJ740),(1+Z741)*AJ740,AJ740)</f>
        <v/>
      </c>
    </row>
    <row r="742">
      <c r="A742" s="1" t="n">
        <v>43077</v>
      </c>
      <c r="B742" s="3">
        <f>IF(ORIG!B742=0,"",ORIG!B742)</f>
        <v/>
      </c>
      <c r="C742" s="3">
        <f>IF(ORIG!C742=0,"",ORIG!C742)</f>
        <v/>
      </c>
      <c r="D742" s="3">
        <f>IF(ORIG!D742=0,"",ORIG!D742)</f>
        <v/>
      </c>
      <c r="E742" s="3">
        <f>IF(ORIG!E742=0,"",ORIG!E742)</f>
        <v/>
      </c>
      <c r="F742" s="3">
        <f>IF(ORIG!F742=0,"",ORIG!F742)</f>
        <v/>
      </c>
      <c r="G742" s="3">
        <f>IF(ORIG!G742=0,"",ORIG!G742)</f>
        <v/>
      </c>
      <c r="H742" s="3">
        <f>IF(ORIG!H742=0,"",ORIG!H742)</f>
        <v/>
      </c>
      <c r="I742" s="3">
        <f>IF(ORIG!I742=0,"",ORIG!I742)</f>
        <v/>
      </c>
      <c r="J742" s="3">
        <f>IF(ORIG!J742=0,"",ORIG!J742)</f>
        <v/>
      </c>
      <c r="K742" s="3">
        <f>IF(ORIG!K742=0,"",ORIG!K742)</f>
        <v/>
      </c>
      <c r="L742" s="3">
        <f>IF(ORIG!L742=0,"",ORIG!L742)</f>
        <v/>
      </c>
      <c r="M742" s="3">
        <f>IF(ORIG!M742=0,"",ORIG!M742)</f>
        <v/>
      </c>
      <c r="N742" s="3">
        <f>IF(ORIG!N742=0,"",ORIG!N742)</f>
        <v/>
      </c>
      <c r="O742" s="3">
        <f>IF(ORIG!O742=0,"",ORIG!O742)</f>
        <v/>
      </c>
      <c r="P742" s="3">
        <f>IF(ORIG!P742=0,"",ORIG!P742)</f>
        <v/>
      </c>
      <c r="Q742" s="3">
        <f>IF(ORIG!Q742=0,"",ORIG!Q742)</f>
        <v/>
      </c>
      <c r="R742" s="3">
        <f>IF(ORIG!R742=0,"",ORIG!R742)</f>
        <v/>
      </c>
      <c r="S742" s="3">
        <f>IF(ORIG!S742=0,"",ORIG!S742)</f>
        <v/>
      </c>
      <c r="T742" s="3">
        <f>IF(ORIG!T742=0,"",ORIG!T742)</f>
        <v/>
      </c>
      <c r="U742" s="3">
        <f>IF(ORIG!U742=0,"",ORIG!U742)</f>
        <v/>
      </c>
      <c r="V742" s="9">
        <f>IF(ORIG!V742=0,"",ORIG!V742)</f>
        <v/>
      </c>
      <c r="W742" s="9">
        <f>IF(ORIG!W742=0,"",ORIG!W742)</f>
        <v/>
      </c>
      <c r="X742" s="9">
        <f>IF(ORIG!X742=0,"",ORIG!X742)</f>
        <v/>
      </c>
      <c r="Y742" s="9">
        <f>IF(ORIG!Y742=0,"",ORIG!Y742)</f>
        <v/>
      </c>
      <c r="Z742" s="3">
        <f>SUMPRODUCT($B742:$Y742,$B$2649:$Y$2649)</f>
        <v/>
      </c>
      <c r="AA742" s="3">
        <f>SUMPRODUCT($B742:$Y742,$B$2655:$Y$2655)</f>
        <v/>
      </c>
      <c r="AC742" s="1">
        <f>A742</f>
        <v/>
      </c>
      <c r="AD742">
        <f>IF(ISNUMBER(V742),V742*($AB$1/V$2635),"")</f>
        <v/>
      </c>
      <c r="AE742">
        <f>IF(ISNUMBER(Z742),Z742*($AB$1/Z$2635),"")</f>
        <v/>
      </c>
      <c r="AF742" s="25">
        <f>IF(ISNUMBER(AD742+AE742),AD742+AE742,"")</f>
        <v/>
      </c>
      <c r="AH742" s="1">
        <f>A742</f>
        <v/>
      </c>
      <c r="AI742">
        <f>IF(ISNUMBER((1+V742)*AI741),(1+V742)*AI741,AI741)</f>
        <v/>
      </c>
      <c r="AJ742">
        <f>IF(ISNUMBER((1+Z742)*AJ741),(1+Z742)*AJ741,AJ741)</f>
        <v/>
      </c>
    </row>
    <row r="743">
      <c r="A743" s="1" t="n">
        <v>43080</v>
      </c>
      <c r="B743" s="3">
        <f>IF(ORIG!B743=0,"",ORIG!B743)</f>
        <v/>
      </c>
      <c r="C743" s="3">
        <f>IF(ORIG!C743=0,"",ORIG!C743)</f>
        <v/>
      </c>
      <c r="D743" s="3">
        <f>IF(ORIG!D743=0,"",ORIG!D743)</f>
        <v/>
      </c>
      <c r="E743" s="3">
        <f>IF(ORIG!E743=0,"",ORIG!E743)</f>
        <v/>
      </c>
      <c r="F743" s="3">
        <f>IF(ORIG!F743=0,"",ORIG!F743)</f>
        <v/>
      </c>
      <c r="G743" s="3">
        <f>IF(ORIG!G743=0,"",ORIG!G743)</f>
        <v/>
      </c>
      <c r="H743" s="3">
        <f>IF(ORIG!H743=0,"",ORIG!H743)</f>
        <v/>
      </c>
      <c r="I743" s="3">
        <f>IF(ORIG!I743=0,"",ORIG!I743)</f>
        <v/>
      </c>
      <c r="J743" s="3">
        <f>IF(ORIG!J743=0,"",ORIG!J743)</f>
        <v/>
      </c>
      <c r="K743" s="3">
        <f>IF(ORIG!K743=0,"",ORIG!K743)</f>
        <v/>
      </c>
      <c r="L743" s="3">
        <f>IF(ORIG!L743=0,"",ORIG!L743)</f>
        <v/>
      </c>
      <c r="M743" s="3">
        <f>IF(ORIG!M743=0,"",ORIG!M743)</f>
        <v/>
      </c>
      <c r="N743" s="3">
        <f>IF(ORIG!N743=0,"",ORIG!N743)</f>
        <v/>
      </c>
      <c r="O743" s="3">
        <f>IF(ORIG!O743=0,"",ORIG!O743)</f>
        <v/>
      </c>
      <c r="P743" s="3">
        <f>IF(ORIG!P743=0,"",ORIG!P743)</f>
        <v/>
      </c>
      <c r="Q743" s="3">
        <f>IF(ORIG!Q743=0,"",ORIG!Q743)</f>
        <v/>
      </c>
      <c r="R743" s="3">
        <f>IF(ORIG!R743=0,"",ORIG!R743)</f>
        <v/>
      </c>
      <c r="S743" s="3">
        <f>IF(ORIG!S743=0,"",ORIG!S743)</f>
        <v/>
      </c>
      <c r="T743" s="3">
        <f>IF(ORIG!T743=0,"",ORIG!T743)</f>
        <v/>
      </c>
      <c r="U743" s="3">
        <f>IF(ORIG!U743=0,"",ORIG!U743)</f>
        <v/>
      </c>
      <c r="V743" s="9">
        <f>IF(ORIG!V743=0,"",ORIG!V743)</f>
        <v/>
      </c>
      <c r="W743" s="9">
        <f>IF(ORIG!W743=0,"",ORIG!W743)</f>
        <v/>
      </c>
      <c r="X743" s="9">
        <f>IF(ORIG!X743=0,"",ORIG!X743)</f>
        <v/>
      </c>
      <c r="Y743" s="9">
        <f>IF(ORIG!Y743=0,"",ORIG!Y743)</f>
        <v/>
      </c>
      <c r="Z743" s="3">
        <f>SUMPRODUCT($B743:$Y743,$B$2649:$Y$2649)</f>
        <v/>
      </c>
      <c r="AA743" s="3">
        <f>SUMPRODUCT($B743:$Y743,$B$2655:$Y$2655)</f>
        <v/>
      </c>
      <c r="AC743" s="1">
        <f>A743</f>
        <v/>
      </c>
      <c r="AD743">
        <f>IF(ISNUMBER(V743),V743*($AB$1/V$2635),"")</f>
        <v/>
      </c>
      <c r="AE743">
        <f>IF(ISNUMBER(Z743),Z743*($AB$1/Z$2635),"")</f>
        <v/>
      </c>
      <c r="AF743" s="25">
        <f>IF(ISNUMBER(AD743+AE743),AD743+AE743,"")</f>
        <v/>
      </c>
      <c r="AH743" s="1">
        <f>A743</f>
        <v/>
      </c>
      <c r="AI743">
        <f>IF(ISNUMBER((1+V743)*AI742),(1+V743)*AI742,AI742)</f>
        <v/>
      </c>
      <c r="AJ743">
        <f>IF(ISNUMBER((1+Z743)*AJ742),(1+Z743)*AJ742,AJ742)</f>
        <v/>
      </c>
    </row>
    <row r="744">
      <c r="A744" s="1" t="n">
        <v>43081</v>
      </c>
      <c r="B744" s="3">
        <f>IF(ORIG!B744=0,"",ORIG!B744)</f>
        <v/>
      </c>
      <c r="C744" s="3">
        <f>IF(ORIG!C744=0,"",ORIG!C744)</f>
        <v/>
      </c>
      <c r="D744" s="3">
        <f>IF(ORIG!D744=0,"",ORIG!D744)</f>
        <v/>
      </c>
      <c r="E744" s="3">
        <f>IF(ORIG!E744=0,"",ORIG!E744)</f>
        <v/>
      </c>
      <c r="F744" s="3">
        <f>IF(ORIG!F744=0,"",ORIG!F744)</f>
        <v/>
      </c>
      <c r="G744" s="3">
        <f>IF(ORIG!G744=0,"",ORIG!G744)</f>
        <v/>
      </c>
      <c r="H744" s="3">
        <f>IF(ORIG!H744=0,"",ORIG!H744)</f>
        <v/>
      </c>
      <c r="I744" s="3">
        <f>IF(ORIG!I744=0,"",ORIG!I744)</f>
        <v/>
      </c>
      <c r="J744" s="3">
        <f>IF(ORIG!J744=0,"",ORIG!J744)</f>
        <v/>
      </c>
      <c r="K744" s="3">
        <f>IF(ORIG!K744=0,"",ORIG!K744)</f>
        <v/>
      </c>
      <c r="L744" s="3">
        <f>IF(ORIG!L744=0,"",ORIG!L744)</f>
        <v/>
      </c>
      <c r="M744" s="3">
        <f>IF(ORIG!M744=0,"",ORIG!M744)</f>
        <v/>
      </c>
      <c r="N744" s="3">
        <f>IF(ORIG!N744=0,"",ORIG!N744)</f>
        <v/>
      </c>
      <c r="O744" s="3">
        <f>IF(ORIG!O744=0,"",ORIG!O744)</f>
        <v/>
      </c>
      <c r="P744" s="3">
        <f>IF(ORIG!P744=0,"",ORIG!P744)</f>
        <v/>
      </c>
      <c r="Q744" s="3">
        <f>IF(ORIG!Q744=0,"",ORIG!Q744)</f>
        <v/>
      </c>
      <c r="R744" s="3">
        <f>IF(ORIG!R744=0,"",ORIG!R744)</f>
        <v/>
      </c>
      <c r="S744" s="3">
        <f>IF(ORIG!S744=0,"",ORIG!S744)</f>
        <v/>
      </c>
      <c r="T744" s="3">
        <f>IF(ORIG!T744=0,"",ORIG!T744)</f>
        <v/>
      </c>
      <c r="U744" s="3">
        <f>IF(ORIG!U744=0,"",ORIG!U744)</f>
        <v/>
      </c>
      <c r="V744" s="9">
        <f>IF(ORIG!V744=0,"",ORIG!V744)</f>
        <v/>
      </c>
      <c r="W744" s="9">
        <f>IF(ORIG!W744=0,"",ORIG!W744)</f>
        <v/>
      </c>
      <c r="X744" s="9">
        <f>IF(ORIG!X744=0,"",ORIG!X744)</f>
        <v/>
      </c>
      <c r="Y744" s="9">
        <f>IF(ORIG!Y744=0,"",ORIG!Y744)</f>
        <v/>
      </c>
      <c r="Z744" s="3">
        <f>SUMPRODUCT($B744:$Y744,$B$2649:$Y$2649)</f>
        <v/>
      </c>
      <c r="AA744" s="3">
        <f>SUMPRODUCT($B744:$Y744,$B$2655:$Y$2655)</f>
        <v/>
      </c>
      <c r="AC744" s="1">
        <f>A744</f>
        <v/>
      </c>
      <c r="AD744">
        <f>IF(ISNUMBER(V744),V744*($AB$1/V$2635),"")</f>
        <v/>
      </c>
      <c r="AE744">
        <f>IF(ISNUMBER(Z744),Z744*($AB$1/Z$2635),"")</f>
        <v/>
      </c>
      <c r="AF744" s="25">
        <f>IF(ISNUMBER(AD744+AE744),AD744+AE744,"")</f>
        <v/>
      </c>
      <c r="AH744" s="1">
        <f>A744</f>
        <v/>
      </c>
      <c r="AI744">
        <f>IF(ISNUMBER((1+V744)*AI743),(1+V744)*AI743,AI743)</f>
        <v/>
      </c>
      <c r="AJ744">
        <f>IF(ISNUMBER((1+Z744)*AJ743),(1+Z744)*AJ743,AJ743)</f>
        <v/>
      </c>
    </row>
    <row r="745">
      <c r="A745" s="1" t="n">
        <v>43082</v>
      </c>
      <c r="B745" s="3">
        <f>IF(ORIG!B745=0,"",ORIG!B745)</f>
        <v/>
      </c>
      <c r="C745" s="3">
        <f>IF(ORIG!C745=0,"",ORIG!C745)</f>
        <v/>
      </c>
      <c r="D745" s="3">
        <f>IF(ORIG!D745=0,"",ORIG!D745)</f>
        <v/>
      </c>
      <c r="E745" s="3">
        <f>IF(ORIG!E745=0,"",ORIG!E745)</f>
        <v/>
      </c>
      <c r="F745" s="3">
        <f>IF(ORIG!F745=0,"",ORIG!F745)</f>
        <v/>
      </c>
      <c r="G745" s="3">
        <f>IF(ORIG!G745=0,"",ORIG!G745)</f>
        <v/>
      </c>
      <c r="H745" s="3">
        <f>IF(ORIG!H745=0,"",ORIG!H745)</f>
        <v/>
      </c>
      <c r="I745" s="3">
        <f>IF(ORIG!I745=0,"",ORIG!I745)</f>
        <v/>
      </c>
      <c r="J745" s="3">
        <f>IF(ORIG!J745=0,"",ORIG!J745)</f>
        <v/>
      </c>
      <c r="K745" s="3">
        <f>IF(ORIG!K745=0,"",ORIG!K745)</f>
        <v/>
      </c>
      <c r="L745" s="3">
        <f>IF(ORIG!L745=0,"",ORIG!L745)</f>
        <v/>
      </c>
      <c r="M745" s="3">
        <f>IF(ORIG!M745=0,"",ORIG!M745)</f>
        <v/>
      </c>
      <c r="N745" s="3">
        <f>IF(ORIG!N745=0,"",ORIG!N745)</f>
        <v/>
      </c>
      <c r="O745" s="3">
        <f>IF(ORIG!O745=0,"",ORIG!O745)</f>
        <v/>
      </c>
      <c r="P745" s="3">
        <f>IF(ORIG!P745=0,"",ORIG!P745)</f>
        <v/>
      </c>
      <c r="Q745" s="3">
        <f>IF(ORIG!Q745=0,"",ORIG!Q745)</f>
        <v/>
      </c>
      <c r="R745" s="3">
        <f>IF(ORIG!R745=0,"",ORIG!R745)</f>
        <v/>
      </c>
      <c r="S745" s="3">
        <f>IF(ORIG!S745=0,"",ORIG!S745)</f>
        <v/>
      </c>
      <c r="T745" s="3">
        <f>IF(ORIG!T745=0,"",ORIG!T745)</f>
        <v/>
      </c>
      <c r="U745" s="3">
        <f>IF(ORIG!U745=0,"",ORIG!U745)</f>
        <v/>
      </c>
      <c r="V745" s="9">
        <f>IF(ORIG!V745=0,"",ORIG!V745)</f>
        <v/>
      </c>
      <c r="W745" s="9">
        <f>IF(ORIG!W745=0,"",ORIG!W745)</f>
        <v/>
      </c>
      <c r="X745" s="9">
        <f>IF(ORIG!X745=0,"",ORIG!X745)</f>
        <v/>
      </c>
      <c r="Y745" s="9">
        <f>IF(ORIG!Y745=0,"",ORIG!Y745)</f>
        <v/>
      </c>
      <c r="Z745" s="3">
        <f>SUMPRODUCT($B745:$Y745,$B$2649:$Y$2649)</f>
        <v/>
      </c>
      <c r="AA745" s="3">
        <f>SUMPRODUCT($B745:$Y745,$B$2655:$Y$2655)</f>
        <v/>
      </c>
      <c r="AC745" s="1">
        <f>A745</f>
        <v/>
      </c>
      <c r="AD745">
        <f>IF(ISNUMBER(V745),V745*($AB$1/V$2635),"")</f>
        <v/>
      </c>
      <c r="AE745">
        <f>IF(ISNUMBER(Z745),Z745*($AB$1/Z$2635),"")</f>
        <v/>
      </c>
      <c r="AF745" s="25">
        <f>IF(ISNUMBER(AD745+AE745),AD745+AE745,"")</f>
        <v/>
      </c>
      <c r="AH745" s="1">
        <f>A745</f>
        <v/>
      </c>
      <c r="AI745">
        <f>IF(ISNUMBER((1+V745)*AI744),(1+V745)*AI744,AI744)</f>
        <v/>
      </c>
      <c r="AJ745">
        <f>IF(ISNUMBER((1+Z745)*AJ744),(1+Z745)*AJ744,AJ744)</f>
        <v/>
      </c>
    </row>
    <row r="746">
      <c r="A746" s="1" t="n">
        <v>43083</v>
      </c>
      <c r="B746" s="3">
        <f>IF(ORIG!B746=0,"",ORIG!B746)</f>
        <v/>
      </c>
      <c r="C746" s="3">
        <f>IF(ORIG!C746=0,"",ORIG!C746)</f>
        <v/>
      </c>
      <c r="D746" s="3">
        <f>IF(ORIG!D746=0,"",ORIG!D746)</f>
        <v/>
      </c>
      <c r="E746" s="3">
        <f>IF(ORIG!E746=0,"",ORIG!E746)</f>
        <v/>
      </c>
      <c r="F746" s="3">
        <f>IF(ORIG!F746=0,"",ORIG!F746)</f>
        <v/>
      </c>
      <c r="G746" s="3">
        <f>IF(ORIG!G746=0,"",ORIG!G746)</f>
        <v/>
      </c>
      <c r="H746" s="3">
        <f>IF(ORIG!H746=0,"",ORIG!H746)</f>
        <v/>
      </c>
      <c r="I746" s="3">
        <f>IF(ORIG!I746=0,"",ORIG!I746)</f>
        <v/>
      </c>
      <c r="J746" s="3">
        <f>IF(ORIG!J746=0,"",ORIG!J746)</f>
        <v/>
      </c>
      <c r="K746" s="3">
        <f>IF(ORIG!K746=0,"",ORIG!K746)</f>
        <v/>
      </c>
      <c r="L746" s="3">
        <f>IF(ORIG!L746=0,"",ORIG!L746)</f>
        <v/>
      </c>
      <c r="M746" s="3">
        <f>IF(ORIG!M746=0,"",ORIG!M746)</f>
        <v/>
      </c>
      <c r="N746" s="3">
        <f>IF(ORIG!N746=0,"",ORIG!N746)</f>
        <v/>
      </c>
      <c r="O746" s="3">
        <f>IF(ORIG!O746=0,"",ORIG!O746)</f>
        <v/>
      </c>
      <c r="P746" s="3">
        <f>IF(ORIG!P746=0,"",ORIG!P746)</f>
        <v/>
      </c>
      <c r="Q746" s="3">
        <f>IF(ORIG!Q746=0,"",ORIG!Q746)</f>
        <v/>
      </c>
      <c r="R746" s="3">
        <f>IF(ORIG!R746=0,"",ORIG!R746)</f>
        <v/>
      </c>
      <c r="S746" s="3">
        <f>IF(ORIG!S746=0,"",ORIG!S746)</f>
        <v/>
      </c>
      <c r="T746" s="3">
        <f>IF(ORIG!T746=0,"",ORIG!T746)</f>
        <v/>
      </c>
      <c r="U746" s="3">
        <f>IF(ORIG!U746=0,"",ORIG!U746)</f>
        <v/>
      </c>
      <c r="V746" s="9">
        <f>IF(ORIG!V746=0,"",ORIG!V746)</f>
        <v/>
      </c>
      <c r="W746" s="9">
        <f>IF(ORIG!W746=0,"",ORIG!W746)</f>
        <v/>
      </c>
      <c r="X746" s="9">
        <f>IF(ORIG!X746=0,"",ORIG!X746)</f>
        <v/>
      </c>
      <c r="Y746" s="9">
        <f>IF(ORIG!Y746=0,"",ORIG!Y746)</f>
        <v/>
      </c>
      <c r="Z746" s="3">
        <f>SUMPRODUCT($B746:$Y746,$B$2649:$Y$2649)</f>
        <v/>
      </c>
      <c r="AA746" s="3">
        <f>SUMPRODUCT($B746:$Y746,$B$2655:$Y$2655)</f>
        <v/>
      </c>
      <c r="AC746" s="1">
        <f>A746</f>
        <v/>
      </c>
      <c r="AD746">
        <f>IF(ISNUMBER(V746),V746*($AB$1/V$2635),"")</f>
        <v/>
      </c>
      <c r="AE746">
        <f>IF(ISNUMBER(Z746),Z746*($AB$1/Z$2635),"")</f>
        <v/>
      </c>
      <c r="AF746" s="25">
        <f>IF(ISNUMBER(AD746+AE746),AD746+AE746,"")</f>
        <v/>
      </c>
      <c r="AH746" s="1">
        <f>A746</f>
        <v/>
      </c>
      <c r="AI746">
        <f>IF(ISNUMBER((1+V746)*AI745),(1+V746)*AI745,AI745)</f>
        <v/>
      </c>
      <c r="AJ746">
        <f>IF(ISNUMBER((1+Z746)*AJ745),(1+Z746)*AJ745,AJ745)</f>
        <v/>
      </c>
    </row>
    <row r="747">
      <c r="A747" s="1" t="n">
        <v>43084</v>
      </c>
      <c r="B747" s="3">
        <f>IF(ORIG!B747=0,"",ORIG!B747)</f>
        <v/>
      </c>
      <c r="C747" s="3">
        <f>IF(ORIG!C747=0,"",ORIG!C747)</f>
        <v/>
      </c>
      <c r="D747" s="3">
        <f>IF(ORIG!D747=0,"",ORIG!D747)</f>
        <v/>
      </c>
      <c r="E747" s="3">
        <f>IF(ORIG!E747=0,"",ORIG!E747)</f>
        <v/>
      </c>
      <c r="F747" s="3">
        <f>IF(ORIG!F747=0,"",ORIG!F747)</f>
        <v/>
      </c>
      <c r="G747" s="3">
        <f>IF(ORIG!G747=0,"",ORIG!G747)</f>
        <v/>
      </c>
      <c r="H747" s="3">
        <f>IF(ORIG!H747=0,"",ORIG!H747)</f>
        <v/>
      </c>
      <c r="I747" s="3">
        <f>IF(ORIG!I747=0,"",ORIG!I747)</f>
        <v/>
      </c>
      <c r="J747" s="3">
        <f>IF(ORIG!J747=0,"",ORIG!J747)</f>
        <v/>
      </c>
      <c r="K747" s="3">
        <f>IF(ORIG!K747=0,"",ORIG!K747)</f>
        <v/>
      </c>
      <c r="L747" s="3">
        <f>IF(ORIG!L747=0,"",ORIG!L747)</f>
        <v/>
      </c>
      <c r="M747" s="3">
        <f>IF(ORIG!M747=0,"",ORIG!M747)</f>
        <v/>
      </c>
      <c r="N747" s="3">
        <f>IF(ORIG!N747=0,"",ORIG!N747)</f>
        <v/>
      </c>
      <c r="O747" s="3">
        <f>IF(ORIG!O747=0,"",ORIG!O747)</f>
        <v/>
      </c>
      <c r="P747" s="3">
        <f>IF(ORIG!P747=0,"",ORIG!P747)</f>
        <v/>
      </c>
      <c r="Q747" s="3">
        <f>IF(ORIG!Q747=0,"",ORIG!Q747)</f>
        <v/>
      </c>
      <c r="R747" s="3">
        <f>IF(ORIG!R747=0,"",ORIG!R747)</f>
        <v/>
      </c>
      <c r="S747" s="3">
        <f>IF(ORIG!S747=0,"",ORIG!S747)</f>
        <v/>
      </c>
      <c r="T747" s="3">
        <f>IF(ORIG!T747=0,"",ORIG!T747)</f>
        <v/>
      </c>
      <c r="U747" s="3">
        <f>IF(ORIG!U747=0,"",ORIG!U747)</f>
        <v/>
      </c>
      <c r="V747" s="9">
        <f>IF(ORIG!V747=0,"",ORIG!V747)</f>
        <v/>
      </c>
      <c r="W747" s="9">
        <f>IF(ORIG!W747=0,"",ORIG!W747)</f>
        <v/>
      </c>
      <c r="X747" s="9">
        <f>IF(ORIG!X747=0,"",ORIG!X747)</f>
        <v/>
      </c>
      <c r="Y747" s="9">
        <f>IF(ORIG!Y747=0,"",ORIG!Y747)</f>
        <v/>
      </c>
      <c r="Z747" s="3">
        <f>SUMPRODUCT($B747:$Y747,$B$2649:$Y$2649)</f>
        <v/>
      </c>
      <c r="AA747" s="3">
        <f>SUMPRODUCT($B747:$Y747,$B$2655:$Y$2655)</f>
        <v/>
      </c>
      <c r="AC747" s="1">
        <f>A747</f>
        <v/>
      </c>
      <c r="AD747">
        <f>IF(ISNUMBER(V747),V747*($AB$1/V$2635),"")</f>
        <v/>
      </c>
      <c r="AE747">
        <f>IF(ISNUMBER(Z747),Z747*($AB$1/Z$2635),"")</f>
        <v/>
      </c>
      <c r="AF747" s="25">
        <f>IF(ISNUMBER(AD747+AE747),AD747+AE747,"")</f>
        <v/>
      </c>
      <c r="AH747" s="1">
        <f>A747</f>
        <v/>
      </c>
      <c r="AI747">
        <f>IF(ISNUMBER((1+V747)*AI746),(1+V747)*AI746,AI746)</f>
        <v/>
      </c>
      <c r="AJ747">
        <f>IF(ISNUMBER((1+Z747)*AJ746),(1+Z747)*AJ746,AJ746)</f>
        <v/>
      </c>
    </row>
    <row r="748">
      <c r="A748" s="1" t="n">
        <v>43087</v>
      </c>
      <c r="B748" s="3">
        <f>IF(ORIG!B748=0,"",ORIG!B748)</f>
        <v/>
      </c>
      <c r="C748" s="3">
        <f>IF(ORIG!C748=0,"",ORIG!C748)</f>
        <v/>
      </c>
      <c r="D748" s="3">
        <f>IF(ORIG!D748=0,"",ORIG!D748)</f>
        <v/>
      </c>
      <c r="E748" s="3">
        <f>IF(ORIG!E748=0,"",ORIG!E748)</f>
        <v/>
      </c>
      <c r="F748" s="3">
        <f>IF(ORIG!F748=0,"",ORIG!F748)</f>
        <v/>
      </c>
      <c r="G748" s="3">
        <f>IF(ORIG!G748=0,"",ORIG!G748)</f>
        <v/>
      </c>
      <c r="H748" s="3">
        <f>IF(ORIG!H748=0,"",ORIG!H748)</f>
        <v/>
      </c>
      <c r="I748" s="3">
        <f>IF(ORIG!I748=0,"",ORIG!I748)</f>
        <v/>
      </c>
      <c r="J748" s="3">
        <f>IF(ORIG!J748=0,"",ORIG!J748)</f>
        <v/>
      </c>
      <c r="K748" s="3">
        <f>IF(ORIG!K748=0,"",ORIG!K748)</f>
        <v/>
      </c>
      <c r="L748" s="3">
        <f>IF(ORIG!L748=0,"",ORIG!L748)</f>
        <v/>
      </c>
      <c r="M748" s="3">
        <f>IF(ORIG!M748=0,"",ORIG!M748)</f>
        <v/>
      </c>
      <c r="N748" s="3">
        <f>IF(ORIG!N748=0,"",ORIG!N748)</f>
        <v/>
      </c>
      <c r="O748" s="3">
        <f>IF(ORIG!O748=0,"",ORIG!O748)</f>
        <v/>
      </c>
      <c r="P748" s="3">
        <f>IF(ORIG!P748=0,"",ORIG!P748)</f>
        <v/>
      </c>
      <c r="Q748" s="3">
        <f>IF(ORIG!Q748=0,"",ORIG!Q748)</f>
        <v/>
      </c>
      <c r="R748" s="3">
        <f>IF(ORIG!R748=0,"",ORIG!R748)</f>
        <v/>
      </c>
      <c r="S748" s="3">
        <f>IF(ORIG!S748=0,"",ORIG!S748)</f>
        <v/>
      </c>
      <c r="T748" s="3">
        <f>IF(ORIG!T748=0,"",ORIG!T748)</f>
        <v/>
      </c>
      <c r="U748" s="3">
        <f>IF(ORIG!U748=0,"",ORIG!U748)</f>
        <v/>
      </c>
      <c r="V748" s="9">
        <f>IF(ORIG!V748=0,"",ORIG!V748)</f>
        <v/>
      </c>
      <c r="W748" s="9">
        <f>IF(ORIG!W748=0,"",ORIG!W748)</f>
        <v/>
      </c>
      <c r="X748" s="9">
        <f>IF(ORIG!X748=0,"",ORIG!X748)</f>
        <v/>
      </c>
      <c r="Y748" s="9">
        <f>IF(ORIG!Y748=0,"",ORIG!Y748)</f>
        <v/>
      </c>
      <c r="Z748" s="3">
        <f>SUMPRODUCT($B748:$Y748,$B$2649:$Y$2649)</f>
        <v/>
      </c>
      <c r="AA748" s="3">
        <f>SUMPRODUCT($B748:$Y748,$B$2655:$Y$2655)</f>
        <v/>
      </c>
      <c r="AC748" s="1">
        <f>A748</f>
        <v/>
      </c>
      <c r="AD748">
        <f>IF(ISNUMBER(V748),V748*($AB$1/V$2635),"")</f>
        <v/>
      </c>
      <c r="AE748">
        <f>IF(ISNUMBER(Z748),Z748*($AB$1/Z$2635),"")</f>
        <v/>
      </c>
      <c r="AF748" s="25">
        <f>IF(ISNUMBER(AD748+AE748),AD748+AE748,"")</f>
        <v/>
      </c>
      <c r="AH748" s="1">
        <f>A748</f>
        <v/>
      </c>
      <c r="AI748">
        <f>IF(ISNUMBER((1+V748)*AI747),(1+V748)*AI747,AI747)</f>
        <v/>
      </c>
      <c r="AJ748">
        <f>IF(ISNUMBER((1+Z748)*AJ747),(1+Z748)*AJ747,AJ747)</f>
        <v/>
      </c>
    </row>
    <row r="749">
      <c r="A749" s="1" t="n">
        <v>43088</v>
      </c>
      <c r="B749" s="3">
        <f>IF(ORIG!B749=0,"",ORIG!B749)</f>
        <v/>
      </c>
      <c r="C749" s="3">
        <f>IF(ORIG!C749=0,"",ORIG!C749)</f>
        <v/>
      </c>
      <c r="D749" s="3">
        <f>IF(ORIG!D749=0,"",ORIG!D749)</f>
        <v/>
      </c>
      <c r="E749" s="3">
        <f>IF(ORIG!E749=0,"",ORIG!E749)</f>
        <v/>
      </c>
      <c r="F749" s="3">
        <f>IF(ORIG!F749=0,"",ORIG!F749)</f>
        <v/>
      </c>
      <c r="G749" s="3">
        <f>IF(ORIG!G749=0,"",ORIG!G749)</f>
        <v/>
      </c>
      <c r="H749" s="3">
        <f>IF(ORIG!H749=0,"",ORIG!H749)</f>
        <v/>
      </c>
      <c r="I749" s="3">
        <f>IF(ORIG!I749=0,"",ORIG!I749)</f>
        <v/>
      </c>
      <c r="J749" s="3">
        <f>IF(ORIG!J749=0,"",ORIG!J749)</f>
        <v/>
      </c>
      <c r="K749" s="3">
        <f>IF(ORIG!K749=0,"",ORIG!K749)</f>
        <v/>
      </c>
      <c r="L749" s="3">
        <f>IF(ORIG!L749=0,"",ORIG!L749)</f>
        <v/>
      </c>
      <c r="M749" s="3">
        <f>IF(ORIG!M749=0,"",ORIG!M749)</f>
        <v/>
      </c>
      <c r="N749" s="3">
        <f>IF(ORIG!N749=0,"",ORIG!N749)</f>
        <v/>
      </c>
      <c r="O749" s="3">
        <f>IF(ORIG!O749=0,"",ORIG!O749)</f>
        <v/>
      </c>
      <c r="P749" s="3">
        <f>IF(ORIG!P749=0,"",ORIG!P749)</f>
        <v/>
      </c>
      <c r="Q749" s="3">
        <f>IF(ORIG!Q749=0,"",ORIG!Q749)</f>
        <v/>
      </c>
      <c r="R749" s="3">
        <f>IF(ORIG!R749=0,"",ORIG!R749)</f>
        <v/>
      </c>
      <c r="S749" s="3">
        <f>IF(ORIG!S749=0,"",ORIG!S749)</f>
        <v/>
      </c>
      <c r="T749" s="3">
        <f>IF(ORIG!T749=0,"",ORIG!T749)</f>
        <v/>
      </c>
      <c r="U749" s="3">
        <f>IF(ORIG!U749=0,"",ORIG!U749)</f>
        <v/>
      </c>
      <c r="V749" s="9">
        <f>IF(ORIG!V749=0,"",ORIG!V749)</f>
        <v/>
      </c>
      <c r="W749" s="9">
        <f>IF(ORIG!W749=0,"",ORIG!W749)</f>
        <v/>
      </c>
      <c r="X749" s="9">
        <f>IF(ORIG!X749=0,"",ORIG!X749)</f>
        <v/>
      </c>
      <c r="Y749" s="9">
        <f>IF(ORIG!Y749=0,"",ORIG!Y749)</f>
        <v/>
      </c>
      <c r="Z749" s="3">
        <f>SUMPRODUCT($B749:$Y749,$B$2649:$Y$2649)</f>
        <v/>
      </c>
      <c r="AA749" s="3">
        <f>SUMPRODUCT($B749:$Y749,$B$2655:$Y$2655)</f>
        <v/>
      </c>
      <c r="AC749" s="1">
        <f>A749</f>
        <v/>
      </c>
      <c r="AD749">
        <f>IF(ISNUMBER(V749),V749*($AB$1/V$2635),"")</f>
        <v/>
      </c>
      <c r="AE749">
        <f>IF(ISNUMBER(Z749),Z749*($AB$1/Z$2635),"")</f>
        <v/>
      </c>
      <c r="AF749" s="25">
        <f>IF(ISNUMBER(AD749+AE749),AD749+AE749,"")</f>
        <v/>
      </c>
      <c r="AH749" s="1">
        <f>A749</f>
        <v/>
      </c>
      <c r="AI749">
        <f>IF(ISNUMBER((1+V749)*AI748),(1+V749)*AI748,AI748)</f>
        <v/>
      </c>
      <c r="AJ749">
        <f>IF(ISNUMBER((1+Z749)*AJ748),(1+Z749)*AJ748,AJ748)</f>
        <v/>
      </c>
    </row>
    <row r="750">
      <c r="A750" s="1" t="n">
        <v>43089</v>
      </c>
      <c r="B750" s="3">
        <f>IF(ORIG!B750=0,"",ORIG!B750)</f>
        <v/>
      </c>
      <c r="C750" s="3">
        <f>IF(ORIG!C750=0,"",ORIG!C750)</f>
        <v/>
      </c>
      <c r="D750" s="3">
        <f>IF(ORIG!D750=0,"",ORIG!D750)</f>
        <v/>
      </c>
      <c r="E750" s="3">
        <f>IF(ORIG!E750=0,"",ORIG!E750)</f>
        <v/>
      </c>
      <c r="F750" s="3">
        <f>IF(ORIG!F750=0,"",ORIG!F750)</f>
        <v/>
      </c>
      <c r="G750" s="3">
        <f>IF(ORIG!G750=0,"",ORIG!G750)</f>
        <v/>
      </c>
      <c r="H750" s="3">
        <f>IF(ORIG!H750=0,"",ORIG!H750)</f>
        <v/>
      </c>
      <c r="I750" s="3">
        <f>IF(ORIG!I750=0,"",ORIG!I750)</f>
        <v/>
      </c>
      <c r="J750" s="3">
        <f>IF(ORIG!J750=0,"",ORIG!J750)</f>
        <v/>
      </c>
      <c r="K750" s="3">
        <f>IF(ORIG!K750=0,"",ORIG!K750)</f>
        <v/>
      </c>
      <c r="L750" s="3">
        <f>IF(ORIG!L750=0,"",ORIG!L750)</f>
        <v/>
      </c>
      <c r="M750" s="3">
        <f>IF(ORIG!M750=0,"",ORIG!M750)</f>
        <v/>
      </c>
      <c r="N750" s="3">
        <f>IF(ORIG!N750=0,"",ORIG!N750)</f>
        <v/>
      </c>
      <c r="O750" s="3">
        <f>IF(ORIG!O750=0,"",ORIG!O750)</f>
        <v/>
      </c>
      <c r="P750" s="3">
        <f>IF(ORIG!P750=0,"",ORIG!P750)</f>
        <v/>
      </c>
      <c r="Q750" s="3">
        <f>IF(ORIG!Q750=0,"",ORIG!Q750)</f>
        <v/>
      </c>
      <c r="R750" s="3">
        <f>IF(ORIG!R750=0,"",ORIG!R750)</f>
        <v/>
      </c>
      <c r="S750" s="3">
        <f>IF(ORIG!S750=0,"",ORIG!S750)</f>
        <v/>
      </c>
      <c r="T750" s="3">
        <f>IF(ORIG!T750=0,"",ORIG!T750)</f>
        <v/>
      </c>
      <c r="U750" s="3">
        <f>IF(ORIG!U750=0,"",ORIG!U750)</f>
        <v/>
      </c>
      <c r="V750" s="9">
        <f>IF(ORIG!V750=0,"",ORIG!V750)</f>
        <v/>
      </c>
      <c r="W750" s="9">
        <f>IF(ORIG!W750=0,"",ORIG!W750)</f>
        <v/>
      </c>
      <c r="X750" s="9">
        <f>IF(ORIG!X750=0,"",ORIG!X750)</f>
        <v/>
      </c>
      <c r="Y750" s="9">
        <f>IF(ORIG!Y750=0,"",ORIG!Y750)</f>
        <v/>
      </c>
      <c r="Z750" s="3">
        <f>SUMPRODUCT($B750:$Y750,$B$2649:$Y$2649)</f>
        <v/>
      </c>
      <c r="AA750" s="3">
        <f>SUMPRODUCT($B750:$Y750,$B$2655:$Y$2655)</f>
        <v/>
      </c>
      <c r="AC750" s="1">
        <f>A750</f>
        <v/>
      </c>
      <c r="AD750">
        <f>IF(ISNUMBER(V750),V750*($AB$1/V$2635),"")</f>
        <v/>
      </c>
      <c r="AE750">
        <f>IF(ISNUMBER(Z750),Z750*($AB$1/Z$2635),"")</f>
        <v/>
      </c>
      <c r="AF750" s="25">
        <f>IF(ISNUMBER(AD750+AE750),AD750+AE750,"")</f>
        <v/>
      </c>
      <c r="AH750" s="1">
        <f>A750</f>
        <v/>
      </c>
      <c r="AI750">
        <f>IF(ISNUMBER((1+V750)*AI749),(1+V750)*AI749,AI749)</f>
        <v/>
      </c>
      <c r="AJ750">
        <f>IF(ISNUMBER((1+Z750)*AJ749),(1+Z750)*AJ749,AJ749)</f>
        <v/>
      </c>
    </row>
    <row r="751">
      <c r="A751" s="1" t="n">
        <v>43090</v>
      </c>
      <c r="B751" s="3">
        <f>IF(ORIG!B751=0,"",ORIG!B751)</f>
        <v/>
      </c>
      <c r="C751" s="3">
        <f>IF(ORIG!C751=0,"",ORIG!C751)</f>
        <v/>
      </c>
      <c r="D751" s="3">
        <f>IF(ORIG!D751=0,"",ORIG!D751)</f>
        <v/>
      </c>
      <c r="E751" s="3">
        <f>IF(ORIG!E751=0,"",ORIG!E751)</f>
        <v/>
      </c>
      <c r="F751" s="3">
        <f>IF(ORIG!F751=0,"",ORIG!F751)</f>
        <v/>
      </c>
      <c r="G751" s="3">
        <f>IF(ORIG!G751=0,"",ORIG!G751)</f>
        <v/>
      </c>
      <c r="H751" s="3">
        <f>IF(ORIG!H751=0,"",ORIG!H751)</f>
        <v/>
      </c>
      <c r="I751" s="3">
        <f>IF(ORIG!I751=0,"",ORIG!I751)</f>
        <v/>
      </c>
      <c r="J751" s="3">
        <f>IF(ORIG!J751=0,"",ORIG!J751)</f>
        <v/>
      </c>
      <c r="K751" s="3">
        <f>IF(ORIG!K751=0,"",ORIG!K751)</f>
        <v/>
      </c>
      <c r="L751" s="3">
        <f>IF(ORIG!L751=0,"",ORIG!L751)</f>
        <v/>
      </c>
      <c r="M751" s="3">
        <f>IF(ORIG!M751=0,"",ORIG!M751)</f>
        <v/>
      </c>
      <c r="N751" s="3">
        <f>IF(ORIG!N751=0,"",ORIG!N751)</f>
        <v/>
      </c>
      <c r="O751" s="3">
        <f>IF(ORIG!O751=0,"",ORIG!O751)</f>
        <v/>
      </c>
      <c r="P751" s="3">
        <f>IF(ORIG!P751=0,"",ORIG!P751)</f>
        <v/>
      </c>
      <c r="Q751" s="3">
        <f>IF(ORIG!Q751=0,"",ORIG!Q751)</f>
        <v/>
      </c>
      <c r="R751" s="3">
        <f>IF(ORIG!R751=0,"",ORIG!R751)</f>
        <v/>
      </c>
      <c r="S751" s="3">
        <f>IF(ORIG!S751=0,"",ORIG!S751)</f>
        <v/>
      </c>
      <c r="T751" s="3">
        <f>IF(ORIG!T751=0,"",ORIG!T751)</f>
        <v/>
      </c>
      <c r="U751" s="3">
        <f>IF(ORIG!U751=0,"",ORIG!U751)</f>
        <v/>
      </c>
      <c r="V751" s="9">
        <f>IF(ORIG!V751=0,"",ORIG!V751)</f>
        <v/>
      </c>
      <c r="W751" s="9">
        <f>IF(ORIG!W751=0,"",ORIG!W751)</f>
        <v/>
      </c>
      <c r="X751" s="9">
        <f>IF(ORIG!X751=0,"",ORIG!X751)</f>
        <v/>
      </c>
      <c r="Y751" s="9">
        <f>IF(ORIG!Y751=0,"",ORIG!Y751)</f>
        <v/>
      </c>
      <c r="Z751" s="3">
        <f>SUMPRODUCT($B751:$Y751,$B$2649:$Y$2649)</f>
        <v/>
      </c>
      <c r="AA751" s="3">
        <f>SUMPRODUCT($B751:$Y751,$B$2655:$Y$2655)</f>
        <v/>
      </c>
      <c r="AC751" s="1">
        <f>A751</f>
        <v/>
      </c>
      <c r="AD751">
        <f>IF(ISNUMBER(V751),V751*($AB$1/V$2635),"")</f>
        <v/>
      </c>
      <c r="AE751">
        <f>IF(ISNUMBER(Z751),Z751*($AB$1/Z$2635),"")</f>
        <v/>
      </c>
      <c r="AF751" s="25">
        <f>IF(ISNUMBER(AD751+AE751),AD751+AE751,"")</f>
        <v/>
      </c>
      <c r="AH751" s="1">
        <f>A751</f>
        <v/>
      </c>
      <c r="AI751">
        <f>IF(ISNUMBER((1+V751)*AI750),(1+V751)*AI750,AI750)</f>
        <v/>
      </c>
      <c r="AJ751">
        <f>IF(ISNUMBER((1+Z751)*AJ750),(1+Z751)*AJ750,AJ750)</f>
        <v/>
      </c>
    </row>
    <row r="752">
      <c r="A752" s="1" t="n">
        <v>43091</v>
      </c>
      <c r="B752" s="3">
        <f>IF(ORIG!B752=0,"",ORIG!B752)</f>
        <v/>
      </c>
      <c r="C752" s="3">
        <f>IF(ORIG!C752=0,"",ORIG!C752)</f>
        <v/>
      </c>
      <c r="D752" s="3">
        <f>IF(ORIG!D752=0,"",ORIG!D752)</f>
        <v/>
      </c>
      <c r="E752" s="3">
        <f>IF(ORIG!E752=0,"",ORIG!E752)</f>
        <v/>
      </c>
      <c r="F752" s="3">
        <f>IF(ORIG!F752=0,"",ORIG!F752)</f>
        <v/>
      </c>
      <c r="G752" s="3">
        <f>IF(ORIG!G752=0,"",ORIG!G752)</f>
        <v/>
      </c>
      <c r="H752" s="3">
        <f>IF(ORIG!H752=0,"",ORIG!H752)</f>
        <v/>
      </c>
      <c r="I752" s="3">
        <f>IF(ORIG!I752=0,"",ORIG!I752)</f>
        <v/>
      </c>
      <c r="J752" s="3">
        <f>IF(ORIG!J752=0,"",ORIG!J752)</f>
        <v/>
      </c>
      <c r="K752" s="3">
        <f>IF(ORIG!K752=0,"",ORIG!K752)</f>
        <v/>
      </c>
      <c r="L752" s="3">
        <f>IF(ORIG!L752=0,"",ORIG!L752)</f>
        <v/>
      </c>
      <c r="M752" s="3">
        <f>IF(ORIG!M752=0,"",ORIG!M752)</f>
        <v/>
      </c>
      <c r="N752" s="3">
        <f>IF(ORIG!N752=0,"",ORIG!N752)</f>
        <v/>
      </c>
      <c r="O752" s="3">
        <f>IF(ORIG!O752=0,"",ORIG!O752)</f>
        <v/>
      </c>
      <c r="P752" s="3">
        <f>IF(ORIG!P752=0,"",ORIG!P752)</f>
        <v/>
      </c>
      <c r="Q752" s="3">
        <f>IF(ORIG!Q752=0,"",ORIG!Q752)</f>
        <v/>
      </c>
      <c r="R752" s="3">
        <f>IF(ORIG!R752=0,"",ORIG!R752)</f>
        <v/>
      </c>
      <c r="S752" s="3">
        <f>IF(ORIG!S752=0,"",ORIG!S752)</f>
        <v/>
      </c>
      <c r="T752" s="3">
        <f>IF(ORIG!T752=0,"",ORIG!T752)</f>
        <v/>
      </c>
      <c r="U752" s="3">
        <f>IF(ORIG!U752=0,"",ORIG!U752)</f>
        <v/>
      </c>
      <c r="V752" s="9">
        <f>IF(ORIG!V752=0,"",ORIG!V752)</f>
        <v/>
      </c>
      <c r="W752" s="9">
        <f>IF(ORIG!W752=0,"",ORIG!W752)</f>
        <v/>
      </c>
      <c r="X752" s="9">
        <f>IF(ORIG!X752=0,"",ORIG!X752)</f>
        <v/>
      </c>
      <c r="Y752" s="9">
        <f>IF(ORIG!Y752=0,"",ORIG!Y752)</f>
        <v/>
      </c>
      <c r="Z752" s="3">
        <f>SUMPRODUCT($B752:$Y752,$B$2649:$Y$2649)</f>
        <v/>
      </c>
      <c r="AA752" s="3">
        <f>SUMPRODUCT($B752:$Y752,$B$2655:$Y$2655)</f>
        <v/>
      </c>
      <c r="AC752" s="1">
        <f>A752</f>
        <v/>
      </c>
      <c r="AD752">
        <f>IF(ISNUMBER(V752),V752*($AB$1/V$2635),"")</f>
        <v/>
      </c>
      <c r="AE752">
        <f>IF(ISNUMBER(Z752),Z752*($AB$1/Z$2635),"")</f>
        <v/>
      </c>
      <c r="AF752" s="25">
        <f>IF(ISNUMBER(AD752+AE752),AD752+AE752,"")</f>
        <v/>
      </c>
      <c r="AH752" s="1">
        <f>A752</f>
        <v/>
      </c>
      <c r="AI752">
        <f>IF(ISNUMBER((1+V752)*AI751),(1+V752)*AI751,AI751)</f>
        <v/>
      </c>
      <c r="AJ752">
        <f>IF(ISNUMBER((1+Z752)*AJ751),(1+Z752)*AJ751,AJ751)</f>
        <v/>
      </c>
    </row>
    <row r="753">
      <c r="A753" s="1" t="n">
        <v>43095</v>
      </c>
      <c r="B753" s="3">
        <f>IF(ORIG!B753=0,"",ORIG!B753)</f>
        <v/>
      </c>
      <c r="C753" s="3">
        <f>IF(ORIG!C753=0,"",ORIG!C753)</f>
        <v/>
      </c>
      <c r="D753" s="3">
        <f>IF(ORIG!D753=0,"",ORIG!D753)</f>
        <v/>
      </c>
      <c r="E753" s="3">
        <f>IF(ORIG!E753=0,"",ORIG!E753)</f>
        <v/>
      </c>
      <c r="F753" s="3">
        <f>IF(ORIG!F753=0,"",ORIG!F753)</f>
        <v/>
      </c>
      <c r="G753" s="3">
        <f>IF(ORIG!G753=0,"",ORIG!G753)</f>
        <v/>
      </c>
      <c r="H753" s="3">
        <f>IF(ORIG!H753=0,"",ORIG!H753)</f>
        <v/>
      </c>
      <c r="I753" s="3">
        <f>IF(ORIG!I753=0,"",ORIG!I753)</f>
        <v/>
      </c>
      <c r="J753" s="3">
        <f>IF(ORIG!J753=0,"",ORIG!J753)</f>
        <v/>
      </c>
      <c r="K753" s="3">
        <f>IF(ORIG!K753=0,"",ORIG!K753)</f>
        <v/>
      </c>
      <c r="L753" s="3">
        <f>IF(ORIG!L753=0,"",ORIG!L753)</f>
        <v/>
      </c>
      <c r="M753" s="3">
        <f>IF(ORIG!M753=0,"",ORIG!M753)</f>
        <v/>
      </c>
      <c r="N753" s="3">
        <f>IF(ORIG!N753=0,"",ORIG!N753)</f>
        <v/>
      </c>
      <c r="O753" s="3">
        <f>IF(ORIG!O753=0,"",ORIG!O753)</f>
        <v/>
      </c>
      <c r="P753" s="3">
        <f>IF(ORIG!P753=0,"",ORIG!P753)</f>
        <v/>
      </c>
      <c r="Q753" s="3">
        <f>IF(ORIG!Q753=0,"",ORIG!Q753)</f>
        <v/>
      </c>
      <c r="R753" s="3">
        <f>IF(ORIG!R753=0,"",ORIG!R753)</f>
        <v/>
      </c>
      <c r="S753" s="3">
        <f>IF(ORIG!S753=0,"",ORIG!S753)</f>
        <v/>
      </c>
      <c r="T753" s="3">
        <f>IF(ORIG!T753=0,"",ORIG!T753)</f>
        <v/>
      </c>
      <c r="U753" s="3">
        <f>IF(ORIG!U753=0,"",ORIG!U753)</f>
        <v/>
      </c>
      <c r="V753" s="9">
        <f>IF(ORIG!V753=0,"",ORIG!V753)</f>
        <v/>
      </c>
      <c r="W753" s="9">
        <f>IF(ORIG!W753=0,"",ORIG!W753)</f>
        <v/>
      </c>
      <c r="X753" s="9">
        <f>IF(ORIG!X753=0,"",ORIG!X753)</f>
        <v/>
      </c>
      <c r="Y753" s="9">
        <f>IF(ORIG!Y753=0,"",ORIG!Y753)</f>
        <v/>
      </c>
      <c r="Z753" s="3">
        <f>SUMPRODUCT($B753:$Y753,$B$2649:$Y$2649)</f>
        <v/>
      </c>
      <c r="AA753" s="3">
        <f>SUMPRODUCT($B753:$Y753,$B$2655:$Y$2655)</f>
        <v/>
      </c>
      <c r="AC753" s="1">
        <f>A753</f>
        <v/>
      </c>
      <c r="AD753">
        <f>IF(ISNUMBER(V753),V753*($AB$1/V$2635),"")</f>
        <v/>
      </c>
      <c r="AE753">
        <f>IF(ISNUMBER(Z753),Z753*($AB$1/Z$2635),"")</f>
        <v/>
      </c>
      <c r="AF753" s="25">
        <f>IF(ISNUMBER(AD753+AE753),AD753+AE753,"")</f>
        <v/>
      </c>
      <c r="AH753" s="1">
        <f>A753</f>
        <v/>
      </c>
      <c r="AI753">
        <f>IF(ISNUMBER((1+V753)*AI752),(1+V753)*AI752,AI752)</f>
        <v/>
      </c>
      <c r="AJ753">
        <f>IF(ISNUMBER((1+Z753)*AJ752),(1+Z753)*AJ752,AJ752)</f>
        <v/>
      </c>
    </row>
    <row r="754">
      <c r="A754" s="1" t="n">
        <v>43096</v>
      </c>
      <c r="B754" s="3">
        <f>IF(ORIG!B754=0,"",ORIG!B754)</f>
        <v/>
      </c>
      <c r="C754" s="3">
        <f>IF(ORIG!C754=0,"",ORIG!C754)</f>
        <v/>
      </c>
      <c r="D754" s="3">
        <f>IF(ORIG!D754=0,"",ORIG!D754)</f>
        <v/>
      </c>
      <c r="E754" s="3">
        <f>IF(ORIG!E754=0,"",ORIG!E754)</f>
        <v/>
      </c>
      <c r="F754" s="3">
        <f>IF(ORIG!F754=0,"",ORIG!F754)</f>
        <v/>
      </c>
      <c r="G754" s="3">
        <f>IF(ORIG!G754=0,"",ORIG!G754)</f>
        <v/>
      </c>
      <c r="H754" s="3">
        <f>IF(ORIG!H754=0,"",ORIG!H754)</f>
        <v/>
      </c>
      <c r="I754" s="3">
        <f>IF(ORIG!I754=0,"",ORIG!I754)</f>
        <v/>
      </c>
      <c r="J754" s="3">
        <f>IF(ORIG!J754=0,"",ORIG!J754)</f>
        <v/>
      </c>
      <c r="K754" s="3">
        <f>IF(ORIG!K754=0,"",ORIG!K754)</f>
        <v/>
      </c>
      <c r="L754" s="3">
        <f>IF(ORIG!L754=0,"",ORIG!L754)</f>
        <v/>
      </c>
      <c r="M754" s="3">
        <f>IF(ORIG!M754=0,"",ORIG!M754)</f>
        <v/>
      </c>
      <c r="N754" s="3">
        <f>IF(ORIG!N754=0,"",ORIG!N754)</f>
        <v/>
      </c>
      <c r="O754" s="3">
        <f>IF(ORIG!O754=0,"",ORIG!O754)</f>
        <v/>
      </c>
      <c r="P754" s="3">
        <f>IF(ORIG!P754=0,"",ORIG!P754)</f>
        <v/>
      </c>
      <c r="Q754" s="3">
        <f>IF(ORIG!Q754=0,"",ORIG!Q754)</f>
        <v/>
      </c>
      <c r="R754" s="3">
        <f>IF(ORIG!R754=0,"",ORIG!R754)</f>
        <v/>
      </c>
      <c r="S754" s="3">
        <f>IF(ORIG!S754=0,"",ORIG!S754)</f>
        <v/>
      </c>
      <c r="T754" s="3">
        <f>IF(ORIG!T754=0,"",ORIG!T754)</f>
        <v/>
      </c>
      <c r="U754" s="3">
        <f>IF(ORIG!U754=0,"",ORIG!U754)</f>
        <v/>
      </c>
      <c r="V754" s="9">
        <f>IF(ORIG!V754=0,"",ORIG!V754)</f>
        <v/>
      </c>
      <c r="W754" s="9">
        <f>IF(ORIG!W754=0,"",ORIG!W754)</f>
        <v/>
      </c>
      <c r="X754" s="9">
        <f>IF(ORIG!X754=0,"",ORIG!X754)</f>
        <v/>
      </c>
      <c r="Y754" s="9">
        <f>IF(ORIG!Y754=0,"",ORIG!Y754)</f>
        <v/>
      </c>
      <c r="Z754" s="3">
        <f>SUMPRODUCT($B754:$Y754,$B$2649:$Y$2649)</f>
        <v/>
      </c>
      <c r="AA754" s="3">
        <f>SUMPRODUCT($B754:$Y754,$B$2655:$Y$2655)</f>
        <v/>
      </c>
      <c r="AC754" s="1">
        <f>A754</f>
        <v/>
      </c>
      <c r="AD754">
        <f>IF(ISNUMBER(V754),V754*($AB$1/V$2635),"")</f>
        <v/>
      </c>
      <c r="AE754">
        <f>IF(ISNUMBER(Z754),Z754*($AB$1/Z$2635),"")</f>
        <v/>
      </c>
      <c r="AF754" s="25">
        <f>IF(ISNUMBER(AD754+AE754),AD754+AE754,"")</f>
        <v/>
      </c>
      <c r="AH754" s="1">
        <f>A754</f>
        <v/>
      </c>
      <c r="AI754">
        <f>IF(ISNUMBER((1+V754)*AI753),(1+V754)*AI753,AI753)</f>
        <v/>
      </c>
      <c r="AJ754">
        <f>IF(ISNUMBER((1+Z754)*AJ753),(1+Z754)*AJ753,AJ753)</f>
        <v/>
      </c>
    </row>
    <row r="755">
      <c r="A755" s="1" t="n">
        <v>43097</v>
      </c>
      <c r="B755" s="3">
        <f>IF(ORIG!B755=0,"",ORIG!B755)</f>
        <v/>
      </c>
      <c r="C755" s="3">
        <f>IF(ORIG!C755=0,"",ORIG!C755)</f>
        <v/>
      </c>
      <c r="D755" s="3">
        <f>IF(ORIG!D755=0,"",ORIG!D755)</f>
        <v/>
      </c>
      <c r="E755" s="3">
        <f>IF(ORIG!E755=0,"",ORIG!E755)</f>
        <v/>
      </c>
      <c r="F755" s="3">
        <f>IF(ORIG!F755=0,"",ORIG!F755)</f>
        <v/>
      </c>
      <c r="G755" s="3">
        <f>IF(ORIG!G755=0,"",ORIG!G755)</f>
        <v/>
      </c>
      <c r="H755" s="3">
        <f>IF(ORIG!H755=0,"",ORIG!H755)</f>
        <v/>
      </c>
      <c r="I755" s="3">
        <f>IF(ORIG!I755=0,"",ORIG!I755)</f>
        <v/>
      </c>
      <c r="J755" s="3">
        <f>IF(ORIG!J755=0,"",ORIG!J755)</f>
        <v/>
      </c>
      <c r="K755" s="3">
        <f>IF(ORIG!K755=0,"",ORIG!K755)</f>
        <v/>
      </c>
      <c r="L755" s="3">
        <f>IF(ORIG!L755=0,"",ORIG!L755)</f>
        <v/>
      </c>
      <c r="M755" s="3">
        <f>IF(ORIG!M755=0,"",ORIG!M755)</f>
        <v/>
      </c>
      <c r="N755" s="3">
        <f>IF(ORIG!N755=0,"",ORIG!N755)</f>
        <v/>
      </c>
      <c r="O755" s="3">
        <f>IF(ORIG!O755=0,"",ORIG!O755)</f>
        <v/>
      </c>
      <c r="P755" s="3">
        <f>IF(ORIG!P755=0,"",ORIG!P755)</f>
        <v/>
      </c>
      <c r="Q755" s="3">
        <f>IF(ORIG!Q755=0,"",ORIG!Q755)</f>
        <v/>
      </c>
      <c r="R755" s="3">
        <f>IF(ORIG!R755=0,"",ORIG!R755)</f>
        <v/>
      </c>
      <c r="S755" s="3">
        <f>IF(ORIG!S755=0,"",ORIG!S755)</f>
        <v/>
      </c>
      <c r="T755" s="3">
        <f>IF(ORIG!T755=0,"",ORIG!T755)</f>
        <v/>
      </c>
      <c r="U755" s="3">
        <f>IF(ORIG!U755=0,"",ORIG!U755)</f>
        <v/>
      </c>
      <c r="V755" s="9">
        <f>IF(ORIG!V755=0,"",ORIG!V755)</f>
        <v/>
      </c>
      <c r="W755" s="9">
        <f>IF(ORIG!W755=0,"",ORIG!W755)</f>
        <v/>
      </c>
      <c r="X755" s="9">
        <f>IF(ORIG!X755=0,"",ORIG!X755)</f>
        <v/>
      </c>
      <c r="Y755" s="9">
        <f>IF(ORIG!Y755=0,"",ORIG!Y755)</f>
        <v/>
      </c>
      <c r="Z755" s="3">
        <f>SUMPRODUCT($B755:$Y755,$B$2649:$Y$2649)</f>
        <v/>
      </c>
      <c r="AA755" s="3">
        <f>SUMPRODUCT($B755:$Y755,$B$2655:$Y$2655)</f>
        <v/>
      </c>
      <c r="AC755" s="1">
        <f>A755</f>
        <v/>
      </c>
      <c r="AD755">
        <f>IF(ISNUMBER(V755),V755*($AB$1/V$2635),"")</f>
        <v/>
      </c>
      <c r="AE755">
        <f>IF(ISNUMBER(Z755),Z755*($AB$1/Z$2635),"")</f>
        <v/>
      </c>
      <c r="AF755" s="25">
        <f>IF(ISNUMBER(AD755+AE755),AD755+AE755,"")</f>
        <v/>
      </c>
      <c r="AH755" s="1">
        <f>A755</f>
        <v/>
      </c>
      <c r="AI755">
        <f>IF(ISNUMBER((1+V755)*AI754),(1+V755)*AI754,AI754)</f>
        <v/>
      </c>
      <c r="AJ755">
        <f>IF(ISNUMBER((1+Z755)*AJ754),(1+Z755)*AJ754,AJ754)</f>
        <v/>
      </c>
    </row>
    <row r="756">
      <c r="A756" s="1" t="n">
        <v>43098</v>
      </c>
      <c r="B756" s="3">
        <f>IF(ORIG!B756=0,"",ORIG!B756)</f>
        <v/>
      </c>
      <c r="C756" s="3">
        <f>IF(ORIG!C756=0,"",ORIG!C756)</f>
        <v/>
      </c>
      <c r="D756" s="3">
        <f>IF(ORIG!D756=0,"",ORIG!D756)</f>
        <v/>
      </c>
      <c r="E756" s="3">
        <f>IF(ORIG!E756=0,"",ORIG!E756)</f>
        <v/>
      </c>
      <c r="F756" s="3">
        <f>IF(ORIG!F756=0,"",ORIG!F756)</f>
        <v/>
      </c>
      <c r="G756" s="3">
        <f>IF(ORIG!G756=0,"",ORIG!G756)</f>
        <v/>
      </c>
      <c r="H756" s="3">
        <f>IF(ORIG!H756=0,"",ORIG!H756)</f>
        <v/>
      </c>
      <c r="I756" s="3">
        <f>IF(ORIG!I756=0,"",ORIG!I756)</f>
        <v/>
      </c>
      <c r="J756" s="3">
        <f>IF(ORIG!J756=0,"",ORIG!J756)</f>
        <v/>
      </c>
      <c r="K756" s="3">
        <f>IF(ORIG!K756=0,"",ORIG!K756)</f>
        <v/>
      </c>
      <c r="L756" s="3">
        <f>IF(ORIG!L756=0,"",ORIG!L756)</f>
        <v/>
      </c>
      <c r="M756" s="3">
        <f>IF(ORIG!M756=0,"",ORIG!M756)</f>
        <v/>
      </c>
      <c r="N756" s="3">
        <f>IF(ORIG!N756=0,"",ORIG!N756)</f>
        <v/>
      </c>
      <c r="O756" s="3">
        <f>IF(ORIG!O756=0,"",ORIG!O756)</f>
        <v/>
      </c>
      <c r="P756" s="3">
        <f>IF(ORIG!P756=0,"",ORIG!P756)</f>
        <v/>
      </c>
      <c r="Q756" s="3">
        <f>IF(ORIG!Q756=0,"",ORIG!Q756)</f>
        <v/>
      </c>
      <c r="R756" s="3">
        <f>IF(ORIG!R756=0,"",ORIG!R756)</f>
        <v/>
      </c>
      <c r="S756" s="3">
        <f>IF(ORIG!S756=0,"",ORIG!S756)</f>
        <v/>
      </c>
      <c r="T756" s="3">
        <f>IF(ORIG!T756=0,"",ORIG!T756)</f>
        <v/>
      </c>
      <c r="U756" s="3">
        <f>IF(ORIG!U756=0,"",ORIG!U756)</f>
        <v/>
      </c>
      <c r="V756" s="9">
        <f>IF(ORIG!V756=0,"",ORIG!V756)</f>
        <v/>
      </c>
      <c r="W756" s="9">
        <f>IF(ORIG!W756=0,"",ORIG!W756)</f>
        <v/>
      </c>
      <c r="X756" s="9">
        <f>IF(ORIG!X756=0,"",ORIG!X756)</f>
        <v/>
      </c>
      <c r="Y756" s="9">
        <f>IF(ORIG!Y756=0,"",ORIG!Y756)</f>
        <v/>
      </c>
      <c r="Z756" s="3">
        <f>SUMPRODUCT($B756:$Y756,$B$2649:$Y$2649)</f>
        <v/>
      </c>
      <c r="AA756" s="3">
        <f>SUMPRODUCT($B756:$Y756,$B$2655:$Y$2655)</f>
        <v/>
      </c>
      <c r="AC756" s="1">
        <f>A756</f>
        <v/>
      </c>
      <c r="AD756">
        <f>IF(ISNUMBER(V756),V756*($AB$1/V$2635),"")</f>
        <v/>
      </c>
      <c r="AE756">
        <f>IF(ISNUMBER(Z756),Z756*($AB$1/Z$2635),"")</f>
        <v/>
      </c>
      <c r="AF756" s="25">
        <f>IF(ISNUMBER(AD756+AE756),AD756+AE756,"")</f>
        <v/>
      </c>
      <c r="AH756" s="1">
        <f>A756</f>
        <v/>
      </c>
      <c r="AI756">
        <f>IF(ISNUMBER((1+V756)*AI755),(1+V756)*AI755,AI755)</f>
        <v/>
      </c>
      <c r="AJ756">
        <f>IF(ISNUMBER((1+Z756)*AJ755),(1+Z756)*AJ755,AJ755)</f>
        <v/>
      </c>
    </row>
    <row r="757">
      <c r="A757" s="1" t="n">
        <v>43102</v>
      </c>
      <c r="B757" s="3">
        <f>IF(ORIG!B757=0,"",ORIG!B757)</f>
        <v/>
      </c>
      <c r="C757" s="3">
        <f>IF(ORIG!C757=0,"",ORIG!C757)</f>
        <v/>
      </c>
      <c r="D757" s="3">
        <f>IF(ORIG!D757=0,"",ORIG!D757)</f>
        <v/>
      </c>
      <c r="E757" s="3">
        <f>IF(ORIG!E757=0,"",ORIG!E757)</f>
        <v/>
      </c>
      <c r="F757" s="3">
        <f>IF(ORIG!F757=0,"",ORIG!F757)</f>
        <v/>
      </c>
      <c r="G757" s="3">
        <f>IF(ORIG!G757=0,"",ORIG!G757)</f>
        <v/>
      </c>
      <c r="H757" s="3">
        <f>IF(ORIG!H757=0,"",ORIG!H757)</f>
        <v/>
      </c>
      <c r="I757" s="3">
        <f>IF(ORIG!I757=0,"",ORIG!I757)</f>
        <v/>
      </c>
      <c r="J757" s="3">
        <f>IF(ORIG!J757=0,"",ORIG!J757)</f>
        <v/>
      </c>
      <c r="K757" s="3">
        <f>IF(ORIG!K757=0,"",ORIG!K757)</f>
        <v/>
      </c>
      <c r="L757" s="3">
        <f>IF(ORIG!L757=0,"",ORIG!L757)</f>
        <v/>
      </c>
      <c r="M757" s="3">
        <f>IF(ORIG!M757=0,"",ORIG!M757)</f>
        <v/>
      </c>
      <c r="N757" s="3">
        <f>IF(ORIG!N757=0,"",ORIG!N757)</f>
        <v/>
      </c>
      <c r="O757" s="3">
        <f>IF(ORIG!O757=0,"",ORIG!O757)</f>
        <v/>
      </c>
      <c r="P757" s="3">
        <f>IF(ORIG!P757=0,"",ORIG!P757)</f>
        <v/>
      </c>
      <c r="Q757" s="3">
        <f>IF(ORIG!Q757=0,"",ORIG!Q757)</f>
        <v/>
      </c>
      <c r="R757" s="3">
        <f>IF(ORIG!R757=0,"",ORIG!R757)</f>
        <v/>
      </c>
      <c r="S757" s="3">
        <f>IF(ORIG!S757=0,"",ORIG!S757)</f>
        <v/>
      </c>
      <c r="T757" s="3">
        <f>IF(ORIG!T757=0,"",ORIG!T757)</f>
        <v/>
      </c>
      <c r="U757" s="3">
        <f>IF(ORIG!U757=0,"",ORIG!U757)</f>
        <v/>
      </c>
      <c r="V757" s="9">
        <f>IF(ORIG!V757=0,"",ORIG!V757)</f>
        <v/>
      </c>
      <c r="W757" s="9">
        <f>IF(ORIG!W757=0,"",ORIG!W757)</f>
        <v/>
      </c>
      <c r="X757" s="9">
        <f>IF(ORIG!X757=0,"",ORIG!X757)</f>
        <v/>
      </c>
      <c r="Y757" s="9">
        <f>IF(ORIG!Y757=0,"",ORIG!Y757)</f>
        <v/>
      </c>
      <c r="Z757" s="3">
        <f>SUMPRODUCT($B757:$Y757,$B$2649:$Y$2649)</f>
        <v/>
      </c>
      <c r="AA757" s="3">
        <f>SUMPRODUCT($B757:$Y757,$B$2655:$Y$2655)</f>
        <v/>
      </c>
      <c r="AC757" s="1">
        <f>A757</f>
        <v/>
      </c>
      <c r="AD757">
        <f>IF(ISNUMBER(V757),V757*($AB$1/V$2635),"")</f>
        <v/>
      </c>
      <c r="AE757">
        <f>IF(ISNUMBER(Z757),Z757*($AB$1/Z$2635),"")</f>
        <v/>
      </c>
      <c r="AF757" s="25">
        <f>IF(ISNUMBER(AD757+AE757),AD757+AE757,"")</f>
        <v/>
      </c>
      <c r="AH757" s="1">
        <f>A757</f>
        <v/>
      </c>
      <c r="AI757">
        <f>IF(ISNUMBER((1+V757)*AI756),(1+V757)*AI756,AI756)</f>
        <v/>
      </c>
      <c r="AJ757">
        <f>IF(ISNUMBER((1+Z757)*AJ756),(1+Z757)*AJ756,AJ756)</f>
        <v/>
      </c>
    </row>
    <row r="758">
      <c r="A758" s="1" t="n">
        <v>43103</v>
      </c>
      <c r="B758" s="3">
        <f>IF(ORIG!B758=0,"",ORIG!B758)</f>
        <v/>
      </c>
      <c r="C758" s="3">
        <f>IF(ORIG!C758=0,"",ORIG!C758)</f>
        <v/>
      </c>
      <c r="D758" s="3">
        <f>IF(ORIG!D758=0,"",ORIG!D758)</f>
        <v/>
      </c>
      <c r="E758" s="3">
        <f>IF(ORIG!E758=0,"",ORIG!E758)</f>
        <v/>
      </c>
      <c r="F758" s="3">
        <f>IF(ORIG!F758=0,"",ORIG!F758)</f>
        <v/>
      </c>
      <c r="G758" s="3">
        <f>IF(ORIG!G758=0,"",ORIG!G758)</f>
        <v/>
      </c>
      <c r="H758" s="3">
        <f>IF(ORIG!H758=0,"",ORIG!H758)</f>
        <v/>
      </c>
      <c r="I758" s="3">
        <f>IF(ORIG!I758=0,"",ORIG!I758)</f>
        <v/>
      </c>
      <c r="J758" s="3">
        <f>IF(ORIG!J758=0,"",ORIG!J758)</f>
        <v/>
      </c>
      <c r="K758" s="3">
        <f>IF(ORIG!K758=0,"",ORIG!K758)</f>
        <v/>
      </c>
      <c r="L758" s="3">
        <f>IF(ORIG!L758=0,"",ORIG!L758)</f>
        <v/>
      </c>
      <c r="M758" s="3">
        <f>IF(ORIG!M758=0,"",ORIG!M758)</f>
        <v/>
      </c>
      <c r="N758" s="3">
        <f>IF(ORIG!N758=0,"",ORIG!N758)</f>
        <v/>
      </c>
      <c r="O758" s="3">
        <f>IF(ORIG!O758=0,"",ORIG!O758)</f>
        <v/>
      </c>
      <c r="P758" s="3">
        <f>IF(ORIG!P758=0,"",ORIG!P758)</f>
        <v/>
      </c>
      <c r="Q758" s="3">
        <f>IF(ORIG!Q758=0,"",ORIG!Q758)</f>
        <v/>
      </c>
      <c r="R758" s="3">
        <f>IF(ORIG!R758=0,"",ORIG!R758)</f>
        <v/>
      </c>
      <c r="S758" s="3">
        <f>IF(ORIG!S758=0,"",ORIG!S758)</f>
        <v/>
      </c>
      <c r="T758" s="3">
        <f>IF(ORIG!T758=0,"",ORIG!T758)</f>
        <v/>
      </c>
      <c r="U758" s="3">
        <f>IF(ORIG!U758=0,"",ORIG!U758)</f>
        <v/>
      </c>
      <c r="V758" s="9">
        <f>IF(ORIG!V758=0,"",ORIG!V758)</f>
        <v/>
      </c>
      <c r="W758" s="9">
        <f>IF(ORIG!W758=0,"",ORIG!W758)</f>
        <v/>
      </c>
      <c r="X758" s="9">
        <f>IF(ORIG!X758=0,"",ORIG!X758)</f>
        <v/>
      </c>
      <c r="Y758" s="9">
        <f>IF(ORIG!Y758=0,"",ORIG!Y758)</f>
        <v/>
      </c>
      <c r="Z758" s="3">
        <f>SUMPRODUCT($B758:$Y758,$B$2649:$Y$2649)</f>
        <v/>
      </c>
      <c r="AA758" s="3">
        <f>SUMPRODUCT($B758:$Y758,$B$2655:$Y$2655)</f>
        <v/>
      </c>
      <c r="AC758" s="1">
        <f>A758</f>
        <v/>
      </c>
      <c r="AD758">
        <f>IF(ISNUMBER(V758),V758*($AB$1/V$2635),"")</f>
        <v/>
      </c>
      <c r="AE758">
        <f>IF(ISNUMBER(Z758),Z758*($AB$1/Z$2635),"")</f>
        <v/>
      </c>
      <c r="AF758" s="25">
        <f>IF(ISNUMBER(AD758+AE758),AD758+AE758,"")</f>
        <v/>
      </c>
      <c r="AH758" s="1">
        <f>A758</f>
        <v/>
      </c>
      <c r="AI758">
        <f>IF(ISNUMBER((1+V758)*AI757),(1+V758)*AI757,AI757)</f>
        <v/>
      </c>
      <c r="AJ758">
        <f>IF(ISNUMBER((1+Z758)*AJ757),(1+Z758)*AJ757,AJ757)</f>
        <v/>
      </c>
    </row>
    <row r="759">
      <c r="A759" s="1" t="n">
        <v>43104</v>
      </c>
      <c r="B759" s="3">
        <f>IF(ORIG!B759=0,"",ORIG!B759)</f>
        <v/>
      </c>
      <c r="C759" s="3">
        <f>IF(ORIG!C759=0,"",ORIG!C759)</f>
        <v/>
      </c>
      <c r="D759" s="3">
        <f>IF(ORIG!D759=0,"",ORIG!D759)</f>
        <v/>
      </c>
      <c r="E759" s="3">
        <f>IF(ORIG!E759=0,"",ORIG!E759)</f>
        <v/>
      </c>
      <c r="F759" s="3">
        <f>IF(ORIG!F759=0,"",ORIG!F759)</f>
        <v/>
      </c>
      <c r="G759" s="3">
        <f>IF(ORIG!G759=0,"",ORIG!G759)</f>
        <v/>
      </c>
      <c r="H759" s="3">
        <f>IF(ORIG!H759=0,"",ORIG!H759)</f>
        <v/>
      </c>
      <c r="I759" s="3">
        <f>IF(ORIG!I759=0,"",ORIG!I759)</f>
        <v/>
      </c>
      <c r="J759" s="3">
        <f>IF(ORIG!J759=0,"",ORIG!J759)</f>
        <v/>
      </c>
      <c r="K759" s="3">
        <f>IF(ORIG!K759=0,"",ORIG!K759)</f>
        <v/>
      </c>
      <c r="L759" s="3">
        <f>IF(ORIG!L759=0,"",ORIG!L759)</f>
        <v/>
      </c>
      <c r="M759" s="3">
        <f>IF(ORIG!M759=0,"",ORIG!M759)</f>
        <v/>
      </c>
      <c r="N759" s="3">
        <f>IF(ORIG!N759=0,"",ORIG!N759)</f>
        <v/>
      </c>
      <c r="O759" s="3">
        <f>IF(ORIG!O759=0,"",ORIG!O759)</f>
        <v/>
      </c>
      <c r="P759" s="3">
        <f>IF(ORIG!P759=0,"",ORIG!P759)</f>
        <v/>
      </c>
      <c r="Q759" s="3">
        <f>IF(ORIG!Q759=0,"",ORIG!Q759)</f>
        <v/>
      </c>
      <c r="R759" s="3">
        <f>IF(ORIG!R759=0,"",ORIG!R759)</f>
        <v/>
      </c>
      <c r="S759" s="3">
        <f>IF(ORIG!S759=0,"",ORIG!S759)</f>
        <v/>
      </c>
      <c r="T759" s="3">
        <f>IF(ORIG!T759=0,"",ORIG!T759)</f>
        <v/>
      </c>
      <c r="U759" s="3">
        <f>IF(ORIG!U759=0,"",ORIG!U759)</f>
        <v/>
      </c>
      <c r="V759" s="9">
        <f>IF(ORIG!V759=0,"",ORIG!V759)</f>
        <v/>
      </c>
      <c r="W759" s="9">
        <f>IF(ORIG!W759=0,"",ORIG!W759)</f>
        <v/>
      </c>
      <c r="X759" s="9">
        <f>IF(ORIG!X759=0,"",ORIG!X759)</f>
        <v/>
      </c>
      <c r="Y759" s="9">
        <f>IF(ORIG!Y759=0,"",ORIG!Y759)</f>
        <v/>
      </c>
      <c r="Z759" s="3">
        <f>SUMPRODUCT($B759:$Y759,$B$2649:$Y$2649)</f>
        <v/>
      </c>
      <c r="AA759" s="3">
        <f>SUMPRODUCT($B759:$Y759,$B$2655:$Y$2655)</f>
        <v/>
      </c>
      <c r="AC759" s="1">
        <f>A759</f>
        <v/>
      </c>
      <c r="AD759">
        <f>IF(ISNUMBER(V759),V759*($AB$1/V$2635),"")</f>
        <v/>
      </c>
      <c r="AE759">
        <f>IF(ISNUMBER(Z759),Z759*($AB$1/Z$2635),"")</f>
        <v/>
      </c>
      <c r="AF759" s="25">
        <f>IF(ISNUMBER(AD759+AE759),AD759+AE759,"")</f>
        <v/>
      </c>
      <c r="AH759" s="1">
        <f>A759</f>
        <v/>
      </c>
      <c r="AI759">
        <f>IF(ISNUMBER((1+V759)*AI758),(1+V759)*AI758,AI758)</f>
        <v/>
      </c>
      <c r="AJ759">
        <f>IF(ISNUMBER((1+Z759)*AJ758),(1+Z759)*AJ758,AJ758)</f>
        <v/>
      </c>
    </row>
    <row r="760">
      <c r="A760" s="1" t="n">
        <v>43105</v>
      </c>
      <c r="B760" s="3">
        <f>IF(ORIG!B760=0,"",ORIG!B760)</f>
        <v/>
      </c>
      <c r="C760" s="3">
        <f>IF(ORIG!C760=0,"",ORIG!C760)</f>
        <v/>
      </c>
      <c r="D760" s="3">
        <f>IF(ORIG!D760=0,"",ORIG!D760)</f>
        <v/>
      </c>
      <c r="E760" s="3">
        <f>IF(ORIG!E760=0,"",ORIG!E760)</f>
        <v/>
      </c>
      <c r="F760" s="3">
        <f>IF(ORIG!F760=0,"",ORIG!F760)</f>
        <v/>
      </c>
      <c r="G760" s="3">
        <f>IF(ORIG!G760=0,"",ORIG!G760)</f>
        <v/>
      </c>
      <c r="H760" s="3">
        <f>IF(ORIG!H760=0,"",ORIG!H760)</f>
        <v/>
      </c>
      <c r="I760" s="3">
        <f>IF(ORIG!I760=0,"",ORIG!I760)</f>
        <v/>
      </c>
      <c r="J760" s="3">
        <f>IF(ORIG!J760=0,"",ORIG!J760)</f>
        <v/>
      </c>
      <c r="K760" s="3">
        <f>IF(ORIG!K760=0,"",ORIG!K760)</f>
        <v/>
      </c>
      <c r="L760" s="3">
        <f>IF(ORIG!L760=0,"",ORIG!L760)</f>
        <v/>
      </c>
      <c r="M760" s="3">
        <f>IF(ORIG!M760=0,"",ORIG!M760)</f>
        <v/>
      </c>
      <c r="N760" s="3">
        <f>IF(ORIG!N760=0,"",ORIG!N760)</f>
        <v/>
      </c>
      <c r="O760" s="3">
        <f>IF(ORIG!O760=0,"",ORIG!O760)</f>
        <v/>
      </c>
      <c r="P760" s="3">
        <f>IF(ORIG!P760=0,"",ORIG!P760)</f>
        <v/>
      </c>
      <c r="Q760" s="3">
        <f>IF(ORIG!Q760=0,"",ORIG!Q760)</f>
        <v/>
      </c>
      <c r="R760" s="3">
        <f>IF(ORIG!R760=0,"",ORIG!R760)</f>
        <v/>
      </c>
      <c r="S760" s="3">
        <f>IF(ORIG!S760=0,"",ORIG!S760)</f>
        <v/>
      </c>
      <c r="T760" s="3">
        <f>IF(ORIG!T760=0,"",ORIG!T760)</f>
        <v/>
      </c>
      <c r="U760" s="3">
        <f>IF(ORIG!U760=0,"",ORIG!U760)</f>
        <v/>
      </c>
      <c r="V760" s="9">
        <f>IF(ORIG!V760=0,"",ORIG!V760)</f>
        <v/>
      </c>
      <c r="W760" s="9">
        <f>IF(ORIG!W760=0,"",ORIG!W760)</f>
        <v/>
      </c>
      <c r="X760" s="9">
        <f>IF(ORIG!X760=0,"",ORIG!X760)</f>
        <v/>
      </c>
      <c r="Y760" s="9">
        <f>IF(ORIG!Y760=0,"",ORIG!Y760)</f>
        <v/>
      </c>
      <c r="Z760" s="3">
        <f>SUMPRODUCT($B760:$Y760,$B$2649:$Y$2649)</f>
        <v/>
      </c>
      <c r="AA760" s="3">
        <f>SUMPRODUCT($B760:$Y760,$B$2655:$Y$2655)</f>
        <v/>
      </c>
      <c r="AC760" s="1">
        <f>A760</f>
        <v/>
      </c>
      <c r="AD760">
        <f>IF(ISNUMBER(V760),V760*($AB$1/V$2635),"")</f>
        <v/>
      </c>
      <c r="AE760">
        <f>IF(ISNUMBER(Z760),Z760*($AB$1/Z$2635),"")</f>
        <v/>
      </c>
      <c r="AF760" s="25">
        <f>IF(ISNUMBER(AD760+AE760),AD760+AE760,"")</f>
        <v/>
      </c>
      <c r="AH760" s="1">
        <f>A760</f>
        <v/>
      </c>
      <c r="AI760">
        <f>IF(ISNUMBER((1+V760)*AI759),(1+V760)*AI759,AI759)</f>
        <v/>
      </c>
      <c r="AJ760">
        <f>IF(ISNUMBER((1+Z760)*AJ759),(1+Z760)*AJ759,AJ759)</f>
        <v/>
      </c>
    </row>
    <row r="761">
      <c r="A761" s="1" t="n">
        <v>43108</v>
      </c>
      <c r="B761" s="3">
        <f>IF(ORIG!B761=0,"",ORIG!B761)</f>
        <v/>
      </c>
      <c r="C761" s="3">
        <f>IF(ORIG!C761=0,"",ORIG!C761)</f>
        <v/>
      </c>
      <c r="D761" s="3">
        <f>IF(ORIG!D761=0,"",ORIG!D761)</f>
        <v/>
      </c>
      <c r="E761" s="3">
        <f>IF(ORIG!E761=0,"",ORIG!E761)</f>
        <v/>
      </c>
      <c r="F761" s="3">
        <f>IF(ORIG!F761=0,"",ORIG!F761)</f>
        <v/>
      </c>
      <c r="G761" s="3">
        <f>IF(ORIG!G761=0,"",ORIG!G761)</f>
        <v/>
      </c>
      <c r="H761" s="3">
        <f>IF(ORIG!H761=0,"",ORIG!H761)</f>
        <v/>
      </c>
      <c r="I761" s="3">
        <f>IF(ORIG!I761=0,"",ORIG!I761)</f>
        <v/>
      </c>
      <c r="J761" s="3">
        <f>IF(ORIG!J761=0,"",ORIG!J761)</f>
        <v/>
      </c>
      <c r="K761" s="3">
        <f>IF(ORIG!K761=0,"",ORIG!K761)</f>
        <v/>
      </c>
      <c r="L761" s="3">
        <f>IF(ORIG!L761=0,"",ORIG!L761)</f>
        <v/>
      </c>
      <c r="M761" s="3">
        <f>IF(ORIG!M761=0,"",ORIG!M761)</f>
        <v/>
      </c>
      <c r="N761" s="3">
        <f>IF(ORIG!N761=0,"",ORIG!N761)</f>
        <v/>
      </c>
      <c r="O761" s="3">
        <f>IF(ORIG!O761=0,"",ORIG!O761)</f>
        <v/>
      </c>
      <c r="P761" s="3">
        <f>IF(ORIG!P761=0,"",ORIG!P761)</f>
        <v/>
      </c>
      <c r="Q761" s="3">
        <f>IF(ORIG!Q761=0,"",ORIG!Q761)</f>
        <v/>
      </c>
      <c r="R761" s="3">
        <f>IF(ORIG!R761=0,"",ORIG!R761)</f>
        <v/>
      </c>
      <c r="S761" s="3">
        <f>IF(ORIG!S761=0,"",ORIG!S761)</f>
        <v/>
      </c>
      <c r="T761" s="3">
        <f>IF(ORIG!T761=0,"",ORIG!T761)</f>
        <v/>
      </c>
      <c r="U761" s="3">
        <f>IF(ORIG!U761=0,"",ORIG!U761)</f>
        <v/>
      </c>
      <c r="V761" s="9">
        <f>IF(ORIG!V761=0,"",ORIG!V761)</f>
        <v/>
      </c>
      <c r="W761" s="9">
        <f>IF(ORIG!W761=0,"",ORIG!W761)</f>
        <v/>
      </c>
      <c r="X761" s="9">
        <f>IF(ORIG!X761=0,"",ORIG!X761)</f>
        <v/>
      </c>
      <c r="Y761" s="9">
        <f>IF(ORIG!Y761=0,"",ORIG!Y761)</f>
        <v/>
      </c>
      <c r="Z761" s="3">
        <f>SUMPRODUCT($B761:$Y761,$B$2649:$Y$2649)</f>
        <v/>
      </c>
      <c r="AA761" s="3">
        <f>SUMPRODUCT($B761:$Y761,$B$2655:$Y$2655)</f>
        <v/>
      </c>
      <c r="AC761" s="1">
        <f>A761</f>
        <v/>
      </c>
      <c r="AD761">
        <f>IF(ISNUMBER(V761),V761*($AB$1/V$2635),"")</f>
        <v/>
      </c>
      <c r="AE761">
        <f>IF(ISNUMBER(Z761),Z761*($AB$1/Z$2635),"")</f>
        <v/>
      </c>
      <c r="AF761" s="25">
        <f>IF(ISNUMBER(AD761+AE761),AD761+AE761,"")</f>
        <v/>
      </c>
      <c r="AH761" s="1">
        <f>A761</f>
        <v/>
      </c>
      <c r="AI761">
        <f>IF(ISNUMBER((1+V761)*AI760),(1+V761)*AI760,AI760)</f>
        <v/>
      </c>
      <c r="AJ761">
        <f>IF(ISNUMBER((1+Z761)*AJ760),(1+Z761)*AJ760,AJ760)</f>
        <v/>
      </c>
    </row>
    <row r="762">
      <c r="A762" s="1" t="n">
        <v>43109</v>
      </c>
      <c r="B762" s="3">
        <f>IF(ORIG!B762=0,"",ORIG!B762)</f>
        <v/>
      </c>
      <c r="C762" s="3">
        <f>IF(ORIG!C762=0,"",ORIG!C762)</f>
        <v/>
      </c>
      <c r="D762" s="3">
        <f>IF(ORIG!D762=0,"",ORIG!D762)</f>
        <v/>
      </c>
      <c r="E762" s="3">
        <f>IF(ORIG!E762=0,"",ORIG!E762)</f>
        <v/>
      </c>
      <c r="F762" s="3">
        <f>IF(ORIG!F762=0,"",ORIG!F762)</f>
        <v/>
      </c>
      <c r="G762" s="3">
        <f>IF(ORIG!G762=0,"",ORIG!G762)</f>
        <v/>
      </c>
      <c r="H762" s="3">
        <f>IF(ORIG!H762=0,"",ORIG!H762)</f>
        <v/>
      </c>
      <c r="I762" s="3">
        <f>IF(ORIG!I762=0,"",ORIG!I762)</f>
        <v/>
      </c>
      <c r="J762" s="3">
        <f>IF(ORIG!J762=0,"",ORIG!J762)</f>
        <v/>
      </c>
      <c r="K762" s="3">
        <f>IF(ORIG!K762=0,"",ORIG!K762)</f>
        <v/>
      </c>
      <c r="L762" s="3">
        <f>IF(ORIG!L762=0,"",ORIG!L762)</f>
        <v/>
      </c>
      <c r="M762" s="3">
        <f>IF(ORIG!M762=0,"",ORIG!M762)</f>
        <v/>
      </c>
      <c r="N762" s="3">
        <f>IF(ORIG!N762=0,"",ORIG!N762)</f>
        <v/>
      </c>
      <c r="O762" s="3">
        <f>IF(ORIG!O762=0,"",ORIG!O762)</f>
        <v/>
      </c>
      <c r="P762" s="3">
        <f>IF(ORIG!P762=0,"",ORIG!P762)</f>
        <v/>
      </c>
      <c r="Q762" s="3">
        <f>IF(ORIG!Q762=0,"",ORIG!Q762)</f>
        <v/>
      </c>
      <c r="R762" s="3">
        <f>IF(ORIG!R762=0,"",ORIG!R762)</f>
        <v/>
      </c>
      <c r="S762" s="3">
        <f>IF(ORIG!S762=0,"",ORIG!S762)</f>
        <v/>
      </c>
      <c r="T762" s="3">
        <f>IF(ORIG!T762=0,"",ORIG!T762)</f>
        <v/>
      </c>
      <c r="U762" s="3">
        <f>IF(ORIG!U762=0,"",ORIG!U762)</f>
        <v/>
      </c>
      <c r="V762" s="9">
        <f>IF(ORIG!V762=0,"",ORIG!V762)</f>
        <v/>
      </c>
      <c r="W762" s="9">
        <f>IF(ORIG!W762=0,"",ORIG!W762)</f>
        <v/>
      </c>
      <c r="X762" s="9">
        <f>IF(ORIG!X762=0,"",ORIG!X762)</f>
        <v/>
      </c>
      <c r="Y762" s="9">
        <f>IF(ORIG!Y762=0,"",ORIG!Y762)</f>
        <v/>
      </c>
      <c r="Z762" s="3">
        <f>SUMPRODUCT($B762:$Y762,$B$2649:$Y$2649)</f>
        <v/>
      </c>
      <c r="AA762" s="3">
        <f>SUMPRODUCT($B762:$Y762,$B$2655:$Y$2655)</f>
        <v/>
      </c>
      <c r="AC762" s="1">
        <f>A762</f>
        <v/>
      </c>
      <c r="AD762">
        <f>IF(ISNUMBER(V762),V762*($AB$1/V$2635),"")</f>
        <v/>
      </c>
      <c r="AE762">
        <f>IF(ISNUMBER(Z762),Z762*($AB$1/Z$2635),"")</f>
        <v/>
      </c>
      <c r="AF762" s="25">
        <f>IF(ISNUMBER(AD762+AE762),AD762+AE762,"")</f>
        <v/>
      </c>
      <c r="AH762" s="1">
        <f>A762</f>
        <v/>
      </c>
      <c r="AI762">
        <f>IF(ISNUMBER((1+V762)*AI761),(1+V762)*AI761,AI761)</f>
        <v/>
      </c>
      <c r="AJ762">
        <f>IF(ISNUMBER((1+Z762)*AJ761),(1+Z762)*AJ761,AJ761)</f>
        <v/>
      </c>
    </row>
    <row r="763">
      <c r="A763" s="1" t="n">
        <v>43110</v>
      </c>
      <c r="B763" s="3">
        <f>IF(ORIG!B763=0,"",ORIG!B763)</f>
        <v/>
      </c>
      <c r="C763" s="3">
        <f>IF(ORIG!C763=0,"",ORIG!C763)</f>
        <v/>
      </c>
      <c r="D763" s="3">
        <f>IF(ORIG!D763=0,"",ORIG!D763)</f>
        <v/>
      </c>
      <c r="E763" s="3">
        <f>IF(ORIG!E763=0,"",ORIG!E763)</f>
        <v/>
      </c>
      <c r="F763" s="3">
        <f>IF(ORIG!F763=0,"",ORIG!F763)</f>
        <v/>
      </c>
      <c r="G763" s="3">
        <f>IF(ORIG!G763=0,"",ORIG!G763)</f>
        <v/>
      </c>
      <c r="H763" s="3">
        <f>IF(ORIG!H763=0,"",ORIG!H763)</f>
        <v/>
      </c>
      <c r="I763" s="3">
        <f>IF(ORIG!I763=0,"",ORIG!I763)</f>
        <v/>
      </c>
      <c r="J763" s="3">
        <f>IF(ORIG!J763=0,"",ORIG!J763)</f>
        <v/>
      </c>
      <c r="K763" s="3">
        <f>IF(ORIG!K763=0,"",ORIG!K763)</f>
        <v/>
      </c>
      <c r="L763" s="3">
        <f>IF(ORIG!L763=0,"",ORIG!L763)</f>
        <v/>
      </c>
      <c r="M763" s="3">
        <f>IF(ORIG!M763=0,"",ORIG!M763)</f>
        <v/>
      </c>
      <c r="N763" s="3">
        <f>IF(ORIG!N763=0,"",ORIG!N763)</f>
        <v/>
      </c>
      <c r="O763" s="3">
        <f>IF(ORIG!O763=0,"",ORIG!O763)</f>
        <v/>
      </c>
      <c r="P763" s="3">
        <f>IF(ORIG!P763=0,"",ORIG!P763)</f>
        <v/>
      </c>
      <c r="Q763" s="3">
        <f>IF(ORIG!Q763=0,"",ORIG!Q763)</f>
        <v/>
      </c>
      <c r="R763" s="3">
        <f>IF(ORIG!R763=0,"",ORIG!R763)</f>
        <v/>
      </c>
      <c r="S763" s="3">
        <f>IF(ORIG!S763=0,"",ORIG!S763)</f>
        <v/>
      </c>
      <c r="T763" s="3">
        <f>IF(ORIG!T763=0,"",ORIG!T763)</f>
        <v/>
      </c>
      <c r="U763" s="3">
        <f>IF(ORIG!U763=0,"",ORIG!U763)</f>
        <v/>
      </c>
      <c r="V763" s="9">
        <f>IF(ORIG!V763=0,"",ORIG!V763)</f>
        <v/>
      </c>
      <c r="W763" s="9">
        <f>IF(ORIG!W763=0,"",ORIG!W763)</f>
        <v/>
      </c>
      <c r="X763" s="9">
        <f>IF(ORIG!X763=0,"",ORIG!X763)</f>
        <v/>
      </c>
      <c r="Y763" s="9">
        <f>IF(ORIG!Y763=0,"",ORIG!Y763)</f>
        <v/>
      </c>
      <c r="Z763" s="3">
        <f>SUMPRODUCT($B763:$Y763,$B$2649:$Y$2649)</f>
        <v/>
      </c>
      <c r="AA763" s="3">
        <f>SUMPRODUCT($B763:$Y763,$B$2655:$Y$2655)</f>
        <v/>
      </c>
      <c r="AC763" s="1">
        <f>A763</f>
        <v/>
      </c>
      <c r="AD763">
        <f>IF(ISNUMBER(V763),V763*($AB$1/V$2635),"")</f>
        <v/>
      </c>
      <c r="AE763">
        <f>IF(ISNUMBER(Z763),Z763*($AB$1/Z$2635),"")</f>
        <v/>
      </c>
      <c r="AF763" s="25">
        <f>IF(ISNUMBER(AD763+AE763),AD763+AE763,"")</f>
        <v/>
      </c>
      <c r="AH763" s="1">
        <f>A763</f>
        <v/>
      </c>
      <c r="AI763">
        <f>IF(ISNUMBER((1+V763)*AI762),(1+V763)*AI762,AI762)</f>
        <v/>
      </c>
      <c r="AJ763">
        <f>IF(ISNUMBER((1+Z763)*AJ762),(1+Z763)*AJ762,AJ762)</f>
        <v/>
      </c>
    </row>
    <row r="764">
      <c r="A764" s="1" t="n">
        <v>43111</v>
      </c>
      <c r="B764" s="3">
        <f>IF(ORIG!B764=0,"",ORIG!B764)</f>
        <v/>
      </c>
      <c r="C764" s="3">
        <f>IF(ORIG!C764=0,"",ORIG!C764)</f>
        <v/>
      </c>
      <c r="D764" s="3">
        <f>IF(ORIG!D764=0,"",ORIG!D764)</f>
        <v/>
      </c>
      <c r="E764" s="3">
        <f>IF(ORIG!E764=0,"",ORIG!E764)</f>
        <v/>
      </c>
      <c r="F764" s="3">
        <f>IF(ORIG!F764=0,"",ORIG!F764)</f>
        <v/>
      </c>
      <c r="G764" s="3">
        <f>IF(ORIG!G764=0,"",ORIG!G764)</f>
        <v/>
      </c>
      <c r="H764" s="3">
        <f>IF(ORIG!H764=0,"",ORIG!H764)</f>
        <v/>
      </c>
      <c r="I764" s="3">
        <f>IF(ORIG!I764=0,"",ORIG!I764)</f>
        <v/>
      </c>
      <c r="J764" s="3">
        <f>IF(ORIG!J764=0,"",ORIG!J764)</f>
        <v/>
      </c>
      <c r="K764" s="3">
        <f>IF(ORIG!K764=0,"",ORIG!K764)</f>
        <v/>
      </c>
      <c r="L764" s="3">
        <f>IF(ORIG!L764=0,"",ORIG!L764)</f>
        <v/>
      </c>
      <c r="M764" s="3">
        <f>IF(ORIG!M764=0,"",ORIG!M764)</f>
        <v/>
      </c>
      <c r="N764" s="3">
        <f>IF(ORIG!N764=0,"",ORIG!N764)</f>
        <v/>
      </c>
      <c r="O764" s="3">
        <f>IF(ORIG!O764=0,"",ORIG!O764)</f>
        <v/>
      </c>
      <c r="P764" s="3">
        <f>IF(ORIG!P764=0,"",ORIG!P764)</f>
        <v/>
      </c>
      <c r="Q764" s="3">
        <f>IF(ORIG!Q764=0,"",ORIG!Q764)</f>
        <v/>
      </c>
      <c r="R764" s="3">
        <f>IF(ORIG!R764=0,"",ORIG!R764)</f>
        <v/>
      </c>
      <c r="S764" s="3">
        <f>IF(ORIG!S764=0,"",ORIG!S764)</f>
        <v/>
      </c>
      <c r="T764" s="3">
        <f>IF(ORIG!T764=0,"",ORIG!T764)</f>
        <v/>
      </c>
      <c r="U764" s="3">
        <f>IF(ORIG!U764=0,"",ORIG!U764)</f>
        <v/>
      </c>
      <c r="V764" s="9">
        <f>IF(ORIG!V764=0,"",ORIG!V764)</f>
        <v/>
      </c>
      <c r="W764" s="9">
        <f>IF(ORIG!W764=0,"",ORIG!W764)</f>
        <v/>
      </c>
      <c r="X764" s="9">
        <f>IF(ORIG!X764=0,"",ORIG!X764)</f>
        <v/>
      </c>
      <c r="Y764" s="9">
        <f>IF(ORIG!Y764=0,"",ORIG!Y764)</f>
        <v/>
      </c>
      <c r="Z764" s="3">
        <f>SUMPRODUCT($B764:$Y764,$B$2649:$Y$2649)</f>
        <v/>
      </c>
      <c r="AA764" s="3">
        <f>SUMPRODUCT($B764:$Y764,$B$2655:$Y$2655)</f>
        <v/>
      </c>
      <c r="AC764" s="1">
        <f>A764</f>
        <v/>
      </c>
      <c r="AD764">
        <f>IF(ISNUMBER(V764),V764*($AB$1/V$2635),"")</f>
        <v/>
      </c>
      <c r="AE764">
        <f>IF(ISNUMBER(Z764),Z764*($AB$1/Z$2635),"")</f>
        <v/>
      </c>
      <c r="AF764" s="25">
        <f>IF(ISNUMBER(AD764+AE764),AD764+AE764,"")</f>
        <v/>
      </c>
      <c r="AH764" s="1">
        <f>A764</f>
        <v/>
      </c>
      <c r="AI764">
        <f>IF(ISNUMBER((1+V764)*AI763),(1+V764)*AI763,AI763)</f>
        <v/>
      </c>
      <c r="AJ764">
        <f>IF(ISNUMBER((1+Z764)*AJ763),(1+Z764)*AJ763,AJ763)</f>
        <v/>
      </c>
    </row>
    <row r="765">
      <c r="A765" s="1" t="n">
        <v>43112</v>
      </c>
      <c r="B765" s="3">
        <f>IF(ORIG!B765=0,"",ORIG!B765)</f>
        <v/>
      </c>
      <c r="C765" s="3">
        <f>IF(ORIG!C765=0,"",ORIG!C765)</f>
        <v/>
      </c>
      <c r="D765" s="3">
        <f>IF(ORIG!D765=0,"",ORIG!D765)</f>
        <v/>
      </c>
      <c r="E765" s="3">
        <f>IF(ORIG!E765=0,"",ORIG!E765)</f>
        <v/>
      </c>
      <c r="F765" s="3">
        <f>IF(ORIG!F765=0,"",ORIG!F765)</f>
        <v/>
      </c>
      <c r="G765" s="3">
        <f>IF(ORIG!G765=0,"",ORIG!G765)</f>
        <v/>
      </c>
      <c r="H765" s="3">
        <f>IF(ORIG!H765=0,"",ORIG!H765)</f>
        <v/>
      </c>
      <c r="I765" s="3">
        <f>IF(ORIG!I765=0,"",ORIG!I765)</f>
        <v/>
      </c>
      <c r="J765" s="3">
        <f>IF(ORIG!J765=0,"",ORIG!J765)</f>
        <v/>
      </c>
      <c r="K765" s="3">
        <f>IF(ORIG!K765=0,"",ORIG!K765)</f>
        <v/>
      </c>
      <c r="L765" s="3">
        <f>IF(ORIG!L765=0,"",ORIG!L765)</f>
        <v/>
      </c>
      <c r="M765" s="3">
        <f>IF(ORIG!M765=0,"",ORIG!M765)</f>
        <v/>
      </c>
      <c r="N765" s="3">
        <f>IF(ORIG!N765=0,"",ORIG!N765)</f>
        <v/>
      </c>
      <c r="O765" s="3">
        <f>IF(ORIG!O765=0,"",ORIG!O765)</f>
        <v/>
      </c>
      <c r="P765" s="3">
        <f>IF(ORIG!P765=0,"",ORIG!P765)</f>
        <v/>
      </c>
      <c r="Q765" s="3">
        <f>IF(ORIG!Q765=0,"",ORIG!Q765)</f>
        <v/>
      </c>
      <c r="R765" s="3">
        <f>IF(ORIG!R765=0,"",ORIG!R765)</f>
        <v/>
      </c>
      <c r="S765" s="3">
        <f>IF(ORIG!S765=0,"",ORIG!S765)</f>
        <v/>
      </c>
      <c r="T765" s="3">
        <f>IF(ORIG!T765=0,"",ORIG!T765)</f>
        <v/>
      </c>
      <c r="U765" s="3">
        <f>IF(ORIG!U765=0,"",ORIG!U765)</f>
        <v/>
      </c>
      <c r="V765" s="9">
        <f>IF(ORIG!V765=0,"",ORIG!V765)</f>
        <v/>
      </c>
      <c r="W765" s="9">
        <f>IF(ORIG!W765=0,"",ORIG!W765)</f>
        <v/>
      </c>
      <c r="X765" s="9">
        <f>IF(ORIG!X765=0,"",ORIG!X765)</f>
        <v/>
      </c>
      <c r="Y765" s="9">
        <f>IF(ORIG!Y765=0,"",ORIG!Y765)</f>
        <v/>
      </c>
      <c r="Z765" s="3">
        <f>SUMPRODUCT($B765:$Y765,$B$2649:$Y$2649)</f>
        <v/>
      </c>
      <c r="AA765" s="3">
        <f>SUMPRODUCT($B765:$Y765,$B$2655:$Y$2655)</f>
        <v/>
      </c>
      <c r="AC765" s="1">
        <f>A765</f>
        <v/>
      </c>
      <c r="AD765">
        <f>IF(ISNUMBER(V765),V765*($AB$1/V$2635),"")</f>
        <v/>
      </c>
      <c r="AE765">
        <f>IF(ISNUMBER(Z765),Z765*($AB$1/Z$2635),"")</f>
        <v/>
      </c>
      <c r="AF765" s="25">
        <f>IF(ISNUMBER(AD765+AE765),AD765+AE765,"")</f>
        <v/>
      </c>
      <c r="AH765" s="1">
        <f>A765</f>
        <v/>
      </c>
      <c r="AI765">
        <f>IF(ISNUMBER((1+V765)*AI764),(1+V765)*AI764,AI764)</f>
        <v/>
      </c>
      <c r="AJ765">
        <f>IF(ISNUMBER((1+Z765)*AJ764),(1+Z765)*AJ764,AJ764)</f>
        <v/>
      </c>
    </row>
    <row r="766">
      <c r="A766" s="1" t="n">
        <v>43116</v>
      </c>
      <c r="B766" s="3">
        <f>IF(ORIG!B766=0,"",ORIG!B766)</f>
        <v/>
      </c>
      <c r="C766" s="3">
        <f>IF(ORIG!C766=0,"",ORIG!C766)</f>
        <v/>
      </c>
      <c r="D766" s="3">
        <f>IF(ORIG!D766=0,"",ORIG!D766)</f>
        <v/>
      </c>
      <c r="E766" s="3">
        <f>IF(ORIG!E766=0,"",ORIG!E766)</f>
        <v/>
      </c>
      <c r="F766" s="3">
        <f>IF(ORIG!F766=0,"",ORIG!F766)</f>
        <v/>
      </c>
      <c r="G766" s="3">
        <f>IF(ORIG!G766=0,"",ORIG!G766)</f>
        <v/>
      </c>
      <c r="H766" s="3">
        <f>IF(ORIG!H766=0,"",ORIG!H766)</f>
        <v/>
      </c>
      <c r="I766" s="3">
        <f>IF(ORIG!I766=0,"",ORIG!I766)</f>
        <v/>
      </c>
      <c r="J766" s="3">
        <f>IF(ORIG!J766=0,"",ORIG!J766)</f>
        <v/>
      </c>
      <c r="K766" s="3">
        <f>IF(ORIG!K766=0,"",ORIG!K766)</f>
        <v/>
      </c>
      <c r="L766" s="3">
        <f>IF(ORIG!L766=0,"",ORIG!L766)</f>
        <v/>
      </c>
      <c r="M766" s="3">
        <f>IF(ORIG!M766=0,"",ORIG!M766)</f>
        <v/>
      </c>
      <c r="N766" s="3">
        <f>IF(ORIG!N766=0,"",ORIG!N766)</f>
        <v/>
      </c>
      <c r="O766" s="3">
        <f>IF(ORIG!O766=0,"",ORIG!O766)</f>
        <v/>
      </c>
      <c r="P766" s="3">
        <f>IF(ORIG!P766=0,"",ORIG!P766)</f>
        <v/>
      </c>
      <c r="Q766" s="3">
        <f>IF(ORIG!Q766=0,"",ORIG!Q766)</f>
        <v/>
      </c>
      <c r="R766" s="3">
        <f>IF(ORIG!R766=0,"",ORIG!R766)</f>
        <v/>
      </c>
      <c r="S766" s="3">
        <f>IF(ORIG!S766=0,"",ORIG!S766)</f>
        <v/>
      </c>
      <c r="T766" s="3">
        <f>IF(ORIG!T766=0,"",ORIG!T766)</f>
        <v/>
      </c>
      <c r="U766" s="3">
        <f>IF(ORIG!U766=0,"",ORIG!U766)</f>
        <v/>
      </c>
      <c r="V766" s="9">
        <f>IF(ORIG!V766=0,"",ORIG!V766)</f>
        <v/>
      </c>
      <c r="W766" s="9">
        <f>IF(ORIG!W766=0,"",ORIG!W766)</f>
        <v/>
      </c>
      <c r="X766" s="9">
        <f>IF(ORIG!X766=0,"",ORIG!X766)</f>
        <v/>
      </c>
      <c r="Y766" s="9">
        <f>IF(ORIG!Y766=0,"",ORIG!Y766)</f>
        <v/>
      </c>
      <c r="Z766" s="3">
        <f>SUMPRODUCT($B766:$Y766,$B$2649:$Y$2649)</f>
        <v/>
      </c>
      <c r="AA766" s="3">
        <f>SUMPRODUCT($B766:$Y766,$B$2655:$Y$2655)</f>
        <v/>
      </c>
      <c r="AC766" s="1">
        <f>A766</f>
        <v/>
      </c>
      <c r="AD766">
        <f>IF(ISNUMBER(V766),V766*($AB$1/V$2635),"")</f>
        <v/>
      </c>
      <c r="AE766">
        <f>IF(ISNUMBER(Z766),Z766*($AB$1/Z$2635),"")</f>
        <v/>
      </c>
      <c r="AF766" s="25">
        <f>IF(ISNUMBER(AD766+AE766),AD766+AE766,"")</f>
        <v/>
      </c>
      <c r="AH766" s="1">
        <f>A766</f>
        <v/>
      </c>
      <c r="AI766">
        <f>IF(ISNUMBER((1+V766)*AI765),(1+V766)*AI765,AI765)</f>
        <v/>
      </c>
      <c r="AJ766">
        <f>IF(ISNUMBER((1+Z766)*AJ765),(1+Z766)*AJ765,AJ765)</f>
        <v/>
      </c>
    </row>
    <row r="767">
      <c r="A767" s="1" t="n">
        <v>43117</v>
      </c>
      <c r="B767" s="3">
        <f>IF(ORIG!B767=0,"",ORIG!B767)</f>
        <v/>
      </c>
      <c r="C767" s="3">
        <f>IF(ORIG!C767=0,"",ORIG!C767)</f>
        <v/>
      </c>
      <c r="D767" s="3">
        <f>IF(ORIG!D767=0,"",ORIG!D767)</f>
        <v/>
      </c>
      <c r="E767" s="3">
        <f>IF(ORIG!E767=0,"",ORIG!E767)</f>
        <v/>
      </c>
      <c r="F767" s="3">
        <f>IF(ORIG!F767=0,"",ORIG!F767)</f>
        <v/>
      </c>
      <c r="G767" s="3">
        <f>IF(ORIG!G767=0,"",ORIG!G767)</f>
        <v/>
      </c>
      <c r="H767" s="3">
        <f>IF(ORIG!H767=0,"",ORIG!H767)</f>
        <v/>
      </c>
      <c r="I767" s="3">
        <f>IF(ORIG!I767=0,"",ORIG!I767)</f>
        <v/>
      </c>
      <c r="J767" s="3">
        <f>IF(ORIG!J767=0,"",ORIG!J767)</f>
        <v/>
      </c>
      <c r="K767" s="3">
        <f>IF(ORIG!K767=0,"",ORIG!K767)</f>
        <v/>
      </c>
      <c r="L767" s="3">
        <f>IF(ORIG!L767=0,"",ORIG!L767)</f>
        <v/>
      </c>
      <c r="M767" s="3">
        <f>IF(ORIG!M767=0,"",ORIG!M767)</f>
        <v/>
      </c>
      <c r="N767" s="3">
        <f>IF(ORIG!N767=0,"",ORIG!N767)</f>
        <v/>
      </c>
      <c r="O767" s="3">
        <f>IF(ORIG!O767=0,"",ORIG!O767)</f>
        <v/>
      </c>
      <c r="P767" s="3">
        <f>IF(ORIG!P767=0,"",ORIG!P767)</f>
        <v/>
      </c>
      <c r="Q767" s="3">
        <f>IF(ORIG!Q767=0,"",ORIG!Q767)</f>
        <v/>
      </c>
      <c r="R767" s="3">
        <f>IF(ORIG!R767=0,"",ORIG!R767)</f>
        <v/>
      </c>
      <c r="S767" s="3">
        <f>IF(ORIG!S767=0,"",ORIG!S767)</f>
        <v/>
      </c>
      <c r="T767" s="3">
        <f>IF(ORIG!T767=0,"",ORIG!T767)</f>
        <v/>
      </c>
      <c r="U767" s="3">
        <f>IF(ORIG!U767=0,"",ORIG!U767)</f>
        <v/>
      </c>
      <c r="V767" s="9">
        <f>IF(ORIG!V767=0,"",ORIG!V767)</f>
        <v/>
      </c>
      <c r="W767" s="9">
        <f>IF(ORIG!W767=0,"",ORIG!W767)</f>
        <v/>
      </c>
      <c r="X767" s="9">
        <f>IF(ORIG!X767=0,"",ORIG!X767)</f>
        <v/>
      </c>
      <c r="Y767" s="9">
        <f>IF(ORIG!Y767=0,"",ORIG!Y767)</f>
        <v/>
      </c>
      <c r="Z767" s="3">
        <f>SUMPRODUCT($B767:$Y767,$B$2649:$Y$2649)</f>
        <v/>
      </c>
      <c r="AA767" s="3">
        <f>SUMPRODUCT($B767:$Y767,$B$2655:$Y$2655)</f>
        <v/>
      </c>
      <c r="AC767" s="1">
        <f>A767</f>
        <v/>
      </c>
      <c r="AD767">
        <f>IF(ISNUMBER(V767),V767*($AB$1/V$2635),"")</f>
        <v/>
      </c>
      <c r="AE767">
        <f>IF(ISNUMBER(Z767),Z767*($AB$1/Z$2635),"")</f>
        <v/>
      </c>
      <c r="AF767" s="25">
        <f>IF(ISNUMBER(AD767+AE767),AD767+AE767,"")</f>
        <v/>
      </c>
      <c r="AH767" s="1">
        <f>A767</f>
        <v/>
      </c>
      <c r="AI767">
        <f>IF(ISNUMBER((1+V767)*AI766),(1+V767)*AI766,AI766)</f>
        <v/>
      </c>
      <c r="AJ767">
        <f>IF(ISNUMBER((1+Z767)*AJ766),(1+Z767)*AJ766,AJ766)</f>
        <v/>
      </c>
    </row>
    <row r="768">
      <c r="A768" s="1" t="n">
        <v>43118</v>
      </c>
      <c r="B768" s="3">
        <f>IF(ORIG!B768=0,"",ORIG!B768)</f>
        <v/>
      </c>
      <c r="C768" s="3">
        <f>IF(ORIG!C768=0,"",ORIG!C768)</f>
        <v/>
      </c>
      <c r="D768" s="3">
        <f>IF(ORIG!D768=0,"",ORIG!D768)</f>
        <v/>
      </c>
      <c r="E768" s="3">
        <f>IF(ORIG!E768=0,"",ORIG!E768)</f>
        <v/>
      </c>
      <c r="F768" s="3">
        <f>IF(ORIG!F768=0,"",ORIG!F768)</f>
        <v/>
      </c>
      <c r="G768" s="3">
        <f>IF(ORIG!G768=0,"",ORIG!G768)</f>
        <v/>
      </c>
      <c r="H768" s="3">
        <f>IF(ORIG!H768=0,"",ORIG!H768)</f>
        <v/>
      </c>
      <c r="I768" s="3">
        <f>IF(ORIG!I768=0,"",ORIG!I768)</f>
        <v/>
      </c>
      <c r="J768" s="3">
        <f>IF(ORIG!J768=0,"",ORIG!J768)</f>
        <v/>
      </c>
      <c r="K768" s="3">
        <f>IF(ORIG!K768=0,"",ORIG!K768)</f>
        <v/>
      </c>
      <c r="L768" s="3">
        <f>IF(ORIG!L768=0,"",ORIG!L768)</f>
        <v/>
      </c>
      <c r="M768" s="3">
        <f>IF(ORIG!M768=0,"",ORIG!M768)</f>
        <v/>
      </c>
      <c r="N768" s="3">
        <f>IF(ORIG!N768=0,"",ORIG!N768)</f>
        <v/>
      </c>
      <c r="O768" s="3">
        <f>IF(ORIG!O768=0,"",ORIG!O768)</f>
        <v/>
      </c>
      <c r="P768" s="3">
        <f>IF(ORIG!P768=0,"",ORIG!P768)</f>
        <v/>
      </c>
      <c r="Q768" s="3">
        <f>IF(ORIG!Q768=0,"",ORIG!Q768)</f>
        <v/>
      </c>
      <c r="R768" s="3">
        <f>IF(ORIG!R768=0,"",ORIG!R768)</f>
        <v/>
      </c>
      <c r="S768" s="3">
        <f>IF(ORIG!S768=0,"",ORIG!S768)</f>
        <v/>
      </c>
      <c r="T768" s="3">
        <f>IF(ORIG!T768=0,"",ORIG!T768)</f>
        <v/>
      </c>
      <c r="U768" s="3">
        <f>IF(ORIG!U768=0,"",ORIG!U768)</f>
        <v/>
      </c>
      <c r="V768" s="9">
        <f>IF(ORIG!V768=0,"",ORIG!V768)</f>
        <v/>
      </c>
      <c r="W768" s="9">
        <f>IF(ORIG!W768=0,"",ORIG!W768)</f>
        <v/>
      </c>
      <c r="X768" s="9">
        <f>IF(ORIG!X768=0,"",ORIG!X768)</f>
        <v/>
      </c>
      <c r="Y768" s="9">
        <f>IF(ORIG!Y768=0,"",ORIG!Y768)</f>
        <v/>
      </c>
      <c r="Z768" s="3">
        <f>SUMPRODUCT($B768:$Y768,$B$2649:$Y$2649)</f>
        <v/>
      </c>
      <c r="AA768" s="3">
        <f>SUMPRODUCT($B768:$Y768,$B$2655:$Y$2655)</f>
        <v/>
      </c>
      <c r="AC768" s="1">
        <f>A768</f>
        <v/>
      </c>
      <c r="AD768">
        <f>IF(ISNUMBER(V768),V768*($AB$1/V$2635),"")</f>
        <v/>
      </c>
      <c r="AE768">
        <f>IF(ISNUMBER(Z768),Z768*($AB$1/Z$2635),"")</f>
        <v/>
      </c>
      <c r="AF768" s="25">
        <f>IF(ISNUMBER(AD768+AE768),AD768+AE768,"")</f>
        <v/>
      </c>
      <c r="AH768" s="1">
        <f>A768</f>
        <v/>
      </c>
      <c r="AI768">
        <f>IF(ISNUMBER((1+V768)*AI767),(1+V768)*AI767,AI767)</f>
        <v/>
      </c>
      <c r="AJ768">
        <f>IF(ISNUMBER((1+Z768)*AJ767),(1+Z768)*AJ767,AJ767)</f>
        <v/>
      </c>
    </row>
    <row r="769">
      <c r="A769" s="1" t="n">
        <v>43119</v>
      </c>
      <c r="B769" s="3">
        <f>IF(ORIG!B769=0,"",ORIG!B769)</f>
        <v/>
      </c>
      <c r="C769" s="3">
        <f>IF(ORIG!C769=0,"",ORIG!C769)</f>
        <v/>
      </c>
      <c r="D769" s="3">
        <f>IF(ORIG!D769=0,"",ORIG!D769)</f>
        <v/>
      </c>
      <c r="E769" s="3">
        <f>IF(ORIG!E769=0,"",ORIG!E769)</f>
        <v/>
      </c>
      <c r="F769" s="3">
        <f>IF(ORIG!F769=0,"",ORIG!F769)</f>
        <v/>
      </c>
      <c r="G769" s="3">
        <f>IF(ORIG!G769=0,"",ORIG!G769)</f>
        <v/>
      </c>
      <c r="H769" s="3">
        <f>IF(ORIG!H769=0,"",ORIG!H769)</f>
        <v/>
      </c>
      <c r="I769" s="3">
        <f>IF(ORIG!I769=0,"",ORIG!I769)</f>
        <v/>
      </c>
      <c r="J769" s="3">
        <f>IF(ORIG!J769=0,"",ORIG!J769)</f>
        <v/>
      </c>
      <c r="K769" s="3">
        <f>IF(ORIG!K769=0,"",ORIG!K769)</f>
        <v/>
      </c>
      <c r="L769" s="3">
        <f>IF(ORIG!L769=0,"",ORIG!L769)</f>
        <v/>
      </c>
      <c r="M769" s="3">
        <f>IF(ORIG!M769=0,"",ORIG!M769)</f>
        <v/>
      </c>
      <c r="N769" s="3">
        <f>IF(ORIG!N769=0,"",ORIG!N769)</f>
        <v/>
      </c>
      <c r="O769" s="3">
        <f>IF(ORIG!O769=0,"",ORIG!O769)</f>
        <v/>
      </c>
      <c r="P769" s="3">
        <f>IF(ORIG!P769=0,"",ORIG!P769)</f>
        <v/>
      </c>
      <c r="Q769" s="3">
        <f>IF(ORIG!Q769=0,"",ORIG!Q769)</f>
        <v/>
      </c>
      <c r="R769" s="3">
        <f>IF(ORIG!R769=0,"",ORIG!R769)</f>
        <v/>
      </c>
      <c r="S769" s="3">
        <f>IF(ORIG!S769=0,"",ORIG!S769)</f>
        <v/>
      </c>
      <c r="T769" s="3">
        <f>IF(ORIG!T769=0,"",ORIG!T769)</f>
        <v/>
      </c>
      <c r="U769" s="3">
        <f>IF(ORIG!U769=0,"",ORIG!U769)</f>
        <v/>
      </c>
      <c r="V769" s="9">
        <f>IF(ORIG!V769=0,"",ORIG!V769)</f>
        <v/>
      </c>
      <c r="W769" s="9">
        <f>IF(ORIG!W769=0,"",ORIG!W769)</f>
        <v/>
      </c>
      <c r="X769" s="9">
        <f>IF(ORIG!X769=0,"",ORIG!X769)</f>
        <v/>
      </c>
      <c r="Y769" s="9">
        <f>IF(ORIG!Y769=0,"",ORIG!Y769)</f>
        <v/>
      </c>
      <c r="Z769" s="3">
        <f>SUMPRODUCT($B769:$Y769,$B$2649:$Y$2649)</f>
        <v/>
      </c>
      <c r="AA769" s="3">
        <f>SUMPRODUCT($B769:$Y769,$B$2655:$Y$2655)</f>
        <v/>
      </c>
      <c r="AC769" s="1">
        <f>A769</f>
        <v/>
      </c>
      <c r="AD769">
        <f>IF(ISNUMBER(V769),V769*($AB$1/V$2635),"")</f>
        <v/>
      </c>
      <c r="AE769">
        <f>IF(ISNUMBER(Z769),Z769*($AB$1/Z$2635),"")</f>
        <v/>
      </c>
      <c r="AF769" s="25">
        <f>IF(ISNUMBER(AD769+AE769),AD769+AE769,"")</f>
        <v/>
      </c>
      <c r="AH769" s="1">
        <f>A769</f>
        <v/>
      </c>
      <c r="AI769">
        <f>IF(ISNUMBER((1+V769)*AI768),(1+V769)*AI768,AI768)</f>
        <v/>
      </c>
      <c r="AJ769">
        <f>IF(ISNUMBER((1+Z769)*AJ768),(1+Z769)*AJ768,AJ768)</f>
        <v/>
      </c>
    </row>
    <row r="770">
      <c r="A770" s="1" t="n">
        <v>43122</v>
      </c>
      <c r="B770" s="3">
        <f>IF(ORIG!B770=0,"",ORIG!B770)</f>
        <v/>
      </c>
      <c r="C770" s="3">
        <f>IF(ORIG!C770=0,"",ORIG!C770)</f>
        <v/>
      </c>
      <c r="D770" s="3">
        <f>IF(ORIG!D770=0,"",ORIG!D770)</f>
        <v/>
      </c>
      <c r="E770" s="3">
        <f>IF(ORIG!E770=0,"",ORIG!E770)</f>
        <v/>
      </c>
      <c r="F770" s="3">
        <f>IF(ORIG!F770=0,"",ORIG!F770)</f>
        <v/>
      </c>
      <c r="G770" s="3">
        <f>IF(ORIG!G770=0,"",ORIG!G770)</f>
        <v/>
      </c>
      <c r="H770" s="3">
        <f>IF(ORIG!H770=0,"",ORIG!H770)</f>
        <v/>
      </c>
      <c r="I770" s="3">
        <f>IF(ORIG!I770=0,"",ORIG!I770)</f>
        <v/>
      </c>
      <c r="J770" s="3">
        <f>IF(ORIG!J770=0,"",ORIG!J770)</f>
        <v/>
      </c>
      <c r="K770" s="3">
        <f>IF(ORIG!K770=0,"",ORIG!K770)</f>
        <v/>
      </c>
      <c r="L770" s="3">
        <f>IF(ORIG!L770=0,"",ORIG!L770)</f>
        <v/>
      </c>
      <c r="M770" s="3">
        <f>IF(ORIG!M770=0,"",ORIG!M770)</f>
        <v/>
      </c>
      <c r="N770" s="3">
        <f>IF(ORIG!N770=0,"",ORIG!N770)</f>
        <v/>
      </c>
      <c r="O770" s="3">
        <f>IF(ORIG!O770=0,"",ORIG!O770)</f>
        <v/>
      </c>
      <c r="P770" s="3">
        <f>IF(ORIG!P770=0,"",ORIG!P770)</f>
        <v/>
      </c>
      <c r="Q770" s="3">
        <f>IF(ORIG!Q770=0,"",ORIG!Q770)</f>
        <v/>
      </c>
      <c r="R770" s="3">
        <f>IF(ORIG!R770=0,"",ORIG!R770)</f>
        <v/>
      </c>
      <c r="S770" s="3">
        <f>IF(ORIG!S770=0,"",ORIG!S770)</f>
        <v/>
      </c>
      <c r="T770" s="3">
        <f>IF(ORIG!T770=0,"",ORIG!T770)</f>
        <v/>
      </c>
      <c r="U770" s="3">
        <f>IF(ORIG!U770=0,"",ORIG!U770)</f>
        <v/>
      </c>
      <c r="V770" s="9">
        <f>IF(ORIG!V770=0,"",ORIG!V770)</f>
        <v/>
      </c>
      <c r="W770" s="9">
        <f>IF(ORIG!W770=0,"",ORIG!W770)</f>
        <v/>
      </c>
      <c r="X770" s="9">
        <f>IF(ORIG!X770=0,"",ORIG!X770)</f>
        <v/>
      </c>
      <c r="Y770" s="9">
        <f>IF(ORIG!Y770=0,"",ORIG!Y770)</f>
        <v/>
      </c>
      <c r="Z770" s="3">
        <f>SUMPRODUCT($B770:$Y770,$B$2649:$Y$2649)</f>
        <v/>
      </c>
      <c r="AA770" s="3">
        <f>SUMPRODUCT($B770:$Y770,$B$2655:$Y$2655)</f>
        <v/>
      </c>
      <c r="AC770" s="1">
        <f>A770</f>
        <v/>
      </c>
      <c r="AD770">
        <f>IF(ISNUMBER(V770),V770*($AB$1/V$2635),"")</f>
        <v/>
      </c>
      <c r="AE770">
        <f>IF(ISNUMBER(Z770),Z770*($AB$1/Z$2635),"")</f>
        <v/>
      </c>
      <c r="AF770" s="25">
        <f>IF(ISNUMBER(AD770+AE770),AD770+AE770,"")</f>
        <v/>
      </c>
      <c r="AH770" s="1">
        <f>A770</f>
        <v/>
      </c>
      <c r="AI770">
        <f>IF(ISNUMBER((1+V770)*AI769),(1+V770)*AI769,AI769)</f>
        <v/>
      </c>
      <c r="AJ770">
        <f>IF(ISNUMBER((1+Z770)*AJ769),(1+Z770)*AJ769,AJ769)</f>
        <v/>
      </c>
    </row>
    <row r="771">
      <c r="A771" s="1" t="n">
        <v>43123</v>
      </c>
      <c r="B771" s="3">
        <f>IF(ORIG!B771=0,"",ORIG!B771)</f>
        <v/>
      </c>
      <c r="C771" s="3">
        <f>IF(ORIG!C771=0,"",ORIG!C771)</f>
        <v/>
      </c>
      <c r="D771" s="3">
        <f>IF(ORIG!D771=0,"",ORIG!D771)</f>
        <v/>
      </c>
      <c r="E771" s="3">
        <f>IF(ORIG!E771=0,"",ORIG!E771)</f>
        <v/>
      </c>
      <c r="F771" s="3">
        <f>IF(ORIG!F771=0,"",ORIG!F771)</f>
        <v/>
      </c>
      <c r="G771" s="3">
        <f>IF(ORIG!G771=0,"",ORIG!G771)</f>
        <v/>
      </c>
      <c r="H771" s="3">
        <f>IF(ORIG!H771=0,"",ORIG!H771)</f>
        <v/>
      </c>
      <c r="I771" s="3">
        <f>IF(ORIG!I771=0,"",ORIG!I771)</f>
        <v/>
      </c>
      <c r="J771" s="3">
        <f>IF(ORIG!J771=0,"",ORIG!J771)</f>
        <v/>
      </c>
      <c r="K771" s="3">
        <f>IF(ORIG!K771=0,"",ORIG!K771)</f>
        <v/>
      </c>
      <c r="L771" s="3">
        <f>IF(ORIG!L771=0,"",ORIG!L771)</f>
        <v/>
      </c>
      <c r="M771" s="3">
        <f>IF(ORIG!M771=0,"",ORIG!M771)</f>
        <v/>
      </c>
      <c r="N771" s="3">
        <f>IF(ORIG!N771=0,"",ORIG!N771)</f>
        <v/>
      </c>
      <c r="O771" s="3">
        <f>IF(ORIG!O771=0,"",ORIG!O771)</f>
        <v/>
      </c>
      <c r="P771" s="3">
        <f>IF(ORIG!P771=0,"",ORIG!P771)</f>
        <v/>
      </c>
      <c r="Q771" s="3">
        <f>IF(ORIG!Q771=0,"",ORIG!Q771)</f>
        <v/>
      </c>
      <c r="R771" s="3">
        <f>IF(ORIG!R771=0,"",ORIG!R771)</f>
        <v/>
      </c>
      <c r="S771" s="3">
        <f>IF(ORIG!S771=0,"",ORIG!S771)</f>
        <v/>
      </c>
      <c r="T771" s="3">
        <f>IF(ORIG!T771=0,"",ORIG!T771)</f>
        <v/>
      </c>
      <c r="U771" s="3">
        <f>IF(ORIG!U771=0,"",ORIG!U771)</f>
        <v/>
      </c>
      <c r="V771" s="9">
        <f>IF(ORIG!V771=0,"",ORIG!V771)</f>
        <v/>
      </c>
      <c r="W771" s="9">
        <f>IF(ORIG!W771=0,"",ORIG!W771)</f>
        <v/>
      </c>
      <c r="X771" s="9">
        <f>IF(ORIG!X771=0,"",ORIG!X771)</f>
        <v/>
      </c>
      <c r="Y771" s="9">
        <f>IF(ORIG!Y771=0,"",ORIG!Y771)</f>
        <v/>
      </c>
      <c r="Z771" s="3">
        <f>SUMPRODUCT($B771:$Y771,$B$2649:$Y$2649)</f>
        <v/>
      </c>
      <c r="AA771" s="3">
        <f>SUMPRODUCT($B771:$Y771,$B$2655:$Y$2655)</f>
        <v/>
      </c>
      <c r="AC771" s="1">
        <f>A771</f>
        <v/>
      </c>
      <c r="AD771">
        <f>IF(ISNUMBER(V771),V771*($AB$1/V$2635),"")</f>
        <v/>
      </c>
      <c r="AE771">
        <f>IF(ISNUMBER(Z771),Z771*($AB$1/Z$2635),"")</f>
        <v/>
      </c>
      <c r="AF771" s="25">
        <f>IF(ISNUMBER(AD771+AE771),AD771+AE771,"")</f>
        <v/>
      </c>
      <c r="AH771" s="1">
        <f>A771</f>
        <v/>
      </c>
      <c r="AI771">
        <f>IF(ISNUMBER((1+V771)*AI770),(1+V771)*AI770,AI770)</f>
        <v/>
      </c>
      <c r="AJ771">
        <f>IF(ISNUMBER((1+Z771)*AJ770),(1+Z771)*AJ770,AJ770)</f>
        <v/>
      </c>
    </row>
    <row r="772">
      <c r="A772" s="1" t="n">
        <v>43124</v>
      </c>
      <c r="B772" s="3">
        <f>IF(ORIG!B772=0,"",ORIG!B772)</f>
        <v/>
      </c>
      <c r="C772" s="3">
        <f>IF(ORIG!C772=0,"",ORIG!C772)</f>
        <v/>
      </c>
      <c r="D772" s="3">
        <f>IF(ORIG!D772=0,"",ORIG!D772)</f>
        <v/>
      </c>
      <c r="E772" s="3">
        <f>IF(ORIG!E772=0,"",ORIG!E772)</f>
        <v/>
      </c>
      <c r="F772" s="3">
        <f>IF(ORIG!F772=0,"",ORIG!F772)</f>
        <v/>
      </c>
      <c r="G772" s="3">
        <f>IF(ORIG!G772=0,"",ORIG!G772)</f>
        <v/>
      </c>
      <c r="H772" s="3">
        <f>IF(ORIG!H772=0,"",ORIG!H772)</f>
        <v/>
      </c>
      <c r="I772" s="3">
        <f>IF(ORIG!I772=0,"",ORIG!I772)</f>
        <v/>
      </c>
      <c r="J772" s="3">
        <f>IF(ORIG!J772=0,"",ORIG!J772)</f>
        <v/>
      </c>
      <c r="K772" s="3">
        <f>IF(ORIG!K772=0,"",ORIG!K772)</f>
        <v/>
      </c>
      <c r="L772" s="3">
        <f>IF(ORIG!L772=0,"",ORIG!L772)</f>
        <v/>
      </c>
      <c r="M772" s="3">
        <f>IF(ORIG!M772=0,"",ORIG!M772)</f>
        <v/>
      </c>
      <c r="N772" s="3">
        <f>IF(ORIG!N772=0,"",ORIG!N772)</f>
        <v/>
      </c>
      <c r="O772" s="3">
        <f>IF(ORIG!O772=0,"",ORIG!O772)</f>
        <v/>
      </c>
      <c r="P772" s="3">
        <f>IF(ORIG!P772=0,"",ORIG!P772)</f>
        <v/>
      </c>
      <c r="Q772" s="3">
        <f>IF(ORIG!Q772=0,"",ORIG!Q772)</f>
        <v/>
      </c>
      <c r="R772" s="3">
        <f>IF(ORIG!R772=0,"",ORIG!R772)</f>
        <v/>
      </c>
      <c r="S772" s="3">
        <f>IF(ORIG!S772=0,"",ORIG!S772)</f>
        <v/>
      </c>
      <c r="T772" s="3">
        <f>IF(ORIG!T772=0,"",ORIG!T772)</f>
        <v/>
      </c>
      <c r="U772" s="3">
        <f>IF(ORIG!U772=0,"",ORIG!U772)</f>
        <v/>
      </c>
      <c r="V772" s="9">
        <f>IF(ORIG!V772=0,"",ORIG!V772)</f>
        <v/>
      </c>
      <c r="W772" s="9">
        <f>IF(ORIG!W772=0,"",ORIG!W772)</f>
        <v/>
      </c>
      <c r="X772" s="9">
        <f>IF(ORIG!X772=0,"",ORIG!X772)</f>
        <v/>
      </c>
      <c r="Y772" s="9">
        <f>IF(ORIG!Y772=0,"",ORIG!Y772)</f>
        <v/>
      </c>
      <c r="Z772" s="3">
        <f>SUMPRODUCT($B772:$Y772,$B$2649:$Y$2649)</f>
        <v/>
      </c>
      <c r="AA772" s="3">
        <f>SUMPRODUCT($B772:$Y772,$B$2655:$Y$2655)</f>
        <v/>
      </c>
      <c r="AC772" s="1">
        <f>A772</f>
        <v/>
      </c>
      <c r="AD772">
        <f>IF(ISNUMBER(V772),V772*($AB$1/V$2635),"")</f>
        <v/>
      </c>
      <c r="AE772">
        <f>IF(ISNUMBER(Z772),Z772*($AB$1/Z$2635),"")</f>
        <v/>
      </c>
      <c r="AF772" s="25">
        <f>IF(ISNUMBER(AD772+AE772),AD772+AE772,"")</f>
        <v/>
      </c>
      <c r="AH772" s="1">
        <f>A772</f>
        <v/>
      </c>
      <c r="AI772">
        <f>IF(ISNUMBER((1+V772)*AI771),(1+V772)*AI771,AI771)</f>
        <v/>
      </c>
      <c r="AJ772">
        <f>IF(ISNUMBER((1+Z772)*AJ771),(1+Z772)*AJ771,AJ771)</f>
        <v/>
      </c>
    </row>
    <row r="773">
      <c r="A773" s="1" t="n">
        <v>43125</v>
      </c>
      <c r="B773" s="3">
        <f>IF(ORIG!B773=0,"",ORIG!B773)</f>
        <v/>
      </c>
      <c r="C773" s="3">
        <f>IF(ORIG!C773=0,"",ORIG!C773)</f>
        <v/>
      </c>
      <c r="D773" s="3">
        <f>IF(ORIG!D773=0,"",ORIG!D773)</f>
        <v/>
      </c>
      <c r="E773" s="3">
        <f>IF(ORIG!E773=0,"",ORIG!E773)</f>
        <v/>
      </c>
      <c r="F773" s="3">
        <f>IF(ORIG!F773=0,"",ORIG!F773)</f>
        <v/>
      </c>
      <c r="G773" s="3">
        <f>IF(ORIG!G773=0,"",ORIG!G773)</f>
        <v/>
      </c>
      <c r="H773" s="3">
        <f>IF(ORIG!H773=0,"",ORIG!H773)</f>
        <v/>
      </c>
      <c r="I773" s="3">
        <f>IF(ORIG!I773=0,"",ORIG!I773)</f>
        <v/>
      </c>
      <c r="J773" s="3">
        <f>IF(ORIG!J773=0,"",ORIG!J773)</f>
        <v/>
      </c>
      <c r="K773" s="3">
        <f>IF(ORIG!K773=0,"",ORIG!K773)</f>
        <v/>
      </c>
      <c r="L773" s="3">
        <f>IF(ORIG!L773=0,"",ORIG!L773)</f>
        <v/>
      </c>
      <c r="M773" s="3">
        <f>IF(ORIG!M773=0,"",ORIG!M773)</f>
        <v/>
      </c>
      <c r="N773" s="3">
        <f>IF(ORIG!N773=0,"",ORIG!N773)</f>
        <v/>
      </c>
      <c r="O773" s="3">
        <f>IF(ORIG!O773=0,"",ORIG!O773)</f>
        <v/>
      </c>
      <c r="P773" s="3">
        <f>IF(ORIG!P773=0,"",ORIG!P773)</f>
        <v/>
      </c>
      <c r="Q773" s="3">
        <f>IF(ORIG!Q773=0,"",ORIG!Q773)</f>
        <v/>
      </c>
      <c r="R773" s="3">
        <f>IF(ORIG!R773=0,"",ORIG!R773)</f>
        <v/>
      </c>
      <c r="S773" s="3">
        <f>IF(ORIG!S773=0,"",ORIG!S773)</f>
        <v/>
      </c>
      <c r="T773" s="3">
        <f>IF(ORIG!T773=0,"",ORIG!T773)</f>
        <v/>
      </c>
      <c r="U773" s="3">
        <f>IF(ORIG!U773=0,"",ORIG!U773)</f>
        <v/>
      </c>
      <c r="V773" s="9">
        <f>IF(ORIG!V773=0,"",ORIG!V773)</f>
        <v/>
      </c>
      <c r="W773" s="9">
        <f>IF(ORIG!W773=0,"",ORIG!W773)</f>
        <v/>
      </c>
      <c r="X773" s="9">
        <f>IF(ORIG!X773=0,"",ORIG!X773)</f>
        <v/>
      </c>
      <c r="Y773" s="9">
        <f>IF(ORIG!Y773=0,"",ORIG!Y773)</f>
        <v/>
      </c>
      <c r="Z773" s="3">
        <f>SUMPRODUCT($B773:$Y773,$B$2649:$Y$2649)</f>
        <v/>
      </c>
      <c r="AA773" s="3">
        <f>SUMPRODUCT($B773:$Y773,$B$2655:$Y$2655)</f>
        <v/>
      </c>
      <c r="AC773" s="1">
        <f>A773</f>
        <v/>
      </c>
      <c r="AD773">
        <f>IF(ISNUMBER(V773),V773*($AB$1/V$2635),"")</f>
        <v/>
      </c>
      <c r="AE773">
        <f>IF(ISNUMBER(Z773),Z773*($AB$1/Z$2635),"")</f>
        <v/>
      </c>
      <c r="AF773" s="25">
        <f>IF(ISNUMBER(AD773+AE773),AD773+AE773,"")</f>
        <v/>
      </c>
      <c r="AH773" s="1">
        <f>A773</f>
        <v/>
      </c>
      <c r="AI773">
        <f>IF(ISNUMBER((1+V773)*AI772),(1+V773)*AI772,AI772)</f>
        <v/>
      </c>
      <c r="AJ773">
        <f>IF(ISNUMBER((1+Z773)*AJ772),(1+Z773)*AJ772,AJ772)</f>
        <v/>
      </c>
    </row>
    <row r="774">
      <c r="A774" s="1" t="n">
        <v>43126</v>
      </c>
      <c r="B774" s="3">
        <f>IF(ORIG!B774=0,"",ORIG!B774)</f>
        <v/>
      </c>
      <c r="C774" s="3">
        <f>IF(ORIG!C774=0,"",ORIG!C774)</f>
        <v/>
      </c>
      <c r="D774" s="3">
        <f>IF(ORIG!D774=0,"",ORIG!D774)</f>
        <v/>
      </c>
      <c r="E774" s="3">
        <f>IF(ORIG!E774=0,"",ORIG!E774)</f>
        <v/>
      </c>
      <c r="F774" s="3">
        <f>IF(ORIG!F774=0,"",ORIG!F774)</f>
        <v/>
      </c>
      <c r="G774" s="3">
        <f>IF(ORIG!G774=0,"",ORIG!G774)</f>
        <v/>
      </c>
      <c r="H774" s="3">
        <f>IF(ORIG!H774=0,"",ORIG!H774)</f>
        <v/>
      </c>
      <c r="I774" s="3">
        <f>IF(ORIG!I774=0,"",ORIG!I774)</f>
        <v/>
      </c>
      <c r="J774" s="3">
        <f>IF(ORIG!J774=0,"",ORIG!J774)</f>
        <v/>
      </c>
      <c r="K774" s="3">
        <f>IF(ORIG!K774=0,"",ORIG!K774)</f>
        <v/>
      </c>
      <c r="L774" s="3">
        <f>IF(ORIG!L774=0,"",ORIG!L774)</f>
        <v/>
      </c>
      <c r="M774" s="3">
        <f>IF(ORIG!M774=0,"",ORIG!M774)</f>
        <v/>
      </c>
      <c r="N774" s="3">
        <f>IF(ORIG!N774=0,"",ORIG!N774)</f>
        <v/>
      </c>
      <c r="O774" s="3">
        <f>IF(ORIG!O774=0,"",ORIG!O774)</f>
        <v/>
      </c>
      <c r="P774" s="3">
        <f>IF(ORIG!P774=0,"",ORIG!P774)</f>
        <v/>
      </c>
      <c r="Q774" s="3">
        <f>IF(ORIG!Q774=0,"",ORIG!Q774)</f>
        <v/>
      </c>
      <c r="R774" s="3">
        <f>IF(ORIG!R774=0,"",ORIG!R774)</f>
        <v/>
      </c>
      <c r="S774" s="3">
        <f>IF(ORIG!S774=0,"",ORIG!S774)</f>
        <v/>
      </c>
      <c r="T774" s="3">
        <f>IF(ORIG!T774=0,"",ORIG!T774)</f>
        <v/>
      </c>
      <c r="U774" s="3">
        <f>IF(ORIG!U774=0,"",ORIG!U774)</f>
        <v/>
      </c>
      <c r="V774" s="9">
        <f>IF(ORIG!V774=0,"",ORIG!V774)</f>
        <v/>
      </c>
      <c r="W774" s="9">
        <f>IF(ORIG!W774=0,"",ORIG!W774)</f>
        <v/>
      </c>
      <c r="X774" s="9">
        <f>IF(ORIG!X774=0,"",ORIG!X774)</f>
        <v/>
      </c>
      <c r="Y774" s="9">
        <f>IF(ORIG!Y774=0,"",ORIG!Y774)</f>
        <v/>
      </c>
      <c r="Z774" s="3">
        <f>SUMPRODUCT($B774:$Y774,$B$2649:$Y$2649)</f>
        <v/>
      </c>
      <c r="AA774" s="3">
        <f>SUMPRODUCT($B774:$Y774,$B$2655:$Y$2655)</f>
        <v/>
      </c>
      <c r="AC774" s="1">
        <f>A774</f>
        <v/>
      </c>
      <c r="AD774">
        <f>IF(ISNUMBER(V774),V774*($AB$1/V$2635),"")</f>
        <v/>
      </c>
      <c r="AE774">
        <f>IF(ISNUMBER(Z774),Z774*($AB$1/Z$2635),"")</f>
        <v/>
      </c>
      <c r="AF774" s="25">
        <f>IF(ISNUMBER(AD774+AE774),AD774+AE774,"")</f>
        <v/>
      </c>
      <c r="AH774" s="1">
        <f>A774</f>
        <v/>
      </c>
      <c r="AI774">
        <f>IF(ISNUMBER((1+V774)*AI773),(1+V774)*AI773,AI773)</f>
        <v/>
      </c>
      <c r="AJ774">
        <f>IF(ISNUMBER((1+Z774)*AJ773),(1+Z774)*AJ773,AJ773)</f>
        <v/>
      </c>
    </row>
    <row r="775">
      <c r="A775" s="1" t="n">
        <v>43129</v>
      </c>
      <c r="B775" s="3">
        <f>IF(ORIG!B775=0,"",ORIG!B775)</f>
        <v/>
      </c>
      <c r="C775" s="3">
        <f>IF(ORIG!C775=0,"",ORIG!C775)</f>
        <v/>
      </c>
      <c r="D775" s="3">
        <f>IF(ORIG!D775=0,"",ORIG!D775)</f>
        <v/>
      </c>
      <c r="E775" s="3">
        <f>IF(ORIG!E775=0,"",ORIG!E775)</f>
        <v/>
      </c>
      <c r="F775" s="3">
        <f>IF(ORIG!F775=0,"",ORIG!F775)</f>
        <v/>
      </c>
      <c r="G775" s="3">
        <f>IF(ORIG!G775=0,"",ORIG!G775)</f>
        <v/>
      </c>
      <c r="H775" s="3">
        <f>IF(ORIG!H775=0,"",ORIG!H775)</f>
        <v/>
      </c>
      <c r="I775" s="3">
        <f>IF(ORIG!I775=0,"",ORIG!I775)</f>
        <v/>
      </c>
      <c r="J775" s="3">
        <f>IF(ORIG!J775=0,"",ORIG!J775)</f>
        <v/>
      </c>
      <c r="K775" s="3">
        <f>IF(ORIG!K775=0,"",ORIG!K775)</f>
        <v/>
      </c>
      <c r="L775" s="3">
        <f>IF(ORIG!L775=0,"",ORIG!L775)</f>
        <v/>
      </c>
      <c r="M775" s="3">
        <f>IF(ORIG!M775=0,"",ORIG!M775)</f>
        <v/>
      </c>
      <c r="N775" s="3">
        <f>IF(ORIG!N775=0,"",ORIG!N775)</f>
        <v/>
      </c>
      <c r="O775" s="3">
        <f>IF(ORIG!O775=0,"",ORIG!O775)</f>
        <v/>
      </c>
      <c r="P775" s="3">
        <f>IF(ORIG!P775=0,"",ORIG!P775)</f>
        <v/>
      </c>
      <c r="Q775" s="3">
        <f>IF(ORIG!Q775=0,"",ORIG!Q775)</f>
        <v/>
      </c>
      <c r="R775" s="3">
        <f>IF(ORIG!R775=0,"",ORIG!R775)</f>
        <v/>
      </c>
      <c r="S775" s="3">
        <f>IF(ORIG!S775=0,"",ORIG!S775)</f>
        <v/>
      </c>
      <c r="T775" s="3">
        <f>IF(ORIG!T775=0,"",ORIG!T775)</f>
        <v/>
      </c>
      <c r="U775" s="3">
        <f>IF(ORIG!U775=0,"",ORIG!U775)</f>
        <v/>
      </c>
      <c r="V775" s="9">
        <f>IF(ORIG!V775=0,"",ORIG!V775)</f>
        <v/>
      </c>
      <c r="W775" s="9">
        <f>IF(ORIG!W775=0,"",ORIG!W775)</f>
        <v/>
      </c>
      <c r="X775" s="9">
        <f>IF(ORIG!X775=0,"",ORIG!X775)</f>
        <v/>
      </c>
      <c r="Y775" s="9">
        <f>IF(ORIG!Y775=0,"",ORIG!Y775)</f>
        <v/>
      </c>
      <c r="Z775" s="3">
        <f>SUMPRODUCT($B775:$Y775,$B$2649:$Y$2649)</f>
        <v/>
      </c>
      <c r="AA775" s="3">
        <f>SUMPRODUCT($B775:$Y775,$B$2655:$Y$2655)</f>
        <v/>
      </c>
      <c r="AC775" s="1">
        <f>A775</f>
        <v/>
      </c>
      <c r="AD775">
        <f>IF(ISNUMBER(V775),V775*($AB$1/V$2635),"")</f>
        <v/>
      </c>
      <c r="AE775">
        <f>IF(ISNUMBER(Z775),Z775*($AB$1/Z$2635),"")</f>
        <v/>
      </c>
      <c r="AF775" s="25">
        <f>IF(ISNUMBER(AD775+AE775),AD775+AE775,"")</f>
        <v/>
      </c>
      <c r="AH775" s="1">
        <f>A775</f>
        <v/>
      </c>
      <c r="AI775">
        <f>IF(ISNUMBER((1+V775)*AI774),(1+V775)*AI774,AI774)</f>
        <v/>
      </c>
      <c r="AJ775">
        <f>IF(ISNUMBER((1+Z775)*AJ774),(1+Z775)*AJ774,AJ774)</f>
        <v/>
      </c>
    </row>
    <row r="776">
      <c r="A776" s="1" t="n">
        <v>43130</v>
      </c>
      <c r="B776" s="3">
        <f>IF(ORIG!B776=0,"",ORIG!B776)</f>
        <v/>
      </c>
      <c r="C776" s="3">
        <f>IF(ORIG!C776=0,"",ORIG!C776)</f>
        <v/>
      </c>
      <c r="D776" s="3">
        <f>IF(ORIG!D776=0,"",ORIG!D776)</f>
        <v/>
      </c>
      <c r="E776" s="3">
        <f>IF(ORIG!E776=0,"",ORIG!E776)</f>
        <v/>
      </c>
      <c r="F776" s="3">
        <f>IF(ORIG!F776=0,"",ORIG!F776)</f>
        <v/>
      </c>
      <c r="G776" s="3">
        <f>IF(ORIG!G776=0,"",ORIG!G776)</f>
        <v/>
      </c>
      <c r="H776" s="3">
        <f>IF(ORIG!H776=0,"",ORIG!H776)</f>
        <v/>
      </c>
      <c r="I776" s="3">
        <f>IF(ORIG!I776=0,"",ORIG!I776)</f>
        <v/>
      </c>
      <c r="J776" s="3">
        <f>IF(ORIG!J776=0,"",ORIG!J776)</f>
        <v/>
      </c>
      <c r="K776" s="3">
        <f>IF(ORIG!K776=0,"",ORIG!K776)</f>
        <v/>
      </c>
      <c r="L776" s="3">
        <f>IF(ORIG!L776=0,"",ORIG!L776)</f>
        <v/>
      </c>
      <c r="M776" s="3">
        <f>IF(ORIG!M776=0,"",ORIG!M776)</f>
        <v/>
      </c>
      <c r="N776" s="3">
        <f>IF(ORIG!N776=0,"",ORIG!N776)</f>
        <v/>
      </c>
      <c r="O776" s="3">
        <f>IF(ORIG!O776=0,"",ORIG!O776)</f>
        <v/>
      </c>
      <c r="P776" s="3">
        <f>IF(ORIG!P776=0,"",ORIG!P776)</f>
        <v/>
      </c>
      <c r="Q776" s="3">
        <f>IF(ORIG!Q776=0,"",ORIG!Q776)</f>
        <v/>
      </c>
      <c r="R776" s="3">
        <f>IF(ORIG!R776=0,"",ORIG!R776)</f>
        <v/>
      </c>
      <c r="S776" s="3">
        <f>IF(ORIG!S776=0,"",ORIG!S776)</f>
        <v/>
      </c>
      <c r="T776" s="3">
        <f>IF(ORIG!T776=0,"",ORIG!T776)</f>
        <v/>
      </c>
      <c r="U776" s="3">
        <f>IF(ORIG!U776=0,"",ORIG!U776)</f>
        <v/>
      </c>
      <c r="V776" s="9">
        <f>IF(ORIG!V776=0,"",ORIG!V776)</f>
        <v/>
      </c>
      <c r="W776" s="9">
        <f>IF(ORIG!W776=0,"",ORIG!W776)</f>
        <v/>
      </c>
      <c r="X776" s="9">
        <f>IF(ORIG!X776=0,"",ORIG!X776)</f>
        <v/>
      </c>
      <c r="Y776" s="9">
        <f>IF(ORIG!Y776=0,"",ORIG!Y776)</f>
        <v/>
      </c>
      <c r="Z776" s="3">
        <f>SUMPRODUCT($B776:$Y776,$B$2649:$Y$2649)</f>
        <v/>
      </c>
      <c r="AA776" s="3">
        <f>SUMPRODUCT($B776:$Y776,$B$2655:$Y$2655)</f>
        <v/>
      </c>
      <c r="AC776" s="1">
        <f>A776</f>
        <v/>
      </c>
      <c r="AD776">
        <f>IF(ISNUMBER(V776),V776*($AB$1/V$2635),"")</f>
        <v/>
      </c>
      <c r="AE776">
        <f>IF(ISNUMBER(Z776),Z776*($AB$1/Z$2635),"")</f>
        <v/>
      </c>
      <c r="AF776" s="25">
        <f>IF(ISNUMBER(AD776+AE776),AD776+AE776,"")</f>
        <v/>
      </c>
      <c r="AH776" s="1">
        <f>A776</f>
        <v/>
      </c>
      <c r="AI776">
        <f>IF(ISNUMBER((1+V776)*AI775),(1+V776)*AI775,AI775)</f>
        <v/>
      </c>
      <c r="AJ776">
        <f>IF(ISNUMBER((1+Z776)*AJ775),(1+Z776)*AJ775,AJ775)</f>
        <v/>
      </c>
    </row>
    <row r="777">
      <c r="A777" s="1" t="n">
        <v>43131</v>
      </c>
      <c r="B777" s="3">
        <f>IF(ORIG!B777=0,"",ORIG!B777)</f>
        <v/>
      </c>
      <c r="C777" s="3">
        <f>IF(ORIG!C777=0,"",ORIG!C777)</f>
        <v/>
      </c>
      <c r="D777" s="3">
        <f>IF(ORIG!D777=0,"",ORIG!D777)</f>
        <v/>
      </c>
      <c r="E777" s="3">
        <f>IF(ORIG!E777=0,"",ORIG!E777)</f>
        <v/>
      </c>
      <c r="F777" s="3">
        <f>IF(ORIG!F777=0,"",ORIG!F777)</f>
        <v/>
      </c>
      <c r="G777" s="3">
        <f>IF(ORIG!G777=0,"",ORIG!G777)</f>
        <v/>
      </c>
      <c r="H777" s="3">
        <f>IF(ORIG!H777=0,"",ORIG!H777)</f>
        <v/>
      </c>
      <c r="I777" s="3">
        <f>IF(ORIG!I777=0,"",ORIG!I777)</f>
        <v/>
      </c>
      <c r="J777" s="3">
        <f>IF(ORIG!J777=0,"",ORIG!J777)</f>
        <v/>
      </c>
      <c r="K777" s="3">
        <f>IF(ORIG!K777=0,"",ORIG!K777)</f>
        <v/>
      </c>
      <c r="L777" s="3">
        <f>IF(ORIG!L777=0,"",ORIG!L777)</f>
        <v/>
      </c>
      <c r="M777" s="3">
        <f>IF(ORIG!M777=0,"",ORIG!M777)</f>
        <v/>
      </c>
      <c r="N777" s="3">
        <f>IF(ORIG!N777=0,"",ORIG!N777)</f>
        <v/>
      </c>
      <c r="O777" s="3">
        <f>IF(ORIG!O777=0,"",ORIG!O777)</f>
        <v/>
      </c>
      <c r="P777" s="3">
        <f>IF(ORIG!P777=0,"",ORIG!P777)</f>
        <v/>
      </c>
      <c r="Q777" s="3">
        <f>IF(ORIG!Q777=0,"",ORIG!Q777)</f>
        <v/>
      </c>
      <c r="R777" s="3">
        <f>IF(ORIG!R777=0,"",ORIG!R777)</f>
        <v/>
      </c>
      <c r="S777" s="3">
        <f>IF(ORIG!S777=0,"",ORIG!S777)</f>
        <v/>
      </c>
      <c r="T777" s="3">
        <f>IF(ORIG!T777=0,"",ORIG!T777)</f>
        <v/>
      </c>
      <c r="U777" s="3">
        <f>IF(ORIG!U777=0,"",ORIG!U777)</f>
        <v/>
      </c>
      <c r="V777" s="9">
        <f>IF(ORIG!V777=0,"",ORIG!V777)</f>
        <v/>
      </c>
      <c r="W777" s="9">
        <f>IF(ORIG!W777=0,"",ORIG!W777)</f>
        <v/>
      </c>
      <c r="X777" s="9">
        <f>IF(ORIG!X777=0,"",ORIG!X777)</f>
        <v/>
      </c>
      <c r="Y777" s="9">
        <f>IF(ORIG!Y777=0,"",ORIG!Y777)</f>
        <v/>
      </c>
      <c r="Z777" s="3">
        <f>SUMPRODUCT($B777:$Y777,$B$2649:$Y$2649)</f>
        <v/>
      </c>
      <c r="AA777" s="3">
        <f>SUMPRODUCT($B777:$Y777,$B$2655:$Y$2655)</f>
        <v/>
      </c>
      <c r="AC777" s="1">
        <f>A777</f>
        <v/>
      </c>
      <c r="AD777">
        <f>IF(ISNUMBER(V777),V777*($AB$1/V$2635),"")</f>
        <v/>
      </c>
      <c r="AE777">
        <f>IF(ISNUMBER(Z777),Z777*($AB$1/Z$2635),"")</f>
        <v/>
      </c>
      <c r="AF777" s="25">
        <f>IF(ISNUMBER(AD777+AE777),AD777+AE777,"")</f>
        <v/>
      </c>
      <c r="AH777" s="1">
        <f>A777</f>
        <v/>
      </c>
      <c r="AI777">
        <f>IF(ISNUMBER((1+V777)*AI776),(1+V777)*AI776,AI776)</f>
        <v/>
      </c>
      <c r="AJ777">
        <f>IF(ISNUMBER((1+Z777)*AJ776),(1+Z777)*AJ776,AJ776)</f>
        <v/>
      </c>
    </row>
    <row r="778">
      <c r="A778" s="1" t="n">
        <v>43132</v>
      </c>
      <c r="B778" s="3">
        <f>IF(ORIG!B778=0,"",ORIG!B778)</f>
        <v/>
      </c>
      <c r="C778" s="3">
        <f>IF(ORIG!C778=0,"",ORIG!C778)</f>
        <v/>
      </c>
      <c r="D778" s="3">
        <f>IF(ORIG!D778=0,"",ORIG!D778)</f>
        <v/>
      </c>
      <c r="E778" s="3">
        <f>IF(ORIG!E778=0,"",ORIG!E778)</f>
        <v/>
      </c>
      <c r="F778" s="3">
        <f>IF(ORIG!F778=0,"",ORIG!F778)</f>
        <v/>
      </c>
      <c r="G778" s="3">
        <f>IF(ORIG!G778=0,"",ORIG!G778)</f>
        <v/>
      </c>
      <c r="H778" s="3">
        <f>IF(ORIG!H778=0,"",ORIG!H778)</f>
        <v/>
      </c>
      <c r="I778" s="3">
        <f>IF(ORIG!I778=0,"",ORIG!I778)</f>
        <v/>
      </c>
      <c r="J778" s="3">
        <f>IF(ORIG!J778=0,"",ORIG!J778)</f>
        <v/>
      </c>
      <c r="K778" s="3">
        <f>IF(ORIG!K778=0,"",ORIG!K778)</f>
        <v/>
      </c>
      <c r="L778" s="3">
        <f>IF(ORIG!L778=0,"",ORIG!L778)</f>
        <v/>
      </c>
      <c r="M778" s="3">
        <f>IF(ORIG!M778=0,"",ORIG!M778)</f>
        <v/>
      </c>
      <c r="N778" s="3">
        <f>IF(ORIG!N778=0,"",ORIG!N778)</f>
        <v/>
      </c>
      <c r="O778" s="3">
        <f>IF(ORIG!O778=0,"",ORIG!O778)</f>
        <v/>
      </c>
      <c r="P778" s="3">
        <f>IF(ORIG!P778=0,"",ORIG!P778)</f>
        <v/>
      </c>
      <c r="Q778" s="3">
        <f>IF(ORIG!Q778=0,"",ORIG!Q778)</f>
        <v/>
      </c>
      <c r="R778" s="3">
        <f>IF(ORIG!R778=0,"",ORIG!R778)</f>
        <v/>
      </c>
      <c r="S778" s="3">
        <f>IF(ORIG!S778=0,"",ORIG!S778)</f>
        <v/>
      </c>
      <c r="T778" s="3">
        <f>IF(ORIG!T778=0,"",ORIG!T778)</f>
        <v/>
      </c>
      <c r="U778" s="3">
        <f>IF(ORIG!U778=0,"",ORIG!U778)</f>
        <v/>
      </c>
      <c r="V778" s="9">
        <f>IF(ORIG!V778=0,"",ORIG!V778)</f>
        <v/>
      </c>
      <c r="W778" s="9">
        <f>IF(ORIG!W778=0,"",ORIG!W778)</f>
        <v/>
      </c>
      <c r="X778" s="9">
        <f>IF(ORIG!X778=0,"",ORIG!X778)</f>
        <v/>
      </c>
      <c r="Y778" s="9">
        <f>IF(ORIG!Y778=0,"",ORIG!Y778)</f>
        <v/>
      </c>
      <c r="Z778" s="3">
        <f>SUMPRODUCT($B778:$Y778,$B$2649:$Y$2649)</f>
        <v/>
      </c>
      <c r="AA778" s="3">
        <f>SUMPRODUCT($B778:$Y778,$B$2655:$Y$2655)</f>
        <v/>
      </c>
      <c r="AC778" s="1">
        <f>A778</f>
        <v/>
      </c>
      <c r="AD778">
        <f>IF(ISNUMBER(V778),V778*($AB$1/V$2635),"")</f>
        <v/>
      </c>
      <c r="AE778">
        <f>IF(ISNUMBER(Z778),Z778*($AB$1/Z$2635),"")</f>
        <v/>
      </c>
      <c r="AF778" s="25">
        <f>IF(ISNUMBER(AD778+AE778),AD778+AE778,"")</f>
        <v/>
      </c>
      <c r="AH778" s="1">
        <f>A778</f>
        <v/>
      </c>
      <c r="AI778">
        <f>IF(ISNUMBER((1+V778)*AI777),(1+V778)*AI777,AI777)</f>
        <v/>
      </c>
      <c r="AJ778">
        <f>IF(ISNUMBER((1+Z778)*AJ777),(1+Z778)*AJ777,AJ777)</f>
        <v/>
      </c>
    </row>
    <row r="779">
      <c r="A779" s="1" t="n">
        <v>43133</v>
      </c>
      <c r="B779" s="3">
        <f>IF(ORIG!B779=0,"",ORIG!B779)</f>
        <v/>
      </c>
      <c r="C779" s="3">
        <f>IF(ORIG!C779=0,"",ORIG!C779)</f>
        <v/>
      </c>
      <c r="D779" s="3">
        <f>IF(ORIG!D779=0,"",ORIG!D779)</f>
        <v/>
      </c>
      <c r="E779" s="3">
        <f>IF(ORIG!E779=0,"",ORIG!E779)</f>
        <v/>
      </c>
      <c r="F779" s="3">
        <f>IF(ORIG!F779=0,"",ORIG!F779)</f>
        <v/>
      </c>
      <c r="G779" s="3">
        <f>IF(ORIG!G779=0,"",ORIG!G779)</f>
        <v/>
      </c>
      <c r="H779" s="3">
        <f>IF(ORIG!H779=0,"",ORIG!H779)</f>
        <v/>
      </c>
      <c r="I779" s="3">
        <f>IF(ORIG!I779=0,"",ORIG!I779)</f>
        <v/>
      </c>
      <c r="J779" s="3">
        <f>IF(ORIG!J779=0,"",ORIG!J779)</f>
        <v/>
      </c>
      <c r="K779" s="3">
        <f>IF(ORIG!K779=0,"",ORIG!K779)</f>
        <v/>
      </c>
      <c r="L779" s="3">
        <f>IF(ORIG!L779=0,"",ORIG!L779)</f>
        <v/>
      </c>
      <c r="M779" s="3">
        <f>IF(ORIG!M779=0,"",ORIG!M779)</f>
        <v/>
      </c>
      <c r="N779" s="3">
        <f>IF(ORIG!N779=0,"",ORIG!N779)</f>
        <v/>
      </c>
      <c r="O779" s="3">
        <f>IF(ORIG!O779=0,"",ORIG!O779)</f>
        <v/>
      </c>
      <c r="P779" s="3">
        <f>IF(ORIG!P779=0,"",ORIG!P779)</f>
        <v/>
      </c>
      <c r="Q779" s="3">
        <f>IF(ORIG!Q779=0,"",ORIG!Q779)</f>
        <v/>
      </c>
      <c r="R779" s="3">
        <f>IF(ORIG!R779=0,"",ORIG!R779)</f>
        <v/>
      </c>
      <c r="S779" s="3">
        <f>IF(ORIG!S779=0,"",ORIG!S779)</f>
        <v/>
      </c>
      <c r="T779" s="3">
        <f>IF(ORIG!T779=0,"",ORIG!T779)</f>
        <v/>
      </c>
      <c r="U779" s="3">
        <f>IF(ORIG!U779=0,"",ORIG!U779)</f>
        <v/>
      </c>
      <c r="V779" s="9">
        <f>IF(ORIG!V779=0,"",ORIG!V779)</f>
        <v/>
      </c>
      <c r="W779" s="9">
        <f>IF(ORIG!W779=0,"",ORIG!W779)</f>
        <v/>
      </c>
      <c r="X779" s="9">
        <f>IF(ORIG!X779=0,"",ORIG!X779)</f>
        <v/>
      </c>
      <c r="Y779" s="9">
        <f>IF(ORIG!Y779=0,"",ORIG!Y779)</f>
        <v/>
      </c>
      <c r="Z779" s="3">
        <f>SUMPRODUCT($B779:$Y779,$B$2649:$Y$2649)</f>
        <v/>
      </c>
      <c r="AA779" s="3">
        <f>SUMPRODUCT($B779:$Y779,$B$2655:$Y$2655)</f>
        <v/>
      </c>
      <c r="AC779" s="1">
        <f>A779</f>
        <v/>
      </c>
      <c r="AD779">
        <f>IF(ISNUMBER(V779),V779*($AB$1/V$2635),"")</f>
        <v/>
      </c>
      <c r="AE779">
        <f>IF(ISNUMBER(Z779),Z779*($AB$1/Z$2635),"")</f>
        <v/>
      </c>
      <c r="AF779" s="25">
        <f>IF(ISNUMBER(AD779+AE779),AD779+AE779,"")</f>
        <v/>
      </c>
      <c r="AH779" s="1">
        <f>A779</f>
        <v/>
      </c>
      <c r="AI779">
        <f>IF(ISNUMBER((1+V779)*AI778),(1+V779)*AI778,AI778)</f>
        <v/>
      </c>
      <c r="AJ779">
        <f>IF(ISNUMBER((1+Z779)*AJ778),(1+Z779)*AJ778,AJ778)</f>
        <v/>
      </c>
    </row>
    <row r="780">
      <c r="A780" s="1" t="n">
        <v>43136</v>
      </c>
      <c r="B780" s="3">
        <f>IF(ORIG!B780=0,"",ORIG!B780)</f>
        <v/>
      </c>
      <c r="C780" s="3">
        <f>IF(ORIG!C780=0,"",ORIG!C780)</f>
        <v/>
      </c>
      <c r="D780" s="3">
        <f>IF(ORIG!D780=0,"",ORIG!D780)</f>
        <v/>
      </c>
      <c r="E780" s="3">
        <f>IF(ORIG!E780=0,"",ORIG!E780)</f>
        <v/>
      </c>
      <c r="F780" s="3">
        <f>IF(ORIG!F780=0,"",ORIG!F780)</f>
        <v/>
      </c>
      <c r="G780" s="3">
        <f>IF(ORIG!G780=0,"",ORIG!G780)</f>
        <v/>
      </c>
      <c r="H780" s="3">
        <f>IF(ORIG!H780=0,"",ORIG!H780)</f>
        <v/>
      </c>
      <c r="I780" s="3">
        <f>IF(ORIG!I780=0,"",ORIG!I780)</f>
        <v/>
      </c>
      <c r="J780" s="3">
        <f>IF(ORIG!J780=0,"",ORIG!J780)</f>
        <v/>
      </c>
      <c r="K780" s="3">
        <f>IF(ORIG!K780=0,"",ORIG!K780)</f>
        <v/>
      </c>
      <c r="L780" s="3">
        <f>IF(ORIG!L780=0,"",ORIG!L780)</f>
        <v/>
      </c>
      <c r="M780" s="3">
        <f>IF(ORIG!M780=0,"",ORIG!M780)</f>
        <v/>
      </c>
      <c r="N780" s="3">
        <f>IF(ORIG!N780=0,"",ORIG!N780)</f>
        <v/>
      </c>
      <c r="O780" s="3">
        <f>IF(ORIG!O780=0,"",ORIG!O780)</f>
        <v/>
      </c>
      <c r="P780" s="3">
        <f>IF(ORIG!P780=0,"",ORIG!P780)</f>
        <v/>
      </c>
      <c r="Q780" s="3">
        <f>IF(ORIG!Q780=0,"",ORIG!Q780)</f>
        <v/>
      </c>
      <c r="R780" s="3">
        <f>IF(ORIG!R780=0,"",ORIG!R780)</f>
        <v/>
      </c>
      <c r="S780" s="3">
        <f>IF(ORIG!S780=0,"",ORIG!S780)</f>
        <v/>
      </c>
      <c r="T780" s="3">
        <f>IF(ORIG!T780=0,"",ORIG!T780)</f>
        <v/>
      </c>
      <c r="U780" s="3">
        <f>IF(ORIG!U780=0,"",ORIG!U780)</f>
        <v/>
      </c>
      <c r="V780" s="9">
        <f>IF(ORIG!V780=0,"",ORIG!V780)</f>
        <v/>
      </c>
      <c r="W780" s="9">
        <f>IF(ORIG!W780=0,"",ORIG!W780)</f>
        <v/>
      </c>
      <c r="X780" s="9">
        <f>IF(ORIG!X780=0,"",ORIG!X780)</f>
        <v/>
      </c>
      <c r="Y780" s="9">
        <f>IF(ORIG!Y780=0,"",ORIG!Y780)</f>
        <v/>
      </c>
      <c r="Z780" s="3">
        <f>SUMPRODUCT($B780:$Y780,$B$2649:$Y$2649)</f>
        <v/>
      </c>
      <c r="AA780" s="3">
        <f>SUMPRODUCT($B780:$Y780,$B$2655:$Y$2655)</f>
        <v/>
      </c>
      <c r="AC780" s="1">
        <f>A780</f>
        <v/>
      </c>
      <c r="AD780">
        <f>IF(ISNUMBER(V780),V780*($AB$1/V$2635),"")</f>
        <v/>
      </c>
      <c r="AE780">
        <f>IF(ISNUMBER(Z780),Z780*($AB$1/Z$2635),"")</f>
        <v/>
      </c>
      <c r="AF780" s="25">
        <f>IF(ISNUMBER(AD780+AE780),AD780+AE780,"")</f>
        <v/>
      </c>
      <c r="AH780" s="1">
        <f>A780</f>
        <v/>
      </c>
      <c r="AI780">
        <f>IF(ISNUMBER((1+V780)*AI779),(1+V780)*AI779,AI779)</f>
        <v/>
      </c>
      <c r="AJ780">
        <f>IF(ISNUMBER((1+Z780)*AJ779),(1+Z780)*AJ779,AJ779)</f>
        <v/>
      </c>
    </row>
    <row r="781">
      <c r="A781" s="1" t="n">
        <v>43137</v>
      </c>
      <c r="B781" s="3">
        <f>IF(ORIG!B781=0,"",ORIG!B781)</f>
        <v/>
      </c>
      <c r="C781" s="3">
        <f>IF(ORIG!C781=0,"",ORIG!C781)</f>
        <v/>
      </c>
      <c r="D781" s="3">
        <f>IF(ORIG!D781=0,"",ORIG!D781)</f>
        <v/>
      </c>
      <c r="E781" s="3">
        <f>IF(ORIG!E781=0,"",ORIG!E781)</f>
        <v/>
      </c>
      <c r="F781" s="3">
        <f>IF(ORIG!F781=0,"",ORIG!F781)</f>
        <v/>
      </c>
      <c r="G781" s="3">
        <f>IF(ORIG!G781=0,"",ORIG!G781)</f>
        <v/>
      </c>
      <c r="H781" s="3">
        <f>IF(ORIG!H781=0,"",ORIG!H781)</f>
        <v/>
      </c>
      <c r="I781" s="3">
        <f>IF(ORIG!I781=0,"",ORIG!I781)</f>
        <v/>
      </c>
      <c r="J781" s="3">
        <f>IF(ORIG!J781=0,"",ORIG!J781)</f>
        <v/>
      </c>
      <c r="K781" s="3">
        <f>IF(ORIG!K781=0,"",ORIG!K781)</f>
        <v/>
      </c>
      <c r="L781" s="3">
        <f>IF(ORIG!L781=0,"",ORIG!L781)</f>
        <v/>
      </c>
      <c r="M781" s="3">
        <f>IF(ORIG!M781=0,"",ORIG!M781)</f>
        <v/>
      </c>
      <c r="N781" s="3">
        <f>IF(ORIG!N781=0,"",ORIG!N781)</f>
        <v/>
      </c>
      <c r="O781" s="3">
        <f>IF(ORIG!O781=0,"",ORIG!O781)</f>
        <v/>
      </c>
      <c r="P781" s="3">
        <f>IF(ORIG!P781=0,"",ORIG!P781)</f>
        <v/>
      </c>
      <c r="Q781" s="3">
        <f>IF(ORIG!Q781=0,"",ORIG!Q781)</f>
        <v/>
      </c>
      <c r="R781" s="3">
        <f>IF(ORIG!R781=0,"",ORIG!R781)</f>
        <v/>
      </c>
      <c r="S781" s="3">
        <f>IF(ORIG!S781=0,"",ORIG!S781)</f>
        <v/>
      </c>
      <c r="T781" s="3">
        <f>IF(ORIG!T781=0,"",ORIG!T781)</f>
        <v/>
      </c>
      <c r="U781" s="3">
        <f>IF(ORIG!U781=0,"",ORIG!U781)</f>
        <v/>
      </c>
      <c r="V781" s="9">
        <f>IF(ORIG!V781=0,"",ORIG!V781)</f>
        <v/>
      </c>
      <c r="W781" s="9">
        <f>IF(ORIG!W781=0,"",ORIG!W781)</f>
        <v/>
      </c>
      <c r="X781" s="9">
        <f>IF(ORIG!X781=0,"",ORIG!X781)</f>
        <v/>
      </c>
      <c r="Y781" s="9">
        <f>IF(ORIG!Y781=0,"",ORIG!Y781)</f>
        <v/>
      </c>
      <c r="Z781" s="3">
        <f>SUMPRODUCT($B781:$Y781,$B$2649:$Y$2649)</f>
        <v/>
      </c>
      <c r="AA781" s="3">
        <f>SUMPRODUCT($B781:$Y781,$B$2655:$Y$2655)</f>
        <v/>
      </c>
      <c r="AC781" s="1">
        <f>A781</f>
        <v/>
      </c>
      <c r="AD781">
        <f>IF(ISNUMBER(V781),V781*($AB$1/V$2635),"")</f>
        <v/>
      </c>
      <c r="AE781">
        <f>IF(ISNUMBER(Z781),Z781*($AB$1/Z$2635),"")</f>
        <v/>
      </c>
      <c r="AF781" s="25">
        <f>IF(ISNUMBER(AD781+AE781),AD781+AE781,"")</f>
        <v/>
      </c>
      <c r="AH781" s="1">
        <f>A781</f>
        <v/>
      </c>
      <c r="AI781">
        <f>IF(ISNUMBER((1+V781)*AI780),(1+V781)*AI780,AI780)</f>
        <v/>
      </c>
      <c r="AJ781">
        <f>IF(ISNUMBER((1+Z781)*AJ780),(1+Z781)*AJ780,AJ780)</f>
        <v/>
      </c>
    </row>
    <row r="782">
      <c r="A782" s="1" t="n">
        <v>43138</v>
      </c>
      <c r="B782" s="3">
        <f>IF(ORIG!B782=0,"",ORIG!B782)</f>
        <v/>
      </c>
      <c r="C782" s="3">
        <f>IF(ORIG!C782=0,"",ORIG!C782)</f>
        <v/>
      </c>
      <c r="D782" s="3">
        <f>IF(ORIG!D782=0,"",ORIG!D782)</f>
        <v/>
      </c>
      <c r="E782" s="3">
        <f>IF(ORIG!E782=0,"",ORIG!E782)</f>
        <v/>
      </c>
      <c r="F782" s="3">
        <f>IF(ORIG!F782=0,"",ORIG!F782)</f>
        <v/>
      </c>
      <c r="G782" s="3">
        <f>IF(ORIG!G782=0,"",ORIG!G782)</f>
        <v/>
      </c>
      <c r="H782" s="3">
        <f>IF(ORIG!H782=0,"",ORIG!H782)</f>
        <v/>
      </c>
      <c r="I782" s="3">
        <f>IF(ORIG!I782=0,"",ORIG!I782)</f>
        <v/>
      </c>
      <c r="J782" s="3">
        <f>IF(ORIG!J782=0,"",ORIG!J782)</f>
        <v/>
      </c>
      <c r="K782" s="3">
        <f>IF(ORIG!K782=0,"",ORIG!K782)</f>
        <v/>
      </c>
      <c r="L782" s="3">
        <f>IF(ORIG!L782=0,"",ORIG!L782)</f>
        <v/>
      </c>
      <c r="M782" s="3">
        <f>IF(ORIG!M782=0,"",ORIG!M782)</f>
        <v/>
      </c>
      <c r="N782" s="3">
        <f>IF(ORIG!N782=0,"",ORIG!N782)</f>
        <v/>
      </c>
      <c r="O782" s="3">
        <f>IF(ORIG!O782=0,"",ORIG!O782)</f>
        <v/>
      </c>
      <c r="P782" s="3">
        <f>IF(ORIG!P782=0,"",ORIG!P782)</f>
        <v/>
      </c>
      <c r="Q782" s="3">
        <f>IF(ORIG!Q782=0,"",ORIG!Q782)</f>
        <v/>
      </c>
      <c r="R782" s="3">
        <f>IF(ORIG!R782=0,"",ORIG!R782)</f>
        <v/>
      </c>
      <c r="S782" s="3">
        <f>IF(ORIG!S782=0,"",ORIG!S782)</f>
        <v/>
      </c>
      <c r="T782" s="3">
        <f>IF(ORIG!T782=0,"",ORIG!T782)</f>
        <v/>
      </c>
      <c r="U782" s="3">
        <f>IF(ORIG!U782=0,"",ORIG!U782)</f>
        <v/>
      </c>
      <c r="V782" s="9">
        <f>IF(ORIG!V782=0,"",ORIG!V782)</f>
        <v/>
      </c>
      <c r="W782" s="9">
        <f>IF(ORIG!W782=0,"",ORIG!W782)</f>
        <v/>
      </c>
      <c r="X782" s="9">
        <f>IF(ORIG!X782=0,"",ORIG!X782)</f>
        <v/>
      </c>
      <c r="Y782" s="9">
        <f>IF(ORIG!Y782=0,"",ORIG!Y782)</f>
        <v/>
      </c>
      <c r="Z782" s="3">
        <f>SUMPRODUCT($B782:$Y782,$B$2649:$Y$2649)</f>
        <v/>
      </c>
      <c r="AA782" s="3">
        <f>SUMPRODUCT($B782:$Y782,$B$2655:$Y$2655)</f>
        <v/>
      </c>
      <c r="AC782" s="1">
        <f>A782</f>
        <v/>
      </c>
      <c r="AD782">
        <f>IF(ISNUMBER(V782),V782*($AB$1/V$2635),"")</f>
        <v/>
      </c>
      <c r="AE782">
        <f>IF(ISNUMBER(Z782),Z782*($AB$1/Z$2635),"")</f>
        <v/>
      </c>
      <c r="AF782" s="25">
        <f>IF(ISNUMBER(AD782+AE782),AD782+AE782,"")</f>
        <v/>
      </c>
      <c r="AH782" s="1">
        <f>A782</f>
        <v/>
      </c>
      <c r="AI782">
        <f>IF(ISNUMBER((1+V782)*AI781),(1+V782)*AI781,AI781)</f>
        <v/>
      </c>
      <c r="AJ782">
        <f>IF(ISNUMBER((1+Z782)*AJ781),(1+Z782)*AJ781,AJ781)</f>
        <v/>
      </c>
    </row>
    <row r="783">
      <c r="A783" s="1" t="n">
        <v>43139</v>
      </c>
      <c r="B783" s="3">
        <f>IF(ORIG!B783=0,"",ORIG!B783)</f>
        <v/>
      </c>
      <c r="C783" s="3">
        <f>IF(ORIG!C783=0,"",ORIG!C783)</f>
        <v/>
      </c>
      <c r="D783" s="3">
        <f>IF(ORIG!D783=0,"",ORIG!D783)</f>
        <v/>
      </c>
      <c r="E783" s="3">
        <f>IF(ORIG!E783=0,"",ORIG!E783)</f>
        <v/>
      </c>
      <c r="F783" s="3">
        <f>IF(ORIG!F783=0,"",ORIG!F783)</f>
        <v/>
      </c>
      <c r="G783" s="3">
        <f>IF(ORIG!G783=0,"",ORIG!G783)</f>
        <v/>
      </c>
      <c r="H783" s="3">
        <f>IF(ORIG!H783=0,"",ORIG!H783)</f>
        <v/>
      </c>
      <c r="I783" s="3">
        <f>IF(ORIG!I783=0,"",ORIG!I783)</f>
        <v/>
      </c>
      <c r="J783" s="3">
        <f>IF(ORIG!J783=0,"",ORIG!J783)</f>
        <v/>
      </c>
      <c r="K783" s="3">
        <f>IF(ORIG!K783=0,"",ORIG!K783)</f>
        <v/>
      </c>
      <c r="L783" s="3">
        <f>IF(ORIG!L783=0,"",ORIG!L783)</f>
        <v/>
      </c>
      <c r="M783" s="3">
        <f>IF(ORIG!M783=0,"",ORIG!M783)</f>
        <v/>
      </c>
      <c r="N783" s="3">
        <f>IF(ORIG!N783=0,"",ORIG!N783)</f>
        <v/>
      </c>
      <c r="O783" s="3">
        <f>IF(ORIG!O783=0,"",ORIG!O783)</f>
        <v/>
      </c>
      <c r="P783" s="3">
        <f>IF(ORIG!P783=0,"",ORIG!P783)</f>
        <v/>
      </c>
      <c r="Q783" s="3">
        <f>IF(ORIG!Q783=0,"",ORIG!Q783)</f>
        <v/>
      </c>
      <c r="R783" s="3">
        <f>IF(ORIG!R783=0,"",ORIG!R783)</f>
        <v/>
      </c>
      <c r="S783" s="3">
        <f>IF(ORIG!S783=0,"",ORIG!S783)</f>
        <v/>
      </c>
      <c r="T783" s="3">
        <f>IF(ORIG!T783=0,"",ORIG!T783)</f>
        <v/>
      </c>
      <c r="U783" s="3">
        <f>IF(ORIG!U783=0,"",ORIG!U783)</f>
        <v/>
      </c>
      <c r="V783" s="9">
        <f>IF(ORIG!V783=0,"",ORIG!V783)</f>
        <v/>
      </c>
      <c r="W783" s="9">
        <f>IF(ORIG!W783=0,"",ORIG!W783)</f>
        <v/>
      </c>
      <c r="X783" s="9">
        <f>IF(ORIG!X783=0,"",ORIG!X783)</f>
        <v/>
      </c>
      <c r="Y783" s="9">
        <f>IF(ORIG!Y783=0,"",ORIG!Y783)</f>
        <v/>
      </c>
      <c r="Z783" s="3">
        <f>SUMPRODUCT($B783:$Y783,$B$2649:$Y$2649)</f>
        <v/>
      </c>
      <c r="AA783" s="3">
        <f>SUMPRODUCT($B783:$Y783,$B$2655:$Y$2655)</f>
        <v/>
      </c>
      <c r="AC783" s="1">
        <f>A783</f>
        <v/>
      </c>
      <c r="AD783">
        <f>IF(ISNUMBER(V783),V783*($AB$1/V$2635),"")</f>
        <v/>
      </c>
      <c r="AE783">
        <f>IF(ISNUMBER(Z783),Z783*($AB$1/Z$2635),"")</f>
        <v/>
      </c>
      <c r="AF783" s="25">
        <f>IF(ISNUMBER(AD783+AE783),AD783+AE783,"")</f>
        <v/>
      </c>
      <c r="AH783" s="1">
        <f>A783</f>
        <v/>
      </c>
      <c r="AI783">
        <f>IF(ISNUMBER((1+V783)*AI782),(1+V783)*AI782,AI782)</f>
        <v/>
      </c>
      <c r="AJ783">
        <f>IF(ISNUMBER((1+Z783)*AJ782),(1+Z783)*AJ782,AJ782)</f>
        <v/>
      </c>
    </row>
    <row r="784">
      <c r="A784" s="1" t="n">
        <v>43140</v>
      </c>
      <c r="B784" s="3">
        <f>IF(ORIG!B784=0,"",ORIG!B784)</f>
        <v/>
      </c>
      <c r="C784" s="3">
        <f>IF(ORIG!C784=0,"",ORIG!C784)</f>
        <v/>
      </c>
      <c r="D784" s="3">
        <f>IF(ORIG!D784=0,"",ORIG!D784)</f>
        <v/>
      </c>
      <c r="E784" s="3">
        <f>IF(ORIG!E784=0,"",ORIG!E784)</f>
        <v/>
      </c>
      <c r="F784" s="3">
        <f>IF(ORIG!F784=0,"",ORIG!F784)</f>
        <v/>
      </c>
      <c r="G784" s="3">
        <f>IF(ORIG!G784=0,"",ORIG!G784)</f>
        <v/>
      </c>
      <c r="H784" s="3">
        <f>IF(ORIG!H784=0,"",ORIG!H784)</f>
        <v/>
      </c>
      <c r="I784" s="3">
        <f>IF(ORIG!I784=0,"",ORIG!I784)</f>
        <v/>
      </c>
      <c r="J784" s="3">
        <f>IF(ORIG!J784=0,"",ORIG!J784)</f>
        <v/>
      </c>
      <c r="K784" s="3">
        <f>IF(ORIG!K784=0,"",ORIG!K784)</f>
        <v/>
      </c>
      <c r="L784" s="3">
        <f>IF(ORIG!L784=0,"",ORIG!L784)</f>
        <v/>
      </c>
      <c r="M784" s="3">
        <f>IF(ORIG!M784=0,"",ORIG!M784)</f>
        <v/>
      </c>
      <c r="N784" s="3">
        <f>IF(ORIG!N784=0,"",ORIG!N784)</f>
        <v/>
      </c>
      <c r="O784" s="3">
        <f>IF(ORIG!O784=0,"",ORIG!O784)</f>
        <v/>
      </c>
      <c r="P784" s="3">
        <f>IF(ORIG!P784=0,"",ORIG!P784)</f>
        <v/>
      </c>
      <c r="Q784" s="3">
        <f>IF(ORIG!Q784=0,"",ORIG!Q784)</f>
        <v/>
      </c>
      <c r="R784" s="3">
        <f>IF(ORIG!R784=0,"",ORIG!R784)</f>
        <v/>
      </c>
      <c r="S784" s="3">
        <f>IF(ORIG!S784=0,"",ORIG!S784)</f>
        <v/>
      </c>
      <c r="T784" s="3">
        <f>IF(ORIG!T784=0,"",ORIG!T784)</f>
        <v/>
      </c>
      <c r="U784" s="3">
        <f>IF(ORIG!U784=0,"",ORIG!U784)</f>
        <v/>
      </c>
      <c r="V784" s="9">
        <f>IF(ORIG!V784=0,"",ORIG!V784)</f>
        <v/>
      </c>
      <c r="W784" s="9">
        <f>IF(ORIG!W784=0,"",ORIG!W784)</f>
        <v/>
      </c>
      <c r="X784" s="9">
        <f>IF(ORIG!X784=0,"",ORIG!X784)</f>
        <v/>
      </c>
      <c r="Y784" s="9">
        <f>IF(ORIG!Y784=0,"",ORIG!Y784)</f>
        <v/>
      </c>
      <c r="Z784" s="3">
        <f>SUMPRODUCT($B784:$Y784,$B$2649:$Y$2649)</f>
        <v/>
      </c>
      <c r="AA784" s="3">
        <f>SUMPRODUCT($B784:$Y784,$B$2655:$Y$2655)</f>
        <v/>
      </c>
      <c r="AC784" s="1">
        <f>A784</f>
        <v/>
      </c>
      <c r="AD784">
        <f>IF(ISNUMBER(V784),V784*($AB$1/V$2635),"")</f>
        <v/>
      </c>
      <c r="AE784">
        <f>IF(ISNUMBER(Z784),Z784*($AB$1/Z$2635),"")</f>
        <v/>
      </c>
      <c r="AF784" s="25">
        <f>IF(ISNUMBER(AD784+AE784),AD784+AE784,"")</f>
        <v/>
      </c>
      <c r="AH784" s="1">
        <f>A784</f>
        <v/>
      </c>
      <c r="AI784">
        <f>IF(ISNUMBER((1+V784)*AI783),(1+V784)*AI783,AI783)</f>
        <v/>
      </c>
      <c r="AJ784">
        <f>IF(ISNUMBER((1+Z784)*AJ783),(1+Z784)*AJ783,AJ783)</f>
        <v/>
      </c>
    </row>
    <row r="785">
      <c r="A785" s="1" t="n">
        <v>43143</v>
      </c>
      <c r="B785" s="3">
        <f>IF(ORIG!B785=0,"",ORIG!B785)</f>
        <v/>
      </c>
      <c r="C785" s="3">
        <f>IF(ORIG!C785=0,"",ORIG!C785)</f>
        <v/>
      </c>
      <c r="D785" s="3">
        <f>IF(ORIG!D785=0,"",ORIG!D785)</f>
        <v/>
      </c>
      <c r="E785" s="3">
        <f>IF(ORIG!E785=0,"",ORIG!E785)</f>
        <v/>
      </c>
      <c r="F785" s="3">
        <f>IF(ORIG!F785=0,"",ORIG!F785)</f>
        <v/>
      </c>
      <c r="G785" s="3">
        <f>IF(ORIG!G785=0,"",ORIG!G785)</f>
        <v/>
      </c>
      <c r="H785" s="3">
        <f>IF(ORIG!H785=0,"",ORIG!H785)</f>
        <v/>
      </c>
      <c r="I785" s="3">
        <f>IF(ORIG!I785=0,"",ORIG!I785)</f>
        <v/>
      </c>
      <c r="J785" s="3">
        <f>IF(ORIG!J785=0,"",ORIG!J785)</f>
        <v/>
      </c>
      <c r="K785" s="3">
        <f>IF(ORIG!K785=0,"",ORIG!K785)</f>
        <v/>
      </c>
      <c r="L785" s="3">
        <f>IF(ORIG!L785=0,"",ORIG!L785)</f>
        <v/>
      </c>
      <c r="M785" s="3">
        <f>IF(ORIG!M785=0,"",ORIG!M785)</f>
        <v/>
      </c>
      <c r="N785" s="3">
        <f>IF(ORIG!N785=0,"",ORIG!N785)</f>
        <v/>
      </c>
      <c r="O785" s="3">
        <f>IF(ORIG!O785=0,"",ORIG!O785)</f>
        <v/>
      </c>
      <c r="P785" s="3">
        <f>IF(ORIG!P785=0,"",ORIG!P785)</f>
        <v/>
      </c>
      <c r="Q785" s="3">
        <f>IF(ORIG!Q785=0,"",ORIG!Q785)</f>
        <v/>
      </c>
      <c r="R785" s="3">
        <f>IF(ORIG!R785=0,"",ORIG!R785)</f>
        <v/>
      </c>
      <c r="S785" s="3">
        <f>IF(ORIG!S785=0,"",ORIG!S785)</f>
        <v/>
      </c>
      <c r="T785" s="3">
        <f>IF(ORIG!T785=0,"",ORIG!T785)</f>
        <v/>
      </c>
      <c r="U785" s="3">
        <f>IF(ORIG!U785=0,"",ORIG!U785)</f>
        <v/>
      </c>
      <c r="V785" s="9">
        <f>IF(ORIG!V785=0,"",ORIG!V785)</f>
        <v/>
      </c>
      <c r="W785" s="9">
        <f>IF(ORIG!W785=0,"",ORIG!W785)</f>
        <v/>
      </c>
      <c r="X785" s="9">
        <f>IF(ORIG!X785=0,"",ORIG!X785)</f>
        <v/>
      </c>
      <c r="Y785" s="9">
        <f>IF(ORIG!Y785=0,"",ORIG!Y785)</f>
        <v/>
      </c>
      <c r="Z785" s="3">
        <f>SUMPRODUCT($B785:$Y785,$B$2649:$Y$2649)</f>
        <v/>
      </c>
      <c r="AA785" s="3">
        <f>SUMPRODUCT($B785:$Y785,$B$2655:$Y$2655)</f>
        <v/>
      </c>
      <c r="AC785" s="1">
        <f>A785</f>
        <v/>
      </c>
      <c r="AD785">
        <f>IF(ISNUMBER(V785),V785*($AB$1/V$2635),"")</f>
        <v/>
      </c>
      <c r="AE785">
        <f>IF(ISNUMBER(Z785),Z785*($AB$1/Z$2635),"")</f>
        <v/>
      </c>
      <c r="AF785" s="25">
        <f>IF(ISNUMBER(AD785+AE785),AD785+AE785,"")</f>
        <v/>
      </c>
      <c r="AH785" s="1">
        <f>A785</f>
        <v/>
      </c>
      <c r="AI785">
        <f>IF(ISNUMBER((1+V785)*AI784),(1+V785)*AI784,AI784)</f>
        <v/>
      </c>
      <c r="AJ785">
        <f>IF(ISNUMBER((1+Z785)*AJ784),(1+Z785)*AJ784,AJ784)</f>
        <v/>
      </c>
    </row>
    <row r="786">
      <c r="A786" s="1" t="n">
        <v>43144</v>
      </c>
      <c r="B786" s="3">
        <f>IF(ORIG!B786=0,"",ORIG!B786)</f>
        <v/>
      </c>
      <c r="C786" s="3">
        <f>IF(ORIG!C786=0,"",ORIG!C786)</f>
        <v/>
      </c>
      <c r="D786" s="3">
        <f>IF(ORIG!D786=0,"",ORIG!D786)</f>
        <v/>
      </c>
      <c r="E786" s="3">
        <f>IF(ORIG!E786=0,"",ORIG!E786)</f>
        <v/>
      </c>
      <c r="F786" s="3">
        <f>IF(ORIG!F786=0,"",ORIG!F786)</f>
        <v/>
      </c>
      <c r="G786" s="3">
        <f>IF(ORIG!G786=0,"",ORIG!G786)</f>
        <v/>
      </c>
      <c r="H786" s="3">
        <f>IF(ORIG!H786=0,"",ORIG!H786)</f>
        <v/>
      </c>
      <c r="I786" s="3">
        <f>IF(ORIG!I786=0,"",ORIG!I786)</f>
        <v/>
      </c>
      <c r="J786" s="3">
        <f>IF(ORIG!J786=0,"",ORIG!J786)</f>
        <v/>
      </c>
      <c r="K786" s="3">
        <f>IF(ORIG!K786=0,"",ORIG!K786)</f>
        <v/>
      </c>
      <c r="L786" s="3">
        <f>IF(ORIG!L786=0,"",ORIG!L786)</f>
        <v/>
      </c>
      <c r="M786" s="3">
        <f>IF(ORIG!M786=0,"",ORIG!M786)</f>
        <v/>
      </c>
      <c r="N786" s="3">
        <f>IF(ORIG!N786=0,"",ORIG!N786)</f>
        <v/>
      </c>
      <c r="O786" s="3">
        <f>IF(ORIG!O786=0,"",ORIG!O786)</f>
        <v/>
      </c>
      <c r="P786" s="3">
        <f>IF(ORIG!P786=0,"",ORIG!P786)</f>
        <v/>
      </c>
      <c r="Q786" s="3">
        <f>IF(ORIG!Q786=0,"",ORIG!Q786)</f>
        <v/>
      </c>
      <c r="R786" s="3">
        <f>IF(ORIG!R786=0,"",ORIG!R786)</f>
        <v/>
      </c>
      <c r="S786" s="3">
        <f>IF(ORIG!S786=0,"",ORIG!S786)</f>
        <v/>
      </c>
      <c r="T786" s="3">
        <f>IF(ORIG!T786=0,"",ORIG!T786)</f>
        <v/>
      </c>
      <c r="U786" s="3">
        <f>IF(ORIG!U786=0,"",ORIG!U786)</f>
        <v/>
      </c>
      <c r="V786" s="9">
        <f>IF(ORIG!V786=0,"",ORIG!V786)</f>
        <v/>
      </c>
      <c r="W786" s="9">
        <f>IF(ORIG!W786=0,"",ORIG!W786)</f>
        <v/>
      </c>
      <c r="X786" s="9">
        <f>IF(ORIG!X786=0,"",ORIG!X786)</f>
        <v/>
      </c>
      <c r="Y786" s="9">
        <f>IF(ORIG!Y786=0,"",ORIG!Y786)</f>
        <v/>
      </c>
      <c r="Z786" s="3">
        <f>SUMPRODUCT($B786:$Y786,$B$2649:$Y$2649)</f>
        <v/>
      </c>
      <c r="AA786" s="3">
        <f>SUMPRODUCT($B786:$Y786,$B$2655:$Y$2655)</f>
        <v/>
      </c>
      <c r="AC786" s="1">
        <f>A786</f>
        <v/>
      </c>
      <c r="AD786">
        <f>IF(ISNUMBER(V786),V786*($AB$1/V$2635),"")</f>
        <v/>
      </c>
      <c r="AE786">
        <f>IF(ISNUMBER(Z786),Z786*($AB$1/Z$2635),"")</f>
        <v/>
      </c>
      <c r="AF786" s="25">
        <f>IF(ISNUMBER(AD786+AE786),AD786+AE786,"")</f>
        <v/>
      </c>
      <c r="AH786" s="1">
        <f>A786</f>
        <v/>
      </c>
      <c r="AI786">
        <f>IF(ISNUMBER((1+V786)*AI785),(1+V786)*AI785,AI785)</f>
        <v/>
      </c>
      <c r="AJ786">
        <f>IF(ISNUMBER((1+Z786)*AJ785),(1+Z786)*AJ785,AJ785)</f>
        <v/>
      </c>
    </row>
    <row r="787">
      <c r="A787" s="1" t="n">
        <v>43145</v>
      </c>
      <c r="B787" s="3">
        <f>IF(ORIG!B787=0,"",ORIG!B787)</f>
        <v/>
      </c>
      <c r="C787" s="3">
        <f>IF(ORIG!C787=0,"",ORIG!C787)</f>
        <v/>
      </c>
      <c r="D787" s="3">
        <f>IF(ORIG!D787=0,"",ORIG!D787)</f>
        <v/>
      </c>
      <c r="E787" s="3">
        <f>IF(ORIG!E787=0,"",ORIG!E787)</f>
        <v/>
      </c>
      <c r="F787" s="3">
        <f>IF(ORIG!F787=0,"",ORIG!F787)</f>
        <v/>
      </c>
      <c r="G787" s="3">
        <f>IF(ORIG!G787=0,"",ORIG!G787)</f>
        <v/>
      </c>
      <c r="H787" s="3">
        <f>IF(ORIG!H787=0,"",ORIG!H787)</f>
        <v/>
      </c>
      <c r="I787" s="3">
        <f>IF(ORIG!I787=0,"",ORIG!I787)</f>
        <v/>
      </c>
      <c r="J787" s="3">
        <f>IF(ORIG!J787=0,"",ORIG!J787)</f>
        <v/>
      </c>
      <c r="K787" s="3">
        <f>IF(ORIG!K787=0,"",ORIG!K787)</f>
        <v/>
      </c>
      <c r="L787" s="3">
        <f>IF(ORIG!L787=0,"",ORIG!L787)</f>
        <v/>
      </c>
      <c r="M787" s="3">
        <f>IF(ORIG!M787=0,"",ORIG!M787)</f>
        <v/>
      </c>
      <c r="N787" s="3">
        <f>IF(ORIG!N787=0,"",ORIG!N787)</f>
        <v/>
      </c>
      <c r="O787" s="3">
        <f>IF(ORIG!O787=0,"",ORIG!O787)</f>
        <v/>
      </c>
      <c r="P787" s="3">
        <f>IF(ORIG!P787=0,"",ORIG!P787)</f>
        <v/>
      </c>
      <c r="Q787" s="3">
        <f>IF(ORIG!Q787=0,"",ORIG!Q787)</f>
        <v/>
      </c>
      <c r="R787" s="3">
        <f>IF(ORIG!R787=0,"",ORIG!R787)</f>
        <v/>
      </c>
      <c r="S787" s="3">
        <f>IF(ORIG!S787=0,"",ORIG!S787)</f>
        <v/>
      </c>
      <c r="T787" s="3">
        <f>IF(ORIG!T787=0,"",ORIG!T787)</f>
        <v/>
      </c>
      <c r="U787" s="3">
        <f>IF(ORIG!U787=0,"",ORIG!U787)</f>
        <v/>
      </c>
      <c r="V787" s="9">
        <f>IF(ORIG!V787=0,"",ORIG!V787)</f>
        <v/>
      </c>
      <c r="W787" s="9">
        <f>IF(ORIG!W787=0,"",ORIG!W787)</f>
        <v/>
      </c>
      <c r="X787" s="9">
        <f>IF(ORIG!X787=0,"",ORIG!X787)</f>
        <v/>
      </c>
      <c r="Y787" s="9">
        <f>IF(ORIG!Y787=0,"",ORIG!Y787)</f>
        <v/>
      </c>
      <c r="Z787" s="3">
        <f>SUMPRODUCT($B787:$Y787,$B$2649:$Y$2649)</f>
        <v/>
      </c>
      <c r="AA787" s="3">
        <f>SUMPRODUCT($B787:$Y787,$B$2655:$Y$2655)</f>
        <v/>
      </c>
      <c r="AC787" s="1">
        <f>A787</f>
        <v/>
      </c>
      <c r="AD787">
        <f>IF(ISNUMBER(V787),V787*($AB$1/V$2635),"")</f>
        <v/>
      </c>
      <c r="AE787">
        <f>IF(ISNUMBER(Z787),Z787*($AB$1/Z$2635),"")</f>
        <v/>
      </c>
      <c r="AF787" s="25">
        <f>IF(ISNUMBER(AD787+AE787),AD787+AE787,"")</f>
        <v/>
      </c>
      <c r="AH787" s="1">
        <f>A787</f>
        <v/>
      </c>
      <c r="AI787">
        <f>IF(ISNUMBER((1+V787)*AI786),(1+V787)*AI786,AI786)</f>
        <v/>
      </c>
      <c r="AJ787">
        <f>IF(ISNUMBER((1+Z787)*AJ786),(1+Z787)*AJ786,AJ786)</f>
        <v/>
      </c>
    </row>
    <row r="788">
      <c r="A788" s="1" t="n">
        <v>43146</v>
      </c>
      <c r="B788" s="3">
        <f>IF(ORIG!B788=0,"",ORIG!B788)</f>
        <v/>
      </c>
      <c r="C788" s="3">
        <f>IF(ORIG!C788=0,"",ORIG!C788)</f>
        <v/>
      </c>
      <c r="D788" s="3">
        <f>IF(ORIG!D788=0,"",ORIG!D788)</f>
        <v/>
      </c>
      <c r="E788" s="3">
        <f>IF(ORIG!E788=0,"",ORIG!E788)</f>
        <v/>
      </c>
      <c r="F788" s="3">
        <f>IF(ORIG!F788=0,"",ORIG!F788)</f>
        <v/>
      </c>
      <c r="G788" s="3">
        <f>IF(ORIG!G788=0,"",ORIG!G788)</f>
        <v/>
      </c>
      <c r="H788" s="3">
        <f>IF(ORIG!H788=0,"",ORIG!H788)</f>
        <v/>
      </c>
      <c r="I788" s="3">
        <f>IF(ORIG!I788=0,"",ORIG!I788)</f>
        <v/>
      </c>
      <c r="J788" s="3">
        <f>IF(ORIG!J788=0,"",ORIG!J788)</f>
        <v/>
      </c>
      <c r="K788" s="3">
        <f>IF(ORIG!K788=0,"",ORIG!K788)</f>
        <v/>
      </c>
      <c r="L788" s="3">
        <f>IF(ORIG!L788=0,"",ORIG!L788)</f>
        <v/>
      </c>
      <c r="M788" s="3">
        <f>IF(ORIG!M788=0,"",ORIG!M788)</f>
        <v/>
      </c>
      <c r="N788" s="3">
        <f>IF(ORIG!N788=0,"",ORIG!N788)</f>
        <v/>
      </c>
      <c r="O788" s="3">
        <f>IF(ORIG!O788=0,"",ORIG!O788)</f>
        <v/>
      </c>
      <c r="P788" s="3">
        <f>IF(ORIG!P788=0,"",ORIG!P788)</f>
        <v/>
      </c>
      <c r="Q788" s="3">
        <f>IF(ORIG!Q788=0,"",ORIG!Q788)</f>
        <v/>
      </c>
      <c r="R788" s="3">
        <f>IF(ORIG!R788=0,"",ORIG!R788)</f>
        <v/>
      </c>
      <c r="S788" s="3">
        <f>IF(ORIG!S788=0,"",ORIG!S788)</f>
        <v/>
      </c>
      <c r="T788" s="3">
        <f>IF(ORIG!T788=0,"",ORIG!T788)</f>
        <v/>
      </c>
      <c r="U788" s="3">
        <f>IF(ORIG!U788=0,"",ORIG!U788)</f>
        <v/>
      </c>
      <c r="V788" s="9">
        <f>IF(ORIG!V788=0,"",ORIG!V788)</f>
        <v/>
      </c>
      <c r="W788" s="9">
        <f>IF(ORIG!W788=0,"",ORIG!W788)</f>
        <v/>
      </c>
      <c r="X788" s="9">
        <f>IF(ORIG!X788=0,"",ORIG!X788)</f>
        <v/>
      </c>
      <c r="Y788" s="9">
        <f>IF(ORIG!Y788=0,"",ORIG!Y788)</f>
        <v/>
      </c>
      <c r="Z788" s="3">
        <f>SUMPRODUCT($B788:$Y788,$B$2649:$Y$2649)</f>
        <v/>
      </c>
      <c r="AA788" s="3">
        <f>SUMPRODUCT($B788:$Y788,$B$2655:$Y$2655)</f>
        <v/>
      </c>
      <c r="AC788" s="1">
        <f>A788</f>
        <v/>
      </c>
      <c r="AD788">
        <f>IF(ISNUMBER(V788),V788*($AB$1/V$2635),"")</f>
        <v/>
      </c>
      <c r="AE788">
        <f>IF(ISNUMBER(Z788),Z788*($AB$1/Z$2635),"")</f>
        <v/>
      </c>
      <c r="AF788" s="25">
        <f>IF(ISNUMBER(AD788+AE788),AD788+AE788,"")</f>
        <v/>
      </c>
      <c r="AH788" s="1">
        <f>A788</f>
        <v/>
      </c>
      <c r="AI788">
        <f>IF(ISNUMBER((1+V788)*AI787),(1+V788)*AI787,AI787)</f>
        <v/>
      </c>
      <c r="AJ788">
        <f>IF(ISNUMBER((1+Z788)*AJ787),(1+Z788)*AJ787,AJ787)</f>
        <v/>
      </c>
    </row>
    <row r="789">
      <c r="A789" s="1" t="n">
        <v>43147</v>
      </c>
      <c r="B789" s="3">
        <f>IF(ORIG!B789=0,"",ORIG!B789)</f>
        <v/>
      </c>
      <c r="C789" s="3">
        <f>IF(ORIG!C789=0,"",ORIG!C789)</f>
        <v/>
      </c>
      <c r="D789" s="3">
        <f>IF(ORIG!D789=0,"",ORIG!D789)</f>
        <v/>
      </c>
      <c r="E789" s="3">
        <f>IF(ORIG!E789=0,"",ORIG!E789)</f>
        <v/>
      </c>
      <c r="F789" s="3">
        <f>IF(ORIG!F789=0,"",ORIG!F789)</f>
        <v/>
      </c>
      <c r="G789" s="3">
        <f>IF(ORIG!G789=0,"",ORIG!G789)</f>
        <v/>
      </c>
      <c r="H789" s="3">
        <f>IF(ORIG!H789=0,"",ORIG!H789)</f>
        <v/>
      </c>
      <c r="I789" s="3">
        <f>IF(ORIG!I789=0,"",ORIG!I789)</f>
        <v/>
      </c>
      <c r="J789" s="3">
        <f>IF(ORIG!J789=0,"",ORIG!J789)</f>
        <v/>
      </c>
      <c r="K789" s="3">
        <f>IF(ORIG!K789=0,"",ORIG!K789)</f>
        <v/>
      </c>
      <c r="L789" s="3">
        <f>IF(ORIG!L789=0,"",ORIG!L789)</f>
        <v/>
      </c>
      <c r="M789" s="3">
        <f>IF(ORIG!M789=0,"",ORIG!M789)</f>
        <v/>
      </c>
      <c r="N789" s="3">
        <f>IF(ORIG!N789=0,"",ORIG!N789)</f>
        <v/>
      </c>
      <c r="O789" s="3">
        <f>IF(ORIG!O789=0,"",ORIG!O789)</f>
        <v/>
      </c>
      <c r="P789" s="3">
        <f>IF(ORIG!P789=0,"",ORIG!P789)</f>
        <v/>
      </c>
      <c r="Q789" s="3">
        <f>IF(ORIG!Q789=0,"",ORIG!Q789)</f>
        <v/>
      </c>
      <c r="R789" s="3">
        <f>IF(ORIG!R789=0,"",ORIG!R789)</f>
        <v/>
      </c>
      <c r="S789" s="3">
        <f>IF(ORIG!S789=0,"",ORIG!S789)</f>
        <v/>
      </c>
      <c r="T789" s="3">
        <f>IF(ORIG!T789=0,"",ORIG!T789)</f>
        <v/>
      </c>
      <c r="U789" s="3">
        <f>IF(ORIG!U789=0,"",ORIG!U789)</f>
        <v/>
      </c>
      <c r="V789" s="9">
        <f>IF(ORIG!V789=0,"",ORIG!V789)</f>
        <v/>
      </c>
      <c r="W789" s="9">
        <f>IF(ORIG!W789=0,"",ORIG!W789)</f>
        <v/>
      </c>
      <c r="X789" s="9">
        <f>IF(ORIG!X789=0,"",ORIG!X789)</f>
        <v/>
      </c>
      <c r="Y789" s="9">
        <f>IF(ORIG!Y789=0,"",ORIG!Y789)</f>
        <v/>
      </c>
      <c r="Z789" s="3">
        <f>SUMPRODUCT($B789:$Y789,$B$2649:$Y$2649)</f>
        <v/>
      </c>
      <c r="AA789" s="3">
        <f>SUMPRODUCT($B789:$Y789,$B$2655:$Y$2655)</f>
        <v/>
      </c>
      <c r="AC789" s="1">
        <f>A789</f>
        <v/>
      </c>
      <c r="AD789">
        <f>IF(ISNUMBER(V789),V789*($AB$1/V$2635),"")</f>
        <v/>
      </c>
      <c r="AE789">
        <f>IF(ISNUMBER(Z789),Z789*($AB$1/Z$2635),"")</f>
        <v/>
      </c>
      <c r="AF789" s="25">
        <f>IF(ISNUMBER(AD789+AE789),AD789+AE789,"")</f>
        <v/>
      </c>
      <c r="AH789" s="1">
        <f>A789</f>
        <v/>
      </c>
      <c r="AI789">
        <f>IF(ISNUMBER((1+V789)*AI788),(1+V789)*AI788,AI788)</f>
        <v/>
      </c>
      <c r="AJ789">
        <f>IF(ISNUMBER((1+Z789)*AJ788),(1+Z789)*AJ788,AJ788)</f>
        <v/>
      </c>
    </row>
    <row r="790">
      <c r="A790" s="1" t="n">
        <v>43151</v>
      </c>
      <c r="B790" s="3">
        <f>IF(ORIG!B790=0,"",ORIG!B790)</f>
        <v/>
      </c>
      <c r="C790" s="3">
        <f>IF(ORIG!C790=0,"",ORIG!C790)</f>
        <v/>
      </c>
      <c r="D790" s="3">
        <f>IF(ORIG!D790=0,"",ORIG!D790)</f>
        <v/>
      </c>
      <c r="E790" s="3">
        <f>IF(ORIG!E790=0,"",ORIG!E790)</f>
        <v/>
      </c>
      <c r="F790" s="3">
        <f>IF(ORIG!F790=0,"",ORIG!F790)</f>
        <v/>
      </c>
      <c r="G790" s="3">
        <f>IF(ORIG!G790=0,"",ORIG!G790)</f>
        <v/>
      </c>
      <c r="H790" s="3">
        <f>IF(ORIG!H790=0,"",ORIG!H790)</f>
        <v/>
      </c>
      <c r="I790" s="3">
        <f>IF(ORIG!I790=0,"",ORIG!I790)</f>
        <v/>
      </c>
      <c r="J790" s="3">
        <f>IF(ORIG!J790=0,"",ORIG!J790)</f>
        <v/>
      </c>
      <c r="K790" s="3">
        <f>IF(ORIG!K790=0,"",ORIG!K790)</f>
        <v/>
      </c>
      <c r="L790" s="3">
        <f>IF(ORIG!L790=0,"",ORIG!L790)</f>
        <v/>
      </c>
      <c r="M790" s="3">
        <f>IF(ORIG!M790=0,"",ORIG!M790)</f>
        <v/>
      </c>
      <c r="N790" s="3">
        <f>IF(ORIG!N790=0,"",ORIG!N790)</f>
        <v/>
      </c>
      <c r="O790" s="3">
        <f>IF(ORIG!O790=0,"",ORIG!O790)</f>
        <v/>
      </c>
      <c r="P790" s="3">
        <f>IF(ORIG!P790=0,"",ORIG!P790)</f>
        <v/>
      </c>
      <c r="Q790" s="3">
        <f>IF(ORIG!Q790=0,"",ORIG!Q790)</f>
        <v/>
      </c>
      <c r="R790" s="3">
        <f>IF(ORIG!R790=0,"",ORIG!R790)</f>
        <v/>
      </c>
      <c r="S790" s="3">
        <f>IF(ORIG!S790=0,"",ORIG!S790)</f>
        <v/>
      </c>
      <c r="T790" s="3">
        <f>IF(ORIG!T790=0,"",ORIG!T790)</f>
        <v/>
      </c>
      <c r="U790" s="3">
        <f>IF(ORIG!U790=0,"",ORIG!U790)</f>
        <v/>
      </c>
      <c r="V790" s="9">
        <f>IF(ORIG!V790=0,"",ORIG!V790)</f>
        <v/>
      </c>
      <c r="W790" s="9">
        <f>IF(ORIG!W790=0,"",ORIG!W790)</f>
        <v/>
      </c>
      <c r="X790" s="9">
        <f>IF(ORIG!X790=0,"",ORIG!X790)</f>
        <v/>
      </c>
      <c r="Y790" s="9">
        <f>IF(ORIG!Y790=0,"",ORIG!Y790)</f>
        <v/>
      </c>
      <c r="Z790" s="3">
        <f>SUMPRODUCT($B790:$Y790,$B$2649:$Y$2649)</f>
        <v/>
      </c>
      <c r="AA790" s="3">
        <f>SUMPRODUCT($B790:$Y790,$B$2655:$Y$2655)</f>
        <v/>
      </c>
      <c r="AC790" s="1">
        <f>A790</f>
        <v/>
      </c>
      <c r="AD790">
        <f>IF(ISNUMBER(V790),V790*($AB$1/V$2635),"")</f>
        <v/>
      </c>
      <c r="AE790">
        <f>IF(ISNUMBER(Z790),Z790*($AB$1/Z$2635),"")</f>
        <v/>
      </c>
      <c r="AF790" s="25">
        <f>IF(ISNUMBER(AD790+AE790),AD790+AE790,"")</f>
        <v/>
      </c>
      <c r="AH790" s="1">
        <f>A790</f>
        <v/>
      </c>
      <c r="AI790">
        <f>IF(ISNUMBER((1+V790)*AI789),(1+V790)*AI789,AI789)</f>
        <v/>
      </c>
      <c r="AJ790">
        <f>IF(ISNUMBER((1+Z790)*AJ789),(1+Z790)*AJ789,AJ789)</f>
        <v/>
      </c>
    </row>
    <row r="791">
      <c r="A791" s="1" t="n">
        <v>43152</v>
      </c>
      <c r="B791" s="3">
        <f>IF(ORIG!B791=0,"",ORIG!B791)</f>
        <v/>
      </c>
      <c r="C791" s="3">
        <f>IF(ORIG!C791=0,"",ORIG!C791)</f>
        <v/>
      </c>
      <c r="D791" s="3">
        <f>IF(ORIG!D791=0,"",ORIG!D791)</f>
        <v/>
      </c>
      <c r="E791" s="3">
        <f>IF(ORIG!E791=0,"",ORIG!E791)</f>
        <v/>
      </c>
      <c r="F791" s="3">
        <f>IF(ORIG!F791=0,"",ORIG!F791)</f>
        <v/>
      </c>
      <c r="G791" s="3">
        <f>IF(ORIG!G791=0,"",ORIG!G791)</f>
        <v/>
      </c>
      <c r="H791" s="3">
        <f>IF(ORIG!H791=0,"",ORIG!H791)</f>
        <v/>
      </c>
      <c r="I791" s="3">
        <f>IF(ORIG!I791=0,"",ORIG!I791)</f>
        <v/>
      </c>
      <c r="J791" s="3">
        <f>IF(ORIG!J791=0,"",ORIG!J791)</f>
        <v/>
      </c>
      <c r="K791" s="3">
        <f>IF(ORIG!K791=0,"",ORIG!K791)</f>
        <v/>
      </c>
      <c r="L791" s="3">
        <f>IF(ORIG!L791=0,"",ORIG!L791)</f>
        <v/>
      </c>
      <c r="M791" s="3">
        <f>IF(ORIG!M791=0,"",ORIG!M791)</f>
        <v/>
      </c>
      <c r="N791" s="3">
        <f>IF(ORIG!N791=0,"",ORIG!N791)</f>
        <v/>
      </c>
      <c r="O791" s="3">
        <f>IF(ORIG!O791=0,"",ORIG!O791)</f>
        <v/>
      </c>
      <c r="P791" s="3">
        <f>IF(ORIG!P791=0,"",ORIG!P791)</f>
        <v/>
      </c>
      <c r="Q791" s="3">
        <f>IF(ORIG!Q791=0,"",ORIG!Q791)</f>
        <v/>
      </c>
      <c r="R791" s="3">
        <f>IF(ORIG!R791=0,"",ORIG!R791)</f>
        <v/>
      </c>
      <c r="S791" s="3">
        <f>IF(ORIG!S791=0,"",ORIG!S791)</f>
        <v/>
      </c>
      <c r="T791" s="3">
        <f>IF(ORIG!T791=0,"",ORIG!T791)</f>
        <v/>
      </c>
      <c r="U791" s="3">
        <f>IF(ORIG!U791=0,"",ORIG!U791)</f>
        <v/>
      </c>
      <c r="V791" s="9">
        <f>IF(ORIG!V791=0,"",ORIG!V791)</f>
        <v/>
      </c>
      <c r="W791" s="9">
        <f>IF(ORIG!W791=0,"",ORIG!W791)</f>
        <v/>
      </c>
      <c r="X791" s="9">
        <f>IF(ORIG!X791=0,"",ORIG!X791)</f>
        <v/>
      </c>
      <c r="Y791" s="9">
        <f>IF(ORIG!Y791=0,"",ORIG!Y791)</f>
        <v/>
      </c>
      <c r="Z791" s="3">
        <f>SUMPRODUCT($B791:$Y791,$B$2649:$Y$2649)</f>
        <v/>
      </c>
      <c r="AA791" s="3">
        <f>SUMPRODUCT($B791:$Y791,$B$2655:$Y$2655)</f>
        <v/>
      </c>
      <c r="AC791" s="1">
        <f>A791</f>
        <v/>
      </c>
      <c r="AD791">
        <f>IF(ISNUMBER(V791),V791*($AB$1/V$2635),"")</f>
        <v/>
      </c>
      <c r="AE791">
        <f>IF(ISNUMBER(Z791),Z791*($AB$1/Z$2635),"")</f>
        <v/>
      </c>
      <c r="AF791" s="25">
        <f>IF(ISNUMBER(AD791+AE791),AD791+AE791,"")</f>
        <v/>
      </c>
      <c r="AH791" s="1">
        <f>A791</f>
        <v/>
      </c>
      <c r="AI791">
        <f>IF(ISNUMBER((1+V791)*AI790),(1+V791)*AI790,AI790)</f>
        <v/>
      </c>
      <c r="AJ791">
        <f>IF(ISNUMBER((1+Z791)*AJ790),(1+Z791)*AJ790,AJ790)</f>
        <v/>
      </c>
    </row>
    <row r="792">
      <c r="A792" s="1" t="n">
        <v>43153</v>
      </c>
      <c r="B792" s="3">
        <f>IF(ORIG!B792=0,"",ORIG!B792)</f>
        <v/>
      </c>
      <c r="C792" s="3">
        <f>IF(ORIG!C792=0,"",ORIG!C792)</f>
        <v/>
      </c>
      <c r="D792" s="3">
        <f>IF(ORIG!D792=0,"",ORIG!D792)</f>
        <v/>
      </c>
      <c r="E792" s="3">
        <f>IF(ORIG!E792=0,"",ORIG!E792)</f>
        <v/>
      </c>
      <c r="F792" s="3">
        <f>IF(ORIG!F792=0,"",ORIG!F792)</f>
        <v/>
      </c>
      <c r="G792" s="3">
        <f>IF(ORIG!G792=0,"",ORIG!G792)</f>
        <v/>
      </c>
      <c r="H792" s="3">
        <f>IF(ORIG!H792=0,"",ORIG!H792)</f>
        <v/>
      </c>
      <c r="I792" s="3">
        <f>IF(ORIG!I792=0,"",ORIG!I792)</f>
        <v/>
      </c>
      <c r="J792" s="3">
        <f>IF(ORIG!J792=0,"",ORIG!J792)</f>
        <v/>
      </c>
      <c r="K792" s="3">
        <f>IF(ORIG!K792=0,"",ORIG!K792)</f>
        <v/>
      </c>
      <c r="L792" s="3">
        <f>IF(ORIG!L792=0,"",ORIG!L792)</f>
        <v/>
      </c>
      <c r="M792" s="3">
        <f>IF(ORIG!M792=0,"",ORIG!M792)</f>
        <v/>
      </c>
      <c r="N792" s="3">
        <f>IF(ORIG!N792=0,"",ORIG!N792)</f>
        <v/>
      </c>
      <c r="O792" s="3">
        <f>IF(ORIG!O792=0,"",ORIG!O792)</f>
        <v/>
      </c>
      <c r="P792" s="3">
        <f>IF(ORIG!P792=0,"",ORIG!P792)</f>
        <v/>
      </c>
      <c r="Q792" s="3">
        <f>IF(ORIG!Q792=0,"",ORIG!Q792)</f>
        <v/>
      </c>
      <c r="R792" s="3">
        <f>IF(ORIG!R792=0,"",ORIG!R792)</f>
        <v/>
      </c>
      <c r="S792" s="3">
        <f>IF(ORIG!S792=0,"",ORIG!S792)</f>
        <v/>
      </c>
      <c r="T792" s="3">
        <f>IF(ORIG!T792=0,"",ORIG!T792)</f>
        <v/>
      </c>
      <c r="U792" s="3">
        <f>IF(ORIG!U792=0,"",ORIG!U792)</f>
        <v/>
      </c>
      <c r="V792" s="9">
        <f>IF(ORIG!V792=0,"",ORIG!V792)</f>
        <v/>
      </c>
      <c r="W792" s="9">
        <f>IF(ORIG!W792=0,"",ORIG!W792)</f>
        <v/>
      </c>
      <c r="X792" s="9">
        <f>IF(ORIG!X792=0,"",ORIG!X792)</f>
        <v/>
      </c>
      <c r="Y792" s="9">
        <f>IF(ORIG!Y792=0,"",ORIG!Y792)</f>
        <v/>
      </c>
      <c r="Z792" s="3">
        <f>SUMPRODUCT($B792:$Y792,$B$2649:$Y$2649)</f>
        <v/>
      </c>
      <c r="AA792" s="3">
        <f>SUMPRODUCT($B792:$Y792,$B$2655:$Y$2655)</f>
        <v/>
      </c>
      <c r="AC792" s="1">
        <f>A792</f>
        <v/>
      </c>
      <c r="AD792">
        <f>IF(ISNUMBER(V792),V792*($AB$1/V$2635),"")</f>
        <v/>
      </c>
      <c r="AE792">
        <f>IF(ISNUMBER(Z792),Z792*($AB$1/Z$2635),"")</f>
        <v/>
      </c>
      <c r="AF792" s="25">
        <f>IF(ISNUMBER(AD792+AE792),AD792+AE792,"")</f>
        <v/>
      </c>
      <c r="AH792" s="1">
        <f>A792</f>
        <v/>
      </c>
      <c r="AI792">
        <f>IF(ISNUMBER((1+V792)*AI791),(1+V792)*AI791,AI791)</f>
        <v/>
      </c>
      <c r="AJ792">
        <f>IF(ISNUMBER((1+Z792)*AJ791),(1+Z792)*AJ791,AJ791)</f>
        <v/>
      </c>
    </row>
    <row r="793">
      <c r="A793" s="1" t="n">
        <v>43154</v>
      </c>
      <c r="B793" s="3">
        <f>IF(ORIG!B793=0,"",ORIG!B793)</f>
        <v/>
      </c>
      <c r="C793" s="3">
        <f>IF(ORIG!C793=0,"",ORIG!C793)</f>
        <v/>
      </c>
      <c r="D793" s="3">
        <f>IF(ORIG!D793=0,"",ORIG!D793)</f>
        <v/>
      </c>
      <c r="E793" s="3">
        <f>IF(ORIG!E793=0,"",ORIG!E793)</f>
        <v/>
      </c>
      <c r="F793" s="3">
        <f>IF(ORIG!F793=0,"",ORIG!F793)</f>
        <v/>
      </c>
      <c r="G793" s="3">
        <f>IF(ORIG!G793=0,"",ORIG!G793)</f>
        <v/>
      </c>
      <c r="H793" s="3">
        <f>IF(ORIG!H793=0,"",ORIG!H793)</f>
        <v/>
      </c>
      <c r="I793" s="3">
        <f>IF(ORIG!I793=0,"",ORIG!I793)</f>
        <v/>
      </c>
      <c r="J793" s="3">
        <f>IF(ORIG!J793=0,"",ORIG!J793)</f>
        <v/>
      </c>
      <c r="K793" s="3">
        <f>IF(ORIG!K793=0,"",ORIG!K793)</f>
        <v/>
      </c>
      <c r="L793" s="3">
        <f>IF(ORIG!L793=0,"",ORIG!L793)</f>
        <v/>
      </c>
      <c r="M793" s="3">
        <f>IF(ORIG!M793=0,"",ORIG!M793)</f>
        <v/>
      </c>
      <c r="N793" s="3">
        <f>IF(ORIG!N793=0,"",ORIG!N793)</f>
        <v/>
      </c>
      <c r="O793" s="3">
        <f>IF(ORIG!O793=0,"",ORIG!O793)</f>
        <v/>
      </c>
      <c r="P793" s="3">
        <f>IF(ORIG!P793=0,"",ORIG!P793)</f>
        <v/>
      </c>
      <c r="Q793" s="3">
        <f>IF(ORIG!Q793=0,"",ORIG!Q793)</f>
        <v/>
      </c>
      <c r="R793" s="3">
        <f>IF(ORIG!R793=0,"",ORIG!R793)</f>
        <v/>
      </c>
      <c r="S793" s="3">
        <f>IF(ORIG!S793=0,"",ORIG!S793)</f>
        <v/>
      </c>
      <c r="T793" s="3">
        <f>IF(ORIG!T793=0,"",ORIG!T793)</f>
        <v/>
      </c>
      <c r="U793" s="3">
        <f>IF(ORIG!U793=0,"",ORIG!U793)</f>
        <v/>
      </c>
      <c r="V793" s="9">
        <f>IF(ORIG!V793=0,"",ORIG!V793)</f>
        <v/>
      </c>
      <c r="W793" s="9">
        <f>IF(ORIG!W793=0,"",ORIG!W793)</f>
        <v/>
      </c>
      <c r="X793" s="9">
        <f>IF(ORIG!X793=0,"",ORIG!X793)</f>
        <v/>
      </c>
      <c r="Y793" s="9">
        <f>IF(ORIG!Y793=0,"",ORIG!Y793)</f>
        <v/>
      </c>
      <c r="Z793" s="3">
        <f>SUMPRODUCT($B793:$Y793,$B$2649:$Y$2649)</f>
        <v/>
      </c>
      <c r="AA793" s="3">
        <f>SUMPRODUCT($B793:$Y793,$B$2655:$Y$2655)</f>
        <v/>
      </c>
      <c r="AC793" s="1">
        <f>A793</f>
        <v/>
      </c>
      <c r="AD793">
        <f>IF(ISNUMBER(V793),V793*($AB$1/V$2635),"")</f>
        <v/>
      </c>
      <c r="AE793">
        <f>IF(ISNUMBER(Z793),Z793*($AB$1/Z$2635),"")</f>
        <v/>
      </c>
      <c r="AF793" s="25">
        <f>IF(ISNUMBER(AD793+AE793),AD793+AE793,"")</f>
        <v/>
      </c>
      <c r="AH793" s="1">
        <f>A793</f>
        <v/>
      </c>
      <c r="AI793">
        <f>IF(ISNUMBER((1+V793)*AI792),(1+V793)*AI792,AI792)</f>
        <v/>
      </c>
      <c r="AJ793">
        <f>IF(ISNUMBER((1+Z793)*AJ792),(1+Z793)*AJ792,AJ792)</f>
        <v/>
      </c>
    </row>
    <row r="794">
      <c r="A794" s="1" t="n">
        <v>43157</v>
      </c>
      <c r="B794" s="3">
        <f>IF(ORIG!B794=0,"",ORIG!B794)</f>
        <v/>
      </c>
      <c r="C794" s="3">
        <f>IF(ORIG!C794=0,"",ORIG!C794)</f>
        <v/>
      </c>
      <c r="D794" s="3">
        <f>IF(ORIG!D794=0,"",ORIG!D794)</f>
        <v/>
      </c>
      <c r="E794" s="3">
        <f>IF(ORIG!E794=0,"",ORIG!E794)</f>
        <v/>
      </c>
      <c r="F794" s="3">
        <f>IF(ORIG!F794=0,"",ORIG!F794)</f>
        <v/>
      </c>
      <c r="G794" s="3">
        <f>IF(ORIG!G794=0,"",ORIG!G794)</f>
        <v/>
      </c>
      <c r="H794" s="3">
        <f>IF(ORIG!H794=0,"",ORIG!H794)</f>
        <v/>
      </c>
      <c r="I794" s="3">
        <f>IF(ORIG!I794=0,"",ORIG!I794)</f>
        <v/>
      </c>
      <c r="J794" s="3">
        <f>IF(ORIG!J794=0,"",ORIG!J794)</f>
        <v/>
      </c>
      <c r="K794" s="3">
        <f>IF(ORIG!K794=0,"",ORIG!K794)</f>
        <v/>
      </c>
      <c r="L794" s="3">
        <f>IF(ORIG!L794=0,"",ORIG!L794)</f>
        <v/>
      </c>
      <c r="M794" s="3">
        <f>IF(ORIG!M794=0,"",ORIG!M794)</f>
        <v/>
      </c>
      <c r="N794" s="3">
        <f>IF(ORIG!N794=0,"",ORIG!N794)</f>
        <v/>
      </c>
      <c r="O794" s="3">
        <f>IF(ORIG!O794=0,"",ORIG!O794)</f>
        <v/>
      </c>
      <c r="P794" s="3">
        <f>IF(ORIG!P794=0,"",ORIG!P794)</f>
        <v/>
      </c>
      <c r="Q794" s="3">
        <f>IF(ORIG!Q794=0,"",ORIG!Q794)</f>
        <v/>
      </c>
      <c r="R794" s="3">
        <f>IF(ORIG!R794=0,"",ORIG!R794)</f>
        <v/>
      </c>
      <c r="S794" s="3">
        <f>IF(ORIG!S794=0,"",ORIG!S794)</f>
        <v/>
      </c>
      <c r="T794" s="3">
        <f>IF(ORIG!T794=0,"",ORIG!T794)</f>
        <v/>
      </c>
      <c r="U794" s="3">
        <f>IF(ORIG!U794=0,"",ORIG!U794)</f>
        <v/>
      </c>
      <c r="V794" s="9">
        <f>IF(ORIG!V794=0,"",ORIG!V794)</f>
        <v/>
      </c>
      <c r="W794" s="9">
        <f>IF(ORIG!W794=0,"",ORIG!W794)</f>
        <v/>
      </c>
      <c r="X794" s="9">
        <f>IF(ORIG!X794=0,"",ORIG!X794)</f>
        <v/>
      </c>
      <c r="Y794" s="9">
        <f>IF(ORIG!Y794=0,"",ORIG!Y794)</f>
        <v/>
      </c>
      <c r="Z794" s="3">
        <f>SUMPRODUCT($B794:$Y794,$B$2649:$Y$2649)</f>
        <v/>
      </c>
      <c r="AA794" s="3">
        <f>SUMPRODUCT($B794:$Y794,$B$2655:$Y$2655)</f>
        <v/>
      </c>
      <c r="AC794" s="1">
        <f>A794</f>
        <v/>
      </c>
      <c r="AD794">
        <f>IF(ISNUMBER(V794),V794*($AB$1/V$2635),"")</f>
        <v/>
      </c>
      <c r="AE794">
        <f>IF(ISNUMBER(Z794),Z794*($AB$1/Z$2635),"")</f>
        <v/>
      </c>
      <c r="AF794" s="25">
        <f>IF(ISNUMBER(AD794+AE794),AD794+AE794,"")</f>
        <v/>
      </c>
      <c r="AH794" s="1">
        <f>A794</f>
        <v/>
      </c>
      <c r="AI794">
        <f>IF(ISNUMBER((1+V794)*AI793),(1+V794)*AI793,AI793)</f>
        <v/>
      </c>
      <c r="AJ794">
        <f>IF(ISNUMBER((1+Z794)*AJ793),(1+Z794)*AJ793,AJ793)</f>
        <v/>
      </c>
    </row>
    <row r="795">
      <c r="A795" s="1" t="n">
        <v>43158</v>
      </c>
      <c r="B795" s="3">
        <f>IF(ORIG!B795=0,"",ORIG!B795)</f>
        <v/>
      </c>
      <c r="C795" s="3">
        <f>IF(ORIG!C795=0,"",ORIG!C795)</f>
        <v/>
      </c>
      <c r="D795" s="3">
        <f>IF(ORIG!D795=0,"",ORIG!D795)</f>
        <v/>
      </c>
      <c r="E795" s="3">
        <f>IF(ORIG!E795=0,"",ORIG!E795)</f>
        <v/>
      </c>
      <c r="F795" s="3">
        <f>IF(ORIG!F795=0,"",ORIG!F795)</f>
        <v/>
      </c>
      <c r="G795" s="3">
        <f>IF(ORIG!G795=0,"",ORIG!G795)</f>
        <v/>
      </c>
      <c r="H795" s="3">
        <f>IF(ORIG!H795=0,"",ORIG!H795)</f>
        <v/>
      </c>
      <c r="I795" s="3">
        <f>IF(ORIG!I795=0,"",ORIG!I795)</f>
        <v/>
      </c>
      <c r="J795" s="3">
        <f>IF(ORIG!J795=0,"",ORIG!J795)</f>
        <v/>
      </c>
      <c r="K795" s="3">
        <f>IF(ORIG!K795=0,"",ORIG!K795)</f>
        <v/>
      </c>
      <c r="L795" s="3">
        <f>IF(ORIG!L795=0,"",ORIG!L795)</f>
        <v/>
      </c>
      <c r="M795" s="3">
        <f>IF(ORIG!M795=0,"",ORIG!M795)</f>
        <v/>
      </c>
      <c r="N795" s="3">
        <f>IF(ORIG!N795=0,"",ORIG!N795)</f>
        <v/>
      </c>
      <c r="O795" s="3">
        <f>IF(ORIG!O795=0,"",ORIG!O795)</f>
        <v/>
      </c>
      <c r="P795" s="3">
        <f>IF(ORIG!P795=0,"",ORIG!P795)</f>
        <v/>
      </c>
      <c r="Q795" s="3">
        <f>IF(ORIG!Q795=0,"",ORIG!Q795)</f>
        <v/>
      </c>
      <c r="R795" s="3">
        <f>IF(ORIG!R795=0,"",ORIG!R795)</f>
        <v/>
      </c>
      <c r="S795" s="3">
        <f>IF(ORIG!S795=0,"",ORIG!S795)</f>
        <v/>
      </c>
      <c r="T795" s="3">
        <f>IF(ORIG!T795=0,"",ORIG!T795)</f>
        <v/>
      </c>
      <c r="U795" s="3">
        <f>IF(ORIG!U795=0,"",ORIG!U795)</f>
        <v/>
      </c>
      <c r="V795" s="9">
        <f>IF(ORIG!V795=0,"",ORIG!V795)</f>
        <v/>
      </c>
      <c r="W795" s="9">
        <f>IF(ORIG!W795=0,"",ORIG!W795)</f>
        <v/>
      </c>
      <c r="X795" s="9">
        <f>IF(ORIG!X795=0,"",ORIG!X795)</f>
        <v/>
      </c>
      <c r="Y795" s="9">
        <f>IF(ORIG!Y795=0,"",ORIG!Y795)</f>
        <v/>
      </c>
      <c r="Z795" s="3">
        <f>SUMPRODUCT($B795:$Y795,$B$2649:$Y$2649)</f>
        <v/>
      </c>
      <c r="AA795" s="3">
        <f>SUMPRODUCT($B795:$Y795,$B$2655:$Y$2655)</f>
        <v/>
      </c>
      <c r="AC795" s="1">
        <f>A795</f>
        <v/>
      </c>
      <c r="AD795">
        <f>IF(ISNUMBER(V795),V795*($AB$1/V$2635),"")</f>
        <v/>
      </c>
      <c r="AE795">
        <f>IF(ISNUMBER(Z795),Z795*($AB$1/Z$2635),"")</f>
        <v/>
      </c>
      <c r="AF795" s="25">
        <f>IF(ISNUMBER(AD795+AE795),AD795+AE795,"")</f>
        <v/>
      </c>
      <c r="AH795" s="1">
        <f>A795</f>
        <v/>
      </c>
      <c r="AI795">
        <f>IF(ISNUMBER((1+V795)*AI794),(1+V795)*AI794,AI794)</f>
        <v/>
      </c>
      <c r="AJ795">
        <f>IF(ISNUMBER((1+Z795)*AJ794),(1+Z795)*AJ794,AJ794)</f>
        <v/>
      </c>
    </row>
    <row r="796">
      <c r="A796" s="1" t="n">
        <v>43159</v>
      </c>
      <c r="B796" s="3">
        <f>IF(ORIG!B796=0,"",ORIG!B796)</f>
        <v/>
      </c>
      <c r="C796" s="3">
        <f>IF(ORIG!C796=0,"",ORIG!C796)</f>
        <v/>
      </c>
      <c r="D796" s="3">
        <f>IF(ORIG!D796=0,"",ORIG!D796)</f>
        <v/>
      </c>
      <c r="E796" s="3">
        <f>IF(ORIG!E796=0,"",ORIG!E796)</f>
        <v/>
      </c>
      <c r="F796" s="3">
        <f>IF(ORIG!F796=0,"",ORIG!F796)</f>
        <v/>
      </c>
      <c r="G796" s="3">
        <f>IF(ORIG!G796=0,"",ORIG!G796)</f>
        <v/>
      </c>
      <c r="H796" s="3">
        <f>IF(ORIG!H796=0,"",ORIG!H796)</f>
        <v/>
      </c>
      <c r="I796" s="3">
        <f>IF(ORIG!I796=0,"",ORIG!I796)</f>
        <v/>
      </c>
      <c r="J796" s="3">
        <f>IF(ORIG!J796=0,"",ORIG!J796)</f>
        <v/>
      </c>
      <c r="K796" s="3">
        <f>IF(ORIG!K796=0,"",ORIG!K796)</f>
        <v/>
      </c>
      <c r="L796" s="3">
        <f>IF(ORIG!L796=0,"",ORIG!L796)</f>
        <v/>
      </c>
      <c r="M796" s="3">
        <f>IF(ORIG!M796=0,"",ORIG!M796)</f>
        <v/>
      </c>
      <c r="N796" s="3">
        <f>IF(ORIG!N796=0,"",ORIG!N796)</f>
        <v/>
      </c>
      <c r="O796" s="3">
        <f>IF(ORIG!O796=0,"",ORIG!O796)</f>
        <v/>
      </c>
      <c r="P796" s="3">
        <f>IF(ORIG!P796=0,"",ORIG!P796)</f>
        <v/>
      </c>
      <c r="Q796" s="3">
        <f>IF(ORIG!Q796=0,"",ORIG!Q796)</f>
        <v/>
      </c>
      <c r="R796" s="3">
        <f>IF(ORIG!R796=0,"",ORIG!R796)</f>
        <v/>
      </c>
      <c r="S796" s="3">
        <f>IF(ORIG!S796=0,"",ORIG!S796)</f>
        <v/>
      </c>
      <c r="T796" s="3">
        <f>IF(ORIG!T796=0,"",ORIG!T796)</f>
        <v/>
      </c>
      <c r="U796" s="3">
        <f>IF(ORIG!U796=0,"",ORIG!U796)</f>
        <v/>
      </c>
      <c r="V796" s="9">
        <f>IF(ORIG!V796=0,"",ORIG!V796)</f>
        <v/>
      </c>
      <c r="W796" s="9">
        <f>IF(ORIG!W796=0,"",ORIG!W796)</f>
        <v/>
      </c>
      <c r="X796" s="9">
        <f>IF(ORIG!X796=0,"",ORIG!X796)</f>
        <v/>
      </c>
      <c r="Y796" s="9">
        <f>IF(ORIG!Y796=0,"",ORIG!Y796)</f>
        <v/>
      </c>
      <c r="Z796" s="3">
        <f>SUMPRODUCT($B796:$Y796,$B$2649:$Y$2649)</f>
        <v/>
      </c>
      <c r="AA796" s="3">
        <f>SUMPRODUCT($B796:$Y796,$B$2655:$Y$2655)</f>
        <v/>
      </c>
      <c r="AC796" s="1">
        <f>A796</f>
        <v/>
      </c>
      <c r="AD796">
        <f>IF(ISNUMBER(V796),V796*($AB$1/V$2635),"")</f>
        <v/>
      </c>
      <c r="AE796">
        <f>IF(ISNUMBER(Z796),Z796*($AB$1/Z$2635),"")</f>
        <v/>
      </c>
      <c r="AF796" s="25">
        <f>IF(ISNUMBER(AD796+AE796),AD796+AE796,"")</f>
        <v/>
      </c>
      <c r="AH796" s="1">
        <f>A796</f>
        <v/>
      </c>
      <c r="AI796">
        <f>IF(ISNUMBER((1+V796)*AI795),(1+V796)*AI795,AI795)</f>
        <v/>
      </c>
      <c r="AJ796">
        <f>IF(ISNUMBER((1+Z796)*AJ795),(1+Z796)*AJ795,AJ795)</f>
        <v/>
      </c>
    </row>
    <row r="797">
      <c r="A797" s="1" t="n">
        <v>43160</v>
      </c>
      <c r="B797" s="3">
        <f>IF(ORIG!B797=0,"",ORIG!B797)</f>
        <v/>
      </c>
      <c r="C797" s="3">
        <f>IF(ORIG!C797=0,"",ORIG!C797)</f>
        <v/>
      </c>
      <c r="D797" s="3">
        <f>IF(ORIG!D797=0,"",ORIG!D797)</f>
        <v/>
      </c>
      <c r="E797" s="3">
        <f>IF(ORIG!E797=0,"",ORIG!E797)</f>
        <v/>
      </c>
      <c r="F797" s="3">
        <f>IF(ORIG!F797=0,"",ORIG!F797)</f>
        <v/>
      </c>
      <c r="G797" s="3">
        <f>IF(ORIG!G797=0,"",ORIG!G797)</f>
        <v/>
      </c>
      <c r="H797" s="3">
        <f>IF(ORIG!H797=0,"",ORIG!H797)</f>
        <v/>
      </c>
      <c r="I797" s="3">
        <f>IF(ORIG!I797=0,"",ORIG!I797)</f>
        <v/>
      </c>
      <c r="J797" s="3">
        <f>IF(ORIG!J797=0,"",ORIG!J797)</f>
        <v/>
      </c>
      <c r="K797" s="3">
        <f>IF(ORIG!K797=0,"",ORIG!K797)</f>
        <v/>
      </c>
      <c r="L797" s="3">
        <f>IF(ORIG!L797=0,"",ORIG!L797)</f>
        <v/>
      </c>
      <c r="M797" s="3">
        <f>IF(ORIG!M797=0,"",ORIG!M797)</f>
        <v/>
      </c>
      <c r="N797" s="3">
        <f>IF(ORIG!N797=0,"",ORIG!N797)</f>
        <v/>
      </c>
      <c r="O797" s="3">
        <f>IF(ORIG!O797=0,"",ORIG!O797)</f>
        <v/>
      </c>
      <c r="P797" s="3">
        <f>IF(ORIG!P797=0,"",ORIG!P797)</f>
        <v/>
      </c>
      <c r="Q797" s="3">
        <f>IF(ORIG!Q797=0,"",ORIG!Q797)</f>
        <v/>
      </c>
      <c r="R797" s="3">
        <f>IF(ORIG!R797=0,"",ORIG!R797)</f>
        <v/>
      </c>
      <c r="S797" s="3">
        <f>IF(ORIG!S797=0,"",ORIG!S797)</f>
        <v/>
      </c>
      <c r="T797" s="3">
        <f>IF(ORIG!T797=0,"",ORIG!T797)</f>
        <v/>
      </c>
      <c r="U797" s="3">
        <f>IF(ORIG!U797=0,"",ORIG!U797)</f>
        <v/>
      </c>
      <c r="V797" s="9">
        <f>IF(ORIG!V797=0,"",ORIG!V797)</f>
        <v/>
      </c>
      <c r="W797" s="9">
        <f>IF(ORIG!W797=0,"",ORIG!W797)</f>
        <v/>
      </c>
      <c r="X797" s="9">
        <f>IF(ORIG!X797=0,"",ORIG!X797)</f>
        <v/>
      </c>
      <c r="Y797" s="9">
        <f>IF(ORIG!Y797=0,"",ORIG!Y797)</f>
        <v/>
      </c>
      <c r="Z797" s="3">
        <f>SUMPRODUCT($B797:$Y797,$B$2649:$Y$2649)</f>
        <v/>
      </c>
      <c r="AA797" s="3">
        <f>SUMPRODUCT($B797:$Y797,$B$2655:$Y$2655)</f>
        <v/>
      </c>
      <c r="AC797" s="1">
        <f>A797</f>
        <v/>
      </c>
      <c r="AD797">
        <f>IF(ISNUMBER(V797),V797*($AB$1/V$2635),"")</f>
        <v/>
      </c>
      <c r="AE797">
        <f>IF(ISNUMBER(Z797),Z797*($AB$1/Z$2635),"")</f>
        <v/>
      </c>
      <c r="AF797" s="25">
        <f>IF(ISNUMBER(AD797+AE797),AD797+AE797,"")</f>
        <v/>
      </c>
      <c r="AH797" s="1">
        <f>A797</f>
        <v/>
      </c>
      <c r="AI797">
        <f>IF(ISNUMBER((1+V797)*AI796),(1+V797)*AI796,AI796)</f>
        <v/>
      </c>
      <c r="AJ797">
        <f>IF(ISNUMBER((1+Z797)*AJ796),(1+Z797)*AJ796,AJ796)</f>
        <v/>
      </c>
    </row>
    <row r="798">
      <c r="A798" s="1" t="n">
        <v>43161</v>
      </c>
      <c r="B798" s="3">
        <f>IF(ORIG!B798=0,"",ORIG!B798)</f>
        <v/>
      </c>
      <c r="C798" s="3">
        <f>IF(ORIG!C798=0,"",ORIG!C798)</f>
        <v/>
      </c>
      <c r="D798" s="3">
        <f>IF(ORIG!D798=0,"",ORIG!D798)</f>
        <v/>
      </c>
      <c r="E798" s="3">
        <f>IF(ORIG!E798=0,"",ORIG!E798)</f>
        <v/>
      </c>
      <c r="F798" s="3">
        <f>IF(ORIG!F798=0,"",ORIG!F798)</f>
        <v/>
      </c>
      <c r="G798" s="3">
        <f>IF(ORIG!G798=0,"",ORIG!G798)</f>
        <v/>
      </c>
      <c r="H798" s="3">
        <f>IF(ORIG!H798=0,"",ORIG!H798)</f>
        <v/>
      </c>
      <c r="I798" s="3">
        <f>IF(ORIG!I798=0,"",ORIG!I798)</f>
        <v/>
      </c>
      <c r="J798" s="3">
        <f>IF(ORIG!J798=0,"",ORIG!J798)</f>
        <v/>
      </c>
      <c r="K798" s="3">
        <f>IF(ORIG!K798=0,"",ORIG!K798)</f>
        <v/>
      </c>
      <c r="L798" s="3">
        <f>IF(ORIG!L798=0,"",ORIG!L798)</f>
        <v/>
      </c>
      <c r="M798" s="3">
        <f>IF(ORIG!M798=0,"",ORIG!M798)</f>
        <v/>
      </c>
      <c r="N798" s="3">
        <f>IF(ORIG!N798=0,"",ORIG!N798)</f>
        <v/>
      </c>
      <c r="O798" s="3">
        <f>IF(ORIG!O798=0,"",ORIG!O798)</f>
        <v/>
      </c>
      <c r="P798" s="3">
        <f>IF(ORIG!P798=0,"",ORIG!P798)</f>
        <v/>
      </c>
      <c r="Q798" s="3">
        <f>IF(ORIG!Q798=0,"",ORIG!Q798)</f>
        <v/>
      </c>
      <c r="R798" s="3">
        <f>IF(ORIG!R798=0,"",ORIG!R798)</f>
        <v/>
      </c>
      <c r="S798" s="3">
        <f>IF(ORIG!S798=0,"",ORIG!S798)</f>
        <v/>
      </c>
      <c r="T798" s="3">
        <f>IF(ORIG!T798=0,"",ORIG!T798)</f>
        <v/>
      </c>
      <c r="U798" s="3">
        <f>IF(ORIG!U798=0,"",ORIG!U798)</f>
        <v/>
      </c>
      <c r="V798" s="9">
        <f>IF(ORIG!V798=0,"",ORIG!V798)</f>
        <v/>
      </c>
      <c r="W798" s="9">
        <f>IF(ORIG!W798=0,"",ORIG!W798)</f>
        <v/>
      </c>
      <c r="X798" s="9">
        <f>IF(ORIG!X798=0,"",ORIG!X798)</f>
        <v/>
      </c>
      <c r="Y798" s="9">
        <f>IF(ORIG!Y798=0,"",ORIG!Y798)</f>
        <v/>
      </c>
      <c r="Z798" s="3">
        <f>SUMPRODUCT($B798:$Y798,$B$2649:$Y$2649)</f>
        <v/>
      </c>
      <c r="AA798" s="3">
        <f>SUMPRODUCT($B798:$Y798,$B$2655:$Y$2655)</f>
        <v/>
      </c>
      <c r="AC798" s="1">
        <f>A798</f>
        <v/>
      </c>
      <c r="AD798">
        <f>IF(ISNUMBER(V798),V798*($AB$1/V$2635),"")</f>
        <v/>
      </c>
      <c r="AE798">
        <f>IF(ISNUMBER(Z798),Z798*($AB$1/Z$2635),"")</f>
        <v/>
      </c>
      <c r="AF798" s="25">
        <f>IF(ISNUMBER(AD798+AE798),AD798+AE798,"")</f>
        <v/>
      </c>
      <c r="AH798" s="1">
        <f>A798</f>
        <v/>
      </c>
      <c r="AI798">
        <f>IF(ISNUMBER((1+V798)*AI797),(1+V798)*AI797,AI797)</f>
        <v/>
      </c>
      <c r="AJ798">
        <f>IF(ISNUMBER((1+Z798)*AJ797),(1+Z798)*AJ797,AJ797)</f>
        <v/>
      </c>
    </row>
    <row r="799">
      <c r="A799" s="1" t="n">
        <v>43164</v>
      </c>
      <c r="B799" s="3">
        <f>IF(ORIG!B799=0,"",ORIG!B799)</f>
        <v/>
      </c>
      <c r="C799" s="3">
        <f>IF(ORIG!C799=0,"",ORIG!C799)</f>
        <v/>
      </c>
      <c r="D799" s="3">
        <f>IF(ORIG!D799=0,"",ORIG!D799)</f>
        <v/>
      </c>
      <c r="E799" s="3">
        <f>IF(ORIG!E799=0,"",ORIG!E799)</f>
        <v/>
      </c>
      <c r="F799" s="3">
        <f>IF(ORIG!F799=0,"",ORIG!F799)</f>
        <v/>
      </c>
      <c r="G799" s="3">
        <f>IF(ORIG!G799=0,"",ORIG!G799)</f>
        <v/>
      </c>
      <c r="H799" s="3">
        <f>IF(ORIG!H799=0,"",ORIG!H799)</f>
        <v/>
      </c>
      <c r="I799" s="3">
        <f>IF(ORIG!I799=0,"",ORIG!I799)</f>
        <v/>
      </c>
      <c r="J799" s="3">
        <f>IF(ORIG!J799=0,"",ORIG!J799)</f>
        <v/>
      </c>
      <c r="K799" s="3">
        <f>IF(ORIG!K799=0,"",ORIG!K799)</f>
        <v/>
      </c>
      <c r="L799" s="3">
        <f>IF(ORIG!L799=0,"",ORIG!L799)</f>
        <v/>
      </c>
      <c r="M799" s="3">
        <f>IF(ORIG!M799=0,"",ORIG!M799)</f>
        <v/>
      </c>
      <c r="N799" s="3">
        <f>IF(ORIG!N799=0,"",ORIG!N799)</f>
        <v/>
      </c>
      <c r="O799" s="3">
        <f>IF(ORIG!O799=0,"",ORIG!O799)</f>
        <v/>
      </c>
      <c r="P799" s="3">
        <f>IF(ORIG!P799=0,"",ORIG!P799)</f>
        <v/>
      </c>
      <c r="Q799" s="3">
        <f>IF(ORIG!Q799=0,"",ORIG!Q799)</f>
        <v/>
      </c>
      <c r="R799" s="3">
        <f>IF(ORIG!R799=0,"",ORIG!R799)</f>
        <v/>
      </c>
      <c r="S799" s="3">
        <f>IF(ORIG!S799=0,"",ORIG!S799)</f>
        <v/>
      </c>
      <c r="T799" s="3">
        <f>IF(ORIG!T799=0,"",ORIG!T799)</f>
        <v/>
      </c>
      <c r="U799" s="3">
        <f>IF(ORIG!U799=0,"",ORIG!U799)</f>
        <v/>
      </c>
      <c r="V799" s="9">
        <f>IF(ORIG!V799=0,"",ORIG!V799)</f>
        <v/>
      </c>
      <c r="W799" s="9">
        <f>IF(ORIG!W799=0,"",ORIG!W799)</f>
        <v/>
      </c>
      <c r="X799" s="9">
        <f>IF(ORIG!X799=0,"",ORIG!X799)</f>
        <v/>
      </c>
      <c r="Y799" s="9">
        <f>IF(ORIG!Y799=0,"",ORIG!Y799)</f>
        <v/>
      </c>
      <c r="Z799" s="3">
        <f>SUMPRODUCT($B799:$Y799,$B$2649:$Y$2649)</f>
        <v/>
      </c>
      <c r="AA799" s="3">
        <f>SUMPRODUCT($B799:$Y799,$B$2655:$Y$2655)</f>
        <v/>
      </c>
      <c r="AC799" s="1">
        <f>A799</f>
        <v/>
      </c>
      <c r="AD799">
        <f>IF(ISNUMBER(V799),V799*($AB$1/V$2635),"")</f>
        <v/>
      </c>
      <c r="AE799">
        <f>IF(ISNUMBER(Z799),Z799*($AB$1/Z$2635),"")</f>
        <v/>
      </c>
      <c r="AF799" s="25">
        <f>IF(ISNUMBER(AD799+AE799),AD799+AE799,"")</f>
        <v/>
      </c>
      <c r="AH799" s="1">
        <f>A799</f>
        <v/>
      </c>
      <c r="AI799">
        <f>IF(ISNUMBER((1+V799)*AI798),(1+V799)*AI798,AI798)</f>
        <v/>
      </c>
      <c r="AJ799">
        <f>IF(ISNUMBER((1+Z799)*AJ798),(1+Z799)*AJ798,AJ798)</f>
        <v/>
      </c>
    </row>
    <row r="800">
      <c r="A800" s="1" t="n">
        <v>43165</v>
      </c>
      <c r="B800" s="3">
        <f>IF(ORIG!B800=0,"",ORIG!B800)</f>
        <v/>
      </c>
      <c r="C800" s="3">
        <f>IF(ORIG!C800=0,"",ORIG!C800)</f>
        <v/>
      </c>
      <c r="D800" s="3">
        <f>IF(ORIG!D800=0,"",ORIG!D800)</f>
        <v/>
      </c>
      <c r="E800" s="3">
        <f>IF(ORIG!E800=0,"",ORIG!E800)</f>
        <v/>
      </c>
      <c r="F800" s="3">
        <f>IF(ORIG!F800=0,"",ORIG!F800)</f>
        <v/>
      </c>
      <c r="G800" s="3">
        <f>IF(ORIG!G800=0,"",ORIG!G800)</f>
        <v/>
      </c>
      <c r="H800" s="3">
        <f>IF(ORIG!H800=0,"",ORIG!H800)</f>
        <v/>
      </c>
      <c r="I800" s="3">
        <f>IF(ORIG!I800=0,"",ORIG!I800)</f>
        <v/>
      </c>
      <c r="J800" s="3">
        <f>IF(ORIG!J800=0,"",ORIG!J800)</f>
        <v/>
      </c>
      <c r="K800" s="3">
        <f>IF(ORIG!K800=0,"",ORIG!K800)</f>
        <v/>
      </c>
      <c r="L800" s="3">
        <f>IF(ORIG!L800=0,"",ORIG!L800)</f>
        <v/>
      </c>
      <c r="M800" s="3">
        <f>IF(ORIG!M800=0,"",ORIG!M800)</f>
        <v/>
      </c>
      <c r="N800" s="3">
        <f>IF(ORIG!N800=0,"",ORIG!N800)</f>
        <v/>
      </c>
      <c r="O800" s="3">
        <f>IF(ORIG!O800=0,"",ORIG!O800)</f>
        <v/>
      </c>
      <c r="P800" s="3">
        <f>IF(ORIG!P800=0,"",ORIG!P800)</f>
        <v/>
      </c>
      <c r="Q800" s="3">
        <f>IF(ORIG!Q800=0,"",ORIG!Q800)</f>
        <v/>
      </c>
      <c r="R800" s="3">
        <f>IF(ORIG!R800=0,"",ORIG!R800)</f>
        <v/>
      </c>
      <c r="S800" s="3">
        <f>IF(ORIG!S800=0,"",ORIG!S800)</f>
        <v/>
      </c>
      <c r="T800" s="3">
        <f>IF(ORIG!T800=0,"",ORIG!T800)</f>
        <v/>
      </c>
      <c r="U800" s="3">
        <f>IF(ORIG!U800=0,"",ORIG!U800)</f>
        <v/>
      </c>
      <c r="V800" s="9">
        <f>IF(ORIG!V800=0,"",ORIG!V800)</f>
        <v/>
      </c>
      <c r="W800" s="9">
        <f>IF(ORIG!W800=0,"",ORIG!W800)</f>
        <v/>
      </c>
      <c r="X800" s="9">
        <f>IF(ORIG!X800=0,"",ORIG!X800)</f>
        <v/>
      </c>
      <c r="Y800" s="9">
        <f>IF(ORIG!Y800=0,"",ORIG!Y800)</f>
        <v/>
      </c>
      <c r="Z800" s="3">
        <f>SUMPRODUCT($B800:$Y800,$B$2649:$Y$2649)</f>
        <v/>
      </c>
      <c r="AA800" s="3">
        <f>SUMPRODUCT($B800:$Y800,$B$2655:$Y$2655)</f>
        <v/>
      </c>
      <c r="AC800" s="1">
        <f>A800</f>
        <v/>
      </c>
      <c r="AD800">
        <f>IF(ISNUMBER(V800),V800*($AB$1/V$2635),"")</f>
        <v/>
      </c>
      <c r="AE800">
        <f>IF(ISNUMBER(Z800),Z800*($AB$1/Z$2635),"")</f>
        <v/>
      </c>
      <c r="AF800" s="25">
        <f>IF(ISNUMBER(AD800+AE800),AD800+AE800,"")</f>
        <v/>
      </c>
      <c r="AH800" s="1">
        <f>A800</f>
        <v/>
      </c>
      <c r="AI800">
        <f>IF(ISNUMBER((1+V800)*AI799),(1+V800)*AI799,AI799)</f>
        <v/>
      </c>
      <c r="AJ800">
        <f>IF(ISNUMBER((1+Z800)*AJ799),(1+Z800)*AJ799,AJ799)</f>
        <v/>
      </c>
    </row>
    <row r="801">
      <c r="A801" s="1" t="n">
        <v>43166</v>
      </c>
      <c r="B801" s="3">
        <f>IF(ORIG!B801=0,"",ORIG!B801)</f>
        <v/>
      </c>
      <c r="C801" s="3">
        <f>IF(ORIG!C801=0,"",ORIG!C801)</f>
        <v/>
      </c>
      <c r="D801" s="3">
        <f>IF(ORIG!D801=0,"",ORIG!D801)</f>
        <v/>
      </c>
      <c r="E801" s="3">
        <f>IF(ORIG!E801=0,"",ORIG!E801)</f>
        <v/>
      </c>
      <c r="F801" s="3">
        <f>IF(ORIG!F801=0,"",ORIG!F801)</f>
        <v/>
      </c>
      <c r="G801" s="3">
        <f>IF(ORIG!G801=0,"",ORIG!G801)</f>
        <v/>
      </c>
      <c r="H801" s="3">
        <f>IF(ORIG!H801=0,"",ORIG!H801)</f>
        <v/>
      </c>
      <c r="I801" s="3">
        <f>IF(ORIG!I801=0,"",ORIG!I801)</f>
        <v/>
      </c>
      <c r="J801" s="3">
        <f>IF(ORIG!J801=0,"",ORIG!J801)</f>
        <v/>
      </c>
      <c r="K801" s="3">
        <f>IF(ORIG!K801=0,"",ORIG!K801)</f>
        <v/>
      </c>
      <c r="L801" s="3">
        <f>IF(ORIG!L801=0,"",ORIG!L801)</f>
        <v/>
      </c>
      <c r="M801" s="3">
        <f>IF(ORIG!M801=0,"",ORIG!M801)</f>
        <v/>
      </c>
      <c r="N801" s="3">
        <f>IF(ORIG!N801=0,"",ORIG!N801)</f>
        <v/>
      </c>
      <c r="O801" s="3">
        <f>IF(ORIG!O801=0,"",ORIG!O801)</f>
        <v/>
      </c>
      <c r="P801" s="3">
        <f>IF(ORIG!P801=0,"",ORIG!P801)</f>
        <v/>
      </c>
      <c r="Q801" s="3">
        <f>IF(ORIG!Q801=0,"",ORIG!Q801)</f>
        <v/>
      </c>
      <c r="R801" s="3">
        <f>IF(ORIG!R801=0,"",ORIG!R801)</f>
        <v/>
      </c>
      <c r="S801" s="3">
        <f>IF(ORIG!S801=0,"",ORIG!S801)</f>
        <v/>
      </c>
      <c r="T801" s="3">
        <f>IF(ORIG!T801=0,"",ORIG!T801)</f>
        <v/>
      </c>
      <c r="U801" s="3">
        <f>IF(ORIG!U801=0,"",ORIG!U801)</f>
        <v/>
      </c>
      <c r="V801" s="9">
        <f>IF(ORIG!V801=0,"",ORIG!V801)</f>
        <v/>
      </c>
      <c r="W801" s="9">
        <f>IF(ORIG!W801=0,"",ORIG!W801)</f>
        <v/>
      </c>
      <c r="X801" s="9">
        <f>IF(ORIG!X801=0,"",ORIG!X801)</f>
        <v/>
      </c>
      <c r="Y801" s="9">
        <f>IF(ORIG!Y801=0,"",ORIG!Y801)</f>
        <v/>
      </c>
      <c r="Z801" s="3">
        <f>SUMPRODUCT($B801:$Y801,$B$2649:$Y$2649)</f>
        <v/>
      </c>
      <c r="AA801" s="3">
        <f>SUMPRODUCT($B801:$Y801,$B$2655:$Y$2655)</f>
        <v/>
      </c>
      <c r="AC801" s="1">
        <f>A801</f>
        <v/>
      </c>
      <c r="AD801">
        <f>IF(ISNUMBER(V801),V801*($AB$1/V$2635),"")</f>
        <v/>
      </c>
      <c r="AE801">
        <f>IF(ISNUMBER(Z801),Z801*($AB$1/Z$2635),"")</f>
        <v/>
      </c>
      <c r="AF801" s="25">
        <f>IF(ISNUMBER(AD801+AE801),AD801+AE801,"")</f>
        <v/>
      </c>
      <c r="AH801" s="1">
        <f>A801</f>
        <v/>
      </c>
      <c r="AI801">
        <f>IF(ISNUMBER((1+V801)*AI800),(1+V801)*AI800,AI800)</f>
        <v/>
      </c>
      <c r="AJ801">
        <f>IF(ISNUMBER((1+Z801)*AJ800),(1+Z801)*AJ800,AJ800)</f>
        <v/>
      </c>
    </row>
    <row r="802">
      <c r="A802" s="1" t="n">
        <v>43167</v>
      </c>
      <c r="B802" s="3">
        <f>IF(ORIG!B802=0,"",ORIG!B802)</f>
        <v/>
      </c>
      <c r="C802" s="3">
        <f>IF(ORIG!C802=0,"",ORIG!C802)</f>
        <v/>
      </c>
      <c r="D802" s="3">
        <f>IF(ORIG!D802=0,"",ORIG!D802)</f>
        <v/>
      </c>
      <c r="E802" s="3">
        <f>IF(ORIG!E802=0,"",ORIG!E802)</f>
        <v/>
      </c>
      <c r="F802" s="3">
        <f>IF(ORIG!F802=0,"",ORIG!F802)</f>
        <v/>
      </c>
      <c r="G802" s="3">
        <f>IF(ORIG!G802=0,"",ORIG!G802)</f>
        <v/>
      </c>
      <c r="H802" s="3">
        <f>IF(ORIG!H802=0,"",ORIG!H802)</f>
        <v/>
      </c>
      <c r="I802" s="3">
        <f>IF(ORIG!I802=0,"",ORIG!I802)</f>
        <v/>
      </c>
      <c r="J802" s="3">
        <f>IF(ORIG!J802=0,"",ORIG!J802)</f>
        <v/>
      </c>
      <c r="K802" s="3">
        <f>IF(ORIG!K802=0,"",ORIG!K802)</f>
        <v/>
      </c>
      <c r="L802" s="3">
        <f>IF(ORIG!L802=0,"",ORIG!L802)</f>
        <v/>
      </c>
      <c r="M802" s="3">
        <f>IF(ORIG!M802=0,"",ORIG!M802)</f>
        <v/>
      </c>
      <c r="N802" s="3">
        <f>IF(ORIG!N802=0,"",ORIG!N802)</f>
        <v/>
      </c>
      <c r="O802" s="3">
        <f>IF(ORIG!O802=0,"",ORIG!O802)</f>
        <v/>
      </c>
      <c r="P802" s="3">
        <f>IF(ORIG!P802=0,"",ORIG!P802)</f>
        <v/>
      </c>
      <c r="Q802" s="3">
        <f>IF(ORIG!Q802=0,"",ORIG!Q802)</f>
        <v/>
      </c>
      <c r="R802" s="3">
        <f>IF(ORIG!R802=0,"",ORIG!R802)</f>
        <v/>
      </c>
      <c r="S802" s="3">
        <f>IF(ORIG!S802=0,"",ORIG!S802)</f>
        <v/>
      </c>
      <c r="T802" s="3">
        <f>IF(ORIG!T802=0,"",ORIG!T802)</f>
        <v/>
      </c>
      <c r="U802" s="3">
        <f>IF(ORIG!U802=0,"",ORIG!U802)</f>
        <v/>
      </c>
      <c r="V802" s="9">
        <f>IF(ORIG!V802=0,"",ORIG!V802)</f>
        <v/>
      </c>
      <c r="W802" s="9">
        <f>IF(ORIG!W802=0,"",ORIG!W802)</f>
        <v/>
      </c>
      <c r="X802" s="9">
        <f>IF(ORIG!X802=0,"",ORIG!X802)</f>
        <v/>
      </c>
      <c r="Y802" s="9">
        <f>IF(ORIG!Y802=0,"",ORIG!Y802)</f>
        <v/>
      </c>
      <c r="Z802" s="3">
        <f>SUMPRODUCT($B802:$Y802,$B$2649:$Y$2649)</f>
        <v/>
      </c>
      <c r="AA802" s="3">
        <f>SUMPRODUCT($B802:$Y802,$B$2655:$Y$2655)</f>
        <v/>
      </c>
      <c r="AC802" s="1">
        <f>A802</f>
        <v/>
      </c>
      <c r="AD802">
        <f>IF(ISNUMBER(V802),V802*($AB$1/V$2635),"")</f>
        <v/>
      </c>
      <c r="AE802">
        <f>IF(ISNUMBER(Z802),Z802*($AB$1/Z$2635),"")</f>
        <v/>
      </c>
      <c r="AF802" s="25">
        <f>IF(ISNUMBER(AD802+AE802),AD802+AE802,"")</f>
        <v/>
      </c>
      <c r="AH802" s="1">
        <f>A802</f>
        <v/>
      </c>
      <c r="AI802">
        <f>IF(ISNUMBER((1+V802)*AI801),(1+V802)*AI801,AI801)</f>
        <v/>
      </c>
      <c r="AJ802">
        <f>IF(ISNUMBER((1+Z802)*AJ801),(1+Z802)*AJ801,AJ801)</f>
        <v/>
      </c>
    </row>
    <row r="803">
      <c r="A803" s="1" t="n">
        <v>43168</v>
      </c>
      <c r="B803" s="3">
        <f>IF(ORIG!B803=0,"",ORIG!B803)</f>
        <v/>
      </c>
      <c r="C803" s="3">
        <f>IF(ORIG!C803=0,"",ORIG!C803)</f>
        <v/>
      </c>
      <c r="D803" s="3">
        <f>IF(ORIG!D803=0,"",ORIG!D803)</f>
        <v/>
      </c>
      <c r="E803" s="3">
        <f>IF(ORIG!E803=0,"",ORIG!E803)</f>
        <v/>
      </c>
      <c r="F803" s="3">
        <f>IF(ORIG!F803=0,"",ORIG!F803)</f>
        <v/>
      </c>
      <c r="G803" s="3">
        <f>IF(ORIG!G803=0,"",ORIG!G803)</f>
        <v/>
      </c>
      <c r="H803" s="3">
        <f>IF(ORIG!H803=0,"",ORIG!H803)</f>
        <v/>
      </c>
      <c r="I803" s="3">
        <f>IF(ORIG!I803=0,"",ORIG!I803)</f>
        <v/>
      </c>
      <c r="J803" s="3">
        <f>IF(ORIG!J803=0,"",ORIG!J803)</f>
        <v/>
      </c>
      <c r="K803" s="3">
        <f>IF(ORIG!K803=0,"",ORIG!K803)</f>
        <v/>
      </c>
      <c r="L803" s="3">
        <f>IF(ORIG!L803=0,"",ORIG!L803)</f>
        <v/>
      </c>
      <c r="M803" s="3">
        <f>IF(ORIG!M803=0,"",ORIG!M803)</f>
        <v/>
      </c>
      <c r="N803" s="3">
        <f>IF(ORIG!N803=0,"",ORIG!N803)</f>
        <v/>
      </c>
      <c r="O803" s="3">
        <f>IF(ORIG!O803=0,"",ORIG!O803)</f>
        <v/>
      </c>
      <c r="P803" s="3">
        <f>IF(ORIG!P803=0,"",ORIG!P803)</f>
        <v/>
      </c>
      <c r="Q803" s="3">
        <f>IF(ORIG!Q803=0,"",ORIG!Q803)</f>
        <v/>
      </c>
      <c r="R803" s="3">
        <f>IF(ORIG!R803=0,"",ORIG!R803)</f>
        <v/>
      </c>
      <c r="S803" s="3">
        <f>IF(ORIG!S803=0,"",ORIG!S803)</f>
        <v/>
      </c>
      <c r="T803" s="3">
        <f>IF(ORIG!T803=0,"",ORIG!T803)</f>
        <v/>
      </c>
      <c r="U803" s="3">
        <f>IF(ORIG!U803=0,"",ORIG!U803)</f>
        <v/>
      </c>
      <c r="V803" s="9">
        <f>IF(ORIG!V803=0,"",ORIG!V803)</f>
        <v/>
      </c>
      <c r="W803" s="9">
        <f>IF(ORIG!W803=0,"",ORIG!W803)</f>
        <v/>
      </c>
      <c r="X803" s="9">
        <f>IF(ORIG!X803=0,"",ORIG!X803)</f>
        <v/>
      </c>
      <c r="Y803" s="9">
        <f>IF(ORIG!Y803=0,"",ORIG!Y803)</f>
        <v/>
      </c>
      <c r="Z803" s="3">
        <f>SUMPRODUCT($B803:$Y803,$B$2649:$Y$2649)</f>
        <v/>
      </c>
      <c r="AA803" s="3">
        <f>SUMPRODUCT($B803:$Y803,$B$2655:$Y$2655)</f>
        <v/>
      </c>
      <c r="AC803" s="1">
        <f>A803</f>
        <v/>
      </c>
      <c r="AD803">
        <f>IF(ISNUMBER(V803),V803*($AB$1/V$2635),"")</f>
        <v/>
      </c>
      <c r="AE803">
        <f>IF(ISNUMBER(Z803),Z803*($AB$1/Z$2635),"")</f>
        <v/>
      </c>
      <c r="AF803" s="25">
        <f>IF(ISNUMBER(AD803+AE803),AD803+AE803,"")</f>
        <v/>
      </c>
      <c r="AH803" s="1">
        <f>A803</f>
        <v/>
      </c>
      <c r="AI803">
        <f>IF(ISNUMBER((1+V803)*AI802),(1+V803)*AI802,AI802)</f>
        <v/>
      </c>
      <c r="AJ803">
        <f>IF(ISNUMBER((1+Z803)*AJ802),(1+Z803)*AJ802,AJ802)</f>
        <v/>
      </c>
    </row>
    <row r="804">
      <c r="A804" s="1" t="n">
        <v>43171</v>
      </c>
      <c r="B804" s="3">
        <f>IF(ORIG!B804=0,"",ORIG!B804)</f>
        <v/>
      </c>
      <c r="C804" s="3">
        <f>IF(ORIG!C804=0,"",ORIG!C804)</f>
        <v/>
      </c>
      <c r="D804" s="3">
        <f>IF(ORIG!D804=0,"",ORIG!D804)</f>
        <v/>
      </c>
      <c r="E804" s="3">
        <f>IF(ORIG!E804=0,"",ORIG!E804)</f>
        <v/>
      </c>
      <c r="F804" s="3">
        <f>IF(ORIG!F804=0,"",ORIG!F804)</f>
        <v/>
      </c>
      <c r="G804" s="3">
        <f>IF(ORIG!G804=0,"",ORIG!G804)</f>
        <v/>
      </c>
      <c r="H804" s="3">
        <f>IF(ORIG!H804=0,"",ORIG!H804)</f>
        <v/>
      </c>
      <c r="I804" s="3">
        <f>IF(ORIG!I804=0,"",ORIG!I804)</f>
        <v/>
      </c>
      <c r="J804" s="3">
        <f>IF(ORIG!J804=0,"",ORIG!J804)</f>
        <v/>
      </c>
      <c r="K804" s="3">
        <f>IF(ORIG!K804=0,"",ORIG!K804)</f>
        <v/>
      </c>
      <c r="L804" s="3">
        <f>IF(ORIG!L804=0,"",ORIG!L804)</f>
        <v/>
      </c>
      <c r="M804" s="3">
        <f>IF(ORIG!M804=0,"",ORIG!M804)</f>
        <v/>
      </c>
      <c r="N804" s="3">
        <f>IF(ORIG!N804=0,"",ORIG!N804)</f>
        <v/>
      </c>
      <c r="O804" s="3">
        <f>IF(ORIG!O804=0,"",ORIG!O804)</f>
        <v/>
      </c>
      <c r="P804" s="3">
        <f>IF(ORIG!P804=0,"",ORIG!P804)</f>
        <v/>
      </c>
      <c r="Q804" s="3">
        <f>IF(ORIG!Q804=0,"",ORIG!Q804)</f>
        <v/>
      </c>
      <c r="R804" s="3">
        <f>IF(ORIG!R804=0,"",ORIG!R804)</f>
        <v/>
      </c>
      <c r="S804" s="3">
        <f>IF(ORIG!S804=0,"",ORIG!S804)</f>
        <v/>
      </c>
      <c r="T804" s="3">
        <f>IF(ORIG!T804=0,"",ORIG!T804)</f>
        <v/>
      </c>
      <c r="U804" s="3">
        <f>IF(ORIG!U804=0,"",ORIG!U804)</f>
        <v/>
      </c>
      <c r="V804" s="9">
        <f>IF(ORIG!V804=0,"",ORIG!V804)</f>
        <v/>
      </c>
      <c r="W804" s="9">
        <f>IF(ORIG!W804=0,"",ORIG!W804)</f>
        <v/>
      </c>
      <c r="X804" s="9">
        <f>IF(ORIG!X804=0,"",ORIG!X804)</f>
        <v/>
      </c>
      <c r="Y804" s="9">
        <f>IF(ORIG!Y804=0,"",ORIG!Y804)</f>
        <v/>
      </c>
      <c r="Z804" s="3">
        <f>SUMPRODUCT($B804:$Y804,$B$2649:$Y$2649)</f>
        <v/>
      </c>
      <c r="AA804" s="3">
        <f>SUMPRODUCT($B804:$Y804,$B$2655:$Y$2655)</f>
        <v/>
      </c>
      <c r="AC804" s="1">
        <f>A804</f>
        <v/>
      </c>
      <c r="AD804">
        <f>IF(ISNUMBER(V804),V804*($AB$1/V$2635),"")</f>
        <v/>
      </c>
      <c r="AE804">
        <f>IF(ISNUMBER(Z804),Z804*($AB$1/Z$2635),"")</f>
        <v/>
      </c>
      <c r="AF804" s="25">
        <f>IF(ISNUMBER(AD804+AE804),AD804+AE804,"")</f>
        <v/>
      </c>
      <c r="AH804" s="1">
        <f>A804</f>
        <v/>
      </c>
      <c r="AI804">
        <f>IF(ISNUMBER((1+V804)*AI803),(1+V804)*AI803,AI803)</f>
        <v/>
      </c>
      <c r="AJ804">
        <f>IF(ISNUMBER((1+Z804)*AJ803),(1+Z804)*AJ803,AJ803)</f>
        <v/>
      </c>
    </row>
    <row r="805">
      <c r="A805" s="1" t="n">
        <v>43172</v>
      </c>
      <c r="B805" s="3">
        <f>IF(ORIG!B805=0,"",ORIG!B805)</f>
        <v/>
      </c>
      <c r="C805" s="3">
        <f>IF(ORIG!C805=0,"",ORIG!C805)</f>
        <v/>
      </c>
      <c r="D805" s="3">
        <f>IF(ORIG!D805=0,"",ORIG!D805)</f>
        <v/>
      </c>
      <c r="E805" s="3">
        <f>IF(ORIG!E805=0,"",ORIG!E805)</f>
        <v/>
      </c>
      <c r="F805" s="3">
        <f>IF(ORIG!F805=0,"",ORIG!F805)</f>
        <v/>
      </c>
      <c r="G805" s="3">
        <f>IF(ORIG!G805=0,"",ORIG!G805)</f>
        <v/>
      </c>
      <c r="H805" s="3">
        <f>IF(ORIG!H805=0,"",ORIG!H805)</f>
        <v/>
      </c>
      <c r="I805" s="3">
        <f>IF(ORIG!I805=0,"",ORIG!I805)</f>
        <v/>
      </c>
      <c r="J805" s="3">
        <f>IF(ORIG!J805=0,"",ORIG!J805)</f>
        <v/>
      </c>
      <c r="K805" s="3">
        <f>IF(ORIG!K805=0,"",ORIG!K805)</f>
        <v/>
      </c>
      <c r="L805" s="3">
        <f>IF(ORIG!L805=0,"",ORIG!L805)</f>
        <v/>
      </c>
      <c r="M805" s="3">
        <f>IF(ORIG!M805=0,"",ORIG!M805)</f>
        <v/>
      </c>
      <c r="N805" s="3">
        <f>IF(ORIG!N805=0,"",ORIG!N805)</f>
        <v/>
      </c>
      <c r="O805" s="3">
        <f>IF(ORIG!O805=0,"",ORIG!O805)</f>
        <v/>
      </c>
      <c r="P805" s="3">
        <f>IF(ORIG!P805=0,"",ORIG!P805)</f>
        <v/>
      </c>
      <c r="Q805" s="3">
        <f>IF(ORIG!Q805=0,"",ORIG!Q805)</f>
        <v/>
      </c>
      <c r="R805" s="3">
        <f>IF(ORIG!R805=0,"",ORIG!R805)</f>
        <v/>
      </c>
      <c r="S805" s="3">
        <f>IF(ORIG!S805=0,"",ORIG!S805)</f>
        <v/>
      </c>
      <c r="T805" s="3">
        <f>IF(ORIG!T805=0,"",ORIG!T805)</f>
        <v/>
      </c>
      <c r="U805" s="3">
        <f>IF(ORIG!U805=0,"",ORIG!U805)</f>
        <v/>
      </c>
      <c r="V805" s="9">
        <f>IF(ORIG!V805=0,"",ORIG!V805)</f>
        <v/>
      </c>
      <c r="W805" s="9">
        <f>IF(ORIG!W805=0,"",ORIG!W805)</f>
        <v/>
      </c>
      <c r="X805" s="9">
        <f>IF(ORIG!X805=0,"",ORIG!X805)</f>
        <v/>
      </c>
      <c r="Y805" s="9">
        <f>IF(ORIG!Y805=0,"",ORIG!Y805)</f>
        <v/>
      </c>
      <c r="Z805" s="3">
        <f>SUMPRODUCT($B805:$Y805,$B$2649:$Y$2649)</f>
        <v/>
      </c>
      <c r="AA805" s="3">
        <f>SUMPRODUCT($B805:$Y805,$B$2655:$Y$2655)</f>
        <v/>
      </c>
      <c r="AC805" s="1">
        <f>A805</f>
        <v/>
      </c>
      <c r="AD805">
        <f>IF(ISNUMBER(V805),V805*($AB$1/V$2635),"")</f>
        <v/>
      </c>
      <c r="AE805">
        <f>IF(ISNUMBER(Z805),Z805*($AB$1/Z$2635),"")</f>
        <v/>
      </c>
      <c r="AF805" s="25">
        <f>IF(ISNUMBER(AD805+AE805),AD805+AE805,"")</f>
        <v/>
      </c>
      <c r="AH805" s="1">
        <f>A805</f>
        <v/>
      </c>
      <c r="AI805">
        <f>IF(ISNUMBER((1+V805)*AI804),(1+V805)*AI804,AI804)</f>
        <v/>
      </c>
      <c r="AJ805">
        <f>IF(ISNUMBER((1+Z805)*AJ804),(1+Z805)*AJ804,AJ804)</f>
        <v/>
      </c>
    </row>
    <row r="806">
      <c r="A806" s="1" t="n">
        <v>43173</v>
      </c>
      <c r="B806" s="3">
        <f>IF(ORIG!B806=0,"",ORIG!B806)</f>
        <v/>
      </c>
      <c r="C806" s="3">
        <f>IF(ORIG!C806=0,"",ORIG!C806)</f>
        <v/>
      </c>
      <c r="D806" s="3">
        <f>IF(ORIG!D806=0,"",ORIG!D806)</f>
        <v/>
      </c>
      <c r="E806" s="3">
        <f>IF(ORIG!E806=0,"",ORIG!E806)</f>
        <v/>
      </c>
      <c r="F806" s="3">
        <f>IF(ORIG!F806=0,"",ORIG!F806)</f>
        <v/>
      </c>
      <c r="G806" s="3">
        <f>IF(ORIG!G806=0,"",ORIG!G806)</f>
        <v/>
      </c>
      <c r="H806" s="3">
        <f>IF(ORIG!H806=0,"",ORIG!H806)</f>
        <v/>
      </c>
      <c r="I806" s="3">
        <f>IF(ORIG!I806=0,"",ORIG!I806)</f>
        <v/>
      </c>
      <c r="J806" s="3">
        <f>IF(ORIG!J806=0,"",ORIG!J806)</f>
        <v/>
      </c>
      <c r="K806" s="3">
        <f>IF(ORIG!K806=0,"",ORIG!K806)</f>
        <v/>
      </c>
      <c r="L806" s="3">
        <f>IF(ORIG!L806=0,"",ORIG!L806)</f>
        <v/>
      </c>
      <c r="M806" s="3">
        <f>IF(ORIG!M806=0,"",ORIG!M806)</f>
        <v/>
      </c>
      <c r="N806" s="3">
        <f>IF(ORIG!N806=0,"",ORIG!N806)</f>
        <v/>
      </c>
      <c r="O806" s="3">
        <f>IF(ORIG!O806=0,"",ORIG!O806)</f>
        <v/>
      </c>
      <c r="P806" s="3">
        <f>IF(ORIG!P806=0,"",ORIG!P806)</f>
        <v/>
      </c>
      <c r="Q806" s="3">
        <f>IF(ORIG!Q806=0,"",ORIG!Q806)</f>
        <v/>
      </c>
      <c r="R806" s="3">
        <f>IF(ORIG!R806=0,"",ORIG!R806)</f>
        <v/>
      </c>
      <c r="S806" s="3">
        <f>IF(ORIG!S806=0,"",ORIG!S806)</f>
        <v/>
      </c>
      <c r="T806" s="3">
        <f>IF(ORIG!T806=0,"",ORIG!T806)</f>
        <v/>
      </c>
      <c r="U806" s="3">
        <f>IF(ORIG!U806=0,"",ORIG!U806)</f>
        <v/>
      </c>
      <c r="V806" s="9">
        <f>IF(ORIG!V806=0,"",ORIG!V806)</f>
        <v/>
      </c>
      <c r="W806" s="9">
        <f>IF(ORIG!W806=0,"",ORIG!W806)</f>
        <v/>
      </c>
      <c r="X806" s="9">
        <f>IF(ORIG!X806=0,"",ORIG!X806)</f>
        <v/>
      </c>
      <c r="Y806" s="9">
        <f>IF(ORIG!Y806=0,"",ORIG!Y806)</f>
        <v/>
      </c>
      <c r="Z806" s="3">
        <f>SUMPRODUCT($B806:$Y806,$B$2649:$Y$2649)</f>
        <v/>
      </c>
      <c r="AA806" s="3">
        <f>SUMPRODUCT($B806:$Y806,$B$2655:$Y$2655)</f>
        <v/>
      </c>
      <c r="AC806" s="1">
        <f>A806</f>
        <v/>
      </c>
      <c r="AD806">
        <f>IF(ISNUMBER(V806),V806*($AB$1/V$2635),"")</f>
        <v/>
      </c>
      <c r="AE806">
        <f>IF(ISNUMBER(Z806),Z806*($AB$1/Z$2635),"")</f>
        <v/>
      </c>
      <c r="AF806" s="25">
        <f>IF(ISNUMBER(AD806+AE806),AD806+AE806,"")</f>
        <v/>
      </c>
      <c r="AH806" s="1">
        <f>A806</f>
        <v/>
      </c>
      <c r="AI806">
        <f>IF(ISNUMBER((1+V806)*AI805),(1+V806)*AI805,AI805)</f>
        <v/>
      </c>
      <c r="AJ806">
        <f>IF(ISNUMBER((1+Z806)*AJ805),(1+Z806)*AJ805,AJ805)</f>
        <v/>
      </c>
    </row>
    <row r="807">
      <c r="A807" s="1" t="n">
        <v>43174</v>
      </c>
      <c r="B807" s="3">
        <f>IF(ORIG!B807=0,"",ORIG!B807)</f>
        <v/>
      </c>
      <c r="C807" s="3">
        <f>IF(ORIG!C807=0,"",ORIG!C807)</f>
        <v/>
      </c>
      <c r="D807" s="3">
        <f>IF(ORIG!D807=0,"",ORIG!D807)</f>
        <v/>
      </c>
      <c r="E807" s="3">
        <f>IF(ORIG!E807=0,"",ORIG!E807)</f>
        <v/>
      </c>
      <c r="F807" s="3">
        <f>IF(ORIG!F807=0,"",ORIG!F807)</f>
        <v/>
      </c>
      <c r="G807" s="3">
        <f>IF(ORIG!G807=0,"",ORIG!G807)</f>
        <v/>
      </c>
      <c r="H807" s="3">
        <f>IF(ORIG!H807=0,"",ORIG!H807)</f>
        <v/>
      </c>
      <c r="I807" s="3">
        <f>IF(ORIG!I807=0,"",ORIG!I807)</f>
        <v/>
      </c>
      <c r="J807" s="3">
        <f>IF(ORIG!J807=0,"",ORIG!J807)</f>
        <v/>
      </c>
      <c r="K807" s="3">
        <f>IF(ORIG!K807=0,"",ORIG!K807)</f>
        <v/>
      </c>
      <c r="L807" s="3">
        <f>IF(ORIG!L807=0,"",ORIG!L807)</f>
        <v/>
      </c>
      <c r="M807" s="3">
        <f>IF(ORIG!M807=0,"",ORIG!M807)</f>
        <v/>
      </c>
      <c r="N807" s="3">
        <f>IF(ORIG!N807=0,"",ORIG!N807)</f>
        <v/>
      </c>
      <c r="O807" s="3">
        <f>IF(ORIG!O807=0,"",ORIG!O807)</f>
        <v/>
      </c>
      <c r="P807" s="3">
        <f>IF(ORIG!P807=0,"",ORIG!P807)</f>
        <v/>
      </c>
      <c r="Q807" s="3">
        <f>IF(ORIG!Q807=0,"",ORIG!Q807)</f>
        <v/>
      </c>
      <c r="R807" s="3">
        <f>IF(ORIG!R807=0,"",ORIG!R807)</f>
        <v/>
      </c>
      <c r="S807" s="3">
        <f>IF(ORIG!S807=0,"",ORIG!S807)</f>
        <v/>
      </c>
      <c r="T807" s="3">
        <f>IF(ORIG!T807=0,"",ORIG!T807)</f>
        <v/>
      </c>
      <c r="U807" s="3">
        <f>IF(ORIG!U807=0,"",ORIG!U807)</f>
        <v/>
      </c>
      <c r="V807" s="9">
        <f>IF(ORIG!V807=0,"",ORIG!V807)</f>
        <v/>
      </c>
      <c r="W807" s="9">
        <f>IF(ORIG!W807=0,"",ORIG!W807)</f>
        <v/>
      </c>
      <c r="X807" s="9">
        <f>IF(ORIG!X807=0,"",ORIG!X807)</f>
        <v/>
      </c>
      <c r="Y807" s="9">
        <f>IF(ORIG!Y807=0,"",ORIG!Y807)</f>
        <v/>
      </c>
      <c r="Z807" s="3">
        <f>SUMPRODUCT($B807:$Y807,$B$2649:$Y$2649)</f>
        <v/>
      </c>
      <c r="AA807" s="3">
        <f>SUMPRODUCT($B807:$Y807,$B$2655:$Y$2655)</f>
        <v/>
      </c>
      <c r="AC807" s="1">
        <f>A807</f>
        <v/>
      </c>
      <c r="AD807">
        <f>IF(ISNUMBER(V807),V807*($AB$1/V$2635),"")</f>
        <v/>
      </c>
      <c r="AE807">
        <f>IF(ISNUMBER(Z807),Z807*($AB$1/Z$2635),"")</f>
        <v/>
      </c>
      <c r="AF807" s="25">
        <f>IF(ISNUMBER(AD807+AE807),AD807+AE807,"")</f>
        <v/>
      </c>
      <c r="AH807" s="1">
        <f>A807</f>
        <v/>
      </c>
      <c r="AI807">
        <f>IF(ISNUMBER((1+V807)*AI806),(1+V807)*AI806,AI806)</f>
        <v/>
      </c>
      <c r="AJ807">
        <f>IF(ISNUMBER((1+Z807)*AJ806),(1+Z807)*AJ806,AJ806)</f>
        <v/>
      </c>
    </row>
    <row r="808">
      <c r="A808" s="1" t="n">
        <v>43175</v>
      </c>
      <c r="B808" s="3">
        <f>IF(ORIG!B808=0,"",ORIG!B808)</f>
        <v/>
      </c>
      <c r="C808" s="3">
        <f>IF(ORIG!C808=0,"",ORIG!C808)</f>
        <v/>
      </c>
      <c r="D808" s="3">
        <f>IF(ORIG!D808=0,"",ORIG!D808)</f>
        <v/>
      </c>
      <c r="E808" s="3">
        <f>IF(ORIG!E808=0,"",ORIG!E808)</f>
        <v/>
      </c>
      <c r="F808" s="3">
        <f>IF(ORIG!F808=0,"",ORIG!F808)</f>
        <v/>
      </c>
      <c r="G808" s="3">
        <f>IF(ORIG!G808=0,"",ORIG!G808)</f>
        <v/>
      </c>
      <c r="H808" s="3">
        <f>IF(ORIG!H808=0,"",ORIG!H808)</f>
        <v/>
      </c>
      <c r="I808" s="3">
        <f>IF(ORIG!I808=0,"",ORIG!I808)</f>
        <v/>
      </c>
      <c r="J808" s="3">
        <f>IF(ORIG!J808=0,"",ORIG!J808)</f>
        <v/>
      </c>
      <c r="K808" s="3">
        <f>IF(ORIG!K808=0,"",ORIG!K808)</f>
        <v/>
      </c>
      <c r="L808" s="3">
        <f>IF(ORIG!L808=0,"",ORIG!L808)</f>
        <v/>
      </c>
      <c r="M808" s="3">
        <f>IF(ORIG!M808=0,"",ORIG!M808)</f>
        <v/>
      </c>
      <c r="N808" s="3">
        <f>IF(ORIG!N808=0,"",ORIG!N808)</f>
        <v/>
      </c>
      <c r="O808" s="3">
        <f>IF(ORIG!O808=0,"",ORIG!O808)</f>
        <v/>
      </c>
      <c r="P808" s="3">
        <f>IF(ORIG!P808=0,"",ORIG!P808)</f>
        <v/>
      </c>
      <c r="Q808" s="3">
        <f>IF(ORIG!Q808=0,"",ORIG!Q808)</f>
        <v/>
      </c>
      <c r="R808" s="3">
        <f>IF(ORIG!R808=0,"",ORIG!R808)</f>
        <v/>
      </c>
      <c r="S808" s="3">
        <f>IF(ORIG!S808=0,"",ORIG!S808)</f>
        <v/>
      </c>
      <c r="T808" s="3">
        <f>IF(ORIG!T808=0,"",ORIG!T808)</f>
        <v/>
      </c>
      <c r="U808" s="3">
        <f>IF(ORIG!U808=0,"",ORIG!U808)</f>
        <v/>
      </c>
      <c r="V808" s="9">
        <f>IF(ORIG!V808=0,"",ORIG!V808)</f>
        <v/>
      </c>
      <c r="W808" s="9">
        <f>IF(ORIG!W808=0,"",ORIG!W808)</f>
        <v/>
      </c>
      <c r="X808" s="9">
        <f>IF(ORIG!X808=0,"",ORIG!X808)</f>
        <v/>
      </c>
      <c r="Y808" s="9">
        <f>IF(ORIG!Y808=0,"",ORIG!Y808)</f>
        <v/>
      </c>
      <c r="Z808" s="3">
        <f>SUMPRODUCT($B808:$Y808,$B$2649:$Y$2649)</f>
        <v/>
      </c>
      <c r="AA808" s="3">
        <f>SUMPRODUCT($B808:$Y808,$B$2655:$Y$2655)</f>
        <v/>
      </c>
      <c r="AC808" s="1">
        <f>A808</f>
        <v/>
      </c>
      <c r="AD808">
        <f>IF(ISNUMBER(V808),V808*($AB$1/V$2635),"")</f>
        <v/>
      </c>
      <c r="AE808">
        <f>IF(ISNUMBER(Z808),Z808*($AB$1/Z$2635),"")</f>
        <v/>
      </c>
      <c r="AF808" s="25">
        <f>IF(ISNUMBER(AD808+AE808),AD808+AE808,"")</f>
        <v/>
      </c>
      <c r="AH808" s="1">
        <f>A808</f>
        <v/>
      </c>
      <c r="AI808">
        <f>IF(ISNUMBER((1+V808)*AI807),(1+V808)*AI807,AI807)</f>
        <v/>
      </c>
      <c r="AJ808">
        <f>IF(ISNUMBER((1+Z808)*AJ807),(1+Z808)*AJ807,AJ807)</f>
        <v/>
      </c>
    </row>
    <row r="809">
      <c r="A809" s="1" t="n">
        <v>43178</v>
      </c>
      <c r="B809" s="3">
        <f>IF(ORIG!B809=0,"",ORIG!B809)</f>
        <v/>
      </c>
      <c r="C809" s="3">
        <f>IF(ORIG!C809=0,"",ORIG!C809)</f>
        <v/>
      </c>
      <c r="D809" s="3">
        <f>IF(ORIG!D809=0,"",ORIG!D809)</f>
        <v/>
      </c>
      <c r="E809" s="3">
        <f>IF(ORIG!E809=0,"",ORIG!E809)</f>
        <v/>
      </c>
      <c r="F809" s="3">
        <f>IF(ORIG!F809=0,"",ORIG!F809)</f>
        <v/>
      </c>
      <c r="G809" s="3">
        <f>IF(ORIG!G809=0,"",ORIG!G809)</f>
        <v/>
      </c>
      <c r="H809" s="3">
        <f>IF(ORIG!H809=0,"",ORIG!H809)</f>
        <v/>
      </c>
      <c r="I809" s="3">
        <f>IF(ORIG!I809=0,"",ORIG!I809)</f>
        <v/>
      </c>
      <c r="J809" s="3">
        <f>IF(ORIG!J809=0,"",ORIG!J809)</f>
        <v/>
      </c>
      <c r="K809" s="3">
        <f>IF(ORIG!K809=0,"",ORIG!K809)</f>
        <v/>
      </c>
      <c r="L809" s="3">
        <f>IF(ORIG!L809=0,"",ORIG!L809)</f>
        <v/>
      </c>
      <c r="M809" s="3">
        <f>IF(ORIG!M809=0,"",ORIG!M809)</f>
        <v/>
      </c>
      <c r="N809" s="3">
        <f>IF(ORIG!N809=0,"",ORIG!N809)</f>
        <v/>
      </c>
      <c r="O809" s="3">
        <f>IF(ORIG!O809=0,"",ORIG!O809)</f>
        <v/>
      </c>
      <c r="P809" s="3">
        <f>IF(ORIG!P809=0,"",ORIG!P809)</f>
        <v/>
      </c>
      <c r="Q809" s="3">
        <f>IF(ORIG!Q809=0,"",ORIG!Q809)</f>
        <v/>
      </c>
      <c r="R809" s="3">
        <f>IF(ORIG!R809=0,"",ORIG!R809)</f>
        <v/>
      </c>
      <c r="S809" s="3">
        <f>IF(ORIG!S809=0,"",ORIG!S809)</f>
        <v/>
      </c>
      <c r="T809" s="3">
        <f>IF(ORIG!T809=0,"",ORIG!T809)</f>
        <v/>
      </c>
      <c r="U809" s="3">
        <f>IF(ORIG!U809=0,"",ORIG!U809)</f>
        <v/>
      </c>
      <c r="V809" s="9">
        <f>IF(ORIG!V809=0,"",ORIG!V809)</f>
        <v/>
      </c>
      <c r="W809" s="9">
        <f>IF(ORIG!W809=0,"",ORIG!W809)</f>
        <v/>
      </c>
      <c r="X809" s="9">
        <f>IF(ORIG!X809=0,"",ORIG!X809)</f>
        <v/>
      </c>
      <c r="Y809" s="9">
        <f>IF(ORIG!Y809=0,"",ORIG!Y809)</f>
        <v/>
      </c>
      <c r="Z809" s="3">
        <f>SUMPRODUCT($B809:$Y809,$B$2649:$Y$2649)</f>
        <v/>
      </c>
      <c r="AA809" s="3">
        <f>SUMPRODUCT($B809:$Y809,$B$2655:$Y$2655)</f>
        <v/>
      </c>
      <c r="AC809" s="1">
        <f>A809</f>
        <v/>
      </c>
      <c r="AD809">
        <f>IF(ISNUMBER(V809),V809*($AB$1/V$2635),"")</f>
        <v/>
      </c>
      <c r="AE809">
        <f>IF(ISNUMBER(Z809),Z809*($AB$1/Z$2635),"")</f>
        <v/>
      </c>
      <c r="AF809" s="25">
        <f>IF(ISNUMBER(AD809+AE809),AD809+AE809,"")</f>
        <v/>
      </c>
      <c r="AH809" s="1">
        <f>A809</f>
        <v/>
      </c>
      <c r="AI809">
        <f>IF(ISNUMBER((1+V809)*AI808),(1+V809)*AI808,AI808)</f>
        <v/>
      </c>
      <c r="AJ809">
        <f>IF(ISNUMBER((1+Z809)*AJ808),(1+Z809)*AJ808,AJ808)</f>
        <v/>
      </c>
    </row>
    <row r="810">
      <c r="A810" s="1" t="n">
        <v>43179</v>
      </c>
      <c r="B810" s="3">
        <f>IF(ORIG!B810=0,"",ORIG!B810)</f>
        <v/>
      </c>
      <c r="C810" s="3">
        <f>IF(ORIG!C810=0,"",ORIG!C810)</f>
        <v/>
      </c>
      <c r="D810" s="3">
        <f>IF(ORIG!D810=0,"",ORIG!D810)</f>
        <v/>
      </c>
      <c r="E810" s="3">
        <f>IF(ORIG!E810=0,"",ORIG!E810)</f>
        <v/>
      </c>
      <c r="F810" s="3">
        <f>IF(ORIG!F810=0,"",ORIG!F810)</f>
        <v/>
      </c>
      <c r="G810" s="3">
        <f>IF(ORIG!G810=0,"",ORIG!G810)</f>
        <v/>
      </c>
      <c r="H810" s="3">
        <f>IF(ORIG!H810=0,"",ORIG!H810)</f>
        <v/>
      </c>
      <c r="I810" s="3">
        <f>IF(ORIG!I810=0,"",ORIG!I810)</f>
        <v/>
      </c>
      <c r="J810" s="3">
        <f>IF(ORIG!J810=0,"",ORIG!J810)</f>
        <v/>
      </c>
      <c r="K810" s="3">
        <f>IF(ORIG!K810=0,"",ORIG!K810)</f>
        <v/>
      </c>
      <c r="L810" s="3">
        <f>IF(ORIG!L810=0,"",ORIG!L810)</f>
        <v/>
      </c>
      <c r="M810" s="3">
        <f>IF(ORIG!M810=0,"",ORIG!M810)</f>
        <v/>
      </c>
      <c r="N810" s="3">
        <f>IF(ORIG!N810=0,"",ORIG!N810)</f>
        <v/>
      </c>
      <c r="O810" s="3">
        <f>IF(ORIG!O810=0,"",ORIG!O810)</f>
        <v/>
      </c>
      <c r="P810" s="3">
        <f>IF(ORIG!P810=0,"",ORIG!P810)</f>
        <v/>
      </c>
      <c r="Q810" s="3">
        <f>IF(ORIG!Q810=0,"",ORIG!Q810)</f>
        <v/>
      </c>
      <c r="R810" s="3">
        <f>IF(ORIG!R810=0,"",ORIG!R810)</f>
        <v/>
      </c>
      <c r="S810" s="3">
        <f>IF(ORIG!S810=0,"",ORIG!S810)</f>
        <v/>
      </c>
      <c r="T810" s="3">
        <f>IF(ORIG!T810=0,"",ORIG!T810)</f>
        <v/>
      </c>
      <c r="U810" s="3">
        <f>IF(ORIG!U810=0,"",ORIG!U810)</f>
        <v/>
      </c>
      <c r="V810" s="9">
        <f>IF(ORIG!V810=0,"",ORIG!V810)</f>
        <v/>
      </c>
      <c r="W810" s="9">
        <f>IF(ORIG!W810=0,"",ORIG!W810)</f>
        <v/>
      </c>
      <c r="X810" s="9">
        <f>IF(ORIG!X810=0,"",ORIG!X810)</f>
        <v/>
      </c>
      <c r="Y810" s="9">
        <f>IF(ORIG!Y810=0,"",ORIG!Y810)</f>
        <v/>
      </c>
      <c r="Z810" s="3">
        <f>SUMPRODUCT($B810:$Y810,$B$2649:$Y$2649)</f>
        <v/>
      </c>
      <c r="AA810" s="3">
        <f>SUMPRODUCT($B810:$Y810,$B$2655:$Y$2655)</f>
        <v/>
      </c>
      <c r="AC810" s="1">
        <f>A810</f>
        <v/>
      </c>
      <c r="AD810">
        <f>IF(ISNUMBER(V810),V810*($AB$1/V$2635),"")</f>
        <v/>
      </c>
      <c r="AE810">
        <f>IF(ISNUMBER(Z810),Z810*($AB$1/Z$2635),"")</f>
        <v/>
      </c>
      <c r="AF810" s="25">
        <f>IF(ISNUMBER(AD810+AE810),AD810+AE810,"")</f>
        <v/>
      </c>
      <c r="AH810" s="1">
        <f>A810</f>
        <v/>
      </c>
      <c r="AI810">
        <f>IF(ISNUMBER((1+V810)*AI809),(1+V810)*AI809,AI809)</f>
        <v/>
      </c>
      <c r="AJ810">
        <f>IF(ISNUMBER((1+Z810)*AJ809),(1+Z810)*AJ809,AJ809)</f>
        <v/>
      </c>
    </row>
    <row r="811">
      <c r="A811" s="1" t="n">
        <v>43180</v>
      </c>
      <c r="B811" s="3">
        <f>IF(ORIG!B811=0,"",ORIG!B811)</f>
        <v/>
      </c>
      <c r="C811" s="3">
        <f>IF(ORIG!C811=0,"",ORIG!C811)</f>
        <v/>
      </c>
      <c r="D811" s="3">
        <f>IF(ORIG!D811=0,"",ORIG!D811)</f>
        <v/>
      </c>
      <c r="E811" s="3">
        <f>IF(ORIG!E811=0,"",ORIG!E811)</f>
        <v/>
      </c>
      <c r="F811" s="3">
        <f>IF(ORIG!F811=0,"",ORIG!F811)</f>
        <v/>
      </c>
      <c r="G811" s="3">
        <f>IF(ORIG!G811=0,"",ORIG!G811)</f>
        <v/>
      </c>
      <c r="H811" s="3">
        <f>IF(ORIG!H811=0,"",ORIG!H811)</f>
        <v/>
      </c>
      <c r="I811" s="3">
        <f>IF(ORIG!I811=0,"",ORIG!I811)</f>
        <v/>
      </c>
      <c r="J811" s="3">
        <f>IF(ORIG!J811=0,"",ORIG!J811)</f>
        <v/>
      </c>
      <c r="K811" s="3">
        <f>IF(ORIG!K811=0,"",ORIG!K811)</f>
        <v/>
      </c>
      <c r="L811" s="3">
        <f>IF(ORIG!L811=0,"",ORIG!L811)</f>
        <v/>
      </c>
      <c r="M811" s="3">
        <f>IF(ORIG!M811=0,"",ORIG!M811)</f>
        <v/>
      </c>
      <c r="N811" s="3">
        <f>IF(ORIG!N811=0,"",ORIG!N811)</f>
        <v/>
      </c>
      <c r="O811" s="3">
        <f>IF(ORIG!O811=0,"",ORIG!O811)</f>
        <v/>
      </c>
      <c r="P811" s="3">
        <f>IF(ORIG!P811=0,"",ORIG!P811)</f>
        <v/>
      </c>
      <c r="Q811" s="3">
        <f>IF(ORIG!Q811=0,"",ORIG!Q811)</f>
        <v/>
      </c>
      <c r="R811" s="3">
        <f>IF(ORIG!R811=0,"",ORIG!R811)</f>
        <v/>
      </c>
      <c r="S811" s="3">
        <f>IF(ORIG!S811=0,"",ORIG!S811)</f>
        <v/>
      </c>
      <c r="T811" s="3">
        <f>IF(ORIG!T811=0,"",ORIG!T811)</f>
        <v/>
      </c>
      <c r="U811" s="3">
        <f>IF(ORIG!U811=0,"",ORIG!U811)</f>
        <v/>
      </c>
      <c r="V811" s="9">
        <f>IF(ORIG!V811=0,"",ORIG!V811)</f>
        <v/>
      </c>
      <c r="W811" s="9">
        <f>IF(ORIG!W811=0,"",ORIG!W811)</f>
        <v/>
      </c>
      <c r="X811" s="9">
        <f>IF(ORIG!X811=0,"",ORIG!X811)</f>
        <v/>
      </c>
      <c r="Y811" s="9">
        <f>IF(ORIG!Y811=0,"",ORIG!Y811)</f>
        <v/>
      </c>
      <c r="Z811" s="3">
        <f>SUMPRODUCT($B811:$Y811,$B$2649:$Y$2649)</f>
        <v/>
      </c>
      <c r="AA811" s="3">
        <f>SUMPRODUCT($B811:$Y811,$B$2655:$Y$2655)</f>
        <v/>
      </c>
      <c r="AC811" s="1">
        <f>A811</f>
        <v/>
      </c>
      <c r="AD811">
        <f>IF(ISNUMBER(V811),V811*($AB$1/V$2635),"")</f>
        <v/>
      </c>
      <c r="AE811">
        <f>IF(ISNUMBER(Z811),Z811*($AB$1/Z$2635),"")</f>
        <v/>
      </c>
      <c r="AF811" s="25">
        <f>IF(ISNUMBER(AD811+AE811),AD811+AE811,"")</f>
        <v/>
      </c>
      <c r="AH811" s="1">
        <f>A811</f>
        <v/>
      </c>
      <c r="AI811">
        <f>IF(ISNUMBER((1+V811)*AI810),(1+V811)*AI810,AI810)</f>
        <v/>
      </c>
      <c r="AJ811">
        <f>IF(ISNUMBER((1+Z811)*AJ810),(1+Z811)*AJ810,AJ810)</f>
        <v/>
      </c>
    </row>
    <row r="812">
      <c r="A812" s="1" t="n">
        <v>43181</v>
      </c>
      <c r="B812" s="3">
        <f>IF(ORIG!B812=0,"",ORIG!B812)</f>
        <v/>
      </c>
      <c r="C812" s="3">
        <f>IF(ORIG!C812=0,"",ORIG!C812)</f>
        <v/>
      </c>
      <c r="D812" s="3">
        <f>IF(ORIG!D812=0,"",ORIG!D812)</f>
        <v/>
      </c>
      <c r="E812" s="3">
        <f>IF(ORIG!E812=0,"",ORIG!E812)</f>
        <v/>
      </c>
      <c r="F812" s="3">
        <f>IF(ORIG!F812=0,"",ORIG!F812)</f>
        <v/>
      </c>
      <c r="G812" s="3">
        <f>IF(ORIG!G812=0,"",ORIG!G812)</f>
        <v/>
      </c>
      <c r="H812" s="3">
        <f>IF(ORIG!H812=0,"",ORIG!H812)</f>
        <v/>
      </c>
      <c r="I812" s="3">
        <f>IF(ORIG!I812=0,"",ORIG!I812)</f>
        <v/>
      </c>
      <c r="J812" s="3">
        <f>IF(ORIG!J812=0,"",ORIG!J812)</f>
        <v/>
      </c>
      <c r="K812" s="3">
        <f>IF(ORIG!K812=0,"",ORIG!K812)</f>
        <v/>
      </c>
      <c r="L812" s="3">
        <f>IF(ORIG!L812=0,"",ORIG!L812)</f>
        <v/>
      </c>
      <c r="M812" s="3">
        <f>IF(ORIG!M812=0,"",ORIG!M812)</f>
        <v/>
      </c>
      <c r="N812" s="3">
        <f>IF(ORIG!N812=0,"",ORIG!N812)</f>
        <v/>
      </c>
      <c r="O812" s="3">
        <f>IF(ORIG!O812=0,"",ORIG!O812)</f>
        <v/>
      </c>
      <c r="P812" s="3">
        <f>IF(ORIG!P812=0,"",ORIG!P812)</f>
        <v/>
      </c>
      <c r="Q812" s="3">
        <f>IF(ORIG!Q812=0,"",ORIG!Q812)</f>
        <v/>
      </c>
      <c r="R812" s="3">
        <f>IF(ORIG!R812=0,"",ORIG!R812)</f>
        <v/>
      </c>
      <c r="S812" s="3">
        <f>IF(ORIG!S812=0,"",ORIG!S812)</f>
        <v/>
      </c>
      <c r="T812" s="3">
        <f>IF(ORIG!T812=0,"",ORIG!T812)</f>
        <v/>
      </c>
      <c r="U812" s="3">
        <f>IF(ORIG!U812=0,"",ORIG!U812)</f>
        <v/>
      </c>
      <c r="V812" s="9">
        <f>IF(ORIG!V812=0,"",ORIG!V812)</f>
        <v/>
      </c>
      <c r="W812" s="9">
        <f>IF(ORIG!W812=0,"",ORIG!W812)</f>
        <v/>
      </c>
      <c r="X812" s="9">
        <f>IF(ORIG!X812=0,"",ORIG!X812)</f>
        <v/>
      </c>
      <c r="Y812" s="9">
        <f>IF(ORIG!Y812=0,"",ORIG!Y812)</f>
        <v/>
      </c>
      <c r="Z812" s="3">
        <f>SUMPRODUCT($B812:$Y812,$B$2649:$Y$2649)</f>
        <v/>
      </c>
      <c r="AA812" s="3">
        <f>SUMPRODUCT($B812:$Y812,$B$2655:$Y$2655)</f>
        <v/>
      </c>
      <c r="AC812" s="1">
        <f>A812</f>
        <v/>
      </c>
      <c r="AD812">
        <f>IF(ISNUMBER(V812),V812*($AB$1/V$2635),"")</f>
        <v/>
      </c>
      <c r="AE812">
        <f>IF(ISNUMBER(Z812),Z812*($AB$1/Z$2635),"")</f>
        <v/>
      </c>
      <c r="AF812" s="25">
        <f>IF(ISNUMBER(AD812+AE812),AD812+AE812,"")</f>
        <v/>
      </c>
      <c r="AH812" s="1">
        <f>A812</f>
        <v/>
      </c>
      <c r="AI812">
        <f>IF(ISNUMBER((1+V812)*AI811),(1+V812)*AI811,AI811)</f>
        <v/>
      </c>
      <c r="AJ812">
        <f>IF(ISNUMBER((1+Z812)*AJ811),(1+Z812)*AJ811,AJ811)</f>
        <v/>
      </c>
    </row>
    <row r="813">
      <c r="A813" s="1" t="n">
        <v>43182</v>
      </c>
      <c r="B813" s="3">
        <f>IF(ORIG!B813=0,"",ORIG!B813)</f>
        <v/>
      </c>
      <c r="C813" s="3">
        <f>IF(ORIG!C813=0,"",ORIG!C813)</f>
        <v/>
      </c>
      <c r="D813" s="3">
        <f>IF(ORIG!D813=0,"",ORIG!D813)</f>
        <v/>
      </c>
      <c r="E813" s="3">
        <f>IF(ORIG!E813=0,"",ORIG!E813)</f>
        <v/>
      </c>
      <c r="F813" s="3">
        <f>IF(ORIG!F813=0,"",ORIG!F813)</f>
        <v/>
      </c>
      <c r="G813" s="3">
        <f>IF(ORIG!G813=0,"",ORIG!G813)</f>
        <v/>
      </c>
      <c r="H813" s="3">
        <f>IF(ORIG!H813=0,"",ORIG!H813)</f>
        <v/>
      </c>
      <c r="I813" s="3">
        <f>IF(ORIG!I813=0,"",ORIG!I813)</f>
        <v/>
      </c>
      <c r="J813" s="3">
        <f>IF(ORIG!J813=0,"",ORIG!J813)</f>
        <v/>
      </c>
      <c r="K813" s="3">
        <f>IF(ORIG!K813=0,"",ORIG!K813)</f>
        <v/>
      </c>
      <c r="L813" s="3">
        <f>IF(ORIG!L813=0,"",ORIG!L813)</f>
        <v/>
      </c>
      <c r="M813" s="3">
        <f>IF(ORIG!M813=0,"",ORIG!M813)</f>
        <v/>
      </c>
      <c r="N813" s="3">
        <f>IF(ORIG!N813=0,"",ORIG!N813)</f>
        <v/>
      </c>
      <c r="O813" s="3">
        <f>IF(ORIG!O813=0,"",ORIG!O813)</f>
        <v/>
      </c>
      <c r="P813" s="3">
        <f>IF(ORIG!P813=0,"",ORIG!P813)</f>
        <v/>
      </c>
      <c r="Q813" s="3">
        <f>IF(ORIG!Q813=0,"",ORIG!Q813)</f>
        <v/>
      </c>
      <c r="R813" s="3">
        <f>IF(ORIG!R813=0,"",ORIG!R813)</f>
        <v/>
      </c>
      <c r="S813" s="3">
        <f>IF(ORIG!S813=0,"",ORIG!S813)</f>
        <v/>
      </c>
      <c r="T813" s="3">
        <f>IF(ORIG!T813=0,"",ORIG!T813)</f>
        <v/>
      </c>
      <c r="U813" s="3">
        <f>IF(ORIG!U813=0,"",ORIG!U813)</f>
        <v/>
      </c>
      <c r="V813" s="9">
        <f>IF(ORIG!V813=0,"",ORIG!V813)</f>
        <v/>
      </c>
      <c r="W813" s="9">
        <f>IF(ORIG!W813=0,"",ORIG!W813)</f>
        <v/>
      </c>
      <c r="X813" s="9">
        <f>IF(ORIG!X813=0,"",ORIG!X813)</f>
        <v/>
      </c>
      <c r="Y813" s="9">
        <f>IF(ORIG!Y813=0,"",ORIG!Y813)</f>
        <v/>
      </c>
      <c r="Z813" s="3">
        <f>SUMPRODUCT($B813:$Y813,$B$2649:$Y$2649)</f>
        <v/>
      </c>
      <c r="AA813" s="3">
        <f>SUMPRODUCT($B813:$Y813,$B$2655:$Y$2655)</f>
        <v/>
      </c>
      <c r="AC813" s="1">
        <f>A813</f>
        <v/>
      </c>
      <c r="AD813">
        <f>IF(ISNUMBER(V813),V813*($AB$1/V$2635),"")</f>
        <v/>
      </c>
      <c r="AE813">
        <f>IF(ISNUMBER(Z813),Z813*($AB$1/Z$2635),"")</f>
        <v/>
      </c>
      <c r="AF813" s="25">
        <f>IF(ISNUMBER(AD813+AE813),AD813+AE813,"")</f>
        <v/>
      </c>
      <c r="AH813" s="1">
        <f>A813</f>
        <v/>
      </c>
      <c r="AI813">
        <f>IF(ISNUMBER((1+V813)*AI812),(1+V813)*AI812,AI812)</f>
        <v/>
      </c>
      <c r="AJ813">
        <f>IF(ISNUMBER((1+Z813)*AJ812),(1+Z813)*AJ812,AJ812)</f>
        <v/>
      </c>
    </row>
    <row r="814">
      <c r="A814" s="1" t="n">
        <v>43185</v>
      </c>
      <c r="B814" s="3">
        <f>IF(ORIG!B814=0,"",ORIG!B814)</f>
        <v/>
      </c>
      <c r="C814" s="3">
        <f>IF(ORIG!C814=0,"",ORIG!C814)</f>
        <v/>
      </c>
      <c r="D814" s="3">
        <f>IF(ORIG!D814=0,"",ORIG!D814)</f>
        <v/>
      </c>
      <c r="E814" s="3">
        <f>IF(ORIG!E814=0,"",ORIG!E814)</f>
        <v/>
      </c>
      <c r="F814" s="3">
        <f>IF(ORIG!F814=0,"",ORIG!F814)</f>
        <v/>
      </c>
      <c r="G814" s="3">
        <f>IF(ORIG!G814=0,"",ORIG!G814)</f>
        <v/>
      </c>
      <c r="H814" s="3">
        <f>IF(ORIG!H814=0,"",ORIG!H814)</f>
        <v/>
      </c>
      <c r="I814" s="3">
        <f>IF(ORIG!I814=0,"",ORIG!I814)</f>
        <v/>
      </c>
      <c r="J814" s="3">
        <f>IF(ORIG!J814=0,"",ORIG!J814)</f>
        <v/>
      </c>
      <c r="K814" s="3">
        <f>IF(ORIG!K814=0,"",ORIG!K814)</f>
        <v/>
      </c>
      <c r="L814" s="3">
        <f>IF(ORIG!L814=0,"",ORIG!L814)</f>
        <v/>
      </c>
      <c r="M814" s="3">
        <f>IF(ORIG!M814=0,"",ORIG!M814)</f>
        <v/>
      </c>
      <c r="N814" s="3">
        <f>IF(ORIG!N814=0,"",ORIG!N814)</f>
        <v/>
      </c>
      <c r="O814" s="3">
        <f>IF(ORIG!O814=0,"",ORIG!O814)</f>
        <v/>
      </c>
      <c r="P814" s="3">
        <f>IF(ORIG!P814=0,"",ORIG!P814)</f>
        <v/>
      </c>
      <c r="Q814" s="3">
        <f>IF(ORIG!Q814=0,"",ORIG!Q814)</f>
        <v/>
      </c>
      <c r="R814" s="3">
        <f>IF(ORIG!R814=0,"",ORIG!R814)</f>
        <v/>
      </c>
      <c r="S814" s="3">
        <f>IF(ORIG!S814=0,"",ORIG!S814)</f>
        <v/>
      </c>
      <c r="T814" s="3">
        <f>IF(ORIG!T814=0,"",ORIG!T814)</f>
        <v/>
      </c>
      <c r="U814" s="3">
        <f>IF(ORIG!U814=0,"",ORIG!U814)</f>
        <v/>
      </c>
      <c r="V814" s="9">
        <f>IF(ORIG!V814=0,"",ORIG!V814)</f>
        <v/>
      </c>
      <c r="W814" s="9">
        <f>IF(ORIG!W814=0,"",ORIG!W814)</f>
        <v/>
      </c>
      <c r="X814" s="9">
        <f>IF(ORIG!X814=0,"",ORIG!X814)</f>
        <v/>
      </c>
      <c r="Y814" s="9">
        <f>IF(ORIG!Y814=0,"",ORIG!Y814)</f>
        <v/>
      </c>
      <c r="Z814" s="3">
        <f>SUMPRODUCT($B814:$Y814,$B$2649:$Y$2649)</f>
        <v/>
      </c>
      <c r="AA814" s="3">
        <f>SUMPRODUCT($B814:$Y814,$B$2655:$Y$2655)</f>
        <v/>
      </c>
      <c r="AC814" s="1">
        <f>A814</f>
        <v/>
      </c>
      <c r="AD814">
        <f>IF(ISNUMBER(V814),V814*($AB$1/V$2635),"")</f>
        <v/>
      </c>
      <c r="AE814">
        <f>IF(ISNUMBER(Z814),Z814*($AB$1/Z$2635),"")</f>
        <v/>
      </c>
      <c r="AF814" s="25">
        <f>IF(ISNUMBER(AD814+AE814),AD814+AE814,"")</f>
        <v/>
      </c>
      <c r="AH814" s="1">
        <f>A814</f>
        <v/>
      </c>
      <c r="AI814">
        <f>IF(ISNUMBER((1+V814)*AI813),(1+V814)*AI813,AI813)</f>
        <v/>
      </c>
      <c r="AJ814">
        <f>IF(ISNUMBER((1+Z814)*AJ813),(1+Z814)*AJ813,AJ813)</f>
        <v/>
      </c>
    </row>
    <row r="815">
      <c r="A815" s="1" t="n">
        <v>43186</v>
      </c>
      <c r="B815" s="3">
        <f>IF(ORIG!B815=0,"",ORIG!B815)</f>
        <v/>
      </c>
      <c r="C815" s="3">
        <f>IF(ORIG!C815=0,"",ORIG!C815)</f>
        <v/>
      </c>
      <c r="D815" s="3">
        <f>IF(ORIG!D815=0,"",ORIG!D815)</f>
        <v/>
      </c>
      <c r="E815" s="3">
        <f>IF(ORIG!E815=0,"",ORIG!E815)</f>
        <v/>
      </c>
      <c r="F815" s="3">
        <f>IF(ORIG!F815=0,"",ORIG!F815)</f>
        <v/>
      </c>
      <c r="G815" s="3">
        <f>IF(ORIG!G815=0,"",ORIG!G815)</f>
        <v/>
      </c>
      <c r="H815" s="3">
        <f>IF(ORIG!H815=0,"",ORIG!H815)</f>
        <v/>
      </c>
      <c r="I815" s="3">
        <f>IF(ORIG!I815=0,"",ORIG!I815)</f>
        <v/>
      </c>
      <c r="J815" s="3">
        <f>IF(ORIG!J815=0,"",ORIG!J815)</f>
        <v/>
      </c>
      <c r="K815" s="3">
        <f>IF(ORIG!K815=0,"",ORIG!K815)</f>
        <v/>
      </c>
      <c r="L815" s="3">
        <f>IF(ORIG!L815=0,"",ORIG!L815)</f>
        <v/>
      </c>
      <c r="M815" s="3">
        <f>IF(ORIG!M815=0,"",ORIG!M815)</f>
        <v/>
      </c>
      <c r="N815" s="3">
        <f>IF(ORIG!N815=0,"",ORIG!N815)</f>
        <v/>
      </c>
      <c r="O815" s="3">
        <f>IF(ORIG!O815=0,"",ORIG!O815)</f>
        <v/>
      </c>
      <c r="P815" s="3">
        <f>IF(ORIG!P815=0,"",ORIG!P815)</f>
        <v/>
      </c>
      <c r="Q815" s="3">
        <f>IF(ORIG!Q815=0,"",ORIG!Q815)</f>
        <v/>
      </c>
      <c r="R815" s="3">
        <f>IF(ORIG!R815=0,"",ORIG!R815)</f>
        <v/>
      </c>
      <c r="S815" s="3">
        <f>IF(ORIG!S815=0,"",ORIG!S815)</f>
        <v/>
      </c>
      <c r="T815" s="3">
        <f>IF(ORIG!T815=0,"",ORIG!T815)</f>
        <v/>
      </c>
      <c r="U815" s="3">
        <f>IF(ORIG!U815=0,"",ORIG!U815)</f>
        <v/>
      </c>
      <c r="V815" s="9">
        <f>IF(ORIG!V815=0,"",ORIG!V815)</f>
        <v/>
      </c>
      <c r="W815" s="9">
        <f>IF(ORIG!W815=0,"",ORIG!W815)</f>
        <v/>
      </c>
      <c r="X815" s="9">
        <f>IF(ORIG!X815=0,"",ORIG!X815)</f>
        <v/>
      </c>
      <c r="Y815" s="9">
        <f>IF(ORIG!Y815=0,"",ORIG!Y815)</f>
        <v/>
      </c>
      <c r="Z815" s="3">
        <f>SUMPRODUCT($B815:$Y815,$B$2649:$Y$2649)</f>
        <v/>
      </c>
      <c r="AA815" s="3">
        <f>SUMPRODUCT($B815:$Y815,$B$2655:$Y$2655)</f>
        <v/>
      </c>
      <c r="AC815" s="1">
        <f>A815</f>
        <v/>
      </c>
      <c r="AD815">
        <f>IF(ISNUMBER(V815),V815*($AB$1/V$2635),"")</f>
        <v/>
      </c>
      <c r="AE815">
        <f>IF(ISNUMBER(Z815),Z815*($AB$1/Z$2635),"")</f>
        <v/>
      </c>
      <c r="AF815" s="25">
        <f>IF(ISNUMBER(AD815+AE815),AD815+AE815,"")</f>
        <v/>
      </c>
      <c r="AH815" s="1">
        <f>A815</f>
        <v/>
      </c>
      <c r="AI815">
        <f>IF(ISNUMBER((1+V815)*AI814),(1+V815)*AI814,AI814)</f>
        <v/>
      </c>
      <c r="AJ815">
        <f>IF(ISNUMBER((1+Z815)*AJ814),(1+Z815)*AJ814,AJ814)</f>
        <v/>
      </c>
    </row>
    <row r="816">
      <c r="A816" s="1" t="n">
        <v>43187</v>
      </c>
      <c r="B816" s="3">
        <f>IF(ORIG!B816=0,"",ORIG!B816)</f>
        <v/>
      </c>
      <c r="C816" s="3">
        <f>IF(ORIG!C816=0,"",ORIG!C816)</f>
        <v/>
      </c>
      <c r="D816" s="3">
        <f>IF(ORIG!D816=0,"",ORIG!D816)</f>
        <v/>
      </c>
      <c r="E816" s="3">
        <f>IF(ORIG!E816=0,"",ORIG!E816)</f>
        <v/>
      </c>
      <c r="F816" s="3">
        <f>IF(ORIG!F816=0,"",ORIG!F816)</f>
        <v/>
      </c>
      <c r="G816" s="3">
        <f>IF(ORIG!G816=0,"",ORIG!G816)</f>
        <v/>
      </c>
      <c r="H816" s="3">
        <f>IF(ORIG!H816=0,"",ORIG!H816)</f>
        <v/>
      </c>
      <c r="I816" s="3">
        <f>IF(ORIG!I816=0,"",ORIG!I816)</f>
        <v/>
      </c>
      <c r="J816" s="3">
        <f>IF(ORIG!J816=0,"",ORIG!J816)</f>
        <v/>
      </c>
      <c r="K816" s="3">
        <f>IF(ORIG!K816=0,"",ORIG!K816)</f>
        <v/>
      </c>
      <c r="L816" s="3">
        <f>IF(ORIG!L816=0,"",ORIG!L816)</f>
        <v/>
      </c>
      <c r="M816" s="3">
        <f>IF(ORIG!M816=0,"",ORIG!M816)</f>
        <v/>
      </c>
      <c r="N816" s="3">
        <f>IF(ORIG!N816=0,"",ORIG!N816)</f>
        <v/>
      </c>
      <c r="O816" s="3">
        <f>IF(ORIG!O816=0,"",ORIG!O816)</f>
        <v/>
      </c>
      <c r="P816" s="3">
        <f>IF(ORIG!P816=0,"",ORIG!P816)</f>
        <v/>
      </c>
      <c r="Q816" s="3">
        <f>IF(ORIG!Q816=0,"",ORIG!Q816)</f>
        <v/>
      </c>
      <c r="R816" s="3">
        <f>IF(ORIG!R816=0,"",ORIG!R816)</f>
        <v/>
      </c>
      <c r="S816" s="3">
        <f>IF(ORIG!S816=0,"",ORIG!S816)</f>
        <v/>
      </c>
      <c r="T816" s="3">
        <f>IF(ORIG!T816=0,"",ORIG!T816)</f>
        <v/>
      </c>
      <c r="U816" s="3">
        <f>IF(ORIG!U816=0,"",ORIG!U816)</f>
        <v/>
      </c>
      <c r="V816" s="9">
        <f>IF(ORIG!V816=0,"",ORIG!V816)</f>
        <v/>
      </c>
      <c r="W816" s="9">
        <f>IF(ORIG!W816=0,"",ORIG!W816)</f>
        <v/>
      </c>
      <c r="X816" s="9">
        <f>IF(ORIG!X816=0,"",ORIG!X816)</f>
        <v/>
      </c>
      <c r="Y816" s="9">
        <f>IF(ORIG!Y816=0,"",ORIG!Y816)</f>
        <v/>
      </c>
      <c r="Z816" s="3">
        <f>SUMPRODUCT($B816:$Y816,$B$2649:$Y$2649)</f>
        <v/>
      </c>
      <c r="AA816" s="3">
        <f>SUMPRODUCT($B816:$Y816,$B$2655:$Y$2655)</f>
        <v/>
      </c>
      <c r="AC816" s="1">
        <f>A816</f>
        <v/>
      </c>
      <c r="AD816">
        <f>IF(ISNUMBER(V816),V816*($AB$1/V$2635),"")</f>
        <v/>
      </c>
      <c r="AE816">
        <f>IF(ISNUMBER(Z816),Z816*($AB$1/Z$2635),"")</f>
        <v/>
      </c>
      <c r="AF816" s="25">
        <f>IF(ISNUMBER(AD816+AE816),AD816+AE816,"")</f>
        <v/>
      </c>
      <c r="AH816" s="1">
        <f>A816</f>
        <v/>
      </c>
      <c r="AI816">
        <f>IF(ISNUMBER((1+V816)*AI815),(1+V816)*AI815,AI815)</f>
        <v/>
      </c>
      <c r="AJ816">
        <f>IF(ISNUMBER((1+Z816)*AJ815),(1+Z816)*AJ815,AJ815)</f>
        <v/>
      </c>
    </row>
    <row r="817">
      <c r="A817" s="1" t="n">
        <v>43188</v>
      </c>
      <c r="B817" s="3">
        <f>IF(ORIG!B817=0,"",ORIG!B817)</f>
        <v/>
      </c>
      <c r="C817" s="3">
        <f>IF(ORIG!C817=0,"",ORIG!C817)</f>
        <v/>
      </c>
      <c r="D817" s="3">
        <f>IF(ORIG!D817=0,"",ORIG!D817)</f>
        <v/>
      </c>
      <c r="E817" s="3">
        <f>IF(ORIG!E817=0,"",ORIG!E817)</f>
        <v/>
      </c>
      <c r="F817" s="3">
        <f>IF(ORIG!F817=0,"",ORIG!F817)</f>
        <v/>
      </c>
      <c r="G817" s="3">
        <f>IF(ORIG!G817=0,"",ORIG!G817)</f>
        <v/>
      </c>
      <c r="H817" s="3">
        <f>IF(ORIG!H817=0,"",ORIG!H817)</f>
        <v/>
      </c>
      <c r="I817" s="3">
        <f>IF(ORIG!I817=0,"",ORIG!I817)</f>
        <v/>
      </c>
      <c r="J817" s="3">
        <f>IF(ORIG!J817=0,"",ORIG!J817)</f>
        <v/>
      </c>
      <c r="K817" s="3">
        <f>IF(ORIG!K817=0,"",ORIG!K817)</f>
        <v/>
      </c>
      <c r="L817" s="3">
        <f>IF(ORIG!L817=0,"",ORIG!L817)</f>
        <v/>
      </c>
      <c r="M817" s="3">
        <f>IF(ORIG!M817=0,"",ORIG!M817)</f>
        <v/>
      </c>
      <c r="N817" s="3">
        <f>IF(ORIG!N817=0,"",ORIG!N817)</f>
        <v/>
      </c>
      <c r="O817" s="3">
        <f>IF(ORIG!O817=0,"",ORIG!O817)</f>
        <v/>
      </c>
      <c r="P817" s="3">
        <f>IF(ORIG!P817=0,"",ORIG!P817)</f>
        <v/>
      </c>
      <c r="Q817" s="3">
        <f>IF(ORIG!Q817=0,"",ORIG!Q817)</f>
        <v/>
      </c>
      <c r="R817" s="3">
        <f>IF(ORIG!R817=0,"",ORIG!R817)</f>
        <v/>
      </c>
      <c r="S817" s="3">
        <f>IF(ORIG!S817=0,"",ORIG!S817)</f>
        <v/>
      </c>
      <c r="T817" s="3">
        <f>IF(ORIG!T817=0,"",ORIG!T817)</f>
        <v/>
      </c>
      <c r="U817" s="3">
        <f>IF(ORIG!U817=0,"",ORIG!U817)</f>
        <v/>
      </c>
      <c r="V817" s="9">
        <f>IF(ORIG!V817=0,"",ORIG!V817)</f>
        <v/>
      </c>
      <c r="W817" s="9">
        <f>IF(ORIG!W817=0,"",ORIG!W817)</f>
        <v/>
      </c>
      <c r="X817" s="9">
        <f>IF(ORIG!X817=0,"",ORIG!X817)</f>
        <v/>
      </c>
      <c r="Y817" s="9">
        <f>IF(ORIG!Y817=0,"",ORIG!Y817)</f>
        <v/>
      </c>
      <c r="Z817" s="3">
        <f>SUMPRODUCT($B817:$Y817,$B$2649:$Y$2649)</f>
        <v/>
      </c>
      <c r="AA817" s="3">
        <f>SUMPRODUCT($B817:$Y817,$B$2655:$Y$2655)</f>
        <v/>
      </c>
      <c r="AC817" s="1">
        <f>A817</f>
        <v/>
      </c>
      <c r="AD817">
        <f>IF(ISNUMBER(V817),V817*($AB$1/V$2635),"")</f>
        <v/>
      </c>
      <c r="AE817">
        <f>IF(ISNUMBER(Z817),Z817*($AB$1/Z$2635),"")</f>
        <v/>
      </c>
      <c r="AF817" s="25">
        <f>IF(ISNUMBER(AD817+AE817),AD817+AE817,"")</f>
        <v/>
      </c>
      <c r="AH817" s="1">
        <f>A817</f>
        <v/>
      </c>
      <c r="AI817">
        <f>IF(ISNUMBER((1+V817)*AI816),(1+V817)*AI816,AI816)</f>
        <v/>
      </c>
      <c r="AJ817">
        <f>IF(ISNUMBER((1+Z817)*AJ816),(1+Z817)*AJ816,AJ816)</f>
        <v/>
      </c>
    </row>
    <row r="818">
      <c r="A818" s="1" t="n">
        <v>43192</v>
      </c>
      <c r="B818" s="3">
        <f>IF(ORIG!B818=0,"",ORIG!B818)</f>
        <v/>
      </c>
      <c r="C818" s="3">
        <f>IF(ORIG!C818=0,"",ORIG!C818)</f>
        <v/>
      </c>
      <c r="D818" s="3">
        <f>IF(ORIG!D818=0,"",ORIG!D818)</f>
        <v/>
      </c>
      <c r="E818" s="3">
        <f>IF(ORIG!E818=0,"",ORIG!E818)</f>
        <v/>
      </c>
      <c r="F818" s="3">
        <f>IF(ORIG!F818=0,"",ORIG!F818)</f>
        <v/>
      </c>
      <c r="G818" s="3">
        <f>IF(ORIG!G818=0,"",ORIG!G818)</f>
        <v/>
      </c>
      <c r="H818" s="3">
        <f>IF(ORIG!H818=0,"",ORIG!H818)</f>
        <v/>
      </c>
      <c r="I818" s="3">
        <f>IF(ORIG!I818=0,"",ORIG!I818)</f>
        <v/>
      </c>
      <c r="J818" s="3">
        <f>IF(ORIG!J818=0,"",ORIG!J818)</f>
        <v/>
      </c>
      <c r="K818" s="3">
        <f>IF(ORIG!K818=0,"",ORIG!K818)</f>
        <v/>
      </c>
      <c r="L818" s="3">
        <f>IF(ORIG!L818=0,"",ORIG!L818)</f>
        <v/>
      </c>
      <c r="M818" s="3">
        <f>IF(ORIG!M818=0,"",ORIG!M818)</f>
        <v/>
      </c>
      <c r="N818" s="3">
        <f>IF(ORIG!N818=0,"",ORIG!N818)</f>
        <v/>
      </c>
      <c r="O818" s="3">
        <f>IF(ORIG!O818=0,"",ORIG!O818)</f>
        <v/>
      </c>
      <c r="P818" s="3">
        <f>IF(ORIG!P818=0,"",ORIG!P818)</f>
        <v/>
      </c>
      <c r="Q818" s="3">
        <f>IF(ORIG!Q818=0,"",ORIG!Q818)</f>
        <v/>
      </c>
      <c r="R818" s="3">
        <f>IF(ORIG!R818=0,"",ORIG!R818)</f>
        <v/>
      </c>
      <c r="S818" s="3">
        <f>IF(ORIG!S818=0,"",ORIG!S818)</f>
        <v/>
      </c>
      <c r="T818" s="3">
        <f>IF(ORIG!T818=0,"",ORIG!T818)</f>
        <v/>
      </c>
      <c r="U818" s="3">
        <f>IF(ORIG!U818=0,"",ORIG!U818)</f>
        <v/>
      </c>
      <c r="V818" s="9">
        <f>IF(ORIG!V818=0,"",ORIG!V818)</f>
        <v/>
      </c>
      <c r="W818" s="9">
        <f>IF(ORIG!W818=0,"",ORIG!W818)</f>
        <v/>
      </c>
      <c r="X818" s="9">
        <f>IF(ORIG!X818=0,"",ORIG!X818)</f>
        <v/>
      </c>
      <c r="Y818" s="9">
        <f>IF(ORIG!Y818=0,"",ORIG!Y818)</f>
        <v/>
      </c>
      <c r="Z818" s="3">
        <f>SUMPRODUCT($B818:$Y818,$B$2649:$Y$2649)</f>
        <v/>
      </c>
      <c r="AA818" s="3">
        <f>SUMPRODUCT($B818:$Y818,$B$2655:$Y$2655)</f>
        <v/>
      </c>
      <c r="AC818" s="1">
        <f>A818</f>
        <v/>
      </c>
      <c r="AD818">
        <f>IF(ISNUMBER(V818),V818*($AB$1/V$2635),"")</f>
        <v/>
      </c>
      <c r="AE818">
        <f>IF(ISNUMBER(Z818),Z818*($AB$1/Z$2635),"")</f>
        <v/>
      </c>
      <c r="AF818" s="25">
        <f>IF(ISNUMBER(AD818+AE818),AD818+AE818,"")</f>
        <v/>
      </c>
      <c r="AH818" s="1">
        <f>A818</f>
        <v/>
      </c>
      <c r="AI818">
        <f>IF(ISNUMBER((1+V818)*AI817),(1+V818)*AI817,AI817)</f>
        <v/>
      </c>
      <c r="AJ818">
        <f>IF(ISNUMBER((1+Z818)*AJ817),(1+Z818)*AJ817,AJ817)</f>
        <v/>
      </c>
    </row>
    <row r="819">
      <c r="A819" s="1" t="n">
        <v>43193</v>
      </c>
      <c r="B819" s="3">
        <f>IF(ORIG!B819=0,"",ORIG!B819)</f>
        <v/>
      </c>
      <c r="C819" s="3">
        <f>IF(ORIG!C819=0,"",ORIG!C819)</f>
        <v/>
      </c>
      <c r="D819" s="3">
        <f>IF(ORIG!D819=0,"",ORIG!D819)</f>
        <v/>
      </c>
      <c r="E819" s="3">
        <f>IF(ORIG!E819=0,"",ORIG!E819)</f>
        <v/>
      </c>
      <c r="F819" s="3">
        <f>IF(ORIG!F819=0,"",ORIG!F819)</f>
        <v/>
      </c>
      <c r="G819" s="3">
        <f>IF(ORIG!G819=0,"",ORIG!G819)</f>
        <v/>
      </c>
      <c r="H819" s="3">
        <f>IF(ORIG!H819=0,"",ORIG!H819)</f>
        <v/>
      </c>
      <c r="I819" s="3">
        <f>IF(ORIG!I819=0,"",ORIG!I819)</f>
        <v/>
      </c>
      <c r="J819" s="3">
        <f>IF(ORIG!J819=0,"",ORIG!J819)</f>
        <v/>
      </c>
      <c r="K819" s="3">
        <f>IF(ORIG!K819=0,"",ORIG!K819)</f>
        <v/>
      </c>
      <c r="L819" s="3">
        <f>IF(ORIG!L819=0,"",ORIG!L819)</f>
        <v/>
      </c>
      <c r="M819" s="3">
        <f>IF(ORIG!M819=0,"",ORIG!M819)</f>
        <v/>
      </c>
      <c r="N819" s="3">
        <f>IF(ORIG!N819=0,"",ORIG!N819)</f>
        <v/>
      </c>
      <c r="O819" s="3">
        <f>IF(ORIG!O819=0,"",ORIG!O819)</f>
        <v/>
      </c>
      <c r="P819" s="3">
        <f>IF(ORIG!P819=0,"",ORIG!P819)</f>
        <v/>
      </c>
      <c r="Q819" s="3">
        <f>IF(ORIG!Q819=0,"",ORIG!Q819)</f>
        <v/>
      </c>
      <c r="R819" s="3">
        <f>IF(ORIG!R819=0,"",ORIG!R819)</f>
        <v/>
      </c>
      <c r="S819" s="3">
        <f>IF(ORIG!S819=0,"",ORIG!S819)</f>
        <v/>
      </c>
      <c r="T819" s="3">
        <f>IF(ORIG!T819=0,"",ORIG!T819)</f>
        <v/>
      </c>
      <c r="U819" s="3">
        <f>IF(ORIG!U819=0,"",ORIG!U819)</f>
        <v/>
      </c>
      <c r="V819" s="9">
        <f>IF(ORIG!V819=0,"",ORIG!V819)</f>
        <v/>
      </c>
      <c r="W819" s="9">
        <f>IF(ORIG!W819=0,"",ORIG!W819)</f>
        <v/>
      </c>
      <c r="X819" s="9">
        <f>IF(ORIG!X819=0,"",ORIG!X819)</f>
        <v/>
      </c>
      <c r="Y819" s="9">
        <f>IF(ORIG!Y819=0,"",ORIG!Y819)</f>
        <v/>
      </c>
      <c r="Z819" s="3">
        <f>SUMPRODUCT($B819:$Y819,$B$2649:$Y$2649)</f>
        <v/>
      </c>
      <c r="AA819" s="3">
        <f>SUMPRODUCT($B819:$Y819,$B$2655:$Y$2655)</f>
        <v/>
      </c>
      <c r="AC819" s="1">
        <f>A819</f>
        <v/>
      </c>
      <c r="AD819">
        <f>IF(ISNUMBER(V819),V819*($AB$1/V$2635),"")</f>
        <v/>
      </c>
      <c r="AE819">
        <f>IF(ISNUMBER(Z819),Z819*($AB$1/Z$2635),"")</f>
        <v/>
      </c>
      <c r="AF819" s="25">
        <f>IF(ISNUMBER(AD819+AE819),AD819+AE819,"")</f>
        <v/>
      </c>
      <c r="AH819" s="1">
        <f>A819</f>
        <v/>
      </c>
      <c r="AI819">
        <f>IF(ISNUMBER((1+V819)*AI818),(1+V819)*AI818,AI818)</f>
        <v/>
      </c>
      <c r="AJ819">
        <f>IF(ISNUMBER((1+Z819)*AJ818),(1+Z819)*AJ818,AJ818)</f>
        <v/>
      </c>
    </row>
    <row r="820">
      <c r="A820" s="1" t="n">
        <v>43194</v>
      </c>
      <c r="B820" s="3">
        <f>IF(ORIG!B820=0,"",ORIG!B820)</f>
        <v/>
      </c>
      <c r="C820" s="3">
        <f>IF(ORIG!C820=0,"",ORIG!C820)</f>
        <v/>
      </c>
      <c r="D820" s="3">
        <f>IF(ORIG!D820=0,"",ORIG!D820)</f>
        <v/>
      </c>
      <c r="E820" s="3">
        <f>IF(ORIG!E820=0,"",ORIG!E820)</f>
        <v/>
      </c>
      <c r="F820" s="3">
        <f>IF(ORIG!F820=0,"",ORIG!F820)</f>
        <v/>
      </c>
      <c r="G820" s="3">
        <f>IF(ORIG!G820=0,"",ORIG!G820)</f>
        <v/>
      </c>
      <c r="H820" s="3">
        <f>IF(ORIG!H820=0,"",ORIG!H820)</f>
        <v/>
      </c>
      <c r="I820" s="3">
        <f>IF(ORIG!I820=0,"",ORIG!I820)</f>
        <v/>
      </c>
      <c r="J820" s="3">
        <f>IF(ORIG!J820=0,"",ORIG!J820)</f>
        <v/>
      </c>
      <c r="K820" s="3">
        <f>IF(ORIG!K820=0,"",ORIG!K820)</f>
        <v/>
      </c>
      <c r="L820" s="3">
        <f>IF(ORIG!L820=0,"",ORIG!L820)</f>
        <v/>
      </c>
      <c r="M820" s="3">
        <f>IF(ORIG!M820=0,"",ORIG!M820)</f>
        <v/>
      </c>
      <c r="N820" s="3">
        <f>IF(ORIG!N820=0,"",ORIG!N820)</f>
        <v/>
      </c>
      <c r="O820" s="3">
        <f>IF(ORIG!O820=0,"",ORIG!O820)</f>
        <v/>
      </c>
      <c r="P820" s="3">
        <f>IF(ORIG!P820=0,"",ORIG!P820)</f>
        <v/>
      </c>
      <c r="Q820" s="3">
        <f>IF(ORIG!Q820=0,"",ORIG!Q820)</f>
        <v/>
      </c>
      <c r="R820" s="3">
        <f>IF(ORIG!R820=0,"",ORIG!R820)</f>
        <v/>
      </c>
      <c r="S820" s="3">
        <f>IF(ORIG!S820=0,"",ORIG!S820)</f>
        <v/>
      </c>
      <c r="T820" s="3">
        <f>IF(ORIG!T820=0,"",ORIG!T820)</f>
        <v/>
      </c>
      <c r="U820" s="3">
        <f>IF(ORIG!U820=0,"",ORIG!U820)</f>
        <v/>
      </c>
      <c r="V820" s="9">
        <f>IF(ORIG!V820=0,"",ORIG!V820)</f>
        <v/>
      </c>
      <c r="W820" s="9">
        <f>IF(ORIG!W820=0,"",ORIG!W820)</f>
        <v/>
      </c>
      <c r="X820" s="9">
        <f>IF(ORIG!X820=0,"",ORIG!X820)</f>
        <v/>
      </c>
      <c r="Y820" s="9">
        <f>IF(ORIG!Y820=0,"",ORIG!Y820)</f>
        <v/>
      </c>
      <c r="Z820" s="3">
        <f>SUMPRODUCT($B820:$Y820,$B$2649:$Y$2649)</f>
        <v/>
      </c>
      <c r="AA820" s="3">
        <f>SUMPRODUCT($B820:$Y820,$B$2655:$Y$2655)</f>
        <v/>
      </c>
      <c r="AC820" s="1">
        <f>A820</f>
        <v/>
      </c>
      <c r="AD820">
        <f>IF(ISNUMBER(V820),V820*($AB$1/V$2635),"")</f>
        <v/>
      </c>
      <c r="AE820">
        <f>IF(ISNUMBER(Z820),Z820*($AB$1/Z$2635),"")</f>
        <v/>
      </c>
      <c r="AF820" s="25">
        <f>IF(ISNUMBER(AD820+AE820),AD820+AE820,"")</f>
        <v/>
      </c>
      <c r="AH820" s="1">
        <f>A820</f>
        <v/>
      </c>
      <c r="AI820">
        <f>IF(ISNUMBER((1+V820)*AI819),(1+V820)*AI819,AI819)</f>
        <v/>
      </c>
      <c r="AJ820">
        <f>IF(ISNUMBER((1+Z820)*AJ819),(1+Z820)*AJ819,AJ819)</f>
        <v/>
      </c>
    </row>
    <row r="821">
      <c r="A821" s="1" t="n">
        <v>43195</v>
      </c>
      <c r="B821" s="3">
        <f>IF(ORIG!B821=0,"",ORIG!B821)</f>
        <v/>
      </c>
      <c r="C821" s="3">
        <f>IF(ORIG!C821=0,"",ORIG!C821)</f>
        <v/>
      </c>
      <c r="D821" s="3">
        <f>IF(ORIG!D821=0,"",ORIG!D821)</f>
        <v/>
      </c>
      <c r="E821" s="3">
        <f>IF(ORIG!E821=0,"",ORIG!E821)</f>
        <v/>
      </c>
      <c r="F821" s="3">
        <f>IF(ORIG!F821=0,"",ORIG!F821)</f>
        <v/>
      </c>
      <c r="G821" s="3">
        <f>IF(ORIG!G821=0,"",ORIG!G821)</f>
        <v/>
      </c>
      <c r="H821" s="3">
        <f>IF(ORIG!H821=0,"",ORIG!H821)</f>
        <v/>
      </c>
      <c r="I821" s="3">
        <f>IF(ORIG!I821=0,"",ORIG!I821)</f>
        <v/>
      </c>
      <c r="J821" s="3">
        <f>IF(ORIG!J821=0,"",ORIG!J821)</f>
        <v/>
      </c>
      <c r="K821" s="3">
        <f>IF(ORIG!K821=0,"",ORIG!K821)</f>
        <v/>
      </c>
      <c r="L821" s="3">
        <f>IF(ORIG!L821=0,"",ORIG!L821)</f>
        <v/>
      </c>
      <c r="M821" s="3">
        <f>IF(ORIG!M821=0,"",ORIG!M821)</f>
        <v/>
      </c>
      <c r="N821" s="3">
        <f>IF(ORIG!N821=0,"",ORIG!N821)</f>
        <v/>
      </c>
      <c r="O821" s="3">
        <f>IF(ORIG!O821=0,"",ORIG!O821)</f>
        <v/>
      </c>
      <c r="P821" s="3">
        <f>IF(ORIG!P821=0,"",ORIG!P821)</f>
        <v/>
      </c>
      <c r="Q821" s="3">
        <f>IF(ORIG!Q821=0,"",ORIG!Q821)</f>
        <v/>
      </c>
      <c r="R821" s="3">
        <f>IF(ORIG!R821=0,"",ORIG!R821)</f>
        <v/>
      </c>
      <c r="S821" s="3">
        <f>IF(ORIG!S821=0,"",ORIG!S821)</f>
        <v/>
      </c>
      <c r="T821" s="3">
        <f>IF(ORIG!T821=0,"",ORIG!T821)</f>
        <v/>
      </c>
      <c r="U821" s="3">
        <f>IF(ORIG!U821=0,"",ORIG!U821)</f>
        <v/>
      </c>
      <c r="V821" s="9">
        <f>IF(ORIG!V821=0,"",ORIG!V821)</f>
        <v/>
      </c>
      <c r="W821" s="9">
        <f>IF(ORIG!W821=0,"",ORIG!W821)</f>
        <v/>
      </c>
      <c r="X821" s="9">
        <f>IF(ORIG!X821=0,"",ORIG!X821)</f>
        <v/>
      </c>
      <c r="Y821" s="9">
        <f>IF(ORIG!Y821=0,"",ORIG!Y821)</f>
        <v/>
      </c>
      <c r="Z821" s="3">
        <f>SUMPRODUCT($B821:$Y821,$B$2649:$Y$2649)</f>
        <v/>
      </c>
      <c r="AA821" s="3">
        <f>SUMPRODUCT($B821:$Y821,$B$2655:$Y$2655)</f>
        <v/>
      </c>
      <c r="AC821" s="1">
        <f>A821</f>
        <v/>
      </c>
      <c r="AD821">
        <f>IF(ISNUMBER(V821),V821*($AB$1/V$2635),"")</f>
        <v/>
      </c>
      <c r="AE821">
        <f>IF(ISNUMBER(Z821),Z821*($AB$1/Z$2635),"")</f>
        <v/>
      </c>
      <c r="AF821" s="25">
        <f>IF(ISNUMBER(AD821+AE821),AD821+AE821,"")</f>
        <v/>
      </c>
      <c r="AH821" s="1">
        <f>A821</f>
        <v/>
      </c>
      <c r="AI821">
        <f>IF(ISNUMBER((1+V821)*AI820),(1+V821)*AI820,AI820)</f>
        <v/>
      </c>
      <c r="AJ821">
        <f>IF(ISNUMBER((1+Z821)*AJ820),(1+Z821)*AJ820,AJ820)</f>
        <v/>
      </c>
    </row>
    <row r="822">
      <c r="A822" s="1" t="n">
        <v>43196</v>
      </c>
      <c r="B822" s="3">
        <f>IF(ORIG!B822=0,"",ORIG!B822)</f>
        <v/>
      </c>
      <c r="C822" s="3">
        <f>IF(ORIG!C822=0,"",ORIG!C822)</f>
        <v/>
      </c>
      <c r="D822" s="3">
        <f>IF(ORIG!D822=0,"",ORIG!D822)</f>
        <v/>
      </c>
      <c r="E822" s="3">
        <f>IF(ORIG!E822=0,"",ORIG!E822)</f>
        <v/>
      </c>
      <c r="F822" s="3">
        <f>IF(ORIG!F822=0,"",ORIG!F822)</f>
        <v/>
      </c>
      <c r="G822" s="3">
        <f>IF(ORIG!G822=0,"",ORIG!G822)</f>
        <v/>
      </c>
      <c r="H822" s="3">
        <f>IF(ORIG!H822=0,"",ORIG!H822)</f>
        <v/>
      </c>
      <c r="I822" s="3">
        <f>IF(ORIG!I822=0,"",ORIG!I822)</f>
        <v/>
      </c>
      <c r="J822" s="3">
        <f>IF(ORIG!J822=0,"",ORIG!J822)</f>
        <v/>
      </c>
      <c r="K822" s="3">
        <f>IF(ORIG!K822=0,"",ORIG!K822)</f>
        <v/>
      </c>
      <c r="L822" s="3">
        <f>IF(ORIG!L822=0,"",ORIG!L822)</f>
        <v/>
      </c>
      <c r="M822" s="3">
        <f>IF(ORIG!M822=0,"",ORIG!M822)</f>
        <v/>
      </c>
      <c r="N822" s="3">
        <f>IF(ORIG!N822=0,"",ORIG!N822)</f>
        <v/>
      </c>
      <c r="O822" s="3">
        <f>IF(ORIG!O822=0,"",ORIG!O822)</f>
        <v/>
      </c>
      <c r="P822" s="3">
        <f>IF(ORIG!P822=0,"",ORIG!P822)</f>
        <v/>
      </c>
      <c r="Q822" s="3">
        <f>IF(ORIG!Q822=0,"",ORIG!Q822)</f>
        <v/>
      </c>
      <c r="R822" s="3">
        <f>IF(ORIG!R822=0,"",ORIG!R822)</f>
        <v/>
      </c>
      <c r="S822" s="3">
        <f>IF(ORIG!S822=0,"",ORIG!S822)</f>
        <v/>
      </c>
      <c r="T822" s="3">
        <f>IF(ORIG!T822=0,"",ORIG!T822)</f>
        <v/>
      </c>
      <c r="U822" s="3">
        <f>IF(ORIG!U822=0,"",ORIG!U822)</f>
        <v/>
      </c>
      <c r="V822" s="9">
        <f>IF(ORIG!V822=0,"",ORIG!V822)</f>
        <v/>
      </c>
      <c r="W822" s="9">
        <f>IF(ORIG!W822=0,"",ORIG!W822)</f>
        <v/>
      </c>
      <c r="X822" s="9">
        <f>IF(ORIG!X822=0,"",ORIG!X822)</f>
        <v/>
      </c>
      <c r="Y822" s="9">
        <f>IF(ORIG!Y822=0,"",ORIG!Y822)</f>
        <v/>
      </c>
      <c r="Z822" s="3">
        <f>SUMPRODUCT($B822:$Y822,$B$2649:$Y$2649)</f>
        <v/>
      </c>
      <c r="AA822" s="3">
        <f>SUMPRODUCT($B822:$Y822,$B$2655:$Y$2655)</f>
        <v/>
      </c>
      <c r="AC822" s="1">
        <f>A822</f>
        <v/>
      </c>
      <c r="AD822">
        <f>IF(ISNUMBER(V822),V822*($AB$1/V$2635),"")</f>
        <v/>
      </c>
      <c r="AE822">
        <f>IF(ISNUMBER(Z822),Z822*($AB$1/Z$2635),"")</f>
        <v/>
      </c>
      <c r="AF822" s="25">
        <f>IF(ISNUMBER(AD822+AE822),AD822+AE822,"")</f>
        <v/>
      </c>
      <c r="AH822" s="1">
        <f>A822</f>
        <v/>
      </c>
      <c r="AI822">
        <f>IF(ISNUMBER((1+V822)*AI821),(1+V822)*AI821,AI821)</f>
        <v/>
      </c>
      <c r="AJ822">
        <f>IF(ISNUMBER((1+Z822)*AJ821),(1+Z822)*AJ821,AJ821)</f>
        <v/>
      </c>
    </row>
    <row r="823">
      <c r="A823" s="1" t="n">
        <v>43199</v>
      </c>
      <c r="B823" s="3">
        <f>IF(ORIG!B823=0,"",ORIG!B823)</f>
        <v/>
      </c>
      <c r="C823" s="3">
        <f>IF(ORIG!C823=0,"",ORIG!C823)</f>
        <v/>
      </c>
      <c r="D823" s="3">
        <f>IF(ORIG!D823=0,"",ORIG!D823)</f>
        <v/>
      </c>
      <c r="E823" s="3">
        <f>IF(ORIG!E823=0,"",ORIG!E823)</f>
        <v/>
      </c>
      <c r="F823" s="3">
        <f>IF(ORIG!F823=0,"",ORIG!F823)</f>
        <v/>
      </c>
      <c r="G823" s="3">
        <f>IF(ORIG!G823=0,"",ORIG!G823)</f>
        <v/>
      </c>
      <c r="H823" s="3">
        <f>IF(ORIG!H823=0,"",ORIG!H823)</f>
        <v/>
      </c>
      <c r="I823" s="3">
        <f>IF(ORIG!I823=0,"",ORIG!I823)</f>
        <v/>
      </c>
      <c r="J823" s="3">
        <f>IF(ORIG!J823=0,"",ORIG!J823)</f>
        <v/>
      </c>
      <c r="K823" s="3">
        <f>IF(ORIG!K823=0,"",ORIG!K823)</f>
        <v/>
      </c>
      <c r="L823" s="3">
        <f>IF(ORIG!L823=0,"",ORIG!L823)</f>
        <v/>
      </c>
      <c r="M823" s="3">
        <f>IF(ORIG!M823=0,"",ORIG!M823)</f>
        <v/>
      </c>
      <c r="N823" s="3">
        <f>IF(ORIG!N823=0,"",ORIG!N823)</f>
        <v/>
      </c>
      <c r="O823" s="3">
        <f>IF(ORIG!O823=0,"",ORIG!O823)</f>
        <v/>
      </c>
      <c r="P823" s="3">
        <f>IF(ORIG!P823=0,"",ORIG!P823)</f>
        <v/>
      </c>
      <c r="Q823" s="3">
        <f>IF(ORIG!Q823=0,"",ORIG!Q823)</f>
        <v/>
      </c>
      <c r="R823" s="3">
        <f>IF(ORIG!R823=0,"",ORIG!R823)</f>
        <v/>
      </c>
      <c r="S823" s="3">
        <f>IF(ORIG!S823=0,"",ORIG!S823)</f>
        <v/>
      </c>
      <c r="T823" s="3">
        <f>IF(ORIG!T823=0,"",ORIG!T823)</f>
        <v/>
      </c>
      <c r="U823" s="3">
        <f>IF(ORIG!U823=0,"",ORIG!U823)</f>
        <v/>
      </c>
      <c r="V823" s="9">
        <f>IF(ORIG!V823=0,"",ORIG!V823)</f>
        <v/>
      </c>
      <c r="W823" s="9">
        <f>IF(ORIG!W823=0,"",ORIG!W823)</f>
        <v/>
      </c>
      <c r="X823" s="9">
        <f>IF(ORIG!X823=0,"",ORIG!X823)</f>
        <v/>
      </c>
      <c r="Y823" s="9">
        <f>IF(ORIG!Y823=0,"",ORIG!Y823)</f>
        <v/>
      </c>
      <c r="Z823" s="3">
        <f>SUMPRODUCT($B823:$Y823,$B$2649:$Y$2649)</f>
        <v/>
      </c>
      <c r="AA823" s="3">
        <f>SUMPRODUCT($B823:$Y823,$B$2655:$Y$2655)</f>
        <v/>
      </c>
      <c r="AC823" s="1">
        <f>A823</f>
        <v/>
      </c>
      <c r="AD823">
        <f>IF(ISNUMBER(V823),V823*($AB$1/V$2635),"")</f>
        <v/>
      </c>
      <c r="AE823">
        <f>IF(ISNUMBER(Z823),Z823*($AB$1/Z$2635),"")</f>
        <v/>
      </c>
      <c r="AF823" s="25">
        <f>IF(ISNUMBER(AD823+AE823),AD823+AE823,"")</f>
        <v/>
      </c>
      <c r="AH823" s="1">
        <f>A823</f>
        <v/>
      </c>
      <c r="AI823">
        <f>IF(ISNUMBER((1+V823)*AI822),(1+V823)*AI822,AI822)</f>
        <v/>
      </c>
      <c r="AJ823">
        <f>IF(ISNUMBER((1+Z823)*AJ822),(1+Z823)*AJ822,AJ822)</f>
        <v/>
      </c>
    </row>
    <row r="824">
      <c r="A824" s="1" t="n">
        <v>43200</v>
      </c>
      <c r="B824" s="3">
        <f>IF(ORIG!B824=0,"",ORIG!B824)</f>
        <v/>
      </c>
      <c r="C824" s="3">
        <f>IF(ORIG!C824=0,"",ORIG!C824)</f>
        <v/>
      </c>
      <c r="D824" s="3">
        <f>IF(ORIG!D824=0,"",ORIG!D824)</f>
        <v/>
      </c>
      <c r="E824" s="3">
        <f>IF(ORIG!E824=0,"",ORIG!E824)</f>
        <v/>
      </c>
      <c r="F824" s="3">
        <f>IF(ORIG!F824=0,"",ORIG!F824)</f>
        <v/>
      </c>
      <c r="G824" s="3">
        <f>IF(ORIG!G824=0,"",ORIG!G824)</f>
        <v/>
      </c>
      <c r="H824" s="3">
        <f>IF(ORIG!H824=0,"",ORIG!H824)</f>
        <v/>
      </c>
      <c r="I824" s="3">
        <f>IF(ORIG!I824=0,"",ORIG!I824)</f>
        <v/>
      </c>
      <c r="J824" s="3">
        <f>IF(ORIG!J824=0,"",ORIG!J824)</f>
        <v/>
      </c>
      <c r="K824" s="3">
        <f>IF(ORIG!K824=0,"",ORIG!K824)</f>
        <v/>
      </c>
      <c r="L824" s="3">
        <f>IF(ORIG!L824=0,"",ORIG!L824)</f>
        <v/>
      </c>
      <c r="M824" s="3">
        <f>IF(ORIG!M824=0,"",ORIG!M824)</f>
        <v/>
      </c>
      <c r="N824" s="3">
        <f>IF(ORIG!N824=0,"",ORIG!N824)</f>
        <v/>
      </c>
      <c r="O824" s="3">
        <f>IF(ORIG!O824=0,"",ORIG!O824)</f>
        <v/>
      </c>
      <c r="P824" s="3">
        <f>IF(ORIG!P824=0,"",ORIG!P824)</f>
        <v/>
      </c>
      <c r="Q824" s="3">
        <f>IF(ORIG!Q824=0,"",ORIG!Q824)</f>
        <v/>
      </c>
      <c r="R824" s="3">
        <f>IF(ORIG!R824=0,"",ORIG!R824)</f>
        <v/>
      </c>
      <c r="S824" s="3">
        <f>IF(ORIG!S824=0,"",ORIG!S824)</f>
        <v/>
      </c>
      <c r="T824" s="3">
        <f>IF(ORIG!T824=0,"",ORIG!T824)</f>
        <v/>
      </c>
      <c r="U824" s="3">
        <f>IF(ORIG!U824=0,"",ORIG!U824)</f>
        <v/>
      </c>
      <c r="V824" s="9">
        <f>IF(ORIG!V824=0,"",ORIG!V824)</f>
        <v/>
      </c>
      <c r="W824" s="9">
        <f>IF(ORIG!W824=0,"",ORIG!W824)</f>
        <v/>
      </c>
      <c r="X824" s="9">
        <f>IF(ORIG!X824=0,"",ORIG!X824)</f>
        <v/>
      </c>
      <c r="Y824" s="9">
        <f>IF(ORIG!Y824=0,"",ORIG!Y824)</f>
        <v/>
      </c>
      <c r="Z824" s="3">
        <f>SUMPRODUCT($B824:$Y824,$B$2649:$Y$2649)</f>
        <v/>
      </c>
      <c r="AA824" s="3">
        <f>SUMPRODUCT($B824:$Y824,$B$2655:$Y$2655)</f>
        <v/>
      </c>
      <c r="AC824" s="1">
        <f>A824</f>
        <v/>
      </c>
      <c r="AD824">
        <f>IF(ISNUMBER(V824),V824*($AB$1/V$2635),"")</f>
        <v/>
      </c>
      <c r="AE824">
        <f>IF(ISNUMBER(Z824),Z824*($AB$1/Z$2635),"")</f>
        <v/>
      </c>
      <c r="AF824" s="25">
        <f>IF(ISNUMBER(AD824+AE824),AD824+AE824,"")</f>
        <v/>
      </c>
      <c r="AH824" s="1">
        <f>A824</f>
        <v/>
      </c>
      <c r="AI824">
        <f>IF(ISNUMBER((1+V824)*AI823),(1+V824)*AI823,AI823)</f>
        <v/>
      </c>
      <c r="AJ824">
        <f>IF(ISNUMBER((1+Z824)*AJ823),(1+Z824)*AJ823,AJ823)</f>
        <v/>
      </c>
    </row>
    <row r="825">
      <c r="A825" s="1" t="n">
        <v>43201</v>
      </c>
      <c r="B825" s="3">
        <f>IF(ORIG!B825=0,"",ORIG!B825)</f>
        <v/>
      </c>
      <c r="C825" s="3">
        <f>IF(ORIG!C825=0,"",ORIG!C825)</f>
        <v/>
      </c>
      <c r="D825" s="3">
        <f>IF(ORIG!D825=0,"",ORIG!D825)</f>
        <v/>
      </c>
      <c r="E825" s="3">
        <f>IF(ORIG!E825=0,"",ORIG!E825)</f>
        <v/>
      </c>
      <c r="F825" s="3">
        <f>IF(ORIG!F825=0,"",ORIG!F825)</f>
        <v/>
      </c>
      <c r="G825" s="3">
        <f>IF(ORIG!G825=0,"",ORIG!G825)</f>
        <v/>
      </c>
      <c r="H825" s="3">
        <f>IF(ORIG!H825=0,"",ORIG!H825)</f>
        <v/>
      </c>
      <c r="I825" s="3">
        <f>IF(ORIG!I825=0,"",ORIG!I825)</f>
        <v/>
      </c>
      <c r="J825" s="3">
        <f>IF(ORIG!J825=0,"",ORIG!J825)</f>
        <v/>
      </c>
      <c r="K825" s="3">
        <f>IF(ORIG!K825=0,"",ORIG!K825)</f>
        <v/>
      </c>
      <c r="L825" s="3">
        <f>IF(ORIG!L825=0,"",ORIG!L825)</f>
        <v/>
      </c>
      <c r="M825" s="3">
        <f>IF(ORIG!M825=0,"",ORIG!M825)</f>
        <v/>
      </c>
      <c r="N825" s="3">
        <f>IF(ORIG!N825=0,"",ORIG!N825)</f>
        <v/>
      </c>
      <c r="O825" s="3">
        <f>IF(ORIG!O825=0,"",ORIG!O825)</f>
        <v/>
      </c>
      <c r="P825" s="3">
        <f>IF(ORIG!P825=0,"",ORIG!P825)</f>
        <v/>
      </c>
      <c r="Q825" s="3">
        <f>IF(ORIG!Q825=0,"",ORIG!Q825)</f>
        <v/>
      </c>
      <c r="R825" s="3">
        <f>IF(ORIG!R825=0,"",ORIG!R825)</f>
        <v/>
      </c>
      <c r="S825" s="3">
        <f>IF(ORIG!S825=0,"",ORIG!S825)</f>
        <v/>
      </c>
      <c r="T825" s="3">
        <f>IF(ORIG!T825=0,"",ORIG!T825)</f>
        <v/>
      </c>
      <c r="U825" s="3">
        <f>IF(ORIG!U825=0,"",ORIG!U825)</f>
        <v/>
      </c>
      <c r="V825" s="9">
        <f>IF(ORIG!V825=0,"",ORIG!V825)</f>
        <v/>
      </c>
      <c r="W825" s="9">
        <f>IF(ORIG!W825=0,"",ORIG!W825)</f>
        <v/>
      </c>
      <c r="X825" s="9">
        <f>IF(ORIG!X825=0,"",ORIG!X825)</f>
        <v/>
      </c>
      <c r="Y825" s="9">
        <f>IF(ORIG!Y825=0,"",ORIG!Y825)</f>
        <v/>
      </c>
      <c r="Z825" s="3">
        <f>SUMPRODUCT($B825:$Y825,$B$2649:$Y$2649)</f>
        <v/>
      </c>
      <c r="AA825" s="3">
        <f>SUMPRODUCT($B825:$Y825,$B$2655:$Y$2655)</f>
        <v/>
      </c>
      <c r="AC825" s="1">
        <f>A825</f>
        <v/>
      </c>
      <c r="AD825">
        <f>IF(ISNUMBER(V825),V825*($AB$1/V$2635),"")</f>
        <v/>
      </c>
      <c r="AE825">
        <f>IF(ISNUMBER(Z825),Z825*($AB$1/Z$2635),"")</f>
        <v/>
      </c>
      <c r="AF825" s="25">
        <f>IF(ISNUMBER(AD825+AE825),AD825+AE825,"")</f>
        <v/>
      </c>
      <c r="AH825" s="1">
        <f>A825</f>
        <v/>
      </c>
      <c r="AI825">
        <f>IF(ISNUMBER((1+V825)*AI824),(1+V825)*AI824,AI824)</f>
        <v/>
      </c>
      <c r="AJ825">
        <f>IF(ISNUMBER((1+Z825)*AJ824),(1+Z825)*AJ824,AJ824)</f>
        <v/>
      </c>
    </row>
    <row r="826">
      <c r="A826" s="1" t="n">
        <v>43202</v>
      </c>
      <c r="B826" s="3">
        <f>IF(ORIG!B826=0,"",ORIG!B826)</f>
        <v/>
      </c>
      <c r="C826" s="3">
        <f>IF(ORIG!C826=0,"",ORIG!C826)</f>
        <v/>
      </c>
      <c r="D826" s="3">
        <f>IF(ORIG!D826=0,"",ORIG!D826)</f>
        <v/>
      </c>
      <c r="E826" s="3">
        <f>IF(ORIG!E826=0,"",ORIG!E826)</f>
        <v/>
      </c>
      <c r="F826" s="3">
        <f>IF(ORIG!F826=0,"",ORIG!F826)</f>
        <v/>
      </c>
      <c r="G826" s="3">
        <f>IF(ORIG!G826=0,"",ORIG!G826)</f>
        <v/>
      </c>
      <c r="H826" s="3">
        <f>IF(ORIG!H826=0,"",ORIG!H826)</f>
        <v/>
      </c>
      <c r="I826" s="3">
        <f>IF(ORIG!I826=0,"",ORIG!I826)</f>
        <v/>
      </c>
      <c r="J826" s="3">
        <f>IF(ORIG!J826=0,"",ORIG!J826)</f>
        <v/>
      </c>
      <c r="K826" s="3">
        <f>IF(ORIG!K826=0,"",ORIG!K826)</f>
        <v/>
      </c>
      <c r="L826" s="3">
        <f>IF(ORIG!L826=0,"",ORIG!L826)</f>
        <v/>
      </c>
      <c r="M826" s="3">
        <f>IF(ORIG!M826=0,"",ORIG!M826)</f>
        <v/>
      </c>
      <c r="N826" s="3">
        <f>IF(ORIG!N826=0,"",ORIG!N826)</f>
        <v/>
      </c>
      <c r="O826" s="3">
        <f>IF(ORIG!O826=0,"",ORIG!O826)</f>
        <v/>
      </c>
      <c r="P826" s="3">
        <f>IF(ORIG!P826=0,"",ORIG!P826)</f>
        <v/>
      </c>
      <c r="Q826" s="3">
        <f>IF(ORIG!Q826=0,"",ORIG!Q826)</f>
        <v/>
      </c>
      <c r="R826" s="3">
        <f>IF(ORIG!R826=0,"",ORIG!R826)</f>
        <v/>
      </c>
      <c r="S826" s="3">
        <f>IF(ORIG!S826=0,"",ORIG!S826)</f>
        <v/>
      </c>
      <c r="T826" s="3">
        <f>IF(ORIG!T826=0,"",ORIG!T826)</f>
        <v/>
      </c>
      <c r="U826" s="3">
        <f>IF(ORIG!U826=0,"",ORIG!U826)</f>
        <v/>
      </c>
      <c r="V826" s="9">
        <f>IF(ORIG!V826=0,"",ORIG!V826)</f>
        <v/>
      </c>
      <c r="W826" s="9">
        <f>IF(ORIG!W826=0,"",ORIG!W826)</f>
        <v/>
      </c>
      <c r="X826" s="9">
        <f>IF(ORIG!X826=0,"",ORIG!X826)</f>
        <v/>
      </c>
      <c r="Y826" s="9">
        <f>IF(ORIG!Y826=0,"",ORIG!Y826)</f>
        <v/>
      </c>
      <c r="Z826" s="3">
        <f>SUMPRODUCT($B826:$Y826,$B$2649:$Y$2649)</f>
        <v/>
      </c>
      <c r="AA826" s="3">
        <f>SUMPRODUCT($B826:$Y826,$B$2655:$Y$2655)</f>
        <v/>
      </c>
      <c r="AC826" s="1">
        <f>A826</f>
        <v/>
      </c>
      <c r="AD826">
        <f>IF(ISNUMBER(V826),V826*($AB$1/V$2635),"")</f>
        <v/>
      </c>
      <c r="AE826">
        <f>IF(ISNUMBER(Z826),Z826*($AB$1/Z$2635),"")</f>
        <v/>
      </c>
      <c r="AF826" s="25">
        <f>IF(ISNUMBER(AD826+AE826),AD826+AE826,"")</f>
        <v/>
      </c>
      <c r="AH826" s="1">
        <f>A826</f>
        <v/>
      </c>
      <c r="AI826">
        <f>IF(ISNUMBER((1+V826)*AI825),(1+V826)*AI825,AI825)</f>
        <v/>
      </c>
      <c r="AJ826">
        <f>IF(ISNUMBER((1+Z826)*AJ825),(1+Z826)*AJ825,AJ825)</f>
        <v/>
      </c>
    </row>
    <row r="827">
      <c r="A827" s="1" t="n">
        <v>43203</v>
      </c>
      <c r="B827" s="3">
        <f>IF(ORIG!B827=0,"",ORIG!B827)</f>
        <v/>
      </c>
      <c r="C827" s="3">
        <f>IF(ORIG!C827=0,"",ORIG!C827)</f>
        <v/>
      </c>
      <c r="D827" s="3">
        <f>IF(ORIG!D827=0,"",ORIG!D827)</f>
        <v/>
      </c>
      <c r="E827" s="3">
        <f>IF(ORIG!E827=0,"",ORIG!E827)</f>
        <v/>
      </c>
      <c r="F827" s="3">
        <f>IF(ORIG!F827=0,"",ORIG!F827)</f>
        <v/>
      </c>
      <c r="G827" s="3">
        <f>IF(ORIG!G827=0,"",ORIG!G827)</f>
        <v/>
      </c>
      <c r="H827" s="3">
        <f>IF(ORIG!H827=0,"",ORIG!H827)</f>
        <v/>
      </c>
      <c r="I827" s="3">
        <f>IF(ORIG!I827=0,"",ORIG!I827)</f>
        <v/>
      </c>
      <c r="J827" s="3">
        <f>IF(ORIG!J827=0,"",ORIG!J827)</f>
        <v/>
      </c>
      <c r="K827" s="3">
        <f>IF(ORIG!K827=0,"",ORIG!K827)</f>
        <v/>
      </c>
      <c r="L827" s="3">
        <f>IF(ORIG!L827=0,"",ORIG!L827)</f>
        <v/>
      </c>
      <c r="M827" s="3">
        <f>IF(ORIG!M827=0,"",ORIG!M827)</f>
        <v/>
      </c>
      <c r="N827" s="3">
        <f>IF(ORIG!N827=0,"",ORIG!N827)</f>
        <v/>
      </c>
      <c r="O827" s="3">
        <f>IF(ORIG!O827=0,"",ORIG!O827)</f>
        <v/>
      </c>
      <c r="P827" s="3">
        <f>IF(ORIG!P827=0,"",ORIG!P827)</f>
        <v/>
      </c>
      <c r="Q827" s="3">
        <f>IF(ORIG!Q827=0,"",ORIG!Q827)</f>
        <v/>
      </c>
      <c r="R827" s="3">
        <f>IF(ORIG!R827=0,"",ORIG!R827)</f>
        <v/>
      </c>
      <c r="S827" s="3">
        <f>IF(ORIG!S827=0,"",ORIG!S827)</f>
        <v/>
      </c>
      <c r="T827" s="3">
        <f>IF(ORIG!T827=0,"",ORIG!T827)</f>
        <v/>
      </c>
      <c r="U827" s="3">
        <f>IF(ORIG!U827=0,"",ORIG!U827)</f>
        <v/>
      </c>
      <c r="V827" s="9">
        <f>IF(ORIG!V827=0,"",ORIG!V827)</f>
        <v/>
      </c>
      <c r="W827" s="9">
        <f>IF(ORIG!W827=0,"",ORIG!W827)</f>
        <v/>
      </c>
      <c r="X827" s="9">
        <f>IF(ORIG!X827=0,"",ORIG!X827)</f>
        <v/>
      </c>
      <c r="Y827" s="9">
        <f>IF(ORIG!Y827=0,"",ORIG!Y827)</f>
        <v/>
      </c>
      <c r="Z827" s="3">
        <f>SUMPRODUCT($B827:$Y827,$B$2649:$Y$2649)</f>
        <v/>
      </c>
      <c r="AA827" s="3">
        <f>SUMPRODUCT($B827:$Y827,$B$2655:$Y$2655)</f>
        <v/>
      </c>
      <c r="AC827" s="1">
        <f>A827</f>
        <v/>
      </c>
      <c r="AD827">
        <f>IF(ISNUMBER(V827),V827*($AB$1/V$2635),"")</f>
        <v/>
      </c>
      <c r="AE827">
        <f>IF(ISNUMBER(Z827),Z827*($AB$1/Z$2635),"")</f>
        <v/>
      </c>
      <c r="AF827" s="25">
        <f>IF(ISNUMBER(AD827+AE827),AD827+AE827,"")</f>
        <v/>
      </c>
      <c r="AH827" s="1">
        <f>A827</f>
        <v/>
      </c>
      <c r="AI827">
        <f>IF(ISNUMBER((1+V827)*AI826),(1+V827)*AI826,AI826)</f>
        <v/>
      </c>
      <c r="AJ827">
        <f>IF(ISNUMBER((1+Z827)*AJ826),(1+Z827)*AJ826,AJ826)</f>
        <v/>
      </c>
    </row>
    <row r="828">
      <c r="A828" s="1" t="n">
        <v>43206</v>
      </c>
      <c r="B828" s="3">
        <f>IF(ORIG!B828=0,"",ORIG!B828)</f>
        <v/>
      </c>
      <c r="C828" s="3">
        <f>IF(ORIG!C828=0,"",ORIG!C828)</f>
        <v/>
      </c>
      <c r="D828" s="3">
        <f>IF(ORIG!D828=0,"",ORIG!D828)</f>
        <v/>
      </c>
      <c r="E828" s="3">
        <f>IF(ORIG!E828=0,"",ORIG!E828)</f>
        <v/>
      </c>
      <c r="F828" s="3">
        <f>IF(ORIG!F828=0,"",ORIG!F828)</f>
        <v/>
      </c>
      <c r="G828" s="3">
        <f>IF(ORIG!G828=0,"",ORIG!G828)</f>
        <v/>
      </c>
      <c r="H828" s="3">
        <f>IF(ORIG!H828=0,"",ORIG!H828)</f>
        <v/>
      </c>
      <c r="I828" s="3">
        <f>IF(ORIG!I828=0,"",ORIG!I828)</f>
        <v/>
      </c>
      <c r="J828" s="3">
        <f>IF(ORIG!J828=0,"",ORIG!J828)</f>
        <v/>
      </c>
      <c r="K828" s="3">
        <f>IF(ORIG!K828=0,"",ORIG!K828)</f>
        <v/>
      </c>
      <c r="L828" s="3">
        <f>IF(ORIG!L828=0,"",ORIG!L828)</f>
        <v/>
      </c>
      <c r="M828" s="3">
        <f>IF(ORIG!M828=0,"",ORIG!M828)</f>
        <v/>
      </c>
      <c r="N828" s="3">
        <f>IF(ORIG!N828=0,"",ORIG!N828)</f>
        <v/>
      </c>
      <c r="O828" s="3">
        <f>IF(ORIG!O828=0,"",ORIG!O828)</f>
        <v/>
      </c>
      <c r="P828" s="3">
        <f>IF(ORIG!P828=0,"",ORIG!P828)</f>
        <v/>
      </c>
      <c r="Q828" s="3">
        <f>IF(ORIG!Q828=0,"",ORIG!Q828)</f>
        <v/>
      </c>
      <c r="R828" s="3">
        <f>IF(ORIG!R828=0,"",ORIG!R828)</f>
        <v/>
      </c>
      <c r="S828" s="3">
        <f>IF(ORIG!S828=0,"",ORIG!S828)</f>
        <v/>
      </c>
      <c r="T828" s="3">
        <f>IF(ORIG!T828=0,"",ORIG!T828)</f>
        <v/>
      </c>
      <c r="U828" s="3">
        <f>IF(ORIG!U828=0,"",ORIG!U828)</f>
        <v/>
      </c>
      <c r="V828" s="9">
        <f>IF(ORIG!V828=0,"",ORIG!V828)</f>
        <v/>
      </c>
      <c r="W828" s="9">
        <f>IF(ORIG!W828=0,"",ORIG!W828)</f>
        <v/>
      </c>
      <c r="X828" s="9">
        <f>IF(ORIG!X828=0,"",ORIG!X828)</f>
        <v/>
      </c>
      <c r="Y828" s="9">
        <f>IF(ORIG!Y828=0,"",ORIG!Y828)</f>
        <v/>
      </c>
      <c r="Z828" s="3">
        <f>SUMPRODUCT($B828:$Y828,$B$2649:$Y$2649)</f>
        <v/>
      </c>
      <c r="AA828" s="3">
        <f>SUMPRODUCT($B828:$Y828,$B$2655:$Y$2655)</f>
        <v/>
      </c>
      <c r="AC828" s="1">
        <f>A828</f>
        <v/>
      </c>
      <c r="AD828">
        <f>IF(ISNUMBER(V828),V828*($AB$1/V$2635),"")</f>
        <v/>
      </c>
      <c r="AE828">
        <f>IF(ISNUMBER(Z828),Z828*($AB$1/Z$2635),"")</f>
        <v/>
      </c>
      <c r="AF828" s="25">
        <f>IF(ISNUMBER(AD828+AE828),AD828+AE828,"")</f>
        <v/>
      </c>
      <c r="AH828" s="1">
        <f>A828</f>
        <v/>
      </c>
      <c r="AI828">
        <f>IF(ISNUMBER((1+V828)*AI827),(1+V828)*AI827,AI827)</f>
        <v/>
      </c>
      <c r="AJ828">
        <f>IF(ISNUMBER((1+Z828)*AJ827),(1+Z828)*AJ827,AJ827)</f>
        <v/>
      </c>
    </row>
    <row r="829">
      <c r="A829" s="1" t="n">
        <v>43207</v>
      </c>
      <c r="B829" s="3">
        <f>IF(ORIG!B829=0,"",ORIG!B829)</f>
        <v/>
      </c>
      <c r="C829" s="3">
        <f>IF(ORIG!C829=0,"",ORIG!C829)</f>
        <v/>
      </c>
      <c r="D829" s="3">
        <f>IF(ORIG!D829=0,"",ORIG!D829)</f>
        <v/>
      </c>
      <c r="E829" s="3">
        <f>IF(ORIG!E829=0,"",ORIG!E829)</f>
        <v/>
      </c>
      <c r="F829" s="3">
        <f>IF(ORIG!F829=0,"",ORIG!F829)</f>
        <v/>
      </c>
      <c r="G829" s="3">
        <f>IF(ORIG!G829=0,"",ORIG!G829)</f>
        <v/>
      </c>
      <c r="H829" s="3">
        <f>IF(ORIG!H829=0,"",ORIG!H829)</f>
        <v/>
      </c>
      <c r="I829" s="3">
        <f>IF(ORIG!I829=0,"",ORIG!I829)</f>
        <v/>
      </c>
      <c r="J829" s="3">
        <f>IF(ORIG!J829=0,"",ORIG!J829)</f>
        <v/>
      </c>
      <c r="K829" s="3">
        <f>IF(ORIG!K829=0,"",ORIG!K829)</f>
        <v/>
      </c>
      <c r="L829" s="3">
        <f>IF(ORIG!L829=0,"",ORIG!L829)</f>
        <v/>
      </c>
      <c r="M829" s="3">
        <f>IF(ORIG!M829=0,"",ORIG!M829)</f>
        <v/>
      </c>
      <c r="N829" s="3">
        <f>IF(ORIG!N829=0,"",ORIG!N829)</f>
        <v/>
      </c>
      <c r="O829" s="3">
        <f>IF(ORIG!O829=0,"",ORIG!O829)</f>
        <v/>
      </c>
      <c r="P829" s="3">
        <f>IF(ORIG!P829=0,"",ORIG!P829)</f>
        <v/>
      </c>
      <c r="Q829" s="3">
        <f>IF(ORIG!Q829=0,"",ORIG!Q829)</f>
        <v/>
      </c>
      <c r="R829" s="3">
        <f>IF(ORIG!R829=0,"",ORIG!R829)</f>
        <v/>
      </c>
      <c r="S829" s="3">
        <f>IF(ORIG!S829=0,"",ORIG!S829)</f>
        <v/>
      </c>
      <c r="T829" s="3">
        <f>IF(ORIG!T829=0,"",ORIG!T829)</f>
        <v/>
      </c>
      <c r="U829" s="3">
        <f>IF(ORIG!U829=0,"",ORIG!U829)</f>
        <v/>
      </c>
      <c r="V829" s="9">
        <f>IF(ORIG!V829=0,"",ORIG!V829)</f>
        <v/>
      </c>
      <c r="W829" s="9">
        <f>IF(ORIG!W829=0,"",ORIG!W829)</f>
        <v/>
      </c>
      <c r="X829" s="9">
        <f>IF(ORIG!X829=0,"",ORIG!X829)</f>
        <v/>
      </c>
      <c r="Y829" s="9">
        <f>IF(ORIG!Y829=0,"",ORIG!Y829)</f>
        <v/>
      </c>
      <c r="Z829" s="3">
        <f>SUMPRODUCT($B829:$Y829,$B$2649:$Y$2649)</f>
        <v/>
      </c>
      <c r="AA829" s="3">
        <f>SUMPRODUCT($B829:$Y829,$B$2655:$Y$2655)</f>
        <v/>
      </c>
      <c r="AC829" s="1">
        <f>A829</f>
        <v/>
      </c>
      <c r="AD829">
        <f>IF(ISNUMBER(V829),V829*($AB$1/V$2635),"")</f>
        <v/>
      </c>
      <c r="AE829">
        <f>IF(ISNUMBER(Z829),Z829*($AB$1/Z$2635),"")</f>
        <v/>
      </c>
      <c r="AF829" s="25">
        <f>IF(ISNUMBER(AD829+AE829),AD829+AE829,"")</f>
        <v/>
      </c>
      <c r="AH829" s="1">
        <f>A829</f>
        <v/>
      </c>
      <c r="AI829">
        <f>IF(ISNUMBER((1+V829)*AI828),(1+V829)*AI828,AI828)</f>
        <v/>
      </c>
      <c r="AJ829">
        <f>IF(ISNUMBER((1+Z829)*AJ828),(1+Z829)*AJ828,AJ828)</f>
        <v/>
      </c>
    </row>
    <row r="830">
      <c r="A830" s="1" t="n">
        <v>43208</v>
      </c>
      <c r="B830" s="3">
        <f>IF(ORIG!B830=0,"",ORIG!B830)</f>
        <v/>
      </c>
      <c r="C830" s="3">
        <f>IF(ORIG!C830=0,"",ORIG!C830)</f>
        <v/>
      </c>
      <c r="D830" s="3">
        <f>IF(ORIG!D830=0,"",ORIG!D830)</f>
        <v/>
      </c>
      <c r="E830" s="3">
        <f>IF(ORIG!E830=0,"",ORIG!E830)</f>
        <v/>
      </c>
      <c r="F830" s="3">
        <f>IF(ORIG!F830=0,"",ORIG!F830)</f>
        <v/>
      </c>
      <c r="G830" s="3">
        <f>IF(ORIG!G830=0,"",ORIG!G830)</f>
        <v/>
      </c>
      <c r="H830" s="3">
        <f>IF(ORIG!H830=0,"",ORIG!H830)</f>
        <v/>
      </c>
      <c r="I830" s="3">
        <f>IF(ORIG!I830=0,"",ORIG!I830)</f>
        <v/>
      </c>
      <c r="J830" s="3">
        <f>IF(ORIG!J830=0,"",ORIG!J830)</f>
        <v/>
      </c>
      <c r="K830" s="3">
        <f>IF(ORIG!K830=0,"",ORIG!K830)</f>
        <v/>
      </c>
      <c r="L830" s="3">
        <f>IF(ORIG!L830=0,"",ORIG!L830)</f>
        <v/>
      </c>
      <c r="M830" s="3">
        <f>IF(ORIG!M830=0,"",ORIG!M830)</f>
        <v/>
      </c>
      <c r="N830" s="3">
        <f>IF(ORIG!N830=0,"",ORIG!N830)</f>
        <v/>
      </c>
      <c r="O830" s="3">
        <f>IF(ORIG!O830=0,"",ORIG!O830)</f>
        <v/>
      </c>
      <c r="P830" s="3">
        <f>IF(ORIG!P830=0,"",ORIG!P830)</f>
        <v/>
      </c>
      <c r="Q830" s="3">
        <f>IF(ORIG!Q830=0,"",ORIG!Q830)</f>
        <v/>
      </c>
      <c r="R830" s="3">
        <f>IF(ORIG!R830=0,"",ORIG!R830)</f>
        <v/>
      </c>
      <c r="S830" s="3">
        <f>IF(ORIG!S830=0,"",ORIG!S830)</f>
        <v/>
      </c>
      <c r="T830" s="3">
        <f>IF(ORIG!T830=0,"",ORIG!T830)</f>
        <v/>
      </c>
      <c r="U830" s="3">
        <f>IF(ORIG!U830=0,"",ORIG!U830)</f>
        <v/>
      </c>
      <c r="V830" s="9">
        <f>IF(ORIG!V830=0,"",ORIG!V830)</f>
        <v/>
      </c>
      <c r="W830" s="9">
        <f>IF(ORIG!W830=0,"",ORIG!W830)</f>
        <v/>
      </c>
      <c r="X830" s="9">
        <f>IF(ORIG!X830=0,"",ORIG!X830)</f>
        <v/>
      </c>
      <c r="Y830" s="9">
        <f>IF(ORIG!Y830=0,"",ORIG!Y830)</f>
        <v/>
      </c>
      <c r="Z830" s="3">
        <f>SUMPRODUCT($B830:$Y830,$B$2649:$Y$2649)</f>
        <v/>
      </c>
      <c r="AA830" s="3">
        <f>SUMPRODUCT($B830:$Y830,$B$2655:$Y$2655)</f>
        <v/>
      </c>
      <c r="AC830" s="1">
        <f>A830</f>
        <v/>
      </c>
      <c r="AD830">
        <f>IF(ISNUMBER(V830),V830*($AB$1/V$2635),"")</f>
        <v/>
      </c>
      <c r="AE830">
        <f>IF(ISNUMBER(Z830),Z830*($AB$1/Z$2635),"")</f>
        <v/>
      </c>
      <c r="AF830" s="25">
        <f>IF(ISNUMBER(AD830+AE830),AD830+AE830,"")</f>
        <v/>
      </c>
      <c r="AH830" s="1">
        <f>A830</f>
        <v/>
      </c>
      <c r="AI830">
        <f>IF(ISNUMBER((1+V830)*AI829),(1+V830)*AI829,AI829)</f>
        <v/>
      </c>
      <c r="AJ830">
        <f>IF(ISNUMBER((1+Z830)*AJ829),(1+Z830)*AJ829,AJ829)</f>
        <v/>
      </c>
    </row>
    <row r="831">
      <c r="A831" s="1" t="n">
        <v>43209</v>
      </c>
      <c r="B831" s="3">
        <f>IF(ORIG!B831=0,"",ORIG!B831)</f>
        <v/>
      </c>
      <c r="C831" s="3">
        <f>IF(ORIG!C831=0,"",ORIG!C831)</f>
        <v/>
      </c>
      <c r="D831" s="3">
        <f>IF(ORIG!D831=0,"",ORIG!D831)</f>
        <v/>
      </c>
      <c r="E831" s="3">
        <f>IF(ORIG!E831=0,"",ORIG!E831)</f>
        <v/>
      </c>
      <c r="F831" s="3">
        <f>IF(ORIG!F831=0,"",ORIG!F831)</f>
        <v/>
      </c>
      <c r="G831" s="3">
        <f>IF(ORIG!G831=0,"",ORIG!G831)</f>
        <v/>
      </c>
      <c r="H831" s="3">
        <f>IF(ORIG!H831=0,"",ORIG!H831)</f>
        <v/>
      </c>
      <c r="I831" s="3">
        <f>IF(ORIG!I831=0,"",ORIG!I831)</f>
        <v/>
      </c>
      <c r="J831" s="3">
        <f>IF(ORIG!J831=0,"",ORIG!J831)</f>
        <v/>
      </c>
      <c r="K831" s="3">
        <f>IF(ORIG!K831=0,"",ORIG!K831)</f>
        <v/>
      </c>
      <c r="L831" s="3">
        <f>IF(ORIG!L831=0,"",ORIG!L831)</f>
        <v/>
      </c>
      <c r="M831" s="3">
        <f>IF(ORIG!M831=0,"",ORIG!M831)</f>
        <v/>
      </c>
      <c r="N831" s="3">
        <f>IF(ORIG!N831=0,"",ORIG!N831)</f>
        <v/>
      </c>
      <c r="O831" s="3">
        <f>IF(ORIG!O831=0,"",ORIG!O831)</f>
        <v/>
      </c>
      <c r="P831" s="3">
        <f>IF(ORIG!P831=0,"",ORIG!P831)</f>
        <v/>
      </c>
      <c r="Q831" s="3">
        <f>IF(ORIG!Q831=0,"",ORIG!Q831)</f>
        <v/>
      </c>
      <c r="R831" s="3">
        <f>IF(ORIG!R831=0,"",ORIG!R831)</f>
        <v/>
      </c>
      <c r="S831" s="3">
        <f>IF(ORIG!S831=0,"",ORIG!S831)</f>
        <v/>
      </c>
      <c r="T831" s="3">
        <f>IF(ORIG!T831=0,"",ORIG!T831)</f>
        <v/>
      </c>
      <c r="U831" s="3">
        <f>IF(ORIG!U831=0,"",ORIG!U831)</f>
        <v/>
      </c>
      <c r="V831" s="9">
        <f>IF(ORIG!V831=0,"",ORIG!V831)</f>
        <v/>
      </c>
      <c r="W831" s="9">
        <f>IF(ORIG!W831=0,"",ORIG!W831)</f>
        <v/>
      </c>
      <c r="X831" s="9">
        <f>IF(ORIG!X831=0,"",ORIG!X831)</f>
        <v/>
      </c>
      <c r="Y831" s="9">
        <f>IF(ORIG!Y831=0,"",ORIG!Y831)</f>
        <v/>
      </c>
      <c r="Z831" s="3">
        <f>SUMPRODUCT($B831:$Y831,$B$2649:$Y$2649)</f>
        <v/>
      </c>
      <c r="AA831" s="3">
        <f>SUMPRODUCT($B831:$Y831,$B$2655:$Y$2655)</f>
        <v/>
      </c>
      <c r="AC831" s="1">
        <f>A831</f>
        <v/>
      </c>
      <c r="AD831">
        <f>IF(ISNUMBER(V831),V831*($AB$1/V$2635),"")</f>
        <v/>
      </c>
      <c r="AE831">
        <f>IF(ISNUMBER(Z831),Z831*($AB$1/Z$2635),"")</f>
        <v/>
      </c>
      <c r="AF831" s="25">
        <f>IF(ISNUMBER(AD831+AE831),AD831+AE831,"")</f>
        <v/>
      </c>
      <c r="AH831" s="1">
        <f>A831</f>
        <v/>
      </c>
      <c r="AI831">
        <f>IF(ISNUMBER((1+V831)*AI830),(1+V831)*AI830,AI830)</f>
        <v/>
      </c>
      <c r="AJ831">
        <f>IF(ISNUMBER((1+Z831)*AJ830),(1+Z831)*AJ830,AJ830)</f>
        <v/>
      </c>
    </row>
    <row r="832">
      <c r="A832" s="1" t="n">
        <v>43210</v>
      </c>
      <c r="B832" s="3">
        <f>IF(ORIG!B832=0,"",ORIG!B832)</f>
        <v/>
      </c>
      <c r="C832" s="3">
        <f>IF(ORIG!C832=0,"",ORIG!C832)</f>
        <v/>
      </c>
      <c r="D832" s="3">
        <f>IF(ORIG!D832=0,"",ORIG!D832)</f>
        <v/>
      </c>
      <c r="E832" s="3">
        <f>IF(ORIG!E832=0,"",ORIG!E832)</f>
        <v/>
      </c>
      <c r="F832" s="3">
        <f>IF(ORIG!F832=0,"",ORIG!F832)</f>
        <v/>
      </c>
      <c r="G832" s="3">
        <f>IF(ORIG!G832=0,"",ORIG!G832)</f>
        <v/>
      </c>
      <c r="H832" s="3">
        <f>IF(ORIG!H832=0,"",ORIG!H832)</f>
        <v/>
      </c>
      <c r="I832" s="3">
        <f>IF(ORIG!I832=0,"",ORIG!I832)</f>
        <v/>
      </c>
      <c r="J832" s="3">
        <f>IF(ORIG!J832=0,"",ORIG!J832)</f>
        <v/>
      </c>
      <c r="K832" s="3">
        <f>IF(ORIG!K832=0,"",ORIG!K832)</f>
        <v/>
      </c>
      <c r="L832" s="3">
        <f>IF(ORIG!L832=0,"",ORIG!L832)</f>
        <v/>
      </c>
      <c r="M832" s="3">
        <f>IF(ORIG!M832=0,"",ORIG!M832)</f>
        <v/>
      </c>
      <c r="N832" s="3">
        <f>IF(ORIG!N832=0,"",ORIG!N832)</f>
        <v/>
      </c>
      <c r="O832" s="3">
        <f>IF(ORIG!O832=0,"",ORIG!O832)</f>
        <v/>
      </c>
      <c r="P832" s="3">
        <f>IF(ORIG!P832=0,"",ORIG!P832)</f>
        <v/>
      </c>
      <c r="Q832" s="3">
        <f>IF(ORIG!Q832=0,"",ORIG!Q832)</f>
        <v/>
      </c>
      <c r="R832" s="3">
        <f>IF(ORIG!R832=0,"",ORIG!R832)</f>
        <v/>
      </c>
      <c r="S832" s="3">
        <f>IF(ORIG!S832=0,"",ORIG!S832)</f>
        <v/>
      </c>
      <c r="T832" s="3">
        <f>IF(ORIG!T832=0,"",ORIG!T832)</f>
        <v/>
      </c>
      <c r="U832" s="3">
        <f>IF(ORIG!U832=0,"",ORIG!U832)</f>
        <v/>
      </c>
      <c r="V832" s="9">
        <f>IF(ORIG!V832=0,"",ORIG!V832)</f>
        <v/>
      </c>
      <c r="W832" s="9">
        <f>IF(ORIG!W832=0,"",ORIG!W832)</f>
        <v/>
      </c>
      <c r="X832" s="9">
        <f>IF(ORIG!X832=0,"",ORIG!X832)</f>
        <v/>
      </c>
      <c r="Y832" s="9">
        <f>IF(ORIG!Y832=0,"",ORIG!Y832)</f>
        <v/>
      </c>
      <c r="Z832" s="3">
        <f>SUMPRODUCT($B832:$Y832,$B$2649:$Y$2649)</f>
        <v/>
      </c>
      <c r="AA832" s="3">
        <f>SUMPRODUCT($B832:$Y832,$B$2655:$Y$2655)</f>
        <v/>
      </c>
      <c r="AC832" s="1">
        <f>A832</f>
        <v/>
      </c>
      <c r="AD832">
        <f>IF(ISNUMBER(V832),V832*($AB$1/V$2635),"")</f>
        <v/>
      </c>
      <c r="AE832">
        <f>IF(ISNUMBER(Z832),Z832*($AB$1/Z$2635),"")</f>
        <v/>
      </c>
      <c r="AF832" s="25">
        <f>IF(ISNUMBER(AD832+AE832),AD832+AE832,"")</f>
        <v/>
      </c>
      <c r="AH832" s="1">
        <f>A832</f>
        <v/>
      </c>
      <c r="AI832">
        <f>IF(ISNUMBER((1+V832)*AI831),(1+V832)*AI831,AI831)</f>
        <v/>
      </c>
      <c r="AJ832">
        <f>IF(ISNUMBER((1+Z832)*AJ831),(1+Z832)*AJ831,AJ831)</f>
        <v/>
      </c>
    </row>
    <row r="833">
      <c r="A833" s="1" t="n">
        <v>43213</v>
      </c>
      <c r="B833" s="3">
        <f>IF(ORIG!B833=0,"",ORIG!B833)</f>
        <v/>
      </c>
      <c r="C833" s="3">
        <f>IF(ORIG!C833=0,"",ORIG!C833)</f>
        <v/>
      </c>
      <c r="D833" s="3">
        <f>IF(ORIG!D833=0,"",ORIG!D833)</f>
        <v/>
      </c>
      <c r="E833" s="3">
        <f>IF(ORIG!E833=0,"",ORIG!E833)</f>
        <v/>
      </c>
      <c r="F833" s="3">
        <f>IF(ORIG!F833=0,"",ORIG!F833)</f>
        <v/>
      </c>
      <c r="G833" s="3">
        <f>IF(ORIG!G833=0,"",ORIG!G833)</f>
        <v/>
      </c>
      <c r="H833" s="3">
        <f>IF(ORIG!H833=0,"",ORIG!H833)</f>
        <v/>
      </c>
      <c r="I833" s="3">
        <f>IF(ORIG!I833=0,"",ORIG!I833)</f>
        <v/>
      </c>
      <c r="J833" s="3">
        <f>IF(ORIG!J833=0,"",ORIG!J833)</f>
        <v/>
      </c>
      <c r="K833" s="3">
        <f>IF(ORIG!K833=0,"",ORIG!K833)</f>
        <v/>
      </c>
      <c r="L833" s="3">
        <f>IF(ORIG!L833=0,"",ORIG!L833)</f>
        <v/>
      </c>
      <c r="M833" s="3">
        <f>IF(ORIG!M833=0,"",ORIG!M833)</f>
        <v/>
      </c>
      <c r="N833" s="3">
        <f>IF(ORIG!N833=0,"",ORIG!N833)</f>
        <v/>
      </c>
      <c r="O833" s="3">
        <f>IF(ORIG!O833=0,"",ORIG!O833)</f>
        <v/>
      </c>
      <c r="P833" s="3">
        <f>IF(ORIG!P833=0,"",ORIG!P833)</f>
        <v/>
      </c>
      <c r="Q833" s="3">
        <f>IF(ORIG!Q833=0,"",ORIG!Q833)</f>
        <v/>
      </c>
      <c r="R833" s="3">
        <f>IF(ORIG!R833=0,"",ORIG!R833)</f>
        <v/>
      </c>
      <c r="S833" s="3">
        <f>IF(ORIG!S833=0,"",ORIG!S833)</f>
        <v/>
      </c>
      <c r="T833" s="3">
        <f>IF(ORIG!T833=0,"",ORIG!T833)</f>
        <v/>
      </c>
      <c r="U833" s="3">
        <f>IF(ORIG!U833=0,"",ORIG!U833)</f>
        <v/>
      </c>
      <c r="V833" s="9">
        <f>IF(ORIG!V833=0,"",ORIG!V833)</f>
        <v/>
      </c>
      <c r="W833" s="9">
        <f>IF(ORIG!W833=0,"",ORIG!W833)</f>
        <v/>
      </c>
      <c r="X833" s="9">
        <f>IF(ORIG!X833=0,"",ORIG!X833)</f>
        <v/>
      </c>
      <c r="Y833" s="9">
        <f>IF(ORIG!Y833=0,"",ORIG!Y833)</f>
        <v/>
      </c>
      <c r="Z833" s="3">
        <f>SUMPRODUCT($B833:$Y833,$B$2649:$Y$2649)</f>
        <v/>
      </c>
      <c r="AA833" s="3">
        <f>SUMPRODUCT($B833:$Y833,$B$2655:$Y$2655)</f>
        <v/>
      </c>
      <c r="AC833" s="1">
        <f>A833</f>
        <v/>
      </c>
      <c r="AD833">
        <f>IF(ISNUMBER(V833),V833*($AB$1/V$2635),"")</f>
        <v/>
      </c>
      <c r="AE833">
        <f>IF(ISNUMBER(Z833),Z833*($AB$1/Z$2635),"")</f>
        <v/>
      </c>
      <c r="AF833" s="25">
        <f>IF(ISNUMBER(AD833+AE833),AD833+AE833,"")</f>
        <v/>
      </c>
      <c r="AH833" s="1">
        <f>A833</f>
        <v/>
      </c>
      <c r="AI833">
        <f>IF(ISNUMBER((1+V833)*AI832),(1+V833)*AI832,AI832)</f>
        <v/>
      </c>
      <c r="AJ833">
        <f>IF(ISNUMBER((1+Z833)*AJ832),(1+Z833)*AJ832,AJ832)</f>
        <v/>
      </c>
    </row>
    <row r="834">
      <c r="A834" s="1" t="n">
        <v>43214</v>
      </c>
      <c r="B834" s="3">
        <f>IF(ORIG!B834=0,"",ORIG!B834)</f>
        <v/>
      </c>
      <c r="C834" s="3">
        <f>IF(ORIG!C834=0,"",ORIG!C834)</f>
        <v/>
      </c>
      <c r="D834" s="3">
        <f>IF(ORIG!D834=0,"",ORIG!D834)</f>
        <v/>
      </c>
      <c r="E834" s="3">
        <f>IF(ORIG!E834=0,"",ORIG!E834)</f>
        <v/>
      </c>
      <c r="F834" s="3">
        <f>IF(ORIG!F834=0,"",ORIG!F834)</f>
        <v/>
      </c>
      <c r="G834" s="3">
        <f>IF(ORIG!G834=0,"",ORIG!G834)</f>
        <v/>
      </c>
      <c r="H834" s="3">
        <f>IF(ORIG!H834=0,"",ORIG!H834)</f>
        <v/>
      </c>
      <c r="I834" s="3">
        <f>IF(ORIG!I834=0,"",ORIG!I834)</f>
        <v/>
      </c>
      <c r="J834" s="3">
        <f>IF(ORIG!J834=0,"",ORIG!J834)</f>
        <v/>
      </c>
      <c r="K834" s="3">
        <f>IF(ORIG!K834=0,"",ORIG!K834)</f>
        <v/>
      </c>
      <c r="L834" s="3">
        <f>IF(ORIG!L834=0,"",ORIG!L834)</f>
        <v/>
      </c>
      <c r="M834" s="3">
        <f>IF(ORIG!M834=0,"",ORIG!M834)</f>
        <v/>
      </c>
      <c r="N834" s="3">
        <f>IF(ORIG!N834=0,"",ORIG!N834)</f>
        <v/>
      </c>
      <c r="O834" s="3">
        <f>IF(ORIG!O834=0,"",ORIG!O834)</f>
        <v/>
      </c>
      <c r="P834" s="3">
        <f>IF(ORIG!P834=0,"",ORIG!P834)</f>
        <v/>
      </c>
      <c r="Q834" s="3">
        <f>IF(ORIG!Q834=0,"",ORIG!Q834)</f>
        <v/>
      </c>
      <c r="R834" s="3">
        <f>IF(ORIG!R834=0,"",ORIG!R834)</f>
        <v/>
      </c>
      <c r="S834" s="3">
        <f>IF(ORIG!S834=0,"",ORIG!S834)</f>
        <v/>
      </c>
      <c r="T834" s="3">
        <f>IF(ORIG!T834=0,"",ORIG!T834)</f>
        <v/>
      </c>
      <c r="U834" s="3">
        <f>IF(ORIG!U834=0,"",ORIG!U834)</f>
        <v/>
      </c>
      <c r="V834" s="9">
        <f>IF(ORIG!V834=0,"",ORIG!V834)</f>
        <v/>
      </c>
      <c r="W834" s="9">
        <f>IF(ORIG!W834=0,"",ORIG!W834)</f>
        <v/>
      </c>
      <c r="X834" s="9">
        <f>IF(ORIG!X834=0,"",ORIG!X834)</f>
        <v/>
      </c>
      <c r="Y834" s="9">
        <f>IF(ORIG!Y834=0,"",ORIG!Y834)</f>
        <v/>
      </c>
      <c r="Z834" s="3">
        <f>SUMPRODUCT($B834:$Y834,$B$2649:$Y$2649)</f>
        <v/>
      </c>
      <c r="AA834" s="3">
        <f>SUMPRODUCT($B834:$Y834,$B$2655:$Y$2655)</f>
        <v/>
      </c>
      <c r="AC834" s="1">
        <f>A834</f>
        <v/>
      </c>
      <c r="AD834">
        <f>IF(ISNUMBER(V834),V834*($AB$1/V$2635),"")</f>
        <v/>
      </c>
      <c r="AE834">
        <f>IF(ISNUMBER(Z834),Z834*($AB$1/Z$2635),"")</f>
        <v/>
      </c>
      <c r="AF834" s="25">
        <f>IF(ISNUMBER(AD834+AE834),AD834+AE834,"")</f>
        <v/>
      </c>
      <c r="AH834" s="1">
        <f>A834</f>
        <v/>
      </c>
      <c r="AI834">
        <f>IF(ISNUMBER((1+V834)*AI833),(1+V834)*AI833,AI833)</f>
        <v/>
      </c>
      <c r="AJ834">
        <f>IF(ISNUMBER((1+Z834)*AJ833),(1+Z834)*AJ833,AJ833)</f>
        <v/>
      </c>
    </row>
    <row r="835">
      <c r="A835" s="1" t="n">
        <v>43215</v>
      </c>
      <c r="B835" s="3">
        <f>IF(ORIG!B835=0,"",ORIG!B835)</f>
        <v/>
      </c>
      <c r="C835" s="3">
        <f>IF(ORIG!C835=0,"",ORIG!C835)</f>
        <v/>
      </c>
      <c r="D835" s="3">
        <f>IF(ORIG!D835=0,"",ORIG!D835)</f>
        <v/>
      </c>
      <c r="E835" s="3">
        <f>IF(ORIG!E835=0,"",ORIG!E835)</f>
        <v/>
      </c>
      <c r="F835" s="3">
        <f>IF(ORIG!F835=0,"",ORIG!F835)</f>
        <v/>
      </c>
      <c r="G835" s="3">
        <f>IF(ORIG!G835=0,"",ORIG!G835)</f>
        <v/>
      </c>
      <c r="H835" s="3">
        <f>IF(ORIG!H835=0,"",ORIG!H835)</f>
        <v/>
      </c>
      <c r="I835" s="3">
        <f>IF(ORIG!I835=0,"",ORIG!I835)</f>
        <v/>
      </c>
      <c r="J835" s="3">
        <f>IF(ORIG!J835=0,"",ORIG!J835)</f>
        <v/>
      </c>
      <c r="K835" s="3">
        <f>IF(ORIG!K835=0,"",ORIG!K835)</f>
        <v/>
      </c>
      <c r="L835" s="3">
        <f>IF(ORIG!L835=0,"",ORIG!L835)</f>
        <v/>
      </c>
      <c r="M835" s="3">
        <f>IF(ORIG!M835=0,"",ORIG!M835)</f>
        <v/>
      </c>
      <c r="N835" s="3">
        <f>IF(ORIG!N835=0,"",ORIG!N835)</f>
        <v/>
      </c>
      <c r="O835" s="3">
        <f>IF(ORIG!O835=0,"",ORIG!O835)</f>
        <v/>
      </c>
      <c r="P835" s="3">
        <f>IF(ORIG!P835=0,"",ORIG!P835)</f>
        <v/>
      </c>
      <c r="Q835" s="3">
        <f>IF(ORIG!Q835=0,"",ORIG!Q835)</f>
        <v/>
      </c>
      <c r="R835" s="3">
        <f>IF(ORIG!R835=0,"",ORIG!R835)</f>
        <v/>
      </c>
      <c r="S835" s="3">
        <f>IF(ORIG!S835=0,"",ORIG!S835)</f>
        <v/>
      </c>
      <c r="T835" s="3">
        <f>IF(ORIG!T835=0,"",ORIG!T835)</f>
        <v/>
      </c>
      <c r="U835" s="3">
        <f>IF(ORIG!U835=0,"",ORIG!U835)</f>
        <v/>
      </c>
      <c r="V835" s="9">
        <f>IF(ORIG!V835=0,"",ORIG!V835)</f>
        <v/>
      </c>
      <c r="W835" s="9">
        <f>IF(ORIG!W835=0,"",ORIG!W835)</f>
        <v/>
      </c>
      <c r="X835" s="9">
        <f>IF(ORIG!X835=0,"",ORIG!X835)</f>
        <v/>
      </c>
      <c r="Y835" s="9">
        <f>IF(ORIG!Y835=0,"",ORIG!Y835)</f>
        <v/>
      </c>
      <c r="Z835" s="3">
        <f>SUMPRODUCT($B835:$Y835,$B$2649:$Y$2649)</f>
        <v/>
      </c>
      <c r="AA835" s="3">
        <f>SUMPRODUCT($B835:$Y835,$B$2655:$Y$2655)</f>
        <v/>
      </c>
      <c r="AC835" s="1">
        <f>A835</f>
        <v/>
      </c>
      <c r="AD835">
        <f>IF(ISNUMBER(V835),V835*($AB$1/V$2635),"")</f>
        <v/>
      </c>
      <c r="AE835">
        <f>IF(ISNUMBER(Z835),Z835*($AB$1/Z$2635),"")</f>
        <v/>
      </c>
      <c r="AF835" s="25">
        <f>IF(ISNUMBER(AD835+AE835),AD835+AE835,"")</f>
        <v/>
      </c>
      <c r="AH835" s="1">
        <f>A835</f>
        <v/>
      </c>
      <c r="AI835">
        <f>IF(ISNUMBER((1+V835)*AI834),(1+V835)*AI834,AI834)</f>
        <v/>
      </c>
      <c r="AJ835">
        <f>IF(ISNUMBER((1+Z835)*AJ834),(1+Z835)*AJ834,AJ834)</f>
        <v/>
      </c>
    </row>
    <row r="836">
      <c r="A836" s="1" t="n">
        <v>43216</v>
      </c>
      <c r="B836" s="3">
        <f>IF(ORIG!B836=0,"",ORIG!B836)</f>
        <v/>
      </c>
      <c r="C836" s="3">
        <f>IF(ORIG!C836=0,"",ORIG!C836)</f>
        <v/>
      </c>
      <c r="D836" s="3">
        <f>IF(ORIG!D836=0,"",ORIG!D836)</f>
        <v/>
      </c>
      <c r="E836" s="3">
        <f>IF(ORIG!E836=0,"",ORIG!E836)</f>
        <v/>
      </c>
      <c r="F836" s="3">
        <f>IF(ORIG!F836=0,"",ORIG!F836)</f>
        <v/>
      </c>
      <c r="G836" s="3">
        <f>IF(ORIG!G836=0,"",ORIG!G836)</f>
        <v/>
      </c>
      <c r="H836" s="3">
        <f>IF(ORIG!H836=0,"",ORIG!H836)</f>
        <v/>
      </c>
      <c r="I836" s="3">
        <f>IF(ORIG!I836=0,"",ORIG!I836)</f>
        <v/>
      </c>
      <c r="J836" s="3">
        <f>IF(ORIG!J836=0,"",ORIG!J836)</f>
        <v/>
      </c>
      <c r="K836" s="3">
        <f>IF(ORIG!K836=0,"",ORIG!K836)</f>
        <v/>
      </c>
      <c r="L836" s="3">
        <f>IF(ORIG!L836=0,"",ORIG!L836)</f>
        <v/>
      </c>
      <c r="M836" s="3">
        <f>IF(ORIG!M836=0,"",ORIG!M836)</f>
        <v/>
      </c>
      <c r="N836" s="3">
        <f>IF(ORIG!N836=0,"",ORIG!N836)</f>
        <v/>
      </c>
      <c r="O836" s="3">
        <f>IF(ORIG!O836=0,"",ORIG!O836)</f>
        <v/>
      </c>
      <c r="P836" s="3">
        <f>IF(ORIG!P836=0,"",ORIG!P836)</f>
        <v/>
      </c>
      <c r="Q836" s="3">
        <f>IF(ORIG!Q836=0,"",ORIG!Q836)</f>
        <v/>
      </c>
      <c r="R836" s="3">
        <f>IF(ORIG!R836=0,"",ORIG!R836)</f>
        <v/>
      </c>
      <c r="S836" s="3">
        <f>IF(ORIG!S836=0,"",ORIG!S836)</f>
        <v/>
      </c>
      <c r="T836" s="3">
        <f>IF(ORIG!T836=0,"",ORIG!T836)</f>
        <v/>
      </c>
      <c r="U836" s="3">
        <f>IF(ORIG!U836=0,"",ORIG!U836)</f>
        <v/>
      </c>
      <c r="V836" s="9">
        <f>IF(ORIG!V836=0,"",ORIG!V836)</f>
        <v/>
      </c>
      <c r="W836" s="9">
        <f>IF(ORIG!W836=0,"",ORIG!W836)</f>
        <v/>
      </c>
      <c r="X836" s="9">
        <f>IF(ORIG!X836=0,"",ORIG!X836)</f>
        <v/>
      </c>
      <c r="Y836" s="9">
        <f>IF(ORIG!Y836=0,"",ORIG!Y836)</f>
        <v/>
      </c>
      <c r="Z836" s="3">
        <f>SUMPRODUCT($B836:$Y836,$B$2649:$Y$2649)</f>
        <v/>
      </c>
      <c r="AA836" s="3">
        <f>SUMPRODUCT($B836:$Y836,$B$2655:$Y$2655)</f>
        <v/>
      </c>
      <c r="AC836" s="1">
        <f>A836</f>
        <v/>
      </c>
      <c r="AD836">
        <f>IF(ISNUMBER(V836),V836*($AB$1/V$2635),"")</f>
        <v/>
      </c>
      <c r="AE836">
        <f>IF(ISNUMBER(Z836),Z836*($AB$1/Z$2635),"")</f>
        <v/>
      </c>
      <c r="AF836" s="25">
        <f>IF(ISNUMBER(AD836+AE836),AD836+AE836,"")</f>
        <v/>
      </c>
      <c r="AH836" s="1">
        <f>A836</f>
        <v/>
      </c>
      <c r="AI836">
        <f>IF(ISNUMBER((1+V836)*AI835),(1+V836)*AI835,AI835)</f>
        <v/>
      </c>
      <c r="AJ836">
        <f>IF(ISNUMBER((1+Z836)*AJ835),(1+Z836)*AJ835,AJ835)</f>
        <v/>
      </c>
    </row>
    <row r="837">
      <c r="A837" s="1" t="n">
        <v>43217</v>
      </c>
      <c r="B837" s="3">
        <f>IF(ORIG!B837=0,"",ORIG!B837)</f>
        <v/>
      </c>
      <c r="C837" s="3">
        <f>IF(ORIG!C837=0,"",ORIG!C837)</f>
        <v/>
      </c>
      <c r="D837" s="3">
        <f>IF(ORIG!D837=0,"",ORIG!D837)</f>
        <v/>
      </c>
      <c r="E837" s="3">
        <f>IF(ORIG!E837=0,"",ORIG!E837)</f>
        <v/>
      </c>
      <c r="F837" s="3">
        <f>IF(ORIG!F837=0,"",ORIG!F837)</f>
        <v/>
      </c>
      <c r="G837" s="3">
        <f>IF(ORIG!G837=0,"",ORIG!G837)</f>
        <v/>
      </c>
      <c r="H837" s="3">
        <f>IF(ORIG!H837=0,"",ORIG!H837)</f>
        <v/>
      </c>
      <c r="I837" s="3">
        <f>IF(ORIG!I837=0,"",ORIG!I837)</f>
        <v/>
      </c>
      <c r="J837" s="3">
        <f>IF(ORIG!J837=0,"",ORIG!J837)</f>
        <v/>
      </c>
      <c r="K837" s="3">
        <f>IF(ORIG!K837=0,"",ORIG!K837)</f>
        <v/>
      </c>
      <c r="L837" s="3">
        <f>IF(ORIG!L837=0,"",ORIG!L837)</f>
        <v/>
      </c>
      <c r="M837" s="3">
        <f>IF(ORIG!M837=0,"",ORIG!M837)</f>
        <v/>
      </c>
      <c r="N837" s="3">
        <f>IF(ORIG!N837=0,"",ORIG!N837)</f>
        <v/>
      </c>
      <c r="O837" s="3">
        <f>IF(ORIG!O837=0,"",ORIG!O837)</f>
        <v/>
      </c>
      <c r="P837" s="3">
        <f>IF(ORIG!P837=0,"",ORIG!P837)</f>
        <v/>
      </c>
      <c r="Q837" s="3">
        <f>IF(ORIG!Q837=0,"",ORIG!Q837)</f>
        <v/>
      </c>
      <c r="R837" s="3">
        <f>IF(ORIG!R837=0,"",ORIG!R837)</f>
        <v/>
      </c>
      <c r="S837" s="3">
        <f>IF(ORIG!S837=0,"",ORIG!S837)</f>
        <v/>
      </c>
      <c r="T837" s="3">
        <f>IF(ORIG!T837=0,"",ORIG!T837)</f>
        <v/>
      </c>
      <c r="U837" s="3">
        <f>IF(ORIG!U837=0,"",ORIG!U837)</f>
        <v/>
      </c>
      <c r="V837" s="9">
        <f>IF(ORIG!V837=0,"",ORIG!V837)</f>
        <v/>
      </c>
      <c r="W837" s="9">
        <f>IF(ORIG!W837=0,"",ORIG!W837)</f>
        <v/>
      </c>
      <c r="X837" s="9">
        <f>IF(ORIG!X837=0,"",ORIG!X837)</f>
        <v/>
      </c>
      <c r="Y837" s="9">
        <f>IF(ORIG!Y837=0,"",ORIG!Y837)</f>
        <v/>
      </c>
      <c r="Z837" s="3">
        <f>SUMPRODUCT($B837:$Y837,$B$2649:$Y$2649)</f>
        <v/>
      </c>
      <c r="AA837" s="3">
        <f>SUMPRODUCT($B837:$Y837,$B$2655:$Y$2655)</f>
        <v/>
      </c>
      <c r="AC837" s="1">
        <f>A837</f>
        <v/>
      </c>
      <c r="AD837">
        <f>IF(ISNUMBER(V837),V837*($AB$1/V$2635),"")</f>
        <v/>
      </c>
      <c r="AE837">
        <f>IF(ISNUMBER(Z837),Z837*($AB$1/Z$2635),"")</f>
        <v/>
      </c>
      <c r="AF837" s="25">
        <f>IF(ISNUMBER(AD837+AE837),AD837+AE837,"")</f>
        <v/>
      </c>
      <c r="AH837" s="1">
        <f>A837</f>
        <v/>
      </c>
      <c r="AI837">
        <f>IF(ISNUMBER((1+V837)*AI836),(1+V837)*AI836,AI836)</f>
        <v/>
      </c>
      <c r="AJ837">
        <f>IF(ISNUMBER((1+Z837)*AJ836),(1+Z837)*AJ836,AJ836)</f>
        <v/>
      </c>
    </row>
    <row r="838">
      <c r="A838" s="1" t="n">
        <v>43220</v>
      </c>
      <c r="B838" s="3">
        <f>IF(ORIG!B838=0,"",ORIG!B838)</f>
        <v/>
      </c>
      <c r="C838" s="3">
        <f>IF(ORIG!C838=0,"",ORIG!C838)</f>
        <v/>
      </c>
      <c r="D838" s="3">
        <f>IF(ORIG!D838=0,"",ORIG!D838)</f>
        <v/>
      </c>
      <c r="E838" s="3">
        <f>IF(ORIG!E838=0,"",ORIG!E838)</f>
        <v/>
      </c>
      <c r="F838" s="3">
        <f>IF(ORIG!F838=0,"",ORIG!F838)</f>
        <v/>
      </c>
      <c r="G838" s="3">
        <f>IF(ORIG!G838=0,"",ORIG!G838)</f>
        <v/>
      </c>
      <c r="H838" s="3">
        <f>IF(ORIG!H838=0,"",ORIG!H838)</f>
        <v/>
      </c>
      <c r="I838" s="3">
        <f>IF(ORIG!I838=0,"",ORIG!I838)</f>
        <v/>
      </c>
      <c r="J838" s="3">
        <f>IF(ORIG!J838=0,"",ORIG!J838)</f>
        <v/>
      </c>
      <c r="K838" s="3">
        <f>IF(ORIG!K838=0,"",ORIG!K838)</f>
        <v/>
      </c>
      <c r="L838" s="3">
        <f>IF(ORIG!L838=0,"",ORIG!L838)</f>
        <v/>
      </c>
      <c r="M838" s="3">
        <f>IF(ORIG!M838=0,"",ORIG!M838)</f>
        <v/>
      </c>
      <c r="N838" s="3">
        <f>IF(ORIG!N838=0,"",ORIG!N838)</f>
        <v/>
      </c>
      <c r="O838" s="3">
        <f>IF(ORIG!O838=0,"",ORIG!O838)</f>
        <v/>
      </c>
      <c r="P838" s="3">
        <f>IF(ORIG!P838=0,"",ORIG!P838)</f>
        <v/>
      </c>
      <c r="Q838" s="3">
        <f>IF(ORIG!Q838=0,"",ORIG!Q838)</f>
        <v/>
      </c>
      <c r="R838" s="3">
        <f>IF(ORIG!R838=0,"",ORIG!R838)</f>
        <v/>
      </c>
      <c r="S838" s="3">
        <f>IF(ORIG!S838=0,"",ORIG!S838)</f>
        <v/>
      </c>
      <c r="T838" s="3">
        <f>IF(ORIG!T838=0,"",ORIG!T838)</f>
        <v/>
      </c>
      <c r="U838" s="3">
        <f>IF(ORIG!U838=0,"",ORIG!U838)</f>
        <v/>
      </c>
      <c r="V838" s="9">
        <f>IF(ORIG!V838=0,"",ORIG!V838)</f>
        <v/>
      </c>
      <c r="W838" s="9">
        <f>IF(ORIG!W838=0,"",ORIG!W838)</f>
        <v/>
      </c>
      <c r="X838" s="9">
        <f>IF(ORIG!X838=0,"",ORIG!X838)</f>
        <v/>
      </c>
      <c r="Y838" s="9">
        <f>IF(ORIG!Y838=0,"",ORIG!Y838)</f>
        <v/>
      </c>
      <c r="Z838" s="3">
        <f>SUMPRODUCT($B838:$Y838,$B$2649:$Y$2649)</f>
        <v/>
      </c>
      <c r="AA838" s="3">
        <f>SUMPRODUCT($B838:$Y838,$B$2655:$Y$2655)</f>
        <v/>
      </c>
      <c r="AC838" s="1">
        <f>A838</f>
        <v/>
      </c>
      <c r="AD838">
        <f>IF(ISNUMBER(V838),V838*($AB$1/V$2635),"")</f>
        <v/>
      </c>
      <c r="AE838">
        <f>IF(ISNUMBER(Z838),Z838*($AB$1/Z$2635),"")</f>
        <v/>
      </c>
      <c r="AF838" s="25">
        <f>IF(ISNUMBER(AD838+AE838),AD838+AE838,"")</f>
        <v/>
      </c>
      <c r="AH838" s="1">
        <f>A838</f>
        <v/>
      </c>
      <c r="AI838">
        <f>IF(ISNUMBER((1+V838)*AI837),(1+V838)*AI837,AI837)</f>
        <v/>
      </c>
      <c r="AJ838">
        <f>IF(ISNUMBER((1+Z838)*AJ837),(1+Z838)*AJ837,AJ837)</f>
        <v/>
      </c>
    </row>
    <row r="839">
      <c r="A839" s="1" t="n">
        <v>43221</v>
      </c>
      <c r="B839" s="3">
        <f>IF(ORIG!B839=0,"",ORIG!B839)</f>
        <v/>
      </c>
      <c r="C839" s="3">
        <f>IF(ORIG!C839=0,"",ORIG!C839)</f>
        <v/>
      </c>
      <c r="D839" s="3">
        <f>IF(ORIG!D839=0,"",ORIG!D839)</f>
        <v/>
      </c>
      <c r="E839" s="3">
        <f>IF(ORIG!E839=0,"",ORIG!E839)</f>
        <v/>
      </c>
      <c r="F839" s="3">
        <f>IF(ORIG!F839=0,"",ORIG!F839)</f>
        <v/>
      </c>
      <c r="G839" s="3">
        <f>IF(ORIG!G839=0,"",ORIG!G839)</f>
        <v/>
      </c>
      <c r="H839" s="3">
        <f>IF(ORIG!H839=0,"",ORIG!H839)</f>
        <v/>
      </c>
      <c r="I839" s="3">
        <f>IF(ORIG!I839=0,"",ORIG!I839)</f>
        <v/>
      </c>
      <c r="J839" s="3">
        <f>IF(ORIG!J839=0,"",ORIG!J839)</f>
        <v/>
      </c>
      <c r="K839" s="3">
        <f>IF(ORIG!K839=0,"",ORIG!K839)</f>
        <v/>
      </c>
      <c r="L839" s="3">
        <f>IF(ORIG!L839=0,"",ORIG!L839)</f>
        <v/>
      </c>
      <c r="M839" s="3">
        <f>IF(ORIG!M839=0,"",ORIG!M839)</f>
        <v/>
      </c>
      <c r="N839" s="3">
        <f>IF(ORIG!N839=0,"",ORIG!N839)</f>
        <v/>
      </c>
      <c r="O839" s="3">
        <f>IF(ORIG!O839=0,"",ORIG!O839)</f>
        <v/>
      </c>
      <c r="P839" s="3">
        <f>IF(ORIG!P839=0,"",ORIG!P839)</f>
        <v/>
      </c>
      <c r="Q839" s="3">
        <f>IF(ORIG!Q839=0,"",ORIG!Q839)</f>
        <v/>
      </c>
      <c r="R839" s="3">
        <f>IF(ORIG!R839=0,"",ORIG!R839)</f>
        <v/>
      </c>
      <c r="S839" s="3">
        <f>IF(ORIG!S839=0,"",ORIG!S839)</f>
        <v/>
      </c>
      <c r="T839" s="3">
        <f>IF(ORIG!T839=0,"",ORIG!T839)</f>
        <v/>
      </c>
      <c r="U839" s="3">
        <f>IF(ORIG!U839=0,"",ORIG!U839)</f>
        <v/>
      </c>
      <c r="V839" s="9">
        <f>IF(ORIG!V839=0,"",ORIG!V839)</f>
        <v/>
      </c>
      <c r="W839" s="9">
        <f>IF(ORIG!W839=0,"",ORIG!W839)</f>
        <v/>
      </c>
      <c r="X839" s="9">
        <f>IF(ORIG!X839=0,"",ORIG!X839)</f>
        <v/>
      </c>
      <c r="Y839" s="9">
        <f>IF(ORIG!Y839=0,"",ORIG!Y839)</f>
        <v/>
      </c>
      <c r="Z839" s="3">
        <f>SUMPRODUCT($B839:$Y839,$B$2649:$Y$2649)</f>
        <v/>
      </c>
      <c r="AA839" s="3">
        <f>SUMPRODUCT($B839:$Y839,$B$2655:$Y$2655)</f>
        <v/>
      </c>
      <c r="AC839" s="1">
        <f>A839</f>
        <v/>
      </c>
      <c r="AD839">
        <f>IF(ISNUMBER(V839),V839*($AB$1/V$2635),"")</f>
        <v/>
      </c>
      <c r="AE839">
        <f>IF(ISNUMBER(Z839),Z839*($AB$1/Z$2635),"")</f>
        <v/>
      </c>
      <c r="AF839" s="25">
        <f>IF(ISNUMBER(AD839+AE839),AD839+AE839,"")</f>
        <v/>
      </c>
      <c r="AH839" s="1">
        <f>A839</f>
        <v/>
      </c>
      <c r="AI839">
        <f>IF(ISNUMBER((1+V839)*AI838),(1+V839)*AI838,AI838)</f>
        <v/>
      </c>
      <c r="AJ839">
        <f>IF(ISNUMBER((1+Z839)*AJ838),(1+Z839)*AJ838,AJ838)</f>
        <v/>
      </c>
    </row>
    <row r="840">
      <c r="A840" s="1" t="n">
        <v>43222</v>
      </c>
      <c r="B840" s="3">
        <f>IF(ORIG!B840=0,"",ORIG!B840)</f>
        <v/>
      </c>
      <c r="C840" s="3">
        <f>IF(ORIG!C840=0,"",ORIG!C840)</f>
        <v/>
      </c>
      <c r="D840" s="3">
        <f>IF(ORIG!D840=0,"",ORIG!D840)</f>
        <v/>
      </c>
      <c r="E840" s="3">
        <f>IF(ORIG!E840=0,"",ORIG!E840)</f>
        <v/>
      </c>
      <c r="F840" s="3">
        <f>IF(ORIG!F840=0,"",ORIG!F840)</f>
        <v/>
      </c>
      <c r="G840" s="3">
        <f>IF(ORIG!G840=0,"",ORIG!G840)</f>
        <v/>
      </c>
      <c r="H840" s="3">
        <f>IF(ORIG!H840=0,"",ORIG!H840)</f>
        <v/>
      </c>
      <c r="I840" s="3">
        <f>IF(ORIG!I840=0,"",ORIG!I840)</f>
        <v/>
      </c>
      <c r="J840" s="3">
        <f>IF(ORIG!J840=0,"",ORIG!J840)</f>
        <v/>
      </c>
      <c r="K840" s="3">
        <f>IF(ORIG!K840=0,"",ORIG!K840)</f>
        <v/>
      </c>
      <c r="L840" s="3">
        <f>IF(ORIG!L840=0,"",ORIG!L840)</f>
        <v/>
      </c>
      <c r="M840" s="3">
        <f>IF(ORIG!M840=0,"",ORIG!M840)</f>
        <v/>
      </c>
      <c r="N840" s="3">
        <f>IF(ORIG!N840=0,"",ORIG!N840)</f>
        <v/>
      </c>
      <c r="O840" s="3">
        <f>IF(ORIG!O840=0,"",ORIG!O840)</f>
        <v/>
      </c>
      <c r="P840" s="3">
        <f>IF(ORIG!P840=0,"",ORIG!P840)</f>
        <v/>
      </c>
      <c r="Q840" s="3">
        <f>IF(ORIG!Q840=0,"",ORIG!Q840)</f>
        <v/>
      </c>
      <c r="R840" s="3">
        <f>IF(ORIG!R840=0,"",ORIG!R840)</f>
        <v/>
      </c>
      <c r="S840" s="3">
        <f>IF(ORIG!S840=0,"",ORIG!S840)</f>
        <v/>
      </c>
      <c r="T840" s="3">
        <f>IF(ORIG!T840=0,"",ORIG!T840)</f>
        <v/>
      </c>
      <c r="U840" s="3">
        <f>IF(ORIG!U840=0,"",ORIG!U840)</f>
        <v/>
      </c>
      <c r="V840" s="9">
        <f>IF(ORIG!V840=0,"",ORIG!V840)</f>
        <v/>
      </c>
      <c r="W840" s="9">
        <f>IF(ORIG!W840=0,"",ORIG!W840)</f>
        <v/>
      </c>
      <c r="X840" s="9">
        <f>IF(ORIG!X840=0,"",ORIG!X840)</f>
        <v/>
      </c>
      <c r="Y840" s="9">
        <f>IF(ORIG!Y840=0,"",ORIG!Y840)</f>
        <v/>
      </c>
      <c r="Z840" s="3">
        <f>SUMPRODUCT($B840:$Y840,$B$2649:$Y$2649)</f>
        <v/>
      </c>
      <c r="AA840" s="3">
        <f>SUMPRODUCT($B840:$Y840,$B$2655:$Y$2655)</f>
        <v/>
      </c>
      <c r="AC840" s="1">
        <f>A840</f>
        <v/>
      </c>
      <c r="AD840">
        <f>IF(ISNUMBER(V840),V840*($AB$1/V$2635),"")</f>
        <v/>
      </c>
      <c r="AE840">
        <f>IF(ISNUMBER(Z840),Z840*($AB$1/Z$2635),"")</f>
        <v/>
      </c>
      <c r="AF840" s="25">
        <f>IF(ISNUMBER(AD840+AE840),AD840+AE840,"")</f>
        <v/>
      </c>
      <c r="AH840" s="1">
        <f>A840</f>
        <v/>
      </c>
      <c r="AI840">
        <f>IF(ISNUMBER((1+V840)*AI839),(1+V840)*AI839,AI839)</f>
        <v/>
      </c>
      <c r="AJ840">
        <f>IF(ISNUMBER((1+Z840)*AJ839),(1+Z840)*AJ839,AJ839)</f>
        <v/>
      </c>
    </row>
    <row r="841">
      <c r="A841" s="1" t="n">
        <v>43223</v>
      </c>
      <c r="B841" s="3">
        <f>IF(ORIG!B841=0,"",ORIG!B841)</f>
        <v/>
      </c>
      <c r="C841" s="3">
        <f>IF(ORIG!C841=0,"",ORIG!C841)</f>
        <v/>
      </c>
      <c r="D841" s="3">
        <f>IF(ORIG!D841=0,"",ORIG!D841)</f>
        <v/>
      </c>
      <c r="E841" s="3">
        <f>IF(ORIG!E841=0,"",ORIG!E841)</f>
        <v/>
      </c>
      <c r="F841" s="3">
        <f>IF(ORIG!F841=0,"",ORIG!F841)</f>
        <v/>
      </c>
      <c r="G841" s="3">
        <f>IF(ORIG!G841=0,"",ORIG!G841)</f>
        <v/>
      </c>
      <c r="H841" s="3">
        <f>IF(ORIG!H841=0,"",ORIG!H841)</f>
        <v/>
      </c>
      <c r="I841" s="3">
        <f>IF(ORIG!I841=0,"",ORIG!I841)</f>
        <v/>
      </c>
      <c r="J841" s="3">
        <f>IF(ORIG!J841=0,"",ORIG!J841)</f>
        <v/>
      </c>
      <c r="K841" s="3">
        <f>IF(ORIG!K841=0,"",ORIG!K841)</f>
        <v/>
      </c>
      <c r="L841" s="3">
        <f>IF(ORIG!L841=0,"",ORIG!L841)</f>
        <v/>
      </c>
      <c r="M841" s="3">
        <f>IF(ORIG!M841=0,"",ORIG!M841)</f>
        <v/>
      </c>
      <c r="N841" s="3">
        <f>IF(ORIG!N841=0,"",ORIG!N841)</f>
        <v/>
      </c>
      <c r="O841" s="3">
        <f>IF(ORIG!O841=0,"",ORIG!O841)</f>
        <v/>
      </c>
      <c r="P841" s="3">
        <f>IF(ORIG!P841=0,"",ORIG!P841)</f>
        <v/>
      </c>
      <c r="Q841" s="3">
        <f>IF(ORIG!Q841=0,"",ORIG!Q841)</f>
        <v/>
      </c>
      <c r="R841" s="3">
        <f>IF(ORIG!R841=0,"",ORIG!R841)</f>
        <v/>
      </c>
      <c r="S841" s="3">
        <f>IF(ORIG!S841=0,"",ORIG!S841)</f>
        <v/>
      </c>
      <c r="T841" s="3">
        <f>IF(ORIG!T841=0,"",ORIG!T841)</f>
        <v/>
      </c>
      <c r="U841" s="3">
        <f>IF(ORIG!U841=0,"",ORIG!U841)</f>
        <v/>
      </c>
      <c r="V841" s="9">
        <f>IF(ORIG!V841=0,"",ORIG!V841)</f>
        <v/>
      </c>
      <c r="W841" s="9">
        <f>IF(ORIG!W841=0,"",ORIG!W841)</f>
        <v/>
      </c>
      <c r="X841" s="9">
        <f>IF(ORIG!X841=0,"",ORIG!X841)</f>
        <v/>
      </c>
      <c r="Y841" s="9">
        <f>IF(ORIG!Y841=0,"",ORIG!Y841)</f>
        <v/>
      </c>
      <c r="Z841" s="3">
        <f>SUMPRODUCT($B841:$Y841,$B$2649:$Y$2649)</f>
        <v/>
      </c>
      <c r="AA841" s="3">
        <f>SUMPRODUCT($B841:$Y841,$B$2655:$Y$2655)</f>
        <v/>
      </c>
      <c r="AC841" s="1">
        <f>A841</f>
        <v/>
      </c>
      <c r="AD841">
        <f>IF(ISNUMBER(V841),V841*($AB$1/V$2635),"")</f>
        <v/>
      </c>
      <c r="AE841">
        <f>IF(ISNUMBER(Z841),Z841*($AB$1/Z$2635),"")</f>
        <v/>
      </c>
      <c r="AF841" s="25">
        <f>IF(ISNUMBER(AD841+AE841),AD841+AE841,"")</f>
        <v/>
      </c>
      <c r="AH841" s="1">
        <f>A841</f>
        <v/>
      </c>
      <c r="AI841">
        <f>IF(ISNUMBER((1+V841)*AI840),(1+V841)*AI840,AI840)</f>
        <v/>
      </c>
      <c r="AJ841">
        <f>IF(ISNUMBER((1+Z841)*AJ840),(1+Z841)*AJ840,AJ840)</f>
        <v/>
      </c>
    </row>
    <row r="842">
      <c r="A842" s="1" t="n">
        <v>43224</v>
      </c>
      <c r="B842" s="3">
        <f>IF(ORIG!B842=0,"",ORIG!B842)</f>
        <v/>
      </c>
      <c r="C842" s="3">
        <f>IF(ORIG!C842=0,"",ORIG!C842)</f>
        <v/>
      </c>
      <c r="D842" s="3">
        <f>IF(ORIG!D842=0,"",ORIG!D842)</f>
        <v/>
      </c>
      <c r="E842" s="3">
        <f>IF(ORIG!E842=0,"",ORIG!E842)</f>
        <v/>
      </c>
      <c r="F842" s="3">
        <f>IF(ORIG!F842=0,"",ORIG!F842)</f>
        <v/>
      </c>
      <c r="G842" s="3">
        <f>IF(ORIG!G842=0,"",ORIG!G842)</f>
        <v/>
      </c>
      <c r="H842" s="3">
        <f>IF(ORIG!H842=0,"",ORIG!H842)</f>
        <v/>
      </c>
      <c r="I842" s="3">
        <f>IF(ORIG!I842=0,"",ORIG!I842)</f>
        <v/>
      </c>
      <c r="J842" s="3">
        <f>IF(ORIG!J842=0,"",ORIG!J842)</f>
        <v/>
      </c>
      <c r="K842" s="3">
        <f>IF(ORIG!K842=0,"",ORIG!K842)</f>
        <v/>
      </c>
      <c r="L842" s="3">
        <f>IF(ORIG!L842=0,"",ORIG!L842)</f>
        <v/>
      </c>
      <c r="M842" s="3">
        <f>IF(ORIG!M842=0,"",ORIG!M842)</f>
        <v/>
      </c>
      <c r="N842" s="3">
        <f>IF(ORIG!N842=0,"",ORIG!N842)</f>
        <v/>
      </c>
      <c r="O842" s="3">
        <f>IF(ORIG!O842=0,"",ORIG!O842)</f>
        <v/>
      </c>
      <c r="P842" s="3">
        <f>IF(ORIG!P842=0,"",ORIG!P842)</f>
        <v/>
      </c>
      <c r="Q842" s="3">
        <f>IF(ORIG!Q842=0,"",ORIG!Q842)</f>
        <v/>
      </c>
      <c r="R842" s="3">
        <f>IF(ORIG!R842=0,"",ORIG!R842)</f>
        <v/>
      </c>
      <c r="S842" s="3">
        <f>IF(ORIG!S842=0,"",ORIG!S842)</f>
        <v/>
      </c>
      <c r="T842" s="3">
        <f>IF(ORIG!T842=0,"",ORIG!T842)</f>
        <v/>
      </c>
      <c r="U842" s="3">
        <f>IF(ORIG!U842=0,"",ORIG!U842)</f>
        <v/>
      </c>
      <c r="V842" s="9">
        <f>IF(ORIG!V842=0,"",ORIG!V842)</f>
        <v/>
      </c>
      <c r="W842" s="9">
        <f>IF(ORIG!W842=0,"",ORIG!W842)</f>
        <v/>
      </c>
      <c r="X842" s="9">
        <f>IF(ORIG!X842=0,"",ORIG!X842)</f>
        <v/>
      </c>
      <c r="Y842" s="9">
        <f>IF(ORIG!Y842=0,"",ORIG!Y842)</f>
        <v/>
      </c>
      <c r="Z842" s="3">
        <f>SUMPRODUCT($B842:$Y842,$B$2649:$Y$2649)</f>
        <v/>
      </c>
      <c r="AA842" s="3">
        <f>SUMPRODUCT($B842:$Y842,$B$2655:$Y$2655)</f>
        <v/>
      </c>
      <c r="AC842" s="1">
        <f>A842</f>
        <v/>
      </c>
      <c r="AD842">
        <f>IF(ISNUMBER(V842),V842*($AB$1/V$2635),"")</f>
        <v/>
      </c>
      <c r="AE842">
        <f>IF(ISNUMBER(Z842),Z842*($AB$1/Z$2635),"")</f>
        <v/>
      </c>
      <c r="AF842" s="25">
        <f>IF(ISNUMBER(AD842+AE842),AD842+AE842,"")</f>
        <v/>
      </c>
      <c r="AH842" s="1">
        <f>A842</f>
        <v/>
      </c>
      <c r="AI842">
        <f>IF(ISNUMBER((1+V842)*AI841),(1+V842)*AI841,AI841)</f>
        <v/>
      </c>
      <c r="AJ842">
        <f>IF(ISNUMBER((1+Z842)*AJ841),(1+Z842)*AJ841,AJ841)</f>
        <v/>
      </c>
    </row>
    <row r="843">
      <c r="A843" s="1" t="n">
        <v>43227</v>
      </c>
      <c r="B843" s="3">
        <f>IF(ORIG!B843=0,"",ORIG!B843)</f>
        <v/>
      </c>
      <c r="C843" s="3">
        <f>IF(ORIG!C843=0,"",ORIG!C843)</f>
        <v/>
      </c>
      <c r="D843" s="3">
        <f>IF(ORIG!D843=0,"",ORIG!D843)</f>
        <v/>
      </c>
      <c r="E843" s="3">
        <f>IF(ORIG!E843=0,"",ORIG!E843)</f>
        <v/>
      </c>
      <c r="F843" s="3">
        <f>IF(ORIG!F843=0,"",ORIG!F843)</f>
        <v/>
      </c>
      <c r="G843" s="3">
        <f>IF(ORIG!G843=0,"",ORIG!G843)</f>
        <v/>
      </c>
      <c r="H843" s="3">
        <f>IF(ORIG!H843=0,"",ORIG!H843)</f>
        <v/>
      </c>
      <c r="I843" s="3">
        <f>IF(ORIG!I843=0,"",ORIG!I843)</f>
        <v/>
      </c>
      <c r="J843" s="3">
        <f>IF(ORIG!J843=0,"",ORIG!J843)</f>
        <v/>
      </c>
      <c r="K843" s="3">
        <f>IF(ORIG!K843=0,"",ORIG!K843)</f>
        <v/>
      </c>
      <c r="L843" s="3">
        <f>IF(ORIG!L843=0,"",ORIG!L843)</f>
        <v/>
      </c>
      <c r="M843" s="3">
        <f>IF(ORIG!M843=0,"",ORIG!M843)</f>
        <v/>
      </c>
      <c r="N843" s="3">
        <f>IF(ORIG!N843=0,"",ORIG!N843)</f>
        <v/>
      </c>
      <c r="O843" s="3">
        <f>IF(ORIG!O843=0,"",ORIG!O843)</f>
        <v/>
      </c>
      <c r="P843" s="3">
        <f>IF(ORIG!P843=0,"",ORIG!P843)</f>
        <v/>
      </c>
      <c r="Q843" s="3">
        <f>IF(ORIG!Q843=0,"",ORIG!Q843)</f>
        <v/>
      </c>
      <c r="R843" s="3">
        <f>IF(ORIG!R843=0,"",ORIG!R843)</f>
        <v/>
      </c>
      <c r="S843" s="3">
        <f>IF(ORIG!S843=0,"",ORIG!S843)</f>
        <v/>
      </c>
      <c r="T843" s="3">
        <f>IF(ORIG!T843=0,"",ORIG!T843)</f>
        <v/>
      </c>
      <c r="U843" s="3">
        <f>IF(ORIG!U843=0,"",ORIG!U843)</f>
        <v/>
      </c>
      <c r="V843" s="9">
        <f>IF(ORIG!V843=0,"",ORIG!V843)</f>
        <v/>
      </c>
      <c r="W843" s="9">
        <f>IF(ORIG!W843=0,"",ORIG!W843)</f>
        <v/>
      </c>
      <c r="X843" s="9">
        <f>IF(ORIG!X843=0,"",ORIG!X843)</f>
        <v/>
      </c>
      <c r="Y843" s="9">
        <f>IF(ORIG!Y843=0,"",ORIG!Y843)</f>
        <v/>
      </c>
      <c r="Z843" s="3">
        <f>SUMPRODUCT($B843:$Y843,$B$2649:$Y$2649)</f>
        <v/>
      </c>
      <c r="AA843" s="3">
        <f>SUMPRODUCT($B843:$Y843,$B$2655:$Y$2655)</f>
        <v/>
      </c>
      <c r="AC843" s="1">
        <f>A843</f>
        <v/>
      </c>
      <c r="AD843">
        <f>IF(ISNUMBER(V843),V843*($AB$1/V$2635),"")</f>
        <v/>
      </c>
      <c r="AE843">
        <f>IF(ISNUMBER(Z843),Z843*($AB$1/Z$2635),"")</f>
        <v/>
      </c>
      <c r="AF843" s="25">
        <f>IF(ISNUMBER(AD843+AE843),AD843+AE843,"")</f>
        <v/>
      </c>
      <c r="AH843" s="1">
        <f>A843</f>
        <v/>
      </c>
      <c r="AI843">
        <f>IF(ISNUMBER((1+V843)*AI842),(1+V843)*AI842,AI842)</f>
        <v/>
      </c>
      <c r="AJ843">
        <f>IF(ISNUMBER((1+Z843)*AJ842),(1+Z843)*AJ842,AJ842)</f>
        <v/>
      </c>
    </row>
    <row r="844">
      <c r="A844" s="1" t="n">
        <v>43228</v>
      </c>
      <c r="B844" s="3">
        <f>IF(ORIG!B844=0,"",ORIG!B844)</f>
        <v/>
      </c>
      <c r="C844" s="3">
        <f>IF(ORIG!C844=0,"",ORIG!C844)</f>
        <v/>
      </c>
      <c r="D844" s="3">
        <f>IF(ORIG!D844=0,"",ORIG!D844)</f>
        <v/>
      </c>
      <c r="E844" s="3">
        <f>IF(ORIG!E844=0,"",ORIG!E844)</f>
        <v/>
      </c>
      <c r="F844" s="3">
        <f>IF(ORIG!F844=0,"",ORIG!F844)</f>
        <v/>
      </c>
      <c r="G844" s="3">
        <f>IF(ORIG!G844=0,"",ORIG!G844)</f>
        <v/>
      </c>
      <c r="H844" s="3">
        <f>IF(ORIG!H844=0,"",ORIG!H844)</f>
        <v/>
      </c>
      <c r="I844" s="3">
        <f>IF(ORIG!I844=0,"",ORIG!I844)</f>
        <v/>
      </c>
      <c r="J844" s="3">
        <f>IF(ORIG!J844=0,"",ORIG!J844)</f>
        <v/>
      </c>
      <c r="K844" s="3">
        <f>IF(ORIG!K844=0,"",ORIG!K844)</f>
        <v/>
      </c>
      <c r="L844" s="3">
        <f>IF(ORIG!L844=0,"",ORIG!L844)</f>
        <v/>
      </c>
      <c r="M844" s="3">
        <f>IF(ORIG!M844=0,"",ORIG!M844)</f>
        <v/>
      </c>
      <c r="N844" s="3">
        <f>IF(ORIG!N844=0,"",ORIG!N844)</f>
        <v/>
      </c>
      <c r="O844" s="3">
        <f>IF(ORIG!O844=0,"",ORIG!O844)</f>
        <v/>
      </c>
      <c r="P844" s="3">
        <f>IF(ORIG!P844=0,"",ORIG!P844)</f>
        <v/>
      </c>
      <c r="Q844" s="3">
        <f>IF(ORIG!Q844=0,"",ORIG!Q844)</f>
        <v/>
      </c>
      <c r="R844" s="3">
        <f>IF(ORIG!R844=0,"",ORIG!R844)</f>
        <v/>
      </c>
      <c r="S844" s="3">
        <f>IF(ORIG!S844=0,"",ORIG!S844)</f>
        <v/>
      </c>
      <c r="T844" s="3">
        <f>IF(ORIG!T844=0,"",ORIG!T844)</f>
        <v/>
      </c>
      <c r="U844" s="3">
        <f>IF(ORIG!U844=0,"",ORIG!U844)</f>
        <v/>
      </c>
      <c r="V844" s="9">
        <f>IF(ORIG!V844=0,"",ORIG!V844)</f>
        <v/>
      </c>
      <c r="W844" s="9">
        <f>IF(ORIG!W844=0,"",ORIG!W844)</f>
        <v/>
      </c>
      <c r="X844" s="9">
        <f>IF(ORIG!X844=0,"",ORIG!X844)</f>
        <v/>
      </c>
      <c r="Y844" s="9">
        <f>IF(ORIG!Y844=0,"",ORIG!Y844)</f>
        <v/>
      </c>
      <c r="Z844" s="3">
        <f>SUMPRODUCT($B844:$Y844,$B$2649:$Y$2649)</f>
        <v/>
      </c>
      <c r="AA844" s="3">
        <f>SUMPRODUCT($B844:$Y844,$B$2655:$Y$2655)</f>
        <v/>
      </c>
      <c r="AC844" s="1">
        <f>A844</f>
        <v/>
      </c>
      <c r="AD844">
        <f>IF(ISNUMBER(V844),V844*($AB$1/V$2635),"")</f>
        <v/>
      </c>
      <c r="AE844">
        <f>IF(ISNUMBER(Z844),Z844*($AB$1/Z$2635),"")</f>
        <v/>
      </c>
      <c r="AF844" s="25">
        <f>IF(ISNUMBER(AD844+AE844),AD844+AE844,"")</f>
        <v/>
      </c>
      <c r="AH844" s="1">
        <f>A844</f>
        <v/>
      </c>
      <c r="AI844">
        <f>IF(ISNUMBER((1+V844)*AI843),(1+V844)*AI843,AI843)</f>
        <v/>
      </c>
      <c r="AJ844">
        <f>IF(ISNUMBER((1+Z844)*AJ843),(1+Z844)*AJ843,AJ843)</f>
        <v/>
      </c>
    </row>
    <row r="845">
      <c r="A845" s="1" t="n">
        <v>43229</v>
      </c>
      <c r="B845" s="3">
        <f>IF(ORIG!B845=0,"",ORIG!B845)</f>
        <v/>
      </c>
      <c r="C845" s="3">
        <f>IF(ORIG!C845=0,"",ORIG!C845)</f>
        <v/>
      </c>
      <c r="D845" s="3">
        <f>IF(ORIG!D845=0,"",ORIG!D845)</f>
        <v/>
      </c>
      <c r="E845" s="3">
        <f>IF(ORIG!E845=0,"",ORIG!E845)</f>
        <v/>
      </c>
      <c r="F845" s="3">
        <f>IF(ORIG!F845=0,"",ORIG!F845)</f>
        <v/>
      </c>
      <c r="G845" s="3">
        <f>IF(ORIG!G845=0,"",ORIG!G845)</f>
        <v/>
      </c>
      <c r="H845" s="3">
        <f>IF(ORIG!H845=0,"",ORIG!H845)</f>
        <v/>
      </c>
      <c r="I845" s="3">
        <f>IF(ORIG!I845=0,"",ORIG!I845)</f>
        <v/>
      </c>
      <c r="J845" s="3">
        <f>IF(ORIG!J845=0,"",ORIG!J845)</f>
        <v/>
      </c>
      <c r="K845" s="3">
        <f>IF(ORIG!K845=0,"",ORIG!K845)</f>
        <v/>
      </c>
      <c r="L845" s="3">
        <f>IF(ORIG!L845=0,"",ORIG!L845)</f>
        <v/>
      </c>
      <c r="M845" s="3">
        <f>IF(ORIG!M845=0,"",ORIG!M845)</f>
        <v/>
      </c>
      <c r="N845" s="3">
        <f>IF(ORIG!N845=0,"",ORIG!N845)</f>
        <v/>
      </c>
      <c r="O845" s="3">
        <f>IF(ORIG!O845=0,"",ORIG!O845)</f>
        <v/>
      </c>
      <c r="P845" s="3">
        <f>IF(ORIG!P845=0,"",ORIG!P845)</f>
        <v/>
      </c>
      <c r="Q845" s="3">
        <f>IF(ORIG!Q845=0,"",ORIG!Q845)</f>
        <v/>
      </c>
      <c r="R845" s="3">
        <f>IF(ORIG!R845=0,"",ORIG!R845)</f>
        <v/>
      </c>
      <c r="S845" s="3">
        <f>IF(ORIG!S845=0,"",ORIG!S845)</f>
        <v/>
      </c>
      <c r="T845" s="3">
        <f>IF(ORIG!T845=0,"",ORIG!T845)</f>
        <v/>
      </c>
      <c r="U845" s="3">
        <f>IF(ORIG!U845=0,"",ORIG!U845)</f>
        <v/>
      </c>
      <c r="V845" s="9">
        <f>IF(ORIG!V845=0,"",ORIG!V845)</f>
        <v/>
      </c>
      <c r="W845" s="9">
        <f>IF(ORIG!W845=0,"",ORIG!W845)</f>
        <v/>
      </c>
      <c r="X845" s="9">
        <f>IF(ORIG!X845=0,"",ORIG!X845)</f>
        <v/>
      </c>
      <c r="Y845" s="9">
        <f>IF(ORIG!Y845=0,"",ORIG!Y845)</f>
        <v/>
      </c>
      <c r="Z845" s="3">
        <f>SUMPRODUCT($B845:$Y845,$B$2649:$Y$2649)</f>
        <v/>
      </c>
      <c r="AA845" s="3">
        <f>SUMPRODUCT($B845:$Y845,$B$2655:$Y$2655)</f>
        <v/>
      </c>
      <c r="AC845" s="1">
        <f>A845</f>
        <v/>
      </c>
      <c r="AD845">
        <f>IF(ISNUMBER(V845),V845*($AB$1/V$2635),"")</f>
        <v/>
      </c>
      <c r="AE845">
        <f>IF(ISNUMBER(Z845),Z845*($AB$1/Z$2635),"")</f>
        <v/>
      </c>
      <c r="AF845" s="25">
        <f>IF(ISNUMBER(AD845+AE845),AD845+AE845,"")</f>
        <v/>
      </c>
      <c r="AH845" s="1">
        <f>A845</f>
        <v/>
      </c>
      <c r="AI845">
        <f>IF(ISNUMBER((1+V845)*AI844),(1+V845)*AI844,AI844)</f>
        <v/>
      </c>
      <c r="AJ845">
        <f>IF(ISNUMBER((1+Z845)*AJ844),(1+Z845)*AJ844,AJ844)</f>
        <v/>
      </c>
    </row>
    <row r="846">
      <c r="A846" s="1" t="n">
        <v>43230</v>
      </c>
      <c r="B846" s="3">
        <f>IF(ORIG!B846=0,"",ORIG!B846)</f>
        <v/>
      </c>
      <c r="C846" s="3">
        <f>IF(ORIG!C846=0,"",ORIG!C846)</f>
        <v/>
      </c>
      <c r="D846" s="3">
        <f>IF(ORIG!D846=0,"",ORIG!D846)</f>
        <v/>
      </c>
      <c r="E846" s="3">
        <f>IF(ORIG!E846=0,"",ORIG!E846)</f>
        <v/>
      </c>
      <c r="F846" s="3">
        <f>IF(ORIG!F846=0,"",ORIG!F846)</f>
        <v/>
      </c>
      <c r="G846" s="3">
        <f>IF(ORIG!G846=0,"",ORIG!G846)</f>
        <v/>
      </c>
      <c r="H846" s="3">
        <f>IF(ORIG!H846=0,"",ORIG!H846)</f>
        <v/>
      </c>
      <c r="I846" s="3">
        <f>IF(ORIG!I846=0,"",ORIG!I846)</f>
        <v/>
      </c>
      <c r="J846" s="3">
        <f>IF(ORIG!J846=0,"",ORIG!J846)</f>
        <v/>
      </c>
      <c r="K846" s="3">
        <f>IF(ORIG!K846=0,"",ORIG!K846)</f>
        <v/>
      </c>
      <c r="L846" s="3">
        <f>IF(ORIG!L846=0,"",ORIG!L846)</f>
        <v/>
      </c>
      <c r="M846" s="3">
        <f>IF(ORIG!M846=0,"",ORIG!M846)</f>
        <v/>
      </c>
      <c r="N846" s="3">
        <f>IF(ORIG!N846=0,"",ORIG!N846)</f>
        <v/>
      </c>
      <c r="O846" s="3">
        <f>IF(ORIG!O846=0,"",ORIG!O846)</f>
        <v/>
      </c>
      <c r="P846" s="3">
        <f>IF(ORIG!P846=0,"",ORIG!P846)</f>
        <v/>
      </c>
      <c r="Q846" s="3">
        <f>IF(ORIG!Q846=0,"",ORIG!Q846)</f>
        <v/>
      </c>
      <c r="R846" s="3">
        <f>IF(ORIG!R846=0,"",ORIG!R846)</f>
        <v/>
      </c>
      <c r="S846" s="3">
        <f>IF(ORIG!S846=0,"",ORIG!S846)</f>
        <v/>
      </c>
      <c r="T846" s="3">
        <f>IF(ORIG!T846=0,"",ORIG!T846)</f>
        <v/>
      </c>
      <c r="U846" s="3">
        <f>IF(ORIG!U846=0,"",ORIG!U846)</f>
        <v/>
      </c>
      <c r="V846" s="9">
        <f>IF(ORIG!V846=0,"",ORIG!V846)</f>
        <v/>
      </c>
      <c r="W846" s="9">
        <f>IF(ORIG!W846=0,"",ORIG!W846)</f>
        <v/>
      </c>
      <c r="X846" s="9">
        <f>IF(ORIG!X846=0,"",ORIG!X846)</f>
        <v/>
      </c>
      <c r="Y846" s="9">
        <f>IF(ORIG!Y846=0,"",ORIG!Y846)</f>
        <v/>
      </c>
      <c r="Z846" s="3">
        <f>SUMPRODUCT($B846:$Y846,$B$2649:$Y$2649)</f>
        <v/>
      </c>
      <c r="AA846" s="3">
        <f>SUMPRODUCT($B846:$Y846,$B$2655:$Y$2655)</f>
        <v/>
      </c>
      <c r="AC846" s="1">
        <f>A846</f>
        <v/>
      </c>
      <c r="AD846">
        <f>IF(ISNUMBER(V846),V846*($AB$1/V$2635),"")</f>
        <v/>
      </c>
      <c r="AE846">
        <f>IF(ISNUMBER(Z846),Z846*($AB$1/Z$2635),"")</f>
        <v/>
      </c>
      <c r="AF846" s="25">
        <f>IF(ISNUMBER(AD846+AE846),AD846+AE846,"")</f>
        <v/>
      </c>
      <c r="AH846" s="1">
        <f>A846</f>
        <v/>
      </c>
      <c r="AI846">
        <f>IF(ISNUMBER((1+V846)*AI845),(1+V846)*AI845,AI845)</f>
        <v/>
      </c>
      <c r="AJ846">
        <f>IF(ISNUMBER((1+Z846)*AJ845),(1+Z846)*AJ845,AJ845)</f>
        <v/>
      </c>
    </row>
    <row r="847">
      <c r="A847" s="1" t="n">
        <v>43231</v>
      </c>
      <c r="B847" s="3">
        <f>IF(ORIG!B847=0,"",ORIG!B847)</f>
        <v/>
      </c>
      <c r="C847" s="3">
        <f>IF(ORIG!C847=0,"",ORIG!C847)</f>
        <v/>
      </c>
      <c r="D847" s="3">
        <f>IF(ORIG!D847=0,"",ORIG!D847)</f>
        <v/>
      </c>
      <c r="E847" s="3">
        <f>IF(ORIG!E847=0,"",ORIG!E847)</f>
        <v/>
      </c>
      <c r="F847" s="3">
        <f>IF(ORIG!F847=0,"",ORIG!F847)</f>
        <v/>
      </c>
      <c r="G847" s="3">
        <f>IF(ORIG!G847=0,"",ORIG!G847)</f>
        <v/>
      </c>
      <c r="H847" s="3">
        <f>IF(ORIG!H847=0,"",ORIG!H847)</f>
        <v/>
      </c>
      <c r="I847" s="3">
        <f>IF(ORIG!I847=0,"",ORIG!I847)</f>
        <v/>
      </c>
      <c r="J847" s="3">
        <f>IF(ORIG!J847=0,"",ORIG!J847)</f>
        <v/>
      </c>
      <c r="K847" s="3">
        <f>IF(ORIG!K847=0,"",ORIG!K847)</f>
        <v/>
      </c>
      <c r="L847" s="3">
        <f>IF(ORIG!L847=0,"",ORIG!L847)</f>
        <v/>
      </c>
      <c r="M847" s="3">
        <f>IF(ORIG!M847=0,"",ORIG!M847)</f>
        <v/>
      </c>
      <c r="N847" s="3">
        <f>IF(ORIG!N847=0,"",ORIG!N847)</f>
        <v/>
      </c>
      <c r="O847" s="3">
        <f>IF(ORIG!O847=0,"",ORIG!O847)</f>
        <v/>
      </c>
      <c r="P847" s="3">
        <f>IF(ORIG!P847=0,"",ORIG!P847)</f>
        <v/>
      </c>
      <c r="Q847" s="3">
        <f>IF(ORIG!Q847=0,"",ORIG!Q847)</f>
        <v/>
      </c>
      <c r="R847" s="3">
        <f>IF(ORIG!R847=0,"",ORIG!R847)</f>
        <v/>
      </c>
      <c r="S847" s="3">
        <f>IF(ORIG!S847=0,"",ORIG!S847)</f>
        <v/>
      </c>
      <c r="T847" s="3">
        <f>IF(ORIG!T847=0,"",ORIG!T847)</f>
        <v/>
      </c>
      <c r="U847" s="3">
        <f>IF(ORIG!U847=0,"",ORIG!U847)</f>
        <v/>
      </c>
      <c r="V847" s="9">
        <f>IF(ORIG!V847=0,"",ORIG!V847)</f>
        <v/>
      </c>
      <c r="W847" s="9">
        <f>IF(ORIG!W847=0,"",ORIG!W847)</f>
        <v/>
      </c>
      <c r="X847" s="9">
        <f>IF(ORIG!X847=0,"",ORIG!X847)</f>
        <v/>
      </c>
      <c r="Y847" s="9">
        <f>IF(ORIG!Y847=0,"",ORIG!Y847)</f>
        <v/>
      </c>
      <c r="Z847" s="3">
        <f>SUMPRODUCT($B847:$Y847,$B$2649:$Y$2649)</f>
        <v/>
      </c>
      <c r="AA847" s="3">
        <f>SUMPRODUCT($B847:$Y847,$B$2655:$Y$2655)</f>
        <v/>
      </c>
      <c r="AC847" s="1">
        <f>A847</f>
        <v/>
      </c>
      <c r="AD847">
        <f>IF(ISNUMBER(V847),V847*($AB$1/V$2635),"")</f>
        <v/>
      </c>
      <c r="AE847">
        <f>IF(ISNUMBER(Z847),Z847*($AB$1/Z$2635),"")</f>
        <v/>
      </c>
      <c r="AF847" s="25">
        <f>IF(ISNUMBER(AD847+AE847),AD847+AE847,"")</f>
        <v/>
      </c>
      <c r="AH847" s="1">
        <f>A847</f>
        <v/>
      </c>
      <c r="AI847">
        <f>IF(ISNUMBER((1+V847)*AI846),(1+V847)*AI846,AI846)</f>
        <v/>
      </c>
      <c r="AJ847">
        <f>IF(ISNUMBER((1+Z847)*AJ846),(1+Z847)*AJ846,AJ846)</f>
        <v/>
      </c>
    </row>
    <row r="848">
      <c r="A848" s="1" t="n">
        <v>43234</v>
      </c>
      <c r="B848" s="3">
        <f>IF(ORIG!B848=0,"",ORIG!B848)</f>
        <v/>
      </c>
      <c r="C848" s="3">
        <f>IF(ORIG!C848=0,"",ORIG!C848)</f>
        <v/>
      </c>
      <c r="D848" s="3">
        <f>IF(ORIG!D848=0,"",ORIG!D848)</f>
        <v/>
      </c>
      <c r="E848" s="3">
        <f>IF(ORIG!E848=0,"",ORIG!E848)</f>
        <v/>
      </c>
      <c r="F848" s="3">
        <f>IF(ORIG!F848=0,"",ORIG!F848)</f>
        <v/>
      </c>
      <c r="G848" s="3">
        <f>IF(ORIG!G848=0,"",ORIG!G848)</f>
        <v/>
      </c>
      <c r="H848" s="3">
        <f>IF(ORIG!H848=0,"",ORIG!H848)</f>
        <v/>
      </c>
      <c r="I848" s="3">
        <f>IF(ORIG!I848=0,"",ORIG!I848)</f>
        <v/>
      </c>
      <c r="J848" s="3">
        <f>IF(ORIG!J848=0,"",ORIG!J848)</f>
        <v/>
      </c>
      <c r="K848" s="3">
        <f>IF(ORIG!K848=0,"",ORIG!K848)</f>
        <v/>
      </c>
      <c r="L848" s="3">
        <f>IF(ORIG!L848=0,"",ORIG!L848)</f>
        <v/>
      </c>
      <c r="M848" s="3">
        <f>IF(ORIG!M848=0,"",ORIG!M848)</f>
        <v/>
      </c>
      <c r="N848" s="3">
        <f>IF(ORIG!N848=0,"",ORIG!N848)</f>
        <v/>
      </c>
      <c r="O848" s="3">
        <f>IF(ORIG!O848=0,"",ORIG!O848)</f>
        <v/>
      </c>
      <c r="P848" s="3">
        <f>IF(ORIG!P848=0,"",ORIG!P848)</f>
        <v/>
      </c>
      <c r="Q848" s="3">
        <f>IF(ORIG!Q848=0,"",ORIG!Q848)</f>
        <v/>
      </c>
      <c r="R848" s="3">
        <f>IF(ORIG!R848=0,"",ORIG!R848)</f>
        <v/>
      </c>
      <c r="S848" s="3">
        <f>IF(ORIG!S848=0,"",ORIG!S848)</f>
        <v/>
      </c>
      <c r="T848" s="3">
        <f>IF(ORIG!T848=0,"",ORIG!T848)</f>
        <v/>
      </c>
      <c r="U848" s="3">
        <f>IF(ORIG!U848=0,"",ORIG!U848)</f>
        <v/>
      </c>
      <c r="V848" s="9">
        <f>IF(ORIG!V848=0,"",ORIG!V848)</f>
        <v/>
      </c>
      <c r="W848" s="9">
        <f>IF(ORIG!W848=0,"",ORIG!W848)</f>
        <v/>
      </c>
      <c r="X848" s="9">
        <f>IF(ORIG!X848=0,"",ORIG!X848)</f>
        <v/>
      </c>
      <c r="Y848" s="9">
        <f>IF(ORIG!Y848=0,"",ORIG!Y848)</f>
        <v/>
      </c>
      <c r="Z848" s="3">
        <f>SUMPRODUCT($B848:$Y848,$B$2649:$Y$2649)</f>
        <v/>
      </c>
      <c r="AA848" s="3">
        <f>SUMPRODUCT($B848:$Y848,$B$2655:$Y$2655)</f>
        <v/>
      </c>
      <c r="AC848" s="1">
        <f>A848</f>
        <v/>
      </c>
      <c r="AD848">
        <f>IF(ISNUMBER(V848),V848*($AB$1/V$2635),"")</f>
        <v/>
      </c>
      <c r="AE848">
        <f>IF(ISNUMBER(Z848),Z848*($AB$1/Z$2635),"")</f>
        <v/>
      </c>
      <c r="AF848" s="25">
        <f>IF(ISNUMBER(AD848+AE848),AD848+AE848,"")</f>
        <v/>
      </c>
      <c r="AH848" s="1">
        <f>A848</f>
        <v/>
      </c>
      <c r="AI848">
        <f>IF(ISNUMBER((1+V848)*AI847),(1+V848)*AI847,AI847)</f>
        <v/>
      </c>
      <c r="AJ848">
        <f>IF(ISNUMBER((1+Z848)*AJ847),(1+Z848)*AJ847,AJ847)</f>
        <v/>
      </c>
    </row>
    <row r="849">
      <c r="A849" s="1" t="n">
        <v>43235</v>
      </c>
      <c r="B849" s="3">
        <f>IF(ORIG!B849=0,"",ORIG!B849)</f>
        <v/>
      </c>
      <c r="C849" s="3">
        <f>IF(ORIG!C849=0,"",ORIG!C849)</f>
        <v/>
      </c>
      <c r="D849" s="3">
        <f>IF(ORIG!D849=0,"",ORIG!D849)</f>
        <v/>
      </c>
      <c r="E849" s="3">
        <f>IF(ORIG!E849=0,"",ORIG!E849)</f>
        <v/>
      </c>
      <c r="F849" s="3">
        <f>IF(ORIG!F849=0,"",ORIG!F849)</f>
        <v/>
      </c>
      <c r="G849" s="3">
        <f>IF(ORIG!G849=0,"",ORIG!G849)</f>
        <v/>
      </c>
      <c r="H849" s="3">
        <f>IF(ORIG!H849=0,"",ORIG!H849)</f>
        <v/>
      </c>
      <c r="I849" s="3">
        <f>IF(ORIG!I849=0,"",ORIG!I849)</f>
        <v/>
      </c>
      <c r="J849" s="3">
        <f>IF(ORIG!J849=0,"",ORIG!J849)</f>
        <v/>
      </c>
      <c r="K849" s="3">
        <f>IF(ORIG!K849=0,"",ORIG!K849)</f>
        <v/>
      </c>
      <c r="L849" s="3">
        <f>IF(ORIG!L849=0,"",ORIG!L849)</f>
        <v/>
      </c>
      <c r="M849" s="3">
        <f>IF(ORIG!M849=0,"",ORIG!M849)</f>
        <v/>
      </c>
      <c r="N849" s="3">
        <f>IF(ORIG!N849=0,"",ORIG!N849)</f>
        <v/>
      </c>
      <c r="O849" s="3">
        <f>IF(ORIG!O849=0,"",ORIG!O849)</f>
        <v/>
      </c>
      <c r="P849" s="3">
        <f>IF(ORIG!P849=0,"",ORIG!P849)</f>
        <v/>
      </c>
      <c r="Q849" s="3">
        <f>IF(ORIG!Q849=0,"",ORIG!Q849)</f>
        <v/>
      </c>
      <c r="R849" s="3">
        <f>IF(ORIG!R849=0,"",ORIG!R849)</f>
        <v/>
      </c>
      <c r="S849" s="3">
        <f>IF(ORIG!S849=0,"",ORIG!S849)</f>
        <v/>
      </c>
      <c r="T849" s="3">
        <f>IF(ORIG!T849=0,"",ORIG!T849)</f>
        <v/>
      </c>
      <c r="U849" s="3">
        <f>IF(ORIG!U849=0,"",ORIG!U849)</f>
        <v/>
      </c>
      <c r="V849" s="9">
        <f>IF(ORIG!V849=0,"",ORIG!V849)</f>
        <v/>
      </c>
      <c r="W849" s="9">
        <f>IF(ORIG!W849=0,"",ORIG!W849)</f>
        <v/>
      </c>
      <c r="X849" s="9">
        <f>IF(ORIG!X849=0,"",ORIG!X849)</f>
        <v/>
      </c>
      <c r="Y849" s="9">
        <f>IF(ORIG!Y849=0,"",ORIG!Y849)</f>
        <v/>
      </c>
      <c r="Z849" s="3">
        <f>SUMPRODUCT($B849:$Y849,$B$2649:$Y$2649)</f>
        <v/>
      </c>
      <c r="AA849" s="3">
        <f>SUMPRODUCT($B849:$Y849,$B$2655:$Y$2655)</f>
        <v/>
      </c>
      <c r="AC849" s="1">
        <f>A849</f>
        <v/>
      </c>
      <c r="AD849">
        <f>IF(ISNUMBER(V849),V849*($AB$1/V$2635),"")</f>
        <v/>
      </c>
      <c r="AE849">
        <f>IF(ISNUMBER(Z849),Z849*($AB$1/Z$2635),"")</f>
        <v/>
      </c>
      <c r="AF849" s="25">
        <f>IF(ISNUMBER(AD849+AE849),AD849+AE849,"")</f>
        <v/>
      </c>
      <c r="AH849" s="1">
        <f>A849</f>
        <v/>
      </c>
      <c r="AI849">
        <f>IF(ISNUMBER((1+V849)*AI848),(1+V849)*AI848,AI848)</f>
        <v/>
      </c>
      <c r="AJ849">
        <f>IF(ISNUMBER((1+Z849)*AJ848),(1+Z849)*AJ848,AJ848)</f>
        <v/>
      </c>
    </row>
    <row r="850">
      <c r="A850" s="1" t="n">
        <v>43236</v>
      </c>
      <c r="B850" s="3">
        <f>IF(ORIG!B850=0,"",ORIG!B850)</f>
        <v/>
      </c>
      <c r="C850" s="3">
        <f>IF(ORIG!C850=0,"",ORIG!C850)</f>
        <v/>
      </c>
      <c r="D850" s="3">
        <f>IF(ORIG!D850=0,"",ORIG!D850)</f>
        <v/>
      </c>
      <c r="E850" s="3">
        <f>IF(ORIG!E850=0,"",ORIG!E850)</f>
        <v/>
      </c>
      <c r="F850" s="3">
        <f>IF(ORIG!F850=0,"",ORIG!F850)</f>
        <v/>
      </c>
      <c r="G850" s="3">
        <f>IF(ORIG!G850=0,"",ORIG!G850)</f>
        <v/>
      </c>
      <c r="H850" s="3">
        <f>IF(ORIG!H850=0,"",ORIG!H850)</f>
        <v/>
      </c>
      <c r="I850" s="3">
        <f>IF(ORIG!I850=0,"",ORIG!I850)</f>
        <v/>
      </c>
      <c r="J850" s="3">
        <f>IF(ORIG!J850=0,"",ORIG!J850)</f>
        <v/>
      </c>
      <c r="K850" s="3">
        <f>IF(ORIG!K850=0,"",ORIG!K850)</f>
        <v/>
      </c>
      <c r="L850" s="3">
        <f>IF(ORIG!L850=0,"",ORIG!L850)</f>
        <v/>
      </c>
      <c r="M850" s="3">
        <f>IF(ORIG!M850=0,"",ORIG!M850)</f>
        <v/>
      </c>
      <c r="N850" s="3">
        <f>IF(ORIG!N850=0,"",ORIG!N850)</f>
        <v/>
      </c>
      <c r="O850" s="3">
        <f>IF(ORIG!O850=0,"",ORIG!O850)</f>
        <v/>
      </c>
      <c r="P850" s="3">
        <f>IF(ORIG!P850=0,"",ORIG!P850)</f>
        <v/>
      </c>
      <c r="Q850" s="3">
        <f>IF(ORIG!Q850=0,"",ORIG!Q850)</f>
        <v/>
      </c>
      <c r="R850" s="3">
        <f>IF(ORIG!R850=0,"",ORIG!R850)</f>
        <v/>
      </c>
      <c r="S850" s="3">
        <f>IF(ORIG!S850=0,"",ORIG!S850)</f>
        <v/>
      </c>
      <c r="T850" s="3">
        <f>IF(ORIG!T850=0,"",ORIG!T850)</f>
        <v/>
      </c>
      <c r="U850" s="3">
        <f>IF(ORIG!U850=0,"",ORIG!U850)</f>
        <v/>
      </c>
      <c r="V850" s="9">
        <f>IF(ORIG!V850=0,"",ORIG!V850)</f>
        <v/>
      </c>
      <c r="W850" s="9">
        <f>IF(ORIG!W850=0,"",ORIG!W850)</f>
        <v/>
      </c>
      <c r="X850" s="9">
        <f>IF(ORIG!X850=0,"",ORIG!X850)</f>
        <v/>
      </c>
      <c r="Y850" s="9">
        <f>IF(ORIG!Y850=0,"",ORIG!Y850)</f>
        <v/>
      </c>
      <c r="Z850" s="3">
        <f>SUMPRODUCT($B850:$Y850,$B$2649:$Y$2649)</f>
        <v/>
      </c>
      <c r="AA850" s="3">
        <f>SUMPRODUCT($B850:$Y850,$B$2655:$Y$2655)</f>
        <v/>
      </c>
      <c r="AC850" s="1">
        <f>A850</f>
        <v/>
      </c>
      <c r="AD850">
        <f>IF(ISNUMBER(V850),V850*($AB$1/V$2635),"")</f>
        <v/>
      </c>
      <c r="AE850">
        <f>IF(ISNUMBER(Z850),Z850*($AB$1/Z$2635),"")</f>
        <v/>
      </c>
      <c r="AF850" s="25">
        <f>IF(ISNUMBER(AD850+AE850),AD850+AE850,"")</f>
        <v/>
      </c>
      <c r="AH850" s="1">
        <f>A850</f>
        <v/>
      </c>
      <c r="AI850">
        <f>IF(ISNUMBER((1+V850)*AI849),(1+V850)*AI849,AI849)</f>
        <v/>
      </c>
      <c r="AJ850">
        <f>IF(ISNUMBER((1+Z850)*AJ849),(1+Z850)*AJ849,AJ849)</f>
        <v/>
      </c>
    </row>
    <row r="851">
      <c r="A851" s="1" t="n">
        <v>43237</v>
      </c>
      <c r="B851" s="3">
        <f>IF(ORIG!B851=0,"",ORIG!B851)</f>
        <v/>
      </c>
      <c r="C851" s="3">
        <f>IF(ORIG!C851=0,"",ORIG!C851)</f>
        <v/>
      </c>
      <c r="D851" s="3">
        <f>IF(ORIG!D851=0,"",ORIG!D851)</f>
        <v/>
      </c>
      <c r="E851" s="3">
        <f>IF(ORIG!E851=0,"",ORIG!E851)</f>
        <v/>
      </c>
      <c r="F851" s="3">
        <f>IF(ORIG!F851=0,"",ORIG!F851)</f>
        <v/>
      </c>
      <c r="G851" s="3">
        <f>IF(ORIG!G851=0,"",ORIG!G851)</f>
        <v/>
      </c>
      <c r="H851" s="3">
        <f>IF(ORIG!H851=0,"",ORIG!H851)</f>
        <v/>
      </c>
      <c r="I851" s="3">
        <f>IF(ORIG!I851=0,"",ORIG!I851)</f>
        <v/>
      </c>
      <c r="J851" s="3">
        <f>IF(ORIG!J851=0,"",ORIG!J851)</f>
        <v/>
      </c>
      <c r="K851" s="3">
        <f>IF(ORIG!K851=0,"",ORIG!K851)</f>
        <v/>
      </c>
      <c r="L851" s="3">
        <f>IF(ORIG!L851=0,"",ORIG!L851)</f>
        <v/>
      </c>
      <c r="M851" s="3">
        <f>IF(ORIG!M851=0,"",ORIG!M851)</f>
        <v/>
      </c>
      <c r="N851" s="3">
        <f>IF(ORIG!N851=0,"",ORIG!N851)</f>
        <v/>
      </c>
      <c r="O851" s="3">
        <f>IF(ORIG!O851=0,"",ORIG!O851)</f>
        <v/>
      </c>
      <c r="P851" s="3">
        <f>IF(ORIG!P851=0,"",ORIG!P851)</f>
        <v/>
      </c>
      <c r="Q851" s="3">
        <f>IF(ORIG!Q851=0,"",ORIG!Q851)</f>
        <v/>
      </c>
      <c r="R851" s="3">
        <f>IF(ORIG!R851=0,"",ORIG!R851)</f>
        <v/>
      </c>
      <c r="S851" s="3">
        <f>IF(ORIG!S851=0,"",ORIG!S851)</f>
        <v/>
      </c>
      <c r="T851" s="3">
        <f>IF(ORIG!T851=0,"",ORIG!T851)</f>
        <v/>
      </c>
      <c r="U851" s="3">
        <f>IF(ORIG!U851=0,"",ORIG!U851)</f>
        <v/>
      </c>
      <c r="V851" s="9">
        <f>IF(ORIG!V851=0,"",ORIG!V851)</f>
        <v/>
      </c>
      <c r="W851" s="9">
        <f>IF(ORIG!W851=0,"",ORIG!W851)</f>
        <v/>
      </c>
      <c r="X851" s="9">
        <f>IF(ORIG!X851=0,"",ORIG!X851)</f>
        <v/>
      </c>
      <c r="Y851" s="9">
        <f>IF(ORIG!Y851=0,"",ORIG!Y851)</f>
        <v/>
      </c>
      <c r="Z851" s="3">
        <f>SUMPRODUCT($B851:$Y851,$B$2649:$Y$2649)</f>
        <v/>
      </c>
      <c r="AA851" s="3">
        <f>SUMPRODUCT($B851:$Y851,$B$2655:$Y$2655)</f>
        <v/>
      </c>
      <c r="AC851" s="1">
        <f>A851</f>
        <v/>
      </c>
      <c r="AD851">
        <f>IF(ISNUMBER(V851),V851*($AB$1/V$2635),"")</f>
        <v/>
      </c>
      <c r="AE851">
        <f>IF(ISNUMBER(Z851),Z851*($AB$1/Z$2635),"")</f>
        <v/>
      </c>
      <c r="AF851" s="25">
        <f>IF(ISNUMBER(AD851+AE851),AD851+AE851,"")</f>
        <v/>
      </c>
      <c r="AH851" s="1">
        <f>A851</f>
        <v/>
      </c>
      <c r="AI851">
        <f>IF(ISNUMBER((1+V851)*AI850),(1+V851)*AI850,AI850)</f>
        <v/>
      </c>
      <c r="AJ851">
        <f>IF(ISNUMBER((1+Z851)*AJ850),(1+Z851)*AJ850,AJ850)</f>
        <v/>
      </c>
    </row>
    <row r="852">
      <c r="A852" s="1" t="n">
        <v>43238</v>
      </c>
      <c r="B852" s="3">
        <f>IF(ORIG!B852=0,"",ORIG!B852)</f>
        <v/>
      </c>
      <c r="C852" s="3">
        <f>IF(ORIG!C852=0,"",ORIG!C852)</f>
        <v/>
      </c>
      <c r="D852" s="3">
        <f>IF(ORIG!D852=0,"",ORIG!D852)</f>
        <v/>
      </c>
      <c r="E852" s="3">
        <f>IF(ORIG!E852=0,"",ORIG!E852)</f>
        <v/>
      </c>
      <c r="F852" s="3">
        <f>IF(ORIG!F852=0,"",ORIG!F852)</f>
        <v/>
      </c>
      <c r="G852" s="3">
        <f>IF(ORIG!G852=0,"",ORIG!G852)</f>
        <v/>
      </c>
      <c r="H852" s="3">
        <f>IF(ORIG!H852=0,"",ORIG!H852)</f>
        <v/>
      </c>
      <c r="I852" s="3">
        <f>IF(ORIG!I852=0,"",ORIG!I852)</f>
        <v/>
      </c>
      <c r="J852" s="3">
        <f>IF(ORIG!J852=0,"",ORIG!J852)</f>
        <v/>
      </c>
      <c r="K852" s="3">
        <f>IF(ORIG!K852=0,"",ORIG!K852)</f>
        <v/>
      </c>
      <c r="L852" s="3">
        <f>IF(ORIG!L852=0,"",ORIG!L852)</f>
        <v/>
      </c>
      <c r="M852" s="3">
        <f>IF(ORIG!M852=0,"",ORIG!M852)</f>
        <v/>
      </c>
      <c r="N852" s="3">
        <f>IF(ORIG!N852=0,"",ORIG!N852)</f>
        <v/>
      </c>
      <c r="O852" s="3">
        <f>IF(ORIG!O852=0,"",ORIG!O852)</f>
        <v/>
      </c>
      <c r="P852" s="3">
        <f>IF(ORIG!P852=0,"",ORIG!P852)</f>
        <v/>
      </c>
      <c r="Q852" s="3">
        <f>IF(ORIG!Q852=0,"",ORIG!Q852)</f>
        <v/>
      </c>
      <c r="R852" s="3">
        <f>IF(ORIG!R852=0,"",ORIG!R852)</f>
        <v/>
      </c>
      <c r="S852" s="3">
        <f>IF(ORIG!S852=0,"",ORIG!S852)</f>
        <v/>
      </c>
      <c r="T852" s="3">
        <f>IF(ORIG!T852=0,"",ORIG!T852)</f>
        <v/>
      </c>
      <c r="U852" s="3">
        <f>IF(ORIG!U852=0,"",ORIG!U852)</f>
        <v/>
      </c>
      <c r="V852" s="9">
        <f>IF(ORIG!V852=0,"",ORIG!V852)</f>
        <v/>
      </c>
      <c r="W852" s="9">
        <f>IF(ORIG!W852=0,"",ORIG!W852)</f>
        <v/>
      </c>
      <c r="X852" s="9">
        <f>IF(ORIG!X852=0,"",ORIG!X852)</f>
        <v/>
      </c>
      <c r="Y852" s="9">
        <f>IF(ORIG!Y852=0,"",ORIG!Y852)</f>
        <v/>
      </c>
      <c r="Z852" s="3">
        <f>SUMPRODUCT($B852:$Y852,$B$2649:$Y$2649)</f>
        <v/>
      </c>
      <c r="AA852" s="3">
        <f>SUMPRODUCT($B852:$Y852,$B$2655:$Y$2655)</f>
        <v/>
      </c>
      <c r="AC852" s="1">
        <f>A852</f>
        <v/>
      </c>
      <c r="AD852">
        <f>IF(ISNUMBER(V852),V852*($AB$1/V$2635),"")</f>
        <v/>
      </c>
      <c r="AE852">
        <f>IF(ISNUMBER(Z852),Z852*($AB$1/Z$2635),"")</f>
        <v/>
      </c>
      <c r="AF852" s="25">
        <f>IF(ISNUMBER(AD852+AE852),AD852+AE852,"")</f>
        <v/>
      </c>
      <c r="AH852" s="1">
        <f>A852</f>
        <v/>
      </c>
      <c r="AI852">
        <f>IF(ISNUMBER((1+V852)*AI851),(1+V852)*AI851,AI851)</f>
        <v/>
      </c>
      <c r="AJ852">
        <f>IF(ISNUMBER((1+Z852)*AJ851),(1+Z852)*AJ851,AJ851)</f>
        <v/>
      </c>
    </row>
    <row r="853">
      <c r="A853" s="1" t="n">
        <v>43241</v>
      </c>
      <c r="B853" s="3">
        <f>IF(ORIG!B853=0,"",ORIG!B853)</f>
        <v/>
      </c>
      <c r="C853" s="3">
        <f>IF(ORIG!C853=0,"",ORIG!C853)</f>
        <v/>
      </c>
      <c r="D853" s="3">
        <f>IF(ORIG!D853=0,"",ORIG!D853)</f>
        <v/>
      </c>
      <c r="E853" s="3">
        <f>IF(ORIG!E853=0,"",ORIG!E853)</f>
        <v/>
      </c>
      <c r="F853" s="3">
        <f>IF(ORIG!F853=0,"",ORIG!F853)</f>
        <v/>
      </c>
      <c r="G853" s="3">
        <f>IF(ORIG!G853=0,"",ORIG!G853)</f>
        <v/>
      </c>
      <c r="H853" s="3">
        <f>IF(ORIG!H853=0,"",ORIG!H853)</f>
        <v/>
      </c>
      <c r="I853" s="3">
        <f>IF(ORIG!I853=0,"",ORIG!I853)</f>
        <v/>
      </c>
      <c r="J853" s="3">
        <f>IF(ORIG!J853=0,"",ORIG!J853)</f>
        <v/>
      </c>
      <c r="K853" s="3">
        <f>IF(ORIG!K853=0,"",ORIG!K853)</f>
        <v/>
      </c>
      <c r="L853" s="3">
        <f>IF(ORIG!L853=0,"",ORIG!L853)</f>
        <v/>
      </c>
      <c r="M853" s="3">
        <f>IF(ORIG!M853=0,"",ORIG!M853)</f>
        <v/>
      </c>
      <c r="N853" s="3">
        <f>IF(ORIG!N853=0,"",ORIG!N853)</f>
        <v/>
      </c>
      <c r="O853" s="3">
        <f>IF(ORIG!O853=0,"",ORIG!O853)</f>
        <v/>
      </c>
      <c r="P853" s="3">
        <f>IF(ORIG!P853=0,"",ORIG!P853)</f>
        <v/>
      </c>
      <c r="Q853" s="3">
        <f>IF(ORIG!Q853=0,"",ORIG!Q853)</f>
        <v/>
      </c>
      <c r="R853" s="3">
        <f>IF(ORIG!R853=0,"",ORIG!R853)</f>
        <v/>
      </c>
      <c r="S853" s="3">
        <f>IF(ORIG!S853=0,"",ORIG!S853)</f>
        <v/>
      </c>
      <c r="T853" s="3">
        <f>IF(ORIG!T853=0,"",ORIG!T853)</f>
        <v/>
      </c>
      <c r="U853" s="3">
        <f>IF(ORIG!U853=0,"",ORIG!U853)</f>
        <v/>
      </c>
      <c r="V853" s="9">
        <f>IF(ORIG!V853=0,"",ORIG!V853)</f>
        <v/>
      </c>
      <c r="W853" s="9">
        <f>IF(ORIG!W853=0,"",ORIG!W853)</f>
        <v/>
      </c>
      <c r="X853" s="9">
        <f>IF(ORIG!X853=0,"",ORIG!X853)</f>
        <v/>
      </c>
      <c r="Y853" s="9">
        <f>IF(ORIG!Y853=0,"",ORIG!Y853)</f>
        <v/>
      </c>
      <c r="Z853" s="3">
        <f>SUMPRODUCT($B853:$Y853,$B$2649:$Y$2649)</f>
        <v/>
      </c>
      <c r="AA853" s="3">
        <f>SUMPRODUCT($B853:$Y853,$B$2655:$Y$2655)</f>
        <v/>
      </c>
      <c r="AC853" s="1">
        <f>A853</f>
        <v/>
      </c>
      <c r="AD853">
        <f>IF(ISNUMBER(V853),V853*($AB$1/V$2635),"")</f>
        <v/>
      </c>
      <c r="AE853">
        <f>IF(ISNUMBER(Z853),Z853*($AB$1/Z$2635),"")</f>
        <v/>
      </c>
      <c r="AF853" s="25">
        <f>IF(ISNUMBER(AD853+AE853),AD853+AE853,"")</f>
        <v/>
      </c>
      <c r="AH853" s="1">
        <f>A853</f>
        <v/>
      </c>
      <c r="AI853">
        <f>IF(ISNUMBER((1+V853)*AI852),(1+V853)*AI852,AI852)</f>
        <v/>
      </c>
      <c r="AJ853">
        <f>IF(ISNUMBER((1+Z853)*AJ852),(1+Z853)*AJ852,AJ852)</f>
        <v/>
      </c>
    </row>
    <row r="854">
      <c r="A854" s="1" t="n">
        <v>43242</v>
      </c>
      <c r="B854" s="3">
        <f>IF(ORIG!B854=0,"",ORIG!B854)</f>
        <v/>
      </c>
      <c r="C854" s="3">
        <f>IF(ORIG!C854=0,"",ORIG!C854)</f>
        <v/>
      </c>
      <c r="D854" s="3">
        <f>IF(ORIG!D854=0,"",ORIG!D854)</f>
        <v/>
      </c>
      <c r="E854" s="3">
        <f>IF(ORIG!E854=0,"",ORIG!E854)</f>
        <v/>
      </c>
      <c r="F854" s="3">
        <f>IF(ORIG!F854=0,"",ORIG!F854)</f>
        <v/>
      </c>
      <c r="G854" s="3">
        <f>IF(ORIG!G854=0,"",ORIG!G854)</f>
        <v/>
      </c>
      <c r="H854" s="3">
        <f>IF(ORIG!H854=0,"",ORIG!H854)</f>
        <v/>
      </c>
      <c r="I854" s="3">
        <f>IF(ORIG!I854=0,"",ORIG!I854)</f>
        <v/>
      </c>
      <c r="J854" s="3">
        <f>IF(ORIG!J854=0,"",ORIG!J854)</f>
        <v/>
      </c>
      <c r="K854" s="3">
        <f>IF(ORIG!K854=0,"",ORIG!K854)</f>
        <v/>
      </c>
      <c r="L854" s="3">
        <f>IF(ORIG!L854=0,"",ORIG!L854)</f>
        <v/>
      </c>
      <c r="M854" s="3">
        <f>IF(ORIG!M854=0,"",ORIG!M854)</f>
        <v/>
      </c>
      <c r="N854" s="3">
        <f>IF(ORIG!N854=0,"",ORIG!N854)</f>
        <v/>
      </c>
      <c r="O854" s="3">
        <f>IF(ORIG!O854=0,"",ORIG!O854)</f>
        <v/>
      </c>
      <c r="P854" s="3">
        <f>IF(ORIG!P854=0,"",ORIG!P854)</f>
        <v/>
      </c>
      <c r="Q854" s="3">
        <f>IF(ORIG!Q854=0,"",ORIG!Q854)</f>
        <v/>
      </c>
      <c r="R854" s="3">
        <f>IF(ORIG!R854=0,"",ORIG!R854)</f>
        <v/>
      </c>
      <c r="S854" s="3">
        <f>IF(ORIG!S854=0,"",ORIG!S854)</f>
        <v/>
      </c>
      <c r="T854" s="3">
        <f>IF(ORIG!T854=0,"",ORIG!T854)</f>
        <v/>
      </c>
      <c r="U854" s="3">
        <f>IF(ORIG!U854=0,"",ORIG!U854)</f>
        <v/>
      </c>
      <c r="V854" s="9">
        <f>IF(ORIG!V854=0,"",ORIG!V854)</f>
        <v/>
      </c>
      <c r="W854" s="9">
        <f>IF(ORIG!W854=0,"",ORIG!W854)</f>
        <v/>
      </c>
      <c r="X854" s="9">
        <f>IF(ORIG!X854=0,"",ORIG!X854)</f>
        <v/>
      </c>
      <c r="Y854" s="9">
        <f>IF(ORIG!Y854=0,"",ORIG!Y854)</f>
        <v/>
      </c>
      <c r="Z854" s="3">
        <f>SUMPRODUCT($B854:$Y854,$B$2649:$Y$2649)</f>
        <v/>
      </c>
      <c r="AA854" s="3">
        <f>SUMPRODUCT($B854:$Y854,$B$2655:$Y$2655)</f>
        <v/>
      </c>
      <c r="AC854" s="1">
        <f>A854</f>
        <v/>
      </c>
      <c r="AD854">
        <f>IF(ISNUMBER(V854),V854*($AB$1/V$2635),"")</f>
        <v/>
      </c>
      <c r="AE854">
        <f>IF(ISNUMBER(Z854),Z854*($AB$1/Z$2635),"")</f>
        <v/>
      </c>
      <c r="AF854" s="25">
        <f>IF(ISNUMBER(AD854+AE854),AD854+AE854,"")</f>
        <v/>
      </c>
      <c r="AH854" s="1">
        <f>A854</f>
        <v/>
      </c>
      <c r="AI854">
        <f>IF(ISNUMBER((1+V854)*AI853),(1+V854)*AI853,AI853)</f>
        <v/>
      </c>
      <c r="AJ854">
        <f>IF(ISNUMBER((1+Z854)*AJ853),(1+Z854)*AJ853,AJ853)</f>
        <v/>
      </c>
    </row>
    <row r="855">
      <c r="A855" s="1" t="n">
        <v>43243</v>
      </c>
      <c r="B855" s="3">
        <f>IF(ORIG!B855=0,"",ORIG!B855)</f>
        <v/>
      </c>
      <c r="C855" s="3">
        <f>IF(ORIG!C855=0,"",ORIG!C855)</f>
        <v/>
      </c>
      <c r="D855" s="3">
        <f>IF(ORIG!D855=0,"",ORIG!D855)</f>
        <v/>
      </c>
      <c r="E855" s="3">
        <f>IF(ORIG!E855=0,"",ORIG!E855)</f>
        <v/>
      </c>
      <c r="F855" s="3">
        <f>IF(ORIG!F855=0,"",ORIG!F855)</f>
        <v/>
      </c>
      <c r="G855" s="3">
        <f>IF(ORIG!G855=0,"",ORIG!G855)</f>
        <v/>
      </c>
      <c r="H855" s="3">
        <f>IF(ORIG!H855=0,"",ORIG!H855)</f>
        <v/>
      </c>
      <c r="I855" s="3">
        <f>IF(ORIG!I855=0,"",ORIG!I855)</f>
        <v/>
      </c>
      <c r="J855" s="3">
        <f>IF(ORIG!J855=0,"",ORIG!J855)</f>
        <v/>
      </c>
      <c r="K855" s="3">
        <f>IF(ORIG!K855=0,"",ORIG!K855)</f>
        <v/>
      </c>
      <c r="L855" s="3">
        <f>IF(ORIG!L855=0,"",ORIG!L855)</f>
        <v/>
      </c>
      <c r="M855" s="3">
        <f>IF(ORIG!M855=0,"",ORIG!M855)</f>
        <v/>
      </c>
      <c r="N855" s="3">
        <f>IF(ORIG!N855=0,"",ORIG!N855)</f>
        <v/>
      </c>
      <c r="O855" s="3">
        <f>IF(ORIG!O855=0,"",ORIG!O855)</f>
        <v/>
      </c>
      <c r="P855" s="3">
        <f>IF(ORIG!P855=0,"",ORIG!P855)</f>
        <v/>
      </c>
      <c r="Q855" s="3">
        <f>IF(ORIG!Q855=0,"",ORIG!Q855)</f>
        <v/>
      </c>
      <c r="R855" s="3">
        <f>IF(ORIG!R855=0,"",ORIG!R855)</f>
        <v/>
      </c>
      <c r="S855" s="3">
        <f>IF(ORIG!S855=0,"",ORIG!S855)</f>
        <v/>
      </c>
      <c r="T855" s="3">
        <f>IF(ORIG!T855=0,"",ORIG!T855)</f>
        <v/>
      </c>
      <c r="U855" s="3">
        <f>IF(ORIG!U855=0,"",ORIG!U855)</f>
        <v/>
      </c>
      <c r="V855" s="9">
        <f>IF(ORIG!V855=0,"",ORIG!V855)</f>
        <v/>
      </c>
      <c r="W855" s="9">
        <f>IF(ORIG!W855=0,"",ORIG!W855)</f>
        <v/>
      </c>
      <c r="X855" s="9">
        <f>IF(ORIG!X855=0,"",ORIG!X855)</f>
        <v/>
      </c>
      <c r="Y855" s="9">
        <f>IF(ORIG!Y855=0,"",ORIG!Y855)</f>
        <v/>
      </c>
      <c r="Z855" s="3">
        <f>SUMPRODUCT($B855:$Y855,$B$2649:$Y$2649)</f>
        <v/>
      </c>
      <c r="AA855" s="3">
        <f>SUMPRODUCT($B855:$Y855,$B$2655:$Y$2655)</f>
        <v/>
      </c>
      <c r="AC855" s="1">
        <f>A855</f>
        <v/>
      </c>
      <c r="AD855">
        <f>IF(ISNUMBER(V855),V855*($AB$1/V$2635),"")</f>
        <v/>
      </c>
      <c r="AE855">
        <f>IF(ISNUMBER(Z855),Z855*($AB$1/Z$2635),"")</f>
        <v/>
      </c>
      <c r="AF855" s="25">
        <f>IF(ISNUMBER(AD855+AE855),AD855+AE855,"")</f>
        <v/>
      </c>
      <c r="AH855" s="1">
        <f>A855</f>
        <v/>
      </c>
      <c r="AI855">
        <f>IF(ISNUMBER((1+V855)*AI854),(1+V855)*AI854,AI854)</f>
        <v/>
      </c>
      <c r="AJ855">
        <f>IF(ISNUMBER((1+Z855)*AJ854),(1+Z855)*AJ854,AJ854)</f>
        <v/>
      </c>
    </row>
    <row r="856">
      <c r="A856" s="1" t="n">
        <v>43244</v>
      </c>
      <c r="B856" s="3">
        <f>IF(ORIG!B856=0,"",ORIG!B856)</f>
        <v/>
      </c>
      <c r="C856" s="3">
        <f>IF(ORIG!C856=0,"",ORIG!C856)</f>
        <v/>
      </c>
      <c r="D856" s="3">
        <f>IF(ORIG!D856=0,"",ORIG!D856)</f>
        <v/>
      </c>
      <c r="E856" s="3">
        <f>IF(ORIG!E856=0,"",ORIG!E856)</f>
        <v/>
      </c>
      <c r="F856" s="3">
        <f>IF(ORIG!F856=0,"",ORIG!F856)</f>
        <v/>
      </c>
      <c r="G856" s="3">
        <f>IF(ORIG!G856=0,"",ORIG!G856)</f>
        <v/>
      </c>
      <c r="H856" s="3">
        <f>IF(ORIG!H856=0,"",ORIG!H856)</f>
        <v/>
      </c>
      <c r="I856" s="3">
        <f>IF(ORIG!I856=0,"",ORIG!I856)</f>
        <v/>
      </c>
      <c r="J856" s="3">
        <f>IF(ORIG!J856=0,"",ORIG!J856)</f>
        <v/>
      </c>
      <c r="K856" s="3">
        <f>IF(ORIG!K856=0,"",ORIG!K856)</f>
        <v/>
      </c>
      <c r="L856" s="3">
        <f>IF(ORIG!L856=0,"",ORIG!L856)</f>
        <v/>
      </c>
      <c r="M856" s="3">
        <f>IF(ORIG!M856=0,"",ORIG!M856)</f>
        <v/>
      </c>
      <c r="N856" s="3">
        <f>IF(ORIG!N856=0,"",ORIG!N856)</f>
        <v/>
      </c>
      <c r="O856" s="3">
        <f>IF(ORIG!O856=0,"",ORIG!O856)</f>
        <v/>
      </c>
      <c r="P856" s="3">
        <f>IF(ORIG!P856=0,"",ORIG!P856)</f>
        <v/>
      </c>
      <c r="Q856" s="3">
        <f>IF(ORIG!Q856=0,"",ORIG!Q856)</f>
        <v/>
      </c>
      <c r="R856" s="3">
        <f>IF(ORIG!R856=0,"",ORIG!R856)</f>
        <v/>
      </c>
      <c r="S856" s="3">
        <f>IF(ORIG!S856=0,"",ORIG!S856)</f>
        <v/>
      </c>
      <c r="T856" s="3">
        <f>IF(ORIG!T856=0,"",ORIG!T856)</f>
        <v/>
      </c>
      <c r="U856" s="3">
        <f>IF(ORIG!U856=0,"",ORIG!U856)</f>
        <v/>
      </c>
      <c r="V856" s="9">
        <f>IF(ORIG!V856=0,"",ORIG!V856)</f>
        <v/>
      </c>
      <c r="W856" s="9">
        <f>IF(ORIG!W856=0,"",ORIG!W856)</f>
        <v/>
      </c>
      <c r="X856" s="9">
        <f>IF(ORIG!X856=0,"",ORIG!X856)</f>
        <v/>
      </c>
      <c r="Y856" s="9">
        <f>IF(ORIG!Y856=0,"",ORIG!Y856)</f>
        <v/>
      </c>
      <c r="Z856" s="3">
        <f>SUMPRODUCT($B856:$Y856,$B$2649:$Y$2649)</f>
        <v/>
      </c>
      <c r="AA856" s="3">
        <f>SUMPRODUCT($B856:$Y856,$B$2655:$Y$2655)</f>
        <v/>
      </c>
      <c r="AC856" s="1">
        <f>A856</f>
        <v/>
      </c>
      <c r="AD856">
        <f>IF(ISNUMBER(V856),V856*($AB$1/V$2635),"")</f>
        <v/>
      </c>
      <c r="AE856">
        <f>IF(ISNUMBER(Z856),Z856*($AB$1/Z$2635),"")</f>
        <v/>
      </c>
      <c r="AF856" s="25">
        <f>IF(ISNUMBER(AD856+AE856),AD856+AE856,"")</f>
        <v/>
      </c>
      <c r="AH856" s="1">
        <f>A856</f>
        <v/>
      </c>
      <c r="AI856">
        <f>IF(ISNUMBER((1+V856)*AI855),(1+V856)*AI855,AI855)</f>
        <v/>
      </c>
      <c r="AJ856">
        <f>IF(ISNUMBER((1+Z856)*AJ855),(1+Z856)*AJ855,AJ855)</f>
        <v/>
      </c>
    </row>
    <row r="857">
      <c r="A857" s="1" t="n">
        <v>43245</v>
      </c>
      <c r="B857" s="3">
        <f>IF(ORIG!B857=0,"",ORIG!B857)</f>
        <v/>
      </c>
      <c r="C857" s="3">
        <f>IF(ORIG!C857=0,"",ORIG!C857)</f>
        <v/>
      </c>
      <c r="D857" s="3">
        <f>IF(ORIG!D857=0,"",ORIG!D857)</f>
        <v/>
      </c>
      <c r="E857" s="3">
        <f>IF(ORIG!E857=0,"",ORIG!E857)</f>
        <v/>
      </c>
      <c r="F857" s="3">
        <f>IF(ORIG!F857=0,"",ORIG!F857)</f>
        <v/>
      </c>
      <c r="G857" s="3">
        <f>IF(ORIG!G857=0,"",ORIG!G857)</f>
        <v/>
      </c>
      <c r="H857" s="3">
        <f>IF(ORIG!H857=0,"",ORIG!H857)</f>
        <v/>
      </c>
      <c r="I857" s="3">
        <f>IF(ORIG!I857=0,"",ORIG!I857)</f>
        <v/>
      </c>
      <c r="J857" s="3">
        <f>IF(ORIG!J857=0,"",ORIG!J857)</f>
        <v/>
      </c>
      <c r="K857" s="3">
        <f>IF(ORIG!K857=0,"",ORIG!K857)</f>
        <v/>
      </c>
      <c r="L857" s="3">
        <f>IF(ORIG!L857=0,"",ORIG!L857)</f>
        <v/>
      </c>
      <c r="M857" s="3">
        <f>IF(ORIG!M857=0,"",ORIG!M857)</f>
        <v/>
      </c>
      <c r="N857" s="3">
        <f>IF(ORIG!N857=0,"",ORIG!N857)</f>
        <v/>
      </c>
      <c r="O857" s="3">
        <f>IF(ORIG!O857=0,"",ORIG!O857)</f>
        <v/>
      </c>
      <c r="P857" s="3">
        <f>IF(ORIG!P857=0,"",ORIG!P857)</f>
        <v/>
      </c>
      <c r="Q857" s="3">
        <f>IF(ORIG!Q857=0,"",ORIG!Q857)</f>
        <v/>
      </c>
      <c r="R857" s="3">
        <f>IF(ORIG!R857=0,"",ORIG!R857)</f>
        <v/>
      </c>
      <c r="S857" s="3">
        <f>IF(ORIG!S857=0,"",ORIG!S857)</f>
        <v/>
      </c>
      <c r="T857" s="3">
        <f>IF(ORIG!T857=0,"",ORIG!T857)</f>
        <v/>
      </c>
      <c r="U857" s="3">
        <f>IF(ORIG!U857=0,"",ORIG!U857)</f>
        <v/>
      </c>
      <c r="V857" s="9">
        <f>IF(ORIG!V857=0,"",ORIG!V857)</f>
        <v/>
      </c>
      <c r="W857" s="9">
        <f>IF(ORIG!W857=0,"",ORIG!W857)</f>
        <v/>
      </c>
      <c r="X857" s="9">
        <f>IF(ORIG!X857=0,"",ORIG!X857)</f>
        <v/>
      </c>
      <c r="Y857" s="9">
        <f>IF(ORIG!Y857=0,"",ORIG!Y857)</f>
        <v/>
      </c>
      <c r="Z857" s="3">
        <f>SUMPRODUCT($B857:$Y857,$B$2649:$Y$2649)</f>
        <v/>
      </c>
      <c r="AA857" s="3">
        <f>SUMPRODUCT($B857:$Y857,$B$2655:$Y$2655)</f>
        <v/>
      </c>
      <c r="AC857" s="1">
        <f>A857</f>
        <v/>
      </c>
      <c r="AD857">
        <f>IF(ISNUMBER(V857),V857*($AB$1/V$2635),"")</f>
        <v/>
      </c>
      <c r="AE857">
        <f>IF(ISNUMBER(Z857),Z857*($AB$1/Z$2635),"")</f>
        <v/>
      </c>
      <c r="AF857" s="25">
        <f>IF(ISNUMBER(AD857+AE857),AD857+AE857,"")</f>
        <v/>
      </c>
      <c r="AH857" s="1">
        <f>A857</f>
        <v/>
      </c>
      <c r="AI857">
        <f>IF(ISNUMBER((1+V857)*AI856),(1+V857)*AI856,AI856)</f>
        <v/>
      </c>
      <c r="AJ857">
        <f>IF(ISNUMBER((1+Z857)*AJ856),(1+Z857)*AJ856,AJ856)</f>
        <v/>
      </c>
    </row>
    <row r="858">
      <c r="A858" s="1" t="n">
        <v>43249</v>
      </c>
      <c r="B858" s="3">
        <f>IF(ORIG!B858=0,"",ORIG!B858)</f>
        <v/>
      </c>
      <c r="C858" s="3">
        <f>IF(ORIG!C858=0,"",ORIG!C858)</f>
        <v/>
      </c>
      <c r="D858" s="3">
        <f>IF(ORIG!D858=0,"",ORIG!D858)</f>
        <v/>
      </c>
      <c r="E858" s="3">
        <f>IF(ORIG!E858=0,"",ORIG!E858)</f>
        <v/>
      </c>
      <c r="F858" s="3">
        <f>IF(ORIG!F858=0,"",ORIG!F858)</f>
        <v/>
      </c>
      <c r="G858" s="3">
        <f>IF(ORIG!G858=0,"",ORIG!G858)</f>
        <v/>
      </c>
      <c r="H858" s="3">
        <f>IF(ORIG!H858=0,"",ORIG!H858)</f>
        <v/>
      </c>
      <c r="I858" s="3">
        <f>IF(ORIG!I858=0,"",ORIG!I858)</f>
        <v/>
      </c>
      <c r="J858" s="3">
        <f>IF(ORIG!J858=0,"",ORIG!J858)</f>
        <v/>
      </c>
      <c r="K858" s="3">
        <f>IF(ORIG!K858=0,"",ORIG!K858)</f>
        <v/>
      </c>
      <c r="L858" s="3">
        <f>IF(ORIG!L858=0,"",ORIG!L858)</f>
        <v/>
      </c>
      <c r="M858" s="3">
        <f>IF(ORIG!M858=0,"",ORIG!M858)</f>
        <v/>
      </c>
      <c r="N858" s="3">
        <f>IF(ORIG!N858=0,"",ORIG!N858)</f>
        <v/>
      </c>
      <c r="O858" s="3">
        <f>IF(ORIG!O858=0,"",ORIG!O858)</f>
        <v/>
      </c>
      <c r="P858" s="3">
        <f>IF(ORIG!P858=0,"",ORIG!P858)</f>
        <v/>
      </c>
      <c r="Q858" s="3">
        <f>IF(ORIG!Q858=0,"",ORIG!Q858)</f>
        <v/>
      </c>
      <c r="R858" s="3">
        <f>IF(ORIG!R858=0,"",ORIG!R858)</f>
        <v/>
      </c>
      <c r="S858" s="3">
        <f>IF(ORIG!S858=0,"",ORIG!S858)</f>
        <v/>
      </c>
      <c r="T858" s="3">
        <f>IF(ORIG!T858=0,"",ORIG!T858)</f>
        <v/>
      </c>
      <c r="U858" s="3">
        <f>IF(ORIG!U858=0,"",ORIG!U858)</f>
        <v/>
      </c>
      <c r="V858" s="9">
        <f>IF(ORIG!V858=0,"",ORIG!V858)</f>
        <v/>
      </c>
      <c r="W858" s="9">
        <f>IF(ORIG!W858=0,"",ORIG!W858)</f>
        <v/>
      </c>
      <c r="X858" s="9">
        <f>IF(ORIG!X858=0,"",ORIG!X858)</f>
        <v/>
      </c>
      <c r="Y858" s="9">
        <f>IF(ORIG!Y858=0,"",ORIG!Y858)</f>
        <v/>
      </c>
      <c r="Z858" s="3">
        <f>SUMPRODUCT($B858:$Y858,$B$2649:$Y$2649)</f>
        <v/>
      </c>
      <c r="AA858" s="3">
        <f>SUMPRODUCT($B858:$Y858,$B$2655:$Y$2655)</f>
        <v/>
      </c>
      <c r="AC858" s="1">
        <f>A858</f>
        <v/>
      </c>
      <c r="AD858">
        <f>IF(ISNUMBER(V858),V858*($AB$1/V$2635),"")</f>
        <v/>
      </c>
      <c r="AE858">
        <f>IF(ISNUMBER(Z858),Z858*($AB$1/Z$2635),"")</f>
        <v/>
      </c>
      <c r="AF858" s="25">
        <f>IF(ISNUMBER(AD858+AE858),AD858+AE858,"")</f>
        <v/>
      </c>
      <c r="AH858" s="1">
        <f>A858</f>
        <v/>
      </c>
      <c r="AI858">
        <f>IF(ISNUMBER((1+V858)*AI857),(1+V858)*AI857,AI857)</f>
        <v/>
      </c>
      <c r="AJ858">
        <f>IF(ISNUMBER((1+Z858)*AJ857),(1+Z858)*AJ857,AJ857)</f>
        <v/>
      </c>
    </row>
    <row r="859">
      <c r="A859" s="1" t="n">
        <v>43250</v>
      </c>
      <c r="B859" s="3">
        <f>IF(ORIG!B859=0,"",ORIG!B859)</f>
        <v/>
      </c>
      <c r="C859" s="3">
        <f>IF(ORIG!C859=0,"",ORIG!C859)</f>
        <v/>
      </c>
      <c r="D859" s="3">
        <f>IF(ORIG!D859=0,"",ORIG!D859)</f>
        <v/>
      </c>
      <c r="E859" s="3">
        <f>IF(ORIG!E859=0,"",ORIG!E859)</f>
        <v/>
      </c>
      <c r="F859" s="3">
        <f>IF(ORIG!F859=0,"",ORIG!F859)</f>
        <v/>
      </c>
      <c r="G859" s="3">
        <f>IF(ORIG!G859=0,"",ORIG!G859)</f>
        <v/>
      </c>
      <c r="H859" s="3">
        <f>IF(ORIG!H859=0,"",ORIG!H859)</f>
        <v/>
      </c>
      <c r="I859" s="3">
        <f>IF(ORIG!I859=0,"",ORIG!I859)</f>
        <v/>
      </c>
      <c r="J859" s="3">
        <f>IF(ORIG!J859=0,"",ORIG!J859)</f>
        <v/>
      </c>
      <c r="K859" s="3">
        <f>IF(ORIG!K859=0,"",ORIG!K859)</f>
        <v/>
      </c>
      <c r="L859" s="3">
        <f>IF(ORIG!L859=0,"",ORIG!L859)</f>
        <v/>
      </c>
      <c r="M859" s="3">
        <f>IF(ORIG!M859=0,"",ORIG!M859)</f>
        <v/>
      </c>
      <c r="N859" s="3">
        <f>IF(ORIG!N859=0,"",ORIG!N859)</f>
        <v/>
      </c>
      <c r="O859" s="3">
        <f>IF(ORIG!O859=0,"",ORIG!O859)</f>
        <v/>
      </c>
      <c r="P859" s="3">
        <f>IF(ORIG!P859=0,"",ORIG!P859)</f>
        <v/>
      </c>
      <c r="Q859" s="3">
        <f>IF(ORIG!Q859=0,"",ORIG!Q859)</f>
        <v/>
      </c>
      <c r="R859" s="3">
        <f>IF(ORIG!R859=0,"",ORIG!R859)</f>
        <v/>
      </c>
      <c r="S859" s="3">
        <f>IF(ORIG!S859=0,"",ORIG!S859)</f>
        <v/>
      </c>
      <c r="T859" s="3">
        <f>IF(ORIG!T859=0,"",ORIG!T859)</f>
        <v/>
      </c>
      <c r="U859" s="3">
        <f>IF(ORIG!U859=0,"",ORIG!U859)</f>
        <v/>
      </c>
      <c r="V859" s="9">
        <f>IF(ORIG!V859=0,"",ORIG!V859)</f>
        <v/>
      </c>
      <c r="W859" s="9">
        <f>IF(ORIG!W859=0,"",ORIG!W859)</f>
        <v/>
      </c>
      <c r="X859" s="9">
        <f>IF(ORIG!X859=0,"",ORIG!X859)</f>
        <v/>
      </c>
      <c r="Y859" s="9">
        <f>IF(ORIG!Y859=0,"",ORIG!Y859)</f>
        <v/>
      </c>
      <c r="Z859" s="3">
        <f>SUMPRODUCT($B859:$Y859,$B$2649:$Y$2649)</f>
        <v/>
      </c>
      <c r="AA859" s="3">
        <f>SUMPRODUCT($B859:$Y859,$B$2655:$Y$2655)</f>
        <v/>
      </c>
      <c r="AC859" s="1">
        <f>A859</f>
        <v/>
      </c>
      <c r="AD859">
        <f>IF(ISNUMBER(V859),V859*($AB$1/V$2635),"")</f>
        <v/>
      </c>
      <c r="AE859">
        <f>IF(ISNUMBER(Z859),Z859*($AB$1/Z$2635),"")</f>
        <v/>
      </c>
      <c r="AF859" s="25">
        <f>IF(ISNUMBER(AD859+AE859),AD859+AE859,"")</f>
        <v/>
      </c>
      <c r="AH859" s="1">
        <f>A859</f>
        <v/>
      </c>
      <c r="AI859">
        <f>IF(ISNUMBER((1+V859)*AI858),(1+V859)*AI858,AI858)</f>
        <v/>
      </c>
      <c r="AJ859">
        <f>IF(ISNUMBER((1+Z859)*AJ858),(1+Z859)*AJ858,AJ858)</f>
        <v/>
      </c>
    </row>
    <row r="860">
      <c r="A860" s="1" t="n">
        <v>43251</v>
      </c>
      <c r="B860" s="3">
        <f>IF(ORIG!B860=0,"",ORIG!B860)</f>
        <v/>
      </c>
      <c r="C860" s="3">
        <f>IF(ORIG!C860=0,"",ORIG!C860)</f>
        <v/>
      </c>
      <c r="D860" s="3">
        <f>IF(ORIG!D860=0,"",ORIG!D860)</f>
        <v/>
      </c>
      <c r="E860" s="3">
        <f>IF(ORIG!E860=0,"",ORIG!E860)</f>
        <v/>
      </c>
      <c r="F860" s="3">
        <f>IF(ORIG!F860=0,"",ORIG!F860)</f>
        <v/>
      </c>
      <c r="G860" s="3">
        <f>IF(ORIG!G860=0,"",ORIG!G860)</f>
        <v/>
      </c>
      <c r="H860" s="3">
        <f>IF(ORIG!H860=0,"",ORIG!H860)</f>
        <v/>
      </c>
      <c r="I860" s="3">
        <f>IF(ORIG!I860=0,"",ORIG!I860)</f>
        <v/>
      </c>
      <c r="J860" s="3">
        <f>IF(ORIG!J860=0,"",ORIG!J860)</f>
        <v/>
      </c>
      <c r="K860" s="3">
        <f>IF(ORIG!K860=0,"",ORIG!K860)</f>
        <v/>
      </c>
      <c r="L860" s="3">
        <f>IF(ORIG!L860=0,"",ORIG!L860)</f>
        <v/>
      </c>
      <c r="M860" s="3">
        <f>IF(ORIG!M860=0,"",ORIG!M860)</f>
        <v/>
      </c>
      <c r="N860" s="3">
        <f>IF(ORIG!N860=0,"",ORIG!N860)</f>
        <v/>
      </c>
      <c r="O860" s="3">
        <f>IF(ORIG!O860=0,"",ORIG!O860)</f>
        <v/>
      </c>
      <c r="P860" s="3">
        <f>IF(ORIG!P860=0,"",ORIG!P860)</f>
        <v/>
      </c>
      <c r="Q860" s="3">
        <f>IF(ORIG!Q860=0,"",ORIG!Q860)</f>
        <v/>
      </c>
      <c r="R860" s="3">
        <f>IF(ORIG!R860=0,"",ORIG!R860)</f>
        <v/>
      </c>
      <c r="S860" s="3">
        <f>IF(ORIG!S860=0,"",ORIG!S860)</f>
        <v/>
      </c>
      <c r="T860" s="3">
        <f>IF(ORIG!T860=0,"",ORIG!T860)</f>
        <v/>
      </c>
      <c r="U860" s="3">
        <f>IF(ORIG!U860=0,"",ORIG!U860)</f>
        <v/>
      </c>
      <c r="V860" s="9">
        <f>IF(ORIG!V860=0,"",ORIG!V860)</f>
        <v/>
      </c>
      <c r="W860" s="9">
        <f>IF(ORIG!W860=0,"",ORIG!W860)</f>
        <v/>
      </c>
      <c r="X860" s="9">
        <f>IF(ORIG!X860=0,"",ORIG!X860)</f>
        <v/>
      </c>
      <c r="Y860" s="9">
        <f>IF(ORIG!Y860=0,"",ORIG!Y860)</f>
        <v/>
      </c>
      <c r="Z860" s="3">
        <f>SUMPRODUCT($B860:$Y860,$B$2649:$Y$2649)</f>
        <v/>
      </c>
      <c r="AA860" s="3">
        <f>SUMPRODUCT($B860:$Y860,$B$2655:$Y$2655)</f>
        <v/>
      </c>
      <c r="AC860" s="1">
        <f>A860</f>
        <v/>
      </c>
      <c r="AD860">
        <f>IF(ISNUMBER(V860),V860*($AB$1/V$2635),"")</f>
        <v/>
      </c>
      <c r="AE860">
        <f>IF(ISNUMBER(Z860),Z860*($AB$1/Z$2635),"")</f>
        <v/>
      </c>
      <c r="AF860" s="25">
        <f>IF(ISNUMBER(AD860+AE860),AD860+AE860,"")</f>
        <v/>
      </c>
      <c r="AH860" s="1">
        <f>A860</f>
        <v/>
      </c>
      <c r="AI860">
        <f>IF(ISNUMBER((1+V860)*AI859),(1+V860)*AI859,AI859)</f>
        <v/>
      </c>
      <c r="AJ860">
        <f>IF(ISNUMBER((1+Z860)*AJ859),(1+Z860)*AJ859,AJ859)</f>
        <v/>
      </c>
    </row>
    <row r="861">
      <c r="A861" s="1" t="n">
        <v>43252</v>
      </c>
      <c r="B861" s="3">
        <f>IF(ORIG!B861=0,"",ORIG!B861)</f>
        <v/>
      </c>
      <c r="C861" s="3">
        <f>IF(ORIG!C861=0,"",ORIG!C861)</f>
        <v/>
      </c>
      <c r="D861" s="3">
        <f>IF(ORIG!D861=0,"",ORIG!D861)</f>
        <v/>
      </c>
      <c r="E861" s="3">
        <f>IF(ORIG!E861=0,"",ORIG!E861)</f>
        <v/>
      </c>
      <c r="F861" s="3">
        <f>IF(ORIG!F861=0,"",ORIG!F861)</f>
        <v/>
      </c>
      <c r="G861" s="3">
        <f>IF(ORIG!G861=0,"",ORIG!G861)</f>
        <v/>
      </c>
      <c r="H861" s="3">
        <f>IF(ORIG!H861=0,"",ORIG!H861)</f>
        <v/>
      </c>
      <c r="I861" s="3">
        <f>IF(ORIG!I861=0,"",ORIG!I861)</f>
        <v/>
      </c>
      <c r="J861" s="3">
        <f>IF(ORIG!J861=0,"",ORIG!J861)</f>
        <v/>
      </c>
      <c r="K861" s="3">
        <f>IF(ORIG!K861=0,"",ORIG!K861)</f>
        <v/>
      </c>
      <c r="L861" s="3">
        <f>IF(ORIG!L861=0,"",ORIG!L861)</f>
        <v/>
      </c>
      <c r="M861" s="3">
        <f>IF(ORIG!M861=0,"",ORIG!M861)</f>
        <v/>
      </c>
      <c r="N861" s="3">
        <f>IF(ORIG!N861=0,"",ORIG!N861)</f>
        <v/>
      </c>
      <c r="O861" s="3">
        <f>IF(ORIG!O861=0,"",ORIG!O861)</f>
        <v/>
      </c>
      <c r="P861" s="3">
        <f>IF(ORIG!P861=0,"",ORIG!P861)</f>
        <v/>
      </c>
      <c r="Q861" s="3">
        <f>IF(ORIG!Q861=0,"",ORIG!Q861)</f>
        <v/>
      </c>
      <c r="R861" s="3">
        <f>IF(ORIG!R861=0,"",ORIG!R861)</f>
        <v/>
      </c>
      <c r="S861" s="3">
        <f>IF(ORIG!S861=0,"",ORIG!S861)</f>
        <v/>
      </c>
      <c r="T861" s="3">
        <f>IF(ORIG!T861=0,"",ORIG!T861)</f>
        <v/>
      </c>
      <c r="U861" s="3">
        <f>IF(ORIG!U861=0,"",ORIG!U861)</f>
        <v/>
      </c>
      <c r="V861" s="9">
        <f>IF(ORIG!V861=0,"",ORIG!V861)</f>
        <v/>
      </c>
      <c r="W861" s="9">
        <f>IF(ORIG!W861=0,"",ORIG!W861)</f>
        <v/>
      </c>
      <c r="X861" s="9">
        <f>IF(ORIG!X861=0,"",ORIG!X861)</f>
        <v/>
      </c>
      <c r="Y861" s="9">
        <f>IF(ORIG!Y861=0,"",ORIG!Y861)</f>
        <v/>
      </c>
      <c r="Z861" s="3">
        <f>SUMPRODUCT($B861:$Y861,$B$2649:$Y$2649)</f>
        <v/>
      </c>
      <c r="AA861" s="3">
        <f>SUMPRODUCT($B861:$Y861,$B$2655:$Y$2655)</f>
        <v/>
      </c>
      <c r="AC861" s="1">
        <f>A861</f>
        <v/>
      </c>
      <c r="AD861">
        <f>IF(ISNUMBER(V861),V861*($AB$1/V$2635),"")</f>
        <v/>
      </c>
      <c r="AE861">
        <f>IF(ISNUMBER(Z861),Z861*($AB$1/Z$2635),"")</f>
        <v/>
      </c>
      <c r="AF861" s="25">
        <f>IF(ISNUMBER(AD861+AE861),AD861+AE861,"")</f>
        <v/>
      </c>
      <c r="AH861" s="1">
        <f>A861</f>
        <v/>
      </c>
      <c r="AI861">
        <f>IF(ISNUMBER((1+V861)*AI860),(1+V861)*AI860,AI860)</f>
        <v/>
      </c>
      <c r="AJ861">
        <f>IF(ISNUMBER((1+Z861)*AJ860),(1+Z861)*AJ860,AJ860)</f>
        <v/>
      </c>
    </row>
    <row r="862">
      <c r="A862" s="1" t="n">
        <v>43255</v>
      </c>
      <c r="B862" s="3">
        <f>IF(ORIG!B862=0,"",ORIG!B862)</f>
        <v/>
      </c>
      <c r="C862" s="3">
        <f>IF(ORIG!C862=0,"",ORIG!C862)</f>
        <v/>
      </c>
      <c r="D862" s="3">
        <f>IF(ORIG!D862=0,"",ORIG!D862)</f>
        <v/>
      </c>
      <c r="E862" s="3">
        <f>IF(ORIG!E862=0,"",ORIG!E862)</f>
        <v/>
      </c>
      <c r="F862" s="3">
        <f>IF(ORIG!F862=0,"",ORIG!F862)</f>
        <v/>
      </c>
      <c r="G862" s="3">
        <f>IF(ORIG!G862=0,"",ORIG!G862)</f>
        <v/>
      </c>
      <c r="H862" s="3">
        <f>IF(ORIG!H862=0,"",ORIG!H862)</f>
        <v/>
      </c>
      <c r="I862" s="3">
        <f>IF(ORIG!I862=0,"",ORIG!I862)</f>
        <v/>
      </c>
      <c r="J862" s="3">
        <f>IF(ORIG!J862=0,"",ORIG!J862)</f>
        <v/>
      </c>
      <c r="K862" s="3">
        <f>IF(ORIG!K862=0,"",ORIG!K862)</f>
        <v/>
      </c>
      <c r="L862" s="3">
        <f>IF(ORIG!L862=0,"",ORIG!L862)</f>
        <v/>
      </c>
      <c r="M862" s="3">
        <f>IF(ORIG!M862=0,"",ORIG!M862)</f>
        <v/>
      </c>
      <c r="N862" s="3">
        <f>IF(ORIG!N862=0,"",ORIG!N862)</f>
        <v/>
      </c>
      <c r="O862" s="3">
        <f>IF(ORIG!O862=0,"",ORIG!O862)</f>
        <v/>
      </c>
      <c r="P862" s="3">
        <f>IF(ORIG!P862=0,"",ORIG!P862)</f>
        <v/>
      </c>
      <c r="Q862" s="3">
        <f>IF(ORIG!Q862=0,"",ORIG!Q862)</f>
        <v/>
      </c>
      <c r="R862" s="3">
        <f>IF(ORIG!R862=0,"",ORIG!R862)</f>
        <v/>
      </c>
      <c r="S862" s="3">
        <f>IF(ORIG!S862=0,"",ORIG!S862)</f>
        <v/>
      </c>
      <c r="T862" s="3">
        <f>IF(ORIG!T862=0,"",ORIG!T862)</f>
        <v/>
      </c>
      <c r="U862" s="3">
        <f>IF(ORIG!U862=0,"",ORIG!U862)</f>
        <v/>
      </c>
      <c r="V862" s="9">
        <f>IF(ORIG!V862=0,"",ORIG!V862)</f>
        <v/>
      </c>
      <c r="W862" s="9">
        <f>IF(ORIG!W862=0,"",ORIG!W862)</f>
        <v/>
      </c>
      <c r="X862" s="9">
        <f>IF(ORIG!X862=0,"",ORIG!X862)</f>
        <v/>
      </c>
      <c r="Y862" s="9">
        <f>IF(ORIG!Y862=0,"",ORIG!Y862)</f>
        <v/>
      </c>
      <c r="Z862" s="3">
        <f>SUMPRODUCT($B862:$Y862,$B$2649:$Y$2649)</f>
        <v/>
      </c>
      <c r="AA862" s="3">
        <f>SUMPRODUCT($B862:$Y862,$B$2655:$Y$2655)</f>
        <v/>
      </c>
      <c r="AC862" s="1">
        <f>A862</f>
        <v/>
      </c>
      <c r="AD862">
        <f>IF(ISNUMBER(V862),V862*($AB$1/V$2635),"")</f>
        <v/>
      </c>
      <c r="AE862">
        <f>IF(ISNUMBER(Z862),Z862*($AB$1/Z$2635),"")</f>
        <v/>
      </c>
      <c r="AF862" s="25">
        <f>IF(ISNUMBER(AD862+AE862),AD862+AE862,"")</f>
        <v/>
      </c>
      <c r="AH862" s="1">
        <f>A862</f>
        <v/>
      </c>
      <c r="AI862">
        <f>IF(ISNUMBER((1+V862)*AI861),(1+V862)*AI861,AI861)</f>
        <v/>
      </c>
      <c r="AJ862">
        <f>IF(ISNUMBER((1+Z862)*AJ861),(1+Z862)*AJ861,AJ861)</f>
        <v/>
      </c>
    </row>
    <row r="863">
      <c r="A863" s="1" t="n">
        <v>43256</v>
      </c>
      <c r="B863" s="3">
        <f>IF(ORIG!B863=0,"",ORIG!B863)</f>
        <v/>
      </c>
      <c r="C863" s="3">
        <f>IF(ORIG!C863=0,"",ORIG!C863)</f>
        <v/>
      </c>
      <c r="D863" s="3">
        <f>IF(ORIG!D863=0,"",ORIG!D863)</f>
        <v/>
      </c>
      <c r="E863" s="3">
        <f>IF(ORIG!E863=0,"",ORIG!E863)</f>
        <v/>
      </c>
      <c r="F863" s="3">
        <f>IF(ORIG!F863=0,"",ORIG!F863)</f>
        <v/>
      </c>
      <c r="G863" s="3">
        <f>IF(ORIG!G863=0,"",ORIG!G863)</f>
        <v/>
      </c>
      <c r="H863" s="3">
        <f>IF(ORIG!H863=0,"",ORIG!H863)</f>
        <v/>
      </c>
      <c r="I863" s="3">
        <f>IF(ORIG!I863=0,"",ORIG!I863)</f>
        <v/>
      </c>
      <c r="J863" s="3">
        <f>IF(ORIG!J863=0,"",ORIG!J863)</f>
        <v/>
      </c>
      <c r="K863" s="3">
        <f>IF(ORIG!K863=0,"",ORIG!K863)</f>
        <v/>
      </c>
      <c r="L863" s="3">
        <f>IF(ORIG!L863=0,"",ORIG!L863)</f>
        <v/>
      </c>
      <c r="M863" s="3">
        <f>IF(ORIG!M863=0,"",ORIG!M863)</f>
        <v/>
      </c>
      <c r="N863" s="3">
        <f>IF(ORIG!N863=0,"",ORIG!N863)</f>
        <v/>
      </c>
      <c r="O863" s="3">
        <f>IF(ORIG!O863=0,"",ORIG!O863)</f>
        <v/>
      </c>
      <c r="P863" s="3">
        <f>IF(ORIG!P863=0,"",ORIG!P863)</f>
        <v/>
      </c>
      <c r="Q863" s="3">
        <f>IF(ORIG!Q863=0,"",ORIG!Q863)</f>
        <v/>
      </c>
      <c r="R863" s="3">
        <f>IF(ORIG!R863=0,"",ORIG!R863)</f>
        <v/>
      </c>
      <c r="S863" s="3">
        <f>IF(ORIG!S863=0,"",ORIG!S863)</f>
        <v/>
      </c>
      <c r="T863" s="3">
        <f>IF(ORIG!T863=0,"",ORIG!T863)</f>
        <v/>
      </c>
      <c r="U863" s="3">
        <f>IF(ORIG!U863=0,"",ORIG!U863)</f>
        <v/>
      </c>
      <c r="V863" s="9">
        <f>IF(ORIG!V863=0,"",ORIG!V863)</f>
        <v/>
      </c>
      <c r="W863" s="9">
        <f>IF(ORIG!W863=0,"",ORIG!W863)</f>
        <v/>
      </c>
      <c r="X863" s="9">
        <f>IF(ORIG!X863=0,"",ORIG!X863)</f>
        <v/>
      </c>
      <c r="Y863" s="9">
        <f>IF(ORIG!Y863=0,"",ORIG!Y863)</f>
        <v/>
      </c>
      <c r="Z863" s="3">
        <f>SUMPRODUCT($B863:$Y863,$B$2649:$Y$2649)</f>
        <v/>
      </c>
      <c r="AA863" s="3">
        <f>SUMPRODUCT($B863:$Y863,$B$2655:$Y$2655)</f>
        <v/>
      </c>
      <c r="AC863" s="1">
        <f>A863</f>
        <v/>
      </c>
      <c r="AD863">
        <f>IF(ISNUMBER(V863),V863*($AB$1/V$2635),"")</f>
        <v/>
      </c>
      <c r="AE863">
        <f>IF(ISNUMBER(Z863),Z863*($AB$1/Z$2635),"")</f>
        <v/>
      </c>
      <c r="AF863" s="25">
        <f>IF(ISNUMBER(AD863+AE863),AD863+AE863,"")</f>
        <v/>
      </c>
      <c r="AH863" s="1">
        <f>A863</f>
        <v/>
      </c>
      <c r="AI863">
        <f>IF(ISNUMBER((1+V863)*AI862),(1+V863)*AI862,AI862)</f>
        <v/>
      </c>
      <c r="AJ863">
        <f>IF(ISNUMBER((1+Z863)*AJ862),(1+Z863)*AJ862,AJ862)</f>
        <v/>
      </c>
    </row>
    <row r="864">
      <c r="A864" s="1" t="n">
        <v>43257</v>
      </c>
      <c r="B864" s="3">
        <f>IF(ORIG!B864=0,"",ORIG!B864)</f>
        <v/>
      </c>
      <c r="C864" s="3">
        <f>IF(ORIG!C864=0,"",ORIG!C864)</f>
        <v/>
      </c>
      <c r="D864" s="3">
        <f>IF(ORIG!D864=0,"",ORIG!D864)</f>
        <v/>
      </c>
      <c r="E864" s="3">
        <f>IF(ORIG!E864=0,"",ORIG!E864)</f>
        <v/>
      </c>
      <c r="F864" s="3">
        <f>IF(ORIG!F864=0,"",ORIG!F864)</f>
        <v/>
      </c>
      <c r="G864" s="3">
        <f>IF(ORIG!G864=0,"",ORIG!G864)</f>
        <v/>
      </c>
      <c r="H864" s="3">
        <f>IF(ORIG!H864=0,"",ORIG!H864)</f>
        <v/>
      </c>
      <c r="I864" s="3">
        <f>IF(ORIG!I864=0,"",ORIG!I864)</f>
        <v/>
      </c>
      <c r="J864" s="3">
        <f>IF(ORIG!J864=0,"",ORIG!J864)</f>
        <v/>
      </c>
      <c r="K864" s="3">
        <f>IF(ORIG!K864=0,"",ORIG!K864)</f>
        <v/>
      </c>
      <c r="L864" s="3">
        <f>IF(ORIG!L864=0,"",ORIG!L864)</f>
        <v/>
      </c>
      <c r="M864" s="3">
        <f>IF(ORIG!M864=0,"",ORIG!M864)</f>
        <v/>
      </c>
      <c r="N864" s="3">
        <f>IF(ORIG!N864=0,"",ORIG!N864)</f>
        <v/>
      </c>
      <c r="O864" s="3">
        <f>IF(ORIG!O864=0,"",ORIG!O864)</f>
        <v/>
      </c>
      <c r="P864" s="3">
        <f>IF(ORIG!P864=0,"",ORIG!P864)</f>
        <v/>
      </c>
      <c r="Q864" s="3">
        <f>IF(ORIG!Q864=0,"",ORIG!Q864)</f>
        <v/>
      </c>
      <c r="R864" s="3">
        <f>IF(ORIG!R864=0,"",ORIG!R864)</f>
        <v/>
      </c>
      <c r="S864" s="3">
        <f>IF(ORIG!S864=0,"",ORIG!S864)</f>
        <v/>
      </c>
      <c r="T864" s="3">
        <f>IF(ORIG!T864=0,"",ORIG!T864)</f>
        <v/>
      </c>
      <c r="U864" s="3">
        <f>IF(ORIG!U864=0,"",ORIG!U864)</f>
        <v/>
      </c>
      <c r="V864" s="9">
        <f>IF(ORIG!V864=0,"",ORIG!V864)</f>
        <v/>
      </c>
      <c r="W864" s="9">
        <f>IF(ORIG!W864=0,"",ORIG!W864)</f>
        <v/>
      </c>
      <c r="X864" s="9">
        <f>IF(ORIG!X864=0,"",ORIG!X864)</f>
        <v/>
      </c>
      <c r="Y864" s="9">
        <f>IF(ORIG!Y864=0,"",ORIG!Y864)</f>
        <v/>
      </c>
      <c r="Z864" s="3">
        <f>SUMPRODUCT($B864:$Y864,$B$2649:$Y$2649)</f>
        <v/>
      </c>
      <c r="AA864" s="3">
        <f>SUMPRODUCT($B864:$Y864,$B$2655:$Y$2655)</f>
        <v/>
      </c>
      <c r="AC864" s="1">
        <f>A864</f>
        <v/>
      </c>
      <c r="AD864">
        <f>IF(ISNUMBER(V864),V864*($AB$1/V$2635),"")</f>
        <v/>
      </c>
      <c r="AE864">
        <f>IF(ISNUMBER(Z864),Z864*($AB$1/Z$2635),"")</f>
        <v/>
      </c>
      <c r="AF864" s="25">
        <f>IF(ISNUMBER(AD864+AE864),AD864+AE864,"")</f>
        <v/>
      </c>
      <c r="AH864" s="1">
        <f>A864</f>
        <v/>
      </c>
      <c r="AI864">
        <f>IF(ISNUMBER((1+V864)*AI863),(1+V864)*AI863,AI863)</f>
        <v/>
      </c>
      <c r="AJ864">
        <f>IF(ISNUMBER((1+Z864)*AJ863),(1+Z864)*AJ863,AJ863)</f>
        <v/>
      </c>
    </row>
    <row r="865">
      <c r="A865" s="1" t="n">
        <v>43258</v>
      </c>
      <c r="B865" s="3">
        <f>IF(ORIG!B865=0,"",ORIG!B865)</f>
        <v/>
      </c>
      <c r="C865" s="3">
        <f>IF(ORIG!C865=0,"",ORIG!C865)</f>
        <v/>
      </c>
      <c r="D865" s="3">
        <f>IF(ORIG!D865=0,"",ORIG!D865)</f>
        <v/>
      </c>
      <c r="E865" s="3">
        <f>IF(ORIG!E865=0,"",ORIG!E865)</f>
        <v/>
      </c>
      <c r="F865" s="3">
        <f>IF(ORIG!F865=0,"",ORIG!F865)</f>
        <v/>
      </c>
      <c r="G865" s="3">
        <f>IF(ORIG!G865=0,"",ORIG!G865)</f>
        <v/>
      </c>
      <c r="H865" s="3">
        <f>IF(ORIG!H865=0,"",ORIG!H865)</f>
        <v/>
      </c>
      <c r="I865" s="3">
        <f>IF(ORIG!I865=0,"",ORIG!I865)</f>
        <v/>
      </c>
      <c r="J865" s="3">
        <f>IF(ORIG!J865=0,"",ORIG!J865)</f>
        <v/>
      </c>
      <c r="K865" s="3">
        <f>IF(ORIG!K865=0,"",ORIG!K865)</f>
        <v/>
      </c>
      <c r="L865" s="3">
        <f>IF(ORIG!L865=0,"",ORIG!L865)</f>
        <v/>
      </c>
      <c r="M865" s="3">
        <f>IF(ORIG!M865=0,"",ORIG!M865)</f>
        <v/>
      </c>
      <c r="N865" s="3">
        <f>IF(ORIG!N865=0,"",ORIG!N865)</f>
        <v/>
      </c>
      <c r="O865" s="3">
        <f>IF(ORIG!O865=0,"",ORIG!O865)</f>
        <v/>
      </c>
      <c r="P865" s="3">
        <f>IF(ORIG!P865=0,"",ORIG!P865)</f>
        <v/>
      </c>
      <c r="Q865" s="3">
        <f>IF(ORIG!Q865=0,"",ORIG!Q865)</f>
        <v/>
      </c>
      <c r="R865" s="3">
        <f>IF(ORIG!R865=0,"",ORIG!R865)</f>
        <v/>
      </c>
      <c r="S865" s="3">
        <f>IF(ORIG!S865=0,"",ORIG!S865)</f>
        <v/>
      </c>
      <c r="T865" s="3">
        <f>IF(ORIG!T865=0,"",ORIG!T865)</f>
        <v/>
      </c>
      <c r="U865" s="3">
        <f>IF(ORIG!U865=0,"",ORIG!U865)</f>
        <v/>
      </c>
      <c r="V865" s="9">
        <f>IF(ORIG!V865=0,"",ORIG!V865)</f>
        <v/>
      </c>
      <c r="W865" s="9">
        <f>IF(ORIG!W865=0,"",ORIG!W865)</f>
        <v/>
      </c>
      <c r="X865" s="9">
        <f>IF(ORIG!X865=0,"",ORIG!X865)</f>
        <v/>
      </c>
      <c r="Y865" s="9">
        <f>IF(ORIG!Y865=0,"",ORIG!Y865)</f>
        <v/>
      </c>
      <c r="Z865" s="3">
        <f>SUMPRODUCT($B865:$Y865,$B$2649:$Y$2649)</f>
        <v/>
      </c>
      <c r="AA865" s="3">
        <f>SUMPRODUCT($B865:$Y865,$B$2655:$Y$2655)</f>
        <v/>
      </c>
      <c r="AC865" s="1">
        <f>A865</f>
        <v/>
      </c>
      <c r="AD865">
        <f>IF(ISNUMBER(V865),V865*($AB$1/V$2635),"")</f>
        <v/>
      </c>
      <c r="AE865">
        <f>IF(ISNUMBER(Z865),Z865*($AB$1/Z$2635),"")</f>
        <v/>
      </c>
      <c r="AF865" s="25">
        <f>IF(ISNUMBER(AD865+AE865),AD865+AE865,"")</f>
        <v/>
      </c>
      <c r="AH865" s="1">
        <f>A865</f>
        <v/>
      </c>
      <c r="AI865">
        <f>IF(ISNUMBER((1+V865)*AI864),(1+V865)*AI864,AI864)</f>
        <v/>
      </c>
      <c r="AJ865">
        <f>IF(ISNUMBER((1+Z865)*AJ864),(1+Z865)*AJ864,AJ864)</f>
        <v/>
      </c>
    </row>
    <row r="866">
      <c r="A866" s="1" t="n">
        <v>43259</v>
      </c>
      <c r="B866" s="3">
        <f>IF(ORIG!B866=0,"",ORIG!B866)</f>
        <v/>
      </c>
      <c r="C866" s="3">
        <f>IF(ORIG!C866=0,"",ORIG!C866)</f>
        <v/>
      </c>
      <c r="D866" s="3">
        <f>IF(ORIG!D866=0,"",ORIG!D866)</f>
        <v/>
      </c>
      <c r="E866" s="3">
        <f>IF(ORIG!E866=0,"",ORIG!E866)</f>
        <v/>
      </c>
      <c r="F866" s="3">
        <f>IF(ORIG!F866=0,"",ORIG!F866)</f>
        <v/>
      </c>
      <c r="G866" s="3">
        <f>IF(ORIG!G866=0,"",ORIG!G866)</f>
        <v/>
      </c>
      <c r="H866" s="3">
        <f>IF(ORIG!H866=0,"",ORIG!H866)</f>
        <v/>
      </c>
      <c r="I866" s="3">
        <f>IF(ORIG!I866=0,"",ORIG!I866)</f>
        <v/>
      </c>
      <c r="J866" s="3">
        <f>IF(ORIG!J866=0,"",ORIG!J866)</f>
        <v/>
      </c>
      <c r="K866" s="3">
        <f>IF(ORIG!K866=0,"",ORIG!K866)</f>
        <v/>
      </c>
      <c r="L866" s="3">
        <f>IF(ORIG!L866=0,"",ORIG!L866)</f>
        <v/>
      </c>
      <c r="M866" s="3">
        <f>IF(ORIG!M866=0,"",ORIG!M866)</f>
        <v/>
      </c>
      <c r="N866" s="3">
        <f>IF(ORIG!N866=0,"",ORIG!N866)</f>
        <v/>
      </c>
      <c r="O866" s="3">
        <f>IF(ORIG!O866=0,"",ORIG!O866)</f>
        <v/>
      </c>
      <c r="P866" s="3">
        <f>IF(ORIG!P866=0,"",ORIG!P866)</f>
        <v/>
      </c>
      <c r="Q866" s="3">
        <f>IF(ORIG!Q866=0,"",ORIG!Q866)</f>
        <v/>
      </c>
      <c r="R866" s="3">
        <f>IF(ORIG!R866=0,"",ORIG!R866)</f>
        <v/>
      </c>
      <c r="S866" s="3">
        <f>IF(ORIG!S866=0,"",ORIG!S866)</f>
        <v/>
      </c>
      <c r="T866" s="3">
        <f>IF(ORIG!T866=0,"",ORIG!T866)</f>
        <v/>
      </c>
      <c r="U866" s="3">
        <f>IF(ORIG!U866=0,"",ORIG!U866)</f>
        <v/>
      </c>
      <c r="V866" s="9">
        <f>IF(ORIG!V866=0,"",ORIG!V866)</f>
        <v/>
      </c>
      <c r="W866" s="9">
        <f>IF(ORIG!W866=0,"",ORIG!W866)</f>
        <v/>
      </c>
      <c r="X866" s="9">
        <f>IF(ORIG!X866=0,"",ORIG!X866)</f>
        <v/>
      </c>
      <c r="Y866" s="9">
        <f>IF(ORIG!Y866=0,"",ORIG!Y866)</f>
        <v/>
      </c>
      <c r="Z866" s="3">
        <f>SUMPRODUCT($B866:$Y866,$B$2649:$Y$2649)</f>
        <v/>
      </c>
      <c r="AA866" s="3">
        <f>SUMPRODUCT($B866:$Y866,$B$2655:$Y$2655)</f>
        <v/>
      </c>
      <c r="AC866" s="1">
        <f>A866</f>
        <v/>
      </c>
      <c r="AD866">
        <f>IF(ISNUMBER(V866),V866*($AB$1/V$2635),"")</f>
        <v/>
      </c>
      <c r="AE866">
        <f>IF(ISNUMBER(Z866),Z866*($AB$1/Z$2635),"")</f>
        <v/>
      </c>
      <c r="AF866" s="25">
        <f>IF(ISNUMBER(AD866+AE866),AD866+AE866,"")</f>
        <v/>
      </c>
      <c r="AH866" s="1">
        <f>A866</f>
        <v/>
      </c>
      <c r="AI866">
        <f>IF(ISNUMBER((1+V866)*AI865),(1+V866)*AI865,AI865)</f>
        <v/>
      </c>
      <c r="AJ866">
        <f>IF(ISNUMBER((1+Z866)*AJ865),(1+Z866)*AJ865,AJ865)</f>
        <v/>
      </c>
    </row>
    <row r="867">
      <c r="A867" s="1" t="n">
        <v>43262</v>
      </c>
      <c r="B867" s="3">
        <f>IF(ORIG!B867=0,"",ORIG!B867)</f>
        <v/>
      </c>
      <c r="C867" s="3">
        <f>IF(ORIG!C867=0,"",ORIG!C867)</f>
        <v/>
      </c>
      <c r="D867" s="3">
        <f>IF(ORIG!D867=0,"",ORIG!D867)</f>
        <v/>
      </c>
      <c r="E867" s="3">
        <f>IF(ORIG!E867=0,"",ORIG!E867)</f>
        <v/>
      </c>
      <c r="F867" s="3">
        <f>IF(ORIG!F867=0,"",ORIG!F867)</f>
        <v/>
      </c>
      <c r="G867" s="3">
        <f>IF(ORIG!G867=0,"",ORIG!G867)</f>
        <v/>
      </c>
      <c r="H867" s="3">
        <f>IF(ORIG!H867=0,"",ORIG!H867)</f>
        <v/>
      </c>
      <c r="I867" s="3">
        <f>IF(ORIG!I867=0,"",ORIG!I867)</f>
        <v/>
      </c>
      <c r="J867" s="3">
        <f>IF(ORIG!J867=0,"",ORIG!J867)</f>
        <v/>
      </c>
      <c r="K867" s="3">
        <f>IF(ORIG!K867=0,"",ORIG!K867)</f>
        <v/>
      </c>
      <c r="L867" s="3">
        <f>IF(ORIG!L867=0,"",ORIG!L867)</f>
        <v/>
      </c>
      <c r="M867" s="3">
        <f>IF(ORIG!M867=0,"",ORIG!M867)</f>
        <v/>
      </c>
      <c r="N867" s="3">
        <f>IF(ORIG!N867=0,"",ORIG!N867)</f>
        <v/>
      </c>
      <c r="O867" s="3">
        <f>IF(ORIG!O867=0,"",ORIG!O867)</f>
        <v/>
      </c>
      <c r="P867" s="3">
        <f>IF(ORIG!P867=0,"",ORIG!P867)</f>
        <v/>
      </c>
      <c r="Q867" s="3">
        <f>IF(ORIG!Q867=0,"",ORIG!Q867)</f>
        <v/>
      </c>
      <c r="R867" s="3">
        <f>IF(ORIG!R867=0,"",ORIG!R867)</f>
        <v/>
      </c>
      <c r="S867" s="3">
        <f>IF(ORIG!S867=0,"",ORIG!S867)</f>
        <v/>
      </c>
      <c r="T867" s="3">
        <f>IF(ORIG!T867=0,"",ORIG!T867)</f>
        <v/>
      </c>
      <c r="U867" s="3">
        <f>IF(ORIG!U867=0,"",ORIG!U867)</f>
        <v/>
      </c>
      <c r="V867" s="9">
        <f>IF(ORIG!V867=0,"",ORIG!V867)</f>
        <v/>
      </c>
      <c r="W867" s="9">
        <f>IF(ORIG!W867=0,"",ORIG!W867)</f>
        <v/>
      </c>
      <c r="X867" s="9">
        <f>IF(ORIG!X867=0,"",ORIG!X867)</f>
        <v/>
      </c>
      <c r="Y867" s="9">
        <f>IF(ORIG!Y867=0,"",ORIG!Y867)</f>
        <v/>
      </c>
      <c r="Z867" s="3">
        <f>SUMPRODUCT($B867:$Y867,$B$2649:$Y$2649)</f>
        <v/>
      </c>
      <c r="AA867" s="3">
        <f>SUMPRODUCT($B867:$Y867,$B$2655:$Y$2655)</f>
        <v/>
      </c>
      <c r="AC867" s="1">
        <f>A867</f>
        <v/>
      </c>
      <c r="AD867">
        <f>IF(ISNUMBER(V867),V867*($AB$1/V$2635),"")</f>
        <v/>
      </c>
      <c r="AE867">
        <f>IF(ISNUMBER(Z867),Z867*($AB$1/Z$2635),"")</f>
        <v/>
      </c>
      <c r="AF867" s="25">
        <f>IF(ISNUMBER(AD867+AE867),AD867+AE867,"")</f>
        <v/>
      </c>
      <c r="AH867" s="1">
        <f>A867</f>
        <v/>
      </c>
      <c r="AI867">
        <f>IF(ISNUMBER((1+V867)*AI866),(1+V867)*AI866,AI866)</f>
        <v/>
      </c>
      <c r="AJ867">
        <f>IF(ISNUMBER((1+Z867)*AJ866),(1+Z867)*AJ866,AJ866)</f>
        <v/>
      </c>
    </row>
    <row r="868">
      <c r="A868" s="1" t="n">
        <v>43263</v>
      </c>
      <c r="B868" s="3">
        <f>IF(ORIG!B868=0,"",ORIG!B868)</f>
        <v/>
      </c>
      <c r="C868" s="3">
        <f>IF(ORIG!C868=0,"",ORIG!C868)</f>
        <v/>
      </c>
      <c r="D868" s="3">
        <f>IF(ORIG!D868=0,"",ORIG!D868)</f>
        <v/>
      </c>
      <c r="E868" s="3">
        <f>IF(ORIG!E868=0,"",ORIG!E868)</f>
        <v/>
      </c>
      <c r="F868" s="3">
        <f>IF(ORIG!F868=0,"",ORIG!F868)</f>
        <v/>
      </c>
      <c r="G868" s="3">
        <f>IF(ORIG!G868=0,"",ORIG!G868)</f>
        <v/>
      </c>
      <c r="H868" s="3">
        <f>IF(ORIG!H868=0,"",ORIG!H868)</f>
        <v/>
      </c>
      <c r="I868" s="3">
        <f>IF(ORIG!I868=0,"",ORIG!I868)</f>
        <v/>
      </c>
      <c r="J868" s="3">
        <f>IF(ORIG!J868=0,"",ORIG!J868)</f>
        <v/>
      </c>
      <c r="K868" s="3">
        <f>IF(ORIG!K868=0,"",ORIG!K868)</f>
        <v/>
      </c>
      <c r="L868" s="3">
        <f>IF(ORIG!L868=0,"",ORIG!L868)</f>
        <v/>
      </c>
      <c r="M868" s="3">
        <f>IF(ORIG!M868=0,"",ORIG!M868)</f>
        <v/>
      </c>
      <c r="N868" s="3">
        <f>IF(ORIG!N868=0,"",ORIG!N868)</f>
        <v/>
      </c>
      <c r="O868" s="3">
        <f>IF(ORIG!O868=0,"",ORIG!O868)</f>
        <v/>
      </c>
      <c r="P868" s="3">
        <f>IF(ORIG!P868=0,"",ORIG!P868)</f>
        <v/>
      </c>
      <c r="Q868" s="3">
        <f>IF(ORIG!Q868=0,"",ORIG!Q868)</f>
        <v/>
      </c>
      <c r="R868" s="3">
        <f>IF(ORIG!R868=0,"",ORIG!R868)</f>
        <v/>
      </c>
      <c r="S868" s="3">
        <f>IF(ORIG!S868=0,"",ORIG!S868)</f>
        <v/>
      </c>
      <c r="T868" s="3">
        <f>IF(ORIG!T868=0,"",ORIG!T868)</f>
        <v/>
      </c>
      <c r="U868" s="3">
        <f>IF(ORIG!U868=0,"",ORIG!U868)</f>
        <v/>
      </c>
      <c r="V868" s="9">
        <f>IF(ORIG!V868=0,"",ORIG!V868)</f>
        <v/>
      </c>
      <c r="W868" s="9">
        <f>IF(ORIG!W868=0,"",ORIG!W868)</f>
        <v/>
      </c>
      <c r="X868" s="9">
        <f>IF(ORIG!X868=0,"",ORIG!X868)</f>
        <v/>
      </c>
      <c r="Y868" s="9">
        <f>IF(ORIG!Y868=0,"",ORIG!Y868)</f>
        <v/>
      </c>
      <c r="Z868" s="3">
        <f>SUMPRODUCT($B868:$Y868,$B$2649:$Y$2649)</f>
        <v/>
      </c>
      <c r="AA868" s="3">
        <f>SUMPRODUCT($B868:$Y868,$B$2655:$Y$2655)</f>
        <v/>
      </c>
      <c r="AC868" s="1">
        <f>A868</f>
        <v/>
      </c>
      <c r="AD868">
        <f>IF(ISNUMBER(V868),V868*($AB$1/V$2635),"")</f>
        <v/>
      </c>
      <c r="AE868">
        <f>IF(ISNUMBER(Z868),Z868*($AB$1/Z$2635),"")</f>
        <v/>
      </c>
      <c r="AF868" s="25">
        <f>IF(ISNUMBER(AD868+AE868),AD868+AE868,"")</f>
        <v/>
      </c>
      <c r="AH868" s="1">
        <f>A868</f>
        <v/>
      </c>
      <c r="AI868">
        <f>IF(ISNUMBER((1+V868)*AI867),(1+V868)*AI867,AI867)</f>
        <v/>
      </c>
      <c r="AJ868">
        <f>IF(ISNUMBER((1+Z868)*AJ867),(1+Z868)*AJ867,AJ867)</f>
        <v/>
      </c>
    </row>
    <row r="869">
      <c r="A869" s="1" t="n">
        <v>43264</v>
      </c>
      <c r="B869" s="3">
        <f>IF(ORIG!B869=0,"",ORIG!B869)</f>
        <v/>
      </c>
      <c r="C869" s="3">
        <f>IF(ORIG!C869=0,"",ORIG!C869)</f>
        <v/>
      </c>
      <c r="D869" s="3">
        <f>IF(ORIG!D869=0,"",ORIG!D869)</f>
        <v/>
      </c>
      <c r="E869" s="3">
        <f>IF(ORIG!E869=0,"",ORIG!E869)</f>
        <v/>
      </c>
      <c r="F869" s="3">
        <f>IF(ORIG!F869=0,"",ORIG!F869)</f>
        <v/>
      </c>
      <c r="G869" s="3">
        <f>IF(ORIG!G869=0,"",ORIG!G869)</f>
        <v/>
      </c>
      <c r="H869" s="3">
        <f>IF(ORIG!H869=0,"",ORIG!H869)</f>
        <v/>
      </c>
      <c r="I869" s="3">
        <f>IF(ORIG!I869=0,"",ORIG!I869)</f>
        <v/>
      </c>
      <c r="J869" s="3">
        <f>IF(ORIG!J869=0,"",ORIG!J869)</f>
        <v/>
      </c>
      <c r="K869" s="3">
        <f>IF(ORIG!K869=0,"",ORIG!K869)</f>
        <v/>
      </c>
      <c r="L869" s="3">
        <f>IF(ORIG!L869=0,"",ORIG!L869)</f>
        <v/>
      </c>
      <c r="M869" s="3">
        <f>IF(ORIG!M869=0,"",ORIG!M869)</f>
        <v/>
      </c>
      <c r="N869" s="3">
        <f>IF(ORIG!N869=0,"",ORIG!N869)</f>
        <v/>
      </c>
      <c r="O869" s="3">
        <f>IF(ORIG!O869=0,"",ORIG!O869)</f>
        <v/>
      </c>
      <c r="P869" s="3">
        <f>IF(ORIG!P869=0,"",ORIG!P869)</f>
        <v/>
      </c>
      <c r="Q869" s="3">
        <f>IF(ORIG!Q869=0,"",ORIG!Q869)</f>
        <v/>
      </c>
      <c r="R869" s="3">
        <f>IF(ORIG!R869=0,"",ORIG!R869)</f>
        <v/>
      </c>
      <c r="S869" s="3">
        <f>IF(ORIG!S869=0,"",ORIG!S869)</f>
        <v/>
      </c>
      <c r="T869" s="3">
        <f>IF(ORIG!T869=0,"",ORIG!T869)</f>
        <v/>
      </c>
      <c r="U869" s="3">
        <f>IF(ORIG!U869=0,"",ORIG!U869)</f>
        <v/>
      </c>
      <c r="V869" s="9">
        <f>IF(ORIG!V869=0,"",ORIG!V869)</f>
        <v/>
      </c>
      <c r="W869" s="9">
        <f>IF(ORIG!W869=0,"",ORIG!W869)</f>
        <v/>
      </c>
      <c r="X869" s="9">
        <f>IF(ORIG!X869=0,"",ORIG!X869)</f>
        <v/>
      </c>
      <c r="Y869" s="9">
        <f>IF(ORIG!Y869=0,"",ORIG!Y869)</f>
        <v/>
      </c>
      <c r="Z869" s="3">
        <f>SUMPRODUCT($B869:$Y869,$B$2649:$Y$2649)</f>
        <v/>
      </c>
      <c r="AA869" s="3">
        <f>SUMPRODUCT($B869:$Y869,$B$2655:$Y$2655)</f>
        <v/>
      </c>
      <c r="AC869" s="1">
        <f>A869</f>
        <v/>
      </c>
      <c r="AD869">
        <f>IF(ISNUMBER(V869),V869*($AB$1/V$2635),"")</f>
        <v/>
      </c>
      <c r="AE869">
        <f>IF(ISNUMBER(Z869),Z869*($AB$1/Z$2635),"")</f>
        <v/>
      </c>
      <c r="AF869" s="25">
        <f>IF(ISNUMBER(AD869+AE869),AD869+AE869,"")</f>
        <v/>
      </c>
      <c r="AH869" s="1">
        <f>A869</f>
        <v/>
      </c>
      <c r="AI869">
        <f>IF(ISNUMBER((1+V869)*AI868),(1+V869)*AI868,AI868)</f>
        <v/>
      </c>
      <c r="AJ869">
        <f>IF(ISNUMBER((1+Z869)*AJ868),(1+Z869)*AJ868,AJ868)</f>
        <v/>
      </c>
    </row>
    <row r="870">
      <c r="A870" s="1" t="n">
        <v>43265</v>
      </c>
      <c r="B870" s="3">
        <f>IF(ORIG!B870=0,"",ORIG!B870)</f>
        <v/>
      </c>
      <c r="C870" s="3">
        <f>IF(ORIG!C870=0,"",ORIG!C870)</f>
        <v/>
      </c>
      <c r="D870" s="3">
        <f>IF(ORIG!D870=0,"",ORIG!D870)</f>
        <v/>
      </c>
      <c r="E870" s="3">
        <f>IF(ORIG!E870=0,"",ORIG!E870)</f>
        <v/>
      </c>
      <c r="F870" s="3">
        <f>IF(ORIG!F870=0,"",ORIG!F870)</f>
        <v/>
      </c>
      <c r="G870" s="3">
        <f>IF(ORIG!G870=0,"",ORIG!G870)</f>
        <v/>
      </c>
      <c r="H870" s="3">
        <f>IF(ORIG!H870=0,"",ORIG!H870)</f>
        <v/>
      </c>
      <c r="I870" s="3">
        <f>IF(ORIG!I870=0,"",ORIG!I870)</f>
        <v/>
      </c>
      <c r="J870" s="3">
        <f>IF(ORIG!J870=0,"",ORIG!J870)</f>
        <v/>
      </c>
      <c r="K870" s="3">
        <f>IF(ORIG!K870=0,"",ORIG!K870)</f>
        <v/>
      </c>
      <c r="L870" s="3">
        <f>IF(ORIG!L870=0,"",ORIG!L870)</f>
        <v/>
      </c>
      <c r="M870" s="3">
        <f>IF(ORIG!M870=0,"",ORIG!M870)</f>
        <v/>
      </c>
      <c r="N870" s="3">
        <f>IF(ORIG!N870=0,"",ORIG!N870)</f>
        <v/>
      </c>
      <c r="O870" s="3">
        <f>IF(ORIG!O870=0,"",ORIG!O870)</f>
        <v/>
      </c>
      <c r="P870" s="3">
        <f>IF(ORIG!P870=0,"",ORIG!P870)</f>
        <v/>
      </c>
      <c r="Q870" s="3">
        <f>IF(ORIG!Q870=0,"",ORIG!Q870)</f>
        <v/>
      </c>
      <c r="R870" s="3">
        <f>IF(ORIG!R870=0,"",ORIG!R870)</f>
        <v/>
      </c>
      <c r="S870" s="3">
        <f>IF(ORIG!S870=0,"",ORIG!S870)</f>
        <v/>
      </c>
      <c r="T870" s="3">
        <f>IF(ORIG!T870=0,"",ORIG!T870)</f>
        <v/>
      </c>
      <c r="U870" s="3">
        <f>IF(ORIG!U870=0,"",ORIG!U870)</f>
        <v/>
      </c>
      <c r="V870" s="9">
        <f>IF(ORIG!V870=0,"",ORIG!V870)</f>
        <v/>
      </c>
      <c r="W870" s="9">
        <f>IF(ORIG!W870=0,"",ORIG!W870)</f>
        <v/>
      </c>
      <c r="X870" s="9">
        <f>IF(ORIG!X870=0,"",ORIG!X870)</f>
        <v/>
      </c>
      <c r="Y870" s="9">
        <f>IF(ORIG!Y870=0,"",ORIG!Y870)</f>
        <v/>
      </c>
      <c r="Z870" s="3">
        <f>SUMPRODUCT($B870:$Y870,$B$2649:$Y$2649)</f>
        <v/>
      </c>
      <c r="AA870" s="3">
        <f>SUMPRODUCT($B870:$Y870,$B$2655:$Y$2655)</f>
        <v/>
      </c>
      <c r="AC870" s="1">
        <f>A870</f>
        <v/>
      </c>
      <c r="AD870">
        <f>IF(ISNUMBER(V870),V870*($AB$1/V$2635),"")</f>
        <v/>
      </c>
      <c r="AE870">
        <f>IF(ISNUMBER(Z870),Z870*($AB$1/Z$2635),"")</f>
        <v/>
      </c>
      <c r="AF870" s="25">
        <f>IF(ISNUMBER(AD870+AE870),AD870+AE870,"")</f>
        <v/>
      </c>
      <c r="AH870" s="1">
        <f>A870</f>
        <v/>
      </c>
      <c r="AI870">
        <f>IF(ISNUMBER((1+V870)*AI869),(1+V870)*AI869,AI869)</f>
        <v/>
      </c>
      <c r="AJ870">
        <f>IF(ISNUMBER((1+Z870)*AJ869),(1+Z870)*AJ869,AJ869)</f>
        <v/>
      </c>
    </row>
    <row r="871">
      <c r="A871" s="1" t="n">
        <v>43266</v>
      </c>
      <c r="B871" s="3">
        <f>IF(ORIG!B871=0,"",ORIG!B871)</f>
        <v/>
      </c>
      <c r="C871" s="3">
        <f>IF(ORIG!C871=0,"",ORIG!C871)</f>
        <v/>
      </c>
      <c r="D871" s="3">
        <f>IF(ORIG!D871=0,"",ORIG!D871)</f>
        <v/>
      </c>
      <c r="E871" s="3">
        <f>IF(ORIG!E871=0,"",ORIG!E871)</f>
        <v/>
      </c>
      <c r="F871" s="3">
        <f>IF(ORIG!F871=0,"",ORIG!F871)</f>
        <v/>
      </c>
      <c r="G871" s="3">
        <f>IF(ORIG!G871=0,"",ORIG!G871)</f>
        <v/>
      </c>
      <c r="H871" s="3">
        <f>IF(ORIG!H871=0,"",ORIG!H871)</f>
        <v/>
      </c>
      <c r="I871" s="3">
        <f>IF(ORIG!I871=0,"",ORIG!I871)</f>
        <v/>
      </c>
      <c r="J871" s="3">
        <f>IF(ORIG!J871=0,"",ORIG!J871)</f>
        <v/>
      </c>
      <c r="K871" s="3">
        <f>IF(ORIG!K871=0,"",ORIG!K871)</f>
        <v/>
      </c>
      <c r="L871" s="3">
        <f>IF(ORIG!L871=0,"",ORIG!L871)</f>
        <v/>
      </c>
      <c r="M871" s="3">
        <f>IF(ORIG!M871=0,"",ORIG!M871)</f>
        <v/>
      </c>
      <c r="N871" s="3">
        <f>IF(ORIG!N871=0,"",ORIG!N871)</f>
        <v/>
      </c>
      <c r="O871" s="3">
        <f>IF(ORIG!O871=0,"",ORIG!O871)</f>
        <v/>
      </c>
      <c r="P871" s="3">
        <f>IF(ORIG!P871=0,"",ORIG!P871)</f>
        <v/>
      </c>
      <c r="Q871" s="3">
        <f>IF(ORIG!Q871=0,"",ORIG!Q871)</f>
        <v/>
      </c>
      <c r="R871" s="3">
        <f>IF(ORIG!R871=0,"",ORIG!R871)</f>
        <v/>
      </c>
      <c r="S871" s="3">
        <f>IF(ORIG!S871=0,"",ORIG!S871)</f>
        <v/>
      </c>
      <c r="T871" s="3">
        <f>IF(ORIG!T871=0,"",ORIG!T871)</f>
        <v/>
      </c>
      <c r="U871" s="3">
        <f>IF(ORIG!U871=0,"",ORIG!U871)</f>
        <v/>
      </c>
      <c r="V871" s="9">
        <f>IF(ORIG!V871=0,"",ORIG!V871)</f>
        <v/>
      </c>
      <c r="W871" s="9">
        <f>IF(ORIG!W871=0,"",ORIG!W871)</f>
        <v/>
      </c>
      <c r="X871" s="9">
        <f>IF(ORIG!X871=0,"",ORIG!X871)</f>
        <v/>
      </c>
      <c r="Y871" s="9">
        <f>IF(ORIG!Y871=0,"",ORIG!Y871)</f>
        <v/>
      </c>
      <c r="Z871" s="3">
        <f>SUMPRODUCT($B871:$Y871,$B$2649:$Y$2649)</f>
        <v/>
      </c>
      <c r="AA871" s="3">
        <f>SUMPRODUCT($B871:$Y871,$B$2655:$Y$2655)</f>
        <v/>
      </c>
      <c r="AC871" s="1">
        <f>A871</f>
        <v/>
      </c>
      <c r="AD871">
        <f>IF(ISNUMBER(V871),V871*($AB$1/V$2635),"")</f>
        <v/>
      </c>
      <c r="AE871">
        <f>IF(ISNUMBER(Z871),Z871*($AB$1/Z$2635),"")</f>
        <v/>
      </c>
      <c r="AF871" s="25">
        <f>IF(ISNUMBER(AD871+AE871),AD871+AE871,"")</f>
        <v/>
      </c>
      <c r="AH871" s="1">
        <f>A871</f>
        <v/>
      </c>
      <c r="AI871">
        <f>IF(ISNUMBER((1+V871)*AI870),(1+V871)*AI870,AI870)</f>
        <v/>
      </c>
      <c r="AJ871">
        <f>IF(ISNUMBER((1+Z871)*AJ870),(1+Z871)*AJ870,AJ870)</f>
        <v/>
      </c>
    </row>
    <row r="872">
      <c r="A872" s="1" t="n">
        <v>43269</v>
      </c>
      <c r="B872" s="3">
        <f>IF(ORIG!B872=0,"",ORIG!B872)</f>
        <v/>
      </c>
      <c r="C872" s="3">
        <f>IF(ORIG!C872=0,"",ORIG!C872)</f>
        <v/>
      </c>
      <c r="D872" s="3">
        <f>IF(ORIG!D872=0,"",ORIG!D872)</f>
        <v/>
      </c>
      <c r="E872" s="3">
        <f>IF(ORIG!E872=0,"",ORIG!E872)</f>
        <v/>
      </c>
      <c r="F872" s="3">
        <f>IF(ORIG!F872=0,"",ORIG!F872)</f>
        <v/>
      </c>
      <c r="G872" s="3">
        <f>IF(ORIG!G872=0,"",ORIG!G872)</f>
        <v/>
      </c>
      <c r="H872" s="3">
        <f>IF(ORIG!H872=0,"",ORIG!H872)</f>
        <v/>
      </c>
      <c r="I872" s="3">
        <f>IF(ORIG!I872=0,"",ORIG!I872)</f>
        <v/>
      </c>
      <c r="J872" s="3">
        <f>IF(ORIG!J872=0,"",ORIG!J872)</f>
        <v/>
      </c>
      <c r="K872" s="3">
        <f>IF(ORIG!K872=0,"",ORIG!K872)</f>
        <v/>
      </c>
      <c r="L872" s="3">
        <f>IF(ORIG!L872=0,"",ORIG!L872)</f>
        <v/>
      </c>
      <c r="M872" s="3">
        <f>IF(ORIG!M872=0,"",ORIG!M872)</f>
        <v/>
      </c>
      <c r="N872" s="3">
        <f>IF(ORIG!N872=0,"",ORIG!N872)</f>
        <v/>
      </c>
      <c r="O872" s="3">
        <f>IF(ORIG!O872=0,"",ORIG!O872)</f>
        <v/>
      </c>
      <c r="P872" s="3">
        <f>IF(ORIG!P872=0,"",ORIG!P872)</f>
        <v/>
      </c>
      <c r="Q872" s="3">
        <f>IF(ORIG!Q872=0,"",ORIG!Q872)</f>
        <v/>
      </c>
      <c r="R872" s="3">
        <f>IF(ORIG!R872=0,"",ORIG!R872)</f>
        <v/>
      </c>
      <c r="S872" s="3">
        <f>IF(ORIG!S872=0,"",ORIG!S872)</f>
        <v/>
      </c>
      <c r="T872" s="3">
        <f>IF(ORIG!T872=0,"",ORIG!T872)</f>
        <v/>
      </c>
      <c r="U872" s="3">
        <f>IF(ORIG!U872=0,"",ORIG!U872)</f>
        <v/>
      </c>
      <c r="V872" s="9">
        <f>IF(ORIG!V872=0,"",ORIG!V872)</f>
        <v/>
      </c>
      <c r="W872" s="9">
        <f>IF(ORIG!W872=0,"",ORIG!W872)</f>
        <v/>
      </c>
      <c r="X872" s="9">
        <f>IF(ORIG!X872=0,"",ORIG!X872)</f>
        <v/>
      </c>
      <c r="Y872" s="9">
        <f>IF(ORIG!Y872=0,"",ORIG!Y872)</f>
        <v/>
      </c>
      <c r="Z872" s="3">
        <f>SUMPRODUCT($B872:$Y872,$B$2649:$Y$2649)</f>
        <v/>
      </c>
      <c r="AA872" s="3">
        <f>SUMPRODUCT($B872:$Y872,$B$2655:$Y$2655)</f>
        <v/>
      </c>
      <c r="AC872" s="1">
        <f>A872</f>
        <v/>
      </c>
      <c r="AD872">
        <f>IF(ISNUMBER(V872),V872*($AB$1/V$2635),"")</f>
        <v/>
      </c>
      <c r="AE872">
        <f>IF(ISNUMBER(Z872),Z872*($AB$1/Z$2635),"")</f>
        <v/>
      </c>
      <c r="AF872" s="25">
        <f>IF(ISNUMBER(AD872+AE872),AD872+AE872,"")</f>
        <v/>
      </c>
      <c r="AH872" s="1">
        <f>A872</f>
        <v/>
      </c>
      <c r="AI872">
        <f>IF(ISNUMBER((1+V872)*AI871),(1+V872)*AI871,AI871)</f>
        <v/>
      </c>
      <c r="AJ872">
        <f>IF(ISNUMBER((1+Z872)*AJ871),(1+Z872)*AJ871,AJ871)</f>
        <v/>
      </c>
    </row>
    <row r="873">
      <c r="A873" s="1" t="n">
        <v>43270</v>
      </c>
      <c r="B873" s="3">
        <f>IF(ORIG!B873=0,"",ORIG!B873)</f>
        <v/>
      </c>
      <c r="C873" s="3">
        <f>IF(ORIG!C873=0,"",ORIG!C873)</f>
        <v/>
      </c>
      <c r="D873" s="3">
        <f>IF(ORIG!D873=0,"",ORIG!D873)</f>
        <v/>
      </c>
      <c r="E873" s="3">
        <f>IF(ORIG!E873=0,"",ORIG!E873)</f>
        <v/>
      </c>
      <c r="F873" s="3">
        <f>IF(ORIG!F873=0,"",ORIG!F873)</f>
        <v/>
      </c>
      <c r="G873" s="3">
        <f>IF(ORIG!G873=0,"",ORIG!G873)</f>
        <v/>
      </c>
      <c r="H873" s="3">
        <f>IF(ORIG!H873=0,"",ORIG!H873)</f>
        <v/>
      </c>
      <c r="I873" s="3">
        <f>IF(ORIG!I873=0,"",ORIG!I873)</f>
        <v/>
      </c>
      <c r="J873" s="3">
        <f>IF(ORIG!J873=0,"",ORIG!J873)</f>
        <v/>
      </c>
      <c r="K873" s="3">
        <f>IF(ORIG!K873=0,"",ORIG!K873)</f>
        <v/>
      </c>
      <c r="L873" s="3">
        <f>IF(ORIG!L873=0,"",ORIG!L873)</f>
        <v/>
      </c>
      <c r="M873" s="3">
        <f>IF(ORIG!M873=0,"",ORIG!M873)</f>
        <v/>
      </c>
      <c r="N873" s="3">
        <f>IF(ORIG!N873=0,"",ORIG!N873)</f>
        <v/>
      </c>
      <c r="O873" s="3">
        <f>IF(ORIG!O873=0,"",ORIG!O873)</f>
        <v/>
      </c>
      <c r="P873" s="3">
        <f>IF(ORIG!P873=0,"",ORIG!P873)</f>
        <v/>
      </c>
      <c r="Q873" s="3">
        <f>IF(ORIG!Q873=0,"",ORIG!Q873)</f>
        <v/>
      </c>
      <c r="R873" s="3">
        <f>IF(ORIG!R873=0,"",ORIG!R873)</f>
        <v/>
      </c>
      <c r="S873" s="3">
        <f>IF(ORIG!S873=0,"",ORIG!S873)</f>
        <v/>
      </c>
      <c r="T873" s="3">
        <f>IF(ORIG!T873=0,"",ORIG!T873)</f>
        <v/>
      </c>
      <c r="U873" s="3">
        <f>IF(ORIG!U873=0,"",ORIG!U873)</f>
        <v/>
      </c>
      <c r="V873" s="9">
        <f>IF(ORIG!V873=0,"",ORIG!V873)</f>
        <v/>
      </c>
      <c r="W873" s="9">
        <f>IF(ORIG!W873=0,"",ORIG!W873)</f>
        <v/>
      </c>
      <c r="X873" s="9">
        <f>IF(ORIG!X873=0,"",ORIG!X873)</f>
        <v/>
      </c>
      <c r="Y873" s="9">
        <f>IF(ORIG!Y873=0,"",ORIG!Y873)</f>
        <v/>
      </c>
      <c r="Z873" s="3">
        <f>SUMPRODUCT($B873:$Y873,$B$2649:$Y$2649)</f>
        <v/>
      </c>
      <c r="AA873" s="3">
        <f>SUMPRODUCT($B873:$Y873,$B$2655:$Y$2655)</f>
        <v/>
      </c>
      <c r="AC873" s="1">
        <f>A873</f>
        <v/>
      </c>
      <c r="AD873">
        <f>IF(ISNUMBER(V873),V873*($AB$1/V$2635),"")</f>
        <v/>
      </c>
      <c r="AE873">
        <f>IF(ISNUMBER(Z873),Z873*($AB$1/Z$2635),"")</f>
        <v/>
      </c>
      <c r="AF873" s="25">
        <f>IF(ISNUMBER(AD873+AE873),AD873+AE873,"")</f>
        <v/>
      </c>
      <c r="AH873" s="1">
        <f>A873</f>
        <v/>
      </c>
      <c r="AI873">
        <f>IF(ISNUMBER((1+V873)*AI872),(1+V873)*AI872,AI872)</f>
        <v/>
      </c>
      <c r="AJ873">
        <f>IF(ISNUMBER((1+Z873)*AJ872),(1+Z873)*AJ872,AJ872)</f>
        <v/>
      </c>
    </row>
    <row r="874">
      <c r="A874" s="1" t="n">
        <v>43271</v>
      </c>
      <c r="B874" s="3">
        <f>IF(ORIG!B874=0,"",ORIG!B874)</f>
        <v/>
      </c>
      <c r="C874" s="3">
        <f>IF(ORIG!C874=0,"",ORIG!C874)</f>
        <v/>
      </c>
      <c r="D874" s="3">
        <f>IF(ORIG!D874=0,"",ORIG!D874)</f>
        <v/>
      </c>
      <c r="E874" s="3">
        <f>IF(ORIG!E874=0,"",ORIG!E874)</f>
        <v/>
      </c>
      <c r="F874" s="3">
        <f>IF(ORIG!F874=0,"",ORIG!F874)</f>
        <v/>
      </c>
      <c r="G874" s="3">
        <f>IF(ORIG!G874=0,"",ORIG!G874)</f>
        <v/>
      </c>
      <c r="H874" s="3">
        <f>IF(ORIG!H874=0,"",ORIG!H874)</f>
        <v/>
      </c>
      <c r="I874" s="3">
        <f>IF(ORIG!I874=0,"",ORIG!I874)</f>
        <v/>
      </c>
      <c r="J874" s="3">
        <f>IF(ORIG!J874=0,"",ORIG!J874)</f>
        <v/>
      </c>
      <c r="K874" s="3">
        <f>IF(ORIG!K874=0,"",ORIG!K874)</f>
        <v/>
      </c>
      <c r="L874" s="3">
        <f>IF(ORIG!L874=0,"",ORIG!L874)</f>
        <v/>
      </c>
      <c r="M874" s="3">
        <f>IF(ORIG!M874=0,"",ORIG!M874)</f>
        <v/>
      </c>
      <c r="N874" s="3">
        <f>IF(ORIG!N874=0,"",ORIG!N874)</f>
        <v/>
      </c>
      <c r="O874" s="3">
        <f>IF(ORIG!O874=0,"",ORIG!O874)</f>
        <v/>
      </c>
      <c r="P874" s="3">
        <f>IF(ORIG!P874=0,"",ORIG!P874)</f>
        <v/>
      </c>
      <c r="Q874" s="3">
        <f>IF(ORIG!Q874=0,"",ORIG!Q874)</f>
        <v/>
      </c>
      <c r="R874" s="3">
        <f>IF(ORIG!R874=0,"",ORIG!R874)</f>
        <v/>
      </c>
      <c r="S874" s="3">
        <f>IF(ORIG!S874=0,"",ORIG!S874)</f>
        <v/>
      </c>
      <c r="T874" s="3">
        <f>IF(ORIG!T874=0,"",ORIG!T874)</f>
        <v/>
      </c>
      <c r="U874" s="3">
        <f>IF(ORIG!U874=0,"",ORIG!U874)</f>
        <v/>
      </c>
      <c r="V874" s="9">
        <f>IF(ORIG!V874=0,"",ORIG!V874)</f>
        <v/>
      </c>
      <c r="W874" s="9">
        <f>IF(ORIG!W874=0,"",ORIG!W874)</f>
        <v/>
      </c>
      <c r="X874" s="9">
        <f>IF(ORIG!X874=0,"",ORIG!X874)</f>
        <v/>
      </c>
      <c r="Y874" s="9">
        <f>IF(ORIG!Y874=0,"",ORIG!Y874)</f>
        <v/>
      </c>
      <c r="Z874" s="3">
        <f>SUMPRODUCT($B874:$Y874,$B$2649:$Y$2649)</f>
        <v/>
      </c>
      <c r="AA874" s="3">
        <f>SUMPRODUCT($B874:$Y874,$B$2655:$Y$2655)</f>
        <v/>
      </c>
      <c r="AC874" s="1">
        <f>A874</f>
        <v/>
      </c>
      <c r="AD874">
        <f>IF(ISNUMBER(V874),V874*($AB$1/V$2635),"")</f>
        <v/>
      </c>
      <c r="AE874">
        <f>IF(ISNUMBER(Z874),Z874*($AB$1/Z$2635),"")</f>
        <v/>
      </c>
      <c r="AF874" s="25">
        <f>IF(ISNUMBER(AD874+AE874),AD874+AE874,"")</f>
        <v/>
      </c>
      <c r="AH874" s="1">
        <f>A874</f>
        <v/>
      </c>
      <c r="AI874">
        <f>IF(ISNUMBER((1+V874)*AI873),(1+V874)*AI873,AI873)</f>
        <v/>
      </c>
      <c r="AJ874">
        <f>IF(ISNUMBER((1+Z874)*AJ873),(1+Z874)*AJ873,AJ873)</f>
        <v/>
      </c>
    </row>
    <row r="875">
      <c r="A875" s="1" t="n">
        <v>43272</v>
      </c>
      <c r="B875" s="3">
        <f>IF(ORIG!B875=0,"",ORIG!B875)</f>
        <v/>
      </c>
      <c r="C875" s="3">
        <f>IF(ORIG!C875=0,"",ORIG!C875)</f>
        <v/>
      </c>
      <c r="D875" s="3">
        <f>IF(ORIG!D875=0,"",ORIG!D875)</f>
        <v/>
      </c>
      <c r="E875" s="3">
        <f>IF(ORIG!E875=0,"",ORIG!E875)</f>
        <v/>
      </c>
      <c r="F875" s="3">
        <f>IF(ORIG!F875=0,"",ORIG!F875)</f>
        <v/>
      </c>
      <c r="G875" s="3">
        <f>IF(ORIG!G875=0,"",ORIG!G875)</f>
        <v/>
      </c>
      <c r="H875" s="3">
        <f>IF(ORIG!H875=0,"",ORIG!H875)</f>
        <v/>
      </c>
      <c r="I875" s="3">
        <f>IF(ORIG!I875=0,"",ORIG!I875)</f>
        <v/>
      </c>
      <c r="J875" s="3">
        <f>IF(ORIG!J875=0,"",ORIG!J875)</f>
        <v/>
      </c>
      <c r="K875" s="3">
        <f>IF(ORIG!K875=0,"",ORIG!K875)</f>
        <v/>
      </c>
      <c r="L875" s="3">
        <f>IF(ORIG!L875=0,"",ORIG!L875)</f>
        <v/>
      </c>
      <c r="M875" s="3">
        <f>IF(ORIG!M875=0,"",ORIG!M875)</f>
        <v/>
      </c>
      <c r="N875" s="3">
        <f>IF(ORIG!N875=0,"",ORIG!N875)</f>
        <v/>
      </c>
      <c r="O875" s="3">
        <f>IF(ORIG!O875=0,"",ORIG!O875)</f>
        <v/>
      </c>
      <c r="P875" s="3">
        <f>IF(ORIG!P875=0,"",ORIG!P875)</f>
        <v/>
      </c>
      <c r="Q875" s="3">
        <f>IF(ORIG!Q875=0,"",ORIG!Q875)</f>
        <v/>
      </c>
      <c r="R875" s="3">
        <f>IF(ORIG!R875=0,"",ORIG!R875)</f>
        <v/>
      </c>
      <c r="S875" s="3">
        <f>IF(ORIG!S875=0,"",ORIG!S875)</f>
        <v/>
      </c>
      <c r="T875" s="3">
        <f>IF(ORIG!T875=0,"",ORIG!T875)</f>
        <v/>
      </c>
      <c r="U875" s="3">
        <f>IF(ORIG!U875=0,"",ORIG!U875)</f>
        <v/>
      </c>
      <c r="V875" s="9">
        <f>IF(ORIG!V875=0,"",ORIG!V875)</f>
        <v/>
      </c>
      <c r="W875" s="9">
        <f>IF(ORIG!W875=0,"",ORIG!W875)</f>
        <v/>
      </c>
      <c r="X875" s="9">
        <f>IF(ORIG!X875=0,"",ORIG!X875)</f>
        <v/>
      </c>
      <c r="Y875" s="9">
        <f>IF(ORIG!Y875=0,"",ORIG!Y875)</f>
        <v/>
      </c>
      <c r="Z875" s="3">
        <f>SUMPRODUCT($B875:$Y875,$B$2649:$Y$2649)</f>
        <v/>
      </c>
      <c r="AA875" s="3">
        <f>SUMPRODUCT($B875:$Y875,$B$2655:$Y$2655)</f>
        <v/>
      </c>
      <c r="AC875" s="1">
        <f>A875</f>
        <v/>
      </c>
      <c r="AD875">
        <f>IF(ISNUMBER(V875),V875*($AB$1/V$2635),"")</f>
        <v/>
      </c>
      <c r="AE875">
        <f>IF(ISNUMBER(Z875),Z875*($AB$1/Z$2635),"")</f>
        <v/>
      </c>
      <c r="AF875" s="25">
        <f>IF(ISNUMBER(AD875+AE875),AD875+AE875,"")</f>
        <v/>
      </c>
      <c r="AH875" s="1">
        <f>A875</f>
        <v/>
      </c>
      <c r="AI875">
        <f>IF(ISNUMBER((1+V875)*AI874),(1+V875)*AI874,AI874)</f>
        <v/>
      </c>
      <c r="AJ875">
        <f>IF(ISNUMBER((1+Z875)*AJ874),(1+Z875)*AJ874,AJ874)</f>
        <v/>
      </c>
    </row>
    <row r="876">
      <c r="A876" s="1" t="n">
        <v>43273</v>
      </c>
      <c r="B876" s="3">
        <f>IF(ORIG!B876=0,"",ORIG!B876)</f>
        <v/>
      </c>
      <c r="C876" s="3">
        <f>IF(ORIG!C876=0,"",ORIG!C876)</f>
        <v/>
      </c>
      <c r="D876" s="3">
        <f>IF(ORIG!D876=0,"",ORIG!D876)</f>
        <v/>
      </c>
      <c r="E876" s="3">
        <f>IF(ORIG!E876=0,"",ORIG!E876)</f>
        <v/>
      </c>
      <c r="F876" s="3">
        <f>IF(ORIG!F876=0,"",ORIG!F876)</f>
        <v/>
      </c>
      <c r="G876" s="3">
        <f>IF(ORIG!G876=0,"",ORIG!G876)</f>
        <v/>
      </c>
      <c r="H876" s="3">
        <f>IF(ORIG!H876=0,"",ORIG!H876)</f>
        <v/>
      </c>
      <c r="I876" s="3">
        <f>IF(ORIG!I876=0,"",ORIG!I876)</f>
        <v/>
      </c>
      <c r="J876" s="3">
        <f>IF(ORIG!J876=0,"",ORIG!J876)</f>
        <v/>
      </c>
      <c r="K876" s="3">
        <f>IF(ORIG!K876=0,"",ORIG!K876)</f>
        <v/>
      </c>
      <c r="L876" s="3">
        <f>IF(ORIG!L876=0,"",ORIG!L876)</f>
        <v/>
      </c>
      <c r="M876" s="3">
        <f>IF(ORIG!M876=0,"",ORIG!M876)</f>
        <v/>
      </c>
      <c r="N876" s="3">
        <f>IF(ORIG!N876=0,"",ORIG!N876)</f>
        <v/>
      </c>
      <c r="O876" s="3">
        <f>IF(ORIG!O876=0,"",ORIG!O876)</f>
        <v/>
      </c>
      <c r="P876" s="3">
        <f>IF(ORIG!P876=0,"",ORIG!P876)</f>
        <v/>
      </c>
      <c r="Q876" s="3">
        <f>IF(ORIG!Q876=0,"",ORIG!Q876)</f>
        <v/>
      </c>
      <c r="R876" s="3">
        <f>IF(ORIG!R876=0,"",ORIG!R876)</f>
        <v/>
      </c>
      <c r="S876" s="3">
        <f>IF(ORIG!S876=0,"",ORIG!S876)</f>
        <v/>
      </c>
      <c r="T876" s="3">
        <f>IF(ORIG!T876=0,"",ORIG!T876)</f>
        <v/>
      </c>
      <c r="U876" s="3">
        <f>IF(ORIG!U876=0,"",ORIG!U876)</f>
        <v/>
      </c>
      <c r="V876" s="9">
        <f>IF(ORIG!V876=0,"",ORIG!V876)</f>
        <v/>
      </c>
      <c r="W876" s="9">
        <f>IF(ORIG!W876=0,"",ORIG!W876)</f>
        <v/>
      </c>
      <c r="X876" s="9">
        <f>IF(ORIG!X876=0,"",ORIG!X876)</f>
        <v/>
      </c>
      <c r="Y876" s="9">
        <f>IF(ORIG!Y876=0,"",ORIG!Y876)</f>
        <v/>
      </c>
      <c r="Z876" s="3">
        <f>SUMPRODUCT($B876:$Y876,$B$2649:$Y$2649)</f>
        <v/>
      </c>
      <c r="AA876" s="3">
        <f>SUMPRODUCT($B876:$Y876,$B$2655:$Y$2655)</f>
        <v/>
      </c>
      <c r="AC876" s="1">
        <f>A876</f>
        <v/>
      </c>
      <c r="AD876">
        <f>IF(ISNUMBER(V876),V876*($AB$1/V$2635),"")</f>
        <v/>
      </c>
      <c r="AE876">
        <f>IF(ISNUMBER(Z876),Z876*($AB$1/Z$2635),"")</f>
        <v/>
      </c>
      <c r="AF876" s="25">
        <f>IF(ISNUMBER(AD876+AE876),AD876+AE876,"")</f>
        <v/>
      </c>
      <c r="AH876" s="1">
        <f>A876</f>
        <v/>
      </c>
      <c r="AI876">
        <f>IF(ISNUMBER((1+V876)*AI875),(1+V876)*AI875,AI875)</f>
        <v/>
      </c>
      <c r="AJ876">
        <f>IF(ISNUMBER((1+Z876)*AJ875),(1+Z876)*AJ875,AJ875)</f>
        <v/>
      </c>
    </row>
    <row r="877">
      <c r="A877" s="1" t="n">
        <v>43276</v>
      </c>
      <c r="B877" s="3">
        <f>IF(ORIG!B877=0,"",ORIG!B877)</f>
        <v/>
      </c>
      <c r="C877" s="3">
        <f>IF(ORIG!C877=0,"",ORIG!C877)</f>
        <v/>
      </c>
      <c r="D877" s="3">
        <f>IF(ORIG!D877=0,"",ORIG!D877)</f>
        <v/>
      </c>
      <c r="E877" s="3">
        <f>IF(ORIG!E877=0,"",ORIG!E877)</f>
        <v/>
      </c>
      <c r="F877" s="3">
        <f>IF(ORIG!F877=0,"",ORIG!F877)</f>
        <v/>
      </c>
      <c r="G877" s="3">
        <f>IF(ORIG!G877=0,"",ORIG!G877)</f>
        <v/>
      </c>
      <c r="H877" s="3">
        <f>IF(ORIG!H877=0,"",ORIG!H877)</f>
        <v/>
      </c>
      <c r="I877" s="3">
        <f>IF(ORIG!I877=0,"",ORIG!I877)</f>
        <v/>
      </c>
      <c r="J877" s="3">
        <f>IF(ORIG!J877=0,"",ORIG!J877)</f>
        <v/>
      </c>
      <c r="K877" s="3">
        <f>IF(ORIG!K877=0,"",ORIG!K877)</f>
        <v/>
      </c>
      <c r="L877" s="3">
        <f>IF(ORIG!L877=0,"",ORIG!L877)</f>
        <v/>
      </c>
      <c r="M877" s="3">
        <f>IF(ORIG!M877=0,"",ORIG!M877)</f>
        <v/>
      </c>
      <c r="N877" s="3">
        <f>IF(ORIG!N877=0,"",ORIG!N877)</f>
        <v/>
      </c>
      <c r="O877" s="3">
        <f>IF(ORIG!O877=0,"",ORIG!O877)</f>
        <v/>
      </c>
      <c r="P877" s="3">
        <f>IF(ORIG!P877=0,"",ORIG!P877)</f>
        <v/>
      </c>
      <c r="Q877" s="3">
        <f>IF(ORIG!Q877=0,"",ORIG!Q877)</f>
        <v/>
      </c>
      <c r="R877" s="3">
        <f>IF(ORIG!R877=0,"",ORIG!R877)</f>
        <v/>
      </c>
      <c r="S877" s="3">
        <f>IF(ORIG!S877=0,"",ORIG!S877)</f>
        <v/>
      </c>
      <c r="T877" s="3">
        <f>IF(ORIG!T877=0,"",ORIG!T877)</f>
        <v/>
      </c>
      <c r="U877" s="3">
        <f>IF(ORIG!U877=0,"",ORIG!U877)</f>
        <v/>
      </c>
      <c r="V877" s="9">
        <f>IF(ORIG!V877=0,"",ORIG!V877)</f>
        <v/>
      </c>
      <c r="W877" s="9">
        <f>IF(ORIG!W877=0,"",ORIG!W877)</f>
        <v/>
      </c>
      <c r="X877" s="9">
        <f>IF(ORIG!X877=0,"",ORIG!X877)</f>
        <v/>
      </c>
      <c r="Y877" s="9">
        <f>IF(ORIG!Y877=0,"",ORIG!Y877)</f>
        <v/>
      </c>
      <c r="Z877" s="3">
        <f>SUMPRODUCT($B877:$Y877,$B$2649:$Y$2649)</f>
        <v/>
      </c>
      <c r="AA877" s="3">
        <f>SUMPRODUCT($B877:$Y877,$B$2655:$Y$2655)</f>
        <v/>
      </c>
      <c r="AC877" s="1">
        <f>A877</f>
        <v/>
      </c>
      <c r="AD877">
        <f>IF(ISNUMBER(V877),V877*($AB$1/V$2635),"")</f>
        <v/>
      </c>
      <c r="AE877">
        <f>IF(ISNUMBER(Z877),Z877*($AB$1/Z$2635),"")</f>
        <v/>
      </c>
      <c r="AF877" s="25">
        <f>IF(ISNUMBER(AD877+AE877),AD877+AE877,"")</f>
        <v/>
      </c>
      <c r="AH877" s="1">
        <f>A877</f>
        <v/>
      </c>
      <c r="AI877">
        <f>IF(ISNUMBER((1+V877)*AI876),(1+V877)*AI876,AI876)</f>
        <v/>
      </c>
      <c r="AJ877">
        <f>IF(ISNUMBER((1+Z877)*AJ876),(1+Z877)*AJ876,AJ876)</f>
        <v/>
      </c>
    </row>
    <row r="878">
      <c r="A878" s="1" t="n">
        <v>43277</v>
      </c>
      <c r="B878" s="3">
        <f>IF(ORIG!B878=0,"",ORIG!B878)</f>
        <v/>
      </c>
      <c r="C878" s="3">
        <f>IF(ORIG!C878=0,"",ORIG!C878)</f>
        <v/>
      </c>
      <c r="D878" s="3">
        <f>IF(ORIG!D878=0,"",ORIG!D878)</f>
        <v/>
      </c>
      <c r="E878" s="3">
        <f>IF(ORIG!E878=0,"",ORIG!E878)</f>
        <v/>
      </c>
      <c r="F878" s="3">
        <f>IF(ORIG!F878=0,"",ORIG!F878)</f>
        <v/>
      </c>
      <c r="G878" s="3">
        <f>IF(ORIG!G878=0,"",ORIG!G878)</f>
        <v/>
      </c>
      <c r="H878" s="3">
        <f>IF(ORIG!H878=0,"",ORIG!H878)</f>
        <v/>
      </c>
      <c r="I878" s="3">
        <f>IF(ORIG!I878=0,"",ORIG!I878)</f>
        <v/>
      </c>
      <c r="J878" s="3">
        <f>IF(ORIG!J878=0,"",ORIG!J878)</f>
        <v/>
      </c>
      <c r="K878" s="3">
        <f>IF(ORIG!K878=0,"",ORIG!K878)</f>
        <v/>
      </c>
      <c r="L878" s="3">
        <f>IF(ORIG!L878=0,"",ORIG!L878)</f>
        <v/>
      </c>
      <c r="M878" s="3">
        <f>IF(ORIG!M878=0,"",ORIG!M878)</f>
        <v/>
      </c>
      <c r="N878" s="3">
        <f>IF(ORIG!N878=0,"",ORIG!N878)</f>
        <v/>
      </c>
      <c r="O878" s="3">
        <f>IF(ORIG!O878=0,"",ORIG!O878)</f>
        <v/>
      </c>
      <c r="P878" s="3">
        <f>IF(ORIG!P878=0,"",ORIG!P878)</f>
        <v/>
      </c>
      <c r="Q878" s="3">
        <f>IF(ORIG!Q878=0,"",ORIG!Q878)</f>
        <v/>
      </c>
      <c r="R878" s="3">
        <f>IF(ORIG!R878=0,"",ORIG!R878)</f>
        <v/>
      </c>
      <c r="S878" s="3">
        <f>IF(ORIG!S878=0,"",ORIG!S878)</f>
        <v/>
      </c>
      <c r="T878" s="3">
        <f>IF(ORIG!T878=0,"",ORIG!T878)</f>
        <v/>
      </c>
      <c r="U878" s="3">
        <f>IF(ORIG!U878=0,"",ORIG!U878)</f>
        <v/>
      </c>
      <c r="V878" s="9">
        <f>IF(ORIG!V878=0,"",ORIG!V878)</f>
        <v/>
      </c>
      <c r="W878" s="9">
        <f>IF(ORIG!W878=0,"",ORIG!W878)</f>
        <v/>
      </c>
      <c r="X878" s="9">
        <f>IF(ORIG!X878=0,"",ORIG!X878)</f>
        <v/>
      </c>
      <c r="Y878" s="9">
        <f>IF(ORIG!Y878=0,"",ORIG!Y878)</f>
        <v/>
      </c>
      <c r="Z878" s="3">
        <f>SUMPRODUCT($B878:$Y878,$B$2649:$Y$2649)</f>
        <v/>
      </c>
      <c r="AA878" s="3">
        <f>SUMPRODUCT($B878:$Y878,$B$2655:$Y$2655)</f>
        <v/>
      </c>
      <c r="AC878" s="1">
        <f>A878</f>
        <v/>
      </c>
      <c r="AD878">
        <f>IF(ISNUMBER(V878),V878*($AB$1/V$2635),"")</f>
        <v/>
      </c>
      <c r="AE878">
        <f>IF(ISNUMBER(Z878),Z878*($AB$1/Z$2635),"")</f>
        <v/>
      </c>
      <c r="AF878" s="25">
        <f>IF(ISNUMBER(AD878+AE878),AD878+AE878,"")</f>
        <v/>
      </c>
      <c r="AH878" s="1">
        <f>A878</f>
        <v/>
      </c>
      <c r="AI878">
        <f>IF(ISNUMBER((1+V878)*AI877),(1+V878)*AI877,AI877)</f>
        <v/>
      </c>
      <c r="AJ878">
        <f>IF(ISNUMBER((1+Z878)*AJ877),(1+Z878)*AJ877,AJ877)</f>
        <v/>
      </c>
    </row>
    <row r="879">
      <c r="A879" s="1" t="n">
        <v>43278</v>
      </c>
      <c r="B879" s="3">
        <f>IF(ORIG!B879=0,"",ORIG!B879)</f>
        <v/>
      </c>
      <c r="C879" s="3">
        <f>IF(ORIG!C879=0,"",ORIG!C879)</f>
        <v/>
      </c>
      <c r="D879" s="3">
        <f>IF(ORIG!D879=0,"",ORIG!D879)</f>
        <v/>
      </c>
      <c r="E879" s="3">
        <f>IF(ORIG!E879=0,"",ORIG!E879)</f>
        <v/>
      </c>
      <c r="F879" s="3">
        <f>IF(ORIG!F879=0,"",ORIG!F879)</f>
        <v/>
      </c>
      <c r="G879" s="3">
        <f>IF(ORIG!G879=0,"",ORIG!G879)</f>
        <v/>
      </c>
      <c r="H879" s="3">
        <f>IF(ORIG!H879=0,"",ORIG!H879)</f>
        <v/>
      </c>
      <c r="I879" s="3">
        <f>IF(ORIG!I879=0,"",ORIG!I879)</f>
        <v/>
      </c>
      <c r="J879" s="3">
        <f>IF(ORIG!J879=0,"",ORIG!J879)</f>
        <v/>
      </c>
      <c r="K879" s="3">
        <f>IF(ORIG!K879=0,"",ORIG!K879)</f>
        <v/>
      </c>
      <c r="L879" s="3">
        <f>IF(ORIG!L879=0,"",ORIG!L879)</f>
        <v/>
      </c>
      <c r="M879" s="3">
        <f>IF(ORIG!M879=0,"",ORIG!M879)</f>
        <v/>
      </c>
      <c r="N879" s="3">
        <f>IF(ORIG!N879=0,"",ORIG!N879)</f>
        <v/>
      </c>
      <c r="O879" s="3">
        <f>IF(ORIG!O879=0,"",ORIG!O879)</f>
        <v/>
      </c>
      <c r="P879" s="3">
        <f>IF(ORIG!P879=0,"",ORIG!P879)</f>
        <v/>
      </c>
      <c r="Q879" s="3">
        <f>IF(ORIG!Q879=0,"",ORIG!Q879)</f>
        <v/>
      </c>
      <c r="R879" s="3">
        <f>IF(ORIG!R879=0,"",ORIG!R879)</f>
        <v/>
      </c>
      <c r="S879" s="3">
        <f>IF(ORIG!S879=0,"",ORIG!S879)</f>
        <v/>
      </c>
      <c r="T879" s="3">
        <f>IF(ORIG!T879=0,"",ORIG!T879)</f>
        <v/>
      </c>
      <c r="U879" s="3">
        <f>IF(ORIG!U879=0,"",ORIG!U879)</f>
        <v/>
      </c>
      <c r="V879" s="9">
        <f>IF(ORIG!V879=0,"",ORIG!V879)</f>
        <v/>
      </c>
      <c r="W879" s="9">
        <f>IF(ORIG!W879=0,"",ORIG!W879)</f>
        <v/>
      </c>
      <c r="X879" s="9">
        <f>IF(ORIG!X879=0,"",ORIG!X879)</f>
        <v/>
      </c>
      <c r="Y879" s="9">
        <f>IF(ORIG!Y879=0,"",ORIG!Y879)</f>
        <v/>
      </c>
      <c r="Z879" s="3">
        <f>SUMPRODUCT($B879:$Y879,$B$2649:$Y$2649)</f>
        <v/>
      </c>
      <c r="AA879" s="3">
        <f>SUMPRODUCT($B879:$Y879,$B$2655:$Y$2655)</f>
        <v/>
      </c>
      <c r="AC879" s="1">
        <f>A879</f>
        <v/>
      </c>
      <c r="AD879">
        <f>IF(ISNUMBER(V879),V879*($AB$1/V$2635),"")</f>
        <v/>
      </c>
      <c r="AE879">
        <f>IF(ISNUMBER(Z879),Z879*($AB$1/Z$2635),"")</f>
        <v/>
      </c>
      <c r="AF879" s="25">
        <f>IF(ISNUMBER(AD879+AE879),AD879+AE879,"")</f>
        <v/>
      </c>
      <c r="AH879" s="1">
        <f>A879</f>
        <v/>
      </c>
      <c r="AI879">
        <f>IF(ISNUMBER((1+V879)*AI878),(1+V879)*AI878,AI878)</f>
        <v/>
      </c>
      <c r="AJ879">
        <f>IF(ISNUMBER((1+Z879)*AJ878),(1+Z879)*AJ878,AJ878)</f>
        <v/>
      </c>
    </row>
    <row r="880">
      <c r="A880" s="1" t="n">
        <v>43279</v>
      </c>
      <c r="B880" s="3">
        <f>IF(ORIG!B880=0,"",ORIG!B880)</f>
        <v/>
      </c>
      <c r="C880" s="3">
        <f>IF(ORIG!C880=0,"",ORIG!C880)</f>
        <v/>
      </c>
      <c r="D880" s="3">
        <f>IF(ORIG!D880=0,"",ORIG!D880)</f>
        <v/>
      </c>
      <c r="E880" s="3">
        <f>IF(ORIG!E880=0,"",ORIG!E880)</f>
        <v/>
      </c>
      <c r="F880" s="3">
        <f>IF(ORIG!F880=0,"",ORIG!F880)</f>
        <v/>
      </c>
      <c r="G880" s="3">
        <f>IF(ORIG!G880=0,"",ORIG!G880)</f>
        <v/>
      </c>
      <c r="H880" s="3">
        <f>IF(ORIG!H880=0,"",ORIG!H880)</f>
        <v/>
      </c>
      <c r="I880" s="3">
        <f>IF(ORIG!I880=0,"",ORIG!I880)</f>
        <v/>
      </c>
      <c r="J880" s="3">
        <f>IF(ORIG!J880=0,"",ORIG!J880)</f>
        <v/>
      </c>
      <c r="K880" s="3">
        <f>IF(ORIG!K880=0,"",ORIG!K880)</f>
        <v/>
      </c>
      <c r="L880" s="3">
        <f>IF(ORIG!L880=0,"",ORIG!L880)</f>
        <v/>
      </c>
      <c r="M880" s="3">
        <f>IF(ORIG!M880=0,"",ORIG!M880)</f>
        <v/>
      </c>
      <c r="N880" s="3">
        <f>IF(ORIG!N880=0,"",ORIG!N880)</f>
        <v/>
      </c>
      <c r="O880" s="3">
        <f>IF(ORIG!O880=0,"",ORIG!O880)</f>
        <v/>
      </c>
      <c r="P880" s="3">
        <f>IF(ORIG!P880=0,"",ORIG!P880)</f>
        <v/>
      </c>
      <c r="Q880" s="3">
        <f>IF(ORIG!Q880=0,"",ORIG!Q880)</f>
        <v/>
      </c>
      <c r="R880" s="3">
        <f>IF(ORIG!R880=0,"",ORIG!R880)</f>
        <v/>
      </c>
      <c r="S880" s="3">
        <f>IF(ORIG!S880=0,"",ORIG!S880)</f>
        <v/>
      </c>
      <c r="T880" s="3">
        <f>IF(ORIG!T880=0,"",ORIG!T880)</f>
        <v/>
      </c>
      <c r="U880" s="3">
        <f>IF(ORIG!U880=0,"",ORIG!U880)</f>
        <v/>
      </c>
      <c r="V880" s="9">
        <f>IF(ORIG!V880=0,"",ORIG!V880)</f>
        <v/>
      </c>
      <c r="W880" s="9">
        <f>IF(ORIG!W880=0,"",ORIG!W880)</f>
        <v/>
      </c>
      <c r="X880" s="9">
        <f>IF(ORIG!X880=0,"",ORIG!X880)</f>
        <v/>
      </c>
      <c r="Y880" s="9">
        <f>IF(ORIG!Y880=0,"",ORIG!Y880)</f>
        <v/>
      </c>
      <c r="Z880" s="3">
        <f>SUMPRODUCT($B880:$Y880,$B$2649:$Y$2649)</f>
        <v/>
      </c>
      <c r="AA880" s="3">
        <f>SUMPRODUCT($B880:$Y880,$B$2655:$Y$2655)</f>
        <v/>
      </c>
      <c r="AC880" s="1">
        <f>A880</f>
        <v/>
      </c>
      <c r="AD880">
        <f>IF(ISNUMBER(V880),V880*($AB$1/V$2635),"")</f>
        <v/>
      </c>
      <c r="AE880">
        <f>IF(ISNUMBER(Z880),Z880*($AB$1/Z$2635),"")</f>
        <v/>
      </c>
      <c r="AF880" s="25">
        <f>IF(ISNUMBER(AD880+AE880),AD880+AE880,"")</f>
        <v/>
      </c>
      <c r="AH880" s="1">
        <f>A880</f>
        <v/>
      </c>
      <c r="AI880">
        <f>IF(ISNUMBER((1+V880)*AI879),(1+V880)*AI879,AI879)</f>
        <v/>
      </c>
      <c r="AJ880">
        <f>IF(ISNUMBER((1+Z880)*AJ879),(1+Z880)*AJ879,AJ879)</f>
        <v/>
      </c>
    </row>
    <row r="881">
      <c r="A881" s="1" t="n">
        <v>43280</v>
      </c>
      <c r="B881" s="3">
        <f>IF(ORIG!B881=0,"",ORIG!B881)</f>
        <v/>
      </c>
      <c r="C881" s="3">
        <f>IF(ORIG!C881=0,"",ORIG!C881)</f>
        <v/>
      </c>
      <c r="D881" s="3">
        <f>IF(ORIG!D881=0,"",ORIG!D881)</f>
        <v/>
      </c>
      <c r="E881" s="3">
        <f>IF(ORIG!E881=0,"",ORIG!E881)</f>
        <v/>
      </c>
      <c r="F881" s="3">
        <f>IF(ORIG!F881=0,"",ORIG!F881)</f>
        <v/>
      </c>
      <c r="G881" s="3">
        <f>IF(ORIG!G881=0,"",ORIG!G881)</f>
        <v/>
      </c>
      <c r="H881" s="3">
        <f>IF(ORIG!H881=0,"",ORIG!H881)</f>
        <v/>
      </c>
      <c r="I881" s="3">
        <f>IF(ORIG!I881=0,"",ORIG!I881)</f>
        <v/>
      </c>
      <c r="J881" s="3">
        <f>IF(ORIG!J881=0,"",ORIG!J881)</f>
        <v/>
      </c>
      <c r="K881" s="3">
        <f>IF(ORIG!K881=0,"",ORIG!K881)</f>
        <v/>
      </c>
      <c r="L881" s="3">
        <f>IF(ORIG!L881=0,"",ORIG!L881)</f>
        <v/>
      </c>
      <c r="M881" s="3">
        <f>IF(ORIG!M881=0,"",ORIG!M881)</f>
        <v/>
      </c>
      <c r="N881" s="3">
        <f>IF(ORIG!N881=0,"",ORIG!N881)</f>
        <v/>
      </c>
      <c r="O881" s="3">
        <f>IF(ORIG!O881=0,"",ORIG!O881)</f>
        <v/>
      </c>
      <c r="P881" s="3">
        <f>IF(ORIG!P881=0,"",ORIG!P881)</f>
        <v/>
      </c>
      <c r="Q881" s="3">
        <f>IF(ORIG!Q881=0,"",ORIG!Q881)</f>
        <v/>
      </c>
      <c r="R881" s="3">
        <f>IF(ORIG!R881=0,"",ORIG!R881)</f>
        <v/>
      </c>
      <c r="S881" s="3">
        <f>IF(ORIG!S881=0,"",ORIG!S881)</f>
        <v/>
      </c>
      <c r="T881" s="3">
        <f>IF(ORIG!T881=0,"",ORIG!T881)</f>
        <v/>
      </c>
      <c r="U881" s="3">
        <f>IF(ORIG!U881=0,"",ORIG!U881)</f>
        <v/>
      </c>
      <c r="V881" s="9">
        <f>IF(ORIG!V881=0,"",ORIG!V881)</f>
        <v/>
      </c>
      <c r="W881" s="9">
        <f>IF(ORIG!W881=0,"",ORIG!W881)</f>
        <v/>
      </c>
      <c r="X881" s="9">
        <f>IF(ORIG!X881=0,"",ORIG!X881)</f>
        <v/>
      </c>
      <c r="Y881" s="9">
        <f>IF(ORIG!Y881=0,"",ORIG!Y881)</f>
        <v/>
      </c>
      <c r="Z881" s="3">
        <f>SUMPRODUCT($B881:$Y881,$B$2649:$Y$2649)</f>
        <v/>
      </c>
      <c r="AA881" s="3">
        <f>SUMPRODUCT($B881:$Y881,$B$2655:$Y$2655)</f>
        <v/>
      </c>
      <c r="AC881" s="1">
        <f>A881</f>
        <v/>
      </c>
      <c r="AD881">
        <f>IF(ISNUMBER(V881),V881*($AB$1/V$2635),"")</f>
        <v/>
      </c>
      <c r="AE881">
        <f>IF(ISNUMBER(Z881),Z881*($AB$1/Z$2635),"")</f>
        <v/>
      </c>
      <c r="AF881" s="25">
        <f>IF(ISNUMBER(AD881+AE881),AD881+AE881,"")</f>
        <v/>
      </c>
      <c r="AH881" s="1">
        <f>A881</f>
        <v/>
      </c>
      <c r="AI881">
        <f>IF(ISNUMBER((1+V881)*AI880),(1+V881)*AI880,AI880)</f>
        <v/>
      </c>
      <c r="AJ881">
        <f>IF(ISNUMBER((1+Z881)*AJ880),(1+Z881)*AJ880,AJ880)</f>
        <v/>
      </c>
    </row>
    <row r="882">
      <c r="A882" s="1" t="n">
        <v>43283</v>
      </c>
      <c r="B882" s="3">
        <f>IF(ORIG!B882=0,"",ORIG!B882)</f>
        <v/>
      </c>
      <c r="C882" s="3">
        <f>IF(ORIG!C882=0,"",ORIG!C882)</f>
        <v/>
      </c>
      <c r="D882" s="3">
        <f>IF(ORIG!D882=0,"",ORIG!D882)</f>
        <v/>
      </c>
      <c r="E882" s="3">
        <f>IF(ORIG!E882=0,"",ORIG!E882)</f>
        <v/>
      </c>
      <c r="F882" s="3">
        <f>IF(ORIG!F882=0,"",ORIG!F882)</f>
        <v/>
      </c>
      <c r="G882" s="3">
        <f>IF(ORIG!G882=0,"",ORIG!G882)</f>
        <v/>
      </c>
      <c r="H882" s="3">
        <f>IF(ORIG!H882=0,"",ORIG!H882)</f>
        <v/>
      </c>
      <c r="I882" s="3">
        <f>IF(ORIG!I882=0,"",ORIG!I882)</f>
        <v/>
      </c>
      <c r="J882" s="3">
        <f>IF(ORIG!J882=0,"",ORIG!J882)</f>
        <v/>
      </c>
      <c r="K882" s="3">
        <f>IF(ORIG!K882=0,"",ORIG!K882)</f>
        <v/>
      </c>
      <c r="L882" s="3">
        <f>IF(ORIG!L882=0,"",ORIG!L882)</f>
        <v/>
      </c>
      <c r="M882" s="3">
        <f>IF(ORIG!M882=0,"",ORIG!M882)</f>
        <v/>
      </c>
      <c r="N882" s="3">
        <f>IF(ORIG!N882=0,"",ORIG!N882)</f>
        <v/>
      </c>
      <c r="O882" s="3">
        <f>IF(ORIG!O882=0,"",ORIG!O882)</f>
        <v/>
      </c>
      <c r="P882" s="3">
        <f>IF(ORIG!P882=0,"",ORIG!P882)</f>
        <v/>
      </c>
      <c r="Q882" s="3">
        <f>IF(ORIG!Q882=0,"",ORIG!Q882)</f>
        <v/>
      </c>
      <c r="R882" s="3">
        <f>IF(ORIG!R882=0,"",ORIG!R882)</f>
        <v/>
      </c>
      <c r="S882" s="3">
        <f>IF(ORIG!S882=0,"",ORIG!S882)</f>
        <v/>
      </c>
      <c r="T882" s="3">
        <f>IF(ORIG!T882=0,"",ORIG!T882)</f>
        <v/>
      </c>
      <c r="U882" s="3">
        <f>IF(ORIG!U882=0,"",ORIG!U882)</f>
        <v/>
      </c>
      <c r="V882" s="9">
        <f>IF(ORIG!V882=0,"",ORIG!V882)</f>
        <v/>
      </c>
      <c r="W882" s="9">
        <f>IF(ORIG!W882=0,"",ORIG!W882)</f>
        <v/>
      </c>
      <c r="X882" s="9">
        <f>IF(ORIG!X882=0,"",ORIG!X882)</f>
        <v/>
      </c>
      <c r="Y882" s="9">
        <f>IF(ORIG!Y882=0,"",ORIG!Y882)</f>
        <v/>
      </c>
      <c r="Z882" s="3">
        <f>SUMPRODUCT($B882:$Y882,$B$2649:$Y$2649)</f>
        <v/>
      </c>
      <c r="AA882" s="3">
        <f>SUMPRODUCT($B882:$Y882,$B$2655:$Y$2655)</f>
        <v/>
      </c>
      <c r="AC882" s="1">
        <f>A882</f>
        <v/>
      </c>
      <c r="AD882">
        <f>IF(ISNUMBER(V882),V882*($AB$1/V$2635),"")</f>
        <v/>
      </c>
      <c r="AE882">
        <f>IF(ISNUMBER(Z882),Z882*($AB$1/Z$2635),"")</f>
        <v/>
      </c>
      <c r="AF882" s="25">
        <f>IF(ISNUMBER(AD882+AE882),AD882+AE882,"")</f>
        <v/>
      </c>
      <c r="AH882" s="1">
        <f>A882</f>
        <v/>
      </c>
      <c r="AI882">
        <f>IF(ISNUMBER((1+V882)*AI881),(1+V882)*AI881,AI881)</f>
        <v/>
      </c>
      <c r="AJ882">
        <f>IF(ISNUMBER((1+Z882)*AJ881),(1+Z882)*AJ881,AJ881)</f>
        <v/>
      </c>
    </row>
    <row r="883">
      <c r="A883" s="1" t="n">
        <v>43284</v>
      </c>
      <c r="B883" s="3">
        <f>IF(ORIG!B883=0,"",ORIG!B883)</f>
        <v/>
      </c>
      <c r="C883" s="3">
        <f>IF(ORIG!C883=0,"",ORIG!C883)</f>
        <v/>
      </c>
      <c r="D883" s="3">
        <f>IF(ORIG!D883=0,"",ORIG!D883)</f>
        <v/>
      </c>
      <c r="E883" s="3">
        <f>IF(ORIG!E883=0,"",ORIG!E883)</f>
        <v/>
      </c>
      <c r="F883" s="3">
        <f>IF(ORIG!F883=0,"",ORIG!F883)</f>
        <v/>
      </c>
      <c r="G883" s="3">
        <f>IF(ORIG!G883=0,"",ORIG!G883)</f>
        <v/>
      </c>
      <c r="H883" s="3">
        <f>IF(ORIG!H883=0,"",ORIG!H883)</f>
        <v/>
      </c>
      <c r="I883" s="3">
        <f>IF(ORIG!I883=0,"",ORIG!I883)</f>
        <v/>
      </c>
      <c r="J883" s="3">
        <f>IF(ORIG!J883=0,"",ORIG!J883)</f>
        <v/>
      </c>
      <c r="K883" s="3">
        <f>IF(ORIG!K883=0,"",ORIG!K883)</f>
        <v/>
      </c>
      <c r="L883" s="3">
        <f>IF(ORIG!L883=0,"",ORIG!L883)</f>
        <v/>
      </c>
      <c r="M883" s="3">
        <f>IF(ORIG!M883=0,"",ORIG!M883)</f>
        <v/>
      </c>
      <c r="N883" s="3">
        <f>IF(ORIG!N883=0,"",ORIG!N883)</f>
        <v/>
      </c>
      <c r="O883" s="3">
        <f>IF(ORIG!O883=0,"",ORIG!O883)</f>
        <v/>
      </c>
      <c r="P883" s="3">
        <f>IF(ORIG!P883=0,"",ORIG!P883)</f>
        <v/>
      </c>
      <c r="Q883" s="3">
        <f>IF(ORIG!Q883=0,"",ORIG!Q883)</f>
        <v/>
      </c>
      <c r="R883" s="3">
        <f>IF(ORIG!R883=0,"",ORIG!R883)</f>
        <v/>
      </c>
      <c r="S883" s="3">
        <f>IF(ORIG!S883=0,"",ORIG!S883)</f>
        <v/>
      </c>
      <c r="T883" s="3">
        <f>IF(ORIG!T883=0,"",ORIG!T883)</f>
        <v/>
      </c>
      <c r="U883" s="3">
        <f>IF(ORIG!U883=0,"",ORIG!U883)</f>
        <v/>
      </c>
      <c r="V883" s="9">
        <f>IF(ORIG!V883=0,"",ORIG!V883)</f>
        <v/>
      </c>
      <c r="W883" s="9">
        <f>IF(ORIG!W883=0,"",ORIG!W883)</f>
        <v/>
      </c>
      <c r="X883" s="9">
        <f>IF(ORIG!X883=0,"",ORIG!X883)</f>
        <v/>
      </c>
      <c r="Y883" s="9">
        <f>IF(ORIG!Y883=0,"",ORIG!Y883)</f>
        <v/>
      </c>
      <c r="Z883" s="3">
        <f>SUMPRODUCT($B883:$Y883,$B$2649:$Y$2649)</f>
        <v/>
      </c>
      <c r="AA883" s="3">
        <f>SUMPRODUCT($B883:$Y883,$B$2655:$Y$2655)</f>
        <v/>
      </c>
      <c r="AC883" s="1">
        <f>A883</f>
        <v/>
      </c>
      <c r="AD883">
        <f>IF(ISNUMBER(V883),V883*($AB$1/V$2635),"")</f>
        <v/>
      </c>
      <c r="AE883">
        <f>IF(ISNUMBER(Z883),Z883*($AB$1/Z$2635),"")</f>
        <v/>
      </c>
      <c r="AF883" s="25">
        <f>IF(ISNUMBER(AD883+AE883),AD883+AE883,"")</f>
        <v/>
      </c>
      <c r="AH883" s="1">
        <f>A883</f>
        <v/>
      </c>
      <c r="AI883">
        <f>IF(ISNUMBER((1+V883)*AI882),(1+V883)*AI882,AI882)</f>
        <v/>
      </c>
      <c r="AJ883">
        <f>IF(ISNUMBER((1+Z883)*AJ882),(1+Z883)*AJ882,AJ882)</f>
        <v/>
      </c>
    </row>
    <row r="884">
      <c r="A884" s="1" t="n">
        <v>43286</v>
      </c>
      <c r="B884" s="3">
        <f>IF(ORIG!B884=0,"",ORIG!B884)</f>
        <v/>
      </c>
      <c r="C884" s="3">
        <f>IF(ORIG!C884=0,"",ORIG!C884)</f>
        <v/>
      </c>
      <c r="D884" s="3">
        <f>IF(ORIG!D884=0,"",ORIG!D884)</f>
        <v/>
      </c>
      <c r="E884" s="3">
        <f>IF(ORIG!E884=0,"",ORIG!E884)</f>
        <v/>
      </c>
      <c r="F884" s="3">
        <f>IF(ORIG!F884=0,"",ORIG!F884)</f>
        <v/>
      </c>
      <c r="G884" s="3">
        <f>IF(ORIG!G884=0,"",ORIG!G884)</f>
        <v/>
      </c>
      <c r="H884" s="3">
        <f>IF(ORIG!H884=0,"",ORIG!H884)</f>
        <v/>
      </c>
      <c r="I884" s="3">
        <f>IF(ORIG!I884=0,"",ORIG!I884)</f>
        <v/>
      </c>
      <c r="J884" s="3">
        <f>IF(ORIG!J884=0,"",ORIG!J884)</f>
        <v/>
      </c>
      <c r="K884" s="3">
        <f>IF(ORIG!K884=0,"",ORIG!K884)</f>
        <v/>
      </c>
      <c r="L884" s="3">
        <f>IF(ORIG!L884=0,"",ORIG!L884)</f>
        <v/>
      </c>
      <c r="M884" s="3">
        <f>IF(ORIG!M884=0,"",ORIG!M884)</f>
        <v/>
      </c>
      <c r="N884" s="3">
        <f>IF(ORIG!N884=0,"",ORIG!N884)</f>
        <v/>
      </c>
      <c r="O884" s="3">
        <f>IF(ORIG!O884=0,"",ORIG!O884)</f>
        <v/>
      </c>
      <c r="P884" s="3">
        <f>IF(ORIG!P884=0,"",ORIG!P884)</f>
        <v/>
      </c>
      <c r="Q884" s="3">
        <f>IF(ORIG!Q884=0,"",ORIG!Q884)</f>
        <v/>
      </c>
      <c r="R884" s="3">
        <f>IF(ORIG!R884=0,"",ORIG!R884)</f>
        <v/>
      </c>
      <c r="S884" s="3">
        <f>IF(ORIG!S884=0,"",ORIG!S884)</f>
        <v/>
      </c>
      <c r="T884" s="3">
        <f>IF(ORIG!T884=0,"",ORIG!T884)</f>
        <v/>
      </c>
      <c r="U884" s="3">
        <f>IF(ORIG!U884=0,"",ORIG!U884)</f>
        <v/>
      </c>
      <c r="V884" s="9">
        <f>IF(ORIG!V884=0,"",ORIG!V884)</f>
        <v/>
      </c>
      <c r="W884" s="9">
        <f>IF(ORIG!W884=0,"",ORIG!W884)</f>
        <v/>
      </c>
      <c r="X884" s="9">
        <f>IF(ORIG!X884=0,"",ORIG!X884)</f>
        <v/>
      </c>
      <c r="Y884" s="9">
        <f>IF(ORIG!Y884=0,"",ORIG!Y884)</f>
        <v/>
      </c>
      <c r="Z884" s="3">
        <f>SUMPRODUCT($B884:$Y884,$B$2649:$Y$2649)</f>
        <v/>
      </c>
      <c r="AA884" s="3">
        <f>SUMPRODUCT($B884:$Y884,$B$2655:$Y$2655)</f>
        <v/>
      </c>
      <c r="AC884" s="1">
        <f>A884</f>
        <v/>
      </c>
      <c r="AD884">
        <f>IF(ISNUMBER(V884),V884*($AB$1/V$2635),"")</f>
        <v/>
      </c>
      <c r="AE884">
        <f>IF(ISNUMBER(Z884),Z884*($AB$1/Z$2635),"")</f>
        <v/>
      </c>
      <c r="AF884" s="25">
        <f>IF(ISNUMBER(AD884+AE884),AD884+AE884,"")</f>
        <v/>
      </c>
      <c r="AH884" s="1">
        <f>A884</f>
        <v/>
      </c>
      <c r="AI884">
        <f>IF(ISNUMBER((1+V884)*AI883),(1+V884)*AI883,AI883)</f>
        <v/>
      </c>
      <c r="AJ884">
        <f>IF(ISNUMBER((1+Z884)*AJ883),(1+Z884)*AJ883,AJ883)</f>
        <v/>
      </c>
    </row>
    <row r="885">
      <c r="A885" s="1" t="n">
        <v>43287</v>
      </c>
      <c r="B885" s="3">
        <f>IF(ORIG!B885=0,"",ORIG!B885)</f>
        <v/>
      </c>
      <c r="C885" s="3">
        <f>IF(ORIG!C885=0,"",ORIG!C885)</f>
        <v/>
      </c>
      <c r="D885" s="3">
        <f>IF(ORIG!D885=0,"",ORIG!D885)</f>
        <v/>
      </c>
      <c r="E885" s="3">
        <f>IF(ORIG!E885=0,"",ORIG!E885)</f>
        <v/>
      </c>
      <c r="F885" s="3">
        <f>IF(ORIG!F885=0,"",ORIG!F885)</f>
        <v/>
      </c>
      <c r="G885" s="3">
        <f>IF(ORIG!G885=0,"",ORIG!G885)</f>
        <v/>
      </c>
      <c r="H885" s="3">
        <f>IF(ORIG!H885=0,"",ORIG!H885)</f>
        <v/>
      </c>
      <c r="I885" s="3">
        <f>IF(ORIG!I885=0,"",ORIG!I885)</f>
        <v/>
      </c>
      <c r="J885" s="3">
        <f>IF(ORIG!J885=0,"",ORIG!J885)</f>
        <v/>
      </c>
      <c r="K885" s="3">
        <f>IF(ORIG!K885=0,"",ORIG!K885)</f>
        <v/>
      </c>
      <c r="L885" s="3">
        <f>IF(ORIG!L885=0,"",ORIG!L885)</f>
        <v/>
      </c>
      <c r="M885" s="3">
        <f>IF(ORIG!M885=0,"",ORIG!M885)</f>
        <v/>
      </c>
      <c r="N885" s="3">
        <f>IF(ORIG!N885=0,"",ORIG!N885)</f>
        <v/>
      </c>
      <c r="O885" s="3">
        <f>IF(ORIG!O885=0,"",ORIG!O885)</f>
        <v/>
      </c>
      <c r="P885" s="3">
        <f>IF(ORIG!P885=0,"",ORIG!P885)</f>
        <v/>
      </c>
      <c r="Q885" s="3">
        <f>IF(ORIG!Q885=0,"",ORIG!Q885)</f>
        <v/>
      </c>
      <c r="R885" s="3">
        <f>IF(ORIG!R885=0,"",ORIG!R885)</f>
        <v/>
      </c>
      <c r="S885" s="3">
        <f>IF(ORIG!S885=0,"",ORIG!S885)</f>
        <v/>
      </c>
      <c r="T885" s="3">
        <f>IF(ORIG!T885=0,"",ORIG!T885)</f>
        <v/>
      </c>
      <c r="U885" s="3">
        <f>IF(ORIG!U885=0,"",ORIG!U885)</f>
        <v/>
      </c>
      <c r="V885" s="9">
        <f>IF(ORIG!V885=0,"",ORIG!V885)</f>
        <v/>
      </c>
      <c r="W885" s="9">
        <f>IF(ORIG!W885=0,"",ORIG!W885)</f>
        <v/>
      </c>
      <c r="X885" s="9">
        <f>IF(ORIG!X885=0,"",ORIG!X885)</f>
        <v/>
      </c>
      <c r="Y885" s="9">
        <f>IF(ORIG!Y885=0,"",ORIG!Y885)</f>
        <v/>
      </c>
      <c r="Z885" s="3">
        <f>SUMPRODUCT($B885:$Y885,$B$2649:$Y$2649)</f>
        <v/>
      </c>
      <c r="AA885" s="3">
        <f>SUMPRODUCT($B885:$Y885,$B$2655:$Y$2655)</f>
        <v/>
      </c>
      <c r="AC885" s="1">
        <f>A885</f>
        <v/>
      </c>
      <c r="AD885">
        <f>IF(ISNUMBER(V885),V885*($AB$1/V$2635),"")</f>
        <v/>
      </c>
      <c r="AE885">
        <f>IF(ISNUMBER(Z885),Z885*($AB$1/Z$2635),"")</f>
        <v/>
      </c>
      <c r="AF885" s="25">
        <f>IF(ISNUMBER(AD885+AE885),AD885+AE885,"")</f>
        <v/>
      </c>
      <c r="AH885" s="1">
        <f>A885</f>
        <v/>
      </c>
      <c r="AI885">
        <f>IF(ISNUMBER((1+V885)*AI884),(1+V885)*AI884,AI884)</f>
        <v/>
      </c>
      <c r="AJ885">
        <f>IF(ISNUMBER((1+Z885)*AJ884),(1+Z885)*AJ884,AJ884)</f>
        <v/>
      </c>
    </row>
    <row r="886">
      <c r="A886" s="1" t="n">
        <v>43290</v>
      </c>
      <c r="B886" s="3">
        <f>IF(ORIG!B886=0,"",ORIG!B886)</f>
        <v/>
      </c>
      <c r="C886" s="3">
        <f>IF(ORIG!C886=0,"",ORIG!C886)</f>
        <v/>
      </c>
      <c r="D886" s="3">
        <f>IF(ORIG!D886=0,"",ORIG!D886)</f>
        <v/>
      </c>
      <c r="E886" s="3">
        <f>IF(ORIG!E886=0,"",ORIG!E886)</f>
        <v/>
      </c>
      <c r="F886" s="3">
        <f>IF(ORIG!F886=0,"",ORIG!F886)</f>
        <v/>
      </c>
      <c r="G886" s="3">
        <f>IF(ORIG!G886=0,"",ORIG!G886)</f>
        <v/>
      </c>
      <c r="H886" s="3">
        <f>IF(ORIG!H886=0,"",ORIG!H886)</f>
        <v/>
      </c>
      <c r="I886" s="3">
        <f>IF(ORIG!I886=0,"",ORIG!I886)</f>
        <v/>
      </c>
      <c r="J886" s="3">
        <f>IF(ORIG!J886=0,"",ORIG!J886)</f>
        <v/>
      </c>
      <c r="K886" s="3">
        <f>IF(ORIG!K886=0,"",ORIG!K886)</f>
        <v/>
      </c>
      <c r="L886" s="3">
        <f>IF(ORIG!L886=0,"",ORIG!L886)</f>
        <v/>
      </c>
      <c r="M886" s="3">
        <f>IF(ORIG!M886=0,"",ORIG!M886)</f>
        <v/>
      </c>
      <c r="N886" s="3">
        <f>IF(ORIG!N886=0,"",ORIG!N886)</f>
        <v/>
      </c>
      <c r="O886" s="3">
        <f>IF(ORIG!O886=0,"",ORIG!O886)</f>
        <v/>
      </c>
      <c r="P886" s="3">
        <f>IF(ORIG!P886=0,"",ORIG!P886)</f>
        <v/>
      </c>
      <c r="Q886" s="3">
        <f>IF(ORIG!Q886=0,"",ORIG!Q886)</f>
        <v/>
      </c>
      <c r="R886" s="3">
        <f>IF(ORIG!R886=0,"",ORIG!R886)</f>
        <v/>
      </c>
      <c r="S886" s="3">
        <f>IF(ORIG!S886=0,"",ORIG!S886)</f>
        <v/>
      </c>
      <c r="T886" s="3">
        <f>IF(ORIG!T886=0,"",ORIG!T886)</f>
        <v/>
      </c>
      <c r="U886" s="3">
        <f>IF(ORIG!U886=0,"",ORIG!U886)</f>
        <v/>
      </c>
      <c r="V886" s="9">
        <f>IF(ORIG!V886=0,"",ORIG!V886)</f>
        <v/>
      </c>
      <c r="W886" s="9">
        <f>IF(ORIG!W886=0,"",ORIG!W886)</f>
        <v/>
      </c>
      <c r="X886" s="9">
        <f>IF(ORIG!X886=0,"",ORIG!X886)</f>
        <v/>
      </c>
      <c r="Y886" s="9">
        <f>IF(ORIG!Y886=0,"",ORIG!Y886)</f>
        <v/>
      </c>
      <c r="Z886" s="3">
        <f>SUMPRODUCT($B886:$Y886,$B$2649:$Y$2649)</f>
        <v/>
      </c>
      <c r="AA886" s="3">
        <f>SUMPRODUCT($B886:$Y886,$B$2655:$Y$2655)</f>
        <v/>
      </c>
      <c r="AC886" s="1">
        <f>A886</f>
        <v/>
      </c>
      <c r="AD886">
        <f>IF(ISNUMBER(V886),V886*($AB$1/V$2635),"")</f>
        <v/>
      </c>
      <c r="AE886">
        <f>IF(ISNUMBER(Z886),Z886*($AB$1/Z$2635),"")</f>
        <v/>
      </c>
      <c r="AF886" s="25">
        <f>IF(ISNUMBER(AD886+AE886),AD886+AE886,"")</f>
        <v/>
      </c>
      <c r="AH886" s="1">
        <f>A886</f>
        <v/>
      </c>
      <c r="AI886">
        <f>IF(ISNUMBER((1+V886)*AI885),(1+V886)*AI885,AI885)</f>
        <v/>
      </c>
      <c r="AJ886">
        <f>IF(ISNUMBER((1+Z886)*AJ885),(1+Z886)*AJ885,AJ885)</f>
        <v/>
      </c>
    </row>
    <row r="887">
      <c r="A887" s="1" t="n">
        <v>43291</v>
      </c>
      <c r="B887" s="3">
        <f>IF(ORIG!B887=0,"",ORIG!B887)</f>
        <v/>
      </c>
      <c r="C887" s="3">
        <f>IF(ORIG!C887=0,"",ORIG!C887)</f>
        <v/>
      </c>
      <c r="D887" s="3">
        <f>IF(ORIG!D887=0,"",ORIG!D887)</f>
        <v/>
      </c>
      <c r="E887" s="3">
        <f>IF(ORIG!E887=0,"",ORIG!E887)</f>
        <v/>
      </c>
      <c r="F887" s="3">
        <f>IF(ORIG!F887=0,"",ORIG!F887)</f>
        <v/>
      </c>
      <c r="G887" s="3">
        <f>IF(ORIG!G887=0,"",ORIG!G887)</f>
        <v/>
      </c>
      <c r="H887" s="3">
        <f>IF(ORIG!H887=0,"",ORIG!H887)</f>
        <v/>
      </c>
      <c r="I887" s="3">
        <f>IF(ORIG!I887=0,"",ORIG!I887)</f>
        <v/>
      </c>
      <c r="J887" s="3">
        <f>IF(ORIG!J887=0,"",ORIG!J887)</f>
        <v/>
      </c>
      <c r="K887" s="3">
        <f>IF(ORIG!K887=0,"",ORIG!K887)</f>
        <v/>
      </c>
      <c r="L887" s="3">
        <f>IF(ORIG!L887=0,"",ORIG!L887)</f>
        <v/>
      </c>
      <c r="M887" s="3">
        <f>IF(ORIG!M887=0,"",ORIG!M887)</f>
        <v/>
      </c>
      <c r="N887" s="3">
        <f>IF(ORIG!N887=0,"",ORIG!N887)</f>
        <v/>
      </c>
      <c r="O887" s="3">
        <f>IF(ORIG!O887=0,"",ORIG!O887)</f>
        <v/>
      </c>
      <c r="P887" s="3">
        <f>IF(ORIG!P887=0,"",ORIG!P887)</f>
        <v/>
      </c>
      <c r="Q887" s="3">
        <f>IF(ORIG!Q887=0,"",ORIG!Q887)</f>
        <v/>
      </c>
      <c r="R887" s="3">
        <f>IF(ORIG!R887=0,"",ORIG!R887)</f>
        <v/>
      </c>
      <c r="S887" s="3">
        <f>IF(ORIG!S887=0,"",ORIG!S887)</f>
        <v/>
      </c>
      <c r="T887" s="3">
        <f>IF(ORIG!T887=0,"",ORIG!T887)</f>
        <v/>
      </c>
      <c r="U887" s="3">
        <f>IF(ORIG!U887=0,"",ORIG!U887)</f>
        <v/>
      </c>
      <c r="V887" s="9">
        <f>IF(ORIG!V887=0,"",ORIG!V887)</f>
        <v/>
      </c>
      <c r="W887" s="9">
        <f>IF(ORIG!W887=0,"",ORIG!W887)</f>
        <v/>
      </c>
      <c r="X887" s="9">
        <f>IF(ORIG!X887=0,"",ORIG!X887)</f>
        <v/>
      </c>
      <c r="Y887" s="9">
        <f>IF(ORIG!Y887=0,"",ORIG!Y887)</f>
        <v/>
      </c>
      <c r="Z887" s="3">
        <f>SUMPRODUCT($B887:$Y887,$B$2649:$Y$2649)</f>
        <v/>
      </c>
      <c r="AA887" s="3">
        <f>SUMPRODUCT($B887:$Y887,$B$2655:$Y$2655)</f>
        <v/>
      </c>
      <c r="AC887" s="1">
        <f>A887</f>
        <v/>
      </c>
      <c r="AD887">
        <f>IF(ISNUMBER(V887),V887*($AB$1/V$2635),"")</f>
        <v/>
      </c>
      <c r="AE887">
        <f>IF(ISNUMBER(Z887),Z887*($AB$1/Z$2635),"")</f>
        <v/>
      </c>
      <c r="AF887" s="25">
        <f>IF(ISNUMBER(AD887+AE887),AD887+AE887,"")</f>
        <v/>
      </c>
      <c r="AH887" s="1">
        <f>A887</f>
        <v/>
      </c>
      <c r="AI887">
        <f>IF(ISNUMBER((1+V887)*AI886),(1+V887)*AI886,AI886)</f>
        <v/>
      </c>
      <c r="AJ887">
        <f>IF(ISNUMBER((1+Z887)*AJ886),(1+Z887)*AJ886,AJ886)</f>
        <v/>
      </c>
    </row>
    <row r="888">
      <c r="A888" s="1" t="n">
        <v>43292</v>
      </c>
      <c r="B888" s="3">
        <f>IF(ORIG!B888=0,"",ORIG!B888)</f>
        <v/>
      </c>
      <c r="C888" s="3">
        <f>IF(ORIG!C888=0,"",ORIG!C888)</f>
        <v/>
      </c>
      <c r="D888" s="3">
        <f>IF(ORIG!D888=0,"",ORIG!D888)</f>
        <v/>
      </c>
      <c r="E888" s="3">
        <f>IF(ORIG!E888=0,"",ORIG!E888)</f>
        <v/>
      </c>
      <c r="F888" s="3">
        <f>IF(ORIG!F888=0,"",ORIG!F888)</f>
        <v/>
      </c>
      <c r="G888" s="3">
        <f>IF(ORIG!G888=0,"",ORIG!G888)</f>
        <v/>
      </c>
      <c r="H888" s="3">
        <f>IF(ORIG!H888=0,"",ORIG!H888)</f>
        <v/>
      </c>
      <c r="I888" s="3">
        <f>IF(ORIG!I888=0,"",ORIG!I888)</f>
        <v/>
      </c>
      <c r="J888" s="3">
        <f>IF(ORIG!J888=0,"",ORIG!J888)</f>
        <v/>
      </c>
      <c r="K888" s="3">
        <f>IF(ORIG!K888=0,"",ORIG!K888)</f>
        <v/>
      </c>
      <c r="L888" s="3">
        <f>IF(ORIG!L888=0,"",ORIG!L888)</f>
        <v/>
      </c>
      <c r="M888" s="3">
        <f>IF(ORIG!M888=0,"",ORIG!M888)</f>
        <v/>
      </c>
      <c r="N888" s="3">
        <f>IF(ORIG!N888=0,"",ORIG!N888)</f>
        <v/>
      </c>
      <c r="O888" s="3">
        <f>IF(ORIG!O888=0,"",ORIG!O888)</f>
        <v/>
      </c>
      <c r="P888" s="3">
        <f>IF(ORIG!P888=0,"",ORIG!P888)</f>
        <v/>
      </c>
      <c r="Q888" s="3">
        <f>IF(ORIG!Q888=0,"",ORIG!Q888)</f>
        <v/>
      </c>
      <c r="R888" s="3">
        <f>IF(ORIG!R888=0,"",ORIG!R888)</f>
        <v/>
      </c>
      <c r="S888" s="3">
        <f>IF(ORIG!S888=0,"",ORIG!S888)</f>
        <v/>
      </c>
      <c r="T888" s="3">
        <f>IF(ORIG!T888=0,"",ORIG!T888)</f>
        <v/>
      </c>
      <c r="U888" s="3">
        <f>IF(ORIG!U888=0,"",ORIG!U888)</f>
        <v/>
      </c>
      <c r="V888" s="9">
        <f>IF(ORIG!V888=0,"",ORIG!V888)</f>
        <v/>
      </c>
      <c r="W888" s="9">
        <f>IF(ORIG!W888=0,"",ORIG!W888)</f>
        <v/>
      </c>
      <c r="X888" s="9">
        <f>IF(ORIG!X888=0,"",ORIG!X888)</f>
        <v/>
      </c>
      <c r="Y888" s="9">
        <f>IF(ORIG!Y888=0,"",ORIG!Y888)</f>
        <v/>
      </c>
      <c r="Z888" s="3">
        <f>SUMPRODUCT($B888:$Y888,$B$2649:$Y$2649)</f>
        <v/>
      </c>
      <c r="AA888" s="3">
        <f>SUMPRODUCT($B888:$Y888,$B$2655:$Y$2655)</f>
        <v/>
      </c>
      <c r="AC888" s="1">
        <f>A888</f>
        <v/>
      </c>
      <c r="AD888">
        <f>IF(ISNUMBER(V888),V888*($AB$1/V$2635),"")</f>
        <v/>
      </c>
      <c r="AE888">
        <f>IF(ISNUMBER(Z888),Z888*($AB$1/Z$2635),"")</f>
        <v/>
      </c>
      <c r="AF888" s="25">
        <f>IF(ISNUMBER(AD888+AE888),AD888+AE888,"")</f>
        <v/>
      </c>
      <c r="AH888" s="1">
        <f>A888</f>
        <v/>
      </c>
      <c r="AI888">
        <f>IF(ISNUMBER((1+V888)*AI887),(1+V888)*AI887,AI887)</f>
        <v/>
      </c>
      <c r="AJ888">
        <f>IF(ISNUMBER((1+Z888)*AJ887),(1+Z888)*AJ887,AJ887)</f>
        <v/>
      </c>
    </row>
    <row r="889">
      <c r="A889" s="1" t="n">
        <v>43293</v>
      </c>
      <c r="B889" s="3">
        <f>IF(ORIG!B889=0,"",ORIG!B889)</f>
        <v/>
      </c>
      <c r="C889" s="3">
        <f>IF(ORIG!C889=0,"",ORIG!C889)</f>
        <v/>
      </c>
      <c r="D889" s="3">
        <f>IF(ORIG!D889=0,"",ORIG!D889)</f>
        <v/>
      </c>
      <c r="E889" s="3">
        <f>IF(ORIG!E889=0,"",ORIG!E889)</f>
        <v/>
      </c>
      <c r="F889" s="3">
        <f>IF(ORIG!F889=0,"",ORIG!F889)</f>
        <v/>
      </c>
      <c r="G889" s="3">
        <f>IF(ORIG!G889=0,"",ORIG!G889)</f>
        <v/>
      </c>
      <c r="H889" s="3">
        <f>IF(ORIG!H889=0,"",ORIG!H889)</f>
        <v/>
      </c>
      <c r="I889" s="3">
        <f>IF(ORIG!I889=0,"",ORIG!I889)</f>
        <v/>
      </c>
      <c r="J889" s="3">
        <f>IF(ORIG!J889=0,"",ORIG!J889)</f>
        <v/>
      </c>
      <c r="K889" s="3">
        <f>IF(ORIG!K889=0,"",ORIG!K889)</f>
        <v/>
      </c>
      <c r="L889" s="3">
        <f>IF(ORIG!L889=0,"",ORIG!L889)</f>
        <v/>
      </c>
      <c r="M889" s="3">
        <f>IF(ORIG!M889=0,"",ORIG!M889)</f>
        <v/>
      </c>
      <c r="N889" s="3">
        <f>IF(ORIG!N889=0,"",ORIG!N889)</f>
        <v/>
      </c>
      <c r="O889" s="3">
        <f>IF(ORIG!O889=0,"",ORIG!O889)</f>
        <v/>
      </c>
      <c r="P889" s="3">
        <f>IF(ORIG!P889=0,"",ORIG!P889)</f>
        <v/>
      </c>
      <c r="Q889" s="3">
        <f>IF(ORIG!Q889=0,"",ORIG!Q889)</f>
        <v/>
      </c>
      <c r="R889" s="3">
        <f>IF(ORIG!R889=0,"",ORIG!R889)</f>
        <v/>
      </c>
      <c r="S889" s="3">
        <f>IF(ORIG!S889=0,"",ORIG!S889)</f>
        <v/>
      </c>
      <c r="T889" s="3">
        <f>IF(ORIG!T889=0,"",ORIG!T889)</f>
        <v/>
      </c>
      <c r="U889" s="3">
        <f>IF(ORIG!U889=0,"",ORIG!U889)</f>
        <v/>
      </c>
      <c r="V889" s="9">
        <f>IF(ORIG!V889=0,"",ORIG!V889)</f>
        <v/>
      </c>
      <c r="W889" s="9">
        <f>IF(ORIG!W889=0,"",ORIG!W889)</f>
        <v/>
      </c>
      <c r="X889" s="9">
        <f>IF(ORIG!X889=0,"",ORIG!X889)</f>
        <v/>
      </c>
      <c r="Y889" s="9">
        <f>IF(ORIG!Y889=0,"",ORIG!Y889)</f>
        <v/>
      </c>
      <c r="Z889" s="3">
        <f>SUMPRODUCT($B889:$Y889,$B$2649:$Y$2649)</f>
        <v/>
      </c>
      <c r="AA889" s="3">
        <f>SUMPRODUCT($B889:$Y889,$B$2655:$Y$2655)</f>
        <v/>
      </c>
      <c r="AC889" s="1">
        <f>A889</f>
        <v/>
      </c>
      <c r="AD889">
        <f>IF(ISNUMBER(V889),V889*($AB$1/V$2635),"")</f>
        <v/>
      </c>
      <c r="AE889">
        <f>IF(ISNUMBER(Z889),Z889*($AB$1/Z$2635),"")</f>
        <v/>
      </c>
      <c r="AF889" s="25">
        <f>IF(ISNUMBER(AD889+AE889),AD889+AE889,"")</f>
        <v/>
      </c>
      <c r="AH889" s="1">
        <f>A889</f>
        <v/>
      </c>
      <c r="AI889">
        <f>IF(ISNUMBER((1+V889)*AI888),(1+V889)*AI888,AI888)</f>
        <v/>
      </c>
      <c r="AJ889">
        <f>IF(ISNUMBER((1+Z889)*AJ888),(1+Z889)*AJ888,AJ888)</f>
        <v/>
      </c>
    </row>
    <row r="890">
      <c r="A890" s="1" t="n">
        <v>43294</v>
      </c>
      <c r="B890" s="3">
        <f>IF(ORIG!B890=0,"",ORIG!B890)</f>
        <v/>
      </c>
      <c r="C890" s="3">
        <f>IF(ORIG!C890=0,"",ORIG!C890)</f>
        <v/>
      </c>
      <c r="D890" s="3">
        <f>IF(ORIG!D890=0,"",ORIG!D890)</f>
        <v/>
      </c>
      <c r="E890" s="3">
        <f>IF(ORIG!E890=0,"",ORIG!E890)</f>
        <v/>
      </c>
      <c r="F890" s="3">
        <f>IF(ORIG!F890=0,"",ORIG!F890)</f>
        <v/>
      </c>
      <c r="G890" s="3">
        <f>IF(ORIG!G890=0,"",ORIG!G890)</f>
        <v/>
      </c>
      <c r="H890" s="3">
        <f>IF(ORIG!H890=0,"",ORIG!H890)</f>
        <v/>
      </c>
      <c r="I890" s="3">
        <f>IF(ORIG!I890=0,"",ORIG!I890)</f>
        <v/>
      </c>
      <c r="J890" s="3">
        <f>IF(ORIG!J890=0,"",ORIG!J890)</f>
        <v/>
      </c>
      <c r="K890" s="3">
        <f>IF(ORIG!K890=0,"",ORIG!K890)</f>
        <v/>
      </c>
      <c r="L890" s="3">
        <f>IF(ORIG!L890=0,"",ORIG!L890)</f>
        <v/>
      </c>
      <c r="M890" s="3">
        <f>IF(ORIG!M890=0,"",ORIG!M890)</f>
        <v/>
      </c>
      <c r="N890" s="3">
        <f>IF(ORIG!N890=0,"",ORIG!N890)</f>
        <v/>
      </c>
      <c r="O890" s="3">
        <f>IF(ORIG!O890=0,"",ORIG!O890)</f>
        <v/>
      </c>
      <c r="P890" s="3">
        <f>IF(ORIG!P890=0,"",ORIG!P890)</f>
        <v/>
      </c>
      <c r="Q890" s="3">
        <f>IF(ORIG!Q890=0,"",ORIG!Q890)</f>
        <v/>
      </c>
      <c r="R890" s="3">
        <f>IF(ORIG!R890=0,"",ORIG!R890)</f>
        <v/>
      </c>
      <c r="S890" s="3">
        <f>IF(ORIG!S890=0,"",ORIG!S890)</f>
        <v/>
      </c>
      <c r="T890" s="3">
        <f>IF(ORIG!T890=0,"",ORIG!T890)</f>
        <v/>
      </c>
      <c r="U890" s="3">
        <f>IF(ORIG!U890=0,"",ORIG!U890)</f>
        <v/>
      </c>
      <c r="V890" s="9">
        <f>IF(ORIG!V890=0,"",ORIG!V890)</f>
        <v/>
      </c>
      <c r="W890" s="9">
        <f>IF(ORIG!W890=0,"",ORIG!W890)</f>
        <v/>
      </c>
      <c r="X890" s="9">
        <f>IF(ORIG!X890=0,"",ORIG!X890)</f>
        <v/>
      </c>
      <c r="Y890" s="9">
        <f>IF(ORIG!Y890=0,"",ORIG!Y890)</f>
        <v/>
      </c>
      <c r="Z890" s="3">
        <f>SUMPRODUCT($B890:$Y890,$B$2649:$Y$2649)</f>
        <v/>
      </c>
      <c r="AA890" s="3">
        <f>SUMPRODUCT($B890:$Y890,$B$2655:$Y$2655)</f>
        <v/>
      </c>
      <c r="AC890" s="1">
        <f>A890</f>
        <v/>
      </c>
      <c r="AD890">
        <f>IF(ISNUMBER(V890),V890*($AB$1/V$2635),"")</f>
        <v/>
      </c>
      <c r="AE890">
        <f>IF(ISNUMBER(Z890),Z890*($AB$1/Z$2635),"")</f>
        <v/>
      </c>
      <c r="AF890" s="25">
        <f>IF(ISNUMBER(AD890+AE890),AD890+AE890,"")</f>
        <v/>
      </c>
      <c r="AH890" s="1">
        <f>A890</f>
        <v/>
      </c>
      <c r="AI890">
        <f>IF(ISNUMBER((1+V890)*AI889),(1+V890)*AI889,AI889)</f>
        <v/>
      </c>
      <c r="AJ890">
        <f>IF(ISNUMBER((1+Z890)*AJ889),(1+Z890)*AJ889,AJ889)</f>
        <v/>
      </c>
    </row>
    <row r="891">
      <c r="A891" s="1" t="n">
        <v>43297</v>
      </c>
      <c r="B891" s="3">
        <f>IF(ORIG!B891=0,"",ORIG!B891)</f>
        <v/>
      </c>
      <c r="C891" s="3">
        <f>IF(ORIG!C891=0,"",ORIG!C891)</f>
        <v/>
      </c>
      <c r="D891" s="3">
        <f>IF(ORIG!D891=0,"",ORIG!D891)</f>
        <v/>
      </c>
      <c r="E891" s="3">
        <f>IF(ORIG!E891=0,"",ORIG!E891)</f>
        <v/>
      </c>
      <c r="F891" s="3">
        <f>IF(ORIG!F891=0,"",ORIG!F891)</f>
        <v/>
      </c>
      <c r="G891" s="3">
        <f>IF(ORIG!G891=0,"",ORIG!G891)</f>
        <v/>
      </c>
      <c r="H891" s="3">
        <f>IF(ORIG!H891=0,"",ORIG!H891)</f>
        <v/>
      </c>
      <c r="I891" s="3">
        <f>IF(ORIG!I891=0,"",ORIG!I891)</f>
        <v/>
      </c>
      <c r="J891" s="3">
        <f>IF(ORIG!J891=0,"",ORIG!J891)</f>
        <v/>
      </c>
      <c r="K891" s="3">
        <f>IF(ORIG!K891=0,"",ORIG!K891)</f>
        <v/>
      </c>
      <c r="L891" s="3">
        <f>IF(ORIG!L891=0,"",ORIG!L891)</f>
        <v/>
      </c>
      <c r="M891" s="3">
        <f>IF(ORIG!M891=0,"",ORIG!M891)</f>
        <v/>
      </c>
      <c r="N891" s="3">
        <f>IF(ORIG!N891=0,"",ORIG!N891)</f>
        <v/>
      </c>
      <c r="O891" s="3">
        <f>IF(ORIG!O891=0,"",ORIG!O891)</f>
        <v/>
      </c>
      <c r="P891" s="3">
        <f>IF(ORIG!P891=0,"",ORIG!P891)</f>
        <v/>
      </c>
      <c r="Q891" s="3">
        <f>IF(ORIG!Q891=0,"",ORIG!Q891)</f>
        <v/>
      </c>
      <c r="R891" s="3">
        <f>IF(ORIG!R891=0,"",ORIG!R891)</f>
        <v/>
      </c>
      <c r="S891" s="3">
        <f>IF(ORIG!S891=0,"",ORIG!S891)</f>
        <v/>
      </c>
      <c r="T891" s="3">
        <f>IF(ORIG!T891=0,"",ORIG!T891)</f>
        <v/>
      </c>
      <c r="U891" s="3">
        <f>IF(ORIG!U891=0,"",ORIG!U891)</f>
        <v/>
      </c>
      <c r="V891" s="9">
        <f>IF(ORIG!V891=0,"",ORIG!V891)</f>
        <v/>
      </c>
      <c r="W891" s="9">
        <f>IF(ORIG!W891=0,"",ORIG!W891)</f>
        <v/>
      </c>
      <c r="X891" s="9">
        <f>IF(ORIG!X891=0,"",ORIG!X891)</f>
        <v/>
      </c>
      <c r="Y891" s="9">
        <f>IF(ORIG!Y891=0,"",ORIG!Y891)</f>
        <v/>
      </c>
      <c r="Z891" s="3">
        <f>SUMPRODUCT($B891:$Y891,$B$2649:$Y$2649)</f>
        <v/>
      </c>
      <c r="AA891" s="3">
        <f>SUMPRODUCT($B891:$Y891,$B$2655:$Y$2655)</f>
        <v/>
      </c>
      <c r="AC891" s="1">
        <f>A891</f>
        <v/>
      </c>
      <c r="AD891">
        <f>IF(ISNUMBER(V891),V891*($AB$1/V$2635),"")</f>
        <v/>
      </c>
      <c r="AE891">
        <f>IF(ISNUMBER(Z891),Z891*($AB$1/Z$2635),"")</f>
        <v/>
      </c>
      <c r="AF891" s="25">
        <f>IF(ISNUMBER(AD891+AE891),AD891+AE891,"")</f>
        <v/>
      </c>
      <c r="AH891" s="1">
        <f>A891</f>
        <v/>
      </c>
      <c r="AI891">
        <f>IF(ISNUMBER((1+V891)*AI890),(1+V891)*AI890,AI890)</f>
        <v/>
      </c>
      <c r="AJ891">
        <f>IF(ISNUMBER((1+Z891)*AJ890),(1+Z891)*AJ890,AJ890)</f>
        <v/>
      </c>
    </row>
    <row r="892">
      <c r="A892" s="1" t="n">
        <v>43298</v>
      </c>
      <c r="B892" s="3">
        <f>IF(ORIG!B892=0,"",ORIG!B892)</f>
        <v/>
      </c>
      <c r="C892" s="3">
        <f>IF(ORIG!C892=0,"",ORIG!C892)</f>
        <v/>
      </c>
      <c r="D892" s="3">
        <f>IF(ORIG!D892=0,"",ORIG!D892)</f>
        <v/>
      </c>
      <c r="E892" s="3">
        <f>IF(ORIG!E892=0,"",ORIG!E892)</f>
        <v/>
      </c>
      <c r="F892" s="3">
        <f>IF(ORIG!F892=0,"",ORIG!F892)</f>
        <v/>
      </c>
      <c r="G892" s="3">
        <f>IF(ORIG!G892=0,"",ORIG!G892)</f>
        <v/>
      </c>
      <c r="H892" s="3">
        <f>IF(ORIG!H892=0,"",ORIG!H892)</f>
        <v/>
      </c>
      <c r="I892" s="3">
        <f>IF(ORIG!I892=0,"",ORIG!I892)</f>
        <v/>
      </c>
      <c r="J892" s="3">
        <f>IF(ORIG!J892=0,"",ORIG!J892)</f>
        <v/>
      </c>
      <c r="K892" s="3">
        <f>IF(ORIG!K892=0,"",ORIG!K892)</f>
        <v/>
      </c>
      <c r="L892" s="3">
        <f>IF(ORIG!L892=0,"",ORIG!L892)</f>
        <v/>
      </c>
      <c r="M892" s="3">
        <f>IF(ORIG!M892=0,"",ORIG!M892)</f>
        <v/>
      </c>
      <c r="N892" s="3">
        <f>IF(ORIG!N892=0,"",ORIG!N892)</f>
        <v/>
      </c>
      <c r="O892" s="3">
        <f>IF(ORIG!O892=0,"",ORIG!O892)</f>
        <v/>
      </c>
      <c r="P892" s="3">
        <f>IF(ORIG!P892=0,"",ORIG!P892)</f>
        <v/>
      </c>
      <c r="Q892" s="3">
        <f>IF(ORIG!Q892=0,"",ORIG!Q892)</f>
        <v/>
      </c>
      <c r="R892" s="3">
        <f>IF(ORIG!R892=0,"",ORIG!R892)</f>
        <v/>
      </c>
      <c r="S892" s="3">
        <f>IF(ORIG!S892=0,"",ORIG!S892)</f>
        <v/>
      </c>
      <c r="T892" s="3">
        <f>IF(ORIG!T892=0,"",ORIG!T892)</f>
        <v/>
      </c>
      <c r="U892" s="3">
        <f>IF(ORIG!U892=0,"",ORIG!U892)</f>
        <v/>
      </c>
      <c r="V892" s="9">
        <f>IF(ORIG!V892=0,"",ORIG!V892)</f>
        <v/>
      </c>
      <c r="W892" s="9">
        <f>IF(ORIG!W892=0,"",ORIG!W892)</f>
        <v/>
      </c>
      <c r="X892" s="9">
        <f>IF(ORIG!X892=0,"",ORIG!X892)</f>
        <v/>
      </c>
      <c r="Y892" s="9">
        <f>IF(ORIG!Y892=0,"",ORIG!Y892)</f>
        <v/>
      </c>
      <c r="Z892" s="3">
        <f>SUMPRODUCT($B892:$Y892,$B$2649:$Y$2649)</f>
        <v/>
      </c>
      <c r="AA892" s="3">
        <f>SUMPRODUCT($B892:$Y892,$B$2655:$Y$2655)</f>
        <v/>
      </c>
      <c r="AC892" s="1">
        <f>A892</f>
        <v/>
      </c>
      <c r="AD892">
        <f>IF(ISNUMBER(V892),V892*($AB$1/V$2635),"")</f>
        <v/>
      </c>
      <c r="AE892">
        <f>IF(ISNUMBER(Z892),Z892*($AB$1/Z$2635),"")</f>
        <v/>
      </c>
      <c r="AF892" s="25">
        <f>IF(ISNUMBER(AD892+AE892),AD892+AE892,"")</f>
        <v/>
      </c>
      <c r="AH892" s="1">
        <f>A892</f>
        <v/>
      </c>
      <c r="AI892">
        <f>IF(ISNUMBER((1+V892)*AI891),(1+V892)*AI891,AI891)</f>
        <v/>
      </c>
      <c r="AJ892">
        <f>IF(ISNUMBER((1+Z892)*AJ891),(1+Z892)*AJ891,AJ891)</f>
        <v/>
      </c>
    </row>
    <row r="893">
      <c r="A893" s="1" t="n">
        <v>43299</v>
      </c>
      <c r="B893" s="3">
        <f>IF(ORIG!B893=0,"",ORIG!B893)</f>
        <v/>
      </c>
      <c r="C893" s="3">
        <f>IF(ORIG!C893=0,"",ORIG!C893)</f>
        <v/>
      </c>
      <c r="D893" s="3">
        <f>IF(ORIG!D893=0,"",ORIG!D893)</f>
        <v/>
      </c>
      <c r="E893" s="3">
        <f>IF(ORIG!E893=0,"",ORIG!E893)</f>
        <v/>
      </c>
      <c r="F893" s="3">
        <f>IF(ORIG!F893=0,"",ORIG!F893)</f>
        <v/>
      </c>
      <c r="G893" s="3">
        <f>IF(ORIG!G893=0,"",ORIG!G893)</f>
        <v/>
      </c>
      <c r="H893" s="3">
        <f>IF(ORIG!H893=0,"",ORIG!H893)</f>
        <v/>
      </c>
      <c r="I893" s="3">
        <f>IF(ORIG!I893=0,"",ORIG!I893)</f>
        <v/>
      </c>
      <c r="J893" s="3">
        <f>IF(ORIG!J893=0,"",ORIG!J893)</f>
        <v/>
      </c>
      <c r="K893" s="3">
        <f>IF(ORIG!K893=0,"",ORIG!K893)</f>
        <v/>
      </c>
      <c r="L893" s="3">
        <f>IF(ORIG!L893=0,"",ORIG!L893)</f>
        <v/>
      </c>
      <c r="M893" s="3">
        <f>IF(ORIG!M893=0,"",ORIG!M893)</f>
        <v/>
      </c>
      <c r="N893" s="3">
        <f>IF(ORIG!N893=0,"",ORIG!N893)</f>
        <v/>
      </c>
      <c r="O893" s="3">
        <f>IF(ORIG!O893=0,"",ORIG!O893)</f>
        <v/>
      </c>
      <c r="P893" s="3">
        <f>IF(ORIG!P893=0,"",ORIG!P893)</f>
        <v/>
      </c>
      <c r="Q893" s="3">
        <f>IF(ORIG!Q893=0,"",ORIG!Q893)</f>
        <v/>
      </c>
      <c r="R893" s="3">
        <f>IF(ORIG!R893=0,"",ORIG!R893)</f>
        <v/>
      </c>
      <c r="S893" s="3">
        <f>IF(ORIG!S893=0,"",ORIG!S893)</f>
        <v/>
      </c>
      <c r="T893" s="3">
        <f>IF(ORIG!T893=0,"",ORIG!T893)</f>
        <v/>
      </c>
      <c r="U893" s="3">
        <f>IF(ORIG!U893=0,"",ORIG!U893)</f>
        <v/>
      </c>
      <c r="V893" s="9">
        <f>IF(ORIG!V893=0,"",ORIG!V893)</f>
        <v/>
      </c>
      <c r="W893" s="9">
        <f>IF(ORIG!W893=0,"",ORIG!W893)</f>
        <v/>
      </c>
      <c r="X893" s="9">
        <f>IF(ORIG!X893=0,"",ORIG!X893)</f>
        <v/>
      </c>
      <c r="Y893" s="9">
        <f>IF(ORIG!Y893=0,"",ORIG!Y893)</f>
        <v/>
      </c>
      <c r="Z893" s="3">
        <f>SUMPRODUCT($B893:$Y893,$B$2649:$Y$2649)</f>
        <v/>
      </c>
      <c r="AA893" s="3">
        <f>SUMPRODUCT($B893:$Y893,$B$2655:$Y$2655)</f>
        <v/>
      </c>
      <c r="AC893" s="1">
        <f>A893</f>
        <v/>
      </c>
      <c r="AD893">
        <f>IF(ISNUMBER(V893),V893*($AB$1/V$2635),"")</f>
        <v/>
      </c>
      <c r="AE893">
        <f>IF(ISNUMBER(Z893),Z893*($AB$1/Z$2635),"")</f>
        <v/>
      </c>
      <c r="AF893" s="25">
        <f>IF(ISNUMBER(AD893+AE893),AD893+AE893,"")</f>
        <v/>
      </c>
      <c r="AH893" s="1">
        <f>A893</f>
        <v/>
      </c>
      <c r="AI893">
        <f>IF(ISNUMBER((1+V893)*AI892),(1+V893)*AI892,AI892)</f>
        <v/>
      </c>
      <c r="AJ893">
        <f>IF(ISNUMBER((1+Z893)*AJ892),(1+Z893)*AJ892,AJ892)</f>
        <v/>
      </c>
    </row>
    <row r="894">
      <c r="A894" s="1" t="n">
        <v>43300</v>
      </c>
      <c r="B894" s="3">
        <f>IF(ORIG!B894=0,"",ORIG!B894)</f>
        <v/>
      </c>
      <c r="C894" s="3">
        <f>IF(ORIG!C894=0,"",ORIG!C894)</f>
        <v/>
      </c>
      <c r="D894" s="3">
        <f>IF(ORIG!D894=0,"",ORIG!D894)</f>
        <v/>
      </c>
      <c r="E894" s="3">
        <f>IF(ORIG!E894=0,"",ORIG!E894)</f>
        <v/>
      </c>
      <c r="F894" s="3">
        <f>IF(ORIG!F894=0,"",ORIG!F894)</f>
        <v/>
      </c>
      <c r="G894" s="3">
        <f>IF(ORIG!G894=0,"",ORIG!G894)</f>
        <v/>
      </c>
      <c r="H894" s="3">
        <f>IF(ORIG!H894=0,"",ORIG!H894)</f>
        <v/>
      </c>
      <c r="I894" s="3">
        <f>IF(ORIG!I894=0,"",ORIG!I894)</f>
        <v/>
      </c>
      <c r="J894" s="3">
        <f>IF(ORIG!J894=0,"",ORIG!J894)</f>
        <v/>
      </c>
      <c r="K894" s="3">
        <f>IF(ORIG!K894=0,"",ORIG!K894)</f>
        <v/>
      </c>
      <c r="L894" s="3">
        <f>IF(ORIG!L894=0,"",ORIG!L894)</f>
        <v/>
      </c>
      <c r="M894" s="3">
        <f>IF(ORIG!M894=0,"",ORIG!M894)</f>
        <v/>
      </c>
      <c r="N894" s="3">
        <f>IF(ORIG!N894=0,"",ORIG!N894)</f>
        <v/>
      </c>
      <c r="O894" s="3">
        <f>IF(ORIG!O894=0,"",ORIG!O894)</f>
        <v/>
      </c>
      <c r="P894" s="3">
        <f>IF(ORIG!P894=0,"",ORIG!P894)</f>
        <v/>
      </c>
      <c r="Q894" s="3">
        <f>IF(ORIG!Q894=0,"",ORIG!Q894)</f>
        <v/>
      </c>
      <c r="R894" s="3">
        <f>IF(ORIG!R894=0,"",ORIG!R894)</f>
        <v/>
      </c>
      <c r="S894" s="3">
        <f>IF(ORIG!S894=0,"",ORIG!S894)</f>
        <v/>
      </c>
      <c r="T894" s="3">
        <f>IF(ORIG!T894=0,"",ORIG!T894)</f>
        <v/>
      </c>
      <c r="U894" s="3">
        <f>IF(ORIG!U894=0,"",ORIG!U894)</f>
        <v/>
      </c>
      <c r="V894" s="9">
        <f>IF(ORIG!V894=0,"",ORIG!V894)</f>
        <v/>
      </c>
      <c r="W894" s="9">
        <f>IF(ORIG!W894=0,"",ORIG!W894)</f>
        <v/>
      </c>
      <c r="X894" s="9">
        <f>IF(ORIG!X894=0,"",ORIG!X894)</f>
        <v/>
      </c>
      <c r="Y894" s="9">
        <f>IF(ORIG!Y894=0,"",ORIG!Y894)</f>
        <v/>
      </c>
      <c r="Z894" s="3">
        <f>SUMPRODUCT($B894:$Y894,$B$2649:$Y$2649)</f>
        <v/>
      </c>
      <c r="AA894" s="3">
        <f>SUMPRODUCT($B894:$Y894,$B$2655:$Y$2655)</f>
        <v/>
      </c>
      <c r="AC894" s="1">
        <f>A894</f>
        <v/>
      </c>
      <c r="AD894">
        <f>IF(ISNUMBER(V894),V894*($AB$1/V$2635),"")</f>
        <v/>
      </c>
      <c r="AE894">
        <f>IF(ISNUMBER(Z894),Z894*($AB$1/Z$2635),"")</f>
        <v/>
      </c>
      <c r="AF894" s="25">
        <f>IF(ISNUMBER(AD894+AE894),AD894+AE894,"")</f>
        <v/>
      </c>
      <c r="AH894" s="1">
        <f>A894</f>
        <v/>
      </c>
      <c r="AI894">
        <f>IF(ISNUMBER((1+V894)*AI893),(1+V894)*AI893,AI893)</f>
        <v/>
      </c>
      <c r="AJ894">
        <f>IF(ISNUMBER((1+Z894)*AJ893),(1+Z894)*AJ893,AJ893)</f>
        <v/>
      </c>
    </row>
    <row r="895">
      <c r="A895" s="1" t="n">
        <v>43301</v>
      </c>
      <c r="B895" s="3">
        <f>IF(ORIG!B895=0,"",ORIG!B895)</f>
        <v/>
      </c>
      <c r="C895" s="3">
        <f>IF(ORIG!C895=0,"",ORIG!C895)</f>
        <v/>
      </c>
      <c r="D895" s="3">
        <f>IF(ORIG!D895=0,"",ORIG!D895)</f>
        <v/>
      </c>
      <c r="E895" s="3">
        <f>IF(ORIG!E895=0,"",ORIG!E895)</f>
        <v/>
      </c>
      <c r="F895" s="3">
        <f>IF(ORIG!F895=0,"",ORIG!F895)</f>
        <v/>
      </c>
      <c r="G895" s="3">
        <f>IF(ORIG!G895=0,"",ORIG!G895)</f>
        <v/>
      </c>
      <c r="H895" s="3">
        <f>IF(ORIG!H895=0,"",ORIG!H895)</f>
        <v/>
      </c>
      <c r="I895" s="3">
        <f>IF(ORIG!I895=0,"",ORIG!I895)</f>
        <v/>
      </c>
      <c r="J895" s="3">
        <f>IF(ORIG!J895=0,"",ORIG!J895)</f>
        <v/>
      </c>
      <c r="K895" s="3">
        <f>IF(ORIG!K895=0,"",ORIG!K895)</f>
        <v/>
      </c>
      <c r="L895" s="3">
        <f>IF(ORIG!L895=0,"",ORIG!L895)</f>
        <v/>
      </c>
      <c r="M895" s="3">
        <f>IF(ORIG!M895=0,"",ORIG!M895)</f>
        <v/>
      </c>
      <c r="N895" s="3">
        <f>IF(ORIG!N895=0,"",ORIG!N895)</f>
        <v/>
      </c>
      <c r="O895" s="3">
        <f>IF(ORIG!O895=0,"",ORIG!O895)</f>
        <v/>
      </c>
      <c r="P895" s="3">
        <f>IF(ORIG!P895=0,"",ORIG!P895)</f>
        <v/>
      </c>
      <c r="Q895" s="3">
        <f>IF(ORIG!Q895=0,"",ORIG!Q895)</f>
        <v/>
      </c>
      <c r="R895" s="3">
        <f>IF(ORIG!R895=0,"",ORIG!R895)</f>
        <v/>
      </c>
      <c r="S895" s="3">
        <f>IF(ORIG!S895=0,"",ORIG!S895)</f>
        <v/>
      </c>
      <c r="T895" s="3">
        <f>IF(ORIG!T895=0,"",ORIG!T895)</f>
        <v/>
      </c>
      <c r="U895" s="3">
        <f>IF(ORIG!U895=0,"",ORIG!U895)</f>
        <v/>
      </c>
      <c r="V895" s="9">
        <f>IF(ORIG!V895=0,"",ORIG!V895)</f>
        <v/>
      </c>
      <c r="W895" s="9">
        <f>IF(ORIG!W895=0,"",ORIG!W895)</f>
        <v/>
      </c>
      <c r="X895" s="9">
        <f>IF(ORIG!X895=0,"",ORIG!X895)</f>
        <v/>
      </c>
      <c r="Y895" s="9">
        <f>IF(ORIG!Y895=0,"",ORIG!Y895)</f>
        <v/>
      </c>
      <c r="Z895" s="3">
        <f>SUMPRODUCT($B895:$Y895,$B$2649:$Y$2649)</f>
        <v/>
      </c>
      <c r="AA895" s="3">
        <f>SUMPRODUCT($B895:$Y895,$B$2655:$Y$2655)</f>
        <v/>
      </c>
      <c r="AC895" s="1">
        <f>A895</f>
        <v/>
      </c>
      <c r="AD895">
        <f>IF(ISNUMBER(V895),V895*($AB$1/V$2635),"")</f>
        <v/>
      </c>
      <c r="AE895">
        <f>IF(ISNUMBER(Z895),Z895*($AB$1/Z$2635),"")</f>
        <v/>
      </c>
      <c r="AF895" s="25">
        <f>IF(ISNUMBER(AD895+AE895),AD895+AE895,"")</f>
        <v/>
      </c>
      <c r="AH895" s="1">
        <f>A895</f>
        <v/>
      </c>
      <c r="AI895">
        <f>IF(ISNUMBER((1+V895)*AI894),(1+V895)*AI894,AI894)</f>
        <v/>
      </c>
      <c r="AJ895">
        <f>IF(ISNUMBER((1+Z895)*AJ894),(1+Z895)*AJ894,AJ894)</f>
        <v/>
      </c>
    </row>
    <row r="896">
      <c r="A896" s="1" t="n">
        <v>43304</v>
      </c>
      <c r="B896" s="3">
        <f>IF(ORIG!B896=0,"",ORIG!B896)</f>
        <v/>
      </c>
      <c r="C896" s="3">
        <f>IF(ORIG!C896=0,"",ORIG!C896)</f>
        <v/>
      </c>
      <c r="D896" s="3">
        <f>IF(ORIG!D896=0,"",ORIG!D896)</f>
        <v/>
      </c>
      <c r="E896" s="3">
        <f>IF(ORIG!E896=0,"",ORIG!E896)</f>
        <v/>
      </c>
      <c r="F896" s="3">
        <f>IF(ORIG!F896=0,"",ORIG!F896)</f>
        <v/>
      </c>
      <c r="G896" s="3">
        <f>IF(ORIG!G896=0,"",ORIG!G896)</f>
        <v/>
      </c>
      <c r="H896" s="3">
        <f>IF(ORIG!H896=0,"",ORIG!H896)</f>
        <v/>
      </c>
      <c r="I896" s="3">
        <f>IF(ORIG!I896=0,"",ORIG!I896)</f>
        <v/>
      </c>
      <c r="J896" s="3">
        <f>IF(ORIG!J896=0,"",ORIG!J896)</f>
        <v/>
      </c>
      <c r="K896" s="3">
        <f>IF(ORIG!K896=0,"",ORIG!K896)</f>
        <v/>
      </c>
      <c r="L896" s="3">
        <f>IF(ORIG!L896=0,"",ORIG!L896)</f>
        <v/>
      </c>
      <c r="M896" s="3">
        <f>IF(ORIG!M896=0,"",ORIG!M896)</f>
        <v/>
      </c>
      <c r="N896" s="3">
        <f>IF(ORIG!N896=0,"",ORIG!N896)</f>
        <v/>
      </c>
      <c r="O896" s="3">
        <f>IF(ORIG!O896=0,"",ORIG!O896)</f>
        <v/>
      </c>
      <c r="P896" s="3">
        <f>IF(ORIG!P896=0,"",ORIG!P896)</f>
        <v/>
      </c>
      <c r="Q896" s="3">
        <f>IF(ORIG!Q896=0,"",ORIG!Q896)</f>
        <v/>
      </c>
      <c r="R896" s="3">
        <f>IF(ORIG!R896=0,"",ORIG!R896)</f>
        <v/>
      </c>
      <c r="S896" s="3">
        <f>IF(ORIG!S896=0,"",ORIG!S896)</f>
        <v/>
      </c>
      <c r="T896" s="3">
        <f>IF(ORIG!T896=0,"",ORIG!T896)</f>
        <v/>
      </c>
      <c r="U896" s="3">
        <f>IF(ORIG!U896=0,"",ORIG!U896)</f>
        <v/>
      </c>
      <c r="V896" s="9">
        <f>IF(ORIG!V896=0,"",ORIG!V896)</f>
        <v/>
      </c>
      <c r="W896" s="9">
        <f>IF(ORIG!W896=0,"",ORIG!W896)</f>
        <v/>
      </c>
      <c r="X896" s="9">
        <f>IF(ORIG!X896=0,"",ORIG!X896)</f>
        <v/>
      </c>
      <c r="Y896" s="9">
        <f>IF(ORIG!Y896=0,"",ORIG!Y896)</f>
        <v/>
      </c>
      <c r="Z896" s="3">
        <f>SUMPRODUCT($B896:$Y896,$B$2649:$Y$2649)</f>
        <v/>
      </c>
      <c r="AA896" s="3">
        <f>SUMPRODUCT($B896:$Y896,$B$2655:$Y$2655)</f>
        <v/>
      </c>
      <c r="AC896" s="1">
        <f>A896</f>
        <v/>
      </c>
      <c r="AD896">
        <f>IF(ISNUMBER(V896),V896*($AB$1/V$2635),"")</f>
        <v/>
      </c>
      <c r="AE896">
        <f>IF(ISNUMBER(Z896),Z896*($AB$1/Z$2635),"")</f>
        <v/>
      </c>
      <c r="AF896" s="25">
        <f>IF(ISNUMBER(AD896+AE896),AD896+AE896,"")</f>
        <v/>
      </c>
      <c r="AH896" s="1">
        <f>A896</f>
        <v/>
      </c>
      <c r="AI896">
        <f>IF(ISNUMBER((1+V896)*AI895),(1+V896)*AI895,AI895)</f>
        <v/>
      </c>
      <c r="AJ896">
        <f>IF(ISNUMBER((1+Z896)*AJ895),(1+Z896)*AJ895,AJ895)</f>
        <v/>
      </c>
    </row>
    <row r="897">
      <c r="A897" s="1" t="n">
        <v>43305</v>
      </c>
      <c r="B897" s="3">
        <f>IF(ORIG!B897=0,"",ORIG!B897)</f>
        <v/>
      </c>
      <c r="C897" s="3">
        <f>IF(ORIG!C897=0,"",ORIG!C897)</f>
        <v/>
      </c>
      <c r="D897" s="3">
        <f>IF(ORIG!D897=0,"",ORIG!D897)</f>
        <v/>
      </c>
      <c r="E897" s="3">
        <f>IF(ORIG!E897=0,"",ORIG!E897)</f>
        <v/>
      </c>
      <c r="F897" s="3">
        <f>IF(ORIG!F897=0,"",ORIG!F897)</f>
        <v/>
      </c>
      <c r="G897" s="3">
        <f>IF(ORIG!G897=0,"",ORIG!G897)</f>
        <v/>
      </c>
      <c r="H897" s="3">
        <f>IF(ORIG!H897=0,"",ORIG!H897)</f>
        <v/>
      </c>
      <c r="I897" s="3">
        <f>IF(ORIG!I897=0,"",ORIG!I897)</f>
        <v/>
      </c>
      <c r="J897" s="3">
        <f>IF(ORIG!J897=0,"",ORIG!J897)</f>
        <v/>
      </c>
      <c r="K897" s="3">
        <f>IF(ORIG!K897=0,"",ORIG!K897)</f>
        <v/>
      </c>
      <c r="L897" s="3">
        <f>IF(ORIG!L897=0,"",ORIG!L897)</f>
        <v/>
      </c>
      <c r="M897" s="3">
        <f>IF(ORIG!M897=0,"",ORIG!M897)</f>
        <v/>
      </c>
      <c r="N897" s="3">
        <f>IF(ORIG!N897=0,"",ORIG!N897)</f>
        <v/>
      </c>
      <c r="O897" s="3">
        <f>IF(ORIG!O897=0,"",ORIG!O897)</f>
        <v/>
      </c>
      <c r="P897" s="3">
        <f>IF(ORIG!P897=0,"",ORIG!P897)</f>
        <v/>
      </c>
      <c r="Q897" s="3">
        <f>IF(ORIG!Q897=0,"",ORIG!Q897)</f>
        <v/>
      </c>
      <c r="R897" s="3">
        <f>IF(ORIG!R897=0,"",ORIG!R897)</f>
        <v/>
      </c>
      <c r="S897" s="3">
        <f>IF(ORIG!S897=0,"",ORIG!S897)</f>
        <v/>
      </c>
      <c r="T897" s="3">
        <f>IF(ORIG!T897=0,"",ORIG!T897)</f>
        <v/>
      </c>
      <c r="U897" s="3">
        <f>IF(ORIG!U897=0,"",ORIG!U897)</f>
        <v/>
      </c>
      <c r="V897" s="9">
        <f>IF(ORIG!V897=0,"",ORIG!V897)</f>
        <v/>
      </c>
      <c r="W897" s="9">
        <f>IF(ORIG!W897=0,"",ORIG!W897)</f>
        <v/>
      </c>
      <c r="X897" s="9">
        <f>IF(ORIG!X897=0,"",ORIG!X897)</f>
        <v/>
      </c>
      <c r="Y897" s="9">
        <f>IF(ORIG!Y897=0,"",ORIG!Y897)</f>
        <v/>
      </c>
      <c r="Z897" s="3">
        <f>SUMPRODUCT($B897:$Y897,$B$2649:$Y$2649)</f>
        <v/>
      </c>
      <c r="AA897" s="3">
        <f>SUMPRODUCT($B897:$Y897,$B$2655:$Y$2655)</f>
        <v/>
      </c>
      <c r="AC897" s="1">
        <f>A897</f>
        <v/>
      </c>
      <c r="AD897">
        <f>IF(ISNUMBER(V897),V897*($AB$1/V$2635),"")</f>
        <v/>
      </c>
      <c r="AE897">
        <f>IF(ISNUMBER(Z897),Z897*($AB$1/Z$2635),"")</f>
        <v/>
      </c>
      <c r="AF897" s="25">
        <f>IF(ISNUMBER(AD897+AE897),AD897+AE897,"")</f>
        <v/>
      </c>
      <c r="AH897" s="1">
        <f>A897</f>
        <v/>
      </c>
      <c r="AI897">
        <f>IF(ISNUMBER((1+V897)*AI896),(1+V897)*AI896,AI896)</f>
        <v/>
      </c>
      <c r="AJ897">
        <f>IF(ISNUMBER((1+Z897)*AJ896),(1+Z897)*AJ896,AJ896)</f>
        <v/>
      </c>
    </row>
    <row r="898">
      <c r="A898" s="1" t="n">
        <v>43306</v>
      </c>
      <c r="B898" s="3">
        <f>IF(ORIG!B898=0,"",ORIG!B898)</f>
        <v/>
      </c>
      <c r="C898" s="3">
        <f>IF(ORIG!C898=0,"",ORIG!C898)</f>
        <v/>
      </c>
      <c r="D898" s="3">
        <f>IF(ORIG!D898=0,"",ORIG!D898)</f>
        <v/>
      </c>
      <c r="E898" s="3">
        <f>IF(ORIG!E898=0,"",ORIG!E898)</f>
        <v/>
      </c>
      <c r="F898" s="3">
        <f>IF(ORIG!F898=0,"",ORIG!F898)</f>
        <v/>
      </c>
      <c r="G898" s="3">
        <f>IF(ORIG!G898=0,"",ORIG!G898)</f>
        <v/>
      </c>
      <c r="H898" s="3">
        <f>IF(ORIG!H898=0,"",ORIG!H898)</f>
        <v/>
      </c>
      <c r="I898" s="3">
        <f>IF(ORIG!I898=0,"",ORIG!I898)</f>
        <v/>
      </c>
      <c r="J898" s="3">
        <f>IF(ORIG!J898=0,"",ORIG!J898)</f>
        <v/>
      </c>
      <c r="K898" s="3">
        <f>IF(ORIG!K898=0,"",ORIG!K898)</f>
        <v/>
      </c>
      <c r="L898" s="3">
        <f>IF(ORIG!L898=0,"",ORIG!L898)</f>
        <v/>
      </c>
      <c r="M898" s="3">
        <f>IF(ORIG!M898=0,"",ORIG!M898)</f>
        <v/>
      </c>
      <c r="N898" s="3">
        <f>IF(ORIG!N898=0,"",ORIG!N898)</f>
        <v/>
      </c>
      <c r="O898" s="3">
        <f>IF(ORIG!O898=0,"",ORIG!O898)</f>
        <v/>
      </c>
      <c r="P898" s="3">
        <f>IF(ORIG!P898=0,"",ORIG!P898)</f>
        <v/>
      </c>
      <c r="Q898" s="3">
        <f>IF(ORIG!Q898=0,"",ORIG!Q898)</f>
        <v/>
      </c>
      <c r="R898" s="3">
        <f>IF(ORIG!R898=0,"",ORIG!R898)</f>
        <v/>
      </c>
      <c r="S898" s="3">
        <f>IF(ORIG!S898=0,"",ORIG!S898)</f>
        <v/>
      </c>
      <c r="T898" s="3">
        <f>IF(ORIG!T898=0,"",ORIG!T898)</f>
        <v/>
      </c>
      <c r="U898" s="3">
        <f>IF(ORIG!U898=0,"",ORIG!U898)</f>
        <v/>
      </c>
      <c r="V898" s="9">
        <f>IF(ORIG!V898=0,"",ORIG!V898)</f>
        <v/>
      </c>
      <c r="W898" s="9">
        <f>IF(ORIG!W898=0,"",ORIG!W898)</f>
        <v/>
      </c>
      <c r="X898" s="9">
        <f>IF(ORIG!X898=0,"",ORIG!X898)</f>
        <v/>
      </c>
      <c r="Y898" s="9">
        <f>IF(ORIG!Y898=0,"",ORIG!Y898)</f>
        <v/>
      </c>
      <c r="Z898" s="3">
        <f>SUMPRODUCT($B898:$Y898,$B$2649:$Y$2649)</f>
        <v/>
      </c>
      <c r="AA898" s="3">
        <f>SUMPRODUCT($B898:$Y898,$B$2655:$Y$2655)</f>
        <v/>
      </c>
      <c r="AC898" s="1">
        <f>A898</f>
        <v/>
      </c>
      <c r="AD898">
        <f>IF(ISNUMBER(V898),V898*($AB$1/V$2635),"")</f>
        <v/>
      </c>
      <c r="AE898">
        <f>IF(ISNUMBER(Z898),Z898*($AB$1/Z$2635),"")</f>
        <v/>
      </c>
      <c r="AF898" s="25">
        <f>IF(ISNUMBER(AD898+AE898),AD898+AE898,"")</f>
        <v/>
      </c>
      <c r="AH898" s="1">
        <f>A898</f>
        <v/>
      </c>
      <c r="AI898">
        <f>IF(ISNUMBER((1+V898)*AI897),(1+V898)*AI897,AI897)</f>
        <v/>
      </c>
      <c r="AJ898">
        <f>IF(ISNUMBER((1+Z898)*AJ897),(1+Z898)*AJ897,AJ897)</f>
        <v/>
      </c>
    </row>
    <row r="899">
      <c r="A899" s="1" t="n">
        <v>43307</v>
      </c>
      <c r="B899" s="3">
        <f>IF(ORIG!B899=0,"",ORIG!B899)</f>
        <v/>
      </c>
      <c r="C899" s="3">
        <f>IF(ORIG!C899=0,"",ORIG!C899)</f>
        <v/>
      </c>
      <c r="D899" s="3">
        <f>IF(ORIG!D899=0,"",ORIG!D899)</f>
        <v/>
      </c>
      <c r="E899" s="3">
        <f>IF(ORIG!E899=0,"",ORIG!E899)</f>
        <v/>
      </c>
      <c r="F899" s="3">
        <f>IF(ORIG!F899=0,"",ORIG!F899)</f>
        <v/>
      </c>
      <c r="G899" s="3">
        <f>IF(ORIG!G899=0,"",ORIG!G899)</f>
        <v/>
      </c>
      <c r="H899" s="3">
        <f>IF(ORIG!H899=0,"",ORIG!H899)</f>
        <v/>
      </c>
      <c r="I899" s="3">
        <f>IF(ORIG!I899=0,"",ORIG!I899)</f>
        <v/>
      </c>
      <c r="J899" s="3">
        <f>IF(ORIG!J899=0,"",ORIG!J899)</f>
        <v/>
      </c>
      <c r="K899" s="3">
        <f>IF(ORIG!K899=0,"",ORIG!K899)</f>
        <v/>
      </c>
      <c r="L899" s="3">
        <f>IF(ORIG!L899=0,"",ORIG!L899)</f>
        <v/>
      </c>
      <c r="M899" s="3">
        <f>IF(ORIG!M899=0,"",ORIG!M899)</f>
        <v/>
      </c>
      <c r="N899" s="3">
        <f>IF(ORIG!N899=0,"",ORIG!N899)</f>
        <v/>
      </c>
      <c r="O899" s="3">
        <f>IF(ORIG!O899=0,"",ORIG!O899)</f>
        <v/>
      </c>
      <c r="P899" s="3">
        <f>IF(ORIG!P899=0,"",ORIG!P899)</f>
        <v/>
      </c>
      <c r="Q899" s="3">
        <f>IF(ORIG!Q899=0,"",ORIG!Q899)</f>
        <v/>
      </c>
      <c r="R899" s="3">
        <f>IF(ORIG!R899=0,"",ORIG!R899)</f>
        <v/>
      </c>
      <c r="S899" s="3">
        <f>IF(ORIG!S899=0,"",ORIG!S899)</f>
        <v/>
      </c>
      <c r="T899" s="3">
        <f>IF(ORIG!T899=0,"",ORIG!T899)</f>
        <v/>
      </c>
      <c r="U899" s="3">
        <f>IF(ORIG!U899=0,"",ORIG!U899)</f>
        <v/>
      </c>
      <c r="V899" s="9">
        <f>IF(ORIG!V899=0,"",ORIG!V899)</f>
        <v/>
      </c>
      <c r="W899" s="9">
        <f>IF(ORIG!W899=0,"",ORIG!W899)</f>
        <v/>
      </c>
      <c r="X899" s="9">
        <f>IF(ORIG!X899=0,"",ORIG!X899)</f>
        <v/>
      </c>
      <c r="Y899" s="9">
        <f>IF(ORIG!Y899=0,"",ORIG!Y899)</f>
        <v/>
      </c>
      <c r="Z899" s="3">
        <f>SUMPRODUCT($B899:$Y899,$B$2649:$Y$2649)</f>
        <v/>
      </c>
      <c r="AA899" s="3">
        <f>SUMPRODUCT($B899:$Y899,$B$2655:$Y$2655)</f>
        <v/>
      </c>
      <c r="AC899" s="1">
        <f>A899</f>
        <v/>
      </c>
      <c r="AD899">
        <f>IF(ISNUMBER(V899),V899*($AB$1/V$2635),"")</f>
        <v/>
      </c>
      <c r="AE899">
        <f>IF(ISNUMBER(Z899),Z899*($AB$1/Z$2635),"")</f>
        <v/>
      </c>
      <c r="AF899" s="25">
        <f>IF(ISNUMBER(AD899+AE899),AD899+AE899,"")</f>
        <v/>
      </c>
      <c r="AH899" s="1">
        <f>A899</f>
        <v/>
      </c>
      <c r="AI899">
        <f>IF(ISNUMBER((1+V899)*AI898),(1+V899)*AI898,AI898)</f>
        <v/>
      </c>
      <c r="AJ899">
        <f>IF(ISNUMBER((1+Z899)*AJ898),(1+Z899)*AJ898,AJ898)</f>
        <v/>
      </c>
    </row>
    <row r="900">
      <c r="A900" s="1" t="n">
        <v>43308</v>
      </c>
      <c r="B900" s="3">
        <f>IF(ORIG!B900=0,"",ORIG!B900)</f>
        <v/>
      </c>
      <c r="C900" s="3">
        <f>IF(ORIG!C900=0,"",ORIG!C900)</f>
        <v/>
      </c>
      <c r="D900" s="3">
        <f>IF(ORIG!D900=0,"",ORIG!D900)</f>
        <v/>
      </c>
      <c r="E900" s="3">
        <f>IF(ORIG!E900=0,"",ORIG!E900)</f>
        <v/>
      </c>
      <c r="F900" s="3">
        <f>IF(ORIG!F900=0,"",ORIG!F900)</f>
        <v/>
      </c>
      <c r="G900" s="3">
        <f>IF(ORIG!G900=0,"",ORIG!G900)</f>
        <v/>
      </c>
      <c r="H900" s="3">
        <f>IF(ORIG!H900=0,"",ORIG!H900)</f>
        <v/>
      </c>
      <c r="I900" s="3">
        <f>IF(ORIG!I900=0,"",ORIG!I900)</f>
        <v/>
      </c>
      <c r="J900" s="3">
        <f>IF(ORIG!J900=0,"",ORIG!J900)</f>
        <v/>
      </c>
      <c r="K900" s="3">
        <f>IF(ORIG!K900=0,"",ORIG!K900)</f>
        <v/>
      </c>
      <c r="L900" s="3">
        <f>IF(ORIG!L900=0,"",ORIG!L900)</f>
        <v/>
      </c>
      <c r="M900" s="3">
        <f>IF(ORIG!M900=0,"",ORIG!M900)</f>
        <v/>
      </c>
      <c r="N900" s="3">
        <f>IF(ORIG!N900=0,"",ORIG!N900)</f>
        <v/>
      </c>
      <c r="O900" s="3">
        <f>IF(ORIG!O900=0,"",ORIG!O900)</f>
        <v/>
      </c>
      <c r="P900" s="3">
        <f>IF(ORIG!P900=0,"",ORIG!P900)</f>
        <v/>
      </c>
      <c r="Q900" s="3">
        <f>IF(ORIG!Q900=0,"",ORIG!Q900)</f>
        <v/>
      </c>
      <c r="R900" s="3">
        <f>IF(ORIG!R900=0,"",ORIG!R900)</f>
        <v/>
      </c>
      <c r="S900" s="3">
        <f>IF(ORIG!S900=0,"",ORIG!S900)</f>
        <v/>
      </c>
      <c r="T900" s="3">
        <f>IF(ORIG!T900=0,"",ORIG!T900)</f>
        <v/>
      </c>
      <c r="U900" s="3">
        <f>IF(ORIG!U900=0,"",ORIG!U900)</f>
        <v/>
      </c>
      <c r="V900" s="9">
        <f>IF(ORIG!V900=0,"",ORIG!V900)</f>
        <v/>
      </c>
      <c r="W900" s="9">
        <f>IF(ORIG!W900=0,"",ORIG!W900)</f>
        <v/>
      </c>
      <c r="X900" s="9">
        <f>IF(ORIG!X900=0,"",ORIG!X900)</f>
        <v/>
      </c>
      <c r="Y900" s="9">
        <f>IF(ORIG!Y900=0,"",ORIG!Y900)</f>
        <v/>
      </c>
      <c r="Z900" s="3">
        <f>SUMPRODUCT($B900:$Y900,$B$2649:$Y$2649)</f>
        <v/>
      </c>
      <c r="AA900" s="3">
        <f>SUMPRODUCT($B900:$Y900,$B$2655:$Y$2655)</f>
        <v/>
      </c>
      <c r="AC900" s="1">
        <f>A900</f>
        <v/>
      </c>
      <c r="AD900">
        <f>IF(ISNUMBER(V900),V900*($AB$1/V$2635),"")</f>
        <v/>
      </c>
      <c r="AE900">
        <f>IF(ISNUMBER(Z900),Z900*($AB$1/Z$2635),"")</f>
        <v/>
      </c>
      <c r="AF900" s="25">
        <f>IF(ISNUMBER(AD900+AE900),AD900+AE900,"")</f>
        <v/>
      </c>
      <c r="AH900" s="1">
        <f>A900</f>
        <v/>
      </c>
      <c r="AI900">
        <f>IF(ISNUMBER((1+V900)*AI899),(1+V900)*AI899,AI899)</f>
        <v/>
      </c>
      <c r="AJ900">
        <f>IF(ISNUMBER((1+Z900)*AJ899),(1+Z900)*AJ899,AJ899)</f>
        <v/>
      </c>
    </row>
    <row r="901">
      <c r="A901" s="1" t="n">
        <v>43311</v>
      </c>
      <c r="B901" s="3">
        <f>IF(ORIG!B901=0,"",ORIG!B901)</f>
        <v/>
      </c>
      <c r="C901" s="3">
        <f>IF(ORIG!C901=0,"",ORIG!C901)</f>
        <v/>
      </c>
      <c r="D901" s="3">
        <f>IF(ORIG!D901=0,"",ORIG!D901)</f>
        <v/>
      </c>
      <c r="E901" s="3">
        <f>IF(ORIG!E901=0,"",ORIG!E901)</f>
        <v/>
      </c>
      <c r="F901" s="3">
        <f>IF(ORIG!F901=0,"",ORIG!F901)</f>
        <v/>
      </c>
      <c r="G901" s="3">
        <f>IF(ORIG!G901=0,"",ORIG!G901)</f>
        <v/>
      </c>
      <c r="H901" s="3">
        <f>IF(ORIG!H901=0,"",ORIG!H901)</f>
        <v/>
      </c>
      <c r="I901" s="3">
        <f>IF(ORIG!I901=0,"",ORIG!I901)</f>
        <v/>
      </c>
      <c r="J901" s="3">
        <f>IF(ORIG!J901=0,"",ORIG!J901)</f>
        <v/>
      </c>
      <c r="K901" s="3">
        <f>IF(ORIG!K901=0,"",ORIG!K901)</f>
        <v/>
      </c>
      <c r="L901" s="3">
        <f>IF(ORIG!L901=0,"",ORIG!L901)</f>
        <v/>
      </c>
      <c r="M901" s="3">
        <f>IF(ORIG!M901=0,"",ORIG!M901)</f>
        <v/>
      </c>
      <c r="N901" s="3">
        <f>IF(ORIG!N901=0,"",ORIG!N901)</f>
        <v/>
      </c>
      <c r="O901" s="3">
        <f>IF(ORIG!O901=0,"",ORIG!O901)</f>
        <v/>
      </c>
      <c r="P901" s="3">
        <f>IF(ORIG!P901=0,"",ORIG!P901)</f>
        <v/>
      </c>
      <c r="Q901" s="3">
        <f>IF(ORIG!Q901=0,"",ORIG!Q901)</f>
        <v/>
      </c>
      <c r="R901" s="3">
        <f>IF(ORIG!R901=0,"",ORIG!R901)</f>
        <v/>
      </c>
      <c r="S901" s="3">
        <f>IF(ORIG!S901=0,"",ORIG!S901)</f>
        <v/>
      </c>
      <c r="T901" s="3">
        <f>IF(ORIG!T901=0,"",ORIG!T901)</f>
        <v/>
      </c>
      <c r="U901" s="3">
        <f>IF(ORIG!U901=0,"",ORIG!U901)</f>
        <v/>
      </c>
      <c r="V901" s="9">
        <f>IF(ORIG!V901=0,"",ORIG!V901)</f>
        <v/>
      </c>
      <c r="W901" s="9">
        <f>IF(ORIG!W901=0,"",ORIG!W901)</f>
        <v/>
      </c>
      <c r="X901" s="9">
        <f>IF(ORIG!X901=0,"",ORIG!X901)</f>
        <v/>
      </c>
      <c r="Y901" s="9">
        <f>IF(ORIG!Y901=0,"",ORIG!Y901)</f>
        <v/>
      </c>
      <c r="Z901" s="3">
        <f>SUMPRODUCT($B901:$Y901,$B$2649:$Y$2649)</f>
        <v/>
      </c>
      <c r="AA901" s="3">
        <f>SUMPRODUCT($B901:$Y901,$B$2655:$Y$2655)</f>
        <v/>
      </c>
      <c r="AC901" s="1">
        <f>A901</f>
        <v/>
      </c>
      <c r="AD901">
        <f>IF(ISNUMBER(V901),V901*($AB$1/V$2635),"")</f>
        <v/>
      </c>
      <c r="AE901">
        <f>IF(ISNUMBER(Z901),Z901*($AB$1/Z$2635),"")</f>
        <v/>
      </c>
      <c r="AF901" s="25">
        <f>IF(ISNUMBER(AD901+AE901),AD901+AE901,"")</f>
        <v/>
      </c>
      <c r="AH901" s="1">
        <f>A901</f>
        <v/>
      </c>
      <c r="AI901">
        <f>IF(ISNUMBER((1+V901)*AI900),(1+V901)*AI900,AI900)</f>
        <v/>
      </c>
      <c r="AJ901">
        <f>IF(ISNUMBER((1+Z901)*AJ900),(1+Z901)*AJ900,AJ900)</f>
        <v/>
      </c>
    </row>
    <row r="902">
      <c r="A902" s="1" t="n">
        <v>43312</v>
      </c>
      <c r="B902" s="3">
        <f>IF(ORIG!B902=0,"",ORIG!B902)</f>
        <v/>
      </c>
      <c r="C902" s="3">
        <f>IF(ORIG!C902=0,"",ORIG!C902)</f>
        <v/>
      </c>
      <c r="D902" s="3">
        <f>IF(ORIG!D902=0,"",ORIG!D902)</f>
        <v/>
      </c>
      <c r="E902" s="3">
        <f>IF(ORIG!E902=0,"",ORIG!E902)</f>
        <v/>
      </c>
      <c r="F902" s="3">
        <f>IF(ORIG!F902=0,"",ORIG!F902)</f>
        <v/>
      </c>
      <c r="G902" s="3">
        <f>IF(ORIG!G902=0,"",ORIG!G902)</f>
        <v/>
      </c>
      <c r="H902" s="3">
        <f>IF(ORIG!H902=0,"",ORIG!H902)</f>
        <v/>
      </c>
      <c r="I902" s="3">
        <f>IF(ORIG!I902=0,"",ORIG!I902)</f>
        <v/>
      </c>
      <c r="J902" s="3">
        <f>IF(ORIG!J902=0,"",ORIG!J902)</f>
        <v/>
      </c>
      <c r="K902" s="3">
        <f>IF(ORIG!K902=0,"",ORIG!K902)</f>
        <v/>
      </c>
      <c r="L902" s="3">
        <f>IF(ORIG!L902=0,"",ORIG!L902)</f>
        <v/>
      </c>
      <c r="M902" s="3">
        <f>IF(ORIG!M902=0,"",ORIG!M902)</f>
        <v/>
      </c>
      <c r="N902" s="3">
        <f>IF(ORIG!N902=0,"",ORIG!N902)</f>
        <v/>
      </c>
      <c r="O902" s="3">
        <f>IF(ORIG!O902=0,"",ORIG!O902)</f>
        <v/>
      </c>
      <c r="P902" s="3">
        <f>IF(ORIG!P902=0,"",ORIG!P902)</f>
        <v/>
      </c>
      <c r="Q902" s="3">
        <f>IF(ORIG!Q902=0,"",ORIG!Q902)</f>
        <v/>
      </c>
      <c r="R902" s="3">
        <f>IF(ORIG!R902=0,"",ORIG!R902)</f>
        <v/>
      </c>
      <c r="S902" s="3">
        <f>IF(ORIG!S902=0,"",ORIG!S902)</f>
        <v/>
      </c>
      <c r="T902" s="3">
        <f>IF(ORIG!T902=0,"",ORIG!T902)</f>
        <v/>
      </c>
      <c r="U902" s="3">
        <f>IF(ORIG!U902=0,"",ORIG!U902)</f>
        <v/>
      </c>
      <c r="V902" s="9">
        <f>IF(ORIG!V902=0,"",ORIG!V902)</f>
        <v/>
      </c>
      <c r="W902" s="9">
        <f>IF(ORIG!W902=0,"",ORIG!W902)</f>
        <v/>
      </c>
      <c r="X902" s="9">
        <f>IF(ORIG!X902=0,"",ORIG!X902)</f>
        <v/>
      </c>
      <c r="Y902" s="9">
        <f>IF(ORIG!Y902=0,"",ORIG!Y902)</f>
        <v/>
      </c>
      <c r="Z902" s="3">
        <f>SUMPRODUCT($B902:$Y902,$B$2649:$Y$2649)</f>
        <v/>
      </c>
      <c r="AA902" s="3">
        <f>SUMPRODUCT($B902:$Y902,$B$2655:$Y$2655)</f>
        <v/>
      </c>
      <c r="AC902" s="1">
        <f>A902</f>
        <v/>
      </c>
      <c r="AD902">
        <f>IF(ISNUMBER(V902),V902*($AB$1/V$2635),"")</f>
        <v/>
      </c>
      <c r="AE902">
        <f>IF(ISNUMBER(Z902),Z902*($AB$1/Z$2635),"")</f>
        <v/>
      </c>
      <c r="AF902" s="25">
        <f>IF(ISNUMBER(AD902+AE902),AD902+AE902,"")</f>
        <v/>
      </c>
      <c r="AH902" s="1">
        <f>A902</f>
        <v/>
      </c>
      <c r="AI902">
        <f>IF(ISNUMBER((1+V902)*AI901),(1+V902)*AI901,AI901)</f>
        <v/>
      </c>
      <c r="AJ902">
        <f>IF(ISNUMBER((1+Z902)*AJ901),(1+Z902)*AJ901,AJ901)</f>
        <v/>
      </c>
    </row>
    <row r="903">
      <c r="A903" s="1" t="n">
        <v>43313</v>
      </c>
      <c r="B903" s="3">
        <f>IF(ORIG!B903=0,"",ORIG!B903)</f>
        <v/>
      </c>
      <c r="C903" s="3">
        <f>IF(ORIG!C903=0,"",ORIG!C903)</f>
        <v/>
      </c>
      <c r="D903" s="3">
        <f>IF(ORIG!D903=0,"",ORIG!D903)</f>
        <v/>
      </c>
      <c r="E903" s="3">
        <f>IF(ORIG!E903=0,"",ORIG!E903)</f>
        <v/>
      </c>
      <c r="F903" s="3">
        <f>IF(ORIG!F903=0,"",ORIG!F903)</f>
        <v/>
      </c>
      <c r="G903" s="3">
        <f>IF(ORIG!G903=0,"",ORIG!G903)</f>
        <v/>
      </c>
      <c r="H903" s="3">
        <f>IF(ORIG!H903=0,"",ORIG!H903)</f>
        <v/>
      </c>
      <c r="I903" s="3">
        <f>IF(ORIG!I903=0,"",ORIG!I903)</f>
        <v/>
      </c>
      <c r="J903" s="3">
        <f>IF(ORIG!J903=0,"",ORIG!J903)</f>
        <v/>
      </c>
      <c r="K903" s="3">
        <f>IF(ORIG!K903=0,"",ORIG!K903)</f>
        <v/>
      </c>
      <c r="L903" s="3">
        <f>IF(ORIG!L903=0,"",ORIG!L903)</f>
        <v/>
      </c>
      <c r="M903" s="3">
        <f>IF(ORIG!M903=0,"",ORIG!M903)</f>
        <v/>
      </c>
      <c r="N903" s="3">
        <f>IF(ORIG!N903=0,"",ORIG!N903)</f>
        <v/>
      </c>
      <c r="O903" s="3">
        <f>IF(ORIG!O903=0,"",ORIG!O903)</f>
        <v/>
      </c>
      <c r="P903" s="3">
        <f>IF(ORIG!P903=0,"",ORIG!P903)</f>
        <v/>
      </c>
      <c r="Q903" s="3">
        <f>IF(ORIG!Q903=0,"",ORIG!Q903)</f>
        <v/>
      </c>
      <c r="R903" s="3">
        <f>IF(ORIG!R903=0,"",ORIG!R903)</f>
        <v/>
      </c>
      <c r="S903" s="3">
        <f>IF(ORIG!S903=0,"",ORIG!S903)</f>
        <v/>
      </c>
      <c r="T903" s="3">
        <f>IF(ORIG!T903=0,"",ORIG!T903)</f>
        <v/>
      </c>
      <c r="U903" s="3">
        <f>IF(ORIG!U903=0,"",ORIG!U903)</f>
        <v/>
      </c>
      <c r="V903" s="9">
        <f>IF(ORIG!V903=0,"",ORIG!V903)</f>
        <v/>
      </c>
      <c r="W903" s="9">
        <f>IF(ORIG!W903=0,"",ORIG!W903)</f>
        <v/>
      </c>
      <c r="X903" s="9">
        <f>IF(ORIG!X903=0,"",ORIG!X903)</f>
        <v/>
      </c>
      <c r="Y903" s="9">
        <f>IF(ORIG!Y903=0,"",ORIG!Y903)</f>
        <v/>
      </c>
      <c r="Z903" s="3">
        <f>SUMPRODUCT($B903:$Y903,$B$2649:$Y$2649)</f>
        <v/>
      </c>
      <c r="AA903" s="3">
        <f>SUMPRODUCT($B903:$Y903,$B$2655:$Y$2655)</f>
        <v/>
      </c>
      <c r="AC903" s="1">
        <f>A903</f>
        <v/>
      </c>
      <c r="AD903">
        <f>IF(ISNUMBER(V903),V903*($AB$1/V$2635),"")</f>
        <v/>
      </c>
      <c r="AE903">
        <f>IF(ISNUMBER(Z903),Z903*($AB$1/Z$2635),"")</f>
        <v/>
      </c>
      <c r="AF903" s="25">
        <f>IF(ISNUMBER(AD903+AE903),AD903+AE903,"")</f>
        <v/>
      </c>
      <c r="AH903" s="1">
        <f>A903</f>
        <v/>
      </c>
      <c r="AI903">
        <f>IF(ISNUMBER((1+V903)*AI902),(1+V903)*AI902,AI902)</f>
        <v/>
      </c>
      <c r="AJ903">
        <f>IF(ISNUMBER((1+Z903)*AJ902),(1+Z903)*AJ902,AJ902)</f>
        <v/>
      </c>
    </row>
    <row r="904">
      <c r="A904" s="1" t="n">
        <v>43314</v>
      </c>
      <c r="B904" s="3">
        <f>IF(ORIG!B904=0,"",ORIG!B904)</f>
        <v/>
      </c>
      <c r="C904" s="3">
        <f>IF(ORIG!C904=0,"",ORIG!C904)</f>
        <v/>
      </c>
      <c r="D904" s="3">
        <f>IF(ORIG!D904=0,"",ORIG!D904)</f>
        <v/>
      </c>
      <c r="E904" s="3">
        <f>IF(ORIG!E904=0,"",ORIG!E904)</f>
        <v/>
      </c>
      <c r="F904" s="3">
        <f>IF(ORIG!F904=0,"",ORIG!F904)</f>
        <v/>
      </c>
      <c r="G904" s="3">
        <f>IF(ORIG!G904=0,"",ORIG!G904)</f>
        <v/>
      </c>
      <c r="H904" s="3">
        <f>IF(ORIG!H904=0,"",ORIG!H904)</f>
        <v/>
      </c>
      <c r="I904" s="3">
        <f>IF(ORIG!I904=0,"",ORIG!I904)</f>
        <v/>
      </c>
      <c r="J904" s="3">
        <f>IF(ORIG!J904=0,"",ORIG!J904)</f>
        <v/>
      </c>
      <c r="K904" s="3">
        <f>IF(ORIG!K904=0,"",ORIG!K904)</f>
        <v/>
      </c>
      <c r="L904" s="3">
        <f>IF(ORIG!L904=0,"",ORIG!L904)</f>
        <v/>
      </c>
      <c r="M904" s="3">
        <f>IF(ORIG!M904=0,"",ORIG!M904)</f>
        <v/>
      </c>
      <c r="N904" s="3">
        <f>IF(ORIG!N904=0,"",ORIG!N904)</f>
        <v/>
      </c>
      <c r="O904" s="3">
        <f>IF(ORIG!O904=0,"",ORIG!O904)</f>
        <v/>
      </c>
      <c r="P904" s="3">
        <f>IF(ORIG!P904=0,"",ORIG!P904)</f>
        <v/>
      </c>
      <c r="Q904" s="3">
        <f>IF(ORIG!Q904=0,"",ORIG!Q904)</f>
        <v/>
      </c>
      <c r="R904" s="3">
        <f>IF(ORIG!R904=0,"",ORIG!R904)</f>
        <v/>
      </c>
      <c r="S904" s="3">
        <f>IF(ORIG!S904=0,"",ORIG!S904)</f>
        <v/>
      </c>
      <c r="T904" s="3">
        <f>IF(ORIG!T904=0,"",ORIG!T904)</f>
        <v/>
      </c>
      <c r="U904" s="3">
        <f>IF(ORIG!U904=0,"",ORIG!U904)</f>
        <v/>
      </c>
      <c r="V904" s="9">
        <f>IF(ORIG!V904=0,"",ORIG!V904)</f>
        <v/>
      </c>
      <c r="W904" s="9">
        <f>IF(ORIG!W904=0,"",ORIG!W904)</f>
        <v/>
      </c>
      <c r="X904" s="9">
        <f>IF(ORIG!X904=0,"",ORIG!X904)</f>
        <v/>
      </c>
      <c r="Y904" s="9">
        <f>IF(ORIG!Y904=0,"",ORIG!Y904)</f>
        <v/>
      </c>
      <c r="Z904" s="3">
        <f>SUMPRODUCT($B904:$Y904,$B$2649:$Y$2649)</f>
        <v/>
      </c>
      <c r="AA904" s="3">
        <f>SUMPRODUCT($B904:$Y904,$B$2655:$Y$2655)</f>
        <v/>
      </c>
      <c r="AC904" s="1">
        <f>A904</f>
        <v/>
      </c>
      <c r="AD904">
        <f>IF(ISNUMBER(V904),V904*($AB$1/V$2635),"")</f>
        <v/>
      </c>
      <c r="AE904">
        <f>IF(ISNUMBER(Z904),Z904*($AB$1/Z$2635),"")</f>
        <v/>
      </c>
      <c r="AF904" s="25">
        <f>IF(ISNUMBER(AD904+AE904),AD904+AE904,"")</f>
        <v/>
      </c>
      <c r="AH904" s="1">
        <f>A904</f>
        <v/>
      </c>
      <c r="AI904">
        <f>IF(ISNUMBER((1+V904)*AI903),(1+V904)*AI903,AI903)</f>
        <v/>
      </c>
      <c r="AJ904">
        <f>IF(ISNUMBER((1+Z904)*AJ903),(1+Z904)*AJ903,AJ903)</f>
        <v/>
      </c>
    </row>
    <row r="905">
      <c r="A905" s="1" t="n">
        <v>43315</v>
      </c>
      <c r="B905" s="3">
        <f>IF(ORIG!B905=0,"",ORIG!B905)</f>
        <v/>
      </c>
      <c r="C905" s="3">
        <f>IF(ORIG!C905=0,"",ORIG!C905)</f>
        <v/>
      </c>
      <c r="D905" s="3">
        <f>IF(ORIG!D905=0,"",ORIG!D905)</f>
        <v/>
      </c>
      <c r="E905" s="3">
        <f>IF(ORIG!E905=0,"",ORIG!E905)</f>
        <v/>
      </c>
      <c r="F905" s="3">
        <f>IF(ORIG!F905=0,"",ORIG!F905)</f>
        <v/>
      </c>
      <c r="G905" s="3">
        <f>IF(ORIG!G905=0,"",ORIG!G905)</f>
        <v/>
      </c>
      <c r="H905" s="3">
        <f>IF(ORIG!H905=0,"",ORIG!H905)</f>
        <v/>
      </c>
      <c r="I905" s="3">
        <f>IF(ORIG!I905=0,"",ORIG!I905)</f>
        <v/>
      </c>
      <c r="J905" s="3">
        <f>IF(ORIG!J905=0,"",ORIG!J905)</f>
        <v/>
      </c>
      <c r="K905" s="3">
        <f>IF(ORIG!K905=0,"",ORIG!K905)</f>
        <v/>
      </c>
      <c r="L905" s="3">
        <f>IF(ORIG!L905=0,"",ORIG!L905)</f>
        <v/>
      </c>
      <c r="M905" s="3">
        <f>IF(ORIG!M905=0,"",ORIG!M905)</f>
        <v/>
      </c>
      <c r="N905" s="3">
        <f>IF(ORIG!N905=0,"",ORIG!N905)</f>
        <v/>
      </c>
      <c r="O905" s="3">
        <f>IF(ORIG!O905=0,"",ORIG!O905)</f>
        <v/>
      </c>
      <c r="P905" s="3">
        <f>IF(ORIG!P905=0,"",ORIG!P905)</f>
        <v/>
      </c>
      <c r="Q905" s="3">
        <f>IF(ORIG!Q905=0,"",ORIG!Q905)</f>
        <v/>
      </c>
      <c r="R905" s="3">
        <f>IF(ORIG!R905=0,"",ORIG!R905)</f>
        <v/>
      </c>
      <c r="S905" s="3">
        <f>IF(ORIG!S905=0,"",ORIG!S905)</f>
        <v/>
      </c>
      <c r="T905" s="3">
        <f>IF(ORIG!T905=0,"",ORIG!T905)</f>
        <v/>
      </c>
      <c r="U905" s="3">
        <f>IF(ORIG!U905=0,"",ORIG!U905)</f>
        <v/>
      </c>
      <c r="V905" s="9">
        <f>IF(ORIG!V905=0,"",ORIG!V905)</f>
        <v/>
      </c>
      <c r="W905" s="9">
        <f>IF(ORIG!W905=0,"",ORIG!W905)</f>
        <v/>
      </c>
      <c r="X905" s="9">
        <f>IF(ORIG!X905=0,"",ORIG!X905)</f>
        <v/>
      </c>
      <c r="Y905" s="9">
        <f>IF(ORIG!Y905=0,"",ORIG!Y905)</f>
        <v/>
      </c>
      <c r="Z905" s="3">
        <f>SUMPRODUCT($B905:$Y905,$B$2649:$Y$2649)</f>
        <v/>
      </c>
      <c r="AA905" s="3">
        <f>SUMPRODUCT($B905:$Y905,$B$2655:$Y$2655)</f>
        <v/>
      </c>
      <c r="AC905" s="1">
        <f>A905</f>
        <v/>
      </c>
      <c r="AD905">
        <f>IF(ISNUMBER(V905),V905*($AB$1/V$2635),"")</f>
        <v/>
      </c>
      <c r="AE905">
        <f>IF(ISNUMBER(Z905),Z905*($AB$1/Z$2635),"")</f>
        <v/>
      </c>
      <c r="AF905" s="25">
        <f>IF(ISNUMBER(AD905+AE905),AD905+AE905,"")</f>
        <v/>
      </c>
      <c r="AH905" s="1">
        <f>A905</f>
        <v/>
      </c>
      <c r="AI905">
        <f>IF(ISNUMBER((1+V905)*AI904),(1+V905)*AI904,AI904)</f>
        <v/>
      </c>
      <c r="AJ905">
        <f>IF(ISNUMBER((1+Z905)*AJ904),(1+Z905)*AJ904,AJ904)</f>
        <v/>
      </c>
    </row>
    <row r="906">
      <c r="A906" s="1" t="n">
        <v>43318</v>
      </c>
      <c r="B906" s="3">
        <f>IF(ORIG!B906=0,"",ORIG!B906)</f>
        <v/>
      </c>
      <c r="C906" s="3">
        <f>IF(ORIG!C906=0,"",ORIG!C906)</f>
        <v/>
      </c>
      <c r="D906" s="3">
        <f>IF(ORIG!D906=0,"",ORIG!D906)</f>
        <v/>
      </c>
      <c r="E906" s="3">
        <f>IF(ORIG!E906=0,"",ORIG!E906)</f>
        <v/>
      </c>
      <c r="F906" s="3">
        <f>IF(ORIG!F906=0,"",ORIG!F906)</f>
        <v/>
      </c>
      <c r="G906" s="3">
        <f>IF(ORIG!G906=0,"",ORIG!G906)</f>
        <v/>
      </c>
      <c r="H906" s="3">
        <f>IF(ORIG!H906=0,"",ORIG!H906)</f>
        <v/>
      </c>
      <c r="I906" s="3">
        <f>IF(ORIG!I906=0,"",ORIG!I906)</f>
        <v/>
      </c>
      <c r="J906" s="3">
        <f>IF(ORIG!J906=0,"",ORIG!J906)</f>
        <v/>
      </c>
      <c r="K906" s="3">
        <f>IF(ORIG!K906=0,"",ORIG!K906)</f>
        <v/>
      </c>
      <c r="L906" s="3">
        <f>IF(ORIG!L906=0,"",ORIG!L906)</f>
        <v/>
      </c>
      <c r="M906" s="3">
        <f>IF(ORIG!M906=0,"",ORIG!M906)</f>
        <v/>
      </c>
      <c r="N906" s="3">
        <f>IF(ORIG!N906=0,"",ORIG!N906)</f>
        <v/>
      </c>
      <c r="O906" s="3">
        <f>IF(ORIG!O906=0,"",ORIG!O906)</f>
        <v/>
      </c>
      <c r="P906" s="3">
        <f>IF(ORIG!P906=0,"",ORIG!P906)</f>
        <v/>
      </c>
      <c r="Q906" s="3">
        <f>IF(ORIG!Q906=0,"",ORIG!Q906)</f>
        <v/>
      </c>
      <c r="R906" s="3">
        <f>IF(ORIG!R906=0,"",ORIG!R906)</f>
        <v/>
      </c>
      <c r="S906" s="3">
        <f>IF(ORIG!S906=0,"",ORIG!S906)</f>
        <v/>
      </c>
      <c r="T906" s="3">
        <f>IF(ORIG!T906=0,"",ORIG!T906)</f>
        <v/>
      </c>
      <c r="U906" s="3">
        <f>IF(ORIG!U906=0,"",ORIG!U906)</f>
        <v/>
      </c>
      <c r="V906" s="9">
        <f>IF(ORIG!V906=0,"",ORIG!V906)</f>
        <v/>
      </c>
      <c r="W906" s="9">
        <f>IF(ORIG!W906=0,"",ORIG!W906)</f>
        <v/>
      </c>
      <c r="X906" s="9">
        <f>IF(ORIG!X906=0,"",ORIG!X906)</f>
        <v/>
      </c>
      <c r="Y906" s="9">
        <f>IF(ORIG!Y906=0,"",ORIG!Y906)</f>
        <v/>
      </c>
      <c r="Z906" s="3">
        <f>SUMPRODUCT($B906:$Y906,$B$2649:$Y$2649)</f>
        <v/>
      </c>
      <c r="AA906" s="3">
        <f>SUMPRODUCT($B906:$Y906,$B$2655:$Y$2655)</f>
        <v/>
      </c>
      <c r="AC906" s="1">
        <f>A906</f>
        <v/>
      </c>
      <c r="AD906">
        <f>IF(ISNUMBER(V906),V906*($AB$1/V$2635),"")</f>
        <v/>
      </c>
      <c r="AE906">
        <f>IF(ISNUMBER(Z906),Z906*($AB$1/Z$2635),"")</f>
        <v/>
      </c>
      <c r="AF906" s="25">
        <f>IF(ISNUMBER(AD906+AE906),AD906+AE906,"")</f>
        <v/>
      </c>
      <c r="AH906" s="1">
        <f>A906</f>
        <v/>
      </c>
      <c r="AI906">
        <f>IF(ISNUMBER((1+V906)*AI905),(1+V906)*AI905,AI905)</f>
        <v/>
      </c>
      <c r="AJ906">
        <f>IF(ISNUMBER((1+Z906)*AJ905),(1+Z906)*AJ905,AJ905)</f>
        <v/>
      </c>
    </row>
    <row r="907">
      <c r="A907" s="1" t="n">
        <v>43319</v>
      </c>
      <c r="B907" s="3">
        <f>IF(ORIG!B907=0,"",ORIG!B907)</f>
        <v/>
      </c>
      <c r="C907" s="3">
        <f>IF(ORIG!C907=0,"",ORIG!C907)</f>
        <v/>
      </c>
      <c r="D907" s="3">
        <f>IF(ORIG!D907=0,"",ORIG!D907)</f>
        <v/>
      </c>
      <c r="E907" s="3">
        <f>IF(ORIG!E907=0,"",ORIG!E907)</f>
        <v/>
      </c>
      <c r="F907" s="3">
        <f>IF(ORIG!F907=0,"",ORIG!F907)</f>
        <v/>
      </c>
      <c r="G907" s="3">
        <f>IF(ORIG!G907=0,"",ORIG!G907)</f>
        <v/>
      </c>
      <c r="H907" s="3">
        <f>IF(ORIG!H907=0,"",ORIG!H907)</f>
        <v/>
      </c>
      <c r="I907" s="3">
        <f>IF(ORIG!I907=0,"",ORIG!I907)</f>
        <v/>
      </c>
      <c r="J907" s="3">
        <f>IF(ORIG!J907=0,"",ORIG!J907)</f>
        <v/>
      </c>
      <c r="K907" s="3">
        <f>IF(ORIG!K907=0,"",ORIG!K907)</f>
        <v/>
      </c>
      <c r="L907" s="3">
        <f>IF(ORIG!L907=0,"",ORIG!L907)</f>
        <v/>
      </c>
      <c r="M907" s="3">
        <f>IF(ORIG!M907=0,"",ORIG!M907)</f>
        <v/>
      </c>
      <c r="N907" s="3">
        <f>IF(ORIG!N907=0,"",ORIG!N907)</f>
        <v/>
      </c>
      <c r="O907" s="3">
        <f>IF(ORIG!O907=0,"",ORIG!O907)</f>
        <v/>
      </c>
      <c r="P907" s="3">
        <f>IF(ORIG!P907=0,"",ORIG!P907)</f>
        <v/>
      </c>
      <c r="Q907" s="3">
        <f>IF(ORIG!Q907=0,"",ORIG!Q907)</f>
        <v/>
      </c>
      <c r="R907" s="3">
        <f>IF(ORIG!R907=0,"",ORIG!R907)</f>
        <v/>
      </c>
      <c r="S907" s="3">
        <f>IF(ORIG!S907=0,"",ORIG!S907)</f>
        <v/>
      </c>
      <c r="T907" s="3">
        <f>IF(ORIG!T907=0,"",ORIG!T907)</f>
        <v/>
      </c>
      <c r="U907" s="3">
        <f>IF(ORIG!U907=0,"",ORIG!U907)</f>
        <v/>
      </c>
      <c r="V907" s="9">
        <f>IF(ORIG!V907=0,"",ORIG!V907)</f>
        <v/>
      </c>
      <c r="W907" s="9">
        <f>IF(ORIG!W907=0,"",ORIG!W907)</f>
        <v/>
      </c>
      <c r="X907" s="9">
        <f>IF(ORIG!X907=0,"",ORIG!X907)</f>
        <v/>
      </c>
      <c r="Y907" s="9">
        <f>IF(ORIG!Y907=0,"",ORIG!Y907)</f>
        <v/>
      </c>
      <c r="Z907" s="3">
        <f>SUMPRODUCT($B907:$Y907,$B$2649:$Y$2649)</f>
        <v/>
      </c>
      <c r="AA907" s="3">
        <f>SUMPRODUCT($B907:$Y907,$B$2655:$Y$2655)</f>
        <v/>
      </c>
      <c r="AC907" s="1">
        <f>A907</f>
        <v/>
      </c>
      <c r="AD907">
        <f>IF(ISNUMBER(V907),V907*($AB$1/V$2635),"")</f>
        <v/>
      </c>
      <c r="AE907">
        <f>IF(ISNUMBER(Z907),Z907*($AB$1/Z$2635),"")</f>
        <v/>
      </c>
      <c r="AF907" s="25">
        <f>IF(ISNUMBER(AD907+AE907),AD907+AE907,"")</f>
        <v/>
      </c>
      <c r="AH907" s="1">
        <f>A907</f>
        <v/>
      </c>
      <c r="AI907">
        <f>IF(ISNUMBER((1+V907)*AI906),(1+V907)*AI906,AI906)</f>
        <v/>
      </c>
      <c r="AJ907">
        <f>IF(ISNUMBER((1+Z907)*AJ906),(1+Z907)*AJ906,AJ906)</f>
        <v/>
      </c>
    </row>
    <row r="908">
      <c r="A908" s="1" t="n">
        <v>43320</v>
      </c>
      <c r="B908" s="3">
        <f>IF(ORIG!B908=0,"",ORIG!B908)</f>
        <v/>
      </c>
      <c r="C908" s="3">
        <f>IF(ORIG!C908=0,"",ORIG!C908)</f>
        <v/>
      </c>
      <c r="D908" s="3">
        <f>IF(ORIG!D908=0,"",ORIG!D908)</f>
        <v/>
      </c>
      <c r="E908" s="3">
        <f>IF(ORIG!E908=0,"",ORIG!E908)</f>
        <v/>
      </c>
      <c r="F908" s="3">
        <f>IF(ORIG!F908=0,"",ORIG!F908)</f>
        <v/>
      </c>
      <c r="G908" s="3">
        <f>IF(ORIG!G908=0,"",ORIG!G908)</f>
        <v/>
      </c>
      <c r="H908" s="3">
        <f>IF(ORIG!H908=0,"",ORIG!H908)</f>
        <v/>
      </c>
      <c r="I908" s="3">
        <f>IF(ORIG!I908=0,"",ORIG!I908)</f>
        <v/>
      </c>
      <c r="J908" s="3">
        <f>IF(ORIG!J908=0,"",ORIG!J908)</f>
        <v/>
      </c>
      <c r="K908" s="3">
        <f>IF(ORIG!K908=0,"",ORIG!K908)</f>
        <v/>
      </c>
      <c r="L908" s="3">
        <f>IF(ORIG!L908=0,"",ORIG!L908)</f>
        <v/>
      </c>
      <c r="M908" s="3">
        <f>IF(ORIG!M908=0,"",ORIG!M908)</f>
        <v/>
      </c>
      <c r="N908" s="3">
        <f>IF(ORIG!N908=0,"",ORIG!N908)</f>
        <v/>
      </c>
      <c r="O908" s="3">
        <f>IF(ORIG!O908=0,"",ORIG!O908)</f>
        <v/>
      </c>
      <c r="P908" s="3">
        <f>IF(ORIG!P908=0,"",ORIG!P908)</f>
        <v/>
      </c>
      <c r="Q908" s="3">
        <f>IF(ORIG!Q908=0,"",ORIG!Q908)</f>
        <v/>
      </c>
      <c r="R908" s="3">
        <f>IF(ORIG!R908=0,"",ORIG!R908)</f>
        <v/>
      </c>
      <c r="S908" s="3">
        <f>IF(ORIG!S908=0,"",ORIG!S908)</f>
        <v/>
      </c>
      <c r="T908" s="3">
        <f>IF(ORIG!T908=0,"",ORIG!T908)</f>
        <v/>
      </c>
      <c r="U908" s="3">
        <f>IF(ORIG!U908=0,"",ORIG!U908)</f>
        <v/>
      </c>
      <c r="V908" s="9">
        <f>IF(ORIG!V908=0,"",ORIG!V908)</f>
        <v/>
      </c>
      <c r="W908" s="9">
        <f>IF(ORIG!W908=0,"",ORIG!W908)</f>
        <v/>
      </c>
      <c r="X908" s="9">
        <f>IF(ORIG!X908=0,"",ORIG!X908)</f>
        <v/>
      </c>
      <c r="Y908" s="9">
        <f>IF(ORIG!Y908=0,"",ORIG!Y908)</f>
        <v/>
      </c>
      <c r="Z908" s="3">
        <f>SUMPRODUCT($B908:$Y908,$B$2649:$Y$2649)</f>
        <v/>
      </c>
      <c r="AA908" s="3">
        <f>SUMPRODUCT($B908:$Y908,$B$2655:$Y$2655)</f>
        <v/>
      </c>
      <c r="AC908" s="1">
        <f>A908</f>
        <v/>
      </c>
      <c r="AD908">
        <f>IF(ISNUMBER(V908),V908*($AB$1/V$2635),"")</f>
        <v/>
      </c>
      <c r="AE908">
        <f>IF(ISNUMBER(Z908),Z908*($AB$1/Z$2635),"")</f>
        <v/>
      </c>
      <c r="AF908" s="25">
        <f>IF(ISNUMBER(AD908+AE908),AD908+AE908,"")</f>
        <v/>
      </c>
      <c r="AH908" s="1">
        <f>A908</f>
        <v/>
      </c>
      <c r="AI908">
        <f>IF(ISNUMBER((1+V908)*AI907),(1+V908)*AI907,AI907)</f>
        <v/>
      </c>
      <c r="AJ908">
        <f>IF(ISNUMBER((1+Z908)*AJ907),(1+Z908)*AJ907,AJ907)</f>
        <v/>
      </c>
    </row>
    <row r="909">
      <c r="A909" s="1" t="n">
        <v>43321</v>
      </c>
      <c r="B909" s="3">
        <f>IF(ORIG!B909=0,"",ORIG!B909)</f>
        <v/>
      </c>
      <c r="C909" s="3">
        <f>IF(ORIG!C909=0,"",ORIG!C909)</f>
        <v/>
      </c>
      <c r="D909" s="3">
        <f>IF(ORIG!D909=0,"",ORIG!D909)</f>
        <v/>
      </c>
      <c r="E909" s="3">
        <f>IF(ORIG!E909=0,"",ORIG!E909)</f>
        <v/>
      </c>
      <c r="F909" s="3">
        <f>IF(ORIG!F909=0,"",ORIG!F909)</f>
        <v/>
      </c>
      <c r="G909" s="3">
        <f>IF(ORIG!G909=0,"",ORIG!G909)</f>
        <v/>
      </c>
      <c r="H909" s="3">
        <f>IF(ORIG!H909=0,"",ORIG!H909)</f>
        <v/>
      </c>
      <c r="I909" s="3">
        <f>IF(ORIG!I909=0,"",ORIG!I909)</f>
        <v/>
      </c>
      <c r="J909" s="3">
        <f>IF(ORIG!J909=0,"",ORIG!J909)</f>
        <v/>
      </c>
      <c r="K909" s="3">
        <f>IF(ORIG!K909=0,"",ORIG!K909)</f>
        <v/>
      </c>
      <c r="L909" s="3">
        <f>IF(ORIG!L909=0,"",ORIG!L909)</f>
        <v/>
      </c>
      <c r="M909" s="3">
        <f>IF(ORIG!M909=0,"",ORIG!M909)</f>
        <v/>
      </c>
      <c r="N909" s="3">
        <f>IF(ORIG!N909=0,"",ORIG!N909)</f>
        <v/>
      </c>
      <c r="O909" s="3">
        <f>IF(ORIG!O909=0,"",ORIG!O909)</f>
        <v/>
      </c>
      <c r="P909" s="3">
        <f>IF(ORIG!P909=0,"",ORIG!P909)</f>
        <v/>
      </c>
      <c r="Q909" s="3">
        <f>IF(ORIG!Q909=0,"",ORIG!Q909)</f>
        <v/>
      </c>
      <c r="R909" s="3">
        <f>IF(ORIG!R909=0,"",ORIG!R909)</f>
        <v/>
      </c>
      <c r="S909" s="3">
        <f>IF(ORIG!S909=0,"",ORIG!S909)</f>
        <v/>
      </c>
      <c r="T909" s="3">
        <f>IF(ORIG!T909=0,"",ORIG!T909)</f>
        <v/>
      </c>
      <c r="U909" s="3">
        <f>IF(ORIG!U909=0,"",ORIG!U909)</f>
        <v/>
      </c>
      <c r="V909" s="9">
        <f>IF(ORIG!V909=0,"",ORIG!V909)</f>
        <v/>
      </c>
      <c r="W909" s="9">
        <f>IF(ORIG!W909=0,"",ORIG!W909)</f>
        <v/>
      </c>
      <c r="X909" s="9">
        <f>IF(ORIG!X909=0,"",ORIG!X909)</f>
        <v/>
      </c>
      <c r="Y909" s="9">
        <f>IF(ORIG!Y909=0,"",ORIG!Y909)</f>
        <v/>
      </c>
      <c r="Z909" s="3">
        <f>SUMPRODUCT($B909:$Y909,$B$2649:$Y$2649)</f>
        <v/>
      </c>
      <c r="AA909" s="3">
        <f>SUMPRODUCT($B909:$Y909,$B$2655:$Y$2655)</f>
        <v/>
      </c>
      <c r="AC909" s="1">
        <f>A909</f>
        <v/>
      </c>
      <c r="AD909">
        <f>IF(ISNUMBER(V909),V909*($AB$1/V$2635),"")</f>
        <v/>
      </c>
      <c r="AE909">
        <f>IF(ISNUMBER(Z909),Z909*($AB$1/Z$2635),"")</f>
        <v/>
      </c>
      <c r="AF909" s="25">
        <f>IF(ISNUMBER(AD909+AE909),AD909+AE909,"")</f>
        <v/>
      </c>
      <c r="AH909" s="1">
        <f>A909</f>
        <v/>
      </c>
      <c r="AI909">
        <f>IF(ISNUMBER((1+V909)*AI908),(1+V909)*AI908,AI908)</f>
        <v/>
      </c>
      <c r="AJ909">
        <f>IF(ISNUMBER((1+Z909)*AJ908),(1+Z909)*AJ908,AJ908)</f>
        <v/>
      </c>
    </row>
    <row r="910">
      <c r="A910" s="1" t="n">
        <v>43322</v>
      </c>
      <c r="B910" s="3">
        <f>IF(ORIG!B910=0,"",ORIG!B910)</f>
        <v/>
      </c>
      <c r="C910" s="3">
        <f>IF(ORIG!C910=0,"",ORIG!C910)</f>
        <v/>
      </c>
      <c r="D910" s="3">
        <f>IF(ORIG!D910=0,"",ORIG!D910)</f>
        <v/>
      </c>
      <c r="E910" s="3">
        <f>IF(ORIG!E910=0,"",ORIG!E910)</f>
        <v/>
      </c>
      <c r="F910" s="3">
        <f>IF(ORIG!F910=0,"",ORIG!F910)</f>
        <v/>
      </c>
      <c r="G910" s="3">
        <f>IF(ORIG!G910=0,"",ORIG!G910)</f>
        <v/>
      </c>
      <c r="H910" s="3">
        <f>IF(ORIG!H910=0,"",ORIG!H910)</f>
        <v/>
      </c>
      <c r="I910" s="3">
        <f>IF(ORIG!I910=0,"",ORIG!I910)</f>
        <v/>
      </c>
      <c r="J910" s="3">
        <f>IF(ORIG!J910=0,"",ORIG!J910)</f>
        <v/>
      </c>
      <c r="K910" s="3">
        <f>IF(ORIG!K910=0,"",ORIG!K910)</f>
        <v/>
      </c>
      <c r="L910" s="3">
        <f>IF(ORIG!L910=0,"",ORIG!L910)</f>
        <v/>
      </c>
      <c r="M910" s="3">
        <f>IF(ORIG!M910=0,"",ORIG!M910)</f>
        <v/>
      </c>
      <c r="N910" s="3">
        <f>IF(ORIG!N910=0,"",ORIG!N910)</f>
        <v/>
      </c>
      <c r="O910" s="3">
        <f>IF(ORIG!O910=0,"",ORIG!O910)</f>
        <v/>
      </c>
      <c r="P910" s="3">
        <f>IF(ORIG!P910=0,"",ORIG!P910)</f>
        <v/>
      </c>
      <c r="Q910" s="3">
        <f>IF(ORIG!Q910=0,"",ORIG!Q910)</f>
        <v/>
      </c>
      <c r="R910" s="3">
        <f>IF(ORIG!R910=0,"",ORIG!R910)</f>
        <v/>
      </c>
      <c r="S910" s="3">
        <f>IF(ORIG!S910=0,"",ORIG!S910)</f>
        <v/>
      </c>
      <c r="T910" s="3">
        <f>IF(ORIG!T910=0,"",ORIG!T910)</f>
        <v/>
      </c>
      <c r="U910" s="3">
        <f>IF(ORIG!U910=0,"",ORIG!U910)</f>
        <v/>
      </c>
      <c r="V910" s="9">
        <f>IF(ORIG!V910=0,"",ORIG!V910)</f>
        <v/>
      </c>
      <c r="W910" s="9">
        <f>IF(ORIG!W910=0,"",ORIG!W910)</f>
        <v/>
      </c>
      <c r="X910" s="9">
        <f>IF(ORIG!X910=0,"",ORIG!X910)</f>
        <v/>
      </c>
      <c r="Y910" s="9">
        <f>IF(ORIG!Y910=0,"",ORIG!Y910)</f>
        <v/>
      </c>
      <c r="Z910" s="3">
        <f>SUMPRODUCT($B910:$Y910,$B$2649:$Y$2649)</f>
        <v/>
      </c>
      <c r="AA910" s="3">
        <f>SUMPRODUCT($B910:$Y910,$B$2655:$Y$2655)</f>
        <v/>
      </c>
      <c r="AC910" s="1">
        <f>A910</f>
        <v/>
      </c>
      <c r="AD910">
        <f>IF(ISNUMBER(V910),V910*($AB$1/V$2635),"")</f>
        <v/>
      </c>
      <c r="AE910">
        <f>IF(ISNUMBER(Z910),Z910*($AB$1/Z$2635),"")</f>
        <v/>
      </c>
      <c r="AF910" s="25">
        <f>IF(ISNUMBER(AD910+AE910),AD910+AE910,"")</f>
        <v/>
      </c>
      <c r="AH910" s="1">
        <f>A910</f>
        <v/>
      </c>
      <c r="AI910">
        <f>IF(ISNUMBER((1+V910)*AI909),(1+V910)*AI909,AI909)</f>
        <v/>
      </c>
      <c r="AJ910">
        <f>IF(ISNUMBER((1+Z910)*AJ909),(1+Z910)*AJ909,AJ909)</f>
        <v/>
      </c>
    </row>
    <row r="911">
      <c r="A911" s="1" t="n">
        <v>43325</v>
      </c>
      <c r="B911" s="3">
        <f>IF(ORIG!B911=0,"",ORIG!B911)</f>
        <v/>
      </c>
      <c r="C911" s="3">
        <f>IF(ORIG!C911=0,"",ORIG!C911)</f>
        <v/>
      </c>
      <c r="D911" s="3">
        <f>IF(ORIG!D911=0,"",ORIG!D911)</f>
        <v/>
      </c>
      <c r="E911" s="3">
        <f>IF(ORIG!E911=0,"",ORIG!E911)</f>
        <v/>
      </c>
      <c r="F911" s="3">
        <f>IF(ORIG!F911=0,"",ORIG!F911)</f>
        <v/>
      </c>
      <c r="G911" s="3">
        <f>IF(ORIG!G911=0,"",ORIG!G911)</f>
        <v/>
      </c>
      <c r="H911" s="3">
        <f>IF(ORIG!H911=0,"",ORIG!H911)</f>
        <v/>
      </c>
      <c r="I911" s="3">
        <f>IF(ORIG!I911=0,"",ORIG!I911)</f>
        <v/>
      </c>
      <c r="J911" s="3">
        <f>IF(ORIG!J911=0,"",ORIG!J911)</f>
        <v/>
      </c>
      <c r="K911" s="3">
        <f>IF(ORIG!K911=0,"",ORIG!K911)</f>
        <v/>
      </c>
      <c r="L911" s="3">
        <f>IF(ORIG!L911=0,"",ORIG!L911)</f>
        <v/>
      </c>
      <c r="M911" s="3">
        <f>IF(ORIG!M911=0,"",ORIG!M911)</f>
        <v/>
      </c>
      <c r="N911" s="3">
        <f>IF(ORIG!N911=0,"",ORIG!N911)</f>
        <v/>
      </c>
      <c r="O911" s="3">
        <f>IF(ORIG!O911=0,"",ORIG!O911)</f>
        <v/>
      </c>
      <c r="P911" s="3">
        <f>IF(ORIG!P911=0,"",ORIG!P911)</f>
        <v/>
      </c>
      <c r="Q911" s="3">
        <f>IF(ORIG!Q911=0,"",ORIG!Q911)</f>
        <v/>
      </c>
      <c r="R911" s="3">
        <f>IF(ORIG!R911=0,"",ORIG!R911)</f>
        <v/>
      </c>
      <c r="S911" s="3">
        <f>IF(ORIG!S911=0,"",ORIG!S911)</f>
        <v/>
      </c>
      <c r="T911" s="3">
        <f>IF(ORIG!T911=0,"",ORIG!T911)</f>
        <v/>
      </c>
      <c r="U911" s="3">
        <f>IF(ORIG!U911=0,"",ORIG!U911)</f>
        <v/>
      </c>
      <c r="V911" s="9">
        <f>IF(ORIG!V911=0,"",ORIG!V911)</f>
        <v/>
      </c>
      <c r="W911" s="9">
        <f>IF(ORIG!W911=0,"",ORIG!W911)</f>
        <v/>
      </c>
      <c r="X911" s="9">
        <f>IF(ORIG!X911=0,"",ORIG!X911)</f>
        <v/>
      </c>
      <c r="Y911" s="9">
        <f>IF(ORIG!Y911=0,"",ORIG!Y911)</f>
        <v/>
      </c>
      <c r="Z911" s="3">
        <f>SUMPRODUCT($B911:$Y911,$B$2649:$Y$2649)</f>
        <v/>
      </c>
      <c r="AA911" s="3">
        <f>SUMPRODUCT($B911:$Y911,$B$2655:$Y$2655)</f>
        <v/>
      </c>
      <c r="AC911" s="1">
        <f>A911</f>
        <v/>
      </c>
      <c r="AD911">
        <f>IF(ISNUMBER(V911),V911*($AB$1/V$2635),"")</f>
        <v/>
      </c>
      <c r="AE911">
        <f>IF(ISNUMBER(Z911),Z911*($AB$1/Z$2635),"")</f>
        <v/>
      </c>
      <c r="AF911" s="25">
        <f>IF(ISNUMBER(AD911+AE911),AD911+AE911,"")</f>
        <v/>
      </c>
      <c r="AH911" s="1">
        <f>A911</f>
        <v/>
      </c>
      <c r="AI911">
        <f>IF(ISNUMBER((1+V911)*AI910),(1+V911)*AI910,AI910)</f>
        <v/>
      </c>
      <c r="AJ911">
        <f>IF(ISNUMBER((1+Z911)*AJ910),(1+Z911)*AJ910,AJ910)</f>
        <v/>
      </c>
    </row>
    <row r="912">
      <c r="A912" s="1" t="n">
        <v>43326</v>
      </c>
      <c r="B912" s="3">
        <f>IF(ORIG!B912=0,"",ORIG!B912)</f>
        <v/>
      </c>
      <c r="C912" s="3">
        <f>IF(ORIG!C912=0,"",ORIG!C912)</f>
        <v/>
      </c>
      <c r="D912" s="3">
        <f>IF(ORIG!D912=0,"",ORIG!D912)</f>
        <v/>
      </c>
      <c r="E912" s="3">
        <f>IF(ORIG!E912=0,"",ORIG!E912)</f>
        <v/>
      </c>
      <c r="F912" s="3">
        <f>IF(ORIG!F912=0,"",ORIG!F912)</f>
        <v/>
      </c>
      <c r="G912" s="3">
        <f>IF(ORIG!G912=0,"",ORIG!G912)</f>
        <v/>
      </c>
      <c r="H912" s="3">
        <f>IF(ORIG!H912=0,"",ORIG!H912)</f>
        <v/>
      </c>
      <c r="I912" s="3">
        <f>IF(ORIG!I912=0,"",ORIG!I912)</f>
        <v/>
      </c>
      <c r="J912" s="3">
        <f>IF(ORIG!J912=0,"",ORIG!J912)</f>
        <v/>
      </c>
      <c r="K912" s="3">
        <f>IF(ORIG!K912=0,"",ORIG!K912)</f>
        <v/>
      </c>
      <c r="L912" s="3">
        <f>IF(ORIG!L912=0,"",ORIG!L912)</f>
        <v/>
      </c>
      <c r="M912" s="3">
        <f>IF(ORIG!M912=0,"",ORIG!M912)</f>
        <v/>
      </c>
      <c r="N912" s="3">
        <f>IF(ORIG!N912=0,"",ORIG!N912)</f>
        <v/>
      </c>
      <c r="O912" s="3">
        <f>IF(ORIG!O912=0,"",ORIG!O912)</f>
        <v/>
      </c>
      <c r="P912" s="3">
        <f>IF(ORIG!P912=0,"",ORIG!P912)</f>
        <v/>
      </c>
      <c r="Q912" s="3">
        <f>IF(ORIG!Q912=0,"",ORIG!Q912)</f>
        <v/>
      </c>
      <c r="R912" s="3">
        <f>IF(ORIG!R912=0,"",ORIG!R912)</f>
        <v/>
      </c>
      <c r="S912" s="3">
        <f>IF(ORIG!S912=0,"",ORIG!S912)</f>
        <v/>
      </c>
      <c r="T912" s="3">
        <f>IF(ORIG!T912=0,"",ORIG!T912)</f>
        <v/>
      </c>
      <c r="U912" s="3">
        <f>IF(ORIG!U912=0,"",ORIG!U912)</f>
        <v/>
      </c>
      <c r="V912" s="9">
        <f>IF(ORIG!V912=0,"",ORIG!V912)</f>
        <v/>
      </c>
      <c r="W912" s="9">
        <f>IF(ORIG!W912=0,"",ORIG!W912)</f>
        <v/>
      </c>
      <c r="X912" s="9">
        <f>IF(ORIG!X912=0,"",ORIG!X912)</f>
        <v/>
      </c>
      <c r="Y912" s="9">
        <f>IF(ORIG!Y912=0,"",ORIG!Y912)</f>
        <v/>
      </c>
      <c r="Z912" s="3">
        <f>SUMPRODUCT($B912:$Y912,$B$2649:$Y$2649)</f>
        <v/>
      </c>
      <c r="AA912" s="3">
        <f>SUMPRODUCT($B912:$Y912,$B$2655:$Y$2655)</f>
        <v/>
      </c>
      <c r="AC912" s="1">
        <f>A912</f>
        <v/>
      </c>
      <c r="AD912">
        <f>IF(ISNUMBER(V912),V912*($AB$1/V$2635),"")</f>
        <v/>
      </c>
      <c r="AE912">
        <f>IF(ISNUMBER(Z912),Z912*($AB$1/Z$2635),"")</f>
        <v/>
      </c>
      <c r="AF912" s="25">
        <f>IF(ISNUMBER(AD912+AE912),AD912+AE912,"")</f>
        <v/>
      </c>
      <c r="AH912" s="1">
        <f>A912</f>
        <v/>
      </c>
      <c r="AI912">
        <f>IF(ISNUMBER((1+V912)*AI911),(1+V912)*AI911,AI911)</f>
        <v/>
      </c>
      <c r="AJ912">
        <f>IF(ISNUMBER((1+Z912)*AJ911),(1+Z912)*AJ911,AJ911)</f>
        <v/>
      </c>
    </row>
    <row r="913">
      <c r="A913" s="1" t="n">
        <v>43327</v>
      </c>
      <c r="B913" s="3">
        <f>IF(ORIG!B913=0,"",ORIG!B913)</f>
        <v/>
      </c>
      <c r="C913" s="3">
        <f>IF(ORIG!C913=0,"",ORIG!C913)</f>
        <v/>
      </c>
      <c r="D913" s="3">
        <f>IF(ORIG!D913=0,"",ORIG!D913)</f>
        <v/>
      </c>
      <c r="E913" s="3">
        <f>IF(ORIG!E913=0,"",ORIG!E913)</f>
        <v/>
      </c>
      <c r="F913" s="3">
        <f>IF(ORIG!F913=0,"",ORIG!F913)</f>
        <v/>
      </c>
      <c r="G913" s="3">
        <f>IF(ORIG!G913=0,"",ORIG!G913)</f>
        <v/>
      </c>
      <c r="H913" s="3">
        <f>IF(ORIG!H913=0,"",ORIG!H913)</f>
        <v/>
      </c>
      <c r="I913" s="3">
        <f>IF(ORIG!I913=0,"",ORIG!I913)</f>
        <v/>
      </c>
      <c r="J913" s="3">
        <f>IF(ORIG!J913=0,"",ORIG!J913)</f>
        <v/>
      </c>
      <c r="K913" s="3">
        <f>IF(ORIG!K913=0,"",ORIG!K913)</f>
        <v/>
      </c>
      <c r="L913" s="3">
        <f>IF(ORIG!L913=0,"",ORIG!L913)</f>
        <v/>
      </c>
      <c r="M913" s="3">
        <f>IF(ORIG!M913=0,"",ORIG!M913)</f>
        <v/>
      </c>
      <c r="N913" s="3">
        <f>IF(ORIG!N913=0,"",ORIG!N913)</f>
        <v/>
      </c>
      <c r="O913" s="3">
        <f>IF(ORIG!O913=0,"",ORIG!O913)</f>
        <v/>
      </c>
      <c r="P913" s="3">
        <f>IF(ORIG!P913=0,"",ORIG!P913)</f>
        <v/>
      </c>
      <c r="Q913" s="3">
        <f>IF(ORIG!Q913=0,"",ORIG!Q913)</f>
        <v/>
      </c>
      <c r="R913" s="3">
        <f>IF(ORIG!R913=0,"",ORIG!R913)</f>
        <v/>
      </c>
      <c r="S913" s="3">
        <f>IF(ORIG!S913=0,"",ORIG!S913)</f>
        <v/>
      </c>
      <c r="T913" s="3">
        <f>IF(ORIG!T913=0,"",ORIG!T913)</f>
        <v/>
      </c>
      <c r="U913" s="3">
        <f>IF(ORIG!U913=0,"",ORIG!U913)</f>
        <v/>
      </c>
      <c r="V913" s="9">
        <f>IF(ORIG!V913=0,"",ORIG!V913)</f>
        <v/>
      </c>
      <c r="W913" s="9">
        <f>IF(ORIG!W913=0,"",ORIG!W913)</f>
        <v/>
      </c>
      <c r="X913" s="9">
        <f>IF(ORIG!X913=0,"",ORIG!X913)</f>
        <v/>
      </c>
      <c r="Y913" s="9">
        <f>IF(ORIG!Y913=0,"",ORIG!Y913)</f>
        <v/>
      </c>
      <c r="Z913" s="3">
        <f>SUMPRODUCT($B913:$Y913,$B$2649:$Y$2649)</f>
        <v/>
      </c>
      <c r="AA913" s="3">
        <f>SUMPRODUCT($B913:$Y913,$B$2655:$Y$2655)</f>
        <v/>
      </c>
      <c r="AC913" s="1">
        <f>A913</f>
        <v/>
      </c>
      <c r="AD913">
        <f>IF(ISNUMBER(V913),V913*($AB$1/V$2635),"")</f>
        <v/>
      </c>
      <c r="AE913">
        <f>IF(ISNUMBER(Z913),Z913*($AB$1/Z$2635),"")</f>
        <v/>
      </c>
      <c r="AF913" s="25">
        <f>IF(ISNUMBER(AD913+AE913),AD913+AE913,"")</f>
        <v/>
      </c>
      <c r="AH913" s="1">
        <f>A913</f>
        <v/>
      </c>
      <c r="AI913">
        <f>IF(ISNUMBER((1+V913)*AI912),(1+V913)*AI912,AI912)</f>
        <v/>
      </c>
      <c r="AJ913">
        <f>IF(ISNUMBER((1+Z913)*AJ912),(1+Z913)*AJ912,AJ912)</f>
        <v/>
      </c>
    </row>
    <row r="914">
      <c r="A914" s="1" t="n">
        <v>43328</v>
      </c>
      <c r="B914" s="3">
        <f>IF(ORIG!B914=0,"",ORIG!B914)</f>
        <v/>
      </c>
      <c r="C914" s="3">
        <f>IF(ORIG!C914=0,"",ORIG!C914)</f>
        <v/>
      </c>
      <c r="D914" s="3">
        <f>IF(ORIG!D914=0,"",ORIG!D914)</f>
        <v/>
      </c>
      <c r="E914" s="3">
        <f>IF(ORIG!E914=0,"",ORIG!E914)</f>
        <v/>
      </c>
      <c r="F914" s="3">
        <f>IF(ORIG!F914=0,"",ORIG!F914)</f>
        <v/>
      </c>
      <c r="G914" s="3">
        <f>IF(ORIG!G914=0,"",ORIG!G914)</f>
        <v/>
      </c>
      <c r="H914" s="3">
        <f>IF(ORIG!H914=0,"",ORIG!H914)</f>
        <v/>
      </c>
      <c r="I914" s="3">
        <f>IF(ORIG!I914=0,"",ORIG!I914)</f>
        <v/>
      </c>
      <c r="J914" s="3">
        <f>IF(ORIG!J914=0,"",ORIG!J914)</f>
        <v/>
      </c>
      <c r="K914" s="3">
        <f>IF(ORIG!K914=0,"",ORIG!K914)</f>
        <v/>
      </c>
      <c r="L914" s="3">
        <f>IF(ORIG!L914=0,"",ORIG!L914)</f>
        <v/>
      </c>
      <c r="M914" s="3">
        <f>IF(ORIG!M914=0,"",ORIG!M914)</f>
        <v/>
      </c>
      <c r="N914" s="3">
        <f>IF(ORIG!N914=0,"",ORIG!N914)</f>
        <v/>
      </c>
      <c r="O914" s="3">
        <f>IF(ORIG!O914=0,"",ORIG!O914)</f>
        <v/>
      </c>
      <c r="P914" s="3">
        <f>IF(ORIG!P914=0,"",ORIG!P914)</f>
        <v/>
      </c>
      <c r="Q914" s="3">
        <f>IF(ORIG!Q914=0,"",ORIG!Q914)</f>
        <v/>
      </c>
      <c r="R914" s="3">
        <f>IF(ORIG!R914=0,"",ORIG!R914)</f>
        <v/>
      </c>
      <c r="S914" s="3">
        <f>IF(ORIG!S914=0,"",ORIG!S914)</f>
        <v/>
      </c>
      <c r="T914" s="3">
        <f>IF(ORIG!T914=0,"",ORIG!T914)</f>
        <v/>
      </c>
      <c r="U914" s="3">
        <f>IF(ORIG!U914=0,"",ORIG!U914)</f>
        <v/>
      </c>
      <c r="V914" s="9">
        <f>IF(ORIG!V914=0,"",ORIG!V914)</f>
        <v/>
      </c>
      <c r="W914" s="9">
        <f>IF(ORIG!W914=0,"",ORIG!W914)</f>
        <v/>
      </c>
      <c r="X914" s="9">
        <f>IF(ORIG!X914=0,"",ORIG!X914)</f>
        <v/>
      </c>
      <c r="Y914" s="9">
        <f>IF(ORIG!Y914=0,"",ORIG!Y914)</f>
        <v/>
      </c>
      <c r="Z914" s="3">
        <f>SUMPRODUCT($B914:$Y914,$B$2649:$Y$2649)</f>
        <v/>
      </c>
      <c r="AA914" s="3">
        <f>SUMPRODUCT($B914:$Y914,$B$2655:$Y$2655)</f>
        <v/>
      </c>
      <c r="AC914" s="1">
        <f>A914</f>
        <v/>
      </c>
      <c r="AD914">
        <f>IF(ISNUMBER(V914),V914*($AB$1/V$2635),"")</f>
        <v/>
      </c>
      <c r="AE914">
        <f>IF(ISNUMBER(Z914),Z914*($AB$1/Z$2635),"")</f>
        <v/>
      </c>
      <c r="AF914" s="25">
        <f>IF(ISNUMBER(AD914+AE914),AD914+AE914,"")</f>
        <v/>
      </c>
      <c r="AH914" s="1">
        <f>A914</f>
        <v/>
      </c>
      <c r="AI914">
        <f>IF(ISNUMBER((1+V914)*AI913),(1+V914)*AI913,AI913)</f>
        <v/>
      </c>
      <c r="AJ914">
        <f>IF(ISNUMBER((1+Z914)*AJ913),(1+Z914)*AJ913,AJ913)</f>
        <v/>
      </c>
    </row>
    <row r="915">
      <c r="A915" s="1" t="n">
        <v>43329</v>
      </c>
      <c r="B915" s="3">
        <f>IF(ORIG!B915=0,"",ORIG!B915)</f>
        <v/>
      </c>
      <c r="C915" s="3">
        <f>IF(ORIG!C915=0,"",ORIG!C915)</f>
        <v/>
      </c>
      <c r="D915" s="3">
        <f>IF(ORIG!D915=0,"",ORIG!D915)</f>
        <v/>
      </c>
      <c r="E915" s="3">
        <f>IF(ORIG!E915=0,"",ORIG!E915)</f>
        <v/>
      </c>
      <c r="F915" s="3">
        <f>IF(ORIG!F915=0,"",ORIG!F915)</f>
        <v/>
      </c>
      <c r="G915" s="3">
        <f>IF(ORIG!G915=0,"",ORIG!G915)</f>
        <v/>
      </c>
      <c r="H915" s="3">
        <f>IF(ORIG!H915=0,"",ORIG!H915)</f>
        <v/>
      </c>
      <c r="I915" s="3">
        <f>IF(ORIG!I915=0,"",ORIG!I915)</f>
        <v/>
      </c>
      <c r="J915" s="3">
        <f>IF(ORIG!J915=0,"",ORIG!J915)</f>
        <v/>
      </c>
      <c r="K915" s="3">
        <f>IF(ORIG!K915=0,"",ORIG!K915)</f>
        <v/>
      </c>
      <c r="L915" s="3">
        <f>IF(ORIG!L915=0,"",ORIG!L915)</f>
        <v/>
      </c>
      <c r="M915" s="3">
        <f>IF(ORIG!M915=0,"",ORIG!M915)</f>
        <v/>
      </c>
      <c r="N915" s="3">
        <f>IF(ORIG!N915=0,"",ORIG!N915)</f>
        <v/>
      </c>
      <c r="O915" s="3">
        <f>IF(ORIG!O915=0,"",ORIG!O915)</f>
        <v/>
      </c>
      <c r="P915" s="3">
        <f>IF(ORIG!P915=0,"",ORIG!P915)</f>
        <v/>
      </c>
      <c r="Q915" s="3">
        <f>IF(ORIG!Q915=0,"",ORIG!Q915)</f>
        <v/>
      </c>
      <c r="R915" s="3">
        <f>IF(ORIG!R915=0,"",ORIG!R915)</f>
        <v/>
      </c>
      <c r="S915" s="3">
        <f>IF(ORIG!S915=0,"",ORIG!S915)</f>
        <v/>
      </c>
      <c r="T915" s="3">
        <f>IF(ORIG!T915=0,"",ORIG!T915)</f>
        <v/>
      </c>
      <c r="U915" s="3">
        <f>IF(ORIG!U915=0,"",ORIG!U915)</f>
        <v/>
      </c>
      <c r="V915" s="9">
        <f>IF(ORIG!V915=0,"",ORIG!V915)</f>
        <v/>
      </c>
      <c r="W915" s="9">
        <f>IF(ORIG!W915=0,"",ORIG!W915)</f>
        <v/>
      </c>
      <c r="X915" s="9">
        <f>IF(ORIG!X915=0,"",ORIG!X915)</f>
        <v/>
      </c>
      <c r="Y915" s="9">
        <f>IF(ORIG!Y915=0,"",ORIG!Y915)</f>
        <v/>
      </c>
      <c r="Z915" s="3">
        <f>SUMPRODUCT($B915:$Y915,$B$2649:$Y$2649)</f>
        <v/>
      </c>
      <c r="AA915" s="3">
        <f>SUMPRODUCT($B915:$Y915,$B$2655:$Y$2655)</f>
        <v/>
      </c>
      <c r="AC915" s="1">
        <f>A915</f>
        <v/>
      </c>
      <c r="AD915">
        <f>IF(ISNUMBER(V915),V915*($AB$1/V$2635),"")</f>
        <v/>
      </c>
      <c r="AE915">
        <f>IF(ISNUMBER(Z915),Z915*($AB$1/Z$2635),"")</f>
        <v/>
      </c>
      <c r="AF915" s="25">
        <f>IF(ISNUMBER(AD915+AE915),AD915+AE915,"")</f>
        <v/>
      </c>
      <c r="AH915" s="1">
        <f>A915</f>
        <v/>
      </c>
      <c r="AI915">
        <f>IF(ISNUMBER((1+V915)*AI914),(1+V915)*AI914,AI914)</f>
        <v/>
      </c>
      <c r="AJ915">
        <f>IF(ISNUMBER((1+Z915)*AJ914),(1+Z915)*AJ914,AJ914)</f>
        <v/>
      </c>
    </row>
    <row r="916">
      <c r="A916" s="1" t="n">
        <v>43332</v>
      </c>
      <c r="B916" s="3">
        <f>IF(ORIG!B916=0,"",ORIG!B916)</f>
        <v/>
      </c>
      <c r="C916" s="3">
        <f>IF(ORIG!C916=0,"",ORIG!C916)</f>
        <v/>
      </c>
      <c r="D916" s="3">
        <f>IF(ORIG!D916=0,"",ORIG!D916)</f>
        <v/>
      </c>
      <c r="E916" s="3">
        <f>IF(ORIG!E916=0,"",ORIG!E916)</f>
        <v/>
      </c>
      <c r="F916" s="3">
        <f>IF(ORIG!F916=0,"",ORIG!F916)</f>
        <v/>
      </c>
      <c r="G916" s="3">
        <f>IF(ORIG!G916=0,"",ORIG!G916)</f>
        <v/>
      </c>
      <c r="H916" s="3">
        <f>IF(ORIG!H916=0,"",ORIG!H916)</f>
        <v/>
      </c>
      <c r="I916" s="3">
        <f>IF(ORIG!I916=0,"",ORIG!I916)</f>
        <v/>
      </c>
      <c r="J916" s="3">
        <f>IF(ORIG!J916=0,"",ORIG!J916)</f>
        <v/>
      </c>
      <c r="K916" s="3">
        <f>IF(ORIG!K916=0,"",ORIG!K916)</f>
        <v/>
      </c>
      <c r="L916" s="3">
        <f>IF(ORIG!L916=0,"",ORIG!L916)</f>
        <v/>
      </c>
      <c r="M916" s="3">
        <f>IF(ORIG!M916=0,"",ORIG!M916)</f>
        <v/>
      </c>
      <c r="N916" s="3">
        <f>IF(ORIG!N916=0,"",ORIG!N916)</f>
        <v/>
      </c>
      <c r="O916" s="3">
        <f>IF(ORIG!O916=0,"",ORIG!O916)</f>
        <v/>
      </c>
      <c r="P916" s="3">
        <f>IF(ORIG!P916=0,"",ORIG!P916)</f>
        <v/>
      </c>
      <c r="Q916" s="3">
        <f>IF(ORIG!Q916=0,"",ORIG!Q916)</f>
        <v/>
      </c>
      <c r="R916" s="3">
        <f>IF(ORIG!R916=0,"",ORIG!R916)</f>
        <v/>
      </c>
      <c r="S916" s="3">
        <f>IF(ORIG!S916=0,"",ORIG!S916)</f>
        <v/>
      </c>
      <c r="T916" s="3">
        <f>IF(ORIG!T916=0,"",ORIG!T916)</f>
        <v/>
      </c>
      <c r="U916" s="3">
        <f>IF(ORIG!U916=0,"",ORIG!U916)</f>
        <v/>
      </c>
      <c r="V916" s="9">
        <f>IF(ORIG!V916=0,"",ORIG!V916)</f>
        <v/>
      </c>
      <c r="W916" s="9">
        <f>IF(ORIG!W916=0,"",ORIG!W916)</f>
        <v/>
      </c>
      <c r="X916" s="9">
        <f>IF(ORIG!X916=0,"",ORIG!X916)</f>
        <v/>
      </c>
      <c r="Y916" s="9">
        <f>IF(ORIG!Y916=0,"",ORIG!Y916)</f>
        <v/>
      </c>
      <c r="Z916" s="3">
        <f>SUMPRODUCT($B916:$Y916,$B$2649:$Y$2649)</f>
        <v/>
      </c>
      <c r="AA916" s="3">
        <f>SUMPRODUCT($B916:$Y916,$B$2655:$Y$2655)</f>
        <v/>
      </c>
      <c r="AC916" s="1">
        <f>A916</f>
        <v/>
      </c>
      <c r="AD916">
        <f>IF(ISNUMBER(V916),V916*($AB$1/V$2635),"")</f>
        <v/>
      </c>
      <c r="AE916">
        <f>IF(ISNUMBER(Z916),Z916*($AB$1/Z$2635),"")</f>
        <v/>
      </c>
      <c r="AF916" s="25">
        <f>IF(ISNUMBER(AD916+AE916),AD916+AE916,"")</f>
        <v/>
      </c>
      <c r="AH916" s="1">
        <f>A916</f>
        <v/>
      </c>
      <c r="AI916">
        <f>IF(ISNUMBER((1+V916)*AI915),(1+V916)*AI915,AI915)</f>
        <v/>
      </c>
      <c r="AJ916">
        <f>IF(ISNUMBER((1+Z916)*AJ915),(1+Z916)*AJ915,AJ915)</f>
        <v/>
      </c>
    </row>
    <row r="917">
      <c r="A917" s="1" t="n">
        <v>43333</v>
      </c>
      <c r="B917" s="3">
        <f>IF(ORIG!B917=0,"",ORIG!B917)</f>
        <v/>
      </c>
      <c r="C917" s="3">
        <f>IF(ORIG!C917=0,"",ORIG!C917)</f>
        <v/>
      </c>
      <c r="D917" s="3">
        <f>IF(ORIG!D917=0,"",ORIG!D917)</f>
        <v/>
      </c>
      <c r="E917" s="3">
        <f>IF(ORIG!E917=0,"",ORIG!E917)</f>
        <v/>
      </c>
      <c r="F917" s="3">
        <f>IF(ORIG!F917=0,"",ORIG!F917)</f>
        <v/>
      </c>
      <c r="G917" s="3">
        <f>IF(ORIG!G917=0,"",ORIG!G917)</f>
        <v/>
      </c>
      <c r="H917" s="3">
        <f>IF(ORIG!H917=0,"",ORIG!H917)</f>
        <v/>
      </c>
      <c r="I917" s="3">
        <f>IF(ORIG!I917=0,"",ORIG!I917)</f>
        <v/>
      </c>
      <c r="J917" s="3">
        <f>IF(ORIG!J917=0,"",ORIG!J917)</f>
        <v/>
      </c>
      <c r="K917" s="3">
        <f>IF(ORIG!K917=0,"",ORIG!K917)</f>
        <v/>
      </c>
      <c r="L917" s="3">
        <f>IF(ORIG!L917=0,"",ORIG!L917)</f>
        <v/>
      </c>
      <c r="M917" s="3">
        <f>IF(ORIG!M917=0,"",ORIG!M917)</f>
        <v/>
      </c>
      <c r="N917" s="3">
        <f>IF(ORIG!N917=0,"",ORIG!N917)</f>
        <v/>
      </c>
      <c r="O917" s="3">
        <f>IF(ORIG!O917=0,"",ORIG!O917)</f>
        <v/>
      </c>
      <c r="P917" s="3">
        <f>IF(ORIG!P917=0,"",ORIG!P917)</f>
        <v/>
      </c>
      <c r="Q917" s="3">
        <f>IF(ORIG!Q917=0,"",ORIG!Q917)</f>
        <v/>
      </c>
      <c r="R917" s="3">
        <f>IF(ORIG!R917=0,"",ORIG!R917)</f>
        <v/>
      </c>
      <c r="S917" s="3">
        <f>IF(ORIG!S917=0,"",ORIG!S917)</f>
        <v/>
      </c>
      <c r="T917" s="3">
        <f>IF(ORIG!T917=0,"",ORIG!T917)</f>
        <v/>
      </c>
      <c r="U917" s="3">
        <f>IF(ORIG!U917=0,"",ORIG!U917)</f>
        <v/>
      </c>
      <c r="V917" s="9">
        <f>IF(ORIG!V917=0,"",ORIG!V917)</f>
        <v/>
      </c>
      <c r="W917" s="9">
        <f>IF(ORIG!W917=0,"",ORIG!W917)</f>
        <v/>
      </c>
      <c r="X917" s="9">
        <f>IF(ORIG!X917=0,"",ORIG!X917)</f>
        <v/>
      </c>
      <c r="Y917" s="9">
        <f>IF(ORIG!Y917=0,"",ORIG!Y917)</f>
        <v/>
      </c>
      <c r="Z917" s="3">
        <f>SUMPRODUCT($B917:$Y917,$B$2649:$Y$2649)</f>
        <v/>
      </c>
      <c r="AA917" s="3">
        <f>SUMPRODUCT($B917:$Y917,$B$2655:$Y$2655)</f>
        <v/>
      </c>
      <c r="AC917" s="1">
        <f>A917</f>
        <v/>
      </c>
      <c r="AD917">
        <f>IF(ISNUMBER(V917),V917*($AB$1/V$2635),"")</f>
        <v/>
      </c>
      <c r="AE917">
        <f>IF(ISNUMBER(Z917),Z917*($AB$1/Z$2635),"")</f>
        <v/>
      </c>
      <c r="AF917" s="25">
        <f>IF(ISNUMBER(AD917+AE917),AD917+AE917,"")</f>
        <v/>
      </c>
      <c r="AH917" s="1">
        <f>A917</f>
        <v/>
      </c>
      <c r="AI917">
        <f>IF(ISNUMBER((1+V917)*AI916),(1+V917)*AI916,AI916)</f>
        <v/>
      </c>
      <c r="AJ917">
        <f>IF(ISNUMBER((1+Z917)*AJ916),(1+Z917)*AJ916,AJ916)</f>
        <v/>
      </c>
    </row>
    <row r="918">
      <c r="A918" s="1" t="n">
        <v>43334</v>
      </c>
      <c r="B918" s="3">
        <f>IF(ORIG!B918=0,"",ORIG!B918)</f>
        <v/>
      </c>
      <c r="C918" s="3">
        <f>IF(ORIG!C918=0,"",ORIG!C918)</f>
        <v/>
      </c>
      <c r="D918" s="3">
        <f>IF(ORIG!D918=0,"",ORIG!D918)</f>
        <v/>
      </c>
      <c r="E918" s="3">
        <f>IF(ORIG!E918=0,"",ORIG!E918)</f>
        <v/>
      </c>
      <c r="F918" s="3">
        <f>IF(ORIG!F918=0,"",ORIG!F918)</f>
        <v/>
      </c>
      <c r="G918" s="3">
        <f>IF(ORIG!G918=0,"",ORIG!G918)</f>
        <v/>
      </c>
      <c r="H918" s="3">
        <f>IF(ORIG!H918=0,"",ORIG!H918)</f>
        <v/>
      </c>
      <c r="I918" s="3">
        <f>IF(ORIG!I918=0,"",ORIG!I918)</f>
        <v/>
      </c>
      <c r="J918" s="3">
        <f>IF(ORIG!J918=0,"",ORIG!J918)</f>
        <v/>
      </c>
      <c r="K918" s="3">
        <f>IF(ORIG!K918=0,"",ORIG!K918)</f>
        <v/>
      </c>
      <c r="L918" s="3">
        <f>IF(ORIG!L918=0,"",ORIG!L918)</f>
        <v/>
      </c>
      <c r="M918" s="3">
        <f>IF(ORIG!M918=0,"",ORIG!M918)</f>
        <v/>
      </c>
      <c r="N918" s="3">
        <f>IF(ORIG!N918=0,"",ORIG!N918)</f>
        <v/>
      </c>
      <c r="O918" s="3">
        <f>IF(ORIG!O918=0,"",ORIG!O918)</f>
        <v/>
      </c>
      <c r="P918" s="3">
        <f>IF(ORIG!P918=0,"",ORIG!P918)</f>
        <v/>
      </c>
      <c r="Q918" s="3">
        <f>IF(ORIG!Q918=0,"",ORIG!Q918)</f>
        <v/>
      </c>
      <c r="R918" s="3">
        <f>IF(ORIG!R918=0,"",ORIG!R918)</f>
        <v/>
      </c>
      <c r="S918" s="3">
        <f>IF(ORIG!S918=0,"",ORIG!S918)</f>
        <v/>
      </c>
      <c r="T918" s="3">
        <f>IF(ORIG!T918=0,"",ORIG!T918)</f>
        <v/>
      </c>
      <c r="U918" s="3">
        <f>IF(ORIG!U918=0,"",ORIG!U918)</f>
        <v/>
      </c>
      <c r="V918" s="9">
        <f>IF(ORIG!V918=0,"",ORIG!V918)</f>
        <v/>
      </c>
      <c r="W918" s="9">
        <f>IF(ORIG!W918=0,"",ORIG!W918)</f>
        <v/>
      </c>
      <c r="X918" s="9">
        <f>IF(ORIG!X918=0,"",ORIG!X918)</f>
        <v/>
      </c>
      <c r="Y918" s="9">
        <f>IF(ORIG!Y918=0,"",ORIG!Y918)</f>
        <v/>
      </c>
      <c r="Z918" s="3">
        <f>SUMPRODUCT($B918:$Y918,$B$2649:$Y$2649)</f>
        <v/>
      </c>
      <c r="AA918" s="3">
        <f>SUMPRODUCT($B918:$Y918,$B$2655:$Y$2655)</f>
        <v/>
      </c>
      <c r="AC918" s="1">
        <f>A918</f>
        <v/>
      </c>
      <c r="AD918">
        <f>IF(ISNUMBER(V918),V918*($AB$1/V$2635),"")</f>
        <v/>
      </c>
      <c r="AE918">
        <f>IF(ISNUMBER(Z918),Z918*($AB$1/Z$2635),"")</f>
        <v/>
      </c>
      <c r="AF918" s="25">
        <f>IF(ISNUMBER(AD918+AE918),AD918+AE918,"")</f>
        <v/>
      </c>
      <c r="AH918" s="1">
        <f>A918</f>
        <v/>
      </c>
      <c r="AI918">
        <f>IF(ISNUMBER((1+V918)*AI917),(1+V918)*AI917,AI917)</f>
        <v/>
      </c>
      <c r="AJ918">
        <f>IF(ISNUMBER((1+Z918)*AJ917),(1+Z918)*AJ917,AJ917)</f>
        <v/>
      </c>
    </row>
    <row r="919">
      <c r="A919" s="1" t="n">
        <v>43335</v>
      </c>
      <c r="B919" s="3">
        <f>IF(ORIG!B919=0,"",ORIG!B919)</f>
        <v/>
      </c>
      <c r="C919" s="3">
        <f>IF(ORIG!C919=0,"",ORIG!C919)</f>
        <v/>
      </c>
      <c r="D919" s="3">
        <f>IF(ORIG!D919=0,"",ORIG!D919)</f>
        <v/>
      </c>
      <c r="E919" s="3">
        <f>IF(ORIG!E919=0,"",ORIG!E919)</f>
        <v/>
      </c>
      <c r="F919" s="3">
        <f>IF(ORIG!F919=0,"",ORIG!F919)</f>
        <v/>
      </c>
      <c r="G919" s="3">
        <f>IF(ORIG!G919=0,"",ORIG!G919)</f>
        <v/>
      </c>
      <c r="H919" s="3">
        <f>IF(ORIG!H919=0,"",ORIG!H919)</f>
        <v/>
      </c>
      <c r="I919" s="3">
        <f>IF(ORIG!I919=0,"",ORIG!I919)</f>
        <v/>
      </c>
      <c r="J919" s="3">
        <f>IF(ORIG!J919=0,"",ORIG!J919)</f>
        <v/>
      </c>
      <c r="K919" s="3">
        <f>IF(ORIG!K919=0,"",ORIG!K919)</f>
        <v/>
      </c>
      <c r="L919" s="3">
        <f>IF(ORIG!L919=0,"",ORIG!L919)</f>
        <v/>
      </c>
      <c r="M919" s="3">
        <f>IF(ORIG!M919=0,"",ORIG!M919)</f>
        <v/>
      </c>
      <c r="N919" s="3">
        <f>IF(ORIG!N919=0,"",ORIG!N919)</f>
        <v/>
      </c>
      <c r="O919" s="3">
        <f>IF(ORIG!O919=0,"",ORIG!O919)</f>
        <v/>
      </c>
      <c r="P919" s="3">
        <f>IF(ORIG!P919=0,"",ORIG!P919)</f>
        <v/>
      </c>
      <c r="Q919" s="3">
        <f>IF(ORIG!Q919=0,"",ORIG!Q919)</f>
        <v/>
      </c>
      <c r="R919" s="3">
        <f>IF(ORIG!R919=0,"",ORIG!R919)</f>
        <v/>
      </c>
      <c r="S919" s="3">
        <f>IF(ORIG!S919=0,"",ORIG!S919)</f>
        <v/>
      </c>
      <c r="T919" s="3">
        <f>IF(ORIG!T919=0,"",ORIG!T919)</f>
        <v/>
      </c>
      <c r="U919" s="3">
        <f>IF(ORIG!U919=0,"",ORIG!U919)</f>
        <v/>
      </c>
      <c r="V919" s="9">
        <f>IF(ORIG!V919=0,"",ORIG!V919)</f>
        <v/>
      </c>
      <c r="W919" s="9">
        <f>IF(ORIG!W919=0,"",ORIG!W919)</f>
        <v/>
      </c>
      <c r="X919" s="9">
        <f>IF(ORIG!X919=0,"",ORIG!X919)</f>
        <v/>
      </c>
      <c r="Y919" s="9">
        <f>IF(ORIG!Y919=0,"",ORIG!Y919)</f>
        <v/>
      </c>
      <c r="Z919" s="3">
        <f>SUMPRODUCT($B919:$Y919,$B$2649:$Y$2649)</f>
        <v/>
      </c>
      <c r="AA919" s="3">
        <f>SUMPRODUCT($B919:$Y919,$B$2655:$Y$2655)</f>
        <v/>
      </c>
      <c r="AC919" s="1">
        <f>A919</f>
        <v/>
      </c>
      <c r="AD919">
        <f>IF(ISNUMBER(V919),V919*($AB$1/V$2635),"")</f>
        <v/>
      </c>
      <c r="AE919">
        <f>IF(ISNUMBER(Z919),Z919*($AB$1/Z$2635),"")</f>
        <v/>
      </c>
      <c r="AF919" s="25">
        <f>IF(ISNUMBER(AD919+AE919),AD919+AE919,"")</f>
        <v/>
      </c>
      <c r="AH919" s="1">
        <f>A919</f>
        <v/>
      </c>
      <c r="AI919">
        <f>IF(ISNUMBER((1+V919)*AI918),(1+V919)*AI918,AI918)</f>
        <v/>
      </c>
      <c r="AJ919">
        <f>IF(ISNUMBER((1+Z919)*AJ918),(1+Z919)*AJ918,AJ918)</f>
        <v/>
      </c>
    </row>
    <row r="920">
      <c r="A920" s="1" t="n">
        <v>43336</v>
      </c>
      <c r="B920" s="3">
        <f>IF(ORIG!B920=0,"",ORIG!B920)</f>
        <v/>
      </c>
      <c r="C920" s="3">
        <f>IF(ORIG!C920=0,"",ORIG!C920)</f>
        <v/>
      </c>
      <c r="D920" s="3">
        <f>IF(ORIG!D920=0,"",ORIG!D920)</f>
        <v/>
      </c>
      <c r="E920" s="3">
        <f>IF(ORIG!E920=0,"",ORIG!E920)</f>
        <v/>
      </c>
      <c r="F920" s="3">
        <f>IF(ORIG!F920=0,"",ORIG!F920)</f>
        <v/>
      </c>
      <c r="G920" s="3">
        <f>IF(ORIG!G920=0,"",ORIG!G920)</f>
        <v/>
      </c>
      <c r="H920" s="3">
        <f>IF(ORIG!H920=0,"",ORIG!H920)</f>
        <v/>
      </c>
      <c r="I920" s="3">
        <f>IF(ORIG!I920=0,"",ORIG!I920)</f>
        <v/>
      </c>
      <c r="J920" s="3">
        <f>IF(ORIG!J920=0,"",ORIG!J920)</f>
        <v/>
      </c>
      <c r="K920" s="3">
        <f>IF(ORIG!K920=0,"",ORIG!K920)</f>
        <v/>
      </c>
      <c r="L920" s="3">
        <f>IF(ORIG!L920=0,"",ORIG!L920)</f>
        <v/>
      </c>
      <c r="M920" s="3">
        <f>IF(ORIG!M920=0,"",ORIG!M920)</f>
        <v/>
      </c>
      <c r="N920" s="3">
        <f>IF(ORIG!N920=0,"",ORIG!N920)</f>
        <v/>
      </c>
      <c r="O920" s="3">
        <f>IF(ORIG!O920=0,"",ORIG!O920)</f>
        <v/>
      </c>
      <c r="P920" s="3">
        <f>IF(ORIG!P920=0,"",ORIG!P920)</f>
        <v/>
      </c>
      <c r="Q920" s="3">
        <f>IF(ORIG!Q920=0,"",ORIG!Q920)</f>
        <v/>
      </c>
      <c r="R920" s="3">
        <f>IF(ORIG!R920=0,"",ORIG!R920)</f>
        <v/>
      </c>
      <c r="S920" s="3">
        <f>IF(ORIG!S920=0,"",ORIG!S920)</f>
        <v/>
      </c>
      <c r="T920" s="3">
        <f>IF(ORIG!T920=0,"",ORIG!T920)</f>
        <v/>
      </c>
      <c r="U920" s="3">
        <f>IF(ORIG!U920=0,"",ORIG!U920)</f>
        <v/>
      </c>
      <c r="V920" s="9">
        <f>IF(ORIG!V920=0,"",ORIG!V920)</f>
        <v/>
      </c>
      <c r="W920" s="9">
        <f>IF(ORIG!W920=0,"",ORIG!W920)</f>
        <v/>
      </c>
      <c r="X920" s="9">
        <f>IF(ORIG!X920=0,"",ORIG!X920)</f>
        <v/>
      </c>
      <c r="Y920" s="9">
        <f>IF(ORIG!Y920=0,"",ORIG!Y920)</f>
        <v/>
      </c>
      <c r="Z920" s="3">
        <f>SUMPRODUCT($B920:$Y920,$B$2649:$Y$2649)</f>
        <v/>
      </c>
      <c r="AA920" s="3">
        <f>SUMPRODUCT($B920:$Y920,$B$2655:$Y$2655)</f>
        <v/>
      </c>
      <c r="AC920" s="1">
        <f>A920</f>
        <v/>
      </c>
      <c r="AD920">
        <f>IF(ISNUMBER(V920),V920*($AB$1/V$2635),"")</f>
        <v/>
      </c>
      <c r="AE920">
        <f>IF(ISNUMBER(Z920),Z920*($AB$1/Z$2635),"")</f>
        <v/>
      </c>
      <c r="AF920" s="25">
        <f>IF(ISNUMBER(AD920+AE920),AD920+AE920,"")</f>
        <v/>
      </c>
      <c r="AH920" s="1">
        <f>A920</f>
        <v/>
      </c>
      <c r="AI920">
        <f>IF(ISNUMBER((1+V920)*AI919),(1+V920)*AI919,AI919)</f>
        <v/>
      </c>
      <c r="AJ920">
        <f>IF(ISNUMBER((1+Z920)*AJ919),(1+Z920)*AJ919,AJ919)</f>
        <v/>
      </c>
    </row>
    <row r="921">
      <c r="A921" s="1" t="n">
        <v>43339</v>
      </c>
      <c r="B921" s="3">
        <f>IF(ORIG!B921=0,"",ORIG!B921)</f>
        <v/>
      </c>
      <c r="C921" s="3">
        <f>IF(ORIG!C921=0,"",ORIG!C921)</f>
        <v/>
      </c>
      <c r="D921" s="3">
        <f>IF(ORIG!D921=0,"",ORIG!D921)</f>
        <v/>
      </c>
      <c r="E921" s="3">
        <f>IF(ORIG!E921=0,"",ORIG!E921)</f>
        <v/>
      </c>
      <c r="F921" s="3">
        <f>IF(ORIG!F921=0,"",ORIG!F921)</f>
        <v/>
      </c>
      <c r="G921" s="3">
        <f>IF(ORIG!G921=0,"",ORIG!G921)</f>
        <v/>
      </c>
      <c r="H921" s="3">
        <f>IF(ORIG!H921=0,"",ORIG!H921)</f>
        <v/>
      </c>
      <c r="I921" s="3">
        <f>IF(ORIG!I921=0,"",ORIG!I921)</f>
        <v/>
      </c>
      <c r="J921" s="3">
        <f>IF(ORIG!J921=0,"",ORIG!J921)</f>
        <v/>
      </c>
      <c r="K921" s="3">
        <f>IF(ORIG!K921=0,"",ORIG!K921)</f>
        <v/>
      </c>
      <c r="L921" s="3">
        <f>IF(ORIG!L921=0,"",ORIG!L921)</f>
        <v/>
      </c>
      <c r="M921" s="3">
        <f>IF(ORIG!M921=0,"",ORIG!M921)</f>
        <v/>
      </c>
      <c r="N921" s="3">
        <f>IF(ORIG!N921=0,"",ORIG!N921)</f>
        <v/>
      </c>
      <c r="O921" s="3">
        <f>IF(ORIG!O921=0,"",ORIG!O921)</f>
        <v/>
      </c>
      <c r="P921" s="3">
        <f>IF(ORIG!P921=0,"",ORIG!P921)</f>
        <v/>
      </c>
      <c r="Q921" s="3">
        <f>IF(ORIG!Q921=0,"",ORIG!Q921)</f>
        <v/>
      </c>
      <c r="R921" s="3">
        <f>IF(ORIG!R921=0,"",ORIG!R921)</f>
        <v/>
      </c>
      <c r="S921" s="3">
        <f>IF(ORIG!S921=0,"",ORIG!S921)</f>
        <v/>
      </c>
      <c r="T921" s="3">
        <f>IF(ORIG!T921=0,"",ORIG!T921)</f>
        <v/>
      </c>
      <c r="U921" s="3">
        <f>IF(ORIG!U921=0,"",ORIG!U921)</f>
        <v/>
      </c>
      <c r="V921" s="9">
        <f>IF(ORIG!V921=0,"",ORIG!V921)</f>
        <v/>
      </c>
      <c r="W921" s="9">
        <f>IF(ORIG!W921=0,"",ORIG!W921)</f>
        <v/>
      </c>
      <c r="X921" s="9">
        <f>IF(ORIG!X921=0,"",ORIG!X921)</f>
        <v/>
      </c>
      <c r="Y921" s="9">
        <f>IF(ORIG!Y921=0,"",ORIG!Y921)</f>
        <v/>
      </c>
      <c r="Z921" s="3">
        <f>SUMPRODUCT($B921:$Y921,$B$2649:$Y$2649)</f>
        <v/>
      </c>
      <c r="AA921" s="3">
        <f>SUMPRODUCT($B921:$Y921,$B$2655:$Y$2655)</f>
        <v/>
      </c>
      <c r="AC921" s="1">
        <f>A921</f>
        <v/>
      </c>
      <c r="AD921">
        <f>IF(ISNUMBER(V921),V921*($AB$1/V$2635),"")</f>
        <v/>
      </c>
      <c r="AE921">
        <f>IF(ISNUMBER(Z921),Z921*($AB$1/Z$2635),"")</f>
        <v/>
      </c>
      <c r="AF921" s="25">
        <f>IF(ISNUMBER(AD921+AE921),AD921+AE921,"")</f>
        <v/>
      </c>
      <c r="AH921" s="1">
        <f>A921</f>
        <v/>
      </c>
      <c r="AI921">
        <f>IF(ISNUMBER((1+V921)*AI920),(1+V921)*AI920,AI920)</f>
        <v/>
      </c>
      <c r="AJ921">
        <f>IF(ISNUMBER((1+Z921)*AJ920),(1+Z921)*AJ920,AJ920)</f>
        <v/>
      </c>
    </row>
    <row r="922">
      <c r="A922" s="1" t="n">
        <v>43340</v>
      </c>
      <c r="B922" s="3">
        <f>IF(ORIG!B922=0,"",ORIG!B922)</f>
        <v/>
      </c>
      <c r="C922" s="3">
        <f>IF(ORIG!C922=0,"",ORIG!C922)</f>
        <v/>
      </c>
      <c r="D922" s="3">
        <f>IF(ORIG!D922=0,"",ORIG!D922)</f>
        <v/>
      </c>
      <c r="E922" s="3">
        <f>IF(ORIG!E922=0,"",ORIG!E922)</f>
        <v/>
      </c>
      <c r="F922" s="3">
        <f>IF(ORIG!F922=0,"",ORIG!F922)</f>
        <v/>
      </c>
      <c r="G922" s="3">
        <f>IF(ORIG!G922=0,"",ORIG!G922)</f>
        <v/>
      </c>
      <c r="H922" s="3">
        <f>IF(ORIG!H922=0,"",ORIG!H922)</f>
        <v/>
      </c>
      <c r="I922" s="3">
        <f>IF(ORIG!I922=0,"",ORIG!I922)</f>
        <v/>
      </c>
      <c r="J922" s="3">
        <f>IF(ORIG!J922=0,"",ORIG!J922)</f>
        <v/>
      </c>
      <c r="K922" s="3">
        <f>IF(ORIG!K922=0,"",ORIG!K922)</f>
        <v/>
      </c>
      <c r="L922" s="3">
        <f>IF(ORIG!L922=0,"",ORIG!L922)</f>
        <v/>
      </c>
      <c r="M922" s="3">
        <f>IF(ORIG!M922=0,"",ORIG!M922)</f>
        <v/>
      </c>
      <c r="N922" s="3">
        <f>IF(ORIG!N922=0,"",ORIG!N922)</f>
        <v/>
      </c>
      <c r="O922" s="3">
        <f>IF(ORIG!O922=0,"",ORIG!O922)</f>
        <v/>
      </c>
      <c r="P922" s="3">
        <f>IF(ORIG!P922=0,"",ORIG!P922)</f>
        <v/>
      </c>
      <c r="Q922" s="3">
        <f>IF(ORIG!Q922=0,"",ORIG!Q922)</f>
        <v/>
      </c>
      <c r="R922" s="3">
        <f>IF(ORIG!R922=0,"",ORIG!R922)</f>
        <v/>
      </c>
      <c r="S922" s="3">
        <f>IF(ORIG!S922=0,"",ORIG!S922)</f>
        <v/>
      </c>
      <c r="T922" s="3">
        <f>IF(ORIG!T922=0,"",ORIG!T922)</f>
        <v/>
      </c>
      <c r="U922" s="3">
        <f>IF(ORIG!U922=0,"",ORIG!U922)</f>
        <v/>
      </c>
      <c r="V922" s="9">
        <f>IF(ORIG!V922=0,"",ORIG!V922)</f>
        <v/>
      </c>
      <c r="W922" s="9">
        <f>IF(ORIG!W922=0,"",ORIG!W922)</f>
        <v/>
      </c>
      <c r="X922" s="9">
        <f>IF(ORIG!X922=0,"",ORIG!X922)</f>
        <v/>
      </c>
      <c r="Y922" s="9">
        <f>IF(ORIG!Y922=0,"",ORIG!Y922)</f>
        <v/>
      </c>
      <c r="Z922" s="3">
        <f>SUMPRODUCT($B922:$Y922,$B$2649:$Y$2649)</f>
        <v/>
      </c>
      <c r="AA922" s="3">
        <f>SUMPRODUCT($B922:$Y922,$B$2655:$Y$2655)</f>
        <v/>
      </c>
      <c r="AC922" s="1">
        <f>A922</f>
        <v/>
      </c>
      <c r="AD922">
        <f>IF(ISNUMBER(V922),V922*($AB$1/V$2635),"")</f>
        <v/>
      </c>
      <c r="AE922">
        <f>IF(ISNUMBER(Z922),Z922*($AB$1/Z$2635),"")</f>
        <v/>
      </c>
      <c r="AF922" s="25">
        <f>IF(ISNUMBER(AD922+AE922),AD922+AE922,"")</f>
        <v/>
      </c>
      <c r="AH922" s="1">
        <f>A922</f>
        <v/>
      </c>
      <c r="AI922">
        <f>IF(ISNUMBER((1+V922)*AI921),(1+V922)*AI921,AI921)</f>
        <v/>
      </c>
      <c r="AJ922">
        <f>IF(ISNUMBER((1+Z922)*AJ921),(1+Z922)*AJ921,AJ921)</f>
        <v/>
      </c>
    </row>
    <row r="923">
      <c r="A923" s="1" t="n">
        <v>43341</v>
      </c>
      <c r="B923" s="3">
        <f>IF(ORIG!B923=0,"",ORIG!B923)</f>
        <v/>
      </c>
      <c r="C923" s="3">
        <f>IF(ORIG!C923=0,"",ORIG!C923)</f>
        <v/>
      </c>
      <c r="D923" s="3">
        <f>IF(ORIG!D923=0,"",ORIG!D923)</f>
        <v/>
      </c>
      <c r="E923" s="3">
        <f>IF(ORIG!E923=0,"",ORIG!E923)</f>
        <v/>
      </c>
      <c r="F923" s="3">
        <f>IF(ORIG!F923=0,"",ORIG!F923)</f>
        <v/>
      </c>
      <c r="G923" s="3">
        <f>IF(ORIG!G923=0,"",ORIG!G923)</f>
        <v/>
      </c>
      <c r="H923" s="3">
        <f>IF(ORIG!H923=0,"",ORIG!H923)</f>
        <v/>
      </c>
      <c r="I923" s="3">
        <f>IF(ORIG!I923=0,"",ORIG!I923)</f>
        <v/>
      </c>
      <c r="J923" s="3">
        <f>IF(ORIG!J923=0,"",ORIG!J923)</f>
        <v/>
      </c>
      <c r="K923" s="3">
        <f>IF(ORIG!K923=0,"",ORIG!K923)</f>
        <v/>
      </c>
      <c r="L923" s="3">
        <f>IF(ORIG!L923=0,"",ORIG!L923)</f>
        <v/>
      </c>
      <c r="M923" s="3">
        <f>IF(ORIG!M923=0,"",ORIG!M923)</f>
        <v/>
      </c>
      <c r="N923" s="3">
        <f>IF(ORIG!N923=0,"",ORIG!N923)</f>
        <v/>
      </c>
      <c r="O923" s="3">
        <f>IF(ORIG!O923=0,"",ORIG!O923)</f>
        <v/>
      </c>
      <c r="P923" s="3">
        <f>IF(ORIG!P923=0,"",ORIG!P923)</f>
        <v/>
      </c>
      <c r="Q923" s="3">
        <f>IF(ORIG!Q923=0,"",ORIG!Q923)</f>
        <v/>
      </c>
      <c r="R923" s="3">
        <f>IF(ORIG!R923=0,"",ORIG!R923)</f>
        <v/>
      </c>
      <c r="S923" s="3">
        <f>IF(ORIG!S923=0,"",ORIG!S923)</f>
        <v/>
      </c>
      <c r="T923" s="3">
        <f>IF(ORIG!T923=0,"",ORIG!T923)</f>
        <v/>
      </c>
      <c r="U923" s="3">
        <f>IF(ORIG!U923=0,"",ORIG!U923)</f>
        <v/>
      </c>
      <c r="V923" s="9">
        <f>IF(ORIG!V923=0,"",ORIG!V923)</f>
        <v/>
      </c>
      <c r="W923" s="9">
        <f>IF(ORIG!W923=0,"",ORIG!W923)</f>
        <v/>
      </c>
      <c r="X923" s="9">
        <f>IF(ORIG!X923=0,"",ORIG!X923)</f>
        <v/>
      </c>
      <c r="Y923" s="9">
        <f>IF(ORIG!Y923=0,"",ORIG!Y923)</f>
        <v/>
      </c>
      <c r="Z923" s="3">
        <f>SUMPRODUCT($B923:$Y923,$B$2649:$Y$2649)</f>
        <v/>
      </c>
      <c r="AA923" s="3">
        <f>SUMPRODUCT($B923:$Y923,$B$2655:$Y$2655)</f>
        <v/>
      </c>
      <c r="AC923" s="1">
        <f>A923</f>
        <v/>
      </c>
      <c r="AD923">
        <f>IF(ISNUMBER(V923),V923*($AB$1/V$2635),"")</f>
        <v/>
      </c>
      <c r="AE923">
        <f>IF(ISNUMBER(Z923),Z923*($AB$1/Z$2635),"")</f>
        <v/>
      </c>
      <c r="AF923" s="25">
        <f>IF(ISNUMBER(AD923+AE923),AD923+AE923,"")</f>
        <v/>
      </c>
      <c r="AH923" s="1">
        <f>A923</f>
        <v/>
      </c>
      <c r="AI923">
        <f>IF(ISNUMBER((1+V923)*AI922),(1+V923)*AI922,AI922)</f>
        <v/>
      </c>
      <c r="AJ923">
        <f>IF(ISNUMBER((1+Z923)*AJ922),(1+Z923)*AJ922,AJ922)</f>
        <v/>
      </c>
    </row>
    <row r="924">
      <c r="A924" s="1" t="n">
        <v>43342</v>
      </c>
      <c r="B924" s="3">
        <f>IF(ORIG!B924=0,"",ORIG!B924)</f>
        <v/>
      </c>
      <c r="C924" s="3">
        <f>IF(ORIG!C924=0,"",ORIG!C924)</f>
        <v/>
      </c>
      <c r="D924" s="3">
        <f>IF(ORIG!D924=0,"",ORIG!D924)</f>
        <v/>
      </c>
      <c r="E924" s="3">
        <f>IF(ORIG!E924=0,"",ORIG!E924)</f>
        <v/>
      </c>
      <c r="F924" s="3">
        <f>IF(ORIG!F924=0,"",ORIG!F924)</f>
        <v/>
      </c>
      <c r="G924" s="3">
        <f>IF(ORIG!G924=0,"",ORIG!G924)</f>
        <v/>
      </c>
      <c r="H924" s="3">
        <f>IF(ORIG!H924=0,"",ORIG!H924)</f>
        <v/>
      </c>
      <c r="I924" s="3">
        <f>IF(ORIG!I924=0,"",ORIG!I924)</f>
        <v/>
      </c>
      <c r="J924" s="3">
        <f>IF(ORIG!J924=0,"",ORIG!J924)</f>
        <v/>
      </c>
      <c r="K924" s="3">
        <f>IF(ORIG!K924=0,"",ORIG!K924)</f>
        <v/>
      </c>
      <c r="L924" s="3">
        <f>IF(ORIG!L924=0,"",ORIG!L924)</f>
        <v/>
      </c>
      <c r="M924" s="3">
        <f>IF(ORIG!M924=0,"",ORIG!M924)</f>
        <v/>
      </c>
      <c r="N924" s="3">
        <f>IF(ORIG!N924=0,"",ORIG!N924)</f>
        <v/>
      </c>
      <c r="O924" s="3">
        <f>IF(ORIG!O924=0,"",ORIG!O924)</f>
        <v/>
      </c>
      <c r="P924" s="3">
        <f>IF(ORIG!P924=0,"",ORIG!P924)</f>
        <v/>
      </c>
      <c r="Q924" s="3">
        <f>IF(ORIG!Q924=0,"",ORIG!Q924)</f>
        <v/>
      </c>
      <c r="R924" s="3">
        <f>IF(ORIG!R924=0,"",ORIG!R924)</f>
        <v/>
      </c>
      <c r="S924" s="3">
        <f>IF(ORIG!S924=0,"",ORIG!S924)</f>
        <v/>
      </c>
      <c r="T924" s="3">
        <f>IF(ORIG!T924=0,"",ORIG!T924)</f>
        <v/>
      </c>
      <c r="U924" s="3">
        <f>IF(ORIG!U924=0,"",ORIG!U924)</f>
        <v/>
      </c>
      <c r="V924" s="9">
        <f>IF(ORIG!V924=0,"",ORIG!V924)</f>
        <v/>
      </c>
      <c r="W924" s="9">
        <f>IF(ORIG!W924=0,"",ORIG!W924)</f>
        <v/>
      </c>
      <c r="X924" s="9">
        <f>IF(ORIG!X924=0,"",ORIG!X924)</f>
        <v/>
      </c>
      <c r="Y924" s="9">
        <f>IF(ORIG!Y924=0,"",ORIG!Y924)</f>
        <v/>
      </c>
      <c r="Z924" s="3">
        <f>SUMPRODUCT($B924:$Y924,$B$2649:$Y$2649)</f>
        <v/>
      </c>
      <c r="AA924" s="3">
        <f>SUMPRODUCT($B924:$Y924,$B$2655:$Y$2655)</f>
        <v/>
      </c>
      <c r="AC924" s="1">
        <f>A924</f>
        <v/>
      </c>
      <c r="AD924">
        <f>IF(ISNUMBER(V924),V924*($AB$1/V$2635),"")</f>
        <v/>
      </c>
      <c r="AE924">
        <f>IF(ISNUMBER(Z924),Z924*($AB$1/Z$2635),"")</f>
        <v/>
      </c>
      <c r="AF924" s="25">
        <f>IF(ISNUMBER(AD924+AE924),AD924+AE924,"")</f>
        <v/>
      </c>
      <c r="AH924" s="1">
        <f>A924</f>
        <v/>
      </c>
      <c r="AI924">
        <f>IF(ISNUMBER((1+V924)*AI923),(1+V924)*AI923,AI923)</f>
        <v/>
      </c>
      <c r="AJ924">
        <f>IF(ISNUMBER((1+Z924)*AJ923),(1+Z924)*AJ923,AJ923)</f>
        <v/>
      </c>
    </row>
    <row r="925">
      <c r="A925" s="1" t="n">
        <v>43343</v>
      </c>
      <c r="B925" s="3">
        <f>IF(ORIG!B925=0,"",ORIG!B925)</f>
        <v/>
      </c>
      <c r="C925" s="3">
        <f>IF(ORIG!C925=0,"",ORIG!C925)</f>
        <v/>
      </c>
      <c r="D925" s="3">
        <f>IF(ORIG!D925=0,"",ORIG!D925)</f>
        <v/>
      </c>
      <c r="E925" s="3">
        <f>IF(ORIG!E925=0,"",ORIG!E925)</f>
        <v/>
      </c>
      <c r="F925" s="3">
        <f>IF(ORIG!F925=0,"",ORIG!F925)</f>
        <v/>
      </c>
      <c r="G925" s="3">
        <f>IF(ORIG!G925=0,"",ORIG!G925)</f>
        <v/>
      </c>
      <c r="H925" s="3">
        <f>IF(ORIG!H925=0,"",ORIG!H925)</f>
        <v/>
      </c>
      <c r="I925" s="3">
        <f>IF(ORIG!I925=0,"",ORIG!I925)</f>
        <v/>
      </c>
      <c r="J925" s="3">
        <f>IF(ORIG!J925=0,"",ORIG!J925)</f>
        <v/>
      </c>
      <c r="K925" s="3">
        <f>IF(ORIG!K925=0,"",ORIG!K925)</f>
        <v/>
      </c>
      <c r="L925" s="3">
        <f>IF(ORIG!L925=0,"",ORIG!L925)</f>
        <v/>
      </c>
      <c r="M925" s="3">
        <f>IF(ORIG!M925=0,"",ORIG!M925)</f>
        <v/>
      </c>
      <c r="N925" s="3">
        <f>IF(ORIG!N925=0,"",ORIG!N925)</f>
        <v/>
      </c>
      <c r="O925" s="3">
        <f>IF(ORIG!O925=0,"",ORIG!O925)</f>
        <v/>
      </c>
      <c r="P925" s="3">
        <f>IF(ORIG!P925=0,"",ORIG!P925)</f>
        <v/>
      </c>
      <c r="Q925" s="3">
        <f>IF(ORIG!Q925=0,"",ORIG!Q925)</f>
        <v/>
      </c>
      <c r="R925" s="3">
        <f>IF(ORIG!R925=0,"",ORIG!R925)</f>
        <v/>
      </c>
      <c r="S925" s="3">
        <f>IF(ORIG!S925=0,"",ORIG!S925)</f>
        <v/>
      </c>
      <c r="T925" s="3">
        <f>IF(ORIG!T925=0,"",ORIG!T925)</f>
        <v/>
      </c>
      <c r="U925" s="3">
        <f>IF(ORIG!U925=0,"",ORIG!U925)</f>
        <v/>
      </c>
      <c r="V925" s="9">
        <f>IF(ORIG!V925=0,"",ORIG!V925)</f>
        <v/>
      </c>
      <c r="W925" s="9">
        <f>IF(ORIG!W925=0,"",ORIG!W925)</f>
        <v/>
      </c>
      <c r="X925" s="9">
        <f>IF(ORIG!X925=0,"",ORIG!X925)</f>
        <v/>
      </c>
      <c r="Y925" s="9">
        <f>IF(ORIG!Y925=0,"",ORIG!Y925)</f>
        <v/>
      </c>
      <c r="Z925" s="3">
        <f>SUMPRODUCT($B925:$Y925,$B$2649:$Y$2649)</f>
        <v/>
      </c>
      <c r="AA925" s="3">
        <f>SUMPRODUCT($B925:$Y925,$B$2655:$Y$2655)</f>
        <v/>
      </c>
      <c r="AC925" s="1">
        <f>A925</f>
        <v/>
      </c>
      <c r="AD925">
        <f>IF(ISNUMBER(V925),V925*($AB$1/V$2635),"")</f>
        <v/>
      </c>
      <c r="AE925">
        <f>IF(ISNUMBER(Z925),Z925*($AB$1/Z$2635),"")</f>
        <v/>
      </c>
      <c r="AF925" s="25">
        <f>IF(ISNUMBER(AD925+AE925),AD925+AE925,"")</f>
        <v/>
      </c>
      <c r="AH925" s="1">
        <f>A925</f>
        <v/>
      </c>
      <c r="AI925">
        <f>IF(ISNUMBER((1+V925)*AI924),(1+V925)*AI924,AI924)</f>
        <v/>
      </c>
      <c r="AJ925">
        <f>IF(ISNUMBER((1+Z925)*AJ924),(1+Z925)*AJ924,AJ924)</f>
        <v/>
      </c>
    </row>
    <row r="926">
      <c r="A926" s="1" t="n">
        <v>43347</v>
      </c>
      <c r="B926" s="3">
        <f>IF(ORIG!B926=0,"",ORIG!B926)</f>
        <v/>
      </c>
      <c r="C926" s="3">
        <f>IF(ORIG!C926=0,"",ORIG!C926)</f>
        <v/>
      </c>
      <c r="D926" s="3">
        <f>IF(ORIG!D926=0,"",ORIG!D926)</f>
        <v/>
      </c>
      <c r="E926" s="3">
        <f>IF(ORIG!E926=0,"",ORIG!E926)</f>
        <v/>
      </c>
      <c r="F926" s="3">
        <f>IF(ORIG!F926=0,"",ORIG!F926)</f>
        <v/>
      </c>
      <c r="G926" s="3">
        <f>IF(ORIG!G926=0,"",ORIG!G926)</f>
        <v/>
      </c>
      <c r="H926" s="3">
        <f>IF(ORIG!H926=0,"",ORIG!H926)</f>
        <v/>
      </c>
      <c r="I926" s="3">
        <f>IF(ORIG!I926=0,"",ORIG!I926)</f>
        <v/>
      </c>
      <c r="J926" s="3">
        <f>IF(ORIG!J926=0,"",ORIG!J926)</f>
        <v/>
      </c>
      <c r="K926" s="3">
        <f>IF(ORIG!K926=0,"",ORIG!K926)</f>
        <v/>
      </c>
      <c r="L926" s="3">
        <f>IF(ORIG!L926=0,"",ORIG!L926)</f>
        <v/>
      </c>
      <c r="M926" s="3">
        <f>IF(ORIG!M926=0,"",ORIG!M926)</f>
        <v/>
      </c>
      <c r="N926" s="3">
        <f>IF(ORIG!N926=0,"",ORIG!N926)</f>
        <v/>
      </c>
      <c r="O926" s="3">
        <f>IF(ORIG!O926=0,"",ORIG!O926)</f>
        <v/>
      </c>
      <c r="P926" s="3">
        <f>IF(ORIG!P926=0,"",ORIG!P926)</f>
        <v/>
      </c>
      <c r="Q926" s="3">
        <f>IF(ORIG!Q926=0,"",ORIG!Q926)</f>
        <v/>
      </c>
      <c r="R926" s="3">
        <f>IF(ORIG!R926=0,"",ORIG!R926)</f>
        <v/>
      </c>
      <c r="S926" s="3">
        <f>IF(ORIG!S926=0,"",ORIG!S926)</f>
        <v/>
      </c>
      <c r="T926" s="3">
        <f>IF(ORIG!T926=0,"",ORIG!T926)</f>
        <v/>
      </c>
      <c r="U926" s="3">
        <f>IF(ORIG!U926=0,"",ORIG!U926)</f>
        <v/>
      </c>
      <c r="V926" s="9">
        <f>IF(ORIG!V926=0,"",ORIG!V926)</f>
        <v/>
      </c>
      <c r="W926" s="9">
        <f>IF(ORIG!W926=0,"",ORIG!W926)</f>
        <v/>
      </c>
      <c r="X926" s="9">
        <f>IF(ORIG!X926=0,"",ORIG!X926)</f>
        <v/>
      </c>
      <c r="Y926" s="9">
        <f>IF(ORIG!Y926=0,"",ORIG!Y926)</f>
        <v/>
      </c>
      <c r="Z926" s="3">
        <f>SUMPRODUCT($B926:$Y926,$B$2649:$Y$2649)</f>
        <v/>
      </c>
      <c r="AA926" s="3">
        <f>SUMPRODUCT($B926:$Y926,$B$2655:$Y$2655)</f>
        <v/>
      </c>
      <c r="AC926" s="1">
        <f>A926</f>
        <v/>
      </c>
      <c r="AD926">
        <f>IF(ISNUMBER(V926),V926*($AB$1/V$2635),"")</f>
        <v/>
      </c>
      <c r="AE926">
        <f>IF(ISNUMBER(Z926),Z926*($AB$1/Z$2635),"")</f>
        <v/>
      </c>
      <c r="AF926" s="25">
        <f>IF(ISNUMBER(AD926+AE926),AD926+AE926,"")</f>
        <v/>
      </c>
      <c r="AH926" s="1">
        <f>A926</f>
        <v/>
      </c>
      <c r="AI926">
        <f>IF(ISNUMBER((1+V926)*AI925),(1+V926)*AI925,AI925)</f>
        <v/>
      </c>
      <c r="AJ926">
        <f>IF(ISNUMBER((1+Z926)*AJ925),(1+Z926)*AJ925,AJ925)</f>
        <v/>
      </c>
    </row>
    <row r="927">
      <c r="A927" s="1" t="n">
        <v>43348</v>
      </c>
      <c r="B927" s="3">
        <f>IF(ORIG!B927=0,"",ORIG!B927)</f>
        <v/>
      </c>
      <c r="C927" s="3">
        <f>IF(ORIG!C927=0,"",ORIG!C927)</f>
        <v/>
      </c>
      <c r="D927" s="3">
        <f>IF(ORIG!D927=0,"",ORIG!D927)</f>
        <v/>
      </c>
      <c r="E927" s="3">
        <f>IF(ORIG!E927=0,"",ORIG!E927)</f>
        <v/>
      </c>
      <c r="F927" s="3">
        <f>IF(ORIG!F927=0,"",ORIG!F927)</f>
        <v/>
      </c>
      <c r="G927" s="3">
        <f>IF(ORIG!G927=0,"",ORIG!G927)</f>
        <v/>
      </c>
      <c r="H927" s="3">
        <f>IF(ORIG!H927=0,"",ORIG!H927)</f>
        <v/>
      </c>
      <c r="I927" s="3">
        <f>IF(ORIG!I927=0,"",ORIG!I927)</f>
        <v/>
      </c>
      <c r="J927" s="3">
        <f>IF(ORIG!J927=0,"",ORIG!J927)</f>
        <v/>
      </c>
      <c r="K927" s="3">
        <f>IF(ORIG!K927=0,"",ORIG!K927)</f>
        <v/>
      </c>
      <c r="L927" s="3">
        <f>IF(ORIG!L927=0,"",ORIG!L927)</f>
        <v/>
      </c>
      <c r="M927" s="3">
        <f>IF(ORIG!M927=0,"",ORIG!M927)</f>
        <v/>
      </c>
      <c r="N927" s="3">
        <f>IF(ORIG!N927=0,"",ORIG!N927)</f>
        <v/>
      </c>
      <c r="O927" s="3">
        <f>IF(ORIG!O927=0,"",ORIG!O927)</f>
        <v/>
      </c>
      <c r="P927" s="3">
        <f>IF(ORIG!P927=0,"",ORIG!P927)</f>
        <v/>
      </c>
      <c r="Q927" s="3">
        <f>IF(ORIG!Q927=0,"",ORIG!Q927)</f>
        <v/>
      </c>
      <c r="R927" s="3">
        <f>IF(ORIG!R927=0,"",ORIG!R927)</f>
        <v/>
      </c>
      <c r="S927" s="3">
        <f>IF(ORIG!S927=0,"",ORIG!S927)</f>
        <v/>
      </c>
      <c r="T927" s="3">
        <f>IF(ORIG!T927=0,"",ORIG!T927)</f>
        <v/>
      </c>
      <c r="U927" s="3">
        <f>IF(ORIG!U927=0,"",ORIG!U927)</f>
        <v/>
      </c>
      <c r="V927" s="9">
        <f>IF(ORIG!V927=0,"",ORIG!V927)</f>
        <v/>
      </c>
      <c r="W927" s="9">
        <f>IF(ORIG!W927=0,"",ORIG!W927)</f>
        <v/>
      </c>
      <c r="X927" s="9">
        <f>IF(ORIG!X927=0,"",ORIG!X927)</f>
        <v/>
      </c>
      <c r="Y927" s="9">
        <f>IF(ORIG!Y927=0,"",ORIG!Y927)</f>
        <v/>
      </c>
      <c r="Z927" s="3">
        <f>SUMPRODUCT($B927:$Y927,$B$2649:$Y$2649)</f>
        <v/>
      </c>
      <c r="AA927" s="3">
        <f>SUMPRODUCT($B927:$Y927,$B$2655:$Y$2655)</f>
        <v/>
      </c>
      <c r="AC927" s="1">
        <f>A927</f>
        <v/>
      </c>
      <c r="AD927">
        <f>IF(ISNUMBER(V927),V927*($AB$1/V$2635),"")</f>
        <v/>
      </c>
      <c r="AE927">
        <f>IF(ISNUMBER(Z927),Z927*($AB$1/Z$2635),"")</f>
        <v/>
      </c>
      <c r="AF927" s="25">
        <f>IF(ISNUMBER(AD927+AE927),AD927+AE927,"")</f>
        <v/>
      </c>
      <c r="AH927" s="1">
        <f>A927</f>
        <v/>
      </c>
      <c r="AI927">
        <f>IF(ISNUMBER((1+V927)*AI926),(1+V927)*AI926,AI926)</f>
        <v/>
      </c>
      <c r="AJ927">
        <f>IF(ISNUMBER((1+Z927)*AJ926),(1+Z927)*AJ926,AJ926)</f>
        <v/>
      </c>
    </row>
    <row r="928">
      <c r="A928" s="1" t="n">
        <v>43349</v>
      </c>
      <c r="B928" s="3">
        <f>IF(ORIG!B928=0,"",ORIG!B928)</f>
        <v/>
      </c>
      <c r="C928" s="3">
        <f>IF(ORIG!C928=0,"",ORIG!C928)</f>
        <v/>
      </c>
      <c r="D928" s="3">
        <f>IF(ORIG!D928=0,"",ORIG!D928)</f>
        <v/>
      </c>
      <c r="E928" s="3">
        <f>IF(ORIG!E928=0,"",ORIG!E928)</f>
        <v/>
      </c>
      <c r="F928" s="3">
        <f>IF(ORIG!F928=0,"",ORIG!F928)</f>
        <v/>
      </c>
      <c r="G928" s="3">
        <f>IF(ORIG!G928=0,"",ORIG!G928)</f>
        <v/>
      </c>
      <c r="H928" s="3">
        <f>IF(ORIG!H928=0,"",ORIG!H928)</f>
        <v/>
      </c>
      <c r="I928" s="3">
        <f>IF(ORIG!I928=0,"",ORIG!I928)</f>
        <v/>
      </c>
      <c r="J928" s="3">
        <f>IF(ORIG!J928=0,"",ORIG!J928)</f>
        <v/>
      </c>
      <c r="K928" s="3">
        <f>IF(ORIG!K928=0,"",ORIG!K928)</f>
        <v/>
      </c>
      <c r="L928" s="3">
        <f>IF(ORIG!L928=0,"",ORIG!L928)</f>
        <v/>
      </c>
      <c r="M928" s="3">
        <f>IF(ORIG!M928=0,"",ORIG!M928)</f>
        <v/>
      </c>
      <c r="N928" s="3">
        <f>IF(ORIG!N928=0,"",ORIG!N928)</f>
        <v/>
      </c>
      <c r="O928" s="3">
        <f>IF(ORIG!O928=0,"",ORIG!O928)</f>
        <v/>
      </c>
      <c r="P928" s="3">
        <f>IF(ORIG!P928=0,"",ORIG!P928)</f>
        <v/>
      </c>
      <c r="Q928" s="3">
        <f>IF(ORIG!Q928=0,"",ORIG!Q928)</f>
        <v/>
      </c>
      <c r="R928" s="3">
        <f>IF(ORIG!R928=0,"",ORIG!R928)</f>
        <v/>
      </c>
      <c r="S928" s="3">
        <f>IF(ORIG!S928=0,"",ORIG!S928)</f>
        <v/>
      </c>
      <c r="T928" s="3">
        <f>IF(ORIG!T928=0,"",ORIG!T928)</f>
        <v/>
      </c>
      <c r="U928" s="3">
        <f>IF(ORIG!U928=0,"",ORIG!U928)</f>
        <v/>
      </c>
      <c r="V928" s="9">
        <f>IF(ORIG!V928=0,"",ORIG!V928)</f>
        <v/>
      </c>
      <c r="W928" s="9">
        <f>IF(ORIG!W928=0,"",ORIG!W928)</f>
        <v/>
      </c>
      <c r="X928" s="9">
        <f>IF(ORIG!X928=0,"",ORIG!X928)</f>
        <v/>
      </c>
      <c r="Y928" s="9">
        <f>IF(ORIG!Y928=0,"",ORIG!Y928)</f>
        <v/>
      </c>
      <c r="Z928" s="3">
        <f>SUMPRODUCT($B928:$Y928,$B$2649:$Y$2649)</f>
        <v/>
      </c>
      <c r="AA928" s="3">
        <f>SUMPRODUCT($B928:$Y928,$B$2655:$Y$2655)</f>
        <v/>
      </c>
      <c r="AC928" s="1">
        <f>A928</f>
        <v/>
      </c>
      <c r="AD928">
        <f>IF(ISNUMBER(V928),V928*($AB$1/V$2635),"")</f>
        <v/>
      </c>
      <c r="AE928">
        <f>IF(ISNUMBER(Z928),Z928*($AB$1/Z$2635),"")</f>
        <v/>
      </c>
      <c r="AF928" s="25">
        <f>IF(ISNUMBER(AD928+AE928),AD928+AE928,"")</f>
        <v/>
      </c>
      <c r="AH928" s="1">
        <f>A928</f>
        <v/>
      </c>
      <c r="AI928">
        <f>IF(ISNUMBER((1+V928)*AI927),(1+V928)*AI927,AI927)</f>
        <v/>
      </c>
      <c r="AJ928">
        <f>IF(ISNUMBER((1+Z928)*AJ927),(1+Z928)*AJ927,AJ927)</f>
        <v/>
      </c>
    </row>
    <row r="929">
      <c r="A929" s="1" t="n">
        <v>43350</v>
      </c>
      <c r="B929" s="3">
        <f>IF(ORIG!B929=0,"",ORIG!B929)</f>
        <v/>
      </c>
      <c r="C929" s="3">
        <f>IF(ORIG!C929=0,"",ORIG!C929)</f>
        <v/>
      </c>
      <c r="D929" s="3">
        <f>IF(ORIG!D929=0,"",ORIG!D929)</f>
        <v/>
      </c>
      <c r="E929" s="3">
        <f>IF(ORIG!E929=0,"",ORIG!E929)</f>
        <v/>
      </c>
      <c r="F929" s="3">
        <f>IF(ORIG!F929=0,"",ORIG!F929)</f>
        <v/>
      </c>
      <c r="G929" s="3">
        <f>IF(ORIG!G929=0,"",ORIG!G929)</f>
        <v/>
      </c>
      <c r="H929" s="3">
        <f>IF(ORIG!H929=0,"",ORIG!H929)</f>
        <v/>
      </c>
      <c r="I929" s="3">
        <f>IF(ORIG!I929=0,"",ORIG!I929)</f>
        <v/>
      </c>
      <c r="J929" s="3">
        <f>IF(ORIG!J929=0,"",ORIG!J929)</f>
        <v/>
      </c>
      <c r="K929" s="3">
        <f>IF(ORIG!K929=0,"",ORIG!K929)</f>
        <v/>
      </c>
      <c r="L929" s="3">
        <f>IF(ORIG!L929=0,"",ORIG!L929)</f>
        <v/>
      </c>
      <c r="M929" s="3">
        <f>IF(ORIG!M929=0,"",ORIG!M929)</f>
        <v/>
      </c>
      <c r="N929" s="3">
        <f>IF(ORIG!N929=0,"",ORIG!N929)</f>
        <v/>
      </c>
      <c r="O929" s="3">
        <f>IF(ORIG!O929=0,"",ORIG!O929)</f>
        <v/>
      </c>
      <c r="P929" s="3">
        <f>IF(ORIG!P929=0,"",ORIG!P929)</f>
        <v/>
      </c>
      <c r="Q929" s="3">
        <f>IF(ORIG!Q929=0,"",ORIG!Q929)</f>
        <v/>
      </c>
      <c r="R929" s="3">
        <f>IF(ORIG!R929=0,"",ORIG!R929)</f>
        <v/>
      </c>
      <c r="S929" s="3">
        <f>IF(ORIG!S929=0,"",ORIG!S929)</f>
        <v/>
      </c>
      <c r="T929" s="3">
        <f>IF(ORIG!T929=0,"",ORIG!T929)</f>
        <v/>
      </c>
      <c r="U929" s="3">
        <f>IF(ORIG!U929=0,"",ORIG!U929)</f>
        <v/>
      </c>
      <c r="V929" s="9">
        <f>IF(ORIG!V929=0,"",ORIG!V929)</f>
        <v/>
      </c>
      <c r="W929" s="9">
        <f>IF(ORIG!W929=0,"",ORIG!W929)</f>
        <v/>
      </c>
      <c r="X929" s="9">
        <f>IF(ORIG!X929=0,"",ORIG!X929)</f>
        <v/>
      </c>
      <c r="Y929" s="9">
        <f>IF(ORIG!Y929=0,"",ORIG!Y929)</f>
        <v/>
      </c>
      <c r="Z929" s="3">
        <f>SUMPRODUCT($B929:$Y929,$B$2649:$Y$2649)</f>
        <v/>
      </c>
      <c r="AA929" s="3">
        <f>SUMPRODUCT($B929:$Y929,$B$2655:$Y$2655)</f>
        <v/>
      </c>
      <c r="AC929" s="1">
        <f>A929</f>
        <v/>
      </c>
      <c r="AD929">
        <f>IF(ISNUMBER(V929),V929*($AB$1/V$2635),"")</f>
        <v/>
      </c>
      <c r="AE929">
        <f>IF(ISNUMBER(Z929),Z929*($AB$1/Z$2635),"")</f>
        <v/>
      </c>
      <c r="AF929" s="25">
        <f>IF(ISNUMBER(AD929+AE929),AD929+AE929,"")</f>
        <v/>
      </c>
      <c r="AH929" s="1">
        <f>A929</f>
        <v/>
      </c>
      <c r="AI929">
        <f>IF(ISNUMBER((1+V929)*AI928),(1+V929)*AI928,AI928)</f>
        <v/>
      </c>
      <c r="AJ929">
        <f>IF(ISNUMBER((1+Z929)*AJ928),(1+Z929)*AJ928,AJ928)</f>
        <v/>
      </c>
    </row>
    <row r="930">
      <c r="A930" s="1" t="n">
        <v>43353</v>
      </c>
      <c r="B930" s="3">
        <f>IF(ORIG!B930=0,"",ORIG!B930)</f>
        <v/>
      </c>
      <c r="C930" s="3">
        <f>IF(ORIG!C930=0,"",ORIG!C930)</f>
        <v/>
      </c>
      <c r="D930" s="3">
        <f>IF(ORIG!D930=0,"",ORIG!D930)</f>
        <v/>
      </c>
      <c r="E930" s="3">
        <f>IF(ORIG!E930=0,"",ORIG!E930)</f>
        <v/>
      </c>
      <c r="F930" s="3">
        <f>IF(ORIG!F930=0,"",ORIG!F930)</f>
        <v/>
      </c>
      <c r="G930" s="3">
        <f>IF(ORIG!G930=0,"",ORIG!G930)</f>
        <v/>
      </c>
      <c r="H930" s="3">
        <f>IF(ORIG!H930=0,"",ORIG!H930)</f>
        <v/>
      </c>
      <c r="I930" s="3">
        <f>IF(ORIG!I930=0,"",ORIG!I930)</f>
        <v/>
      </c>
      <c r="J930" s="3">
        <f>IF(ORIG!J930=0,"",ORIG!J930)</f>
        <v/>
      </c>
      <c r="K930" s="3">
        <f>IF(ORIG!K930=0,"",ORIG!K930)</f>
        <v/>
      </c>
      <c r="L930" s="3">
        <f>IF(ORIG!L930=0,"",ORIG!L930)</f>
        <v/>
      </c>
      <c r="M930" s="3">
        <f>IF(ORIG!M930=0,"",ORIG!M930)</f>
        <v/>
      </c>
      <c r="N930" s="3">
        <f>IF(ORIG!N930=0,"",ORIG!N930)</f>
        <v/>
      </c>
      <c r="O930" s="3">
        <f>IF(ORIG!O930=0,"",ORIG!O930)</f>
        <v/>
      </c>
      <c r="P930" s="3">
        <f>IF(ORIG!P930=0,"",ORIG!P930)</f>
        <v/>
      </c>
      <c r="Q930" s="3">
        <f>IF(ORIG!Q930=0,"",ORIG!Q930)</f>
        <v/>
      </c>
      <c r="R930" s="3">
        <f>IF(ORIG!R930=0,"",ORIG!R930)</f>
        <v/>
      </c>
      <c r="S930" s="3">
        <f>IF(ORIG!S930=0,"",ORIG!S930)</f>
        <v/>
      </c>
      <c r="T930" s="3">
        <f>IF(ORIG!T930=0,"",ORIG!T930)</f>
        <v/>
      </c>
      <c r="U930" s="3">
        <f>IF(ORIG!U930=0,"",ORIG!U930)</f>
        <v/>
      </c>
      <c r="V930" s="9">
        <f>IF(ORIG!V930=0,"",ORIG!V930)</f>
        <v/>
      </c>
      <c r="W930" s="9">
        <f>IF(ORIG!W930=0,"",ORIG!W930)</f>
        <v/>
      </c>
      <c r="X930" s="9">
        <f>IF(ORIG!X930=0,"",ORIG!X930)</f>
        <v/>
      </c>
      <c r="Y930" s="9">
        <f>IF(ORIG!Y930=0,"",ORIG!Y930)</f>
        <v/>
      </c>
      <c r="Z930" s="3">
        <f>SUMPRODUCT($B930:$Y930,$B$2649:$Y$2649)</f>
        <v/>
      </c>
      <c r="AA930" s="3">
        <f>SUMPRODUCT($B930:$Y930,$B$2655:$Y$2655)</f>
        <v/>
      </c>
      <c r="AC930" s="1">
        <f>A930</f>
        <v/>
      </c>
      <c r="AD930">
        <f>IF(ISNUMBER(V930),V930*($AB$1/V$2635),"")</f>
        <v/>
      </c>
      <c r="AE930">
        <f>IF(ISNUMBER(Z930),Z930*($AB$1/Z$2635),"")</f>
        <v/>
      </c>
      <c r="AF930" s="25">
        <f>IF(ISNUMBER(AD930+AE930),AD930+AE930,"")</f>
        <v/>
      </c>
      <c r="AH930" s="1">
        <f>A930</f>
        <v/>
      </c>
      <c r="AI930">
        <f>IF(ISNUMBER((1+V930)*AI929),(1+V930)*AI929,AI929)</f>
        <v/>
      </c>
      <c r="AJ930">
        <f>IF(ISNUMBER((1+Z930)*AJ929),(1+Z930)*AJ929,AJ929)</f>
        <v/>
      </c>
    </row>
    <row r="931">
      <c r="A931" s="1" t="n">
        <v>43354</v>
      </c>
      <c r="B931" s="3">
        <f>IF(ORIG!B931=0,"",ORIG!B931)</f>
        <v/>
      </c>
      <c r="C931" s="3">
        <f>IF(ORIG!C931=0,"",ORIG!C931)</f>
        <v/>
      </c>
      <c r="D931" s="3">
        <f>IF(ORIG!D931=0,"",ORIG!D931)</f>
        <v/>
      </c>
      <c r="E931" s="3">
        <f>IF(ORIG!E931=0,"",ORIG!E931)</f>
        <v/>
      </c>
      <c r="F931" s="3">
        <f>IF(ORIG!F931=0,"",ORIG!F931)</f>
        <v/>
      </c>
      <c r="G931" s="3">
        <f>IF(ORIG!G931=0,"",ORIG!G931)</f>
        <v/>
      </c>
      <c r="H931" s="3">
        <f>IF(ORIG!H931=0,"",ORIG!H931)</f>
        <v/>
      </c>
      <c r="I931" s="3">
        <f>IF(ORIG!I931=0,"",ORIG!I931)</f>
        <v/>
      </c>
      <c r="J931" s="3">
        <f>IF(ORIG!J931=0,"",ORIG!J931)</f>
        <v/>
      </c>
      <c r="K931" s="3">
        <f>IF(ORIG!K931=0,"",ORIG!K931)</f>
        <v/>
      </c>
      <c r="L931" s="3">
        <f>IF(ORIG!L931=0,"",ORIG!L931)</f>
        <v/>
      </c>
      <c r="M931" s="3">
        <f>IF(ORIG!M931=0,"",ORIG!M931)</f>
        <v/>
      </c>
      <c r="N931" s="3">
        <f>IF(ORIG!N931=0,"",ORIG!N931)</f>
        <v/>
      </c>
      <c r="O931" s="3">
        <f>IF(ORIG!O931=0,"",ORIG!O931)</f>
        <v/>
      </c>
      <c r="P931" s="3">
        <f>IF(ORIG!P931=0,"",ORIG!P931)</f>
        <v/>
      </c>
      <c r="Q931" s="3">
        <f>IF(ORIG!Q931=0,"",ORIG!Q931)</f>
        <v/>
      </c>
      <c r="R931" s="3">
        <f>IF(ORIG!R931=0,"",ORIG!R931)</f>
        <v/>
      </c>
      <c r="S931" s="3">
        <f>IF(ORIG!S931=0,"",ORIG!S931)</f>
        <v/>
      </c>
      <c r="T931" s="3">
        <f>IF(ORIG!T931=0,"",ORIG!T931)</f>
        <v/>
      </c>
      <c r="U931" s="3">
        <f>IF(ORIG!U931=0,"",ORIG!U931)</f>
        <v/>
      </c>
      <c r="V931" s="9">
        <f>IF(ORIG!V931=0,"",ORIG!V931)</f>
        <v/>
      </c>
      <c r="W931" s="9">
        <f>IF(ORIG!W931=0,"",ORIG!W931)</f>
        <v/>
      </c>
      <c r="X931" s="9">
        <f>IF(ORIG!X931=0,"",ORIG!X931)</f>
        <v/>
      </c>
      <c r="Y931" s="9">
        <f>IF(ORIG!Y931=0,"",ORIG!Y931)</f>
        <v/>
      </c>
      <c r="Z931" s="3">
        <f>SUMPRODUCT($B931:$Y931,$B$2649:$Y$2649)</f>
        <v/>
      </c>
      <c r="AA931" s="3">
        <f>SUMPRODUCT($B931:$Y931,$B$2655:$Y$2655)</f>
        <v/>
      </c>
      <c r="AC931" s="1">
        <f>A931</f>
        <v/>
      </c>
      <c r="AD931">
        <f>IF(ISNUMBER(V931),V931*($AB$1/V$2635),"")</f>
        <v/>
      </c>
      <c r="AE931">
        <f>IF(ISNUMBER(Z931),Z931*($AB$1/Z$2635),"")</f>
        <v/>
      </c>
      <c r="AF931" s="25">
        <f>IF(ISNUMBER(AD931+AE931),AD931+AE931,"")</f>
        <v/>
      </c>
      <c r="AH931" s="1">
        <f>A931</f>
        <v/>
      </c>
      <c r="AI931">
        <f>IF(ISNUMBER((1+V931)*AI930),(1+V931)*AI930,AI930)</f>
        <v/>
      </c>
      <c r="AJ931">
        <f>IF(ISNUMBER((1+Z931)*AJ930),(1+Z931)*AJ930,AJ930)</f>
        <v/>
      </c>
    </row>
    <row r="932">
      <c r="A932" s="1" t="n">
        <v>43355</v>
      </c>
      <c r="B932" s="3">
        <f>IF(ORIG!B932=0,"",ORIG!B932)</f>
        <v/>
      </c>
      <c r="C932" s="3">
        <f>IF(ORIG!C932=0,"",ORIG!C932)</f>
        <v/>
      </c>
      <c r="D932" s="3">
        <f>IF(ORIG!D932=0,"",ORIG!D932)</f>
        <v/>
      </c>
      <c r="E932" s="3">
        <f>IF(ORIG!E932=0,"",ORIG!E932)</f>
        <v/>
      </c>
      <c r="F932" s="3">
        <f>IF(ORIG!F932=0,"",ORIG!F932)</f>
        <v/>
      </c>
      <c r="G932" s="3">
        <f>IF(ORIG!G932=0,"",ORIG!G932)</f>
        <v/>
      </c>
      <c r="H932" s="3">
        <f>IF(ORIG!H932=0,"",ORIG!H932)</f>
        <v/>
      </c>
      <c r="I932" s="3">
        <f>IF(ORIG!I932=0,"",ORIG!I932)</f>
        <v/>
      </c>
      <c r="J932" s="3">
        <f>IF(ORIG!J932=0,"",ORIG!J932)</f>
        <v/>
      </c>
      <c r="K932" s="3">
        <f>IF(ORIG!K932=0,"",ORIG!K932)</f>
        <v/>
      </c>
      <c r="L932" s="3">
        <f>IF(ORIG!L932=0,"",ORIG!L932)</f>
        <v/>
      </c>
      <c r="M932" s="3">
        <f>IF(ORIG!M932=0,"",ORIG!M932)</f>
        <v/>
      </c>
      <c r="N932" s="3">
        <f>IF(ORIG!N932=0,"",ORIG!N932)</f>
        <v/>
      </c>
      <c r="O932" s="3">
        <f>IF(ORIG!O932=0,"",ORIG!O932)</f>
        <v/>
      </c>
      <c r="P932" s="3">
        <f>IF(ORIG!P932=0,"",ORIG!P932)</f>
        <v/>
      </c>
      <c r="Q932" s="3">
        <f>IF(ORIG!Q932=0,"",ORIG!Q932)</f>
        <v/>
      </c>
      <c r="R932" s="3">
        <f>IF(ORIG!R932=0,"",ORIG!R932)</f>
        <v/>
      </c>
      <c r="S932" s="3">
        <f>IF(ORIG!S932=0,"",ORIG!S932)</f>
        <v/>
      </c>
      <c r="T932" s="3">
        <f>IF(ORIG!T932=0,"",ORIG!T932)</f>
        <v/>
      </c>
      <c r="U932" s="3">
        <f>IF(ORIG!U932=0,"",ORIG!U932)</f>
        <v/>
      </c>
      <c r="V932" s="9">
        <f>IF(ORIG!V932=0,"",ORIG!V932)</f>
        <v/>
      </c>
      <c r="W932" s="9">
        <f>IF(ORIG!W932=0,"",ORIG!W932)</f>
        <v/>
      </c>
      <c r="X932" s="9">
        <f>IF(ORIG!X932=0,"",ORIG!X932)</f>
        <v/>
      </c>
      <c r="Y932" s="9">
        <f>IF(ORIG!Y932=0,"",ORIG!Y932)</f>
        <v/>
      </c>
      <c r="Z932" s="3">
        <f>SUMPRODUCT($B932:$Y932,$B$2649:$Y$2649)</f>
        <v/>
      </c>
      <c r="AA932" s="3">
        <f>SUMPRODUCT($B932:$Y932,$B$2655:$Y$2655)</f>
        <v/>
      </c>
      <c r="AC932" s="1">
        <f>A932</f>
        <v/>
      </c>
      <c r="AD932">
        <f>IF(ISNUMBER(V932),V932*($AB$1/V$2635),"")</f>
        <v/>
      </c>
      <c r="AE932">
        <f>IF(ISNUMBER(Z932),Z932*($AB$1/Z$2635),"")</f>
        <v/>
      </c>
      <c r="AF932" s="25">
        <f>IF(ISNUMBER(AD932+AE932),AD932+AE932,"")</f>
        <v/>
      </c>
      <c r="AH932" s="1">
        <f>A932</f>
        <v/>
      </c>
      <c r="AI932">
        <f>IF(ISNUMBER((1+V932)*AI931),(1+V932)*AI931,AI931)</f>
        <v/>
      </c>
      <c r="AJ932">
        <f>IF(ISNUMBER((1+Z932)*AJ931),(1+Z932)*AJ931,AJ931)</f>
        <v/>
      </c>
    </row>
    <row r="933">
      <c r="A933" s="1" t="n">
        <v>43356</v>
      </c>
      <c r="B933" s="3">
        <f>IF(ORIG!B933=0,"",ORIG!B933)</f>
        <v/>
      </c>
      <c r="C933" s="3">
        <f>IF(ORIG!C933=0,"",ORIG!C933)</f>
        <v/>
      </c>
      <c r="D933" s="3">
        <f>IF(ORIG!D933=0,"",ORIG!D933)</f>
        <v/>
      </c>
      <c r="E933" s="3">
        <f>IF(ORIG!E933=0,"",ORIG!E933)</f>
        <v/>
      </c>
      <c r="F933" s="3">
        <f>IF(ORIG!F933=0,"",ORIG!F933)</f>
        <v/>
      </c>
      <c r="G933" s="3">
        <f>IF(ORIG!G933=0,"",ORIG!G933)</f>
        <v/>
      </c>
      <c r="H933" s="3">
        <f>IF(ORIG!H933=0,"",ORIG!H933)</f>
        <v/>
      </c>
      <c r="I933" s="3">
        <f>IF(ORIG!I933=0,"",ORIG!I933)</f>
        <v/>
      </c>
      <c r="J933" s="3">
        <f>IF(ORIG!J933=0,"",ORIG!J933)</f>
        <v/>
      </c>
      <c r="K933" s="3">
        <f>IF(ORIG!K933=0,"",ORIG!K933)</f>
        <v/>
      </c>
      <c r="L933" s="3">
        <f>IF(ORIG!L933=0,"",ORIG!L933)</f>
        <v/>
      </c>
      <c r="M933" s="3">
        <f>IF(ORIG!M933=0,"",ORIG!M933)</f>
        <v/>
      </c>
      <c r="N933" s="3">
        <f>IF(ORIG!N933=0,"",ORIG!N933)</f>
        <v/>
      </c>
      <c r="O933" s="3">
        <f>IF(ORIG!O933=0,"",ORIG!O933)</f>
        <v/>
      </c>
      <c r="P933" s="3">
        <f>IF(ORIG!P933=0,"",ORIG!P933)</f>
        <v/>
      </c>
      <c r="Q933" s="3">
        <f>IF(ORIG!Q933=0,"",ORIG!Q933)</f>
        <v/>
      </c>
      <c r="R933" s="3">
        <f>IF(ORIG!R933=0,"",ORIG!R933)</f>
        <v/>
      </c>
      <c r="S933" s="3">
        <f>IF(ORIG!S933=0,"",ORIG!S933)</f>
        <v/>
      </c>
      <c r="T933" s="3">
        <f>IF(ORIG!T933=0,"",ORIG!T933)</f>
        <v/>
      </c>
      <c r="U933" s="3">
        <f>IF(ORIG!U933=0,"",ORIG!U933)</f>
        <v/>
      </c>
      <c r="V933" s="9">
        <f>IF(ORIG!V933=0,"",ORIG!V933)</f>
        <v/>
      </c>
      <c r="W933" s="9">
        <f>IF(ORIG!W933=0,"",ORIG!W933)</f>
        <v/>
      </c>
      <c r="X933" s="9">
        <f>IF(ORIG!X933=0,"",ORIG!X933)</f>
        <v/>
      </c>
      <c r="Y933" s="9">
        <f>IF(ORIG!Y933=0,"",ORIG!Y933)</f>
        <v/>
      </c>
      <c r="Z933" s="3">
        <f>SUMPRODUCT($B933:$Y933,$B$2649:$Y$2649)</f>
        <v/>
      </c>
      <c r="AA933" s="3">
        <f>SUMPRODUCT($B933:$Y933,$B$2655:$Y$2655)</f>
        <v/>
      </c>
      <c r="AC933" s="1">
        <f>A933</f>
        <v/>
      </c>
      <c r="AD933">
        <f>IF(ISNUMBER(V933),V933*($AB$1/V$2635),"")</f>
        <v/>
      </c>
      <c r="AE933">
        <f>IF(ISNUMBER(Z933),Z933*($AB$1/Z$2635),"")</f>
        <v/>
      </c>
      <c r="AF933" s="25">
        <f>IF(ISNUMBER(AD933+AE933),AD933+AE933,"")</f>
        <v/>
      </c>
      <c r="AH933" s="1">
        <f>A933</f>
        <v/>
      </c>
      <c r="AI933">
        <f>IF(ISNUMBER((1+V933)*AI932),(1+V933)*AI932,AI932)</f>
        <v/>
      </c>
      <c r="AJ933">
        <f>IF(ISNUMBER((1+Z933)*AJ932),(1+Z933)*AJ932,AJ932)</f>
        <v/>
      </c>
    </row>
    <row r="934">
      <c r="A934" s="1" t="n">
        <v>43357</v>
      </c>
      <c r="B934" s="3">
        <f>IF(ORIG!B934=0,"",ORIG!B934)</f>
        <v/>
      </c>
      <c r="C934" s="3">
        <f>IF(ORIG!C934=0,"",ORIG!C934)</f>
        <v/>
      </c>
      <c r="D934" s="3">
        <f>IF(ORIG!D934=0,"",ORIG!D934)</f>
        <v/>
      </c>
      <c r="E934" s="3">
        <f>IF(ORIG!E934=0,"",ORIG!E934)</f>
        <v/>
      </c>
      <c r="F934" s="3">
        <f>IF(ORIG!F934=0,"",ORIG!F934)</f>
        <v/>
      </c>
      <c r="G934" s="3">
        <f>IF(ORIG!G934=0,"",ORIG!G934)</f>
        <v/>
      </c>
      <c r="H934" s="3">
        <f>IF(ORIG!H934=0,"",ORIG!H934)</f>
        <v/>
      </c>
      <c r="I934" s="3">
        <f>IF(ORIG!I934=0,"",ORIG!I934)</f>
        <v/>
      </c>
      <c r="J934" s="3">
        <f>IF(ORIG!J934=0,"",ORIG!J934)</f>
        <v/>
      </c>
      <c r="K934" s="3">
        <f>IF(ORIG!K934=0,"",ORIG!K934)</f>
        <v/>
      </c>
      <c r="L934" s="3">
        <f>IF(ORIG!L934=0,"",ORIG!L934)</f>
        <v/>
      </c>
      <c r="M934" s="3">
        <f>IF(ORIG!M934=0,"",ORIG!M934)</f>
        <v/>
      </c>
      <c r="N934" s="3">
        <f>IF(ORIG!N934=0,"",ORIG!N934)</f>
        <v/>
      </c>
      <c r="O934" s="3">
        <f>IF(ORIG!O934=0,"",ORIG!O934)</f>
        <v/>
      </c>
      <c r="P934" s="3">
        <f>IF(ORIG!P934=0,"",ORIG!P934)</f>
        <v/>
      </c>
      <c r="Q934" s="3">
        <f>IF(ORIG!Q934=0,"",ORIG!Q934)</f>
        <v/>
      </c>
      <c r="R934" s="3">
        <f>IF(ORIG!R934=0,"",ORIG!R934)</f>
        <v/>
      </c>
      <c r="S934" s="3">
        <f>IF(ORIG!S934=0,"",ORIG!S934)</f>
        <v/>
      </c>
      <c r="T934" s="3">
        <f>IF(ORIG!T934=0,"",ORIG!T934)</f>
        <v/>
      </c>
      <c r="U934" s="3">
        <f>IF(ORIG!U934=0,"",ORIG!U934)</f>
        <v/>
      </c>
      <c r="V934" s="9">
        <f>IF(ORIG!V934=0,"",ORIG!V934)</f>
        <v/>
      </c>
      <c r="W934" s="9">
        <f>IF(ORIG!W934=0,"",ORIG!W934)</f>
        <v/>
      </c>
      <c r="X934" s="9">
        <f>IF(ORIG!X934=0,"",ORIG!X934)</f>
        <v/>
      </c>
      <c r="Y934" s="9">
        <f>IF(ORIG!Y934=0,"",ORIG!Y934)</f>
        <v/>
      </c>
      <c r="Z934" s="3">
        <f>SUMPRODUCT($B934:$Y934,$B$2649:$Y$2649)</f>
        <v/>
      </c>
      <c r="AA934" s="3">
        <f>SUMPRODUCT($B934:$Y934,$B$2655:$Y$2655)</f>
        <v/>
      </c>
      <c r="AC934" s="1">
        <f>A934</f>
        <v/>
      </c>
      <c r="AD934">
        <f>IF(ISNUMBER(V934),V934*($AB$1/V$2635),"")</f>
        <v/>
      </c>
      <c r="AE934">
        <f>IF(ISNUMBER(Z934),Z934*($AB$1/Z$2635),"")</f>
        <v/>
      </c>
      <c r="AF934" s="25">
        <f>IF(ISNUMBER(AD934+AE934),AD934+AE934,"")</f>
        <v/>
      </c>
      <c r="AH934" s="1">
        <f>A934</f>
        <v/>
      </c>
      <c r="AI934">
        <f>IF(ISNUMBER((1+V934)*AI933),(1+V934)*AI933,AI933)</f>
        <v/>
      </c>
      <c r="AJ934">
        <f>IF(ISNUMBER((1+Z934)*AJ933),(1+Z934)*AJ933,AJ933)</f>
        <v/>
      </c>
    </row>
    <row r="935">
      <c r="A935" s="1" t="n">
        <v>43360</v>
      </c>
      <c r="B935" s="3">
        <f>IF(ORIG!B935=0,"",ORIG!B935)</f>
        <v/>
      </c>
      <c r="C935" s="3">
        <f>IF(ORIG!C935=0,"",ORIG!C935)</f>
        <v/>
      </c>
      <c r="D935" s="3">
        <f>IF(ORIG!D935=0,"",ORIG!D935)</f>
        <v/>
      </c>
      <c r="E935" s="3">
        <f>IF(ORIG!E935=0,"",ORIG!E935)</f>
        <v/>
      </c>
      <c r="F935" s="3">
        <f>IF(ORIG!F935=0,"",ORIG!F935)</f>
        <v/>
      </c>
      <c r="G935" s="3">
        <f>IF(ORIG!G935=0,"",ORIG!G935)</f>
        <v/>
      </c>
      <c r="H935" s="3">
        <f>IF(ORIG!H935=0,"",ORIG!H935)</f>
        <v/>
      </c>
      <c r="I935" s="3">
        <f>IF(ORIG!I935=0,"",ORIG!I935)</f>
        <v/>
      </c>
      <c r="J935" s="3">
        <f>IF(ORIG!J935=0,"",ORIG!J935)</f>
        <v/>
      </c>
      <c r="K935" s="3">
        <f>IF(ORIG!K935=0,"",ORIG!K935)</f>
        <v/>
      </c>
      <c r="L935" s="3">
        <f>IF(ORIG!L935=0,"",ORIG!L935)</f>
        <v/>
      </c>
      <c r="M935" s="3">
        <f>IF(ORIG!M935=0,"",ORIG!M935)</f>
        <v/>
      </c>
      <c r="N935" s="3">
        <f>IF(ORIG!N935=0,"",ORIG!N935)</f>
        <v/>
      </c>
      <c r="O935" s="3">
        <f>IF(ORIG!O935=0,"",ORIG!O935)</f>
        <v/>
      </c>
      <c r="P935" s="3">
        <f>IF(ORIG!P935=0,"",ORIG!P935)</f>
        <v/>
      </c>
      <c r="Q935" s="3">
        <f>IF(ORIG!Q935=0,"",ORIG!Q935)</f>
        <v/>
      </c>
      <c r="R935" s="3">
        <f>IF(ORIG!R935=0,"",ORIG!R935)</f>
        <v/>
      </c>
      <c r="S935" s="3">
        <f>IF(ORIG!S935=0,"",ORIG!S935)</f>
        <v/>
      </c>
      <c r="T935" s="3">
        <f>IF(ORIG!T935=0,"",ORIG!T935)</f>
        <v/>
      </c>
      <c r="U935" s="3">
        <f>IF(ORIG!U935=0,"",ORIG!U935)</f>
        <v/>
      </c>
      <c r="V935" s="9">
        <f>IF(ORIG!V935=0,"",ORIG!V935)</f>
        <v/>
      </c>
      <c r="W935" s="9">
        <f>IF(ORIG!W935=0,"",ORIG!W935)</f>
        <v/>
      </c>
      <c r="X935" s="9">
        <f>IF(ORIG!X935=0,"",ORIG!X935)</f>
        <v/>
      </c>
      <c r="Y935" s="9">
        <f>IF(ORIG!Y935=0,"",ORIG!Y935)</f>
        <v/>
      </c>
      <c r="Z935" s="3">
        <f>SUMPRODUCT($B935:$Y935,$B$2649:$Y$2649)</f>
        <v/>
      </c>
      <c r="AA935" s="3">
        <f>SUMPRODUCT($B935:$Y935,$B$2655:$Y$2655)</f>
        <v/>
      </c>
      <c r="AC935" s="1">
        <f>A935</f>
        <v/>
      </c>
      <c r="AD935">
        <f>IF(ISNUMBER(V935),V935*($AB$1/V$2635),"")</f>
        <v/>
      </c>
      <c r="AE935">
        <f>IF(ISNUMBER(Z935),Z935*($AB$1/Z$2635),"")</f>
        <v/>
      </c>
      <c r="AF935" s="25">
        <f>IF(ISNUMBER(AD935+AE935),AD935+AE935,"")</f>
        <v/>
      </c>
      <c r="AH935" s="1">
        <f>A935</f>
        <v/>
      </c>
      <c r="AI935">
        <f>IF(ISNUMBER((1+V935)*AI934),(1+V935)*AI934,AI934)</f>
        <v/>
      </c>
      <c r="AJ935">
        <f>IF(ISNUMBER((1+Z935)*AJ934),(1+Z935)*AJ934,AJ934)</f>
        <v/>
      </c>
    </row>
    <row r="936">
      <c r="A936" s="1" t="n">
        <v>43361</v>
      </c>
      <c r="B936" s="3">
        <f>IF(ORIG!B936=0,"",ORIG!B936)</f>
        <v/>
      </c>
      <c r="C936" s="3">
        <f>IF(ORIG!C936=0,"",ORIG!C936)</f>
        <v/>
      </c>
      <c r="D936" s="3">
        <f>IF(ORIG!D936=0,"",ORIG!D936)</f>
        <v/>
      </c>
      <c r="E936" s="3">
        <f>IF(ORIG!E936=0,"",ORIG!E936)</f>
        <v/>
      </c>
      <c r="F936" s="3">
        <f>IF(ORIG!F936=0,"",ORIG!F936)</f>
        <v/>
      </c>
      <c r="G936" s="3">
        <f>IF(ORIG!G936=0,"",ORIG!G936)</f>
        <v/>
      </c>
      <c r="H936" s="3">
        <f>IF(ORIG!H936=0,"",ORIG!H936)</f>
        <v/>
      </c>
      <c r="I936" s="3">
        <f>IF(ORIG!I936=0,"",ORIG!I936)</f>
        <v/>
      </c>
      <c r="J936" s="3">
        <f>IF(ORIG!J936=0,"",ORIG!J936)</f>
        <v/>
      </c>
      <c r="K936" s="3">
        <f>IF(ORIG!K936=0,"",ORIG!K936)</f>
        <v/>
      </c>
      <c r="L936" s="3">
        <f>IF(ORIG!L936=0,"",ORIG!L936)</f>
        <v/>
      </c>
      <c r="M936" s="3">
        <f>IF(ORIG!M936=0,"",ORIG!M936)</f>
        <v/>
      </c>
      <c r="N936" s="3">
        <f>IF(ORIG!N936=0,"",ORIG!N936)</f>
        <v/>
      </c>
      <c r="O936" s="3">
        <f>IF(ORIG!O936=0,"",ORIG!O936)</f>
        <v/>
      </c>
      <c r="P936" s="3">
        <f>IF(ORIG!P936=0,"",ORIG!P936)</f>
        <v/>
      </c>
      <c r="Q936" s="3">
        <f>IF(ORIG!Q936=0,"",ORIG!Q936)</f>
        <v/>
      </c>
      <c r="R936" s="3">
        <f>IF(ORIG!R936=0,"",ORIG!R936)</f>
        <v/>
      </c>
      <c r="S936" s="3">
        <f>IF(ORIG!S936=0,"",ORIG!S936)</f>
        <v/>
      </c>
      <c r="T936" s="3">
        <f>IF(ORIG!T936=0,"",ORIG!T936)</f>
        <v/>
      </c>
      <c r="U936" s="3">
        <f>IF(ORIG!U936=0,"",ORIG!U936)</f>
        <v/>
      </c>
      <c r="V936" s="9">
        <f>IF(ORIG!V936=0,"",ORIG!V936)</f>
        <v/>
      </c>
      <c r="W936" s="9">
        <f>IF(ORIG!W936=0,"",ORIG!W936)</f>
        <v/>
      </c>
      <c r="X936" s="9">
        <f>IF(ORIG!X936=0,"",ORIG!X936)</f>
        <v/>
      </c>
      <c r="Y936" s="9">
        <f>IF(ORIG!Y936=0,"",ORIG!Y936)</f>
        <v/>
      </c>
      <c r="Z936" s="3">
        <f>SUMPRODUCT($B936:$Y936,$B$2649:$Y$2649)</f>
        <v/>
      </c>
      <c r="AA936" s="3">
        <f>SUMPRODUCT($B936:$Y936,$B$2655:$Y$2655)</f>
        <v/>
      </c>
      <c r="AC936" s="1">
        <f>A936</f>
        <v/>
      </c>
      <c r="AD936">
        <f>IF(ISNUMBER(V936),V936*($AB$1/V$2635),"")</f>
        <v/>
      </c>
      <c r="AE936">
        <f>IF(ISNUMBER(Z936),Z936*($AB$1/Z$2635),"")</f>
        <v/>
      </c>
      <c r="AF936" s="25">
        <f>IF(ISNUMBER(AD936+AE936),AD936+AE936,"")</f>
        <v/>
      </c>
      <c r="AH936" s="1">
        <f>A936</f>
        <v/>
      </c>
      <c r="AI936">
        <f>IF(ISNUMBER((1+V936)*AI935),(1+V936)*AI935,AI935)</f>
        <v/>
      </c>
      <c r="AJ936">
        <f>IF(ISNUMBER((1+Z936)*AJ935),(1+Z936)*AJ935,AJ935)</f>
        <v/>
      </c>
    </row>
    <row r="937">
      <c r="A937" s="1" t="n">
        <v>43362</v>
      </c>
      <c r="B937" s="3">
        <f>IF(ORIG!B937=0,"",ORIG!B937)</f>
        <v/>
      </c>
      <c r="C937" s="3">
        <f>IF(ORIG!C937=0,"",ORIG!C937)</f>
        <v/>
      </c>
      <c r="D937" s="3">
        <f>IF(ORIG!D937=0,"",ORIG!D937)</f>
        <v/>
      </c>
      <c r="E937" s="3">
        <f>IF(ORIG!E937=0,"",ORIG!E937)</f>
        <v/>
      </c>
      <c r="F937" s="3">
        <f>IF(ORIG!F937=0,"",ORIG!F937)</f>
        <v/>
      </c>
      <c r="G937" s="3">
        <f>IF(ORIG!G937=0,"",ORIG!G937)</f>
        <v/>
      </c>
      <c r="H937" s="3">
        <f>IF(ORIG!H937=0,"",ORIG!H937)</f>
        <v/>
      </c>
      <c r="I937" s="3">
        <f>IF(ORIG!I937=0,"",ORIG!I937)</f>
        <v/>
      </c>
      <c r="J937" s="3">
        <f>IF(ORIG!J937=0,"",ORIG!J937)</f>
        <v/>
      </c>
      <c r="K937" s="3">
        <f>IF(ORIG!K937=0,"",ORIG!K937)</f>
        <v/>
      </c>
      <c r="L937" s="3">
        <f>IF(ORIG!L937=0,"",ORIG!L937)</f>
        <v/>
      </c>
      <c r="M937" s="3">
        <f>IF(ORIG!M937=0,"",ORIG!M937)</f>
        <v/>
      </c>
      <c r="N937" s="3">
        <f>IF(ORIG!N937=0,"",ORIG!N937)</f>
        <v/>
      </c>
      <c r="O937" s="3">
        <f>IF(ORIG!O937=0,"",ORIG!O937)</f>
        <v/>
      </c>
      <c r="P937" s="3">
        <f>IF(ORIG!P937=0,"",ORIG!P937)</f>
        <v/>
      </c>
      <c r="Q937" s="3">
        <f>IF(ORIG!Q937=0,"",ORIG!Q937)</f>
        <v/>
      </c>
      <c r="R937" s="3">
        <f>IF(ORIG!R937=0,"",ORIG!R937)</f>
        <v/>
      </c>
      <c r="S937" s="3">
        <f>IF(ORIG!S937=0,"",ORIG!S937)</f>
        <v/>
      </c>
      <c r="T937" s="3">
        <f>IF(ORIG!T937=0,"",ORIG!T937)</f>
        <v/>
      </c>
      <c r="U937" s="3">
        <f>IF(ORIG!U937=0,"",ORIG!U937)</f>
        <v/>
      </c>
      <c r="V937" s="9">
        <f>IF(ORIG!V937=0,"",ORIG!V937)</f>
        <v/>
      </c>
      <c r="W937" s="9">
        <f>IF(ORIG!W937=0,"",ORIG!W937)</f>
        <v/>
      </c>
      <c r="X937" s="9">
        <f>IF(ORIG!X937=0,"",ORIG!X937)</f>
        <v/>
      </c>
      <c r="Y937" s="9">
        <f>IF(ORIG!Y937=0,"",ORIG!Y937)</f>
        <v/>
      </c>
      <c r="Z937" s="3">
        <f>SUMPRODUCT($B937:$Y937,$B$2649:$Y$2649)</f>
        <v/>
      </c>
      <c r="AA937" s="3">
        <f>SUMPRODUCT($B937:$Y937,$B$2655:$Y$2655)</f>
        <v/>
      </c>
      <c r="AC937" s="1">
        <f>A937</f>
        <v/>
      </c>
      <c r="AD937">
        <f>IF(ISNUMBER(V937),V937*($AB$1/V$2635),"")</f>
        <v/>
      </c>
      <c r="AE937">
        <f>IF(ISNUMBER(Z937),Z937*($AB$1/Z$2635),"")</f>
        <v/>
      </c>
      <c r="AF937" s="25">
        <f>IF(ISNUMBER(AD937+AE937),AD937+AE937,"")</f>
        <v/>
      </c>
      <c r="AH937" s="1">
        <f>A937</f>
        <v/>
      </c>
      <c r="AI937">
        <f>IF(ISNUMBER((1+V937)*AI936),(1+V937)*AI936,AI936)</f>
        <v/>
      </c>
      <c r="AJ937">
        <f>IF(ISNUMBER((1+Z937)*AJ936),(1+Z937)*AJ936,AJ936)</f>
        <v/>
      </c>
    </row>
    <row r="938">
      <c r="A938" s="1" t="n">
        <v>43363</v>
      </c>
      <c r="B938" s="3">
        <f>IF(ORIG!B938=0,"",ORIG!B938)</f>
        <v/>
      </c>
      <c r="C938" s="3">
        <f>IF(ORIG!C938=0,"",ORIG!C938)</f>
        <v/>
      </c>
      <c r="D938" s="3">
        <f>IF(ORIG!D938=0,"",ORIG!D938)</f>
        <v/>
      </c>
      <c r="E938" s="3">
        <f>IF(ORIG!E938=0,"",ORIG!E938)</f>
        <v/>
      </c>
      <c r="F938" s="3">
        <f>IF(ORIG!F938=0,"",ORIG!F938)</f>
        <v/>
      </c>
      <c r="G938" s="3">
        <f>IF(ORIG!G938=0,"",ORIG!G938)</f>
        <v/>
      </c>
      <c r="H938" s="3">
        <f>IF(ORIG!H938=0,"",ORIG!H938)</f>
        <v/>
      </c>
      <c r="I938" s="3">
        <f>IF(ORIG!I938=0,"",ORIG!I938)</f>
        <v/>
      </c>
      <c r="J938" s="3">
        <f>IF(ORIG!J938=0,"",ORIG!J938)</f>
        <v/>
      </c>
      <c r="K938" s="3">
        <f>IF(ORIG!K938=0,"",ORIG!K938)</f>
        <v/>
      </c>
      <c r="L938" s="3">
        <f>IF(ORIG!L938=0,"",ORIG!L938)</f>
        <v/>
      </c>
      <c r="M938" s="3">
        <f>IF(ORIG!M938=0,"",ORIG!M938)</f>
        <v/>
      </c>
      <c r="N938" s="3">
        <f>IF(ORIG!N938=0,"",ORIG!N938)</f>
        <v/>
      </c>
      <c r="O938" s="3">
        <f>IF(ORIG!O938=0,"",ORIG!O938)</f>
        <v/>
      </c>
      <c r="P938" s="3">
        <f>IF(ORIG!P938=0,"",ORIG!P938)</f>
        <v/>
      </c>
      <c r="Q938" s="3">
        <f>IF(ORIG!Q938=0,"",ORIG!Q938)</f>
        <v/>
      </c>
      <c r="R938" s="3">
        <f>IF(ORIG!R938=0,"",ORIG!R938)</f>
        <v/>
      </c>
      <c r="S938" s="3">
        <f>IF(ORIG!S938=0,"",ORIG!S938)</f>
        <v/>
      </c>
      <c r="T938" s="3">
        <f>IF(ORIG!T938=0,"",ORIG!T938)</f>
        <v/>
      </c>
      <c r="U938" s="3">
        <f>IF(ORIG!U938=0,"",ORIG!U938)</f>
        <v/>
      </c>
      <c r="V938" s="9">
        <f>IF(ORIG!V938=0,"",ORIG!V938)</f>
        <v/>
      </c>
      <c r="W938" s="9">
        <f>IF(ORIG!W938=0,"",ORIG!W938)</f>
        <v/>
      </c>
      <c r="X938" s="9">
        <f>IF(ORIG!X938=0,"",ORIG!X938)</f>
        <v/>
      </c>
      <c r="Y938" s="9">
        <f>IF(ORIG!Y938=0,"",ORIG!Y938)</f>
        <v/>
      </c>
      <c r="Z938" s="3">
        <f>SUMPRODUCT($B938:$Y938,$B$2649:$Y$2649)</f>
        <v/>
      </c>
      <c r="AA938" s="3">
        <f>SUMPRODUCT($B938:$Y938,$B$2655:$Y$2655)</f>
        <v/>
      </c>
      <c r="AC938" s="1">
        <f>A938</f>
        <v/>
      </c>
      <c r="AD938">
        <f>IF(ISNUMBER(V938),V938*($AB$1/V$2635),"")</f>
        <v/>
      </c>
      <c r="AE938">
        <f>IF(ISNUMBER(Z938),Z938*($AB$1/Z$2635),"")</f>
        <v/>
      </c>
      <c r="AF938" s="25">
        <f>IF(ISNUMBER(AD938+AE938),AD938+AE938,"")</f>
        <v/>
      </c>
      <c r="AH938" s="1">
        <f>A938</f>
        <v/>
      </c>
      <c r="AI938">
        <f>IF(ISNUMBER((1+V938)*AI937),(1+V938)*AI937,AI937)</f>
        <v/>
      </c>
      <c r="AJ938">
        <f>IF(ISNUMBER((1+Z938)*AJ937),(1+Z938)*AJ937,AJ937)</f>
        <v/>
      </c>
    </row>
    <row r="939">
      <c r="A939" s="1" t="n">
        <v>43364</v>
      </c>
      <c r="B939" s="3">
        <f>IF(ORIG!B939=0,"",ORIG!B939)</f>
        <v/>
      </c>
      <c r="C939" s="3">
        <f>IF(ORIG!C939=0,"",ORIG!C939)</f>
        <v/>
      </c>
      <c r="D939" s="3">
        <f>IF(ORIG!D939=0,"",ORIG!D939)</f>
        <v/>
      </c>
      <c r="E939" s="3">
        <f>IF(ORIG!E939=0,"",ORIG!E939)</f>
        <v/>
      </c>
      <c r="F939" s="3">
        <f>IF(ORIG!F939=0,"",ORIG!F939)</f>
        <v/>
      </c>
      <c r="G939" s="3">
        <f>IF(ORIG!G939=0,"",ORIG!G939)</f>
        <v/>
      </c>
      <c r="H939" s="3">
        <f>IF(ORIG!H939=0,"",ORIG!H939)</f>
        <v/>
      </c>
      <c r="I939" s="3">
        <f>IF(ORIG!I939=0,"",ORIG!I939)</f>
        <v/>
      </c>
      <c r="J939" s="3">
        <f>IF(ORIG!J939=0,"",ORIG!J939)</f>
        <v/>
      </c>
      <c r="K939" s="3">
        <f>IF(ORIG!K939=0,"",ORIG!K939)</f>
        <v/>
      </c>
      <c r="L939" s="3">
        <f>IF(ORIG!L939=0,"",ORIG!L939)</f>
        <v/>
      </c>
      <c r="M939" s="3">
        <f>IF(ORIG!M939=0,"",ORIG!M939)</f>
        <v/>
      </c>
      <c r="N939" s="3">
        <f>IF(ORIG!N939=0,"",ORIG!N939)</f>
        <v/>
      </c>
      <c r="O939" s="3">
        <f>IF(ORIG!O939=0,"",ORIG!O939)</f>
        <v/>
      </c>
      <c r="P939" s="3">
        <f>IF(ORIG!P939=0,"",ORIG!P939)</f>
        <v/>
      </c>
      <c r="Q939" s="3">
        <f>IF(ORIG!Q939=0,"",ORIG!Q939)</f>
        <v/>
      </c>
      <c r="R939" s="3">
        <f>IF(ORIG!R939=0,"",ORIG!R939)</f>
        <v/>
      </c>
      <c r="S939" s="3">
        <f>IF(ORIG!S939=0,"",ORIG!S939)</f>
        <v/>
      </c>
      <c r="T939" s="3">
        <f>IF(ORIG!T939=0,"",ORIG!T939)</f>
        <v/>
      </c>
      <c r="U939" s="3">
        <f>IF(ORIG!U939=0,"",ORIG!U939)</f>
        <v/>
      </c>
      <c r="V939" s="9">
        <f>IF(ORIG!V939=0,"",ORIG!V939)</f>
        <v/>
      </c>
      <c r="W939" s="9">
        <f>IF(ORIG!W939=0,"",ORIG!W939)</f>
        <v/>
      </c>
      <c r="X939" s="9">
        <f>IF(ORIG!X939=0,"",ORIG!X939)</f>
        <v/>
      </c>
      <c r="Y939" s="9">
        <f>IF(ORIG!Y939=0,"",ORIG!Y939)</f>
        <v/>
      </c>
      <c r="Z939" s="3">
        <f>SUMPRODUCT($B939:$Y939,$B$2649:$Y$2649)</f>
        <v/>
      </c>
      <c r="AA939" s="3">
        <f>SUMPRODUCT($B939:$Y939,$B$2655:$Y$2655)</f>
        <v/>
      </c>
      <c r="AC939" s="1">
        <f>A939</f>
        <v/>
      </c>
      <c r="AD939">
        <f>IF(ISNUMBER(V939),V939*($AB$1/V$2635),"")</f>
        <v/>
      </c>
      <c r="AE939">
        <f>IF(ISNUMBER(Z939),Z939*($AB$1/Z$2635),"")</f>
        <v/>
      </c>
      <c r="AF939" s="25">
        <f>IF(ISNUMBER(AD939+AE939),AD939+AE939,"")</f>
        <v/>
      </c>
      <c r="AH939" s="1">
        <f>A939</f>
        <v/>
      </c>
      <c r="AI939">
        <f>IF(ISNUMBER((1+V939)*AI938),(1+V939)*AI938,AI938)</f>
        <v/>
      </c>
      <c r="AJ939">
        <f>IF(ISNUMBER((1+Z939)*AJ938),(1+Z939)*AJ938,AJ938)</f>
        <v/>
      </c>
    </row>
    <row r="940">
      <c r="A940" s="1" t="n">
        <v>43367</v>
      </c>
      <c r="B940" s="3">
        <f>IF(ORIG!B940=0,"",ORIG!B940)</f>
        <v/>
      </c>
      <c r="C940" s="3">
        <f>IF(ORIG!C940=0,"",ORIG!C940)</f>
        <v/>
      </c>
      <c r="D940" s="3">
        <f>IF(ORIG!D940=0,"",ORIG!D940)</f>
        <v/>
      </c>
      <c r="E940" s="3">
        <f>IF(ORIG!E940=0,"",ORIG!E940)</f>
        <v/>
      </c>
      <c r="F940" s="3">
        <f>IF(ORIG!F940=0,"",ORIG!F940)</f>
        <v/>
      </c>
      <c r="G940" s="3">
        <f>IF(ORIG!G940=0,"",ORIG!G940)</f>
        <v/>
      </c>
      <c r="H940" s="3">
        <f>IF(ORIG!H940=0,"",ORIG!H940)</f>
        <v/>
      </c>
      <c r="I940" s="3">
        <f>IF(ORIG!I940=0,"",ORIG!I940)</f>
        <v/>
      </c>
      <c r="J940" s="3">
        <f>IF(ORIG!J940=0,"",ORIG!J940)</f>
        <v/>
      </c>
      <c r="K940" s="3">
        <f>IF(ORIG!K940=0,"",ORIG!K940)</f>
        <v/>
      </c>
      <c r="L940" s="3">
        <f>IF(ORIG!L940=0,"",ORIG!L940)</f>
        <v/>
      </c>
      <c r="M940" s="3">
        <f>IF(ORIG!M940=0,"",ORIG!M940)</f>
        <v/>
      </c>
      <c r="N940" s="3">
        <f>IF(ORIG!N940=0,"",ORIG!N940)</f>
        <v/>
      </c>
      <c r="O940" s="3">
        <f>IF(ORIG!O940=0,"",ORIG!O940)</f>
        <v/>
      </c>
      <c r="P940" s="3">
        <f>IF(ORIG!P940=0,"",ORIG!P940)</f>
        <v/>
      </c>
      <c r="Q940" s="3">
        <f>IF(ORIG!Q940=0,"",ORIG!Q940)</f>
        <v/>
      </c>
      <c r="R940" s="3">
        <f>IF(ORIG!R940=0,"",ORIG!R940)</f>
        <v/>
      </c>
      <c r="S940" s="3">
        <f>IF(ORIG!S940=0,"",ORIG!S940)</f>
        <v/>
      </c>
      <c r="T940" s="3">
        <f>IF(ORIG!T940=0,"",ORIG!T940)</f>
        <v/>
      </c>
      <c r="U940" s="3">
        <f>IF(ORIG!U940=0,"",ORIG!U940)</f>
        <v/>
      </c>
      <c r="V940" s="9">
        <f>IF(ORIG!V940=0,"",ORIG!V940)</f>
        <v/>
      </c>
      <c r="W940" s="9">
        <f>IF(ORIG!W940=0,"",ORIG!W940)</f>
        <v/>
      </c>
      <c r="X940" s="9">
        <f>IF(ORIG!X940=0,"",ORIG!X940)</f>
        <v/>
      </c>
      <c r="Y940" s="9">
        <f>IF(ORIG!Y940=0,"",ORIG!Y940)</f>
        <v/>
      </c>
      <c r="Z940" s="3">
        <f>SUMPRODUCT($B940:$Y940,$B$2649:$Y$2649)</f>
        <v/>
      </c>
      <c r="AA940" s="3">
        <f>SUMPRODUCT($B940:$Y940,$B$2655:$Y$2655)</f>
        <v/>
      </c>
      <c r="AC940" s="1">
        <f>A940</f>
        <v/>
      </c>
      <c r="AD940">
        <f>IF(ISNUMBER(V940),V940*($AB$1/V$2635),"")</f>
        <v/>
      </c>
      <c r="AE940">
        <f>IF(ISNUMBER(Z940),Z940*($AB$1/Z$2635),"")</f>
        <v/>
      </c>
      <c r="AF940" s="25">
        <f>IF(ISNUMBER(AD940+AE940),AD940+AE940,"")</f>
        <v/>
      </c>
      <c r="AH940" s="1">
        <f>A940</f>
        <v/>
      </c>
      <c r="AI940">
        <f>IF(ISNUMBER((1+V940)*AI939),(1+V940)*AI939,AI939)</f>
        <v/>
      </c>
      <c r="AJ940">
        <f>IF(ISNUMBER((1+Z940)*AJ939),(1+Z940)*AJ939,AJ939)</f>
        <v/>
      </c>
    </row>
    <row r="941">
      <c r="A941" s="1" t="n">
        <v>43368</v>
      </c>
      <c r="B941" s="3">
        <f>IF(ORIG!B941=0,"",ORIG!B941)</f>
        <v/>
      </c>
      <c r="C941" s="3">
        <f>IF(ORIG!C941=0,"",ORIG!C941)</f>
        <v/>
      </c>
      <c r="D941" s="3">
        <f>IF(ORIG!D941=0,"",ORIG!D941)</f>
        <v/>
      </c>
      <c r="E941" s="3">
        <f>IF(ORIG!E941=0,"",ORIG!E941)</f>
        <v/>
      </c>
      <c r="F941" s="3">
        <f>IF(ORIG!F941=0,"",ORIG!F941)</f>
        <v/>
      </c>
      <c r="G941" s="3">
        <f>IF(ORIG!G941=0,"",ORIG!G941)</f>
        <v/>
      </c>
      <c r="H941" s="3">
        <f>IF(ORIG!H941=0,"",ORIG!H941)</f>
        <v/>
      </c>
      <c r="I941" s="3">
        <f>IF(ORIG!I941=0,"",ORIG!I941)</f>
        <v/>
      </c>
      <c r="J941" s="3">
        <f>IF(ORIG!J941=0,"",ORIG!J941)</f>
        <v/>
      </c>
      <c r="K941" s="3">
        <f>IF(ORIG!K941=0,"",ORIG!K941)</f>
        <v/>
      </c>
      <c r="L941" s="3">
        <f>IF(ORIG!L941=0,"",ORIG!L941)</f>
        <v/>
      </c>
      <c r="M941" s="3">
        <f>IF(ORIG!M941=0,"",ORIG!M941)</f>
        <v/>
      </c>
      <c r="N941" s="3">
        <f>IF(ORIG!N941=0,"",ORIG!N941)</f>
        <v/>
      </c>
      <c r="O941" s="3">
        <f>IF(ORIG!O941=0,"",ORIG!O941)</f>
        <v/>
      </c>
      <c r="P941" s="3">
        <f>IF(ORIG!P941=0,"",ORIG!P941)</f>
        <v/>
      </c>
      <c r="Q941" s="3">
        <f>IF(ORIG!Q941=0,"",ORIG!Q941)</f>
        <v/>
      </c>
      <c r="R941" s="3">
        <f>IF(ORIG!R941=0,"",ORIG!R941)</f>
        <v/>
      </c>
      <c r="S941" s="3">
        <f>IF(ORIG!S941=0,"",ORIG!S941)</f>
        <v/>
      </c>
      <c r="T941" s="3">
        <f>IF(ORIG!T941=0,"",ORIG!T941)</f>
        <v/>
      </c>
      <c r="U941" s="3">
        <f>IF(ORIG!U941=0,"",ORIG!U941)</f>
        <v/>
      </c>
      <c r="V941" s="9">
        <f>IF(ORIG!V941=0,"",ORIG!V941)</f>
        <v/>
      </c>
      <c r="W941" s="9">
        <f>IF(ORIG!W941=0,"",ORIG!W941)</f>
        <v/>
      </c>
      <c r="X941" s="9">
        <f>IF(ORIG!X941=0,"",ORIG!X941)</f>
        <v/>
      </c>
      <c r="Y941" s="9">
        <f>IF(ORIG!Y941=0,"",ORIG!Y941)</f>
        <v/>
      </c>
      <c r="Z941" s="3">
        <f>SUMPRODUCT($B941:$Y941,$B$2649:$Y$2649)</f>
        <v/>
      </c>
      <c r="AA941" s="3">
        <f>SUMPRODUCT($B941:$Y941,$B$2655:$Y$2655)</f>
        <v/>
      </c>
      <c r="AC941" s="1">
        <f>A941</f>
        <v/>
      </c>
      <c r="AD941">
        <f>IF(ISNUMBER(V941),V941*($AB$1/V$2635),"")</f>
        <v/>
      </c>
      <c r="AE941">
        <f>IF(ISNUMBER(Z941),Z941*($AB$1/Z$2635),"")</f>
        <v/>
      </c>
      <c r="AF941" s="25">
        <f>IF(ISNUMBER(AD941+AE941),AD941+AE941,"")</f>
        <v/>
      </c>
      <c r="AH941" s="1">
        <f>A941</f>
        <v/>
      </c>
      <c r="AI941">
        <f>IF(ISNUMBER((1+V941)*AI940),(1+V941)*AI940,AI940)</f>
        <v/>
      </c>
      <c r="AJ941">
        <f>IF(ISNUMBER((1+Z941)*AJ940),(1+Z941)*AJ940,AJ940)</f>
        <v/>
      </c>
    </row>
    <row r="942">
      <c r="A942" s="1" t="n">
        <v>43369</v>
      </c>
      <c r="B942" s="3">
        <f>IF(ORIG!B942=0,"",ORIG!B942)</f>
        <v/>
      </c>
      <c r="C942" s="3">
        <f>IF(ORIG!C942=0,"",ORIG!C942)</f>
        <v/>
      </c>
      <c r="D942" s="3">
        <f>IF(ORIG!D942=0,"",ORIG!D942)</f>
        <v/>
      </c>
      <c r="E942" s="3">
        <f>IF(ORIG!E942=0,"",ORIG!E942)</f>
        <v/>
      </c>
      <c r="F942" s="3">
        <f>IF(ORIG!F942=0,"",ORIG!F942)</f>
        <v/>
      </c>
      <c r="G942" s="3">
        <f>IF(ORIG!G942=0,"",ORIG!G942)</f>
        <v/>
      </c>
      <c r="H942" s="3">
        <f>IF(ORIG!H942=0,"",ORIG!H942)</f>
        <v/>
      </c>
      <c r="I942" s="3">
        <f>IF(ORIG!I942=0,"",ORIG!I942)</f>
        <v/>
      </c>
      <c r="J942" s="3">
        <f>IF(ORIG!J942=0,"",ORIG!J942)</f>
        <v/>
      </c>
      <c r="K942" s="3">
        <f>IF(ORIG!K942=0,"",ORIG!K942)</f>
        <v/>
      </c>
      <c r="L942" s="3">
        <f>IF(ORIG!L942=0,"",ORIG!L942)</f>
        <v/>
      </c>
      <c r="M942" s="3">
        <f>IF(ORIG!M942=0,"",ORIG!M942)</f>
        <v/>
      </c>
      <c r="N942" s="3">
        <f>IF(ORIG!N942=0,"",ORIG!N942)</f>
        <v/>
      </c>
      <c r="O942" s="3">
        <f>IF(ORIG!O942=0,"",ORIG!O942)</f>
        <v/>
      </c>
      <c r="P942" s="3">
        <f>IF(ORIG!P942=0,"",ORIG!P942)</f>
        <v/>
      </c>
      <c r="Q942" s="3">
        <f>IF(ORIG!Q942=0,"",ORIG!Q942)</f>
        <v/>
      </c>
      <c r="R942" s="3">
        <f>IF(ORIG!R942=0,"",ORIG!R942)</f>
        <v/>
      </c>
      <c r="S942" s="3">
        <f>IF(ORIG!S942=0,"",ORIG!S942)</f>
        <v/>
      </c>
      <c r="T942" s="3">
        <f>IF(ORIG!T942=0,"",ORIG!T942)</f>
        <v/>
      </c>
      <c r="U942" s="3">
        <f>IF(ORIG!U942=0,"",ORIG!U942)</f>
        <v/>
      </c>
      <c r="V942" s="9">
        <f>IF(ORIG!V942=0,"",ORIG!V942)</f>
        <v/>
      </c>
      <c r="W942" s="9">
        <f>IF(ORIG!W942=0,"",ORIG!W942)</f>
        <v/>
      </c>
      <c r="X942" s="9">
        <f>IF(ORIG!X942=0,"",ORIG!X942)</f>
        <v/>
      </c>
      <c r="Y942" s="9">
        <f>IF(ORIG!Y942=0,"",ORIG!Y942)</f>
        <v/>
      </c>
      <c r="Z942" s="3">
        <f>SUMPRODUCT($B942:$Y942,$B$2649:$Y$2649)</f>
        <v/>
      </c>
      <c r="AA942" s="3">
        <f>SUMPRODUCT($B942:$Y942,$B$2655:$Y$2655)</f>
        <v/>
      </c>
      <c r="AC942" s="1">
        <f>A942</f>
        <v/>
      </c>
      <c r="AD942">
        <f>IF(ISNUMBER(V942),V942*($AB$1/V$2635),"")</f>
        <v/>
      </c>
      <c r="AE942">
        <f>IF(ISNUMBER(Z942),Z942*($AB$1/Z$2635),"")</f>
        <v/>
      </c>
      <c r="AF942" s="25">
        <f>IF(ISNUMBER(AD942+AE942),AD942+AE942,"")</f>
        <v/>
      </c>
      <c r="AH942" s="1">
        <f>A942</f>
        <v/>
      </c>
      <c r="AI942">
        <f>IF(ISNUMBER((1+V942)*AI941),(1+V942)*AI941,AI941)</f>
        <v/>
      </c>
      <c r="AJ942">
        <f>IF(ISNUMBER((1+Z942)*AJ941),(1+Z942)*AJ941,AJ941)</f>
        <v/>
      </c>
    </row>
    <row r="943">
      <c r="A943" s="1" t="n">
        <v>43370</v>
      </c>
      <c r="B943" s="3">
        <f>IF(ORIG!B943=0,"",ORIG!B943)</f>
        <v/>
      </c>
      <c r="C943" s="3">
        <f>IF(ORIG!C943=0,"",ORIG!C943)</f>
        <v/>
      </c>
      <c r="D943" s="3">
        <f>IF(ORIG!D943=0,"",ORIG!D943)</f>
        <v/>
      </c>
      <c r="E943" s="3">
        <f>IF(ORIG!E943=0,"",ORIG!E943)</f>
        <v/>
      </c>
      <c r="F943" s="3">
        <f>IF(ORIG!F943=0,"",ORIG!F943)</f>
        <v/>
      </c>
      <c r="G943" s="3">
        <f>IF(ORIG!G943=0,"",ORIG!G943)</f>
        <v/>
      </c>
      <c r="H943" s="3">
        <f>IF(ORIG!H943=0,"",ORIG!H943)</f>
        <v/>
      </c>
      <c r="I943" s="3">
        <f>IF(ORIG!I943=0,"",ORIG!I943)</f>
        <v/>
      </c>
      <c r="J943" s="3">
        <f>IF(ORIG!J943=0,"",ORIG!J943)</f>
        <v/>
      </c>
      <c r="K943" s="3">
        <f>IF(ORIG!K943=0,"",ORIG!K943)</f>
        <v/>
      </c>
      <c r="L943" s="3">
        <f>IF(ORIG!L943=0,"",ORIG!L943)</f>
        <v/>
      </c>
      <c r="M943" s="3">
        <f>IF(ORIG!M943=0,"",ORIG!M943)</f>
        <v/>
      </c>
      <c r="N943" s="3">
        <f>IF(ORIG!N943=0,"",ORIG!N943)</f>
        <v/>
      </c>
      <c r="O943" s="3">
        <f>IF(ORIG!O943=0,"",ORIG!O943)</f>
        <v/>
      </c>
      <c r="P943" s="3">
        <f>IF(ORIG!P943=0,"",ORIG!P943)</f>
        <v/>
      </c>
      <c r="Q943" s="3">
        <f>IF(ORIG!Q943=0,"",ORIG!Q943)</f>
        <v/>
      </c>
      <c r="R943" s="3">
        <f>IF(ORIG!R943=0,"",ORIG!R943)</f>
        <v/>
      </c>
      <c r="S943" s="3">
        <f>IF(ORIG!S943=0,"",ORIG!S943)</f>
        <v/>
      </c>
      <c r="T943" s="3">
        <f>IF(ORIG!T943=0,"",ORIG!T943)</f>
        <v/>
      </c>
      <c r="U943" s="3">
        <f>IF(ORIG!U943=0,"",ORIG!U943)</f>
        <v/>
      </c>
      <c r="V943" s="9">
        <f>IF(ORIG!V943=0,"",ORIG!V943)</f>
        <v/>
      </c>
      <c r="W943" s="9">
        <f>IF(ORIG!W943=0,"",ORIG!W943)</f>
        <v/>
      </c>
      <c r="X943" s="9">
        <f>IF(ORIG!X943=0,"",ORIG!X943)</f>
        <v/>
      </c>
      <c r="Y943" s="9">
        <f>IF(ORIG!Y943=0,"",ORIG!Y943)</f>
        <v/>
      </c>
      <c r="Z943" s="3">
        <f>SUMPRODUCT($B943:$Y943,$B$2649:$Y$2649)</f>
        <v/>
      </c>
      <c r="AA943" s="3">
        <f>SUMPRODUCT($B943:$Y943,$B$2655:$Y$2655)</f>
        <v/>
      </c>
      <c r="AC943" s="1">
        <f>A943</f>
        <v/>
      </c>
      <c r="AD943">
        <f>IF(ISNUMBER(V943),V943*($AB$1/V$2635),"")</f>
        <v/>
      </c>
      <c r="AE943">
        <f>IF(ISNUMBER(Z943),Z943*($AB$1/Z$2635),"")</f>
        <v/>
      </c>
      <c r="AF943" s="25">
        <f>IF(ISNUMBER(AD943+AE943),AD943+AE943,"")</f>
        <v/>
      </c>
      <c r="AH943" s="1">
        <f>A943</f>
        <v/>
      </c>
      <c r="AI943">
        <f>IF(ISNUMBER((1+V943)*AI942),(1+V943)*AI942,AI942)</f>
        <v/>
      </c>
      <c r="AJ943">
        <f>IF(ISNUMBER((1+Z943)*AJ942),(1+Z943)*AJ942,AJ942)</f>
        <v/>
      </c>
    </row>
    <row r="944">
      <c r="A944" s="1" t="n">
        <v>43371</v>
      </c>
      <c r="B944" s="3">
        <f>IF(ORIG!B944=0,"",ORIG!B944)</f>
        <v/>
      </c>
      <c r="C944" s="3">
        <f>IF(ORIG!C944=0,"",ORIG!C944)</f>
        <v/>
      </c>
      <c r="D944" s="3">
        <f>IF(ORIG!D944=0,"",ORIG!D944)</f>
        <v/>
      </c>
      <c r="E944" s="3">
        <f>IF(ORIG!E944=0,"",ORIG!E944)</f>
        <v/>
      </c>
      <c r="F944" s="3">
        <f>IF(ORIG!F944=0,"",ORIG!F944)</f>
        <v/>
      </c>
      <c r="G944" s="3">
        <f>IF(ORIG!G944=0,"",ORIG!G944)</f>
        <v/>
      </c>
      <c r="H944" s="3">
        <f>IF(ORIG!H944=0,"",ORIG!H944)</f>
        <v/>
      </c>
      <c r="I944" s="3">
        <f>IF(ORIG!I944=0,"",ORIG!I944)</f>
        <v/>
      </c>
      <c r="J944" s="3">
        <f>IF(ORIG!J944=0,"",ORIG!J944)</f>
        <v/>
      </c>
      <c r="K944" s="3">
        <f>IF(ORIG!K944=0,"",ORIG!K944)</f>
        <v/>
      </c>
      <c r="L944" s="3">
        <f>IF(ORIG!L944=0,"",ORIG!L944)</f>
        <v/>
      </c>
      <c r="M944" s="3">
        <f>IF(ORIG!M944=0,"",ORIG!M944)</f>
        <v/>
      </c>
      <c r="N944" s="3">
        <f>IF(ORIG!N944=0,"",ORIG!N944)</f>
        <v/>
      </c>
      <c r="O944" s="3">
        <f>IF(ORIG!O944=0,"",ORIG!O944)</f>
        <v/>
      </c>
      <c r="P944" s="3">
        <f>IF(ORIG!P944=0,"",ORIG!P944)</f>
        <v/>
      </c>
      <c r="Q944" s="3">
        <f>IF(ORIG!Q944=0,"",ORIG!Q944)</f>
        <v/>
      </c>
      <c r="R944" s="3">
        <f>IF(ORIG!R944=0,"",ORIG!R944)</f>
        <v/>
      </c>
      <c r="S944" s="3">
        <f>IF(ORIG!S944=0,"",ORIG!S944)</f>
        <v/>
      </c>
      <c r="T944" s="3">
        <f>IF(ORIG!T944=0,"",ORIG!T944)</f>
        <v/>
      </c>
      <c r="U944" s="3">
        <f>IF(ORIG!U944=0,"",ORIG!U944)</f>
        <v/>
      </c>
      <c r="V944" s="9">
        <f>IF(ORIG!V944=0,"",ORIG!V944)</f>
        <v/>
      </c>
      <c r="W944" s="9">
        <f>IF(ORIG!W944=0,"",ORIG!W944)</f>
        <v/>
      </c>
      <c r="X944" s="9">
        <f>IF(ORIG!X944=0,"",ORIG!X944)</f>
        <v/>
      </c>
      <c r="Y944" s="9">
        <f>IF(ORIG!Y944=0,"",ORIG!Y944)</f>
        <v/>
      </c>
      <c r="Z944" s="3">
        <f>SUMPRODUCT($B944:$Y944,$B$2649:$Y$2649)</f>
        <v/>
      </c>
      <c r="AA944" s="3">
        <f>SUMPRODUCT($B944:$Y944,$B$2655:$Y$2655)</f>
        <v/>
      </c>
      <c r="AC944" s="1">
        <f>A944</f>
        <v/>
      </c>
      <c r="AD944">
        <f>IF(ISNUMBER(V944),V944*($AB$1/V$2635),"")</f>
        <v/>
      </c>
      <c r="AE944">
        <f>IF(ISNUMBER(Z944),Z944*($AB$1/Z$2635),"")</f>
        <v/>
      </c>
      <c r="AF944" s="25">
        <f>IF(ISNUMBER(AD944+AE944),AD944+AE944,"")</f>
        <v/>
      </c>
      <c r="AH944" s="1">
        <f>A944</f>
        <v/>
      </c>
      <c r="AI944">
        <f>IF(ISNUMBER((1+V944)*AI943),(1+V944)*AI943,AI943)</f>
        <v/>
      </c>
      <c r="AJ944">
        <f>IF(ISNUMBER((1+Z944)*AJ943),(1+Z944)*AJ943,AJ943)</f>
        <v/>
      </c>
    </row>
    <row r="945">
      <c r="A945" s="1" t="n">
        <v>43374</v>
      </c>
      <c r="B945" s="3">
        <f>IF(ORIG!B945=0,"",ORIG!B945)</f>
        <v/>
      </c>
      <c r="C945" s="3">
        <f>IF(ORIG!C945=0,"",ORIG!C945)</f>
        <v/>
      </c>
      <c r="D945" s="3">
        <f>IF(ORIG!D945=0,"",ORIG!D945)</f>
        <v/>
      </c>
      <c r="E945" s="3">
        <f>IF(ORIG!E945=0,"",ORIG!E945)</f>
        <v/>
      </c>
      <c r="F945" s="3">
        <f>IF(ORIG!F945=0,"",ORIG!F945)</f>
        <v/>
      </c>
      <c r="G945" s="3">
        <f>IF(ORIG!G945=0,"",ORIG!G945)</f>
        <v/>
      </c>
      <c r="H945" s="3">
        <f>IF(ORIG!H945=0,"",ORIG!H945)</f>
        <v/>
      </c>
      <c r="I945" s="3">
        <f>IF(ORIG!I945=0,"",ORIG!I945)</f>
        <v/>
      </c>
      <c r="J945" s="3">
        <f>IF(ORIG!J945=0,"",ORIG!J945)</f>
        <v/>
      </c>
      <c r="K945" s="3">
        <f>IF(ORIG!K945=0,"",ORIG!K945)</f>
        <v/>
      </c>
      <c r="L945" s="3">
        <f>IF(ORIG!L945=0,"",ORIG!L945)</f>
        <v/>
      </c>
      <c r="M945" s="3">
        <f>IF(ORIG!M945=0,"",ORIG!M945)</f>
        <v/>
      </c>
      <c r="N945" s="3">
        <f>IF(ORIG!N945=0,"",ORIG!N945)</f>
        <v/>
      </c>
      <c r="O945" s="3">
        <f>IF(ORIG!O945=0,"",ORIG!O945)</f>
        <v/>
      </c>
      <c r="P945" s="3">
        <f>IF(ORIG!P945=0,"",ORIG!P945)</f>
        <v/>
      </c>
      <c r="Q945" s="3">
        <f>IF(ORIG!Q945=0,"",ORIG!Q945)</f>
        <v/>
      </c>
      <c r="R945" s="3">
        <f>IF(ORIG!R945=0,"",ORIG!R945)</f>
        <v/>
      </c>
      <c r="S945" s="3">
        <f>IF(ORIG!S945=0,"",ORIG!S945)</f>
        <v/>
      </c>
      <c r="T945" s="3">
        <f>IF(ORIG!T945=0,"",ORIG!T945)</f>
        <v/>
      </c>
      <c r="U945" s="3">
        <f>IF(ORIG!U945=0,"",ORIG!U945)</f>
        <v/>
      </c>
      <c r="V945" s="9">
        <f>IF(ORIG!V945=0,"",ORIG!V945)</f>
        <v/>
      </c>
      <c r="W945" s="9">
        <f>IF(ORIG!W945=0,"",ORIG!W945)</f>
        <v/>
      </c>
      <c r="X945" s="9">
        <f>IF(ORIG!X945=0,"",ORIG!X945)</f>
        <v/>
      </c>
      <c r="Y945" s="9">
        <f>IF(ORIG!Y945=0,"",ORIG!Y945)</f>
        <v/>
      </c>
      <c r="Z945" s="3">
        <f>SUMPRODUCT($B945:$Y945,$B$2649:$Y$2649)</f>
        <v/>
      </c>
      <c r="AA945" s="3">
        <f>SUMPRODUCT($B945:$Y945,$B$2655:$Y$2655)</f>
        <v/>
      </c>
      <c r="AC945" s="1">
        <f>A945</f>
        <v/>
      </c>
      <c r="AD945">
        <f>IF(ISNUMBER(V945),V945*($AB$1/V$2635),"")</f>
        <v/>
      </c>
      <c r="AE945">
        <f>IF(ISNUMBER(Z945),Z945*($AB$1/Z$2635),"")</f>
        <v/>
      </c>
      <c r="AF945" s="25">
        <f>IF(ISNUMBER(AD945+AE945),AD945+AE945,"")</f>
        <v/>
      </c>
      <c r="AH945" s="1">
        <f>A945</f>
        <v/>
      </c>
      <c r="AI945">
        <f>IF(ISNUMBER((1+V945)*AI944),(1+V945)*AI944,AI944)</f>
        <v/>
      </c>
      <c r="AJ945">
        <f>IF(ISNUMBER((1+Z945)*AJ944),(1+Z945)*AJ944,AJ944)</f>
        <v/>
      </c>
    </row>
    <row r="946">
      <c r="A946" s="1" t="n">
        <v>43375</v>
      </c>
      <c r="B946" s="3">
        <f>IF(ORIG!B946=0,"",ORIG!B946)</f>
        <v/>
      </c>
      <c r="C946" s="3">
        <f>IF(ORIG!C946=0,"",ORIG!C946)</f>
        <v/>
      </c>
      <c r="D946" s="3">
        <f>IF(ORIG!D946=0,"",ORIG!D946)</f>
        <v/>
      </c>
      <c r="E946" s="3">
        <f>IF(ORIG!E946=0,"",ORIG!E946)</f>
        <v/>
      </c>
      <c r="F946" s="3">
        <f>IF(ORIG!F946=0,"",ORIG!F946)</f>
        <v/>
      </c>
      <c r="G946" s="3">
        <f>IF(ORIG!G946=0,"",ORIG!G946)</f>
        <v/>
      </c>
      <c r="H946" s="3">
        <f>IF(ORIG!H946=0,"",ORIG!H946)</f>
        <v/>
      </c>
      <c r="I946" s="3">
        <f>IF(ORIG!I946=0,"",ORIG!I946)</f>
        <v/>
      </c>
      <c r="J946" s="3">
        <f>IF(ORIG!J946=0,"",ORIG!J946)</f>
        <v/>
      </c>
      <c r="K946" s="3">
        <f>IF(ORIG!K946=0,"",ORIG!K946)</f>
        <v/>
      </c>
      <c r="L946" s="3">
        <f>IF(ORIG!L946=0,"",ORIG!L946)</f>
        <v/>
      </c>
      <c r="M946" s="3">
        <f>IF(ORIG!M946=0,"",ORIG!M946)</f>
        <v/>
      </c>
      <c r="N946" s="3">
        <f>IF(ORIG!N946=0,"",ORIG!N946)</f>
        <v/>
      </c>
      <c r="O946" s="3">
        <f>IF(ORIG!O946=0,"",ORIG!O946)</f>
        <v/>
      </c>
      <c r="P946" s="3">
        <f>IF(ORIG!P946=0,"",ORIG!P946)</f>
        <v/>
      </c>
      <c r="Q946" s="3">
        <f>IF(ORIG!Q946=0,"",ORIG!Q946)</f>
        <v/>
      </c>
      <c r="R946" s="3">
        <f>IF(ORIG!R946=0,"",ORIG!R946)</f>
        <v/>
      </c>
      <c r="S946" s="3">
        <f>IF(ORIG!S946=0,"",ORIG!S946)</f>
        <v/>
      </c>
      <c r="T946" s="3">
        <f>IF(ORIG!T946=0,"",ORIG!T946)</f>
        <v/>
      </c>
      <c r="U946" s="3">
        <f>IF(ORIG!U946=0,"",ORIG!U946)</f>
        <v/>
      </c>
      <c r="V946" s="9">
        <f>IF(ORIG!V946=0,"",ORIG!V946)</f>
        <v/>
      </c>
      <c r="W946" s="9">
        <f>IF(ORIG!W946=0,"",ORIG!W946)</f>
        <v/>
      </c>
      <c r="X946" s="9">
        <f>IF(ORIG!X946=0,"",ORIG!X946)</f>
        <v/>
      </c>
      <c r="Y946" s="9">
        <f>IF(ORIG!Y946=0,"",ORIG!Y946)</f>
        <v/>
      </c>
      <c r="Z946" s="3">
        <f>SUMPRODUCT($B946:$Y946,$B$2649:$Y$2649)</f>
        <v/>
      </c>
      <c r="AA946" s="3">
        <f>SUMPRODUCT($B946:$Y946,$B$2655:$Y$2655)</f>
        <v/>
      </c>
      <c r="AC946" s="1">
        <f>A946</f>
        <v/>
      </c>
      <c r="AD946">
        <f>IF(ISNUMBER(V946),V946*($AB$1/V$2635),"")</f>
        <v/>
      </c>
      <c r="AE946">
        <f>IF(ISNUMBER(Z946),Z946*($AB$1/Z$2635),"")</f>
        <v/>
      </c>
      <c r="AF946" s="25">
        <f>IF(ISNUMBER(AD946+AE946),AD946+AE946,"")</f>
        <v/>
      </c>
      <c r="AH946" s="1">
        <f>A946</f>
        <v/>
      </c>
      <c r="AI946">
        <f>IF(ISNUMBER((1+V946)*AI945),(1+V946)*AI945,AI945)</f>
        <v/>
      </c>
      <c r="AJ946">
        <f>IF(ISNUMBER((1+Z946)*AJ945),(1+Z946)*AJ945,AJ945)</f>
        <v/>
      </c>
    </row>
    <row r="947">
      <c r="A947" s="1" t="n">
        <v>43376</v>
      </c>
      <c r="B947" s="3">
        <f>IF(ORIG!B947=0,"",ORIG!B947)</f>
        <v/>
      </c>
      <c r="C947" s="3">
        <f>IF(ORIG!C947=0,"",ORIG!C947)</f>
        <v/>
      </c>
      <c r="D947" s="3">
        <f>IF(ORIG!D947=0,"",ORIG!D947)</f>
        <v/>
      </c>
      <c r="E947" s="3">
        <f>IF(ORIG!E947=0,"",ORIG!E947)</f>
        <v/>
      </c>
      <c r="F947" s="3">
        <f>IF(ORIG!F947=0,"",ORIG!F947)</f>
        <v/>
      </c>
      <c r="G947" s="3">
        <f>IF(ORIG!G947=0,"",ORIG!G947)</f>
        <v/>
      </c>
      <c r="H947" s="3">
        <f>IF(ORIG!H947=0,"",ORIG!H947)</f>
        <v/>
      </c>
      <c r="I947" s="3">
        <f>IF(ORIG!I947=0,"",ORIG!I947)</f>
        <v/>
      </c>
      <c r="J947" s="3">
        <f>IF(ORIG!J947=0,"",ORIG!J947)</f>
        <v/>
      </c>
      <c r="K947" s="3">
        <f>IF(ORIG!K947=0,"",ORIG!K947)</f>
        <v/>
      </c>
      <c r="L947" s="3">
        <f>IF(ORIG!L947=0,"",ORIG!L947)</f>
        <v/>
      </c>
      <c r="M947" s="3">
        <f>IF(ORIG!M947=0,"",ORIG!M947)</f>
        <v/>
      </c>
      <c r="N947" s="3">
        <f>IF(ORIG!N947=0,"",ORIG!N947)</f>
        <v/>
      </c>
      <c r="O947" s="3">
        <f>IF(ORIG!O947=0,"",ORIG!O947)</f>
        <v/>
      </c>
      <c r="P947" s="3">
        <f>IF(ORIG!P947=0,"",ORIG!P947)</f>
        <v/>
      </c>
      <c r="Q947" s="3">
        <f>IF(ORIG!Q947=0,"",ORIG!Q947)</f>
        <v/>
      </c>
      <c r="R947" s="3">
        <f>IF(ORIG!R947=0,"",ORIG!R947)</f>
        <v/>
      </c>
      <c r="S947" s="3">
        <f>IF(ORIG!S947=0,"",ORIG!S947)</f>
        <v/>
      </c>
      <c r="T947" s="3">
        <f>IF(ORIG!T947=0,"",ORIG!T947)</f>
        <v/>
      </c>
      <c r="U947" s="3">
        <f>IF(ORIG!U947=0,"",ORIG!U947)</f>
        <v/>
      </c>
      <c r="V947" s="9">
        <f>IF(ORIG!V947=0,"",ORIG!V947)</f>
        <v/>
      </c>
      <c r="W947" s="9">
        <f>IF(ORIG!W947=0,"",ORIG!W947)</f>
        <v/>
      </c>
      <c r="X947" s="9">
        <f>IF(ORIG!X947=0,"",ORIG!X947)</f>
        <v/>
      </c>
      <c r="Y947" s="9">
        <f>IF(ORIG!Y947=0,"",ORIG!Y947)</f>
        <v/>
      </c>
      <c r="Z947" s="3">
        <f>SUMPRODUCT($B947:$Y947,$B$2649:$Y$2649)</f>
        <v/>
      </c>
      <c r="AA947" s="3">
        <f>SUMPRODUCT($B947:$Y947,$B$2655:$Y$2655)</f>
        <v/>
      </c>
      <c r="AC947" s="1">
        <f>A947</f>
        <v/>
      </c>
      <c r="AD947">
        <f>IF(ISNUMBER(V947),V947*($AB$1/V$2635),"")</f>
        <v/>
      </c>
      <c r="AE947">
        <f>IF(ISNUMBER(Z947),Z947*($AB$1/Z$2635),"")</f>
        <v/>
      </c>
      <c r="AF947" s="25">
        <f>IF(ISNUMBER(AD947+AE947),AD947+AE947,"")</f>
        <v/>
      </c>
      <c r="AH947" s="1">
        <f>A947</f>
        <v/>
      </c>
      <c r="AI947">
        <f>IF(ISNUMBER((1+V947)*AI946),(1+V947)*AI946,AI946)</f>
        <v/>
      </c>
      <c r="AJ947">
        <f>IF(ISNUMBER((1+Z947)*AJ946),(1+Z947)*AJ946,AJ946)</f>
        <v/>
      </c>
    </row>
    <row r="948">
      <c r="A948" s="1" t="n">
        <v>43377</v>
      </c>
      <c r="B948" s="3">
        <f>IF(ORIG!B948=0,"",ORIG!B948)</f>
        <v/>
      </c>
      <c r="C948" s="3">
        <f>IF(ORIG!C948=0,"",ORIG!C948)</f>
        <v/>
      </c>
      <c r="D948" s="3">
        <f>IF(ORIG!D948=0,"",ORIG!D948)</f>
        <v/>
      </c>
      <c r="E948" s="3">
        <f>IF(ORIG!E948=0,"",ORIG!E948)</f>
        <v/>
      </c>
      <c r="F948" s="3">
        <f>IF(ORIG!F948=0,"",ORIG!F948)</f>
        <v/>
      </c>
      <c r="G948" s="3">
        <f>IF(ORIG!G948=0,"",ORIG!G948)</f>
        <v/>
      </c>
      <c r="H948" s="3">
        <f>IF(ORIG!H948=0,"",ORIG!H948)</f>
        <v/>
      </c>
      <c r="I948" s="3">
        <f>IF(ORIG!I948=0,"",ORIG!I948)</f>
        <v/>
      </c>
      <c r="J948" s="3">
        <f>IF(ORIG!J948=0,"",ORIG!J948)</f>
        <v/>
      </c>
      <c r="K948" s="3">
        <f>IF(ORIG!K948=0,"",ORIG!K948)</f>
        <v/>
      </c>
      <c r="L948" s="3">
        <f>IF(ORIG!L948=0,"",ORIG!L948)</f>
        <v/>
      </c>
      <c r="M948" s="3">
        <f>IF(ORIG!M948=0,"",ORIG!M948)</f>
        <v/>
      </c>
      <c r="N948" s="3">
        <f>IF(ORIG!N948=0,"",ORIG!N948)</f>
        <v/>
      </c>
      <c r="O948" s="3">
        <f>IF(ORIG!O948=0,"",ORIG!O948)</f>
        <v/>
      </c>
      <c r="P948" s="3">
        <f>IF(ORIG!P948=0,"",ORIG!P948)</f>
        <v/>
      </c>
      <c r="Q948" s="3">
        <f>IF(ORIG!Q948=0,"",ORIG!Q948)</f>
        <v/>
      </c>
      <c r="R948" s="3">
        <f>IF(ORIG!R948=0,"",ORIG!R948)</f>
        <v/>
      </c>
      <c r="S948" s="3">
        <f>IF(ORIG!S948=0,"",ORIG!S948)</f>
        <v/>
      </c>
      <c r="T948" s="3">
        <f>IF(ORIG!T948=0,"",ORIG!T948)</f>
        <v/>
      </c>
      <c r="U948" s="3">
        <f>IF(ORIG!U948=0,"",ORIG!U948)</f>
        <v/>
      </c>
      <c r="V948" s="9">
        <f>IF(ORIG!V948=0,"",ORIG!V948)</f>
        <v/>
      </c>
      <c r="W948" s="9">
        <f>IF(ORIG!W948=0,"",ORIG!W948)</f>
        <v/>
      </c>
      <c r="X948" s="9">
        <f>IF(ORIG!X948=0,"",ORIG!X948)</f>
        <v/>
      </c>
      <c r="Y948" s="9">
        <f>IF(ORIG!Y948=0,"",ORIG!Y948)</f>
        <v/>
      </c>
      <c r="Z948" s="3">
        <f>SUMPRODUCT($B948:$Y948,$B$2649:$Y$2649)</f>
        <v/>
      </c>
      <c r="AA948" s="3">
        <f>SUMPRODUCT($B948:$Y948,$B$2655:$Y$2655)</f>
        <v/>
      </c>
      <c r="AC948" s="1">
        <f>A948</f>
        <v/>
      </c>
      <c r="AD948">
        <f>IF(ISNUMBER(V948),V948*($AB$1/V$2635),"")</f>
        <v/>
      </c>
      <c r="AE948">
        <f>IF(ISNUMBER(Z948),Z948*($AB$1/Z$2635),"")</f>
        <v/>
      </c>
      <c r="AF948" s="25">
        <f>IF(ISNUMBER(AD948+AE948),AD948+AE948,"")</f>
        <v/>
      </c>
      <c r="AH948" s="1">
        <f>A948</f>
        <v/>
      </c>
      <c r="AI948">
        <f>IF(ISNUMBER((1+V948)*AI947),(1+V948)*AI947,AI947)</f>
        <v/>
      </c>
      <c r="AJ948">
        <f>IF(ISNUMBER((1+Z948)*AJ947),(1+Z948)*AJ947,AJ947)</f>
        <v/>
      </c>
    </row>
    <row r="949">
      <c r="A949" s="1" t="n">
        <v>43378</v>
      </c>
      <c r="B949" s="3">
        <f>IF(ORIG!B949=0,"",ORIG!B949)</f>
        <v/>
      </c>
      <c r="C949" s="3">
        <f>IF(ORIG!C949=0,"",ORIG!C949)</f>
        <v/>
      </c>
      <c r="D949" s="3">
        <f>IF(ORIG!D949=0,"",ORIG!D949)</f>
        <v/>
      </c>
      <c r="E949" s="3">
        <f>IF(ORIG!E949=0,"",ORIG!E949)</f>
        <v/>
      </c>
      <c r="F949" s="3">
        <f>IF(ORIG!F949=0,"",ORIG!F949)</f>
        <v/>
      </c>
      <c r="G949" s="3">
        <f>IF(ORIG!G949=0,"",ORIG!G949)</f>
        <v/>
      </c>
      <c r="H949" s="3">
        <f>IF(ORIG!H949=0,"",ORIG!H949)</f>
        <v/>
      </c>
      <c r="I949" s="3">
        <f>IF(ORIG!I949=0,"",ORIG!I949)</f>
        <v/>
      </c>
      <c r="J949" s="3">
        <f>IF(ORIG!J949=0,"",ORIG!J949)</f>
        <v/>
      </c>
      <c r="K949" s="3">
        <f>IF(ORIG!K949=0,"",ORIG!K949)</f>
        <v/>
      </c>
      <c r="L949" s="3">
        <f>IF(ORIG!L949=0,"",ORIG!L949)</f>
        <v/>
      </c>
      <c r="M949" s="3">
        <f>IF(ORIG!M949=0,"",ORIG!M949)</f>
        <v/>
      </c>
      <c r="N949" s="3">
        <f>IF(ORIG!N949=0,"",ORIG!N949)</f>
        <v/>
      </c>
      <c r="O949" s="3">
        <f>IF(ORIG!O949=0,"",ORIG!O949)</f>
        <v/>
      </c>
      <c r="P949" s="3">
        <f>IF(ORIG!P949=0,"",ORIG!P949)</f>
        <v/>
      </c>
      <c r="Q949" s="3">
        <f>IF(ORIG!Q949=0,"",ORIG!Q949)</f>
        <v/>
      </c>
      <c r="R949" s="3">
        <f>IF(ORIG!R949=0,"",ORIG!R949)</f>
        <v/>
      </c>
      <c r="S949" s="3">
        <f>IF(ORIG!S949=0,"",ORIG!S949)</f>
        <v/>
      </c>
      <c r="T949" s="3">
        <f>IF(ORIG!T949=0,"",ORIG!T949)</f>
        <v/>
      </c>
      <c r="U949" s="3">
        <f>IF(ORIG!U949=0,"",ORIG!U949)</f>
        <v/>
      </c>
      <c r="V949" s="9">
        <f>IF(ORIG!V949=0,"",ORIG!V949)</f>
        <v/>
      </c>
      <c r="W949" s="9">
        <f>IF(ORIG!W949=0,"",ORIG!W949)</f>
        <v/>
      </c>
      <c r="X949" s="9">
        <f>IF(ORIG!X949=0,"",ORIG!X949)</f>
        <v/>
      </c>
      <c r="Y949" s="9">
        <f>IF(ORIG!Y949=0,"",ORIG!Y949)</f>
        <v/>
      </c>
      <c r="Z949" s="3">
        <f>SUMPRODUCT($B949:$Y949,$B$2649:$Y$2649)</f>
        <v/>
      </c>
      <c r="AA949" s="3">
        <f>SUMPRODUCT($B949:$Y949,$B$2655:$Y$2655)</f>
        <v/>
      </c>
      <c r="AC949" s="1">
        <f>A949</f>
        <v/>
      </c>
      <c r="AD949">
        <f>IF(ISNUMBER(V949),V949*($AB$1/V$2635),"")</f>
        <v/>
      </c>
      <c r="AE949">
        <f>IF(ISNUMBER(Z949),Z949*($AB$1/Z$2635),"")</f>
        <v/>
      </c>
      <c r="AF949" s="25">
        <f>IF(ISNUMBER(AD949+AE949),AD949+AE949,"")</f>
        <v/>
      </c>
      <c r="AH949" s="1">
        <f>A949</f>
        <v/>
      </c>
      <c r="AI949">
        <f>IF(ISNUMBER((1+V949)*AI948),(1+V949)*AI948,AI948)</f>
        <v/>
      </c>
      <c r="AJ949">
        <f>IF(ISNUMBER((1+Z949)*AJ948),(1+Z949)*AJ948,AJ948)</f>
        <v/>
      </c>
    </row>
    <row r="950">
      <c r="A950" s="1" t="n">
        <v>43381</v>
      </c>
      <c r="B950" s="3">
        <f>IF(ORIG!B950=0,"",ORIG!B950)</f>
        <v/>
      </c>
      <c r="C950" s="3">
        <f>IF(ORIG!C950=0,"",ORIG!C950)</f>
        <v/>
      </c>
      <c r="D950" s="3">
        <f>IF(ORIG!D950=0,"",ORIG!D950)</f>
        <v/>
      </c>
      <c r="E950" s="3">
        <f>IF(ORIG!E950=0,"",ORIG!E950)</f>
        <v/>
      </c>
      <c r="F950" s="3">
        <f>IF(ORIG!F950=0,"",ORIG!F950)</f>
        <v/>
      </c>
      <c r="G950" s="3">
        <f>IF(ORIG!G950=0,"",ORIG!G950)</f>
        <v/>
      </c>
      <c r="H950" s="3">
        <f>IF(ORIG!H950=0,"",ORIG!H950)</f>
        <v/>
      </c>
      <c r="I950" s="3">
        <f>IF(ORIG!I950=0,"",ORIG!I950)</f>
        <v/>
      </c>
      <c r="J950" s="3">
        <f>IF(ORIG!J950=0,"",ORIG!J950)</f>
        <v/>
      </c>
      <c r="K950" s="3">
        <f>IF(ORIG!K950=0,"",ORIG!K950)</f>
        <v/>
      </c>
      <c r="L950" s="3">
        <f>IF(ORIG!L950=0,"",ORIG!L950)</f>
        <v/>
      </c>
      <c r="M950" s="3">
        <f>IF(ORIG!M950=0,"",ORIG!M950)</f>
        <v/>
      </c>
      <c r="N950" s="3">
        <f>IF(ORIG!N950=0,"",ORIG!N950)</f>
        <v/>
      </c>
      <c r="O950" s="3">
        <f>IF(ORIG!O950=0,"",ORIG!O950)</f>
        <v/>
      </c>
      <c r="P950" s="3">
        <f>IF(ORIG!P950=0,"",ORIG!P950)</f>
        <v/>
      </c>
      <c r="Q950" s="3">
        <f>IF(ORIG!Q950=0,"",ORIG!Q950)</f>
        <v/>
      </c>
      <c r="R950" s="3">
        <f>IF(ORIG!R950=0,"",ORIG!R950)</f>
        <v/>
      </c>
      <c r="S950" s="3">
        <f>IF(ORIG!S950=0,"",ORIG!S950)</f>
        <v/>
      </c>
      <c r="T950" s="3">
        <f>IF(ORIG!T950=0,"",ORIG!T950)</f>
        <v/>
      </c>
      <c r="U950" s="3">
        <f>IF(ORIG!U950=0,"",ORIG!U950)</f>
        <v/>
      </c>
      <c r="V950" s="9">
        <f>IF(ORIG!V950=0,"",ORIG!V950)</f>
        <v/>
      </c>
      <c r="W950" s="9">
        <f>IF(ORIG!W950=0,"",ORIG!W950)</f>
        <v/>
      </c>
      <c r="X950" s="9">
        <f>IF(ORIG!X950=0,"",ORIG!X950)</f>
        <v/>
      </c>
      <c r="Y950" s="9">
        <f>IF(ORIG!Y950=0,"",ORIG!Y950)</f>
        <v/>
      </c>
      <c r="Z950" s="3">
        <f>SUMPRODUCT($B950:$Y950,$B$2649:$Y$2649)</f>
        <v/>
      </c>
      <c r="AA950" s="3">
        <f>SUMPRODUCT($B950:$Y950,$B$2655:$Y$2655)</f>
        <v/>
      </c>
      <c r="AC950" s="1">
        <f>A950</f>
        <v/>
      </c>
      <c r="AD950">
        <f>IF(ISNUMBER(V950),V950*($AB$1/V$2635),"")</f>
        <v/>
      </c>
      <c r="AE950">
        <f>IF(ISNUMBER(Z950),Z950*($AB$1/Z$2635),"")</f>
        <v/>
      </c>
      <c r="AF950" s="25">
        <f>IF(ISNUMBER(AD950+AE950),AD950+AE950,"")</f>
        <v/>
      </c>
      <c r="AH950" s="1">
        <f>A950</f>
        <v/>
      </c>
      <c r="AI950">
        <f>IF(ISNUMBER((1+V950)*AI949),(1+V950)*AI949,AI949)</f>
        <v/>
      </c>
      <c r="AJ950">
        <f>IF(ISNUMBER((1+Z950)*AJ949),(1+Z950)*AJ949,AJ949)</f>
        <v/>
      </c>
    </row>
    <row r="951">
      <c r="A951" s="1" t="n">
        <v>43382</v>
      </c>
      <c r="B951" s="3">
        <f>IF(ORIG!B951=0,"",ORIG!B951)</f>
        <v/>
      </c>
      <c r="C951" s="3">
        <f>IF(ORIG!C951=0,"",ORIG!C951)</f>
        <v/>
      </c>
      <c r="D951" s="3">
        <f>IF(ORIG!D951=0,"",ORIG!D951)</f>
        <v/>
      </c>
      <c r="E951" s="3">
        <f>IF(ORIG!E951=0,"",ORIG!E951)</f>
        <v/>
      </c>
      <c r="F951" s="3">
        <f>IF(ORIG!F951=0,"",ORIG!F951)</f>
        <v/>
      </c>
      <c r="G951" s="3">
        <f>IF(ORIG!G951=0,"",ORIG!G951)</f>
        <v/>
      </c>
      <c r="H951" s="3">
        <f>IF(ORIG!H951=0,"",ORIG!H951)</f>
        <v/>
      </c>
      <c r="I951" s="3">
        <f>IF(ORIG!I951=0,"",ORIG!I951)</f>
        <v/>
      </c>
      <c r="J951" s="3">
        <f>IF(ORIG!J951=0,"",ORIG!J951)</f>
        <v/>
      </c>
      <c r="K951" s="3">
        <f>IF(ORIG!K951=0,"",ORIG!K951)</f>
        <v/>
      </c>
      <c r="L951" s="3">
        <f>IF(ORIG!L951=0,"",ORIG!L951)</f>
        <v/>
      </c>
      <c r="M951" s="3">
        <f>IF(ORIG!M951=0,"",ORIG!M951)</f>
        <v/>
      </c>
      <c r="N951" s="3">
        <f>IF(ORIG!N951=0,"",ORIG!N951)</f>
        <v/>
      </c>
      <c r="O951" s="3">
        <f>IF(ORIG!O951=0,"",ORIG!O951)</f>
        <v/>
      </c>
      <c r="P951" s="3">
        <f>IF(ORIG!P951=0,"",ORIG!P951)</f>
        <v/>
      </c>
      <c r="Q951" s="3">
        <f>IF(ORIG!Q951=0,"",ORIG!Q951)</f>
        <v/>
      </c>
      <c r="R951" s="3">
        <f>IF(ORIG!R951=0,"",ORIG!R951)</f>
        <v/>
      </c>
      <c r="S951" s="3">
        <f>IF(ORIG!S951=0,"",ORIG!S951)</f>
        <v/>
      </c>
      <c r="T951" s="3">
        <f>IF(ORIG!T951=0,"",ORIG!T951)</f>
        <v/>
      </c>
      <c r="U951" s="3">
        <f>IF(ORIG!U951=0,"",ORIG!U951)</f>
        <v/>
      </c>
      <c r="V951" s="9">
        <f>IF(ORIG!V951=0,"",ORIG!V951)</f>
        <v/>
      </c>
      <c r="W951" s="9">
        <f>IF(ORIG!W951=0,"",ORIG!W951)</f>
        <v/>
      </c>
      <c r="X951" s="9">
        <f>IF(ORIG!X951=0,"",ORIG!X951)</f>
        <v/>
      </c>
      <c r="Y951" s="9">
        <f>IF(ORIG!Y951=0,"",ORIG!Y951)</f>
        <v/>
      </c>
      <c r="Z951" s="3">
        <f>SUMPRODUCT($B951:$Y951,$B$2649:$Y$2649)</f>
        <v/>
      </c>
      <c r="AA951" s="3">
        <f>SUMPRODUCT($B951:$Y951,$B$2655:$Y$2655)</f>
        <v/>
      </c>
      <c r="AC951" s="1">
        <f>A951</f>
        <v/>
      </c>
      <c r="AD951">
        <f>IF(ISNUMBER(V951),V951*($AB$1/V$2635),"")</f>
        <v/>
      </c>
      <c r="AE951">
        <f>IF(ISNUMBER(Z951),Z951*($AB$1/Z$2635),"")</f>
        <v/>
      </c>
      <c r="AF951" s="25">
        <f>IF(ISNUMBER(AD951+AE951),AD951+AE951,"")</f>
        <v/>
      </c>
      <c r="AH951" s="1">
        <f>A951</f>
        <v/>
      </c>
      <c r="AI951">
        <f>IF(ISNUMBER((1+V951)*AI950),(1+V951)*AI950,AI950)</f>
        <v/>
      </c>
      <c r="AJ951">
        <f>IF(ISNUMBER((1+Z951)*AJ950),(1+Z951)*AJ950,AJ950)</f>
        <v/>
      </c>
    </row>
    <row r="952">
      <c r="A952" s="1" t="n">
        <v>43383</v>
      </c>
      <c r="B952" s="3">
        <f>IF(ORIG!B952=0,"",ORIG!B952)</f>
        <v/>
      </c>
      <c r="C952" s="3">
        <f>IF(ORIG!C952=0,"",ORIG!C952)</f>
        <v/>
      </c>
      <c r="D952" s="3">
        <f>IF(ORIG!D952=0,"",ORIG!D952)</f>
        <v/>
      </c>
      <c r="E952" s="3">
        <f>IF(ORIG!E952=0,"",ORIG!E952)</f>
        <v/>
      </c>
      <c r="F952" s="3">
        <f>IF(ORIG!F952=0,"",ORIG!F952)</f>
        <v/>
      </c>
      <c r="G952" s="3">
        <f>IF(ORIG!G952=0,"",ORIG!G952)</f>
        <v/>
      </c>
      <c r="H952" s="3">
        <f>IF(ORIG!H952=0,"",ORIG!H952)</f>
        <v/>
      </c>
      <c r="I952" s="3">
        <f>IF(ORIG!I952=0,"",ORIG!I952)</f>
        <v/>
      </c>
      <c r="J952" s="3">
        <f>IF(ORIG!J952=0,"",ORIG!J952)</f>
        <v/>
      </c>
      <c r="K952" s="3">
        <f>IF(ORIG!K952=0,"",ORIG!K952)</f>
        <v/>
      </c>
      <c r="L952" s="3">
        <f>IF(ORIG!L952=0,"",ORIG!L952)</f>
        <v/>
      </c>
      <c r="M952" s="3">
        <f>IF(ORIG!M952=0,"",ORIG!M952)</f>
        <v/>
      </c>
      <c r="N952" s="3">
        <f>IF(ORIG!N952=0,"",ORIG!N952)</f>
        <v/>
      </c>
      <c r="O952" s="3">
        <f>IF(ORIG!O952=0,"",ORIG!O952)</f>
        <v/>
      </c>
      <c r="P952" s="3">
        <f>IF(ORIG!P952=0,"",ORIG!P952)</f>
        <v/>
      </c>
      <c r="Q952" s="3">
        <f>IF(ORIG!Q952=0,"",ORIG!Q952)</f>
        <v/>
      </c>
      <c r="R952" s="3">
        <f>IF(ORIG!R952=0,"",ORIG!R952)</f>
        <v/>
      </c>
      <c r="S952" s="3">
        <f>IF(ORIG!S952=0,"",ORIG!S952)</f>
        <v/>
      </c>
      <c r="T952" s="3">
        <f>IF(ORIG!T952=0,"",ORIG!T952)</f>
        <v/>
      </c>
      <c r="U952" s="3">
        <f>IF(ORIG!U952=0,"",ORIG!U952)</f>
        <v/>
      </c>
      <c r="V952" s="9">
        <f>IF(ORIG!V952=0,"",ORIG!V952)</f>
        <v/>
      </c>
      <c r="W952" s="9">
        <f>IF(ORIG!W952=0,"",ORIG!W952)</f>
        <v/>
      </c>
      <c r="X952" s="9">
        <f>IF(ORIG!X952=0,"",ORIG!X952)</f>
        <v/>
      </c>
      <c r="Y952" s="9">
        <f>IF(ORIG!Y952=0,"",ORIG!Y952)</f>
        <v/>
      </c>
      <c r="Z952" s="3">
        <f>SUMPRODUCT($B952:$Y952,$B$2649:$Y$2649)</f>
        <v/>
      </c>
      <c r="AA952" s="3">
        <f>SUMPRODUCT($B952:$Y952,$B$2655:$Y$2655)</f>
        <v/>
      </c>
      <c r="AC952" s="1">
        <f>A952</f>
        <v/>
      </c>
      <c r="AD952">
        <f>IF(ISNUMBER(V952),V952*($AB$1/V$2635),"")</f>
        <v/>
      </c>
      <c r="AE952">
        <f>IF(ISNUMBER(Z952),Z952*($AB$1/Z$2635),"")</f>
        <v/>
      </c>
      <c r="AF952" s="25">
        <f>IF(ISNUMBER(AD952+AE952),AD952+AE952,"")</f>
        <v/>
      </c>
      <c r="AH952" s="1">
        <f>A952</f>
        <v/>
      </c>
      <c r="AI952">
        <f>IF(ISNUMBER((1+V952)*AI951),(1+V952)*AI951,AI951)</f>
        <v/>
      </c>
      <c r="AJ952">
        <f>IF(ISNUMBER((1+Z952)*AJ951),(1+Z952)*AJ951,AJ951)</f>
        <v/>
      </c>
    </row>
    <row r="953">
      <c r="A953" s="1" t="n">
        <v>43384</v>
      </c>
      <c r="B953" s="3">
        <f>IF(ORIG!B953=0,"",ORIG!B953)</f>
        <v/>
      </c>
      <c r="C953" s="3">
        <f>IF(ORIG!C953=0,"",ORIG!C953)</f>
        <v/>
      </c>
      <c r="D953" s="3">
        <f>IF(ORIG!D953=0,"",ORIG!D953)</f>
        <v/>
      </c>
      <c r="E953" s="3">
        <f>IF(ORIG!E953=0,"",ORIG!E953)</f>
        <v/>
      </c>
      <c r="F953" s="3">
        <f>IF(ORIG!F953=0,"",ORIG!F953)</f>
        <v/>
      </c>
      <c r="G953" s="3">
        <f>IF(ORIG!G953=0,"",ORIG!G953)</f>
        <v/>
      </c>
      <c r="H953" s="3">
        <f>IF(ORIG!H953=0,"",ORIG!H953)</f>
        <v/>
      </c>
      <c r="I953" s="3">
        <f>IF(ORIG!I953=0,"",ORIG!I953)</f>
        <v/>
      </c>
      <c r="J953" s="3">
        <f>IF(ORIG!J953=0,"",ORIG!J953)</f>
        <v/>
      </c>
      <c r="K953" s="3">
        <f>IF(ORIG!K953=0,"",ORIG!K953)</f>
        <v/>
      </c>
      <c r="L953" s="3">
        <f>IF(ORIG!L953=0,"",ORIG!L953)</f>
        <v/>
      </c>
      <c r="M953" s="3">
        <f>IF(ORIG!M953=0,"",ORIG!M953)</f>
        <v/>
      </c>
      <c r="N953" s="3">
        <f>IF(ORIG!N953=0,"",ORIG!N953)</f>
        <v/>
      </c>
      <c r="O953" s="3">
        <f>IF(ORIG!O953=0,"",ORIG!O953)</f>
        <v/>
      </c>
      <c r="P953" s="3">
        <f>IF(ORIG!P953=0,"",ORIG!P953)</f>
        <v/>
      </c>
      <c r="Q953" s="3">
        <f>IF(ORIG!Q953=0,"",ORIG!Q953)</f>
        <v/>
      </c>
      <c r="R953" s="3">
        <f>IF(ORIG!R953=0,"",ORIG!R953)</f>
        <v/>
      </c>
      <c r="S953" s="3">
        <f>IF(ORIG!S953=0,"",ORIG!S953)</f>
        <v/>
      </c>
      <c r="T953" s="3">
        <f>IF(ORIG!T953=0,"",ORIG!T953)</f>
        <v/>
      </c>
      <c r="U953" s="3">
        <f>IF(ORIG!U953=0,"",ORIG!U953)</f>
        <v/>
      </c>
      <c r="V953" s="9">
        <f>IF(ORIG!V953=0,"",ORIG!V953)</f>
        <v/>
      </c>
      <c r="W953" s="9">
        <f>IF(ORIG!W953=0,"",ORIG!W953)</f>
        <v/>
      </c>
      <c r="X953" s="9">
        <f>IF(ORIG!X953=0,"",ORIG!X953)</f>
        <v/>
      </c>
      <c r="Y953" s="9">
        <f>IF(ORIG!Y953=0,"",ORIG!Y953)</f>
        <v/>
      </c>
      <c r="Z953" s="3">
        <f>SUMPRODUCT($B953:$Y953,$B$2649:$Y$2649)</f>
        <v/>
      </c>
      <c r="AA953" s="3">
        <f>SUMPRODUCT($B953:$Y953,$B$2655:$Y$2655)</f>
        <v/>
      </c>
      <c r="AC953" s="1">
        <f>A953</f>
        <v/>
      </c>
      <c r="AD953">
        <f>IF(ISNUMBER(V953),V953*($AB$1/V$2635),"")</f>
        <v/>
      </c>
      <c r="AE953">
        <f>IF(ISNUMBER(Z953),Z953*($AB$1/Z$2635),"")</f>
        <v/>
      </c>
      <c r="AF953" s="25">
        <f>IF(ISNUMBER(AD953+AE953),AD953+AE953,"")</f>
        <v/>
      </c>
      <c r="AH953" s="1">
        <f>A953</f>
        <v/>
      </c>
      <c r="AI953">
        <f>IF(ISNUMBER((1+V953)*AI952),(1+V953)*AI952,AI952)</f>
        <v/>
      </c>
      <c r="AJ953">
        <f>IF(ISNUMBER((1+Z953)*AJ952),(1+Z953)*AJ952,AJ952)</f>
        <v/>
      </c>
    </row>
    <row r="954">
      <c r="A954" s="1" t="n">
        <v>43385</v>
      </c>
      <c r="B954" s="3">
        <f>IF(ORIG!B954=0,"",ORIG!B954)</f>
        <v/>
      </c>
      <c r="C954" s="3">
        <f>IF(ORIG!C954=0,"",ORIG!C954)</f>
        <v/>
      </c>
      <c r="D954" s="3">
        <f>IF(ORIG!D954=0,"",ORIG!D954)</f>
        <v/>
      </c>
      <c r="E954" s="3">
        <f>IF(ORIG!E954=0,"",ORIG!E954)</f>
        <v/>
      </c>
      <c r="F954" s="3">
        <f>IF(ORIG!F954=0,"",ORIG!F954)</f>
        <v/>
      </c>
      <c r="G954" s="3">
        <f>IF(ORIG!G954=0,"",ORIG!G954)</f>
        <v/>
      </c>
      <c r="H954" s="3">
        <f>IF(ORIG!H954=0,"",ORIG!H954)</f>
        <v/>
      </c>
      <c r="I954" s="3">
        <f>IF(ORIG!I954=0,"",ORIG!I954)</f>
        <v/>
      </c>
      <c r="J954" s="3">
        <f>IF(ORIG!J954=0,"",ORIG!J954)</f>
        <v/>
      </c>
      <c r="K954" s="3">
        <f>IF(ORIG!K954=0,"",ORIG!K954)</f>
        <v/>
      </c>
      <c r="L954" s="3">
        <f>IF(ORIG!L954=0,"",ORIG!L954)</f>
        <v/>
      </c>
      <c r="M954" s="3">
        <f>IF(ORIG!M954=0,"",ORIG!M954)</f>
        <v/>
      </c>
      <c r="N954" s="3">
        <f>IF(ORIG!N954=0,"",ORIG!N954)</f>
        <v/>
      </c>
      <c r="O954" s="3">
        <f>IF(ORIG!O954=0,"",ORIG!O954)</f>
        <v/>
      </c>
      <c r="P954" s="3">
        <f>IF(ORIG!P954=0,"",ORIG!P954)</f>
        <v/>
      </c>
      <c r="Q954" s="3">
        <f>IF(ORIG!Q954=0,"",ORIG!Q954)</f>
        <v/>
      </c>
      <c r="R954" s="3">
        <f>IF(ORIG!R954=0,"",ORIG!R954)</f>
        <v/>
      </c>
      <c r="S954" s="3">
        <f>IF(ORIG!S954=0,"",ORIG!S954)</f>
        <v/>
      </c>
      <c r="T954" s="3">
        <f>IF(ORIG!T954=0,"",ORIG!T954)</f>
        <v/>
      </c>
      <c r="U954" s="3">
        <f>IF(ORIG!U954=0,"",ORIG!U954)</f>
        <v/>
      </c>
      <c r="V954" s="9">
        <f>IF(ORIG!V954=0,"",ORIG!V954)</f>
        <v/>
      </c>
      <c r="W954" s="9">
        <f>IF(ORIG!W954=0,"",ORIG!W954)</f>
        <v/>
      </c>
      <c r="X954" s="9">
        <f>IF(ORIG!X954=0,"",ORIG!X954)</f>
        <v/>
      </c>
      <c r="Y954" s="9">
        <f>IF(ORIG!Y954=0,"",ORIG!Y954)</f>
        <v/>
      </c>
      <c r="Z954" s="3">
        <f>SUMPRODUCT($B954:$Y954,$B$2649:$Y$2649)</f>
        <v/>
      </c>
      <c r="AA954" s="3">
        <f>SUMPRODUCT($B954:$Y954,$B$2655:$Y$2655)</f>
        <v/>
      </c>
      <c r="AC954" s="1">
        <f>A954</f>
        <v/>
      </c>
      <c r="AD954">
        <f>IF(ISNUMBER(V954),V954*($AB$1/V$2635),"")</f>
        <v/>
      </c>
      <c r="AE954">
        <f>IF(ISNUMBER(Z954),Z954*($AB$1/Z$2635),"")</f>
        <v/>
      </c>
      <c r="AF954" s="25">
        <f>IF(ISNUMBER(AD954+AE954),AD954+AE954,"")</f>
        <v/>
      </c>
      <c r="AH954" s="1">
        <f>A954</f>
        <v/>
      </c>
      <c r="AI954">
        <f>IF(ISNUMBER((1+V954)*AI953),(1+V954)*AI953,AI953)</f>
        <v/>
      </c>
      <c r="AJ954">
        <f>IF(ISNUMBER((1+Z954)*AJ953),(1+Z954)*AJ953,AJ953)</f>
        <v/>
      </c>
    </row>
    <row r="955">
      <c r="A955" s="1" t="n">
        <v>43388</v>
      </c>
      <c r="B955" s="3">
        <f>IF(ORIG!B955=0,"",ORIG!B955)</f>
        <v/>
      </c>
      <c r="C955" s="3">
        <f>IF(ORIG!C955=0,"",ORIG!C955)</f>
        <v/>
      </c>
      <c r="D955" s="3">
        <f>IF(ORIG!D955=0,"",ORIG!D955)</f>
        <v/>
      </c>
      <c r="E955" s="3">
        <f>IF(ORIG!E955=0,"",ORIG!E955)</f>
        <v/>
      </c>
      <c r="F955" s="3">
        <f>IF(ORIG!F955=0,"",ORIG!F955)</f>
        <v/>
      </c>
      <c r="G955" s="3">
        <f>IF(ORIG!G955=0,"",ORIG!G955)</f>
        <v/>
      </c>
      <c r="H955" s="3">
        <f>IF(ORIG!H955=0,"",ORIG!H955)</f>
        <v/>
      </c>
      <c r="I955" s="3">
        <f>IF(ORIG!I955=0,"",ORIG!I955)</f>
        <v/>
      </c>
      <c r="J955" s="3">
        <f>IF(ORIG!J955=0,"",ORIG!J955)</f>
        <v/>
      </c>
      <c r="K955" s="3">
        <f>IF(ORIG!K955=0,"",ORIG!K955)</f>
        <v/>
      </c>
      <c r="L955" s="3">
        <f>IF(ORIG!L955=0,"",ORIG!L955)</f>
        <v/>
      </c>
      <c r="M955" s="3">
        <f>IF(ORIG!M955=0,"",ORIG!M955)</f>
        <v/>
      </c>
      <c r="N955" s="3">
        <f>IF(ORIG!N955=0,"",ORIG!N955)</f>
        <v/>
      </c>
      <c r="O955" s="3">
        <f>IF(ORIG!O955=0,"",ORIG!O955)</f>
        <v/>
      </c>
      <c r="P955" s="3">
        <f>IF(ORIG!P955=0,"",ORIG!P955)</f>
        <v/>
      </c>
      <c r="Q955" s="3">
        <f>IF(ORIG!Q955=0,"",ORIG!Q955)</f>
        <v/>
      </c>
      <c r="R955" s="3">
        <f>IF(ORIG!R955=0,"",ORIG!R955)</f>
        <v/>
      </c>
      <c r="S955" s="3">
        <f>IF(ORIG!S955=0,"",ORIG!S955)</f>
        <v/>
      </c>
      <c r="T955" s="3">
        <f>IF(ORIG!T955=0,"",ORIG!T955)</f>
        <v/>
      </c>
      <c r="U955" s="3">
        <f>IF(ORIG!U955=0,"",ORIG!U955)</f>
        <v/>
      </c>
      <c r="V955" s="9">
        <f>IF(ORIG!V955=0,"",ORIG!V955)</f>
        <v/>
      </c>
      <c r="W955" s="9">
        <f>IF(ORIG!W955=0,"",ORIG!W955)</f>
        <v/>
      </c>
      <c r="X955" s="9">
        <f>IF(ORIG!X955=0,"",ORIG!X955)</f>
        <v/>
      </c>
      <c r="Y955" s="9">
        <f>IF(ORIG!Y955=0,"",ORIG!Y955)</f>
        <v/>
      </c>
      <c r="Z955" s="3">
        <f>SUMPRODUCT($B955:$Y955,$B$2649:$Y$2649)</f>
        <v/>
      </c>
      <c r="AA955" s="3">
        <f>SUMPRODUCT($B955:$Y955,$B$2655:$Y$2655)</f>
        <v/>
      </c>
      <c r="AC955" s="1">
        <f>A955</f>
        <v/>
      </c>
      <c r="AD955">
        <f>IF(ISNUMBER(V955),V955*($AB$1/V$2635),"")</f>
        <v/>
      </c>
      <c r="AE955">
        <f>IF(ISNUMBER(Z955),Z955*($AB$1/Z$2635),"")</f>
        <v/>
      </c>
      <c r="AF955" s="25">
        <f>IF(ISNUMBER(AD955+AE955),AD955+AE955,"")</f>
        <v/>
      </c>
      <c r="AH955" s="1">
        <f>A955</f>
        <v/>
      </c>
      <c r="AI955">
        <f>IF(ISNUMBER((1+V955)*AI954),(1+V955)*AI954,AI954)</f>
        <v/>
      </c>
      <c r="AJ955">
        <f>IF(ISNUMBER((1+Z955)*AJ954),(1+Z955)*AJ954,AJ954)</f>
        <v/>
      </c>
    </row>
    <row r="956">
      <c r="A956" s="1" t="n">
        <v>43389</v>
      </c>
      <c r="B956" s="3">
        <f>IF(ORIG!B956=0,"",ORIG!B956)</f>
        <v/>
      </c>
      <c r="C956" s="3">
        <f>IF(ORIG!C956=0,"",ORIG!C956)</f>
        <v/>
      </c>
      <c r="D956" s="3">
        <f>IF(ORIG!D956=0,"",ORIG!D956)</f>
        <v/>
      </c>
      <c r="E956" s="3">
        <f>IF(ORIG!E956=0,"",ORIG!E956)</f>
        <v/>
      </c>
      <c r="F956" s="3">
        <f>IF(ORIG!F956=0,"",ORIG!F956)</f>
        <v/>
      </c>
      <c r="G956" s="3">
        <f>IF(ORIG!G956=0,"",ORIG!G956)</f>
        <v/>
      </c>
      <c r="H956" s="3">
        <f>IF(ORIG!H956=0,"",ORIG!H956)</f>
        <v/>
      </c>
      <c r="I956" s="3">
        <f>IF(ORIG!I956=0,"",ORIG!I956)</f>
        <v/>
      </c>
      <c r="J956" s="3">
        <f>IF(ORIG!J956=0,"",ORIG!J956)</f>
        <v/>
      </c>
      <c r="K956" s="3">
        <f>IF(ORIG!K956=0,"",ORIG!K956)</f>
        <v/>
      </c>
      <c r="L956" s="3">
        <f>IF(ORIG!L956=0,"",ORIG!L956)</f>
        <v/>
      </c>
      <c r="M956" s="3">
        <f>IF(ORIG!M956=0,"",ORIG!M956)</f>
        <v/>
      </c>
      <c r="N956" s="3">
        <f>IF(ORIG!N956=0,"",ORIG!N956)</f>
        <v/>
      </c>
      <c r="O956" s="3">
        <f>IF(ORIG!O956=0,"",ORIG!O956)</f>
        <v/>
      </c>
      <c r="P956" s="3">
        <f>IF(ORIG!P956=0,"",ORIG!P956)</f>
        <v/>
      </c>
      <c r="Q956" s="3">
        <f>IF(ORIG!Q956=0,"",ORIG!Q956)</f>
        <v/>
      </c>
      <c r="R956" s="3">
        <f>IF(ORIG!R956=0,"",ORIG!R956)</f>
        <v/>
      </c>
      <c r="S956" s="3">
        <f>IF(ORIG!S956=0,"",ORIG!S956)</f>
        <v/>
      </c>
      <c r="T956" s="3">
        <f>IF(ORIG!T956=0,"",ORIG!T956)</f>
        <v/>
      </c>
      <c r="U956" s="3">
        <f>IF(ORIG!U956=0,"",ORIG!U956)</f>
        <v/>
      </c>
      <c r="V956" s="9">
        <f>IF(ORIG!V956=0,"",ORIG!V956)</f>
        <v/>
      </c>
      <c r="W956" s="9">
        <f>IF(ORIG!W956=0,"",ORIG!W956)</f>
        <v/>
      </c>
      <c r="X956" s="9">
        <f>IF(ORIG!X956=0,"",ORIG!X956)</f>
        <v/>
      </c>
      <c r="Y956" s="9">
        <f>IF(ORIG!Y956=0,"",ORIG!Y956)</f>
        <v/>
      </c>
      <c r="Z956" s="3">
        <f>SUMPRODUCT($B956:$Y956,$B$2649:$Y$2649)</f>
        <v/>
      </c>
      <c r="AA956" s="3">
        <f>SUMPRODUCT($B956:$Y956,$B$2655:$Y$2655)</f>
        <v/>
      </c>
      <c r="AC956" s="1">
        <f>A956</f>
        <v/>
      </c>
      <c r="AD956">
        <f>IF(ISNUMBER(V956),V956*($AB$1/V$2635),"")</f>
        <v/>
      </c>
      <c r="AE956">
        <f>IF(ISNUMBER(Z956),Z956*($AB$1/Z$2635),"")</f>
        <v/>
      </c>
      <c r="AF956" s="25">
        <f>IF(ISNUMBER(AD956+AE956),AD956+AE956,"")</f>
        <v/>
      </c>
      <c r="AH956" s="1">
        <f>A956</f>
        <v/>
      </c>
      <c r="AI956">
        <f>IF(ISNUMBER((1+V956)*AI955),(1+V956)*AI955,AI955)</f>
        <v/>
      </c>
      <c r="AJ956">
        <f>IF(ISNUMBER((1+Z956)*AJ955),(1+Z956)*AJ955,AJ955)</f>
        <v/>
      </c>
    </row>
    <row r="957">
      <c r="A957" s="1" t="n">
        <v>43390</v>
      </c>
      <c r="B957" s="3">
        <f>IF(ORIG!B957=0,"",ORIG!B957)</f>
        <v/>
      </c>
      <c r="C957" s="3">
        <f>IF(ORIG!C957=0,"",ORIG!C957)</f>
        <v/>
      </c>
      <c r="D957" s="3">
        <f>IF(ORIG!D957=0,"",ORIG!D957)</f>
        <v/>
      </c>
      <c r="E957" s="3">
        <f>IF(ORIG!E957=0,"",ORIG!E957)</f>
        <v/>
      </c>
      <c r="F957" s="3">
        <f>IF(ORIG!F957=0,"",ORIG!F957)</f>
        <v/>
      </c>
      <c r="G957" s="3">
        <f>IF(ORIG!G957=0,"",ORIG!G957)</f>
        <v/>
      </c>
      <c r="H957" s="3">
        <f>IF(ORIG!H957=0,"",ORIG!H957)</f>
        <v/>
      </c>
      <c r="I957" s="3">
        <f>IF(ORIG!I957=0,"",ORIG!I957)</f>
        <v/>
      </c>
      <c r="J957" s="3">
        <f>IF(ORIG!J957=0,"",ORIG!J957)</f>
        <v/>
      </c>
      <c r="K957" s="3">
        <f>IF(ORIG!K957=0,"",ORIG!K957)</f>
        <v/>
      </c>
      <c r="L957" s="3">
        <f>IF(ORIG!L957=0,"",ORIG!L957)</f>
        <v/>
      </c>
      <c r="M957" s="3">
        <f>IF(ORIG!M957=0,"",ORIG!M957)</f>
        <v/>
      </c>
      <c r="N957" s="3">
        <f>IF(ORIG!N957=0,"",ORIG!N957)</f>
        <v/>
      </c>
      <c r="O957" s="3">
        <f>IF(ORIG!O957=0,"",ORIG!O957)</f>
        <v/>
      </c>
      <c r="P957" s="3">
        <f>IF(ORIG!P957=0,"",ORIG!P957)</f>
        <v/>
      </c>
      <c r="Q957" s="3">
        <f>IF(ORIG!Q957=0,"",ORIG!Q957)</f>
        <v/>
      </c>
      <c r="R957" s="3">
        <f>IF(ORIG!R957=0,"",ORIG!R957)</f>
        <v/>
      </c>
      <c r="S957" s="3">
        <f>IF(ORIG!S957=0,"",ORIG!S957)</f>
        <v/>
      </c>
      <c r="T957" s="3">
        <f>IF(ORIG!T957=0,"",ORIG!T957)</f>
        <v/>
      </c>
      <c r="U957" s="3">
        <f>IF(ORIG!U957=0,"",ORIG!U957)</f>
        <v/>
      </c>
      <c r="V957" s="9">
        <f>IF(ORIG!V957=0,"",ORIG!V957)</f>
        <v/>
      </c>
      <c r="W957" s="9">
        <f>IF(ORIG!W957=0,"",ORIG!W957)</f>
        <v/>
      </c>
      <c r="X957" s="9">
        <f>IF(ORIG!X957=0,"",ORIG!X957)</f>
        <v/>
      </c>
      <c r="Y957" s="9">
        <f>IF(ORIG!Y957=0,"",ORIG!Y957)</f>
        <v/>
      </c>
      <c r="Z957" s="3">
        <f>SUMPRODUCT($B957:$Y957,$B$2649:$Y$2649)</f>
        <v/>
      </c>
      <c r="AA957" s="3">
        <f>SUMPRODUCT($B957:$Y957,$B$2655:$Y$2655)</f>
        <v/>
      </c>
      <c r="AC957" s="1">
        <f>A957</f>
        <v/>
      </c>
      <c r="AD957">
        <f>IF(ISNUMBER(V957),V957*($AB$1/V$2635),"")</f>
        <v/>
      </c>
      <c r="AE957">
        <f>IF(ISNUMBER(Z957),Z957*($AB$1/Z$2635),"")</f>
        <v/>
      </c>
      <c r="AF957" s="25">
        <f>IF(ISNUMBER(AD957+AE957),AD957+AE957,"")</f>
        <v/>
      </c>
      <c r="AH957" s="1">
        <f>A957</f>
        <v/>
      </c>
      <c r="AI957">
        <f>IF(ISNUMBER((1+V957)*AI956),(1+V957)*AI956,AI956)</f>
        <v/>
      </c>
      <c r="AJ957">
        <f>IF(ISNUMBER((1+Z957)*AJ956),(1+Z957)*AJ956,AJ956)</f>
        <v/>
      </c>
    </row>
    <row r="958">
      <c r="A958" s="1" t="n">
        <v>43391</v>
      </c>
      <c r="B958" s="3">
        <f>IF(ORIG!B958=0,"",ORIG!B958)</f>
        <v/>
      </c>
      <c r="C958" s="3">
        <f>IF(ORIG!C958=0,"",ORIG!C958)</f>
        <v/>
      </c>
      <c r="D958" s="3">
        <f>IF(ORIG!D958=0,"",ORIG!D958)</f>
        <v/>
      </c>
      <c r="E958" s="3">
        <f>IF(ORIG!E958=0,"",ORIG!E958)</f>
        <v/>
      </c>
      <c r="F958" s="3">
        <f>IF(ORIG!F958=0,"",ORIG!F958)</f>
        <v/>
      </c>
      <c r="G958" s="3">
        <f>IF(ORIG!G958=0,"",ORIG!G958)</f>
        <v/>
      </c>
      <c r="H958" s="3">
        <f>IF(ORIG!H958=0,"",ORIG!H958)</f>
        <v/>
      </c>
      <c r="I958" s="3">
        <f>IF(ORIG!I958=0,"",ORIG!I958)</f>
        <v/>
      </c>
      <c r="J958" s="3">
        <f>IF(ORIG!J958=0,"",ORIG!J958)</f>
        <v/>
      </c>
      <c r="K958" s="3">
        <f>IF(ORIG!K958=0,"",ORIG!K958)</f>
        <v/>
      </c>
      <c r="L958" s="3">
        <f>IF(ORIG!L958=0,"",ORIG!L958)</f>
        <v/>
      </c>
      <c r="M958" s="3">
        <f>IF(ORIG!M958=0,"",ORIG!M958)</f>
        <v/>
      </c>
      <c r="N958" s="3">
        <f>IF(ORIG!N958=0,"",ORIG!N958)</f>
        <v/>
      </c>
      <c r="O958" s="3">
        <f>IF(ORIG!O958=0,"",ORIG!O958)</f>
        <v/>
      </c>
      <c r="P958" s="3">
        <f>IF(ORIG!P958=0,"",ORIG!P958)</f>
        <v/>
      </c>
      <c r="Q958" s="3">
        <f>IF(ORIG!Q958=0,"",ORIG!Q958)</f>
        <v/>
      </c>
      <c r="R958" s="3">
        <f>IF(ORIG!R958=0,"",ORIG!R958)</f>
        <v/>
      </c>
      <c r="S958" s="3">
        <f>IF(ORIG!S958=0,"",ORIG!S958)</f>
        <v/>
      </c>
      <c r="T958" s="3">
        <f>IF(ORIG!T958=0,"",ORIG!T958)</f>
        <v/>
      </c>
      <c r="U958" s="3">
        <f>IF(ORIG!U958=0,"",ORIG!U958)</f>
        <v/>
      </c>
      <c r="V958" s="9">
        <f>IF(ORIG!V958=0,"",ORIG!V958)</f>
        <v/>
      </c>
      <c r="W958" s="9">
        <f>IF(ORIG!W958=0,"",ORIG!W958)</f>
        <v/>
      </c>
      <c r="X958" s="9">
        <f>IF(ORIG!X958=0,"",ORIG!X958)</f>
        <v/>
      </c>
      <c r="Y958" s="9">
        <f>IF(ORIG!Y958=0,"",ORIG!Y958)</f>
        <v/>
      </c>
      <c r="Z958" s="3">
        <f>SUMPRODUCT($B958:$Y958,$B$2649:$Y$2649)</f>
        <v/>
      </c>
      <c r="AA958" s="3">
        <f>SUMPRODUCT($B958:$Y958,$B$2655:$Y$2655)</f>
        <v/>
      </c>
      <c r="AC958" s="1">
        <f>A958</f>
        <v/>
      </c>
      <c r="AD958">
        <f>IF(ISNUMBER(V958),V958*($AB$1/V$2635),"")</f>
        <v/>
      </c>
      <c r="AE958">
        <f>IF(ISNUMBER(Z958),Z958*($AB$1/Z$2635),"")</f>
        <v/>
      </c>
      <c r="AF958" s="25">
        <f>IF(ISNUMBER(AD958+AE958),AD958+AE958,"")</f>
        <v/>
      </c>
      <c r="AH958" s="1">
        <f>A958</f>
        <v/>
      </c>
      <c r="AI958">
        <f>IF(ISNUMBER((1+V958)*AI957),(1+V958)*AI957,AI957)</f>
        <v/>
      </c>
      <c r="AJ958">
        <f>IF(ISNUMBER((1+Z958)*AJ957),(1+Z958)*AJ957,AJ957)</f>
        <v/>
      </c>
    </row>
    <row r="959">
      <c r="A959" s="1" t="n">
        <v>43392</v>
      </c>
      <c r="B959" s="3">
        <f>IF(ORIG!B959=0,"",ORIG!B959)</f>
        <v/>
      </c>
      <c r="C959" s="3">
        <f>IF(ORIG!C959=0,"",ORIG!C959)</f>
        <v/>
      </c>
      <c r="D959" s="3">
        <f>IF(ORIG!D959=0,"",ORIG!D959)</f>
        <v/>
      </c>
      <c r="E959" s="3">
        <f>IF(ORIG!E959=0,"",ORIG!E959)</f>
        <v/>
      </c>
      <c r="F959" s="3">
        <f>IF(ORIG!F959=0,"",ORIG!F959)</f>
        <v/>
      </c>
      <c r="G959" s="3">
        <f>IF(ORIG!G959=0,"",ORIG!G959)</f>
        <v/>
      </c>
      <c r="H959" s="3">
        <f>IF(ORIG!H959=0,"",ORIG!H959)</f>
        <v/>
      </c>
      <c r="I959" s="3">
        <f>IF(ORIG!I959=0,"",ORIG!I959)</f>
        <v/>
      </c>
      <c r="J959" s="3">
        <f>IF(ORIG!J959=0,"",ORIG!J959)</f>
        <v/>
      </c>
      <c r="K959" s="3">
        <f>IF(ORIG!K959=0,"",ORIG!K959)</f>
        <v/>
      </c>
      <c r="L959" s="3">
        <f>IF(ORIG!L959=0,"",ORIG!L959)</f>
        <v/>
      </c>
      <c r="M959" s="3">
        <f>IF(ORIG!M959=0,"",ORIG!M959)</f>
        <v/>
      </c>
      <c r="N959" s="3">
        <f>IF(ORIG!N959=0,"",ORIG!N959)</f>
        <v/>
      </c>
      <c r="O959" s="3">
        <f>IF(ORIG!O959=0,"",ORIG!O959)</f>
        <v/>
      </c>
      <c r="P959" s="3">
        <f>IF(ORIG!P959=0,"",ORIG!P959)</f>
        <v/>
      </c>
      <c r="Q959" s="3">
        <f>IF(ORIG!Q959=0,"",ORIG!Q959)</f>
        <v/>
      </c>
      <c r="R959" s="3">
        <f>IF(ORIG!R959=0,"",ORIG!R959)</f>
        <v/>
      </c>
      <c r="S959" s="3">
        <f>IF(ORIG!S959=0,"",ORIG!S959)</f>
        <v/>
      </c>
      <c r="T959" s="3">
        <f>IF(ORIG!T959=0,"",ORIG!T959)</f>
        <v/>
      </c>
      <c r="U959" s="3">
        <f>IF(ORIG!U959=0,"",ORIG!U959)</f>
        <v/>
      </c>
      <c r="V959" s="9">
        <f>IF(ORIG!V959=0,"",ORIG!V959)</f>
        <v/>
      </c>
      <c r="W959" s="9">
        <f>IF(ORIG!W959=0,"",ORIG!W959)</f>
        <v/>
      </c>
      <c r="X959" s="9">
        <f>IF(ORIG!X959=0,"",ORIG!X959)</f>
        <v/>
      </c>
      <c r="Y959" s="9">
        <f>IF(ORIG!Y959=0,"",ORIG!Y959)</f>
        <v/>
      </c>
      <c r="Z959" s="3">
        <f>SUMPRODUCT($B959:$Y959,$B$2649:$Y$2649)</f>
        <v/>
      </c>
      <c r="AA959" s="3">
        <f>SUMPRODUCT($B959:$Y959,$B$2655:$Y$2655)</f>
        <v/>
      </c>
      <c r="AC959" s="1">
        <f>A959</f>
        <v/>
      </c>
      <c r="AD959">
        <f>IF(ISNUMBER(V959),V959*($AB$1/V$2635),"")</f>
        <v/>
      </c>
      <c r="AE959">
        <f>IF(ISNUMBER(Z959),Z959*($AB$1/Z$2635),"")</f>
        <v/>
      </c>
      <c r="AF959" s="25">
        <f>IF(ISNUMBER(AD959+AE959),AD959+AE959,"")</f>
        <v/>
      </c>
      <c r="AH959" s="1">
        <f>A959</f>
        <v/>
      </c>
      <c r="AI959">
        <f>IF(ISNUMBER((1+V959)*AI958),(1+V959)*AI958,AI958)</f>
        <v/>
      </c>
      <c r="AJ959">
        <f>IF(ISNUMBER((1+Z959)*AJ958),(1+Z959)*AJ958,AJ958)</f>
        <v/>
      </c>
    </row>
    <row r="960">
      <c r="A960" s="1" t="n">
        <v>43395</v>
      </c>
      <c r="B960" s="3">
        <f>IF(ORIG!B960=0,"",ORIG!B960)</f>
        <v/>
      </c>
      <c r="C960" s="3">
        <f>IF(ORIG!C960=0,"",ORIG!C960)</f>
        <v/>
      </c>
      <c r="D960" s="3">
        <f>IF(ORIG!D960=0,"",ORIG!D960)</f>
        <v/>
      </c>
      <c r="E960" s="3">
        <f>IF(ORIG!E960=0,"",ORIG!E960)</f>
        <v/>
      </c>
      <c r="F960" s="3">
        <f>IF(ORIG!F960=0,"",ORIG!F960)</f>
        <v/>
      </c>
      <c r="G960" s="3">
        <f>IF(ORIG!G960=0,"",ORIG!G960)</f>
        <v/>
      </c>
      <c r="H960" s="3">
        <f>IF(ORIG!H960=0,"",ORIG!H960)</f>
        <v/>
      </c>
      <c r="I960" s="3">
        <f>IF(ORIG!I960=0,"",ORIG!I960)</f>
        <v/>
      </c>
      <c r="J960" s="3">
        <f>IF(ORIG!J960=0,"",ORIG!J960)</f>
        <v/>
      </c>
      <c r="K960" s="3">
        <f>IF(ORIG!K960=0,"",ORIG!K960)</f>
        <v/>
      </c>
      <c r="L960" s="3">
        <f>IF(ORIG!L960=0,"",ORIG!L960)</f>
        <v/>
      </c>
      <c r="M960" s="3">
        <f>IF(ORIG!M960=0,"",ORIG!M960)</f>
        <v/>
      </c>
      <c r="N960" s="3">
        <f>IF(ORIG!N960=0,"",ORIG!N960)</f>
        <v/>
      </c>
      <c r="O960" s="3">
        <f>IF(ORIG!O960=0,"",ORIG!O960)</f>
        <v/>
      </c>
      <c r="P960" s="3">
        <f>IF(ORIG!P960=0,"",ORIG!P960)</f>
        <v/>
      </c>
      <c r="Q960" s="3">
        <f>IF(ORIG!Q960=0,"",ORIG!Q960)</f>
        <v/>
      </c>
      <c r="R960" s="3">
        <f>IF(ORIG!R960=0,"",ORIG!R960)</f>
        <v/>
      </c>
      <c r="S960" s="3">
        <f>IF(ORIG!S960=0,"",ORIG!S960)</f>
        <v/>
      </c>
      <c r="T960" s="3">
        <f>IF(ORIG!T960=0,"",ORIG!T960)</f>
        <v/>
      </c>
      <c r="U960" s="3">
        <f>IF(ORIG!U960=0,"",ORIG!U960)</f>
        <v/>
      </c>
      <c r="V960" s="9">
        <f>IF(ORIG!V960=0,"",ORIG!V960)</f>
        <v/>
      </c>
      <c r="W960" s="9">
        <f>IF(ORIG!W960=0,"",ORIG!W960)</f>
        <v/>
      </c>
      <c r="X960" s="9">
        <f>IF(ORIG!X960=0,"",ORIG!X960)</f>
        <v/>
      </c>
      <c r="Y960" s="9">
        <f>IF(ORIG!Y960=0,"",ORIG!Y960)</f>
        <v/>
      </c>
      <c r="Z960" s="3">
        <f>SUMPRODUCT($B960:$Y960,$B$2649:$Y$2649)</f>
        <v/>
      </c>
      <c r="AA960" s="3">
        <f>SUMPRODUCT($B960:$Y960,$B$2655:$Y$2655)</f>
        <v/>
      </c>
      <c r="AC960" s="1">
        <f>A960</f>
        <v/>
      </c>
      <c r="AD960">
        <f>IF(ISNUMBER(V960),V960*($AB$1/V$2635),"")</f>
        <v/>
      </c>
      <c r="AE960">
        <f>IF(ISNUMBER(Z960),Z960*($AB$1/Z$2635),"")</f>
        <v/>
      </c>
      <c r="AF960" s="25">
        <f>IF(ISNUMBER(AD960+AE960),AD960+AE960,"")</f>
        <v/>
      </c>
      <c r="AH960" s="1">
        <f>A960</f>
        <v/>
      </c>
      <c r="AI960">
        <f>IF(ISNUMBER((1+V960)*AI959),(1+V960)*AI959,AI959)</f>
        <v/>
      </c>
      <c r="AJ960">
        <f>IF(ISNUMBER((1+Z960)*AJ959),(1+Z960)*AJ959,AJ959)</f>
        <v/>
      </c>
    </row>
    <row r="961">
      <c r="A961" s="1" t="n">
        <v>43396</v>
      </c>
      <c r="B961" s="3">
        <f>IF(ORIG!B961=0,"",ORIG!B961)</f>
        <v/>
      </c>
      <c r="C961" s="3">
        <f>IF(ORIG!C961=0,"",ORIG!C961)</f>
        <v/>
      </c>
      <c r="D961" s="3">
        <f>IF(ORIG!D961=0,"",ORIG!D961)</f>
        <v/>
      </c>
      <c r="E961" s="3">
        <f>IF(ORIG!E961=0,"",ORIG!E961)</f>
        <v/>
      </c>
      <c r="F961" s="3">
        <f>IF(ORIG!F961=0,"",ORIG!F961)</f>
        <v/>
      </c>
      <c r="G961" s="3">
        <f>IF(ORIG!G961=0,"",ORIG!G961)</f>
        <v/>
      </c>
      <c r="H961" s="3">
        <f>IF(ORIG!H961=0,"",ORIG!H961)</f>
        <v/>
      </c>
      <c r="I961" s="3">
        <f>IF(ORIG!I961=0,"",ORIG!I961)</f>
        <v/>
      </c>
      <c r="J961" s="3">
        <f>IF(ORIG!J961=0,"",ORIG!J961)</f>
        <v/>
      </c>
      <c r="K961" s="3">
        <f>IF(ORIG!K961=0,"",ORIG!K961)</f>
        <v/>
      </c>
      <c r="L961" s="3">
        <f>IF(ORIG!L961=0,"",ORIG!L961)</f>
        <v/>
      </c>
      <c r="M961" s="3">
        <f>IF(ORIG!M961=0,"",ORIG!M961)</f>
        <v/>
      </c>
      <c r="N961" s="3">
        <f>IF(ORIG!N961=0,"",ORIG!N961)</f>
        <v/>
      </c>
      <c r="O961" s="3">
        <f>IF(ORIG!O961=0,"",ORIG!O961)</f>
        <v/>
      </c>
      <c r="P961" s="3">
        <f>IF(ORIG!P961=0,"",ORIG!P961)</f>
        <v/>
      </c>
      <c r="Q961" s="3">
        <f>IF(ORIG!Q961=0,"",ORIG!Q961)</f>
        <v/>
      </c>
      <c r="R961" s="3">
        <f>IF(ORIG!R961=0,"",ORIG!R961)</f>
        <v/>
      </c>
      <c r="S961" s="3">
        <f>IF(ORIG!S961=0,"",ORIG!S961)</f>
        <v/>
      </c>
      <c r="T961" s="3">
        <f>IF(ORIG!T961=0,"",ORIG!T961)</f>
        <v/>
      </c>
      <c r="U961" s="3">
        <f>IF(ORIG!U961=0,"",ORIG!U961)</f>
        <v/>
      </c>
      <c r="V961" s="9">
        <f>IF(ORIG!V961=0,"",ORIG!V961)</f>
        <v/>
      </c>
      <c r="W961" s="9">
        <f>IF(ORIG!W961=0,"",ORIG!W961)</f>
        <v/>
      </c>
      <c r="X961" s="9">
        <f>IF(ORIG!X961=0,"",ORIG!X961)</f>
        <v/>
      </c>
      <c r="Y961" s="9">
        <f>IF(ORIG!Y961=0,"",ORIG!Y961)</f>
        <v/>
      </c>
      <c r="Z961" s="3">
        <f>SUMPRODUCT($B961:$Y961,$B$2649:$Y$2649)</f>
        <v/>
      </c>
      <c r="AA961" s="3">
        <f>SUMPRODUCT($B961:$Y961,$B$2655:$Y$2655)</f>
        <v/>
      </c>
      <c r="AC961" s="1">
        <f>A961</f>
        <v/>
      </c>
      <c r="AD961">
        <f>IF(ISNUMBER(V961),V961*($AB$1/V$2635),"")</f>
        <v/>
      </c>
      <c r="AE961">
        <f>IF(ISNUMBER(Z961),Z961*($AB$1/Z$2635),"")</f>
        <v/>
      </c>
      <c r="AF961" s="25">
        <f>IF(ISNUMBER(AD961+AE961),AD961+AE961,"")</f>
        <v/>
      </c>
      <c r="AH961" s="1">
        <f>A961</f>
        <v/>
      </c>
      <c r="AI961">
        <f>IF(ISNUMBER((1+V961)*AI960),(1+V961)*AI960,AI960)</f>
        <v/>
      </c>
      <c r="AJ961">
        <f>IF(ISNUMBER((1+Z961)*AJ960),(1+Z961)*AJ960,AJ960)</f>
        <v/>
      </c>
    </row>
    <row r="962">
      <c r="A962" s="1" t="n">
        <v>43397</v>
      </c>
      <c r="B962" s="3">
        <f>IF(ORIG!B962=0,"",ORIG!B962)</f>
        <v/>
      </c>
      <c r="C962" s="3">
        <f>IF(ORIG!C962=0,"",ORIG!C962)</f>
        <v/>
      </c>
      <c r="D962" s="3">
        <f>IF(ORIG!D962=0,"",ORIG!D962)</f>
        <v/>
      </c>
      <c r="E962" s="3">
        <f>IF(ORIG!E962=0,"",ORIG!E962)</f>
        <v/>
      </c>
      <c r="F962" s="3">
        <f>IF(ORIG!F962=0,"",ORIG!F962)</f>
        <v/>
      </c>
      <c r="G962" s="3">
        <f>IF(ORIG!G962=0,"",ORIG!G962)</f>
        <v/>
      </c>
      <c r="H962" s="3">
        <f>IF(ORIG!H962=0,"",ORIG!H962)</f>
        <v/>
      </c>
      <c r="I962" s="3">
        <f>IF(ORIG!I962=0,"",ORIG!I962)</f>
        <v/>
      </c>
      <c r="J962" s="3">
        <f>IF(ORIG!J962=0,"",ORIG!J962)</f>
        <v/>
      </c>
      <c r="K962" s="3">
        <f>IF(ORIG!K962=0,"",ORIG!K962)</f>
        <v/>
      </c>
      <c r="L962" s="3">
        <f>IF(ORIG!L962=0,"",ORIG!L962)</f>
        <v/>
      </c>
      <c r="M962" s="3">
        <f>IF(ORIG!M962=0,"",ORIG!M962)</f>
        <v/>
      </c>
      <c r="N962" s="3">
        <f>IF(ORIG!N962=0,"",ORIG!N962)</f>
        <v/>
      </c>
      <c r="O962" s="3">
        <f>IF(ORIG!O962=0,"",ORIG!O962)</f>
        <v/>
      </c>
      <c r="P962" s="3">
        <f>IF(ORIG!P962=0,"",ORIG!P962)</f>
        <v/>
      </c>
      <c r="Q962" s="3">
        <f>IF(ORIG!Q962=0,"",ORIG!Q962)</f>
        <v/>
      </c>
      <c r="R962" s="3">
        <f>IF(ORIG!R962=0,"",ORIG!R962)</f>
        <v/>
      </c>
      <c r="S962" s="3">
        <f>IF(ORIG!S962=0,"",ORIG!S962)</f>
        <v/>
      </c>
      <c r="T962" s="3">
        <f>IF(ORIG!T962=0,"",ORIG!T962)</f>
        <v/>
      </c>
      <c r="U962" s="3">
        <f>IF(ORIG!U962=0,"",ORIG!U962)</f>
        <v/>
      </c>
      <c r="V962" s="9">
        <f>IF(ORIG!V962=0,"",ORIG!V962)</f>
        <v/>
      </c>
      <c r="W962" s="9">
        <f>IF(ORIG!W962=0,"",ORIG!W962)</f>
        <v/>
      </c>
      <c r="X962" s="9">
        <f>IF(ORIG!X962=0,"",ORIG!X962)</f>
        <v/>
      </c>
      <c r="Y962" s="9">
        <f>IF(ORIG!Y962=0,"",ORIG!Y962)</f>
        <v/>
      </c>
      <c r="Z962" s="3">
        <f>SUMPRODUCT($B962:$Y962,$B$2649:$Y$2649)</f>
        <v/>
      </c>
      <c r="AA962" s="3">
        <f>SUMPRODUCT($B962:$Y962,$B$2655:$Y$2655)</f>
        <v/>
      </c>
      <c r="AC962" s="1">
        <f>A962</f>
        <v/>
      </c>
      <c r="AD962">
        <f>IF(ISNUMBER(V962),V962*($AB$1/V$2635),"")</f>
        <v/>
      </c>
      <c r="AE962">
        <f>IF(ISNUMBER(Z962),Z962*($AB$1/Z$2635),"")</f>
        <v/>
      </c>
      <c r="AF962" s="25">
        <f>IF(ISNUMBER(AD962+AE962),AD962+AE962,"")</f>
        <v/>
      </c>
      <c r="AH962" s="1">
        <f>A962</f>
        <v/>
      </c>
      <c r="AI962">
        <f>IF(ISNUMBER((1+V962)*AI961),(1+V962)*AI961,AI961)</f>
        <v/>
      </c>
      <c r="AJ962">
        <f>IF(ISNUMBER((1+Z962)*AJ961),(1+Z962)*AJ961,AJ961)</f>
        <v/>
      </c>
    </row>
    <row r="963">
      <c r="A963" s="1" t="n">
        <v>43398</v>
      </c>
      <c r="B963" s="3">
        <f>IF(ORIG!B963=0,"",ORIG!B963)</f>
        <v/>
      </c>
      <c r="C963" s="3">
        <f>IF(ORIG!C963=0,"",ORIG!C963)</f>
        <v/>
      </c>
      <c r="D963" s="3">
        <f>IF(ORIG!D963=0,"",ORIG!D963)</f>
        <v/>
      </c>
      <c r="E963" s="3">
        <f>IF(ORIG!E963=0,"",ORIG!E963)</f>
        <v/>
      </c>
      <c r="F963" s="3">
        <f>IF(ORIG!F963=0,"",ORIG!F963)</f>
        <v/>
      </c>
      <c r="G963" s="3">
        <f>IF(ORIG!G963=0,"",ORIG!G963)</f>
        <v/>
      </c>
      <c r="H963" s="3">
        <f>IF(ORIG!H963=0,"",ORIG!H963)</f>
        <v/>
      </c>
      <c r="I963" s="3">
        <f>IF(ORIG!I963=0,"",ORIG!I963)</f>
        <v/>
      </c>
      <c r="J963" s="3">
        <f>IF(ORIG!J963=0,"",ORIG!J963)</f>
        <v/>
      </c>
      <c r="K963" s="3">
        <f>IF(ORIG!K963=0,"",ORIG!K963)</f>
        <v/>
      </c>
      <c r="L963" s="3">
        <f>IF(ORIG!L963=0,"",ORIG!L963)</f>
        <v/>
      </c>
      <c r="M963" s="3">
        <f>IF(ORIG!M963=0,"",ORIG!M963)</f>
        <v/>
      </c>
      <c r="N963" s="3">
        <f>IF(ORIG!N963=0,"",ORIG!N963)</f>
        <v/>
      </c>
      <c r="O963" s="3">
        <f>IF(ORIG!O963=0,"",ORIG!O963)</f>
        <v/>
      </c>
      <c r="P963" s="3">
        <f>IF(ORIG!P963=0,"",ORIG!P963)</f>
        <v/>
      </c>
      <c r="Q963" s="3">
        <f>IF(ORIG!Q963=0,"",ORIG!Q963)</f>
        <v/>
      </c>
      <c r="R963" s="3">
        <f>IF(ORIG!R963=0,"",ORIG!R963)</f>
        <v/>
      </c>
      <c r="S963" s="3">
        <f>IF(ORIG!S963=0,"",ORIG!S963)</f>
        <v/>
      </c>
      <c r="T963" s="3">
        <f>IF(ORIG!T963=0,"",ORIG!T963)</f>
        <v/>
      </c>
      <c r="U963" s="3">
        <f>IF(ORIG!U963=0,"",ORIG!U963)</f>
        <v/>
      </c>
      <c r="V963" s="9">
        <f>IF(ORIG!V963=0,"",ORIG!V963)</f>
        <v/>
      </c>
      <c r="W963" s="9">
        <f>IF(ORIG!W963=0,"",ORIG!W963)</f>
        <v/>
      </c>
      <c r="X963" s="9">
        <f>IF(ORIG!X963=0,"",ORIG!X963)</f>
        <v/>
      </c>
      <c r="Y963" s="9">
        <f>IF(ORIG!Y963=0,"",ORIG!Y963)</f>
        <v/>
      </c>
      <c r="Z963" s="3">
        <f>SUMPRODUCT($B963:$Y963,$B$2649:$Y$2649)</f>
        <v/>
      </c>
      <c r="AA963" s="3">
        <f>SUMPRODUCT($B963:$Y963,$B$2655:$Y$2655)</f>
        <v/>
      </c>
      <c r="AC963" s="1">
        <f>A963</f>
        <v/>
      </c>
      <c r="AD963">
        <f>IF(ISNUMBER(V963),V963*($AB$1/V$2635),"")</f>
        <v/>
      </c>
      <c r="AE963">
        <f>IF(ISNUMBER(Z963),Z963*($AB$1/Z$2635),"")</f>
        <v/>
      </c>
      <c r="AF963" s="25">
        <f>IF(ISNUMBER(AD963+AE963),AD963+AE963,"")</f>
        <v/>
      </c>
      <c r="AH963" s="1">
        <f>A963</f>
        <v/>
      </c>
      <c r="AI963">
        <f>IF(ISNUMBER((1+V963)*AI962),(1+V963)*AI962,AI962)</f>
        <v/>
      </c>
      <c r="AJ963">
        <f>IF(ISNUMBER((1+Z963)*AJ962),(1+Z963)*AJ962,AJ962)</f>
        <v/>
      </c>
    </row>
    <row r="964">
      <c r="A964" s="1" t="n">
        <v>43399</v>
      </c>
      <c r="B964" s="3">
        <f>IF(ORIG!B964=0,"",ORIG!B964)</f>
        <v/>
      </c>
      <c r="C964" s="3">
        <f>IF(ORIG!C964=0,"",ORIG!C964)</f>
        <v/>
      </c>
      <c r="D964" s="3">
        <f>IF(ORIG!D964=0,"",ORIG!D964)</f>
        <v/>
      </c>
      <c r="E964" s="3">
        <f>IF(ORIG!E964=0,"",ORIG!E964)</f>
        <v/>
      </c>
      <c r="F964" s="3">
        <f>IF(ORIG!F964=0,"",ORIG!F964)</f>
        <v/>
      </c>
      <c r="G964" s="3">
        <f>IF(ORIG!G964=0,"",ORIG!G964)</f>
        <v/>
      </c>
      <c r="H964" s="3">
        <f>IF(ORIG!H964=0,"",ORIG!H964)</f>
        <v/>
      </c>
      <c r="I964" s="3">
        <f>IF(ORIG!I964=0,"",ORIG!I964)</f>
        <v/>
      </c>
      <c r="J964" s="3">
        <f>IF(ORIG!J964=0,"",ORIG!J964)</f>
        <v/>
      </c>
      <c r="K964" s="3">
        <f>IF(ORIG!K964=0,"",ORIG!K964)</f>
        <v/>
      </c>
      <c r="L964" s="3">
        <f>IF(ORIG!L964=0,"",ORIG!L964)</f>
        <v/>
      </c>
      <c r="M964" s="3">
        <f>IF(ORIG!M964=0,"",ORIG!M964)</f>
        <v/>
      </c>
      <c r="N964" s="3">
        <f>IF(ORIG!N964=0,"",ORIG!N964)</f>
        <v/>
      </c>
      <c r="O964" s="3">
        <f>IF(ORIG!O964=0,"",ORIG!O964)</f>
        <v/>
      </c>
      <c r="P964" s="3">
        <f>IF(ORIG!P964=0,"",ORIG!P964)</f>
        <v/>
      </c>
      <c r="Q964" s="3">
        <f>IF(ORIG!Q964=0,"",ORIG!Q964)</f>
        <v/>
      </c>
      <c r="R964" s="3">
        <f>IF(ORIG!R964=0,"",ORIG!R964)</f>
        <v/>
      </c>
      <c r="S964" s="3">
        <f>IF(ORIG!S964=0,"",ORIG!S964)</f>
        <v/>
      </c>
      <c r="T964" s="3">
        <f>IF(ORIG!T964=0,"",ORIG!T964)</f>
        <v/>
      </c>
      <c r="U964" s="3">
        <f>IF(ORIG!U964=0,"",ORIG!U964)</f>
        <v/>
      </c>
      <c r="V964" s="9">
        <f>IF(ORIG!V964=0,"",ORIG!V964)</f>
        <v/>
      </c>
      <c r="W964" s="9">
        <f>IF(ORIG!W964=0,"",ORIG!W964)</f>
        <v/>
      </c>
      <c r="X964" s="9">
        <f>IF(ORIG!X964=0,"",ORIG!X964)</f>
        <v/>
      </c>
      <c r="Y964" s="9">
        <f>IF(ORIG!Y964=0,"",ORIG!Y964)</f>
        <v/>
      </c>
      <c r="Z964" s="3">
        <f>SUMPRODUCT($B964:$Y964,$B$2649:$Y$2649)</f>
        <v/>
      </c>
      <c r="AA964" s="3">
        <f>SUMPRODUCT($B964:$Y964,$B$2655:$Y$2655)</f>
        <v/>
      </c>
      <c r="AC964" s="1">
        <f>A964</f>
        <v/>
      </c>
      <c r="AD964">
        <f>IF(ISNUMBER(V964),V964*($AB$1/V$2635),"")</f>
        <v/>
      </c>
      <c r="AE964">
        <f>IF(ISNUMBER(Z964),Z964*($AB$1/Z$2635),"")</f>
        <v/>
      </c>
      <c r="AF964" s="25">
        <f>IF(ISNUMBER(AD964+AE964),AD964+AE964,"")</f>
        <v/>
      </c>
      <c r="AH964" s="1">
        <f>A964</f>
        <v/>
      </c>
      <c r="AI964">
        <f>IF(ISNUMBER((1+V964)*AI963),(1+V964)*AI963,AI963)</f>
        <v/>
      </c>
      <c r="AJ964">
        <f>IF(ISNUMBER((1+Z964)*AJ963),(1+Z964)*AJ963,AJ963)</f>
        <v/>
      </c>
    </row>
    <row r="965">
      <c r="A965" s="1" t="n">
        <v>43402</v>
      </c>
      <c r="B965" s="3">
        <f>IF(ORIG!B965=0,"",ORIG!B965)</f>
        <v/>
      </c>
      <c r="C965" s="3">
        <f>IF(ORIG!C965=0,"",ORIG!C965)</f>
        <v/>
      </c>
      <c r="D965" s="3">
        <f>IF(ORIG!D965=0,"",ORIG!D965)</f>
        <v/>
      </c>
      <c r="E965" s="3">
        <f>IF(ORIG!E965=0,"",ORIG!E965)</f>
        <v/>
      </c>
      <c r="F965" s="3">
        <f>IF(ORIG!F965=0,"",ORIG!F965)</f>
        <v/>
      </c>
      <c r="G965" s="3">
        <f>IF(ORIG!G965=0,"",ORIG!G965)</f>
        <v/>
      </c>
      <c r="H965" s="3">
        <f>IF(ORIG!H965=0,"",ORIG!H965)</f>
        <v/>
      </c>
      <c r="I965" s="3">
        <f>IF(ORIG!I965=0,"",ORIG!I965)</f>
        <v/>
      </c>
      <c r="J965" s="3">
        <f>IF(ORIG!J965=0,"",ORIG!J965)</f>
        <v/>
      </c>
      <c r="K965" s="3">
        <f>IF(ORIG!K965=0,"",ORIG!K965)</f>
        <v/>
      </c>
      <c r="L965" s="3">
        <f>IF(ORIG!L965=0,"",ORIG!L965)</f>
        <v/>
      </c>
      <c r="M965" s="3">
        <f>IF(ORIG!M965=0,"",ORIG!M965)</f>
        <v/>
      </c>
      <c r="N965" s="3">
        <f>IF(ORIG!N965=0,"",ORIG!N965)</f>
        <v/>
      </c>
      <c r="O965" s="3">
        <f>IF(ORIG!O965=0,"",ORIG!O965)</f>
        <v/>
      </c>
      <c r="P965" s="3">
        <f>IF(ORIG!P965=0,"",ORIG!P965)</f>
        <v/>
      </c>
      <c r="Q965" s="3">
        <f>IF(ORIG!Q965=0,"",ORIG!Q965)</f>
        <v/>
      </c>
      <c r="R965" s="3">
        <f>IF(ORIG!R965=0,"",ORIG!R965)</f>
        <v/>
      </c>
      <c r="S965" s="3">
        <f>IF(ORIG!S965=0,"",ORIG!S965)</f>
        <v/>
      </c>
      <c r="T965" s="3">
        <f>IF(ORIG!T965=0,"",ORIG!T965)</f>
        <v/>
      </c>
      <c r="U965" s="3">
        <f>IF(ORIG!U965=0,"",ORIG!U965)</f>
        <v/>
      </c>
      <c r="V965" s="9">
        <f>IF(ORIG!V965=0,"",ORIG!V965)</f>
        <v/>
      </c>
      <c r="W965" s="9">
        <f>IF(ORIG!W965=0,"",ORIG!W965)</f>
        <v/>
      </c>
      <c r="X965" s="9">
        <f>IF(ORIG!X965=0,"",ORIG!X965)</f>
        <v/>
      </c>
      <c r="Y965" s="9">
        <f>IF(ORIG!Y965=0,"",ORIG!Y965)</f>
        <v/>
      </c>
      <c r="Z965" s="3">
        <f>SUMPRODUCT($B965:$Y965,$B$2649:$Y$2649)</f>
        <v/>
      </c>
      <c r="AA965" s="3">
        <f>SUMPRODUCT($B965:$Y965,$B$2655:$Y$2655)</f>
        <v/>
      </c>
      <c r="AC965" s="1">
        <f>A965</f>
        <v/>
      </c>
      <c r="AD965">
        <f>IF(ISNUMBER(V965),V965*($AB$1/V$2635),"")</f>
        <v/>
      </c>
      <c r="AE965">
        <f>IF(ISNUMBER(Z965),Z965*($AB$1/Z$2635),"")</f>
        <v/>
      </c>
      <c r="AF965" s="25">
        <f>IF(ISNUMBER(AD965+AE965),AD965+AE965,"")</f>
        <v/>
      </c>
      <c r="AH965" s="1">
        <f>A965</f>
        <v/>
      </c>
      <c r="AI965">
        <f>IF(ISNUMBER((1+V965)*AI964),(1+V965)*AI964,AI964)</f>
        <v/>
      </c>
      <c r="AJ965">
        <f>IF(ISNUMBER((1+Z965)*AJ964),(1+Z965)*AJ964,AJ964)</f>
        <v/>
      </c>
    </row>
    <row r="966">
      <c r="A966" s="1" t="n">
        <v>43403</v>
      </c>
      <c r="B966" s="3">
        <f>IF(ORIG!B966=0,"",ORIG!B966)</f>
        <v/>
      </c>
      <c r="C966" s="3">
        <f>IF(ORIG!C966=0,"",ORIG!C966)</f>
        <v/>
      </c>
      <c r="D966" s="3">
        <f>IF(ORIG!D966=0,"",ORIG!D966)</f>
        <v/>
      </c>
      <c r="E966" s="3">
        <f>IF(ORIG!E966=0,"",ORIG!E966)</f>
        <v/>
      </c>
      <c r="F966" s="3">
        <f>IF(ORIG!F966=0,"",ORIG!F966)</f>
        <v/>
      </c>
      <c r="G966" s="3">
        <f>IF(ORIG!G966=0,"",ORIG!G966)</f>
        <v/>
      </c>
      <c r="H966" s="3">
        <f>IF(ORIG!H966=0,"",ORIG!H966)</f>
        <v/>
      </c>
      <c r="I966" s="3">
        <f>IF(ORIG!I966=0,"",ORIG!I966)</f>
        <v/>
      </c>
      <c r="J966" s="3">
        <f>IF(ORIG!J966=0,"",ORIG!J966)</f>
        <v/>
      </c>
      <c r="K966" s="3">
        <f>IF(ORIG!K966=0,"",ORIG!K966)</f>
        <v/>
      </c>
      <c r="L966" s="3">
        <f>IF(ORIG!L966=0,"",ORIG!L966)</f>
        <v/>
      </c>
      <c r="M966" s="3">
        <f>IF(ORIG!M966=0,"",ORIG!M966)</f>
        <v/>
      </c>
      <c r="N966" s="3">
        <f>IF(ORIG!N966=0,"",ORIG!N966)</f>
        <v/>
      </c>
      <c r="O966" s="3">
        <f>IF(ORIG!O966=0,"",ORIG!O966)</f>
        <v/>
      </c>
      <c r="P966" s="3">
        <f>IF(ORIG!P966=0,"",ORIG!P966)</f>
        <v/>
      </c>
      <c r="Q966" s="3">
        <f>IF(ORIG!Q966=0,"",ORIG!Q966)</f>
        <v/>
      </c>
      <c r="R966" s="3">
        <f>IF(ORIG!R966=0,"",ORIG!R966)</f>
        <v/>
      </c>
      <c r="S966" s="3">
        <f>IF(ORIG!S966=0,"",ORIG!S966)</f>
        <v/>
      </c>
      <c r="T966" s="3">
        <f>IF(ORIG!T966=0,"",ORIG!T966)</f>
        <v/>
      </c>
      <c r="U966" s="3">
        <f>IF(ORIG!U966=0,"",ORIG!U966)</f>
        <v/>
      </c>
      <c r="V966" s="9">
        <f>IF(ORIG!V966=0,"",ORIG!V966)</f>
        <v/>
      </c>
      <c r="W966" s="9">
        <f>IF(ORIG!W966=0,"",ORIG!W966)</f>
        <v/>
      </c>
      <c r="X966" s="9">
        <f>IF(ORIG!X966=0,"",ORIG!X966)</f>
        <v/>
      </c>
      <c r="Y966" s="9">
        <f>IF(ORIG!Y966=0,"",ORIG!Y966)</f>
        <v/>
      </c>
      <c r="Z966" s="3">
        <f>SUMPRODUCT($B966:$Y966,$B$2649:$Y$2649)</f>
        <v/>
      </c>
      <c r="AA966" s="3">
        <f>SUMPRODUCT($B966:$Y966,$B$2655:$Y$2655)</f>
        <v/>
      </c>
      <c r="AC966" s="1">
        <f>A966</f>
        <v/>
      </c>
      <c r="AD966">
        <f>IF(ISNUMBER(V966),V966*($AB$1/V$2635),"")</f>
        <v/>
      </c>
      <c r="AE966">
        <f>IF(ISNUMBER(Z966),Z966*($AB$1/Z$2635),"")</f>
        <v/>
      </c>
      <c r="AF966" s="25">
        <f>IF(ISNUMBER(AD966+AE966),AD966+AE966,"")</f>
        <v/>
      </c>
      <c r="AH966" s="1">
        <f>A966</f>
        <v/>
      </c>
      <c r="AI966">
        <f>IF(ISNUMBER((1+V966)*AI965),(1+V966)*AI965,AI965)</f>
        <v/>
      </c>
      <c r="AJ966">
        <f>IF(ISNUMBER((1+Z966)*AJ965),(1+Z966)*AJ965,AJ965)</f>
        <v/>
      </c>
    </row>
    <row r="967">
      <c r="A967" s="1" t="n">
        <v>43404</v>
      </c>
      <c r="B967" s="3">
        <f>IF(ORIG!B967=0,"",ORIG!B967)</f>
        <v/>
      </c>
      <c r="C967" s="3">
        <f>IF(ORIG!C967=0,"",ORIG!C967)</f>
        <v/>
      </c>
      <c r="D967" s="3">
        <f>IF(ORIG!D967=0,"",ORIG!D967)</f>
        <v/>
      </c>
      <c r="E967" s="3">
        <f>IF(ORIG!E967=0,"",ORIG!E967)</f>
        <v/>
      </c>
      <c r="F967" s="3">
        <f>IF(ORIG!F967=0,"",ORIG!F967)</f>
        <v/>
      </c>
      <c r="G967" s="3">
        <f>IF(ORIG!G967=0,"",ORIG!G967)</f>
        <v/>
      </c>
      <c r="H967" s="3">
        <f>IF(ORIG!H967=0,"",ORIG!H967)</f>
        <v/>
      </c>
      <c r="I967" s="3">
        <f>IF(ORIG!I967=0,"",ORIG!I967)</f>
        <v/>
      </c>
      <c r="J967" s="3">
        <f>IF(ORIG!J967=0,"",ORIG!J967)</f>
        <v/>
      </c>
      <c r="K967" s="3">
        <f>IF(ORIG!K967=0,"",ORIG!K967)</f>
        <v/>
      </c>
      <c r="L967" s="3">
        <f>IF(ORIG!L967=0,"",ORIG!L967)</f>
        <v/>
      </c>
      <c r="M967" s="3">
        <f>IF(ORIG!M967=0,"",ORIG!M967)</f>
        <v/>
      </c>
      <c r="N967" s="3">
        <f>IF(ORIG!N967=0,"",ORIG!N967)</f>
        <v/>
      </c>
      <c r="O967" s="3">
        <f>IF(ORIG!O967=0,"",ORIG!O967)</f>
        <v/>
      </c>
      <c r="P967" s="3">
        <f>IF(ORIG!P967=0,"",ORIG!P967)</f>
        <v/>
      </c>
      <c r="Q967" s="3">
        <f>IF(ORIG!Q967=0,"",ORIG!Q967)</f>
        <v/>
      </c>
      <c r="R967" s="3">
        <f>IF(ORIG!R967=0,"",ORIG!R967)</f>
        <v/>
      </c>
      <c r="S967" s="3">
        <f>IF(ORIG!S967=0,"",ORIG!S967)</f>
        <v/>
      </c>
      <c r="T967" s="3">
        <f>IF(ORIG!T967=0,"",ORIG!T967)</f>
        <v/>
      </c>
      <c r="U967" s="3">
        <f>IF(ORIG!U967=0,"",ORIG!U967)</f>
        <v/>
      </c>
      <c r="V967" s="9">
        <f>IF(ORIG!V967=0,"",ORIG!V967)</f>
        <v/>
      </c>
      <c r="W967" s="9">
        <f>IF(ORIG!W967=0,"",ORIG!W967)</f>
        <v/>
      </c>
      <c r="X967" s="9">
        <f>IF(ORIG!X967=0,"",ORIG!X967)</f>
        <v/>
      </c>
      <c r="Y967" s="9">
        <f>IF(ORIG!Y967=0,"",ORIG!Y967)</f>
        <v/>
      </c>
      <c r="Z967" s="3">
        <f>SUMPRODUCT($B967:$Y967,$B$2649:$Y$2649)</f>
        <v/>
      </c>
      <c r="AA967" s="3">
        <f>SUMPRODUCT($B967:$Y967,$B$2655:$Y$2655)</f>
        <v/>
      </c>
      <c r="AC967" s="1">
        <f>A967</f>
        <v/>
      </c>
      <c r="AD967">
        <f>IF(ISNUMBER(V967),V967*($AB$1/V$2635),"")</f>
        <v/>
      </c>
      <c r="AE967">
        <f>IF(ISNUMBER(Z967),Z967*($AB$1/Z$2635),"")</f>
        <v/>
      </c>
      <c r="AF967" s="25">
        <f>IF(ISNUMBER(AD967+AE967),AD967+AE967,"")</f>
        <v/>
      </c>
      <c r="AH967" s="1">
        <f>A967</f>
        <v/>
      </c>
      <c r="AI967">
        <f>IF(ISNUMBER((1+V967)*AI966),(1+V967)*AI966,AI966)</f>
        <v/>
      </c>
      <c r="AJ967">
        <f>IF(ISNUMBER((1+Z967)*AJ966),(1+Z967)*AJ966,AJ966)</f>
        <v/>
      </c>
    </row>
    <row r="968">
      <c r="A968" s="1" t="n">
        <v>43405</v>
      </c>
      <c r="B968" s="3">
        <f>IF(ORIG!B968=0,"",ORIG!B968)</f>
        <v/>
      </c>
      <c r="C968" s="3">
        <f>IF(ORIG!C968=0,"",ORIG!C968)</f>
        <v/>
      </c>
      <c r="D968" s="3">
        <f>IF(ORIG!D968=0,"",ORIG!D968)</f>
        <v/>
      </c>
      <c r="E968" s="3">
        <f>IF(ORIG!E968=0,"",ORIG!E968)</f>
        <v/>
      </c>
      <c r="F968" s="3">
        <f>IF(ORIG!F968=0,"",ORIG!F968)</f>
        <v/>
      </c>
      <c r="G968" s="3">
        <f>IF(ORIG!G968=0,"",ORIG!G968)</f>
        <v/>
      </c>
      <c r="H968" s="3">
        <f>IF(ORIG!H968=0,"",ORIG!H968)</f>
        <v/>
      </c>
      <c r="I968" s="3">
        <f>IF(ORIG!I968=0,"",ORIG!I968)</f>
        <v/>
      </c>
      <c r="J968" s="3">
        <f>IF(ORIG!J968=0,"",ORIG!J968)</f>
        <v/>
      </c>
      <c r="K968" s="3">
        <f>IF(ORIG!K968=0,"",ORIG!K968)</f>
        <v/>
      </c>
      <c r="L968" s="3">
        <f>IF(ORIG!L968=0,"",ORIG!L968)</f>
        <v/>
      </c>
      <c r="M968" s="3">
        <f>IF(ORIG!M968=0,"",ORIG!M968)</f>
        <v/>
      </c>
      <c r="N968" s="3">
        <f>IF(ORIG!N968=0,"",ORIG!N968)</f>
        <v/>
      </c>
      <c r="O968" s="3">
        <f>IF(ORIG!O968=0,"",ORIG!O968)</f>
        <v/>
      </c>
      <c r="P968" s="3">
        <f>IF(ORIG!P968=0,"",ORIG!P968)</f>
        <v/>
      </c>
      <c r="Q968" s="3">
        <f>IF(ORIG!Q968=0,"",ORIG!Q968)</f>
        <v/>
      </c>
      <c r="R968" s="3">
        <f>IF(ORIG!R968=0,"",ORIG!R968)</f>
        <v/>
      </c>
      <c r="S968" s="3">
        <f>IF(ORIG!S968=0,"",ORIG!S968)</f>
        <v/>
      </c>
      <c r="T968" s="3">
        <f>IF(ORIG!T968=0,"",ORIG!T968)</f>
        <v/>
      </c>
      <c r="U968" s="3">
        <f>IF(ORIG!U968=0,"",ORIG!U968)</f>
        <v/>
      </c>
      <c r="V968" s="9">
        <f>IF(ORIG!V968=0,"",ORIG!V968)</f>
        <v/>
      </c>
      <c r="W968" s="9">
        <f>IF(ORIG!W968=0,"",ORIG!W968)</f>
        <v/>
      </c>
      <c r="X968" s="9">
        <f>IF(ORIG!X968=0,"",ORIG!X968)</f>
        <v/>
      </c>
      <c r="Y968" s="9">
        <f>IF(ORIG!Y968=0,"",ORIG!Y968)</f>
        <v/>
      </c>
      <c r="Z968" s="3">
        <f>SUMPRODUCT($B968:$Y968,$B$2649:$Y$2649)</f>
        <v/>
      </c>
      <c r="AA968" s="3">
        <f>SUMPRODUCT($B968:$Y968,$B$2655:$Y$2655)</f>
        <v/>
      </c>
      <c r="AC968" s="1">
        <f>A968</f>
        <v/>
      </c>
      <c r="AD968">
        <f>IF(ISNUMBER(V968),V968*($AB$1/V$2635),"")</f>
        <v/>
      </c>
      <c r="AE968">
        <f>IF(ISNUMBER(Z968),Z968*($AB$1/Z$2635),"")</f>
        <v/>
      </c>
      <c r="AF968" s="25">
        <f>IF(ISNUMBER(AD968+AE968),AD968+AE968,"")</f>
        <v/>
      </c>
      <c r="AH968" s="1">
        <f>A968</f>
        <v/>
      </c>
      <c r="AI968">
        <f>IF(ISNUMBER((1+V968)*AI967),(1+V968)*AI967,AI967)</f>
        <v/>
      </c>
      <c r="AJ968">
        <f>IF(ISNUMBER((1+Z968)*AJ967),(1+Z968)*AJ967,AJ967)</f>
        <v/>
      </c>
    </row>
    <row r="969">
      <c r="A969" s="1" t="n">
        <v>43406</v>
      </c>
      <c r="B969" s="3">
        <f>IF(ORIG!B969=0,"",ORIG!B969)</f>
        <v/>
      </c>
      <c r="C969" s="3">
        <f>IF(ORIG!C969=0,"",ORIG!C969)</f>
        <v/>
      </c>
      <c r="D969" s="3">
        <f>IF(ORIG!D969=0,"",ORIG!D969)</f>
        <v/>
      </c>
      <c r="E969" s="3">
        <f>IF(ORIG!E969=0,"",ORIG!E969)</f>
        <v/>
      </c>
      <c r="F969" s="3">
        <f>IF(ORIG!F969=0,"",ORIG!F969)</f>
        <v/>
      </c>
      <c r="G969" s="3">
        <f>IF(ORIG!G969=0,"",ORIG!G969)</f>
        <v/>
      </c>
      <c r="H969" s="3">
        <f>IF(ORIG!H969=0,"",ORIG!H969)</f>
        <v/>
      </c>
      <c r="I969" s="3">
        <f>IF(ORIG!I969=0,"",ORIG!I969)</f>
        <v/>
      </c>
      <c r="J969" s="3">
        <f>IF(ORIG!J969=0,"",ORIG!J969)</f>
        <v/>
      </c>
      <c r="K969" s="3">
        <f>IF(ORIG!K969=0,"",ORIG!K969)</f>
        <v/>
      </c>
      <c r="L969" s="3">
        <f>IF(ORIG!L969=0,"",ORIG!L969)</f>
        <v/>
      </c>
      <c r="M969" s="3">
        <f>IF(ORIG!M969=0,"",ORIG!M969)</f>
        <v/>
      </c>
      <c r="N969" s="3">
        <f>IF(ORIG!N969=0,"",ORIG!N969)</f>
        <v/>
      </c>
      <c r="O969" s="3">
        <f>IF(ORIG!O969=0,"",ORIG!O969)</f>
        <v/>
      </c>
      <c r="P969" s="3">
        <f>IF(ORIG!P969=0,"",ORIG!P969)</f>
        <v/>
      </c>
      <c r="Q969" s="3">
        <f>IF(ORIG!Q969=0,"",ORIG!Q969)</f>
        <v/>
      </c>
      <c r="R969" s="3">
        <f>IF(ORIG!R969=0,"",ORIG!R969)</f>
        <v/>
      </c>
      <c r="S969" s="3">
        <f>IF(ORIG!S969=0,"",ORIG!S969)</f>
        <v/>
      </c>
      <c r="T969" s="3">
        <f>IF(ORIG!T969=0,"",ORIG!T969)</f>
        <v/>
      </c>
      <c r="U969" s="3">
        <f>IF(ORIG!U969=0,"",ORIG!U969)</f>
        <v/>
      </c>
      <c r="V969" s="9">
        <f>IF(ORIG!V969=0,"",ORIG!V969)</f>
        <v/>
      </c>
      <c r="W969" s="9">
        <f>IF(ORIG!W969=0,"",ORIG!W969)</f>
        <v/>
      </c>
      <c r="X969" s="9">
        <f>IF(ORIG!X969=0,"",ORIG!X969)</f>
        <v/>
      </c>
      <c r="Y969" s="9">
        <f>IF(ORIG!Y969=0,"",ORIG!Y969)</f>
        <v/>
      </c>
      <c r="Z969" s="3">
        <f>SUMPRODUCT($B969:$Y969,$B$2649:$Y$2649)</f>
        <v/>
      </c>
      <c r="AA969" s="3">
        <f>SUMPRODUCT($B969:$Y969,$B$2655:$Y$2655)</f>
        <v/>
      </c>
      <c r="AC969" s="1">
        <f>A969</f>
        <v/>
      </c>
      <c r="AD969">
        <f>IF(ISNUMBER(V969),V969*($AB$1/V$2635),"")</f>
        <v/>
      </c>
      <c r="AE969">
        <f>IF(ISNUMBER(Z969),Z969*($AB$1/Z$2635),"")</f>
        <v/>
      </c>
      <c r="AF969" s="25">
        <f>IF(ISNUMBER(AD969+AE969),AD969+AE969,"")</f>
        <v/>
      </c>
      <c r="AH969" s="1">
        <f>A969</f>
        <v/>
      </c>
      <c r="AI969">
        <f>IF(ISNUMBER((1+V969)*AI968),(1+V969)*AI968,AI968)</f>
        <v/>
      </c>
      <c r="AJ969">
        <f>IF(ISNUMBER((1+Z969)*AJ968),(1+Z969)*AJ968,AJ968)</f>
        <v/>
      </c>
    </row>
    <row r="970">
      <c r="A970" s="1" t="n">
        <v>43409</v>
      </c>
      <c r="B970" s="3">
        <f>IF(ORIG!B970=0,"",ORIG!B970)</f>
        <v/>
      </c>
      <c r="C970" s="3">
        <f>IF(ORIG!C970=0,"",ORIG!C970)</f>
        <v/>
      </c>
      <c r="D970" s="3">
        <f>IF(ORIG!D970=0,"",ORIG!D970)</f>
        <v/>
      </c>
      <c r="E970" s="3">
        <f>IF(ORIG!E970=0,"",ORIG!E970)</f>
        <v/>
      </c>
      <c r="F970" s="3">
        <f>IF(ORIG!F970=0,"",ORIG!F970)</f>
        <v/>
      </c>
      <c r="G970" s="3">
        <f>IF(ORIG!G970=0,"",ORIG!G970)</f>
        <v/>
      </c>
      <c r="H970" s="3">
        <f>IF(ORIG!H970=0,"",ORIG!H970)</f>
        <v/>
      </c>
      <c r="I970" s="3">
        <f>IF(ORIG!I970=0,"",ORIG!I970)</f>
        <v/>
      </c>
      <c r="J970" s="3">
        <f>IF(ORIG!J970=0,"",ORIG!J970)</f>
        <v/>
      </c>
      <c r="K970" s="3">
        <f>IF(ORIG!K970=0,"",ORIG!K970)</f>
        <v/>
      </c>
      <c r="L970" s="3">
        <f>IF(ORIG!L970=0,"",ORIG!L970)</f>
        <v/>
      </c>
      <c r="M970" s="3">
        <f>IF(ORIG!M970=0,"",ORIG!M970)</f>
        <v/>
      </c>
      <c r="N970" s="3">
        <f>IF(ORIG!N970=0,"",ORIG!N970)</f>
        <v/>
      </c>
      <c r="O970" s="3">
        <f>IF(ORIG!O970=0,"",ORIG!O970)</f>
        <v/>
      </c>
      <c r="P970" s="3">
        <f>IF(ORIG!P970=0,"",ORIG!P970)</f>
        <v/>
      </c>
      <c r="Q970" s="3">
        <f>IF(ORIG!Q970=0,"",ORIG!Q970)</f>
        <v/>
      </c>
      <c r="R970" s="3">
        <f>IF(ORIG!R970=0,"",ORIG!R970)</f>
        <v/>
      </c>
      <c r="S970" s="3">
        <f>IF(ORIG!S970=0,"",ORIG!S970)</f>
        <v/>
      </c>
      <c r="T970" s="3">
        <f>IF(ORIG!T970=0,"",ORIG!T970)</f>
        <v/>
      </c>
      <c r="U970" s="3">
        <f>IF(ORIG!U970=0,"",ORIG!U970)</f>
        <v/>
      </c>
      <c r="V970" s="9">
        <f>IF(ORIG!V970=0,"",ORIG!V970)</f>
        <v/>
      </c>
      <c r="W970" s="9">
        <f>IF(ORIG!W970=0,"",ORIG!W970)</f>
        <v/>
      </c>
      <c r="X970" s="9">
        <f>IF(ORIG!X970=0,"",ORIG!X970)</f>
        <v/>
      </c>
      <c r="Y970" s="9">
        <f>IF(ORIG!Y970=0,"",ORIG!Y970)</f>
        <v/>
      </c>
      <c r="Z970" s="3">
        <f>SUMPRODUCT($B970:$Y970,$B$2649:$Y$2649)</f>
        <v/>
      </c>
      <c r="AA970" s="3">
        <f>SUMPRODUCT($B970:$Y970,$B$2655:$Y$2655)</f>
        <v/>
      </c>
      <c r="AC970" s="1">
        <f>A970</f>
        <v/>
      </c>
      <c r="AD970">
        <f>IF(ISNUMBER(V970),V970*($AB$1/V$2635),"")</f>
        <v/>
      </c>
      <c r="AE970">
        <f>IF(ISNUMBER(Z970),Z970*($AB$1/Z$2635),"")</f>
        <v/>
      </c>
      <c r="AF970" s="25">
        <f>IF(ISNUMBER(AD970+AE970),AD970+AE970,"")</f>
        <v/>
      </c>
      <c r="AH970" s="1">
        <f>A970</f>
        <v/>
      </c>
      <c r="AI970">
        <f>IF(ISNUMBER((1+V970)*AI969),(1+V970)*AI969,AI969)</f>
        <v/>
      </c>
      <c r="AJ970">
        <f>IF(ISNUMBER((1+Z970)*AJ969),(1+Z970)*AJ969,AJ969)</f>
        <v/>
      </c>
    </row>
    <row r="971">
      <c r="A971" s="1" t="n">
        <v>43410</v>
      </c>
      <c r="B971" s="3">
        <f>IF(ORIG!B971=0,"",ORIG!B971)</f>
        <v/>
      </c>
      <c r="C971" s="3">
        <f>IF(ORIG!C971=0,"",ORIG!C971)</f>
        <v/>
      </c>
      <c r="D971" s="3">
        <f>IF(ORIG!D971=0,"",ORIG!D971)</f>
        <v/>
      </c>
      <c r="E971" s="3">
        <f>IF(ORIG!E971=0,"",ORIG!E971)</f>
        <v/>
      </c>
      <c r="F971" s="3">
        <f>IF(ORIG!F971=0,"",ORIG!F971)</f>
        <v/>
      </c>
      <c r="G971" s="3">
        <f>IF(ORIG!G971=0,"",ORIG!G971)</f>
        <v/>
      </c>
      <c r="H971" s="3">
        <f>IF(ORIG!H971=0,"",ORIG!H971)</f>
        <v/>
      </c>
      <c r="I971" s="3">
        <f>IF(ORIG!I971=0,"",ORIG!I971)</f>
        <v/>
      </c>
      <c r="J971" s="3">
        <f>IF(ORIG!J971=0,"",ORIG!J971)</f>
        <v/>
      </c>
      <c r="K971" s="3">
        <f>IF(ORIG!K971=0,"",ORIG!K971)</f>
        <v/>
      </c>
      <c r="L971" s="3">
        <f>IF(ORIG!L971=0,"",ORIG!L971)</f>
        <v/>
      </c>
      <c r="M971" s="3">
        <f>IF(ORIG!M971=0,"",ORIG!M971)</f>
        <v/>
      </c>
      <c r="N971" s="3">
        <f>IF(ORIG!N971=0,"",ORIG!N971)</f>
        <v/>
      </c>
      <c r="O971" s="3">
        <f>IF(ORIG!O971=0,"",ORIG!O971)</f>
        <v/>
      </c>
      <c r="P971" s="3">
        <f>IF(ORIG!P971=0,"",ORIG!P971)</f>
        <v/>
      </c>
      <c r="Q971" s="3">
        <f>IF(ORIG!Q971=0,"",ORIG!Q971)</f>
        <v/>
      </c>
      <c r="R971" s="3">
        <f>IF(ORIG!R971=0,"",ORIG!R971)</f>
        <v/>
      </c>
      <c r="S971" s="3">
        <f>IF(ORIG!S971=0,"",ORIG!S971)</f>
        <v/>
      </c>
      <c r="T971" s="3">
        <f>IF(ORIG!T971=0,"",ORIG!T971)</f>
        <v/>
      </c>
      <c r="U971" s="3">
        <f>IF(ORIG!U971=0,"",ORIG!U971)</f>
        <v/>
      </c>
      <c r="V971" s="9">
        <f>IF(ORIG!V971=0,"",ORIG!V971)</f>
        <v/>
      </c>
      <c r="W971" s="9">
        <f>IF(ORIG!W971=0,"",ORIG!W971)</f>
        <v/>
      </c>
      <c r="X971" s="9">
        <f>IF(ORIG!X971=0,"",ORIG!X971)</f>
        <v/>
      </c>
      <c r="Y971" s="9">
        <f>IF(ORIG!Y971=0,"",ORIG!Y971)</f>
        <v/>
      </c>
      <c r="Z971" s="3">
        <f>SUMPRODUCT($B971:$Y971,$B$2649:$Y$2649)</f>
        <v/>
      </c>
      <c r="AA971" s="3">
        <f>SUMPRODUCT($B971:$Y971,$B$2655:$Y$2655)</f>
        <v/>
      </c>
      <c r="AC971" s="1">
        <f>A971</f>
        <v/>
      </c>
      <c r="AD971">
        <f>IF(ISNUMBER(V971),V971*($AB$1/V$2635),"")</f>
        <v/>
      </c>
      <c r="AE971">
        <f>IF(ISNUMBER(Z971),Z971*($AB$1/Z$2635),"")</f>
        <v/>
      </c>
      <c r="AF971" s="25">
        <f>IF(ISNUMBER(AD971+AE971),AD971+AE971,"")</f>
        <v/>
      </c>
      <c r="AH971" s="1">
        <f>A971</f>
        <v/>
      </c>
      <c r="AI971">
        <f>IF(ISNUMBER((1+V971)*AI970),(1+V971)*AI970,AI970)</f>
        <v/>
      </c>
      <c r="AJ971">
        <f>IF(ISNUMBER((1+Z971)*AJ970),(1+Z971)*AJ970,AJ970)</f>
        <v/>
      </c>
    </row>
    <row r="972">
      <c r="A972" s="1" t="n">
        <v>43411</v>
      </c>
      <c r="B972" s="3">
        <f>IF(ORIG!B972=0,"",ORIG!B972)</f>
        <v/>
      </c>
      <c r="C972" s="3">
        <f>IF(ORIG!C972=0,"",ORIG!C972)</f>
        <v/>
      </c>
      <c r="D972" s="3">
        <f>IF(ORIG!D972=0,"",ORIG!D972)</f>
        <v/>
      </c>
      <c r="E972" s="3">
        <f>IF(ORIG!E972=0,"",ORIG!E972)</f>
        <v/>
      </c>
      <c r="F972" s="3">
        <f>IF(ORIG!F972=0,"",ORIG!F972)</f>
        <v/>
      </c>
      <c r="G972" s="3">
        <f>IF(ORIG!G972=0,"",ORIG!G972)</f>
        <v/>
      </c>
      <c r="H972" s="3">
        <f>IF(ORIG!H972=0,"",ORIG!H972)</f>
        <v/>
      </c>
      <c r="I972" s="3">
        <f>IF(ORIG!I972=0,"",ORIG!I972)</f>
        <v/>
      </c>
      <c r="J972" s="3">
        <f>IF(ORIG!J972=0,"",ORIG!J972)</f>
        <v/>
      </c>
      <c r="K972" s="3">
        <f>IF(ORIG!K972=0,"",ORIG!K972)</f>
        <v/>
      </c>
      <c r="L972" s="3">
        <f>IF(ORIG!L972=0,"",ORIG!L972)</f>
        <v/>
      </c>
      <c r="M972" s="3">
        <f>IF(ORIG!M972=0,"",ORIG!M972)</f>
        <v/>
      </c>
      <c r="N972" s="3">
        <f>IF(ORIG!N972=0,"",ORIG!N972)</f>
        <v/>
      </c>
      <c r="O972" s="3">
        <f>IF(ORIG!O972=0,"",ORIG!O972)</f>
        <v/>
      </c>
      <c r="P972" s="3">
        <f>IF(ORIG!P972=0,"",ORIG!P972)</f>
        <v/>
      </c>
      <c r="Q972" s="3">
        <f>IF(ORIG!Q972=0,"",ORIG!Q972)</f>
        <v/>
      </c>
      <c r="R972" s="3">
        <f>IF(ORIG!R972=0,"",ORIG!R972)</f>
        <v/>
      </c>
      <c r="S972" s="3">
        <f>IF(ORIG!S972=0,"",ORIG!S972)</f>
        <v/>
      </c>
      <c r="T972" s="3">
        <f>IF(ORIG!T972=0,"",ORIG!T972)</f>
        <v/>
      </c>
      <c r="U972" s="3">
        <f>IF(ORIG!U972=0,"",ORIG!U972)</f>
        <v/>
      </c>
      <c r="V972" s="9">
        <f>IF(ORIG!V972=0,"",ORIG!V972)</f>
        <v/>
      </c>
      <c r="W972" s="9">
        <f>IF(ORIG!W972=0,"",ORIG!W972)</f>
        <v/>
      </c>
      <c r="X972" s="9">
        <f>IF(ORIG!X972=0,"",ORIG!X972)</f>
        <v/>
      </c>
      <c r="Y972" s="9">
        <f>IF(ORIG!Y972=0,"",ORIG!Y972)</f>
        <v/>
      </c>
      <c r="Z972" s="3">
        <f>SUMPRODUCT($B972:$Y972,$B$2649:$Y$2649)</f>
        <v/>
      </c>
      <c r="AA972" s="3">
        <f>SUMPRODUCT($B972:$Y972,$B$2655:$Y$2655)</f>
        <v/>
      </c>
      <c r="AC972" s="1">
        <f>A972</f>
        <v/>
      </c>
      <c r="AD972">
        <f>IF(ISNUMBER(V972),V972*($AB$1/V$2635),"")</f>
        <v/>
      </c>
      <c r="AE972">
        <f>IF(ISNUMBER(Z972),Z972*($AB$1/Z$2635),"")</f>
        <v/>
      </c>
      <c r="AF972" s="25">
        <f>IF(ISNUMBER(AD972+AE972),AD972+AE972,"")</f>
        <v/>
      </c>
      <c r="AH972" s="1">
        <f>A972</f>
        <v/>
      </c>
      <c r="AI972">
        <f>IF(ISNUMBER((1+V972)*AI971),(1+V972)*AI971,AI971)</f>
        <v/>
      </c>
      <c r="AJ972">
        <f>IF(ISNUMBER((1+Z972)*AJ971),(1+Z972)*AJ971,AJ971)</f>
        <v/>
      </c>
    </row>
    <row r="973">
      <c r="A973" s="1" t="n">
        <v>43412</v>
      </c>
      <c r="B973" s="3">
        <f>IF(ORIG!B973=0,"",ORIG!B973)</f>
        <v/>
      </c>
      <c r="C973" s="3">
        <f>IF(ORIG!C973=0,"",ORIG!C973)</f>
        <v/>
      </c>
      <c r="D973" s="3">
        <f>IF(ORIG!D973=0,"",ORIG!D973)</f>
        <v/>
      </c>
      <c r="E973" s="3">
        <f>IF(ORIG!E973=0,"",ORIG!E973)</f>
        <v/>
      </c>
      <c r="F973" s="3">
        <f>IF(ORIG!F973=0,"",ORIG!F973)</f>
        <v/>
      </c>
      <c r="G973" s="3">
        <f>IF(ORIG!G973=0,"",ORIG!G973)</f>
        <v/>
      </c>
      <c r="H973" s="3">
        <f>IF(ORIG!H973=0,"",ORIG!H973)</f>
        <v/>
      </c>
      <c r="I973" s="3">
        <f>IF(ORIG!I973=0,"",ORIG!I973)</f>
        <v/>
      </c>
      <c r="J973" s="3">
        <f>IF(ORIG!J973=0,"",ORIG!J973)</f>
        <v/>
      </c>
      <c r="K973" s="3">
        <f>IF(ORIG!K973=0,"",ORIG!K973)</f>
        <v/>
      </c>
      <c r="L973" s="3">
        <f>IF(ORIG!L973=0,"",ORIG!L973)</f>
        <v/>
      </c>
      <c r="M973" s="3">
        <f>IF(ORIG!M973=0,"",ORIG!M973)</f>
        <v/>
      </c>
      <c r="N973" s="3">
        <f>IF(ORIG!N973=0,"",ORIG!N973)</f>
        <v/>
      </c>
      <c r="O973" s="3">
        <f>IF(ORIG!O973=0,"",ORIG!O973)</f>
        <v/>
      </c>
      <c r="P973" s="3">
        <f>IF(ORIG!P973=0,"",ORIG!P973)</f>
        <v/>
      </c>
      <c r="Q973" s="3">
        <f>IF(ORIG!Q973=0,"",ORIG!Q973)</f>
        <v/>
      </c>
      <c r="R973" s="3">
        <f>IF(ORIG!R973=0,"",ORIG!R973)</f>
        <v/>
      </c>
      <c r="S973" s="3">
        <f>IF(ORIG!S973=0,"",ORIG!S973)</f>
        <v/>
      </c>
      <c r="T973" s="3">
        <f>IF(ORIG!T973=0,"",ORIG!T973)</f>
        <v/>
      </c>
      <c r="U973" s="3">
        <f>IF(ORIG!U973=0,"",ORIG!U973)</f>
        <v/>
      </c>
      <c r="V973" s="9">
        <f>IF(ORIG!V973=0,"",ORIG!V973)</f>
        <v/>
      </c>
      <c r="W973" s="9">
        <f>IF(ORIG!W973=0,"",ORIG!W973)</f>
        <v/>
      </c>
      <c r="X973" s="9">
        <f>IF(ORIG!X973=0,"",ORIG!X973)</f>
        <v/>
      </c>
      <c r="Y973" s="9">
        <f>IF(ORIG!Y973=0,"",ORIG!Y973)</f>
        <v/>
      </c>
      <c r="Z973" s="3">
        <f>SUMPRODUCT($B973:$Y973,$B$2649:$Y$2649)</f>
        <v/>
      </c>
      <c r="AA973" s="3">
        <f>SUMPRODUCT($B973:$Y973,$B$2655:$Y$2655)</f>
        <v/>
      </c>
      <c r="AC973" s="1">
        <f>A973</f>
        <v/>
      </c>
      <c r="AD973">
        <f>IF(ISNUMBER(V973),V973*($AB$1/V$2635),"")</f>
        <v/>
      </c>
      <c r="AE973">
        <f>IF(ISNUMBER(Z973),Z973*($AB$1/Z$2635),"")</f>
        <v/>
      </c>
      <c r="AF973" s="25">
        <f>IF(ISNUMBER(AD973+AE973),AD973+AE973,"")</f>
        <v/>
      </c>
      <c r="AH973" s="1">
        <f>A973</f>
        <v/>
      </c>
      <c r="AI973">
        <f>IF(ISNUMBER((1+V973)*AI972),(1+V973)*AI972,AI972)</f>
        <v/>
      </c>
      <c r="AJ973">
        <f>IF(ISNUMBER((1+Z973)*AJ972),(1+Z973)*AJ972,AJ972)</f>
        <v/>
      </c>
    </row>
    <row r="974">
      <c r="A974" s="1" t="n">
        <v>43413</v>
      </c>
      <c r="B974" s="3">
        <f>IF(ORIG!B974=0,"",ORIG!B974)</f>
        <v/>
      </c>
      <c r="C974" s="3">
        <f>IF(ORIG!C974=0,"",ORIG!C974)</f>
        <v/>
      </c>
      <c r="D974" s="3">
        <f>IF(ORIG!D974=0,"",ORIG!D974)</f>
        <v/>
      </c>
      <c r="E974" s="3">
        <f>IF(ORIG!E974=0,"",ORIG!E974)</f>
        <v/>
      </c>
      <c r="F974" s="3">
        <f>IF(ORIG!F974=0,"",ORIG!F974)</f>
        <v/>
      </c>
      <c r="G974" s="3">
        <f>IF(ORIG!G974=0,"",ORIG!G974)</f>
        <v/>
      </c>
      <c r="H974" s="3">
        <f>IF(ORIG!H974=0,"",ORIG!H974)</f>
        <v/>
      </c>
      <c r="I974" s="3">
        <f>IF(ORIG!I974=0,"",ORIG!I974)</f>
        <v/>
      </c>
      <c r="J974" s="3">
        <f>IF(ORIG!J974=0,"",ORIG!J974)</f>
        <v/>
      </c>
      <c r="K974" s="3">
        <f>IF(ORIG!K974=0,"",ORIG!K974)</f>
        <v/>
      </c>
      <c r="L974" s="3">
        <f>IF(ORIG!L974=0,"",ORIG!L974)</f>
        <v/>
      </c>
      <c r="M974" s="3">
        <f>IF(ORIG!M974=0,"",ORIG!M974)</f>
        <v/>
      </c>
      <c r="N974" s="3">
        <f>IF(ORIG!N974=0,"",ORIG!N974)</f>
        <v/>
      </c>
      <c r="O974" s="3">
        <f>IF(ORIG!O974=0,"",ORIG!O974)</f>
        <v/>
      </c>
      <c r="P974" s="3">
        <f>IF(ORIG!P974=0,"",ORIG!P974)</f>
        <v/>
      </c>
      <c r="Q974" s="3">
        <f>IF(ORIG!Q974=0,"",ORIG!Q974)</f>
        <v/>
      </c>
      <c r="R974" s="3">
        <f>IF(ORIG!R974=0,"",ORIG!R974)</f>
        <v/>
      </c>
      <c r="S974" s="3">
        <f>IF(ORIG!S974=0,"",ORIG!S974)</f>
        <v/>
      </c>
      <c r="T974" s="3">
        <f>IF(ORIG!T974=0,"",ORIG!T974)</f>
        <v/>
      </c>
      <c r="U974" s="3">
        <f>IF(ORIG!U974=0,"",ORIG!U974)</f>
        <v/>
      </c>
      <c r="V974" s="9">
        <f>IF(ORIG!V974=0,"",ORIG!V974)</f>
        <v/>
      </c>
      <c r="W974" s="9">
        <f>IF(ORIG!W974=0,"",ORIG!W974)</f>
        <v/>
      </c>
      <c r="X974" s="9">
        <f>IF(ORIG!X974=0,"",ORIG!X974)</f>
        <v/>
      </c>
      <c r="Y974" s="9">
        <f>IF(ORIG!Y974=0,"",ORIG!Y974)</f>
        <v/>
      </c>
      <c r="Z974" s="3">
        <f>SUMPRODUCT($B974:$Y974,$B$2649:$Y$2649)</f>
        <v/>
      </c>
      <c r="AA974" s="3">
        <f>SUMPRODUCT($B974:$Y974,$B$2655:$Y$2655)</f>
        <v/>
      </c>
      <c r="AC974" s="1">
        <f>A974</f>
        <v/>
      </c>
      <c r="AD974">
        <f>IF(ISNUMBER(V974),V974*($AB$1/V$2635),"")</f>
        <v/>
      </c>
      <c r="AE974">
        <f>IF(ISNUMBER(Z974),Z974*($AB$1/Z$2635),"")</f>
        <v/>
      </c>
      <c r="AF974" s="25">
        <f>IF(ISNUMBER(AD974+AE974),AD974+AE974,"")</f>
        <v/>
      </c>
      <c r="AH974" s="1">
        <f>A974</f>
        <v/>
      </c>
      <c r="AI974">
        <f>IF(ISNUMBER((1+V974)*AI973),(1+V974)*AI973,AI973)</f>
        <v/>
      </c>
      <c r="AJ974">
        <f>IF(ISNUMBER((1+Z974)*AJ973),(1+Z974)*AJ973,AJ973)</f>
        <v/>
      </c>
    </row>
    <row r="975">
      <c r="A975" s="1" t="n">
        <v>43416</v>
      </c>
      <c r="B975" s="3">
        <f>IF(ORIG!B975=0,"",ORIG!B975)</f>
        <v/>
      </c>
      <c r="C975" s="3">
        <f>IF(ORIG!C975=0,"",ORIG!C975)</f>
        <v/>
      </c>
      <c r="D975" s="3">
        <f>IF(ORIG!D975=0,"",ORIG!D975)</f>
        <v/>
      </c>
      <c r="E975" s="3">
        <f>IF(ORIG!E975=0,"",ORIG!E975)</f>
        <v/>
      </c>
      <c r="F975" s="3">
        <f>IF(ORIG!F975=0,"",ORIG!F975)</f>
        <v/>
      </c>
      <c r="G975" s="3">
        <f>IF(ORIG!G975=0,"",ORIG!G975)</f>
        <v/>
      </c>
      <c r="H975" s="3">
        <f>IF(ORIG!H975=0,"",ORIG!H975)</f>
        <v/>
      </c>
      <c r="I975" s="3">
        <f>IF(ORIG!I975=0,"",ORIG!I975)</f>
        <v/>
      </c>
      <c r="J975" s="3">
        <f>IF(ORIG!J975=0,"",ORIG!J975)</f>
        <v/>
      </c>
      <c r="K975" s="3">
        <f>IF(ORIG!K975=0,"",ORIG!K975)</f>
        <v/>
      </c>
      <c r="L975" s="3">
        <f>IF(ORIG!L975=0,"",ORIG!L975)</f>
        <v/>
      </c>
      <c r="M975" s="3">
        <f>IF(ORIG!M975=0,"",ORIG!M975)</f>
        <v/>
      </c>
      <c r="N975" s="3">
        <f>IF(ORIG!N975=0,"",ORIG!N975)</f>
        <v/>
      </c>
      <c r="O975" s="3">
        <f>IF(ORIG!O975=0,"",ORIG!O975)</f>
        <v/>
      </c>
      <c r="P975" s="3">
        <f>IF(ORIG!P975=0,"",ORIG!P975)</f>
        <v/>
      </c>
      <c r="Q975" s="3">
        <f>IF(ORIG!Q975=0,"",ORIG!Q975)</f>
        <v/>
      </c>
      <c r="R975" s="3">
        <f>IF(ORIG!R975=0,"",ORIG!R975)</f>
        <v/>
      </c>
      <c r="S975" s="3">
        <f>IF(ORIG!S975=0,"",ORIG!S975)</f>
        <v/>
      </c>
      <c r="T975" s="3">
        <f>IF(ORIG!T975=0,"",ORIG!T975)</f>
        <v/>
      </c>
      <c r="U975" s="3">
        <f>IF(ORIG!U975=0,"",ORIG!U975)</f>
        <v/>
      </c>
      <c r="V975" s="9">
        <f>IF(ORIG!V975=0,"",ORIG!V975)</f>
        <v/>
      </c>
      <c r="W975" s="9">
        <f>IF(ORIG!W975=0,"",ORIG!W975)</f>
        <v/>
      </c>
      <c r="X975" s="9">
        <f>IF(ORIG!X975=0,"",ORIG!X975)</f>
        <v/>
      </c>
      <c r="Y975" s="9">
        <f>IF(ORIG!Y975=0,"",ORIG!Y975)</f>
        <v/>
      </c>
      <c r="Z975" s="3">
        <f>SUMPRODUCT($B975:$Y975,$B$2649:$Y$2649)</f>
        <v/>
      </c>
      <c r="AA975" s="3">
        <f>SUMPRODUCT($B975:$Y975,$B$2655:$Y$2655)</f>
        <v/>
      </c>
      <c r="AC975" s="1">
        <f>A975</f>
        <v/>
      </c>
      <c r="AD975">
        <f>IF(ISNUMBER(V975),V975*($AB$1/V$2635),"")</f>
        <v/>
      </c>
      <c r="AE975">
        <f>IF(ISNUMBER(Z975),Z975*($AB$1/Z$2635),"")</f>
        <v/>
      </c>
      <c r="AF975" s="25">
        <f>IF(ISNUMBER(AD975+AE975),AD975+AE975,"")</f>
        <v/>
      </c>
      <c r="AH975" s="1">
        <f>A975</f>
        <v/>
      </c>
      <c r="AI975">
        <f>IF(ISNUMBER((1+V975)*AI974),(1+V975)*AI974,AI974)</f>
        <v/>
      </c>
      <c r="AJ975">
        <f>IF(ISNUMBER((1+Z975)*AJ974),(1+Z975)*AJ974,AJ974)</f>
        <v/>
      </c>
    </row>
    <row r="976">
      <c r="A976" s="1" t="n">
        <v>43417</v>
      </c>
      <c r="B976" s="3">
        <f>IF(ORIG!B976=0,"",ORIG!B976)</f>
        <v/>
      </c>
      <c r="C976" s="3">
        <f>IF(ORIG!C976=0,"",ORIG!C976)</f>
        <v/>
      </c>
      <c r="D976" s="3">
        <f>IF(ORIG!D976=0,"",ORIG!D976)</f>
        <v/>
      </c>
      <c r="E976" s="3">
        <f>IF(ORIG!E976=0,"",ORIG!E976)</f>
        <v/>
      </c>
      <c r="F976" s="3">
        <f>IF(ORIG!F976=0,"",ORIG!F976)</f>
        <v/>
      </c>
      <c r="G976" s="3">
        <f>IF(ORIG!G976=0,"",ORIG!G976)</f>
        <v/>
      </c>
      <c r="H976" s="3">
        <f>IF(ORIG!H976=0,"",ORIG!H976)</f>
        <v/>
      </c>
      <c r="I976" s="3">
        <f>IF(ORIG!I976=0,"",ORIG!I976)</f>
        <v/>
      </c>
      <c r="J976" s="3">
        <f>IF(ORIG!J976=0,"",ORIG!J976)</f>
        <v/>
      </c>
      <c r="K976" s="3">
        <f>IF(ORIG!K976=0,"",ORIG!K976)</f>
        <v/>
      </c>
      <c r="L976" s="3">
        <f>IF(ORIG!L976=0,"",ORIG!L976)</f>
        <v/>
      </c>
      <c r="M976" s="3">
        <f>IF(ORIG!M976=0,"",ORIG!M976)</f>
        <v/>
      </c>
      <c r="N976" s="3">
        <f>IF(ORIG!N976=0,"",ORIG!N976)</f>
        <v/>
      </c>
      <c r="O976" s="3">
        <f>IF(ORIG!O976=0,"",ORIG!O976)</f>
        <v/>
      </c>
      <c r="P976" s="3">
        <f>IF(ORIG!P976=0,"",ORIG!P976)</f>
        <v/>
      </c>
      <c r="Q976" s="3">
        <f>IF(ORIG!Q976=0,"",ORIG!Q976)</f>
        <v/>
      </c>
      <c r="R976" s="3">
        <f>IF(ORIG!R976=0,"",ORIG!R976)</f>
        <v/>
      </c>
      <c r="S976" s="3">
        <f>IF(ORIG!S976=0,"",ORIG!S976)</f>
        <v/>
      </c>
      <c r="T976" s="3">
        <f>IF(ORIG!T976=0,"",ORIG!T976)</f>
        <v/>
      </c>
      <c r="U976" s="3">
        <f>IF(ORIG!U976=0,"",ORIG!U976)</f>
        <v/>
      </c>
      <c r="V976" s="9">
        <f>IF(ORIG!V976=0,"",ORIG!V976)</f>
        <v/>
      </c>
      <c r="W976" s="9">
        <f>IF(ORIG!W976=0,"",ORIG!W976)</f>
        <v/>
      </c>
      <c r="X976" s="9">
        <f>IF(ORIG!X976=0,"",ORIG!X976)</f>
        <v/>
      </c>
      <c r="Y976" s="9">
        <f>IF(ORIG!Y976=0,"",ORIG!Y976)</f>
        <v/>
      </c>
      <c r="Z976" s="3">
        <f>SUMPRODUCT($B976:$Y976,$B$2649:$Y$2649)</f>
        <v/>
      </c>
      <c r="AA976" s="3">
        <f>SUMPRODUCT($B976:$Y976,$B$2655:$Y$2655)</f>
        <v/>
      </c>
      <c r="AC976" s="1">
        <f>A976</f>
        <v/>
      </c>
      <c r="AD976">
        <f>IF(ISNUMBER(V976),V976*($AB$1/V$2635),"")</f>
        <v/>
      </c>
      <c r="AE976">
        <f>IF(ISNUMBER(Z976),Z976*($AB$1/Z$2635),"")</f>
        <v/>
      </c>
      <c r="AF976" s="25">
        <f>IF(ISNUMBER(AD976+AE976),AD976+AE976,"")</f>
        <v/>
      </c>
      <c r="AH976" s="1">
        <f>A976</f>
        <v/>
      </c>
      <c r="AI976">
        <f>IF(ISNUMBER((1+V976)*AI975),(1+V976)*AI975,AI975)</f>
        <v/>
      </c>
      <c r="AJ976">
        <f>IF(ISNUMBER((1+Z976)*AJ975),(1+Z976)*AJ975,AJ975)</f>
        <v/>
      </c>
    </row>
    <row r="977">
      <c r="A977" s="1" t="n">
        <v>43418</v>
      </c>
      <c r="B977" s="3">
        <f>IF(ORIG!B977=0,"",ORIG!B977)</f>
        <v/>
      </c>
      <c r="C977" s="3">
        <f>IF(ORIG!C977=0,"",ORIG!C977)</f>
        <v/>
      </c>
      <c r="D977" s="3">
        <f>IF(ORIG!D977=0,"",ORIG!D977)</f>
        <v/>
      </c>
      <c r="E977" s="3">
        <f>IF(ORIG!E977=0,"",ORIG!E977)</f>
        <v/>
      </c>
      <c r="F977" s="3">
        <f>IF(ORIG!F977=0,"",ORIG!F977)</f>
        <v/>
      </c>
      <c r="G977" s="3">
        <f>IF(ORIG!G977=0,"",ORIG!G977)</f>
        <v/>
      </c>
      <c r="H977" s="3">
        <f>IF(ORIG!H977=0,"",ORIG!H977)</f>
        <v/>
      </c>
      <c r="I977" s="3">
        <f>IF(ORIG!I977=0,"",ORIG!I977)</f>
        <v/>
      </c>
      <c r="J977" s="3">
        <f>IF(ORIG!J977=0,"",ORIG!J977)</f>
        <v/>
      </c>
      <c r="K977" s="3">
        <f>IF(ORIG!K977=0,"",ORIG!K977)</f>
        <v/>
      </c>
      <c r="L977" s="3">
        <f>IF(ORIG!L977=0,"",ORIG!L977)</f>
        <v/>
      </c>
      <c r="M977" s="3">
        <f>IF(ORIG!M977=0,"",ORIG!M977)</f>
        <v/>
      </c>
      <c r="N977" s="3">
        <f>IF(ORIG!N977=0,"",ORIG!N977)</f>
        <v/>
      </c>
      <c r="O977" s="3">
        <f>IF(ORIG!O977=0,"",ORIG!O977)</f>
        <v/>
      </c>
      <c r="P977" s="3">
        <f>IF(ORIG!P977=0,"",ORIG!P977)</f>
        <v/>
      </c>
      <c r="Q977" s="3">
        <f>IF(ORIG!Q977=0,"",ORIG!Q977)</f>
        <v/>
      </c>
      <c r="R977" s="3">
        <f>IF(ORIG!R977=0,"",ORIG!R977)</f>
        <v/>
      </c>
      <c r="S977" s="3">
        <f>IF(ORIG!S977=0,"",ORIG!S977)</f>
        <v/>
      </c>
      <c r="T977" s="3">
        <f>IF(ORIG!T977=0,"",ORIG!T977)</f>
        <v/>
      </c>
      <c r="U977" s="3">
        <f>IF(ORIG!U977=0,"",ORIG!U977)</f>
        <v/>
      </c>
      <c r="V977" s="9">
        <f>IF(ORIG!V977=0,"",ORIG!V977)</f>
        <v/>
      </c>
      <c r="W977" s="9">
        <f>IF(ORIG!W977=0,"",ORIG!W977)</f>
        <v/>
      </c>
      <c r="X977" s="9">
        <f>IF(ORIG!X977=0,"",ORIG!X977)</f>
        <v/>
      </c>
      <c r="Y977" s="9">
        <f>IF(ORIG!Y977=0,"",ORIG!Y977)</f>
        <v/>
      </c>
      <c r="Z977" s="3">
        <f>SUMPRODUCT($B977:$Y977,$B$2649:$Y$2649)</f>
        <v/>
      </c>
      <c r="AA977" s="3">
        <f>SUMPRODUCT($B977:$Y977,$B$2655:$Y$2655)</f>
        <v/>
      </c>
      <c r="AC977" s="1">
        <f>A977</f>
        <v/>
      </c>
      <c r="AD977">
        <f>IF(ISNUMBER(V977),V977*($AB$1/V$2635),"")</f>
        <v/>
      </c>
      <c r="AE977">
        <f>IF(ISNUMBER(Z977),Z977*($AB$1/Z$2635),"")</f>
        <v/>
      </c>
      <c r="AF977" s="25">
        <f>IF(ISNUMBER(AD977+AE977),AD977+AE977,"")</f>
        <v/>
      </c>
      <c r="AH977" s="1">
        <f>A977</f>
        <v/>
      </c>
      <c r="AI977">
        <f>IF(ISNUMBER((1+V977)*AI976),(1+V977)*AI976,AI976)</f>
        <v/>
      </c>
      <c r="AJ977">
        <f>IF(ISNUMBER((1+Z977)*AJ976),(1+Z977)*AJ976,AJ976)</f>
        <v/>
      </c>
    </row>
    <row r="978">
      <c r="A978" s="1" t="n">
        <v>43419</v>
      </c>
      <c r="B978" s="3">
        <f>IF(ORIG!B978=0,"",ORIG!B978)</f>
        <v/>
      </c>
      <c r="C978" s="3">
        <f>IF(ORIG!C978=0,"",ORIG!C978)</f>
        <v/>
      </c>
      <c r="D978" s="3">
        <f>IF(ORIG!D978=0,"",ORIG!D978)</f>
        <v/>
      </c>
      <c r="E978" s="3">
        <f>IF(ORIG!E978=0,"",ORIG!E978)</f>
        <v/>
      </c>
      <c r="F978" s="3">
        <f>IF(ORIG!F978=0,"",ORIG!F978)</f>
        <v/>
      </c>
      <c r="G978" s="3">
        <f>IF(ORIG!G978=0,"",ORIG!G978)</f>
        <v/>
      </c>
      <c r="H978" s="3">
        <f>IF(ORIG!H978=0,"",ORIG!H978)</f>
        <v/>
      </c>
      <c r="I978" s="3">
        <f>IF(ORIG!I978=0,"",ORIG!I978)</f>
        <v/>
      </c>
      <c r="J978" s="3">
        <f>IF(ORIG!J978=0,"",ORIG!J978)</f>
        <v/>
      </c>
      <c r="K978" s="3">
        <f>IF(ORIG!K978=0,"",ORIG!K978)</f>
        <v/>
      </c>
      <c r="L978" s="3">
        <f>IF(ORIG!L978=0,"",ORIG!L978)</f>
        <v/>
      </c>
      <c r="M978" s="3">
        <f>IF(ORIG!M978=0,"",ORIG!M978)</f>
        <v/>
      </c>
      <c r="N978" s="3">
        <f>IF(ORIG!N978=0,"",ORIG!N978)</f>
        <v/>
      </c>
      <c r="O978" s="3">
        <f>IF(ORIG!O978=0,"",ORIG!O978)</f>
        <v/>
      </c>
      <c r="P978" s="3">
        <f>IF(ORIG!P978=0,"",ORIG!P978)</f>
        <v/>
      </c>
      <c r="Q978" s="3">
        <f>IF(ORIG!Q978=0,"",ORIG!Q978)</f>
        <v/>
      </c>
      <c r="R978" s="3">
        <f>IF(ORIG!R978=0,"",ORIG!R978)</f>
        <v/>
      </c>
      <c r="S978" s="3">
        <f>IF(ORIG!S978=0,"",ORIG!S978)</f>
        <v/>
      </c>
      <c r="T978" s="3">
        <f>IF(ORIG!T978=0,"",ORIG!T978)</f>
        <v/>
      </c>
      <c r="U978" s="3">
        <f>IF(ORIG!U978=0,"",ORIG!U978)</f>
        <v/>
      </c>
      <c r="V978" s="9">
        <f>IF(ORIG!V978=0,"",ORIG!V978)</f>
        <v/>
      </c>
      <c r="W978" s="9">
        <f>IF(ORIG!W978=0,"",ORIG!W978)</f>
        <v/>
      </c>
      <c r="X978" s="9">
        <f>IF(ORIG!X978=0,"",ORIG!X978)</f>
        <v/>
      </c>
      <c r="Y978" s="9">
        <f>IF(ORIG!Y978=0,"",ORIG!Y978)</f>
        <v/>
      </c>
      <c r="Z978" s="3">
        <f>SUMPRODUCT($B978:$Y978,$B$2649:$Y$2649)</f>
        <v/>
      </c>
      <c r="AA978" s="3">
        <f>SUMPRODUCT($B978:$Y978,$B$2655:$Y$2655)</f>
        <v/>
      </c>
      <c r="AC978" s="1">
        <f>A978</f>
        <v/>
      </c>
      <c r="AD978">
        <f>IF(ISNUMBER(V978),V978*($AB$1/V$2635),"")</f>
        <v/>
      </c>
      <c r="AE978">
        <f>IF(ISNUMBER(Z978),Z978*($AB$1/Z$2635),"")</f>
        <v/>
      </c>
      <c r="AF978" s="25">
        <f>IF(ISNUMBER(AD978+AE978),AD978+AE978,"")</f>
        <v/>
      </c>
      <c r="AH978" s="1">
        <f>A978</f>
        <v/>
      </c>
      <c r="AI978">
        <f>IF(ISNUMBER((1+V978)*AI977),(1+V978)*AI977,AI977)</f>
        <v/>
      </c>
      <c r="AJ978">
        <f>IF(ISNUMBER((1+Z978)*AJ977),(1+Z978)*AJ977,AJ977)</f>
        <v/>
      </c>
    </row>
    <row r="979">
      <c r="A979" s="1" t="n">
        <v>43420</v>
      </c>
      <c r="B979" s="3">
        <f>IF(ORIG!B979=0,"",ORIG!B979)</f>
        <v/>
      </c>
      <c r="C979" s="3">
        <f>IF(ORIG!C979=0,"",ORIG!C979)</f>
        <v/>
      </c>
      <c r="D979" s="3">
        <f>IF(ORIG!D979=0,"",ORIG!D979)</f>
        <v/>
      </c>
      <c r="E979" s="3">
        <f>IF(ORIG!E979=0,"",ORIG!E979)</f>
        <v/>
      </c>
      <c r="F979" s="3">
        <f>IF(ORIG!F979=0,"",ORIG!F979)</f>
        <v/>
      </c>
      <c r="G979" s="3">
        <f>IF(ORIG!G979=0,"",ORIG!G979)</f>
        <v/>
      </c>
      <c r="H979" s="3">
        <f>IF(ORIG!H979=0,"",ORIG!H979)</f>
        <v/>
      </c>
      <c r="I979" s="3">
        <f>IF(ORIG!I979=0,"",ORIG!I979)</f>
        <v/>
      </c>
      <c r="J979" s="3">
        <f>IF(ORIG!J979=0,"",ORIG!J979)</f>
        <v/>
      </c>
      <c r="K979" s="3">
        <f>IF(ORIG!K979=0,"",ORIG!K979)</f>
        <v/>
      </c>
      <c r="L979" s="3">
        <f>IF(ORIG!L979=0,"",ORIG!L979)</f>
        <v/>
      </c>
      <c r="M979" s="3">
        <f>IF(ORIG!M979=0,"",ORIG!M979)</f>
        <v/>
      </c>
      <c r="N979" s="3">
        <f>IF(ORIG!N979=0,"",ORIG!N979)</f>
        <v/>
      </c>
      <c r="O979" s="3">
        <f>IF(ORIG!O979=0,"",ORIG!O979)</f>
        <v/>
      </c>
      <c r="P979" s="3">
        <f>IF(ORIG!P979=0,"",ORIG!P979)</f>
        <v/>
      </c>
      <c r="Q979" s="3">
        <f>IF(ORIG!Q979=0,"",ORIG!Q979)</f>
        <v/>
      </c>
      <c r="R979" s="3">
        <f>IF(ORIG!R979=0,"",ORIG!R979)</f>
        <v/>
      </c>
      <c r="S979" s="3">
        <f>IF(ORIG!S979=0,"",ORIG!S979)</f>
        <v/>
      </c>
      <c r="T979" s="3">
        <f>IF(ORIG!T979=0,"",ORIG!T979)</f>
        <v/>
      </c>
      <c r="U979" s="3">
        <f>IF(ORIG!U979=0,"",ORIG!U979)</f>
        <v/>
      </c>
      <c r="V979" s="9">
        <f>IF(ORIG!V979=0,"",ORIG!V979)</f>
        <v/>
      </c>
      <c r="W979" s="9">
        <f>IF(ORIG!W979=0,"",ORIG!W979)</f>
        <v/>
      </c>
      <c r="X979" s="9">
        <f>IF(ORIG!X979=0,"",ORIG!X979)</f>
        <v/>
      </c>
      <c r="Y979" s="9">
        <f>IF(ORIG!Y979=0,"",ORIG!Y979)</f>
        <v/>
      </c>
      <c r="Z979" s="3">
        <f>SUMPRODUCT($B979:$Y979,$B$2649:$Y$2649)</f>
        <v/>
      </c>
      <c r="AA979" s="3">
        <f>SUMPRODUCT($B979:$Y979,$B$2655:$Y$2655)</f>
        <v/>
      </c>
      <c r="AC979" s="1">
        <f>A979</f>
        <v/>
      </c>
      <c r="AD979">
        <f>IF(ISNUMBER(V979),V979*($AB$1/V$2635),"")</f>
        <v/>
      </c>
      <c r="AE979">
        <f>IF(ISNUMBER(Z979),Z979*($AB$1/Z$2635),"")</f>
        <v/>
      </c>
      <c r="AF979" s="25">
        <f>IF(ISNUMBER(AD979+AE979),AD979+AE979,"")</f>
        <v/>
      </c>
      <c r="AH979" s="1">
        <f>A979</f>
        <v/>
      </c>
      <c r="AI979">
        <f>IF(ISNUMBER((1+V979)*AI978),(1+V979)*AI978,AI978)</f>
        <v/>
      </c>
      <c r="AJ979">
        <f>IF(ISNUMBER((1+Z979)*AJ978),(1+Z979)*AJ978,AJ978)</f>
        <v/>
      </c>
    </row>
    <row r="980">
      <c r="A980" s="1" t="n">
        <v>43423</v>
      </c>
      <c r="B980" s="3">
        <f>IF(ORIG!B980=0,"",ORIG!B980)</f>
        <v/>
      </c>
      <c r="C980" s="3">
        <f>IF(ORIG!C980=0,"",ORIG!C980)</f>
        <v/>
      </c>
      <c r="D980" s="3">
        <f>IF(ORIG!D980=0,"",ORIG!D980)</f>
        <v/>
      </c>
      <c r="E980" s="3">
        <f>IF(ORIG!E980=0,"",ORIG!E980)</f>
        <v/>
      </c>
      <c r="F980" s="3">
        <f>IF(ORIG!F980=0,"",ORIG!F980)</f>
        <v/>
      </c>
      <c r="G980" s="3">
        <f>IF(ORIG!G980=0,"",ORIG!G980)</f>
        <v/>
      </c>
      <c r="H980" s="3">
        <f>IF(ORIG!H980=0,"",ORIG!H980)</f>
        <v/>
      </c>
      <c r="I980" s="3">
        <f>IF(ORIG!I980=0,"",ORIG!I980)</f>
        <v/>
      </c>
      <c r="J980" s="3">
        <f>IF(ORIG!J980=0,"",ORIG!J980)</f>
        <v/>
      </c>
      <c r="K980" s="3">
        <f>IF(ORIG!K980=0,"",ORIG!K980)</f>
        <v/>
      </c>
      <c r="L980" s="3">
        <f>IF(ORIG!L980=0,"",ORIG!L980)</f>
        <v/>
      </c>
      <c r="M980" s="3">
        <f>IF(ORIG!M980=0,"",ORIG!M980)</f>
        <v/>
      </c>
      <c r="N980" s="3">
        <f>IF(ORIG!N980=0,"",ORIG!N980)</f>
        <v/>
      </c>
      <c r="O980" s="3">
        <f>IF(ORIG!O980=0,"",ORIG!O980)</f>
        <v/>
      </c>
      <c r="P980" s="3">
        <f>IF(ORIG!P980=0,"",ORIG!P980)</f>
        <v/>
      </c>
      <c r="Q980" s="3">
        <f>IF(ORIG!Q980=0,"",ORIG!Q980)</f>
        <v/>
      </c>
      <c r="R980" s="3">
        <f>IF(ORIG!R980=0,"",ORIG!R980)</f>
        <v/>
      </c>
      <c r="S980" s="3">
        <f>IF(ORIG!S980=0,"",ORIG!S980)</f>
        <v/>
      </c>
      <c r="T980" s="3">
        <f>IF(ORIG!T980=0,"",ORIG!T980)</f>
        <v/>
      </c>
      <c r="U980" s="3">
        <f>IF(ORIG!U980=0,"",ORIG!U980)</f>
        <v/>
      </c>
      <c r="V980" s="9">
        <f>IF(ORIG!V980=0,"",ORIG!V980)</f>
        <v/>
      </c>
      <c r="W980" s="9">
        <f>IF(ORIG!W980=0,"",ORIG!W980)</f>
        <v/>
      </c>
      <c r="X980" s="9">
        <f>IF(ORIG!X980=0,"",ORIG!X980)</f>
        <v/>
      </c>
      <c r="Y980" s="9">
        <f>IF(ORIG!Y980=0,"",ORIG!Y980)</f>
        <v/>
      </c>
      <c r="Z980" s="3">
        <f>SUMPRODUCT($B980:$Y980,$B$2649:$Y$2649)</f>
        <v/>
      </c>
      <c r="AA980" s="3">
        <f>SUMPRODUCT($B980:$Y980,$B$2655:$Y$2655)</f>
        <v/>
      </c>
      <c r="AC980" s="1">
        <f>A980</f>
        <v/>
      </c>
      <c r="AD980">
        <f>IF(ISNUMBER(V980),V980*($AB$1/V$2635),"")</f>
        <v/>
      </c>
      <c r="AE980">
        <f>IF(ISNUMBER(Z980),Z980*($AB$1/Z$2635),"")</f>
        <v/>
      </c>
      <c r="AF980" s="25">
        <f>IF(ISNUMBER(AD980+AE980),AD980+AE980,"")</f>
        <v/>
      </c>
      <c r="AH980" s="1">
        <f>A980</f>
        <v/>
      </c>
      <c r="AI980">
        <f>IF(ISNUMBER((1+V980)*AI979),(1+V980)*AI979,AI979)</f>
        <v/>
      </c>
      <c r="AJ980">
        <f>IF(ISNUMBER((1+Z980)*AJ979),(1+Z980)*AJ979,AJ979)</f>
        <v/>
      </c>
    </row>
    <row r="981">
      <c r="A981" s="1" t="n">
        <v>43424</v>
      </c>
      <c r="B981" s="3">
        <f>IF(ORIG!B981=0,"",ORIG!B981)</f>
        <v/>
      </c>
      <c r="C981" s="3">
        <f>IF(ORIG!C981=0,"",ORIG!C981)</f>
        <v/>
      </c>
      <c r="D981" s="3">
        <f>IF(ORIG!D981=0,"",ORIG!D981)</f>
        <v/>
      </c>
      <c r="E981" s="3">
        <f>IF(ORIG!E981=0,"",ORIG!E981)</f>
        <v/>
      </c>
      <c r="F981" s="3">
        <f>IF(ORIG!F981=0,"",ORIG!F981)</f>
        <v/>
      </c>
      <c r="G981" s="3">
        <f>IF(ORIG!G981=0,"",ORIG!G981)</f>
        <v/>
      </c>
      <c r="H981" s="3">
        <f>IF(ORIG!H981=0,"",ORIG!H981)</f>
        <v/>
      </c>
      <c r="I981" s="3">
        <f>IF(ORIG!I981=0,"",ORIG!I981)</f>
        <v/>
      </c>
      <c r="J981" s="3">
        <f>IF(ORIG!J981=0,"",ORIG!J981)</f>
        <v/>
      </c>
      <c r="K981" s="3">
        <f>IF(ORIG!K981=0,"",ORIG!K981)</f>
        <v/>
      </c>
      <c r="L981" s="3">
        <f>IF(ORIG!L981=0,"",ORIG!L981)</f>
        <v/>
      </c>
      <c r="M981" s="3">
        <f>IF(ORIG!M981=0,"",ORIG!M981)</f>
        <v/>
      </c>
      <c r="N981" s="3">
        <f>IF(ORIG!N981=0,"",ORIG!N981)</f>
        <v/>
      </c>
      <c r="O981" s="3">
        <f>IF(ORIG!O981=0,"",ORIG!O981)</f>
        <v/>
      </c>
      <c r="P981" s="3">
        <f>IF(ORIG!P981=0,"",ORIG!P981)</f>
        <v/>
      </c>
      <c r="Q981" s="3">
        <f>IF(ORIG!Q981=0,"",ORIG!Q981)</f>
        <v/>
      </c>
      <c r="R981" s="3">
        <f>IF(ORIG!R981=0,"",ORIG!R981)</f>
        <v/>
      </c>
      <c r="S981" s="3">
        <f>IF(ORIG!S981=0,"",ORIG!S981)</f>
        <v/>
      </c>
      <c r="T981" s="3">
        <f>IF(ORIG!T981=0,"",ORIG!T981)</f>
        <v/>
      </c>
      <c r="U981" s="3">
        <f>IF(ORIG!U981=0,"",ORIG!U981)</f>
        <v/>
      </c>
      <c r="V981" s="9">
        <f>IF(ORIG!V981=0,"",ORIG!V981)</f>
        <v/>
      </c>
      <c r="W981" s="9">
        <f>IF(ORIG!W981=0,"",ORIG!W981)</f>
        <v/>
      </c>
      <c r="X981" s="9">
        <f>IF(ORIG!X981=0,"",ORIG!X981)</f>
        <v/>
      </c>
      <c r="Y981" s="9">
        <f>IF(ORIG!Y981=0,"",ORIG!Y981)</f>
        <v/>
      </c>
      <c r="Z981" s="3">
        <f>SUMPRODUCT($B981:$Y981,$B$2649:$Y$2649)</f>
        <v/>
      </c>
      <c r="AA981" s="3">
        <f>SUMPRODUCT($B981:$Y981,$B$2655:$Y$2655)</f>
        <v/>
      </c>
      <c r="AC981" s="1">
        <f>A981</f>
        <v/>
      </c>
      <c r="AD981">
        <f>IF(ISNUMBER(V981),V981*($AB$1/V$2635),"")</f>
        <v/>
      </c>
      <c r="AE981">
        <f>IF(ISNUMBER(Z981),Z981*($AB$1/Z$2635),"")</f>
        <v/>
      </c>
      <c r="AF981" s="25">
        <f>IF(ISNUMBER(AD981+AE981),AD981+AE981,"")</f>
        <v/>
      </c>
      <c r="AH981" s="1">
        <f>A981</f>
        <v/>
      </c>
      <c r="AI981">
        <f>IF(ISNUMBER((1+V981)*AI980),(1+V981)*AI980,AI980)</f>
        <v/>
      </c>
      <c r="AJ981">
        <f>IF(ISNUMBER((1+Z981)*AJ980),(1+Z981)*AJ980,AJ980)</f>
        <v/>
      </c>
    </row>
    <row r="982">
      <c r="A982" s="1" t="n">
        <v>43425</v>
      </c>
      <c r="B982" s="3">
        <f>IF(ORIG!B982=0,"",ORIG!B982)</f>
        <v/>
      </c>
      <c r="C982" s="3">
        <f>IF(ORIG!C982=0,"",ORIG!C982)</f>
        <v/>
      </c>
      <c r="D982" s="3">
        <f>IF(ORIG!D982=0,"",ORIG!D982)</f>
        <v/>
      </c>
      <c r="E982" s="3">
        <f>IF(ORIG!E982=0,"",ORIG!E982)</f>
        <v/>
      </c>
      <c r="F982" s="3">
        <f>IF(ORIG!F982=0,"",ORIG!F982)</f>
        <v/>
      </c>
      <c r="G982" s="3">
        <f>IF(ORIG!G982=0,"",ORIG!G982)</f>
        <v/>
      </c>
      <c r="H982" s="3">
        <f>IF(ORIG!H982=0,"",ORIG!H982)</f>
        <v/>
      </c>
      <c r="I982" s="3">
        <f>IF(ORIG!I982=0,"",ORIG!I982)</f>
        <v/>
      </c>
      <c r="J982" s="3">
        <f>IF(ORIG!J982=0,"",ORIG!J982)</f>
        <v/>
      </c>
      <c r="K982" s="3">
        <f>IF(ORIG!K982=0,"",ORIG!K982)</f>
        <v/>
      </c>
      <c r="L982" s="3">
        <f>IF(ORIG!L982=0,"",ORIG!L982)</f>
        <v/>
      </c>
      <c r="M982" s="3">
        <f>IF(ORIG!M982=0,"",ORIG!M982)</f>
        <v/>
      </c>
      <c r="N982" s="3">
        <f>IF(ORIG!N982=0,"",ORIG!N982)</f>
        <v/>
      </c>
      <c r="O982" s="3">
        <f>IF(ORIG!O982=0,"",ORIG!O982)</f>
        <v/>
      </c>
      <c r="P982" s="3">
        <f>IF(ORIG!P982=0,"",ORIG!P982)</f>
        <v/>
      </c>
      <c r="Q982" s="3">
        <f>IF(ORIG!Q982=0,"",ORIG!Q982)</f>
        <v/>
      </c>
      <c r="R982" s="3">
        <f>IF(ORIG!R982=0,"",ORIG!R982)</f>
        <v/>
      </c>
      <c r="S982" s="3">
        <f>IF(ORIG!S982=0,"",ORIG!S982)</f>
        <v/>
      </c>
      <c r="T982" s="3">
        <f>IF(ORIG!T982=0,"",ORIG!T982)</f>
        <v/>
      </c>
      <c r="U982" s="3">
        <f>IF(ORIG!U982=0,"",ORIG!U982)</f>
        <v/>
      </c>
      <c r="V982" s="9">
        <f>IF(ORIG!V982=0,"",ORIG!V982)</f>
        <v/>
      </c>
      <c r="W982" s="9">
        <f>IF(ORIG!W982=0,"",ORIG!W982)</f>
        <v/>
      </c>
      <c r="X982" s="9">
        <f>IF(ORIG!X982=0,"",ORIG!X982)</f>
        <v/>
      </c>
      <c r="Y982" s="9">
        <f>IF(ORIG!Y982=0,"",ORIG!Y982)</f>
        <v/>
      </c>
      <c r="Z982" s="3">
        <f>SUMPRODUCT($B982:$Y982,$B$2649:$Y$2649)</f>
        <v/>
      </c>
      <c r="AA982" s="3">
        <f>SUMPRODUCT($B982:$Y982,$B$2655:$Y$2655)</f>
        <v/>
      </c>
      <c r="AC982" s="1">
        <f>A982</f>
        <v/>
      </c>
      <c r="AD982">
        <f>IF(ISNUMBER(V982),V982*($AB$1/V$2635),"")</f>
        <v/>
      </c>
      <c r="AE982">
        <f>IF(ISNUMBER(Z982),Z982*($AB$1/Z$2635),"")</f>
        <v/>
      </c>
      <c r="AF982" s="25">
        <f>IF(ISNUMBER(AD982+AE982),AD982+AE982,"")</f>
        <v/>
      </c>
      <c r="AH982" s="1">
        <f>A982</f>
        <v/>
      </c>
      <c r="AI982">
        <f>IF(ISNUMBER((1+V982)*AI981),(1+V982)*AI981,AI981)</f>
        <v/>
      </c>
      <c r="AJ982">
        <f>IF(ISNUMBER((1+Z982)*AJ981),(1+Z982)*AJ981,AJ981)</f>
        <v/>
      </c>
    </row>
    <row r="983">
      <c r="A983" s="1" t="n">
        <v>43427</v>
      </c>
      <c r="B983" s="3">
        <f>IF(ORIG!B983=0,"",ORIG!B983)</f>
        <v/>
      </c>
      <c r="C983" s="3">
        <f>IF(ORIG!C983=0,"",ORIG!C983)</f>
        <v/>
      </c>
      <c r="D983" s="3">
        <f>IF(ORIG!D983=0,"",ORIG!D983)</f>
        <v/>
      </c>
      <c r="E983" s="3">
        <f>IF(ORIG!E983=0,"",ORIG!E983)</f>
        <v/>
      </c>
      <c r="F983" s="3">
        <f>IF(ORIG!F983=0,"",ORIG!F983)</f>
        <v/>
      </c>
      <c r="G983" s="3">
        <f>IF(ORIG!G983=0,"",ORIG!G983)</f>
        <v/>
      </c>
      <c r="H983" s="3">
        <f>IF(ORIG!H983=0,"",ORIG!H983)</f>
        <v/>
      </c>
      <c r="I983" s="3">
        <f>IF(ORIG!I983=0,"",ORIG!I983)</f>
        <v/>
      </c>
      <c r="J983" s="3">
        <f>IF(ORIG!J983=0,"",ORIG!J983)</f>
        <v/>
      </c>
      <c r="K983" s="3">
        <f>IF(ORIG!K983=0,"",ORIG!K983)</f>
        <v/>
      </c>
      <c r="L983" s="3">
        <f>IF(ORIG!L983=0,"",ORIG!L983)</f>
        <v/>
      </c>
      <c r="M983" s="3">
        <f>IF(ORIG!M983=0,"",ORIG!M983)</f>
        <v/>
      </c>
      <c r="N983" s="3">
        <f>IF(ORIG!N983=0,"",ORIG!N983)</f>
        <v/>
      </c>
      <c r="O983" s="3">
        <f>IF(ORIG!O983=0,"",ORIG!O983)</f>
        <v/>
      </c>
      <c r="P983" s="3">
        <f>IF(ORIG!P983=0,"",ORIG!P983)</f>
        <v/>
      </c>
      <c r="Q983" s="3">
        <f>IF(ORIG!Q983=0,"",ORIG!Q983)</f>
        <v/>
      </c>
      <c r="R983" s="3">
        <f>IF(ORIG!R983=0,"",ORIG!R983)</f>
        <v/>
      </c>
      <c r="S983" s="3">
        <f>IF(ORIG!S983=0,"",ORIG!S983)</f>
        <v/>
      </c>
      <c r="T983" s="3">
        <f>IF(ORIG!T983=0,"",ORIG!T983)</f>
        <v/>
      </c>
      <c r="U983" s="3">
        <f>IF(ORIG!U983=0,"",ORIG!U983)</f>
        <v/>
      </c>
      <c r="V983" s="9">
        <f>IF(ORIG!V983=0,"",ORIG!V983)</f>
        <v/>
      </c>
      <c r="W983" s="9">
        <f>IF(ORIG!W983=0,"",ORIG!W983)</f>
        <v/>
      </c>
      <c r="X983" s="9">
        <f>IF(ORIG!X983=0,"",ORIG!X983)</f>
        <v/>
      </c>
      <c r="Y983" s="9">
        <f>IF(ORIG!Y983=0,"",ORIG!Y983)</f>
        <v/>
      </c>
      <c r="Z983" s="3">
        <f>SUMPRODUCT($B983:$Y983,$B$2649:$Y$2649)</f>
        <v/>
      </c>
      <c r="AA983" s="3">
        <f>SUMPRODUCT($B983:$Y983,$B$2655:$Y$2655)</f>
        <v/>
      </c>
      <c r="AC983" s="1">
        <f>A983</f>
        <v/>
      </c>
      <c r="AD983">
        <f>IF(ISNUMBER(V983),V983*($AB$1/V$2635),"")</f>
        <v/>
      </c>
      <c r="AE983">
        <f>IF(ISNUMBER(Z983),Z983*($AB$1/Z$2635),"")</f>
        <v/>
      </c>
      <c r="AF983" s="25">
        <f>IF(ISNUMBER(AD983+AE983),AD983+AE983,"")</f>
        <v/>
      </c>
      <c r="AH983" s="1">
        <f>A983</f>
        <v/>
      </c>
      <c r="AI983">
        <f>IF(ISNUMBER((1+V983)*AI982),(1+V983)*AI982,AI982)</f>
        <v/>
      </c>
      <c r="AJ983">
        <f>IF(ISNUMBER((1+Z983)*AJ982),(1+Z983)*AJ982,AJ982)</f>
        <v/>
      </c>
    </row>
    <row r="984">
      <c r="A984" s="1" t="n">
        <v>43430</v>
      </c>
      <c r="B984" s="3">
        <f>IF(ORIG!B984=0,"",ORIG!B984)</f>
        <v/>
      </c>
      <c r="C984" s="3">
        <f>IF(ORIG!C984=0,"",ORIG!C984)</f>
        <v/>
      </c>
      <c r="D984" s="3">
        <f>IF(ORIG!D984=0,"",ORIG!D984)</f>
        <v/>
      </c>
      <c r="E984" s="3">
        <f>IF(ORIG!E984=0,"",ORIG!E984)</f>
        <v/>
      </c>
      <c r="F984" s="3">
        <f>IF(ORIG!F984=0,"",ORIG!F984)</f>
        <v/>
      </c>
      <c r="G984" s="3">
        <f>IF(ORIG!G984=0,"",ORIG!G984)</f>
        <v/>
      </c>
      <c r="H984" s="3">
        <f>IF(ORIG!H984=0,"",ORIG!H984)</f>
        <v/>
      </c>
      <c r="I984" s="3">
        <f>IF(ORIG!I984=0,"",ORIG!I984)</f>
        <v/>
      </c>
      <c r="J984" s="3">
        <f>IF(ORIG!J984=0,"",ORIG!J984)</f>
        <v/>
      </c>
      <c r="K984" s="3">
        <f>IF(ORIG!K984=0,"",ORIG!K984)</f>
        <v/>
      </c>
      <c r="L984" s="3">
        <f>IF(ORIG!L984=0,"",ORIG!L984)</f>
        <v/>
      </c>
      <c r="M984" s="3">
        <f>IF(ORIG!M984=0,"",ORIG!M984)</f>
        <v/>
      </c>
      <c r="N984" s="3">
        <f>IF(ORIG!N984=0,"",ORIG!N984)</f>
        <v/>
      </c>
      <c r="O984" s="3">
        <f>IF(ORIG!O984=0,"",ORIG!O984)</f>
        <v/>
      </c>
      <c r="P984" s="3">
        <f>IF(ORIG!P984=0,"",ORIG!P984)</f>
        <v/>
      </c>
      <c r="Q984" s="3">
        <f>IF(ORIG!Q984=0,"",ORIG!Q984)</f>
        <v/>
      </c>
      <c r="R984" s="3">
        <f>IF(ORIG!R984=0,"",ORIG!R984)</f>
        <v/>
      </c>
      <c r="S984" s="3">
        <f>IF(ORIG!S984=0,"",ORIG!S984)</f>
        <v/>
      </c>
      <c r="T984" s="3">
        <f>IF(ORIG!T984=0,"",ORIG!T984)</f>
        <v/>
      </c>
      <c r="U984" s="3">
        <f>IF(ORIG!U984=0,"",ORIG!U984)</f>
        <v/>
      </c>
      <c r="V984" s="9">
        <f>IF(ORIG!V984=0,"",ORIG!V984)</f>
        <v/>
      </c>
      <c r="W984" s="9">
        <f>IF(ORIG!W984=0,"",ORIG!W984)</f>
        <v/>
      </c>
      <c r="X984" s="9">
        <f>IF(ORIG!X984=0,"",ORIG!X984)</f>
        <v/>
      </c>
      <c r="Y984" s="9">
        <f>IF(ORIG!Y984=0,"",ORIG!Y984)</f>
        <v/>
      </c>
      <c r="Z984" s="3">
        <f>SUMPRODUCT($B984:$Y984,$B$2649:$Y$2649)</f>
        <v/>
      </c>
      <c r="AA984" s="3">
        <f>SUMPRODUCT($B984:$Y984,$B$2655:$Y$2655)</f>
        <v/>
      </c>
      <c r="AC984" s="1">
        <f>A984</f>
        <v/>
      </c>
      <c r="AD984">
        <f>IF(ISNUMBER(V984),V984*($AB$1/V$2635),"")</f>
        <v/>
      </c>
      <c r="AE984">
        <f>IF(ISNUMBER(Z984),Z984*($AB$1/Z$2635),"")</f>
        <v/>
      </c>
      <c r="AF984" s="25">
        <f>IF(ISNUMBER(AD984+AE984),AD984+AE984,"")</f>
        <v/>
      </c>
      <c r="AH984" s="1">
        <f>A984</f>
        <v/>
      </c>
      <c r="AI984">
        <f>IF(ISNUMBER((1+V984)*AI983),(1+V984)*AI983,AI983)</f>
        <v/>
      </c>
      <c r="AJ984">
        <f>IF(ISNUMBER((1+Z984)*AJ983),(1+Z984)*AJ983,AJ983)</f>
        <v/>
      </c>
    </row>
    <row r="985">
      <c r="A985" s="1" t="n">
        <v>43431</v>
      </c>
      <c r="B985" s="3">
        <f>IF(ORIG!B985=0,"",ORIG!B985)</f>
        <v/>
      </c>
      <c r="C985" s="3">
        <f>IF(ORIG!C985=0,"",ORIG!C985)</f>
        <v/>
      </c>
      <c r="D985" s="3">
        <f>IF(ORIG!D985=0,"",ORIG!D985)</f>
        <v/>
      </c>
      <c r="E985" s="3">
        <f>IF(ORIG!E985=0,"",ORIG!E985)</f>
        <v/>
      </c>
      <c r="F985" s="3">
        <f>IF(ORIG!F985=0,"",ORIG!F985)</f>
        <v/>
      </c>
      <c r="G985" s="3">
        <f>IF(ORIG!G985=0,"",ORIG!G985)</f>
        <v/>
      </c>
      <c r="H985" s="3">
        <f>IF(ORIG!H985=0,"",ORIG!H985)</f>
        <v/>
      </c>
      <c r="I985" s="3">
        <f>IF(ORIG!I985=0,"",ORIG!I985)</f>
        <v/>
      </c>
      <c r="J985" s="3">
        <f>IF(ORIG!J985=0,"",ORIG!J985)</f>
        <v/>
      </c>
      <c r="K985" s="3">
        <f>IF(ORIG!K985=0,"",ORIG!K985)</f>
        <v/>
      </c>
      <c r="L985" s="3">
        <f>IF(ORIG!L985=0,"",ORIG!L985)</f>
        <v/>
      </c>
      <c r="M985" s="3">
        <f>IF(ORIG!M985=0,"",ORIG!M985)</f>
        <v/>
      </c>
      <c r="N985" s="3">
        <f>IF(ORIG!N985=0,"",ORIG!N985)</f>
        <v/>
      </c>
      <c r="O985" s="3">
        <f>IF(ORIG!O985=0,"",ORIG!O985)</f>
        <v/>
      </c>
      <c r="P985" s="3">
        <f>IF(ORIG!P985=0,"",ORIG!P985)</f>
        <v/>
      </c>
      <c r="Q985" s="3">
        <f>IF(ORIG!Q985=0,"",ORIG!Q985)</f>
        <v/>
      </c>
      <c r="R985" s="3">
        <f>IF(ORIG!R985=0,"",ORIG!R985)</f>
        <v/>
      </c>
      <c r="S985" s="3">
        <f>IF(ORIG!S985=0,"",ORIG!S985)</f>
        <v/>
      </c>
      <c r="T985" s="3">
        <f>IF(ORIG!T985=0,"",ORIG!T985)</f>
        <v/>
      </c>
      <c r="U985" s="3">
        <f>IF(ORIG!U985=0,"",ORIG!U985)</f>
        <v/>
      </c>
      <c r="V985" s="9">
        <f>IF(ORIG!V985=0,"",ORIG!V985)</f>
        <v/>
      </c>
      <c r="W985" s="9">
        <f>IF(ORIG!W985=0,"",ORIG!W985)</f>
        <v/>
      </c>
      <c r="X985" s="9">
        <f>IF(ORIG!X985=0,"",ORIG!X985)</f>
        <v/>
      </c>
      <c r="Y985" s="9">
        <f>IF(ORIG!Y985=0,"",ORIG!Y985)</f>
        <v/>
      </c>
      <c r="Z985" s="3">
        <f>SUMPRODUCT($B985:$Y985,$B$2649:$Y$2649)</f>
        <v/>
      </c>
      <c r="AA985" s="3">
        <f>SUMPRODUCT($B985:$Y985,$B$2655:$Y$2655)</f>
        <v/>
      </c>
      <c r="AC985" s="1">
        <f>A985</f>
        <v/>
      </c>
      <c r="AD985">
        <f>IF(ISNUMBER(V985),V985*($AB$1/V$2635),"")</f>
        <v/>
      </c>
      <c r="AE985">
        <f>IF(ISNUMBER(Z985),Z985*($AB$1/Z$2635),"")</f>
        <v/>
      </c>
      <c r="AF985" s="25">
        <f>IF(ISNUMBER(AD985+AE985),AD985+AE985,"")</f>
        <v/>
      </c>
      <c r="AH985" s="1">
        <f>A985</f>
        <v/>
      </c>
      <c r="AI985">
        <f>IF(ISNUMBER((1+V985)*AI984),(1+V985)*AI984,AI984)</f>
        <v/>
      </c>
      <c r="AJ985">
        <f>IF(ISNUMBER((1+Z985)*AJ984),(1+Z985)*AJ984,AJ984)</f>
        <v/>
      </c>
    </row>
    <row r="986">
      <c r="A986" s="1" t="n">
        <v>43432</v>
      </c>
      <c r="B986" s="3">
        <f>IF(ORIG!B986=0,"",ORIG!B986)</f>
        <v/>
      </c>
      <c r="C986" s="3">
        <f>IF(ORIG!C986=0,"",ORIG!C986)</f>
        <v/>
      </c>
      <c r="D986" s="3">
        <f>IF(ORIG!D986=0,"",ORIG!D986)</f>
        <v/>
      </c>
      <c r="E986" s="3">
        <f>IF(ORIG!E986=0,"",ORIG!E986)</f>
        <v/>
      </c>
      <c r="F986" s="3">
        <f>IF(ORIG!F986=0,"",ORIG!F986)</f>
        <v/>
      </c>
      <c r="G986" s="3">
        <f>IF(ORIG!G986=0,"",ORIG!G986)</f>
        <v/>
      </c>
      <c r="H986" s="3">
        <f>IF(ORIG!H986=0,"",ORIG!H986)</f>
        <v/>
      </c>
      <c r="I986" s="3">
        <f>IF(ORIG!I986=0,"",ORIG!I986)</f>
        <v/>
      </c>
      <c r="J986" s="3">
        <f>IF(ORIG!J986=0,"",ORIG!J986)</f>
        <v/>
      </c>
      <c r="K986" s="3">
        <f>IF(ORIG!K986=0,"",ORIG!K986)</f>
        <v/>
      </c>
      <c r="L986" s="3">
        <f>IF(ORIG!L986=0,"",ORIG!L986)</f>
        <v/>
      </c>
      <c r="M986" s="3">
        <f>IF(ORIG!M986=0,"",ORIG!M986)</f>
        <v/>
      </c>
      <c r="N986" s="3">
        <f>IF(ORIG!N986=0,"",ORIG!N986)</f>
        <v/>
      </c>
      <c r="O986" s="3">
        <f>IF(ORIG!O986=0,"",ORIG!O986)</f>
        <v/>
      </c>
      <c r="P986" s="3">
        <f>IF(ORIG!P986=0,"",ORIG!P986)</f>
        <v/>
      </c>
      <c r="Q986" s="3">
        <f>IF(ORIG!Q986=0,"",ORIG!Q986)</f>
        <v/>
      </c>
      <c r="R986" s="3">
        <f>IF(ORIG!R986=0,"",ORIG!R986)</f>
        <v/>
      </c>
      <c r="S986" s="3">
        <f>IF(ORIG!S986=0,"",ORIG!S986)</f>
        <v/>
      </c>
      <c r="T986" s="3">
        <f>IF(ORIG!T986=0,"",ORIG!T986)</f>
        <v/>
      </c>
      <c r="U986" s="3">
        <f>IF(ORIG!U986=0,"",ORIG!U986)</f>
        <v/>
      </c>
      <c r="V986" s="9">
        <f>IF(ORIG!V986=0,"",ORIG!V986)</f>
        <v/>
      </c>
      <c r="W986" s="9">
        <f>IF(ORIG!W986=0,"",ORIG!W986)</f>
        <v/>
      </c>
      <c r="X986" s="9">
        <f>IF(ORIG!X986=0,"",ORIG!X986)</f>
        <v/>
      </c>
      <c r="Y986" s="9">
        <f>IF(ORIG!Y986=0,"",ORIG!Y986)</f>
        <v/>
      </c>
      <c r="Z986" s="3">
        <f>SUMPRODUCT($B986:$Y986,$B$2649:$Y$2649)</f>
        <v/>
      </c>
      <c r="AA986" s="3">
        <f>SUMPRODUCT($B986:$Y986,$B$2655:$Y$2655)</f>
        <v/>
      </c>
      <c r="AC986" s="1">
        <f>A986</f>
        <v/>
      </c>
      <c r="AD986">
        <f>IF(ISNUMBER(V986),V986*($AB$1/V$2635),"")</f>
        <v/>
      </c>
      <c r="AE986">
        <f>IF(ISNUMBER(Z986),Z986*($AB$1/Z$2635),"")</f>
        <v/>
      </c>
      <c r="AF986" s="25">
        <f>IF(ISNUMBER(AD986+AE986),AD986+AE986,"")</f>
        <v/>
      </c>
      <c r="AH986" s="1">
        <f>A986</f>
        <v/>
      </c>
      <c r="AI986">
        <f>IF(ISNUMBER((1+V986)*AI985),(1+V986)*AI985,AI985)</f>
        <v/>
      </c>
      <c r="AJ986">
        <f>IF(ISNUMBER((1+Z986)*AJ985),(1+Z986)*AJ985,AJ985)</f>
        <v/>
      </c>
    </row>
    <row r="987">
      <c r="A987" s="1" t="n">
        <v>43433</v>
      </c>
      <c r="B987" s="3">
        <f>IF(ORIG!B987=0,"",ORIG!B987)</f>
        <v/>
      </c>
      <c r="C987" s="3">
        <f>IF(ORIG!C987=0,"",ORIG!C987)</f>
        <v/>
      </c>
      <c r="D987" s="3">
        <f>IF(ORIG!D987=0,"",ORIG!D987)</f>
        <v/>
      </c>
      <c r="E987" s="3">
        <f>IF(ORIG!E987=0,"",ORIG!E987)</f>
        <v/>
      </c>
      <c r="F987" s="3">
        <f>IF(ORIG!F987=0,"",ORIG!F987)</f>
        <v/>
      </c>
      <c r="G987" s="3">
        <f>IF(ORIG!G987=0,"",ORIG!G987)</f>
        <v/>
      </c>
      <c r="H987" s="3">
        <f>IF(ORIG!H987=0,"",ORIG!H987)</f>
        <v/>
      </c>
      <c r="I987" s="3">
        <f>IF(ORIG!I987=0,"",ORIG!I987)</f>
        <v/>
      </c>
      <c r="J987" s="3">
        <f>IF(ORIG!J987=0,"",ORIG!J987)</f>
        <v/>
      </c>
      <c r="K987" s="3">
        <f>IF(ORIG!K987=0,"",ORIG!K987)</f>
        <v/>
      </c>
      <c r="L987" s="3">
        <f>IF(ORIG!L987=0,"",ORIG!L987)</f>
        <v/>
      </c>
      <c r="M987" s="3">
        <f>IF(ORIG!M987=0,"",ORIG!M987)</f>
        <v/>
      </c>
      <c r="N987" s="3">
        <f>IF(ORIG!N987=0,"",ORIG!N987)</f>
        <v/>
      </c>
      <c r="O987" s="3">
        <f>IF(ORIG!O987=0,"",ORIG!O987)</f>
        <v/>
      </c>
      <c r="P987" s="3">
        <f>IF(ORIG!P987=0,"",ORIG!P987)</f>
        <v/>
      </c>
      <c r="Q987" s="3">
        <f>IF(ORIG!Q987=0,"",ORIG!Q987)</f>
        <v/>
      </c>
      <c r="R987" s="3">
        <f>IF(ORIG!R987=0,"",ORIG!R987)</f>
        <v/>
      </c>
      <c r="S987" s="3">
        <f>IF(ORIG!S987=0,"",ORIG!S987)</f>
        <v/>
      </c>
      <c r="T987" s="3">
        <f>IF(ORIG!T987=0,"",ORIG!T987)</f>
        <v/>
      </c>
      <c r="U987" s="3">
        <f>IF(ORIG!U987=0,"",ORIG!U987)</f>
        <v/>
      </c>
      <c r="V987" s="9">
        <f>IF(ORIG!V987=0,"",ORIG!V987)</f>
        <v/>
      </c>
      <c r="W987" s="9">
        <f>IF(ORIG!W987=0,"",ORIG!W987)</f>
        <v/>
      </c>
      <c r="X987" s="9">
        <f>IF(ORIG!X987=0,"",ORIG!X987)</f>
        <v/>
      </c>
      <c r="Y987" s="9">
        <f>IF(ORIG!Y987=0,"",ORIG!Y987)</f>
        <v/>
      </c>
      <c r="Z987" s="3">
        <f>SUMPRODUCT($B987:$Y987,$B$2649:$Y$2649)</f>
        <v/>
      </c>
      <c r="AA987" s="3">
        <f>SUMPRODUCT($B987:$Y987,$B$2655:$Y$2655)</f>
        <v/>
      </c>
      <c r="AC987" s="1">
        <f>A987</f>
        <v/>
      </c>
      <c r="AD987">
        <f>IF(ISNUMBER(V987),V987*($AB$1/V$2635),"")</f>
        <v/>
      </c>
      <c r="AE987">
        <f>IF(ISNUMBER(Z987),Z987*($AB$1/Z$2635),"")</f>
        <v/>
      </c>
      <c r="AF987" s="25">
        <f>IF(ISNUMBER(AD987+AE987),AD987+AE987,"")</f>
        <v/>
      </c>
      <c r="AH987" s="1">
        <f>A987</f>
        <v/>
      </c>
      <c r="AI987">
        <f>IF(ISNUMBER((1+V987)*AI986),(1+V987)*AI986,AI986)</f>
        <v/>
      </c>
      <c r="AJ987">
        <f>IF(ISNUMBER((1+Z987)*AJ986),(1+Z987)*AJ986,AJ986)</f>
        <v/>
      </c>
    </row>
    <row r="988">
      <c r="A988" s="1" t="n">
        <v>43434</v>
      </c>
      <c r="B988" s="3">
        <f>IF(ORIG!B988=0,"",ORIG!B988)</f>
        <v/>
      </c>
      <c r="C988" s="3">
        <f>IF(ORIG!C988=0,"",ORIG!C988)</f>
        <v/>
      </c>
      <c r="D988" s="3">
        <f>IF(ORIG!D988=0,"",ORIG!D988)</f>
        <v/>
      </c>
      <c r="E988" s="3">
        <f>IF(ORIG!E988=0,"",ORIG!E988)</f>
        <v/>
      </c>
      <c r="F988" s="3">
        <f>IF(ORIG!F988=0,"",ORIG!F988)</f>
        <v/>
      </c>
      <c r="G988" s="3">
        <f>IF(ORIG!G988=0,"",ORIG!G988)</f>
        <v/>
      </c>
      <c r="H988" s="3">
        <f>IF(ORIG!H988=0,"",ORIG!H988)</f>
        <v/>
      </c>
      <c r="I988" s="3">
        <f>IF(ORIG!I988=0,"",ORIG!I988)</f>
        <v/>
      </c>
      <c r="J988" s="3">
        <f>IF(ORIG!J988=0,"",ORIG!J988)</f>
        <v/>
      </c>
      <c r="K988" s="3">
        <f>IF(ORIG!K988=0,"",ORIG!K988)</f>
        <v/>
      </c>
      <c r="L988" s="3">
        <f>IF(ORIG!L988=0,"",ORIG!L988)</f>
        <v/>
      </c>
      <c r="M988" s="3">
        <f>IF(ORIG!M988=0,"",ORIG!M988)</f>
        <v/>
      </c>
      <c r="N988" s="3">
        <f>IF(ORIG!N988=0,"",ORIG!N988)</f>
        <v/>
      </c>
      <c r="O988" s="3">
        <f>IF(ORIG!O988=0,"",ORIG!O988)</f>
        <v/>
      </c>
      <c r="P988" s="3">
        <f>IF(ORIG!P988=0,"",ORIG!P988)</f>
        <v/>
      </c>
      <c r="Q988" s="3">
        <f>IF(ORIG!Q988=0,"",ORIG!Q988)</f>
        <v/>
      </c>
      <c r="R988" s="3">
        <f>IF(ORIG!R988=0,"",ORIG!R988)</f>
        <v/>
      </c>
      <c r="S988" s="3">
        <f>IF(ORIG!S988=0,"",ORIG!S988)</f>
        <v/>
      </c>
      <c r="T988" s="3">
        <f>IF(ORIG!T988=0,"",ORIG!T988)</f>
        <v/>
      </c>
      <c r="U988" s="3">
        <f>IF(ORIG!U988=0,"",ORIG!U988)</f>
        <v/>
      </c>
      <c r="V988" s="9">
        <f>IF(ORIG!V988=0,"",ORIG!V988)</f>
        <v/>
      </c>
      <c r="W988" s="9">
        <f>IF(ORIG!W988=0,"",ORIG!W988)</f>
        <v/>
      </c>
      <c r="X988" s="9">
        <f>IF(ORIG!X988=0,"",ORIG!X988)</f>
        <v/>
      </c>
      <c r="Y988" s="9">
        <f>IF(ORIG!Y988=0,"",ORIG!Y988)</f>
        <v/>
      </c>
      <c r="Z988" s="3">
        <f>SUMPRODUCT($B988:$Y988,$B$2649:$Y$2649)</f>
        <v/>
      </c>
      <c r="AA988" s="3">
        <f>SUMPRODUCT($B988:$Y988,$B$2655:$Y$2655)</f>
        <v/>
      </c>
      <c r="AC988" s="1">
        <f>A988</f>
        <v/>
      </c>
      <c r="AD988">
        <f>IF(ISNUMBER(V988),V988*($AB$1/V$2635),"")</f>
        <v/>
      </c>
      <c r="AE988">
        <f>IF(ISNUMBER(Z988),Z988*($AB$1/Z$2635),"")</f>
        <v/>
      </c>
      <c r="AF988" s="25">
        <f>IF(ISNUMBER(AD988+AE988),AD988+AE988,"")</f>
        <v/>
      </c>
      <c r="AH988" s="1">
        <f>A988</f>
        <v/>
      </c>
      <c r="AI988">
        <f>IF(ISNUMBER((1+V988)*AI987),(1+V988)*AI987,AI987)</f>
        <v/>
      </c>
      <c r="AJ988">
        <f>IF(ISNUMBER((1+Z988)*AJ987),(1+Z988)*AJ987,AJ987)</f>
        <v/>
      </c>
    </row>
    <row r="989">
      <c r="A989" s="1" t="n">
        <v>43437</v>
      </c>
      <c r="B989" s="3">
        <f>IF(ORIG!B989=0,"",ORIG!B989)</f>
        <v/>
      </c>
      <c r="C989" s="3">
        <f>IF(ORIG!C989=0,"",ORIG!C989)</f>
        <v/>
      </c>
      <c r="D989" s="3">
        <f>IF(ORIG!D989=0,"",ORIG!D989)</f>
        <v/>
      </c>
      <c r="E989" s="3">
        <f>IF(ORIG!E989=0,"",ORIG!E989)</f>
        <v/>
      </c>
      <c r="F989" s="3">
        <f>IF(ORIG!F989=0,"",ORIG!F989)</f>
        <v/>
      </c>
      <c r="G989" s="3">
        <f>IF(ORIG!G989=0,"",ORIG!G989)</f>
        <v/>
      </c>
      <c r="H989" s="3">
        <f>IF(ORIG!H989=0,"",ORIG!H989)</f>
        <v/>
      </c>
      <c r="I989" s="3">
        <f>IF(ORIG!I989=0,"",ORIG!I989)</f>
        <v/>
      </c>
      <c r="J989" s="3">
        <f>IF(ORIG!J989=0,"",ORIG!J989)</f>
        <v/>
      </c>
      <c r="K989" s="3">
        <f>IF(ORIG!K989=0,"",ORIG!K989)</f>
        <v/>
      </c>
      <c r="L989" s="3">
        <f>IF(ORIG!L989=0,"",ORIG!L989)</f>
        <v/>
      </c>
      <c r="M989" s="3">
        <f>IF(ORIG!M989=0,"",ORIG!M989)</f>
        <v/>
      </c>
      <c r="N989" s="3">
        <f>IF(ORIG!N989=0,"",ORIG!N989)</f>
        <v/>
      </c>
      <c r="O989" s="3">
        <f>IF(ORIG!O989=0,"",ORIG!O989)</f>
        <v/>
      </c>
      <c r="P989" s="3">
        <f>IF(ORIG!P989=0,"",ORIG!P989)</f>
        <v/>
      </c>
      <c r="Q989" s="3">
        <f>IF(ORIG!Q989=0,"",ORIG!Q989)</f>
        <v/>
      </c>
      <c r="R989" s="3">
        <f>IF(ORIG!R989=0,"",ORIG!R989)</f>
        <v/>
      </c>
      <c r="S989" s="3">
        <f>IF(ORIG!S989=0,"",ORIG!S989)</f>
        <v/>
      </c>
      <c r="T989" s="3">
        <f>IF(ORIG!T989=0,"",ORIG!T989)</f>
        <v/>
      </c>
      <c r="U989" s="3">
        <f>IF(ORIG!U989=0,"",ORIG!U989)</f>
        <v/>
      </c>
      <c r="V989" s="9">
        <f>IF(ORIG!V989=0,"",ORIG!V989)</f>
        <v/>
      </c>
      <c r="W989" s="9">
        <f>IF(ORIG!W989=0,"",ORIG!W989)</f>
        <v/>
      </c>
      <c r="X989" s="9">
        <f>IF(ORIG!X989=0,"",ORIG!X989)</f>
        <v/>
      </c>
      <c r="Y989" s="9">
        <f>IF(ORIG!Y989=0,"",ORIG!Y989)</f>
        <v/>
      </c>
      <c r="Z989" s="3">
        <f>SUMPRODUCT($B989:$Y989,$B$2649:$Y$2649)</f>
        <v/>
      </c>
      <c r="AA989" s="3">
        <f>SUMPRODUCT($B989:$Y989,$B$2655:$Y$2655)</f>
        <v/>
      </c>
      <c r="AC989" s="1">
        <f>A989</f>
        <v/>
      </c>
      <c r="AD989">
        <f>IF(ISNUMBER(V989),V989*($AB$1/V$2635),"")</f>
        <v/>
      </c>
      <c r="AE989">
        <f>IF(ISNUMBER(Z989),Z989*($AB$1/Z$2635),"")</f>
        <v/>
      </c>
      <c r="AF989" s="25">
        <f>IF(ISNUMBER(AD989+AE989),AD989+AE989,"")</f>
        <v/>
      </c>
      <c r="AH989" s="1">
        <f>A989</f>
        <v/>
      </c>
      <c r="AI989">
        <f>IF(ISNUMBER((1+V989)*AI988),(1+V989)*AI988,AI988)</f>
        <v/>
      </c>
      <c r="AJ989">
        <f>IF(ISNUMBER((1+Z989)*AJ988),(1+Z989)*AJ988,AJ988)</f>
        <v/>
      </c>
    </row>
    <row r="990">
      <c r="A990" s="1" t="n">
        <v>43438</v>
      </c>
      <c r="B990" s="3">
        <f>IF(ORIG!B990=0,"",ORIG!B990)</f>
        <v/>
      </c>
      <c r="C990" s="3">
        <f>IF(ORIG!C990=0,"",ORIG!C990)</f>
        <v/>
      </c>
      <c r="D990" s="3">
        <f>IF(ORIG!D990=0,"",ORIG!D990)</f>
        <v/>
      </c>
      <c r="E990" s="3">
        <f>IF(ORIG!E990=0,"",ORIG!E990)</f>
        <v/>
      </c>
      <c r="F990" s="3">
        <f>IF(ORIG!F990=0,"",ORIG!F990)</f>
        <v/>
      </c>
      <c r="G990" s="3">
        <f>IF(ORIG!G990=0,"",ORIG!G990)</f>
        <v/>
      </c>
      <c r="H990" s="3">
        <f>IF(ORIG!H990=0,"",ORIG!H990)</f>
        <v/>
      </c>
      <c r="I990" s="3">
        <f>IF(ORIG!I990=0,"",ORIG!I990)</f>
        <v/>
      </c>
      <c r="J990" s="3">
        <f>IF(ORIG!J990=0,"",ORIG!J990)</f>
        <v/>
      </c>
      <c r="K990" s="3">
        <f>IF(ORIG!K990=0,"",ORIG!K990)</f>
        <v/>
      </c>
      <c r="L990" s="3">
        <f>IF(ORIG!L990=0,"",ORIG!L990)</f>
        <v/>
      </c>
      <c r="M990" s="3">
        <f>IF(ORIG!M990=0,"",ORIG!M990)</f>
        <v/>
      </c>
      <c r="N990" s="3">
        <f>IF(ORIG!N990=0,"",ORIG!N990)</f>
        <v/>
      </c>
      <c r="O990" s="3">
        <f>IF(ORIG!O990=0,"",ORIG!O990)</f>
        <v/>
      </c>
      <c r="P990" s="3">
        <f>IF(ORIG!P990=0,"",ORIG!P990)</f>
        <v/>
      </c>
      <c r="Q990" s="3">
        <f>IF(ORIG!Q990=0,"",ORIG!Q990)</f>
        <v/>
      </c>
      <c r="R990" s="3">
        <f>IF(ORIG!R990=0,"",ORIG!R990)</f>
        <v/>
      </c>
      <c r="S990" s="3">
        <f>IF(ORIG!S990=0,"",ORIG!S990)</f>
        <v/>
      </c>
      <c r="T990" s="3">
        <f>IF(ORIG!T990=0,"",ORIG!T990)</f>
        <v/>
      </c>
      <c r="U990" s="3">
        <f>IF(ORIG!U990=0,"",ORIG!U990)</f>
        <v/>
      </c>
      <c r="V990" s="9">
        <f>IF(ORIG!V990=0,"",ORIG!V990)</f>
        <v/>
      </c>
      <c r="W990" s="9">
        <f>IF(ORIG!W990=0,"",ORIG!W990)</f>
        <v/>
      </c>
      <c r="X990" s="9">
        <f>IF(ORIG!X990=0,"",ORIG!X990)</f>
        <v/>
      </c>
      <c r="Y990" s="9">
        <f>IF(ORIG!Y990=0,"",ORIG!Y990)</f>
        <v/>
      </c>
      <c r="Z990" s="3">
        <f>SUMPRODUCT($B990:$Y990,$B$2649:$Y$2649)</f>
        <v/>
      </c>
      <c r="AA990" s="3">
        <f>SUMPRODUCT($B990:$Y990,$B$2655:$Y$2655)</f>
        <v/>
      </c>
      <c r="AC990" s="1">
        <f>A990</f>
        <v/>
      </c>
      <c r="AD990">
        <f>IF(ISNUMBER(V990),V990*($AB$1/V$2635),"")</f>
        <v/>
      </c>
      <c r="AE990">
        <f>IF(ISNUMBER(Z990),Z990*($AB$1/Z$2635),"")</f>
        <v/>
      </c>
      <c r="AF990" s="25">
        <f>IF(ISNUMBER(AD990+AE990),AD990+AE990,"")</f>
        <v/>
      </c>
      <c r="AH990" s="1">
        <f>A990</f>
        <v/>
      </c>
      <c r="AI990">
        <f>IF(ISNUMBER((1+V990)*AI989),(1+V990)*AI989,AI989)</f>
        <v/>
      </c>
      <c r="AJ990">
        <f>IF(ISNUMBER((1+Z990)*AJ989),(1+Z990)*AJ989,AJ989)</f>
        <v/>
      </c>
    </row>
    <row r="991">
      <c r="A991" s="1" t="n">
        <v>43439</v>
      </c>
      <c r="B991" s="3">
        <f>IF(ORIG!B991=0,"",ORIG!B991)</f>
        <v/>
      </c>
      <c r="C991" s="3">
        <f>IF(ORIG!C991=0,"",ORIG!C991)</f>
        <v/>
      </c>
      <c r="D991" s="3">
        <f>IF(ORIG!D991=0,"",ORIG!D991)</f>
        <v/>
      </c>
      <c r="E991" s="3">
        <f>IF(ORIG!E991=0,"",ORIG!E991)</f>
        <v/>
      </c>
      <c r="F991" s="3">
        <f>IF(ORIG!F991=0,"",ORIG!F991)</f>
        <v/>
      </c>
      <c r="G991" s="3">
        <f>IF(ORIG!G991=0,"",ORIG!G991)</f>
        <v/>
      </c>
      <c r="H991" s="3">
        <f>IF(ORIG!H991=0,"",ORIG!H991)</f>
        <v/>
      </c>
      <c r="I991" s="3">
        <f>IF(ORIG!I991=0,"",ORIG!I991)</f>
        <v/>
      </c>
      <c r="J991" s="3">
        <f>IF(ORIG!J991=0,"",ORIG!J991)</f>
        <v/>
      </c>
      <c r="K991" s="3">
        <f>IF(ORIG!K991=0,"",ORIG!K991)</f>
        <v/>
      </c>
      <c r="L991" s="3">
        <f>IF(ORIG!L991=0,"",ORIG!L991)</f>
        <v/>
      </c>
      <c r="M991" s="3">
        <f>IF(ORIG!M991=0,"",ORIG!M991)</f>
        <v/>
      </c>
      <c r="N991" s="3">
        <f>IF(ORIG!N991=0,"",ORIG!N991)</f>
        <v/>
      </c>
      <c r="O991" s="3">
        <f>IF(ORIG!O991=0,"",ORIG!O991)</f>
        <v/>
      </c>
      <c r="P991" s="3">
        <f>IF(ORIG!P991=0,"",ORIG!P991)</f>
        <v/>
      </c>
      <c r="Q991" s="3">
        <f>IF(ORIG!Q991=0,"",ORIG!Q991)</f>
        <v/>
      </c>
      <c r="R991" s="3">
        <f>IF(ORIG!R991=0,"",ORIG!R991)</f>
        <v/>
      </c>
      <c r="S991" s="3">
        <f>IF(ORIG!S991=0,"",ORIG!S991)</f>
        <v/>
      </c>
      <c r="T991" s="3">
        <f>IF(ORIG!T991=0,"",ORIG!T991)</f>
        <v/>
      </c>
      <c r="U991" s="3">
        <f>IF(ORIG!U991=0,"",ORIG!U991)</f>
        <v/>
      </c>
      <c r="V991" s="9">
        <f>IF(ORIG!V991=0,"",ORIG!V991)</f>
        <v/>
      </c>
      <c r="W991" s="9">
        <f>IF(ORIG!W991=0,"",ORIG!W991)</f>
        <v/>
      </c>
      <c r="X991" s="9">
        <f>IF(ORIG!X991=0,"",ORIG!X991)</f>
        <v/>
      </c>
      <c r="Y991" s="9">
        <f>IF(ORIG!Y991=0,"",ORIG!Y991)</f>
        <v/>
      </c>
      <c r="Z991" s="3">
        <f>SUMPRODUCT($B991:$Y991,$B$2649:$Y$2649)</f>
        <v/>
      </c>
      <c r="AA991" s="3">
        <f>SUMPRODUCT($B991:$Y991,$B$2655:$Y$2655)</f>
        <v/>
      </c>
      <c r="AC991" s="1">
        <f>A991</f>
        <v/>
      </c>
      <c r="AD991">
        <f>IF(ISNUMBER(V991),V991*($AB$1/V$2635),"")</f>
        <v/>
      </c>
      <c r="AE991">
        <f>IF(ISNUMBER(Z991),Z991*($AB$1/Z$2635),"")</f>
        <v/>
      </c>
      <c r="AF991" s="25">
        <f>IF(ISNUMBER(AD991+AE991),AD991+AE991,"")</f>
        <v/>
      </c>
      <c r="AH991" s="1">
        <f>A991</f>
        <v/>
      </c>
      <c r="AI991">
        <f>IF(ISNUMBER((1+V991)*AI990),(1+V991)*AI990,AI990)</f>
        <v/>
      </c>
      <c r="AJ991">
        <f>IF(ISNUMBER((1+Z991)*AJ990),(1+Z991)*AJ990,AJ990)</f>
        <v/>
      </c>
    </row>
    <row r="992">
      <c r="A992" s="1" t="n">
        <v>43440</v>
      </c>
      <c r="B992" s="3">
        <f>IF(ORIG!B992=0,"",ORIG!B992)</f>
        <v/>
      </c>
      <c r="C992" s="3">
        <f>IF(ORIG!C992=0,"",ORIG!C992)</f>
        <v/>
      </c>
      <c r="D992" s="3">
        <f>IF(ORIG!D992=0,"",ORIG!D992)</f>
        <v/>
      </c>
      <c r="E992" s="3">
        <f>IF(ORIG!E992=0,"",ORIG!E992)</f>
        <v/>
      </c>
      <c r="F992" s="3">
        <f>IF(ORIG!F992=0,"",ORIG!F992)</f>
        <v/>
      </c>
      <c r="G992" s="3">
        <f>IF(ORIG!G992=0,"",ORIG!G992)</f>
        <v/>
      </c>
      <c r="H992" s="3">
        <f>IF(ORIG!H992=0,"",ORIG!H992)</f>
        <v/>
      </c>
      <c r="I992" s="3">
        <f>IF(ORIG!I992=0,"",ORIG!I992)</f>
        <v/>
      </c>
      <c r="J992" s="3">
        <f>IF(ORIG!J992=0,"",ORIG!J992)</f>
        <v/>
      </c>
      <c r="K992" s="3">
        <f>IF(ORIG!K992=0,"",ORIG!K992)</f>
        <v/>
      </c>
      <c r="L992" s="3">
        <f>IF(ORIG!L992=0,"",ORIG!L992)</f>
        <v/>
      </c>
      <c r="M992" s="3">
        <f>IF(ORIG!M992=0,"",ORIG!M992)</f>
        <v/>
      </c>
      <c r="N992" s="3">
        <f>IF(ORIG!N992=0,"",ORIG!N992)</f>
        <v/>
      </c>
      <c r="O992" s="3">
        <f>IF(ORIG!O992=0,"",ORIG!O992)</f>
        <v/>
      </c>
      <c r="P992" s="3">
        <f>IF(ORIG!P992=0,"",ORIG!P992)</f>
        <v/>
      </c>
      <c r="Q992" s="3">
        <f>IF(ORIG!Q992=0,"",ORIG!Q992)</f>
        <v/>
      </c>
      <c r="R992" s="3">
        <f>IF(ORIG!R992=0,"",ORIG!R992)</f>
        <v/>
      </c>
      <c r="S992" s="3">
        <f>IF(ORIG!S992=0,"",ORIG!S992)</f>
        <v/>
      </c>
      <c r="T992" s="3">
        <f>IF(ORIG!T992=0,"",ORIG!T992)</f>
        <v/>
      </c>
      <c r="U992" s="3">
        <f>IF(ORIG!U992=0,"",ORIG!U992)</f>
        <v/>
      </c>
      <c r="V992" s="9">
        <f>IF(ORIG!V992=0,"",ORIG!V992)</f>
        <v/>
      </c>
      <c r="W992" s="9">
        <f>IF(ORIG!W992=0,"",ORIG!W992)</f>
        <v/>
      </c>
      <c r="X992" s="9">
        <f>IF(ORIG!X992=0,"",ORIG!X992)</f>
        <v/>
      </c>
      <c r="Y992" s="9">
        <f>IF(ORIG!Y992=0,"",ORIG!Y992)</f>
        <v/>
      </c>
      <c r="Z992" s="3">
        <f>SUMPRODUCT($B992:$Y992,$B$2649:$Y$2649)</f>
        <v/>
      </c>
      <c r="AA992" s="3">
        <f>SUMPRODUCT($B992:$Y992,$B$2655:$Y$2655)</f>
        <v/>
      </c>
      <c r="AC992" s="1">
        <f>A992</f>
        <v/>
      </c>
      <c r="AD992">
        <f>IF(ISNUMBER(V992),V992*($AB$1/V$2635),"")</f>
        <v/>
      </c>
      <c r="AE992">
        <f>IF(ISNUMBER(Z992),Z992*($AB$1/Z$2635),"")</f>
        <v/>
      </c>
      <c r="AF992" s="25">
        <f>IF(ISNUMBER(AD992+AE992),AD992+AE992,"")</f>
        <v/>
      </c>
      <c r="AH992" s="1">
        <f>A992</f>
        <v/>
      </c>
      <c r="AI992">
        <f>IF(ISNUMBER((1+V992)*AI991),(1+V992)*AI991,AI991)</f>
        <v/>
      </c>
      <c r="AJ992">
        <f>IF(ISNUMBER((1+Z992)*AJ991),(1+Z992)*AJ991,AJ991)</f>
        <v/>
      </c>
    </row>
    <row r="993">
      <c r="A993" s="1" t="n">
        <v>43441</v>
      </c>
      <c r="B993" s="3">
        <f>IF(ORIG!B993=0,"",ORIG!B993)</f>
        <v/>
      </c>
      <c r="C993" s="3">
        <f>IF(ORIG!C993=0,"",ORIG!C993)</f>
        <v/>
      </c>
      <c r="D993" s="3">
        <f>IF(ORIG!D993=0,"",ORIG!D993)</f>
        <v/>
      </c>
      <c r="E993" s="3">
        <f>IF(ORIG!E993=0,"",ORIG!E993)</f>
        <v/>
      </c>
      <c r="F993" s="3">
        <f>IF(ORIG!F993=0,"",ORIG!F993)</f>
        <v/>
      </c>
      <c r="G993" s="3">
        <f>IF(ORIG!G993=0,"",ORIG!G993)</f>
        <v/>
      </c>
      <c r="H993" s="3">
        <f>IF(ORIG!H993=0,"",ORIG!H993)</f>
        <v/>
      </c>
      <c r="I993" s="3">
        <f>IF(ORIG!I993=0,"",ORIG!I993)</f>
        <v/>
      </c>
      <c r="J993" s="3">
        <f>IF(ORIG!J993=0,"",ORIG!J993)</f>
        <v/>
      </c>
      <c r="K993" s="3">
        <f>IF(ORIG!K993=0,"",ORIG!K993)</f>
        <v/>
      </c>
      <c r="L993" s="3">
        <f>IF(ORIG!L993=0,"",ORIG!L993)</f>
        <v/>
      </c>
      <c r="M993" s="3">
        <f>IF(ORIG!M993=0,"",ORIG!M993)</f>
        <v/>
      </c>
      <c r="N993" s="3">
        <f>IF(ORIG!N993=0,"",ORIG!N993)</f>
        <v/>
      </c>
      <c r="O993" s="3">
        <f>IF(ORIG!O993=0,"",ORIG!O993)</f>
        <v/>
      </c>
      <c r="P993" s="3">
        <f>IF(ORIG!P993=0,"",ORIG!P993)</f>
        <v/>
      </c>
      <c r="Q993" s="3">
        <f>IF(ORIG!Q993=0,"",ORIG!Q993)</f>
        <v/>
      </c>
      <c r="R993" s="3">
        <f>IF(ORIG!R993=0,"",ORIG!R993)</f>
        <v/>
      </c>
      <c r="S993" s="3">
        <f>IF(ORIG!S993=0,"",ORIG!S993)</f>
        <v/>
      </c>
      <c r="T993" s="3">
        <f>IF(ORIG!T993=0,"",ORIG!T993)</f>
        <v/>
      </c>
      <c r="U993" s="3">
        <f>IF(ORIG!U993=0,"",ORIG!U993)</f>
        <v/>
      </c>
      <c r="V993" s="9">
        <f>IF(ORIG!V993=0,"",ORIG!V993)</f>
        <v/>
      </c>
      <c r="W993" s="9">
        <f>IF(ORIG!W993=0,"",ORIG!W993)</f>
        <v/>
      </c>
      <c r="X993" s="9">
        <f>IF(ORIG!X993=0,"",ORIG!X993)</f>
        <v/>
      </c>
      <c r="Y993" s="9">
        <f>IF(ORIG!Y993=0,"",ORIG!Y993)</f>
        <v/>
      </c>
      <c r="Z993" s="3">
        <f>SUMPRODUCT($B993:$Y993,$B$2649:$Y$2649)</f>
        <v/>
      </c>
      <c r="AA993" s="3">
        <f>SUMPRODUCT($B993:$Y993,$B$2655:$Y$2655)</f>
        <v/>
      </c>
      <c r="AC993" s="1">
        <f>A993</f>
        <v/>
      </c>
      <c r="AD993">
        <f>IF(ISNUMBER(V993),V993*($AB$1/V$2635),"")</f>
        <v/>
      </c>
      <c r="AE993">
        <f>IF(ISNUMBER(Z993),Z993*($AB$1/Z$2635),"")</f>
        <v/>
      </c>
      <c r="AF993" s="25">
        <f>IF(ISNUMBER(AD993+AE993),AD993+AE993,"")</f>
        <v/>
      </c>
      <c r="AH993" s="1">
        <f>A993</f>
        <v/>
      </c>
      <c r="AI993">
        <f>IF(ISNUMBER((1+V993)*AI992),(1+V993)*AI992,AI992)</f>
        <v/>
      </c>
      <c r="AJ993">
        <f>IF(ISNUMBER((1+Z993)*AJ992),(1+Z993)*AJ992,AJ992)</f>
        <v/>
      </c>
    </row>
    <row r="994">
      <c r="A994" s="1" t="n">
        <v>43444</v>
      </c>
      <c r="B994" s="3">
        <f>IF(ORIG!B994=0,"",ORIG!B994)</f>
        <v/>
      </c>
      <c r="C994" s="3">
        <f>IF(ORIG!C994=0,"",ORIG!C994)</f>
        <v/>
      </c>
      <c r="D994" s="3">
        <f>IF(ORIG!D994=0,"",ORIG!D994)</f>
        <v/>
      </c>
      <c r="E994" s="3">
        <f>IF(ORIG!E994=0,"",ORIG!E994)</f>
        <v/>
      </c>
      <c r="F994" s="3">
        <f>IF(ORIG!F994=0,"",ORIG!F994)</f>
        <v/>
      </c>
      <c r="G994" s="3">
        <f>IF(ORIG!G994=0,"",ORIG!G994)</f>
        <v/>
      </c>
      <c r="H994" s="3">
        <f>IF(ORIG!H994=0,"",ORIG!H994)</f>
        <v/>
      </c>
      <c r="I994" s="3">
        <f>IF(ORIG!I994=0,"",ORIG!I994)</f>
        <v/>
      </c>
      <c r="J994" s="3">
        <f>IF(ORIG!J994=0,"",ORIG!J994)</f>
        <v/>
      </c>
      <c r="K994" s="3">
        <f>IF(ORIG!K994=0,"",ORIG!K994)</f>
        <v/>
      </c>
      <c r="L994" s="3">
        <f>IF(ORIG!L994=0,"",ORIG!L994)</f>
        <v/>
      </c>
      <c r="M994" s="3">
        <f>IF(ORIG!M994=0,"",ORIG!M994)</f>
        <v/>
      </c>
      <c r="N994" s="3">
        <f>IF(ORIG!N994=0,"",ORIG!N994)</f>
        <v/>
      </c>
      <c r="O994" s="3">
        <f>IF(ORIG!O994=0,"",ORIG!O994)</f>
        <v/>
      </c>
      <c r="P994" s="3">
        <f>IF(ORIG!P994=0,"",ORIG!P994)</f>
        <v/>
      </c>
      <c r="Q994" s="3">
        <f>IF(ORIG!Q994=0,"",ORIG!Q994)</f>
        <v/>
      </c>
      <c r="R994" s="3">
        <f>IF(ORIG!R994=0,"",ORIG!R994)</f>
        <v/>
      </c>
      <c r="S994" s="3">
        <f>IF(ORIG!S994=0,"",ORIG!S994)</f>
        <v/>
      </c>
      <c r="T994" s="3">
        <f>IF(ORIG!T994=0,"",ORIG!T994)</f>
        <v/>
      </c>
      <c r="U994" s="3">
        <f>IF(ORIG!U994=0,"",ORIG!U994)</f>
        <v/>
      </c>
      <c r="V994" s="9">
        <f>IF(ORIG!V994=0,"",ORIG!V994)</f>
        <v/>
      </c>
      <c r="W994" s="9">
        <f>IF(ORIG!W994=0,"",ORIG!W994)</f>
        <v/>
      </c>
      <c r="X994" s="9">
        <f>IF(ORIG!X994=0,"",ORIG!X994)</f>
        <v/>
      </c>
      <c r="Y994" s="9">
        <f>IF(ORIG!Y994=0,"",ORIG!Y994)</f>
        <v/>
      </c>
      <c r="Z994" s="3">
        <f>SUMPRODUCT($B994:$Y994,$B$2649:$Y$2649)</f>
        <v/>
      </c>
      <c r="AA994" s="3">
        <f>SUMPRODUCT($B994:$Y994,$B$2655:$Y$2655)</f>
        <v/>
      </c>
      <c r="AC994" s="1">
        <f>A994</f>
        <v/>
      </c>
      <c r="AD994">
        <f>IF(ISNUMBER(V994),V994*($AB$1/V$2635),"")</f>
        <v/>
      </c>
      <c r="AE994">
        <f>IF(ISNUMBER(Z994),Z994*($AB$1/Z$2635),"")</f>
        <v/>
      </c>
      <c r="AF994" s="25">
        <f>IF(ISNUMBER(AD994+AE994),AD994+AE994,"")</f>
        <v/>
      </c>
      <c r="AH994" s="1">
        <f>A994</f>
        <v/>
      </c>
      <c r="AI994">
        <f>IF(ISNUMBER((1+V994)*AI993),(1+V994)*AI993,AI993)</f>
        <v/>
      </c>
      <c r="AJ994">
        <f>IF(ISNUMBER((1+Z994)*AJ993),(1+Z994)*AJ993,AJ993)</f>
        <v/>
      </c>
    </row>
    <row r="995">
      <c r="A995" s="1" t="n">
        <v>43445</v>
      </c>
      <c r="B995" s="3">
        <f>IF(ORIG!B995=0,"",ORIG!B995)</f>
        <v/>
      </c>
      <c r="C995" s="3">
        <f>IF(ORIG!C995=0,"",ORIG!C995)</f>
        <v/>
      </c>
      <c r="D995" s="3">
        <f>IF(ORIG!D995=0,"",ORIG!D995)</f>
        <v/>
      </c>
      <c r="E995" s="3">
        <f>IF(ORIG!E995=0,"",ORIG!E995)</f>
        <v/>
      </c>
      <c r="F995" s="3">
        <f>IF(ORIG!F995=0,"",ORIG!F995)</f>
        <v/>
      </c>
      <c r="G995" s="3">
        <f>IF(ORIG!G995=0,"",ORIG!G995)</f>
        <v/>
      </c>
      <c r="H995" s="3">
        <f>IF(ORIG!H995=0,"",ORIG!H995)</f>
        <v/>
      </c>
      <c r="I995" s="3">
        <f>IF(ORIG!I995=0,"",ORIG!I995)</f>
        <v/>
      </c>
      <c r="J995" s="3">
        <f>IF(ORIG!J995=0,"",ORIG!J995)</f>
        <v/>
      </c>
      <c r="K995" s="3">
        <f>IF(ORIG!K995=0,"",ORIG!K995)</f>
        <v/>
      </c>
      <c r="L995" s="3">
        <f>IF(ORIG!L995=0,"",ORIG!L995)</f>
        <v/>
      </c>
      <c r="M995" s="3">
        <f>IF(ORIG!M995=0,"",ORIG!M995)</f>
        <v/>
      </c>
      <c r="N995" s="3">
        <f>IF(ORIG!N995=0,"",ORIG!N995)</f>
        <v/>
      </c>
      <c r="O995" s="3">
        <f>IF(ORIG!O995=0,"",ORIG!O995)</f>
        <v/>
      </c>
      <c r="P995" s="3">
        <f>IF(ORIG!P995=0,"",ORIG!P995)</f>
        <v/>
      </c>
      <c r="Q995" s="3">
        <f>IF(ORIG!Q995=0,"",ORIG!Q995)</f>
        <v/>
      </c>
      <c r="R995" s="3">
        <f>IF(ORIG!R995=0,"",ORIG!R995)</f>
        <v/>
      </c>
      <c r="S995" s="3">
        <f>IF(ORIG!S995=0,"",ORIG!S995)</f>
        <v/>
      </c>
      <c r="T995" s="3">
        <f>IF(ORIG!T995=0,"",ORIG!T995)</f>
        <v/>
      </c>
      <c r="U995" s="3">
        <f>IF(ORIG!U995=0,"",ORIG!U995)</f>
        <v/>
      </c>
      <c r="V995" s="9">
        <f>IF(ORIG!V995=0,"",ORIG!V995)</f>
        <v/>
      </c>
      <c r="W995" s="9">
        <f>IF(ORIG!W995=0,"",ORIG!W995)</f>
        <v/>
      </c>
      <c r="X995" s="9">
        <f>IF(ORIG!X995=0,"",ORIG!X995)</f>
        <v/>
      </c>
      <c r="Y995" s="9">
        <f>IF(ORIG!Y995=0,"",ORIG!Y995)</f>
        <v/>
      </c>
      <c r="Z995" s="3">
        <f>SUMPRODUCT($B995:$Y995,$B$2649:$Y$2649)</f>
        <v/>
      </c>
      <c r="AA995" s="3">
        <f>SUMPRODUCT($B995:$Y995,$B$2655:$Y$2655)</f>
        <v/>
      </c>
      <c r="AC995" s="1">
        <f>A995</f>
        <v/>
      </c>
      <c r="AD995">
        <f>IF(ISNUMBER(V995),V995*($AB$1/V$2635),"")</f>
        <v/>
      </c>
      <c r="AE995">
        <f>IF(ISNUMBER(Z995),Z995*($AB$1/Z$2635),"")</f>
        <v/>
      </c>
      <c r="AF995" s="25">
        <f>IF(ISNUMBER(AD995+AE995),AD995+AE995,"")</f>
        <v/>
      </c>
      <c r="AH995" s="1">
        <f>A995</f>
        <v/>
      </c>
      <c r="AI995">
        <f>IF(ISNUMBER((1+V995)*AI994),(1+V995)*AI994,AI994)</f>
        <v/>
      </c>
      <c r="AJ995">
        <f>IF(ISNUMBER((1+Z995)*AJ994),(1+Z995)*AJ994,AJ994)</f>
        <v/>
      </c>
    </row>
    <row r="996">
      <c r="A996" s="1" t="n">
        <v>43446</v>
      </c>
      <c r="B996" s="3">
        <f>IF(ORIG!B996=0,"",ORIG!B996)</f>
        <v/>
      </c>
      <c r="C996" s="3">
        <f>IF(ORIG!C996=0,"",ORIG!C996)</f>
        <v/>
      </c>
      <c r="D996" s="3">
        <f>IF(ORIG!D996=0,"",ORIG!D996)</f>
        <v/>
      </c>
      <c r="E996" s="3">
        <f>IF(ORIG!E996=0,"",ORIG!E996)</f>
        <v/>
      </c>
      <c r="F996" s="3">
        <f>IF(ORIG!F996=0,"",ORIG!F996)</f>
        <v/>
      </c>
      <c r="G996" s="3">
        <f>IF(ORIG!G996=0,"",ORIG!G996)</f>
        <v/>
      </c>
      <c r="H996" s="3">
        <f>IF(ORIG!H996=0,"",ORIG!H996)</f>
        <v/>
      </c>
      <c r="I996" s="3">
        <f>IF(ORIG!I996=0,"",ORIG!I996)</f>
        <v/>
      </c>
      <c r="J996" s="3">
        <f>IF(ORIG!J996=0,"",ORIG!J996)</f>
        <v/>
      </c>
      <c r="K996" s="3">
        <f>IF(ORIG!K996=0,"",ORIG!K996)</f>
        <v/>
      </c>
      <c r="L996" s="3">
        <f>IF(ORIG!L996=0,"",ORIG!L996)</f>
        <v/>
      </c>
      <c r="M996" s="3">
        <f>IF(ORIG!M996=0,"",ORIG!M996)</f>
        <v/>
      </c>
      <c r="N996" s="3">
        <f>IF(ORIG!N996=0,"",ORIG!N996)</f>
        <v/>
      </c>
      <c r="O996" s="3">
        <f>IF(ORIG!O996=0,"",ORIG!O996)</f>
        <v/>
      </c>
      <c r="P996" s="3">
        <f>IF(ORIG!P996=0,"",ORIG!P996)</f>
        <v/>
      </c>
      <c r="Q996" s="3">
        <f>IF(ORIG!Q996=0,"",ORIG!Q996)</f>
        <v/>
      </c>
      <c r="R996" s="3">
        <f>IF(ORIG!R996=0,"",ORIG!R996)</f>
        <v/>
      </c>
      <c r="S996" s="3">
        <f>IF(ORIG!S996=0,"",ORIG!S996)</f>
        <v/>
      </c>
      <c r="T996" s="3">
        <f>IF(ORIG!T996=0,"",ORIG!T996)</f>
        <v/>
      </c>
      <c r="U996" s="3">
        <f>IF(ORIG!U996=0,"",ORIG!U996)</f>
        <v/>
      </c>
      <c r="V996" s="9">
        <f>IF(ORIG!V996=0,"",ORIG!V996)</f>
        <v/>
      </c>
      <c r="W996" s="9">
        <f>IF(ORIG!W996=0,"",ORIG!W996)</f>
        <v/>
      </c>
      <c r="X996" s="9">
        <f>IF(ORIG!X996=0,"",ORIG!X996)</f>
        <v/>
      </c>
      <c r="Y996" s="9">
        <f>IF(ORIG!Y996=0,"",ORIG!Y996)</f>
        <v/>
      </c>
      <c r="Z996" s="3">
        <f>SUMPRODUCT($B996:$Y996,$B$2649:$Y$2649)</f>
        <v/>
      </c>
      <c r="AA996" s="3">
        <f>SUMPRODUCT($B996:$Y996,$B$2655:$Y$2655)</f>
        <v/>
      </c>
      <c r="AC996" s="1">
        <f>A996</f>
        <v/>
      </c>
      <c r="AD996">
        <f>IF(ISNUMBER(V996),V996*($AB$1/V$2635),"")</f>
        <v/>
      </c>
      <c r="AE996">
        <f>IF(ISNUMBER(Z996),Z996*($AB$1/Z$2635),"")</f>
        <v/>
      </c>
      <c r="AF996" s="25">
        <f>IF(ISNUMBER(AD996+AE996),AD996+AE996,"")</f>
        <v/>
      </c>
      <c r="AH996" s="1">
        <f>A996</f>
        <v/>
      </c>
      <c r="AI996">
        <f>IF(ISNUMBER((1+V996)*AI995),(1+V996)*AI995,AI995)</f>
        <v/>
      </c>
      <c r="AJ996">
        <f>IF(ISNUMBER((1+Z996)*AJ995),(1+Z996)*AJ995,AJ995)</f>
        <v/>
      </c>
    </row>
    <row r="997">
      <c r="A997" s="1" t="n">
        <v>43447</v>
      </c>
      <c r="B997" s="3">
        <f>IF(ORIG!B997=0,"",ORIG!B997)</f>
        <v/>
      </c>
      <c r="C997" s="3">
        <f>IF(ORIG!C997=0,"",ORIG!C997)</f>
        <v/>
      </c>
      <c r="D997" s="3">
        <f>IF(ORIG!D997=0,"",ORIG!D997)</f>
        <v/>
      </c>
      <c r="E997" s="3">
        <f>IF(ORIG!E997=0,"",ORIG!E997)</f>
        <v/>
      </c>
      <c r="F997" s="3">
        <f>IF(ORIG!F997=0,"",ORIG!F997)</f>
        <v/>
      </c>
      <c r="G997" s="3">
        <f>IF(ORIG!G997=0,"",ORIG!G997)</f>
        <v/>
      </c>
      <c r="H997" s="3">
        <f>IF(ORIG!H997=0,"",ORIG!H997)</f>
        <v/>
      </c>
      <c r="I997" s="3">
        <f>IF(ORIG!I997=0,"",ORIG!I997)</f>
        <v/>
      </c>
      <c r="J997" s="3">
        <f>IF(ORIG!J997=0,"",ORIG!J997)</f>
        <v/>
      </c>
      <c r="K997" s="3">
        <f>IF(ORIG!K997=0,"",ORIG!K997)</f>
        <v/>
      </c>
      <c r="L997" s="3">
        <f>IF(ORIG!L997=0,"",ORIG!L997)</f>
        <v/>
      </c>
      <c r="M997" s="3">
        <f>IF(ORIG!M997=0,"",ORIG!M997)</f>
        <v/>
      </c>
      <c r="N997" s="3">
        <f>IF(ORIG!N997=0,"",ORIG!N997)</f>
        <v/>
      </c>
      <c r="O997" s="3">
        <f>IF(ORIG!O997=0,"",ORIG!O997)</f>
        <v/>
      </c>
      <c r="P997" s="3">
        <f>IF(ORIG!P997=0,"",ORIG!P997)</f>
        <v/>
      </c>
      <c r="Q997" s="3">
        <f>IF(ORIG!Q997=0,"",ORIG!Q997)</f>
        <v/>
      </c>
      <c r="R997" s="3">
        <f>IF(ORIG!R997=0,"",ORIG!R997)</f>
        <v/>
      </c>
      <c r="S997" s="3">
        <f>IF(ORIG!S997=0,"",ORIG!S997)</f>
        <v/>
      </c>
      <c r="T997" s="3">
        <f>IF(ORIG!T997=0,"",ORIG!T997)</f>
        <v/>
      </c>
      <c r="U997" s="3">
        <f>IF(ORIG!U997=0,"",ORIG!U997)</f>
        <v/>
      </c>
      <c r="V997" s="9">
        <f>IF(ORIG!V997=0,"",ORIG!V997)</f>
        <v/>
      </c>
      <c r="W997" s="9">
        <f>IF(ORIG!W997=0,"",ORIG!W997)</f>
        <v/>
      </c>
      <c r="X997" s="9">
        <f>IF(ORIG!X997=0,"",ORIG!X997)</f>
        <v/>
      </c>
      <c r="Y997" s="9">
        <f>IF(ORIG!Y997=0,"",ORIG!Y997)</f>
        <v/>
      </c>
      <c r="Z997" s="3">
        <f>SUMPRODUCT($B997:$Y997,$B$2649:$Y$2649)</f>
        <v/>
      </c>
      <c r="AA997" s="3">
        <f>SUMPRODUCT($B997:$Y997,$B$2655:$Y$2655)</f>
        <v/>
      </c>
      <c r="AC997" s="1">
        <f>A997</f>
        <v/>
      </c>
      <c r="AD997">
        <f>IF(ISNUMBER(V997),V997*($AB$1/V$2635),"")</f>
        <v/>
      </c>
      <c r="AE997">
        <f>IF(ISNUMBER(Z997),Z997*($AB$1/Z$2635),"")</f>
        <v/>
      </c>
      <c r="AF997" s="25">
        <f>IF(ISNUMBER(AD997+AE997),AD997+AE997,"")</f>
        <v/>
      </c>
      <c r="AH997" s="1">
        <f>A997</f>
        <v/>
      </c>
      <c r="AI997">
        <f>IF(ISNUMBER((1+V997)*AI996),(1+V997)*AI996,AI996)</f>
        <v/>
      </c>
      <c r="AJ997">
        <f>IF(ISNUMBER((1+Z997)*AJ996),(1+Z997)*AJ996,AJ996)</f>
        <v/>
      </c>
    </row>
    <row r="998">
      <c r="A998" s="1" t="n">
        <v>43448</v>
      </c>
      <c r="B998" s="3">
        <f>IF(ORIG!B998=0,"",ORIG!B998)</f>
        <v/>
      </c>
      <c r="C998" s="3">
        <f>IF(ORIG!C998=0,"",ORIG!C998)</f>
        <v/>
      </c>
      <c r="D998" s="3">
        <f>IF(ORIG!D998=0,"",ORIG!D998)</f>
        <v/>
      </c>
      <c r="E998" s="3">
        <f>IF(ORIG!E998=0,"",ORIG!E998)</f>
        <v/>
      </c>
      <c r="F998" s="3">
        <f>IF(ORIG!F998=0,"",ORIG!F998)</f>
        <v/>
      </c>
      <c r="G998" s="3">
        <f>IF(ORIG!G998=0,"",ORIG!G998)</f>
        <v/>
      </c>
      <c r="H998" s="3">
        <f>IF(ORIG!H998=0,"",ORIG!H998)</f>
        <v/>
      </c>
      <c r="I998" s="3">
        <f>IF(ORIG!I998=0,"",ORIG!I998)</f>
        <v/>
      </c>
      <c r="J998" s="3">
        <f>IF(ORIG!J998=0,"",ORIG!J998)</f>
        <v/>
      </c>
      <c r="K998" s="3">
        <f>IF(ORIG!K998=0,"",ORIG!K998)</f>
        <v/>
      </c>
      <c r="L998" s="3">
        <f>IF(ORIG!L998=0,"",ORIG!L998)</f>
        <v/>
      </c>
      <c r="M998" s="3">
        <f>IF(ORIG!M998=0,"",ORIG!M998)</f>
        <v/>
      </c>
      <c r="N998" s="3">
        <f>IF(ORIG!N998=0,"",ORIG!N998)</f>
        <v/>
      </c>
      <c r="O998" s="3">
        <f>IF(ORIG!O998=0,"",ORIG!O998)</f>
        <v/>
      </c>
      <c r="P998" s="3">
        <f>IF(ORIG!P998=0,"",ORIG!P998)</f>
        <v/>
      </c>
      <c r="Q998" s="3">
        <f>IF(ORIG!Q998=0,"",ORIG!Q998)</f>
        <v/>
      </c>
      <c r="R998" s="3">
        <f>IF(ORIG!R998=0,"",ORIG!R998)</f>
        <v/>
      </c>
      <c r="S998" s="3">
        <f>IF(ORIG!S998=0,"",ORIG!S998)</f>
        <v/>
      </c>
      <c r="T998" s="3">
        <f>IF(ORIG!T998=0,"",ORIG!T998)</f>
        <v/>
      </c>
      <c r="U998" s="3">
        <f>IF(ORIG!U998=0,"",ORIG!U998)</f>
        <v/>
      </c>
      <c r="V998" s="9">
        <f>IF(ORIG!V998=0,"",ORIG!V998)</f>
        <v/>
      </c>
      <c r="W998" s="9">
        <f>IF(ORIG!W998=0,"",ORIG!W998)</f>
        <v/>
      </c>
      <c r="X998" s="9">
        <f>IF(ORIG!X998=0,"",ORIG!X998)</f>
        <v/>
      </c>
      <c r="Y998" s="9">
        <f>IF(ORIG!Y998=0,"",ORIG!Y998)</f>
        <v/>
      </c>
      <c r="Z998" s="3">
        <f>SUMPRODUCT($B998:$Y998,$B$2649:$Y$2649)</f>
        <v/>
      </c>
      <c r="AA998" s="3">
        <f>SUMPRODUCT($B998:$Y998,$B$2655:$Y$2655)</f>
        <v/>
      </c>
      <c r="AC998" s="1">
        <f>A998</f>
        <v/>
      </c>
      <c r="AD998">
        <f>IF(ISNUMBER(V998),V998*($AB$1/V$2635),"")</f>
        <v/>
      </c>
      <c r="AE998">
        <f>IF(ISNUMBER(Z998),Z998*($AB$1/Z$2635),"")</f>
        <v/>
      </c>
      <c r="AF998" s="25">
        <f>IF(ISNUMBER(AD998+AE998),AD998+AE998,"")</f>
        <v/>
      </c>
      <c r="AH998" s="1">
        <f>A998</f>
        <v/>
      </c>
      <c r="AI998">
        <f>IF(ISNUMBER((1+V998)*AI997),(1+V998)*AI997,AI997)</f>
        <v/>
      </c>
      <c r="AJ998">
        <f>IF(ISNUMBER((1+Z998)*AJ997),(1+Z998)*AJ997,AJ997)</f>
        <v/>
      </c>
    </row>
    <row r="999">
      <c r="A999" s="1" t="n">
        <v>43451</v>
      </c>
      <c r="B999" s="3">
        <f>IF(ORIG!B999=0,"",ORIG!B999)</f>
        <v/>
      </c>
      <c r="C999" s="3">
        <f>IF(ORIG!C999=0,"",ORIG!C999)</f>
        <v/>
      </c>
      <c r="D999" s="3">
        <f>IF(ORIG!D999=0,"",ORIG!D999)</f>
        <v/>
      </c>
      <c r="E999" s="3">
        <f>IF(ORIG!E999=0,"",ORIG!E999)</f>
        <v/>
      </c>
      <c r="F999" s="3">
        <f>IF(ORIG!F999=0,"",ORIG!F999)</f>
        <v/>
      </c>
      <c r="G999" s="3">
        <f>IF(ORIG!G999=0,"",ORIG!G999)</f>
        <v/>
      </c>
      <c r="H999" s="3">
        <f>IF(ORIG!H999=0,"",ORIG!H999)</f>
        <v/>
      </c>
      <c r="I999" s="3">
        <f>IF(ORIG!I999=0,"",ORIG!I999)</f>
        <v/>
      </c>
      <c r="J999" s="3">
        <f>IF(ORIG!J999=0,"",ORIG!J999)</f>
        <v/>
      </c>
      <c r="K999" s="3">
        <f>IF(ORIG!K999=0,"",ORIG!K999)</f>
        <v/>
      </c>
      <c r="L999" s="3">
        <f>IF(ORIG!L999=0,"",ORIG!L999)</f>
        <v/>
      </c>
      <c r="M999" s="3">
        <f>IF(ORIG!M999=0,"",ORIG!M999)</f>
        <v/>
      </c>
      <c r="N999" s="3">
        <f>IF(ORIG!N999=0,"",ORIG!N999)</f>
        <v/>
      </c>
      <c r="O999" s="3">
        <f>IF(ORIG!O999=0,"",ORIG!O999)</f>
        <v/>
      </c>
      <c r="P999" s="3">
        <f>IF(ORIG!P999=0,"",ORIG!P999)</f>
        <v/>
      </c>
      <c r="Q999" s="3">
        <f>IF(ORIG!Q999=0,"",ORIG!Q999)</f>
        <v/>
      </c>
      <c r="R999" s="3">
        <f>IF(ORIG!R999=0,"",ORIG!R999)</f>
        <v/>
      </c>
      <c r="S999" s="3">
        <f>IF(ORIG!S999=0,"",ORIG!S999)</f>
        <v/>
      </c>
      <c r="T999" s="3">
        <f>IF(ORIG!T999=0,"",ORIG!T999)</f>
        <v/>
      </c>
      <c r="U999" s="3">
        <f>IF(ORIG!U999=0,"",ORIG!U999)</f>
        <v/>
      </c>
      <c r="V999" s="9">
        <f>IF(ORIG!V999=0,"",ORIG!V999)</f>
        <v/>
      </c>
      <c r="W999" s="9">
        <f>IF(ORIG!W999=0,"",ORIG!W999)</f>
        <v/>
      </c>
      <c r="X999" s="9">
        <f>IF(ORIG!X999=0,"",ORIG!X999)</f>
        <v/>
      </c>
      <c r="Y999" s="9">
        <f>IF(ORIG!Y999=0,"",ORIG!Y999)</f>
        <v/>
      </c>
      <c r="Z999" s="3">
        <f>SUMPRODUCT($B999:$Y999,$B$2649:$Y$2649)</f>
        <v/>
      </c>
      <c r="AA999" s="3">
        <f>SUMPRODUCT($B999:$Y999,$B$2655:$Y$2655)</f>
        <v/>
      </c>
      <c r="AC999" s="1">
        <f>A999</f>
        <v/>
      </c>
      <c r="AD999">
        <f>IF(ISNUMBER(V999),V999*($AB$1/V$2635),"")</f>
        <v/>
      </c>
      <c r="AE999">
        <f>IF(ISNUMBER(Z999),Z999*($AB$1/Z$2635),"")</f>
        <v/>
      </c>
      <c r="AF999" s="25">
        <f>IF(ISNUMBER(AD999+AE999),AD999+AE999,"")</f>
        <v/>
      </c>
      <c r="AH999" s="1">
        <f>A999</f>
        <v/>
      </c>
      <c r="AI999">
        <f>IF(ISNUMBER((1+V999)*AI998),(1+V999)*AI998,AI998)</f>
        <v/>
      </c>
      <c r="AJ999">
        <f>IF(ISNUMBER((1+Z999)*AJ998),(1+Z999)*AJ998,AJ998)</f>
        <v/>
      </c>
    </row>
    <row r="1000">
      <c r="A1000" s="1" t="n">
        <v>43452</v>
      </c>
      <c r="B1000" s="3">
        <f>IF(ORIG!B1000=0,"",ORIG!B1000)</f>
        <v/>
      </c>
      <c r="C1000" s="3">
        <f>IF(ORIG!C1000=0,"",ORIG!C1000)</f>
        <v/>
      </c>
      <c r="D1000" s="3">
        <f>IF(ORIG!D1000=0,"",ORIG!D1000)</f>
        <v/>
      </c>
      <c r="E1000" s="3">
        <f>IF(ORIG!E1000=0,"",ORIG!E1000)</f>
        <v/>
      </c>
      <c r="F1000" s="3">
        <f>IF(ORIG!F1000=0,"",ORIG!F1000)</f>
        <v/>
      </c>
      <c r="G1000" s="3">
        <f>IF(ORIG!G1000=0,"",ORIG!G1000)</f>
        <v/>
      </c>
      <c r="H1000" s="3">
        <f>IF(ORIG!H1000=0,"",ORIG!H1000)</f>
        <v/>
      </c>
      <c r="I1000" s="3">
        <f>IF(ORIG!I1000=0,"",ORIG!I1000)</f>
        <v/>
      </c>
      <c r="J1000" s="3">
        <f>IF(ORIG!J1000=0,"",ORIG!J1000)</f>
        <v/>
      </c>
      <c r="K1000" s="3">
        <f>IF(ORIG!K1000=0,"",ORIG!K1000)</f>
        <v/>
      </c>
      <c r="L1000" s="3">
        <f>IF(ORIG!L1000=0,"",ORIG!L1000)</f>
        <v/>
      </c>
      <c r="M1000" s="3">
        <f>IF(ORIG!M1000=0,"",ORIG!M1000)</f>
        <v/>
      </c>
      <c r="N1000" s="3">
        <f>IF(ORIG!N1000=0,"",ORIG!N1000)</f>
        <v/>
      </c>
      <c r="O1000" s="3">
        <f>IF(ORIG!O1000=0,"",ORIG!O1000)</f>
        <v/>
      </c>
      <c r="P1000" s="3">
        <f>IF(ORIG!P1000=0,"",ORIG!P1000)</f>
        <v/>
      </c>
      <c r="Q1000" s="3">
        <f>IF(ORIG!Q1000=0,"",ORIG!Q1000)</f>
        <v/>
      </c>
      <c r="R1000" s="3">
        <f>IF(ORIG!R1000=0,"",ORIG!R1000)</f>
        <v/>
      </c>
      <c r="S1000" s="3">
        <f>IF(ORIG!S1000=0,"",ORIG!S1000)</f>
        <v/>
      </c>
      <c r="T1000" s="3">
        <f>IF(ORIG!T1000=0,"",ORIG!T1000)</f>
        <v/>
      </c>
      <c r="U1000" s="3">
        <f>IF(ORIG!U1000=0,"",ORIG!U1000)</f>
        <v/>
      </c>
      <c r="V1000" s="9">
        <f>IF(ORIG!V1000=0,"",ORIG!V1000)</f>
        <v/>
      </c>
      <c r="W1000" s="9">
        <f>IF(ORIG!W1000=0,"",ORIG!W1000)</f>
        <v/>
      </c>
      <c r="X1000" s="9">
        <f>IF(ORIG!X1000=0,"",ORIG!X1000)</f>
        <v/>
      </c>
      <c r="Y1000" s="9">
        <f>IF(ORIG!Y1000=0,"",ORIG!Y1000)</f>
        <v/>
      </c>
      <c r="Z1000" s="3">
        <f>SUMPRODUCT($B1000:$Y1000,$B$2649:$Y$2649)</f>
        <v/>
      </c>
      <c r="AA1000" s="3">
        <f>SUMPRODUCT($B1000:$Y1000,$B$2655:$Y$2655)</f>
        <v/>
      </c>
      <c r="AC1000" s="1">
        <f>A1000</f>
        <v/>
      </c>
      <c r="AD1000">
        <f>IF(ISNUMBER(V1000),V1000*($AB$1/V$2635),"")</f>
        <v/>
      </c>
      <c r="AE1000">
        <f>IF(ISNUMBER(Z1000),Z1000*($AB$1/Z$2635),"")</f>
        <v/>
      </c>
      <c r="AF1000" s="25">
        <f>IF(ISNUMBER(AD1000+AE1000),AD1000+AE1000,"")</f>
        <v/>
      </c>
      <c r="AH1000" s="1">
        <f>A1000</f>
        <v/>
      </c>
      <c r="AI1000">
        <f>IF(ISNUMBER((1+V1000)*AI999),(1+V1000)*AI999,AI999)</f>
        <v/>
      </c>
      <c r="AJ1000">
        <f>IF(ISNUMBER((1+Z1000)*AJ999),(1+Z1000)*AJ999,AJ999)</f>
        <v/>
      </c>
    </row>
    <row r="1001">
      <c r="A1001" s="1" t="n">
        <v>43453</v>
      </c>
      <c r="B1001" s="3">
        <f>IF(ORIG!B1001=0,"",ORIG!B1001)</f>
        <v/>
      </c>
      <c r="C1001" s="3">
        <f>IF(ORIG!C1001=0,"",ORIG!C1001)</f>
        <v/>
      </c>
      <c r="D1001" s="3">
        <f>IF(ORIG!D1001=0,"",ORIG!D1001)</f>
        <v/>
      </c>
      <c r="E1001" s="3">
        <f>IF(ORIG!E1001=0,"",ORIG!E1001)</f>
        <v/>
      </c>
      <c r="F1001" s="3">
        <f>IF(ORIG!F1001=0,"",ORIG!F1001)</f>
        <v/>
      </c>
      <c r="G1001" s="3">
        <f>IF(ORIG!G1001=0,"",ORIG!G1001)</f>
        <v/>
      </c>
      <c r="H1001" s="3">
        <f>IF(ORIG!H1001=0,"",ORIG!H1001)</f>
        <v/>
      </c>
      <c r="I1001" s="3">
        <f>IF(ORIG!I1001=0,"",ORIG!I1001)</f>
        <v/>
      </c>
      <c r="J1001" s="3">
        <f>IF(ORIG!J1001=0,"",ORIG!J1001)</f>
        <v/>
      </c>
      <c r="K1001" s="3">
        <f>IF(ORIG!K1001=0,"",ORIG!K1001)</f>
        <v/>
      </c>
      <c r="L1001" s="3">
        <f>IF(ORIG!L1001=0,"",ORIG!L1001)</f>
        <v/>
      </c>
      <c r="M1001" s="3">
        <f>IF(ORIG!M1001=0,"",ORIG!M1001)</f>
        <v/>
      </c>
      <c r="N1001" s="3">
        <f>IF(ORIG!N1001=0,"",ORIG!N1001)</f>
        <v/>
      </c>
      <c r="O1001" s="3">
        <f>IF(ORIG!O1001=0,"",ORIG!O1001)</f>
        <v/>
      </c>
      <c r="P1001" s="3">
        <f>IF(ORIG!P1001=0,"",ORIG!P1001)</f>
        <v/>
      </c>
      <c r="Q1001" s="3">
        <f>IF(ORIG!Q1001=0,"",ORIG!Q1001)</f>
        <v/>
      </c>
      <c r="R1001" s="3">
        <f>IF(ORIG!R1001=0,"",ORIG!R1001)</f>
        <v/>
      </c>
      <c r="S1001" s="3">
        <f>IF(ORIG!S1001=0,"",ORIG!S1001)</f>
        <v/>
      </c>
      <c r="T1001" s="3">
        <f>IF(ORIG!T1001=0,"",ORIG!T1001)</f>
        <v/>
      </c>
      <c r="U1001" s="3">
        <f>IF(ORIG!U1001=0,"",ORIG!U1001)</f>
        <v/>
      </c>
      <c r="V1001" s="9">
        <f>IF(ORIG!V1001=0,"",ORIG!V1001)</f>
        <v/>
      </c>
      <c r="W1001" s="9">
        <f>IF(ORIG!W1001=0,"",ORIG!W1001)</f>
        <v/>
      </c>
      <c r="X1001" s="9">
        <f>IF(ORIG!X1001=0,"",ORIG!X1001)</f>
        <v/>
      </c>
      <c r="Y1001" s="9">
        <f>IF(ORIG!Y1001=0,"",ORIG!Y1001)</f>
        <v/>
      </c>
      <c r="Z1001" s="3">
        <f>SUMPRODUCT($B1001:$Y1001,$B$2649:$Y$2649)</f>
        <v/>
      </c>
      <c r="AA1001" s="3">
        <f>SUMPRODUCT($B1001:$Y1001,$B$2655:$Y$2655)</f>
        <v/>
      </c>
      <c r="AC1001" s="1">
        <f>A1001</f>
        <v/>
      </c>
      <c r="AD1001">
        <f>IF(ISNUMBER(V1001),V1001*($AB$1/V$2635),"")</f>
        <v/>
      </c>
      <c r="AE1001">
        <f>IF(ISNUMBER(Z1001),Z1001*($AB$1/Z$2635),"")</f>
        <v/>
      </c>
      <c r="AF1001" s="25">
        <f>IF(ISNUMBER(AD1001+AE1001),AD1001+AE1001,"")</f>
        <v/>
      </c>
      <c r="AH1001" s="1">
        <f>A1001</f>
        <v/>
      </c>
      <c r="AI1001">
        <f>IF(ISNUMBER((1+V1001)*AI1000),(1+V1001)*AI1000,AI1000)</f>
        <v/>
      </c>
      <c r="AJ1001">
        <f>IF(ISNUMBER((1+Z1001)*AJ1000),(1+Z1001)*AJ1000,AJ1000)</f>
        <v/>
      </c>
    </row>
    <row r="1002">
      <c r="A1002" s="1" t="n">
        <v>43454</v>
      </c>
      <c r="B1002" s="3">
        <f>IF(ORIG!B1002=0,"",ORIG!B1002)</f>
        <v/>
      </c>
      <c r="C1002" s="3">
        <f>IF(ORIG!C1002=0,"",ORIG!C1002)</f>
        <v/>
      </c>
      <c r="D1002" s="3">
        <f>IF(ORIG!D1002=0,"",ORIG!D1002)</f>
        <v/>
      </c>
      <c r="E1002" s="3">
        <f>IF(ORIG!E1002=0,"",ORIG!E1002)</f>
        <v/>
      </c>
      <c r="F1002" s="3">
        <f>IF(ORIG!F1002=0,"",ORIG!F1002)</f>
        <v/>
      </c>
      <c r="G1002" s="3">
        <f>IF(ORIG!G1002=0,"",ORIG!G1002)</f>
        <v/>
      </c>
      <c r="H1002" s="3">
        <f>IF(ORIG!H1002=0,"",ORIG!H1002)</f>
        <v/>
      </c>
      <c r="I1002" s="3">
        <f>IF(ORIG!I1002=0,"",ORIG!I1002)</f>
        <v/>
      </c>
      <c r="J1002" s="3">
        <f>IF(ORIG!J1002=0,"",ORIG!J1002)</f>
        <v/>
      </c>
      <c r="K1002" s="3">
        <f>IF(ORIG!K1002=0,"",ORIG!K1002)</f>
        <v/>
      </c>
      <c r="L1002" s="3">
        <f>IF(ORIG!L1002=0,"",ORIG!L1002)</f>
        <v/>
      </c>
      <c r="M1002" s="3">
        <f>IF(ORIG!M1002=0,"",ORIG!M1002)</f>
        <v/>
      </c>
      <c r="N1002" s="3">
        <f>IF(ORIG!N1002=0,"",ORIG!N1002)</f>
        <v/>
      </c>
      <c r="O1002" s="3">
        <f>IF(ORIG!O1002=0,"",ORIG!O1002)</f>
        <v/>
      </c>
      <c r="P1002" s="3">
        <f>IF(ORIG!P1002=0,"",ORIG!P1002)</f>
        <v/>
      </c>
      <c r="Q1002" s="3">
        <f>IF(ORIG!Q1002=0,"",ORIG!Q1002)</f>
        <v/>
      </c>
      <c r="R1002" s="3">
        <f>IF(ORIG!R1002=0,"",ORIG!R1002)</f>
        <v/>
      </c>
      <c r="S1002" s="3">
        <f>IF(ORIG!S1002=0,"",ORIG!S1002)</f>
        <v/>
      </c>
      <c r="T1002" s="3">
        <f>IF(ORIG!T1002=0,"",ORIG!T1002)</f>
        <v/>
      </c>
      <c r="U1002" s="3">
        <f>IF(ORIG!U1002=0,"",ORIG!U1002)</f>
        <v/>
      </c>
      <c r="V1002" s="9">
        <f>IF(ORIG!V1002=0,"",ORIG!V1002)</f>
        <v/>
      </c>
      <c r="W1002" s="9">
        <f>IF(ORIG!W1002=0,"",ORIG!W1002)</f>
        <v/>
      </c>
      <c r="X1002" s="9">
        <f>IF(ORIG!X1002=0,"",ORIG!X1002)</f>
        <v/>
      </c>
      <c r="Y1002" s="9">
        <f>IF(ORIG!Y1002=0,"",ORIG!Y1002)</f>
        <v/>
      </c>
      <c r="Z1002" s="3">
        <f>SUMPRODUCT($B1002:$Y1002,$B$2649:$Y$2649)</f>
        <v/>
      </c>
      <c r="AA1002" s="3">
        <f>SUMPRODUCT($B1002:$Y1002,$B$2655:$Y$2655)</f>
        <v/>
      </c>
      <c r="AC1002" s="1">
        <f>A1002</f>
        <v/>
      </c>
      <c r="AD1002">
        <f>IF(ISNUMBER(V1002),V1002*($AB$1/V$2635),"")</f>
        <v/>
      </c>
      <c r="AE1002">
        <f>IF(ISNUMBER(Z1002),Z1002*($AB$1/Z$2635),"")</f>
        <v/>
      </c>
      <c r="AF1002" s="25">
        <f>IF(ISNUMBER(AD1002+AE1002),AD1002+AE1002,"")</f>
        <v/>
      </c>
      <c r="AH1002" s="1">
        <f>A1002</f>
        <v/>
      </c>
      <c r="AI1002">
        <f>IF(ISNUMBER((1+V1002)*AI1001),(1+V1002)*AI1001,AI1001)</f>
        <v/>
      </c>
      <c r="AJ1002">
        <f>IF(ISNUMBER((1+Z1002)*AJ1001),(1+Z1002)*AJ1001,AJ1001)</f>
        <v/>
      </c>
    </row>
    <row r="1003">
      <c r="A1003" s="1" t="n">
        <v>43455</v>
      </c>
      <c r="B1003" s="3">
        <f>IF(ORIG!B1003=0,"",ORIG!B1003)</f>
        <v/>
      </c>
      <c r="C1003" s="3">
        <f>IF(ORIG!C1003=0,"",ORIG!C1003)</f>
        <v/>
      </c>
      <c r="D1003" s="3">
        <f>IF(ORIG!D1003=0,"",ORIG!D1003)</f>
        <v/>
      </c>
      <c r="E1003" s="3">
        <f>IF(ORIG!E1003=0,"",ORIG!E1003)</f>
        <v/>
      </c>
      <c r="F1003" s="3">
        <f>IF(ORIG!F1003=0,"",ORIG!F1003)</f>
        <v/>
      </c>
      <c r="G1003" s="3">
        <f>IF(ORIG!G1003=0,"",ORIG!G1003)</f>
        <v/>
      </c>
      <c r="H1003" s="3">
        <f>IF(ORIG!H1003=0,"",ORIG!H1003)</f>
        <v/>
      </c>
      <c r="I1003" s="3">
        <f>IF(ORIG!I1003=0,"",ORIG!I1003)</f>
        <v/>
      </c>
      <c r="J1003" s="3">
        <f>IF(ORIG!J1003=0,"",ORIG!J1003)</f>
        <v/>
      </c>
      <c r="K1003" s="3">
        <f>IF(ORIG!K1003=0,"",ORIG!K1003)</f>
        <v/>
      </c>
      <c r="L1003" s="3">
        <f>IF(ORIG!L1003=0,"",ORIG!L1003)</f>
        <v/>
      </c>
      <c r="M1003" s="3">
        <f>IF(ORIG!M1003=0,"",ORIG!M1003)</f>
        <v/>
      </c>
      <c r="N1003" s="3">
        <f>IF(ORIG!N1003=0,"",ORIG!N1003)</f>
        <v/>
      </c>
      <c r="O1003" s="3">
        <f>IF(ORIG!O1003=0,"",ORIG!O1003)</f>
        <v/>
      </c>
      <c r="P1003" s="3">
        <f>IF(ORIG!P1003=0,"",ORIG!P1003)</f>
        <v/>
      </c>
      <c r="Q1003" s="3">
        <f>IF(ORIG!Q1003=0,"",ORIG!Q1003)</f>
        <v/>
      </c>
      <c r="R1003" s="3">
        <f>IF(ORIG!R1003=0,"",ORIG!R1003)</f>
        <v/>
      </c>
      <c r="S1003" s="3">
        <f>IF(ORIG!S1003=0,"",ORIG!S1003)</f>
        <v/>
      </c>
      <c r="T1003" s="3">
        <f>IF(ORIG!T1003=0,"",ORIG!T1003)</f>
        <v/>
      </c>
      <c r="U1003" s="3">
        <f>IF(ORIG!U1003=0,"",ORIG!U1003)</f>
        <v/>
      </c>
      <c r="V1003" s="9">
        <f>IF(ORIG!V1003=0,"",ORIG!V1003)</f>
        <v/>
      </c>
      <c r="W1003" s="9">
        <f>IF(ORIG!W1003=0,"",ORIG!W1003)</f>
        <v/>
      </c>
      <c r="X1003" s="9">
        <f>IF(ORIG!X1003=0,"",ORIG!X1003)</f>
        <v/>
      </c>
      <c r="Y1003" s="9">
        <f>IF(ORIG!Y1003=0,"",ORIG!Y1003)</f>
        <v/>
      </c>
      <c r="Z1003" s="3">
        <f>SUMPRODUCT($B1003:$Y1003,$B$2649:$Y$2649)</f>
        <v/>
      </c>
      <c r="AA1003" s="3">
        <f>SUMPRODUCT($B1003:$Y1003,$B$2655:$Y$2655)</f>
        <v/>
      </c>
      <c r="AC1003" s="1">
        <f>A1003</f>
        <v/>
      </c>
      <c r="AD1003">
        <f>IF(ISNUMBER(V1003),V1003*($AB$1/V$2635),"")</f>
        <v/>
      </c>
      <c r="AE1003">
        <f>IF(ISNUMBER(Z1003),Z1003*($AB$1/Z$2635),"")</f>
        <v/>
      </c>
      <c r="AF1003" s="25">
        <f>IF(ISNUMBER(AD1003+AE1003),AD1003+AE1003,"")</f>
        <v/>
      </c>
      <c r="AH1003" s="1">
        <f>A1003</f>
        <v/>
      </c>
      <c r="AI1003">
        <f>IF(ISNUMBER((1+V1003)*AI1002),(1+V1003)*AI1002,AI1002)</f>
        <v/>
      </c>
      <c r="AJ1003">
        <f>IF(ISNUMBER((1+Z1003)*AJ1002),(1+Z1003)*AJ1002,AJ1002)</f>
        <v/>
      </c>
    </row>
    <row r="1004">
      <c r="A1004" s="1" t="n">
        <v>43458</v>
      </c>
      <c r="B1004" s="3">
        <f>IF(ORIG!B1004=0,"",ORIG!B1004)</f>
        <v/>
      </c>
      <c r="C1004" s="3">
        <f>IF(ORIG!C1004=0,"",ORIG!C1004)</f>
        <v/>
      </c>
      <c r="D1004" s="3">
        <f>IF(ORIG!D1004=0,"",ORIG!D1004)</f>
        <v/>
      </c>
      <c r="E1004" s="3">
        <f>IF(ORIG!E1004=0,"",ORIG!E1004)</f>
        <v/>
      </c>
      <c r="F1004" s="3">
        <f>IF(ORIG!F1004=0,"",ORIG!F1004)</f>
        <v/>
      </c>
      <c r="G1004" s="3">
        <f>IF(ORIG!G1004=0,"",ORIG!G1004)</f>
        <v/>
      </c>
      <c r="H1004" s="3">
        <f>IF(ORIG!H1004=0,"",ORIG!H1004)</f>
        <v/>
      </c>
      <c r="I1004" s="3">
        <f>IF(ORIG!I1004=0,"",ORIG!I1004)</f>
        <v/>
      </c>
      <c r="J1004" s="3">
        <f>IF(ORIG!J1004=0,"",ORIG!J1004)</f>
        <v/>
      </c>
      <c r="K1004" s="3">
        <f>IF(ORIG!K1004=0,"",ORIG!K1004)</f>
        <v/>
      </c>
      <c r="L1004" s="3">
        <f>IF(ORIG!L1004=0,"",ORIG!L1004)</f>
        <v/>
      </c>
      <c r="M1004" s="3">
        <f>IF(ORIG!M1004=0,"",ORIG!M1004)</f>
        <v/>
      </c>
      <c r="N1004" s="3">
        <f>IF(ORIG!N1004=0,"",ORIG!N1004)</f>
        <v/>
      </c>
      <c r="O1004" s="3">
        <f>IF(ORIG!O1004=0,"",ORIG!O1004)</f>
        <v/>
      </c>
      <c r="P1004" s="3">
        <f>IF(ORIG!P1004=0,"",ORIG!P1004)</f>
        <v/>
      </c>
      <c r="Q1004" s="3">
        <f>IF(ORIG!Q1004=0,"",ORIG!Q1004)</f>
        <v/>
      </c>
      <c r="R1004" s="3">
        <f>IF(ORIG!R1004=0,"",ORIG!R1004)</f>
        <v/>
      </c>
      <c r="S1004" s="3">
        <f>IF(ORIG!S1004=0,"",ORIG!S1004)</f>
        <v/>
      </c>
      <c r="T1004" s="3">
        <f>IF(ORIG!T1004=0,"",ORIG!T1004)</f>
        <v/>
      </c>
      <c r="U1004" s="3">
        <f>IF(ORIG!U1004=0,"",ORIG!U1004)</f>
        <v/>
      </c>
      <c r="V1004" s="9">
        <f>IF(ORIG!V1004=0,"",ORIG!V1004)</f>
        <v/>
      </c>
      <c r="W1004" s="9">
        <f>IF(ORIG!W1004=0,"",ORIG!W1004)</f>
        <v/>
      </c>
      <c r="X1004" s="9">
        <f>IF(ORIG!X1004=0,"",ORIG!X1004)</f>
        <v/>
      </c>
      <c r="Y1004" s="9">
        <f>IF(ORIG!Y1004=0,"",ORIG!Y1004)</f>
        <v/>
      </c>
      <c r="Z1004" s="3">
        <f>SUMPRODUCT($B1004:$Y1004,$B$2649:$Y$2649)</f>
        <v/>
      </c>
      <c r="AA1004" s="3">
        <f>SUMPRODUCT($B1004:$Y1004,$B$2655:$Y$2655)</f>
        <v/>
      </c>
      <c r="AC1004" s="1">
        <f>A1004</f>
        <v/>
      </c>
      <c r="AD1004">
        <f>IF(ISNUMBER(V1004),V1004*($AB$1/V$2635),"")</f>
        <v/>
      </c>
      <c r="AE1004">
        <f>IF(ISNUMBER(Z1004),Z1004*($AB$1/Z$2635),"")</f>
        <v/>
      </c>
      <c r="AF1004" s="25">
        <f>IF(ISNUMBER(AD1004+AE1004),AD1004+AE1004,"")</f>
        <v/>
      </c>
      <c r="AH1004" s="1">
        <f>A1004</f>
        <v/>
      </c>
      <c r="AI1004">
        <f>IF(ISNUMBER((1+V1004)*AI1003),(1+V1004)*AI1003,AI1003)</f>
        <v/>
      </c>
      <c r="AJ1004">
        <f>IF(ISNUMBER((1+Z1004)*AJ1003),(1+Z1004)*AJ1003,AJ1003)</f>
        <v/>
      </c>
    </row>
    <row r="1005">
      <c r="A1005" s="1" t="n">
        <v>43460</v>
      </c>
      <c r="B1005" s="3">
        <f>IF(ORIG!B1005=0,"",ORIG!B1005)</f>
        <v/>
      </c>
      <c r="C1005" s="3">
        <f>IF(ORIG!C1005=0,"",ORIG!C1005)</f>
        <v/>
      </c>
      <c r="D1005" s="3">
        <f>IF(ORIG!D1005=0,"",ORIG!D1005)</f>
        <v/>
      </c>
      <c r="E1005" s="3">
        <f>IF(ORIG!E1005=0,"",ORIG!E1005)</f>
        <v/>
      </c>
      <c r="F1005" s="3">
        <f>IF(ORIG!F1005=0,"",ORIG!F1005)</f>
        <v/>
      </c>
      <c r="G1005" s="3">
        <f>IF(ORIG!G1005=0,"",ORIG!G1005)</f>
        <v/>
      </c>
      <c r="H1005" s="3">
        <f>IF(ORIG!H1005=0,"",ORIG!H1005)</f>
        <v/>
      </c>
      <c r="I1005" s="3">
        <f>IF(ORIG!I1005=0,"",ORIG!I1005)</f>
        <v/>
      </c>
      <c r="J1005" s="3">
        <f>IF(ORIG!J1005=0,"",ORIG!J1005)</f>
        <v/>
      </c>
      <c r="K1005" s="3">
        <f>IF(ORIG!K1005=0,"",ORIG!K1005)</f>
        <v/>
      </c>
      <c r="L1005" s="3">
        <f>IF(ORIG!L1005=0,"",ORIG!L1005)</f>
        <v/>
      </c>
      <c r="M1005" s="3">
        <f>IF(ORIG!M1005=0,"",ORIG!M1005)</f>
        <v/>
      </c>
      <c r="N1005" s="3">
        <f>IF(ORIG!N1005=0,"",ORIG!N1005)</f>
        <v/>
      </c>
      <c r="O1005" s="3">
        <f>IF(ORIG!O1005=0,"",ORIG!O1005)</f>
        <v/>
      </c>
      <c r="P1005" s="3">
        <f>IF(ORIG!P1005=0,"",ORIG!P1005)</f>
        <v/>
      </c>
      <c r="Q1005" s="3">
        <f>IF(ORIG!Q1005=0,"",ORIG!Q1005)</f>
        <v/>
      </c>
      <c r="R1005" s="3">
        <f>IF(ORIG!R1005=0,"",ORIG!R1005)</f>
        <v/>
      </c>
      <c r="S1005" s="3">
        <f>IF(ORIG!S1005=0,"",ORIG!S1005)</f>
        <v/>
      </c>
      <c r="T1005" s="3">
        <f>IF(ORIG!T1005=0,"",ORIG!T1005)</f>
        <v/>
      </c>
      <c r="U1005" s="3">
        <f>IF(ORIG!U1005=0,"",ORIG!U1005)</f>
        <v/>
      </c>
      <c r="V1005" s="9">
        <f>IF(ORIG!V1005=0,"",ORIG!V1005)</f>
        <v/>
      </c>
      <c r="W1005" s="9">
        <f>IF(ORIG!W1005=0,"",ORIG!W1005)</f>
        <v/>
      </c>
      <c r="X1005" s="9">
        <f>IF(ORIG!X1005=0,"",ORIG!X1005)</f>
        <v/>
      </c>
      <c r="Y1005" s="9">
        <f>IF(ORIG!Y1005=0,"",ORIG!Y1005)</f>
        <v/>
      </c>
      <c r="Z1005" s="3">
        <f>SUMPRODUCT($B1005:$Y1005,$B$2649:$Y$2649)</f>
        <v/>
      </c>
      <c r="AA1005" s="3">
        <f>SUMPRODUCT($B1005:$Y1005,$B$2655:$Y$2655)</f>
        <v/>
      </c>
      <c r="AC1005" s="1">
        <f>A1005</f>
        <v/>
      </c>
      <c r="AD1005">
        <f>IF(ISNUMBER(V1005),V1005*($AB$1/V$2635),"")</f>
        <v/>
      </c>
      <c r="AE1005">
        <f>IF(ISNUMBER(Z1005),Z1005*($AB$1/Z$2635),"")</f>
        <v/>
      </c>
      <c r="AF1005" s="25">
        <f>IF(ISNUMBER(AD1005+AE1005),AD1005+AE1005,"")</f>
        <v/>
      </c>
      <c r="AH1005" s="1">
        <f>A1005</f>
        <v/>
      </c>
      <c r="AI1005">
        <f>IF(ISNUMBER((1+V1005)*AI1004),(1+V1005)*AI1004,AI1004)</f>
        <v/>
      </c>
      <c r="AJ1005">
        <f>IF(ISNUMBER((1+Z1005)*AJ1004),(1+Z1005)*AJ1004,AJ1004)</f>
        <v/>
      </c>
    </row>
    <row r="1006">
      <c r="A1006" s="1" t="n">
        <v>43461</v>
      </c>
      <c r="B1006" s="3">
        <f>IF(ORIG!B1006=0,"",ORIG!B1006)</f>
        <v/>
      </c>
      <c r="C1006" s="3">
        <f>IF(ORIG!C1006=0,"",ORIG!C1006)</f>
        <v/>
      </c>
      <c r="D1006" s="3">
        <f>IF(ORIG!D1006=0,"",ORIG!D1006)</f>
        <v/>
      </c>
      <c r="E1006" s="3">
        <f>IF(ORIG!E1006=0,"",ORIG!E1006)</f>
        <v/>
      </c>
      <c r="F1006" s="3">
        <f>IF(ORIG!F1006=0,"",ORIG!F1006)</f>
        <v/>
      </c>
      <c r="G1006" s="3">
        <f>IF(ORIG!G1006=0,"",ORIG!G1006)</f>
        <v/>
      </c>
      <c r="H1006" s="3">
        <f>IF(ORIG!H1006=0,"",ORIG!H1006)</f>
        <v/>
      </c>
      <c r="I1006" s="3">
        <f>IF(ORIG!I1006=0,"",ORIG!I1006)</f>
        <v/>
      </c>
      <c r="J1006" s="3">
        <f>IF(ORIG!J1006=0,"",ORIG!J1006)</f>
        <v/>
      </c>
      <c r="K1006" s="3">
        <f>IF(ORIG!K1006=0,"",ORIG!K1006)</f>
        <v/>
      </c>
      <c r="L1006" s="3">
        <f>IF(ORIG!L1006=0,"",ORIG!L1006)</f>
        <v/>
      </c>
      <c r="M1006" s="3">
        <f>IF(ORIG!M1006=0,"",ORIG!M1006)</f>
        <v/>
      </c>
      <c r="N1006" s="3">
        <f>IF(ORIG!N1006=0,"",ORIG!N1006)</f>
        <v/>
      </c>
      <c r="O1006" s="3">
        <f>IF(ORIG!O1006=0,"",ORIG!O1006)</f>
        <v/>
      </c>
      <c r="P1006" s="3">
        <f>IF(ORIG!P1006=0,"",ORIG!P1006)</f>
        <v/>
      </c>
      <c r="Q1006" s="3">
        <f>IF(ORIG!Q1006=0,"",ORIG!Q1006)</f>
        <v/>
      </c>
      <c r="R1006" s="3">
        <f>IF(ORIG!R1006=0,"",ORIG!R1006)</f>
        <v/>
      </c>
      <c r="S1006" s="3">
        <f>IF(ORIG!S1006=0,"",ORIG!S1006)</f>
        <v/>
      </c>
      <c r="T1006" s="3">
        <f>IF(ORIG!T1006=0,"",ORIG!T1006)</f>
        <v/>
      </c>
      <c r="U1006" s="3">
        <f>IF(ORIG!U1006=0,"",ORIG!U1006)</f>
        <v/>
      </c>
      <c r="V1006" s="9">
        <f>IF(ORIG!V1006=0,"",ORIG!V1006)</f>
        <v/>
      </c>
      <c r="W1006" s="9">
        <f>IF(ORIG!W1006=0,"",ORIG!W1006)</f>
        <v/>
      </c>
      <c r="X1006" s="9">
        <f>IF(ORIG!X1006=0,"",ORIG!X1006)</f>
        <v/>
      </c>
      <c r="Y1006" s="9">
        <f>IF(ORIG!Y1006=0,"",ORIG!Y1006)</f>
        <v/>
      </c>
      <c r="Z1006" s="3">
        <f>SUMPRODUCT($B1006:$Y1006,$B$2649:$Y$2649)</f>
        <v/>
      </c>
      <c r="AA1006" s="3">
        <f>SUMPRODUCT($B1006:$Y1006,$B$2655:$Y$2655)</f>
        <v/>
      </c>
      <c r="AC1006" s="1">
        <f>A1006</f>
        <v/>
      </c>
      <c r="AD1006">
        <f>IF(ISNUMBER(V1006),V1006*($AB$1/V$2635),"")</f>
        <v/>
      </c>
      <c r="AE1006">
        <f>IF(ISNUMBER(Z1006),Z1006*($AB$1/Z$2635),"")</f>
        <v/>
      </c>
      <c r="AF1006" s="25">
        <f>IF(ISNUMBER(AD1006+AE1006),AD1006+AE1006,"")</f>
        <v/>
      </c>
      <c r="AH1006" s="1">
        <f>A1006</f>
        <v/>
      </c>
      <c r="AI1006">
        <f>IF(ISNUMBER((1+V1006)*AI1005),(1+V1006)*AI1005,AI1005)</f>
        <v/>
      </c>
      <c r="AJ1006">
        <f>IF(ISNUMBER((1+Z1006)*AJ1005),(1+Z1006)*AJ1005,AJ1005)</f>
        <v/>
      </c>
    </row>
    <row r="1007">
      <c r="A1007" s="1" t="n">
        <v>43462</v>
      </c>
      <c r="B1007" s="3">
        <f>IF(ORIG!B1007=0,"",ORIG!B1007)</f>
        <v/>
      </c>
      <c r="C1007" s="3">
        <f>IF(ORIG!C1007=0,"",ORIG!C1007)</f>
        <v/>
      </c>
      <c r="D1007" s="3">
        <f>IF(ORIG!D1007=0,"",ORIG!D1007)</f>
        <v/>
      </c>
      <c r="E1007" s="3">
        <f>IF(ORIG!E1007=0,"",ORIG!E1007)</f>
        <v/>
      </c>
      <c r="F1007" s="3">
        <f>IF(ORIG!F1007=0,"",ORIG!F1007)</f>
        <v/>
      </c>
      <c r="G1007" s="3">
        <f>IF(ORIG!G1007=0,"",ORIG!G1007)</f>
        <v/>
      </c>
      <c r="H1007" s="3">
        <f>IF(ORIG!H1007=0,"",ORIG!H1007)</f>
        <v/>
      </c>
      <c r="I1007" s="3">
        <f>IF(ORIG!I1007=0,"",ORIG!I1007)</f>
        <v/>
      </c>
      <c r="J1007" s="3">
        <f>IF(ORIG!J1007=0,"",ORIG!J1007)</f>
        <v/>
      </c>
      <c r="K1007" s="3">
        <f>IF(ORIG!K1007=0,"",ORIG!K1007)</f>
        <v/>
      </c>
      <c r="L1007" s="3">
        <f>IF(ORIG!L1007=0,"",ORIG!L1007)</f>
        <v/>
      </c>
      <c r="M1007" s="3">
        <f>IF(ORIG!M1007=0,"",ORIG!M1007)</f>
        <v/>
      </c>
      <c r="N1007" s="3">
        <f>IF(ORIG!N1007=0,"",ORIG!N1007)</f>
        <v/>
      </c>
      <c r="O1007" s="3">
        <f>IF(ORIG!O1007=0,"",ORIG!O1007)</f>
        <v/>
      </c>
      <c r="P1007" s="3">
        <f>IF(ORIG!P1007=0,"",ORIG!P1007)</f>
        <v/>
      </c>
      <c r="Q1007" s="3">
        <f>IF(ORIG!Q1007=0,"",ORIG!Q1007)</f>
        <v/>
      </c>
      <c r="R1007" s="3">
        <f>IF(ORIG!R1007=0,"",ORIG!R1007)</f>
        <v/>
      </c>
      <c r="S1007" s="3">
        <f>IF(ORIG!S1007=0,"",ORIG!S1007)</f>
        <v/>
      </c>
      <c r="T1007" s="3">
        <f>IF(ORIG!T1007=0,"",ORIG!T1007)</f>
        <v/>
      </c>
      <c r="U1007" s="3">
        <f>IF(ORIG!U1007=0,"",ORIG!U1007)</f>
        <v/>
      </c>
      <c r="V1007" s="9">
        <f>IF(ORIG!V1007=0,"",ORIG!V1007)</f>
        <v/>
      </c>
      <c r="W1007" s="9">
        <f>IF(ORIG!W1007=0,"",ORIG!W1007)</f>
        <v/>
      </c>
      <c r="X1007" s="9">
        <f>IF(ORIG!X1007=0,"",ORIG!X1007)</f>
        <v/>
      </c>
      <c r="Y1007" s="9">
        <f>IF(ORIG!Y1007=0,"",ORIG!Y1007)</f>
        <v/>
      </c>
      <c r="Z1007" s="3">
        <f>SUMPRODUCT($B1007:$Y1007,$B$2649:$Y$2649)</f>
        <v/>
      </c>
      <c r="AA1007" s="3">
        <f>SUMPRODUCT($B1007:$Y1007,$B$2655:$Y$2655)</f>
        <v/>
      </c>
      <c r="AC1007" s="1">
        <f>A1007</f>
        <v/>
      </c>
      <c r="AD1007">
        <f>IF(ISNUMBER(V1007),V1007*($AB$1/V$2635),"")</f>
        <v/>
      </c>
      <c r="AE1007">
        <f>IF(ISNUMBER(Z1007),Z1007*($AB$1/Z$2635),"")</f>
        <v/>
      </c>
      <c r="AF1007" s="25">
        <f>IF(ISNUMBER(AD1007+AE1007),AD1007+AE1007,"")</f>
        <v/>
      </c>
      <c r="AH1007" s="1">
        <f>A1007</f>
        <v/>
      </c>
      <c r="AI1007">
        <f>IF(ISNUMBER((1+V1007)*AI1006),(1+V1007)*AI1006,AI1006)</f>
        <v/>
      </c>
      <c r="AJ1007">
        <f>IF(ISNUMBER((1+Z1007)*AJ1006),(1+Z1007)*AJ1006,AJ1006)</f>
        <v/>
      </c>
    </row>
    <row r="1008">
      <c r="A1008" s="1" t="n">
        <v>43465</v>
      </c>
      <c r="B1008" s="3">
        <f>IF(ORIG!B1008=0,"",ORIG!B1008)</f>
        <v/>
      </c>
      <c r="C1008" s="3">
        <f>IF(ORIG!C1008=0,"",ORIG!C1008)</f>
        <v/>
      </c>
      <c r="D1008" s="3">
        <f>IF(ORIG!D1008=0,"",ORIG!D1008)</f>
        <v/>
      </c>
      <c r="E1008" s="3">
        <f>IF(ORIG!E1008=0,"",ORIG!E1008)</f>
        <v/>
      </c>
      <c r="F1008" s="3">
        <f>IF(ORIG!F1008=0,"",ORIG!F1008)</f>
        <v/>
      </c>
      <c r="G1008" s="3">
        <f>IF(ORIG!G1008=0,"",ORIG!G1008)</f>
        <v/>
      </c>
      <c r="H1008" s="3">
        <f>IF(ORIG!H1008=0,"",ORIG!H1008)</f>
        <v/>
      </c>
      <c r="I1008" s="3">
        <f>IF(ORIG!I1008=0,"",ORIG!I1008)</f>
        <v/>
      </c>
      <c r="J1008" s="3">
        <f>IF(ORIG!J1008=0,"",ORIG!J1008)</f>
        <v/>
      </c>
      <c r="K1008" s="3">
        <f>IF(ORIG!K1008=0,"",ORIG!K1008)</f>
        <v/>
      </c>
      <c r="L1008" s="3">
        <f>IF(ORIG!L1008=0,"",ORIG!L1008)</f>
        <v/>
      </c>
      <c r="M1008" s="3">
        <f>IF(ORIG!M1008=0,"",ORIG!M1008)</f>
        <v/>
      </c>
      <c r="N1008" s="3">
        <f>IF(ORIG!N1008=0,"",ORIG!N1008)</f>
        <v/>
      </c>
      <c r="O1008" s="3">
        <f>IF(ORIG!O1008=0,"",ORIG!O1008)</f>
        <v/>
      </c>
      <c r="P1008" s="3">
        <f>IF(ORIG!P1008=0,"",ORIG!P1008)</f>
        <v/>
      </c>
      <c r="Q1008" s="3">
        <f>IF(ORIG!Q1008=0,"",ORIG!Q1008)</f>
        <v/>
      </c>
      <c r="R1008" s="3">
        <f>IF(ORIG!R1008=0,"",ORIG!R1008)</f>
        <v/>
      </c>
      <c r="S1008" s="3">
        <f>IF(ORIG!S1008=0,"",ORIG!S1008)</f>
        <v/>
      </c>
      <c r="T1008" s="3">
        <f>IF(ORIG!T1008=0,"",ORIG!T1008)</f>
        <v/>
      </c>
      <c r="U1008" s="3">
        <f>IF(ORIG!U1008=0,"",ORIG!U1008)</f>
        <v/>
      </c>
      <c r="V1008" s="9">
        <f>IF(ORIG!V1008=0,"",ORIG!V1008)</f>
        <v/>
      </c>
      <c r="W1008" s="9">
        <f>IF(ORIG!W1008=0,"",ORIG!W1008)</f>
        <v/>
      </c>
      <c r="X1008" s="9">
        <f>IF(ORIG!X1008=0,"",ORIG!X1008)</f>
        <v/>
      </c>
      <c r="Y1008" s="9">
        <f>IF(ORIG!Y1008=0,"",ORIG!Y1008)</f>
        <v/>
      </c>
      <c r="Z1008" s="3">
        <f>SUMPRODUCT($B1008:$Y1008,$B$2649:$Y$2649)</f>
        <v/>
      </c>
      <c r="AA1008" s="3">
        <f>SUMPRODUCT($B1008:$Y1008,$B$2655:$Y$2655)</f>
        <v/>
      </c>
      <c r="AC1008" s="1">
        <f>A1008</f>
        <v/>
      </c>
      <c r="AD1008">
        <f>IF(ISNUMBER(V1008),V1008*($AB$1/V$2635),"")</f>
        <v/>
      </c>
      <c r="AE1008">
        <f>IF(ISNUMBER(Z1008),Z1008*($AB$1/Z$2635),"")</f>
        <v/>
      </c>
      <c r="AF1008" s="25">
        <f>IF(ISNUMBER(AD1008+AE1008),AD1008+AE1008,"")</f>
        <v/>
      </c>
      <c r="AH1008" s="1">
        <f>A1008</f>
        <v/>
      </c>
      <c r="AI1008">
        <f>IF(ISNUMBER((1+V1008)*AI1007),(1+V1008)*AI1007,AI1007)</f>
        <v/>
      </c>
      <c r="AJ1008">
        <f>IF(ISNUMBER((1+Z1008)*AJ1007),(1+Z1008)*AJ1007,AJ1007)</f>
        <v/>
      </c>
    </row>
    <row r="1009">
      <c r="A1009" s="1" t="n">
        <v>43467</v>
      </c>
      <c r="B1009" s="3">
        <f>IF(ORIG!B1009=0,"",ORIG!B1009)</f>
        <v/>
      </c>
      <c r="C1009" s="3">
        <f>IF(ORIG!C1009=0,"",ORIG!C1009)</f>
        <v/>
      </c>
      <c r="D1009" s="3">
        <f>IF(ORIG!D1009=0,"",ORIG!D1009)</f>
        <v/>
      </c>
      <c r="E1009" s="3">
        <f>IF(ORIG!E1009=0,"",ORIG!E1009)</f>
        <v/>
      </c>
      <c r="F1009" s="3">
        <f>IF(ORIG!F1009=0,"",ORIG!F1009)</f>
        <v/>
      </c>
      <c r="G1009" s="3">
        <f>IF(ORIG!G1009=0,"",ORIG!G1009)</f>
        <v/>
      </c>
      <c r="H1009" s="3">
        <f>IF(ORIG!H1009=0,"",ORIG!H1009)</f>
        <v/>
      </c>
      <c r="I1009" s="3">
        <f>IF(ORIG!I1009=0,"",ORIG!I1009)</f>
        <v/>
      </c>
      <c r="J1009" s="3">
        <f>IF(ORIG!J1009=0,"",ORIG!J1009)</f>
        <v/>
      </c>
      <c r="K1009" s="3">
        <f>IF(ORIG!K1009=0,"",ORIG!K1009)</f>
        <v/>
      </c>
      <c r="L1009" s="3">
        <f>IF(ORIG!L1009=0,"",ORIG!L1009)</f>
        <v/>
      </c>
      <c r="M1009" s="3">
        <f>IF(ORIG!M1009=0,"",ORIG!M1009)</f>
        <v/>
      </c>
      <c r="N1009" s="3">
        <f>IF(ORIG!N1009=0,"",ORIG!N1009)</f>
        <v/>
      </c>
      <c r="O1009" s="3">
        <f>IF(ORIG!O1009=0,"",ORIG!O1009)</f>
        <v/>
      </c>
      <c r="P1009" s="3">
        <f>IF(ORIG!P1009=0,"",ORIG!P1009)</f>
        <v/>
      </c>
      <c r="Q1009" s="3">
        <f>IF(ORIG!Q1009=0,"",ORIG!Q1009)</f>
        <v/>
      </c>
      <c r="R1009" s="3">
        <f>IF(ORIG!R1009=0,"",ORIG!R1009)</f>
        <v/>
      </c>
      <c r="S1009" s="3">
        <f>IF(ORIG!S1009=0,"",ORIG!S1009)</f>
        <v/>
      </c>
      <c r="T1009" s="3">
        <f>IF(ORIG!T1009=0,"",ORIG!T1009)</f>
        <v/>
      </c>
      <c r="U1009" s="3">
        <f>IF(ORIG!U1009=0,"",ORIG!U1009)</f>
        <v/>
      </c>
      <c r="V1009" s="9">
        <f>IF(ORIG!V1009=0,"",ORIG!V1009)</f>
        <v/>
      </c>
      <c r="W1009" s="9">
        <f>IF(ORIG!W1009=0,"",ORIG!W1009)</f>
        <v/>
      </c>
      <c r="X1009" s="9">
        <f>IF(ORIG!X1009=0,"",ORIG!X1009)</f>
        <v/>
      </c>
      <c r="Y1009" s="9">
        <f>IF(ORIG!Y1009=0,"",ORIG!Y1009)</f>
        <v/>
      </c>
      <c r="Z1009" s="3">
        <f>SUMPRODUCT($B1009:$Y1009,$B$2649:$Y$2649)</f>
        <v/>
      </c>
      <c r="AA1009" s="3">
        <f>SUMPRODUCT($B1009:$Y1009,$B$2655:$Y$2655)</f>
        <v/>
      </c>
      <c r="AC1009" s="1">
        <f>A1009</f>
        <v/>
      </c>
      <c r="AD1009">
        <f>IF(ISNUMBER(V1009),V1009*($AB$1/V$2635),"")</f>
        <v/>
      </c>
      <c r="AE1009">
        <f>IF(ISNUMBER(Z1009),Z1009*($AB$1/Z$2635),"")</f>
        <v/>
      </c>
      <c r="AF1009" s="25">
        <f>IF(ISNUMBER(AD1009+AE1009),AD1009+AE1009,"")</f>
        <v/>
      </c>
      <c r="AH1009" s="1">
        <f>A1009</f>
        <v/>
      </c>
      <c r="AI1009">
        <f>IF(ISNUMBER((1+V1009)*AI1008),(1+V1009)*AI1008,AI1008)</f>
        <v/>
      </c>
      <c r="AJ1009">
        <f>IF(ISNUMBER((1+Z1009)*AJ1008),(1+Z1009)*AJ1008,AJ1008)</f>
        <v/>
      </c>
    </row>
    <row r="1010">
      <c r="A1010" s="1" t="n">
        <v>43468</v>
      </c>
      <c r="B1010" s="3">
        <f>IF(ORIG!B1010=0,"",ORIG!B1010)</f>
        <v/>
      </c>
      <c r="C1010" s="3">
        <f>IF(ORIG!C1010=0,"",ORIG!C1010)</f>
        <v/>
      </c>
      <c r="D1010" s="3">
        <f>IF(ORIG!D1010=0,"",ORIG!D1010)</f>
        <v/>
      </c>
      <c r="E1010" s="3">
        <f>IF(ORIG!E1010=0,"",ORIG!E1010)</f>
        <v/>
      </c>
      <c r="F1010" s="3">
        <f>IF(ORIG!F1010=0,"",ORIG!F1010)</f>
        <v/>
      </c>
      <c r="G1010" s="3">
        <f>IF(ORIG!G1010=0,"",ORIG!G1010)</f>
        <v/>
      </c>
      <c r="H1010" s="3">
        <f>IF(ORIG!H1010=0,"",ORIG!H1010)</f>
        <v/>
      </c>
      <c r="I1010" s="3">
        <f>IF(ORIG!I1010=0,"",ORIG!I1010)</f>
        <v/>
      </c>
      <c r="J1010" s="3">
        <f>IF(ORIG!J1010=0,"",ORIG!J1010)</f>
        <v/>
      </c>
      <c r="K1010" s="3">
        <f>IF(ORIG!K1010=0,"",ORIG!K1010)</f>
        <v/>
      </c>
      <c r="L1010" s="3">
        <f>IF(ORIG!L1010=0,"",ORIG!L1010)</f>
        <v/>
      </c>
      <c r="M1010" s="3">
        <f>IF(ORIG!M1010=0,"",ORIG!M1010)</f>
        <v/>
      </c>
      <c r="N1010" s="3">
        <f>IF(ORIG!N1010=0,"",ORIG!N1010)</f>
        <v/>
      </c>
      <c r="O1010" s="3">
        <f>IF(ORIG!O1010=0,"",ORIG!O1010)</f>
        <v/>
      </c>
      <c r="P1010" s="3">
        <f>IF(ORIG!P1010=0,"",ORIG!P1010)</f>
        <v/>
      </c>
      <c r="Q1010" s="3">
        <f>IF(ORIG!Q1010=0,"",ORIG!Q1010)</f>
        <v/>
      </c>
      <c r="R1010" s="3">
        <f>IF(ORIG!R1010=0,"",ORIG!R1010)</f>
        <v/>
      </c>
      <c r="S1010" s="3">
        <f>IF(ORIG!S1010=0,"",ORIG!S1010)</f>
        <v/>
      </c>
      <c r="T1010" s="3">
        <f>IF(ORIG!T1010=0,"",ORIG!T1010)</f>
        <v/>
      </c>
      <c r="U1010" s="3">
        <f>IF(ORIG!U1010=0,"",ORIG!U1010)</f>
        <v/>
      </c>
      <c r="V1010" s="9">
        <f>IF(ORIG!V1010=0,"",ORIG!V1010)</f>
        <v/>
      </c>
      <c r="W1010" s="9">
        <f>IF(ORIG!W1010=0,"",ORIG!W1010)</f>
        <v/>
      </c>
      <c r="X1010" s="9">
        <f>IF(ORIG!X1010=0,"",ORIG!X1010)</f>
        <v/>
      </c>
      <c r="Y1010" s="9">
        <f>IF(ORIG!Y1010=0,"",ORIG!Y1010)</f>
        <v/>
      </c>
      <c r="Z1010" s="3">
        <f>SUMPRODUCT($B1010:$Y1010,$B$2649:$Y$2649)</f>
        <v/>
      </c>
      <c r="AA1010" s="3">
        <f>SUMPRODUCT($B1010:$Y1010,$B$2655:$Y$2655)</f>
        <v/>
      </c>
      <c r="AC1010" s="1">
        <f>A1010</f>
        <v/>
      </c>
      <c r="AD1010">
        <f>IF(ISNUMBER(V1010),V1010*($AB$1/V$2635),"")</f>
        <v/>
      </c>
      <c r="AE1010">
        <f>IF(ISNUMBER(Z1010),Z1010*($AB$1/Z$2635),"")</f>
        <v/>
      </c>
      <c r="AF1010" s="25">
        <f>IF(ISNUMBER(AD1010+AE1010),AD1010+AE1010,"")</f>
        <v/>
      </c>
      <c r="AH1010" s="1">
        <f>A1010</f>
        <v/>
      </c>
      <c r="AI1010">
        <f>IF(ISNUMBER((1+V1010)*AI1009),(1+V1010)*AI1009,AI1009)</f>
        <v/>
      </c>
      <c r="AJ1010">
        <f>IF(ISNUMBER((1+Z1010)*AJ1009),(1+Z1010)*AJ1009,AJ1009)</f>
        <v/>
      </c>
    </row>
    <row r="1011">
      <c r="A1011" s="1" t="n">
        <v>43469</v>
      </c>
      <c r="B1011" s="3">
        <f>IF(ORIG!B1011=0,"",ORIG!B1011)</f>
        <v/>
      </c>
      <c r="C1011" s="3">
        <f>IF(ORIG!C1011=0,"",ORIG!C1011)</f>
        <v/>
      </c>
      <c r="D1011" s="3">
        <f>IF(ORIG!D1011=0,"",ORIG!D1011)</f>
        <v/>
      </c>
      <c r="E1011" s="3">
        <f>IF(ORIG!E1011=0,"",ORIG!E1011)</f>
        <v/>
      </c>
      <c r="F1011" s="3">
        <f>IF(ORIG!F1011=0,"",ORIG!F1011)</f>
        <v/>
      </c>
      <c r="G1011" s="3">
        <f>IF(ORIG!G1011=0,"",ORIG!G1011)</f>
        <v/>
      </c>
      <c r="H1011" s="3">
        <f>IF(ORIG!H1011=0,"",ORIG!H1011)</f>
        <v/>
      </c>
      <c r="I1011" s="3">
        <f>IF(ORIG!I1011=0,"",ORIG!I1011)</f>
        <v/>
      </c>
      <c r="J1011" s="3">
        <f>IF(ORIG!J1011=0,"",ORIG!J1011)</f>
        <v/>
      </c>
      <c r="K1011" s="3">
        <f>IF(ORIG!K1011=0,"",ORIG!K1011)</f>
        <v/>
      </c>
      <c r="L1011" s="3">
        <f>IF(ORIG!L1011=0,"",ORIG!L1011)</f>
        <v/>
      </c>
      <c r="M1011" s="3">
        <f>IF(ORIG!M1011=0,"",ORIG!M1011)</f>
        <v/>
      </c>
      <c r="N1011" s="3">
        <f>IF(ORIG!N1011=0,"",ORIG!N1011)</f>
        <v/>
      </c>
      <c r="O1011" s="3">
        <f>IF(ORIG!O1011=0,"",ORIG!O1011)</f>
        <v/>
      </c>
      <c r="P1011" s="3">
        <f>IF(ORIG!P1011=0,"",ORIG!P1011)</f>
        <v/>
      </c>
      <c r="Q1011" s="3">
        <f>IF(ORIG!Q1011=0,"",ORIG!Q1011)</f>
        <v/>
      </c>
      <c r="R1011" s="3">
        <f>IF(ORIG!R1011=0,"",ORIG!R1011)</f>
        <v/>
      </c>
      <c r="S1011" s="3">
        <f>IF(ORIG!S1011=0,"",ORIG!S1011)</f>
        <v/>
      </c>
      <c r="T1011" s="3">
        <f>IF(ORIG!T1011=0,"",ORIG!T1011)</f>
        <v/>
      </c>
      <c r="U1011" s="3">
        <f>IF(ORIG!U1011=0,"",ORIG!U1011)</f>
        <v/>
      </c>
      <c r="V1011" s="9">
        <f>IF(ORIG!V1011=0,"",ORIG!V1011)</f>
        <v/>
      </c>
      <c r="W1011" s="9">
        <f>IF(ORIG!W1011=0,"",ORIG!W1011)</f>
        <v/>
      </c>
      <c r="X1011" s="9">
        <f>IF(ORIG!X1011=0,"",ORIG!X1011)</f>
        <v/>
      </c>
      <c r="Y1011" s="9">
        <f>IF(ORIG!Y1011=0,"",ORIG!Y1011)</f>
        <v/>
      </c>
      <c r="Z1011" s="3">
        <f>SUMPRODUCT($B1011:$Y1011,$B$2649:$Y$2649)</f>
        <v/>
      </c>
      <c r="AA1011" s="3">
        <f>SUMPRODUCT($B1011:$Y1011,$B$2655:$Y$2655)</f>
        <v/>
      </c>
      <c r="AC1011" s="1">
        <f>A1011</f>
        <v/>
      </c>
      <c r="AD1011">
        <f>IF(ISNUMBER(V1011),V1011*($AB$1/V$2635),"")</f>
        <v/>
      </c>
      <c r="AE1011">
        <f>IF(ISNUMBER(Z1011),Z1011*($AB$1/Z$2635),"")</f>
        <v/>
      </c>
      <c r="AF1011" s="25">
        <f>IF(ISNUMBER(AD1011+AE1011),AD1011+AE1011,"")</f>
        <v/>
      </c>
      <c r="AH1011" s="1">
        <f>A1011</f>
        <v/>
      </c>
      <c r="AI1011">
        <f>IF(ISNUMBER((1+V1011)*AI1010),(1+V1011)*AI1010,AI1010)</f>
        <v/>
      </c>
      <c r="AJ1011">
        <f>IF(ISNUMBER((1+Z1011)*AJ1010),(1+Z1011)*AJ1010,AJ1010)</f>
        <v/>
      </c>
    </row>
    <row r="1012">
      <c r="A1012" s="1" t="n">
        <v>43472</v>
      </c>
      <c r="B1012" s="3">
        <f>IF(ORIG!B1012=0,"",ORIG!B1012)</f>
        <v/>
      </c>
      <c r="C1012" s="3">
        <f>IF(ORIG!C1012=0,"",ORIG!C1012)</f>
        <v/>
      </c>
      <c r="D1012" s="3">
        <f>IF(ORIG!D1012=0,"",ORIG!D1012)</f>
        <v/>
      </c>
      <c r="E1012" s="3">
        <f>IF(ORIG!E1012=0,"",ORIG!E1012)</f>
        <v/>
      </c>
      <c r="F1012" s="3">
        <f>IF(ORIG!F1012=0,"",ORIG!F1012)</f>
        <v/>
      </c>
      <c r="G1012" s="3">
        <f>IF(ORIG!G1012=0,"",ORIG!G1012)</f>
        <v/>
      </c>
      <c r="H1012" s="3">
        <f>IF(ORIG!H1012=0,"",ORIG!H1012)</f>
        <v/>
      </c>
      <c r="I1012" s="3">
        <f>IF(ORIG!I1012=0,"",ORIG!I1012)</f>
        <v/>
      </c>
      <c r="J1012" s="3">
        <f>IF(ORIG!J1012=0,"",ORIG!J1012)</f>
        <v/>
      </c>
      <c r="K1012" s="3">
        <f>IF(ORIG!K1012=0,"",ORIG!K1012)</f>
        <v/>
      </c>
      <c r="L1012" s="3">
        <f>IF(ORIG!L1012=0,"",ORIG!L1012)</f>
        <v/>
      </c>
      <c r="M1012" s="3">
        <f>IF(ORIG!M1012=0,"",ORIG!M1012)</f>
        <v/>
      </c>
      <c r="N1012" s="3">
        <f>IF(ORIG!N1012=0,"",ORIG!N1012)</f>
        <v/>
      </c>
      <c r="O1012" s="3">
        <f>IF(ORIG!O1012=0,"",ORIG!O1012)</f>
        <v/>
      </c>
      <c r="P1012" s="3">
        <f>IF(ORIG!P1012=0,"",ORIG!P1012)</f>
        <v/>
      </c>
      <c r="Q1012" s="3">
        <f>IF(ORIG!Q1012=0,"",ORIG!Q1012)</f>
        <v/>
      </c>
      <c r="R1012" s="3">
        <f>IF(ORIG!R1012=0,"",ORIG!R1012)</f>
        <v/>
      </c>
      <c r="S1012" s="3">
        <f>IF(ORIG!S1012=0,"",ORIG!S1012)</f>
        <v/>
      </c>
      <c r="T1012" s="3">
        <f>IF(ORIG!T1012=0,"",ORIG!T1012)</f>
        <v/>
      </c>
      <c r="U1012" s="3">
        <f>IF(ORIG!U1012=0,"",ORIG!U1012)</f>
        <v/>
      </c>
      <c r="V1012" s="9">
        <f>IF(ORIG!V1012=0,"",ORIG!V1012)</f>
        <v/>
      </c>
      <c r="W1012" s="9">
        <f>IF(ORIG!W1012=0,"",ORIG!W1012)</f>
        <v/>
      </c>
      <c r="X1012" s="9">
        <f>IF(ORIG!X1012=0,"",ORIG!X1012)</f>
        <v/>
      </c>
      <c r="Y1012" s="9">
        <f>IF(ORIG!Y1012=0,"",ORIG!Y1012)</f>
        <v/>
      </c>
      <c r="Z1012" s="3">
        <f>SUMPRODUCT($B1012:$Y1012,$B$2649:$Y$2649)</f>
        <v/>
      </c>
      <c r="AA1012" s="3">
        <f>SUMPRODUCT($B1012:$Y1012,$B$2655:$Y$2655)</f>
        <v/>
      </c>
      <c r="AC1012" s="1">
        <f>A1012</f>
        <v/>
      </c>
      <c r="AD1012">
        <f>IF(ISNUMBER(V1012),V1012*($AB$1/V$2635),"")</f>
        <v/>
      </c>
      <c r="AE1012">
        <f>IF(ISNUMBER(Z1012),Z1012*($AB$1/Z$2635),"")</f>
        <v/>
      </c>
      <c r="AF1012" s="25">
        <f>IF(ISNUMBER(AD1012+AE1012),AD1012+AE1012,"")</f>
        <v/>
      </c>
      <c r="AH1012" s="1">
        <f>A1012</f>
        <v/>
      </c>
      <c r="AI1012">
        <f>IF(ISNUMBER((1+V1012)*AI1011),(1+V1012)*AI1011,AI1011)</f>
        <v/>
      </c>
      <c r="AJ1012">
        <f>IF(ISNUMBER((1+Z1012)*AJ1011),(1+Z1012)*AJ1011,AJ1011)</f>
        <v/>
      </c>
    </row>
    <row r="1013">
      <c r="A1013" s="1" t="n">
        <v>43473</v>
      </c>
      <c r="B1013" s="3">
        <f>IF(ORIG!B1013=0,"",ORIG!B1013)</f>
        <v/>
      </c>
      <c r="C1013" s="3">
        <f>IF(ORIG!C1013=0,"",ORIG!C1013)</f>
        <v/>
      </c>
      <c r="D1013" s="3">
        <f>IF(ORIG!D1013=0,"",ORIG!D1013)</f>
        <v/>
      </c>
      <c r="E1013" s="3">
        <f>IF(ORIG!E1013=0,"",ORIG!E1013)</f>
        <v/>
      </c>
      <c r="F1013" s="3">
        <f>IF(ORIG!F1013=0,"",ORIG!F1013)</f>
        <v/>
      </c>
      <c r="G1013" s="3">
        <f>IF(ORIG!G1013=0,"",ORIG!G1013)</f>
        <v/>
      </c>
      <c r="H1013" s="3">
        <f>IF(ORIG!H1013=0,"",ORIG!H1013)</f>
        <v/>
      </c>
      <c r="I1013" s="3">
        <f>IF(ORIG!I1013=0,"",ORIG!I1013)</f>
        <v/>
      </c>
      <c r="J1013" s="3">
        <f>IF(ORIG!J1013=0,"",ORIG!J1013)</f>
        <v/>
      </c>
      <c r="K1013" s="3">
        <f>IF(ORIG!K1013=0,"",ORIG!K1013)</f>
        <v/>
      </c>
      <c r="L1013" s="3">
        <f>IF(ORIG!L1013=0,"",ORIG!L1013)</f>
        <v/>
      </c>
      <c r="M1013" s="3">
        <f>IF(ORIG!M1013=0,"",ORIG!M1013)</f>
        <v/>
      </c>
      <c r="N1013" s="3">
        <f>IF(ORIG!N1013=0,"",ORIG!N1013)</f>
        <v/>
      </c>
      <c r="O1013" s="3">
        <f>IF(ORIG!O1013=0,"",ORIG!O1013)</f>
        <v/>
      </c>
      <c r="P1013" s="3">
        <f>IF(ORIG!P1013=0,"",ORIG!P1013)</f>
        <v/>
      </c>
      <c r="Q1013" s="3">
        <f>IF(ORIG!Q1013=0,"",ORIG!Q1013)</f>
        <v/>
      </c>
      <c r="R1013" s="3">
        <f>IF(ORIG!R1013=0,"",ORIG!R1013)</f>
        <v/>
      </c>
      <c r="S1013" s="3">
        <f>IF(ORIG!S1013=0,"",ORIG!S1013)</f>
        <v/>
      </c>
      <c r="T1013" s="3">
        <f>IF(ORIG!T1013=0,"",ORIG!T1013)</f>
        <v/>
      </c>
      <c r="U1013" s="3">
        <f>IF(ORIG!U1013=0,"",ORIG!U1013)</f>
        <v/>
      </c>
      <c r="V1013" s="9">
        <f>IF(ORIG!V1013=0,"",ORIG!V1013)</f>
        <v/>
      </c>
      <c r="W1013" s="9">
        <f>IF(ORIG!W1013=0,"",ORIG!W1013)</f>
        <v/>
      </c>
      <c r="X1013" s="9">
        <f>IF(ORIG!X1013=0,"",ORIG!X1013)</f>
        <v/>
      </c>
      <c r="Y1013" s="9">
        <f>IF(ORIG!Y1013=0,"",ORIG!Y1013)</f>
        <v/>
      </c>
      <c r="Z1013" s="3">
        <f>SUMPRODUCT($B1013:$Y1013,$B$2649:$Y$2649)</f>
        <v/>
      </c>
      <c r="AA1013" s="3">
        <f>SUMPRODUCT($B1013:$Y1013,$B$2655:$Y$2655)</f>
        <v/>
      </c>
      <c r="AC1013" s="1">
        <f>A1013</f>
        <v/>
      </c>
      <c r="AD1013">
        <f>IF(ISNUMBER(V1013),V1013*($AB$1/V$2635),"")</f>
        <v/>
      </c>
      <c r="AE1013">
        <f>IF(ISNUMBER(Z1013),Z1013*($AB$1/Z$2635),"")</f>
        <v/>
      </c>
      <c r="AF1013" s="25">
        <f>IF(ISNUMBER(AD1013+AE1013),AD1013+AE1013,"")</f>
        <v/>
      </c>
      <c r="AH1013" s="1">
        <f>A1013</f>
        <v/>
      </c>
      <c r="AI1013">
        <f>IF(ISNUMBER((1+V1013)*AI1012),(1+V1013)*AI1012,AI1012)</f>
        <v/>
      </c>
      <c r="AJ1013">
        <f>IF(ISNUMBER((1+Z1013)*AJ1012),(1+Z1013)*AJ1012,AJ1012)</f>
        <v/>
      </c>
    </row>
    <row r="1014">
      <c r="A1014" s="1" t="n">
        <v>43474</v>
      </c>
      <c r="B1014" s="3">
        <f>IF(ORIG!B1014=0,"",ORIG!B1014)</f>
        <v/>
      </c>
      <c r="C1014" s="3">
        <f>IF(ORIG!C1014=0,"",ORIG!C1014)</f>
        <v/>
      </c>
      <c r="D1014" s="3">
        <f>IF(ORIG!D1014=0,"",ORIG!D1014)</f>
        <v/>
      </c>
      <c r="E1014" s="3">
        <f>IF(ORIG!E1014=0,"",ORIG!E1014)</f>
        <v/>
      </c>
      <c r="F1014" s="3">
        <f>IF(ORIG!F1014=0,"",ORIG!F1014)</f>
        <v/>
      </c>
      <c r="G1014" s="3">
        <f>IF(ORIG!G1014=0,"",ORIG!G1014)</f>
        <v/>
      </c>
      <c r="H1014" s="3">
        <f>IF(ORIG!H1014=0,"",ORIG!H1014)</f>
        <v/>
      </c>
      <c r="I1014" s="3">
        <f>IF(ORIG!I1014=0,"",ORIG!I1014)</f>
        <v/>
      </c>
      <c r="J1014" s="3">
        <f>IF(ORIG!J1014=0,"",ORIG!J1014)</f>
        <v/>
      </c>
      <c r="K1014" s="3">
        <f>IF(ORIG!K1014=0,"",ORIG!K1014)</f>
        <v/>
      </c>
      <c r="L1014" s="3">
        <f>IF(ORIG!L1014=0,"",ORIG!L1014)</f>
        <v/>
      </c>
      <c r="M1014" s="3">
        <f>IF(ORIG!M1014=0,"",ORIG!M1014)</f>
        <v/>
      </c>
      <c r="N1014" s="3">
        <f>IF(ORIG!N1014=0,"",ORIG!N1014)</f>
        <v/>
      </c>
      <c r="O1014" s="3">
        <f>IF(ORIG!O1014=0,"",ORIG!O1014)</f>
        <v/>
      </c>
      <c r="P1014" s="3">
        <f>IF(ORIG!P1014=0,"",ORIG!P1014)</f>
        <v/>
      </c>
      <c r="Q1014" s="3">
        <f>IF(ORIG!Q1014=0,"",ORIG!Q1014)</f>
        <v/>
      </c>
      <c r="R1014" s="3">
        <f>IF(ORIG!R1014=0,"",ORIG!R1014)</f>
        <v/>
      </c>
      <c r="S1014" s="3">
        <f>IF(ORIG!S1014=0,"",ORIG!S1014)</f>
        <v/>
      </c>
      <c r="T1014" s="3">
        <f>IF(ORIG!T1014=0,"",ORIG!T1014)</f>
        <v/>
      </c>
      <c r="U1014" s="3">
        <f>IF(ORIG!U1014=0,"",ORIG!U1014)</f>
        <v/>
      </c>
      <c r="V1014" s="9">
        <f>IF(ORIG!V1014=0,"",ORIG!V1014)</f>
        <v/>
      </c>
      <c r="W1014" s="9">
        <f>IF(ORIG!W1014=0,"",ORIG!W1014)</f>
        <v/>
      </c>
      <c r="X1014" s="9">
        <f>IF(ORIG!X1014=0,"",ORIG!X1014)</f>
        <v/>
      </c>
      <c r="Y1014" s="9">
        <f>IF(ORIG!Y1014=0,"",ORIG!Y1014)</f>
        <v/>
      </c>
      <c r="Z1014" s="3">
        <f>SUMPRODUCT($B1014:$Y1014,$B$2649:$Y$2649)</f>
        <v/>
      </c>
      <c r="AA1014" s="3">
        <f>SUMPRODUCT($B1014:$Y1014,$B$2655:$Y$2655)</f>
        <v/>
      </c>
      <c r="AC1014" s="1">
        <f>A1014</f>
        <v/>
      </c>
      <c r="AD1014">
        <f>IF(ISNUMBER(V1014),V1014*($AB$1/V$2635),"")</f>
        <v/>
      </c>
      <c r="AE1014">
        <f>IF(ISNUMBER(Z1014),Z1014*($AB$1/Z$2635),"")</f>
        <v/>
      </c>
      <c r="AF1014" s="25">
        <f>IF(ISNUMBER(AD1014+AE1014),AD1014+AE1014,"")</f>
        <v/>
      </c>
      <c r="AH1014" s="1">
        <f>A1014</f>
        <v/>
      </c>
      <c r="AI1014">
        <f>IF(ISNUMBER((1+V1014)*AI1013),(1+V1014)*AI1013,AI1013)</f>
        <v/>
      </c>
      <c r="AJ1014">
        <f>IF(ISNUMBER((1+Z1014)*AJ1013),(1+Z1014)*AJ1013,AJ1013)</f>
        <v/>
      </c>
    </row>
    <row r="1015">
      <c r="A1015" s="1" t="n">
        <v>43475</v>
      </c>
      <c r="B1015" s="3">
        <f>IF(ORIG!B1015=0,"",ORIG!B1015)</f>
        <v/>
      </c>
      <c r="C1015" s="3">
        <f>IF(ORIG!C1015=0,"",ORIG!C1015)</f>
        <v/>
      </c>
      <c r="D1015" s="3">
        <f>IF(ORIG!D1015=0,"",ORIG!D1015)</f>
        <v/>
      </c>
      <c r="E1015" s="3">
        <f>IF(ORIG!E1015=0,"",ORIG!E1015)</f>
        <v/>
      </c>
      <c r="F1015" s="3">
        <f>IF(ORIG!F1015=0,"",ORIG!F1015)</f>
        <v/>
      </c>
      <c r="G1015" s="3">
        <f>IF(ORIG!G1015=0,"",ORIG!G1015)</f>
        <v/>
      </c>
      <c r="H1015" s="3">
        <f>IF(ORIG!H1015=0,"",ORIG!H1015)</f>
        <v/>
      </c>
      <c r="I1015" s="3">
        <f>IF(ORIG!I1015=0,"",ORIG!I1015)</f>
        <v/>
      </c>
      <c r="J1015" s="3">
        <f>IF(ORIG!J1015=0,"",ORIG!J1015)</f>
        <v/>
      </c>
      <c r="K1015" s="3">
        <f>IF(ORIG!K1015=0,"",ORIG!K1015)</f>
        <v/>
      </c>
      <c r="L1015" s="3">
        <f>IF(ORIG!L1015=0,"",ORIG!L1015)</f>
        <v/>
      </c>
      <c r="M1015" s="3">
        <f>IF(ORIG!M1015=0,"",ORIG!M1015)</f>
        <v/>
      </c>
      <c r="N1015" s="3">
        <f>IF(ORIG!N1015=0,"",ORIG!N1015)</f>
        <v/>
      </c>
      <c r="O1015" s="3">
        <f>IF(ORIG!O1015=0,"",ORIG!O1015)</f>
        <v/>
      </c>
      <c r="P1015" s="3">
        <f>IF(ORIG!P1015=0,"",ORIG!P1015)</f>
        <v/>
      </c>
      <c r="Q1015" s="3">
        <f>IF(ORIG!Q1015=0,"",ORIG!Q1015)</f>
        <v/>
      </c>
      <c r="R1015" s="3">
        <f>IF(ORIG!R1015=0,"",ORIG!R1015)</f>
        <v/>
      </c>
      <c r="S1015" s="3">
        <f>IF(ORIG!S1015=0,"",ORIG!S1015)</f>
        <v/>
      </c>
      <c r="T1015" s="3">
        <f>IF(ORIG!T1015=0,"",ORIG!T1015)</f>
        <v/>
      </c>
      <c r="U1015" s="3">
        <f>IF(ORIG!U1015=0,"",ORIG!U1015)</f>
        <v/>
      </c>
      <c r="V1015" s="9">
        <f>IF(ORIG!V1015=0,"",ORIG!V1015)</f>
        <v/>
      </c>
      <c r="W1015" s="9">
        <f>IF(ORIG!W1015=0,"",ORIG!W1015)</f>
        <v/>
      </c>
      <c r="X1015" s="9">
        <f>IF(ORIG!X1015=0,"",ORIG!X1015)</f>
        <v/>
      </c>
      <c r="Y1015" s="9">
        <f>IF(ORIG!Y1015=0,"",ORIG!Y1015)</f>
        <v/>
      </c>
      <c r="Z1015" s="3">
        <f>SUMPRODUCT($B1015:$Y1015,$B$2649:$Y$2649)</f>
        <v/>
      </c>
      <c r="AA1015" s="3">
        <f>SUMPRODUCT($B1015:$Y1015,$B$2655:$Y$2655)</f>
        <v/>
      </c>
      <c r="AC1015" s="1">
        <f>A1015</f>
        <v/>
      </c>
      <c r="AD1015">
        <f>IF(ISNUMBER(V1015),V1015*($AB$1/V$2635),"")</f>
        <v/>
      </c>
      <c r="AE1015">
        <f>IF(ISNUMBER(Z1015),Z1015*($AB$1/Z$2635),"")</f>
        <v/>
      </c>
      <c r="AF1015" s="25">
        <f>IF(ISNUMBER(AD1015+AE1015),AD1015+AE1015,"")</f>
        <v/>
      </c>
      <c r="AH1015" s="1">
        <f>A1015</f>
        <v/>
      </c>
      <c r="AI1015">
        <f>IF(ISNUMBER((1+V1015)*AI1014),(1+V1015)*AI1014,AI1014)</f>
        <v/>
      </c>
      <c r="AJ1015">
        <f>IF(ISNUMBER((1+Z1015)*AJ1014),(1+Z1015)*AJ1014,AJ1014)</f>
        <v/>
      </c>
    </row>
    <row r="1016">
      <c r="A1016" s="1" t="n">
        <v>43476</v>
      </c>
      <c r="B1016" s="3">
        <f>IF(ORIG!B1016=0,"",ORIG!B1016)</f>
        <v/>
      </c>
      <c r="C1016" s="3">
        <f>IF(ORIG!C1016=0,"",ORIG!C1016)</f>
        <v/>
      </c>
      <c r="D1016" s="3">
        <f>IF(ORIG!D1016=0,"",ORIG!D1016)</f>
        <v/>
      </c>
      <c r="E1016" s="3">
        <f>IF(ORIG!E1016=0,"",ORIG!E1016)</f>
        <v/>
      </c>
      <c r="F1016" s="3">
        <f>IF(ORIG!F1016=0,"",ORIG!F1016)</f>
        <v/>
      </c>
      <c r="G1016" s="3">
        <f>IF(ORIG!G1016=0,"",ORIG!G1016)</f>
        <v/>
      </c>
      <c r="H1016" s="3">
        <f>IF(ORIG!H1016=0,"",ORIG!H1016)</f>
        <v/>
      </c>
      <c r="I1016" s="3">
        <f>IF(ORIG!I1016=0,"",ORIG!I1016)</f>
        <v/>
      </c>
      <c r="J1016" s="3">
        <f>IF(ORIG!J1016=0,"",ORIG!J1016)</f>
        <v/>
      </c>
      <c r="K1016" s="3">
        <f>IF(ORIG!K1016=0,"",ORIG!K1016)</f>
        <v/>
      </c>
      <c r="L1016" s="3">
        <f>IF(ORIG!L1016=0,"",ORIG!L1016)</f>
        <v/>
      </c>
      <c r="M1016" s="3">
        <f>IF(ORIG!M1016=0,"",ORIG!M1016)</f>
        <v/>
      </c>
      <c r="N1016" s="3">
        <f>IF(ORIG!N1016=0,"",ORIG!N1016)</f>
        <v/>
      </c>
      <c r="O1016" s="3">
        <f>IF(ORIG!O1016=0,"",ORIG!O1016)</f>
        <v/>
      </c>
      <c r="P1016" s="3">
        <f>IF(ORIG!P1016=0,"",ORIG!P1016)</f>
        <v/>
      </c>
      <c r="Q1016" s="3">
        <f>IF(ORIG!Q1016=0,"",ORIG!Q1016)</f>
        <v/>
      </c>
      <c r="R1016" s="3">
        <f>IF(ORIG!R1016=0,"",ORIG!R1016)</f>
        <v/>
      </c>
      <c r="S1016" s="3">
        <f>IF(ORIG!S1016=0,"",ORIG!S1016)</f>
        <v/>
      </c>
      <c r="T1016" s="3">
        <f>IF(ORIG!T1016=0,"",ORIG!T1016)</f>
        <v/>
      </c>
      <c r="U1016" s="3">
        <f>IF(ORIG!U1016=0,"",ORIG!U1016)</f>
        <v/>
      </c>
      <c r="V1016" s="9">
        <f>IF(ORIG!V1016=0,"",ORIG!V1016)</f>
        <v/>
      </c>
      <c r="W1016" s="9">
        <f>IF(ORIG!W1016=0,"",ORIG!W1016)</f>
        <v/>
      </c>
      <c r="X1016" s="9">
        <f>IF(ORIG!X1016=0,"",ORIG!X1016)</f>
        <v/>
      </c>
      <c r="Y1016" s="9">
        <f>IF(ORIG!Y1016=0,"",ORIG!Y1016)</f>
        <v/>
      </c>
      <c r="Z1016" s="3">
        <f>SUMPRODUCT($B1016:$Y1016,$B$2649:$Y$2649)</f>
        <v/>
      </c>
      <c r="AA1016" s="3">
        <f>SUMPRODUCT($B1016:$Y1016,$B$2655:$Y$2655)</f>
        <v/>
      </c>
      <c r="AC1016" s="1">
        <f>A1016</f>
        <v/>
      </c>
      <c r="AD1016">
        <f>IF(ISNUMBER(V1016),V1016*($AB$1/V$2635),"")</f>
        <v/>
      </c>
      <c r="AE1016">
        <f>IF(ISNUMBER(Z1016),Z1016*($AB$1/Z$2635),"")</f>
        <v/>
      </c>
      <c r="AF1016" s="25">
        <f>IF(ISNUMBER(AD1016+AE1016),AD1016+AE1016,"")</f>
        <v/>
      </c>
      <c r="AH1016" s="1">
        <f>A1016</f>
        <v/>
      </c>
      <c r="AI1016">
        <f>IF(ISNUMBER((1+V1016)*AI1015),(1+V1016)*AI1015,AI1015)</f>
        <v/>
      </c>
      <c r="AJ1016">
        <f>IF(ISNUMBER((1+Z1016)*AJ1015),(1+Z1016)*AJ1015,AJ1015)</f>
        <v/>
      </c>
    </row>
    <row r="1017">
      <c r="A1017" s="1" t="n">
        <v>43479</v>
      </c>
      <c r="B1017" s="3">
        <f>IF(ORIG!B1017=0,"",ORIG!B1017)</f>
        <v/>
      </c>
      <c r="C1017" s="3">
        <f>IF(ORIG!C1017=0,"",ORIG!C1017)</f>
        <v/>
      </c>
      <c r="D1017" s="3">
        <f>IF(ORIG!D1017=0,"",ORIG!D1017)</f>
        <v/>
      </c>
      <c r="E1017" s="3">
        <f>IF(ORIG!E1017=0,"",ORIG!E1017)</f>
        <v/>
      </c>
      <c r="F1017" s="3">
        <f>IF(ORIG!F1017=0,"",ORIG!F1017)</f>
        <v/>
      </c>
      <c r="G1017" s="3">
        <f>IF(ORIG!G1017=0,"",ORIG!G1017)</f>
        <v/>
      </c>
      <c r="H1017" s="3">
        <f>IF(ORIG!H1017=0,"",ORIG!H1017)</f>
        <v/>
      </c>
      <c r="I1017" s="3">
        <f>IF(ORIG!I1017=0,"",ORIG!I1017)</f>
        <v/>
      </c>
      <c r="J1017" s="3">
        <f>IF(ORIG!J1017=0,"",ORIG!J1017)</f>
        <v/>
      </c>
      <c r="K1017" s="3">
        <f>IF(ORIG!K1017=0,"",ORIG!K1017)</f>
        <v/>
      </c>
      <c r="L1017" s="3">
        <f>IF(ORIG!L1017=0,"",ORIG!L1017)</f>
        <v/>
      </c>
      <c r="M1017" s="3">
        <f>IF(ORIG!M1017=0,"",ORIG!M1017)</f>
        <v/>
      </c>
      <c r="N1017" s="3">
        <f>IF(ORIG!N1017=0,"",ORIG!N1017)</f>
        <v/>
      </c>
      <c r="O1017" s="3">
        <f>IF(ORIG!O1017=0,"",ORIG!O1017)</f>
        <v/>
      </c>
      <c r="P1017" s="3">
        <f>IF(ORIG!P1017=0,"",ORIG!P1017)</f>
        <v/>
      </c>
      <c r="Q1017" s="3">
        <f>IF(ORIG!Q1017=0,"",ORIG!Q1017)</f>
        <v/>
      </c>
      <c r="R1017" s="3">
        <f>IF(ORIG!R1017=0,"",ORIG!R1017)</f>
        <v/>
      </c>
      <c r="S1017" s="3">
        <f>IF(ORIG!S1017=0,"",ORIG!S1017)</f>
        <v/>
      </c>
      <c r="T1017" s="3">
        <f>IF(ORIG!T1017=0,"",ORIG!T1017)</f>
        <v/>
      </c>
      <c r="U1017" s="3">
        <f>IF(ORIG!U1017=0,"",ORIG!U1017)</f>
        <v/>
      </c>
      <c r="V1017" s="9">
        <f>IF(ORIG!V1017=0,"",ORIG!V1017)</f>
        <v/>
      </c>
      <c r="W1017" s="9">
        <f>IF(ORIG!W1017=0,"",ORIG!W1017)</f>
        <v/>
      </c>
      <c r="X1017" s="9">
        <f>IF(ORIG!X1017=0,"",ORIG!X1017)</f>
        <v/>
      </c>
      <c r="Y1017" s="9">
        <f>IF(ORIG!Y1017=0,"",ORIG!Y1017)</f>
        <v/>
      </c>
      <c r="Z1017" s="3">
        <f>SUMPRODUCT($B1017:$Y1017,$B$2649:$Y$2649)</f>
        <v/>
      </c>
      <c r="AA1017" s="3">
        <f>SUMPRODUCT($B1017:$Y1017,$B$2655:$Y$2655)</f>
        <v/>
      </c>
      <c r="AC1017" s="1">
        <f>A1017</f>
        <v/>
      </c>
      <c r="AD1017">
        <f>IF(ISNUMBER(V1017),V1017*($AB$1/V$2635),"")</f>
        <v/>
      </c>
      <c r="AE1017">
        <f>IF(ISNUMBER(Z1017),Z1017*($AB$1/Z$2635),"")</f>
        <v/>
      </c>
      <c r="AF1017" s="25">
        <f>IF(ISNUMBER(AD1017+AE1017),AD1017+AE1017,"")</f>
        <v/>
      </c>
      <c r="AH1017" s="1">
        <f>A1017</f>
        <v/>
      </c>
      <c r="AI1017">
        <f>IF(ISNUMBER((1+V1017)*AI1016),(1+V1017)*AI1016,AI1016)</f>
        <v/>
      </c>
      <c r="AJ1017">
        <f>IF(ISNUMBER((1+Z1017)*AJ1016),(1+Z1017)*AJ1016,AJ1016)</f>
        <v/>
      </c>
    </row>
    <row r="1018">
      <c r="A1018" s="1" t="n">
        <v>43480</v>
      </c>
      <c r="B1018" s="3">
        <f>IF(ORIG!B1018=0,"",ORIG!B1018)</f>
        <v/>
      </c>
      <c r="C1018" s="3">
        <f>IF(ORIG!C1018=0,"",ORIG!C1018)</f>
        <v/>
      </c>
      <c r="D1018" s="3">
        <f>IF(ORIG!D1018=0,"",ORIG!D1018)</f>
        <v/>
      </c>
      <c r="E1018" s="3">
        <f>IF(ORIG!E1018=0,"",ORIG!E1018)</f>
        <v/>
      </c>
      <c r="F1018" s="3">
        <f>IF(ORIG!F1018=0,"",ORIG!F1018)</f>
        <v/>
      </c>
      <c r="G1018" s="3">
        <f>IF(ORIG!G1018=0,"",ORIG!G1018)</f>
        <v/>
      </c>
      <c r="H1018" s="3">
        <f>IF(ORIG!H1018=0,"",ORIG!H1018)</f>
        <v/>
      </c>
      <c r="I1018" s="3">
        <f>IF(ORIG!I1018=0,"",ORIG!I1018)</f>
        <v/>
      </c>
      <c r="J1018" s="3">
        <f>IF(ORIG!J1018=0,"",ORIG!J1018)</f>
        <v/>
      </c>
      <c r="K1018" s="3">
        <f>IF(ORIG!K1018=0,"",ORIG!K1018)</f>
        <v/>
      </c>
      <c r="L1018" s="3">
        <f>IF(ORIG!L1018=0,"",ORIG!L1018)</f>
        <v/>
      </c>
      <c r="M1018" s="3">
        <f>IF(ORIG!M1018=0,"",ORIG!M1018)</f>
        <v/>
      </c>
      <c r="N1018" s="3">
        <f>IF(ORIG!N1018=0,"",ORIG!N1018)</f>
        <v/>
      </c>
      <c r="O1018" s="3">
        <f>IF(ORIG!O1018=0,"",ORIG!O1018)</f>
        <v/>
      </c>
      <c r="P1018" s="3">
        <f>IF(ORIG!P1018=0,"",ORIG!P1018)</f>
        <v/>
      </c>
      <c r="Q1018" s="3">
        <f>IF(ORIG!Q1018=0,"",ORIG!Q1018)</f>
        <v/>
      </c>
      <c r="R1018" s="3">
        <f>IF(ORIG!R1018=0,"",ORIG!R1018)</f>
        <v/>
      </c>
      <c r="S1018" s="3">
        <f>IF(ORIG!S1018=0,"",ORIG!S1018)</f>
        <v/>
      </c>
      <c r="T1018" s="3">
        <f>IF(ORIG!T1018=0,"",ORIG!T1018)</f>
        <v/>
      </c>
      <c r="U1018" s="3">
        <f>IF(ORIG!U1018=0,"",ORIG!U1018)</f>
        <v/>
      </c>
      <c r="V1018" s="9">
        <f>IF(ORIG!V1018=0,"",ORIG!V1018)</f>
        <v/>
      </c>
      <c r="W1018" s="9">
        <f>IF(ORIG!W1018=0,"",ORIG!W1018)</f>
        <v/>
      </c>
      <c r="X1018" s="9">
        <f>IF(ORIG!X1018=0,"",ORIG!X1018)</f>
        <v/>
      </c>
      <c r="Y1018" s="9">
        <f>IF(ORIG!Y1018=0,"",ORIG!Y1018)</f>
        <v/>
      </c>
      <c r="Z1018" s="3">
        <f>SUMPRODUCT($B1018:$Y1018,$B$2649:$Y$2649)</f>
        <v/>
      </c>
      <c r="AA1018" s="3">
        <f>SUMPRODUCT($B1018:$Y1018,$B$2655:$Y$2655)</f>
        <v/>
      </c>
      <c r="AC1018" s="1">
        <f>A1018</f>
        <v/>
      </c>
      <c r="AD1018">
        <f>IF(ISNUMBER(V1018),V1018*($AB$1/V$2635),"")</f>
        <v/>
      </c>
      <c r="AE1018">
        <f>IF(ISNUMBER(Z1018),Z1018*($AB$1/Z$2635),"")</f>
        <v/>
      </c>
      <c r="AF1018" s="25">
        <f>IF(ISNUMBER(AD1018+AE1018),AD1018+AE1018,"")</f>
        <v/>
      </c>
      <c r="AH1018" s="1">
        <f>A1018</f>
        <v/>
      </c>
      <c r="AI1018">
        <f>IF(ISNUMBER((1+V1018)*AI1017),(1+V1018)*AI1017,AI1017)</f>
        <v/>
      </c>
      <c r="AJ1018">
        <f>IF(ISNUMBER((1+Z1018)*AJ1017),(1+Z1018)*AJ1017,AJ1017)</f>
        <v/>
      </c>
    </row>
    <row r="1019">
      <c r="A1019" s="1" t="n">
        <v>43481</v>
      </c>
      <c r="B1019" s="3">
        <f>IF(ORIG!B1019=0,"",ORIG!B1019)</f>
        <v/>
      </c>
      <c r="C1019" s="3">
        <f>IF(ORIG!C1019=0,"",ORIG!C1019)</f>
        <v/>
      </c>
      <c r="D1019" s="3">
        <f>IF(ORIG!D1019=0,"",ORIG!D1019)</f>
        <v/>
      </c>
      <c r="E1019" s="3">
        <f>IF(ORIG!E1019=0,"",ORIG!E1019)</f>
        <v/>
      </c>
      <c r="F1019" s="3">
        <f>IF(ORIG!F1019=0,"",ORIG!F1019)</f>
        <v/>
      </c>
      <c r="G1019" s="3">
        <f>IF(ORIG!G1019=0,"",ORIG!G1019)</f>
        <v/>
      </c>
      <c r="H1019" s="3">
        <f>IF(ORIG!H1019=0,"",ORIG!H1019)</f>
        <v/>
      </c>
      <c r="I1019" s="3">
        <f>IF(ORIG!I1019=0,"",ORIG!I1019)</f>
        <v/>
      </c>
      <c r="J1019" s="3">
        <f>IF(ORIG!J1019=0,"",ORIG!J1019)</f>
        <v/>
      </c>
      <c r="K1019" s="3">
        <f>IF(ORIG!K1019=0,"",ORIG!K1019)</f>
        <v/>
      </c>
      <c r="L1019" s="3">
        <f>IF(ORIG!L1019=0,"",ORIG!L1019)</f>
        <v/>
      </c>
      <c r="M1019" s="3">
        <f>IF(ORIG!M1019=0,"",ORIG!M1019)</f>
        <v/>
      </c>
      <c r="N1019" s="3">
        <f>IF(ORIG!N1019=0,"",ORIG!N1019)</f>
        <v/>
      </c>
      <c r="O1019" s="3">
        <f>IF(ORIG!O1019=0,"",ORIG!O1019)</f>
        <v/>
      </c>
      <c r="P1019" s="3">
        <f>IF(ORIG!P1019=0,"",ORIG!P1019)</f>
        <v/>
      </c>
      <c r="Q1019" s="3">
        <f>IF(ORIG!Q1019=0,"",ORIG!Q1019)</f>
        <v/>
      </c>
      <c r="R1019" s="3">
        <f>IF(ORIG!R1019=0,"",ORIG!R1019)</f>
        <v/>
      </c>
      <c r="S1019" s="3">
        <f>IF(ORIG!S1019=0,"",ORIG!S1019)</f>
        <v/>
      </c>
      <c r="T1019" s="3">
        <f>IF(ORIG!T1019=0,"",ORIG!T1019)</f>
        <v/>
      </c>
      <c r="U1019" s="3">
        <f>IF(ORIG!U1019=0,"",ORIG!U1019)</f>
        <v/>
      </c>
      <c r="V1019" s="9">
        <f>IF(ORIG!V1019=0,"",ORIG!V1019)</f>
        <v/>
      </c>
      <c r="W1019" s="9">
        <f>IF(ORIG!W1019=0,"",ORIG!W1019)</f>
        <v/>
      </c>
      <c r="X1019" s="9">
        <f>IF(ORIG!X1019=0,"",ORIG!X1019)</f>
        <v/>
      </c>
      <c r="Y1019" s="9">
        <f>IF(ORIG!Y1019=0,"",ORIG!Y1019)</f>
        <v/>
      </c>
      <c r="Z1019" s="3">
        <f>SUMPRODUCT($B1019:$Y1019,$B$2649:$Y$2649)</f>
        <v/>
      </c>
      <c r="AA1019" s="3">
        <f>SUMPRODUCT($B1019:$Y1019,$B$2655:$Y$2655)</f>
        <v/>
      </c>
      <c r="AC1019" s="1">
        <f>A1019</f>
        <v/>
      </c>
      <c r="AD1019">
        <f>IF(ISNUMBER(V1019),V1019*($AB$1/V$2635),"")</f>
        <v/>
      </c>
      <c r="AE1019">
        <f>IF(ISNUMBER(Z1019),Z1019*($AB$1/Z$2635),"")</f>
        <v/>
      </c>
      <c r="AF1019" s="25">
        <f>IF(ISNUMBER(AD1019+AE1019),AD1019+AE1019,"")</f>
        <v/>
      </c>
      <c r="AH1019" s="1">
        <f>A1019</f>
        <v/>
      </c>
      <c r="AI1019">
        <f>IF(ISNUMBER((1+V1019)*AI1018),(1+V1019)*AI1018,AI1018)</f>
        <v/>
      </c>
      <c r="AJ1019">
        <f>IF(ISNUMBER((1+Z1019)*AJ1018),(1+Z1019)*AJ1018,AJ1018)</f>
        <v/>
      </c>
    </row>
    <row r="1020">
      <c r="A1020" s="1" t="n">
        <v>43482</v>
      </c>
      <c r="B1020" s="3">
        <f>IF(ORIG!B1020=0,"",ORIG!B1020)</f>
        <v/>
      </c>
      <c r="C1020" s="3">
        <f>IF(ORIG!C1020=0,"",ORIG!C1020)</f>
        <v/>
      </c>
      <c r="D1020" s="3">
        <f>IF(ORIG!D1020=0,"",ORIG!D1020)</f>
        <v/>
      </c>
      <c r="E1020" s="3">
        <f>IF(ORIG!E1020=0,"",ORIG!E1020)</f>
        <v/>
      </c>
      <c r="F1020" s="3">
        <f>IF(ORIG!F1020=0,"",ORIG!F1020)</f>
        <v/>
      </c>
      <c r="G1020" s="3">
        <f>IF(ORIG!G1020=0,"",ORIG!G1020)</f>
        <v/>
      </c>
      <c r="H1020" s="3">
        <f>IF(ORIG!H1020=0,"",ORIG!H1020)</f>
        <v/>
      </c>
      <c r="I1020" s="3">
        <f>IF(ORIG!I1020=0,"",ORIG!I1020)</f>
        <v/>
      </c>
      <c r="J1020" s="3">
        <f>IF(ORIG!J1020=0,"",ORIG!J1020)</f>
        <v/>
      </c>
      <c r="K1020" s="3">
        <f>IF(ORIG!K1020=0,"",ORIG!K1020)</f>
        <v/>
      </c>
      <c r="L1020" s="3">
        <f>IF(ORIG!L1020=0,"",ORIG!L1020)</f>
        <v/>
      </c>
      <c r="M1020" s="3">
        <f>IF(ORIG!M1020=0,"",ORIG!M1020)</f>
        <v/>
      </c>
      <c r="N1020" s="3">
        <f>IF(ORIG!N1020=0,"",ORIG!N1020)</f>
        <v/>
      </c>
      <c r="O1020" s="3">
        <f>IF(ORIG!O1020=0,"",ORIG!O1020)</f>
        <v/>
      </c>
      <c r="P1020" s="3">
        <f>IF(ORIG!P1020=0,"",ORIG!P1020)</f>
        <v/>
      </c>
      <c r="Q1020" s="3">
        <f>IF(ORIG!Q1020=0,"",ORIG!Q1020)</f>
        <v/>
      </c>
      <c r="R1020" s="3">
        <f>IF(ORIG!R1020=0,"",ORIG!R1020)</f>
        <v/>
      </c>
      <c r="S1020" s="3">
        <f>IF(ORIG!S1020=0,"",ORIG!S1020)</f>
        <v/>
      </c>
      <c r="T1020" s="3">
        <f>IF(ORIG!T1020=0,"",ORIG!T1020)</f>
        <v/>
      </c>
      <c r="U1020" s="3">
        <f>IF(ORIG!U1020=0,"",ORIG!U1020)</f>
        <v/>
      </c>
      <c r="V1020" s="9">
        <f>IF(ORIG!V1020=0,"",ORIG!V1020)</f>
        <v/>
      </c>
      <c r="W1020" s="9">
        <f>IF(ORIG!W1020=0,"",ORIG!W1020)</f>
        <v/>
      </c>
      <c r="X1020" s="9">
        <f>IF(ORIG!X1020=0,"",ORIG!X1020)</f>
        <v/>
      </c>
      <c r="Y1020" s="9">
        <f>IF(ORIG!Y1020=0,"",ORIG!Y1020)</f>
        <v/>
      </c>
      <c r="Z1020" s="3">
        <f>SUMPRODUCT($B1020:$Y1020,$B$2649:$Y$2649)</f>
        <v/>
      </c>
      <c r="AA1020" s="3">
        <f>SUMPRODUCT($B1020:$Y1020,$B$2655:$Y$2655)</f>
        <v/>
      </c>
      <c r="AC1020" s="1">
        <f>A1020</f>
        <v/>
      </c>
      <c r="AD1020">
        <f>IF(ISNUMBER(V1020),V1020*($AB$1/V$2635),"")</f>
        <v/>
      </c>
      <c r="AE1020">
        <f>IF(ISNUMBER(Z1020),Z1020*($AB$1/Z$2635),"")</f>
        <v/>
      </c>
      <c r="AF1020" s="25">
        <f>IF(ISNUMBER(AD1020+AE1020),AD1020+AE1020,"")</f>
        <v/>
      </c>
      <c r="AH1020" s="1">
        <f>A1020</f>
        <v/>
      </c>
      <c r="AI1020">
        <f>IF(ISNUMBER((1+V1020)*AI1019),(1+V1020)*AI1019,AI1019)</f>
        <v/>
      </c>
      <c r="AJ1020">
        <f>IF(ISNUMBER((1+Z1020)*AJ1019),(1+Z1020)*AJ1019,AJ1019)</f>
        <v/>
      </c>
    </row>
    <row r="1021">
      <c r="A1021" s="1" t="n">
        <v>43483</v>
      </c>
      <c r="B1021" s="3">
        <f>IF(ORIG!B1021=0,"",ORIG!B1021)</f>
        <v/>
      </c>
      <c r="C1021" s="3">
        <f>IF(ORIG!C1021=0,"",ORIG!C1021)</f>
        <v/>
      </c>
      <c r="D1021" s="3">
        <f>IF(ORIG!D1021=0,"",ORIG!D1021)</f>
        <v/>
      </c>
      <c r="E1021" s="3">
        <f>IF(ORIG!E1021=0,"",ORIG!E1021)</f>
        <v/>
      </c>
      <c r="F1021" s="3">
        <f>IF(ORIG!F1021=0,"",ORIG!F1021)</f>
        <v/>
      </c>
      <c r="G1021" s="3">
        <f>IF(ORIG!G1021=0,"",ORIG!G1021)</f>
        <v/>
      </c>
      <c r="H1021" s="3">
        <f>IF(ORIG!H1021=0,"",ORIG!H1021)</f>
        <v/>
      </c>
      <c r="I1021" s="3">
        <f>IF(ORIG!I1021=0,"",ORIG!I1021)</f>
        <v/>
      </c>
      <c r="J1021" s="3">
        <f>IF(ORIG!J1021=0,"",ORIG!J1021)</f>
        <v/>
      </c>
      <c r="K1021" s="3">
        <f>IF(ORIG!K1021=0,"",ORIG!K1021)</f>
        <v/>
      </c>
      <c r="L1021" s="3">
        <f>IF(ORIG!L1021=0,"",ORIG!L1021)</f>
        <v/>
      </c>
      <c r="M1021" s="3">
        <f>IF(ORIG!M1021=0,"",ORIG!M1021)</f>
        <v/>
      </c>
      <c r="N1021" s="3">
        <f>IF(ORIG!N1021=0,"",ORIG!N1021)</f>
        <v/>
      </c>
      <c r="O1021" s="3">
        <f>IF(ORIG!O1021=0,"",ORIG!O1021)</f>
        <v/>
      </c>
      <c r="P1021" s="3">
        <f>IF(ORIG!P1021=0,"",ORIG!P1021)</f>
        <v/>
      </c>
      <c r="Q1021" s="3">
        <f>IF(ORIG!Q1021=0,"",ORIG!Q1021)</f>
        <v/>
      </c>
      <c r="R1021" s="3">
        <f>IF(ORIG!R1021=0,"",ORIG!R1021)</f>
        <v/>
      </c>
      <c r="S1021" s="3">
        <f>IF(ORIG!S1021=0,"",ORIG!S1021)</f>
        <v/>
      </c>
      <c r="T1021" s="3">
        <f>IF(ORIG!T1021=0,"",ORIG!T1021)</f>
        <v/>
      </c>
      <c r="U1021" s="3">
        <f>IF(ORIG!U1021=0,"",ORIG!U1021)</f>
        <v/>
      </c>
      <c r="V1021" s="9">
        <f>IF(ORIG!V1021=0,"",ORIG!V1021)</f>
        <v/>
      </c>
      <c r="W1021" s="9">
        <f>IF(ORIG!W1021=0,"",ORIG!W1021)</f>
        <v/>
      </c>
      <c r="X1021" s="9">
        <f>IF(ORIG!X1021=0,"",ORIG!X1021)</f>
        <v/>
      </c>
      <c r="Y1021" s="9">
        <f>IF(ORIG!Y1021=0,"",ORIG!Y1021)</f>
        <v/>
      </c>
      <c r="Z1021" s="3">
        <f>SUMPRODUCT($B1021:$Y1021,$B$2649:$Y$2649)</f>
        <v/>
      </c>
      <c r="AA1021" s="3">
        <f>SUMPRODUCT($B1021:$Y1021,$B$2655:$Y$2655)</f>
        <v/>
      </c>
      <c r="AC1021" s="1">
        <f>A1021</f>
        <v/>
      </c>
      <c r="AD1021">
        <f>IF(ISNUMBER(V1021),V1021*($AB$1/V$2635),"")</f>
        <v/>
      </c>
      <c r="AE1021">
        <f>IF(ISNUMBER(Z1021),Z1021*($AB$1/Z$2635),"")</f>
        <v/>
      </c>
      <c r="AF1021" s="25">
        <f>IF(ISNUMBER(AD1021+AE1021),AD1021+AE1021,"")</f>
        <v/>
      </c>
      <c r="AH1021" s="1">
        <f>A1021</f>
        <v/>
      </c>
      <c r="AI1021">
        <f>IF(ISNUMBER((1+V1021)*AI1020),(1+V1021)*AI1020,AI1020)</f>
        <v/>
      </c>
      <c r="AJ1021">
        <f>IF(ISNUMBER((1+Z1021)*AJ1020),(1+Z1021)*AJ1020,AJ1020)</f>
        <v/>
      </c>
    </row>
    <row r="1022">
      <c r="A1022" s="1" t="n">
        <v>43487</v>
      </c>
      <c r="B1022" s="3">
        <f>IF(ORIG!B1022=0,"",ORIG!B1022)</f>
        <v/>
      </c>
      <c r="C1022" s="3">
        <f>IF(ORIG!C1022=0,"",ORIG!C1022)</f>
        <v/>
      </c>
      <c r="D1022" s="3">
        <f>IF(ORIG!D1022=0,"",ORIG!D1022)</f>
        <v/>
      </c>
      <c r="E1022" s="3">
        <f>IF(ORIG!E1022=0,"",ORIG!E1022)</f>
        <v/>
      </c>
      <c r="F1022" s="3">
        <f>IF(ORIG!F1022=0,"",ORIG!F1022)</f>
        <v/>
      </c>
      <c r="G1022" s="3">
        <f>IF(ORIG!G1022=0,"",ORIG!G1022)</f>
        <v/>
      </c>
      <c r="H1022" s="3">
        <f>IF(ORIG!H1022=0,"",ORIG!H1022)</f>
        <v/>
      </c>
      <c r="I1022" s="3">
        <f>IF(ORIG!I1022=0,"",ORIG!I1022)</f>
        <v/>
      </c>
      <c r="J1022" s="3">
        <f>IF(ORIG!J1022=0,"",ORIG!J1022)</f>
        <v/>
      </c>
      <c r="K1022" s="3">
        <f>IF(ORIG!K1022=0,"",ORIG!K1022)</f>
        <v/>
      </c>
      <c r="L1022" s="3">
        <f>IF(ORIG!L1022=0,"",ORIG!L1022)</f>
        <v/>
      </c>
      <c r="M1022" s="3">
        <f>IF(ORIG!M1022=0,"",ORIG!M1022)</f>
        <v/>
      </c>
      <c r="N1022" s="3">
        <f>IF(ORIG!N1022=0,"",ORIG!N1022)</f>
        <v/>
      </c>
      <c r="O1022" s="3">
        <f>IF(ORIG!O1022=0,"",ORIG!O1022)</f>
        <v/>
      </c>
      <c r="P1022" s="3">
        <f>IF(ORIG!P1022=0,"",ORIG!P1022)</f>
        <v/>
      </c>
      <c r="Q1022" s="3">
        <f>IF(ORIG!Q1022=0,"",ORIG!Q1022)</f>
        <v/>
      </c>
      <c r="R1022" s="3">
        <f>IF(ORIG!R1022=0,"",ORIG!R1022)</f>
        <v/>
      </c>
      <c r="S1022" s="3">
        <f>IF(ORIG!S1022=0,"",ORIG!S1022)</f>
        <v/>
      </c>
      <c r="T1022" s="3">
        <f>IF(ORIG!T1022=0,"",ORIG!T1022)</f>
        <v/>
      </c>
      <c r="U1022" s="3">
        <f>IF(ORIG!U1022=0,"",ORIG!U1022)</f>
        <v/>
      </c>
      <c r="V1022" s="9">
        <f>IF(ORIG!V1022=0,"",ORIG!V1022)</f>
        <v/>
      </c>
      <c r="W1022" s="9">
        <f>IF(ORIG!W1022=0,"",ORIG!W1022)</f>
        <v/>
      </c>
      <c r="X1022" s="9">
        <f>IF(ORIG!X1022=0,"",ORIG!X1022)</f>
        <v/>
      </c>
      <c r="Y1022" s="9">
        <f>IF(ORIG!Y1022=0,"",ORIG!Y1022)</f>
        <v/>
      </c>
      <c r="Z1022" s="3">
        <f>SUMPRODUCT($B1022:$Y1022,$B$2649:$Y$2649)</f>
        <v/>
      </c>
      <c r="AA1022" s="3">
        <f>SUMPRODUCT($B1022:$Y1022,$B$2655:$Y$2655)</f>
        <v/>
      </c>
      <c r="AC1022" s="1">
        <f>A1022</f>
        <v/>
      </c>
      <c r="AD1022">
        <f>IF(ISNUMBER(V1022),V1022*($AB$1/V$2635),"")</f>
        <v/>
      </c>
      <c r="AE1022">
        <f>IF(ISNUMBER(Z1022),Z1022*($AB$1/Z$2635),"")</f>
        <v/>
      </c>
      <c r="AF1022" s="25">
        <f>IF(ISNUMBER(AD1022+AE1022),AD1022+AE1022,"")</f>
        <v/>
      </c>
      <c r="AH1022" s="1">
        <f>A1022</f>
        <v/>
      </c>
      <c r="AI1022">
        <f>IF(ISNUMBER((1+V1022)*AI1021),(1+V1022)*AI1021,AI1021)</f>
        <v/>
      </c>
      <c r="AJ1022">
        <f>IF(ISNUMBER((1+Z1022)*AJ1021),(1+Z1022)*AJ1021,AJ1021)</f>
        <v/>
      </c>
    </row>
    <row r="1023">
      <c r="A1023" s="1" t="n">
        <v>43488</v>
      </c>
      <c r="B1023" s="3">
        <f>IF(ORIG!B1023=0,"",ORIG!B1023)</f>
        <v/>
      </c>
      <c r="C1023" s="3">
        <f>IF(ORIG!C1023=0,"",ORIG!C1023)</f>
        <v/>
      </c>
      <c r="D1023" s="3">
        <f>IF(ORIG!D1023=0,"",ORIG!D1023)</f>
        <v/>
      </c>
      <c r="E1023" s="3">
        <f>IF(ORIG!E1023=0,"",ORIG!E1023)</f>
        <v/>
      </c>
      <c r="F1023" s="3">
        <f>IF(ORIG!F1023=0,"",ORIG!F1023)</f>
        <v/>
      </c>
      <c r="G1023" s="3">
        <f>IF(ORIG!G1023=0,"",ORIG!G1023)</f>
        <v/>
      </c>
      <c r="H1023" s="3">
        <f>IF(ORIG!H1023=0,"",ORIG!H1023)</f>
        <v/>
      </c>
      <c r="I1023" s="3">
        <f>IF(ORIG!I1023=0,"",ORIG!I1023)</f>
        <v/>
      </c>
      <c r="J1023" s="3">
        <f>IF(ORIG!J1023=0,"",ORIG!J1023)</f>
        <v/>
      </c>
      <c r="K1023" s="3">
        <f>IF(ORIG!K1023=0,"",ORIG!K1023)</f>
        <v/>
      </c>
      <c r="L1023" s="3">
        <f>IF(ORIG!L1023=0,"",ORIG!L1023)</f>
        <v/>
      </c>
      <c r="M1023" s="3">
        <f>IF(ORIG!M1023=0,"",ORIG!M1023)</f>
        <v/>
      </c>
      <c r="N1023" s="3">
        <f>IF(ORIG!N1023=0,"",ORIG!N1023)</f>
        <v/>
      </c>
      <c r="O1023" s="3">
        <f>IF(ORIG!O1023=0,"",ORIG!O1023)</f>
        <v/>
      </c>
      <c r="P1023" s="3">
        <f>IF(ORIG!P1023=0,"",ORIG!P1023)</f>
        <v/>
      </c>
      <c r="Q1023" s="3">
        <f>IF(ORIG!Q1023=0,"",ORIG!Q1023)</f>
        <v/>
      </c>
      <c r="R1023" s="3">
        <f>IF(ORIG!R1023=0,"",ORIG!R1023)</f>
        <v/>
      </c>
      <c r="S1023" s="3">
        <f>IF(ORIG!S1023=0,"",ORIG!S1023)</f>
        <v/>
      </c>
      <c r="T1023" s="3">
        <f>IF(ORIG!T1023=0,"",ORIG!T1023)</f>
        <v/>
      </c>
      <c r="U1023" s="3">
        <f>IF(ORIG!U1023=0,"",ORIG!U1023)</f>
        <v/>
      </c>
      <c r="V1023" s="9">
        <f>IF(ORIG!V1023=0,"",ORIG!V1023)</f>
        <v/>
      </c>
      <c r="W1023" s="9">
        <f>IF(ORIG!W1023=0,"",ORIG!W1023)</f>
        <v/>
      </c>
      <c r="X1023" s="9">
        <f>IF(ORIG!X1023=0,"",ORIG!X1023)</f>
        <v/>
      </c>
      <c r="Y1023" s="9">
        <f>IF(ORIG!Y1023=0,"",ORIG!Y1023)</f>
        <v/>
      </c>
      <c r="Z1023" s="3">
        <f>SUMPRODUCT($B1023:$Y1023,$B$2649:$Y$2649)</f>
        <v/>
      </c>
      <c r="AA1023" s="3">
        <f>SUMPRODUCT($B1023:$Y1023,$B$2655:$Y$2655)</f>
        <v/>
      </c>
      <c r="AC1023" s="1">
        <f>A1023</f>
        <v/>
      </c>
      <c r="AD1023">
        <f>IF(ISNUMBER(V1023),V1023*($AB$1/V$2635),"")</f>
        <v/>
      </c>
      <c r="AE1023">
        <f>IF(ISNUMBER(Z1023),Z1023*($AB$1/Z$2635),"")</f>
        <v/>
      </c>
      <c r="AF1023" s="25">
        <f>IF(ISNUMBER(AD1023+AE1023),AD1023+AE1023,"")</f>
        <v/>
      </c>
      <c r="AH1023" s="1">
        <f>A1023</f>
        <v/>
      </c>
      <c r="AI1023">
        <f>IF(ISNUMBER((1+V1023)*AI1022),(1+V1023)*AI1022,AI1022)</f>
        <v/>
      </c>
      <c r="AJ1023">
        <f>IF(ISNUMBER((1+Z1023)*AJ1022),(1+Z1023)*AJ1022,AJ1022)</f>
        <v/>
      </c>
    </row>
    <row r="1024">
      <c r="A1024" s="1" t="n">
        <v>43489</v>
      </c>
      <c r="B1024" s="3">
        <f>IF(ORIG!B1024=0,"",ORIG!B1024)</f>
        <v/>
      </c>
      <c r="C1024" s="3">
        <f>IF(ORIG!C1024=0,"",ORIG!C1024)</f>
        <v/>
      </c>
      <c r="D1024" s="3">
        <f>IF(ORIG!D1024=0,"",ORIG!D1024)</f>
        <v/>
      </c>
      <c r="E1024" s="3">
        <f>IF(ORIG!E1024=0,"",ORIG!E1024)</f>
        <v/>
      </c>
      <c r="F1024" s="3">
        <f>IF(ORIG!F1024=0,"",ORIG!F1024)</f>
        <v/>
      </c>
      <c r="G1024" s="3">
        <f>IF(ORIG!G1024=0,"",ORIG!G1024)</f>
        <v/>
      </c>
      <c r="H1024" s="3">
        <f>IF(ORIG!H1024=0,"",ORIG!H1024)</f>
        <v/>
      </c>
      <c r="I1024" s="3">
        <f>IF(ORIG!I1024=0,"",ORIG!I1024)</f>
        <v/>
      </c>
      <c r="J1024" s="3">
        <f>IF(ORIG!J1024=0,"",ORIG!J1024)</f>
        <v/>
      </c>
      <c r="K1024" s="3">
        <f>IF(ORIG!K1024=0,"",ORIG!K1024)</f>
        <v/>
      </c>
      <c r="L1024" s="3">
        <f>IF(ORIG!L1024=0,"",ORIG!L1024)</f>
        <v/>
      </c>
      <c r="M1024" s="3">
        <f>IF(ORIG!M1024=0,"",ORIG!M1024)</f>
        <v/>
      </c>
      <c r="N1024" s="3">
        <f>IF(ORIG!N1024=0,"",ORIG!N1024)</f>
        <v/>
      </c>
      <c r="O1024" s="3">
        <f>IF(ORIG!O1024=0,"",ORIG!O1024)</f>
        <v/>
      </c>
      <c r="P1024" s="3">
        <f>IF(ORIG!P1024=0,"",ORIG!P1024)</f>
        <v/>
      </c>
      <c r="Q1024" s="3">
        <f>IF(ORIG!Q1024=0,"",ORIG!Q1024)</f>
        <v/>
      </c>
      <c r="R1024" s="3">
        <f>IF(ORIG!R1024=0,"",ORIG!R1024)</f>
        <v/>
      </c>
      <c r="S1024" s="3">
        <f>IF(ORIG!S1024=0,"",ORIG!S1024)</f>
        <v/>
      </c>
      <c r="T1024" s="3">
        <f>IF(ORIG!T1024=0,"",ORIG!T1024)</f>
        <v/>
      </c>
      <c r="U1024" s="3">
        <f>IF(ORIG!U1024=0,"",ORIG!U1024)</f>
        <v/>
      </c>
      <c r="V1024" s="9">
        <f>IF(ORIG!V1024=0,"",ORIG!V1024)</f>
        <v/>
      </c>
      <c r="W1024" s="9">
        <f>IF(ORIG!W1024=0,"",ORIG!W1024)</f>
        <v/>
      </c>
      <c r="X1024" s="9">
        <f>IF(ORIG!X1024=0,"",ORIG!X1024)</f>
        <v/>
      </c>
      <c r="Y1024" s="9">
        <f>IF(ORIG!Y1024=0,"",ORIG!Y1024)</f>
        <v/>
      </c>
      <c r="Z1024" s="3">
        <f>SUMPRODUCT($B1024:$Y1024,$B$2649:$Y$2649)</f>
        <v/>
      </c>
      <c r="AA1024" s="3">
        <f>SUMPRODUCT($B1024:$Y1024,$B$2655:$Y$2655)</f>
        <v/>
      </c>
      <c r="AC1024" s="1">
        <f>A1024</f>
        <v/>
      </c>
      <c r="AD1024">
        <f>IF(ISNUMBER(V1024),V1024*($AB$1/V$2635),"")</f>
        <v/>
      </c>
      <c r="AE1024">
        <f>IF(ISNUMBER(Z1024),Z1024*($AB$1/Z$2635),"")</f>
        <v/>
      </c>
      <c r="AF1024" s="25">
        <f>IF(ISNUMBER(AD1024+AE1024),AD1024+AE1024,"")</f>
        <v/>
      </c>
      <c r="AH1024" s="1">
        <f>A1024</f>
        <v/>
      </c>
      <c r="AI1024">
        <f>IF(ISNUMBER((1+V1024)*AI1023),(1+V1024)*AI1023,AI1023)</f>
        <v/>
      </c>
      <c r="AJ1024">
        <f>IF(ISNUMBER((1+Z1024)*AJ1023),(1+Z1024)*AJ1023,AJ1023)</f>
        <v/>
      </c>
    </row>
    <row r="1025">
      <c r="A1025" s="1" t="n">
        <v>43490</v>
      </c>
      <c r="B1025" s="3">
        <f>IF(ORIG!B1025=0,"",ORIG!B1025)</f>
        <v/>
      </c>
      <c r="C1025" s="3">
        <f>IF(ORIG!C1025=0,"",ORIG!C1025)</f>
        <v/>
      </c>
      <c r="D1025" s="3">
        <f>IF(ORIG!D1025=0,"",ORIG!D1025)</f>
        <v/>
      </c>
      <c r="E1025" s="3">
        <f>IF(ORIG!E1025=0,"",ORIG!E1025)</f>
        <v/>
      </c>
      <c r="F1025" s="3">
        <f>IF(ORIG!F1025=0,"",ORIG!F1025)</f>
        <v/>
      </c>
      <c r="G1025" s="3">
        <f>IF(ORIG!G1025=0,"",ORIG!G1025)</f>
        <v/>
      </c>
      <c r="H1025" s="3">
        <f>IF(ORIG!H1025=0,"",ORIG!H1025)</f>
        <v/>
      </c>
      <c r="I1025" s="3">
        <f>IF(ORIG!I1025=0,"",ORIG!I1025)</f>
        <v/>
      </c>
      <c r="J1025" s="3">
        <f>IF(ORIG!J1025=0,"",ORIG!J1025)</f>
        <v/>
      </c>
      <c r="K1025" s="3">
        <f>IF(ORIG!K1025=0,"",ORIG!K1025)</f>
        <v/>
      </c>
      <c r="L1025" s="3">
        <f>IF(ORIG!L1025=0,"",ORIG!L1025)</f>
        <v/>
      </c>
      <c r="M1025" s="3">
        <f>IF(ORIG!M1025=0,"",ORIG!M1025)</f>
        <v/>
      </c>
      <c r="N1025" s="3">
        <f>IF(ORIG!N1025=0,"",ORIG!N1025)</f>
        <v/>
      </c>
      <c r="O1025" s="3">
        <f>IF(ORIG!O1025=0,"",ORIG!O1025)</f>
        <v/>
      </c>
      <c r="P1025" s="3">
        <f>IF(ORIG!P1025=0,"",ORIG!P1025)</f>
        <v/>
      </c>
      <c r="Q1025" s="3">
        <f>IF(ORIG!Q1025=0,"",ORIG!Q1025)</f>
        <v/>
      </c>
      <c r="R1025" s="3">
        <f>IF(ORIG!R1025=0,"",ORIG!R1025)</f>
        <v/>
      </c>
      <c r="S1025" s="3">
        <f>IF(ORIG!S1025=0,"",ORIG!S1025)</f>
        <v/>
      </c>
      <c r="T1025" s="3">
        <f>IF(ORIG!T1025=0,"",ORIG!T1025)</f>
        <v/>
      </c>
      <c r="U1025" s="3">
        <f>IF(ORIG!U1025=0,"",ORIG!U1025)</f>
        <v/>
      </c>
      <c r="V1025" s="9">
        <f>IF(ORIG!V1025=0,"",ORIG!V1025)</f>
        <v/>
      </c>
      <c r="W1025" s="9">
        <f>IF(ORIG!W1025=0,"",ORIG!W1025)</f>
        <v/>
      </c>
      <c r="X1025" s="9">
        <f>IF(ORIG!X1025=0,"",ORIG!X1025)</f>
        <v/>
      </c>
      <c r="Y1025" s="9">
        <f>IF(ORIG!Y1025=0,"",ORIG!Y1025)</f>
        <v/>
      </c>
      <c r="Z1025" s="3">
        <f>SUMPRODUCT($B1025:$Y1025,$B$2649:$Y$2649)</f>
        <v/>
      </c>
      <c r="AA1025" s="3">
        <f>SUMPRODUCT($B1025:$Y1025,$B$2655:$Y$2655)</f>
        <v/>
      </c>
      <c r="AC1025" s="1">
        <f>A1025</f>
        <v/>
      </c>
      <c r="AD1025">
        <f>IF(ISNUMBER(V1025),V1025*($AB$1/V$2635),"")</f>
        <v/>
      </c>
      <c r="AE1025">
        <f>IF(ISNUMBER(Z1025),Z1025*($AB$1/Z$2635),"")</f>
        <v/>
      </c>
      <c r="AF1025" s="25">
        <f>IF(ISNUMBER(AD1025+AE1025),AD1025+AE1025,"")</f>
        <v/>
      </c>
      <c r="AH1025" s="1">
        <f>A1025</f>
        <v/>
      </c>
      <c r="AI1025">
        <f>IF(ISNUMBER((1+V1025)*AI1024),(1+V1025)*AI1024,AI1024)</f>
        <v/>
      </c>
      <c r="AJ1025">
        <f>IF(ISNUMBER((1+Z1025)*AJ1024),(1+Z1025)*AJ1024,AJ1024)</f>
        <v/>
      </c>
    </row>
    <row r="1026">
      <c r="A1026" s="1" t="n">
        <v>43493</v>
      </c>
      <c r="B1026" s="3">
        <f>IF(ORIG!B1026=0,"",ORIG!B1026)</f>
        <v/>
      </c>
      <c r="C1026" s="3">
        <f>IF(ORIG!C1026=0,"",ORIG!C1026)</f>
        <v/>
      </c>
      <c r="D1026" s="3">
        <f>IF(ORIG!D1026=0,"",ORIG!D1026)</f>
        <v/>
      </c>
      <c r="E1026" s="3">
        <f>IF(ORIG!E1026=0,"",ORIG!E1026)</f>
        <v/>
      </c>
      <c r="F1026" s="3">
        <f>IF(ORIG!F1026=0,"",ORIG!F1026)</f>
        <v/>
      </c>
      <c r="G1026" s="3">
        <f>IF(ORIG!G1026=0,"",ORIG!G1026)</f>
        <v/>
      </c>
      <c r="H1026" s="3">
        <f>IF(ORIG!H1026=0,"",ORIG!H1026)</f>
        <v/>
      </c>
      <c r="I1026" s="3">
        <f>IF(ORIG!I1026=0,"",ORIG!I1026)</f>
        <v/>
      </c>
      <c r="J1026" s="3">
        <f>IF(ORIG!J1026=0,"",ORIG!J1026)</f>
        <v/>
      </c>
      <c r="K1026" s="3">
        <f>IF(ORIG!K1026=0,"",ORIG!K1026)</f>
        <v/>
      </c>
      <c r="L1026" s="3">
        <f>IF(ORIG!L1026=0,"",ORIG!L1026)</f>
        <v/>
      </c>
      <c r="M1026" s="3">
        <f>IF(ORIG!M1026=0,"",ORIG!M1026)</f>
        <v/>
      </c>
      <c r="N1026" s="3">
        <f>IF(ORIG!N1026=0,"",ORIG!N1026)</f>
        <v/>
      </c>
      <c r="O1026" s="3">
        <f>IF(ORIG!O1026=0,"",ORIG!O1026)</f>
        <v/>
      </c>
      <c r="P1026" s="3">
        <f>IF(ORIG!P1026=0,"",ORIG!P1026)</f>
        <v/>
      </c>
      <c r="Q1026" s="3">
        <f>IF(ORIG!Q1026=0,"",ORIG!Q1026)</f>
        <v/>
      </c>
      <c r="R1026" s="3">
        <f>IF(ORIG!R1026=0,"",ORIG!R1026)</f>
        <v/>
      </c>
      <c r="S1026" s="3">
        <f>IF(ORIG!S1026=0,"",ORIG!S1026)</f>
        <v/>
      </c>
      <c r="T1026" s="3">
        <f>IF(ORIG!T1026=0,"",ORIG!T1026)</f>
        <v/>
      </c>
      <c r="U1026" s="3">
        <f>IF(ORIG!U1026=0,"",ORIG!U1026)</f>
        <v/>
      </c>
      <c r="V1026" s="9">
        <f>IF(ORIG!V1026=0,"",ORIG!V1026)</f>
        <v/>
      </c>
      <c r="W1026" s="9">
        <f>IF(ORIG!W1026=0,"",ORIG!W1026)</f>
        <v/>
      </c>
      <c r="X1026" s="9">
        <f>IF(ORIG!X1026=0,"",ORIG!X1026)</f>
        <v/>
      </c>
      <c r="Y1026" s="9">
        <f>IF(ORIG!Y1026=0,"",ORIG!Y1026)</f>
        <v/>
      </c>
      <c r="Z1026" s="3">
        <f>SUMPRODUCT($B1026:$Y1026,$B$2649:$Y$2649)</f>
        <v/>
      </c>
      <c r="AA1026" s="3">
        <f>SUMPRODUCT($B1026:$Y1026,$B$2655:$Y$2655)</f>
        <v/>
      </c>
      <c r="AC1026" s="1">
        <f>A1026</f>
        <v/>
      </c>
      <c r="AD1026">
        <f>IF(ISNUMBER(V1026),V1026*($AB$1/V$2635),"")</f>
        <v/>
      </c>
      <c r="AE1026">
        <f>IF(ISNUMBER(Z1026),Z1026*($AB$1/Z$2635),"")</f>
        <v/>
      </c>
      <c r="AF1026" s="25">
        <f>IF(ISNUMBER(AD1026+AE1026),AD1026+AE1026,"")</f>
        <v/>
      </c>
      <c r="AH1026" s="1">
        <f>A1026</f>
        <v/>
      </c>
      <c r="AI1026">
        <f>IF(ISNUMBER((1+V1026)*AI1025),(1+V1026)*AI1025,AI1025)</f>
        <v/>
      </c>
      <c r="AJ1026">
        <f>IF(ISNUMBER((1+Z1026)*AJ1025),(1+Z1026)*AJ1025,AJ1025)</f>
        <v/>
      </c>
    </row>
    <row r="1027">
      <c r="A1027" s="1" t="n">
        <v>43494</v>
      </c>
      <c r="B1027" s="3">
        <f>IF(ORIG!B1027=0,"",ORIG!B1027)</f>
        <v/>
      </c>
      <c r="C1027" s="3">
        <f>IF(ORIG!C1027=0,"",ORIG!C1027)</f>
        <v/>
      </c>
      <c r="D1027" s="3">
        <f>IF(ORIG!D1027=0,"",ORIG!D1027)</f>
        <v/>
      </c>
      <c r="E1027" s="3">
        <f>IF(ORIG!E1027=0,"",ORIG!E1027)</f>
        <v/>
      </c>
      <c r="F1027" s="3">
        <f>IF(ORIG!F1027=0,"",ORIG!F1027)</f>
        <v/>
      </c>
      <c r="G1027" s="3">
        <f>IF(ORIG!G1027=0,"",ORIG!G1027)</f>
        <v/>
      </c>
      <c r="H1027" s="3">
        <f>IF(ORIG!H1027=0,"",ORIG!H1027)</f>
        <v/>
      </c>
      <c r="I1027" s="3">
        <f>IF(ORIG!I1027=0,"",ORIG!I1027)</f>
        <v/>
      </c>
      <c r="J1027" s="3">
        <f>IF(ORIG!J1027=0,"",ORIG!J1027)</f>
        <v/>
      </c>
      <c r="K1027" s="3">
        <f>IF(ORIG!K1027=0,"",ORIG!K1027)</f>
        <v/>
      </c>
      <c r="L1027" s="3">
        <f>IF(ORIG!L1027=0,"",ORIG!L1027)</f>
        <v/>
      </c>
      <c r="M1027" s="3">
        <f>IF(ORIG!M1027=0,"",ORIG!M1027)</f>
        <v/>
      </c>
      <c r="N1027" s="3">
        <f>IF(ORIG!N1027=0,"",ORIG!N1027)</f>
        <v/>
      </c>
      <c r="O1027" s="3">
        <f>IF(ORIG!O1027=0,"",ORIG!O1027)</f>
        <v/>
      </c>
      <c r="P1027" s="3">
        <f>IF(ORIG!P1027=0,"",ORIG!P1027)</f>
        <v/>
      </c>
      <c r="Q1027" s="3">
        <f>IF(ORIG!Q1027=0,"",ORIG!Q1027)</f>
        <v/>
      </c>
      <c r="R1027" s="3">
        <f>IF(ORIG!R1027=0,"",ORIG!R1027)</f>
        <v/>
      </c>
      <c r="S1027" s="3">
        <f>IF(ORIG!S1027=0,"",ORIG!S1027)</f>
        <v/>
      </c>
      <c r="T1027" s="3">
        <f>IF(ORIG!T1027=0,"",ORIG!T1027)</f>
        <v/>
      </c>
      <c r="U1027" s="3">
        <f>IF(ORIG!U1027=0,"",ORIG!U1027)</f>
        <v/>
      </c>
      <c r="V1027" s="9">
        <f>IF(ORIG!V1027=0,"",ORIG!V1027)</f>
        <v/>
      </c>
      <c r="W1027" s="9">
        <f>IF(ORIG!W1027=0,"",ORIG!W1027)</f>
        <v/>
      </c>
      <c r="X1027" s="9">
        <f>IF(ORIG!X1027=0,"",ORIG!X1027)</f>
        <v/>
      </c>
      <c r="Y1027" s="9">
        <f>IF(ORIG!Y1027=0,"",ORIG!Y1027)</f>
        <v/>
      </c>
      <c r="Z1027" s="3">
        <f>SUMPRODUCT($B1027:$Y1027,$B$2649:$Y$2649)</f>
        <v/>
      </c>
      <c r="AA1027" s="3">
        <f>SUMPRODUCT($B1027:$Y1027,$B$2655:$Y$2655)</f>
        <v/>
      </c>
      <c r="AC1027" s="1">
        <f>A1027</f>
        <v/>
      </c>
      <c r="AD1027">
        <f>IF(ISNUMBER(V1027),V1027*($AB$1/V$2635),"")</f>
        <v/>
      </c>
      <c r="AE1027">
        <f>IF(ISNUMBER(Z1027),Z1027*($AB$1/Z$2635),"")</f>
        <v/>
      </c>
      <c r="AF1027" s="25">
        <f>IF(ISNUMBER(AD1027+AE1027),AD1027+AE1027,"")</f>
        <v/>
      </c>
      <c r="AH1027" s="1">
        <f>A1027</f>
        <v/>
      </c>
      <c r="AI1027">
        <f>IF(ISNUMBER((1+V1027)*AI1026),(1+V1027)*AI1026,AI1026)</f>
        <v/>
      </c>
      <c r="AJ1027">
        <f>IF(ISNUMBER((1+Z1027)*AJ1026),(1+Z1027)*AJ1026,AJ1026)</f>
        <v/>
      </c>
    </row>
    <row r="1028">
      <c r="A1028" s="1" t="n">
        <v>43495</v>
      </c>
      <c r="B1028" s="3">
        <f>IF(ORIG!B1028=0,"",ORIG!B1028)</f>
        <v/>
      </c>
      <c r="C1028" s="3">
        <f>IF(ORIG!C1028=0,"",ORIG!C1028)</f>
        <v/>
      </c>
      <c r="D1028" s="3">
        <f>IF(ORIG!D1028=0,"",ORIG!D1028)</f>
        <v/>
      </c>
      <c r="E1028" s="3">
        <f>IF(ORIG!E1028=0,"",ORIG!E1028)</f>
        <v/>
      </c>
      <c r="F1028" s="3">
        <f>IF(ORIG!F1028=0,"",ORIG!F1028)</f>
        <v/>
      </c>
      <c r="G1028" s="3">
        <f>IF(ORIG!G1028=0,"",ORIG!G1028)</f>
        <v/>
      </c>
      <c r="H1028" s="3">
        <f>IF(ORIG!H1028=0,"",ORIG!H1028)</f>
        <v/>
      </c>
      <c r="I1028" s="3">
        <f>IF(ORIG!I1028=0,"",ORIG!I1028)</f>
        <v/>
      </c>
      <c r="J1028" s="3">
        <f>IF(ORIG!J1028=0,"",ORIG!J1028)</f>
        <v/>
      </c>
      <c r="K1028" s="3">
        <f>IF(ORIG!K1028=0,"",ORIG!K1028)</f>
        <v/>
      </c>
      <c r="L1028" s="3">
        <f>IF(ORIG!L1028=0,"",ORIG!L1028)</f>
        <v/>
      </c>
      <c r="M1028" s="3">
        <f>IF(ORIG!M1028=0,"",ORIG!M1028)</f>
        <v/>
      </c>
      <c r="N1028" s="3">
        <f>IF(ORIG!N1028=0,"",ORIG!N1028)</f>
        <v/>
      </c>
      <c r="O1028" s="3">
        <f>IF(ORIG!O1028=0,"",ORIG!O1028)</f>
        <v/>
      </c>
      <c r="P1028" s="3">
        <f>IF(ORIG!P1028=0,"",ORIG!P1028)</f>
        <v/>
      </c>
      <c r="Q1028" s="3">
        <f>IF(ORIG!Q1028=0,"",ORIG!Q1028)</f>
        <v/>
      </c>
      <c r="R1028" s="3">
        <f>IF(ORIG!R1028=0,"",ORIG!R1028)</f>
        <v/>
      </c>
      <c r="S1028" s="3">
        <f>IF(ORIG!S1028=0,"",ORIG!S1028)</f>
        <v/>
      </c>
      <c r="T1028" s="3">
        <f>IF(ORIG!T1028=0,"",ORIG!T1028)</f>
        <v/>
      </c>
      <c r="U1028" s="3">
        <f>IF(ORIG!U1028=0,"",ORIG!U1028)</f>
        <v/>
      </c>
      <c r="V1028" s="9">
        <f>IF(ORIG!V1028=0,"",ORIG!V1028)</f>
        <v/>
      </c>
      <c r="W1028" s="9">
        <f>IF(ORIG!W1028=0,"",ORIG!W1028)</f>
        <v/>
      </c>
      <c r="X1028" s="9">
        <f>IF(ORIG!X1028=0,"",ORIG!X1028)</f>
        <v/>
      </c>
      <c r="Y1028" s="9">
        <f>IF(ORIG!Y1028=0,"",ORIG!Y1028)</f>
        <v/>
      </c>
      <c r="Z1028" s="3">
        <f>SUMPRODUCT($B1028:$Y1028,$B$2649:$Y$2649)</f>
        <v/>
      </c>
      <c r="AA1028" s="3">
        <f>SUMPRODUCT($B1028:$Y1028,$B$2655:$Y$2655)</f>
        <v/>
      </c>
      <c r="AC1028" s="1">
        <f>A1028</f>
        <v/>
      </c>
      <c r="AD1028">
        <f>IF(ISNUMBER(V1028),V1028*($AB$1/V$2635),"")</f>
        <v/>
      </c>
      <c r="AE1028">
        <f>IF(ISNUMBER(Z1028),Z1028*($AB$1/Z$2635),"")</f>
        <v/>
      </c>
      <c r="AF1028" s="25">
        <f>IF(ISNUMBER(AD1028+AE1028),AD1028+AE1028,"")</f>
        <v/>
      </c>
      <c r="AH1028" s="1">
        <f>A1028</f>
        <v/>
      </c>
      <c r="AI1028">
        <f>IF(ISNUMBER((1+V1028)*AI1027),(1+V1028)*AI1027,AI1027)</f>
        <v/>
      </c>
      <c r="AJ1028">
        <f>IF(ISNUMBER((1+Z1028)*AJ1027),(1+Z1028)*AJ1027,AJ1027)</f>
        <v/>
      </c>
    </row>
    <row r="1029">
      <c r="A1029" s="1" t="n">
        <v>43496</v>
      </c>
      <c r="B1029" s="3">
        <f>IF(ORIG!B1029=0,"",ORIG!B1029)</f>
        <v/>
      </c>
      <c r="C1029" s="3">
        <f>IF(ORIG!C1029=0,"",ORIG!C1029)</f>
        <v/>
      </c>
      <c r="D1029" s="3">
        <f>IF(ORIG!D1029=0,"",ORIG!D1029)</f>
        <v/>
      </c>
      <c r="E1029" s="3">
        <f>IF(ORIG!E1029=0,"",ORIG!E1029)</f>
        <v/>
      </c>
      <c r="F1029" s="3">
        <f>IF(ORIG!F1029=0,"",ORIG!F1029)</f>
        <v/>
      </c>
      <c r="G1029" s="3">
        <f>IF(ORIG!G1029=0,"",ORIG!G1029)</f>
        <v/>
      </c>
      <c r="H1029" s="3">
        <f>IF(ORIG!H1029=0,"",ORIG!H1029)</f>
        <v/>
      </c>
      <c r="I1029" s="3">
        <f>IF(ORIG!I1029=0,"",ORIG!I1029)</f>
        <v/>
      </c>
      <c r="J1029" s="3">
        <f>IF(ORIG!J1029=0,"",ORIG!J1029)</f>
        <v/>
      </c>
      <c r="K1029" s="3">
        <f>IF(ORIG!K1029=0,"",ORIG!K1029)</f>
        <v/>
      </c>
      <c r="L1029" s="3">
        <f>IF(ORIG!L1029=0,"",ORIG!L1029)</f>
        <v/>
      </c>
      <c r="M1029" s="3">
        <f>IF(ORIG!M1029=0,"",ORIG!M1029)</f>
        <v/>
      </c>
      <c r="N1029" s="3">
        <f>IF(ORIG!N1029=0,"",ORIG!N1029)</f>
        <v/>
      </c>
      <c r="O1029" s="3">
        <f>IF(ORIG!O1029=0,"",ORIG!O1029)</f>
        <v/>
      </c>
      <c r="P1029" s="3">
        <f>IF(ORIG!P1029=0,"",ORIG!P1029)</f>
        <v/>
      </c>
      <c r="Q1029" s="3">
        <f>IF(ORIG!Q1029=0,"",ORIG!Q1029)</f>
        <v/>
      </c>
      <c r="R1029" s="3">
        <f>IF(ORIG!R1029=0,"",ORIG!R1029)</f>
        <v/>
      </c>
      <c r="S1029" s="3">
        <f>IF(ORIG!S1029=0,"",ORIG!S1029)</f>
        <v/>
      </c>
      <c r="T1029" s="3">
        <f>IF(ORIG!T1029=0,"",ORIG!T1029)</f>
        <v/>
      </c>
      <c r="U1029" s="3">
        <f>IF(ORIG!U1029=0,"",ORIG!U1029)</f>
        <v/>
      </c>
      <c r="V1029" s="9">
        <f>IF(ORIG!V1029=0,"",ORIG!V1029)</f>
        <v/>
      </c>
      <c r="W1029" s="9">
        <f>IF(ORIG!W1029=0,"",ORIG!W1029)</f>
        <v/>
      </c>
      <c r="X1029" s="9">
        <f>IF(ORIG!X1029=0,"",ORIG!X1029)</f>
        <v/>
      </c>
      <c r="Y1029" s="9">
        <f>IF(ORIG!Y1029=0,"",ORIG!Y1029)</f>
        <v/>
      </c>
      <c r="Z1029" s="3">
        <f>SUMPRODUCT($B1029:$Y1029,$B$2649:$Y$2649)</f>
        <v/>
      </c>
      <c r="AA1029" s="3">
        <f>SUMPRODUCT($B1029:$Y1029,$B$2655:$Y$2655)</f>
        <v/>
      </c>
      <c r="AC1029" s="1">
        <f>A1029</f>
        <v/>
      </c>
      <c r="AD1029">
        <f>IF(ISNUMBER(V1029),V1029*($AB$1/V$2635),"")</f>
        <v/>
      </c>
      <c r="AE1029">
        <f>IF(ISNUMBER(Z1029),Z1029*($AB$1/Z$2635),"")</f>
        <v/>
      </c>
      <c r="AF1029" s="25">
        <f>IF(ISNUMBER(AD1029+AE1029),AD1029+AE1029,"")</f>
        <v/>
      </c>
      <c r="AH1029" s="1">
        <f>A1029</f>
        <v/>
      </c>
      <c r="AI1029">
        <f>IF(ISNUMBER((1+V1029)*AI1028),(1+V1029)*AI1028,AI1028)</f>
        <v/>
      </c>
      <c r="AJ1029">
        <f>IF(ISNUMBER((1+Z1029)*AJ1028),(1+Z1029)*AJ1028,AJ1028)</f>
        <v/>
      </c>
    </row>
    <row r="1030">
      <c r="A1030" s="1" t="n">
        <v>43497</v>
      </c>
      <c r="B1030" s="3">
        <f>IF(ORIG!B1030=0,"",ORIG!B1030)</f>
        <v/>
      </c>
      <c r="C1030" s="3">
        <f>IF(ORIG!C1030=0,"",ORIG!C1030)</f>
        <v/>
      </c>
      <c r="D1030" s="3">
        <f>IF(ORIG!D1030=0,"",ORIG!D1030)</f>
        <v/>
      </c>
      <c r="E1030" s="3">
        <f>IF(ORIG!E1030=0,"",ORIG!E1030)</f>
        <v/>
      </c>
      <c r="F1030" s="3">
        <f>IF(ORIG!F1030=0,"",ORIG!F1030)</f>
        <v/>
      </c>
      <c r="G1030" s="3">
        <f>IF(ORIG!G1030=0,"",ORIG!G1030)</f>
        <v/>
      </c>
      <c r="H1030" s="3">
        <f>IF(ORIG!H1030=0,"",ORIG!H1030)</f>
        <v/>
      </c>
      <c r="I1030" s="3">
        <f>IF(ORIG!I1030=0,"",ORIG!I1030)</f>
        <v/>
      </c>
      <c r="J1030" s="3">
        <f>IF(ORIG!J1030=0,"",ORIG!J1030)</f>
        <v/>
      </c>
      <c r="K1030" s="3">
        <f>IF(ORIG!K1030=0,"",ORIG!K1030)</f>
        <v/>
      </c>
      <c r="L1030" s="3">
        <f>IF(ORIG!L1030=0,"",ORIG!L1030)</f>
        <v/>
      </c>
      <c r="M1030" s="3">
        <f>IF(ORIG!M1030=0,"",ORIG!M1030)</f>
        <v/>
      </c>
      <c r="N1030" s="3">
        <f>IF(ORIG!N1030=0,"",ORIG!N1030)</f>
        <v/>
      </c>
      <c r="O1030" s="3">
        <f>IF(ORIG!O1030=0,"",ORIG!O1030)</f>
        <v/>
      </c>
      <c r="P1030" s="3">
        <f>IF(ORIG!P1030=0,"",ORIG!P1030)</f>
        <v/>
      </c>
      <c r="Q1030" s="3">
        <f>IF(ORIG!Q1030=0,"",ORIG!Q1030)</f>
        <v/>
      </c>
      <c r="R1030" s="3">
        <f>IF(ORIG!R1030=0,"",ORIG!R1030)</f>
        <v/>
      </c>
      <c r="S1030" s="3">
        <f>IF(ORIG!S1030=0,"",ORIG!S1030)</f>
        <v/>
      </c>
      <c r="T1030" s="3">
        <f>IF(ORIG!T1030=0,"",ORIG!T1030)</f>
        <v/>
      </c>
      <c r="U1030" s="3">
        <f>IF(ORIG!U1030=0,"",ORIG!U1030)</f>
        <v/>
      </c>
      <c r="V1030" s="9">
        <f>IF(ORIG!V1030=0,"",ORIG!V1030)</f>
        <v/>
      </c>
      <c r="W1030" s="9">
        <f>IF(ORIG!W1030=0,"",ORIG!W1030)</f>
        <v/>
      </c>
      <c r="X1030" s="9">
        <f>IF(ORIG!X1030=0,"",ORIG!X1030)</f>
        <v/>
      </c>
      <c r="Y1030" s="9">
        <f>IF(ORIG!Y1030=0,"",ORIG!Y1030)</f>
        <v/>
      </c>
      <c r="Z1030" s="3">
        <f>SUMPRODUCT($B1030:$Y1030,$B$2649:$Y$2649)</f>
        <v/>
      </c>
      <c r="AA1030" s="3">
        <f>SUMPRODUCT($B1030:$Y1030,$B$2655:$Y$2655)</f>
        <v/>
      </c>
      <c r="AC1030" s="1">
        <f>A1030</f>
        <v/>
      </c>
      <c r="AD1030">
        <f>IF(ISNUMBER(V1030),V1030*($AB$1/V$2635),"")</f>
        <v/>
      </c>
      <c r="AE1030">
        <f>IF(ISNUMBER(Z1030),Z1030*($AB$1/Z$2635),"")</f>
        <v/>
      </c>
      <c r="AF1030" s="25">
        <f>IF(ISNUMBER(AD1030+AE1030),AD1030+AE1030,"")</f>
        <v/>
      </c>
      <c r="AH1030" s="1">
        <f>A1030</f>
        <v/>
      </c>
      <c r="AI1030">
        <f>IF(ISNUMBER((1+V1030)*AI1029),(1+V1030)*AI1029,AI1029)</f>
        <v/>
      </c>
      <c r="AJ1030">
        <f>IF(ISNUMBER((1+Z1030)*AJ1029),(1+Z1030)*AJ1029,AJ1029)</f>
        <v/>
      </c>
    </row>
    <row r="1031">
      <c r="A1031" s="1" t="n">
        <v>43500</v>
      </c>
      <c r="B1031" s="3">
        <f>IF(ORIG!B1031=0,"",ORIG!B1031)</f>
        <v/>
      </c>
      <c r="C1031" s="3">
        <f>IF(ORIG!C1031=0,"",ORIG!C1031)</f>
        <v/>
      </c>
      <c r="D1031" s="3">
        <f>IF(ORIG!D1031=0,"",ORIG!D1031)</f>
        <v/>
      </c>
      <c r="E1031" s="3">
        <f>IF(ORIG!E1031=0,"",ORIG!E1031)</f>
        <v/>
      </c>
      <c r="F1031" s="3">
        <f>IF(ORIG!F1031=0,"",ORIG!F1031)</f>
        <v/>
      </c>
      <c r="G1031" s="3">
        <f>IF(ORIG!G1031=0,"",ORIG!G1031)</f>
        <v/>
      </c>
      <c r="H1031" s="3">
        <f>IF(ORIG!H1031=0,"",ORIG!H1031)</f>
        <v/>
      </c>
      <c r="I1031" s="3">
        <f>IF(ORIG!I1031=0,"",ORIG!I1031)</f>
        <v/>
      </c>
      <c r="J1031" s="3">
        <f>IF(ORIG!J1031=0,"",ORIG!J1031)</f>
        <v/>
      </c>
      <c r="K1031" s="3">
        <f>IF(ORIG!K1031=0,"",ORIG!K1031)</f>
        <v/>
      </c>
      <c r="L1031" s="3">
        <f>IF(ORIG!L1031=0,"",ORIG!L1031)</f>
        <v/>
      </c>
      <c r="M1031" s="3">
        <f>IF(ORIG!M1031=0,"",ORIG!M1031)</f>
        <v/>
      </c>
      <c r="N1031" s="3">
        <f>IF(ORIG!N1031=0,"",ORIG!N1031)</f>
        <v/>
      </c>
      <c r="O1031" s="3">
        <f>IF(ORIG!O1031=0,"",ORIG!O1031)</f>
        <v/>
      </c>
      <c r="P1031" s="3">
        <f>IF(ORIG!P1031=0,"",ORIG!P1031)</f>
        <v/>
      </c>
      <c r="Q1031" s="3">
        <f>IF(ORIG!Q1031=0,"",ORIG!Q1031)</f>
        <v/>
      </c>
      <c r="R1031" s="3">
        <f>IF(ORIG!R1031=0,"",ORIG!R1031)</f>
        <v/>
      </c>
      <c r="S1031" s="3">
        <f>IF(ORIG!S1031=0,"",ORIG!S1031)</f>
        <v/>
      </c>
      <c r="T1031" s="3">
        <f>IF(ORIG!T1031=0,"",ORIG!T1031)</f>
        <v/>
      </c>
      <c r="U1031" s="3">
        <f>IF(ORIG!U1031=0,"",ORIG!U1031)</f>
        <v/>
      </c>
      <c r="V1031" s="9">
        <f>IF(ORIG!V1031=0,"",ORIG!V1031)</f>
        <v/>
      </c>
      <c r="W1031" s="9">
        <f>IF(ORIG!W1031=0,"",ORIG!W1031)</f>
        <v/>
      </c>
      <c r="X1031" s="9">
        <f>IF(ORIG!X1031=0,"",ORIG!X1031)</f>
        <v/>
      </c>
      <c r="Y1031" s="9">
        <f>IF(ORIG!Y1031=0,"",ORIG!Y1031)</f>
        <v/>
      </c>
      <c r="Z1031" s="3">
        <f>SUMPRODUCT($B1031:$Y1031,$B$2649:$Y$2649)</f>
        <v/>
      </c>
      <c r="AA1031" s="3">
        <f>SUMPRODUCT($B1031:$Y1031,$B$2655:$Y$2655)</f>
        <v/>
      </c>
      <c r="AC1031" s="1">
        <f>A1031</f>
        <v/>
      </c>
      <c r="AD1031">
        <f>IF(ISNUMBER(V1031),V1031*($AB$1/V$2635),"")</f>
        <v/>
      </c>
      <c r="AE1031">
        <f>IF(ISNUMBER(Z1031),Z1031*($AB$1/Z$2635),"")</f>
        <v/>
      </c>
      <c r="AF1031" s="25">
        <f>IF(ISNUMBER(AD1031+AE1031),AD1031+AE1031,"")</f>
        <v/>
      </c>
      <c r="AH1031" s="1">
        <f>A1031</f>
        <v/>
      </c>
      <c r="AI1031">
        <f>IF(ISNUMBER((1+V1031)*AI1030),(1+V1031)*AI1030,AI1030)</f>
        <v/>
      </c>
      <c r="AJ1031">
        <f>IF(ISNUMBER((1+Z1031)*AJ1030),(1+Z1031)*AJ1030,AJ1030)</f>
        <v/>
      </c>
    </row>
    <row r="1032">
      <c r="A1032" s="1" t="n">
        <v>43501</v>
      </c>
      <c r="B1032" s="3">
        <f>IF(ORIG!B1032=0,"",ORIG!B1032)</f>
        <v/>
      </c>
      <c r="C1032" s="3">
        <f>IF(ORIG!C1032=0,"",ORIG!C1032)</f>
        <v/>
      </c>
      <c r="D1032" s="3">
        <f>IF(ORIG!D1032=0,"",ORIG!D1032)</f>
        <v/>
      </c>
      <c r="E1032" s="3">
        <f>IF(ORIG!E1032=0,"",ORIG!E1032)</f>
        <v/>
      </c>
      <c r="F1032" s="3">
        <f>IF(ORIG!F1032=0,"",ORIG!F1032)</f>
        <v/>
      </c>
      <c r="G1032" s="3">
        <f>IF(ORIG!G1032=0,"",ORIG!G1032)</f>
        <v/>
      </c>
      <c r="H1032" s="3">
        <f>IF(ORIG!H1032=0,"",ORIG!H1032)</f>
        <v/>
      </c>
      <c r="I1032" s="3">
        <f>IF(ORIG!I1032=0,"",ORIG!I1032)</f>
        <v/>
      </c>
      <c r="J1032" s="3">
        <f>IF(ORIG!J1032=0,"",ORIG!J1032)</f>
        <v/>
      </c>
      <c r="K1032" s="3">
        <f>IF(ORIG!K1032=0,"",ORIG!K1032)</f>
        <v/>
      </c>
      <c r="L1032" s="3">
        <f>IF(ORIG!L1032=0,"",ORIG!L1032)</f>
        <v/>
      </c>
      <c r="M1032" s="3">
        <f>IF(ORIG!M1032=0,"",ORIG!M1032)</f>
        <v/>
      </c>
      <c r="N1032" s="3">
        <f>IF(ORIG!N1032=0,"",ORIG!N1032)</f>
        <v/>
      </c>
      <c r="O1032" s="3">
        <f>IF(ORIG!O1032=0,"",ORIG!O1032)</f>
        <v/>
      </c>
      <c r="P1032" s="3">
        <f>IF(ORIG!P1032=0,"",ORIG!P1032)</f>
        <v/>
      </c>
      <c r="Q1032" s="3">
        <f>IF(ORIG!Q1032=0,"",ORIG!Q1032)</f>
        <v/>
      </c>
      <c r="R1032" s="3">
        <f>IF(ORIG!R1032=0,"",ORIG!R1032)</f>
        <v/>
      </c>
      <c r="S1032" s="3">
        <f>IF(ORIG!S1032=0,"",ORIG!S1032)</f>
        <v/>
      </c>
      <c r="T1032" s="3">
        <f>IF(ORIG!T1032=0,"",ORIG!T1032)</f>
        <v/>
      </c>
      <c r="U1032" s="3">
        <f>IF(ORIG!U1032=0,"",ORIG!U1032)</f>
        <v/>
      </c>
      <c r="V1032" s="9">
        <f>IF(ORIG!V1032=0,"",ORIG!V1032)</f>
        <v/>
      </c>
      <c r="W1032" s="9">
        <f>IF(ORIG!W1032=0,"",ORIG!W1032)</f>
        <v/>
      </c>
      <c r="X1032" s="9">
        <f>IF(ORIG!X1032=0,"",ORIG!X1032)</f>
        <v/>
      </c>
      <c r="Y1032" s="9">
        <f>IF(ORIG!Y1032=0,"",ORIG!Y1032)</f>
        <v/>
      </c>
      <c r="Z1032" s="3">
        <f>SUMPRODUCT($B1032:$Y1032,$B$2649:$Y$2649)</f>
        <v/>
      </c>
      <c r="AA1032" s="3">
        <f>SUMPRODUCT($B1032:$Y1032,$B$2655:$Y$2655)</f>
        <v/>
      </c>
      <c r="AC1032" s="1">
        <f>A1032</f>
        <v/>
      </c>
      <c r="AD1032">
        <f>IF(ISNUMBER(V1032),V1032*($AB$1/V$2635),"")</f>
        <v/>
      </c>
      <c r="AE1032">
        <f>IF(ISNUMBER(Z1032),Z1032*($AB$1/Z$2635),"")</f>
        <v/>
      </c>
      <c r="AF1032" s="25">
        <f>IF(ISNUMBER(AD1032+AE1032),AD1032+AE1032,"")</f>
        <v/>
      </c>
      <c r="AH1032" s="1">
        <f>A1032</f>
        <v/>
      </c>
      <c r="AI1032">
        <f>IF(ISNUMBER((1+V1032)*AI1031),(1+V1032)*AI1031,AI1031)</f>
        <v/>
      </c>
      <c r="AJ1032">
        <f>IF(ISNUMBER((1+Z1032)*AJ1031),(1+Z1032)*AJ1031,AJ1031)</f>
        <v/>
      </c>
    </row>
    <row r="1033">
      <c r="A1033" s="1" t="n">
        <v>43502</v>
      </c>
      <c r="B1033" s="3">
        <f>IF(ORIG!B1033=0,"",ORIG!B1033)</f>
        <v/>
      </c>
      <c r="C1033" s="3">
        <f>IF(ORIG!C1033=0,"",ORIG!C1033)</f>
        <v/>
      </c>
      <c r="D1033" s="3">
        <f>IF(ORIG!D1033=0,"",ORIG!D1033)</f>
        <v/>
      </c>
      <c r="E1033" s="3">
        <f>IF(ORIG!E1033=0,"",ORIG!E1033)</f>
        <v/>
      </c>
      <c r="F1033" s="3">
        <f>IF(ORIG!F1033=0,"",ORIG!F1033)</f>
        <v/>
      </c>
      <c r="G1033" s="3">
        <f>IF(ORIG!G1033=0,"",ORIG!G1033)</f>
        <v/>
      </c>
      <c r="H1033" s="3">
        <f>IF(ORIG!H1033=0,"",ORIG!H1033)</f>
        <v/>
      </c>
      <c r="I1033" s="3">
        <f>IF(ORIG!I1033=0,"",ORIG!I1033)</f>
        <v/>
      </c>
      <c r="J1033" s="3">
        <f>IF(ORIG!J1033=0,"",ORIG!J1033)</f>
        <v/>
      </c>
      <c r="K1033" s="3">
        <f>IF(ORIG!K1033=0,"",ORIG!K1033)</f>
        <v/>
      </c>
      <c r="L1033" s="3">
        <f>IF(ORIG!L1033=0,"",ORIG!L1033)</f>
        <v/>
      </c>
      <c r="M1033" s="3">
        <f>IF(ORIG!M1033=0,"",ORIG!M1033)</f>
        <v/>
      </c>
      <c r="N1033" s="3">
        <f>IF(ORIG!N1033=0,"",ORIG!N1033)</f>
        <v/>
      </c>
      <c r="O1033" s="3">
        <f>IF(ORIG!O1033=0,"",ORIG!O1033)</f>
        <v/>
      </c>
      <c r="P1033" s="3">
        <f>IF(ORIG!P1033=0,"",ORIG!P1033)</f>
        <v/>
      </c>
      <c r="Q1033" s="3">
        <f>IF(ORIG!Q1033=0,"",ORIG!Q1033)</f>
        <v/>
      </c>
      <c r="R1033" s="3">
        <f>IF(ORIG!R1033=0,"",ORIG!R1033)</f>
        <v/>
      </c>
      <c r="S1033" s="3">
        <f>IF(ORIG!S1033=0,"",ORIG!S1033)</f>
        <v/>
      </c>
      <c r="T1033" s="3">
        <f>IF(ORIG!T1033=0,"",ORIG!T1033)</f>
        <v/>
      </c>
      <c r="U1033" s="3">
        <f>IF(ORIG!U1033=0,"",ORIG!U1033)</f>
        <v/>
      </c>
      <c r="V1033" s="9">
        <f>IF(ORIG!V1033=0,"",ORIG!V1033)</f>
        <v/>
      </c>
      <c r="W1033" s="9">
        <f>IF(ORIG!W1033=0,"",ORIG!W1033)</f>
        <v/>
      </c>
      <c r="X1033" s="9">
        <f>IF(ORIG!X1033=0,"",ORIG!X1033)</f>
        <v/>
      </c>
      <c r="Y1033" s="9">
        <f>IF(ORIG!Y1033=0,"",ORIG!Y1033)</f>
        <v/>
      </c>
      <c r="Z1033" s="3">
        <f>SUMPRODUCT($B1033:$Y1033,$B$2649:$Y$2649)</f>
        <v/>
      </c>
      <c r="AA1033" s="3">
        <f>SUMPRODUCT($B1033:$Y1033,$B$2655:$Y$2655)</f>
        <v/>
      </c>
      <c r="AC1033" s="1">
        <f>A1033</f>
        <v/>
      </c>
      <c r="AD1033">
        <f>IF(ISNUMBER(V1033),V1033*($AB$1/V$2635),"")</f>
        <v/>
      </c>
      <c r="AE1033">
        <f>IF(ISNUMBER(Z1033),Z1033*($AB$1/Z$2635),"")</f>
        <v/>
      </c>
      <c r="AF1033" s="25">
        <f>IF(ISNUMBER(AD1033+AE1033),AD1033+AE1033,"")</f>
        <v/>
      </c>
      <c r="AH1033" s="1">
        <f>A1033</f>
        <v/>
      </c>
      <c r="AI1033">
        <f>IF(ISNUMBER((1+V1033)*AI1032),(1+V1033)*AI1032,AI1032)</f>
        <v/>
      </c>
      <c r="AJ1033">
        <f>IF(ISNUMBER((1+Z1033)*AJ1032),(1+Z1033)*AJ1032,AJ1032)</f>
        <v/>
      </c>
    </row>
    <row r="1034">
      <c r="A1034" s="1" t="n">
        <v>43503</v>
      </c>
      <c r="B1034" s="3">
        <f>IF(ORIG!B1034=0,"",ORIG!B1034)</f>
        <v/>
      </c>
      <c r="C1034" s="3">
        <f>IF(ORIG!C1034=0,"",ORIG!C1034)</f>
        <v/>
      </c>
      <c r="D1034" s="3">
        <f>IF(ORIG!D1034=0,"",ORIG!D1034)</f>
        <v/>
      </c>
      <c r="E1034" s="3">
        <f>IF(ORIG!E1034=0,"",ORIG!E1034)</f>
        <v/>
      </c>
      <c r="F1034" s="3">
        <f>IF(ORIG!F1034=0,"",ORIG!F1034)</f>
        <v/>
      </c>
      <c r="G1034" s="3">
        <f>IF(ORIG!G1034=0,"",ORIG!G1034)</f>
        <v/>
      </c>
      <c r="H1034" s="3">
        <f>IF(ORIG!H1034=0,"",ORIG!H1034)</f>
        <v/>
      </c>
      <c r="I1034" s="3">
        <f>IF(ORIG!I1034=0,"",ORIG!I1034)</f>
        <v/>
      </c>
      <c r="J1034" s="3">
        <f>IF(ORIG!J1034=0,"",ORIG!J1034)</f>
        <v/>
      </c>
      <c r="K1034" s="3">
        <f>IF(ORIG!K1034=0,"",ORIG!K1034)</f>
        <v/>
      </c>
      <c r="L1034" s="3">
        <f>IF(ORIG!L1034=0,"",ORIG!L1034)</f>
        <v/>
      </c>
      <c r="M1034" s="3">
        <f>IF(ORIG!M1034=0,"",ORIG!M1034)</f>
        <v/>
      </c>
      <c r="N1034" s="3">
        <f>IF(ORIG!N1034=0,"",ORIG!N1034)</f>
        <v/>
      </c>
      <c r="O1034" s="3">
        <f>IF(ORIG!O1034=0,"",ORIG!O1034)</f>
        <v/>
      </c>
      <c r="P1034" s="3">
        <f>IF(ORIG!P1034=0,"",ORIG!P1034)</f>
        <v/>
      </c>
      <c r="Q1034" s="3">
        <f>IF(ORIG!Q1034=0,"",ORIG!Q1034)</f>
        <v/>
      </c>
      <c r="R1034" s="3">
        <f>IF(ORIG!R1034=0,"",ORIG!R1034)</f>
        <v/>
      </c>
      <c r="S1034" s="3">
        <f>IF(ORIG!S1034=0,"",ORIG!S1034)</f>
        <v/>
      </c>
      <c r="T1034" s="3">
        <f>IF(ORIG!T1034=0,"",ORIG!T1034)</f>
        <v/>
      </c>
      <c r="U1034" s="3">
        <f>IF(ORIG!U1034=0,"",ORIG!U1034)</f>
        <v/>
      </c>
      <c r="V1034" s="9">
        <f>IF(ORIG!V1034=0,"",ORIG!V1034)</f>
        <v/>
      </c>
      <c r="W1034" s="9">
        <f>IF(ORIG!W1034=0,"",ORIG!W1034)</f>
        <v/>
      </c>
      <c r="X1034" s="9">
        <f>IF(ORIG!X1034=0,"",ORIG!X1034)</f>
        <v/>
      </c>
      <c r="Y1034" s="9">
        <f>IF(ORIG!Y1034=0,"",ORIG!Y1034)</f>
        <v/>
      </c>
      <c r="Z1034" s="3">
        <f>SUMPRODUCT($B1034:$Y1034,$B$2649:$Y$2649)</f>
        <v/>
      </c>
      <c r="AA1034" s="3">
        <f>SUMPRODUCT($B1034:$Y1034,$B$2655:$Y$2655)</f>
        <v/>
      </c>
      <c r="AC1034" s="1">
        <f>A1034</f>
        <v/>
      </c>
      <c r="AD1034">
        <f>IF(ISNUMBER(V1034),V1034*($AB$1/V$2635),"")</f>
        <v/>
      </c>
      <c r="AE1034">
        <f>IF(ISNUMBER(Z1034),Z1034*($AB$1/Z$2635),"")</f>
        <v/>
      </c>
      <c r="AF1034" s="25">
        <f>IF(ISNUMBER(AD1034+AE1034),AD1034+AE1034,"")</f>
        <v/>
      </c>
      <c r="AH1034" s="1">
        <f>A1034</f>
        <v/>
      </c>
      <c r="AI1034">
        <f>IF(ISNUMBER((1+V1034)*AI1033),(1+V1034)*AI1033,AI1033)</f>
        <v/>
      </c>
      <c r="AJ1034">
        <f>IF(ISNUMBER((1+Z1034)*AJ1033),(1+Z1034)*AJ1033,AJ1033)</f>
        <v/>
      </c>
    </row>
    <row r="1035">
      <c r="A1035" s="1" t="n">
        <v>43504</v>
      </c>
      <c r="B1035" s="3">
        <f>IF(ORIG!B1035=0,"",ORIG!B1035)</f>
        <v/>
      </c>
      <c r="C1035" s="3">
        <f>IF(ORIG!C1035=0,"",ORIG!C1035)</f>
        <v/>
      </c>
      <c r="D1035" s="3">
        <f>IF(ORIG!D1035=0,"",ORIG!D1035)</f>
        <v/>
      </c>
      <c r="E1035" s="3">
        <f>IF(ORIG!E1035=0,"",ORIG!E1035)</f>
        <v/>
      </c>
      <c r="F1035" s="3">
        <f>IF(ORIG!F1035=0,"",ORIG!F1035)</f>
        <v/>
      </c>
      <c r="G1035" s="3">
        <f>IF(ORIG!G1035=0,"",ORIG!G1035)</f>
        <v/>
      </c>
      <c r="H1035" s="3">
        <f>IF(ORIG!H1035=0,"",ORIG!H1035)</f>
        <v/>
      </c>
      <c r="I1035" s="3">
        <f>IF(ORIG!I1035=0,"",ORIG!I1035)</f>
        <v/>
      </c>
      <c r="J1035" s="3">
        <f>IF(ORIG!J1035=0,"",ORIG!J1035)</f>
        <v/>
      </c>
      <c r="K1035" s="3">
        <f>IF(ORIG!K1035=0,"",ORIG!K1035)</f>
        <v/>
      </c>
      <c r="L1035" s="3">
        <f>IF(ORIG!L1035=0,"",ORIG!L1035)</f>
        <v/>
      </c>
      <c r="M1035" s="3">
        <f>IF(ORIG!M1035=0,"",ORIG!M1035)</f>
        <v/>
      </c>
      <c r="N1035" s="3">
        <f>IF(ORIG!N1035=0,"",ORIG!N1035)</f>
        <v/>
      </c>
      <c r="O1035" s="3">
        <f>IF(ORIG!O1035=0,"",ORIG!O1035)</f>
        <v/>
      </c>
      <c r="P1035" s="3">
        <f>IF(ORIG!P1035=0,"",ORIG!P1035)</f>
        <v/>
      </c>
      <c r="Q1035" s="3">
        <f>IF(ORIG!Q1035=0,"",ORIG!Q1035)</f>
        <v/>
      </c>
      <c r="R1035" s="3">
        <f>IF(ORIG!R1035=0,"",ORIG!R1035)</f>
        <v/>
      </c>
      <c r="S1035" s="3">
        <f>IF(ORIG!S1035=0,"",ORIG!S1035)</f>
        <v/>
      </c>
      <c r="T1035" s="3">
        <f>IF(ORIG!T1035=0,"",ORIG!T1035)</f>
        <v/>
      </c>
      <c r="U1035" s="3">
        <f>IF(ORIG!U1035=0,"",ORIG!U1035)</f>
        <v/>
      </c>
      <c r="V1035" s="9">
        <f>IF(ORIG!V1035=0,"",ORIG!V1035)</f>
        <v/>
      </c>
      <c r="W1035" s="9">
        <f>IF(ORIG!W1035=0,"",ORIG!W1035)</f>
        <v/>
      </c>
      <c r="X1035" s="9">
        <f>IF(ORIG!X1035=0,"",ORIG!X1035)</f>
        <v/>
      </c>
      <c r="Y1035" s="9">
        <f>IF(ORIG!Y1035=0,"",ORIG!Y1035)</f>
        <v/>
      </c>
      <c r="Z1035" s="3">
        <f>SUMPRODUCT($B1035:$Y1035,$B$2649:$Y$2649)</f>
        <v/>
      </c>
      <c r="AA1035" s="3">
        <f>SUMPRODUCT($B1035:$Y1035,$B$2655:$Y$2655)</f>
        <v/>
      </c>
      <c r="AC1035" s="1">
        <f>A1035</f>
        <v/>
      </c>
      <c r="AD1035">
        <f>IF(ISNUMBER(V1035),V1035*($AB$1/V$2635),"")</f>
        <v/>
      </c>
      <c r="AE1035">
        <f>IF(ISNUMBER(Z1035),Z1035*($AB$1/Z$2635),"")</f>
        <v/>
      </c>
      <c r="AF1035" s="25">
        <f>IF(ISNUMBER(AD1035+AE1035),AD1035+AE1035,"")</f>
        <v/>
      </c>
      <c r="AH1035" s="1">
        <f>A1035</f>
        <v/>
      </c>
      <c r="AI1035">
        <f>IF(ISNUMBER((1+V1035)*AI1034),(1+V1035)*AI1034,AI1034)</f>
        <v/>
      </c>
      <c r="AJ1035">
        <f>IF(ISNUMBER((1+Z1035)*AJ1034),(1+Z1035)*AJ1034,AJ1034)</f>
        <v/>
      </c>
    </row>
    <row r="1036">
      <c r="A1036" s="1" t="n">
        <v>43507</v>
      </c>
      <c r="B1036" s="3">
        <f>IF(ORIG!B1036=0,"",ORIG!B1036)</f>
        <v/>
      </c>
      <c r="C1036" s="3">
        <f>IF(ORIG!C1036=0,"",ORIG!C1036)</f>
        <v/>
      </c>
      <c r="D1036" s="3">
        <f>IF(ORIG!D1036=0,"",ORIG!D1036)</f>
        <v/>
      </c>
      <c r="E1036" s="3">
        <f>IF(ORIG!E1036=0,"",ORIG!E1036)</f>
        <v/>
      </c>
      <c r="F1036" s="3">
        <f>IF(ORIG!F1036=0,"",ORIG!F1036)</f>
        <v/>
      </c>
      <c r="G1036" s="3">
        <f>IF(ORIG!G1036=0,"",ORIG!G1036)</f>
        <v/>
      </c>
      <c r="H1036" s="3">
        <f>IF(ORIG!H1036=0,"",ORIG!H1036)</f>
        <v/>
      </c>
      <c r="I1036" s="3">
        <f>IF(ORIG!I1036=0,"",ORIG!I1036)</f>
        <v/>
      </c>
      <c r="J1036" s="3">
        <f>IF(ORIG!J1036=0,"",ORIG!J1036)</f>
        <v/>
      </c>
      <c r="K1036" s="3">
        <f>IF(ORIG!K1036=0,"",ORIG!K1036)</f>
        <v/>
      </c>
      <c r="L1036" s="3">
        <f>IF(ORIG!L1036=0,"",ORIG!L1036)</f>
        <v/>
      </c>
      <c r="M1036" s="3">
        <f>IF(ORIG!M1036=0,"",ORIG!M1036)</f>
        <v/>
      </c>
      <c r="N1036" s="3">
        <f>IF(ORIG!N1036=0,"",ORIG!N1036)</f>
        <v/>
      </c>
      <c r="O1036" s="3">
        <f>IF(ORIG!O1036=0,"",ORIG!O1036)</f>
        <v/>
      </c>
      <c r="P1036" s="3">
        <f>IF(ORIG!P1036=0,"",ORIG!P1036)</f>
        <v/>
      </c>
      <c r="Q1036" s="3">
        <f>IF(ORIG!Q1036=0,"",ORIG!Q1036)</f>
        <v/>
      </c>
      <c r="R1036" s="3">
        <f>IF(ORIG!R1036=0,"",ORIG!R1036)</f>
        <v/>
      </c>
      <c r="S1036" s="3">
        <f>IF(ORIG!S1036=0,"",ORIG!S1036)</f>
        <v/>
      </c>
      <c r="T1036" s="3">
        <f>IF(ORIG!T1036=0,"",ORIG!T1036)</f>
        <v/>
      </c>
      <c r="U1036" s="3">
        <f>IF(ORIG!U1036=0,"",ORIG!U1036)</f>
        <v/>
      </c>
      <c r="V1036" s="9">
        <f>IF(ORIG!V1036=0,"",ORIG!V1036)</f>
        <v/>
      </c>
      <c r="W1036" s="9">
        <f>IF(ORIG!W1036=0,"",ORIG!W1036)</f>
        <v/>
      </c>
      <c r="X1036" s="9">
        <f>IF(ORIG!X1036=0,"",ORIG!X1036)</f>
        <v/>
      </c>
      <c r="Y1036" s="9">
        <f>IF(ORIG!Y1036=0,"",ORIG!Y1036)</f>
        <v/>
      </c>
      <c r="Z1036" s="3">
        <f>SUMPRODUCT($B1036:$Y1036,$B$2649:$Y$2649)</f>
        <v/>
      </c>
      <c r="AA1036" s="3">
        <f>SUMPRODUCT($B1036:$Y1036,$B$2655:$Y$2655)</f>
        <v/>
      </c>
      <c r="AC1036" s="1">
        <f>A1036</f>
        <v/>
      </c>
      <c r="AD1036">
        <f>IF(ISNUMBER(V1036),V1036*($AB$1/V$2635),"")</f>
        <v/>
      </c>
      <c r="AE1036">
        <f>IF(ISNUMBER(Z1036),Z1036*($AB$1/Z$2635),"")</f>
        <v/>
      </c>
      <c r="AF1036" s="25">
        <f>IF(ISNUMBER(AD1036+AE1036),AD1036+AE1036,"")</f>
        <v/>
      </c>
      <c r="AH1036" s="1">
        <f>A1036</f>
        <v/>
      </c>
      <c r="AI1036">
        <f>IF(ISNUMBER((1+V1036)*AI1035),(1+V1036)*AI1035,AI1035)</f>
        <v/>
      </c>
      <c r="AJ1036">
        <f>IF(ISNUMBER((1+Z1036)*AJ1035),(1+Z1036)*AJ1035,AJ1035)</f>
        <v/>
      </c>
    </row>
    <row r="1037">
      <c r="A1037" s="1" t="n">
        <v>43508</v>
      </c>
      <c r="B1037" s="3">
        <f>IF(ORIG!B1037=0,"",ORIG!B1037)</f>
        <v/>
      </c>
      <c r="C1037" s="3">
        <f>IF(ORIG!C1037=0,"",ORIG!C1037)</f>
        <v/>
      </c>
      <c r="D1037" s="3">
        <f>IF(ORIG!D1037=0,"",ORIG!D1037)</f>
        <v/>
      </c>
      <c r="E1037" s="3">
        <f>IF(ORIG!E1037=0,"",ORIG!E1037)</f>
        <v/>
      </c>
      <c r="F1037" s="3">
        <f>IF(ORIG!F1037=0,"",ORIG!F1037)</f>
        <v/>
      </c>
      <c r="G1037" s="3">
        <f>IF(ORIG!G1037=0,"",ORIG!G1037)</f>
        <v/>
      </c>
      <c r="H1037" s="3">
        <f>IF(ORIG!H1037=0,"",ORIG!H1037)</f>
        <v/>
      </c>
      <c r="I1037" s="3">
        <f>IF(ORIG!I1037=0,"",ORIG!I1037)</f>
        <v/>
      </c>
      <c r="J1037" s="3">
        <f>IF(ORIG!J1037=0,"",ORIG!J1037)</f>
        <v/>
      </c>
      <c r="K1037" s="3">
        <f>IF(ORIG!K1037=0,"",ORIG!K1037)</f>
        <v/>
      </c>
      <c r="L1037" s="3">
        <f>IF(ORIG!L1037=0,"",ORIG!L1037)</f>
        <v/>
      </c>
      <c r="M1037" s="3">
        <f>IF(ORIG!M1037=0,"",ORIG!M1037)</f>
        <v/>
      </c>
      <c r="N1037" s="3">
        <f>IF(ORIG!N1037=0,"",ORIG!N1037)</f>
        <v/>
      </c>
      <c r="O1037" s="3">
        <f>IF(ORIG!O1037=0,"",ORIG!O1037)</f>
        <v/>
      </c>
      <c r="P1037" s="3">
        <f>IF(ORIG!P1037=0,"",ORIG!P1037)</f>
        <v/>
      </c>
      <c r="Q1037" s="3">
        <f>IF(ORIG!Q1037=0,"",ORIG!Q1037)</f>
        <v/>
      </c>
      <c r="R1037" s="3">
        <f>IF(ORIG!R1037=0,"",ORIG!R1037)</f>
        <v/>
      </c>
      <c r="S1037" s="3">
        <f>IF(ORIG!S1037=0,"",ORIG!S1037)</f>
        <v/>
      </c>
      <c r="T1037" s="3">
        <f>IF(ORIG!T1037=0,"",ORIG!T1037)</f>
        <v/>
      </c>
      <c r="U1037" s="3">
        <f>IF(ORIG!U1037=0,"",ORIG!U1037)</f>
        <v/>
      </c>
      <c r="V1037" s="9">
        <f>IF(ORIG!V1037=0,"",ORIG!V1037)</f>
        <v/>
      </c>
      <c r="W1037" s="9">
        <f>IF(ORIG!W1037=0,"",ORIG!W1037)</f>
        <v/>
      </c>
      <c r="X1037" s="9">
        <f>IF(ORIG!X1037=0,"",ORIG!X1037)</f>
        <v/>
      </c>
      <c r="Y1037" s="9">
        <f>IF(ORIG!Y1037=0,"",ORIG!Y1037)</f>
        <v/>
      </c>
      <c r="Z1037" s="3">
        <f>SUMPRODUCT($B1037:$Y1037,$B$2649:$Y$2649)</f>
        <v/>
      </c>
      <c r="AA1037" s="3">
        <f>SUMPRODUCT($B1037:$Y1037,$B$2655:$Y$2655)</f>
        <v/>
      </c>
      <c r="AC1037" s="1">
        <f>A1037</f>
        <v/>
      </c>
      <c r="AD1037">
        <f>IF(ISNUMBER(V1037),V1037*($AB$1/V$2635),"")</f>
        <v/>
      </c>
      <c r="AE1037">
        <f>IF(ISNUMBER(Z1037),Z1037*($AB$1/Z$2635),"")</f>
        <v/>
      </c>
      <c r="AF1037" s="25">
        <f>IF(ISNUMBER(AD1037+AE1037),AD1037+AE1037,"")</f>
        <v/>
      </c>
      <c r="AH1037" s="1">
        <f>A1037</f>
        <v/>
      </c>
      <c r="AI1037">
        <f>IF(ISNUMBER((1+V1037)*AI1036),(1+V1037)*AI1036,AI1036)</f>
        <v/>
      </c>
      <c r="AJ1037">
        <f>IF(ISNUMBER((1+Z1037)*AJ1036),(1+Z1037)*AJ1036,AJ1036)</f>
        <v/>
      </c>
    </row>
    <row r="1038">
      <c r="A1038" s="1" t="n">
        <v>43509</v>
      </c>
      <c r="B1038" s="3">
        <f>IF(ORIG!B1038=0,"",ORIG!B1038)</f>
        <v/>
      </c>
      <c r="C1038" s="3">
        <f>IF(ORIG!C1038=0,"",ORIG!C1038)</f>
        <v/>
      </c>
      <c r="D1038" s="3">
        <f>IF(ORIG!D1038=0,"",ORIG!D1038)</f>
        <v/>
      </c>
      <c r="E1038" s="3">
        <f>IF(ORIG!E1038=0,"",ORIG!E1038)</f>
        <v/>
      </c>
      <c r="F1038" s="3">
        <f>IF(ORIG!F1038=0,"",ORIG!F1038)</f>
        <v/>
      </c>
      <c r="G1038" s="3">
        <f>IF(ORIG!G1038=0,"",ORIG!G1038)</f>
        <v/>
      </c>
      <c r="H1038" s="3">
        <f>IF(ORIG!H1038=0,"",ORIG!H1038)</f>
        <v/>
      </c>
      <c r="I1038" s="3">
        <f>IF(ORIG!I1038=0,"",ORIG!I1038)</f>
        <v/>
      </c>
      <c r="J1038" s="3">
        <f>IF(ORIG!J1038=0,"",ORIG!J1038)</f>
        <v/>
      </c>
      <c r="K1038" s="3">
        <f>IF(ORIG!K1038=0,"",ORIG!K1038)</f>
        <v/>
      </c>
      <c r="L1038" s="3">
        <f>IF(ORIG!L1038=0,"",ORIG!L1038)</f>
        <v/>
      </c>
      <c r="M1038" s="3">
        <f>IF(ORIG!M1038=0,"",ORIG!M1038)</f>
        <v/>
      </c>
      <c r="N1038" s="3">
        <f>IF(ORIG!N1038=0,"",ORIG!N1038)</f>
        <v/>
      </c>
      <c r="O1038" s="3">
        <f>IF(ORIG!O1038=0,"",ORIG!O1038)</f>
        <v/>
      </c>
      <c r="P1038" s="3">
        <f>IF(ORIG!P1038=0,"",ORIG!P1038)</f>
        <v/>
      </c>
      <c r="Q1038" s="3">
        <f>IF(ORIG!Q1038=0,"",ORIG!Q1038)</f>
        <v/>
      </c>
      <c r="R1038" s="3">
        <f>IF(ORIG!R1038=0,"",ORIG!R1038)</f>
        <v/>
      </c>
      <c r="S1038" s="3">
        <f>IF(ORIG!S1038=0,"",ORIG!S1038)</f>
        <v/>
      </c>
      <c r="T1038" s="3">
        <f>IF(ORIG!T1038=0,"",ORIG!T1038)</f>
        <v/>
      </c>
      <c r="U1038" s="3">
        <f>IF(ORIG!U1038=0,"",ORIG!U1038)</f>
        <v/>
      </c>
      <c r="V1038" s="9">
        <f>IF(ORIG!V1038=0,"",ORIG!V1038)</f>
        <v/>
      </c>
      <c r="W1038" s="9">
        <f>IF(ORIG!W1038=0,"",ORIG!W1038)</f>
        <v/>
      </c>
      <c r="X1038" s="9">
        <f>IF(ORIG!X1038=0,"",ORIG!X1038)</f>
        <v/>
      </c>
      <c r="Y1038" s="9">
        <f>IF(ORIG!Y1038=0,"",ORIG!Y1038)</f>
        <v/>
      </c>
      <c r="Z1038" s="3">
        <f>SUMPRODUCT($B1038:$Y1038,$B$2649:$Y$2649)</f>
        <v/>
      </c>
      <c r="AA1038" s="3">
        <f>SUMPRODUCT($B1038:$Y1038,$B$2655:$Y$2655)</f>
        <v/>
      </c>
      <c r="AC1038" s="1">
        <f>A1038</f>
        <v/>
      </c>
      <c r="AD1038">
        <f>IF(ISNUMBER(V1038),V1038*($AB$1/V$2635),"")</f>
        <v/>
      </c>
      <c r="AE1038">
        <f>IF(ISNUMBER(Z1038),Z1038*($AB$1/Z$2635),"")</f>
        <v/>
      </c>
      <c r="AF1038" s="25">
        <f>IF(ISNUMBER(AD1038+AE1038),AD1038+AE1038,"")</f>
        <v/>
      </c>
      <c r="AH1038" s="1">
        <f>A1038</f>
        <v/>
      </c>
      <c r="AI1038">
        <f>IF(ISNUMBER((1+V1038)*AI1037),(1+V1038)*AI1037,AI1037)</f>
        <v/>
      </c>
      <c r="AJ1038">
        <f>IF(ISNUMBER((1+Z1038)*AJ1037),(1+Z1038)*AJ1037,AJ1037)</f>
        <v/>
      </c>
    </row>
    <row r="1039">
      <c r="A1039" s="1" t="n">
        <v>43510</v>
      </c>
      <c r="B1039" s="3">
        <f>IF(ORIG!B1039=0,"",ORIG!B1039)</f>
        <v/>
      </c>
      <c r="C1039" s="3">
        <f>IF(ORIG!C1039=0,"",ORIG!C1039)</f>
        <v/>
      </c>
      <c r="D1039" s="3">
        <f>IF(ORIG!D1039=0,"",ORIG!D1039)</f>
        <v/>
      </c>
      <c r="E1039" s="3">
        <f>IF(ORIG!E1039=0,"",ORIG!E1039)</f>
        <v/>
      </c>
      <c r="F1039" s="3">
        <f>IF(ORIG!F1039=0,"",ORIG!F1039)</f>
        <v/>
      </c>
      <c r="G1039" s="3">
        <f>IF(ORIG!G1039=0,"",ORIG!G1039)</f>
        <v/>
      </c>
      <c r="H1039" s="3">
        <f>IF(ORIG!H1039=0,"",ORIG!H1039)</f>
        <v/>
      </c>
      <c r="I1039" s="3">
        <f>IF(ORIG!I1039=0,"",ORIG!I1039)</f>
        <v/>
      </c>
      <c r="J1039" s="3">
        <f>IF(ORIG!J1039=0,"",ORIG!J1039)</f>
        <v/>
      </c>
      <c r="K1039" s="3">
        <f>IF(ORIG!K1039=0,"",ORIG!K1039)</f>
        <v/>
      </c>
      <c r="L1039" s="3">
        <f>IF(ORIG!L1039=0,"",ORIG!L1039)</f>
        <v/>
      </c>
      <c r="M1039" s="3">
        <f>IF(ORIG!M1039=0,"",ORIG!M1039)</f>
        <v/>
      </c>
      <c r="N1039" s="3">
        <f>IF(ORIG!N1039=0,"",ORIG!N1039)</f>
        <v/>
      </c>
      <c r="O1039" s="3">
        <f>IF(ORIG!O1039=0,"",ORIG!O1039)</f>
        <v/>
      </c>
      <c r="P1039" s="3">
        <f>IF(ORIG!P1039=0,"",ORIG!P1039)</f>
        <v/>
      </c>
      <c r="Q1039" s="3">
        <f>IF(ORIG!Q1039=0,"",ORIG!Q1039)</f>
        <v/>
      </c>
      <c r="R1039" s="3">
        <f>IF(ORIG!R1039=0,"",ORIG!R1039)</f>
        <v/>
      </c>
      <c r="S1039" s="3">
        <f>IF(ORIG!S1039=0,"",ORIG!S1039)</f>
        <v/>
      </c>
      <c r="T1039" s="3">
        <f>IF(ORIG!T1039=0,"",ORIG!T1039)</f>
        <v/>
      </c>
      <c r="U1039" s="3">
        <f>IF(ORIG!U1039=0,"",ORIG!U1039)</f>
        <v/>
      </c>
      <c r="V1039" s="9">
        <f>IF(ORIG!V1039=0,"",ORIG!V1039)</f>
        <v/>
      </c>
      <c r="W1039" s="9">
        <f>IF(ORIG!W1039=0,"",ORIG!W1039)</f>
        <v/>
      </c>
      <c r="X1039" s="9">
        <f>IF(ORIG!X1039=0,"",ORIG!X1039)</f>
        <v/>
      </c>
      <c r="Y1039" s="9">
        <f>IF(ORIG!Y1039=0,"",ORIG!Y1039)</f>
        <v/>
      </c>
      <c r="Z1039" s="3">
        <f>SUMPRODUCT($B1039:$Y1039,$B$2649:$Y$2649)</f>
        <v/>
      </c>
      <c r="AA1039" s="3">
        <f>SUMPRODUCT($B1039:$Y1039,$B$2655:$Y$2655)</f>
        <v/>
      </c>
      <c r="AC1039" s="1">
        <f>A1039</f>
        <v/>
      </c>
      <c r="AD1039">
        <f>IF(ISNUMBER(V1039),V1039*($AB$1/V$2635),"")</f>
        <v/>
      </c>
      <c r="AE1039">
        <f>IF(ISNUMBER(Z1039),Z1039*($AB$1/Z$2635),"")</f>
        <v/>
      </c>
      <c r="AF1039" s="25">
        <f>IF(ISNUMBER(AD1039+AE1039),AD1039+AE1039,"")</f>
        <v/>
      </c>
      <c r="AH1039" s="1">
        <f>A1039</f>
        <v/>
      </c>
      <c r="AI1039">
        <f>IF(ISNUMBER((1+V1039)*AI1038),(1+V1039)*AI1038,AI1038)</f>
        <v/>
      </c>
      <c r="AJ1039">
        <f>IF(ISNUMBER((1+Z1039)*AJ1038),(1+Z1039)*AJ1038,AJ1038)</f>
        <v/>
      </c>
    </row>
    <row r="1040">
      <c r="A1040" s="1" t="n">
        <v>43511</v>
      </c>
      <c r="B1040" s="3">
        <f>IF(ORIG!B1040=0,"",ORIG!B1040)</f>
        <v/>
      </c>
      <c r="C1040" s="3">
        <f>IF(ORIG!C1040=0,"",ORIG!C1040)</f>
        <v/>
      </c>
      <c r="D1040" s="3">
        <f>IF(ORIG!D1040=0,"",ORIG!D1040)</f>
        <v/>
      </c>
      <c r="E1040" s="3">
        <f>IF(ORIG!E1040=0,"",ORIG!E1040)</f>
        <v/>
      </c>
      <c r="F1040" s="3">
        <f>IF(ORIG!F1040=0,"",ORIG!F1040)</f>
        <v/>
      </c>
      <c r="G1040" s="3">
        <f>IF(ORIG!G1040=0,"",ORIG!G1040)</f>
        <v/>
      </c>
      <c r="H1040" s="3">
        <f>IF(ORIG!H1040=0,"",ORIG!H1040)</f>
        <v/>
      </c>
      <c r="I1040" s="3">
        <f>IF(ORIG!I1040=0,"",ORIG!I1040)</f>
        <v/>
      </c>
      <c r="J1040" s="3">
        <f>IF(ORIG!J1040=0,"",ORIG!J1040)</f>
        <v/>
      </c>
      <c r="K1040" s="3">
        <f>IF(ORIG!K1040=0,"",ORIG!K1040)</f>
        <v/>
      </c>
      <c r="L1040" s="3">
        <f>IF(ORIG!L1040=0,"",ORIG!L1040)</f>
        <v/>
      </c>
      <c r="M1040" s="3">
        <f>IF(ORIG!M1040=0,"",ORIG!M1040)</f>
        <v/>
      </c>
      <c r="N1040" s="3">
        <f>IF(ORIG!N1040=0,"",ORIG!N1040)</f>
        <v/>
      </c>
      <c r="O1040" s="3">
        <f>IF(ORIG!O1040=0,"",ORIG!O1040)</f>
        <v/>
      </c>
      <c r="P1040" s="3">
        <f>IF(ORIG!P1040=0,"",ORIG!P1040)</f>
        <v/>
      </c>
      <c r="Q1040" s="3">
        <f>IF(ORIG!Q1040=0,"",ORIG!Q1040)</f>
        <v/>
      </c>
      <c r="R1040" s="3">
        <f>IF(ORIG!R1040=0,"",ORIG!R1040)</f>
        <v/>
      </c>
      <c r="S1040" s="3">
        <f>IF(ORIG!S1040=0,"",ORIG!S1040)</f>
        <v/>
      </c>
      <c r="T1040" s="3">
        <f>IF(ORIG!T1040=0,"",ORIG!T1040)</f>
        <v/>
      </c>
      <c r="U1040" s="3">
        <f>IF(ORIG!U1040=0,"",ORIG!U1040)</f>
        <v/>
      </c>
      <c r="V1040" s="9">
        <f>IF(ORIG!V1040=0,"",ORIG!V1040)</f>
        <v/>
      </c>
      <c r="W1040" s="9">
        <f>IF(ORIG!W1040=0,"",ORIG!W1040)</f>
        <v/>
      </c>
      <c r="X1040" s="9">
        <f>IF(ORIG!X1040=0,"",ORIG!X1040)</f>
        <v/>
      </c>
      <c r="Y1040" s="9">
        <f>IF(ORIG!Y1040=0,"",ORIG!Y1040)</f>
        <v/>
      </c>
      <c r="Z1040" s="3">
        <f>SUMPRODUCT($B1040:$Y1040,$B$2649:$Y$2649)</f>
        <v/>
      </c>
      <c r="AA1040" s="3">
        <f>SUMPRODUCT($B1040:$Y1040,$B$2655:$Y$2655)</f>
        <v/>
      </c>
      <c r="AC1040" s="1">
        <f>A1040</f>
        <v/>
      </c>
      <c r="AD1040">
        <f>IF(ISNUMBER(V1040),V1040*($AB$1/V$2635),"")</f>
        <v/>
      </c>
      <c r="AE1040">
        <f>IF(ISNUMBER(Z1040),Z1040*($AB$1/Z$2635),"")</f>
        <v/>
      </c>
      <c r="AF1040" s="25">
        <f>IF(ISNUMBER(AD1040+AE1040),AD1040+AE1040,"")</f>
        <v/>
      </c>
      <c r="AH1040" s="1">
        <f>A1040</f>
        <v/>
      </c>
      <c r="AI1040">
        <f>IF(ISNUMBER((1+V1040)*AI1039),(1+V1040)*AI1039,AI1039)</f>
        <v/>
      </c>
      <c r="AJ1040">
        <f>IF(ISNUMBER((1+Z1040)*AJ1039),(1+Z1040)*AJ1039,AJ1039)</f>
        <v/>
      </c>
    </row>
    <row r="1041">
      <c r="A1041" s="1" t="n">
        <v>43515</v>
      </c>
      <c r="B1041" s="3">
        <f>IF(ORIG!B1041=0,"",ORIG!B1041)</f>
        <v/>
      </c>
      <c r="C1041" s="3">
        <f>IF(ORIG!C1041=0,"",ORIG!C1041)</f>
        <v/>
      </c>
      <c r="D1041" s="3">
        <f>IF(ORIG!D1041=0,"",ORIG!D1041)</f>
        <v/>
      </c>
      <c r="E1041" s="3">
        <f>IF(ORIG!E1041=0,"",ORIG!E1041)</f>
        <v/>
      </c>
      <c r="F1041" s="3">
        <f>IF(ORIG!F1041=0,"",ORIG!F1041)</f>
        <v/>
      </c>
      <c r="G1041" s="3">
        <f>IF(ORIG!G1041=0,"",ORIG!G1041)</f>
        <v/>
      </c>
      <c r="H1041" s="3">
        <f>IF(ORIG!H1041=0,"",ORIG!H1041)</f>
        <v/>
      </c>
      <c r="I1041" s="3">
        <f>IF(ORIG!I1041=0,"",ORIG!I1041)</f>
        <v/>
      </c>
      <c r="J1041" s="3">
        <f>IF(ORIG!J1041=0,"",ORIG!J1041)</f>
        <v/>
      </c>
      <c r="K1041" s="3">
        <f>IF(ORIG!K1041=0,"",ORIG!K1041)</f>
        <v/>
      </c>
      <c r="L1041" s="3">
        <f>IF(ORIG!L1041=0,"",ORIG!L1041)</f>
        <v/>
      </c>
      <c r="M1041" s="3">
        <f>IF(ORIG!M1041=0,"",ORIG!M1041)</f>
        <v/>
      </c>
      <c r="N1041" s="3">
        <f>IF(ORIG!N1041=0,"",ORIG!N1041)</f>
        <v/>
      </c>
      <c r="O1041" s="3">
        <f>IF(ORIG!O1041=0,"",ORIG!O1041)</f>
        <v/>
      </c>
      <c r="P1041" s="3">
        <f>IF(ORIG!P1041=0,"",ORIG!P1041)</f>
        <v/>
      </c>
      <c r="Q1041" s="3">
        <f>IF(ORIG!Q1041=0,"",ORIG!Q1041)</f>
        <v/>
      </c>
      <c r="R1041" s="3">
        <f>IF(ORIG!R1041=0,"",ORIG!R1041)</f>
        <v/>
      </c>
      <c r="S1041" s="3">
        <f>IF(ORIG!S1041=0,"",ORIG!S1041)</f>
        <v/>
      </c>
      <c r="T1041" s="3">
        <f>IF(ORIG!T1041=0,"",ORIG!T1041)</f>
        <v/>
      </c>
      <c r="U1041" s="3">
        <f>IF(ORIG!U1041=0,"",ORIG!U1041)</f>
        <v/>
      </c>
      <c r="V1041" s="9">
        <f>IF(ORIG!V1041=0,"",ORIG!V1041)</f>
        <v/>
      </c>
      <c r="W1041" s="9">
        <f>IF(ORIG!W1041=0,"",ORIG!W1041)</f>
        <v/>
      </c>
      <c r="X1041" s="9">
        <f>IF(ORIG!X1041=0,"",ORIG!X1041)</f>
        <v/>
      </c>
      <c r="Y1041" s="9">
        <f>IF(ORIG!Y1041=0,"",ORIG!Y1041)</f>
        <v/>
      </c>
      <c r="Z1041" s="3">
        <f>SUMPRODUCT($B1041:$Y1041,$B$2649:$Y$2649)</f>
        <v/>
      </c>
      <c r="AA1041" s="3">
        <f>SUMPRODUCT($B1041:$Y1041,$B$2655:$Y$2655)</f>
        <v/>
      </c>
      <c r="AC1041" s="1">
        <f>A1041</f>
        <v/>
      </c>
      <c r="AD1041">
        <f>IF(ISNUMBER(V1041),V1041*($AB$1/V$2635),"")</f>
        <v/>
      </c>
      <c r="AE1041">
        <f>IF(ISNUMBER(Z1041),Z1041*($AB$1/Z$2635),"")</f>
        <v/>
      </c>
      <c r="AF1041" s="25">
        <f>IF(ISNUMBER(AD1041+AE1041),AD1041+AE1041,"")</f>
        <v/>
      </c>
      <c r="AH1041" s="1">
        <f>A1041</f>
        <v/>
      </c>
      <c r="AI1041">
        <f>IF(ISNUMBER((1+V1041)*AI1040),(1+V1041)*AI1040,AI1040)</f>
        <v/>
      </c>
      <c r="AJ1041">
        <f>IF(ISNUMBER((1+Z1041)*AJ1040),(1+Z1041)*AJ1040,AJ1040)</f>
        <v/>
      </c>
    </row>
    <row r="1042">
      <c r="A1042" s="1" t="n">
        <v>43516</v>
      </c>
      <c r="B1042" s="3">
        <f>IF(ORIG!B1042=0,"",ORIG!B1042)</f>
        <v/>
      </c>
      <c r="C1042" s="3">
        <f>IF(ORIG!C1042=0,"",ORIG!C1042)</f>
        <v/>
      </c>
      <c r="D1042" s="3">
        <f>IF(ORIG!D1042=0,"",ORIG!D1042)</f>
        <v/>
      </c>
      <c r="E1042" s="3">
        <f>IF(ORIG!E1042=0,"",ORIG!E1042)</f>
        <v/>
      </c>
      <c r="F1042" s="3">
        <f>IF(ORIG!F1042=0,"",ORIG!F1042)</f>
        <v/>
      </c>
      <c r="G1042" s="3">
        <f>IF(ORIG!G1042=0,"",ORIG!G1042)</f>
        <v/>
      </c>
      <c r="H1042" s="3">
        <f>IF(ORIG!H1042=0,"",ORIG!H1042)</f>
        <v/>
      </c>
      <c r="I1042" s="3">
        <f>IF(ORIG!I1042=0,"",ORIG!I1042)</f>
        <v/>
      </c>
      <c r="J1042" s="3">
        <f>IF(ORIG!J1042=0,"",ORIG!J1042)</f>
        <v/>
      </c>
      <c r="K1042" s="3">
        <f>IF(ORIG!K1042=0,"",ORIG!K1042)</f>
        <v/>
      </c>
      <c r="L1042" s="3">
        <f>IF(ORIG!L1042=0,"",ORIG!L1042)</f>
        <v/>
      </c>
      <c r="M1042" s="3">
        <f>IF(ORIG!M1042=0,"",ORIG!M1042)</f>
        <v/>
      </c>
      <c r="N1042" s="3">
        <f>IF(ORIG!N1042=0,"",ORIG!N1042)</f>
        <v/>
      </c>
      <c r="O1042" s="3">
        <f>IF(ORIG!O1042=0,"",ORIG!O1042)</f>
        <v/>
      </c>
      <c r="P1042" s="3">
        <f>IF(ORIG!P1042=0,"",ORIG!P1042)</f>
        <v/>
      </c>
      <c r="Q1042" s="3">
        <f>IF(ORIG!Q1042=0,"",ORIG!Q1042)</f>
        <v/>
      </c>
      <c r="R1042" s="3">
        <f>IF(ORIG!R1042=0,"",ORIG!R1042)</f>
        <v/>
      </c>
      <c r="S1042" s="3">
        <f>IF(ORIG!S1042=0,"",ORIG!S1042)</f>
        <v/>
      </c>
      <c r="T1042" s="3">
        <f>IF(ORIG!T1042=0,"",ORIG!T1042)</f>
        <v/>
      </c>
      <c r="U1042" s="3">
        <f>IF(ORIG!U1042=0,"",ORIG!U1042)</f>
        <v/>
      </c>
      <c r="V1042" s="9">
        <f>IF(ORIG!V1042=0,"",ORIG!V1042)</f>
        <v/>
      </c>
      <c r="W1042" s="9">
        <f>IF(ORIG!W1042=0,"",ORIG!W1042)</f>
        <v/>
      </c>
      <c r="X1042" s="9">
        <f>IF(ORIG!X1042=0,"",ORIG!X1042)</f>
        <v/>
      </c>
      <c r="Y1042" s="9">
        <f>IF(ORIG!Y1042=0,"",ORIG!Y1042)</f>
        <v/>
      </c>
      <c r="Z1042" s="3">
        <f>SUMPRODUCT($B1042:$Y1042,$B$2649:$Y$2649)</f>
        <v/>
      </c>
      <c r="AA1042" s="3">
        <f>SUMPRODUCT($B1042:$Y1042,$B$2655:$Y$2655)</f>
        <v/>
      </c>
      <c r="AC1042" s="1">
        <f>A1042</f>
        <v/>
      </c>
      <c r="AD1042">
        <f>IF(ISNUMBER(V1042),V1042*($AB$1/V$2635),"")</f>
        <v/>
      </c>
      <c r="AE1042">
        <f>IF(ISNUMBER(Z1042),Z1042*($AB$1/Z$2635),"")</f>
        <v/>
      </c>
      <c r="AF1042" s="25">
        <f>IF(ISNUMBER(AD1042+AE1042),AD1042+AE1042,"")</f>
        <v/>
      </c>
      <c r="AH1042" s="1">
        <f>A1042</f>
        <v/>
      </c>
      <c r="AI1042">
        <f>IF(ISNUMBER((1+V1042)*AI1041),(1+V1042)*AI1041,AI1041)</f>
        <v/>
      </c>
      <c r="AJ1042">
        <f>IF(ISNUMBER((1+Z1042)*AJ1041),(1+Z1042)*AJ1041,AJ1041)</f>
        <v/>
      </c>
    </row>
    <row r="1043">
      <c r="A1043" s="1" t="n">
        <v>43517</v>
      </c>
      <c r="B1043" s="3">
        <f>IF(ORIG!B1043=0,"",ORIG!B1043)</f>
        <v/>
      </c>
      <c r="C1043" s="3">
        <f>IF(ORIG!C1043=0,"",ORIG!C1043)</f>
        <v/>
      </c>
      <c r="D1043" s="3">
        <f>IF(ORIG!D1043=0,"",ORIG!D1043)</f>
        <v/>
      </c>
      <c r="E1043" s="3">
        <f>IF(ORIG!E1043=0,"",ORIG!E1043)</f>
        <v/>
      </c>
      <c r="F1043" s="3">
        <f>IF(ORIG!F1043=0,"",ORIG!F1043)</f>
        <v/>
      </c>
      <c r="G1043" s="3">
        <f>IF(ORIG!G1043=0,"",ORIG!G1043)</f>
        <v/>
      </c>
      <c r="H1043" s="3">
        <f>IF(ORIG!H1043=0,"",ORIG!H1043)</f>
        <v/>
      </c>
      <c r="I1043" s="3">
        <f>IF(ORIG!I1043=0,"",ORIG!I1043)</f>
        <v/>
      </c>
      <c r="J1043" s="3">
        <f>IF(ORIG!J1043=0,"",ORIG!J1043)</f>
        <v/>
      </c>
      <c r="K1043" s="3">
        <f>IF(ORIG!K1043=0,"",ORIG!K1043)</f>
        <v/>
      </c>
      <c r="L1043" s="3">
        <f>IF(ORIG!L1043=0,"",ORIG!L1043)</f>
        <v/>
      </c>
      <c r="M1043" s="3">
        <f>IF(ORIG!M1043=0,"",ORIG!M1043)</f>
        <v/>
      </c>
      <c r="N1043" s="3">
        <f>IF(ORIG!N1043=0,"",ORIG!N1043)</f>
        <v/>
      </c>
      <c r="O1043" s="3">
        <f>IF(ORIG!O1043=0,"",ORIG!O1043)</f>
        <v/>
      </c>
      <c r="P1043" s="3">
        <f>IF(ORIG!P1043=0,"",ORIG!P1043)</f>
        <v/>
      </c>
      <c r="Q1043" s="3">
        <f>IF(ORIG!Q1043=0,"",ORIG!Q1043)</f>
        <v/>
      </c>
      <c r="R1043" s="3">
        <f>IF(ORIG!R1043=0,"",ORIG!R1043)</f>
        <v/>
      </c>
      <c r="S1043" s="3">
        <f>IF(ORIG!S1043=0,"",ORIG!S1043)</f>
        <v/>
      </c>
      <c r="T1043" s="3">
        <f>IF(ORIG!T1043=0,"",ORIG!T1043)</f>
        <v/>
      </c>
      <c r="U1043" s="3">
        <f>IF(ORIG!U1043=0,"",ORIG!U1043)</f>
        <v/>
      </c>
      <c r="V1043" s="9">
        <f>IF(ORIG!V1043=0,"",ORIG!V1043)</f>
        <v/>
      </c>
      <c r="W1043" s="9">
        <f>IF(ORIG!W1043=0,"",ORIG!W1043)</f>
        <v/>
      </c>
      <c r="X1043" s="9">
        <f>IF(ORIG!X1043=0,"",ORIG!X1043)</f>
        <v/>
      </c>
      <c r="Y1043" s="9">
        <f>IF(ORIG!Y1043=0,"",ORIG!Y1043)</f>
        <v/>
      </c>
      <c r="Z1043" s="3">
        <f>SUMPRODUCT($B1043:$Y1043,$B$2649:$Y$2649)</f>
        <v/>
      </c>
      <c r="AA1043" s="3">
        <f>SUMPRODUCT($B1043:$Y1043,$B$2655:$Y$2655)</f>
        <v/>
      </c>
      <c r="AC1043" s="1">
        <f>A1043</f>
        <v/>
      </c>
      <c r="AD1043">
        <f>IF(ISNUMBER(V1043),V1043*($AB$1/V$2635),"")</f>
        <v/>
      </c>
      <c r="AE1043">
        <f>IF(ISNUMBER(Z1043),Z1043*($AB$1/Z$2635),"")</f>
        <v/>
      </c>
      <c r="AF1043" s="25">
        <f>IF(ISNUMBER(AD1043+AE1043),AD1043+AE1043,"")</f>
        <v/>
      </c>
      <c r="AH1043" s="1">
        <f>A1043</f>
        <v/>
      </c>
      <c r="AI1043">
        <f>IF(ISNUMBER((1+V1043)*AI1042),(1+V1043)*AI1042,AI1042)</f>
        <v/>
      </c>
      <c r="AJ1043">
        <f>IF(ISNUMBER((1+Z1043)*AJ1042),(1+Z1043)*AJ1042,AJ1042)</f>
        <v/>
      </c>
    </row>
    <row r="1044">
      <c r="A1044" s="1" t="n">
        <v>43518</v>
      </c>
      <c r="B1044" s="3">
        <f>IF(ORIG!B1044=0,"",ORIG!B1044)</f>
        <v/>
      </c>
      <c r="C1044" s="3">
        <f>IF(ORIG!C1044=0,"",ORIG!C1044)</f>
        <v/>
      </c>
      <c r="D1044" s="3">
        <f>IF(ORIG!D1044=0,"",ORIG!D1044)</f>
        <v/>
      </c>
      <c r="E1044" s="3">
        <f>IF(ORIG!E1044=0,"",ORIG!E1044)</f>
        <v/>
      </c>
      <c r="F1044" s="3">
        <f>IF(ORIG!F1044=0,"",ORIG!F1044)</f>
        <v/>
      </c>
      <c r="G1044" s="3">
        <f>IF(ORIG!G1044=0,"",ORIG!G1044)</f>
        <v/>
      </c>
      <c r="H1044" s="3">
        <f>IF(ORIG!H1044=0,"",ORIG!H1044)</f>
        <v/>
      </c>
      <c r="I1044" s="3">
        <f>IF(ORIG!I1044=0,"",ORIG!I1044)</f>
        <v/>
      </c>
      <c r="J1044" s="3">
        <f>IF(ORIG!J1044=0,"",ORIG!J1044)</f>
        <v/>
      </c>
      <c r="K1044" s="3">
        <f>IF(ORIG!K1044=0,"",ORIG!K1044)</f>
        <v/>
      </c>
      <c r="L1044" s="3">
        <f>IF(ORIG!L1044=0,"",ORIG!L1044)</f>
        <v/>
      </c>
      <c r="M1044" s="3">
        <f>IF(ORIG!M1044=0,"",ORIG!M1044)</f>
        <v/>
      </c>
      <c r="N1044" s="3">
        <f>IF(ORIG!N1044=0,"",ORIG!N1044)</f>
        <v/>
      </c>
      <c r="O1044" s="3">
        <f>IF(ORIG!O1044=0,"",ORIG!O1044)</f>
        <v/>
      </c>
      <c r="P1044" s="3">
        <f>IF(ORIG!P1044=0,"",ORIG!P1044)</f>
        <v/>
      </c>
      <c r="Q1044" s="3">
        <f>IF(ORIG!Q1044=0,"",ORIG!Q1044)</f>
        <v/>
      </c>
      <c r="R1044" s="3">
        <f>IF(ORIG!R1044=0,"",ORIG!R1044)</f>
        <v/>
      </c>
      <c r="S1044" s="3">
        <f>IF(ORIG!S1044=0,"",ORIG!S1044)</f>
        <v/>
      </c>
      <c r="T1044" s="3">
        <f>IF(ORIG!T1044=0,"",ORIG!T1044)</f>
        <v/>
      </c>
      <c r="U1044" s="3">
        <f>IF(ORIG!U1044=0,"",ORIG!U1044)</f>
        <v/>
      </c>
      <c r="V1044" s="9">
        <f>IF(ORIG!V1044=0,"",ORIG!V1044)</f>
        <v/>
      </c>
      <c r="W1044" s="9">
        <f>IF(ORIG!W1044=0,"",ORIG!W1044)</f>
        <v/>
      </c>
      <c r="X1044" s="9">
        <f>IF(ORIG!X1044=0,"",ORIG!X1044)</f>
        <v/>
      </c>
      <c r="Y1044" s="9">
        <f>IF(ORIG!Y1044=0,"",ORIG!Y1044)</f>
        <v/>
      </c>
      <c r="Z1044" s="3">
        <f>SUMPRODUCT($B1044:$Y1044,$B$2649:$Y$2649)</f>
        <v/>
      </c>
      <c r="AA1044" s="3">
        <f>SUMPRODUCT($B1044:$Y1044,$B$2655:$Y$2655)</f>
        <v/>
      </c>
      <c r="AC1044" s="1">
        <f>A1044</f>
        <v/>
      </c>
      <c r="AD1044">
        <f>IF(ISNUMBER(V1044),V1044*($AB$1/V$2635),"")</f>
        <v/>
      </c>
      <c r="AE1044">
        <f>IF(ISNUMBER(Z1044),Z1044*($AB$1/Z$2635),"")</f>
        <v/>
      </c>
      <c r="AF1044" s="25">
        <f>IF(ISNUMBER(AD1044+AE1044),AD1044+AE1044,"")</f>
        <v/>
      </c>
      <c r="AH1044" s="1">
        <f>A1044</f>
        <v/>
      </c>
      <c r="AI1044">
        <f>IF(ISNUMBER((1+V1044)*AI1043),(1+V1044)*AI1043,AI1043)</f>
        <v/>
      </c>
      <c r="AJ1044">
        <f>IF(ISNUMBER((1+Z1044)*AJ1043),(1+Z1044)*AJ1043,AJ1043)</f>
        <v/>
      </c>
    </row>
    <row r="1045">
      <c r="A1045" s="1" t="n">
        <v>43521</v>
      </c>
      <c r="B1045" s="3">
        <f>IF(ORIG!B1045=0,"",ORIG!B1045)</f>
        <v/>
      </c>
      <c r="C1045" s="3">
        <f>IF(ORIG!C1045=0,"",ORIG!C1045)</f>
        <v/>
      </c>
      <c r="D1045" s="3">
        <f>IF(ORIG!D1045=0,"",ORIG!D1045)</f>
        <v/>
      </c>
      <c r="E1045" s="3">
        <f>IF(ORIG!E1045=0,"",ORIG!E1045)</f>
        <v/>
      </c>
      <c r="F1045" s="3">
        <f>IF(ORIG!F1045=0,"",ORIG!F1045)</f>
        <v/>
      </c>
      <c r="G1045" s="3">
        <f>IF(ORIG!G1045=0,"",ORIG!G1045)</f>
        <v/>
      </c>
      <c r="H1045" s="3">
        <f>IF(ORIG!H1045=0,"",ORIG!H1045)</f>
        <v/>
      </c>
      <c r="I1045" s="3">
        <f>IF(ORIG!I1045=0,"",ORIG!I1045)</f>
        <v/>
      </c>
      <c r="J1045" s="3">
        <f>IF(ORIG!J1045=0,"",ORIG!J1045)</f>
        <v/>
      </c>
      <c r="K1045" s="3">
        <f>IF(ORIG!K1045=0,"",ORIG!K1045)</f>
        <v/>
      </c>
      <c r="L1045" s="3">
        <f>IF(ORIG!L1045=0,"",ORIG!L1045)</f>
        <v/>
      </c>
      <c r="M1045" s="3">
        <f>IF(ORIG!M1045=0,"",ORIG!M1045)</f>
        <v/>
      </c>
      <c r="N1045" s="3">
        <f>IF(ORIG!N1045=0,"",ORIG!N1045)</f>
        <v/>
      </c>
      <c r="O1045" s="3">
        <f>IF(ORIG!O1045=0,"",ORIG!O1045)</f>
        <v/>
      </c>
      <c r="P1045" s="3">
        <f>IF(ORIG!P1045=0,"",ORIG!P1045)</f>
        <v/>
      </c>
      <c r="Q1045" s="3">
        <f>IF(ORIG!Q1045=0,"",ORIG!Q1045)</f>
        <v/>
      </c>
      <c r="R1045" s="3">
        <f>IF(ORIG!R1045=0,"",ORIG!R1045)</f>
        <v/>
      </c>
      <c r="S1045" s="3">
        <f>IF(ORIG!S1045=0,"",ORIG!S1045)</f>
        <v/>
      </c>
      <c r="T1045" s="3">
        <f>IF(ORIG!T1045=0,"",ORIG!T1045)</f>
        <v/>
      </c>
      <c r="U1045" s="3">
        <f>IF(ORIG!U1045=0,"",ORIG!U1045)</f>
        <v/>
      </c>
      <c r="V1045" s="9">
        <f>IF(ORIG!V1045=0,"",ORIG!V1045)</f>
        <v/>
      </c>
      <c r="W1045" s="9">
        <f>IF(ORIG!W1045=0,"",ORIG!W1045)</f>
        <v/>
      </c>
      <c r="X1045" s="9">
        <f>IF(ORIG!X1045=0,"",ORIG!X1045)</f>
        <v/>
      </c>
      <c r="Y1045" s="9">
        <f>IF(ORIG!Y1045=0,"",ORIG!Y1045)</f>
        <v/>
      </c>
      <c r="Z1045" s="3">
        <f>SUMPRODUCT($B1045:$Y1045,$B$2649:$Y$2649)</f>
        <v/>
      </c>
      <c r="AA1045" s="3">
        <f>SUMPRODUCT($B1045:$Y1045,$B$2655:$Y$2655)</f>
        <v/>
      </c>
      <c r="AC1045" s="1">
        <f>A1045</f>
        <v/>
      </c>
      <c r="AD1045">
        <f>IF(ISNUMBER(V1045),V1045*($AB$1/V$2635),"")</f>
        <v/>
      </c>
      <c r="AE1045">
        <f>IF(ISNUMBER(Z1045),Z1045*($AB$1/Z$2635),"")</f>
        <v/>
      </c>
      <c r="AF1045" s="25">
        <f>IF(ISNUMBER(AD1045+AE1045),AD1045+AE1045,"")</f>
        <v/>
      </c>
      <c r="AH1045" s="1">
        <f>A1045</f>
        <v/>
      </c>
      <c r="AI1045">
        <f>IF(ISNUMBER((1+V1045)*AI1044),(1+V1045)*AI1044,AI1044)</f>
        <v/>
      </c>
      <c r="AJ1045">
        <f>IF(ISNUMBER((1+Z1045)*AJ1044),(1+Z1045)*AJ1044,AJ1044)</f>
        <v/>
      </c>
    </row>
    <row r="1046">
      <c r="A1046" s="1" t="n">
        <v>43522</v>
      </c>
      <c r="B1046" s="3">
        <f>IF(ORIG!B1046=0,"",ORIG!B1046)</f>
        <v/>
      </c>
      <c r="C1046" s="3">
        <f>IF(ORIG!C1046=0,"",ORIG!C1046)</f>
        <v/>
      </c>
      <c r="D1046" s="3">
        <f>IF(ORIG!D1046=0,"",ORIG!D1046)</f>
        <v/>
      </c>
      <c r="E1046" s="3">
        <f>IF(ORIG!E1046=0,"",ORIG!E1046)</f>
        <v/>
      </c>
      <c r="F1046" s="3">
        <f>IF(ORIG!F1046=0,"",ORIG!F1046)</f>
        <v/>
      </c>
      <c r="G1046" s="3">
        <f>IF(ORIG!G1046=0,"",ORIG!G1046)</f>
        <v/>
      </c>
      <c r="H1046" s="3">
        <f>IF(ORIG!H1046=0,"",ORIG!H1046)</f>
        <v/>
      </c>
      <c r="I1046" s="3">
        <f>IF(ORIG!I1046=0,"",ORIG!I1046)</f>
        <v/>
      </c>
      <c r="J1046" s="3">
        <f>IF(ORIG!J1046=0,"",ORIG!J1046)</f>
        <v/>
      </c>
      <c r="K1046" s="3">
        <f>IF(ORIG!K1046=0,"",ORIG!K1046)</f>
        <v/>
      </c>
      <c r="L1046" s="3">
        <f>IF(ORIG!L1046=0,"",ORIG!L1046)</f>
        <v/>
      </c>
      <c r="M1046" s="3">
        <f>IF(ORIG!M1046=0,"",ORIG!M1046)</f>
        <v/>
      </c>
      <c r="N1046" s="3">
        <f>IF(ORIG!N1046=0,"",ORIG!N1046)</f>
        <v/>
      </c>
      <c r="O1046" s="3">
        <f>IF(ORIG!O1046=0,"",ORIG!O1046)</f>
        <v/>
      </c>
      <c r="P1046" s="3">
        <f>IF(ORIG!P1046=0,"",ORIG!P1046)</f>
        <v/>
      </c>
      <c r="Q1046" s="3">
        <f>IF(ORIG!Q1046=0,"",ORIG!Q1046)</f>
        <v/>
      </c>
      <c r="R1046" s="3">
        <f>IF(ORIG!R1046=0,"",ORIG!R1046)</f>
        <v/>
      </c>
      <c r="S1046" s="3">
        <f>IF(ORIG!S1046=0,"",ORIG!S1046)</f>
        <v/>
      </c>
      <c r="T1046" s="3">
        <f>IF(ORIG!T1046=0,"",ORIG!T1046)</f>
        <v/>
      </c>
      <c r="U1046" s="3">
        <f>IF(ORIG!U1046=0,"",ORIG!U1046)</f>
        <v/>
      </c>
      <c r="V1046" s="9">
        <f>IF(ORIG!V1046=0,"",ORIG!V1046)</f>
        <v/>
      </c>
      <c r="W1046" s="9">
        <f>IF(ORIG!W1046=0,"",ORIG!W1046)</f>
        <v/>
      </c>
      <c r="X1046" s="9">
        <f>IF(ORIG!X1046=0,"",ORIG!X1046)</f>
        <v/>
      </c>
      <c r="Y1046" s="9">
        <f>IF(ORIG!Y1046=0,"",ORIG!Y1046)</f>
        <v/>
      </c>
      <c r="Z1046" s="3">
        <f>SUMPRODUCT($B1046:$Y1046,$B$2649:$Y$2649)</f>
        <v/>
      </c>
      <c r="AA1046" s="3">
        <f>SUMPRODUCT($B1046:$Y1046,$B$2655:$Y$2655)</f>
        <v/>
      </c>
      <c r="AC1046" s="1">
        <f>A1046</f>
        <v/>
      </c>
      <c r="AD1046">
        <f>IF(ISNUMBER(V1046),V1046*($AB$1/V$2635),"")</f>
        <v/>
      </c>
      <c r="AE1046">
        <f>IF(ISNUMBER(Z1046),Z1046*($AB$1/Z$2635),"")</f>
        <v/>
      </c>
      <c r="AF1046" s="25">
        <f>IF(ISNUMBER(AD1046+AE1046),AD1046+AE1046,"")</f>
        <v/>
      </c>
      <c r="AH1046" s="1">
        <f>A1046</f>
        <v/>
      </c>
      <c r="AI1046">
        <f>IF(ISNUMBER((1+V1046)*AI1045),(1+V1046)*AI1045,AI1045)</f>
        <v/>
      </c>
      <c r="AJ1046">
        <f>IF(ISNUMBER((1+Z1046)*AJ1045),(1+Z1046)*AJ1045,AJ1045)</f>
        <v/>
      </c>
    </row>
    <row r="1047">
      <c r="A1047" s="1" t="n">
        <v>43523</v>
      </c>
      <c r="B1047" s="3">
        <f>IF(ORIG!B1047=0,"",ORIG!B1047)</f>
        <v/>
      </c>
      <c r="C1047" s="3">
        <f>IF(ORIG!C1047=0,"",ORIG!C1047)</f>
        <v/>
      </c>
      <c r="D1047" s="3">
        <f>IF(ORIG!D1047=0,"",ORIG!D1047)</f>
        <v/>
      </c>
      <c r="E1047" s="3">
        <f>IF(ORIG!E1047=0,"",ORIG!E1047)</f>
        <v/>
      </c>
      <c r="F1047" s="3">
        <f>IF(ORIG!F1047=0,"",ORIG!F1047)</f>
        <v/>
      </c>
      <c r="G1047" s="3">
        <f>IF(ORIG!G1047=0,"",ORIG!G1047)</f>
        <v/>
      </c>
      <c r="H1047" s="3">
        <f>IF(ORIG!H1047=0,"",ORIG!H1047)</f>
        <v/>
      </c>
      <c r="I1047" s="3">
        <f>IF(ORIG!I1047=0,"",ORIG!I1047)</f>
        <v/>
      </c>
      <c r="J1047" s="3">
        <f>IF(ORIG!J1047=0,"",ORIG!J1047)</f>
        <v/>
      </c>
      <c r="K1047" s="3">
        <f>IF(ORIG!K1047=0,"",ORIG!K1047)</f>
        <v/>
      </c>
      <c r="L1047" s="3">
        <f>IF(ORIG!L1047=0,"",ORIG!L1047)</f>
        <v/>
      </c>
      <c r="M1047" s="3">
        <f>IF(ORIG!M1047=0,"",ORIG!M1047)</f>
        <v/>
      </c>
      <c r="N1047" s="3">
        <f>IF(ORIG!N1047=0,"",ORIG!N1047)</f>
        <v/>
      </c>
      <c r="O1047" s="3">
        <f>IF(ORIG!O1047=0,"",ORIG!O1047)</f>
        <v/>
      </c>
      <c r="P1047" s="3">
        <f>IF(ORIG!P1047=0,"",ORIG!P1047)</f>
        <v/>
      </c>
      <c r="Q1047" s="3">
        <f>IF(ORIG!Q1047=0,"",ORIG!Q1047)</f>
        <v/>
      </c>
      <c r="R1047" s="3">
        <f>IF(ORIG!R1047=0,"",ORIG!R1047)</f>
        <v/>
      </c>
      <c r="S1047" s="3">
        <f>IF(ORIG!S1047=0,"",ORIG!S1047)</f>
        <v/>
      </c>
      <c r="T1047" s="3">
        <f>IF(ORIG!T1047=0,"",ORIG!T1047)</f>
        <v/>
      </c>
      <c r="U1047" s="3">
        <f>IF(ORIG!U1047=0,"",ORIG!U1047)</f>
        <v/>
      </c>
      <c r="V1047" s="9">
        <f>IF(ORIG!V1047=0,"",ORIG!V1047)</f>
        <v/>
      </c>
      <c r="W1047" s="9">
        <f>IF(ORIG!W1047=0,"",ORIG!W1047)</f>
        <v/>
      </c>
      <c r="X1047" s="9">
        <f>IF(ORIG!X1047=0,"",ORIG!X1047)</f>
        <v/>
      </c>
      <c r="Y1047" s="9">
        <f>IF(ORIG!Y1047=0,"",ORIG!Y1047)</f>
        <v/>
      </c>
      <c r="Z1047" s="3">
        <f>SUMPRODUCT($B1047:$Y1047,$B$2649:$Y$2649)</f>
        <v/>
      </c>
      <c r="AA1047" s="3">
        <f>SUMPRODUCT($B1047:$Y1047,$B$2655:$Y$2655)</f>
        <v/>
      </c>
      <c r="AC1047" s="1">
        <f>A1047</f>
        <v/>
      </c>
      <c r="AD1047">
        <f>IF(ISNUMBER(V1047),V1047*($AB$1/V$2635),"")</f>
        <v/>
      </c>
      <c r="AE1047">
        <f>IF(ISNUMBER(Z1047),Z1047*($AB$1/Z$2635),"")</f>
        <v/>
      </c>
      <c r="AF1047" s="25">
        <f>IF(ISNUMBER(AD1047+AE1047),AD1047+AE1047,"")</f>
        <v/>
      </c>
      <c r="AH1047" s="1">
        <f>A1047</f>
        <v/>
      </c>
      <c r="AI1047">
        <f>IF(ISNUMBER((1+V1047)*AI1046),(1+V1047)*AI1046,AI1046)</f>
        <v/>
      </c>
      <c r="AJ1047">
        <f>IF(ISNUMBER((1+Z1047)*AJ1046),(1+Z1047)*AJ1046,AJ1046)</f>
        <v/>
      </c>
    </row>
    <row r="1048">
      <c r="A1048" s="1" t="n">
        <v>43524</v>
      </c>
      <c r="B1048" s="3">
        <f>IF(ORIG!B1048=0,"",ORIG!B1048)</f>
        <v/>
      </c>
      <c r="C1048" s="3">
        <f>IF(ORIG!C1048=0,"",ORIG!C1048)</f>
        <v/>
      </c>
      <c r="D1048" s="3">
        <f>IF(ORIG!D1048=0,"",ORIG!D1048)</f>
        <v/>
      </c>
      <c r="E1048" s="3">
        <f>IF(ORIG!E1048=0,"",ORIG!E1048)</f>
        <v/>
      </c>
      <c r="F1048" s="3">
        <f>IF(ORIG!F1048=0,"",ORIG!F1048)</f>
        <v/>
      </c>
      <c r="G1048" s="3">
        <f>IF(ORIG!G1048=0,"",ORIG!G1048)</f>
        <v/>
      </c>
      <c r="H1048" s="3">
        <f>IF(ORIG!H1048=0,"",ORIG!H1048)</f>
        <v/>
      </c>
      <c r="I1048" s="3">
        <f>IF(ORIG!I1048=0,"",ORIG!I1048)</f>
        <v/>
      </c>
      <c r="J1048" s="3">
        <f>IF(ORIG!J1048=0,"",ORIG!J1048)</f>
        <v/>
      </c>
      <c r="K1048" s="3">
        <f>IF(ORIG!K1048=0,"",ORIG!K1048)</f>
        <v/>
      </c>
      <c r="L1048" s="3">
        <f>IF(ORIG!L1048=0,"",ORIG!L1048)</f>
        <v/>
      </c>
      <c r="M1048" s="3">
        <f>IF(ORIG!M1048=0,"",ORIG!M1048)</f>
        <v/>
      </c>
      <c r="N1048" s="3">
        <f>IF(ORIG!N1048=0,"",ORIG!N1048)</f>
        <v/>
      </c>
      <c r="O1048" s="3">
        <f>IF(ORIG!O1048=0,"",ORIG!O1048)</f>
        <v/>
      </c>
      <c r="P1048" s="3">
        <f>IF(ORIG!P1048=0,"",ORIG!P1048)</f>
        <v/>
      </c>
      <c r="Q1048" s="3">
        <f>IF(ORIG!Q1048=0,"",ORIG!Q1048)</f>
        <v/>
      </c>
      <c r="R1048" s="3">
        <f>IF(ORIG!R1048=0,"",ORIG!R1048)</f>
        <v/>
      </c>
      <c r="S1048" s="3">
        <f>IF(ORIG!S1048=0,"",ORIG!S1048)</f>
        <v/>
      </c>
      <c r="T1048" s="3">
        <f>IF(ORIG!T1048=0,"",ORIG!T1048)</f>
        <v/>
      </c>
      <c r="U1048" s="3">
        <f>IF(ORIG!U1048=0,"",ORIG!U1048)</f>
        <v/>
      </c>
      <c r="V1048" s="9">
        <f>IF(ORIG!V1048=0,"",ORIG!V1048)</f>
        <v/>
      </c>
      <c r="W1048" s="9">
        <f>IF(ORIG!W1048=0,"",ORIG!W1048)</f>
        <v/>
      </c>
      <c r="X1048" s="9">
        <f>IF(ORIG!X1048=0,"",ORIG!X1048)</f>
        <v/>
      </c>
      <c r="Y1048" s="9">
        <f>IF(ORIG!Y1048=0,"",ORIG!Y1048)</f>
        <v/>
      </c>
      <c r="Z1048" s="3">
        <f>SUMPRODUCT($B1048:$Y1048,$B$2649:$Y$2649)</f>
        <v/>
      </c>
      <c r="AA1048" s="3">
        <f>SUMPRODUCT($B1048:$Y1048,$B$2655:$Y$2655)</f>
        <v/>
      </c>
      <c r="AC1048" s="1">
        <f>A1048</f>
        <v/>
      </c>
      <c r="AD1048">
        <f>IF(ISNUMBER(V1048),V1048*($AB$1/V$2635),"")</f>
        <v/>
      </c>
      <c r="AE1048">
        <f>IF(ISNUMBER(Z1048),Z1048*($AB$1/Z$2635),"")</f>
        <v/>
      </c>
      <c r="AF1048" s="25">
        <f>IF(ISNUMBER(AD1048+AE1048),AD1048+AE1048,"")</f>
        <v/>
      </c>
      <c r="AH1048" s="1">
        <f>A1048</f>
        <v/>
      </c>
      <c r="AI1048">
        <f>IF(ISNUMBER((1+V1048)*AI1047),(1+V1048)*AI1047,AI1047)</f>
        <v/>
      </c>
      <c r="AJ1048">
        <f>IF(ISNUMBER((1+Z1048)*AJ1047),(1+Z1048)*AJ1047,AJ1047)</f>
        <v/>
      </c>
    </row>
    <row r="1049">
      <c r="A1049" s="1" t="n">
        <v>43525</v>
      </c>
      <c r="B1049" s="3">
        <f>IF(ORIG!B1049=0,"",ORIG!B1049)</f>
        <v/>
      </c>
      <c r="C1049" s="3">
        <f>IF(ORIG!C1049=0,"",ORIG!C1049)</f>
        <v/>
      </c>
      <c r="D1049" s="3">
        <f>IF(ORIG!D1049=0,"",ORIG!D1049)</f>
        <v/>
      </c>
      <c r="E1049" s="3">
        <f>IF(ORIG!E1049=0,"",ORIG!E1049)</f>
        <v/>
      </c>
      <c r="F1049" s="3">
        <f>IF(ORIG!F1049=0,"",ORIG!F1049)</f>
        <v/>
      </c>
      <c r="G1049" s="3">
        <f>IF(ORIG!G1049=0,"",ORIG!G1049)</f>
        <v/>
      </c>
      <c r="H1049" s="3">
        <f>IF(ORIG!H1049=0,"",ORIG!H1049)</f>
        <v/>
      </c>
      <c r="I1049" s="3">
        <f>IF(ORIG!I1049=0,"",ORIG!I1049)</f>
        <v/>
      </c>
      <c r="J1049" s="3">
        <f>IF(ORIG!J1049=0,"",ORIG!J1049)</f>
        <v/>
      </c>
      <c r="K1049" s="3">
        <f>IF(ORIG!K1049=0,"",ORIG!K1049)</f>
        <v/>
      </c>
      <c r="L1049" s="3">
        <f>IF(ORIG!L1049=0,"",ORIG!L1049)</f>
        <v/>
      </c>
      <c r="M1049" s="3">
        <f>IF(ORIG!M1049=0,"",ORIG!M1049)</f>
        <v/>
      </c>
      <c r="N1049" s="3">
        <f>IF(ORIG!N1049=0,"",ORIG!N1049)</f>
        <v/>
      </c>
      <c r="O1049" s="3">
        <f>IF(ORIG!O1049=0,"",ORIG!O1049)</f>
        <v/>
      </c>
      <c r="P1049" s="3">
        <f>IF(ORIG!P1049=0,"",ORIG!P1049)</f>
        <v/>
      </c>
      <c r="Q1049" s="3">
        <f>IF(ORIG!Q1049=0,"",ORIG!Q1049)</f>
        <v/>
      </c>
      <c r="R1049" s="3">
        <f>IF(ORIG!R1049=0,"",ORIG!R1049)</f>
        <v/>
      </c>
      <c r="S1049" s="3">
        <f>IF(ORIG!S1049=0,"",ORIG!S1049)</f>
        <v/>
      </c>
      <c r="T1049" s="3">
        <f>IF(ORIG!T1049=0,"",ORIG!T1049)</f>
        <v/>
      </c>
      <c r="U1049" s="3">
        <f>IF(ORIG!U1049=0,"",ORIG!U1049)</f>
        <v/>
      </c>
      <c r="V1049" s="9">
        <f>IF(ORIG!V1049=0,"",ORIG!V1049)</f>
        <v/>
      </c>
      <c r="W1049" s="9">
        <f>IF(ORIG!W1049=0,"",ORIG!W1049)</f>
        <v/>
      </c>
      <c r="X1049" s="9">
        <f>IF(ORIG!X1049=0,"",ORIG!X1049)</f>
        <v/>
      </c>
      <c r="Y1049" s="9">
        <f>IF(ORIG!Y1049=0,"",ORIG!Y1049)</f>
        <v/>
      </c>
      <c r="Z1049" s="3">
        <f>SUMPRODUCT($B1049:$Y1049,$B$2649:$Y$2649)</f>
        <v/>
      </c>
      <c r="AA1049" s="3">
        <f>SUMPRODUCT($B1049:$Y1049,$B$2655:$Y$2655)</f>
        <v/>
      </c>
      <c r="AC1049" s="1">
        <f>A1049</f>
        <v/>
      </c>
      <c r="AD1049">
        <f>IF(ISNUMBER(V1049),V1049*($AB$1/V$2635),"")</f>
        <v/>
      </c>
      <c r="AE1049">
        <f>IF(ISNUMBER(Z1049),Z1049*($AB$1/Z$2635),"")</f>
        <v/>
      </c>
      <c r="AF1049" s="25">
        <f>IF(ISNUMBER(AD1049+AE1049),AD1049+AE1049,"")</f>
        <v/>
      </c>
      <c r="AH1049" s="1">
        <f>A1049</f>
        <v/>
      </c>
      <c r="AI1049">
        <f>IF(ISNUMBER((1+V1049)*AI1048),(1+V1049)*AI1048,AI1048)</f>
        <v/>
      </c>
      <c r="AJ1049">
        <f>IF(ISNUMBER((1+Z1049)*AJ1048),(1+Z1049)*AJ1048,AJ1048)</f>
        <v/>
      </c>
    </row>
    <row r="1050">
      <c r="A1050" s="1" t="n">
        <v>43528</v>
      </c>
      <c r="B1050" s="3">
        <f>IF(ORIG!B1050=0,"",ORIG!B1050)</f>
        <v/>
      </c>
      <c r="C1050" s="3">
        <f>IF(ORIG!C1050=0,"",ORIG!C1050)</f>
        <v/>
      </c>
      <c r="D1050" s="3">
        <f>IF(ORIG!D1050=0,"",ORIG!D1050)</f>
        <v/>
      </c>
      <c r="E1050" s="3">
        <f>IF(ORIG!E1050=0,"",ORIG!E1050)</f>
        <v/>
      </c>
      <c r="F1050" s="3">
        <f>IF(ORIG!F1050=0,"",ORIG!F1050)</f>
        <v/>
      </c>
      <c r="G1050" s="3">
        <f>IF(ORIG!G1050=0,"",ORIG!G1050)</f>
        <v/>
      </c>
      <c r="H1050" s="3">
        <f>IF(ORIG!H1050=0,"",ORIG!H1050)</f>
        <v/>
      </c>
      <c r="I1050" s="3">
        <f>IF(ORIG!I1050=0,"",ORIG!I1050)</f>
        <v/>
      </c>
      <c r="J1050" s="3">
        <f>IF(ORIG!J1050=0,"",ORIG!J1050)</f>
        <v/>
      </c>
      <c r="K1050" s="3">
        <f>IF(ORIG!K1050=0,"",ORIG!K1050)</f>
        <v/>
      </c>
      <c r="L1050" s="3">
        <f>IF(ORIG!L1050=0,"",ORIG!L1050)</f>
        <v/>
      </c>
      <c r="M1050" s="3">
        <f>IF(ORIG!M1050=0,"",ORIG!M1050)</f>
        <v/>
      </c>
      <c r="N1050" s="3">
        <f>IF(ORIG!N1050=0,"",ORIG!N1050)</f>
        <v/>
      </c>
      <c r="O1050" s="3">
        <f>IF(ORIG!O1050=0,"",ORIG!O1050)</f>
        <v/>
      </c>
      <c r="P1050" s="3">
        <f>IF(ORIG!P1050=0,"",ORIG!P1050)</f>
        <v/>
      </c>
      <c r="Q1050" s="3">
        <f>IF(ORIG!Q1050=0,"",ORIG!Q1050)</f>
        <v/>
      </c>
      <c r="R1050" s="3">
        <f>IF(ORIG!R1050=0,"",ORIG!R1050)</f>
        <v/>
      </c>
      <c r="S1050" s="3">
        <f>IF(ORIG!S1050=0,"",ORIG!S1050)</f>
        <v/>
      </c>
      <c r="T1050" s="3">
        <f>IF(ORIG!T1050=0,"",ORIG!T1050)</f>
        <v/>
      </c>
      <c r="U1050" s="3">
        <f>IF(ORIG!U1050=0,"",ORIG!U1050)</f>
        <v/>
      </c>
      <c r="V1050" s="9">
        <f>IF(ORIG!V1050=0,"",ORIG!V1050)</f>
        <v/>
      </c>
      <c r="W1050" s="9">
        <f>IF(ORIG!W1050=0,"",ORIG!W1050)</f>
        <v/>
      </c>
      <c r="X1050" s="9">
        <f>IF(ORIG!X1050=0,"",ORIG!X1050)</f>
        <v/>
      </c>
      <c r="Y1050" s="9">
        <f>IF(ORIG!Y1050=0,"",ORIG!Y1050)</f>
        <v/>
      </c>
      <c r="Z1050" s="3">
        <f>SUMPRODUCT($B1050:$Y1050,$B$2649:$Y$2649)</f>
        <v/>
      </c>
      <c r="AA1050" s="3">
        <f>SUMPRODUCT($B1050:$Y1050,$B$2655:$Y$2655)</f>
        <v/>
      </c>
      <c r="AC1050" s="1">
        <f>A1050</f>
        <v/>
      </c>
      <c r="AD1050">
        <f>IF(ISNUMBER(V1050),V1050*($AB$1/V$2635),"")</f>
        <v/>
      </c>
      <c r="AE1050">
        <f>IF(ISNUMBER(Z1050),Z1050*($AB$1/Z$2635),"")</f>
        <v/>
      </c>
      <c r="AF1050" s="25">
        <f>IF(ISNUMBER(AD1050+AE1050),AD1050+AE1050,"")</f>
        <v/>
      </c>
      <c r="AH1050" s="1">
        <f>A1050</f>
        <v/>
      </c>
      <c r="AI1050">
        <f>IF(ISNUMBER((1+V1050)*AI1049),(1+V1050)*AI1049,AI1049)</f>
        <v/>
      </c>
      <c r="AJ1050">
        <f>IF(ISNUMBER((1+Z1050)*AJ1049),(1+Z1050)*AJ1049,AJ1049)</f>
        <v/>
      </c>
    </row>
    <row r="1051">
      <c r="A1051" s="1" t="n">
        <v>43529</v>
      </c>
      <c r="B1051" s="3">
        <f>IF(ORIG!B1051=0,"",ORIG!B1051)</f>
        <v/>
      </c>
      <c r="C1051" s="3">
        <f>IF(ORIG!C1051=0,"",ORIG!C1051)</f>
        <v/>
      </c>
      <c r="D1051" s="3">
        <f>IF(ORIG!D1051=0,"",ORIG!D1051)</f>
        <v/>
      </c>
      <c r="E1051" s="3">
        <f>IF(ORIG!E1051=0,"",ORIG!E1051)</f>
        <v/>
      </c>
      <c r="F1051" s="3">
        <f>IF(ORIG!F1051=0,"",ORIG!F1051)</f>
        <v/>
      </c>
      <c r="G1051" s="3">
        <f>IF(ORIG!G1051=0,"",ORIG!G1051)</f>
        <v/>
      </c>
      <c r="H1051" s="3">
        <f>IF(ORIG!H1051=0,"",ORIG!H1051)</f>
        <v/>
      </c>
      <c r="I1051" s="3">
        <f>IF(ORIG!I1051=0,"",ORIG!I1051)</f>
        <v/>
      </c>
      <c r="J1051" s="3">
        <f>IF(ORIG!J1051=0,"",ORIG!J1051)</f>
        <v/>
      </c>
      <c r="K1051" s="3">
        <f>IF(ORIG!K1051=0,"",ORIG!K1051)</f>
        <v/>
      </c>
      <c r="L1051" s="3">
        <f>IF(ORIG!L1051=0,"",ORIG!L1051)</f>
        <v/>
      </c>
      <c r="M1051" s="3">
        <f>IF(ORIG!M1051=0,"",ORIG!M1051)</f>
        <v/>
      </c>
      <c r="N1051" s="3">
        <f>IF(ORIG!N1051=0,"",ORIG!N1051)</f>
        <v/>
      </c>
      <c r="O1051" s="3">
        <f>IF(ORIG!O1051=0,"",ORIG!O1051)</f>
        <v/>
      </c>
      <c r="P1051" s="3">
        <f>IF(ORIG!P1051=0,"",ORIG!P1051)</f>
        <v/>
      </c>
      <c r="Q1051" s="3">
        <f>IF(ORIG!Q1051=0,"",ORIG!Q1051)</f>
        <v/>
      </c>
      <c r="R1051" s="3">
        <f>IF(ORIG!R1051=0,"",ORIG!R1051)</f>
        <v/>
      </c>
      <c r="S1051" s="3">
        <f>IF(ORIG!S1051=0,"",ORIG!S1051)</f>
        <v/>
      </c>
      <c r="T1051" s="3">
        <f>IF(ORIG!T1051=0,"",ORIG!T1051)</f>
        <v/>
      </c>
      <c r="U1051" s="3">
        <f>IF(ORIG!U1051=0,"",ORIG!U1051)</f>
        <v/>
      </c>
      <c r="V1051" s="9">
        <f>IF(ORIG!V1051=0,"",ORIG!V1051)</f>
        <v/>
      </c>
      <c r="W1051" s="9">
        <f>IF(ORIG!W1051=0,"",ORIG!W1051)</f>
        <v/>
      </c>
      <c r="X1051" s="9">
        <f>IF(ORIG!X1051=0,"",ORIG!X1051)</f>
        <v/>
      </c>
      <c r="Y1051" s="9">
        <f>IF(ORIG!Y1051=0,"",ORIG!Y1051)</f>
        <v/>
      </c>
      <c r="Z1051" s="3">
        <f>SUMPRODUCT($B1051:$Y1051,$B$2649:$Y$2649)</f>
        <v/>
      </c>
      <c r="AA1051" s="3">
        <f>SUMPRODUCT($B1051:$Y1051,$B$2655:$Y$2655)</f>
        <v/>
      </c>
      <c r="AC1051" s="1">
        <f>A1051</f>
        <v/>
      </c>
      <c r="AD1051">
        <f>IF(ISNUMBER(V1051),V1051*($AB$1/V$2635),"")</f>
        <v/>
      </c>
      <c r="AE1051">
        <f>IF(ISNUMBER(Z1051),Z1051*($AB$1/Z$2635),"")</f>
        <v/>
      </c>
      <c r="AF1051" s="25">
        <f>IF(ISNUMBER(AD1051+AE1051),AD1051+AE1051,"")</f>
        <v/>
      </c>
      <c r="AH1051" s="1">
        <f>A1051</f>
        <v/>
      </c>
      <c r="AI1051">
        <f>IF(ISNUMBER((1+V1051)*AI1050),(1+V1051)*AI1050,AI1050)</f>
        <v/>
      </c>
      <c r="AJ1051">
        <f>IF(ISNUMBER((1+Z1051)*AJ1050),(1+Z1051)*AJ1050,AJ1050)</f>
        <v/>
      </c>
    </row>
    <row r="1052">
      <c r="A1052" s="1" t="n">
        <v>43530</v>
      </c>
      <c r="B1052" s="3">
        <f>IF(ORIG!B1052=0,"",ORIG!B1052)</f>
        <v/>
      </c>
      <c r="C1052" s="3">
        <f>IF(ORIG!C1052=0,"",ORIG!C1052)</f>
        <v/>
      </c>
      <c r="D1052" s="3">
        <f>IF(ORIG!D1052=0,"",ORIG!D1052)</f>
        <v/>
      </c>
      <c r="E1052" s="3">
        <f>IF(ORIG!E1052=0,"",ORIG!E1052)</f>
        <v/>
      </c>
      <c r="F1052" s="3">
        <f>IF(ORIG!F1052=0,"",ORIG!F1052)</f>
        <v/>
      </c>
      <c r="G1052" s="3">
        <f>IF(ORIG!G1052=0,"",ORIG!G1052)</f>
        <v/>
      </c>
      <c r="H1052" s="3">
        <f>IF(ORIG!H1052=0,"",ORIG!H1052)</f>
        <v/>
      </c>
      <c r="I1052" s="3">
        <f>IF(ORIG!I1052=0,"",ORIG!I1052)</f>
        <v/>
      </c>
      <c r="J1052" s="3">
        <f>IF(ORIG!J1052=0,"",ORIG!J1052)</f>
        <v/>
      </c>
      <c r="K1052" s="3">
        <f>IF(ORIG!K1052=0,"",ORIG!K1052)</f>
        <v/>
      </c>
      <c r="L1052" s="3">
        <f>IF(ORIG!L1052=0,"",ORIG!L1052)</f>
        <v/>
      </c>
      <c r="M1052" s="3">
        <f>IF(ORIG!M1052=0,"",ORIG!M1052)</f>
        <v/>
      </c>
      <c r="N1052" s="3">
        <f>IF(ORIG!N1052=0,"",ORIG!N1052)</f>
        <v/>
      </c>
      <c r="O1052" s="3">
        <f>IF(ORIG!O1052=0,"",ORIG!O1052)</f>
        <v/>
      </c>
      <c r="P1052" s="3">
        <f>IF(ORIG!P1052=0,"",ORIG!P1052)</f>
        <v/>
      </c>
      <c r="Q1052" s="3">
        <f>IF(ORIG!Q1052=0,"",ORIG!Q1052)</f>
        <v/>
      </c>
      <c r="R1052" s="3">
        <f>IF(ORIG!R1052=0,"",ORIG!R1052)</f>
        <v/>
      </c>
      <c r="S1052" s="3">
        <f>IF(ORIG!S1052=0,"",ORIG!S1052)</f>
        <v/>
      </c>
      <c r="T1052" s="3">
        <f>IF(ORIG!T1052=0,"",ORIG!T1052)</f>
        <v/>
      </c>
      <c r="U1052" s="3">
        <f>IF(ORIG!U1052=0,"",ORIG!U1052)</f>
        <v/>
      </c>
      <c r="V1052" s="9">
        <f>IF(ORIG!V1052=0,"",ORIG!V1052)</f>
        <v/>
      </c>
      <c r="W1052" s="9">
        <f>IF(ORIG!W1052=0,"",ORIG!W1052)</f>
        <v/>
      </c>
      <c r="X1052" s="9">
        <f>IF(ORIG!X1052=0,"",ORIG!X1052)</f>
        <v/>
      </c>
      <c r="Y1052" s="9">
        <f>IF(ORIG!Y1052=0,"",ORIG!Y1052)</f>
        <v/>
      </c>
      <c r="Z1052" s="3">
        <f>SUMPRODUCT($B1052:$Y1052,$B$2649:$Y$2649)</f>
        <v/>
      </c>
      <c r="AA1052" s="3">
        <f>SUMPRODUCT($B1052:$Y1052,$B$2655:$Y$2655)</f>
        <v/>
      </c>
      <c r="AC1052" s="1">
        <f>A1052</f>
        <v/>
      </c>
      <c r="AD1052">
        <f>IF(ISNUMBER(V1052),V1052*($AB$1/V$2635),"")</f>
        <v/>
      </c>
      <c r="AE1052">
        <f>IF(ISNUMBER(Z1052),Z1052*($AB$1/Z$2635),"")</f>
        <v/>
      </c>
      <c r="AF1052" s="25">
        <f>IF(ISNUMBER(AD1052+AE1052),AD1052+AE1052,"")</f>
        <v/>
      </c>
      <c r="AH1052" s="1">
        <f>A1052</f>
        <v/>
      </c>
      <c r="AI1052">
        <f>IF(ISNUMBER((1+V1052)*AI1051),(1+V1052)*AI1051,AI1051)</f>
        <v/>
      </c>
      <c r="AJ1052">
        <f>IF(ISNUMBER((1+Z1052)*AJ1051),(1+Z1052)*AJ1051,AJ1051)</f>
        <v/>
      </c>
    </row>
    <row r="1053">
      <c r="A1053" s="1" t="n">
        <v>43531</v>
      </c>
      <c r="B1053" s="3">
        <f>IF(ORIG!B1053=0,"",ORIG!B1053)</f>
        <v/>
      </c>
      <c r="C1053" s="3">
        <f>IF(ORIG!C1053=0,"",ORIG!C1053)</f>
        <v/>
      </c>
      <c r="D1053" s="3">
        <f>IF(ORIG!D1053=0,"",ORIG!D1053)</f>
        <v/>
      </c>
      <c r="E1053" s="3">
        <f>IF(ORIG!E1053=0,"",ORIG!E1053)</f>
        <v/>
      </c>
      <c r="F1053" s="3">
        <f>IF(ORIG!F1053=0,"",ORIG!F1053)</f>
        <v/>
      </c>
      <c r="G1053" s="3">
        <f>IF(ORIG!G1053=0,"",ORIG!G1053)</f>
        <v/>
      </c>
      <c r="H1053" s="3">
        <f>IF(ORIG!H1053=0,"",ORIG!H1053)</f>
        <v/>
      </c>
      <c r="I1053" s="3">
        <f>IF(ORIG!I1053=0,"",ORIG!I1053)</f>
        <v/>
      </c>
      <c r="J1053" s="3">
        <f>IF(ORIG!J1053=0,"",ORIG!J1053)</f>
        <v/>
      </c>
      <c r="K1053" s="3">
        <f>IF(ORIG!K1053=0,"",ORIG!K1053)</f>
        <v/>
      </c>
      <c r="L1053" s="3">
        <f>IF(ORIG!L1053=0,"",ORIG!L1053)</f>
        <v/>
      </c>
      <c r="M1053" s="3">
        <f>IF(ORIG!M1053=0,"",ORIG!M1053)</f>
        <v/>
      </c>
      <c r="N1053" s="3">
        <f>IF(ORIG!N1053=0,"",ORIG!N1053)</f>
        <v/>
      </c>
      <c r="O1053" s="3">
        <f>IF(ORIG!O1053=0,"",ORIG!O1053)</f>
        <v/>
      </c>
      <c r="P1053" s="3">
        <f>IF(ORIG!P1053=0,"",ORIG!P1053)</f>
        <v/>
      </c>
      <c r="Q1053" s="3">
        <f>IF(ORIG!Q1053=0,"",ORIG!Q1053)</f>
        <v/>
      </c>
      <c r="R1053" s="3">
        <f>IF(ORIG!R1053=0,"",ORIG!R1053)</f>
        <v/>
      </c>
      <c r="S1053" s="3">
        <f>IF(ORIG!S1053=0,"",ORIG!S1053)</f>
        <v/>
      </c>
      <c r="T1053" s="3">
        <f>IF(ORIG!T1053=0,"",ORIG!T1053)</f>
        <v/>
      </c>
      <c r="U1053" s="3">
        <f>IF(ORIG!U1053=0,"",ORIG!U1053)</f>
        <v/>
      </c>
      <c r="V1053" s="9">
        <f>IF(ORIG!V1053=0,"",ORIG!V1053)</f>
        <v/>
      </c>
      <c r="W1053" s="9">
        <f>IF(ORIG!W1053=0,"",ORIG!W1053)</f>
        <v/>
      </c>
      <c r="X1053" s="9">
        <f>IF(ORIG!X1053=0,"",ORIG!X1053)</f>
        <v/>
      </c>
      <c r="Y1053" s="9">
        <f>IF(ORIG!Y1053=0,"",ORIG!Y1053)</f>
        <v/>
      </c>
      <c r="Z1053" s="3">
        <f>SUMPRODUCT($B1053:$Y1053,$B$2649:$Y$2649)</f>
        <v/>
      </c>
      <c r="AA1053" s="3">
        <f>SUMPRODUCT($B1053:$Y1053,$B$2655:$Y$2655)</f>
        <v/>
      </c>
      <c r="AC1053" s="1">
        <f>A1053</f>
        <v/>
      </c>
      <c r="AD1053">
        <f>IF(ISNUMBER(V1053),V1053*($AB$1/V$2635),"")</f>
        <v/>
      </c>
      <c r="AE1053">
        <f>IF(ISNUMBER(Z1053),Z1053*($AB$1/Z$2635),"")</f>
        <v/>
      </c>
      <c r="AF1053" s="25">
        <f>IF(ISNUMBER(AD1053+AE1053),AD1053+AE1053,"")</f>
        <v/>
      </c>
      <c r="AH1053" s="1">
        <f>A1053</f>
        <v/>
      </c>
      <c r="AI1053">
        <f>IF(ISNUMBER((1+V1053)*AI1052),(1+V1053)*AI1052,AI1052)</f>
        <v/>
      </c>
      <c r="AJ1053">
        <f>IF(ISNUMBER((1+Z1053)*AJ1052),(1+Z1053)*AJ1052,AJ1052)</f>
        <v/>
      </c>
    </row>
    <row r="1054">
      <c r="A1054" s="1" t="n">
        <v>43532</v>
      </c>
      <c r="B1054" s="3">
        <f>IF(ORIG!B1054=0,"",ORIG!B1054)</f>
        <v/>
      </c>
      <c r="C1054" s="3">
        <f>IF(ORIG!C1054=0,"",ORIG!C1054)</f>
        <v/>
      </c>
      <c r="D1054" s="3">
        <f>IF(ORIG!D1054=0,"",ORIG!D1054)</f>
        <v/>
      </c>
      <c r="E1054" s="3">
        <f>IF(ORIG!E1054=0,"",ORIG!E1054)</f>
        <v/>
      </c>
      <c r="F1054" s="3">
        <f>IF(ORIG!F1054=0,"",ORIG!F1054)</f>
        <v/>
      </c>
      <c r="G1054" s="3">
        <f>IF(ORIG!G1054=0,"",ORIG!G1054)</f>
        <v/>
      </c>
      <c r="H1054" s="3">
        <f>IF(ORIG!H1054=0,"",ORIG!H1054)</f>
        <v/>
      </c>
      <c r="I1054" s="3">
        <f>IF(ORIG!I1054=0,"",ORIG!I1054)</f>
        <v/>
      </c>
      <c r="J1054" s="3">
        <f>IF(ORIG!J1054=0,"",ORIG!J1054)</f>
        <v/>
      </c>
      <c r="K1054" s="3">
        <f>IF(ORIG!K1054=0,"",ORIG!K1054)</f>
        <v/>
      </c>
      <c r="L1054" s="3">
        <f>IF(ORIG!L1054=0,"",ORIG!L1054)</f>
        <v/>
      </c>
      <c r="M1054" s="3">
        <f>IF(ORIG!M1054=0,"",ORIG!M1054)</f>
        <v/>
      </c>
      <c r="N1054" s="3">
        <f>IF(ORIG!N1054=0,"",ORIG!N1054)</f>
        <v/>
      </c>
      <c r="O1054" s="3">
        <f>IF(ORIG!O1054=0,"",ORIG!O1054)</f>
        <v/>
      </c>
      <c r="P1054" s="3">
        <f>IF(ORIG!P1054=0,"",ORIG!P1054)</f>
        <v/>
      </c>
      <c r="Q1054" s="3">
        <f>IF(ORIG!Q1054=0,"",ORIG!Q1054)</f>
        <v/>
      </c>
      <c r="R1054" s="3">
        <f>IF(ORIG!R1054=0,"",ORIG!R1054)</f>
        <v/>
      </c>
      <c r="S1054" s="3">
        <f>IF(ORIG!S1054=0,"",ORIG!S1054)</f>
        <v/>
      </c>
      <c r="T1054" s="3">
        <f>IF(ORIG!T1054=0,"",ORIG!T1054)</f>
        <v/>
      </c>
      <c r="U1054" s="3">
        <f>IF(ORIG!U1054=0,"",ORIG!U1054)</f>
        <v/>
      </c>
      <c r="V1054" s="9">
        <f>IF(ORIG!V1054=0,"",ORIG!V1054)</f>
        <v/>
      </c>
      <c r="W1054" s="9">
        <f>IF(ORIG!W1054=0,"",ORIG!W1054)</f>
        <v/>
      </c>
      <c r="X1054" s="9">
        <f>IF(ORIG!X1054=0,"",ORIG!X1054)</f>
        <v/>
      </c>
      <c r="Y1054" s="9">
        <f>IF(ORIG!Y1054=0,"",ORIG!Y1054)</f>
        <v/>
      </c>
      <c r="Z1054" s="3">
        <f>SUMPRODUCT($B1054:$Y1054,$B$2649:$Y$2649)</f>
        <v/>
      </c>
      <c r="AA1054" s="3">
        <f>SUMPRODUCT($B1054:$Y1054,$B$2655:$Y$2655)</f>
        <v/>
      </c>
      <c r="AC1054" s="1">
        <f>A1054</f>
        <v/>
      </c>
      <c r="AD1054">
        <f>IF(ISNUMBER(V1054),V1054*($AB$1/V$2635),"")</f>
        <v/>
      </c>
      <c r="AE1054">
        <f>IF(ISNUMBER(Z1054),Z1054*($AB$1/Z$2635),"")</f>
        <v/>
      </c>
      <c r="AF1054" s="25">
        <f>IF(ISNUMBER(AD1054+AE1054),AD1054+AE1054,"")</f>
        <v/>
      </c>
      <c r="AH1054" s="1">
        <f>A1054</f>
        <v/>
      </c>
      <c r="AI1054">
        <f>IF(ISNUMBER((1+V1054)*AI1053),(1+V1054)*AI1053,AI1053)</f>
        <v/>
      </c>
      <c r="AJ1054">
        <f>IF(ISNUMBER((1+Z1054)*AJ1053),(1+Z1054)*AJ1053,AJ1053)</f>
        <v/>
      </c>
    </row>
    <row r="1055">
      <c r="A1055" s="1" t="n">
        <v>43535</v>
      </c>
      <c r="B1055" s="3">
        <f>IF(ORIG!B1055=0,"",ORIG!B1055)</f>
        <v/>
      </c>
      <c r="C1055" s="3">
        <f>IF(ORIG!C1055=0,"",ORIG!C1055)</f>
        <v/>
      </c>
      <c r="D1055" s="3">
        <f>IF(ORIG!D1055=0,"",ORIG!D1055)</f>
        <v/>
      </c>
      <c r="E1055" s="3">
        <f>IF(ORIG!E1055=0,"",ORIG!E1055)</f>
        <v/>
      </c>
      <c r="F1055" s="3">
        <f>IF(ORIG!F1055=0,"",ORIG!F1055)</f>
        <v/>
      </c>
      <c r="G1055" s="3">
        <f>IF(ORIG!G1055=0,"",ORIG!G1055)</f>
        <v/>
      </c>
      <c r="H1055" s="3">
        <f>IF(ORIG!H1055=0,"",ORIG!H1055)</f>
        <v/>
      </c>
      <c r="I1055" s="3">
        <f>IF(ORIG!I1055=0,"",ORIG!I1055)</f>
        <v/>
      </c>
      <c r="J1055" s="3">
        <f>IF(ORIG!J1055=0,"",ORIG!J1055)</f>
        <v/>
      </c>
      <c r="K1055" s="3">
        <f>IF(ORIG!K1055=0,"",ORIG!K1055)</f>
        <v/>
      </c>
      <c r="L1055" s="3">
        <f>IF(ORIG!L1055=0,"",ORIG!L1055)</f>
        <v/>
      </c>
      <c r="M1055" s="3">
        <f>IF(ORIG!M1055=0,"",ORIG!M1055)</f>
        <v/>
      </c>
      <c r="N1055" s="3">
        <f>IF(ORIG!N1055=0,"",ORIG!N1055)</f>
        <v/>
      </c>
      <c r="O1055" s="3">
        <f>IF(ORIG!O1055=0,"",ORIG!O1055)</f>
        <v/>
      </c>
      <c r="P1055" s="3">
        <f>IF(ORIG!P1055=0,"",ORIG!P1055)</f>
        <v/>
      </c>
      <c r="Q1055" s="3">
        <f>IF(ORIG!Q1055=0,"",ORIG!Q1055)</f>
        <v/>
      </c>
      <c r="R1055" s="3">
        <f>IF(ORIG!R1055=0,"",ORIG!R1055)</f>
        <v/>
      </c>
      <c r="S1055" s="3">
        <f>IF(ORIG!S1055=0,"",ORIG!S1055)</f>
        <v/>
      </c>
      <c r="T1055" s="3">
        <f>IF(ORIG!T1055=0,"",ORIG!T1055)</f>
        <v/>
      </c>
      <c r="U1055" s="3">
        <f>IF(ORIG!U1055=0,"",ORIG!U1055)</f>
        <v/>
      </c>
      <c r="V1055" s="9">
        <f>IF(ORIG!V1055=0,"",ORIG!V1055)</f>
        <v/>
      </c>
      <c r="W1055" s="9">
        <f>IF(ORIG!W1055=0,"",ORIG!W1055)</f>
        <v/>
      </c>
      <c r="X1055" s="9">
        <f>IF(ORIG!X1055=0,"",ORIG!X1055)</f>
        <v/>
      </c>
      <c r="Y1055" s="9">
        <f>IF(ORIG!Y1055=0,"",ORIG!Y1055)</f>
        <v/>
      </c>
      <c r="Z1055" s="3">
        <f>SUMPRODUCT($B1055:$Y1055,$B$2649:$Y$2649)</f>
        <v/>
      </c>
      <c r="AA1055" s="3">
        <f>SUMPRODUCT($B1055:$Y1055,$B$2655:$Y$2655)</f>
        <v/>
      </c>
      <c r="AC1055" s="1">
        <f>A1055</f>
        <v/>
      </c>
      <c r="AD1055">
        <f>IF(ISNUMBER(V1055),V1055*($AB$1/V$2635),"")</f>
        <v/>
      </c>
      <c r="AE1055">
        <f>IF(ISNUMBER(Z1055),Z1055*($AB$1/Z$2635),"")</f>
        <v/>
      </c>
      <c r="AF1055" s="25">
        <f>IF(ISNUMBER(AD1055+AE1055),AD1055+AE1055,"")</f>
        <v/>
      </c>
      <c r="AH1055" s="1">
        <f>A1055</f>
        <v/>
      </c>
      <c r="AI1055">
        <f>IF(ISNUMBER((1+V1055)*AI1054),(1+V1055)*AI1054,AI1054)</f>
        <v/>
      </c>
      <c r="AJ1055">
        <f>IF(ISNUMBER((1+Z1055)*AJ1054),(1+Z1055)*AJ1054,AJ1054)</f>
        <v/>
      </c>
    </row>
    <row r="1056">
      <c r="A1056" s="1" t="n">
        <v>43536</v>
      </c>
      <c r="B1056" s="3">
        <f>IF(ORIG!B1056=0,"",ORIG!B1056)</f>
        <v/>
      </c>
      <c r="C1056" s="3">
        <f>IF(ORIG!C1056=0,"",ORIG!C1056)</f>
        <v/>
      </c>
      <c r="D1056" s="3">
        <f>IF(ORIG!D1056=0,"",ORIG!D1056)</f>
        <v/>
      </c>
      <c r="E1056" s="3">
        <f>IF(ORIG!E1056=0,"",ORIG!E1056)</f>
        <v/>
      </c>
      <c r="F1056" s="3">
        <f>IF(ORIG!F1056=0,"",ORIG!F1056)</f>
        <v/>
      </c>
      <c r="G1056" s="3">
        <f>IF(ORIG!G1056=0,"",ORIG!G1056)</f>
        <v/>
      </c>
      <c r="H1056" s="3">
        <f>IF(ORIG!H1056=0,"",ORIG!H1056)</f>
        <v/>
      </c>
      <c r="I1056" s="3">
        <f>IF(ORIG!I1056=0,"",ORIG!I1056)</f>
        <v/>
      </c>
      <c r="J1056" s="3">
        <f>IF(ORIG!J1056=0,"",ORIG!J1056)</f>
        <v/>
      </c>
      <c r="K1056" s="3">
        <f>IF(ORIG!K1056=0,"",ORIG!K1056)</f>
        <v/>
      </c>
      <c r="L1056" s="3">
        <f>IF(ORIG!L1056=0,"",ORIG!L1056)</f>
        <v/>
      </c>
      <c r="M1056" s="3">
        <f>IF(ORIG!M1056=0,"",ORIG!M1056)</f>
        <v/>
      </c>
      <c r="N1056" s="3">
        <f>IF(ORIG!N1056=0,"",ORIG!N1056)</f>
        <v/>
      </c>
      <c r="O1056" s="3">
        <f>IF(ORIG!O1056=0,"",ORIG!O1056)</f>
        <v/>
      </c>
      <c r="P1056" s="3">
        <f>IF(ORIG!P1056=0,"",ORIG!P1056)</f>
        <v/>
      </c>
      <c r="Q1056" s="3">
        <f>IF(ORIG!Q1056=0,"",ORIG!Q1056)</f>
        <v/>
      </c>
      <c r="R1056" s="3">
        <f>IF(ORIG!R1056=0,"",ORIG!R1056)</f>
        <v/>
      </c>
      <c r="S1056" s="3">
        <f>IF(ORIG!S1056=0,"",ORIG!S1056)</f>
        <v/>
      </c>
      <c r="T1056" s="3">
        <f>IF(ORIG!T1056=0,"",ORIG!T1056)</f>
        <v/>
      </c>
      <c r="U1056" s="3">
        <f>IF(ORIG!U1056=0,"",ORIG!U1056)</f>
        <v/>
      </c>
      <c r="V1056" s="9">
        <f>IF(ORIG!V1056=0,"",ORIG!V1056)</f>
        <v/>
      </c>
      <c r="W1056" s="9">
        <f>IF(ORIG!W1056=0,"",ORIG!W1056)</f>
        <v/>
      </c>
      <c r="X1056" s="9">
        <f>IF(ORIG!X1056=0,"",ORIG!X1056)</f>
        <v/>
      </c>
      <c r="Y1056" s="9">
        <f>IF(ORIG!Y1056=0,"",ORIG!Y1056)</f>
        <v/>
      </c>
      <c r="Z1056" s="3">
        <f>SUMPRODUCT($B1056:$Y1056,$B$2649:$Y$2649)</f>
        <v/>
      </c>
      <c r="AA1056" s="3">
        <f>SUMPRODUCT($B1056:$Y1056,$B$2655:$Y$2655)</f>
        <v/>
      </c>
      <c r="AC1056" s="1">
        <f>A1056</f>
        <v/>
      </c>
      <c r="AD1056">
        <f>IF(ISNUMBER(V1056),V1056*($AB$1/V$2635),"")</f>
        <v/>
      </c>
      <c r="AE1056">
        <f>IF(ISNUMBER(Z1056),Z1056*($AB$1/Z$2635),"")</f>
        <v/>
      </c>
      <c r="AF1056" s="25">
        <f>IF(ISNUMBER(AD1056+AE1056),AD1056+AE1056,"")</f>
        <v/>
      </c>
      <c r="AH1056" s="1">
        <f>A1056</f>
        <v/>
      </c>
      <c r="AI1056">
        <f>IF(ISNUMBER((1+V1056)*AI1055),(1+V1056)*AI1055,AI1055)</f>
        <v/>
      </c>
      <c r="AJ1056">
        <f>IF(ISNUMBER((1+Z1056)*AJ1055),(1+Z1056)*AJ1055,AJ1055)</f>
        <v/>
      </c>
    </row>
    <row r="1057">
      <c r="A1057" s="1" t="n">
        <v>43537</v>
      </c>
      <c r="B1057" s="3">
        <f>IF(ORIG!B1057=0,"",ORIG!B1057)</f>
        <v/>
      </c>
      <c r="C1057" s="3">
        <f>IF(ORIG!C1057=0,"",ORIG!C1057)</f>
        <v/>
      </c>
      <c r="D1057" s="3">
        <f>IF(ORIG!D1057=0,"",ORIG!D1057)</f>
        <v/>
      </c>
      <c r="E1057" s="3">
        <f>IF(ORIG!E1057=0,"",ORIG!E1057)</f>
        <v/>
      </c>
      <c r="F1057" s="3">
        <f>IF(ORIG!F1057=0,"",ORIG!F1057)</f>
        <v/>
      </c>
      <c r="G1057" s="3">
        <f>IF(ORIG!G1057=0,"",ORIG!G1057)</f>
        <v/>
      </c>
      <c r="H1057" s="3">
        <f>IF(ORIG!H1057=0,"",ORIG!H1057)</f>
        <v/>
      </c>
      <c r="I1057" s="3">
        <f>IF(ORIG!I1057=0,"",ORIG!I1057)</f>
        <v/>
      </c>
      <c r="J1057" s="3">
        <f>IF(ORIG!J1057=0,"",ORIG!J1057)</f>
        <v/>
      </c>
      <c r="K1057" s="3">
        <f>IF(ORIG!K1057=0,"",ORIG!K1057)</f>
        <v/>
      </c>
      <c r="L1057" s="3">
        <f>IF(ORIG!L1057=0,"",ORIG!L1057)</f>
        <v/>
      </c>
      <c r="M1057" s="3">
        <f>IF(ORIG!M1057=0,"",ORIG!M1057)</f>
        <v/>
      </c>
      <c r="N1057" s="3">
        <f>IF(ORIG!N1057=0,"",ORIG!N1057)</f>
        <v/>
      </c>
      <c r="O1057" s="3">
        <f>IF(ORIG!O1057=0,"",ORIG!O1057)</f>
        <v/>
      </c>
      <c r="P1057" s="3">
        <f>IF(ORIG!P1057=0,"",ORIG!P1057)</f>
        <v/>
      </c>
      <c r="Q1057" s="3">
        <f>IF(ORIG!Q1057=0,"",ORIG!Q1057)</f>
        <v/>
      </c>
      <c r="R1057" s="3">
        <f>IF(ORIG!R1057=0,"",ORIG!R1057)</f>
        <v/>
      </c>
      <c r="S1057" s="3">
        <f>IF(ORIG!S1057=0,"",ORIG!S1057)</f>
        <v/>
      </c>
      <c r="T1057" s="3">
        <f>IF(ORIG!T1057=0,"",ORIG!T1057)</f>
        <v/>
      </c>
      <c r="U1057" s="3">
        <f>IF(ORIG!U1057=0,"",ORIG!U1057)</f>
        <v/>
      </c>
      <c r="V1057" s="9">
        <f>IF(ORIG!V1057=0,"",ORIG!V1057)</f>
        <v/>
      </c>
      <c r="W1057" s="9">
        <f>IF(ORIG!W1057=0,"",ORIG!W1057)</f>
        <v/>
      </c>
      <c r="X1057" s="9">
        <f>IF(ORIG!X1057=0,"",ORIG!X1057)</f>
        <v/>
      </c>
      <c r="Y1057" s="9">
        <f>IF(ORIG!Y1057=0,"",ORIG!Y1057)</f>
        <v/>
      </c>
      <c r="Z1057" s="3">
        <f>SUMPRODUCT($B1057:$Y1057,$B$2649:$Y$2649)</f>
        <v/>
      </c>
      <c r="AA1057" s="3">
        <f>SUMPRODUCT($B1057:$Y1057,$B$2655:$Y$2655)</f>
        <v/>
      </c>
      <c r="AC1057" s="1">
        <f>A1057</f>
        <v/>
      </c>
      <c r="AD1057">
        <f>IF(ISNUMBER(V1057),V1057*($AB$1/V$2635),"")</f>
        <v/>
      </c>
      <c r="AE1057">
        <f>IF(ISNUMBER(Z1057),Z1057*($AB$1/Z$2635),"")</f>
        <v/>
      </c>
      <c r="AF1057" s="25">
        <f>IF(ISNUMBER(AD1057+AE1057),AD1057+AE1057,"")</f>
        <v/>
      </c>
      <c r="AH1057" s="1">
        <f>A1057</f>
        <v/>
      </c>
      <c r="AI1057">
        <f>IF(ISNUMBER((1+V1057)*AI1056),(1+V1057)*AI1056,AI1056)</f>
        <v/>
      </c>
      <c r="AJ1057">
        <f>IF(ISNUMBER((1+Z1057)*AJ1056),(1+Z1057)*AJ1056,AJ1056)</f>
        <v/>
      </c>
    </row>
    <row r="1058">
      <c r="A1058" s="1" t="n">
        <v>43538</v>
      </c>
      <c r="B1058" s="3">
        <f>IF(ORIG!B1058=0,"",ORIG!B1058)</f>
        <v/>
      </c>
      <c r="C1058" s="3">
        <f>IF(ORIG!C1058=0,"",ORIG!C1058)</f>
        <v/>
      </c>
      <c r="D1058" s="3">
        <f>IF(ORIG!D1058=0,"",ORIG!D1058)</f>
        <v/>
      </c>
      <c r="E1058" s="3">
        <f>IF(ORIG!E1058=0,"",ORIG!E1058)</f>
        <v/>
      </c>
      <c r="F1058" s="3">
        <f>IF(ORIG!F1058=0,"",ORIG!F1058)</f>
        <v/>
      </c>
      <c r="G1058" s="3">
        <f>IF(ORIG!G1058=0,"",ORIG!G1058)</f>
        <v/>
      </c>
      <c r="H1058" s="3">
        <f>IF(ORIG!H1058=0,"",ORIG!H1058)</f>
        <v/>
      </c>
      <c r="I1058" s="3">
        <f>IF(ORIG!I1058=0,"",ORIG!I1058)</f>
        <v/>
      </c>
      <c r="J1058" s="3">
        <f>IF(ORIG!J1058=0,"",ORIG!J1058)</f>
        <v/>
      </c>
      <c r="K1058" s="3">
        <f>IF(ORIG!K1058=0,"",ORIG!K1058)</f>
        <v/>
      </c>
      <c r="L1058" s="3">
        <f>IF(ORIG!L1058=0,"",ORIG!L1058)</f>
        <v/>
      </c>
      <c r="M1058" s="3">
        <f>IF(ORIG!M1058=0,"",ORIG!M1058)</f>
        <v/>
      </c>
      <c r="N1058" s="3">
        <f>IF(ORIG!N1058=0,"",ORIG!N1058)</f>
        <v/>
      </c>
      <c r="O1058" s="3">
        <f>IF(ORIG!O1058=0,"",ORIG!O1058)</f>
        <v/>
      </c>
      <c r="P1058" s="3">
        <f>IF(ORIG!P1058=0,"",ORIG!P1058)</f>
        <v/>
      </c>
      <c r="Q1058" s="3">
        <f>IF(ORIG!Q1058=0,"",ORIG!Q1058)</f>
        <v/>
      </c>
      <c r="R1058" s="3">
        <f>IF(ORIG!R1058=0,"",ORIG!R1058)</f>
        <v/>
      </c>
      <c r="S1058" s="3">
        <f>IF(ORIG!S1058=0,"",ORIG!S1058)</f>
        <v/>
      </c>
      <c r="T1058" s="3">
        <f>IF(ORIG!T1058=0,"",ORIG!T1058)</f>
        <v/>
      </c>
      <c r="U1058" s="3">
        <f>IF(ORIG!U1058=0,"",ORIG!U1058)</f>
        <v/>
      </c>
      <c r="V1058" s="9">
        <f>IF(ORIG!V1058=0,"",ORIG!V1058)</f>
        <v/>
      </c>
      <c r="W1058" s="9">
        <f>IF(ORIG!W1058=0,"",ORIG!W1058)</f>
        <v/>
      </c>
      <c r="X1058" s="9">
        <f>IF(ORIG!X1058=0,"",ORIG!X1058)</f>
        <v/>
      </c>
      <c r="Y1058" s="9">
        <f>IF(ORIG!Y1058=0,"",ORIG!Y1058)</f>
        <v/>
      </c>
      <c r="Z1058" s="3">
        <f>SUMPRODUCT($B1058:$Y1058,$B$2649:$Y$2649)</f>
        <v/>
      </c>
      <c r="AA1058" s="3">
        <f>SUMPRODUCT($B1058:$Y1058,$B$2655:$Y$2655)</f>
        <v/>
      </c>
      <c r="AC1058" s="1">
        <f>A1058</f>
        <v/>
      </c>
      <c r="AD1058">
        <f>IF(ISNUMBER(V1058),V1058*($AB$1/V$2635),"")</f>
        <v/>
      </c>
      <c r="AE1058">
        <f>IF(ISNUMBER(Z1058),Z1058*($AB$1/Z$2635),"")</f>
        <v/>
      </c>
      <c r="AF1058" s="25">
        <f>IF(ISNUMBER(AD1058+AE1058),AD1058+AE1058,"")</f>
        <v/>
      </c>
      <c r="AH1058" s="1">
        <f>A1058</f>
        <v/>
      </c>
      <c r="AI1058">
        <f>IF(ISNUMBER((1+V1058)*AI1057),(1+V1058)*AI1057,AI1057)</f>
        <v/>
      </c>
      <c r="AJ1058">
        <f>IF(ISNUMBER((1+Z1058)*AJ1057),(1+Z1058)*AJ1057,AJ1057)</f>
        <v/>
      </c>
    </row>
    <row r="1059">
      <c r="A1059" s="1" t="n">
        <v>43539</v>
      </c>
      <c r="B1059" s="3">
        <f>IF(ORIG!B1059=0,"",ORIG!B1059)</f>
        <v/>
      </c>
      <c r="C1059" s="3">
        <f>IF(ORIG!C1059=0,"",ORIG!C1059)</f>
        <v/>
      </c>
      <c r="D1059" s="3">
        <f>IF(ORIG!D1059=0,"",ORIG!D1059)</f>
        <v/>
      </c>
      <c r="E1059" s="3">
        <f>IF(ORIG!E1059=0,"",ORIG!E1059)</f>
        <v/>
      </c>
      <c r="F1059" s="3">
        <f>IF(ORIG!F1059=0,"",ORIG!F1059)</f>
        <v/>
      </c>
      <c r="G1059" s="3">
        <f>IF(ORIG!G1059=0,"",ORIG!G1059)</f>
        <v/>
      </c>
      <c r="H1059" s="3">
        <f>IF(ORIG!H1059=0,"",ORIG!H1059)</f>
        <v/>
      </c>
      <c r="I1059" s="3">
        <f>IF(ORIG!I1059=0,"",ORIG!I1059)</f>
        <v/>
      </c>
      <c r="J1059" s="3">
        <f>IF(ORIG!J1059=0,"",ORIG!J1059)</f>
        <v/>
      </c>
      <c r="K1059" s="3">
        <f>IF(ORIG!K1059=0,"",ORIG!K1059)</f>
        <v/>
      </c>
      <c r="L1059" s="3">
        <f>IF(ORIG!L1059=0,"",ORIG!L1059)</f>
        <v/>
      </c>
      <c r="M1059" s="3">
        <f>IF(ORIG!M1059=0,"",ORIG!M1059)</f>
        <v/>
      </c>
      <c r="N1059" s="3">
        <f>IF(ORIG!N1059=0,"",ORIG!N1059)</f>
        <v/>
      </c>
      <c r="O1059" s="3">
        <f>IF(ORIG!O1059=0,"",ORIG!O1059)</f>
        <v/>
      </c>
      <c r="P1059" s="3">
        <f>IF(ORIG!P1059=0,"",ORIG!P1059)</f>
        <v/>
      </c>
      <c r="Q1059" s="3">
        <f>IF(ORIG!Q1059=0,"",ORIG!Q1059)</f>
        <v/>
      </c>
      <c r="R1059" s="3">
        <f>IF(ORIG!R1059=0,"",ORIG!R1059)</f>
        <v/>
      </c>
      <c r="S1059" s="3">
        <f>IF(ORIG!S1059=0,"",ORIG!S1059)</f>
        <v/>
      </c>
      <c r="T1059" s="3">
        <f>IF(ORIG!T1059=0,"",ORIG!T1059)</f>
        <v/>
      </c>
      <c r="U1059" s="3">
        <f>IF(ORIG!U1059=0,"",ORIG!U1059)</f>
        <v/>
      </c>
      <c r="V1059" s="9">
        <f>IF(ORIG!V1059=0,"",ORIG!V1059)</f>
        <v/>
      </c>
      <c r="W1059" s="9">
        <f>IF(ORIG!W1059=0,"",ORIG!W1059)</f>
        <v/>
      </c>
      <c r="X1059" s="9">
        <f>IF(ORIG!X1059=0,"",ORIG!X1059)</f>
        <v/>
      </c>
      <c r="Y1059" s="9">
        <f>IF(ORIG!Y1059=0,"",ORIG!Y1059)</f>
        <v/>
      </c>
      <c r="Z1059" s="3">
        <f>SUMPRODUCT($B1059:$Y1059,$B$2649:$Y$2649)</f>
        <v/>
      </c>
      <c r="AA1059" s="3">
        <f>SUMPRODUCT($B1059:$Y1059,$B$2655:$Y$2655)</f>
        <v/>
      </c>
      <c r="AC1059" s="1">
        <f>A1059</f>
        <v/>
      </c>
      <c r="AD1059">
        <f>IF(ISNUMBER(V1059),V1059*($AB$1/V$2635),"")</f>
        <v/>
      </c>
      <c r="AE1059">
        <f>IF(ISNUMBER(Z1059),Z1059*($AB$1/Z$2635),"")</f>
        <v/>
      </c>
      <c r="AF1059" s="25">
        <f>IF(ISNUMBER(AD1059+AE1059),AD1059+AE1059,"")</f>
        <v/>
      </c>
      <c r="AH1059" s="1">
        <f>A1059</f>
        <v/>
      </c>
      <c r="AI1059">
        <f>IF(ISNUMBER((1+V1059)*AI1058),(1+V1059)*AI1058,AI1058)</f>
        <v/>
      </c>
      <c r="AJ1059">
        <f>IF(ISNUMBER((1+Z1059)*AJ1058),(1+Z1059)*AJ1058,AJ1058)</f>
        <v/>
      </c>
    </row>
    <row r="1060">
      <c r="A1060" s="1" t="n">
        <v>43542</v>
      </c>
      <c r="B1060" s="3">
        <f>IF(ORIG!B1060=0,"",ORIG!B1060)</f>
        <v/>
      </c>
      <c r="C1060" s="3">
        <f>IF(ORIG!C1060=0,"",ORIG!C1060)</f>
        <v/>
      </c>
      <c r="D1060" s="3">
        <f>IF(ORIG!D1060=0,"",ORIG!D1060)</f>
        <v/>
      </c>
      <c r="E1060" s="3">
        <f>IF(ORIG!E1060=0,"",ORIG!E1060)</f>
        <v/>
      </c>
      <c r="F1060" s="3">
        <f>IF(ORIG!F1060=0,"",ORIG!F1060)</f>
        <v/>
      </c>
      <c r="G1060" s="3">
        <f>IF(ORIG!G1060=0,"",ORIG!G1060)</f>
        <v/>
      </c>
      <c r="H1060" s="3">
        <f>IF(ORIG!H1060=0,"",ORIG!H1060)</f>
        <v/>
      </c>
      <c r="I1060" s="3">
        <f>IF(ORIG!I1060=0,"",ORIG!I1060)</f>
        <v/>
      </c>
      <c r="J1060" s="3">
        <f>IF(ORIG!J1060=0,"",ORIG!J1060)</f>
        <v/>
      </c>
      <c r="K1060" s="3">
        <f>IF(ORIG!K1060=0,"",ORIG!K1060)</f>
        <v/>
      </c>
      <c r="L1060" s="3">
        <f>IF(ORIG!L1060=0,"",ORIG!L1060)</f>
        <v/>
      </c>
      <c r="M1060" s="3">
        <f>IF(ORIG!M1060=0,"",ORIG!M1060)</f>
        <v/>
      </c>
      <c r="N1060" s="3">
        <f>IF(ORIG!N1060=0,"",ORIG!N1060)</f>
        <v/>
      </c>
      <c r="O1060" s="3">
        <f>IF(ORIG!O1060=0,"",ORIG!O1060)</f>
        <v/>
      </c>
      <c r="P1060" s="3">
        <f>IF(ORIG!P1060=0,"",ORIG!P1060)</f>
        <v/>
      </c>
      <c r="Q1060" s="3">
        <f>IF(ORIG!Q1060=0,"",ORIG!Q1060)</f>
        <v/>
      </c>
      <c r="R1060" s="3">
        <f>IF(ORIG!R1060=0,"",ORIG!R1060)</f>
        <v/>
      </c>
      <c r="S1060" s="3">
        <f>IF(ORIG!S1060=0,"",ORIG!S1060)</f>
        <v/>
      </c>
      <c r="T1060" s="3">
        <f>IF(ORIG!T1060=0,"",ORIG!T1060)</f>
        <v/>
      </c>
      <c r="U1060" s="3">
        <f>IF(ORIG!U1060=0,"",ORIG!U1060)</f>
        <v/>
      </c>
      <c r="V1060" s="9">
        <f>IF(ORIG!V1060=0,"",ORIG!V1060)</f>
        <v/>
      </c>
      <c r="W1060" s="9">
        <f>IF(ORIG!W1060=0,"",ORIG!W1060)</f>
        <v/>
      </c>
      <c r="X1060" s="9">
        <f>IF(ORIG!X1060=0,"",ORIG!X1060)</f>
        <v/>
      </c>
      <c r="Y1060" s="9">
        <f>IF(ORIG!Y1060=0,"",ORIG!Y1060)</f>
        <v/>
      </c>
      <c r="Z1060" s="3">
        <f>SUMPRODUCT($B1060:$Y1060,$B$2649:$Y$2649)</f>
        <v/>
      </c>
      <c r="AA1060" s="3">
        <f>SUMPRODUCT($B1060:$Y1060,$B$2655:$Y$2655)</f>
        <v/>
      </c>
      <c r="AC1060" s="1">
        <f>A1060</f>
        <v/>
      </c>
      <c r="AD1060">
        <f>IF(ISNUMBER(V1060),V1060*($AB$1/V$2635),"")</f>
        <v/>
      </c>
      <c r="AE1060">
        <f>IF(ISNUMBER(Z1060),Z1060*($AB$1/Z$2635),"")</f>
        <v/>
      </c>
      <c r="AF1060" s="25">
        <f>IF(ISNUMBER(AD1060+AE1060),AD1060+AE1060,"")</f>
        <v/>
      </c>
      <c r="AH1060" s="1">
        <f>A1060</f>
        <v/>
      </c>
      <c r="AI1060">
        <f>IF(ISNUMBER((1+V1060)*AI1059),(1+V1060)*AI1059,AI1059)</f>
        <v/>
      </c>
      <c r="AJ1060">
        <f>IF(ISNUMBER((1+Z1060)*AJ1059),(1+Z1060)*AJ1059,AJ1059)</f>
        <v/>
      </c>
    </row>
    <row r="1061">
      <c r="A1061" s="1" t="n">
        <v>43543</v>
      </c>
      <c r="B1061" s="3">
        <f>IF(ORIG!B1061=0,"",ORIG!B1061)</f>
        <v/>
      </c>
      <c r="C1061" s="3">
        <f>IF(ORIG!C1061=0,"",ORIG!C1061)</f>
        <v/>
      </c>
      <c r="D1061" s="3">
        <f>IF(ORIG!D1061=0,"",ORIG!D1061)</f>
        <v/>
      </c>
      <c r="E1061" s="3">
        <f>IF(ORIG!E1061=0,"",ORIG!E1061)</f>
        <v/>
      </c>
      <c r="F1061" s="3">
        <f>IF(ORIG!F1061=0,"",ORIG!F1061)</f>
        <v/>
      </c>
      <c r="G1061" s="3">
        <f>IF(ORIG!G1061=0,"",ORIG!G1061)</f>
        <v/>
      </c>
      <c r="H1061" s="3">
        <f>IF(ORIG!H1061=0,"",ORIG!H1061)</f>
        <v/>
      </c>
      <c r="I1061" s="3">
        <f>IF(ORIG!I1061=0,"",ORIG!I1061)</f>
        <v/>
      </c>
      <c r="J1061" s="3">
        <f>IF(ORIG!J1061=0,"",ORIG!J1061)</f>
        <v/>
      </c>
      <c r="K1061" s="3">
        <f>IF(ORIG!K1061=0,"",ORIG!K1061)</f>
        <v/>
      </c>
      <c r="L1061" s="3">
        <f>IF(ORIG!L1061=0,"",ORIG!L1061)</f>
        <v/>
      </c>
      <c r="M1061" s="3">
        <f>IF(ORIG!M1061=0,"",ORIG!M1061)</f>
        <v/>
      </c>
      <c r="N1061" s="3">
        <f>IF(ORIG!N1061=0,"",ORIG!N1061)</f>
        <v/>
      </c>
      <c r="O1061" s="3">
        <f>IF(ORIG!O1061=0,"",ORIG!O1061)</f>
        <v/>
      </c>
      <c r="P1061" s="3">
        <f>IF(ORIG!P1061=0,"",ORIG!P1061)</f>
        <v/>
      </c>
      <c r="Q1061" s="3">
        <f>IF(ORIG!Q1061=0,"",ORIG!Q1061)</f>
        <v/>
      </c>
      <c r="R1061" s="3">
        <f>IF(ORIG!R1061=0,"",ORIG!R1061)</f>
        <v/>
      </c>
      <c r="S1061" s="3">
        <f>IF(ORIG!S1061=0,"",ORIG!S1061)</f>
        <v/>
      </c>
      <c r="T1061" s="3">
        <f>IF(ORIG!T1061=0,"",ORIG!T1061)</f>
        <v/>
      </c>
      <c r="U1061" s="3">
        <f>IF(ORIG!U1061=0,"",ORIG!U1061)</f>
        <v/>
      </c>
      <c r="V1061" s="9">
        <f>IF(ORIG!V1061=0,"",ORIG!V1061)</f>
        <v/>
      </c>
      <c r="W1061" s="9">
        <f>IF(ORIG!W1061=0,"",ORIG!W1061)</f>
        <v/>
      </c>
      <c r="X1061" s="9">
        <f>IF(ORIG!X1061=0,"",ORIG!X1061)</f>
        <v/>
      </c>
      <c r="Y1061" s="9">
        <f>IF(ORIG!Y1061=0,"",ORIG!Y1061)</f>
        <v/>
      </c>
      <c r="Z1061" s="3">
        <f>SUMPRODUCT($B1061:$Y1061,$B$2649:$Y$2649)</f>
        <v/>
      </c>
      <c r="AA1061" s="3">
        <f>SUMPRODUCT($B1061:$Y1061,$B$2655:$Y$2655)</f>
        <v/>
      </c>
      <c r="AC1061" s="1">
        <f>A1061</f>
        <v/>
      </c>
      <c r="AD1061">
        <f>IF(ISNUMBER(V1061),V1061*($AB$1/V$2635),"")</f>
        <v/>
      </c>
      <c r="AE1061">
        <f>IF(ISNUMBER(Z1061),Z1061*($AB$1/Z$2635),"")</f>
        <v/>
      </c>
      <c r="AF1061" s="25">
        <f>IF(ISNUMBER(AD1061+AE1061),AD1061+AE1061,"")</f>
        <v/>
      </c>
      <c r="AH1061" s="1">
        <f>A1061</f>
        <v/>
      </c>
      <c r="AI1061">
        <f>IF(ISNUMBER((1+V1061)*AI1060),(1+V1061)*AI1060,AI1060)</f>
        <v/>
      </c>
      <c r="AJ1061">
        <f>IF(ISNUMBER((1+Z1061)*AJ1060),(1+Z1061)*AJ1060,AJ1060)</f>
        <v/>
      </c>
    </row>
    <row r="1062">
      <c r="A1062" s="1" t="n">
        <v>43544</v>
      </c>
      <c r="B1062" s="3">
        <f>IF(ORIG!B1062=0,"",ORIG!B1062)</f>
        <v/>
      </c>
      <c r="C1062" s="3">
        <f>IF(ORIG!C1062=0,"",ORIG!C1062)</f>
        <v/>
      </c>
      <c r="D1062" s="3">
        <f>IF(ORIG!D1062=0,"",ORIG!D1062)</f>
        <v/>
      </c>
      <c r="E1062" s="3">
        <f>IF(ORIG!E1062=0,"",ORIG!E1062)</f>
        <v/>
      </c>
      <c r="F1062" s="3">
        <f>IF(ORIG!F1062=0,"",ORIG!F1062)</f>
        <v/>
      </c>
      <c r="G1062" s="3">
        <f>IF(ORIG!G1062=0,"",ORIG!G1062)</f>
        <v/>
      </c>
      <c r="H1062" s="3">
        <f>IF(ORIG!H1062=0,"",ORIG!H1062)</f>
        <v/>
      </c>
      <c r="I1062" s="3">
        <f>IF(ORIG!I1062=0,"",ORIG!I1062)</f>
        <v/>
      </c>
      <c r="J1062" s="3">
        <f>IF(ORIG!J1062=0,"",ORIG!J1062)</f>
        <v/>
      </c>
      <c r="K1062" s="3">
        <f>IF(ORIG!K1062=0,"",ORIG!K1062)</f>
        <v/>
      </c>
      <c r="L1062" s="3">
        <f>IF(ORIG!L1062=0,"",ORIG!L1062)</f>
        <v/>
      </c>
      <c r="M1062" s="3">
        <f>IF(ORIG!M1062=0,"",ORIG!M1062)</f>
        <v/>
      </c>
      <c r="N1062" s="3">
        <f>IF(ORIG!N1062=0,"",ORIG!N1062)</f>
        <v/>
      </c>
      <c r="O1062" s="3">
        <f>IF(ORIG!O1062=0,"",ORIG!O1062)</f>
        <v/>
      </c>
      <c r="P1062" s="3">
        <f>IF(ORIG!P1062=0,"",ORIG!P1062)</f>
        <v/>
      </c>
      <c r="Q1062" s="3">
        <f>IF(ORIG!Q1062=0,"",ORIG!Q1062)</f>
        <v/>
      </c>
      <c r="R1062" s="3">
        <f>IF(ORIG!R1062=0,"",ORIG!R1062)</f>
        <v/>
      </c>
      <c r="S1062" s="3">
        <f>IF(ORIG!S1062=0,"",ORIG!S1062)</f>
        <v/>
      </c>
      <c r="T1062" s="3">
        <f>IF(ORIG!T1062=0,"",ORIG!T1062)</f>
        <v/>
      </c>
      <c r="U1062" s="3">
        <f>IF(ORIG!U1062=0,"",ORIG!U1062)</f>
        <v/>
      </c>
      <c r="V1062" s="9">
        <f>IF(ORIG!V1062=0,"",ORIG!V1062)</f>
        <v/>
      </c>
      <c r="W1062" s="9">
        <f>IF(ORIG!W1062=0,"",ORIG!W1062)</f>
        <v/>
      </c>
      <c r="X1062" s="9">
        <f>IF(ORIG!X1062=0,"",ORIG!X1062)</f>
        <v/>
      </c>
      <c r="Y1062" s="9">
        <f>IF(ORIG!Y1062=0,"",ORIG!Y1062)</f>
        <v/>
      </c>
      <c r="Z1062" s="3">
        <f>SUMPRODUCT($B1062:$Y1062,$B$2649:$Y$2649)</f>
        <v/>
      </c>
      <c r="AA1062" s="3">
        <f>SUMPRODUCT($B1062:$Y1062,$B$2655:$Y$2655)</f>
        <v/>
      </c>
      <c r="AC1062" s="1">
        <f>A1062</f>
        <v/>
      </c>
      <c r="AD1062">
        <f>IF(ISNUMBER(V1062),V1062*($AB$1/V$2635),"")</f>
        <v/>
      </c>
      <c r="AE1062">
        <f>IF(ISNUMBER(Z1062),Z1062*($AB$1/Z$2635),"")</f>
        <v/>
      </c>
      <c r="AF1062" s="25">
        <f>IF(ISNUMBER(AD1062+AE1062),AD1062+AE1062,"")</f>
        <v/>
      </c>
      <c r="AH1062" s="1">
        <f>A1062</f>
        <v/>
      </c>
      <c r="AI1062">
        <f>IF(ISNUMBER((1+V1062)*AI1061),(1+V1062)*AI1061,AI1061)</f>
        <v/>
      </c>
      <c r="AJ1062">
        <f>IF(ISNUMBER((1+Z1062)*AJ1061),(1+Z1062)*AJ1061,AJ1061)</f>
        <v/>
      </c>
    </row>
    <row r="1063">
      <c r="A1063" s="1" t="n">
        <v>43545</v>
      </c>
      <c r="B1063" s="3">
        <f>IF(ORIG!B1063=0,"",ORIG!B1063)</f>
        <v/>
      </c>
      <c r="C1063" s="3">
        <f>IF(ORIG!C1063=0,"",ORIG!C1063)</f>
        <v/>
      </c>
      <c r="D1063" s="3">
        <f>IF(ORIG!D1063=0,"",ORIG!D1063)</f>
        <v/>
      </c>
      <c r="E1063" s="3">
        <f>IF(ORIG!E1063=0,"",ORIG!E1063)</f>
        <v/>
      </c>
      <c r="F1063" s="3">
        <f>IF(ORIG!F1063=0,"",ORIG!F1063)</f>
        <v/>
      </c>
      <c r="G1063" s="3">
        <f>IF(ORIG!G1063=0,"",ORIG!G1063)</f>
        <v/>
      </c>
      <c r="H1063" s="3">
        <f>IF(ORIG!H1063=0,"",ORIG!H1063)</f>
        <v/>
      </c>
      <c r="I1063" s="3">
        <f>IF(ORIG!I1063=0,"",ORIG!I1063)</f>
        <v/>
      </c>
      <c r="J1063" s="3">
        <f>IF(ORIG!J1063=0,"",ORIG!J1063)</f>
        <v/>
      </c>
      <c r="K1063" s="3">
        <f>IF(ORIG!K1063=0,"",ORIG!K1063)</f>
        <v/>
      </c>
      <c r="L1063" s="3">
        <f>IF(ORIG!L1063=0,"",ORIG!L1063)</f>
        <v/>
      </c>
      <c r="M1063" s="3">
        <f>IF(ORIG!M1063=0,"",ORIG!M1063)</f>
        <v/>
      </c>
      <c r="N1063" s="3">
        <f>IF(ORIG!N1063=0,"",ORIG!N1063)</f>
        <v/>
      </c>
      <c r="O1063" s="3">
        <f>IF(ORIG!O1063=0,"",ORIG!O1063)</f>
        <v/>
      </c>
      <c r="P1063" s="3">
        <f>IF(ORIG!P1063=0,"",ORIG!P1063)</f>
        <v/>
      </c>
      <c r="Q1063" s="3">
        <f>IF(ORIG!Q1063=0,"",ORIG!Q1063)</f>
        <v/>
      </c>
      <c r="R1063" s="3">
        <f>IF(ORIG!R1063=0,"",ORIG!R1063)</f>
        <v/>
      </c>
      <c r="S1063" s="3">
        <f>IF(ORIG!S1063=0,"",ORIG!S1063)</f>
        <v/>
      </c>
      <c r="T1063" s="3">
        <f>IF(ORIG!T1063=0,"",ORIG!T1063)</f>
        <v/>
      </c>
      <c r="U1063" s="3">
        <f>IF(ORIG!U1063=0,"",ORIG!U1063)</f>
        <v/>
      </c>
      <c r="V1063" s="9">
        <f>IF(ORIG!V1063=0,"",ORIG!V1063)</f>
        <v/>
      </c>
      <c r="W1063" s="9">
        <f>IF(ORIG!W1063=0,"",ORIG!W1063)</f>
        <v/>
      </c>
      <c r="X1063" s="9">
        <f>IF(ORIG!X1063=0,"",ORIG!X1063)</f>
        <v/>
      </c>
      <c r="Y1063" s="9">
        <f>IF(ORIG!Y1063=0,"",ORIG!Y1063)</f>
        <v/>
      </c>
      <c r="Z1063" s="3">
        <f>SUMPRODUCT($B1063:$Y1063,$B$2649:$Y$2649)</f>
        <v/>
      </c>
      <c r="AA1063" s="3">
        <f>SUMPRODUCT($B1063:$Y1063,$B$2655:$Y$2655)</f>
        <v/>
      </c>
      <c r="AC1063" s="1">
        <f>A1063</f>
        <v/>
      </c>
      <c r="AD1063">
        <f>IF(ISNUMBER(V1063),V1063*($AB$1/V$2635),"")</f>
        <v/>
      </c>
      <c r="AE1063">
        <f>IF(ISNUMBER(Z1063),Z1063*($AB$1/Z$2635),"")</f>
        <v/>
      </c>
      <c r="AF1063" s="25">
        <f>IF(ISNUMBER(AD1063+AE1063),AD1063+AE1063,"")</f>
        <v/>
      </c>
      <c r="AH1063" s="1">
        <f>A1063</f>
        <v/>
      </c>
      <c r="AI1063">
        <f>IF(ISNUMBER((1+V1063)*AI1062),(1+V1063)*AI1062,AI1062)</f>
        <v/>
      </c>
      <c r="AJ1063">
        <f>IF(ISNUMBER((1+Z1063)*AJ1062),(1+Z1063)*AJ1062,AJ1062)</f>
        <v/>
      </c>
    </row>
    <row r="1064">
      <c r="A1064" s="1" t="n">
        <v>43546</v>
      </c>
      <c r="B1064" s="3">
        <f>IF(ORIG!B1064=0,"",ORIG!B1064)</f>
        <v/>
      </c>
      <c r="C1064" s="3">
        <f>IF(ORIG!C1064=0,"",ORIG!C1064)</f>
        <v/>
      </c>
      <c r="D1064" s="3">
        <f>IF(ORIG!D1064=0,"",ORIG!D1064)</f>
        <v/>
      </c>
      <c r="E1064" s="3">
        <f>IF(ORIG!E1064=0,"",ORIG!E1064)</f>
        <v/>
      </c>
      <c r="F1064" s="3">
        <f>IF(ORIG!F1064=0,"",ORIG!F1064)</f>
        <v/>
      </c>
      <c r="G1064" s="3">
        <f>IF(ORIG!G1064=0,"",ORIG!G1064)</f>
        <v/>
      </c>
      <c r="H1064" s="3">
        <f>IF(ORIG!H1064=0,"",ORIG!H1064)</f>
        <v/>
      </c>
      <c r="I1064" s="3">
        <f>IF(ORIG!I1064=0,"",ORIG!I1064)</f>
        <v/>
      </c>
      <c r="J1064" s="3">
        <f>IF(ORIG!J1064=0,"",ORIG!J1064)</f>
        <v/>
      </c>
      <c r="K1064" s="3">
        <f>IF(ORIG!K1064=0,"",ORIG!K1064)</f>
        <v/>
      </c>
      <c r="L1064" s="3">
        <f>IF(ORIG!L1064=0,"",ORIG!L1064)</f>
        <v/>
      </c>
      <c r="M1064" s="3">
        <f>IF(ORIG!M1064=0,"",ORIG!M1064)</f>
        <v/>
      </c>
      <c r="N1064" s="3">
        <f>IF(ORIG!N1064=0,"",ORIG!N1064)</f>
        <v/>
      </c>
      <c r="O1064" s="3">
        <f>IF(ORIG!O1064=0,"",ORIG!O1064)</f>
        <v/>
      </c>
      <c r="P1064" s="3">
        <f>IF(ORIG!P1064=0,"",ORIG!P1064)</f>
        <v/>
      </c>
      <c r="Q1064" s="3">
        <f>IF(ORIG!Q1064=0,"",ORIG!Q1064)</f>
        <v/>
      </c>
      <c r="R1064" s="3">
        <f>IF(ORIG!R1064=0,"",ORIG!R1064)</f>
        <v/>
      </c>
      <c r="S1064" s="3">
        <f>IF(ORIG!S1064=0,"",ORIG!S1064)</f>
        <v/>
      </c>
      <c r="T1064" s="3">
        <f>IF(ORIG!T1064=0,"",ORIG!T1064)</f>
        <v/>
      </c>
      <c r="U1064" s="3">
        <f>IF(ORIG!U1064=0,"",ORIG!U1064)</f>
        <v/>
      </c>
      <c r="V1064" s="9">
        <f>IF(ORIG!V1064=0,"",ORIG!V1064)</f>
        <v/>
      </c>
      <c r="W1064" s="9">
        <f>IF(ORIG!W1064=0,"",ORIG!W1064)</f>
        <v/>
      </c>
      <c r="X1064" s="9">
        <f>IF(ORIG!X1064=0,"",ORIG!X1064)</f>
        <v/>
      </c>
      <c r="Y1064" s="9">
        <f>IF(ORIG!Y1064=0,"",ORIG!Y1064)</f>
        <v/>
      </c>
      <c r="Z1064" s="3">
        <f>SUMPRODUCT($B1064:$Y1064,$B$2649:$Y$2649)</f>
        <v/>
      </c>
      <c r="AA1064" s="3">
        <f>SUMPRODUCT($B1064:$Y1064,$B$2655:$Y$2655)</f>
        <v/>
      </c>
      <c r="AC1064" s="1">
        <f>A1064</f>
        <v/>
      </c>
      <c r="AD1064">
        <f>IF(ISNUMBER(V1064),V1064*($AB$1/V$2635),"")</f>
        <v/>
      </c>
      <c r="AE1064">
        <f>IF(ISNUMBER(Z1064),Z1064*($AB$1/Z$2635),"")</f>
        <v/>
      </c>
      <c r="AF1064" s="25">
        <f>IF(ISNUMBER(AD1064+AE1064),AD1064+AE1064,"")</f>
        <v/>
      </c>
      <c r="AH1064" s="1">
        <f>A1064</f>
        <v/>
      </c>
      <c r="AI1064">
        <f>IF(ISNUMBER((1+V1064)*AI1063),(1+V1064)*AI1063,AI1063)</f>
        <v/>
      </c>
      <c r="AJ1064">
        <f>IF(ISNUMBER((1+Z1064)*AJ1063),(1+Z1064)*AJ1063,AJ1063)</f>
        <v/>
      </c>
    </row>
    <row r="1065">
      <c r="A1065" s="1" t="n">
        <v>43549</v>
      </c>
      <c r="B1065" s="3">
        <f>IF(ORIG!B1065=0,"",ORIG!B1065)</f>
        <v/>
      </c>
      <c r="C1065" s="3">
        <f>IF(ORIG!C1065=0,"",ORIG!C1065)</f>
        <v/>
      </c>
      <c r="D1065" s="3">
        <f>IF(ORIG!D1065=0,"",ORIG!D1065)</f>
        <v/>
      </c>
      <c r="E1065" s="3">
        <f>IF(ORIG!E1065=0,"",ORIG!E1065)</f>
        <v/>
      </c>
      <c r="F1065" s="3">
        <f>IF(ORIG!F1065=0,"",ORIG!F1065)</f>
        <v/>
      </c>
      <c r="G1065" s="3">
        <f>IF(ORIG!G1065=0,"",ORIG!G1065)</f>
        <v/>
      </c>
      <c r="H1065" s="3">
        <f>IF(ORIG!H1065=0,"",ORIG!H1065)</f>
        <v/>
      </c>
      <c r="I1065" s="3">
        <f>IF(ORIG!I1065=0,"",ORIG!I1065)</f>
        <v/>
      </c>
      <c r="J1065" s="3">
        <f>IF(ORIG!J1065=0,"",ORIG!J1065)</f>
        <v/>
      </c>
      <c r="K1065" s="3">
        <f>IF(ORIG!K1065=0,"",ORIG!K1065)</f>
        <v/>
      </c>
      <c r="L1065" s="3">
        <f>IF(ORIG!L1065=0,"",ORIG!L1065)</f>
        <v/>
      </c>
      <c r="M1065" s="3">
        <f>IF(ORIG!M1065=0,"",ORIG!M1065)</f>
        <v/>
      </c>
      <c r="N1065" s="3">
        <f>IF(ORIG!N1065=0,"",ORIG!N1065)</f>
        <v/>
      </c>
      <c r="O1065" s="3">
        <f>IF(ORIG!O1065=0,"",ORIG!O1065)</f>
        <v/>
      </c>
      <c r="P1065" s="3">
        <f>IF(ORIG!P1065=0,"",ORIG!P1065)</f>
        <v/>
      </c>
      <c r="Q1065" s="3">
        <f>IF(ORIG!Q1065=0,"",ORIG!Q1065)</f>
        <v/>
      </c>
      <c r="R1065" s="3">
        <f>IF(ORIG!R1065=0,"",ORIG!R1065)</f>
        <v/>
      </c>
      <c r="S1065" s="3">
        <f>IF(ORIG!S1065=0,"",ORIG!S1065)</f>
        <v/>
      </c>
      <c r="T1065" s="3">
        <f>IF(ORIG!T1065=0,"",ORIG!T1065)</f>
        <v/>
      </c>
      <c r="U1065" s="3">
        <f>IF(ORIG!U1065=0,"",ORIG!U1065)</f>
        <v/>
      </c>
      <c r="V1065" s="9">
        <f>IF(ORIG!V1065=0,"",ORIG!V1065)</f>
        <v/>
      </c>
      <c r="W1065" s="9">
        <f>IF(ORIG!W1065=0,"",ORIG!W1065)</f>
        <v/>
      </c>
      <c r="X1065" s="9">
        <f>IF(ORIG!X1065=0,"",ORIG!X1065)</f>
        <v/>
      </c>
      <c r="Y1065" s="9">
        <f>IF(ORIG!Y1065=0,"",ORIG!Y1065)</f>
        <v/>
      </c>
      <c r="Z1065" s="3">
        <f>SUMPRODUCT($B1065:$Y1065,$B$2649:$Y$2649)</f>
        <v/>
      </c>
      <c r="AA1065" s="3">
        <f>SUMPRODUCT($B1065:$Y1065,$B$2655:$Y$2655)</f>
        <v/>
      </c>
      <c r="AC1065" s="1">
        <f>A1065</f>
        <v/>
      </c>
      <c r="AD1065">
        <f>IF(ISNUMBER(V1065),V1065*($AB$1/V$2635),"")</f>
        <v/>
      </c>
      <c r="AE1065">
        <f>IF(ISNUMBER(Z1065),Z1065*($AB$1/Z$2635),"")</f>
        <v/>
      </c>
      <c r="AF1065" s="25">
        <f>IF(ISNUMBER(AD1065+AE1065),AD1065+AE1065,"")</f>
        <v/>
      </c>
      <c r="AH1065" s="1">
        <f>A1065</f>
        <v/>
      </c>
      <c r="AI1065">
        <f>IF(ISNUMBER((1+V1065)*AI1064),(1+V1065)*AI1064,AI1064)</f>
        <v/>
      </c>
      <c r="AJ1065">
        <f>IF(ISNUMBER((1+Z1065)*AJ1064),(1+Z1065)*AJ1064,AJ1064)</f>
        <v/>
      </c>
    </row>
    <row r="1066">
      <c r="A1066" s="1" t="n">
        <v>43550</v>
      </c>
      <c r="B1066" s="3">
        <f>IF(ORIG!B1066=0,"",ORIG!B1066)</f>
        <v/>
      </c>
      <c r="C1066" s="3">
        <f>IF(ORIG!C1066=0,"",ORIG!C1066)</f>
        <v/>
      </c>
      <c r="D1066" s="3">
        <f>IF(ORIG!D1066=0,"",ORIG!D1066)</f>
        <v/>
      </c>
      <c r="E1066" s="3">
        <f>IF(ORIG!E1066=0,"",ORIG!E1066)</f>
        <v/>
      </c>
      <c r="F1066" s="3">
        <f>IF(ORIG!F1066=0,"",ORIG!F1066)</f>
        <v/>
      </c>
      <c r="G1066" s="3">
        <f>IF(ORIG!G1066=0,"",ORIG!G1066)</f>
        <v/>
      </c>
      <c r="H1066" s="3">
        <f>IF(ORIG!H1066=0,"",ORIG!H1066)</f>
        <v/>
      </c>
      <c r="I1066" s="3">
        <f>IF(ORIG!I1066=0,"",ORIG!I1066)</f>
        <v/>
      </c>
      <c r="J1066" s="3">
        <f>IF(ORIG!J1066=0,"",ORIG!J1066)</f>
        <v/>
      </c>
      <c r="K1066" s="3">
        <f>IF(ORIG!K1066=0,"",ORIG!K1066)</f>
        <v/>
      </c>
      <c r="L1066" s="3">
        <f>IF(ORIG!L1066=0,"",ORIG!L1066)</f>
        <v/>
      </c>
      <c r="M1066" s="3">
        <f>IF(ORIG!M1066=0,"",ORIG!M1066)</f>
        <v/>
      </c>
      <c r="N1066" s="3">
        <f>IF(ORIG!N1066=0,"",ORIG!N1066)</f>
        <v/>
      </c>
      <c r="O1066" s="3">
        <f>IF(ORIG!O1066=0,"",ORIG!O1066)</f>
        <v/>
      </c>
      <c r="P1066" s="3">
        <f>IF(ORIG!P1066=0,"",ORIG!P1066)</f>
        <v/>
      </c>
      <c r="Q1066" s="3">
        <f>IF(ORIG!Q1066=0,"",ORIG!Q1066)</f>
        <v/>
      </c>
      <c r="R1066" s="3">
        <f>IF(ORIG!R1066=0,"",ORIG!R1066)</f>
        <v/>
      </c>
      <c r="S1066" s="3">
        <f>IF(ORIG!S1066=0,"",ORIG!S1066)</f>
        <v/>
      </c>
      <c r="T1066" s="3">
        <f>IF(ORIG!T1066=0,"",ORIG!T1066)</f>
        <v/>
      </c>
      <c r="U1066" s="3">
        <f>IF(ORIG!U1066=0,"",ORIG!U1066)</f>
        <v/>
      </c>
      <c r="V1066" s="9">
        <f>IF(ORIG!V1066=0,"",ORIG!V1066)</f>
        <v/>
      </c>
      <c r="W1066" s="9">
        <f>IF(ORIG!W1066=0,"",ORIG!W1066)</f>
        <v/>
      </c>
      <c r="X1066" s="9">
        <f>IF(ORIG!X1066=0,"",ORIG!X1066)</f>
        <v/>
      </c>
      <c r="Y1066" s="9">
        <f>IF(ORIG!Y1066=0,"",ORIG!Y1066)</f>
        <v/>
      </c>
      <c r="Z1066" s="3">
        <f>SUMPRODUCT($B1066:$Y1066,$B$2649:$Y$2649)</f>
        <v/>
      </c>
      <c r="AA1066" s="3">
        <f>SUMPRODUCT($B1066:$Y1066,$B$2655:$Y$2655)</f>
        <v/>
      </c>
      <c r="AC1066" s="1">
        <f>A1066</f>
        <v/>
      </c>
      <c r="AD1066">
        <f>IF(ISNUMBER(V1066),V1066*($AB$1/V$2635),"")</f>
        <v/>
      </c>
      <c r="AE1066">
        <f>IF(ISNUMBER(Z1066),Z1066*($AB$1/Z$2635),"")</f>
        <v/>
      </c>
      <c r="AF1066" s="25">
        <f>IF(ISNUMBER(AD1066+AE1066),AD1066+AE1066,"")</f>
        <v/>
      </c>
      <c r="AH1066" s="1">
        <f>A1066</f>
        <v/>
      </c>
      <c r="AI1066">
        <f>IF(ISNUMBER((1+V1066)*AI1065),(1+V1066)*AI1065,AI1065)</f>
        <v/>
      </c>
      <c r="AJ1066">
        <f>IF(ISNUMBER((1+Z1066)*AJ1065),(1+Z1066)*AJ1065,AJ1065)</f>
        <v/>
      </c>
    </row>
    <row r="1067">
      <c r="A1067" s="1" t="n">
        <v>43551</v>
      </c>
      <c r="B1067" s="3">
        <f>IF(ORIG!B1067=0,"",ORIG!B1067)</f>
        <v/>
      </c>
      <c r="C1067" s="3">
        <f>IF(ORIG!C1067=0,"",ORIG!C1067)</f>
        <v/>
      </c>
      <c r="D1067" s="3">
        <f>IF(ORIG!D1067=0,"",ORIG!D1067)</f>
        <v/>
      </c>
      <c r="E1067" s="3">
        <f>IF(ORIG!E1067=0,"",ORIG!E1067)</f>
        <v/>
      </c>
      <c r="F1067" s="3">
        <f>IF(ORIG!F1067=0,"",ORIG!F1067)</f>
        <v/>
      </c>
      <c r="G1067" s="3">
        <f>IF(ORIG!G1067=0,"",ORIG!G1067)</f>
        <v/>
      </c>
      <c r="H1067" s="3">
        <f>IF(ORIG!H1067=0,"",ORIG!H1067)</f>
        <v/>
      </c>
      <c r="I1067" s="3">
        <f>IF(ORIG!I1067=0,"",ORIG!I1067)</f>
        <v/>
      </c>
      <c r="J1067" s="3">
        <f>IF(ORIG!J1067=0,"",ORIG!J1067)</f>
        <v/>
      </c>
      <c r="K1067" s="3">
        <f>IF(ORIG!K1067=0,"",ORIG!K1067)</f>
        <v/>
      </c>
      <c r="L1067" s="3">
        <f>IF(ORIG!L1067=0,"",ORIG!L1067)</f>
        <v/>
      </c>
      <c r="M1067" s="3">
        <f>IF(ORIG!M1067=0,"",ORIG!M1067)</f>
        <v/>
      </c>
      <c r="N1067" s="3">
        <f>IF(ORIG!N1067=0,"",ORIG!N1067)</f>
        <v/>
      </c>
      <c r="O1067" s="3">
        <f>IF(ORIG!O1067=0,"",ORIG!O1067)</f>
        <v/>
      </c>
      <c r="P1067" s="3">
        <f>IF(ORIG!P1067=0,"",ORIG!P1067)</f>
        <v/>
      </c>
      <c r="Q1067" s="3">
        <f>IF(ORIG!Q1067=0,"",ORIG!Q1067)</f>
        <v/>
      </c>
      <c r="R1067" s="3">
        <f>IF(ORIG!R1067=0,"",ORIG!R1067)</f>
        <v/>
      </c>
      <c r="S1067" s="3">
        <f>IF(ORIG!S1067=0,"",ORIG!S1067)</f>
        <v/>
      </c>
      <c r="T1067" s="3">
        <f>IF(ORIG!T1067=0,"",ORIG!T1067)</f>
        <v/>
      </c>
      <c r="U1067" s="3">
        <f>IF(ORIG!U1067=0,"",ORIG!U1067)</f>
        <v/>
      </c>
      <c r="V1067" s="9">
        <f>IF(ORIG!V1067=0,"",ORIG!V1067)</f>
        <v/>
      </c>
      <c r="W1067" s="9">
        <f>IF(ORIG!W1067=0,"",ORIG!W1067)</f>
        <v/>
      </c>
      <c r="X1067" s="9">
        <f>IF(ORIG!X1067=0,"",ORIG!X1067)</f>
        <v/>
      </c>
      <c r="Y1067" s="9">
        <f>IF(ORIG!Y1067=0,"",ORIG!Y1067)</f>
        <v/>
      </c>
      <c r="Z1067" s="3">
        <f>SUMPRODUCT($B1067:$Y1067,$B$2649:$Y$2649)</f>
        <v/>
      </c>
      <c r="AA1067" s="3">
        <f>SUMPRODUCT($B1067:$Y1067,$B$2655:$Y$2655)</f>
        <v/>
      </c>
      <c r="AC1067" s="1">
        <f>A1067</f>
        <v/>
      </c>
      <c r="AD1067">
        <f>IF(ISNUMBER(V1067),V1067*($AB$1/V$2635),"")</f>
        <v/>
      </c>
      <c r="AE1067">
        <f>IF(ISNUMBER(Z1067),Z1067*($AB$1/Z$2635),"")</f>
        <v/>
      </c>
      <c r="AF1067" s="25">
        <f>IF(ISNUMBER(AD1067+AE1067),AD1067+AE1067,"")</f>
        <v/>
      </c>
      <c r="AH1067" s="1">
        <f>A1067</f>
        <v/>
      </c>
      <c r="AI1067">
        <f>IF(ISNUMBER((1+V1067)*AI1066),(1+V1067)*AI1066,AI1066)</f>
        <v/>
      </c>
      <c r="AJ1067">
        <f>IF(ISNUMBER((1+Z1067)*AJ1066),(1+Z1067)*AJ1066,AJ1066)</f>
        <v/>
      </c>
    </row>
    <row r="1068">
      <c r="A1068" s="1" t="n">
        <v>43552</v>
      </c>
      <c r="B1068" s="3">
        <f>IF(ORIG!B1068=0,"",ORIG!B1068)</f>
        <v/>
      </c>
      <c r="C1068" s="3">
        <f>IF(ORIG!C1068=0,"",ORIG!C1068)</f>
        <v/>
      </c>
      <c r="D1068" s="3">
        <f>IF(ORIG!D1068=0,"",ORIG!D1068)</f>
        <v/>
      </c>
      <c r="E1068" s="3">
        <f>IF(ORIG!E1068=0,"",ORIG!E1068)</f>
        <v/>
      </c>
      <c r="F1068" s="3">
        <f>IF(ORIG!F1068=0,"",ORIG!F1068)</f>
        <v/>
      </c>
      <c r="G1068" s="3">
        <f>IF(ORIG!G1068=0,"",ORIG!G1068)</f>
        <v/>
      </c>
      <c r="H1068" s="3">
        <f>IF(ORIG!H1068=0,"",ORIG!H1068)</f>
        <v/>
      </c>
      <c r="I1068" s="3">
        <f>IF(ORIG!I1068=0,"",ORIG!I1068)</f>
        <v/>
      </c>
      <c r="J1068" s="3">
        <f>IF(ORIG!J1068=0,"",ORIG!J1068)</f>
        <v/>
      </c>
      <c r="K1068" s="3">
        <f>IF(ORIG!K1068=0,"",ORIG!K1068)</f>
        <v/>
      </c>
      <c r="L1068" s="3">
        <f>IF(ORIG!L1068=0,"",ORIG!L1068)</f>
        <v/>
      </c>
      <c r="M1068" s="3">
        <f>IF(ORIG!M1068=0,"",ORIG!M1068)</f>
        <v/>
      </c>
      <c r="N1068" s="3">
        <f>IF(ORIG!N1068=0,"",ORIG!N1068)</f>
        <v/>
      </c>
      <c r="O1068" s="3">
        <f>IF(ORIG!O1068=0,"",ORIG!O1068)</f>
        <v/>
      </c>
      <c r="P1068" s="3">
        <f>IF(ORIG!P1068=0,"",ORIG!P1068)</f>
        <v/>
      </c>
      <c r="Q1068" s="3">
        <f>IF(ORIG!Q1068=0,"",ORIG!Q1068)</f>
        <v/>
      </c>
      <c r="R1068" s="3">
        <f>IF(ORIG!R1068=0,"",ORIG!R1068)</f>
        <v/>
      </c>
      <c r="S1068" s="3">
        <f>IF(ORIG!S1068=0,"",ORIG!S1068)</f>
        <v/>
      </c>
      <c r="T1068" s="3">
        <f>IF(ORIG!T1068=0,"",ORIG!T1068)</f>
        <v/>
      </c>
      <c r="U1068" s="3">
        <f>IF(ORIG!U1068=0,"",ORIG!U1068)</f>
        <v/>
      </c>
      <c r="V1068" s="9">
        <f>IF(ORIG!V1068=0,"",ORIG!V1068)</f>
        <v/>
      </c>
      <c r="W1068" s="9">
        <f>IF(ORIG!W1068=0,"",ORIG!W1068)</f>
        <v/>
      </c>
      <c r="X1068" s="9">
        <f>IF(ORIG!X1068=0,"",ORIG!X1068)</f>
        <v/>
      </c>
      <c r="Y1068" s="9">
        <f>IF(ORIG!Y1068=0,"",ORIG!Y1068)</f>
        <v/>
      </c>
      <c r="Z1068" s="3">
        <f>SUMPRODUCT($B1068:$Y1068,$B$2649:$Y$2649)</f>
        <v/>
      </c>
      <c r="AA1068" s="3">
        <f>SUMPRODUCT($B1068:$Y1068,$B$2655:$Y$2655)</f>
        <v/>
      </c>
      <c r="AC1068" s="1">
        <f>A1068</f>
        <v/>
      </c>
      <c r="AD1068">
        <f>IF(ISNUMBER(V1068),V1068*($AB$1/V$2635),"")</f>
        <v/>
      </c>
      <c r="AE1068">
        <f>IF(ISNUMBER(Z1068),Z1068*($AB$1/Z$2635),"")</f>
        <v/>
      </c>
      <c r="AF1068" s="25">
        <f>IF(ISNUMBER(AD1068+AE1068),AD1068+AE1068,"")</f>
        <v/>
      </c>
      <c r="AH1068" s="1">
        <f>A1068</f>
        <v/>
      </c>
      <c r="AI1068">
        <f>IF(ISNUMBER((1+V1068)*AI1067),(1+V1068)*AI1067,AI1067)</f>
        <v/>
      </c>
      <c r="AJ1068">
        <f>IF(ISNUMBER((1+Z1068)*AJ1067),(1+Z1068)*AJ1067,AJ1067)</f>
        <v/>
      </c>
    </row>
    <row r="1069">
      <c r="A1069" s="1" t="n">
        <v>43553</v>
      </c>
      <c r="B1069" s="3">
        <f>IF(ORIG!B1069=0,"",ORIG!B1069)</f>
        <v/>
      </c>
      <c r="C1069" s="3">
        <f>IF(ORIG!C1069=0,"",ORIG!C1069)</f>
        <v/>
      </c>
      <c r="D1069" s="3">
        <f>IF(ORIG!D1069=0,"",ORIG!D1069)</f>
        <v/>
      </c>
      <c r="E1069" s="3">
        <f>IF(ORIG!E1069=0,"",ORIG!E1069)</f>
        <v/>
      </c>
      <c r="F1069" s="3">
        <f>IF(ORIG!F1069=0,"",ORIG!F1069)</f>
        <v/>
      </c>
      <c r="G1069" s="3">
        <f>IF(ORIG!G1069=0,"",ORIG!G1069)</f>
        <v/>
      </c>
      <c r="H1069" s="3">
        <f>IF(ORIG!H1069=0,"",ORIG!H1069)</f>
        <v/>
      </c>
      <c r="I1069" s="3">
        <f>IF(ORIG!I1069=0,"",ORIG!I1069)</f>
        <v/>
      </c>
      <c r="J1069" s="3">
        <f>IF(ORIG!J1069=0,"",ORIG!J1069)</f>
        <v/>
      </c>
      <c r="K1069" s="3">
        <f>IF(ORIG!K1069=0,"",ORIG!K1069)</f>
        <v/>
      </c>
      <c r="L1069" s="3">
        <f>IF(ORIG!L1069=0,"",ORIG!L1069)</f>
        <v/>
      </c>
      <c r="M1069" s="3">
        <f>IF(ORIG!M1069=0,"",ORIG!M1069)</f>
        <v/>
      </c>
      <c r="N1069" s="3">
        <f>IF(ORIG!N1069=0,"",ORIG!N1069)</f>
        <v/>
      </c>
      <c r="O1069" s="3">
        <f>IF(ORIG!O1069=0,"",ORIG!O1069)</f>
        <v/>
      </c>
      <c r="P1069" s="3">
        <f>IF(ORIG!P1069=0,"",ORIG!P1069)</f>
        <v/>
      </c>
      <c r="Q1069" s="3">
        <f>IF(ORIG!Q1069=0,"",ORIG!Q1069)</f>
        <v/>
      </c>
      <c r="R1069" s="3">
        <f>IF(ORIG!R1069=0,"",ORIG!R1069)</f>
        <v/>
      </c>
      <c r="S1069" s="3">
        <f>IF(ORIG!S1069=0,"",ORIG!S1069)</f>
        <v/>
      </c>
      <c r="T1069" s="3">
        <f>IF(ORIG!T1069=0,"",ORIG!T1069)</f>
        <v/>
      </c>
      <c r="U1069" s="3">
        <f>IF(ORIG!U1069=0,"",ORIG!U1069)</f>
        <v/>
      </c>
      <c r="V1069" s="9">
        <f>IF(ORIG!V1069=0,"",ORIG!V1069)</f>
        <v/>
      </c>
      <c r="W1069" s="9">
        <f>IF(ORIG!W1069=0,"",ORIG!W1069)</f>
        <v/>
      </c>
      <c r="X1069" s="9">
        <f>IF(ORIG!X1069=0,"",ORIG!X1069)</f>
        <v/>
      </c>
      <c r="Y1069" s="9">
        <f>IF(ORIG!Y1069=0,"",ORIG!Y1069)</f>
        <v/>
      </c>
      <c r="Z1069" s="3">
        <f>SUMPRODUCT($B1069:$Y1069,$B$2649:$Y$2649)</f>
        <v/>
      </c>
      <c r="AA1069" s="3">
        <f>SUMPRODUCT($B1069:$Y1069,$B$2655:$Y$2655)</f>
        <v/>
      </c>
      <c r="AC1069" s="1">
        <f>A1069</f>
        <v/>
      </c>
      <c r="AD1069">
        <f>IF(ISNUMBER(V1069),V1069*($AB$1/V$2635),"")</f>
        <v/>
      </c>
      <c r="AE1069">
        <f>IF(ISNUMBER(Z1069),Z1069*($AB$1/Z$2635),"")</f>
        <v/>
      </c>
      <c r="AF1069" s="25">
        <f>IF(ISNUMBER(AD1069+AE1069),AD1069+AE1069,"")</f>
        <v/>
      </c>
      <c r="AH1069" s="1">
        <f>A1069</f>
        <v/>
      </c>
      <c r="AI1069">
        <f>IF(ISNUMBER((1+V1069)*AI1068),(1+V1069)*AI1068,AI1068)</f>
        <v/>
      </c>
      <c r="AJ1069">
        <f>IF(ISNUMBER((1+Z1069)*AJ1068),(1+Z1069)*AJ1068,AJ1068)</f>
        <v/>
      </c>
    </row>
    <row r="1070">
      <c r="A1070" s="1" t="n">
        <v>43556</v>
      </c>
      <c r="B1070" s="3">
        <f>IF(ORIG!B1070=0,"",ORIG!B1070)</f>
        <v/>
      </c>
      <c r="C1070" s="3">
        <f>IF(ORIG!C1070=0,"",ORIG!C1070)</f>
        <v/>
      </c>
      <c r="D1070" s="3">
        <f>IF(ORIG!D1070=0,"",ORIG!D1070)</f>
        <v/>
      </c>
      <c r="E1070" s="3">
        <f>IF(ORIG!E1070=0,"",ORIG!E1070)</f>
        <v/>
      </c>
      <c r="F1070" s="3">
        <f>IF(ORIG!F1070=0,"",ORIG!F1070)</f>
        <v/>
      </c>
      <c r="G1070" s="3">
        <f>IF(ORIG!G1070=0,"",ORIG!G1070)</f>
        <v/>
      </c>
      <c r="H1070" s="3">
        <f>IF(ORIG!H1070=0,"",ORIG!H1070)</f>
        <v/>
      </c>
      <c r="I1070" s="3">
        <f>IF(ORIG!I1070=0,"",ORIG!I1070)</f>
        <v/>
      </c>
      <c r="J1070" s="3">
        <f>IF(ORIG!J1070=0,"",ORIG!J1070)</f>
        <v/>
      </c>
      <c r="K1070" s="3">
        <f>IF(ORIG!K1070=0,"",ORIG!K1070)</f>
        <v/>
      </c>
      <c r="L1070" s="3">
        <f>IF(ORIG!L1070=0,"",ORIG!L1070)</f>
        <v/>
      </c>
      <c r="M1070" s="3">
        <f>IF(ORIG!M1070=0,"",ORIG!M1070)</f>
        <v/>
      </c>
      <c r="N1070" s="3">
        <f>IF(ORIG!N1070=0,"",ORIG!N1070)</f>
        <v/>
      </c>
      <c r="O1070" s="3">
        <f>IF(ORIG!O1070=0,"",ORIG!O1070)</f>
        <v/>
      </c>
      <c r="P1070" s="3">
        <f>IF(ORIG!P1070=0,"",ORIG!P1070)</f>
        <v/>
      </c>
      <c r="Q1070" s="3">
        <f>IF(ORIG!Q1070=0,"",ORIG!Q1070)</f>
        <v/>
      </c>
      <c r="R1070" s="3">
        <f>IF(ORIG!R1070=0,"",ORIG!R1070)</f>
        <v/>
      </c>
      <c r="S1070" s="3">
        <f>IF(ORIG!S1070=0,"",ORIG!S1070)</f>
        <v/>
      </c>
      <c r="T1070" s="3">
        <f>IF(ORIG!T1070=0,"",ORIG!T1070)</f>
        <v/>
      </c>
      <c r="U1070" s="3">
        <f>IF(ORIG!U1070=0,"",ORIG!U1070)</f>
        <v/>
      </c>
      <c r="V1070" s="9">
        <f>IF(ORIG!V1070=0,"",ORIG!V1070)</f>
        <v/>
      </c>
      <c r="W1070" s="9">
        <f>IF(ORIG!W1070=0,"",ORIG!W1070)</f>
        <v/>
      </c>
      <c r="X1070" s="9">
        <f>IF(ORIG!X1070=0,"",ORIG!X1070)</f>
        <v/>
      </c>
      <c r="Y1070" s="9">
        <f>IF(ORIG!Y1070=0,"",ORIG!Y1070)</f>
        <v/>
      </c>
      <c r="Z1070" s="3">
        <f>SUMPRODUCT($B1070:$Y1070,$B$2649:$Y$2649)</f>
        <v/>
      </c>
      <c r="AA1070" s="3">
        <f>SUMPRODUCT($B1070:$Y1070,$B$2655:$Y$2655)</f>
        <v/>
      </c>
      <c r="AC1070" s="1">
        <f>A1070</f>
        <v/>
      </c>
      <c r="AD1070">
        <f>IF(ISNUMBER(V1070),V1070*($AB$1/V$2635),"")</f>
        <v/>
      </c>
      <c r="AE1070">
        <f>IF(ISNUMBER(Z1070),Z1070*($AB$1/Z$2635),"")</f>
        <v/>
      </c>
      <c r="AF1070" s="25">
        <f>IF(ISNUMBER(AD1070+AE1070),AD1070+AE1070,"")</f>
        <v/>
      </c>
      <c r="AH1070" s="1">
        <f>A1070</f>
        <v/>
      </c>
      <c r="AI1070">
        <f>IF(ISNUMBER((1+V1070)*AI1069),(1+V1070)*AI1069,AI1069)</f>
        <v/>
      </c>
      <c r="AJ1070">
        <f>IF(ISNUMBER((1+Z1070)*AJ1069),(1+Z1070)*AJ1069,AJ1069)</f>
        <v/>
      </c>
    </row>
    <row r="1071">
      <c r="A1071" s="1" t="n">
        <v>43557</v>
      </c>
      <c r="B1071" s="3">
        <f>IF(ORIG!B1071=0,"",ORIG!B1071)</f>
        <v/>
      </c>
      <c r="C1071" s="3">
        <f>IF(ORIG!C1071=0,"",ORIG!C1071)</f>
        <v/>
      </c>
      <c r="D1071" s="3">
        <f>IF(ORIG!D1071=0,"",ORIG!D1071)</f>
        <v/>
      </c>
      <c r="E1071" s="3">
        <f>IF(ORIG!E1071=0,"",ORIG!E1071)</f>
        <v/>
      </c>
      <c r="F1071" s="3">
        <f>IF(ORIG!F1071=0,"",ORIG!F1071)</f>
        <v/>
      </c>
      <c r="G1071" s="3">
        <f>IF(ORIG!G1071=0,"",ORIG!G1071)</f>
        <v/>
      </c>
      <c r="H1071" s="3">
        <f>IF(ORIG!H1071=0,"",ORIG!H1071)</f>
        <v/>
      </c>
      <c r="I1071" s="3">
        <f>IF(ORIG!I1071=0,"",ORIG!I1071)</f>
        <v/>
      </c>
      <c r="J1071" s="3">
        <f>IF(ORIG!J1071=0,"",ORIG!J1071)</f>
        <v/>
      </c>
      <c r="K1071" s="3">
        <f>IF(ORIG!K1071=0,"",ORIG!K1071)</f>
        <v/>
      </c>
      <c r="L1071" s="3">
        <f>IF(ORIG!L1071=0,"",ORIG!L1071)</f>
        <v/>
      </c>
      <c r="M1071" s="3">
        <f>IF(ORIG!M1071=0,"",ORIG!M1071)</f>
        <v/>
      </c>
      <c r="N1071" s="3">
        <f>IF(ORIG!N1071=0,"",ORIG!N1071)</f>
        <v/>
      </c>
      <c r="O1071" s="3">
        <f>IF(ORIG!O1071=0,"",ORIG!O1071)</f>
        <v/>
      </c>
      <c r="P1071" s="3">
        <f>IF(ORIG!P1071=0,"",ORIG!P1071)</f>
        <v/>
      </c>
      <c r="Q1071" s="3">
        <f>IF(ORIG!Q1071=0,"",ORIG!Q1071)</f>
        <v/>
      </c>
      <c r="R1071" s="3">
        <f>IF(ORIG!R1071=0,"",ORIG!R1071)</f>
        <v/>
      </c>
      <c r="S1071" s="3">
        <f>IF(ORIG!S1071=0,"",ORIG!S1071)</f>
        <v/>
      </c>
      <c r="T1071" s="3">
        <f>IF(ORIG!T1071=0,"",ORIG!T1071)</f>
        <v/>
      </c>
      <c r="U1071" s="3">
        <f>IF(ORIG!U1071=0,"",ORIG!U1071)</f>
        <v/>
      </c>
      <c r="V1071" s="9">
        <f>IF(ORIG!V1071=0,"",ORIG!V1071)</f>
        <v/>
      </c>
      <c r="W1071" s="9">
        <f>IF(ORIG!W1071=0,"",ORIG!W1071)</f>
        <v/>
      </c>
      <c r="X1071" s="9">
        <f>IF(ORIG!X1071=0,"",ORIG!X1071)</f>
        <v/>
      </c>
      <c r="Y1071" s="9">
        <f>IF(ORIG!Y1071=0,"",ORIG!Y1071)</f>
        <v/>
      </c>
      <c r="Z1071" s="3">
        <f>SUMPRODUCT($B1071:$Y1071,$B$2649:$Y$2649)</f>
        <v/>
      </c>
      <c r="AA1071" s="3">
        <f>SUMPRODUCT($B1071:$Y1071,$B$2655:$Y$2655)</f>
        <v/>
      </c>
      <c r="AC1071" s="1">
        <f>A1071</f>
        <v/>
      </c>
      <c r="AD1071">
        <f>IF(ISNUMBER(V1071),V1071*($AB$1/V$2635),"")</f>
        <v/>
      </c>
      <c r="AE1071">
        <f>IF(ISNUMBER(Z1071),Z1071*($AB$1/Z$2635),"")</f>
        <v/>
      </c>
      <c r="AF1071" s="25">
        <f>IF(ISNUMBER(AD1071+AE1071),AD1071+AE1071,"")</f>
        <v/>
      </c>
      <c r="AH1071" s="1">
        <f>A1071</f>
        <v/>
      </c>
      <c r="AI1071">
        <f>IF(ISNUMBER((1+V1071)*AI1070),(1+V1071)*AI1070,AI1070)</f>
        <v/>
      </c>
      <c r="AJ1071">
        <f>IF(ISNUMBER((1+Z1071)*AJ1070),(1+Z1071)*AJ1070,AJ1070)</f>
        <v/>
      </c>
    </row>
    <row r="1072">
      <c r="A1072" s="1" t="n">
        <v>43558</v>
      </c>
      <c r="B1072" s="3">
        <f>IF(ORIG!B1072=0,"",ORIG!B1072)</f>
        <v/>
      </c>
      <c r="C1072" s="3">
        <f>IF(ORIG!C1072=0,"",ORIG!C1072)</f>
        <v/>
      </c>
      <c r="D1072" s="3">
        <f>IF(ORIG!D1072=0,"",ORIG!D1072)</f>
        <v/>
      </c>
      <c r="E1072" s="3">
        <f>IF(ORIG!E1072=0,"",ORIG!E1072)</f>
        <v/>
      </c>
      <c r="F1072" s="3">
        <f>IF(ORIG!F1072=0,"",ORIG!F1072)</f>
        <v/>
      </c>
      <c r="G1072" s="3">
        <f>IF(ORIG!G1072=0,"",ORIG!G1072)</f>
        <v/>
      </c>
      <c r="H1072" s="3">
        <f>IF(ORIG!H1072=0,"",ORIG!H1072)</f>
        <v/>
      </c>
      <c r="I1072" s="3">
        <f>IF(ORIG!I1072=0,"",ORIG!I1072)</f>
        <v/>
      </c>
      <c r="J1072" s="3">
        <f>IF(ORIG!J1072=0,"",ORIG!J1072)</f>
        <v/>
      </c>
      <c r="K1072" s="3">
        <f>IF(ORIG!K1072=0,"",ORIG!K1072)</f>
        <v/>
      </c>
      <c r="L1072" s="3">
        <f>IF(ORIG!L1072=0,"",ORIG!L1072)</f>
        <v/>
      </c>
      <c r="M1072" s="3">
        <f>IF(ORIG!M1072=0,"",ORIG!M1072)</f>
        <v/>
      </c>
      <c r="N1072" s="3">
        <f>IF(ORIG!N1072=0,"",ORIG!N1072)</f>
        <v/>
      </c>
      <c r="O1072" s="3">
        <f>IF(ORIG!O1072=0,"",ORIG!O1072)</f>
        <v/>
      </c>
      <c r="P1072" s="3">
        <f>IF(ORIG!P1072=0,"",ORIG!P1072)</f>
        <v/>
      </c>
      <c r="Q1072" s="3">
        <f>IF(ORIG!Q1072=0,"",ORIG!Q1072)</f>
        <v/>
      </c>
      <c r="R1072" s="3">
        <f>IF(ORIG!R1072=0,"",ORIG!R1072)</f>
        <v/>
      </c>
      <c r="S1072" s="3">
        <f>IF(ORIG!S1072=0,"",ORIG!S1072)</f>
        <v/>
      </c>
      <c r="T1072" s="3">
        <f>IF(ORIG!T1072=0,"",ORIG!T1072)</f>
        <v/>
      </c>
      <c r="U1072" s="3">
        <f>IF(ORIG!U1072=0,"",ORIG!U1072)</f>
        <v/>
      </c>
      <c r="V1072" s="9">
        <f>IF(ORIG!V1072=0,"",ORIG!V1072)</f>
        <v/>
      </c>
      <c r="W1072" s="9">
        <f>IF(ORIG!W1072=0,"",ORIG!W1072)</f>
        <v/>
      </c>
      <c r="X1072" s="9">
        <f>IF(ORIG!X1072=0,"",ORIG!X1072)</f>
        <v/>
      </c>
      <c r="Y1072" s="9">
        <f>IF(ORIG!Y1072=0,"",ORIG!Y1072)</f>
        <v/>
      </c>
      <c r="Z1072" s="3">
        <f>SUMPRODUCT($B1072:$Y1072,$B$2649:$Y$2649)</f>
        <v/>
      </c>
      <c r="AA1072" s="3">
        <f>SUMPRODUCT($B1072:$Y1072,$B$2655:$Y$2655)</f>
        <v/>
      </c>
      <c r="AC1072" s="1">
        <f>A1072</f>
        <v/>
      </c>
      <c r="AD1072">
        <f>IF(ISNUMBER(V1072),V1072*($AB$1/V$2635),"")</f>
        <v/>
      </c>
      <c r="AE1072">
        <f>IF(ISNUMBER(Z1072),Z1072*($AB$1/Z$2635),"")</f>
        <v/>
      </c>
      <c r="AF1072" s="25">
        <f>IF(ISNUMBER(AD1072+AE1072),AD1072+AE1072,"")</f>
        <v/>
      </c>
      <c r="AH1072" s="1">
        <f>A1072</f>
        <v/>
      </c>
      <c r="AI1072">
        <f>IF(ISNUMBER((1+V1072)*AI1071),(1+V1072)*AI1071,AI1071)</f>
        <v/>
      </c>
      <c r="AJ1072">
        <f>IF(ISNUMBER((1+Z1072)*AJ1071),(1+Z1072)*AJ1071,AJ1071)</f>
        <v/>
      </c>
    </row>
    <row r="1073">
      <c r="A1073" s="1" t="n">
        <v>43559</v>
      </c>
      <c r="B1073" s="3">
        <f>IF(ORIG!B1073=0,"",ORIG!B1073)</f>
        <v/>
      </c>
      <c r="C1073" s="3">
        <f>IF(ORIG!C1073=0,"",ORIG!C1073)</f>
        <v/>
      </c>
      <c r="D1073" s="3">
        <f>IF(ORIG!D1073=0,"",ORIG!D1073)</f>
        <v/>
      </c>
      <c r="E1073" s="3">
        <f>IF(ORIG!E1073=0,"",ORIG!E1073)</f>
        <v/>
      </c>
      <c r="F1073" s="3">
        <f>IF(ORIG!F1073=0,"",ORIG!F1073)</f>
        <v/>
      </c>
      <c r="G1073" s="3">
        <f>IF(ORIG!G1073=0,"",ORIG!G1073)</f>
        <v/>
      </c>
      <c r="H1073" s="3">
        <f>IF(ORIG!H1073=0,"",ORIG!H1073)</f>
        <v/>
      </c>
      <c r="I1073" s="3">
        <f>IF(ORIG!I1073=0,"",ORIG!I1073)</f>
        <v/>
      </c>
      <c r="J1073" s="3">
        <f>IF(ORIG!J1073=0,"",ORIG!J1073)</f>
        <v/>
      </c>
      <c r="K1073" s="3">
        <f>IF(ORIG!K1073=0,"",ORIG!K1073)</f>
        <v/>
      </c>
      <c r="L1073" s="3">
        <f>IF(ORIG!L1073=0,"",ORIG!L1073)</f>
        <v/>
      </c>
      <c r="M1073" s="3">
        <f>IF(ORIG!M1073=0,"",ORIG!M1073)</f>
        <v/>
      </c>
      <c r="N1073" s="3">
        <f>IF(ORIG!N1073=0,"",ORIG!N1073)</f>
        <v/>
      </c>
      <c r="O1073" s="3">
        <f>IF(ORIG!O1073=0,"",ORIG!O1073)</f>
        <v/>
      </c>
      <c r="P1073" s="3">
        <f>IF(ORIG!P1073=0,"",ORIG!P1073)</f>
        <v/>
      </c>
      <c r="Q1073" s="3">
        <f>IF(ORIG!Q1073=0,"",ORIG!Q1073)</f>
        <v/>
      </c>
      <c r="R1073" s="3">
        <f>IF(ORIG!R1073=0,"",ORIG!R1073)</f>
        <v/>
      </c>
      <c r="S1073" s="3">
        <f>IF(ORIG!S1073=0,"",ORIG!S1073)</f>
        <v/>
      </c>
      <c r="T1073" s="3">
        <f>IF(ORIG!T1073=0,"",ORIG!T1073)</f>
        <v/>
      </c>
      <c r="U1073" s="3">
        <f>IF(ORIG!U1073=0,"",ORIG!U1073)</f>
        <v/>
      </c>
      <c r="V1073" s="9">
        <f>IF(ORIG!V1073=0,"",ORIG!V1073)</f>
        <v/>
      </c>
      <c r="W1073" s="9">
        <f>IF(ORIG!W1073=0,"",ORIG!W1073)</f>
        <v/>
      </c>
      <c r="X1073" s="9">
        <f>IF(ORIG!X1073=0,"",ORIG!X1073)</f>
        <v/>
      </c>
      <c r="Y1073" s="9">
        <f>IF(ORIG!Y1073=0,"",ORIG!Y1073)</f>
        <v/>
      </c>
      <c r="Z1073" s="3">
        <f>SUMPRODUCT($B1073:$Y1073,$B$2649:$Y$2649)</f>
        <v/>
      </c>
      <c r="AA1073" s="3">
        <f>SUMPRODUCT($B1073:$Y1073,$B$2655:$Y$2655)</f>
        <v/>
      </c>
      <c r="AC1073" s="1">
        <f>A1073</f>
        <v/>
      </c>
      <c r="AD1073">
        <f>IF(ISNUMBER(V1073),V1073*($AB$1/V$2635),"")</f>
        <v/>
      </c>
      <c r="AE1073">
        <f>IF(ISNUMBER(Z1073),Z1073*($AB$1/Z$2635),"")</f>
        <v/>
      </c>
      <c r="AF1073" s="25">
        <f>IF(ISNUMBER(AD1073+AE1073),AD1073+AE1073,"")</f>
        <v/>
      </c>
      <c r="AH1073" s="1">
        <f>A1073</f>
        <v/>
      </c>
      <c r="AI1073">
        <f>IF(ISNUMBER((1+V1073)*AI1072),(1+V1073)*AI1072,AI1072)</f>
        <v/>
      </c>
      <c r="AJ1073">
        <f>IF(ISNUMBER((1+Z1073)*AJ1072),(1+Z1073)*AJ1072,AJ1072)</f>
        <v/>
      </c>
    </row>
    <row r="1074">
      <c r="A1074" s="1" t="n">
        <v>43560</v>
      </c>
      <c r="B1074" s="3">
        <f>IF(ORIG!B1074=0,"",ORIG!B1074)</f>
        <v/>
      </c>
      <c r="C1074" s="3">
        <f>IF(ORIG!C1074=0,"",ORIG!C1074)</f>
        <v/>
      </c>
      <c r="D1074" s="3">
        <f>IF(ORIG!D1074=0,"",ORIG!D1074)</f>
        <v/>
      </c>
      <c r="E1074" s="3">
        <f>IF(ORIG!E1074=0,"",ORIG!E1074)</f>
        <v/>
      </c>
      <c r="F1074" s="3">
        <f>IF(ORIG!F1074=0,"",ORIG!F1074)</f>
        <v/>
      </c>
      <c r="G1074" s="3">
        <f>IF(ORIG!G1074=0,"",ORIG!G1074)</f>
        <v/>
      </c>
      <c r="H1074" s="3">
        <f>IF(ORIG!H1074=0,"",ORIG!H1074)</f>
        <v/>
      </c>
      <c r="I1074" s="3">
        <f>IF(ORIG!I1074=0,"",ORIG!I1074)</f>
        <v/>
      </c>
      <c r="J1074" s="3">
        <f>IF(ORIG!J1074=0,"",ORIG!J1074)</f>
        <v/>
      </c>
      <c r="K1074" s="3">
        <f>IF(ORIG!K1074=0,"",ORIG!K1074)</f>
        <v/>
      </c>
      <c r="L1074" s="3">
        <f>IF(ORIG!L1074=0,"",ORIG!L1074)</f>
        <v/>
      </c>
      <c r="M1074" s="3">
        <f>IF(ORIG!M1074=0,"",ORIG!M1074)</f>
        <v/>
      </c>
      <c r="N1074" s="3">
        <f>IF(ORIG!N1074=0,"",ORIG!N1074)</f>
        <v/>
      </c>
      <c r="O1074" s="3">
        <f>IF(ORIG!O1074=0,"",ORIG!O1074)</f>
        <v/>
      </c>
      <c r="P1074" s="3">
        <f>IF(ORIG!P1074=0,"",ORIG!P1074)</f>
        <v/>
      </c>
      <c r="Q1074" s="3">
        <f>IF(ORIG!Q1074=0,"",ORIG!Q1074)</f>
        <v/>
      </c>
      <c r="R1074" s="3">
        <f>IF(ORIG!R1074=0,"",ORIG!R1074)</f>
        <v/>
      </c>
      <c r="S1074" s="3">
        <f>IF(ORIG!S1074=0,"",ORIG!S1074)</f>
        <v/>
      </c>
      <c r="T1074" s="3">
        <f>IF(ORIG!T1074=0,"",ORIG!T1074)</f>
        <v/>
      </c>
      <c r="U1074" s="3">
        <f>IF(ORIG!U1074=0,"",ORIG!U1074)</f>
        <v/>
      </c>
      <c r="V1074" s="9">
        <f>IF(ORIG!V1074=0,"",ORIG!V1074)</f>
        <v/>
      </c>
      <c r="W1074" s="9">
        <f>IF(ORIG!W1074=0,"",ORIG!W1074)</f>
        <v/>
      </c>
      <c r="X1074" s="9">
        <f>IF(ORIG!X1074=0,"",ORIG!X1074)</f>
        <v/>
      </c>
      <c r="Y1074" s="9">
        <f>IF(ORIG!Y1074=0,"",ORIG!Y1074)</f>
        <v/>
      </c>
      <c r="Z1074" s="3">
        <f>SUMPRODUCT($B1074:$Y1074,$B$2649:$Y$2649)</f>
        <v/>
      </c>
      <c r="AA1074" s="3">
        <f>SUMPRODUCT($B1074:$Y1074,$B$2655:$Y$2655)</f>
        <v/>
      </c>
      <c r="AC1074" s="1">
        <f>A1074</f>
        <v/>
      </c>
      <c r="AD1074">
        <f>IF(ISNUMBER(V1074),V1074*($AB$1/V$2635),"")</f>
        <v/>
      </c>
      <c r="AE1074">
        <f>IF(ISNUMBER(Z1074),Z1074*($AB$1/Z$2635),"")</f>
        <v/>
      </c>
      <c r="AF1074" s="25">
        <f>IF(ISNUMBER(AD1074+AE1074),AD1074+AE1074,"")</f>
        <v/>
      </c>
      <c r="AH1074" s="1">
        <f>A1074</f>
        <v/>
      </c>
      <c r="AI1074">
        <f>IF(ISNUMBER((1+V1074)*AI1073),(1+V1074)*AI1073,AI1073)</f>
        <v/>
      </c>
      <c r="AJ1074">
        <f>IF(ISNUMBER((1+Z1074)*AJ1073),(1+Z1074)*AJ1073,AJ1073)</f>
        <v/>
      </c>
    </row>
    <row r="1075">
      <c r="A1075" s="1" t="n">
        <v>43563</v>
      </c>
      <c r="B1075" s="3">
        <f>IF(ORIG!B1075=0,"",ORIG!B1075)</f>
        <v/>
      </c>
      <c r="C1075" s="3">
        <f>IF(ORIG!C1075=0,"",ORIG!C1075)</f>
        <v/>
      </c>
      <c r="D1075" s="3">
        <f>IF(ORIG!D1075=0,"",ORIG!D1075)</f>
        <v/>
      </c>
      <c r="E1075" s="3">
        <f>IF(ORIG!E1075=0,"",ORIG!E1075)</f>
        <v/>
      </c>
      <c r="F1075" s="3">
        <f>IF(ORIG!F1075=0,"",ORIG!F1075)</f>
        <v/>
      </c>
      <c r="G1075" s="3">
        <f>IF(ORIG!G1075=0,"",ORIG!G1075)</f>
        <v/>
      </c>
      <c r="H1075" s="3">
        <f>IF(ORIG!H1075=0,"",ORIG!H1075)</f>
        <v/>
      </c>
      <c r="I1075" s="3">
        <f>IF(ORIG!I1075=0,"",ORIG!I1075)</f>
        <v/>
      </c>
      <c r="J1075" s="3">
        <f>IF(ORIG!J1075=0,"",ORIG!J1075)</f>
        <v/>
      </c>
      <c r="K1075" s="3">
        <f>IF(ORIG!K1075=0,"",ORIG!K1075)</f>
        <v/>
      </c>
      <c r="L1075" s="3">
        <f>IF(ORIG!L1075=0,"",ORIG!L1075)</f>
        <v/>
      </c>
      <c r="M1075" s="3">
        <f>IF(ORIG!M1075=0,"",ORIG!M1075)</f>
        <v/>
      </c>
      <c r="N1075" s="3">
        <f>IF(ORIG!N1075=0,"",ORIG!N1075)</f>
        <v/>
      </c>
      <c r="O1075" s="3">
        <f>IF(ORIG!O1075=0,"",ORIG!O1075)</f>
        <v/>
      </c>
      <c r="P1075" s="3">
        <f>IF(ORIG!P1075=0,"",ORIG!P1075)</f>
        <v/>
      </c>
      <c r="Q1075" s="3">
        <f>IF(ORIG!Q1075=0,"",ORIG!Q1075)</f>
        <v/>
      </c>
      <c r="R1075" s="3">
        <f>IF(ORIG!R1075=0,"",ORIG!R1075)</f>
        <v/>
      </c>
      <c r="S1075" s="3">
        <f>IF(ORIG!S1075=0,"",ORIG!S1075)</f>
        <v/>
      </c>
      <c r="T1075" s="3">
        <f>IF(ORIG!T1075=0,"",ORIG!T1075)</f>
        <v/>
      </c>
      <c r="U1075" s="3">
        <f>IF(ORIG!U1075=0,"",ORIG!U1075)</f>
        <v/>
      </c>
      <c r="V1075" s="9">
        <f>IF(ORIG!V1075=0,"",ORIG!V1075)</f>
        <v/>
      </c>
      <c r="W1075" s="9">
        <f>IF(ORIG!W1075=0,"",ORIG!W1075)</f>
        <v/>
      </c>
      <c r="X1075" s="9">
        <f>IF(ORIG!X1075=0,"",ORIG!X1075)</f>
        <v/>
      </c>
      <c r="Y1075" s="9">
        <f>IF(ORIG!Y1075=0,"",ORIG!Y1075)</f>
        <v/>
      </c>
      <c r="Z1075" s="3">
        <f>SUMPRODUCT($B1075:$Y1075,$B$2649:$Y$2649)</f>
        <v/>
      </c>
      <c r="AA1075" s="3">
        <f>SUMPRODUCT($B1075:$Y1075,$B$2655:$Y$2655)</f>
        <v/>
      </c>
      <c r="AC1075" s="1">
        <f>A1075</f>
        <v/>
      </c>
      <c r="AD1075">
        <f>IF(ISNUMBER(V1075),V1075*($AB$1/V$2635),"")</f>
        <v/>
      </c>
      <c r="AE1075">
        <f>IF(ISNUMBER(Z1075),Z1075*($AB$1/Z$2635),"")</f>
        <v/>
      </c>
      <c r="AF1075" s="25">
        <f>IF(ISNUMBER(AD1075+AE1075),AD1075+AE1075,"")</f>
        <v/>
      </c>
      <c r="AH1075" s="1">
        <f>A1075</f>
        <v/>
      </c>
      <c r="AI1075">
        <f>IF(ISNUMBER((1+V1075)*AI1074),(1+V1075)*AI1074,AI1074)</f>
        <v/>
      </c>
      <c r="AJ1075">
        <f>IF(ISNUMBER((1+Z1075)*AJ1074),(1+Z1075)*AJ1074,AJ1074)</f>
        <v/>
      </c>
    </row>
    <row r="1076">
      <c r="A1076" s="1" t="n">
        <v>43564</v>
      </c>
      <c r="B1076" s="3">
        <f>IF(ORIG!B1076=0,"",ORIG!B1076)</f>
        <v/>
      </c>
      <c r="C1076" s="3">
        <f>IF(ORIG!C1076=0,"",ORIG!C1076)</f>
        <v/>
      </c>
      <c r="D1076" s="3">
        <f>IF(ORIG!D1076=0,"",ORIG!D1076)</f>
        <v/>
      </c>
      <c r="E1076" s="3">
        <f>IF(ORIG!E1076=0,"",ORIG!E1076)</f>
        <v/>
      </c>
      <c r="F1076" s="3">
        <f>IF(ORIG!F1076=0,"",ORIG!F1076)</f>
        <v/>
      </c>
      <c r="G1076" s="3">
        <f>IF(ORIG!G1076=0,"",ORIG!G1076)</f>
        <v/>
      </c>
      <c r="H1076" s="3">
        <f>IF(ORIG!H1076=0,"",ORIG!H1076)</f>
        <v/>
      </c>
      <c r="I1076" s="3">
        <f>IF(ORIG!I1076=0,"",ORIG!I1076)</f>
        <v/>
      </c>
      <c r="J1076" s="3">
        <f>IF(ORIG!J1076=0,"",ORIG!J1076)</f>
        <v/>
      </c>
      <c r="K1076" s="3">
        <f>IF(ORIG!K1076=0,"",ORIG!K1076)</f>
        <v/>
      </c>
      <c r="L1076" s="3">
        <f>IF(ORIG!L1076=0,"",ORIG!L1076)</f>
        <v/>
      </c>
      <c r="M1076" s="3">
        <f>IF(ORIG!M1076=0,"",ORIG!M1076)</f>
        <v/>
      </c>
      <c r="N1076" s="3">
        <f>IF(ORIG!N1076=0,"",ORIG!N1076)</f>
        <v/>
      </c>
      <c r="O1076" s="3">
        <f>IF(ORIG!O1076=0,"",ORIG!O1076)</f>
        <v/>
      </c>
      <c r="P1076" s="3">
        <f>IF(ORIG!P1076=0,"",ORIG!P1076)</f>
        <v/>
      </c>
      <c r="Q1076" s="3">
        <f>IF(ORIG!Q1076=0,"",ORIG!Q1076)</f>
        <v/>
      </c>
      <c r="R1076" s="3">
        <f>IF(ORIG!R1076=0,"",ORIG!R1076)</f>
        <v/>
      </c>
      <c r="S1076" s="3">
        <f>IF(ORIG!S1076=0,"",ORIG!S1076)</f>
        <v/>
      </c>
      <c r="T1076" s="3">
        <f>IF(ORIG!T1076=0,"",ORIG!T1076)</f>
        <v/>
      </c>
      <c r="U1076" s="3">
        <f>IF(ORIG!U1076=0,"",ORIG!U1076)</f>
        <v/>
      </c>
      <c r="V1076" s="9">
        <f>IF(ORIG!V1076=0,"",ORIG!V1076)</f>
        <v/>
      </c>
      <c r="W1076" s="9">
        <f>IF(ORIG!W1076=0,"",ORIG!W1076)</f>
        <v/>
      </c>
      <c r="X1076" s="9">
        <f>IF(ORIG!X1076=0,"",ORIG!X1076)</f>
        <v/>
      </c>
      <c r="Y1076" s="9">
        <f>IF(ORIG!Y1076=0,"",ORIG!Y1076)</f>
        <v/>
      </c>
      <c r="Z1076" s="3">
        <f>SUMPRODUCT($B1076:$Y1076,$B$2649:$Y$2649)</f>
        <v/>
      </c>
      <c r="AA1076" s="3">
        <f>SUMPRODUCT($B1076:$Y1076,$B$2655:$Y$2655)</f>
        <v/>
      </c>
      <c r="AC1076" s="1">
        <f>A1076</f>
        <v/>
      </c>
      <c r="AD1076">
        <f>IF(ISNUMBER(V1076),V1076*($AB$1/V$2635),"")</f>
        <v/>
      </c>
      <c r="AE1076">
        <f>IF(ISNUMBER(Z1076),Z1076*($AB$1/Z$2635),"")</f>
        <v/>
      </c>
      <c r="AF1076" s="25">
        <f>IF(ISNUMBER(AD1076+AE1076),AD1076+AE1076,"")</f>
        <v/>
      </c>
      <c r="AH1076" s="1">
        <f>A1076</f>
        <v/>
      </c>
      <c r="AI1076">
        <f>IF(ISNUMBER((1+V1076)*AI1075),(1+V1076)*AI1075,AI1075)</f>
        <v/>
      </c>
      <c r="AJ1076">
        <f>IF(ISNUMBER((1+Z1076)*AJ1075),(1+Z1076)*AJ1075,AJ1075)</f>
        <v/>
      </c>
    </row>
    <row r="1077">
      <c r="A1077" s="1" t="n">
        <v>43565</v>
      </c>
      <c r="B1077" s="3">
        <f>IF(ORIG!B1077=0,"",ORIG!B1077)</f>
        <v/>
      </c>
      <c r="C1077" s="3">
        <f>IF(ORIG!C1077=0,"",ORIG!C1077)</f>
        <v/>
      </c>
      <c r="D1077" s="3">
        <f>IF(ORIG!D1077=0,"",ORIG!D1077)</f>
        <v/>
      </c>
      <c r="E1077" s="3">
        <f>IF(ORIG!E1077=0,"",ORIG!E1077)</f>
        <v/>
      </c>
      <c r="F1077" s="3">
        <f>IF(ORIG!F1077=0,"",ORIG!F1077)</f>
        <v/>
      </c>
      <c r="G1077" s="3">
        <f>IF(ORIG!G1077=0,"",ORIG!G1077)</f>
        <v/>
      </c>
      <c r="H1077" s="3">
        <f>IF(ORIG!H1077=0,"",ORIG!H1077)</f>
        <v/>
      </c>
      <c r="I1077" s="3">
        <f>IF(ORIG!I1077=0,"",ORIG!I1077)</f>
        <v/>
      </c>
      <c r="J1077" s="3">
        <f>IF(ORIG!J1077=0,"",ORIG!J1077)</f>
        <v/>
      </c>
      <c r="K1077" s="3">
        <f>IF(ORIG!K1077=0,"",ORIG!K1077)</f>
        <v/>
      </c>
      <c r="L1077" s="3">
        <f>IF(ORIG!L1077=0,"",ORIG!L1077)</f>
        <v/>
      </c>
      <c r="M1077" s="3">
        <f>IF(ORIG!M1077=0,"",ORIG!M1077)</f>
        <v/>
      </c>
      <c r="N1077" s="3">
        <f>IF(ORIG!N1077=0,"",ORIG!N1077)</f>
        <v/>
      </c>
      <c r="O1077" s="3">
        <f>IF(ORIG!O1077=0,"",ORIG!O1077)</f>
        <v/>
      </c>
      <c r="P1077" s="3">
        <f>IF(ORIG!P1077=0,"",ORIG!P1077)</f>
        <v/>
      </c>
      <c r="Q1077" s="3">
        <f>IF(ORIG!Q1077=0,"",ORIG!Q1077)</f>
        <v/>
      </c>
      <c r="R1077" s="3">
        <f>IF(ORIG!R1077=0,"",ORIG!R1077)</f>
        <v/>
      </c>
      <c r="S1077" s="3">
        <f>IF(ORIG!S1077=0,"",ORIG!S1077)</f>
        <v/>
      </c>
      <c r="T1077" s="3">
        <f>IF(ORIG!T1077=0,"",ORIG!T1077)</f>
        <v/>
      </c>
      <c r="U1077" s="3">
        <f>IF(ORIG!U1077=0,"",ORIG!U1077)</f>
        <v/>
      </c>
      <c r="V1077" s="9">
        <f>IF(ORIG!V1077=0,"",ORIG!V1077)</f>
        <v/>
      </c>
      <c r="W1077" s="9">
        <f>IF(ORIG!W1077=0,"",ORIG!W1077)</f>
        <v/>
      </c>
      <c r="X1077" s="9">
        <f>IF(ORIG!X1077=0,"",ORIG!X1077)</f>
        <v/>
      </c>
      <c r="Y1077" s="9">
        <f>IF(ORIG!Y1077=0,"",ORIG!Y1077)</f>
        <v/>
      </c>
      <c r="Z1077" s="3">
        <f>SUMPRODUCT($B1077:$Y1077,$B$2649:$Y$2649)</f>
        <v/>
      </c>
      <c r="AA1077" s="3">
        <f>SUMPRODUCT($B1077:$Y1077,$B$2655:$Y$2655)</f>
        <v/>
      </c>
      <c r="AC1077" s="1">
        <f>A1077</f>
        <v/>
      </c>
      <c r="AD1077">
        <f>IF(ISNUMBER(V1077),V1077*($AB$1/V$2635),"")</f>
        <v/>
      </c>
      <c r="AE1077">
        <f>IF(ISNUMBER(Z1077),Z1077*($AB$1/Z$2635),"")</f>
        <v/>
      </c>
      <c r="AF1077" s="25">
        <f>IF(ISNUMBER(AD1077+AE1077),AD1077+AE1077,"")</f>
        <v/>
      </c>
      <c r="AH1077" s="1">
        <f>A1077</f>
        <v/>
      </c>
      <c r="AI1077">
        <f>IF(ISNUMBER((1+V1077)*AI1076),(1+V1077)*AI1076,AI1076)</f>
        <v/>
      </c>
      <c r="AJ1077">
        <f>IF(ISNUMBER((1+Z1077)*AJ1076),(1+Z1077)*AJ1076,AJ1076)</f>
        <v/>
      </c>
    </row>
    <row r="1078">
      <c r="A1078" s="1" t="n">
        <v>43566</v>
      </c>
      <c r="B1078" s="3">
        <f>IF(ORIG!B1078=0,"",ORIG!B1078)</f>
        <v/>
      </c>
      <c r="C1078" s="3">
        <f>IF(ORIG!C1078=0,"",ORIG!C1078)</f>
        <v/>
      </c>
      <c r="D1078" s="3">
        <f>IF(ORIG!D1078=0,"",ORIG!D1078)</f>
        <v/>
      </c>
      <c r="E1078" s="3">
        <f>IF(ORIG!E1078=0,"",ORIG!E1078)</f>
        <v/>
      </c>
      <c r="F1078" s="3">
        <f>IF(ORIG!F1078=0,"",ORIG!F1078)</f>
        <v/>
      </c>
      <c r="G1078" s="3">
        <f>IF(ORIG!G1078=0,"",ORIG!G1078)</f>
        <v/>
      </c>
      <c r="H1078" s="3">
        <f>IF(ORIG!H1078=0,"",ORIG!H1078)</f>
        <v/>
      </c>
      <c r="I1078" s="3">
        <f>IF(ORIG!I1078=0,"",ORIG!I1078)</f>
        <v/>
      </c>
      <c r="J1078" s="3">
        <f>IF(ORIG!J1078=0,"",ORIG!J1078)</f>
        <v/>
      </c>
      <c r="K1078" s="3">
        <f>IF(ORIG!K1078=0,"",ORIG!K1078)</f>
        <v/>
      </c>
      <c r="L1078" s="3">
        <f>IF(ORIG!L1078=0,"",ORIG!L1078)</f>
        <v/>
      </c>
      <c r="M1078" s="3">
        <f>IF(ORIG!M1078=0,"",ORIG!M1078)</f>
        <v/>
      </c>
      <c r="N1078" s="3">
        <f>IF(ORIG!N1078=0,"",ORIG!N1078)</f>
        <v/>
      </c>
      <c r="O1078" s="3">
        <f>IF(ORIG!O1078=0,"",ORIG!O1078)</f>
        <v/>
      </c>
      <c r="P1078" s="3">
        <f>IF(ORIG!P1078=0,"",ORIG!P1078)</f>
        <v/>
      </c>
      <c r="Q1078" s="3">
        <f>IF(ORIG!Q1078=0,"",ORIG!Q1078)</f>
        <v/>
      </c>
      <c r="R1078" s="3">
        <f>IF(ORIG!R1078=0,"",ORIG!R1078)</f>
        <v/>
      </c>
      <c r="S1078" s="3">
        <f>IF(ORIG!S1078=0,"",ORIG!S1078)</f>
        <v/>
      </c>
      <c r="T1078" s="3">
        <f>IF(ORIG!T1078=0,"",ORIG!T1078)</f>
        <v/>
      </c>
      <c r="U1078" s="3">
        <f>IF(ORIG!U1078=0,"",ORIG!U1078)</f>
        <v/>
      </c>
      <c r="V1078" s="9">
        <f>IF(ORIG!V1078=0,"",ORIG!V1078)</f>
        <v/>
      </c>
      <c r="W1078" s="9">
        <f>IF(ORIG!W1078=0,"",ORIG!W1078)</f>
        <v/>
      </c>
      <c r="X1078" s="9">
        <f>IF(ORIG!X1078=0,"",ORIG!X1078)</f>
        <v/>
      </c>
      <c r="Y1078" s="9">
        <f>IF(ORIG!Y1078=0,"",ORIG!Y1078)</f>
        <v/>
      </c>
      <c r="Z1078" s="3">
        <f>SUMPRODUCT($B1078:$Y1078,$B$2649:$Y$2649)</f>
        <v/>
      </c>
      <c r="AA1078" s="3">
        <f>SUMPRODUCT($B1078:$Y1078,$B$2655:$Y$2655)</f>
        <v/>
      </c>
      <c r="AC1078" s="1">
        <f>A1078</f>
        <v/>
      </c>
      <c r="AD1078">
        <f>IF(ISNUMBER(V1078),V1078*($AB$1/V$2635),"")</f>
        <v/>
      </c>
      <c r="AE1078">
        <f>IF(ISNUMBER(Z1078),Z1078*($AB$1/Z$2635),"")</f>
        <v/>
      </c>
      <c r="AF1078" s="25">
        <f>IF(ISNUMBER(AD1078+AE1078),AD1078+AE1078,"")</f>
        <v/>
      </c>
      <c r="AH1078" s="1">
        <f>A1078</f>
        <v/>
      </c>
      <c r="AI1078">
        <f>IF(ISNUMBER((1+V1078)*AI1077),(1+V1078)*AI1077,AI1077)</f>
        <v/>
      </c>
      <c r="AJ1078">
        <f>IF(ISNUMBER((1+Z1078)*AJ1077),(1+Z1078)*AJ1077,AJ1077)</f>
        <v/>
      </c>
    </row>
    <row r="1079">
      <c r="A1079" s="1" t="n">
        <v>43567</v>
      </c>
      <c r="B1079" s="3">
        <f>IF(ORIG!B1079=0,"",ORIG!B1079)</f>
        <v/>
      </c>
      <c r="C1079" s="3">
        <f>IF(ORIG!C1079=0,"",ORIG!C1079)</f>
        <v/>
      </c>
      <c r="D1079" s="3">
        <f>IF(ORIG!D1079=0,"",ORIG!D1079)</f>
        <v/>
      </c>
      <c r="E1079" s="3">
        <f>IF(ORIG!E1079=0,"",ORIG!E1079)</f>
        <v/>
      </c>
      <c r="F1079" s="3">
        <f>IF(ORIG!F1079=0,"",ORIG!F1079)</f>
        <v/>
      </c>
      <c r="G1079" s="3">
        <f>IF(ORIG!G1079=0,"",ORIG!G1079)</f>
        <v/>
      </c>
      <c r="H1079" s="3">
        <f>IF(ORIG!H1079=0,"",ORIG!H1079)</f>
        <v/>
      </c>
      <c r="I1079" s="3">
        <f>IF(ORIG!I1079=0,"",ORIG!I1079)</f>
        <v/>
      </c>
      <c r="J1079" s="3">
        <f>IF(ORIG!J1079=0,"",ORIG!J1079)</f>
        <v/>
      </c>
      <c r="K1079" s="3">
        <f>IF(ORIG!K1079=0,"",ORIG!K1079)</f>
        <v/>
      </c>
      <c r="L1079" s="3">
        <f>IF(ORIG!L1079=0,"",ORIG!L1079)</f>
        <v/>
      </c>
      <c r="M1079" s="3">
        <f>IF(ORIG!M1079=0,"",ORIG!M1079)</f>
        <v/>
      </c>
      <c r="N1079" s="3">
        <f>IF(ORIG!N1079=0,"",ORIG!N1079)</f>
        <v/>
      </c>
      <c r="O1079" s="3">
        <f>IF(ORIG!O1079=0,"",ORIG!O1079)</f>
        <v/>
      </c>
      <c r="P1079" s="3">
        <f>IF(ORIG!P1079=0,"",ORIG!P1079)</f>
        <v/>
      </c>
      <c r="Q1079" s="3">
        <f>IF(ORIG!Q1079=0,"",ORIG!Q1079)</f>
        <v/>
      </c>
      <c r="R1079" s="3">
        <f>IF(ORIG!R1079=0,"",ORIG!R1079)</f>
        <v/>
      </c>
      <c r="S1079" s="3">
        <f>IF(ORIG!S1079=0,"",ORIG!S1079)</f>
        <v/>
      </c>
      <c r="T1079" s="3">
        <f>IF(ORIG!T1079=0,"",ORIG!T1079)</f>
        <v/>
      </c>
      <c r="U1079" s="3">
        <f>IF(ORIG!U1079=0,"",ORIG!U1079)</f>
        <v/>
      </c>
      <c r="V1079" s="9">
        <f>IF(ORIG!V1079=0,"",ORIG!V1079)</f>
        <v/>
      </c>
      <c r="W1079" s="9">
        <f>IF(ORIG!W1079=0,"",ORIG!W1079)</f>
        <v/>
      </c>
      <c r="X1079" s="9">
        <f>IF(ORIG!X1079=0,"",ORIG!X1079)</f>
        <v/>
      </c>
      <c r="Y1079" s="9">
        <f>IF(ORIG!Y1079=0,"",ORIG!Y1079)</f>
        <v/>
      </c>
      <c r="Z1079" s="3">
        <f>SUMPRODUCT($B1079:$Y1079,$B$2649:$Y$2649)</f>
        <v/>
      </c>
      <c r="AA1079" s="3">
        <f>SUMPRODUCT($B1079:$Y1079,$B$2655:$Y$2655)</f>
        <v/>
      </c>
      <c r="AC1079" s="1">
        <f>A1079</f>
        <v/>
      </c>
      <c r="AD1079">
        <f>IF(ISNUMBER(V1079),V1079*($AB$1/V$2635),"")</f>
        <v/>
      </c>
      <c r="AE1079">
        <f>IF(ISNUMBER(Z1079),Z1079*($AB$1/Z$2635),"")</f>
        <v/>
      </c>
      <c r="AF1079" s="25">
        <f>IF(ISNUMBER(AD1079+AE1079),AD1079+AE1079,"")</f>
        <v/>
      </c>
      <c r="AH1079" s="1">
        <f>A1079</f>
        <v/>
      </c>
      <c r="AI1079">
        <f>IF(ISNUMBER((1+V1079)*AI1078),(1+V1079)*AI1078,AI1078)</f>
        <v/>
      </c>
      <c r="AJ1079">
        <f>IF(ISNUMBER((1+Z1079)*AJ1078),(1+Z1079)*AJ1078,AJ1078)</f>
        <v/>
      </c>
    </row>
    <row r="1080">
      <c r="A1080" s="1" t="n">
        <v>43570</v>
      </c>
      <c r="B1080" s="3">
        <f>IF(ORIG!B1080=0,"",ORIG!B1080)</f>
        <v/>
      </c>
      <c r="C1080" s="3">
        <f>IF(ORIG!C1080=0,"",ORIG!C1080)</f>
        <v/>
      </c>
      <c r="D1080" s="3">
        <f>IF(ORIG!D1080=0,"",ORIG!D1080)</f>
        <v/>
      </c>
      <c r="E1080" s="3">
        <f>IF(ORIG!E1080=0,"",ORIG!E1080)</f>
        <v/>
      </c>
      <c r="F1080" s="3">
        <f>IF(ORIG!F1080=0,"",ORIG!F1080)</f>
        <v/>
      </c>
      <c r="G1080" s="3">
        <f>IF(ORIG!G1080=0,"",ORIG!G1080)</f>
        <v/>
      </c>
      <c r="H1080" s="3">
        <f>IF(ORIG!H1080=0,"",ORIG!H1080)</f>
        <v/>
      </c>
      <c r="I1080" s="3">
        <f>IF(ORIG!I1080=0,"",ORIG!I1080)</f>
        <v/>
      </c>
      <c r="J1080" s="3">
        <f>IF(ORIG!J1080=0,"",ORIG!J1080)</f>
        <v/>
      </c>
      <c r="K1080" s="3">
        <f>IF(ORIG!K1080=0,"",ORIG!K1080)</f>
        <v/>
      </c>
      <c r="L1080" s="3">
        <f>IF(ORIG!L1080=0,"",ORIG!L1080)</f>
        <v/>
      </c>
      <c r="M1080" s="3">
        <f>IF(ORIG!M1080=0,"",ORIG!M1080)</f>
        <v/>
      </c>
      <c r="N1080" s="3">
        <f>IF(ORIG!N1080=0,"",ORIG!N1080)</f>
        <v/>
      </c>
      <c r="O1080" s="3">
        <f>IF(ORIG!O1080=0,"",ORIG!O1080)</f>
        <v/>
      </c>
      <c r="P1080" s="3">
        <f>IF(ORIG!P1080=0,"",ORIG!P1080)</f>
        <v/>
      </c>
      <c r="Q1080" s="3">
        <f>IF(ORIG!Q1080=0,"",ORIG!Q1080)</f>
        <v/>
      </c>
      <c r="R1080" s="3">
        <f>IF(ORIG!R1080=0,"",ORIG!R1080)</f>
        <v/>
      </c>
      <c r="S1080" s="3">
        <f>IF(ORIG!S1080=0,"",ORIG!S1080)</f>
        <v/>
      </c>
      <c r="T1080" s="3">
        <f>IF(ORIG!T1080=0,"",ORIG!T1080)</f>
        <v/>
      </c>
      <c r="U1080" s="3">
        <f>IF(ORIG!U1080=0,"",ORIG!U1080)</f>
        <v/>
      </c>
      <c r="V1080" s="9">
        <f>IF(ORIG!V1080=0,"",ORIG!V1080)</f>
        <v/>
      </c>
      <c r="W1080" s="9">
        <f>IF(ORIG!W1080=0,"",ORIG!W1080)</f>
        <v/>
      </c>
      <c r="X1080" s="9">
        <f>IF(ORIG!X1080=0,"",ORIG!X1080)</f>
        <v/>
      </c>
      <c r="Y1080" s="9">
        <f>IF(ORIG!Y1080=0,"",ORIG!Y1080)</f>
        <v/>
      </c>
      <c r="Z1080" s="3">
        <f>SUMPRODUCT($B1080:$Y1080,$B$2649:$Y$2649)</f>
        <v/>
      </c>
      <c r="AA1080" s="3">
        <f>SUMPRODUCT($B1080:$Y1080,$B$2655:$Y$2655)</f>
        <v/>
      </c>
      <c r="AC1080" s="1">
        <f>A1080</f>
        <v/>
      </c>
      <c r="AD1080">
        <f>IF(ISNUMBER(V1080),V1080*($AB$1/V$2635),"")</f>
        <v/>
      </c>
      <c r="AE1080">
        <f>IF(ISNUMBER(Z1080),Z1080*($AB$1/Z$2635),"")</f>
        <v/>
      </c>
      <c r="AF1080" s="25">
        <f>IF(ISNUMBER(AD1080+AE1080),AD1080+AE1080,"")</f>
        <v/>
      </c>
      <c r="AH1080" s="1">
        <f>A1080</f>
        <v/>
      </c>
      <c r="AI1080">
        <f>IF(ISNUMBER((1+V1080)*AI1079),(1+V1080)*AI1079,AI1079)</f>
        <v/>
      </c>
      <c r="AJ1080">
        <f>IF(ISNUMBER((1+Z1080)*AJ1079),(1+Z1080)*AJ1079,AJ1079)</f>
        <v/>
      </c>
    </row>
    <row r="1081">
      <c r="A1081" s="1" t="n">
        <v>43571</v>
      </c>
      <c r="B1081" s="3">
        <f>IF(ORIG!B1081=0,"",ORIG!B1081)</f>
        <v/>
      </c>
      <c r="C1081" s="3">
        <f>IF(ORIG!C1081=0,"",ORIG!C1081)</f>
        <v/>
      </c>
      <c r="D1081" s="3">
        <f>IF(ORIG!D1081=0,"",ORIG!D1081)</f>
        <v/>
      </c>
      <c r="E1081" s="3">
        <f>IF(ORIG!E1081=0,"",ORIG!E1081)</f>
        <v/>
      </c>
      <c r="F1081" s="3">
        <f>IF(ORIG!F1081=0,"",ORIG!F1081)</f>
        <v/>
      </c>
      <c r="G1081" s="3">
        <f>IF(ORIG!G1081=0,"",ORIG!G1081)</f>
        <v/>
      </c>
      <c r="H1081" s="3">
        <f>IF(ORIG!H1081=0,"",ORIG!H1081)</f>
        <v/>
      </c>
      <c r="I1081" s="3">
        <f>IF(ORIG!I1081=0,"",ORIG!I1081)</f>
        <v/>
      </c>
      <c r="J1081" s="3">
        <f>IF(ORIG!J1081=0,"",ORIG!J1081)</f>
        <v/>
      </c>
      <c r="K1081" s="3">
        <f>IF(ORIG!K1081=0,"",ORIG!K1081)</f>
        <v/>
      </c>
      <c r="L1081" s="3">
        <f>IF(ORIG!L1081=0,"",ORIG!L1081)</f>
        <v/>
      </c>
      <c r="M1081" s="3">
        <f>IF(ORIG!M1081=0,"",ORIG!M1081)</f>
        <v/>
      </c>
      <c r="N1081" s="3">
        <f>IF(ORIG!N1081=0,"",ORIG!N1081)</f>
        <v/>
      </c>
      <c r="O1081" s="3">
        <f>IF(ORIG!O1081=0,"",ORIG!O1081)</f>
        <v/>
      </c>
      <c r="P1081" s="3">
        <f>IF(ORIG!P1081=0,"",ORIG!P1081)</f>
        <v/>
      </c>
      <c r="Q1081" s="3">
        <f>IF(ORIG!Q1081=0,"",ORIG!Q1081)</f>
        <v/>
      </c>
      <c r="R1081" s="3">
        <f>IF(ORIG!R1081=0,"",ORIG!R1081)</f>
        <v/>
      </c>
      <c r="S1081" s="3">
        <f>IF(ORIG!S1081=0,"",ORIG!S1081)</f>
        <v/>
      </c>
      <c r="T1081" s="3">
        <f>IF(ORIG!T1081=0,"",ORIG!T1081)</f>
        <v/>
      </c>
      <c r="U1081" s="3">
        <f>IF(ORIG!U1081=0,"",ORIG!U1081)</f>
        <v/>
      </c>
      <c r="V1081" s="9">
        <f>IF(ORIG!V1081=0,"",ORIG!V1081)</f>
        <v/>
      </c>
      <c r="W1081" s="9">
        <f>IF(ORIG!W1081=0,"",ORIG!W1081)</f>
        <v/>
      </c>
      <c r="X1081" s="9">
        <f>IF(ORIG!X1081=0,"",ORIG!X1081)</f>
        <v/>
      </c>
      <c r="Y1081" s="9">
        <f>IF(ORIG!Y1081=0,"",ORIG!Y1081)</f>
        <v/>
      </c>
      <c r="Z1081" s="3">
        <f>SUMPRODUCT($B1081:$Y1081,$B$2649:$Y$2649)</f>
        <v/>
      </c>
      <c r="AA1081" s="3">
        <f>SUMPRODUCT($B1081:$Y1081,$B$2655:$Y$2655)</f>
        <v/>
      </c>
      <c r="AC1081" s="1">
        <f>A1081</f>
        <v/>
      </c>
      <c r="AD1081">
        <f>IF(ISNUMBER(V1081),V1081*($AB$1/V$2635),"")</f>
        <v/>
      </c>
      <c r="AE1081">
        <f>IF(ISNUMBER(Z1081),Z1081*($AB$1/Z$2635),"")</f>
        <v/>
      </c>
      <c r="AF1081" s="25">
        <f>IF(ISNUMBER(AD1081+AE1081),AD1081+AE1081,"")</f>
        <v/>
      </c>
      <c r="AH1081" s="1">
        <f>A1081</f>
        <v/>
      </c>
      <c r="AI1081">
        <f>IF(ISNUMBER((1+V1081)*AI1080),(1+V1081)*AI1080,AI1080)</f>
        <v/>
      </c>
      <c r="AJ1081">
        <f>IF(ISNUMBER((1+Z1081)*AJ1080),(1+Z1081)*AJ1080,AJ1080)</f>
        <v/>
      </c>
    </row>
    <row r="1082">
      <c r="A1082" s="1" t="n">
        <v>43572</v>
      </c>
      <c r="B1082" s="3">
        <f>IF(ORIG!B1082=0,"",ORIG!B1082)</f>
        <v/>
      </c>
      <c r="C1082" s="3">
        <f>IF(ORIG!C1082=0,"",ORIG!C1082)</f>
        <v/>
      </c>
      <c r="D1082" s="3">
        <f>IF(ORIG!D1082=0,"",ORIG!D1082)</f>
        <v/>
      </c>
      <c r="E1082" s="3">
        <f>IF(ORIG!E1082=0,"",ORIG!E1082)</f>
        <v/>
      </c>
      <c r="F1082" s="3">
        <f>IF(ORIG!F1082=0,"",ORIG!F1082)</f>
        <v/>
      </c>
      <c r="G1082" s="3">
        <f>IF(ORIG!G1082=0,"",ORIG!G1082)</f>
        <v/>
      </c>
      <c r="H1082" s="3">
        <f>IF(ORIG!H1082=0,"",ORIG!H1082)</f>
        <v/>
      </c>
      <c r="I1082" s="3">
        <f>IF(ORIG!I1082=0,"",ORIG!I1082)</f>
        <v/>
      </c>
      <c r="J1082" s="3">
        <f>IF(ORIG!J1082=0,"",ORIG!J1082)</f>
        <v/>
      </c>
      <c r="K1082" s="3">
        <f>IF(ORIG!K1082=0,"",ORIG!K1082)</f>
        <v/>
      </c>
      <c r="L1082" s="3">
        <f>IF(ORIG!L1082=0,"",ORIG!L1082)</f>
        <v/>
      </c>
      <c r="M1082" s="3">
        <f>IF(ORIG!M1082=0,"",ORIG!M1082)</f>
        <v/>
      </c>
      <c r="N1082" s="3">
        <f>IF(ORIG!N1082=0,"",ORIG!N1082)</f>
        <v/>
      </c>
      <c r="O1082" s="3">
        <f>IF(ORIG!O1082=0,"",ORIG!O1082)</f>
        <v/>
      </c>
      <c r="P1082" s="3">
        <f>IF(ORIG!P1082=0,"",ORIG!P1082)</f>
        <v/>
      </c>
      <c r="Q1082" s="3">
        <f>IF(ORIG!Q1082=0,"",ORIG!Q1082)</f>
        <v/>
      </c>
      <c r="R1082" s="3">
        <f>IF(ORIG!R1082=0,"",ORIG!R1082)</f>
        <v/>
      </c>
      <c r="S1082" s="3">
        <f>IF(ORIG!S1082=0,"",ORIG!S1082)</f>
        <v/>
      </c>
      <c r="T1082" s="3">
        <f>IF(ORIG!T1082=0,"",ORIG!T1082)</f>
        <v/>
      </c>
      <c r="U1082" s="3">
        <f>IF(ORIG!U1082=0,"",ORIG!U1082)</f>
        <v/>
      </c>
      <c r="V1082" s="9">
        <f>IF(ORIG!V1082=0,"",ORIG!V1082)</f>
        <v/>
      </c>
      <c r="W1082" s="9">
        <f>IF(ORIG!W1082=0,"",ORIG!W1082)</f>
        <v/>
      </c>
      <c r="X1082" s="9">
        <f>IF(ORIG!X1082=0,"",ORIG!X1082)</f>
        <v/>
      </c>
      <c r="Y1082" s="9">
        <f>IF(ORIG!Y1082=0,"",ORIG!Y1082)</f>
        <v/>
      </c>
      <c r="Z1082" s="3">
        <f>SUMPRODUCT($B1082:$Y1082,$B$2649:$Y$2649)</f>
        <v/>
      </c>
      <c r="AA1082" s="3">
        <f>SUMPRODUCT($B1082:$Y1082,$B$2655:$Y$2655)</f>
        <v/>
      </c>
      <c r="AC1082" s="1">
        <f>A1082</f>
        <v/>
      </c>
      <c r="AD1082">
        <f>IF(ISNUMBER(V1082),V1082*($AB$1/V$2635),"")</f>
        <v/>
      </c>
      <c r="AE1082">
        <f>IF(ISNUMBER(Z1082),Z1082*($AB$1/Z$2635),"")</f>
        <v/>
      </c>
      <c r="AF1082" s="25">
        <f>IF(ISNUMBER(AD1082+AE1082),AD1082+AE1082,"")</f>
        <v/>
      </c>
      <c r="AH1082" s="1">
        <f>A1082</f>
        <v/>
      </c>
      <c r="AI1082">
        <f>IF(ISNUMBER((1+V1082)*AI1081),(1+V1082)*AI1081,AI1081)</f>
        <v/>
      </c>
      <c r="AJ1082">
        <f>IF(ISNUMBER((1+Z1082)*AJ1081),(1+Z1082)*AJ1081,AJ1081)</f>
        <v/>
      </c>
    </row>
    <row r="1083">
      <c r="A1083" s="1" t="n">
        <v>43573</v>
      </c>
      <c r="B1083" s="3">
        <f>IF(ORIG!B1083=0,"",ORIG!B1083)</f>
        <v/>
      </c>
      <c r="C1083" s="3">
        <f>IF(ORIG!C1083=0,"",ORIG!C1083)</f>
        <v/>
      </c>
      <c r="D1083" s="3">
        <f>IF(ORIG!D1083=0,"",ORIG!D1083)</f>
        <v/>
      </c>
      <c r="E1083" s="3">
        <f>IF(ORIG!E1083=0,"",ORIG!E1083)</f>
        <v/>
      </c>
      <c r="F1083" s="3">
        <f>IF(ORIG!F1083=0,"",ORIG!F1083)</f>
        <v/>
      </c>
      <c r="G1083" s="3">
        <f>IF(ORIG!G1083=0,"",ORIG!G1083)</f>
        <v/>
      </c>
      <c r="H1083" s="3">
        <f>IF(ORIG!H1083=0,"",ORIG!H1083)</f>
        <v/>
      </c>
      <c r="I1083" s="3">
        <f>IF(ORIG!I1083=0,"",ORIG!I1083)</f>
        <v/>
      </c>
      <c r="J1083" s="3">
        <f>IF(ORIG!J1083=0,"",ORIG!J1083)</f>
        <v/>
      </c>
      <c r="K1083" s="3">
        <f>IF(ORIG!K1083=0,"",ORIG!K1083)</f>
        <v/>
      </c>
      <c r="L1083" s="3">
        <f>IF(ORIG!L1083=0,"",ORIG!L1083)</f>
        <v/>
      </c>
      <c r="M1083" s="3">
        <f>IF(ORIG!M1083=0,"",ORIG!M1083)</f>
        <v/>
      </c>
      <c r="N1083" s="3">
        <f>IF(ORIG!N1083=0,"",ORIG!N1083)</f>
        <v/>
      </c>
      <c r="O1083" s="3">
        <f>IF(ORIG!O1083=0,"",ORIG!O1083)</f>
        <v/>
      </c>
      <c r="P1083" s="3">
        <f>IF(ORIG!P1083=0,"",ORIG!P1083)</f>
        <v/>
      </c>
      <c r="Q1083" s="3">
        <f>IF(ORIG!Q1083=0,"",ORIG!Q1083)</f>
        <v/>
      </c>
      <c r="R1083" s="3">
        <f>IF(ORIG!R1083=0,"",ORIG!R1083)</f>
        <v/>
      </c>
      <c r="S1083" s="3">
        <f>IF(ORIG!S1083=0,"",ORIG!S1083)</f>
        <v/>
      </c>
      <c r="T1083" s="3">
        <f>IF(ORIG!T1083=0,"",ORIG!T1083)</f>
        <v/>
      </c>
      <c r="U1083" s="3">
        <f>IF(ORIG!U1083=0,"",ORIG!U1083)</f>
        <v/>
      </c>
      <c r="V1083" s="9">
        <f>IF(ORIG!V1083=0,"",ORIG!V1083)</f>
        <v/>
      </c>
      <c r="W1083" s="9">
        <f>IF(ORIG!W1083=0,"",ORIG!W1083)</f>
        <v/>
      </c>
      <c r="X1083" s="9">
        <f>IF(ORIG!X1083=0,"",ORIG!X1083)</f>
        <v/>
      </c>
      <c r="Y1083" s="9">
        <f>IF(ORIG!Y1083=0,"",ORIG!Y1083)</f>
        <v/>
      </c>
      <c r="Z1083" s="3">
        <f>SUMPRODUCT($B1083:$Y1083,$B$2649:$Y$2649)</f>
        <v/>
      </c>
      <c r="AA1083" s="3">
        <f>SUMPRODUCT($B1083:$Y1083,$B$2655:$Y$2655)</f>
        <v/>
      </c>
      <c r="AC1083" s="1">
        <f>A1083</f>
        <v/>
      </c>
      <c r="AD1083">
        <f>IF(ISNUMBER(V1083),V1083*($AB$1/V$2635),"")</f>
        <v/>
      </c>
      <c r="AE1083">
        <f>IF(ISNUMBER(Z1083),Z1083*($AB$1/Z$2635),"")</f>
        <v/>
      </c>
      <c r="AF1083" s="25">
        <f>IF(ISNUMBER(AD1083+AE1083),AD1083+AE1083,"")</f>
        <v/>
      </c>
      <c r="AH1083" s="1">
        <f>A1083</f>
        <v/>
      </c>
      <c r="AI1083">
        <f>IF(ISNUMBER((1+V1083)*AI1082),(1+V1083)*AI1082,AI1082)</f>
        <v/>
      </c>
      <c r="AJ1083">
        <f>IF(ISNUMBER((1+Z1083)*AJ1082),(1+Z1083)*AJ1082,AJ1082)</f>
        <v/>
      </c>
    </row>
    <row r="1084">
      <c r="A1084" s="1" t="n">
        <v>43577</v>
      </c>
      <c r="B1084" s="3">
        <f>IF(ORIG!B1084=0,"",ORIG!B1084)</f>
        <v/>
      </c>
      <c r="C1084" s="3">
        <f>IF(ORIG!C1084=0,"",ORIG!C1084)</f>
        <v/>
      </c>
      <c r="D1084" s="3">
        <f>IF(ORIG!D1084=0,"",ORIG!D1084)</f>
        <v/>
      </c>
      <c r="E1084" s="3">
        <f>IF(ORIG!E1084=0,"",ORIG!E1084)</f>
        <v/>
      </c>
      <c r="F1084" s="3">
        <f>IF(ORIG!F1084=0,"",ORIG!F1084)</f>
        <v/>
      </c>
      <c r="G1084" s="3">
        <f>IF(ORIG!G1084=0,"",ORIG!G1084)</f>
        <v/>
      </c>
      <c r="H1084" s="3">
        <f>IF(ORIG!H1084=0,"",ORIG!H1084)</f>
        <v/>
      </c>
      <c r="I1084" s="3">
        <f>IF(ORIG!I1084=0,"",ORIG!I1084)</f>
        <v/>
      </c>
      <c r="J1084" s="3">
        <f>IF(ORIG!J1084=0,"",ORIG!J1084)</f>
        <v/>
      </c>
      <c r="K1084" s="3">
        <f>IF(ORIG!K1084=0,"",ORIG!K1084)</f>
        <v/>
      </c>
      <c r="L1084" s="3">
        <f>IF(ORIG!L1084=0,"",ORIG!L1084)</f>
        <v/>
      </c>
      <c r="M1084" s="3">
        <f>IF(ORIG!M1084=0,"",ORIG!M1084)</f>
        <v/>
      </c>
      <c r="N1084" s="3">
        <f>IF(ORIG!N1084=0,"",ORIG!N1084)</f>
        <v/>
      </c>
      <c r="O1084" s="3">
        <f>IF(ORIG!O1084=0,"",ORIG!O1084)</f>
        <v/>
      </c>
      <c r="P1084" s="3">
        <f>IF(ORIG!P1084=0,"",ORIG!P1084)</f>
        <v/>
      </c>
      <c r="Q1084" s="3">
        <f>IF(ORIG!Q1084=0,"",ORIG!Q1084)</f>
        <v/>
      </c>
      <c r="R1084" s="3">
        <f>IF(ORIG!R1084=0,"",ORIG!R1084)</f>
        <v/>
      </c>
      <c r="S1084" s="3">
        <f>IF(ORIG!S1084=0,"",ORIG!S1084)</f>
        <v/>
      </c>
      <c r="T1084" s="3">
        <f>IF(ORIG!T1084=0,"",ORIG!T1084)</f>
        <v/>
      </c>
      <c r="U1084" s="3">
        <f>IF(ORIG!U1084=0,"",ORIG!U1084)</f>
        <v/>
      </c>
      <c r="V1084" s="9">
        <f>IF(ORIG!V1084=0,"",ORIG!V1084)</f>
        <v/>
      </c>
      <c r="W1084" s="9">
        <f>IF(ORIG!W1084=0,"",ORIG!W1084)</f>
        <v/>
      </c>
      <c r="X1084" s="9">
        <f>IF(ORIG!X1084=0,"",ORIG!X1084)</f>
        <v/>
      </c>
      <c r="Y1084" s="9">
        <f>IF(ORIG!Y1084=0,"",ORIG!Y1084)</f>
        <v/>
      </c>
      <c r="Z1084" s="3">
        <f>SUMPRODUCT($B1084:$Y1084,$B$2649:$Y$2649)</f>
        <v/>
      </c>
      <c r="AA1084" s="3">
        <f>SUMPRODUCT($B1084:$Y1084,$B$2655:$Y$2655)</f>
        <v/>
      </c>
      <c r="AC1084" s="1">
        <f>A1084</f>
        <v/>
      </c>
      <c r="AD1084">
        <f>IF(ISNUMBER(V1084),V1084*($AB$1/V$2635),"")</f>
        <v/>
      </c>
      <c r="AE1084">
        <f>IF(ISNUMBER(Z1084),Z1084*($AB$1/Z$2635),"")</f>
        <v/>
      </c>
      <c r="AF1084" s="25">
        <f>IF(ISNUMBER(AD1084+AE1084),AD1084+AE1084,"")</f>
        <v/>
      </c>
      <c r="AH1084" s="1">
        <f>A1084</f>
        <v/>
      </c>
      <c r="AI1084">
        <f>IF(ISNUMBER((1+V1084)*AI1083),(1+V1084)*AI1083,AI1083)</f>
        <v/>
      </c>
      <c r="AJ1084">
        <f>IF(ISNUMBER((1+Z1084)*AJ1083),(1+Z1084)*AJ1083,AJ1083)</f>
        <v/>
      </c>
    </row>
    <row r="1085">
      <c r="A1085" s="1" t="n">
        <v>43578</v>
      </c>
      <c r="B1085" s="3">
        <f>IF(ORIG!B1085=0,"",ORIG!B1085)</f>
        <v/>
      </c>
      <c r="C1085" s="3">
        <f>IF(ORIG!C1085=0,"",ORIG!C1085)</f>
        <v/>
      </c>
      <c r="D1085" s="3">
        <f>IF(ORIG!D1085=0,"",ORIG!D1085)</f>
        <v/>
      </c>
      <c r="E1085" s="3">
        <f>IF(ORIG!E1085=0,"",ORIG!E1085)</f>
        <v/>
      </c>
      <c r="F1085" s="3">
        <f>IF(ORIG!F1085=0,"",ORIG!F1085)</f>
        <v/>
      </c>
      <c r="G1085" s="3">
        <f>IF(ORIG!G1085=0,"",ORIG!G1085)</f>
        <v/>
      </c>
      <c r="H1085" s="3">
        <f>IF(ORIG!H1085=0,"",ORIG!H1085)</f>
        <v/>
      </c>
      <c r="I1085" s="3">
        <f>IF(ORIG!I1085=0,"",ORIG!I1085)</f>
        <v/>
      </c>
      <c r="J1085" s="3">
        <f>IF(ORIG!J1085=0,"",ORIG!J1085)</f>
        <v/>
      </c>
      <c r="K1085" s="3">
        <f>IF(ORIG!K1085=0,"",ORIG!K1085)</f>
        <v/>
      </c>
      <c r="L1085" s="3">
        <f>IF(ORIG!L1085=0,"",ORIG!L1085)</f>
        <v/>
      </c>
      <c r="M1085" s="3">
        <f>IF(ORIG!M1085=0,"",ORIG!M1085)</f>
        <v/>
      </c>
      <c r="N1085" s="3">
        <f>IF(ORIG!N1085=0,"",ORIG!N1085)</f>
        <v/>
      </c>
      <c r="O1085" s="3">
        <f>IF(ORIG!O1085=0,"",ORIG!O1085)</f>
        <v/>
      </c>
      <c r="P1085" s="3">
        <f>IF(ORIG!P1085=0,"",ORIG!P1085)</f>
        <v/>
      </c>
      <c r="Q1085" s="3">
        <f>IF(ORIG!Q1085=0,"",ORIG!Q1085)</f>
        <v/>
      </c>
      <c r="R1085" s="3">
        <f>IF(ORIG!R1085=0,"",ORIG!R1085)</f>
        <v/>
      </c>
      <c r="S1085" s="3">
        <f>IF(ORIG!S1085=0,"",ORIG!S1085)</f>
        <v/>
      </c>
      <c r="T1085" s="3">
        <f>IF(ORIG!T1085=0,"",ORIG!T1085)</f>
        <v/>
      </c>
      <c r="U1085" s="3">
        <f>IF(ORIG!U1085=0,"",ORIG!U1085)</f>
        <v/>
      </c>
      <c r="V1085" s="9">
        <f>IF(ORIG!V1085=0,"",ORIG!V1085)</f>
        <v/>
      </c>
      <c r="W1085" s="9">
        <f>IF(ORIG!W1085=0,"",ORIG!W1085)</f>
        <v/>
      </c>
      <c r="X1085" s="9">
        <f>IF(ORIG!X1085=0,"",ORIG!X1085)</f>
        <v/>
      </c>
      <c r="Y1085" s="9">
        <f>IF(ORIG!Y1085=0,"",ORIG!Y1085)</f>
        <v/>
      </c>
      <c r="Z1085" s="3">
        <f>SUMPRODUCT($B1085:$Y1085,$B$2649:$Y$2649)</f>
        <v/>
      </c>
      <c r="AA1085" s="3">
        <f>SUMPRODUCT($B1085:$Y1085,$B$2655:$Y$2655)</f>
        <v/>
      </c>
      <c r="AC1085" s="1">
        <f>A1085</f>
        <v/>
      </c>
      <c r="AD1085">
        <f>IF(ISNUMBER(V1085),V1085*($AB$1/V$2635),"")</f>
        <v/>
      </c>
      <c r="AE1085">
        <f>IF(ISNUMBER(Z1085),Z1085*($AB$1/Z$2635),"")</f>
        <v/>
      </c>
      <c r="AF1085" s="25">
        <f>IF(ISNUMBER(AD1085+AE1085),AD1085+AE1085,"")</f>
        <v/>
      </c>
      <c r="AH1085" s="1">
        <f>A1085</f>
        <v/>
      </c>
      <c r="AI1085">
        <f>IF(ISNUMBER((1+V1085)*AI1084),(1+V1085)*AI1084,AI1084)</f>
        <v/>
      </c>
      <c r="AJ1085">
        <f>IF(ISNUMBER((1+Z1085)*AJ1084),(1+Z1085)*AJ1084,AJ1084)</f>
        <v/>
      </c>
    </row>
    <row r="1086">
      <c r="A1086" s="1" t="n">
        <v>43579</v>
      </c>
      <c r="B1086" s="3">
        <f>IF(ORIG!B1086=0,"",ORIG!B1086)</f>
        <v/>
      </c>
      <c r="C1086" s="3">
        <f>IF(ORIG!C1086=0,"",ORIG!C1086)</f>
        <v/>
      </c>
      <c r="D1086" s="3">
        <f>IF(ORIG!D1086=0,"",ORIG!D1086)</f>
        <v/>
      </c>
      <c r="E1086" s="3">
        <f>IF(ORIG!E1086=0,"",ORIG!E1086)</f>
        <v/>
      </c>
      <c r="F1086" s="3">
        <f>IF(ORIG!F1086=0,"",ORIG!F1086)</f>
        <v/>
      </c>
      <c r="G1086" s="3">
        <f>IF(ORIG!G1086=0,"",ORIG!G1086)</f>
        <v/>
      </c>
      <c r="H1086" s="3">
        <f>IF(ORIG!H1086=0,"",ORIG!H1086)</f>
        <v/>
      </c>
      <c r="I1086" s="3">
        <f>IF(ORIG!I1086=0,"",ORIG!I1086)</f>
        <v/>
      </c>
      <c r="J1086" s="3">
        <f>IF(ORIG!J1086=0,"",ORIG!J1086)</f>
        <v/>
      </c>
      <c r="K1086" s="3">
        <f>IF(ORIG!K1086=0,"",ORIG!K1086)</f>
        <v/>
      </c>
      <c r="L1086" s="3">
        <f>IF(ORIG!L1086=0,"",ORIG!L1086)</f>
        <v/>
      </c>
      <c r="M1086" s="3">
        <f>IF(ORIG!M1086=0,"",ORIG!M1086)</f>
        <v/>
      </c>
      <c r="N1086" s="3">
        <f>IF(ORIG!N1086=0,"",ORIG!N1086)</f>
        <v/>
      </c>
      <c r="O1086" s="3">
        <f>IF(ORIG!O1086=0,"",ORIG!O1086)</f>
        <v/>
      </c>
      <c r="P1086" s="3">
        <f>IF(ORIG!P1086=0,"",ORIG!P1086)</f>
        <v/>
      </c>
      <c r="Q1086" s="3">
        <f>IF(ORIG!Q1086=0,"",ORIG!Q1086)</f>
        <v/>
      </c>
      <c r="R1086" s="3">
        <f>IF(ORIG!R1086=0,"",ORIG!R1086)</f>
        <v/>
      </c>
      <c r="S1086" s="3">
        <f>IF(ORIG!S1086=0,"",ORIG!S1086)</f>
        <v/>
      </c>
      <c r="T1086" s="3">
        <f>IF(ORIG!T1086=0,"",ORIG!T1086)</f>
        <v/>
      </c>
      <c r="U1086" s="3">
        <f>IF(ORIG!U1086=0,"",ORIG!U1086)</f>
        <v/>
      </c>
      <c r="V1086" s="9">
        <f>IF(ORIG!V1086=0,"",ORIG!V1086)</f>
        <v/>
      </c>
      <c r="W1086" s="9">
        <f>IF(ORIG!W1086=0,"",ORIG!W1086)</f>
        <v/>
      </c>
      <c r="X1086" s="9">
        <f>IF(ORIG!X1086=0,"",ORIG!X1086)</f>
        <v/>
      </c>
      <c r="Y1086" s="9">
        <f>IF(ORIG!Y1086=0,"",ORIG!Y1086)</f>
        <v/>
      </c>
      <c r="Z1086" s="3">
        <f>SUMPRODUCT($B1086:$Y1086,$B$2649:$Y$2649)</f>
        <v/>
      </c>
      <c r="AA1086" s="3">
        <f>SUMPRODUCT($B1086:$Y1086,$B$2655:$Y$2655)</f>
        <v/>
      </c>
      <c r="AC1086" s="1">
        <f>A1086</f>
        <v/>
      </c>
      <c r="AD1086">
        <f>IF(ISNUMBER(V1086),V1086*($AB$1/V$2635),"")</f>
        <v/>
      </c>
      <c r="AE1086">
        <f>IF(ISNUMBER(Z1086),Z1086*($AB$1/Z$2635),"")</f>
        <v/>
      </c>
      <c r="AF1086" s="25">
        <f>IF(ISNUMBER(AD1086+AE1086),AD1086+AE1086,"")</f>
        <v/>
      </c>
      <c r="AH1086" s="1">
        <f>A1086</f>
        <v/>
      </c>
      <c r="AI1086">
        <f>IF(ISNUMBER((1+V1086)*AI1085),(1+V1086)*AI1085,AI1085)</f>
        <v/>
      </c>
      <c r="AJ1086">
        <f>IF(ISNUMBER((1+Z1086)*AJ1085),(1+Z1086)*AJ1085,AJ1085)</f>
        <v/>
      </c>
    </row>
    <row r="1087">
      <c r="A1087" s="1" t="n">
        <v>43580</v>
      </c>
      <c r="B1087" s="3">
        <f>IF(ORIG!B1087=0,"",ORIG!B1087)</f>
        <v/>
      </c>
      <c r="C1087" s="3">
        <f>IF(ORIG!C1087=0,"",ORIG!C1087)</f>
        <v/>
      </c>
      <c r="D1087" s="3">
        <f>IF(ORIG!D1087=0,"",ORIG!D1087)</f>
        <v/>
      </c>
      <c r="E1087" s="3">
        <f>IF(ORIG!E1087=0,"",ORIG!E1087)</f>
        <v/>
      </c>
      <c r="F1087" s="3">
        <f>IF(ORIG!F1087=0,"",ORIG!F1087)</f>
        <v/>
      </c>
      <c r="G1087" s="3">
        <f>IF(ORIG!G1087=0,"",ORIG!G1087)</f>
        <v/>
      </c>
      <c r="H1087" s="3">
        <f>IF(ORIG!H1087=0,"",ORIG!H1087)</f>
        <v/>
      </c>
      <c r="I1087" s="3">
        <f>IF(ORIG!I1087=0,"",ORIG!I1087)</f>
        <v/>
      </c>
      <c r="J1087" s="3">
        <f>IF(ORIG!J1087=0,"",ORIG!J1087)</f>
        <v/>
      </c>
      <c r="K1087" s="3">
        <f>IF(ORIG!K1087=0,"",ORIG!K1087)</f>
        <v/>
      </c>
      <c r="L1087" s="3">
        <f>IF(ORIG!L1087=0,"",ORIG!L1087)</f>
        <v/>
      </c>
      <c r="M1087" s="3">
        <f>IF(ORIG!M1087=0,"",ORIG!M1087)</f>
        <v/>
      </c>
      <c r="N1087" s="3">
        <f>IF(ORIG!N1087=0,"",ORIG!N1087)</f>
        <v/>
      </c>
      <c r="O1087" s="3">
        <f>IF(ORIG!O1087=0,"",ORIG!O1087)</f>
        <v/>
      </c>
      <c r="P1087" s="3">
        <f>IF(ORIG!P1087=0,"",ORIG!P1087)</f>
        <v/>
      </c>
      <c r="Q1087" s="3">
        <f>IF(ORIG!Q1087=0,"",ORIG!Q1087)</f>
        <v/>
      </c>
      <c r="R1087" s="3">
        <f>IF(ORIG!R1087=0,"",ORIG!R1087)</f>
        <v/>
      </c>
      <c r="S1087" s="3">
        <f>IF(ORIG!S1087=0,"",ORIG!S1087)</f>
        <v/>
      </c>
      <c r="T1087" s="3">
        <f>IF(ORIG!T1087=0,"",ORIG!T1087)</f>
        <v/>
      </c>
      <c r="U1087" s="3">
        <f>IF(ORIG!U1087=0,"",ORIG!U1087)</f>
        <v/>
      </c>
      <c r="V1087" s="9">
        <f>IF(ORIG!V1087=0,"",ORIG!V1087)</f>
        <v/>
      </c>
      <c r="W1087" s="9">
        <f>IF(ORIG!W1087=0,"",ORIG!W1087)</f>
        <v/>
      </c>
      <c r="X1087" s="9">
        <f>IF(ORIG!X1087=0,"",ORIG!X1087)</f>
        <v/>
      </c>
      <c r="Y1087" s="9">
        <f>IF(ORIG!Y1087=0,"",ORIG!Y1087)</f>
        <v/>
      </c>
      <c r="Z1087" s="3">
        <f>SUMPRODUCT($B1087:$Y1087,$B$2649:$Y$2649)</f>
        <v/>
      </c>
      <c r="AA1087" s="3">
        <f>SUMPRODUCT($B1087:$Y1087,$B$2655:$Y$2655)</f>
        <v/>
      </c>
      <c r="AC1087" s="1">
        <f>A1087</f>
        <v/>
      </c>
      <c r="AD1087">
        <f>IF(ISNUMBER(V1087),V1087*($AB$1/V$2635),"")</f>
        <v/>
      </c>
      <c r="AE1087">
        <f>IF(ISNUMBER(Z1087),Z1087*($AB$1/Z$2635),"")</f>
        <v/>
      </c>
      <c r="AF1087" s="25">
        <f>IF(ISNUMBER(AD1087+AE1087),AD1087+AE1087,"")</f>
        <v/>
      </c>
      <c r="AH1087" s="1">
        <f>A1087</f>
        <v/>
      </c>
      <c r="AI1087">
        <f>IF(ISNUMBER((1+V1087)*AI1086),(1+V1087)*AI1086,AI1086)</f>
        <v/>
      </c>
      <c r="AJ1087">
        <f>IF(ISNUMBER((1+Z1087)*AJ1086),(1+Z1087)*AJ1086,AJ1086)</f>
        <v/>
      </c>
    </row>
    <row r="1088">
      <c r="A1088" s="1" t="n">
        <v>43581</v>
      </c>
      <c r="B1088" s="3">
        <f>IF(ORIG!B1088=0,"",ORIG!B1088)</f>
        <v/>
      </c>
      <c r="C1088" s="3">
        <f>IF(ORIG!C1088=0,"",ORIG!C1088)</f>
        <v/>
      </c>
      <c r="D1088" s="3">
        <f>IF(ORIG!D1088=0,"",ORIG!D1088)</f>
        <v/>
      </c>
      <c r="E1088" s="3">
        <f>IF(ORIG!E1088=0,"",ORIG!E1088)</f>
        <v/>
      </c>
      <c r="F1088" s="3">
        <f>IF(ORIG!F1088=0,"",ORIG!F1088)</f>
        <v/>
      </c>
      <c r="G1088" s="3">
        <f>IF(ORIG!G1088=0,"",ORIG!G1088)</f>
        <v/>
      </c>
      <c r="H1088" s="3">
        <f>IF(ORIG!H1088=0,"",ORIG!H1088)</f>
        <v/>
      </c>
      <c r="I1088" s="3">
        <f>IF(ORIG!I1088=0,"",ORIG!I1088)</f>
        <v/>
      </c>
      <c r="J1088" s="3">
        <f>IF(ORIG!J1088=0,"",ORIG!J1088)</f>
        <v/>
      </c>
      <c r="K1088" s="3">
        <f>IF(ORIG!K1088=0,"",ORIG!K1088)</f>
        <v/>
      </c>
      <c r="L1088" s="3">
        <f>IF(ORIG!L1088=0,"",ORIG!L1088)</f>
        <v/>
      </c>
      <c r="M1088" s="3">
        <f>IF(ORIG!M1088=0,"",ORIG!M1088)</f>
        <v/>
      </c>
      <c r="N1088" s="3">
        <f>IF(ORIG!N1088=0,"",ORIG!N1088)</f>
        <v/>
      </c>
      <c r="O1088" s="3">
        <f>IF(ORIG!O1088=0,"",ORIG!O1088)</f>
        <v/>
      </c>
      <c r="P1088" s="3">
        <f>IF(ORIG!P1088=0,"",ORIG!P1088)</f>
        <v/>
      </c>
      <c r="Q1088" s="3">
        <f>IF(ORIG!Q1088=0,"",ORIG!Q1088)</f>
        <v/>
      </c>
      <c r="R1088" s="3">
        <f>IF(ORIG!R1088=0,"",ORIG!R1088)</f>
        <v/>
      </c>
      <c r="S1088" s="3">
        <f>IF(ORIG!S1088=0,"",ORIG!S1088)</f>
        <v/>
      </c>
      <c r="T1088" s="3">
        <f>IF(ORIG!T1088=0,"",ORIG!T1088)</f>
        <v/>
      </c>
      <c r="U1088" s="3">
        <f>IF(ORIG!U1088=0,"",ORIG!U1088)</f>
        <v/>
      </c>
      <c r="V1088" s="9">
        <f>IF(ORIG!V1088=0,"",ORIG!V1088)</f>
        <v/>
      </c>
      <c r="W1088" s="9">
        <f>IF(ORIG!W1088=0,"",ORIG!W1088)</f>
        <v/>
      </c>
      <c r="X1088" s="9">
        <f>IF(ORIG!X1088=0,"",ORIG!X1088)</f>
        <v/>
      </c>
      <c r="Y1088" s="9">
        <f>IF(ORIG!Y1088=0,"",ORIG!Y1088)</f>
        <v/>
      </c>
      <c r="Z1088" s="3">
        <f>SUMPRODUCT($B1088:$Y1088,$B$2649:$Y$2649)</f>
        <v/>
      </c>
      <c r="AA1088" s="3">
        <f>SUMPRODUCT($B1088:$Y1088,$B$2655:$Y$2655)</f>
        <v/>
      </c>
      <c r="AC1088" s="1">
        <f>A1088</f>
        <v/>
      </c>
      <c r="AD1088">
        <f>IF(ISNUMBER(V1088),V1088*($AB$1/V$2635),"")</f>
        <v/>
      </c>
      <c r="AE1088">
        <f>IF(ISNUMBER(Z1088),Z1088*($AB$1/Z$2635),"")</f>
        <v/>
      </c>
      <c r="AF1088" s="25">
        <f>IF(ISNUMBER(AD1088+AE1088),AD1088+AE1088,"")</f>
        <v/>
      </c>
      <c r="AH1088" s="1">
        <f>A1088</f>
        <v/>
      </c>
      <c r="AI1088">
        <f>IF(ISNUMBER((1+V1088)*AI1087),(1+V1088)*AI1087,AI1087)</f>
        <v/>
      </c>
      <c r="AJ1088">
        <f>IF(ISNUMBER((1+Z1088)*AJ1087),(1+Z1088)*AJ1087,AJ1087)</f>
        <v/>
      </c>
    </row>
    <row r="1089">
      <c r="A1089" s="1" t="n">
        <v>43584</v>
      </c>
      <c r="B1089" s="3">
        <f>IF(ORIG!B1089=0,"",ORIG!B1089)</f>
        <v/>
      </c>
      <c r="C1089" s="3">
        <f>IF(ORIG!C1089=0,"",ORIG!C1089)</f>
        <v/>
      </c>
      <c r="D1089" s="3">
        <f>IF(ORIG!D1089=0,"",ORIG!D1089)</f>
        <v/>
      </c>
      <c r="E1089" s="3">
        <f>IF(ORIG!E1089=0,"",ORIG!E1089)</f>
        <v/>
      </c>
      <c r="F1089" s="3">
        <f>IF(ORIG!F1089=0,"",ORIG!F1089)</f>
        <v/>
      </c>
      <c r="G1089" s="3">
        <f>IF(ORIG!G1089=0,"",ORIG!G1089)</f>
        <v/>
      </c>
      <c r="H1089" s="3">
        <f>IF(ORIG!H1089=0,"",ORIG!H1089)</f>
        <v/>
      </c>
      <c r="I1089" s="3">
        <f>IF(ORIG!I1089=0,"",ORIG!I1089)</f>
        <v/>
      </c>
      <c r="J1089" s="3">
        <f>IF(ORIG!J1089=0,"",ORIG!J1089)</f>
        <v/>
      </c>
      <c r="K1089" s="3">
        <f>IF(ORIG!K1089=0,"",ORIG!K1089)</f>
        <v/>
      </c>
      <c r="L1089" s="3">
        <f>IF(ORIG!L1089=0,"",ORIG!L1089)</f>
        <v/>
      </c>
      <c r="M1089" s="3">
        <f>IF(ORIG!M1089=0,"",ORIG!M1089)</f>
        <v/>
      </c>
      <c r="N1089" s="3">
        <f>IF(ORIG!N1089=0,"",ORIG!N1089)</f>
        <v/>
      </c>
      <c r="O1089" s="3">
        <f>IF(ORIG!O1089=0,"",ORIG!O1089)</f>
        <v/>
      </c>
      <c r="P1089" s="3">
        <f>IF(ORIG!P1089=0,"",ORIG!P1089)</f>
        <v/>
      </c>
      <c r="Q1089" s="3">
        <f>IF(ORIG!Q1089=0,"",ORIG!Q1089)</f>
        <v/>
      </c>
      <c r="R1089" s="3">
        <f>IF(ORIG!R1089=0,"",ORIG!R1089)</f>
        <v/>
      </c>
      <c r="S1089" s="3">
        <f>IF(ORIG!S1089=0,"",ORIG!S1089)</f>
        <v/>
      </c>
      <c r="T1089" s="3">
        <f>IF(ORIG!T1089=0,"",ORIG!T1089)</f>
        <v/>
      </c>
      <c r="U1089" s="3">
        <f>IF(ORIG!U1089=0,"",ORIG!U1089)</f>
        <v/>
      </c>
      <c r="V1089" s="9">
        <f>IF(ORIG!V1089=0,"",ORIG!V1089)</f>
        <v/>
      </c>
      <c r="W1089" s="9">
        <f>IF(ORIG!W1089=0,"",ORIG!W1089)</f>
        <v/>
      </c>
      <c r="X1089" s="9">
        <f>IF(ORIG!X1089=0,"",ORIG!X1089)</f>
        <v/>
      </c>
      <c r="Y1089" s="9">
        <f>IF(ORIG!Y1089=0,"",ORIG!Y1089)</f>
        <v/>
      </c>
      <c r="Z1089" s="3">
        <f>SUMPRODUCT($B1089:$Y1089,$B$2649:$Y$2649)</f>
        <v/>
      </c>
      <c r="AA1089" s="3">
        <f>SUMPRODUCT($B1089:$Y1089,$B$2655:$Y$2655)</f>
        <v/>
      </c>
      <c r="AC1089" s="1">
        <f>A1089</f>
        <v/>
      </c>
      <c r="AD1089">
        <f>IF(ISNUMBER(V1089),V1089*($AB$1/V$2635),"")</f>
        <v/>
      </c>
      <c r="AE1089">
        <f>IF(ISNUMBER(Z1089),Z1089*($AB$1/Z$2635),"")</f>
        <v/>
      </c>
      <c r="AF1089" s="25">
        <f>IF(ISNUMBER(AD1089+AE1089),AD1089+AE1089,"")</f>
        <v/>
      </c>
      <c r="AH1089" s="1">
        <f>A1089</f>
        <v/>
      </c>
      <c r="AI1089">
        <f>IF(ISNUMBER((1+V1089)*AI1088),(1+V1089)*AI1088,AI1088)</f>
        <v/>
      </c>
      <c r="AJ1089">
        <f>IF(ISNUMBER((1+Z1089)*AJ1088),(1+Z1089)*AJ1088,AJ1088)</f>
        <v/>
      </c>
    </row>
    <row r="1090">
      <c r="A1090" s="1" t="n">
        <v>43585</v>
      </c>
      <c r="B1090" s="3">
        <f>IF(ORIG!B1090=0,"",ORIG!B1090)</f>
        <v/>
      </c>
      <c r="C1090" s="3">
        <f>IF(ORIG!C1090=0,"",ORIG!C1090)</f>
        <v/>
      </c>
      <c r="D1090" s="3">
        <f>IF(ORIG!D1090=0,"",ORIG!D1090)</f>
        <v/>
      </c>
      <c r="E1090" s="3">
        <f>IF(ORIG!E1090=0,"",ORIG!E1090)</f>
        <v/>
      </c>
      <c r="F1090" s="3">
        <f>IF(ORIG!F1090=0,"",ORIG!F1090)</f>
        <v/>
      </c>
      <c r="G1090" s="3">
        <f>IF(ORIG!G1090=0,"",ORIG!G1090)</f>
        <v/>
      </c>
      <c r="H1090" s="3">
        <f>IF(ORIG!H1090=0,"",ORIG!H1090)</f>
        <v/>
      </c>
      <c r="I1090" s="3">
        <f>IF(ORIG!I1090=0,"",ORIG!I1090)</f>
        <v/>
      </c>
      <c r="J1090" s="3">
        <f>IF(ORIG!J1090=0,"",ORIG!J1090)</f>
        <v/>
      </c>
      <c r="K1090" s="3">
        <f>IF(ORIG!K1090=0,"",ORIG!K1090)</f>
        <v/>
      </c>
      <c r="L1090" s="3">
        <f>IF(ORIG!L1090=0,"",ORIG!L1090)</f>
        <v/>
      </c>
      <c r="M1090" s="3">
        <f>IF(ORIG!M1090=0,"",ORIG!M1090)</f>
        <v/>
      </c>
      <c r="N1090" s="3">
        <f>IF(ORIG!N1090=0,"",ORIG!N1090)</f>
        <v/>
      </c>
      <c r="O1090" s="3">
        <f>IF(ORIG!O1090=0,"",ORIG!O1090)</f>
        <v/>
      </c>
      <c r="P1090" s="3">
        <f>IF(ORIG!P1090=0,"",ORIG!P1090)</f>
        <v/>
      </c>
      <c r="Q1090" s="3">
        <f>IF(ORIG!Q1090=0,"",ORIG!Q1090)</f>
        <v/>
      </c>
      <c r="R1090" s="3">
        <f>IF(ORIG!R1090=0,"",ORIG!R1090)</f>
        <v/>
      </c>
      <c r="S1090" s="3">
        <f>IF(ORIG!S1090=0,"",ORIG!S1090)</f>
        <v/>
      </c>
      <c r="T1090" s="3">
        <f>IF(ORIG!T1090=0,"",ORIG!T1090)</f>
        <v/>
      </c>
      <c r="U1090" s="3">
        <f>IF(ORIG!U1090=0,"",ORIG!U1090)</f>
        <v/>
      </c>
      <c r="V1090" s="9">
        <f>IF(ORIG!V1090=0,"",ORIG!V1090)</f>
        <v/>
      </c>
      <c r="W1090" s="9">
        <f>IF(ORIG!W1090=0,"",ORIG!W1090)</f>
        <v/>
      </c>
      <c r="X1090" s="9">
        <f>IF(ORIG!X1090=0,"",ORIG!X1090)</f>
        <v/>
      </c>
      <c r="Y1090" s="9">
        <f>IF(ORIG!Y1090=0,"",ORIG!Y1090)</f>
        <v/>
      </c>
      <c r="Z1090" s="3">
        <f>SUMPRODUCT($B1090:$Y1090,$B$2649:$Y$2649)</f>
        <v/>
      </c>
      <c r="AA1090" s="3">
        <f>SUMPRODUCT($B1090:$Y1090,$B$2655:$Y$2655)</f>
        <v/>
      </c>
      <c r="AC1090" s="1">
        <f>A1090</f>
        <v/>
      </c>
      <c r="AD1090">
        <f>IF(ISNUMBER(V1090),V1090*($AB$1/V$2635),"")</f>
        <v/>
      </c>
      <c r="AE1090">
        <f>IF(ISNUMBER(Z1090),Z1090*($AB$1/Z$2635),"")</f>
        <v/>
      </c>
      <c r="AF1090" s="25">
        <f>IF(ISNUMBER(AD1090+AE1090),AD1090+AE1090,"")</f>
        <v/>
      </c>
      <c r="AH1090" s="1">
        <f>A1090</f>
        <v/>
      </c>
      <c r="AI1090">
        <f>IF(ISNUMBER((1+V1090)*AI1089),(1+V1090)*AI1089,AI1089)</f>
        <v/>
      </c>
      <c r="AJ1090">
        <f>IF(ISNUMBER((1+Z1090)*AJ1089),(1+Z1090)*AJ1089,AJ1089)</f>
        <v/>
      </c>
    </row>
    <row r="1091">
      <c r="A1091" s="1" t="n">
        <v>43586</v>
      </c>
      <c r="B1091" s="3">
        <f>IF(ORIG!B1091=0,"",ORIG!B1091)</f>
        <v/>
      </c>
      <c r="C1091" s="3">
        <f>IF(ORIG!C1091=0,"",ORIG!C1091)</f>
        <v/>
      </c>
      <c r="D1091" s="3">
        <f>IF(ORIG!D1091=0,"",ORIG!D1091)</f>
        <v/>
      </c>
      <c r="E1091" s="3">
        <f>IF(ORIG!E1091=0,"",ORIG!E1091)</f>
        <v/>
      </c>
      <c r="F1091" s="3">
        <f>IF(ORIG!F1091=0,"",ORIG!F1091)</f>
        <v/>
      </c>
      <c r="G1091" s="3">
        <f>IF(ORIG!G1091=0,"",ORIG!G1091)</f>
        <v/>
      </c>
      <c r="H1091" s="3">
        <f>IF(ORIG!H1091=0,"",ORIG!H1091)</f>
        <v/>
      </c>
      <c r="I1091" s="3">
        <f>IF(ORIG!I1091=0,"",ORIG!I1091)</f>
        <v/>
      </c>
      <c r="J1091" s="3">
        <f>IF(ORIG!J1091=0,"",ORIG!J1091)</f>
        <v/>
      </c>
      <c r="K1091" s="3">
        <f>IF(ORIG!K1091=0,"",ORIG!K1091)</f>
        <v/>
      </c>
      <c r="L1091" s="3">
        <f>IF(ORIG!L1091=0,"",ORIG!L1091)</f>
        <v/>
      </c>
      <c r="M1091" s="3">
        <f>IF(ORIG!M1091=0,"",ORIG!M1091)</f>
        <v/>
      </c>
      <c r="N1091" s="3">
        <f>IF(ORIG!N1091=0,"",ORIG!N1091)</f>
        <v/>
      </c>
      <c r="O1091" s="3">
        <f>IF(ORIG!O1091=0,"",ORIG!O1091)</f>
        <v/>
      </c>
      <c r="P1091" s="3">
        <f>IF(ORIG!P1091=0,"",ORIG!P1091)</f>
        <v/>
      </c>
      <c r="Q1091" s="3">
        <f>IF(ORIG!Q1091=0,"",ORIG!Q1091)</f>
        <v/>
      </c>
      <c r="R1091" s="3">
        <f>IF(ORIG!R1091=0,"",ORIG!R1091)</f>
        <v/>
      </c>
      <c r="S1091" s="3">
        <f>IF(ORIG!S1091=0,"",ORIG!S1091)</f>
        <v/>
      </c>
      <c r="T1091" s="3">
        <f>IF(ORIG!T1091=0,"",ORIG!T1091)</f>
        <v/>
      </c>
      <c r="U1091" s="3">
        <f>IF(ORIG!U1091=0,"",ORIG!U1091)</f>
        <v/>
      </c>
      <c r="V1091" s="9">
        <f>IF(ORIG!V1091=0,"",ORIG!V1091)</f>
        <v/>
      </c>
      <c r="W1091" s="9">
        <f>IF(ORIG!W1091=0,"",ORIG!W1091)</f>
        <v/>
      </c>
      <c r="X1091" s="9">
        <f>IF(ORIG!X1091=0,"",ORIG!X1091)</f>
        <v/>
      </c>
      <c r="Y1091" s="9">
        <f>IF(ORIG!Y1091=0,"",ORIG!Y1091)</f>
        <v/>
      </c>
      <c r="Z1091" s="3">
        <f>SUMPRODUCT($B1091:$Y1091,$B$2649:$Y$2649)</f>
        <v/>
      </c>
      <c r="AA1091" s="3">
        <f>SUMPRODUCT($B1091:$Y1091,$B$2655:$Y$2655)</f>
        <v/>
      </c>
      <c r="AC1091" s="1">
        <f>A1091</f>
        <v/>
      </c>
      <c r="AD1091">
        <f>IF(ISNUMBER(V1091),V1091*($AB$1/V$2635),"")</f>
        <v/>
      </c>
      <c r="AE1091">
        <f>IF(ISNUMBER(Z1091),Z1091*($AB$1/Z$2635),"")</f>
        <v/>
      </c>
      <c r="AF1091" s="25">
        <f>IF(ISNUMBER(AD1091+AE1091),AD1091+AE1091,"")</f>
        <v/>
      </c>
      <c r="AH1091" s="1">
        <f>A1091</f>
        <v/>
      </c>
      <c r="AI1091">
        <f>IF(ISNUMBER((1+V1091)*AI1090),(1+V1091)*AI1090,AI1090)</f>
        <v/>
      </c>
      <c r="AJ1091">
        <f>IF(ISNUMBER((1+Z1091)*AJ1090),(1+Z1091)*AJ1090,AJ1090)</f>
        <v/>
      </c>
    </row>
    <row r="1092">
      <c r="A1092" s="1" t="n">
        <v>43587</v>
      </c>
      <c r="B1092" s="3">
        <f>IF(ORIG!B1092=0,"",ORIG!B1092)</f>
        <v/>
      </c>
      <c r="C1092" s="3">
        <f>IF(ORIG!C1092=0,"",ORIG!C1092)</f>
        <v/>
      </c>
      <c r="D1092" s="3">
        <f>IF(ORIG!D1092=0,"",ORIG!D1092)</f>
        <v/>
      </c>
      <c r="E1092" s="3">
        <f>IF(ORIG!E1092=0,"",ORIG!E1092)</f>
        <v/>
      </c>
      <c r="F1092" s="3">
        <f>IF(ORIG!F1092=0,"",ORIG!F1092)</f>
        <v/>
      </c>
      <c r="G1092" s="3">
        <f>IF(ORIG!G1092=0,"",ORIG!G1092)</f>
        <v/>
      </c>
      <c r="H1092" s="3">
        <f>IF(ORIG!H1092=0,"",ORIG!H1092)</f>
        <v/>
      </c>
      <c r="I1092" s="3">
        <f>IF(ORIG!I1092=0,"",ORIG!I1092)</f>
        <v/>
      </c>
      <c r="J1092" s="3">
        <f>IF(ORIG!J1092=0,"",ORIG!J1092)</f>
        <v/>
      </c>
      <c r="K1092" s="3">
        <f>IF(ORIG!K1092=0,"",ORIG!K1092)</f>
        <v/>
      </c>
      <c r="L1092" s="3">
        <f>IF(ORIG!L1092=0,"",ORIG!L1092)</f>
        <v/>
      </c>
      <c r="M1092" s="3">
        <f>IF(ORIG!M1092=0,"",ORIG!M1092)</f>
        <v/>
      </c>
      <c r="N1092" s="3">
        <f>IF(ORIG!N1092=0,"",ORIG!N1092)</f>
        <v/>
      </c>
      <c r="O1092" s="3">
        <f>IF(ORIG!O1092=0,"",ORIG!O1092)</f>
        <v/>
      </c>
      <c r="P1092" s="3">
        <f>IF(ORIG!P1092=0,"",ORIG!P1092)</f>
        <v/>
      </c>
      <c r="Q1092" s="3">
        <f>IF(ORIG!Q1092=0,"",ORIG!Q1092)</f>
        <v/>
      </c>
      <c r="R1092" s="3">
        <f>IF(ORIG!R1092=0,"",ORIG!R1092)</f>
        <v/>
      </c>
      <c r="S1092" s="3">
        <f>IF(ORIG!S1092=0,"",ORIG!S1092)</f>
        <v/>
      </c>
      <c r="T1092" s="3">
        <f>IF(ORIG!T1092=0,"",ORIG!T1092)</f>
        <v/>
      </c>
      <c r="U1092" s="3">
        <f>IF(ORIG!U1092=0,"",ORIG!U1092)</f>
        <v/>
      </c>
      <c r="V1092" s="9">
        <f>IF(ORIG!V1092=0,"",ORIG!V1092)</f>
        <v/>
      </c>
      <c r="W1092" s="9">
        <f>IF(ORIG!W1092=0,"",ORIG!W1092)</f>
        <v/>
      </c>
      <c r="X1092" s="9">
        <f>IF(ORIG!X1092=0,"",ORIG!X1092)</f>
        <v/>
      </c>
      <c r="Y1092" s="9">
        <f>IF(ORIG!Y1092=0,"",ORIG!Y1092)</f>
        <v/>
      </c>
      <c r="Z1092" s="3">
        <f>SUMPRODUCT($B1092:$Y1092,$B$2649:$Y$2649)</f>
        <v/>
      </c>
      <c r="AA1092" s="3">
        <f>SUMPRODUCT($B1092:$Y1092,$B$2655:$Y$2655)</f>
        <v/>
      </c>
      <c r="AC1092" s="1">
        <f>A1092</f>
        <v/>
      </c>
      <c r="AD1092">
        <f>IF(ISNUMBER(V1092),V1092*($AB$1/V$2635),"")</f>
        <v/>
      </c>
      <c r="AE1092">
        <f>IF(ISNUMBER(Z1092),Z1092*($AB$1/Z$2635),"")</f>
        <v/>
      </c>
      <c r="AF1092" s="25">
        <f>IF(ISNUMBER(AD1092+AE1092),AD1092+AE1092,"")</f>
        <v/>
      </c>
      <c r="AH1092" s="1">
        <f>A1092</f>
        <v/>
      </c>
      <c r="AI1092">
        <f>IF(ISNUMBER((1+V1092)*AI1091),(1+V1092)*AI1091,AI1091)</f>
        <v/>
      </c>
      <c r="AJ1092">
        <f>IF(ISNUMBER((1+Z1092)*AJ1091),(1+Z1092)*AJ1091,AJ1091)</f>
        <v/>
      </c>
    </row>
    <row r="1093">
      <c r="A1093" s="1" t="n">
        <v>43588</v>
      </c>
      <c r="B1093" s="3">
        <f>IF(ORIG!B1093=0,"",ORIG!B1093)</f>
        <v/>
      </c>
      <c r="C1093" s="3">
        <f>IF(ORIG!C1093=0,"",ORIG!C1093)</f>
        <v/>
      </c>
      <c r="D1093" s="3">
        <f>IF(ORIG!D1093=0,"",ORIG!D1093)</f>
        <v/>
      </c>
      <c r="E1093" s="3">
        <f>IF(ORIG!E1093=0,"",ORIG!E1093)</f>
        <v/>
      </c>
      <c r="F1093" s="3">
        <f>IF(ORIG!F1093=0,"",ORIG!F1093)</f>
        <v/>
      </c>
      <c r="G1093" s="3">
        <f>IF(ORIG!G1093=0,"",ORIG!G1093)</f>
        <v/>
      </c>
      <c r="H1093" s="3">
        <f>IF(ORIG!H1093=0,"",ORIG!H1093)</f>
        <v/>
      </c>
      <c r="I1093" s="3">
        <f>IF(ORIG!I1093=0,"",ORIG!I1093)</f>
        <v/>
      </c>
      <c r="J1093" s="3">
        <f>IF(ORIG!J1093=0,"",ORIG!J1093)</f>
        <v/>
      </c>
      <c r="K1093" s="3">
        <f>IF(ORIG!K1093=0,"",ORIG!K1093)</f>
        <v/>
      </c>
      <c r="L1093" s="3">
        <f>IF(ORIG!L1093=0,"",ORIG!L1093)</f>
        <v/>
      </c>
      <c r="M1093" s="3">
        <f>IF(ORIG!M1093=0,"",ORIG!M1093)</f>
        <v/>
      </c>
      <c r="N1093" s="3">
        <f>IF(ORIG!N1093=0,"",ORIG!N1093)</f>
        <v/>
      </c>
      <c r="O1093" s="3">
        <f>IF(ORIG!O1093=0,"",ORIG!O1093)</f>
        <v/>
      </c>
      <c r="P1093" s="3">
        <f>IF(ORIG!P1093=0,"",ORIG!P1093)</f>
        <v/>
      </c>
      <c r="Q1093" s="3">
        <f>IF(ORIG!Q1093=0,"",ORIG!Q1093)</f>
        <v/>
      </c>
      <c r="R1093" s="3">
        <f>IF(ORIG!R1093=0,"",ORIG!R1093)</f>
        <v/>
      </c>
      <c r="S1093" s="3">
        <f>IF(ORIG!S1093=0,"",ORIG!S1093)</f>
        <v/>
      </c>
      <c r="T1093" s="3">
        <f>IF(ORIG!T1093=0,"",ORIG!T1093)</f>
        <v/>
      </c>
      <c r="U1093" s="3">
        <f>IF(ORIG!U1093=0,"",ORIG!U1093)</f>
        <v/>
      </c>
      <c r="V1093" s="9">
        <f>IF(ORIG!V1093=0,"",ORIG!V1093)</f>
        <v/>
      </c>
      <c r="W1093" s="9">
        <f>IF(ORIG!W1093=0,"",ORIG!W1093)</f>
        <v/>
      </c>
      <c r="X1093" s="9">
        <f>IF(ORIG!X1093=0,"",ORIG!X1093)</f>
        <v/>
      </c>
      <c r="Y1093" s="9">
        <f>IF(ORIG!Y1093=0,"",ORIG!Y1093)</f>
        <v/>
      </c>
      <c r="Z1093" s="3">
        <f>SUMPRODUCT($B1093:$Y1093,$B$2649:$Y$2649)</f>
        <v/>
      </c>
      <c r="AA1093" s="3">
        <f>SUMPRODUCT($B1093:$Y1093,$B$2655:$Y$2655)</f>
        <v/>
      </c>
      <c r="AC1093" s="1">
        <f>A1093</f>
        <v/>
      </c>
      <c r="AD1093">
        <f>IF(ISNUMBER(V1093),V1093*($AB$1/V$2635),"")</f>
        <v/>
      </c>
      <c r="AE1093">
        <f>IF(ISNUMBER(Z1093),Z1093*($AB$1/Z$2635),"")</f>
        <v/>
      </c>
      <c r="AF1093" s="25">
        <f>IF(ISNUMBER(AD1093+AE1093),AD1093+AE1093,"")</f>
        <v/>
      </c>
      <c r="AH1093" s="1">
        <f>A1093</f>
        <v/>
      </c>
      <c r="AI1093">
        <f>IF(ISNUMBER((1+V1093)*AI1092),(1+V1093)*AI1092,AI1092)</f>
        <v/>
      </c>
      <c r="AJ1093">
        <f>IF(ISNUMBER((1+Z1093)*AJ1092),(1+Z1093)*AJ1092,AJ1092)</f>
        <v/>
      </c>
    </row>
    <row r="1094">
      <c r="A1094" s="1" t="n">
        <v>43591</v>
      </c>
      <c r="B1094" s="3">
        <f>IF(ORIG!B1094=0,"",ORIG!B1094)</f>
        <v/>
      </c>
      <c r="C1094" s="3">
        <f>IF(ORIG!C1094=0,"",ORIG!C1094)</f>
        <v/>
      </c>
      <c r="D1094" s="3">
        <f>IF(ORIG!D1094=0,"",ORIG!D1094)</f>
        <v/>
      </c>
      <c r="E1094" s="3">
        <f>IF(ORIG!E1094=0,"",ORIG!E1094)</f>
        <v/>
      </c>
      <c r="F1094" s="3">
        <f>IF(ORIG!F1094=0,"",ORIG!F1094)</f>
        <v/>
      </c>
      <c r="G1094" s="3">
        <f>IF(ORIG!G1094=0,"",ORIG!G1094)</f>
        <v/>
      </c>
      <c r="H1094" s="3">
        <f>IF(ORIG!H1094=0,"",ORIG!H1094)</f>
        <v/>
      </c>
      <c r="I1094" s="3">
        <f>IF(ORIG!I1094=0,"",ORIG!I1094)</f>
        <v/>
      </c>
      <c r="J1094" s="3">
        <f>IF(ORIG!J1094=0,"",ORIG!J1094)</f>
        <v/>
      </c>
      <c r="K1094" s="3">
        <f>IF(ORIG!K1094=0,"",ORIG!K1094)</f>
        <v/>
      </c>
      <c r="L1094" s="3">
        <f>IF(ORIG!L1094=0,"",ORIG!L1094)</f>
        <v/>
      </c>
      <c r="M1094" s="3">
        <f>IF(ORIG!M1094=0,"",ORIG!M1094)</f>
        <v/>
      </c>
      <c r="N1094" s="3">
        <f>IF(ORIG!N1094=0,"",ORIG!N1094)</f>
        <v/>
      </c>
      <c r="O1094" s="3">
        <f>IF(ORIG!O1094=0,"",ORIG!O1094)</f>
        <v/>
      </c>
      <c r="P1094" s="3">
        <f>IF(ORIG!P1094=0,"",ORIG!P1094)</f>
        <v/>
      </c>
      <c r="Q1094" s="3">
        <f>IF(ORIG!Q1094=0,"",ORIG!Q1094)</f>
        <v/>
      </c>
      <c r="R1094" s="3">
        <f>IF(ORIG!R1094=0,"",ORIG!R1094)</f>
        <v/>
      </c>
      <c r="S1094" s="3">
        <f>IF(ORIG!S1094=0,"",ORIG!S1094)</f>
        <v/>
      </c>
      <c r="T1094" s="3">
        <f>IF(ORIG!T1094=0,"",ORIG!T1094)</f>
        <v/>
      </c>
      <c r="U1094" s="3">
        <f>IF(ORIG!U1094=0,"",ORIG!U1094)</f>
        <v/>
      </c>
      <c r="V1094" s="9">
        <f>IF(ORIG!V1094=0,"",ORIG!V1094)</f>
        <v/>
      </c>
      <c r="W1094" s="9">
        <f>IF(ORIG!W1094=0,"",ORIG!W1094)</f>
        <v/>
      </c>
      <c r="X1094" s="9">
        <f>IF(ORIG!X1094=0,"",ORIG!X1094)</f>
        <v/>
      </c>
      <c r="Y1094" s="9">
        <f>IF(ORIG!Y1094=0,"",ORIG!Y1094)</f>
        <v/>
      </c>
      <c r="Z1094" s="3">
        <f>SUMPRODUCT($B1094:$Y1094,$B$2649:$Y$2649)</f>
        <v/>
      </c>
      <c r="AA1094" s="3">
        <f>SUMPRODUCT($B1094:$Y1094,$B$2655:$Y$2655)</f>
        <v/>
      </c>
      <c r="AC1094" s="1">
        <f>A1094</f>
        <v/>
      </c>
      <c r="AD1094">
        <f>IF(ISNUMBER(V1094),V1094*($AB$1/V$2635),"")</f>
        <v/>
      </c>
      <c r="AE1094">
        <f>IF(ISNUMBER(Z1094),Z1094*($AB$1/Z$2635),"")</f>
        <v/>
      </c>
      <c r="AF1094" s="25">
        <f>IF(ISNUMBER(AD1094+AE1094),AD1094+AE1094,"")</f>
        <v/>
      </c>
      <c r="AH1094" s="1">
        <f>A1094</f>
        <v/>
      </c>
      <c r="AI1094">
        <f>IF(ISNUMBER((1+V1094)*AI1093),(1+V1094)*AI1093,AI1093)</f>
        <v/>
      </c>
      <c r="AJ1094">
        <f>IF(ISNUMBER((1+Z1094)*AJ1093),(1+Z1094)*AJ1093,AJ1093)</f>
        <v/>
      </c>
    </row>
    <row r="1095">
      <c r="A1095" s="1" t="n">
        <v>43592</v>
      </c>
      <c r="B1095" s="3">
        <f>IF(ORIG!B1095=0,"",ORIG!B1095)</f>
        <v/>
      </c>
      <c r="C1095" s="3">
        <f>IF(ORIG!C1095=0,"",ORIG!C1095)</f>
        <v/>
      </c>
      <c r="D1095" s="3">
        <f>IF(ORIG!D1095=0,"",ORIG!D1095)</f>
        <v/>
      </c>
      <c r="E1095" s="3">
        <f>IF(ORIG!E1095=0,"",ORIG!E1095)</f>
        <v/>
      </c>
      <c r="F1095" s="3">
        <f>IF(ORIG!F1095=0,"",ORIG!F1095)</f>
        <v/>
      </c>
      <c r="G1095" s="3">
        <f>IF(ORIG!G1095=0,"",ORIG!G1095)</f>
        <v/>
      </c>
      <c r="H1095" s="3">
        <f>IF(ORIG!H1095=0,"",ORIG!H1095)</f>
        <v/>
      </c>
      <c r="I1095" s="3">
        <f>IF(ORIG!I1095=0,"",ORIG!I1095)</f>
        <v/>
      </c>
      <c r="J1095" s="3">
        <f>IF(ORIG!J1095=0,"",ORIG!J1095)</f>
        <v/>
      </c>
      <c r="K1095" s="3">
        <f>IF(ORIG!K1095=0,"",ORIG!K1095)</f>
        <v/>
      </c>
      <c r="L1095" s="3">
        <f>IF(ORIG!L1095=0,"",ORIG!L1095)</f>
        <v/>
      </c>
      <c r="M1095" s="3">
        <f>IF(ORIG!M1095=0,"",ORIG!M1095)</f>
        <v/>
      </c>
      <c r="N1095" s="3">
        <f>IF(ORIG!N1095=0,"",ORIG!N1095)</f>
        <v/>
      </c>
      <c r="O1095" s="3">
        <f>IF(ORIG!O1095=0,"",ORIG!O1095)</f>
        <v/>
      </c>
      <c r="P1095" s="3">
        <f>IF(ORIG!P1095=0,"",ORIG!P1095)</f>
        <v/>
      </c>
      <c r="Q1095" s="3">
        <f>IF(ORIG!Q1095=0,"",ORIG!Q1095)</f>
        <v/>
      </c>
      <c r="R1095" s="3">
        <f>IF(ORIG!R1095=0,"",ORIG!R1095)</f>
        <v/>
      </c>
      <c r="S1095" s="3">
        <f>IF(ORIG!S1095=0,"",ORIG!S1095)</f>
        <v/>
      </c>
      <c r="T1095" s="3">
        <f>IF(ORIG!T1095=0,"",ORIG!T1095)</f>
        <v/>
      </c>
      <c r="U1095" s="3">
        <f>IF(ORIG!U1095=0,"",ORIG!U1095)</f>
        <v/>
      </c>
      <c r="V1095" s="9">
        <f>IF(ORIG!V1095=0,"",ORIG!V1095)</f>
        <v/>
      </c>
      <c r="W1095" s="9">
        <f>IF(ORIG!W1095=0,"",ORIG!W1095)</f>
        <v/>
      </c>
      <c r="X1095" s="9">
        <f>IF(ORIG!X1095=0,"",ORIG!X1095)</f>
        <v/>
      </c>
      <c r="Y1095" s="9">
        <f>IF(ORIG!Y1095=0,"",ORIG!Y1095)</f>
        <v/>
      </c>
      <c r="Z1095" s="3">
        <f>SUMPRODUCT($B1095:$Y1095,$B$2649:$Y$2649)</f>
        <v/>
      </c>
      <c r="AA1095" s="3">
        <f>SUMPRODUCT($B1095:$Y1095,$B$2655:$Y$2655)</f>
        <v/>
      </c>
      <c r="AC1095" s="1">
        <f>A1095</f>
        <v/>
      </c>
      <c r="AD1095">
        <f>IF(ISNUMBER(V1095),V1095*($AB$1/V$2635),"")</f>
        <v/>
      </c>
      <c r="AE1095">
        <f>IF(ISNUMBER(Z1095),Z1095*($AB$1/Z$2635),"")</f>
        <v/>
      </c>
      <c r="AF1095" s="25">
        <f>IF(ISNUMBER(AD1095+AE1095),AD1095+AE1095,"")</f>
        <v/>
      </c>
      <c r="AH1095" s="1">
        <f>A1095</f>
        <v/>
      </c>
      <c r="AI1095">
        <f>IF(ISNUMBER((1+V1095)*AI1094),(1+V1095)*AI1094,AI1094)</f>
        <v/>
      </c>
      <c r="AJ1095">
        <f>IF(ISNUMBER((1+Z1095)*AJ1094),(1+Z1095)*AJ1094,AJ1094)</f>
        <v/>
      </c>
    </row>
    <row r="1096">
      <c r="A1096" s="1" t="n">
        <v>43593</v>
      </c>
      <c r="B1096" s="3">
        <f>IF(ORIG!B1096=0,"",ORIG!B1096)</f>
        <v/>
      </c>
      <c r="C1096" s="3">
        <f>IF(ORIG!C1096=0,"",ORIG!C1096)</f>
        <v/>
      </c>
      <c r="D1096" s="3">
        <f>IF(ORIG!D1096=0,"",ORIG!D1096)</f>
        <v/>
      </c>
      <c r="E1096" s="3">
        <f>IF(ORIG!E1096=0,"",ORIG!E1096)</f>
        <v/>
      </c>
      <c r="F1096" s="3">
        <f>IF(ORIG!F1096=0,"",ORIG!F1096)</f>
        <v/>
      </c>
      <c r="G1096" s="3">
        <f>IF(ORIG!G1096=0,"",ORIG!G1096)</f>
        <v/>
      </c>
      <c r="H1096" s="3">
        <f>IF(ORIG!H1096=0,"",ORIG!H1096)</f>
        <v/>
      </c>
      <c r="I1096" s="3">
        <f>IF(ORIG!I1096=0,"",ORIG!I1096)</f>
        <v/>
      </c>
      <c r="J1096" s="3">
        <f>IF(ORIG!J1096=0,"",ORIG!J1096)</f>
        <v/>
      </c>
      <c r="K1096" s="3">
        <f>IF(ORIG!K1096=0,"",ORIG!K1096)</f>
        <v/>
      </c>
      <c r="L1096" s="3">
        <f>IF(ORIG!L1096=0,"",ORIG!L1096)</f>
        <v/>
      </c>
      <c r="M1096" s="3">
        <f>IF(ORIG!M1096=0,"",ORIG!M1096)</f>
        <v/>
      </c>
      <c r="N1096" s="3">
        <f>IF(ORIG!N1096=0,"",ORIG!N1096)</f>
        <v/>
      </c>
      <c r="O1096" s="3">
        <f>IF(ORIG!O1096=0,"",ORIG!O1096)</f>
        <v/>
      </c>
      <c r="P1096" s="3">
        <f>IF(ORIG!P1096=0,"",ORIG!P1096)</f>
        <v/>
      </c>
      <c r="Q1096" s="3">
        <f>IF(ORIG!Q1096=0,"",ORIG!Q1096)</f>
        <v/>
      </c>
      <c r="R1096" s="3">
        <f>IF(ORIG!R1096=0,"",ORIG!R1096)</f>
        <v/>
      </c>
      <c r="S1096" s="3">
        <f>IF(ORIG!S1096=0,"",ORIG!S1096)</f>
        <v/>
      </c>
      <c r="T1096" s="3">
        <f>IF(ORIG!T1096=0,"",ORIG!T1096)</f>
        <v/>
      </c>
      <c r="U1096" s="3">
        <f>IF(ORIG!U1096=0,"",ORIG!U1096)</f>
        <v/>
      </c>
      <c r="V1096" s="9">
        <f>IF(ORIG!V1096=0,"",ORIG!V1096)</f>
        <v/>
      </c>
      <c r="W1096" s="9">
        <f>IF(ORIG!W1096=0,"",ORIG!W1096)</f>
        <v/>
      </c>
      <c r="X1096" s="9">
        <f>IF(ORIG!X1096=0,"",ORIG!X1096)</f>
        <v/>
      </c>
      <c r="Y1096" s="9">
        <f>IF(ORIG!Y1096=0,"",ORIG!Y1096)</f>
        <v/>
      </c>
      <c r="Z1096" s="3">
        <f>SUMPRODUCT($B1096:$Y1096,$B$2649:$Y$2649)</f>
        <v/>
      </c>
      <c r="AA1096" s="3">
        <f>SUMPRODUCT($B1096:$Y1096,$B$2655:$Y$2655)</f>
        <v/>
      </c>
      <c r="AC1096" s="1">
        <f>A1096</f>
        <v/>
      </c>
      <c r="AD1096">
        <f>IF(ISNUMBER(V1096),V1096*($AB$1/V$2635),"")</f>
        <v/>
      </c>
      <c r="AE1096">
        <f>IF(ISNUMBER(Z1096),Z1096*($AB$1/Z$2635),"")</f>
        <v/>
      </c>
      <c r="AF1096" s="25">
        <f>IF(ISNUMBER(AD1096+AE1096),AD1096+AE1096,"")</f>
        <v/>
      </c>
      <c r="AH1096" s="1">
        <f>A1096</f>
        <v/>
      </c>
      <c r="AI1096">
        <f>IF(ISNUMBER((1+V1096)*AI1095),(1+V1096)*AI1095,AI1095)</f>
        <v/>
      </c>
      <c r="AJ1096">
        <f>IF(ISNUMBER((1+Z1096)*AJ1095),(1+Z1096)*AJ1095,AJ1095)</f>
        <v/>
      </c>
    </row>
    <row r="1097">
      <c r="A1097" s="1" t="n">
        <v>43594</v>
      </c>
      <c r="B1097" s="3">
        <f>IF(ORIG!B1097=0,"",ORIG!B1097)</f>
        <v/>
      </c>
      <c r="C1097" s="3">
        <f>IF(ORIG!C1097=0,"",ORIG!C1097)</f>
        <v/>
      </c>
      <c r="D1097" s="3">
        <f>IF(ORIG!D1097=0,"",ORIG!D1097)</f>
        <v/>
      </c>
      <c r="E1097" s="3">
        <f>IF(ORIG!E1097=0,"",ORIG!E1097)</f>
        <v/>
      </c>
      <c r="F1097" s="3">
        <f>IF(ORIG!F1097=0,"",ORIG!F1097)</f>
        <v/>
      </c>
      <c r="G1097" s="3">
        <f>IF(ORIG!G1097=0,"",ORIG!G1097)</f>
        <v/>
      </c>
      <c r="H1097" s="3">
        <f>IF(ORIG!H1097=0,"",ORIG!H1097)</f>
        <v/>
      </c>
      <c r="I1097" s="3">
        <f>IF(ORIG!I1097=0,"",ORIG!I1097)</f>
        <v/>
      </c>
      <c r="J1097" s="3">
        <f>IF(ORIG!J1097=0,"",ORIG!J1097)</f>
        <v/>
      </c>
      <c r="K1097" s="3">
        <f>IF(ORIG!K1097=0,"",ORIG!K1097)</f>
        <v/>
      </c>
      <c r="L1097" s="3">
        <f>IF(ORIG!L1097=0,"",ORIG!L1097)</f>
        <v/>
      </c>
      <c r="M1097" s="3">
        <f>IF(ORIG!M1097=0,"",ORIG!M1097)</f>
        <v/>
      </c>
      <c r="N1097" s="3">
        <f>IF(ORIG!N1097=0,"",ORIG!N1097)</f>
        <v/>
      </c>
      <c r="O1097" s="3">
        <f>IF(ORIG!O1097=0,"",ORIG!O1097)</f>
        <v/>
      </c>
      <c r="P1097" s="3">
        <f>IF(ORIG!P1097=0,"",ORIG!P1097)</f>
        <v/>
      </c>
      <c r="Q1097" s="3">
        <f>IF(ORIG!Q1097=0,"",ORIG!Q1097)</f>
        <v/>
      </c>
      <c r="R1097" s="3">
        <f>IF(ORIG!R1097=0,"",ORIG!R1097)</f>
        <v/>
      </c>
      <c r="S1097" s="3">
        <f>IF(ORIG!S1097=0,"",ORIG!S1097)</f>
        <v/>
      </c>
      <c r="T1097" s="3">
        <f>IF(ORIG!T1097=0,"",ORIG!T1097)</f>
        <v/>
      </c>
      <c r="U1097" s="3">
        <f>IF(ORIG!U1097=0,"",ORIG!U1097)</f>
        <v/>
      </c>
      <c r="V1097" s="9">
        <f>IF(ORIG!V1097=0,"",ORIG!V1097)</f>
        <v/>
      </c>
      <c r="W1097" s="9">
        <f>IF(ORIG!W1097=0,"",ORIG!W1097)</f>
        <v/>
      </c>
      <c r="X1097" s="9">
        <f>IF(ORIG!X1097=0,"",ORIG!X1097)</f>
        <v/>
      </c>
      <c r="Y1097" s="9">
        <f>IF(ORIG!Y1097=0,"",ORIG!Y1097)</f>
        <v/>
      </c>
      <c r="Z1097" s="3">
        <f>SUMPRODUCT($B1097:$Y1097,$B$2649:$Y$2649)</f>
        <v/>
      </c>
      <c r="AA1097" s="3">
        <f>SUMPRODUCT($B1097:$Y1097,$B$2655:$Y$2655)</f>
        <v/>
      </c>
      <c r="AC1097" s="1">
        <f>A1097</f>
        <v/>
      </c>
      <c r="AD1097">
        <f>IF(ISNUMBER(V1097),V1097*($AB$1/V$2635),"")</f>
        <v/>
      </c>
      <c r="AE1097">
        <f>IF(ISNUMBER(Z1097),Z1097*($AB$1/Z$2635),"")</f>
        <v/>
      </c>
      <c r="AF1097" s="25">
        <f>IF(ISNUMBER(AD1097+AE1097),AD1097+AE1097,"")</f>
        <v/>
      </c>
      <c r="AH1097" s="1">
        <f>A1097</f>
        <v/>
      </c>
      <c r="AI1097">
        <f>IF(ISNUMBER((1+V1097)*AI1096),(1+V1097)*AI1096,AI1096)</f>
        <v/>
      </c>
      <c r="AJ1097">
        <f>IF(ISNUMBER((1+Z1097)*AJ1096),(1+Z1097)*AJ1096,AJ1096)</f>
        <v/>
      </c>
    </row>
    <row r="1098">
      <c r="A1098" s="1" t="n">
        <v>43595</v>
      </c>
      <c r="B1098" s="3">
        <f>IF(ORIG!B1098=0,"",ORIG!B1098)</f>
        <v/>
      </c>
      <c r="C1098" s="3">
        <f>IF(ORIG!C1098=0,"",ORIG!C1098)</f>
        <v/>
      </c>
      <c r="D1098" s="3">
        <f>IF(ORIG!D1098=0,"",ORIG!D1098)</f>
        <v/>
      </c>
      <c r="E1098" s="3">
        <f>IF(ORIG!E1098=0,"",ORIG!E1098)</f>
        <v/>
      </c>
      <c r="F1098" s="3">
        <f>IF(ORIG!F1098=0,"",ORIG!F1098)</f>
        <v/>
      </c>
      <c r="G1098" s="3">
        <f>IF(ORIG!G1098=0,"",ORIG!G1098)</f>
        <v/>
      </c>
      <c r="H1098" s="3">
        <f>IF(ORIG!H1098=0,"",ORIG!H1098)</f>
        <v/>
      </c>
      <c r="I1098" s="3">
        <f>IF(ORIG!I1098=0,"",ORIG!I1098)</f>
        <v/>
      </c>
      <c r="J1098" s="3">
        <f>IF(ORIG!J1098=0,"",ORIG!J1098)</f>
        <v/>
      </c>
      <c r="K1098" s="3">
        <f>IF(ORIG!K1098=0,"",ORIG!K1098)</f>
        <v/>
      </c>
      <c r="L1098" s="3">
        <f>IF(ORIG!L1098=0,"",ORIG!L1098)</f>
        <v/>
      </c>
      <c r="M1098" s="3">
        <f>IF(ORIG!M1098=0,"",ORIG!M1098)</f>
        <v/>
      </c>
      <c r="N1098" s="3">
        <f>IF(ORIG!N1098=0,"",ORIG!N1098)</f>
        <v/>
      </c>
      <c r="O1098" s="3">
        <f>IF(ORIG!O1098=0,"",ORIG!O1098)</f>
        <v/>
      </c>
      <c r="P1098" s="3">
        <f>IF(ORIG!P1098=0,"",ORIG!P1098)</f>
        <v/>
      </c>
      <c r="Q1098" s="3">
        <f>IF(ORIG!Q1098=0,"",ORIG!Q1098)</f>
        <v/>
      </c>
      <c r="R1098" s="3">
        <f>IF(ORIG!R1098=0,"",ORIG!R1098)</f>
        <v/>
      </c>
      <c r="S1098" s="3">
        <f>IF(ORIG!S1098=0,"",ORIG!S1098)</f>
        <v/>
      </c>
      <c r="T1098" s="3">
        <f>IF(ORIG!T1098=0,"",ORIG!T1098)</f>
        <v/>
      </c>
      <c r="U1098" s="3">
        <f>IF(ORIG!U1098=0,"",ORIG!U1098)</f>
        <v/>
      </c>
      <c r="V1098" s="9">
        <f>IF(ORIG!V1098=0,"",ORIG!V1098)</f>
        <v/>
      </c>
      <c r="W1098" s="9">
        <f>IF(ORIG!W1098=0,"",ORIG!W1098)</f>
        <v/>
      </c>
      <c r="X1098" s="9">
        <f>IF(ORIG!X1098=0,"",ORIG!X1098)</f>
        <v/>
      </c>
      <c r="Y1098" s="9">
        <f>IF(ORIG!Y1098=0,"",ORIG!Y1098)</f>
        <v/>
      </c>
      <c r="Z1098" s="3">
        <f>SUMPRODUCT($B1098:$Y1098,$B$2649:$Y$2649)</f>
        <v/>
      </c>
      <c r="AA1098" s="3">
        <f>SUMPRODUCT($B1098:$Y1098,$B$2655:$Y$2655)</f>
        <v/>
      </c>
      <c r="AC1098" s="1">
        <f>A1098</f>
        <v/>
      </c>
      <c r="AD1098">
        <f>IF(ISNUMBER(V1098),V1098*($AB$1/V$2635),"")</f>
        <v/>
      </c>
      <c r="AE1098">
        <f>IF(ISNUMBER(Z1098),Z1098*($AB$1/Z$2635),"")</f>
        <v/>
      </c>
      <c r="AF1098" s="25">
        <f>IF(ISNUMBER(AD1098+AE1098),AD1098+AE1098,"")</f>
        <v/>
      </c>
      <c r="AH1098" s="1">
        <f>A1098</f>
        <v/>
      </c>
      <c r="AI1098">
        <f>IF(ISNUMBER((1+V1098)*AI1097),(1+V1098)*AI1097,AI1097)</f>
        <v/>
      </c>
      <c r="AJ1098">
        <f>IF(ISNUMBER((1+Z1098)*AJ1097),(1+Z1098)*AJ1097,AJ1097)</f>
        <v/>
      </c>
    </row>
    <row r="1099">
      <c r="A1099" s="1" t="n">
        <v>43598</v>
      </c>
      <c r="B1099" s="3">
        <f>IF(ORIG!B1099=0,"",ORIG!B1099)</f>
        <v/>
      </c>
      <c r="C1099" s="3">
        <f>IF(ORIG!C1099=0,"",ORIG!C1099)</f>
        <v/>
      </c>
      <c r="D1099" s="3">
        <f>IF(ORIG!D1099=0,"",ORIG!D1099)</f>
        <v/>
      </c>
      <c r="E1099" s="3">
        <f>IF(ORIG!E1099=0,"",ORIG!E1099)</f>
        <v/>
      </c>
      <c r="F1099" s="3">
        <f>IF(ORIG!F1099=0,"",ORIG!F1099)</f>
        <v/>
      </c>
      <c r="G1099" s="3">
        <f>IF(ORIG!G1099=0,"",ORIG!G1099)</f>
        <v/>
      </c>
      <c r="H1099" s="3">
        <f>IF(ORIG!H1099=0,"",ORIG!H1099)</f>
        <v/>
      </c>
      <c r="I1099" s="3">
        <f>IF(ORIG!I1099=0,"",ORIG!I1099)</f>
        <v/>
      </c>
      <c r="J1099" s="3">
        <f>IF(ORIG!J1099=0,"",ORIG!J1099)</f>
        <v/>
      </c>
      <c r="K1099" s="3">
        <f>IF(ORIG!K1099=0,"",ORIG!K1099)</f>
        <v/>
      </c>
      <c r="L1099" s="3">
        <f>IF(ORIG!L1099=0,"",ORIG!L1099)</f>
        <v/>
      </c>
      <c r="M1099" s="3">
        <f>IF(ORIG!M1099=0,"",ORIG!M1099)</f>
        <v/>
      </c>
      <c r="N1099" s="3">
        <f>IF(ORIG!N1099=0,"",ORIG!N1099)</f>
        <v/>
      </c>
      <c r="O1099" s="3">
        <f>IF(ORIG!O1099=0,"",ORIG!O1099)</f>
        <v/>
      </c>
      <c r="P1099" s="3">
        <f>IF(ORIG!P1099=0,"",ORIG!P1099)</f>
        <v/>
      </c>
      <c r="Q1099" s="3">
        <f>IF(ORIG!Q1099=0,"",ORIG!Q1099)</f>
        <v/>
      </c>
      <c r="R1099" s="3">
        <f>IF(ORIG!R1099=0,"",ORIG!R1099)</f>
        <v/>
      </c>
      <c r="S1099" s="3">
        <f>IF(ORIG!S1099=0,"",ORIG!S1099)</f>
        <v/>
      </c>
      <c r="T1099" s="3">
        <f>IF(ORIG!T1099=0,"",ORIG!T1099)</f>
        <v/>
      </c>
      <c r="U1099" s="3">
        <f>IF(ORIG!U1099=0,"",ORIG!U1099)</f>
        <v/>
      </c>
      <c r="V1099" s="9">
        <f>IF(ORIG!V1099=0,"",ORIG!V1099)</f>
        <v/>
      </c>
      <c r="W1099" s="9">
        <f>IF(ORIG!W1099=0,"",ORIG!W1099)</f>
        <v/>
      </c>
      <c r="X1099" s="9">
        <f>IF(ORIG!X1099=0,"",ORIG!X1099)</f>
        <v/>
      </c>
      <c r="Y1099" s="9">
        <f>IF(ORIG!Y1099=0,"",ORIG!Y1099)</f>
        <v/>
      </c>
      <c r="Z1099" s="3">
        <f>SUMPRODUCT($B1099:$Y1099,$B$2649:$Y$2649)</f>
        <v/>
      </c>
      <c r="AA1099" s="3">
        <f>SUMPRODUCT($B1099:$Y1099,$B$2655:$Y$2655)</f>
        <v/>
      </c>
      <c r="AC1099" s="1">
        <f>A1099</f>
        <v/>
      </c>
      <c r="AD1099">
        <f>IF(ISNUMBER(V1099),V1099*($AB$1/V$2635),"")</f>
        <v/>
      </c>
      <c r="AE1099">
        <f>IF(ISNUMBER(Z1099),Z1099*($AB$1/Z$2635),"")</f>
        <v/>
      </c>
      <c r="AF1099" s="25">
        <f>IF(ISNUMBER(AD1099+AE1099),AD1099+AE1099,"")</f>
        <v/>
      </c>
      <c r="AH1099" s="1">
        <f>A1099</f>
        <v/>
      </c>
      <c r="AI1099">
        <f>IF(ISNUMBER((1+V1099)*AI1098),(1+V1099)*AI1098,AI1098)</f>
        <v/>
      </c>
      <c r="AJ1099">
        <f>IF(ISNUMBER((1+Z1099)*AJ1098),(1+Z1099)*AJ1098,AJ1098)</f>
        <v/>
      </c>
    </row>
    <row r="1100">
      <c r="A1100" s="1" t="n">
        <v>43599</v>
      </c>
      <c r="B1100" s="3">
        <f>IF(ORIG!B1100=0,"",ORIG!B1100)</f>
        <v/>
      </c>
      <c r="C1100" s="3">
        <f>IF(ORIG!C1100=0,"",ORIG!C1100)</f>
        <v/>
      </c>
      <c r="D1100" s="3">
        <f>IF(ORIG!D1100=0,"",ORIG!D1100)</f>
        <v/>
      </c>
      <c r="E1100" s="3">
        <f>IF(ORIG!E1100=0,"",ORIG!E1100)</f>
        <v/>
      </c>
      <c r="F1100" s="3">
        <f>IF(ORIG!F1100=0,"",ORIG!F1100)</f>
        <v/>
      </c>
      <c r="G1100" s="3">
        <f>IF(ORIG!G1100=0,"",ORIG!G1100)</f>
        <v/>
      </c>
      <c r="H1100" s="3">
        <f>IF(ORIG!H1100=0,"",ORIG!H1100)</f>
        <v/>
      </c>
      <c r="I1100" s="3">
        <f>IF(ORIG!I1100=0,"",ORIG!I1100)</f>
        <v/>
      </c>
      <c r="J1100" s="3">
        <f>IF(ORIG!J1100=0,"",ORIG!J1100)</f>
        <v/>
      </c>
      <c r="K1100" s="3">
        <f>IF(ORIG!K1100=0,"",ORIG!K1100)</f>
        <v/>
      </c>
      <c r="L1100" s="3">
        <f>IF(ORIG!L1100=0,"",ORIG!L1100)</f>
        <v/>
      </c>
      <c r="M1100" s="3">
        <f>IF(ORIG!M1100=0,"",ORIG!M1100)</f>
        <v/>
      </c>
      <c r="N1100" s="3">
        <f>IF(ORIG!N1100=0,"",ORIG!N1100)</f>
        <v/>
      </c>
      <c r="O1100" s="3">
        <f>IF(ORIG!O1100=0,"",ORIG!O1100)</f>
        <v/>
      </c>
      <c r="P1100" s="3">
        <f>IF(ORIG!P1100=0,"",ORIG!P1100)</f>
        <v/>
      </c>
      <c r="Q1100" s="3">
        <f>IF(ORIG!Q1100=0,"",ORIG!Q1100)</f>
        <v/>
      </c>
      <c r="R1100" s="3">
        <f>IF(ORIG!R1100=0,"",ORIG!R1100)</f>
        <v/>
      </c>
      <c r="S1100" s="3">
        <f>IF(ORIG!S1100=0,"",ORIG!S1100)</f>
        <v/>
      </c>
      <c r="T1100" s="3">
        <f>IF(ORIG!T1100=0,"",ORIG!T1100)</f>
        <v/>
      </c>
      <c r="U1100" s="3">
        <f>IF(ORIG!U1100=0,"",ORIG!U1100)</f>
        <v/>
      </c>
      <c r="V1100" s="9">
        <f>IF(ORIG!V1100=0,"",ORIG!V1100)</f>
        <v/>
      </c>
      <c r="W1100" s="9">
        <f>IF(ORIG!W1100=0,"",ORIG!W1100)</f>
        <v/>
      </c>
      <c r="X1100" s="9">
        <f>IF(ORIG!X1100=0,"",ORIG!X1100)</f>
        <v/>
      </c>
      <c r="Y1100" s="9">
        <f>IF(ORIG!Y1100=0,"",ORIG!Y1100)</f>
        <v/>
      </c>
      <c r="Z1100" s="3">
        <f>SUMPRODUCT($B1100:$Y1100,$B$2649:$Y$2649)</f>
        <v/>
      </c>
      <c r="AA1100" s="3">
        <f>SUMPRODUCT($B1100:$Y1100,$B$2655:$Y$2655)</f>
        <v/>
      </c>
      <c r="AC1100" s="1">
        <f>A1100</f>
        <v/>
      </c>
      <c r="AD1100">
        <f>IF(ISNUMBER(V1100),V1100*($AB$1/V$2635),"")</f>
        <v/>
      </c>
      <c r="AE1100">
        <f>IF(ISNUMBER(Z1100),Z1100*($AB$1/Z$2635),"")</f>
        <v/>
      </c>
      <c r="AF1100" s="25">
        <f>IF(ISNUMBER(AD1100+AE1100),AD1100+AE1100,"")</f>
        <v/>
      </c>
      <c r="AH1100" s="1">
        <f>A1100</f>
        <v/>
      </c>
      <c r="AI1100">
        <f>IF(ISNUMBER((1+V1100)*AI1099),(1+V1100)*AI1099,AI1099)</f>
        <v/>
      </c>
      <c r="AJ1100">
        <f>IF(ISNUMBER((1+Z1100)*AJ1099),(1+Z1100)*AJ1099,AJ1099)</f>
        <v/>
      </c>
    </row>
    <row r="1101">
      <c r="A1101" s="1" t="n">
        <v>43600</v>
      </c>
      <c r="B1101" s="3">
        <f>IF(ORIG!B1101=0,"",ORIG!B1101)</f>
        <v/>
      </c>
      <c r="C1101" s="3">
        <f>IF(ORIG!C1101=0,"",ORIG!C1101)</f>
        <v/>
      </c>
      <c r="D1101" s="3">
        <f>IF(ORIG!D1101=0,"",ORIG!D1101)</f>
        <v/>
      </c>
      <c r="E1101" s="3">
        <f>IF(ORIG!E1101=0,"",ORIG!E1101)</f>
        <v/>
      </c>
      <c r="F1101" s="3">
        <f>IF(ORIG!F1101=0,"",ORIG!F1101)</f>
        <v/>
      </c>
      <c r="G1101" s="3">
        <f>IF(ORIG!G1101=0,"",ORIG!G1101)</f>
        <v/>
      </c>
      <c r="H1101" s="3">
        <f>IF(ORIG!H1101=0,"",ORIG!H1101)</f>
        <v/>
      </c>
      <c r="I1101" s="3">
        <f>IF(ORIG!I1101=0,"",ORIG!I1101)</f>
        <v/>
      </c>
      <c r="J1101" s="3">
        <f>IF(ORIG!J1101=0,"",ORIG!J1101)</f>
        <v/>
      </c>
      <c r="K1101" s="3">
        <f>IF(ORIG!K1101=0,"",ORIG!K1101)</f>
        <v/>
      </c>
      <c r="L1101" s="3">
        <f>IF(ORIG!L1101=0,"",ORIG!L1101)</f>
        <v/>
      </c>
      <c r="M1101" s="3">
        <f>IF(ORIG!M1101=0,"",ORIG!M1101)</f>
        <v/>
      </c>
      <c r="N1101" s="3">
        <f>IF(ORIG!N1101=0,"",ORIG!N1101)</f>
        <v/>
      </c>
      <c r="O1101" s="3">
        <f>IF(ORIG!O1101=0,"",ORIG!O1101)</f>
        <v/>
      </c>
      <c r="P1101" s="3">
        <f>IF(ORIG!P1101=0,"",ORIG!P1101)</f>
        <v/>
      </c>
      <c r="Q1101" s="3">
        <f>IF(ORIG!Q1101=0,"",ORIG!Q1101)</f>
        <v/>
      </c>
      <c r="R1101" s="3">
        <f>IF(ORIG!R1101=0,"",ORIG!R1101)</f>
        <v/>
      </c>
      <c r="S1101" s="3">
        <f>IF(ORIG!S1101=0,"",ORIG!S1101)</f>
        <v/>
      </c>
      <c r="T1101" s="3">
        <f>IF(ORIG!T1101=0,"",ORIG!T1101)</f>
        <v/>
      </c>
      <c r="U1101" s="3">
        <f>IF(ORIG!U1101=0,"",ORIG!U1101)</f>
        <v/>
      </c>
      <c r="V1101" s="9">
        <f>IF(ORIG!V1101=0,"",ORIG!V1101)</f>
        <v/>
      </c>
      <c r="W1101" s="9">
        <f>IF(ORIG!W1101=0,"",ORIG!W1101)</f>
        <v/>
      </c>
      <c r="X1101" s="9">
        <f>IF(ORIG!X1101=0,"",ORIG!X1101)</f>
        <v/>
      </c>
      <c r="Y1101" s="9">
        <f>IF(ORIG!Y1101=0,"",ORIG!Y1101)</f>
        <v/>
      </c>
      <c r="Z1101" s="3">
        <f>SUMPRODUCT($B1101:$Y1101,$B$2649:$Y$2649)</f>
        <v/>
      </c>
      <c r="AA1101" s="3">
        <f>SUMPRODUCT($B1101:$Y1101,$B$2655:$Y$2655)</f>
        <v/>
      </c>
      <c r="AC1101" s="1">
        <f>A1101</f>
        <v/>
      </c>
      <c r="AD1101">
        <f>IF(ISNUMBER(V1101),V1101*($AB$1/V$2635),"")</f>
        <v/>
      </c>
      <c r="AE1101">
        <f>IF(ISNUMBER(Z1101),Z1101*($AB$1/Z$2635),"")</f>
        <v/>
      </c>
      <c r="AF1101" s="25">
        <f>IF(ISNUMBER(AD1101+AE1101),AD1101+AE1101,"")</f>
        <v/>
      </c>
      <c r="AH1101" s="1">
        <f>A1101</f>
        <v/>
      </c>
      <c r="AI1101">
        <f>IF(ISNUMBER((1+V1101)*AI1100),(1+V1101)*AI1100,AI1100)</f>
        <v/>
      </c>
      <c r="AJ1101">
        <f>IF(ISNUMBER((1+Z1101)*AJ1100),(1+Z1101)*AJ1100,AJ1100)</f>
        <v/>
      </c>
    </row>
    <row r="1102">
      <c r="A1102" s="1" t="n">
        <v>43601</v>
      </c>
      <c r="B1102" s="3">
        <f>IF(ORIG!B1102=0,"",ORIG!B1102)</f>
        <v/>
      </c>
      <c r="C1102" s="3">
        <f>IF(ORIG!C1102=0,"",ORIG!C1102)</f>
        <v/>
      </c>
      <c r="D1102" s="3">
        <f>IF(ORIG!D1102=0,"",ORIG!D1102)</f>
        <v/>
      </c>
      <c r="E1102" s="3">
        <f>IF(ORIG!E1102=0,"",ORIG!E1102)</f>
        <v/>
      </c>
      <c r="F1102" s="3">
        <f>IF(ORIG!F1102=0,"",ORIG!F1102)</f>
        <v/>
      </c>
      <c r="G1102" s="3">
        <f>IF(ORIG!G1102=0,"",ORIG!G1102)</f>
        <v/>
      </c>
      <c r="H1102" s="3">
        <f>IF(ORIG!H1102=0,"",ORIG!H1102)</f>
        <v/>
      </c>
      <c r="I1102" s="3">
        <f>IF(ORIG!I1102=0,"",ORIG!I1102)</f>
        <v/>
      </c>
      <c r="J1102" s="3">
        <f>IF(ORIG!J1102=0,"",ORIG!J1102)</f>
        <v/>
      </c>
      <c r="K1102" s="3">
        <f>IF(ORIG!K1102=0,"",ORIG!K1102)</f>
        <v/>
      </c>
      <c r="L1102" s="3">
        <f>IF(ORIG!L1102=0,"",ORIG!L1102)</f>
        <v/>
      </c>
      <c r="M1102" s="3">
        <f>IF(ORIG!M1102=0,"",ORIG!M1102)</f>
        <v/>
      </c>
      <c r="N1102" s="3">
        <f>IF(ORIG!N1102=0,"",ORIG!N1102)</f>
        <v/>
      </c>
      <c r="O1102" s="3">
        <f>IF(ORIG!O1102=0,"",ORIG!O1102)</f>
        <v/>
      </c>
      <c r="P1102" s="3">
        <f>IF(ORIG!P1102=0,"",ORIG!P1102)</f>
        <v/>
      </c>
      <c r="Q1102" s="3">
        <f>IF(ORIG!Q1102=0,"",ORIG!Q1102)</f>
        <v/>
      </c>
      <c r="R1102" s="3">
        <f>IF(ORIG!R1102=0,"",ORIG!R1102)</f>
        <v/>
      </c>
      <c r="S1102" s="3">
        <f>IF(ORIG!S1102=0,"",ORIG!S1102)</f>
        <v/>
      </c>
      <c r="T1102" s="3">
        <f>IF(ORIG!T1102=0,"",ORIG!T1102)</f>
        <v/>
      </c>
      <c r="U1102" s="3">
        <f>IF(ORIG!U1102=0,"",ORIG!U1102)</f>
        <v/>
      </c>
      <c r="V1102" s="9">
        <f>IF(ORIG!V1102=0,"",ORIG!V1102)</f>
        <v/>
      </c>
      <c r="W1102" s="9">
        <f>IF(ORIG!W1102=0,"",ORIG!W1102)</f>
        <v/>
      </c>
      <c r="X1102" s="9">
        <f>IF(ORIG!X1102=0,"",ORIG!X1102)</f>
        <v/>
      </c>
      <c r="Y1102" s="9">
        <f>IF(ORIG!Y1102=0,"",ORIG!Y1102)</f>
        <v/>
      </c>
      <c r="Z1102" s="3">
        <f>SUMPRODUCT($B1102:$Y1102,$B$2649:$Y$2649)</f>
        <v/>
      </c>
      <c r="AA1102" s="3">
        <f>SUMPRODUCT($B1102:$Y1102,$B$2655:$Y$2655)</f>
        <v/>
      </c>
      <c r="AC1102" s="1">
        <f>A1102</f>
        <v/>
      </c>
      <c r="AD1102">
        <f>IF(ISNUMBER(V1102),V1102*($AB$1/V$2635),"")</f>
        <v/>
      </c>
      <c r="AE1102">
        <f>IF(ISNUMBER(Z1102),Z1102*($AB$1/Z$2635),"")</f>
        <v/>
      </c>
      <c r="AF1102" s="25">
        <f>IF(ISNUMBER(AD1102+AE1102),AD1102+AE1102,"")</f>
        <v/>
      </c>
      <c r="AH1102" s="1">
        <f>A1102</f>
        <v/>
      </c>
      <c r="AI1102">
        <f>IF(ISNUMBER((1+V1102)*AI1101),(1+V1102)*AI1101,AI1101)</f>
        <v/>
      </c>
      <c r="AJ1102">
        <f>IF(ISNUMBER((1+Z1102)*AJ1101),(1+Z1102)*AJ1101,AJ1101)</f>
        <v/>
      </c>
    </row>
    <row r="1103">
      <c r="A1103" s="1" t="n">
        <v>43602</v>
      </c>
      <c r="B1103" s="3">
        <f>IF(ORIG!B1103=0,"",ORIG!B1103)</f>
        <v/>
      </c>
      <c r="C1103" s="3">
        <f>IF(ORIG!C1103=0,"",ORIG!C1103)</f>
        <v/>
      </c>
      <c r="D1103" s="3">
        <f>IF(ORIG!D1103=0,"",ORIG!D1103)</f>
        <v/>
      </c>
      <c r="E1103" s="3">
        <f>IF(ORIG!E1103=0,"",ORIG!E1103)</f>
        <v/>
      </c>
      <c r="F1103" s="3">
        <f>IF(ORIG!F1103=0,"",ORIG!F1103)</f>
        <v/>
      </c>
      <c r="G1103" s="3">
        <f>IF(ORIG!G1103=0,"",ORIG!G1103)</f>
        <v/>
      </c>
      <c r="H1103" s="3">
        <f>IF(ORIG!H1103=0,"",ORIG!H1103)</f>
        <v/>
      </c>
      <c r="I1103" s="3">
        <f>IF(ORIG!I1103=0,"",ORIG!I1103)</f>
        <v/>
      </c>
      <c r="J1103" s="3">
        <f>IF(ORIG!J1103=0,"",ORIG!J1103)</f>
        <v/>
      </c>
      <c r="K1103" s="3">
        <f>IF(ORIG!K1103=0,"",ORIG!K1103)</f>
        <v/>
      </c>
      <c r="L1103" s="3">
        <f>IF(ORIG!L1103=0,"",ORIG!L1103)</f>
        <v/>
      </c>
      <c r="M1103" s="3">
        <f>IF(ORIG!M1103=0,"",ORIG!M1103)</f>
        <v/>
      </c>
      <c r="N1103" s="3">
        <f>IF(ORIG!N1103=0,"",ORIG!N1103)</f>
        <v/>
      </c>
      <c r="O1103" s="3">
        <f>IF(ORIG!O1103=0,"",ORIG!O1103)</f>
        <v/>
      </c>
      <c r="P1103" s="3">
        <f>IF(ORIG!P1103=0,"",ORIG!P1103)</f>
        <v/>
      </c>
      <c r="Q1103" s="3">
        <f>IF(ORIG!Q1103=0,"",ORIG!Q1103)</f>
        <v/>
      </c>
      <c r="R1103" s="3">
        <f>IF(ORIG!R1103=0,"",ORIG!R1103)</f>
        <v/>
      </c>
      <c r="S1103" s="3">
        <f>IF(ORIG!S1103=0,"",ORIG!S1103)</f>
        <v/>
      </c>
      <c r="T1103" s="3">
        <f>IF(ORIG!T1103=0,"",ORIG!T1103)</f>
        <v/>
      </c>
      <c r="U1103" s="3">
        <f>IF(ORIG!U1103=0,"",ORIG!U1103)</f>
        <v/>
      </c>
      <c r="V1103" s="9">
        <f>IF(ORIG!V1103=0,"",ORIG!V1103)</f>
        <v/>
      </c>
      <c r="W1103" s="9">
        <f>IF(ORIG!W1103=0,"",ORIG!W1103)</f>
        <v/>
      </c>
      <c r="X1103" s="9">
        <f>IF(ORIG!X1103=0,"",ORIG!X1103)</f>
        <v/>
      </c>
      <c r="Y1103" s="9">
        <f>IF(ORIG!Y1103=0,"",ORIG!Y1103)</f>
        <v/>
      </c>
      <c r="Z1103" s="3">
        <f>SUMPRODUCT($B1103:$Y1103,$B$2649:$Y$2649)</f>
        <v/>
      </c>
      <c r="AA1103" s="3">
        <f>SUMPRODUCT($B1103:$Y1103,$B$2655:$Y$2655)</f>
        <v/>
      </c>
      <c r="AC1103" s="1">
        <f>A1103</f>
        <v/>
      </c>
      <c r="AD1103">
        <f>IF(ISNUMBER(V1103),V1103*($AB$1/V$2635),"")</f>
        <v/>
      </c>
      <c r="AE1103">
        <f>IF(ISNUMBER(Z1103),Z1103*($AB$1/Z$2635),"")</f>
        <v/>
      </c>
      <c r="AF1103" s="25">
        <f>IF(ISNUMBER(AD1103+AE1103),AD1103+AE1103,"")</f>
        <v/>
      </c>
      <c r="AH1103" s="1">
        <f>A1103</f>
        <v/>
      </c>
      <c r="AI1103">
        <f>IF(ISNUMBER((1+V1103)*AI1102),(1+V1103)*AI1102,AI1102)</f>
        <v/>
      </c>
      <c r="AJ1103">
        <f>IF(ISNUMBER((1+Z1103)*AJ1102),(1+Z1103)*AJ1102,AJ1102)</f>
        <v/>
      </c>
    </row>
    <row r="1104">
      <c r="A1104" s="1" t="n">
        <v>43605</v>
      </c>
      <c r="B1104" s="3">
        <f>IF(ORIG!B1104=0,"",ORIG!B1104)</f>
        <v/>
      </c>
      <c r="C1104" s="3">
        <f>IF(ORIG!C1104=0,"",ORIG!C1104)</f>
        <v/>
      </c>
      <c r="D1104" s="3">
        <f>IF(ORIG!D1104=0,"",ORIG!D1104)</f>
        <v/>
      </c>
      <c r="E1104" s="3">
        <f>IF(ORIG!E1104=0,"",ORIG!E1104)</f>
        <v/>
      </c>
      <c r="F1104" s="3">
        <f>IF(ORIG!F1104=0,"",ORIG!F1104)</f>
        <v/>
      </c>
      <c r="G1104" s="3">
        <f>IF(ORIG!G1104=0,"",ORIG!G1104)</f>
        <v/>
      </c>
      <c r="H1104" s="3">
        <f>IF(ORIG!H1104=0,"",ORIG!H1104)</f>
        <v/>
      </c>
      <c r="I1104" s="3">
        <f>IF(ORIG!I1104=0,"",ORIG!I1104)</f>
        <v/>
      </c>
      <c r="J1104" s="3">
        <f>IF(ORIG!J1104=0,"",ORIG!J1104)</f>
        <v/>
      </c>
      <c r="K1104" s="3">
        <f>IF(ORIG!K1104=0,"",ORIG!K1104)</f>
        <v/>
      </c>
      <c r="L1104" s="3">
        <f>IF(ORIG!L1104=0,"",ORIG!L1104)</f>
        <v/>
      </c>
      <c r="M1104" s="3">
        <f>IF(ORIG!M1104=0,"",ORIG!M1104)</f>
        <v/>
      </c>
      <c r="N1104" s="3">
        <f>IF(ORIG!N1104=0,"",ORIG!N1104)</f>
        <v/>
      </c>
      <c r="O1104" s="3">
        <f>IF(ORIG!O1104=0,"",ORIG!O1104)</f>
        <v/>
      </c>
      <c r="P1104" s="3">
        <f>IF(ORIG!P1104=0,"",ORIG!P1104)</f>
        <v/>
      </c>
      <c r="Q1104" s="3">
        <f>IF(ORIG!Q1104=0,"",ORIG!Q1104)</f>
        <v/>
      </c>
      <c r="R1104" s="3">
        <f>IF(ORIG!R1104=0,"",ORIG!R1104)</f>
        <v/>
      </c>
      <c r="S1104" s="3">
        <f>IF(ORIG!S1104=0,"",ORIG!S1104)</f>
        <v/>
      </c>
      <c r="T1104" s="3">
        <f>IF(ORIG!T1104=0,"",ORIG!T1104)</f>
        <v/>
      </c>
      <c r="U1104" s="3">
        <f>IF(ORIG!U1104=0,"",ORIG!U1104)</f>
        <v/>
      </c>
      <c r="V1104" s="9">
        <f>IF(ORIG!V1104=0,"",ORIG!V1104)</f>
        <v/>
      </c>
      <c r="W1104" s="9">
        <f>IF(ORIG!W1104=0,"",ORIG!W1104)</f>
        <v/>
      </c>
      <c r="X1104" s="9">
        <f>IF(ORIG!X1104=0,"",ORIG!X1104)</f>
        <v/>
      </c>
      <c r="Y1104" s="9">
        <f>IF(ORIG!Y1104=0,"",ORIG!Y1104)</f>
        <v/>
      </c>
      <c r="Z1104" s="3">
        <f>SUMPRODUCT($B1104:$Y1104,$B$2649:$Y$2649)</f>
        <v/>
      </c>
      <c r="AA1104" s="3">
        <f>SUMPRODUCT($B1104:$Y1104,$B$2655:$Y$2655)</f>
        <v/>
      </c>
      <c r="AC1104" s="1">
        <f>A1104</f>
        <v/>
      </c>
      <c r="AD1104">
        <f>IF(ISNUMBER(V1104),V1104*($AB$1/V$2635),"")</f>
        <v/>
      </c>
      <c r="AE1104">
        <f>IF(ISNUMBER(Z1104),Z1104*($AB$1/Z$2635),"")</f>
        <v/>
      </c>
      <c r="AF1104" s="25">
        <f>IF(ISNUMBER(AD1104+AE1104),AD1104+AE1104,"")</f>
        <v/>
      </c>
      <c r="AH1104" s="1">
        <f>A1104</f>
        <v/>
      </c>
      <c r="AI1104">
        <f>IF(ISNUMBER((1+V1104)*AI1103),(1+V1104)*AI1103,AI1103)</f>
        <v/>
      </c>
      <c r="AJ1104">
        <f>IF(ISNUMBER((1+Z1104)*AJ1103),(1+Z1104)*AJ1103,AJ1103)</f>
        <v/>
      </c>
    </row>
    <row r="1105">
      <c r="A1105" s="1" t="n">
        <v>43606</v>
      </c>
      <c r="B1105" s="3">
        <f>IF(ORIG!B1105=0,"",ORIG!B1105)</f>
        <v/>
      </c>
      <c r="C1105" s="3">
        <f>IF(ORIG!C1105=0,"",ORIG!C1105)</f>
        <v/>
      </c>
      <c r="D1105" s="3">
        <f>IF(ORIG!D1105=0,"",ORIG!D1105)</f>
        <v/>
      </c>
      <c r="E1105" s="3">
        <f>IF(ORIG!E1105=0,"",ORIG!E1105)</f>
        <v/>
      </c>
      <c r="F1105" s="3">
        <f>IF(ORIG!F1105=0,"",ORIG!F1105)</f>
        <v/>
      </c>
      <c r="G1105" s="3">
        <f>IF(ORIG!G1105=0,"",ORIG!G1105)</f>
        <v/>
      </c>
      <c r="H1105" s="3">
        <f>IF(ORIG!H1105=0,"",ORIG!H1105)</f>
        <v/>
      </c>
      <c r="I1105" s="3">
        <f>IF(ORIG!I1105=0,"",ORIG!I1105)</f>
        <v/>
      </c>
      <c r="J1105" s="3">
        <f>IF(ORIG!J1105=0,"",ORIG!J1105)</f>
        <v/>
      </c>
      <c r="K1105" s="3">
        <f>IF(ORIG!K1105=0,"",ORIG!K1105)</f>
        <v/>
      </c>
      <c r="L1105" s="3">
        <f>IF(ORIG!L1105=0,"",ORIG!L1105)</f>
        <v/>
      </c>
      <c r="M1105" s="3">
        <f>IF(ORIG!M1105=0,"",ORIG!M1105)</f>
        <v/>
      </c>
      <c r="N1105" s="3">
        <f>IF(ORIG!N1105=0,"",ORIG!N1105)</f>
        <v/>
      </c>
      <c r="O1105" s="3">
        <f>IF(ORIG!O1105=0,"",ORIG!O1105)</f>
        <v/>
      </c>
      <c r="P1105" s="3">
        <f>IF(ORIG!P1105=0,"",ORIG!P1105)</f>
        <v/>
      </c>
      <c r="Q1105" s="3">
        <f>IF(ORIG!Q1105=0,"",ORIG!Q1105)</f>
        <v/>
      </c>
      <c r="R1105" s="3">
        <f>IF(ORIG!R1105=0,"",ORIG!R1105)</f>
        <v/>
      </c>
      <c r="S1105" s="3">
        <f>IF(ORIG!S1105=0,"",ORIG!S1105)</f>
        <v/>
      </c>
      <c r="T1105" s="3">
        <f>IF(ORIG!T1105=0,"",ORIG!T1105)</f>
        <v/>
      </c>
      <c r="U1105" s="3">
        <f>IF(ORIG!U1105=0,"",ORIG!U1105)</f>
        <v/>
      </c>
      <c r="V1105" s="9">
        <f>IF(ORIG!V1105=0,"",ORIG!V1105)</f>
        <v/>
      </c>
      <c r="W1105" s="9">
        <f>IF(ORIG!W1105=0,"",ORIG!W1105)</f>
        <v/>
      </c>
      <c r="X1105" s="9">
        <f>IF(ORIG!X1105=0,"",ORIG!X1105)</f>
        <v/>
      </c>
      <c r="Y1105" s="9">
        <f>IF(ORIG!Y1105=0,"",ORIG!Y1105)</f>
        <v/>
      </c>
      <c r="Z1105" s="3">
        <f>SUMPRODUCT($B1105:$Y1105,$B$2649:$Y$2649)</f>
        <v/>
      </c>
      <c r="AA1105" s="3">
        <f>SUMPRODUCT($B1105:$Y1105,$B$2655:$Y$2655)</f>
        <v/>
      </c>
      <c r="AC1105" s="1">
        <f>A1105</f>
        <v/>
      </c>
      <c r="AD1105">
        <f>IF(ISNUMBER(V1105),V1105*($AB$1/V$2635),"")</f>
        <v/>
      </c>
      <c r="AE1105">
        <f>IF(ISNUMBER(Z1105),Z1105*($AB$1/Z$2635),"")</f>
        <v/>
      </c>
      <c r="AF1105" s="25">
        <f>IF(ISNUMBER(AD1105+AE1105),AD1105+AE1105,"")</f>
        <v/>
      </c>
      <c r="AH1105" s="1">
        <f>A1105</f>
        <v/>
      </c>
      <c r="AI1105">
        <f>IF(ISNUMBER((1+V1105)*AI1104),(1+V1105)*AI1104,AI1104)</f>
        <v/>
      </c>
      <c r="AJ1105">
        <f>IF(ISNUMBER((1+Z1105)*AJ1104),(1+Z1105)*AJ1104,AJ1104)</f>
        <v/>
      </c>
    </row>
    <row r="1106">
      <c r="A1106" s="1" t="n">
        <v>43607</v>
      </c>
      <c r="B1106" s="3">
        <f>IF(ORIG!B1106=0,"",ORIG!B1106)</f>
        <v/>
      </c>
      <c r="C1106" s="3">
        <f>IF(ORIG!C1106=0,"",ORIG!C1106)</f>
        <v/>
      </c>
      <c r="D1106" s="3">
        <f>IF(ORIG!D1106=0,"",ORIG!D1106)</f>
        <v/>
      </c>
      <c r="E1106" s="3">
        <f>IF(ORIG!E1106=0,"",ORIG!E1106)</f>
        <v/>
      </c>
      <c r="F1106" s="3">
        <f>IF(ORIG!F1106=0,"",ORIG!F1106)</f>
        <v/>
      </c>
      <c r="G1106" s="3">
        <f>IF(ORIG!G1106=0,"",ORIG!G1106)</f>
        <v/>
      </c>
      <c r="H1106" s="3">
        <f>IF(ORIG!H1106=0,"",ORIG!H1106)</f>
        <v/>
      </c>
      <c r="I1106" s="3">
        <f>IF(ORIG!I1106=0,"",ORIG!I1106)</f>
        <v/>
      </c>
      <c r="J1106" s="3">
        <f>IF(ORIG!J1106=0,"",ORIG!J1106)</f>
        <v/>
      </c>
      <c r="K1106" s="3">
        <f>IF(ORIG!K1106=0,"",ORIG!K1106)</f>
        <v/>
      </c>
      <c r="L1106" s="3">
        <f>IF(ORIG!L1106=0,"",ORIG!L1106)</f>
        <v/>
      </c>
      <c r="M1106" s="3">
        <f>IF(ORIG!M1106=0,"",ORIG!M1106)</f>
        <v/>
      </c>
      <c r="N1106" s="3">
        <f>IF(ORIG!N1106=0,"",ORIG!N1106)</f>
        <v/>
      </c>
      <c r="O1106" s="3">
        <f>IF(ORIG!O1106=0,"",ORIG!O1106)</f>
        <v/>
      </c>
      <c r="P1106" s="3">
        <f>IF(ORIG!P1106=0,"",ORIG!P1106)</f>
        <v/>
      </c>
      <c r="Q1106" s="3">
        <f>IF(ORIG!Q1106=0,"",ORIG!Q1106)</f>
        <v/>
      </c>
      <c r="R1106" s="3">
        <f>IF(ORIG!R1106=0,"",ORIG!R1106)</f>
        <v/>
      </c>
      <c r="S1106" s="3">
        <f>IF(ORIG!S1106=0,"",ORIG!S1106)</f>
        <v/>
      </c>
      <c r="T1106" s="3">
        <f>IF(ORIG!T1106=0,"",ORIG!T1106)</f>
        <v/>
      </c>
      <c r="U1106" s="3">
        <f>IF(ORIG!U1106=0,"",ORIG!U1106)</f>
        <v/>
      </c>
      <c r="V1106" s="9">
        <f>IF(ORIG!V1106=0,"",ORIG!V1106)</f>
        <v/>
      </c>
      <c r="W1106" s="9">
        <f>IF(ORIG!W1106=0,"",ORIG!W1106)</f>
        <v/>
      </c>
      <c r="X1106" s="9">
        <f>IF(ORIG!X1106=0,"",ORIG!X1106)</f>
        <v/>
      </c>
      <c r="Y1106" s="9">
        <f>IF(ORIG!Y1106=0,"",ORIG!Y1106)</f>
        <v/>
      </c>
      <c r="Z1106" s="3">
        <f>SUMPRODUCT($B1106:$Y1106,$B$2649:$Y$2649)</f>
        <v/>
      </c>
      <c r="AA1106" s="3">
        <f>SUMPRODUCT($B1106:$Y1106,$B$2655:$Y$2655)</f>
        <v/>
      </c>
      <c r="AC1106" s="1">
        <f>A1106</f>
        <v/>
      </c>
      <c r="AD1106">
        <f>IF(ISNUMBER(V1106),V1106*($AB$1/V$2635),"")</f>
        <v/>
      </c>
      <c r="AE1106">
        <f>IF(ISNUMBER(Z1106),Z1106*($AB$1/Z$2635),"")</f>
        <v/>
      </c>
      <c r="AF1106" s="25">
        <f>IF(ISNUMBER(AD1106+AE1106),AD1106+AE1106,"")</f>
        <v/>
      </c>
      <c r="AH1106" s="1">
        <f>A1106</f>
        <v/>
      </c>
      <c r="AI1106">
        <f>IF(ISNUMBER((1+V1106)*AI1105),(1+V1106)*AI1105,AI1105)</f>
        <v/>
      </c>
      <c r="AJ1106">
        <f>IF(ISNUMBER((1+Z1106)*AJ1105),(1+Z1106)*AJ1105,AJ1105)</f>
        <v/>
      </c>
    </row>
    <row r="1107">
      <c r="A1107" s="1" t="n">
        <v>43608</v>
      </c>
      <c r="B1107" s="3">
        <f>IF(ORIG!B1107=0,"",ORIG!B1107)</f>
        <v/>
      </c>
      <c r="C1107" s="3">
        <f>IF(ORIG!C1107=0,"",ORIG!C1107)</f>
        <v/>
      </c>
      <c r="D1107" s="3">
        <f>IF(ORIG!D1107=0,"",ORIG!D1107)</f>
        <v/>
      </c>
      <c r="E1107" s="3">
        <f>IF(ORIG!E1107=0,"",ORIG!E1107)</f>
        <v/>
      </c>
      <c r="F1107" s="3">
        <f>IF(ORIG!F1107=0,"",ORIG!F1107)</f>
        <v/>
      </c>
      <c r="G1107" s="3">
        <f>IF(ORIG!G1107=0,"",ORIG!G1107)</f>
        <v/>
      </c>
      <c r="H1107" s="3">
        <f>IF(ORIG!H1107=0,"",ORIG!H1107)</f>
        <v/>
      </c>
      <c r="I1107" s="3">
        <f>IF(ORIG!I1107=0,"",ORIG!I1107)</f>
        <v/>
      </c>
      <c r="J1107" s="3">
        <f>IF(ORIG!J1107=0,"",ORIG!J1107)</f>
        <v/>
      </c>
      <c r="K1107" s="3">
        <f>IF(ORIG!K1107=0,"",ORIG!K1107)</f>
        <v/>
      </c>
      <c r="L1107" s="3">
        <f>IF(ORIG!L1107=0,"",ORIG!L1107)</f>
        <v/>
      </c>
      <c r="M1107" s="3">
        <f>IF(ORIG!M1107=0,"",ORIG!M1107)</f>
        <v/>
      </c>
      <c r="N1107" s="3">
        <f>IF(ORIG!N1107=0,"",ORIG!N1107)</f>
        <v/>
      </c>
      <c r="O1107" s="3">
        <f>IF(ORIG!O1107=0,"",ORIG!O1107)</f>
        <v/>
      </c>
      <c r="P1107" s="3">
        <f>IF(ORIG!P1107=0,"",ORIG!P1107)</f>
        <v/>
      </c>
      <c r="Q1107" s="3">
        <f>IF(ORIG!Q1107=0,"",ORIG!Q1107)</f>
        <v/>
      </c>
      <c r="R1107" s="3">
        <f>IF(ORIG!R1107=0,"",ORIG!R1107)</f>
        <v/>
      </c>
      <c r="S1107" s="3">
        <f>IF(ORIG!S1107=0,"",ORIG!S1107)</f>
        <v/>
      </c>
      <c r="T1107" s="3">
        <f>IF(ORIG!T1107=0,"",ORIG!T1107)</f>
        <v/>
      </c>
      <c r="U1107" s="3">
        <f>IF(ORIG!U1107=0,"",ORIG!U1107)</f>
        <v/>
      </c>
      <c r="V1107" s="9">
        <f>IF(ORIG!V1107=0,"",ORIG!V1107)</f>
        <v/>
      </c>
      <c r="W1107" s="9">
        <f>IF(ORIG!W1107=0,"",ORIG!W1107)</f>
        <v/>
      </c>
      <c r="X1107" s="9">
        <f>IF(ORIG!X1107=0,"",ORIG!X1107)</f>
        <v/>
      </c>
      <c r="Y1107" s="9">
        <f>IF(ORIG!Y1107=0,"",ORIG!Y1107)</f>
        <v/>
      </c>
      <c r="Z1107" s="3">
        <f>SUMPRODUCT($B1107:$Y1107,$B$2649:$Y$2649)</f>
        <v/>
      </c>
      <c r="AA1107" s="3">
        <f>SUMPRODUCT($B1107:$Y1107,$B$2655:$Y$2655)</f>
        <v/>
      </c>
      <c r="AC1107" s="1">
        <f>A1107</f>
        <v/>
      </c>
      <c r="AD1107">
        <f>IF(ISNUMBER(V1107),V1107*($AB$1/V$2635),"")</f>
        <v/>
      </c>
      <c r="AE1107">
        <f>IF(ISNUMBER(Z1107),Z1107*($AB$1/Z$2635),"")</f>
        <v/>
      </c>
      <c r="AF1107" s="25">
        <f>IF(ISNUMBER(AD1107+AE1107),AD1107+AE1107,"")</f>
        <v/>
      </c>
      <c r="AH1107" s="1">
        <f>A1107</f>
        <v/>
      </c>
      <c r="AI1107">
        <f>IF(ISNUMBER((1+V1107)*AI1106),(1+V1107)*AI1106,AI1106)</f>
        <v/>
      </c>
      <c r="AJ1107">
        <f>IF(ISNUMBER((1+Z1107)*AJ1106),(1+Z1107)*AJ1106,AJ1106)</f>
        <v/>
      </c>
    </row>
    <row r="1108">
      <c r="A1108" s="1" t="n">
        <v>43609</v>
      </c>
      <c r="B1108" s="3">
        <f>IF(ORIG!B1108=0,"",ORIG!B1108)</f>
        <v/>
      </c>
      <c r="C1108" s="3">
        <f>IF(ORIG!C1108=0,"",ORIG!C1108)</f>
        <v/>
      </c>
      <c r="D1108" s="3">
        <f>IF(ORIG!D1108=0,"",ORIG!D1108)</f>
        <v/>
      </c>
      <c r="E1108" s="3">
        <f>IF(ORIG!E1108=0,"",ORIG!E1108)</f>
        <v/>
      </c>
      <c r="F1108" s="3">
        <f>IF(ORIG!F1108=0,"",ORIG!F1108)</f>
        <v/>
      </c>
      <c r="G1108" s="3">
        <f>IF(ORIG!G1108=0,"",ORIG!G1108)</f>
        <v/>
      </c>
      <c r="H1108" s="3">
        <f>IF(ORIG!H1108=0,"",ORIG!H1108)</f>
        <v/>
      </c>
      <c r="I1108" s="3">
        <f>IF(ORIG!I1108=0,"",ORIG!I1108)</f>
        <v/>
      </c>
      <c r="J1108" s="3">
        <f>IF(ORIG!J1108=0,"",ORIG!J1108)</f>
        <v/>
      </c>
      <c r="K1108" s="3">
        <f>IF(ORIG!K1108=0,"",ORIG!K1108)</f>
        <v/>
      </c>
      <c r="L1108" s="3">
        <f>IF(ORIG!L1108=0,"",ORIG!L1108)</f>
        <v/>
      </c>
      <c r="M1108" s="3">
        <f>IF(ORIG!M1108=0,"",ORIG!M1108)</f>
        <v/>
      </c>
      <c r="N1108" s="3">
        <f>IF(ORIG!N1108=0,"",ORIG!N1108)</f>
        <v/>
      </c>
      <c r="O1108" s="3">
        <f>IF(ORIG!O1108=0,"",ORIG!O1108)</f>
        <v/>
      </c>
      <c r="P1108" s="3">
        <f>IF(ORIG!P1108=0,"",ORIG!P1108)</f>
        <v/>
      </c>
      <c r="Q1108" s="3">
        <f>IF(ORIG!Q1108=0,"",ORIG!Q1108)</f>
        <v/>
      </c>
      <c r="R1108" s="3">
        <f>IF(ORIG!R1108=0,"",ORIG!R1108)</f>
        <v/>
      </c>
      <c r="S1108" s="3">
        <f>IF(ORIG!S1108=0,"",ORIG!S1108)</f>
        <v/>
      </c>
      <c r="T1108" s="3">
        <f>IF(ORIG!T1108=0,"",ORIG!T1108)</f>
        <v/>
      </c>
      <c r="U1108" s="3">
        <f>IF(ORIG!U1108=0,"",ORIG!U1108)</f>
        <v/>
      </c>
      <c r="V1108" s="9">
        <f>IF(ORIG!V1108=0,"",ORIG!V1108)</f>
        <v/>
      </c>
      <c r="W1108" s="9">
        <f>IF(ORIG!W1108=0,"",ORIG!W1108)</f>
        <v/>
      </c>
      <c r="X1108" s="9">
        <f>IF(ORIG!X1108=0,"",ORIG!X1108)</f>
        <v/>
      </c>
      <c r="Y1108" s="9">
        <f>IF(ORIG!Y1108=0,"",ORIG!Y1108)</f>
        <v/>
      </c>
      <c r="Z1108" s="3">
        <f>SUMPRODUCT($B1108:$Y1108,$B$2649:$Y$2649)</f>
        <v/>
      </c>
      <c r="AA1108" s="3">
        <f>SUMPRODUCT($B1108:$Y1108,$B$2655:$Y$2655)</f>
        <v/>
      </c>
      <c r="AC1108" s="1">
        <f>A1108</f>
        <v/>
      </c>
      <c r="AD1108">
        <f>IF(ISNUMBER(V1108),V1108*($AB$1/V$2635),"")</f>
        <v/>
      </c>
      <c r="AE1108">
        <f>IF(ISNUMBER(Z1108),Z1108*($AB$1/Z$2635),"")</f>
        <v/>
      </c>
      <c r="AF1108" s="25">
        <f>IF(ISNUMBER(AD1108+AE1108),AD1108+AE1108,"")</f>
        <v/>
      </c>
      <c r="AH1108" s="1">
        <f>A1108</f>
        <v/>
      </c>
      <c r="AI1108">
        <f>IF(ISNUMBER((1+V1108)*AI1107),(1+V1108)*AI1107,AI1107)</f>
        <v/>
      </c>
      <c r="AJ1108">
        <f>IF(ISNUMBER((1+Z1108)*AJ1107),(1+Z1108)*AJ1107,AJ1107)</f>
        <v/>
      </c>
    </row>
    <row r="1109">
      <c r="A1109" s="1" t="n">
        <v>43613</v>
      </c>
      <c r="B1109" s="3">
        <f>IF(ORIG!B1109=0,"",ORIG!B1109)</f>
        <v/>
      </c>
      <c r="C1109" s="3">
        <f>IF(ORIG!C1109=0,"",ORIG!C1109)</f>
        <v/>
      </c>
      <c r="D1109" s="3">
        <f>IF(ORIG!D1109=0,"",ORIG!D1109)</f>
        <v/>
      </c>
      <c r="E1109" s="3">
        <f>IF(ORIG!E1109=0,"",ORIG!E1109)</f>
        <v/>
      </c>
      <c r="F1109" s="3">
        <f>IF(ORIG!F1109=0,"",ORIG!F1109)</f>
        <v/>
      </c>
      <c r="G1109" s="3">
        <f>IF(ORIG!G1109=0,"",ORIG!G1109)</f>
        <v/>
      </c>
      <c r="H1109" s="3">
        <f>IF(ORIG!H1109=0,"",ORIG!H1109)</f>
        <v/>
      </c>
      <c r="I1109" s="3">
        <f>IF(ORIG!I1109=0,"",ORIG!I1109)</f>
        <v/>
      </c>
      <c r="J1109" s="3">
        <f>IF(ORIG!J1109=0,"",ORIG!J1109)</f>
        <v/>
      </c>
      <c r="K1109" s="3">
        <f>IF(ORIG!K1109=0,"",ORIG!K1109)</f>
        <v/>
      </c>
      <c r="L1109" s="3">
        <f>IF(ORIG!L1109=0,"",ORIG!L1109)</f>
        <v/>
      </c>
      <c r="M1109" s="3">
        <f>IF(ORIG!M1109=0,"",ORIG!M1109)</f>
        <v/>
      </c>
      <c r="N1109" s="3">
        <f>IF(ORIG!N1109=0,"",ORIG!N1109)</f>
        <v/>
      </c>
      <c r="O1109" s="3">
        <f>IF(ORIG!O1109=0,"",ORIG!O1109)</f>
        <v/>
      </c>
      <c r="P1109" s="3">
        <f>IF(ORIG!P1109=0,"",ORIG!P1109)</f>
        <v/>
      </c>
      <c r="Q1109" s="3">
        <f>IF(ORIG!Q1109=0,"",ORIG!Q1109)</f>
        <v/>
      </c>
      <c r="R1109" s="3">
        <f>IF(ORIG!R1109=0,"",ORIG!R1109)</f>
        <v/>
      </c>
      <c r="S1109" s="3">
        <f>IF(ORIG!S1109=0,"",ORIG!S1109)</f>
        <v/>
      </c>
      <c r="T1109" s="3">
        <f>IF(ORIG!T1109=0,"",ORIG!T1109)</f>
        <v/>
      </c>
      <c r="U1109" s="3">
        <f>IF(ORIG!U1109=0,"",ORIG!U1109)</f>
        <v/>
      </c>
      <c r="V1109" s="9">
        <f>IF(ORIG!V1109=0,"",ORIG!V1109)</f>
        <v/>
      </c>
      <c r="W1109" s="9">
        <f>IF(ORIG!W1109=0,"",ORIG!W1109)</f>
        <v/>
      </c>
      <c r="X1109" s="9">
        <f>IF(ORIG!X1109=0,"",ORIG!X1109)</f>
        <v/>
      </c>
      <c r="Y1109" s="9">
        <f>IF(ORIG!Y1109=0,"",ORIG!Y1109)</f>
        <v/>
      </c>
      <c r="Z1109" s="3">
        <f>SUMPRODUCT($B1109:$Y1109,$B$2649:$Y$2649)</f>
        <v/>
      </c>
      <c r="AA1109" s="3">
        <f>SUMPRODUCT($B1109:$Y1109,$B$2655:$Y$2655)</f>
        <v/>
      </c>
      <c r="AC1109" s="1">
        <f>A1109</f>
        <v/>
      </c>
      <c r="AD1109">
        <f>IF(ISNUMBER(V1109),V1109*($AB$1/V$2635),"")</f>
        <v/>
      </c>
      <c r="AE1109">
        <f>IF(ISNUMBER(Z1109),Z1109*($AB$1/Z$2635),"")</f>
        <v/>
      </c>
      <c r="AF1109" s="25">
        <f>IF(ISNUMBER(AD1109+AE1109),AD1109+AE1109,"")</f>
        <v/>
      </c>
      <c r="AH1109" s="1">
        <f>A1109</f>
        <v/>
      </c>
      <c r="AI1109">
        <f>IF(ISNUMBER((1+V1109)*AI1108),(1+V1109)*AI1108,AI1108)</f>
        <v/>
      </c>
      <c r="AJ1109">
        <f>IF(ISNUMBER((1+Z1109)*AJ1108),(1+Z1109)*AJ1108,AJ1108)</f>
        <v/>
      </c>
    </row>
    <row r="1110">
      <c r="A1110" s="1" t="n">
        <v>43614</v>
      </c>
      <c r="B1110" s="3">
        <f>IF(ORIG!B1110=0,"",ORIG!B1110)</f>
        <v/>
      </c>
      <c r="C1110" s="3">
        <f>IF(ORIG!C1110=0,"",ORIG!C1110)</f>
        <v/>
      </c>
      <c r="D1110" s="3">
        <f>IF(ORIG!D1110=0,"",ORIG!D1110)</f>
        <v/>
      </c>
      <c r="E1110" s="3">
        <f>IF(ORIG!E1110=0,"",ORIG!E1110)</f>
        <v/>
      </c>
      <c r="F1110" s="3">
        <f>IF(ORIG!F1110=0,"",ORIG!F1110)</f>
        <v/>
      </c>
      <c r="G1110" s="3">
        <f>IF(ORIG!G1110=0,"",ORIG!G1110)</f>
        <v/>
      </c>
      <c r="H1110" s="3">
        <f>IF(ORIG!H1110=0,"",ORIG!H1110)</f>
        <v/>
      </c>
      <c r="I1110" s="3">
        <f>IF(ORIG!I1110=0,"",ORIG!I1110)</f>
        <v/>
      </c>
      <c r="J1110" s="3">
        <f>IF(ORIG!J1110=0,"",ORIG!J1110)</f>
        <v/>
      </c>
      <c r="K1110" s="3">
        <f>IF(ORIG!K1110=0,"",ORIG!K1110)</f>
        <v/>
      </c>
      <c r="L1110" s="3">
        <f>IF(ORIG!L1110=0,"",ORIG!L1110)</f>
        <v/>
      </c>
      <c r="M1110" s="3">
        <f>IF(ORIG!M1110=0,"",ORIG!M1110)</f>
        <v/>
      </c>
      <c r="N1110" s="3">
        <f>IF(ORIG!N1110=0,"",ORIG!N1110)</f>
        <v/>
      </c>
      <c r="O1110" s="3">
        <f>IF(ORIG!O1110=0,"",ORIG!O1110)</f>
        <v/>
      </c>
      <c r="P1110" s="3">
        <f>IF(ORIG!P1110=0,"",ORIG!P1110)</f>
        <v/>
      </c>
      <c r="Q1110" s="3">
        <f>IF(ORIG!Q1110=0,"",ORIG!Q1110)</f>
        <v/>
      </c>
      <c r="R1110" s="3">
        <f>IF(ORIG!R1110=0,"",ORIG!R1110)</f>
        <v/>
      </c>
      <c r="S1110" s="3">
        <f>IF(ORIG!S1110=0,"",ORIG!S1110)</f>
        <v/>
      </c>
      <c r="T1110" s="3">
        <f>IF(ORIG!T1110=0,"",ORIG!T1110)</f>
        <v/>
      </c>
      <c r="U1110" s="3">
        <f>IF(ORIG!U1110=0,"",ORIG!U1110)</f>
        <v/>
      </c>
      <c r="V1110" s="9">
        <f>IF(ORIG!V1110=0,"",ORIG!V1110)</f>
        <v/>
      </c>
      <c r="W1110" s="9">
        <f>IF(ORIG!W1110=0,"",ORIG!W1110)</f>
        <v/>
      </c>
      <c r="X1110" s="9">
        <f>IF(ORIG!X1110=0,"",ORIG!X1110)</f>
        <v/>
      </c>
      <c r="Y1110" s="9">
        <f>IF(ORIG!Y1110=0,"",ORIG!Y1110)</f>
        <v/>
      </c>
      <c r="Z1110" s="3">
        <f>SUMPRODUCT($B1110:$Y1110,$B$2649:$Y$2649)</f>
        <v/>
      </c>
      <c r="AA1110" s="3">
        <f>SUMPRODUCT($B1110:$Y1110,$B$2655:$Y$2655)</f>
        <v/>
      </c>
      <c r="AC1110" s="1">
        <f>A1110</f>
        <v/>
      </c>
      <c r="AD1110">
        <f>IF(ISNUMBER(V1110),V1110*($AB$1/V$2635),"")</f>
        <v/>
      </c>
      <c r="AE1110">
        <f>IF(ISNUMBER(Z1110),Z1110*($AB$1/Z$2635),"")</f>
        <v/>
      </c>
      <c r="AF1110" s="25">
        <f>IF(ISNUMBER(AD1110+AE1110),AD1110+AE1110,"")</f>
        <v/>
      </c>
      <c r="AH1110" s="1">
        <f>A1110</f>
        <v/>
      </c>
      <c r="AI1110">
        <f>IF(ISNUMBER((1+V1110)*AI1109),(1+V1110)*AI1109,AI1109)</f>
        <v/>
      </c>
      <c r="AJ1110">
        <f>IF(ISNUMBER((1+Z1110)*AJ1109),(1+Z1110)*AJ1109,AJ1109)</f>
        <v/>
      </c>
    </row>
    <row r="1111">
      <c r="A1111" s="1" t="n">
        <v>43615</v>
      </c>
      <c r="B1111" s="3">
        <f>IF(ORIG!B1111=0,"",ORIG!B1111)</f>
        <v/>
      </c>
      <c r="C1111" s="3">
        <f>IF(ORIG!C1111=0,"",ORIG!C1111)</f>
        <v/>
      </c>
      <c r="D1111" s="3">
        <f>IF(ORIG!D1111=0,"",ORIG!D1111)</f>
        <v/>
      </c>
      <c r="E1111" s="3">
        <f>IF(ORIG!E1111=0,"",ORIG!E1111)</f>
        <v/>
      </c>
      <c r="F1111" s="3">
        <f>IF(ORIG!F1111=0,"",ORIG!F1111)</f>
        <v/>
      </c>
      <c r="G1111" s="3">
        <f>IF(ORIG!G1111=0,"",ORIG!G1111)</f>
        <v/>
      </c>
      <c r="H1111" s="3">
        <f>IF(ORIG!H1111=0,"",ORIG!H1111)</f>
        <v/>
      </c>
      <c r="I1111" s="3">
        <f>IF(ORIG!I1111=0,"",ORIG!I1111)</f>
        <v/>
      </c>
      <c r="J1111" s="3">
        <f>IF(ORIG!J1111=0,"",ORIG!J1111)</f>
        <v/>
      </c>
      <c r="K1111" s="3">
        <f>IF(ORIG!K1111=0,"",ORIG!K1111)</f>
        <v/>
      </c>
      <c r="L1111" s="3">
        <f>IF(ORIG!L1111=0,"",ORIG!L1111)</f>
        <v/>
      </c>
      <c r="M1111" s="3">
        <f>IF(ORIG!M1111=0,"",ORIG!M1111)</f>
        <v/>
      </c>
      <c r="N1111" s="3">
        <f>IF(ORIG!N1111=0,"",ORIG!N1111)</f>
        <v/>
      </c>
      <c r="O1111" s="3">
        <f>IF(ORIG!O1111=0,"",ORIG!O1111)</f>
        <v/>
      </c>
      <c r="P1111" s="3">
        <f>IF(ORIG!P1111=0,"",ORIG!P1111)</f>
        <v/>
      </c>
      <c r="Q1111" s="3">
        <f>IF(ORIG!Q1111=0,"",ORIG!Q1111)</f>
        <v/>
      </c>
      <c r="R1111" s="3">
        <f>IF(ORIG!R1111=0,"",ORIG!R1111)</f>
        <v/>
      </c>
      <c r="S1111" s="3">
        <f>IF(ORIG!S1111=0,"",ORIG!S1111)</f>
        <v/>
      </c>
      <c r="T1111" s="3">
        <f>IF(ORIG!T1111=0,"",ORIG!T1111)</f>
        <v/>
      </c>
      <c r="U1111" s="3">
        <f>IF(ORIG!U1111=0,"",ORIG!U1111)</f>
        <v/>
      </c>
      <c r="V1111" s="9">
        <f>IF(ORIG!V1111=0,"",ORIG!V1111)</f>
        <v/>
      </c>
      <c r="W1111" s="9">
        <f>IF(ORIG!W1111=0,"",ORIG!W1111)</f>
        <v/>
      </c>
      <c r="X1111" s="9">
        <f>IF(ORIG!X1111=0,"",ORIG!X1111)</f>
        <v/>
      </c>
      <c r="Y1111" s="9">
        <f>IF(ORIG!Y1111=0,"",ORIG!Y1111)</f>
        <v/>
      </c>
      <c r="Z1111" s="3">
        <f>SUMPRODUCT($B1111:$Y1111,$B$2649:$Y$2649)</f>
        <v/>
      </c>
      <c r="AA1111" s="3">
        <f>SUMPRODUCT($B1111:$Y1111,$B$2655:$Y$2655)</f>
        <v/>
      </c>
      <c r="AC1111" s="1">
        <f>A1111</f>
        <v/>
      </c>
      <c r="AD1111">
        <f>IF(ISNUMBER(V1111),V1111*($AB$1/V$2635),"")</f>
        <v/>
      </c>
      <c r="AE1111">
        <f>IF(ISNUMBER(Z1111),Z1111*($AB$1/Z$2635),"")</f>
        <v/>
      </c>
      <c r="AF1111" s="25">
        <f>IF(ISNUMBER(AD1111+AE1111),AD1111+AE1111,"")</f>
        <v/>
      </c>
      <c r="AH1111" s="1">
        <f>A1111</f>
        <v/>
      </c>
      <c r="AI1111">
        <f>IF(ISNUMBER((1+V1111)*AI1110),(1+V1111)*AI1110,AI1110)</f>
        <v/>
      </c>
      <c r="AJ1111">
        <f>IF(ISNUMBER((1+Z1111)*AJ1110),(1+Z1111)*AJ1110,AJ1110)</f>
        <v/>
      </c>
    </row>
    <row r="1112">
      <c r="A1112" s="1" t="n">
        <v>43616</v>
      </c>
      <c r="B1112" s="3">
        <f>IF(ORIG!B1112=0,"",ORIG!B1112)</f>
        <v/>
      </c>
      <c r="C1112" s="3">
        <f>IF(ORIG!C1112=0,"",ORIG!C1112)</f>
        <v/>
      </c>
      <c r="D1112" s="3">
        <f>IF(ORIG!D1112=0,"",ORIG!D1112)</f>
        <v/>
      </c>
      <c r="E1112" s="3">
        <f>IF(ORIG!E1112=0,"",ORIG!E1112)</f>
        <v/>
      </c>
      <c r="F1112" s="3">
        <f>IF(ORIG!F1112=0,"",ORIG!F1112)</f>
        <v/>
      </c>
      <c r="G1112" s="3">
        <f>IF(ORIG!G1112=0,"",ORIG!G1112)</f>
        <v/>
      </c>
      <c r="H1112" s="3">
        <f>IF(ORIG!H1112=0,"",ORIG!H1112)</f>
        <v/>
      </c>
      <c r="I1112" s="3">
        <f>IF(ORIG!I1112=0,"",ORIG!I1112)</f>
        <v/>
      </c>
      <c r="J1112" s="3">
        <f>IF(ORIG!J1112=0,"",ORIG!J1112)</f>
        <v/>
      </c>
      <c r="K1112" s="3">
        <f>IF(ORIG!K1112=0,"",ORIG!K1112)</f>
        <v/>
      </c>
      <c r="L1112" s="3">
        <f>IF(ORIG!L1112=0,"",ORIG!L1112)</f>
        <v/>
      </c>
      <c r="M1112" s="3">
        <f>IF(ORIG!M1112=0,"",ORIG!M1112)</f>
        <v/>
      </c>
      <c r="N1112" s="3">
        <f>IF(ORIG!N1112=0,"",ORIG!N1112)</f>
        <v/>
      </c>
      <c r="O1112" s="3">
        <f>IF(ORIG!O1112=0,"",ORIG!O1112)</f>
        <v/>
      </c>
      <c r="P1112" s="3">
        <f>IF(ORIG!P1112=0,"",ORIG!P1112)</f>
        <v/>
      </c>
      <c r="Q1112" s="3">
        <f>IF(ORIG!Q1112=0,"",ORIG!Q1112)</f>
        <v/>
      </c>
      <c r="R1112" s="3">
        <f>IF(ORIG!R1112=0,"",ORIG!R1112)</f>
        <v/>
      </c>
      <c r="S1112" s="3">
        <f>IF(ORIG!S1112=0,"",ORIG!S1112)</f>
        <v/>
      </c>
      <c r="T1112" s="3">
        <f>IF(ORIG!T1112=0,"",ORIG!T1112)</f>
        <v/>
      </c>
      <c r="U1112" s="3">
        <f>IF(ORIG!U1112=0,"",ORIG!U1112)</f>
        <v/>
      </c>
      <c r="V1112" s="9">
        <f>IF(ORIG!V1112=0,"",ORIG!V1112)</f>
        <v/>
      </c>
      <c r="W1112" s="9">
        <f>IF(ORIG!W1112=0,"",ORIG!W1112)</f>
        <v/>
      </c>
      <c r="X1112" s="9">
        <f>IF(ORIG!X1112=0,"",ORIG!X1112)</f>
        <v/>
      </c>
      <c r="Y1112" s="9">
        <f>IF(ORIG!Y1112=0,"",ORIG!Y1112)</f>
        <v/>
      </c>
      <c r="Z1112" s="3">
        <f>SUMPRODUCT($B1112:$Y1112,$B$2649:$Y$2649)</f>
        <v/>
      </c>
      <c r="AA1112" s="3">
        <f>SUMPRODUCT($B1112:$Y1112,$B$2655:$Y$2655)</f>
        <v/>
      </c>
      <c r="AC1112" s="1">
        <f>A1112</f>
        <v/>
      </c>
      <c r="AD1112">
        <f>IF(ISNUMBER(V1112),V1112*($AB$1/V$2635),"")</f>
        <v/>
      </c>
      <c r="AE1112">
        <f>IF(ISNUMBER(Z1112),Z1112*($AB$1/Z$2635),"")</f>
        <v/>
      </c>
      <c r="AF1112" s="25">
        <f>IF(ISNUMBER(AD1112+AE1112),AD1112+AE1112,"")</f>
        <v/>
      </c>
      <c r="AH1112" s="1">
        <f>A1112</f>
        <v/>
      </c>
      <c r="AI1112">
        <f>IF(ISNUMBER((1+V1112)*AI1111),(1+V1112)*AI1111,AI1111)</f>
        <v/>
      </c>
      <c r="AJ1112">
        <f>IF(ISNUMBER((1+Z1112)*AJ1111),(1+Z1112)*AJ1111,AJ1111)</f>
        <v/>
      </c>
    </row>
    <row r="1113">
      <c r="A1113" s="1" t="n">
        <v>43619</v>
      </c>
      <c r="B1113" s="3">
        <f>IF(ORIG!B1113=0,"",ORIG!B1113)</f>
        <v/>
      </c>
      <c r="C1113" s="3">
        <f>IF(ORIG!C1113=0,"",ORIG!C1113)</f>
        <v/>
      </c>
      <c r="D1113" s="3">
        <f>IF(ORIG!D1113=0,"",ORIG!D1113)</f>
        <v/>
      </c>
      <c r="E1113" s="3">
        <f>IF(ORIG!E1113=0,"",ORIG!E1113)</f>
        <v/>
      </c>
      <c r="F1113" s="3">
        <f>IF(ORIG!F1113=0,"",ORIG!F1113)</f>
        <v/>
      </c>
      <c r="G1113" s="3">
        <f>IF(ORIG!G1113=0,"",ORIG!G1113)</f>
        <v/>
      </c>
      <c r="H1113" s="3">
        <f>IF(ORIG!H1113=0,"",ORIG!H1113)</f>
        <v/>
      </c>
      <c r="I1113" s="3">
        <f>IF(ORIG!I1113=0,"",ORIG!I1113)</f>
        <v/>
      </c>
      <c r="J1113" s="3">
        <f>IF(ORIG!J1113=0,"",ORIG!J1113)</f>
        <v/>
      </c>
      <c r="K1113" s="3">
        <f>IF(ORIG!K1113=0,"",ORIG!K1113)</f>
        <v/>
      </c>
      <c r="L1113" s="3">
        <f>IF(ORIG!L1113=0,"",ORIG!L1113)</f>
        <v/>
      </c>
      <c r="M1113" s="3">
        <f>IF(ORIG!M1113=0,"",ORIG!M1113)</f>
        <v/>
      </c>
      <c r="N1113" s="3">
        <f>IF(ORIG!N1113=0,"",ORIG!N1113)</f>
        <v/>
      </c>
      <c r="O1113" s="3">
        <f>IF(ORIG!O1113=0,"",ORIG!O1113)</f>
        <v/>
      </c>
      <c r="P1113" s="3">
        <f>IF(ORIG!P1113=0,"",ORIG!P1113)</f>
        <v/>
      </c>
      <c r="Q1113" s="3">
        <f>IF(ORIG!Q1113=0,"",ORIG!Q1113)</f>
        <v/>
      </c>
      <c r="R1113" s="3">
        <f>IF(ORIG!R1113=0,"",ORIG!R1113)</f>
        <v/>
      </c>
      <c r="S1113" s="3">
        <f>IF(ORIG!S1113=0,"",ORIG!S1113)</f>
        <v/>
      </c>
      <c r="T1113" s="3">
        <f>IF(ORIG!T1113=0,"",ORIG!T1113)</f>
        <v/>
      </c>
      <c r="U1113" s="3">
        <f>IF(ORIG!U1113=0,"",ORIG!U1113)</f>
        <v/>
      </c>
      <c r="V1113" s="9">
        <f>IF(ORIG!V1113=0,"",ORIG!V1113)</f>
        <v/>
      </c>
      <c r="W1113" s="9">
        <f>IF(ORIG!W1113=0,"",ORIG!W1113)</f>
        <v/>
      </c>
      <c r="X1113" s="9">
        <f>IF(ORIG!X1113=0,"",ORIG!X1113)</f>
        <v/>
      </c>
      <c r="Y1113" s="9">
        <f>IF(ORIG!Y1113=0,"",ORIG!Y1113)</f>
        <v/>
      </c>
      <c r="Z1113" s="3">
        <f>SUMPRODUCT($B1113:$Y1113,$B$2649:$Y$2649)</f>
        <v/>
      </c>
      <c r="AA1113" s="3">
        <f>SUMPRODUCT($B1113:$Y1113,$B$2655:$Y$2655)</f>
        <v/>
      </c>
      <c r="AC1113" s="1">
        <f>A1113</f>
        <v/>
      </c>
      <c r="AD1113">
        <f>IF(ISNUMBER(V1113),V1113*($AB$1/V$2635),"")</f>
        <v/>
      </c>
      <c r="AE1113">
        <f>IF(ISNUMBER(Z1113),Z1113*($AB$1/Z$2635),"")</f>
        <v/>
      </c>
      <c r="AF1113" s="25">
        <f>IF(ISNUMBER(AD1113+AE1113),AD1113+AE1113,"")</f>
        <v/>
      </c>
      <c r="AH1113" s="1">
        <f>A1113</f>
        <v/>
      </c>
      <c r="AI1113">
        <f>IF(ISNUMBER((1+V1113)*AI1112),(1+V1113)*AI1112,AI1112)</f>
        <v/>
      </c>
      <c r="AJ1113">
        <f>IF(ISNUMBER((1+Z1113)*AJ1112),(1+Z1113)*AJ1112,AJ1112)</f>
        <v/>
      </c>
    </row>
    <row r="1114">
      <c r="A1114" s="1" t="n">
        <v>43620</v>
      </c>
      <c r="B1114" s="3">
        <f>IF(ORIG!B1114=0,"",ORIG!B1114)</f>
        <v/>
      </c>
      <c r="C1114" s="3">
        <f>IF(ORIG!C1114=0,"",ORIG!C1114)</f>
        <v/>
      </c>
      <c r="D1114" s="3">
        <f>IF(ORIG!D1114=0,"",ORIG!D1114)</f>
        <v/>
      </c>
      <c r="E1114" s="3">
        <f>IF(ORIG!E1114=0,"",ORIG!E1114)</f>
        <v/>
      </c>
      <c r="F1114" s="3">
        <f>IF(ORIG!F1114=0,"",ORIG!F1114)</f>
        <v/>
      </c>
      <c r="G1114" s="3">
        <f>IF(ORIG!G1114=0,"",ORIG!G1114)</f>
        <v/>
      </c>
      <c r="H1114" s="3">
        <f>IF(ORIG!H1114=0,"",ORIG!H1114)</f>
        <v/>
      </c>
      <c r="I1114" s="3">
        <f>IF(ORIG!I1114=0,"",ORIG!I1114)</f>
        <v/>
      </c>
      <c r="J1114" s="3">
        <f>IF(ORIG!J1114=0,"",ORIG!J1114)</f>
        <v/>
      </c>
      <c r="K1114" s="3">
        <f>IF(ORIG!K1114=0,"",ORIG!K1114)</f>
        <v/>
      </c>
      <c r="L1114" s="3">
        <f>IF(ORIG!L1114=0,"",ORIG!L1114)</f>
        <v/>
      </c>
      <c r="M1114" s="3">
        <f>IF(ORIG!M1114=0,"",ORIG!M1114)</f>
        <v/>
      </c>
      <c r="N1114" s="3">
        <f>IF(ORIG!N1114=0,"",ORIG!N1114)</f>
        <v/>
      </c>
      <c r="O1114" s="3">
        <f>IF(ORIG!O1114=0,"",ORIG!O1114)</f>
        <v/>
      </c>
      <c r="P1114" s="3">
        <f>IF(ORIG!P1114=0,"",ORIG!P1114)</f>
        <v/>
      </c>
      <c r="Q1114" s="3">
        <f>IF(ORIG!Q1114=0,"",ORIG!Q1114)</f>
        <v/>
      </c>
      <c r="R1114" s="3">
        <f>IF(ORIG!R1114=0,"",ORIG!R1114)</f>
        <v/>
      </c>
      <c r="S1114" s="3">
        <f>IF(ORIG!S1114=0,"",ORIG!S1114)</f>
        <v/>
      </c>
      <c r="T1114" s="3">
        <f>IF(ORIG!T1114=0,"",ORIG!T1114)</f>
        <v/>
      </c>
      <c r="U1114" s="3">
        <f>IF(ORIG!U1114=0,"",ORIG!U1114)</f>
        <v/>
      </c>
      <c r="V1114" s="9">
        <f>IF(ORIG!V1114=0,"",ORIG!V1114)</f>
        <v/>
      </c>
      <c r="W1114" s="9">
        <f>IF(ORIG!W1114=0,"",ORIG!W1114)</f>
        <v/>
      </c>
      <c r="X1114" s="9">
        <f>IF(ORIG!X1114=0,"",ORIG!X1114)</f>
        <v/>
      </c>
      <c r="Y1114" s="9">
        <f>IF(ORIG!Y1114=0,"",ORIG!Y1114)</f>
        <v/>
      </c>
      <c r="Z1114" s="3">
        <f>SUMPRODUCT($B1114:$Y1114,$B$2649:$Y$2649)</f>
        <v/>
      </c>
      <c r="AA1114" s="3">
        <f>SUMPRODUCT($B1114:$Y1114,$B$2655:$Y$2655)</f>
        <v/>
      </c>
      <c r="AC1114" s="1">
        <f>A1114</f>
        <v/>
      </c>
      <c r="AD1114">
        <f>IF(ISNUMBER(V1114),V1114*($AB$1/V$2635),"")</f>
        <v/>
      </c>
      <c r="AE1114">
        <f>IF(ISNUMBER(Z1114),Z1114*($AB$1/Z$2635),"")</f>
        <v/>
      </c>
      <c r="AF1114" s="25">
        <f>IF(ISNUMBER(AD1114+AE1114),AD1114+AE1114,"")</f>
        <v/>
      </c>
      <c r="AH1114" s="1">
        <f>A1114</f>
        <v/>
      </c>
      <c r="AI1114">
        <f>IF(ISNUMBER((1+V1114)*AI1113),(1+V1114)*AI1113,AI1113)</f>
        <v/>
      </c>
      <c r="AJ1114">
        <f>IF(ISNUMBER((1+Z1114)*AJ1113),(1+Z1114)*AJ1113,AJ1113)</f>
        <v/>
      </c>
    </row>
    <row r="1115">
      <c r="A1115" s="1" t="n">
        <v>43621</v>
      </c>
      <c r="B1115" s="3">
        <f>IF(ORIG!B1115=0,"",ORIG!B1115)</f>
        <v/>
      </c>
      <c r="C1115" s="3">
        <f>IF(ORIG!C1115=0,"",ORIG!C1115)</f>
        <v/>
      </c>
      <c r="D1115" s="3">
        <f>IF(ORIG!D1115=0,"",ORIG!D1115)</f>
        <v/>
      </c>
      <c r="E1115" s="3">
        <f>IF(ORIG!E1115=0,"",ORIG!E1115)</f>
        <v/>
      </c>
      <c r="F1115" s="3">
        <f>IF(ORIG!F1115=0,"",ORIG!F1115)</f>
        <v/>
      </c>
      <c r="G1115" s="3">
        <f>IF(ORIG!G1115=0,"",ORIG!G1115)</f>
        <v/>
      </c>
      <c r="H1115" s="3">
        <f>IF(ORIG!H1115=0,"",ORIG!H1115)</f>
        <v/>
      </c>
      <c r="I1115" s="3">
        <f>IF(ORIG!I1115=0,"",ORIG!I1115)</f>
        <v/>
      </c>
      <c r="J1115" s="3">
        <f>IF(ORIG!J1115=0,"",ORIG!J1115)</f>
        <v/>
      </c>
      <c r="K1115" s="3">
        <f>IF(ORIG!K1115=0,"",ORIG!K1115)</f>
        <v/>
      </c>
      <c r="L1115" s="3">
        <f>IF(ORIG!L1115=0,"",ORIG!L1115)</f>
        <v/>
      </c>
      <c r="M1115" s="3">
        <f>IF(ORIG!M1115=0,"",ORIG!M1115)</f>
        <v/>
      </c>
      <c r="N1115" s="3">
        <f>IF(ORIG!N1115=0,"",ORIG!N1115)</f>
        <v/>
      </c>
      <c r="O1115" s="3">
        <f>IF(ORIG!O1115=0,"",ORIG!O1115)</f>
        <v/>
      </c>
      <c r="P1115" s="3">
        <f>IF(ORIG!P1115=0,"",ORIG!P1115)</f>
        <v/>
      </c>
      <c r="Q1115" s="3">
        <f>IF(ORIG!Q1115=0,"",ORIG!Q1115)</f>
        <v/>
      </c>
      <c r="R1115" s="3">
        <f>IF(ORIG!R1115=0,"",ORIG!R1115)</f>
        <v/>
      </c>
      <c r="S1115" s="3">
        <f>IF(ORIG!S1115=0,"",ORIG!S1115)</f>
        <v/>
      </c>
      <c r="T1115" s="3">
        <f>IF(ORIG!T1115=0,"",ORIG!T1115)</f>
        <v/>
      </c>
      <c r="U1115" s="3">
        <f>IF(ORIG!U1115=0,"",ORIG!U1115)</f>
        <v/>
      </c>
      <c r="V1115" s="9">
        <f>IF(ORIG!V1115=0,"",ORIG!V1115)</f>
        <v/>
      </c>
      <c r="W1115" s="9">
        <f>IF(ORIG!W1115=0,"",ORIG!W1115)</f>
        <v/>
      </c>
      <c r="X1115" s="9">
        <f>IF(ORIG!X1115=0,"",ORIG!X1115)</f>
        <v/>
      </c>
      <c r="Y1115" s="9">
        <f>IF(ORIG!Y1115=0,"",ORIG!Y1115)</f>
        <v/>
      </c>
      <c r="Z1115" s="3">
        <f>SUMPRODUCT($B1115:$Y1115,$B$2649:$Y$2649)</f>
        <v/>
      </c>
      <c r="AA1115" s="3">
        <f>SUMPRODUCT($B1115:$Y1115,$B$2655:$Y$2655)</f>
        <v/>
      </c>
      <c r="AC1115" s="1">
        <f>A1115</f>
        <v/>
      </c>
      <c r="AD1115">
        <f>IF(ISNUMBER(V1115),V1115*($AB$1/V$2635),"")</f>
        <v/>
      </c>
      <c r="AE1115">
        <f>IF(ISNUMBER(Z1115),Z1115*($AB$1/Z$2635),"")</f>
        <v/>
      </c>
      <c r="AF1115" s="25">
        <f>IF(ISNUMBER(AD1115+AE1115),AD1115+AE1115,"")</f>
        <v/>
      </c>
      <c r="AH1115" s="1">
        <f>A1115</f>
        <v/>
      </c>
      <c r="AI1115">
        <f>IF(ISNUMBER((1+V1115)*AI1114),(1+V1115)*AI1114,AI1114)</f>
        <v/>
      </c>
      <c r="AJ1115">
        <f>IF(ISNUMBER((1+Z1115)*AJ1114),(1+Z1115)*AJ1114,AJ1114)</f>
        <v/>
      </c>
    </row>
    <row r="1116">
      <c r="A1116" s="1" t="n">
        <v>43622</v>
      </c>
      <c r="B1116" s="3">
        <f>IF(ORIG!B1116=0,"",ORIG!B1116)</f>
        <v/>
      </c>
      <c r="C1116" s="3">
        <f>IF(ORIG!C1116=0,"",ORIG!C1116)</f>
        <v/>
      </c>
      <c r="D1116" s="3">
        <f>IF(ORIG!D1116=0,"",ORIG!D1116)</f>
        <v/>
      </c>
      <c r="E1116" s="3">
        <f>IF(ORIG!E1116=0,"",ORIG!E1116)</f>
        <v/>
      </c>
      <c r="F1116" s="3">
        <f>IF(ORIG!F1116=0,"",ORIG!F1116)</f>
        <v/>
      </c>
      <c r="G1116" s="3">
        <f>IF(ORIG!G1116=0,"",ORIG!G1116)</f>
        <v/>
      </c>
      <c r="H1116" s="3">
        <f>IF(ORIG!H1116=0,"",ORIG!H1116)</f>
        <v/>
      </c>
      <c r="I1116" s="3">
        <f>IF(ORIG!I1116=0,"",ORIG!I1116)</f>
        <v/>
      </c>
      <c r="J1116" s="3">
        <f>IF(ORIG!J1116=0,"",ORIG!J1116)</f>
        <v/>
      </c>
      <c r="K1116" s="3">
        <f>IF(ORIG!K1116=0,"",ORIG!K1116)</f>
        <v/>
      </c>
      <c r="L1116" s="3">
        <f>IF(ORIG!L1116=0,"",ORIG!L1116)</f>
        <v/>
      </c>
      <c r="M1116" s="3">
        <f>IF(ORIG!M1116=0,"",ORIG!M1116)</f>
        <v/>
      </c>
      <c r="N1116" s="3">
        <f>IF(ORIG!N1116=0,"",ORIG!N1116)</f>
        <v/>
      </c>
      <c r="O1116" s="3">
        <f>IF(ORIG!O1116=0,"",ORIG!O1116)</f>
        <v/>
      </c>
      <c r="P1116" s="3">
        <f>IF(ORIG!P1116=0,"",ORIG!P1116)</f>
        <v/>
      </c>
      <c r="Q1116" s="3">
        <f>IF(ORIG!Q1116=0,"",ORIG!Q1116)</f>
        <v/>
      </c>
      <c r="R1116" s="3">
        <f>IF(ORIG!R1116=0,"",ORIG!R1116)</f>
        <v/>
      </c>
      <c r="S1116" s="3">
        <f>IF(ORIG!S1116=0,"",ORIG!S1116)</f>
        <v/>
      </c>
      <c r="T1116" s="3">
        <f>IF(ORIG!T1116=0,"",ORIG!T1116)</f>
        <v/>
      </c>
      <c r="U1116" s="3">
        <f>IF(ORIG!U1116=0,"",ORIG!U1116)</f>
        <v/>
      </c>
      <c r="V1116" s="9">
        <f>IF(ORIG!V1116=0,"",ORIG!V1116)</f>
        <v/>
      </c>
      <c r="W1116" s="9">
        <f>IF(ORIG!W1116=0,"",ORIG!W1116)</f>
        <v/>
      </c>
      <c r="X1116" s="9">
        <f>IF(ORIG!X1116=0,"",ORIG!X1116)</f>
        <v/>
      </c>
      <c r="Y1116" s="9">
        <f>IF(ORIG!Y1116=0,"",ORIG!Y1116)</f>
        <v/>
      </c>
      <c r="Z1116" s="3">
        <f>SUMPRODUCT($B1116:$Y1116,$B$2649:$Y$2649)</f>
        <v/>
      </c>
      <c r="AA1116" s="3">
        <f>SUMPRODUCT($B1116:$Y1116,$B$2655:$Y$2655)</f>
        <v/>
      </c>
      <c r="AC1116" s="1">
        <f>A1116</f>
        <v/>
      </c>
      <c r="AD1116">
        <f>IF(ISNUMBER(V1116),V1116*($AB$1/V$2635),"")</f>
        <v/>
      </c>
      <c r="AE1116">
        <f>IF(ISNUMBER(Z1116),Z1116*($AB$1/Z$2635),"")</f>
        <v/>
      </c>
      <c r="AF1116" s="25">
        <f>IF(ISNUMBER(AD1116+AE1116),AD1116+AE1116,"")</f>
        <v/>
      </c>
      <c r="AH1116" s="1">
        <f>A1116</f>
        <v/>
      </c>
      <c r="AI1116">
        <f>IF(ISNUMBER((1+V1116)*AI1115),(1+V1116)*AI1115,AI1115)</f>
        <v/>
      </c>
      <c r="AJ1116">
        <f>IF(ISNUMBER((1+Z1116)*AJ1115),(1+Z1116)*AJ1115,AJ1115)</f>
        <v/>
      </c>
    </row>
    <row r="1117">
      <c r="A1117" s="1" t="n">
        <v>43623</v>
      </c>
      <c r="B1117" s="3">
        <f>IF(ORIG!B1117=0,"",ORIG!B1117)</f>
        <v/>
      </c>
      <c r="C1117" s="3">
        <f>IF(ORIG!C1117=0,"",ORIG!C1117)</f>
        <v/>
      </c>
      <c r="D1117" s="3">
        <f>IF(ORIG!D1117=0,"",ORIG!D1117)</f>
        <v/>
      </c>
      <c r="E1117" s="3">
        <f>IF(ORIG!E1117=0,"",ORIG!E1117)</f>
        <v/>
      </c>
      <c r="F1117" s="3">
        <f>IF(ORIG!F1117=0,"",ORIG!F1117)</f>
        <v/>
      </c>
      <c r="G1117" s="3">
        <f>IF(ORIG!G1117=0,"",ORIG!G1117)</f>
        <v/>
      </c>
      <c r="H1117" s="3">
        <f>IF(ORIG!H1117=0,"",ORIG!H1117)</f>
        <v/>
      </c>
      <c r="I1117" s="3">
        <f>IF(ORIG!I1117=0,"",ORIG!I1117)</f>
        <v/>
      </c>
      <c r="J1117" s="3">
        <f>IF(ORIG!J1117=0,"",ORIG!J1117)</f>
        <v/>
      </c>
      <c r="K1117" s="3">
        <f>IF(ORIG!K1117=0,"",ORIG!K1117)</f>
        <v/>
      </c>
      <c r="L1117" s="3">
        <f>IF(ORIG!L1117=0,"",ORIG!L1117)</f>
        <v/>
      </c>
      <c r="M1117" s="3">
        <f>IF(ORIG!M1117=0,"",ORIG!M1117)</f>
        <v/>
      </c>
      <c r="N1117" s="3">
        <f>IF(ORIG!N1117=0,"",ORIG!N1117)</f>
        <v/>
      </c>
      <c r="O1117" s="3">
        <f>IF(ORIG!O1117=0,"",ORIG!O1117)</f>
        <v/>
      </c>
      <c r="P1117" s="3">
        <f>IF(ORIG!P1117=0,"",ORIG!P1117)</f>
        <v/>
      </c>
      <c r="Q1117" s="3">
        <f>IF(ORIG!Q1117=0,"",ORIG!Q1117)</f>
        <v/>
      </c>
      <c r="R1117" s="3">
        <f>IF(ORIG!R1117=0,"",ORIG!R1117)</f>
        <v/>
      </c>
      <c r="S1117" s="3">
        <f>IF(ORIG!S1117=0,"",ORIG!S1117)</f>
        <v/>
      </c>
      <c r="T1117" s="3">
        <f>IF(ORIG!T1117=0,"",ORIG!T1117)</f>
        <v/>
      </c>
      <c r="U1117" s="3">
        <f>IF(ORIG!U1117=0,"",ORIG!U1117)</f>
        <v/>
      </c>
      <c r="V1117" s="9">
        <f>IF(ORIG!V1117=0,"",ORIG!V1117)</f>
        <v/>
      </c>
      <c r="W1117" s="9">
        <f>IF(ORIG!W1117=0,"",ORIG!W1117)</f>
        <v/>
      </c>
      <c r="X1117" s="9">
        <f>IF(ORIG!X1117=0,"",ORIG!X1117)</f>
        <v/>
      </c>
      <c r="Y1117" s="9">
        <f>IF(ORIG!Y1117=0,"",ORIG!Y1117)</f>
        <v/>
      </c>
      <c r="Z1117" s="3">
        <f>SUMPRODUCT($B1117:$Y1117,$B$2649:$Y$2649)</f>
        <v/>
      </c>
      <c r="AA1117" s="3">
        <f>SUMPRODUCT($B1117:$Y1117,$B$2655:$Y$2655)</f>
        <v/>
      </c>
      <c r="AC1117" s="1">
        <f>A1117</f>
        <v/>
      </c>
      <c r="AD1117">
        <f>IF(ISNUMBER(V1117),V1117*($AB$1/V$2635),"")</f>
        <v/>
      </c>
      <c r="AE1117">
        <f>IF(ISNUMBER(Z1117),Z1117*($AB$1/Z$2635),"")</f>
        <v/>
      </c>
      <c r="AF1117" s="25">
        <f>IF(ISNUMBER(AD1117+AE1117),AD1117+AE1117,"")</f>
        <v/>
      </c>
      <c r="AH1117" s="1">
        <f>A1117</f>
        <v/>
      </c>
      <c r="AI1117">
        <f>IF(ISNUMBER((1+V1117)*AI1116),(1+V1117)*AI1116,AI1116)</f>
        <v/>
      </c>
      <c r="AJ1117">
        <f>IF(ISNUMBER((1+Z1117)*AJ1116),(1+Z1117)*AJ1116,AJ1116)</f>
        <v/>
      </c>
    </row>
    <row r="1118">
      <c r="A1118" s="1" t="n">
        <v>43626</v>
      </c>
      <c r="B1118" s="3">
        <f>IF(ORIG!B1118=0,"",ORIG!B1118)</f>
        <v/>
      </c>
      <c r="C1118" s="3">
        <f>IF(ORIG!C1118=0,"",ORIG!C1118)</f>
        <v/>
      </c>
      <c r="D1118" s="3">
        <f>IF(ORIG!D1118=0,"",ORIG!D1118)</f>
        <v/>
      </c>
      <c r="E1118" s="3">
        <f>IF(ORIG!E1118=0,"",ORIG!E1118)</f>
        <v/>
      </c>
      <c r="F1118" s="3">
        <f>IF(ORIG!F1118=0,"",ORIG!F1118)</f>
        <v/>
      </c>
      <c r="G1118" s="3">
        <f>IF(ORIG!G1118=0,"",ORIG!G1118)</f>
        <v/>
      </c>
      <c r="H1118" s="3">
        <f>IF(ORIG!H1118=0,"",ORIG!H1118)</f>
        <v/>
      </c>
      <c r="I1118" s="3">
        <f>IF(ORIG!I1118=0,"",ORIG!I1118)</f>
        <v/>
      </c>
      <c r="J1118" s="3">
        <f>IF(ORIG!J1118=0,"",ORIG!J1118)</f>
        <v/>
      </c>
      <c r="K1118" s="3">
        <f>IF(ORIG!K1118=0,"",ORIG!K1118)</f>
        <v/>
      </c>
      <c r="L1118" s="3">
        <f>IF(ORIG!L1118=0,"",ORIG!L1118)</f>
        <v/>
      </c>
      <c r="M1118" s="3">
        <f>IF(ORIG!M1118=0,"",ORIG!M1118)</f>
        <v/>
      </c>
      <c r="N1118" s="3">
        <f>IF(ORIG!N1118=0,"",ORIG!N1118)</f>
        <v/>
      </c>
      <c r="O1118" s="3">
        <f>IF(ORIG!O1118=0,"",ORIG!O1118)</f>
        <v/>
      </c>
      <c r="P1118" s="3">
        <f>IF(ORIG!P1118=0,"",ORIG!P1118)</f>
        <v/>
      </c>
      <c r="Q1118" s="3">
        <f>IF(ORIG!Q1118=0,"",ORIG!Q1118)</f>
        <v/>
      </c>
      <c r="R1118" s="3">
        <f>IF(ORIG!R1118=0,"",ORIG!R1118)</f>
        <v/>
      </c>
      <c r="S1118" s="3">
        <f>IF(ORIG!S1118=0,"",ORIG!S1118)</f>
        <v/>
      </c>
      <c r="T1118" s="3">
        <f>IF(ORIG!T1118=0,"",ORIG!T1118)</f>
        <v/>
      </c>
      <c r="U1118" s="3">
        <f>IF(ORIG!U1118=0,"",ORIG!U1118)</f>
        <v/>
      </c>
      <c r="V1118" s="9">
        <f>IF(ORIG!V1118=0,"",ORIG!V1118)</f>
        <v/>
      </c>
      <c r="W1118" s="9">
        <f>IF(ORIG!W1118=0,"",ORIG!W1118)</f>
        <v/>
      </c>
      <c r="X1118" s="9">
        <f>IF(ORIG!X1118=0,"",ORIG!X1118)</f>
        <v/>
      </c>
      <c r="Y1118" s="9">
        <f>IF(ORIG!Y1118=0,"",ORIG!Y1118)</f>
        <v/>
      </c>
      <c r="Z1118" s="3">
        <f>SUMPRODUCT($B1118:$Y1118,$B$2649:$Y$2649)</f>
        <v/>
      </c>
      <c r="AA1118" s="3">
        <f>SUMPRODUCT($B1118:$Y1118,$B$2655:$Y$2655)</f>
        <v/>
      </c>
      <c r="AC1118" s="1">
        <f>A1118</f>
        <v/>
      </c>
      <c r="AD1118">
        <f>IF(ISNUMBER(V1118),V1118*($AB$1/V$2635),"")</f>
        <v/>
      </c>
      <c r="AE1118">
        <f>IF(ISNUMBER(Z1118),Z1118*($AB$1/Z$2635),"")</f>
        <v/>
      </c>
      <c r="AF1118" s="25">
        <f>IF(ISNUMBER(AD1118+AE1118),AD1118+AE1118,"")</f>
        <v/>
      </c>
      <c r="AH1118" s="1">
        <f>A1118</f>
        <v/>
      </c>
      <c r="AI1118">
        <f>IF(ISNUMBER((1+V1118)*AI1117),(1+V1118)*AI1117,AI1117)</f>
        <v/>
      </c>
      <c r="AJ1118">
        <f>IF(ISNUMBER((1+Z1118)*AJ1117),(1+Z1118)*AJ1117,AJ1117)</f>
        <v/>
      </c>
    </row>
    <row r="1119">
      <c r="A1119" s="1" t="n">
        <v>43627</v>
      </c>
      <c r="B1119" s="3">
        <f>IF(ORIG!B1119=0,"",ORIG!B1119)</f>
        <v/>
      </c>
      <c r="C1119" s="3">
        <f>IF(ORIG!C1119=0,"",ORIG!C1119)</f>
        <v/>
      </c>
      <c r="D1119" s="3">
        <f>IF(ORIG!D1119=0,"",ORIG!D1119)</f>
        <v/>
      </c>
      <c r="E1119" s="3">
        <f>IF(ORIG!E1119=0,"",ORIG!E1119)</f>
        <v/>
      </c>
      <c r="F1119" s="3">
        <f>IF(ORIG!F1119=0,"",ORIG!F1119)</f>
        <v/>
      </c>
      <c r="G1119" s="3">
        <f>IF(ORIG!G1119=0,"",ORIG!G1119)</f>
        <v/>
      </c>
      <c r="H1119" s="3">
        <f>IF(ORIG!H1119=0,"",ORIG!H1119)</f>
        <v/>
      </c>
      <c r="I1119" s="3">
        <f>IF(ORIG!I1119=0,"",ORIG!I1119)</f>
        <v/>
      </c>
      <c r="J1119" s="3">
        <f>IF(ORIG!J1119=0,"",ORIG!J1119)</f>
        <v/>
      </c>
      <c r="K1119" s="3">
        <f>IF(ORIG!K1119=0,"",ORIG!K1119)</f>
        <v/>
      </c>
      <c r="L1119" s="3">
        <f>IF(ORIG!L1119=0,"",ORIG!L1119)</f>
        <v/>
      </c>
      <c r="M1119" s="3">
        <f>IF(ORIG!M1119=0,"",ORIG!M1119)</f>
        <v/>
      </c>
      <c r="N1119" s="3">
        <f>IF(ORIG!N1119=0,"",ORIG!N1119)</f>
        <v/>
      </c>
      <c r="O1119" s="3">
        <f>IF(ORIG!O1119=0,"",ORIG!O1119)</f>
        <v/>
      </c>
      <c r="P1119" s="3">
        <f>IF(ORIG!P1119=0,"",ORIG!P1119)</f>
        <v/>
      </c>
      <c r="Q1119" s="3">
        <f>IF(ORIG!Q1119=0,"",ORIG!Q1119)</f>
        <v/>
      </c>
      <c r="R1119" s="3">
        <f>IF(ORIG!R1119=0,"",ORIG!R1119)</f>
        <v/>
      </c>
      <c r="S1119" s="3">
        <f>IF(ORIG!S1119=0,"",ORIG!S1119)</f>
        <v/>
      </c>
      <c r="T1119" s="3">
        <f>IF(ORIG!T1119=0,"",ORIG!T1119)</f>
        <v/>
      </c>
      <c r="U1119" s="3">
        <f>IF(ORIG!U1119=0,"",ORIG!U1119)</f>
        <v/>
      </c>
      <c r="V1119" s="9">
        <f>IF(ORIG!V1119=0,"",ORIG!V1119)</f>
        <v/>
      </c>
      <c r="W1119" s="9">
        <f>IF(ORIG!W1119=0,"",ORIG!W1119)</f>
        <v/>
      </c>
      <c r="X1119" s="9">
        <f>IF(ORIG!X1119=0,"",ORIG!X1119)</f>
        <v/>
      </c>
      <c r="Y1119" s="9">
        <f>IF(ORIG!Y1119=0,"",ORIG!Y1119)</f>
        <v/>
      </c>
      <c r="Z1119" s="3">
        <f>SUMPRODUCT($B1119:$Y1119,$B$2649:$Y$2649)</f>
        <v/>
      </c>
      <c r="AA1119" s="3">
        <f>SUMPRODUCT($B1119:$Y1119,$B$2655:$Y$2655)</f>
        <v/>
      </c>
      <c r="AC1119" s="1">
        <f>A1119</f>
        <v/>
      </c>
      <c r="AD1119">
        <f>IF(ISNUMBER(V1119),V1119*($AB$1/V$2635),"")</f>
        <v/>
      </c>
      <c r="AE1119">
        <f>IF(ISNUMBER(Z1119),Z1119*($AB$1/Z$2635),"")</f>
        <v/>
      </c>
      <c r="AF1119" s="25">
        <f>IF(ISNUMBER(AD1119+AE1119),AD1119+AE1119,"")</f>
        <v/>
      </c>
      <c r="AH1119" s="1">
        <f>A1119</f>
        <v/>
      </c>
      <c r="AI1119">
        <f>IF(ISNUMBER((1+V1119)*AI1118),(1+V1119)*AI1118,AI1118)</f>
        <v/>
      </c>
      <c r="AJ1119">
        <f>IF(ISNUMBER((1+Z1119)*AJ1118),(1+Z1119)*AJ1118,AJ1118)</f>
        <v/>
      </c>
    </row>
    <row r="1120">
      <c r="A1120" s="1" t="n">
        <v>43628</v>
      </c>
      <c r="B1120" s="3">
        <f>IF(ORIG!B1120=0,"",ORIG!B1120)</f>
        <v/>
      </c>
      <c r="C1120" s="3">
        <f>IF(ORIG!C1120=0,"",ORIG!C1120)</f>
        <v/>
      </c>
      <c r="D1120" s="3">
        <f>IF(ORIG!D1120=0,"",ORIG!D1120)</f>
        <v/>
      </c>
      <c r="E1120" s="3">
        <f>IF(ORIG!E1120=0,"",ORIG!E1120)</f>
        <v/>
      </c>
      <c r="F1120" s="3">
        <f>IF(ORIG!F1120=0,"",ORIG!F1120)</f>
        <v/>
      </c>
      <c r="G1120" s="3">
        <f>IF(ORIG!G1120=0,"",ORIG!G1120)</f>
        <v/>
      </c>
      <c r="H1120" s="3">
        <f>IF(ORIG!H1120=0,"",ORIG!H1120)</f>
        <v/>
      </c>
      <c r="I1120" s="3">
        <f>IF(ORIG!I1120=0,"",ORIG!I1120)</f>
        <v/>
      </c>
      <c r="J1120" s="3">
        <f>IF(ORIG!J1120=0,"",ORIG!J1120)</f>
        <v/>
      </c>
      <c r="K1120" s="3">
        <f>IF(ORIG!K1120=0,"",ORIG!K1120)</f>
        <v/>
      </c>
      <c r="L1120" s="3">
        <f>IF(ORIG!L1120=0,"",ORIG!L1120)</f>
        <v/>
      </c>
      <c r="M1120" s="3">
        <f>IF(ORIG!M1120=0,"",ORIG!M1120)</f>
        <v/>
      </c>
      <c r="N1120" s="3">
        <f>IF(ORIG!N1120=0,"",ORIG!N1120)</f>
        <v/>
      </c>
      <c r="O1120" s="3">
        <f>IF(ORIG!O1120=0,"",ORIG!O1120)</f>
        <v/>
      </c>
      <c r="P1120" s="3">
        <f>IF(ORIG!P1120=0,"",ORIG!P1120)</f>
        <v/>
      </c>
      <c r="Q1120" s="3">
        <f>IF(ORIG!Q1120=0,"",ORIG!Q1120)</f>
        <v/>
      </c>
      <c r="R1120" s="3">
        <f>IF(ORIG!R1120=0,"",ORIG!R1120)</f>
        <v/>
      </c>
      <c r="S1120" s="3">
        <f>IF(ORIG!S1120=0,"",ORIG!S1120)</f>
        <v/>
      </c>
      <c r="T1120" s="3">
        <f>IF(ORIG!T1120=0,"",ORIG!T1120)</f>
        <v/>
      </c>
      <c r="U1120" s="3">
        <f>IF(ORIG!U1120=0,"",ORIG!U1120)</f>
        <v/>
      </c>
      <c r="V1120" s="9">
        <f>IF(ORIG!V1120=0,"",ORIG!V1120)</f>
        <v/>
      </c>
      <c r="W1120" s="9">
        <f>IF(ORIG!W1120=0,"",ORIG!W1120)</f>
        <v/>
      </c>
      <c r="X1120" s="9">
        <f>IF(ORIG!X1120=0,"",ORIG!X1120)</f>
        <v/>
      </c>
      <c r="Y1120" s="9">
        <f>IF(ORIG!Y1120=0,"",ORIG!Y1120)</f>
        <v/>
      </c>
      <c r="Z1120" s="3">
        <f>SUMPRODUCT($B1120:$Y1120,$B$2649:$Y$2649)</f>
        <v/>
      </c>
      <c r="AA1120" s="3">
        <f>SUMPRODUCT($B1120:$Y1120,$B$2655:$Y$2655)</f>
        <v/>
      </c>
      <c r="AC1120" s="1">
        <f>A1120</f>
        <v/>
      </c>
      <c r="AD1120">
        <f>IF(ISNUMBER(V1120),V1120*($AB$1/V$2635),"")</f>
        <v/>
      </c>
      <c r="AE1120">
        <f>IF(ISNUMBER(Z1120),Z1120*($AB$1/Z$2635),"")</f>
        <v/>
      </c>
      <c r="AF1120" s="25">
        <f>IF(ISNUMBER(AD1120+AE1120),AD1120+AE1120,"")</f>
        <v/>
      </c>
      <c r="AH1120" s="1">
        <f>A1120</f>
        <v/>
      </c>
      <c r="AI1120">
        <f>IF(ISNUMBER((1+V1120)*AI1119),(1+V1120)*AI1119,AI1119)</f>
        <v/>
      </c>
      <c r="AJ1120">
        <f>IF(ISNUMBER((1+Z1120)*AJ1119),(1+Z1120)*AJ1119,AJ1119)</f>
        <v/>
      </c>
    </row>
    <row r="1121">
      <c r="A1121" s="1" t="n">
        <v>43629</v>
      </c>
      <c r="B1121" s="3">
        <f>IF(ORIG!B1121=0,"",ORIG!B1121)</f>
        <v/>
      </c>
      <c r="C1121" s="3">
        <f>IF(ORIG!C1121=0,"",ORIG!C1121)</f>
        <v/>
      </c>
      <c r="D1121" s="3">
        <f>IF(ORIG!D1121=0,"",ORIG!D1121)</f>
        <v/>
      </c>
      <c r="E1121" s="3">
        <f>IF(ORIG!E1121=0,"",ORIG!E1121)</f>
        <v/>
      </c>
      <c r="F1121" s="3">
        <f>IF(ORIG!F1121=0,"",ORIG!F1121)</f>
        <v/>
      </c>
      <c r="G1121" s="3">
        <f>IF(ORIG!G1121=0,"",ORIG!G1121)</f>
        <v/>
      </c>
      <c r="H1121" s="3">
        <f>IF(ORIG!H1121=0,"",ORIG!H1121)</f>
        <v/>
      </c>
      <c r="I1121" s="3">
        <f>IF(ORIG!I1121=0,"",ORIG!I1121)</f>
        <v/>
      </c>
      <c r="J1121" s="3">
        <f>IF(ORIG!J1121=0,"",ORIG!J1121)</f>
        <v/>
      </c>
      <c r="K1121" s="3">
        <f>IF(ORIG!K1121=0,"",ORIG!K1121)</f>
        <v/>
      </c>
      <c r="L1121" s="3">
        <f>IF(ORIG!L1121=0,"",ORIG!L1121)</f>
        <v/>
      </c>
      <c r="M1121" s="3">
        <f>IF(ORIG!M1121=0,"",ORIG!M1121)</f>
        <v/>
      </c>
      <c r="N1121" s="3">
        <f>IF(ORIG!N1121=0,"",ORIG!N1121)</f>
        <v/>
      </c>
      <c r="O1121" s="3">
        <f>IF(ORIG!O1121=0,"",ORIG!O1121)</f>
        <v/>
      </c>
      <c r="P1121" s="3">
        <f>IF(ORIG!P1121=0,"",ORIG!P1121)</f>
        <v/>
      </c>
      <c r="Q1121" s="3">
        <f>IF(ORIG!Q1121=0,"",ORIG!Q1121)</f>
        <v/>
      </c>
      <c r="R1121" s="3">
        <f>IF(ORIG!R1121=0,"",ORIG!R1121)</f>
        <v/>
      </c>
      <c r="S1121" s="3">
        <f>IF(ORIG!S1121=0,"",ORIG!S1121)</f>
        <v/>
      </c>
      <c r="T1121" s="3">
        <f>IF(ORIG!T1121=0,"",ORIG!T1121)</f>
        <v/>
      </c>
      <c r="U1121" s="3">
        <f>IF(ORIG!U1121=0,"",ORIG!U1121)</f>
        <v/>
      </c>
      <c r="V1121" s="9">
        <f>IF(ORIG!V1121=0,"",ORIG!V1121)</f>
        <v/>
      </c>
      <c r="W1121" s="9">
        <f>IF(ORIG!W1121=0,"",ORIG!W1121)</f>
        <v/>
      </c>
      <c r="X1121" s="9">
        <f>IF(ORIG!X1121=0,"",ORIG!X1121)</f>
        <v/>
      </c>
      <c r="Y1121" s="9">
        <f>IF(ORIG!Y1121=0,"",ORIG!Y1121)</f>
        <v/>
      </c>
      <c r="Z1121" s="3">
        <f>SUMPRODUCT($B1121:$Y1121,$B$2649:$Y$2649)</f>
        <v/>
      </c>
      <c r="AA1121" s="3">
        <f>SUMPRODUCT($B1121:$Y1121,$B$2655:$Y$2655)</f>
        <v/>
      </c>
      <c r="AC1121" s="1">
        <f>A1121</f>
        <v/>
      </c>
      <c r="AD1121">
        <f>IF(ISNUMBER(V1121),V1121*($AB$1/V$2635),"")</f>
        <v/>
      </c>
      <c r="AE1121">
        <f>IF(ISNUMBER(Z1121),Z1121*($AB$1/Z$2635),"")</f>
        <v/>
      </c>
      <c r="AF1121" s="25">
        <f>IF(ISNUMBER(AD1121+AE1121),AD1121+AE1121,"")</f>
        <v/>
      </c>
      <c r="AH1121" s="1">
        <f>A1121</f>
        <v/>
      </c>
      <c r="AI1121">
        <f>IF(ISNUMBER((1+V1121)*AI1120),(1+V1121)*AI1120,AI1120)</f>
        <v/>
      </c>
      <c r="AJ1121">
        <f>IF(ISNUMBER((1+Z1121)*AJ1120),(1+Z1121)*AJ1120,AJ1120)</f>
        <v/>
      </c>
    </row>
    <row r="1122">
      <c r="A1122" s="1" t="n">
        <v>43630</v>
      </c>
      <c r="B1122" s="3">
        <f>IF(ORIG!B1122=0,"",ORIG!B1122)</f>
        <v/>
      </c>
      <c r="C1122" s="3">
        <f>IF(ORIG!C1122=0,"",ORIG!C1122)</f>
        <v/>
      </c>
      <c r="D1122" s="3">
        <f>IF(ORIG!D1122=0,"",ORIG!D1122)</f>
        <v/>
      </c>
      <c r="E1122" s="3">
        <f>IF(ORIG!E1122=0,"",ORIG!E1122)</f>
        <v/>
      </c>
      <c r="F1122" s="3">
        <f>IF(ORIG!F1122=0,"",ORIG!F1122)</f>
        <v/>
      </c>
      <c r="G1122" s="3">
        <f>IF(ORIG!G1122=0,"",ORIG!G1122)</f>
        <v/>
      </c>
      <c r="H1122" s="3">
        <f>IF(ORIG!H1122=0,"",ORIG!H1122)</f>
        <v/>
      </c>
      <c r="I1122" s="3">
        <f>IF(ORIG!I1122=0,"",ORIG!I1122)</f>
        <v/>
      </c>
      <c r="J1122" s="3">
        <f>IF(ORIG!J1122=0,"",ORIG!J1122)</f>
        <v/>
      </c>
      <c r="K1122" s="3">
        <f>IF(ORIG!K1122=0,"",ORIG!K1122)</f>
        <v/>
      </c>
      <c r="L1122" s="3">
        <f>IF(ORIG!L1122=0,"",ORIG!L1122)</f>
        <v/>
      </c>
      <c r="M1122" s="3">
        <f>IF(ORIG!M1122=0,"",ORIG!M1122)</f>
        <v/>
      </c>
      <c r="N1122" s="3">
        <f>IF(ORIG!N1122=0,"",ORIG!N1122)</f>
        <v/>
      </c>
      <c r="O1122" s="3">
        <f>IF(ORIG!O1122=0,"",ORIG!O1122)</f>
        <v/>
      </c>
      <c r="P1122" s="3">
        <f>IF(ORIG!P1122=0,"",ORIG!P1122)</f>
        <v/>
      </c>
      <c r="Q1122" s="3">
        <f>IF(ORIG!Q1122=0,"",ORIG!Q1122)</f>
        <v/>
      </c>
      <c r="R1122" s="3">
        <f>IF(ORIG!R1122=0,"",ORIG!R1122)</f>
        <v/>
      </c>
      <c r="S1122" s="3">
        <f>IF(ORIG!S1122=0,"",ORIG!S1122)</f>
        <v/>
      </c>
      <c r="T1122" s="3">
        <f>IF(ORIG!T1122=0,"",ORIG!T1122)</f>
        <v/>
      </c>
      <c r="U1122" s="3">
        <f>IF(ORIG!U1122=0,"",ORIG!U1122)</f>
        <v/>
      </c>
      <c r="V1122" s="9">
        <f>IF(ORIG!V1122=0,"",ORIG!V1122)</f>
        <v/>
      </c>
      <c r="W1122" s="9">
        <f>IF(ORIG!W1122=0,"",ORIG!W1122)</f>
        <v/>
      </c>
      <c r="X1122" s="9">
        <f>IF(ORIG!X1122=0,"",ORIG!X1122)</f>
        <v/>
      </c>
      <c r="Y1122" s="9">
        <f>IF(ORIG!Y1122=0,"",ORIG!Y1122)</f>
        <v/>
      </c>
      <c r="Z1122" s="3">
        <f>SUMPRODUCT($B1122:$Y1122,$B$2649:$Y$2649)</f>
        <v/>
      </c>
      <c r="AA1122" s="3">
        <f>SUMPRODUCT($B1122:$Y1122,$B$2655:$Y$2655)</f>
        <v/>
      </c>
      <c r="AC1122" s="1">
        <f>A1122</f>
        <v/>
      </c>
      <c r="AD1122">
        <f>IF(ISNUMBER(V1122),V1122*($AB$1/V$2635),"")</f>
        <v/>
      </c>
      <c r="AE1122">
        <f>IF(ISNUMBER(Z1122),Z1122*($AB$1/Z$2635),"")</f>
        <v/>
      </c>
      <c r="AF1122" s="25">
        <f>IF(ISNUMBER(AD1122+AE1122),AD1122+AE1122,"")</f>
        <v/>
      </c>
      <c r="AH1122" s="1">
        <f>A1122</f>
        <v/>
      </c>
      <c r="AI1122">
        <f>IF(ISNUMBER((1+V1122)*AI1121),(1+V1122)*AI1121,AI1121)</f>
        <v/>
      </c>
      <c r="AJ1122">
        <f>IF(ISNUMBER((1+Z1122)*AJ1121),(1+Z1122)*AJ1121,AJ1121)</f>
        <v/>
      </c>
    </row>
    <row r="1123">
      <c r="A1123" s="1" t="n">
        <v>43633</v>
      </c>
      <c r="B1123" s="3">
        <f>IF(ORIG!B1123=0,"",ORIG!B1123)</f>
        <v/>
      </c>
      <c r="C1123" s="3">
        <f>IF(ORIG!C1123=0,"",ORIG!C1123)</f>
        <v/>
      </c>
      <c r="D1123" s="3">
        <f>IF(ORIG!D1123=0,"",ORIG!D1123)</f>
        <v/>
      </c>
      <c r="E1123" s="3">
        <f>IF(ORIG!E1123=0,"",ORIG!E1123)</f>
        <v/>
      </c>
      <c r="F1123" s="3">
        <f>IF(ORIG!F1123=0,"",ORIG!F1123)</f>
        <v/>
      </c>
      <c r="G1123" s="3">
        <f>IF(ORIG!G1123=0,"",ORIG!G1123)</f>
        <v/>
      </c>
      <c r="H1123" s="3">
        <f>IF(ORIG!H1123=0,"",ORIG!H1123)</f>
        <v/>
      </c>
      <c r="I1123" s="3">
        <f>IF(ORIG!I1123=0,"",ORIG!I1123)</f>
        <v/>
      </c>
      <c r="J1123" s="3">
        <f>IF(ORIG!J1123=0,"",ORIG!J1123)</f>
        <v/>
      </c>
      <c r="K1123" s="3">
        <f>IF(ORIG!K1123=0,"",ORIG!K1123)</f>
        <v/>
      </c>
      <c r="L1123" s="3">
        <f>IF(ORIG!L1123=0,"",ORIG!L1123)</f>
        <v/>
      </c>
      <c r="M1123" s="3">
        <f>IF(ORIG!M1123=0,"",ORIG!M1123)</f>
        <v/>
      </c>
      <c r="N1123" s="3">
        <f>IF(ORIG!N1123=0,"",ORIG!N1123)</f>
        <v/>
      </c>
      <c r="O1123" s="3">
        <f>IF(ORIG!O1123=0,"",ORIG!O1123)</f>
        <v/>
      </c>
      <c r="P1123" s="3">
        <f>IF(ORIG!P1123=0,"",ORIG!P1123)</f>
        <v/>
      </c>
      <c r="Q1123" s="3">
        <f>IF(ORIG!Q1123=0,"",ORIG!Q1123)</f>
        <v/>
      </c>
      <c r="R1123" s="3">
        <f>IF(ORIG!R1123=0,"",ORIG!R1123)</f>
        <v/>
      </c>
      <c r="S1123" s="3">
        <f>IF(ORIG!S1123=0,"",ORIG!S1123)</f>
        <v/>
      </c>
      <c r="T1123" s="3">
        <f>IF(ORIG!T1123=0,"",ORIG!T1123)</f>
        <v/>
      </c>
      <c r="U1123" s="3">
        <f>IF(ORIG!U1123=0,"",ORIG!U1123)</f>
        <v/>
      </c>
      <c r="V1123" s="9">
        <f>IF(ORIG!V1123=0,"",ORIG!V1123)</f>
        <v/>
      </c>
      <c r="W1123" s="9">
        <f>IF(ORIG!W1123=0,"",ORIG!W1123)</f>
        <v/>
      </c>
      <c r="X1123" s="9">
        <f>IF(ORIG!X1123=0,"",ORIG!X1123)</f>
        <v/>
      </c>
      <c r="Y1123" s="9">
        <f>IF(ORIG!Y1123=0,"",ORIG!Y1123)</f>
        <v/>
      </c>
      <c r="Z1123" s="3">
        <f>SUMPRODUCT($B1123:$Y1123,$B$2649:$Y$2649)</f>
        <v/>
      </c>
      <c r="AA1123" s="3">
        <f>SUMPRODUCT($B1123:$Y1123,$B$2655:$Y$2655)</f>
        <v/>
      </c>
      <c r="AC1123" s="1">
        <f>A1123</f>
        <v/>
      </c>
      <c r="AD1123">
        <f>IF(ISNUMBER(V1123),V1123*($AB$1/V$2635),"")</f>
        <v/>
      </c>
      <c r="AE1123">
        <f>IF(ISNUMBER(Z1123),Z1123*($AB$1/Z$2635),"")</f>
        <v/>
      </c>
      <c r="AF1123" s="25">
        <f>IF(ISNUMBER(AD1123+AE1123),AD1123+AE1123,"")</f>
        <v/>
      </c>
      <c r="AH1123" s="1">
        <f>A1123</f>
        <v/>
      </c>
      <c r="AI1123">
        <f>IF(ISNUMBER((1+V1123)*AI1122),(1+V1123)*AI1122,AI1122)</f>
        <v/>
      </c>
      <c r="AJ1123">
        <f>IF(ISNUMBER((1+Z1123)*AJ1122),(1+Z1123)*AJ1122,AJ1122)</f>
        <v/>
      </c>
    </row>
    <row r="1124">
      <c r="A1124" s="1" t="n">
        <v>43634</v>
      </c>
      <c r="B1124" s="3">
        <f>IF(ORIG!B1124=0,"",ORIG!B1124)</f>
        <v/>
      </c>
      <c r="C1124" s="3">
        <f>IF(ORIG!C1124=0,"",ORIG!C1124)</f>
        <v/>
      </c>
      <c r="D1124" s="3">
        <f>IF(ORIG!D1124=0,"",ORIG!D1124)</f>
        <v/>
      </c>
      <c r="E1124" s="3">
        <f>IF(ORIG!E1124=0,"",ORIG!E1124)</f>
        <v/>
      </c>
      <c r="F1124" s="3">
        <f>IF(ORIG!F1124=0,"",ORIG!F1124)</f>
        <v/>
      </c>
      <c r="G1124" s="3">
        <f>IF(ORIG!G1124=0,"",ORIG!G1124)</f>
        <v/>
      </c>
      <c r="H1124" s="3">
        <f>IF(ORIG!H1124=0,"",ORIG!H1124)</f>
        <v/>
      </c>
      <c r="I1124" s="3">
        <f>IF(ORIG!I1124=0,"",ORIG!I1124)</f>
        <v/>
      </c>
      <c r="J1124" s="3">
        <f>IF(ORIG!J1124=0,"",ORIG!J1124)</f>
        <v/>
      </c>
      <c r="K1124" s="3">
        <f>IF(ORIG!K1124=0,"",ORIG!K1124)</f>
        <v/>
      </c>
      <c r="L1124" s="3">
        <f>IF(ORIG!L1124=0,"",ORIG!L1124)</f>
        <v/>
      </c>
      <c r="M1124" s="3">
        <f>IF(ORIG!M1124=0,"",ORIG!M1124)</f>
        <v/>
      </c>
      <c r="N1124" s="3">
        <f>IF(ORIG!N1124=0,"",ORIG!N1124)</f>
        <v/>
      </c>
      <c r="O1124" s="3">
        <f>IF(ORIG!O1124=0,"",ORIG!O1124)</f>
        <v/>
      </c>
      <c r="P1124" s="3">
        <f>IF(ORIG!P1124=0,"",ORIG!P1124)</f>
        <v/>
      </c>
      <c r="Q1124" s="3">
        <f>IF(ORIG!Q1124=0,"",ORIG!Q1124)</f>
        <v/>
      </c>
      <c r="R1124" s="3">
        <f>IF(ORIG!R1124=0,"",ORIG!R1124)</f>
        <v/>
      </c>
      <c r="S1124" s="3">
        <f>IF(ORIG!S1124=0,"",ORIG!S1124)</f>
        <v/>
      </c>
      <c r="T1124" s="3">
        <f>IF(ORIG!T1124=0,"",ORIG!T1124)</f>
        <v/>
      </c>
      <c r="U1124" s="3">
        <f>IF(ORIG!U1124=0,"",ORIG!U1124)</f>
        <v/>
      </c>
      <c r="V1124" s="9">
        <f>IF(ORIG!V1124=0,"",ORIG!V1124)</f>
        <v/>
      </c>
      <c r="W1124" s="9">
        <f>IF(ORIG!W1124=0,"",ORIG!W1124)</f>
        <v/>
      </c>
      <c r="X1124" s="9">
        <f>IF(ORIG!X1124=0,"",ORIG!X1124)</f>
        <v/>
      </c>
      <c r="Y1124" s="9">
        <f>IF(ORIG!Y1124=0,"",ORIG!Y1124)</f>
        <v/>
      </c>
      <c r="Z1124" s="3">
        <f>SUMPRODUCT($B1124:$Y1124,$B$2649:$Y$2649)</f>
        <v/>
      </c>
      <c r="AA1124" s="3">
        <f>SUMPRODUCT($B1124:$Y1124,$B$2655:$Y$2655)</f>
        <v/>
      </c>
      <c r="AC1124" s="1">
        <f>A1124</f>
        <v/>
      </c>
      <c r="AD1124">
        <f>IF(ISNUMBER(V1124),V1124*($AB$1/V$2635),"")</f>
        <v/>
      </c>
      <c r="AE1124">
        <f>IF(ISNUMBER(Z1124),Z1124*($AB$1/Z$2635),"")</f>
        <v/>
      </c>
      <c r="AF1124" s="25">
        <f>IF(ISNUMBER(AD1124+AE1124),AD1124+AE1124,"")</f>
        <v/>
      </c>
      <c r="AH1124" s="1">
        <f>A1124</f>
        <v/>
      </c>
      <c r="AI1124">
        <f>IF(ISNUMBER((1+V1124)*AI1123),(1+V1124)*AI1123,AI1123)</f>
        <v/>
      </c>
      <c r="AJ1124">
        <f>IF(ISNUMBER((1+Z1124)*AJ1123),(1+Z1124)*AJ1123,AJ1123)</f>
        <v/>
      </c>
    </row>
    <row r="1125">
      <c r="A1125" s="1" t="n">
        <v>43635</v>
      </c>
      <c r="B1125" s="3">
        <f>IF(ORIG!B1125=0,"",ORIG!B1125)</f>
        <v/>
      </c>
      <c r="C1125" s="3">
        <f>IF(ORIG!C1125=0,"",ORIG!C1125)</f>
        <v/>
      </c>
      <c r="D1125" s="3">
        <f>IF(ORIG!D1125=0,"",ORIG!D1125)</f>
        <v/>
      </c>
      <c r="E1125" s="3">
        <f>IF(ORIG!E1125=0,"",ORIG!E1125)</f>
        <v/>
      </c>
      <c r="F1125" s="3">
        <f>IF(ORIG!F1125=0,"",ORIG!F1125)</f>
        <v/>
      </c>
      <c r="G1125" s="3">
        <f>IF(ORIG!G1125=0,"",ORIG!G1125)</f>
        <v/>
      </c>
      <c r="H1125" s="3">
        <f>IF(ORIG!H1125=0,"",ORIG!H1125)</f>
        <v/>
      </c>
      <c r="I1125" s="3">
        <f>IF(ORIG!I1125=0,"",ORIG!I1125)</f>
        <v/>
      </c>
      <c r="J1125" s="3">
        <f>IF(ORIG!J1125=0,"",ORIG!J1125)</f>
        <v/>
      </c>
      <c r="K1125" s="3">
        <f>IF(ORIG!K1125=0,"",ORIG!K1125)</f>
        <v/>
      </c>
      <c r="L1125" s="3">
        <f>IF(ORIG!L1125=0,"",ORIG!L1125)</f>
        <v/>
      </c>
      <c r="M1125" s="3">
        <f>IF(ORIG!M1125=0,"",ORIG!M1125)</f>
        <v/>
      </c>
      <c r="N1125" s="3">
        <f>IF(ORIG!N1125=0,"",ORIG!N1125)</f>
        <v/>
      </c>
      <c r="O1125" s="3">
        <f>IF(ORIG!O1125=0,"",ORIG!O1125)</f>
        <v/>
      </c>
      <c r="P1125" s="3">
        <f>IF(ORIG!P1125=0,"",ORIG!P1125)</f>
        <v/>
      </c>
      <c r="Q1125" s="3">
        <f>IF(ORIG!Q1125=0,"",ORIG!Q1125)</f>
        <v/>
      </c>
      <c r="R1125" s="3">
        <f>IF(ORIG!R1125=0,"",ORIG!R1125)</f>
        <v/>
      </c>
      <c r="S1125" s="3">
        <f>IF(ORIG!S1125=0,"",ORIG!S1125)</f>
        <v/>
      </c>
      <c r="T1125" s="3">
        <f>IF(ORIG!T1125=0,"",ORIG!T1125)</f>
        <v/>
      </c>
      <c r="U1125" s="3">
        <f>IF(ORIG!U1125=0,"",ORIG!U1125)</f>
        <v/>
      </c>
      <c r="V1125" s="9">
        <f>IF(ORIG!V1125=0,"",ORIG!V1125)</f>
        <v/>
      </c>
      <c r="W1125" s="9">
        <f>IF(ORIG!W1125=0,"",ORIG!W1125)</f>
        <v/>
      </c>
      <c r="X1125" s="9">
        <f>IF(ORIG!X1125=0,"",ORIG!X1125)</f>
        <v/>
      </c>
      <c r="Y1125" s="9">
        <f>IF(ORIG!Y1125=0,"",ORIG!Y1125)</f>
        <v/>
      </c>
      <c r="Z1125" s="3">
        <f>SUMPRODUCT($B1125:$Y1125,$B$2649:$Y$2649)</f>
        <v/>
      </c>
      <c r="AA1125" s="3">
        <f>SUMPRODUCT($B1125:$Y1125,$B$2655:$Y$2655)</f>
        <v/>
      </c>
      <c r="AC1125" s="1">
        <f>A1125</f>
        <v/>
      </c>
      <c r="AD1125">
        <f>IF(ISNUMBER(V1125),V1125*($AB$1/V$2635),"")</f>
        <v/>
      </c>
      <c r="AE1125">
        <f>IF(ISNUMBER(Z1125),Z1125*($AB$1/Z$2635),"")</f>
        <v/>
      </c>
      <c r="AF1125" s="25">
        <f>IF(ISNUMBER(AD1125+AE1125),AD1125+AE1125,"")</f>
        <v/>
      </c>
      <c r="AH1125" s="1">
        <f>A1125</f>
        <v/>
      </c>
      <c r="AI1125">
        <f>IF(ISNUMBER((1+V1125)*AI1124),(1+V1125)*AI1124,AI1124)</f>
        <v/>
      </c>
      <c r="AJ1125">
        <f>IF(ISNUMBER((1+Z1125)*AJ1124),(1+Z1125)*AJ1124,AJ1124)</f>
        <v/>
      </c>
    </row>
    <row r="1126">
      <c r="A1126" s="1" t="n">
        <v>43636</v>
      </c>
      <c r="B1126" s="3">
        <f>IF(ORIG!B1126=0,"",ORIG!B1126)</f>
        <v/>
      </c>
      <c r="C1126" s="3">
        <f>IF(ORIG!C1126=0,"",ORIG!C1126)</f>
        <v/>
      </c>
      <c r="D1126" s="3">
        <f>IF(ORIG!D1126=0,"",ORIG!D1126)</f>
        <v/>
      </c>
      <c r="E1126" s="3">
        <f>IF(ORIG!E1126=0,"",ORIG!E1126)</f>
        <v/>
      </c>
      <c r="F1126" s="3">
        <f>IF(ORIG!F1126=0,"",ORIG!F1126)</f>
        <v/>
      </c>
      <c r="G1126" s="3">
        <f>IF(ORIG!G1126=0,"",ORIG!G1126)</f>
        <v/>
      </c>
      <c r="H1126" s="3">
        <f>IF(ORIG!H1126=0,"",ORIG!H1126)</f>
        <v/>
      </c>
      <c r="I1126" s="3">
        <f>IF(ORIG!I1126=0,"",ORIG!I1126)</f>
        <v/>
      </c>
      <c r="J1126" s="3">
        <f>IF(ORIG!J1126=0,"",ORIG!J1126)</f>
        <v/>
      </c>
      <c r="K1126" s="3">
        <f>IF(ORIG!K1126=0,"",ORIG!K1126)</f>
        <v/>
      </c>
      <c r="L1126" s="3">
        <f>IF(ORIG!L1126=0,"",ORIG!L1126)</f>
        <v/>
      </c>
      <c r="M1126" s="3">
        <f>IF(ORIG!M1126=0,"",ORIG!M1126)</f>
        <v/>
      </c>
      <c r="N1126" s="3">
        <f>IF(ORIG!N1126=0,"",ORIG!N1126)</f>
        <v/>
      </c>
      <c r="O1126" s="3">
        <f>IF(ORIG!O1126=0,"",ORIG!O1126)</f>
        <v/>
      </c>
      <c r="P1126" s="3">
        <f>IF(ORIG!P1126=0,"",ORIG!P1126)</f>
        <v/>
      </c>
      <c r="Q1126" s="3">
        <f>IF(ORIG!Q1126=0,"",ORIG!Q1126)</f>
        <v/>
      </c>
      <c r="R1126" s="3">
        <f>IF(ORIG!R1126=0,"",ORIG!R1126)</f>
        <v/>
      </c>
      <c r="S1126" s="3">
        <f>IF(ORIG!S1126=0,"",ORIG!S1126)</f>
        <v/>
      </c>
      <c r="T1126" s="3">
        <f>IF(ORIG!T1126=0,"",ORIG!T1126)</f>
        <v/>
      </c>
      <c r="U1126" s="3">
        <f>IF(ORIG!U1126=0,"",ORIG!U1126)</f>
        <v/>
      </c>
      <c r="V1126" s="9">
        <f>IF(ORIG!V1126=0,"",ORIG!V1126)</f>
        <v/>
      </c>
      <c r="W1126" s="9">
        <f>IF(ORIG!W1126=0,"",ORIG!W1126)</f>
        <v/>
      </c>
      <c r="X1126" s="9">
        <f>IF(ORIG!X1126=0,"",ORIG!X1126)</f>
        <v/>
      </c>
      <c r="Y1126" s="9">
        <f>IF(ORIG!Y1126=0,"",ORIG!Y1126)</f>
        <v/>
      </c>
      <c r="Z1126" s="3">
        <f>SUMPRODUCT($B1126:$Y1126,$B$2649:$Y$2649)</f>
        <v/>
      </c>
      <c r="AA1126" s="3">
        <f>SUMPRODUCT($B1126:$Y1126,$B$2655:$Y$2655)</f>
        <v/>
      </c>
      <c r="AC1126" s="1">
        <f>A1126</f>
        <v/>
      </c>
      <c r="AD1126">
        <f>IF(ISNUMBER(V1126),V1126*($AB$1/V$2635),"")</f>
        <v/>
      </c>
      <c r="AE1126">
        <f>IF(ISNUMBER(Z1126),Z1126*($AB$1/Z$2635),"")</f>
        <v/>
      </c>
      <c r="AF1126" s="25">
        <f>IF(ISNUMBER(AD1126+AE1126),AD1126+AE1126,"")</f>
        <v/>
      </c>
      <c r="AH1126" s="1">
        <f>A1126</f>
        <v/>
      </c>
      <c r="AI1126">
        <f>IF(ISNUMBER((1+V1126)*AI1125),(1+V1126)*AI1125,AI1125)</f>
        <v/>
      </c>
      <c r="AJ1126">
        <f>IF(ISNUMBER((1+Z1126)*AJ1125),(1+Z1126)*AJ1125,AJ1125)</f>
        <v/>
      </c>
    </row>
    <row r="1127">
      <c r="A1127" s="1" t="n">
        <v>43637</v>
      </c>
      <c r="B1127" s="3">
        <f>IF(ORIG!B1127=0,"",ORIG!B1127)</f>
        <v/>
      </c>
      <c r="C1127" s="3">
        <f>IF(ORIG!C1127=0,"",ORIG!C1127)</f>
        <v/>
      </c>
      <c r="D1127" s="3">
        <f>IF(ORIG!D1127=0,"",ORIG!D1127)</f>
        <v/>
      </c>
      <c r="E1127" s="3">
        <f>IF(ORIG!E1127=0,"",ORIG!E1127)</f>
        <v/>
      </c>
      <c r="F1127" s="3">
        <f>IF(ORIG!F1127=0,"",ORIG!F1127)</f>
        <v/>
      </c>
      <c r="G1127" s="3">
        <f>IF(ORIG!G1127=0,"",ORIG!G1127)</f>
        <v/>
      </c>
      <c r="H1127" s="3">
        <f>IF(ORIG!H1127=0,"",ORIG!H1127)</f>
        <v/>
      </c>
      <c r="I1127" s="3">
        <f>IF(ORIG!I1127=0,"",ORIG!I1127)</f>
        <v/>
      </c>
      <c r="J1127" s="3">
        <f>IF(ORIG!J1127=0,"",ORIG!J1127)</f>
        <v/>
      </c>
      <c r="K1127" s="3">
        <f>IF(ORIG!K1127=0,"",ORIG!K1127)</f>
        <v/>
      </c>
      <c r="L1127" s="3">
        <f>IF(ORIG!L1127=0,"",ORIG!L1127)</f>
        <v/>
      </c>
      <c r="M1127" s="3">
        <f>IF(ORIG!M1127=0,"",ORIG!M1127)</f>
        <v/>
      </c>
      <c r="N1127" s="3">
        <f>IF(ORIG!N1127=0,"",ORIG!N1127)</f>
        <v/>
      </c>
      <c r="O1127" s="3">
        <f>IF(ORIG!O1127=0,"",ORIG!O1127)</f>
        <v/>
      </c>
      <c r="P1127" s="3">
        <f>IF(ORIG!P1127=0,"",ORIG!P1127)</f>
        <v/>
      </c>
      <c r="Q1127" s="3">
        <f>IF(ORIG!Q1127=0,"",ORIG!Q1127)</f>
        <v/>
      </c>
      <c r="R1127" s="3">
        <f>IF(ORIG!R1127=0,"",ORIG!R1127)</f>
        <v/>
      </c>
      <c r="S1127" s="3">
        <f>IF(ORIG!S1127=0,"",ORIG!S1127)</f>
        <v/>
      </c>
      <c r="T1127" s="3">
        <f>IF(ORIG!T1127=0,"",ORIG!T1127)</f>
        <v/>
      </c>
      <c r="U1127" s="3">
        <f>IF(ORIG!U1127=0,"",ORIG!U1127)</f>
        <v/>
      </c>
      <c r="V1127" s="9">
        <f>IF(ORIG!V1127=0,"",ORIG!V1127)</f>
        <v/>
      </c>
      <c r="W1127" s="9">
        <f>IF(ORIG!W1127=0,"",ORIG!W1127)</f>
        <v/>
      </c>
      <c r="X1127" s="9">
        <f>IF(ORIG!X1127=0,"",ORIG!X1127)</f>
        <v/>
      </c>
      <c r="Y1127" s="9">
        <f>IF(ORIG!Y1127=0,"",ORIG!Y1127)</f>
        <v/>
      </c>
      <c r="Z1127" s="3">
        <f>SUMPRODUCT($B1127:$Y1127,$B$2649:$Y$2649)</f>
        <v/>
      </c>
      <c r="AA1127" s="3">
        <f>SUMPRODUCT($B1127:$Y1127,$B$2655:$Y$2655)</f>
        <v/>
      </c>
      <c r="AC1127" s="1">
        <f>A1127</f>
        <v/>
      </c>
      <c r="AD1127">
        <f>IF(ISNUMBER(V1127),V1127*($AB$1/V$2635),"")</f>
        <v/>
      </c>
      <c r="AE1127">
        <f>IF(ISNUMBER(Z1127),Z1127*($AB$1/Z$2635),"")</f>
        <v/>
      </c>
      <c r="AF1127" s="25">
        <f>IF(ISNUMBER(AD1127+AE1127),AD1127+AE1127,"")</f>
        <v/>
      </c>
      <c r="AH1127" s="1">
        <f>A1127</f>
        <v/>
      </c>
      <c r="AI1127">
        <f>IF(ISNUMBER((1+V1127)*AI1126),(1+V1127)*AI1126,AI1126)</f>
        <v/>
      </c>
      <c r="AJ1127">
        <f>IF(ISNUMBER((1+Z1127)*AJ1126),(1+Z1127)*AJ1126,AJ1126)</f>
        <v/>
      </c>
    </row>
    <row r="1128">
      <c r="A1128" s="1" t="n">
        <v>43640</v>
      </c>
      <c r="B1128" s="3">
        <f>IF(ORIG!B1128=0,"",ORIG!B1128)</f>
        <v/>
      </c>
      <c r="C1128" s="3">
        <f>IF(ORIG!C1128=0,"",ORIG!C1128)</f>
        <v/>
      </c>
      <c r="D1128" s="3">
        <f>IF(ORIG!D1128=0,"",ORIG!D1128)</f>
        <v/>
      </c>
      <c r="E1128" s="3">
        <f>IF(ORIG!E1128=0,"",ORIG!E1128)</f>
        <v/>
      </c>
      <c r="F1128" s="3">
        <f>IF(ORIG!F1128=0,"",ORIG!F1128)</f>
        <v/>
      </c>
      <c r="G1128" s="3">
        <f>IF(ORIG!G1128=0,"",ORIG!G1128)</f>
        <v/>
      </c>
      <c r="H1128" s="3">
        <f>IF(ORIG!H1128=0,"",ORIG!H1128)</f>
        <v/>
      </c>
      <c r="I1128" s="3">
        <f>IF(ORIG!I1128=0,"",ORIG!I1128)</f>
        <v/>
      </c>
      <c r="J1128" s="3">
        <f>IF(ORIG!J1128=0,"",ORIG!J1128)</f>
        <v/>
      </c>
      <c r="K1128" s="3">
        <f>IF(ORIG!K1128=0,"",ORIG!K1128)</f>
        <v/>
      </c>
      <c r="L1128" s="3">
        <f>IF(ORIG!L1128=0,"",ORIG!L1128)</f>
        <v/>
      </c>
      <c r="M1128" s="3">
        <f>IF(ORIG!M1128=0,"",ORIG!M1128)</f>
        <v/>
      </c>
      <c r="N1128" s="3">
        <f>IF(ORIG!N1128=0,"",ORIG!N1128)</f>
        <v/>
      </c>
      <c r="O1128" s="3">
        <f>IF(ORIG!O1128=0,"",ORIG!O1128)</f>
        <v/>
      </c>
      <c r="P1128" s="3">
        <f>IF(ORIG!P1128=0,"",ORIG!P1128)</f>
        <v/>
      </c>
      <c r="Q1128" s="3">
        <f>IF(ORIG!Q1128=0,"",ORIG!Q1128)</f>
        <v/>
      </c>
      <c r="R1128" s="3">
        <f>IF(ORIG!R1128=0,"",ORIG!R1128)</f>
        <v/>
      </c>
      <c r="S1128" s="3">
        <f>IF(ORIG!S1128=0,"",ORIG!S1128)</f>
        <v/>
      </c>
      <c r="T1128" s="3">
        <f>IF(ORIG!T1128=0,"",ORIG!T1128)</f>
        <v/>
      </c>
      <c r="U1128" s="3">
        <f>IF(ORIG!U1128=0,"",ORIG!U1128)</f>
        <v/>
      </c>
      <c r="V1128" s="9">
        <f>IF(ORIG!V1128=0,"",ORIG!V1128)</f>
        <v/>
      </c>
      <c r="W1128" s="9">
        <f>IF(ORIG!W1128=0,"",ORIG!W1128)</f>
        <v/>
      </c>
      <c r="X1128" s="9">
        <f>IF(ORIG!X1128=0,"",ORIG!X1128)</f>
        <v/>
      </c>
      <c r="Y1128" s="9">
        <f>IF(ORIG!Y1128=0,"",ORIG!Y1128)</f>
        <v/>
      </c>
      <c r="Z1128" s="3">
        <f>SUMPRODUCT($B1128:$Y1128,$B$2649:$Y$2649)</f>
        <v/>
      </c>
      <c r="AA1128" s="3">
        <f>SUMPRODUCT($B1128:$Y1128,$B$2655:$Y$2655)</f>
        <v/>
      </c>
      <c r="AC1128" s="1">
        <f>A1128</f>
        <v/>
      </c>
      <c r="AD1128">
        <f>IF(ISNUMBER(V1128),V1128*($AB$1/V$2635),"")</f>
        <v/>
      </c>
      <c r="AE1128">
        <f>IF(ISNUMBER(Z1128),Z1128*($AB$1/Z$2635),"")</f>
        <v/>
      </c>
      <c r="AF1128" s="25">
        <f>IF(ISNUMBER(AD1128+AE1128),AD1128+AE1128,"")</f>
        <v/>
      </c>
      <c r="AH1128" s="1">
        <f>A1128</f>
        <v/>
      </c>
      <c r="AI1128">
        <f>IF(ISNUMBER((1+V1128)*AI1127),(1+V1128)*AI1127,AI1127)</f>
        <v/>
      </c>
      <c r="AJ1128">
        <f>IF(ISNUMBER((1+Z1128)*AJ1127),(1+Z1128)*AJ1127,AJ1127)</f>
        <v/>
      </c>
    </row>
    <row r="1129">
      <c r="A1129" s="1" t="n">
        <v>43641</v>
      </c>
      <c r="B1129" s="3">
        <f>IF(ORIG!B1129=0,"",ORIG!B1129)</f>
        <v/>
      </c>
      <c r="C1129" s="3">
        <f>IF(ORIG!C1129=0,"",ORIG!C1129)</f>
        <v/>
      </c>
      <c r="D1129" s="3">
        <f>IF(ORIG!D1129=0,"",ORIG!D1129)</f>
        <v/>
      </c>
      <c r="E1129" s="3">
        <f>IF(ORIG!E1129=0,"",ORIG!E1129)</f>
        <v/>
      </c>
      <c r="F1129" s="3">
        <f>IF(ORIG!F1129=0,"",ORIG!F1129)</f>
        <v/>
      </c>
      <c r="G1129" s="3">
        <f>IF(ORIG!G1129=0,"",ORIG!G1129)</f>
        <v/>
      </c>
      <c r="H1129" s="3">
        <f>IF(ORIG!H1129=0,"",ORIG!H1129)</f>
        <v/>
      </c>
      <c r="I1129" s="3">
        <f>IF(ORIG!I1129=0,"",ORIG!I1129)</f>
        <v/>
      </c>
      <c r="J1129" s="3">
        <f>IF(ORIG!J1129=0,"",ORIG!J1129)</f>
        <v/>
      </c>
      <c r="K1129" s="3">
        <f>IF(ORIG!K1129=0,"",ORIG!K1129)</f>
        <v/>
      </c>
      <c r="L1129" s="3">
        <f>IF(ORIG!L1129=0,"",ORIG!L1129)</f>
        <v/>
      </c>
      <c r="M1129" s="3">
        <f>IF(ORIG!M1129=0,"",ORIG!M1129)</f>
        <v/>
      </c>
      <c r="N1129" s="3">
        <f>IF(ORIG!N1129=0,"",ORIG!N1129)</f>
        <v/>
      </c>
      <c r="O1129" s="3">
        <f>IF(ORIG!O1129=0,"",ORIG!O1129)</f>
        <v/>
      </c>
      <c r="P1129" s="3">
        <f>IF(ORIG!P1129=0,"",ORIG!P1129)</f>
        <v/>
      </c>
      <c r="Q1129" s="3">
        <f>IF(ORIG!Q1129=0,"",ORIG!Q1129)</f>
        <v/>
      </c>
      <c r="R1129" s="3">
        <f>IF(ORIG!R1129=0,"",ORIG!R1129)</f>
        <v/>
      </c>
      <c r="S1129" s="3">
        <f>IF(ORIG!S1129=0,"",ORIG!S1129)</f>
        <v/>
      </c>
      <c r="T1129" s="3">
        <f>IF(ORIG!T1129=0,"",ORIG!T1129)</f>
        <v/>
      </c>
      <c r="U1129" s="3">
        <f>IF(ORIG!U1129=0,"",ORIG!U1129)</f>
        <v/>
      </c>
      <c r="V1129" s="9">
        <f>IF(ORIG!V1129=0,"",ORIG!V1129)</f>
        <v/>
      </c>
      <c r="W1129" s="9">
        <f>IF(ORIG!W1129=0,"",ORIG!W1129)</f>
        <v/>
      </c>
      <c r="X1129" s="9">
        <f>IF(ORIG!X1129=0,"",ORIG!X1129)</f>
        <v/>
      </c>
      <c r="Y1129" s="9">
        <f>IF(ORIG!Y1129=0,"",ORIG!Y1129)</f>
        <v/>
      </c>
      <c r="Z1129" s="3">
        <f>SUMPRODUCT($B1129:$Y1129,$B$2649:$Y$2649)</f>
        <v/>
      </c>
      <c r="AA1129" s="3">
        <f>SUMPRODUCT($B1129:$Y1129,$B$2655:$Y$2655)</f>
        <v/>
      </c>
      <c r="AC1129" s="1">
        <f>A1129</f>
        <v/>
      </c>
      <c r="AD1129">
        <f>IF(ISNUMBER(V1129),V1129*($AB$1/V$2635),"")</f>
        <v/>
      </c>
      <c r="AE1129">
        <f>IF(ISNUMBER(Z1129),Z1129*($AB$1/Z$2635),"")</f>
        <v/>
      </c>
      <c r="AF1129" s="25">
        <f>IF(ISNUMBER(AD1129+AE1129),AD1129+AE1129,"")</f>
        <v/>
      </c>
      <c r="AH1129" s="1">
        <f>A1129</f>
        <v/>
      </c>
      <c r="AI1129">
        <f>IF(ISNUMBER((1+V1129)*AI1128),(1+V1129)*AI1128,AI1128)</f>
        <v/>
      </c>
      <c r="AJ1129">
        <f>IF(ISNUMBER((1+Z1129)*AJ1128),(1+Z1129)*AJ1128,AJ1128)</f>
        <v/>
      </c>
    </row>
    <row r="1130">
      <c r="A1130" s="1" t="n">
        <v>43642</v>
      </c>
      <c r="B1130" s="3">
        <f>IF(ORIG!B1130=0,"",ORIG!B1130)</f>
        <v/>
      </c>
      <c r="C1130" s="3">
        <f>IF(ORIG!C1130=0,"",ORIG!C1130)</f>
        <v/>
      </c>
      <c r="D1130" s="3">
        <f>IF(ORIG!D1130=0,"",ORIG!D1130)</f>
        <v/>
      </c>
      <c r="E1130" s="3">
        <f>IF(ORIG!E1130=0,"",ORIG!E1130)</f>
        <v/>
      </c>
      <c r="F1130" s="3">
        <f>IF(ORIG!F1130=0,"",ORIG!F1130)</f>
        <v/>
      </c>
      <c r="G1130" s="3">
        <f>IF(ORIG!G1130=0,"",ORIG!G1130)</f>
        <v/>
      </c>
      <c r="H1130" s="3">
        <f>IF(ORIG!H1130=0,"",ORIG!H1130)</f>
        <v/>
      </c>
      <c r="I1130" s="3">
        <f>IF(ORIG!I1130=0,"",ORIG!I1130)</f>
        <v/>
      </c>
      <c r="J1130" s="3">
        <f>IF(ORIG!J1130=0,"",ORIG!J1130)</f>
        <v/>
      </c>
      <c r="K1130" s="3">
        <f>IF(ORIG!K1130=0,"",ORIG!K1130)</f>
        <v/>
      </c>
      <c r="L1130" s="3">
        <f>IF(ORIG!L1130=0,"",ORIG!L1130)</f>
        <v/>
      </c>
      <c r="M1130" s="3">
        <f>IF(ORIG!M1130=0,"",ORIG!M1130)</f>
        <v/>
      </c>
      <c r="N1130" s="3">
        <f>IF(ORIG!N1130=0,"",ORIG!N1130)</f>
        <v/>
      </c>
      <c r="O1130" s="3">
        <f>IF(ORIG!O1130=0,"",ORIG!O1130)</f>
        <v/>
      </c>
      <c r="P1130" s="3">
        <f>IF(ORIG!P1130=0,"",ORIG!P1130)</f>
        <v/>
      </c>
      <c r="Q1130" s="3">
        <f>IF(ORIG!Q1130=0,"",ORIG!Q1130)</f>
        <v/>
      </c>
      <c r="R1130" s="3">
        <f>IF(ORIG!R1130=0,"",ORIG!R1130)</f>
        <v/>
      </c>
      <c r="S1130" s="3">
        <f>IF(ORIG!S1130=0,"",ORIG!S1130)</f>
        <v/>
      </c>
      <c r="T1130" s="3">
        <f>IF(ORIG!T1130=0,"",ORIG!T1130)</f>
        <v/>
      </c>
      <c r="U1130" s="3">
        <f>IF(ORIG!U1130=0,"",ORIG!U1130)</f>
        <v/>
      </c>
      <c r="V1130" s="9">
        <f>IF(ORIG!V1130=0,"",ORIG!V1130)</f>
        <v/>
      </c>
      <c r="W1130" s="9">
        <f>IF(ORIG!W1130=0,"",ORIG!W1130)</f>
        <v/>
      </c>
      <c r="X1130" s="9">
        <f>IF(ORIG!X1130=0,"",ORIG!X1130)</f>
        <v/>
      </c>
      <c r="Y1130" s="9">
        <f>IF(ORIG!Y1130=0,"",ORIG!Y1130)</f>
        <v/>
      </c>
      <c r="Z1130" s="3">
        <f>SUMPRODUCT($B1130:$Y1130,$B$2649:$Y$2649)</f>
        <v/>
      </c>
      <c r="AA1130" s="3">
        <f>SUMPRODUCT($B1130:$Y1130,$B$2655:$Y$2655)</f>
        <v/>
      </c>
      <c r="AC1130" s="1">
        <f>A1130</f>
        <v/>
      </c>
      <c r="AD1130">
        <f>IF(ISNUMBER(V1130),V1130*($AB$1/V$2635),"")</f>
        <v/>
      </c>
      <c r="AE1130">
        <f>IF(ISNUMBER(Z1130),Z1130*($AB$1/Z$2635),"")</f>
        <v/>
      </c>
      <c r="AF1130" s="25">
        <f>IF(ISNUMBER(AD1130+AE1130),AD1130+AE1130,"")</f>
        <v/>
      </c>
      <c r="AH1130" s="1">
        <f>A1130</f>
        <v/>
      </c>
      <c r="AI1130">
        <f>IF(ISNUMBER((1+V1130)*AI1129),(1+V1130)*AI1129,AI1129)</f>
        <v/>
      </c>
      <c r="AJ1130">
        <f>IF(ISNUMBER((1+Z1130)*AJ1129),(1+Z1130)*AJ1129,AJ1129)</f>
        <v/>
      </c>
    </row>
    <row r="1131">
      <c r="A1131" s="1" t="n">
        <v>43643</v>
      </c>
      <c r="B1131" s="3">
        <f>IF(ORIG!B1131=0,"",ORIG!B1131)</f>
        <v/>
      </c>
      <c r="C1131" s="3">
        <f>IF(ORIG!C1131=0,"",ORIG!C1131)</f>
        <v/>
      </c>
      <c r="D1131" s="3">
        <f>IF(ORIG!D1131=0,"",ORIG!D1131)</f>
        <v/>
      </c>
      <c r="E1131" s="3">
        <f>IF(ORIG!E1131=0,"",ORIG!E1131)</f>
        <v/>
      </c>
      <c r="F1131" s="3">
        <f>IF(ORIG!F1131=0,"",ORIG!F1131)</f>
        <v/>
      </c>
      <c r="G1131" s="3">
        <f>IF(ORIG!G1131=0,"",ORIG!G1131)</f>
        <v/>
      </c>
      <c r="H1131" s="3">
        <f>IF(ORIG!H1131=0,"",ORIG!H1131)</f>
        <v/>
      </c>
      <c r="I1131" s="3">
        <f>IF(ORIG!I1131=0,"",ORIG!I1131)</f>
        <v/>
      </c>
      <c r="J1131" s="3">
        <f>IF(ORIG!J1131=0,"",ORIG!J1131)</f>
        <v/>
      </c>
      <c r="K1131" s="3">
        <f>IF(ORIG!K1131=0,"",ORIG!K1131)</f>
        <v/>
      </c>
      <c r="L1131" s="3">
        <f>IF(ORIG!L1131=0,"",ORIG!L1131)</f>
        <v/>
      </c>
      <c r="M1131" s="3">
        <f>IF(ORIG!M1131=0,"",ORIG!M1131)</f>
        <v/>
      </c>
      <c r="N1131" s="3">
        <f>IF(ORIG!N1131=0,"",ORIG!N1131)</f>
        <v/>
      </c>
      <c r="O1131" s="3">
        <f>IF(ORIG!O1131=0,"",ORIG!O1131)</f>
        <v/>
      </c>
      <c r="P1131" s="3">
        <f>IF(ORIG!P1131=0,"",ORIG!P1131)</f>
        <v/>
      </c>
      <c r="Q1131" s="3">
        <f>IF(ORIG!Q1131=0,"",ORIG!Q1131)</f>
        <v/>
      </c>
      <c r="R1131" s="3">
        <f>IF(ORIG!R1131=0,"",ORIG!R1131)</f>
        <v/>
      </c>
      <c r="S1131" s="3">
        <f>IF(ORIG!S1131=0,"",ORIG!S1131)</f>
        <v/>
      </c>
      <c r="T1131" s="3">
        <f>IF(ORIG!T1131=0,"",ORIG!T1131)</f>
        <v/>
      </c>
      <c r="U1131" s="3">
        <f>IF(ORIG!U1131=0,"",ORIG!U1131)</f>
        <v/>
      </c>
      <c r="V1131" s="9">
        <f>IF(ORIG!V1131=0,"",ORIG!V1131)</f>
        <v/>
      </c>
      <c r="W1131" s="9">
        <f>IF(ORIG!W1131=0,"",ORIG!W1131)</f>
        <v/>
      </c>
      <c r="X1131" s="9">
        <f>IF(ORIG!X1131=0,"",ORIG!X1131)</f>
        <v/>
      </c>
      <c r="Y1131" s="9">
        <f>IF(ORIG!Y1131=0,"",ORIG!Y1131)</f>
        <v/>
      </c>
      <c r="Z1131" s="3">
        <f>SUMPRODUCT($B1131:$Y1131,$B$2649:$Y$2649)</f>
        <v/>
      </c>
      <c r="AA1131" s="3">
        <f>SUMPRODUCT($B1131:$Y1131,$B$2655:$Y$2655)</f>
        <v/>
      </c>
      <c r="AC1131" s="1">
        <f>A1131</f>
        <v/>
      </c>
      <c r="AD1131">
        <f>IF(ISNUMBER(V1131),V1131*($AB$1/V$2635),"")</f>
        <v/>
      </c>
      <c r="AE1131">
        <f>IF(ISNUMBER(Z1131),Z1131*($AB$1/Z$2635),"")</f>
        <v/>
      </c>
      <c r="AF1131" s="25">
        <f>IF(ISNUMBER(AD1131+AE1131),AD1131+AE1131,"")</f>
        <v/>
      </c>
      <c r="AH1131" s="1">
        <f>A1131</f>
        <v/>
      </c>
      <c r="AI1131">
        <f>IF(ISNUMBER((1+V1131)*AI1130),(1+V1131)*AI1130,AI1130)</f>
        <v/>
      </c>
      <c r="AJ1131">
        <f>IF(ISNUMBER((1+Z1131)*AJ1130),(1+Z1131)*AJ1130,AJ1130)</f>
        <v/>
      </c>
    </row>
    <row r="1132">
      <c r="A1132" s="1" t="n">
        <v>43644</v>
      </c>
      <c r="B1132" s="3">
        <f>IF(ORIG!B1132=0,"",ORIG!B1132)</f>
        <v/>
      </c>
      <c r="C1132" s="3">
        <f>IF(ORIG!C1132=0,"",ORIG!C1132)</f>
        <v/>
      </c>
      <c r="D1132" s="3">
        <f>IF(ORIG!D1132=0,"",ORIG!D1132)</f>
        <v/>
      </c>
      <c r="E1132" s="3">
        <f>IF(ORIG!E1132=0,"",ORIG!E1132)</f>
        <v/>
      </c>
      <c r="F1132" s="3">
        <f>IF(ORIG!F1132=0,"",ORIG!F1132)</f>
        <v/>
      </c>
      <c r="G1132" s="3">
        <f>IF(ORIG!G1132=0,"",ORIG!G1132)</f>
        <v/>
      </c>
      <c r="H1132" s="3">
        <f>IF(ORIG!H1132=0,"",ORIG!H1132)</f>
        <v/>
      </c>
      <c r="I1132" s="3">
        <f>IF(ORIG!I1132=0,"",ORIG!I1132)</f>
        <v/>
      </c>
      <c r="J1132" s="3">
        <f>IF(ORIG!J1132=0,"",ORIG!J1132)</f>
        <v/>
      </c>
      <c r="K1132" s="3">
        <f>IF(ORIG!K1132=0,"",ORIG!K1132)</f>
        <v/>
      </c>
      <c r="L1132" s="3">
        <f>IF(ORIG!L1132=0,"",ORIG!L1132)</f>
        <v/>
      </c>
      <c r="M1132" s="3">
        <f>IF(ORIG!M1132=0,"",ORIG!M1132)</f>
        <v/>
      </c>
      <c r="N1132" s="3">
        <f>IF(ORIG!N1132=0,"",ORIG!N1132)</f>
        <v/>
      </c>
      <c r="O1132" s="3">
        <f>IF(ORIG!O1132=0,"",ORIG!O1132)</f>
        <v/>
      </c>
      <c r="P1132" s="3">
        <f>IF(ORIG!P1132=0,"",ORIG!P1132)</f>
        <v/>
      </c>
      <c r="Q1132" s="3">
        <f>IF(ORIG!Q1132=0,"",ORIG!Q1132)</f>
        <v/>
      </c>
      <c r="R1132" s="3">
        <f>IF(ORIG!R1132=0,"",ORIG!R1132)</f>
        <v/>
      </c>
      <c r="S1132" s="3">
        <f>IF(ORIG!S1132=0,"",ORIG!S1132)</f>
        <v/>
      </c>
      <c r="T1132" s="3">
        <f>IF(ORIG!T1132=0,"",ORIG!T1132)</f>
        <v/>
      </c>
      <c r="U1132" s="3">
        <f>IF(ORIG!U1132=0,"",ORIG!U1132)</f>
        <v/>
      </c>
      <c r="V1132" s="9">
        <f>IF(ORIG!V1132=0,"",ORIG!V1132)</f>
        <v/>
      </c>
      <c r="W1132" s="9">
        <f>IF(ORIG!W1132=0,"",ORIG!W1132)</f>
        <v/>
      </c>
      <c r="X1132" s="9">
        <f>IF(ORIG!X1132=0,"",ORIG!X1132)</f>
        <v/>
      </c>
      <c r="Y1132" s="9">
        <f>IF(ORIG!Y1132=0,"",ORIG!Y1132)</f>
        <v/>
      </c>
      <c r="Z1132" s="3">
        <f>SUMPRODUCT($B1132:$Y1132,$B$2649:$Y$2649)</f>
        <v/>
      </c>
      <c r="AA1132" s="3">
        <f>SUMPRODUCT($B1132:$Y1132,$B$2655:$Y$2655)</f>
        <v/>
      </c>
      <c r="AC1132" s="1">
        <f>A1132</f>
        <v/>
      </c>
      <c r="AD1132">
        <f>IF(ISNUMBER(V1132),V1132*($AB$1/V$2635),"")</f>
        <v/>
      </c>
      <c r="AE1132">
        <f>IF(ISNUMBER(Z1132),Z1132*($AB$1/Z$2635),"")</f>
        <v/>
      </c>
      <c r="AF1132" s="25">
        <f>IF(ISNUMBER(AD1132+AE1132),AD1132+AE1132,"")</f>
        <v/>
      </c>
      <c r="AH1132" s="1">
        <f>A1132</f>
        <v/>
      </c>
      <c r="AI1132">
        <f>IF(ISNUMBER((1+V1132)*AI1131),(1+V1132)*AI1131,AI1131)</f>
        <v/>
      </c>
      <c r="AJ1132">
        <f>IF(ISNUMBER((1+Z1132)*AJ1131),(1+Z1132)*AJ1131,AJ1131)</f>
        <v/>
      </c>
    </row>
    <row r="1133">
      <c r="A1133" s="1" t="n">
        <v>43647</v>
      </c>
      <c r="B1133" s="3">
        <f>IF(ORIG!B1133=0,"",ORIG!B1133)</f>
        <v/>
      </c>
      <c r="C1133" s="3">
        <f>IF(ORIG!C1133=0,"",ORIG!C1133)</f>
        <v/>
      </c>
      <c r="D1133" s="3">
        <f>IF(ORIG!D1133=0,"",ORIG!D1133)</f>
        <v/>
      </c>
      <c r="E1133" s="3">
        <f>IF(ORIG!E1133=0,"",ORIG!E1133)</f>
        <v/>
      </c>
      <c r="F1133" s="3">
        <f>IF(ORIG!F1133=0,"",ORIG!F1133)</f>
        <v/>
      </c>
      <c r="G1133" s="3">
        <f>IF(ORIG!G1133=0,"",ORIG!G1133)</f>
        <v/>
      </c>
      <c r="H1133" s="3">
        <f>IF(ORIG!H1133=0,"",ORIG!H1133)</f>
        <v/>
      </c>
      <c r="I1133" s="3">
        <f>IF(ORIG!I1133=0,"",ORIG!I1133)</f>
        <v/>
      </c>
      <c r="J1133" s="3">
        <f>IF(ORIG!J1133=0,"",ORIG!J1133)</f>
        <v/>
      </c>
      <c r="K1133" s="3">
        <f>IF(ORIG!K1133=0,"",ORIG!K1133)</f>
        <v/>
      </c>
      <c r="L1133" s="3">
        <f>IF(ORIG!L1133=0,"",ORIG!L1133)</f>
        <v/>
      </c>
      <c r="M1133" s="3">
        <f>IF(ORIG!M1133=0,"",ORIG!M1133)</f>
        <v/>
      </c>
      <c r="N1133" s="3">
        <f>IF(ORIG!N1133=0,"",ORIG!N1133)</f>
        <v/>
      </c>
      <c r="O1133" s="3">
        <f>IF(ORIG!O1133=0,"",ORIG!O1133)</f>
        <v/>
      </c>
      <c r="P1133" s="3">
        <f>IF(ORIG!P1133=0,"",ORIG!P1133)</f>
        <v/>
      </c>
      <c r="Q1133" s="3">
        <f>IF(ORIG!Q1133=0,"",ORIG!Q1133)</f>
        <v/>
      </c>
      <c r="R1133" s="3">
        <f>IF(ORIG!R1133=0,"",ORIG!R1133)</f>
        <v/>
      </c>
      <c r="S1133" s="3">
        <f>IF(ORIG!S1133=0,"",ORIG!S1133)</f>
        <v/>
      </c>
      <c r="T1133" s="3">
        <f>IF(ORIG!T1133=0,"",ORIG!T1133)</f>
        <v/>
      </c>
      <c r="U1133" s="3">
        <f>IF(ORIG!U1133=0,"",ORIG!U1133)</f>
        <v/>
      </c>
      <c r="V1133" s="9">
        <f>IF(ORIG!V1133=0,"",ORIG!V1133)</f>
        <v/>
      </c>
      <c r="W1133" s="9">
        <f>IF(ORIG!W1133=0,"",ORIG!W1133)</f>
        <v/>
      </c>
      <c r="X1133" s="9">
        <f>IF(ORIG!X1133=0,"",ORIG!X1133)</f>
        <v/>
      </c>
      <c r="Y1133" s="9">
        <f>IF(ORIG!Y1133=0,"",ORIG!Y1133)</f>
        <v/>
      </c>
      <c r="Z1133" s="3">
        <f>SUMPRODUCT($B1133:$Y1133,$B$2649:$Y$2649)</f>
        <v/>
      </c>
      <c r="AA1133" s="3">
        <f>SUMPRODUCT($B1133:$Y1133,$B$2655:$Y$2655)</f>
        <v/>
      </c>
      <c r="AC1133" s="1">
        <f>A1133</f>
        <v/>
      </c>
      <c r="AD1133">
        <f>IF(ISNUMBER(V1133),V1133*($AB$1/V$2635),"")</f>
        <v/>
      </c>
      <c r="AE1133">
        <f>IF(ISNUMBER(Z1133),Z1133*($AB$1/Z$2635),"")</f>
        <v/>
      </c>
      <c r="AF1133" s="25">
        <f>IF(ISNUMBER(AD1133+AE1133),AD1133+AE1133,"")</f>
        <v/>
      </c>
      <c r="AH1133" s="1">
        <f>A1133</f>
        <v/>
      </c>
      <c r="AI1133">
        <f>IF(ISNUMBER((1+V1133)*AI1132),(1+V1133)*AI1132,AI1132)</f>
        <v/>
      </c>
      <c r="AJ1133">
        <f>IF(ISNUMBER((1+Z1133)*AJ1132),(1+Z1133)*AJ1132,AJ1132)</f>
        <v/>
      </c>
    </row>
    <row r="1134">
      <c r="A1134" s="1" t="n">
        <v>43648</v>
      </c>
      <c r="B1134" s="3">
        <f>IF(ORIG!B1134=0,"",ORIG!B1134)</f>
        <v/>
      </c>
      <c r="C1134" s="3">
        <f>IF(ORIG!C1134=0,"",ORIG!C1134)</f>
        <v/>
      </c>
      <c r="D1134" s="3">
        <f>IF(ORIG!D1134=0,"",ORIG!D1134)</f>
        <v/>
      </c>
      <c r="E1134" s="3">
        <f>IF(ORIG!E1134=0,"",ORIG!E1134)</f>
        <v/>
      </c>
      <c r="F1134" s="3">
        <f>IF(ORIG!F1134=0,"",ORIG!F1134)</f>
        <v/>
      </c>
      <c r="G1134" s="3">
        <f>IF(ORIG!G1134=0,"",ORIG!G1134)</f>
        <v/>
      </c>
      <c r="H1134" s="3">
        <f>IF(ORIG!H1134=0,"",ORIG!H1134)</f>
        <v/>
      </c>
      <c r="I1134" s="3">
        <f>IF(ORIG!I1134=0,"",ORIG!I1134)</f>
        <v/>
      </c>
      <c r="J1134" s="3">
        <f>IF(ORIG!J1134=0,"",ORIG!J1134)</f>
        <v/>
      </c>
      <c r="K1134" s="3">
        <f>IF(ORIG!K1134=0,"",ORIG!K1134)</f>
        <v/>
      </c>
      <c r="L1134" s="3">
        <f>IF(ORIG!L1134=0,"",ORIG!L1134)</f>
        <v/>
      </c>
      <c r="M1134" s="3">
        <f>IF(ORIG!M1134=0,"",ORIG!M1134)</f>
        <v/>
      </c>
      <c r="N1134" s="3">
        <f>IF(ORIG!N1134=0,"",ORIG!N1134)</f>
        <v/>
      </c>
      <c r="O1134" s="3">
        <f>IF(ORIG!O1134=0,"",ORIG!O1134)</f>
        <v/>
      </c>
      <c r="P1134" s="3">
        <f>IF(ORIG!P1134=0,"",ORIG!P1134)</f>
        <v/>
      </c>
      <c r="Q1134" s="3">
        <f>IF(ORIG!Q1134=0,"",ORIG!Q1134)</f>
        <v/>
      </c>
      <c r="R1134" s="3">
        <f>IF(ORIG!R1134=0,"",ORIG!R1134)</f>
        <v/>
      </c>
      <c r="S1134" s="3">
        <f>IF(ORIG!S1134=0,"",ORIG!S1134)</f>
        <v/>
      </c>
      <c r="T1134" s="3">
        <f>IF(ORIG!T1134=0,"",ORIG!T1134)</f>
        <v/>
      </c>
      <c r="U1134" s="3">
        <f>IF(ORIG!U1134=0,"",ORIG!U1134)</f>
        <v/>
      </c>
      <c r="V1134" s="9">
        <f>IF(ORIG!V1134=0,"",ORIG!V1134)</f>
        <v/>
      </c>
      <c r="W1134" s="9">
        <f>IF(ORIG!W1134=0,"",ORIG!W1134)</f>
        <v/>
      </c>
      <c r="X1134" s="9">
        <f>IF(ORIG!X1134=0,"",ORIG!X1134)</f>
        <v/>
      </c>
      <c r="Y1134" s="9">
        <f>IF(ORIG!Y1134=0,"",ORIG!Y1134)</f>
        <v/>
      </c>
      <c r="Z1134" s="3">
        <f>SUMPRODUCT($B1134:$Y1134,$B$2649:$Y$2649)</f>
        <v/>
      </c>
      <c r="AA1134" s="3">
        <f>SUMPRODUCT($B1134:$Y1134,$B$2655:$Y$2655)</f>
        <v/>
      </c>
      <c r="AC1134" s="1">
        <f>A1134</f>
        <v/>
      </c>
      <c r="AD1134">
        <f>IF(ISNUMBER(V1134),V1134*($AB$1/V$2635),"")</f>
        <v/>
      </c>
      <c r="AE1134">
        <f>IF(ISNUMBER(Z1134),Z1134*($AB$1/Z$2635),"")</f>
        <v/>
      </c>
      <c r="AF1134" s="25">
        <f>IF(ISNUMBER(AD1134+AE1134),AD1134+AE1134,"")</f>
        <v/>
      </c>
      <c r="AH1134" s="1">
        <f>A1134</f>
        <v/>
      </c>
      <c r="AI1134">
        <f>IF(ISNUMBER((1+V1134)*AI1133),(1+V1134)*AI1133,AI1133)</f>
        <v/>
      </c>
      <c r="AJ1134">
        <f>IF(ISNUMBER((1+Z1134)*AJ1133),(1+Z1134)*AJ1133,AJ1133)</f>
        <v/>
      </c>
    </row>
    <row r="1135">
      <c r="A1135" s="1" t="n">
        <v>43649</v>
      </c>
      <c r="B1135" s="3">
        <f>IF(ORIG!B1135=0,"",ORIG!B1135)</f>
        <v/>
      </c>
      <c r="C1135" s="3">
        <f>IF(ORIG!C1135=0,"",ORIG!C1135)</f>
        <v/>
      </c>
      <c r="D1135" s="3">
        <f>IF(ORIG!D1135=0,"",ORIG!D1135)</f>
        <v/>
      </c>
      <c r="E1135" s="3">
        <f>IF(ORIG!E1135=0,"",ORIG!E1135)</f>
        <v/>
      </c>
      <c r="F1135" s="3">
        <f>IF(ORIG!F1135=0,"",ORIG!F1135)</f>
        <v/>
      </c>
      <c r="G1135" s="3">
        <f>IF(ORIG!G1135=0,"",ORIG!G1135)</f>
        <v/>
      </c>
      <c r="H1135" s="3">
        <f>IF(ORIG!H1135=0,"",ORIG!H1135)</f>
        <v/>
      </c>
      <c r="I1135" s="3">
        <f>IF(ORIG!I1135=0,"",ORIG!I1135)</f>
        <v/>
      </c>
      <c r="J1135" s="3">
        <f>IF(ORIG!J1135=0,"",ORIG!J1135)</f>
        <v/>
      </c>
      <c r="K1135" s="3">
        <f>IF(ORIG!K1135=0,"",ORIG!K1135)</f>
        <v/>
      </c>
      <c r="L1135" s="3">
        <f>IF(ORIG!L1135=0,"",ORIG!L1135)</f>
        <v/>
      </c>
      <c r="M1135" s="3">
        <f>IF(ORIG!M1135=0,"",ORIG!M1135)</f>
        <v/>
      </c>
      <c r="N1135" s="3">
        <f>IF(ORIG!N1135=0,"",ORIG!N1135)</f>
        <v/>
      </c>
      <c r="O1135" s="3">
        <f>IF(ORIG!O1135=0,"",ORIG!O1135)</f>
        <v/>
      </c>
      <c r="P1135" s="3">
        <f>IF(ORIG!P1135=0,"",ORIG!P1135)</f>
        <v/>
      </c>
      <c r="Q1135" s="3">
        <f>IF(ORIG!Q1135=0,"",ORIG!Q1135)</f>
        <v/>
      </c>
      <c r="R1135" s="3">
        <f>IF(ORIG!R1135=0,"",ORIG!R1135)</f>
        <v/>
      </c>
      <c r="S1135" s="3">
        <f>IF(ORIG!S1135=0,"",ORIG!S1135)</f>
        <v/>
      </c>
      <c r="T1135" s="3">
        <f>IF(ORIG!T1135=0,"",ORIG!T1135)</f>
        <v/>
      </c>
      <c r="U1135" s="3">
        <f>IF(ORIG!U1135=0,"",ORIG!U1135)</f>
        <v/>
      </c>
      <c r="V1135" s="9">
        <f>IF(ORIG!V1135=0,"",ORIG!V1135)</f>
        <v/>
      </c>
      <c r="W1135" s="9">
        <f>IF(ORIG!W1135=0,"",ORIG!W1135)</f>
        <v/>
      </c>
      <c r="X1135" s="9">
        <f>IF(ORIG!X1135=0,"",ORIG!X1135)</f>
        <v/>
      </c>
      <c r="Y1135" s="9">
        <f>IF(ORIG!Y1135=0,"",ORIG!Y1135)</f>
        <v/>
      </c>
      <c r="Z1135" s="3">
        <f>SUMPRODUCT($B1135:$Y1135,$B$2649:$Y$2649)</f>
        <v/>
      </c>
      <c r="AA1135" s="3">
        <f>SUMPRODUCT($B1135:$Y1135,$B$2655:$Y$2655)</f>
        <v/>
      </c>
      <c r="AC1135" s="1">
        <f>A1135</f>
        <v/>
      </c>
      <c r="AD1135">
        <f>IF(ISNUMBER(V1135),V1135*($AB$1/V$2635),"")</f>
        <v/>
      </c>
      <c r="AE1135">
        <f>IF(ISNUMBER(Z1135),Z1135*($AB$1/Z$2635),"")</f>
        <v/>
      </c>
      <c r="AF1135" s="25">
        <f>IF(ISNUMBER(AD1135+AE1135),AD1135+AE1135,"")</f>
        <v/>
      </c>
      <c r="AH1135" s="1">
        <f>A1135</f>
        <v/>
      </c>
      <c r="AI1135">
        <f>IF(ISNUMBER((1+V1135)*AI1134),(1+V1135)*AI1134,AI1134)</f>
        <v/>
      </c>
      <c r="AJ1135">
        <f>IF(ISNUMBER((1+Z1135)*AJ1134),(1+Z1135)*AJ1134,AJ1134)</f>
        <v/>
      </c>
    </row>
    <row r="1136">
      <c r="A1136" s="1" t="n">
        <v>43651</v>
      </c>
      <c r="B1136" s="3">
        <f>IF(ORIG!B1136=0,"",ORIG!B1136)</f>
        <v/>
      </c>
      <c r="C1136" s="3">
        <f>IF(ORIG!C1136=0,"",ORIG!C1136)</f>
        <v/>
      </c>
      <c r="D1136" s="3">
        <f>IF(ORIG!D1136=0,"",ORIG!D1136)</f>
        <v/>
      </c>
      <c r="E1136" s="3">
        <f>IF(ORIG!E1136=0,"",ORIG!E1136)</f>
        <v/>
      </c>
      <c r="F1136" s="3">
        <f>IF(ORIG!F1136=0,"",ORIG!F1136)</f>
        <v/>
      </c>
      <c r="G1136" s="3">
        <f>IF(ORIG!G1136=0,"",ORIG!G1136)</f>
        <v/>
      </c>
      <c r="H1136" s="3">
        <f>IF(ORIG!H1136=0,"",ORIG!H1136)</f>
        <v/>
      </c>
      <c r="I1136" s="3">
        <f>IF(ORIG!I1136=0,"",ORIG!I1136)</f>
        <v/>
      </c>
      <c r="J1136" s="3">
        <f>IF(ORIG!J1136=0,"",ORIG!J1136)</f>
        <v/>
      </c>
      <c r="K1136" s="3">
        <f>IF(ORIG!K1136=0,"",ORIG!K1136)</f>
        <v/>
      </c>
      <c r="L1136" s="3">
        <f>IF(ORIG!L1136=0,"",ORIG!L1136)</f>
        <v/>
      </c>
      <c r="M1136" s="3">
        <f>IF(ORIG!M1136=0,"",ORIG!M1136)</f>
        <v/>
      </c>
      <c r="N1136" s="3">
        <f>IF(ORIG!N1136=0,"",ORIG!N1136)</f>
        <v/>
      </c>
      <c r="O1136" s="3">
        <f>IF(ORIG!O1136=0,"",ORIG!O1136)</f>
        <v/>
      </c>
      <c r="P1136" s="3">
        <f>IF(ORIG!P1136=0,"",ORIG!P1136)</f>
        <v/>
      </c>
      <c r="Q1136" s="3">
        <f>IF(ORIG!Q1136=0,"",ORIG!Q1136)</f>
        <v/>
      </c>
      <c r="R1136" s="3">
        <f>IF(ORIG!R1136=0,"",ORIG!R1136)</f>
        <v/>
      </c>
      <c r="S1136" s="3">
        <f>IF(ORIG!S1136=0,"",ORIG!S1136)</f>
        <v/>
      </c>
      <c r="T1136" s="3">
        <f>IF(ORIG!T1136=0,"",ORIG!T1136)</f>
        <v/>
      </c>
      <c r="U1136" s="3">
        <f>IF(ORIG!U1136=0,"",ORIG!U1136)</f>
        <v/>
      </c>
      <c r="V1136" s="9">
        <f>IF(ORIG!V1136=0,"",ORIG!V1136)</f>
        <v/>
      </c>
      <c r="W1136" s="9">
        <f>IF(ORIG!W1136=0,"",ORIG!W1136)</f>
        <v/>
      </c>
      <c r="X1136" s="9">
        <f>IF(ORIG!X1136=0,"",ORIG!X1136)</f>
        <v/>
      </c>
      <c r="Y1136" s="9">
        <f>IF(ORIG!Y1136=0,"",ORIG!Y1136)</f>
        <v/>
      </c>
      <c r="Z1136" s="3">
        <f>SUMPRODUCT($B1136:$Y1136,$B$2649:$Y$2649)</f>
        <v/>
      </c>
      <c r="AA1136" s="3">
        <f>SUMPRODUCT($B1136:$Y1136,$B$2655:$Y$2655)</f>
        <v/>
      </c>
      <c r="AC1136" s="1">
        <f>A1136</f>
        <v/>
      </c>
      <c r="AD1136">
        <f>IF(ISNUMBER(V1136),V1136*($AB$1/V$2635),"")</f>
        <v/>
      </c>
      <c r="AE1136">
        <f>IF(ISNUMBER(Z1136),Z1136*($AB$1/Z$2635),"")</f>
        <v/>
      </c>
      <c r="AF1136" s="25">
        <f>IF(ISNUMBER(AD1136+AE1136),AD1136+AE1136,"")</f>
        <v/>
      </c>
      <c r="AH1136" s="1">
        <f>A1136</f>
        <v/>
      </c>
      <c r="AI1136">
        <f>IF(ISNUMBER((1+V1136)*AI1135),(1+V1136)*AI1135,AI1135)</f>
        <v/>
      </c>
      <c r="AJ1136">
        <f>IF(ISNUMBER((1+Z1136)*AJ1135),(1+Z1136)*AJ1135,AJ1135)</f>
        <v/>
      </c>
    </row>
    <row r="1137">
      <c r="A1137" s="1" t="n">
        <v>43654</v>
      </c>
      <c r="B1137" s="3">
        <f>IF(ORIG!B1137=0,"",ORIG!B1137)</f>
        <v/>
      </c>
      <c r="C1137" s="3">
        <f>IF(ORIG!C1137=0,"",ORIG!C1137)</f>
        <v/>
      </c>
      <c r="D1137" s="3">
        <f>IF(ORIG!D1137=0,"",ORIG!D1137)</f>
        <v/>
      </c>
      <c r="E1137" s="3">
        <f>IF(ORIG!E1137=0,"",ORIG!E1137)</f>
        <v/>
      </c>
      <c r="F1137" s="3">
        <f>IF(ORIG!F1137=0,"",ORIG!F1137)</f>
        <v/>
      </c>
      <c r="G1137" s="3">
        <f>IF(ORIG!G1137=0,"",ORIG!G1137)</f>
        <v/>
      </c>
      <c r="H1137" s="3">
        <f>IF(ORIG!H1137=0,"",ORIG!H1137)</f>
        <v/>
      </c>
      <c r="I1137" s="3">
        <f>IF(ORIG!I1137=0,"",ORIG!I1137)</f>
        <v/>
      </c>
      <c r="J1137" s="3">
        <f>IF(ORIG!J1137=0,"",ORIG!J1137)</f>
        <v/>
      </c>
      <c r="K1137" s="3">
        <f>IF(ORIG!K1137=0,"",ORIG!K1137)</f>
        <v/>
      </c>
      <c r="L1137" s="3">
        <f>IF(ORIG!L1137=0,"",ORIG!L1137)</f>
        <v/>
      </c>
      <c r="M1137" s="3">
        <f>IF(ORIG!M1137=0,"",ORIG!M1137)</f>
        <v/>
      </c>
      <c r="N1137" s="3">
        <f>IF(ORIG!N1137=0,"",ORIG!N1137)</f>
        <v/>
      </c>
      <c r="O1137" s="3">
        <f>IF(ORIG!O1137=0,"",ORIG!O1137)</f>
        <v/>
      </c>
      <c r="P1137" s="3">
        <f>IF(ORIG!P1137=0,"",ORIG!P1137)</f>
        <v/>
      </c>
      <c r="Q1137" s="3">
        <f>IF(ORIG!Q1137=0,"",ORIG!Q1137)</f>
        <v/>
      </c>
      <c r="R1137" s="3">
        <f>IF(ORIG!R1137=0,"",ORIG!R1137)</f>
        <v/>
      </c>
      <c r="S1137" s="3">
        <f>IF(ORIG!S1137=0,"",ORIG!S1137)</f>
        <v/>
      </c>
      <c r="T1137" s="3">
        <f>IF(ORIG!T1137=0,"",ORIG!T1137)</f>
        <v/>
      </c>
      <c r="U1137" s="3">
        <f>IF(ORIG!U1137=0,"",ORIG!U1137)</f>
        <v/>
      </c>
      <c r="V1137" s="9">
        <f>IF(ORIG!V1137=0,"",ORIG!V1137)</f>
        <v/>
      </c>
      <c r="W1137" s="9">
        <f>IF(ORIG!W1137=0,"",ORIG!W1137)</f>
        <v/>
      </c>
      <c r="X1137" s="9">
        <f>IF(ORIG!X1137=0,"",ORIG!X1137)</f>
        <v/>
      </c>
      <c r="Y1137" s="9">
        <f>IF(ORIG!Y1137=0,"",ORIG!Y1137)</f>
        <v/>
      </c>
      <c r="Z1137" s="3">
        <f>SUMPRODUCT($B1137:$Y1137,$B$2649:$Y$2649)</f>
        <v/>
      </c>
      <c r="AA1137" s="3">
        <f>SUMPRODUCT($B1137:$Y1137,$B$2655:$Y$2655)</f>
        <v/>
      </c>
      <c r="AC1137" s="1">
        <f>A1137</f>
        <v/>
      </c>
      <c r="AD1137">
        <f>IF(ISNUMBER(V1137),V1137*($AB$1/V$2635),"")</f>
        <v/>
      </c>
      <c r="AE1137">
        <f>IF(ISNUMBER(Z1137),Z1137*($AB$1/Z$2635),"")</f>
        <v/>
      </c>
      <c r="AF1137" s="25">
        <f>IF(ISNUMBER(AD1137+AE1137),AD1137+AE1137,"")</f>
        <v/>
      </c>
      <c r="AH1137" s="1">
        <f>A1137</f>
        <v/>
      </c>
      <c r="AI1137">
        <f>IF(ISNUMBER((1+V1137)*AI1136),(1+V1137)*AI1136,AI1136)</f>
        <v/>
      </c>
      <c r="AJ1137">
        <f>IF(ISNUMBER((1+Z1137)*AJ1136),(1+Z1137)*AJ1136,AJ1136)</f>
        <v/>
      </c>
    </row>
    <row r="1138">
      <c r="A1138" s="1" t="n">
        <v>43655</v>
      </c>
      <c r="B1138" s="3">
        <f>IF(ORIG!B1138=0,"",ORIG!B1138)</f>
        <v/>
      </c>
      <c r="C1138" s="3">
        <f>IF(ORIG!C1138=0,"",ORIG!C1138)</f>
        <v/>
      </c>
      <c r="D1138" s="3">
        <f>IF(ORIG!D1138=0,"",ORIG!D1138)</f>
        <v/>
      </c>
      <c r="E1138" s="3">
        <f>IF(ORIG!E1138=0,"",ORIG!E1138)</f>
        <v/>
      </c>
      <c r="F1138" s="3">
        <f>IF(ORIG!F1138=0,"",ORIG!F1138)</f>
        <v/>
      </c>
      <c r="G1138" s="3">
        <f>IF(ORIG!G1138=0,"",ORIG!G1138)</f>
        <v/>
      </c>
      <c r="H1138" s="3">
        <f>IF(ORIG!H1138=0,"",ORIG!H1138)</f>
        <v/>
      </c>
      <c r="I1138" s="3">
        <f>IF(ORIG!I1138=0,"",ORIG!I1138)</f>
        <v/>
      </c>
      <c r="J1138" s="3">
        <f>IF(ORIG!J1138=0,"",ORIG!J1138)</f>
        <v/>
      </c>
      <c r="K1138" s="3">
        <f>IF(ORIG!K1138=0,"",ORIG!K1138)</f>
        <v/>
      </c>
      <c r="L1138" s="3">
        <f>IF(ORIG!L1138=0,"",ORIG!L1138)</f>
        <v/>
      </c>
      <c r="M1138" s="3">
        <f>IF(ORIG!M1138=0,"",ORIG!M1138)</f>
        <v/>
      </c>
      <c r="N1138" s="3">
        <f>IF(ORIG!N1138=0,"",ORIG!N1138)</f>
        <v/>
      </c>
      <c r="O1138" s="3">
        <f>IF(ORIG!O1138=0,"",ORIG!O1138)</f>
        <v/>
      </c>
      <c r="P1138" s="3">
        <f>IF(ORIG!P1138=0,"",ORIG!P1138)</f>
        <v/>
      </c>
      <c r="Q1138" s="3">
        <f>IF(ORIG!Q1138=0,"",ORIG!Q1138)</f>
        <v/>
      </c>
      <c r="R1138" s="3">
        <f>IF(ORIG!R1138=0,"",ORIG!R1138)</f>
        <v/>
      </c>
      <c r="S1138" s="3">
        <f>IF(ORIG!S1138=0,"",ORIG!S1138)</f>
        <v/>
      </c>
      <c r="T1138" s="3">
        <f>IF(ORIG!T1138=0,"",ORIG!T1138)</f>
        <v/>
      </c>
      <c r="U1138" s="3">
        <f>IF(ORIG!U1138=0,"",ORIG!U1138)</f>
        <v/>
      </c>
      <c r="V1138" s="9">
        <f>IF(ORIG!V1138=0,"",ORIG!V1138)</f>
        <v/>
      </c>
      <c r="W1138" s="9">
        <f>IF(ORIG!W1138=0,"",ORIG!W1138)</f>
        <v/>
      </c>
      <c r="X1138" s="9">
        <f>IF(ORIG!X1138=0,"",ORIG!X1138)</f>
        <v/>
      </c>
      <c r="Y1138" s="9">
        <f>IF(ORIG!Y1138=0,"",ORIG!Y1138)</f>
        <v/>
      </c>
      <c r="Z1138" s="3">
        <f>SUMPRODUCT($B1138:$Y1138,$B$2649:$Y$2649)</f>
        <v/>
      </c>
      <c r="AA1138" s="3">
        <f>SUMPRODUCT($B1138:$Y1138,$B$2655:$Y$2655)</f>
        <v/>
      </c>
      <c r="AC1138" s="1">
        <f>A1138</f>
        <v/>
      </c>
      <c r="AD1138">
        <f>IF(ISNUMBER(V1138),V1138*($AB$1/V$2635),"")</f>
        <v/>
      </c>
      <c r="AE1138">
        <f>IF(ISNUMBER(Z1138),Z1138*($AB$1/Z$2635),"")</f>
        <v/>
      </c>
      <c r="AF1138" s="25">
        <f>IF(ISNUMBER(AD1138+AE1138),AD1138+AE1138,"")</f>
        <v/>
      </c>
      <c r="AH1138" s="1">
        <f>A1138</f>
        <v/>
      </c>
      <c r="AI1138">
        <f>IF(ISNUMBER((1+V1138)*AI1137),(1+V1138)*AI1137,AI1137)</f>
        <v/>
      </c>
      <c r="AJ1138">
        <f>IF(ISNUMBER((1+Z1138)*AJ1137),(1+Z1138)*AJ1137,AJ1137)</f>
        <v/>
      </c>
    </row>
    <row r="1139">
      <c r="A1139" s="1" t="n">
        <v>43656</v>
      </c>
      <c r="B1139" s="3">
        <f>IF(ORIG!B1139=0,"",ORIG!B1139)</f>
        <v/>
      </c>
      <c r="C1139" s="3">
        <f>IF(ORIG!C1139=0,"",ORIG!C1139)</f>
        <v/>
      </c>
      <c r="D1139" s="3">
        <f>IF(ORIG!D1139=0,"",ORIG!D1139)</f>
        <v/>
      </c>
      <c r="E1139" s="3">
        <f>IF(ORIG!E1139=0,"",ORIG!E1139)</f>
        <v/>
      </c>
      <c r="F1139" s="3">
        <f>IF(ORIG!F1139=0,"",ORIG!F1139)</f>
        <v/>
      </c>
      <c r="G1139" s="3">
        <f>IF(ORIG!G1139=0,"",ORIG!G1139)</f>
        <v/>
      </c>
      <c r="H1139" s="3">
        <f>IF(ORIG!H1139=0,"",ORIG!H1139)</f>
        <v/>
      </c>
      <c r="I1139" s="3">
        <f>IF(ORIG!I1139=0,"",ORIG!I1139)</f>
        <v/>
      </c>
      <c r="J1139" s="3">
        <f>IF(ORIG!J1139=0,"",ORIG!J1139)</f>
        <v/>
      </c>
      <c r="K1139" s="3">
        <f>IF(ORIG!K1139=0,"",ORIG!K1139)</f>
        <v/>
      </c>
      <c r="L1139" s="3">
        <f>IF(ORIG!L1139=0,"",ORIG!L1139)</f>
        <v/>
      </c>
      <c r="M1139" s="3">
        <f>IF(ORIG!M1139=0,"",ORIG!M1139)</f>
        <v/>
      </c>
      <c r="N1139" s="3">
        <f>IF(ORIG!N1139=0,"",ORIG!N1139)</f>
        <v/>
      </c>
      <c r="O1139" s="3">
        <f>IF(ORIG!O1139=0,"",ORIG!O1139)</f>
        <v/>
      </c>
      <c r="P1139" s="3">
        <f>IF(ORIG!P1139=0,"",ORIG!P1139)</f>
        <v/>
      </c>
      <c r="Q1139" s="3">
        <f>IF(ORIG!Q1139=0,"",ORIG!Q1139)</f>
        <v/>
      </c>
      <c r="R1139" s="3">
        <f>IF(ORIG!R1139=0,"",ORIG!R1139)</f>
        <v/>
      </c>
      <c r="S1139" s="3">
        <f>IF(ORIG!S1139=0,"",ORIG!S1139)</f>
        <v/>
      </c>
      <c r="T1139" s="3">
        <f>IF(ORIG!T1139=0,"",ORIG!T1139)</f>
        <v/>
      </c>
      <c r="U1139" s="3">
        <f>IF(ORIG!U1139=0,"",ORIG!U1139)</f>
        <v/>
      </c>
      <c r="V1139" s="9">
        <f>IF(ORIG!V1139=0,"",ORIG!V1139)</f>
        <v/>
      </c>
      <c r="W1139" s="9">
        <f>IF(ORIG!W1139=0,"",ORIG!W1139)</f>
        <v/>
      </c>
      <c r="X1139" s="9">
        <f>IF(ORIG!X1139=0,"",ORIG!X1139)</f>
        <v/>
      </c>
      <c r="Y1139" s="9">
        <f>IF(ORIG!Y1139=0,"",ORIG!Y1139)</f>
        <v/>
      </c>
      <c r="Z1139" s="3">
        <f>SUMPRODUCT($B1139:$Y1139,$B$2649:$Y$2649)</f>
        <v/>
      </c>
      <c r="AA1139" s="3">
        <f>SUMPRODUCT($B1139:$Y1139,$B$2655:$Y$2655)</f>
        <v/>
      </c>
      <c r="AC1139" s="1">
        <f>A1139</f>
        <v/>
      </c>
      <c r="AD1139">
        <f>IF(ISNUMBER(V1139),V1139*($AB$1/V$2635),"")</f>
        <v/>
      </c>
      <c r="AE1139">
        <f>IF(ISNUMBER(Z1139),Z1139*($AB$1/Z$2635),"")</f>
        <v/>
      </c>
      <c r="AF1139" s="25">
        <f>IF(ISNUMBER(AD1139+AE1139),AD1139+AE1139,"")</f>
        <v/>
      </c>
      <c r="AH1139" s="1">
        <f>A1139</f>
        <v/>
      </c>
      <c r="AI1139">
        <f>IF(ISNUMBER((1+V1139)*AI1138),(1+V1139)*AI1138,AI1138)</f>
        <v/>
      </c>
      <c r="AJ1139">
        <f>IF(ISNUMBER((1+Z1139)*AJ1138),(1+Z1139)*AJ1138,AJ1138)</f>
        <v/>
      </c>
    </row>
    <row r="1140">
      <c r="A1140" s="1" t="n">
        <v>43657</v>
      </c>
      <c r="B1140" s="3">
        <f>IF(ORIG!B1140=0,"",ORIG!B1140)</f>
        <v/>
      </c>
      <c r="C1140" s="3">
        <f>IF(ORIG!C1140=0,"",ORIG!C1140)</f>
        <v/>
      </c>
      <c r="D1140" s="3">
        <f>IF(ORIG!D1140=0,"",ORIG!D1140)</f>
        <v/>
      </c>
      <c r="E1140" s="3">
        <f>IF(ORIG!E1140=0,"",ORIG!E1140)</f>
        <v/>
      </c>
      <c r="F1140" s="3">
        <f>IF(ORIG!F1140=0,"",ORIG!F1140)</f>
        <v/>
      </c>
      <c r="G1140" s="3">
        <f>IF(ORIG!G1140=0,"",ORIG!G1140)</f>
        <v/>
      </c>
      <c r="H1140" s="3">
        <f>IF(ORIG!H1140=0,"",ORIG!H1140)</f>
        <v/>
      </c>
      <c r="I1140" s="3">
        <f>IF(ORIG!I1140=0,"",ORIG!I1140)</f>
        <v/>
      </c>
      <c r="J1140" s="3">
        <f>IF(ORIG!J1140=0,"",ORIG!J1140)</f>
        <v/>
      </c>
      <c r="K1140" s="3">
        <f>IF(ORIG!K1140=0,"",ORIG!K1140)</f>
        <v/>
      </c>
      <c r="L1140" s="3">
        <f>IF(ORIG!L1140=0,"",ORIG!L1140)</f>
        <v/>
      </c>
      <c r="M1140" s="3">
        <f>IF(ORIG!M1140=0,"",ORIG!M1140)</f>
        <v/>
      </c>
      <c r="N1140" s="3">
        <f>IF(ORIG!N1140=0,"",ORIG!N1140)</f>
        <v/>
      </c>
      <c r="O1140" s="3">
        <f>IF(ORIG!O1140=0,"",ORIG!O1140)</f>
        <v/>
      </c>
      <c r="P1140" s="3">
        <f>IF(ORIG!P1140=0,"",ORIG!P1140)</f>
        <v/>
      </c>
      <c r="Q1140" s="3">
        <f>IF(ORIG!Q1140=0,"",ORIG!Q1140)</f>
        <v/>
      </c>
      <c r="R1140" s="3">
        <f>IF(ORIG!R1140=0,"",ORIG!R1140)</f>
        <v/>
      </c>
      <c r="S1140" s="3">
        <f>IF(ORIG!S1140=0,"",ORIG!S1140)</f>
        <v/>
      </c>
      <c r="T1140" s="3">
        <f>IF(ORIG!T1140=0,"",ORIG!T1140)</f>
        <v/>
      </c>
      <c r="U1140" s="3">
        <f>IF(ORIG!U1140=0,"",ORIG!U1140)</f>
        <v/>
      </c>
      <c r="V1140" s="9">
        <f>IF(ORIG!V1140=0,"",ORIG!V1140)</f>
        <v/>
      </c>
      <c r="W1140" s="9">
        <f>IF(ORIG!W1140=0,"",ORIG!W1140)</f>
        <v/>
      </c>
      <c r="X1140" s="9">
        <f>IF(ORIG!X1140=0,"",ORIG!X1140)</f>
        <v/>
      </c>
      <c r="Y1140" s="9">
        <f>IF(ORIG!Y1140=0,"",ORIG!Y1140)</f>
        <v/>
      </c>
      <c r="Z1140" s="3">
        <f>SUMPRODUCT($B1140:$Y1140,$B$2649:$Y$2649)</f>
        <v/>
      </c>
      <c r="AA1140" s="3">
        <f>SUMPRODUCT($B1140:$Y1140,$B$2655:$Y$2655)</f>
        <v/>
      </c>
      <c r="AC1140" s="1">
        <f>A1140</f>
        <v/>
      </c>
      <c r="AD1140">
        <f>IF(ISNUMBER(V1140),V1140*($AB$1/V$2635),"")</f>
        <v/>
      </c>
      <c r="AE1140">
        <f>IF(ISNUMBER(Z1140),Z1140*($AB$1/Z$2635),"")</f>
        <v/>
      </c>
      <c r="AF1140" s="25">
        <f>IF(ISNUMBER(AD1140+AE1140),AD1140+AE1140,"")</f>
        <v/>
      </c>
      <c r="AH1140" s="1">
        <f>A1140</f>
        <v/>
      </c>
      <c r="AI1140">
        <f>IF(ISNUMBER((1+V1140)*AI1139),(1+V1140)*AI1139,AI1139)</f>
        <v/>
      </c>
      <c r="AJ1140">
        <f>IF(ISNUMBER((1+Z1140)*AJ1139),(1+Z1140)*AJ1139,AJ1139)</f>
        <v/>
      </c>
    </row>
    <row r="1141">
      <c r="A1141" s="1" t="n">
        <v>43658</v>
      </c>
      <c r="B1141" s="3">
        <f>IF(ORIG!B1141=0,"",ORIG!B1141)</f>
        <v/>
      </c>
      <c r="C1141" s="3">
        <f>IF(ORIG!C1141=0,"",ORIG!C1141)</f>
        <v/>
      </c>
      <c r="D1141" s="3">
        <f>IF(ORIG!D1141=0,"",ORIG!D1141)</f>
        <v/>
      </c>
      <c r="E1141" s="3">
        <f>IF(ORIG!E1141=0,"",ORIG!E1141)</f>
        <v/>
      </c>
      <c r="F1141" s="3">
        <f>IF(ORIG!F1141=0,"",ORIG!F1141)</f>
        <v/>
      </c>
      <c r="G1141" s="3">
        <f>IF(ORIG!G1141=0,"",ORIG!G1141)</f>
        <v/>
      </c>
      <c r="H1141" s="3">
        <f>IF(ORIG!H1141=0,"",ORIG!H1141)</f>
        <v/>
      </c>
      <c r="I1141" s="3">
        <f>IF(ORIG!I1141=0,"",ORIG!I1141)</f>
        <v/>
      </c>
      <c r="J1141" s="3">
        <f>IF(ORIG!J1141=0,"",ORIG!J1141)</f>
        <v/>
      </c>
      <c r="K1141" s="3">
        <f>IF(ORIG!K1141=0,"",ORIG!K1141)</f>
        <v/>
      </c>
      <c r="L1141" s="3">
        <f>IF(ORIG!L1141=0,"",ORIG!L1141)</f>
        <v/>
      </c>
      <c r="M1141" s="3">
        <f>IF(ORIG!M1141=0,"",ORIG!M1141)</f>
        <v/>
      </c>
      <c r="N1141" s="3">
        <f>IF(ORIG!N1141=0,"",ORIG!N1141)</f>
        <v/>
      </c>
      <c r="O1141" s="3">
        <f>IF(ORIG!O1141=0,"",ORIG!O1141)</f>
        <v/>
      </c>
      <c r="P1141" s="3">
        <f>IF(ORIG!P1141=0,"",ORIG!P1141)</f>
        <v/>
      </c>
      <c r="Q1141" s="3">
        <f>IF(ORIG!Q1141=0,"",ORIG!Q1141)</f>
        <v/>
      </c>
      <c r="R1141" s="3">
        <f>IF(ORIG!R1141=0,"",ORIG!R1141)</f>
        <v/>
      </c>
      <c r="S1141" s="3">
        <f>IF(ORIG!S1141=0,"",ORIG!S1141)</f>
        <v/>
      </c>
      <c r="T1141" s="3">
        <f>IF(ORIG!T1141=0,"",ORIG!T1141)</f>
        <v/>
      </c>
      <c r="U1141" s="3">
        <f>IF(ORIG!U1141=0,"",ORIG!U1141)</f>
        <v/>
      </c>
      <c r="V1141" s="9">
        <f>IF(ORIG!V1141=0,"",ORIG!V1141)</f>
        <v/>
      </c>
      <c r="W1141" s="9">
        <f>IF(ORIG!W1141=0,"",ORIG!W1141)</f>
        <v/>
      </c>
      <c r="X1141" s="9">
        <f>IF(ORIG!X1141=0,"",ORIG!X1141)</f>
        <v/>
      </c>
      <c r="Y1141" s="9">
        <f>IF(ORIG!Y1141=0,"",ORIG!Y1141)</f>
        <v/>
      </c>
      <c r="Z1141" s="3">
        <f>SUMPRODUCT($B1141:$Y1141,$B$2649:$Y$2649)</f>
        <v/>
      </c>
      <c r="AA1141" s="3">
        <f>SUMPRODUCT($B1141:$Y1141,$B$2655:$Y$2655)</f>
        <v/>
      </c>
      <c r="AC1141" s="1">
        <f>A1141</f>
        <v/>
      </c>
      <c r="AD1141">
        <f>IF(ISNUMBER(V1141),V1141*($AB$1/V$2635),"")</f>
        <v/>
      </c>
      <c r="AE1141">
        <f>IF(ISNUMBER(Z1141),Z1141*($AB$1/Z$2635),"")</f>
        <v/>
      </c>
      <c r="AF1141" s="25">
        <f>IF(ISNUMBER(AD1141+AE1141),AD1141+AE1141,"")</f>
        <v/>
      </c>
      <c r="AH1141" s="1">
        <f>A1141</f>
        <v/>
      </c>
      <c r="AI1141">
        <f>IF(ISNUMBER((1+V1141)*AI1140),(1+V1141)*AI1140,AI1140)</f>
        <v/>
      </c>
      <c r="AJ1141">
        <f>IF(ISNUMBER((1+Z1141)*AJ1140),(1+Z1141)*AJ1140,AJ1140)</f>
        <v/>
      </c>
    </row>
    <row r="1142">
      <c r="A1142" s="1" t="n">
        <v>43661</v>
      </c>
      <c r="B1142" s="3">
        <f>IF(ORIG!B1142=0,"",ORIG!B1142)</f>
        <v/>
      </c>
      <c r="C1142" s="3">
        <f>IF(ORIG!C1142=0,"",ORIG!C1142)</f>
        <v/>
      </c>
      <c r="D1142" s="3">
        <f>IF(ORIG!D1142=0,"",ORIG!D1142)</f>
        <v/>
      </c>
      <c r="E1142" s="3">
        <f>IF(ORIG!E1142=0,"",ORIG!E1142)</f>
        <v/>
      </c>
      <c r="F1142" s="3">
        <f>IF(ORIG!F1142=0,"",ORIG!F1142)</f>
        <v/>
      </c>
      <c r="G1142" s="3">
        <f>IF(ORIG!G1142=0,"",ORIG!G1142)</f>
        <v/>
      </c>
      <c r="H1142" s="3">
        <f>IF(ORIG!H1142=0,"",ORIG!H1142)</f>
        <v/>
      </c>
      <c r="I1142" s="3">
        <f>IF(ORIG!I1142=0,"",ORIG!I1142)</f>
        <v/>
      </c>
      <c r="J1142" s="3">
        <f>IF(ORIG!J1142=0,"",ORIG!J1142)</f>
        <v/>
      </c>
      <c r="K1142" s="3">
        <f>IF(ORIG!K1142=0,"",ORIG!K1142)</f>
        <v/>
      </c>
      <c r="L1142" s="3">
        <f>IF(ORIG!L1142=0,"",ORIG!L1142)</f>
        <v/>
      </c>
      <c r="M1142" s="3">
        <f>IF(ORIG!M1142=0,"",ORIG!M1142)</f>
        <v/>
      </c>
      <c r="N1142" s="3">
        <f>IF(ORIG!N1142=0,"",ORIG!N1142)</f>
        <v/>
      </c>
      <c r="O1142" s="3">
        <f>IF(ORIG!O1142=0,"",ORIG!O1142)</f>
        <v/>
      </c>
      <c r="P1142" s="3">
        <f>IF(ORIG!P1142=0,"",ORIG!P1142)</f>
        <v/>
      </c>
      <c r="Q1142" s="3">
        <f>IF(ORIG!Q1142=0,"",ORIG!Q1142)</f>
        <v/>
      </c>
      <c r="R1142" s="3">
        <f>IF(ORIG!R1142=0,"",ORIG!R1142)</f>
        <v/>
      </c>
      <c r="S1142" s="3">
        <f>IF(ORIG!S1142=0,"",ORIG!S1142)</f>
        <v/>
      </c>
      <c r="T1142" s="3">
        <f>IF(ORIG!T1142=0,"",ORIG!T1142)</f>
        <v/>
      </c>
      <c r="U1142" s="3">
        <f>IF(ORIG!U1142=0,"",ORIG!U1142)</f>
        <v/>
      </c>
      <c r="V1142" s="9">
        <f>IF(ORIG!V1142=0,"",ORIG!V1142)</f>
        <v/>
      </c>
      <c r="W1142" s="9">
        <f>IF(ORIG!W1142=0,"",ORIG!W1142)</f>
        <v/>
      </c>
      <c r="X1142" s="9">
        <f>IF(ORIG!X1142=0,"",ORIG!X1142)</f>
        <v/>
      </c>
      <c r="Y1142" s="9">
        <f>IF(ORIG!Y1142=0,"",ORIG!Y1142)</f>
        <v/>
      </c>
      <c r="Z1142" s="3">
        <f>SUMPRODUCT($B1142:$Y1142,$B$2649:$Y$2649)</f>
        <v/>
      </c>
      <c r="AA1142" s="3">
        <f>SUMPRODUCT($B1142:$Y1142,$B$2655:$Y$2655)</f>
        <v/>
      </c>
      <c r="AC1142" s="1">
        <f>A1142</f>
        <v/>
      </c>
      <c r="AD1142">
        <f>IF(ISNUMBER(V1142),V1142*($AB$1/V$2635),"")</f>
        <v/>
      </c>
      <c r="AE1142">
        <f>IF(ISNUMBER(Z1142),Z1142*($AB$1/Z$2635),"")</f>
        <v/>
      </c>
      <c r="AF1142" s="25">
        <f>IF(ISNUMBER(AD1142+AE1142),AD1142+AE1142,"")</f>
        <v/>
      </c>
      <c r="AH1142" s="1">
        <f>A1142</f>
        <v/>
      </c>
      <c r="AI1142">
        <f>IF(ISNUMBER((1+V1142)*AI1141),(1+V1142)*AI1141,AI1141)</f>
        <v/>
      </c>
      <c r="AJ1142">
        <f>IF(ISNUMBER((1+Z1142)*AJ1141),(1+Z1142)*AJ1141,AJ1141)</f>
        <v/>
      </c>
    </row>
    <row r="1143">
      <c r="A1143" s="1" t="n">
        <v>43662</v>
      </c>
      <c r="B1143" s="3">
        <f>IF(ORIG!B1143=0,"",ORIG!B1143)</f>
        <v/>
      </c>
      <c r="C1143" s="3">
        <f>IF(ORIG!C1143=0,"",ORIG!C1143)</f>
        <v/>
      </c>
      <c r="D1143" s="3">
        <f>IF(ORIG!D1143=0,"",ORIG!D1143)</f>
        <v/>
      </c>
      <c r="E1143" s="3">
        <f>IF(ORIG!E1143=0,"",ORIG!E1143)</f>
        <v/>
      </c>
      <c r="F1143" s="3">
        <f>IF(ORIG!F1143=0,"",ORIG!F1143)</f>
        <v/>
      </c>
      <c r="G1143" s="3">
        <f>IF(ORIG!G1143=0,"",ORIG!G1143)</f>
        <v/>
      </c>
      <c r="H1143" s="3">
        <f>IF(ORIG!H1143=0,"",ORIG!H1143)</f>
        <v/>
      </c>
      <c r="I1143" s="3">
        <f>IF(ORIG!I1143=0,"",ORIG!I1143)</f>
        <v/>
      </c>
      <c r="J1143" s="3">
        <f>IF(ORIG!J1143=0,"",ORIG!J1143)</f>
        <v/>
      </c>
      <c r="K1143" s="3">
        <f>IF(ORIG!K1143=0,"",ORIG!K1143)</f>
        <v/>
      </c>
      <c r="L1143" s="3">
        <f>IF(ORIG!L1143=0,"",ORIG!L1143)</f>
        <v/>
      </c>
      <c r="M1143" s="3">
        <f>IF(ORIG!M1143=0,"",ORIG!M1143)</f>
        <v/>
      </c>
      <c r="N1143" s="3">
        <f>IF(ORIG!N1143=0,"",ORIG!N1143)</f>
        <v/>
      </c>
      <c r="O1143" s="3">
        <f>IF(ORIG!O1143=0,"",ORIG!O1143)</f>
        <v/>
      </c>
      <c r="P1143" s="3">
        <f>IF(ORIG!P1143=0,"",ORIG!P1143)</f>
        <v/>
      </c>
      <c r="Q1143" s="3">
        <f>IF(ORIG!Q1143=0,"",ORIG!Q1143)</f>
        <v/>
      </c>
      <c r="R1143" s="3">
        <f>IF(ORIG!R1143=0,"",ORIG!R1143)</f>
        <v/>
      </c>
      <c r="S1143" s="3">
        <f>IF(ORIG!S1143=0,"",ORIG!S1143)</f>
        <v/>
      </c>
      <c r="T1143" s="3">
        <f>IF(ORIG!T1143=0,"",ORIG!T1143)</f>
        <v/>
      </c>
      <c r="U1143" s="3">
        <f>IF(ORIG!U1143=0,"",ORIG!U1143)</f>
        <v/>
      </c>
      <c r="V1143" s="9">
        <f>IF(ORIG!V1143=0,"",ORIG!V1143)</f>
        <v/>
      </c>
      <c r="W1143" s="9">
        <f>IF(ORIG!W1143=0,"",ORIG!W1143)</f>
        <v/>
      </c>
      <c r="X1143" s="9">
        <f>IF(ORIG!X1143=0,"",ORIG!X1143)</f>
        <v/>
      </c>
      <c r="Y1143" s="9">
        <f>IF(ORIG!Y1143=0,"",ORIG!Y1143)</f>
        <v/>
      </c>
      <c r="Z1143" s="3">
        <f>SUMPRODUCT($B1143:$Y1143,$B$2649:$Y$2649)</f>
        <v/>
      </c>
      <c r="AA1143" s="3">
        <f>SUMPRODUCT($B1143:$Y1143,$B$2655:$Y$2655)</f>
        <v/>
      </c>
      <c r="AC1143" s="1">
        <f>A1143</f>
        <v/>
      </c>
      <c r="AD1143">
        <f>IF(ISNUMBER(V1143),V1143*($AB$1/V$2635),"")</f>
        <v/>
      </c>
      <c r="AE1143">
        <f>IF(ISNUMBER(Z1143),Z1143*($AB$1/Z$2635),"")</f>
        <v/>
      </c>
      <c r="AF1143" s="25">
        <f>IF(ISNUMBER(AD1143+AE1143),AD1143+AE1143,"")</f>
        <v/>
      </c>
      <c r="AH1143" s="1">
        <f>A1143</f>
        <v/>
      </c>
      <c r="AI1143">
        <f>IF(ISNUMBER((1+V1143)*AI1142),(1+V1143)*AI1142,AI1142)</f>
        <v/>
      </c>
      <c r="AJ1143">
        <f>IF(ISNUMBER((1+Z1143)*AJ1142),(1+Z1143)*AJ1142,AJ1142)</f>
        <v/>
      </c>
    </row>
    <row r="1144">
      <c r="A1144" s="1" t="n">
        <v>43663</v>
      </c>
      <c r="B1144" s="3">
        <f>IF(ORIG!B1144=0,"",ORIG!B1144)</f>
        <v/>
      </c>
      <c r="C1144" s="3">
        <f>IF(ORIG!C1144=0,"",ORIG!C1144)</f>
        <v/>
      </c>
      <c r="D1144" s="3">
        <f>IF(ORIG!D1144=0,"",ORIG!D1144)</f>
        <v/>
      </c>
      <c r="E1144" s="3">
        <f>IF(ORIG!E1144=0,"",ORIG!E1144)</f>
        <v/>
      </c>
      <c r="F1144" s="3">
        <f>IF(ORIG!F1144=0,"",ORIG!F1144)</f>
        <v/>
      </c>
      <c r="G1144" s="3">
        <f>IF(ORIG!G1144=0,"",ORIG!G1144)</f>
        <v/>
      </c>
      <c r="H1144" s="3">
        <f>IF(ORIG!H1144=0,"",ORIG!H1144)</f>
        <v/>
      </c>
      <c r="I1144" s="3">
        <f>IF(ORIG!I1144=0,"",ORIG!I1144)</f>
        <v/>
      </c>
      <c r="J1144" s="3">
        <f>IF(ORIG!J1144=0,"",ORIG!J1144)</f>
        <v/>
      </c>
      <c r="K1144" s="3">
        <f>IF(ORIG!K1144=0,"",ORIG!K1144)</f>
        <v/>
      </c>
      <c r="L1144" s="3">
        <f>IF(ORIG!L1144=0,"",ORIG!L1144)</f>
        <v/>
      </c>
      <c r="M1144" s="3">
        <f>IF(ORIG!M1144=0,"",ORIG!M1144)</f>
        <v/>
      </c>
      <c r="N1144" s="3">
        <f>IF(ORIG!N1144=0,"",ORIG!N1144)</f>
        <v/>
      </c>
      <c r="O1144" s="3">
        <f>IF(ORIG!O1144=0,"",ORIG!O1144)</f>
        <v/>
      </c>
      <c r="P1144" s="3">
        <f>IF(ORIG!P1144=0,"",ORIG!P1144)</f>
        <v/>
      </c>
      <c r="Q1144" s="3">
        <f>IF(ORIG!Q1144=0,"",ORIG!Q1144)</f>
        <v/>
      </c>
      <c r="R1144" s="3">
        <f>IF(ORIG!R1144=0,"",ORIG!R1144)</f>
        <v/>
      </c>
      <c r="S1144" s="3">
        <f>IF(ORIG!S1144=0,"",ORIG!S1144)</f>
        <v/>
      </c>
      <c r="T1144" s="3">
        <f>IF(ORIG!T1144=0,"",ORIG!T1144)</f>
        <v/>
      </c>
      <c r="U1144" s="3">
        <f>IF(ORIG!U1144=0,"",ORIG!U1144)</f>
        <v/>
      </c>
      <c r="V1144" s="9">
        <f>IF(ORIG!V1144=0,"",ORIG!V1144)</f>
        <v/>
      </c>
      <c r="W1144" s="9">
        <f>IF(ORIG!W1144=0,"",ORIG!W1144)</f>
        <v/>
      </c>
      <c r="X1144" s="9">
        <f>IF(ORIG!X1144=0,"",ORIG!X1144)</f>
        <v/>
      </c>
      <c r="Y1144" s="9">
        <f>IF(ORIG!Y1144=0,"",ORIG!Y1144)</f>
        <v/>
      </c>
      <c r="Z1144" s="3">
        <f>SUMPRODUCT($B1144:$Y1144,$B$2649:$Y$2649)</f>
        <v/>
      </c>
      <c r="AA1144" s="3">
        <f>SUMPRODUCT($B1144:$Y1144,$B$2655:$Y$2655)</f>
        <v/>
      </c>
      <c r="AC1144" s="1">
        <f>A1144</f>
        <v/>
      </c>
      <c r="AD1144">
        <f>IF(ISNUMBER(V1144),V1144*($AB$1/V$2635),"")</f>
        <v/>
      </c>
      <c r="AE1144">
        <f>IF(ISNUMBER(Z1144),Z1144*($AB$1/Z$2635),"")</f>
        <v/>
      </c>
      <c r="AF1144" s="25">
        <f>IF(ISNUMBER(AD1144+AE1144),AD1144+AE1144,"")</f>
        <v/>
      </c>
      <c r="AH1144" s="1">
        <f>A1144</f>
        <v/>
      </c>
      <c r="AI1144">
        <f>IF(ISNUMBER((1+V1144)*AI1143),(1+V1144)*AI1143,AI1143)</f>
        <v/>
      </c>
      <c r="AJ1144">
        <f>IF(ISNUMBER((1+Z1144)*AJ1143),(1+Z1144)*AJ1143,AJ1143)</f>
        <v/>
      </c>
    </row>
    <row r="1145">
      <c r="A1145" s="1" t="n">
        <v>43664</v>
      </c>
      <c r="B1145" s="3">
        <f>IF(ORIG!B1145=0,"",ORIG!B1145)</f>
        <v/>
      </c>
      <c r="C1145" s="3">
        <f>IF(ORIG!C1145=0,"",ORIG!C1145)</f>
        <v/>
      </c>
      <c r="D1145" s="3">
        <f>IF(ORIG!D1145=0,"",ORIG!D1145)</f>
        <v/>
      </c>
      <c r="E1145" s="3">
        <f>IF(ORIG!E1145=0,"",ORIG!E1145)</f>
        <v/>
      </c>
      <c r="F1145" s="3">
        <f>IF(ORIG!F1145=0,"",ORIG!F1145)</f>
        <v/>
      </c>
      <c r="G1145" s="3">
        <f>IF(ORIG!G1145=0,"",ORIG!G1145)</f>
        <v/>
      </c>
      <c r="H1145" s="3">
        <f>IF(ORIG!H1145=0,"",ORIG!H1145)</f>
        <v/>
      </c>
      <c r="I1145" s="3">
        <f>IF(ORIG!I1145=0,"",ORIG!I1145)</f>
        <v/>
      </c>
      <c r="J1145" s="3">
        <f>IF(ORIG!J1145=0,"",ORIG!J1145)</f>
        <v/>
      </c>
      <c r="K1145" s="3">
        <f>IF(ORIG!K1145=0,"",ORIG!K1145)</f>
        <v/>
      </c>
      <c r="L1145" s="3">
        <f>IF(ORIG!L1145=0,"",ORIG!L1145)</f>
        <v/>
      </c>
      <c r="M1145" s="3">
        <f>IF(ORIG!M1145=0,"",ORIG!M1145)</f>
        <v/>
      </c>
      <c r="N1145" s="3">
        <f>IF(ORIG!N1145=0,"",ORIG!N1145)</f>
        <v/>
      </c>
      <c r="O1145" s="3">
        <f>IF(ORIG!O1145=0,"",ORIG!O1145)</f>
        <v/>
      </c>
      <c r="P1145" s="3">
        <f>IF(ORIG!P1145=0,"",ORIG!P1145)</f>
        <v/>
      </c>
      <c r="Q1145" s="3">
        <f>IF(ORIG!Q1145=0,"",ORIG!Q1145)</f>
        <v/>
      </c>
      <c r="R1145" s="3">
        <f>IF(ORIG!R1145=0,"",ORIG!R1145)</f>
        <v/>
      </c>
      <c r="S1145" s="3">
        <f>IF(ORIG!S1145=0,"",ORIG!S1145)</f>
        <v/>
      </c>
      <c r="T1145" s="3">
        <f>IF(ORIG!T1145=0,"",ORIG!T1145)</f>
        <v/>
      </c>
      <c r="U1145" s="3">
        <f>IF(ORIG!U1145=0,"",ORIG!U1145)</f>
        <v/>
      </c>
      <c r="V1145" s="9">
        <f>IF(ORIG!V1145=0,"",ORIG!V1145)</f>
        <v/>
      </c>
      <c r="W1145" s="9">
        <f>IF(ORIG!W1145=0,"",ORIG!W1145)</f>
        <v/>
      </c>
      <c r="X1145" s="9">
        <f>IF(ORIG!X1145=0,"",ORIG!X1145)</f>
        <v/>
      </c>
      <c r="Y1145" s="9">
        <f>IF(ORIG!Y1145=0,"",ORIG!Y1145)</f>
        <v/>
      </c>
      <c r="Z1145" s="3">
        <f>SUMPRODUCT($B1145:$Y1145,$B$2649:$Y$2649)</f>
        <v/>
      </c>
      <c r="AA1145" s="3">
        <f>SUMPRODUCT($B1145:$Y1145,$B$2655:$Y$2655)</f>
        <v/>
      </c>
      <c r="AC1145" s="1">
        <f>A1145</f>
        <v/>
      </c>
      <c r="AD1145">
        <f>IF(ISNUMBER(V1145),V1145*($AB$1/V$2635),"")</f>
        <v/>
      </c>
      <c r="AE1145">
        <f>IF(ISNUMBER(Z1145),Z1145*($AB$1/Z$2635),"")</f>
        <v/>
      </c>
      <c r="AF1145" s="25">
        <f>IF(ISNUMBER(AD1145+AE1145),AD1145+AE1145,"")</f>
        <v/>
      </c>
      <c r="AH1145" s="1">
        <f>A1145</f>
        <v/>
      </c>
      <c r="AI1145">
        <f>IF(ISNUMBER((1+V1145)*AI1144),(1+V1145)*AI1144,AI1144)</f>
        <v/>
      </c>
      <c r="AJ1145">
        <f>IF(ISNUMBER((1+Z1145)*AJ1144),(1+Z1145)*AJ1144,AJ1144)</f>
        <v/>
      </c>
    </row>
    <row r="1146">
      <c r="A1146" s="1" t="n">
        <v>43665</v>
      </c>
      <c r="B1146" s="3">
        <f>IF(ORIG!B1146=0,"",ORIG!B1146)</f>
        <v/>
      </c>
      <c r="C1146" s="3">
        <f>IF(ORIG!C1146=0,"",ORIG!C1146)</f>
        <v/>
      </c>
      <c r="D1146" s="3">
        <f>IF(ORIG!D1146=0,"",ORIG!D1146)</f>
        <v/>
      </c>
      <c r="E1146" s="3">
        <f>IF(ORIG!E1146=0,"",ORIG!E1146)</f>
        <v/>
      </c>
      <c r="F1146" s="3">
        <f>IF(ORIG!F1146=0,"",ORIG!F1146)</f>
        <v/>
      </c>
      <c r="G1146" s="3">
        <f>IF(ORIG!G1146=0,"",ORIG!G1146)</f>
        <v/>
      </c>
      <c r="H1146" s="3">
        <f>IF(ORIG!H1146=0,"",ORIG!H1146)</f>
        <v/>
      </c>
      <c r="I1146" s="3">
        <f>IF(ORIG!I1146=0,"",ORIG!I1146)</f>
        <v/>
      </c>
      <c r="J1146" s="3">
        <f>IF(ORIG!J1146=0,"",ORIG!J1146)</f>
        <v/>
      </c>
      <c r="K1146" s="3">
        <f>IF(ORIG!K1146=0,"",ORIG!K1146)</f>
        <v/>
      </c>
      <c r="L1146" s="3">
        <f>IF(ORIG!L1146=0,"",ORIG!L1146)</f>
        <v/>
      </c>
      <c r="M1146" s="3">
        <f>IF(ORIG!M1146=0,"",ORIG!M1146)</f>
        <v/>
      </c>
      <c r="N1146" s="3">
        <f>IF(ORIG!N1146=0,"",ORIG!N1146)</f>
        <v/>
      </c>
      <c r="O1146" s="3">
        <f>IF(ORIG!O1146=0,"",ORIG!O1146)</f>
        <v/>
      </c>
      <c r="P1146" s="3">
        <f>IF(ORIG!P1146=0,"",ORIG!P1146)</f>
        <v/>
      </c>
      <c r="Q1146" s="3">
        <f>IF(ORIG!Q1146=0,"",ORIG!Q1146)</f>
        <v/>
      </c>
      <c r="R1146" s="3">
        <f>IF(ORIG!R1146=0,"",ORIG!R1146)</f>
        <v/>
      </c>
      <c r="S1146" s="3">
        <f>IF(ORIG!S1146=0,"",ORIG!S1146)</f>
        <v/>
      </c>
      <c r="T1146" s="3">
        <f>IF(ORIG!T1146=0,"",ORIG!T1146)</f>
        <v/>
      </c>
      <c r="U1146" s="3">
        <f>IF(ORIG!U1146=0,"",ORIG!U1146)</f>
        <v/>
      </c>
      <c r="V1146" s="9">
        <f>IF(ORIG!V1146=0,"",ORIG!V1146)</f>
        <v/>
      </c>
      <c r="W1146" s="9">
        <f>IF(ORIG!W1146=0,"",ORIG!W1146)</f>
        <v/>
      </c>
      <c r="X1146" s="9">
        <f>IF(ORIG!X1146=0,"",ORIG!X1146)</f>
        <v/>
      </c>
      <c r="Y1146" s="9">
        <f>IF(ORIG!Y1146=0,"",ORIG!Y1146)</f>
        <v/>
      </c>
      <c r="Z1146" s="3">
        <f>SUMPRODUCT($B1146:$Y1146,$B$2649:$Y$2649)</f>
        <v/>
      </c>
      <c r="AA1146" s="3">
        <f>SUMPRODUCT($B1146:$Y1146,$B$2655:$Y$2655)</f>
        <v/>
      </c>
      <c r="AC1146" s="1">
        <f>A1146</f>
        <v/>
      </c>
      <c r="AD1146">
        <f>IF(ISNUMBER(V1146),V1146*($AB$1/V$2635),"")</f>
        <v/>
      </c>
      <c r="AE1146">
        <f>IF(ISNUMBER(Z1146),Z1146*($AB$1/Z$2635),"")</f>
        <v/>
      </c>
      <c r="AF1146" s="25">
        <f>IF(ISNUMBER(AD1146+AE1146),AD1146+AE1146,"")</f>
        <v/>
      </c>
      <c r="AH1146" s="1">
        <f>A1146</f>
        <v/>
      </c>
      <c r="AI1146">
        <f>IF(ISNUMBER((1+V1146)*AI1145),(1+V1146)*AI1145,AI1145)</f>
        <v/>
      </c>
      <c r="AJ1146">
        <f>IF(ISNUMBER((1+Z1146)*AJ1145),(1+Z1146)*AJ1145,AJ1145)</f>
        <v/>
      </c>
    </row>
    <row r="1147">
      <c r="A1147" s="1" t="n">
        <v>43668</v>
      </c>
      <c r="B1147" s="3">
        <f>IF(ORIG!B1147=0,"",ORIG!B1147)</f>
        <v/>
      </c>
      <c r="C1147" s="3">
        <f>IF(ORIG!C1147=0,"",ORIG!C1147)</f>
        <v/>
      </c>
      <c r="D1147" s="3">
        <f>IF(ORIG!D1147=0,"",ORIG!D1147)</f>
        <v/>
      </c>
      <c r="E1147" s="3">
        <f>IF(ORIG!E1147=0,"",ORIG!E1147)</f>
        <v/>
      </c>
      <c r="F1147" s="3">
        <f>IF(ORIG!F1147=0,"",ORIG!F1147)</f>
        <v/>
      </c>
      <c r="G1147" s="3">
        <f>IF(ORIG!G1147=0,"",ORIG!G1147)</f>
        <v/>
      </c>
      <c r="H1147" s="3">
        <f>IF(ORIG!H1147=0,"",ORIG!H1147)</f>
        <v/>
      </c>
      <c r="I1147" s="3">
        <f>IF(ORIG!I1147=0,"",ORIG!I1147)</f>
        <v/>
      </c>
      <c r="J1147" s="3">
        <f>IF(ORIG!J1147=0,"",ORIG!J1147)</f>
        <v/>
      </c>
      <c r="K1147" s="3">
        <f>IF(ORIG!K1147=0,"",ORIG!K1147)</f>
        <v/>
      </c>
      <c r="L1147" s="3">
        <f>IF(ORIG!L1147=0,"",ORIG!L1147)</f>
        <v/>
      </c>
      <c r="M1147" s="3">
        <f>IF(ORIG!M1147=0,"",ORIG!M1147)</f>
        <v/>
      </c>
      <c r="N1147" s="3">
        <f>IF(ORIG!N1147=0,"",ORIG!N1147)</f>
        <v/>
      </c>
      <c r="O1147" s="3">
        <f>IF(ORIG!O1147=0,"",ORIG!O1147)</f>
        <v/>
      </c>
      <c r="P1147" s="3">
        <f>IF(ORIG!P1147=0,"",ORIG!P1147)</f>
        <v/>
      </c>
      <c r="Q1147" s="3">
        <f>IF(ORIG!Q1147=0,"",ORIG!Q1147)</f>
        <v/>
      </c>
      <c r="R1147" s="3">
        <f>IF(ORIG!R1147=0,"",ORIG!R1147)</f>
        <v/>
      </c>
      <c r="S1147" s="3">
        <f>IF(ORIG!S1147=0,"",ORIG!S1147)</f>
        <v/>
      </c>
      <c r="T1147" s="3">
        <f>IF(ORIG!T1147=0,"",ORIG!T1147)</f>
        <v/>
      </c>
      <c r="U1147" s="3">
        <f>IF(ORIG!U1147=0,"",ORIG!U1147)</f>
        <v/>
      </c>
      <c r="V1147" s="9">
        <f>IF(ORIG!V1147=0,"",ORIG!V1147)</f>
        <v/>
      </c>
      <c r="W1147" s="9">
        <f>IF(ORIG!W1147=0,"",ORIG!W1147)</f>
        <v/>
      </c>
      <c r="X1147" s="9">
        <f>IF(ORIG!X1147=0,"",ORIG!X1147)</f>
        <v/>
      </c>
      <c r="Y1147" s="9">
        <f>IF(ORIG!Y1147=0,"",ORIG!Y1147)</f>
        <v/>
      </c>
      <c r="Z1147" s="3">
        <f>SUMPRODUCT($B1147:$Y1147,$B$2649:$Y$2649)</f>
        <v/>
      </c>
      <c r="AA1147" s="3">
        <f>SUMPRODUCT($B1147:$Y1147,$B$2655:$Y$2655)</f>
        <v/>
      </c>
      <c r="AC1147" s="1">
        <f>A1147</f>
        <v/>
      </c>
      <c r="AD1147">
        <f>IF(ISNUMBER(V1147),V1147*($AB$1/V$2635),"")</f>
        <v/>
      </c>
      <c r="AE1147">
        <f>IF(ISNUMBER(Z1147),Z1147*($AB$1/Z$2635),"")</f>
        <v/>
      </c>
      <c r="AF1147" s="25">
        <f>IF(ISNUMBER(AD1147+AE1147),AD1147+AE1147,"")</f>
        <v/>
      </c>
      <c r="AH1147" s="1">
        <f>A1147</f>
        <v/>
      </c>
      <c r="AI1147">
        <f>IF(ISNUMBER((1+V1147)*AI1146),(1+V1147)*AI1146,AI1146)</f>
        <v/>
      </c>
      <c r="AJ1147">
        <f>IF(ISNUMBER((1+Z1147)*AJ1146),(1+Z1147)*AJ1146,AJ1146)</f>
        <v/>
      </c>
    </row>
    <row r="1148">
      <c r="A1148" s="1" t="n">
        <v>43669</v>
      </c>
      <c r="B1148" s="3">
        <f>IF(ORIG!B1148=0,"",ORIG!B1148)</f>
        <v/>
      </c>
      <c r="C1148" s="3">
        <f>IF(ORIG!C1148=0,"",ORIG!C1148)</f>
        <v/>
      </c>
      <c r="D1148" s="3">
        <f>IF(ORIG!D1148=0,"",ORIG!D1148)</f>
        <v/>
      </c>
      <c r="E1148" s="3">
        <f>IF(ORIG!E1148=0,"",ORIG!E1148)</f>
        <v/>
      </c>
      <c r="F1148" s="3">
        <f>IF(ORIG!F1148=0,"",ORIG!F1148)</f>
        <v/>
      </c>
      <c r="G1148" s="3">
        <f>IF(ORIG!G1148=0,"",ORIG!G1148)</f>
        <v/>
      </c>
      <c r="H1148" s="3">
        <f>IF(ORIG!H1148=0,"",ORIG!H1148)</f>
        <v/>
      </c>
      <c r="I1148" s="3">
        <f>IF(ORIG!I1148=0,"",ORIG!I1148)</f>
        <v/>
      </c>
      <c r="J1148" s="3">
        <f>IF(ORIG!J1148=0,"",ORIG!J1148)</f>
        <v/>
      </c>
      <c r="K1148" s="3">
        <f>IF(ORIG!K1148=0,"",ORIG!K1148)</f>
        <v/>
      </c>
      <c r="L1148" s="3">
        <f>IF(ORIG!L1148=0,"",ORIG!L1148)</f>
        <v/>
      </c>
      <c r="M1148" s="3">
        <f>IF(ORIG!M1148=0,"",ORIG!M1148)</f>
        <v/>
      </c>
      <c r="N1148" s="3">
        <f>IF(ORIG!N1148=0,"",ORIG!N1148)</f>
        <v/>
      </c>
      <c r="O1148" s="3">
        <f>IF(ORIG!O1148=0,"",ORIG!O1148)</f>
        <v/>
      </c>
      <c r="P1148" s="3">
        <f>IF(ORIG!P1148=0,"",ORIG!P1148)</f>
        <v/>
      </c>
      <c r="Q1148" s="3">
        <f>IF(ORIG!Q1148=0,"",ORIG!Q1148)</f>
        <v/>
      </c>
      <c r="R1148" s="3">
        <f>IF(ORIG!R1148=0,"",ORIG!R1148)</f>
        <v/>
      </c>
      <c r="S1148" s="3">
        <f>IF(ORIG!S1148=0,"",ORIG!S1148)</f>
        <v/>
      </c>
      <c r="T1148" s="3">
        <f>IF(ORIG!T1148=0,"",ORIG!T1148)</f>
        <v/>
      </c>
      <c r="U1148" s="3">
        <f>IF(ORIG!U1148=0,"",ORIG!U1148)</f>
        <v/>
      </c>
      <c r="V1148" s="9">
        <f>IF(ORIG!V1148=0,"",ORIG!V1148)</f>
        <v/>
      </c>
      <c r="W1148" s="9">
        <f>IF(ORIG!W1148=0,"",ORIG!W1148)</f>
        <v/>
      </c>
      <c r="X1148" s="9">
        <f>IF(ORIG!X1148=0,"",ORIG!X1148)</f>
        <v/>
      </c>
      <c r="Y1148" s="9">
        <f>IF(ORIG!Y1148=0,"",ORIG!Y1148)</f>
        <v/>
      </c>
      <c r="Z1148" s="3">
        <f>SUMPRODUCT($B1148:$Y1148,$B$2649:$Y$2649)</f>
        <v/>
      </c>
      <c r="AA1148" s="3">
        <f>SUMPRODUCT($B1148:$Y1148,$B$2655:$Y$2655)</f>
        <v/>
      </c>
      <c r="AC1148" s="1">
        <f>A1148</f>
        <v/>
      </c>
      <c r="AD1148">
        <f>IF(ISNUMBER(V1148),V1148*($AB$1/V$2635),"")</f>
        <v/>
      </c>
      <c r="AE1148">
        <f>IF(ISNUMBER(Z1148),Z1148*($AB$1/Z$2635),"")</f>
        <v/>
      </c>
      <c r="AF1148" s="25">
        <f>IF(ISNUMBER(AD1148+AE1148),AD1148+AE1148,"")</f>
        <v/>
      </c>
      <c r="AH1148" s="1">
        <f>A1148</f>
        <v/>
      </c>
      <c r="AI1148">
        <f>IF(ISNUMBER((1+V1148)*AI1147),(1+V1148)*AI1147,AI1147)</f>
        <v/>
      </c>
      <c r="AJ1148">
        <f>IF(ISNUMBER((1+Z1148)*AJ1147),(1+Z1148)*AJ1147,AJ1147)</f>
        <v/>
      </c>
    </row>
    <row r="1149">
      <c r="A1149" s="1" t="n">
        <v>43670</v>
      </c>
      <c r="B1149" s="3">
        <f>IF(ORIG!B1149=0,"",ORIG!B1149)</f>
        <v/>
      </c>
      <c r="C1149" s="3">
        <f>IF(ORIG!C1149=0,"",ORIG!C1149)</f>
        <v/>
      </c>
      <c r="D1149" s="3">
        <f>IF(ORIG!D1149=0,"",ORIG!D1149)</f>
        <v/>
      </c>
      <c r="E1149" s="3">
        <f>IF(ORIG!E1149=0,"",ORIG!E1149)</f>
        <v/>
      </c>
      <c r="F1149" s="3">
        <f>IF(ORIG!F1149=0,"",ORIG!F1149)</f>
        <v/>
      </c>
      <c r="G1149" s="3">
        <f>IF(ORIG!G1149=0,"",ORIG!G1149)</f>
        <v/>
      </c>
      <c r="H1149" s="3">
        <f>IF(ORIG!H1149=0,"",ORIG!H1149)</f>
        <v/>
      </c>
      <c r="I1149" s="3">
        <f>IF(ORIG!I1149=0,"",ORIG!I1149)</f>
        <v/>
      </c>
      <c r="J1149" s="3">
        <f>IF(ORIG!J1149=0,"",ORIG!J1149)</f>
        <v/>
      </c>
      <c r="K1149" s="3">
        <f>IF(ORIG!K1149=0,"",ORIG!K1149)</f>
        <v/>
      </c>
      <c r="L1149" s="3">
        <f>IF(ORIG!L1149=0,"",ORIG!L1149)</f>
        <v/>
      </c>
      <c r="M1149" s="3">
        <f>IF(ORIG!M1149=0,"",ORIG!M1149)</f>
        <v/>
      </c>
      <c r="N1149" s="3">
        <f>IF(ORIG!N1149=0,"",ORIG!N1149)</f>
        <v/>
      </c>
      <c r="O1149" s="3">
        <f>IF(ORIG!O1149=0,"",ORIG!O1149)</f>
        <v/>
      </c>
      <c r="P1149" s="3">
        <f>IF(ORIG!P1149=0,"",ORIG!P1149)</f>
        <v/>
      </c>
      <c r="Q1149" s="3">
        <f>IF(ORIG!Q1149=0,"",ORIG!Q1149)</f>
        <v/>
      </c>
      <c r="R1149" s="3">
        <f>IF(ORIG!R1149=0,"",ORIG!R1149)</f>
        <v/>
      </c>
      <c r="S1149" s="3">
        <f>IF(ORIG!S1149=0,"",ORIG!S1149)</f>
        <v/>
      </c>
      <c r="T1149" s="3">
        <f>IF(ORIG!T1149=0,"",ORIG!T1149)</f>
        <v/>
      </c>
      <c r="U1149" s="3">
        <f>IF(ORIG!U1149=0,"",ORIG!U1149)</f>
        <v/>
      </c>
      <c r="V1149" s="9">
        <f>IF(ORIG!V1149=0,"",ORIG!V1149)</f>
        <v/>
      </c>
      <c r="W1149" s="9">
        <f>IF(ORIG!W1149=0,"",ORIG!W1149)</f>
        <v/>
      </c>
      <c r="X1149" s="9">
        <f>IF(ORIG!X1149=0,"",ORIG!X1149)</f>
        <v/>
      </c>
      <c r="Y1149" s="9">
        <f>IF(ORIG!Y1149=0,"",ORIG!Y1149)</f>
        <v/>
      </c>
      <c r="Z1149" s="3">
        <f>SUMPRODUCT($B1149:$Y1149,$B$2649:$Y$2649)</f>
        <v/>
      </c>
      <c r="AA1149" s="3">
        <f>SUMPRODUCT($B1149:$Y1149,$B$2655:$Y$2655)</f>
        <v/>
      </c>
      <c r="AC1149" s="1">
        <f>A1149</f>
        <v/>
      </c>
      <c r="AD1149">
        <f>IF(ISNUMBER(V1149),V1149*($AB$1/V$2635),"")</f>
        <v/>
      </c>
      <c r="AE1149">
        <f>IF(ISNUMBER(Z1149),Z1149*($AB$1/Z$2635),"")</f>
        <v/>
      </c>
      <c r="AF1149" s="25">
        <f>IF(ISNUMBER(AD1149+AE1149),AD1149+AE1149,"")</f>
        <v/>
      </c>
      <c r="AH1149" s="1">
        <f>A1149</f>
        <v/>
      </c>
      <c r="AI1149">
        <f>IF(ISNUMBER((1+V1149)*AI1148),(1+V1149)*AI1148,AI1148)</f>
        <v/>
      </c>
      <c r="AJ1149">
        <f>IF(ISNUMBER((1+Z1149)*AJ1148),(1+Z1149)*AJ1148,AJ1148)</f>
        <v/>
      </c>
    </row>
    <row r="1150">
      <c r="A1150" s="1" t="n">
        <v>43671</v>
      </c>
      <c r="B1150" s="3">
        <f>IF(ORIG!B1150=0,"",ORIG!B1150)</f>
        <v/>
      </c>
      <c r="C1150" s="3">
        <f>IF(ORIG!C1150=0,"",ORIG!C1150)</f>
        <v/>
      </c>
      <c r="D1150" s="3">
        <f>IF(ORIG!D1150=0,"",ORIG!D1150)</f>
        <v/>
      </c>
      <c r="E1150" s="3">
        <f>IF(ORIG!E1150=0,"",ORIG!E1150)</f>
        <v/>
      </c>
      <c r="F1150" s="3">
        <f>IF(ORIG!F1150=0,"",ORIG!F1150)</f>
        <v/>
      </c>
      <c r="G1150" s="3">
        <f>IF(ORIG!G1150=0,"",ORIG!G1150)</f>
        <v/>
      </c>
      <c r="H1150" s="3">
        <f>IF(ORIG!H1150=0,"",ORIG!H1150)</f>
        <v/>
      </c>
      <c r="I1150" s="3">
        <f>IF(ORIG!I1150=0,"",ORIG!I1150)</f>
        <v/>
      </c>
      <c r="J1150" s="3">
        <f>IF(ORIG!J1150=0,"",ORIG!J1150)</f>
        <v/>
      </c>
      <c r="K1150" s="3">
        <f>IF(ORIG!K1150=0,"",ORIG!K1150)</f>
        <v/>
      </c>
      <c r="L1150" s="3">
        <f>IF(ORIG!L1150=0,"",ORIG!L1150)</f>
        <v/>
      </c>
      <c r="M1150" s="3">
        <f>IF(ORIG!M1150=0,"",ORIG!M1150)</f>
        <v/>
      </c>
      <c r="N1150" s="3">
        <f>IF(ORIG!N1150=0,"",ORIG!N1150)</f>
        <v/>
      </c>
      <c r="O1150" s="3">
        <f>IF(ORIG!O1150=0,"",ORIG!O1150)</f>
        <v/>
      </c>
      <c r="P1150" s="3">
        <f>IF(ORIG!P1150=0,"",ORIG!P1150)</f>
        <v/>
      </c>
      <c r="Q1150" s="3">
        <f>IF(ORIG!Q1150=0,"",ORIG!Q1150)</f>
        <v/>
      </c>
      <c r="R1150" s="3">
        <f>IF(ORIG!R1150=0,"",ORIG!R1150)</f>
        <v/>
      </c>
      <c r="S1150" s="3">
        <f>IF(ORIG!S1150=0,"",ORIG!S1150)</f>
        <v/>
      </c>
      <c r="T1150" s="3">
        <f>IF(ORIG!T1150=0,"",ORIG!T1150)</f>
        <v/>
      </c>
      <c r="U1150" s="3">
        <f>IF(ORIG!U1150=0,"",ORIG!U1150)</f>
        <v/>
      </c>
      <c r="V1150" s="9">
        <f>IF(ORIG!V1150=0,"",ORIG!V1150)</f>
        <v/>
      </c>
      <c r="W1150" s="9">
        <f>IF(ORIG!W1150=0,"",ORIG!W1150)</f>
        <v/>
      </c>
      <c r="X1150" s="9">
        <f>IF(ORIG!X1150=0,"",ORIG!X1150)</f>
        <v/>
      </c>
      <c r="Y1150" s="9">
        <f>IF(ORIG!Y1150=0,"",ORIG!Y1150)</f>
        <v/>
      </c>
      <c r="Z1150" s="3">
        <f>SUMPRODUCT($B1150:$Y1150,$B$2649:$Y$2649)</f>
        <v/>
      </c>
      <c r="AA1150" s="3">
        <f>SUMPRODUCT($B1150:$Y1150,$B$2655:$Y$2655)</f>
        <v/>
      </c>
      <c r="AC1150" s="1">
        <f>A1150</f>
        <v/>
      </c>
      <c r="AD1150">
        <f>IF(ISNUMBER(V1150),V1150*($AB$1/V$2635),"")</f>
        <v/>
      </c>
      <c r="AE1150">
        <f>IF(ISNUMBER(Z1150),Z1150*($AB$1/Z$2635),"")</f>
        <v/>
      </c>
      <c r="AF1150" s="25">
        <f>IF(ISNUMBER(AD1150+AE1150),AD1150+AE1150,"")</f>
        <v/>
      </c>
      <c r="AH1150" s="1">
        <f>A1150</f>
        <v/>
      </c>
      <c r="AI1150">
        <f>IF(ISNUMBER((1+V1150)*AI1149),(1+V1150)*AI1149,AI1149)</f>
        <v/>
      </c>
      <c r="AJ1150">
        <f>IF(ISNUMBER((1+Z1150)*AJ1149),(1+Z1150)*AJ1149,AJ1149)</f>
        <v/>
      </c>
    </row>
    <row r="1151">
      <c r="A1151" s="1" t="n">
        <v>43672</v>
      </c>
      <c r="B1151" s="3">
        <f>IF(ORIG!B1151=0,"",ORIG!B1151)</f>
        <v/>
      </c>
      <c r="C1151" s="3">
        <f>IF(ORIG!C1151=0,"",ORIG!C1151)</f>
        <v/>
      </c>
      <c r="D1151" s="3">
        <f>IF(ORIG!D1151=0,"",ORIG!D1151)</f>
        <v/>
      </c>
      <c r="E1151" s="3">
        <f>IF(ORIG!E1151=0,"",ORIG!E1151)</f>
        <v/>
      </c>
      <c r="F1151" s="3">
        <f>IF(ORIG!F1151=0,"",ORIG!F1151)</f>
        <v/>
      </c>
      <c r="G1151" s="3">
        <f>IF(ORIG!G1151=0,"",ORIG!G1151)</f>
        <v/>
      </c>
      <c r="H1151" s="3">
        <f>IF(ORIG!H1151=0,"",ORIG!H1151)</f>
        <v/>
      </c>
      <c r="I1151" s="3">
        <f>IF(ORIG!I1151=0,"",ORIG!I1151)</f>
        <v/>
      </c>
      <c r="J1151" s="3">
        <f>IF(ORIG!J1151=0,"",ORIG!J1151)</f>
        <v/>
      </c>
      <c r="K1151" s="3">
        <f>IF(ORIG!K1151=0,"",ORIG!K1151)</f>
        <v/>
      </c>
      <c r="L1151" s="3">
        <f>IF(ORIG!L1151=0,"",ORIG!L1151)</f>
        <v/>
      </c>
      <c r="M1151" s="3">
        <f>IF(ORIG!M1151=0,"",ORIG!M1151)</f>
        <v/>
      </c>
      <c r="N1151" s="3">
        <f>IF(ORIG!N1151=0,"",ORIG!N1151)</f>
        <v/>
      </c>
      <c r="O1151" s="3">
        <f>IF(ORIG!O1151=0,"",ORIG!O1151)</f>
        <v/>
      </c>
      <c r="P1151" s="3">
        <f>IF(ORIG!P1151=0,"",ORIG!P1151)</f>
        <v/>
      </c>
      <c r="Q1151" s="3">
        <f>IF(ORIG!Q1151=0,"",ORIG!Q1151)</f>
        <v/>
      </c>
      <c r="R1151" s="3">
        <f>IF(ORIG!R1151=0,"",ORIG!R1151)</f>
        <v/>
      </c>
      <c r="S1151" s="3">
        <f>IF(ORIG!S1151=0,"",ORIG!S1151)</f>
        <v/>
      </c>
      <c r="T1151" s="3">
        <f>IF(ORIG!T1151=0,"",ORIG!T1151)</f>
        <v/>
      </c>
      <c r="U1151" s="3">
        <f>IF(ORIG!U1151=0,"",ORIG!U1151)</f>
        <v/>
      </c>
      <c r="V1151" s="9">
        <f>IF(ORIG!V1151=0,"",ORIG!V1151)</f>
        <v/>
      </c>
      <c r="W1151" s="9">
        <f>IF(ORIG!W1151=0,"",ORIG!W1151)</f>
        <v/>
      </c>
      <c r="X1151" s="9">
        <f>IF(ORIG!X1151=0,"",ORIG!X1151)</f>
        <v/>
      </c>
      <c r="Y1151" s="9">
        <f>IF(ORIG!Y1151=0,"",ORIG!Y1151)</f>
        <v/>
      </c>
      <c r="Z1151" s="3">
        <f>SUMPRODUCT($B1151:$Y1151,$B$2649:$Y$2649)</f>
        <v/>
      </c>
      <c r="AA1151" s="3">
        <f>SUMPRODUCT($B1151:$Y1151,$B$2655:$Y$2655)</f>
        <v/>
      </c>
      <c r="AC1151" s="1">
        <f>A1151</f>
        <v/>
      </c>
      <c r="AD1151">
        <f>IF(ISNUMBER(V1151),V1151*($AB$1/V$2635),"")</f>
        <v/>
      </c>
      <c r="AE1151">
        <f>IF(ISNUMBER(Z1151),Z1151*($AB$1/Z$2635),"")</f>
        <v/>
      </c>
      <c r="AF1151" s="25">
        <f>IF(ISNUMBER(AD1151+AE1151),AD1151+AE1151,"")</f>
        <v/>
      </c>
      <c r="AH1151" s="1">
        <f>A1151</f>
        <v/>
      </c>
      <c r="AI1151">
        <f>IF(ISNUMBER((1+V1151)*AI1150),(1+V1151)*AI1150,AI1150)</f>
        <v/>
      </c>
      <c r="AJ1151">
        <f>IF(ISNUMBER((1+Z1151)*AJ1150),(1+Z1151)*AJ1150,AJ1150)</f>
        <v/>
      </c>
    </row>
    <row r="1152">
      <c r="A1152" s="1" t="n">
        <v>43675</v>
      </c>
      <c r="B1152" s="3">
        <f>IF(ORIG!B1152=0,"",ORIG!B1152)</f>
        <v/>
      </c>
      <c r="C1152" s="3">
        <f>IF(ORIG!C1152=0,"",ORIG!C1152)</f>
        <v/>
      </c>
      <c r="D1152" s="3">
        <f>IF(ORIG!D1152=0,"",ORIG!D1152)</f>
        <v/>
      </c>
      <c r="E1152" s="3">
        <f>IF(ORIG!E1152=0,"",ORIG!E1152)</f>
        <v/>
      </c>
      <c r="F1152" s="3">
        <f>IF(ORIG!F1152=0,"",ORIG!F1152)</f>
        <v/>
      </c>
      <c r="G1152" s="3">
        <f>IF(ORIG!G1152=0,"",ORIG!G1152)</f>
        <v/>
      </c>
      <c r="H1152" s="3">
        <f>IF(ORIG!H1152=0,"",ORIG!H1152)</f>
        <v/>
      </c>
      <c r="I1152" s="3">
        <f>IF(ORIG!I1152=0,"",ORIG!I1152)</f>
        <v/>
      </c>
      <c r="J1152" s="3">
        <f>IF(ORIG!J1152=0,"",ORIG!J1152)</f>
        <v/>
      </c>
      <c r="K1152" s="3">
        <f>IF(ORIG!K1152=0,"",ORIG!K1152)</f>
        <v/>
      </c>
      <c r="L1152" s="3">
        <f>IF(ORIG!L1152=0,"",ORIG!L1152)</f>
        <v/>
      </c>
      <c r="M1152" s="3">
        <f>IF(ORIG!M1152=0,"",ORIG!M1152)</f>
        <v/>
      </c>
      <c r="N1152" s="3">
        <f>IF(ORIG!N1152=0,"",ORIG!N1152)</f>
        <v/>
      </c>
      <c r="O1152" s="3">
        <f>IF(ORIG!O1152=0,"",ORIG!O1152)</f>
        <v/>
      </c>
      <c r="P1152" s="3">
        <f>IF(ORIG!P1152=0,"",ORIG!P1152)</f>
        <v/>
      </c>
      <c r="Q1152" s="3">
        <f>IF(ORIG!Q1152=0,"",ORIG!Q1152)</f>
        <v/>
      </c>
      <c r="R1152" s="3">
        <f>IF(ORIG!R1152=0,"",ORIG!R1152)</f>
        <v/>
      </c>
      <c r="S1152" s="3">
        <f>IF(ORIG!S1152=0,"",ORIG!S1152)</f>
        <v/>
      </c>
      <c r="T1152" s="3">
        <f>IF(ORIG!T1152=0,"",ORIG!T1152)</f>
        <v/>
      </c>
      <c r="U1152" s="3">
        <f>IF(ORIG!U1152=0,"",ORIG!U1152)</f>
        <v/>
      </c>
      <c r="V1152" s="9">
        <f>IF(ORIG!V1152=0,"",ORIG!V1152)</f>
        <v/>
      </c>
      <c r="W1152" s="9">
        <f>IF(ORIG!W1152=0,"",ORIG!W1152)</f>
        <v/>
      </c>
      <c r="X1152" s="9">
        <f>IF(ORIG!X1152=0,"",ORIG!X1152)</f>
        <v/>
      </c>
      <c r="Y1152" s="9">
        <f>IF(ORIG!Y1152=0,"",ORIG!Y1152)</f>
        <v/>
      </c>
      <c r="Z1152" s="3">
        <f>SUMPRODUCT($B1152:$Y1152,$B$2649:$Y$2649)</f>
        <v/>
      </c>
      <c r="AA1152" s="3">
        <f>SUMPRODUCT($B1152:$Y1152,$B$2655:$Y$2655)</f>
        <v/>
      </c>
      <c r="AC1152" s="1">
        <f>A1152</f>
        <v/>
      </c>
      <c r="AD1152">
        <f>IF(ISNUMBER(V1152),V1152*($AB$1/V$2635),"")</f>
        <v/>
      </c>
      <c r="AE1152">
        <f>IF(ISNUMBER(Z1152),Z1152*($AB$1/Z$2635),"")</f>
        <v/>
      </c>
      <c r="AF1152" s="25">
        <f>IF(ISNUMBER(AD1152+AE1152),AD1152+AE1152,"")</f>
        <v/>
      </c>
      <c r="AH1152" s="1">
        <f>A1152</f>
        <v/>
      </c>
      <c r="AI1152">
        <f>IF(ISNUMBER((1+V1152)*AI1151),(1+V1152)*AI1151,AI1151)</f>
        <v/>
      </c>
      <c r="AJ1152">
        <f>IF(ISNUMBER((1+Z1152)*AJ1151),(1+Z1152)*AJ1151,AJ1151)</f>
        <v/>
      </c>
    </row>
    <row r="1153">
      <c r="A1153" s="1" t="n">
        <v>43676</v>
      </c>
      <c r="B1153" s="3">
        <f>IF(ORIG!B1153=0,"",ORIG!B1153)</f>
        <v/>
      </c>
      <c r="C1153" s="3">
        <f>IF(ORIG!C1153=0,"",ORIG!C1153)</f>
        <v/>
      </c>
      <c r="D1153" s="3">
        <f>IF(ORIG!D1153=0,"",ORIG!D1153)</f>
        <v/>
      </c>
      <c r="E1153" s="3">
        <f>IF(ORIG!E1153=0,"",ORIG!E1153)</f>
        <v/>
      </c>
      <c r="F1153" s="3">
        <f>IF(ORIG!F1153=0,"",ORIG!F1153)</f>
        <v/>
      </c>
      <c r="G1153" s="3">
        <f>IF(ORIG!G1153=0,"",ORIG!G1153)</f>
        <v/>
      </c>
      <c r="H1153" s="3">
        <f>IF(ORIG!H1153=0,"",ORIG!H1153)</f>
        <v/>
      </c>
      <c r="I1153" s="3">
        <f>IF(ORIG!I1153=0,"",ORIG!I1153)</f>
        <v/>
      </c>
      <c r="J1153" s="3">
        <f>IF(ORIG!J1153=0,"",ORIG!J1153)</f>
        <v/>
      </c>
      <c r="K1153" s="3">
        <f>IF(ORIG!K1153=0,"",ORIG!K1153)</f>
        <v/>
      </c>
      <c r="L1153" s="3">
        <f>IF(ORIG!L1153=0,"",ORIG!L1153)</f>
        <v/>
      </c>
      <c r="M1153" s="3">
        <f>IF(ORIG!M1153=0,"",ORIG!M1153)</f>
        <v/>
      </c>
      <c r="N1153" s="3">
        <f>IF(ORIG!N1153=0,"",ORIG!N1153)</f>
        <v/>
      </c>
      <c r="O1153" s="3">
        <f>IF(ORIG!O1153=0,"",ORIG!O1153)</f>
        <v/>
      </c>
      <c r="P1153" s="3">
        <f>IF(ORIG!P1153=0,"",ORIG!P1153)</f>
        <v/>
      </c>
      <c r="Q1153" s="3">
        <f>IF(ORIG!Q1153=0,"",ORIG!Q1153)</f>
        <v/>
      </c>
      <c r="R1153" s="3">
        <f>IF(ORIG!R1153=0,"",ORIG!R1153)</f>
        <v/>
      </c>
      <c r="S1153" s="3">
        <f>IF(ORIG!S1153=0,"",ORIG!S1153)</f>
        <v/>
      </c>
      <c r="T1153" s="3">
        <f>IF(ORIG!T1153=0,"",ORIG!T1153)</f>
        <v/>
      </c>
      <c r="U1153" s="3">
        <f>IF(ORIG!U1153=0,"",ORIG!U1153)</f>
        <v/>
      </c>
      <c r="V1153" s="9">
        <f>IF(ORIG!V1153=0,"",ORIG!V1153)</f>
        <v/>
      </c>
      <c r="W1153" s="9">
        <f>IF(ORIG!W1153=0,"",ORIG!W1153)</f>
        <v/>
      </c>
      <c r="X1153" s="9">
        <f>IF(ORIG!X1153=0,"",ORIG!X1153)</f>
        <v/>
      </c>
      <c r="Y1153" s="9">
        <f>IF(ORIG!Y1153=0,"",ORIG!Y1153)</f>
        <v/>
      </c>
      <c r="Z1153" s="3">
        <f>SUMPRODUCT($B1153:$Y1153,$B$2649:$Y$2649)</f>
        <v/>
      </c>
      <c r="AA1153" s="3">
        <f>SUMPRODUCT($B1153:$Y1153,$B$2655:$Y$2655)</f>
        <v/>
      </c>
      <c r="AC1153" s="1">
        <f>A1153</f>
        <v/>
      </c>
      <c r="AD1153">
        <f>IF(ISNUMBER(V1153),V1153*($AB$1/V$2635),"")</f>
        <v/>
      </c>
      <c r="AE1153">
        <f>IF(ISNUMBER(Z1153),Z1153*($AB$1/Z$2635),"")</f>
        <v/>
      </c>
      <c r="AF1153" s="25">
        <f>IF(ISNUMBER(AD1153+AE1153),AD1153+AE1153,"")</f>
        <v/>
      </c>
      <c r="AH1153" s="1">
        <f>A1153</f>
        <v/>
      </c>
      <c r="AI1153">
        <f>IF(ISNUMBER((1+V1153)*AI1152),(1+V1153)*AI1152,AI1152)</f>
        <v/>
      </c>
      <c r="AJ1153">
        <f>IF(ISNUMBER((1+Z1153)*AJ1152),(1+Z1153)*AJ1152,AJ1152)</f>
        <v/>
      </c>
    </row>
    <row r="1154">
      <c r="A1154" s="1" t="n">
        <v>43677</v>
      </c>
      <c r="B1154" s="3">
        <f>IF(ORIG!B1154=0,"",ORIG!B1154)</f>
        <v/>
      </c>
      <c r="C1154" s="3">
        <f>IF(ORIG!C1154=0,"",ORIG!C1154)</f>
        <v/>
      </c>
      <c r="D1154" s="3">
        <f>IF(ORIG!D1154=0,"",ORIG!D1154)</f>
        <v/>
      </c>
      <c r="E1154" s="3">
        <f>IF(ORIG!E1154=0,"",ORIG!E1154)</f>
        <v/>
      </c>
      <c r="F1154" s="3">
        <f>IF(ORIG!F1154=0,"",ORIG!F1154)</f>
        <v/>
      </c>
      <c r="G1154" s="3">
        <f>IF(ORIG!G1154=0,"",ORIG!G1154)</f>
        <v/>
      </c>
      <c r="H1154" s="3">
        <f>IF(ORIG!H1154=0,"",ORIG!H1154)</f>
        <v/>
      </c>
      <c r="I1154" s="3">
        <f>IF(ORIG!I1154=0,"",ORIG!I1154)</f>
        <v/>
      </c>
      <c r="J1154" s="3">
        <f>IF(ORIG!J1154=0,"",ORIG!J1154)</f>
        <v/>
      </c>
      <c r="K1154" s="3">
        <f>IF(ORIG!K1154=0,"",ORIG!K1154)</f>
        <v/>
      </c>
      <c r="L1154" s="3">
        <f>IF(ORIG!L1154=0,"",ORIG!L1154)</f>
        <v/>
      </c>
      <c r="M1154" s="3">
        <f>IF(ORIG!M1154=0,"",ORIG!M1154)</f>
        <v/>
      </c>
      <c r="N1154" s="3">
        <f>IF(ORIG!N1154=0,"",ORIG!N1154)</f>
        <v/>
      </c>
      <c r="O1154" s="3">
        <f>IF(ORIG!O1154=0,"",ORIG!O1154)</f>
        <v/>
      </c>
      <c r="P1154" s="3">
        <f>IF(ORIG!P1154=0,"",ORIG!P1154)</f>
        <v/>
      </c>
      <c r="Q1154" s="3">
        <f>IF(ORIG!Q1154=0,"",ORIG!Q1154)</f>
        <v/>
      </c>
      <c r="R1154" s="3">
        <f>IF(ORIG!R1154=0,"",ORIG!R1154)</f>
        <v/>
      </c>
      <c r="S1154" s="3">
        <f>IF(ORIG!S1154=0,"",ORIG!S1154)</f>
        <v/>
      </c>
      <c r="T1154" s="3">
        <f>IF(ORIG!T1154=0,"",ORIG!T1154)</f>
        <v/>
      </c>
      <c r="U1154" s="3">
        <f>IF(ORIG!U1154=0,"",ORIG!U1154)</f>
        <v/>
      </c>
      <c r="V1154" s="9">
        <f>IF(ORIG!V1154=0,"",ORIG!V1154)</f>
        <v/>
      </c>
      <c r="W1154" s="9">
        <f>IF(ORIG!W1154=0,"",ORIG!W1154)</f>
        <v/>
      </c>
      <c r="X1154" s="9">
        <f>IF(ORIG!X1154=0,"",ORIG!X1154)</f>
        <v/>
      </c>
      <c r="Y1154" s="9">
        <f>IF(ORIG!Y1154=0,"",ORIG!Y1154)</f>
        <v/>
      </c>
      <c r="Z1154" s="3">
        <f>SUMPRODUCT($B1154:$Y1154,$B$2649:$Y$2649)</f>
        <v/>
      </c>
      <c r="AA1154" s="3">
        <f>SUMPRODUCT($B1154:$Y1154,$B$2655:$Y$2655)</f>
        <v/>
      </c>
      <c r="AC1154" s="1">
        <f>A1154</f>
        <v/>
      </c>
      <c r="AD1154">
        <f>IF(ISNUMBER(V1154),V1154*($AB$1/V$2635),"")</f>
        <v/>
      </c>
      <c r="AE1154">
        <f>IF(ISNUMBER(Z1154),Z1154*($AB$1/Z$2635),"")</f>
        <v/>
      </c>
      <c r="AF1154" s="25">
        <f>IF(ISNUMBER(AD1154+AE1154),AD1154+AE1154,"")</f>
        <v/>
      </c>
      <c r="AH1154" s="1">
        <f>A1154</f>
        <v/>
      </c>
      <c r="AI1154">
        <f>IF(ISNUMBER((1+V1154)*AI1153),(1+V1154)*AI1153,AI1153)</f>
        <v/>
      </c>
      <c r="AJ1154">
        <f>IF(ISNUMBER((1+Z1154)*AJ1153),(1+Z1154)*AJ1153,AJ1153)</f>
        <v/>
      </c>
    </row>
    <row r="1155">
      <c r="A1155" s="1" t="n">
        <v>43678</v>
      </c>
      <c r="B1155" s="3">
        <f>IF(ORIG!B1155=0,"",ORIG!B1155)</f>
        <v/>
      </c>
      <c r="C1155" s="3">
        <f>IF(ORIG!C1155=0,"",ORIG!C1155)</f>
        <v/>
      </c>
      <c r="D1155" s="3">
        <f>IF(ORIG!D1155=0,"",ORIG!D1155)</f>
        <v/>
      </c>
      <c r="E1155" s="3">
        <f>IF(ORIG!E1155=0,"",ORIG!E1155)</f>
        <v/>
      </c>
      <c r="F1155" s="3">
        <f>IF(ORIG!F1155=0,"",ORIG!F1155)</f>
        <v/>
      </c>
      <c r="G1155" s="3">
        <f>IF(ORIG!G1155=0,"",ORIG!G1155)</f>
        <v/>
      </c>
      <c r="H1155" s="3">
        <f>IF(ORIG!H1155=0,"",ORIG!H1155)</f>
        <v/>
      </c>
      <c r="I1155" s="3">
        <f>IF(ORIG!I1155=0,"",ORIG!I1155)</f>
        <v/>
      </c>
      <c r="J1155" s="3">
        <f>IF(ORIG!J1155=0,"",ORIG!J1155)</f>
        <v/>
      </c>
      <c r="K1155" s="3">
        <f>IF(ORIG!K1155=0,"",ORIG!K1155)</f>
        <v/>
      </c>
      <c r="L1155" s="3">
        <f>IF(ORIG!L1155=0,"",ORIG!L1155)</f>
        <v/>
      </c>
      <c r="M1155" s="3">
        <f>IF(ORIG!M1155=0,"",ORIG!M1155)</f>
        <v/>
      </c>
      <c r="N1155" s="3">
        <f>IF(ORIG!N1155=0,"",ORIG!N1155)</f>
        <v/>
      </c>
      <c r="O1155" s="3">
        <f>IF(ORIG!O1155=0,"",ORIG!O1155)</f>
        <v/>
      </c>
      <c r="P1155" s="3">
        <f>IF(ORIG!P1155=0,"",ORIG!P1155)</f>
        <v/>
      </c>
      <c r="Q1155" s="3">
        <f>IF(ORIG!Q1155=0,"",ORIG!Q1155)</f>
        <v/>
      </c>
      <c r="R1155" s="3">
        <f>IF(ORIG!R1155=0,"",ORIG!R1155)</f>
        <v/>
      </c>
      <c r="S1155" s="3">
        <f>IF(ORIG!S1155=0,"",ORIG!S1155)</f>
        <v/>
      </c>
      <c r="T1155" s="3">
        <f>IF(ORIG!T1155=0,"",ORIG!T1155)</f>
        <v/>
      </c>
      <c r="U1155" s="3">
        <f>IF(ORIG!U1155=0,"",ORIG!U1155)</f>
        <v/>
      </c>
      <c r="V1155" s="9">
        <f>IF(ORIG!V1155=0,"",ORIG!V1155)</f>
        <v/>
      </c>
      <c r="W1155" s="9">
        <f>IF(ORIG!W1155=0,"",ORIG!W1155)</f>
        <v/>
      </c>
      <c r="X1155" s="9">
        <f>IF(ORIG!X1155=0,"",ORIG!X1155)</f>
        <v/>
      </c>
      <c r="Y1155" s="9">
        <f>IF(ORIG!Y1155=0,"",ORIG!Y1155)</f>
        <v/>
      </c>
      <c r="Z1155" s="3">
        <f>SUMPRODUCT($B1155:$Y1155,$B$2649:$Y$2649)</f>
        <v/>
      </c>
      <c r="AA1155" s="3">
        <f>SUMPRODUCT($B1155:$Y1155,$B$2655:$Y$2655)</f>
        <v/>
      </c>
      <c r="AC1155" s="1">
        <f>A1155</f>
        <v/>
      </c>
      <c r="AD1155">
        <f>IF(ISNUMBER(V1155),V1155*($AB$1/V$2635),"")</f>
        <v/>
      </c>
      <c r="AE1155">
        <f>IF(ISNUMBER(Z1155),Z1155*($AB$1/Z$2635),"")</f>
        <v/>
      </c>
      <c r="AF1155" s="25">
        <f>IF(ISNUMBER(AD1155+AE1155),AD1155+AE1155,"")</f>
        <v/>
      </c>
      <c r="AH1155" s="1">
        <f>A1155</f>
        <v/>
      </c>
      <c r="AI1155">
        <f>IF(ISNUMBER((1+V1155)*AI1154),(1+V1155)*AI1154,AI1154)</f>
        <v/>
      </c>
      <c r="AJ1155">
        <f>IF(ISNUMBER((1+Z1155)*AJ1154),(1+Z1155)*AJ1154,AJ1154)</f>
        <v/>
      </c>
    </row>
    <row r="1156">
      <c r="A1156" s="1" t="n">
        <v>43679</v>
      </c>
      <c r="B1156" s="3">
        <f>IF(ORIG!B1156=0,"",ORIG!B1156)</f>
        <v/>
      </c>
      <c r="C1156" s="3">
        <f>IF(ORIG!C1156=0,"",ORIG!C1156)</f>
        <v/>
      </c>
      <c r="D1156" s="3">
        <f>IF(ORIG!D1156=0,"",ORIG!D1156)</f>
        <v/>
      </c>
      <c r="E1156" s="3">
        <f>IF(ORIG!E1156=0,"",ORIG!E1156)</f>
        <v/>
      </c>
      <c r="F1156" s="3">
        <f>IF(ORIG!F1156=0,"",ORIG!F1156)</f>
        <v/>
      </c>
      <c r="G1156" s="3">
        <f>IF(ORIG!G1156=0,"",ORIG!G1156)</f>
        <v/>
      </c>
      <c r="H1156" s="3">
        <f>IF(ORIG!H1156=0,"",ORIG!H1156)</f>
        <v/>
      </c>
      <c r="I1156" s="3">
        <f>IF(ORIG!I1156=0,"",ORIG!I1156)</f>
        <v/>
      </c>
      <c r="J1156" s="3">
        <f>IF(ORIG!J1156=0,"",ORIG!J1156)</f>
        <v/>
      </c>
      <c r="K1156" s="3">
        <f>IF(ORIG!K1156=0,"",ORIG!K1156)</f>
        <v/>
      </c>
      <c r="L1156" s="3">
        <f>IF(ORIG!L1156=0,"",ORIG!L1156)</f>
        <v/>
      </c>
      <c r="M1156" s="3">
        <f>IF(ORIG!M1156=0,"",ORIG!M1156)</f>
        <v/>
      </c>
      <c r="N1156" s="3">
        <f>IF(ORIG!N1156=0,"",ORIG!N1156)</f>
        <v/>
      </c>
      <c r="O1156" s="3">
        <f>IF(ORIG!O1156=0,"",ORIG!O1156)</f>
        <v/>
      </c>
      <c r="P1156" s="3">
        <f>IF(ORIG!P1156=0,"",ORIG!P1156)</f>
        <v/>
      </c>
      <c r="Q1156" s="3">
        <f>IF(ORIG!Q1156=0,"",ORIG!Q1156)</f>
        <v/>
      </c>
      <c r="R1156" s="3">
        <f>IF(ORIG!R1156=0,"",ORIG!R1156)</f>
        <v/>
      </c>
      <c r="S1156" s="3">
        <f>IF(ORIG!S1156=0,"",ORIG!S1156)</f>
        <v/>
      </c>
      <c r="T1156" s="3">
        <f>IF(ORIG!T1156=0,"",ORIG!T1156)</f>
        <v/>
      </c>
      <c r="U1156" s="3">
        <f>IF(ORIG!U1156=0,"",ORIG!U1156)</f>
        <v/>
      </c>
      <c r="V1156" s="9">
        <f>IF(ORIG!V1156=0,"",ORIG!V1156)</f>
        <v/>
      </c>
      <c r="W1156" s="9">
        <f>IF(ORIG!W1156=0,"",ORIG!W1156)</f>
        <v/>
      </c>
      <c r="X1156" s="9">
        <f>IF(ORIG!X1156=0,"",ORIG!X1156)</f>
        <v/>
      </c>
      <c r="Y1156" s="9">
        <f>IF(ORIG!Y1156=0,"",ORIG!Y1156)</f>
        <v/>
      </c>
      <c r="Z1156" s="3">
        <f>SUMPRODUCT($B1156:$Y1156,$B$2649:$Y$2649)</f>
        <v/>
      </c>
      <c r="AA1156" s="3">
        <f>SUMPRODUCT($B1156:$Y1156,$B$2655:$Y$2655)</f>
        <v/>
      </c>
      <c r="AC1156" s="1">
        <f>A1156</f>
        <v/>
      </c>
      <c r="AD1156">
        <f>IF(ISNUMBER(V1156),V1156*($AB$1/V$2635),"")</f>
        <v/>
      </c>
      <c r="AE1156">
        <f>IF(ISNUMBER(Z1156),Z1156*($AB$1/Z$2635),"")</f>
        <v/>
      </c>
      <c r="AF1156" s="25">
        <f>IF(ISNUMBER(AD1156+AE1156),AD1156+AE1156,"")</f>
        <v/>
      </c>
      <c r="AH1156" s="1">
        <f>A1156</f>
        <v/>
      </c>
      <c r="AI1156">
        <f>IF(ISNUMBER((1+V1156)*AI1155),(1+V1156)*AI1155,AI1155)</f>
        <v/>
      </c>
      <c r="AJ1156">
        <f>IF(ISNUMBER((1+Z1156)*AJ1155),(1+Z1156)*AJ1155,AJ1155)</f>
        <v/>
      </c>
    </row>
    <row r="1157">
      <c r="A1157" s="1" t="n">
        <v>43682</v>
      </c>
      <c r="B1157" s="3">
        <f>IF(ORIG!B1157=0,"",ORIG!B1157)</f>
        <v/>
      </c>
      <c r="C1157" s="3">
        <f>IF(ORIG!C1157=0,"",ORIG!C1157)</f>
        <v/>
      </c>
      <c r="D1157" s="3">
        <f>IF(ORIG!D1157=0,"",ORIG!D1157)</f>
        <v/>
      </c>
      <c r="E1157" s="3">
        <f>IF(ORIG!E1157=0,"",ORIG!E1157)</f>
        <v/>
      </c>
      <c r="F1157" s="3">
        <f>IF(ORIG!F1157=0,"",ORIG!F1157)</f>
        <v/>
      </c>
      <c r="G1157" s="3">
        <f>IF(ORIG!G1157=0,"",ORIG!G1157)</f>
        <v/>
      </c>
      <c r="H1157" s="3">
        <f>IF(ORIG!H1157=0,"",ORIG!H1157)</f>
        <v/>
      </c>
      <c r="I1157" s="3">
        <f>IF(ORIG!I1157=0,"",ORIG!I1157)</f>
        <v/>
      </c>
      <c r="J1157" s="3">
        <f>IF(ORIG!J1157=0,"",ORIG!J1157)</f>
        <v/>
      </c>
      <c r="K1157" s="3">
        <f>IF(ORIG!K1157=0,"",ORIG!K1157)</f>
        <v/>
      </c>
      <c r="L1157" s="3">
        <f>IF(ORIG!L1157=0,"",ORIG!L1157)</f>
        <v/>
      </c>
      <c r="M1157" s="3">
        <f>IF(ORIG!M1157=0,"",ORIG!M1157)</f>
        <v/>
      </c>
      <c r="N1157" s="3">
        <f>IF(ORIG!N1157=0,"",ORIG!N1157)</f>
        <v/>
      </c>
      <c r="O1157" s="3">
        <f>IF(ORIG!O1157=0,"",ORIG!O1157)</f>
        <v/>
      </c>
      <c r="P1157" s="3">
        <f>IF(ORIG!P1157=0,"",ORIG!P1157)</f>
        <v/>
      </c>
      <c r="Q1157" s="3">
        <f>IF(ORIG!Q1157=0,"",ORIG!Q1157)</f>
        <v/>
      </c>
      <c r="R1157" s="3">
        <f>IF(ORIG!R1157=0,"",ORIG!R1157)</f>
        <v/>
      </c>
      <c r="S1157" s="3">
        <f>IF(ORIG!S1157=0,"",ORIG!S1157)</f>
        <v/>
      </c>
      <c r="T1157" s="3">
        <f>IF(ORIG!T1157=0,"",ORIG!T1157)</f>
        <v/>
      </c>
      <c r="U1157" s="3">
        <f>IF(ORIG!U1157=0,"",ORIG!U1157)</f>
        <v/>
      </c>
      <c r="V1157" s="9">
        <f>IF(ORIG!V1157=0,"",ORIG!V1157)</f>
        <v/>
      </c>
      <c r="W1157" s="9">
        <f>IF(ORIG!W1157=0,"",ORIG!W1157)</f>
        <v/>
      </c>
      <c r="X1157" s="9">
        <f>IF(ORIG!X1157=0,"",ORIG!X1157)</f>
        <v/>
      </c>
      <c r="Y1157" s="9">
        <f>IF(ORIG!Y1157=0,"",ORIG!Y1157)</f>
        <v/>
      </c>
      <c r="Z1157" s="3">
        <f>SUMPRODUCT($B1157:$Y1157,$B$2649:$Y$2649)</f>
        <v/>
      </c>
      <c r="AA1157" s="3">
        <f>SUMPRODUCT($B1157:$Y1157,$B$2655:$Y$2655)</f>
        <v/>
      </c>
      <c r="AC1157" s="1">
        <f>A1157</f>
        <v/>
      </c>
      <c r="AD1157">
        <f>IF(ISNUMBER(V1157),V1157*($AB$1/V$2635),"")</f>
        <v/>
      </c>
      <c r="AE1157">
        <f>IF(ISNUMBER(Z1157),Z1157*($AB$1/Z$2635),"")</f>
        <v/>
      </c>
      <c r="AF1157" s="25">
        <f>IF(ISNUMBER(AD1157+AE1157),AD1157+AE1157,"")</f>
        <v/>
      </c>
      <c r="AH1157" s="1">
        <f>A1157</f>
        <v/>
      </c>
      <c r="AI1157">
        <f>IF(ISNUMBER((1+V1157)*AI1156),(1+V1157)*AI1156,AI1156)</f>
        <v/>
      </c>
      <c r="AJ1157">
        <f>IF(ISNUMBER((1+Z1157)*AJ1156),(1+Z1157)*AJ1156,AJ1156)</f>
        <v/>
      </c>
    </row>
    <row r="1158">
      <c r="A1158" s="1" t="n">
        <v>43683</v>
      </c>
      <c r="B1158" s="3">
        <f>IF(ORIG!B1158=0,"",ORIG!B1158)</f>
        <v/>
      </c>
      <c r="C1158" s="3">
        <f>IF(ORIG!C1158=0,"",ORIG!C1158)</f>
        <v/>
      </c>
      <c r="D1158" s="3">
        <f>IF(ORIG!D1158=0,"",ORIG!D1158)</f>
        <v/>
      </c>
      <c r="E1158" s="3">
        <f>IF(ORIG!E1158=0,"",ORIG!E1158)</f>
        <v/>
      </c>
      <c r="F1158" s="3">
        <f>IF(ORIG!F1158=0,"",ORIG!F1158)</f>
        <v/>
      </c>
      <c r="G1158" s="3">
        <f>IF(ORIG!G1158=0,"",ORIG!G1158)</f>
        <v/>
      </c>
      <c r="H1158" s="3">
        <f>IF(ORIG!H1158=0,"",ORIG!H1158)</f>
        <v/>
      </c>
      <c r="I1158" s="3">
        <f>IF(ORIG!I1158=0,"",ORIG!I1158)</f>
        <v/>
      </c>
      <c r="J1158" s="3">
        <f>IF(ORIG!J1158=0,"",ORIG!J1158)</f>
        <v/>
      </c>
      <c r="K1158" s="3">
        <f>IF(ORIG!K1158=0,"",ORIG!K1158)</f>
        <v/>
      </c>
      <c r="L1158" s="3">
        <f>IF(ORIG!L1158=0,"",ORIG!L1158)</f>
        <v/>
      </c>
      <c r="M1158" s="3">
        <f>IF(ORIG!M1158=0,"",ORIG!M1158)</f>
        <v/>
      </c>
      <c r="N1158" s="3">
        <f>IF(ORIG!N1158=0,"",ORIG!N1158)</f>
        <v/>
      </c>
      <c r="O1158" s="3">
        <f>IF(ORIG!O1158=0,"",ORIG!O1158)</f>
        <v/>
      </c>
      <c r="P1158" s="3">
        <f>IF(ORIG!P1158=0,"",ORIG!P1158)</f>
        <v/>
      </c>
      <c r="Q1158" s="3">
        <f>IF(ORIG!Q1158=0,"",ORIG!Q1158)</f>
        <v/>
      </c>
      <c r="R1158" s="3">
        <f>IF(ORIG!R1158=0,"",ORIG!R1158)</f>
        <v/>
      </c>
      <c r="S1158" s="3">
        <f>IF(ORIG!S1158=0,"",ORIG!S1158)</f>
        <v/>
      </c>
      <c r="T1158" s="3">
        <f>IF(ORIG!T1158=0,"",ORIG!T1158)</f>
        <v/>
      </c>
      <c r="U1158" s="3">
        <f>IF(ORIG!U1158=0,"",ORIG!U1158)</f>
        <v/>
      </c>
      <c r="V1158" s="9">
        <f>IF(ORIG!V1158=0,"",ORIG!V1158)</f>
        <v/>
      </c>
      <c r="W1158" s="9">
        <f>IF(ORIG!W1158=0,"",ORIG!W1158)</f>
        <v/>
      </c>
      <c r="X1158" s="9">
        <f>IF(ORIG!X1158=0,"",ORIG!X1158)</f>
        <v/>
      </c>
      <c r="Y1158" s="9">
        <f>IF(ORIG!Y1158=0,"",ORIG!Y1158)</f>
        <v/>
      </c>
      <c r="Z1158" s="3">
        <f>SUMPRODUCT($B1158:$Y1158,$B$2649:$Y$2649)</f>
        <v/>
      </c>
      <c r="AA1158" s="3">
        <f>SUMPRODUCT($B1158:$Y1158,$B$2655:$Y$2655)</f>
        <v/>
      </c>
      <c r="AC1158" s="1">
        <f>A1158</f>
        <v/>
      </c>
      <c r="AD1158">
        <f>IF(ISNUMBER(V1158),V1158*($AB$1/V$2635),"")</f>
        <v/>
      </c>
      <c r="AE1158">
        <f>IF(ISNUMBER(Z1158),Z1158*($AB$1/Z$2635),"")</f>
        <v/>
      </c>
      <c r="AF1158" s="25">
        <f>IF(ISNUMBER(AD1158+AE1158),AD1158+AE1158,"")</f>
        <v/>
      </c>
      <c r="AH1158" s="1">
        <f>A1158</f>
        <v/>
      </c>
      <c r="AI1158">
        <f>IF(ISNUMBER((1+V1158)*AI1157),(1+V1158)*AI1157,AI1157)</f>
        <v/>
      </c>
      <c r="AJ1158">
        <f>IF(ISNUMBER((1+Z1158)*AJ1157),(1+Z1158)*AJ1157,AJ1157)</f>
        <v/>
      </c>
    </row>
    <row r="1159">
      <c r="A1159" s="1" t="n">
        <v>43684</v>
      </c>
      <c r="B1159" s="3">
        <f>IF(ORIG!B1159=0,"",ORIG!B1159)</f>
        <v/>
      </c>
      <c r="C1159" s="3">
        <f>IF(ORIG!C1159=0,"",ORIG!C1159)</f>
        <v/>
      </c>
      <c r="D1159" s="3">
        <f>IF(ORIG!D1159=0,"",ORIG!D1159)</f>
        <v/>
      </c>
      <c r="E1159" s="3">
        <f>IF(ORIG!E1159=0,"",ORIG!E1159)</f>
        <v/>
      </c>
      <c r="F1159" s="3">
        <f>IF(ORIG!F1159=0,"",ORIG!F1159)</f>
        <v/>
      </c>
      <c r="G1159" s="3">
        <f>IF(ORIG!G1159=0,"",ORIG!G1159)</f>
        <v/>
      </c>
      <c r="H1159" s="3">
        <f>IF(ORIG!H1159=0,"",ORIG!H1159)</f>
        <v/>
      </c>
      <c r="I1159" s="3">
        <f>IF(ORIG!I1159=0,"",ORIG!I1159)</f>
        <v/>
      </c>
      <c r="J1159" s="3">
        <f>IF(ORIG!J1159=0,"",ORIG!J1159)</f>
        <v/>
      </c>
      <c r="K1159" s="3">
        <f>IF(ORIG!K1159=0,"",ORIG!K1159)</f>
        <v/>
      </c>
      <c r="L1159" s="3">
        <f>IF(ORIG!L1159=0,"",ORIG!L1159)</f>
        <v/>
      </c>
      <c r="M1159" s="3">
        <f>IF(ORIG!M1159=0,"",ORIG!M1159)</f>
        <v/>
      </c>
      <c r="N1159" s="3">
        <f>IF(ORIG!N1159=0,"",ORIG!N1159)</f>
        <v/>
      </c>
      <c r="O1159" s="3">
        <f>IF(ORIG!O1159=0,"",ORIG!O1159)</f>
        <v/>
      </c>
      <c r="P1159" s="3">
        <f>IF(ORIG!P1159=0,"",ORIG!P1159)</f>
        <v/>
      </c>
      <c r="Q1159" s="3">
        <f>IF(ORIG!Q1159=0,"",ORIG!Q1159)</f>
        <v/>
      </c>
      <c r="R1159" s="3">
        <f>IF(ORIG!R1159=0,"",ORIG!R1159)</f>
        <v/>
      </c>
      <c r="S1159" s="3">
        <f>IF(ORIG!S1159=0,"",ORIG!S1159)</f>
        <v/>
      </c>
      <c r="T1159" s="3">
        <f>IF(ORIG!T1159=0,"",ORIG!T1159)</f>
        <v/>
      </c>
      <c r="U1159" s="3">
        <f>IF(ORIG!U1159=0,"",ORIG!U1159)</f>
        <v/>
      </c>
      <c r="V1159" s="9">
        <f>IF(ORIG!V1159=0,"",ORIG!V1159)</f>
        <v/>
      </c>
      <c r="W1159" s="9">
        <f>IF(ORIG!W1159=0,"",ORIG!W1159)</f>
        <v/>
      </c>
      <c r="X1159" s="9">
        <f>IF(ORIG!X1159=0,"",ORIG!X1159)</f>
        <v/>
      </c>
      <c r="Y1159" s="9">
        <f>IF(ORIG!Y1159=0,"",ORIG!Y1159)</f>
        <v/>
      </c>
      <c r="Z1159" s="3">
        <f>SUMPRODUCT($B1159:$Y1159,$B$2649:$Y$2649)</f>
        <v/>
      </c>
      <c r="AA1159" s="3">
        <f>SUMPRODUCT($B1159:$Y1159,$B$2655:$Y$2655)</f>
        <v/>
      </c>
      <c r="AC1159" s="1">
        <f>A1159</f>
        <v/>
      </c>
      <c r="AD1159">
        <f>IF(ISNUMBER(V1159),V1159*($AB$1/V$2635),"")</f>
        <v/>
      </c>
      <c r="AE1159">
        <f>IF(ISNUMBER(Z1159),Z1159*($AB$1/Z$2635),"")</f>
        <v/>
      </c>
      <c r="AF1159" s="25">
        <f>IF(ISNUMBER(AD1159+AE1159),AD1159+AE1159,"")</f>
        <v/>
      </c>
      <c r="AH1159" s="1">
        <f>A1159</f>
        <v/>
      </c>
      <c r="AI1159">
        <f>IF(ISNUMBER((1+V1159)*AI1158),(1+V1159)*AI1158,AI1158)</f>
        <v/>
      </c>
      <c r="AJ1159">
        <f>IF(ISNUMBER((1+Z1159)*AJ1158),(1+Z1159)*AJ1158,AJ1158)</f>
        <v/>
      </c>
    </row>
    <row r="1160">
      <c r="A1160" s="1" t="n">
        <v>43685</v>
      </c>
      <c r="B1160" s="3">
        <f>IF(ORIG!B1160=0,"",ORIG!B1160)</f>
        <v/>
      </c>
      <c r="C1160" s="3">
        <f>IF(ORIG!C1160=0,"",ORIG!C1160)</f>
        <v/>
      </c>
      <c r="D1160" s="3">
        <f>IF(ORIG!D1160=0,"",ORIG!D1160)</f>
        <v/>
      </c>
      <c r="E1160" s="3">
        <f>IF(ORIG!E1160=0,"",ORIG!E1160)</f>
        <v/>
      </c>
      <c r="F1160" s="3">
        <f>IF(ORIG!F1160=0,"",ORIG!F1160)</f>
        <v/>
      </c>
      <c r="G1160" s="3">
        <f>IF(ORIG!G1160=0,"",ORIG!G1160)</f>
        <v/>
      </c>
      <c r="H1160" s="3">
        <f>IF(ORIG!H1160=0,"",ORIG!H1160)</f>
        <v/>
      </c>
      <c r="I1160" s="3">
        <f>IF(ORIG!I1160=0,"",ORIG!I1160)</f>
        <v/>
      </c>
      <c r="J1160" s="3">
        <f>IF(ORIG!J1160=0,"",ORIG!J1160)</f>
        <v/>
      </c>
      <c r="K1160" s="3">
        <f>IF(ORIG!K1160=0,"",ORIG!K1160)</f>
        <v/>
      </c>
      <c r="L1160" s="3">
        <f>IF(ORIG!L1160=0,"",ORIG!L1160)</f>
        <v/>
      </c>
      <c r="M1160" s="3">
        <f>IF(ORIG!M1160=0,"",ORIG!M1160)</f>
        <v/>
      </c>
      <c r="N1160" s="3">
        <f>IF(ORIG!N1160=0,"",ORIG!N1160)</f>
        <v/>
      </c>
      <c r="O1160" s="3">
        <f>IF(ORIG!O1160=0,"",ORIG!O1160)</f>
        <v/>
      </c>
      <c r="P1160" s="3">
        <f>IF(ORIG!P1160=0,"",ORIG!P1160)</f>
        <v/>
      </c>
      <c r="Q1160" s="3">
        <f>IF(ORIG!Q1160=0,"",ORIG!Q1160)</f>
        <v/>
      </c>
      <c r="R1160" s="3">
        <f>IF(ORIG!R1160=0,"",ORIG!R1160)</f>
        <v/>
      </c>
      <c r="S1160" s="3">
        <f>IF(ORIG!S1160=0,"",ORIG!S1160)</f>
        <v/>
      </c>
      <c r="T1160" s="3">
        <f>IF(ORIG!T1160=0,"",ORIG!T1160)</f>
        <v/>
      </c>
      <c r="U1160" s="3">
        <f>IF(ORIG!U1160=0,"",ORIG!U1160)</f>
        <v/>
      </c>
      <c r="V1160" s="9">
        <f>IF(ORIG!V1160=0,"",ORIG!V1160)</f>
        <v/>
      </c>
      <c r="W1160" s="9">
        <f>IF(ORIG!W1160=0,"",ORIG!W1160)</f>
        <v/>
      </c>
      <c r="X1160" s="9">
        <f>IF(ORIG!X1160=0,"",ORIG!X1160)</f>
        <v/>
      </c>
      <c r="Y1160" s="9">
        <f>IF(ORIG!Y1160=0,"",ORIG!Y1160)</f>
        <v/>
      </c>
      <c r="Z1160" s="3">
        <f>SUMPRODUCT($B1160:$Y1160,$B$2649:$Y$2649)</f>
        <v/>
      </c>
      <c r="AA1160" s="3">
        <f>SUMPRODUCT($B1160:$Y1160,$B$2655:$Y$2655)</f>
        <v/>
      </c>
      <c r="AC1160" s="1">
        <f>A1160</f>
        <v/>
      </c>
      <c r="AD1160">
        <f>IF(ISNUMBER(V1160),V1160*($AB$1/V$2635),"")</f>
        <v/>
      </c>
      <c r="AE1160">
        <f>IF(ISNUMBER(Z1160),Z1160*($AB$1/Z$2635),"")</f>
        <v/>
      </c>
      <c r="AF1160" s="25">
        <f>IF(ISNUMBER(AD1160+AE1160),AD1160+AE1160,"")</f>
        <v/>
      </c>
      <c r="AH1160" s="1">
        <f>A1160</f>
        <v/>
      </c>
      <c r="AI1160">
        <f>IF(ISNUMBER((1+V1160)*AI1159),(1+V1160)*AI1159,AI1159)</f>
        <v/>
      </c>
      <c r="AJ1160">
        <f>IF(ISNUMBER((1+Z1160)*AJ1159),(1+Z1160)*AJ1159,AJ1159)</f>
        <v/>
      </c>
    </row>
    <row r="1161">
      <c r="A1161" s="1" t="n">
        <v>43686</v>
      </c>
      <c r="B1161" s="3">
        <f>IF(ORIG!B1161=0,"",ORIG!B1161)</f>
        <v/>
      </c>
      <c r="C1161" s="3">
        <f>IF(ORIG!C1161=0,"",ORIG!C1161)</f>
        <v/>
      </c>
      <c r="D1161" s="3">
        <f>IF(ORIG!D1161=0,"",ORIG!D1161)</f>
        <v/>
      </c>
      <c r="E1161" s="3">
        <f>IF(ORIG!E1161=0,"",ORIG!E1161)</f>
        <v/>
      </c>
      <c r="F1161" s="3">
        <f>IF(ORIG!F1161=0,"",ORIG!F1161)</f>
        <v/>
      </c>
      <c r="G1161" s="3">
        <f>IF(ORIG!G1161=0,"",ORIG!G1161)</f>
        <v/>
      </c>
      <c r="H1161" s="3">
        <f>IF(ORIG!H1161=0,"",ORIG!H1161)</f>
        <v/>
      </c>
      <c r="I1161" s="3">
        <f>IF(ORIG!I1161=0,"",ORIG!I1161)</f>
        <v/>
      </c>
      <c r="J1161" s="3">
        <f>IF(ORIG!J1161=0,"",ORIG!J1161)</f>
        <v/>
      </c>
      <c r="K1161" s="3">
        <f>IF(ORIG!K1161=0,"",ORIG!K1161)</f>
        <v/>
      </c>
      <c r="L1161" s="3">
        <f>IF(ORIG!L1161=0,"",ORIG!L1161)</f>
        <v/>
      </c>
      <c r="M1161" s="3">
        <f>IF(ORIG!M1161=0,"",ORIG!M1161)</f>
        <v/>
      </c>
      <c r="N1161" s="3">
        <f>IF(ORIG!N1161=0,"",ORIG!N1161)</f>
        <v/>
      </c>
      <c r="O1161" s="3">
        <f>IF(ORIG!O1161=0,"",ORIG!O1161)</f>
        <v/>
      </c>
      <c r="P1161" s="3">
        <f>IF(ORIG!P1161=0,"",ORIG!P1161)</f>
        <v/>
      </c>
      <c r="Q1161" s="3">
        <f>IF(ORIG!Q1161=0,"",ORIG!Q1161)</f>
        <v/>
      </c>
      <c r="R1161" s="3">
        <f>IF(ORIG!R1161=0,"",ORIG!R1161)</f>
        <v/>
      </c>
      <c r="S1161" s="3">
        <f>IF(ORIG!S1161=0,"",ORIG!S1161)</f>
        <v/>
      </c>
      <c r="T1161" s="3">
        <f>IF(ORIG!T1161=0,"",ORIG!T1161)</f>
        <v/>
      </c>
      <c r="U1161" s="3">
        <f>IF(ORIG!U1161=0,"",ORIG!U1161)</f>
        <v/>
      </c>
      <c r="V1161" s="9">
        <f>IF(ORIG!V1161=0,"",ORIG!V1161)</f>
        <v/>
      </c>
      <c r="W1161" s="9">
        <f>IF(ORIG!W1161=0,"",ORIG!W1161)</f>
        <v/>
      </c>
      <c r="X1161" s="9">
        <f>IF(ORIG!X1161=0,"",ORIG!X1161)</f>
        <v/>
      </c>
      <c r="Y1161" s="9">
        <f>IF(ORIG!Y1161=0,"",ORIG!Y1161)</f>
        <v/>
      </c>
      <c r="Z1161" s="3">
        <f>SUMPRODUCT($B1161:$Y1161,$B$2649:$Y$2649)</f>
        <v/>
      </c>
      <c r="AA1161" s="3">
        <f>SUMPRODUCT($B1161:$Y1161,$B$2655:$Y$2655)</f>
        <v/>
      </c>
      <c r="AC1161" s="1">
        <f>A1161</f>
        <v/>
      </c>
      <c r="AD1161">
        <f>IF(ISNUMBER(V1161),V1161*($AB$1/V$2635),"")</f>
        <v/>
      </c>
      <c r="AE1161">
        <f>IF(ISNUMBER(Z1161),Z1161*($AB$1/Z$2635),"")</f>
        <v/>
      </c>
      <c r="AF1161" s="25">
        <f>IF(ISNUMBER(AD1161+AE1161),AD1161+AE1161,"")</f>
        <v/>
      </c>
      <c r="AH1161" s="1">
        <f>A1161</f>
        <v/>
      </c>
      <c r="AI1161">
        <f>IF(ISNUMBER((1+V1161)*AI1160),(1+V1161)*AI1160,AI1160)</f>
        <v/>
      </c>
      <c r="AJ1161">
        <f>IF(ISNUMBER((1+Z1161)*AJ1160),(1+Z1161)*AJ1160,AJ1160)</f>
        <v/>
      </c>
    </row>
    <row r="1162">
      <c r="A1162" s="1" t="n">
        <v>43689</v>
      </c>
      <c r="B1162" s="3">
        <f>IF(ORIG!B1162=0,"",ORIG!B1162)</f>
        <v/>
      </c>
      <c r="C1162" s="3">
        <f>IF(ORIG!C1162=0,"",ORIG!C1162)</f>
        <v/>
      </c>
      <c r="D1162" s="3">
        <f>IF(ORIG!D1162=0,"",ORIG!D1162)</f>
        <v/>
      </c>
      <c r="E1162" s="3">
        <f>IF(ORIG!E1162=0,"",ORIG!E1162)</f>
        <v/>
      </c>
      <c r="F1162" s="3">
        <f>IF(ORIG!F1162=0,"",ORIG!F1162)</f>
        <v/>
      </c>
      <c r="G1162" s="3">
        <f>IF(ORIG!G1162=0,"",ORIG!G1162)</f>
        <v/>
      </c>
      <c r="H1162" s="3">
        <f>IF(ORIG!H1162=0,"",ORIG!H1162)</f>
        <v/>
      </c>
      <c r="I1162" s="3">
        <f>IF(ORIG!I1162=0,"",ORIG!I1162)</f>
        <v/>
      </c>
      <c r="J1162" s="3">
        <f>IF(ORIG!J1162=0,"",ORIG!J1162)</f>
        <v/>
      </c>
      <c r="K1162" s="3">
        <f>IF(ORIG!K1162=0,"",ORIG!K1162)</f>
        <v/>
      </c>
      <c r="L1162" s="3">
        <f>IF(ORIG!L1162=0,"",ORIG!L1162)</f>
        <v/>
      </c>
      <c r="M1162" s="3">
        <f>IF(ORIG!M1162=0,"",ORIG!M1162)</f>
        <v/>
      </c>
      <c r="N1162" s="3">
        <f>IF(ORIG!N1162=0,"",ORIG!N1162)</f>
        <v/>
      </c>
      <c r="O1162" s="3">
        <f>IF(ORIG!O1162=0,"",ORIG!O1162)</f>
        <v/>
      </c>
      <c r="P1162" s="3">
        <f>IF(ORIG!P1162=0,"",ORIG!P1162)</f>
        <v/>
      </c>
      <c r="Q1162" s="3">
        <f>IF(ORIG!Q1162=0,"",ORIG!Q1162)</f>
        <v/>
      </c>
      <c r="R1162" s="3">
        <f>IF(ORIG!R1162=0,"",ORIG!R1162)</f>
        <v/>
      </c>
      <c r="S1162" s="3">
        <f>IF(ORIG!S1162=0,"",ORIG!S1162)</f>
        <v/>
      </c>
      <c r="T1162" s="3">
        <f>IF(ORIG!T1162=0,"",ORIG!T1162)</f>
        <v/>
      </c>
      <c r="U1162" s="3">
        <f>IF(ORIG!U1162=0,"",ORIG!U1162)</f>
        <v/>
      </c>
      <c r="V1162" s="9">
        <f>IF(ORIG!V1162=0,"",ORIG!V1162)</f>
        <v/>
      </c>
      <c r="W1162" s="9">
        <f>IF(ORIG!W1162=0,"",ORIG!W1162)</f>
        <v/>
      </c>
      <c r="X1162" s="9">
        <f>IF(ORIG!X1162=0,"",ORIG!X1162)</f>
        <v/>
      </c>
      <c r="Y1162" s="9">
        <f>IF(ORIG!Y1162=0,"",ORIG!Y1162)</f>
        <v/>
      </c>
      <c r="Z1162" s="3">
        <f>SUMPRODUCT($B1162:$Y1162,$B$2649:$Y$2649)</f>
        <v/>
      </c>
      <c r="AA1162" s="3">
        <f>SUMPRODUCT($B1162:$Y1162,$B$2655:$Y$2655)</f>
        <v/>
      </c>
      <c r="AC1162" s="1">
        <f>A1162</f>
        <v/>
      </c>
      <c r="AD1162">
        <f>IF(ISNUMBER(V1162),V1162*($AB$1/V$2635),"")</f>
        <v/>
      </c>
      <c r="AE1162">
        <f>IF(ISNUMBER(Z1162),Z1162*($AB$1/Z$2635),"")</f>
        <v/>
      </c>
      <c r="AF1162" s="25">
        <f>IF(ISNUMBER(AD1162+AE1162),AD1162+AE1162,"")</f>
        <v/>
      </c>
      <c r="AH1162" s="1">
        <f>A1162</f>
        <v/>
      </c>
      <c r="AI1162">
        <f>IF(ISNUMBER((1+V1162)*AI1161),(1+V1162)*AI1161,AI1161)</f>
        <v/>
      </c>
      <c r="AJ1162">
        <f>IF(ISNUMBER((1+Z1162)*AJ1161),(1+Z1162)*AJ1161,AJ1161)</f>
        <v/>
      </c>
    </row>
    <row r="1163">
      <c r="A1163" s="1" t="n">
        <v>43690</v>
      </c>
      <c r="B1163" s="3">
        <f>IF(ORIG!B1163=0,"",ORIG!B1163)</f>
        <v/>
      </c>
      <c r="C1163" s="3">
        <f>IF(ORIG!C1163=0,"",ORIG!C1163)</f>
        <v/>
      </c>
      <c r="D1163" s="3">
        <f>IF(ORIG!D1163=0,"",ORIG!D1163)</f>
        <v/>
      </c>
      <c r="E1163" s="3">
        <f>IF(ORIG!E1163=0,"",ORIG!E1163)</f>
        <v/>
      </c>
      <c r="F1163" s="3">
        <f>IF(ORIG!F1163=0,"",ORIG!F1163)</f>
        <v/>
      </c>
      <c r="G1163" s="3">
        <f>IF(ORIG!G1163=0,"",ORIG!G1163)</f>
        <v/>
      </c>
      <c r="H1163" s="3">
        <f>IF(ORIG!H1163=0,"",ORIG!H1163)</f>
        <v/>
      </c>
      <c r="I1163" s="3">
        <f>IF(ORIG!I1163=0,"",ORIG!I1163)</f>
        <v/>
      </c>
      <c r="J1163" s="3">
        <f>IF(ORIG!J1163=0,"",ORIG!J1163)</f>
        <v/>
      </c>
      <c r="K1163" s="3">
        <f>IF(ORIG!K1163=0,"",ORIG!K1163)</f>
        <v/>
      </c>
      <c r="L1163" s="3">
        <f>IF(ORIG!L1163=0,"",ORIG!L1163)</f>
        <v/>
      </c>
      <c r="M1163" s="3">
        <f>IF(ORIG!M1163=0,"",ORIG!M1163)</f>
        <v/>
      </c>
      <c r="N1163" s="3">
        <f>IF(ORIG!N1163=0,"",ORIG!N1163)</f>
        <v/>
      </c>
      <c r="O1163" s="3">
        <f>IF(ORIG!O1163=0,"",ORIG!O1163)</f>
        <v/>
      </c>
      <c r="P1163" s="3">
        <f>IF(ORIG!P1163=0,"",ORIG!P1163)</f>
        <v/>
      </c>
      <c r="Q1163" s="3">
        <f>IF(ORIG!Q1163=0,"",ORIG!Q1163)</f>
        <v/>
      </c>
      <c r="R1163" s="3">
        <f>IF(ORIG!R1163=0,"",ORIG!R1163)</f>
        <v/>
      </c>
      <c r="S1163" s="3">
        <f>IF(ORIG!S1163=0,"",ORIG!S1163)</f>
        <v/>
      </c>
      <c r="T1163" s="3">
        <f>IF(ORIG!T1163=0,"",ORIG!T1163)</f>
        <v/>
      </c>
      <c r="U1163" s="3">
        <f>IF(ORIG!U1163=0,"",ORIG!U1163)</f>
        <v/>
      </c>
      <c r="V1163" s="9">
        <f>IF(ORIG!V1163=0,"",ORIG!V1163)</f>
        <v/>
      </c>
      <c r="W1163" s="9">
        <f>IF(ORIG!W1163=0,"",ORIG!W1163)</f>
        <v/>
      </c>
      <c r="X1163" s="9">
        <f>IF(ORIG!X1163=0,"",ORIG!X1163)</f>
        <v/>
      </c>
      <c r="Y1163" s="9">
        <f>IF(ORIG!Y1163=0,"",ORIG!Y1163)</f>
        <v/>
      </c>
      <c r="Z1163" s="3">
        <f>SUMPRODUCT($B1163:$Y1163,$B$2649:$Y$2649)</f>
        <v/>
      </c>
      <c r="AA1163" s="3">
        <f>SUMPRODUCT($B1163:$Y1163,$B$2655:$Y$2655)</f>
        <v/>
      </c>
      <c r="AC1163" s="1">
        <f>A1163</f>
        <v/>
      </c>
      <c r="AD1163">
        <f>IF(ISNUMBER(V1163),V1163*($AB$1/V$2635),"")</f>
        <v/>
      </c>
      <c r="AE1163">
        <f>IF(ISNUMBER(Z1163),Z1163*($AB$1/Z$2635),"")</f>
        <v/>
      </c>
      <c r="AF1163" s="25">
        <f>IF(ISNUMBER(AD1163+AE1163),AD1163+AE1163,"")</f>
        <v/>
      </c>
      <c r="AH1163" s="1">
        <f>A1163</f>
        <v/>
      </c>
      <c r="AI1163">
        <f>IF(ISNUMBER((1+V1163)*AI1162),(1+V1163)*AI1162,AI1162)</f>
        <v/>
      </c>
      <c r="AJ1163">
        <f>IF(ISNUMBER((1+Z1163)*AJ1162),(1+Z1163)*AJ1162,AJ1162)</f>
        <v/>
      </c>
    </row>
    <row r="1164">
      <c r="A1164" s="1" t="n">
        <v>43691</v>
      </c>
      <c r="B1164" s="3">
        <f>IF(ORIG!B1164=0,"",ORIG!B1164)</f>
        <v/>
      </c>
      <c r="C1164" s="3">
        <f>IF(ORIG!C1164=0,"",ORIG!C1164)</f>
        <v/>
      </c>
      <c r="D1164" s="3">
        <f>IF(ORIG!D1164=0,"",ORIG!D1164)</f>
        <v/>
      </c>
      <c r="E1164" s="3">
        <f>IF(ORIG!E1164=0,"",ORIG!E1164)</f>
        <v/>
      </c>
      <c r="F1164" s="3">
        <f>IF(ORIG!F1164=0,"",ORIG!F1164)</f>
        <v/>
      </c>
      <c r="G1164" s="3">
        <f>IF(ORIG!G1164=0,"",ORIG!G1164)</f>
        <v/>
      </c>
      <c r="H1164" s="3">
        <f>IF(ORIG!H1164=0,"",ORIG!H1164)</f>
        <v/>
      </c>
      <c r="I1164" s="3">
        <f>IF(ORIG!I1164=0,"",ORIG!I1164)</f>
        <v/>
      </c>
      <c r="J1164" s="3">
        <f>IF(ORIG!J1164=0,"",ORIG!J1164)</f>
        <v/>
      </c>
      <c r="K1164" s="3">
        <f>IF(ORIG!K1164=0,"",ORIG!K1164)</f>
        <v/>
      </c>
      <c r="L1164" s="3">
        <f>IF(ORIG!L1164=0,"",ORIG!L1164)</f>
        <v/>
      </c>
      <c r="M1164" s="3">
        <f>IF(ORIG!M1164=0,"",ORIG!M1164)</f>
        <v/>
      </c>
      <c r="N1164" s="3">
        <f>IF(ORIG!N1164=0,"",ORIG!N1164)</f>
        <v/>
      </c>
      <c r="O1164" s="3">
        <f>IF(ORIG!O1164=0,"",ORIG!O1164)</f>
        <v/>
      </c>
      <c r="P1164" s="3">
        <f>IF(ORIG!P1164=0,"",ORIG!P1164)</f>
        <v/>
      </c>
      <c r="Q1164" s="3">
        <f>IF(ORIG!Q1164=0,"",ORIG!Q1164)</f>
        <v/>
      </c>
      <c r="R1164" s="3">
        <f>IF(ORIG!R1164=0,"",ORIG!R1164)</f>
        <v/>
      </c>
      <c r="S1164" s="3">
        <f>IF(ORIG!S1164=0,"",ORIG!S1164)</f>
        <v/>
      </c>
      <c r="T1164" s="3">
        <f>IF(ORIG!T1164=0,"",ORIG!T1164)</f>
        <v/>
      </c>
      <c r="U1164" s="3">
        <f>IF(ORIG!U1164=0,"",ORIG!U1164)</f>
        <v/>
      </c>
      <c r="V1164" s="9">
        <f>IF(ORIG!V1164=0,"",ORIG!V1164)</f>
        <v/>
      </c>
      <c r="W1164" s="9">
        <f>IF(ORIG!W1164=0,"",ORIG!W1164)</f>
        <v/>
      </c>
      <c r="X1164" s="9">
        <f>IF(ORIG!X1164=0,"",ORIG!X1164)</f>
        <v/>
      </c>
      <c r="Y1164" s="9">
        <f>IF(ORIG!Y1164=0,"",ORIG!Y1164)</f>
        <v/>
      </c>
      <c r="Z1164" s="3">
        <f>SUMPRODUCT($B1164:$Y1164,$B$2649:$Y$2649)</f>
        <v/>
      </c>
      <c r="AA1164" s="3">
        <f>SUMPRODUCT($B1164:$Y1164,$B$2655:$Y$2655)</f>
        <v/>
      </c>
      <c r="AC1164" s="1">
        <f>A1164</f>
        <v/>
      </c>
      <c r="AD1164">
        <f>IF(ISNUMBER(V1164),V1164*($AB$1/V$2635),"")</f>
        <v/>
      </c>
      <c r="AE1164">
        <f>IF(ISNUMBER(Z1164),Z1164*($AB$1/Z$2635),"")</f>
        <v/>
      </c>
      <c r="AF1164" s="25">
        <f>IF(ISNUMBER(AD1164+AE1164),AD1164+AE1164,"")</f>
        <v/>
      </c>
      <c r="AH1164" s="1">
        <f>A1164</f>
        <v/>
      </c>
      <c r="AI1164">
        <f>IF(ISNUMBER((1+V1164)*AI1163),(1+V1164)*AI1163,AI1163)</f>
        <v/>
      </c>
      <c r="AJ1164">
        <f>IF(ISNUMBER((1+Z1164)*AJ1163),(1+Z1164)*AJ1163,AJ1163)</f>
        <v/>
      </c>
    </row>
    <row r="1165">
      <c r="A1165" s="1" t="n">
        <v>43692</v>
      </c>
      <c r="B1165" s="3">
        <f>IF(ORIG!B1165=0,"",ORIG!B1165)</f>
        <v/>
      </c>
      <c r="C1165" s="3">
        <f>IF(ORIG!C1165=0,"",ORIG!C1165)</f>
        <v/>
      </c>
      <c r="D1165" s="3">
        <f>IF(ORIG!D1165=0,"",ORIG!D1165)</f>
        <v/>
      </c>
      <c r="E1165" s="3">
        <f>IF(ORIG!E1165=0,"",ORIG!E1165)</f>
        <v/>
      </c>
      <c r="F1165" s="3">
        <f>IF(ORIG!F1165=0,"",ORIG!F1165)</f>
        <v/>
      </c>
      <c r="G1165" s="3">
        <f>IF(ORIG!G1165=0,"",ORIG!G1165)</f>
        <v/>
      </c>
      <c r="H1165" s="3">
        <f>IF(ORIG!H1165=0,"",ORIG!H1165)</f>
        <v/>
      </c>
      <c r="I1165" s="3">
        <f>IF(ORIG!I1165=0,"",ORIG!I1165)</f>
        <v/>
      </c>
      <c r="J1165" s="3">
        <f>IF(ORIG!J1165=0,"",ORIG!J1165)</f>
        <v/>
      </c>
      <c r="K1165" s="3">
        <f>IF(ORIG!K1165=0,"",ORIG!K1165)</f>
        <v/>
      </c>
      <c r="L1165" s="3">
        <f>IF(ORIG!L1165=0,"",ORIG!L1165)</f>
        <v/>
      </c>
      <c r="M1165" s="3">
        <f>IF(ORIG!M1165=0,"",ORIG!M1165)</f>
        <v/>
      </c>
      <c r="N1165" s="3">
        <f>IF(ORIG!N1165=0,"",ORIG!N1165)</f>
        <v/>
      </c>
      <c r="O1165" s="3">
        <f>IF(ORIG!O1165=0,"",ORIG!O1165)</f>
        <v/>
      </c>
      <c r="P1165" s="3">
        <f>IF(ORIG!P1165=0,"",ORIG!P1165)</f>
        <v/>
      </c>
      <c r="Q1165" s="3">
        <f>IF(ORIG!Q1165=0,"",ORIG!Q1165)</f>
        <v/>
      </c>
      <c r="R1165" s="3">
        <f>IF(ORIG!R1165=0,"",ORIG!R1165)</f>
        <v/>
      </c>
      <c r="S1165" s="3">
        <f>IF(ORIG!S1165=0,"",ORIG!S1165)</f>
        <v/>
      </c>
      <c r="T1165" s="3">
        <f>IF(ORIG!T1165=0,"",ORIG!T1165)</f>
        <v/>
      </c>
      <c r="U1165" s="3">
        <f>IF(ORIG!U1165=0,"",ORIG!U1165)</f>
        <v/>
      </c>
      <c r="V1165" s="9">
        <f>IF(ORIG!V1165=0,"",ORIG!V1165)</f>
        <v/>
      </c>
      <c r="W1165" s="9">
        <f>IF(ORIG!W1165=0,"",ORIG!W1165)</f>
        <v/>
      </c>
      <c r="X1165" s="9">
        <f>IF(ORIG!X1165=0,"",ORIG!X1165)</f>
        <v/>
      </c>
      <c r="Y1165" s="9">
        <f>IF(ORIG!Y1165=0,"",ORIG!Y1165)</f>
        <v/>
      </c>
      <c r="Z1165" s="3">
        <f>SUMPRODUCT($B1165:$Y1165,$B$2649:$Y$2649)</f>
        <v/>
      </c>
      <c r="AA1165" s="3">
        <f>SUMPRODUCT($B1165:$Y1165,$B$2655:$Y$2655)</f>
        <v/>
      </c>
      <c r="AC1165" s="1">
        <f>A1165</f>
        <v/>
      </c>
      <c r="AD1165">
        <f>IF(ISNUMBER(V1165),V1165*($AB$1/V$2635),"")</f>
        <v/>
      </c>
      <c r="AE1165">
        <f>IF(ISNUMBER(Z1165),Z1165*($AB$1/Z$2635),"")</f>
        <v/>
      </c>
      <c r="AF1165" s="25">
        <f>IF(ISNUMBER(AD1165+AE1165),AD1165+AE1165,"")</f>
        <v/>
      </c>
      <c r="AH1165" s="1">
        <f>A1165</f>
        <v/>
      </c>
      <c r="AI1165">
        <f>IF(ISNUMBER((1+V1165)*AI1164),(1+V1165)*AI1164,AI1164)</f>
        <v/>
      </c>
      <c r="AJ1165">
        <f>IF(ISNUMBER((1+Z1165)*AJ1164),(1+Z1165)*AJ1164,AJ1164)</f>
        <v/>
      </c>
    </row>
    <row r="1166">
      <c r="A1166" s="1" t="n">
        <v>43693</v>
      </c>
      <c r="B1166" s="3">
        <f>IF(ORIG!B1166=0,"",ORIG!B1166)</f>
        <v/>
      </c>
      <c r="C1166" s="3">
        <f>IF(ORIG!C1166=0,"",ORIG!C1166)</f>
        <v/>
      </c>
      <c r="D1166" s="3">
        <f>IF(ORIG!D1166=0,"",ORIG!D1166)</f>
        <v/>
      </c>
      <c r="E1166" s="3">
        <f>IF(ORIG!E1166=0,"",ORIG!E1166)</f>
        <v/>
      </c>
      <c r="F1166" s="3">
        <f>IF(ORIG!F1166=0,"",ORIG!F1166)</f>
        <v/>
      </c>
      <c r="G1166" s="3">
        <f>IF(ORIG!G1166=0,"",ORIG!G1166)</f>
        <v/>
      </c>
      <c r="H1166" s="3">
        <f>IF(ORIG!H1166=0,"",ORIG!H1166)</f>
        <v/>
      </c>
      <c r="I1166" s="3">
        <f>IF(ORIG!I1166=0,"",ORIG!I1166)</f>
        <v/>
      </c>
      <c r="J1166" s="3">
        <f>IF(ORIG!J1166=0,"",ORIG!J1166)</f>
        <v/>
      </c>
      <c r="K1166" s="3">
        <f>IF(ORIG!K1166=0,"",ORIG!K1166)</f>
        <v/>
      </c>
      <c r="L1166" s="3">
        <f>IF(ORIG!L1166=0,"",ORIG!L1166)</f>
        <v/>
      </c>
      <c r="M1166" s="3">
        <f>IF(ORIG!M1166=0,"",ORIG!M1166)</f>
        <v/>
      </c>
      <c r="N1166" s="3">
        <f>IF(ORIG!N1166=0,"",ORIG!N1166)</f>
        <v/>
      </c>
      <c r="O1166" s="3">
        <f>IF(ORIG!O1166=0,"",ORIG!O1166)</f>
        <v/>
      </c>
      <c r="P1166" s="3">
        <f>IF(ORIG!P1166=0,"",ORIG!P1166)</f>
        <v/>
      </c>
      <c r="Q1166" s="3">
        <f>IF(ORIG!Q1166=0,"",ORIG!Q1166)</f>
        <v/>
      </c>
      <c r="R1166" s="3">
        <f>IF(ORIG!R1166=0,"",ORIG!R1166)</f>
        <v/>
      </c>
      <c r="S1166" s="3">
        <f>IF(ORIG!S1166=0,"",ORIG!S1166)</f>
        <v/>
      </c>
      <c r="T1166" s="3">
        <f>IF(ORIG!T1166=0,"",ORIG!T1166)</f>
        <v/>
      </c>
      <c r="U1166" s="3">
        <f>IF(ORIG!U1166=0,"",ORIG!U1166)</f>
        <v/>
      </c>
      <c r="V1166" s="9">
        <f>IF(ORIG!V1166=0,"",ORIG!V1166)</f>
        <v/>
      </c>
      <c r="W1166" s="9">
        <f>IF(ORIG!W1166=0,"",ORIG!W1166)</f>
        <v/>
      </c>
      <c r="X1166" s="9">
        <f>IF(ORIG!X1166=0,"",ORIG!X1166)</f>
        <v/>
      </c>
      <c r="Y1166" s="9">
        <f>IF(ORIG!Y1166=0,"",ORIG!Y1166)</f>
        <v/>
      </c>
      <c r="Z1166" s="3">
        <f>SUMPRODUCT($B1166:$Y1166,$B$2649:$Y$2649)</f>
        <v/>
      </c>
      <c r="AA1166" s="3">
        <f>SUMPRODUCT($B1166:$Y1166,$B$2655:$Y$2655)</f>
        <v/>
      </c>
      <c r="AC1166" s="1">
        <f>A1166</f>
        <v/>
      </c>
      <c r="AD1166">
        <f>IF(ISNUMBER(V1166),V1166*($AB$1/V$2635),"")</f>
        <v/>
      </c>
      <c r="AE1166">
        <f>IF(ISNUMBER(Z1166),Z1166*($AB$1/Z$2635),"")</f>
        <v/>
      </c>
      <c r="AF1166" s="25">
        <f>IF(ISNUMBER(AD1166+AE1166),AD1166+AE1166,"")</f>
        <v/>
      </c>
      <c r="AH1166" s="1">
        <f>A1166</f>
        <v/>
      </c>
      <c r="AI1166">
        <f>IF(ISNUMBER((1+V1166)*AI1165),(1+V1166)*AI1165,AI1165)</f>
        <v/>
      </c>
      <c r="AJ1166">
        <f>IF(ISNUMBER((1+Z1166)*AJ1165),(1+Z1166)*AJ1165,AJ1165)</f>
        <v/>
      </c>
    </row>
    <row r="1167">
      <c r="A1167" s="1" t="n">
        <v>43696</v>
      </c>
      <c r="B1167" s="3">
        <f>IF(ORIG!B1167=0,"",ORIG!B1167)</f>
        <v/>
      </c>
      <c r="C1167" s="3">
        <f>IF(ORIG!C1167=0,"",ORIG!C1167)</f>
        <v/>
      </c>
      <c r="D1167" s="3">
        <f>IF(ORIG!D1167=0,"",ORIG!D1167)</f>
        <v/>
      </c>
      <c r="E1167" s="3">
        <f>IF(ORIG!E1167=0,"",ORIG!E1167)</f>
        <v/>
      </c>
      <c r="F1167" s="3">
        <f>IF(ORIG!F1167=0,"",ORIG!F1167)</f>
        <v/>
      </c>
      <c r="G1167" s="3">
        <f>IF(ORIG!G1167=0,"",ORIG!G1167)</f>
        <v/>
      </c>
      <c r="H1167" s="3">
        <f>IF(ORIG!H1167=0,"",ORIG!H1167)</f>
        <v/>
      </c>
      <c r="I1167" s="3">
        <f>IF(ORIG!I1167=0,"",ORIG!I1167)</f>
        <v/>
      </c>
      <c r="J1167" s="3">
        <f>IF(ORIG!J1167=0,"",ORIG!J1167)</f>
        <v/>
      </c>
      <c r="K1167" s="3">
        <f>IF(ORIG!K1167=0,"",ORIG!K1167)</f>
        <v/>
      </c>
      <c r="L1167" s="3">
        <f>IF(ORIG!L1167=0,"",ORIG!L1167)</f>
        <v/>
      </c>
      <c r="M1167" s="3">
        <f>IF(ORIG!M1167=0,"",ORIG!M1167)</f>
        <v/>
      </c>
      <c r="N1167" s="3">
        <f>IF(ORIG!N1167=0,"",ORIG!N1167)</f>
        <v/>
      </c>
      <c r="O1167" s="3">
        <f>IF(ORIG!O1167=0,"",ORIG!O1167)</f>
        <v/>
      </c>
      <c r="P1167" s="3">
        <f>IF(ORIG!P1167=0,"",ORIG!P1167)</f>
        <v/>
      </c>
      <c r="Q1167" s="3">
        <f>IF(ORIG!Q1167=0,"",ORIG!Q1167)</f>
        <v/>
      </c>
      <c r="R1167" s="3">
        <f>IF(ORIG!R1167=0,"",ORIG!R1167)</f>
        <v/>
      </c>
      <c r="S1167" s="3">
        <f>IF(ORIG!S1167=0,"",ORIG!S1167)</f>
        <v/>
      </c>
      <c r="T1167" s="3">
        <f>IF(ORIG!T1167=0,"",ORIG!T1167)</f>
        <v/>
      </c>
      <c r="U1167" s="3">
        <f>IF(ORIG!U1167=0,"",ORIG!U1167)</f>
        <v/>
      </c>
      <c r="V1167" s="9">
        <f>IF(ORIG!V1167=0,"",ORIG!V1167)</f>
        <v/>
      </c>
      <c r="W1167" s="9">
        <f>IF(ORIG!W1167=0,"",ORIG!W1167)</f>
        <v/>
      </c>
      <c r="X1167" s="9">
        <f>IF(ORIG!X1167=0,"",ORIG!X1167)</f>
        <v/>
      </c>
      <c r="Y1167" s="9">
        <f>IF(ORIG!Y1167=0,"",ORIG!Y1167)</f>
        <v/>
      </c>
      <c r="Z1167" s="3">
        <f>SUMPRODUCT($B1167:$Y1167,$B$2649:$Y$2649)</f>
        <v/>
      </c>
      <c r="AA1167" s="3">
        <f>SUMPRODUCT($B1167:$Y1167,$B$2655:$Y$2655)</f>
        <v/>
      </c>
      <c r="AC1167" s="1">
        <f>A1167</f>
        <v/>
      </c>
      <c r="AD1167">
        <f>IF(ISNUMBER(V1167),V1167*($AB$1/V$2635),"")</f>
        <v/>
      </c>
      <c r="AE1167">
        <f>IF(ISNUMBER(Z1167),Z1167*($AB$1/Z$2635),"")</f>
        <v/>
      </c>
      <c r="AF1167" s="25">
        <f>IF(ISNUMBER(AD1167+AE1167),AD1167+AE1167,"")</f>
        <v/>
      </c>
      <c r="AH1167" s="1">
        <f>A1167</f>
        <v/>
      </c>
      <c r="AI1167">
        <f>IF(ISNUMBER((1+V1167)*AI1166),(1+V1167)*AI1166,AI1166)</f>
        <v/>
      </c>
      <c r="AJ1167">
        <f>IF(ISNUMBER((1+Z1167)*AJ1166),(1+Z1167)*AJ1166,AJ1166)</f>
        <v/>
      </c>
    </row>
    <row r="1168">
      <c r="A1168" s="1" t="n">
        <v>43697</v>
      </c>
      <c r="B1168" s="3">
        <f>IF(ORIG!B1168=0,"",ORIG!B1168)</f>
        <v/>
      </c>
      <c r="C1168" s="3">
        <f>IF(ORIG!C1168=0,"",ORIG!C1168)</f>
        <v/>
      </c>
      <c r="D1168" s="3">
        <f>IF(ORIG!D1168=0,"",ORIG!D1168)</f>
        <v/>
      </c>
      <c r="E1168" s="3">
        <f>IF(ORIG!E1168=0,"",ORIG!E1168)</f>
        <v/>
      </c>
      <c r="F1168" s="3">
        <f>IF(ORIG!F1168=0,"",ORIG!F1168)</f>
        <v/>
      </c>
      <c r="G1168" s="3">
        <f>IF(ORIG!G1168=0,"",ORIG!G1168)</f>
        <v/>
      </c>
      <c r="H1168" s="3">
        <f>IF(ORIG!H1168=0,"",ORIG!H1168)</f>
        <v/>
      </c>
      <c r="I1168" s="3">
        <f>IF(ORIG!I1168=0,"",ORIG!I1168)</f>
        <v/>
      </c>
      <c r="J1168" s="3">
        <f>IF(ORIG!J1168=0,"",ORIG!J1168)</f>
        <v/>
      </c>
      <c r="K1168" s="3">
        <f>IF(ORIG!K1168=0,"",ORIG!K1168)</f>
        <v/>
      </c>
      <c r="L1168" s="3">
        <f>IF(ORIG!L1168=0,"",ORIG!L1168)</f>
        <v/>
      </c>
      <c r="M1168" s="3">
        <f>IF(ORIG!M1168=0,"",ORIG!M1168)</f>
        <v/>
      </c>
      <c r="N1168" s="3">
        <f>IF(ORIG!N1168=0,"",ORIG!N1168)</f>
        <v/>
      </c>
      <c r="O1168" s="3">
        <f>IF(ORIG!O1168=0,"",ORIG!O1168)</f>
        <v/>
      </c>
      <c r="P1168" s="3">
        <f>IF(ORIG!P1168=0,"",ORIG!P1168)</f>
        <v/>
      </c>
      <c r="Q1168" s="3">
        <f>IF(ORIG!Q1168=0,"",ORIG!Q1168)</f>
        <v/>
      </c>
      <c r="R1168" s="3">
        <f>IF(ORIG!R1168=0,"",ORIG!R1168)</f>
        <v/>
      </c>
      <c r="S1168" s="3">
        <f>IF(ORIG!S1168=0,"",ORIG!S1168)</f>
        <v/>
      </c>
      <c r="T1168" s="3">
        <f>IF(ORIG!T1168=0,"",ORIG!T1168)</f>
        <v/>
      </c>
      <c r="U1168" s="3">
        <f>IF(ORIG!U1168=0,"",ORIG!U1168)</f>
        <v/>
      </c>
      <c r="V1168" s="9">
        <f>IF(ORIG!V1168=0,"",ORIG!V1168)</f>
        <v/>
      </c>
      <c r="W1168" s="9">
        <f>IF(ORIG!W1168=0,"",ORIG!W1168)</f>
        <v/>
      </c>
      <c r="X1168" s="9">
        <f>IF(ORIG!X1168=0,"",ORIG!X1168)</f>
        <v/>
      </c>
      <c r="Y1168" s="9">
        <f>IF(ORIG!Y1168=0,"",ORIG!Y1168)</f>
        <v/>
      </c>
      <c r="Z1168" s="3">
        <f>SUMPRODUCT($B1168:$Y1168,$B$2649:$Y$2649)</f>
        <v/>
      </c>
      <c r="AA1168" s="3">
        <f>SUMPRODUCT($B1168:$Y1168,$B$2655:$Y$2655)</f>
        <v/>
      </c>
      <c r="AC1168" s="1">
        <f>A1168</f>
        <v/>
      </c>
      <c r="AD1168">
        <f>IF(ISNUMBER(V1168),V1168*($AB$1/V$2635),"")</f>
        <v/>
      </c>
      <c r="AE1168">
        <f>IF(ISNUMBER(Z1168),Z1168*($AB$1/Z$2635),"")</f>
        <v/>
      </c>
      <c r="AF1168" s="25">
        <f>IF(ISNUMBER(AD1168+AE1168),AD1168+AE1168,"")</f>
        <v/>
      </c>
      <c r="AH1168" s="1">
        <f>A1168</f>
        <v/>
      </c>
      <c r="AI1168">
        <f>IF(ISNUMBER((1+V1168)*AI1167),(1+V1168)*AI1167,AI1167)</f>
        <v/>
      </c>
      <c r="AJ1168">
        <f>IF(ISNUMBER((1+Z1168)*AJ1167),(1+Z1168)*AJ1167,AJ1167)</f>
        <v/>
      </c>
    </row>
    <row r="1169">
      <c r="A1169" s="1" t="n">
        <v>43698</v>
      </c>
      <c r="B1169" s="3">
        <f>IF(ORIG!B1169=0,"",ORIG!B1169)</f>
        <v/>
      </c>
      <c r="C1169" s="3">
        <f>IF(ORIG!C1169=0,"",ORIG!C1169)</f>
        <v/>
      </c>
      <c r="D1169" s="3">
        <f>IF(ORIG!D1169=0,"",ORIG!D1169)</f>
        <v/>
      </c>
      <c r="E1169" s="3">
        <f>IF(ORIG!E1169=0,"",ORIG!E1169)</f>
        <v/>
      </c>
      <c r="F1169" s="3">
        <f>IF(ORIG!F1169=0,"",ORIG!F1169)</f>
        <v/>
      </c>
      <c r="G1169" s="3">
        <f>IF(ORIG!G1169=0,"",ORIG!G1169)</f>
        <v/>
      </c>
      <c r="H1169" s="3">
        <f>IF(ORIG!H1169=0,"",ORIG!H1169)</f>
        <v/>
      </c>
      <c r="I1169" s="3">
        <f>IF(ORIG!I1169=0,"",ORIG!I1169)</f>
        <v/>
      </c>
      <c r="J1169" s="3">
        <f>IF(ORIG!J1169=0,"",ORIG!J1169)</f>
        <v/>
      </c>
      <c r="K1169" s="3">
        <f>IF(ORIG!K1169=0,"",ORIG!K1169)</f>
        <v/>
      </c>
      <c r="L1169" s="3">
        <f>IF(ORIG!L1169=0,"",ORIG!L1169)</f>
        <v/>
      </c>
      <c r="M1169" s="3">
        <f>IF(ORIG!M1169=0,"",ORIG!M1169)</f>
        <v/>
      </c>
      <c r="N1169" s="3">
        <f>IF(ORIG!N1169=0,"",ORIG!N1169)</f>
        <v/>
      </c>
      <c r="O1169" s="3">
        <f>IF(ORIG!O1169=0,"",ORIG!O1169)</f>
        <v/>
      </c>
      <c r="P1169" s="3">
        <f>IF(ORIG!P1169=0,"",ORIG!P1169)</f>
        <v/>
      </c>
      <c r="Q1169" s="3">
        <f>IF(ORIG!Q1169=0,"",ORIG!Q1169)</f>
        <v/>
      </c>
      <c r="R1169" s="3">
        <f>IF(ORIG!R1169=0,"",ORIG!R1169)</f>
        <v/>
      </c>
      <c r="S1169" s="3">
        <f>IF(ORIG!S1169=0,"",ORIG!S1169)</f>
        <v/>
      </c>
      <c r="T1169" s="3">
        <f>IF(ORIG!T1169=0,"",ORIG!T1169)</f>
        <v/>
      </c>
      <c r="U1169" s="3">
        <f>IF(ORIG!U1169=0,"",ORIG!U1169)</f>
        <v/>
      </c>
      <c r="V1169" s="9">
        <f>IF(ORIG!V1169=0,"",ORIG!V1169)</f>
        <v/>
      </c>
      <c r="W1169" s="9">
        <f>IF(ORIG!W1169=0,"",ORIG!W1169)</f>
        <v/>
      </c>
      <c r="X1169" s="9">
        <f>IF(ORIG!X1169=0,"",ORIG!X1169)</f>
        <v/>
      </c>
      <c r="Y1169" s="9">
        <f>IF(ORIG!Y1169=0,"",ORIG!Y1169)</f>
        <v/>
      </c>
      <c r="Z1169" s="3">
        <f>SUMPRODUCT($B1169:$Y1169,$B$2649:$Y$2649)</f>
        <v/>
      </c>
      <c r="AA1169" s="3">
        <f>SUMPRODUCT($B1169:$Y1169,$B$2655:$Y$2655)</f>
        <v/>
      </c>
      <c r="AC1169" s="1">
        <f>A1169</f>
        <v/>
      </c>
      <c r="AD1169">
        <f>IF(ISNUMBER(V1169),V1169*($AB$1/V$2635),"")</f>
        <v/>
      </c>
      <c r="AE1169">
        <f>IF(ISNUMBER(Z1169),Z1169*($AB$1/Z$2635),"")</f>
        <v/>
      </c>
      <c r="AF1169" s="25">
        <f>IF(ISNUMBER(AD1169+AE1169),AD1169+AE1169,"")</f>
        <v/>
      </c>
      <c r="AH1169" s="1">
        <f>A1169</f>
        <v/>
      </c>
      <c r="AI1169">
        <f>IF(ISNUMBER((1+V1169)*AI1168),(1+V1169)*AI1168,AI1168)</f>
        <v/>
      </c>
      <c r="AJ1169">
        <f>IF(ISNUMBER((1+Z1169)*AJ1168),(1+Z1169)*AJ1168,AJ1168)</f>
        <v/>
      </c>
    </row>
    <row r="1170">
      <c r="A1170" s="1" t="n">
        <v>43699</v>
      </c>
      <c r="B1170" s="3">
        <f>IF(ORIG!B1170=0,"",ORIG!B1170)</f>
        <v/>
      </c>
      <c r="C1170" s="3">
        <f>IF(ORIG!C1170=0,"",ORIG!C1170)</f>
        <v/>
      </c>
      <c r="D1170" s="3">
        <f>IF(ORIG!D1170=0,"",ORIG!D1170)</f>
        <v/>
      </c>
      <c r="E1170" s="3">
        <f>IF(ORIG!E1170=0,"",ORIG!E1170)</f>
        <v/>
      </c>
      <c r="F1170" s="3">
        <f>IF(ORIG!F1170=0,"",ORIG!F1170)</f>
        <v/>
      </c>
      <c r="G1170" s="3">
        <f>IF(ORIG!G1170=0,"",ORIG!G1170)</f>
        <v/>
      </c>
      <c r="H1170" s="3">
        <f>IF(ORIG!H1170=0,"",ORIG!H1170)</f>
        <v/>
      </c>
      <c r="I1170" s="3">
        <f>IF(ORIG!I1170=0,"",ORIG!I1170)</f>
        <v/>
      </c>
      <c r="J1170" s="3">
        <f>IF(ORIG!J1170=0,"",ORIG!J1170)</f>
        <v/>
      </c>
      <c r="K1170" s="3">
        <f>IF(ORIG!K1170=0,"",ORIG!K1170)</f>
        <v/>
      </c>
      <c r="L1170" s="3">
        <f>IF(ORIG!L1170=0,"",ORIG!L1170)</f>
        <v/>
      </c>
      <c r="M1170" s="3">
        <f>IF(ORIG!M1170=0,"",ORIG!M1170)</f>
        <v/>
      </c>
      <c r="N1170" s="3">
        <f>IF(ORIG!N1170=0,"",ORIG!N1170)</f>
        <v/>
      </c>
      <c r="O1170" s="3">
        <f>IF(ORIG!O1170=0,"",ORIG!O1170)</f>
        <v/>
      </c>
      <c r="P1170" s="3">
        <f>IF(ORIG!P1170=0,"",ORIG!P1170)</f>
        <v/>
      </c>
      <c r="Q1170" s="3">
        <f>IF(ORIG!Q1170=0,"",ORIG!Q1170)</f>
        <v/>
      </c>
      <c r="R1170" s="3">
        <f>IF(ORIG!R1170=0,"",ORIG!R1170)</f>
        <v/>
      </c>
      <c r="S1170" s="3">
        <f>IF(ORIG!S1170=0,"",ORIG!S1170)</f>
        <v/>
      </c>
      <c r="T1170" s="3">
        <f>IF(ORIG!T1170=0,"",ORIG!T1170)</f>
        <v/>
      </c>
      <c r="U1170" s="3">
        <f>IF(ORIG!U1170=0,"",ORIG!U1170)</f>
        <v/>
      </c>
      <c r="V1170" s="9">
        <f>IF(ORIG!V1170=0,"",ORIG!V1170)</f>
        <v/>
      </c>
      <c r="W1170" s="9">
        <f>IF(ORIG!W1170=0,"",ORIG!W1170)</f>
        <v/>
      </c>
      <c r="X1170" s="9">
        <f>IF(ORIG!X1170=0,"",ORIG!X1170)</f>
        <v/>
      </c>
      <c r="Y1170" s="9">
        <f>IF(ORIG!Y1170=0,"",ORIG!Y1170)</f>
        <v/>
      </c>
      <c r="Z1170" s="3">
        <f>SUMPRODUCT($B1170:$Y1170,$B$2649:$Y$2649)</f>
        <v/>
      </c>
      <c r="AA1170" s="3">
        <f>SUMPRODUCT($B1170:$Y1170,$B$2655:$Y$2655)</f>
        <v/>
      </c>
      <c r="AC1170" s="1">
        <f>A1170</f>
        <v/>
      </c>
      <c r="AD1170">
        <f>IF(ISNUMBER(V1170),V1170*($AB$1/V$2635),"")</f>
        <v/>
      </c>
      <c r="AE1170">
        <f>IF(ISNUMBER(Z1170),Z1170*($AB$1/Z$2635),"")</f>
        <v/>
      </c>
      <c r="AF1170" s="25">
        <f>IF(ISNUMBER(AD1170+AE1170),AD1170+AE1170,"")</f>
        <v/>
      </c>
      <c r="AH1170" s="1">
        <f>A1170</f>
        <v/>
      </c>
      <c r="AI1170">
        <f>IF(ISNUMBER((1+V1170)*AI1169),(1+V1170)*AI1169,AI1169)</f>
        <v/>
      </c>
      <c r="AJ1170">
        <f>IF(ISNUMBER((1+Z1170)*AJ1169),(1+Z1170)*AJ1169,AJ1169)</f>
        <v/>
      </c>
    </row>
    <row r="1171">
      <c r="A1171" s="1" t="n">
        <v>43700</v>
      </c>
      <c r="B1171" s="3">
        <f>IF(ORIG!B1171=0,"",ORIG!B1171)</f>
        <v/>
      </c>
      <c r="C1171" s="3">
        <f>IF(ORIG!C1171=0,"",ORIG!C1171)</f>
        <v/>
      </c>
      <c r="D1171" s="3">
        <f>IF(ORIG!D1171=0,"",ORIG!D1171)</f>
        <v/>
      </c>
      <c r="E1171" s="3">
        <f>IF(ORIG!E1171=0,"",ORIG!E1171)</f>
        <v/>
      </c>
      <c r="F1171" s="3">
        <f>IF(ORIG!F1171=0,"",ORIG!F1171)</f>
        <v/>
      </c>
      <c r="G1171" s="3">
        <f>IF(ORIG!G1171=0,"",ORIG!G1171)</f>
        <v/>
      </c>
      <c r="H1171" s="3">
        <f>IF(ORIG!H1171=0,"",ORIG!H1171)</f>
        <v/>
      </c>
      <c r="I1171" s="3">
        <f>IF(ORIG!I1171=0,"",ORIG!I1171)</f>
        <v/>
      </c>
      <c r="J1171" s="3">
        <f>IF(ORIG!J1171=0,"",ORIG!J1171)</f>
        <v/>
      </c>
      <c r="K1171" s="3">
        <f>IF(ORIG!K1171=0,"",ORIG!K1171)</f>
        <v/>
      </c>
      <c r="L1171" s="3">
        <f>IF(ORIG!L1171=0,"",ORIG!L1171)</f>
        <v/>
      </c>
      <c r="M1171" s="3">
        <f>IF(ORIG!M1171=0,"",ORIG!M1171)</f>
        <v/>
      </c>
      <c r="N1171" s="3">
        <f>IF(ORIG!N1171=0,"",ORIG!N1171)</f>
        <v/>
      </c>
      <c r="O1171" s="3">
        <f>IF(ORIG!O1171=0,"",ORIG!O1171)</f>
        <v/>
      </c>
      <c r="P1171" s="3">
        <f>IF(ORIG!P1171=0,"",ORIG!P1171)</f>
        <v/>
      </c>
      <c r="Q1171" s="3">
        <f>IF(ORIG!Q1171=0,"",ORIG!Q1171)</f>
        <v/>
      </c>
      <c r="R1171" s="3">
        <f>IF(ORIG!R1171=0,"",ORIG!R1171)</f>
        <v/>
      </c>
      <c r="S1171" s="3">
        <f>IF(ORIG!S1171=0,"",ORIG!S1171)</f>
        <v/>
      </c>
      <c r="T1171" s="3">
        <f>IF(ORIG!T1171=0,"",ORIG!T1171)</f>
        <v/>
      </c>
      <c r="U1171" s="3">
        <f>IF(ORIG!U1171=0,"",ORIG!U1171)</f>
        <v/>
      </c>
      <c r="V1171" s="9">
        <f>IF(ORIG!V1171=0,"",ORIG!V1171)</f>
        <v/>
      </c>
      <c r="W1171" s="9">
        <f>IF(ORIG!W1171=0,"",ORIG!W1171)</f>
        <v/>
      </c>
      <c r="X1171" s="9">
        <f>IF(ORIG!X1171=0,"",ORIG!X1171)</f>
        <v/>
      </c>
      <c r="Y1171" s="9">
        <f>IF(ORIG!Y1171=0,"",ORIG!Y1171)</f>
        <v/>
      </c>
      <c r="Z1171" s="3">
        <f>SUMPRODUCT($B1171:$Y1171,$B$2649:$Y$2649)</f>
        <v/>
      </c>
      <c r="AA1171" s="3">
        <f>SUMPRODUCT($B1171:$Y1171,$B$2655:$Y$2655)</f>
        <v/>
      </c>
      <c r="AC1171" s="1">
        <f>A1171</f>
        <v/>
      </c>
      <c r="AD1171">
        <f>IF(ISNUMBER(V1171),V1171*($AB$1/V$2635),"")</f>
        <v/>
      </c>
      <c r="AE1171">
        <f>IF(ISNUMBER(Z1171),Z1171*($AB$1/Z$2635),"")</f>
        <v/>
      </c>
      <c r="AF1171" s="25">
        <f>IF(ISNUMBER(AD1171+AE1171),AD1171+AE1171,"")</f>
        <v/>
      </c>
      <c r="AH1171" s="1">
        <f>A1171</f>
        <v/>
      </c>
      <c r="AI1171">
        <f>IF(ISNUMBER((1+V1171)*AI1170),(1+V1171)*AI1170,AI1170)</f>
        <v/>
      </c>
      <c r="AJ1171">
        <f>IF(ISNUMBER((1+Z1171)*AJ1170),(1+Z1171)*AJ1170,AJ1170)</f>
        <v/>
      </c>
    </row>
    <row r="1172">
      <c r="A1172" s="1" t="n">
        <v>43703</v>
      </c>
      <c r="B1172" s="3">
        <f>IF(ORIG!B1172=0,"",ORIG!B1172)</f>
        <v/>
      </c>
      <c r="C1172" s="3">
        <f>IF(ORIG!C1172=0,"",ORIG!C1172)</f>
        <v/>
      </c>
      <c r="D1172" s="3">
        <f>IF(ORIG!D1172=0,"",ORIG!D1172)</f>
        <v/>
      </c>
      <c r="E1172" s="3">
        <f>IF(ORIG!E1172=0,"",ORIG!E1172)</f>
        <v/>
      </c>
      <c r="F1172" s="3">
        <f>IF(ORIG!F1172=0,"",ORIG!F1172)</f>
        <v/>
      </c>
      <c r="G1172" s="3">
        <f>IF(ORIG!G1172=0,"",ORIG!G1172)</f>
        <v/>
      </c>
      <c r="H1172" s="3">
        <f>IF(ORIG!H1172=0,"",ORIG!H1172)</f>
        <v/>
      </c>
      <c r="I1172" s="3">
        <f>IF(ORIG!I1172=0,"",ORIG!I1172)</f>
        <v/>
      </c>
      <c r="J1172" s="3">
        <f>IF(ORIG!J1172=0,"",ORIG!J1172)</f>
        <v/>
      </c>
      <c r="K1172" s="3">
        <f>IF(ORIG!K1172=0,"",ORIG!K1172)</f>
        <v/>
      </c>
      <c r="L1172" s="3">
        <f>IF(ORIG!L1172=0,"",ORIG!L1172)</f>
        <v/>
      </c>
      <c r="M1172" s="3">
        <f>IF(ORIG!M1172=0,"",ORIG!M1172)</f>
        <v/>
      </c>
      <c r="N1172" s="3">
        <f>IF(ORIG!N1172=0,"",ORIG!N1172)</f>
        <v/>
      </c>
      <c r="O1172" s="3">
        <f>IF(ORIG!O1172=0,"",ORIG!O1172)</f>
        <v/>
      </c>
      <c r="P1172" s="3">
        <f>IF(ORIG!P1172=0,"",ORIG!P1172)</f>
        <v/>
      </c>
      <c r="Q1172" s="3">
        <f>IF(ORIG!Q1172=0,"",ORIG!Q1172)</f>
        <v/>
      </c>
      <c r="R1172" s="3">
        <f>IF(ORIG!R1172=0,"",ORIG!R1172)</f>
        <v/>
      </c>
      <c r="S1172" s="3">
        <f>IF(ORIG!S1172=0,"",ORIG!S1172)</f>
        <v/>
      </c>
      <c r="T1172" s="3">
        <f>IF(ORIG!T1172=0,"",ORIG!T1172)</f>
        <v/>
      </c>
      <c r="U1172" s="3">
        <f>IF(ORIG!U1172=0,"",ORIG!U1172)</f>
        <v/>
      </c>
      <c r="V1172" s="9">
        <f>IF(ORIG!V1172=0,"",ORIG!V1172)</f>
        <v/>
      </c>
      <c r="W1172" s="9">
        <f>IF(ORIG!W1172=0,"",ORIG!W1172)</f>
        <v/>
      </c>
      <c r="X1172" s="9">
        <f>IF(ORIG!X1172=0,"",ORIG!X1172)</f>
        <v/>
      </c>
      <c r="Y1172" s="9">
        <f>IF(ORIG!Y1172=0,"",ORIG!Y1172)</f>
        <v/>
      </c>
      <c r="Z1172" s="3">
        <f>SUMPRODUCT($B1172:$Y1172,$B$2649:$Y$2649)</f>
        <v/>
      </c>
      <c r="AA1172" s="3">
        <f>SUMPRODUCT($B1172:$Y1172,$B$2655:$Y$2655)</f>
        <v/>
      </c>
      <c r="AC1172" s="1">
        <f>A1172</f>
        <v/>
      </c>
      <c r="AD1172">
        <f>IF(ISNUMBER(V1172),V1172*($AB$1/V$2635),"")</f>
        <v/>
      </c>
      <c r="AE1172">
        <f>IF(ISNUMBER(Z1172),Z1172*($AB$1/Z$2635),"")</f>
        <v/>
      </c>
      <c r="AF1172" s="25">
        <f>IF(ISNUMBER(AD1172+AE1172),AD1172+AE1172,"")</f>
        <v/>
      </c>
      <c r="AH1172" s="1">
        <f>A1172</f>
        <v/>
      </c>
      <c r="AI1172">
        <f>IF(ISNUMBER((1+V1172)*AI1171),(1+V1172)*AI1171,AI1171)</f>
        <v/>
      </c>
      <c r="AJ1172">
        <f>IF(ISNUMBER((1+Z1172)*AJ1171),(1+Z1172)*AJ1171,AJ1171)</f>
        <v/>
      </c>
    </row>
    <row r="1173">
      <c r="A1173" s="1" t="n">
        <v>43704</v>
      </c>
      <c r="B1173" s="3">
        <f>IF(ORIG!B1173=0,"",ORIG!B1173)</f>
        <v/>
      </c>
      <c r="C1173" s="3">
        <f>IF(ORIG!C1173=0,"",ORIG!C1173)</f>
        <v/>
      </c>
      <c r="D1173" s="3">
        <f>IF(ORIG!D1173=0,"",ORIG!D1173)</f>
        <v/>
      </c>
      <c r="E1173" s="3">
        <f>IF(ORIG!E1173=0,"",ORIG!E1173)</f>
        <v/>
      </c>
      <c r="F1173" s="3">
        <f>IF(ORIG!F1173=0,"",ORIG!F1173)</f>
        <v/>
      </c>
      <c r="G1173" s="3">
        <f>IF(ORIG!G1173=0,"",ORIG!G1173)</f>
        <v/>
      </c>
      <c r="H1173" s="3">
        <f>IF(ORIG!H1173=0,"",ORIG!H1173)</f>
        <v/>
      </c>
      <c r="I1173" s="3">
        <f>IF(ORIG!I1173=0,"",ORIG!I1173)</f>
        <v/>
      </c>
      <c r="J1173" s="3">
        <f>IF(ORIG!J1173=0,"",ORIG!J1173)</f>
        <v/>
      </c>
      <c r="K1173" s="3">
        <f>IF(ORIG!K1173=0,"",ORIG!K1173)</f>
        <v/>
      </c>
      <c r="L1173" s="3">
        <f>IF(ORIG!L1173=0,"",ORIG!L1173)</f>
        <v/>
      </c>
      <c r="M1173" s="3">
        <f>IF(ORIG!M1173=0,"",ORIG!M1173)</f>
        <v/>
      </c>
      <c r="N1173" s="3">
        <f>IF(ORIG!N1173=0,"",ORIG!N1173)</f>
        <v/>
      </c>
      <c r="O1173" s="3">
        <f>IF(ORIG!O1173=0,"",ORIG!O1173)</f>
        <v/>
      </c>
      <c r="P1173" s="3">
        <f>IF(ORIG!P1173=0,"",ORIG!P1173)</f>
        <v/>
      </c>
      <c r="Q1173" s="3">
        <f>IF(ORIG!Q1173=0,"",ORIG!Q1173)</f>
        <v/>
      </c>
      <c r="R1173" s="3">
        <f>IF(ORIG!R1173=0,"",ORIG!R1173)</f>
        <v/>
      </c>
      <c r="S1173" s="3">
        <f>IF(ORIG!S1173=0,"",ORIG!S1173)</f>
        <v/>
      </c>
      <c r="T1173" s="3">
        <f>IF(ORIG!T1173=0,"",ORIG!T1173)</f>
        <v/>
      </c>
      <c r="U1173" s="3">
        <f>IF(ORIG!U1173=0,"",ORIG!U1173)</f>
        <v/>
      </c>
      <c r="V1173" s="9">
        <f>IF(ORIG!V1173=0,"",ORIG!V1173)</f>
        <v/>
      </c>
      <c r="W1173" s="9">
        <f>IF(ORIG!W1173=0,"",ORIG!W1173)</f>
        <v/>
      </c>
      <c r="X1173" s="9">
        <f>IF(ORIG!X1173=0,"",ORIG!X1173)</f>
        <v/>
      </c>
      <c r="Y1173" s="9">
        <f>IF(ORIG!Y1173=0,"",ORIG!Y1173)</f>
        <v/>
      </c>
      <c r="Z1173" s="3">
        <f>SUMPRODUCT($B1173:$Y1173,$B$2649:$Y$2649)</f>
        <v/>
      </c>
      <c r="AA1173" s="3">
        <f>SUMPRODUCT($B1173:$Y1173,$B$2655:$Y$2655)</f>
        <v/>
      </c>
      <c r="AC1173" s="1">
        <f>A1173</f>
        <v/>
      </c>
      <c r="AD1173">
        <f>IF(ISNUMBER(V1173),V1173*($AB$1/V$2635),"")</f>
        <v/>
      </c>
      <c r="AE1173">
        <f>IF(ISNUMBER(Z1173),Z1173*($AB$1/Z$2635),"")</f>
        <v/>
      </c>
      <c r="AF1173" s="25">
        <f>IF(ISNUMBER(AD1173+AE1173),AD1173+AE1173,"")</f>
        <v/>
      </c>
      <c r="AH1173" s="1">
        <f>A1173</f>
        <v/>
      </c>
      <c r="AI1173">
        <f>IF(ISNUMBER((1+V1173)*AI1172),(1+V1173)*AI1172,AI1172)</f>
        <v/>
      </c>
      <c r="AJ1173">
        <f>IF(ISNUMBER((1+Z1173)*AJ1172),(1+Z1173)*AJ1172,AJ1172)</f>
        <v/>
      </c>
    </row>
    <row r="1174">
      <c r="A1174" s="1" t="n">
        <v>43705</v>
      </c>
      <c r="B1174" s="3">
        <f>IF(ORIG!B1174=0,"",ORIG!B1174)</f>
        <v/>
      </c>
      <c r="C1174" s="3">
        <f>IF(ORIG!C1174=0,"",ORIG!C1174)</f>
        <v/>
      </c>
      <c r="D1174" s="3">
        <f>IF(ORIG!D1174=0,"",ORIG!D1174)</f>
        <v/>
      </c>
      <c r="E1174" s="3">
        <f>IF(ORIG!E1174=0,"",ORIG!E1174)</f>
        <v/>
      </c>
      <c r="F1174" s="3">
        <f>IF(ORIG!F1174=0,"",ORIG!F1174)</f>
        <v/>
      </c>
      <c r="G1174" s="3">
        <f>IF(ORIG!G1174=0,"",ORIG!G1174)</f>
        <v/>
      </c>
      <c r="H1174" s="3">
        <f>IF(ORIG!H1174=0,"",ORIG!H1174)</f>
        <v/>
      </c>
      <c r="I1174" s="3">
        <f>IF(ORIG!I1174=0,"",ORIG!I1174)</f>
        <v/>
      </c>
      <c r="J1174" s="3">
        <f>IF(ORIG!J1174=0,"",ORIG!J1174)</f>
        <v/>
      </c>
      <c r="K1174" s="3">
        <f>IF(ORIG!K1174=0,"",ORIG!K1174)</f>
        <v/>
      </c>
      <c r="L1174" s="3">
        <f>IF(ORIG!L1174=0,"",ORIG!L1174)</f>
        <v/>
      </c>
      <c r="M1174" s="3">
        <f>IF(ORIG!M1174=0,"",ORIG!M1174)</f>
        <v/>
      </c>
      <c r="N1174" s="3">
        <f>IF(ORIG!N1174=0,"",ORIG!N1174)</f>
        <v/>
      </c>
      <c r="O1174" s="3">
        <f>IF(ORIG!O1174=0,"",ORIG!O1174)</f>
        <v/>
      </c>
      <c r="P1174" s="3">
        <f>IF(ORIG!P1174=0,"",ORIG!P1174)</f>
        <v/>
      </c>
      <c r="Q1174" s="3">
        <f>IF(ORIG!Q1174=0,"",ORIG!Q1174)</f>
        <v/>
      </c>
      <c r="R1174" s="3">
        <f>IF(ORIG!R1174=0,"",ORIG!R1174)</f>
        <v/>
      </c>
      <c r="S1174" s="3">
        <f>IF(ORIG!S1174=0,"",ORIG!S1174)</f>
        <v/>
      </c>
      <c r="T1174" s="3">
        <f>IF(ORIG!T1174=0,"",ORIG!T1174)</f>
        <v/>
      </c>
      <c r="U1174" s="3">
        <f>IF(ORIG!U1174=0,"",ORIG!U1174)</f>
        <v/>
      </c>
      <c r="V1174" s="9">
        <f>IF(ORIG!V1174=0,"",ORIG!V1174)</f>
        <v/>
      </c>
      <c r="W1174" s="9">
        <f>IF(ORIG!W1174=0,"",ORIG!W1174)</f>
        <v/>
      </c>
      <c r="X1174" s="9">
        <f>IF(ORIG!X1174=0,"",ORIG!X1174)</f>
        <v/>
      </c>
      <c r="Y1174" s="9">
        <f>IF(ORIG!Y1174=0,"",ORIG!Y1174)</f>
        <v/>
      </c>
      <c r="Z1174" s="3">
        <f>SUMPRODUCT($B1174:$Y1174,$B$2649:$Y$2649)</f>
        <v/>
      </c>
      <c r="AA1174" s="3">
        <f>SUMPRODUCT($B1174:$Y1174,$B$2655:$Y$2655)</f>
        <v/>
      </c>
      <c r="AC1174" s="1">
        <f>A1174</f>
        <v/>
      </c>
      <c r="AD1174">
        <f>IF(ISNUMBER(V1174),V1174*($AB$1/V$2635),"")</f>
        <v/>
      </c>
      <c r="AE1174">
        <f>IF(ISNUMBER(Z1174),Z1174*($AB$1/Z$2635),"")</f>
        <v/>
      </c>
      <c r="AF1174" s="25">
        <f>IF(ISNUMBER(AD1174+AE1174),AD1174+AE1174,"")</f>
        <v/>
      </c>
      <c r="AH1174" s="1">
        <f>A1174</f>
        <v/>
      </c>
      <c r="AI1174">
        <f>IF(ISNUMBER((1+V1174)*AI1173),(1+V1174)*AI1173,AI1173)</f>
        <v/>
      </c>
      <c r="AJ1174">
        <f>IF(ISNUMBER((1+Z1174)*AJ1173),(1+Z1174)*AJ1173,AJ1173)</f>
        <v/>
      </c>
    </row>
    <row r="1175">
      <c r="A1175" s="1" t="n">
        <v>43706</v>
      </c>
      <c r="B1175" s="3">
        <f>IF(ORIG!B1175=0,"",ORIG!B1175)</f>
        <v/>
      </c>
      <c r="C1175" s="3">
        <f>IF(ORIG!C1175=0,"",ORIG!C1175)</f>
        <v/>
      </c>
      <c r="D1175" s="3">
        <f>IF(ORIG!D1175=0,"",ORIG!D1175)</f>
        <v/>
      </c>
      <c r="E1175" s="3">
        <f>IF(ORIG!E1175=0,"",ORIG!E1175)</f>
        <v/>
      </c>
      <c r="F1175" s="3">
        <f>IF(ORIG!F1175=0,"",ORIG!F1175)</f>
        <v/>
      </c>
      <c r="G1175" s="3">
        <f>IF(ORIG!G1175=0,"",ORIG!G1175)</f>
        <v/>
      </c>
      <c r="H1175" s="3">
        <f>IF(ORIG!H1175=0,"",ORIG!H1175)</f>
        <v/>
      </c>
      <c r="I1175" s="3">
        <f>IF(ORIG!I1175=0,"",ORIG!I1175)</f>
        <v/>
      </c>
      <c r="J1175" s="3">
        <f>IF(ORIG!J1175=0,"",ORIG!J1175)</f>
        <v/>
      </c>
      <c r="K1175" s="3">
        <f>IF(ORIG!K1175=0,"",ORIG!K1175)</f>
        <v/>
      </c>
      <c r="L1175" s="3">
        <f>IF(ORIG!L1175=0,"",ORIG!L1175)</f>
        <v/>
      </c>
      <c r="M1175" s="3">
        <f>IF(ORIG!M1175=0,"",ORIG!M1175)</f>
        <v/>
      </c>
      <c r="N1175" s="3">
        <f>IF(ORIG!N1175=0,"",ORIG!N1175)</f>
        <v/>
      </c>
      <c r="O1175" s="3">
        <f>IF(ORIG!O1175=0,"",ORIG!O1175)</f>
        <v/>
      </c>
      <c r="P1175" s="3">
        <f>IF(ORIG!P1175=0,"",ORIG!P1175)</f>
        <v/>
      </c>
      <c r="Q1175" s="3">
        <f>IF(ORIG!Q1175=0,"",ORIG!Q1175)</f>
        <v/>
      </c>
      <c r="R1175" s="3">
        <f>IF(ORIG!R1175=0,"",ORIG!R1175)</f>
        <v/>
      </c>
      <c r="S1175" s="3">
        <f>IF(ORIG!S1175=0,"",ORIG!S1175)</f>
        <v/>
      </c>
      <c r="T1175" s="3">
        <f>IF(ORIG!T1175=0,"",ORIG!T1175)</f>
        <v/>
      </c>
      <c r="U1175" s="3">
        <f>IF(ORIG!U1175=0,"",ORIG!U1175)</f>
        <v/>
      </c>
      <c r="V1175" s="9">
        <f>IF(ORIG!V1175=0,"",ORIG!V1175)</f>
        <v/>
      </c>
      <c r="W1175" s="9">
        <f>IF(ORIG!W1175=0,"",ORIG!W1175)</f>
        <v/>
      </c>
      <c r="X1175" s="9">
        <f>IF(ORIG!X1175=0,"",ORIG!X1175)</f>
        <v/>
      </c>
      <c r="Y1175" s="9">
        <f>IF(ORIG!Y1175=0,"",ORIG!Y1175)</f>
        <v/>
      </c>
      <c r="Z1175" s="3">
        <f>SUMPRODUCT($B1175:$Y1175,$B$2649:$Y$2649)</f>
        <v/>
      </c>
      <c r="AA1175" s="3">
        <f>SUMPRODUCT($B1175:$Y1175,$B$2655:$Y$2655)</f>
        <v/>
      </c>
      <c r="AC1175" s="1">
        <f>A1175</f>
        <v/>
      </c>
      <c r="AD1175">
        <f>IF(ISNUMBER(V1175),V1175*($AB$1/V$2635),"")</f>
        <v/>
      </c>
      <c r="AE1175">
        <f>IF(ISNUMBER(Z1175),Z1175*($AB$1/Z$2635),"")</f>
        <v/>
      </c>
      <c r="AF1175" s="25">
        <f>IF(ISNUMBER(AD1175+AE1175),AD1175+AE1175,"")</f>
        <v/>
      </c>
      <c r="AH1175" s="1">
        <f>A1175</f>
        <v/>
      </c>
      <c r="AI1175">
        <f>IF(ISNUMBER((1+V1175)*AI1174),(1+V1175)*AI1174,AI1174)</f>
        <v/>
      </c>
      <c r="AJ1175">
        <f>IF(ISNUMBER((1+Z1175)*AJ1174),(1+Z1175)*AJ1174,AJ1174)</f>
        <v/>
      </c>
    </row>
    <row r="1176">
      <c r="A1176" s="1" t="n">
        <v>43707</v>
      </c>
      <c r="B1176" s="3">
        <f>IF(ORIG!B1176=0,"",ORIG!B1176)</f>
        <v/>
      </c>
      <c r="C1176" s="3">
        <f>IF(ORIG!C1176=0,"",ORIG!C1176)</f>
        <v/>
      </c>
      <c r="D1176" s="3">
        <f>IF(ORIG!D1176=0,"",ORIG!D1176)</f>
        <v/>
      </c>
      <c r="E1176" s="3">
        <f>IF(ORIG!E1176=0,"",ORIG!E1176)</f>
        <v/>
      </c>
      <c r="F1176" s="3">
        <f>IF(ORIG!F1176=0,"",ORIG!F1176)</f>
        <v/>
      </c>
      <c r="G1176" s="3">
        <f>IF(ORIG!G1176=0,"",ORIG!G1176)</f>
        <v/>
      </c>
      <c r="H1176" s="3">
        <f>IF(ORIG!H1176=0,"",ORIG!H1176)</f>
        <v/>
      </c>
      <c r="I1176" s="3">
        <f>IF(ORIG!I1176=0,"",ORIG!I1176)</f>
        <v/>
      </c>
      <c r="J1176" s="3">
        <f>IF(ORIG!J1176=0,"",ORIG!J1176)</f>
        <v/>
      </c>
      <c r="K1176" s="3">
        <f>IF(ORIG!K1176=0,"",ORIG!K1176)</f>
        <v/>
      </c>
      <c r="L1176" s="3">
        <f>IF(ORIG!L1176=0,"",ORIG!L1176)</f>
        <v/>
      </c>
      <c r="M1176" s="3">
        <f>IF(ORIG!M1176=0,"",ORIG!M1176)</f>
        <v/>
      </c>
      <c r="N1176" s="3">
        <f>IF(ORIG!N1176=0,"",ORIG!N1176)</f>
        <v/>
      </c>
      <c r="O1176" s="3">
        <f>IF(ORIG!O1176=0,"",ORIG!O1176)</f>
        <v/>
      </c>
      <c r="P1176" s="3">
        <f>IF(ORIG!P1176=0,"",ORIG!P1176)</f>
        <v/>
      </c>
      <c r="Q1176" s="3">
        <f>IF(ORIG!Q1176=0,"",ORIG!Q1176)</f>
        <v/>
      </c>
      <c r="R1176" s="3">
        <f>IF(ORIG!R1176=0,"",ORIG!R1176)</f>
        <v/>
      </c>
      <c r="S1176" s="3">
        <f>IF(ORIG!S1176=0,"",ORIG!S1176)</f>
        <v/>
      </c>
      <c r="T1176" s="3">
        <f>IF(ORIG!T1176=0,"",ORIG!T1176)</f>
        <v/>
      </c>
      <c r="U1176" s="3">
        <f>IF(ORIG!U1176=0,"",ORIG!U1176)</f>
        <v/>
      </c>
      <c r="V1176" s="9">
        <f>IF(ORIG!V1176=0,"",ORIG!V1176)</f>
        <v/>
      </c>
      <c r="W1176" s="9">
        <f>IF(ORIG!W1176=0,"",ORIG!W1176)</f>
        <v/>
      </c>
      <c r="X1176" s="9">
        <f>IF(ORIG!X1176=0,"",ORIG!X1176)</f>
        <v/>
      </c>
      <c r="Y1176" s="9">
        <f>IF(ORIG!Y1176=0,"",ORIG!Y1176)</f>
        <v/>
      </c>
      <c r="Z1176" s="3">
        <f>SUMPRODUCT($B1176:$Y1176,$B$2649:$Y$2649)</f>
        <v/>
      </c>
      <c r="AA1176" s="3">
        <f>SUMPRODUCT($B1176:$Y1176,$B$2655:$Y$2655)</f>
        <v/>
      </c>
      <c r="AC1176" s="1">
        <f>A1176</f>
        <v/>
      </c>
      <c r="AD1176">
        <f>IF(ISNUMBER(V1176),V1176*($AB$1/V$2635),"")</f>
        <v/>
      </c>
      <c r="AE1176">
        <f>IF(ISNUMBER(Z1176),Z1176*($AB$1/Z$2635),"")</f>
        <v/>
      </c>
      <c r="AF1176" s="25">
        <f>IF(ISNUMBER(AD1176+AE1176),AD1176+AE1176,"")</f>
        <v/>
      </c>
      <c r="AH1176" s="1">
        <f>A1176</f>
        <v/>
      </c>
      <c r="AI1176">
        <f>IF(ISNUMBER((1+V1176)*AI1175),(1+V1176)*AI1175,AI1175)</f>
        <v/>
      </c>
      <c r="AJ1176">
        <f>IF(ISNUMBER((1+Z1176)*AJ1175),(1+Z1176)*AJ1175,AJ1175)</f>
        <v/>
      </c>
    </row>
    <row r="1177">
      <c r="A1177" s="1" t="n">
        <v>43711</v>
      </c>
      <c r="B1177" s="3">
        <f>IF(ORIG!B1177=0,"",ORIG!B1177)</f>
        <v/>
      </c>
      <c r="C1177" s="3">
        <f>IF(ORIG!C1177=0,"",ORIG!C1177)</f>
        <v/>
      </c>
      <c r="D1177" s="3">
        <f>IF(ORIG!D1177=0,"",ORIG!D1177)</f>
        <v/>
      </c>
      <c r="E1177" s="3">
        <f>IF(ORIG!E1177=0,"",ORIG!E1177)</f>
        <v/>
      </c>
      <c r="F1177" s="3">
        <f>IF(ORIG!F1177=0,"",ORIG!F1177)</f>
        <v/>
      </c>
      <c r="G1177" s="3">
        <f>IF(ORIG!G1177=0,"",ORIG!G1177)</f>
        <v/>
      </c>
      <c r="H1177" s="3">
        <f>IF(ORIG!H1177=0,"",ORIG!H1177)</f>
        <v/>
      </c>
      <c r="I1177" s="3">
        <f>IF(ORIG!I1177=0,"",ORIG!I1177)</f>
        <v/>
      </c>
      <c r="J1177" s="3">
        <f>IF(ORIG!J1177=0,"",ORIG!J1177)</f>
        <v/>
      </c>
      <c r="K1177" s="3">
        <f>IF(ORIG!K1177=0,"",ORIG!K1177)</f>
        <v/>
      </c>
      <c r="L1177" s="3">
        <f>IF(ORIG!L1177=0,"",ORIG!L1177)</f>
        <v/>
      </c>
      <c r="M1177" s="3">
        <f>IF(ORIG!M1177=0,"",ORIG!M1177)</f>
        <v/>
      </c>
      <c r="N1177" s="3">
        <f>IF(ORIG!N1177=0,"",ORIG!N1177)</f>
        <v/>
      </c>
      <c r="O1177" s="3">
        <f>IF(ORIG!O1177=0,"",ORIG!O1177)</f>
        <v/>
      </c>
      <c r="P1177" s="3">
        <f>IF(ORIG!P1177=0,"",ORIG!P1177)</f>
        <v/>
      </c>
      <c r="Q1177" s="3">
        <f>IF(ORIG!Q1177=0,"",ORIG!Q1177)</f>
        <v/>
      </c>
      <c r="R1177" s="3">
        <f>IF(ORIG!R1177=0,"",ORIG!R1177)</f>
        <v/>
      </c>
      <c r="S1177" s="3">
        <f>IF(ORIG!S1177=0,"",ORIG!S1177)</f>
        <v/>
      </c>
      <c r="T1177" s="3">
        <f>IF(ORIG!T1177=0,"",ORIG!T1177)</f>
        <v/>
      </c>
      <c r="U1177" s="3">
        <f>IF(ORIG!U1177=0,"",ORIG!U1177)</f>
        <v/>
      </c>
      <c r="V1177" s="9">
        <f>IF(ORIG!V1177=0,"",ORIG!V1177)</f>
        <v/>
      </c>
      <c r="W1177" s="9">
        <f>IF(ORIG!W1177=0,"",ORIG!W1177)</f>
        <v/>
      </c>
      <c r="X1177" s="9">
        <f>IF(ORIG!X1177=0,"",ORIG!X1177)</f>
        <v/>
      </c>
      <c r="Y1177" s="9">
        <f>IF(ORIG!Y1177=0,"",ORIG!Y1177)</f>
        <v/>
      </c>
      <c r="Z1177" s="3">
        <f>SUMPRODUCT($B1177:$Y1177,$B$2649:$Y$2649)</f>
        <v/>
      </c>
      <c r="AA1177" s="3">
        <f>SUMPRODUCT($B1177:$Y1177,$B$2655:$Y$2655)</f>
        <v/>
      </c>
      <c r="AC1177" s="1">
        <f>A1177</f>
        <v/>
      </c>
      <c r="AD1177">
        <f>IF(ISNUMBER(V1177),V1177*($AB$1/V$2635),"")</f>
        <v/>
      </c>
      <c r="AE1177">
        <f>IF(ISNUMBER(Z1177),Z1177*($AB$1/Z$2635),"")</f>
        <v/>
      </c>
      <c r="AF1177" s="25">
        <f>IF(ISNUMBER(AD1177+AE1177),AD1177+AE1177,"")</f>
        <v/>
      </c>
      <c r="AH1177" s="1">
        <f>A1177</f>
        <v/>
      </c>
      <c r="AI1177">
        <f>IF(ISNUMBER((1+V1177)*AI1176),(1+V1177)*AI1176,AI1176)</f>
        <v/>
      </c>
      <c r="AJ1177">
        <f>IF(ISNUMBER((1+Z1177)*AJ1176),(1+Z1177)*AJ1176,AJ1176)</f>
        <v/>
      </c>
    </row>
    <row r="1178">
      <c r="A1178" s="1" t="n">
        <v>43712</v>
      </c>
      <c r="B1178" s="3">
        <f>IF(ORIG!B1178=0,"",ORIG!B1178)</f>
        <v/>
      </c>
      <c r="C1178" s="3">
        <f>IF(ORIG!C1178=0,"",ORIG!C1178)</f>
        <v/>
      </c>
      <c r="D1178" s="3">
        <f>IF(ORIG!D1178=0,"",ORIG!D1178)</f>
        <v/>
      </c>
      <c r="E1178" s="3">
        <f>IF(ORIG!E1178=0,"",ORIG!E1178)</f>
        <v/>
      </c>
      <c r="F1178" s="3">
        <f>IF(ORIG!F1178=0,"",ORIG!F1178)</f>
        <v/>
      </c>
      <c r="G1178" s="3">
        <f>IF(ORIG!G1178=0,"",ORIG!G1178)</f>
        <v/>
      </c>
      <c r="H1178" s="3">
        <f>IF(ORIG!H1178=0,"",ORIG!H1178)</f>
        <v/>
      </c>
      <c r="I1178" s="3">
        <f>IF(ORIG!I1178=0,"",ORIG!I1178)</f>
        <v/>
      </c>
      <c r="J1178" s="3">
        <f>IF(ORIG!J1178=0,"",ORIG!J1178)</f>
        <v/>
      </c>
      <c r="K1178" s="3">
        <f>IF(ORIG!K1178=0,"",ORIG!K1178)</f>
        <v/>
      </c>
      <c r="L1178" s="3">
        <f>IF(ORIG!L1178=0,"",ORIG!L1178)</f>
        <v/>
      </c>
      <c r="M1178" s="3">
        <f>IF(ORIG!M1178=0,"",ORIG!M1178)</f>
        <v/>
      </c>
      <c r="N1178" s="3">
        <f>IF(ORIG!N1178=0,"",ORIG!N1178)</f>
        <v/>
      </c>
      <c r="O1178" s="3">
        <f>IF(ORIG!O1178=0,"",ORIG!O1178)</f>
        <v/>
      </c>
      <c r="P1178" s="3">
        <f>IF(ORIG!P1178=0,"",ORIG!P1178)</f>
        <v/>
      </c>
      <c r="Q1178" s="3">
        <f>IF(ORIG!Q1178=0,"",ORIG!Q1178)</f>
        <v/>
      </c>
      <c r="R1178" s="3">
        <f>IF(ORIG!R1178=0,"",ORIG!R1178)</f>
        <v/>
      </c>
      <c r="S1178" s="3">
        <f>IF(ORIG!S1178=0,"",ORIG!S1178)</f>
        <v/>
      </c>
      <c r="T1178" s="3">
        <f>IF(ORIG!T1178=0,"",ORIG!T1178)</f>
        <v/>
      </c>
      <c r="U1178" s="3">
        <f>IF(ORIG!U1178=0,"",ORIG!U1178)</f>
        <v/>
      </c>
      <c r="V1178" s="9">
        <f>IF(ORIG!V1178=0,"",ORIG!V1178)</f>
        <v/>
      </c>
      <c r="W1178" s="9">
        <f>IF(ORIG!W1178=0,"",ORIG!W1178)</f>
        <v/>
      </c>
      <c r="X1178" s="9">
        <f>IF(ORIG!X1178=0,"",ORIG!X1178)</f>
        <v/>
      </c>
      <c r="Y1178" s="9">
        <f>IF(ORIG!Y1178=0,"",ORIG!Y1178)</f>
        <v/>
      </c>
      <c r="Z1178" s="3">
        <f>SUMPRODUCT($B1178:$Y1178,$B$2649:$Y$2649)</f>
        <v/>
      </c>
      <c r="AA1178" s="3">
        <f>SUMPRODUCT($B1178:$Y1178,$B$2655:$Y$2655)</f>
        <v/>
      </c>
      <c r="AC1178" s="1">
        <f>A1178</f>
        <v/>
      </c>
      <c r="AD1178">
        <f>IF(ISNUMBER(V1178),V1178*($AB$1/V$2635),"")</f>
        <v/>
      </c>
      <c r="AE1178">
        <f>IF(ISNUMBER(Z1178),Z1178*($AB$1/Z$2635),"")</f>
        <v/>
      </c>
      <c r="AF1178" s="25">
        <f>IF(ISNUMBER(AD1178+AE1178),AD1178+AE1178,"")</f>
        <v/>
      </c>
      <c r="AH1178" s="1">
        <f>A1178</f>
        <v/>
      </c>
      <c r="AI1178">
        <f>IF(ISNUMBER((1+V1178)*AI1177),(1+V1178)*AI1177,AI1177)</f>
        <v/>
      </c>
      <c r="AJ1178">
        <f>IF(ISNUMBER((1+Z1178)*AJ1177),(1+Z1178)*AJ1177,AJ1177)</f>
        <v/>
      </c>
    </row>
    <row r="1179">
      <c r="A1179" s="1" t="n">
        <v>43713</v>
      </c>
      <c r="B1179" s="3">
        <f>IF(ORIG!B1179=0,"",ORIG!B1179)</f>
        <v/>
      </c>
      <c r="C1179" s="3">
        <f>IF(ORIG!C1179=0,"",ORIG!C1179)</f>
        <v/>
      </c>
      <c r="D1179" s="3">
        <f>IF(ORIG!D1179=0,"",ORIG!D1179)</f>
        <v/>
      </c>
      <c r="E1179" s="3">
        <f>IF(ORIG!E1179=0,"",ORIG!E1179)</f>
        <v/>
      </c>
      <c r="F1179" s="3">
        <f>IF(ORIG!F1179=0,"",ORIG!F1179)</f>
        <v/>
      </c>
      <c r="G1179" s="3">
        <f>IF(ORIG!G1179=0,"",ORIG!G1179)</f>
        <v/>
      </c>
      <c r="H1179" s="3">
        <f>IF(ORIG!H1179=0,"",ORIG!H1179)</f>
        <v/>
      </c>
      <c r="I1179" s="3">
        <f>IF(ORIG!I1179=0,"",ORIG!I1179)</f>
        <v/>
      </c>
      <c r="J1179" s="3">
        <f>IF(ORIG!J1179=0,"",ORIG!J1179)</f>
        <v/>
      </c>
      <c r="K1179" s="3">
        <f>IF(ORIG!K1179=0,"",ORIG!K1179)</f>
        <v/>
      </c>
      <c r="L1179" s="3">
        <f>IF(ORIG!L1179=0,"",ORIG!L1179)</f>
        <v/>
      </c>
      <c r="M1179" s="3">
        <f>IF(ORIG!M1179=0,"",ORIG!M1179)</f>
        <v/>
      </c>
      <c r="N1179" s="3">
        <f>IF(ORIG!N1179=0,"",ORIG!N1179)</f>
        <v/>
      </c>
      <c r="O1179" s="3">
        <f>IF(ORIG!O1179=0,"",ORIG!O1179)</f>
        <v/>
      </c>
      <c r="P1179" s="3">
        <f>IF(ORIG!P1179=0,"",ORIG!P1179)</f>
        <v/>
      </c>
      <c r="Q1179" s="3">
        <f>IF(ORIG!Q1179=0,"",ORIG!Q1179)</f>
        <v/>
      </c>
      <c r="R1179" s="3">
        <f>IF(ORIG!R1179=0,"",ORIG!R1179)</f>
        <v/>
      </c>
      <c r="S1179" s="3">
        <f>IF(ORIG!S1179=0,"",ORIG!S1179)</f>
        <v/>
      </c>
      <c r="T1179" s="3">
        <f>IF(ORIG!T1179=0,"",ORIG!T1179)</f>
        <v/>
      </c>
      <c r="U1179" s="3">
        <f>IF(ORIG!U1179=0,"",ORIG!U1179)</f>
        <v/>
      </c>
      <c r="V1179" s="9">
        <f>IF(ORIG!V1179=0,"",ORIG!V1179)</f>
        <v/>
      </c>
      <c r="W1179" s="9">
        <f>IF(ORIG!W1179=0,"",ORIG!W1179)</f>
        <v/>
      </c>
      <c r="X1179" s="9">
        <f>IF(ORIG!X1179=0,"",ORIG!X1179)</f>
        <v/>
      </c>
      <c r="Y1179" s="9">
        <f>IF(ORIG!Y1179=0,"",ORIG!Y1179)</f>
        <v/>
      </c>
      <c r="Z1179" s="3">
        <f>SUMPRODUCT($B1179:$Y1179,$B$2649:$Y$2649)</f>
        <v/>
      </c>
      <c r="AA1179" s="3">
        <f>SUMPRODUCT($B1179:$Y1179,$B$2655:$Y$2655)</f>
        <v/>
      </c>
      <c r="AC1179" s="1">
        <f>A1179</f>
        <v/>
      </c>
      <c r="AD1179">
        <f>IF(ISNUMBER(V1179),V1179*($AB$1/V$2635),"")</f>
        <v/>
      </c>
      <c r="AE1179">
        <f>IF(ISNUMBER(Z1179),Z1179*($AB$1/Z$2635),"")</f>
        <v/>
      </c>
      <c r="AF1179" s="25">
        <f>IF(ISNUMBER(AD1179+AE1179),AD1179+AE1179,"")</f>
        <v/>
      </c>
      <c r="AH1179" s="1">
        <f>A1179</f>
        <v/>
      </c>
      <c r="AI1179">
        <f>IF(ISNUMBER((1+V1179)*AI1178),(1+V1179)*AI1178,AI1178)</f>
        <v/>
      </c>
      <c r="AJ1179">
        <f>IF(ISNUMBER((1+Z1179)*AJ1178),(1+Z1179)*AJ1178,AJ1178)</f>
        <v/>
      </c>
    </row>
    <row r="1180">
      <c r="A1180" s="1" t="n">
        <v>43714</v>
      </c>
      <c r="B1180" s="3">
        <f>IF(ORIG!B1180=0,"",ORIG!B1180)</f>
        <v/>
      </c>
      <c r="C1180" s="3">
        <f>IF(ORIG!C1180=0,"",ORIG!C1180)</f>
        <v/>
      </c>
      <c r="D1180" s="3">
        <f>IF(ORIG!D1180=0,"",ORIG!D1180)</f>
        <v/>
      </c>
      <c r="E1180" s="3">
        <f>IF(ORIG!E1180=0,"",ORIG!E1180)</f>
        <v/>
      </c>
      <c r="F1180" s="3">
        <f>IF(ORIG!F1180=0,"",ORIG!F1180)</f>
        <v/>
      </c>
      <c r="G1180" s="3">
        <f>IF(ORIG!G1180=0,"",ORIG!G1180)</f>
        <v/>
      </c>
      <c r="H1180" s="3">
        <f>IF(ORIG!H1180=0,"",ORIG!H1180)</f>
        <v/>
      </c>
      <c r="I1180" s="3">
        <f>IF(ORIG!I1180=0,"",ORIG!I1180)</f>
        <v/>
      </c>
      <c r="J1180" s="3">
        <f>IF(ORIG!J1180=0,"",ORIG!J1180)</f>
        <v/>
      </c>
      <c r="K1180" s="3">
        <f>IF(ORIG!K1180=0,"",ORIG!K1180)</f>
        <v/>
      </c>
      <c r="L1180" s="3">
        <f>IF(ORIG!L1180=0,"",ORIG!L1180)</f>
        <v/>
      </c>
      <c r="M1180" s="3">
        <f>IF(ORIG!M1180=0,"",ORIG!M1180)</f>
        <v/>
      </c>
      <c r="N1180" s="3">
        <f>IF(ORIG!N1180=0,"",ORIG!N1180)</f>
        <v/>
      </c>
      <c r="O1180" s="3">
        <f>IF(ORIG!O1180=0,"",ORIG!O1180)</f>
        <v/>
      </c>
      <c r="P1180" s="3">
        <f>IF(ORIG!P1180=0,"",ORIG!P1180)</f>
        <v/>
      </c>
      <c r="Q1180" s="3">
        <f>IF(ORIG!Q1180=0,"",ORIG!Q1180)</f>
        <v/>
      </c>
      <c r="R1180" s="3">
        <f>IF(ORIG!R1180=0,"",ORIG!R1180)</f>
        <v/>
      </c>
      <c r="S1180" s="3">
        <f>IF(ORIG!S1180=0,"",ORIG!S1180)</f>
        <v/>
      </c>
      <c r="T1180" s="3">
        <f>IF(ORIG!T1180=0,"",ORIG!T1180)</f>
        <v/>
      </c>
      <c r="U1180" s="3">
        <f>IF(ORIG!U1180=0,"",ORIG!U1180)</f>
        <v/>
      </c>
      <c r="V1180" s="9">
        <f>IF(ORIG!V1180=0,"",ORIG!V1180)</f>
        <v/>
      </c>
      <c r="W1180" s="9">
        <f>IF(ORIG!W1180=0,"",ORIG!W1180)</f>
        <v/>
      </c>
      <c r="X1180" s="9">
        <f>IF(ORIG!X1180=0,"",ORIG!X1180)</f>
        <v/>
      </c>
      <c r="Y1180" s="9">
        <f>IF(ORIG!Y1180=0,"",ORIG!Y1180)</f>
        <v/>
      </c>
      <c r="Z1180" s="3">
        <f>SUMPRODUCT($B1180:$Y1180,$B$2649:$Y$2649)</f>
        <v/>
      </c>
      <c r="AA1180" s="3">
        <f>SUMPRODUCT($B1180:$Y1180,$B$2655:$Y$2655)</f>
        <v/>
      </c>
      <c r="AC1180" s="1">
        <f>A1180</f>
        <v/>
      </c>
      <c r="AD1180">
        <f>IF(ISNUMBER(V1180),V1180*($AB$1/V$2635),"")</f>
        <v/>
      </c>
      <c r="AE1180">
        <f>IF(ISNUMBER(Z1180),Z1180*($AB$1/Z$2635),"")</f>
        <v/>
      </c>
      <c r="AF1180" s="25">
        <f>IF(ISNUMBER(AD1180+AE1180),AD1180+AE1180,"")</f>
        <v/>
      </c>
      <c r="AH1180" s="1">
        <f>A1180</f>
        <v/>
      </c>
      <c r="AI1180">
        <f>IF(ISNUMBER((1+V1180)*AI1179),(1+V1180)*AI1179,AI1179)</f>
        <v/>
      </c>
      <c r="AJ1180">
        <f>IF(ISNUMBER((1+Z1180)*AJ1179),(1+Z1180)*AJ1179,AJ1179)</f>
        <v/>
      </c>
    </row>
    <row r="1181">
      <c r="A1181" s="1" t="n">
        <v>43717</v>
      </c>
      <c r="B1181" s="3">
        <f>IF(ORIG!B1181=0,"",ORIG!B1181)</f>
        <v/>
      </c>
      <c r="C1181" s="3">
        <f>IF(ORIG!C1181=0,"",ORIG!C1181)</f>
        <v/>
      </c>
      <c r="D1181" s="3">
        <f>IF(ORIG!D1181=0,"",ORIG!D1181)</f>
        <v/>
      </c>
      <c r="E1181" s="3">
        <f>IF(ORIG!E1181=0,"",ORIG!E1181)</f>
        <v/>
      </c>
      <c r="F1181" s="3">
        <f>IF(ORIG!F1181=0,"",ORIG!F1181)</f>
        <v/>
      </c>
      <c r="G1181" s="3">
        <f>IF(ORIG!G1181=0,"",ORIG!G1181)</f>
        <v/>
      </c>
      <c r="H1181" s="3">
        <f>IF(ORIG!H1181=0,"",ORIG!H1181)</f>
        <v/>
      </c>
      <c r="I1181" s="3">
        <f>IF(ORIG!I1181=0,"",ORIG!I1181)</f>
        <v/>
      </c>
      <c r="J1181" s="3">
        <f>IF(ORIG!J1181=0,"",ORIG!J1181)</f>
        <v/>
      </c>
      <c r="K1181" s="3">
        <f>IF(ORIG!K1181=0,"",ORIG!K1181)</f>
        <v/>
      </c>
      <c r="L1181" s="3">
        <f>IF(ORIG!L1181=0,"",ORIG!L1181)</f>
        <v/>
      </c>
      <c r="M1181" s="3">
        <f>IF(ORIG!M1181=0,"",ORIG!M1181)</f>
        <v/>
      </c>
      <c r="N1181" s="3">
        <f>IF(ORIG!N1181=0,"",ORIG!N1181)</f>
        <v/>
      </c>
      <c r="O1181" s="3">
        <f>IF(ORIG!O1181=0,"",ORIG!O1181)</f>
        <v/>
      </c>
      <c r="P1181" s="3">
        <f>IF(ORIG!P1181=0,"",ORIG!P1181)</f>
        <v/>
      </c>
      <c r="Q1181" s="3">
        <f>IF(ORIG!Q1181=0,"",ORIG!Q1181)</f>
        <v/>
      </c>
      <c r="R1181" s="3">
        <f>IF(ORIG!R1181=0,"",ORIG!R1181)</f>
        <v/>
      </c>
      <c r="S1181" s="3">
        <f>IF(ORIG!S1181=0,"",ORIG!S1181)</f>
        <v/>
      </c>
      <c r="T1181" s="3">
        <f>IF(ORIG!T1181=0,"",ORIG!T1181)</f>
        <v/>
      </c>
      <c r="U1181" s="3">
        <f>IF(ORIG!U1181=0,"",ORIG!U1181)</f>
        <v/>
      </c>
      <c r="V1181" s="9">
        <f>IF(ORIG!V1181=0,"",ORIG!V1181)</f>
        <v/>
      </c>
      <c r="W1181" s="9">
        <f>IF(ORIG!W1181=0,"",ORIG!W1181)</f>
        <v/>
      </c>
      <c r="X1181" s="9">
        <f>IF(ORIG!X1181=0,"",ORIG!X1181)</f>
        <v/>
      </c>
      <c r="Y1181" s="9">
        <f>IF(ORIG!Y1181=0,"",ORIG!Y1181)</f>
        <v/>
      </c>
      <c r="Z1181" s="3">
        <f>SUMPRODUCT($B1181:$Y1181,$B$2649:$Y$2649)</f>
        <v/>
      </c>
      <c r="AA1181" s="3">
        <f>SUMPRODUCT($B1181:$Y1181,$B$2655:$Y$2655)</f>
        <v/>
      </c>
      <c r="AC1181" s="1">
        <f>A1181</f>
        <v/>
      </c>
      <c r="AD1181">
        <f>IF(ISNUMBER(V1181),V1181*($AB$1/V$2635),"")</f>
        <v/>
      </c>
      <c r="AE1181">
        <f>IF(ISNUMBER(Z1181),Z1181*($AB$1/Z$2635),"")</f>
        <v/>
      </c>
      <c r="AF1181" s="25">
        <f>IF(ISNUMBER(AD1181+AE1181),AD1181+AE1181,"")</f>
        <v/>
      </c>
      <c r="AH1181" s="1">
        <f>A1181</f>
        <v/>
      </c>
      <c r="AI1181">
        <f>IF(ISNUMBER((1+V1181)*AI1180),(1+V1181)*AI1180,AI1180)</f>
        <v/>
      </c>
      <c r="AJ1181">
        <f>IF(ISNUMBER((1+Z1181)*AJ1180),(1+Z1181)*AJ1180,AJ1180)</f>
        <v/>
      </c>
    </row>
    <row r="1182">
      <c r="A1182" s="1" t="n">
        <v>43718</v>
      </c>
      <c r="B1182" s="3">
        <f>IF(ORIG!B1182=0,"",ORIG!B1182)</f>
        <v/>
      </c>
      <c r="C1182" s="3">
        <f>IF(ORIG!C1182=0,"",ORIG!C1182)</f>
        <v/>
      </c>
      <c r="D1182" s="3">
        <f>IF(ORIG!D1182=0,"",ORIG!D1182)</f>
        <v/>
      </c>
      <c r="E1182" s="3">
        <f>IF(ORIG!E1182=0,"",ORIG!E1182)</f>
        <v/>
      </c>
      <c r="F1182" s="3">
        <f>IF(ORIG!F1182=0,"",ORIG!F1182)</f>
        <v/>
      </c>
      <c r="G1182" s="3">
        <f>IF(ORIG!G1182=0,"",ORIG!G1182)</f>
        <v/>
      </c>
      <c r="H1182" s="3">
        <f>IF(ORIG!H1182=0,"",ORIG!H1182)</f>
        <v/>
      </c>
      <c r="I1182" s="3">
        <f>IF(ORIG!I1182=0,"",ORIG!I1182)</f>
        <v/>
      </c>
      <c r="J1182" s="3">
        <f>IF(ORIG!J1182=0,"",ORIG!J1182)</f>
        <v/>
      </c>
      <c r="K1182" s="3">
        <f>IF(ORIG!K1182=0,"",ORIG!K1182)</f>
        <v/>
      </c>
      <c r="L1182" s="3">
        <f>IF(ORIG!L1182=0,"",ORIG!L1182)</f>
        <v/>
      </c>
      <c r="M1182" s="3">
        <f>IF(ORIG!M1182=0,"",ORIG!M1182)</f>
        <v/>
      </c>
      <c r="N1182" s="3">
        <f>IF(ORIG!N1182=0,"",ORIG!N1182)</f>
        <v/>
      </c>
      <c r="O1182" s="3">
        <f>IF(ORIG!O1182=0,"",ORIG!O1182)</f>
        <v/>
      </c>
      <c r="P1182" s="3">
        <f>IF(ORIG!P1182=0,"",ORIG!P1182)</f>
        <v/>
      </c>
      <c r="Q1182" s="3">
        <f>IF(ORIG!Q1182=0,"",ORIG!Q1182)</f>
        <v/>
      </c>
      <c r="R1182" s="3">
        <f>IF(ORIG!R1182=0,"",ORIG!R1182)</f>
        <v/>
      </c>
      <c r="S1182" s="3">
        <f>IF(ORIG!S1182=0,"",ORIG!S1182)</f>
        <v/>
      </c>
      <c r="T1182" s="3">
        <f>IF(ORIG!T1182=0,"",ORIG!T1182)</f>
        <v/>
      </c>
      <c r="U1182" s="3">
        <f>IF(ORIG!U1182=0,"",ORIG!U1182)</f>
        <v/>
      </c>
      <c r="V1182" s="9">
        <f>IF(ORIG!V1182=0,"",ORIG!V1182)</f>
        <v/>
      </c>
      <c r="W1182" s="9">
        <f>IF(ORIG!W1182=0,"",ORIG!W1182)</f>
        <v/>
      </c>
      <c r="X1182" s="9">
        <f>IF(ORIG!X1182=0,"",ORIG!X1182)</f>
        <v/>
      </c>
      <c r="Y1182" s="9">
        <f>IF(ORIG!Y1182=0,"",ORIG!Y1182)</f>
        <v/>
      </c>
      <c r="Z1182" s="3">
        <f>SUMPRODUCT($B1182:$Y1182,$B$2649:$Y$2649)</f>
        <v/>
      </c>
      <c r="AA1182" s="3">
        <f>SUMPRODUCT($B1182:$Y1182,$B$2655:$Y$2655)</f>
        <v/>
      </c>
      <c r="AC1182" s="1">
        <f>A1182</f>
        <v/>
      </c>
      <c r="AD1182">
        <f>IF(ISNUMBER(V1182),V1182*($AB$1/V$2635),"")</f>
        <v/>
      </c>
      <c r="AE1182">
        <f>IF(ISNUMBER(Z1182),Z1182*($AB$1/Z$2635),"")</f>
        <v/>
      </c>
      <c r="AF1182" s="25">
        <f>IF(ISNUMBER(AD1182+AE1182),AD1182+AE1182,"")</f>
        <v/>
      </c>
      <c r="AH1182" s="1">
        <f>A1182</f>
        <v/>
      </c>
      <c r="AI1182">
        <f>IF(ISNUMBER((1+V1182)*AI1181),(1+V1182)*AI1181,AI1181)</f>
        <v/>
      </c>
      <c r="AJ1182">
        <f>IF(ISNUMBER((1+Z1182)*AJ1181),(1+Z1182)*AJ1181,AJ1181)</f>
        <v/>
      </c>
    </row>
    <row r="1183">
      <c r="A1183" s="1" t="n">
        <v>43719</v>
      </c>
      <c r="B1183" s="3">
        <f>IF(ORIG!B1183=0,"",ORIG!B1183)</f>
        <v/>
      </c>
      <c r="C1183" s="3">
        <f>IF(ORIG!C1183=0,"",ORIG!C1183)</f>
        <v/>
      </c>
      <c r="D1183" s="3">
        <f>IF(ORIG!D1183=0,"",ORIG!D1183)</f>
        <v/>
      </c>
      <c r="E1183" s="3">
        <f>IF(ORIG!E1183=0,"",ORIG!E1183)</f>
        <v/>
      </c>
      <c r="F1183" s="3">
        <f>IF(ORIG!F1183=0,"",ORIG!F1183)</f>
        <v/>
      </c>
      <c r="G1183" s="3">
        <f>IF(ORIG!G1183=0,"",ORIG!G1183)</f>
        <v/>
      </c>
      <c r="H1183" s="3">
        <f>IF(ORIG!H1183=0,"",ORIG!H1183)</f>
        <v/>
      </c>
      <c r="I1183" s="3">
        <f>IF(ORIG!I1183=0,"",ORIG!I1183)</f>
        <v/>
      </c>
      <c r="J1183" s="3">
        <f>IF(ORIG!J1183=0,"",ORIG!J1183)</f>
        <v/>
      </c>
      <c r="K1183" s="3">
        <f>IF(ORIG!K1183=0,"",ORIG!K1183)</f>
        <v/>
      </c>
      <c r="L1183" s="3">
        <f>IF(ORIG!L1183=0,"",ORIG!L1183)</f>
        <v/>
      </c>
      <c r="M1183" s="3">
        <f>IF(ORIG!M1183=0,"",ORIG!M1183)</f>
        <v/>
      </c>
      <c r="N1183" s="3">
        <f>IF(ORIG!N1183=0,"",ORIG!N1183)</f>
        <v/>
      </c>
      <c r="O1183" s="3">
        <f>IF(ORIG!O1183=0,"",ORIG!O1183)</f>
        <v/>
      </c>
      <c r="P1183" s="3">
        <f>IF(ORIG!P1183=0,"",ORIG!P1183)</f>
        <v/>
      </c>
      <c r="Q1183" s="3">
        <f>IF(ORIG!Q1183=0,"",ORIG!Q1183)</f>
        <v/>
      </c>
      <c r="R1183" s="3">
        <f>IF(ORIG!R1183=0,"",ORIG!R1183)</f>
        <v/>
      </c>
      <c r="S1183" s="3">
        <f>IF(ORIG!S1183=0,"",ORIG!S1183)</f>
        <v/>
      </c>
      <c r="T1183" s="3">
        <f>IF(ORIG!T1183=0,"",ORIG!T1183)</f>
        <v/>
      </c>
      <c r="U1183" s="3">
        <f>IF(ORIG!U1183=0,"",ORIG!U1183)</f>
        <v/>
      </c>
      <c r="V1183" s="9">
        <f>IF(ORIG!V1183=0,"",ORIG!V1183)</f>
        <v/>
      </c>
      <c r="W1183" s="9">
        <f>IF(ORIG!W1183=0,"",ORIG!W1183)</f>
        <v/>
      </c>
      <c r="X1183" s="9">
        <f>IF(ORIG!X1183=0,"",ORIG!X1183)</f>
        <v/>
      </c>
      <c r="Y1183" s="9">
        <f>IF(ORIG!Y1183=0,"",ORIG!Y1183)</f>
        <v/>
      </c>
      <c r="Z1183" s="3">
        <f>SUMPRODUCT($B1183:$Y1183,$B$2649:$Y$2649)</f>
        <v/>
      </c>
      <c r="AA1183" s="3">
        <f>SUMPRODUCT($B1183:$Y1183,$B$2655:$Y$2655)</f>
        <v/>
      </c>
      <c r="AC1183" s="1">
        <f>A1183</f>
        <v/>
      </c>
      <c r="AD1183">
        <f>IF(ISNUMBER(V1183),V1183*($AB$1/V$2635),"")</f>
        <v/>
      </c>
      <c r="AE1183">
        <f>IF(ISNUMBER(Z1183),Z1183*($AB$1/Z$2635),"")</f>
        <v/>
      </c>
      <c r="AF1183" s="25">
        <f>IF(ISNUMBER(AD1183+AE1183),AD1183+AE1183,"")</f>
        <v/>
      </c>
      <c r="AH1183" s="1">
        <f>A1183</f>
        <v/>
      </c>
      <c r="AI1183">
        <f>IF(ISNUMBER((1+V1183)*AI1182),(1+V1183)*AI1182,AI1182)</f>
        <v/>
      </c>
      <c r="AJ1183">
        <f>IF(ISNUMBER((1+Z1183)*AJ1182),(1+Z1183)*AJ1182,AJ1182)</f>
        <v/>
      </c>
    </row>
    <row r="1184">
      <c r="A1184" s="1" t="n">
        <v>43720</v>
      </c>
      <c r="B1184" s="3">
        <f>IF(ORIG!B1184=0,"",ORIG!B1184)</f>
        <v/>
      </c>
      <c r="C1184" s="3">
        <f>IF(ORIG!C1184=0,"",ORIG!C1184)</f>
        <v/>
      </c>
      <c r="D1184" s="3">
        <f>IF(ORIG!D1184=0,"",ORIG!D1184)</f>
        <v/>
      </c>
      <c r="E1184" s="3">
        <f>IF(ORIG!E1184=0,"",ORIG!E1184)</f>
        <v/>
      </c>
      <c r="F1184" s="3">
        <f>IF(ORIG!F1184=0,"",ORIG!F1184)</f>
        <v/>
      </c>
      <c r="G1184" s="3">
        <f>IF(ORIG!G1184=0,"",ORIG!G1184)</f>
        <v/>
      </c>
      <c r="H1184" s="3">
        <f>IF(ORIG!H1184=0,"",ORIG!H1184)</f>
        <v/>
      </c>
      <c r="I1184" s="3">
        <f>IF(ORIG!I1184=0,"",ORIG!I1184)</f>
        <v/>
      </c>
      <c r="J1184" s="3">
        <f>IF(ORIG!J1184=0,"",ORIG!J1184)</f>
        <v/>
      </c>
      <c r="K1184" s="3">
        <f>IF(ORIG!K1184=0,"",ORIG!K1184)</f>
        <v/>
      </c>
      <c r="L1184" s="3">
        <f>IF(ORIG!L1184=0,"",ORIG!L1184)</f>
        <v/>
      </c>
      <c r="M1184" s="3">
        <f>IF(ORIG!M1184=0,"",ORIG!M1184)</f>
        <v/>
      </c>
      <c r="N1184" s="3">
        <f>IF(ORIG!N1184=0,"",ORIG!N1184)</f>
        <v/>
      </c>
      <c r="O1184" s="3">
        <f>IF(ORIG!O1184=0,"",ORIG!O1184)</f>
        <v/>
      </c>
      <c r="P1184" s="3">
        <f>IF(ORIG!P1184=0,"",ORIG!P1184)</f>
        <v/>
      </c>
      <c r="Q1184" s="3">
        <f>IF(ORIG!Q1184=0,"",ORIG!Q1184)</f>
        <v/>
      </c>
      <c r="R1184" s="3">
        <f>IF(ORIG!R1184=0,"",ORIG!R1184)</f>
        <v/>
      </c>
      <c r="S1184" s="3">
        <f>IF(ORIG!S1184=0,"",ORIG!S1184)</f>
        <v/>
      </c>
      <c r="T1184" s="3">
        <f>IF(ORIG!T1184=0,"",ORIG!T1184)</f>
        <v/>
      </c>
      <c r="U1184" s="3">
        <f>IF(ORIG!U1184=0,"",ORIG!U1184)</f>
        <v/>
      </c>
      <c r="V1184" s="9">
        <f>IF(ORIG!V1184=0,"",ORIG!V1184)</f>
        <v/>
      </c>
      <c r="W1184" s="9">
        <f>IF(ORIG!W1184=0,"",ORIG!W1184)</f>
        <v/>
      </c>
      <c r="X1184" s="9">
        <f>IF(ORIG!X1184=0,"",ORIG!X1184)</f>
        <v/>
      </c>
      <c r="Y1184" s="9">
        <f>IF(ORIG!Y1184=0,"",ORIG!Y1184)</f>
        <v/>
      </c>
      <c r="Z1184" s="3">
        <f>SUMPRODUCT($B1184:$Y1184,$B$2649:$Y$2649)</f>
        <v/>
      </c>
      <c r="AA1184" s="3">
        <f>SUMPRODUCT($B1184:$Y1184,$B$2655:$Y$2655)</f>
        <v/>
      </c>
      <c r="AC1184" s="1">
        <f>A1184</f>
        <v/>
      </c>
      <c r="AD1184">
        <f>IF(ISNUMBER(V1184),V1184*($AB$1/V$2635),"")</f>
        <v/>
      </c>
      <c r="AE1184">
        <f>IF(ISNUMBER(Z1184),Z1184*($AB$1/Z$2635),"")</f>
        <v/>
      </c>
      <c r="AF1184" s="25">
        <f>IF(ISNUMBER(AD1184+AE1184),AD1184+AE1184,"")</f>
        <v/>
      </c>
      <c r="AH1184" s="1">
        <f>A1184</f>
        <v/>
      </c>
      <c r="AI1184">
        <f>IF(ISNUMBER((1+V1184)*AI1183),(1+V1184)*AI1183,AI1183)</f>
        <v/>
      </c>
      <c r="AJ1184">
        <f>IF(ISNUMBER((1+Z1184)*AJ1183),(1+Z1184)*AJ1183,AJ1183)</f>
        <v/>
      </c>
    </row>
    <row r="1185">
      <c r="A1185" s="1" t="n">
        <v>43721</v>
      </c>
      <c r="B1185" s="3">
        <f>IF(ORIG!B1185=0,"",ORIG!B1185)</f>
        <v/>
      </c>
      <c r="C1185" s="3">
        <f>IF(ORIG!C1185=0,"",ORIG!C1185)</f>
        <v/>
      </c>
      <c r="D1185" s="3">
        <f>IF(ORIG!D1185=0,"",ORIG!D1185)</f>
        <v/>
      </c>
      <c r="E1185" s="3">
        <f>IF(ORIG!E1185=0,"",ORIG!E1185)</f>
        <v/>
      </c>
      <c r="F1185" s="3">
        <f>IF(ORIG!F1185=0,"",ORIG!F1185)</f>
        <v/>
      </c>
      <c r="G1185" s="3">
        <f>IF(ORIG!G1185=0,"",ORIG!G1185)</f>
        <v/>
      </c>
      <c r="H1185" s="3">
        <f>IF(ORIG!H1185=0,"",ORIG!H1185)</f>
        <v/>
      </c>
      <c r="I1185" s="3">
        <f>IF(ORIG!I1185=0,"",ORIG!I1185)</f>
        <v/>
      </c>
      <c r="J1185" s="3">
        <f>IF(ORIG!J1185=0,"",ORIG!J1185)</f>
        <v/>
      </c>
      <c r="K1185" s="3">
        <f>IF(ORIG!K1185=0,"",ORIG!K1185)</f>
        <v/>
      </c>
      <c r="L1185" s="3">
        <f>IF(ORIG!L1185=0,"",ORIG!L1185)</f>
        <v/>
      </c>
      <c r="M1185" s="3">
        <f>IF(ORIG!M1185=0,"",ORIG!M1185)</f>
        <v/>
      </c>
      <c r="N1185" s="3">
        <f>IF(ORIG!N1185=0,"",ORIG!N1185)</f>
        <v/>
      </c>
      <c r="O1185" s="3">
        <f>IF(ORIG!O1185=0,"",ORIG!O1185)</f>
        <v/>
      </c>
      <c r="P1185" s="3">
        <f>IF(ORIG!P1185=0,"",ORIG!P1185)</f>
        <v/>
      </c>
      <c r="Q1185" s="3">
        <f>IF(ORIG!Q1185=0,"",ORIG!Q1185)</f>
        <v/>
      </c>
      <c r="R1185" s="3">
        <f>IF(ORIG!R1185=0,"",ORIG!R1185)</f>
        <v/>
      </c>
      <c r="S1185" s="3">
        <f>IF(ORIG!S1185=0,"",ORIG!S1185)</f>
        <v/>
      </c>
      <c r="T1185" s="3">
        <f>IF(ORIG!T1185=0,"",ORIG!T1185)</f>
        <v/>
      </c>
      <c r="U1185" s="3">
        <f>IF(ORIG!U1185=0,"",ORIG!U1185)</f>
        <v/>
      </c>
      <c r="V1185" s="9">
        <f>IF(ORIG!V1185=0,"",ORIG!V1185)</f>
        <v/>
      </c>
      <c r="W1185" s="9">
        <f>IF(ORIG!W1185=0,"",ORIG!W1185)</f>
        <v/>
      </c>
      <c r="X1185" s="9">
        <f>IF(ORIG!X1185=0,"",ORIG!X1185)</f>
        <v/>
      </c>
      <c r="Y1185" s="9">
        <f>IF(ORIG!Y1185=0,"",ORIG!Y1185)</f>
        <v/>
      </c>
      <c r="Z1185" s="3">
        <f>SUMPRODUCT($B1185:$Y1185,$B$2649:$Y$2649)</f>
        <v/>
      </c>
      <c r="AA1185" s="3">
        <f>SUMPRODUCT($B1185:$Y1185,$B$2655:$Y$2655)</f>
        <v/>
      </c>
      <c r="AC1185" s="1">
        <f>A1185</f>
        <v/>
      </c>
      <c r="AD1185">
        <f>IF(ISNUMBER(V1185),V1185*($AB$1/V$2635),"")</f>
        <v/>
      </c>
      <c r="AE1185">
        <f>IF(ISNUMBER(Z1185),Z1185*($AB$1/Z$2635),"")</f>
        <v/>
      </c>
      <c r="AF1185" s="25">
        <f>IF(ISNUMBER(AD1185+AE1185),AD1185+AE1185,"")</f>
        <v/>
      </c>
      <c r="AH1185" s="1">
        <f>A1185</f>
        <v/>
      </c>
      <c r="AI1185">
        <f>IF(ISNUMBER((1+V1185)*AI1184),(1+V1185)*AI1184,AI1184)</f>
        <v/>
      </c>
      <c r="AJ1185">
        <f>IF(ISNUMBER((1+Z1185)*AJ1184),(1+Z1185)*AJ1184,AJ1184)</f>
        <v/>
      </c>
    </row>
    <row r="1186">
      <c r="A1186" s="1" t="n">
        <v>43724</v>
      </c>
      <c r="B1186" s="3">
        <f>IF(ORIG!B1186=0,"",ORIG!B1186)</f>
        <v/>
      </c>
      <c r="C1186" s="3">
        <f>IF(ORIG!C1186=0,"",ORIG!C1186)</f>
        <v/>
      </c>
      <c r="D1186" s="3">
        <f>IF(ORIG!D1186=0,"",ORIG!D1186)</f>
        <v/>
      </c>
      <c r="E1186" s="3">
        <f>IF(ORIG!E1186=0,"",ORIG!E1186)</f>
        <v/>
      </c>
      <c r="F1186" s="3">
        <f>IF(ORIG!F1186=0,"",ORIG!F1186)</f>
        <v/>
      </c>
      <c r="G1186" s="3">
        <f>IF(ORIG!G1186=0,"",ORIG!G1186)</f>
        <v/>
      </c>
      <c r="H1186" s="3">
        <f>IF(ORIG!H1186=0,"",ORIG!H1186)</f>
        <v/>
      </c>
      <c r="I1186" s="3">
        <f>IF(ORIG!I1186=0,"",ORIG!I1186)</f>
        <v/>
      </c>
      <c r="J1186" s="3">
        <f>IF(ORIG!J1186=0,"",ORIG!J1186)</f>
        <v/>
      </c>
      <c r="K1186" s="3">
        <f>IF(ORIG!K1186=0,"",ORIG!K1186)</f>
        <v/>
      </c>
      <c r="L1186" s="3">
        <f>IF(ORIG!L1186=0,"",ORIG!L1186)</f>
        <v/>
      </c>
      <c r="M1186" s="3">
        <f>IF(ORIG!M1186=0,"",ORIG!M1186)</f>
        <v/>
      </c>
      <c r="N1186" s="3">
        <f>IF(ORIG!N1186=0,"",ORIG!N1186)</f>
        <v/>
      </c>
      <c r="O1186" s="3">
        <f>IF(ORIG!O1186=0,"",ORIG!O1186)</f>
        <v/>
      </c>
      <c r="P1186" s="3">
        <f>IF(ORIG!P1186=0,"",ORIG!P1186)</f>
        <v/>
      </c>
      <c r="Q1186" s="3">
        <f>IF(ORIG!Q1186=0,"",ORIG!Q1186)</f>
        <v/>
      </c>
      <c r="R1186" s="3">
        <f>IF(ORIG!R1186=0,"",ORIG!R1186)</f>
        <v/>
      </c>
      <c r="S1186" s="3">
        <f>IF(ORIG!S1186=0,"",ORIG!S1186)</f>
        <v/>
      </c>
      <c r="T1186" s="3">
        <f>IF(ORIG!T1186=0,"",ORIG!T1186)</f>
        <v/>
      </c>
      <c r="U1186" s="3">
        <f>IF(ORIG!U1186=0,"",ORIG!U1186)</f>
        <v/>
      </c>
      <c r="V1186" s="9">
        <f>IF(ORIG!V1186=0,"",ORIG!V1186)</f>
        <v/>
      </c>
      <c r="W1186" s="9">
        <f>IF(ORIG!W1186=0,"",ORIG!W1186)</f>
        <v/>
      </c>
      <c r="X1186" s="9">
        <f>IF(ORIG!X1186=0,"",ORIG!X1186)</f>
        <v/>
      </c>
      <c r="Y1186" s="9">
        <f>IF(ORIG!Y1186=0,"",ORIG!Y1186)</f>
        <v/>
      </c>
      <c r="Z1186" s="3">
        <f>SUMPRODUCT($B1186:$Y1186,$B$2649:$Y$2649)</f>
        <v/>
      </c>
      <c r="AA1186" s="3">
        <f>SUMPRODUCT($B1186:$Y1186,$B$2655:$Y$2655)</f>
        <v/>
      </c>
      <c r="AC1186" s="1">
        <f>A1186</f>
        <v/>
      </c>
      <c r="AD1186">
        <f>IF(ISNUMBER(V1186),V1186*($AB$1/V$2635),"")</f>
        <v/>
      </c>
      <c r="AE1186">
        <f>IF(ISNUMBER(Z1186),Z1186*($AB$1/Z$2635),"")</f>
        <v/>
      </c>
      <c r="AF1186" s="25">
        <f>IF(ISNUMBER(AD1186+AE1186),AD1186+AE1186,"")</f>
        <v/>
      </c>
      <c r="AH1186" s="1">
        <f>A1186</f>
        <v/>
      </c>
      <c r="AI1186">
        <f>IF(ISNUMBER((1+V1186)*AI1185),(1+V1186)*AI1185,AI1185)</f>
        <v/>
      </c>
      <c r="AJ1186">
        <f>IF(ISNUMBER((1+Z1186)*AJ1185),(1+Z1186)*AJ1185,AJ1185)</f>
        <v/>
      </c>
    </row>
    <row r="1187">
      <c r="A1187" s="1" t="n">
        <v>43725</v>
      </c>
      <c r="B1187" s="3">
        <f>IF(ORIG!B1187=0,"",ORIG!B1187)</f>
        <v/>
      </c>
      <c r="C1187" s="3">
        <f>IF(ORIG!C1187=0,"",ORIG!C1187)</f>
        <v/>
      </c>
      <c r="D1187" s="3">
        <f>IF(ORIG!D1187=0,"",ORIG!D1187)</f>
        <v/>
      </c>
      <c r="E1187" s="3">
        <f>IF(ORIG!E1187=0,"",ORIG!E1187)</f>
        <v/>
      </c>
      <c r="F1187" s="3">
        <f>IF(ORIG!F1187=0,"",ORIG!F1187)</f>
        <v/>
      </c>
      <c r="G1187" s="3">
        <f>IF(ORIG!G1187=0,"",ORIG!G1187)</f>
        <v/>
      </c>
      <c r="H1187" s="3">
        <f>IF(ORIG!H1187=0,"",ORIG!H1187)</f>
        <v/>
      </c>
      <c r="I1187" s="3">
        <f>IF(ORIG!I1187=0,"",ORIG!I1187)</f>
        <v/>
      </c>
      <c r="J1187" s="3">
        <f>IF(ORIG!J1187=0,"",ORIG!J1187)</f>
        <v/>
      </c>
      <c r="K1187" s="3">
        <f>IF(ORIG!K1187=0,"",ORIG!K1187)</f>
        <v/>
      </c>
      <c r="L1187" s="3">
        <f>IF(ORIG!L1187=0,"",ORIG!L1187)</f>
        <v/>
      </c>
      <c r="M1187" s="3">
        <f>IF(ORIG!M1187=0,"",ORIG!M1187)</f>
        <v/>
      </c>
      <c r="N1187" s="3">
        <f>IF(ORIG!N1187=0,"",ORIG!N1187)</f>
        <v/>
      </c>
      <c r="O1187" s="3">
        <f>IF(ORIG!O1187=0,"",ORIG!O1187)</f>
        <v/>
      </c>
      <c r="P1187" s="3">
        <f>IF(ORIG!P1187=0,"",ORIG!P1187)</f>
        <v/>
      </c>
      <c r="Q1187" s="3">
        <f>IF(ORIG!Q1187=0,"",ORIG!Q1187)</f>
        <v/>
      </c>
      <c r="R1187" s="3">
        <f>IF(ORIG!R1187=0,"",ORIG!R1187)</f>
        <v/>
      </c>
      <c r="S1187" s="3">
        <f>IF(ORIG!S1187=0,"",ORIG!S1187)</f>
        <v/>
      </c>
      <c r="T1187" s="3">
        <f>IF(ORIG!T1187=0,"",ORIG!T1187)</f>
        <v/>
      </c>
      <c r="U1187" s="3">
        <f>IF(ORIG!U1187=0,"",ORIG!U1187)</f>
        <v/>
      </c>
      <c r="V1187" s="9">
        <f>IF(ORIG!V1187=0,"",ORIG!V1187)</f>
        <v/>
      </c>
      <c r="W1187" s="9">
        <f>IF(ORIG!W1187=0,"",ORIG!W1187)</f>
        <v/>
      </c>
      <c r="X1187" s="9">
        <f>IF(ORIG!X1187=0,"",ORIG!X1187)</f>
        <v/>
      </c>
      <c r="Y1187" s="9">
        <f>IF(ORIG!Y1187=0,"",ORIG!Y1187)</f>
        <v/>
      </c>
      <c r="Z1187" s="3">
        <f>SUMPRODUCT($B1187:$Y1187,$B$2649:$Y$2649)</f>
        <v/>
      </c>
      <c r="AA1187" s="3">
        <f>SUMPRODUCT($B1187:$Y1187,$B$2655:$Y$2655)</f>
        <v/>
      </c>
      <c r="AC1187" s="1">
        <f>A1187</f>
        <v/>
      </c>
      <c r="AD1187">
        <f>IF(ISNUMBER(V1187),V1187*($AB$1/V$2635),"")</f>
        <v/>
      </c>
      <c r="AE1187">
        <f>IF(ISNUMBER(Z1187),Z1187*($AB$1/Z$2635),"")</f>
        <v/>
      </c>
      <c r="AF1187" s="25">
        <f>IF(ISNUMBER(AD1187+AE1187),AD1187+AE1187,"")</f>
        <v/>
      </c>
      <c r="AH1187" s="1">
        <f>A1187</f>
        <v/>
      </c>
      <c r="AI1187">
        <f>IF(ISNUMBER((1+V1187)*AI1186),(1+V1187)*AI1186,AI1186)</f>
        <v/>
      </c>
      <c r="AJ1187">
        <f>IF(ISNUMBER((1+Z1187)*AJ1186),(1+Z1187)*AJ1186,AJ1186)</f>
        <v/>
      </c>
    </row>
    <row r="1188">
      <c r="A1188" s="1" t="n">
        <v>43726</v>
      </c>
      <c r="B1188" s="3">
        <f>IF(ORIG!B1188=0,"",ORIG!B1188)</f>
        <v/>
      </c>
      <c r="C1188" s="3">
        <f>IF(ORIG!C1188=0,"",ORIG!C1188)</f>
        <v/>
      </c>
      <c r="D1188" s="3">
        <f>IF(ORIG!D1188=0,"",ORIG!D1188)</f>
        <v/>
      </c>
      <c r="E1188" s="3">
        <f>IF(ORIG!E1188=0,"",ORIG!E1188)</f>
        <v/>
      </c>
      <c r="F1188" s="3">
        <f>IF(ORIG!F1188=0,"",ORIG!F1188)</f>
        <v/>
      </c>
      <c r="G1188" s="3">
        <f>IF(ORIG!G1188=0,"",ORIG!G1188)</f>
        <v/>
      </c>
      <c r="H1188" s="3">
        <f>IF(ORIG!H1188=0,"",ORIG!H1188)</f>
        <v/>
      </c>
      <c r="I1188" s="3">
        <f>IF(ORIG!I1188=0,"",ORIG!I1188)</f>
        <v/>
      </c>
      <c r="J1188" s="3">
        <f>IF(ORIG!J1188=0,"",ORIG!J1188)</f>
        <v/>
      </c>
      <c r="K1188" s="3">
        <f>IF(ORIG!K1188=0,"",ORIG!K1188)</f>
        <v/>
      </c>
      <c r="L1188" s="3">
        <f>IF(ORIG!L1188=0,"",ORIG!L1188)</f>
        <v/>
      </c>
      <c r="M1188" s="3">
        <f>IF(ORIG!M1188=0,"",ORIG!M1188)</f>
        <v/>
      </c>
      <c r="N1188" s="3">
        <f>IF(ORIG!N1188=0,"",ORIG!N1188)</f>
        <v/>
      </c>
      <c r="O1188" s="3">
        <f>IF(ORIG!O1188=0,"",ORIG!O1188)</f>
        <v/>
      </c>
      <c r="P1188" s="3">
        <f>IF(ORIG!P1188=0,"",ORIG!P1188)</f>
        <v/>
      </c>
      <c r="Q1188" s="3">
        <f>IF(ORIG!Q1188=0,"",ORIG!Q1188)</f>
        <v/>
      </c>
      <c r="R1188" s="3">
        <f>IF(ORIG!R1188=0,"",ORIG!R1188)</f>
        <v/>
      </c>
      <c r="S1188" s="3">
        <f>IF(ORIG!S1188=0,"",ORIG!S1188)</f>
        <v/>
      </c>
      <c r="T1188" s="3">
        <f>IF(ORIG!T1188=0,"",ORIG!T1188)</f>
        <v/>
      </c>
      <c r="U1188" s="3">
        <f>IF(ORIG!U1188=0,"",ORIG!U1188)</f>
        <v/>
      </c>
      <c r="V1188" s="9">
        <f>IF(ORIG!V1188=0,"",ORIG!V1188)</f>
        <v/>
      </c>
      <c r="W1188" s="9">
        <f>IF(ORIG!W1188=0,"",ORIG!W1188)</f>
        <v/>
      </c>
      <c r="X1188" s="9">
        <f>IF(ORIG!X1188=0,"",ORIG!X1188)</f>
        <v/>
      </c>
      <c r="Y1188" s="9">
        <f>IF(ORIG!Y1188=0,"",ORIG!Y1188)</f>
        <v/>
      </c>
      <c r="Z1188" s="3">
        <f>SUMPRODUCT($B1188:$Y1188,$B$2649:$Y$2649)</f>
        <v/>
      </c>
      <c r="AA1188" s="3">
        <f>SUMPRODUCT($B1188:$Y1188,$B$2655:$Y$2655)</f>
        <v/>
      </c>
      <c r="AC1188" s="1">
        <f>A1188</f>
        <v/>
      </c>
      <c r="AD1188">
        <f>IF(ISNUMBER(V1188),V1188*($AB$1/V$2635),"")</f>
        <v/>
      </c>
      <c r="AE1188">
        <f>IF(ISNUMBER(Z1188),Z1188*($AB$1/Z$2635),"")</f>
        <v/>
      </c>
      <c r="AF1188" s="25">
        <f>IF(ISNUMBER(AD1188+AE1188),AD1188+AE1188,"")</f>
        <v/>
      </c>
      <c r="AH1188" s="1">
        <f>A1188</f>
        <v/>
      </c>
      <c r="AI1188">
        <f>IF(ISNUMBER((1+V1188)*AI1187),(1+V1188)*AI1187,AI1187)</f>
        <v/>
      </c>
      <c r="AJ1188">
        <f>IF(ISNUMBER((1+Z1188)*AJ1187),(1+Z1188)*AJ1187,AJ1187)</f>
        <v/>
      </c>
    </row>
    <row r="1189">
      <c r="A1189" s="1" t="n">
        <v>43727</v>
      </c>
      <c r="B1189" s="3">
        <f>IF(ORIG!B1189=0,"",ORIG!B1189)</f>
        <v/>
      </c>
      <c r="C1189" s="3">
        <f>IF(ORIG!C1189=0,"",ORIG!C1189)</f>
        <v/>
      </c>
      <c r="D1189" s="3">
        <f>IF(ORIG!D1189=0,"",ORIG!D1189)</f>
        <v/>
      </c>
      <c r="E1189" s="3">
        <f>IF(ORIG!E1189=0,"",ORIG!E1189)</f>
        <v/>
      </c>
      <c r="F1189" s="3">
        <f>IF(ORIG!F1189=0,"",ORIG!F1189)</f>
        <v/>
      </c>
      <c r="G1189" s="3">
        <f>IF(ORIG!G1189=0,"",ORIG!G1189)</f>
        <v/>
      </c>
      <c r="H1189" s="3">
        <f>IF(ORIG!H1189=0,"",ORIG!H1189)</f>
        <v/>
      </c>
      <c r="I1189" s="3">
        <f>IF(ORIG!I1189=0,"",ORIG!I1189)</f>
        <v/>
      </c>
      <c r="J1189" s="3">
        <f>IF(ORIG!J1189=0,"",ORIG!J1189)</f>
        <v/>
      </c>
      <c r="K1189" s="3">
        <f>IF(ORIG!K1189=0,"",ORIG!K1189)</f>
        <v/>
      </c>
      <c r="L1189" s="3">
        <f>IF(ORIG!L1189=0,"",ORIG!L1189)</f>
        <v/>
      </c>
      <c r="M1189" s="3">
        <f>IF(ORIG!M1189=0,"",ORIG!M1189)</f>
        <v/>
      </c>
      <c r="N1189" s="3">
        <f>IF(ORIG!N1189=0,"",ORIG!N1189)</f>
        <v/>
      </c>
      <c r="O1189" s="3">
        <f>IF(ORIG!O1189=0,"",ORIG!O1189)</f>
        <v/>
      </c>
      <c r="P1189" s="3">
        <f>IF(ORIG!P1189=0,"",ORIG!P1189)</f>
        <v/>
      </c>
      <c r="Q1189" s="3">
        <f>IF(ORIG!Q1189=0,"",ORIG!Q1189)</f>
        <v/>
      </c>
      <c r="R1189" s="3">
        <f>IF(ORIG!R1189=0,"",ORIG!R1189)</f>
        <v/>
      </c>
      <c r="S1189" s="3">
        <f>IF(ORIG!S1189=0,"",ORIG!S1189)</f>
        <v/>
      </c>
      <c r="T1189" s="3">
        <f>IF(ORIG!T1189=0,"",ORIG!T1189)</f>
        <v/>
      </c>
      <c r="U1189" s="3">
        <f>IF(ORIG!U1189=0,"",ORIG!U1189)</f>
        <v/>
      </c>
      <c r="V1189" s="9">
        <f>IF(ORIG!V1189=0,"",ORIG!V1189)</f>
        <v/>
      </c>
      <c r="W1189" s="9">
        <f>IF(ORIG!W1189=0,"",ORIG!W1189)</f>
        <v/>
      </c>
      <c r="X1189" s="9">
        <f>IF(ORIG!X1189=0,"",ORIG!X1189)</f>
        <v/>
      </c>
      <c r="Y1189" s="9">
        <f>IF(ORIG!Y1189=0,"",ORIG!Y1189)</f>
        <v/>
      </c>
      <c r="Z1189" s="3">
        <f>SUMPRODUCT($B1189:$Y1189,$B$2649:$Y$2649)</f>
        <v/>
      </c>
      <c r="AA1189" s="3">
        <f>SUMPRODUCT($B1189:$Y1189,$B$2655:$Y$2655)</f>
        <v/>
      </c>
      <c r="AC1189" s="1">
        <f>A1189</f>
        <v/>
      </c>
      <c r="AD1189">
        <f>IF(ISNUMBER(V1189),V1189*($AB$1/V$2635),"")</f>
        <v/>
      </c>
      <c r="AE1189">
        <f>IF(ISNUMBER(Z1189),Z1189*($AB$1/Z$2635),"")</f>
        <v/>
      </c>
      <c r="AF1189" s="25">
        <f>IF(ISNUMBER(AD1189+AE1189),AD1189+AE1189,"")</f>
        <v/>
      </c>
      <c r="AH1189" s="1">
        <f>A1189</f>
        <v/>
      </c>
      <c r="AI1189">
        <f>IF(ISNUMBER((1+V1189)*AI1188),(1+V1189)*AI1188,AI1188)</f>
        <v/>
      </c>
      <c r="AJ1189">
        <f>IF(ISNUMBER((1+Z1189)*AJ1188),(1+Z1189)*AJ1188,AJ1188)</f>
        <v/>
      </c>
    </row>
    <row r="1190">
      <c r="A1190" s="1" t="n">
        <v>43728</v>
      </c>
      <c r="B1190" s="3">
        <f>IF(ORIG!B1190=0,"",ORIG!B1190)</f>
        <v/>
      </c>
      <c r="C1190" s="3">
        <f>IF(ORIG!C1190=0,"",ORIG!C1190)</f>
        <v/>
      </c>
      <c r="D1190" s="3">
        <f>IF(ORIG!D1190=0,"",ORIG!D1190)</f>
        <v/>
      </c>
      <c r="E1190" s="3">
        <f>IF(ORIG!E1190=0,"",ORIG!E1190)</f>
        <v/>
      </c>
      <c r="F1190" s="3">
        <f>IF(ORIG!F1190=0,"",ORIG!F1190)</f>
        <v/>
      </c>
      <c r="G1190" s="3">
        <f>IF(ORIG!G1190=0,"",ORIG!G1190)</f>
        <v/>
      </c>
      <c r="H1190" s="3">
        <f>IF(ORIG!H1190=0,"",ORIG!H1190)</f>
        <v/>
      </c>
      <c r="I1190" s="3">
        <f>IF(ORIG!I1190=0,"",ORIG!I1190)</f>
        <v/>
      </c>
      <c r="J1190" s="3">
        <f>IF(ORIG!J1190=0,"",ORIG!J1190)</f>
        <v/>
      </c>
      <c r="K1190" s="3">
        <f>IF(ORIG!K1190=0,"",ORIG!K1190)</f>
        <v/>
      </c>
      <c r="L1190" s="3">
        <f>IF(ORIG!L1190=0,"",ORIG!L1190)</f>
        <v/>
      </c>
      <c r="M1190" s="3">
        <f>IF(ORIG!M1190=0,"",ORIG!M1190)</f>
        <v/>
      </c>
      <c r="N1190" s="3">
        <f>IF(ORIG!N1190=0,"",ORIG!N1190)</f>
        <v/>
      </c>
      <c r="O1190" s="3">
        <f>IF(ORIG!O1190=0,"",ORIG!O1190)</f>
        <v/>
      </c>
      <c r="P1190" s="3">
        <f>IF(ORIG!P1190=0,"",ORIG!P1190)</f>
        <v/>
      </c>
      <c r="Q1190" s="3">
        <f>IF(ORIG!Q1190=0,"",ORIG!Q1190)</f>
        <v/>
      </c>
      <c r="R1190" s="3">
        <f>IF(ORIG!R1190=0,"",ORIG!R1190)</f>
        <v/>
      </c>
      <c r="S1190" s="3">
        <f>IF(ORIG!S1190=0,"",ORIG!S1190)</f>
        <v/>
      </c>
      <c r="T1190" s="3">
        <f>IF(ORIG!T1190=0,"",ORIG!T1190)</f>
        <v/>
      </c>
      <c r="U1190" s="3">
        <f>IF(ORIG!U1190=0,"",ORIG!U1190)</f>
        <v/>
      </c>
      <c r="V1190" s="9">
        <f>IF(ORIG!V1190=0,"",ORIG!V1190)</f>
        <v/>
      </c>
      <c r="W1190" s="9">
        <f>IF(ORIG!W1190=0,"",ORIG!W1190)</f>
        <v/>
      </c>
      <c r="X1190" s="9">
        <f>IF(ORIG!X1190=0,"",ORIG!X1190)</f>
        <v/>
      </c>
      <c r="Y1190" s="9">
        <f>IF(ORIG!Y1190=0,"",ORIG!Y1190)</f>
        <v/>
      </c>
      <c r="Z1190" s="3">
        <f>SUMPRODUCT($B1190:$Y1190,$B$2649:$Y$2649)</f>
        <v/>
      </c>
      <c r="AA1190" s="3">
        <f>SUMPRODUCT($B1190:$Y1190,$B$2655:$Y$2655)</f>
        <v/>
      </c>
      <c r="AC1190" s="1">
        <f>A1190</f>
        <v/>
      </c>
      <c r="AD1190">
        <f>IF(ISNUMBER(V1190),V1190*($AB$1/V$2635),"")</f>
        <v/>
      </c>
      <c r="AE1190">
        <f>IF(ISNUMBER(Z1190),Z1190*($AB$1/Z$2635),"")</f>
        <v/>
      </c>
      <c r="AF1190" s="25">
        <f>IF(ISNUMBER(AD1190+AE1190),AD1190+AE1190,"")</f>
        <v/>
      </c>
      <c r="AH1190" s="1">
        <f>A1190</f>
        <v/>
      </c>
      <c r="AI1190">
        <f>IF(ISNUMBER((1+V1190)*AI1189),(1+V1190)*AI1189,AI1189)</f>
        <v/>
      </c>
      <c r="AJ1190">
        <f>IF(ISNUMBER((1+Z1190)*AJ1189),(1+Z1190)*AJ1189,AJ1189)</f>
        <v/>
      </c>
    </row>
    <row r="1191">
      <c r="A1191" s="1" t="n">
        <v>43731</v>
      </c>
      <c r="B1191" s="3">
        <f>IF(ORIG!B1191=0,"",ORIG!B1191)</f>
        <v/>
      </c>
      <c r="C1191" s="3">
        <f>IF(ORIG!C1191=0,"",ORIG!C1191)</f>
        <v/>
      </c>
      <c r="D1191" s="3">
        <f>IF(ORIG!D1191=0,"",ORIG!D1191)</f>
        <v/>
      </c>
      <c r="E1191" s="3">
        <f>IF(ORIG!E1191=0,"",ORIG!E1191)</f>
        <v/>
      </c>
      <c r="F1191" s="3">
        <f>IF(ORIG!F1191=0,"",ORIG!F1191)</f>
        <v/>
      </c>
      <c r="G1191" s="3">
        <f>IF(ORIG!G1191=0,"",ORIG!G1191)</f>
        <v/>
      </c>
      <c r="H1191" s="3">
        <f>IF(ORIG!H1191=0,"",ORIG!H1191)</f>
        <v/>
      </c>
      <c r="I1191" s="3">
        <f>IF(ORIG!I1191=0,"",ORIG!I1191)</f>
        <v/>
      </c>
      <c r="J1191" s="3">
        <f>IF(ORIG!J1191=0,"",ORIG!J1191)</f>
        <v/>
      </c>
      <c r="K1191" s="3">
        <f>IF(ORIG!K1191=0,"",ORIG!K1191)</f>
        <v/>
      </c>
      <c r="L1191" s="3">
        <f>IF(ORIG!L1191=0,"",ORIG!L1191)</f>
        <v/>
      </c>
      <c r="M1191" s="3">
        <f>IF(ORIG!M1191=0,"",ORIG!M1191)</f>
        <v/>
      </c>
      <c r="N1191" s="3">
        <f>IF(ORIG!N1191=0,"",ORIG!N1191)</f>
        <v/>
      </c>
      <c r="O1191" s="3">
        <f>IF(ORIG!O1191=0,"",ORIG!O1191)</f>
        <v/>
      </c>
      <c r="P1191" s="3">
        <f>IF(ORIG!P1191=0,"",ORIG!P1191)</f>
        <v/>
      </c>
      <c r="Q1191" s="3">
        <f>IF(ORIG!Q1191=0,"",ORIG!Q1191)</f>
        <v/>
      </c>
      <c r="R1191" s="3">
        <f>IF(ORIG!R1191=0,"",ORIG!R1191)</f>
        <v/>
      </c>
      <c r="S1191" s="3">
        <f>IF(ORIG!S1191=0,"",ORIG!S1191)</f>
        <v/>
      </c>
      <c r="T1191" s="3">
        <f>IF(ORIG!T1191=0,"",ORIG!T1191)</f>
        <v/>
      </c>
      <c r="U1191" s="3">
        <f>IF(ORIG!U1191=0,"",ORIG!U1191)</f>
        <v/>
      </c>
      <c r="V1191" s="9">
        <f>IF(ORIG!V1191=0,"",ORIG!V1191)</f>
        <v/>
      </c>
      <c r="W1191" s="9">
        <f>IF(ORIG!W1191=0,"",ORIG!W1191)</f>
        <v/>
      </c>
      <c r="X1191" s="9">
        <f>IF(ORIG!X1191=0,"",ORIG!X1191)</f>
        <v/>
      </c>
      <c r="Y1191" s="9">
        <f>IF(ORIG!Y1191=0,"",ORIG!Y1191)</f>
        <v/>
      </c>
      <c r="Z1191" s="3">
        <f>SUMPRODUCT($B1191:$Y1191,$B$2649:$Y$2649)</f>
        <v/>
      </c>
      <c r="AA1191" s="3">
        <f>SUMPRODUCT($B1191:$Y1191,$B$2655:$Y$2655)</f>
        <v/>
      </c>
      <c r="AC1191" s="1">
        <f>A1191</f>
        <v/>
      </c>
      <c r="AD1191">
        <f>IF(ISNUMBER(V1191),V1191*($AB$1/V$2635),"")</f>
        <v/>
      </c>
      <c r="AE1191">
        <f>IF(ISNUMBER(Z1191),Z1191*($AB$1/Z$2635),"")</f>
        <v/>
      </c>
      <c r="AF1191" s="25">
        <f>IF(ISNUMBER(AD1191+AE1191),AD1191+AE1191,"")</f>
        <v/>
      </c>
      <c r="AH1191" s="1">
        <f>A1191</f>
        <v/>
      </c>
      <c r="AI1191">
        <f>IF(ISNUMBER((1+V1191)*AI1190),(1+V1191)*AI1190,AI1190)</f>
        <v/>
      </c>
      <c r="AJ1191">
        <f>IF(ISNUMBER((1+Z1191)*AJ1190),(1+Z1191)*AJ1190,AJ1190)</f>
        <v/>
      </c>
    </row>
    <row r="1192">
      <c r="A1192" s="1" t="n">
        <v>43732</v>
      </c>
      <c r="B1192" s="3">
        <f>IF(ORIG!B1192=0,"",ORIG!B1192)</f>
        <v/>
      </c>
      <c r="C1192" s="3">
        <f>IF(ORIG!C1192=0,"",ORIG!C1192)</f>
        <v/>
      </c>
      <c r="D1192" s="3">
        <f>IF(ORIG!D1192=0,"",ORIG!D1192)</f>
        <v/>
      </c>
      <c r="E1192" s="3">
        <f>IF(ORIG!E1192=0,"",ORIG!E1192)</f>
        <v/>
      </c>
      <c r="F1192" s="3">
        <f>IF(ORIG!F1192=0,"",ORIG!F1192)</f>
        <v/>
      </c>
      <c r="G1192" s="3">
        <f>IF(ORIG!G1192=0,"",ORIG!G1192)</f>
        <v/>
      </c>
      <c r="H1192" s="3">
        <f>IF(ORIG!H1192=0,"",ORIG!H1192)</f>
        <v/>
      </c>
      <c r="I1192" s="3">
        <f>IF(ORIG!I1192=0,"",ORIG!I1192)</f>
        <v/>
      </c>
      <c r="J1192" s="3">
        <f>IF(ORIG!J1192=0,"",ORIG!J1192)</f>
        <v/>
      </c>
      <c r="K1192" s="3">
        <f>IF(ORIG!K1192=0,"",ORIG!K1192)</f>
        <v/>
      </c>
      <c r="L1192" s="3">
        <f>IF(ORIG!L1192=0,"",ORIG!L1192)</f>
        <v/>
      </c>
      <c r="M1192" s="3">
        <f>IF(ORIG!M1192=0,"",ORIG!M1192)</f>
        <v/>
      </c>
      <c r="N1192" s="3">
        <f>IF(ORIG!N1192=0,"",ORIG!N1192)</f>
        <v/>
      </c>
      <c r="O1192" s="3">
        <f>IF(ORIG!O1192=0,"",ORIG!O1192)</f>
        <v/>
      </c>
      <c r="P1192" s="3">
        <f>IF(ORIG!P1192=0,"",ORIG!P1192)</f>
        <v/>
      </c>
      <c r="Q1192" s="3">
        <f>IF(ORIG!Q1192=0,"",ORIG!Q1192)</f>
        <v/>
      </c>
      <c r="R1192" s="3">
        <f>IF(ORIG!R1192=0,"",ORIG!R1192)</f>
        <v/>
      </c>
      <c r="S1192" s="3">
        <f>IF(ORIG!S1192=0,"",ORIG!S1192)</f>
        <v/>
      </c>
      <c r="T1192" s="3">
        <f>IF(ORIG!T1192=0,"",ORIG!T1192)</f>
        <v/>
      </c>
      <c r="U1192" s="3">
        <f>IF(ORIG!U1192=0,"",ORIG!U1192)</f>
        <v/>
      </c>
      <c r="V1192" s="9">
        <f>IF(ORIG!V1192=0,"",ORIG!V1192)</f>
        <v/>
      </c>
      <c r="W1192" s="9">
        <f>IF(ORIG!W1192=0,"",ORIG!W1192)</f>
        <v/>
      </c>
      <c r="X1192" s="9">
        <f>IF(ORIG!X1192=0,"",ORIG!X1192)</f>
        <v/>
      </c>
      <c r="Y1192" s="9">
        <f>IF(ORIG!Y1192=0,"",ORIG!Y1192)</f>
        <v/>
      </c>
      <c r="Z1192" s="3">
        <f>SUMPRODUCT($B1192:$Y1192,$B$2649:$Y$2649)</f>
        <v/>
      </c>
      <c r="AA1192" s="3">
        <f>SUMPRODUCT($B1192:$Y1192,$B$2655:$Y$2655)</f>
        <v/>
      </c>
      <c r="AC1192" s="1">
        <f>A1192</f>
        <v/>
      </c>
      <c r="AD1192">
        <f>IF(ISNUMBER(V1192),V1192*($AB$1/V$2635),"")</f>
        <v/>
      </c>
      <c r="AE1192">
        <f>IF(ISNUMBER(Z1192),Z1192*($AB$1/Z$2635),"")</f>
        <v/>
      </c>
      <c r="AF1192" s="25">
        <f>IF(ISNUMBER(AD1192+AE1192),AD1192+AE1192,"")</f>
        <v/>
      </c>
      <c r="AH1192" s="1">
        <f>A1192</f>
        <v/>
      </c>
      <c r="AI1192">
        <f>IF(ISNUMBER((1+V1192)*AI1191),(1+V1192)*AI1191,AI1191)</f>
        <v/>
      </c>
      <c r="AJ1192">
        <f>IF(ISNUMBER((1+Z1192)*AJ1191),(1+Z1192)*AJ1191,AJ1191)</f>
        <v/>
      </c>
    </row>
    <row r="1193">
      <c r="A1193" s="1" t="n">
        <v>43733</v>
      </c>
      <c r="B1193" s="3">
        <f>IF(ORIG!B1193=0,"",ORIG!B1193)</f>
        <v/>
      </c>
      <c r="C1193" s="3">
        <f>IF(ORIG!C1193=0,"",ORIG!C1193)</f>
        <v/>
      </c>
      <c r="D1193" s="3">
        <f>IF(ORIG!D1193=0,"",ORIG!D1193)</f>
        <v/>
      </c>
      <c r="E1193" s="3">
        <f>IF(ORIG!E1193=0,"",ORIG!E1193)</f>
        <v/>
      </c>
      <c r="F1193" s="3">
        <f>IF(ORIG!F1193=0,"",ORIG!F1193)</f>
        <v/>
      </c>
      <c r="G1193" s="3">
        <f>IF(ORIG!G1193=0,"",ORIG!G1193)</f>
        <v/>
      </c>
      <c r="H1193" s="3">
        <f>IF(ORIG!H1193=0,"",ORIG!H1193)</f>
        <v/>
      </c>
      <c r="I1193" s="3">
        <f>IF(ORIG!I1193=0,"",ORIG!I1193)</f>
        <v/>
      </c>
      <c r="J1193" s="3">
        <f>IF(ORIG!J1193=0,"",ORIG!J1193)</f>
        <v/>
      </c>
      <c r="K1193" s="3">
        <f>IF(ORIG!K1193=0,"",ORIG!K1193)</f>
        <v/>
      </c>
      <c r="L1193" s="3">
        <f>IF(ORIG!L1193=0,"",ORIG!L1193)</f>
        <v/>
      </c>
      <c r="M1193" s="3">
        <f>IF(ORIG!M1193=0,"",ORIG!M1193)</f>
        <v/>
      </c>
      <c r="N1193" s="3">
        <f>IF(ORIG!N1193=0,"",ORIG!N1193)</f>
        <v/>
      </c>
      <c r="O1193" s="3">
        <f>IF(ORIG!O1193=0,"",ORIG!O1193)</f>
        <v/>
      </c>
      <c r="P1193" s="3">
        <f>IF(ORIG!P1193=0,"",ORIG!P1193)</f>
        <v/>
      </c>
      <c r="Q1193" s="3">
        <f>IF(ORIG!Q1193=0,"",ORIG!Q1193)</f>
        <v/>
      </c>
      <c r="R1193" s="3">
        <f>IF(ORIG!R1193=0,"",ORIG!R1193)</f>
        <v/>
      </c>
      <c r="S1193" s="3">
        <f>IF(ORIG!S1193=0,"",ORIG!S1193)</f>
        <v/>
      </c>
      <c r="T1193" s="3">
        <f>IF(ORIG!T1193=0,"",ORIG!T1193)</f>
        <v/>
      </c>
      <c r="U1193" s="3">
        <f>IF(ORIG!U1193=0,"",ORIG!U1193)</f>
        <v/>
      </c>
      <c r="V1193" s="9">
        <f>IF(ORIG!V1193=0,"",ORIG!V1193)</f>
        <v/>
      </c>
      <c r="W1193" s="9">
        <f>IF(ORIG!W1193=0,"",ORIG!W1193)</f>
        <v/>
      </c>
      <c r="X1193" s="9">
        <f>IF(ORIG!X1193=0,"",ORIG!X1193)</f>
        <v/>
      </c>
      <c r="Y1193" s="9">
        <f>IF(ORIG!Y1193=0,"",ORIG!Y1193)</f>
        <v/>
      </c>
      <c r="Z1193" s="3">
        <f>SUMPRODUCT($B1193:$Y1193,$B$2649:$Y$2649)</f>
        <v/>
      </c>
      <c r="AA1193" s="3">
        <f>SUMPRODUCT($B1193:$Y1193,$B$2655:$Y$2655)</f>
        <v/>
      </c>
      <c r="AC1193" s="1">
        <f>A1193</f>
        <v/>
      </c>
      <c r="AD1193">
        <f>IF(ISNUMBER(V1193),V1193*($AB$1/V$2635),"")</f>
        <v/>
      </c>
      <c r="AE1193">
        <f>IF(ISNUMBER(Z1193),Z1193*($AB$1/Z$2635),"")</f>
        <v/>
      </c>
      <c r="AF1193" s="25">
        <f>IF(ISNUMBER(AD1193+AE1193),AD1193+AE1193,"")</f>
        <v/>
      </c>
      <c r="AH1193" s="1">
        <f>A1193</f>
        <v/>
      </c>
      <c r="AI1193">
        <f>IF(ISNUMBER((1+V1193)*AI1192),(1+V1193)*AI1192,AI1192)</f>
        <v/>
      </c>
      <c r="AJ1193">
        <f>IF(ISNUMBER((1+Z1193)*AJ1192),(1+Z1193)*AJ1192,AJ1192)</f>
        <v/>
      </c>
    </row>
    <row r="1194">
      <c r="A1194" s="1" t="n">
        <v>43734</v>
      </c>
      <c r="B1194" s="3">
        <f>IF(ORIG!B1194=0,"",ORIG!B1194)</f>
        <v/>
      </c>
      <c r="C1194" s="3">
        <f>IF(ORIG!C1194=0,"",ORIG!C1194)</f>
        <v/>
      </c>
      <c r="D1194" s="3">
        <f>IF(ORIG!D1194=0,"",ORIG!D1194)</f>
        <v/>
      </c>
      <c r="E1194" s="3">
        <f>IF(ORIG!E1194=0,"",ORIG!E1194)</f>
        <v/>
      </c>
      <c r="F1194" s="3">
        <f>IF(ORIG!F1194=0,"",ORIG!F1194)</f>
        <v/>
      </c>
      <c r="G1194" s="3">
        <f>IF(ORIG!G1194=0,"",ORIG!G1194)</f>
        <v/>
      </c>
      <c r="H1194" s="3">
        <f>IF(ORIG!H1194=0,"",ORIG!H1194)</f>
        <v/>
      </c>
      <c r="I1194" s="3">
        <f>IF(ORIG!I1194=0,"",ORIG!I1194)</f>
        <v/>
      </c>
      <c r="J1194" s="3">
        <f>IF(ORIG!J1194=0,"",ORIG!J1194)</f>
        <v/>
      </c>
      <c r="K1194" s="3">
        <f>IF(ORIG!K1194=0,"",ORIG!K1194)</f>
        <v/>
      </c>
      <c r="L1194" s="3">
        <f>IF(ORIG!L1194=0,"",ORIG!L1194)</f>
        <v/>
      </c>
      <c r="M1194" s="3">
        <f>IF(ORIG!M1194=0,"",ORIG!M1194)</f>
        <v/>
      </c>
      <c r="N1194" s="3">
        <f>IF(ORIG!N1194=0,"",ORIG!N1194)</f>
        <v/>
      </c>
      <c r="O1194" s="3">
        <f>IF(ORIG!O1194=0,"",ORIG!O1194)</f>
        <v/>
      </c>
      <c r="P1194" s="3">
        <f>IF(ORIG!P1194=0,"",ORIG!P1194)</f>
        <v/>
      </c>
      <c r="Q1194" s="3">
        <f>IF(ORIG!Q1194=0,"",ORIG!Q1194)</f>
        <v/>
      </c>
      <c r="R1194" s="3">
        <f>IF(ORIG!R1194=0,"",ORIG!R1194)</f>
        <v/>
      </c>
      <c r="S1194" s="3">
        <f>IF(ORIG!S1194=0,"",ORIG!S1194)</f>
        <v/>
      </c>
      <c r="T1194" s="3">
        <f>IF(ORIG!T1194=0,"",ORIG!T1194)</f>
        <v/>
      </c>
      <c r="U1194" s="3">
        <f>IF(ORIG!U1194=0,"",ORIG!U1194)</f>
        <v/>
      </c>
      <c r="V1194" s="9">
        <f>IF(ORIG!V1194=0,"",ORIG!V1194)</f>
        <v/>
      </c>
      <c r="W1194" s="9">
        <f>IF(ORIG!W1194=0,"",ORIG!W1194)</f>
        <v/>
      </c>
      <c r="X1194" s="9">
        <f>IF(ORIG!X1194=0,"",ORIG!X1194)</f>
        <v/>
      </c>
      <c r="Y1194" s="9">
        <f>IF(ORIG!Y1194=0,"",ORIG!Y1194)</f>
        <v/>
      </c>
      <c r="Z1194" s="3">
        <f>SUMPRODUCT($B1194:$Y1194,$B$2649:$Y$2649)</f>
        <v/>
      </c>
      <c r="AA1194" s="3">
        <f>SUMPRODUCT($B1194:$Y1194,$B$2655:$Y$2655)</f>
        <v/>
      </c>
      <c r="AC1194" s="1">
        <f>A1194</f>
        <v/>
      </c>
      <c r="AD1194">
        <f>IF(ISNUMBER(V1194),V1194*($AB$1/V$2635),"")</f>
        <v/>
      </c>
      <c r="AE1194">
        <f>IF(ISNUMBER(Z1194),Z1194*($AB$1/Z$2635),"")</f>
        <v/>
      </c>
      <c r="AF1194" s="25">
        <f>IF(ISNUMBER(AD1194+AE1194),AD1194+AE1194,"")</f>
        <v/>
      </c>
      <c r="AH1194" s="1">
        <f>A1194</f>
        <v/>
      </c>
      <c r="AI1194">
        <f>IF(ISNUMBER((1+V1194)*AI1193),(1+V1194)*AI1193,AI1193)</f>
        <v/>
      </c>
      <c r="AJ1194">
        <f>IF(ISNUMBER((1+Z1194)*AJ1193),(1+Z1194)*AJ1193,AJ1193)</f>
        <v/>
      </c>
    </row>
    <row r="1195">
      <c r="A1195" s="1" t="n">
        <v>43735</v>
      </c>
      <c r="B1195" s="3">
        <f>IF(ORIG!B1195=0,"",ORIG!B1195)</f>
        <v/>
      </c>
      <c r="C1195" s="3">
        <f>IF(ORIG!C1195=0,"",ORIG!C1195)</f>
        <v/>
      </c>
      <c r="D1195" s="3">
        <f>IF(ORIG!D1195=0,"",ORIG!D1195)</f>
        <v/>
      </c>
      <c r="E1195" s="3">
        <f>IF(ORIG!E1195=0,"",ORIG!E1195)</f>
        <v/>
      </c>
      <c r="F1195" s="3">
        <f>IF(ORIG!F1195=0,"",ORIG!F1195)</f>
        <v/>
      </c>
      <c r="G1195" s="3">
        <f>IF(ORIG!G1195=0,"",ORIG!G1195)</f>
        <v/>
      </c>
      <c r="H1195" s="3">
        <f>IF(ORIG!H1195=0,"",ORIG!H1195)</f>
        <v/>
      </c>
      <c r="I1195" s="3">
        <f>IF(ORIG!I1195=0,"",ORIG!I1195)</f>
        <v/>
      </c>
      <c r="J1195" s="3">
        <f>IF(ORIG!J1195=0,"",ORIG!J1195)</f>
        <v/>
      </c>
      <c r="K1195" s="3">
        <f>IF(ORIG!K1195=0,"",ORIG!K1195)</f>
        <v/>
      </c>
      <c r="L1195" s="3">
        <f>IF(ORIG!L1195=0,"",ORIG!L1195)</f>
        <v/>
      </c>
      <c r="M1195" s="3">
        <f>IF(ORIG!M1195=0,"",ORIG!M1195)</f>
        <v/>
      </c>
      <c r="N1195" s="3">
        <f>IF(ORIG!N1195=0,"",ORIG!N1195)</f>
        <v/>
      </c>
      <c r="O1195" s="3">
        <f>IF(ORIG!O1195=0,"",ORIG!O1195)</f>
        <v/>
      </c>
      <c r="P1195" s="3">
        <f>IF(ORIG!P1195=0,"",ORIG!P1195)</f>
        <v/>
      </c>
      <c r="Q1195" s="3">
        <f>IF(ORIG!Q1195=0,"",ORIG!Q1195)</f>
        <v/>
      </c>
      <c r="R1195" s="3">
        <f>IF(ORIG!R1195=0,"",ORIG!R1195)</f>
        <v/>
      </c>
      <c r="S1195" s="3">
        <f>IF(ORIG!S1195=0,"",ORIG!S1195)</f>
        <v/>
      </c>
      <c r="T1195" s="3">
        <f>IF(ORIG!T1195=0,"",ORIG!T1195)</f>
        <v/>
      </c>
      <c r="U1195" s="3">
        <f>IF(ORIG!U1195=0,"",ORIG!U1195)</f>
        <v/>
      </c>
      <c r="V1195" s="9">
        <f>IF(ORIG!V1195=0,"",ORIG!V1195)</f>
        <v/>
      </c>
      <c r="W1195" s="9">
        <f>IF(ORIG!W1195=0,"",ORIG!W1195)</f>
        <v/>
      </c>
      <c r="X1195" s="9">
        <f>IF(ORIG!X1195=0,"",ORIG!X1195)</f>
        <v/>
      </c>
      <c r="Y1195" s="9">
        <f>IF(ORIG!Y1195=0,"",ORIG!Y1195)</f>
        <v/>
      </c>
      <c r="Z1195" s="3">
        <f>SUMPRODUCT($B1195:$Y1195,$B$2649:$Y$2649)</f>
        <v/>
      </c>
      <c r="AA1195" s="3">
        <f>SUMPRODUCT($B1195:$Y1195,$B$2655:$Y$2655)</f>
        <v/>
      </c>
      <c r="AC1195" s="1">
        <f>A1195</f>
        <v/>
      </c>
      <c r="AD1195">
        <f>IF(ISNUMBER(V1195),V1195*($AB$1/V$2635),"")</f>
        <v/>
      </c>
      <c r="AE1195">
        <f>IF(ISNUMBER(Z1195),Z1195*($AB$1/Z$2635),"")</f>
        <v/>
      </c>
      <c r="AF1195" s="25">
        <f>IF(ISNUMBER(AD1195+AE1195),AD1195+AE1195,"")</f>
        <v/>
      </c>
      <c r="AH1195" s="1">
        <f>A1195</f>
        <v/>
      </c>
      <c r="AI1195">
        <f>IF(ISNUMBER((1+V1195)*AI1194),(1+V1195)*AI1194,AI1194)</f>
        <v/>
      </c>
      <c r="AJ1195">
        <f>IF(ISNUMBER((1+Z1195)*AJ1194),(1+Z1195)*AJ1194,AJ1194)</f>
        <v/>
      </c>
    </row>
    <row r="1196">
      <c r="A1196" s="1" t="n">
        <v>43738</v>
      </c>
      <c r="B1196" s="3">
        <f>IF(ORIG!B1196=0,"",ORIG!B1196)</f>
        <v/>
      </c>
      <c r="C1196" s="3">
        <f>IF(ORIG!C1196=0,"",ORIG!C1196)</f>
        <v/>
      </c>
      <c r="D1196" s="3">
        <f>IF(ORIG!D1196=0,"",ORIG!D1196)</f>
        <v/>
      </c>
      <c r="E1196" s="3">
        <f>IF(ORIG!E1196=0,"",ORIG!E1196)</f>
        <v/>
      </c>
      <c r="F1196" s="3">
        <f>IF(ORIG!F1196=0,"",ORIG!F1196)</f>
        <v/>
      </c>
      <c r="G1196" s="3">
        <f>IF(ORIG!G1196=0,"",ORIG!G1196)</f>
        <v/>
      </c>
      <c r="H1196" s="3">
        <f>IF(ORIG!H1196=0,"",ORIG!H1196)</f>
        <v/>
      </c>
      <c r="I1196" s="3">
        <f>IF(ORIG!I1196=0,"",ORIG!I1196)</f>
        <v/>
      </c>
      <c r="J1196" s="3">
        <f>IF(ORIG!J1196=0,"",ORIG!J1196)</f>
        <v/>
      </c>
      <c r="K1196" s="3">
        <f>IF(ORIG!K1196=0,"",ORIG!K1196)</f>
        <v/>
      </c>
      <c r="L1196" s="3">
        <f>IF(ORIG!L1196=0,"",ORIG!L1196)</f>
        <v/>
      </c>
      <c r="M1196" s="3">
        <f>IF(ORIG!M1196=0,"",ORIG!M1196)</f>
        <v/>
      </c>
      <c r="N1196" s="3">
        <f>IF(ORIG!N1196=0,"",ORIG!N1196)</f>
        <v/>
      </c>
      <c r="O1196" s="3">
        <f>IF(ORIG!O1196=0,"",ORIG!O1196)</f>
        <v/>
      </c>
      <c r="P1196" s="3">
        <f>IF(ORIG!P1196=0,"",ORIG!P1196)</f>
        <v/>
      </c>
      <c r="Q1196" s="3">
        <f>IF(ORIG!Q1196=0,"",ORIG!Q1196)</f>
        <v/>
      </c>
      <c r="R1196" s="3">
        <f>IF(ORIG!R1196=0,"",ORIG!R1196)</f>
        <v/>
      </c>
      <c r="S1196" s="3">
        <f>IF(ORIG!S1196=0,"",ORIG!S1196)</f>
        <v/>
      </c>
      <c r="T1196" s="3">
        <f>IF(ORIG!T1196=0,"",ORIG!T1196)</f>
        <v/>
      </c>
      <c r="U1196" s="3">
        <f>IF(ORIG!U1196=0,"",ORIG!U1196)</f>
        <v/>
      </c>
      <c r="V1196" s="9">
        <f>IF(ORIG!V1196=0,"",ORIG!V1196)</f>
        <v/>
      </c>
      <c r="W1196" s="9">
        <f>IF(ORIG!W1196=0,"",ORIG!W1196)</f>
        <v/>
      </c>
      <c r="X1196" s="9">
        <f>IF(ORIG!X1196=0,"",ORIG!X1196)</f>
        <v/>
      </c>
      <c r="Y1196" s="9">
        <f>IF(ORIG!Y1196=0,"",ORIG!Y1196)</f>
        <v/>
      </c>
      <c r="Z1196" s="3">
        <f>SUMPRODUCT($B1196:$Y1196,$B$2649:$Y$2649)</f>
        <v/>
      </c>
      <c r="AA1196" s="3">
        <f>SUMPRODUCT($B1196:$Y1196,$B$2655:$Y$2655)</f>
        <v/>
      </c>
      <c r="AC1196" s="1">
        <f>A1196</f>
        <v/>
      </c>
      <c r="AD1196">
        <f>IF(ISNUMBER(V1196),V1196*($AB$1/V$2635),"")</f>
        <v/>
      </c>
      <c r="AE1196">
        <f>IF(ISNUMBER(Z1196),Z1196*($AB$1/Z$2635),"")</f>
        <v/>
      </c>
      <c r="AF1196" s="25">
        <f>IF(ISNUMBER(AD1196+AE1196),AD1196+AE1196,"")</f>
        <v/>
      </c>
      <c r="AH1196" s="1">
        <f>A1196</f>
        <v/>
      </c>
      <c r="AI1196">
        <f>IF(ISNUMBER((1+V1196)*AI1195),(1+V1196)*AI1195,AI1195)</f>
        <v/>
      </c>
      <c r="AJ1196">
        <f>IF(ISNUMBER((1+Z1196)*AJ1195),(1+Z1196)*AJ1195,AJ1195)</f>
        <v/>
      </c>
    </row>
    <row r="1197">
      <c r="A1197" s="1" t="n">
        <v>43739</v>
      </c>
      <c r="B1197" s="3">
        <f>IF(ORIG!B1197=0,"",ORIG!B1197)</f>
        <v/>
      </c>
      <c r="C1197" s="3">
        <f>IF(ORIG!C1197=0,"",ORIG!C1197)</f>
        <v/>
      </c>
      <c r="D1197" s="3">
        <f>IF(ORIG!D1197=0,"",ORIG!D1197)</f>
        <v/>
      </c>
      <c r="E1197" s="3">
        <f>IF(ORIG!E1197=0,"",ORIG!E1197)</f>
        <v/>
      </c>
      <c r="F1197" s="3">
        <f>IF(ORIG!F1197=0,"",ORIG!F1197)</f>
        <v/>
      </c>
      <c r="G1197" s="3">
        <f>IF(ORIG!G1197=0,"",ORIG!G1197)</f>
        <v/>
      </c>
      <c r="H1197" s="3">
        <f>IF(ORIG!H1197=0,"",ORIG!H1197)</f>
        <v/>
      </c>
      <c r="I1197" s="3">
        <f>IF(ORIG!I1197=0,"",ORIG!I1197)</f>
        <v/>
      </c>
      <c r="J1197" s="3">
        <f>IF(ORIG!J1197=0,"",ORIG!J1197)</f>
        <v/>
      </c>
      <c r="K1197" s="3">
        <f>IF(ORIG!K1197=0,"",ORIG!K1197)</f>
        <v/>
      </c>
      <c r="L1197" s="3">
        <f>IF(ORIG!L1197=0,"",ORIG!L1197)</f>
        <v/>
      </c>
      <c r="M1197" s="3">
        <f>IF(ORIG!M1197=0,"",ORIG!M1197)</f>
        <v/>
      </c>
      <c r="N1197" s="3">
        <f>IF(ORIG!N1197=0,"",ORIG!N1197)</f>
        <v/>
      </c>
      <c r="O1197" s="3">
        <f>IF(ORIG!O1197=0,"",ORIG!O1197)</f>
        <v/>
      </c>
      <c r="P1197" s="3">
        <f>IF(ORIG!P1197=0,"",ORIG!P1197)</f>
        <v/>
      </c>
      <c r="Q1197" s="3">
        <f>IF(ORIG!Q1197=0,"",ORIG!Q1197)</f>
        <v/>
      </c>
      <c r="R1197" s="3">
        <f>IF(ORIG!R1197=0,"",ORIG!R1197)</f>
        <v/>
      </c>
      <c r="S1197" s="3">
        <f>IF(ORIG!S1197=0,"",ORIG!S1197)</f>
        <v/>
      </c>
      <c r="T1197" s="3">
        <f>IF(ORIG!T1197=0,"",ORIG!T1197)</f>
        <v/>
      </c>
      <c r="U1197" s="3">
        <f>IF(ORIG!U1197=0,"",ORIG!U1197)</f>
        <v/>
      </c>
      <c r="V1197" s="9">
        <f>IF(ORIG!V1197=0,"",ORIG!V1197)</f>
        <v/>
      </c>
      <c r="W1197" s="9">
        <f>IF(ORIG!W1197=0,"",ORIG!W1197)</f>
        <v/>
      </c>
      <c r="X1197" s="9">
        <f>IF(ORIG!X1197=0,"",ORIG!X1197)</f>
        <v/>
      </c>
      <c r="Y1197" s="9">
        <f>IF(ORIG!Y1197=0,"",ORIG!Y1197)</f>
        <v/>
      </c>
      <c r="Z1197" s="3">
        <f>SUMPRODUCT($B1197:$Y1197,$B$2649:$Y$2649)</f>
        <v/>
      </c>
      <c r="AA1197" s="3">
        <f>SUMPRODUCT($B1197:$Y1197,$B$2655:$Y$2655)</f>
        <v/>
      </c>
      <c r="AC1197" s="1">
        <f>A1197</f>
        <v/>
      </c>
      <c r="AD1197">
        <f>IF(ISNUMBER(V1197),V1197*($AB$1/V$2635),"")</f>
        <v/>
      </c>
      <c r="AE1197">
        <f>IF(ISNUMBER(Z1197),Z1197*($AB$1/Z$2635),"")</f>
        <v/>
      </c>
      <c r="AF1197" s="25">
        <f>IF(ISNUMBER(AD1197+AE1197),AD1197+AE1197,"")</f>
        <v/>
      </c>
      <c r="AH1197" s="1">
        <f>A1197</f>
        <v/>
      </c>
      <c r="AI1197">
        <f>IF(ISNUMBER((1+V1197)*AI1196),(1+V1197)*AI1196,AI1196)</f>
        <v/>
      </c>
      <c r="AJ1197">
        <f>IF(ISNUMBER((1+Z1197)*AJ1196),(1+Z1197)*AJ1196,AJ1196)</f>
        <v/>
      </c>
    </row>
    <row r="1198">
      <c r="A1198" s="1" t="n">
        <v>43740</v>
      </c>
      <c r="B1198" s="3">
        <f>IF(ORIG!B1198=0,"",ORIG!B1198)</f>
        <v/>
      </c>
      <c r="C1198" s="3">
        <f>IF(ORIG!C1198=0,"",ORIG!C1198)</f>
        <v/>
      </c>
      <c r="D1198" s="3">
        <f>IF(ORIG!D1198=0,"",ORIG!D1198)</f>
        <v/>
      </c>
      <c r="E1198" s="3">
        <f>IF(ORIG!E1198=0,"",ORIG!E1198)</f>
        <v/>
      </c>
      <c r="F1198" s="3">
        <f>IF(ORIG!F1198=0,"",ORIG!F1198)</f>
        <v/>
      </c>
      <c r="G1198" s="3">
        <f>IF(ORIG!G1198=0,"",ORIG!G1198)</f>
        <v/>
      </c>
      <c r="H1198" s="3">
        <f>IF(ORIG!H1198=0,"",ORIG!H1198)</f>
        <v/>
      </c>
      <c r="I1198" s="3">
        <f>IF(ORIG!I1198=0,"",ORIG!I1198)</f>
        <v/>
      </c>
      <c r="J1198" s="3">
        <f>IF(ORIG!J1198=0,"",ORIG!J1198)</f>
        <v/>
      </c>
      <c r="K1198" s="3">
        <f>IF(ORIG!K1198=0,"",ORIG!K1198)</f>
        <v/>
      </c>
      <c r="L1198" s="3">
        <f>IF(ORIG!L1198=0,"",ORIG!L1198)</f>
        <v/>
      </c>
      <c r="M1198" s="3">
        <f>IF(ORIG!M1198=0,"",ORIG!M1198)</f>
        <v/>
      </c>
      <c r="N1198" s="3">
        <f>IF(ORIG!N1198=0,"",ORIG!N1198)</f>
        <v/>
      </c>
      <c r="O1198" s="3">
        <f>IF(ORIG!O1198=0,"",ORIG!O1198)</f>
        <v/>
      </c>
      <c r="P1198" s="3">
        <f>IF(ORIG!P1198=0,"",ORIG!P1198)</f>
        <v/>
      </c>
      <c r="Q1198" s="3">
        <f>IF(ORIG!Q1198=0,"",ORIG!Q1198)</f>
        <v/>
      </c>
      <c r="R1198" s="3">
        <f>IF(ORIG!R1198=0,"",ORIG!R1198)</f>
        <v/>
      </c>
      <c r="S1198" s="3">
        <f>IF(ORIG!S1198=0,"",ORIG!S1198)</f>
        <v/>
      </c>
      <c r="T1198" s="3">
        <f>IF(ORIG!T1198=0,"",ORIG!T1198)</f>
        <v/>
      </c>
      <c r="U1198" s="3">
        <f>IF(ORIG!U1198=0,"",ORIG!U1198)</f>
        <v/>
      </c>
      <c r="V1198" s="9">
        <f>IF(ORIG!V1198=0,"",ORIG!V1198)</f>
        <v/>
      </c>
      <c r="W1198" s="9">
        <f>IF(ORIG!W1198=0,"",ORIG!W1198)</f>
        <v/>
      </c>
      <c r="X1198" s="9">
        <f>IF(ORIG!X1198=0,"",ORIG!X1198)</f>
        <v/>
      </c>
      <c r="Y1198" s="9">
        <f>IF(ORIG!Y1198=0,"",ORIG!Y1198)</f>
        <v/>
      </c>
      <c r="Z1198" s="3">
        <f>SUMPRODUCT($B1198:$Y1198,$B$2649:$Y$2649)</f>
        <v/>
      </c>
      <c r="AA1198" s="3">
        <f>SUMPRODUCT($B1198:$Y1198,$B$2655:$Y$2655)</f>
        <v/>
      </c>
      <c r="AC1198" s="1">
        <f>A1198</f>
        <v/>
      </c>
      <c r="AD1198">
        <f>IF(ISNUMBER(V1198),V1198*($AB$1/V$2635),"")</f>
        <v/>
      </c>
      <c r="AE1198">
        <f>IF(ISNUMBER(Z1198),Z1198*($AB$1/Z$2635),"")</f>
        <v/>
      </c>
      <c r="AF1198" s="25">
        <f>IF(ISNUMBER(AD1198+AE1198),AD1198+AE1198,"")</f>
        <v/>
      </c>
      <c r="AH1198" s="1">
        <f>A1198</f>
        <v/>
      </c>
      <c r="AI1198">
        <f>IF(ISNUMBER((1+V1198)*AI1197),(1+V1198)*AI1197,AI1197)</f>
        <v/>
      </c>
      <c r="AJ1198">
        <f>IF(ISNUMBER((1+Z1198)*AJ1197),(1+Z1198)*AJ1197,AJ1197)</f>
        <v/>
      </c>
    </row>
    <row r="1199">
      <c r="A1199" s="1" t="n">
        <v>43741</v>
      </c>
      <c r="B1199" s="3">
        <f>IF(ORIG!B1199=0,"",ORIG!B1199)</f>
        <v/>
      </c>
      <c r="C1199" s="3">
        <f>IF(ORIG!C1199=0,"",ORIG!C1199)</f>
        <v/>
      </c>
      <c r="D1199" s="3">
        <f>IF(ORIG!D1199=0,"",ORIG!D1199)</f>
        <v/>
      </c>
      <c r="E1199" s="3">
        <f>IF(ORIG!E1199=0,"",ORIG!E1199)</f>
        <v/>
      </c>
      <c r="F1199" s="3">
        <f>IF(ORIG!F1199=0,"",ORIG!F1199)</f>
        <v/>
      </c>
      <c r="G1199" s="3">
        <f>IF(ORIG!G1199=0,"",ORIG!G1199)</f>
        <v/>
      </c>
      <c r="H1199" s="3">
        <f>IF(ORIG!H1199=0,"",ORIG!H1199)</f>
        <v/>
      </c>
      <c r="I1199" s="3">
        <f>IF(ORIG!I1199=0,"",ORIG!I1199)</f>
        <v/>
      </c>
      <c r="J1199" s="3">
        <f>IF(ORIG!J1199=0,"",ORIG!J1199)</f>
        <v/>
      </c>
      <c r="K1199" s="3">
        <f>IF(ORIG!K1199=0,"",ORIG!K1199)</f>
        <v/>
      </c>
      <c r="L1199" s="3">
        <f>IF(ORIG!L1199=0,"",ORIG!L1199)</f>
        <v/>
      </c>
      <c r="M1199" s="3">
        <f>IF(ORIG!M1199=0,"",ORIG!M1199)</f>
        <v/>
      </c>
      <c r="N1199" s="3">
        <f>IF(ORIG!N1199=0,"",ORIG!N1199)</f>
        <v/>
      </c>
      <c r="O1199" s="3">
        <f>IF(ORIG!O1199=0,"",ORIG!O1199)</f>
        <v/>
      </c>
      <c r="P1199" s="3">
        <f>IF(ORIG!P1199=0,"",ORIG!P1199)</f>
        <v/>
      </c>
      <c r="Q1199" s="3">
        <f>IF(ORIG!Q1199=0,"",ORIG!Q1199)</f>
        <v/>
      </c>
      <c r="R1199" s="3">
        <f>IF(ORIG!R1199=0,"",ORIG!R1199)</f>
        <v/>
      </c>
      <c r="S1199" s="3">
        <f>IF(ORIG!S1199=0,"",ORIG!S1199)</f>
        <v/>
      </c>
      <c r="T1199" s="3">
        <f>IF(ORIG!T1199=0,"",ORIG!T1199)</f>
        <v/>
      </c>
      <c r="U1199" s="3">
        <f>IF(ORIG!U1199=0,"",ORIG!U1199)</f>
        <v/>
      </c>
      <c r="V1199" s="9">
        <f>IF(ORIG!V1199=0,"",ORIG!V1199)</f>
        <v/>
      </c>
      <c r="W1199" s="9">
        <f>IF(ORIG!W1199=0,"",ORIG!W1199)</f>
        <v/>
      </c>
      <c r="X1199" s="9">
        <f>IF(ORIG!X1199=0,"",ORIG!X1199)</f>
        <v/>
      </c>
      <c r="Y1199" s="9">
        <f>IF(ORIG!Y1199=0,"",ORIG!Y1199)</f>
        <v/>
      </c>
      <c r="Z1199" s="3">
        <f>SUMPRODUCT($B1199:$Y1199,$B$2649:$Y$2649)</f>
        <v/>
      </c>
      <c r="AA1199" s="3">
        <f>SUMPRODUCT($B1199:$Y1199,$B$2655:$Y$2655)</f>
        <v/>
      </c>
      <c r="AC1199" s="1">
        <f>A1199</f>
        <v/>
      </c>
      <c r="AD1199">
        <f>IF(ISNUMBER(V1199),V1199*($AB$1/V$2635),"")</f>
        <v/>
      </c>
      <c r="AE1199">
        <f>IF(ISNUMBER(Z1199),Z1199*($AB$1/Z$2635),"")</f>
        <v/>
      </c>
      <c r="AF1199" s="25">
        <f>IF(ISNUMBER(AD1199+AE1199),AD1199+AE1199,"")</f>
        <v/>
      </c>
      <c r="AH1199" s="1">
        <f>A1199</f>
        <v/>
      </c>
      <c r="AI1199">
        <f>IF(ISNUMBER((1+V1199)*AI1198),(1+V1199)*AI1198,AI1198)</f>
        <v/>
      </c>
      <c r="AJ1199">
        <f>IF(ISNUMBER((1+Z1199)*AJ1198),(1+Z1199)*AJ1198,AJ1198)</f>
        <v/>
      </c>
    </row>
    <row r="1200">
      <c r="A1200" s="1" t="n">
        <v>43742</v>
      </c>
      <c r="B1200" s="3">
        <f>IF(ORIG!B1200=0,"",ORIG!B1200)</f>
        <v/>
      </c>
      <c r="C1200" s="3">
        <f>IF(ORIG!C1200=0,"",ORIG!C1200)</f>
        <v/>
      </c>
      <c r="D1200" s="3">
        <f>IF(ORIG!D1200=0,"",ORIG!D1200)</f>
        <v/>
      </c>
      <c r="E1200" s="3">
        <f>IF(ORIG!E1200=0,"",ORIG!E1200)</f>
        <v/>
      </c>
      <c r="F1200" s="3">
        <f>IF(ORIG!F1200=0,"",ORIG!F1200)</f>
        <v/>
      </c>
      <c r="G1200" s="3">
        <f>IF(ORIG!G1200=0,"",ORIG!G1200)</f>
        <v/>
      </c>
      <c r="H1200" s="3">
        <f>IF(ORIG!H1200=0,"",ORIG!H1200)</f>
        <v/>
      </c>
      <c r="I1200" s="3">
        <f>IF(ORIG!I1200=0,"",ORIG!I1200)</f>
        <v/>
      </c>
      <c r="J1200" s="3">
        <f>IF(ORIG!J1200=0,"",ORIG!J1200)</f>
        <v/>
      </c>
      <c r="K1200" s="3">
        <f>IF(ORIG!K1200=0,"",ORIG!K1200)</f>
        <v/>
      </c>
      <c r="L1200" s="3">
        <f>IF(ORIG!L1200=0,"",ORIG!L1200)</f>
        <v/>
      </c>
      <c r="M1200" s="3">
        <f>IF(ORIG!M1200=0,"",ORIG!M1200)</f>
        <v/>
      </c>
      <c r="N1200" s="3">
        <f>IF(ORIG!N1200=0,"",ORIG!N1200)</f>
        <v/>
      </c>
      <c r="O1200" s="3">
        <f>IF(ORIG!O1200=0,"",ORIG!O1200)</f>
        <v/>
      </c>
      <c r="P1200" s="3">
        <f>IF(ORIG!P1200=0,"",ORIG!P1200)</f>
        <v/>
      </c>
      <c r="Q1200" s="3">
        <f>IF(ORIG!Q1200=0,"",ORIG!Q1200)</f>
        <v/>
      </c>
      <c r="R1200" s="3">
        <f>IF(ORIG!R1200=0,"",ORIG!R1200)</f>
        <v/>
      </c>
      <c r="S1200" s="3">
        <f>IF(ORIG!S1200=0,"",ORIG!S1200)</f>
        <v/>
      </c>
      <c r="T1200" s="3">
        <f>IF(ORIG!T1200=0,"",ORIG!T1200)</f>
        <v/>
      </c>
      <c r="U1200" s="3">
        <f>IF(ORIG!U1200=0,"",ORIG!U1200)</f>
        <v/>
      </c>
      <c r="V1200" s="9">
        <f>IF(ORIG!V1200=0,"",ORIG!V1200)</f>
        <v/>
      </c>
      <c r="W1200" s="9">
        <f>IF(ORIG!W1200=0,"",ORIG!W1200)</f>
        <v/>
      </c>
      <c r="X1200" s="9">
        <f>IF(ORIG!X1200=0,"",ORIG!X1200)</f>
        <v/>
      </c>
      <c r="Y1200" s="9">
        <f>IF(ORIG!Y1200=0,"",ORIG!Y1200)</f>
        <v/>
      </c>
      <c r="Z1200" s="3">
        <f>SUMPRODUCT($B1200:$Y1200,$B$2649:$Y$2649)</f>
        <v/>
      </c>
      <c r="AA1200" s="3">
        <f>SUMPRODUCT($B1200:$Y1200,$B$2655:$Y$2655)</f>
        <v/>
      </c>
      <c r="AC1200" s="1">
        <f>A1200</f>
        <v/>
      </c>
      <c r="AD1200">
        <f>IF(ISNUMBER(V1200),V1200*($AB$1/V$2635),"")</f>
        <v/>
      </c>
      <c r="AE1200">
        <f>IF(ISNUMBER(Z1200),Z1200*($AB$1/Z$2635),"")</f>
        <v/>
      </c>
      <c r="AF1200" s="25">
        <f>IF(ISNUMBER(AD1200+AE1200),AD1200+AE1200,"")</f>
        <v/>
      </c>
      <c r="AH1200" s="1">
        <f>A1200</f>
        <v/>
      </c>
      <c r="AI1200">
        <f>IF(ISNUMBER((1+V1200)*AI1199),(1+V1200)*AI1199,AI1199)</f>
        <v/>
      </c>
      <c r="AJ1200">
        <f>IF(ISNUMBER((1+Z1200)*AJ1199),(1+Z1200)*AJ1199,AJ1199)</f>
        <v/>
      </c>
    </row>
    <row r="1201">
      <c r="A1201" s="1" t="n">
        <v>43745</v>
      </c>
      <c r="B1201" s="3">
        <f>IF(ORIG!B1201=0,"",ORIG!B1201)</f>
        <v/>
      </c>
      <c r="C1201" s="3">
        <f>IF(ORIG!C1201=0,"",ORIG!C1201)</f>
        <v/>
      </c>
      <c r="D1201" s="3">
        <f>IF(ORIG!D1201=0,"",ORIG!D1201)</f>
        <v/>
      </c>
      <c r="E1201" s="3">
        <f>IF(ORIG!E1201=0,"",ORIG!E1201)</f>
        <v/>
      </c>
      <c r="F1201" s="3">
        <f>IF(ORIG!F1201=0,"",ORIG!F1201)</f>
        <v/>
      </c>
      <c r="G1201" s="3">
        <f>IF(ORIG!G1201=0,"",ORIG!G1201)</f>
        <v/>
      </c>
      <c r="H1201" s="3">
        <f>IF(ORIG!H1201=0,"",ORIG!H1201)</f>
        <v/>
      </c>
      <c r="I1201" s="3">
        <f>IF(ORIG!I1201=0,"",ORIG!I1201)</f>
        <v/>
      </c>
      <c r="J1201" s="3">
        <f>IF(ORIG!J1201=0,"",ORIG!J1201)</f>
        <v/>
      </c>
      <c r="K1201" s="3">
        <f>IF(ORIG!K1201=0,"",ORIG!K1201)</f>
        <v/>
      </c>
      <c r="L1201" s="3">
        <f>IF(ORIG!L1201=0,"",ORIG!L1201)</f>
        <v/>
      </c>
      <c r="M1201" s="3">
        <f>IF(ORIG!M1201=0,"",ORIG!M1201)</f>
        <v/>
      </c>
      <c r="N1201" s="3">
        <f>IF(ORIG!N1201=0,"",ORIG!N1201)</f>
        <v/>
      </c>
      <c r="O1201" s="3">
        <f>IF(ORIG!O1201=0,"",ORIG!O1201)</f>
        <v/>
      </c>
      <c r="P1201" s="3">
        <f>IF(ORIG!P1201=0,"",ORIG!P1201)</f>
        <v/>
      </c>
      <c r="Q1201" s="3">
        <f>IF(ORIG!Q1201=0,"",ORIG!Q1201)</f>
        <v/>
      </c>
      <c r="R1201" s="3">
        <f>IF(ORIG!R1201=0,"",ORIG!R1201)</f>
        <v/>
      </c>
      <c r="S1201" s="3">
        <f>IF(ORIG!S1201=0,"",ORIG!S1201)</f>
        <v/>
      </c>
      <c r="T1201" s="3">
        <f>IF(ORIG!T1201=0,"",ORIG!T1201)</f>
        <v/>
      </c>
      <c r="U1201" s="3">
        <f>IF(ORIG!U1201=0,"",ORIG!U1201)</f>
        <v/>
      </c>
      <c r="V1201" s="9">
        <f>IF(ORIG!V1201=0,"",ORIG!V1201)</f>
        <v/>
      </c>
      <c r="W1201" s="9">
        <f>IF(ORIG!W1201=0,"",ORIG!W1201)</f>
        <v/>
      </c>
      <c r="X1201" s="9">
        <f>IF(ORIG!X1201=0,"",ORIG!X1201)</f>
        <v/>
      </c>
      <c r="Y1201" s="9">
        <f>IF(ORIG!Y1201=0,"",ORIG!Y1201)</f>
        <v/>
      </c>
      <c r="Z1201" s="3">
        <f>SUMPRODUCT($B1201:$Y1201,$B$2649:$Y$2649)</f>
        <v/>
      </c>
      <c r="AA1201" s="3">
        <f>SUMPRODUCT($B1201:$Y1201,$B$2655:$Y$2655)</f>
        <v/>
      </c>
      <c r="AC1201" s="1">
        <f>A1201</f>
        <v/>
      </c>
      <c r="AD1201">
        <f>IF(ISNUMBER(V1201),V1201*($AB$1/V$2635),"")</f>
        <v/>
      </c>
      <c r="AE1201">
        <f>IF(ISNUMBER(Z1201),Z1201*($AB$1/Z$2635),"")</f>
        <v/>
      </c>
      <c r="AF1201" s="25">
        <f>IF(ISNUMBER(AD1201+AE1201),AD1201+AE1201,"")</f>
        <v/>
      </c>
      <c r="AH1201" s="1">
        <f>A1201</f>
        <v/>
      </c>
      <c r="AI1201">
        <f>IF(ISNUMBER((1+V1201)*AI1200),(1+V1201)*AI1200,AI1200)</f>
        <v/>
      </c>
      <c r="AJ1201">
        <f>IF(ISNUMBER((1+Z1201)*AJ1200),(1+Z1201)*AJ1200,AJ1200)</f>
        <v/>
      </c>
    </row>
    <row r="1202">
      <c r="A1202" s="1" t="n">
        <v>43746</v>
      </c>
      <c r="B1202" s="3">
        <f>IF(ORIG!B1202=0,"",ORIG!B1202)</f>
        <v/>
      </c>
      <c r="C1202" s="3">
        <f>IF(ORIG!C1202=0,"",ORIG!C1202)</f>
        <v/>
      </c>
      <c r="D1202" s="3">
        <f>IF(ORIG!D1202=0,"",ORIG!D1202)</f>
        <v/>
      </c>
      <c r="E1202" s="3">
        <f>IF(ORIG!E1202=0,"",ORIG!E1202)</f>
        <v/>
      </c>
      <c r="F1202" s="3">
        <f>IF(ORIG!F1202=0,"",ORIG!F1202)</f>
        <v/>
      </c>
      <c r="G1202" s="3">
        <f>IF(ORIG!G1202=0,"",ORIG!G1202)</f>
        <v/>
      </c>
      <c r="H1202" s="3">
        <f>IF(ORIG!H1202=0,"",ORIG!H1202)</f>
        <v/>
      </c>
      <c r="I1202" s="3">
        <f>IF(ORIG!I1202=0,"",ORIG!I1202)</f>
        <v/>
      </c>
      <c r="J1202" s="3">
        <f>IF(ORIG!J1202=0,"",ORIG!J1202)</f>
        <v/>
      </c>
      <c r="K1202" s="3">
        <f>IF(ORIG!K1202=0,"",ORIG!K1202)</f>
        <v/>
      </c>
      <c r="L1202" s="3">
        <f>IF(ORIG!L1202=0,"",ORIG!L1202)</f>
        <v/>
      </c>
      <c r="M1202" s="3">
        <f>IF(ORIG!M1202=0,"",ORIG!M1202)</f>
        <v/>
      </c>
      <c r="N1202" s="3">
        <f>IF(ORIG!N1202=0,"",ORIG!N1202)</f>
        <v/>
      </c>
      <c r="O1202" s="3">
        <f>IF(ORIG!O1202=0,"",ORIG!O1202)</f>
        <v/>
      </c>
      <c r="P1202" s="3">
        <f>IF(ORIG!P1202=0,"",ORIG!P1202)</f>
        <v/>
      </c>
      <c r="Q1202" s="3">
        <f>IF(ORIG!Q1202=0,"",ORIG!Q1202)</f>
        <v/>
      </c>
      <c r="R1202" s="3">
        <f>IF(ORIG!R1202=0,"",ORIG!R1202)</f>
        <v/>
      </c>
      <c r="S1202" s="3">
        <f>IF(ORIG!S1202=0,"",ORIG!S1202)</f>
        <v/>
      </c>
      <c r="T1202" s="3">
        <f>IF(ORIG!T1202=0,"",ORIG!T1202)</f>
        <v/>
      </c>
      <c r="U1202" s="3">
        <f>IF(ORIG!U1202=0,"",ORIG!U1202)</f>
        <v/>
      </c>
      <c r="V1202" s="9">
        <f>IF(ORIG!V1202=0,"",ORIG!V1202)</f>
        <v/>
      </c>
      <c r="W1202" s="9">
        <f>IF(ORIG!W1202=0,"",ORIG!W1202)</f>
        <v/>
      </c>
      <c r="X1202" s="9">
        <f>IF(ORIG!X1202=0,"",ORIG!X1202)</f>
        <v/>
      </c>
      <c r="Y1202" s="9">
        <f>IF(ORIG!Y1202=0,"",ORIG!Y1202)</f>
        <v/>
      </c>
      <c r="Z1202" s="3">
        <f>SUMPRODUCT($B1202:$Y1202,$B$2649:$Y$2649)</f>
        <v/>
      </c>
      <c r="AA1202" s="3">
        <f>SUMPRODUCT($B1202:$Y1202,$B$2655:$Y$2655)</f>
        <v/>
      </c>
      <c r="AC1202" s="1">
        <f>A1202</f>
        <v/>
      </c>
      <c r="AD1202">
        <f>IF(ISNUMBER(V1202),V1202*($AB$1/V$2635),"")</f>
        <v/>
      </c>
      <c r="AE1202">
        <f>IF(ISNUMBER(Z1202),Z1202*($AB$1/Z$2635),"")</f>
        <v/>
      </c>
      <c r="AF1202" s="25">
        <f>IF(ISNUMBER(AD1202+AE1202),AD1202+AE1202,"")</f>
        <v/>
      </c>
      <c r="AH1202" s="1">
        <f>A1202</f>
        <v/>
      </c>
      <c r="AI1202">
        <f>IF(ISNUMBER((1+V1202)*AI1201),(1+V1202)*AI1201,AI1201)</f>
        <v/>
      </c>
      <c r="AJ1202">
        <f>IF(ISNUMBER((1+Z1202)*AJ1201),(1+Z1202)*AJ1201,AJ1201)</f>
        <v/>
      </c>
    </row>
    <row r="1203">
      <c r="A1203" s="1" t="n">
        <v>43747</v>
      </c>
      <c r="B1203" s="3">
        <f>IF(ORIG!B1203=0,"",ORIG!B1203)</f>
        <v/>
      </c>
      <c r="C1203" s="3">
        <f>IF(ORIG!C1203=0,"",ORIG!C1203)</f>
        <v/>
      </c>
      <c r="D1203" s="3">
        <f>IF(ORIG!D1203=0,"",ORIG!D1203)</f>
        <v/>
      </c>
      <c r="E1203" s="3">
        <f>IF(ORIG!E1203=0,"",ORIG!E1203)</f>
        <v/>
      </c>
      <c r="F1203" s="3">
        <f>IF(ORIG!F1203=0,"",ORIG!F1203)</f>
        <v/>
      </c>
      <c r="G1203" s="3">
        <f>IF(ORIG!G1203=0,"",ORIG!G1203)</f>
        <v/>
      </c>
      <c r="H1203" s="3">
        <f>IF(ORIG!H1203=0,"",ORIG!H1203)</f>
        <v/>
      </c>
      <c r="I1203" s="3">
        <f>IF(ORIG!I1203=0,"",ORIG!I1203)</f>
        <v/>
      </c>
      <c r="J1203" s="3">
        <f>IF(ORIG!J1203=0,"",ORIG!J1203)</f>
        <v/>
      </c>
      <c r="K1203" s="3">
        <f>IF(ORIG!K1203=0,"",ORIG!K1203)</f>
        <v/>
      </c>
      <c r="L1203" s="3">
        <f>IF(ORIG!L1203=0,"",ORIG!L1203)</f>
        <v/>
      </c>
      <c r="M1203" s="3">
        <f>IF(ORIG!M1203=0,"",ORIG!M1203)</f>
        <v/>
      </c>
      <c r="N1203" s="3">
        <f>IF(ORIG!N1203=0,"",ORIG!N1203)</f>
        <v/>
      </c>
      <c r="O1203" s="3">
        <f>IF(ORIG!O1203=0,"",ORIG!O1203)</f>
        <v/>
      </c>
      <c r="P1203" s="3">
        <f>IF(ORIG!P1203=0,"",ORIG!P1203)</f>
        <v/>
      </c>
      <c r="Q1203" s="3">
        <f>IF(ORIG!Q1203=0,"",ORIG!Q1203)</f>
        <v/>
      </c>
      <c r="R1203" s="3">
        <f>IF(ORIG!R1203=0,"",ORIG!R1203)</f>
        <v/>
      </c>
      <c r="S1203" s="3">
        <f>IF(ORIG!S1203=0,"",ORIG!S1203)</f>
        <v/>
      </c>
      <c r="T1203" s="3">
        <f>IF(ORIG!T1203=0,"",ORIG!T1203)</f>
        <v/>
      </c>
      <c r="U1203" s="3">
        <f>IF(ORIG!U1203=0,"",ORIG!U1203)</f>
        <v/>
      </c>
      <c r="V1203" s="9">
        <f>IF(ORIG!V1203=0,"",ORIG!V1203)</f>
        <v/>
      </c>
      <c r="W1203" s="9">
        <f>IF(ORIG!W1203=0,"",ORIG!W1203)</f>
        <v/>
      </c>
      <c r="X1203" s="9">
        <f>IF(ORIG!X1203=0,"",ORIG!X1203)</f>
        <v/>
      </c>
      <c r="Y1203" s="9">
        <f>IF(ORIG!Y1203=0,"",ORIG!Y1203)</f>
        <v/>
      </c>
      <c r="Z1203" s="3">
        <f>SUMPRODUCT($B1203:$Y1203,$B$2649:$Y$2649)</f>
        <v/>
      </c>
      <c r="AA1203" s="3">
        <f>SUMPRODUCT($B1203:$Y1203,$B$2655:$Y$2655)</f>
        <v/>
      </c>
      <c r="AC1203" s="1">
        <f>A1203</f>
        <v/>
      </c>
      <c r="AD1203">
        <f>IF(ISNUMBER(V1203),V1203*($AB$1/V$2635),"")</f>
        <v/>
      </c>
      <c r="AE1203">
        <f>IF(ISNUMBER(Z1203),Z1203*($AB$1/Z$2635),"")</f>
        <v/>
      </c>
      <c r="AF1203" s="25">
        <f>IF(ISNUMBER(AD1203+AE1203),AD1203+AE1203,"")</f>
        <v/>
      </c>
      <c r="AH1203" s="1">
        <f>A1203</f>
        <v/>
      </c>
      <c r="AI1203">
        <f>IF(ISNUMBER((1+V1203)*AI1202),(1+V1203)*AI1202,AI1202)</f>
        <v/>
      </c>
      <c r="AJ1203">
        <f>IF(ISNUMBER((1+Z1203)*AJ1202),(1+Z1203)*AJ1202,AJ1202)</f>
        <v/>
      </c>
    </row>
    <row r="1204">
      <c r="A1204" s="1" t="n">
        <v>43748</v>
      </c>
      <c r="B1204" s="3">
        <f>IF(ORIG!B1204=0,"",ORIG!B1204)</f>
        <v/>
      </c>
      <c r="C1204" s="3">
        <f>IF(ORIG!C1204=0,"",ORIG!C1204)</f>
        <v/>
      </c>
      <c r="D1204" s="3">
        <f>IF(ORIG!D1204=0,"",ORIG!D1204)</f>
        <v/>
      </c>
      <c r="E1204" s="3">
        <f>IF(ORIG!E1204=0,"",ORIG!E1204)</f>
        <v/>
      </c>
      <c r="F1204" s="3">
        <f>IF(ORIG!F1204=0,"",ORIG!F1204)</f>
        <v/>
      </c>
      <c r="G1204" s="3">
        <f>IF(ORIG!G1204=0,"",ORIG!G1204)</f>
        <v/>
      </c>
      <c r="H1204" s="3">
        <f>IF(ORIG!H1204=0,"",ORIG!H1204)</f>
        <v/>
      </c>
      <c r="I1204" s="3">
        <f>IF(ORIG!I1204=0,"",ORIG!I1204)</f>
        <v/>
      </c>
      <c r="J1204" s="3">
        <f>IF(ORIG!J1204=0,"",ORIG!J1204)</f>
        <v/>
      </c>
      <c r="K1204" s="3">
        <f>IF(ORIG!K1204=0,"",ORIG!K1204)</f>
        <v/>
      </c>
      <c r="L1204" s="3">
        <f>IF(ORIG!L1204=0,"",ORIG!L1204)</f>
        <v/>
      </c>
      <c r="M1204" s="3">
        <f>IF(ORIG!M1204=0,"",ORIG!M1204)</f>
        <v/>
      </c>
      <c r="N1204" s="3">
        <f>IF(ORIG!N1204=0,"",ORIG!N1204)</f>
        <v/>
      </c>
      <c r="O1204" s="3">
        <f>IF(ORIG!O1204=0,"",ORIG!O1204)</f>
        <v/>
      </c>
      <c r="P1204" s="3">
        <f>IF(ORIG!P1204=0,"",ORIG!P1204)</f>
        <v/>
      </c>
      <c r="Q1204" s="3">
        <f>IF(ORIG!Q1204=0,"",ORIG!Q1204)</f>
        <v/>
      </c>
      <c r="R1204" s="3">
        <f>IF(ORIG!R1204=0,"",ORIG!R1204)</f>
        <v/>
      </c>
      <c r="S1204" s="3">
        <f>IF(ORIG!S1204=0,"",ORIG!S1204)</f>
        <v/>
      </c>
      <c r="T1204" s="3">
        <f>IF(ORIG!T1204=0,"",ORIG!T1204)</f>
        <v/>
      </c>
      <c r="U1204" s="3">
        <f>IF(ORIG!U1204=0,"",ORIG!U1204)</f>
        <v/>
      </c>
      <c r="V1204" s="9">
        <f>IF(ORIG!V1204=0,"",ORIG!V1204)</f>
        <v/>
      </c>
      <c r="W1204" s="9">
        <f>IF(ORIG!W1204=0,"",ORIG!W1204)</f>
        <v/>
      </c>
      <c r="X1204" s="9">
        <f>IF(ORIG!X1204=0,"",ORIG!X1204)</f>
        <v/>
      </c>
      <c r="Y1204" s="9">
        <f>IF(ORIG!Y1204=0,"",ORIG!Y1204)</f>
        <v/>
      </c>
      <c r="Z1204" s="3">
        <f>SUMPRODUCT($B1204:$Y1204,$B$2649:$Y$2649)</f>
        <v/>
      </c>
      <c r="AA1204" s="3">
        <f>SUMPRODUCT($B1204:$Y1204,$B$2655:$Y$2655)</f>
        <v/>
      </c>
      <c r="AC1204" s="1">
        <f>A1204</f>
        <v/>
      </c>
      <c r="AD1204">
        <f>IF(ISNUMBER(V1204),V1204*($AB$1/V$2635),"")</f>
        <v/>
      </c>
      <c r="AE1204">
        <f>IF(ISNUMBER(Z1204),Z1204*($AB$1/Z$2635),"")</f>
        <v/>
      </c>
      <c r="AF1204" s="25">
        <f>IF(ISNUMBER(AD1204+AE1204),AD1204+AE1204,"")</f>
        <v/>
      </c>
      <c r="AH1204" s="1">
        <f>A1204</f>
        <v/>
      </c>
      <c r="AI1204">
        <f>IF(ISNUMBER((1+V1204)*AI1203),(1+V1204)*AI1203,AI1203)</f>
        <v/>
      </c>
      <c r="AJ1204">
        <f>IF(ISNUMBER((1+Z1204)*AJ1203),(1+Z1204)*AJ1203,AJ1203)</f>
        <v/>
      </c>
    </row>
    <row r="1205">
      <c r="A1205" s="1" t="n">
        <v>43749</v>
      </c>
      <c r="B1205" s="3">
        <f>IF(ORIG!B1205=0,"",ORIG!B1205)</f>
        <v/>
      </c>
      <c r="C1205" s="3">
        <f>IF(ORIG!C1205=0,"",ORIG!C1205)</f>
        <v/>
      </c>
      <c r="D1205" s="3">
        <f>IF(ORIG!D1205=0,"",ORIG!D1205)</f>
        <v/>
      </c>
      <c r="E1205" s="3">
        <f>IF(ORIG!E1205=0,"",ORIG!E1205)</f>
        <v/>
      </c>
      <c r="F1205" s="3">
        <f>IF(ORIG!F1205=0,"",ORIG!F1205)</f>
        <v/>
      </c>
      <c r="G1205" s="3">
        <f>IF(ORIG!G1205=0,"",ORIG!G1205)</f>
        <v/>
      </c>
      <c r="H1205" s="3">
        <f>IF(ORIG!H1205=0,"",ORIG!H1205)</f>
        <v/>
      </c>
      <c r="I1205" s="3">
        <f>IF(ORIG!I1205=0,"",ORIG!I1205)</f>
        <v/>
      </c>
      <c r="J1205" s="3">
        <f>IF(ORIG!J1205=0,"",ORIG!J1205)</f>
        <v/>
      </c>
      <c r="K1205" s="3">
        <f>IF(ORIG!K1205=0,"",ORIG!K1205)</f>
        <v/>
      </c>
      <c r="L1205" s="3">
        <f>IF(ORIG!L1205=0,"",ORIG!L1205)</f>
        <v/>
      </c>
      <c r="M1205" s="3">
        <f>IF(ORIG!M1205=0,"",ORIG!M1205)</f>
        <v/>
      </c>
      <c r="N1205" s="3">
        <f>IF(ORIG!N1205=0,"",ORIG!N1205)</f>
        <v/>
      </c>
      <c r="O1205" s="3">
        <f>IF(ORIG!O1205=0,"",ORIG!O1205)</f>
        <v/>
      </c>
      <c r="P1205" s="3">
        <f>IF(ORIG!P1205=0,"",ORIG!P1205)</f>
        <v/>
      </c>
      <c r="Q1205" s="3">
        <f>IF(ORIG!Q1205=0,"",ORIG!Q1205)</f>
        <v/>
      </c>
      <c r="R1205" s="3">
        <f>IF(ORIG!R1205=0,"",ORIG!R1205)</f>
        <v/>
      </c>
      <c r="S1205" s="3">
        <f>IF(ORIG!S1205=0,"",ORIG!S1205)</f>
        <v/>
      </c>
      <c r="T1205" s="3">
        <f>IF(ORIG!T1205=0,"",ORIG!T1205)</f>
        <v/>
      </c>
      <c r="U1205" s="3">
        <f>IF(ORIG!U1205=0,"",ORIG!U1205)</f>
        <v/>
      </c>
      <c r="V1205" s="9">
        <f>IF(ORIG!V1205=0,"",ORIG!V1205)</f>
        <v/>
      </c>
      <c r="W1205" s="9">
        <f>IF(ORIG!W1205=0,"",ORIG!W1205)</f>
        <v/>
      </c>
      <c r="X1205" s="9">
        <f>IF(ORIG!X1205=0,"",ORIG!X1205)</f>
        <v/>
      </c>
      <c r="Y1205" s="9">
        <f>IF(ORIG!Y1205=0,"",ORIG!Y1205)</f>
        <v/>
      </c>
      <c r="Z1205" s="3">
        <f>SUMPRODUCT($B1205:$Y1205,$B$2649:$Y$2649)</f>
        <v/>
      </c>
      <c r="AA1205" s="3">
        <f>SUMPRODUCT($B1205:$Y1205,$B$2655:$Y$2655)</f>
        <v/>
      </c>
      <c r="AC1205" s="1">
        <f>A1205</f>
        <v/>
      </c>
      <c r="AD1205">
        <f>IF(ISNUMBER(V1205),V1205*($AB$1/V$2635),"")</f>
        <v/>
      </c>
      <c r="AE1205">
        <f>IF(ISNUMBER(Z1205),Z1205*($AB$1/Z$2635),"")</f>
        <v/>
      </c>
      <c r="AF1205" s="25">
        <f>IF(ISNUMBER(AD1205+AE1205),AD1205+AE1205,"")</f>
        <v/>
      </c>
      <c r="AH1205" s="1">
        <f>A1205</f>
        <v/>
      </c>
      <c r="AI1205">
        <f>IF(ISNUMBER((1+V1205)*AI1204),(1+V1205)*AI1204,AI1204)</f>
        <v/>
      </c>
      <c r="AJ1205">
        <f>IF(ISNUMBER((1+Z1205)*AJ1204),(1+Z1205)*AJ1204,AJ1204)</f>
        <v/>
      </c>
    </row>
    <row r="1206">
      <c r="A1206" s="1" t="n">
        <v>43752</v>
      </c>
      <c r="B1206" s="3">
        <f>IF(ORIG!B1206=0,"",ORIG!B1206)</f>
        <v/>
      </c>
      <c r="C1206" s="3">
        <f>IF(ORIG!C1206=0,"",ORIG!C1206)</f>
        <v/>
      </c>
      <c r="D1206" s="3">
        <f>IF(ORIG!D1206=0,"",ORIG!D1206)</f>
        <v/>
      </c>
      <c r="E1206" s="3">
        <f>IF(ORIG!E1206=0,"",ORIG!E1206)</f>
        <v/>
      </c>
      <c r="F1206" s="3">
        <f>IF(ORIG!F1206=0,"",ORIG!F1206)</f>
        <v/>
      </c>
      <c r="G1206" s="3">
        <f>IF(ORIG!G1206=0,"",ORIG!G1206)</f>
        <v/>
      </c>
      <c r="H1206" s="3">
        <f>IF(ORIG!H1206=0,"",ORIG!H1206)</f>
        <v/>
      </c>
      <c r="I1206" s="3">
        <f>IF(ORIG!I1206=0,"",ORIG!I1206)</f>
        <v/>
      </c>
      <c r="J1206" s="3">
        <f>IF(ORIG!J1206=0,"",ORIG!J1206)</f>
        <v/>
      </c>
      <c r="K1206" s="3">
        <f>IF(ORIG!K1206=0,"",ORIG!K1206)</f>
        <v/>
      </c>
      <c r="L1206" s="3">
        <f>IF(ORIG!L1206=0,"",ORIG!L1206)</f>
        <v/>
      </c>
      <c r="M1206" s="3">
        <f>IF(ORIG!M1206=0,"",ORIG!M1206)</f>
        <v/>
      </c>
      <c r="N1206" s="3">
        <f>IF(ORIG!N1206=0,"",ORIG!N1206)</f>
        <v/>
      </c>
      <c r="O1206" s="3">
        <f>IF(ORIG!O1206=0,"",ORIG!O1206)</f>
        <v/>
      </c>
      <c r="P1206" s="3">
        <f>IF(ORIG!P1206=0,"",ORIG!P1206)</f>
        <v/>
      </c>
      <c r="Q1206" s="3">
        <f>IF(ORIG!Q1206=0,"",ORIG!Q1206)</f>
        <v/>
      </c>
      <c r="R1206" s="3">
        <f>IF(ORIG!R1206=0,"",ORIG!R1206)</f>
        <v/>
      </c>
      <c r="S1206" s="3">
        <f>IF(ORIG!S1206=0,"",ORIG!S1206)</f>
        <v/>
      </c>
      <c r="T1206" s="3">
        <f>IF(ORIG!T1206=0,"",ORIG!T1206)</f>
        <v/>
      </c>
      <c r="U1206" s="3">
        <f>IF(ORIG!U1206=0,"",ORIG!U1206)</f>
        <v/>
      </c>
      <c r="V1206" s="9">
        <f>IF(ORIG!V1206=0,"",ORIG!V1206)</f>
        <v/>
      </c>
      <c r="W1206" s="9">
        <f>IF(ORIG!W1206=0,"",ORIG!W1206)</f>
        <v/>
      </c>
      <c r="X1206" s="9">
        <f>IF(ORIG!X1206=0,"",ORIG!X1206)</f>
        <v/>
      </c>
      <c r="Y1206" s="9">
        <f>IF(ORIG!Y1206=0,"",ORIG!Y1206)</f>
        <v/>
      </c>
      <c r="Z1206" s="3">
        <f>SUMPRODUCT($B1206:$Y1206,$B$2649:$Y$2649)</f>
        <v/>
      </c>
      <c r="AA1206" s="3">
        <f>SUMPRODUCT($B1206:$Y1206,$B$2655:$Y$2655)</f>
        <v/>
      </c>
      <c r="AC1206" s="1">
        <f>A1206</f>
        <v/>
      </c>
      <c r="AD1206">
        <f>IF(ISNUMBER(V1206),V1206*($AB$1/V$2635),"")</f>
        <v/>
      </c>
      <c r="AE1206">
        <f>IF(ISNUMBER(Z1206),Z1206*($AB$1/Z$2635),"")</f>
        <v/>
      </c>
      <c r="AF1206" s="25">
        <f>IF(ISNUMBER(AD1206+AE1206),AD1206+AE1206,"")</f>
        <v/>
      </c>
      <c r="AH1206" s="1">
        <f>A1206</f>
        <v/>
      </c>
      <c r="AI1206">
        <f>IF(ISNUMBER((1+V1206)*AI1205),(1+V1206)*AI1205,AI1205)</f>
        <v/>
      </c>
      <c r="AJ1206">
        <f>IF(ISNUMBER((1+Z1206)*AJ1205),(1+Z1206)*AJ1205,AJ1205)</f>
        <v/>
      </c>
    </row>
    <row r="1207">
      <c r="A1207" s="1" t="n">
        <v>43753</v>
      </c>
      <c r="B1207" s="3">
        <f>IF(ORIG!B1207=0,"",ORIG!B1207)</f>
        <v/>
      </c>
      <c r="C1207" s="3">
        <f>IF(ORIG!C1207=0,"",ORIG!C1207)</f>
        <v/>
      </c>
      <c r="D1207" s="3">
        <f>IF(ORIG!D1207=0,"",ORIG!D1207)</f>
        <v/>
      </c>
      <c r="E1207" s="3">
        <f>IF(ORIG!E1207=0,"",ORIG!E1207)</f>
        <v/>
      </c>
      <c r="F1207" s="3">
        <f>IF(ORIG!F1207=0,"",ORIG!F1207)</f>
        <v/>
      </c>
      <c r="G1207" s="3">
        <f>IF(ORIG!G1207=0,"",ORIG!G1207)</f>
        <v/>
      </c>
      <c r="H1207" s="3">
        <f>IF(ORIG!H1207=0,"",ORIG!H1207)</f>
        <v/>
      </c>
      <c r="I1207" s="3">
        <f>IF(ORIG!I1207=0,"",ORIG!I1207)</f>
        <v/>
      </c>
      <c r="J1207" s="3">
        <f>IF(ORIG!J1207=0,"",ORIG!J1207)</f>
        <v/>
      </c>
      <c r="K1207" s="3">
        <f>IF(ORIG!K1207=0,"",ORIG!K1207)</f>
        <v/>
      </c>
      <c r="L1207" s="3">
        <f>IF(ORIG!L1207=0,"",ORIG!L1207)</f>
        <v/>
      </c>
      <c r="M1207" s="3">
        <f>IF(ORIG!M1207=0,"",ORIG!M1207)</f>
        <v/>
      </c>
      <c r="N1207" s="3">
        <f>IF(ORIG!N1207=0,"",ORIG!N1207)</f>
        <v/>
      </c>
      <c r="O1207" s="3">
        <f>IF(ORIG!O1207=0,"",ORIG!O1207)</f>
        <v/>
      </c>
      <c r="P1207" s="3">
        <f>IF(ORIG!P1207=0,"",ORIG!P1207)</f>
        <v/>
      </c>
      <c r="Q1207" s="3">
        <f>IF(ORIG!Q1207=0,"",ORIG!Q1207)</f>
        <v/>
      </c>
      <c r="R1207" s="3">
        <f>IF(ORIG!R1207=0,"",ORIG!R1207)</f>
        <v/>
      </c>
      <c r="S1207" s="3">
        <f>IF(ORIG!S1207=0,"",ORIG!S1207)</f>
        <v/>
      </c>
      <c r="T1207" s="3">
        <f>IF(ORIG!T1207=0,"",ORIG!T1207)</f>
        <v/>
      </c>
      <c r="U1207" s="3">
        <f>IF(ORIG!U1207=0,"",ORIG!U1207)</f>
        <v/>
      </c>
      <c r="V1207" s="9">
        <f>IF(ORIG!V1207=0,"",ORIG!V1207)</f>
        <v/>
      </c>
      <c r="W1207" s="9">
        <f>IF(ORIG!W1207=0,"",ORIG!W1207)</f>
        <v/>
      </c>
      <c r="X1207" s="9">
        <f>IF(ORIG!X1207=0,"",ORIG!X1207)</f>
        <v/>
      </c>
      <c r="Y1207" s="9">
        <f>IF(ORIG!Y1207=0,"",ORIG!Y1207)</f>
        <v/>
      </c>
      <c r="Z1207" s="3">
        <f>SUMPRODUCT($B1207:$Y1207,$B$2649:$Y$2649)</f>
        <v/>
      </c>
      <c r="AA1207" s="3">
        <f>SUMPRODUCT($B1207:$Y1207,$B$2655:$Y$2655)</f>
        <v/>
      </c>
      <c r="AC1207" s="1">
        <f>A1207</f>
        <v/>
      </c>
      <c r="AD1207">
        <f>IF(ISNUMBER(V1207),V1207*($AB$1/V$2635),"")</f>
        <v/>
      </c>
      <c r="AE1207">
        <f>IF(ISNUMBER(Z1207),Z1207*($AB$1/Z$2635),"")</f>
        <v/>
      </c>
      <c r="AF1207" s="25">
        <f>IF(ISNUMBER(AD1207+AE1207),AD1207+AE1207,"")</f>
        <v/>
      </c>
      <c r="AH1207" s="1">
        <f>A1207</f>
        <v/>
      </c>
      <c r="AI1207">
        <f>IF(ISNUMBER((1+V1207)*AI1206),(1+V1207)*AI1206,AI1206)</f>
        <v/>
      </c>
      <c r="AJ1207">
        <f>IF(ISNUMBER((1+Z1207)*AJ1206),(1+Z1207)*AJ1206,AJ1206)</f>
        <v/>
      </c>
    </row>
    <row r="1208">
      <c r="A1208" s="1" t="n">
        <v>43754</v>
      </c>
      <c r="B1208" s="3">
        <f>IF(ORIG!B1208=0,"",ORIG!B1208)</f>
        <v/>
      </c>
      <c r="C1208" s="3">
        <f>IF(ORIG!C1208=0,"",ORIG!C1208)</f>
        <v/>
      </c>
      <c r="D1208" s="3">
        <f>IF(ORIG!D1208=0,"",ORIG!D1208)</f>
        <v/>
      </c>
      <c r="E1208" s="3">
        <f>IF(ORIG!E1208=0,"",ORIG!E1208)</f>
        <v/>
      </c>
      <c r="F1208" s="3">
        <f>IF(ORIG!F1208=0,"",ORIG!F1208)</f>
        <v/>
      </c>
      <c r="G1208" s="3">
        <f>IF(ORIG!G1208=0,"",ORIG!G1208)</f>
        <v/>
      </c>
      <c r="H1208" s="3">
        <f>IF(ORIG!H1208=0,"",ORIG!H1208)</f>
        <v/>
      </c>
      <c r="I1208" s="3">
        <f>IF(ORIG!I1208=0,"",ORIG!I1208)</f>
        <v/>
      </c>
      <c r="J1208" s="3">
        <f>IF(ORIG!J1208=0,"",ORIG!J1208)</f>
        <v/>
      </c>
      <c r="K1208" s="3">
        <f>IF(ORIG!K1208=0,"",ORIG!K1208)</f>
        <v/>
      </c>
      <c r="L1208" s="3">
        <f>IF(ORIG!L1208=0,"",ORIG!L1208)</f>
        <v/>
      </c>
      <c r="M1208" s="3">
        <f>IF(ORIG!M1208=0,"",ORIG!M1208)</f>
        <v/>
      </c>
      <c r="N1208" s="3">
        <f>IF(ORIG!N1208=0,"",ORIG!N1208)</f>
        <v/>
      </c>
      <c r="O1208" s="3">
        <f>IF(ORIG!O1208=0,"",ORIG!O1208)</f>
        <v/>
      </c>
      <c r="P1208" s="3">
        <f>IF(ORIG!P1208=0,"",ORIG!P1208)</f>
        <v/>
      </c>
      <c r="Q1208" s="3">
        <f>IF(ORIG!Q1208=0,"",ORIG!Q1208)</f>
        <v/>
      </c>
      <c r="R1208" s="3">
        <f>IF(ORIG!R1208=0,"",ORIG!R1208)</f>
        <v/>
      </c>
      <c r="S1208" s="3">
        <f>IF(ORIG!S1208=0,"",ORIG!S1208)</f>
        <v/>
      </c>
      <c r="T1208" s="3">
        <f>IF(ORIG!T1208=0,"",ORIG!T1208)</f>
        <v/>
      </c>
      <c r="U1208" s="3">
        <f>IF(ORIG!U1208=0,"",ORIG!U1208)</f>
        <v/>
      </c>
      <c r="V1208" s="9">
        <f>IF(ORIG!V1208=0,"",ORIG!V1208)</f>
        <v/>
      </c>
      <c r="W1208" s="9">
        <f>IF(ORIG!W1208=0,"",ORIG!W1208)</f>
        <v/>
      </c>
      <c r="X1208" s="9">
        <f>IF(ORIG!X1208=0,"",ORIG!X1208)</f>
        <v/>
      </c>
      <c r="Y1208" s="9">
        <f>IF(ORIG!Y1208=0,"",ORIG!Y1208)</f>
        <v/>
      </c>
      <c r="Z1208" s="3">
        <f>SUMPRODUCT($B1208:$Y1208,$B$2649:$Y$2649)</f>
        <v/>
      </c>
      <c r="AA1208" s="3">
        <f>SUMPRODUCT($B1208:$Y1208,$B$2655:$Y$2655)</f>
        <v/>
      </c>
      <c r="AC1208" s="1">
        <f>A1208</f>
        <v/>
      </c>
      <c r="AD1208">
        <f>IF(ISNUMBER(V1208),V1208*($AB$1/V$2635),"")</f>
        <v/>
      </c>
      <c r="AE1208">
        <f>IF(ISNUMBER(Z1208),Z1208*($AB$1/Z$2635),"")</f>
        <v/>
      </c>
      <c r="AF1208" s="25">
        <f>IF(ISNUMBER(AD1208+AE1208),AD1208+AE1208,"")</f>
        <v/>
      </c>
      <c r="AH1208" s="1">
        <f>A1208</f>
        <v/>
      </c>
      <c r="AI1208">
        <f>IF(ISNUMBER((1+V1208)*AI1207),(1+V1208)*AI1207,AI1207)</f>
        <v/>
      </c>
      <c r="AJ1208">
        <f>IF(ISNUMBER((1+Z1208)*AJ1207),(1+Z1208)*AJ1207,AJ1207)</f>
        <v/>
      </c>
    </row>
    <row r="1209">
      <c r="A1209" s="1" t="n">
        <v>43755</v>
      </c>
      <c r="B1209" s="3">
        <f>IF(ORIG!B1209=0,"",ORIG!B1209)</f>
        <v/>
      </c>
      <c r="C1209" s="3">
        <f>IF(ORIG!C1209=0,"",ORIG!C1209)</f>
        <v/>
      </c>
      <c r="D1209" s="3">
        <f>IF(ORIG!D1209=0,"",ORIG!D1209)</f>
        <v/>
      </c>
      <c r="E1209" s="3">
        <f>IF(ORIG!E1209=0,"",ORIG!E1209)</f>
        <v/>
      </c>
      <c r="F1209" s="3">
        <f>IF(ORIG!F1209=0,"",ORIG!F1209)</f>
        <v/>
      </c>
      <c r="G1209" s="3">
        <f>IF(ORIG!G1209=0,"",ORIG!G1209)</f>
        <v/>
      </c>
      <c r="H1209" s="3">
        <f>IF(ORIG!H1209=0,"",ORIG!H1209)</f>
        <v/>
      </c>
      <c r="I1209" s="3">
        <f>IF(ORIG!I1209=0,"",ORIG!I1209)</f>
        <v/>
      </c>
      <c r="J1209" s="3">
        <f>IF(ORIG!J1209=0,"",ORIG!J1209)</f>
        <v/>
      </c>
      <c r="K1209" s="3">
        <f>IF(ORIG!K1209=0,"",ORIG!K1209)</f>
        <v/>
      </c>
      <c r="L1209" s="3">
        <f>IF(ORIG!L1209=0,"",ORIG!L1209)</f>
        <v/>
      </c>
      <c r="M1209" s="3">
        <f>IF(ORIG!M1209=0,"",ORIG!M1209)</f>
        <v/>
      </c>
      <c r="N1209" s="3">
        <f>IF(ORIG!N1209=0,"",ORIG!N1209)</f>
        <v/>
      </c>
      <c r="O1209" s="3">
        <f>IF(ORIG!O1209=0,"",ORIG!O1209)</f>
        <v/>
      </c>
      <c r="P1209" s="3">
        <f>IF(ORIG!P1209=0,"",ORIG!P1209)</f>
        <v/>
      </c>
      <c r="Q1209" s="3">
        <f>IF(ORIG!Q1209=0,"",ORIG!Q1209)</f>
        <v/>
      </c>
      <c r="R1209" s="3">
        <f>IF(ORIG!R1209=0,"",ORIG!R1209)</f>
        <v/>
      </c>
      <c r="S1209" s="3">
        <f>IF(ORIG!S1209=0,"",ORIG!S1209)</f>
        <v/>
      </c>
      <c r="T1209" s="3">
        <f>IF(ORIG!T1209=0,"",ORIG!T1209)</f>
        <v/>
      </c>
      <c r="U1209" s="3">
        <f>IF(ORIG!U1209=0,"",ORIG!U1209)</f>
        <v/>
      </c>
      <c r="V1209" s="9">
        <f>IF(ORIG!V1209=0,"",ORIG!V1209)</f>
        <v/>
      </c>
      <c r="W1209" s="9">
        <f>IF(ORIG!W1209=0,"",ORIG!W1209)</f>
        <v/>
      </c>
      <c r="X1209" s="9">
        <f>IF(ORIG!X1209=0,"",ORIG!X1209)</f>
        <v/>
      </c>
      <c r="Y1209" s="9">
        <f>IF(ORIG!Y1209=0,"",ORIG!Y1209)</f>
        <v/>
      </c>
      <c r="Z1209" s="3">
        <f>SUMPRODUCT($B1209:$Y1209,$B$2649:$Y$2649)</f>
        <v/>
      </c>
      <c r="AA1209" s="3">
        <f>SUMPRODUCT($B1209:$Y1209,$B$2655:$Y$2655)</f>
        <v/>
      </c>
      <c r="AC1209" s="1">
        <f>A1209</f>
        <v/>
      </c>
      <c r="AD1209">
        <f>IF(ISNUMBER(V1209),V1209*($AB$1/V$2635),"")</f>
        <v/>
      </c>
      <c r="AE1209">
        <f>IF(ISNUMBER(Z1209),Z1209*($AB$1/Z$2635),"")</f>
        <v/>
      </c>
      <c r="AF1209" s="25">
        <f>IF(ISNUMBER(AD1209+AE1209),AD1209+AE1209,"")</f>
        <v/>
      </c>
      <c r="AH1209" s="1">
        <f>A1209</f>
        <v/>
      </c>
      <c r="AI1209">
        <f>IF(ISNUMBER((1+V1209)*AI1208),(1+V1209)*AI1208,AI1208)</f>
        <v/>
      </c>
      <c r="AJ1209">
        <f>IF(ISNUMBER((1+Z1209)*AJ1208),(1+Z1209)*AJ1208,AJ1208)</f>
        <v/>
      </c>
    </row>
    <row r="1210">
      <c r="A1210" s="1" t="n">
        <v>43756</v>
      </c>
      <c r="B1210" s="3">
        <f>IF(ORIG!B1210=0,"",ORIG!B1210)</f>
        <v/>
      </c>
      <c r="C1210" s="3">
        <f>IF(ORIG!C1210=0,"",ORIG!C1210)</f>
        <v/>
      </c>
      <c r="D1210" s="3">
        <f>IF(ORIG!D1210=0,"",ORIG!D1210)</f>
        <v/>
      </c>
      <c r="E1210" s="3">
        <f>IF(ORIG!E1210=0,"",ORIG!E1210)</f>
        <v/>
      </c>
      <c r="F1210" s="3">
        <f>IF(ORIG!F1210=0,"",ORIG!F1210)</f>
        <v/>
      </c>
      <c r="G1210" s="3">
        <f>IF(ORIG!G1210=0,"",ORIG!G1210)</f>
        <v/>
      </c>
      <c r="H1210" s="3">
        <f>IF(ORIG!H1210=0,"",ORIG!H1210)</f>
        <v/>
      </c>
      <c r="I1210" s="3">
        <f>IF(ORIG!I1210=0,"",ORIG!I1210)</f>
        <v/>
      </c>
      <c r="J1210" s="3">
        <f>IF(ORIG!J1210=0,"",ORIG!J1210)</f>
        <v/>
      </c>
      <c r="K1210" s="3">
        <f>IF(ORIG!K1210=0,"",ORIG!K1210)</f>
        <v/>
      </c>
      <c r="L1210" s="3">
        <f>IF(ORIG!L1210=0,"",ORIG!L1210)</f>
        <v/>
      </c>
      <c r="M1210" s="3">
        <f>IF(ORIG!M1210=0,"",ORIG!M1210)</f>
        <v/>
      </c>
      <c r="N1210" s="3">
        <f>IF(ORIG!N1210=0,"",ORIG!N1210)</f>
        <v/>
      </c>
      <c r="O1210" s="3">
        <f>IF(ORIG!O1210=0,"",ORIG!O1210)</f>
        <v/>
      </c>
      <c r="P1210" s="3">
        <f>IF(ORIG!P1210=0,"",ORIG!P1210)</f>
        <v/>
      </c>
      <c r="Q1210" s="3">
        <f>IF(ORIG!Q1210=0,"",ORIG!Q1210)</f>
        <v/>
      </c>
      <c r="R1210" s="3">
        <f>IF(ORIG!R1210=0,"",ORIG!R1210)</f>
        <v/>
      </c>
      <c r="S1210" s="3">
        <f>IF(ORIG!S1210=0,"",ORIG!S1210)</f>
        <v/>
      </c>
      <c r="T1210" s="3">
        <f>IF(ORIG!T1210=0,"",ORIG!T1210)</f>
        <v/>
      </c>
      <c r="U1210" s="3">
        <f>IF(ORIG!U1210=0,"",ORIG!U1210)</f>
        <v/>
      </c>
      <c r="V1210" s="9">
        <f>IF(ORIG!V1210=0,"",ORIG!V1210)</f>
        <v/>
      </c>
      <c r="W1210" s="9">
        <f>IF(ORIG!W1210=0,"",ORIG!W1210)</f>
        <v/>
      </c>
      <c r="X1210" s="9">
        <f>IF(ORIG!X1210=0,"",ORIG!X1210)</f>
        <v/>
      </c>
      <c r="Y1210" s="9">
        <f>IF(ORIG!Y1210=0,"",ORIG!Y1210)</f>
        <v/>
      </c>
      <c r="Z1210" s="3">
        <f>SUMPRODUCT($B1210:$Y1210,$B$2649:$Y$2649)</f>
        <v/>
      </c>
      <c r="AA1210" s="3">
        <f>SUMPRODUCT($B1210:$Y1210,$B$2655:$Y$2655)</f>
        <v/>
      </c>
      <c r="AC1210" s="1">
        <f>A1210</f>
        <v/>
      </c>
      <c r="AD1210">
        <f>IF(ISNUMBER(V1210),V1210*($AB$1/V$2635),"")</f>
        <v/>
      </c>
      <c r="AE1210">
        <f>IF(ISNUMBER(Z1210),Z1210*($AB$1/Z$2635),"")</f>
        <v/>
      </c>
      <c r="AF1210" s="25">
        <f>IF(ISNUMBER(AD1210+AE1210),AD1210+AE1210,"")</f>
        <v/>
      </c>
      <c r="AH1210" s="1">
        <f>A1210</f>
        <v/>
      </c>
      <c r="AI1210">
        <f>IF(ISNUMBER((1+V1210)*AI1209),(1+V1210)*AI1209,AI1209)</f>
        <v/>
      </c>
      <c r="AJ1210">
        <f>IF(ISNUMBER((1+Z1210)*AJ1209),(1+Z1210)*AJ1209,AJ1209)</f>
        <v/>
      </c>
    </row>
    <row r="1211">
      <c r="A1211" s="1" t="n">
        <v>43759</v>
      </c>
      <c r="B1211" s="3">
        <f>IF(ORIG!B1211=0,"",ORIG!B1211)</f>
        <v/>
      </c>
      <c r="C1211" s="3">
        <f>IF(ORIG!C1211=0,"",ORIG!C1211)</f>
        <v/>
      </c>
      <c r="D1211" s="3">
        <f>IF(ORIG!D1211=0,"",ORIG!D1211)</f>
        <v/>
      </c>
      <c r="E1211" s="3">
        <f>IF(ORIG!E1211=0,"",ORIG!E1211)</f>
        <v/>
      </c>
      <c r="F1211" s="3">
        <f>IF(ORIG!F1211=0,"",ORIG!F1211)</f>
        <v/>
      </c>
      <c r="G1211" s="3">
        <f>IF(ORIG!G1211=0,"",ORIG!G1211)</f>
        <v/>
      </c>
      <c r="H1211" s="3">
        <f>IF(ORIG!H1211=0,"",ORIG!H1211)</f>
        <v/>
      </c>
      <c r="I1211" s="3">
        <f>IF(ORIG!I1211=0,"",ORIG!I1211)</f>
        <v/>
      </c>
      <c r="J1211" s="3">
        <f>IF(ORIG!J1211=0,"",ORIG!J1211)</f>
        <v/>
      </c>
      <c r="K1211" s="3">
        <f>IF(ORIG!K1211=0,"",ORIG!K1211)</f>
        <v/>
      </c>
      <c r="L1211" s="3">
        <f>IF(ORIG!L1211=0,"",ORIG!L1211)</f>
        <v/>
      </c>
      <c r="M1211" s="3">
        <f>IF(ORIG!M1211=0,"",ORIG!M1211)</f>
        <v/>
      </c>
      <c r="N1211" s="3">
        <f>IF(ORIG!N1211=0,"",ORIG!N1211)</f>
        <v/>
      </c>
      <c r="O1211" s="3">
        <f>IF(ORIG!O1211=0,"",ORIG!O1211)</f>
        <v/>
      </c>
      <c r="P1211" s="3">
        <f>IF(ORIG!P1211=0,"",ORIG!P1211)</f>
        <v/>
      </c>
      <c r="Q1211" s="3">
        <f>IF(ORIG!Q1211=0,"",ORIG!Q1211)</f>
        <v/>
      </c>
      <c r="R1211" s="3">
        <f>IF(ORIG!R1211=0,"",ORIG!R1211)</f>
        <v/>
      </c>
      <c r="S1211" s="3">
        <f>IF(ORIG!S1211=0,"",ORIG!S1211)</f>
        <v/>
      </c>
      <c r="T1211" s="3">
        <f>IF(ORIG!T1211=0,"",ORIG!T1211)</f>
        <v/>
      </c>
      <c r="U1211" s="3">
        <f>IF(ORIG!U1211=0,"",ORIG!U1211)</f>
        <v/>
      </c>
      <c r="V1211" s="9">
        <f>IF(ORIG!V1211=0,"",ORIG!V1211)</f>
        <v/>
      </c>
      <c r="W1211" s="9">
        <f>IF(ORIG!W1211=0,"",ORIG!W1211)</f>
        <v/>
      </c>
      <c r="X1211" s="9">
        <f>IF(ORIG!X1211=0,"",ORIG!X1211)</f>
        <v/>
      </c>
      <c r="Y1211" s="9">
        <f>IF(ORIG!Y1211=0,"",ORIG!Y1211)</f>
        <v/>
      </c>
      <c r="Z1211" s="3">
        <f>SUMPRODUCT($B1211:$Y1211,$B$2649:$Y$2649)</f>
        <v/>
      </c>
      <c r="AA1211" s="3">
        <f>SUMPRODUCT($B1211:$Y1211,$B$2655:$Y$2655)</f>
        <v/>
      </c>
      <c r="AC1211" s="1">
        <f>A1211</f>
        <v/>
      </c>
      <c r="AD1211">
        <f>IF(ISNUMBER(V1211),V1211*($AB$1/V$2635),"")</f>
        <v/>
      </c>
      <c r="AE1211">
        <f>IF(ISNUMBER(Z1211),Z1211*($AB$1/Z$2635),"")</f>
        <v/>
      </c>
      <c r="AF1211" s="25">
        <f>IF(ISNUMBER(AD1211+AE1211),AD1211+AE1211,"")</f>
        <v/>
      </c>
      <c r="AH1211" s="1">
        <f>A1211</f>
        <v/>
      </c>
      <c r="AI1211">
        <f>IF(ISNUMBER((1+V1211)*AI1210),(1+V1211)*AI1210,AI1210)</f>
        <v/>
      </c>
      <c r="AJ1211">
        <f>IF(ISNUMBER((1+Z1211)*AJ1210),(1+Z1211)*AJ1210,AJ1210)</f>
        <v/>
      </c>
    </row>
    <row r="1212">
      <c r="A1212" s="1" t="n">
        <v>43760</v>
      </c>
      <c r="B1212" s="3">
        <f>IF(ORIG!B1212=0,"",ORIG!B1212)</f>
        <v/>
      </c>
      <c r="C1212" s="3">
        <f>IF(ORIG!C1212=0,"",ORIG!C1212)</f>
        <v/>
      </c>
      <c r="D1212" s="3">
        <f>IF(ORIG!D1212=0,"",ORIG!D1212)</f>
        <v/>
      </c>
      <c r="E1212" s="3">
        <f>IF(ORIG!E1212=0,"",ORIG!E1212)</f>
        <v/>
      </c>
      <c r="F1212" s="3">
        <f>IF(ORIG!F1212=0,"",ORIG!F1212)</f>
        <v/>
      </c>
      <c r="G1212" s="3">
        <f>IF(ORIG!G1212=0,"",ORIG!G1212)</f>
        <v/>
      </c>
      <c r="H1212" s="3">
        <f>IF(ORIG!H1212=0,"",ORIG!H1212)</f>
        <v/>
      </c>
      <c r="I1212" s="3">
        <f>IF(ORIG!I1212=0,"",ORIG!I1212)</f>
        <v/>
      </c>
      <c r="J1212" s="3">
        <f>IF(ORIG!J1212=0,"",ORIG!J1212)</f>
        <v/>
      </c>
      <c r="K1212" s="3">
        <f>IF(ORIG!K1212=0,"",ORIG!K1212)</f>
        <v/>
      </c>
      <c r="L1212" s="3">
        <f>IF(ORIG!L1212=0,"",ORIG!L1212)</f>
        <v/>
      </c>
      <c r="M1212" s="3">
        <f>IF(ORIG!M1212=0,"",ORIG!M1212)</f>
        <v/>
      </c>
      <c r="N1212" s="3">
        <f>IF(ORIG!N1212=0,"",ORIG!N1212)</f>
        <v/>
      </c>
      <c r="O1212" s="3">
        <f>IF(ORIG!O1212=0,"",ORIG!O1212)</f>
        <v/>
      </c>
      <c r="P1212" s="3">
        <f>IF(ORIG!P1212=0,"",ORIG!P1212)</f>
        <v/>
      </c>
      <c r="Q1212" s="3">
        <f>IF(ORIG!Q1212=0,"",ORIG!Q1212)</f>
        <v/>
      </c>
      <c r="R1212" s="3">
        <f>IF(ORIG!R1212=0,"",ORIG!R1212)</f>
        <v/>
      </c>
      <c r="S1212" s="3">
        <f>IF(ORIG!S1212=0,"",ORIG!S1212)</f>
        <v/>
      </c>
      <c r="T1212" s="3">
        <f>IF(ORIG!T1212=0,"",ORIG!T1212)</f>
        <v/>
      </c>
      <c r="U1212" s="3">
        <f>IF(ORIG!U1212=0,"",ORIG!U1212)</f>
        <v/>
      </c>
      <c r="V1212" s="9">
        <f>IF(ORIG!V1212=0,"",ORIG!V1212)</f>
        <v/>
      </c>
      <c r="W1212" s="9">
        <f>IF(ORIG!W1212=0,"",ORIG!W1212)</f>
        <v/>
      </c>
      <c r="X1212" s="9">
        <f>IF(ORIG!X1212=0,"",ORIG!X1212)</f>
        <v/>
      </c>
      <c r="Y1212" s="9">
        <f>IF(ORIG!Y1212=0,"",ORIG!Y1212)</f>
        <v/>
      </c>
      <c r="Z1212" s="3">
        <f>SUMPRODUCT($B1212:$Y1212,$B$2649:$Y$2649)</f>
        <v/>
      </c>
      <c r="AA1212" s="3">
        <f>SUMPRODUCT($B1212:$Y1212,$B$2655:$Y$2655)</f>
        <v/>
      </c>
      <c r="AC1212" s="1">
        <f>A1212</f>
        <v/>
      </c>
      <c r="AD1212">
        <f>IF(ISNUMBER(V1212),V1212*($AB$1/V$2635),"")</f>
        <v/>
      </c>
      <c r="AE1212">
        <f>IF(ISNUMBER(Z1212),Z1212*($AB$1/Z$2635),"")</f>
        <v/>
      </c>
      <c r="AF1212" s="25">
        <f>IF(ISNUMBER(AD1212+AE1212),AD1212+AE1212,"")</f>
        <v/>
      </c>
      <c r="AH1212" s="1">
        <f>A1212</f>
        <v/>
      </c>
      <c r="AI1212">
        <f>IF(ISNUMBER((1+V1212)*AI1211),(1+V1212)*AI1211,AI1211)</f>
        <v/>
      </c>
      <c r="AJ1212">
        <f>IF(ISNUMBER((1+Z1212)*AJ1211),(1+Z1212)*AJ1211,AJ1211)</f>
        <v/>
      </c>
    </row>
    <row r="1213">
      <c r="A1213" s="1" t="n">
        <v>43761</v>
      </c>
      <c r="B1213" s="3">
        <f>IF(ORIG!B1213=0,"",ORIG!B1213)</f>
        <v/>
      </c>
      <c r="C1213" s="3">
        <f>IF(ORIG!C1213=0,"",ORIG!C1213)</f>
        <v/>
      </c>
      <c r="D1213" s="3">
        <f>IF(ORIG!D1213=0,"",ORIG!D1213)</f>
        <v/>
      </c>
      <c r="E1213" s="3">
        <f>IF(ORIG!E1213=0,"",ORIG!E1213)</f>
        <v/>
      </c>
      <c r="F1213" s="3">
        <f>IF(ORIG!F1213=0,"",ORIG!F1213)</f>
        <v/>
      </c>
      <c r="G1213" s="3">
        <f>IF(ORIG!G1213=0,"",ORIG!G1213)</f>
        <v/>
      </c>
      <c r="H1213" s="3">
        <f>IF(ORIG!H1213=0,"",ORIG!H1213)</f>
        <v/>
      </c>
      <c r="I1213" s="3">
        <f>IF(ORIG!I1213=0,"",ORIG!I1213)</f>
        <v/>
      </c>
      <c r="J1213" s="3">
        <f>IF(ORIG!J1213=0,"",ORIG!J1213)</f>
        <v/>
      </c>
      <c r="K1213" s="3">
        <f>IF(ORIG!K1213=0,"",ORIG!K1213)</f>
        <v/>
      </c>
      <c r="L1213" s="3">
        <f>IF(ORIG!L1213=0,"",ORIG!L1213)</f>
        <v/>
      </c>
      <c r="M1213" s="3">
        <f>IF(ORIG!M1213=0,"",ORIG!M1213)</f>
        <v/>
      </c>
      <c r="N1213" s="3">
        <f>IF(ORIG!N1213=0,"",ORIG!N1213)</f>
        <v/>
      </c>
      <c r="O1213" s="3">
        <f>IF(ORIG!O1213=0,"",ORIG!O1213)</f>
        <v/>
      </c>
      <c r="P1213" s="3">
        <f>IF(ORIG!P1213=0,"",ORIG!P1213)</f>
        <v/>
      </c>
      <c r="Q1213" s="3">
        <f>IF(ORIG!Q1213=0,"",ORIG!Q1213)</f>
        <v/>
      </c>
      <c r="R1213" s="3">
        <f>IF(ORIG!R1213=0,"",ORIG!R1213)</f>
        <v/>
      </c>
      <c r="S1213" s="3">
        <f>IF(ORIG!S1213=0,"",ORIG!S1213)</f>
        <v/>
      </c>
      <c r="T1213" s="3">
        <f>IF(ORIG!T1213=0,"",ORIG!T1213)</f>
        <v/>
      </c>
      <c r="U1213" s="3">
        <f>IF(ORIG!U1213=0,"",ORIG!U1213)</f>
        <v/>
      </c>
      <c r="V1213" s="9">
        <f>IF(ORIG!V1213=0,"",ORIG!V1213)</f>
        <v/>
      </c>
      <c r="W1213" s="9">
        <f>IF(ORIG!W1213=0,"",ORIG!W1213)</f>
        <v/>
      </c>
      <c r="X1213" s="9">
        <f>IF(ORIG!X1213=0,"",ORIG!X1213)</f>
        <v/>
      </c>
      <c r="Y1213" s="9">
        <f>IF(ORIG!Y1213=0,"",ORIG!Y1213)</f>
        <v/>
      </c>
      <c r="Z1213" s="3">
        <f>SUMPRODUCT($B1213:$Y1213,$B$2649:$Y$2649)</f>
        <v/>
      </c>
      <c r="AA1213" s="3">
        <f>SUMPRODUCT($B1213:$Y1213,$B$2655:$Y$2655)</f>
        <v/>
      </c>
      <c r="AC1213" s="1">
        <f>A1213</f>
        <v/>
      </c>
      <c r="AD1213">
        <f>IF(ISNUMBER(V1213),V1213*($AB$1/V$2635),"")</f>
        <v/>
      </c>
      <c r="AE1213">
        <f>IF(ISNUMBER(Z1213),Z1213*($AB$1/Z$2635),"")</f>
        <v/>
      </c>
      <c r="AF1213" s="25">
        <f>IF(ISNUMBER(AD1213+AE1213),AD1213+AE1213,"")</f>
        <v/>
      </c>
      <c r="AH1213" s="1">
        <f>A1213</f>
        <v/>
      </c>
      <c r="AI1213">
        <f>IF(ISNUMBER((1+V1213)*AI1212),(1+V1213)*AI1212,AI1212)</f>
        <v/>
      </c>
      <c r="AJ1213">
        <f>IF(ISNUMBER((1+Z1213)*AJ1212),(1+Z1213)*AJ1212,AJ1212)</f>
        <v/>
      </c>
    </row>
    <row r="1214">
      <c r="A1214" s="1" t="n">
        <v>43762</v>
      </c>
      <c r="B1214" s="3">
        <f>IF(ORIG!B1214=0,"",ORIG!B1214)</f>
        <v/>
      </c>
      <c r="C1214" s="3">
        <f>IF(ORIG!C1214=0,"",ORIG!C1214)</f>
        <v/>
      </c>
      <c r="D1214" s="3">
        <f>IF(ORIG!D1214=0,"",ORIG!D1214)</f>
        <v/>
      </c>
      <c r="E1214" s="3">
        <f>IF(ORIG!E1214=0,"",ORIG!E1214)</f>
        <v/>
      </c>
      <c r="F1214" s="3">
        <f>IF(ORIG!F1214=0,"",ORIG!F1214)</f>
        <v/>
      </c>
      <c r="G1214" s="3">
        <f>IF(ORIG!G1214=0,"",ORIG!G1214)</f>
        <v/>
      </c>
      <c r="H1214" s="3">
        <f>IF(ORIG!H1214=0,"",ORIG!H1214)</f>
        <v/>
      </c>
      <c r="I1214" s="3">
        <f>IF(ORIG!I1214=0,"",ORIG!I1214)</f>
        <v/>
      </c>
      <c r="J1214" s="3">
        <f>IF(ORIG!J1214=0,"",ORIG!J1214)</f>
        <v/>
      </c>
      <c r="K1214" s="3">
        <f>IF(ORIG!K1214=0,"",ORIG!K1214)</f>
        <v/>
      </c>
      <c r="L1214" s="3">
        <f>IF(ORIG!L1214=0,"",ORIG!L1214)</f>
        <v/>
      </c>
      <c r="M1214" s="3">
        <f>IF(ORIG!M1214=0,"",ORIG!M1214)</f>
        <v/>
      </c>
      <c r="N1214" s="3">
        <f>IF(ORIG!N1214=0,"",ORIG!N1214)</f>
        <v/>
      </c>
      <c r="O1214" s="3">
        <f>IF(ORIG!O1214=0,"",ORIG!O1214)</f>
        <v/>
      </c>
      <c r="P1214" s="3">
        <f>IF(ORIG!P1214=0,"",ORIG!P1214)</f>
        <v/>
      </c>
      <c r="Q1214" s="3">
        <f>IF(ORIG!Q1214=0,"",ORIG!Q1214)</f>
        <v/>
      </c>
      <c r="R1214" s="3">
        <f>IF(ORIG!R1214=0,"",ORIG!R1214)</f>
        <v/>
      </c>
      <c r="S1214" s="3">
        <f>IF(ORIG!S1214=0,"",ORIG!S1214)</f>
        <v/>
      </c>
      <c r="T1214" s="3">
        <f>IF(ORIG!T1214=0,"",ORIG!T1214)</f>
        <v/>
      </c>
      <c r="U1214" s="3">
        <f>IF(ORIG!U1214=0,"",ORIG!U1214)</f>
        <v/>
      </c>
      <c r="V1214" s="9">
        <f>IF(ORIG!V1214=0,"",ORIG!V1214)</f>
        <v/>
      </c>
      <c r="W1214" s="9">
        <f>IF(ORIG!W1214=0,"",ORIG!W1214)</f>
        <v/>
      </c>
      <c r="X1214" s="9">
        <f>IF(ORIG!X1214=0,"",ORIG!X1214)</f>
        <v/>
      </c>
      <c r="Y1214" s="9">
        <f>IF(ORIG!Y1214=0,"",ORIG!Y1214)</f>
        <v/>
      </c>
      <c r="Z1214" s="3">
        <f>SUMPRODUCT($B1214:$Y1214,$B$2649:$Y$2649)</f>
        <v/>
      </c>
      <c r="AA1214" s="3">
        <f>SUMPRODUCT($B1214:$Y1214,$B$2655:$Y$2655)</f>
        <v/>
      </c>
      <c r="AC1214" s="1">
        <f>A1214</f>
        <v/>
      </c>
      <c r="AD1214">
        <f>IF(ISNUMBER(V1214),V1214*($AB$1/V$2635),"")</f>
        <v/>
      </c>
      <c r="AE1214">
        <f>IF(ISNUMBER(Z1214),Z1214*($AB$1/Z$2635),"")</f>
        <v/>
      </c>
      <c r="AF1214" s="25">
        <f>IF(ISNUMBER(AD1214+AE1214),AD1214+AE1214,"")</f>
        <v/>
      </c>
      <c r="AH1214" s="1">
        <f>A1214</f>
        <v/>
      </c>
      <c r="AI1214">
        <f>IF(ISNUMBER((1+V1214)*AI1213),(1+V1214)*AI1213,AI1213)</f>
        <v/>
      </c>
      <c r="AJ1214">
        <f>IF(ISNUMBER((1+Z1214)*AJ1213),(1+Z1214)*AJ1213,AJ1213)</f>
        <v/>
      </c>
    </row>
    <row r="1215">
      <c r="A1215" s="1" t="n">
        <v>43763</v>
      </c>
      <c r="B1215" s="3">
        <f>IF(ORIG!B1215=0,"",ORIG!B1215)</f>
        <v/>
      </c>
      <c r="C1215" s="3">
        <f>IF(ORIG!C1215=0,"",ORIG!C1215)</f>
        <v/>
      </c>
      <c r="D1215" s="3">
        <f>IF(ORIG!D1215=0,"",ORIG!D1215)</f>
        <v/>
      </c>
      <c r="E1215" s="3">
        <f>IF(ORIG!E1215=0,"",ORIG!E1215)</f>
        <v/>
      </c>
      <c r="F1215" s="3">
        <f>IF(ORIG!F1215=0,"",ORIG!F1215)</f>
        <v/>
      </c>
      <c r="G1215" s="3">
        <f>IF(ORIG!G1215=0,"",ORIG!G1215)</f>
        <v/>
      </c>
      <c r="H1215" s="3">
        <f>IF(ORIG!H1215=0,"",ORIG!H1215)</f>
        <v/>
      </c>
      <c r="I1215" s="3">
        <f>IF(ORIG!I1215=0,"",ORIG!I1215)</f>
        <v/>
      </c>
      <c r="J1215" s="3">
        <f>IF(ORIG!J1215=0,"",ORIG!J1215)</f>
        <v/>
      </c>
      <c r="K1215" s="3">
        <f>IF(ORIG!K1215=0,"",ORIG!K1215)</f>
        <v/>
      </c>
      <c r="L1215" s="3">
        <f>IF(ORIG!L1215=0,"",ORIG!L1215)</f>
        <v/>
      </c>
      <c r="M1215" s="3">
        <f>IF(ORIG!M1215=0,"",ORIG!M1215)</f>
        <v/>
      </c>
      <c r="N1215" s="3">
        <f>IF(ORIG!N1215=0,"",ORIG!N1215)</f>
        <v/>
      </c>
      <c r="O1215" s="3">
        <f>IF(ORIG!O1215=0,"",ORIG!O1215)</f>
        <v/>
      </c>
      <c r="P1215" s="3">
        <f>IF(ORIG!P1215=0,"",ORIG!P1215)</f>
        <v/>
      </c>
      <c r="Q1215" s="3">
        <f>IF(ORIG!Q1215=0,"",ORIG!Q1215)</f>
        <v/>
      </c>
      <c r="R1215" s="3">
        <f>IF(ORIG!R1215=0,"",ORIG!R1215)</f>
        <v/>
      </c>
      <c r="S1215" s="3">
        <f>IF(ORIG!S1215=0,"",ORIG!S1215)</f>
        <v/>
      </c>
      <c r="T1215" s="3">
        <f>IF(ORIG!T1215=0,"",ORIG!T1215)</f>
        <v/>
      </c>
      <c r="U1215" s="3">
        <f>IF(ORIG!U1215=0,"",ORIG!U1215)</f>
        <v/>
      </c>
      <c r="V1215" s="9">
        <f>IF(ORIG!V1215=0,"",ORIG!V1215)</f>
        <v/>
      </c>
      <c r="W1215" s="9">
        <f>IF(ORIG!W1215=0,"",ORIG!W1215)</f>
        <v/>
      </c>
      <c r="X1215" s="9">
        <f>IF(ORIG!X1215=0,"",ORIG!X1215)</f>
        <v/>
      </c>
      <c r="Y1215" s="9">
        <f>IF(ORIG!Y1215=0,"",ORIG!Y1215)</f>
        <v/>
      </c>
      <c r="Z1215" s="3">
        <f>SUMPRODUCT($B1215:$Y1215,$B$2649:$Y$2649)</f>
        <v/>
      </c>
      <c r="AA1215" s="3">
        <f>SUMPRODUCT($B1215:$Y1215,$B$2655:$Y$2655)</f>
        <v/>
      </c>
      <c r="AC1215" s="1">
        <f>A1215</f>
        <v/>
      </c>
      <c r="AD1215">
        <f>IF(ISNUMBER(V1215),V1215*($AB$1/V$2635),"")</f>
        <v/>
      </c>
      <c r="AE1215">
        <f>IF(ISNUMBER(Z1215),Z1215*($AB$1/Z$2635),"")</f>
        <v/>
      </c>
      <c r="AF1215" s="25">
        <f>IF(ISNUMBER(AD1215+AE1215),AD1215+AE1215,"")</f>
        <v/>
      </c>
      <c r="AH1215" s="1">
        <f>A1215</f>
        <v/>
      </c>
      <c r="AI1215">
        <f>IF(ISNUMBER((1+V1215)*AI1214),(1+V1215)*AI1214,AI1214)</f>
        <v/>
      </c>
      <c r="AJ1215">
        <f>IF(ISNUMBER((1+Z1215)*AJ1214),(1+Z1215)*AJ1214,AJ1214)</f>
        <v/>
      </c>
    </row>
    <row r="1216">
      <c r="A1216" s="1" t="n">
        <v>43766</v>
      </c>
      <c r="B1216" s="3">
        <f>IF(ORIG!B1216=0,"",ORIG!B1216)</f>
        <v/>
      </c>
      <c r="C1216" s="3">
        <f>IF(ORIG!C1216=0,"",ORIG!C1216)</f>
        <v/>
      </c>
      <c r="D1216" s="3">
        <f>IF(ORIG!D1216=0,"",ORIG!D1216)</f>
        <v/>
      </c>
      <c r="E1216" s="3">
        <f>IF(ORIG!E1216=0,"",ORIG!E1216)</f>
        <v/>
      </c>
      <c r="F1216" s="3">
        <f>IF(ORIG!F1216=0,"",ORIG!F1216)</f>
        <v/>
      </c>
      <c r="G1216" s="3">
        <f>IF(ORIG!G1216=0,"",ORIG!G1216)</f>
        <v/>
      </c>
      <c r="H1216" s="3">
        <f>IF(ORIG!H1216=0,"",ORIG!H1216)</f>
        <v/>
      </c>
      <c r="I1216" s="3">
        <f>IF(ORIG!I1216=0,"",ORIG!I1216)</f>
        <v/>
      </c>
      <c r="J1216" s="3">
        <f>IF(ORIG!J1216=0,"",ORIG!J1216)</f>
        <v/>
      </c>
      <c r="K1216" s="3">
        <f>IF(ORIG!K1216=0,"",ORIG!K1216)</f>
        <v/>
      </c>
      <c r="L1216" s="3">
        <f>IF(ORIG!L1216=0,"",ORIG!L1216)</f>
        <v/>
      </c>
      <c r="M1216" s="3">
        <f>IF(ORIG!M1216=0,"",ORIG!M1216)</f>
        <v/>
      </c>
      <c r="N1216" s="3">
        <f>IF(ORIG!N1216=0,"",ORIG!N1216)</f>
        <v/>
      </c>
      <c r="O1216" s="3">
        <f>IF(ORIG!O1216=0,"",ORIG!O1216)</f>
        <v/>
      </c>
      <c r="P1216" s="3">
        <f>IF(ORIG!P1216=0,"",ORIG!P1216)</f>
        <v/>
      </c>
      <c r="Q1216" s="3">
        <f>IF(ORIG!Q1216=0,"",ORIG!Q1216)</f>
        <v/>
      </c>
      <c r="R1216" s="3">
        <f>IF(ORIG!R1216=0,"",ORIG!R1216)</f>
        <v/>
      </c>
      <c r="S1216" s="3">
        <f>IF(ORIG!S1216=0,"",ORIG!S1216)</f>
        <v/>
      </c>
      <c r="T1216" s="3">
        <f>IF(ORIG!T1216=0,"",ORIG!T1216)</f>
        <v/>
      </c>
      <c r="U1216" s="3">
        <f>IF(ORIG!U1216=0,"",ORIG!U1216)</f>
        <v/>
      </c>
      <c r="V1216" s="9">
        <f>IF(ORIG!V1216=0,"",ORIG!V1216)</f>
        <v/>
      </c>
      <c r="W1216" s="9">
        <f>IF(ORIG!W1216=0,"",ORIG!W1216)</f>
        <v/>
      </c>
      <c r="X1216" s="9">
        <f>IF(ORIG!X1216=0,"",ORIG!X1216)</f>
        <v/>
      </c>
      <c r="Y1216" s="9">
        <f>IF(ORIG!Y1216=0,"",ORIG!Y1216)</f>
        <v/>
      </c>
      <c r="Z1216" s="3">
        <f>SUMPRODUCT($B1216:$Y1216,$B$2649:$Y$2649)</f>
        <v/>
      </c>
      <c r="AA1216" s="3">
        <f>SUMPRODUCT($B1216:$Y1216,$B$2655:$Y$2655)</f>
        <v/>
      </c>
      <c r="AC1216" s="1">
        <f>A1216</f>
        <v/>
      </c>
      <c r="AD1216">
        <f>IF(ISNUMBER(V1216),V1216*($AB$1/V$2635),"")</f>
        <v/>
      </c>
      <c r="AE1216">
        <f>IF(ISNUMBER(Z1216),Z1216*($AB$1/Z$2635),"")</f>
        <v/>
      </c>
      <c r="AF1216" s="25">
        <f>IF(ISNUMBER(AD1216+AE1216),AD1216+AE1216,"")</f>
        <v/>
      </c>
      <c r="AH1216" s="1">
        <f>A1216</f>
        <v/>
      </c>
      <c r="AI1216">
        <f>IF(ISNUMBER((1+V1216)*AI1215),(1+V1216)*AI1215,AI1215)</f>
        <v/>
      </c>
      <c r="AJ1216">
        <f>IF(ISNUMBER((1+Z1216)*AJ1215),(1+Z1216)*AJ1215,AJ1215)</f>
        <v/>
      </c>
    </row>
    <row r="1217">
      <c r="A1217" s="1" t="n">
        <v>43767</v>
      </c>
      <c r="B1217" s="3">
        <f>IF(ORIG!B1217=0,"",ORIG!B1217)</f>
        <v/>
      </c>
      <c r="C1217" s="3">
        <f>IF(ORIG!C1217=0,"",ORIG!C1217)</f>
        <v/>
      </c>
      <c r="D1217" s="3">
        <f>IF(ORIG!D1217=0,"",ORIG!D1217)</f>
        <v/>
      </c>
      <c r="E1217" s="3">
        <f>IF(ORIG!E1217=0,"",ORIG!E1217)</f>
        <v/>
      </c>
      <c r="F1217" s="3">
        <f>IF(ORIG!F1217=0,"",ORIG!F1217)</f>
        <v/>
      </c>
      <c r="G1217" s="3">
        <f>IF(ORIG!G1217=0,"",ORIG!G1217)</f>
        <v/>
      </c>
      <c r="H1217" s="3">
        <f>IF(ORIG!H1217=0,"",ORIG!H1217)</f>
        <v/>
      </c>
      <c r="I1217" s="3">
        <f>IF(ORIG!I1217=0,"",ORIG!I1217)</f>
        <v/>
      </c>
      <c r="J1217" s="3">
        <f>IF(ORIG!J1217=0,"",ORIG!J1217)</f>
        <v/>
      </c>
      <c r="K1217" s="3">
        <f>IF(ORIG!K1217=0,"",ORIG!K1217)</f>
        <v/>
      </c>
      <c r="L1217" s="3">
        <f>IF(ORIG!L1217=0,"",ORIG!L1217)</f>
        <v/>
      </c>
      <c r="M1217" s="3">
        <f>IF(ORIG!M1217=0,"",ORIG!M1217)</f>
        <v/>
      </c>
      <c r="N1217" s="3">
        <f>IF(ORIG!N1217=0,"",ORIG!N1217)</f>
        <v/>
      </c>
      <c r="O1217" s="3">
        <f>IF(ORIG!O1217=0,"",ORIG!O1217)</f>
        <v/>
      </c>
      <c r="P1217" s="3">
        <f>IF(ORIG!P1217=0,"",ORIG!P1217)</f>
        <v/>
      </c>
      <c r="Q1217" s="3">
        <f>IF(ORIG!Q1217=0,"",ORIG!Q1217)</f>
        <v/>
      </c>
      <c r="R1217" s="3">
        <f>IF(ORIG!R1217=0,"",ORIG!R1217)</f>
        <v/>
      </c>
      <c r="S1217" s="3">
        <f>IF(ORIG!S1217=0,"",ORIG!S1217)</f>
        <v/>
      </c>
      <c r="T1217" s="3">
        <f>IF(ORIG!T1217=0,"",ORIG!T1217)</f>
        <v/>
      </c>
      <c r="U1217" s="3">
        <f>IF(ORIG!U1217=0,"",ORIG!U1217)</f>
        <v/>
      </c>
      <c r="V1217" s="9">
        <f>IF(ORIG!V1217=0,"",ORIG!V1217)</f>
        <v/>
      </c>
      <c r="W1217" s="9">
        <f>IF(ORIG!W1217=0,"",ORIG!W1217)</f>
        <v/>
      </c>
      <c r="X1217" s="9">
        <f>IF(ORIG!X1217=0,"",ORIG!X1217)</f>
        <v/>
      </c>
      <c r="Y1217" s="9">
        <f>IF(ORIG!Y1217=0,"",ORIG!Y1217)</f>
        <v/>
      </c>
      <c r="Z1217" s="3">
        <f>SUMPRODUCT($B1217:$Y1217,$B$2649:$Y$2649)</f>
        <v/>
      </c>
      <c r="AA1217" s="3">
        <f>SUMPRODUCT($B1217:$Y1217,$B$2655:$Y$2655)</f>
        <v/>
      </c>
      <c r="AC1217" s="1">
        <f>A1217</f>
        <v/>
      </c>
      <c r="AD1217">
        <f>IF(ISNUMBER(V1217),V1217*($AB$1/V$2635),"")</f>
        <v/>
      </c>
      <c r="AE1217">
        <f>IF(ISNUMBER(Z1217),Z1217*($AB$1/Z$2635),"")</f>
        <v/>
      </c>
      <c r="AF1217" s="25">
        <f>IF(ISNUMBER(AD1217+AE1217),AD1217+AE1217,"")</f>
        <v/>
      </c>
      <c r="AH1217" s="1">
        <f>A1217</f>
        <v/>
      </c>
      <c r="AI1217">
        <f>IF(ISNUMBER((1+V1217)*AI1216),(1+V1217)*AI1216,AI1216)</f>
        <v/>
      </c>
      <c r="AJ1217">
        <f>IF(ISNUMBER((1+Z1217)*AJ1216),(1+Z1217)*AJ1216,AJ1216)</f>
        <v/>
      </c>
    </row>
    <row r="1218">
      <c r="A1218" s="1" t="n">
        <v>43768</v>
      </c>
      <c r="B1218" s="3">
        <f>IF(ORIG!B1218=0,"",ORIG!B1218)</f>
        <v/>
      </c>
      <c r="C1218" s="3">
        <f>IF(ORIG!C1218=0,"",ORIG!C1218)</f>
        <v/>
      </c>
      <c r="D1218" s="3">
        <f>IF(ORIG!D1218=0,"",ORIG!D1218)</f>
        <v/>
      </c>
      <c r="E1218" s="3">
        <f>IF(ORIG!E1218=0,"",ORIG!E1218)</f>
        <v/>
      </c>
      <c r="F1218" s="3">
        <f>IF(ORIG!F1218=0,"",ORIG!F1218)</f>
        <v/>
      </c>
      <c r="G1218" s="3">
        <f>IF(ORIG!G1218=0,"",ORIG!G1218)</f>
        <v/>
      </c>
      <c r="H1218" s="3">
        <f>IF(ORIG!H1218=0,"",ORIG!H1218)</f>
        <v/>
      </c>
      <c r="I1218" s="3">
        <f>IF(ORIG!I1218=0,"",ORIG!I1218)</f>
        <v/>
      </c>
      <c r="J1218" s="3">
        <f>IF(ORIG!J1218=0,"",ORIG!J1218)</f>
        <v/>
      </c>
      <c r="K1218" s="3">
        <f>IF(ORIG!K1218=0,"",ORIG!K1218)</f>
        <v/>
      </c>
      <c r="L1218" s="3">
        <f>IF(ORIG!L1218=0,"",ORIG!L1218)</f>
        <v/>
      </c>
      <c r="M1218" s="3">
        <f>IF(ORIG!M1218=0,"",ORIG!M1218)</f>
        <v/>
      </c>
      <c r="N1218" s="3">
        <f>IF(ORIG!N1218=0,"",ORIG!N1218)</f>
        <v/>
      </c>
      <c r="O1218" s="3">
        <f>IF(ORIG!O1218=0,"",ORIG!O1218)</f>
        <v/>
      </c>
      <c r="P1218" s="3">
        <f>IF(ORIG!P1218=0,"",ORIG!P1218)</f>
        <v/>
      </c>
      <c r="Q1218" s="3">
        <f>IF(ORIG!Q1218=0,"",ORIG!Q1218)</f>
        <v/>
      </c>
      <c r="R1218" s="3">
        <f>IF(ORIG!R1218=0,"",ORIG!R1218)</f>
        <v/>
      </c>
      <c r="S1218" s="3">
        <f>IF(ORIG!S1218=0,"",ORIG!S1218)</f>
        <v/>
      </c>
      <c r="T1218" s="3">
        <f>IF(ORIG!T1218=0,"",ORIG!T1218)</f>
        <v/>
      </c>
      <c r="U1218" s="3">
        <f>IF(ORIG!U1218=0,"",ORIG!U1218)</f>
        <v/>
      </c>
      <c r="V1218" s="9">
        <f>IF(ORIG!V1218=0,"",ORIG!V1218)</f>
        <v/>
      </c>
      <c r="W1218" s="9">
        <f>IF(ORIG!W1218=0,"",ORIG!W1218)</f>
        <v/>
      </c>
      <c r="X1218" s="9">
        <f>IF(ORIG!X1218=0,"",ORIG!X1218)</f>
        <v/>
      </c>
      <c r="Y1218" s="9">
        <f>IF(ORIG!Y1218=0,"",ORIG!Y1218)</f>
        <v/>
      </c>
      <c r="Z1218" s="3">
        <f>SUMPRODUCT($B1218:$Y1218,$B$2649:$Y$2649)</f>
        <v/>
      </c>
      <c r="AA1218" s="3">
        <f>SUMPRODUCT($B1218:$Y1218,$B$2655:$Y$2655)</f>
        <v/>
      </c>
      <c r="AC1218" s="1">
        <f>A1218</f>
        <v/>
      </c>
      <c r="AD1218">
        <f>IF(ISNUMBER(V1218),V1218*($AB$1/V$2635),"")</f>
        <v/>
      </c>
      <c r="AE1218">
        <f>IF(ISNUMBER(Z1218),Z1218*($AB$1/Z$2635),"")</f>
        <v/>
      </c>
      <c r="AF1218" s="25">
        <f>IF(ISNUMBER(AD1218+AE1218),AD1218+AE1218,"")</f>
        <v/>
      </c>
      <c r="AH1218" s="1">
        <f>A1218</f>
        <v/>
      </c>
      <c r="AI1218">
        <f>IF(ISNUMBER((1+V1218)*AI1217),(1+V1218)*AI1217,AI1217)</f>
        <v/>
      </c>
      <c r="AJ1218">
        <f>IF(ISNUMBER((1+Z1218)*AJ1217),(1+Z1218)*AJ1217,AJ1217)</f>
        <v/>
      </c>
    </row>
    <row r="1219">
      <c r="A1219" s="1" t="n">
        <v>43769</v>
      </c>
      <c r="B1219" s="3">
        <f>IF(ORIG!B1219=0,"",ORIG!B1219)</f>
        <v/>
      </c>
      <c r="C1219" s="3">
        <f>IF(ORIG!C1219=0,"",ORIG!C1219)</f>
        <v/>
      </c>
      <c r="D1219" s="3">
        <f>IF(ORIG!D1219=0,"",ORIG!D1219)</f>
        <v/>
      </c>
      <c r="E1219" s="3">
        <f>IF(ORIG!E1219=0,"",ORIG!E1219)</f>
        <v/>
      </c>
      <c r="F1219" s="3">
        <f>IF(ORIG!F1219=0,"",ORIG!F1219)</f>
        <v/>
      </c>
      <c r="G1219" s="3">
        <f>IF(ORIG!G1219=0,"",ORIG!G1219)</f>
        <v/>
      </c>
      <c r="H1219" s="3">
        <f>IF(ORIG!H1219=0,"",ORIG!H1219)</f>
        <v/>
      </c>
      <c r="I1219" s="3">
        <f>IF(ORIG!I1219=0,"",ORIG!I1219)</f>
        <v/>
      </c>
      <c r="J1219" s="3">
        <f>IF(ORIG!J1219=0,"",ORIG!J1219)</f>
        <v/>
      </c>
      <c r="K1219" s="3">
        <f>IF(ORIG!K1219=0,"",ORIG!K1219)</f>
        <v/>
      </c>
      <c r="L1219" s="3">
        <f>IF(ORIG!L1219=0,"",ORIG!L1219)</f>
        <v/>
      </c>
      <c r="M1219" s="3">
        <f>IF(ORIG!M1219=0,"",ORIG!M1219)</f>
        <v/>
      </c>
      <c r="N1219" s="3">
        <f>IF(ORIG!N1219=0,"",ORIG!N1219)</f>
        <v/>
      </c>
      <c r="O1219" s="3">
        <f>IF(ORIG!O1219=0,"",ORIG!O1219)</f>
        <v/>
      </c>
      <c r="P1219" s="3">
        <f>IF(ORIG!P1219=0,"",ORIG!P1219)</f>
        <v/>
      </c>
      <c r="Q1219" s="3">
        <f>IF(ORIG!Q1219=0,"",ORIG!Q1219)</f>
        <v/>
      </c>
      <c r="R1219" s="3">
        <f>IF(ORIG!R1219=0,"",ORIG!R1219)</f>
        <v/>
      </c>
      <c r="S1219" s="3">
        <f>IF(ORIG!S1219=0,"",ORIG!S1219)</f>
        <v/>
      </c>
      <c r="T1219" s="3">
        <f>IF(ORIG!T1219=0,"",ORIG!T1219)</f>
        <v/>
      </c>
      <c r="U1219" s="3">
        <f>IF(ORIG!U1219=0,"",ORIG!U1219)</f>
        <v/>
      </c>
      <c r="V1219" s="9">
        <f>IF(ORIG!V1219=0,"",ORIG!V1219)</f>
        <v/>
      </c>
      <c r="W1219" s="9">
        <f>IF(ORIG!W1219=0,"",ORIG!W1219)</f>
        <v/>
      </c>
      <c r="X1219" s="9">
        <f>IF(ORIG!X1219=0,"",ORIG!X1219)</f>
        <v/>
      </c>
      <c r="Y1219" s="9">
        <f>IF(ORIG!Y1219=0,"",ORIG!Y1219)</f>
        <v/>
      </c>
      <c r="Z1219" s="3">
        <f>SUMPRODUCT($B1219:$Y1219,$B$2649:$Y$2649)</f>
        <v/>
      </c>
      <c r="AA1219" s="3">
        <f>SUMPRODUCT($B1219:$Y1219,$B$2655:$Y$2655)</f>
        <v/>
      </c>
      <c r="AC1219" s="1">
        <f>A1219</f>
        <v/>
      </c>
      <c r="AD1219">
        <f>IF(ISNUMBER(V1219),V1219*($AB$1/V$2635),"")</f>
        <v/>
      </c>
      <c r="AE1219">
        <f>IF(ISNUMBER(Z1219),Z1219*($AB$1/Z$2635),"")</f>
        <v/>
      </c>
      <c r="AF1219" s="25">
        <f>IF(ISNUMBER(AD1219+AE1219),AD1219+AE1219,"")</f>
        <v/>
      </c>
      <c r="AH1219" s="1">
        <f>A1219</f>
        <v/>
      </c>
      <c r="AI1219">
        <f>IF(ISNUMBER((1+V1219)*AI1218),(1+V1219)*AI1218,AI1218)</f>
        <v/>
      </c>
      <c r="AJ1219">
        <f>IF(ISNUMBER((1+Z1219)*AJ1218),(1+Z1219)*AJ1218,AJ1218)</f>
        <v/>
      </c>
    </row>
    <row r="1220">
      <c r="A1220" s="1" t="n">
        <v>43770</v>
      </c>
      <c r="B1220" s="3">
        <f>IF(ORIG!B1220=0,"",ORIG!B1220)</f>
        <v/>
      </c>
      <c r="C1220" s="3">
        <f>IF(ORIG!C1220=0,"",ORIG!C1220)</f>
        <v/>
      </c>
      <c r="D1220" s="3">
        <f>IF(ORIG!D1220=0,"",ORIG!D1220)</f>
        <v/>
      </c>
      <c r="E1220" s="3">
        <f>IF(ORIG!E1220=0,"",ORIG!E1220)</f>
        <v/>
      </c>
      <c r="F1220" s="3">
        <f>IF(ORIG!F1220=0,"",ORIG!F1220)</f>
        <v/>
      </c>
      <c r="G1220" s="3">
        <f>IF(ORIG!G1220=0,"",ORIG!G1220)</f>
        <v/>
      </c>
      <c r="H1220" s="3">
        <f>IF(ORIG!H1220=0,"",ORIG!H1220)</f>
        <v/>
      </c>
      <c r="I1220" s="3">
        <f>IF(ORIG!I1220=0,"",ORIG!I1220)</f>
        <v/>
      </c>
      <c r="J1220" s="3">
        <f>IF(ORIG!J1220=0,"",ORIG!J1220)</f>
        <v/>
      </c>
      <c r="K1220" s="3">
        <f>IF(ORIG!K1220=0,"",ORIG!K1220)</f>
        <v/>
      </c>
      <c r="L1220" s="3">
        <f>IF(ORIG!L1220=0,"",ORIG!L1220)</f>
        <v/>
      </c>
      <c r="M1220" s="3">
        <f>IF(ORIG!M1220=0,"",ORIG!M1220)</f>
        <v/>
      </c>
      <c r="N1220" s="3">
        <f>IF(ORIG!N1220=0,"",ORIG!N1220)</f>
        <v/>
      </c>
      <c r="O1220" s="3">
        <f>IF(ORIG!O1220=0,"",ORIG!O1220)</f>
        <v/>
      </c>
      <c r="P1220" s="3">
        <f>IF(ORIG!P1220=0,"",ORIG!P1220)</f>
        <v/>
      </c>
      <c r="Q1220" s="3">
        <f>IF(ORIG!Q1220=0,"",ORIG!Q1220)</f>
        <v/>
      </c>
      <c r="R1220" s="3">
        <f>IF(ORIG!R1220=0,"",ORIG!R1220)</f>
        <v/>
      </c>
      <c r="S1220" s="3">
        <f>IF(ORIG!S1220=0,"",ORIG!S1220)</f>
        <v/>
      </c>
      <c r="T1220" s="3">
        <f>IF(ORIG!T1220=0,"",ORIG!T1220)</f>
        <v/>
      </c>
      <c r="U1220" s="3">
        <f>IF(ORIG!U1220=0,"",ORIG!U1220)</f>
        <v/>
      </c>
      <c r="V1220" s="9">
        <f>IF(ORIG!V1220=0,"",ORIG!V1220)</f>
        <v/>
      </c>
      <c r="W1220" s="9">
        <f>IF(ORIG!W1220=0,"",ORIG!W1220)</f>
        <v/>
      </c>
      <c r="X1220" s="9">
        <f>IF(ORIG!X1220=0,"",ORIG!X1220)</f>
        <v/>
      </c>
      <c r="Y1220" s="9">
        <f>IF(ORIG!Y1220=0,"",ORIG!Y1220)</f>
        <v/>
      </c>
      <c r="Z1220" s="3">
        <f>SUMPRODUCT($B1220:$Y1220,$B$2649:$Y$2649)</f>
        <v/>
      </c>
      <c r="AA1220" s="3">
        <f>SUMPRODUCT($B1220:$Y1220,$B$2655:$Y$2655)</f>
        <v/>
      </c>
      <c r="AC1220" s="1">
        <f>A1220</f>
        <v/>
      </c>
      <c r="AD1220">
        <f>IF(ISNUMBER(V1220),V1220*($AB$1/V$2635),"")</f>
        <v/>
      </c>
      <c r="AE1220">
        <f>IF(ISNUMBER(Z1220),Z1220*($AB$1/Z$2635),"")</f>
        <v/>
      </c>
      <c r="AF1220" s="25">
        <f>IF(ISNUMBER(AD1220+AE1220),AD1220+AE1220,"")</f>
        <v/>
      </c>
      <c r="AH1220" s="1">
        <f>A1220</f>
        <v/>
      </c>
      <c r="AI1220">
        <f>IF(ISNUMBER((1+V1220)*AI1219),(1+V1220)*AI1219,AI1219)</f>
        <v/>
      </c>
      <c r="AJ1220">
        <f>IF(ISNUMBER((1+Z1220)*AJ1219),(1+Z1220)*AJ1219,AJ1219)</f>
        <v/>
      </c>
    </row>
    <row r="1221">
      <c r="A1221" s="1" t="n">
        <v>43773</v>
      </c>
      <c r="B1221" s="3">
        <f>IF(ORIG!B1221=0,"",ORIG!B1221)</f>
        <v/>
      </c>
      <c r="C1221" s="3">
        <f>IF(ORIG!C1221=0,"",ORIG!C1221)</f>
        <v/>
      </c>
      <c r="D1221" s="3">
        <f>IF(ORIG!D1221=0,"",ORIG!D1221)</f>
        <v/>
      </c>
      <c r="E1221" s="3">
        <f>IF(ORIG!E1221=0,"",ORIG!E1221)</f>
        <v/>
      </c>
      <c r="F1221" s="3">
        <f>IF(ORIG!F1221=0,"",ORIG!F1221)</f>
        <v/>
      </c>
      <c r="G1221" s="3">
        <f>IF(ORIG!G1221=0,"",ORIG!G1221)</f>
        <v/>
      </c>
      <c r="H1221" s="3">
        <f>IF(ORIG!H1221=0,"",ORIG!H1221)</f>
        <v/>
      </c>
      <c r="I1221" s="3">
        <f>IF(ORIG!I1221=0,"",ORIG!I1221)</f>
        <v/>
      </c>
      <c r="J1221" s="3">
        <f>IF(ORIG!J1221=0,"",ORIG!J1221)</f>
        <v/>
      </c>
      <c r="K1221" s="3">
        <f>IF(ORIG!K1221=0,"",ORIG!K1221)</f>
        <v/>
      </c>
      <c r="L1221" s="3">
        <f>IF(ORIG!L1221=0,"",ORIG!L1221)</f>
        <v/>
      </c>
      <c r="M1221" s="3">
        <f>IF(ORIG!M1221=0,"",ORIG!M1221)</f>
        <v/>
      </c>
      <c r="N1221" s="3">
        <f>IF(ORIG!N1221=0,"",ORIG!N1221)</f>
        <v/>
      </c>
      <c r="O1221" s="3">
        <f>IF(ORIG!O1221=0,"",ORIG!O1221)</f>
        <v/>
      </c>
      <c r="P1221" s="3">
        <f>IF(ORIG!P1221=0,"",ORIG!P1221)</f>
        <v/>
      </c>
      <c r="Q1221" s="3">
        <f>IF(ORIG!Q1221=0,"",ORIG!Q1221)</f>
        <v/>
      </c>
      <c r="R1221" s="3">
        <f>IF(ORIG!R1221=0,"",ORIG!R1221)</f>
        <v/>
      </c>
      <c r="S1221" s="3">
        <f>IF(ORIG!S1221=0,"",ORIG!S1221)</f>
        <v/>
      </c>
      <c r="T1221" s="3">
        <f>IF(ORIG!T1221=0,"",ORIG!T1221)</f>
        <v/>
      </c>
      <c r="U1221" s="3">
        <f>IF(ORIG!U1221=0,"",ORIG!U1221)</f>
        <v/>
      </c>
      <c r="V1221" s="9">
        <f>IF(ORIG!V1221=0,"",ORIG!V1221)</f>
        <v/>
      </c>
      <c r="W1221" s="9">
        <f>IF(ORIG!W1221=0,"",ORIG!W1221)</f>
        <v/>
      </c>
      <c r="X1221" s="9">
        <f>IF(ORIG!X1221=0,"",ORIG!X1221)</f>
        <v/>
      </c>
      <c r="Y1221" s="9">
        <f>IF(ORIG!Y1221=0,"",ORIG!Y1221)</f>
        <v/>
      </c>
      <c r="Z1221" s="3">
        <f>SUMPRODUCT($B1221:$Y1221,$B$2649:$Y$2649)</f>
        <v/>
      </c>
      <c r="AA1221" s="3">
        <f>SUMPRODUCT($B1221:$Y1221,$B$2655:$Y$2655)</f>
        <v/>
      </c>
      <c r="AC1221" s="1">
        <f>A1221</f>
        <v/>
      </c>
      <c r="AD1221">
        <f>IF(ISNUMBER(V1221),V1221*($AB$1/V$2635),"")</f>
        <v/>
      </c>
      <c r="AE1221">
        <f>IF(ISNUMBER(Z1221),Z1221*($AB$1/Z$2635),"")</f>
        <v/>
      </c>
      <c r="AF1221" s="25">
        <f>IF(ISNUMBER(AD1221+AE1221),AD1221+AE1221,"")</f>
        <v/>
      </c>
      <c r="AH1221" s="1">
        <f>A1221</f>
        <v/>
      </c>
      <c r="AI1221">
        <f>IF(ISNUMBER((1+V1221)*AI1220),(1+V1221)*AI1220,AI1220)</f>
        <v/>
      </c>
      <c r="AJ1221">
        <f>IF(ISNUMBER((1+Z1221)*AJ1220),(1+Z1221)*AJ1220,AJ1220)</f>
        <v/>
      </c>
    </row>
    <row r="1222">
      <c r="A1222" s="1" t="n">
        <v>43774</v>
      </c>
      <c r="B1222" s="3">
        <f>IF(ORIG!B1222=0,"",ORIG!B1222)</f>
        <v/>
      </c>
      <c r="C1222" s="3">
        <f>IF(ORIG!C1222=0,"",ORIG!C1222)</f>
        <v/>
      </c>
      <c r="D1222" s="3">
        <f>IF(ORIG!D1222=0,"",ORIG!D1222)</f>
        <v/>
      </c>
      <c r="E1222" s="3">
        <f>IF(ORIG!E1222=0,"",ORIG!E1222)</f>
        <v/>
      </c>
      <c r="F1222" s="3">
        <f>IF(ORIG!F1222=0,"",ORIG!F1222)</f>
        <v/>
      </c>
      <c r="G1222" s="3">
        <f>IF(ORIG!G1222=0,"",ORIG!G1222)</f>
        <v/>
      </c>
      <c r="H1222" s="3">
        <f>IF(ORIG!H1222=0,"",ORIG!H1222)</f>
        <v/>
      </c>
      <c r="I1222" s="3">
        <f>IF(ORIG!I1222=0,"",ORIG!I1222)</f>
        <v/>
      </c>
      <c r="J1222" s="3">
        <f>IF(ORIG!J1222=0,"",ORIG!J1222)</f>
        <v/>
      </c>
      <c r="K1222" s="3">
        <f>IF(ORIG!K1222=0,"",ORIG!K1222)</f>
        <v/>
      </c>
      <c r="L1222" s="3">
        <f>IF(ORIG!L1222=0,"",ORIG!L1222)</f>
        <v/>
      </c>
      <c r="M1222" s="3">
        <f>IF(ORIG!M1222=0,"",ORIG!M1222)</f>
        <v/>
      </c>
      <c r="N1222" s="3">
        <f>IF(ORIG!N1222=0,"",ORIG!N1222)</f>
        <v/>
      </c>
      <c r="O1222" s="3">
        <f>IF(ORIG!O1222=0,"",ORIG!O1222)</f>
        <v/>
      </c>
      <c r="P1222" s="3">
        <f>IF(ORIG!P1222=0,"",ORIG!P1222)</f>
        <v/>
      </c>
      <c r="Q1222" s="3">
        <f>IF(ORIG!Q1222=0,"",ORIG!Q1222)</f>
        <v/>
      </c>
      <c r="R1222" s="3">
        <f>IF(ORIG!R1222=0,"",ORIG!R1222)</f>
        <v/>
      </c>
      <c r="S1222" s="3">
        <f>IF(ORIG!S1222=0,"",ORIG!S1222)</f>
        <v/>
      </c>
      <c r="T1222" s="3">
        <f>IF(ORIG!T1222=0,"",ORIG!T1222)</f>
        <v/>
      </c>
      <c r="U1222" s="3">
        <f>IF(ORIG!U1222=0,"",ORIG!U1222)</f>
        <v/>
      </c>
      <c r="V1222" s="9">
        <f>IF(ORIG!V1222=0,"",ORIG!V1222)</f>
        <v/>
      </c>
      <c r="W1222" s="9">
        <f>IF(ORIG!W1222=0,"",ORIG!W1222)</f>
        <v/>
      </c>
      <c r="X1222" s="9">
        <f>IF(ORIG!X1222=0,"",ORIG!X1222)</f>
        <v/>
      </c>
      <c r="Y1222" s="9">
        <f>IF(ORIG!Y1222=0,"",ORIG!Y1222)</f>
        <v/>
      </c>
      <c r="Z1222" s="3">
        <f>SUMPRODUCT($B1222:$Y1222,$B$2649:$Y$2649)</f>
        <v/>
      </c>
      <c r="AA1222" s="3">
        <f>SUMPRODUCT($B1222:$Y1222,$B$2655:$Y$2655)</f>
        <v/>
      </c>
      <c r="AC1222" s="1">
        <f>A1222</f>
        <v/>
      </c>
      <c r="AD1222">
        <f>IF(ISNUMBER(V1222),V1222*($AB$1/V$2635),"")</f>
        <v/>
      </c>
      <c r="AE1222">
        <f>IF(ISNUMBER(Z1222),Z1222*($AB$1/Z$2635),"")</f>
        <v/>
      </c>
      <c r="AF1222" s="25">
        <f>IF(ISNUMBER(AD1222+AE1222),AD1222+AE1222,"")</f>
        <v/>
      </c>
      <c r="AH1222" s="1">
        <f>A1222</f>
        <v/>
      </c>
      <c r="AI1222">
        <f>IF(ISNUMBER((1+V1222)*AI1221),(1+V1222)*AI1221,AI1221)</f>
        <v/>
      </c>
      <c r="AJ1222">
        <f>IF(ISNUMBER((1+Z1222)*AJ1221),(1+Z1222)*AJ1221,AJ1221)</f>
        <v/>
      </c>
    </row>
    <row r="1223">
      <c r="A1223" s="1" t="n">
        <v>43775</v>
      </c>
      <c r="B1223" s="3">
        <f>IF(ORIG!B1223=0,"",ORIG!B1223)</f>
        <v/>
      </c>
      <c r="C1223" s="3">
        <f>IF(ORIG!C1223=0,"",ORIG!C1223)</f>
        <v/>
      </c>
      <c r="D1223" s="3">
        <f>IF(ORIG!D1223=0,"",ORIG!D1223)</f>
        <v/>
      </c>
      <c r="E1223" s="3">
        <f>IF(ORIG!E1223=0,"",ORIG!E1223)</f>
        <v/>
      </c>
      <c r="F1223" s="3">
        <f>IF(ORIG!F1223=0,"",ORIG!F1223)</f>
        <v/>
      </c>
      <c r="G1223" s="3">
        <f>IF(ORIG!G1223=0,"",ORIG!G1223)</f>
        <v/>
      </c>
      <c r="H1223" s="3">
        <f>IF(ORIG!H1223=0,"",ORIG!H1223)</f>
        <v/>
      </c>
      <c r="I1223" s="3">
        <f>IF(ORIG!I1223=0,"",ORIG!I1223)</f>
        <v/>
      </c>
      <c r="J1223" s="3">
        <f>IF(ORIG!J1223=0,"",ORIG!J1223)</f>
        <v/>
      </c>
      <c r="K1223" s="3">
        <f>IF(ORIG!K1223=0,"",ORIG!K1223)</f>
        <v/>
      </c>
      <c r="L1223" s="3">
        <f>IF(ORIG!L1223=0,"",ORIG!L1223)</f>
        <v/>
      </c>
      <c r="M1223" s="3">
        <f>IF(ORIG!M1223=0,"",ORIG!M1223)</f>
        <v/>
      </c>
      <c r="N1223" s="3">
        <f>IF(ORIG!N1223=0,"",ORIG!N1223)</f>
        <v/>
      </c>
      <c r="O1223" s="3">
        <f>IF(ORIG!O1223=0,"",ORIG!O1223)</f>
        <v/>
      </c>
      <c r="P1223" s="3">
        <f>IF(ORIG!P1223=0,"",ORIG!P1223)</f>
        <v/>
      </c>
      <c r="Q1223" s="3">
        <f>IF(ORIG!Q1223=0,"",ORIG!Q1223)</f>
        <v/>
      </c>
      <c r="R1223" s="3">
        <f>IF(ORIG!R1223=0,"",ORIG!R1223)</f>
        <v/>
      </c>
      <c r="S1223" s="3">
        <f>IF(ORIG!S1223=0,"",ORIG!S1223)</f>
        <v/>
      </c>
      <c r="T1223" s="3">
        <f>IF(ORIG!T1223=0,"",ORIG!T1223)</f>
        <v/>
      </c>
      <c r="U1223" s="3">
        <f>IF(ORIG!U1223=0,"",ORIG!U1223)</f>
        <v/>
      </c>
      <c r="V1223" s="9">
        <f>IF(ORIG!V1223=0,"",ORIG!V1223)</f>
        <v/>
      </c>
      <c r="W1223" s="9">
        <f>IF(ORIG!W1223=0,"",ORIG!W1223)</f>
        <v/>
      </c>
      <c r="X1223" s="9">
        <f>IF(ORIG!X1223=0,"",ORIG!X1223)</f>
        <v/>
      </c>
      <c r="Y1223" s="9">
        <f>IF(ORIG!Y1223=0,"",ORIG!Y1223)</f>
        <v/>
      </c>
      <c r="Z1223" s="3">
        <f>SUMPRODUCT($B1223:$Y1223,$B$2649:$Y$2649)</f>
        <v/>
      </c>
      <c r="AA1223" s="3">
        <f>SUMPRODUCT($B1223:$Y1223,$B$2655:$Y$2655)</f>
        <v/>
      </c>
      <c r="AC1223" s="1">
        <f>A1223</f>
        <v/>
      </c>
      <c r="AD1223">
        <f>IF(ISNUMBER(V1223),V1223*($AB$1/V$2635),"")</f>
        <v/>
      </c>
      <c r="AE1223">
        <f>IF(ISNUMBER(Z1223),Z1223*($AB$1/Z$2635),"")</f>
        <v/>
      </c>
      <c r="AF1223" s="25">
        <f>IF(ISNUMBER(AD1223+AE1223),AD1223+AE1223,"")</f>
        <v/>
      </c>
      <c r="AH1223" s="1">
        <f>A1223</f>
        <v/>
      </c>
      <c r="AI1223">
        <f>IF(ISNUMBER((1+V1223)*AI1222),(1+V1223)*AI1222,AI1222)</f>
        <v/>
      </c>
      <c r="AJ1223">
        <f>IF(ISNUMBER((1+Z1223)*AJ1222),(1+Z1223)*AJ1222,AJ1222)</f>
        <v/>
      </c>
    </row>
    <row r="1224">
      <c r="A1224" s="1" t="n">
        <v>43776</v>
      </c>
      <c r="B1224" s="3">
        <f>IF(ORIG!B1224=0,"",ORIG!B1224)</f>
        <v/>
      </c>
      <c r="C1224" s="3">
        <f>IF(ORIG!C1224=0,"",ORIG!C1224)</f>
        <v/>
      </c>
      <c r="D1224" s="3">
        <f>IF(ORIG!D1224=0,"",ORIG!D1224)</f>
        <v/>
      </c>
      <c r="E1224" s="3">
        <f>IF(ORIG!E1224=0,"",ORIG!E1224)</f>
        <v/>
      </c>
      <c r="F1224" s="3">
        <f>IF(ORIG!F1224=0,"",ORIG!F1224)</f>
        <v/>
      </c>
      <c r="G1224" s="3">
        <f>IF(ORIG!G1224=0,"",ORIG!G1224)</f>
        <v/>
      </c>
      <c r="H1224" s="3">
        <f>IF(ORIG!H1224=0,"",ORIG!H1224)</f>
        <v/>
      </c>
      <c r="I1224" s="3">
        <f>IF(ORIG!I1224=0,"",ORIG!I1224)</f>
        <v/>
      </c>
      <c r="J1224" s="3">
        <f>IF(ORIG!J1224=0,"",ORIG!J1224)</f>
        <v/>
      </c>
      <c r="K1224" s="3">
        <f>IF(ORIG!K1224=0,"",ORIG!K1224)</f>
        <v/>
      </c>
      <c r="L1224" s="3">
        <f>IF(ORIG!L1224=0,"",ORIG!L1224)</f>
        <v/>
      </c>
      <c r="M1224" s="3">
        <f>IF(ORIG!M1224=0,"",ORIG!M1224)</f>
        <v/>
      </c>
      <c r="N1224" s="3">
        <f>IF(ORIG!N1224=0,"",ORIG!N1224)</f>
        <v/>
      </c>
      <c r="O1224" s="3">
        <f>IF(ORIG!O1224=0,"",ORIG!O1224)</f>
        <v/>
      </c>
      <c r="P1224" s="3">
        <f>IF(ORIG!P1224=0,"",ORIG!P1224)</f>
        <v/>
      </c>
      <c r="Q1224" s="3">
        <f>IF(ORIG!Q1224=0,"",ORIG!Q1224)</f>
        <v/>
      </c>
      <c r="R1224" s="3">
        <f>IF(ORIG!R1224=0,"",ORIG!R1224)</f>
        <v/>
      </c>
      <c r="S1224" s="3">
        <f>IF(ORIG!S1224=0,"",ORIG!S1224)</f>
        <v/>
      </c>
      <c r="T1224" s="3">
        <f>IF(ORIG!T1224=0,"",ORIG!T1224)</f>
        <v/>
      </c>
      <c r="U1224" s="3">
        <f>IF(ORIG!U1224=0,"",ORIG!U1224)</f>
        <v/>
      </c>
      <c r="V1224" s="9">
        <f>IF(ORIG!V1224=0,"",ORIG!V1224)</f>
        <v/>
      </c>
      <c r="W1224" s="9">
        <f>IF(ORIG!W1224=0,"",ORIG!W1224)</f>
        <v/>
      </c>
      <c r="X1224" s="9">
        <f>IF(ORIG!X1224=0,"",ORIG!X1224)</f>
        <v/>
      </c>
      <c r="Y1224" s="9">
        <f>IF(ORIG!Y1224=0,"",ORIG!Y1224)</f>
        <v/>
      </c>
      <c r="Z1224" s="3">
        <f>SUMPRODUCT($B1224:$Y1224,$B$2649:$Y$2649)</f>
        <v/>
      </c>
      <c r="AA1224" s="3">
        <f>SUMPRODUCT($B1224:$Y1224,$B$2655:$Y$2655)</f>
        <v/>
      </c>
      <c r="AC1224" s="1">
        <f>A1224</f>
        <v/>
      </c>
      <c r="AD1224">
        <f>IF(ISNUMBER(V1224),V1224*($AB$1/V$2635),"")</f>
        <v/>
      </c>
      <c r="AE1224">
        <f>IF(ISNUMBER(Z1224),Z1224*($AB$1/Z$2635),"")</f>
        <v/>
      </c>
      <c r="AF1224" s="25">
        <f>IF(ISNUMBER(AD1224+AE1224),AD1224+AE1224,"")</f>
        <v/>
      </c>
      <c r="AH1224" s="1">
        <f>A1224</f>
        <v/>
      </c>
      <c r="AI1224">
        <f>IF(ISNUMBER((1+V1224)*AI1223),(1+V1224)*AI1223,AI1223)</f>
        <v/>
      </c>
      <c r="AJ1224">
        <f>IF(ISNUMBER((1+Z1224)*AJ1223),(1+Z1224)*AJ1223,AJ1223)</f>
        <v/>
      </c>
    </row>
    <row r="1225">
      <c r="A1225" s="1" t="n">
        <v>43777</v>
      </c>
      <c r="B1225" s="3">
        <f>IF(ORIG!B1225=0,"",ORIG!B1225)</f>
        <v/>
      </c>
      <c r="C1225" s="3">
        <f>IF(ORIG!C1225=0,"",ORIG!C1225)</f>
        <v/>
      </c>
      <c r="D1225" s="3">
        <f>IF(ORIG!D1225=0,"",ORIG!D1225)</f>
        <v/>
      </c>
      <c r="E1225" s="3">
        <f>IF(ORIG!E1225=0,"",ORIG!E1225)</f>
        <v/>
      </c>
      <c r="F1225" s="3">
        <f>IF(ORIG!F1225=0,"",ORIG!F1225)</f>
        <v/>
      </c>
      <c r="G1225" s="3">
        <f>IF(ORIG!G1225=0,"",ORIG!G1225)</f>
        <v/>
      </c>
      <c r="H1225" s="3">
        <f>IF(ORIG!H1225=0,"",ORIG!H1225)</f>
        <v/>
      </c>
      <c r="I1225" s="3">
        <f>IF(ORIG!I1225=0,"",ORIG!I1225)</f>
        <v/>
      </c>
      <c r="J1225" s="3">
        <f>IF(ORIG!J1225=0,"",ORIG!J1225)</f>
        <v/>
      </c>
      <c r="K1225" s="3">
        <f>IF(ORIG!K1225=0,"",ORIG!K1225)</f>
        <v/>
      </c>
      <c r="L1225" s="3">
        <f>IF(ORIG!L1225=0,"",ORIG!L1225)</f>
        <v/>
      </c>
      <c r="M1225" s="3">
        <f>IF(ORIG!M1225=0,"",ORIG!M1225)</f>
        <v/>
      </c>
      <c r="N1225" s="3">
        <f>IF(ORIG!N1225=0,"",ORIG!N1225)</f>
        <v/>
      </c>
      <c r="O1225" s="3">
        <f>IF(ORIG!O1225=0,"",ORIG!O1225)</f>
        <v/>
      </c>
      <c r="P1225" s="3">
        <f>IF(ORIG!P1225=0,"",ORIG!P1225)</f>
        <v/>
      </c>
      <c r="Q1225" s="3">
        <f>IF(ORIG!Q1225=0,"",ORIG!Q1225)</f>
        <v/>
      </c>
      <c r="R1225" s="3">
        <f>IF(ORIG!R1225=0,"",ORIG!R1225)</f>
        <v/>
      </c>
      <c r="S1225" s="3">
        <f>IF(ORIG!S1225=0,"",ORIG!S1225)</f>
        <v/>
      </c>
      <c r="T1225" s="3">
        <f>IF(ORIG!T1225=0,"",ORIG!T1225)</f>
        <v/>
      </c>
      <c r="U1225" s="3">
        <f>IF(ORIG!U1225=0,"",ORIG!U1225)</f>
        <v/>
      </c>
      <c r="V1225" s="9">
        <f>IF(ORIG!V1225=0,"",ORIG!V1225)</f>
        <v/>
      </c>
      <c r="W1225" s="9">
        <f>IF(ORIG!W1225=0,"",ORIG!W1225)</f>
        <v/>
      </c>
      <c r="X1225" s="9">
        <f>IF(ORIG!X1225=0,"",ORIG!X1225)</f>
        <v/>
      </c>
      <c r="Y1225" s="9">
        <f>IF(ORIG!Y1225=0,"",ORIG!Y1225)</f>
        <v/>
      </c>
      <c r="Z1225" s="3">
        <f>SUMPRODUCT($B1225:$Y1225,$B$2649:$Y$2649)</f>
        <v/>
      </c>
      <c r="AA1225" s="3">
        <f>SUMPRODUCT($B1225:$Y1225,$B$2655:$Y$2655)</f>
        <v/>
      </c>
      <c r="AC1225" s="1">
        <f>A1225</f>
        <v/>
      </c>
      <c r="AD1225">
        <f>IF(ISNUMBER(V1225),V1225*($AB$1/V$2635),"")</f>
        <v/>
      </c>
      <c r="AE1225">
        <f>IF(ISNUMBER(Z1225),Z1225*($AB$1/Z$2635),"")</f>
        <v/>
      </c>
      <c r="AF1225" s="25">
        <f>IF(ISNUMBER(AD1225+AE1225),AD1225+AE1225,"")</f>
        <v/>
      </c>
      <c r="AH1225" s="1">
        <f>A1225</f>
        <v/>
      </c>
      <c r="AI1225">
        <f>IF(ISNUMBER((1+V1225)*AI1224),(1+V1225)*AI1224,AI1224)</f>
        <v/>
      </c>
      <c r="AJ1225">
        <f>IF(ISNUMBER((1+Z1225)*AJ1224),(1+Z1225)*AJ1224,AJ1224)</f>
        <v/>
      </c>
    </row>
    <row r="1226">
      <c r="A1226" s="1" t="n">
        <v>43780</v>
      </c>
      <c r="B1226" s="3">
        <f>IF(ORIG!B1226=0,"",ORIG!B1226)</f>
        <v/>
      </c>
      <c r="C1226" s="3">
        <f>IF(ORIG!C1226=0,"",ORIG!C1226)</f>
        <v/>
      </c>
      <c r="D1226" s="3">
        <f>IF(ORIG!D1226=0,"",ORIG!D1226)</f>
        <v/>
      </c>
      <c r="E1226" s="3">
        <f>IF(ORIG!E1226=0,"",ORIG!E1226)</f>
        <v/>
      </c>
      <c r="F1226" s="3">
        <f>IF(ORIG!F1226=0,"",ORIG!F1226)</f>
        <v/>
      </c>
      <c r="G1226" s="3">
        <f>IF(ORIG!G1226=0,"",ORIG!G1226)</f>
        <v/>
      </c>
      <c r="H1226" s="3">
        <f>IF(ORIG!H1226=0,"",ORIG!H1226)</f>
        <v/>
      </c>
      <c r="I1226" s="3">
        <f>IF(ORIG!I1226=0,"",ORIG!I1226)</f>
        <v/>
      </c>
      <c r="J1226" s="3">
        <f>IF(ORIG!J1226=0,"",ORIG!J1226)</f>
        <v/>
      </c>
      <c r="K1226" s="3">
        <f>IF(ORIG!K1226=0,"",ORIG!K1226)</f>
        <v/>
      </c>
      <c r="L1226" s="3">
        <f>IF(ORIG!L1226=0,"",ORIG!L1226)</f>
        <v/>
      </c>
      <c r="M1226" s="3">
        <f>IF(ORIG!M1226=0,"",ORIG!M1226)</f>
        <v/>
      </c>
      <c r="N1226" s="3">
        <f>IF(ORIG!N1226=0,"",ORIG!N1226)</f>
        <v/>
      </c>
      <c r="O1226" s="3">
        <f>IF(ORIG!O1226=0,"",ORIG!O1226)</f>
        <v/>
      </c>
      <c r="P1226" s="3">
        <f>IF(ORIG!P1226=0,"",ORIG!P1226)</f>
        <v/>
      </c>
      <c r="Q1226" s="3">
        <f>IF(ORIG!Q1226=0,"",ORIG!Q1226)</f>
        <v/>
      </c>
      <c r="R1226" s="3">
        <f>IF(ORIG!R1226=0,"",ORIG!R1226)</f>
        <v/>
      </c>
      <c r="S1226" s="3">
        <f>IF(ORIG!S1226=0,"",ORIG!S1226)</f>
        <v/>
      </c>
      <c r="T1226" s="3">
        <f>IF(ORIG!T1226=0,"",ORIG!T1226)</f>
        <v/>
      </c>
      <c r="U1226" s="3">
        <f>IF(ORIG!U1226=0,"",ORIG!U1226)</f>
        <v/>
      </c>
      <c r="V1226" s="9">
        <f>IF(ORIG!V1226=0,"",ORIG!V1226)</f>
        <v/>
      </c>
      <c r="W1226" s="9">
        <f>IF(ORIG!W1226=0,"",ORIG!W1226)</f>
        <v/>
      </c>
      <c r="X1226" s="9">
        <f>IF(ORIG!X1226=0,"",ORIG!X1226)</f>
        <v/>
      </c>
      <c r="Y1226" s="9">
        <f>IF(ORIG!Y1226=0,"",ORIG!Y1226)</f>
        <v/>
      </c>
      <c r="Z1226" s="3">
        <f>SUMPRODUCT($B1226:$Y1226,$B$2649:$Y$2649)</f>
        <v/>
      </c>
      <c r="AA1226" s="3">
        <f>SUMPRODUCT($B1226:$Y1226,$B$2655:$Y$2655)</f>
        <v/>
      </c>
      <c r="AC1226" s="1">
        <f>A1226</f>
        <v/>
      </c>
      <c r="AD1226">
        <f>IF(ISNUMBER(V1226),V1226*($AB$1/V$2635),"")</f>
        <v/>
      </c>
      <c r="AE1226">
        <f>IF(ISNUMBER(Z1226),Z1226*($AB$1/Z$2635),"")</f>
        <v/>
      </c>
      <c r="AF1226" s="25">
        <f>IF(ISNUMBER(AD1226+AE1226),AD1226+AE1226,"")</f>
        <v/>
      </c>
      <c r="AH1226" s="1">
        <f>A1226</f>
        <v/>
      </c>
      <c r="AI1226">
        <f>IF(ISNUMBER((1+V1226)*AI1225),(1+V1226)*AI1225,AI1225)</f>
        <v/>
      </c>
      <c r="AJ1226">
        <f>IF(ISNUMBER((1+Z1226)*AJ1225),(1+Z1226)*AJ1225,AJ1225)</f>
        <v/>
      </c>
    </row>
    <row r="1227">
      <c r="A1227" s="1" t="n">
        <v>43781</v>
      </c>
      <c r="B1227" s="3">
        <f>IF(ORIG!B1227=0,"",ORIG!B1227)</f>
        <v/>
      </c>
      <c r="C1227" s="3">
        <f>IF(ORIG!C1227=0,"",ORIG!C1227)</f>
        <v/>
      </c>
      <c r="D1227" s="3">
        <f>IF(ORIG!D1227=0,"",ORIG!D1227)</f>
        <v/>
      </c>
      <c r="E1227" s="3">
        <f>IF(ORIG!E1227=0,"",ORIG!E1227)</f>
        <v/>
      </c>
      <c r="F1227" s="3">
        <f>IF(ORIG!F1227=0,"",ORIG!F1227)</f>
        <v/>
      </c>
      <c r="G1227" s="3">
        <f>IF(ORIG!G1227=0,"",ORIG!G1227)</f>
        <v/>
      </c>
      <c r="H1227" s="3">
        <f>IF(ORIG!H1227=0,"",ORIG!H1227)</f>
        <v/>
      </c>
      <c r="I1227" s="3">
        <f>IF(ORIG!I1227=0,"",ORIG!I1227)</f>
        <v/>
      </c>
      <c r="J1227" s="3">
        <f>IF(ORIG!J1227=0,"",ORIG!J1227)</f>
        <v/>
      </c>
      <c r="K1227" s="3">
        <f>IF(ORIG!K1227=0,"",ORIG!K1227)</f>
        <v/>
      </c>
      <c r="L1227" s="3">
        <f>IF(ORIG!L1227=0,"",ORIG!L1227)</f>
        <v/>
      </c>
      <c r="M1227" s="3">
        <f>IF(ORIG!M1227=0,"",ORIG!M1227)</f>
        <v/>
      </c>
      <c r="N1227" s="3">
        <f>IF(ORIG!N1227=0,"",ORIG!N1227)</f>
        <v/>
      </c>
      <c r="O1227" s="3">
        <f>IF(ORIG!O1227=0,"",ORIG!O1227)</f>
        <v/>
      </c>
      <c r="P1227" s="3">
        <f>IF(ORIG!P1227=0,"",ORIG!P1227)</f>
        <v/>
      </c>
      <c r="Q1227" s="3">
        <f>IF(ORIG!Q1227=0,"",ORIG!Q1227)</f>
        <v/>
      </c>
      <c r="R1227" s="3">
        <f>IF(ORIG!R1227=0,"",ORIG!R1227)</f>
        <v/>
      </c>
      <c r="S1227" s="3">
        <f>IF(ORIG!S1227=0,"",ORIG!S1227)</f>
        <v/>
      </c>
      <c r="T1227" s="3">
        <f>IF(ORIG!T1227=0,"",ORIG!T1227)</f>
        <v/>
      </c>
      <c r="U1227" s="3">
        <f>IF(ORIG!U1227=0,"",ORIG!U1227)</f>
        <v/>
      </c>
      <c r="V1227" s="9">
        <f>IF(ORIG!V1227=0,"",ORIG!V1227)</f>
        <v/>
      </c>
      <c r="W1227" s="9">
        <f>IF(ORIG!W1227=0,"",ORIG!W1227)</f>
        <v/>
      </c>
      <c r="X1227" s="9">
        <f>IF(ORIG!X1227=0,"",ORIG!X1227)</f>
        <v/>
      </c>
      <c r="Y1227" s="9">
        <f>IF(ORIG!Y1227=0,"",ORIG!Y1227)</f>
        <v/>
      </c>
      <c r="Z1227" s="3">
        <f>SUMPRODUCT($B1227:$Y1227,$B$2649:$Y$2649)</f>
        <v/>
      </c>
      <c r="AA1227" s="3">
        <f>SUMPRODUCT($B1227:$Y1227,$B$2655:$Y$2655)</f>
        <v/>
      </c>
      <c r="AC1227" s="1">
        <f>A1227</f>
        <v/>
      </c>
      <c r="AD1227">
        <f>IF(ISNUMBER(V1227),V1227*($AB$1/V$2635),"")</f>
        <v/>
      </c>
      <c r="AE1227">
        <f>IF(ISNUMBER(Z1227),Z1227*($AB$1/Z$2635),"")</f>
        <v/>
      </c>
      <c r="AF1227" s="25">
        <f>IF(ISNUMBER(AD1227+AE1227),AD1227+AE1227,"")</f>
        <v/>
      </c>
      <c r="AH1227" s="1">
        <f>A1227</f>
        <v/>
      </c>
      <c r="AI1227">
        <f>IF(ISNUMBER((1+V1227)*AI1226),(1+V1227)*AI1226,AI1226)</f>
        <v/>
      </c>
      <c r="AJ1227">
        <f>IF(ISNUMBER((1+Z1227)*AJ1226),(1+Z1227)*AJ1226,AJ1226)</f>
        <v/>
      </c>
    </row>
    <row r="1228">
      <c r="A1228" s="1" t="n">
        <v>43782</v>
      </c>
      <c r="B1228" s="3">
        <f>IF(ORIG!B1228=0,"",ORIG!B1228)</f>
        <v/>
      </c>
      <c r="C1228" s="3">
        <f>IF(ORIG!C1228=0,"",ORIG!C1228)</f>
        <v/>
      </c>
      <c r="D1228" s="3">
        <f>IF(ORIG!D1228=0,"",ORIG!D1228)</f>
        <v/>
      </c>
      <c r="E1228" s="3">
        <f>IF(ORIG!E1228=0,"",ORIG!E1228)</f>
        <v/>
      </c>
      <c r="F1228" s="3">
        <f>IF(ORIG!F1228=0,"",ORIG!F1228)</f>
        <v/>
      </c>
      <c r="G1228" s="3">
        <f>IF(ORIG!G1228=0,"",ORIG!G1228)</f>
        <v/>
      </c>
      <c r="H1228" s="3">
        <f>IF(ORIG!H1228=0,"",ORIG!H1228)</f>
        <v/>
      </c>
      <c r="I1228" s="3">
        <f>IF(ORIG!I1228=0,"",ORIG!I1228)</f>
        <v/>
      </c>
      <c r="J1228" s="3">
        <f>IF(ORIG!J1228=0,"",ORIG!J1228)</f>
        <v/>
      </c>
      <c r="K1228" s="3">
        <f>IF(ORIG!K1228=0,"",ORIG!K1228)</f>
        <v/>
      </c>
      <c r="L1228" s="3">
        <f>IF(ORIG!L1228=0,"",ORIG!L1228)</f>
        <v/>
      </c>
      <c r="M1228" s="3">
        <f>IF(ORIG!M1228=0,"",ORIG!M1228)</f>
        <v/>
      </c>
      <c r="N1228" s="3">
        <f>IF(ORIG!N1228=0,"",ORIG!N1228)</f>
        <v/>
      </c>
      <c r="O1228" s="3">
        <f>IF(ORIG!O1228=0,"",ORIG!O1228)</f>
        <v/>
      </c>
      <c r="P1228" s="3">
        <f>IF(ORIG!P1228=0,"",ORIG!P1228)</f>
        <v/>
      </c>
      <c r="Q1228" s="3">
        <f>IF(ORIG!Q1228=0,"",ORIG!Q1228)</f>
        <v/>
      </c>
      <c r="R1228" s="3">
        <f>IF(ORIG!R1228=0,"",ORIG!R1228)</f>
        <v/>
      </c>
      <c r="S1228" s="3">
        <f>IF(ORIG!S1228=0,"",ORIG!S1228)</f>
        <v/>
      </c>
      <c r="T1228" s="3">
        <f>IF(ORIG!T1228=0,"",ORIG!T1228)</f>
        <v/>
      </c>
      <c r="U1228" s="3">
        <f>IF(ORIG!U1228=0,"",ORIG!U1228)</f>
        <v/>
      </c>
      <c r="V1228" s="9">
        <f>IF(ORIG!V1228=0,"",ORIG!V1228)</f>
        <v/>
      </c>
      <c r="W1228" s="9">
        <f>IF(ORIG!W1228=0,"",ORIG!W1228)</f>
        <v/>
      </c>
      <c r="X1228" s="9">
        <f>IF(ORIG!X1228=0,"",ORIG!X1228)</f>
        <v/>
      </c>
      <c r="Y1228" s="9">
        <f>IF(ORIG!Y1228=0,"",ORIG!Y1228)</f>
        <v/>
      </c>
      <c r="Z1228" s="3">
        <f>SUMPRODUCT($B1228:$Y1228,$B$2649:$Y$2649)</f>
        <v/>
      </c>
      <c r="AA1228" s="3">
        <f>SUMPRODUCT($B1228:$Y1228,$B$2655:$Y$2655)</f>
        <v/>
      </c>
      <c r="AC1228" s="1">
        <f>A1228</f>
        <v/>
      </c>
      <c r="AD1228">
        <f>IF(ISNUMBER(V1228),V1228*($AB$1/V$2635),"")</f>
        <v/>
      </c>
      <c r="AE1228">
        <f>IF(ISNUMBER(Z1228),Z1228*($AB$1/Z$2635),"")</f>
        <v/>
      </c>
      <c r="AF1228" s="25">
        <f>IF(ISNUMBER(AD1228+AE1228),AD1228+AE1228,"")</f>
        <v/>
      </c>
      <c r="AH1228" s="1">
        <f>A1228</f>
        <v/>
      </c>
      <c r="AI1228">
        <f>IF(ISNUMBER((1+V1228)*AI1227),(1+V1228)*AI1227,AI1227)</f>
        <v/>
      </c>
      <c r="AJ1228">
        <f>IF(ISNUMBER((1+Z1228)*AJ1227),(1+Z1228)*AJ1227,AJ1227)</f>
        <v/>
      </c>
    </row>
    <row r="1229">
      <c r="A1229" s="1" t="n">
        <v>43783</v>
      </c>
      <c r="B1229" s="3">
        <f>IF(ORIG!B1229=0,"",ORIG!B1229)</f>
        <v/>
      </c>
      <c r="C1229" s="3">
        <f>IF(ORIG!C1229=0,"",ORIG!C1229)</f>
        <v/>
      </c>
      <c r="D1229" s="3">
        <f>IF(ORIG!D1229=0,"",ORIG!D1229)</f>
        <v/>
      </c>
      <c r="E1229" s="3">
        <f>IF(ORIG!E1229=0,"",ORIG!E1229)</f>
        <v/>
      </c>
      <c r="F1229" s="3">
        <f>IF(ORIG!F1229=0,"",ORIG!F1229)</f>
        <v/>
      </c>
      <c r="G1229" s="3">
        <f>IF(ORIG!G1229=0,"",ORIG!G1229)</f>
        <v/>
      </c>
      <c r="H1229" s="3">
        <f>IF(ORIG!H1229=0,"",ORIG!H1229)</f>
        <v/>
      </c>
      <c r="I1229" s="3">
        <f>IF(ORIG!I1229=0,"",ORIG!I1229)</f>
        <v/>
      </c>
      <c r="J1229" s="3">
        <f>IF(ORIG!J1229=0,"",ORIG!J1229)</f>
        <v/>
      </c>
      <c r="K1229" s="3">
        <f>IF(ORIG!K1229=0,"",ORIG!K1229)</f>
        <v/>
      </c>
      <c r="L1229" s="3">
        <f>IF(ORIG!L1229=0,"",ORIG!L1229)</f>
        <v/>
      </c>
      <c r="M1229" s="3">
        <f>IF(ORIG!M1229=0,"",ORIG!M1229)</f>
        <v/>
      </c>
      <c r="N1229" s="3">
        <f>IF(ORIG!N1229=0,"",ORIG!N1229)</f>
        <v/>
      </c>
      <c r="O1229" s="3">
        <f>IF(ORIG!O1229=0,"",ORIG!O1229)</f>
        <v/>
      </c>
      <c r="P1229" s="3">
        <f>IF(ORIG!P1229=0,"",ORIG!P1229)</f>
        <v/>
      </c>
      <c r="Q1229" s="3">
        <f>IF(ORIG!Q1229=0,"",ORIG!Q1229)</f>
        <v/>
      </c>
      <c r="R1229" s="3">
        <f>IF(ORIG!R1229=0,"",ORIG!R1229)</f>
        <v/>
      </c>
      <c r="S1229" s="3">
        <f>IF(ORIG!S1229=0,"",ORIG!S1229)</f>
        <v/>
      </c>
      <c r="T1229" s="3">
        <f>IF(ORIG!T1229=0,"",ORIG!T1229)</f>
        <v/>
      </c>
      <c r="U1229" s="3">
        <f>IF(ORIG!U1229=0,"",ORIG!U1229)</f>
        <v/>
      </c>
      <c r="V1229" s="9">
        <f>IF(ORIG!V1229=0,"",ORIG!V1229)</f>
        <v/>
      </c>
      <c r="W1229" s="9">
        <f>IF(ORIG!W1229=0,"",ORIG!W1229)</f>
        <v/>
      </c>
      <c r="X1229" s="9">
        <f>IF(ORIG!X1229=0,"",ORIG!X1229)</f>
        <v/>
      </c>
      <c r="Y1229" s="9">
        <f>IF(ORIG!Y1229=0,"",ORIG!Y1229)</f>
        <v/>
      </c>
      <c r="Z1229" s="3">
        <f>SUMPRODUCT($B1229:$Y1229,$B$2649:$Y$2649)</f>
        <v/>
      </c>
      <c r="AA1229" s="3">
        <f>SUMPRODUCT($B1229:$Y1229,$B$2655:$Y$2655)</f>
        <v/>
      </c>
      <c r="AC1229" s="1">
        <f>A1229</f>
        <v/>
      </c>
      <c r="AD1229">
        <f>IF(ISNUMBER(V1229),V1229*($AB$1/V$2635),"")</f>
        <v/>
      </c>
      <c r="AE1229">
        <f>IF(ISNUMBER(Z1229),Z1229*($AB$1/Z$2635),"")</f>
        <v/>
      </c>
      <c r="AF1229" s="25">
        <f>IF(ISNUMBER(AD1229+AE1229),AD1229+AE1229,"")</f>
        <v/>
      </c>
      <c r="AH1229" s="1">
        <f>A1229</f>
        <v/>
      </c>
      <c r="AI1229">
        <f>IF(ISNUMBER((1+V1229)*AI1228),(1+V1229)*AI1228,AI1228)</f>
        <v/>
      </c>
      <c r="AJ1229">
        <f>IF(ISNUMBER((1+Z1229)*AJ1228),(1+Z1229)*AJ1228,AJ1228)</f>
        <v/>
      </c>
    </row>
    <row r="1230">
      <c r="A1230" s="1" t="n">
        <v>43784</v>
      </c>
      <c r="B1230" s="3">
        <f>IF(ORIG!B1230=0,"",ORIG!B1230)</f>
        <v/>
      </c>
      <c r="C1230" s="3">
        <f>IF(ORIG!C1230=0,"",ORIG!C1230)</f>
        <v/>
      </c>
      <c r="D1230" s="3">
        <f>IF(ORIG!D1230=0,"",ORIG!D1230)</f>
        <v/>
      </c>
      <c r="E1230" s="3">
        <f>IF(ORIG!E1230=0,"",ORIG!E1230)</f>
        <v/>
      </c>
      <c r="F1230" s="3">
        <f>IF(ORIG!F1230=0,"",ORIG!F1230)</f>
        <v/>
      </c>
      <c r="G1230" s="3">
        <f>IF(ORIG!G1230=0,"",ORIG!G1230)</f>
        <v/>
      </c>
      <c r="H1230" s="3">
        <f>IF(ORIG!H1230=0,"",ORIG!H1230)</f>
        <v/>
      </c>
      <c r="I1230" s="3">
        <f>IF(ORIG!I1230=0,"",ORIG!I1230)</f>
        <v/>
      </c>
      <c r="J1230" s="3">
        <f>IF(ORIG!J1230=0,"",ORIG!J1230)</f>
        <v/>
      </c>
      <c r="K1230" s="3">
        <f>IF(ORIG!K1230=0,"",ORIG!K1230)</f>
        <v/>
      </c>
      <c r="L1230" s="3">
        <f>IF(ORIG!L1230=0,"",ORIG!L1230)</f>
        <v/>
      </c>
      <c r="M1230" s="3">
        <f>IF(ORIG!M1230=0,"",ORIG!M1230)</f>
        <v/>
      </c>
      <c r="N1230" s="3">
        <f>IF(ORIG!N1230=0,"",ORIG!N1230)</f>
        <v/>
      </c>
      <c r="O1230" s="3">
        <f>IF(ORIG!O1230=0,"",ORIG!O1230)</f>
        <v/>
      </c>
      <c r="P1230" s="3">
        <f>IF(ORIG!P1230=0,"",ORIG!P1230)</f>
        <v/>
      </c>
      <c r="Q1230" s="3">
        <f>IF(ORIG!Q1230=0,"",ORIG!Q1230)</f>
        <v/>
      </c>
      <c r="R1230" s="3">
        <f>IF(ORIG!R1230=0,"",ORIG!R1230)</f>
        <v/>
      </c>
      <c r="S1230" s="3">
        <f>IF(ORIG!S1230=0,"",ORIG!S1230)</f>
        <v/>
      </c>
      <c r="T1230" s="3">
        <f>IF(ORIG!T1230=0,"",ORIG!T1230)</f>
        <v/>
      </c>
      <c r="U1230" s="3">
        <f>IF(ORIG!U1230=0,"",ORIG!U1230)</f>
        <v/>
      </c>
      <c r="V1230" s="9">
        <f>IF(ORIG!V1230=0,"",ORIG!V1230)</f>
        <v/>
      </c>
      <c r="W1230" s="9">
        <f>IF(ORIG!W1230=0,"",ORIG!W1230)</f>
        <v/>
      </c>
      <c r="X1230" s="9">
        <f>IF(ORIG!X1230=0,"",ORIG!X1230)</f>
        <v/>
      </c>
      <c r="Y1230" s="9">
        <f>IF(ORIG!Y1230=0,"",ORIG!Y1230)</f>
        <v/>
      </c>
      <c r="Z1230" s="3">
        <f>SUMPRODUCT($B1230:$Y1230,$B$2649:$Y$2649)</f>
        <v/>
      </c>
      <c r="AA1230" s="3">
        <f>SUMPRODUCT($B1230:$Y1230,$B$2655:$Y$2655)</f>
        <v/>
      </c>
      <c r="AC1230" s="1">
        <f>A1230</f>
        <v/>
      </c>
      <c r="AD1230">
        <f>IF(ISNUMBER(V1230),V1230*($AB$1/V$2635),"")</f>
        <v/>
      </c>
      <c r="AE1230">
        <f>IF(ISNUMBER(Z1230),Z1230*($AB$1/Z$2635),"")</f>
        <v/>
      </c>
      <c r="AF1230" s="25">
        <f>IF(ISNUMBER(AD1230+AE1230),AD1230+AE1230,"")</f>
        <v/>
      </c>
      <c r="AH1230" s="1">
        <f>A1230</f>
        <v/>
      </c>
      <c r="AI1230">
        <f>IF(ISNUMBER((1+V1230)*AI1229),(1+V1230)*AI1229,AI1229)</f>
        <v/>
      </c>
      <c r="AJ1230">
        <f>IF(ISNUMBER((1+Z1230)*AJ1229),(1+Z1230)*AJ1229,AJ1229)</f>
        <v/>
      </c>
    </row>
    <row r="1231">
      <c r="A1231" s="1" t="n">
        <v>43787</v>
      </c>
      <c r="B1231" s="3">
        <f>IF(ORIG!B1231=0,"",ORIG!B1231)</f>
        <v/>
      </c>
      <c r="C1231" s="3">
        <f>IF(ORIG!C1231=0,"",ORIG!C1231)</f>
        <v/>
      </c>
      <c r="D1231" s="3">
        <f>IF(ORIG!D1231=0,"",ORIG!D1231)</f>
        <v/>
      </c>
      <c r="E1231" s="3">
        <f>IF(ORIG!E1231=0,"",ORIG!E1231)</f>
        <v/>
      </c>
      <c r="F1231" s="3">
        <f>IF(ORIG!F1231=0,"",ORIG!F1231)</f>
        <v/>
      </c>
      <c r="G1231" s="3">
        <f>IF(ORIG!G1231=0,"",ORIG!G1231)</f>
        <v/>
      </c>
      <c r="H1231" s="3">
        <f>IF(ORIG!H1231=0,"",ORIG!H1231)</f>
        <v/>
      </c>
      <c r="I1231" s="3">
        <f>IF(ORIG!I1231=0,"",ORIG!I1231)</f>
        <v/>
      </c>
      <c r="J1231" s="3">
        <f>IF(ORIG!J1231=0,"",ORIG!J1231)</f>
        <v/>
      </c>
      <c r="K1231" s="3">
        <f>IF(ORIG!K1231=0,"",ORIG!K1231)</f>
        <v/>
      </c>
      <c r="L1231" s="3">
        <f>IF(ORIG!L1231=0,"",ORIG!L1231)</f>
        <v/>
      </c>
      <c r="M1231" s="3">
        <f>IF(ORIG!M1231=0,"",ORIG!M1231)</f>
        <v/>
      </c>
      <c r="N1231" s="3">
        <f>IF(ORIG!N1231=0,"",ORIG!N1231)</f>
        <v/>
      </c>
      <c r="O1231" s="3">
        <f>IF(ORIG!O1231=0,"",ORIG!O1231)</f>
        <v/>
      </c>
      <c r="P1231" s="3">
        <f>IF(ORIG!P1231=0,"",ORIG!P1231)</f>
        <v/>
      </c>
      <c r="Q1231" s="3">
        <f>IF(ORIG!Q1231=0,"",ORIG!Q1231)</f>
        <v/>
      </c>
      <c r="R1231" s="3">
        <f>IF(ORIG!R1231=0,"",ORIG!R1231)</f>
        <v/>
      </c>
      <c r="S1231" s="3">
        <f>IF(ORIG!S1231=0,"",ORIG!S1231)</f>
        <v/>
      </c>
      <c r="T1231" s="3">
        <f>IF(ORIG!T1231=0,"",ORIG!T1231)</f>
        <v/>
      </c>
      <c r="U1231" s="3">
        <f>IF(ORIG!U1231=0,"",ORIG!U1231)</f>
        <v/>
      </c>
      <c r="V1231" s="9">
        <f>IF(ORIG!V1231=0,"",ORIG!V1231)</f>
        <v/>
      </c>
      <c r="W1231" s="9">
        <f>IF(ORIG!W1231=0,"",ORIG!W1231)</f>
        <v/>
      </c>
      <c r="X1231" s="9">
        <f>IF(ORIG!X1231=0,"",ORIG!X1231)</f>
        <v/>
      </c>
      <c r="Y1231" s="9">
        <f>IF(ORIG!Y1231=0,"",ORIG!Y1231)</f>
        <v/>
      </c>
      <c r="Z1231" s="3">
        <f>SUMPRODUCT($B1231:$Y1231,$B$2649:$Y$2649)</f>
        <v/>
      </c>
      <c r="AA1231" s="3">
        <f>SUMPRODUCT($B1231:$Y1231,$B$2655:$Y$2655)</f>
        <v/>
      </c>
      <c r="AC1231" s="1">
        <f>A1231</f>
        <v/>
      </c>
      <c r="AD1231">
        <f>IF(ISNUMBER(V1231),V1231*($AB$1/V$2635),"")</f>
        <v/>
      </c>
      <c r="AE1231">
        <f>IF(ISNUMBER(Z1231),Z1231*($AB$1/Z$2635),"")</f>
        <v/>
      </c>
      <c r="AF1231" s="25">
        <f>IF(ISNUMBER(AD1231+AE1231),AD1231+AE1231,"")</f>
        <v/>
      </c>
      <c r="AH1231" s="1">
        <f>A1231</f>
        <v/>
      </c>
      <c r="AI1231">
        <f>IF(ISNUMBER((1+V1231)*AI1230),(1+V1231)*AI1230,AI1230)</f>
        <v/>
      </c>
      <c r="AJ1231">
        <f>IF(ISNUMBER((1+Z1231)*AJ1230),(1+Z1231)*AJ1230,AJ1230)</f>
        <v/>
      </c>
    </row>
    <row r="1232">
      <c r="A1232" s="1" t="n">
        <v>43788</v>
      </c>
      <c r="B1232" s="3">
        <f>IF(ORIG!B1232=0,"",ORIG!B1232)</f>
        <v/>
      </c>
      <c r="C1232" s="3">
        <f>IF(ORIG!C1232=0,"",ORIG!C1232)</f>
        <v/>
      </c>
      <c r="D1232" s="3">
        <f>IF(ORIG!D1232=0,"",ORIG!D1232)</f>
        <v/>
      </c>
      <c r="E1232" s="3">
        <f>IF(ORIG!E1232=0,"",ORIG!E1232)</f>
        <v/>
      </c>
      <c r="F1232" s="3">
        <f>IF(ORIG!F1232=0,"",ORIG!F1232)</f>
        <v/>
      </c>
      <c r="G1232" s="3">
        <f>IF(ORIG!G1232=0,"",ORIG!G1232)</f>
        <v/>
      </c>
      <c r="H1232" s="3">
        <f>IF(ORIG!H1232=0,"",ORIG!H1232)</f>
        <v/>
      </c>
      <c r="I1232" s="3">
        <f>IF(ORIG!I1232=0,"",ORIG!I1232)</f>
        <v/>
      </c>
      <c r="J1232" s="3">
        <f>IF(ORIG!J1232=0,"",ORIG!J1232)</f>
        <v/>
      </c>
      <c r="K1232" s="3">
        <f>IF(ORIG!K1232=0,"",ORIG!K1232)</f>
        <v/>
      </c>
      <c r="L1232" s="3">
        <f>IF(ORIG!L1232=0,"",ORIG!L1232)</f>
        <v/>
      </c>
      <c r="M1232" s="3">
        <f>IF(ORIG!M1232=0,"",ORIG!M1232)</f>
        <v/>
      </c>
      <c r="N1232" s="3">
        <f>IF(ORIG!N1232=0,"",ORIG!N1232)</f>
        <v/>
      </c>
      <c r="O1232" s="3">
        <f>IF(ORIG!O1232=0,"",ORIG!O1232)</f>
        <v/>
      </c>
      <c r="P1232" s="3">
        <f>IF(ORIG!P1232=0,"",ORIG!P1232)</f>
        <v/>
      </c>
      <c r="Q1232" s="3">
        <f>IF(ORIG!Q1232=0,"",ORIG!Q1232)</f>
        <v/>
      </c>
      <c r="R1232" s="3">
        <f>IF(ORIG!R1232=0,"",ORIG!R1232)</f>
        <v/>
      </c>
      <c r="S1232" s="3">
        <f>IF(ORIG!S1232=0,"",ORIG!S1232)</f>
        <v/>
      </c>
      <c r="T1232" s="3">
        <f>IF(ORIG!T1232=0,"",ORIG!T1232)</f>
        <v/>
      </c>
      <c r="U1232" s="3">
        <f>IF(ORIG!U1232=0,"",ORIG!U1232)</f>
        <v/>
      </c>
      <c r="V1232" s="9">
        <f>IF(ORIG!V1232=0,"",ORIG!V1232)</f>
        <v/>
      </c>
      <c r="W1232" s="9">
        <f>IF(ORIG!W1232=0,"",ORIG!W1232)</f>
        <v/>
      </c>
      <c r="X1232" s="9">
        <f>IF(ORIG!X1232=0,"",ORIG!X1232)</f>
        <v/>
      </c>
      <c r="Y1232" s="9">
        <f>IF(ORIG!Y1232=0,"",ORIG!Y1232)</f>
        <v/>
      </c>
      <c r="Z1232" s="3">
        <f>SUMPRODUCT($B1232:$Y1232,$B$2649:$Y$2649)</f>
        <v/>
      </c>
      <c r="AA1232" s="3">
        <f>SUMPRODUCT($B1232:$Y1232,$B$2655:$Y$2655)</f>
        <v/>
      </c>
      <c r="AC1232" s="1">
        <f>A1232</f>
        <v/>
      </c>
      <c r="AD1232">
        <f>IF(ISNUMBER(V1232),V1232*($AB$1/V$2635),"")</f>
        <v/>
      </c>
      <c r="AE1232">
        <f>IF(ISNUMBER(Z1232),Z1232*($AB$1/Z$2635),"")</f>
        <v/>
      </c>
      <c r="AF1232" s="25">
        <f>IF(ISNUMBER(AD1232+AE1232),AD1232+AE1232,"")</f>
        <v/>
      </c>
      <c r="AH1232" s="1">
        <f>A1232</f>
        <v/>
      </c>
      <c r="AI1232">
        <f>IF(ISNUMBER((1+V1232)*AI1231),(1+V1232)*AI1231,AI1231)</f>
        <v/>
      </c>
      <c r="AJ1232">
        <f>IF(ISNUMBER((1+Z1232)*AJ1231),(1+Z1232)*AJ1231,AJ1231)</f>
        <v/>
      </c>
    </row>
    <row r="1233">
      <c r="A1233" s="1" t="n">
        <v>43789</v>
      </c>
      <c r="B1233" s="3">
        <f>IF(ORIG!B1233=0,"",ORIG!B1233)</f>
        <v/>
      </c>
      <c r="C1233" s="3">
        <f>IF(ORIG!C1233=0,"",ORIG!C1233)</f>
        <v/>
      </c>
      <c r="D1233" s="3">
        <f>IF(ORIG!D1233=0,"",ORIG!D1233)</f>
        <v/>
      </c>
      <c r="E1233" s="3">
        <f>IF(ORIG!E1233=0,"",ORIG!E1233)</f>
        <v/>
      </c>
      <c r="F1233" s="3">
        <f>IF(ORIG!F1233=0,"",ORIG!F1233)</f>
        <v/>
      </c>
      <c r="G1233" s="3">
        <f>IF(ORIG!G1233=0,"",ORIG!G1233)</f>
        <v/>
      </c>
      <c r="H1233" s="3">
        <f>IF(ORIG!H1233=0,"",ORIG!H1233)</f>
        <v/>
      </c>
      <c r="I1233" s="3">
        <f>IF(ORIG!I1233=0,"",ORIG!I1233)</f>
        <v/>
      </c>
      <c r="J1233" s="3">
        <f>IF(ORIG!J1233=0,"",ORIG!J1233)</f>
        <v/>
      </c>
      <c r="K1233" s="3">
        <f>IF(ORIG!K1233=0,"",ORIG!K1233)</f>
        <v/>
      </c>
      <c r="L1233" s="3">
        <f>IF(ORIG!L1233=0,"",ORIG!L1233)</f>
        <v/>
      </c>
      <c r="M1233" s="3">
        <f>IF(ORIG!M1233=0,"",ORIG!M1233)</f>
        <v/>
      </c>
      <c r="N1233" s="3">
        <f>IF(ORIG!N1233=0,"",ORIG!N1233)</f>
        <v/>
      </c>
      <c r="O1233" s="3">
        <f>IF(ORIG!O1233=0,"",ORIG!O1233)</f>
        <v/>
      </c>
      <c r="P1233" s="3">
        <f>IF(ORIG!P1233=0,"",ORIG!P1233)</f>
        <v/>
      </c>
      <c r="Q1233" s="3">
        <f>IF(ORIG!Q1233=0,"",ORIG!Q1233)</f>
        <v/>
      </c>
      <c r="R1233" s="3">
        <f>IF(ORIG!R1233=0,"",ORIG!R1233)</f>
        <v/>
      </c>
      <c r="S1233" s="3">
        <f>IF(ORIG!S1233=0,"",ORIG!S1233)</f>
        <v/>
      </c>
      <c r="T1233" s="3">
        <f>IF(ORIG!T1233=0,"",ORIG!T1233)</f>
        <v/>
      </c>
      <c r="U1233" s="3">
        <f>IF(ORIG!U1233=0,"",ORIG!U1233)</f>
        <v/>
      </c>
      <c r="V1233" s="9">
        <f>IF(ORIG!V1233=0,"",ORIG!V1233)</f>
        <v/>
      </c>
      <c r="W1233" s="9">
        <f>IF(ORIG!W1233=0,"",ORIG!W1233)</f>
        <v/>
      </c>
      <c r="X1233" s="9">
        <f>IF(ORIG!X1233=0,"",ORIG!X1233)</f>
        <v/>
      </c>
      <c r="Y1233" s="9">
        <f>IF(ORIG!Y1233=0,"",ORIG!Y1233)</f>
        <v/>
      </c>
      <c r="Z1233" s="3">
        <f>SUMPRODUCT($B1233:$Y1233,$B$2649:$Y$2649)</f>
        <v/>
      </c>
      <c r="AA1233" s="3">
        <f>SUMPRODUCT($B1233:$Y1233,$B$2655:$Y$2655)</f>
        <v/>
      </c>
      <c r="AC1233" s="1">
        <f>A1233</f>
        <v/>
      </c>
      <c r="AD1233">
        <f>IF(ISNUMBER(V1233),V1233*($AB$1/V$2635),"")</f>
        <v/>
      </c>
      <c r="AE1233">
        <f>IF(ISNUMBER(Z1233),Z1233*($AB$1/Z$2635),"")</f>
        <v/>
      </c>
      <c r="AF1233" s="25">
        <f>IF(ISNUMBER(AD1233+AE1233),AD1233+AE1233,"")</f>
        <v/>
      </c>
      <c r="AH1233" s="1">
        <f>A1233</f>
        <v/>
      </c>
      <c r="AI1233">
        <f>IF(ISNUMBER((1+V1233)*AI1232),(1+V1233)*AI1232,AI1232)</f>
        <v/>
      </c>
      <c r="AJ1233">
        <f>IF(ISNUMBER((1+Z1233)*AJ1232),(1+Z1233)*AJ1232,AJ1232)</f>
        <v/>
      </c>
    </row>
    <row r="1234">
      <c r="A1234" s="1" t="n">
        <v>43790</v>
      </c>
      <c r="B1234" s="3">
        <f>IF(ORIG!B1234=0,"",ORIG!B1234)</f>
        <v/>
      </c>
      <c r="C1234" s="3">
        <f>IF(ORIG!C1234=0,"",ORIG!C1234)</f>
        <v/>
      </c>
      <c r="D1234" s="3">
        <f>IF(ORIG!D1234=0,"",ORIG!D1234)</f>
        <v/>
      </c>
      <c r="E1234" s="3">
        <f>IF(ORIG!E1234=0,"",ORIG!E1234)</f>
        <v/>
      </c>
      <c r="F1234" s="3">
        <f>IF(ORIG!F1234=0,"",ORIG!F1234)</f>
        <v/>
      </c>
      <c r="G1234" s="3">
        <f>IF(ORIG!G1234=0,"",ORIG!G1234)</f>
        <v/>
      </c>
      <c r="H1234" s="3">
        <f>IF(ORIG!H1234=0,"",ORIG!H1234)</f>
        <v/>
      </c>
      <c r="I1234" s="3">
        <f>IF(ORIG!I1234=0,"",ORIG!I1234)</f>
        <v/>
      </c>
      <c r="J1234" s="3">
        <f>IF(ORIG!J1234=0,"",ORIG!J1234)</f>
        <v/>
      </c>
      <c r="K1234" s="3">
        <f>IF(ORIG!K1234=0,"",ORIG!K1234)</f>
        <v/>
      </c>
      <c r="L1234" s="3">
        <f>IF(ORIG!L1234=0,"",ORIG!L1234)</f>
        <v/>
      </c>
      <c r="M1234" s="3">
        <f>IF(ORIG!M1234=0,"",ORIG!M1234)</f>
        <v/>
      </c>
      <c r="N1234" s="3">
        <f>IF(ORIG!N1234=0,"",ORIG!N1234)</f>
        <v/>
      </c>
      <c r="O1234" s="3">
        <f>IF(ORIG!O1234=0,"",ORIG!O1234)</f>
        <v/>
      </c>
      <c r="P1234" s="3">
        <f>IF(ORIG!P1234=0,"",ORIG!P1234)</f>
        <v/>
      </c>
      <c r="Q1234" s="3">
        <f>IF(ORIG!Q1234=0,"",ORIG!Q1234)</f>
        <v/>
      </c>
      <c r="R1234" s="3">
        <f>IF(ORIG!R1234=0,"",ORIG!R1234)</f>
        <v/>
      </c>
      <c r="S1234" s="3">
        <f>IF(ORIG!S1234=0,"",ORIG!S1234)</f>
        <v/>
      </c>
      <c r="T1234" s="3">
        <f>IF(ORIG!T1234=0,"",ORIG!T1234)</f>
        <v/>
      </c>
      <c r="U1234" s="3">
        <f>IF(ORIG!U1234=0,"",ORIG!U1234)</f>
        <v/>
      </c>
      <c r="V1234" s="9">
        <f>IF(ORIG!V1234=0,"",ORIG!V1234)</f>
        <v/>
      </c>
      <c r="W1234" s="9">
        <f>IF(ORIG!W1234=0,"",ORIG!W1234)</f>
        <v/>
      </c>
      <c r="X1234" s="9">
        <f>IF(ORIG!X1234=0,"",ORIG!X1234)</f>
        <v/>
      </c>
      <c r="Y1234" s="9">
        <f>IF(ORIG!Y1234=0,"",ORIG!Y1234)</f>
        <v/>
      </c>
      <c r="Z1234" s="3">
        <f>SUMPRODUCT($B1234:$Y1234,$B$2649:$Y$2649)</f>
        <v/>
      </c>
      <c r="AA1234" s="3">
        <f>SUMPRODUCT($B1234:$Y1234,$B$2655:$Y$2655)</f>
        <v/>
      </c>
      <c r="AC1234" s="1">
        <f>A1234</f>
        <v/>
      </c>
      <c r="AD1234">
        <f>IF(ISNUMBER(V1234),V1234*($AB$1/V$2635),"")</f>
        <v/>
      </c>
      <c r="AE1234">
        <f>IF(ISNUMBER(Z1234),Z1234*($AB$1/Z$2635),"")</f>
        <v/>
      </c>
      <c r="AF1234" s="25">
        <f>IF(ISNUMBER(AD1234+AE1234),AD1234+AE1234,"")</f>
        <v/>
      </c>
      <c r="AH1234" s="1">
        <f>A1234</f>
        <v/>
      </c>
      <c r="AI1234">
        <f>IF(ISNUMBER((1+V1234)*AI1233),(1+V1234)*AI1233,AI1233)</f>
        <v/>
      </c>
      <c r="AJ1234">
        <f>IF(ISNUMBER((1+Z1234)*AJ1233),(1+Z1234)*AJ1233,AJ1233)</f>
        <v/>
      </c>
    </row>
    <row r="1235">
      <c r="A1235" s="1" t="n">
        <v>43791</v>
      </c>
      <c r="B1235" s="3">
        <f>IF(ORIG!B1235=0,"",ORIG!B1235)</f>
        <v/>
      </c>
      <c r="C1235" s="3">
        <f>IF(ORIG!C1235=0,"",ORIG!C1235)</f>
        <v/>
      </c>
      <c r="D1235" s="3">
        <f>IF(ORIG!D1235=0,"",ORIG!D1235)</f>
        <v/>
      </c>
      <c r="E1235" s="3">
        <f>IF(ORIG!E1235=0,"",ORIG!E1235)</f>
        <v/>
      </c>
      <c r="F1235" s="3">
        <f>IF(ORIG!F1235=0,"",ORIG!F1235)</f>
        <v/>
      </c>
      <c r="G1235" s="3">
        <f>IF(ORIG!G1235=0,"",ORIG!G1235)</f>
        <v/>
      </c>
      <c r="H1235" s="3">
        <f>IF(ORIG!H1235=0,"",ORIG!H1235)</f>
        <v/>
      </c>
      <c r="I1235" s="3">
        <f>IF(ORIG!I1235=0,"",ORIG!I1235)</f>
        <v/>
      </c>
      <c r="J1235" s="3">
        <f>IF(ORIG!J1235=0,"",ORIG!J1235)</f>
        <v/>
      </c>
      <c r="K1235" s="3">
        <f>IF(ORIG!K1235=0,"",ORIG!K1235)</f>
        <v/>
      </c>
      <c r="L1235" s="3">
        <f>IF(ORIG!L1235=0,"",ORIG!L1235)</f>
        <v/>
      </c>
      <c r="M1235" s="3">
        <f>IF(ORIG!M1235=0,"",ORIG!M1235)</f>
        <v/>
      </c>
      <c r="N1235" s="3">
        <f>IF(ORIG!N1235=0,"",ORIG!N1235)</f>
        <v/>
      </c>
      <c r="O1235" s="3">
        <f>IF(ORIG!O1235=0,"",ORIG!O1235)</f>
        <v/>
      </c>
      <c r="P1235" s="3">
        <f>IF(ORIG!P1235=0,"",ORIG!P1235)</f>
        <v/>
      </c>
      <c r="Q1235" s="3">
        <f>IF(ORIG!Q1235=0,"",ORIG!Q1235)</f>
        <v/>
      </c>
      <c r="R1235" s="3">
        <f>IF(ORIG!R1235=0,"",ORIG!R1235)</f>
        <v/>
      </c>
      <c r="S1235" s="3">
        <f>IF(ORIG!S1235=0,"",ORIG!S1235)</f>
        <v/>
      </c>
      <c r="T1235" s="3">
        <f>IF(ORIG!T1235=0,"",ORIG!T1235)</f>
        <v/>
      </c>
      <c r="U1235" s="3">
        <f>IF(ORIG!U1235=0,"",ORIG!U1235)</f>
        <v/>
      </c>
      <c r="V1235" s="9">
        <f>IF(ORIG!V1235=0,"",ORIG!V1235)</f>
        <v/>
      </c>
      <c r="W1235" s="9">
        <f>IF(ORIG!W1235=0,"",ORIG!W1235)</f>
        <v/>
      </c>
      <c r="X1235" s="9">
        <f>IF(ORIG!X1235=0,"",ORIG!X1235)</f>
        <v/>
      </c>
      <c r="Y1235" s="9">
        <f>IF(ORIG!Y1235=0,"",ORIG!Y1235)</f>
        <v/>
      </c>
      <c r="Z1235" s="3">
        <f>SUMPRODUCT($B1235:$Y1235,$B$2649:$Y$2649)</f>
        <v/>
      </c>
      <c r="AA1235" s="3">
        <f>SUMPRODUCT($B1235:$Y1235,$B$2655:$Y$2655)</f>
        <v/>
      </c>
      <c r="AC1235" s="1">
        <f>A1235</f>
        <v/>
      </c>
      <c r="AD1235">
        <f>IF(ISNUMBER(V1235),V1235*($AB$1/V$2635),"")</f>
        <v/>
      </c>
      <c r="AE1235">
        <f>IF(ISNUMBER(Z1235),Z1235*($AB$1/Z$2635),"")</f>
        <v/>
      </c>
      <c r="AF1235" s="25">
        <f>IF(ISNUMBER(AD1235+AE1235),AD1235+AE1235,"")</f>
        <v/>
      </c>
      <c r="AH1235" s="1">
        <f>A1235</f>
        <v/>
      </c>
      <c r="AI1235">
        <f>IF(ISNUMBER((1+V1235)*AI1234),(1+V1235)*AI1234,AI1234)</f>
        <v/>
      </c>
      <c r="AJ1235">
        <f>IF(ISNUMBER((1+Z1235)*AJ1234),(1+Z1235)*AJ1234,AJ1234)</f>
        <v/>
      </c>
    </row>
    <row r="1236">
      <c r="A1236" s="1" t="n">
        <v>43794</v>
      </c>
      <c r="B1236" s="3">
        <f>IF(ORIG!B1236=0,"",ORIG!B1236)</f>
        <v/>
      </c>
      <c r="C1236" s="3">
        <f>IF(ORIG!C1236=0,"",ORIG!C1236)</f>
        <v/>
      </c>
      <c r="D1236" s="3">
        <f>IF(ORIG!D1236=0,"",ORIG!D1236)</f>
        <v/>
      </c>
      <c r="E1236" s="3">
        <f>IF(ORIG!E1236=0,"",ORIG!E1236)</f>
        <v/>
      </c>
      <c r="F1236" s="3">
        <f>IF(ORIG!F1236=0,"",ORIG!F1236)</f>
        <v/>
      </c>
      <c r="G1236" s="3">
        <f>IF(ORIG!G1236=0,"",ORIG!G1236)</f>
        <v/>
      </c>
      <c r="H1236" s="3">
        <f>IF(ORIG!H1236=0,"",ORIG!H1236)</f>
        <v/>
      </c>
      <c r="I1236" s="3">
        <f>IF(ORIG!I1236=0,"",ORIG!I1236)</f>
        <v/>
      </c>
      <c r="J1236" s="3">
        <f>IF(ORIG!J1236=0,"",ORIG!J1236)</f>
        <v/>
      </c>
      <c r="K1236" s="3">
        <f>IF(ORIG!K1236=0,"",ORIG!K1236)</f>
        <v/>
      </c>
      <c r="L1236" s="3">
        <f>IF(ORIG!L1236=0,"",ORIG!L1236)</f>
        <v/>
      </c>
      <c r="M1236" s="3">
        <f>IF(ORIG!M1236=0,"",ORIG!M1236)</f>
        <v/>
      </c>
      <c r="N1236" s="3">
        <f>IF(ORIG!N1236=0,"",ORIG!N1236)</f>
        <v/>
      </c>
      <c r="O1236" s="3">
        <f>IF(ORIG!O1236=0,"",ORIG!O1236)</f>
        <v/>
      </c>
      <c r="P1236" s="3">
        <f>IF(ORIG!P1236=0,"",ORIG!P1236)</f>
        <v/>
      </c>
      <c r="Q1236" s="3">
        <f>IF(ORIG!Q1236=0,"",ORIG!Q1236)</f>
        <v/>
      </c>
      <c r="R1236" s="3">
        <f>IF(ORIG!R1236=0,"",ORIG!R1236)</f>
        <v/>
      </c>
      <c r="S1236" s="3">
        <f>IF(ORIG!S1236=0,"",ORIG!S1236)</f>
        <v/>
      </c>
      <c r="T1236" s="3">
        <f>IF(ORIG!T1236=0,"",ORIG!T1236)</f>
        <v/>
      </c>
      <c r="U1236" s="3">
        <f>IF(ORIG!U1236=0,"",ORIG!U1236)</f>
        <v/>
      </c>
      <c r="V1236" s="9">
        <f>IF(ORIG!V1236=0,"",ORIG!V1236)</f>
        <v/>
      </c>
      <c r="W1236" s="9">
        <f>IF(ORIG!W1236=0,"",ORIG!W1236)</f>
        <v/>
      </c>
      <c r="X1236" s="9">
        <f>IF(ORIG!X1236=0,"",ORIG!X1236)</f>
        <v/>
      </c>
      <c r="Y1236" s="9">
        <f>IF(ORIG!Y1236=0,"",ORIG!Y1236)</f>
        <v/>
      </c>
      <c r="Z1236" s="3">
        <f>SUMPRODUCT($B1236:$Y1236,$B$2649:$Y$2649)</f>
        <v/>
      </c>
      <c r="AA1236" s="3">
        <f>SUMPRODUCT($B1236:$Y1236,$B$2655:$Y$2655)</f>
        <v/>
      </c>
      <c r="AC1236" s="1">
        <f>A1236</f>
        <v/>
      </c>
      <c r="AD1236">
        <f>IF(ISNUMBER(V1236),V1236*($AB$1/V$2635),"")</f>
        <v/>
      </c>
      <c r="AE1236">
        <f>IF(ISNUMBER(Z1236),Z1236*($AB$1/Z$2635),"")</f>
        <v/>
      </c>
      <c r="AF1236" s="25">
        <f>IF(ISNUMBER(AD1236+AE1236),AD1236+AE1236,"")</f>
        <v/>
      </c>
      <c r="AH1236" s="1">
        <f>A1236</f>
        <v/>
      </c>
      <c r="AI1236">
        <f>IF(ISNUMBER((1+V1236)*AI1235),(1+V1236)*AI1235,AI1235)</f>
        <v/>
      </c>
      <c r="AJ1236">
        <f>IF(ISNUMBER((1+Z1236)*AJ1235),(1+Z1236)*AJ1235,AJ1235)</f>
        <v/>
      </c>
    </row>
    <row r="1237">
      <c r="A1237" s="1" t="n">
        <v>43795</v>
      </c>
      <c r="B1237" s="3">
        <f>IF(ORIG!B1237=0,"",ORIG!B1237)</f>
        <v/>
      </c>
      <c r="C1237" s="3">
        <f>IF(ORIG!C1237=0,"",ORIG!C1237)</f>
        <v/>
      </c>
      <c r="D1237" s="3">
        <f>IF(ORIG!D1237=0,"",ORIG!D1237)</f>
        <v/>
      </c>
      <c r="E1237" s="3">
        <f>IF(ORIG!E1237=0,"",ORIG!E1237)</f>
        <v/>
      </c>
      <c r="F1237" s="3">
        <f>IF(ORIG!F1237=0,"",ORIG!F1237)</f>
        <v/>
      </c>
      <c r="G1237" s="3">
        <f>IF(ORIG!G1237=0,"",ORIG!G1237)</f>
        <v/>
      </c>
      <c r="H1237" s="3">
        <f>IF(ORIG!H1237=0,"",ORIG!H1237)</f>
        <v/>
      </c>
      <c r="I1237" s="3">
        <f>IF(ORIG!I1237=0,"",ORIG!I1237)</f>
        <v/>
      </c>
      <c r="J1237" s="3">
        <f>IF(ORIG!J1237=0,"",ORIG!J1237)</f>
        <v/>
      </c>
      <c r="K1237" s="3">
        <f>IF(ORIG!K1237=0,"",ORIG!K1237)</f>
        <v/>
      </c>
      <c r="L1237" s="3">
        <f>IF(ORIG!L1237=0,"",ORIG!L1237)</f>
        <v/>
      </c>
      <c r="M1237" s="3">
        <f>IF(ORIG!M1237=0,"",ORIG!M1237)</f>
        <v/>
      </c>
      <c r="N1237" s="3">
        <f>IF(ORIG!N1237=0,"",ORIG!N1237)</f>
        <v/>
      </c>
      <c r="O1237" s="3">
        <f>IF(ORIG!O1237=0,"",ORIG!O1237)</f>
        <v/>
      </c>
      <c r="P1237" s="3">
        <f>IF(ORIG!P1237=0,"",ORIG!P1237)</f>
        <v/>
      </c>
      <c r="Q1237" s="3">
        <f>IF(ORIG!Q1237=0,"",ORIG!Q1237)</f>
        <v/>
      </c>
      <c r="R1237" s="3">
        <f>IF(ORIG!R1237=0,"",ORIG!R1237)</f>
        <v/>
      </c>
      <c r="S1237" s="3">
        <f>IF(ORIG!S1237=0,"",ORIG!S1237)</f>
        <v/>
      </c>
      <c r="T1237" s="3">
        <f>IF(ORIG!T1237=0,"",ORIG!T1237)</f>
        <v/>
      </c>
      <c r="U1237" s="3">
        <f>IF(ORIG!U1237=0,"",ORIG!U1237)</f>
        <v/>
      </c>
      <c r="V1237" s="9">
        <f>IF(ORIG!V1237=0,"",ORIG!V1237)</f>
        <v/>
      </c>
      <c r="W1237" s="9">
        <f>IF(ORIG!W1237=0,"",ORIG!W1237)</f>
        <v/>
      </c>
      <c r="X1237" s="9">
        <f>IF(ORIG!X1237=0,"",ORIG!X1237)</f>
        <v/>
      </c>
      <c r="Y1237" s="9">
        <f>IF(ORIG!Y1237=0,"",ORIG!Y1237)</f>
        <v/>
      </c>
      <c r="Z1237" s="3">
        <f>SUMPRODUCT($B1237:$Y1237,$B$2649:$Y$2649)</f>
        <v/>
      </c>
      <c r="AA1237" s="3">
        <f>SUMPRODUCT($B1237:$Y1237,$B$2655:$Y$2655)</f>
        <v/>
      </c>
      <c r="AC1237" s="1">
        <f>A1237</f>
        <v/>
      </c>
      <c r="AD1237">
        <f>IF(ISNUMBER(V1237),V1237*($AB$1/V$2635),"")</f>
        <v/>
      </c>
      <c r="AE1237">
        <f>IF(ISNUMBER(Z1237),Z1237*($AB$1/Z$2635),"")</f>
        <v/>
      </c>
      <c r="AF1237" s="25">
        <f>IF(ISNUMBER(AD1237+AE1237),AD1237+AE1237,"")</f>
        <v/>
      </c>
      <c r="AH1237" s="1">
        <f>A1237</f>
        <v/>
      </c>
      <c r="AI1237">
        <f>IF(ISNUMBER((1+V1237)*AI1236),(1+V1237)*AI1236,AI1236)</f>
        <v/>
      </c>
      <c r="AJ1237">
        <f>IF(ISNUMBER((1+Z1237)*AJ1236),(1+Z1237)*AJ1236,AJ1236)</f>
        <v/>
      </c>
    </row>
    <row r="1238">
      <c r="A1238" s="1" t="n">
        <v>43796</v>
      </c>
      <c r="B1238" s="3">
        <f>IF(ORIG!B1238=0,"",ORIG!B1238)</f>
        <v/>
      </c>
      <c r="C1238" s="3">
        <f>IF(ORIG!C1238=0,"",ORIG!C1238)</f>
        <v/>
      </c>
      <c r="D1238" s="3">
        <f>IF(ORIG!D1238=0,"",ORIG!D1238)</f>
        <v/>
      </c>
      <c r="E1238" s="3">
        <f>IF(ORIG!E1238=0,"",ORIG!E1238)</f>
        <v/>
      </c>
      <c r="F1238" s="3">
        <f>IF(ORIG!F1238=0,"",ORIG!F1238)</f>
        <v/>
      </c>
      <c r="G1238" s="3">
        <f>IF(ORIG!G1238=0,"",ORIG!G1238)</f>
        <v/>
      </c>
      <c r="H1238" s="3">
        <f>IF(ORIG!H1238=0,"",ORIG!H1238)</f>
        <v/>
      </c>
      <c r="I1238" s="3">
        <f>IF(ORIG!I1238=0,"",ORIG!I1238)</f>
        <v/>
      </c>
      <c r="J1238" s="3">
        <f>IF(ORIG!J1238=0,"",ORIG!J1238)</f>
        <v/>
      </c>
      <c r="K1238" s="3">
        <f>IF(ORIG!K1238=0,"",ORIG!K1238)</f>
        <v/>
      </c>
      <c r="L1238" s="3">
        <f>IF(ORIG!L1238=0,"",ORIG!L1238)</f>
        <v/>
      </c>
      <c r="M1238" s="3">
        <f>IF(ORIG!M1238=0,"",ORIG!M1238)</f>
        <v/>
      </c>
      <c r="N1238" s="3">
        <f>IF(ORIG!N1238=0,"",ORIG!N1238)</f>
        <v/>
      </c>
      <c r="O1238" s="3">
        <f>IF(ORIG!O1238=0,"",ORIG!O1238)</f>
        <v/>
      </c>
      <c r="P1238" s="3">
        <f>IF(ORIG!P1238=0,"",ORIG!P1238)</f>
        <v/>
      </c>
      <c r="Q1238" s="3">
        <f>IF(ORIG!Q1238=0,"",ORIG!Q1238)</f>
        <v/>
      </c>
      <c r="R1238" s="3">
        <f>IF(ORIG!R1238=0,"",ORIG!R1238)</f>
        <v/>
      </c>
      <c r="S1238" s="3">
        <f>IF(ORIG!S1238=0,"",ORIG!S1238)</f>
        <v/>
      </c>
      <c r="T1238" s="3">
        <f>IF(ORIG!T1238=0,"",ORIG!T1238)</f>
        <v/>
      </c>
      <c r="U1238" s="3">
        <f>IF(ORIG!U1238=0,"",ORIG!U1238)</f>
        <v/>
      </c>
      <c r="V1238" s="9">
        <f>IF(ORIG!V1238=0,"",ORIG!V1238)</f>
        <v/>
      </c>
      <c r="W1238" s="9">
        <f>IF(ORIG!W1238=0,"",ORIG!W1238)</f>
        <v/>
      </c>
      <c r="X1238" s="9">
        <f>IF(ORIG!X1238=0,"",ORIG!X1238)</f>
        <v/>
      </c>
      <c r="Y1238" s="9">
        <f>IF(ORIG!Y1238=0,"",ORIG!Y1238)</f>
        <v/>
      </c>
      <c r="Z1238" s="3">
        <f>SUMPRODUCT($B1238:$Y1238,$B$2649:$Y$2649)</f>
        <v/>
      </c>
      <c r="AA1238" s="3">
        <f>SUMPRODUCT($B1238:$Y1238,$B$2655:$Y$2655)</f>
        <v/>
      </c>
      <c r="AC1238" s="1">
        <f>A1238</f>
        <v/>
      </c>
      <c r="AD1238">
        <f>IF(ISNUMBER(V1238),V1238*($AB$1/V$2635),"")</f>
        <v/>
      </c>
      <c r="AE1238">
        <f>IF(ISNUMBER(Z1238),Z1238*($AB$1/Z$2635),"")</f>
        <v/>
      </c>
      <c r="AF1238" s="25">
        <f>IF(ISNUMBER(AD1238+AE1238),AD1238+AE1238,"")</f>
        <v/>
      </c>
      <c r="AH1238" s="1">
        <f>A1238</f>
        <v/>
      </c>
      <c r="AI1238">
        <f>IF(ISNUMBER((1+V1238)*AI1237),(1+V1238)*AI1237,AI1237)</f>
        <v/>
      </c>
      <c r="AJ1238">
        <f>IF(ISNUMBER((1+Z1238)*AJ1237),(1+Z1238)*AJ1237,AJ1237)</f>
        <v/>
      </c>
    </row>
    <row r="1239">
      <c r="A1239" s="1" t="n">
        <v>43798</v>
      </c>
      <c r="B1239" s="3">
        <f>IF(ORIG!B1239=0,"",ORIG!B1239)</f>
        <v/>
      </c>
      <c r="C1239" s="3">
        <f>IF(ORIG!C1239=0,"",ORIG!C1239)</f>
        <v/>
      </c>
      <c r="D1239" s="3">
        <f>IF(ORIG!D1239=0,"",ORIG!D1239)</f>
        <v/>
      </c>
      <c r="E1239" s="3">
        <f>IF(ORIG!E1239=0,"",ORIG!E1239)</f>
        <v/>
      </c>
      <c r="F1239" s="3">
        <f>IF(ORIG!F1239=0,"",ORIG!F1239)</f>
        <v/>
      </c>
      <c r="G1239" s="3">
        <f>IF(ORIG!G1239=0,"",ORIG!G1239)</f>
        <v/>
      </c>
      <c r="H1239" s="3">
        <f>IF(ORIG!H1239=0,"",ORIG!H1239)</f>
        <v/>
      </c>
      <c r="I1239" s="3">
        <f>IF(ORIG!I1239=0,"",ORIG!I1239)</f>
        <v/>
      </c>
      <c r="J1239" s="3">
        <f>IF(ORIG!J1239=0,"",ORIG!J1239)</f>
        <v/>
      </c>
      <c r="K1239" s="3">
        <f>IF(ORIG!K1239=0,"",ORIG!K1239)</f>
        <v/>
      </c>
      <c r="L1239" s="3">
        <f>IF(ORIG!L1239=0,"",ORIG!L1239)</f>
        <v/>
      </c>
      <c r="M1239" s="3">
        <f>IF(ORIG!M1239=0,"",ORIG!M1239)</f>
        <v/>
      </c>
      <c r="N1239" s="3">
        <f>IF(ORIG!N1239=0,"",ORIG!N1239)</f>
        <v/>
      </c>
      <c r="O1239" s="3">
        <f>IF(ORIG!O1239=0,"",ORIG!O1239)</f>
        <v/>
      </c>
      <c r="P1239" s="3">
        <f>IF(ORIG!P1239=0,"",ORIG!P1239)</f>
        <v/>
      </c>
      <c r="Q1239" s="3">
        <f>IF(ORIG!Q1239=0,"",ORIG!Q1239)</f>
        <v/>
      </c>
      <c r="R1239" s="3">
        <f>IF(ORIG!R1239=0,"",ORIG!R1239)</f>
        <v/>
      </c>
      <c r="S1239" s="3">
        <f>IF(ORIG!S1239=0,"",ORIG!S1239)</f>
        <v/>
      </c>
      <c r="T1239" s="3">
        <f>IF(ORIG!T1239=0,"",ORIG!T1239)</f>
        <v/>
      </c>
      <c r="U1239" s="3">
        <f>IF(ORIG!U1239=0,"",ORIG!U1239)</f>
        <v/>
      </c>
      <c r="V1239" s="9">
        <f>IF(ORIG!V1239=0,"",ORIG!V1239)</f>
        <v/>
      </c>
      <c r="W1239" s="9">
        <f>IF(ORIG!W1239=0,"",ORIG!W1239)</f>
        <v/>
      </c>
      <c r="X1239" s="9">
        <f>IF(ORIG!X1239=0,"",ORIG!X1239)</f>
        <v/>
      </c>
      <c r="Y1239" s="9">
        <f>IF(ORIG!Y1239=0,"",ORIG!Y1239)</f>
        <v/>
      </c>
      <c r="Z1239" s="3">
        <f>SUMPRODUCT($B1239:$Y1239,$B$2649:$Y$2649)</f>
        <v/>
      </c>
      <c r="AA1239" s="3">
        <f>SUMPRODUCT($B1239:$Y1239,$B$2655:$Y$2655)</f>
        <v/>
      </c>
      <c r="AC1239" s="1">
        <f>A1239</f>
        <v/>
      </c>
      <c r="AD1239">
        <f>IF(ISNUMBER(V1239),V1239*($AB$1/V$2635),"")</f>
        <v/>
      </c>
      <c r="AE1239">
        <f>IF(ISNUMBER(Z1239),Z1239*($AB$1/Z$2635),"")</f>
        <v/>
      </c>
      <c r="AF1239" s="25">
        <f>IF(ISNUMBER(AD1239+AE1239),AD1239+AE1239,"")</f>
        <v/>
      </c>
      <c r="AH1239" s="1">
        <f>A1239</f>
        <v/>
      </c>
      <c r="AI1239">
        <f>IF(ISNUMBER((1+V1239)*AI1238),(1+V1239)*AI1238,AI1238)</f>
        <v/>
      </c>
      <c r="AJ1239">
        <f>IF(ISNUMBER((1+Z1239)*AJ1238),(1+Z1239)*AJ1238,AJ1238)</f>
        <v/>
      </c>
    </row>
    <row r="1240">
      <c r="A1240" s="1" t="n">
        <v>43801</v>
      </c>
      <c r="B1240" s="3">
        <f>IF(ORIG!B1240=0,"",ORIG!B1240)</f>
        <v/>
      </c>
      <c r="C1240" s="3">
        <f>IF(ORIG!C1240=0,"",ORIG!C1240)</f>
        <v/>
      </c>
      <c r="D1240" s="3">
        <f>IF(ORIG!D1240=0,"",ORIG!D1240)</f>
        <v/>
      </c>
      <c r="E1240" s="3">
        <f>IF(ORIG!E1240=0,"",ORIG!E1240)</f>
        <v/>
      </c>
      <c r="F1240" s="3">
        <f>IF(ORIG!F1240=0,"",ORIG!F1240)</f>
        <v/>
      </c>
      <c r="G1240" s="3">
        <f>IF(ORIG!G1240=0,"",ORIG!G1240)</f>
        <v/>
      </c>
      <c r="H1240" s="3">
        <f>IF(ORIG!H1240=0,"",ORIG!H1240)</f>
        <v/>
      </c>
      <c r="I1240" s="3">
        <f>IF(ORIG!I1240=0,"",ORIG!I1240)</f>
        <v/>
      </c>
      <c r="J1240" s="3">
        <f>IF(ORIG!J1240=0,"",ORIG!J1240)</f>
        <v/>
      </c>
      <c r="K1240" s="3">
        <f>IF(ORIG!K1240=0,"",ORIG!K1240)</f>
        <v/>
      </c>
      <c r="L1240" s="3">
        <f>IF(ORIG!L1240=0,"",ORIG!L1240)</f>
        <v/>
      </c>
      <c r="M1240" s="3">
        <f>IF(ORIG!M1240=0,"",ORIG!M1240)</f>
        <v/>
      </c>
      <c r="N1240" s="3">
        <f>IF(ORIG!N1240=0,"",ORIG!N1240)</f>
        <v/>
      </c>
      <c r="O1240" s="3">
        <f>IF(ORIG!O1240=0,"",ORIG!O1240)</f>
        <v/>
      </c>
      <c r="P1240" s="3">
        <f>IF(ORIG!P1240=0,"",ORIG!P1240)</f>
        <v/>
      </c>
      <c r="Q1240" s="3">
        <f>IF(ORIG!Q1240=0,"",ORIG!Q1240)</f>
        <v/>
      </c>
      <c r="R1240" s="3">
        <f>IF(ORIG!R1240=0,"",ORIG!R1240)</f>
        <v/>
      </c>
      <c r="S1240" s="3">
        <f>IF(ORIG!S1240=0,"",ORIG!S1240)</f>
        <v/>
      </c>
      <c r="T1240" s="3">
        <f>IF(ORIG!T1240=0,"",ORIG!T1240)</f>
        <v/>
      </c>
      <c r="U1240" s="3">
        <f>IF(ORIG!U1240=0,"",ORIG!U1240)</f>
        <v/>
      </c>
      <c r="V1240" s="9">
        <f>IF(ORIG!V1240=0,"",ORIG!V1240)</f>
        <v/>
      </c>
      <c r="W1240" s="9">
        <f>IF(ORIG!W1240=0,"",ORIG!W1240)</f>
        <v/>
      </c>
      <c r="X1240" s="9">
        <f>IF(ORIG!X1240=0,"",ORIG!X1240)</f>
        <v/>
      </c>
      <c r="Y1240" s="9">
        <f>IF(ORIG!Y1240=0,"",ORIG!Y1240)</f>
        <v/>
      </c>
      <c r="Z1240" s="3">
        <f>SUMPRODUCT($B1240:$Y1240,$B$2649:$Y$2649)</f>
        <v/>
      </c>
      <c r="AA1240" s="3">
        <f>SUMPRODUCT($B1240:$Y1240,$B$2655:$Y$2655)</f>
        <v/>
      </c>
      <c r="AC1240" s="1">
        <f>A1240</f>
        <v/>
      </c>
      <c r="AD1240">
        <f>IF(ISNUMBER(V1240),V1240*($AB$1/V$2635),"")</f>
        <v/>
      </c>
      <c r="AE1240">
        <f>IF(ISNUMBER(Z1240),Z1240*($AB$1/Z$2635),"")</f>
        <v/>
      </c>
      <c r="AF1240" s="25">
        <f>IF(ISNUMBER(AD1240+AE1240),AD1240+AE1240,"")</f>
        <v/>
      </c>
      <c r="AH1240" s="1">
        <f>A1240</f>
        <v/>
      </c>
      <c r="AI1240">
        <f>IF(ISNUMBER((1+V1240)*AI1239),(1+V1240)*AI1239,AI1239)</f>
        <v/>
      </c>
      <c r="AJ1240">
        <f>IF(ISNUMBER((1+Z1240)*AJ1239),(1+Z1240)*AJ1239,AJ1239)</f>
        <v/>
      </c>
    </row>
    <row r="1241">
      <c r="A1241" s="1" t="n">
        <v>43802</v>
      </c>
      <c r="B1241" s="3">
        <f>IF(ORIG!B1241=0,"",ORIG!B1241)</f>
        <v/>
      </c>
      <c r="C1241" s="3">
        <f>IF(ORIG!C1241=0,"",ORIG!C1241)</f>
        <v/>
      </c>
      <c r="D1241" s="3">
        <f>IF(ORIG!D1241=0,"",ORIG!D1241)</f>
        <v/>
      </c>
      <c r="E1241" s="3">
        <f>IF(ORIG!E1241=0,"",ORIG!E1241)</f>
        <v/>
      </c>
      <c r="F1241" s="3">
        <f>IF(ORIG!F1241=0,"",ORIG!F1241)</f>
        <v/>
      </c>
      <c r="G1241" s="3">
        <f>IF(ORIG!G1241=0,"",ORIG!G1241)</f>
        <v/>
      </c>
      <c r="H1241" s="3">
        <f>IF(ORIG!H1241=0,"",ORIG!H1241)</f>
        <v/>
      </c>
      <c r="I1241" s="3">
        <f>IF(ORIG!I1241=0,"",ORIG!I1241)</f>
        <v/>
      </c>
      <c r="J1241" s="3">
        <f>IF(ORIG!J1241=0,"",ORIG!J1241)</f>
        <v/>
      </c>
      <c r="K1241" s="3">
        <f>IF(ORIG!K1241=0,"",ORIG!K1241)</f>
        <v/>
      </c>
      <c r="L1241" s="3">
        <f>IF(ORIG!L1241=0,"",ORIG!L1241)</f>
        <v/>
      </c>
      <c r="M1241" s="3">
        <f>IF(ORIG!M1241=0,"",ORIG!M1241)</f>
        <v/>
      </c>
      <c r="N1241" s="3">
        <f>IF(ORIG!N1241=0,"",ORIG!N1241)</f>
        <v/>
      </c>
      <c r="O1241" s="3">
        <f>IF(ORIG!O1241=0,"",ORIG!O1241)</f>
        <v/>
      </c>
      <c r="P1241" s="3">
        <f>IF(ORIG!P1241=0,"",ORIG!P1241)</f>
        <v/>
      </c>
      <c r="Q1241" s="3">
        <f>IF(ORIG!Q1241=0,"",ORIG!Q1241)</f>
        <v/>
      </c>
      <c r="R1241" s="3">
        <f>IF(ORIG!R1241=0,"",ORIG!R1241)</f>
        <v/>
      </c>
      <c r="S1241" s="3">
        <f>IF(ORIG!S1241=0,"",ORIG!S1241)</f>
        <v/>
      </c>
      <c r="T1241" s="3">
        <f>IF(ORIG!T1241=0,"",ORIG!T1241)</f>
        <v/>
      </c>
      <c r="U1241" s="3">
        <f>IF(ORIG!U1241=0,"",ORIG!U1241)</f>
        <v/>
      </c>
      <c r="V1241" s="9">
        <f>IF(ORIG!V1241=0,"",ORIG!V1241)</f>
        <v/>
      </c>
      <c r="W1241" s="9">
        <f>IF(ORIG!W1241=0,"",ORIG!W1241)</f>
        <v/>
      </c>
      <c r="X1241" s="9">
        <f>IF(ORIG!X1241=0,"",ORIG!X1241)</f>
        <v/>
      </c>
      <c r="Y1241" s="9">
        <f>IF(ORIG!Y1241=0,"",ORIG!Y1241)</f>
        <v/>
      </c>
      <c r="Z1241" s="3">
        <f>SUMPRODUCT($B1241:$Y1241,$B$2649:$Y$2649)</f>
        <v/>
      </c>
      <c r="AA1241" s="3">
        <f>SUMPRODUCT($B1241:$Y1241,$B$2655:$Y$2655)</f>
        <v/>
      </c>
      <c r="AC1241" s="1">
        <f>A1241</f>
        <v/>
      </c>
      <c r="AD1241">
        <f>IF(ISNUMBER(V1241),V1241*($AB$1/V$2635),"")</f>
        <v/>
      </c>
      <c r="AE1241">
        <f>IF(ISNUMBER(Z1241),Z1241*($AB$1/Z$2635),"")</f>
        <v/>
      </c>
      <c r="AF1241" s="25">
        <f>IF(ISNUMBER(AD1241+AE1241),AD1241+AE1241,"")</f>
        <v/>
      </c>
      <c r="AH1241" s="1">
        <f>A1241</f>
        <v/>
      </c>
      <c r="AI1241">
        <f>IF(ISNUMBER((1+V1241)*AI1240),(1+V1241)*AI1240,AI1240)</f>
        <v/>
      </c>
      <c r="AJ1241">
        <f>IF(ISNUMBER((1+Z1241)*AJ1240),(1+Z1241)*AJ1240,AJ1240)</f>
        <v/>
      </c>
    </row>
    <row r="1242">
      <c r="A1242" s="1" t="n">
        <v>43803</v>
      </c>
      <c r="B1242" s="3">
        <f>IF(ORIG!B1242=0,"",ORIG!B1242)</f>
        <v/>
      </c>
      <c r="C1242" s="3">
        <f>IF(ORIG!C1242=0,"",ORIG!C1242)</f>
        <v/>
      </c>
      <c r="D1242" s="3">
        <f>IF(ORIG!D1242=0,"",ORIG!D1242)</f>
        <v/>
      </c>
      <c r="E1242" s="3">
        <f>IF(ORIG!E1242=0,"",ORIG!E1242)</f>
        <v/>
      </c>
      <c r="F1242" s="3">
        <f>IF(ORIG!F1242=0,"",ORIG!F1242)</f>
        <v/>
      </c>
      <c r="G1242" s="3">
        <f>IF(ORIG!G1242=0,"",ORIG!G1242)</f>
        <v/>
      </c>
      <c r="H1242" s="3">
        <f>IF(ORIG!H1242=0,"",ORIG!H1242)</f>
        <v/>
      </c>
      <c r="I1242" s="3">
        <f>IF(ORIG!I1242=0,"",ORIG!I1242)</f>
        <v/>
      </c>
      <c r="J1242" s="3">
        <f>IF(ORIG!J1242=0,"",ORIG!J1242)</f>
        <v/>
      </c>
      <c r="K1242" s="3">
        <f>IF(ORIG!K1242=0,"",ORIG!K1242)</f>
        <v/>
      </c>
      <c r="L1242" s="3">
        <f>IF(ORIG!L1242=0,"",ORIG!L1242)</f>
        <v/>
      </c>
      <c r="M1242" s="3">
        <f>IF(ORIG!M1242=0,"",ORIG!M1242)</f>
        <v/>
      </c>
      <c r="N1242" s="3">
        <f>IF(ORIG!N1242=0,"",ORIG!N1242)</f>
        <v/>
      </c>
      <c r="O1242" s="3">
        <f>IF(ORIG!O1242=0,"",ORIG!O1242)</f>
        <v/>
      </c>
      <c r="P1242" s="3">
        <f>IF(ORIG!P1242=0,"",ORIG!P1242)</f>
        <v/>
      </c>
      <c r="Q1242" s="3">
        <f>IF(ORIG!Q1242=0,"",ORIG!Q1242)</f>
        <v/>
      </c>
      <c r="R1242" s="3">
        <f>IF(ORIG!R1242=0,"",ORIG!R1242)</f>
        <v/>
      </c>
      <c r="S1242" s="3">
        <f>IF(ORIG!S1242=0,"",ORIG!S1242)</f>
        <v/>
      </c>
      <c r="T1242" s="3">
        <f>IF(ORIG!T1242=0,"",ORIG!T1242)</f>
        <v/>
      </c>
      <c r="U1242" s="3">
        <f>IF(ORIG!U1242=0,"",ORIG!U1242)</f>
        <v/>
      </c>
      <c r="V1242" s="9">
        <f>IF(ORIG!V1242=0,"",ORIG!V1242)</f>
        <v/>
      </c>
      <c r="W1242" s="9">
        <f>IF(ORIG!W1242=0,"",ORIG!W1242)</f>
        <v/>
      </c>
      <c r="X1242" s="9">
        <f>IF(ORIG!X1242=0,"",ORIG!X1242)</f>
        <v/>
      </c>
      <c r="Y1242" s="9">
        <f>IF(ORIG!Y1242=0,"",ORIG!Y1242)</f>
        <v/>
      </c>
      <c r="Z1242" s="3">
        <f>SUMPRODUCT($B1242:$Y1242,$B$2649:$Y$2649)</f>
        <v/>
      </c>
      <c r="AA1242" s="3">
        <f>SUMPRODUCT($B1242:$Y1242,$B$2655:$Y$2655)</f>
        <v/>
      </c>
      <c r="AC1242" s="1">
        <f>A1242</f>
        <v/>
      </c>
      <c r="AD1242">
        <f>IF(ISNUMBER(V1242),V1242*($AB$1/V$2635),"")</f>
        <v/>
      </c>
      <c r="AE1242">
        <f>IF(ISNUMBER(Z1242),Z1242*($AB$1/Z$2635),"")</f>
        <v/>
      </c>
      <c r="AF1242" s="25">
        <f>IF(ISNUMBER(AD1242+AE1242),AD1242+AE1242,"")</f>
        <v/>
      </c>
      <c r="AH1242" s="1">
        <f>A1242</f>
        <v/>
      </c>
      <c r="AI1242">
        <f>IF(ISNUMBER((1+V1242)*AI1241),(1+V1242)*AI1241,AI1241)</f>
        <v/>
      </c>
      <c r="AJ1242">
        <f>IF(ISNUMBER((1+Z1242)*AJ1241),(1+Z1242)*AJ1241,AJ1241)</f>
        <v/>
      </c>
    </row>
    <row r="1243">
      <c r="A1243" s="1" t="n">
        <v>43804</v>
      </c>
      <c r="B1243" s="3">
        <f>IF(ORIG!B1243=0,"",ORIG!B1243)</f>
        <v/>
      </c>
      <c r="C1243" s="3">
        <f>IF(ORIG!C1243=0,"",ORIG!C1243)</f>
        <v/>
      </c>
      <c r="D1243" s="3">
        <f>IF(ORIG!D1243=0,"",ORIG!D1243)</f>
        <v/>
      </c>
      <c r="E1243" s="3">
        <f>IF(ORIG!E1243=0,"",ORIG!E1243)</f>
        <v/>
      </c>
      <c r="F1243" s="3">
        <f>IF(ORIG!F1243=0,"",ORIG!F1243)</f>
        <v/>
      </c>
      <c r="G1243" s="3">
        <f>IF(ORIG!G1243=0,"",ORIG!G1243)</f>
        <v/>
      </c>
      <c r="H1243" s="3">
        <f>IF(ORIG!H1243=0,"",ORIG!H1243)</f>
        <v/>
      </c>
      <c r="I1243" s="3">
        <f>IF(ORIG!I1243=0,"",ORIG!I1243)</f>
        <v/>
      </c>
      <c r="J1243" s="3">
        <f>IF(ORIG!J1243=0,"",ORIG!J1243)</f>
        <v/>
      </c>
      <c r="K1243" s="3">
        <f>IF(ORIG!K1243=0,"",ORIG!K1243)</f>
        <v/>
      </c>
      <c r="L1243" s="3">
        <f>IF(ORIG!L1243=0,"",ORIG!L1243)</f>
        <v/>
      </c>
      <c r="M1243" s="3">
        <f>IF(ORIG!M1243=0,"",ORIG!M1243)</f>
        <v/>
      </c>
      <c r="N1243" s="3">
        <f>IF(ORIG!N1243=0,"",ORIG!N1243)</f>
        <v/>
      </c>
      <c r="O1243" s="3">
        <f>IF(ORIG!O1243=0,"",ORIG!O1243)</f>
        <v/>
      </c>
      <c r="P1243" s="3">
        <f>IF(ORIG!P1243=0,"",ORIG!P1243)</f>
        <v/>
      </c>
      <c r="Q1243" s="3">
        <f>IF(ORIG!Q1243=0,"",ORIG!Q1243)</f>
        <v/>
      </c>
      <c r="R1243" s="3">
        <f>IF(ORIG!R1243=0,"",ORIG!R1243)</f>
        <v/>
      </c>
      <c r="S1243" s="3">
        <f>IF(ORIG!S1243=0,"",ORIG!S1243)</f>
        <v/>
      </c>
      <c r="T1243" s="3">
        <f>IF(ORIG!T1243=0,"",ORIG!T1243)</f>
        <v/>
      </c>
      <c r="U1243" s="3">
        <f>IF(ORIG!U1243=0,"",ORIG!U1243)</f>
        <v/>
      </c>
      <c r="V1243" s="9">
        <f>IF(ORIG!V1243=0,"",ORIG!V1243)</f>
        <v/>
      </c>
      <c r="W1243" s="9">
        <f>IF(ORIG!W1243=0,"",ORIG!W1243)</f>
        <v/>
      </c>
      <c r="X1243" s="9">
        <f>IF(ORIG!X1243=0,"",ORIG!X1243)</f>
        <v/>
      </c>
      <c r="Y1243" s="9">
        <f>IF(ORIG!Y1243=0,"",ORIG!Y1243)</f>
        <v/>
      </c>
      <c r="Z1243" s="3">
        <f>SUMPRODUCT($B1243:$Y1243,$B$2649:$Y$2649)</f>
        <v/>
      </c>
      <c r="AA1243" s="3">
        <f>SUMPRODUCT($B1243:$Y1243,$B$2655:$Y$2655)</f>
        <v/>
      </c>
      <c r="AC1243" s="1">
        <f>A1243</f>
        <v/>
      </c>
      <c r="AD1243">
        <f>IF(ISNUMBER(V1243),V1243*($AB$1/V$2635),"")</f>
        <v/>
      </c>
      <c r="AE1243">
        <f>IF(ISNUMBER(Z1243),Z1243*($AB$1/Z$2635),"")</f>
        <v/>
      </c>
      <c r="AF1243" s="25">
        <f>IF(ISNUMBER(AD1243+AE1243),AD1243+AE1243,"")</f>
        <v/>
      </c>
      <c r="AH1243" s="1">
        <f>A1243</f>
        <v/>
      </c>
      <c r="AI1243">
        <f>IF(ISNUMBER((1+V1243)*AI1242),(1+V1243)*AI1242,AI1242)</f>
        <v/>
      </c>
      <c r="AJ1243">
        <f>IF(ISNUMBER((1+Z1243)*AJ1242),(1+Z1243)*AJ1242,AJ1242)</f>
        <v/>
      </c>
    </row>
    <row r="1244">
      <c r="A1244" s="1" t="n">
        <v>43805</v>
      </c>
      <c r="B1244" s="3">
        <f>IF(ORIG!B1244=0,"",ORIG!B1244)</f>
        <v/>
      </c>
      <c r="C1244" s="3">
        <f>IF(ORIG!C1244=0,"",ORIG!C1244)</f>
        <v/>
      </c>
      <c r="D1244" s="3">
        <f>IF(ORIG!D1244=0,"",ORIG!D1244)</f>
        <v/>
      </c>
      <c r="E1244" s="3">
        <f>IF(ORIG!E1244=0,"",ORIG!E1244)</f>
        <v/>
      </c>
      <c r="F1244" s="3">
        <f>IF(ORIG!F1244=0,"",ORIG!F1244)</f>
        <v/>
      </c>
      <c r="G1244" s="3">
        <f>IF(ORIG!G1244=0,"",ORIG!G1244)</f>
        <v/>
      </c>
      <c r="H1244" s="3">
        <f>IF(ORIG!H1244=0,"",ORIG!H1244)</f>
        <v/>
      </c>
      <c r="I1244" s="3">
        <f>IF(ORIG!I1244=0,"",ORIG!I1244)</f>
        <v/>
      </c>
      <c r="J1244" s="3">
        <f>IF(ORIG!J1244=0,"",ORIG!J1244)</f>
        <v/>
      </c>
      <c r="K1244" s="3">
        <f>IF(ORIG!K1244=0,"",ORIG!K1244)</f>
        <v/>
      </c>
      <c r="L1244" s="3">
        <f>IF(ORIG!L1244=0,"",ORIG!L1244)</f>
        <v/>
      </c>
      <c r="M1244" s="3">
        <f>IF(ORIG!M1244=0,"",ORIG!M1244)</f>
        <v/>
      </c>
      <c r="N1244" s="3">
        <f>IF(ORIG!N1244=0,"",ORIG!N1244)</f>
        <v/>
      </c>
      <c r="O1244" s="3">
        <f>IF(ORIG!O1244=0,"",ORIG!O1244)</f>
        <v/>
      </c>
      <c r="P1244" s="3">
        <f>IF(ORIG!P1244=0,"",ORIG!P1244)</f>
        <v/>
      </c>
      <c r="Q1244" s="3">
        <f>IF(ORIG!Q1244=0,"",ORIG!Q1244)</f>
        <v/>
      </c>
      <c r="R1244" s="3">
        <f>IF(ORIG!R1244=0,"",ORIG!R1244)</f>
        <v/>
      </c>
      <c r="S1244" s="3">
        <f>IF(ORIG!S1244=0,"",ORIG!S1244)</f>
        <v/>
      </c>
      <c r="T1244" s="3">
        <f>IF(ORIG!T1244=0,"",ORIG!T1244)</f>
        <v/>
      </c>
      <c r="U1244" s="3">
        <f>IF(ORIG!U1244=0,"",ORIG!U1244)</f>
        <v/>
      </c>
      <c r="V1244" s="9">
        <f>IF(ORIG!V1244=0,"",ORIG!V1244)</f>
        <v/>
      </c>
      <c r="W1244" s="9">
        <f>IF(ORIG!W1244=0,"",ORIG!W1244)</f>
        <v/>
      </c>
      <c r="X1244" s="9">
        <f>IF(ORIG!X1244=0,"",ORIG!X1244)</f>
        <v/>
      </c>
      <c r="Y1244" s="9">
        <f>IF(ORIG!Y1244=0,"",ORIG!Y1244)</f>
        <v/>
      </c>
      <c r="Z1244" s="3">
        <f>SUMPRODUCT($B1244:$Y1244,$B$2649:$Y$2649)</f>
        <v/>
      </c>
      <c r="AA1244" s="3">
        <f>SUMPRODUCT($B1244:$Y1244,$B$2655:$Y$2655)</f>
        <v/>
      </c>
      <c r="AC1244" s="1">
        <f>A1244</f>
        <v/>
      </c>
      <c r="AD1244">
        <f>IF(ISNUMBER(V1244),V1244*($AB$1/V$2635),"")</f>
        <v/>
      </c>
      <c r="AE1244">
        <f>IF(ISNUMBER(Z1244),Z1244*($AB$1/Z$2635),"")</f>
        <v/>
      </c>
      <c r="AF1244" s="25">
        <f>IF(ISNUMBER(AD1244+AE1244),AD1244+AE1244,"")</f>
        <v/>
      </c>
      <c r="AH1244" s="1">
        <f>A1244</f>
        <v/>
      </c>
      <c r="AI1244">
        <f>IF(ISNUMBER((1+V1244)*AI1243),(1+V1244)*AI1243,AI1243)</f>
        <v/>
      </c>
      <c r="AJ1244">
        <f>IF(ISNUMBER((1+Z1244)*AJ1243),(1+Z1244)*AJ1243,AJ1243)</f>
        <v/>
      </c>
    </row>
    <row r="1245">
      <c r="A1245" s="1" t="n">
        <v>43808</v>
      </c>
      <c r="B1245" s="3">
        <f>IF(ORIG!B1245=0,"",ORIG!B1245)</f>
        <v/>
      </c>
      <c r="C1245" s="3">
        <f>IF(ORIG!C1245=0,"",ORIG!C1245)</f>
        <v/>
      </c>
      <c r="D1245" s="3">
        <f>IF(ORIG!D1245=0,"",ORIG!D1245)</f>
        <v/>
      </c>
      <c r="E1245" s="3">
        <f>IF(ORIG!E1245=0,"",ORIG!E1245)</f>
        <v/>
      </c>
      <c r="F1245" s="3">
        <f>IF(ORIG!F1245=0,"",ORIG!F1245)</f>
        <v/>
      </c>
      <c r="G1245" s="3">
        <f>IF(ORIG!G1245=0,"",ORIG!G1245)</f>
        <v/>
      </c>
      <c r="H1245" s="3">
        <f>IF(ORIG!H1245=0,"",ORIG!H1245)</f>
        <v/>
      </c>
      <c r="I1245" s="3">
        <f>IF(ORIG!I1245=0,"",ORIG!I1245)</f>
        <v/>
      </c>
      <c r="J1245" s="3">
        <f>IF(ORIG!J1245=0,"",ORIG!J1245)</f>
        <v/>
      </c>
      <c r="K1245" s="3">
        <f>IF(ORIG!K1245=0,"",ORIG!K1245)</f>
        <v/>
      </c>
      <c r="L1245" s="3">
        <f>IF(ORIG!L1245=0,"",ORIG!L1245)</f>
        <v/>
      </c>
      <c r="M1245" s="3">
        <f>IF(ORIG!M1245=0,"",ORIG!M1245)</f>
        <v/>
      </c>
      <c r="N1245" s="3">
        <f>IF(ORIG!N1245=0,"",ORIG!N1245)</f>
        <v/>
      </c>
      <c r="O1245" s="3">
        <f>IF(ORIG!O1245=0,"",ORIG!O1245)</f>
        <v/>
      </c>
      <c r="P1245" s="3">
        <f>IF(ORIG!P1245=0,"",ORIG!P1245)</f>
        <v/>
      </c>
      <c r="Q1245" s="3">
        <f>IF(ORIG!Q1245=0,"",ORIG!Q1245)</f>
        <v/>
      </c>
      <c r="R1245" s="3">
        <f>IF(ORIG!R1245=0,"",ORIG!R1245)</f>
        <v/>
      </c>
      <c r="S1245" s="3">
        <f>IF(ORIG!S1245=0,"",ORIG!S1245)</f>
        <v/>
      </c>
      <c r="T1245" s="3">
        <f>IF(ORIG!T1245=0,"",ORIG!T1245)</f>
        <v/>
      </c>
      <c r="U1245" s="3">
        <f>IF(ORIG!U1245=0,"",ORIG!U1245)</f>
        <v/>
      </c>
      <c r="V1245" s="9">
        <f>IF(ORIG!V1245=0,"",ORIG!V1245)</f>
        <v/>
      </c>
      <c r="W1245" s="9">
        <f>IF(ORIG!W1245=0,"",ORIG!W1245)</f>
        <v/>
      </c>
      <c r="X1245" s="9">
        <f>IF(ORIG!X1245=0,"",ORIG!X1245)</f>
        <v/>
      </c>
      <c r="Y1245" s="9">
        <f>IF(ORIG!Y1245=0,"",ORIG!Y1245)</f>
        <v/>
      </c>
      <c r="Z1245" s="3">
        <f>SUMPRODUCT($B1245:$Y1245,$B$2649:$Y$2649)</f>
        <v/>
      </c>
      <c r="AA1245" s="3">
        <f>SUMPRODUCT($B1245:$Y1245,$B$2655:$Y$2655)</f>
        <v/>
      </c>
      <c r="AC1245" s="1">
        <f>A1245</f>
        <v/>
      </c>
      <c r="AD1245">
        <f>IF(ISNUMBER(V1245),V1245*($AB$1/V$2635),"")</f>
        <v/>
      </c>
      <c r="AE1245">
        <f>IF(ISNUMBER(Z1245),Z1245*($AB$1/Z$2635),"")</f>
        <v/>
      </c>
      <c r="AF1245" s="25">
        <f>IF(ISNUMBER(AD1245+AE1245),AD1245+AE1245,"")</f>
        <v/>
      </c>
      <c r="AH1245" s="1">
        <f>A1245</f>
        <v/>
      </c>
      <c r="AI1245">
        <f>IF(ISNUMBER((1+V1245)*AI1244),(1+V1245)*AI1244,AI1244)</f>
        <v/>
      </c>
      <c r="AJ1245">
        <f>IF(ISNUMBER((1+Z1245)*AJ1244),(1+Z1245)*AJ1244,AJ1244)</f>
        <v/>
      </c>
    </row>
    <row r="1246">
      <c r="A1246" s="1" t="n">
        <v>43809</v>
      </c>
      <c r="B1246" s="3">
        <f>IF(ORIG!B1246=0,"",ORIG!B1246)</f>
        <v/>
      </c>
      <c r="C1246" s="3">
        <f>IF(ORIG!C1246=0,"",ORIG!C1246)</f>
        <v/>
      </c>
      <c r="D1246" s="3">
        <f>IF(ORIG!D1246=0,"",ORIG!D1246)</f>
        <v/>
      </c>
      <c r="E1246" s="3">
        <f>IF(ORIG!E1246=0,"",ORIG!E1246)</f>
        <v/>
      </c>
      <c r="F1246" s="3">
        <f>IF(ORIG!F1246=0,"",ORIG!F1246)</f>
        <v/>
      </c>
      <c r="G1246" s="3">
        <f>IF(ORIG!G1246=0,"",ORIG!G1246)</f>
        <v/>
      </c>
      <c r="H1246" s="3">
        <f>IF(ORIG!H1246=0,"",ORIG!H1246)</f>
        <v/>
      </c>
      <c r="I1246" s="3">
        <f>IF(ORIG!I1246=0,"",ORIG!I1246)</f>
        <v/>
      </c>
      <c r="J1246" s="3">
        <f>IF(ORIG!J1246=0,"",ORIG!J1246)</f>
        <v/>
      </c>
      <c r="K1246" s="3">
        <f>IF(ORIG!K1246=0,"",ORIG!K1246)</f>
        <v/>
      </c>
      <c r="L1246" s="3">
        <f>IF(ORIG!L1246=0,"",ORIG!L1246)</f>
        <v/>
      </c>
      <c r="M1246" s="3">
        <f>IF(ORIG!M1246=0,"",ORIG!M1246)</f>
        <v/>
      </c>
      <c r="N1246" s="3">
        <f>IF(ORIG!N1246=0,"",ORIG!N1246)</f>
        <v/>
      </c>
      <c r="O1246" s="3">
        <f>IF(ORIG!O1246=0,"",ORIG!O1246)</f>
        <v/>
      </c>
      <c r="P1246" s="3">
        <f>IF(ORIG!P1246=0,"",ORIG!P1246)</f>
        <v/>
      </c>
      <c r="Q1246" s="3">
        <f>IF(ORIG!Q1246=0,"",ORIG!Q1246)</f>
        <v/>
      </c>
      <c r="R1246" s="3">
        <f>IF(ORIG!R1246=0,"",ORIG!R1246)</f>
        <v/>
      </c>
      <c r="S1246" s="3">
        <f>IF(ORIG!S1246=0,"",ORIG!S1246)</f>
        <v/>
      </c>
      <c r="T1246" s="3">
        <f>IF(ORIG!T1246=0,"",ORIG!T1246)</f>
        <v/>
      </c>
      <c r="U1246" s="3">
        <f>IF(ORIG!U1246=0,"",ORIG!U1246)</f>
        <v/>
      </c>
      <c r="V1246" s="9">
        <f>IF(ORIG!V1246=0,"",ORIG!V1246)</f>
        <v/>
      </c>
      <c r="W1246" s="9">
        <f>IF(ORIG!W1246=0,"",ORIG!W1246)</f>
        <v/>
      </c>
      <c r="X1246" s="9">
        <f>IF(ORIG!X1246=0,"",ORIG!X1246)</f>
        <v/>
      </c>
      <c r="Y1246" s="9">
        <f>IF(ORIG!Y1246=0,"",ORIG!Y1246)</f>
        <v/>
      </c>
      <c r="Z1246" s="3">
        <f>SUMPRODUCT($B1246:$Y1246,$B$2649:$Y$2649)</f>
        <v/>
      </c>
      <c r="AA1246" s="3">
        <f>SUMPRODUCT($B1246:$Y1246,$B$2655:$Y$2655)</f>
        <v/>
      </c>
      <c r="AC1246" s="1">
        <f>A1246</f>
        <v/>
      </c>
      <c r="AD1246">
        <f>IF(ISNUMBER(V1246),V1246*($AB$1/V$2635),"")</f>
        <v/>
      </c>
      <c r="AE1246">
        <f>IF(ISNUMBER(Z1246),Z1246*($AB$1/Z$2635),"")</f>
        <v/>
      </c>
      <c r="AF1246" s="25">
        <f>IF(ISNUMBER(AD1246+AE1246),AD1246+AE1246,"")</f>
        <v/>
      </c>
      <c r="AH1246" s="1">
        <f>A1246</f>
        <v/>
      </c>
      <c r="AI1246">
        <f>IF(ISNUMBER((1+V1246)*AI1245),(1+V1246)*AI1245,AI1245)</f>
        <v/>
      </c>
      <c r="AJ1246">
        <f>IF(ISNUMBER((1+Z1246)*AJ1245),(1+Z1246)*AJ1245,AJ1245)</f>
        <v/>
      </c>
    </row>
    <row r="1247">
      <c r="A1247" s="1" t="n">
        <v>43810</v>
      </c>
      <c r="B1247" s="3">
        <f>IF(ORIG!B1247=0,"",ORIG!B1247)</f>
        <v/>
      </c>
      <c r="C1247" s="3">
        <f>IF(ORIG!C1247=0,"",ORIG!C1247)</f>
        <v/>
      </c>
      <c r="D1247" s="3">
        <f>IF(ORIG!D1247=0,"",ORIG!D1247)</f>
        <v/>
      </c>
      <c r="E1247" s="3">
        <f>IF(ORIG!E1247=0,"",ORIG!E1247)</f>
        <v/>
      </c>
      <c r="F1247" s="3">
        <f>IF(ORIG!F1247=0,"",ORIG!F1247)</f>
        <v/>
      </c>
      <c r="G1247" s="3">
        <f>IF(ORIG!G1247=0,"",ORIG!G1247)</f>
        <v/>
      </c>
      <c r="H1247" s="3">
        <f>IF(ORIG!H1247=0,"",ORIG!H1247)</f>
        <v/>
      </c>
      <c r="I1247" s="3">
        <f>IF(ORIG!I1247=0,"",ORIG!I1247)</f>
        <v/>
      </c>
      <c r="J1247" s="3">
        <f>IF(ORIG!J1247=0,"",ORIG!J1247)</f>
        <v/>
      </c>
      <c r="K1247" s="3">
        <f>IF(ORIG!K1247=0,"",ORIG!K1247)</f>
        <v/>
      </c>
      <c r="L1247" s="3">
        <f>IF(ORIG!L1247=0,"",ORIG!L1247)</f>
        <v/>
      </c>
      <c r="M1247" s="3">
        <f>IF(ORIG!M1247=0,"",ORIG!M1247)</f>
        <v/>
      </c>
      <c r="N1247" s="3">
        <f>IF(ORIG!N1247=0,"",ORIG!N1247)</f>
        <v/>
      </c>
      <c r="O1247" s="3">
        <f>IF(ORIG!O1247=0,"",ORIG!O1247)</f>
        <v/>
      </c>
      <c r="P1247" s="3">
        <f>IF(ORIG!P1247=0,"",ORIG!P1247)</f>
        <v/>
      </c>
      <c r="Q1247" s="3">
        <f>IF(ORIG!Q1247=0,"",ORIG!Q1247)</f>
        <v/>
      </c>
      <c r="R1247" s="3">
        <f>IF(ORIG!R1247=0,"",ORIG!R1247)</f>
        <v/>
      </c>
      <c r="S1247" s="3">
        <f>IF(ORIG!S1247=0,"",ORIG!S1247)</f>
        <v/>
      </c>
      <c r="T1247" s="3">
        <f>IF(ORIG!T1247=0,"",ORIG!T1247)</f>
        <v/>
      </c>
      <c r="U1247" s="3">
        <f>IF(ORIG!U1247=0,"",ORIG!U1247)</f>
        <v/>
      </c>
      <c r="V1247" s="9">
        <f>IF(ORIG!V1247=0,"",ORIG!V1247)</f>
        <v/>
      </c>
      <c r="W1247" s="9">
        <f>IF(ORIG!W1247=0,"",ORIG!W1247)</f>
        <v/>
      </c>
      <c r="X1247" s="9">
        <f>IF(ORIG!X1247=0,"",ORIG!X1247)</f>
        <v/>
      </c>
      <c r="Y1247" s="9">
        <f>IF(ORIG!Y1247=0,"",ORIG!Y1247)</f>
        <v/>
      </c>
      <c r="Z1247" s="3">
        <f>SUMPRODUCT($B1247:$Y1247,$B$2649:$Y$2649)</f>
        <v/>
      </c>
      <c r="AA1247" s="3">
        <f>SUMPRODUCT($B1247:$Y1247,$B$2655:$Y$2655)</f>
        <v/>
      </c>
      <c r="AC1247" s="1">
        <f>A1247</f>
        <v/>
      </c>
      <c r="AD1247">
        <f>IF(ISNUMBER(V1247),V1247*($AB$1/V$2635),"")</f>
        <v/>
      </c>
      <c r="AE1247">
        <f>IF(ISNUMBER(Z1247),Z1247*($AB$1/Z$2635),"")</f>
        <v/>
      </c>
      <c r="AF1247" s="25">
        <f>IF(ISNUMBER(AD1247+AE1247),AD1247+AE1247,"")</f>
        <v/>
      </c>
      <c r="AH1247" s="1">
        <f>A1247</f>
        <v/>
      </c>
      <c r="AI1247">
        <f>IF(ISNUMBER((1+V1247)*AI1246),(1+V1247)*AI1246,AI1246)</f>
        <v/>
      </c>
      <c r="AJ1247">
        <f>IF(ISNUMBER((1+Z1247)*AJ1246),(1+Z1247)*AJ1246,AJ1246)</f>
        <v/>
      </c>
    </row>
    <row r="1248">
      <c r="A1248" s="1" t="n">
        <v>43811</v>
      </c>
      <c r="B1248" s="3">
        <f>IF(ORIG!B1248=0,"",ORIG!B1248)</f>
        <v/>
      </c>
      <c r="C1248" s="3">
        <f>IF(ORIG!C1248=0,"",ORIG!C1248)</f>
        <v/>
      </c>
      <c r="D1248" s="3">
        <f>IF(ORIG!D1248=0,"",ORIG!D1248)</f>
        <v/>
      </c>
      <c r="E1248" s="3">
        <f>IF(ORIG!E1248=0,"",ORIG!E1248)</f>
        <v/>
      </c>
      <c r="F1248" s="3">
        <f>IF(ORIG!F1248=0,"",ORIG!F1248)</f>
        <v/>
      </c>
      <c r="G1248" s="3">
        <f>IF(ORIG!G1248=0,"",ORIG!G1248)</f>
        <v/>
      </c>
      <c r="H1248" s="3">
        <f>IF(ORIG!H1248=0,"",ORIG!H1248)</f>
        <v/>
      </c>
      <c r="I1248" s="3">
        <f>IF(ORIG!I1248=0,"",ORIG!I1248)</f>
        <v/>
      </c>
      <c r="J1248" s="3">
        <f>IF(ORIG!J1248=0,"",ORIG!J1248)</f>
        <v/>
      </c>
      <c r="K1248" s="3">
        <f>IF(ORIG!K1248=0,"",ORIG!K1248)</f>
        <v/>
      </c>
      <c r="L1248" s="3">
        <f>IF(ORIG!L1248=0,"",ORIG!L1248)</f>
        <v/>
      </c>
      <c r="M1248" s="3">
        <f>IF(ORIG!M1248=0,"",ORIG!M1248)</f>
        <v/>
      </c>
      <c r="N1248" s="3">
        <f>IF(ORIG!N1248=0,"",ORIG!N1248)</f>
        <v/>
      </c>
      <c r="O1248" s="3">
        <f>IF(ORIG!O1248=0,"",ORIG!O1248)</f>
        <v/>
      </c>
      <c r="P1248" s="3">
        <f>IF(ORIG!P1248=0,"",ORIG!P1248)</f>
        <v/>
      </c>
      <c r="Q1248" s="3">
        <f>IF(ORIG!Q1248=0,"",ORIG!Q1248)</f>
        <v/>
      </c>
      <c r="R1248" s="3">
        <f>IF(ORIG!R1248=0,"",ORIG!R1248)</f>
        <v/>
      </c>
      <c r="S1248" s="3">
        <f>IF(ORIG!S1248=0,"",ORIG!S1248)</f>
        <v/>
      </c>
      <c r="T1248" s="3">
        <f>IF(ORIG!T1248=0,"",ORIG!T1248)</f>
        <v/>
      </c>
      <c r="U1248" s="3">
        <f>IF(ORIG!U1248=0,"",ORIG!U1248)</f>
        <v/>
      </c>
      <c r="V1248" s="9">
        <f>IF(ORIG!V1248=0,"",ORIG!V1248)</f>
        <v/>
      </c>
      <c r="W1248" s="9">
        <f>IF(ORIG!W1248=0,"",ORIG!W1248)</f>
        <v/>
      </c>
      <c r="X1248" s="9">
        <f>IF(ORIG!X1248=0,"",ORIG!X1248)</f>
        <v/>
      </c>
      <c r="Y1248" s="9">
        <f>IF(ORIG!Y1248=0,"",ORIG!Y1248)</f>
        <v/>
      </c>
      <c r="Z1248" s="3">
        <f>SUMPRODUCT($B1248:$Y1248,$B$2649:$Y$2649)</f>
        <v/>
      </c>
      <c r="AA1248" s="3">
        <f>SUMPRODUCT($B1248:$Y1248,$B$2655:$Y$2655)</f>
        <v/>
      </c>
      <c r="AC1248" s="1">
        <f>A1248</f>
        <v/>
      </c>
      <c r="AD1248">
        <f>IF(ISNUMBER(V1248),V1248*($AB$1/V$2635),"")</f>
        <v/>
      </c>
      <c r="AE1248">
        <f>IF(ISNUMBER(Z1248),Z1248*($AB$1/Z$2635),"")</f>
        <v/>
      </c>
      <c r="AF1248" s="25">
        <f>IF(ISNUMBER(AD1248+AE1248),AD1248+AE1248,"")</f>
        <v/>
      </c>
      <c r="AH1248" s="1">
        <f>A1248</f>
        <v/>
      </c>
      <c r="AI1248">
        <f>IF(ISNUMBER((1+V1248)*AI1247),(1+V1248)*AI1247,AI1247)</f>
        <v/>
      </c>
      <c r="AJ1248">
        <f>IF(ISNUMBER((1+Z1248)*AJ1247),(1+Z1248)*AJ1247,AJ1247)</f>
        <v/>
      </c>
    </row>
    <row r="1249">
      <c r="A1249" s="1" t="n">
        <v>43812</v>
      </c>
      <c r="B1249" s="3">
        <f>IF(ORIG!B1249=0,"",ORIG!B1249)</f>
        <v/>
      </c>
      <c r="C1249" s="3">
        <f>IF(ORIG!C1249=0,"",ORIG!C1249)</f>
        <v/>
      </c>
      <c r="D1249" s="3">
        <f>IF(ORIG!D1249=0,"",ORIG!D1249)</f>
        <v/>
      </c>
      <c r="E1249" s="3">
        <f>IF(ORIG!E1249=0,"",ORIG!E1249)</f>
        <v/>
      </c>
      <c r="F1249" s="3">
        <f>IF(ORIG!F1249=0,"",ORIG!F1249)</f>
        <v/>
      </c>
      <c r="G1249" s="3">
        <f>IF(ORIG!G1249=0,"",ORIG!G1249)</f>
        <v/>
      </c>
      <c r="H1249" s="3">
        <f>IF(ORIG!H1249=0,"",ORIG!H1249)</f>
        <v/>
      </c>
      <c r="I1249" s="3">
        <f>IF(ORIG!I1249=0,"",ORIG!I1249)</f>
        <v/>
      </c>
      <c r="J1249" s="3">
        <f>IF(ORIG!J1249=0,"",ORIG!J1249)</f>
        <v/>
      </c>
      <c r="K1249" s="3">
        <f>IF(ORIG!K1249=0,"",ORIG!K1249)</f>
        <v/>
      </c>
      <c r="L1249" s="3">
        <f>IF(ORIG!L1249=0,"",ORIG!L1249)</f>
        <v/>
      </c>
      <c r="M1249" s="3">
        <f>IF(ORIG!M1249=0,"",ORIG!M1249)</f>
        <v/>
      </c>
      <c r="N1249" s="3">
        <f>IF(ORIG!N1249=0,"",ORIG!N1249)</f>
        <v/>
      </c>
      <c r="O1249" s="3">
        <f>IF(ORIG!O1249=0,"",ORIG!O1249)</f>
        <v/>
      </c>
      <c r="P1249" s="3">
        <f>IF(ORIG!P1249=0,"",ORIG!P1249)</f>
        <v/>
      </c>
      <c r="Q1249" s="3">
        <f>IF(ORIG!Q1249=0,"",ORIG!Q1249)</f>
        <v/>
      </c>
      <c r="R1249" s="3">
        <f>IF(ORIG!R1249=0,"",ORIG!R1249)</f>
        <v/>
      </c>
      <c r="S1249" s="3">
        <f>IF(ORIG!S1249=0,"",ORIG!S1249)</f>
        <v/>
      </c>
      <c r="T1249" s="3">
        <f>IF(ORIG!T1249=0,"",ORIG!T1249)</f>
        <v/>
      </c>
      <c r="U1249" s="3">
        <f>IF(ORIG!U1249=0,"",ORIG!U1249)</f>
        <v/>
      </c>
      <c r="V1249" s="9">
        <f>IF(ORIG!V1249=0,"",ORIG!V1249)</f>
        <v/>
      </c>
      <c r="W1249" s="9">
        <f>IF(ORIG!W1249=0,"",ORIG!W1249)</f>
        <v/>
      </c>
      <c r="X1249" s="9">
        <f>IF(ORIG!X1249=0,"",ORIG!X1249)</f>
        <v/>
      </c>
      <c r="Y1249" s="9">
        <f>IF(ORIG!Y1249=0,"",ORIG!Y1249)</f>
        <v/>
      </c>
      <c r="Z1249" s="3">
        <f>SUMPRODUCT($B1249:$Y1249,$B$2649:$Y$2649)</f>
        <v/>
      </c>
      <c r="AA1249" s="3">
        <f>SUMPRODUCT($B1249:$Y1249,$B$2655:$Y$2655)</f>
        <v/>
      </c>
      <c r="AC1249" s="1">
        <f>A1249</f>
        <v/>
      </c>
      <c r="AD1249">
        <f>IF(ISNUMBER(V1249),V1249*($AB$1/V$2635),"")</f>
        <v/>
      </c>
      <c r="AE1249">
        <f>IF(ISNUMBER(Z1249),Z1249*($AB$1/Z$2635),"")</f>
        <v/>
      </c>
      <c r="AF1249" s="25">
        <f>IF(ISNUMBER(AD1249+AE1249),AD1249+AE1249,"")</f>
        <v/>
      </c>
      <c r="AH1249" s="1">
        <f>A1249</f>
        <v/>
      </c>
      <c r="AI1249">
        <f>IF(ISNUMBER((1+V1249)*AI1248),(1+V1249)*AI1248,AI1248)</f>
        <v/>
      </c>
      <c r="AJ1249">
        <f>IF(ISNUMBER((1+Z1249)*AJ1248),(1+Z1249)*AJ1248,AJ1248)</f>
        <v/>
      </c>
    </row>
    <row r="1250">
      <c r="A1250" s="1" t="n">
        <v>43815</v>
      </c>
      <c r="B1250" s="3">
        <f>IF(ORIG!B1250=0,"",ORIG!B1250)</f>
        <v/>
      </c>
      <c r="C1250" s="3">
        <f>IF(ORIG!C1250=0,"",ORIG!C1250)</f>
        <v/>
      </c>
      <c r="D1250" s="3">
        <f>IF(ORIG!D1250=0,"",ORIG!D1250)</f>
        <v/>
      </c>
      <c r="E1250" s="3">
        <f>IF(ORIG!E1250=0,"",ORIG!E1250)</f>
        <v/>
      </c>
      <c r="F1250" s="3">
        <f>IF(ORIG!F1250=0,"",ORIG!F1250)</f>
        <v/>
      </c>
      <c r="G1250" s="3">
        <f>IF(ORIG!G1250=0,"",ORIG!G1250)</f>
        <v/>
      </c>
      <c r="H1250" s="3">
        <f>IF(ORIG!H1250=0,"",ORIG!H1250)</f>
        <v/>
      </c>
      <c r="I1250" s="3">
        <f>IF(ORIG!I1250=0,"",ORIG!I1250)</f>
        <v/>
      </c>
      <c r="J1250" s="3">
        <f>IF(ORIG!J1250=0,"",ORIG!J1250)</f>
        <v/>
      </c>
      <c r="K1250" s="3">
        <f>IF(ORIG!K1250=0,"",ORIG!K1250)</f>
        <v/>
      </c>
      <c r="L1250" s="3">
        <f>IF(ORIG!L1250=0,"",ORIG!L1250)</f>
        <v/>
      </c>
      <c r="M1250" s="3">
        <f>IF(ORIG!M1250=0,"",ORIG!M1250)</f>
        <v/>
      </c>
      <c r="N1250" s="3">
        <f>IF(ORIG!N1250=0,"",ORIG!N1250)</f>
        <v/>
      </c>
      <c r="O1250" s="3">
        <f>IF(ORIG!O1250=0,"",ORIG!O1250)</f>
        <v/>
      </c>
      <c r="P1250" s="3">
        <f>IF(ORIG!P1250=0,"",ORIG!P1250)</f>
        <v/>
      </c>
      <c r="Q1250" s="3">
        <f>IF(ORIG!Q1250=0,"",ORIG!Q1250)</f>
        <v/>
      </c>
      <c r="R1250" s="3">
        <f>IF(ORIG!R1250=0,"",ORIG!R1250)</f>
        <v/>
      </c>
      <c r="S1250" s="3">
        <f>IF(ORIG!S1250=0,"",ORIG!S1250)</f>
        <v/>
      </c>
      <c r="T1250" s="3">
        <f>IF(ORIG!T1250=0,"",ORIG!T1250)</f>
        <v/>
      </c>
      <c r="U1250" s="3">
        <f>IF(ORIG!U1250=0,"",ORIG!U1250)</f>
        <v/>
      </c>
      <c r="V1250" s="9">
        <f>IF(ORIG!V1250=0,"",ORIG!V1250)</f>
        <v/>
      </c>
      <c r="W1250" s="9">
        <f>IF(ORIG!W1250=0,"",ORIG!W1250)</f>
        <v/>
      </c>
      <c r="X1250" s="9">
        <f>IF(ORIG!X1250=0,"",ORIG!X1250)</f>
        <v/>
      </c>
      <c r="Y1250" s="9">
        <f>IF(ORIG!Y1250=0,"",ORIG!Y1250)</f>
        <v/>
      </c>
      <c r="Z1250" s="3">
        <f>SUMPRODUCT($B1250:$Y1250,$B$2649:$Y$2649)</f>
        <v/>
      </c>
      <c r="AA1250" s="3">
        <f>SUMPRODUCT($B1250:$Y1250,$B$2655:$Y$2655)</f>
        <v/>
      </c>
      <c r="AC1250" s="1">
        <f>A1250</f>
        <v/>
      </c>
      <c r="AD1250">
        <f>IF(ISNUMBER(V1250),V1250*($AB$1/V$2635),"")</f>
        <v/>
      </c>
      <c r="AE1250">
        <f>IF(ISNUMBER(Z1250),Z1250*($AB$1/Z$2635),"")</f>
        <v/>
      </c>
      <c r="AF1250" s="25">
        <f>IF(ISNUMBER(AD1250+AE1250),AD1250+AE1250,"")</f>
        <v/>
      </c>
      <c r="AH1250" s="1">
        <f>A1250</f>
        <v/>
      </c>
      <c r="AI1250">
        <f>IF(ISNUMBER((1+V1250)*AI1249),(1+V1250)*AI1249,AI1249)</f>
        <v/>
      </c>
      <c r="AJ1250">
        <f>IF(ISNUMBER((1+Z1250)*AJ1249),(1+Z1250)*AJ1249,AJ1249)</f>
        <v/>
      </c>
    </row>
    <row r="1251">
      <c r="A1251" s="1" t="n">
        <v>43816</v>
      </c>
      <c r="B1251" s="3">
        <f>IF(ORIG!B1251=0,"",ORIG!B1251)</f>
        <v/>
      </c>
      <c r="C1251" s="3">
        <f>IF(ORIG!C1251=0,"",ORIG!C1251)</f>
        <v/>
      </c>
      <c r="D1251" s="3">
        <f>IF(ORIG!D1251=0,"",ORIG!D1251)</f>
        <v/>
      </c>
      <c r="E1251" s="3">
        <f>IF(ORIG!E1251=0,"",ORIG!E1251)</f>
        <v/>
      </c>
      <c r="F1251" s="3">
        <f>IF(ORIG!F1251=0,"",ORIG!F1251)</f>
        <v/>
      </c>
      <c r="G1251" s="3">
        <f>IF(ORIG!G1251=0,"",ORIG!G1251)</f>
        <v/>
      </c>
      <c r="H1251" s="3">
        <f>IF(ORIG!H1251=0,"",ORIG!H1251)</f>
        <v/>
      </c>
      <c r="I1251" s="3">
        <f>IF(ORIG!I1251=0,"",ORIG!I1251)</f>
        <v/>
      </c>
      <c r="J1251" s="3">
        <f>IF(ORIG!J1251=0,"",ORIG!J1251)</f>
        <v/>
      </c>
      <c r="K1251" s="3">
        <f>IF(ORIG!K1251=0,"",ORIG!K1251)</f>
        <v/>
      </c>
      <c r="L1251" s="3">
        <f>IF(ORIG!L1251=0,"",ORIG!L1251)</f>
        <v/>
      </c>
      <c r="M1251" s="3">
        <f>IF(ORIG!M1251=0,"",ORIG!M1251)</f>
        <v/>
      </c>
      <c r="N1251" s="3">
        <f>IF(ORIG!N1251=0,"",ORIG!N1251)</f>
        <v/>
      </c>
      <c r="O1251" s="3">
        <f>IF(ORIG!O1251=0,"",ORIG!O1251)</f>
        <v/>
      </c>
      <c r="P1251" s="3">
        <f>IF(ORIG!P1251=0,"",ORIG!P1251)</f>
        <v/>
      </c>
      <c r="Q1251" s="3">
        <f>IF(ORIG!Q1251=0,"",ORIG!Q1251)</f>
        <v/>
      </c>
      <c r="R1251" s="3">
        <f>IF(ORIG!R1251=0,"",ORIG!R1251)</f>
        <v/>
      </c>
      <c r="S1251" s="3">
        <f>IF(ORIG!S1251=0,"",ORIG!S1251)</f>
        <v/>
      </c>
      <c r="T1251" s="3">
        <f>IF(ORIG!T1251=0,"",ORIG!T1251)</f>
        <v/>
      </c>
      <c r="U1251" s="3">
        <f>IF(ORIG!U1251=0,"",ORIG!U1251)</f>
        <v/>
      </c>
      <c r="V1251" s="9">
        <f>IF(ORIG!V1251=0,"",ORIG!V1251)</f>
        <v/>
      </c>
      <c r="W1251" s="9">
        <f>IF(ORIG!W1251=0,"",ORIG!W1251)</f>
        <v/>
      </c>
      <c r="X1251" s="9">
        <f>IF(ORIG!X1251=0,"",ORIG!X1251)</f>
        <v/>
      </c>
      <c r="Y1251" s="9">
        <f>IF(ORIG!Y1251=0,"",ORIG!Y1251)</f>
        <v/>
      </c>
      <c r="Z1251" s="3">
        <f>SUMPRODUCT($B1251:$Y1251,$B$2649:$Y$2649)</f>
        <v/>
      </c>
      <c r="AA1251" s="3">
        <f>SUMPRODUCT($B1251:$Y1251,$B$2655:$Y$2655)</f>
        <v/>
      </c>
      <c r="AC1251" s="1">
        <f>A1251</f>
        <v/>
      </c>
      <c r="AD1251">
        <f>IF(ISNUMBER(V1251),V1251*($AB$1/V$2635),"")</f>
        <v/>
      </c>
      <c r="AE1251">
        <f>IF(ISNUMBER(Z1251),Z1251*($AB$1/Z$2635),"")</f>
        <v/>
      </c>
      <c r="AF1251" s="25">
        <f>IF(ISNUMBER(AD1251+AE1251),AD1251+AE1251,"")</f>
        <v/>
      </c>
      <c r="AH1251" s="1">
        <f>A1251</f>
        <v/>
      </c>
      <c r="AI1251">
        <f>IF(ISNUMBER((1+V1251)*AI1250),(1+V1251)*AI1250,AI1250)</f>
        <v/>
      </c>
      <c r="AJ1251">
        <f>IF(ISNUMBER((1+Z1251)*AJ1250),(1+Z1251)*AJ1250,AJ1250)</f>
        <v/>
      </c>
    </row>
    <row r="1252">
      <c r="A1252" s="1" t="n">
        <v>43817</v>
      </c>
      <c r="B1252" s="3">
        <f>IF(ORIG!B1252=0,"",ORIG!B1252)</f>
        <v/>
      </c>
      <c r="C1252" s="3">
        <f>IF(ORIG!C1252=0,"",ORIG!C1252)</f>
        <v/>
      </c>
      <c r="D1252" s="3">
        <f>IF(ORIG!D1252=0,"",ORIG!D1252)</f>
        <v/>
      </c>
      <c r="E1252" s="3">
        <f>IF(ORIG!E1252=0,"",ORIG!E1252)</f>
        <v/>
      </c>
      <c r="F1252" s="3">
        <f>IF(ORIG!F1252=0,"",ORIG!F1252)</f>
        <v/>
      </c>
      <c r="G1252" s="3">
        <f>IF(ORIG!G1252=0,"",ORIG!G1252)</f>
        <v/>
      </c>
      <c r="H1252" s="3">
        <f>IF(ORIG!H1252=0,"",ORIG!H1252)</f>
        <v/>
      </c>
      <c r="I1252" s="3">
        <f>IF(ORIG!I1252=0,"",ORIG!I1252)</f>
        <v/>
      </c>
      <c r="J1252" s="3">
        <f>IF(ORIG!J1252=0,"",ORIG!J1252)</f>
        <v/>
      </c>
      <c r="K1252" s="3">
        <f>IF(ORIG!K1252=0,"",ORIG!K1252)</f>
        <v/>
      </c>
      <c r="L1252" s="3">
        <f>IF(ORIG!L1252=0,"",ORIG!L1252)</f>
        <v/>
      </c>
      <c r="M1252" s="3">
        <f>IF(ORIG!M1252=0,"",ORIG!M1252)</f>
        <v/>
      </c>
      <c r="N1252" s="3">
        <f>IF(ORIG!N1252=0,"",ORIG!N1252)</f>
        <v/>
      </c>
      <c r="O1252" s="3">
        <f>IF(ORIG!O1252=0,"",ORIG!O1252)</f>
        <v/>
      </c>
      <c r="P1252" s="3">
        <f>IF(ORIG!P1252=0,"",ORIG!P1252)</f>
        <v/>
      </c>
      <c r="Q1252" s="3">
        <f>IF(ORIG!Q1252=0,"",ORIG!Q1252)</f>
        <v/>
      </c>
      <c r="R1252" s="3">
        <f>IF(ORIG!R1252=0,"",ORIG!R1252)</f>
        <v/>
      </c>
      <c r="S1252" s="3">
        <f>IF(ORIG!S1252=0,"",ORIG!S1252)</f>
        <v/>
      </c>
      <c r="T1252" s="3">
        <f>IF(ORIG!T1252=0,"",ORIG!T1252)</f>
        <v/>
      </c>
      <c r="U1252" s="3">
        <f>IF(ORIG!U1252=0,"",ORIG!U1252)</f>
        <v/>
      </c>
      <c r="V1252" s="9">
        <f>IF(ORIG!V1252=0,"",ORIG!V1252)</f>
        <v/>
      </c>
      <c r="W1252" s="9">
        <f>IF(ORIG!W1252=0,"",ORIG!W1252)</f>
        <v/>
      </c>
      <c r="X1252" s="9">
        <f>IF(ORIG!X1252=0,"",ORIG!X1252)</f>
        <v/>
      </c>
      <c r="Y1252" s="9">
        <f>IF(ORIG!Y1252=0,"",ORIG!Y1252)</f>
        <v/>
      </c>
      <c r="Z1252" s="3">
        <f>SUMPRODUCT($B1252:$Y1252,$B$2649:$Y$2649)</f>
        <v/>
      </c>
      <c r="AA1252" s="3">
        <f>SUMPRODUCT($B1252:$Y1252,$B$2655:$Y$2655)</f>
        <v/>
      </c>
      <c r="AC1252" s="1">
        <f>A1252</f>
        <v/>
      </c>
      <c r="AD1252">
        <f>IF(ISNUMBER(V1252),V1252*($AB$1/V$2635),"")</f>
        <v/>
      </c>
      <c r="AE1252">
        <f>IF(ISNUMBER(Z1252),Z1252*($AB$1/Z$2635),"")</f>
        <v/>
      </c>
      <c r="AF1252" s="25">
        <f>IF(ISNUMBER(AD1252+AE1252),AD1252+AE1252,"")</f>
        <v/>
      </c>
      <c r="AH1252" s="1">
        <f>A1252</f>
        <v/>
      </c>
      <c r="AI1252">
        <f>IF(ISNUMBER((1+V1252)*AI1251),(1+V1252)*AI1251,AI1251)</f>
        <v/>
      </c>
      <c r="AJ1252">
        <f>IF(ISNUMBER((1+Z1252)*AJ1251),(1+Z1252)*AJ1251,AJ1251)</f>
        <v/>
      </c>
    </row>
    <row r="1253">
      <c r="A1253" s="1" t="n">
        <v>43818</v>
      </c>
      <c r="B1253" s="3">
        <f>IF(ORIG!B1253=0,"",ORIG!B1253)</f>
        <v/>
      </c>
      <c r="C1253" s="3">
        <f>IF(ORIG!C1253=0,"",ORIG!C1253)</f>
        <v/>
      </c>
      <c r="D1253" s="3">
        <f>IF(ORIG!D1253=0,"",ORIG!D1253)</f>
        <v/>
      </c>
      <c r="E1253" s="3">
        <f>IF(ORIG!E1253=0,"",ORIG!E1253)</f>
        <v/>
      </c>
      <c r="F1253" s="3">
        <f>IF(ORIG!F1253=0,"",ORIG!F1253)</f>
        <v/>
      </c>
      <c r="G1253" s="3">
        <f>IF(ORIG!G1253=0,"",ORIG!G1253)</f>
        <v/>
      </c>
      <c r="H1253" s="3">
        <f>IF(ORIG!H1253=0,"",ORIG!H1253)</f>
        <v/>
      </c>
      <c r="I1253" s="3">
        <f>IF(ORIG!I1253=0,"",ORIG!I1253)</f>
        <v/>
      </c>
      <c r="J1253" s="3">
        <f>IF(ORIG!J1253=0,"",ORIG!J1253)</f>
        <v/>
      </c>
      <c r="K1253" s="3">
        <f>IF(ORIG!K1253=0,"",ORIG!K1253)</f>
        <v/>
      </c>
      <c r="L1253" s="3">
        <f>IF(ORIG!L1253=0,"",ORIG!L1253)</f>
        <v/>
      </c>
      <c r="M1253" s="3">
        <f>IF(ORIG!M1253=0,"",ORIG!M1253)</f>
        <v/>
      </c>
      <c r="N1253" s="3">
        <f>IF(ORIG!N1253=0,"",ORIG!N1253)</f>
        <v/>
      </c>
      <c r="O1253" s="3">
        <f>IF(ORIG!O1253=0,"",ORIG!O1253)</f>
        <v/>
      </c>
      <c r="P1253" s="3">
        <f>IF(ORIG!P1253=0,"",ORIG!P1253)</f>
        <v/>
      </c>
      <c r="Q1253" s="3">
        <f>IF(ORIG!Q1253=0,"",ORIG!Q1253)</f>
        <v/>
      </c>
      <c r="R1253" s="3">
        <f>IF(ORIG!R1253=0,"",ORIG!R1253)</f>
        <v/>
      </c>
      <c r="S1253" s="3">
        <f>IF(ORIG!S1253=0,"",ORIG!S1253)</f>
        <v/>
      </c>
      <c r="T1253" s="3">
        <f>IF(ORIG!T1253=0,"",ORIG!T1253)</f>
        <v/>
      </c>
      <c r="U1253" s="3">
        <f>IF(ORIG!U1253=0,"",ORIG!U1253)</f>
        <v/>
      </c>
      <c r="V1253" s="9">
        <f>IF(ORIG!V1253=0,"",ORIG!V1253)</f>
        <v/>
      </c>
      <c r="W1253" s="9">
        <f>IF(ORIG!W1253=0,"",ORIG!W1253)</f>
        <v/>
      </c>
      <c r="X1253" s="9">
        <f>IF(ORIG!X1253=0,"",ORIG!X1253)</f>
        <v/>
      </c>
      <c r="Y1253" s="9">
        <f>IF(ORIG!Y1253=0,"",ORIG!Y1253)</f>
        <v/>
      </c>
      <c r="Z1253" s="3">
        <f>SUMPRODUCT($B1253:$Y1253,$B$2649:$Y$2649)</f>
        <v/>
      </c>
      <c r="AA1253" s="3">
        <f>SUMPRODUCT($B1253:$Y1253,$B$2655:$Y$2655)</f>
        <v/>
      </c>
      <c r="AC1253" s="1">
        <f>A1253</f>
        <v/>
      </c>
      <c r="AD1253">
        <f>IF(ISNUMBER(V1253),V1253*($AB$1/V$2635),"")</f>
        <v/>
      </c>
      <c r="AE1253">
        <f>IF(ISNUMBER(Z1253),Z1253*($AB$1/Z$2635),"")</f>
        <v/>
      </c>
      <c r="AF1253" s="25">
        <f>IF(ISNUMBER(AD1253+AE1253),AD1253+AE1253,"")</f>
        <v/>
      </c>
      <c r="AH1253" s="1">
        <f>A1253</f>
        <v/>
      </c>
      <c r="AI1253">
        <f>IF(ISNUMBER((1+V1253)*AI1252),(1+V1253)*AI1252,AI1252)</f>
        <v/>
      </c>
      <c r="AJ1253">
        <f>IF(ISNUMBER((1+Z1253)*AJ1252),(1+Z1253)*AJ1252,AJ1252)</f>
        <v/>
      </c>
    </row>
    <row r="1254">
      <c r="A1254" s="1" t="n">
        <v>43819</v>
      </c>
      <c r="B1254" s="3">
        <f>IF(ORIG!B1254=0,"",ORIG!B1254)</f>
        <v/>
      </c>
      <c r="C1254" s="3">
        <f>IF(ORIG!C1254=0,"",ORIG!C1254)</f>
        <v/>
      </c>
      <c r="D1254" s="3">
        <f>IF(ORIG!D1254=0,"",ORIG!D1254)</f>
        <v/>
      </c>
      <c r="E1254" s="3">
        <f>IF(ORIG!E1254=0,"",ORIG!E1254)</f>
        <v/>
      </c>
      <c r="F1254" s="3">
        <f>IF(ORIG!F1254=0,"",ORIG!F1254)</f>
        <v/>
      </c>
      <c r="G1254" s="3">
        <f>IF(ORIG!G1254=0,"",ORIG!G1254)</f>
        <v/>
      </c>
      <c r="H1254" s="3">
        <f>IF(ORIG!H1254=0,"",ORIG!H1254)</f>
        <v/>
      </c>
      <c r="I1254" s="3">
        <f>IF(ORIG!I1254=0,"",ORIG!I1254)</f>
        <v/>
      </c>
      <c r="J1254" s="3">
        <f>IF(ORIG!J1254=0,"",ORIG!J1254)</f>
        <v/>
      </c>
      <c r="K1254" s="3">
        <f>IF(ORIG!K1254=0,"",ORIG!K1254)</f>
        <v/>
      </c>
      <c r="L1254" s="3">
        <f>IF(ORIG!L1254=0,"",ORIG!L1254)</f>
        <v/>
      </c>
      <c r="M1254" s="3">
        <f>IF(ORIG!M1254=0,"",ORIG!M1254)</f>
        <v/>
      </c>
      <c r="N1254" s="3">
        <f>IF(ORIG!N1254=0,"",ORIG!N1254)</f>
        <v/>
      </c>
      <c r="O1254" s="3">
        <f>IF(ORIG!O1254=0,"",ORIG!O1254)</f>
        <v/>
      </c>
      <c r="P1254" s="3">
        <f>IF(ORIG!P1254=0,"",ORIG!P1254)</f>
        <v/>
      </c>
      <c r="Q1254" s="3">
        <f>IF(ORIG!Q1254=0,"",ORIG!Q1254)</f>
        <v/>
      </c>
      <c r="R1254" s="3">
        <f>IF(ORIG!R1254=0,"",ORIG!R1254)</f>
        <v/>
      </c>
      <c r="S1254" s="3">
        <f>IF(ORIG!S1254=0,"",ORIG!S1254)</f>
        <v/>
      </c>
      <c r="T1254" s="3">
        <f>IF(ORIG!T1254=0,"",ORIG!T1254)</f>
        <v/>
      </c>
      <c r="U1254" s="3">
        <f>IF(ORIG!U1254=0,"",ORIG!U1254)</f>
        <v/>
      </c>
      <c r="V1254" s="9">
        <f>IF(ORIG!V1254=0,"",ORIG!V1254)</f>
        <v/>
      </c>
      <c r="W1254" s="9">
        <f>IF(ORIG!W1254=0,"",ORIG!W1254)</f>
        <v/>
      </c>
      <c r="X1254" s="9">
        <f>IF(ORIG!X1254=0,"",ORIG!X1254)</f>
        <v/>
      </c>
      <c r="Y1254" s="9">
        <f>IF(ORIG!Y1254=0,"",ORIG!Y1254)</f>
        <v/>
      </c>
      <c r="Z1254" s="3">
        <f>SUMPRODUCT($B1254:$Y1254,$B$2649:$Y$2649)</f>
        <v/>
      </c>
      <c r="AA1254" s="3">
        <f>SUMPRODUCT($B1254:$Y1254,$B$2655:$Y$2655)</f>
        <v/>
      </c>
      <c r="AC1254" s="1">
        <f>A1254</f>
        <v/>
      </c>
      <c r="AD1254">
        <f>IF(ISNUMBER(V1254),V1254*($AB$1/V$2635),"")</f>
        <v/>
      </c>
      <c r="AE1254">
        <f>IF(ISNUMBER(Z1254),Z1254*($AB$1/Z$2635),"")</f>
        <v/>
      </c>
      <c r="AF1254" s="25">
        <f>IF(ISNUMBER(AD1254+AE1254),AD1254+AE1254,"")</f>
        <v/>
      </c>
      <c r="AH1254" s="1">
        <f>A1254</f>
        <v/>
      </c>
      <c r="AI1254">
        <f>IF(ISNUMBER((1+V1254)*AI1253),(1+V1254)*AI1253,AI1253)</f>
        <v/>
      </c>
      <c r="AJ1254">
        <f>IF(ISNUMBER((1+Z1254)*AJ1253),(1+Z1254)*AJ1253,AJ1253)</f>
        <v/>
      </c>
    </row>
    <row r="1255">
      <c r="A1255" s="1" t="n">
        <v>43822</v>
      </c>
      <c r="B1255" s="3">
        <f>IF(ORIG!B1255=0,"",ORIG!B1255)</f>
        <v/>
      </c>
      <c r="C1255" s="3">
        <f>IF(ORIG!C1255=0,"",ORIG!C1255)</f>
        <v/>
      </c>
      <c r="D1255" s="3">
        <f>IF(ORIG!D1255=0,"",ORIG!D1255)</f>
        <v/>
      </c>
      <c r="E1255" s="3">
        <f>IF(ORIG!E1255=0,"",ORIG!E1255)</f>
        <v/>
      </c>
      <c r="F1255" s="3">
        <f>IF(ORIG!F1255=0,"",ORIG!F1255)</f>
        <v/>
      </c>
      <c r="G1255" s="3">
        <f>IF(ORIG!G1255=0,"",ORIG!G1255)</f>
        <v/>
      </c>
      <c r="H1255" s="3">
        <f>IF(ORIG!H1255=0,"",ORIG!H1255)</f>
        <v/>
      </c>
      <c r="I1255" s="3">
        <f>IF(ORIG!I1255=0,"",ORIG!I1255)</f>
        <v/>
      </c>
      <c r="J1255" s="3">
        <f>IF(ORIG!J1255=0,"",ORIG!J1255)</f>
        <v/>
      </c>
      <c r="K1255" s="3">
        <f>IF(ORIG!K1255=0,"",ORIG!K1255)</f>
        <v/>
      </c>
      <c r="L1255" s="3">
        <f>IF(ORIG!L1255=0,"",ORIG!L1255)</f>
        <v/>
      </c>
      <c r="M1255" s="3">
        <f>IF(ORIG!M1255=0,"",ORIG!M1255)</f>
        <v/>
      </c>
      <c r="N1255" s="3">
        <f>IF(ORIG!N1255=0,"",ORIG!N1255)</f>
        <v/>
      </c>
      <c r="O1255" s="3">
        <f>IF(ORIG!O1255=0,"",ORIG!O1255)</f>
        <v/>
      </c>
      <c r="P1255" s="3">
        <f>IF(ORIG!P1255=0,"",ORIG!P1255)</f>
        <v/>
      </c>
      <c r="Q1255" s="3">
        <f>IF(ORIG!Q1255=0,"",ORIG!Q1255)</f>
        <v/>
      </c>
      <c r="R1255" s="3">
        <f>IF(ORIG!R1255=0,"",ORIG!R1255)</f>
        <v/>
      </c>
      <c r="S1255" s="3">
        <f>IF(ORIG!S1255=0,"",ORIG!S1255)</f>
        <v/>
      </c>
      <c r="T1255" s="3">
        <f>IF(ORIG!T1255=0,"",ORIG!T1255)</f>
        <v/>
      </c>
      <c r="U1255" s="3">
        <f>IF(ORIG!U1255=0,"",ORIG!U1255)</f>
        <v/>
      </c>
      <c r="V1255" s="9">
        <f>IF(ORIG!V1255=0,"",ORIG!V1255)</f>
        <v/>
      </c>
      <c r="W1255" s="9">
        <f>IF(ORIG!W1255=0,"",ORIG!W1255)</f>
        <v/>
      </c>
      <c r="X1255" s="9">
        <f>IF(ORIG!X1255=0,"",ORIG!X1255)</f>
        <v/>
      </c>
      <c r="Y1255" s="9">
        <f>IF(ORIG!Y1255=0,"",ORIG!Y1255)</f>
        <v/>
      </c>
      <c r="Z1255" s="3">
        <f>SUMPRODUCT($B1255:$Y1255,$B$2649:$Y$2649)</f>
        <v/>
      </c>
      <c r="AA1255" s="3">
        <f>SUMPRODUCT($B1255:$Y1255,$B$2655:$Y$2655)</f>
        <v/>
      </c>
      <c r="AC1255" s="1">
        <f>A1255</f>
        <v/>
      </c>
      <c r="AD1255">
        <f>IF(ISNUMBER(V1255),V1255*($AB$1/V$2635),"")</f>
        <v/>
      </c>
      <c r="AE1255">
        <f>IF(ISNUMBER(Z1255),Z1255*($AB$1/Z$2635),"")</f>
        <v/>
      </c>
      <c r="AF1255" s="25">
        <f>IF(ISNUMBER(AD1255+AE1255),AD1255+AE1255,"")</f>
        <v/>
      </c>
      <c r="AH1255" s="1">
        <f>A1255</f>
        <v/>
      </c>
      <c r="AI1255">
        <f>IF(ISNUMBER((1+V1255)*AI1254),(1+V1255)*AI1254,AI1254)</f>
        <v/>
      </c>
      <c r="AJ1255">
        <f>IF(ISNUMBER((1+Z1255)*AJ1254),(1+Z1255)*AJ1254,AJ1254)</f>
        <v/>
      </c>
    </row>
    <row r="1256">
      <c r="A1256" s="1" t="n">
        <v>43823</v>
      </c>
      <c r="B1256" s="3">
        <f>IF(ORIG!B1256=0,"",ORIG!B1256)</f>
        <v/>
      </c>
      <c r="C1256" s="3">
        <f>IF(ORIG!C1256=0,"",ORIG!C1256)</f>
        <v/>
      </c>
      <c r="D1256" s="3">
        <f>IF(ORIG!D1256=0,"",ORIG!D1256)</f>
        <v/>
      </c>
      <c r="E1256" s="3">
        <f>IF(ORIG!E1256=0,"",ORIG!E1256)</f>
        <v/>
      </c>
      <c r="F1256" s="3">
        <f>IF(ORIG!F1256=0,"",ORIG!F1256)</f>
        <v/>
      </c>
      <c r="G1256" s="3">
        <f>IF(ORIG!G1256=0,"",ORIG!G1256)</f>
        <v/>
      </c>
      <c r="H1256" s="3">
        <f>IF(ORIG!H1256=0,"",ORIG!H1256)</f>
        <v/>
      </c>
      <c r="I1256" s="3">
        <f>IF(ORIG!I1256=0,"",ORIG!I1256)</f>
        <v/>
      </c>
      <c r="J1256" s="3">
        <f>IF(ORIG!J1256=0,"",ORIG!J1256)</f>
        <v/>
      </c>
      <c r="K1256" s="3">
        <f>IF(ORIG!K1256=0,"",ORIG!K1256)</f>
        <v/>
      </c>
      <c r="L1256" s="3">
        <f>IF(ORIG!L1256=0,"",ORIG!L1256)</f>
        <v/>
      </c>
      <c r="M1256" s="3">
        <f>IF(ORIG!M1256=0,"",ORIG!M1256)</f>
        <v/>
      </c>
      <c r="N1256" s="3">
        <f>IF(ORIG!N1256=0,"",ORIG!N1256)</f>
        <v/>
      </c>
      <c r="O1256" s="3">
        <f>IF(ORIG!O1256=0,"",ORIG!O1256)</f>
        <v/>
      </c>
      <c r="P1256" s="3">
        <f>IF(ORIG!P1256=0,"",ORIG!P1256)</f>
        <v/>
      </c>
      <c r="Q1256" s="3">
        <f>IF(ORIG!Q1256=0,"",ORIG!Q1256)</f>
        <v/>
      </c>
      <c r="R1256" s="3">
        <f>IF(ORIG!R1256=0,"",ORIG!R1256)</f>
        <v/>
      </c>
      <c r="S1256" s="3">
        <f>IF(ORIG!S1256=0,"",ORIG!S1256)</f>
        <v/>
      </c>
      <c r="T1256" s="3">
        <f>IF(ORIG!T1256=0,"",ORIG!T1256)</f>
        <v/>
      </c>
      <c r="U1256" s="3">
        <f>IF(ORIG!U1256=0,"",ORIG!U1256)</f>
        <v/>
      </c>
      <c r="V1256" s="9">
        <f>IF(ORIG!V1256=0,"",ORIG!V1256)</f>
        <v/>
      </c>
      <c r="W1256" s="9">
        <f>IF(ORIG!W1256=0,"",ORIG!W1256)</f>
        <v/>
      </c>
      <c r="X1256" s="9">
        <f>IF(ORIG!X1256=0,"",ORIG!X1256)</f>
        <v/>
      </c>
      <c r="Y1256" s="9">
        <f>IF(ORIG!Y1256=0,"",ORIG!Y1256)</f>
        <v/>
      </c>
      <c r="Z1256" s="3">
        <f>SUMPRODUCT($B1256:$Y1256,$B$2649:$Y$2649)</f>
        <v/>
      </c>
      <c r="AA1256" s="3">
        <f>SUMPRODUCT($B1256:$Y1256,$B$2655:$Y$2655)</f>
        <v/>
      </c>
      <c r="AC1256" s="1">
        <f>A1256</f>
        <v/>
      </c>
      <c r="AD1256">
        <f>IF(ISNUMBER(V1256),V1256*($AB$1/V$2635),"")</f>
        <v/>
      </c>
      <c r="AE1256">
        <f>IF(ISNUMBER(Z1256),Z1256*($AB$1/Z$2635),"")</f>
        <v/>
      </c>
      <c r="AF1256" s="25">
        <f>IF(ISNUMBER(AD1256+AE1256),AD1256+AE1256,"")</f>
        <v/>
      </c>
      <c r="AH1256" s="1">
        <f>A1256</f>
        <v/>
      </c>
      <c r="AI1256">
        <f>IF(ISNUMBER((1+V1256)*AI1255),(1+V1256)*AI1255,AI1255)</f>
        <v/>
      </c>
      <c r="AJ1256">
        <f>IF(ISNUMBER((1+Z1256)*AJ1255),(1+Z1256)*AJ1255,AJ1255)</f>
        <v/>
      </c>
    </row>
    <row r="1257">
      <c r="A1257" s="1" t="n">
        <v>43825</v>
      </c>
      <c r="B1257" s="3">
        <f>IF(ORIG!B1257=0,"",ORIG!B1257)</f>
        <v/>
      </c>
      <c r="C1257" s="3">
        <f>IF(ORIG!C1257=0,"",ORIG!C1257)</f>
        <v/>
      </c>
      <c r="D1257" s="3">
        <f>IF(ORIG!D1257=0,"",ORIG!D1257)</f>
        <v/>
      </c>
      <c r="E1257" s="3">
        <f>IF(ORIG!E1257=0,"",ORIG!E1257)</f>
        <v/>
      </c>
      <c r="F1257" s="3">
        <f>IF(ORIG!F1257=0,"",ORIG!F1257)</f>
        <v/>
      </c>
      <c r="G1257" s="3">
        <f>IF(ORIG!G1257=0,"",ORIG!G1257)</f>
        <v/>
      </c>
      <c r="H1257" s="3">
        <f>IF(ORIG!H1257=0,"",ORIG!H1257)</f>
        <v/>
      </c>
      <c r="I1257" s="3">
        <f>IF(ORIG!I1257=0,"",ORIG!I1257)</f>
        <v/>
      </c>
      <c r="J1257" s="3">
        <f>IF(ORIG!J1257=0,"",ORIG!J1257)</f>
        <v/>
      </c>
      <c r="K1257" s="3">
        <f>IF(ORIG!K1257=0,"",ORIG!K1257)</f>
        <v/>
      </c>
      <c r="L1257" s="3">
        <f>IF(ORIG!L1257=0,"",ORIG!L1257)</f>
        <v/>
      </c>
      <c r="M1257" s="3">
        <f>IF(ORIG!M1257=0,"",ORIG!M1257)</f>
        <v/>
      </c>
      <c r="N1257" s="3">
        <f>IF(ORIG!N1257=0,"",ORIG!N1257)</f>
        <v/>
      </c>
      <c r="O1257" s="3">
        <f>IF(ORIG!O1257=0,"",ORIG!O1257)</f>
        <v/>
      </c>
      <c r="P1257" s="3">
        <f>IF(ORIG!P1257=0,"",ORIG!P1257)</f>
        <v/>
      </c>
      <c r="Q1257" s="3">
        <f>IF(ORIG!Q1257=0,"",ORIG!Q1257)</f>
        <v/>
      </c>
      <c r="R1257" s="3">
        <f>IF(ORIG!R1257=0,"",ORIG!R1257)</f>
        <v/>
      </c>
      <c r="S1257" s="3">
        <f>IF(ORIG!S1257=0,"",ORIG!S1257)</f>
        <v/>
      </c>
      <c r="T1257" s="3">
        <f>IF(ORIG!T1257=0,"",ORIG!T1257)</f>
        <v/>
      </c>
      <c r="U1257" s="3">
        <f>IF(ORIG!U1257=0,"",ORIG!U1257)</f>
        <v/>
      </c>
      <c r="V1257" s="9">
        <f>IF(ORIG!V1257=0,"",ORIG!V1257)</f>
        <v/>
      </c>
      <c r="W1257" s="9">
        <f>IF(ORIG!W1257=0,"",ORIG!W1257)</f>
        <v/>
      </c>
      <c r="X1257" s="9">
        <f>IF(ORIG!X1257=0,"",ORIG!X1257)</f>
        <v/>
      </c>
      <c r="Y1257" s="9">
        <f>IF(ORIG!Y1257=0,"",ORIG!Y1257)</f>
        <v/>
      </c>
      <c r="Z1257" s="3">
        <f>SUMPRODUCT($B1257:$Y1257,$B$2649:$Y$2649)</f>
        <v/>
      </c>
      <c r="AA1257" s="3">
        <f>SUMPRODUCT($B1257:$Y1257,$B$2655:$Y$2655)</f>
        <v/>
      </c>
      <c r="AC1257" s="1">
        <f>A1257</f>
        <v/>
      </c>
      <c r="AD1257">
        <f>IF(ISNUMBER(V1257),V1257*($AB$1/V$2635),"")</f>
        <v/>
      </c>
      <c r="AE1257">
        <f>IF(ISNUMBER(Z1257),Z1257*($AB$1/Z$2635),"")</f>
        <v/>
      </c>
      <c r="AF1257" s="25">
        <f>IF(ISNUMBER(AD1257+AE1257),AD1257+AE1257,"")</f>
        <v/>
      </c>
      <c r="AH1257" s="1">
        <f>A1257</f>
        <v/>
      </c>
      <c r="AI1257">
        <f>IF(ISNUMBER((1+V1257)*AI1256),(1+V1257)*AI1256,AI1256)</f>
        <v/>
      </c>
      <c r="AJ1257">
        <f>IF(ISNUMBER((1+Z1257)*AJ1256),(1+Z1257)*AJ1256,AJ1256)</f>
        <v/>
      </c>
    </row>
    <row r="1258">
      <c r="A1258" s="1" t="n">
        <v>43826</v>
      </c>
      <c r="B1258" s="3">
        <f>IF(ORIG!B1258=0,"",ORIG!B1258)</f>
        <v/>
      </c>
      <c r="C1258" s="3">
        <f>IF(ORIG!C1258=0,"",ORIG!C1258)</f>
        <v/>
      </c>
      <c r="D1258" s="3">
        <f>IF(ORIG!D1258=0,"",ORIG!D1258)</f>
        <v/>
      </c>
      <c r="E1258" s="3">
        <f>IF(ORIG!E1258=0,"",ORIG!E1258)</f>
        <v/>
      </c>
      <c r="F1258" s="3">
        <f>IF(ORIG!F1258=0,"",ORIG!F1258)</f>
        <v/>
      </c>
      <c r="G1258" s="3">
        <f>IF(ORIG!G1258=0,"",ORIG!G1258)</f>
        <v/>
      </c>
      <c r="H1258" s="3">
        <f>IF(ORIG!H1258=0,"",ORIG!H1258)</f>
        <v/>
      </c>
      <c r="I1258" s="3">
        <f>IF(ORIG!I1258=0,"",ORIG!I1258)</f>
        <v/>
      </c>
      <c r="J1258" s="3">
        <f>IF(ORIG!J1258=0,"",ORIG!J1258)</f>
        <v/>
      </c>
      <c r="K1258" s="3">
        <f>IF(ORIG!K1258=0,"",ORIG!K1258)</f>
        <v/>
      </c>
      <c r="L1258" s="3">
        <f>IF(ORIG!L1258=0,"",ORIG!L1258)</f>
        <v/>
      </c>
      <c r="M1258" s="3">
        <f>IF(ORIG!M1258=0,"",ORIG!M1258)</f>
        <v/>
      </c>
      <c r="N1258" s="3">
        <f>IF(ORIG!N1258=0,"",ORIG!N1258)</f>
        <v/>
      </c>
      <c r="O1258" s="3">
        <f>IF(ORIG!O1258=0,"",ORIG!O1258)</f>
        <v/>
      </c>
      <c r="P1258" s="3">
        <f>IF(ORIG!P1258=0,"",ORIG!P1258)</f>
        <v/>
      </c>
      <c r="Q1258" s="3">
        <f>IF(ORIG!Q1258=0,"",ORIG!Q1258)</f>
        <v/>
      </c>
      <c r="R1258" s="3">
        <f>IF(ORIG!R1258=0,"",ORIG!R1258)</f>
        <v/>
      </c>
      <c r="S1258" s="3">
        <f>IF(ORIG!S1258=0,"",ORIG!S1258)</f>
        <v/>
      </c>
      <c r="T1258" s="3">
        <f>IF(ORIG!T1258=0,"",ORIG!T1258)</f>
        <v/>
      </c>
      <c r="U1258" s="3">
        <f>IF(ORIG!U1258=0,"",ORIG!U1258)</f>
        <v/>
      </c>
      <c r="V1258" s="9">
        <f>IF(ORIG!V1258=0,"",ORIG!V1258)</f>
        <v/>
      </c>
      <c r="W1258" s="9">
        <f>IF(ORIG!W1258=0,"",ORIG!W1258)</f>
        <v/>
      </c>
      <c r="X1258" s="9">
        <f>IF(ORIG!X1258=0,"",ORIG!X1258)</f>
        <v/>
      </c>
      <c r="Y1258" s="9">
        <f>IF(ORIG!Y1258=0,"",ORIG!Y1258)</f>
        <v/>
      </c>
      <c r="Z1258" s="3">
        <f>SUMPRODUCT($B1258:$Y1258,$B$2649:$Y$2649)</f>
        <v/>
      </c>
      <c r="AA1258" s="3">
        <f>SUMPRODUCT($B1258:$Y1258,$B$2655:$Y$2655)</f>
        <v/>
      </c>
      <c r="AC1258" s="1">
        <f>A1258</f>
        <v/>
      </c>
      <c r="AD1258">
        <f>IF(ISNUMBER(V1258),V1258*($AB$1/V$2635),"")</f>
        <v/>
      </c>
      <c r="AE1258">
        <f>IF(ISNUMBER(Z1258),Z1258*($AB$1/Z$2635),"")</f>
        <v/>
      </c>
      <c r="AF1258" s="25">
        <f>IF(ISNUMBER(AD1258+AE1258),AD1258+AE1258,"")</f>
        <v/>
      </c>
      <c r="AH1258" s="1">
        <f>A1258</f>
        <v/>
      </c>
      <c r="AI1258">
        <f>IF(ISNUMBER((1+V1258)*AI1257),(1+V1258)*AI1257,AI1257)</f>
        <v/>
      </c>
      <c r="AJ1258">
        <f>IF(ISNUMBER((1+Z1258)*AJ1257),(1+Z1258)*AJ1257,AJ1257)</f>
        <v/>
      </c>
    </row>
    <row r="1259">
      <c r="A1259" s="1" t="n">
        <v>43829</v>
      </c>
      <c r="B1259" s="3">
        <f>IF(ORIG!B1259=0,"",ORIG!B1259)</f>
        <v/>
      </c>
      <c r="C1259" s="3">
        <f>IF(ORIG!C1259=0,"",ORIG!C1259)</f>
        <v/>
      </c>
      <c r="D1259" s="3">
        <f>IF(ORIG!D1259=0,"",ORIG!D1259)</f>
        <v/>
      </c>
      <c r="E1259" s="3">
        <f>IF(ORIG!E1259=0,"",ORIG!E1259)</f>
        <v/>
      </c>
      <c r="F1259" s="3">
        <f>IF(ORIG!F1259=0,"",ORIG!F1259)</f>
        <v/>
      </c>
      <c r="G1259" s="3">
        <f>IF(ORIG!G1259=0,"",ORIG!G1259)</f>
        <v/>
      </c>
      <c r="H1259" s="3">
        <f>IF(ORIG!H1259=0,"",ORIG!H1259)</f>
        <v/>
      </c>
      <c r="I1259" s="3">
        <f>IF(ORIG!I1259=0,"",ORIG!I1259)</f>
        <v/>
      </c>
      <c r="J1259" s="3">
        <f>IF(ORIG!J1259=0,"",ORIG!J1259)</f>
        <v/>
      </c>
      <c r="K1259" s="3">
        <f>IF(ORIG!K1259=0,"",ORIG!K1259)</f>
        <v/>
      </c>
      <c r="L1259" s="3">
        <f>IF(ORIG!L1259=0,"",ORIG!L1259)</f>
        <v/>
      </c>
      <c r="M1259" s="3">
        <f>IF(ORIG!M1259=0,"",ORIG!M1259)</f>
        <v/>
      </c>
      <c r="N1259" s="3">
        <f>IF(ORIG!N1259=0,"",ORIG!N1259)</f>
        <v/>
      </c>
      <c r="O1259" s="3">
        <f>IF(ORIG!O1259=0,"",ORIG!O1259)</f>
        <v/>
      </c>
      <c r="P1259" s="3">
        <f>IF(ORIG!P1259=0,"",ORIG!P1259)</f>
        <v/>
      </c>
      <c r="Q1259" s="3">
        <f>IF(ORIG!Q1259=0,"",ORIG!Q1259)</f>
        <v/>
      </c>
      <c r="R1259" s="3">
        <f>IF(ORIG!R1259=0,"",ORIG!R1259)</f>
        <v/>
      </c>
      <c r="S1259" s="3">
        <f>IF(ORIG!S1259=0,"",ORIG!S1259)</f>
        <v/>
      </c>
      <c r="T1259" s="3">
        <f>IF(ORIG!T1259=0,"",ORIG!T1259)</f>
        <v/>
      </c>
      <c r="U1259" s="3">
        <f>IF(ORIG!U1259=0,"",ORIG!U1259)</f>
        <v/>
      </c>
      <c r="V1259" s="9">
        <f>IF(ORIG!V1259=0,"",ORIG!V1259)</f>
        <v/>
      </c>
      <c r="W1259" s="9">
        <f>IF(ORIG!W1259=0,"",ORIG!W1259)</f>
        <v/>
      </c>
      <c r="X1259" s="9">
        <f>IF(ORIG!X1259=0,"",ORIG!X1259)</f>
        <v/>
      </c>
      <c r="Y1259" s="9">
        <f>IF(ORIG!Y1259=0,"",ORIG!Y1259)</f>
        <v/>
      </c>
      <c r="Z1259" s="3">
        <f>SUMPRODUCT($B1259:$Y1259,$B$2649:$Y$2649)</f>
        <v/>
      </c>
      <c r="AA1259" s="3">
        <f>SUMPRODUCT($B1259:$Y1259,$B$2655:$Y$2655)</f>
        <v/>
      </c>
      <c r="AC1259" s="1">
        <f>A1259</f>
        <v/>
      </c>
      <c r="AD1259">
        <f>IF(ISNUMBER(V1259),V1259*($AB$1/V$2635),"")</f>
        <v/>
      </c>
      <c r="AE1259">
        <f>IF(ISNUMBER(Z1259),Z1259*($AB$1/Z$2635),"")</f>
        <v/>
      </c>
      <c r="AF1259" s="25">
        <f>IF(ISNUMBER(AD1259+AE1259),AD1259+AE1259,"")</f>
        <v/>
      </c>
      <c r="AH1259" s="1">
        <f>A1259</f>
        <v/>
      </c>
      <c r="AI1259">
        <f>IF(ISNUMBER((1+V1259)*AI1258),(1+V1259)*AI1258,AI1258)</f>
        <v/>
      </c>
      <c r="AJ1259">
        <f>IF(ISNUMBER((1+Z1259)*AJ1258),(1+Z1259)*AJ1258,AJ1258)</f>
        <v/>
      </c>
    </row>
    <row r="1260">
      <c r="A1260" s="1" t="n">
        <v>43830</v>
      </c>
      <c r="B1260" s="3">
        <f>IF(ORIG!B1260=0,"",ORIG!B1260)</f>
        <v/>
      </c>
      <c r="C1260" s="3">
        <f>IF(ORIG!C1260=0,"",ORIG!C1260)</f>
        <v/>
      </c>
      <c r="D1260" s="3">
        <f>IF(ORIG!D1260=0,"",ORIG!D1260)</f>
        <v/>
      </c>
      <c r="E1260" s="3">
        <f>IF(ORIG!E1260=0,"",ORIG!E1260)</f>
        <v/>
      </c>
      <c r="F1260" s="3">
        <f>IF(ORIG!F1260=0,"",ORIG!F1260)</f>
        <v/>
      </c>
      <c r="G1260" s="3">
        <f>IF(ORIG!G1260=0,"",ORIG!G1260)</f>
        <v/>
      </c>
      <c r="H1260" s="3">
        <f>IF(ORIG!H1260=0,"",ORIG!H1260)</f>
        <v/>
      </c>
      <c r="I1260" s="3">
        <f>IF(ORIG!I1260=0,"",ORIG!I1260)</f>
        <v/>
      </c>
      <c r="J1260" s="3">
        <f>IF(ORIG!J1260=0,"",ORIG!J1260)</f>
        <v/>
      </c>
      <c r="K1260" s="3">
        <f>IF(ORIG!K1260=0,"",ORIG!K1260)</f>
        <v/>
      </c>
      <c r="L1260" s="3">
        <f>IF(ORIG!L1260=0,"",ORIG!L1260)</f>
        <v/>
      </c>
      <c r="M1260" s="3">
        <f>IF(ORIG!M1260=0,"",ORIG!M1260)</f>
        <v/>
      </c>
      <c r="N1260" s="3">
        <f>IF(ORIG!N1260=0,"",ORIG!N1260)</f>
        <v/>
      </c>
      <c r="O1260" s="3">
        <f>IF(ORIG!O1260=0,"",ORIG!O1260)</f>
        <v/>
      </c>
      <c r="P1260" s="3">
        <f>IF(ORIG!P1260=0,"",ORIG!P1260)</f>
        <v/>
      </c>
      <c r="Q1260" s="3">
        <f>IF(ORIG!Q1260=0,"",ORIG!Q1260)</f>
        <v/>
      </c>
      <c r="R1260" s="3">
        <f>IF(ORIG!R1260=0,"",ORIG!R1260)</f>
        <v/>
      </c>
      <c r="S1260" s="3">
        <f>IF(ORIG!S1260=0,"",ORIG!S1260)</f>
        <v/>
      </c>
      <c r="T1260" s="3">
        <f>IF(ORIG!T1260=0,"",ORIG!T1260)</f>
        <v/>
      </c>
      <c r="U1260" s="3">
        <f>IF(ORIG!U1260=0,"",ORIG!U1260)</f>
        <v/>
      </c>
      <c r="V1260" s="9">
        <f>IF(ORIG!V1260=0,"",ORIG!V1260)</f>
        <v/>
      </c>
      <c r="W1260" s="9">
        <f>IF(ORIG!W1260=0,"",ORIG!W1260)</f>
        <v/>
      </c>
      <c r="X1260" s="9">
        <f>IF(ORIG!X1260=0,"",ORIG!X1260)</f>
        <v/>
      </c>
      <c r="Y1260" s="9">
        <f>IF(ORIG!Y1260=0,"",ORIG!Y1260)</f>
        <v/>
      </c>
      <c r="Z1260" s="3">
        <f>SUMPRODUCT($B1260:$Y1260,$B$2649:$Y$2649)</f>
        <v/>
      </c>
      <c r="AA1260" s="3">
        <f>SUMPRODUCT($B1260:$Y1260,$B$2655:$Y$2655)</f>
        <v/>
      </c>
      <c r="AC1260" s="1">
        <f>A1260</f>
        <v/>
      </c>
      <c r="AD1260">
        <f>IF(ISNUMBER(V1260),V1260*($AB$1/V$2635),"")</f>
        <v/>
      </c>
      <c r="AE1260">
        <f>IF(ISNUMBER(Z1260),Z1260*($AB$1/Z$2635),"")</f>
        <v/>
      </c>
      <c r="AF1260" s="25">
        <f>IF(ISNUMBER(AD1260+AE1260),AD1260+AE1260,"")</f>
        <v/>
      </c>
      <c r="AH1260" s="1">
        <f>A1260</f>
        <v/>
      </c>
      <c r="AI1260">
        <f>IF(ISNUMBER((1+V1260)*AI1259),(1+V1260)*AI1259,AI1259)</f>
        <v/>
      </c>
      <c r="AJ1260">
        <f>IF(ISNUMBER((1+Z1260)*AJ1259),(1+Z1260)*AJ1259,AJ1259)</f>
        <v/>
      </c>
    </row>
    <row r="1261">
      <c r="A1261" s="1" t="n">
        <v>43832</v>
      </c>
      <c r="B1261" s="3">
        <f>IF(ORIG!B1261=0,"",ORIG!B1261)</f>
        <v/>
      </c>
      <c r="C1261" s="3">
        <f>IF(ORIG!C1261=0,"",ORIG!C1261)</f>
        <v/>
      </c>
      <c r="D1261" s="3">
        <f>IF(ORIG!D1261=0,"",ORIG!D1261)</f>
        <v/>
      </c>
      <c r="E1261" s="3">
        <f>IF(ORIG!E1261=0,"",ORIG!E1261)</f>
        <v/>
      </c>
      <c r="F1261" s="3">
        <f>IF(ORIG!F1261=0,"",ORIG!F1261)</f>
        <v/>
      </c>
      <c r="G1261" s="3">
        <f>IF(ORIG!G1261=0,"",ORIG!G1261)</f>
        <v/>
      </c>
      <c r="H1261" s="3">
        <f>IF(ORIG!H1261=0,"",ORIG!H1261)</f>
        <v/>
      </c>
      <c r="I1261" s="3">
        <f>IF(ORIG!I1261=0,"",ORIG!I1261)</f>
        <v/>
      </c>
      <c r="J1261" s="3">
        <f>IF(ORIG!J1261=0,"",ORIG!J1261)</f>
        <v/>
      </c>
      <c r="K1261" s="3">
        <f>IF(ORIG!K1261=0,"",ORIG!K1261)</f>
        <v/>
      </c>
      <c r="L1261" s="3">
        <f>IF(ORIG!L1261=0,"",ORIG!L1261)</f>
        <v/>
      </c>
      <c r="M1261" s="3">
        <f>IF(ORIG!M1261=0,"",ORIG!M1261)</f>
        <v/>
      </c>
      <c r="N1261" s="3">
        <f>IF(ORIG!N1261=0,"",ORIG!N1261)</f>
        <v/>
      </c>
      <c r="O1261" s="3">
        <f>IF(ORIG!O1261=0,"",ORIG!O1261)</f>
        <v/>
      </c>
      <c r="P1261" s="3">
        <f>IF(ORIG!P1261=0,"",ORIG!P1261)</f>
        <v/>
      </c>
      <c r="Q1261" s="3">
        <f>IF(ORIG!Q1261=0,"",ORIG!Q1261)</f>
        <v/>
      </c>
      <c r="R1261" s="3">
        <f>IF(ORIG!R1261=0,"",ORIG!R1261)</f>
        <v/>
      </c>
      <c r="S1261" s="3">
        <f>IF(ORIG!S1261=0,"",ORIG!S1261)</f>
        <v/>
      </c>
      <c r="T1261" s="3">
        <f>IF(ORIG!T1261=0,"",ORIG!T1261)</f>
        <v/>
      </c>
      <c r="U1261" s="3">
        <f>IF(ORIG!U1261=0,"",ORIG!U1261)</f>
        <v/>
      </c>
      <c r="V1261" s="9">
        <f>IF(ORIG!V1261=0,"",ORIG!V1261)</f>
        <v/>
      </c>
      <c r="W1261" s="9">
        <f>IF(ORIG!W1261=0,"",ORIG!W1261)</f>
        <v/>
      </c>
      <c r="X1261" s="9">
        <f>IF(ORIG!X1261=0,"",ORIG!X1261)</f>
        <v/>
      </c>
      <c r="Y1261" s="9">
        <f>IF(ORIG!Y1261=0,"",ORIG!Y1261)</f>
        <v/>
      </c>
      <c r="Z1261" s="3">
        <f>SUMPRODUCT($B1261:$Y1261,$B$2649:$Y$2649)</f>
        <v/>
      </c>
      <c r="AA1261" s="3">
        <f>SUMPRODUCT($B1261:$Y1261,$B$2655:$Y$2655)</f>
        <v/>
      </c>
      <c r="AC1261" s="1">
        <f>A1261</f>
        <v/>
      </c>
      <c r="AD1261">
        <f>IF(ISNUMBER(V1261),V1261*($AB$1/V$2635),"")</f>
        <v/>
      </c>
      <c r="AE1261">
        <f>IF(ISNUMBER(Z1261),Z1261*($AB$1/Z$2635),"")</f>
        <v/>
      </c>
      <c r="AF1261" s="25">
        <f>IF(ISNUMBER(AD1261+AE1261),AD1261+AE1261,"")</f>
        <v/>
      </c>
      <c r="AH1261" s="1">
        <f>A1261</f>
        <v/>
      </c>
      <c r="AI1261">
        <f>IF(ISNUMBER((1+V1261)*AI1260),(1+V1261)*AI1260,AI1260)</f>
        <v/>
      </c>
      <c r="AJ1261">
        <f>IF(ISNUMBER((1+Z1261)*AJ1260),(1+Z1261)*AJ1260,AJ1260)</f>
        <v/>
      </c>
    </row>
    <row r="1262">
      <c r="A1262" s="1" t="n">
        <v>43833</v>
      </c>
      <c r="B1262" s="3">
        <f>IF(ORIG!B1262=0,"",ORIG!B1262)</f>
        <v/>
      </c>
      <c r="C1262" s="3">
        <f>IF(ORIG!C1262=0,"",ORIG!C1262)</f>
        <v/>
      </c>
      <c r="D1262" s="3">
        <f>IF(ORIG!D1262=0,"",ORIG!D1262)</f>
        <v/>
      </c>
      <c r="E1262" s="3">
        <f>IF(ORIG!E1262=0,"",ORIG!E1262)</f>
        <v/>
      </c>
      <c r="F1262" s="3">
        <f>IF(ORIG!F1262=0,"",ORIG!F1262)</f>
        <v/>
      </c>
      <c r="G1262" s="3">
        <f>IF(ORIG!G1262=0,"",ORIG!G1262)</f>
        <v/>
      </c>
      <c r="H1262" s="3">
        <f>IF(ORIG!H1262=0,"",ORIG!H1262)</f>
        <v/>
      </c>
      <c r="I1262" s="3">
        <f>IF(ORIG!I1262=0,"",ORIG!I1262)</f>
        <v/>
      </c>
      <c r="J1262" s="3">
        <f>IF(ORIG!J1262=0,"",ORIG!J1262)</f>
        <v/>
      </c>
      <c r="K1262" s="3">
        <f>IF(ORIG!K1262=0,"",ORIG!K1262)</f>
        <v/>
      </c>
      <c r="L1262" s="3">
        <f>IF(ORIG!L1262=0,"",ORIG!L1262)</f>
        <v/>
      </c>
      <c r="M1262" s="3">
        <f>IF(ORIG!M1262=0,"",ORIG!M1262)</f>
        <v/>
      </c>
      <c r="N1262" s="3">
        <f>IF(ORIG!N1262=0,"",ORIG!N1262)</f>
        <v/>
      </c>
      <c r="O1262" s="3">
        <f>IF(ORIG!O1262=0,"",ORIG!O1262)</f>
        <v/>
      </c>
      <c r="P1262" s="3">
        <f>IF(ORIG!P1262=0,"",ORIG!P1262)</f>
        <v/>
      </c>
      <c r="Q1262" s="3">
        <f>IF(ORIG!Q1262=0,"",ORIG!Q1262)</f>
        <v/>
      </c>
      <c r="R1262" s="3">
        <f>IF(ORIG!R1262=0,"",ORIG!R1262)</f>
        <v/>
      </c>
      <c r="S1262" s="3">
        <f>IF(ORIG!S1262=0,"",ORIG!S1262)</f>
        <v/>
      </c>
      <c r="T1262" s="3">
        <f>IF(ORIG!T1262=0,"",ORIG!T1262)</f>
        <v/>
      </c>
      <c r="U1262" s="3">
        <f>IF(ORIG!U1262=0,"",ORIG!U1262)</f>
        <v/>
      </c>
      <c r="V1262" s="9">
        <f>IF(ORIG!V1262=0,"",ORIG!V1262)</f>
        <v/>
      </c>
      <c r="W1262" s="9">
        <f>IF(ORIG!W1262=0,"",ORIG!W1262)</f>
        <v/>
      </c>
      <c r="X1262" s="9">
        <f>IF(ORIG!X1262=0,"",ORIG!X1262)</f>
        <v/>
      </c>
      <c r="Y1262" s="9">
        <f>IF(ORIG!Y1262=0,"",ORIG!Y1262)</f>
        <v/>
      </c>
      <c r="Z1262" s="3">
        <f>SUMPRODUCT($B1262:$Y1262,$B$2649:$Y$2649)</f>
        <v/>
      </c>
      <c r="AA1262" s="3">
        <f>SUMPRODUCT($B1262:$Y1262,$B$2655:$Y$2655)</f>
        <v/>
      </c>
      <c r="AC1262" s="1">
        <f>A1262</f>
        <v/>
      </c>
      <c r="AD1262">
        <f>IF(ISNUMBER(V1262),V1262*($AB$1/V$2635),"")</f>
        <v/>
      </c>
      <c r="AE1262">
        <f>IF(ISNUMBER(Z1262),Z1262*($AB$1/Z$2635),"")</f>
        <v/>
      </c>
      <c r="AF1262" s="25">
        <f>IF(ISNUMBER(AD1262+AE1262),AD1262+AE1262,"")</f>
        <v/>
      </c>
      <c r="AH1262" s="1">
        <f>A1262</f>
        <v/>
      </c>
      <c r="AI1262">
        <f>IF(ISNUMBER((1+V1262)*AI1261),(1+V1262)*AI1261,AI1261)</f>
        <v/>
      </c>
      <c r="AJ1262">
        <f>IF(ISNUMBER((1+Z1262)*AJ1261),(1+Z1262)*AJ1261,AJ1261)</f>
        <v/>
      </c>
    </row>
    <row r="1263">
      <c r="A1263" s="1" t="n">
        <v>43836</v>
      </c>
      <c r="B1263" s="3">
        <f>IF(ORIG!B1263=0,"",ORIG!B1263)</f>
        <v/>
      </c>
      <c r="C1263" s="3">
        <f>IF(ORIG!C1263=0,"",ORIG!C1263)</f>
        <v/>
      </c>
      <c r="D1263" s="3">
        <f>IF(ORIG!D1263=0,"",ORIG!D1263)</f>
        <v/>
      </c>
      <c r="E1263" s="3">
        <f>IF(ORIG!E1263=0,"",ORIG!E1263)</f>
        <v/>
      </c>
      <c r="F1263" s="3">
        <f>IF(ORIG!F1263=0,"",ORIG!F1263)</f>
        <v/>
      </c>
      <c r="G1263" s="3">
        <f>IF(ORIG!G1263=0,"",ORIG!G1263)</f>
        <v/>
      </c>
      <c r="H1263" s="3">
        <f>IF(ORIG!H1263=0,"",ORIG!H1263)</f>
        <v/>
      </c>
      <c r="I1263" s="3">
        <f>IF(ORIG!I1263=0,"",ORIG!I1263)</f>
        <v/>
      </c>
      <c r="J1263" s="3">
        <f>IF(ORIG!J1263=0,"",ORIG!J1263)</f>
        <v/>
      </c>
      <c r="K1263" s="3">
        <f>IF(ORIG!K1263=0,"",ORIG!K1263)</f>
        <v/>
      </c>
      <c r="L1263" s="3">
        <f>IF(ORIG!L1263=0,"",ORIG!L1263)</f>
        <v/>
      </c>
      <c r="M1263" s="3">
        <f>IF(ORIG!M1263=0,"",ORIG!M1263)</f>
        <v/>
      </c>
      <c r="N1263" s="3">
        <f>IF(ORIG!N1263=0,"",ORIG!N1263)</f>
        <v/>
      </c>
      <c r="O1263" s="3">
        <f>IF(ORIG!O1263=0,"",ORIG!O1263)</f>
        <v/>
      </c>
      <c r="P1263" s="3">
        <f>IF(ORIG!P1263=0,"",ORIG!P1263)</f>
        <v/>
      </c>
      <c r="Q1263" s="3">
        <f>IF(ORIG!Q1263=0,"",ORIG!Q1263)</f>
        <v/>
      </c>
      <c r="R1263" s="3">
        <f>IF(ORIG!R1263=0,"",ORIG!R1263)</f>
        <v/>
      </c>
      <c r="S1263" s="3">
        <f>IF(ORIG!S1263=0,"",ORIG!S1263)</f>
        <v/>
      </c>
      <c r="T1263" s="3">
        <f>IF(ORIG!T1263=0,"",ORIG!T1263)</f>
        <v/>
      </c>
      <c r="U1263" s="3">
        <f>IF(ORIG!U1263=0,"",ORIG!U1263)</f>
        <v/>
      </c>
      <c r="V1263" s="9">
        <f>IF(ORIG!V1263=0,"",ORIG!V1263)</f>
        <v/>
      </c>
      <c r="W1263" s="9">
        <f>IF(ORIG!W1263=0,"",ORIG!W1263)</f>
        <v/>
      </c>
      <c r="X1263" s="9">
        <f>IF(ORIG!X1263=0,"",ORIG!X1263)</f>
        <v/>
      </c>
      <c r="Y1263" s="9">
        <f>IF(ORIG!Y1263=0,"",ORIG!Y1263)</f>
        <v/>
      </c>
      <c r="Z1263" s="3">
        <f>SUMPRODUCT($B1263:$Y1263,$B$2649:$Y$2649)</f>
        <v/>
      </c>
      <c r="AA1263" s="3">
        <f>SUMPRODUCT($B1263:$Y1263,$B$2655:$Y$2655)</f>
        <v/>
      </c>
      <c r="AC1263" s="1">
        <f>A1263</f>
        <v/>
      </c>
      <c r="AD1263">
        <f>IF(ISNUMBER(V1263),V1263*($AB$1/V$2635),"")</f>
        <v/>
      </c>
      <c r="AE1263">
        <f>IF(ISNUMBER(Z1263),Z1263*($AB$1/Z$2635),"")</f>
        <v/>
      </c>
      <c r="AF1263" s="25">
        <f>IF(ISNUMBER(AD1263+AE1263),AD1263+AE1263,"")</f>
        <v/>
      </c>
      <c r="AH1263" s="1">
        <f>A1263</f>
        <v/>
      </c>
      <c r="AI1263">
        <f>IF(ISNUMBER((1+V1263)*AI1262),(1+V1263)*AI1262,AI1262)</f>
        <v/>
      </c>
      <c r="AJ1263">
        <f>IF(ISNUMBER((1+Z1263)*AJ1262),(1+Z1263)*AJ1262,AJ1262)</f>
        <v/>
      </c>
    </row>
    <row r="1264">
      <c r="A1264" s="1" t="n">
        <v>43837</v>
      </c>
      <c r="B1264" s="3">
        <f>IF(ORIG!B1264=0,"",ORIG!B1264)</f>
        <v/>
      </c>
      <c r="C1264" s="3">
        <f>IF(ORIG!C1264=0,"",ORIG!C1264)</f>
        <v/>
      </c>
      <c r="D1264" s="3">
        <f>IF(ORIG!D1264=0,"",ORIG!D1264)</f>
        <v/>
      </c>
      <c r="E1264" s="3">
        <f>IF(ORIG!E1264=0,"",ORIG!E1264)</f>
        <v/>
      </c>
      <c r="F1264" s="3">
        <f>IF(ORIG!F1264=0,"",ORIG!F1264)</f>
        <v/>
      </c>
      <c r="G1264" s="3">
        <f>IF(ORIG!G1264=0,"",ORIG!G1264)</f>
        <v/>
      </c>
      <c r="H1264" s="3">
        <f>IF(ORIG!H1264=0,"",ORIG!H1264)</f>
        <v/>
      </c>
      <c r="I1264" s="3">
        <f>IF(ORIG!I1264=0,"",ORIG!I1264)</f>
        <v/>
      </c>
      <c r="J1264" s="3">
        <f>IF(ORIG!J1264=0,"",ORIG!J1264)</f>
        <v/>
      </c>
      <c r="K1264" s="3">
        <f>IF(ORIG!K1264=0,"",ORIG!K1264)</f>
        <v/>
      </c>
      <c r="L1264" s="3">
        <f>IF(ORIG!L1264=0,"",ORIG!L1264)</f>
        <v/>
      </c>
      <c r="M1264" s="3">
        <f>IF(ORIG!M1264=0,"",ORIG!M1264)</f>
        <v/>
      </c>
      <c r="N1264" s="3">
        <f>IF(ORIG!N1264=0,"",ORIG!N1264)</f>
        <v/>
      </c>
      <c r="O1264" s="3">
        <f>IF(ORIG!O1264=0,"",ORIG!O1264)</f>
        <v/>
      </c>
      <c r="P1264" s="3">
        <f>IF(ORIG!P1264=0,"",ORIG!P1264)</f>
        <v/>
      </c>
      <c r="Q1264" s="3">
        <f>IF(ORIG!Q1264=0,"",ORIG!Q1264)</f>
        <v/>
      </c>
      <c r="R1264" s="3">
        <f>IF(ORIG!R1264=0,"",ORIG!R1264)</f>
        <v/>
      </c>
      <c r="S1264" s="3">
        <f>IF(ORIG!S1264=0,"",ORIG!S1264)</f>
        <v/>
      </c>
      <c r="T1264" s="3">
        <f>IF(ORIG!T1264=0,"",ORIG!T1264)</f>
        <v/>
      </c>
      <c r="U1264" s="3">
        <f>IF(ORIG!U1264=0,"",ORIG!U1264)</f>
        <v/>
      </c>
      <c r="V1264" s="9">
        <f>IF(ORIG!V1264=0,"",ORIG!V1264)</f>
        <v/>
      </c>
      <c r="W1264" s="9">
        <f>IF(ORIG!W1264=0,"",ORIG!W1264)</f>
        <v/>
      </c>
      <c r="X1264" s="9">
        <f>IF(ORIG!X1264=0,"",ORIG!X1264)</f>
        <v/>
      </c>
      <c r="Y1264" s="9">
        <f>IF(ORIG!Y1264=0,"",ORIG!Y1264)</f>
        <v/>
      </c>
      <c r="Z1264" s="3">
        <f>SUMPRODUCT($B1264:$Y1264,$B$2649:$Y$2649)</f>
        <v/>
      </c>
      <c r="AA1264" s="3">
        <f>SUMPRODUCT($B1264:$Y1264,$B$2655:$Y$2655)</f>
        <v/>
      </c>
      <c r="AC1264" s="1">
        <f>A1264</f>
        <v/>
      </c>
      <c r="AD1264">
        <f>IF(ISNUMBER(V1264),V1264*($AB$1/V$2635),"")</f>
        <v/>
      </c>
      <c r="AE1264">
        <f>IF(ISNUMBER(Z1264),Z1264*($AB$1/Z$2635),"")</f>
        <v/>
      </c>
      <c r="AF1264" s="25">
        <f>IF(ISNUMBER(AD1264+AE1264),AD1264+AE1264,"")</f>
        <v/>
      </c>
      <c r="AH1264" s="1">
        <f>A1264</f>
        <v/>
      </c>
      <c r="AI1264">
        <f>IF(ISNUMBER((1+V1264)*AI1263),(1+V1264)*AI1263,AI1263)</f>
        <v/>
      </c>
      <c r="AJ1264">
        <f>IF(ISNUMBER((1+Z1264)*AJ1263),(1+Z1264)*AJ1263,AJ1263)</f>
        <v/>
      </c>
    </row>
    <row r="1265">
      <c r="A1265" s="1" t="n">
        <v>43838</v>
      </c>
      <c r="B1265" s="3">
        <f>IF(ORIG!B1265=0,"",ORIG!B1265)</f>
        <v/>
      </c>
      <c r="C1265" s="3">
        <f>IF(ORIG!C1265=0,"",ORIG!C1265)</f>
        <v/>
      </c>
      <c r="D1265" s="3">
        <f>IF(ORIG!D1265=0,"",ORIG!D1265)</f>
        <v/>
      </c>
      <c r="E1265" s="3">
        <f>IF(ORIG!E1265=0,"",ORIG!E1265)</f>
        <v/>
      </c>
      <c r="F1265" s="3">
        <f>IF(ORIG!F1265=0,"",ORIG!F1265)</f>
        <v/>
      </c>
      <c r="G1265" s="3">
        <f>IF(ORIG!G1265=0,"",ORIG!G1265)</f>
        <v/>
      </c>
      <c r="H1265" s="3">
        <f>IF(ORIG!H1265=0,"",ORIG!H1265)</f>
        <v/>
      </c>
      <c r="I1265" s="3">
        <f>IF(ORIG!I1265=0,"",ORIG!I1265)</f>
        <v/>
      </c>
      <c r="J1265" s="3">
        <f>IF(ORIG!J1265=0,"",ORIG!J1265)</f>
        <v/>
      </c>
      <c r="K1265" s="3">
        <f>IF(ORIG!K1265=0,"",ORIG!K1265)</f>
        <v/>
      </c>
      <c r="L1265" s="3">
        <f>IF(ORIG!L1265=0,"",ORIG!L1265)</f>
        <v/>
      </c>
      <c r="M1265" s="3">
        <f>IF(ORIG!M1265=0,"",ORIG!M1265)</f>
        <v/>
      </c>
      <c r="N1265" s="3">
        <f>IF(ORIG!N1265=0,"",ORIG!N1265)</f>
        <v/>
      </c>
      <c r="O1265" s="3">
        <f>IF(ORIG!O1265=0,"",ORIG!O1265)</f>
        <v/>
      </c>
      <c r="P1265" s="3">
        <f>IF(ORIG!P1265=0,"",ORIG!P1265)</f>
        <v/>
      </c>
      <c r="Q1265" s="3">
        <f>IF(ORIG!Q1265=0,"",ORIG!Q1265)</f>
        <v/>
      </c>
      <c r="R1265" s="3">
        <f>IF(ORIG!R1265=0,"",ORIG!R1265)</f>
        <v/>
      </c>
      <c r="S1265" s="3">
        <f>IF(ORIG!S1265=0,"",ORIG!S1265)</f>
        <v/>
      </c>
      <c r="T1265" s="3">
        <f>IF(ORIG!T1265=0,"",ORIG!T1265)</f>
        <v/>
      </c>
      <c r="U1265" s="3">
        <f>IF(ORIG!U1265=0,"",ORIG!U1265)</f>
        <v/>
      </c>
      <c r="V1265" s="9">
        <f>IF(ORIG!V1265=0,"",ORIG!V1265)</f>
        <v/>
      </c>
      <c r="W1265" s="9">
        <f>IF(ORIG!W1265=0,"",ORIG!W1265)</f>
        <v/>
      </c>
      <c r="X1265" s="9">
        <f>IF(ORIG!X1265=0,"",ORIG!X1265)</f>
        <v/>
      </c>
      <c r="Y1265" s="9">
        <f>IF(ORIG!Y1265=0,"",ORIG!Y1265)</f>
        <v/>
      </c>
      <c r="Z1265" s="3">
        <f>SUMPRODUCT($B1265:$Y1265,$B$2649:$Y$2649)</f>
        <v/>
      </c>
      <c r="AA1265" s="3">
        <f>SUMPRODUCT($B1265:$Y1265,$B$2655:$Y$2655)</f>
        <v/>
      </c>
      <c r="AC1265" s="1">
        <f>A1265</f>
        <v/>
      </c>
      <c r="AD1265">
        <f>IF(ISNUMBER(V1265),V1265*($AB$1/V$2635),"")</f>
        <v/>
      </c>
      <c r="AE1265">
        <f>IF(ISNUMBER(Z1265),Z1265*($AB$1/Z$2635),"")</f>
        <v/>
      </c>
      <c r="AF1265" s="25">
        <f>IF(ISNUMBER(AD1265+AE1265),AD1265+AE1265,"")</f>
        <v/>
      </c>
      <c r="AH1265" s="1">
        <f>A1265</f>
        <v/>
      </c>
      <c r="AI1265">
        <f>IF(ISNUMBER((1+V1265)*AI1264),(1+V1265)*AI1264,AI1264)</f>
        <v/>
      </c>
      <c r="AJ1265">
        <f>IF(ISNUMBER((1+Z1265)*AJ1264),(1+Z1265)*AJ1264,AJ1264)</f>
        <v/>
      </c>
    </row>
    <row r="1266">
      <c r="A1266" s="1" t="n">
        <v>43839</v>
      </c>
      <c r="B1266" s="3">
        <f>IF(ORIG!B1266=0,"",ORIG!B1266)</f>
        <v/>
      </c>
      <c r="C1266" s="3">
        <f>IF(ORIG!C1266=0,"",ORIG!C1266)</f>
        <v/>
      </c>
      <c r="D1266" s="3">
        <f>IF(ORIG!D1266=0,"",ORIG!D1266)</f>
        <v/>
      </c>
      <c r="E1266" s="3">
        <f>IF(ORIG!E1266=0,"",ORIG!E1266)</f>
        <v/>
      </c>
      <c r="F1266" s="3">
        <f>IF(ORIG!F1266=0,"",ORIG!F1266)</f>
        <v/>
      </c>
      <c r="G1266" s="3">
        <f>IF(ORIG!G1266=0,"",ORIG!G1266)</f>
        <v/>
      </c>
      <c r="H1266" s="3">
        <f>IF(ORIG!H1266=0,"",ORIG!H1266)</f>
        <v/>
      </c>
      <c r="I1266" s="3">
        <f>IF(ORIG!I1266=0,"",ORIG!I1266)</f>
        <v/>
      </c>
      <c r="J1266" s="3">
        <f>IF(ORIG!J1266=0,"",ORIG!J1266)</f>
        <v/>
      </c>
      <c r="K1266" s="3">
        <f>IF(ORIG!K1266=0,"",ORIG!K1266)</f>
        <v/>
      </c>
      <c r="L1266" s="3">
        <f>IF(ORIG!L1266=0,"",ORIG!L1266)</f>
        <v/>
      </c>
      <c r="M1266" s="3">
        <f>IF(ORIG!M1266=0,"",ORIG!M1266)</f>
        <v/>
      </c>
      <c r="N1266" s="3">
        <f>IF(ORIG!N1266=0,"",ORIG!N1266)</f>
        <v/>
      </c>
      <c r="O1266" s="3">
        <f>IF(ORIG!O1266=0,"",ORIG!O1266)</f>
        <v/>
      </c>
      <c r="P1266" s="3">
        <f>IF(ORIG!P1266=0,"",ORIG!P1266)</f>
        <v/>
      </c>
      <c r="Q1266" s="3">
        <f>IF(ORIG!Q1266=0,"",ORIG!Q1266)</f>
        <v/>
      </c>
      <c r="R1266" s="3">
        <f>IF(ORIG!R1266=0,"",ORIG!R1266)</f>
        <v/>
      </c>
      <c r="S1266" s="3">
        <f>IF(ORIG!S1266=0,"",ORIG!S1266)</f>
        <v/>
      </c>
      <c r="T1266" s="3">
        <f>IF(ORIG!T1266=0,"",ORIG!T1266)</f>
        <v/>
      </c>
      <c r="U1266" s="3">
        <f>IF(ORIG!U1266=0,"",ORIG!U1266)</f>
        <v/>
      </c>
      <c r="V1266" s="9">
        <f>IF(ORIG!V1266=0,"",ORIG!V1266)</f>
        <v/>
      </c>
      <c r="W1266" s="9">
        <f>IF(ORIG!W1266=0,"",ORIG!W1266)</f>
        <v/>
      </c>
      <c r="X1266" s="9">
        <f>IF(ORIG!X1266=0,"",ORIG!X1266)</f>
        <v/>
      </c>
      <c r="Y1266" s="9">
        <f>IF(ORIG!Y1266=0,"",ORIG!Y1266)</f>
        <v/>
      </c>
      <c r="Z1266" s="3">
        <f>SUMPRODUCT($B1266:$Y1266,$B$2649:$Y$2649)</f>
        <v/>
      </c>
      <c r="AA1266" s="3">
        <f>SUMPRODUCT($B1266:$Y1266,$B$2655:$Y$2655)</f>
        <v/>
      </c>
      <c r="AC1266" s="1">
        <f>A1266</f>
        <v/>
      </c>
      <c r="AD1266">
        <f>IF(ISNUMBER(V1266),V1266*($AB$1/V$2635),"")</f>
        <v/>
      </c>
      <c r="AE1266">
        <f>IF(ISNUMBER(Z1266),Z1266*($AB$1/Z$2635),"")</f>
        <v/>
      </c>
      <c r="AF1266" s="25">
        <f>IF(ISNUMBER(AD1266+AE1266),AD1266+AE1266,"")</f>
        <v/>
      </c>
      <c r="AH1266" s="1">
        <f>A1266</f>
        <v/>
      </c>
      <c r="AI1266">
        <f>IF(ISNUMBER((1+V1266)*AI1265),(1+V1266)*AI1265,AI1265)</f>
        <v/>
      </c>
      <c r="AJ1266">
        <f>IF(ISNUMBER((1+Z1266)*AJ1265),(1+Z1266)*AJ1265,AJ1265)</f>
        <v/>
      </c>
    </row>
    <row r="1267">
      <c r="A1267" s="1" t="n">
        <v>43840</v>
      </c>
      <c r="B1267" s="3">
        <f>IF(ORIG!B1267=0,"",ORIG!B1267)</f>
        <v/>
      </c>
      <c r="C1267" s="3">
        <f>IF(ORIG!C1267=0,"",ORIG!C1267)</f>
        <v/>
      </c>
      <c r="D1267" s="3">
        <f>IF(ORIG!D1267=0,"",ORIG!D1267)</f>
        <v/>
      </c>
      <c r="E1267" s="3">
        <f>IF(ORIG!E1267=0,"",ORIG!E1267)</f>
        <v/>
      </c>
      <c r="F1267" s="3">
        <f>IF(ORIG!F1267=0,"",ORIG!F1267)</f>
        <v/>
      </c>
      <c r="G1267" s="3">
        <f>IF(ORIG!G1267=0,"",ORIG!G1267)</f>
        <v/>
      </c>
      <c r="H1267" s="3">
        <f>IF(ORIG!H1267=0,"",ORIG!H1267)</f>
        <v/>
      </c>
      <c r="I1267" s="3">
        <f>IF(ORIG!I1267=0,"",ORIG!I1267)</f>
        <v/>
      </c>
      <c r="J1267" s="3">
        <f>IF(ORIG!J1267=0,"",ORIG!J1267)</f>
        <v/>
      </c>
      <c r="K1267" s="3">
        <f>IF(ORIG!K1267=0,"",ORIG!K1267)</f>
        <v/>
      </c>
      <c r="L1267" s="3">
        <f>IF(ORIG!L1267=0,"",ORIG!L1267)</f>
        <v/>
      </c>
      <c r="M1267" s="3">
        <f>IF(ORIG!M1267=0,"",ORIG!M1267)</f>
        <v/>
      </c>
      <c r="N1267" s="3">
        <f>IF(ORIG!N1267=0,"",ORIG!N1267)</f>
        <v/>
      </c>
      <c r="O1267" s="3">
        <f>IF(ORIG!O1267=0,"",ORIG!O1267)</f>
        <v/>
      </c>
      <c r="P1267" s="3">
        <f>IF(ORIG!P1267=0,"",ORIG!P1267)</f>
        <v/>
      </c>
      <c r="Q1267" s="3">
        <f>IF(ORIG!Q1267=0,"",ORIG!Q1267)</f>
        <v/>
      </c>
      <c r="R1267" s="3">
        <f>IF(ORIG!R1267=0,"",ORIG!R1267)</f>
        <v/>
      </c>
      <c r="S1267" s="3">
        <f>IF(ORIG!S1267=0,"",ORIG!S1267)</f>
        <v/>
      </c>
      <c r="T1267" s="3">
        <f>IF(ORIG!T1267=0,"",ORIG!T1267)</f>
        <v/>
      </c>
      <c r="U1267" s="3">
        <f>IF(ORIG!U1267=0,"",ORIG!U1267)</f>
        <v/>
      </c>
      <c r="V1267" s="9">
        <f>IF(ORIG!V1267=0,"",ORIG!V1267)</f>
        <v/>
      </c>
      <c r="W1267" s="9">
        <f>IF(ORIG!W1267=0,"",ORIG!W1267)</f>
        <v/>
      </c>
      <c r="X1267" s="9">
        <f>IF(ORIG!X1267=0,"",ORIG!X1267)</f>
        <v/>
      </c>
      <c r="Y1267" s="9">
        <f>IF(ORIG!Y1267=0,"",ORIG!Y1267)</f>
        <v/>
      </c>
      <c r="Z1267" s="3">
        <f>SUMPRODUCT($B1267:$Y1267,$B$2649:$Y$2649)</f>
        <v/>
      </c>
      <c r="AA1267" s="3">
        <f>SUMPRODUCT($B1267:$Y1267,$B$2655:$Y$2655)</f>
        <v/>
      </c>
      <c r="AC1267" s="1">
        <f>A1267</f>
        <v/>
      </c>
      <c r="AD1267">
        <f>IF(ISNUMBER(V1267),V1267*($AB$1/V$2635),"")</f>
        <v/>
      </c>
      <c r="AE1267">
        <f>IF(ISNUMBER(Z1267),Z1267*($AB$1/Z$2635),"")</f>
        <v/>
      </c>
      <c r="AF1267" s="25">
        <f>IF(ISNUMBER(AD1267+AE1267),AD1267+AE1267,"")</f>
        <v/>
      </c>
      <c r="AH1267" s="1">
        <f>A1267</f>
        <v/>
      </c>
      <c r="AI1267">
        <f>IF(ISNUMBER((1+V1267)*AI1266),(1+V1267)*AI1266,AI1266)</f>
        <v/>
      </c>
      <c r="AJ1267">
        <f>IF(ISNUMBER((1+Z1267)*AJ1266),(1+Z1267)*AJ1266,AJ1266)</f>
        <v/>
      </c>
    </row>
    <row r="1268">
      <c r="A1268" s="1" t="n">
        <v>43843</v>
      </c>
      <c r="B1268" s="3">
        <f>IF(ORIG!B1268=0,"",ORIG!B1268)</f>
        <v/>
      </c>
      <c r="C1268" s="3">
        <f>IF(ORIG!C1268=0,"",ORIG!C1268)</f>
        <v/>
      </c>
      <c r="D1268" s="3">
        <f>IF(ORIG!D1268=0,"",ORIG!D1268)</f>
        <v/>
      </c>
      <c r="E1268" s="3">
        <f>IF(ORIG!E1268=0,"",ORIG!E1268)</f>
        <v/>
      </c>
      <c r="F1268" s="3">
        <f>IF(ORIG!F1268=0,"",ORIG!F1268)</f>
        <v/>
      </c>
      <c r="G1268" s="3">
        <f>IF(ORIG!G1268=0,"",ORIG!G1268)</f>
        <v/>
      </c>
      <c r="H1268" s="3">
        <f>IF(ORIG!H1268=0,"",ORIG!H1268)</f>
        <v/>
      </c>
      <c r="I1268" s="3">
        <f>IF(ORIG!I1268=0,"",ORIG!I1268)</f>
        <v/>
      </c>
      <c r="J1268" s="3">
        <f>IF(ORIG!J1268=0,"",ORIG!J1268)</f>
        <v/>
      </c>
      <c r="K1268" s="3">
        <f>IF(ORIG!K1268=0,"",ORIG!K1268)</f>
        <v/>
      </c>
      <c r="L1268" s="3">
        <f>IF(ORIG!L1268=0,"",ORIG!L1268)</f>
        <v/>
      </c>
      <c r="M1268" s="3">
        <f>IF(ORIG!M1268=0,"",ORIG!M1268)</f>
        <v/>
      </c>
      <c r="N1268" s="3">
        <f>IF(ORIG!N1268=0,"",ORIG!N1268)</f>
        <v/>
      </c>
      <c r="O1268" s="3">
        <f>IF(ORIG!O1268=0,"",ORIG!O1268)</f>
        <v/>
      </c>
      <c r="P1268" s="3">
        <f>IF(ORIG!P1268=0,"",ORIG!P1268)</f>
        <v/>
      </c>
      <c r="Q1268" s="3">
        <f>IF(ORIG!Q1268=0,"",ORIG!Q1268)</f>
        <v/>
      </c>
      <c r="R1268" s="3">
        <f>IF(ORIG!R1268=0,"",ORIG!R1268)</f>
        <v/>
      </c>
      <c r="S1268" s="3">
        <f>IF(ORIG!S1268=0,"",ORIG!S1268)</f>
        <v/>
      </c>
      <c r="T1268" s="3">
        <f>IF(ORIG!T1268=0,"",ORIG!T1268)</f>
        <v/>
      </c>
      <c r="U1268" s="3">
        <f>IF(ORIG!U1268=0,"",ORIG!U1268)</f>
        <v/>
      </c>
      <c r="V1268" s="9">
        <f>IF(ORIG!V1268=0,"",ORIG!V1268)</f>
        <v/>
      </c>
      <c r="W1268" s="9">
        <f>IF(ORIG!W1268=0,"",ORIG!W1268)</f>
        <v/>
      </c>
      <c r="X1268" s="9">
        <f>IF(ORIG!X1268=0,"",ORIG!X1268)</f>
        <v/>
      </c>
      <c r="Y1268" s="9">
        <f>IF(ORIG!Y1268=0,"",ORIG!Y1268)</f>
        <v/>
      </c>
      <c r="Z1268" s="3">
        <f>SUMPRODUCT($B1268:$Y1268,$B$2649:$Y$2649)</f>
        <v/>
      </c>
      <c r="AA1268" s="3">
        <f>SUMPRODUCT($B1268:$Y1268,$B$2655:$Y$2655)</f>
        <v/>
      </c>
      <c r="AC1268" s="1">
        <f>A1268</f>
        <v/>
      </c>
      <c r="AD1268">
        <f>IF(ISNUMBER(V1268),V1268*($AB$1/V$2635),"")</f>
        <v/>
      </c>
      <c r="AE1268">
        <f>IF(ISNUMBER(Z1268),Z1268*($AB$1/Z$2635),"")</f>
        <v/>
      </c>
      <c r="AF1268" s="25">
        <f>IF(ISNUMBER(AD1268+AE1268),AD1268+AE1268,"")</f>
        <v/>
      </c>
      <c r="AH1268" s="1">
        <f>A1268</f>
        <v/>
      </c>
      <c r="AI1268">
        <f>IF(ISNUMBER((1+V1268)*AI1267),(1+V1268)*AI1267,AI1267)</f>
        <v/>
      </c>
      <c r="AJ1268">
        <f>IF(ISNUMBER((1+Z1268)*AJ1267),(1+Z1268)*AJ1267,AJ1267)</f>
        <v/>
      </c>
    </row>
    <row r="1269">
      <c r="A1269" s="1" t="n">
        <v>43844</v>
      </c>
      <c r="B1269" s="3">
        <f>IF(ORIG!B1269=0,"",ORIG!B1269)</f>
        <v/>
      </c>
      <c r="C1269" s="3">
        <f>IF(ORIG!C1269=0,"",ORIG!C1269)</f>
        <v/>
      </c>
      <c r="D1269" s="3">
        <f>IF(ORIG!D1269=0,"",ORIG!D1269)</f>
        <v/>
      </c>
      <c r="E1269" s="3">
        <f>IF(ORIG!E1269=0,"",ORIG!E1269)</f>
        <v/>
      </c>
      <c r="F1269" s="3">
        <f>IF(ORIG!F1269=0,"",ORIG!F1269)</f>
        <v/>
      </c>
      <c r="G1269" s="3">
        <f>IF(ORIG!G1269=0,"",ORIG!G1269)</f>
        <v/>
      </c>
      <c r="H1269" s="3">
        <f>IF(ORIG!H1269=0,"",ORIG!H1269)</f>
        <v/>
      </c>
      <c r="I1269" s="3">
        <f>IF(ORIG!I1269=0,"",ORIG!I1269)</f>
        <v/>
      </c>
      <c r="J1269" s="3">
        <f>IF(ORIG!J1269=0,"",ORIG!J1269)</f>
        <v/>
      </c>
      <c r="K1269" s="3">
        <f>IF(ORIG!K1269=0,"",ORIG!K1269)</f>
        <v/>
      </c>
      <c r="L1269" s="3">
        <f>IF(ORIG!L1269=0,"",ORIG!L1269)</f>
        <v/>
      </c>
      <c r="M1269" s="3">
        <f>IF(ORIG!M1269=0,"",ORIG!M1269)</f>
        <v/>
      </c>
      <c r="N1269" s="3">
        <f>IF(ORIG!N1269=0,"",ORIG!N1269)</f>
        <v/>
      </c>
      <c r="O1269" s="3">
        <f>IF(ORIG!O1269=0,"",ORIG!O1269)</f>
        <v/>
      </c>
      <c r="P1269" s="3">
        <f>IF(ORIG!P1269=0,"",ORIG!P1269)</f>
        <v/>
      </c>
      <c r="Q1269" s="3">
        <f>IF(ORIG!Q1269=0,"",ORIG!Q1269)</f>
        <v/>
      </c>
      <c r="R1269" s="3">
        <f>IF(ORIG!R1269=0,"",ORIG!R1269)</f>
        <v/>
      </c>
      <c r="S1269" s="3">
        <f>IF(ORIG!S1269=0,"",ORIG!S1269)</f>
        <v/>
      </c>
      <c r="T1269" s="3">
        <f>IF(ORIG!T1269=0,"",ORIG!T1269)</f>
        <v/>
      </c>
      <c r="U1269" s="3">
        <f>IF(ORIG!U1269=0,"",ORIG!U1269)</f>
        <v/>
      </c>
      <c r="V1269" s="9">
        <f>IF(ORIG!V1269=0,"",ORIG!V1269)</f>
        <v/>
      </c>
      <c r="W1269" s="9">
        <f>IF(ORIG!W1269=0,"",ORIG!W1269)</f>
        <v/>
      </c>
      <c r="X1269" s="9">
        <f>IF(ORIG!X1269=0,"",ORIG!X1269)</f>
        <v/>
      </c>
      <c r="Y1269" s="9">
        <f>IF(ORIG!Y1269=0,"",ORIG!Y1269)</f>
        <v/>
      </c>
      <c r="Z1269" s="3">
        <f>SUMPRODUCT($B1269:$Y1269,$B$2649:$Y$2649)</f>
        <v/>
      </c>
      <c r="AA1269" s="3">
        <f>SUMPRODUCT($B1269:$Y1269,$B$2655:$Y$2655)</f>
        <v/>
      </c>
      <c r="AC1269" s="1">
        <f>A1269</f>
        <v/>
      </c>
      <c r="AD1269">
        <f>IF(ISNUMBER(V1269),V1269*($AB$1/V$2635),"")</f>
        <v/>
      </c>
      <c r="AE1269">
        <f>IF(ISNUMBER(Z1269),Z1269*($AB$1/Z$2635),"")</f>
        <v/>
      </c>
      <c r="AF1269" s="25">
        <f>IF(ISNUMBER(AD1269+AE1269),AD1269+AE1269,"")</f>
        <v/>
      </c>
      <c r="AH1269" s="1">
        <f>A1269</f>
        <v/>
      </c>
      <c r="AI1269">
        <f>IF(ISNUMBER((1+V1269)*AI1268),(1+V1269)*AI1268,AI1268)</f>
        <v/>
      </c>
      <c r="AJ1269">
        <f>IF(ISNUMBER((1+Z1269)*AJ1268),(1+Z1269)*AJ1268,AJ1268)</f>
        <v/>
      </c>
    </row>
    <row r="1270">
      <c r="A1270" s="1" t="n">
        <v>43845</v>
      </c>
      <c r="B1270" s="3">
        <f>IF(ORIG!B1270=0,"",ORIG!B1270)</f>
        <v/>
      </c>
      <c r="C1270" s="3">
        <f>IF(ORIG!C1270=0,"",ORIG!C1270)</f>
        <v/>
      </c>
      <c r="D1270" s="3">
        <f>IF(ORIG!D1270=0,"",ORIG!D1270)</f>
        <v/>
      </c>
      <c r="E1270" s="3">
        <f>IF(ORIG!E1270=0,"",ORIG!E1270)</f>
        <v/>
      </c>
      <c r="F1270" s="3">
        <f>IF(ORIG!F1270=0,"",ORIG!F1270)</f>
        <v/>
      </c>
      <c r="G1270" s="3">
        <f>IF(ORIG!G1270=0,"",ORIG!G1270)</f>
        <v/>
      </c>
      <c r="H1270" s="3">
        <f>IF(ORIG!H1270=0,"",ORIG!H1270)</f>
        <v/>
      </c>
      <c r="I1270" s="3">
        <f>IF(ORIG!I1270=0,"",ORIG!I1270)</f>
        <v/>
      </c>
      <c r="J1270" s="3">
        <f>IF(ORIG!J1270=0,"",ORIG!J1270)</f>
        <v/>
      </c>
      <c r="K1270" s="3">
        <f>IF(ORIG!K1270=0,"",ORIG!K1270)</f>
        <v/>
      </c>
      <c r="L1270" s="3">
        <f>IF(ORIG!L1270=0,"",ORIG!L1270)</f>
        <v/>
      </c>
      <c r="M1270" s="3">
        <f>IF(ORIG!M1270=0,"",ORIG!M1270)</f>
        <v/>
      </c>
      <c r="N1270" s="3">
        <f>IF(ORIG!N1270=0,"",ORIG!N1270)</f>
        <v/>
      </c>
      <c r="O1270" s="3">
        <f>IF(ORIG!O1270=0,"",ORIG!O1270)</f>
        <v/>
      </c>
      <c r="P1270" s="3">
        <f>IF(ORIG!P1270=0,"",ORIG!P1270)</f>
        <v/>
      </c>
      <c r="Q1270" s="3">
        <f>IF(ORIG!Q1270=0,"",ORIG!Q1270)</f>
        <v/>
      </c>
      <c r="R1270" s="3">
        <f>IF(ORIG!R1270=0,"",ORIG!R1270)</f>
        <v/>
      </c>
      <c r="S1270" s="3">
        <f>IF(ORIG!S1270=0,"",ORIG!S1270)</f>
        <v/>
      </c>
      <c r="T1270" s="3">
        <f>IF(ORIG!T1270=0,"",ORIG!T1270)</f>
        <v/>
      </c>
      <c r="U1270" s="3">
        <f>IF(ORIG!U1270=0,"",ORIG!U1270)</f>
        <v/>
      </c>
      <c r="V1270" s="9">
        <f>IF(ORIG!V1270=0,"",ORIG!V1270)</f>
        <v/>
      </c>
      <c r="W1270" s="9">
        <f>IF(ORIG!W1270=0,"",ORIG!W1270)</f>
        <v/>
      </c>
      <c r="X1270" s="9">
        <f>IF(ORIG!X1270=0,"",ORIG!X1270)</f>
        <v/>
      </c>
      <c r="Y1270" s="9">
        <f>IF(ORIG!Y1270=0,"",ORIG!Y1270)</f>
        <v/>
      </c>
      <c r="Z1270" s="3">
        <f>SUMPRODUCT($B1270:$Y1270,$B$2649:$Y$2649)</f>
        <v/>
      </c>
      <c r="AA1270" s="3">
        <f>SUMPRODUCT($B1270:$Y1270,$B$2655:$Y$2655)</f>
        <v/>
      </c>
      <c r="AC1270" s="1">
        <f>A1270</f>
        <v/>
      </c>
      <c r="AD1270">
        <f>IF(ISNUMBER(V1270),V1270*($AB$1/V$2635),"")</f>
        <v/>
      </c>
      <c r="AE1270">
        <f>IF(ISNUMBER(Z1270),Z1270*($AB$1/Z$2635),"")</f>
        <v/>
      </c>
      <c r="AF1270" s="25">
        <f>IF(ISNUMBER(AD1270+AE1270),AD1270+AE1270,"")</f>
        <v/>
      </c>
      <c r="AH1270" s="1">
        <f>A1270</f>
        <v/>
      </c>
      <c r="AI1270">
        <f>IF(ISNUMBER((1+V1270)*AI1269),(1+V1270)*AI1269,AI1269)</f>
        <v/>
      </c>
      <c r="AJ1270">
        <f>IF(ISNUMBER((1+Z1270)*AJ1269),(1+Z1270)*AJ1269,AJ1269)</f>
        <v/>
      </c>
    </row>
    <row r="1271">
      <c r="A1271" s="1" t="n">
        <v>43846</v>
      </c>
      <c r="B1271" s="3">
        <f>IF(ORIG!B1271=0,"",ORIG!B1271)</f>
        <v/>
      </c>
      <c r="C1271" s="3">
        <f>IF(ORIG!C1271=0,"",ORIG!C1271)</f>
        <v/>
      </c>
      <c r="D1271" s="3">
        <f>IF(ORIG!D1271=0,"",ORIG!D1271)</f>
        <v/>
      </c>
      <c r="E1271" s="3">
        <f>IF(ORIG!E1271=0,"",ORIG!E1271)</f>
        <v/>
      </c>
      <c r="F1271" s="3">
        <f>IF(ORIG!F1271=0,"",ORIG!F1271)</f>
        <v/>
      </c>
      <c r="G1271" s="3">
        <f>IF(ORIG!G1271=0,"",ORIG!G1271)</f>
        <v/>
      </c>
      <c r="H1271" s="3">
        <f>IF(ORIG!H1271=0,"",ORIG!H1271)</f>
        <v/>
      </c>
      <c r="I1271" s="3">
        <f>IF(ORIG!I1271=0,"",ORIG!I1271)</f>
        <v/>
      </c>
      <c r="J1271" s="3">
        <f>IF(ORIG!J1271=0,"",ORIG!J1271)</f>
        <v/>
      </c>
      <c r="K1271" s="3">
        <f>IF(ORIG!K1271=0,"",ORIG!K1271)</f>
        <v/>
      </c>
      <c r="L1271" s="3">
        <f>IF(ORIG!L1271=0,"",ORIG!L1271)</f>
        <v/>
      </c>
      <c r="M1271" s="3">
        <f>IF(ORIG!M1271=0,"",ORIG!M1271)</f>
        <v/>
      </c>
      <c r="N1271" s="3">
        <f>IF(ORIG!N1271=0,"",ORIG!N1271)</f>
        <v/>
      </c>
      <c r="O1271" s="3">
        <f>IF(ORIG!O1271=0,"",ORIG!O1271)</f>
        <v/>
      </c>
      <c r="P1271" s="3">
        <f>IF(ORIG!P1271=0,"",ORIG!P1271)</f>
        <v/>
      </c>
      <c r="Q1271" s="3">
        <f>IF(ORIG!Q1271=0,"",ORIG!Q1271)</f>
        <v/>
      </c>
      <c r="R1271" s="3">
        <f>IF(ORIG!R1271=0,"",ORIG!R1271)</f>
        <v/>
      </c>
      <c r="S1271" s="3">
        <f>IF(ORIG!S1271=0,"",ORIG!S1271)</f>
        <v/>
      </c>
      <c r="T1271" s="3">
        <f>IF(ORIG!T1271=0,"",ORIG!T1271)</f>
        <v/>
      </c>
      <c r="U1271" s="3">
        <f>IF(ORIG!U1271=0,"",ORIG!U1271)</f>
        <v/>
      </c>
      <c r="V1271" s="9">
        <f>IF(ORIG!V1271=0,"",ORIG!V1271)</f>
        <v/>
      </c>
      <c r="W1271" s="9">
        <f>IF(ORIG!W1271=0,"",ORIG!W1271)</f>
        <v/>
      </c>
      <c r="X1271" s="9">
        <f>IF(ORIG!X1271=0,"",ORIG!X1271)</f>
        <v/>
      </c>
      <c r="Y1271" s="9">
        <f>IF(ORIG!Y1271=0,"",ORIG!Y1271)</f>
        <v/>
      </c>
      <c r="Z1271" s="3">
        <f>SUMPRODUCT($B1271:$Y1271,$B$2649:$Y$2649)</f>
        <v/>
      </c>
      <c r="AA1271" s="3">
        <f>SUMPRODUCT($B1271:$Y1271,$B$2655:$Y$2655)</f>
        <v/>
      </c>
      <c r="AC1271" s="1">
        <f>A1271</f>
        <v/>
      </c>
      <c r="AD1271">
        <f>IF(ISNUMBER(V1271),V1271*($AB$1/V$2635),"")</f>
        <v/>
      </c>
      <c r="AE1271">
        <f>IF(ISNUMBER(Z1271),Z1271*($AB$1/Z$2635),"")</f>
        <v/>
      </c>
      <c r="AF1271" s="25">
        <f>IF(ISNUMBER(AD1271+AE1271),AD1271+AE1271,"")</f>
        <v/>
      </c>
      <c r="AH1271" s="1">
        <f>A1271</f>
        <v/>
      </c>
      <c r="AI1271">
        <f>IF(ISNUMBER((1+V1271)*AI1270),(1+V1271)*AI1270,AI1270)</f>
        <v/>
      </c>
      <c r="AJ1271">
        <f>IF(ISNUMBER((1+Z1271)*AJ1270),(1+Z1271)*AJ1270,AJ1270)</f>
        <v/>
      </c>
    </row>
    <row r="1272">
      <c r="A1272" s="1" t="n">
        <v>43847</v>
      </c>
      <c r="B1272" s="3">
        <f>IF(ORIG!B1272=0,"",ORIG!B1272)</f>
        <v/>
      </c>
      <c r="C1272" s="3">
        <f>IF(ORIG!C1272=0,"",ORIG!C1272)</f>
        <v/>
      </c>
      <c r="D1272" s="3">
        <f>IF(ORIG!D1272=0,"",ORIG!D1272)</f>
        <v/>
      </c>
      <c r="E1272" s="3">
        <f>IF(ORIG!E1272=0,"",ORIG!E1272)</f>
        <v/>
      </c>
      <c r="F1272" s="3">
        <f>IF(ORIG!F1272=0,"",ORIG!F1272)</f>
        <v/>
      </c>
      <c r="G1272" s="3">
        <f>IF(ORIG!G1272=0,"",ORIG!G1272)</f>
        <v/>
      </c>
      <c r="H1272" s="3">
        <f>IF(ORIG!H1272=0,"",ORIG!H1272)</f>
        <v/>
      </c>
      <c r="I1272" s="3">
        <f>IF(ORIG!I1272=0,"",ORIG!I1272)</f>
        <v/>
      </c>
      <c r="J1272" s="3">
        <f>IF(ORIG!J1272=0,"",ORIG!J1272)</f>
        <v/>
      </c>
      <c r="K1272" s="3">
        <f>IF(ORIG!K1272=0,"",ORIG!K1272)</f>
        <v/>
      </c>
      <c r="L1272" s="3">
        <f>IF(ORIG!L1272=0,"",ORIG!L1272)</f>
        <v/>
      </c>
      <c r="M1272" s="3">
        <f>IF(ORIG!M1272=0,"",ORIG!M1272)</f>
        <v/>
      </c>
      <c r="N1272" s="3">
        <f>IF(ORIG!N1272=0,"",ORIG!N1272)</f>
        <v/>
      </c>
      <c r="O1272" s="3">
        <f>IF(ORIG!O1272=0,"",ORIG!O1272)</f>
        <v/>
      </c>
      <c r="P1272" s="3">
        <f>IF(ORIG!P1272=0,"",ORIG!P1272)</f>
        <v/>
      </c>
      <c r="Q1272" s="3">
        <f>IF(ORIG!Q1272=0,"",ORIG!Q1272)</f>
        <v/>
      </c>
      <c r="R1272" s="3">
        <f>IF(ORIG!R1272=0,"",ORIG!R1272)</f>
        <v/>
      </c>
      <c r="S1272" s="3">
        <f>IF(ORIG!S1272=0,"",ORIG!S1272)</f>
        <v/>
      </c>
      <c r="T1272" s="3">
        <f>IF(ORIG!T1272=0,"",ORIG!T1272)</f>
        <v/>
      </c>
      <c r="U1272" s="3">
        <f>IF(ORIG!U1272=0,"",ORIG!U1272)</f>
        <v/>
      </c>
      <c r="V1272" s="9">
        <f>IF(ORIG!V1272=0,"",ORIG!V1272)</f>
        <v/>
      </c>
      <c r="W1272" s="9">
        <f>IF(ORIG!W1272=0,"",ORIG!W1272)</f>
        <v/>
      </c>
      <c r="X1272" s="9">
        <f>IF(ORIG!X1272=0,"",ORIG!X1272)</f>
        <v/>
      </c>
      <c r="Y1272" s="9">
        <f>IF(ORIG!Y1272=0,"",ORIG!Y1272)</f>
        <v/>
      </c>
      <c r="Z1272" s="3">
        <f>SUMPRODUCT($B1272:$Y1272,$B$2649:$Y$2649)</f>
        <v/>
      </c>
      <c r="AA1272" s="3">
        <f>SUMPRODUCT($B1272:$Y1272,$B$2655:$Y$2655)</f>
        <v/>
      </c>
      <c r="AC1272" s="1">
        <f>A1272</f>
        <v/>
      </c>
      <c r="AD1272">
        <f>IF(ISNUMBER(V1272),V1272*($AB$1/V$2635),"")</f>
        <v/>
      </c>
      <c r="AE1272">
        <f>IF(ISNUMBER(Z1272),Z1272*($AB$1/Z$2635),"")</f>
        <v/>
      </c>
      <c r="AF1272" s="25">
        <f>IF(ISNUMBER(AD1272+AE1272),AD1272+AE1272,"")</f>
        <v/>
      </c>
      <c r="AH1272" s="1">
        <f>A1272</f>
        <v/>
      </c>
      <c r="AI1272">
        <f>IF(ISNUMBER((1+V1272)*AI1271),(1+V1272)*AI1271,AI1271)</f>
        <v/>
      </c>
      <c r="AJ1272">
        <f>IF(ISNUMBER((1+Z1272)*AJ1271),(1+Z1272)*AJ1271,AJ1271)</f>
        <v/>
      </c>
    </row>
    <row r="1273">
      <c r="A1273" s="1" t="n">
        <v>43851</v>
      </c>
      <c r="B1273" s="3">
        <f>IF(ORIG!B1273=0,"",ORIG!B1273)</f>
        <v/>
      </c>
      <c r="C1273" s="3">
        <f>IF(ORIG!C1273=0,"",ORIG!C1273)</f>
        <v/>
      </c>
      <c r="D1273" s="3">
        <f>IF(ORIG!D1273=0,"",ORIG!D1273)</f>
        <v/>
      </c>
      <c r="E1273" s="3">
        <f>IF(ORIG!E1273=0,"",ORIG!E1273)</f>
        <v/>
      </c>
      <c r="F1273" s="3">
        <f>IF(ORIG!F1273=0,"",ORIG!F1273)</f>
        <v/>
      </c>
      <c r="G1273" s="3">
        <f>IF(ORIG!G1273=0,"",ORIG!G1273)</f>
        <v/>
      </c>
      <c r="H1273" s="3">
        <f>IF(ORIG!H1273=0,"",ORIG!H1273)</f>
        <v/>
      </c>
      <c r="I1273" s="3">
        <f>IF(ORIG!I1273=0,"",ORIG!I1273)</f>
        <v/>
      </c>
      <c r="J1273" s="3">
        <f>IF(ORIG!J1273=0,"",ORIG!J1273)</f>
        <v/>
      </c>
      <c r="K1273" s="3">
        <f>IF(ORIG!K1273=0,"",ORIG!K1273)</f>
        <v/>
      </c>
      <c r="L1273" s="3">
        <f>IF(ORIG!L1273=0,"",ORIG!L1273)</f>
        <v/>
      </c>
      <c r="M1273" s="3">
        <f>IF(ORIG!M1273=0,"",ORIG!M1273)</f>
        <v/>
      </c>
      <c r="N1273" s="3">
        <f>IF(ORIG!N1273=0,"",ORIG!N1273)</f>
        <v/>
      </c>
      <c r="O1273" s="3">
        <f>IF(ORIG!O1273=0,"",ORIG!O1273)</f>
        <v/>
      </c>
      <c r="P1273" s="3">
        <f>IF(ORIG!P1273=0,"",ORIG!P1273)</f>
        <v/>
      </c>
      <c r="Q1273" s="3">
        <f>IF(ORIG!Q1273=0,"",ORIG!Q1273)</f>
        <v/>
      </c>
      <c r="R1273" s="3">
        <f>IF(ORIG!R1273=0,"",ORIG!R1273)</f>
        <v/>
      </c>
      <c r="S1273" s="3">
        <f>IF(ORIG!S1273=0,"",ORIG!S1273)</f>
        <v/>
      </c>
      <c r="T1273" s="3">
        <f>IF(ORIG!T1273=0,"",ORIG!T1273)</f>
        <v/>
      </c>
      <c r="U1273" s="3">
        <f>IF(ORIG!U1273=0,"",ORIG!U1273)</f>
        <v/>
      </c>
      <c r="V1273" s="9">
        <f>IF(ORIG!V1273=0,"",ORIG!V1273)</f>
        <v/>
      </c>
      <c r="W1273" s="9">
        <f>IF(ORIG!W1273=0,"",ORIG!W1273)</f>
        <v/>
      </c>
      <c r="X1273" s="9">
        <f>IF(ORIG!X1273=0,"",ORIG!X1273)</f>
        <v/>
      </c>
      <c r="Y1273" s="9">
        <f>IF(ORIG!Y1273=0,"",ORIG!Y1273)</f>
        <v/>
      </c>
      <c r="Z1273" s="3">
        <f>SUMPRODUCT($B1273:$Y1273,$B$2649:$Y$2649)</f>
        <v/>
      </c>
      <c r="AA1273" s="3">
        <f>SUMPRODUCT($B1273:$Y1273,$B$2655:$Y$2655)</f>
        <v/>
      </c>
      <c r="AC1273" s="1">
        <f>A1273</f>
        <v/>
      </c>
      <c r="AD1273">
        <f>IF(ISNUMBER(V1273),V1273*($AB$1/V$2635),"")</f>
        <v/>
      </c>
      <c r="AE1273">
        <f>IF(ISNUMBER(Z1273),Z1273*($AB$1/Z$2635),"")</f>
        <v/>
      </c>
      <c r="AF1273" s="25">
        <f>IF(ISNUMBER(AD1273+AE1273),AD1273+AE1273,"")</f>
        <v/>
      </c>
      <c r="AH1273" s="1">
        <f>A1273</f>
        <v/>
      </c>
      <c r="AI1273">
        <f>IF(ISNUMBER((1+V1273)*AI1272),(1+V1273)*AI1272,AI1272)</f>
        <v/>
      </c>
      <c r="AJ1273">
        <f>IF(ISNUMBER((1+Z1273)*AJ1272),(1+Z1273)*AJ1272,AJ1272)</f>
        <v/>
      </c>
    </row>
    <row r="1274">
      <c r="A1274" s="1" t="n">
        <v>43852</v>
      </c>
      <c r="B1274" s="3">
        <f>IF(ORIG!B1274=0,"",ORIG!B1274)</f>
        <v/>
      </c>
      <c r="C1274" s="3">
        <f>IF(ORIG!C1274=0,"",ORIG!C1274)</f>
        <v/>
      </c>
      <c r="D1274" s="3">
        <f>IF(ORIG!D1274=0,"",ORIG!D1274)</f>
        <v/>
      </c>
      <c r="E1274" s="3">
        <f>IF(ORIG!E1274=0,"",ORIG!E1274)</f>
        <v/>
      </c>
      <c r="F1274" s="3">
        <f>IF(ORIG!F1274=0,"",ORIG!F1274)</f>
        <v/>
      </c>
      <c r="G1274" s="3">
        <f>IF(ORIG!G1274=0,"",ORIG!G1274)</f>
        <v/>
      </c>
      <c r="H1274" s="3">
        <f>IF(ORIG!H1274=0,"",ORIG!H1274)</f>
        <v/>
      </c>
      <c r="I1274" s="3">
        <f>IF(ORIG!I1274=0,"",ORIG!I1274)</f>
        <v/>
      </c>
      <c r="J1274" s="3">
        <f>IF(ORIG!J1274=0,"",ORIG!J1274)</f>
        <v/>
      </c>
      <c r="K1274" s="3">
        <f>IF(ORIG!K1274=0,"",ORIG!K1274)</f>
        <v/>
      </c>
      <c r="L1274" s="3">
        <f>IF(ORIG!L1274=0,"",ORIG!L1274)</f>
        <v/>
      </c>
      <c r="M1274" s="3">
        <f>IF(ORIG!M1274=0,"",ORIG!M1274)</f>
        <v/>
      </c>
      <c r="N1274" s="3">
        <f>IF(ORIG!N1274=0,"",ORIG!N1274)</f>
        <v/>
      </c>
      <c r="O1274" s="3">
        <f>IF(ORIG!O1274=0,"",ORIG!O1274)</f>
        <v/>
      </c>
      <c r="P1274" s="3">
        <f>IF(ORIG!P1274=0,"",ORIG!P1274)</f>
        <v/>
      </c>
      <c r="Q1274" s="3">
        <f>IF(ORIG!Q1274=0,"",ORIG!Q1274)</f>
        <v/>
      </c>
      <c r="R1274" s="3">
        <f>IF(ORIG!R1274=0,"",ORIG!R1274)</f>
        <v/>
      </c>
      <c r="S1274" s="3">
        <f>IF(ORIG!S1274=0,"",ORIG!S1274)</f>
        <v/>
      </c>
      <c r="T1274" s="3">
        <f>IF(ORIG!T1274=0,"",ORIG!T1274)</f>
        <v/>
      </c>
      <c r="U1274" s="3">
        <f>IF(ORIG!U1274=0,"",ORIG!U1274)</f>
        <v/>
      </c>
      <c r="V1274" s="9">
        <f>IF(ORIG!V1274=0,"",ORIG!V1274)</f>
        <v/>
      </c>
      <c r="W1274" s="9">
        <f>IF(ORIG!W1274=0,"",ORIG!W1274)</f>
        <v/>
      </c>
      <c r="X1274" s="9">
        <f>IF(ORIG!X1274=0,"",ORIG!X1274)</f>
        <v/>
      </c>
      <c r="Y1274" s="9">
        <f>IF(ORIG!Y1274=0,"",ORIG!Y1274)</f>
        <v/>
      </c>
      <c r="Z1274" s="3">
        <f>SUMPRODUCT($B1274:$Y1274,$B$2649:$Y$2649)</f>
        <v/>
      </c>
      <c r="AA1274" s="3">
        <f>SUMPRODUCT($B1274:$Y1274,$B$2655:$Y$2655)</f>
        <v/>
      </c>
      <c r="AC1274" s="1">
        <f>A1274</f>
        <v/>
      </c>
      <c r="AD1274">
        <f>IF(ISNUMBER(V1274),V1274*($AB$1/V$2635),"")</f>
        <v/>
      </c>
      <c r="AE1274">
        <f>IF(ISNUMBER(Z1274),Z1274*($AB$1/Z$2635),"")</f>
        <v/>
      </c>
      <c r="AF1274" s="25">
        <f>IF(ISNUMBER(AD1274+AE1274),AD1274+AE1274,"")</f>
        <v/>
      </c>
      <c r="AH1274" s="1">
        <f>A1274</f>
        <v/>
      </c>
      <c r="AI1274">
        <f>IF(ISNUMBER((1+V1274)*AI1273),(1+V1274)*AI1273,AI1273)</f>
        <v/>
      </c>
      <c r="AJ1274">
        <f>IF(ISNUMBER((1+Z1274)*AJ1273),(1+Z1274)*AJ1273,AJ1273)</f>
        <v/>
      </c>
    </row>
    <row r="1275">
      <c r="A1275" s="1" t="n">
        <v>43853</v>
      </c>
      <c r="B1275" s="3">
        <f>IF(ORIG!B1275=0,"",ORIG!B1275)</f>
        <v/>
      </c>
      <c r="C1275" s="3">
        <f>IF(ORIG!C1275=0,"",ORIG!C1275)</f>
        <v/>
      </c>
      <c r="D1275" s="3">
        <f>IF(ORIG!D1275=0,"",ORIG!D1275)</f>
        <v/>
      </c>
      <c r="E1275" s="3">
        <f>IF(ORIG!E1275=0,"",ORIG!E1275)</f>
        <v/>
      </c>
      <c r="F1275" s="3">
        <f>IF(ORIG!F1275=0,"",ORIG!F1275)</f>
        <v/>
      </c>
      <c r="G1275" s="3">
        <f>IF(ORIG!G1275=0,"",ORIG!G1275)</f>
        <v/>
      </c>
      <c r="H1275" s="3">
        <f>IF(ORIG!H1275=0,"",ORIG!H1275)</f>
        <v/>
      </c>
      <c r="I1275" s="3">
        <f>IF(ORIG!I1275=0,"",ORIG!I1275)</f>
        <v/>
      </c>
      <c r="J1275" s="3">
        <f>IF(ORIG!J1275=0,"",ORIG!J1275)</f>
        <v/>
      </c>
      <c r="K1275" s="3">
        <f>IF(ORIG!K1275=0,"",ORIG!K1275)</f>
        <v/>
      </c>
      <c r="L1275" s="3">
        <f>IF(ORIG!L1275=0,"",ORIG!L1275)</f>
        <v/>
      </c>
      <c r="M1275" s="3">
        <f>IF(ORIG!M1275=0,"",ORIG!M1275)</f>
        <v/>
      </c>
      <c r="N1275" s="3">
        <f>IF(ORIG!N1275=0,"",ORIG!N1275)</f>
        <v/>
      </c>
      <c r="O1275" s="3">
        <f>IF(ORIG!O1275=0,"",ORIG!O1275)</f>
        <v/>
      </c>
      <c r="P1275" s="3">
        <f>IF(ORIG!P1275=0,"",ORIG!P1275)</f>
        <v/>
      </c>
      <c r="Q1275" s="3">
        <f>IF(ORIG!Q1275=0,"",ORIG!Q1275)</f>
        <v/>
      </c>
      <c r="R1275" s="3">
        <f>IF(ORIG!R1275=0,"",ORIG!R1275)</f>
        <v/>
      </c>
      <c r="S1275" s="3">
        <f>IF(ORIG!S1275=0,"",ORIG!S1275)</f>
        <v/>
      </c>
      <c r="T1275" s="3">
        <f>IF(ORIG!T1275=0,"",ORIG!T1275)</f>
        <v/>
      </c>
      <c r="U1275" s="3">
        <f>IF(ORIG!U1275=0,"",ORIG!U1275)</f>
        <v/>
      </c>
      <c r="V1275" s="9">
        <f>IF(ORIG!V1275=0,"",ORIG!V1275)</f>
        <v/>
      </c>
      <c r="W1275" s="9">
        <f>IF(ORIG!W1275=0,"",ORIG!W1275)</f>
        <v/>
      </c>
      <c r="X1275" s="9">
        <f>IF(ORIG!X1275=0,"",ORIG!X1275)</f>
        <v/>
      </c>
      <c r="Y1275" s="9">
        <f>IF(ORIG!Y1275=0,"",ORIG!Y1275)</f>
        <v/>
      </c>
      <c r="Z1275" s="3">
        <f>SUMPRODUCT($B1275:$Y1275,$B$2649:$Y$2649)</f>
        <v/>
      </c>
      <c r="AA1275" s="3">
        <f>SUMPRODUCT($B1275:$Y1275,$B$2655:$Y$2655)</f>
        <v/>
      </c>
      <c r="AC1275" s="1">
        <f>A1275</f>
        <v/>
      </c>
      <c r="AD1275">
        <f>IF(ISNUMBER(V1275),V1275*($AB$1/V$2635),"")</f>
        <v/>
      </c>
      <c r="AE1275">
        <f>IF(ISNUMBER(Z1275),Z1275*($AB$1/Z$2635),"")</f>
        <v/>
      </c>
      <c r="AF1275" s="25">
        <f>IF(ISNUMBER(AD1275+AE1275),AD1275+AE1275,"")</f>
        <v/>
      </c>
      <c r="AH1275" s="1">
        <f>A1275</f>
        <v/>
      </c>
      <c r="AI1275">
        <f>IF(ISNUMBER((1+V1275)*AI1274),(1+V1275)*AI1274,AI1274)</f>
        <v/>
      </c>
      <c r="AJ1275">
        <f>IF(ISNUMBER((1+Z1275)*AJ1274),(1+Z1275)*AJ1274,AJ1274)</f>
        <v/>
      </c>
    </row>
    <row r="1276">
      <c r="A1276" s="1" t="n">
        <v>43854</v>
      </c>
      <c r="B1276" s="3">
        <f>IF(ORIG!B1276=0,"",ORIG!B1276)</f>
        <v/>
      </c>
      <c r="C1276" s="3">
        <f>IF(ORIG!C1276=0,"",ORIG!C1276)</f>
        <v/>
      </c>
      <c r="D1276" s="3">
        <f>IF(ORIG!D1276=0,"",ORIG!D1276)</f>
        <v/>
      </c>
      <c r="E1276" s="3">
        <f>IF(ORIG!E1276=0,"",ORIG!E1276)</f>
        <v/>
      </c>
      <c r="F1276" s="3">
        <f>IF(ORIG!F1276=0,"",ORIG!F1276)</f>
        <v/>
      </c>
      <c r="G1276" s="3">
        <f>IF(ORIG!G1276=0,"",ORIG!G1276)</f>
        <v/>
      </c>
      <c r="H1276" s="3">
        <f>IF(ORIG!H1276=0,"",ORIG!H1276)</f>
        <v/>
      </c>
      <c r="I1276" s="3">
        <f>IF(ORIG!I1276=0,"",ORIG!I1276)</f>
        <v/>
      </c>
      <c r="J1276" s="3">
        <f>IF(ORIG!J1276=0,"",ORIG!J1276)</f>
        <v/>
      </c>
      <c r="K1276" s="3">
        <f>IF(ORIG!K1276=0,"",ORIG!K1276)</f>
        <v/>
      </c>
      <c r="L1276" s="3">
        <f>IF(ORIG!L1276=0,"",ORIG!L1276)</f>
        <v/>
      </c>
      <c r="M1276" s="3">
        <f>IF(ORIG!M1276=0,"",ORIG!M1276)</f>
        <v/>
      </c>
      <c r="N1276" s="3">
        <f>IF(ORIG!N1276=0,"",ORIG!N1276)</f>
        <v/>
      </c>
      <c r="O1276" s="3">
        <f>IF(ORIG!O1276=0,"",ORIG!O1276)</f>
        <v/>
      </c>
      <c r="P1276" s="3">
        <f>IF(ORIG!P1276=0,"",ORIG!P1276)</f>
        <v/>
      </c>
      <c r="Q1276" s="3">
        <f>IF(ORIG!Q1276=0,"",ORIG!Q1276)</f>
        <v/>
      </c>
      <c r="R1276" s="3">
        <f>IF(ORIG!R1276=0,"",ORIG!R1276)</f>
        <v/>
      </c>
      <c r="S1276" s="3">
        <f>IF(ORIG!S1276=0,"",ORIG!S1276)</f>
        <v/>
      </c>
      <c r="T1276" s="3">
        <f>IF(ORIG!T1276=0,"",ORIG!T1276)</f>
        <v/>
      </c>
      <c r="U1276" s="3">
        <f>IF(ORIG!U1276=0,"",ORIG!U1276)</f>
        <v/>
      </c>
      <c r="V1276" s="9">
        <f>IF(ORIG!V1276=0,"",ORIG!V1276)</f>
        <v/>
      </c>
      <c r="W1276" s="9">
        <f>IF(ORIG!W1276=0,"",ORIG!W1276)</f>
        <v/>
      </c>
      <c r="X1276" s="9">
        <f>IF(ORIG!X1276=0,"",ORIG!X1276)</f>
        <v/>
      </c>
      <c r="Y1276" s="9">
        <f>IF(ORIG!Y1276=0,"",ORIG!Y1276)</f>
        <v/>
      </c>
      <c r="Z1276" s="3">
        <f>SUMPRODUCT($B1276:$Y1276,$B$2649:$Y$2649)</f>
        <v/>
      </c>
      <c r="AA1276" s="3">
        <f>SUMPRODUCT($B1276:$Y1276,$B$2655:$Y$2655)</f>
        <v/>
      </c>
      <c r="AC1276" s="1">
        <f>A1276</f>
        <v/>
      </c>
      <c r="AD1276">
        <f>IF(ISNUMBER(V1276),V1276*($AB$1/V$2635),"")</f>
        <v/>
      </c>
      <c r="AE1276">
        <f>IF(ISNUMBER(Z1276),Z1276*($AB$1/Z$2635),"")</f>
        <v/>
      </c>
      <c r="AF1276" s="25">
        <f>IF(ISNUMBER(AD1276+AE1276),AD1276+AE1276,"")</f>
        <v/>
      </c>
      <c r="AH1276" s="1">
        <f>A1276</f>
        <v/>
      </c>
      <c r="AI1276">
        <f>IF(ISNUMBER((1+V1276)*AI1275),(1+V1276)*AI1275,AI1275)</f>
        <v/>
      </c>
      <c r="AJ1276">
        <f>IF(ISNUMBER((1+Z1276)*AJ1275),(1+Z1276)*AJ1275,AJ1275)</f>
        <v/>
      </c>
    </row>
    <row r="1277">
      <c r="A1277" s="1" t="n">
        <v>43857</v>
      </c>
      <c r="B1277" s="3">
        <f>IF(ORIG!B1277=0,"",ORIG!B1277)</f>
        <v/>
      </c>
      <c r="C1277" s="3">
        <f>IF(ORIG!C1277=0,"",ORIG!C1277)</f>
        <v/>
      </c>
      <c r="D1277" s="3">
        <f>IF(ORIG!D1277=0,"",ORIG!D1277)</f>
        <v/>
      </c>
      <c r="E1277" s="3">
        <f>IF(ORIG!E1277=0,"",ORIG!E1277)</f>
        <v/>
      </c>
      <c r="F1277" s="3">
        <f>IF(ORIG!F1277=0,"",ORIG!F1277)</f>
        <v/>
      </c>
      <c r="G1277" s="3">
        <f>IF(ORIG!G1277=0,"",ORIG!G1277)</f>
        <v/>
      </c>
      <c r="H1277" s="3">
        <f>IF(ORIG!H1277=0,"",ORIG!H1277)</f>
        <v/>
      </c>
      <c r="I1277" s="3">
        <f>IF(ORIG!I1277=0,"",ORIG!I1277)</f>
        <v/>
      </c>
      <c r="J1277" s="3">
        <f>IF(ORIG!J1277=0,"",ORIG!J1277)</f>
        <v/>
      </c>
      <c r="K1277" s="3">
        <f>IF(ORIG!K1277=0,"",ORIG!K1277)</f>
        <v/>
      </c>
      <c r="L1277" s="3">
        <f>IF(ORIG!L1277=0,"",ORIG!L1277)</f>
        <v/>
      </c>
      <c r="M1277" s="3">
        <f>IF(ORIG!M1277=0,"",ORIG!M1277)</f>
        <v/>
      </c>
      <c r="N1277" s="3">
        <f>IF(ORIG!N1277=0,"",ORIG!N1277)</f>
        <v/>
      </c>
      <c r="O1277" s="3">
        <f>IF(ORIG!O1277=0,"",ORIG!O1277)</f>
        <v/>
      </c>
      <c r="P1277" s="3">
        <f>IF(ORIG!P1277=0,"",ORIG!P1277)</f>
        <v/>
      </c>
      <c r="Q1277" s="3">
        <f>IF(ORIG!Q1277=0,"",ORIG!Q1277)</f>
        <v/>
      </c>
      <c r="R1277" s="3">
        <f>IF(ORIG!R1277=0,"",ORIG!R1277)</f>
        <v/>
      </c>
      <c r="S1277" s="3">
        <f>IF(ORIG!S1277=0,"",ORIG!S1277)</f>
        <v/>
      </c>
      <c r="T1277" s="3">
        <f>IF(ORIG!T1277=0,"",ORIG!T1277)</f>
        <v/>
      </c>
      <c r="U1277" s="3">
        <f>IF(ORIG!U1277=0,"",ORIG!U1277)</f>
        <v/>
      </c>
      <c r="V1277" s="9">
        <f>IF(ORIG!V1277=0,"",ORIG!V1277)</f>
        <v/>
      </c>
      <c r="W1277" s="9">
        <f>IF(ORIG!W1277=0,"",ORIG!W1277)</f>
        <v/>
      </c>
      <c r="X1277" s="9">
        <f>IF(ORIG!X1277=0,"",ORIG!X1277)</f>
        <v/>
      </c>
      <c r="Y1277" s="9">
        <f>IF(ORIG!Y1277=0,"",ORIG!Y1277)</f>
        <v/>
      </c>
      <c r="Z1277" s="3">
        <f>SUMPRODUCT($B1277:$Y1277,$B$2649:$Y$2649)</f>
        <v/>
      </c>
      <c r="AA1277" s="3">
        <f>SUMPRODUCT($B1277:$Y1277,$B$2655:$Y$2655)</f>
        <v/>
      </c>
      <c r="AC1277" s="1">
        <f>A1277</f>
        <v/>
      </c>
      <c r="AD1277">
        <f>IF(ISNUMBER(V1277),V1277*($AB$1/V$2635),"")</f>
        <v/>
      </c>
      <c r="AE1277">
        <f>IF(ISNUMBER(Z1277),Z1277*($AB$1/Z$2635),"")</f>
        <v/>
      </c>
      <c r="AF1277" s="25">
        <f>IF(ISNUMBER(AD1277+AE1277),AD1277+AE1277,"")</f>
        <v/>
      </c>
      <c r="AH1277" s="1">
        <f>A1277</f>
        <v/>
      </c>
      <c r="AI1277">
        <f>IF(ISNUMBER((1+V1277)*AI1276),(1+V1277)*AI1276,AI1276)</f>
        <v/>
      </c>
      <c r="AJ1277">
        <f>IF(ISNUMBER((1+Z1277)*AJ1276),(1+Z1277)*AJ1276,AJ1276)</f>
        <v/>
      </c>
    </row>
    <row r="1278">
      <c r="A1278" s="1" t="n">
        <v>43858</v>
      </c>
      <c r="B1278" s="3">
        <f>IF(ORIG!B1278=0,"",ORIG!B1278)</f>
        <v/>
      </c>
      <c r="C1278" s="3">
        <f>IF(ORIG!C1278=0,"",ORIG!C1278)</f>
        <v/>
      </c>
      <c r="D1278" s="3">
        <f>IF(ORIG!D1278=0,"",ORIG!D1278)</f>
        <v/>
      </c>
      <c r="E1278" s="3">
        <f>IF(ORIG!E1278=0,"",ORIG!E1278)</f>
        <v/>
      </c>
      <c r="F1278" s="3">
        <f>IF(ORIG!F1278=0,"",ORIG!F1278)</f>
        <v/>
      </c>
      <c r="G1278" s="3">
        <f>IF(ORIG!G1278=0,"",ORIG!G1278)</f>
        <v/>
      </c>
      <c r="H1278" s="3">
        <f>IF(ORIG!H1278=0,"",ORIG!H1278)</f>
        <v/>
      </c>
      <c r="I1278" s="3">
        <f>IF(ORIG!I1278=0,"",ORIG!I1278)</f>
        <v/>
      </c>
      <c r="J1278" s="3">
        <f>IF(ORIG!J1278=0,"",ORIG!J1278)</f>
        <v/>
      </c>
      <c r="K1278" s="3">
        <f>IF(ORIG!K1278=0,"",ORIG!K1278)</f>
        <v/>
      </c>
      <c r="L1278" s="3">
        <f>IF(ORIG!L1278=0,"",ORIG!L1278)</f>
        <v/>
      </c>
      <c r="M1278" s="3">
        <f>IF(ORIG!M1278=0,"",ORIG!M1278)</f>
        <v/>
      </c>
      <c r="N1278" s="3">
        <f>IF(ORIG!N1278=0,"",ORIG!N1278)</f>
        <v/>
      </c>
      <c r="O1278" s="3">
        <f>IF(ORIG!O1278=0,"",ORIG!O1278)</f>
        <v/>
      </c>
      <c r="P1278" s="3">
        <f>IF(ORIG!P1278=0,"",ORIG!P1278)</f>
        <v/>
      </c>
      <c r="Q1278" s="3">
        <f>IF(ORIG!Q1278=0,"",ORIG!Q1278)</f>
        <v/>
      </c>
      <c r="R1278" s="3">
        <f>IF(ORIG!R1278=0,"",ORIG!R1278)</f>
        <v/>
      </c>
      <c r="S1278" s="3">
        <f>IF(ORIG!S1278=0,"",ORIG!S1278)</f>
        <v/>
      </c>
      <c r="T1278" s="3">
        <f>IF(ORIG!T1278=0,"",ORIG!T1278)</f>
        <v/>
      </c>
      <c r="U1278" s="3">
        <f>IF(ORIG!U1278=0,"",ORIG!U1278)</f>
        <v/>
      </c>
      <c r="V1278" s="9">
        <f>IF(ORIG!V1278=0,"",ORIG!V1278)</f>
        <v/>
      </c>
      <c r="W1278" s="9">
        <f>IF(ORIG!W1278=0,"",ORIG!W1278)</f>
        <v/>
      </c>
      <c r="X1278" s="9">
        <f>IF(ORIG!X1278=0,"",ORIG!X1278)</f>
        <v/>
      </c>
      <c r="Y1278" s="9">
        <f>IF(ORIG!Y1278=0,"",ORIG!Y1278)</f>
        <v/>
      </c>
      <c r="Z1278" s="3">
        <f>SUMPRODUCT($B1278:$Y1278,$B$2649:$Y$2649)</f>
        <v/>
      </c>
      <c r="AA1278" s="3">
        <f>SUMPRODUCT($B1278:$Y1278,$B$2655:$Y$2655)</f>
        <v/>
      </c>
      <c r="AC1278" s="1">
        <f>A1278</f>
        <v/>
      </c>
      <c r="AD1278">
        <f>IF(ISNUMBER(V1278),V1278*($AB$1/V$2635),"")</f>
        <v/>
      </c>
      <c r="AE1278">
        <f>IF(ISNUMBER(Z1278),Z1278*($AB$1/Z$2635),"")</f>
        <v/>
      </c>
      <c r="AF1278" s="25">
        <f>IF(ISNUMBER(AD1278+AE1278),AD1278+AE1278,"")</f>
        <v/>
      </c>
      <c r="AH1278" s="1">
        <f>A1278</f>
        <v/>
      </c>
      <c r="AI1278">
        <f>IF(ISNUMBER((1+V1278)*AI1277),(1+V1278)*AI1277,AI1277)</f>
        <v/>
      </c>
      <c r="AJ1278">
        <f>IF(ISNUMBER((1+Z1278)*AJ1277),(1+Z1278)*AJ1277,AJ1277)</f>
        <v/>
      </c>
    </row>
    <row r="1279">
      <c r="A1279" s="1" t="n">
        <v>43859</v>
      </c>
      <c r="B1279" s="3">
        <f>IF(ORIG!B1279=0,"",ORIG!B1279)</f>
        <v/>
      </c>
      <c r="C1279" s="3">
        <f>IF(ORIG!C1279=0,"",ORIG!C1279)</f>
        <v/>
      </c>
      <c r="D1279" s="3">
        <f>IF(ORIG!D1279=0,"",ORIG!D1279)</f>
        <v/>
      </c>
      <c r="E1279" s="3">
        <f>IF(ORIG!E1279=0,"",ORIG!E1279)</f>
        <v/>
      </c>
      <c r="F1279" s="3">
        <f>IF(ORIG!F1279=0,"",ORIG!F1279)</f>
        <v/>
      </c>
      <c r="G1279" s="3">
        <f>IF(ORIG!G1279=0,"",ORIG!G1279)</f>
        <v/>
      </c>
      <c r="H1279" s="3">
        <f>IF(ORIG!H1279=0,"",ORIG!H1279)</f>
        <v/>
      </c>
      <c r="I1279" s="3">
        <f>IF(ORIG!I1279=0,"",ORIG!I1279)</f>
        <v/>
      </c>
      <c r="J1279" s="3">
        <f>IF(ORIG!J1279=0,"",ORIG!J1279)</f>
        <v/>
      </c>
      <c r="K1279" s="3">
        <f>IF(ORIG!K1279=0,"",ORIG!K1279)</f>
        <v/>
      </c>
      <c r="L1279" s="3">
        <f>IF(ORIG!L1279=0,"",ORIG!L1279)</f>
        <v/>
      </c>
      <c r="M1279" s="3">
        <f>IF(ORIG!M1279=0,"",ORIG!M1279)</f>
        <v/>
      </c>
      <c r="N1279" s="3">
        <f>IF(ORIG!N1279=0,"",ORIG!N1279)</f>
        <v/>
      </c>
      <c r="O1279" s="3">
        <f>IF(ORIG!O1279=0,"",ORIG!O1279)</f>
        <v/>
      </c>
      <c r="P1279" s="3">
        <f>IF(ORIG!P1279=0,"",ORIG!P1279)</f>
        <v/>
      </c>
      <c r="Q1279" s="3">
        <f>IF(ORIG!Q1279=0,"",ORIG!Q1279)</f>
        <v/>
      </c>
      <c r="R1279" s="3">
        <f>IF(ORIG!R1279=0,"",ORIG!R1279)</f>
        <v/>
      </c>
      <c r="S1279" s="3">
        <f>IF(ORIG!S1279=0,"",ORIG!S1279)</f>
        <v/>
      </c>
      <c r="T1279" s="3">
        <f>IF(ORIG!T1279=0,"",ORIG!T1279)</f>
        <v/>
      </c>
      <c r="U1279" s="3">
        <f>IF(ORIG!U1279=0,"",ORIG!U1279)</f>
        <v/>
      </c>
      <c r="V1279" s="9">
        <f>IF(ORIG!V1279=0,"",ORIG!V1279)</f>
        <v/>
      </c>
      <c r="W1279" s="9">
        <f>IF(ORIG!W1279=0,"",ORIG!W1279)</f>
        <v/>
      </c>
      <c r="X1279" s="9">
        <f>IF(ORIG!X1279=0,"",ORIG!X1279)</f>
        <v/>
      </c>
      <c r="Y1279" s="9">
        <f>IF(ORIG!Y1279=0,"",ORIG!Y1279)</f>
        <v/>
      </c>
      <c r="Z1279" s="3">
        <f>SUMPRODUCT($B1279:$Y1279,$B$2649:$Y$2649)</f>
        <v/>
      </c>
      <c r="AA1279" s="3">
        <f>SUMPRODUCT($B1279:$Y1279,$B$2655:$Y$2655)</f>
        <v/>
      </c>
      <c r="AC1279" s="1">
        <f>A1279</f>
        <v/>
      </c>
      <c r="AD1279">
        <f>IF(ISNUMBER(V1279),V1279*($AB$1/V$2635),"")</f>
        <v/>
      </c>
      <c r="AE1279">
        <f>IF(ISNUMBER(Z1279),Z1279*($AB$1/Z$2635),"")</f>
        <v/>
      </c>
      <c r="AF1279" s="25">
        <f>IF(ISNUMBER(AD1279+AE1279),AD1279+AE1279,"")</f>
        <v/>
      </c>
      <c r="AH1279" s="1">
        <f>A1279</f>
        <v/>
      </c>
      <c r="AI1279">
        <f>IF(ISNUMBER((1+V1279)*AI1278),(1+V1279)*AI1278,AI1278)</f>
        <v/>
      </c>
      <c r="AJ1279">
        <f>IF(ISNUMBER((1+Z1279)*AJ1278),(1+Z1279)*AJ1278,AJ1278)</f>
        <v/>
      </c>
    </row>
    <row r="1280">
      <c r="A1280" s="1" t="n">
        <v>43860</v>
      </c>
      <c r="B1280" s="3">
        <f>IF(ORIG!B1280=0,"",ORIG!B1280)</f>
        <v/>
      </c>
      <c r="C1280" s="3">
        <f>IF(ORIG!C1280=0,"",ORIG!C1280)</f>
        <v/>
      </c>
      <c r="D1280" s="3">
        <f>IF(ORIG!D1280=0,"",ORIG!D1280)</f>
        <v/>
      </c>
      <c r="E1280" s="3">
        <f>IF(ORIG!E1280=0,"",ORIG!E1280)</f>
        <v/>
      </c>
      <c r="F1280" s="3">
        <f>IF(ORIG!F1280=0,"",ORIG!F1280)</f>
        <v/>
      </c>
      <c r="G1280" s="3">
        <f>IF(ORIG!G1280=0,"",ORIG!G1280)</f>
        <v/>
      </c>
      <c r="H1280" s="3">
        <f>IF(ORIG!H1280=0,"",ORIG!H1280)</f>
        <v/>
      </c>
      <c r="I1280" s="3">
        <f>IF(ORIG!I1280=0,"",ORIG!I1280)</f>
        <v/>
      </c>
      <c r="J1280" s="3">
        <f>IF(ORIG!J1280=0,"",ORIG!J1280)</f>
        <v/>
      </c>
      <c r="K1280" s="3">
        <f>IF(ORIG!K1280=0,"",ORIG!K1280)</f>
        <v/>
      </c>
      <c r="L1280" s="3">
        <f>IF(ORIG!L1280=0,"",ORIG!L1280)</f>
        <v/>
      </c>
      <c r="M1280" s="3">
        <f>IF(ORIG!M1280=0,"",ORIG!M1280)</f>
        <v/>
      </c>
      <c r="N1280" s="3">
        <f>IF(ORIG!N1280=0,"",ORIG!N1280)</f>
        <v/>
      </c>
      <c r="O1280" s="3">
        <f>IF(ORIG!O1280=0,"",ORIG!O1280)</f>
        <v/>
      </c>
      <c r="P1280" s="3">
        <f>IF(ORIG!P1280=0,"",ORIG!P1280)</f>
        <v/>
      </c>
      <c r="Q1280" s="3">
        <f>IF(ORIG!Q1280=0,"",ORIG!Q1280)</f>
        <v/>
      </c>
      <c r="R1280" s="3">
        <f>IF(ORIG!R1280=0,"",ORIG!R1280)</f>
        <v/>
      </c>
      <c r="S1280" s="3">
        <f>IF(ORIG!S1280=0,"",ORIG!S1280)</f>
        <v/>
      </c>
      <c r="T1280" s="3">
        <f>IF(ORIG!T1280=0,"",ORIG!T1280)</f>
        <v/>
      </c>
      <c r="U1280" s="3">
        <f>IF(ORIG!U1280=0,"",ORIG!U1280)</f>
        <v/>
      </c>
      <c r="V1280" s="9">
        <f>IF(ORIG!V1280=0,"",ORIG!V1280)</f>
        <v/>
      </c>
      <c r="W1280" s="9">
        <f>IF(ORIG!W1280=0,"",ORIG!W1280)</f>
        <v/>
      </c>
      <c r="X1280" s="9">
        <f>IF(ORIG!X1280=0,"",ORIG!X1280)</f>
        <v/>
      </c>
      <c r="Y1280" s="9">
        <f>IF(ORIG!Y1280=0,"",ORIG!Y1280)</f>
        <v/>
      </c>
      <c r="Z1280" s="3">
        <f>SUMPRODUCT($B1280:$Y1280,$B$2649:$Y$2649)</f>
        <v/>
      </c>
      <c r="AA1280" s="3">
        <f>SUMPRODUCT($B1280:$Y1280,$B$2655:$Y$2655)</f>
        <v/>
      </c>
      <c r="AC1280" s="1">
        <f>A1280</f>
        <v/>
      </c>
      <c r="AD1280">
        <f>IF(ISNUMBER(V1280),V1280*($AB$1/V$2635),"")</f>
        <v/>
      </c>
      <c r="AE1280">
        <f>IF(ISNUMBER(Z1280),Z1280*($AB$1/Z$2635),"")</f>
        <v/>
      </c>
      <c r="AF1280" s="25">
        <f>IF(ISNUMBER(AD1280+AE1280),AD1280+AE1280,"")</f>
        <v/>
      </c>
      <c r="AH1280" s="1">
        <f>A1280</f>
        <v/>
      </c>
      <c r="AI1280">
        <f>IF(ISNUMBER((1+V1280)*AI1279),(1+V1280)*AI1279,AI1279)</f>
        <v/>
      </c>
      <c r="AJ1280">
        <f>IF(ISNUMBER((1+Z1280)*AJ1279),(1+Z1280)*AJ1279,AJ1279)</f>
        <v/>
      </c>
    </row>
    <row r="1281">
      <c r="A1281" s="1" t="n">
        <v>43861</v>
      </c>
      <c r="B1281" s="3">
        <f>IF(ORIG!B1281=0,"",ORIG!B1281)</f>
        <v/>
      </c>
      <c r="C1281" s="3">
        <f>IF(ORIG!C1281=0,"",ORIG!C1281)</f>
        <v/>
      </c>
      <c r="D1281" s="3">
        <f>IF(ORIG!D1281=0,"",ORIG!D1281)</f>
        <v/>
      </c>
      <c r="E1281" s="3">
        <f>IF(ORIG!E1281=0,"",ORIG!E1281)</f>
        <v/>
      </c>
      <c r="F1281" s="3">
        <f>IF(ORIG!F1281=0,"",ORIG!F1281)</f>
        <v/>
      </c>
      <c r="G1281" s="3">
        <f>IF(ORIG!G1281=0,"",ORIG!G1281)</f>
        <v/>
      </c>
      <c r="H1281" s="3">
        <f>IF(ORIG!H1281=0,"",ORIG!H1281)</f>
        <v/>
      </c>
      <c r="I1281" s="3">
        <f>IF(ORIG!I1281=0,"",ORIG!I1281)</f>
        <v/>
      </c>
      <c r="J1281" s="3">
        <f>IF(ORIG!J1281=0,"",ORIG!J1281)</f>
        <v/>
      </c>
      <c r="K1281" s="3">
        <f>IF(ORIG!K1281=0,"",ORIG!K1281)</f>
        <v/>
      </c>
      <c r="L1281" s="3">
        <f>IF(ORIG!L1281=0,"",ORIG!L1281)</f>
        <v/>
      </c>
      <c r="M1281" s="3">
        <f>IF(ORIG!M1281=0,"",ORIG!M1281)</f>
        <v/>
      </c>
      <c r="N1281" s="3">
        <f>IF(ORIG!N1281=0,"",ORIG!N1281)</f>
        <v/>
      </c>
      <c r="O1281" s="3">
        <f>IF(ORIG!O1281=0,"",ORIG!O1281)</f>
        <v/>
      </c>
      <c r="P1281" s="3">
        <f>IF(ORIG!P1281=0,"",ORIG!P1281)</f>
        <v/>
      </c>
      <c r="Q1281" s="3">
        <f>IF(ORIG!Q1281=0,"",ORIG!Q1281)</f>
        <v/>
      </c>
      <c r="R1281" s="3">
        <f>IF(ORIG!R1281=0,"",ORIG!R1281)</f>
        <v/>
      </c>
      <c r="S1281" s="3">
        <f>IF(ORIG!S1281=0,"",ORIG!S1281)</f>
        <v/>
      </c>
      <c r="T1281" s="3">
        <f>IF(ORIG!T1281=0,"",ORIG!T1281)</f>
        <v/>
      </c>
      <c r="U1281" s="3">
        <f>IF(ORIG!U1281=0,"",ORIG!U1281)</f>
        <v/>
      </c>
      <c r="V1281" s="9">
        <f>IF(ORIG!V1281=0,"",ORIG!V1281)</f>
        <v/>
      </c>
      <c r="W1281" s="9">
        <f>IF(ORIG!W1281=0,"",ORIG!W1281)</f>
        <v/>
      </c>
      <c r="X1281" s="9">
        <f>IF(ORIG!X1281=0,"",ORIG!X1281)</f>
        <v/>
      </c>
      <c r="Y1281" s="9">
        <f>IF(ORIG!Y1281=0,"",ORIG!Y1281)</f>
        <v/>
      </c>
      <c r="Z1281" s="3">
        <f>SUMPRODUCT($B1281:$Y1281,$B$2649:$Y$2649)</f>
        <v/>
      </c>
      <c r="AA1281" s="3">
        <f>SUMPRODUCT($B1281:$Y1281,$B$2655:$Y$2655)</f>
        <v/>
      </c>
      <c r="AC1281" s="1">
        <f>A1281</f>
        <v/>
      </c>
      <c r="AD1281">
        <f>IF(ISNUMBER(V1281),V1281*($AB$1/V$2635),"")</f>
        <v/>
      </c>
      <c r="AE1281">
        <f>IF(ISNUMBER(Z1281),Z1281*($AB$1/Z$2635),"")</f>
        <v/>
      </c>
      <c r="AF1281" s="25">
        <f>IF(ISNUMBER(AD1281+AE1281),AD1281+AE1281,"")</f>
        <v/>
      </c>
      <c r="AH1281" s="1">
        <f>A1281</f>
        <v/>
      </c>
      <c r="AI1281">
        <f>IF(ISNUMBER((1+V1281)*AI1280),(1+V1281)*AI1280,AI1280)</f>
        <v/>
      </c>
      <c r="AJ1281">
        <f>IF(ISNUMBER((1+Z1281)*AJ1280),(1+Z1281)*AJ1280,AJ1280)</f>
        <v/>
      </c>
    </row>
    <row r="1282">
      <c r="A1282" s="1" t="n">
        <v>43864</v>
      </c>
      <c r="B1282" s="3">
        <f>IF(ORIG!B1282=0,"",ORIG!B1282)</f>
        <v/>
      </c>
      <c r="C1282" s="3">
        <f>IF(ORIG!C1282=0,"",ORIG!C1282)</f>
        <v/>
      </c>
      <c r="D1282" s="3">
        <f>IF(ORIG!D1282=0,"",ORIG!D1282)</f>
        <v/>
      </c>
      <c r="E1282" s="3">
        <f>IF(ORIG!E1282=0,"",ORIG!E1282)</f>
        <v/>
      </c>
      <c r="F1282" s="3">
        <f>IF(ORIG!F1282=0,"",ORIG!F1282)</f>
        <v/>
      </c>
      <c r="G1282" s="3">
        <f>IF(ORIG!G1282=0,"",ORIG!G1282)</f>
        <v/>
      </c>
      <c r="H1282" s="3">
        <f>IF(ORIG!H1282=0,"",ORIG!H1282)</f>
        <v/>
      </c>
      <c r="I1282" s="3">
        <f>IF(ORIG!I1282=0,"",ORIG!I1282)</f>
        <v/>
      </c>
      <c r="J1282" s="3">
        <f>IF(ORIG!J1282=0,"",ORIG!J1282)</f>
        <v/>
      </c>
      <c r="K1282" s="3">
        <f>IF(ORIG!K1282=0,"",ORIG!K1282)</f>
        <v/>
      </c>
      <c r="L1282" s="3">
        <f>IF(ORIG!L1282=0,"",ORIG!L1282)</f>
        <v/>
      </c>
      <c r="M1282" s="3">
        <f>IF(ORIG!M1282=0,"",ORIG!M1282)</f>
        <v/>
      </c>
      <c r="N1282" s="3">
        <f>IF(ORIG!N1282=0,"",ORIG!N1282)</f>
        <v/>
      </c>
      <c r="O1282" s="3">
        <f>IF(ORIG!O1282=0,"",ORIG!O1282)</f>
        <v/>
      </c>
      <c r="P1282" s="3">
        <f>IF(ORIG!P1282=0,"",ORIG!P1282)</f>
        <v/>
      </c>
      <c r="Q1282" s="3">
        <f>IF(ORIG!Q1282=0,"",ORIG!Q1282)</f>
        <v/>
      </c>
      <c r="R1282" s="3">
        <f>IF(ORIG!R1282=0,"",ORIG!R1282)</f>
        <v/>
      </c>
      <c r="S1282" s="3">
        <f>IF(ORIG!S1282=0,"",ORIG!S1282)</f>
        <v/>
      </c>
      <c r="T1282" s="3">
        <f>IF(ORIG!T1282=0,"",ORIG!T1282)</f>
        <v/>
      </c>
      <c r="U1282" s="3">
        <f>IF(ORIG!U1282=0,"",ORIG!U1282)</f>
        <v/>
      </c>
      <c r="V1282" s="9">
        <f>IF(ORIG!V1282=0,"",ORIG!V1282)</f>
        <v/>
      </c>
      <c r="W1282" s="9">
        <f>IF(ORIG!W1282=0,"",ORIG!W1282)</f>
        <v/>
      </c>
      <c r="X1282" s="9">
        <f>IF(ORIG!X1282=0,"",ORIG!X1282)</f>
        <v/>
      </c>
      <c r="Y1282" s="9">
        <f>IF(ORIG!Y1282=0,"",ORIG!Y1282)</f>
        <v/>
      </c>
      <c r="Z1282" s="3">
        <f>SUMPRODUCT($B1282:$Y1282,$B$2649:$Y$2649)</f>
        <v/>
      </c>
      <c r="AA1282" s="3">
        <f>SUMPRODUCT($B1282:$Y1282,$B$2655:$Y$2655)</f>
        <v/>
      </c>
      <c r="AC1282" s="1">
        <f>A1282</f>
        <v/>
      </c>
      <c r="AD1282">
        <f>IF(ISNUMBER(V1282),V1282*($AB$1/V$2635),"")</f>
        <v/>
      </c>
      <c r="AE1282">
        <f>IF(ISNUMBER(Z1282),Z1282*($AB$1/Z$2635),"")</f>
        <v/>
      </c>
      <c r="AF1282" s="25">
        <f>IF(ISNUMBER(AD1282+AE1282),AD1282+AE1282,"")</f>
        <v/>
      </c>
      <c r="AH1282" s="1">
        <f>A1282</f>
        <v/>
      </c>
      <c r="AI1282">
        <f>IF(ISNUMBER((1+V1282)*AI1281),(1+V1282)*AI1281,AI1281)</f>
        <v/>
      </c>
      <c r="AJ1282">
        <f>IF(ISNUMBER((1+Z1282)*AJ1281),(1+Z1282)*AJ1281,AJ1281)</f>
        <v/>
      </c>
    </row>
    <row r="1283">
      <c r="A1283" s="1" t="n">
        <v>43865</v>
      </c>
      <c r="B1283" s="3">
        <f>IF(ORIG!B1283=0,"",ORIG!B1283)</f>
        <v/>
      </c>
      <c r="C1283" s="3">
        <f>IF(ORIG!C1283=0,"",ORIG!C1283)</f>
        <v/>
      </c>
      <c r="D1283" s="3">
        <f>IF(ORIG!D1283=0,"",ORIG!D1283)</f>
        <v/>
      </c>
      <c r="E1283" s="3">
        <f>IF(ORIG!E1283=0,"",ORIG!E1283)</f>
        <v/>
      </c>
      <c r="F1283" s="3">
        <f>IF(ORIG!F1283=0,"",ORIG!F1283)</f>
        <v/>
      </c>
      <c r="G1283" s="3">
        <f>IF(ORIG!G1283=0,"",ORIG!G1283)</f>
        <v/>
      </c>
      <c r="H1283" s="3">
        <f>IF(ORIG!H1283=0,"",ORIG!H1283)</f>
        <v/>
      </c>
      <c r="I1283" s="3">
        <f>IF(ORIG!I1283=0,"",ORIG!I1283)</f>
        <v/>
      </c>
      <c r="J1283" s="3">
        <f>IF(ORIG!J1283=0,"",ORIG!J1283)</f>
        <v/>
      </c>
      <c r="K1283" s="3">
        <f>IF(ORIG!K1283=0,"",ORIG!K1283)</f>
        <v/>
      </c>
      <c r="L1283" s="3">
        <f>IF(ORIG!L1283=0,"",ORIG!L1283)</f>
        <v/>
      </c>
      <c r="M1283" s="3">
        <f>IF(ORIG!M1283=0,"",ORIG!M1283)</f>
        <v/>
      </c>
      <c r="N1283" s="3">
        <f>IF(ORIG!N1283=0,"",ORIG!N1283)</f>
        <v/>
      </c>
      <c r="O1283" s="3">
        <f>IF(ORIG!O1283=0,"",ORIG!O1283)</f>
        <v/>
      </c>
      <c r="P1283" s="3">
        <f>IF(ORIG!P1283=0,"",ORIG!P1283)</f>
        <v/>
      </c>
      <c r="Q1283" s="3">
        <f>IF(ORIG!Q1283=0,"",ORIG!Q1283)</f>
        <v/>
      </c>
      <c r="R1283" s="3">
        <f>IF(ORIG!R1283=0,"",ORIG!R1283)</f>
        <v/>
      </c>
      <c r="S1283" s="3">
        <f>IF(ORIG!S1283=0,"",ORIG!S1283)</f>
        <v/>
      </c>
      <c r="T1283" s="3">
        <f>IF(ORIG!T1283=0,"",ORIG!T1283)</f>
        <v/>
      </c>
      <c r="U1283" s="3">
        <f>IF(ORIG!U1283=0,"",ORIG!U1283)</f>
        <v/>
      </c>
      <c r="V1283" s="9">
        <f>IF(ORIG!V1283=0,"",ORIG!V1283)</f>
        <v/>
      </c>
      <c r="W1283" s="9">
        <f>IF(ORIG!W1283=0,"",ORIG!W1283)</f>
        <v/>
      </c>
      <c r="X1283" s="9">
        <f>IF(ORIG!X1283=0,"",ORIG!X1283)</f>
        <v/>
      </c>
      <c r="Y1283" s="9">
        <f>IF(ORIG!Y1283=0,"",ORIG!Y1283)</f>
        <v/>
      </c>
      <c r="Z1283" s="3">
        <f>SUMPRODUCT($B1283:$Y1283,$B$2649:$Y$2649)</f>
        <v/>
      </c>
      <c r="AA1283" s="3">
        <f>SUMPRODUCT($B1283:$Y1283,$B$2655:$Y$2655)</f>
        <v/>
      </c>
      <c r="AC1283" s="1">
        <f>A1283</f>
        <v/>
      </c>
      <c r="AD1283">
        <f>IF(ISNUMBER(V1283),V1283*($AB$1/V$2635),"")</f>
        <v/>
      </c>
      <c r="AE1283">
        <f>IF(ISNUMBER(Z1283),Z1283*($AB$1/Z$2635),"")</f>
        <v/>
      </c>
      <c r="AF1283" s="25">
        <f>IF(ISNUMBER(AD1283+AE1283),AD1283+AE1283,"")</f>
        <v/>
      </c>
      <c r="AH1283" s="1">
        <f>A1283</f>
        <v/>
      </c>
      <c r="AI1283">
        <f>IF(ISNUMBER((1+V1283)*AI1282),(1+V1283)*AI1282,AI1282)</f>
        <v/>
      </c>
      <c r="AJ1283">
        <f>IF(ISNUMBER((1+Z1283)*AJ1282),(1+Z1283)*AJ1282,AJ1282)</f>
        <v/>
      </c>
    </row>
    <row r="1284">
      <c r="A1284" s="1" t="n">
        <v>43866</v>
      </c>
      <c r="B1284" s="3">
        <f>IF(ORIG!B1284=0,"",ORIG!B1284)</f>
        <v/>
      </c>
      <c r="C1284" s="3">
        <f>IF(ORIG!C1284=0,"",ORIG!C1284)</f>
        <v/>
      </c>
      <c r="D1284" s="3">
        <f>IF(ORIG!D1284=0,"",ORIG!D1284)</f>
        <v/>
      </c>
      <c r="E1284" s="3">
        <f>IF(ORIG!E1284=0,"",ORIG!E1284)</f>
        <v/>
      </c>
      <c r="F1284" s="3">
        <f>IF(ORIG!F1284=0,"",ORIG!F1284)</f>
        <v/>
      </c>
      <c r="G1284" s="3">
        <f>IF(ORIG!G1284=0,"",ORIG!G1284)</f>
        <v/>
      </c>
      <c r="H1284" s="3">
        <f>IF(ORIG!H1284=0,"",ORIG!H1284)</f>
        <v/>
      </c>
      <c r="I1284" s="3">
        <f>IF(ORIG!I1284=0,"",ORIG!I1284)</f>
        <v/>
      </c>
      <c r="J1284" s="3">
        <f>IF(ORIG!J1284=0,"",ORIG!J1284)</f>
        <v/>
      </c>
      <c r="K1284" s="3">
        <f>IF(ORIG!K1284=0,"",ORIG!K1284)</f>
        <v/>
      </c>
      <c r="L1284" s="3">
        <f>IF(ORIG!L1284=0,"",ORIG!L1284)</f>
        <v/>
      </c>
      <c r="M1284" s="3">
        <f>IF(ORIG!M1284=0,"",ORIG!M1284)</f>
        <v/>
      </c>
      <c r="N1284" s="3">
        <f>IF(ORIG!N1284=0,"",ORIG!N1284)</f>
        <v/>
      </c>
      <c r="O1284" s="3">
        <f>IF(ORIG!O1284=0,"",ORIG!O1284)</f>
        <v/>
      </c>
      <c r="P1284" s="3">
        <f>IF(ORIG!P1284=0,"",ORIG!P1284)</f>
        <v/>
      </c>
      <c r="Q1284" s="3">
        <f>IF(ORIG!Q1284=0,"",ORIG!Q1284)</f>
        <v/>
      </c>
      <c r="R1284" s="3">
        <f>IF(ORIG!R1284=0,"",ORIG!R1284)</f>
        <v/>
      </c>
      <c r="S1284" s="3">
        <f>IF(ORIG!S1284=0,"",ORIG!S1284)</f>
        <v/>
      </c>
      <c r="T1284" s="3">
        <f>IF(ORIG!T1284=0,"",ORIG!T1284)</f>
        <v/>
      </c>
      <c r="U1284" s="3">
        <f>IF(ORIG!U1284=0,"",ORIG!U1284)</f>
        <v/>
      </c>
      <c r="V1284" s="9">
        <f>IF(ORIG!V1284=0,"",ORIG!V1284)</f>
        <v/>
      </c>
      <c r="W1284" s="9">
        <f>IF(ORIG!W1284=0,"",ORIG!W1284)</f>
        <v/>
      </c>
      <c r="X1284" s="9">
        <f>IF(ORIG!X1284=0,"",ORIG!X1284)</f>
        <v/>
      </c>
      <c r="Y1284" s="9">
        <f>IF(ORIG!Y1284=0,"",ORIG!Y1284)</f>
        <v/>
      </c>
      <c r="Z1284" s="3">
        <f>SUMPRODUCT($B1284:$Y1284,$B$2649:$Y$2649)</f>
        <v/>
      </c>
      <c r="AA1284" s="3">
        <f>SUMPRODUCT($B1284:$Y1284,$B$2655:$Y$2655)</f>
        <v/>
      </c>
      <c r="AC1284" s="1">
        <f>A1284</f>
        <v/>
      </c>
      <c r="AD1284">
        <f>IF(ISNUMBER(V1284),V1284*($AB$1/V$2635),"")</f>
        <v/>
      </c>
      <c r="AE1284">
        <f>IF(ISNUMBER(Z1284),Z1284*($AB$1/Z$2635),"")</f>
        <v/>
      </c>
      <c r="AF1284" s="25">
        <f>IF(ISNUMBER(AD1284+AE1284),AD1284+AE1284,"")</f>
        <v/>
      </c>
      <c r="AH1284" s="1">
        <f>A1284</f>
        <v/>
      </c>
      <c r="AI1284">
        <f>IF(ISNUMBER((1+V1284)*AI1283),(1+V1284)*AI1283,AI1283)</f>
        <v/>
      </c>
      <c r="AJ1284">
        <f>IF(ISNUMBER((1+Z1284)*AJ1283),(1+Z1284)*AJ1283,AJ1283)</f>
        <v/>
      </c>
    </row>
    <row r="1285">
      <c r="A1285" s="1" t="n">
        <v>43867</v>
      </c>
      <c r="B1285" s="3">
        <f>IF(ORIG!B1285=0,"",ORIG!B1285)</f>
        <v/>
      </c>
      <c r="C1285" s="3">
        <f>IF(ORIG!C1285=0,"",ORIG!C1285)</f>
        <v/>
      </c>
      <c r="D1285" s="3">
        <f>IF(ORIG!D1285=0,"",ORIG!D1285)</f>
        <v/>
      </c>
      <c r="E1285" s="3">
        <f>IF(ORIG!E1285=0,"",ORIG!E1285)</f>
        <v/>
      </c>
      <c r="F1285" s="3">
        <f>IF(ORIG!F1285=0,"",ORIG!F1285)</f>
        <v/>
      </c>
      <c r="G1285" s="3">
        <f>IF(ORIG!G1285=0,"",ORIG!G1285)</f>
        <v/>
      </c>
      <c r="H1285" s="3">
        <f>IF(ORIG!H1285=0,"",ORIG!H1285)</f>
        <v/>
      </c>
      <c r="I1285" s="3">
        <f>IF(ORIG!I1285=0,"",ORIG!I1285)</f>
        <v/>
      </c>
      <c r="J1285" s="3">
        <f>IF(ORIG!J1285=0,"",ORIG!J1285)</f>
        <v/>
      </c>
      <c r="K1285" s="3">
        <f>IF(ORIG!K1285=0,"",ORIG!K1285)</f>
        <v/>
      </c>
      <c r="L1285" s="3">
        <f>IF(ORIG!L1285=0,"",ORIG!L1285)</f>
        <v/>
      </c>
      <c r="M1285" s="3">
        <f>IF(ORIG!M1285=0,"",ORIG!M1285)</f>
        <v/>
      </c>
      <c r="N1285" s="3">
        <f>IF(ORIG!N1285=0,"",ORIG!N1285)</f>
        <v/>
      </c>
      <c r="O1285" s="3">
        <f>IF(ORIG!O1285=0,"",ORIG!O1285)</f>
        <v/>
      </c>
      <c r="P1285" s="3">
        <f>IF(ORIG!P1285=0,"",ORIG!P1285)</f>
        <v/>
      </c>
      <c r="Q1285" s="3">
        <f>IF(ORIG!Q1285=0,"",ORIG!Q1285)</f>
        <v/>
      </c>
      <c r="R1285" s="3">
        <f>IF(ORIG!R1285=0,"",ORIG!R1285)</f>
        <v/>
      </c>
      <c r="S1285" s="3">
        <f>IF(ORIG!S1285=0,"",ORIG!S1285)</f>
        <v/>
      </c>
      <c r="T1285" s="3">
        <f>IF(ORIG!T1285=0,"",ORIG!T1285)</f>
        <v/>
      </c>
      <c r="U1285" s="3">
        <f>IF(ORIG!U1285=0,"",ORIG!U1285)</f>
        <v/>
      </c>
      <c r="V1285" s="9">
        <f>IF(ORIG!V1285=0,"",ORIG!V1285)</f>
        <v/>
      </c>
      <c r="W1285" s="9">
        <f>IF(ORIG!W1285=0,"",ORIG!W1285)</f>
        <v/>
      </c>
      <c r="X1285" s="9">
        <f>IF(ORIG!X1285=0,"",ORIG!X1285)</f>
        <v/>
      </c>
      <c r="Y1285" s="9">
        <f>IF(ORIG!Y1285=0,"",ORIG!Y1285)</f>
        <v/>
      </c>
      <c r="Z1285" s="3">
        <f>SUMPRODUCT($B1285:$Y1285,$B$2649:$Y$2649)</f>
        <v/>
      </c>
      <c r="AA1285" s="3">
        <f>SUMPRODUCT($B1285:$Y1285,$B$2655:$Y$2655)</f>
        <v/>
      </c>
      <c r="AC1285" s="1">
        <f>A1285</f>
        <v/>
      </c>
      <c r="AD1285">
        <f>IF(ISNUMBER(V1285),V1285*($AB$1/V$2635),"")</f>
        <v/>
      </c>
      <c r="AE1285">
        <f>IF(ISNUMBER(Z1285),Z1285*($AB$1/Z$2635),"")</f>
        <v/>
      </c>
      <c r="AF1285" s="25">
        <f>IF(ISNUMBER(AD1285+AE1285),AD1285+AE1285,"")</f>
        <v/>
      </c>
      <c r="AH1285" s="1">
        <f>A1285</f>
        <v/>
      </c>
      <c r="AI1285">
        <f>IF(ISNUMBER((1+V1285)*AI1284),(1+V1285)*AI1284,AI1284)</f>
        <v/>
      </c>
      <c r="AJ1285">
        <f>IF(ISNUMBER((1+Z1285)*AJ1284),(1+Z1285)*AJ1284,AJ1284)</f>
        <v/>
      </c>
    </row>
    <row r="1286">
      <c r="A1286" s="1" t="n">
        <v>43868</v>
      </c>
      <c r="B1286" s="3">
        <f>IF(ORIG!B1286=0,"",ORIG!B1286)</f>
        <v/>
      </c>
      <c r="C1286" s="3">
        <f>IF(ORIG!C1286=0,"",ORIG!C1286)</f>
        <v/>
      </c>
      <c r="D1286" s="3">
        <f>IF(ORIG!D1286=0,"",ORIG!D1286)</f>
        <v/>
      </c>
      <c r="E1286" s="3">
        <f>IF(ORIG!E1286=0,"",ORIG!E1286)</f>
        <v/>
      </c>
      <c r="F1286" s="3">
        <f>IF(ORIG!F1286=0,"",ORIG!F1286)</f>
        <v/>
      </c>
      <c r="G1286" s="3">
        <f>IF(ORIG!G1286=0,"",ORIG!G1286)</f>
        <v/>
      </c>
      <c r="H1286" s="3">
        <f>IF(ORIG!H1286=0,"",ORIG!H1286)</f>
        <v/>
      </c>
      <c r="I1286" s="3">
        <f>IF(ORIG!I1286=0,"",ORIG!I1286)</f>
        <v/>
      </c>
      <c r="J1286" s="3">
        <f>IF(ORIG!J1286=0,"",ORIG!J1286)</f>
        <v/>
      </c>
      <c r="K1286" s="3">
        <f>IF(ORIG!K1286=0,"",ORIG!K1286)</f>
        <v/>
      </c>
      <c r="L1286" s="3">
        <f>IF(ORIG!L1286=0,"",ORIG!L1286)</f>
        <v/>
      </c>
      <c r="M1286" s="3">
        <f>IF(ORIG!M1286=0,"",ORIG!M1286)</f>
        <v/>
      </c>
      <c r="N1286" s="3">
        <f>IF(ORIG!N1286=0,"",ORIG!N1286)</f>
        <v/>
      </c>
      <c r="O1286" s="3">
        <f>IF(ORIG!O1286=0,"",ORIG!O1286)</f>
        <v/>
      </c>
      <c r="P1286" s="3">
        <f>IF(ORIG!P1286=0,"",ORIG!P1286)</f>
        <v/>
      </c>
      <c r="Q1286" s="3">
        <f>IF(ORIG!Q1286=0,"",ORIG!Q1286)</f>
        <v/>
      </c>
      <c r="R1286" s="3">
        <f>IF(ORIG!R1286=0,"",ORIG!R1286)</f>
        <v/>
      </c>
      <c r="S1286" s="3">
        <f>IF(ORIG!S1286=0,"",ORIG!S1286)</f>
        <v/>
      </c>
      <c r="T1286" s="3">
        <f>IF(ORIG!T1286=0,"",ORIG!T1286)</f>
        <v/>
      </c>
      <c r="U1286" s="3">
        <f>IF(ORIG!U1286=0,"",ORIG!U1286)</f>
        <v/>
      </c>
      <c r="V1286" s="9">
        <f>IF(ORIG!V1286=0,"",ORIG!V1286)</f>
        <v/>
      </c>
      <c r="W1286" s="9">
        <f>IF(ORIG!W1286=0,"",ORIG!W1286)</f>
        <v/>
      </c>
      <c r="X1286" s="9">
        <f>IF(ORIG!X1286=0,"",ORIG!X1286)</f>
        <v/>
      </c>
      <c r="Y1286" s="9">
        <f>IF(ORIG!Y1286=0,"",ORIG!Y1286)</f>
        <v/>
      </c>
      <c r="Z1286" s="3">
        <f>SUMPRODUCT($B1286:$Y1286,$B$2649:$Y$2649)</f>
        <v/>
      </c>
      <c r="AA1286" s="3">
        <f>SUMPRODUCT($B1286:$Y1286,$B$2655:$Y$2655)</f>
        <v/>
      </c>
      <c r="AC1286" s="1">
        <f>A1286</f>
        <v/>
      </c>
      <c r="AD1286">
        <f>IF(ISNUMBER(V1286),V1286*($AB$1/V$2635),"")</f>
        <v/>
      </c>
      <c r="AE1286">
        <f>IF(ISNUMBER(Z1286),Z1286*($AB$1/Z$2635),"")</f>
        <v/>
      </c>
      <c r="AF1286" s="25">
        <f>IF(ISNUMBER(AD1286+AE1286),AD1286+AE1286,"")</f>
        <v/>
      </c>
      <c r="AH1286" s="1">
        <f>A1286</f>
        <v/>
      </c>
      <c r="AI1286">
        <f>IF(ISNUMBER((1+V1286)*AI1285),(1+V1286)*AI1285,AI1285)</f>
        <v/>
      </c>
      <c r="AJ1286">
        <f>IF(ISNUMBER((1+Z1286)*AJ1285),(1+Z1286)*AJ1285,AJ1285)</f>
        <v/>
      </c>
    </row>
    <row r="1287">
      <c r="A1287" s="1" t="n">
        <v>43871</v>
      </c>
      <c r="B1287" s="3">
        <f>IF(ORIG!B1287=0,"",ORIG!B1287)</f>
        <v/>
      </c>
      <c r="C1287" s="3">
        <f>IF(ORIG!C1287=0,"",ORIG!C1287)</f>
        <v/>
      </c>
      <c r="D1287" s="3">
        <f>IF(ORIG!D1287=0,"",ORIG!D1287)</f>
        <v/>
      </c>
      <c r="E1287" s="3">
        <f>IF(ORIG!E1287=0,"",ORIG!E1287)</f>
        <v/>
      </c>
      <c r="F1287" s="3">
        <f>IF(ORIG!F1287=0,"",ORIG!F1287)</f>
        <v/>
      </c>
      <c r="G1287" s="3">
        <f>IF(ORIG!G1287=0,"",ORIG!G1287)</f>
        <v/>
      </c>
      <c r="H1287" s="3">
        <f>IF(ORIG!H1287=0,"",ORIG!H1287)</f>
        <v/>
      </c>
      <c r="I1287" s="3">
        <f>IF(ORIG!I1287=0,"",ORIG!I1287)</f>
        <v/>
      </c>
      <c r="J1287" s="3">
        <f>IF(ORIG!J1287=0,"",ORIG!J1287)</f>
        <v/>
      </c>
      <c r="K1287" s="3">
        <f>IF(ORIG!K1287=0,"",ORIG!K1287)</f>
        <v/>
      </c>
      <c r="L1287" s="3">
        <f>IF(ORIG!L1287=0,"",ORIG!L1287)</f>
        <v/>
      </c>
      <c r="M1287" s="3">
        <f>IF(ORIG!M1287=0,"",ORIG!M1287)</f>
        <v/>
      </c>
      <c r="N1287" s="3">
        <f>IF(ORIG!N1287=0,"",ORIG!N1287)</f>
        <v/>
      </c>
      <c r="O1287" s="3">
        <f>IF(ORIG!O1287=0,"",ORIG!O1287)</f>
        <v/>
      </c>
      <c r="P1287" s="3">
        <f>IF(ORIG!P1287=0,"",ORIG!P1287)</f>
        <v/>
      </c>
      <c r="Q1287" s="3">
        <f>IF(ORIG!Q1287=0,"",ORIG!Q1287)</f>
        <v/>
      </c>
      <c r="R1287" s="3">
        <f>IF(ORIG!R1287=0,"",ORIG!R1287)</f>
        <v/>
      </c>
      <c r="S1287" s="3">
        <f>IF(ORIG!S1287=0,"",ORIG!S1287)</f>
        <v/>
      </c>
      <c r="T1287" s="3">
        <f>IF(ORIG!T1287=0,"",ORIG!T1287)</f>
        <v/>
      </c>
      <c r="U1287" s="3">
        <f>IF(ORIG!U1287=0,"",ORIG!U1287)</f>
        <v/>
      </c>
      <c r="V1287" s="9">
        <f>IF(ORIG!V1287=0,"",ORIG!V1287)</f>
        <v/>
      </c>
      <c r="W1287" s="9">
        <f>IF(ORIG!W1287=0,"",ORIG!W1287)</f>
        <v/>
      </c>
      <c r="X1287" s="9">
        <f>IF(ORIG!X1287=0,"",ORIG!X1287)</f>
        <v/>
      </c>
      <c r="Y1287" s="9">
        <f>IF(ORIG!Y1287=0,"",ORIG!Y1287)</f>
        <v/>
      </c>
      <c r="Z1287" s="3">
        <f>SUMPRODUCT($B1287:$Y1287,$B$2649:$Y$2649)</f>
        <v/>
      </c>
      <c r="AA1287" s="3">
        <f>SUMPRODUCT($B1287:$Y1287,$B$2655:$Y$2655)</f>
        <v/>
      </c>
      <c r="AC1287" s="1">
        <f>A1287</f>
        <v/>
      </c>
      <c r="AD1287">
        <f>IF(ISNUMBER(V1287),V1287*($AB$1/V$2635),"")</f>
        <v/>
      </c>
      <c r="AE1287">
        <f>IF(ISNUMBER(Z1287),Z1287*($AB$1/Z$2635),"")</f>
        <v/>
      </c>
      <c r="AF1287" s="25">
        <f>IF(ISNUMBER(AD1287+AE1287),AD1287+AE1287,"")</f>
        <v/>
      </c>
      <c r="AH1287" s="1">
        <f>A1287</f>
        <v/>
      </c>
      <c r="AI1287">
        <f>IF(ISNUMBER((1+V1287)*AI1286),(1+V1287)*AI1286,AI1286)</f>
        <v/>
      </c>
      <c r="AJ1287">
        <f>IF(ISNUMBER((1+Z1287)*AJ1286),(1+Z1287)*AJ1286,AJ1286)</f>
        <v/>
      </c>
    </row>
    <row r="1288">
      <c r="A1288" s="1" t="n">
        <v>43872</v>
      </c>
      <c r="B1288" s="3">
        <f>IF(ORIG!B1288=0,"",ORIG!B1288)</f>
        <v/>
      </c>
      <c r="C1288" s="3">
        <f>IF(ORIG!C1288=0,"",ORIG!C1288)</f>
        <v/>
      </c>
      <c r="D1288" s="3">
        <f>IF(ORIG!D1288=0,"",ORIG!D1288)</f>
        <v/>
      </c>
      <c r="E1288" s="3">
        <f>IF(ORIG!E1288=0,"",ORIG!E1288)</f>
        <v/>
      </c>
      <c r="F1288" s="3">
        <f>IF(ORIG!F1288=0,"",ORIG!F1288)</f>
        <v/>
      </c>
      <c r="G1288" s="3">
        <f>IF(ORIG!G1288=0,"",ORIG!G1288)</f>
        <v/>
      </c>
      <c r="H1288" s="3">
        <f>IF(ORIG!H1288=0,"",ORIG!H1288)</f>
        <v/>
      </c>
      <c r="I1288" s="3">
        <f>IF(ORIG!I1288=0,"",ORIG!I1288)</f>
        <v/>
      </c>
      <c r="J1288" s="3">
        <f>IF(ORIG!J1288=0,"",ORIG!J1288)</f>
        <v/>
      </c>
      <c r="K1288" s="3">
        <f>IF(ORIG!K1288=0,"",ORIG!K1288)</f>
        <v/>
      </c>
      <c r="L1288" s="3">
        <f>IF(ORIG!L1288=0,"",ORIG!L1288)</f>
        <v/>
      </c>
      <c r="M1288" s="3">
        <f>IF(ORIG!M1288=0,"",ORIG!M1288)</f>
        <v/>
      </c>
      <c r="N1288" s="3">
        <f>IF(ORIG!N1288=0,"",ORIG!N1288)</f>
        <v/>
      </c>
      <c r="O1288" s="3">
        <f>IF(ORIG!O1288=0,"",ORIG!O1288)</f>
        <v/>
      </c>
      <c r="P1288" s="3">
        <f>IF(ORIG!P1288=0,"",ORIG!P1288)</f>
        <v/>
      </c>
      <c r="Q1288" s="3">
        <f>IF(ORIG!Q1288=0,"",ORIG!Q1288)</f>
        <v/>
      </c>
      <c r="R1288" s="3">
        <f>IF(ORIG!R1288=0,"",ORIG!R1288)</f>
        <v/>
      </c>
      <c r="S1288" s="3">
        <f>IF(ORIG!S1288=0,"",ORIG!S1288)</f>
        <v/>
      </c>
      <c r="T1288" s="3">
        <f>IF(ORIG!T1288=0,"",ORIG!T1288)</f>
        <v/>
      </c>
      <c r="U1288" s="3">
        <f>IF(ORIG!U1288=0,"",ORIG!U1288)</f>
        <v/>
      </c>
      <c r="V1288" s="9">
        <f>IF(ORIG!V1288=0,"",ORIG!V1288)</f>
        <v/>
      </c>
      <c r="W1288" s="9">
        <f>IF(ORIG!W1288=0,"",ORIG!W1288)</f>
        <v/>
      </c>
      <c r="X1288" s="9">
        <f>IF(ORIG!X1288=0,"",ORIG!X1288)</f>
        <v/>
      </c>
      <c r="Y1288" s="9">
        <f>IF(ORIG!Y1288=0,"",ORIG!Y1288)</f>
        <v/>
      </c>
      <c r="Z1288" s="3">
        <f>SUMPRODUCT($B1288:$Y1288,$B$2649:$Y$2649)</f>
        <v/>
      </c>
      <c r="AA1288" s="3">
        <f>SUMPRODUCT($B1288:$Y1288,$B$2655:$Y$2655)</f>
        <v/>
      </c>
      <c r="AC1288" s="1">
        <f>A1288</f>
        <v/>
      </c>
      <c r="AD1288">
        <f>IF(ISNUMBER(V1288),V1288*($AB$1/V$2635),"")</f>
        <v/>
      </c>
      <c r="AE1288">
        <f>IF(ISNUMBER(Z1288),Z1288*($AB$1/Z$2635),"")</f>
        <v/>
      </c>
      <c r="AF1288" s="25">
        <f>IF(ISNUMBER(AD1288+AE1288),AD1288+AE1288,"")</f>
        <v/>
      </c>
      <c r="AH1288" s="1">
        <f>A1288</f>
        <v/>
      </c>
      <c r="AI1288">
        <f>IF(ISNUMBER((1+V1288)*AI1287),(1+V1288)*AI1287,AI1287)</f>
        <v/>
      </c>
      <c r="AJ1288">
        <f>IF(ISNUMBER((1+Z1288)*AJ1287),(1+Z1288)*AJ1287,AJ1287)</f>
        <v/>
      </c>
    </row>
    <row r="1289">
      <c r="A1289" s="1" t="n">
        <v>43873</v>
      </c>
      <c r="B1289" s="3">
        <f>IF(ORIG!B1289=0,"",ORIG!B1289)</f>
        <v/>
      </c>
      <c r="C1289" s="3">
        <f>IF(ORIG!C1289=0,"",ORIG!C1289)</f>
        <v/>
      </c>
      <c r="D1289" s="3">
        <f>IF(ORIG!D1289=0,"",ORIG!D1289)</f>
        <v/>
      </c>
      <c r="E1289" s="3">
        <f>IF(ORIG!E1289=0,"",ORIG!E1289)</f>
        <v/>
      </c>
      <c r="F1289" s="3">
        <f>IF(ORIG!F1289=0,"",ORIG!F1289)</f>
        <v/>
      </c>
      <c r="G1289" s="3">
        <f>IF(ORIG!G1289=0,"",ORIG!G1289)</f>
        <v/>
      </c>
      <c r="H1289" s="3">
        <f>IF(ORIG!H1289=0,"",ORIG!H1289)</f>
        <v/>
      </c>
      <c r="I1289" s="3">
        <f>IF(ORIG!I1289=0,"",ORIG!I1289)</f>
        <v/>
      </c>
      <c r="J1289" s="3">
        <f>IF(ORIG!J1289=0,"",ORIG!J1289)</f>
        <v/>
      </c>
      <c r="K1289" s="3">
        <f>IF(ORIG!K1289=0,"",ORIG!K1289)</f>
        <v/>
      </c>
      <c r="L1289" s="3">
        <f>IF(ORIG!L1289=0,"",ORIG!L1289)</f>
        <v/>
      </c>
      <c r="M1289" s="3">
        <f>IF(ORIG!M1289=0,"",ORIG!M1289)</f>
        <v/>
      </c>
      <c r="N1289" s="3">
        <f>IF(ORIG!N1289=0,"",ORIG!N1289)</f>
        <v/>
      </c>
      <c r="O1289" s="3">
        <f>IF(ORIG!O1289=0,"",ORIG!O1289)</f>
        <v/>
      </c>
      <c r="P1289" s="3">
        <f>IF(ORIG!P1289=0,"",ORIG!P1289)</f>
        <v/>
      </c>
      <c r="Q1289" s="3">
        <f>IF(ORIG!Q1289=0,"",ORIG!Q1289)</f>
        <v/>
      </c>
      <c r="R1289" s="3">
        <f>IF(ORIG!R1289=0,"",ORIG!R1289)</f>
        <v/>
      </c>
      <c r="S1289" s="3">
        <f>IF(ORIG!S1289=0,"",ORIG!S1289)</f>
        <v/>
      </c>
      <c r="T1289" s="3">
        <f>IF(ORIG!T1289=0,"",ORIG!T1289)</f>
        <v/>
      </c>
      <c r="U1289" s="3">
        <f>IF(ORIG!U1289=0,"",ORIG!U1289)</f>
        <v/>
      </c>
      <c r="V1289" s="9">
        <f>IF(ORIG!V1289=0,"",ORIG!V1289)</f>
        <v/>
      </c>
      <c r="W1289" s="9">
        <f>IF(ORIG!W1289=0,"",ORIG!W1289)</f>
        <v/>
      </c>
      <c r="X1289" s="9">
        <f>IF(ORIG!X1289=0,"",ORIG!X1289)</f>
        <v/>
      </c>
      <c r="Y1289" s="9">
        <f>IF(ORIG!Y1289=0,"",ORIG!Y1289)</f>
        <v/>
      </c>
      <c r="Z1289" s="3">
        <f>SUMPRODUCT($B1289:$Y1289,$B$2649:$Y$2649)</f>
        <v/>
      </c>
      <c r="AA1289" s="3">
        <f>SUMPRODUCT($B1289:$Y1289,$B$2655:$Y$2655)</f>
        <v/>
      </c>
      <c r="AC1289" s="1">
        <f>A1289</f>
        <v/>
      </c>
      <c r="AD1289">
        <f>IF(ISNUMBER(V1289),V1289*($AB$1/V$2635),"")</f>
        <v/>
      </c>
      <c r="AE1289">
        <f>IF(ISNUMBER(Z1289),Z1289*($AB$1/Z$2635),"")</f>
        <v/>
      </c>
      <c r="AF1289" s="25">
        <f>IF(ISNUMBER(AD1289+AE1289),AD1289+AE1289,"")</f>
        <v/>
      </c>
      <c r="AH1289" s="1">
        <f>A1289</f>
        <v/>
      </c>
      <c r="AI1289">
        <f>IF(ISNUMBER((1+V1289)*AI1288),(1+V1289)*AI1288,AI1288)</f>
        <v/>
      </c>
      <c r="AJ1289">
        <f>IF(ISNUMBER((1+Z1289)*AJ1288),(1+Z1289)*AJ1288,AJ1288)</f>
        <v/>
      </c>
    </row>
    <row r="1290">
      <c r="A1290" s="1" t="n">
        <v>43874</v>
      </c>
      <c r="B1290" s="3">
        <f>IF(ORIG!B1290=0,"",ORIG!B1290)</f>
        <v/>
      </c>
      <c r="C1290" s="3">
        <f>IF(ORIG!C1290=0,"",ORIG!C1290)</f>
        <v/>
      </c>
      <c r="D1290" s="3">
        <f>IF(ORIG!D1290=0,"",ORIG!D1290)</f>
        <v/>
      </c>
      <c r="E1290" s="3">
        <f>IF(ORIG!E1290=0,"",ORIG!E1290)</f>
        <v/>
      </c>
      <c r="F1290" s="3">
        <f>IF(ORIG!F1290=0,"",ORIG!F1290)</f>
        <v/>
      </c>
      <c r="G1290" s="3">
        <f>IF(ORIG!G1290=0,"",ORIG!G1290)</f>
        <v/>
      </c>
      <c r="H1290" s="3">
        <f>IF(ORIG!H1290=0,"",ORIG!H1290)</f>
        <v/>
      </c>
      <c r="I1290" s="3">
        <f>IF(ORIG!I1290=0,"",ORIG!I1290)</f>
        <v/>
      </c>
      <c r="J1290" s="3">
        <f>IF(ORIG!J1290=0,"",ORIG!J1290)</f>
        <v/>
      </c>
      <c r="K1290" s="3">
        <f>IF(ORIG!K1290=0,"",ORIG!K1290)</f>
        <v/>
      </c>
      <c r="L1290" s="3">
        <f>IF(ORIG!L1290=0,"",ORIG!L1290)</f>
        <v/>
      </c>
      <c r="M1290" s="3">
        <f>IF(ORIG!M1290=0,"",ORIG!M1290)</f>
        <v/>
      </c>
      <c r="N1290" s="3">
        <f>IF(ORIG!N1290=0,"",ORIG!N1290)</f>
        <v/>
      </c>
      <c r="O1290" s="3">
        <f>IF(ORIG!O1290=0,"",ORIG!O1290)</f>
        <v/>
      </c>
      <c r="P1290" s="3">
        <f>IF(ORIG!P1290=0,"",ORIG!P1290)</f>
        <v/>
      </c>
      <c r="Q1290" s="3">
        <f>IF(ORIG!Q1290=0,"",ORIG!Q1290)</f>
        <v/>
      </c>
      <c r="R1290" s="3">
        <f>IF(ORIG!R1290=0,"",ORIG!R1290)</f>
        <v/>
      </c>
      <c r="S1290" s="3">
        <f>IF(ORIG!S1290=0,"",ORIG!S1290)</f>
        <v/>
      </c>
      <c r="T1290" s="3">
        <f>IF(ORIG!T1290=0,"",ORIG!T1290)</f>
        <v/>
      </c>
      <c r="U1290" s="3">
        <f>IF(ORIG!U1290=0,"",ORIG!U1290)</f>
        <v/>
      </c>
      <c r="V1290" s="9">
        <f>IF(ORIG!V1290=0,"",ORIG!V1290)</f>
        <v/>
      </c>
      <c r="W1290" s="9">
        <f>IF(ORIG!W1290=0,"",ORIG!W1290)</f>
        <v/>
      </c>
      <c r="X1290" s="9">
        <f>IF(ORIG!X1290=0,"",ORIG!X1290)</f>
        <v/>
      </c>
      <c r="Y1290" s="9">
        <f>IF(ORIG!Y1290=0,"",ORIG!Y1290)</f>
        <v/>
      </c>
      <c r="Z1290" s="3">
        <f>SUMPRODUCT($B1290:$Y1290,$B$2649:$Y$2649)</f>
        <v/>
      </c>
      <c r="AA1290" s="3">
        <f>SUMPRODUCT($B1290:$Y1290,$B$2655:$Y$2655)</f>
        <v/>
      </c>
      <c r="AC1290" s="1">
        <f>A1290</f>
        <v/>
      </c>
      <c r="AD1290">
        <f>IF(ISNUMBER(V1290),V1290*($AB$1/V$2635),"")</f>
        <v/>
      </c>
      <c r="AE1290">
        <f>IF(ISNUMBER(Z1290),Z1290*($AB$1/Z$2635),"")</f>
        <v/>
      </c>
      <c r="AF1290" s="25">
        <f>IF(ISNUMBER(AD1290+AE1290),AD1290+AE1290,"")</f>
        <v/>
      </c>
      <c r="AH1290" s="1">
        <f>A1290</f>
        <v/>
      </c>
      <c r="AI1290">
        <f>IF(ISNUMBER((1+V1290)*AI1289),(1+V1290)*AI1289,AI1289)</f>
        <v/>
      </c>
      <c r="AJ1290">
        <f>IF(ISNUMBER((1+Z1290)*AJ1289),(1+Z1290)*AJ1289,AJ1289)</f>
        <v/>
      </c>
    </row>
    <row r="1291">
      <c r="A1291" s="1" t="n">
        <v>43875</v>
      </c>
      <c r="B1291" s="3">
        <f>IF(ORIG!B1291=0,"",ORIG!B1291)</f>
        <v/>
      </c>
      <c r="C1291" s="3">
        <f>IF(ORIG!C1291=0,"",ORIG!C1291)</f>
        <v/>
      </c>
      <c r="D1291" s="3">
        <f>IF(ORIG!D1291=0,"",ORIG!D1291)</f>
        <v/>
      </c>
      <c r="E1291" s="3">
        <f>IF(ORIG!E1291=0,"",ORIG!E1291)</f>
        <v/>
      </c>
      <c r="F1291" s="3">
        <f>IF(ORIG!F1291=0,"",ORIG!F1291)</f>
        <v/>
      </c>
      <c r="G1291" s="3">
        <f>IF(ORIG!G1291=0,"",ORIG!G1291)</f>
        <v/>
      </c>
      <c r="H1291" s="3">
        <f>IF(ORIG!H1291=0,"",ORIG!H1291)</f>
        <v/>
      </c>
      <c r="I1291" s="3">
        <f>IF(ORIG!I1291=0,"",ORIG!I1291)</f>
        <v/>
      </c>
      <c r="J1291" s="3">
        <f>IF(ORIG!J1291=0,"",ORIG!J1291)</f>
        <v/>
      </c>
      <c r="K1291" s="3">
        <f>IF(ORIG!K1291=0,"",ORIG!K1291)</f>
        <v/>
      </c>
      <c r="L1291" s="3">
        <f>IF(ORIG!L1291=0,"",ORIG!L1291)</f>
        <v/>
      </c>
      <c r="M1291" s="3">
        <f>IF(ORIG!M1291=0,"",ORIG!M1291)</f>
        <v/>
      </c>
      <c r="N1291" s="3">
        <f>IF(ORIG!N1291=0,"",ORIG!N1291)</f>
        <v/>
      </c>
      <c r="O1291" s="3">
        <f>IF(ORIG!O1291=0,"",ORIG!O1291)</f>
        <v/>
      </c>
      <c r="P1291" s="3">
        <f>IF(ORIG!P1291=0,"",ORIG!P1291)</f>
        <v/>
      </c>
      <c r="Q1291" s="3">
        <f>IF(ORIG!Q1291=0,"",ORIG!Q1291)</f>
        <v/>
      </c>
      <c r="R1291" s="3">
        <f>IF(ORIG!R1291=0,"",ORIG!R1291)</f>
        <v/>
      </c>
      <c r="S1291" s="3">
        <f>IF(ORIG!S1291=0,"",ORIG!S1291)</f>
        <v/>
      </c>
      <c r="T1291" s="3">
        <f>IF(ORIG!T1291=0,"",ORIG!T1291)</f>
        <v/>
      </c>
      <c r="U1291" s="3">
        <f>IF(ORIG!U1291=0,"",ORIG!U1291)</f>
        <v/>
      </c>
      <c r="V1291" s="9">
        <f>IF(ORIG!V1291=0,"",ORIG!V1291)</f>
        <v/>
      </c>
      <c r="W1291" s="9">
        <f>IF(ORIG!W1291=0,"",ORIG!W1291)</f>
        <v/>
      </c>
      <c r="X1291" s="9">
        <f>IF(ORIG!X1291=0,"",ORIG!X1291)</f>
        <v/>
      </c>
      <c r="Y1291" s="9">
        <f>IF(ORIG!Y1291=0,"",ORIG!Y1291)</f>
        <v/>
      </c>
      <c r="Z1291" s="3">
        <f>SUMPRODUCT($B1291:$Y1291,$B$2649:$Y$2649)</f>
        <v/>
      </c>
      <c r="AA1291" s="3">
        <f>SUMPRODUCT($B1291:$Y1291,$B$2655:$Y$2655)</f>
        <v/>
      </c>
      <c r="AC1291" s="1">
        <f>A1291</f>
        <v/>
      </c>
      <c r="AD1291">
        <f>IF(ISNUMBER(V1291),V1291*($AB$1/V$2635),"")</f>
        <v/>
      </c>
      <c r="AE1291">
        <f>IF(ISNUMBER(Z1291),Z1291*($AB$1/Z$2635),"")</f>
        <v/>
      </c>
      <c r="AF1291" s="25">
        <f>IF(ISNUMBER(AD1291+AE1291),AD1291+AE1291,"")</f>
        <v/>
      </c>
      <c r="AH1291" s="1">
        <f>A1291</f>
        <v/>
      </c>
      <c r="AI1291">
        <f>IF(ISNUMBER((1+V1291)*AI1290),(1+V1291)*AI1290,AI1290)</f>
        <v/>
      </c>
      <c r="AJ1291">
        <f>IF(ISNUMBER((1+Z1291)*AJ1290),(1+Z1291)*AJ1290,AJ1290)</f>
        <v/>
      </c>
    </row>
    <row r="1292">
      <c r="A1292" s="1" t="n">
        <v>43879</v>
      </c>
      <c r="B1292" s="3">
        <f>IF(ORIG!B1292=0,"",ORIG!B1292)</f>
        <v/>
      </c>
      <c r="C1292" s="3">
        <f>IF(ORIG!C1292=0,"",ORIG!C1292)</f>
        <v/>
      </c>
      <c r="D1292" s="3">
        <f>IF(ORIG!D1292=0,"",ORIG!D1292)</f>
        <v/>
      </c>
      <c r="E1292" s="3">
        <f>IF(ORIG!E1292=0,"",ORIG!E1292)</f>
        <v/>
      </c>
      <c r="F1292" s="3">
        <f>IF(ORIG!F1292=0,"",ORIG!F1292)</f>
        <v/>
      </c>
      <c r="G1292" s="3">
        <f>IF(ORIG!G1292=0,"",ORIG!G1292)</f>
        <v/>
      </c>
      <c r="H1292" s="3">
        <f>IF(ORIG!H1292=0,"",ORIG!H1292)</f>
        <v/>
      </c>
      <c r="I1292" s="3">
        <f>IF(ORIG!I1292=0,"",ORIG!I1292)</f>
        <v/>
      </c>
      <c r="J1292" s="3">
        <f>IF(ORIG!J1292=0,"",ORIG!J1292)</f>
        <v/>
      </c>
      <c r="K1292" s="3">
        <f>IF(ORIG!K1292=0,"",ORIG!K1292)</f>
        <v/>
      </c>
      <c r="L1292" s="3">
        <f>IF(ORIG!L1292=0,"",ORIG!L1292)</f>
        <v/>
      </c>
      <c r="M1292" s="3">
        <f>IF(ORIG!M1292=0,"",ORIG!M1292)</f>
        <v/>
      </c>
      <c r="N1292" s="3">
        <f>IF(ORIG!N1292=0,"",ORIG!N1292)</f>
        <v/>
      </c>
      <c r="O1292" s="3">
        <f>IF(ORIG!O1292=0,"",ORIG!O1292)</f>
        <v/>
      </c>
      <c r="P1292" s="3">
        <f>IF(ORIG!P1292=0,"",ORIG!P1292)</f>
        <v/>
      </c>
      <c r="Q1292" s="3">
        <f>IF(ORIG!Q1292=0,"",ORIG!Q1292)</f>
        <v/>
      </c>
      <c r="R1292" s="3">
        <f>IF(ORIG!R1292=0,"",ORIG!R1292)</f>
        <v/>
      </c>
      <c r="S1292" s="3">
        <f>IF(ORIG!S1292=0,"",ORIG!S1292)</f>
        <v/>
      </c>
      <c r="T1292" s="3">
        <f>IF(ORIG!T1292=0,"",ORIG!T1292)</f>
        <v/>
      </c>
      <c r="U1292" s="3">
        <f>IF(ORIG!U1292=0,"",ORIG!U1292)</f>
        <v/>
      </c>
      <c r="V1292" s="9">
        <f>IF(ORIG!V1292=0,"",ORIG!V1292)</f>
        <v/>
      </c>
      <c r="W1292" s="9">
        <f>IF(ORIG!W1292=0,"",ORIG!W1292)</f>
        <v/>
      </c>
      <c r="X1292" s="9">
        <f>IF(ORIG!X1292=0,"",ORIG!X1292)</f>
        <v/>
      </c>
      <c r="Y1292" s="9">
        <f>IF(ORIG!Y1292=0,"",ORIG!Y1292)</f>
        <v/>
      </c>
      <c r="Z1292" s="3">
        <f>SUMPRODUCT($B1292:$Y1292,$B$2649:$Y$2649)</f>
        <v/>
      </c>
      <c r="AA1292" s="3">
        <f>SUMPRODUCT($B1292:$Y1292,$B$2655:$Y$2655)</f>
        <v/>
      </c>
      <c r="AC1292" s="1">
        <f>A1292</f>
        <v/>
      </c>
      <c r="AD1292">
        <f>IF(ISNUMBER(V1292),V1292*($AB$1/V$2635),"")</f>
        <v/>
      </c>
      <c r="AE1292">
        <f>IF(ISNUMBER(Z1292),Z1292*($AB$1/Z$2635),"")</f>
        <v/>
      </c>
      <c r="AF1292" s="25">
        <f>IF(ISNUMBER(AD1292+AE1292),AD1292+AE1292,"")</f>
        <v/>
      </c>
      <c r="AH1292" s="1">
        <f>A1292</f>
        <v/>
      </c>
      <c r="AI1292">
        <f>IF(ISNUMBER((1+V1292)*AI1291),(1+V1292)*AI1291,AI1291)</f>
        <v/>
      </c>
      <c r="AJ1292">
        <f>IF(ISNUMBER((1+Z1292)*AJ1291),(1+Z1292)*AJ1291,AJ1291)</f>
        <v/>
      </c>
    </row>
    <row r="1293">
      <c r="A1293" s="1" t="n">
        <v>43880</v>
      </c>
      <c r="B1293" s="3">
        <f>IF(ORIG!B1293=0,"",ORIG!B1293)</f>
        <v/>
      </c>
      <c r="C1293" s="3">
        <f>IF(ORIG!C1293=0,"",ORIG!C1293)</f>
        <v/>
      </c>
      <c r="D1293" s="3">
        <f>IF(ORIG!D1293=0,"",ORIG!D1293)</f>
        <v/>
      </c>
      <c r="E1293" s="3">
        <f>IF(ORIG!E1293=0,"",ORIG!E1293)</f>
        <v/>
      </c>
      <c r="F1293" s="3">
        <f>IF(ORIG!F1293=0,"",ORIG!F1293)</f>
        <v/>
      </c>
      <c r="G1293" s="3">
        <f>IF(ORIG!G1293=0,"",ORIG!G1293)</f>
        <v/>
      </c>
      <c r="H1293" s="3">
        <f>IF(ORIG!H1293=0,"",ORIG!H1293)</f>
        <v/>
      </c>
      <c r="I1293" s="3">
        <f>IF(ORIG!I1293=0,"",ORIG!I1293)</f>
        <v/>
      </c>
      <c r="J1293" s="3">
        <f>IF(ORIG!J1293=0,"",ORIG!J1293)</f>
        <v/>
      </c>
      <c r="K1293" s="3">
        <f>IF(ORIG!K1293=0,"",ORIG!K1293)</f>
        <v/>
      </c>
      <c r="L1293" s="3">
        <f>IF(ORIG!L1293=0,"",ORIG!L1293)</f>
        <v/>
      </c>
      <c r="M1293" s="3">
        <f>IF(ORIG!M1293=0,"",ORIG!M1293)</f>
        <v/>
      </c>
      <c r="N1293" s="3">
        <f>IF(ORIG!N1293=0,"",ORIG!N1293)</f>
        <v/>
      </c>
      <c r="O1293" s="3">
        <f>IF(ORIG!O1293=0,"",ORIG!O1293)</f>
        <v/>
      </c>
      <c r="P1293" s="3">
        <f>IF(ORIG!P1293=0,"",ORIG!P1293)</f>
        <v/>
      </c>
      <c r="Q1293" s="3">
        <f>IF(ORIG!Q1293=0,"",ORIG!Q1293)</f>
        <v/>
      </c>
      <c r="R1293" s="3">
        <f>IF(ORIG!R1293=0,"",ORIG!R1293)</f>
        <v/>
      </c>
      <c r="S1293" s="3">
        <f>IF(ORIG!S1293=0,"",ORIG!S1293)</f>
        <v/>
      </c>
      <c r="T1293" s="3">
        <f>IF(ORIG!T1293=0,"",ORIG!T1293)</f>
        <v/>
      </c>
      <c r="U1293" s="3">
        <f>IF(ORIG!U1293=0,"",ORIG!U1293)</f>
        <v/>
      </c>
      <c r="V1293" s="9">
        <f>IF(ORIG!V1293=0,"",ORIG!V1293)</f>
        <v/>
      </c>
      <c r="W1293" s="9">
        <f>IF(ORIG!W1293=0,"",ORIG!W1293)</f>
        <v/>
      </c>
      <c r="X1293" s="9">
        <f>IF(ORIG!X1293=0,"",ORIG!X1293)</f>
        <v/>
      </c>
      <c r="Y1293" s="9">
        <f>IF(ORIG!Y1293=0,"",ORIG!Y1293)</f>
        <v/>
      </c>
      <c r="Z1293" s="3">
        <f>SUMPRODUCT($B1293:$Y1293,$B$2649:$Y$2649)</f>
        <v/>
      </c>
      <c r="AA1293" s="3">
        <f>SUMPRODUCT($B1293:$Y1293,$B$2655:$Y$2655)</f>
        <v/>
      </c>
      <c r="AC1293" s="1">
        <f>A1293</f>
        <v/>
      </c>
      <c r="AD1293">
        <f>IF(ISNUMBER(V1293),V1293*($AB$1/V$2635),"")</f>
        <v/>
      </c>
      <c r="AE1293">
        <f>IF(ISNUMBER(Z1293),Z1293*($AB$1/Z$2635),"")</f>
        <v/>
      </c>
      <c r="AF1293" s="25">
        <f>IF(ISNUMBER(AD1293+AE1293),AD1293+AE1293,"")</f>
        <v/>
      </c>
      <c r="AH1293" s="1">
        <f>A1293</f>
        <v/>
      </c>
      <c r="AI1293">
        <f>IF(ISNUMBER((1+V1293)*AI1292),(1+V1293)*AI1292,AI1292)</f>
        <v/>
      </c>
      <c r="AJ1293">
        <f>IF(ISNUMBER((1+Z1293)*AJ1292),(1+Z1293)*AJ1292,AJ1292)</f>
        <v/>
      </c>
    </row>
    <row r="1294">
      <c r="A1294" s="1" t="n">
        <v>43881</v>
      </c>
      <c r="B1294" s="3">
        <f>IF(ORIG!B1294=0,"",ORIG!B1294)</f>
        <v/>
      </c>
      <c r="C1294" s="3">
        <f>IF(ORIG!C1294=0,"",ORIG!C1294)</f>
        <v/>
      </c>
      <c r="D1294" s="3">
        <f>IF(ORIG!D1294=0,"",ORIG!D1294)</f>
        <v/>
      </c>
      <c r="E1294" s="3">
        <f>IF(ORIG!E1294=0,"",ORIG!E1294)</f>
        <v/>
      </c>
      <c r="F1294" s="3">
        <f>IF(ORIG!F1294=0,"",ORIG!F1294)</f>
        <v/>
      </c>
      <c r="G1294" s="3">
        <f>IF(ORIG!G1294=0,"",ORIG!G1294)</f>
        <v/>
      </c>
      <c r="H1294" s="3">
        <f>IF(ORIG!H1294=0,"",ORIG!H1294)</f>
        <v/>
      </c>
      <c r="I1294" s="3">
        <f>IF(ORIG!I1294=0,"",ORIG!I1294)</f>
        <v/>
      </c>
      <c r="J1294" s="3">
        <f>IF(ORIG!J1294=0,"",ORIG!J1294)</f>
        <v/>
      </c>
      <c r="K1294" s="3">
        <f>IF(ORIG!K1294=0,"",ORIG!K1294)</f>
        <v/>
      </c>
      <c r="L1294" s="3">
        <f>IF(ORIG!L1294=0,"",ORIG!L1294)</f>
        <v/>
      </c>
      <c r="M1294" s="3">
        <f>IF(ORIG!M1294=0,"",ORIG!M1294)</f>
        <v/>
      </c>
      <c r="N1294" s="3">
        <f>IF(ORIG!N1294=0,"",ORIG!N1294)</f>
        <v/>
      </c>
      <c r="O1294" s="3">
        <f>IF(ORIG!O1294=0,"",ORIG!O1294)</f>
        <v/>
      </c>
      <c r="P1294" s="3">
        <f>IF(ORIG!P1294=0,"",ORIG!P1294)</f>
        <v/>
      </c>
      <c r="Q1294" s="3">
        <f>IF(ORIG!Q1294=0,"",ORIG!Q1294)</f>
        <v/>
      </c>
      <c r="R1294" s="3">
        <f>IF(ORIG!R1294=0,"",ORIG!R1294)</f>
        <v/>
      </c>
      <c r="S1294" s="3">
        <f>IF(ORIG!S1294=0,"",ORIG!S1294)</f>
        <v/>
      </c>
      <c r="T1294" s="3">
        <f>IF(ORIG!T1294=0,"",ORIG!T1294)</f>
        <v/>
      </c>
      <c r="U1294" s="3">
        <f>IF(ORIG!U1294=0,"",ORIG!U1294)</f>
        <v/>
      </c>
      <c r="V1294" s="9">
        <f>IF(ORIG!V1294=0,"",ORIG!V1294)</f>
        <v/>
      </c>
      <c r="W1294" s="9">
        <f>IF(ORIG!W1294=0,"",ORIG!W1294)</f>
        <v/>
      </c>
      <c r="X1294" s="9">
        <f>IF(ORIG!X1294=0,"",ORIG!X1294)</f>
        <v/>
      </c>
      <c r="Y1294" s="9">
        <f>IF(ORIG!Y1294=0,"",ORIG!Y1294)</f>
        <v/>
      </c>
      <c r="Z1294" s="3">
        <f>SUMPRODUCT($B1294:$Y1294,$B$2649:$Y$2649)</f>
        <v/>
      </c>
      <c r="AA1294" s="3">
        <f>SUMPRODUCT($B1294:$Y1294,$B$2655:$Y$2655)</f>
        <v/>
      </c>
      <c r="AC1294" s="1">
        <f>A1294</f>
        <v/>
      </c>
      <c r="AD1294">
        <f>IF(ISNUMBER(V1294),V1294*($AB$1/V$2635),"")</f>
        <v/>
      </c>
      <c r="AE1294">
        <f>IF(ISNUMBER(Z1294),Z1294*($AB$1/Z$2635),"")</f>
        <v/>
      </c>
      <c r="AF1294" s="25">
        <f>IF(ISNUMBER(AD1294+AE1294),AD1294+AE1294,"")</f>
        <v/>
      </c>
      <c r="AH1294" s="1">
        <f>A1294</f>
        <v/>
      </c>
      <c r="AI1294">
        <f>IF(ISNUMBER((1+V1294)*AI1293),(1+V1294)*AI1293,AI1293)</f>
        <v/>
      </c>
      <c r="AJ1294">
        <f>IF(ISNUMBER((1+Z1294)*AJ1293),(1+Z1294)*AJ1293,AJ1293)</f>
        <v/>
      </c>
    </row>
    <row r="1295">
      <c r="A1295" s="1" t="n">
        <v>43882</v>
      </c>
      <c r="B1295" s="3">
        <f>IF(ORIG!B1295=0,"",ORIG!B1295)</f>
        <v/>
      </c>
      <c r="C1295" s="3">
        <f>IF(ORIG!C1295=0,"",ORIG!C1295)</f>
        <v/>
      </c>
      <c r="D1295" s="3">
        <f>IF(ORIG!D1295=0,"",ORIG!D1295)</f>
        <v/>
      </c>
      <c r="E1295" s="3">
        <f>IF(ORIG!E1295=0,"",ORIG!E1295)</f>
        <v/>
      </c>
      <c r="F1295" s="3">
        <f>IF(ORIG!F1295=0,"",ORIG!F1295)</f>
        <v/>
      </c>
      <c r="G1295" s="3">
        <f>IF(ORIG!G1295=0,"",ORIG!G1295)</f>
        <v/>
      </c>
      <c r="H1295" s="3">
        <f>IF(ORIG!H1295=0,"",ORIG!H1295)</f>
        <v/>
      </c>
      <c r="I1295" s="3">
        <f>IF(ORIG!I1295=0,"",ORIG!I1295)</f>
        <v/>
      </c>
      <c r="J1295" s="3">
        <f>IF(ORIG!J1295=0,"",ORIG!J1295)</f>
        <v/>
      </c>
      <c r="K1295" s="3">
        <f>IF(ORIG!K1295=0,"",ORIG!K1295)</f>
        <v/>
      </c>
      <c r="L1295" s="3">
        <f>IF(ORIG!L1295=0,"",ORIG!L1295)</f>
        <v/>
      </c>
      <c r="M1295" s="3">
        <f>IF(ORIG!M1295=0,"",ORIG!M1295)</f>
        <v/>
      </c>
      <c r="N1295" s="3">
        <f>IF(ORIG!N1295=0,"",ORIG!N1295)</f>
        <v/>
      </c>
      <c r="O1295" s="3">
        <f>IF(ORIG!O1295=0,"",ORIG!O1295)</f>
        <v/>
      </c>
      <c r="P1295" s="3">
        <f>IF(ORIG!P1295=0,"",ORIG!P1295)</f>
        <v/>
      </c>
      <c r="Q1295" s="3">
        <f>IF(ORIG!Q1295=0,"",ORIG!Q1295)</f>
        <v/>
      </c>
      <c r="R1295" s="3">
        <f>IF(ORIG!R1295=0,"",ORIG!R1295)</f>
        <v/>
      </c>
      <c r="S1295" s="3">
        <f>IF(ORIG!S1295=0,"",ORIG!S1295)</f>
        <v/>
      </c>
      <c r="T1295" s="3">
        <f>IF(ORIG!T1295=0,"",ORIG!T1295)</f>
        <v/>
      </c>
      <c r="U1295" s="3">
        <f>IF(ORIG!U1295=0,"",ORIG!U1295)</f>
        <v/>
      </c>
      <c r="V1295" s="9">
        <f>IF(ORIG!V1295=0,"",ORIG!V1295)</f>
        <v/>
      </c>
      <c r="W1295" s="9">
        <f>IF(ORIG!W1295=0,"",ORIG!W1295)</f>
        <v/>
      </c>
      <c r="X1295" s="9">
        <f>IF(ORIG!X1295=0,"",ORIG!X1295)</f>
        <v/>
      </c>
      <c r="Y1295" s="9">
        <f>IF(ORIG!Y1295=0,"",ORIG!Y1295)</f>
        <v/>
      </c>
      <c r="Z1295" s="3">
        <f>SUMPRODUCT($B1295:$Y1295,$B$2649:$Y$2649)</f>
        <v/>
      </c>
      <c r="AA1295" s="3">
        <f>SUMPRODUCT($B1295:$Y1295,$B$2655:$Y$2655)</f>
        <v/>
      </c>
      <c r="AC1295" s="1">
        <f>A1295</f>
        <v/>
      </c>
      <c r="AD1295">
        <f>IF(ISNUMBER(V1295),V1295*($AB$1/V$2635),"")</f>
        <v/>
      </c>
      <c r="AE1295">
        <f>IF(ISNUMBER(Z1295),Z1295*($AB$1/Z$2635),"")</f>
        <v/>
      </c>
      <c r="AF1295" s="25">
        <f>IF(ISNUMBER(AD1295+AE1295),AD1295+AE1295,"")</f>
        <v/>
      </c>
      <c r="AH1295" s="1">
        <f>A1295</f>
        <v/>
      </c>
      <c r="AI1295">
        <f>IF(ISNUMBER((1+V1295)*AI1294),(1+V1295)*AI1294,AI1294)</f>
        <v/>
      </c>
      <c r="AJ1295">
        <f>IF(ISNUMBER((1+Z1295)*AJ1294),(1+Z1295)*AJ1294,AJ1294)</f>
        <v/>
      </c>
    </row>
    <row r="1296">
      <c r="A1296" s="1" t="n">
        <v>43885</v>
      </c>
      <c r="B1296" s="3">
        <f>IF(ORIG!B1296=0,"",ORIG!B1296)</f>
        <v/>
      </c>
      <c r="C1296" s="3">
        <f>IF(ORIG!C1296=0,"",ORIG!C1296)</f>
        <v/>
      </c>
      <c r="D1296" s="3">
        <f>IF(ORIG!D1296=0,"",ORIG!D1296)</f>
        <v/>
      </c>
      <c r="E1296" s="3">
        <f>IF(ORIG!E1296=0,"",ORIG!E1296)</f>
        <v/>
      </c>
      <c r="F1296" s="3">
        <f>IF(ORIG!F1296=0,"",ORIG!F1296)</f>
        <v/>
      </c>
      <c r="G1296" s="3">
        <f>IF(ORIG!G1296=0,"",ORIG!G1296)</f>
        <v/>
      </c>
      <c r="H1296" s="3">
        <f>IF(ORIG!H1296=0,"",ORIG!H1296)</f>
        <v/>
      </c>
      <c r="I1296" s="3">
        <f>IF(ORIG!I1296=0,"",ORIG!I1296)</f>
        <v/>
      </c>
      <c r="J1296" s="3">
        <f>IF(ORIG!J1296=0,"",ORIG!J1296)</f>
        <v/>
      </c>
      <c r="K1296" s="3">
        <f>IF(ORIG!K1296=0,"",ORIG!K1296)</f>
        <v/>
      </c>
      <c r="L1296" s="3">
        <f>IF(ORIG!L1296=0,"",ORIG!L1296)</f>
        <v/>
      </c>
      <c r="M1296" s="3">
        <f>IF(ORIG!M1296=0,"",ORIG!M1296)</f>
        <v/>
      </c>
      <c r="N1296" s="3">
        <f>IF(ORIG!N1296=0,"",ORIG!N1296)</f>
        <v/>
      </c>
      <c r="O1296" s="3">
        <f>IF(ORIG!O1296=0,"",ORIG!O1296)</f>
        <v/>
      </c>
      <c r="P1296" s="3">
        <f>IF(ORIG!P1296=0,"",ORIG!P1296)</f>
        <v/>
      </c>
      <c r="Q1296" s="3">
        <f>IF(ORIG!Q1296=0,"",ORIG!Q1296)</f>
        <v/>
      </c>
      <c r="R1296" s="3">
        <f>IF(ORIG!R1296=0,"",ORIG!R1296)</f>
        <v/>
      </c>
      <c r="S1296" s="3">
        <f>IF(ORIG!S1296=0,"",ORIG!S1296)</f>
        <v/>
      </c>
      <c r="T1296" s="3">
        <f>IF(ORIG!T1296=0,"",ORIG!T1296)</f>
        <v/>
      </c>
      <c r="U1296" s="3">
        <f>IF(ORIG!U1296=0,"",ORIG!U1296)</f>
        <v/>
      </c>
      <c r="V1296" s="9">
        <f>IF(ORIG!V1296=0,"",ORIG!V1296)</f>
        <v/>
      </c>
      <c r="W1296" s="9">
        <f>IF(ORIG!W1296=0,"",ORIG!W1296)</f>
        <v/>
      </c>
      <c r="X1296" s="9">
        <f>IF(ORIG!X1296=0,"",ORIG!X1296)</f>
        <v/>
      </c>
      <c r="Y1296" s="9">
        <f>IF(ORIG!Y1296=0,"",ORIG!Y1296)</f>
        <v/>
      </c>
      <c r="Z1296" s="3">
        <f>SUMPRODUCT($B1296:$Y1296,$B$2649:$Y$2649)</f>
        <v/>
      </c>
      <c r="AA1296" s="3">
        <f>SUMPRODUCT($B1296:$Y1296,$B$2655:$Y$2655)</f>
        <v/>
      </c>
      <c r="AC1296" s="1">
        <f>A1296</f>
        <v/>
      </c>
      <c r="AD1296">
        <f>IF(ISNUMBER(V1296),V1296*($AB$1/V$2635),"")</f>
        <v/>
      </c>
      <c r="AE1296">
        <f>IF(ISNUMBER(Z1296),Z1296*($AB$1/Z$2635),"")</f>
        <v/>
      </c>
      <c r="AF1296" s="25">
        <f>IF(ISNUMBER(AD1296+AE1296),AD1296+AE1296,"")</f>
        <v/>
      </c>
      <c r="AH1296" s="1">
        <f>A1296</f>
        <v/>
      </c>
      <c r="AI1296">
        <f>IF(ISNUMBER((1+V1296)*AI1295),(1+V1296)*AI1295,AI1295)</f>
        <v/>
      </c>
      <c r="AJ1296">
        <f>IF(ISNUMBER((1+Z1296)*AJ1295),(1+Z1296)*AJ1295,AJ1295)</f>
        <v/>
      </c>
    </row>
    <row r="1297">
      <c r="A1297" s="1" t="n">
        <v>43886</v>
      </c>
      <c r="B1297" s="3">
        <f>IF(ORIG!B1297=0,"",ORIG!B1297)</f>
        <v/>
      </c>
      <c r="C1297" s="3">
        <f>IF(ORIG!C1297=0,"",ORIG!C1297)</f>
        <v/>
      </c>
      <c r="D1297" s="3">
        <f>IF(ORIG!D1297=0,"",ORIG!D1297)</f>
        <v/>
      </c>
      <c r="E1297" s="3">
        <f>IF(ORIG!E1297=0,"",ORIG!E1297)</f>
        <v/>
      </c>
      <c r="F1297" s="3">
        <f>IF(ORIG!F1297=0,"",ORIG!F1297)</f>
        <v/>
      </c>
      <c r="G1297" s="3">
        <f>IF(ORIG!G1297=0,"",ORIG!G1297)</f>
        <v/>
      </c>
      <c r="H1297" s="3">
        <f>IF(ORIG!H1297=0,"",ORIG!H1297)</f>
        <v/>
      </c>
      <c r="I1297" s="3">
        <f>IF(ORIG!I1297=0,"",ORIG!I1297)</f>
        <v/>
      </c>
      <c r="J1297" s="3">
        <f>IF(ORIG!J1297=0,"",ORIG!J1297)</f>
        <v/>
      </c>
      <c r="K1297" s="3">
        <f>IF(ORIG!K1297=0,"",ORIG!K1297)</f>
        <v/>
      </c>
      <c r="L1297" s="3">
        <f>IF(ORIG!L1297=0,"",ORIG!L1297)</f>
        <v/>
      </c>
      <c r="M1297" s="3">
        <f>IF(ORIG!M1297=0,"",ORIG!M1297)</f>
        <v/>
      </c>
      <c r="N1297" s="3">
        <f>IF(ORIG!N1297=0,"",ORIG!N1297)</f>
        <v/>
      </c>
      <c r="O1297" s="3">
        <f>IF(ORIG!O1297=0,"",ORIG!O1297)</f>
        <v/>
      </c>
      <c r="P1297" s="3">
        <f>IF(ORIG!P1297=0,"",ORIG!P1297)</f>
        <v/>
      </c>
      <c r="Q1297" s="3">
        <f>IF(ORIG!Q1297=0,"",ORIG!Q1297)</f>
        <v/>
      </c>
      <c r="R1297" s="3">
        <f>IF(ORIG!R1297=0,"",ORIG!R1297)</f>
        <v/>
      </c>
      <c r="S1297" s="3">
        <f>IF(ORIG!S1297=0,"",ORIG!S1297)</f>
        <v/>
      </c>
      <c r="T1297" s="3">
        <f>IF(ORIG!T1297=0,"",ORIG!T1297)</f>
        <v/>
      </c>
      <c r="U1297" s="3">
        <f>IF(ORIG!U1297=0,"",ORIG!U1297)</f>
        <v/>
      </c>
      <c r="V1297" s="9">
        <f>IF(ORIG!V1297=0,"",ORIG!V1297)</f>
        <v/>
      </c>
      <c r="W1297" s="9">
        <f>IF(ORIG!W1297=0,"",ORIG!W1297)</f>
        <v/>
      </c>
      <c r="X1297" s="9">
        <f>IF(ORIG!X1297=0,"",ORIG!X1297)</f>
        <v/>
      </c>
      <c r="Y1297" s="9">
        <f>IF(ORIG!Y1297=0,"",ORIG!Y1297)</f>
        <v/>
      </c>
      <c r="Z1297" s="3">
        <f>SUMPRODUCT($B1297:$Y1297,$B$2649:$Y$2649)</f>
        <v/>
      </c>
      <c r="AA1297" s="3">
        <f>SUMPRODUCT($B1297:$Y1297,$B$2655:$Y$2655)</f>
        <v/>
      </c>
      <c r="AC1297" s="1">
        <f>A1297</f>
        <v/>
      </c>
      <c r="AD1297">
        <f>IF(ISNUMBER(V1297),V1297*($AB$1/V$2635),"")</f>
        <v/>
      </c>
      <c r="AE1297">
        <f>IF(ISNUMBER(Z1297),Z1297*($AB$1/Z$2635),"")</f>
        <v/>
      </c>
      <c r="AF1297" s="25">
        <f>IF(ISNUMBER(AD1297+AE1297),AD1297+AE1297,"")</f>
        <v/>
      </c>
      <c r="AH1297" s="1">
        <f>A1297</f>
        <v/>
      </c>
      <c r="AI1297">
        <f>IF(ISNUMBER((1+V1297)*AI1296),(1+V1297)*AI1296,AI1296)</f>
        <v/>
      </c>
      <c r="AJ1297">
        <f>IF(ISNUMBER((1+Z1297)*AJ1296),(1+Z1297)*AJ1296,AJ1296)</f>
        <v/>
      </c>
    </row>
    <row r="1298">
      <c r="A1298" s="1" t="n">
        <v>43887</v>
      </c>
      <c r="B1298" s="3">
        <f>IF(ORIG!B1298=0,"",ORIG!B1298)</f>
        <v/>
      </c>
      <c r="C1298" s="3">
        <f>IF(ORIG!C1298=0,"",ORIG!C1298)</f>
        <v/>
      </c>
      <c r="D1298" s="3">
        <f>IF(ORIG!D1298=0,"",ORIG!D1298)</f>
        <v/>
      </c>
      <c r="E1298" s="3">
        <f>IF(ORIG!E1298=0,"",ORIG!E1298)</f>
        <v/>
      </c>
      <c r="F1298" s="3">
        <f>IF(ORIG!F1298=0,"",ORIG!F1298)</f>
        <v/>
      </c>
      <c r="G1298" s="3">
        <f>IF(ORIG!G1298=0,"",ORIG!G1298)</f>
        <v/>
      </c>
      <c r="H1298" s="3">
        <f>IF(ORIG!H1298=0,"",ORIG!H1298)</f>
        <v/>
      </c>
      <c r="I1298" s="3">
        <f>IF(ORIG!I1298=0,"",ORIG!I1298)</f>
        <v/>
      </c>
      <c r="J1298" s="3">
        <f>IF(ORIG!J1298=0,"",ORIG!J1298)</f>
        <v/>
      </c>
      <c r="K1298" s="3">
        <f>IF(ORIG!K1298=0,"",ORIG!K1298)</f>
        <v/>
      </c>
      <c r="L1298" s="3">
        <f>IF(ORIG!L1298=0,"",ORIG!L1298)</f>
        <v/>
      </c>
      <c r="M1298" s="3">
        <f>IF(ORIG!M1298=0,"",ORIG!M1298)</f>
        <v/>
      </c>
      <c r="N1298" s="3">
        <f>IF(ORIG!N1298=0,"",ORIG!N1298)</f>
        <v/>
      </c>
      <c r="O1298" s="3">
        <f>IF(ORIG!O1298=0,"",ORIG!O1298)</f>
        <v/>
      </c>
      <c r="P1298" s="3">
        <f>IF(ORIG!P1298=0,"",ORIG!P1298)</f>
        <v/>
      </c>
      <c r="Q1298" s="3">
        <f>IF(ORIG!Q1298=0,"",ORIG!Q1298)</f>
        <v/>
      </c>
      <c r="R1298" s="3">
        <f>IF(ORIG!R1298=0,"",ORIG!R1298)</f>
        <v/>
      </c>
      <c r="S1298" s="3">
        <f>IF(ORIG!S1298=0,"",ORIG!S1298)</f>
        <v/>
      </c>
      <c r="T1298" s="3">
        <f>IF(ORIG!T1298=0,"",ORIG!T1298)</f>
        <v/>
      </c>
      <c r="U1298" s="3">
        <f>IF(ORIG!U1298=0,"",ORIG!U1298)</f>
        <v/>
      </c>
      <c r="V1298" s="9">
        <f>IF(ORIG!V1298=0,"",ORIG!V1298)</f>
        <v/>
      </c>
      <c r="W1298" s="9">
        <f>IF(ORIG!W1298=0,"",ORIG!W1298)</f>
        <v/>
      </c>
      <c r="X1298" s="9">
        <f>IF(ORIG!X1298=0,"",ORIG!X1298)</f>
        <v/>
      </c>
      <c r="Y1298" s="9">
        <f>IF(ORIG!Y1298=0,"",ORIG!Y1298)</f>
        <v/>
      </c>
      <c r="Z1298" s="3">
        <f>SUMPRODUCT($B1298:$Y1298,$B$2649:$Y$2649)</f>
        <v/>
      </c>
      <c r="AA1298" s="3">
        <f>SUMPRODUCT($B1298:$Y1298,$B$2655:$Y$2655)</f>
        <v/>
      </c>
      <c r="AC1298" s="1">
        <f>A1298</f>
        <v/>
      </c>
      <c r="AD1298">
        <f>IF(ISNUMBER(V1298),V1298*($AB$1/V$2635),"")</f>
        <v/>
      </c>
      <c r="AE1298">
        <f>IF(ISNUMBER(Z1298),Z1298*($AB$1/Z$2635),"")</f>
        <v/>
      </c>
      <c r="AF1298" s="25">
        <f>IF(ISNUMBER(AD1298+AE1298),AD1298+AE1298,"")</f>
        <v/>
      </c>
      <c r="AH1298" s="1">
        <f>A1298</f>
        <v/>
      </c>
      <c r="AI1298">
        <f>IF(ISNUMBER((1+V1298)*AI1297),(1+V1298)*AI1297,AI1297)</f>
        <v/>
      </c>
      <c r="AJ1298">
        <f>IF(ISNUMBER((1+Z1298)*AJ1297),(1+Z1298)*AJ1297,AJ1297)</f>
        <v/>
      </c>
    </row>
    <row r="1299">
      <c r="A1299" s="1" t="n">
        <v>43888</v>
      </c>
      <c r="B1299" s="3">
        <f>IF(ORIG!B1299=0,"",ORIG!B1299)</f>
        <v/>
      </c>
      <c r="C1299" s="3">
        <f>IF(ORIG!C1299=0,"",ORIG!C1299)</f>
        <v/>
      </c>
      <c r="D1299" s="3">
        <f>IF(ORIG!D1299=0,"",ORIG!D1299)</f>
        <v/>
      </c>
      <c r="E1299" s="3">
        <f>IF(ORIG!E1299=0,"",ORIG!E1299)</f>
        <v/>
      </c>
      <c r="F1299" s="3">
        <f>IF(ORIG!F1299=0,"",ORIG!F1299)</f>
        <v/>
      </c>
      <c r="G1299" s="3">
        <f>IF(ORIG!G1299=0,"",ORIG!G1299)</f>
        <v/>
      </c>
      <c r="H1299" s="3">
        <f>IF(ORIG!H1299=0,"",ORIG!H1299)</f>
        <v/>
      </c>
      <c r="I1299" s="3">
        <f>IF(ORIG!I1299=0,"",ORIG!I1299)</f>
        <v/>
      </c>
      <c r="J1299" s="3">
        <f>IF(ORIG!J1299=0,"",ORIG!J1299)</f>
        <v/>
      </c>
      <c r="K1299" s="3">
        <f>IF(ORIG!K1299=0,"",ORIG!K1299)</f>
        <v/>
      </c>
      <c r="L1299" s="3">
        <f>IF(ORIG!L1299=0,"",ORIG!L1299)</f>
        <v/>
      </c>
      <c r="M1299" s="3">
        <f>IF(ORIG!M1299=0,"",ORIG!M1299)</f>
        <v/>
      </c>
      <c r="N1299" s="3">
        <f>IF(ORIG!N1299=0,"",ORIG!N1299)</f>
        <v/>
      </c>
      <c r="O1299" s="3">
        <f>IF(ORIG!O1299=0,"",ORIG!O1299)</f>
        <v/>
      </c>
      <c r="P1299" s="3">
        <f>IF(ORIG!P1299=0,"",ORIG!P1299)</f>
        <v/>
      </c>
      <c r="Q1299" s="3">
        <f>IF(ORIG!Q1299=0,"",ORIG!Q1299)</f>
        <v/>
      </c>
      <c r="R1299" s="3">
        <f>IF(ORIG!R1299=0,"",ORIG!R1299)</f>
        <v/>
      </c>
      <c r="S1299" s="3">
        <f>IF(ORIG!S1299=0,"",ORIG!S1299)</f>
        <v/>
      </c>
      <c r="T1299" s="3">
        <f>IF(ORIG!T1299=0,"",ORIG!T1299)</f>
        <v/>
      </c>
      <c r="U1299" s="3">
        <f>IF(ORIG!U1299=0,"",ORIG!U1299)</f>
        <v/>
      </c>
      <c r="V1299" s="9">
        <f>IF(ORIG!V1299=0,"",ORIG!V1299)</f>
        <v/>
      </c>
      <c r="W1299" s="9">
        <f>IF(ORIG!W1299=0,"",ORIG!W1299)</f>
        <v/>
      </c>
      <c r="X1299" s="9">
        <f>IF(ORIG!X1299=0,"",ORIG!X1299)</f>
        <v/>
      </c>
      <c r="Y1299" s="9">
        <f>IF(ORIG!Y1299=0,"",ORIG!Y1299)</f>
        <v/>
      </c>
      <c r="Z1299" s="3">
        <f>SUMPRODUCT($B1299:$Y1299,$B$2649:$Y$2649)</f>
        <v/>
      </c>
      <c r="AA1299" s="3">
        <f>SUMPRODUCT($B1299:$Y1299,$B$2655:$Y$2655)</f>
        <v/>
      </c>
      <c r="AC1299" s="1">
        <f>A1299</f>
        <v/>
      </c>
      <c r="AD1299">
        <f>IF(ISNUMBER(V1299),V1299*($AB$1/V$2635),"")</f>
        <v/>
      </c>
      <c r="AE1299">
        <f>IF(ISNUMBER(Z1299),Z1299*($AB$1/Z$2635),"")</f>
        <v/>
      </c>
      <c r="AF1299" s="25">
        <f>IF(ISNUMBER(AD1299+AE1299),AD1299+AE1299,"")</f>
        <v/>
      </c>
      <c r="AH1299" s="1">
        <f>A1299</f>
        <v/>
      </c>
      <c r="AI1299">
        <f>IF(ISNUMBER((1+V1299)*AI1298),(1+V1299)*AI1298,AI1298)</f>
        <v/>
      </c>
      <c r="AJ1299">
        <f>IF(ISNUMBER((1+Z1299)*AJ1298),(1+Z1299)*AJ1298,AJ1298)</f>
        <v/>
      </c>
    </row>
    <row r="1300">
      <c r="A1300" s="1" t="n">
        <v>43889</v>
      </c>
      <c r="B1300" s="3">
        <f>IF(ORIG!B1300=0,"",ORIG!B1300)</f>
        <v/>
      </c>
      <c r="C1300" s="3">
        <f>IF(ORIG!C1300=0,"",ORIG!C1300)</f>
        <v/>
      </c>
      <c r="D1300" s="3">
        <f>IF(ORIG!D1300=0,"",ORIG!D1300)</f>
        <v/>
      </c>
      <c r="E1300" s="3">
        <f>IF(ORIG!E1300=0,"",ORIG!E1300)</f>
        <v/>
      </c>
      <c r="F1300" s="3">
        <f>IF(ORIG!F1300=0,"",ORIG!F1300)</f>
        <v/>
      </c>
      <c r="G1300" s="3">
        <f>IF(ORIG!G1300=0,"",ORIG!G1300)</f>
        <v/>
      </c>
      <c r="H1300" s="3">
        <f>IF(ORIG!H1300=0,"",ORIG!H1300)</f>
        <v/>
      </c>
      <c r="I1300" s="3">
        <f>IF(ORIG!I1300=0,"",ORIG!I1300)</f>
        <v/>
      </c>
      <c r="J1300" s="3">
        <f>IF(ORIG!J1300=0,"",ORIG!J1300)</f>
        <v/>
      </c>
      <c r="K1300" s="3">
        <f>IF(ORIG!K1300=0,"",ORIG!K1300)</f>
        <v/>
      </c>
      <c r="L1300" s="3">
        <f>IF(ORIG!L1300=0,"",ORIG!L1300)</f>
        <v/>
      </c>
      <c r="M1300" s="3">
        <f>IF(ORIG!M1300=0,"",ORIG!M1300)</f>
        <v/>
      </c>
      <c r="N1300" s="3">
        <f>IF(ORIG!N1300=0,"",ORIG!N1300)</f>
        <v/>
      </c>
      <c r="O1300" s="3">
        <f>IF(ORIG!O1300=0,"",ORIG!O1300)</f>
        <v/>
      </c>
      <c r="P1300" s="3">
        <f>IF(ORIG!P1300=0,"",ORIG!P1300)</f>
        <v/>
      </c>
      <c r="Q1300" s="3">
        <f>IF(ORIG!Q1300=0,"",ORIG!Q1300)</f>
        <v/>
      </c>
      <c r="R1300" s="3">
        <f>IF(ORIG!R1300=0,"",ORIG!R1300)</f>
        <v/>
      </c>
      <c r="S1300" s="3">
        <f>IF(ORIG!S1300=0,"",ORIG!S1300)</f>
        <v/>
      </c>
      <c r="T1300" s="3">
        <f>IF(ORIG!T1300=0,"",ORIG!T1300)</f>
        <v/>
      </c>
      <c r="U1300" s="3">
        <f>IF(ORIG!U1300=0,"",ORIG!U1300)</f>
        <v/>
      </c>
      <c r="V1300" s="9">
        <f>IF(ORIG!V1300=0,"",ORIG!V1300)</f>
        <v/>
      </c>
      <c r="W1300" s="9">
        <f>IF(ORIG!W1300=0,"",ORIG!W1300)</f>
        <v/>
      </c>
      <c r="X1300" s="9">
        <f>IF(ORIG!X1300=0,"",ORIG!X1300)</f>
        <v/>
      </c>
      <c r="Y1300" s="9">
        <f>IF(ORIG!Y1300=0,"",ORIG!Y1300)</f>
        <v/>
      </c>
      <c r="Z1300" s="3">
        <f>SUMPRODUCT($B1300:$Y1300,$B$2649:$Y$2649)</f>
        <v/>
      </c>
      <c r="AA1300" s="3">
        <f>SUMPRODUCT($B1300:$Y1300,$B$2655:$Y$2655)</f>
        <v/>
      </c>
      <c r="AC1300" s="1">
        <f>A1300</f>
        <v/>
      </c>
      <c r="AD1300">
        <f>IF(ISNUMBER(V1300),V1300*($AB$1/V$2635),"")</f>
        <v/>
      </c>
      <c r="AE1300">
        <f>IF(ISNUMBER(Z1300),Z1300*($AB$1/Z$2635),"")</f>
        <v/>
      </c>
      <c r="AF1300" s="25">
        <f>IF(ISNUMBER(AD1300+AE1300),AD1300+AE1300,"")</f>
        <v/>
      </c>
      <c r="AH1300" s="1">
        <f>A1300</f>
        <v/>
      </c>
      <c r="AI1300">
        <f>IF(ISNUMBER((1+V1300)*AI1299),(1+V1300)*AI1299,AI1299)</f>
        <v/>
      </c>
      <c r="AJ1300">
        <f>IF(ISNUMBER((1+Z1300)*AJ1299),(1+Z1300)*AJ1299,AJ1299)</f>
        <v/>
      </c>
    </row>
    <row r="1301">
      <c r="A1301" s="1" t="n">
        <v>43892</v>
      </c>
      <c r="B1301" s="3">
        <f>IF(ORIG!B1301=0,"",ORIG!B1301)</f>
        <v/>
      </c>
      <c r="C1301" s="3">
        <f>IF(ORIG!C1301=0,"",ORIG!C1301)</f>
        <v/>
      </c>
      <c r="D1301" s="3">
        <f>IF(ORIG!D1301=0,"",ORIG!D1301)</f>
        <v/>
      </c>
      <c r="E1301" s="3">
        <f>IF(ORIG!E1301=0,"",ORIG!E1301)</f>
        <v/>
      </c>
      <c r="F1301" s="3">
        <f>IF(ORIG!F1301=0,"",ORIG!F1301)</f>
        <v/>
      </c>
      <c r="G1301" s="3">
        <f>IF(ORIG!G1301=0,"",ORIG!G1301)</f>
        <v/>
      </c>
      <c r="H1301" s="3">
        <f>IF(ORIG!H1301=0,"",ORIG!H1301)</f>
        <v/>
      </c>
      <c r="I1301" s="3">
        <f>IF(ORIG!I1301=0,"",ORIG!I1301)</f>
        <v/>
      </c>
      <c r="J1301" s="3">
        <f>IF(ORIG!J1301=0,"",ORIG!J1301)</f>
        <v/>
      </c>
      <c r="K1301" s="3">
        <f>IF(ORIG!K1301=0,"",ORIG!K1301)</f>
        <v/>
      </c>
      <c r="L1301" s="3">
        <f>IF(ORIG!L1301=0,"",ORIG!L1301)</f>
        <v/>
      </c>
      <c r="M1301" s="3">
        <f>IF(ORIG!M1301=0,"",ORIG!M1301)</f>
        <v/>
      </c>
      <c r="N1301" s="3">
        <f>IF(ORIG!N1301=0,"",ORIG!N1301)</f>
        <v/>
      </c>
      <c r="O1301" s="3">
        <f>IF(ORIG!O1301=0,"",ORIG!O1301)</f>
        <v/>
      </c>
      <c r="P1301" s="3">
        <f>IF(ORIG!P1301=0,"",ORIG!P1301)</f>
        <v/>
      </c>
      <c r="Q1301" s="3">
        <f>IF(ORIG!Q1301=0,"",ORIG!Q1301)</f>
        <v/>
      </c>
      <c r="R1301" s="3">
        <f>IF(ORIG!R1301=0,"",ORIG!R1301)</f>
        <v/>
      </c>
      <c r="S1301" s="3">
        <f>IF(ORIG!S1301=0,"",ORIG!S1301)</f>
        <v/>
      </c>
      <c r="T1301" s="3">
        <f>IF(ORIG!T1301=0,"",ORIG!T1301)</f>
        <v/>
      </c>
      <c r="U1301" s="3">
        <f>IF(ORIG!U1301=0,"",ORIG!U1301)</f>
        <v/>
      </c>
      <c r="V1301" s="9">
        <f>IF(ORIG!V1301=0,"",ORIG!V1301)</f>
        <v/>
      </c>
      <c r="W1301" s="9">
        <f>IF(ORIG!W1301=0,"",ORIG!W1301)</f>
        <v/>
      </c>
      <c r="X1301" s="9">
        <f>IF(ORIG!X1301=0,"",ORIG!X1301)</f>
        <v/>
      </c>
      <c r="Y1301" s="9">
        <f>IF(ORIG!Y1301=0,"",ORIG!Y1301)</f>
        <v/>
      </c>
      <c r="Z1301" s="3">
        <f>SUMPRODUCT($B1301:$Y1301,$B$2649:$Y$2649)</f>
        <v/>
      </c>
      <c r="AA1301" s="3">
        <f>SUMPRODUCT($B1301:$Y1301,$B$2655:$Y$2655)</f>
        <v/>
      </c>
      <c r="AC1301" s="1">
        <f>A1301</f>
        <v/>
      </c>
      <c r="AD1301">
        <f>IF(ISNUMBER(V1301),V1301*($AB$1/V$2635),"")</f>
        <v/>
      </c>
      <c r="AE1301">
        <f>IF(ISNUMBER(Z1301),Z1301*($AB$1/Z$2635),"")</f>
        <v/>
      </c>
      <c r="AF1301" s="25">
        <f>IF(ISNUMBER(AD1301+AE1301),AD1301+AE1301,"")</f>
        <v/>
      </c>
      <c r="AH1301" s="1">
        <f>A1301</f>
        <v/>
      </c>
      <c r="AI1301">
        <f>IF(ISNUMBER((1+V1301)*AI1300),(1+V1301)*AI1300,AI1300)</f>
        <v/>
      </c>
      <c r="AJ1301">
        <f>IF(ISNUMBER((1+Z1301)*AJ1300),(1+Z1301)*AJ1300,AJ1300)</f>
        <v/>
      </c>
    </row>
    <row r="1302">
      <c r="A1302" s="1" t="n">
        <v>43893</v>
      </c>
      <c r="B1302" s="3">
        <f>IF(ORIG!B1302=0,"",ORIG!B1302)</f>
        <v/>
      </c>
      <c r="C1302" s="3">
        <f>IF(ORIG!C1302=0,"",ORIG!C1302)</f>
        <v/>
      </c>
      <c r="D1302" s="3">
        <f>IF(ORIG!D1302=0,"",ORIG!D1302)</f>
        <v/>
      </c>
      <c r="E1302" s="3">
        <f>IF(ORIG!E1302=0,"",ORIG!E1302)</f>
        <v/>
      </c>
      <c r="F1302" s="3">
        <f>IF(ORIG!F1302=0,"",ORIG!F1302)</f>
        <v/>
      </c>
      <c r="G1302" s="3">
        <f>IF(ORIG!G1302=0,"",ORIG!G1302)</f>
        <v/>
      </c>
      <c r="H1302" s="3">
        <f>IF(ORIG!H1302=0,"",ORIG!H1302)</f>
        <v/>
      </c>
      <c r="I1302" s="3">
        <f>IF(ORIG!I1302=0,"",ORIG!I1302)</f>
        <v/>
      </c>
      <c r="J1302" s="3">
        <f>IF(ORIG!J1302=0,"",ORIG!J1302)</f>
        <v/>
      </c>
      <c r="K1302" s="3">
        <f>IF(ORIG!K1302=0,"",ORIG!K1302)</f>
        <v/>
      </c>
      <c r="L1302" s="3">
        <f>IF(ORIG!L1302=0,"",ORIG!L1302)</f>
        <v/>
      </c>
      <c r="M1302" s="3">
        <f>IF(ORIG!M1302=0,"",ORIG!M1302)</f>
        <v/>
      </c>
      <c r="N1302" s="3">
        <f>IF(ORIG!N1302=0,"",ORIG!N1302)</f>
        <v/>
      </c>
      <c r="O1302" s="3">
        <f>IF(ORIG!O1302=0,"",ORIG!O1302)</f>
        <v/>
      </c>
      <c r="P1302" s="3">
        <f>IF(ORIG!P1302=0,"",ORIG!P1302)</f>
        <v/>
      </c>
      <c r="Q1302" s="3">
        <f>IF(ORIG!Q1302=0,"",ORIG!Q1302)</f>
        <v/>
      </c>
      <c r="R1302" s="3">
        <f>IF(ORIG!R1302=0,"",ORIG!R1302)</f>
        <v/>
      </c>
      <c r="S1302" s="3">
        <f>IF(ORIG!S1302=0,"",ORIG!S1302)</f>
        <v/>
      </c>
      <c r="T1302" s="3">
        <f>IF(ORIG!T1302=0,"",ORIG!T1302)</f>
        <v/>
      </c>
      <c r="U1302" s="3">
        <f>IF(ORIG!U1302=0,"",ORIG!U1302)</f>
        <v/>
      </c>
      <c r="V1302" s="9">
        <f>IF(ORIG!V1302=0,"",ORIG!V1302)</f>
        <v/>
      </c>
      <c r="W1302" s="9">
        <f>IF(ORIG!W1302=0,"",ORIG!W1302)</f>
        <v/>
      </c>
      <c r="X1302" s="9">
        <f>IF(ORIG!X1302=0,"",ORIG!X1302)</f>
        <v/>
      </c>
      <c r="Y1302" s="9">
        <f>IF(ORIG!Y1302=0,"",ORIG!Y1302)</f>
        <v/>
      </c>
      <c r="Z1302" s="3">
        <f>SUMPRODUCT($B1302:$Y1302,$B$2649:$Y$2649)</f>
        <v/>
      </c>
      <c r="AA1302" s="3">
        <f>SUMPRODUCT($B1302:$Y1302,$B$2655:$Y$2655)</f>
        <v/>
      </c>
      <c r="AC1302" s="1">
        <f>A1302</f>
        <v/>
      </c>
      <c r="AD1302">
        <f>IF(ISNUMBER(V1302),V1302*($AB$1/V$2635),"")</f>
        <v/>
      </c>
      <c r="AE1302">
        <f>IF(ISNUMBER(Z1302),Z1302*($AB$1/Z$2635),"")</f>
        <v/>
      </c>
      <c r="AF1302" s="25">
        <f>IF(ISNUMBER(AD1302+AE1302),AD1302+AE1302,"")</f>
        <v/>
      </c>
      <c r="AH1302" s="1">
        <f>A1302</f>
        <v/>
      </c>
      <c r="AI1302">
        <f>IF(ISNUMBER((1+V1302)*AI1301),(1+V1302)*AI1301,AI1301)</f>
        <v/>
      </c>
      <c r="AJ1302">
        <f>IF(ISNUMBER((1+Z1302)*AJ1301),(1+Z1302)*AJ1301,AJ1301)</f>
        <v/>
      </c>
    </row>
    <row r="1303">
      <c r="A1303" s="1" t="n">
        <v>43894</v>
      </c>
      <c r="B1303" s="3">
        <f>IF(ORIG!B1303=0,"",ORIG!B1303)</f>
        <v/>
      </c>
      <c r="C1303" s="3">
        <f>IF(ORIG!C1303=0,"",ORIG!C1303)</f>
        <v/>
      </c>
      <c r="D1303" s="3">
        <f>IF(ORIG!D1303=0,"",ORIG!D1303)</f>
        <v/>
      </c>
      <c r="E1303" s="3">
        <f>IF(ORIG!E1303=0,"",ORIG!E1303)</f>
        <v/>
      </c>
      <c r="F1303" s="3">
        <f>IF(ORIG!F1303=0,"",ORIG!F1303)</f>
        <v/>
      </c>
      <c r="G1303" s="3">
        <f>IF(ORIG!G1303=0,"",ORIG!G1303)</f>
        <v/>
      </c>
      <c r="H1303" s="3">
        <f>IF(ORIG!H1303=0,"",ORIG!H1303)</f>
        <v/>
      </c>
      <c r="I1303" s="3">
        <f>IF(ORIG!I1303=0,"",ORIG!I1303)</f>
        <v/>
      </c>
      <c r="J1303" s="3">
        <f>IF(ORIG!J1303=0,"",ORIG!J1303)</f>
        <v/>
      </c>
      <c r="K1303" s="3">
        <f>IF(ORIG!K1303=0,"",ORIG!K1303)</f>
        <v/>
      </c>
      <c r="L1303" s="3">
        <f>IF(ORIG!L1303=0,"",ORIG!L1303)</f>
        <v/>
      </c>
      <c r="M1303" s="3">
        <f>IF(ORIG!M1303=0,"",ORIG!M1303)</f>
        <v/>
      </c>
      <c r="N1303" s="3">
        <f>IF(ORIG!N1303=0,"",ORIG!N1303)</f>
        <v/>
      </c>
      <c r="O1303" s="3">
        <f>IF(ORIG!O1303=0,"",ORIG!O1303)</f>
        <v/>
      </c>
      <c r="P1303" s="3">
        <f>IF(ORIG!P1303=0,"",ORIG!P1303)</f>
        <v/>
      </c>
      <c r="Q1303" s="3">
        <f>IF(ORIG!Q1303=0,"",ORIG!Q1303)</f>
        <v/>
      </c>
      <c r="R1303" s="3">
        <f>IF(ORIG!R1303=0,"",ORIG!R1303)</f>
        <v/>
      </c>
      <c r="S1303" s="3">
        <f>IF(ORIG!S1303=0,"",ORIG!S1303)</f>
        <v/>
      </c>
      <c r="T1303" s="3">
        <f>IF(ORIG!T1303=0,"",ORIG!T1303)</f>
        <v/>
      </c>
      <c r="U1303" s="3">
        <f>IF(ORIG!U1303=0,"",ORIG!U1303)</f>
        <v/>
      </c>
      <c r="V1303" s="9">
        <f>IF(ORIG!V1303=0,"",ORIG!V1303)</f>
        <v/>
      </c>
      <c r="W1303" s="9">
        <f>IF(ORIG!W1303=0,"",ORIG!W1303)</f>
        <v/>
      </c>
      <c r="X1303" s="9">
        <f>IF(ORIG!X1303=0,"",ORIG!X1303)</f>
        <v/>
      </c>
      <c r="Y1303" s="9">
        <f>IF(ORIG!Y1303=0,"",ORIG!Y1303)</f>
        <v/>
      </c>
      <c r="Z1303" s="3">
        <f>SUMPRODUCT($B1303:$Y1303,$B$2649:$Y$2649)</f>
        <v/>
      </c>
      <c r="AA1303" s="3">
        <f>SUMPRODUCT($B1303:$Y1303,$B$2655:$Y$2655)</f>
        <v/>
      </c>
      <c r="AC1303" s="1">
        <f>A1303</f>
        <v/>
      </c>
      <c r="AD1303">
        <f>IF(ISNUMBER(V1303),V1303*($AB$1/V$2635),"")</f>
        <v/>
      </c>
      <c r="AE1303">
        <f>IF(ISNUMBER(Z1303),Z1303*($AB$1/Z$2635),"")</f>
        <v/>
      </c>
      <c r="AF1303" s="25">
        <f>IF(ISNUMBER(AD1303+AE1303),AD1303+AE1303,"")</f>
        <v/>
      </c>
      <c r="AH1303" s="1">
        <f>A1303</f>
        <v/>
      </c>
      <c r="AI1303">
        <f>IF(ISNUMBER((1+V1303)*AI1302),(1+V1303)*AI1302,AI1302)</f>
        <v/>
      </c>
      <c r="AJ1303">
        <f>IF(ISNUMBER((1+Z1303)*AJ1302),(1+Z1303)*AJ1302,AJ1302)</f>
        <v/>
      </c>
    </row>
    <row r="1304">
      <c r="A1304" s="1" t="n">
        <v>43895</v>
      </c>
      <c r="B1304" s="3">
        <f>IF(ORIG!B1304=0,"",ORIG!B1304)</f>
        <v/>
      </c>
      <c r="C1304" s="3">
        <f>IF(ORIG!C1304=0,"",ORIG!C1304)</f>
        <v/>
      </c>
      <c r="D1304" s="3">
        <f>IF(ORIG!D1304=0,"",ORIG!D1304)</f>
        <v/>
      </c>
      <c r="E1304" s="3">
        <f>IF(ORIG!E1304=0,"",ORIG!E1304)</f>
        <v/>
      </c>
      <c r="F1304" s="3">
        <f>IF(ORIG!F1304=0,"",ORIG!F1304)</f>
        <v/>
      </c>
      <c r="G1304" s="3">
        <f>IF(ORIG!G1304=0,"",ORIG!G1304)</f>
        <v/>
      </c>
      <c r="H1304" s="3">
        <f>IF(ORIG!H1304=0,"",ORIG!H1304)</f>
        <v/>
      </c>
      <c r="I1304" s="3">
        <f>IF(ORIG!I1304=0,"",ORIG!I1304)</f>
        <v/>
      </c>
      <c r="J1304" s="3">
        <f>IF(ORIG!J1304=0,"",ORIG!J1304)</f>
        <v/>
      </c>
      <c r="K1304" s="3">
        <f>IF(ORIG!K1304=0,"",ORIG!K1304)</f>
        <v/>
      </c>
      <c r="L1304" s="3">
        <f>IF(ORIG!L1304=0,"",ORIG!L1304)</f>
        <v/>
      </c>
      <c r="M1304" s="3">
        <f>IF(ORIG!M1304=0,"",ORIG!M1304)</f>
        <v/>
      </c>
      <c r="N1304" s="3">
        <f>IF(ORIG!N1304=0,"",ORIG!N1304)</f>
        <v/>
      </c>
      <c r="O1304" s="3">
        <f>IF(ORIG!O1304=0,"",ORIG!O1304)</f>
        <v/>
      </c>
      <c r="P1304" s="3">
        <f>IF(ORIG!P1304=0,"",ORIG!P1304)</f>
        <v/>
      </c>
      <c r="Q1304" s="3">
        <f>IF(ORIG!Q1304=0,"",ORIG!Q1304)</f>
        <v/>
      </c>
      <c r="R1304" s="3">
        <f>IF(ORIG!R1304=0,"",ORIG!R1304)</f>
        <v/>
      </c>
      <c r="S1304" s="3">
        <f>IF(ORIG!S1304=0,"",ORIG!S1304)</f>
        <v/>
      </c>
      <c r="T1304" s="3">
        <f>IF(ORIG!T1304=0,"",ORIG!T1304)</f>
        <v/>
      </c>
      <c r="U1304" s="3">
        <f>IF(ORIG!U1304=0,"",ORIG!U1304)</f>
        <v/>
      </c>
      <c r="V1304" s="9">
        <f>IF(ORIG!V1304=0,"",ORIG!V1304)</f>
        <v/>
      </c>
      <c r="W1304" s="9">
        <f>IF(ORIG!W1304=0,"",ORIG!W1304)</f>
        <v/>
      </c>
      <c r="X1304" s="9">
        <f>IF(ORIG!X1304=0,"",ORIG!X1304)</f>
        <v/>
      </c>
      <c r="Y1304" s="9">
        <f>IF(ORIG!Y1304=0,"",ORIG!Y1304)</f>
        <v/>
      </c>
      <c r="Z1304" s="3">
        <f>SUMPRODUCT($B1304:$Y1304,$B$2649:$Y$2649)</f>
        <v/>
      </c>
      <c r="AA1304" s="3">
        <f>SUMPRODUCT($B1304:$Y1304,$B$2655:$Y$2655)</f>
        <v/>
      </c>
      <c r="AC1304" s="1">
        <f>A1304</f>
        <v/>
      </c>
      <c r="AD1304">
        <f>IF(ISNUMBER(V1304),V1304*($AB$1/V$2635),"")</f>
        <v/>
      </c>
      <c r="AE1304">
        <f>IF(ISNUMBER(Z1304),Z1304*($AB$1/Z$2635),"")</f>
        <v/>
      </c>
      <c r="AF1304" s="25">
        <f>IF(ISNUMBER(AD1304+AE1304),AD1304+AE1304,"")</f>
        <v/>
      </c>
      <c r="AH1304" s="1">
        <f>A1304</f>
        <v/>
      </c>
      <c r="AI1304">
        <f>IF(ISNUMBER((1+V1304)*AI1303),(1+V1304)*AI1303,AI1303)</f>
        <v/>
      </c>
      <c r="AJ1304">
        <f>IF(ISNUMBER((1+Z1304)*AJ1303),(1+Z1304)*AJ1303,AJ1303)</f>
        <v/>
      </c>
    </row>
    <row r="1305">
      <c r="A1305" s="1" t="n">
        <v>43896</v>
      </c>
      <c r="B1305" s="3">
        <f>IF(ORIG!B1305=0,"",ORIG!B1305)</f>
        <v/>
      </c>
      <c r="C1305" s="3">
        <f>IF(ORIG!C1305=0,"",ORIG!C1305)</f>
        <v/>
      </c>
      <c r="D1305" s="3">
        <f>IF(ORIG!D1305=0,"",ORIG!D1305)</f>
        <v/>
      </c>
      <c r="E1305" s="3">
        <f>IF(ORIG!E1305=0,"",ORIG!E1305)</f>
        <v/>
      </c>
      <c r="F1305" s="3">
        <f>IF(ORIG!F1305=0,"",ORIG!F1305)</f>
        <v/>
      </c>
      <c r="G1305" s="3">
        <f>IF(ORIG!G1305=0,"",ORIG!G1305)</f>
        <v/>
      </c>
      <c r="H1305" s="3">
        <f>IF(ORIG!H1305=0,"",ORIG!H1305)</f>
        <v/>
      </c>
      <c r="I1305" s="3">
        <f>IF(ORIG!I1305=0,"",ORIG!I1305)</f>
        <v/>
      </c>
      <c r="J1305" s="3">
        <f>IF(ORIG!J1305=0,"",ORIG!J1305)</f>
        <v/>
      </c>
      <c r="K1305" s="3">
        <f>IF(ORIG!K1305=0,"",ORIG!K1305)</f>
        <v/>
      </c>
      <c r="L1305" s="3">
        <f>IF(ORIG!L1305=0,"",ORIG!L1305)</f>
        <v/>
      </c>
      <c r="M1305" s="3">
        <f>IF(ORIG!M1305=0,"",ORIG!M1305)</f>
        <v/>
      </c>
      <c r="N1305" s="3">
        <f>IF(ORIG!N1305=0,"",ORIG!N1305)</f>
        <v/>
      </c>
      <c r="O1305" s="3">
        <f>IF(ORIG!O1305=0,"",ORIG!O1305)</f>
        <v/>
      </c>
      <c r="P1305" s="3">
        <f>IF(ORIG!P1305=0,"",ORIG!P1305)</f>
        <v/>
      </c>
      <c r="Q1305" s="3">
        <f>IF(ORIG!Q1305=0,"",ORIG!Q1305)</f>
        <v/>
      </c>
      <c r="R1305" s="3">
        <f>IF(ORIG!R1305=0,"",ORIG!R1305)</f>
        <v/>
      </c>
      <c r="S1305" s="3">
        <f>IF(ORIG!S1305=0,"",ORIG!S1305)</f>
        <v/>
      </c>
      <c r="T1305" s="3">
        <f>IF(ORIG!T1305=0,"",ORIG!T1305)</f>
        <v/>
      </c>
      <c r="U1305" s="3">
        <f>IF(ORIG!U1305=0,"",ORIG!U1305)</f>
        <v/>
      </c>
      <c r="V1305" s="9">
        <f>IF(ORIG!V1305=0,"",ORIG!V1305)</f>
        <v/>
      </c>
      <c r="W1305" s="9">
        <f>IF(ORIG!W1305=0,"",ORIG!W1305)</f>
        <v/>
      </c>
      <c r="X1305" s="9">
        <f>IF(ORIG!X1305=0,"",ORIG!X1305)</f>
        <v/>
      </c>
      <c r="Y1305" s="9">
        <f>IF(ORIG!Y1305=0,"",ORIG!Y1305)</f>
        <v/>
      </c>
      <c r="Z1305" s="3">
        <f>SUMPRODUCT($B1305:$Y1305,$B$2649:$Y$2649)</f>
        <v/>
      </c>
      <c r="AA1305" s="3">
        <f>SUMPRODUCT($B1305:$Y1305,$B$2655:$Y$2655)</f>
        <v/>
      </c>
      <c r="AC1305" s="1">
        <f>A1305</f>
        <v/>
      </c>
      <c r="AD1305">
        <f>IF(ISNUMBER(V1305),V1305*($AB$1/V$2635),"")</f>
        <v/>
      </c>
      <c r="AE1305">
        <f>IF(ISNUMBER(Z1305),Z1305*($AB$1/Z$2635),"")</f>
        <v/>
      </c>
      <c r="AF1305" s="25">
        <f>IF(ISNUMBER(AD1305+AE1305),AD1305+AE1305,"")</f>
        <v/>
      </c>
      <c r="AH1305" s="1">
        <f>A1305</f>
        <v/>
      </c>
      <c r="AI1305">
        <f>IF(ISNUMBER((1+V1305)*AI1304),(1+V1305)*AI1304,AI1304)</f>
        <v/>
      </c>
      <c r="AJ1305">
        <f>IF(ISNUMBER((1+Z1305)*AJ1304),(1+Z1305)*AJ1304,AJ1304)</f>
        <v/>
      </c>
    </row>
    <row r="1306">
      <c r="A1306" s="1" t="n">
        <v>43899</v>
      </c>
      <c r="B1306" s="3">
        <f>IF(ORIG!B1306=0,"",ORIG!B1306)</f>
        <v/>
      </c>
      <c r="C1306" s="3">
        <f>IF(ORIG!C1306=0,"",ORIG!C1306)</f>
        <v/>
      </c>
      <c r="D1306" s="3">
        <f>IF(ORIG!D1306=0,"",ORIG!D1306)</f>
        <v/>
      </c>
      <c r="E1306" s="3">
        <f>IF(ORIG!E1306=0,"",ORIG!E1306)</f>
        <v/>
      </c>
      <c r="F1306" s="3">
        <f>IF(ORIG!F1306=0,"",ORIG!F1306)</f>
        <v/>
      </c>
      <c r="G1306" s="3">
        <f>IF(ORIG!G1306=0,"",ORIG!G1306)</f>
        <v/>
      </c>
      <c r="H1306" s="3">
        <f>IF(ORIG!H1306=0,"",ORIG!H1306)</f>
        <v/>
      </c>
      <c r="I1306" s="3">
        <f>IF(ORIG!I1306=0,"",ORIG!I1306)</f>
        <v/>
      </c>
      <c r="J1306" s="3">
        <f>IF(ORIG!J1306=0,"",ORIG!J1306)</f>
        <v/>
      </c>
      <c r="K1306" s="3">
        <f>IF(ORIG!K1306=0,"",ORIG!K1306)</f>
        <v/>
      </c>
      <c r="L1306" s="3">
        <f>IF(ORIG!L1306=0,"",ORIG!L1306)</f>
        <v/>
      </c>
      <c r="M1306" s="3">
        <f>IF(ORIG!M1306=0,"",ORIG!M1306)</f>
        <v/>
      </c>
      <c r="N1306" s="3">
        <f>IF(ORIG!N1306=0,"",ORIG!N1306)</f>
        <v/>
      </c>
      <c r="O1306" s="3">
        <f>IF(ORIG!O1306=0,"",ORIG!O1306)</f>
        <v/>
      </c>
      <c r="P1306" s="3">
        <f>IF(ORIG!P1306=0,"",ORIG!P1306)</f>
        <v/>
      </c>
      <c r="Q1306" s="3">
        <f>IF(ORIG!Q1306=0,"",ORIG!Q1306)</f>
        <v/>
      </c>
      <c r="R1306" s="3">
        <f>IF(ORIG!R1306=0,"",ORIG!R1306)</f>
        <v/>
      </c>
      <c r="S1306" s="3">
        <f>IF(ORIG!S1306=0,"",ORIG!S1306)</f>
        <v/>
      </c>
      <c r="T1306" s="3">
        <f>IF(ORIG!T1306=0,"",ORIG!T1306)</f>
        <v/>
      </c>
      <c r="U1306" s="3">
        <f>IF(ORIG!U1306=0,"",ORIG!U1306)</f>
        <v/>
      </c>
      <c r="V1306" s="9">
        <f>IF(ORIG!V1306=0,"",ORIG!V1306)</f>
        <v/>
      </c>
      <c r="W1306" s="9">
        <f>IF(ORIG!W1306=0,"",ORIG!W1306)</f>
        <v/>
      </c>
      <c r="X1306" s="9">
        <f>IF(ORIG!X1306=0,"",ORIG!X1306)</f>
        <v/>
      </c>
      <c r="Y1306" s="9">
        <f>IF(ORIG!Y1306=0,"",ORIG!Y1306)</f>
        <v/>
      </c>
      <c r="Z1306" s="3">
        <f>SUMPRODUCT($B1306:$Y1306,$B$2649:$Y$2649)</f>
        <v/>
      </c>
      <c r="AA1306" s="3">
        <f>SUMPRODUCT($B1306:$Y1306,$B$2655:$Y$2655)</f>
        <v/>
      </c>
      <c r="AC1306" s="1">
        <f>A1306</f>
        <v/>
      </c>
      <c r="AD1306">
        <f>IF(ISNUMBER(V1306),V1306*($AB$1/V$2635),"")</f>
        <v/>
      </c>
      <c r="AE1306">
        <f>IF(ISNUMBER(Z1306),Z1306*($AB$1/Z$2635),"")</f>
        <v/>
      </c>
      <c r="AF1306" s="25">
        <f>IF(ISNUMBER(AD1306+AE1306),AD1306+AE1306,"")</f>
        <v/>
      </c>
      <c r="AH1306" s="1">
        <f>A1306</f>
        <v/>
      </c>
      <c r="AI1306">
        <f>IF(ISNUMBER((1+V1306)*AI1305),(1+V1306)*AI1305,AI1305)</f>
        <v/>
      </c>
      <c r="AJ1306">
        <f>IF(ISNUMBER((1+Z1306)*AJ1305),(1+Z1306)*AJ1305,AJ1305)</f>
        <v/>
      </c>
    </row>
    <row r="1307">
      <c r="A1307" s="1" t="n">
        <v>43900</v>
      </c>
      <c r="B1307" s="3">
        <f>IF(ORIG!B1307=0,"",ORIG!B1307)</f>
        <v/>
      </c>
      <c r="C1307" s="3">
        <f>IF(ORIG!C1307=0,"",ORIG!C1307)</f>
        <v/>
      </c>
      <c r="D1307" s="3">
        <f>IF(ORIG!D1307=0,"",ORIG!D1307)</f>
        <v/>
      </c>
      <c r="E1307" s="3">
        <f>IF(ORIG!E1307=0,"",ORIG!E1307)</f>
        <v/>
      </c>
      <c r="F1307" s="3">
        <f>IF(ORIG!F1307=0,"",ORIG!F1307)</f>
        <v/>
      </c>
      <c r="G1307" s="3">
        <f>IF(ORIG!G1307=0,"",ORIG!G1307)</f>
        <v/>
      </c>
      <c r="H1307" s="3">
        <f>IF(ORIG!H1307=0,"",ORIG!H1307)</f>
        <v/>
      </c>
      <c r="I1307" s="3">
        <f>IF(ORIG!I1307=0,"",ORIG!I1307)</f>
        <v/>
      </c>
      <c r="J1307" s="3">
        <f>IF(ORIG!J1307=0,"",ORIG!J1307)</f>
        <v/>
      </c>
      <c r="K1307" s="3">
        <f>IF(ORIG!K1307=0,"",ORIG!K1307)</f>
        <v/>
      </c>
      <c r="L1307" s="3">
        <f>IF(ORIG!L1307=0,"",ORIG!L1307)</f>
        <v/>
      </c>
      <c r="M1307" s="3">
        <f>IF(ORIG!M1307=0,"",ORIG!M1307)</f>
        <v/>
      </c>
      <c r="N1307" s="3">
        <f>IF(ORIG!N1307=0,"",ORIG!N1307)</f>
        <v/>
      </c>
      <c r="O1307" s="3">
        <f>IF(ORIG!O1307=0,"",ORIG!O1307)</f>
        <v/>
      </c>
      <c r="P1307" s="3">
        <f>IF(ORIG!P1307=0,"",ORIG!P1307)</f>
        <v/>
      </c>
      <c r="Q1307" s="3">
        <f>IF(ORIG!Q1307=0,"",ORIG!Q1307)</f>
        <v/>
      </c>
      <c r="R1307" s="3">
        <f>IF(ORIG!R1307=0,"",ORIG!R1307)</f>
        <v/>
      </c>
      <c r="S1307" s="3">
        <f>IF(ORIG!S1307=0,"",ORIG!S1307)</f>
        <v/>
      </c>
      <c r="T1307" s="3">
        <f>IF(ORIG!T1307=0,"",ORIG!T1307)</f>
        <v/>
      </c>
      <c r="U1307" s="3">
        <f>IF(ORIG!U1307=0,"",ORIG!U1307)</f>
        <v/>
      </c>
      <c r="V1307" s="9">
        <f>IF(ORIG!V1307=0,"",ORIG!V1307)</f>
        <v/>
      </c>
      <c r="W1307" s="9">
        <f>IF(ORIG!W1307=0,"",ORIG!W1307)</f>
        <v/>
      </c>
      <c r="X1307" s="9">
        <f>IF(ORIG!X1307=0,"",ORIG!X1307)</f>
        <v/>
      </c>
      <c r="Y1307" s="9">
        <f>IF(ORIG!Y1307=0,"",ORIG!Y1307)</f>
        <v/>
      </c>
      <c r="Z1307" s="3">
        <f>SUMPRODUCT($B1307:$Y1307,$B$2649:$Y$2649)</f>
        <v/>
      </c>
      <c r="AA1307" s="3">
        <f>SUMPRODUCT($B1307:$Y1307,$B$2655:$Y$2655)</f>
        <v/>
      </c>
      <c r="AC1307" s="1">
        <f>A1307</f>
        <v/>
      </c>
      <c r="AD1307">
        <f>IF(ISNUMBER(V1307),V1307*($AB$1/V$2635),"")</f>
        <v/>
      </c>
      <c r="AE1307">
        <f>IF(ISNUMBER(Z1307),Z1307*($AB$1/Z$2635),"")</f>
        <v/>
      </c>
      <c r="AF1307" s="25">
        <f>IF(ISNUMBER(AD1307+AE1307),AD1307+AE1307,"")</f>
        <v/>
      </c>
      <c r="AH1307" s="1">
        <f>A1307</f>
        <v/>
      </c>
      <c r="AI1307">
        <f>IF(ISNUMBER((1+V1307)*AI1306),(1+V1307)*AI1306,AI1306)</f>
        <v/>
      </c>
      <c r="AJ1307">
        <f>IF(ISNUMBER((1+Z1307)*AJ1306),(1+Z1307)*AJ1306,AJ1306)</f>
        <v/>
      </c>
    </row>
    <row r="1308">
      <c r="A1308" s="1" t="n">
        <v>43901</v>
      </c>
      <c r="B1308" s="3">
        <f>IF(ORIG!B1308=0,"",ORIG!B1308)</f>
        <v/>
      </c>
      <c r="C1308" s="3">
        <f>IF(ORIG!C1308=0,"",ORIG!C1308)</f>
        <v/>
      </c>
      <c r="D1308" s="3">
        <f>IF(ORIG!D1308=0,"",ORIG!D1308)</f>
        <v/>
      </c>
      <c r="E1308" s="3">
        <f>IF(ORIG!E1308=0,"",ORIG!E1308)</f>
        <v/>
      </c>
      <c r="F1308" s="3">
        <f>IF(ORIG!F1308=0,"",ORIG!F1308)</f>
        <v/>
      </c>
      <c r="G1308" s="3">
        <f>IF(ORIG!G1308=0,"",ORIG!G1308)</f>
        <v/>
      </c>
      <c r="H1308" s="3">
        <f>IF(ORIG!H1308=0,"",ORIG!H1308)</f>
        <v/>
      </c>
      <c r="I1308" s="3">
        <f>IF(ORIG!I1308=0,"",ORIG!I1308)</f>
        <v/>
      </c>
      <c r="J1308" s="3">
        <f>IF(ORIG!J1308=0,"",ORIG!J1308)</f>
        <v/>
      </c>
      <c r="K1308" s="3">
        <f>IF(ORIG!K1308=0,"",ORIG!K1308)</f>
        <v/>
      </c>
      <c r="L1308" s="3">
        <f>IF(ORIG!L1308=0,"",ORIG!L1308)</f>
        <v/>
      </c>
      <c r="M1308" s="3">
        <f>IF(ORIG!M1308=0,"",ORIG!M1308)</f>
        <v/>
      </c>
      <c r="N1308" s="3">
        <f>IF(ORIG!N1308=0,"",ORIG!N1308)</f>
        <v/>
      </c>
      <c r="O1308" s="3">
        <f>IF(ORIG!O1308=0,"",ORIG!O1308)</f>
        <v/>
      </c>
      <c r="P1308" s="3">
        <f>IF(ORIG!P1308=0,"",ORIG!P1308)</f>
        <v/>
      </c>
      <c r="Q1308" s="3">
        <f>IF(ORIG!Q1308=0,"",ORIG!Q1308)</f>
        <v/>
      </c>
      <c r="R1308" s="3">
        <f>IF(ORIG!R1308=0,"",ORIG!R1308)</f>
        <v/>
      </c>
      <c r="S1308" s="3">
        <f>IF(ORIG!S1308=0,"",ORIG!S1308)</f>
        <v/>
      </c>
      <c r="T1308" s="3">
        <f>IF(ORIG!T1308=0,"",ORIG!T1308)</f>
        <v/>
      </c>
      <c r="U1308" s="3">
        <f>IF(ORIG!U1308=0,"",ORIG!U1308)</f>
        <v/>
      </c>
      <c r="V1308" s="9">
        <f>IF(ORIG!V1308=0,"",ORIG!V1308)</f>
        <v/>
      </c>
      <c r="W1308" s="9">
        <f>IF(ORIG!W1308=0,"",ORIG!W1308)</f>
        <v/>
      </c>
      <c r="X1308" s="9">
        <f>IF(ORIG!X1308=0,"",ORIG!X1308)</f>
        <v/>
      </c>
      <c r="Y1308" s="9">
        <f>IF(ORIG!Y1308=0,"",ORIG!Y1308)</f>
        <v/>
      </c>
      <c r="Z1308" s="3">
        <f>SUMPRODUCT($B1308:$Y1308,$B$2649:$Y$2649)</f>
        <v/>
      </c>
      <c r="AA1308" s="3">
        <f>SUMPRODUCT($B1308:$Y1308,$B$2655:$Y$2655)</f>
        <v/>
      </c>
      <c r="AC1308" s="1">
        <f>A1308</f>
        <v/>
      </c>
      <c r="AD1308">
        <f>IF(ISNUMBER(V1308),V1308*($AB$1/V$2635),"")</f>
        <v/>
      </c>
      <c r="AE1308">
        <f>IF(ISNUMBER(Z1308),Z1308*($AB$1/Z$2635),"")</f>
        <v/>
      </c>
      <c r="AF1308" s="25">
        <f>IF(ISNUMBER(AD1308+AE1308),AD1308+AE1308,"")</f>
        <v/>
      </c>
      <c r="AH1308" s="1">
        <f>A1308</f>
        <v/>
      </c>
      <c r="AI1308">
        <f>IF(ISNUMBER((1+V1308)*AI1307),(1+V1308)*AI1307,AI1307)</f>
        <v/>
      </c>
      <c r="AJ1308">
        <f>IF(ISNUMBER((1+Z1308)*AJ1307),(1+Z1308)*AJ1307,AJ1307)</f>
        <v/>
      </c>
    </row>
    <row r="1309">
      <c r="A1309" s="1" t="n">
        <v>43902</v>
      </c>
      <c r="B1309" s="3">
        <f>IF(ORIG!B1309=0,"",ORIG!B1309)</f>
        <v/>
      </c>
      <c r="C1309" s="3">
        <f>IF(ORIG!C1309=0,"",ORIG!C1309)</f>
        <v/>
      </c>
      <c r="D1309" s="3">
        <f>IF(ORIG!D1309=0,"",ORIG!D1309)</f>
        <v/>
      </c>
      <c r="E1309" s="3">
        <f>IF(ORIG!E1309=0,"",ORIG!E1309)</f>
        <v/>
      </c>
      <c r="F1309" s="3">
        <f>IF(ORIG!F1309=0,"",ORIG!F1309)</f>
        <v/>
      </c>
      <c r="G1309" s="3">
        <f>IF(ORIG!G1309=0,"",ORIG!G1309)</f>
        <v/>
      </c>
      <c r="H1309" s="3">
        <f>IF(ORIG!H1309=0,"",ORIG!H1309)</f>
        <v/>
      </c>
      <c r="I1309" s="3">
        <f>IF(ORIG!I1309=0,"",ORIG!I1309)</f>
        <v/>
      </c>
      <c r="J1309" s="3">
        <f>IF(ORIG!J1309=0,"",ORIG!J1309)</f>
        <v/>
      </c>
      <c r="K1309" s="3">
        <f>IF(ORIG!K1309=0,"",ORIG!K1309)</f>
        <v/>
      </c>
      <c r="L1309" s="3">
        <f>IF(ORIG!L1309=0,"",ORIG!L1309)</f>
        <v/>
      </c>
      <c r="M1309" s="3">
        <f>IF(ORIG!M1309=0,"",ORIG!M1309)</f>
        <v/>
      </c>
      <c r="N1309" s="3">
        <f>IF(ORIG!N1309=0,"",ORIG!N1309)</f>
        <v/>
      </c>
      <c r="O1309" s="3">
        <f>IF(ORIG!O1309=0,"",ORIG!O1309)</f>
        <v/>
      </c>
      <c r="P1309" s="3">
        <f>IF(ORIG!P1309=0,"",ORIG!P1309)</f>
        <v/>
      </c>
      <c r="Q1309" s="3">
        <f>IF(ORIG!Q1309=0,"",ORIG!Q1309)</f>
        <v/>
      </c>
      <c r="R1309" s="3">
        <f>IF(ORIG!R1309=0,"",ORIG!R1309)</f>
        <v/>
      </c>
      <c r="S1309" s="3">
        <f>IF(ORIG!S1309=0,"",ORIG!S1309)</f>
        <v/>
      </c>
      <c r="T1309" s="3">
        <f>IF(ORIG!T1309=0,"",ORIG!T1309)</f>
        <v/>
      </c>
      <c r="U1309" s="3">
        <f>IF(ORIG!U1309=0,"",ORIG!U1309)</f>
        <v/>
      </c>
      <c r="V1309" s="9">
        <f>IF(ORIG!V1309=0,"",ORIG!V1309)</f>
        <v/>
      </c>
      <c r="W1309" s="9">
        <f>IF(ORIG!W1309=0,"",ORIG!W1309)</f>
        <v/>
      </c>
      <c r="X1309" s="9">
        <f>IF(ORIG!X1309=0,"",ORIG!X1309)</f>
        <v/>
      </c>
      <c r="Y1309" s="9">
        <f>IF(ORIG!Y1309=0,"",ORIG!Y1309)</f>
        <v/>
      </c>
      <c r="Z1309" s="3">
        <f>SUMPRODUCT($B1309:$Y1309,$B$2649:$Y$2649)</f>
        <v/>
      </c>
      <c r="AA1309" s="3">
        <f>SUMPRODUCT($B1309:$Y1309,$B$2655:$Y$2655)</f>
        <v/>
      </c>
      <c r="AC1309" s="1">
        <f>A1309</f>
        <v/>
      </c>
      <c r="AD1309">
        <f>IF(ISNUMBER(V1309),V1309*($AB$1/V$2635),"")</f>
        <v/>
      </c>
      <c r="AE1309">
        <f>IF(ISNUMBER(Z1309),Z1309*($AB$1/Z$2635),"")</f>
        <v/>
      </c>
      <c r="AF1309" s="25">
        <f>IF(ISNUMBER(AD1309+AE1309),AD1309+AE1309,"")</f>
        <v/>
      </c>
      <c r="AH1309" s="1">
        <f>A1309</f>
        <v/>
      </c>
      <c r="AI1309">
        <f>IF(ISNUMBER((1+V1309)*AI1308),(1+V1309)*AI1308,AI1308)</f>
        <v/>
      </c>
      <c r="AJ1309">
        <f>IF(ISNUMBER((1+Z1309)*AJ1308),(1+Z1309)*AJ1308,AJ1308)</f>
        <v/>
      </c>
    </row>
    <row r="1310">
      <c r="A1310" s="1" t="n">
        <v>43903</v>
      </c>
      <c r="B1310" s="3">
        <f>IF(ORIG!B1310=0,"",ORIG!B1310)</f>
        <v/>
      </c>
      <c r="C1310" s="3">
        <f>IF(ORIG!C1310=0,"",ORIG!C1310)</f>
        <v/>
      </c>
      <c r="D1310" s="3">
        <f>IF(ORIG!D1310=0,"",ORIG!D1310)</f>
        <v/>
      </c>
      <c r="E1310" s="3">
        <f>IF(ORIG!E1310=0,"",ORIG!E1310)</f>
        <v/>
      </c>
      <c r="F1310" s="3">
        <f>IF(ORIG!F1310=0,"",ORIG!F1310)</f>
        <v/>
      </c>
      <c r="G1310" s="3">
        <f>IF(ORIG!G1310=0,"",ORIG!G1310)</f>
        <v/>
      </c>
      <c r="H1310" s="3">
        <f>IF(ORIG!H1310=0,"",ORIG!H1310)</f>
        <v/>
      </c>
      <c r="I1310" s="3">
        <f>IF(ORIG!I1310=0,"",ORIG!I1310)</f>
        <v/>
      </c>
      <c r="J1310" s="3">
        <f>IF(ORIG!J1310=0,"",ORIG!J1310)</f>
        <v/>
      </c>
      <c r="K1310" s="3">
        <f>IF(ORIG!K1310=0,"",ORIG!K1310)</f>
        <v/>
      </c>
      <c r="L1310" s="3">
        <f>IF(ORIG!L1310=0,"",ORIG!L1310)</f>
        <v/>
      </c>
      <c r="M1310" s="3">
        <f>IF(ORIG!M1310=0,"",ORIG!M1310)</f>
        <v/>
      </c>
      <c r="N1310" s="3">
        <f>IF(ORIG!N1310=0,"",ORIG!N1310)</f>
        <v/>
      </c>
      <c r="O1310" s="3">
        <f>IF(ORIG!O1310=0,"",ORIG!O1310)</f>
        <v/>
      </c>
      <c r="P1310" s="3">
        <f>IF(ORIG!P1310=0,"",ORIG!P1310)</f>
        <v/>
      </c>
      <c r="Q1310" s="3">
        <f>IF(ORIG!Q1310=0,"",ORIG!Q1310)</f>
        <v/>
      </c>
      <c r="R1310" s="3">
        <f>IF(ORIG!R1310=0,"",ORIG!R1310)</f>
        <v/>
      </c>
      <c r="S1310" s="3">
        <f>IF(ORIG!S1310=0,"",ORIG!S1310)</f>
        <v/>
      </c>
      <c r="T1310" s="3">
        <f>IF(ORIG!T1310=0,"",ORIG!T1310)</f>
        <v/>
      </c>
      <c r="U1310" s="3">
        <f>IF(ORIG!U1310=0,"",ORIG!U1310)</f>
        <v/>
      </c>
      <c r="V1310" s="9">
        <f>IF(ORIG!V1310=0,"",ORIG!V1310)</f>
        <v/>
      </c>
      <c r="W1310" s="9">
        <f>IF(ORIG!W1310=0,"",ORIG!W1310)</f>
        <v/>
      </c>
      <c r="X1310" s="9">
        <f>IF(ORIG!X1310=0,"",ORIG!X1310)</f>
        <v/>
      </c>
      <c r="Y1310" s="9">
        <f>IF(ORIG!Y1310=0,"",ORIG!Y1310)</f>
        <v/>
      </c>
      <c r="Z1310" s="3">
        <f>SUMPRODUCT($B1310:$Y1310,$B$2649:$Y$2649)</f>
        <v/>
      </c>
      <c r="AA1310" s="3">
        <f>SUMPRODUCT($B1310:$Y1310,$B$2655:$Y$2655)</f>
        <v/>
      </c>
      <c r="AC1310" s="1">
        <f>A1310</f>
        <v/>
      </c>
      <c r="AD1310">
        <f>IF(ISNUMBER(V1310),V1310*($AB$1/V$2635),"")</f>
        <v/>
      </c>
      <c r="AE1310">
        <f>IF(ISNUMBER(Z1310),Z1310*($AB$1/Z$2635),"")</f>
        <v/>
      </c>
      <c r="AF1310" s="25">
        <f>IF(ISNUMBER(AD1310+AE1310),AD1310+AE1310,"")</f>
        <v/>
      </c>
      <c r="AH1310" s="1">
        <f>A1310</f>
        <v/>
      </c>
      <c r="AI1310">
        <f>IF(ISNUMBER((1+V1310)*AI1309),(1+V1310)*AI1309,AI1309)</f>
        <v/>
      </c>
      <c r="AJ1310">
        <f>IF(ISNUMBER((1+Z1310)*AJ1309),(1+Z1310)*AJ1309,AJ1309)</f>
        <v/>
      </c>
    </row>
    <row r="1311">
      <c r="A1311" s="1" t="n">
        <v>43906</v>
      </c>
      <c r="B1311" s="3">
        <f>IF(ORIG!B1311=0,"",ORIG!B1311)</f>
        <v/>
      </c>
      <c r="C1311" s="3">
        <f>IF(ORIG!C1311=0,"",ORIG!C1311)</f>
        <v/>
      </c>
      <c r="D1311" s="3">
        <f>IF(ORIG!D1311=0,"",ORIG!D1311)</f>
        <v/>
      </c>
      <c r="E1311" s="3">
        <f>IF(ORIG!E1311=0,"",ORIG!E1311)</f>
        <v/>
      </c>
      <c r="F1311" s="3">
        <f>IF(ORIG!F1311=0,"",ORIG!F1311)</f>
        <v/>
      </c>
      <c r="G1311" s="3">
        <f>IF(ORIG!G1311=0,"",ORIG!G1311)</f>
        <v/>
      </c>
      <c r="H1311" s="3">
        <f>IF(ORIG!H1311=0,"",ORIG!H1311)</f>
        <v/>
      </c>
      <c r="I1311" s="3">
        <f>IF(ORIG!I1311=0,"",ORIG!I1311)</f>
        <v/>
      </c>
      <c r="J1311" s="3">
        <f>IF(ORIG!J1311=0,"",ORIG!J1311)</f>
        <v/>
      </c>
      <c r="K1311" s="3">
        <f>IF(ORIG!K1311=0,"",ORIG!K1311)</f>
        <v/>
      </c>
      <c r="L1311" s="3">
        <f>IF(ORIG!L1311=0,"",ORIG!L1311)</f>
        <v/>
      </c>
      <c r="M1311" s="3">
        <f>IF(ORIG!M1311=0,"",ORIG!M1311)</f>
        <v/>
      </c>
      <c r="N1311" s="3">
        <f>IF(ORIG!N1311=0,"",ORIG!N1311)</f>
        <v/>
      </c>
      <c r="O1311" s="3">
        <f>IF(ORIG!O1311=0,"",ORIG!O1311)</f>
        <v/>
      </c>
      <c r="P1311" s="3">
        <f>IF(ORIG!P1311=0,"",ORIG!P1311)</f>
        <v/>
      </c>
      <c r="Q1311" s="3">
        <f>IF(ORIG!Q1311=0,"",ORIG!Q1311)</f>
        <v/>
      </c>
      <c r="R1311" s="3">
        <f>IF(ORIG!R1311=0,"",ORIG!R1311)</f>
        <v/>
      </c>
      <c r="S1311" s="3">
        <f>IF(ORIG!S1311=0,"",ORIG!S1311)</f>
        <v/>
      </c>
      <c r="T1311" s="3">
        <f>IF(ORIG!T1311=0,"",ORIG!T1311)</f>
        <v/>
      </c>
      <c r="U1311" s="3">
        <f>IF(ORIG!U1311=0,"",ORIG!U1311)</f>
        <v/>
      </c>
      <c r="V1311" s="9">
        <f>IF(ORIG!V1311=0,"",ORIG!V1311)</f>
        <v/>
      </c>
      <c r="W1311" s="9">
        <f>IF(ORIG!W1311=0,"",ORIG!W1311)</f>
        <v/>
      </c>
      <c r="X1311" s="9">
        <f>IF(ORIG!X1311=0,"",ORIG!X1311)</f>
        <v/>
      </c>
      <c r="Y1311" s="9">
        <f>IF(ORIG!Y1311=0,"",ORIG!Y1311)</f>
        <v/>
      </c>
      <c r="Z1311" s="3">
        <f>SUMPRODUCT($B1311:$Y1311,$B$2649:$Y$2649)</f>
        <v/>
      </c>
      <c r="AA1311" s="3">
        <f>SUMPRODUCT($B1311:$Y1311,$B$2655:$Y$2655)</f>
        <v/>
      </c>
      <c r="AC1311" s="1">
        <f>A1311</f>
        <v/>
      </c>
      <c r="AD1311">
        <f>IF(ISNUMBER(V1311),V1311*($AB$1/V$2635),"")</f>
        <v/>
      </c>
      <c r="AE1311">
        <f>IF(ISNUMBER(Z1311),Z1311*($AB$1/Z$2635),"")</f>
        <v/>
      </c>
      <c r="AF1311" s="25">
        <f>IF(ISNUMBER(AD1311+AE1311),AD1311+AE1311,"")</f>
        <v/>
      </c>
      <c r="AH1311" s="1">
        <f>A1311</f>
        <v/>
      </c>
      <c r="AI1311">
        <f>IF(ISNUMBER((1+V1311)*AI1310),(1+V1311)*AI1310,AI1310)</f>
        <v/>
      </c>
      <c r="AJ1311">
        <f>IF(ISNUMBER((1+Z1311)*AJ1310),(1+Z1311)*AJ1310,AJ1310)</f>
        <v/>
      </c>
    </row>
    <row r="1312">
      <c r="A1312" s="1" t="n">
        <v>43907</v>
      </c>
      <c r="B1312" s="3">
        <f>IF(ORIG!B1312=0,"",ORIG!B1312)</f>
        <v/>
      </c>
      <c r="C1312" s="3">
        <f>IF(ORIG!C1312=0,"",ORIG!C1312)</f>
        <v/>
      </c>
      <c r="D1312" s="3">
        <f>IF(ORIG!D1312=0,"",ORIG!D1312)</f>
        <v/>
      </c>
      <c r="E1312" s="3">
        <f>IF(ORIG!E1312=0,"",ORIG!E1312)</f>
        <v/>
      </c>
      <c r="F1312" s="3">
        <f>IF(ORIG!F1312=0,"",ORIG!F1312)</f>
        <v/>
      </c>
      <c r="G1312" s="3">
        <f>IF(ORIG!G1312=0,"",ORIG!G1312)</f>
        <v/>
      </c>
      <c r="H1312" s="3">
        <f>IF(ORIG!H1312=0,"",ORIG!H1312)</f>
        <v/>
      </c>
      <c r="I1312" s="3">
        <f>IF(ORIG!I1312=0,"",ORIG!I1312)</f>
        <v/>
      </c>
      <c r="J1312" s="3">
        <f>IF(ORIG!J1312=0,"",ORIG!J1312)</f>
        <v/>
      </c>
      <c r="K1312" s="3">
        <f>IF(ORIG!K1312=0,"",ORIG!K1312)</f>
        <v/>
      </c>
      <c r="L1312" s="3">
        <f>IF(ORIG!L1312=0,"",ORIG!L1312)</f>
        <v/>
      </c>
      <c r="M1312" s="3">
        <f>IF(ORIG!M1312=0,"",ORIG!M1312)</f>
        <v/>
      </c>
      <c r="N1312" s="3">
        <f>IF(ORIG!N1312=0,"",ORIG!N1312)</f>
        <v/>
      </c>
      <c r="O1312" s="3">
        <f>IF(ORIG!O1312=0,"",ORIG!O1312)</f>
        <v/>
      </c>
      <c r="P1312" s="3">
        <f>IF(ORIG!P1312=0,"",ORIG!P1312)</f>
        <v/>
      </c>
      <c r="Q1312" s="3">
        <f>IF(ORIG!Q1312=0,"",ORIG!Q1312)</f>
        <v/>
      </c>
      <c r="R1312" s="3">
        <f>IF(ORIG!R1312=0,"",ORIG!R1312)</f>
        <v/>
      </c>
      <c r="S1312" s="3">
        <f>IF(ORIG!S1312=0,"",ORIG!S1312)</f>
        <v/>
      </c>
      <c r="T1312" s="3">
        <f>IF(ORIG!T1312=0,"",ORIG!T1312)</f>
        <v/>
      </c>
      <c r="U1312" s="3">
        <f>IF(ORIG!U1312=0,"",ORIG!U1312)</f>
        <v/>
      </c>
      <c r="V1312" s="9">
        <f>IF(ORIG!V1312=0,"",ORIG!V1312)</f>
        <v/>
      </c>
      <c r="W1312" s="9">
        <f>IF(ORIG!W1312=0,"",ORIG!W1312)</f>
        <v/>
      </c>
      <c r="X1312" s="9">
        <f>IF(ORIG!X1312=0,"",ORIG!X1312)</f>
        <v/>
      </c>
      <c r="Y1312" s="9">
        <f>IF(ORIG!Y1312=0,"",ORIG!Y1312)</f>
        <v/>
      </c>
      <c r="Z1312" s="3">
        <f>SUMPRODUCT($B1312:$Y1312,$B$2649:$Y$2649)</f>
        <v/>
      </c>
      <c r="AA1312" s="3">
        <f>SUMPRODUCT($B1312:$Y1312,$B$2655:$Y$2655)</f>
        <v/>
      </c>
      <c r="AC1312" s="1">
        <f>A1312</f>
        <v/>
      </c>
      <c r="AD1312">
        <f>IF(ISNUMBER(V1312),V1312*($AB$1/V$2635),"")</f>
        <v/>
      </c>
      <c r="AE1312">
        <f>IF(ISNUMBER(Z1312),Z1312*($AB$1/Z$2635),"")</f>
        <v/>
      </c>
      <c r="AF1312" s="25">
        <f>IF(ISNUMBER(AD1312+AE1312),AD1312+AE1312,"")</f>
        <v/>
      </c>
      <c r="AH1312" s="1">
        <f>A1312</f>
        <v/>
      </c>
      <c r="AI1312">
        <f>IF(ISNUMBER((1+V1312)*AI1311),(1+V1312)*AI1311,AI1311)</f>
        <v/>
      </c>
      <c r="AJ1312">
        <f>IF(ISNUMBER((1+Z1312)*AJ1311),(1+Z1312)*AJ1311,AJ1311)</f>
        <v/>
      </c>
    </row>
    <row r="1313">
      <c r="A1313" s="1" t="n">
        <v>43908</v>
      </c>
      <c r="B1313" s="3">
        <f>IF(ORIG!B1313=0,"",ORIG!B1313)</f>
        <v/>
      </c>
      <c r="C1313" s="3">
        <f>IF(ORIG!C1313=0,"",ORIG!C1313)</f>
        <v/>
      </c>
      <c r="D1313" s="3">
        <f>IF(ORIG!D1313=0,"",ORIG!D1313)</f>
        <v/>
      </c>
      <c r="E1313" s="3">
        <f>IF(ORIG!E1313=0,"",ORIG!E1313)</f>
        <v/>
      </c>
      <c r="F1313" s="3">
        <f>IF(ORIG!F1313=0,"",ORIG!F1313)</f>
        <v/>
      </c>
      <c r="G1313" s="3">
        <f>IF(ORIG!G1313=0,"",ORIG!G1313)</f>
        <v/>
      </c>
      <c r="H1313" s="3">
        <f>IF(ORIG!H1313=0,"",ORIG!H1313)</f>
        <v/>
      </c>
      <c r="I1313" s="3">
        <f>IF(ORIG!I1313=0,"",ORIG!I1313)</f>
        <v/>
      </c>
      <c r="J1313" s="3">
        <f>IF(ORIG!J1313=0,"",ORIG!J1313)</f>
        <v/>
      </c>
      <c r="K1313" s="3">
        <f>IF(ORIG!K1313=0,"",ORIG!K1313)</f>
        <v/>
      </c>
      <c r="L1313" s="3">
        <f>IF(ORIG!L1313=0,"",ORIG!L1313)</f>
        <v/>
      </c>
      <c r="M1313" s="3">
        <f>IF(ORIG!M1313=0,"",ORIG!M1313)</f>
        <v/>
      </c>
      <c r="N1313" s="3">
        <f>IF(ORIG!N1313=0,"",ORIG!N1313)</f>
        <v/>
      </c>
      <c r="O1313" s="3">
        <f>IF(ORIG!O1313=0,"",ORIG!O1313)</f>
        <v/>
      </c>
      <c r="P1313" s="3">
        <f>IF(ORIG!P1313=0,"",ORIG!P1313)</f>
        <v/>
      </c>
      <c r="Q1313" s="3">
        <f>IF(ORIG!Q1313=0,"",ORIG!Q1313)</f>
        <v/>
      </c>
      <c r="R1313" s="3">
        <f>IF(ORIG!R1313=0,"",ORIG!R1313)</f>
        <v/>
      </c>
      <c r="S1313" s="3">
        <f>IF(ORIG!S1313=0,"",ORIG!S1313)</f>
        <v/>
      </c>
      <c r="T1313" s="3">
        <f>IF(ORIG!T1313=0,"",ORIG!T1313)</f>
        <v/>
      </c>
      <c r="U1313" s="3">
        <f>IF(ORIG!U1313=0,"",ORIG!U1313)</f>
        <v/>
      </c>
      <c r="V1313" s="9">
        <f>IF(ORIG!V1313=0,"",ORIG!V1313)</f>
        <v/>
      </c>
      <c r="W1313" s="9">
        <f>IF(ORIG!W1313=0,"",ORIG!W1313)</f>
        <v/>
      </c>
      <c r="X1313" s="9">
        <f>IF(ORIG!X1313=0,"",ORIG!X1313)</f>
        <v/>
      </c>
      <c r="Y1313" s="9">
        <f>IF(ORIG!Y1313=0,"",ORIG!Y1313)</f>
        <v/>
      </c>
      <c r="Z1313" s="3">
        <f>SUMPRODUCT($B1313:$Y1313,$B$2649:$Y$2649)</f>
        <v/>
      </c>
      <c r="AA1313" s="3">
        <f>SUMPRODUCT($B1313:$Y1313,$B$2655:$Y$2655)</f>
        <v/>
      </c>
      <c r="AC1313" s="1">
        <f>A1313</f>
        <v/>
      </c>
      <c r="AD1313">
        <f>IF(ISNUMBER(V1313),V1313*($AB$1/V$2635),"")</f>
        <v/>
      </c>
      <c r="AE1313">
        <f>IF(ISNUMBER(Z1313),Z1313*($AB$1/Z$2635),"")</f>
        <v/>
      </c>
      <c r="AF1313" s="25">
        <f>IF(ISNUMBER(AD1313+AE1313),AD1313+AE1313,"")</f>
        <v/>
      </c>
      <c r="AH1313" s="1">
        <f>A1313</f>
        <v/>
      </c>
      <c r="AI1313">
        <f>IF(ISNUMBER((1+V1313)*AI1312),(1+V1313)*AI1312,AI1312)</f>
        <v/>
      </c>
      <c r="AJ1313">
        <f>IF(ISNUMBER((1+Z1313)*AJ1312),(1+Z1313)*AJ1312,AJ1312)</f>
        <v/>
      </c>
    </row>
    <row r="1314">
      <c r="A1314" s="1" t="n">
        <v>43909</v>
      </c>
      <c r="B1314" s="3">
        <f>IF(ORIG!B1314=0,"",ORIG!B1314)</f>
        <v/>
      </c>
      <c r="C1314" s="3">
        <f>IF(ORIG!C1314=0,"",ORIG!C1314)</f>
        <v/>
      </c>
      <c r="D1314" s="3">
        <f>IF(ORIG!D1314=0,"",ORIG!D1314)</f>
        <v/>
      </c>
      <c r="E1314" s="3">
        <f>IF(ORIG!E1314=0,"",ORIG!E1314)</f>
        <v/>
      </c>
      <c r="F1314" s="3">
        <f>IF(ORIG!F1314=0,"",ORIG!F1314)</f>
        <v/>
      </c>
      <c r="G1314" s="3">
        <f>IF(ORIG!G1314=0,"",ORIG!G1314)</f>
        <v/>
      </c>
      <c r="H1314" s="3">
        <f>IF(ORIG!H1314=0,"",ORIG!H1314)</f>
        <v/>
      </c>
      <c r="I1314" s="3">
        <f>IF(ORIG!I1314=0,"",ORIG!I1314)</f>
        <v/>
      </c>
      <c r="J1314" s="3">
        <f>IF(ORIG!J1314=0,"",ORIG!J1314)</f>
        <v/>
      </c>
      <c r="K1314" s="3">
        <f>IF(ORIG!K1314=0,"",ORIG!K1314)</f>
        <v/>
      </c>
      <c r="L1314" s="3">
        <f>IF(ORIG!L1314=0,"",ORIG!L1314)</f>
        <v/>
      </c>
      <c r="M1314" s="3">
        <f>IF(ORIG!M1314=0,"",ORIG!M1314)</f>
        <v/>
      </c>
      <c r="N1314" s="3">
        <f>IF(ORIG!N1314=0,"",ORIG!N1314)</f>
        <v/>
      </c>
      <c r="O1314" s="3">
        <f>IF(ORIG!O1314=0,"",ORIG!O1314)</f>
        <v/>
      </c>
      <c r="P1314" s="3">
        <f>IF(ORIG!P1314=0,"",ORIG!P1314)</f>
        <v/>
      </c>
      <c r="Q1314" s="3">
        <f>IF(ORIG!Q1314=0,"",ORIG!Q1314)</f>
        <v/>
      </c>
      <c r="R1314" s="3">
        <f>IF(ORIG!R1314=0,"",ORIG!R1314)</f>
        <v/>
      </c>
      <c r="S1314" s="3">
        <f>IF(ORIG!S1314=0,"",ORIG!S1314)</f>
        <v/>
      </c>
      <c r="T1314" s="3">
        <f>IF(ORIG!T1314=0,"",ORIG!T1314)</f>
        <v/>
      </c>
      <c r="U1314" s="3">
        <f>IF(ORIG!U1314=0,"",ORIG!U1314)</f>
        <v/>
      </c>
      <c r="V1314" s="9">
        <f>IF(ORIG!V1314=0,"",ORIG!V1314)</f>
        <v/>
      </c>
      <c r="W1314" s="9">
        <f>IF(ORIG!W1314=0,"",ORIG!W1314)</f>
        <v/>
      </c>
      <c r="X1314" s="9">
        <f>IF(ORIG!X1314=0,"",ORIG!X1314)</f>
        <v/>
      </c>
      <c r="Y1314" s="9">
        <f>IF(ORIG!Y1314=0,"",ORIG!Y1314)</f>
        <v/>
      </c>
      <c r="Z1314" s="3">
        <f>SUMPRODUCT($B1314:$Y1314,$B$2649:$Y$2649)</f>
        <v/>
      </c>
      <c r="AA1314" s="3">
        <f>SUMPRODUCT($B1314:$Y1314,$B$2655:$Y$2655)</f>
        <v/>
      </c>
      <c r="AC1314" s="1">
        <f>A1314</f>
        <v/>
      </c>
      <c r="AD1314">
        <f>IF(ISNUMBER(V1314),V1314*($AB$1/V$2635),"")</f>
        <v/>
      </c>
      <c r="AE1314">
        <f>IF(ISNUMBER(Z1314),Z1314*($AB$1/Z$2635),"")</f>
        <v/>
      </c>
      <c r="AF1314" s="25">
        <f>IF(ISNUMBER(AD1314+AE1314),AD1314+AE1314,"")</f>
        <v/>
      </c>
      <c r="AH1314" s="1">
        <f>A1314</f>
        <v/>
      </c>
      <c r="AI1314">
        <f>IF(ISNUMBER((1+V1314)*AI1313),(1+V1314)*AI1313,AI1313)</f>
        <v/>
      </c>
      <c r="AJ1314">
        <f>IF(ISNUMBER((1+Z1314)*AJ1313),(1+Z1314)*AJ1313,AJ1313)</f>
        <v/>
      </c>
    </row>
    <row r="1315">
      <c r="A1315" s="1" t="n">
        <v>43910</v>
      </c>
      <c r="B1315" s="3">
        <f>IF(ORIG!B1315=0,"",ORIG!B1315)</f>
        <v/>
      </c>
      <c r="C1315" s="3">
        <f>IF(ORIG!C1315=0,"",ORIG!C1315)</f>
        <v/>
      </c>
      <c r="D1315" s="3">
        <f>IF(ORIG!D1315=0,"",ORIG!D1315)</f>
        <v/>
      </c>
      <c r="E1315" s="3">
        <f>IF(ORIG!E1315=0,"",ORIG!E1315)</f>
        <v/>
      </c>
      <c r="F1315" s="3">
        <f>IF(ORIG!F1315=0,"",ORIG!F1315)</f>
        <v/>
      </c>
      <c r="G1315" s="3">
        <f>IF(ORIG!G1315=0,"",ORIG!G1315)</f>
        <v/>
      </c>
      <c r="H1315" s="3">
        <f>IF(ORIG!H1315=0,"",ORIG!H1315)</f>
        <v/>
      </c>
      <c r="I1315" s="3">
        <f>IF(ORIG!I1315=0,"",ORIG!I1315)</f>
        <v/>
      </c>
      <c r="J1315" s="3">
        <f>IF(ORIG!J1315=0,"",ORIG!J1315)</f>
        <v/>
      </c>
      <c r="K1315" s="3">
        <f>IF(ORIG!K1315=0,"",ORIG!K1315)</f>
        <v/>
      </c>
      <c r="L1315" s="3">
        <f>IF(ORIG!L1315=0,"",ORIG!L1315)</f>
        <v/>
      </c>
      <c r="M1315" s="3">
        <f>IF(ORIG!M1315=0,"",ORIG!M1315)</f>
        <v/>
      </c>
      <c r="N1315" s="3">
        <f>IF(ORIG!N1315=0,"",ORIG!N1315)</f>
        <v/>
      </c>
      <c r="O1315" s="3">
        <f>IF(ORIG!O1315=0,"",ORIG!O1315)</f>
        <v/>
      </c>
      <c r="P1315" s="3">
        <f>IF(ORIG!P1315=0,"",ORIG!P1315)</f>
        <v/>
      </c>
      <c r="Q1315" s="3">
        <f>IF(ORIG!Q1315=0,"",ORIG!Q1315)</f>
        <v/>
      </c>
      <c r="R1315" s="3">
        <f>IF(ORIG!R1315=0,"",ORIG!R1315)</f>
        <v/>
      </c>
      <c r="S1315" s="3">
        <f>IF(ORIG!S1315=0,"",ORIG!S1315)</f>
        <v/>
      </c>
      <c r="T1315" s="3">
        <f>IF(ORIG!T1315=0,"",ORIG!T1315)</f>
        <v/>
      </c>
      <c r="U1315" s="3">
        <f>IF(ORIG!U1315=0,"",ORIG!U1315)</f>
        <v/>
      </c>
      <c r="V1315" s="9">
        <f>IF(ORIG!V1315=0,"",ORIG!V1315)</f>
        <v/>
      </c>
      <c r="W1315" s="9">
        <f>IF(ORIG!W1315=0,"",ORIG!W1315)</f>
        <v/>
      </c>
      <c r="X1315" s="9">
        <f>IF(ORIG!X1315=0,"",ORIG!X1315)</f>
        <v/>
      </c>
      <c r="Y1315" s="9">
        <f>IF(ORIG!Y1315=0,"",ORIG!Y1315)</f>
        <v/>
      </c>
      <c r="Z1315" s="3">
        <f>SUMPRODUCT($B1315:$Y1315,$B$2649:$Y$2649)</f>
        <v/>
      </c>
      <c r="AA1315" s="3">
        <f>SUMPRODUCT($B1315:$Y1315,$B$2655:$Y$2655)</f>
        <v/>
      </c>
      <c r="AC1315" s="1">
        <f>A1315</f>
        <v/>
      </c>
      <c r="AD1315">
        <f>IF(ISNUMBER(V1315),V1315*($AB$1/V$2635),"")</f>
        <v/>
      </c>
      <c r="AE1315">
        <f>IF(ISNUMBER(Z1315),Z1315*($AB$1/Z$2635),"")</f>
        <v/>
      </c>
      <c r="AF1315" s="25">
        <f>IF(ISNUMBER(AD1315+AE1315),AD1315+AE1315,"")</f>
        <v/>
      </c>
      <c r="AH1315" s="1">
        <f>A1315</f>
        <v/>
      </c>
      <c r="AI1315">
        <f>IF(ISNUMBER((1+V1315)*AI1314),(1+V1315)*AI1314,AI1314)</f>
        <v/>
      </c>
      <c r="AJ1315">
        <f>IF(ISNUMBER((1+Z1315)*AJ1314),(1+Z1315)*AJ1314,AJ1314)</f>
        <v/>
      </c>
    </row>
    <row r="1316">
      <c r="A1316" s="1" t="n">
        <v>43913</v>
      </c>
      <c r="B1316" s="3">
        <f>IF(ORIG!B1316=0,"",ORIG!B1316)</f>
        <v/>
      </c>
      <c r="C1316" s="3">
        <f>IF(ORIG!C1316=0,"",ORIG!C1316)</f>
        <v/>
      </c>
      <c r="D1316" s="3">
        <f>IF(ORIG!D1316=0,"",ORIG!D1316)</f>
        <v/>
      </c>
      <c r="E1316" s="3">
        <f>IF(ORIG!E1316=0,"",ORIG!E1316)</f>
        <v/>
      </c>
      <c r="F1316" s="3">
        <f>IF(ORIG!F1316=0,"",ORIG!F1316)</f>
        <v/>
      </c>
      <c r="G1316" s="3">
        <f>IF(ORIG!G1316=0,"",ORIG!G1316)</f>
        <v/>
      </c>
      <c r="H1316" s="3">
        <f>IF(ORIG!H1316=0,"",ORIG!H1316)</f>
        <v/>
      </c>
      <c r="I1316" s="3">
        <f>IF(ORIG!I1316=0,"",ORIG!I1316)</f>
        <v/>
      </c>
      <c r="J1316" s="3">
        <f>IF(ORIG!J1316=0,"",ORIG!J1316)</f>
        <v/>
      </c>
      <c r="K1316" s="3">
        <f>IF(ORIG!K1316=0,"",ORIG!K1316)</f>
        <v/>
      </c>
      <c r="L1316" s="3">
        <f>IF(ORIG!L1316=0,"",ORIG!L1316)</f>
        <v/>
      </c>
      <c r="M1316" s="3">
        <f>IF(ORIG!M1316=0,"",ORIG!M1316)</f>
        <v/>
      </c>
      <c r="N1316" s="3">
        <f>IF(ORIG!N1316=0,"",ORIG!N1316)</f>
        <v/>
      </c>
      <c r="O1316" s="3">
        <f>IF(ORIG!O1316=0,"",ORIG!O1316)</f>
        <v/>
      </c>
      <c r="P1316" s="3">
        <f>IF(ORIG!P1316=0,"",ORIG!P1316)</f>
        <v/>
      </c>
      <c r="Q1316" s="3">
        <f>IF(ORIG!Q1316=0,"",ORIG!Q1316)</f>
        <v/>
      </c>
      <c r="R1316" s="3">
        <f>IF(ORIG!R1316=0,"",ORIG!R1316)</f>
        <v/>
      </c>
      <c r="S1316" s="3">
        <f>IF(ORIG!S1316=0,"",ORIG!S1316)</f>
        <v/>
      </c>
      <c r="T1316" s="3">
        <f>IF(ORIG!T1316=0,"",ORIG!T1316)</f>
        <v/>
      </c>
      <c r="U1316" s="3">
        <f>IF(ORIG!U1316=0,"",ORIG!U1316)</f>
        <v/>
      </c>
      <c r="V1316" s="9">
        <f>IF(ORIG!V1316=0,"",ORIG!V1316)</f>
        <v/>
      </c>
      <c r="W1316" s="9">
        <f>IF(ORIG!W1316=0,"",ORIG!W1316)</f>
        <v/>
      </c>
      <c r="X1316" s="9">
        <f>IF(ORIG!X1316=0,"",ORIG!X1316)</f>
        <v/>
      </c>
      <c r="Y1316" s="9">
        <f>IF(ORIG!Y1316=0,"",ORIG!Y1316)</f>
        <v/>
      </c>
      <c r="Z1316" s="3">
        <f>SUMPRODUCT($B1316:$Y1316,$B$2649:$Y$2649)</f>
        <v/>
      </c>
      <c r="AA1316" s="3">
        <f>SUMPRODUCT($B1316:$Y1316,$B$2655:$Y$2655)</f>
        <v/>
      </c>
      <c r="AC1316" s="1">
        <f>A1316</f>
        <v/>
      </c>
      <c r="AD1316">
        <f>IF(ISNUMBER(V1316),V1316*($AB$1/V$2635),"")</f>
        <v/>
      </c>
      <c r="AE1316">
        <f>IF(ISNUMBER(Z1316),Z1316*($AB$1/Z$2635),"")</f>
        <v/>
      </c>
      <c r="AF1316" s="25">
        <f>IF(ISNUMBER(AD1316+AE1316),AD1316+AE1316,"")</f>
        <v/>
      </c>
      <c r="AH1316" s="1">
        <f>A1316</f>
        <v/>
      </c>
      <c r="AI1316">
        <f>IF(ISNUMBER((1+V1316)*AI1315),(1+V1316)*AI1315,AI1315)</f>
        <v/>
      </c>
      <c r="AJ1316">
        <f>IF(ISNUMBER((1+Z1316)*AJ1315),(1+Z1316)*AJ1315,AJ1315)</f>
        <v/>
      </c>
    </row>
    <row r="1317">
      <c r="A1317" s="1" t="n">
        <v>43914</v>
      </c>
      <c r="B1317" s="3">
        <f>IF(ORIG!B1317=0,"",ORIG!B1317)</f>
        <v/>
      </c>
      <c r="C1317" s="3">
        <f>IF(ORIG!C1317=0,"",ORIG!C1317)</f>
        <v/>
      </c>
      <c r="D1317" s="3">
        <f>IF(ORIG!D1317=0,"",ORIG!D1317)</f>
        <v/>
      </c>
      <c r="E1317" s="3">
        <f>IF(ORIG!E1317=0,"",ORIG!E1317)</f>
        <v/>
      </c>
      <c r="F1317" s="3">
        <f>IF(ORIG!F1317=0,"",ORIG!F1317)</f>
        <v/>
      </c>
      <c r="G1317" s="3">
        <f>IF(ORIG!G1317=0,"",ORIG!G1317)</f>
        <v/>
      </c>
      <c r="H1317" s="3">
        <f>IF(ORIG!H1317=0,"",ORIG!H1317)</f>
        <v/>
      </c>
      <c r="I1317" s="3">
        <f>IF(ORIG!I1317=0,"",ORIG!I1317)</f>
        <v/>
      </c>
      <c r="J1317" s="3">
        <f>IF(ORIG!J1317=0,"",ORIG!J1317)</f>
        <v/>
      </c>
      <c r="K1317" s="3">
        <f>IF(ORIG!K1317=0,"",ORIG!K1317)</f>
        <v/>
      </c>
      <c r="L1317" s="3">
        <f>IF(ORIG!L1317=0,"",ORIG!L1317)</f>
        <v/>
      </c>
      <c r="M1317" s="3">
        <f>IF(ORIG!M1317=0,"",ORIG!M1317)</f>
        <v/>
      </c>
      <c r="N1317" s="3">
        <f>IF(ORIG!N1317=0,"",ORIG!N1317)</f>
        <v/>
      </c>
      <c r="O1317" s="3">
        <f>IF(ORIG!O1317=0,"",ORIG!O1317)</f>
        <v/>
      </c>
      <c r="P1317" s="3">
        <f>IF(ORIG!P1317=0,"",ORIG!P1317)</f>
        <v/>
      </c>
      <c r="Q1317" s="3">
        <f>IF(ORIG!Q1317=0,"",ORIG!Q1317)</f>
        <v/>
      </c>
      <c r="R1317" s="3">
        <f>IF(ORIG!R1317=0,"",ORIG!R1317)</f>
        <v/>
      </c>
      <c r="S1317" s="3">
        <f>IF(ORIG!S1317=0,"",ORIG!S1317)</f>
        <v/>
      </c>
      <c r="T1317" s="3">
        <f>IF(ORIG!T1317=0,"",ORIG!T1317)</f>
        <v/>
      </c>
      <c r="U1317" s="3">
        <f>IF(ORIG!U1317=0,"",ORIG!U1317)</f>
        <v/>
      </c>
      <c r="V1317" s="9">
        <f>IF(ORIG!V1317=0,"",ORIG!V1317)</f>
        <v/>
      </c>
      <c r="W1317" s="9">
        <f>IF(ORIG!W1317=0,"",ORIG!W1317)</f>
        <v/>
      </c>
      <c r="X1317" s="9">
        <f>IF(ORIG!X1317=0,"",ORIG!X1317)</f>
        <v/>
      </c>
      <c r="Y1317" s="9">
        <f>IF(ORIG!Y1317=0,"",ORIG!Y1317)</f>
        <v/>
      </c>
      <c r="Z1317" s="3">
        <f>SUMPRODUCT($B1317:$Y1317,$B$2649:$Y$2649)</f>
        <v/>
      </c>
      <c r="AA1317" s="3">
        <f>SUMPRODUCT($B1317:$Y1317,$B$2655:$Y$2655)</f>
        <v/>
      </c>
      <c r="AC1317" s="1">
        <f>A1317</f>
        <v/>
      </c>
      <c r="AD1317">
        <f>IF(ISNUMBER(V1317),V1317*($AB$1/V$2635),"")</f>
        <v/>
      </c>
      <c r="AE1317">
        <f>IF(ISNUMBER(Z1317),Z1317*($AB$1/Z$2635),"")</f>
        <v/>
      </c>
      <c r="AF1317" s="25">
        <f>IF(ISNUMBER(AD1317+AE1317),AD1317+AE1317,"")</f>
        <v/>
      </c>
      <c r="AH1317" s="1">
        <f>A1317</f>
        <v/>
      </c>
      <c r="AI1317">
        <f>IF(ISNUMBER((1+V1317)*AI1316),(1+V1317)*AI1316,AI1316)</f>
        <v/>
      </c>
      <c r="AJ1317">
        <f>IF(ISNUMBER((1+Z1317)*AJ1316),(1+Z1317)*AJ1316,AJ1316)</f>
        <v/>
      </c>
    </row>
    <row r="1318">
      <c r="A1318" s="1" t="n">
        <v>43915</v>
      </c>
      <c r="B1318" s="3">
        <f>IF(ORIG!B1318=0,"",ORIG!B1318)</f>
        <v/>
      </c>
      <c r="C1318" s="3">
        <f>IF(ORIG!C1318=0,"",ORIG!C1318)</f>
        <v/>
      </c>
      <c r="D1318" s="3">
        <f>IF(ORIG!D1318=0,"",ORIG!D1318)</f>
        <v/>
      </c>
      <c r="E1318" s="3">
        <f>IF(ORIG!E1318=0,"",ORIG!E1318)</f>
        <v/>
      </c>
      <c r="F1318" s="3">
        <f>IF(ORIG!F1318=0,"",ORIG!F1318)</f>
        <v/>
      </c>
      <c r="G1318" s="3">
        <f>IF(ORIG!G1318=0,"",ORIG!G1318)</f>
        <v/>
      </c>
      <c r="H1318" s="3">
        <f>IF(ORIG!H1318=0,"",ORIG!H1318)</f>
        <v/>
      </c>
      <c r="I1318" s="3">
        <f>IF(ORIG!I1318=0,"",ORIG!I1318)</f>
        <v/>
      </c>
      <c r="J1318" s="3">
        <f>IF(ORIG!J1318=0,"",ORIG!J1318)</f>
        <v/>
      </c>
      <c r="K1318" s="3">
        <f>IF(ORIG!K1318=0,"",ORIG!K1318)</f>
        <v/>
      </c>
      <c r="L1318" s="3">
        <f>IF(ORIG!L1318=0,"",ORIG!L1318)</f>
        <v/>
      </c>
      <c r="M1318" s="3">
        <f>IF(ORIG!M1318=0,"",ORIG!M1318)</f>
        <v/>
      </c>
      <c r="N1318" s="3">
        <f>IF(ORIG!N1318=0,"",ORIG!N1318)</f>
        <v/>
      </c>
      <c r="O1318" s="3">
        <f>IF(ORIG!O1318=0,"",ORIG!O1318)</f>
        <v/>
      </c>
      <c r="P1318" s="3">
        <f>IF(ORIG!P1318=0,"",ORIG!P1318)</f>
        <v/>
      </c>
      <c r="Q1318" s="3">
        <f>IF(ORIG!Q1318=0,"",ORIG!Q1318)</f>
        <v/>
      </c>
      <c r="R1318" s="3">
        <f>IF(ORIG!R1318=0,"",ORIG!R1318)</f>
        <v/>
      </c>
      <c r="S1318" s="3">
        <f>IF(ORIG!S1318=0,"",ORIG!S1318)</f>
        <v/>
      </c>
      <c r="T1318" s="3">
        <f>IF(ORIG!T1318=0,"",ORIG!T1318)</f>
        <v/>
      </c>
      <c r="U1318" s="3">
        <f>IF(ORIG!U1318=0,"",ORIG!U1318)</f>
        <v/>
      </c>
      <c r="V1318" s="9">
        <f>IF(ORIG!V1318=0,"",ORIG!V1318)</f>
        <v/>
      </c>
      <c r="W1318" s="9">
        <f>IF(ORIG!W1318=0,"",ORIG!W1318)</f>
        <v/>
      </c>
      <c r="X1318" s="9">
        <f>IF(ORIG!X1318=0,"",ORIG!X1318)</f>
        <v/>
      </c>
      <c r="Y1318" s="9">
        <f>IF(ORIG!Y1318=0,"",ORIG!Y1318)</f>
        <v/>
      </c>
      <c r="Z1318" s="3">
        <f>SUMPRODUCT($B1318:$Y1318,$B$2649:$Y$2649)</f>
        <v/>
      </c>
      <c r="AA1318" s="3">
        <f>SUMPRODUCT($B1318:$Y1318,$B$2655:$Y$2655)</f>
        <v/>
      </c>
      <c r="AC1318" s="1">
        <f>A1318</f>
        <v/>
      </c>
      <c r="AD1318">
        <f>IF(ISNUMBER(V1318),V1318*($AB$1/V$2635),"")</f>
        <v/>
      </c>
      <c r="AE1318">
        <f>IF(ISNUMBER(Z1318),Z1318*($AB$1/Z$2635),"")</f>
        <v/>
      </c>
      <c r="AF1318" s="25">
        <f>IF(ISNUMBER(AD1318+AE1318),AD1318+AE1318,"")</f>
        <v/>
      </c>
      <c r="AH1318" s="1">
        <f>A1318</f>
        <v/>
      </c>
      <c r="AI1318">
        <f>IF(ISNUMBER((1+V1318)*AI1317),(1+V1318)*AI1317,AI1317)</f>
        <v/>
      </c>
      <c r="AJ1318">
        <f>IF(ISNUMBER((1+Z1318)*AJ1317),(1+Z1318)*AJ1317,AJ1317)</f>
        <v/>
      </c>
    </row>
    <row r="1319">
      <c r="A1319" s="1" t="n">
        <v>43916</v>
      </c>
      <c r="B1319" s="3">
        <f>IF(ORIG!B1319=0,"",ORIG!B1319)</f>
        <v/>
      </c>
      <c r="C1319" s="3">
        <f>IF(ORIG!C1319=0,"",ORIG!C1319)</f>
        <v/>
      </c>
      <c r="D1319" s="3">
        <f>IF(ORIG!D1319=0,"",ORIG!D1319)</f>
        <v/>
      </c>
      <c r="E1319" s="3">
        <f>IF(ORIG!E1319=0,"",ORIG!E1319)</f>
        <v/>
      </c>
      <c r="F1319" s="3">
        <f>IF(ORIG!F1319=0,"",ORIG!F1319)</f>
        <v/>
      </c>
      <c r="G1319" s="3">
        <f>IF(ORIG!G1319=0,"",ORIG!G1319)</f>
        <v/>
      </c>
      <c r="H1319" s="3">
        <f>IF(ORIG!H1319=0,"",ORIG!H1319)</f>
        <v/>
      </c>
      <c r="I1319" s="3">
        <f>IF(ORIG!I1319=0,"",ORIG!I1319)</f>
        <v/>
      </c>
      <c r="J1319" s="3">
        <f>IF(ORIG!J1319=0,"",ORIG!J1319)</f>
        <v/>
      </c>
      <c r="K1319" s="3">
        <f>IF(ORIG!K1319=0,"",ORIG!K1319)</f>
        <v/>
      </c>
      <c r="L1319" s="3">
        <f>IF(ORIG!L1319=0,"",ORIG!L1319)</f>
        <v/>
      </c>
      <c r="M1319" s="3">
        <f>IF(ORIG!M1319=0,"",ORIG!M1319)</f>
        <v/>
      </c>
      <c r="N1319" s="3">
        <f>IF(ORIG!N1319=0,"",ORIG!N1319)</f>
        <v/>
      </c>
      <c r="O1319" s="3">
        <f>IF(ORIG!O1319=0,"",ORIG!O1319)</f>
        <v/>
      </c>
      <c r="P1319" s="3">
        <f>IF(ORIG!P1319=0,"",ORIG!P1319)</f>
        <v/>
      </c>
      <c r="Q1319" s="3">
        <f>IF(ORIG!Q1319=0,"",ORIG!Q1319)</f>
        <v/>
      </c>
      <c r="R1319" s="3">
        <f>IF(ORIG!R1319=0,"",ORIG!R1319)</f>
        <v/>
      </c>
      <c r="S1319" s="3">
        <f>IF(ORIG!S1319=0,"",ORIG!S1319)</f>
        <v/>
      </c>
      <c r="T1319" s="3">
        <f>IF(ORIG!T1319=0,"",ORIG!T1319)</f>
        <v/>
      </c>
      <c r="U1319" s="3">
        <f>IF(ORIG!U1319=0,"",ORIG!U1319)</f>
        <v/>
      </c>
      <c r="V1319" s="9">
        <f>IF(ORIG!V1319=0,"",ORIG!V1319)</f>
        <v/>
      </c>
      <c r="W1319" s="9">
        <f>IF(ORIG!W1319=0,"",ORIG!W1319)</f>
        <v/>
      </c>
      <c r="X1319" s="9">
        <f>IF(ORIG!X1319=0,"",ORIG!X1319)</f>
        <v/>
      </c>
      <c r="Y1319" s="9">
        <f>IF(ORIG!Y1319=0,"",ORIG!Y1319)</f>
        <v/>
      </c>
      <c r="Z1319" s="3">
        <f>SUMPRODUCT($B1319:$Y1319,$B$2649:$Y$2649)</f>
        <v/>
      </c>
      <c r="AA1319" s="3">
        <f>SUMPRODUCT($B1319:$Y1319,$B$2655:$Y$2655)</f>
        <v/>
      </c>
      <c r="AC1319" s="1">
        <f>A1319</f>
        <v/>
      </c>
      <c r="AD1319">
        <f>IF(ISNUMBER(V1319),V1319*($AB$1/V$2635),"")</f>
        <v/>
      </c>
      <c r="AE1319">
        <f>IF(ISNUMBER(Z1319),Z1319*($AB$1/Z$2635),"")</f>
        <v/>
      </c>
      <c r="AF1319" s="25">
        <f>IF(ISNUMBER(AD1319+AE1319),AD1319+AE1319,"")</f>
        <v/>
      </c>
      <c r="AH1319" s="1">
        <f>A1319</f>
        <v/>
      </c>
      <c r="AI1319">
        <f>IF(ISNUMBER((1+V1319)*AI1318),(1+V1319)*AI1318,AI1318)</f>
        <v/>
      </c>
      <c r="AJ1319">
        <f>IF(ISNUMBER((1+Z1319)*AJ1318),(1+Z1319)*AJ1318,AJ1318)</f>
        <v/>
      </c>
    </row>
    <row r="1320">
      <c r="A1320" s="1" t="n">
        <v>43917</v>
      </c>
      <c r="B1320" s="3">
        <f>IF(ORIG!B1320=0,"",ORIG!B1320)</f>
        <v/>
      </c>
      <c r="C1320" s="3">
        <f>IF(ORIG!C1320=0,"",ORIG!C1320)</f>
        <v/>
      </c>
      <c r="D1320" s="3">
        <f>IF(ORIG!D1320=0,"",ORIG!D1320)</f>
        <v/>
      </c>
      <c r="E1320" s="3">
        <f>IF(ORIG!E1320=0,"",ORIG!E1320)</f>
        <v/>
      </c>
      <c r="F1320" s="3">
        <f>IF(ORIG!F1320=0,"",ORIG!F1320)</f>
        <v/>
      </c>
      <c r="G1320" s="3">
        <f>IF(ORIG!G1320=0,"",ORIG!G1320)</f>
        <v/>
      </c>
      <c r="H1320" s="3">
        <f>IF(ORIG!H1320=0,"",ORIG!H1320)</f>
        <v/>
      </c>
      <c r="I1320" s="3">
        <f>IF(ORIG!I1320=0,"",ORIG!I1320)</f>
        <v/>
      </c>
      <c r="J1320" s="3">
        <f>IF(ORIG!J1320=0,"",ORIG!J1320)</f>
        <v/>
      </c>
      <c r="K1320" s="3">
        <f>IF(ORIG!K1320=0,"",ORIG!K1320)</f>
        <v/>
      </c>
      <c r="L1320" s="3">
        <f>IF(ORIG!L1320=0,"",ORIG!L1320)</f>
        <v/>
      </c>
      <c r="M1320" s="3">
        <f>IF(ORIG!M1320=0,"",ORIG!M1320)</f>
        <v/>
      </c>
      <c r="N1320" s="3">
        <f>IF(ORIG!N1320=0,"",ORIG!N1320)</f>
        <v/>
      </c>
      <c r="O1320" s="3">
        <f>IF(ORIG!O1320=0,"",ORIG!O1320)</f>
        <v/>
      </c>
      <c r="P1320" s="3">
        <f>IF(ORIG!P1320=0,"",ORIG!P1320)</f>
        <v/>
      </c>
      <c r="Q1320" s="3">
        <f>IF(ORIG!Q1320=0,"",ORIG!Q1320)</f>
        <v/>
      </c>
      <c r="R1320" s="3">
        <f>IF(ORIG!R1320=0,"",ORIG!R1320)</f>
        <v/>
      </c>
      <c r="S1320" s="3">
        <f>IF(ORIG!S1320=0,"",ORIG!S1320)</f>
        <v/>
      </c>
      <c r="T1320" s="3">
        <f>IF(ORIG!T1320=0,"",ORIG!T1320)</f>
        <v/>
      </c>
      <c r="U1320" s="3">
        <f>IF(ORIG!U1320=0,"",ORIG!U1320)</f>
        <v/>
      </c>
      <c r="V1320" s="9">
        <f>IF(ORIG!V1320=0,"",ORIG!V1320)</f>
        <v/>
      </c>
      <c r="W1320" s="9">
        <f>IF(ORIG!W1320=0,"",ORIG!W1320)</f>
        <v/>
      </c>
      <c r="X1320" s="9">
        <f>IF(ORIG!X1320=0,"",ORIG!X1320)</f>
        <v/>
      </c>
      <c r="Y1320" s="9">
        <f>IF(ORIG!Y1320=0,"",ORIG!Y1320)</f>
        <v/>
      </c>
      <c r="Z1320" s="3">
        <f>SUMPRODUCT($B1320:$Y1320,$B$2649:$Y$2649)</f>
        <v/>
      </c>
      <c r="AA1320" s="3">
        <f>SUMPRODUCT($B1320:$Y1320,$B$2655:$Y$2655)</f>
        <v/>
      </c>
      <c r="AC1320" s="1">
        <f>A1320</f>
        <v/>
      </c>
      <c r="AD1320">
        <f>IF(ISNUMBER(V1320),V1320*($AB$1/V$2635),"")</f>
        <v/>
      </c>
      <c r="AE1320">
        <f>IF(ISNUMBER(Z1320),Z1320*($AB$1/Z$2635),"")</f>
        <v/>
      </c>
      <c r="AF1320" s="25">
        <f>IF(ISNUMBER(AD1320+AE1320),AD1320+AE1320,"")</f>
        <v/>
      </c>
      <c r="AH1320" s="1">
        <f>A1320</f>
        <v/>
      </c>
      <c r="AI1320">
        <f>IF(ISNUMBER((1+V1320)*AI1319),(1+V1320)*AI1319,AI1319)</f>
        <v/>
      </c>
      <c r="AJ1320">
        <f>IF(ISNUMBER((1+Z1320)*AJ1319),(1+Z1320)*AJ1319,AJ1319)</f>
        <v/>
      </c>
    </row>
    <row r="1321">
      <c r="A1321" s="1" t="n">
        <v>43920</v>
      </c>
      <c r="B1321" s="3">
        <f>IF(ORIG!B1321=0,"",ORIG!B1321)</f>
        <v/>
      </c>
      <c r="C1321" s="3">
        <f>IF(ORIG!C1321=0,"",ORIG!C1321)</f>
        <v/>
      </c>
      <c r="D1321" s="3">
        <f>IF(ORIG!D1321=0,"",ORIG!D1321)</f>
        <v/>
      </c>
      <c r="E1321" s="3">
        <f>IF(ORIG!E1321=0,"",ORIG!E1321)</f>
        <v/>
      </c>
      <c r="F1321" s="3">
        <f>IF(ORIG!F1321=0,"",ORIG!F1321)</f>
        <v/>
      </c>
      <c r="G1321" s="3">
        <f>IF(ORIG!G1321=0,"",ORIG!G1321)</f>
        <v/>
      </c>
      <c r="H1321" s="3">
        <f>IF(ORIG!H1321=0,"",ORIG!H1321)</f>
        <v/>
      </c>
      <c r="I1321" s="3">
        <f>IF(ORIG!I1321=0,"",ORIG!I1321)</f>
        <v/>
      </c>
      <c r="J1321" s="3">
        <f>IF(ORIG!J1321=0,"",ORIG!J1321)</f>
        <v/>
      </c>
      <c r="K1321" s="3">
        <f>IF(ORIG!K1321=0,"",ORIG!K1321)</f>
        <v/>
      </c>
      <c r="L1321" s="3">
        <f>IF(ORIG!L1321=0,"",ORIG!L1321)</f>
        <v/>
      </c>
      <c r="M1321" s="3">
        <f>IF(ORIG!M1321=0,"",ORIG!M1321)</f>
        <v/>
      </c>
      <c r="N1321" s="3">
        <f>IF(ORIG!N1321=0,"",ORIG!N1321)</f>
        <v/>
      </c>
      <c r="O1321" s="3">
        <f>IF(ORIG!O1321=0,"",ORIG!O1321)</f>
        <v/>
      </c>
      <c r="P1321" s="3">
        <f>IF(ORIG!P1321=0,"",ORIG!P1321)</f>
        <v/>
      </c>
      <c r="Q1321" s="3">
        <f>IF(ORIG!Q1321=0,"",ORIG!Q1321)</f>
        <v/>
      </c>
      <c r="R1321" s="3">
        <f>IF(ORIG!R1321=0,"",ORIG!R1321)</f>
        <v/>
      </c>
      <c r="S1321" s="3">
        <f>IF(ORIG!S1321=0,"",ORIG!S1321)</f>
        <v/>
      </c>
      <c r="T1321" s="3">
        <f>IF(ORIG!T1321=0,"",ORIG!T1321)</f>
        <v/>
      </c>
      <c r="U1321" s="3">
        <f>IF(ORIG!U1321=0,"",ORIG!U1321)</f>
        <v/>
      </c>
      <c r="V1321" s="9">
        <f>IF(ORIG!V1321=0,"",ORIG!V1321)</f>
        <v/>
      </c>
      <c r="W1321" s="9">
        <f>IF(ORIG!W1321=0,"",ORIG!W1321)</f>
        <v/>
      </c>
      <c r="X1321" s="9">
        <f>IF(ORIG!X1321=0,"",ORIG!X1321)</f>
        <v/>
      </c>
      <c r="Y1321" s="9">
        <f>IF(ORIG!Y1321=0,"",ORIG!Y1321)</f>
        <v/>
      </c>
      <c r="Z1321" s="3">
        <f>SUMPRODUCT($B1321:$Y1321,$B$2649:$Y$2649)</f>
        <v/>
      </c>
      <c r="AA1321" s="3">
        <f>SUMPRODUCT($B1321:$Y1321,$B$2655:$Y$2655)</f>
        <v/>
      </c>
      <c r="AC1321" s="1">
        <f>A1321</f>
        <v/>
      </c>
      <c r="AD1321">
        <f>IF(ISNUMBER(V1321),V1321*($AB$1/V$2635),"")</f>
        <v/>
      </c>
      <c r="AE1321">
        <f>IF(ISNUMBER(Z1321),Z1321*($AB$1/Z$2635),"")</f>
        <v/>
      </c>
      <c r="AF1321" s="25">
        <f>IF(ISNUMBER(AD1321+AE1321),AD1321+AE1321,"")</f>
        <v/>
      </c>
      <c r="AH1321" s="1">
        <f>A1321</f>
        <v/>
      </c>
      <c r="AI1321">
        <f>IF(ISNUMBER((1+V1321)*AI1320),(1+V1321)*AI1320,AI1320)</f>
        <v/>
      </c>
      <c r="AJ1321">
        <f>IF(ISNUMBER((1+Z1321)*AJ1320),(1+Z1321)*AJ1320,AJ1320)</f>
        <v/>
      </c>
    </row>
    <row r="1322">
      <c r="A1322" s="1" t="n">
        <v>43921</v>
      </c>
      <c r="B1322" s="3">
        <f>IF(ORIG!B1322=0,"",ORIG!B1322)</f>
        <v/>
      </c>
      <c r="C1322" s="3">
        <f>IF(ORIG!C1322=0,"",ORIG!C1322)</f>
        <v/>
      </c>
      <c r="D1322" s="3">
        <f>IF(ORIG!D1322=0,"",ORIG!D1322)</f>
        <v/>
      </c>
      <c r="E1322" s="3">
        <f>IF(ORIG!E1322=0,"",ORIG!E1322)</f>
        <v/>
      </c>
      <c r="F1322" s="3">
        <f>IF(ORIG!F1322=0,"",ORIG!F1322)</f>
        <v/>
      </c>
      <c r="G1322" s="3">
        <f>IF(ORIG!G1322=0,"",ORIG!G1322)</f>
        <v/>
      </c>
      <c r="H1322" s="3">
        <f>IF(ORIG!H1322=0,"",ORIG!H1322)</f>
        <v/>
      </c>
      <c r="I1322" s="3">
        <f>IF(ORIG!I1322=0,"",ORIG!I1322)</f>
        <v/>
      </c>
      <c r="J1322" s="3">
        <f>IF(ORIG!J1322=0,"",ORIG!J1322)</f>
        <v/>
      </c>
      <c r="K1322" s="3">
        <f>IF(ORIG!K1322=0,"",ORIG!K1322)</f>
        <v/>
      </c>
      <c r="L1322" s="3">
        <f>IF(ORIG!L1322=0,"",ORIG!L1322)</f>
        <v/>
      </c>
      <c r="M1322" s="3">
        <f>IF(ORIG!M1322=0,"",ORIG!M1322)</f>
        <v/>
      </c>
      <c r="N1322" s="3">
        <f>IF(ORIG!N1322=0,"",ORIG!N1322)</f>
        <v/>
      </c>
      <c r="O1322" s="3">
        <f>IF(ORIG!O1322=0,"",ORIG!O1322)</f>
        <v/>
      </c>
      <c r="P1322" s="3">
        <f>IF(ORIG!P1322=0,"",ORIG!P1322)</f>
        <v/>
      </c>
      <c r="Q1322" s="3">
        <f>IF(ORIG!Q1322=0,"",ORIG!Q1322)</f>
        <v/>
      </c>
      <c r="R1322" s="3">
        <f>IF(ORIG!R1322=0,"",ORIG!R1322)</f>
        <v/>
      </c>
      <c r="S1322" s="3">
        <f>IF(ORIG!S1322=0,"",ORIG!S1322)</f>
        <v/>
      </c>
      <c r="T1322" s="3">
        <f>IF(ORIG!T1322=0,"",ORIG!T1322)</f>
        <v/>
      </c>
      <c r="U1322" s="3">
        <f>IF(ORIG!U1322=0,"",ORIG!U1322)</f>
        <v/>
      </c>
      <c r="V1322" s="9">
        <f>IF(ORIG!V1322=0,"",ORIG!V1322)</f>
        <v/>
      </c>
      <c r="W1322" s="9">
        <f>IF(ORIG!W1322=0,"",ORIG!W1322)</f>
        <v/>
      </c>
      <c r="X1322" s="9">
        <f>IF(ORIG!X1322=0,"",ORIG!X1322)</f>
        <v/>
      </c>
      <c r="Y1322" s="9">
        <f>IF(ORIG!Y1322=0,"",ORIG!Y1322)</f>
        <v/>
      </c>
      <c r="Z1322" s="3">
        <f>SUMPRODUCT($B1322:$Y1322,$B$2649:$Y$2649)</f>
        <v/>
      </c>
      <c r="AA1322" s="3">
        <f>SUMPRODUCT($B1322:$Y1322,$B$2655:$Y$2655)</f>
        <v/>
      </c>
      <c r="AC1322" s="1">
        <f>A1322</f>
        <v/>
      </c>
      <c r="AD1322">
        <f>IF(ISNUMBER(V1322),V1322*($AB$1/V$2635),"")</f>
        <v/>
      </c>
      <c r="AE1322">
        <f>IF(ISNUMBER(Z1322),Z1322*($AB$1/Z$2635),"")</f>
        <v/>
      </c>
      <c r="AF1322" s="25">
        <f>IF(ISNUMBER(AD1322+AE1322),AD1322+AE1322,"")</f>
        <v/>
      </c>
      <c r="AH1322" s="1">
        <f>A1322</f>
        <v/>
      </c>
      <c r="AI1322">
        <f>IF(ISNUMBER((1+V1322)*AI1321),(1+V1322)*AI1321,AI1321)</f>
        <v/>
      </c>
      <c r="AJ1322">
        <f>IF(ISNUMBER((1+Z1322)*AJ1321),(1+Z1322)*AJ1321,AJ1321)</f>
        <v/>
      </c>
    </row>
    <row r="1323">
      <c r="A1323" s="1" t="n">
        <v>43922</v>
      </c>
      <c r="B1323" s="3">
        <f>IF(ORIG!B1323=0,"",ORIG!B1323)</f>
        <v/>
      </c>
      <c r="C1323" s="3">
        <f>IF(ORIG!C1323=0,"",ORIG!C1323)</f>
        <v/>
      </c>
      <c r="D1323" s="3">
        <f>IF(ORIG!D1323=0,"",ORIG!D1323)</f>
        <v/>
      </c>
      <c r="E1323" s="3">
        <f>IF(ORIG!E1323=0,"",ORIG!E1323)</f>
        <v/>
      </c>
      <c r="F1323" s="3">
        <f>IF(ORIG!F1323=0,"",ORIG!F1323)</f>
        <v/>
      </c>
      <c r="G1323" s="3">
        <f>IF(ORIG!G1323=0,"",ORIG!G1323)</f>
        <v/>
      </c>
      <c r="H1323" s="3">
        <f>IF(ORIG!H1323=0,"",ORIG!H1323)</f>
        <v/>
      </c>
      <c r="I1323" s="3">
        <f>IF(ORIG!I1323=0,"",ORIG!I1323)</f>
        <v/>
      </c>
      <c r="J1323" s="3">
        <f>IF(ORIG!J1323=0,"",ORIG!J1323)</f>
        <v/>
      </c>
      <c r="K1323" s="3">
        <f>IF(ORIG!K1323=0,"",ORIG!K1323)</f>
        <v/>
      </c>
      <c r="L1323" s="3">
        <f>IF(ORIG!L1323=0,"",ORIG!L1323)</f>
        <v/>
      </c>
      <c r="M1323" s="3">
        <f>IF(ORIG!M1323=0,"",ORIG!M1323)</f>
        <v/>
      </c>
      <c r="N1323" s="3">
        <f>IF(ORIG!N1323=0,"",ORIG!N1323)</f>
        <v/>
      </c>
      <c r="O1323" s="3">
        <f>IF(ORIG!O1323=0,"",ORIG!O1323)</f>
        <v/>
      </c>
      <c r="P1323" s="3">
        <f>IF(ORIG!P1323=0,"",ORIG!P1323)</f>
        <v/>
      </c>
      <c r="Q1323" s="3">
        <f>IF(ORIG!Q1323=0,"",ORIG!Q1323)</f>
        <v/>
      </c>
      <c r="R1323" s="3">
        <f>IF(ORIG!R1323=0,"",ORIG!R1323)</f>
        <v/>
      </c>
      <c r="S1323" s="3">
        <f>IF(ORIG!S1323=0,"",ORIG!S1323)</f>
        <v/>
      </c>
      <c r="T1323" s="3">
        <f>IF(ORIG!T1323=0,"",ORIG!T1323)</f>
        <v/>
      </c>
      <c r="U1323" s="3">
        <f>IF(ORIG!U1323=0,"",ORIG!U1323)</f>
        <v/>
      </c>
      <c r="V1323" s="9">
        <f>IF(ORIG!V1323=0,"",ORIG!V1323)</f>
        <v/>
      </c>
      <c r="W1323" s="9">
        <f>IF(ORIG!W1323=0,"",ORIG!W1323)</f>
        <v/>
      </c>
      <c r="X1323" s="9">
        <f>IF(ORIG!X1323=0,"",ORIG!X1323)</f>
        <v/>
      </c>
      <c r="Y1323" s="9">
        <f>IF(ORIG!Y1323=0,"",ORIG!Y1323)</f>
        <v/>
      </c>
      <c r="Z1323" s="3">
        <f>SUMPRODUCT($B1323:$Y1323,$B$2649:$Y$2649)</f>
        <v/>
      </c>
      <c r="AA1323" s="3">
        <f>SUMPRODUCT($B1323:$Y1323,$B$2655:$Y$2655)</f>
        <v/>
      </c>
      <c r="AC1323" s="1">
        <f>A1323</f>
        <v/>
      </c>
      <c r="AD1323">
        <f>IF(ISNUMBER(V1323),V1323*($AB$1/V$2635),"")</f>
        <v/>
      </c>
      <c r="AE1323">
        <f>IF(ISNUMBER(Z1323),Z1323*($AB$1/Z$2635),"")</f>
        <v/>
      </c>
      <c r="AF1323" s="25">
        <f>IF(ISNUMBER(AD1323+AE1323),AD1323+AE1323,"")</f>
        <v/>
      </c>
      <c r="AH1323" s="1">
        <f>A1323</f>
        <v/>
      </c>
      <c r="AI1323">
        <f>IF(ISNUMBER((1+V1323)*AI1322),(1+V1323)*AI1322,AI1322)</f>
        <v/>
      </c>
      <c r="AJ1323">
        <f>IF(ISNUMBER((1+Z1323)*AJ1322),(1+Z1323)*AJ1322,AJ1322)</f>
        <v/>
      </c>
    </row>
    <row r="1324">
      <c r="A1324" s="1" t="n">
        <v>43923</v>
      </c>
      <c r="B1324" s="3">
        <f>IF(ORIG!B1324=0,"",ORIG!B1324)</f>
        <v/>
      </c>
      <c r="C1324" s="3">
        <f>IF(ORIG!C1324=0,"",ORIG!C1324)</f>
        <v/>
      </c>
      <c r="D1324" s="3">
        <f>IF(ORIG!D1324=0,"",ORIG!D1324)</f>
        <v/>
      </c>
      <c r="E1324" s="3">
        <f>IF(ORIG!E1324=0,"",ORIG!E1324)</f>
        <v/>
      </c>
      <c r="F1324" s="3">
        <f>IF(ORIG!F1324=0,"",ORIG!F1324)</f>
        <v/>
      </c>
      <c r="G1324" s="3">
        <f>IF(ORIG!G1324=0,"",ORIG!G1324)</f>
        <v/>
      </c>
      <c r="H1324" s="3">
        <f>IF(ORIG!H1324=0,"",ORIG!H1324)</f>
        <v/>
      </c>
      <c r="I1324" s="3">
        <f>IF(ORIG!I1324=0,"",ORIG!I1324)</f>
        <v/>
      </c>
      <c r="J1324" s="3">
        <f>IF(ORIG!J1324=0,"",ORIG!J1324)</f>
        <v/>
      </c>
      <c r="K1324" s="3">
        <f>IF(ORIG!K1324=0,"",ORIG!K1324)</f>
        <v/>
      </c>
      <c r="L1324" s="3">
        <f>IF(ORIG!L1324=0,"",ORIG!L1324)</f>
        <v/>
      </c>
      <c r="M1324" s="3">
        <f>IF(ORIG!M1324=0,"",ORIG!M1324)</f>
        <v/>
      </c>
      <c r="N1324" s="3">
        <f>IF(ORIG!N1324=0,"",ORIG!N1324)</f>
        <v/>
      </c>
      <c r="O1324" s="3">
        <f>IF(ORIG!O1324=0,"",ORIG!O1324)</f>
        <v/>
      </c>
      <c r="P1324" s="3">
        <f>IF(ORIG!P1324=0,"",ORIG!P1324)</f>
        <v/>
      </c>
      <c r="Q1324" s="3">
        <f>IF(ORIG!Q1324=0,"",ORIG!Q1324)</f>
        <v/>
      </c>
      <c r="R1324" s="3">
        <f>IF(ORIG!R1324=0,"",ORIG!R1324)</f>
        <v/>
      </c>
      <c r="S1324" s="3">
        <f>IF(ORIG!S1324=0,"",ORIG!S1324)</f>
        <v/>
      </c>
      <c r="T1324" s="3">
        <f>IF(ORIG!T1324=0,"",ORIG!T1324)</f>
        <v/>
      </c>
      <c r="U1324" s="3">
        <f>IF(ORIG!U1324=0,"",ORIG!U1324)</f>
        <v/>
      </c>
      <c r="V1324" s="9">
        <f>IF(ORIG!V1324=0,"",ORIG!V1324)</f>
        <v/>
      </c>
      <c r="W1324" s="9">
        <f>IF(ORIG!W1324=0,"",ORIG!W1324)</f>
        <v/>
      </c>
      <c r="X1324" s="9">
        <f>IF(ORIG!X1324=0,"",ORIG!X1324)</f>
        <v/>
      </c>
      <c r="Y1324" s="9">
        <f>IF(ORIG!Y1324=0,"",ORIG!Y1324)</f>
        <v/>
      </c>
      <c r="Z1324" s="3">
        <f>SUMPRODUCT($B1324:$Y1324,$B$2649:$Y$2649)</f>
        <v/>
      </c>
      <c r="AA1324" s="3">
        <f>SUMPRODUCT($B1324:$Y1324,$B$2655:$Y$2655)</f>
        <v/>
      </c>
      <c r="AC1324" s="1">
        <f>A1324</f>
        <v/>
      </c>
      <c r="AD1324">
        <f>IF(ISNUMBER(V1324),V1324*($AB$1/V$2635),"")</f>
        <v/>
      </c>
      <c r="AE1324">
        <f>IF(ISNUMBER(Z1324),Z1324*($AB$1/Z$2635),"")</f>
        <v/>
      </c>
      <c r="AF1324" s="25">
        <f>IF(ISNUMBER(AD1324+AE1324),AD1324+AE1324,"")</f>
        <v/>
      </c>
      <c r="AH1324" s="1">
        <f>A1324</f>
        <v/>
      </c>
      <c r="AI1324">
        <f>IF(ISNUMBER((1+V1324)*AI1323),(1+V1324)*AI1323,AI1323)</f>
        <v/>
      </c>
      <c r="AJ1324">
        <f>IF(ISNUMBER((1+Z1324)*AJ1323),(1+Z1324)*AJ1323,AJ1323)</f>
        <v/>
      </c>
    </row>
    <row r="1325">
      <c r="A1325" s="1" t="n">
        <v>43924</v>
      </c>
      <c r="B1325" s="3">
        <f>IF(ORIG!B1325=0,"",ORIG!B1325)</f>
        <v/>
      </c>
      <c r="C1325" s="3">
        <f>IF(ORIG!C1325=0,"",ORIG!C1325)</f>
        <v/>
      </c>
      <c r="D1325" s="3">
        <f>IF(ORIG!D1325=0,"",ORIG!D1325)</f>
        <v/>
      </c>
      <c r="E1325" s="3">
        <f>IF(ORIG!E1325=0,"",ORIG!E1325)</f>
        <v/>
      </c>
      <c r="F1325" s="3">
        <f>IF(ORIG!F1325=0,"",ORIG!F1325)</f>
        <v/>
      </c>
      <c r="G1325" s="3">
        <f>IF(ORIG!G1325=0,"",ORIG!G1325)</f>
        <v/>
      </c>
      <c r="H1325" s="3">
        <f>IF(ORIG!H1325=0,"",ORIG!H1325)</f>
        <v/>
      </c>
      <c r="I1325" s="3">
        <f>IF(ORIG!I1325=0,"",ORIG!I1325)</f>
        <v/>
      </c>
      <c r="J1325" s="3">
        <f>IF(ORIG!J1325=0,"",ORIG!J1325)</f>
        <v/>
      </c>
      <c r="K1325" s="3">
        <f>IF(ORIG!K1325=0,"",ORIG!K1325)</f>
        <v/>
      </c>
      <c r="L1325" s="3">
        <f>IF(ORIG!L1325=0,"",ORIG!L1325)</f>
        <v/>
      </c>
      <c r="M1325" s="3">
        <f>IF(ORIG!M1325=0,"",ORIG!M1325)</f>
        <v/>
      </c>
      <c r="N1325" s="3">
        <f>IF(ORIG!N1325=0,"",ORIG!N1325)</f>
        <v/>
      </c>
      <c r="O1325" s="3">
        <f>IF(ORIG!O1325=0,"",ORIG!O1325)</f>
        <v/>
      </c>
      <c r="P1325" s="3">
        <f>IF(ORIG!P1325=0,"",ORIG!P1325)</f>
        <v/>
      </c>
      <c r="Q1325" s="3">
        <f>IF(ORIG!Q1325=0,"",ORIG!Q1325)</f>
        <v/>
      </c>
      <c r="R1325" s="3">
        <f>IF(ORIG!R1325=0,"",ORIG!R1325)</f>
        <v/>
      </c>
      <c r="S1325" s="3">
        <f>IF(ORIG!S1325=0,"",ORIG!S1325)</f>
        <v/>
      </c>
      <c r="T1325" s="3">
        <f>IF(ORIG!T1325=0,"",ORIG!T1325)</f>
        <v/>
      </c>
      <c r="U1325" s="3">
        <f>IF(ORIG!U1325=0,"",ORIG!U1325)</f>
        <v/>
      </c>
      <c r="V1325" s="9">
        <f>IF(ORIG!V1325=0,"",ORIG!V1325)</f>
        <v/>
      </c>
      <c r="W1325" s="9">
        <f>IF(ORIG!W1325=0,"",ORIG!W1325)</f>
        <v/>
      </c>
      <c r="X1325" s="9">
        <f>IF(ORIG!X1325=0,"",ORIG!X1325)</f>
        <v/>
      </c>
      <c r="Y1325" s="9">
        <f>IF(ORIG!Y1325=0,"",ORIG!Y1325)</f>
        <v/>
      </c>
      <c r="Z1325" s="3">
        <f>SUMPRODUCT($B1325:$Y1325,$B$2649:$Y$2649)</f>
        <v/>
      </c>
      <c r="AA1325" s="3">
        <f>SUMPRODUCT($B1325:$Y1325,$B$2655:$Y$2655)</f>
        <v/>
      </c>
      <c r="AC1325" s="1">
        <f>A1325</f>
        <v/>
      </c>
      <c r="AD1325">
        <f>IF(ISNUMBER(V1325),V1325*($AB$1/V$2635),"")</f>
        <v/>
      </c>
      <c r="AE1325">
        <f>IF(ISNUMBER(Z1325),Z1325*($AB$1/Z$2635),"")</f>
        <v/>
      </c>
      <c r="AF1325" s="25">
        <f>IF(ISNUMBER(AD1325+AE1325),AD1325+AE1325,"")</f>
        <v/>
      </c>
      <c r="AH1325" s="1">
        <f>A1325</f>
        <v/>
      </c>
      <c r="AI1325">
        <f>IF(ISNUMBER((1+V1325)*AI1324),(1+V1325)*AI1324,AI1324)</f>
        <v/>
      </c>
      <c r="AJ1325">
        <f>IF(ISNUMBER((1+Z1325)*AJ1324),(1+Z1325)*AJ1324,AJ1324)</f>
        <v/>
      </c>
    </row>
    <row r="1326">
      <c r="A1326" s="1" t="n">
        <v>43927</v>
      </c>
      <c r="B1326" s="3">
        <f>IF(ORIG!B1326=0,"",ORIG!B1326)</f>
        <v/>
      </c>
      <c r="C1326" s="3">
        <f>IF(ORIG!C1326=0,"",ORIG!C1326)</f>
        <v/>
      </c>
      <c r="D1326" s="3">
        <f>IF(ORIG!D1326=0,"",ORIG!D1326)</f>
        <v/>
      </c>
      <c r="E1326" s="3">
        <f>IF(ORIG!E1326=0,"",ORIG!E1326)</f>
        <v/>
      </c>
      <c r="F1326" s="3">
        <f>IF(ORIG!F1326=0,"",ORIG!F1326)</f>
        <v/>
      </c>
      <c r="G1326" s="3">
        <f>IF(ORIG!G1326=0,"",ORIG!G1326)</f>
        <v/>
      </c>
      <c r="H1326" s="3">
        <f>IF(ORIG!H1326=0,"",ORIG!H1326)</f>
        <v/>
      </c>
      <c r="I1326" s="3">
        <f>IF(ORIG!I1326=0,"",ORIG!I1326)</f>
        <v/>
      </c>
      <c r="J1326" s="3">
        <f>IF(ORIG!J1326=0,"",ORIG!J1326)</f>
        <v/>
      </c>
      <c r="K1326" s="3">
        <f>IF(ORIG!K1326=0,"",ORIG!K1326)</f>
        <v/>
      </c>
      <c r="L1326" s="3">
        <f>IF(ORIG!L1326=0,"",ORIG!L1326)</f>
        <v/>
      </c>
      <c r="M1326" s="3">
        <f>IF(ORIG!M1326=0,"",ORIG!M1326)</f>
        <v/>
      </c>
      <c r="N1326" s="3">
        <f>IF(ORIG!N1326=0,"",ORIG!N1326)</f>
        <v/>
      </c>
      <c r="O1326" s="3">
        <f>IF(ORIG!O1326=0,"",ORIG!O1326)</f>
        <v/>
      </c>
      <c r="P1326" s="3">
        <f>IF(ORIG!P1326=0,"",ORIG!P1326)</f>
        <v/>
      </c>
      <c r="Q1326" s="3">
        <f>IF(ORIG!Q1326=0,"",ORIG!Q1326)</f>
        <v/>
      </c>
      <c r="R1326" s="3">
        <f>IF(ORIG!R1326=0,"",ORIG!R1326)</f>
        <v/>
      </c>
      <c r="S1326" s="3">
        <f>IF(ORIG!S1326=0,"",ORIG!S1326)</f>
        <v/>
      </c>
      <c r="T1326" s="3">
        <f>IF(ORIG!T1326=0,"",ORIG!T1326)</f>
        <v/>
      </c>
      <c r="U1326" s="3">
        <f>IF(ORIG!U1326=0,"",ORIG!U1326)</f>
        <v/>
      </c>
      <c r="V1326" s="9">
        <f>IF(ORIG!V1326=0,"",ORIG!V1326)</f>
        <v/>
      </c>
      <c r="W1326" s="9">
        <f>IF(ORIG!W1326=0,"",ORIG!W1326)</f>
        <v/>
      </c>
      <c r="X1326" s="9">
        <f>IF(ORIG!X1326=0,"",ORIG!X1326)</f>
        <v/>
      </c>
      <c r="Y1326" s="9">
        <f>IF(ORIG!Y1326=0,"",ORIG!Y1326)</f>
        <v/>
      </c>
      <c r="Z1326" s="3">
        <f>SUMPRODUCT($B1326:$Y1326,$B$2649:$Y$2649)</f>
        <v/>
      </c>
      <c r="AA1326" s="3">
        <f>SUMPRODUCT($B1326:$Y1326,$B$2655:$Y$2655)</f>
        <v/>
      </c>
      <c r="AC1326" s="1">
        <f>A1326</f>
        <v/>
      </c>
      <c r="AD1326">
        <f>IF(ISNUMBER(V1326),V1326*($AB$1/V$2635),"")</f>
        <v/>
      </c>
      <c r="AE1326">
        <f>IF(ISNUMBER(Z1326),Z1326*($AB$1/Z$2635),"")</f>
        <v/>
      </c>
      <c r="AF1326" s="25">
        <f>IF(ISNUMBER(AD1326+AE1326),AD1326+AE1326,"")</f>
        <v/>
      </c>
      <c r="AH1326" s="1">
        <f>A1326</f>
        <v/>
      </c>
      <c r="AI1326">
        <f>IF(ISNUMBER((1+V1326)*AI1325),(1+V1326)*AI1325,AI1325)</f>
        <v/>
      </c>
      <c r="AJ1326">
        <f>IF(ISNUMBER((1+Z1326)*AJ1325),(1+Z1326)*AJ1325,AJ1325)</f>
        <v/>
      </c>
    </row>
    <row r="1327">
      <c r="A1327" s="1" t="n">
        <v>43928</v>
      </c>
      <c r="B1327" s="3">
        <f>IF(ORIG!B1327=0,"",ORIG!B1327)</f>
        <v/>
      </c>
      <c r="C1327" s="3">
        <f>IF(ORIG!C1327=0,"",ORIG!C1327)</f>
        <v/>
      </c>
      <c r="D1327" s="3">
        <f>IF(ORIG!D1327=0,"",ORIG!D1327)</f>
        <v/>
      </c>
      <c r="E1327" s="3">
        <f>IF(ORIG!E1327=0,"",ORIG!E1327)</f>
        <v/>
      </c>
      <c r="F1327" s="3">
        <f>IF(ORIG!F1327=0,"",ORIG!F1327)</f>
        <v/>
      </c>
      <c r="G1327" s="3">
        <f>IF(ORIG!G1327=0,"",ORIG!G1327)</f>
        <v/>
      </c>
      <c r="H1327" s="3">
        <f>IF(ORIG!H1327=0,"",ORIG!H1327)</f>
        <v/>
      </c>
      <c r="I1327" s="3">
        <f>IF(ORIG!I1327=0,"",ORIG!I1327)</f>
        <v/>
      </c>
      <c r="J1327" s="3">
        <f>IF(ORIG!J1327=0,"",ORIG!J1327)</f>
        <v/>
      </c>
      <c r="K1327" s="3">
        <f>IF(ORIG!K1327=0,"",ORIG!K1327)</f>
        <v/>
      </c>
      <c r="L1327" s="3">
        <f>IF(ORIG!L1327=0,"",ORIG!L1327)</f>
        <v/>
      </c>
      <c r="M1327" s="3">
        <f>IF(ORIG!M1327=0,"",ORIG!M1327)</f>
        <v/>
      </c>
      <c r="N1327" s="3">
        <f>IF(ORIG!N1327=0,"",ORIG!N1327)</f>
        <v/>
      </c>
      <c r="O1327" s="3">
        <f>IF(ORIG!O1327=0,"",ORIG!O1327)</f>
        <v/>
      </c>
      <c r="P1327" s="3">
        <f>IF(ORIG!P1327=0,"",ORIG!P1327)</f>
        <v/>
      </c>
      <c r="Q1327" s="3">
        <f>IF(ORIG!Q1327=0,"",ORIG!Q1327)</f>
        <v/>
      </c>
      <c r="R1327" s="3">
        <f>IF(ORIG!R1327=0,"",ORIG!R1327)</f>
        <v/>
      </c>
      <c r="S1327" s="3">
        <f>IF(ORIG!S1327=0,"",ORIG!S1327)</f>
        <v/>
      </c>
      <c r="T1327" s="3">
        <f>IF(ORIG!T1327=0,"",ORIG!T1327)</f>
        <v/>
      </c>
      <c r="U1327" s="3">
        <f>IF(ORIG!U1327=0,"",ORIG!U1327)</f>
        <v/>
      </c>
      <c r="V1327" s="9">
        <f>IF(ORIG!V1327=0,"",ORIG!V1327)</f>
        <v/>
      </c>
      <c r="W1327" s="9">
        <f>IF(ORIG!W1327=0,"",ORIG!W1327)</f>
        <v/>
      </c>
      <c r="X1327" s="9">
        <f>IF(ORIG!X1327=0,"",ORIG!X1327)</f>
        <v/>
      </c>
      <c r="Y1327" s="9">
        <f>IF(ORIG!Y1327=0,"",ORIG!Y1327)</f>
        <v/>
      </c>
      <c r="Z1327" s="3">
        <f>SUMPRODUCT($B1327:$Y1327,$B$2649:$Y$2649)</f>
        <v/>
      </c>
      <c r="AA1327" s="3">
        <f>SUMPRODUCT($B1327:$Y1327,$B$2655:$Y$2655)</f>
        <v/>
      </c>
      <c r="AC1327" s="1">
        <f>A1327</f>
        <v/>
      </c>
      <c r="AD1327">
        <f>IF(ISNUMBER(V1327),V1327*($AB$1/V$2635),"")</f>
        <v/>
      </c>
      <c r="AE1327">
        <f>IF(ISNUMBER(Z1327),Z1327*($AB$1/Z$2635),"")</f>
        <v/>
      </c>
      <c r="AF1327" s="25">
        <f>IF(ISNUMBER(AD1327+AE1327),AD1327+AE1327,"")</f>
        <v/>
      </c>
      <c r="AH1327" s="1">
        <f>A1327</f>
        <v/>
      </c>
      <c r="AI1327">
        <f>IF(ISNUMBER((1+V1327)*AI1326),(1+V1327)*AI1326,AI1326)</f>
        <v/>
      </c>
      <c r="AJ1327">
        <f>IF(ISNUMBER((1+Z1327)*AJ1326),(1+Z1327)*AJ1326,AJ1326)</f>
        <v/>
      </c>
    </row>
    <row r="1328">
      <c r="A1328" s="1" t="n">
        <v>43929</v>
      </c>
      <c r="B1328" s="3">
        <f>IF(ORIG!B1328=0,"",ORIG!B1328)</f>
        <v/>
      </c>
      <c r="C1328" s="3">
        <f>IF(ORIG!C1328=0,"",ORIG!C1328)</f>
        <v/>
      </c>
      <c r="D1328" s="3">
        <f>IF(ORIG!D1328=0,"",ORIG!D1328)</f>
        <v/>
      </c>
      <c r="E1328" s="3">
        <f>IF(ORIG!E1328=0,"",ORIG!E1328)</f>
        <v/>
      </c>
      <c r="F1328" s="3">
        <f>IF(ORIG!F1328=0,"",ORIG!F1328)</f>
        <v/>
      </c>
      <c r="G1328" s="3">
        <f>IF(ORIG!G1328=0,"",ORIG!G1328)</f>
        <v/>
      </c>
      <c r="H1328" s="3">
        <f>IF(ORIG!H1328=0,"",ORIG!H1328)</f>
        <v/>
      </c>
      <c r="I1328" s="3">
        <f>IF(ORIG!I1328=0,"",ORIG!I1328)</f>
        <v/>
      </c>
      <c r="J1328" s="3">
        <f>IF(ORIG!J1328=0,"",ORIG!J1328)</f>
        <v/>
      </c>
      <c r="K1328" s="3">
        <f>IF(ORIG!K1328=0,"",ORIG!K1328)</f>
        <v/>
      </c>
      <c r="L1328" s="3">
        <f>IF(ORIG!L1328=0,"",ORIG!L1328)</f>
        <v/>
      </c>
      <c r="M1328" s="3">
        <f>IF(ORIG!M1328=0,"",ORIG!M1328)</f>
        <v/>
      </c>
      <c r="N1328" s="3">
        <f>IF(ORIG!N1328=0,"",ORIG!N1328)</f>
        <v/>
      </c>
      <c r="O1328" s="3">
        <f>IF(ORIG!O1328=0,"",ORIG!O1328)</f>
        <v/>
      </c>
      <c r="P1328" s="3">
        <f>IF(ORIG!P1328=0,"",ORIG!P1328)</f>
        <v/>
      </c>
      <c r="Q1328" s="3">
        <f>IF(ORIG!Q1328=0,"",ORIG!Q1328)</f>
        <v/>
      </c>
      <c r="R1328" s="3">
        <f>IF(ORIG!R1328=0,"",ORIG!R1328)</f>
        <v/>
      </c>
      <c r="S1328" s="3">
        <f>IF(ORIG!S1328=0,"",ORIG!S1328)</f>
        <v/>
      </c>
      <c r="T1328" s="3">
        <f>IF(ORIG!T1328=0,"",ORIG!T1328)</f>
        <v/>
      </c>
      <c r="U1328" s="3">
        <f>IF(ORIG!U1328=0,"",ORIG!U1328)</f>
        <v/>
      </c>
      <c r="V1328" s="9">
        <f>IF(ORIG!V1328=0,"",ORIG!V1328)</f>
        <v/>
      </c>
      <c r="W1328" s="9">
        <f>IF(ORIG!W1328=0,"",ORIG!W1328)</f>
        <v/>
      </c>
      <c r="X1328" s="9">
        <f>IF(ORIG!X1328=0,"",ORIG!X1328)</f>
        <v/>
      </c>
      <c r="Y1328" s="9">
        <f>IF(ORIG!Y1328=0,"",ORIG!Y1328)</f>
        <v/>
      </c>
      <c r="Z1328" s="3">
        <f>SUMPRODUCT($B1328:$Y1328,$B$2649:$Y$2649)</f>
        <v/>
      </c>
      <c r="AA1328" s="3">
        <f>SUMPRODUCT($B1328:$Y1328,$B$2655:$Y$2655)</f>
        <v/>
      </c>
      <c r="AC1328" s="1">
        <f>A1328</f>
        <v/>
      </c>
      <c r="AD1328">
        <f>IF(ISNUMBER(V1328),V1328*($AB$1/V$2635),"")</f>
        <v/>
      </c>
      <c r="AE1328">
        <f>IF(ISNUMBER(Z1328),Z1328*($AB$1/Z$2635),"")</f>
        <v/>
      </c>
      <c r="AF1328" s="25">
        <f>IF(ISNUMBER(AD1328+AE1328),AD1328+AE1328,"")</f>
        <v/>
      </c>
      <c r="AH1328" s="1">
        <f>A1328</f>
        <v/>
      </c>
      <c r="AI1328">
        <f>IF(ISNUMBER((1+V1328)*AI1327),(1+V1328)*AI1327,AI1327)</f>
        <v/>
      </c>
      <c r="AJ1328">
        <f>IF(ISNUMBER((1+Z1328)*AJ1327),(1+Z1328)*AJ1327,AJ1327)</f>
        <v/>
      </c>
    </row>
    <row r="1329">
      <c r="A1329" s="1" t="n">
        <v>43930</v>
      </c>
      <c r="B1329" s="3">
        <f>IF(ORIG!B1329=0,"",ORIG!B1329)</f>
        <v/>
      </c>
      <c r="C1329" s="3">
        <f>IF(ORIG!C1329=0,"",ORIG!C1329)</f>
        <v/>
      </c>
      <c r="D1329" s="3">
        <f>IF(ORIG!D1329=0,"",ORIG!D1329)</f>
        <v/>
      </c>
      <c r="E1329" s="3">
        <f>IF(ORIG!E1329=0,"",ORIG!E1329)</f>
        <v/>
      </c>
      <c r="F1329" s="3">
        <f>IF(ORIG!F1329=0,"",ORIG!F1329)</f>
        <v/>
      </c>
      <c r="G1329" s="3">
        <f>IF(ORIG!G1329=0,"",ORIG!G1329)</f>
        <v/>
      </c>
      <c r="H1329" s="3">
        <f>IF(ORIG!H1329=0,"",ORIG!H1329)</f>
        <v/>
      </c>
      <c r="I1329" s="3">
        <f>IF(ORIG!I1329=0,"",ORIG!I1329)</f>
        <v/>
      </c>
      <c r="J1329" s="3">
        <f>IF(ORIG!J1329=0,"",ORIG!J1329)</f>
        <v/>
      </c>
      <c r="K1329" s="3">
        <f>IF(ORIG!K1329=0,"",ORIG!K1329)</f>
        <v/>
      </c>
      <c r="L1329" s="3">
        <f>IF(ORIG!L1329=0,"",ORIG!L1329)</f>
        <v/>
      </c>
      <c r="M1329" s="3">
        <f>IF(ORIG!M1329=0,"",ORIG!M1329)</f>
        <v/>
      </c>
      <c r="N1329" s="3">
        <f>IF(ORIG!N1329=0,"",ORIG!N1329)</f>
        <v/>
      </c>
      <c r="O1329" s="3">
        <f>IF(ORIG!O1329=0,"",ORIG!O1329)</f>
        <v/>
      </c>
      <c r="P1329" s="3">
        <f>IF(ORIG!P1329=0,"",ORIG!P1329)</f>
        <v/>
      </c>
      <c r="Q1329" s="3">
        <f>IF(ORIG!Q1329=0,"",ORIG!Q1329)</f>
        <v/>
      </c>
      <c r="R1329" s="3">
        <f>IF(ORIG!R1329=0,"",ORIG!R1329)</f>
        <v/>
      </c>
      <c r="S1329" s="3">
        <f>IF(ORIG!S1329=0,"",ORIG!S1329)</f>
        <v/>
      </c>
      <c r="T1329" s="3">
        <f>IF(ORIG!T1329=0,"",ORIG!T1329)</f>
        <v/>
      </c>
      <c r="U1329" s="3">
        <f>IF(ORIG!U1329=0,"",ORIG!U1329)</f>
        <v/>
      </c>
      <c r="V1329" s="9">
        <f>IF(ORIG!V1329=0,"",ORIG!V1329)</f>
        <v/>
      </c>
      <c r="W1329" s="9">
        <f>IF(ORIG!W1329=0,"",ORIG!W1329)</f>
        <v/>
      </c>
      <c r="X1329" s="9">
        <f>IF(ORIG!X1329=0,"",ORIG!X1329)</f>
        <v/>
      </c>
      <c r="Y1329" s="9">
        <f>IF(ORIG!Y1329=0,"",ORIG!Y1329)</f>
        <v/>
      </c>
      <c r="Z1329" s="3">
        <f>SUMPRODUCT($B1329:$Y1329,$B$2649:$Y$2649)</f>
        <v/>
      </c>
      <c r="AA1329" s="3">
        <f>SUMPRODUCT($B1329:$Y1329,$B$2655:$Y$2655)</f>
        <v/>
      </c>
      <c r="AC1329" s="1">
        <f>A1329</f>
        <v/>
      </c>
      <c r="AD1329">
        <f>IF(ISNUMBER(V1329),V1329*($AB$1/V$2635),"")</f>
        <v/>
      </c>
      <c r="AE1329">
        <f>IF(ISNUMBER(Z1329),Z1329*($AB$1/Z$2635),"")</f>
        <v/>
      </c>
      <c r="AF1329" s="25">
        <f>IF(ISNUMBER(AD1329+AE1329),AD1329+AE1329,"")</f>
        <v/>
      </c>
      <c r="AH1329" s="1">
        <f>A1329</f>
        <v/>
      </c>
      <c r="AI1329">
        <f>IF(ISNUMBER((1+V1329)*AI1328),(1+V1329)*AI1328,AI1328)</f>
        <v/>
      </c>
      <c r="AJ1329">
        <f>IF(ISNUMBER((1+Z1329)*AJ1328),(1+Z1329)*AJ1328,AJ1328)</f>
        <v/>
      </c>
    </row>
    <row r="1330">
      <c r="A1330" s="1" t="n">
        <v>43934</v>
      </c>
      <c r="B1330" s="3">
        <f>IF(ORIG!B1330=0,"",ORIG!B1330)</f>
        <v/>
      </c>
      <c r="C1330" s="3">
        <f>IF(ORIG!C1330=0,"",ORIG!C1330)</f>
        <v/>
      </c>
      <c r="D1330" s="3">
        <f>IF(ORIG!D1330=0,"",ORIG!D1330)</f>
        <v/>
      </c>
      <c r="E1330" s="3">
        <f>IF(ORIG!E1330=0,"",ORIG!E1330)</f>
        <v/>
      </c>
      <c r="F1330" s="3">
        <f>IF(ORIG!F1330=0,"",ORIG!F1330)</f>
        <v/>
      </c>
      <c r="G1330" s="3">
        <f>IF(ORIG!G1330=0,"",ORIG!G1330)</f>
        <v/>
      </c>
      <c r="H1330" s="3">
        <f>IF(ORIG!H1330=0,"",ORIG!H1330)</f>
        <v/>
      </c>
      <c r="I1330" s="3">
        <f>IF(ORIG!I1330=0,"",ORIG!I1330)</f>
        <v/>
      </c>
      <c r="J1330" s="3">
        <f>IF(ORIG!J1330=0,"",ORIG!J1330)</f>
        <v/>
      </c>
      <c r="K1330" s="3">
        <f>IF(ORIG!K1330=0,"",ORIG!K1330)</f>
        <v/>
      </c>
      <c r="L1330" s="3">
        <f>IF(ORIG!L1330=0,"",ORIG!L1330)</f>
        <v/>
      </c>
      <c r="M1330" s="3">
        <f>IF(ORIG!M1330=0,"",ORIG!M1330)</f>
        <v/>
      </c>
      <c r="N1330" s="3">
        <f>IF(ORIG!N1330=0,"",ORIG!N1330)</f>
        <v/>
      </c>
      <c r="O1330" s="3">
        <f>IF(ORIG!O1330=0,"",ORIG!O1330)</f>
        <v/>
      </c>
      <c r="P1330" s="3">
        <f>IF(ORIG!P1330=0,"",ORIG!P1330)</f>
        <v/>
      </c>
      <c r="Q1330" s="3">
        <f>IF(ORIG!Q1330=0,"",ORIG!Q1330)</f>
        <v/>
      </c>
      <c r="R1330" s="3">
        <f>IF(ORIG!R1330=0,"",ORIG!R1330)</f>
        <v/>
      </c>
      <c r="S1330" s="3">
        <f>IF(ORIG!S1330=0,"",ORIG!S1330)</f>
        <v/>
      </c>
      <c r="T1330" s="3">
        <f>IF(ORIG!T1330=0,"",ORIG!T1330)</f>
        <v/>
      </c>
      <c r="U1330" s="3">
        <f>IF(ORIG!U1330=0,"",ORIG!U1330)</f>
        <v/>
      </c>
      <c r="V1330" s="9">
        <f>IF(ORIG!V1330=0,"",ORIG!V1330)</f>
        <v/>
      </c>
      <c r="W1330" s="9">
        <f>IF(ORIG!W1330=0,"",ORIG!W1330)</f>
        <v/>
      </c>
      <c r="X1330" s="9">
        <f>IF(ORIG!X1330=0,"",ORIG!X1330)</f>
        <v/>
      </c>
      <c r="Y1330" s="9">
        <f>IF(ORIG!Y1330=0,"",ORIG!Y1330)</f>
        <v/>
      </c>
      <c r="Z1330" s="3">
        <f>SUMPRODUCT($B1330:$Y1330,$B$2649:$Y$2649)</f>
        <v/>
      </c>
      <c r="AA1330" s="3">
        <f>SUMPRODUCT($B1330:$Y1330,$B$2655:$Y$2655)</f>
        <v/>
      </c>
      <c r="AC1330" s="1">
        <f>A1330</f>
        <v/>
      </c>
      <c r="AD1330">
        <f>IF(ISNUMBER(V1330),V1330*($AB$1/V$2635),"")</f>
        <v/>
      </c>
      <c r="AE1330">
        <f>IF(ISNUMBER(Z1330),Z1330*($AB$1/Z$2635),"")</f>
        <v/>
      </c>
      <c r="AF1330" s="25">
        <f>IF(ISNUMBER(AD1330+AE1330),AD1330+AE1330,"")</f>
        <v/>
      </c>
      <c r="AH1330" s="1">
        <f>A1330</f>
        <v/>
      </c>
      <c r="AI1330">
        <f>IF(ISNUMBER((1+V1330)*AI1329),(1+V1330)*AI1329,AI1329)</f>
        <v/>
      </c>
      <c r="AJ1330">
        <f>IF(ISNUMBER((1+Z1330)*AJ1329),(1+Z1330)*AJ1329,AJ1329)</f>
        <v/>
      </c>
    </row>
    <row r="1331">
      <c r="A1331" s="1" t="n">
        <v>43935</v>
      </c>
      <c r="B1331" s="3">
        <f>IF(ORIG!B1331=0,"",ORIG!B1331)</f>
        <v/>
      </c>
      <c r="C1331" s="3">
        <f>IF(ORIG!C1331=0,"",ORIG!C1331)</f>
        <v/>
      </c>
      <c r="D1331" s="3">
        <f>IF(ORIG!D1331=0,"",ORIG!D1331)</f>
        <v/>
      </c>
      <c r="E1331" s="3">
        <f>IF(ORIG!E1331=0,"",ORIG!E1331)</f>
        <v/>
      </c>
      <c r="F1331" s="3">
        <f>IF(ORIG!F1331=0,"",ORIG!F1331)</f>
        <v/>
      </c>
      <c r="G1331" s="3">
        <f>IF(ORIG!G1331=0,"",ORIG!G1331)</f>
        <v/>
      </c>
      <c r="H1331" s="3">
        <f>IF(ORIG!H1331=0,"",ORIG!H1331)</f>
        <v/>
      </c>
      <c r="I1331" s="3">
        <f>IF(ORIG!I1331=0,"",ORIG!I1331)</f>
        <v/>
      </c>
      <c r="J1331" s="3">
        <f>IF(ORIG!J1331=0,"",ORIG!J1331)</f>
        <v/>
      </c>
      <c r="K1331" s="3">
        <f>IF(ORIG!K1331=0,"",ORIG!K1331)</f>
        <v/>
      </c>
      <c r="L1331" s="3">
        <f>IF(ORIG!L1331=0,"",ORIG!L1331)</f>
        <v/>
      </c>
      <c r="M1331" s="3">
        <f>IF(ORIG!M1331=0,"",ORIG!M1331)</f>
        <v/>
      </c>
      <c r="N1331" s="3">
        <f>IF(ORIG!N1331=0,"",ORIG!N1331)</f>
        <v/>
      </c>
      <c r="O1331" s="3">
        <f>IF(ORIG!O1331=0,"",ORIG!O1331)</f>
        <v/>
      </c>
      <c r="P1331" s="3">
        <f>IF(ORIG!P1331=0,"",ORIG!P1331)</f>
        <v/>
      </c>
      <c r="Q1331" s="3">
        <f>IF(ORIG!Q1331=0,"",ORIG!Q1331)</f>
        <v/>
      </c>
      <c r="R1331" s="3">
        <f>IF(ORIG!R1331=0,"",ORIG!R1331)</f>
        <v/>
      </c>
      <c r="S1331" s="3">
        <f>IF(ORIG!S1331=0,"",ORIG!S1331)</f>
        <v/>
      </c>
      <c r="T1331" s="3">
        <f>IF(ORIG!T1331=0,"",ORIG!T1331)</f>
        <v/>
      </c>
      <c r="U1331" s="3">
        <f>IF(ORIG!U1331=0,"",ORIG!U1331)</f>
        <v/>
      </c>
      <c r="V1331" s="9">
        <f>IF(ORIG!V1331=0,"",ORIG!V1331)</f>
        <v/>
      </c>
      <c r="W1331" s="9">
        <f>IF(ORIG!W1331=0,"",ORIG!W1331)</f>
        <v/>
      </c>
      <c r="X1331" s="9">
        <f>IF(ORIG!X1331=0,"",ORIG!X1331)</f>
        <v/>
      </c>
      <c r="Y1331" s="9">
        <f>IF(ORIG!Y1331=0,"",ORIG!Y1331)</f>
        <v/>
      </c>
      <c r="Z1331" s="3">
        <f>SUMPRODUCT($B1331:$Y1331,$B$2649:$Y$2649)</f>
        <v/>
      </c>
      <c r="AA1331" s="3">
        <f>SUMPRODUCT($B1331:$Y1331,$B$2655:$Y$2655)</f>
        <v/>
      </c>
      <c r="AC1331" s="1">
        <f>A1331</f>
        <v/>
      </c>
      <c r="AD1331">
        <f>IF(ISNUMBER(V1331),V1331*($AB$1/V$2635),"")</f>
        <v/>
      </c>
      <c r="AE1331">
        <f>IF(ISNUMBER(Z1331),Z1331*($AB$1/Z$2635),"")</f>
        <v/>
      </c>
      <c r="AF1331" s="25">
        <f>IF(ISNUMBER(AD1331+AE1331),AD1331+AE1331,"")</f>
        <v/>
      </c>
      <c r="AH1331" s="1">
        <f>A1331</f>
        <v/>
      </c>
      <c r="AI1331">
        <f>IF(ISNUMBER((1+V1331)*AI1330),(1+V1331)*AI1330,AI1330)</f>
        <v/>
      </c>
      <c r="AJ1331">
        <f>IF(ISNUMBER((1+Z1331)*AJ1330),(1+Z1331)*AJ1330,AJ1330)</f>
        <v/>
      </c>
    </row>
    <row r="1332">
      <c r="A1332" s="1" t="n">
        <v>43936</v>
      </c>
      <c r="B1332" s="3">
        <f>IF(ORIG!B1332=0,"",ORIG!B1332)</f>
        <v/>
      </c>
      <c r="C1332" s="3">
        <f>IF(ORIG!C1332=0,"",ORIG!C1332)</f>
        <v/>
      </c>
      <c r="D1332" s="3">
        <f>IF(ORIG!D1332=0,"",ORIG!D1332)</f>
        <v/>
      </c>
      <c r="E1332" s="3">
        <f>IF(ORIG!E1332=0,"",ORIG!E1332)</f>
        <v/>
      </c>
      <c r="F1332" s="3">
        <f>IF(ORIG!F1332=0,"",ORIG!F1332)</f>
        <v/>
      </c>
      <c r="G1332" s="3">
        <f>IF(ORIG!G1332=0,"",ORIG!G1332)</f>
        <v/>
      </c>
      <c r="H1332" s="3">
        <f>IF(ORIG!H1332=0,"",ORIG!H1332)</f>
        <v/>
      </c>
      <c r="I1332" s="3">
        <f>IF(ORIG!I1332=0,"",ORIG!I1332)</f>
        <v/>
      </c>
      <c r="J1332" s="3">
        <f>IF(ORIG!J1332=0,"",ORIG!J1332)</f>
        <v/>
      </c>
      <c r="K1332" s="3">
        <f>IF(ORIG!K1332=0,"",ORIG!K1332)</f>
        <v/>
      </c>
      <c r="L1332" s="3">
        <f>IF(ORIG!L1332=0,"",ORIG!L1332)</f>
        <v/>
      </c>
      <c r="M1332" s="3">
        <f>IF(ORIG!M1332=0,"",ORIG!M1332)</f>
        <v/>
      </c>
      <c r="N1332" s="3">
        <f>IF(ORIG!N1332=0,"",ORIG!N1332)</f>
        <v/>
      </c>
      <c r="O1332" s="3">
        <f>IF(ORIG!O1332=0,"",ORIG!O1332)</f>
        <v/>
      </c>
      <c r="P1332" s="3">
        <f>IF(ORIG!P1332=0,"",ORIG!P1332)</f>
        <v/>
      </c>
      <c r="Q1332" s="3">
        <f>IF(ORIG!Q1332=0,"",ORIG!Q1332)</f>
        <v/>
      </c>
      <c r="R1332" s="3">
        <f>IF(ORIG!R1332=0,"",ORIG!R1332)</f>
        <v/>
      </c>
      <c r="S1332" s="3">
        <f>IF(ORIG!S1332=0,"",ORIG!S1332)</f>
        <v/>
      </c>
      <c r="T1332" s="3">
        <f>IF(ORIG!T1332=0,"",ORIG!T1332)</f>
        <v/>
      </c>
      <c r="U1332" s="3">
        <f>IF(ORIG!U1332=0,"",ORIG!U1332)</f>
        <v/>
      </c>
      <c r="V1332" s="9">
        <f>IF(ORIG!V1332=0,"",ORIG!V1332)</f>
        <v/>
      </c>
      <c r="W1332" s="9">
        <f>IF(ORIG!W1332=0,"",ORIG!W1332)</f>
        <v/>
      </c>
      <c r="X1332" s="9">
        <f>IF(ORIG!X1332=0,"",ORIG!X1332)</f>
        <v/>
      </c>
      <c r="Y1332" s="9">
        <f>IF(ORIG!Y1332=0,"",ORIG!Y1332)</f>
        <v/>
      </c>
      <c r="Z1332" s="3">
        <f>SUMPRODUCT($B1332:$Y1332,$B$2649:$Y$2649)</f>
        <v/>
      </c>
      <c r="AA1332" s="3">
        <f>SUMPRODUCT($B1332:$Y1332,$B$2655:$Y$2655)</f>
        <v/>
      </c>
      <c r="AC1332" s="1">
        <f>A1332</f>
        <v/>
      </c>
      <c r="AD1332">
        <f>IF(ISNUMBER(V1332),V1332*($AB$1/V$2635),"")</f>
        <v/>
      </c>
      <c r="AE1332">
        <f>IF(ISNUMBER(Z1332),Z1332*($AB$1/Z$2635),"")</f>
        <v/>
      </c>
      <c r="AF1332" s="25">
        <f>IF(ISNUMBER(AD1332+AE1332),AD1332+AE1332,"")</f>
        <v/>
      </c>
      <c r="AH1332" s="1">
        <f>A1332</f>
        <v/>
      </c>
      <c r="AI1332">
        <f>IF(ISNUMBER((1+V1332)*AI1331),(1+V1332)*AI1331,AI1331)</f>
        <v/>
      </c>
      <c r="AJ1332">
        <f>IF(ISNUMBER((1+Z1332)*AJ1331),(1+Z1332)*AJ1331,AJ1331)</f>
        <v/>
      </c>
    </row>
    <row r="1333">
      <c r="A1333" s="1" t="n">
        <v>43937</v>
      </c>
      <c r="B1333" s="3">
        <f>IF(ORIG!B1333=0,"",ORIG!B1333)</f>
        <v/>
      </c>
      <c r="C1333" s="3">
        <f>IF(ORIG!C1333=0,"",ORIG!C1333)</f>
        <v/>
      </c>
      <c r="D1333" s="3">
        <f>IF(ORIG!D1333=0,"",ORIG!D1333)</f>
        <v/>
      </c>
      <c r="E1333" s="3">
        <f>IF(ORIG!E1333=0,"",ORIG!E1333)</f>
        <v/>
      </c>
      <c r="F1333" s="3">
        <f>IF(ORIG!F1333=0,"",ORIG!F1333)</f>
        <v/>
      </c>
      <c r="G1333" s="3">
        <f>IF(ORIG!G1333=0,"",ORIG!G1333)</f>
        <v/>
      </c>
      <c r="H1333" s="3">
        <f>IF(ORIG!H1333=0,"",ORIG!H1333)</f>
        <v/>
      </c>
      <c r="I1333" s="3">
        <f>IF(ORIG!I1333=0,"",ORIG!I1333)</f>
        <v/>
      </c>
      <c r="J1333" s="3">
        <f>IF(ORIG!J1333=0,"",ORIG!J1333)</f>
        <v/>
      </c>
      <c r="K1333" s="3">
        <f>IF(ORIG!K1333=0,"",ORIG!K1333)</f>
        <v/>
      </c>
      <c r="L1333" s="3">
        <f>IF(ORIG!L1333=0,"",ORIG!L1333)</f>
        <v/>
      </c>
      <c r="M1333" s="3">
        <f>IF(ORIG!M1333=0,"",ORIG!M1333)</f>
        <v/>
      </c>
      <c r="N1333" s="3">
        <f>IF(ORIG!N1333=0,"",ORIG!N1333)</f>
        <v/>
      </c>
      <c r="O1333" s="3">
        <f>IF(ORIG!O1333=0,"",ORIG!O1333)</f>
        <v/>
      </c>
      <c r="P1333" s="3">
        <f>IF(ORIG!P1333=0,"",ORIG!P1333)</f>
        <v/>
      </c>
      <c r="Q1333" s="3">
        <f>IF(ORIG!Q1333=0,"",ORIG!Q1333)</f>
        <v/>
      </c>
      <c r="R1333" s="3">
        <f>IF(ORIG!R1333=0,"",ORIG!R1333)</f>
        <v/>
      </c>
      <c r="S1333" s="3">
        <f>IF(ORIG!S1333=0,"",ORIG!S1333)</f>
        <v/>
      </c>
      <c r="T1333" s="3">
        <f>IF(ORIG!T1333=0,"",ORIG!T1333)</f>
        <v/>
      </c>
      <c r="U1333" s="3">
        <f>IF(ORIG!U1333=0,"",ORIG!U1333)</f>
        <v/>
      </c>
      <c r="V1333" s="9">
        <f>IF(ORIG!V1333=0,"",ORIG!V1333)</f>
        <v/>
      </c>
      <c r="W1333" s="9">
        <f>IF(ORIG!W1333=0,"",ORIG!W1333)</f>
        <v/>
      </c>
      <c r="X1333" s="9">
        <f>IF(ORIG!X1333=0,"",ORIG!X1333)</f>
        <v/>
      </c>
      <c r="Y1333" s="9">
        <f>IF(ORIG!Y1333=0,"",ORIG!Y1333)</f>
        <v/>
      </c>
      <c r="Z1333" s="3">
        <f>SUMPRODUCT($B1333:$Y1333,$B$2649:$Y$2649)</f>
        <v/>
      </c>
      <c r="AA1333" s="3">
        <f>SUMPRODUCT($B1333:$Y1333,$B$2655:$Y$2655)</f>
        <v/>
      </c>
      <c r="AC1333" s="1">
        <f>A1333</f>
        <v/>
      </c>
      <c r="AD1333">
        <f>IF(ISNUMBER(V1333),V1333*($AB$1/V$2635),"")</f>
        <v/>
      </c>
      <c r="AE1333">
        <f>IF(ISNUMBER(Z1333),Z1333*($AB$1/Z$2635),"")</f>
        <v/>
      </c>
      <c r="AF1333" s="25">
        <f>IF(ISNUMBER(AD1333+AE1333),AD1333+AE1333,"")</f>
        <v/>
      </c>
      <c r="AH1333" s="1">
        <f>A1333</f>
        <v/>
      </c>
      <c r="AI1333">
        <f>IF(ISNUMBER((1+V1333)*AI1332),(1+V1333)*AI1332,AI1332)</f>
        <v/>
      </c>
      <c r="AJ1333">
        <f>IF(ISNUMBER((1+Z1333)*AJ1332),(1+Z1333)*AJ1332,AJ1332)</f>
        <v/>
      </c>
    </row>
    <row r="1334">
      <c r="A1334" s="1" t="n">
        <v>43938</v>
      </c>
      <c r="B1334" s="3">
        <f>IF(ORIG!B1334=0,"",ORIG!B1334)</f>
        <v/>
      </c>
      <c r="C1334" s="3">
        <f>IF(ORIG!C1334=0,"",ORIG!C1334)</f>
        <v/>
      </c>
      <c r="D1334" s="3">
        <f>IF(ORIG!D1334=0,"",ORIG!D1334)</f>
        <v/>
      </c>
      <c r="E1334" s="3">
        <f>IF(ORIG!E1334=0,"",ORIG!E1334)</f>
        <v/>
      </c>
      <c r="F1334" s="3">
        <f>IF(ORIG!F1334=0,"",ORIG!F1334)</f>
        <v/>
      </c>
      <c r="G1334" s="3">
        <f>IF(ORIG!G1334=0,"",ORIG!G1334)</f>
        <v/>
      </c>
      <c r="H1334" s="3">
        <f>IF(ORIG!H1334=0,"",ORIG!H1334)</f>
        <v/>
      </c>
      <c r="I1334" s="3">
        <f>IF(ORIG!I1334=0,"",ORIG!I1334)</f>
        <v/>
      </c>
      <c r="J1334" s="3">
        <f>IF(ORIG!J1334=0,"",ORIG!J1334)</f>
        <v/>
      </c>
      <c r="K1334" s="3">
        <f>IF(ORIG!K1334=0,"",ORIG!K1334)</f>
        <v/>
      </c>
      <c r="L1334" s="3">
        <f>IF(ORIG!L1334=0,"",ORIG!L1334)</f>
        <v/>
      </c>
      <c r="M1334" s="3">
        <f>IF(ORIG!M1334=0,"",ORIG!M1334)</f>
        <v/>
      </c>
      <c r="N1334" s="3">
        <f>IF(ORIG!N1334=0,"",ORIG!N1334)</f>
        <v/>
      </c>
      <c r="O1334" s="3">
        <f>IF(ORIG!O1334=0,"",ORIG!O1334)</f>
        <v/>
      </c>
      <c r="P1334" s="3">
        <f>IF(ORIG!P1334=0,"",ORIG!P1334)</f>
        <v/>
      </c>
      <c r="Q1334" s="3">
        <f>IF(ORIG!Q1334=0,"",ORIG!Q1334)</f>
        <v/>
      </c>
      <c r="R1334" s="3">
        <f>IF(ORIG!R1334=0,"",ORIG!R1334)</f>
        <v/>
      </c>
      <c r="S1334" s="3">
        <f>IF(ORIG!S1334=0,"",ORIG!S1334)</f>
        <v/>
      </c>
      <c r="T1334" s="3">
        <f>IF(ORIG!T1334=0,"",ORIG!T1334)</f>
        <v/>
      </c>
      <c r="U1334" s="3">
        <f>IF(ORIG!U1334=0,"",ORIG!U1334)</f>
        <v/>
      </c>
      <c r="V1334" s="9">
        <f>IF(ORIG!V1334=0,"",ORIG!V1334)</f>
        <v/>
      </c>
      <c r="W1334" s="9">
        <f>IF(ORIG!W1334=0,"",ORIG!W1334)</f>
        <v/>
      </c>
      <c r="X1334" s="9">
        <f>IF(ORIG!X1334=0,"",ORIG!X1334)</f>
        <v/>
      </c>
      <c r="Y1334" s="9">
        <f>IF(ORIG!Y1334=0,"",ORIG!Y1334)</f>
        <v/>
      </c>
      <c r="Z1334" s="3">
        <f>SUMPRODUCT($B1334:$Y1334,$B$2649:$Y$2649)</f>
        <v/>
      </c>
      <c r="AA1334" s="3">
        <f>SUMPRODUCT($B1334:$Y1334,$B$2655:$Y$2655)</f>
        <v/>
      </c>
      <c r="AC1334" s="1">
        <f>A1334</f>
        <v/>
      </c>
      <c r="AD1334">
        <f>IF(ISNUMBER(V1334),V1334*($AB$1/V$2635),"")</f>
        <v/>
      </c>
      <c r="AE1334">
        <f>IF(ISNUMBER(Z1334),Z1334*($AB$1/Z$2635),"")</f>
        <v/>
      </c>
      <c r="AF1334" s="25">
        <f>IF(ISNUMBER(AD1334+AE1334),AD1334+AE1334,"")</f>
        <v/>
      </c>
      <c r="AH1334" s="1">
        <f>A1334</f>
        <v/>
      </c>
      <c r="AI1334">
        <f>IF(ISNUMBER((1+V1334)*AI1333),(1+V1334)*AI1333,AI1333)</f>
        <v/>
      </c>
      <c r="AJ1334">
        <f>IF(ISNUMBER((1+Z1334)*AJ1333),(1+Z1334)*AJ1333,AJ1333)</f>
        <v/>
      </c>
    </row>
    <row r="1335">
      <c r="A1335" s="1" t="n">
        <v>43941</v>
      </c>
      <c r="B1335" s="3">
        <f>IF(ORIG!B1335=0,"",ORIG!B1335)</f>
        <v/>
      </c>
      <c r="C1335" s="3">
        <f>IF(ORIG!C1335=0,"",ORIG!C1335)</f>
        <v/>
      </c>
      <c r="D1335" s="3">
        <f>IF(ORIG!D1335=0,"",ORIG!D1335)</f>
        <v/>
      </c>
      <c r="E1335" s="3">
        <f>IF(ORIG!E1335=0,"",ORIG!E1335)</f>
        <v/>
      </c>
      <c r="F1335" s="3">
        <f>IF(ORIG!F1335=0,"",ORIG!F1335)</f>
        <v/>
      </c>
      <c r="G1335" s="3">
        <f>IF(ORIG!G1335=0,"",ORIG!G1335)</f>
        <v/>
      </c>
      <c r="H1335" s="3">
        <f>IF(ORIG!H1335=0,"",ORIG!H1335)</f>
        <v/>
      </c>
      <c r="I1335" s="3">
        <f>IF(ORIG!I1335=0,"",ORIG!I1335)</f>
        <v/>
      </c>
      <c r="J1335" s="3">
        <f>IF(ORIG!J1335=0,"",ORIG!J1335)</f>
        <v/>
      </c>
      <c r="K1335" s="3">
        <f>IF(ORIG!K1335=0,"",ORIG!K1335)</f>
        <v/>
      </c>
      <c r="L1335" s="3">
        <f>IF(ORIG!L1335=0,"",ORIG!L1335)</f>
        <v/>
      </c>
      <c r="M1335" s="3">
        <f>IF(ORIG!M1335=0,"",ORIG!M1335)</f>
        <v/>
      </c>
      <c r="N1335" s="3">
        <f>IF(ORIG!N1335=0,"",ORIG!N1335)</f>
        <v/>
      </c>
      <c r="O1335" s="3">
        <f>IF(ORIG!O1335=0,"",ORIG!O1335)</f>
        <v/>
      </c>
      <c r="P1335" s="3">
        <f>IF(ORIG!P1335=0,"",ORIG!P1335)</f>
        <v/>
      </c>
      <c r="Q1335" s="3">
        <f>IF(ORIG!Q1335=0,"",ORIG!Q1335)</f>
        <v/>
      </c>
      <c r="R1335" s="3">
        <f>IF(ORIG!R1335=0,"",ORIG!R1335)</f>
        <v/>
      </c>
      <c r="S1335" s="3">
        <f>IF(ORIG!S1335=0,"",ORIG!S1335)</f>
        <v/>
      </c>
      <c r="T1335" s="3">
        <f>IF(ORIG!T1335=0,"",ORIG!T1335)</f>
        <v/>
      </c>
      <c r="U1335" s="3">
        <f>IF(ORIG!U1335=0,"",ORIG!U1335)</f>
        <v/>
      </c>
      <c r="V1335" s="9">
        <f>IF(ORIG!V1335=0,"",ORIG!V1335)</f>
        <v/>
      </c>
      <c r="W1335" s="9">
        <f>IF(ORIG!W1335=0,"",ORIG!W1335)</f>
        <v/>
      </c>
      <c r="X1335" s="9">
        <f>IF(ORIG!X1335=0,"",ORIG!X1335)</f>
        <v/>
      </c>
      <c r="Y1335" s="9">
        <f>IF(ORIG!Y1335=0,"",ORIG!Y1335)</f>
        <v/>
      </c>
      <c r="Z1335" s="3">
        <f>SUMPRODUCT($B1335:$Y1335,$B$2649:$Y$2649)</f>
        <v/>
      </c>
      <c r="AA1335" s="3">
        <f>SUMPRODUCT($B1335:$Y1335,$B$2655:$Y$2655)</f>
        <v/>
      </c>
      <c r="AC1335" s="1">
        <f>A1335</f>
        <v/>
      </c>
      <c r="AD1335">
        <f>IF(ISNUMBER(V1335),V1335*($AB$1/V$2635),"")</f>
        <v/>
      </c>
      <c r="AE1335">
        <f>IF(ISNUMBER(Z1335),Z1335*($AB$1/Z$2635),"")</f>
        <v/>
      </c>
      <c r="AF1335" s="25">
        <f>IF(ISNUMBER(AD1335+AE1335),AD1335+AE1335,"")</f>
        <v/>
      </c>
      <c r="AH1335" s="1">
        <f>A1335</f>
        <v/>
      </c>
      <c r="AI1335">
        <f>IF(ISNUMBER((1+V1335)*AI1334),(1+V1335)*AI1334,AI1334)</f>
        <v/>
      </c>
      <c r="AJ1335">
        <f>IF(ISNUMBER((1+Z1335)*AJ1334),(1+Z1335)*AJ1334,AJ1334)</f>
        <v/>
      </c>
    </row>
    <row r="1336">
      <c r="A1336" s="1" t="n">
        <v>43942</v>
      </c>
      <c r="B1336" s="3">
        <f>IF(ORIG!B1336=0,"",ORIG!B1336)</f>
        <v/>
      </c>
      <c r="C1336" s="3">
        <f>IF(ORIG!C1336=0,"",ORIG!C1336)</f>
        <v/>
      </c>
      <c r="D1336" s="3">
        <f>IF(ORIG!D1336=0,"",ORIG!D1336)</f>
        <v/>
      </c>
      <c r="E1336" s="3">
        <f>IF(ORIG!E1336=0,"",ORIG!E1336)</f>
        <v/>
      </c>
      <c r="F1336" s="3">
        <f>IF(ORIG!F1336=0,"",ORIG!F1336)</f>
        <v/>
      </c>
      <c r="G1336" s="3">
        <f>IF(ORIG!G1336=0,"",ORIG!G1336)</f>
        <v/>
      </c>
      <c r="H1336" s="3">
        <f>IF(ORIG!H1336=0,"",ORIG!H1336)</f>
        <v/>
      </c>
      <c r="I1336" s="3">
        <f>IF(ORIG!I1336=0,"",ORIG!I1336)</f>
        <v/>
      </c>
      <c r="J1336" s="3">
        <f>IF(ORIG!J1336=0,"",ORIG!J1336)</f>
        <v/>
      </c>
      <c r="K1336" s="3">
        <f>IF(ORIG!K1336=0,"",ORIG!K1336)</f>
        <v/>
      </c>
      <c r="L1336" s="3">
        <f>IF(ORIG!L1336=0,"",ORIG!L1336)</f>
        <v/>
      </c>
      <c r="M1336" s="3">
        <f>IF(ORIG!M1336=0,"",ORIG!M1336)</f>
        <v/>
      </c>
      <c r="N1336" s="3">
        <f>IF(ORIG!N1336=0,"",ORIG!N1336)</f>
        <v/>
      </c>
      <c r="O1336" s="3">
        <f>IF(ORIG!O1336=0,"",ORIG!O1336)</f>
        <v/>
      </c>
      <c r="P1336" s="3">
        <f>IF(ORIG!P1336=0,"",ORIG!P1336)</f>
        <v/>
      </c>
      <c r="Q1336" s="3">
        <f>IF(ORIG!Q1336=0,"",ORIG!Q1336)</f>
        <v/>
      </c>
      <c r="R1336" s="3">
        <f>IF(ORIG!R1336=0,"",ORIG!R1336)</f>
        <v/>
      </c>
      <c r="S1336" s="3">
        <f>IF(ORIG!S1336=0,"",ORIG!S1336)</f>
        <v/>
      </c>
      <c r="T1336" s="3">
        <f>IF(ORIG!T1336=0,"",ORIG!T1336)</f>
        <v/>
      </c>
      <c r="U1336" s="3">
        <f>IF(ORIG!U1336=0,"",ORIG!U1336)</f>
        <v/>
      </c>
      <c r="V1336" s="9">
        <f>IF(ORIG!V1336=0,"",ORIG!V1336)</f>
        <v/>
      </c>
      <c r="W1336" s="9">
        <f>IF(ORIG!W1336=0,"",ORIG!W1336)</f>
        <v/>
      </c>
      <c r="X1336" s="9">
        <f>IF(ORIG!X1336=0,"",ORIG!X1336)</f>
        <v/>
      </c>
      <c r="Y1336" s="9">
        <f>IF(ORIG!Y1336=0,"",ORIG!Y1336)</f>
        <v/>
      </c>
      <c r="Z1336" s="3">
        <f>SUMPRODUCT($B1336:$Y1336,$B$2649:$Y$2649)</f>
        <v/>
      </c>
      <c r="AA1336" s="3">
        <f>SUMPRODUCT($B1336:$Y1336,$B$2655:$Y$2655)</f>
        <v/>
      </c>
      <c r="AC1336" s="1">
        <f>A1336</f>
        <v/>
      </c>
      <c r="AD1336">
        <f>IF(ISNUMBER(V1336),V1336*($AB$1/V$2635),"")</f>
        <v/>
      </c>
      <c r="AE1336">
        <f>IF(ISNUMBER(Z1336),Z1336*($AB$1/Z$2635),"")</f>
        <v/>
      </c>
      <c r="AF1336" s="25">
        <f>IF(ISNUMBER(AD1336+AE1336),AD1336+AE1336,"")</f>
        <v/>
      </c>
      <c r="AH1336" s="1">
        <f>A1336</f>
        <v/>
      </c>
      <c r="AI1336">
        <f>IF(ISNUMBER((1+V1336)*AI1335),(1+V1336)*AI1335,AI1335)</f>
        <v/>
      </c>
      <c r="AJ1336">
        <f>IF(ISNUMBER((1+Z1336)*AJ1335),(1+Z1336)*AJ1335,AJ1335)</f>
        <v/>
      </c>
    </row>
    <row r="1337">
      <c r="A1337" s="1" t="n">
        <v>43943</v>
      </c>
      <c r="B1337" s="3">
        <f>IF(ORIG!B1337=0,"",ORIG!B1337)</f>
        <v/>
      </c>
      <c r="C1337" s="3">
        <f>IF(ORIG!C1337=0,"",ORIG!C1337)</f>
        <v/>
      </c>
      <c r="D1337" s="3">
        <f>IF(ORIG!D1337=0,"",ORIG!D1337)</f>
        <v/>
      </c>
      <c r="E1337" s="3">
        <f>IF(ORIG!E1337=0,"",ORIG!E1337)</f>
        <v/>
      </c>
      <c r="F1337" s="3">
        <f>IF(ORIG!F1337=0,"",ORIG!F1337)</f>
        <v/>
      </c>
      <c r="G1337" s="3">
        <f>IF(ORIG!G1337=0,"",ORIG!G1337)</f>
        <v/>
      </c>
      <c r="H1337" s="3">
        <f>IF(ORIG!H1337=0,"",ORIG!H1337)</f>
        <v/>
      </c>
      <c r="I1337" s="3">
        <f>IF(ORIG!I1337=0,"",ORIG!I1337)</f>
        <v/>
      </c>
      <c r="J1337" s="3">
        <f>IF(ORIG!J1337=0,"",ORIG!J1337)</f>
        <v/>
      </c>
      <c r="K1337" s="3">
        <f>IF(ORIG!K1337=0,"",ORIG!K1337)</f>
        <v/>
      </c>
      <c r="L1337" s="3">
        <f>IF(ORIG!L1337=0,"",ORIG!L1337)</f>
        <v/>
      </c>
      <c r="M1337" s="3">
        <f>IF(ORIG!M1337=0,"",ORIG!M1337)</f>
        <v/>
      </c>
      <c r="N1337" s="3">
        <f>IF(ORIG!N1337=0,"",ORIG!N1337)</f>
        <v/>
      </c>
      <c r="O1337" s="3">
        <f>IF(ORIG!O1337=0,"",ORIG!O1337)</f>
        <v/>
      </c>
      <c r="P1337" s="3">
        <f>IF(ORIG!P1337=0,"",ORIG!P1337)</f>
        <v/>
      </c>
      <c r="Q1337" s="3">
        <f>IF(ORIG!Q1337=0,"",ORIG!Q1337)</f>
        <v/>
      </c>
      <c r="R1337" s="3">
        <f>IF(ORIG!R1337=0,"",ORIG!R1337)</f>
        <v/>
      </c>
      <c r="S1337" s="3">
        <f>IF(ORIG!S1337=0,"",ORIG!S1337)</f>
        <v/>
      </c>
      <c r="T1337" s="3">
        <f>IF(ORIG!T1337=0,"",ORIG!T1337)</f>
        <v/>
      </c>
      <c r="U1337" s="3">
        <f>IF(ORIG!U1337=0,"",ORIG!U1337)</f>
        <v/>
      </c>
      <c r="V1337" s="9">
        <f>IF(ORIG!V1337=0,"",ORIG!V1337)</f>
        <v/>
      </c>
      <c r="W1337" s="9">
        <f>IF(ORIG!W1337=0,"",ORIG!W1337)</f>
        <v/>
      </c>
      <c r="X1337" s="9">
        <f>IF(ORIG!X1337=0,"",ORIG!X1337)</f>
        <v/>
      </c>
      <c r="Y1337" s="9">
        <f>IF(ORIG!Y1337=0,"",ORIG!Y1337)</f>
        <v/>
      </c>
      <c r="Z1337" s="3">
        <f>SUMPRODUCT($B1337:$Y1337,$B$2649:$Y$2649)</f>
        <v/>
      </c>
      <c r="AA1337" s="3">
        <f>SUMPRODUCT($B1337:$Y1337,$B$2655:$Y$2655)</f>
        <v/>
      </c>
      <c r="AC1337" s="1">
        <f>A1337</f>
        <v/>
      </c>
      <c r="AD1337">
        <f>IF(ISNUMBER(V1337),V1337*($AB$1/V$2635),"")</f>
        <v/>
      </c>
      <c r="AE1337">
        <f>IF(ISNUMBER(Z1337),Z1337*($AB$1/Z$2635),"")</f>
        <v/>
      </c>
      <c r="AF1337" s="25">
        <f>IF(ISNUMBER(AD1337+AE1337),AD1337+AE1337,"")</f>
        <v/>
      </c>
      <c r="AH1337" s="1">
        <f>A1337</f>
        <v/>
      </c>
      <c r="AI1337">
        <f>IF(ISNUMBER((1+V1337)*AI1336),(1+V1337)*AI1336,AI1336)</f>
        <v/>
      </c>
      <c r="AJ1337">
        <f>IF(ISNUMBER((1+Z1337)*AJ1336),(1+Z1337)*AJ1336,AJ1336)</f>
        <v/>
      </c>
    </row>
    <row r="1338">
      <c r="A1338" s="1" t="n">
        <v>43944</v>
      </c>
      <c r="B1338" s="3">
        <f>IF(ORIG!B1338=0,"",ORIG!B1338)</f>
        <v/>
      </c>
      <c r="C1338" s="3">
        <f>IF(ORIG!C1338=0,"",ORIG!C1338)</f>
        <v/>
      </c>
      <c r="D1338" s="3">
        <f>IF(ORIG!D1338=0,"",ORIG!D1338)</f>
        <v/>
      </c>
      <c r="E1338" s="3">
        <f>IF(ORIG!E1338=0,"",ORIG!E1338)</f>
        <v/>
      </c>
      <c r="F1338" s="3">
        <f>IF(ORIG!F1338=0,"",ORIG!F1338)</f>
        <v/>
      </c>
      <c r="G1338" s="3">
        <f>IF(ORIG!G1338=0,"",ORIG!G1338)</f>
        <v/>
      </c>
      <c r="H1338" s="3">
        <f>IF(ORIG!H1338=0,"",ORIG!H1338)</f>
        <v/>
      </c>
      <c r="I1338" s="3">
        <f>IF(ORIG!I1338=0,"",ORIG!I1338)</f>
        <v/>
      </c>
      <c r="J1338" s="3">
        <f>IF(ORIG!J1338=0,"",ORIG!J1338)</f>
        <v/>
      </c>
      <c r="K1338" s="3">
        <f>IF(ORIG!K1338=0,"",ORIG!K1338)</f>
        <v/>
      </c>
      <c r="L1338" s="3">
        <f>IF(ORIG!L1338=0,"",ORIG!L1338)</f>
        <v/>
      </c>
      <c r="M1338" s="3">
        <f>IF(ORIG!M1338=0,"",ORIG!M1338)</f>
        <v/>
      </c>
      <c r="N1338" s="3">
        <f>IF(ORIG!N1338=0,"",ORIG!N1338)</f>
        <v/>
      </c>
      <c r="O1338" s="3">
        <f>IF(ORIG!O1338=0,"",ORIG!O1338)</f>
        <v/>
      </c>
      <c r="P1338" s="3">
        <f>IF(ORIG!P1338=0,"",ORIG!P1338)</f>
        <v/>
      </c>
      <c r="Q1338" s="3">
        <f>IF(ORIG!Q1338=0,"",ORIG!Q1338)</f>
        <v/>
      </c>
      <c r="R1338" s="3">
        <f>IF(ORIG!R1338=0,"",ORIG!R1338)</f>
        <v/>
      </c>
      <c r="S1338" s="3">
        <f>IF(ORIG!S1338=0,"",ORIG!S1338)</f>
        <v/>
      </c>
      <c r="T1338" s="3">
        <f>IF(ORIG!T1338=0,"",ORIG!T1338)</f>
        <v/>
      </c>
      <c r="U1338" s="3">
        <f>IF(ORIG!U1338=0,"",ORIG!U1338)</f>
        <v/>
      </c>
      <c r="V1338" s="9">
        <f>IF(ORIG!V1338=0,"",ORIG!V1338)</f>
        <v/>
      </c>
      <c r="W1338" s="9">
        <f>IF(ORIG!W1338=0,"",ORIG!W1338)</f>
        <v/>
      </c>
      <c r="X1338" s="9">
        <f>IF(ORIG!X1338=0,"",ORIG!X1338)</f>
        <v/>
      </c>
      <c r="Y1338" s="9">
        <f>IF(ORIG!Y1338=0,"",ORIG!Y1338)</f>
        <v/>
      </c>
      <c r="Z1338" s="3">
        <f>SUMPRODUCT($B1338:$Y1338,$B$2649:$Y$2649)</f>
        <v/>
      </c>
      <c r="AA1338" s="3">
        <f>SUMPRODUCT($B1338:$Y1338,$B$2655:$Y$2655)</f>
        <v/>
      </c>
      <c r="AC1338" s="1">
        <f>A1338</f>
        <v/>
      </c>
      <c r="AD1338">
        <f>IF(ISNUMBER(V1338),V1338*($AB$1/V$2635),"")</f>
        <v/>
      </c>
      <c r="AE1338">
        <f>IF(ISNUMBER(Z1338),Z1338*($AB$1/Z$2635),"")</f>
        <v/>
      </c>
      <c r="AF1338" s="25">
        <f>IF(ISNUMBER(AD1338+AE1338),AD1338+AE1338,"")</f>
        <v/>
      </c>
      <c r="AH1338" s="1">
        <f>A1338</f>
        <v/>
      </c>
      <c r="AI1338">
        <f>IF(ISNUMBER((1+V1338)*AI1337),(1+V1338)*AI1337,AI1337)</f>
        <v/>
      </c>
      <c r="AJ1338">
        <f>IF(ISNUMBER((1+Z1338)*AJ1337),(1+Z1338)*AJ1337,AJ1337)</f>
        <v/>
      </c>
    </row>
    <row r="1339">
      <c r="A1339" s="1" t="n">
        <v>43945</v>
      </c>
      <c r="B1339" s="3">
        <f>IF(ORIG!B1339=0,"",ORIG!B1339)</f>
        <v/>
      </c>
      <c r="C1339" s="3">
        <f>IF(ORIG!C1339=0,"",ORIG!C1339)</f>
        <v/>
      </c>
      <c r="D1339" s="3">
        <f>IF(ORIG!D1339=0,"",ORIG!D1339)</f>
        <v/>
      </c>
      <c r="E1339" s="3">
        <f>IF(ORIG!E1339=0,"",ORIG!E1339)</f>
        <v/>
      </c>
      <c r="F1339" s="3">
        <f>IF(ORIG!F1339=0,"",ORIG!F1339)</f>
        <v/>
      </c>
      <c r="G1339" s="3">
        <f>IF(ORIG!G1339=0,"",ORIG!G1339)</f>
        <v/>
      </c>
      <c r="H1339" s="3">
        <f>IF(ORIG!H1339=0,"",ORIG!H1339)</f>
        <v/>
      </c>
      <c r="I1339" s="3">
        <f>IF(ORIG!I1339=0,"",ORIG!I1339)</f>
        <v/>
      </c>
      <c r="J1339" s="3">
        <f>IF(ORIG!J1339=0,"",ORIG!J1339)</f>
        <v/>
      </c>
      <c r="K1339" s="3">
        <f>IF(ORIG!K1339=0,"",ORIG!K1339)</f>
        <v/>
      </c>
      <c r="L1339" s="3">
        <f>IF(ORIG!L1339=0,"",ORIG!L1339)</f>
        <v/>
      </c>
      <c r="M1339" s="3">
        <f>IF(ORIG!M1339=0,"",ORIG!M1339)</f>
        <v/>
      </c>
      <c r="N1339" s="3">
        <f>IF(ORIG!N1339=0,"",ORIG!N1339)</f>
        <v/>
      </c>
      <c r="O1339" s="3">
        <f>IF(ORIG!O1339=0,"",ORIG!O1339)</f>
        <v/>
      </c>
      <c r="P1339" s="3">
        <f>IF(ORIG!P1339=0,"",ORIG!P1339)</f>
        <v/>
      </c>
      <c r="Q1339" s="3">
        <f>IF(ORIG!Q1339=0,"",ORIG!Q1339)</f>
        <v/>
      </c>
      <c r="R1339" s="3">
        <f>IF(ORIG!R1339=0,"",ORIG!R1339)</f>
        <v/>
      </c>
      <c r="S1339" s="3">
        <f>IF(ORIG!S1339=0,"",ORIG!S1339)</f>
        <v/>
      </c>
      <c r="T1339" s="3">
        <f>IF(ORIG!T1339=0,"",ORIG!T1339)</f>
        <v/>
      </c>
      <c r="U1339" s="3">
        <f>IF(ORIG!U1339=0,"",ORIG!U1339)</f>
        <v/>
      </c>
      <c r="V1339" s="9">
        <f>IF(ORIG!V1339=0,"",ORIG!V1339)</f>
        <v/>
      </c>
      <c r="W1339" s="9">
        <f>IF(ORIG!W1339=0,"",ORIG!W1339)</f>
        <v/>
      </c>
      <c r="X1339" s="9">
        <f>IF(ORIG!X1339=0,"",ORIG!X1339)</f>
        <v/>
      </c>
      <c r="Y1339" s="9">
        <f>IF(ORIG!Y1339=0,"",ORIG!Y1339)</f>
        <v/>
      </c>
      <c r="Z1339" s="3">
        <f>SUMPRODUCT($B1339:$Y1339,$B$2649:$Y$2649)</f>
        <v/>
      </c>
      <c r="AA1339" s="3">
        <f>SUMPRODUCT($B1339:$Y1339,$B$2655:$Y$2655)</f>
        <v/>
      </c>
      <c r="AC1339" s="1">
        <f>A1339</f>
        <v/>
      </c>
      <c r="AD1339">
        <f>IF(ISNUMBER(V1339),V1339*($AB$1/V$2635),"")</f>
        <v/>
      </c>
      <c r="AE1339">
        <f>IF(ISNUMBER(Z1339),Z1339*($AB$1/Z$2635),"")</f>
        <v/>
      </c>
      <c r="AF1339" s="25">
        <f>IF(ISNUMBER(AD1339+AE1339),AD1339+AE1339,"")</f>
        <v/>
      </c>
      <c r="AH1339" s="1">
        <f>A1339</f>
        <v/>
      </c>
      <c r="AI1339">
        <f>IF(ISNUMBER((1+V1339)*AI1338),(1+V1339)*AI1338,AI1338)</f>
        <v/>
      </c>
      <c r="AJ1339">
        <f>IF(ISNUMBER((1+Z1339)*AJ1338),(1+Z1339)*AJ1338,AJ1338)</f>
        <v/>
      </c>
    </row>
    <row r="1340">
      <c r="A1340" s="1" t="n">
        <v>43948</v>
      </c>
      <c r="B1340" s="3">
        <f>IF(ORIG!B1340=0,"",ORIG!B1340)</f>
        <v/>
      </c>
      <c r="C1340" s="3">
        <f>IF(ORIG!C1340=0,"",ORIG!C1340)</f>
        <v/>
      </c>
      <c r="D1340" s="3">
        <f>IF(ORIG!D1340=0,"",ORIG!D1340)</f>
        <v/>
      </c>
      <c r="E1340" s="3">
        <f>IF(ORIG!E1340=0,"",ORIG!E1340)</f>
        <v/>
      </c>
      <c r="F1340" s="3">
        <f>IF(ORIG!F1340=0,"",ORIG!F1340)</f>
        <v/>
      </c>
      <c r="G1340" s="3">
        <f>IF(ORIG!G1340=0,"",ORIG!G1340)</f>
        <v/>
      </c>
      <c r="H1340" s="3">
        <f>IF(ORIG!H1340=0,"",ORIG!H1340)</f>
        <v/>
      </c>
      <c r="I1340" s="3">
        <f>IF(ORIG!I1340=0,"",ORIG!I1340)</f>
        <v/>
      </c>
      <c r="J1340" s="3">
        <f>IF(ORIG!J1340=0,"",ORIG!J1340)</f>
        <v/>
      </c>
      <c r="K1340" s="3">
        <f>IF(ORIG!K1340=0,"",ORIG!K1340)</f>
        <v/>
      </c>
      <c r="L1340" s="3">
        <f>IF(ORIG!L1340=0,"",ORIG!L1340)</f>
        <v/>
      </c>
      <c r="M1340" s="3">
        <f>IF(ORIG!M1340=0,"",ORIG!M1340)</f>
        <v/>
      </c>
      <c r="N1340" s="3">
        <f>IF(ORIG!N1340=0,"",ORIG!N1340)</f>
        <v/>
      </c>
      <c r="O1340" s="3">
        <f>IF(ORIG!O1340=0,"",ORIG!O1340)</f>
        <v/>
      </c>
      <c r="P1340" s="3">
        <f>IF(ORIG!P1340=0,"",ORIG!P1340)</f>
        <v/>
      </c>
      <c r="Q1340" s="3">
        <f>IF(ORIG!Q1340=0,"",ORIG!Q1340)</f>
        <v/>
      </c>
      <c r="R1340" s="3">
        <f>IF(ORIG!R1340=0,"",ORIG!R1340)</f>
        <v/>
      </c>
      <c r="S1340" s="3">
        <f>IF(ORIG!S1340=0,"",ORIG!S1340)</f>
        <v/>
      </c>
      <c r="T1340" s="3">
        <f>IF(ORIG!T1340=0,"",ORIG!T1340)</f>
        <v/>
      </c>
      <c r="U1340" s="3">
        <f>IF(ORIG!U1340=0,"",ORIG!U1340)</f>
        <v/>
      </c>
      <c r="V1340" s="9">
        <f>IF(ORIG!V1340=0,"",ORIG!V1340)</f>
        <v/>
      </c>
      <c r="W1340" s="9">
        <f>IF(ORIG!W1340=0,"",ORIG!W1340)</f>
        <v/>
      </c>
      <c r="X1340" s="9">
        <f>IF(ORIG!X1340=0,"",ORIG!X1340)</f>
        <v/>
      </c>
      <c r="Y1340" s="9">
        <f>IF(ORIG!Y1340=0,"",ORIG!Y1340)</f>
        <v/>
      </c>
      <c r="Z1340" s="3">
        <f>SUMPRODUCT($B1340:$Y1340,$B$2649:$Y$2649)</f>
        <v/>
      </c>
      <c r="AA1340" s="3">
        <f>SUMPRODUCT($B1340:$Y1340,$B$2655:$Y$2655)</f>
        <v/>
      </c>
      <c r="AC1340" s="1">
        <f>A1340</f>
        <v/>
      </c>
      <c r="AD1340">
        <f>IF(ISNUMBER(V1340),V1340*($AB$1/V$2635),"")</f>
        <v/>
      </c>
      <c r="AE1340">
        <f>IF(ISNUMBER(Z1340),Z1340*($AB$1/Z$2635),"")</f>
        <v/>
      </c>
      <c r="AF1340" s="25">
        <f>IF(ISNUMBER(AD1340+AE1340),AD1340+AE1340,"")</f>
        <v/>
      </c>
      <c r="AH1340" s="1">
        <f>A1340</f>
        <v/>
      </c>
      <c r="AI1340">
        <f>IF(ISNUMBER((1+V1340)*AI1339),(1+V1340)*AI1339,AI1339)</f>
        <v/>
      </c>
      <c r="AJ1340">
        <f>IF(ISNUMBER((1+Z1340)*AJ1339),(1+Z1340)*AJ1339,AJ1339)</f>
        <v/>
      </c>
    </row>
    <row r="1341">
      <c r="A1341" s="1" t="n">
        <v>43949</v>
      </c>
      <c r="B1341" s="3">
        <f>IF(ORIG!B1341=0,"",ORIG!B1341)</f>
        <v/>
      </c>
      <c r="C1341" s="3">
        <f>IF(ORIG!C1341=0,"",ORIG!C1341)</f>
        <v/>
      </c>
      <c r="D1341" s="3">
        <f>IF(ORIG!D1341=0,"",ORIG!D1341)</f>
        <v/>
      </c>
      <c r="E1341" s="3">
        <f>IF(ORIG!E1341=0,"",ORIG!E1341)</f>
        <v/>
      </c>
      <c r="F1341" s="3">
        <f>IF(ORIG!F1341=0,"",ORIG!F1341)</f>
        <v/>
      </c>
      <c r="G1341" s="3">
        <f>IF(ORIG!G1341=0,"",ORIG!G1341)</f>
        <v/>
      </c>
      <c r="H1341" s="3">
        <f>IF(ORIG!H1341=0,"",ORIG!H1341)</f>
        <v/>
      </c>
      <c r="I1341" s="3">
        <f>IF(ORIG!I1341=0,"",ORIG!I1341)</f>
        <v/>
      </c>
      <c r="J1341" s="3">
        <f>IF(ORIG!J1341=0,"",ORIG!J1341)</f>
        <v/>
      </c>
      <c r="K1341" s="3">
        <f>IF(ORIG!K1341=0,"",ORIG!K1341)</f>
        <v/>
      </c>
      <c r="L1341" s="3">
        <f>IF(ORIG!L1341=0,"",ORIG!L1341)</f>
        <v/>
      </c>
      <c r="M1341" s="3">
        <f>IF(ORIG!M1341=0,"",ORIG!M1341)</f>
        <v/>
      </c>
      <c r="N1341" s="3">
        <f>IF(ORIG!N1341=0,"",ORIG!N1341)</f>
        <v/>
      </c>
      <c r="O1341" s="3">
        <f>IF(ORIG!O1341=0,"",ORIG!O1341)</f>
        <v/>
      </c>
      <c r="P1341" s="3">
        <f>IF(ORIG!P1341=0,"",ORIG!P1341)</f>
        <v/>
      </c>
      <c r="Q1341" s="3">
        <f>IF(ORIG!Q1341=0,"",ORIG!Q1341)</f>
        <v/>
      </c>
      <c r="R1341" s="3">
        <f>IF(ORIG!R1341=0,"",ORIG!R1341)</f>
        <v/>
      </c>
      <c r="S1341" s="3">
        <f>IF(ORIG!S1341=0,"",ORIG!S1341)</f>
        <v/>
      </c>
      <c r="T1341" s="3">
        <f>IF(ORIG!T1341=0,"",ORIG!T1341)</f>
        <v/>
      </c>
      <c r="U1341" s="3">
        <f>IF(ORIG!U1341=0,"",ORIG!U1341)</f>
        <v/>
      </c>
      <c r="V1341" s="9">
        <f>IF(ORIG!V1341=0,"",ORIG!V1341)</f>
        <v/>
      </c>
      <c r="W1341" s="9">
        <f>IF(ORIG!W1341=0,"",ORIG!W1341)</f>
        <v/>
      </c>
      <c r="X1341" s="9">
        <f>IF(ORIG!X1341=0,"",ORIG!X1341)</f>
        <v/>
      </c>
      <c r="Y1341" s="9">
        <f>IF(ORIG!Y1341=0,"",ORIG!Y1341)</f>
        <v/>
      </c>
      <c r="Z1341" s="3">
        <f>SUMPRODUCT($B1341:$Y1341,$B$2649:$Y$2649)</f>
        <v/>
      </c>
      <c r="AA1341" s="3">
        <f>SUMPRODUCT($B1341:$Y1341,$B$2655:$Y$2655)</f>
        <v/>
      </c>
      <c r="AC1341" s="1">
        <f>A1341</f>
        <v/>
      </c>
      <c r="AD1341">
        <f>IF(ISNUMBER(V1341),V1341*($AB$1/V$2635),"")</f>
        <v/>
      </c>
      <c r="AE1341">
        <f>IF(ISNUMBER(Z1341),Z1341*($AB$1/Z$2635),"")</f>
        <v/>
      </c>
      <c r="AF1341" s="25">
        <f>IF(ISNUMBER(AD1341+AE1341),AD1341+AE1341,"")</f>
        <v/>
      </c>
      <c r="AH1341" s="1">
        <f>A1341</f>
        <v/>
      </c>
      <c r="AI1341">
        <f>IF(ISNUMBER((1+V1341)*AI1340),(1+V1341)*AI1340,AI1340)</f>
        <v/>
      </c>
      <c r="AJ1341">
        <f>IF(ISNUMBER((1+Z1341)*AJ1340),(1+Z1341)*AJ1340,AJ1340)</f>
        <v/>
      </c>
    </row>
    <row r="1342">
      <c r="A1342" s="1" t="n">
        <v>43950</v>
      </c>
      <c r="B1342" s="3">
        <f>IF(ORIG!B1342=0,"",ORIG!B1342)</f>
        <v/>
      </c>
      <c r="C1342" s="3">
        <f>IF(ORIG!C1342=0,"",ORIG!C1342)</f>
        <v/>
      </c>
      <c r="D1342" s="3">
        <f>IF(ORIG!D1342=0,"",ORIG!D1342)</f>
        <v/>
      </c>
      <c r="E1342" s="3">
        <f>IF(ORIG!E1342=0,"",ORIG!E1342)</f>
        <v/>
      </c>
      <c r="F1342" s="3">
        <f>IF(ORIG!F1342=0,"",ORIG!F1342)</f>
        <v/>
      </c>
      <c r="G1342" s="3">
        <f>IF(ORIG!G1342=0,"",ORIG!G1342)</f>
        <v/>
      </c>
      <c r="H1342" s="3">
        <f>IF(ORIG!H1342=0,"",ORIG!H1342)</f>
        <v/>
      </c>
      <c r="I1342" s="3">
        <f>IF(ORIG!I1342=0,"",ORIG!I1342)</f>
        <v/>
      </c>
      <c r="J1342" s="3">
        <f>IF(ORIG!J1342=0,"",ORIG!J1342)</f>
        <v/>
      </c>
      <c r="K1342" s="3">
        <f>IF(ORIG!K1342=0,"",ORIG!K1342)</f>
        <v/>
      </c>
      <c r="L1342" s="3">
        <f>IF(ORIG!L1342=0,"",ORIG!L1342)</f>
        <v/>
      </c>
      <c r="M1342" s="3">
        <f>IF(ORIG!M1342=0,"",ORIG!M1342)</f>
        <v/>
      </c>
      <c r="N1342" s="3">
        <f>IF(ORIG!N1342=0,"",ORIG!N1342)</f>
        <v/>
      </c>
      <c r="O1342" s="3">
        <f>IF(ORIG!O1342=0,"",ORIG!O1342)</f>
        <v/>
      </c>
      <c r="P1342" s="3">
        <f>IF(ORIG!P1342=0,"",ORIG!P1342)</f>
        <v/>
      </c>
      <c r="Q1342" s="3">
        <f>IF(ORIG!Q1342=0,"",ORIG!Q1342)</f>
        <v/>
      </c>
      <c r="R1342" s="3">
        <f>IF(ORIG!R1342=0,"",ORIG!R1342)</f>
        <v/>
      </c>
      <c r="S1342" s="3">
        <f>IF(ORIG!S1342=0,"",ORIG!S1342)</f>
        <v/>
      </c>
      <c r="T1342" s="3">
        <f>IF(ORIG!T1342=0,"",ORIG!T1342)</f>
        <v/>
      </c>
      <c r="U1342" s="3">
        <f>IF(ORIG!U1342=0,"",ORIG!U1342)</f>
        <v/>
      </c>
      <c r="V1342" s="9">
        <f>IF(ORIG!V1342=0,"",ORIG!V1342)</f>
        <v/>
      </c>
      <c r="W1342" s="9">
        <f>IF(ORIG!W1342=0,"",ORIG!W1342)</f>
        <v/>
      </c>
      <c r="X1342" s="9">
        <f>IF(ORIG!X1342=0,"",ORIG!X1342)</f>
        <v/>
      </c>
      <c r="Y1342" s="9">
        <f>IF(ORIG!Y1342=0,"",ORIG!Y1342)</f>
        <v/>
      </c>
      <c r="Z1342" s="3">
        <f>SUMPRODUCT($B1342:$Y1342,$B$2649:$Y$2649)</f>
        <v/>
      </c>
      <c r="AA1342" s="3">
        <f>SUMPRODUCT($B1342:$Y1342,$B$2655:$Y$2655)</f>
        <v/>
      </c>
      <c r="AC1342" s="1">
        <f>A1342</f>
        <v/>
      </c>
      <c r="AD1342">
        <f>IF(ISNUMBER(V1342),V1342*($AB$1/V$2635),"")</f>
        <v/>
      </c>
      <c r="AE1342">
        <f>IF(ISNUMBER(Z1342),Z1342*($AB$1/Z$2635),"")</f>
        <v/>
      </c>
      <c r="AF1342" s="25">
        <f>IF(ISNUMBER(AD1342+AE1342),AD1342+AE1342,"")</f>
        <v/>
      </c>
      <c r="AH1342" s="1">
        <f>A1342</f>
        <v/>
      </c>
      <c r="AI1342">
        <f>IF(ISNUMBER((1+V1342)*AI1341),(1+V1342)*AI1341,AI1341)</f>
        <v/>
      </c>
      <c r="AJ1342">
        <f>IF(ISNUMBER((1+Z1342)*AJ1341),(1+Z1342)*AJ1341,AJ1341)</f>
        <v/>
      </c>
    </row>
    <row r="1343">
      <c r="A1343" s="1" t="n">
        <v>43951</v>
      </c>
      <c r="B1343" s="3">
        <f>IF(ORIG!B1343=0,"",ORIG!B1343)</f>
        <v/>
      </c>
      <c r="C1343" s="3">
        <f>IF(ORIG!C1343=0,"",ORIG!C1343)</f>
        <v/>
      </c>
      <c r="D1343" s="3">
        <f>IF(ORIG!D1343=0,"",ORIG!D1343)</f>
        <v/>
      </c>
      <c r="E1343" s="3">
        <f>IF(ORIG!E1343=0,"",ORIG!E1343)</f>
        <v/>
      </c>
      <c r="F1343" s="3">
        <f>IF(ORIG!F1343=0,"",ORIG!F1343)</f>
        <v/>
      </c>
      <c r="G1343" s="3">
        <f>IF(ORIG!G1343=0,"",ORIG!G1343)</f>
        <v/>
      </c>
      <c r="H1343" s="3">
        <f>IF(ORIG!H1343=0,"",ORIG!H1343)</f>
        <v/>
      </c>
      <c r="I1343" s="3">
        <f>IF(ORIG!I1343=0,"",ORIG!I1343)</f>
        <v/>
      </c>
      <c r="J1343" s="3">
        <f>IF(ORIG!J1343=0,"",ORIG!J1343)</f>
        <v/>
      </c>
      <c r="K1343" s="3">
        <f>IF(ORIG!K1343=0,"",ORIG!K1343)</f>
        <v/>
      </c>
      <c r="L1343" s="3">
        <f>IF(ORIG!L1343=0,"",ORIG!L1343)</f>
        <v/>
      </c>
      <c r="M1343" s="3">
        <f>IF(ORIG!M1343=0,"",ORIG!M1343)</f>
        <v/>
      </c>
      <c r="N1343" s="3">
        <f>IF(ORIG!N1343=0,"",ORIG!N1343)</f>
        <v/>
      </c>
      <c r="O1343" s="3">
        <f>IF(ORIG!O1343=0,"",ORIG!O1343)</f>
        <v/>
      </c>
      <c r="P1343" s="3">
        <f>IF(ORIG!P1343=0,"",ORIG!P1343)</f>
        <v/>
      </c>
      <c r="Q1343" s="3">
        <f>IF(ORIG!Q1343=0,"",ORIG!Q1343)</f>
        <v/>
      </c>
      <c r="R1343" s="3">
        <f>IF(ORIG!R1343=0,"",ORIG!R1343)</f>
        <v/>
      </c>
      <c r="S1343" s="3">
        <f>IF(ORIG!S1343=0,"",ORIG!S1343)</f>
        <v/>
      </c>
      <c r="T1343" s="3">
        <f>IF(ORIG!T1343=0,"",ORIG!T1343)</f>
        <v/>
      </c>
      <c r="U1343" s="3">
        <f>IF(ORIG!U1343=0,"",ORIG!U1343)</f>
        <v/>
      </c>
      <c r="V1343" s="9">
        <f>IF(ORIG!V1343=0,"",ORIG!V1343)</f>
        <v/>
      </c>
      <c r="W1343" s="9">
        <f>IF(ORIG!W1343=0,"",ORIG!W1343)</f>
        <v/>
      </c>
      <c r="X1343" s="9">
        <f>IF(ORIG!X1343=0,"",ORIG!X1343)</f>
        <v/>
      </c>
      <c r="Y1343" s="9">
        <f>IF(ORIG!Y1343=0,"",ORIG!Y1343)</f>
        <v/>
      </c>
      <c r="Z1343" s="3">
        <f>SUMPRODUCT($B1343:$Y1343,$B$2649:$Y$2649)</f>
        <v/>
      </c>
      <c r="AA1343" s="3">
        <f>SUMPRODUCT($B1343:$Y1343,$B$2655:$Y$2655)</f>
        <v/>
      </c>
      <c r="AC1343" s="1">
        <f>A1343</f>
        <v/>
      </c>
      <c r="AD1343">
        <f>IF(ISNUMBER(V1343),V1343*($AB$1/V$2635),"")</f>
        <v/>
      </c>
      <c r="AE1343">
        <f>IF(ISNUMBER(Z1343),Z1343*($AB$1/Z$2635),"")</f>
        <v/>
      </c>
      <c r="AF1343" s="25">
        <f>IF(ISNUMBER(AD1343+AE1343),AD1343+AE1343,"")</f>
        <v/>
      </c>
      <c r="AH1343" s="1">
        <f>A1343</f>
        <v/>
      </c>
      <c r="AI1343">
        <f>IF(ISNUMBER((1+V1343)*AI1342),(1+V1343)*AI1342,AI1342)</f>
        <v/>
      </c>
      <c r="AJ1343">
        <f>IF(ISNUMBER((1+Z1343)*AJ1342),(1+Z1343)*AJ1342,AJ1342)</f>
        <v/>
      </c>
    </row>
    <row r="1344">
      <c r="A1344" s="1" t="n">
        <v>43952</v>
      </c>
      <c r="B1344" s="3">
        <f>IF(ORIG!B1344=0,"",ORIG!B1344)</f>
        <v/>
      </c>
      <c r="C1344" s="3">
        <f>IF(ORIG!C1344=0,"",ORIG!C1344)</f>
        <v/>
      </c>
      <c r="D1344" s="3">
        <f>IF(ORIG!D1344=0,"",ORIG!D1344)</f>
        <v/>
      </c>
      <c r="E1344" s="3">
        <f>IF(ORIG!E1344=0,"",ORIG!E1344)</f>
        <v/>
      </c>
      <c r="F1344" s="3">
        <f>IF(ORIG!F1344=0,"",ORIG!F1344)</f>
        <v/>
      </c>
      <c r="G1344" s="3">
        <f>IF(ORIG!G1344=0,"",ORIG!G1344)</f>
        <v/>
      </c>
      <c r="H1344" s="3">
        <f>IF(ORIG!H1344=0,"",ORIG!H1344)</f>
        <v/>
      </c>
      <c r="I1344" s="3">
        <f>IF(ORIG!I1344=0,"",ORIG!I1344)</f>
        <v/>
      </c>
      <c r="J1344" s="3">
        <f>IF(ORIG!J1344=0,"",ORIG!J1344)</f>
        <v/>
      </c>
      <c r="K1344" s="3">
        <f>IF(ORIG!K1344=0,"",ORIG!K1344)</f>
        <v/>
      </c>
      <c r="L1344" s="3">
        <f>IF(ORIG!L1344=0,"",ORIG!L1344)</f>
        <v/>
      </c>
      <c r="M1344" s="3">
        <f>IF(ORIG!M1344=0,"",ORIG!M1344)</f>
        <v/>
      </c>
      <c r="N1344" s="3">
        <f>IF(ORIG!N1344=0,"",ORIG!N1344)</f>
        <v/>
      </c>
      <c r="O1344" s="3">
        <f>IF(ORIG!O1344=0,"",ORIG!O1344)</f>
        <v/>
      </c>
      <c r="P1344" s="3">
        <f>IF(ORIG!P1344=0,"",ORIG!P1344)</f>
        <v/>
      </c>
      <c r="Q1344" s="3">
        <f>IF(ORIG!Q1344=0,"",ORIG!Q1344)</f>
        <v/>
      </c>
      <c r="R1344" s="3">
        <f>IF(ORIG!R1344=0,"",ORIG!R1344)</f>
        <v/>
      </c>
      <c r="S1344" s="3">
        <f>IF(ORIG!S1344=0,"",ORIG!S1344)</f>
        <v/>
      </c>
      <c r="T1344" s="3">
        <f>IF(ORIG!T1344=0,"",ORIG!T1344)</f>
        <v/>
      </c>
      <c r="U1344" s="3">
        <f>IF(ORIG!U1344=0,"",ORIG!U1344)</f>
        <v/>
      </c>
      <c r="V1344" s="9">
        <f>IF(ORIG!V1344=0,"",ORIG!V1344)</f>
        <v/>
      </c>
      <c r="W1344" s="9">
        <f>IF(ORIG!W1344=0,"",ORIG!W1344)</f>
        <v/>
      </c>
      <c r="X1344" s="9">
        <f>IF(ORIG!X1344=0,"",ORIG!X1344)</f>
        <v/>
      </c>
      <c r="Y1344" s="9">
        <f>IF(ORIG!Y1344=0,"",ORIG!Y1344)</f>
        <v/>
      </c>
      <c r="Z1344" s="3">
        <f>SUMPRODUCT($B1344:$Y1344,$B$2649:$Y$2649)</f>
        <v/>
      </c>
      <c r="AA1344" s="3">
        <f>SUMPRODUCT($B1344:$Y1344,$B$2655:$Y$2655)</f>
        <v/>
      </c>
      <c r="AC1344" s="1">
        <f>A1344</f>
        <v/>
      </c>
      <c r="AD1344">
        <f>IF(ISNUMBER(V1344),V1344*($AB$1/V$2635),"")</f>
        <v/>
      </c>
      <c r="AE1344">
        <f>IF(ISNUMBER(Z1344),Z1344*($AB$1/Z$2635),"")</f>
        <v/>
      </c>
      <c r="AF1344" s="25">
        <f>IF(ISNUMBER(AD1344+AE1344),AD1344+AE1344,"")</f>
        <v/>
      </c>
      <c r="AH1344" s="1">
        <f>A1344</f>
        <v/>
      </c>
      <c r="AI1344">
        <f>IF(ISNUMBER((1+V1344)*AI1343),(1+V1344)*AI1343,AI1343)</f>
        <v/>
      </c>
      <c r="AJ1344">
        <f>IF(ISNUMBER((1+Z1344)*AJ1343),(1+Z1344)*AJ1343,AJ1343)</f>
        <v/>
      </c>
    </row>
    <row r="1345">
      <c r="A1345" s="1" t="n">
        <v>43955</v>
      </c>
      <c r="B1345" s="3">
        <f>IF(ORIG!B1345=0,"",ORIG!B1345)</f>
        <v/>
      </c>
      <c r="C1345" s="3">
        <f>IF(ORIG!C1345=0,"",ORIG!C1345)</f>
        <v/>
      </c>
      <c r="D1345" s="3">
        <f>IF(ORIG!D1345=0,"",ORIG!D1345)</f>
        <v/>
      </c>
      <c r="E1345" s="3">
        <f>IF(ORIG!E1345=0,"",ORIG!E1345)</f>
        <v/>
      </c>
      <c r="F1345" s="3">
        <f>IF(ORIG!F1345=0,"",ORIG!F1345)</f>
        <v/>
      </c>
      <c r="G1345" s="3">
        <f>IF(ORIG!G1345=0,"",ORIG!G1345)</f>
        <v/>
      </c>
      <c r="H1345" s="3">
        <f>IF(ORIG!H1345=0,"",ORIG!H1345)</f>
        <v/>
      </c>
      <c r="I1345" s="3">
        <f>IF(ORIG!I1345=0,"",ORIG!I1345)</f>
        <v/>
      </c>
      <c r="J1345" s="3">
        <f>IF(ORIG!J1345=0,"",ORIG!J1345)</f>
        <v/>
      </c>
      <c r="K1345" s="3">
        <f>IF(ORIG!K1345=0,"",ORIG!K1345)</f>
        <v/>
      </c>
      <c r="L1345" s="3">
        <f>IF(ORIG!L1345=0,"",ORIG!L1345)</f>
        <v/>
      </c>
      <c r="M1345" s="3">
        <f>IF(ORIG!M1345=0,"",ORIG!M1345)</f>
        <v/>
      </c>
      <c r="N1345" s="3">
        <f>IF(ORIG!N1345=0,"",ORIG!N1345)</f>
        <v/>
      </c>
      <c r="O1345" s="3">
        <f>IF(ORIG!O1345=0,"",ORIG!O1345)</f>
        <v/>
      </c>
      <c r="P1345" s="3">
        <f>IF(ORIG!P1345=0,"",ORIG!P1345)</f>
        <v/>
      </c>
      <c r="Q1345" s="3">
        <f>IF(ORIG!Q1345=0,"",ORIG!Q1345)</f>
        <v/>
      </c>
      <c r="R1345" s="3">
        <f>IF(ORIG!R1345=0,"",ORIG!R1345)</f>
        <v/>
      </c>
      <c r="S1345" s="3">
        <f>IF(ORIG!S1345=0,"",ORIG!S1345)</f>
        <v/>
      </c>
      <c r="T1345" s="3">
        <f>IF(ORIG!T1345=0,"",ORIG!T1345)</f>
        <v/>
      </c>
      <c r="U1345" s="3">
        <f>IF(ORIG!U1345=0,"",ORIG!U1345)</f>
        <v/>
      </c>
      <c r="V1345" s="9">
        <f>IF(ORIG!V1345=0,"",ORIG!V1345)</f>
        <v/>
      </c>
      <c r="W1345" s="9">
        <f>IF(ORIG!W1345=0,"",ORIG!W1345)</f>
        <v/>
      </c>
      <c r="X1345" s="9">
        <f>IF(ORIG!X1345=0,"",ORIG!X1345)</f>
        <v/>
      </c>
      <c r="Y1345" s="9">
        <f>IF(ORIG!Y1345=0,"",ORIG!Y1345)</f>
        <v/>
      </c>
      <c r="Z1345" s="3">
        <f>SUMPRODUCT($B1345:$Y1345,$B$2649:$Y$2649)</f>
        <v/>
      </c>
      <c r="AA1345" s="3">
        <f>SUMPRODUCT($B1345:$Y1345,$B$2655:$Y$2655)</f>
        <v/>
      </c>
      <c r="AC1345" s="1">
        <f>A1345</f>
        <v/>
      </c>
      <c r="AD1345">
        <f>IF(ISNUMBER(V1345),V1345*($AB$1/V$2635),"")</f>
        <v/>
      </c>
      <c r="AE1345">
        <f>IF(ISNUMBER(Z1345),Z1345*($AB$1/Z$2635),"")</f>
        <v/>
      </c>
      <c r="AF1345" s="25">
        <f>IF(ISNUMBER(AD1345+AE1345),AD1345+AE1345,"")</f>
        <v/>
      </c>
      <c r="AH1345" s="1">
        <f>A1345</f>
        <v/>
      </c>
      <c r="AI1345">
        <f>IF(ISNUMBER((1+V1345)*AI1344),(1+V1345)*AI1344,AI1344)</f>
        <v/>
      </c>
      <c r="AJ1345">
        <f>IF(ISNUMBER((1+Z1345)*AJ1344),(1+Z1345)*AJ1344,AJ1344)</f>
        <v/>
      </c>
    </row>
    <row r="1346">
      <c r="A1346" s="1" t="n">
        <v>43956</v>
      </c>
      <c r="B1346" s="3">
        <f>IF(ORIG!B1346=0,"",ORIG!B1346)</f>
        <v/>
      </c>
      <c r="C1346" s="3">
        <f>IF(ORIG!C1346=0,"",ORIG!C1346)</f>
        <v/>
      </c>
      <c r="D1346" s="3">
        <f>IF(ORIG!D1346=0,"",ORIG!D1346)</f>
        <v/>
      </c>
      <c r="E1346" s="3">
        <f>IF(ORIG!E1346=0,"",ORIG!E1346)</f>
        <v/>
      </c>
      <c r="F1346" s="3">
        <f>IF(ORIG!F1346=0,"",ORIG!F1346)</f>
        <v/>
      </c>
      <c r="G1346" s="3">
        <f>IF(ORIG!G1346=0,"",ORIG!G1346)</f>
        <v/>
      </c>
      <c r="H1346" s="3">
        <f>IF(ORIG!H1346=0,"",ORIG!H1346)</f>
        <v/>
      </c>
      <c r="I1346" s="3">
        <f>IF(ORIG!I1346=0,"",ORIG!I1346)</f>
        <v/>
      </c>
      <c r="J1346" s="3">
        <f>IF(ORIG!J1346=0,"",ORIG!J1346)</f>
        <v/>
      </c>
      <c r="K1346" s="3">
        <f>IF(ORIG!K1346=0,"",ORIG!K1346)</f>
        <v/>
      </c>
      <c r="L1346" s="3">
        <f>IF(ORIG!L1346=0,"",ORIG!L1346)</f>
        <v/>
      </c>
      <c r="M1346" s="3">
        <f>IF(ORIG!M1346=0,"",ORIG!M1346)</f>
        <v/>
      </c>
      <c r="N1346" s="3">
        <f>IF(ORIG!N1346=0,"",ORIG!N1346)</f>
        <v/>
      </c>
      <c r="O1346" s="3">
        <f>IF(ORIG!O1346=0,"",ORIG!O1346)</f>
        <v/>
      </c>
      <c r="P1346" s="3">
        <f>IF(ORIG!P1346=0,"",ORIG!P1346)</f>
        <v/>
      </c>
      <c r="Q1346" s="3">
        <f>IF(ORIG!Q1346=0,"",ORIG!Q1346)</f>
        <v/>
      </c>
      <c r="R1346" s="3">
        <f>IF(ORIG!R1346=0,"",ORIG!R1346)</f>
        <v/>
      </c>
      <c r="S1346" s="3">
        <f>IF(ORIG!S1346=0,"",ORIG!S1346)</f>
        <v/>
      </c>
      <c r="T1346" s="3">
        <f>IF(ORIG!T1346=0,"",ORIG!T1346)</f>
        <v/>
      </c>
      <c r="U1346" s="3">
        <f>IF(ORIG!U1346=0,"",ORIG!U1346)</f>
        <v/>
      </c>
      <c r="V1346" s="9">
        <f>IF(ORIG!V1346=0,"",ORIG!V1346)</f>
        <v/>
      </c>
      <c r="W1346" s="9">
        <f>IF(ORIG!W1346=0,"",ORIG!W1346)</f>
        <v/>
      </c>
      <c r="X1346" s="9">
        <f>IF(ORIG!X1346=0,"",ORIG!X1346)</f>
        <v/>
      </c>
      <c r="Y1346" s="9">
        <f>IF(ORIG!Y1346=0,"",ORIG!Y1346)</f>
        <v/>
      </c>
      <c r="Z1346" s="3">
        <f>SUMPRODUCT($B1346:$Y1346,$B$2649:$Y$2649)</f>
        <v/>
      </c>
      <c r="AA1346" s="3">
        <f>SUMPRODUCT($B1346:$Y1346,$B$2655:$Y$2655)</f>
        <v/>
      </c>
      <c r="AC1346" s="1">
        <f>A1346</f>
        <v/>
      </c>
      <c r="AD1346">
        <f>IF(ISNUMBER(V1346),V1346*($AB$1/V$2635),"")</f>
        <v/>
      </c>
      <c r="AE1346">
        <f>IF(ISNUMBER(Z1346),Z1346*($AB$1/Z$2635),"")</f>
        <v/>
      </c>
      <c r="AF1346" s="25">
        <f>IF(ISNUMBER(AD1346+AE1346),AD1346+AE1346,"")</f>
        <v/>
      </c>
      <c r="AH1346" s="1">
        <f>A1346</f>
        <v/>
      </c>
      <c r="AI1346">
        <f>IF(ISNUMBER((1+V1346)*AI1345),(1+V1346)*AI1345,AI1345)</f>
        <v/>
      </c>
      <c r="AJ1346">
        <f>IF(ISNUMBER((1+Z1346)*AJ1345),(1+Z1346)*AJ1345,AJ1345)</f>
        <v/>
      </c>
    </row>
    <row r="1347">
      <c r="A1347" s="1" t="n">
        <v>43957</v>
      </c>
      <c r="B1347" s="3">
        <f>IF(ORIG!B1347=0,"",ORIG!B1347)</f>
        <v/>
      </c>
      <c r="C1347" s="3">
        <f>IF(ORIG!C1347=0,"",ORIG!C1347)</f>
        <v/>
      </c>
      <c r="D1347" s="3">
        <f>IF(ORIG!D1347=0,"",ORIG!D1347)</f>
        <v/>
      </c>
      <c r="E1347" s="3">
        <f>IF(ORIG!E1347=0,"",ORIG!E1347)</f>
        <v/>
      </c>
      <c r="F1347" s="3">
        <f>IF(ORIG!F1347=0,"",ORIG!F1347)</f>
        <v/>
      </c>
      <c r="G1347" s="3">
        <f>IF(ORIG!G1347=0,"",ORIG!G1347)</f>
        <v/>
      </c>
      <c r="H1347" s="3">
        <f>IF(ORIG!H1347=0,"",ORIG!H1347)</f>
        <v/>
      </c>
      <c r="I1347" s="3">
        <f>IF(ORIG!I1347=0,"",ORIG!I1347)</f>
        <v/>
      </c>
      <c r="J1347" s="3">
        <f>IF(ORIG!J1347=0,"",ORIG!J1347)</f>
        <v/>
      </c>
      <c r="K1347" s="3">
        <f>IF(ORIG!K1347=0,"",ORIG!K1347)</f>
        <v/>
      </c>
      <c r="L1347" s="3">
        <f>IF(ORIG!L1347=0,"",ORIG!L1347)</f>
        <v/>
      </c>
      <c r="M1347" s="3">
        <f>IF(ORIG!M1347=0,"",ORIG!M1347)</f>
        <v/>
      </c>
      <c r="N1347" s="3">
        <f>IF(ORIG!N1347=0,"",ORIG!N1347)</f>
        <v/>
      </c>
      <c r="O1347" s="3">
        <f>IF(ORIG!O1347=0,"",ORIG!O1347)</f>
        <v/>
      </c>
      <c r="P1347" s="3">
        <f>IF(ORIG!P1347=0,"",ORIG!P1347)</f>
        <v/>
      </c>
      <c r="Q1347" s="3">
        <f>IF(ORIG!Q1347=0,"",ORIG!Q1347)</f>
        <v/>
      </c>
      <c r="R1347" s="3">
        <f>IF(ORIG!R1347=0,"",ORIG!R1347)</f>
        <v/>
      </c>
      <c r="S1347" s="3">
        <f>IF(ORIG!S1347=0,"",ORIG!S1347)</f>
        <v/>
      </c>
      <c r="T1347" s="3">
        <f>IF(ORIG!T1347=0,"",ORIG!T1347)</f>
        <v/>
      </c>
      <c r="U1347" s="3">
        <f>IF(ORIG!U1347=0,"",ORIG!U1347)</f>
        <v/>
      </c>
      <c r="V1347" s="9">
        <f>IF(ORIG!V1347=0,"",ORIG!V1347)</f>
        <v/>
      </c>
      <c r="W1347" s="9">
        <f>IF(ORIG!W1347=0,"",ORIG!W1347)</f>
        <v/>
      </c>
      <c r="X1347" s="9">
        <f>IF(ORIG!X1347=0,"",ORIG!X1347)</f>
        <v/>
      </c>
      <c r="Y1347" s="9">
        <f>IF(ORIG!Y1347=0,"",ORIG!Y1347)</f>
        <v/>
      </c>
      <c r="Z1347" s="3">
        <f>SUMPRODUCT($B1347:$Y1347,$B$2649:$Y$2649)</f>
        <v/>
      </c>
      <c r="AA1347" s="3">
        <f>SUMPRODUCT($B1347:$Y1347,$B$2655:$Y$2655)</f>
        <v/>
      </c>
      <c r="AC1347" s="1">
        <f>A1347</f>
        <v/>
      </c>
      <c r="AD1347">
        <f>IF(ISNUMBER(V1347),V1347*($AB$1/V$2635),"")</f>
        <v/>
      </c>
      <c r="AE1347">
        <f>IF(ISNUMBER(Z1347),Z1347*($AB$1/Z$2635),"")</f>
        <v/>
      </c>
      <c r="AF1347" s="25">
        <f>IF(ISNUMBER(AD1347+AE1347),AD1347+AE1347,"")</f>
        <v/>
      </c>
      <c r="AH1347" s="1">
        <f>A1347</f>
        <v/>
      </c>
      <c r="AI1347">
        <f>IF(ISNUMBER((1+V1347)*AI1346),(1+V1347)*AI1346,AI1346)</f>
        <v/>
      </c>
      <c r="AJ1347">
        <f>IF(ISNUMBER((1+Z1347)*AJ1346),(1+Z1347)*AJ1346,AJ1346)</f>
        <v/>
      </c>
    </row>
    <row r="1348">
      <c r="A1348" s="1" t="n">
        <v>43958</v>
      </c>
      <c r="B1348" s="3">
        <f>IF(ORIG!B1348=0,"",ORIG!B1348)</f>
        <v/>
      </c>
      <c r="C1348" s="3">
        <f>IF(ORIG!C1348=0,"",ORIG!C1348)</f>
        <v/>
      </c>
      <c r="D1348" s="3">
        <f>IF(ORIG!D1348=0,"",ORIG!D1348)</f>
        <v/>
      </c>
      <c r="E1348" s="3">
        <f>IF(ORIG!E1348=0,"",ORIG!E1348)</f>
        <v/>
      </c>
      <c r="F1348" s="3">
        <f>IF(ORIG!F1348=0,"",ORIG!F1348)</f>
        <v/>
      </c>
      <c r="G1348" s="3">
        <f>IF(ORIG!G1348=0,"",ORIG!G1348)</f>
        <v/>
      </c>
      <c r="H1348" s="3">
        <f>IF(ORIG!H1348=0,"",ORIG!H1348)</f>
        <v/>
      </c>
      <c r="I1348" s="3">
        <f>IF(ORIG!I1348=0,"",ORIG!I1348)</f>
        <v/>
      </c>
      <c r="J1348" s="3">
        <f>IF(ORIG!J1348=0,"",ORIG!J1348)</f>
        <v/>
      </c>
      <c r="K1348" s="3">
        <f>IF(ORIG!K1348=0,"",ORIG!K1348)</f>
        <v/>
      </c>
      <c r="L1348" s="3">
        <f>IF(ORIG!L1348=0,"",ORIG!L1348)</f>
        <v/>
      </c>
      <c r="M1348" s="3">
        <f>IF(ORIG!M1348=0,"",ORIG!M1348)</f>
        <v/>
      </c>
      <c r="N1348" s="3">
        <f>IF(ORIG!N1348=0,"",ORIG!N1348)</f>
        <v/>
      </c>
      <c r="O1348" s="3">
        <f>IF(ORIG!O1348=0,"",ORIG!O1348)</f>
        <v/>
      </c>
      <c r="P1348" s="3">
        <f>IF(ORIG!P1348=0,"",ORIG!P1348)</f>
        <v/>
      </c>
      <c r="Q1348" s="3">
        <f>IF(ORIG!Q1348=0,"",ORIG!Q1348)</f>
        <v/>
      </c>
      <c r="R1348" s="3">
        <f>IF(ORIG!R1348=0,"",ORIG!R1348)</f>
        <v/>
      </c>
      <c r="S1348" s="3">
        <f>IF(ORIG!S1348=0,"",ORIG!S1348)</f>
        <v/>
      </c>
      <c r="T1348" s="3">
        <f>IF(ORIG!T1348=0,"",ORIG!T1348)</f>
        <v/>
      </c>
      <c r="U1348" s="3">
        <f>IF(ORIG!U1348=0,"",ORIG!U1348)</f>
        <v/>
      </c>
      <c r="V1348" s="9">
        <f>IF(ORIG!V1348=0,"",ORIG!V1348)</f>
        <v/>
      </c>
      <c r="W1348" s="9">
        <f>IF(ORIG!W1348=0,"",ORIG!W1348)</f>
        <v/>
      </c>
      <c r="X1348" s="9">
        <f>IF(ORIG!X1348=0,"",ORIG!X1348)</f>
        <v/>
      </c>
      <c r="Y1348" s="9">
        <f>IF(ORIG!Y1348=0,"",ORIG!Y1348)</f>
        <v/>
      </c>
      <c r="Z1348" s="3">
        <f>SUMPRODUCT($B1348:$Y1348,$B$2649:$Y$2649)</f>
        <v/>
      </c>
      <c r="AA1348" s="3">
        <f>SUMPRODUCT($B1348:$Y1348,$B$2655:$Y$2655)</f>
        <v/>
      </c>
      <c r="AC1348" s="1">
        <f>A1348</f>
        <v/>
      </c>
      <c r="AD1348">
        <f>IF(ISNUMBER(V1348),V1348*($AB$1/V$2635),"")</f>
        <v/>
      </c>
      <c r="AE1348">
        <f>IF(ISNUMBER(Z1348),Z1348*($AB$1/Z$2635),"")</f>
        <v/>
      </c>
      <c r="AF1348" s="25">
        <f>IF(ISNUMBER(AD1348+AE1348),AD1348+AE1348,"")</f>
        <v/>
      </c>
      <c r="AH1348" s="1">
        <f>A1348</f>
        <v/>
      </c>
      <c r="AI1348">
        <f>IF(ISNUMBER((1+V1348)*AI1347),(1+V1348)*AI1347,AI1347)</f>
        <v/>
      </c>
      <c r="AJ1348">
        <f>IF(ISNUMBER((1+Z1348)*AJ1347),(1+Z1348)*AJ1347,AJ1347)</f>
        <v/>
      </c>
    </row>
    <row r="1349">
      <c r="A1349" s="1" t="n">
        <v>43959</v>
      </c>
      <c r="B1349" s="3">
        <f>IF(ORIG!B1349=0,"",ORIG!B1349)</f>
        <v/>
      </c>
      <c r="C1349" s="3">
        <f>IF(ORIG!C1349=0,"",ORIG!C1349)</f>
        <v/>
      </c>
      <c r="D1349" s="3">
        <f>IF(ORIG!D1349=0,"",ORIG!D1349)</f>
        <v/>
      </c>
      <c r="E1349" s="3">
        <f>IF(ORIG!E1349=0,"",ORIG!E1349)</f>
        <v/>
      </c>
      <c r="F1349" s="3">
        <f>IF(ORIG!F1349=0,"",ORIG!F1349)</f>
        <v/>
      </c>
      <c r="G1349" s="3">
        <f>IF(ORIG!G1349=0,"",ORIG!G1349)</f>
        <v/>
      </c>
      <c r="H1349" s="3">
        <f>IF(ORIG!H1349=0,"",ORIG!H1349)</f>
        <v/>
      </c>
      <c r="I1349" s="3">
        <f>IF(ORIG!I1349=0,"",ORIG!I1349)</f>
        <v/>
      </c>
      <c r="J1349" s="3">
        <f>IF(ORIG!J1349=0,"",ORIG!J1349)</f>
        <v/>
      </c>
      <c r="K1349" s="3">
        <f>IF(ORIG!K1349=0,"",ORIG!K1349)</f>
        <v/>
      </c>
      <c r="L1349" s="3">
        <f>IF(ORIG!L1349=0,"",ORIG!L1349)</f>
        <v/>
      </c>
      <c r="M1349" s="3">
        <f>IF(ORIG!M1349=0,"",ORIG!M1349)</f>
        <v/>
      </c>
      <c r="N1349" s="3">
        <f>IF(ORIG!N1349=0,"",ORIG!N1349)</f>
        <v/>
      </c>
      <c r="O1349" s="3">
        <f>IF(ORIG!O1349=0,"",ORIG!O1349)</f>
        <v/>
      </c>
      <c r="P1349" s="3">
        <f>IF(ORIG!P1349=0,"",ORIG!P1349)</f>
        <v/>
      </c>
      <c r="Q1349" s="3">
        <f>IF(ORIG!Q1349=0,"",ORIG!Q1349)</f>
        <v/>
      </c>
      <c r="R1349" s="3">
        <f>IF(ORIG!R1349=0,"",ORIG!R1349)</f>
        <v/>
      </c>
      <c r="S1349" s="3">
        <f>IF(ORIG!S1349=0,"",ORIG!S1349)</f>
        <v/>
      </c>
      <c r="T1349" s="3">
        <f>IF(ORIG!T1349=0,"",ORIG!T1349)</f>
        <v/>
      </c>
      <c r="U1349" s="3">
        <f>IF(ORIG!U1349=0,"",ORIG!U1349)</f>
        <v/>
      </c>
      <c r="V1349" s="9">
        <f>IF(ORIG!V1349=0,"",ORIG!V1349)</f>
        <v/>
      </c>
      <c r="W1349" s="9">
        <f>IF(ORIG!W1349=0,"",ORIG!W1349)</f>
        <v/>
      </c>
      <c r="X1349" s="9">
        <f>IF(ORIG!X1349=0,"",ORIG!X1349)</f>
        <v/>
      </c>
      <c r="Y1349" s="9">
        <f>IF(ORIG!Y1349=0,"",ORIG!Y1349)</f>
        <v/>
      </c>
      <c r="Z1349" s="3">
        <f>SUMPRODUCT($B1349:$Y1349,$B$2649:$Y$2649)</f>
        <v/>
      </c>
      <c r="AA1349" s="3">
        <f>SUMPRODUCT($B1349:$Y1349,$B$2655:$Y$2655)</f>
        <v/>
      </c>
      <c r="AC1349" s="1">
        <f>A1349</f>
        <v/>
      </c>
      <c r="AD1349">
        <f>IF(ISNUMBER(V1349),V1349*($AB$1/V$2635),"")</f>
        <v/>
      </c>
      <c r="AE1349">
        <f>IF(ISNUMBER(Z1349),Z1349*($AB$1/Z$2635),"")</f>
        <v/>
      </c>
      <c r="AF1349" s="25">
        <f>IF(ISNUMBER(AD1349+AE1349),AD1349+AE1349,"")</f>
        <v/>
      </c>
      <c r="AH1349" s="1">
        <f>A1349</f>
        <v/>
      </c>
      <c r="AI1349">
        <f>IF(ISNUMBER((1+V1349)*AI1348),(1+V1349)*AI1348,AI1348)</f>
        <v/>
      </c>
      <c r="AJ1349">
        <f>IF(ISNUMBER((1+Z1349)*AJ1348),(1+Z1349)*AJ1348,AJ1348)</f>
        <v/>
      </c>
    </row>
    <row r="1350">
      <c r="A1350" s="1" t="n">
        <v>43962</v>
      </c>
      <c r="B1350" s="3">
        <f>IF(ORIG!B1350=0,"",ORIG!B1350)</f>
        <v/>
      </c>
      <c r="C1350" s="3">
        <f>IF(ORIG!C1350=0,"",ORIG!C1350)</f>
        <v/>
      </c>
      <c r="D1350" s="3">
        <f>IF(ORIG!D1350=0,"",ORIG!D1350)</f>
        <v/>
      </c>
      <c r="E1350" s="3">
        <f>IF(ORIG!E1350=0,"",ORIG!E1350)</f>
        <v/>
      </c>
      <c r="F1350" s="3">
        <f>IF(ORIG!F1350=0,"",ORIG!F1350)</f>
        <v/>
      </c>
      <c r="G1350" s="3">
        <f>IF(ORIG!G1350=0,"",ORIG!G1350)</f>
        <v/>
      </c>
      <c r="H1350" s="3">
        <f>IF(ORIG!H1350=0,"",ORIG!H1350)</f>
        <v/>
      </c>
      <c r="I1350" s="3">
        <f>IF(ORIG!I1350=0,"",ORIG!I1350)</f>
        <v/>
      </c>
      <c r="J1350" s="3">
        <f>IF(ORIG!J1350=0,"",ORIG!J1350)</f>
        <v/>
      </c>
      <c r="K1350" s="3">
        <f>IF(ORIG!K1350=0,"",ORIG!K1350)</f>
        <v/>
      </c>
      <c r="L1350" s="3">
        <f>IF(ORIG!L1350=0,"",ORIG!L1350)</f>
        <v/>
      </c>
      <c r="M1350" s="3">
        <f>IF(ORIG!M1350=0,"",ORIG!M1350)</f>
        <v/>
      </c>
      <c r="N1350" s="3">
        <f>IF(ORIG!N1350=0,"",ORIG!N1350)</f>
        <v/>
      </c>
      <c r="O1350" s="3">
        <f>IF(ORIG!O1350=0,"",ORIG!O1350)</f>
        <v/>
      </c>
      <c r="P1350" s="3">
        <f>IF(ORIG!P1350=0,"",ORIG!P1350)</f>
        <v/>
      </c>
      <c r="Q1350" s="3">
        <f>IF(ORIG!Q1350=0,"",ORIG!Q1350)</f>
        <v/>
      </c>
      <c r="R1350" s="3">
        <f>IF(ORIG!R1350=0,"",ORIG!R1350)</f>
        <v/>
      </c>
      <c r="S1350" s="3">
        <f>IF(ORIG!S1350=0,"",ORIG!S1350)</f>
        <v/>
      </c>
      <c r="T1350" s="3">
        <f>IF(ORIG!T1350=0,"",ORIG!T1350)</f>
        <v/>
      </c>
      <c r="U1350" s="3">
        <f>IF(ORIG!U1350=0,"",ORIG!U1350)</f>
        <v/>
      </c>
      <c r="V1350" s="9">
        <f>IF(ORIG!V1350=0,"",ORIG!V1350)</f>
        <v/>
      </c>
      <c r="W1350" s="9">
        <f>IF(ORIG!W1350=0,"",ORIG!W1350)</f>
        <v/>
      </c>
      <c r="X1350" s="9">
        <f>IF(ORIG!X1350=0,"",ORIG!X1350)</f>
        <v/>
      </c>
      <c r="Y1350" s="9">
        <f>IF(ORIG!Y1350=0,"",ORIG!Y1350)</f>
        <v/>
      </c>
      <c r="Z1350" s="3">
        <f>SUMPRODUCT($B1350:$Y1350,$B$2649:$Y$2649)</f>
        <v/>
      </c>
      <c r="AA1350" s="3">
        <f>SUMPRODUCT($B1350:$Y1350,$B$2655:$Y$2655)</f>
        <v/>
      </c>
      <c r="AC1350" s="1">
        <f>A1350</f>
        <v/>
      </c>
      <c r="AD1350">
        <f>IF(ISNUMBER(V1350),V1350*($AB$1/V$2635),"")</f>
        <v/>
      </c>
      <c r="AE1350">
        <f>IF(ISNUMBER(Z1350),Z1350*($AB$1/Z$2635),"")</f>
        <v/>
      </c>
      <c r="AF1350" s="25">
        <f>IF(ISNUMBER(AD1350+AE1350),AD1350+AE1350,"")</f>
        <v/>
      </c>
      <c r="AH1350" s="1">
        <f>A1350</f>
        <v/>
      </c>
      <c r="AI1350">
        <f>IF(ISNUMBER((1+V1350)*AI1349),(1+V1350)*AI1349,AI1349)</f>
        <v/>
      </c>
      <c r="AJ1350">
        <f>IF(ISNUMBER((1+Z1350)*AJ1349),(1+Z1350)*AJ1349,AJ1349)</f>
        <v/>
      </c>
    </row>
    <row r="1351">
      <c r="A1351" s="1" t="n">
        <v>43963</v>
      </c>
      <c r="B1351" s="3">
        <f>IF(ORIG!B1351=0,"",ORIG!B1351)</f>
        <v/>
      </c>
      <c r="C1351" s="3">
        <f>IF(ORIG!C1351=0,"",ORIG!C1351)</f>
        <v/>
      </c>
      <c r="D1351" s="3">
        <f>IF(ORIG!D1351=0,"",ORIG!D1351)</f>
        <v/>
      </c>
      <c r="E1351" s="3">
        <f>IF(ORIG!E1351=0,"",ORIG!E1351)</f>
        <v/>
      </c>
      <c r="F1351" s="3">
        <f>IF(ORIG!F1351=0,"",ORIG!F1351)</f>
        <v/>
      </c>
      <c r="G1351" s="3">
        <f>IF(ORIG!G1351=0,"",ORIG!G1351)</f>
        <v/>
      </c>
      <c r="H1351" s="3">
        <f>IF(ORIG!H1351=0,"",ORIG!H1351)</f>
        <v/>
      </c>
      <c r="I1351" s="3">
        <f>IF(ORIG!I1351=0,"",ORIG!I1351)</f>
        <v/>
      </c>
      <c r="J1351" s="3">
        <f>IF(ORIG!J1351=0,"",ORIG!J1351)</f>
        <v/>
      </c>
      <c r="K1351" s="3">
        <f>IF(ORIG!K1351=0,"",ORIG!K1351)</f>
        <v/>
      </c>
      <c r="L1351" s="3">
        <f>IF(ORIG!L1351=0,"",ORIG!L1351)</f>
        <v/>
      </c>
      <c r="M1351" s="3">
        <f>IF(ORIG!M1351=0,"",ORIG!M1351)</f>
        <v/>
      </c>
      <c r="N1351" s="3">
        <f>IF(ORIG!N1351=0,"",ORIG!N1351)</f>
        <v/>
      </c>
      <c r="O1351" s="3">
        <f>IF(ORIG!O1351=0,"",ORIG!O1351)</f>
        <v/>
      </c>
      <c r="P1351" s="3">
        <f>IF(ORIG!P1351=0,"",ORIG!P1351)</f>
        <v/>
      </c>
      <c r="Q1351" s="3">
        <f>IF(ORIG!Q1351=0,"",ORIG!Q1351)</f>
        <v/>
      </c>
      <c r="R1351" s="3">
        <f>IF(ORIG!R1351=0,"",ORIG!R1351)</f>
        <v/>
      </c>
      <c r="S1351" s="3">
        <f>IF(ORIG!S1351=0,"",ORIG!S1351)</f>
        <v/>
      </c>
      <c r="T1351" s="3">
        <f>IF(ORIG!T1351=0,"",ORIG!T1351)</f>
        <v/>
      </c>
      <c r="U1351" s="3">
        <f>IF(ORIG!U1351=0,"",ORIG!U1351)</f>
        <v/>
      </c>
      <c r="V1351" s="9">
        <f>IF(ORIG!V1351=0,"",ORIG!V1351)</f>
        <v/>
      </c>
      <c r="W1351" s="9">
        <f>IF(ORIG!W1351=0,"",ORIG!W1351)</f>
        <v/>
      </c>
      <c r="X1351" s="9">
        <f>IF(ORIG!X1351=0,"",ORIG!X1351)</f>
        <v/>
      </c>
      <c r="Y1351" s="9">
        <f>IF(ORIG!Y1351=0,"",ORIG!Y1351)</f>
        <v/>
      </c>
      <c r="Z1351" s="3">
        <f>SUMPRODUCT($B1351:$Y1351,$B$2649:$Y$2649)</f>
        <v/>
      </c>
      <c r="AA1351" s="3">
        <f>SUMPRODUCT($B1351:$Y1351,$B$2655:$Y$2655)</f>
        <v/>
      </c>
      <c r="AC1351" s="1">
        <f>A1351</f>
        <v/>
      </c>
      <c r="AD1351">
        <f>IF(ISNUMBER(V1351),V1351*($AB$1/V$2635),"")</f>
        <v/>
      </c>
      <c r="AE1351">
        <f>IF(ISNUMBER(Z1351),Z1351*($AB$1/Z$2635),"")</f>
        <v/>
      </c>
      <c r="AF1351" s="25">
        <f>IF(ISNUMBER(AD1351+AE1351),AD1351+AE1351,"")</f>
        <v/>
      </c>
      <c r="AH1351" s="1">
        <f>A1351</f>
        <v/>
      </c>
      <c r="AI1351">
        <f>IF(ISNUMBER((1+V1351)*AI1350),(1+V1351)*AI1350,AI1350)</f>
        <v/>
      </c>
      <c r="AJ1351">
        <f>IF(ISNUMBER((1+Z1351)*AJ1350),(1+Z1351)*AJ1350,AJ1350)</f>
        <v/>
      </c>
    </row>
    <row r="1352">
      <c r="A1352" s="1" t="n">
        <v>43964</v>
      </c>
      <c r="B1352" s="3">
        <f>IF(ORIG!B1352=0,"",ORIG!B1352)</f>
        <v/>
      </c>
      <c r="C1352" s="3">
        <f>IF(ORIG!C1352=0,"",ORIG!C1352)</f>
        <v/>
      </c>
      <c r="D1352" s="3">
        <f>IF(ORIG!D1352=0,"",ORIG!D1352)</f>
        <v/>
      </c>
      <c r="E1352" s="3">
        <f>IF(ORIG!E1352=0,"",ORIG!E1352)</f>
        <v/>
      </c>
      <c r="F1352" s="3">
        <f>IF(ORIG!F1352=0,"",ORIG!F1352)</f>
        <v/>
      </c>
      <c r="G1352" s="3">
        <f>IF(ORIG!G1352=0,"",ORIG!G1352)</f>
        <v/>
      </c>
      <c r="H1352" s="3">
        <f>IF(ORIG!H1352=0,"",ORIG!H1352)</f>
        <v/>
      </c>
      <c r="I1352" s="3">
        <f>IF(ORIG!I1352=0,"",ORIG!I1352)</f>
        <v/>
      </c>
      <c r="J1352" s="3">
        <f>IF(ORIG!J1352=0,"",ORIG!J1352)</f>
        <v/>
      </c>
      <c r="K1352" s="3">
        <f>IF(ORIG!K1352=0,"",ORIG!K1352)</f>
        <v/>
      </c>
      <c r="L1352" s="3">
        <f>IF(ORIG!L1352=0,"",ORIG!L1352)</f>
        <v/>
      </c>
      <c r="M1352" s="3">
        <f>IF(ORIG!M1352=0,"",ORIG!M1352)</f>
        <v/>
      </c>
      <c r="N1352" s="3">
        <f>IF(ORIG!N1352=0,"",ORIG!N1352)</f>
        <v/>
      </c>
      <c r="O1352" s="3">
        <f>IF(ORIG!O1352=0,"",ORIG!O1352)</f>
        <v/>
      </c>
      <c r="P1352" s="3">
        <f>IF(ORIG!P1352=0,"",ORIG!P1352)</f>
        <v/>
      </c>
      <c r="Q1352" s="3">
        <f>IF(ORIG!Q1352=0,"",ORIG!Q1352)</f>
        <v/>
      </c>
      <c r="R1352" s="3">
        <f>IF(ORIG!R1352=0,"",ORIG!R1352)</f>
        <v/>
      </c>
      <c r="S1352" s="3">
        <f>IF(ORIG!S1352=0,"",ORIG!S1352)</f>
        <v/>
      </c>
      <c r="T1352" s="3">
        <f>IF(ORIG!T1352=0,"",ORIG!T1352)</f>
        <v/>
      </c>
      <c r="U1352" s="3">
        <f>IF(ORIG!U1352=0,"",ORIG!U1352)</f>
        <v/>
      </c>
      <c r="V1352" s="9">
        <f>IF(ORIG!V1352=0,"",ORIG!V1352)</f>
        <v/>
      </c>
      <c r="W1352" s="9">
        <f>IF(ORIG!W1352=0,"",ORIG!W1352)</f>
        <v/>
      </c>
      <c r="X1352" s="9">
        <f>IF(ORIG!X1352=0,"",ORIG!X1352)</f>
        <v/>
      </c>
      <c r="Y1352" s="9">
        <f>IF(ORIG!Y1352=0,"",ORIG!Y1352)</f>
        <v/>
      </c>
      <c r="Z1352" s="3">
        <f>SUMPRODUCT($B1352:$Y1352,$B$2649:$Y$2649)</f>
        <v/>
      </c>
      <c r="AA1352" s="3">
        <f>SUMPRODUCT($B1352:$Y1352,$B$2655:$Y$2655)</f>
        <v/>
      </c>
      <c r="AC1352" s="1">
        <f>A1352</f>
        <v/>
      </c>
      <c r="AD1352">
        <f>IF(ISNUMBER(V1352),V1352*($AB$1/V$2635),"")</f>
        <v/>
      </c>
      <c r="AE1352">
        <f>IF(ISNUMBER(Z1352),Z1352*($AB$1/Z$2635),"")</f>
        <v/>
      </c>
      <c r="AF1352" s="25">
        <f>IF(ISNUMBER(AD1352+AE1352),AD1352+AE1352,"")</f>
        <v/>
      </c>
      <c r="AH1352" s="1">
        <f>A1352</f>
        <v/>
      </c>
      <c r="AI1352">
        <f>IF(ISNUMBER((1+V1352)*AI1351),(1+V1352)*AI1351,AI1351)</f>
        <v/>
      </c>
      <c r="AJ1352">
        <f>IF(ISNUMBER((1+Z1352)*AJ1351),(1+Z1352)*AJ1351,AJ1351)</f>
        <v/>
      </c>
    </row>
    <row r="1353">
      <c r="A1353" s="1" t="n">
        <v>43965</v>
      </c>
      <c r="B1353" s="3">
        <f>IF(ORIG!B1353=0,"",ORIG!B1353)</f>
        <v/>
      </c>
      <c r="C1353" s="3">
        <f>IF(ORIG!C1353=0,"",ORIG!C1353)</f>
        <v/>
      </c>
      <c r="D1353" s="3">
        <f>IF(ORIG!D1353=0,"",ORIG!D1353)</f>
        <v/>
      </c>
      <c r="E1353" s="3">
        <f>IF(ORIG!E1353=0,"",ORIG!E1353)</f>
        <v/>
      </c>
      <c r="F1353" s="3">
        <f>IF(ORIG!F1353=0,"",ORIG!F1353)</f>
        <v/>
      </c>
      <c r="G1353" s="3">
        <f>IF(ORIG!G1353=0,"",ORIG!G1353)</f>
        <v/>
      </c>
      <c r="H1353" s="3">
        <f>IF(ORIG!H1353=0,"",ORIG!H1353)</f>
        <v/>
      </c>
      <c r="I1353" s="3">
        <f>IF(ORIG!I1353=0,"",ORIG!I1353)</f>
        <v/>
      </c>
      <c r="J1353" s="3">
        <f>IF(ORIG!J1353=0,"",ORIG!J1353)</f>
        <v/>
      </c>
      <c r="K1353" s="3">
        <f>IF(ORIG!K1353=0,"",ORIG!K1353)</f>
        <v/>
      </c>
      <c r="L1353" s="3">
        <f>IF(ORIG!L1353=0,"",ORIG!L1353)</f>
        <v/>
      </c>
      <c r="M1353" s="3">
        <f>IF(ORIG!M1353=0,"",ORIG!M1353)</f>
        <v/>
      </c>
      <c r="N1353" s="3">
        <f>IF(ORIG!N1353=0,"",ORIG!N1353)</f>
        <v/>
      </c>
      <c r="O1353" s="3">
        <f>IF(ORIG!O1353=0,"",ORIG!O1353)</f>
        <v/>
      </c>
      <c r="P1353" s="3">
        <f>IF(ORIG!P1353=0,"",ORIG!P1353)</f>
        <v/>
      </c>
      <c r="Q1353" s="3">
        <f>IF(ORIG!Q1353=0,"",ORIG!Q1353)</f>
        <v/>
      </c>
      <c r="R1353" s="3">
        <f>IF(ORIG!R1353=0,"",ORIG!R1353)</f>
        <v/>
      </c>
      <c r="S1353" s="3">
        <f>IF(ORIG!S1353=0,"",ORIG!S1353)</f>
        <v/>
      </c>
      <c r="T1353" s="3">
        <f>IF(ORIG!T1353=0,"",ORIG!T1353)</f>
        <v/>
      </c>
      <c r="U1353" s="3">
        <f>IF(ORIG!U1353=0,"",ORIG!U1353)</f>
        <v/>
      </c>
      <c r="V1353" s="9">
        <f>IF(ORIG!V1353=0,"",ORIG!V1353)</f>
        <v/>
      </c>
      <c r="W1353" s="9">
        <f>IF(ORIG!W1353=0,"",ORIG!W1353)</f>
        <v/>
      </c>
      <c r="X1353" s="9">
        <f>IF(ORIG!X1353=0,"",ORIG!X1353)</f>
        <v/>
      </c>
      <c r="Y1353" s="9">
        <f>IF(ORIG!Y1353=0,"",ORIG!Y1353)</f>
        <v/>
      </c>
      <c r="Z1353" s="3">
        <f>SUMPRODUCT($B1353:$Y1353,$B$2649:$Y$2649)</f>
        <v/>
      </c>
      <c r="AA1353" s="3">
        <f>SUMPRODUCT($B1353:$Y1353,$B$2655:$Y$2655)</f>
        <v/>
      </c>
      <c r="AC1353" s="1">
        <f>A1353</f>
        <v/>
      </c>
      <c r="AD1353">
        <f>IF(ISNUMBER(V1353),V1353*($AB$1/V$2635),"")</f>
        <v/>
      </c>
      <c r="AE1353">
        <f>IF(ISNUMBER(Z1353),Z1353*($AB$1/Z$2635),"")</f>
        <v/>
      </c>
      <c r="AF1353" s="25">
        <f>IF(ISNUMBER(AD1353+AE1353),AD1353+AE1353,"")</f>
        <v/>
      </c>
      <c r="AH1353" s="1">
        <f>A1353</f>
        <v/>
      </c>
      <c r="AI1353">
        <f>IF(ISNUMBER((1+V1353)*AI1352),(1+V1353)*AI1352,AI1352)</f>
        <v/>
      </c>
      <c r="AJ1353">
        <f>IF(ISNUMBER((1+Z1353)*AJ1352),(1+Z1353)*AJ1352,AJ1352)</f>
        <v/>
      </c>
    </row>
    <row r="1354">
      <c r="A1354" s="1" t="n">
        <v>43966</v>
      </c>
      <c r="B1354" s="3">
        <f>IF(ORIG!B1354=0,"",ORIG!B1354)</f>
        <v/>
      </c>
      <c r="C1354" s="3">
        <f>IF(ORIG!C1354=0,"",ORIG!C1354)</f>
        <v/>
      </c>
      <c r="D1354" s="3">
        <f>IF(ORIG!D1354=0,"",ORIG!D1354)</f>
        <v/>
      </c>
      <c r="E1354" s="3">
        <f>IF(ORIG!E1354=0,"",ORIG!E1354)</f>
        <v/>
      </c>
      <c r="F1354" s="3">
        <f>IF(ORIG!F1354=0,"",ORIG!F1354)</f>
        <v/>
      </c>
      <c r="G1354" s="3">
        <f>IF(ORIG!G1354=0,"",ORIG!G1354)</f>
        <v/>
      </c>
      <c r="H1354" s="3">
        <f>IF(ORIG!H1354=0,"",ORIG!H1354)</f>
        <v/>
      </c>
      <c r="I1354" s="3">
        <f>IF(ORIG!I1354=0,"",ORIG!I1354)</f>
        <v/>
      </c>
      <c r="J1354" s="3">
        <f>IF(ORIG!J1354=0,"",ORIG!J1354)</f>
        <v/>
      </c>
      <c r="K1354" s="3">
        <f>IF(ORIG!K1354=0,"",ORIG!K1354)</f>
        <v/>
      </c>
      <c r="L1354" s="3">
        <f>IF(ORIG!L1354=0,"",ORIG!L1354)</f>
        <v/>
      </c>
      <c r="M1354" s="3">
        <f>IF(ORIG!M1354=0,"",ORIG!M1354)</f>
        <v/>
      </c>
      <c r="N1354" s="3">
        <f>IF(ORIG!N1354=0,"",ORIG!N1354)</f>
        <v/>
      </c>
      <c r="O1354" s="3">
        <f>IF(ORIG!O1354=0,"",ORIG!O1354)</f>
        <v/>
      </c>
      <c r="P1354" s="3">
        <f>IF(ORIG!P1354=0,"",ORIG!P1354)</f>
        <v/>
      </c>
      <c r="Q1354" s="3">
        <f>IF(ORIG!Q1354=0,"",ORIG!Q1354)</f>
        <v/>
      </c>
      <c r="R1354" s="3">
        <f>IF(ORIG!R1354=0,"",ORIG!R1354)</f>
        <v/>
      </c>
      <c r="S1354" s="3">
        <f>IF(ORIG!S1354=0,"",ORIG!S1354)</f>
        <v/>
      </c>
      <c r="T1354" s="3">
        <f>IF(ORIG!T1354=0,"",ORIG!T1354)</f>
        <v/>
      </c>
      <c r="U1354" s="3">
        <f>IF(ORIG!U1354=0,"",ORIG!U1354)</f>
        <v/>
      </c>
      <c r="V1354" s="9">
        <f>IF(ORIG!V1354=0,"",ORIG!V1354)</f>
        <v/>
      </c>
      <c r="W1354" s="9">
        <f>IF(ORIG!W1354=0,"",ORIG!W1354)</f>
        <v/>
      </c>
      <c r="X1354" s="9">
        <f>IF(ORIG!X1354=0,"",ORIG!X1354)</f>
        <v/>
      </c>
      <c r="Y1354" s="9">
        <f>IF(ORIG!Y1354=0,"",ORIG!Y1354)</f>
        <v/>
      </c>
      <c r="Z1354" s="3">
        <f>SUMPRODUCT($B1354:$Y1354,$B$2649:$Y$2649)</f>
        <v/>
      </c>
      <c r="AA1354" s="3">
        <f>SUMPRODUCT($B1354:$Y1354,$B$2655:$Y$2655)</f>
        <v/>
      </c>
      <c r="AC1354" s="1">
        <f>A1354</f>
        <v/>
      </c>
      <c r="AD1354">
        <f>IF(ISNUMBER(V1354),V1354*($AB$1/V$2635),"")</f>
        <v/>
      </c>
      <c r="AE1354">
        <f>IF(ISNUMBER(Z1354),Z1354*($AB$1/Z$2635),"")</f>
        <v/>
      </c>
      <c r="AF1354" s="25">
        <f>IF(ISNUMBER(AD1354+AE1354),AD1354+AE1354,"")</f>
        <v/>
      </c>
      <c r="AH1354" s="1">
        <f>A1354</f>
        <v/>
      </c>
      <c r="AI1354">
        <f>IF(ISNUMBER((1+V1354)*AI1353),(1+V1354)*AI1353,AI1353)</f>
        <v/>
      </c>
      <c r="AJ1354">
        <f>IF(ISNUMBER((1+Z1354)*AJ1353),(1+Z1354)*AJ1353,AJ1353)</f>
        <v/>
      </c>
    </row>
    <row r="1355">
      <c r="A1355" s="1" t="n">
        <v>43969</v>
      </c>
      <c r="B1355" s="3">
        <f>IF(ORIG!B1355=0,"",ORIG!B1355)</f>
        <v/>
      </c>
      <c r="C1355" s="3">
        <f>IF(ORIG!C1355=0,"",ORIG!C1355)</f>
        <v/>
      </c>
      <c r="D1355" s="3">
        <f>IF(ORIG!D1355=0,"",ORIG!D1355)</f>
        <v/>
      </c>
      <c r="E1355" s="3">
        <f>IF(ORIG!E1355=0,"",ORIG!E1355)</f>
        <v/>
      </c>
      <c r="F1355" s="3">
        <f>IF(ORIG!F1355=0,"",ORIG!F1355)</f>
        <v/>
      </c>
      <c r="G1355" s="3">
        <f>IF(ORIG!G1355=0,"",ORIG!G1355)</f>
        <v/>
      </c>
      <c r="H1355" s="3">
        <f>IF(ORIG!H1355=0,"",ORIG!H1355)</f>
        <v/>
      </c>
      <c r="I1355" s="3">
        <f>IF(ORIG!I1355=0,"",ORIG!I1355)</f>
        <v/>
      </c>
      <c r="J1355" s="3">
        <f>IF(ORIG!J1355=0,"",ORIG!J1355)</f>
        <v/>
      </c>
      <c r="K1355" s="3">
        <f>IF(ORIG!K1355=0,"",ORIG!K1355)</f>
        <v/>
      </c>
      <c r="L1355" s="3">
        <f>IF(ORIG!L1355=0,"",ORIG!L1355)</f>
        <v/>
      </c>
      <c r="M1355" s="3">
        <f>IF(ORIG!M1355=0,"",ORIG!M1355)</f>
        <v/>
      </c>
      <c r="N1355" s="3">
        <f>IF(ORIG!N1355=0,"",ORIG!N1355)</f>
        <v/>
      </c>
      <c r="O1355" s="3">
        <f>IF(ORIG!O1355=0,"",ORIG!O1355)</f>
        <v/>
      </c>
      <c r="P1355" s="3">
        <f>IF(ORIG!P1355=0,"",ORIG!P1355)</f>
        <v/>
      </c>
      <c r="Q1355" s="3">
        <f>IF(ORIG!Q1355=0,"",ORIG!Q1355)</f>
        <v/>
      </c>
      <c r="R1355" s="3">
        <f>IF(ORIG!R1355=0,"",ORIG!R1355)</f>
        <v/>
      </c>
      <c r="S1355" s="3">
        <f>IF(ORIG!S1355=0,"",ORIG!S1355)</f>
        <v/>
      </c>
      <c r="T1355" s="3">
        <f>IF(ORIG!T1355=0,"",ORIG!T1355)</f>
        <v/>
      </c>
      <c r="U1355" s="3">
        <f>IF(ORIG!U1355=0,"",ORIG!U1355)</f>
        <v/>
      </c>
      <c r="V1355" s="9">
        <f>IF(ORIG!V1355=0,"",ORIG!V1355)</f>
        <v/>
      </c>
      <c r="W1355" s="9">
        <f>IF(ORIG!W1355=0,"",ORIG!W1355)</f>
        <v/>
      </c>
      <c r="X1355" s="9">
        <f>IF(ORIG!X1355=0,"",ORIG!X1355)</f>
        <v/>
      </c>
      <c r="Y1355" s="9">
        <f>IF(ORIG!Y1355=0,"",ORIG!Y1355)</f>
        <v/>
      </c>
      <c r="Z1355" s="3">
        <f>SUMPRODUCT($B1355:$Y1355,$B$2649:$Y$2649)</f>
        <v/>
      </c>
      <c r="AA1355" s="3">
        <f>SUMPRODUCT($B1355:$Y1355,$B$2655:$Y$2655)</f>
        <v/>
      </c>
      <c r="AC1355" s="1">
        <f>A1355</f>
        <v/>
      </c>
      <c r="AD1355">
        <f>IF(ISNUMBER(V1355),V1355*($AB$1/V$2635),"")</f>
        <v/>
      </c>
      <c r="AE1355">
        <f>IF(ISNUMBER(Z1355),Z1355*($AB$1/Z$2635),"")</f>
        <v/>
      </c>
      <c r="AF1355" s="25">
        <f>IF(ISNUMBER(AD1355+AE1355),AD1355+AE1355,"")</f>
        <v/>
      </c>
      <c r="AH1355" s="1">
        <f>A1355</f>
        <v/>
      </c>
      <c r="AI1355">
        <f>IF(ISNUMBER((1+V1355)*AI1354),(1+V1355)*AI1354,AI1354)</f>
        <v/>
      </c>
      <c r="AJ1355">
        <f>IF(ISNUMBER((1+Z1355)*AJ1354),(1+Z1355)*AJ1354,AJ1354)</f>
        <v/>
      </c>
    </row>
    <row r="1356">
      <c r="A1356" s="1" t="n">
        <v>43970</v>
      </c>
      <c r="B1356" s="3">
        <f>IF(ORIG!B1356=0,"",ORIG!B1356)</f>
        <v/>
      </c>
      <c r="C1356" s="3">
        <f>IF(ORIG!C1356=0,"",ORIG!C1356)</f>
        <v/>
      </c>
      <c r="D1356" s="3">
        <f>IF(ORIG!D1356=0,"",ORIG!D1356)</f>
        <v/>
      </c>
      <c r="E1356" s="3">
        <f>IF(ORIG!E1356=0,"",ORIG!E1356)</f>
        <v/>
      </c>
      <c r="F1356" s="3">
        <f>IF(ORIG!F1356=0,"",ORIG!F1356)</f>
        <v/>
      </c>
      <c r="G1356" s="3">
        <f>IF(ORIG!G1356=0,"",ORIG!G1356)</f>
        <v/>
      </c>
      <c r="H1356" s="3">
        <f>IF(ORIG!H1356=0,"",ORIG!H1356)</f>
        <v/>
      </c>
      <c r="I1356" s="3">
        <f>IF(ORIG!I1356=0,"",ORIG!I1356)</f>
        <v/>
      </c>
      <c r="J1356" s="3">
        <f>IF(ORIG!J1356=0,"",ORIG!J1356)</f>
        <v/>
      </c>
      <c r="K1356" s="3">
        <f>IF(ORIG!K1356=0,"",ORIG!K1356)</f>
        <v/>
      </c>
      <c r="L1356" s="3">
        <f>IF(ORIG!L1356=0,"",ORIG!L1356)</f>
        <v/>
      </c>
      <c r="M1356" s="3">
        <f>IF(ORIG!M1356=0,"",ORIG!M1356)</f>
        <v/>
      </c>
      <c r="N1356" s="3">
        <f>IF(ORIG!N1356=0,"",ORIG!N1356)</f>
        <v/>
      </c>
      <c r="O1356" s="3">
        <f>IF(ORIG!O1356=0,"",ORIG!O1356)</f>
        <v/>
      </c>
      <c r="P1356" s="3">
        <f>IF(ORIG!P1356=0,"",ORIG!P1356)</f>
        <v/>
      </c>
      <c r="Q1356" s="3">
        <f>IF(ORIG!Q1356=0,"",ORIG!Q1356)</f>
        <v/>
      </c>
      <c r="R1356" s="3">
        <f>IF(ORIG!R1356=0,"",ORIG!R1356)</f>
        <v/>
      </c>
      <c r="S1356" s="3">
        <f>IF(ORIG!S1356=0,"",ORIG!S1356)</f>
        <v/>
      </c>
      <c r="T1356" s="3">
        <f>IF(ORIG!T1356=0,"",ORIG!T1356)</f>
        <v/>
      </c>
      <c r="U1356" s="3">
        <f>IF(ORIG!U1356=0,"",ORIG!U1356)</f>
        <v/>
      </c>
      <c r="V1356" s="9">
        <f>IF(ORIG!V1356=0,"",ORIG!V1356)</f>
        <v/>
      </c>
      <c r="W1356" s="9">
        <f>IF(ORIG!W1356=0,"",ORIG!W1356)</f>
        <v/>
      </c>
      <c r="X1356" s="9">
        <f>IF(ORIG!X1356=0,"",ORIG!X1356)</f>
        <v/>
      </c>
      <c r="Y1356" s="9">
        <f>IF(ORIG!Y1356=0,"",ORIG!Y1356)</f>
        <v/>
      </c>
      <c r="Z1356" s="3">
        <f>SUMPRODUCT($B1356:$Y1356,$B$2649:$Y$2649)</f>
        <v/>
      </c>
      <c r="AA1356" s="3">
        <f>SUMPRODUCT($B1356:$Y1356,$B$2655:$Y$2655)</f>
        <v/>
      </c>
      <c r="AC1356" s="1">
        <f>A1356</f>
        <v/>
      </c>
      <c r="AD1356">
        <f>IF(ISNUMBER(V1356),V1356*($AB$1/V$2635),"")</f>
        <v/>
      </c>
      <c r="AE1356">
        <f>IF(ISNUMBER(Z1356),Z1356*($AB$1/Z$2635),"")</f>
        <v/>
      </c>
      <c r="AF1356" s="25">
        <f>IF(ISNUMBER(AD1356+AE1356),AD1356+AE1356,"")</f>
        <v/>
      </c>
      <c r="AH1356" s="1">
        <f>A1356</f>
        <v/>
      </c>
      <c r="AI1356">
        <f>IF(ISNUMBER((1+V1356)*AI1355),(1+V1356)*AI1355,AI1355)</f>
        <v/>
      </c>
      <c r="AJ1356">
        <f>IF(ISNUMBER((1+Z1356)*AJ1355),(1+Z1356)*AJ1355,AJ1355)</f>
        <v/>
      </c>
    </row>
    <row r="1357">
      <c r="A1357" s="1" t="n">
        <v>43971</v>
      </c>
      <c r="B1357" s="3">
        <f>IF(ORIG!B1357=0,"",ORIG!B1357)</f>
        <v/>
      </c>
      <c r="C1357" s="3">
        <f>IF(ORIG!C1357=0,"",ORIG!C1357)</f>
        <v/>
      </c>
      <c r="D1357" s="3">
        <f>IF(ORIG!D1357=0,"",ORIG!D1357)</f>
        <v/>
      </c>
      <c r="E1357" s="3">
        <f>IF(ORIG!E1357=0,"",ORIG!E1357)</f>
        <v/>
      </c>
      <c r="F1357" s="3">
        <f>IF(ORIG!F1357=0,"",ORIG!F1357)</f>
        <v/>
      </c>
      <c r="G1357" s="3">
        <f>IF(ORIG!G1357=0,"",ORIG!G1357)</f>
        <v/>
      </c>
      <c r="H1357" s="3">
        <f>IF(ORIG!H1357=0,"",ORIG!H1357)</f>
        <v/>
      </c>
      <c r="I1357" s="3">
        <f>IF(ORIG!I1357=0,"",ORIG!I1357)</f>
        <v/>
      </c>
      <c r="J1357" s="3">
        <f>IF(ORIG!J1357=0,"",ORIG!J1357)</f>
        <v/>
      </c>
      <c r="K1357" s="3">
        <f>IF(ORIG!K1357=0,"",ORIG!K1357)</f>
        <v/>
      </c>
      <c r="L1357" s="3">
        <f>IF(ORIG!L1357=0,"",ORIG!L1357)</f>
        <v/>
      </c>
      <c r="M1357" s="3">
        <f>IF(ORIG!M1357=0,"",ORIG!M1357)</f>
        <v/>
      </c>
      <c r="N1357" s="3">
        <f>IF(ORIG!N1357=0,"",ORIG!N1357)</f>
        <v/>
      </c>
      <c r="O1357" s="3">
        <f>IF(ORIG!O1357=0,"",ORIG!O1357)</f>
        <v/>
      </c>
      <c r="P1357" s="3">
        <f>IF(ORIG!P1357=0,"",ORIG!P1357)</f>
        <v/>
      </c>
      <c r="Q1357" s="3">
        <f>IF(ORIG!Q1357=0,"",ORIG!Q1357)</f>
        <v/>
      </c>
      <c r="R1357" s="3">
        <f>IF(ORIG!R1357=0,"",ORIG!R1357)</f>
        <v/>
      </c>
      <c r="S1357" s="3">
        <f>IF(ORIG!S1357=0,"",ORIG!S1357)</f>
        <v/>
      </c>
      <c r="T1357" s="3">
        <f>IF(ORIG!T1357=0,"",ORIG!T1357)</f>
        <v/>
      </c>
      <c r="U1357" s="3">
        <f>IF(ORIG!U1357=0,"",ORIG!U1357)</f>
        <v/>
      </c>
      <c r="V1357" s="9">
        <f>IF(ORIG!V1357=0,"",ORIG!V1357)</f>
        <v/>
      </c>
      <c r="W1357" s="9">
        <f>IF(ORIG!W1357=0,"",ORIG!W1357)</f>
        <v/>
      </c>
      <c r="X1357" s="9">
        <f>IF(ORIG!X1357=0,"",ORIG!X1357)</f>
        <v/>
      </c>
      <c r="Y1357" s="9">
        <f>IF(ORIG!Y1357=0,"",ORIG!Y1357)</f>
        <v/>
      </c>
      <c r="Z1357" s="3">
        <f>SUMPRODUCT($B1357:$Y1357,$B$2649:$Y$2649)</f>
        <v/>
      </c>
      <c r="AA1357" s="3">
        <f>SUMPRODUCT($B1357:$Y1357,$B$2655:$Y$2655)</f>
        <v/>
      </c>
      <c r="AC1357" s="1">
        <f>A1357</f>
        <v/>
      </c>
      <c r="AD1357">
        <f>IF(ISNUMBER(V1357),V1357*($AB$1/V$2635),"")</f>
        <v/>
      </c>
      <c r="AE1357">
        <f>IF(ISNUMBER(Z1357),Z1357*($AB$1/Z$2635),"")</f>
        <v/>
      </c>
      <c r="AF1357" s="25">
        <f>IF(ISNUMBER(AD1357+AE1357),AD1357+AE1357,"")</f>
        <v/>
      </c>
      <c r="AH1357" s="1">
        <f>A1357</f>
        <v/>
      </c>
      <c r="AI1357">
        <f>IF(ISNUMBER((1+V1357)*AI1356),(1+V1357)*AI1356,AI1356)</f>
        <v/>
      </c>
      <c r="AJ1357">
        <f>IF(ISNUMBER((1+Z1357)*AJ1356),(1+Z1357)*AJ1356,AJ1356)</f>
        <v/>
      </c>
    </row>
    <row r="1358">
      <c r="A1358" s="1" t="n">
        <v>43972</v>
      </c>
      <c r="B1358" s="3">
        <f>IF(ORIG!B1358=0,"",ORIG!B1358)</f>
        <v/>
      </c>
      <c r="C1358" s="3">
        <f>IF(ORIG!C1358=0,"",ORIG!C1358)</f>
        <v/>
      </c>
      <c r="D1358" s="3">
        <f>IF(ORIG!D1358=0,"",ORIG!D1358)</f>
        <v/>
      </c>
      <c r="E1358" s="3">
        <f>IF(ORIG!E1358=0,"",ORIG!E1358)</f>
        <v/>
      </c>
      <c r="F1358" s="3">
        <f>IF(ORIG!F1358=0,"",ORIG!F1358)</f>
        <v/>
      </c>
      <c r="G1358" s="3">
        <f>IF(ORIG!G1358=0,"",ORIG!G1358)</f>
        <v/>
      </c>
      <c r="H1358" s="3">
        <f>IF(ORIG!H1358=0,"",ORIG!H1358)</f>
        <v/>
      </c>
      <c r="I1358" s="3">
        <f>IF(ORIG!I1358=0,"",ORIG!I1358)</f>
        <v/>
      </c>
      <c r="J1358" s="3">
        <f>IF(ORIG!J1358=0,"",ORIG!J1358)</f>
        <v/>
      </c>
      <c r="K1358" s="3">
        <f>IF(ORIG!K1358=0,"",ORIG!K1358)</f>
        <v/>
      </c>
      <c r="L1358" s="3">
        <f>IF(ORIG!L1358=0,"",ORIG!L1358)</f>
        <v/>
      </c>
      <c r="M1358" s="3">
        <f>IF(ORIG!M1358=0,"",ORIG!M1358)</f>
        <v/>
      </c>
      <c r="N1358" s="3">
        <f>IF(ORIG!N1358=0,"",ORIG!N1358)</f>
        <v/>
      </c>
      <c r="O1358" s="3">
        <f>IF(ORIG!O1358=0,"",ORIG!O1358)</f>
        <v/>
      </c>
      <c r="P1358" s="3">
        <f>IF(ORIG!P1358=0,"",ORIG!P1358)</f>
        <v/>
      </c>
      <c r="Q1358" s="3">
        <f>IF(ORIG!Q1358=0,"",ORIG!Q1358)</f>
        <v/>
      </c>
      <c r="R1358" s="3">
        <f>IF(ORIG!R1358=0,"",ORIG!R1358)</f>
        <v/>
      </c>
      <c r="S1358" s="3">
        <f>IF(ORIG!S1358=0,"",ORIG!S1358)</f>
        <v/>
      </c>
      <c r="T1358" s="3">
        <f>IF(ORIG!T1358=0,"",ORIG!T1358)</f>
        <v/>
      </c>
      <c r="U1358" s="3">
        <f>IF(ORIG!U1358=0,"",ORIG!U1358)</f>
        <v/>
      </c>
      <c r="V1358" s="9">
        <f>IF(ORIG!V1358=0,"",ORIG!V1358)</f>
        <v/>
      </c>
      <c r="W1358" s="9">
        <f>IF(ORIG!W1358=0,"",ORIG!W1358)</f>
        <v/>
      </c>
      <c r="X1358" s="9">
        <f>IF(ORIG!X1358=0,"",ORIG!X1358)</f>
        <v/>
      </c>
      <c r="Y1358" s="9">
        <f>IF(ORIG!Y1358=0,"",ORIG!Y1358)</f>
        <v/>
      </c>
      <c r="Z1358" s="3">
        <f>SUMPRODUCT($B1358:$Y1358,$B$2649:$Y$2649)</f>
        <v/>
      </c>
      <c r="AA1358" s="3">
        <f>SUMPRODUCT($B1358:$Y1358,$B$2655:$Y$2655)</f>
        <v/>
      </c>
      <c r="AC1358" s="1">
        <f>A1358</f>
        <v/>
      </c>
      <c r="AD1358">
        <f>IF(ISNUMBER(V1358),V1358*($AB$1/V$2635),"")</f>
        <v/>
      </c>
      <c r="AE1358">
        <f>IF(ISNUMBER(Z1358),Z1358*($AB$1/Z$2635),"")</f>
        <v/>
      </c>
      <c r="AF1358" s="25">
        <f>IF(ISNUMBER(AD1358+AE1358),AD1358+AE1358,"")</f>
        <v/>
      </c>
      <c r="AH1358" s="1">
        <f>A1358</f>
        <v/>
      </c>
      <c r="AI1358">
        <f>IF(ISNUMBER((1+V1358)*AI1357),(1+V1358)*AI1357,AI1357)</f>
        <v/>
      </c>
      <c r="AJ1358">
        <f>IF(ISNUMBER((1+Z1358)*AJ1357),(1+Z1358)*AJ1357,AJ1357)</f>
        <v/>
      </c>
    </row>
    <row r="1359">
      <c r="A1359" s="1" t="n">
        <v>43973</v>
      </c>
      <c r="B1359" s="3">
        <f>IF(ORIG!B1359=0,"",ORIG!B1359)</f>
        <v/>
      </c>
      <c r="C1359" s="3">
        <f>IF(ORIG!C1359=0,"",ORIG!C1359)</f>
        <v/>
      </c>
      <c r="D1359" s="3">
        <f>IF(ORIG!D1359=0,"",ORIG!D1359)</f>
        <v/>
      </c>
      <c r="E1359" s="3">
        <f>IF(ORIG!E1359=0,"",ORIG!E1359)</f>
        <v/>
      </c>
      <c r="F1359" s="3">
        <f>IF(ORIG!F1359=0,"",ORIG!F1359)</f>
        <v/>
      </c>
      <c r="G1359" s="3">
        <f>IF(ORIG!G1359=0,"",ORIG!G1359)</f>
        <v/>
      </c>
      <c r="H1359" s="3">
        <f>IF(ORIG!H1359=0,"",ORIG!H1359)</f>
        <v/>
      </c>
      <c r="I1359" s="3">
        <f>IF(ORIG!I1359=0,"",ORIG!I1359)</f>
        <v/>
      </c>
      <c r="J1359" s="3">
        <f>IF(ORIG!J1359=0,"",ORIG!J1359)</f>
        <v/>
      </c>
      <c r="K1359" s="3">
        <f>IF(ORIG!K1359=0,"",ORIG!K1359)</f>
        <v/>
      </c>
      <c r="L1359" s="3">
        <f>IF(ORIG!L1359=0,"",ORIG!L1359)</f>
        <v/>
      </c>
      <c r="M1359" s="3">
        <f>IF(ORIG!M1359=0,"",ORIG!M1359)</f>
        <v/>
      </c>
      <c r="N1359" s="3">
        <f>IF(ORIG!N1359=0,"",ORIG!N1359)</f>
        <v/>
      </c>
      <c r="O1359" s="3">
        <f>IF(ORIG!O1359=0,"",ORIG!O1359)</f>
        <v/>
      </c>
      <c r="P1359" s="3">
        <f>IF(ORIG!P1359=0,"",ORIG!P1359)</f>
        <v/>
      </c>
      <c r="Q1359" s="3">
        <f>IF(ORIG!Q1359=0,"",ORIG!Q1359)</f>
        <v/>
      </c>
      <c r="R1359" s="3">
        <f>IF(ORIG!R1359=0,"",ORIG!R1359)</f>
        <v/>
      </c>
      <c r="S1359" s="3">
        <f>IF(ORIG!S1359=0,"",ORIG!S1359)</f>
        <v/>
      </c>
      <c r="T1359" s="3">
        <f>IF(ORIG!T1359=0,"",ORIG!T1359)</f>
        <v/>
      </c>
      <c r="U1359" s="3">
        <f>IF(ORIG!U1359=0,"",ORIG!U1359)</f>
        <v/>
      </c>
      <c r="V1359" s="9">
        <f>IF(ORIG!V1359=0,"",ORIG!V1359)</f>
        <v/>
      </c>
      <c r="W1359" s="9">
        <f>IF(ORIG!W1359=0,"",ORIG!W1359)</f>
        <v/>
      </c>
      <c r="X1359" s="9">
        <f>IF(ORIG!X1359=0,"",ORIG!X1359)</f>
        <v/>
      </c>
      <c r="Y1359" s="9">
        <f>IF(ORIG!Y1359=0,"",ORIG!Y1359)</f>
        <v/>
      </c>
      <c r="Z1359" s="3">
        <f>SUMPRODUCT($B1359:$Y1359,$B$2649:$Y$2649)</f>
        <v/>
      </c>
      <c r="AA1359" s="3">
        <f>SUMPRODUCT($B1359:$Y1359,$B$2655:$Y$2655)</f>
        <v/>
      </c>
      <c r="AC1359" s="1">
        <f>A1359</f>
        <v/>
      </c>
      <c r="AD1359">
        <f>IF(ISNUMBER(V1359),V1359*($AB$1/V$2635),"")</f>
        <v/>
      </c>
      <c r="AE1359">
        <f>IF(ISNUMBER(Z1359),Z1359*($AB$1/Z$2635),"")</f>
        <v/>
      </c>
      <c r="AF1359" s="25">
        <f>IF(ISNUMBER(AD1359+AE1359),AD1359+AE1359,"")</f>
        <v/>
      </c>
      <c r="AH1359" s="1">
        <f>A1359</f>
        <v/>
      </c>
      <c r="AI1359">
        <f>IF(ISNUMBER((1+V1359)*AI1358),(1+V1359)*AI1358,AI1358)</f>
        <v/>
      </c>
      <c r="AJ1359">
        <f>IF(ISNUMBER((1+Z1359)*AJ1358),(1+Z1359)*AJ1358,AJ1358)</f>
        <v/>
      </c>
    </row>
    <row r="1360">
      <c r="A1360" s="1" t="n">
        <v>43977</v>
      </c>
      <c r="B1360" s="3">
        <f>IF(ORIG!B1360=0,"",ORIG!B1360)</f>
        <v/>
      </c>
      <c r="C1360" s="3">
        <f>IF(ORIG!C1360=0,"",ORIG!C1360)</f>
        <v/>
      </c>
      <c r="D1360" s="3">
        <f>IF(ORIG!D1360=0,"",ORIG!D1360)</f>
        <v/>
      </c>
      <c r="E1360" s="3">
        <f>IF(ORIG!E1360=0,"",ORIG!E1360)</f>
        <v/>
      </c>
      <c r="F1360" s="3">
        <f>IF(ORIG!F1360=0,"",ORIG!F1360)</f>
        <v/>
      </c>
      <c r="G1360" s="3">
        <f>IF(ORIG!G1360=0,"",ORIG!G1360)</f>
        <v/>
      </c>
      <c r="H1360" s="3">
        <f>IF(ORIG!H1360=0,"",ORIG!H1360)</f>
        <v/>
      </c>
      <c r="I1360" s="3">
        <f>IF(ORIG!I1360=0,"",ORIG!I1360)</f>
        <v/>
      </c>
      <c r="J1360" s="3">
        <f>IF(ORIG!J1360=0,"",ORIG!J1360)</f>
        <v/>
      </c>
      <c r="K1360" s="3">
        <f>IF(ORIG!K1360=0,"",ORIG!K1360)</f>
        <v/>
      </c>
      <c r="L1360" s="3">
        <f>IF(ORIG!L1360=0,"",ORIG!L1360)</f>
        <v/>
      </c>
      <c r="M1360" s="3">
        <f>IF(ORIG!M1360=0,"",ORIG!M1360)</f>
        <v/>
      </c>
      <c r="N1360" s="3">
        <f>IF(ORIG!N1360=0,"",ORIG!N1360)</f>
        <v/>
      </c>
      <c r="O1360" s="3">
        <f>IF(ORIG!O1360=0,"",ORIG!O1360)</f>
        <v/>
      </c>
      <c r="P1360" s="3">
        <f>IF(ORIG!P1360=0,"",ORIG!P1360)</f>
        <v/>
      </c>
      <c r="Q1360" s="3">
        <f>IF(ORIG!Q1360=0,"",ORIG!Q1360)</f>
        <v/>
      </c>
      <c r="R1360" s="3">
        <f>IF(ORIG!R1360=0,"",ORIG!R1360)</f>
        <v/>
      </c>
      <c r="S1360" s="3">
        <f>IF(ORIG!S1360=0,"",ORIG!S1360)</f>
        <v/>
      </c>
      <c r="T1360" s="3">
        <f>IF(ORIG!T1360=0,"",ORIG!T1360)</f>
        <v/>
      </c>
      <c r="U1360" s="3">
        <f>IF(ORIG!U1360=0,"",ORIG!U1360)</f>
        <v/>
      </c>
      <c r="V1360" s="9">
        <f>IF(ORIG!V1360=0,"",ORIG!V1360)</f>
        <v/>
      </c>
      <c r="W1360" s="9">
        <f>IF(ORIG!W1360=0,"",ORIG!W1360)</f>
        <v/>
      </c>
      <c r="X1360" s="9">
        <f>IF(ORIG!X1360=0,"",ORIG!X1360)</f>
        <v/>
      </c>
      <c r="Y1360" s="9">
        <f>IF(ORIG!Y1360=0,"",ORIG!Y1360)</f>
        <v/>
      </c>
      <c r="Z1360" s="3">
        <f>SUMPRODUCT($B1360:$Y1360,$B$2649:$Y$2649)</f>
        <v/>
      </c>
      <c r="AA1360" s="3">
        <f>SUMPRODUCT($B1360:$Y1360,$B$2655:$Y$2655)</f>
        <v/>
      </c>
      <c r="AC1360" s="1">
        <f>A1360</f>
        <v/>
      </c>
      <c r="AD1360">
        <f>IF(ISNUMBER(V1360),V1360*($AB$1/V$2635),"")</f>
        <v/>
      </c>
      <c r="AE1360">
        <f>IF(ISNUMBER(Z1360),Z1360*($AB$1/Z$2635),"")</f>
        <v/>
      </c>
      <c r="AF1360" s="25">
        <f>IF(ISNUMBER(AD1360+AE1360),AD1360+AE1360,"")</f>
        <v/>
      </c>
      <c r="AH1360" s="1">
        <f>A1360</f>
        <v/>
      </c>
      <c r="AI1360">
        <f>IF(ISNUMBER((1+V1360)*AI1359),(1+V1360)*AI1359,AI1359)</f>
        <v/>
      </c>
      <c r="AJ1360">
        <f>IF(ISNUMBER((1+Z1360)*AJ1359),(1+Z1360)*AJ1359,AJ1359)</f>
        <v/>
      </c>
    </row>
    <row r="1361">
      <c r="A1361" s="1" t="n">
        <v>43978</v>
      </c>
      <c r="B1361" s="3">
        <f>IF(ORIG!B1361=0,"",ORIG!B1361)</f>
        <v/>
      </c>
      <c r="C1361" s="3">
        <f>IF(ORIG!C1361=0,"",ORIG!C1361)</f>
        <v/>
      </c>
      <c r="D1361" s="3">
        <f>IF(ORIG!D1361=0,"",ORIG!D1361)</f>
        <v/>
      </c>
      <c r="E1361" s="3">
        <f>IF(ORIG!E1361=0,"",ORIG!E1361)</f>
        <v/>
      </c>
      <c r="F1361" s="3">
        <f>IF(ORIG!F1361=0,"",ORIG!F1361)</f>
        <v/>
      </c>
      <c r="G1361" s="3">
        <f>IF(ORIG!G1361=0,"",ORIG!G1361)</f>
        <v/>
      </c>
      <c r="H1361" s="3">
        <f>IF(ORIG!H1361=0,"",ORIG!H1361)</f>
        <v/>
      </c>
      <c r="I1361" s="3">
        <f>IF(ORIG!I1361=0,"",ORIG!I1361)</f>
        <v/>
      </c>
      <c r="J1361" s="3">
        <f>IF(ORIG!J1361=0,"",ORIG!J1361)</f>
        <v/>
      </c>
      <c r="K1361" s="3">
        <f>IF(ORIG!K1361=0,"",ORIG!K1361)</f>
        <v/>
      </c>
      <c r="L1361" s="3">
        <f>IF(ORIG!L1361=0,"",ORIG!L1361)</f>
        <v/>
      </c>
      <c r="M1361" s="3">
        <f>IF(ORIG!M1361=0,"",ORIG!M1361)</f>
        <v/>
      </c>
      <c r="N1361" s="3">
        <f>IF(ORIG!N1361=0,"",ORIG!N1361)</f>
        <v/>
      </c>
      <c r="O1361" s="3">
        <f>IF(ORIG!O1361=0,"",ORIG!O1361)</f>
        <v/>
      </c>
      <c r="P1361" s="3">
        <f>IF(ORIG!P1361=0,"",ORIG!P1361)</f>
        <v/>
      </c>
      <c r="Q1361" s="3">
        <f>IF(ORIG!Q1361=0,"",ORIG!Q1361)</f>
        <v/>
      </c>
      <c r="R1361" s="3">
        <f>IF(ORIG!R1361=0,"",ORIG!R1361)</f>
        <v/>
      </c>
      <c r="S1361" s="3">
        <f>IF(ORIG!S1361=0,"",ORIG!S1361)</f>
        <v/>
      </c>
      <c r="T1361" s="3">
        <f>IF(ORIG!T1361=0,"",ORIG!T1361)</f>
        <v/>
      </c>
      <c r="U1361" s="3">
        <f>IF(ORIG!U1361=0,"",ORIG!U1361)</f>
        <v/>
      </c>
      <c r="V1361" s="9">
        <f>IF(ORIG!V1361=0,"",ORIG!V1361)</f>
        <v/>
      </c>
      <c r="W1361" s="9">
        <f>IF(ORIG!W1361=0,"",ORIG!W1361)</f>
        <v/>
      </c>
      <c r="X1361" s="9">
        <f>IF(ORIG!X1361=0,"",ORIG!X1361)</f>
        <v/>
      </c>
      <c r="Y1361" s="9">
        <f>IF(ORIG!Y1361=0,"",ORIG!Y1361)</f>
        <v/>
      </c>
      <c r="Z1361" s="3">
        <f>SUMPRODUCT($B1361:$Y1361,$B$2649:$Y$2649)</f>
        <v/>
      </c>
      <c r="AA1361" s="3">
        <f>SUMPRODUCT($B1361:$Y1361,$B$2655:$Y$2655)</f>
        <v/>
      </c>
      <c r="AC1361" s="1">
        <f>A1361</f>
        <v/>
      </c>
      <c r="AD1361">
        <f>IF(ISNUMBER(V1361),V1361*($AB$1/V$2635),"")</f>
        <v/>
      </c>
      <c r="AE1361">
        <f>IF(ISNUMBER(Z1361),Z1361*($AB$1/Z$2635),"")</f>
        <v/>
      </c>
      <c r="AF1361" s="25">
        <f>IF(ISNUMBER(AD1361+AE1361),AD1361+AE1361,"")</f>
        <v/>
      </c>
      <c r="AH1361" s="1">
        <f>A1361</f>
        <v/>
      </c>
      <c r="AI1361">
        <f>IF(ISNUMBER((1+V1361)*AI1360),(1+V1361)*AI1360,AI1360)</f>
        <v/>
      </c>
      <c r="AJ1361">
        <f>IF(ISNUMBER((1+Z1361)*AJ1360),(1+Z1361)*AJ1360,AJ1360)</f>
        <v/>
      </c>
    </row>
    <row r="1362">
      <c r="A1362" s="1" t="n">
        <v>43979</v>
      </c>
      <c r="B1362" s="3">
        <f>IF(ORIG!B1362=0,"",ORIG!B1362)</f>
        <v/>
      </c>
      <c r="C1362" s="3">
        <f>IF(ORIG!C1362=0,"",ORIG!C1362)</f>
        <v/>
      </c>
      <c r="D1362" s="3">
        <f>IF(ORIG!D1362=0,"",ORIG!D1362)</f>
        <v/>
      </c>
      <c r="E1362" s="3">
        <f>IF(ORIG!E1362=0,"",ORIG!E1362)</f>
        <v/>
      </c>
      <c r="F1362" s="3">
        <f>IF(ORIG!F1362=0,"",ORIG!F1362)</f>
        <v/>
      </c>
      <c r="G1362" s="3">
        <f>IF(ORIG!G1362=0,"",ORIG!G1362)</f>
        <v/>
      </c>
      <c r="H1362" s="3">
        <f>IF(ORIG!H1362=0,"",ORIG!H1362)</f>
        <v/>
      </c>
      <c r="I1362" s="3">
        <f>IF(ORIG!I1362=0,"",ORIG!I1362)</f>
        <v/>
      </c>
      <c r="J1362" s="3">
        <f>IF(ORIG!J1362=0,"",ORIG!J1362)</f>
        <v/>
      </c>
      <c r="K1362" s="3">
        <f>IF(ORIG!K1362=0,"",ORIG!K1362)</f>
        <v/>
      </c>
      <c r="L1362" s="3">
        <f>IF(ORIG!L1362=0,"",ORIG!L1362)</f>
        <v/>
      </c>
      <c r="M1362" s="3">
        <f>IF(ORIG!M1362=0,"",ORIG!M1362)</f>
        <v/>
      </c>
      <c r="N1362" s="3">
        <f>IF(ORIG!N1362=0,"",ORIG!N1362)</f>
        <v/>
      </c>
      <c r="O1362" s="3">
        <f>IF(ORIG!O1362=0,"",ORIG!O1362)</f>
        <v/>
      </c>
      <c r="P1362" s="3">
        <f>IF(ORIG!P1362=0,"",ORIG!P1362)</f>
        <v/>
      </c>
      <c r="Q1362" s="3">
        <f>IF(ORIG!Q1362=0,"",ORIG!Q1362)</f>
        <v/>
      </c>
      <c r="R1362" s="3">
        <f>IF(ORIG!R1362=0,"",ORIG!R1362)</f>
        <v/>
      </c>
      <c r="S1362" s="3">
        <f>IF(ORIG!S1362=0,"",ORIG!S1362)</f>
        <v/>
      </c>
      <c r="T1362" s="3">
        <f>IF(ORIG!T1362=0,"",ORIG!T1362)</f>
        <v/>
      </c>
      <c r="U1362" s="3">
        <f>IF(ORIG!U1362=0,"",ORIG!U1362)</f>
        <v/>
      </c>
      <c r="V1362" s="9">
        <f>IF(ORIG!V1362=0,"",ORIG!V1362)</f>
        <v/>
      </c>
      <c r="W1362" s="9">
        <f>IF(ORIG!W1362=0,"",ORIG!W1362)</f>
        <v/>
      </c>
      <c r="X1362" s="9">
        <f>IF(ORIG!X1362=0,"",ORIG!X1362)</f>
        <v/>
      </c>
      <c r="Y1362" s="9">
        <f>IF(ORIG!Y1362=0,"",ORIG!Y1362)</f>
        <v/>
      </c>
      <c r="Z1362" s="3">
        <f>SUMPRODUCT($B1362:$Y1362,$B$2649:$Y$2649)</f>
        <v/>
      </c>
      <c r="AA1362" s="3">
        <f>SUMPRODUCT($B1362:$Y1362,$B$2655:$Y$2655)</f>
        <v/>
      </c>
      <c r="AC1362" s="1">
        <f>A1362</f>
        <v/>
      </c>
      <c r="AD1362">
        <f>IF(ISNUMBER(V1362),V1362*($AB$1/V$2635),"")</f>
        <v/>
      </c>
      <c r="AE1362">
        <f>IF(ISNUMBER(Z1362),Z1362*($AB$1/Z$2635),"")</f>
        <v/>
      </c>
      <c r="AF1362" s="25">
        <f>IF(ISNUMBER(AD1362+AE1362),AD1362+AE1362,"")</f>
        <v/>
      </c>
      <c r="AH1362" s="1">
        <f>A1362</f>
        <v/>
      </c>
      <c r="AI1362">
        <f>IF(ISNUMBER((1+V1362)*AI1361),(1+V1362)*AI1361,AI1361)</f>
        <v/>
      </c>
      <c r="AJ1362">
        <f>IF(ISNUMBER((1+Z1362)*AJ1361),(1+Z1362)*AJ1361,AJ1361)</f>
        <v/>
      </c>
    </row>
    <row r="1363">
      <c r="A1363" s="1" t="n">
        <v>43980</v>
      </c>
      <c r="B1363" s="3">
        <f>IF(ORIG!B1363=0,"",ORIG!B1363)</f>
        <v/>
      </c>
      <c r="C1363" s="3">
        <f>IF(ORIG!C1363=0,"",ORIG!C1363)</f>
        <v/>
      </c>
      <c r="D1363" s="3">
        <f>IF(ORIG!D1363=0,"",ORIG!D1363)</f>
        <v/>
      </c>
      <c r="E1363" s="3">
        <f>IF(ORIG!E1363=0,"",ORIG!E1363)</f>
        <v/>
      </c>
      <c r="F1363" s="3">
        <f>IF(ORIG!F1363=0,"",ORIG!F1363)</f>
        <v/>
      </c>
      <c r="G1363" s="3">
        <f>IF(ORIG!G1363=0,"",ORIG!G1363)</f>
        <v/>
      </c>
      <c r="H1363" s="3">
        <f>IF(ORIG!H1363=0,"",ORIG!H1363)</f>
        <v/>
      </c>
      <c r="I1363" s="3">
        <f>IF(ORIG!I1363=0,"",ORIG!I1363)</f>
        <v/>
      </c>
      <c r="J1363" s="3">
        <f>IF(ORIG!J1363=0,"",ORIG!J1363)</f>
        <v/>
      </c>
      <c r="K1363" s="3">
        <f>IF(ORIG!K1363=0,"",ORIG!K1363)</f>
        <v/>
      </c>
      <c r="L1363" s="3">
        <f>IF(ORIG!L1363=0,"",ORIG!L1363)</f>
        <v/>
      </c>
      <c r="M1363" s="3">
        <f>IF(ORIG!M1363=0,"",ORIG!M1363)</f>
        <v/>
      </c>
      <c r="N1363" s="3">
        <f>IF(ORIG!N1363=0,"",ORIG!N1363)</f>
        <v/>
      </c>
      <c r="O1363" s="3">
        <f>IF(ORIG!O1363=0,"",ORIG!O1363)</f>
        <v/>
      </c>
      <c r="P1363" s="3">
        <f>IF(ORIG!P1363=0,"",ORIG!P1363)</f>
        <v/>
      </c>
      <c r="Q1363" s="3">
        <f>IF(ORIG!Q1363=0,"",ORIG!Q1363)</f>
        <v/>
      </c>
      <c r="R1363" s="3">
        <f>IF(ORIG!R1363=0,"",ORIG!R1363)</f>
        <v/>
      </c>
      <c r="S1363" s="3">
        <f>IF(ORIG!S1363=0,"",ORIG!S1363)</f>
        <v/>
      </c>
      <c r="T1363" s="3">
        <f>IF(ORIG!T1363=0,"",ORIG!T1363)</f>
        <v/>
      </c>
      <c r="U1363" s="3">
        <f>IF(ORIG!U1363=0,"",ORIG!U1363)</f>
        <v/>
      </c>
      <c r="V1363" s="9">
        <f>IF(ORIG!V1363=0,"",ORIG!V1363)</f>
        <v/>
      </c>
      <c r="W1363" s="9">
        <f>IF(ORIG!W1363=0,"",ORIG!W1363)</f>
        <v/>
      </c>
      <c r="X1363" s="9">
        <f>IF(ORIG!X1363=0,"",ORIG!X1363)</f>
        <v/>
      </c>
      <c r="Y1363" s="9">
        <f>IF(ORIG!Y1363=0,"",ORIG!Y1363)</f>
        <v/>
      </c>
      <c r="Z1363" s="3">
        <f>SUMPRODUCT($B1363:$Y1363,$B$2649:$Y$2649)</f>
        <v/>
      </c>
      <c r="AA1363" s="3">
        <f>SUMPRODUCT($B1363:$Y1363,$B$2655:$Y$2655)</f>
        <v/>
      </c>
      <c r="AC1363" s="1">
        <f>A1363</f>
        <v/>
      </c>
      <c r="AD1363">
        <f>IF(ISNUMBER(V1363),V1363*($AB$1/V$2635),"")</f>
        <v/>
      </c>
      <c r="AE1363">
        <f>IF(ISNUMBER(Z1363),Z1363*($AB$1/Z$2635),"")</f>
        <v/>
      </c>
      <c r="AF1363" s="25">
        <f>IF(ISNUMBER(AD1363+AE1363),AD1363+AE1363,"")</f>
        <v/>
      </c>
      <c r="AH1363" s="1">
        <f>A1363</f>
        <v/>
      </c>
      <c r="AI1363">
        <f>IF(ISNUMBER((1+V1363)*AI1362),(1+V1363)*AI1362,AI1362)</f>
        <v/>
      </c>
      <c r="AJ1363">
        <f>IF(ISNUMBER((1+Z1363)*AJ1362),(1+Z1363)*AJ1362,AJ1362)</f>
        <v/>
      </c>
    </row>
    <row r="1364">
      <c r="A1364" s="1" t="n">
        <v>43983</v>
      </c>
      <c r="B1364" s="3">
        <f>IF(ORIG!B1364=0,"",ORIG!B1364)</f>
        <v/>
      </c>
      <c r="C1364" s="3">
        <f>IF(ORIG!C1364=0,"",ORIG!C1364)</f>
        <v/>
      </c>
      <c r="D1364" s="3">
        <f>IF(ORIG!D1364=0,"",ORIG!D1364)</f>
        <v/>
      </c>
      <c r="E1364" s="3">
        <f>IF(ORIG!E1364=0,"",ORIG!E1364)</f>
        <v/>
      </c>
      <c r="F1364" s="3">
        <f>IF(ORIG!F1364=0,"",ORIG!F1364)</f>
        <v/>
      </c>
      <c r="G1364" s="3">
        <f>IF(ORIG!G1364=0,"",ORIG!G1364)</f>
        <v/>
      </c>
      <c r="H1364" s="3">
        <f>IF(ORIG!H1364=0,"",ORIG!H1364)</f>
        <v/>
      </c>
      <c r="I1364" s="3">
        <f>IF(ORIG!I1364=0,"",ORIG!I1364)</f>
        <v/>
      </c>
      <c r="J1364" s="3">
        <f>IF(ORIG!J1364=0,"",ORIG!J1364)</f>
        <v/>
      </c>
      <c r="K1364" s="3">
        <f>IF(ORIG!K1364=0,"",ORIG!K1364)</f>
        <v/>
      </c>
      <c r="L1364" s="3">
        <f>IF(ORIG!L1364=0,"",ORIG!L1364)</f>
        <v/>
      </c>
      <c r="M1364" s="3">
        <f>IF(ORIG!M1364=0,"",ORIG!M1364)</f>
        <v/>
      </c>
      <c r="N1364" s="3">
        <f>IF(ORIG!N1364=0,"",ORIG!N1364)</f>
        <v/>
      </c>
      <c r="O1364" s="3">
        <f>IF(ORIG!O1364=0,"",ORIG!O1364)</f>
        <v/>
      </c>
      <c r="P1364" s="3">
        <f>IF(ORIG!P1364=0,"",ORIG!P1364)</f>
        <v/>
      </c>
      <c r="Q1364" s="3">
        <f>IF(ORIG!Q1364=0,"",ORIG!Q1364)</f>
        <v/>
      </c>
      <c r="R1364" s="3">
        <f>IF(ORIG!R1364=0,"",ORIG!R1364)</f>
        <v/>
      </c>
      <c r="S1364" s="3">
        <f>IF(ORIG!S1364=0,"",ORIG!S1364)</f>
        <v/>
      </c>
      <c r="T1364" s="3">
        <f>IF(ORIG!T1364=0,"",ORIG!T1364)</f>
        <v/>
      </c>
      <c r="U1364" s="3">
        <f>IF(ORIG!U1364=0,"",ORIG!U1364)</f>
        <v/>
      </c>
      <c r="V1364" s="9">
        <f>IF(ORIG!V1364=0,"",ORIG!V1364)</f>
        <v/>
      </c>
      <c r="W1364" s="9">
        <f>IF(ORIG!W1364=0,"",ORIG!W1364)</f>
        <v/>
      </c>
      <c r="X1364" s="9">
        <f>IF(ORIG!X1364=0,"",ORIG!X1364)</f>
        <v/>
      </c>
      <c r="Y1364" s="9">
        <f>IF(ORIG!Y1364=0,"",ORIG!Y1364)</f>
        <v/>
      </c>
      <c r="Z1364" s="3">
        <f>SUMPRODUCT($B1364:$Y1364,$B$2649:$Y$2649)</f>
        <v/>
      </c>
      <c r="AA1364" s="3">
        <f>SUMPRODUCT($B1364:$Y1364,$B$2655:$Y$2655)</f>
        <v/>
      </c>
      <c r="AC1364" s="1">
        <f>A1364</f>
        <v/>
      </c>
      <c r="AD1364">
        <f>IF(ISNUMBER(V1364),V1364*($AB$1/V$2635),"")</f>
        <v/>
      </c>
      <c r="AE1364">
        <f>IF(ISNUMBER(Z1364),Z1364*($AB$1/Z$2635),"")</f>
        <v/>
      </c>
      <c r="AF1364" s="25">
        <f>IF(ISNUMBER(AD1364+AE1364),AD1364+AE1364,"")</f>
        <v/>
      </c>
      <c r="AH1364" s="1">
        <f>A1364</f>
        <v/>
      </c>
      <c r="AI1364">
        <f>IF(ISNUMBER((1+V1364)*AI1363),(1+V1364)*AI1363,AI1363)</f>
        <v/>
      </c>
      <c r="AJ1364">
        <f>IF(ISNUMBER((1+Z1364)*AJ1363),(1+Z1364)*AJ1363,AJ1363)</f>
        <v/>
      </c>
    </row>
    <row r="1365">
      <c r="A1365" s="1" t="n">
        <v>43984</v>
      </c>
      <c r="B1365" s="3">
        <f>IF(ORIG!B1365=0,"",ORIG!B1365)</f>
        <v/>
      </c>
      <c r="C1365" s="3">
        <f>IF(ORIG!C1365=0,"",ORIG!C1365)</f>
        <v/>
      </c>
      <c r="D1365" s="3">
        <f>IF(ORIG!D1365=0,"",ORIG!D1365)</f>
        <v/>
      </c>
      <c r="E1365" s="3">
        <f>IF(ORIG!E1365=0,"",ORIG!E1365)</f>
        <v/>
      </c>
      <c r="F1365" s="3">
        <f>IF(ORIG!F1365=0,"",ORIG!F1365)</f>
        <v/>
      </c>
      <c r="G1365" s="3">
        <f>IF(ORIG!G1365=0,"",ORIG!G1365)</f>
        <v/>
      </c>
      <c r="H1365" s="3">
        <f>IF(ORIG!H1365=0,"",ORIG!H1365)</f>
        <v/>
      </c>
      <c r="I1365" s="3">
        <f>IF(ORIG!I1365=0,"",ORIG!I1365)</f>
        <v/>
      </c>
      <c r="J1365" s="3">
        <f>IF(ORIG!J1365=0,"",ORIG!J1365)</f>
        <v/>
      </c>
      <c r="K1365" s="3">
        <f>IF(ORIG!K1365=0,"",ORIG!K1365)</f>
        <v/>
      </c>
      <c r="L1365" s="3">
        <f>IF(ORIG!L1365=0,"",ORIG!L1365)</f>
        <v/>
      </c>
      <c r="M1365" s="3">
        <f>IF(ORIG!M1365=0,"",ORIG!M1365)</f>
        <v/>
      </c>
      <c r="N1365" s="3">
        <f>IF(ORIG!N1365=0,"",ORIG!N1365)</f>
        <v/>
      </c>
      <c r="O1365" s="3">
        <f>IF(ORIG!O1365=0,"",ORIG!O1365)</f>
        <v/>
      </c>
      <c r="P1365" s="3">
        <f>IF(ORIG!P1365=0,"",ORIG!P1365)</f>
        <v/>
      </c>
      <c r="Q1365" s="3">
        <f>IF(ORIG!Q1365=0,"",ORIG!Q1365)</f>
        <v/>
      </c>
      <c r="R1365" s="3">
        <f>IF(ORIG!R1365=0,"",ORIG!R1365)</f>
        <v/>
      </c>
      <c r="S1365" s="3">
        <f>IF(ORIG!S1365=0,"",ORIG!S1365)</f>
        <v/>
      </c>
      <c r="T1365" s="3">
        <f>IF(ORIG!T1365=0,"",ORIG!T1365)</f>
        <v/>
      </c>
      <c r="U1365" s="3">
        <f>IF(ORIG!U1365=0,"",ORIG!U1365)</f>
        <v/>
      </c>
      <c r="V1365" s="9">
        <f>IF(ORIG!V1365=0,"",ORIG!V1365)</f>
        <v/>
      </c>
      <c r="W1365" s="9">
        <f>IF(ORIG!W1365=0,"",ORIG!W1365)</f>
        <v/>
      </c>
      <c r="X1365" s="9">
        <f>IF(ORIG!X1365=0,"",ORIG!X1365)</f>
        <v/>
      </c>
      <c r="Y1365" s="9">
        <f>IF(ORIG!Y1365=0,"",ORIG!Y1365)</f>
        <v/>
      </c>
      <c r="Z1365" s="3">
        <f>SUMPRODUCT($B1365:$Y1365,$B$2649:$Y$2649)</f>
        <v/>
      </c>
      <c r="AA1365" s="3">
        <f>SUMPRODUCT($B1365:$Y1365,$B$2655:$Y$2655)</f>
        <v/>
      </c>
      <c r="AC1365" s="1">
        <f>A1365</f>
        <v/>
      </c>
      <c r="AD1365">
        <f>IF(ISNUMBER(V1365),V1365*($AB$1/V$2635),"")</f>
        <v/>
      </c>
      <c r="AE1365">
        <f>IF(ISNUMBER(Z1365),Z1365*($AB$1/Z$2635),"")</f>
        <v/>
      </c>
      <c r="AF1365" s="25">
        <f>IF(ISNUMBER(AD1365+AE1365),AD1365+AE1365,"")</f>
        <v/>
      </c>
      <c r="AH1365" s="1">
        <f>A1365</f>
        <v/>
      </c>
      <c r="AI1365">
        <f>IF(ISNUMBER((1+V1365)*AI1364),(1+V1365)*AI1364,AI1364)</f>
        <v/>
      </c>
      <c r="AJ1365">
        <f>IF(ISNUMBER((1+Z1365)*AJ1364),(1+Z1365)*AJ1364,AJ1364)</f>
        <v/>
      </c>
    </row>
    <row r="1366">
      <c r="A1366" s="1" t="n">
        <v>43985</v>
      </c>
      <c r="B1366" s="3">
        <f>IF(ORIG!B1366=0,"",ORIG!B1366)</f>
        <v/>
      </c>
      <c r="C1366" s="3">
        <f>IF(ORIG!C1366=0,"",ORIG!C1366)</f>
        <v/>
      </c>
      <c r="D1366" s="3">
        <f>IF(ORIG!D1366=0,"",ORIG!D1366)</f>
        <v/>
      </c>
      <c r="E1366" s="3">
        <f>IF(ORIG!E1366=0,"",ORIG!E1366)</f>
        <v/>
      </c>
      <c r="F1366" s="3">
        <f>IF(ORIG!F1366=0,"",ORIG!F1366)</f>
        <v/>
      </c>
      <c r="G1366" s="3">
        <f>IF(ORIG!G1366=0,"",ORIG!G1366)</f>
        <v/>
      </c>
      <c r="H1366" s="3">
        <f>IF(ORIG!H1366=0,"",ORIG!H1366)</f>
        <v/>
      </c>
      <c r="I1366" s="3">
        <f>IF(ORIG!I1366=0,"",ORIG!I1366)</f>
        <v/>
      </c>
      <c r="J1366" s="3">
        <f>IF(ORIG!J1366=0,"",ORIG!J1366)</f>
        <v/>
      </c>
      <c r="K1366" s="3">
        <f>IF(ORIG!K1366=0,"",ORIG!K1366)</f>
        <v/>
      </c>
      <c r="L1366" s="3">
        <f>IF(ORIG!L1366=0,"",ORIG!L1366)</f>
        <v/>
      </c>
      <c r="M1366" s="3">
        <f>IF(ORIG!M1366=0,"",ORIG!M1366)</f>
        <v/>
      </c>
      <c r="N1366" s="3">
        <f>IF(ORIG!N1366=0,"",ORIG!N1366)</f>
        <v/>
      </c>
      <c r="O1366" s="3">
        <f>IF(ORIG!O1366=0,"",ORIG!O1366)</f>
        <v/>
      </c>
      <c r="P1366" s="3">
        <f>IF(ORIG!P1366=0,"",ORIG!P1366)</f>
        <v/>
      </c>
      <c r="Q1366" s="3">
        <f>IF(ORIG!Q1366=0,"",ORIG!Q1366)</f>
        <v/>
      </c>
      <c r="R1366" s="3">
        <f>IF(ORIG!R1366=0,"",ORIG!R1366)</f>
        <v/>
      </c>
      <c r="S1366" s="3">
        <f>IF(ORIG!S1366=0,"",ORIG!S1366)</f>
        <v/>
      </c>
      <c r="T1366" s="3">
        <f>IF(ORIG!T1366=0,"",ORIG!T1366)</f>
        <v/>
      </c>
      <c r="U1366" s="3">
        <f>IF(ORIG!U1366=0,"",ORIG!U1366)</f>
        <v/>
      </c>
      <c r="V1366" s="9">
        <f>IF(ORIG!V1366=0,"",ORIG!V1366)</f>
        <v/>
      </c>
      <c r="W1366" s="9">
        <f>IF(ORIG!W1366=0,"",ORIG!W1366)</f>
        <v/>
      </c>
      <c r="X1366" s="9">
        <f>IF(ORIG!X1366=0,"",ORIG!X1366)</f>
        <v/>
      </c>
      <c r="Y1366" s="9">
        <f>IF(ORIG!Y1366=0,"",ORIG!Y1366)</f>
        <v/>
      </c>
      <c r="Z1366" s="3">
        <f>SUMPRODUCT($B1366:$Y1366,$B$2649:$Y$2649)</f>
        <v/>
      </c>
      <c r="AA1366" s="3">
        <f>SUMPRODUCT($B1366:$Y1366,$B$2655:$Y$2655)</f>
        <v/>
      </c>
      <c r="AC1366" s="1">
        <f>A1366</f>
        <v/>
      </c>
      <c r="AD1366">
        <f>IF(ISNUMBER(V1366),V1366*($AB$1/V$2635),"")</f>
        <v/>
      </c>
      <c r="AE1366">
        <f>IF(ISNUMBER(Z1366),Z1366*($AB$1/Z$2635),"")</f>
        <v/>
      </c>
      <c r="AF1366" s="25">
        <f>IF(ISNUMBER(AD1366+AE1366),AD1366+AE1366,"")</f>
        <v/>
      </c>
      <c r="AH1366" s="1">
        <f>A1366</f>
        <v/>
      </c>
      <c r="AI1366">
        <f>IF(ISNUMBER((1+V1366)*AI1365),(1+V1366)*AI1365,AI1365)</f>
        <v/>
      </c>
      <c r="AJ1366">
        <f>IF(ISNUMBER((1+Z1366)*AJ1365),(1+Z1366)*AJ1365,AJ1365)</f>
        <v/>
      </c>
    </row>
    <row r="1367">
      <c r="A1367" s="1" t="n">
        <v>43986</v>
      </c>
      <c r="B1367" s="3">
        <f>IF(ORIG!B1367=0,"",ORIG!B1367)</f>
        <v/>
      </c>
      <c r="C1367" s="3">
        <f>IF(ORIG!C1367=0,"",ORIG!C1367)</f>
        <v/>
      </c>
      <c r="D1367" s="3">
        <f>IF(ORIG!D1367=0,"",ORIG!D1367)</f>
        <v/>
      </c>
      <c r="E1367" s="3">
        <f>IF(ORIG!E1367=0,"",ORIG!E1367)</f>
        <v/>
      </c>
      <c r="F1367" s="3">
        <f>IF(ORIG!F1367=0,"",ORIG!F1367)</f>
        <v/>
      </c>
      <c r="G1367" s="3">
        <f>IF(ORIG!G1367=0,"",ORIG!G1367)</f>
        <v/>
      </c>
      <c r="H1367" s="3">
        <f>IF(ORIG!H1367=0,"",ORIG!H1367)</f>
        <v/>
      </c>
      <c r="I1367" s="3">
        <f>IF(ORIG!I1367=0,"",ORIG!I1367)</f>
        <v/>
      </c>
      <c r="J1367" s="3">
        <f>IF(ORIG!J1367=0,"",ORIG!J1367)</f>
        <v/>
      </c>
      <c r="K1367" s="3">
        <f>IF(ORIG!K1367=0,"",ORIG!K1367)</f>
        <v/>
      </c>
      <c r="L1367" s="3">
        <f>IF(ORIG!L1367=0,"",ORIG!L1367)</f>
        <v/>
      </c>
      <c r="M1367" s="3">
        <f>IF(ORIG!M1367=0,"",ORIG!M1367)</f>
        <v/>
      </c>
      <c r="N1367" s="3">
        <f>IF(ORIG!N1367=0,"",ORIG!N1367)</f>
        <v/>
      </c>
      <c r="O1367" s="3">
        <f>IF(ORIG!O1367=0,"",ORIG!O1367)</f>
        <v/>
      </c>
      <c r="P1367" s="3">
        <f>IF(ORIG!P1367=0,"",ORIG!P1367)</f>
        <v/>
      </c>
      <c r="Q1367" s="3">
        <f>IF(ORIG!Q1367=0,"",ORIG!Q1367)</f>
        <v/>
      </c>
      <c r="R1367" s="3">
        <f>IF(ORIG!R1367=0,"",ORIG!R1367)</f>
        <v/>
      </c>
      <c r="S1367" s="3">
        <f>IF(ORIG!S1367=0,"",ORIG!S1367)</f>
        <v/>
      </c>
      <c r="T1367" s="3">
        <f>IF(ORIG!T1367=0,"",ORIG!T1367)</f>
        <v/>
      </c>
      <c r="U1367" s="3">
        <f>IF(ORIG!U1367=0,"",ORIG!U1367)</f>
        <v/>
      </c>
      <c r="V1367" s="9">
        <f>IF(ORIG!V1367=0,"",ORIG!V1367)</f>
        <v/>
      </c>
      <c r="W1367" s="9">
        <f>IF(ORIG!W1367=0,"",ORIG!W1367)</f>
        <v/>
      </c>
      <c r="X1367" s="9">
        <f>IF(ORIG!X1367=0,"",ORIG!X1367)</f>
        <v/>
      </c>
      <c r="Y1367" s="9">
        <f>IF(ORIG!Y1367=0,"",ORIG!Y1367)</f>
        <v/>
      </c>
      <c r="Z1367" s="3">
        <f>SUMPRODUCT($B1367:$Y1367,$B$2649:$Y$2649)</f>
        <v/>
      </c>
      <c r="AA1367" s="3">
        <f>SUMPRODUCT($B1367:$Y1367,$B$2655:$Y$2655)</f>
        <v/>
      </c>
      <c r="AC1367" s="1">
        <f>A1367</f>
        <v/>
      </c>
      <c r="AD1367">
        <f>IF(ISNUMBER(V1367),V1367*($AB$1/V$2635),"")</f>
        <v/>
      </c>
      <c r="AE1367">
        <f>IF(ISNUMBER(Z1367),Z1367*($AB$1/Z$2635),"")</f>
        <v/>
      </c>
      <c r="AF1367" s="25">
        <f>IF(ISNUMBER(AD1367+AE1367),AD1367+AE1367,"")</f>
        <v/>
      </c>
      <c r="AH1367" s="1">
        <f>A1367</f>
        <v/>
      </c>
      <c r="AI1367">
        <f>IF(ISNUMBER((1+V1367)*AI1366),(1+V1367)*AI1366,AI1366)</f>
        <v/>
      </c>
      <c r="AJ1367">
        <f>IF(ISNUMBER((1+Z1367)*AJ1366),(1+Z1367)*AJ1366,AJ1366)</f>
        <v/>
      </c>
    </row>
    <row r="1368">
      <c r="A1368" s="1" t="n">
        <v>43987</v>
      </c>
      <c r="B1368" s="3">
        <f>IF(ORIG!B1368=0,"",ORIG!B1368)</f>
        <v/>
      </c>
      <c r="C1368" s="3">
        <f>IF(ORIG!C1368=0,"",ORIG!C1368)</f>
        <v/>
      </c>
      <c r="D1368" s="3">
        <f>IF(ORIG!D1368=0,"",ORIG!D1368)</f>
        <v/>
      </c>
      <c r="E1368" s="3">
        <f>IF(ORIG!E1368=0,"",ORIG!E1368)</f>
        <v/>
      </c>
      <c r="F1368" s="3">
        <f>IF(ORIG!F1368=0,"",ORIG!F1368)</f>
        <v/>
      </c>
      <c r="G1368" s="3">
        <f>IF(ORIG!G1368=0,"",ORIG!G1368)</f>
        <v/>
      </c>
      <c r="H1368" s="3">
        <f>IF(ORIG!H1368=0,"",ORIG!H1368)</f>
        <v/>
      </c>
      <c r="I1368" s="3">
        <f>IF(ORIG!I1368=0,"",ORIG!I1368)</f>
        <v/>
      </c>
      <c r="J1368" s="3">
        <f>IF(ORIG!J1368=0,"",ORIG!J1368)</f>
        <v/>
      </c>
      <c r="K1368" s="3">
        <f>IF(ORIG!K1368=0,"",ORIG!K1368)</f>
        <v/>
      </c>
      <c r="L1368" s="3">
        <f>IF(ORIG!L1368=0,"",ORIG!L1368)</f>
        <v/>
      </c>
      <c r="M1368" s="3">
        <f>IF(ORIG!M1368=0,"",ORIG!M1368)</f>
        <v/>
      </c>
      <c r="N1368" s="3">
        <f>IF(ORIG!N1368=0,"",ORIG!N1368)</f>
        <v/>
      </c>
      <c r="O1368" s="3">
        <f>IF(ORIG!O1368=0,"",ORIG!O1368)</f>
        <v/>
      </c>
      <c r="P1368" s="3">
        <f>IF(ORIG!P1368=0,"",ORIG!P1368)</f>
        <v/>
      </c>
      <c r="Q1368" s="3">
        <f>IF(ORIG!Q1368=0,"",ORIG!Q1368)</f>
        <v/>
      </c>
      <c r="R1368" s="3">
        <f>IF(ORIG!R1368=0,"",ORIG!R1368)</f>
        <v/>
      </c>
      <c r="S1368" s="3">
        <f>IF(ORIG!S1368=0,"",ORIG!S1368)</f>
        <v/>
      </c>
      <c r="T1368" s="3">
        <f>IF(ORIG!T1368=0,"",ORIG!T1368)</f>
        <v/>
      </c>
      <c r="U1368" s="3">
        <f>IF(ORIG!U1368=0,"",ORIG!U1368)</f>
        <v/>
      </c>
      <c r="V1368" s="9">
        <f>IF(ORIG!V1368=0,"",ORIG!V1368)</f>
        <v/>
      </c>
      <c r="W1368" s="9">
        <f>IF(ORIG!W1368=0,"",ORIG!W1368)</f>
        <v/>
      </c>
      <c r="X1368" s="9">
        <f>IF(ORIG!X1368=0,"",ORIG!X1368)</f>
        <v/>
      </c>
      <c r="Y1368" s="9">
        <f>IF(ORIG!Y1368=0,"",ORIG!Y1368)</f>
        <v/>
      </c>
      <c r="Z1368" s="3">
        <f>SUMPRODUCT($B1368:$Y1368,$B$2649:$Y$2649)</f>
        <v/>
      </c>
      <c r="AA1368" s="3">
        <f>SUMPRODUCT($B1368:$Y1368,$B$2655:$Y$2655)</f>
        <v/>
      </c>
      <c r="AC1368" s="1">
        <f>A1368</f>
        <v/>
      </c>
      <c r="AD1368">
        <f>IF(ISNUMBER(V1368),V1368*($AB$1/V$2635),"")</f>
        <v/>
      </c>
      <c r="AE1368">
        <f>IF(ISNUMBER(Z1368),Z1368*($AB$1/Z$2635),"")</f>
        <v/>
      </c>
      <c r="AF1368" s="25">
        <f>IF(ISNUMBER(AD1368+AE1368),AD1368+AE1368,"")</f>
        <v/>
      </c>
      <c r="AH1368" s="1">
        <f>A1368</f>
        <v/>
      </c>
      <c r="AI1368">
        <f>IF(ISNUMBER((1+V1368)*AI1367),(1+V1368)*AI1367,AI1367)</f>
        <v/>
      </c>
      <c r="AJ1368">
        <f>IF(ISNUMBER((1+Z1368)*AJ1367),(1+Z1368)*AJ1367,AJ1367)</f>
        <v/>
      </c>
    </row>
    <row r="1369">
      <c r="A1369" s="1" t="n">
        <v>43990</v>
      </c>
      <c r="B1369" s="3">
        <f>IF(ORIG!B1369=0,"",ORIG!B1369)</f>
        <v/>
      </c>
      <c r="C1369" s="3">
        <f>IF(ORIG!C1369=0,"",ORIG!C1369)</f>
        <v/>
      </c>
      <c r="D1369" s="3">
        <f>IF(ORIG!D1369=0,"",ORIG!D1369)</f>
        <v/>
      </c>
      <c r="E1369" s="3">
        <f>IF(ORIG!E1369=0,"",ORIG!E1369)</f>
        <v/>
      </c>
      <c r="F1369" s="3">
        <f>IF(ORIG!F1369=0,"",ORIG!F1369)</f>
        <v/>
      </c>
      <c r="G1369" s="3">
        <f>IF(ORIG!G1369=0,"",ORIG!G1369)</f>
        <v/>
      </c>
      <c r="H1369" s="3">
        <f>IF(ORIG!H1369=0,"",ORIG!H1369)</f>
        <v/>
      </c>
      <c r="I1369" s="3">
        <f>IF(ORIG!I1369=0,"",ORIG!I1369)</f>
        <v/>
      </c>
      <c r="J1369" s="3">
        <f>IF(ORIG!J1369=0,"",ORIG!J1369)</f>
        <v/>
      </c>
      <c r="K1369" s="3">
        <f>IF(ORIG!K1369=0,"",ORIG!K1369)</f>
        <v/>
      </c>
      <c r="L1369" s="3">
        <f>IF(ORIG!L1369=0,"",ORIG!L1369)</f>
        <v/>
      </c>
      <c r="M1369" s="3">
        <f>IF(ORIG!M1369=0,"",ORIG!M1369)</f>
        <v/>
      </c>
      <c r="N1369" s="3">
        <f>IF(ORIG!N1369=0,"",ORIG!N1369)</f>
        <v/>
      </c>
      <c r="O1369" s="3">
        <f>IF(ORIG!O1369=0,"",ORIG!O1369)</f>
        <v/>
      </c>
      <c r="P1369" s="3">
        <f>IF(ORIG!P1369=0,"",ORIG!P1369)</f>
        <v/>
      </c>
      <c r="Q1369" s="3">
        <f>IF(ORIG!Q1369=0,"",ORIG!Q1369)</f>
        <v/>
      </c>
      <c r="R1369" s="3">
        <f>IF(ORIG!R1369=0,"",ORIG!R1369)</f>
        <v/>
      </c>
      <c r="S1369" s="3">
        <f>IF(ORIG!S1369=0,"",ORIG!S1369)</f>
        <v/>
      </c>
      <c r="T1369" s="3">
        <f>IF(ORIG!T1369=0,"",ORIG!T1369)</f>
        <v/>
      </c>
      <c r="U1369" s="3">
        <f>IF(ORIG!U1369=0,"",ORIG!U1369)</f>
        <v/>
      </c>
      <c r="V1369" s="9">
        <f>IF(ORIG!V1369=0,"",ORIG!V1369)</f>
        <v/>
      </c>
      <c r="W1369" s="9">
        <f>IF(ORIG!W1369=0,"",ORIG!W1369)</f>
        <v/>
      </c>
      <c r="X1369" s="9">
        <f>IF(ORIG!X1369=0,"",ORIG!X1369)</f>
        <v/>
      </c>
      <c r="Y1369" s="9">
        <f>IF(ORIG!Y1369=0,"",ORIG!Y1369)</f>
        <v/>
      </c>
      <c r="Z1369" s="3">
        <f>SUMPRODUCT($B1369:$Y1369,$B$2649:$Y$2649)</f>
        <v/>
      </c>
      <c r="AA1369" s="3">
        <f>SUMPRODUCT($B1369:$Y1369,$B$2655:$Y$2655)</f>
        <v/>
      </c>
      <c r="AC1369" s="1">
        <f>A1369</f>
        <v/>
      </c>
      <c r="AD1369">
        <f>IF(ISNUMBER(V1369),V1369*($AB$1/V$2635),"")</f>
        <v/>
      </c>
      <c r="AE1369">
        <f>IF(ISNUMBER(Z1369),Z1369*($AB$1/Z$2635),"")</f>
        <v/>
      </c>
      <c r="AF1369" s="25">
        <f>IF(ISNUMBER(AD1369+AE1369),AD1369+AE1369,"")</f>
        <v/>
      </c>
      <c r="AH1369" s="1">
        <f>A1369</f>
        <v/>
      </c>
      <c r="AI1369">
        <f>IF(ISNUMBER((1+V1369)*AI1368),(1+V1369)*AI1368,AI1368)</f>
        <v/>
      </c>
      <c r="AJ1369">
        <f>IF(ISNUMBER((1+Z1369)*AJ1368),(1+Z1369)*AJ1368,AJ1368)</f>
        <v/>
      </c>
    </row>
    <row r="1370">
      <c r="A1370" s="1" t="n">
        <v>43991</v>
      </c>
      <c r="B1370" s="3">
        <f>IF(ORIG!B1370=0,"",ORIG!B1370)</f>
        <v/>
      </c>
      <c r="C1370" s="3">
        <f>IF(ORIG!C1370=0,"",ORIG!C1370)</f>
        <v/>
      </c>
      <c r="D1370" s="3">
        <f>IF(ORIG!D1370=0,"",ORIG!D1370)</f>
        <v/>
      </c>
      <c r="E1370" s="3">
        <f>IF(ORIG!E1370=0,"",ORIG!E1370)</f>
        <v/>
      </c>
      <c r="F1370" s="3">
        <f>IF(ORIG!F1370=0,"",ORIG!F1370)</f>
        <v/>
      </c>
      <c r="G1370" s="3">
        <f>IF(ORIG!G1370=0,"",ORIG!G1370)</f>
        <v/>
      </c>
      <c r="H1370" s="3">
        <f>IF(ORIG!H1370=0,"",ORIG!H1370)</f>
        <v/>
      </c>
      <c r="I1370" s="3">
        <f>IF(ORIG!I1370=0,"",ORIG!I1370)</f>
        <v/>
      </c>
      <c r="J1370" s="3">
        <f>IF(ORIG!J1370=0,"",ORIG!J1370)</f>
        <v/>
      </c>
      <c r="K1370" s="3">
        <f>IF(ORIG!K1370=0,"",ORIG!K1370)</f>
        <v/>
      </c>
      <c r="L1370" s="3">
        <f>IF(ORIG!L1370=0,"",ORIG!L1370)</f>
        <v/>
      </c>
      <c r="M1370" s="3">
        <f>IF(ORIG!M1370=0,"",ORIG!M1370)</f>
        <v/>
      </c>
      <c r="N1370" s="3">
        <f>IF(ORIG!N1370=0,"",ORIG!N1370)</f>
        <v/>
      </c>
      <c r="O1370" s="3">
        <f>IF(ORIG!O1370=0,"",ORIG!O1370)</f>
        <v/>
      </c>
      <c r="P1370" s="3">
        <f>IF(ORIG!P1370=0,"",ORIG!P1370)</f>
        <v/>
      </c>
      <c r="Q1370" s="3">
        <f>IF(ORIG!Q1370=0,"",ORIG!Q1370)</f>
        <v/>
      </c>
      <c r="R1370" s="3">
        <f>IF(ORIG!R1370=0,"",ORIG!R1370)</f>
        <v/>
      </c>
      <c r="S1370" s="3">
        <f>IF(ORIG!S1370=0,"",ORIG!S1370)</f>
        <v/>
      </c>
      <c r="T1370" s="3">
        <f>IF(ORIG!T1370=0,"",ORIG!T1370)</f>
        <v/>
      </c>
      <c r="U1370" s="3">
        <f>IF(ORIG!U1370=0,"",ORIG!U1370)</f>
        <v/>
      </c>
      <c r="V1370" s="9">
        <f>IF(ORIG!V1370=0,"",ORIG!V1370)</f>
        <v/>
      </c>
      <c r="W1370" s="9">
        <f>IF(ORIG!W1370=0,"",ORIG!W1370)</f>
        <v/>
      </c>
      <c r="X1370" s="9">
        <f>IF(ORIG!X1370=0,"",ORIG!X1370)</f>
        <v/>
      </c>
      <c r="Y1370" s="9">
        <f>IF(ORIG!Y1370=0,"",ORIG!Y1370)</f>
        <v/>
      </c>
      <c r="Z1370" s="3">
        <f>SUMPRODUCT($B1370:$Y1370,$B$2649:$Y$2649)</f>
        <v/>
      </c>
      <c r="AA1370" s="3">
        <f>SUMPRODUCT($B1370:$Y1370,$B$2655:$Y$2655)</f>
        <v/>
      </c>
      <c r="AC1370" s="1">
        <f>A1370</f>
        <v/>
      </c>
      <c r="AD1370">
        <f>IF(ISNUMBER(V1370),V1370*($AB$1/V$2635),"")</f>
        <v/>
      </c>
      <c r="AE1370">
        <f>IF(ISNUMBER(Z1370),Z1370*($AB$1/Z$2635),"")</f>
        <v/>
      </c>
      <c r="AF1370" s="25">
        <f>IF(ISNUMBER(AD1370+AE1370),AD1370+AE1370,"")</f>
        <v/>
      </c>
      <c r="AH1370" s="1">
        <f>A1370</f>
        <v/>
      </c>
      <c r="AI1370">
        <f>IF(ISNUMBER((1+V1370)*AI1369),(1+V1370)*AI1369,AI1369)</f>
        <v/>
      </c>
      <c r="AJ1370">
        <f>IF(ISNUMBER((1+Z1370)*AJ1369),(1+Z1370)*AJ1369,AJ1369)</f>
        <v/>
      </c>
    </row>
    <row r="1371">
      <c r="A1371" s="1" t="n">
        <v>43992</v>
      </c>
      <c r="B1371" s="3">
        <f>IF(ORIG!B1371=0,"",ORIG!B1371)</f>
        <v/>
      </c>
      <c r="C1371" s="3">
        <f>IF(ORIG!C1371=0,"",ORIG!C1371)</f>
        <v/>
      </c>
      <c r="D1371" s="3">
        <f>IF(ORIG!D1371=0,"",ORIG!D1371)</f>
        <v/>
      </c>
      <c r="E1371" s="3">
        <f>IF(ORIG!E1371=0,"",ORIG!E1371)</f>
        <v/>
      </c>
      <c r="F1371" s="3">
        <f>IF(ORIG!F1371=0,"",ORIG!F1371)</f>
        <v/>
      </c>
      <c r="G1371" s="3">
        <f>IF(ORIG!G1371=0,"",ORIG!G1371)</f>
        <v/>
      </c>
      <c r="H1371" s="3">
        <f>IF(ORIG!H1371=0,"",ORIG!H1371)</f>
        <v/>
      </c>
      <c r="I1371" s="3">
        <f>IF(ORIG!I1371=0,"",ORIG!I1371)</f>
        <v/>
      </c>
      <c r="J1371" s="3">
        <f>IF(ORIG!J1371=0,"",ORIG!J1371)</f>
        <v/>
      </c>
      <c r="K1371" s="3">
        <f>IF(ORIG!K1371=0,"",ORIG!K1371)</f>
        <v/>
      </c>
      <c r="L1371" s="3">
        <f>IF(ORIG!L1371=0,"",ORIG!L1371)</f>
        <v/>
      </c>
      <c r="M1371" s="3">
        <f>IF(ORIG!M1371=0,"",ORIG!M1371)</f>
        <v/>
      </c>
      <c r="N1371" s="3">
        <f>IF(ORIG!N1371=0,"",ORIG!N1371)</f>
        <v/>
      </c>
      <c r="O1371" s="3">
        <f>IF(ORIG!O1371=0,"",ORIG!O1371)</f>
        <v/>
      </c>
      <c r="P1371" s="3">
        <f>IF(ORIG!P1371=0,"",ORIG!P1371)</f>
        <v/>
      </c>
      <c r="Q1371" s="3">
        <f>IF(ORIG!Q1371=0,"",ORIG!Q1371)</f>
        <v/>
      </c>
      <c r="R1371" s="3">
        <f>IF(ORIG!R1371=0,"",ORIG!R1371)</f>
        <v/>
      </c>
      <c r="S1371" s="3">
        <f>IF(ORIG!S1371=0,"",ORIG!S1371)</f>
        <v/>
      </c>
      <c r="T1371" s="3">
        <f>IF(ORIG!T1371=0,"",ORIG!T1371)</f>
        <v/>
      </c>
      <c r="U1371" s="3">
        <f>IF(ORIG!U1371=0,"",ORIG!U1371)</f>
        <v/>
      </c>
      <c r="V1371" s="9">
        <f>IF(ORIG!V1371=0,"",ORIG!V1371)</f>
        <v/>
      </c>
      <c r="W1371" s="9">
        <f>IF(ORIG!W1371=0,"",ORIG!W1371)</f>
        <v/>
      </c>
      <c r="X1371" s="9">
        <f>IF(ORIG!X1371=0,"",ORIG!X1371)</f>
        <v/>
      </c>
      <c r="Y1371" s="9">
        <f>IF(ORIG!Y1371=0,"",ORIG!Y1371)</f>
        <v/>
      </c>
      <c r="Z1371" s="3">
        <f>SUMPRODUCT($B1371:$Y1371,$B$2649:$Y$2649)</f>
        <v/>
      </c>
      <c r="AA1371" s="3">
        <f>SUMPRODUCT($B1371:$Y1371,$B$2655:$Y$2655)</f>
        <v/>
      </c>
      <c r="AC1371" s="1">
        <f>A1371</f>
        <v/>
      </c>
      <c r="AD1371">
        <f>IF(ISNUMBER(V1371),V1371*($AB$1/V$2635),"")</f>
        <v/>
      </c>
      <c r="AE1371">
        <f>IF(ISNUMBER(Z1371),Z1371*($AB$1/Z$2635),"")</f>
        <v/>
      </c>
      <c r="AF1371" s="25">
        <f>IF(ISNUMBER(AD1371+AE1371),AD1371+AE1371,"")</f>
        <v/>
      </c>
      <c r="AH1371" s="1">
        <f>A1371</f>
        <v/>
      </c>
      <c r="AI1371">
        <f>IF(ISNUMBER((1+V1371)*AI1370),(1+V1371)*AI1370,AI1370)</f>
        <v/>
      </c>
      <c r="AJ1371">
        <f>IF(ISNUMBER((1+Z1371)*AJ1370),(1+Z1371)*AJ1370,AJ1370)</f>
        <v/>
      </c>
    </row>
    <row r="1372">
      <c r="A1372" s="1" t="n">
        <v>43993</v>
      </c>
      <c r="B1372" s="3">
        <f>IF(ORIG!B1372=0,"",ORIG!B1372)</f>
        <v/>
      </c>
      <c r="C1372" s="3">
        <f>IF(ORIG!C1372=0,"",ORIG!C1372)</f>
        <v/>
      </c>
      <c r="D1372" s="3">
        <f>IF(ORIG!D1372=0,"",ORIG!D1372)</f>
        <v/>
      </c>
      <c r="E1372" s="3">
        <f>IF(ORIG!E1372=0,"",ORIG!E1372)</f>
        <v/>
      </c>
      <c r="F1372" s="3">
        <f>IF(ORIG!F1372=0,"",ORIG!F1372)</f>
        <v/>
      </c>
      <c r="G1372" s="3">
        <f>IF(ORIG!G1372=0,"",ORIG!G1372)</f>
        <v/>
      </c>
      <c r="H1372" s="3">
        <f>IF(ORIG!H1372=0,"",ORIG!H1372)</f>
        <v/>
      </c>
      <c r="I1372" s="3">
        <f>IF(ORIG!I1372=0,"",ORIG!I1372)</f>
        <v/>
      </c>
      <c r="J1372" s="3">
        <f>IF(ORIG!J1372=0,"",ORIG!J1372)</f>
        <v/>
      </c>
      <c r="K1372" s="3">
        <f>IF(ORIG!K1372=0,"",ORIG!K1372)</f>
        <v/>
      </c>
      <c r="L1372" s="3">
        <f>IF(ORIG!L1372=0,"",ORIG!L1372)</f>
        <v/>
      </c>
      <c r="M1372" s="3">
        <f>IF(ORIG!M1372=0,"",ORIG!M1372)</f>
        <v/>
      </c>
      <c r="N1372" s="3">
        <f>IF(ORIG!N1372=0,"",ORIG!N1372)</f>
        <v/>
      </c>
      <c r="O1372" s="3">
        <f>IF(ORIG!O1372=0,"",ORIG!O1372)</f>
        <v/>
      </c>
      <c r="P1372" s="3">
        <f>IF(ORIG!P1372=0,"",ORIG!P1372)</f>
        <v/>
      </c>
      <c r="Q1372" s="3">
        <f>IF(ORIG!Q1372=0,"",ORIG!Q1372)</f>
        <v/>
      </c>
      <c r="R1372" s="3">
        <f>IF(ORIG!R1372=0,"",ORIG!R1372)</f>
        <v/>
      </c>
      <c r="S1372" s="3">
        <f>IF(ORIG!S1372=0,"",ORIG!S1372)</f>
        <v/>
      </c>
      <c r="T1372" s="3">
        <f>IF(ORIG!T1372=0,"",ORIG!T1372)</f>
        <v/>
      </c>
      <c r="U1372" s="3">
        <f>IF(ORIG!U1372=0,"",ORIG!U1372)</f>
        <v/>
      </c>
      <c r="V1372" s="9">
        <f>IF(ORIG!V1372=0,"",ORIG!V1372)</f>
        <v/>
      </c>
      <c r="W1372" s="9">
        <f>IF(ORIG!W1372=0,"",ORIG!W1372)</f>
        <v/>
      </c>
      <c r="X1372" s="9">
        <f>IF(ORIG!X1372=0,"",ORIG!X1372)</f>
        <v/>
      </c>
      <c r="Y1372" s="9">
        <f>IF(ORIG!Y1372=0,"",ORIG!Y1372)</f>
        <v/>
      </c>
      <c r="Z1372" s="3">
        <f>SUMPRODUCT($B1372:$Y1372,$B$2649:$Y$2649)</f>
        <v/>
      </c>
      <c r="AA1372" s="3">
        <f>SUMPRODUCT($B1372:$Y1372,$B$2655:$Y$2655)</f>
        <v/>
      </c>
      <c r="AC1372" s="1">
        <f>A1372</f>
        <v/>
      </c>
      <c r="AD1372">
        <f>IF(ISNUMBER(V1372),V1372*($AB$1/V$2635),"")</f>
        <v/>
      </c>
      <c r="AE1372">
        <f>IF(ISNUMBER(Z1372),Z1372*($AB$1/Z$2635),"")</f>
        <v/>
      </c>
      <c r="AF1372" s="25">
        <f>IF(ISNUMBER(AD1372+AE1372),AD1372+AE1372,"")</f>
        <v/>
      </c>
      <c r="AH1372" s="1">
        <f>A1372</f>
        <v/>
      </c>
      <c r="AI1372">
        <f>IF(ISNUMBER((1+V1372)*AI1371),(1+V1372)*AI1371,AI1371)</f>
        <v/>
      </c>
      <c r="AJ1372">
        <f>IF(ISNUMBER((1+Z1372)*AJ1371),(1+Z1372)*AJ1371,AJ1371)</f>
        <v/>
      </c>
    </row>
    <row r="1373">
      <c r="A1373" s="1" t="n">
        <v>43994</v>
      </c>
      <c r="B1373" s="3">
        <f>IF(ORIG!B1373=0,"",ORIG!B1373)</f>
        <v/>
      </c>
      <c r="C1373" s="3">
        <f>IF(ORIG!C1373=0,"",ORIG!C1373)</f>
        <v/>
      </c>
      <c r="D1373" s="3">
        <f>IF(ORIG!D1373=0,"",ORIG!D1373)</f>
        <v/>
      </c>
      <c r="E1373" s="3">
        <f>IF(ORIG!E1373=0,"",ORIG!E1373)</f>
        <v/>
      </c>
      <c r="F1373" s="3">
        <f>IF(ORIG!F1373=0,"",ORIG!F1373)</f>
        <v/>
      </c>
      <c r="G1373" s="3">
        <f>IF(ORIG!G1373=0,"",ORIG!G1373)</f>
        <v/>
      </c>
      <c r="H1373" s="3">
        <f>IF(ORIG!H1373=0,"",ORIG!H1373)</f>
        <v/>
      </c>
      <c r="I1373" s="3">
        <f>IF(ORIG!I1373=0,"",ORIG!I1373)</f>
        <v/>
      </c>
      <c r="J1373" s="3">
        <f>IF(ORIG!J1373=0,"",ORIG!J1373)</f>
        <v/>
      </c>
      <c r="K1373" s="3">
        <f>IF(ORIG!K1373=0,"",ORIG!K1373)</f>
        <v/>
      </c>
      <c r="L1373" s="3">
        <f>IF(ORIG!L1373=0,"",ORIG!L1373)</f>
        <v/>
      </c>
      <c r="M1373" s="3">
        <f>IF(ORIG!M1373=0,"",ORIG!M1373)</f>
        <v/>
      </c>
      <c r="N1373" s="3">
        <f>IF(ORIG!N1373=0,"",ORIG!N1373)</f>
        <v/>
      </c>
      <c r="O1373" s="3">
        <f>IF(ORIG!O1373=0,"",ORIG!O1373)</f>
        <v/>
      </c>
      <c r="P1373" s="3">
        <f>IF(ORIG!P1373=0,"",ORIG!P1373)</f>
        <v/>
      </c>
      <c r="Q1373" s="3">
        <f>IF(ORIG!Q1373=0,"",ORIG!Q1373)</f>
        <v/>
      </c>
      <c r="R1373" s="3">
        <f>IF(ORIG!R1373=0,"",ORIG!R1373)</f>
        <v/>
      </c>
      <c r="S1373" s="3">
        <f>IF(ORIG!S1373=0,"",ORIG!S1373)</f>
        <v/>
      </c>
      <c r="T1373" s="3">
        <f>IF(ORIG!T1373=0,"",ORIG!T1373)</f>
        <v/>
      </c>
      <c r="U1373" s="3">
        <f>IF(ORIG!U1373=0,"",ORIG!U1373)</f>
        <v/>
      </c>
      <c r="V1373" s="9">
        <f>IF(ORIG!V1373=0,"",ORIG!V1373)</f>
        <v/>
      </c>
      <c r="W1373" s="9">
        <f>IF(ORIG!W1373=0,"",ORIG!W1373)</f>
        <v/>
      </c>
      <c r="X1373" s="9">
        <f>IF(ORIG!X1373=0,"",ORIG!X1373)</f>
        <v/>
      </c>
      <c r="Y1373" s="9">
        <f>IF(ORIG!Y1373=0,"",ORIG!Y1373)</f>
        <v/>
      </c>
      <c r="Z1373" s="3">
        <f>SUMPRODUCT($B1373:$Y1373,$B$2649:$Y$2649)</f>
        <v/>
      </c>
      <c r="AA1373" s="3">
        <f>SUMPRODUCT($B1373:$Y1373,$B$2655:$Y$2655)</f>
        <v/>
      </c>
      <c r="AC1373" s="1">
        <f>A1373</f>
        <v/>
      </c>
      <c r="AD1373">
        <f>IF(ISNUMBER(V1373),V1373*($AB$1/V$2635),"")</f>
        <v/>
      </c>
      <c r="AE1373">
        <f>IF(ISNUMBER(Z1373),Z1373*($AB$1/Z$2635),"")</f>
        <v/>
      </c>
      <c r="AF1373" s="25">
        <f>IF(ISNUMBER(AD1373+AE1373),AD1373+AE1373,"")</f>
        <v/>
      </c>
      <c r="AH1373" s="1">
        <f>A1373</f>
        <v/>
      </c>
      <c r="AI1373">
        <f>IF(ISNUMBER((1+V1373)*AI1372),(1+V1373)*AI1372,AI1372)</f>
        <v/>
      </c>
      <c r="AJ1373">
        <f>IF(ISNUMBER((1+Z1373)*AJ1372),(1+Z1373)*AJ1372,AJ1372)</f>
        <v/>
      </c>
    </row>
    <row r="1374">
      <c r="A1374" s="1" t="n">
        <v>43997</v>
      </c>
      <c r="B1374" s="3">
        <f>IF(ORIG!B1374=0,"",ORIG!B1374)</f>
        <v/>
      </c>
      <c r="C1374" s="3">
        <f>IF(ORIG!C1374=0,"",ORIG!C1374)</f>
        <v/>
      </c>
      <c r="D1374" s="3">
        <f>IF(ORIG!D1374=0,"",ORIG!D1374)</f>
        <v/>
      </c>
      <c r="E1374" s="3">
        <f>IF(ORIG!E1374=0,"",ORIG!E1374)</f>
        <v/>
      </c>
      <c r="F1374" s="3">
        <f>IF(ORIG!F1374=0,"",ORIG!F1374)</f>
        <v/>
      </c>
      <c r="G1374" s="3">
        <f>IF(ORIG!G1374=0,"",ORIG!G1374)</f>
        <v/>
      </c>
      <c r="H1374" s="3">
        <f>IF(ORIG!H1374=0,"",ORIG!H1374)</f>
        <v/>
      </c>
      <c r="I1374" s="3">
        <f>IF(ORIG!I1374=0,"",ORIG!I1374)</f>
        <v/>
      </c>
      <c r="J1374" s="3">
        <f>IF(ORIG!J1374=0,"",ORIG!J1374)</f>
        <v/>
      </c>
      <c r="K1374" s="3">
        <f>IF(ORIG!K1374=0,"",ORIG!K1374)</f>
        <v/>
      </c>
      <c r="L1374" s="3">
        <f>IF(ORIG!L1374=0,"",ORIG!L1374)</f>
        <v/>
      </c>
      <c r="M1374" s="3">
        <f>IF(ORIG!M1374=0,"",ORIG!M1374)</f>
        <v/>
      </c>
      <c r="N1374" s="3">
        <f>IF(ORIG!N1374=0,"",ORIG!N1374)</f>
        <v/>
      </c>
      <c r="O1374" s="3">
        <f>IF(ORIG!O1374=0,"",ORIG!O1374)</f>
        <v/>
      </c>
      <c r="P1374" s="3">
        <f>IF(ORIG!P1374=0,"",ORIG!P1374)</f>
        <v/>
      </c>
      <c r="Q1374" s="3">
        <f>IF(ORIG!Q1374=0,"",ORIG!Q1374)</f>
        <v/>
      </c>
      <c r="R1374" s="3">
        <f>IF(ORIG!R1374=0,"",ORIG!R1374)</f>
        <v/>
      </c>
      <c r="S1374" s="3">
        <f>IF(ORIG!S1374=0,"",ORIG!S1374)</f>
        <v/>
      </c>
      <c r="T1374" s="3">
        <f>IF(ORIG!T1374=0,"",ORIG!T1374)</f>
        <v/>
      </c>
      <c r="U1374" s="3">
        <f>IF(ORIG!U1374=0,"",ORIG!U1374)</f>
        <v/>
      </c>
      <c r="V1374" s="9">
        <f>IF(ORIG!V1374=0,"",ORIG!V1374)</f>
        <v/>
      </c>
      <c r="W1374" s="9">
        <f>IF(ORIG!W1374=0,"",ORIG!W1374)</f>
        <v/>
      </c>
      <c r="X1374" s="9">
        <f>IF(ORIG!X1374=0,"",ORIG!X1374)</f>
        <v/>
      </c>
      <c r="Y1374" s="9">
        <f>IF(ORIG!Y1374=0,"",ORIG!Y1374)</f>
        <v/>
      </c>
      <c r="Z1374" s="3">
        <f>SUMPRODUCT($B1374:$Y1374,$B$2649:$Y$2649)</f>
        <v/>
      </c>
      <c r="AA1374" s="3">
        <f>SUMPRODUCT($B1374:$Y1374,$B$2655:$Y$2655)</f>
        <v/>
      </c>
      <c r="AC1374" s="1">
        <f>A1374</f>
        <v/>
      </c>
      <c r="AD1374">
        <f>IF(ISNUMBER(V1374),V1374*($AB$1/V$2635),"")</f>
        <v/>
      </c>
      <c r="AE1374">
        <f>IF(ISNUMBER(Z1374),Z1374*($AB$1/Z$2635),"")</f>
        <v/>
      </c>
      <c r="AF1374" s="25">
        <f>IF(ISNUMBER(AD1374+AE1374),AD1374+AE1374,"")</f>
        <v/>
      </c>
      <c r="AH1374" s="1">
        <f>A1374</f>
        <v/>
      </c>
      <c r="AI1374">
        <f>IF(ISNUMBER((1+V1374)*AI1373),(1+V1374)*AI1373,AI1373)</f>
        <v/>
      </c>
      <c r="AJ1374">
        <f>IF(ISNUMBER((1+Z1374)*AJ1373),(1+Z1374)*AJ1373,AJ1373)</f>
        <v/>
      </c>
    </row>
    <row r="1375">
      <c r="A1375" s="1" t="n">
        <v>43998</v>
      </c>
      <c r="B1375" s="3">
        <f>IF(ORIG!B1375=0,"",ORIG!B1375)</f>
        <v/>
      </c>
      <c r="C1375" s="3">
        <f>IF(ORIG!C1375=0,"",ORIG!C1375)</f>
        <v/>
      </c>
      <c r="D1375" s="3">
        <f>IF(ORIG!D1375=0,"",ORIG!D1375)</f>
        <v/>
      </c>
      <c r="E1375" s="3">
        <f>IF(ORIG!E1375=0,"",ORIG!E1375)</f>
        <v/>
      </c>
      <c r="F1375" s="3">
        <f>IF(ORIG!F1375=0,"",ORIG!F1375)</f>
        <v/>
      </c>
      <c r="G1375" s="3">
        <f>IF(ORIG!G1375=0,"",ORIG!G1375)</f>
        <v/>
      </c>
      <c r="H1375" s="3">
        <f>IF(ORIG!H1375=0,"",ORIG!H1375)</f>
        <v/>
      </c>
      <c r="I1375" s="3">
        <f>IF(ORIG!I1375=0,"",ORIG!I1375)</f>
        <v/>
      </c>
      <c r="J1375" s="3">
        <f>IF(ORIG!J1375=0,"",ORIG!J1375)</f>
        <v/>
      </c>
      <c r="K1375" s="3">
        <f>IF(ORIG!K1375=0,"",ORIG!K1375)</f>
        <v/>
      </c>
      <c r="L1375" s="3">
        <f>IF(ORIG!L1375=0,"",ORIG!L1375)</f>
        <v/>
      </c>
      <c r="M1375" s="3">
        <f>IF(ORIG!M1375=0,"",ORIG!M1375)</f>
        <v/>
      </c>
      <c r="N1375" s="3">
        <f>IF(ORIG!N1375=0,"",ORIG!N1375)</f>
        <v/>
      </c>
      <c r="O1375" s="3">
        <f>IF(ORIG!O1375=0,"",ORIG!O1375)</f>
        <v/>
      </c>
      <c r="P1375" s="3">
        <f>IF(ORIG!P1375=0,"",ORIG!P1375)</f>
        <v/>
      </c>
      <c r="Q1375" s="3">
        <f>IF(ORIG!Q1375=0,"",ORIG!Q1375)</f>
        <v/>
      </c>
      <c r="R1375" s="3">
        <f>IF(ORIG!R1375=0,"",ORIG!R1375)</f>
        <v/>
      </c>
      <c r="S1375" s="3">
        <f>IF(ORIG!S1375=0,"",ORIG!S1375)</f>
        <v/>
      </c>
      <c r="T1375" s="3">
        <f>IF(ORIG!T1375=0,"",ORIG!T1375)</f>
        <v/>
      </c>
      <c r="U1375" s="3">
        <f>IF(ORIG!U1375=0,"",ORIG!U1375)</f>
        <v/>
      </c>
      <c r="V1375" s="9">
        <f>IF(ORIG!V1375=0,"",ORIG!V1375)</f>
        <v/>
      </c>
      <c r="W1375" s="9">
        <f>IF(ORIG!W1375=0,"",ORIG!W1375)</f>
        <v/>
      </c>
      <c r="X1375" s="9">
        <f>IF(ORIG!X1375=0,"",ORIG!X1375)</f>
        <v/>
      </c>
      <c r="Y1375" s="9">
        <f>IF(ORIG!Y1375=0,"",ORIG!Y1375)</f>
        <v/>
      </c>
      <c r="Z1375" s="3">
        <f>SUMPRODUCT($B1375:$Y1375,$B$2649:$Y$2649)</f>
        <v/>
      </c>
      <c r="AA1375" s="3">
        <f>SUMPRODUCT($B1375:$Y1375,$B$2655:$Y$2655)</f>
        <v/>
      </c>
      <c r="AC1375" s="1">
        <f>A1375</f>
        <v/>
      </c>
      <c r="AD1375">
        <f>IF(ISNUMBER(V1375),V1375*($AB$1/V$2635),"")</f>
        <v/>
      </c>
      <c r="AE1375">
        <f>IF(ISNUMBER(Z1375),Z1375*($AB$1/Z$2635),"")</f>
        <v/>
      </c>
      <c r="AF1375" s="25">
        <f>IF(ISNUMBER(AD1375+AE1375),AD1375+AE1375,"")</f>
        <v/>
      </c>
      <c r="AH1375" s="1">
        <f>A1375</f>
        <v/>
      </c>
      <c r="AI1375">
        <f>IF(ISNUMBER((1+V1375)*AI1374),(1+V1375)*AI1374,AI1374)</f>
        <v/>
      </c>
      <c r="AJ1375">
        <f>IF(ISNUMBER((1+Z1375)*AJ1374),(1+Z1375)*AJ1374,AJ1374)</f>
        <v/>
      </c>
    </row>
    <row r="1376">
      <c r="A1376" s="1" t="n">
        <v>43999</v>
      </c>
      <c r="B1376" s="3">
        <f>IF(ORIG!B1376=0,"",ORIG!B1376)</f>
        <v/>
      </c>
      <c r="C1376" s="3">
        <f>IF(ORIG!C1376=0,"",ORIG!C1376)</f>
        <v/>
      </c>
      <c r="D1376" s="3">
        <f>IF(ORIG!D1376=0,"",ORIG!D1376)</f>
        <v/>
      </c>
      <c r="E1376" s="3">
        <f>IF(ORIG!E1376=0,"",ORIG!E1376)</f>
        <v/>
      </c>
      <c r="F1376" s="3">
        <f>IF(ORIG!F1376=0,"",ORIG!F1376)</f>
        <v/>
      </c>
      <c r="G1376" s="3">
        <f>IF(ORIG!G1376=0,"",ORIG!G1376)</f>
        <v/>
      </c>
      <c r="H1376" s="3">
        <f>IF(ORIG!H1376=0,"",ORIG!H1376)</f>
        <v/>
      </c>
      <c r="I1376" s="3">
        <f>IF(ORIG!I1376=0,"",ORIG!I1376)</f>
        <v/>
      </c>
      <c r="J1376" s="3">
        <f>IF(ORIG!J1376=0,"",ORIG!J1376)</f>
        <v/>
      </c>
      <c r="K1376" s="3">
        <f>IF(ORIG!K1376=0,"",ORIG!K1376)</f>
        <v/>
      </c>
      <c r="L1376" s="3">
        <f>IF(ORIG!L1376=0,"",ORIG!L1376)</f>
        <v/>
      </c>
      <c r="M1376" s="3">
        <f>IF(ORIG!M1376=0,"",ORIG!M1376)</f>
        <v/>
      </c>
      <c r="N1376" s="3">
        <f>IF(ORIG!N1376=0,"",ORIG!N1376)</f>
        <v/>
      </c>
      <c r="O1376" s="3">
        <f>IF(ORIG!O1376=0,"",ORIG!O1376)</f>
        <v/>
      </c>
      <c r="P1376" s="3">
        <f>IF(ORIG!P1376=0,"",ORIG!P1376)</f>
        <v/>
      </c>
      <c r="Q1376" s="3">
        <f>IF(ORIG!Q1376=0,"",ORIG!Q1376)</f>
        <v/>
      </c>
      <c r="R1376" s="3">
        <f>IF(ORIG!R1376=0,"",ORIG!R1376)</f>
        <v/>
      </c>
      <c r="S1376" s="3">
        <f>IF(ORIG!S1376=0,"",ORIG!S1376)</f>
        <v/>
      </c>
      <c r="T1376" s="3">
        <f>IF(ORIG!T1376=0,"",ORIG!T1376)</f>
        <v/>
      </c>
      <c r="U1376" s="3">
        <f>IF(ORIG!U1376=0,"",ORIG!U1376)</f>
        <v/>
      </c>
      <c r="V1376" s="9">
        <f>IF(ORIG!V1376=0,"",ORIG!V1376)</f>
        <v/>
      </c>
      <c r="W1376" s="9">
        <f>IF(ORIG!W1376=0,"",ORIG!W1376)</f>
        <v/>
      </c>
      <c r="X1376" s="9">
        <f>IF(ORIG!X1376=0,"",ORIG!X1376)</f>
        <v/>
      </c>
      <c r="Y1376" s="9">
        <f>IF(ORIG!Y1376=0,"",ORIG!Y1376)</f>
        <v/>
      </c>
      <c r="Z1376" s="3">
        <f>SUMPRODUCT($B1376:$Y1376,$B$2649:$Y$2649)</f>
        <v/>
      </c>
      <c r="AA1376" s="3">
        <f>SUMPRODUCT($B1376:$Y1376,$B$2655:$Y$2655)</f>
        <v/>
      </c>
      <c r="AC1376" s="1">
        <f>A1376</f>
        <v/>
      </c>
      <c r="AD1376">
        <f>IF(ISNUMBER(V1376),V1376*($AB$1/V$2635),"")</f>
        <v/>
      </c>
      <c r="AE1376">
        <f>IF(ISNUMBER(Z1376),Z1376*($AB$1/Z$2635),"")</f>
        <v/>
      </c>
      <c r="AF1376" s="25">
        <f>IF(ISNUMBER(AD1376+AE1376),AD1376+AE1376,"")</f>
        <v/>
      </c>
      <c r="AH1376" s="1">
        <f>A1376</f>
        <v/>
      </c>
      <c r="AI1376">
        <f>IF(ISNUMBER((1+V1376)*AI1375),(1+V1376)*AI1375,AI1375)</f>
        <v/>
      </c>
      <c r="AJ1376">
        <f>IF(ISNUMBER((1+Z1376)*AJ1375),(1+Z1376)*AJ1375,AJ1375)</f>
        <v/>
      </c>
    </row>
    <row r="1377">
      <c r="A1377" s="1" t="n">
        <v>44000</v>
      </c>
      <c r="B1377" s="3">
        <f>IF(ORIG!B1377=0,"",ORIG!B1377)</f>
        <v/>
      </c>
      <c r="C1377" s="3">
        <f>IF(ORIG!C1377=0,"",ORIG!C1377)</f>
        <v/>
      </c>
      <c r="D1377" s="3">
        <f>IF(ORIG!D1377=0,"",ORIG!D1377)</f>
        <v/>
      </c>
      <c r="E1377" s="3">
        <f>IF(ORIG!E1377=0,"",ORIG!E1377)</f>
        <v/>
      </c>
      <c r="F1377" s="3">
        <f>IF(ORIG!F1377=0,"",ORIG!F1377)</f>
        <v/>
      </c>
      <c r="G1377" s="3">
        <f>IF(ORIG!G1377=0,"",ORIG!G1377)</f>
        <v/>
      </c>
      <c r="H1377" s="3">
        <f>IF(ORIG!H1377=0,"",ORIG!H1377)</f>
        <v/>
      </c>
      <c r="I1377" s="3">
        <f>IF(ORIG!I1377=0,"",ORIG!I1377)</f>
        <v/>
      </c>
      <c r="J1377" s="3">
        <f>IF(ORIG!J1377=0,"",ORIG!J1377)</f>
        <v/>
      </c>
      <c r="K1377" s="3">
        <f>IF(ORIG!K1377=0,"",ORIG!K1377)</f>
        <v/>
      </c>
      <c r="L1377" s="3">
        <f>IF(ORIG!L1377=0,"",ORIG!L1377)</f>
        <v/>
      </c>
      <c r="M1377" s="3">
        <f>IF(ORIG!M1377=0,"",ORIG!M1377)</f>
        <v/>
      </c>
      <c r="N1377" s="3">
        <f>IF(ORIG!N1377=0,"",ORIG!N1377)</f>
        <v/>
      </c>
      <c r="O1377" s="3">
        <f>IF(ORIG!O1377=0,"",ORIG!O1377)</f>
        <v/>
      </c>
      <c r="P1377" s="3">
        <f>IF(ORIG!P1377=0,"",ORIG!P1377)</f>
        <v/>
      </c>
      <c r="Q1377" s="3">
        <f>IF(ORIG!Q1377=0,"",ORIG!Q1377)</f>
        <v/>
      </c>
      <c r="R1377" s="3">
        <f>IF(ORIG!R1377=0,"",ORIG!R1377)</f>
        <v/>
      </c>
      <c r="S1377" s="3">
        <f>IF(ORIG!S1377=0,"",ORIG!S1377)</f>
        <v/>
      </c>
      <c r="T1377" s="3">
        <f>IF(ORIG!T1377=0,"",ORIG!T1377)</f>
        <v/>
      </c>
      <c r="U1377" s="3">
        <f>IF(ORIG!U1377=0,"",ORIG!U1377)</f>
        <v/>
      </c>
      <c r="V1377" s="9">
        <f>IF(ORIG!V1377=0,"",ORIG!V1377)</f>
        <v/>
      </c>
      <c r="W1377" s="9">
        <f>IF(ORIG!W1377=0,"",ORIG!W1377)</f>
        <v/>
      </c>
      <c r="X1377" s="9">
        <f>IF(ORIG!X1377=0,"",ORIG!X1377)</f>
        <v/>
      </c>
      <c r="Y1377" s="9">
        <f>IF(ORIG!Y1377=0,"",ORIG!Y1377)</f>
        <v/>
      </c>
      <c r="Z1377" s="3">
        <f>SUMPRODUCT($B1377:$Y1377,$B$2649:$Y$2649)</f>
        <v/>
      </c>
      <c r="AA1377" s="3">
        <f>SUMPRODUCT($B1377:$Y1377,$B$2655:$Y$2655)</f>
        <v/>
      </c>
      <c r="AC1377" s="1">
        <f>A1377</f>
        <v/>
      </c>
      <c r="AD1377">
        <f>IF(ISNUMBER(V1377),V1377*($AB$1/V$2635),"")</f>
        <v/>
      </c>
      <c r="AE1377">
        <f>IF(ISNUMBER(Z1377),Z1377*($AB$1/Z$2635),"")</f>
        <v/>
      </c>
      <c r="AF1377" s="25">
        <f>IF(ISNUMBER(AD1377+AE1377),AD1377+AE1377,"")</f>
        <v/>
      </c>
      <c r="AH1377" s="1">
        <f>A1377</f>
        <v/>
      </c>
      <c r="AI1377">
        <f>IF(ISNUMBER((1+V1377)*AI1376),(1+V1377)*AI1376,AI1376)</f>
        <v/>
      </c>
      <c r="AJ1377">
        <f>IF(ISNUMBER((1+Z1377)*AJ1376),(1+Z1377)*AJ1376,AJ1376)</f>
        <v/>
      </c>
    </row>
    <row r="1378">
      <c r="A1378" s="1" t="n">
        <v>44001</v>
      </c>
      <c r="B1378" s="3">
        <f>IF(ORIG!B1378=0,"",ORIG!B1378)</f>
        <v/>
      </c>
      <c r="C1378" s="3">
        <f>IF(ORIG!C1378=0,"",ORIG!C1378)</f>
        <v/>
      </c>
      <c r="D1378" s="3">
        <f>IF(ORIG!D1378=0,"",ORIG!D1378)</f>
        <v/>
      </c>
      <c r="E1378" s="3">
        <f>IF(ORIG!E1378=0,"",ORIG!E1378)</f>
        <v/>
      </c>
      <c r="F1378" s="3">
        <f>IF(ORIG!F1378=0,"",ORIG!F1378)</f>
        <v/>
      </c>
      <c r="G1378" s="3">
        <f>IF(ORIG!G1378=0,"",ORIG!G1378)</f>
        <v/>
      </c>
      <c r="H1378" s="3">
        <f>IF(ORIG!H1378=0,"",ORIG!H1378)</f>
        <v/>
      </c>
      <c r="I1378" s="3">
        <f>IF(ORIG!I1378=0,"",ORIG!I1378)</f>
        <v/>
      </c>
      <c r="J1378" s="3">
        <f>IF(ORIG!J1378=0,"",ORIG!J1378)</f>
        <v/>
      </c>
      <c r="K1378" s="3">
        <f>IF(ORIG!K1378=0,"",ORIG!K1378)</f>
        <v/>
      </c>
      <c r="L1378" s="3">
        <f>IF(ORIG!L1378=0,"",ORIG!L1378)</f>
        <v/>
      </c>
      <c r="M1378" s="3">
        <f>IF(ORIG!M1378=0,"",ORIG!M1378)</f>
        <v/>
      </c>
      <c r="N1378" s="3">
        <f>IF(ORIG!N1378=0,"",ORIG!N1378)</f>
        <v/>
      </c>
      <c r="O1378" s="3">
        <f>IF(ORIG!O1378=0,"",ORIG!O1378)</f>
        <v/>
      </c>
      <c r="P1378" s="3">
        <f>IF(ORIG!P1378=0,"",ORIG!P1378)</f>
        <v/>
      </c>
      <c r="Q1378" s="3">
        <f>IF(ORIG!Q1378=0,"",ORIG!Q1378)</f>
        <v/>
      </c>
      <c r="R1378" s="3">
        <f>IF(ORIG!R1378=0,"",ORIG!R1378)</f>
        <v/>
      </c>
      <c r="S1378" s="3">
        <f>IF(ORIG!S1378=0,"",ORIG!S1378)</f>
        <v/>
      </c>
      <c r="T1378" s="3">
        <f>IF(ORIG!T1378=0,"",ORIG!T1378)</f>
        <v/>
      </c>
      <c r="U1378" s="3">
        <f>IF(ORIG!U1378=0,"",ORIG!U1378)</f>
        <v/>
      </c>
      <c r="V1378" s="9">
        <f>IF(ORIG!V1378=0,"",ORIG!V1378)</f>
        <v/>
      </c>
      <c r="W1378" s="9">
        <f>IF(ORIG!W1378=0,"",ORIG!W1378)</f>
        <v/>
      </c>
      <c r="X1378" s="9">
        <f>IF(ORIG!X1378=0,"",ORIG!X1378)</f>
        <v/>
      </c>
      <c r="Y1378" s="9">
        <f>IF(ORIG!Y1378=0,"",ORIG!Y1378)</f>
        <v/>
      </c>
      <c r="Z1378" s="3">
        <f>SUMPRODUCT($B1378:$Y1378,$B$2649:$Y$2649)</f>
        <v/>
      </c>
      <c r="AA1378" s="3">
        <f>SUMPRODUCT($B1378:$Y1378,$B$2655:$Y$2655)</f>
        <v/>
      </c>
      <c r="AC1378" s="1">
        <f>A1378</f>
        <v/>
      </c>
      <c r="AD1378">
        <f>IF(ISNUMBER(V1378),V1378*($AB$1/V$2635),"")</f>
        <v/>
      </c>
      <c r="AE1378">
        <f>IF(ISNUMBER(Z1378),Z1378*($AB$1/Z$2635),"")</f>
        <v/>
      </c>
      <c r="AF1378" s="25">
        <f>IF(ISNUMBER(AD1378+AE1378),AD1378+AE1378,"")</f>
        <v/>
      </c>
      <c r="AH1378" s="1">
        <f>A1378</f>
        <v/>
      </c>
      <c r="AI1378">
        <f>IF(ISNUMBER((1+V1378)*AI1377),(1+V1378)*AI1377,AI1377)</f>
        <v/>
      </c>
      <c r="AJ1378">
        <f>IF(ISNUMBER((1+Z1378)*AJ1377),(1+Z1378)*AJ1377,AJ1377)</f>
        <v/>
      </c>
    </row>
    <row r="1379">
      <c r="A1379" s="1" t="n">
        <v>44004</v>
      </c>
      <c r="B1379" s="3">
        <f>IF(ORIG!B1379=0,"",ORIG!B1379)</f>
        <v/>
      </c>
      <c r="C1379" s="3">
        <f>IF(ORIG!C1379=0,"",ORIG!C1379)</f>
        <v/>
      </c>
      <c r="D1379" s="3">
        <f>IF(ORIG!D1379=0,"",ORIG!D1379)</f>
        <v/>
      </c>
      <c r="E1379" s="3">
        <f>IF(ORIG!E1379=0,"",ORIG!E1379)</f>
        <v/>
      </c>
      <c r="F1379" s="3">
        <f>IF(ORIG!F1379=0,"",ORIG!F1379)</f>
        <v/>
      </c>
      <c r="G1379" s="3">
        <f>IF(ORIG!G1379=0,"",ORIG!G1379)</f>
        <v/>
      </c>
      <c r="H1379" s="3">
        <f>IF(ORIG!H1379=0,"",ORIG!H1379)</f>
        <v/>
      </c>
      <c r="I1379" s="3">
        <f>IF(ORIG!I1379=0,"",ORIG!I1379)</f>
        <v/>
      </c>
      <c r="J1379" s="3">
        <f>IF(ORIG!J1379=0,"",ORIG!J1379)</f>
        <v/>
      </c>
      <c r="K1379" s="3">
        <f>IF(ORIG!K1379=0,"",ORIG!K1379)</f>
        <v/>
      </c>
      <c r="L1379" s="3">
        <f>IF(ORIG!L1379=0,"",ORIG!L1379)</f>
        <v/>
      </c>
      <c r="M1379" s="3">
        <f>IF(ORIG!M1379=0,"",ORIG!M1379)</f>
        <v/>
      </c>
      <c r="N1379" s="3">
        <f>IF(ORIG!N1379=0,"",ORIG!N1379)</f>
        <v/>
      </c>
      <c r="O1379" s="3">
        <f>IF(ORIG!O1379=0,"",ORIG!O1379)</f>
        <v/>
      </c>
      <c r="P1379" s="3">
        <f>IF(ORIG!P1379=0,"",ORIG!P1379)</f>
        <v/>
      </c>
      <c r="Q1379" s="3">
        <f>IF(ORIG!Q1379=0,"",ORIG!Q1379)</f>
        <v/>
      </c>
      <c r="R1379" s="3">
        <f>IF(ORIG!R1379=0,"",ORIG!R1379)</f>
        <v/>
      </c>
      <c r="S1379" s="3">
        <f>IF(ORIG!S1379=0,"",ORIG!S1379)</f>
        <v/>
      </c>
      <c r="T1379" s="3">
        <f>IF(ORIG!T1379=0,"",ORIG!T1379)</f>
        <v/>
      </c>
      <c r="U1379" s="3">
        <f>IF(ORIG!U1379=0,"",ORIG!U1379)</f>
        <v/>
      </c>
      <c r="V1379" s="9">
        <f>IF(ORIG!V1379=0,"",ORIG!V1379)</f>
        <v/>
      </c>
      <c r="W1379" s="9">
        <f>IF(ORIG!W1379=0,"",ORIG!W1379)</f>
        <v/>
      </c>
      <c r="X1379" s="9">
        <f>IF(ORIG!X1379=0,"",ORIG!X1379)</f>
        <v/>
      </c>
      <c r="Y1379" s="9">
        <f>IF(ORIG!Y1379=0,"",ORIG!Y1379)</f>
        <v/>
      </c>
      <c r="Z1379" s="3">
        <f>SUMPRODUCT($B1379:$Y1379,$B$2649:$Y$2649)</f>
        <v/>
      </c>
      <c r="AA1379" s="3">
        <f>SUMPRODUCT($B1379:$Y1379,$B$2655:$Y$2655)</f>
        <v/>
      </c>
      <c r="AC1379" s="1">
        <f>A1379</f>
        <v/>
      </c>
      <c r="AD1379">
        <f>IF(ISNUMBER(V1379),V1379*($AB$1/V$2635),"")</f>
        <v/>
      </c>
      <c r="AE1379">
        <f>IF(ISNUMBER(Z1379),Z1379*($AB$1/Z$2635),"")</f>
        <v/>
      </c>
      <c r="AF1379" s="25">
        <f>IF(ISNUMBER(AD1379+AE1379),AD1379+AE1379,"")</f>
        <v/>
      </c>
      <c r="AH1379" s="1">
        <f>A1379</f>
        <v/>
      </c>
      <c r="AI1379">
        <f>IF(ISNUMBER((1+V1379)*AI1378),(1+V1379)*AI1378,AI1378)</f>
        <v/>
      </c>
      <c r="AJ1379">
        <f>IF(ISNUMBER((1+Z1379)*AJ1378),(1+Z1379)*AJ1378,AJ1378)</f>
        <v/>
      </c>
    </row>
    <row r="1380">
      <c r="A1380" s="1" t="n">
        <v>44005</v>
      </c>
      <c r="B1380" s="3">
        <f>IF(ORIG!B1380=0,"",ORIG!B1380)</f>
        <v/>
      </c>
      <c r="C1380" s="3">
        <f>IF(ORIG!C1380=0,"",ORIG!C1380)</f>
        <v/>
      </c>
      <c r="D1380" s="3">
        <f>IF(ORIG!D1380=0,"",ORIG!D1380)</f>
        <v/>
      </c>
      <c r="E1380" s="3">
        <f>IF(ORIG!E1380=0,"",ORIG!E1380)</f>
        <v/>
      </c>
      <c r="F1380" s="3">
        <f>IF(ORIG!F1380=0,"",ORIG!F1380)</f>
        <v/>
      </c>
      <c r="G1380" s="3">
        <f>IF(ORIG!G1380=0,"",ORIG!G1380)</f>
        <v/>
      </c>
      <c r="H1380" s="3">
        <f>IF(ORIG!H1380=0,"",ORIG!H1380)</f>
        <v/>
      </c>
      <c r="I1380" s="3">
        <f>IF(ORIG!I1380=0,"",ORIG!I1380)</f>
        <v/>
      </c>
      <c r="J1380" s="3">
        <f>IF(ORIG!J1380=0,"",ORIG!J1380)</f>
        <v/>
      </c>
      <c r="K1380" s="3">
        <f>IF(ORIG!K1380=0,"",ORIG!K1380)</f>
        <v/>
      </c>
      <c r="L1380" s="3">
        <f>IF(ORIG!L1380=0,"",ORIG!L1380)</f>
        <v/>
      </c>
      <c r="M1380" s="3">
        <f>IF(ORIG!M1380=0,"",ORIG!M1380)</f>
        <v/>
      </c>
      <c r="N1380" s="3">
        <f>IF(ORIG!N1380=0,"",ORIG!N1380)</f>
        <v/>
      </c>
      <c r="O1380" s="3">
        <f>IF(ORIG!O1380=0,"",ORIG!O1380)</f>
        <v/>
      </c>
      <c r="P1380" s="3">
        <f>IF(ORIG!P1380=0,"",ORIG!P1380)</f>
        <v/>
      </c>
      <c r="Q1380" s="3">
        <f>IF(ORIG!Q1380=0,"",ORIG!Q1380)</f>
        <v/>
      </c>
      <c r="R1380" s="3">
        <f>IF(ORIG!R1380=0,"",ORIG!R1380)</f>
        <v/>
      </c>
      <c r="S1380" s="3">
        <f>IF(ORIG!S1380=0,"",ORIG!S1380)</f>
        <v/>
      </c>
      <c r="T1380" s="3">
        <f>IF(ORIG!T1380=0,"",ORIG!T1380)</f>
        <v/>
      </c>
      <c r="U1380" s="3">
        <f>IF(ORIG!U1380=0,"",ORIG!U1380)</f>
        <v/>
      </c>
      <c r="V1380" s="9">
        <f>IF(ORIG!V1380=0,"",ORIG!V1380)</f>
        <v/>
      </c>
      <c r="W1380" s="9">
        <f>IF(ORIG!W1380=0,"",ORIG!W1380)</f>
        <v/>
      </c>
      <c r="X1380" s="9">
        <f>IF(ORIG!X1380=0,"",ORIG!X1380)</f>
        <v/>
      </c>
      <c r="Y1380" s="9">
        <f>IF(ORIG!Y1380=0,"",ORIG!Y1380)</f>
        <v/>
      </c>
      <c r="Z1380" s="3">
        <f>SUMPRODUCT($B1380:$Y1380,$B$2649:$Y$2649)</f>
        <v/>
      </c>
      <c r="AA1380" s="3">
        <f>SUMPRODUCT($B1380:$Y1380,$B$2655:$Y$2655)</f>
        <v/>
      </c>
      <c r="AC1380" s="1">
        <f>A1380</f>
        <v/>
      </c>
      <c r="AD1380">
        <f>IF(ISNUMBER(V1380),V1380*($AB$1/V$2635),"")</f>
        <v/>
      </c>
      <c r="AE1380">
        <f>IF(ISNUMBER(Z1380),Z1380*($AB$1/Z$2635),"")</f>
        <v/>
      </c>
      <c r="AF1380" s="25">
        <f>IF(ISNUMBER(AD1380+AE1380),AD1380+AE1380,"")</f>
        <v/>
      </c>
      <c r="AH1380" s="1">
        <f>A1380</f>
        <v/>
      </c>
      <c r="AI1380">
        <f>IF(ISNUMBER((1+V1380)*AI1379),(1+V1380)*AI1379,AI1379)</f>
        <v/>
      </c>
      <c r="AJ1380">
        <f>IF(ISNUMBER((1+Z1380)*AJ1379),(1+Z1380)*AJ1379,AJ1379)</f>
        <v/>
      </c>
    </row>
    <row r="1381">
      <c r="A1381" s="1" t="n">
        <v>44006</v>
      </c>
      <c r="B1381" s="3">
        <f>IF(ORIG!B1381=0,"",ORIG!B1381)</f>
        <v/>
      </c>
      <c r="C1381" s="3">
        <f>IF(ORIG!C1381=0,"",ORIG!C1381)</f>
        <v/>
      </c>
      <c r="D1381" s="3">
        <f>IF(ORIG!D1381=0,"",ORIG!D1381)</f>
        <v/>
      </c>
      <c r="E1381" s="3">
        <f>IF(ORIG!E1381=0,"",ORIG!E1381)</f>
        <v/>
      </c>
      <c r="F1381" s="3">
        <f>IF(ORIG!F1381=0,"",ORIG!F1381)</f>
        <v/>
      </c>
      <c r="G1381" s="3">
        <f>IF(ORIG!G1381=0,"",ORIG!G1381)</f>
        <v/>
      </c>
      <c r="H1381" s="3">
        <f>IF(ORIG!H1381=0,"",ORIG!H1381)</f>
        <v/>
      </c>
      <c r="I1381" s="3">
        <f>IF(ORIG!I1381=0,"",ORIG!I1381)</f>
        <v/>
      </c>
      <c r="J1381" s="3">
        <f>IF(ORIG!J1381=0,"",ORIG!J1381)</f>
        <v/>
      </c>
      <c r="K1381" s="3">
        <f>IF(ORIG!K1381=0,"",ORIG!K1381)</f>
        <v/>
      </c>
      <c r="L1381" s="3">
        <f>IF(ORIG!L1381=0,"",ORIG!L1381)</f>
        <v/>
      </c>
      <c r="M1381" s="3">
        <f>IF(ORIG!M1381=0,"",ORIG!M1381)</f>
        <v/>
      </c>
      <c r="N1381" s="3">
        <f>IF(ORIG!N1381=0,"",ORIG!N1381)</f>
        <v/>
      </c>
      <c r="O1381" s="3">
        <f>IF(ORIG!O1381=0,"",ORIG!O1381)</f>
        <v/>
      </c>
      <c r="P1381" s="3">
        <f>IF(ORIG!P1381=0,"",ORIG!P1381)</f>
        <v/>
      </c>
      <c r="Q1381" s="3">
        <f>IF(ORIG!Q1381=0,"",ORIG!Q1381)</f>
        <v/>
      </c>
      <c r="R1381" s="3">
        <f>IF(ORIG!R1381=0,"",ORIG!R1381)</f>
        <v/>
      </c>
      <c r="S1381" s="3">
        <f>IF(ORIG!S1381=0,"",ORIG!S1381)</f>
        <v/>
      </c>
      <c r="T1381" s="3">
        <f>IF(ORIG!T1381=0,"",ORIG!T1381)</f>
        <v/>
      </c>
      <c r="U1381" s="3">
        <f>IF(ORIG!U1381=0,"",ORIG!U1381)</f>
        <v/>
      </c>
      <c r="V1381" s="9">
        <f>IF(ORIG!V1381=0,"",ORIG!V1381)</f>
        <v/>
      </c>
      <c r="W1381" s="9">
        <f>IF(ORIG!W1381=0,"",ORIG!W1381)</f>
        <v/>
      </c>
      <c r="X1381" s="9">
        <f>IF(ORIG!X1381=0,"",ORIG!X1381)</f>
        <v/>
      </c>
      <c r="Y1381" s="9">
        <f>IF(ORIG!Y1381=0,"",ORIG!Y1381)</f>
        <v/>
      </c>
      <c r="Z1381" s="3">
        <f>SUMPRODUCT($B1381:$Y1381,$B$2649:$Y$2649)</f>
        <v/>
      </c>
      <c r="AA1381" s="3">
        <f>SUMPRODUCT($B1381:$Y1381,$B$2655:$Y$2655)</f>
        <v/>
      </c>
      <c r="AC1381" s="1">
        <f>A1381</f>
        <v/>
      </c>
      <c r="AD1381">
        <f>IF(ISNUMBER(V1381),V1381*($AB$1/V$2635),"")</f>
        <v/>
      </c>
      <c r="AE1381">
        <f>IF(ISNUMBER(Z1381),Z1381*($AB$1/Z$2635),"")</f>
        <v/>
      </c>
      <c r="AF1381" s="25">
        <f>IF(ISNUMBER(AD1381+AE1381),AD1381+AE1381,"")</f>
        <v/>
      </c>
      <c r="AH1381" s="1">
        <f>A1381</f>
        <v/>
      </c>
      <c r="AI1381">
        <f>IF(ISNUMBER((1+V1381)*AI1380),(1+V1381)*AI1380,AI1380)</f>
        <v/>
      </c>
      <c r="AJ1381">
        <f>IF(ISNUMBER((1+Z1381)*AJ1380),(1+Z1381)*AJ1380,AJ1380)</f>
        <v/>
      </c>
    </row>
    <row r="1382">
      <c r="A1382" s="1" t="n">
        <v>44007</v>
      </c>
      <c r="B1382" s="3">
        <f>IF(ORIG!B1382=0,"",ORIG!B1382)</f>
        <v/>
      </c>
      <c r="C1382" s="3">
        <f>IF(ORIG!C1382=0,"",ORIG!C1382)</f>
        <v/>
      </c>
      <c r="D1382" s="3">
        <f>IF(ORIG!D1382=0,"",ORIG!D1382)</f>
        <v/>
      </c>
      <c r="E1382" s="3">
        <f>IF(ORIG!E1382=0,"",ORIG!E1382)</f>
        <v/>
      </c>
      <c r="F1382" s="3">
        <f>IF(ORIG!F1382=0,"",ORIG!F1382)</f>
        <v/>
      </c>
      <c r="G1382" s="3">
        <f>IF(ORIG!G1382=0,"",ORIG!G1382)</f>
        <v/>
      </c>
      <c r="H1382" s="3">
        <f>IF(ORIG!H1382=0,"",ORIG!H1382)</f>
        <v/>
      </c>
      <c r="I1382" s="3">
        <f>IF(ORIG!I1382=0,"",ORIG!I1382)</f>
        <v/>
      </c>
      <c r="J1382" s="3">
        <f>IF(ORIG!J1382=0,"",ORIG!J1382)</f>
        <v/>
      </c>
      <c r="K1382" s="3">
        <f>IF(ORIG!K1382=0,"",ORIG!K1382)</f>
        <v/>
      </c>
      <c r="L1382" s="3">
        <f>IF(ORIG!L1382=0,"",ORIG!L1382)</f>
        <v/>
      </c>
      <c r="M1382" s="3">
        <f>IF(ORIG!M1382=0,"",ORIG!M1382)</f>
        <v/>
      </c>
      <c r="N1382" s="3">
        <f>IF(ORIG!N1382=0,"",ORIG!N1382)</f>
        <v/>
      </c>
      <c r="O1382" s="3">
        <f>IF(ORIG!O1382=0,"",ORIG!O1382)</f>
        <v/>
      </c>
      <c r="P1382" s="3">
        <f>IF(ORIG!P1382=0,"",ORIG!P1382)</f>
        <v/>
      </c>
      <c r="Q1382" s="3">
        <f>IF(ORIG!Q1382=0,"",ORIG!Q1382)</f>
        <v/>
      </c>
      <c r="R1382" s="3">
        <f>IF(ORIG!R1382=0,"",ORIG!R1382)</f>
        <v/>
      </c>
      <c r="S1382" s="3">
        <f>IF(ORIG!S1382=0,"",ORIG!S1382)</f>
        <v/>
      </c>
      <c r="T1382" s="3">
        <f>IF(ORIG!T1382=0,"",ORIG!T1382)</f>
        <v/>
      </c>
      <c r="U1382" s="3">
        <f>IF(ORIG!U1382=0,"",ORIG!U1382)</f>
        <v/>
      </c>
      <c r="V1382" s="9">
        <f>IF(ORIG!V1382=0,"",ORIG!V1382)</f>
        <v/>
      </c>
      <c r="W1382" s="9">
        <f>IF(ORIG!W1382=0,"",ORIG!W1382)</f>
        <v/>
      </c>
      <c r="X1382" s="9">
        <f>IF(ORIG!X1382=0,"",ORIG!X1382)</f>
        <v/>
      </c>
      <c r="Y1382" s="9">
        <f>IF(ORIG!Y1382=0,"",ORIG!Y1382)</f>
        <v/>
      </c>
      <c r="Z1382" s="3">
        <f>SUMPRODUCT($B1382:$Y1382,$B$2649:$Y$2649)</f>
        <v/>
      </c>
      <c r="AA1382" s="3">
        <f>SUMPRODUCT($B1382:$Y1382,$B$2655:$Y$2655)</f>
        <v/>
      </c>
      <c r="AC1382" s="1">
        <f>A1382</f>
        <v/>
      </c>
      <c r="AD1382">
        <f>IF(ISNUMBER(V1382),V1382*($AB$1/V$2635),"")</f>
        <v/>
      </c>
      <c r="AE1382">
        <f>IF(ISNUMBER(Z1382),Z1382*($AB$1/Z$2635),"")</f>
        <v/>
      </c>
      <c r="AF1382" s="25">
        <f>IF(ISNUMBER(AD1382+AE1382),AD1382+AE1382,"")</f>
        <v/>
      </c>
      <c r="AH1382" s="1">
        <f>A1382</f>
        <v/>
      </c>
      <c r="AI1382">
        <f>IF(ISNUMBER((1+V1382)*AI1381),(1+V1382)*AI1381,AI1381)</f>
        <v/>
      </c>
      <c r="AJ1382">
        <f>IF(ISNUMBER((1+Z1382)*AJ1381),(1+Z1382)*AJ1381,AJ1381)</f>
        <v/>
      </c>
    </row>
    <row r="1383">
      <c r="A1383" s="1" t="n">
        <v>44008</v>
      </c>
      <c r="B1383" s="3">
        <f>IF(ORIG!B1383=0,"",ORIG!B1383)</f>
        <v/>
      </c>
      <c r="C1383" s="3">
        <f>IF(ORIG!C1383=0,"",ORIG!C1383)</f>
        <v/>
      </c>
      <c r="D1383" s="3">
        <f>IF(ORIG!D1383=0,"",ORIG!D1383)</f>
        <v/>
      </c>
      <c r="E1383" s="3">
        <f>IF(ORIG!E1383=0,"",ORIG!E1383)</f>
        <v/>
      </c>
      <c r="F1383" s="3">
        <f>IF(ORIG!F1383=0,"",ORIG!F1383)</f>
        <v/>
      </c>
      <c r="G1383" s="3">
        <f>IF(ORIG!G1383=0,"",ORIG!G1383)</f>
        <v/>
      </c>
      <c r="H1383" s="3">
        <f>IF(ORIG!H1383=0,"",ORIG!H1383)</f>
        <v/>
      </c>
      <c r="I1383" s="3">
        <f>IF(ORIG!I1383=0,"",ORIG!I1383)</f>
        <v/>
      </c>
      <c r="J1383" s="3">
        <f>IF(ORIG!J1383=0,"",ORIG!J1383)</f>
        <v/>
      </c>
      <c r="K1383" s="3">
        <f>IF(ORIG!K1383=0,"",ORIG!K1383)</f>
        <v/>
      </c>
      <c r="L1383" s="3">
        <f>IF(ORIG!L1383=0,"",ORIG!L1383)</f>
        <v/>
      </c>
      <c r="M1383" s="3">
        <f>IF(ORIG!M1383=0,"",ORIG!M1383)</f>
        <v/>
      </c>
      <c r="N1383" s="3">
        <f>IF(ORIG!N1383=0,"",ORIG!N1383)</f>
        <v/>
      </c>
      <c r="O1383" s="3">
        <f>IF(ORIG!O1383=0,"",ORIG!O1383)</f>
        <v/>
      </c>
      <c r="P1383" s="3">
        <f>IF(ORIG!P1383=0,"",ORIG!P1383)</f>
        <v/>
      </c>
      <c r="Q1383" s="3">
        <f>IF(ORIG!Q1383=0,"",ORIG!Q1383)</f>
        <v/>
      </c>
      <c r="R1383" s="3">
        <f>IF(ORIG!R1383=0,"",ORIG!R1383)</f>
        <v/>
      </c>
      <c r="S1383" s="3">
        <f>IF(ORIG!S1383=0,"",ORIG!S1383)</f>
        <v/>
      </c>
      <c r="T1383" s="3">
        <f>IF(ORIG!T1383=0,"",ORIG!T1383)</f>
        <v/>
      </c>
      <c r="U1383" s="3">
        <f>IF(ORIG!U1383=0,"",ORIG!U1383)</f>
        <v/>
      </c>
      <c r="V1383" s="9">
        <f>IF(ORIG!V1383=0,"",ORIG!V1383)</f>
        <v/>
      </c>
      <c r="W1383" s="9">
        <f>IF(ORIG!W1383=0,"",ORIG!W1383)</f>
        <v/>
      </c>
      <c r="X1383" s="9">
        <f>IF(ORIG!X1383=0,"",ORIG!X1383)</f>
        <v/>
      </c>
      <c r="Y1383" s="9">
        <f>IF(ORIG!Y1383=0,"",ORIG!Y1383)</f>
        <v/>
      </c>
      <c r="Z1383" s="3">
        <f>SUMPRODUCT($B1383:$Y1383,$B$2649:$Y$2649)</f>
        <v/>
      </c>
      <c r="AA1383" s="3">
        <f>SUMPRODUCT($B1383:$Y1383,$B$2655:$Y$2655)</f>
        <v/>
      </c>
      <c r="AC1383" s="1">
        <f>A1383</f>
        <v/>
      </c>
      <c r="AD1383">
        <f>IF(ISNUMBER(V1383),V1383*($AB$1/V$2635),"")</f>
        <v/>
      </c>
      <c r="AE1383">
        <f>IF(ISNUMBER(Z1383),Z1383*($AB$1/Z$2635),"")</f>
        <v/>
      </c>
      <c r="AF1383" s="25">
        <f>IF(ISNUMBER(AD1383+AE1383),AD1383+AE1383,"")</f>
        <v/>
      </c>
      <c r="AH1383" s="1">
        <f>A1383</f>
        <v/>
      </c>
      <c r="AI1383">
        <f>IF(ISNUMBER((1+V1383)*AI1382),(1+V1383)*AI1382,AI1382)</f>
        <v/>
      </c>
      <c r="AJ1383">
        <f>IF(ISNUMBER((1+Z1383)*AJ1382),(1+Z1383)*AJ1382,AJ1382)</f>
        <v/>
      </c>
    </row>
    <row r="1384">
      <c r="A1384" s="1" t="n">
        <v>44011</v>
      </c>
      <c r="B1384" s="3">
        <f>IF(ORIG!B1384=0,"",ORIG!B1384)</f>
        <v/>
      </c>
      <c r="C1384" s="3">
        <f>IF(ORIG!C1384=0,"",ORIG!C1384)</f>
        <v/>
      </c>
      <c r="D1384" s="3">
        <f>IF(ORIG!D1384=0,"",ORIG!D1384)</f>
        <v/>
      </c>
      <c r="E1384" s="3">
        <f>IF(ORIG!E1384=0,"",ORIG!E1384)</f>
        <v/>
      </c>
      <c r="F1384" s="3">
        <f>IF(ORIG!F1384=0,"",ORIG!F1384)</f>
        <v/>
      </c>
      <c r="G1384" s="3">
        <f>IF(ORIG!G1384=0,"",ORIG!G1384)</f>
        <v/>
      </c>
      <c r="H1384" s="3">
        <f>IF(ORIG!H1384=0,"",ORIG!H1384)</f>
        <v/>
      </c>
      <c r="I1384" s="3">
        <f>IF(ORIG!I1384=0,"",ORIG!I1384)</f>
        <v/>
      </c>
      <c r="J1384" s="3">
        <f>IF(ORIG!J1384=0,"",ORIG!J1384)</f>
        <v/>
      </c>
      <c r="K1384" s="3">
        <f>IF(ORIG!K1384=0,"",ORIG!K1384)</f>
        <v/>
      </c>
      <c r="L1384" s="3">
        <f>IF(ORIG!L1384=0,"",ORIG!L1384)</f>
        <v/>
      </c>
      <c r="M1384" s="3">
        <f>IF(ORIG!M1384=0,"",ORIG!M1384)</f>
        <v/>
      </c>
      <c r="N1384" s="3">
        <f>IF(ORIG!N1384=0,"",ORIG!N1384)</f>
        <v/>
      </c>
      <c r="O1384" s="3">
        <f>IF(ORIG!O1384=0,"",ORIG!O1384)</f>
        <v/>
      </c>
      <c r="P1384" s="3">
        <f>IF(ORIG!P1384=0,"",ORIG!P1384)</f>
        <v/>
      </c>
      <c r="Q1384" s="3">
        <f>IF(ORIG!Q1384=0,"",ORIG!Q1384)</f>
        <v/>
      </c>
      <c r="R1384" s="3">
        <f>IF(ORIG!R1384=0,"",ORIG!R1384)</f>
        <v/>
      </c>
      <c r="S1384" s="3">
        <f>IF(ORIG!S1384=0,"",ORIG!S1384)</f>
        <v/>
      </c>
      <c r="T1384" s="3">
        <f>IF(ORIG!T1384=0,"",ORIG!T1384)</f>
        <v/>
      </c>
      <c r="U1384" s="3">
        <f>IF(ORIG!U1384=0,"",ORIG!U1384)</f>
        <v/>
      </c>
      <c r="V1384" s="9">
        <f>IF(ORIG!V1384=0,"",ORIG!V1384)</f>
        <v/>
      </c>
      <c r="W1384" s="9">
        <f>IF(ORIG!W1384=0,"",ORIG!W1384)</f>
        <v/>
      </c>
      <c r="X1384" s="9">
        <f>IF(ORIG!X1384=0,"",ORIG!X1384)</f>
        <v/>
      </c>
      <c r="Y1384" s="9">
        <f>IF(ORIG!Y1384=0,"",ORIG!Y1384)</f>
        <v/>
      </c>
      <c r="Z1384" s="3">
        <f>SUMPRODUCT($B1384:$Y1384,$B$2649:$Y$2649)</f>
        <v/>
      </c>
      <c r="AA1384" s="3">
        <f>SUMPRODUCT($B1384:$Y1384,$B$2655:$Y$2655)</f>
        <v/>
      </c>
      <c r="AC1384" s="1">
        <f>A1384</f>
        <v/>
      </c>
      <c r="AD1384">
        <f>IF(ISNUMBER(V1384),V1384*($AB$1/V$2635),"")</f>
        <v/>
      </c>
      <c r="AE1384">
        <f>IF(ISNUMBER(Z1384),Z1384*($AB$1/Z$2635),"")</f>
        <v/>
      </c>
      <c r="AF1384" s="25">
        <f>IF(ISNUMBER(AD1384+AE1384),AD1384+AE1384,"")</f>
        <v/>
      </c>
      <c r="AH1384" s="1">
        <f>A1384</f>
        <v/>
      </c>
      <c r="AI1384">
        <f>IF(ISNUMBER((1+V1384)*AI1383),(1+V1384)*AI1383,AI1383)</f>
        <v/>
      </c>
      <c r="AJ1384">
        <f>IF(ISNUMBER((1+Z1384)*AJ1383),(1+Z1384)*AJ1383,AJ1383)</f>
        <v/>
      </c>
    </row>
    <row r="1385">
      <c r="A1385" s="1" t="n">
        <v>44012</v>
      </c>
      <c r="B1385" s="3">
        <f>IF(ORIG!B1385=0,"",ORIG!B1385)</f>
        <v/>
      </c>
      <c r="C1385" s="3">
        <f>IF(ORIG!C1385=0,"",ORIG!C1385)</f>
        <v/>
      </c>
      <c r="D1385" s="3">
        <f>IF(ORIG!D1385=0,"",ORIG!D1385)</f>
        <v/>
      </c>
      <c r="E1385" s="3">
        <f>IF(ORIG!E1385=0,"",ORIG!E1385)</f>
        <v/>
      </c>
      <c r="F1385" s="3">
        <f>IF(ORIG!F1385=0,"",ORIG!F1385)</f>
        <v/>
      </c>
      <c r="G1385" s="3">
        <f>IF(ORIG!G1385=0,"",ORIG!G1385)</f>
        <v/>
      </c>
      <c r="H1385" s="3">
        <f>IF(ORIG!H1385=0,"",ORIG!H1385)</f>
        <v/>
      </c>
      <c r="I1385" s="3">
        <f>IF(ORIG!I1385=0,"",ORIG!I1385)</f>
        <v/>
      </c>
      <c r="J1385" s="3">
        <f>IF(ORIG!J1385=0,"",ORIG!J1385)</f>
        <v/>
      </c>
      <c r="K1385" s="3">
        <f>IF(ORIG!K1385=0,"",ORIG!K1385)</f>
        <v/>
      </c>
      <c r="L1385" s="3">
        <f>IF(ORIG!L1385=0,"",ORIG!L1385)</f>
        <v/>
      </c>
      <c r="M1385" s="3">
        <f>IF(ORIG!M1385=0,"",ORIG!M1385)</f>
        <v/>
      </c>
      <c r="N1385" s="3">
        <f>IF(ORIG!N1385=0,"",ORIG!N1385)</f>
        <v/>
      </c>
      <c r="O1385" s="3">
        <f>IF(ORIG!O1385=0,"",ORIG!O1385)</f>
        <v/>
      </c>
      <c r="P1385" s="3">
        <f>IF(ORIG!P1385=0,"",ORIG!P1385)</f>
        <v/>
      </c>
      <c r="Q1385" s="3">
        <f>IF(ORIG!Q1385=0,"",ORIG!Q1385)</f>
        <v/>
      </c>
      <c r="R1385" s="3">
        <f>IF(ORIG!R1385=0,"",ORIG!R1385)</f>
        <v/>
      </c>
      <c r="S1385" s="3">
        <f>IF(ORIG!S1385=0,"",ORIG!S1385)</f>
        <v/>
      </c>
      <c r="T1385" s="3">
        <f>IF(ORIG!T1385=0,"",ORIG!T1385)</f>
        <v/>
      </c>
      <c r="U1385" s="3">
        <f>IF(ORIG!U1385=0,"",ORIG!U1385)</f>
        <v/>
      </c>
      <c r="V1385" s="9">
        <f>IF(ORIG!V1385=0,"",ORIG!V1385)</f>
        <v/>
      </c>
      <c r="W1385" s="9">
        <f>IF(ORIG!W1385=0,"",ORIG!W1385)</f>
        <v/>
      </c>
      <c r="X1385" s="9">
        <f>IF(ORIG!X1385=0,"",ORIG!X1385)</f>
        <v/>
      </c>
      <c r="Y1385" s="9">
        <f>IF(ORIG!Y1385=0,"",ORIG!Y1385)</f>
        <v/>
      </c>
      <c r="Z1385" s="3">
        <f>SUMPRODUCT($B1385:$Y1385,$B$2649:$Y$2649)</f>
        <v/>
      </c>
      <c r="AA1385" s="3">
        <f>SUMPRODUCT($B1385:$Y1385,$B$2655:$Y$2655)</f>
        <v/>
      </c>
      <c r="AC1385" s="1">
        <f>A1385</f>
        <v/>
      </c>
      <c r="AD1385">
        <f>IF(ISNUMBER(V1385),V1385*($AB$1/V$2635),"")</f>
        <v/>
      </c>
      <c r="AE1385">
        <f>IF(ISNUMBER(Z1385),Z1385*($AB$1/Z$2635),"")</f>
        <v/>
      </c>
      <c r="AF1385" s="25">
        <f>IF(ISNUMBER(AD1385+AE1385),AD1385+AE1385,"")</f>
        <v/>
      </c>
      <c r="AH1385" s="1">
        <f>A1385</f>
        <v/>
      </c>
      <c r="AI1385">
        <f>IF(ISNUMBER((1+V1385)*AI1384),(1+V1385)*AI1384,AI1384)</f>
        <v/>
      </c>
      <c r="AJ1385">
        <f>IF(ISNUMBER((1+Z1385)*AJ1384),(1+Z1385)*AJ1384,AJ1384)</f>
        <v/>
      </c>
    </row>
    <row r="1386">
      <c r="A1386" s="1" t="n">
        <v>44013</v>
      </c>
      <c r="B1386" s="3">
        <f>IF(ORIG!B1386=0,"",ORIG!B1386)</f>
        <v/>
      </c>
      <c r="C1386" s="3">
        <f>IF(ORIG!C1386=0,"",ORIG!C1386)</f>
        <v/>
      </c>
      <c r="D1386" s="3">
        <f>IF(ORIG!D1386=0,"",ORIG!D1386)</f>
        <v/>
      </c>
      <c r="E1386" s="3">
        <f>IF(ORIG!E1386=0,"",ORIG!E1386)</f>
        <v/>
      </c>
      <c r="F1386" s="3">
        <f>IF(ORIG!F1386=0,"",ORIG!F1386)</f>
        <v/>
      </c>
      <c r="G1386" s="3">
        <f>IF(ORIG!G1386=0,"",ORIG!G1386)</f>
        <v/>
      </c>
      <c r="H1386" s="3">
        <f>IF(ORIG!H1386=0,"",ORIG!H1386)</f>
        <v/>
      </c>
      <c r="I1386" s="3">
        <f>IF(ORIG!I1386=0,"",ORIG!I1386)</f>
        <v/>
      </c>
      <c r="J1386" s="3">
        <f>IF(ORIG!J1386=0,"",ORIG!J1386)</f>
        <v/>
      </c>
      <c r="K1386" s="3">
        <f>IF(ORIG!K1386=0,"",ORIG!K1386)</f>
        <v/>
      </c>
      <c r="L1386" s="3">
        <f>IF(ORIG!L1386=0,"",ORIG!L1386)</f>
        <v/>
      </c>
      <c r="M1386" s="3">
        <f>IF(ORIG!M1386=0,"",ORIG!M1386)</f>
        <v/>
      </c>
      <c r="N1386" s="3">
        <f>IF(ORIG!N1386=0,"",ORIG!N1386)</f>
        <v/>
      </c>
      <c r="O1386" s="3">
        <f>IF(ORIG!O1386=0,"",ORIG!O1386)</f>
        <v/>
      </c>
      <c r="P1386" s="3">
        <f>IF(ORIG!P1386=0,"",ORIG!P1386)</f>
        <v/>
      </c>
      <c r="Q1386" s="3">
        <f>IF(ORIG!Q1386=0,"",ORIG!Q1386)</f>
        <v/>
      </c>
      <c r="R1386" s="3">
        <f>IF(ORIG!R1386=0,"",ORIG!R1386)</f>
        <v/>
      </c>
      <c r="S1386" s="3">
        <f>IF(ORIG!S1386=0,"",ORIG!S1386)</f>
        <v/>
      </c>
      <c r="T1386" s="3">
        <f>IF(ORIG!T1386=0,"",ORIG!T1386)</f>
        <v/>
      </c>
      <c r="U1386" s="3">
        <f>IF(ORIG!U1386=0,"",ORIG!U1386)</f>
        <v/>
      </c>
      <c r="V1386" s="9">
        <f>IF(ORIG!V1386=0,"",ORIG!V1386)</f>
        <v/>
      </c>
      <c r="W1386" s="9">
        <f>IF(ORIG!W1386=0,"",ORIG!W1386)</f>
        <v/>
      </c>
      <c r="X1386" s="9">
        <f>IF(ORIG!X1386=0,"",ORIG!X1386)</f>
        <v/>
      </c>
      <c r="Y1386" s="9">
        <f>IF(ORIG!Y1386=0,"",ORIG!Y1386)</f>
        <v/>
      </c>
      <c r="Z1386" s="3">
        <f>SUMPRODUCT($B1386:$Y1386,$B$2649:$Y$2649)</f>
        <v/>
      </c>
      <c r="AA1386" s="3">
        <f>SUMPRODUCT($B1386:$Y1386,$B$2655:$Y$2655)</f>
        <v/>
      </c>
      <c r="AC1386" s="1">
        <f>A1386</f>
        <v/>
      </c>
      <c r="AD1386">
        <f>IF(ISNUMBER(V1386),V1386*($AB$1/V$2635),"")</f>
        <v/>
      </c>
      <c r="AE1386">
        <f>IF(ISNUMBER(Z1386),Z1386*($AB$1/Z$2635),"")</f>
        <v/>
      </c>
      <c r="AF1386" s="25">
        <f>IF(ISNUMBER(AD1386+AE1386),AD1386+AE1386,"")</f>
        <v/>
      </c>
      <c r="AH1386" s="1">
        <f>A1386</f>
        <v/>
      </c>
      <c r="AI1386">
        <f>IF(ISNUMBER((1+V1386)*AI1385),(1+V1386)*AI1385,AI1385)</f>
        <v/>
      </c>
      <c r="AJ1386">
        <f>IF(ISNUMBER((1+Z1386)*AJ1385),(1+Z1386)*AJ1385,AJ1385)</f>
        <v/>
      </c>
    </row>
    <row r="1387">
      <c r="A1387" s="1" t="n">
        <v>44014</v>
      </c>
      <c r="B1387" s="3">
        <f>IF(ORIG!B1387=0,"",ORIG!B1387)</f>
        <v/>
      </c>
      <c r="C1387" s="3">
        <f>IF(ORIG!C1387=0,"",ORIG!C1387)</f>
        <v/>
      </c>
      <c r="D1387" s="3">
        <f>IF(ORIG!D1387=0,"",ORIG!D1387)</f>
        <v/>
      </c>
      <c r="E1387" s="3">
        <f>IF(ORIG!E1387=0,"",ORIG!E1387)</f>
        <v/>
      </c>
      <c r="F1387" s="3">
        <f>IF(ORIG!F1387=0,"",ORIG!F1387)</f>
        <v/>
      </c>
      <c r="G1387" s="3">
        <f>IF(ORIG!G1387=0,"",ORIG!G1387)</f>
        <v/>
      </c>
      <c r="H1387" s="3">
        <f>IF(ORIG!H1387=0,"",ORIG!H1387)</f>
        <v/>
      </c>
      <c r="I1387" s="3">
        <f>IF(ORIG!I1387=0,"",ORIG!I1387)</f>
        <v/>
      </c>
      <c r="J1387" s="3">
        <f>IF(ORIG!J1387=0,"",ORIG!J1387)</f>
        <v/>
      </c>
      <c r="K1387" s="3">
        <f>IF(ORIG!K1387=0,"",ORIG!K1387)</f>
        <v/>
      </c>
      <c r="L1387" s="3">
        <f>IF(ORIG!L1387=0,"",ORIG!L1387)</f>
        <v/>
      </c>
      <c r="M1387" s="3">
        <f>IF(ORIG!M1387=0,"",ORIG!M1387)</f>
        <v/>
      </c>
      <c r="N1387" s="3">
        <f>IF(ORIG!N1387=0,"",ORIG!N1387)</f>
        <v/>
      </c>
      <c r="O1387" s="3">
        <f>IF(ORIG!O1387=0,"",ORIG!O1387)</f>
        <v/>
      </c>
      <c r="P1387" s="3">
        <f>IF(ORIG!P1387=0,"",ORIG!P1387)</f>
        <v/>
      </c>
      <c r="Q1387" s="3">
        <f>IF(ORIG!Q1387=0,"",ORIG!Q1387)</f>
        <v/>
      </c>
      <c r="R1387" s="3">
        <f>IF(ORIG!R1387=0,"",ORIG!R1387)</f>
        <v/>
      </c>
      <c r="S1387" s="3">
        <f>IF(ORIG!S1387=0,"",ORIG!S1387)</f>
        <v/>
      </c>
      <c r="T1387" s="3">
        <f>IF(ORIG!T1387=0,"",ORIG!T1387)</f>
        <v/>
      </c>
      <c r="U1387" s="3">
        <f>IF(ORIG!U1387=0,"",ORIG!U1387)</f>
        <v/>
      </c>
      <c r="V1387" s="9">
        <f>IF(ORIG!V1387=0,"",ORIG!V1387)</f>
        <v/>
      </c>
      <c r="W1387" s="9">
        <f>IF(ORIG!W1387=0,"",ORIG!W1387)</f>
        <v/>
      </c>
      <c r="X1387" s="9">
        <f>IF(ORIG!X1387=0,"",ORIG!X1387)</f>
        <v/>
      </c>
      <c r="Y1387" s="9">
        <f>IF(ORIG!Y1387=0,"",ORIG!Y1387)</f>
        <v/>
      </c>
      <c r="Z1387" s="3">
        <f>SUMPRODUCT($B1387:$Y1387,$B$2649:$Y$2649)</f>
        <v/>
      </c>
      <c r="AA1387" s="3">
        <f>SUMPRODUCT($B1387:$Y1387,$B$2655:$Y$2655)</f>
        <v/>
      </c>
      <c r="AC1387" s="1">
        <f>A1387</f>
        <v/>
      </c>
      <c r="AD1387">
        <f>IF(ISNUMBER(V1387),V1387*($AB$1/V$2635),"")</f>
        <v/>
      </c>
      <c r="AE1387">
        <f>IF(ISNUMBER(Z1387),Z1387*($AB$1/Z$2635),"")</f>
        <v/>
      </c>
      <c r="AF1387" s="25">
        <f>IF(ISNUMBER(AD1387+AE1387),AD1387+AE1387,"")</f>
        <v/>
      </c>
      <c r="AH1387" s="1">
        <f>A1387</f>
        <v/>
      </c>
      <c r="AI1387">
        <f>IF(ISNUMBER((1+V1387)*AI1386),(1+V1387)*AI1386,AI1386)</f>
        <v/>
      </c>
      <c r="AJ1387">
        <f>IF(ISNUMBER((1+Z1387)*AJ1386),(1+Z1387)*AJ1386,AJ1386)</f>
        <v/>
      </c>
    </row>
    <row r="1388">
      <c r="A1388" s="1" t="n">
        <v>44018</v>
      </c>
      <c r="B1388" s="3">
        <f>IF(ORIG!B1388=0,"",ORIG!B1388)</f>
        <v/>
      </c>
      <c r="C1388" s="3">
        <f>IF(ORIG!C1388=0,"",ORIG!C1388)</f>
        <v/>
      </c>
      <c r="D1388" s="3">
        <f>IF(ORIG!D1388=0,"",ORIG!D1388)</f>
        <v/>
      </c>
      <c r="E1388" s="3">
        <f>IF(ORIG!E1388=0,"",ORIG!E1388)</f>
        <v/>
      </c>
      <c r="F1388" s="3">
        <f>IF(ORIG!F1388=0,"",ORIG!F1388)</f>
        <v/>
      </c>
      <c r="G1388" s="3">
        <f>IF(ORIG!G1388=0,"",ORIG!G1388)</f>
        <v/>
      </c>
      <c r="H1388" s="3">
        <f>IF(ORIG!H1388=0,"",ORIG!H1388)</f>
        <v/>
      </c>
      <c r="I1388" s="3">
        <f>IF(ORIG!I1388=0,"",ORIG!I1388)</f>
        <v/>
      </c>
      <c r="J1388" s="3">
        <f>IF(ORIG!J1388=0,"",ORIG!J1388)</f>
        <v/>
      </c>
      <c r="K1388" s="3">
        <f>IF(ORIG!K1388=0,"",ORIG!K1388)</f>
        <v/>
      </c>
      <c r="L1388" s="3">
        <f>IF(ORIG!L1388=0,"",ORIG!L1388)</f>
        <v/>
      </c>
      <c r="M1388" s="3">
        <f>IF(ORIG!M1388=0,"",ORIG!M1388)</f>
        <v/>
      </c>
      <c r="N1388" s="3">
        <f>IF(ORIG!N1388=0,"",ORIG!N1388)</f>
        <v/>
      </c>
      <c r="O1388" s="3">
        <f>IF(ORIG!O1388=0,"",ORIG!O1388)</f>
        <v/>
      </c>
      <c r="P1388" s="3">
        <f>IF(ORIG!P1388=0,"",ORIG!P1388)</f>
        <v/>
      </c>
      <c r="Q1388" s="3">
        <f>IF(ORIG!Q1388=0,"",ORIG!Q1388)</f>
        <v/>
      </c>
      <c r="R1388" s="3">
        <f>IF(ORIG!R1388=0,"",ORIG!R1388)</f>
        <v/>
      </c>
      <c r="S1388" s="3">
        <f>IF(ORIG!S1388=0,"",ORIG!S1388)</f>
        <v/>
      </c>
      <c r="T1388" s="3">
        <f>IF(ORIG!T1388=0,"",ORIG!T1388)</f>
        <v/>
      </c>
      <c r="U1388" s="3">
        <f>IF(ORIG!U1388=0,"",ORIG!U1388)</f>
        <v/>
      </c>
      <c r="V1388" s="9">
        <f>IF(ORIG!V1388=0,"",ORIG!V1388)</f>
        <v/>
      </c>
      <c r="W1388" s="9">
        <f>IF(ORIG!W1388=0,"",ORIG!W1388)</f>
        <v/>
      </c>
      <c r="X1388" s="9">
        <f>IF(ORIG!X1388=0,"",ORIG!X1388)</f>
        <v/>
      </c>
      <c r="Y1388" s="9">
        <f>IF(ORIG!Y1388=0,"",ORIG!Y1388)</f>
        <v/>
      </c>
      <c r="Z1388" s="3">
        <f>SUMPRODUCT($B1388:$Y1388,$B$2649:$Y$2649)</f>
        <v/>
      </c>
      <c r="AA1388" s="3">
        <f>SUMPRODUCT($B1388:$Y1388,$B$2655:$Y$2655)</f>
        <v/>
      </c>
      <c r="AC1388" s="1">
        <f>A1388</f>
        <v/>
      </c>
      <c r="AD1388">
        <f>IF(ISNUMBER(V1388),V1388*($AB$1/V$2635),"")</f>
        <v/>
      </c>
      <c r="AE1388">
        <f>IF(ISNUMBER(Z1388),Z1388*($AB$1/Z$2635),"")</f>
        <v/>
      </c>
      <c r="AF1388" s="25">
        <f>IF(ISNUMBER(AD1388+AE1388),AD1388+AE1388,"")</f>
        <v/>
      </c>
      <c r="AH1388" s="1">
        <f>A1388</f>
        <v/>
      </c>
      <c r="AI1388">
        <f>IF(ISNUMBER((1+V1388)*AI1387),(1+V1388)*AI1387,AI1387)</f>
        <v/>
      </c>
      <c r="AJ1388">
        <f>IF(ISNUMBER((1+Z1388)*AJ1387),(1+Z1388)*AJ1387,AJ1387)</f>
        <v/>
      </c>
    </row>
    <row r="1389">
      <c r="A1389" s="1" t="n">
        <v>44019</v>
      </c>
      <c r="B1389" s="3">
        <f>IF(ORIG!B1389=0,"",ORIG!B1389)</f>
        <v/>
      </c>
      <c r="C1389" s="3">
        <f>IF(ORIG!C1389=0,"",ORIG!C1389)</f>
        <v/>
      </c>
      <c r="D1389" s="3">
        <f>IF(ORIG!D1389=0,"",ORIG!D1389)</f>
        <v/>
      </c>
      <c r="E1389" s="3">
        <f>IF(ORIG!E1389=0,"",ORIG!E1389)</f>
        <v/>
      </c>
      <c r="F1389" s="3">
        <f>IF(ORIG!F1389=0,"",ORIG!F1389)</f>
        <v/>
      </c>
      <c r="G1389" s="3">
        <f>IF(ORIG!G1389=0,"",ORIG!G1389)</f>
        <v/>
      </c>
      <c r="H1389" s="3">
        <f>IF(ORIG!H1389=0,"",ORIG!H1389)</f>
        <v/>
      </c>
      <c r="I1389" s="3">
        <f>IF(ORIG!I1389=0,"",ORIG!I1389)</f>
        <v/>
      </c>
      <c r="J1389" s="3">
        <f>IF(ORIG!J1389=0,"",ORIG!J1389)</f>
        <v/>
      </c>
      <c r="K1389" s="3">
        <f>IF(ORIG!K1389=0,"",ORIG!K1389)</f>
        <v/>
      </c>
      <c r="L1389" s="3">
        <f>IF(ORIG!L1389=0,"",ORIG!L1389)</f>
        <v/>
      </c>
      <c r="M1389" s="3">
        <f>IF(ORIG!M1389=0,"",ORIG!M1389)</f>
        <v/>
      </c>
      <c r="N1389" s="3">
        <f>IF(ORIG!N1389=0,"",ORIG!N1389)</f>
        <v/>
      </c>
      <c r="O1389" s="3">
        <f>IF(ORIG!O1389=0,"",ORIG!O1389)</f>
        <v/>
      </c>
      <c r="P1389" s="3">
        <f>IF(ORIG!P1389=0,"",ORIG!P1389)</f>
        <v/>
      </c>
      <c r="Q1389" s="3">
        <f>IF(ORIG!Q1389=0,"",ORIG!Q1389)</f>
        <v/>
      </c>
      <c r="R1389" s="3">
        <f>IF(ORIG!R1389=0,"",ORIG!R1389)</f>
        <v/>
      </c>
      <c r="S1389" s="3">
        <f>IF(ORIG!S1389=0,"",ORIG!S1389)</f>
        <v/>
      </c>
      <c r="T1389" s="3">
        <f>IF(ORIG!T1389=0,"",ORIG!T1389)</f>
        <v/>
      </c>
      <c r="U1389" s="3">
        <f>IF(ORIG!U1389=0,"",ORIG!U1389)</f>
        <v/>
      </c>
      <c r="V1389" s="9">
        <f>IF(ORIG!V1389=0,"",ORIG!V1389)</f>
        <v/>
      </c>
      <c r="W1389" s="9">
        <f>IF(ORIG!W1389=0,"",ORIG!W1389)</f>
        <v/>
      </c>
      <c r="X1389" s="9">
        <f>IF(ORIG!X1389=0,"",ORIG!X1389)</f>
        <v/>
      </c>
      <c r="Y1389" s="9">
        <f>IF(ORIG!Y1389=0,"",ORIG!Y1389)</f>
        <v/>
      </c>
      <c r="Z1389" s="3">
        <f>SUMPRODUCT($B1389:$Y1389,$B$2649:$Y$2649)</f>
        <v/>
      </c>
      <c r="AA1389" s="3">
        <f>SUMPRODUCT($B1389:$Y1389,$B$2655:$Y$2655)</f>
        <v/>
      </c>
      <c r="AC1389" s="1">
        <f>A1389</f>
        <v/>
      </c>
      <c r="AD1389">
        <f>IF(ISNUMBER(V1389),V1389*($AB$1/V$2635),"")</f>
        <v/>
      </c>
      <c r="AE1389">
        <f>IF(ISNUMBER(Z1389),Z1389*($AB$1/Z$2635),"")</f>
        <v/>
      </c>
      <c r="AF1389" s="25">
        <f>IF(ISNUMBER(AD1389+AE1389),AD1389+AE1389,"")</f>
        <v/>
      </c>
      <c r="AH1389" s="1">
        <f>A1389</f>
        <v/>
      </c>
      <c r="AI1389">
        <f>IF(ISNUMBER((1+V1389)*AI1388),(1+V1389)*AI1388,AI1388)</f>
        <v/>
      </c>
      <c r="AJ1389">
        <f>IF(ISNUMBER((1+Z1389)*AJ1388),(1+Z1389)*AJ1388,AJ1388)</f>
        <v/>
      </c>
    </row>
    <row r="1390">
      <c r="A1390" s="1" t="n">
        <v>44020</v>
      </c>
      <c r="B1390" s="3">
        <f>IF(ORIG!B1390=0,"",ORIG!B1390)</f>
        <v/>
      </c>
      <c r="C1390" s="3">
        <f>IF(ORIG!C1390=0,"",ORIG!C1390)</f>
        <v/>
      </c>
      <c r="D1390" s="3">
        <f>IF(ORIG!D1390=0,"",ORIG!D1390)</f>
        <v/>
      </c>
      <c r="E1390" s="3">
        <f>IF(ORIG!E1390=0,"",ORIG!E1390)</f>
        <v/>
      </c>
      <c r="F1390" s="3">
        <f>IF(ORIG!F1390=0,"",ORIG!F1390)</f>
        <v/>
      </c>
      <c r="G1390" s="3">
        <f>IF(ORIG!G1390=0,"",ORIG!G1390)</f>
        <v/>
      </c>
      <c r="H1390" s="3">
        <f>IF(ORIG!H1390=0,"",ORIG!H1390)</f>
        <v/>
      </c>
      <c r="I1390" s="3">
        <f>IF(ORIG!I1390=0,"",ORIG!I1390)</f>
        <v/>
      </c>
      <c r="J1390" s="3">
        <f>IF(ORIG!J1390=0,"",ORIG!J1390)</f>
        <v/>
      </c>
      <c r="K1390" s="3">
        <f>IF(ORIG!K1390=0,"",ORIG!K1390)</f>
        <v/>
      </c>
      <c r="L1390" s="3">
        <f>IF(ORIG!L1390=0,"",ORIG!L1390)</f>
        <v/>
      </c>
      <c r="M1390" s="3">
        <f>IF(ORIG!M1390=0,"",ORIG!M1390)</f>
        <v/>
      </c>
      <c r="N1390" s="3">
        <f>IF(ORIG!N1390=0,"",ORIG!N1390)</f>
        <v/>
      </c>
      <c r="O1390" s="3">
        <f>IF(ORIG!O1390=0,"",ORIG!O1390)</f>
        <v/>
      </c>
      <c r="P1390" s="3">
        <f>IF(ORIG!P1390=0,"",ORIG!P1390)</f>
        <v/>
      </c>
      <c r="Q1390" s="3">
        <f>IF(ORIG!Q1390=0,"",ORIG!Q1390)</f>
        <v/>
      </c>
      <c r="R1390" s="3">
        <f>IF(ORIG!R1390=0,"",ORIG!R1390)</f>
        <v/>
      </c>
      <c r="S1390" s="3">
        <f>IF(ORIG!S1390=0,"",ORIG!S1390)</f>
        <v/>
      </c>
      <c r="T1390" s="3">
        <f>IF(ORIG!T1390=0,"",ORIG!T1390)</f>
        <v/>
      </c>
      <c r="U1390" s="3">
        <f>IF(ORIG!U1390=0,"",ORIG!U1390)</f>
        <v/>
      </c>
      <c r="V1390" s="9">
        <f>IF(ORIG!V1390=0,"",ORIG!V1390)</f>
        <v/>
      </c>
      <c r="W1390" s="9">
        <f>IF(ORIG!W1390=0,"",ORIG!W1390)</f>
        <v/>
      </c>
      <c r="X1390" s="9">
        <f>IF(ORIG!X1390=0,"",ORIG!X1390)</f>
        <v/>
      </c>
      <c r="Y1390" s="9">
        <f>IF(ORIG!Y1390=0,"",ORIG!Y1390)</f>
        <v/>
      </c>
      <c r="Z1390" s="3">
        <f>SUMPRODUCT($B1390:$Y1390,$B$2649:$Y$2649)</f>
        <v/>
      </c>
      <c r="AA1390" s="3">
        <f>SUMPRODUCT($B1390:$Y1390,$B$2655:$Y$2655)</f>
        <v/>
      </c>
      <c r="AC1390" s="1">
        <f>A1390</f>
        <v/>
      </c>
      <c r="AD1390">
        <f>IF(ISNUMBER(V1390),V1390*($AB$1/V$2635),"")</f>
        <v/>
      </c>
      <c r="AE1390">
        <f>IF(ISNUMBER(Z1390),Z1390*($AB$1/Z$2635),"")</f>
        <v/>
      </c>
      <c r="AF1390" s="25">
        <f>IF(ISNUMBER(AD1390+AE1390),AD1390+AE1390,"")</f>
        <v/>
      </c>
      <c r="AH1390" s="1">
        <f>A1390</f>
        <v/>
      </c>
      <c r="AI1390">
        <f>IF(ISNUMBER((1+V1390)*AI1389),(1+V1390)*AI1389,AI1389)</f>
        <v/>
      </c>
      <c r="AJ1390">
        <f>IF(ISNUMBER((1+Z1390)*AJ1389),(1+Z1390)*AJ1389,AJ1389)</f>
        <v/>
      </c>
    </row>
    <row r="1391">
      <c r="A1391" s="1" t="n">
        <v>44021</v>
      </c>
      <c r="B1391" s="3">
        <f>IF(ORIG!B1391=0,"",ORIG!B1391)</f>
        <v/>
      </c>
      <c r="C1391" s="3">
        <f>IF(ORIG!C1391=0,"",ORIG!C1391)</f>
        <v/>
      </c>
      <c r="D1391" s="3">
        <f>IF(ORIG!D1391=0,"",ORIG!D1391)</f>
        <v/>
      </c>
      <c r="E1391" s="3">
        <f>IF(ORIG!E1391=0,"",ORIG!E1391)</f>
        <v/>
      </c>
      <c r="F1391" s="3">
        <f>IF(ORIG!F1391=0,"",ORIG!F1391)</f>
        <v/>
      </c>
      <c r="G1391" s="3">
        <f>IF(ORIG!G1391=0,"",ORIG!G1391)</f>
        <v/>
      </c>
      <c r="H1391" s="3">
        <f>IF(ORIG!H1391=0,"",ORIG!H1391)</f>
        <v/>
      </c>
      <c r="I1391" s="3">
        <f>IF(ORIG!I1391=0,"",ORIG!I1391)</f>
        <v/>
      </c>
      <c r="J1391" s="3">
        <f>IF(ORIG!J1391=0,"",ORIG!J1391)</f>
        <v/>
      </c>
      <c r="K1391" s="3">
        <f>IF(ORIG!K1391=0,"",ORIG!K1391)</f>
        <v/>
      </c>
      <c r="L1391" s="3">
        <f>IF(ORIG!L1391=0,"",ORIG!L1391)</f>
        <v/>
      </c>
      <c r="M1391" s="3">
        <f>IF(ORIG!M1391=0,"",ORIG!M1391)</f>
        <v/>
      </c>
      <c r="N1391" s="3">
        <f>IF(ORIG!N1391=0,"",ORIG!N1391)</f>
        <v/>
      </c>
      <c r="O1391" s="3">
        <f>IF(ORIG!O1391=0,"",ORIG!O1391)</f>
        <v/>
      </c>
      <c r="P1391" s="3">
        <f>IF(ORIG!P1391=0,"",ORIG!P1391)</f>
        <v/>
      </c>
      <c r="Q1391" s="3">
        <f>IF(ORIG!Q1391=0,"",ORIG!Q1391)</f>
        <v/>
      </c>
      <c r="R1391" s="3">
        <f>IF(ORIG!R1391=0,"",ORIG!R1391)</f>
        <v/>
      </c>
      <c r="S1391" s="3">
        <f>IF(ORIG!S1391=0,"",ORIG!S1391)</f>
        <v/>
      </c>
      <c r="T1391" s="3">
        <f>IF(ORIG!T1391=0,"",ORIG!T1391)</f>
        <v/>
      </c>
      <c r="U1391" s="3">
        <f>IF(ORIG!U1391=0,"",ORIG!U1391)</f>
        <v/>
      </c>
      <c r="V1391" s="9">
        <f>IF(ORIG!V1391=0,"",ORIG!V1391)</f>
        <v/>
      </c>
      <c r="W1391" s="9">
        <f>IF(ORIG!W1391=0,"",ORIG!W1391)</f>
        <v/>
      </c>
      <c r="X1391" s="9">
        <f>IF(ORIG!X1391=0,"",ORIG!X1391)</f>
        <v/>
      </c>
      <c r="Y1391" s="9">
        <f>IF(ORIG!Y1391=0,"",ORIG!Y1391)</f>
        <v/>
      </c>
      <c r="Z1391" s="3">
        <f>SUMPRODUCT($B1391:$Y1391,$B$2649:$Y$2649)</f>
        <v/>
      </c>
      <c r="AA1391" s="3">
        <f>SUMPRODUCT($B1391:$Y1391,$B$2655:$Y$2655)</f>
        <v/>
      </c>
      <c r="AC1391" s="1">
        <f>A1391</f>
        <v/>
      </c>
      <c r="AD1391">
        <f>IF(ISNUMBER(V1391),V1391*($AB$1/V$2635),"")</f>
        <v/>
      </c>
      <c r="AE1391">
        <f>IF(ISNUMBER(Z1391),Z1391*($AB$1/Z$2635),"")</f>
        <v/>
      </c>
      <c r="AF1391" s="25">
        <f>IF(ISNUMBER(AD1391+AE1391),AD1391+AE1391,"")</f>
        <v/>
      </c>
      <c r="AH1391" s="1">
        <f>A1391</f>
        <v/>
      </c>
      <c r="AI1391">
        <f>IF(ISNUMBER((1+V1391)*AI1390),(1+V1391)*AI1390,AI1390)</f>
        <v/>
      </c>
      <c r="AJ1391">
        <f>IF(ISNUMBER((1+Z1391)*AJ1390),(1+Z1391)*AJ1390,AJ1390)</f>
        <v/>
      </c>
    </row>
    <row r="1392">
      <c r="A1392" s="1" t="n">
        <v>44022</v>
      </c>
      <c r="B1392" s="3">
        <f>IF(ORIG!B1392=0,"",ORIG!B1392)</f>
        <v/>
      </c>
      <c r="C1392" s="3">
        <f>IF(ORIG!C1392=0,"",ORIG!C1392)</f>
        <v/>
      </c>
      <c r="D1392" s="3">
        <f>IF(ORIG!D1392=0,"",ORIG!D1392)</f>
        <v/>
      </c>
      <c r="E1392" s="3">
        <f>IF(ORIG!E1392=0,"",ORIG!E1392)</f>
        <v/>
      </c>
      <c r="F1392" s="3">
        <f>IF(ORIG!F1392=0,"",ORIG!F1392)</f>
        <v/>
      </c>
      <c r="G1392" s="3">
        <f>IF(ORIG!G1392=0,"",ORIG!G1392)</f>
        <v/>
      </c>
      <c r="H1392" s="3">
        <f>IF(ORIG!H1392=0,"",ORIG!H1392)</f>
        <v/>
      </c>
      <c r="I1392" s="3">
        <f>IF(ORIG!I1392=0,"",ORIG!I1392)</f>
        <v/>
      </c>
      <c r="J1392" s="3">
        <f>IF(ORIG!J1392=0,"",ORIG!J1392)</f>
        <v/>
      </c>
      <c r="K1392" s="3">
        <f>IF(ORIG!K1392=0,"",ORIG!K1392)</f>
        <v/>
      </c>
      <c r="L1392" s="3">
        <f>IF(ORIG!L1392=0,"",ORIG!L1392)</f>
        <v/>
      </c>
      <c r="M1392" s="3">
        <f>IF(ORIG!M1392=0,"",ORIG!M1392)</f>
        <v/>
      </c>
      <c r="N1392" s="3">
        <f>IF(ORIG!N1392=0,"",ORIG!N1392)</f>
        <v/>
      </c>
      <c r="O1392" s="3">
        <f>IF(ORIG!O1392=0,"",ORIG!O1392)</f>
        <v/>
      </c>
      <c r="P1392" s="3">
        <f>IF(ORIG!P1392=0,"",ORIG!P1392)</f>
        <v/>
      </c>
      <c r="Q1392" s="3">
        <f>IF(ORIG!Q1392=0,"",ORIG!Q1392)</f>
        <v/>
      </c>
      <c r="R1392" s="3">
        <f>IF(ORIG!R1392=0,"",ORIG!R1392)</f>
        <v/>
      </c>
      <c r="S1392" s="3">
        <f>IF(ORIG!S1392=0,"",ORIG!S1392)</f>
        <v/>
      </c>
      <c r="T1392" s="3">
        <f>IF(ORIG!T1392=0,"",ORIG!T1392)</f>
        <v/>
      </c>
      <c r="U1392" s="3">
        <f>IF(ORIG!U1392=0,"",ORIG!U1392)</f>
        <v/>
      </c>
      <c r="V1392" s="9">
        <f>IF(ORIG!V1392=0,"",ORIG!V1392)</f>
        <v/>
      </c>
      <c r="W1392" s="9">
        <f>IF(ORIG!W1392=0,"",ORIG!W1392)</f>
        <v/>
      </c>
      <c r="X1392" s="9">
        <f>IF(ORIG!X1392=0,"",ORIG!X1392)</f>
        <v/>
      </c>
      <c r="Y1392" s="9">
        <f>IF(ORIG!Y1392=0,"",ORIG!Y1392)</f>
        <v/>
      </c>
      <c r="Z1392" s="3">
        <f>SUMPRODUCT($B1392:$Y1392,$B$2649:$Y$2649)</f>
        <v/>
      </c>
      <c r="AA1392" s="3">
        <f>SUMPRODUCT($B1392:$Y1392,$B$2655:$Y$2655)</f>
        <v/>
      </c>
      <c r="AC1392" s="1">
        <f>A1392</f>
        <v/>
      </c>
      <c r="AD1392">
        <f>IF(ISNUMBER(V1392),V1392*($AB$1/V$2635),"")</f>
        <v/>
      </c>
      <c r="AE1392">
        <f>IF(ISNUMBER(Z1392),Z1392*($AB$1/Z$2635),"")</f>
        <v/>
      </c>
      <c r="AF1392" s="25">
        <f>IF(ISNUMBER(AD1392+AE1392),AD1392+AE1392,"")</f>
        <v/>
      </c>
      <c r="AH1392" s="1">
        <f>A1392</f>
        <v/>
      </c>
      <c r="AI1392">
        <f>IF(ISNUMBER((1+V1392)*AI1391),(1+V1392)*AI1391,AI1391)</f>
        <v/>
      </c>
      <c r="AJ1392">
        <f>IF(ISNUMBER((1+Z1392)*AJ1391),(1+Z1392)*AJ1391,AJ1391)</f>
        <v/>
      </c>
    </row>
    <row r="1393">
      <c r="A1393" s="1" t="n">
        <v>44025</v>
      </c>
      <c r="B1393" s="3">
        <f>IF(ORIG!B1393=0,"",ORIG!B1393)</f>
        <v/>
      </c>
      <c r="C1393" s="3">
        <f>IF(ORIG!C1393=0,"",ORIG!C1393)</f>
        <v/>
      </c>
      <c r="D1393" s="3">
        <f>IF(ORIG!D1393=0,"",ORIG!D1393)</f>
        <v/>
      </c>
      <c r="E1393" s="3">
        <f>IF(ORIG!E1393=0,"",ORIG!E1393)</f>
        <v/>
      </c>
      <c r="F1393" s="3">
        <f>IF(ORIG!F1393=0,"",ORIG!F1393)</f>
        <v/>
      </c>
      <c r="G1393" s="3">
        <f>IF(ORIG!G1393=0,"",ORIG!G1393)</f>
        <v/>
      </c>
      <c r="H1393" s="3">
        <f>IF(ORIG!H1393=0,"",ORIG!H1393)</f>
        <v/>
      </c>
      <c r="I1393" s="3">
        <f>IF(ORIG!I1393=0,"",ORIG!I1393)</f>
        <v/>
      </c>
      <c r="J1393" s="3">
        <f>IF(ORIG!J1393=0,"",ORIG!J1393)</f>
        <v/>
      </c>
      <c r="K1393" s="3">
        <f>IF(ORIG!K1393=0,"",ORIG!K1393)</f>
        <v/>
      </c>
      <c r="L1393" s="3">
        <f>IF(ORIG!L1393=0,"",ORIG!L1393)</f>
        <v/>
      </c>
      <c r="M1393" s="3">
        <f>IF(ORIG!M1393=0,"",ORIG!M1393)</f>
        <v/>
      </c>
      <c r="N1393" s="3">
        <f>IF(ORIG!N1393=0,"",ORIG!N1393)</f>
        <v/>
      </c>
      <c r="O1393" s="3">
        <f>IF(ORIG!O1393=0,"",ORIG!O1393)</f>
        <v/>
      </c>
      <c r="P1393" s="3">
        <f>IF(ORIG!P1393=0,"",ORIG!P1393)</f>
        <v/>
      </c>
      <c r="Q1393" s="3">
        <f>IF(ORIG!Q1393=0,"",ORIG!Q1393)</f>
        <v/>
      </c>
      <c r="R1393" s="3">
        <f>IF(ORIG!R1393=0,"",ORIG!R1393)</f>
        <v/>
      </c>
      <c r="S1393" s="3">
        <f>IF(ORIG!S1393=0,"",ORIG!S1393)</f>
        <v/>
      </c>
      <c r="T1393" s="3">
        <f>IF(ORIG!T1393=0,"",ORIG!T1393)</f>
        <v/>
      </c>
      <c r="U1393" s="3">
        <f>IF(ORIG!U1393=0,"",ORIG!U1393)</f>
        <v/>
      </c>
      <c r="V1393" s="9">
        <f>IF(ORIG!V1393=0,"",ORIG!V1393)</f>
        <v/>
      </c>
      <c r="W1393" s="9">
        <f>IF(ORIG!W1393=0,"",ORIG!W1393)</f>
        <v/>
      </c>
      <c r="X1393" s="9">
        <f>IF(ORIG!X1393=0,"",ORIG!X1393)</f>
        <v/>
      </c>
      <c r="Y1393" s="9">
        <f>IF(ORIG!Y1393=0,"",ORIG!Y1393)</f>
        <v/>
      </c>
      <c r="Z1393" s="3">
        <f>SUMPRODUCT($B1393:$Y1393,$B$2649:$Y$2649)</f>
        <v/>
      </c>
      <c r="AA1393" s="3">
        <f>SUMPRODUCT($B1393:$Y1393,$B$2655:$Y$2655)</f>
        <v/>
      </c>
      <c r="AC1393" s="1">
        <f>A1393</f>
        <v/>
      </c>
      <c r="AD1393">
        <f>IF(ISNUMBER(V1393),V1393*($AB$1/V$2635),"")</f>
        <v/>
      </c>
      <c r="AE1393">
        <f>IF(ISNUMBER(Z1393),Z1393*($AB$1/Z$2635),"")</f>
        <v/>
      </c>
      <c r="AF1393" s="25">
        <f>IF(ISNUMBER(AD1393+AE1393),AD1393+AE1393,"")</f>
        <v/>
      </c>
      <c r="AH1393" s="1">
        <f>A1393</f>
        <v/>
      </c>
      <c r="AI1393">
        <f>IF(ISNUMBER((1+V1393)*AI1392),(1+V1393)*AI1392,AI1392)</f>
        <v/>
      </c>
      <c r="AJ1393">
        <f>IF(ISNUMBER((1+Z1393)*AJ1392),(1+Z1393)*AJ1392,AJ1392)</f>
        <v/>
      </c>
    </row>
    <row r="1394">
      <c r="A1394" s="1" t="n">
        <v>44026</v>
      </c>
      <c r="B1394" s="3">
        <f>IF(ORIG!B1394=0,"",ORIG!B1394)</f>
        <v/>
      </c>
      <c r="C1394" s="3">
        <f>IF(ORIG!C1394=0,"",ORIG!C1394)</f>
        <v/>
      </c>
      <c r="D1394" s="3">
        <f>IF(ORIG!D1394=0,"",ORIG!D1394)</f>
        <v/>
      </c>
      <c r="E1394" s="3">
        <f>IF(ORIG!E1394=0,"",ORIG!E1394)</f>
        <v/>
      </c>
      <c r="F1394" s="3">
        <f>IF(ORIG!F1394=0,"",ORIG!F1394)</f>
        <v/>
      </c>
      <c r="G1394" s="3">
        <f>IF(ORIG!G1394=0,"",ORIG!G1394)</f>
        <v/>
      </c>
      <c r="H1394" s="3">
        <f>IF(ORIG!H1394=0,"",ORIG!H1394)</f>
        <v/>
      </c>
      <c r="I1394" s="3">
        <f>IF(ORIG!I1394=0,"",ORIG!I1394)</f>
        <v/>
      </c>
      <c r="J1394" s="3">
        <f>IF(ORIG!J1394=0,"",ORIG!J1394)</f>
        <v/>
      </c>
      <c r="K1394" s="3">
        <f>IF(ORIG!K1394=0,"",ORIG!K1394)</f>
        <v/>
      </c>
      <c r="L1394" s="3">
        <f>IF(ORIG!L1394=0,"",ORIG!L1394)</f>
        <v/>
      </c>
      <c r="M1394" s="3">
        <f>IF(ORIG!M1394=0,"",ORIG!M1394)</f>
        <v/>
      </c>
      <c r="N1394" s="3">
        <f>IF(ORIG!N1394=0,"",ORIG!N1394)</f>
        <v/>
      </c>
      <c r="O1394" s="3">
        <f>IF(ORIG!O1394=0,"",ORIG!O1394)</f>
        <v/>
      </c>
      <c r="P1394" s="3">
        <f>IF(ORIG!P1394=0,"",ORIG!P1394)</f>
        <v/>
      </c>
      <c r="Q1394" s="3">
        <f>IF(ORIG!Q1394=0,"",ORIG!Q1394)</f>
        <v/>
      </c>
      <c r="R1394" s="3">
        <f>IF(ORIG!R1394=0,"",ORIG!R1394)</f>
        <v/>
      </c>
      <c r="S1394" s="3">
        <f>IF(ORIG!S1394=0,"",ORIG!S1394)</f>
        <v/>
      </c>
      <c r="T1394" s="3">
        <f>IF(ORIG!T1394=0,"",ORIG!T1394)</f>
        <v/>
      </c>
      <c r="U1394" s="3">
        <f>IF(ORIG!U1394=0,"",ORIG!U1394)</f>
        <v/>
      </c>
      <c r="V1394" s="9">
        <f>IF(ORIG!V1394=0,"",ORIG!V1394)</f>
        <v/>
      </c>
      <c r="W1394" s="9">
        <f>IF(ORIG!W1394=0,"",ORIG!W1394)</f>
        <v/>
      </c>
      <c r="X1394" s="9">
        <f>IF(ORIG!X1394=0,"",ORIG!X1394)</f>
        <v/>
      </c>
      <c r="Y1394" s="9">
        <f>IF(ORIG!Y1394=0,"",ORIG!Y1394)</f>
        <v/>
      </c>
      <c r="Z1394" s="3">
        <f>SUMPRODUCT($B1394:$Y1394,$B$2649:$Y$2649)</f>
        <v/>
      </c>
      <c r="AA1394" s="3">
        <f>SUMPRODUCT($B1394:$Y1394,$B$2655:$Y$2655)</f>
        <v/>
      </c>
      <c r="AC1394" s="1">
        <f>A1394</f>
        <v/>
      </c>
      <c r="AD1394">
        <f>IF(ISNUMBER(V1394),V1394*($AB$1/V$2635),"")</f>
        <v/>
      </c>
      <c r="AE1394">
        <f>IF(ISNUMBER(Z1394),Z1394*($AB$1/Z$2635),"")</f>
        <v/>
      </c>
      <c r="AF1394" s="25">
        <f>IF(ISNUMBER(AD1394+AE1394),AD1394+AE1394,"")</f>
        <v/>
      </c>
      <c r="AH1394" s="1">
        <f>A1394</f>
        <v/>
      </c>
      <c r="AI1394">
        <f>IF(ISNUMBER((1+V1394)*AI1393),(1+V1394)*AI1393,AI1393)</f>
        <v/>
      </c>
      <c r="AJ1394">
        <f>IF(ISNUMBER((1+Z1394)*AJ1393),(1+Z1394)*AJ1393,AJ1393)</f>
        <v/>
      </c>
    </row>
    <row r="1395">
      <c r="A1395" s="1" t="n">
        <v>44027</v>
      </c>
      <c r="B1395" s="3">
        <f>IF(ORIG!B1395=0,"",ORIG!B1395)</f>
        <v/>
      </c>
      <c r="C1395" s="3">
        <f>IF(ORIG!C1395=0,"",ORIG!C1395)</f>
        <v/>
      </c>
      <c r="D1395" s="3">
        <f>IF(ORIG!D1395=0,"",ORIG!D1395)</f>
        <v/>
      </c>
      <c r="E1395" s="3">
        <f>IF(ORIG!E1395=0,"",ORIG!E1395)</f>
        <v/>
      </c>
      <c r="F1395" s="3">
        <f>IF(ORIG!F1395=0,"",ORIG!F1395)</f>
        <v/>
      </c>
      <c r="G1395" s="3">
        <f>IF(ORIG!G1395=0,"",ORIG!G1395)</f>
        <v/>
      </c>
      <c r="H1395" s="3">
        <f>IF(ORIG!H1395=0,"",ORIG!H1395)</f>
        <v/>
      </c>
      <c r="I1395" s="3">
        <f>IF(ORIG!I1395=0,"",ORIG!I1395)</f>
        <v/>
      </c>
      <c r="J1395" s="3">
        <f>IF(ORIG!J1395=0,"",ORIG!J1395)</f>
        <v/>
      </c>
      <c r="K1395" s="3">
        <f>IF(ORIG!K1395=0,"",ORIG!K1395)</f>
        <v/>
      </c>
      <c r="L1395" s="3">
        <f>IF(ORIG!L1395=0,"",ORIG!L1395)</f>
        <v/>
      </c>
      <c r="M1395" s="3">
        <f>IF(ORIG!M1395=0,"",ORIG!M1395)</f>
        <v/>
      </c>
      <c r="N1395" s="3">
        <f>IF(ORIG!N1395=0,"",ORIG!N1395)</f>
        <v/>
      </c>
      <c r="O1395" s="3">
        <f>IF(ORIG!O1395=0,"",ORIG!O1395)</f>
        <v/>
      </c>
      <c r="P1395" s="3">
        <f>IF(ORIG!P1395=0,"",ORIG!P1395)</f>
        <v/>
      </c>
      <c r="Q1395" s="3">
        <f>IF(ORIG!Q1395=0,"",ORIG!Q1395)</f>
        <v/>
      </c>
      <c r="R1395" s="3">
        <f>IF(ORIG!R1395=0,"",ORIG!R1395)</f>
        <v/>
      </c>
      <c r="S1395" s="3">
        <f>IF(ORIG!S1395=0,"",ORIG!S1395)</f>
        <v/>
      </c>
      <c r="T1395" s="3">
        <f>IF(ORIG!T1395=0,"",ORIG!T1395)</f>
        <v/>
      </c>
      <c r="U1395" s="3">
        <f>IF(ORIG!U1395=0,"",ORIG!U1395)</f>
        <v/>
      </c>
      <c r="V1395" s="9">
        <f>IF(ORIG!V1395=0,"",ORIG!V1395)</f>
        <v/>
      </c>
      <c r="W1395" s="9">
        <f>IF(ORIG!W1395=0,"",ORIG!W1395)</f>
        <v/>
      </c>
      <c r="X1395" s="9">
        <f>IF(ORIG!X1395=0,"",ORIG!X1395)</f>
        <v/>
      </c>
      <c r="Y1395" s="9">
        <f>IF(ORIG!Y1395=0,"",ORIG!Y1395)</f>
        <v/>
      </c>
      <c r="Z1395" s="3">
        <f>SUMPRODUCT($B1395:$Y1395,$B$2649:$Y$2649)</f>
        <v/>
      </c>
      <c r="AA1395" s="3">
        <f>SUMPRODUCT($B1395:$Y1395,$B$2655:$Y$2655)</f>
        <v/>
      </c>
      <c r="AC1395" s="1">
        <f>A1395</f>
        <v/>
      </c>
      <c r="AD1395">
        <f>IF(ISNUMBER(V1395),V1395*($AB$1/V$2635),"")</f>
        <v/>
      </c>
      <c r="AE1395">
        <f>IF(ISNUMBER(Z1395),Z1395*($AB$1/Z$2635),"")</f>
        <v/>
      </c>
      <c r="AF1395" s="25">
        <f>IF(ISNUMBER(AD1395+AE1395),AD1395+AE1395,"")</f>
        <v/>
      </c>
      <c r="AH1395" s="1">
        <f>A1395</f>
        <v/>
      </c>
      <c r="AI1395">
        <f>IF(ISNUMBER((1+V1395)*AI1394),(1+V1395)*AI1394,AI1394)</f>
        <v/>
      </c>
      <c r="AJ1395">
        <f>IF(ISNUMBER((1+Z1395)*AJ1394),(1+Z1395)*AJ1394,AJ1394)</f>
        <v/>
      </c>
    </row>
    <row r="1396">
      <c r="A1396" s="1" t="n">
        <v>44028</v>
      </c>
      <c r="B1396" s="3">
        <f>IF(ORIG!B1396=0,"",ORIG!B1396)</f>
        <v/>
      </c>
      <c r="C1396" s="3">
        <f>IF(ORIG!C1396=0,"",ORIG!C1396)</f>
        <v/>
      </c>
      <c r="D1396" s="3">
        <f>IF(ORIG!D1396=0,"",ORIG!D1396)</f>
        <v/>
      </c>
      <c r="E1396" s="3">
        <f>IF(ORIG!E1396=0,"",ORIG!E1396)</f>
        <v/>
      </c>
      <c r="F1396" s="3">
        <f>IF(ORIG!F1396=0,"",ORIG!F1396)</f>
        <v/>
      </c>
      <c r="G1396" s="3">
        <f>IF(ORIG!G1396=0,"",ORIG!G1396)</f>
        <v/>
      </c>
      <c r="H1396" s="3">
        <f>IF(ORIG!H1396=0,"",ORIG!H1396)</f>
        <v/>
      </c>
      <c r="I1396" s="3">
        <f>IF(ORIG!I1396=0,"",ORIG!I1396)</f>
        <v/>
      </c>
      <c r="J1396" s="3">
        <f>IF(ORIG!J1396=0,"",ORIG!J1396)</f>
        <v/>
      </c>
      <c r="K1396" s="3">
        <f>IF(ORIG!K1396=0,"",ORIG!K1396)</f>
        <v/>
      </c>
      <c r="L1396" s="3">
        <f>IF(ORIG!L1396=0,"",ORIG!L1396)</f>
        <v/>
      </c>
      <c r="M1396" s="3">
        <f>IF(ORIG!M1396=0,"",ORIG!M1396)</f>
        <v/>
      </c>
      <c r="N1396" s="3">
        <f>IF(ORIG!N1396=0,"",ORIG!N1396)</f>
        <v/>
      </c>
      <c r="O1396" s="3">
        <f>IF(ORIG!O1396=0,"",ORIG!O1396)</f>
        <v/>
      </c>
      <c r="P1396" s="3">
        <f>IF(ORIG!P1396=0,"",ORIG!P1396)</f>
        <v/>
      </c>
      <c r="Q1396" s="3">
        <f>IF(ORIG!Q1396=0,"",ORIG!Q1396)</f>
        <v/>
      </c>
      <c r="R1396" s="3">
        <f>IF(ORIG!R1396=0,"",ORIG!R1396)</f>
        <v/>
      </c>
      <c r="S1396" s="3">
        <f>IF(ORIG!S1396=0,"",ORIG!S1396)</f>
        <v/>
      </c>
      <c r="T1396" s="3">
        <f>IF(ORIG!T1396=0,"",ORIG!T1396)</f>
        <v/>
      </c>
      <c r="U1396" s="3">
        <f>IF(ORIG!U1396=0,"",ORIG!U1396)</f>
        <v/>
      </c>
      <c r="V1396" s="9">
        <f>IF(ORIG!V1396=0,"",ORIG!V1396)</f>
        <v/>
      </c>
      <c r="W1396" s="9">
        <f>IF(ORIG!W1396=0,"",ORIG!W1396)</f>
        <v/>
      </c>
      <c r="X1396" s="9">
        <f>IF(ORIG!X1396=0,"",ORIG!X1396)</f>
        <v/>
      </c>
      <c r="Y1396" s="9">
        <f>IF(ORIG!Y1396=0,"",ORIG!Y1396)</f>
        <v/>
      </c>
      <c r="Z1396" s="3">
        <f>SUMPRODUCT($B1396:$Y1396,$B$2649:$Y$2649)</f>
        <v/>
      </c>
      <c r="AA1396" s="3">
        <f>SUMPRODUCT($B1396:$Y1396,$B$2655:$Y$2655)</f>
        <v/>
      </c>
      <c r="AC1396" s="1">
        <f>A1396</f>
        <v/>
      </c>
      <c r="AD1396">
        <f>IF(ISNUMBER(V1396),V1396*($AB$1/V$2635),"")</f>
        <v/>
      </c>
      <c r="AE1396">
        <f>IF(ISNUMBER(Z1396),Z1396*($AB$1/Z$2635),"")</f>
        <v/>
      </c>
      <c r="AF1396" s="25">
        <f>IF(ISNUMBER(AD1396+AE1396),AD1396+AE1396,"")</f>
        <v/>
      </c>
      <c r="AH1396" s="1">
        <f>A1396</f>
        <v/>
      </c>
      <c r="AI1396">
        <f>IF(ISNUMBER((1+V1396)*AI1395),(1+V1396)*AI1395,AI1395)</f>
        <v/>
      </c>
      <c r="AJ1396">
        <f>IF(ISNUMBER((1+Z1396)*AJ1395),(1+Z1396)*AJ1395,AJ1395)</f>
        <v/>
      </c>
    </row>
    <row r="1397">
      <c r="A1397" s="1" t="n">
        <v>44029</v>
      </c>
      <c r="B1397" s="3">
        <f>IF(ORIG!B1397=0,"",ORIG!B1397)</f>
        <v/>
      </c>
      <c r="C1397" s="3">
        <f>IF(ORIG!C1397=0,"",ORIG!C1397)</f>
        <v/>
      </c>
      <c r="D1397" s="3">
        <f>IF(ORIG!D1397=0,"",ORIG!D1397)</f>
        <v/>
      </c>
      <c r="E1397" s="3">
        <f>IF(ORIG!E1397=0,"",ORIG!E1397)</f>
        <v/>
      </c>
      <c r="F1397" s="3">
        <f>IF(ORIG!F1397=0,"",ORIG!F1397)</f>
        <v/>
      </c>
      <c r="G1397" s="3">
        <f>IF(ORIG!G1397=0,"",ORIG!G1397)</f>
        <v/>
      </c>
      <c r="H1397" s="3">
        <f>IF(ORIG!H1397=0,"",ORIG!H1397)</f>
        <v/>
      </c>
      <c r="I1397" s="3">
        <f>IF(ORIG!I1397=0,"",ORIG!I1397)</f>
        <v/>
      </c>
      <c r="J1397" s="3">
        <f>IF(ORIG!J1397=0,"",ORIG!J1397)</f>
        <v/>
      </c>
      <c r="K1397" s="3">
        <f>IF(ORIG!K1397=0,"",ORIG!K1397)</f>
        <v/>
      </c>
      <c r="L1397" s="3">
        <f>IF(ORIG!L1397=0,"",ORIG!L1397)</f>
        <v/>
      </c>
      <c r="M1397" s="3">
        <f>IF(ORIG!M1397=0,"",ORIG!M1397)</f>
        <v/>
      </c>
      <c r="N1397" s="3">
        <f>IF(ORIG!N1397=0,"",ORIG!N1397)</f>
        <v/>
      </c>
      <c r="O1397" s="3">
        <f>IF(ORIG!O1397=0,"",ORIG!O1397)</f>
        <v/>
      </c>
      <c r="P1397" s="3">
        <f>IF(ORIG!P1397=0,"",ORIG!P1397)</f>
        <v/>
      </c>
      <c r="Q1397" s="3">
        <f>IF(ORIG!Q1397=0,"",ORIG!Q1397)</f>
        <v/>
      </c>
      <c r="R1397" s="3">
        <f>IF(ORIG!R1397=0,"",ORIG!R1397)</f>
        <v/>
      </c>
      <c r="S1397" s="3">
        <f>IF(ORIG!S1397=0,"",ORIG!S1397)</f>
        <v/>
      </c>
      <c r="T1397" s="3">
        <f>IF(ORIG!T1397=0,"",ORIG!T1397)</f>
        <v/>
      </c>
      <c r="U1397" s="3">
        <f>IF(ORIG!U1397=0,"",ORIG!U1397)</f>
        <v/>
      </c>
      <c r="V1397" s="9">
        <f>IF(ORIG!V1397=0,"",ORIG!V1397)</f>
        <v/>
      </c>
      <c r="W1397" s="9">
        <f>IF(ORIG!W1397=0,"",ORIG!W1397)</f>
        <v/>
      </c>
      <c r="X1397" s="9">
        <f>IF(ORIG!X1397=0,"",ORIG!X1397)</f>
        <v/>
      </c>
      <c r="Y1397" s="9">
        <f>IF(ORIG!Y1397=0,"",ORIG!Y1397)</f>
        <v/>
      </c>
      <c r="Z1397" s="3">
        <f>SUMPRODUCT($B1397:$Y1397,$B$2649:$Y$2649)</f>
        <v/>
      </c>
      <c r="AA1397" s="3">
        <f>SUMPRODUCT($B1397:$Y1397,$B$2655:$Y$2655)</f>
        <v/>
      </c>
      <c r="AC1397" s="1">
        <f>A1397</f>
        <v/>
      </c>
      <c r="AD1397">
        <f>IF(ISNUMBER(V1397),V1397*($AB$1/V$2635),"")</f>
        <v/>
      </c>
      <c r="AE1397">
        <f>IF(ISNUMBER(Z1397),Z1397*($AB$1/Z$2635),"")</f>
        <v/>
      </c>
      <c r="AF1397" s="25">
        <f>IF(ISNUMBER(AD1397+AE1397),AD1397+AE1397,"")</f>
        <v/>
      </c>
      <c r="AH1397" s="1">
        <f>A1397</f>
        <v/>
      </c>
      <c r="AI1397">
        <f>IF(ISNUMBER((1+V1397)*AI1396),(1+V1397)*AI1396,AI1396)</f>
        <v/>
      </c>
      <c r="AJ1397">
        <f>IF(ISNUMBER((1+Z1397)*AJ1396),(1+Z1397)*AJ1396,AJ1396)</f>
        <v/>
      </c>
    </row>
    <row r="1398">
      <c r="A1398" s="1" t="n">
        <v>44032</v>
      </c>
      <c r="B1398" s="3">
        <f>IF(ORIG!B1398=0,"",ORIG!B1398)</f>
        <v/>
      </c>
      <c r="C1398" s="3">
        <f>IF(ORIG!C1398=0,"",ORIG!C1398)</f>
        <v/>
      </c>
      <c r="D1398" s="3">
        <f>IF(ORIG!D1398=0,"",ORIG!D1398)</f>
        <v/>
      </c>
      <c r="E1398" s="3">
        <f>IF(ORIG!E1398=0,"",ORIG!E1398)</f>
        <v/>
      </c>
      <c r="F1398" s="3">
        <f>IF(ORIG!F1398=0,"",ORIG!F1398)</f>
        <v/>
      </c>
      <c r="G1398" s="3">
        <f>IF(ORIG!G1398=0,"",ORIG!G1398)</f>
        <v/>
      </c>
      <c r="H1398" s="3">
        <f>IF(ORIG!H1398=0,"",ORIG!H1398)</f>
        <v/>
      </c>
      <c r="I1398" s="3">
        <f>IF(ORIG!I1398=0,"",ORIG!I1398)</f>
        <v/>
      </c>
      <c r="J1398" s="3">
        <f>IF(ORIG!J1398=0,"",ORIG!J1398)</f>
        <v/>
      </c>
      <c r="K1398" s="3">
        <f>IF(ORIG!K1398=0,"",ORIG!K1398)</f>
        <v/>
      </c>
      <c r="L1398" s="3">
        <f>IF(ORIG!L1398=0,"",ORIG!L1398)</f>
        <v/>
      </c>
      <c r="M1398" s="3">
        <f>IF(ORIG!M1398=0,"",ORIG!M1398)</f>
        <v/>
      </c>
      <c r="N1398" s="3">
        <f>IF(ORIG!N1398=0,"",ORIG!N1398)</f>
        <v/>
      </c>
      <c r="O1398" s="3">
        <f>IF(ORIG!O1398=0,"",ORIG!O1398)</f>
        <v/>
      </c>
      <c r="P1398" s="3">
        <f>IF(ORIG!P1398=0,"",ORIG!P1398)</f>
        <v/>
      </c>
      <c r="Q1398" s="3">
        <f>IF(ORIG!Q1398=0,"",ORIG!Q1398)</f>
        <v/>
      </c>
      <c r="R1398" s="3">
        <f>IF(ORIG!R1398=0,"",ORIG!R1398)</f>
        <v/>
      </c>
      <c r="S1398" s="3">
        <f>IF(ORIG!S1398=0,"",ORIG!S1398)</f>
        <v/>
      </c>
      <c r="T1398" s="3">
        <f>IF(ORIG!T1398=0,"",ORIG!T1398)</f>
        <v/>
      </c>
      <c r="U1398" s="3">
        <f>IF(ORIG!U1398=0,"",ORIG!U1398)</f>
        <v/>
      </c>
      <c r="V1398" s="9">
        <f>IF(ORIG!V1398=0,"",ORIG!V1398)</f>
        <v/>
      </c>
      <c r="W1398" s="9">
        <f>IF(ORIG!W1398=0,"",ORIG!W1398)</f>
        <v/>
      </c>
      <c r="X1398" s="9">
        <f>IF(ORIG!X1398=0,"",ORIG!X1398)</f>
        <v/>
      </c>
      <c r="Y1398" s="9">
        <f>IF(ORIG!Y1398=0,"",ORIG!Y1398)</f>
        <v/>
      </c>
      <c r="Z1398" s="3">
        <f>SUMPRODUCT($B1398:$Y1398,$B$2649:$Y$2649)</f>
        <v/>
      </c>
      <c r="AA1398" s="3">
        <f>SUMPRODUCT($B1398:$Y1398,$B$2655:$Y$2655)</f>
        <v/>
      </c>
      <c r="AC1398" s="1">
        <f>A1398</f>
        <v/>
      </c>
      <c r="AD1398">
        <f>IF(ISNUMBER(V1398),V1398*($AB$1/V$2635),"")</f>
        <v/>
      </c>
      <c r="AE1398">
        <f>IF(ISNUMBER(Z1398),Z1398*($AB$1/Z$2635),"")</f>
        <v/>
      </c>
      <c r="AF1398" s="25">
        <f>IF(ISNUMBER(AD1398+AE1398),AD1398+AE1398,"")</f>
        <v/>
      </c>
      <c r="AH1398" s="1">
        <f>A1398</f>
        <v/>
      </c>
      <c r="AI1398">
        <f>IF(ISNUMBER((1+V1398)*AI1397),(1+V1398)*AI1397,AI1397)</f>
        <v/>
      </c>
      <c r="AJ1398">
        <f>IF(ISNUMBER((1+Z1398)*AJ1397),(1+Z1398)*AJ1397,AJ1397)</f>
        <v/>
      </c>
    </row>
    <row r="1399">
      <c r="A1399" s="1" t="n">
        <v>44033</v>
      </c>
      <c r="B1399" s="3">
        <f>IF(ORIG!B1399=0,"",ORIG!B1399)</f>
        <v/>
      </c>
      <c r="C1399" s="3">
        <f>IF(ORIG!C1399=0,"",ORIG!C1399)</f>
        <v/>
      </c>
      <c r="D1399" s="3">
        <f>IF(ORIG!D1399=0,"",ORIG!D1399)</f>
        <v/>
      </c>
      <c r="E1399" s="3">
        <f>IF(ORIG!E1399=0,"",ORIG!E1399)</f>
        <v/>
      </c>
      <c r="F1399" s="3">
        <f>IF(ORIG!F1399=0,"",ORIG!F1399)</f>
        <v/>
      </c>
      <c r="G1399" s="3">
        <f>IF(ORIG!G1399=0,"",ORIG!G1399)</f>
        <v/>
      </c>
      <c r="H1399" s="3">
        <f>IF(ORIG!H1399=0,"",ORIG!H1399)</f>
        <v/>
      </c>
      <c r="I1399" s="3">
        <f>IF(ORIG!I1399=0,"",ORIG!I1399)</f>
        <v/>
      </c>
      <c r="J1399" s="3">
        <f>IF(ORIG!J1399=0,"",ORIG!J1399)</f>
        <v/>
      </c>
      <c r="K1399" s="3">
        <f>IF(ORIG!K1399=0,"",ORIG!K1399)</f>
        <v/>
      </c>
      <c r="L1399" s="3">
        <f>IF(ORIG!L1399=0,"",ORIG!L1399)</f>
        <v/>
      </c>
      <c r="M1399" s="3">
        <f>IF(ORIG!M1399=0,"",ORIG!M1399)</f>
        <v/>
      </c>
      <c r="N1399" s="3">
        <f>IF(ORIG!N1399=0,"",ORIG!N1399)</f>
        <v/>
      </c>
      <c r="O1399" s="3">
        <f>IF(ORIG!O1399=0,"",ORIG!O1399)</f>
        <v/>
      </c>
      <c r="P1399" s="3">
        <f>IF(ORIG!P1399=0,"",ORIG!P1399)</f>
        <v/>
      </c>
      <c r="Q1399" s="3">
        <f>IF(ORIG!Q1399=0,"",ORIG!Q1399)</f>
        <v/>
      </c>
      <c r="R1399" s="3">
        <f>IF(ORIG!R1399=0,"",ORIG!R1399)</f>
        <v/>
      </c>
      <c r="S1399" s="3">
        <f>IF(ORIG!S1399=0,"",ORIG!S1399)</f>
        <v/>
      </c>
      <c r="T1399" s="3">
        <f>IF(ORIG!T1399=0,"",ORIG!T1399)</f>
        <v/>
      </c>
      <c r="U1399" s="3">
        <f>IF(ORIG!U1399=0,"",ORIG!U1399)</f>
        <v/>
      </c>
      <c r="V1399" s="9">
        <f>IF(ORIG!V1399=0,"",ORIG!V1399)</f>
        <v/>
      </c>
      <c r="W1399" s="9">
        <f>IF(ORIG!W1399=0,"",ORIG!W1399)</f>
        <v/>
      </c>
      <c r="X1399" s="9">
        <f>IF(ORIG!X1399=0,"",ORIG!X1399)</f>
        <v/>
      </c>
      <c r="Y1399" s="9">
        <f>IF(ORIG!Y1399=0,"",ORIG!Y1399)</f>
        <v/>
      </c>
      <c r="Z1399" s="3">
        <f>SUMPRODUCT($B1399:$Y1399,$B$2649:$Y$2649)</f>
        <v/>
      </c>
      <c r="AA1399" s="3">
        <f>SUMPRODUCT($B1399:$Y1399,$B$2655:$Y$2655)</f>
        <v/>
      </c>
      <c r="AC1399" s="1">
        <f>A1399</f>
        <v/>
      </c>
      <c r="AD1399">
        <f>IF(ISNUMBER(V1399),V1399*($AB$1/V$2635),"")</f>
        <v/>
      </c>
      <c r="AE1399">
        <f>IF(ISNUMBER(Z1399),Z1399*($AB$1/Z$2635),"")</f>
        <v/>
      </c>
      <c r="AF1399" s="25">
        <f>IF(ISNUMBER(AD1399+AE1399),AD1399+AE1399,"")</f>
        <v/>
      </c>
      <c r="AH1399" s="1">
        <f>A1399</f>
        <v/>
      </c>
      <c r="AI1399">
        <f>IF(ISNUMBER((1+V1399)*AI1398),(1+V1399)*AI1398,AI1398)</f>
        <v/>
      </c>
      <c r="AJ1399">
        <f>IF(ISNUMBER((1+Z1399)*AJ1398),(1+Z1399)*AJ1398,AJ1398)</f>
        <v/>
      </c>
    </row>
    <row r="1400">
      <c r="A1400" s="1" t="n">
        <v>44034</v>
      </c>
      <c r="B1400" s="3">
        <f>IF(ORIG!B1400=0,"",ORIG!B1400)</f>
        <v/>
      </c>
      <c r="C1400" s="3">
        <f>IF(ORIG!C1400=0,"",ORIG!C1400)</f>
        <v/>
      </c>
      <c r="D1400" s="3">
        <f>IF(ORIG!D1400=0,"",ORIG!D1400)</f>
        <v/>
      </c>
      <c r="E1400" s="3">
        <f>IF(ORIG!E1400=0,"",ORIG!E1400)</f>
        <v/>
      </c>
      <c r="F1400" s="3">
        <f>IF(ORIG!F1400=0,"",ORIG!F1400)</f>
        <v/>
      </c>
      <c r="G1400" s="3">
        <f>IF(ORIG!G1400=0,"",ORIG!G1400)</f>
        <v/>
      </c>
      <c r="H1400" s="3">
        <f>IF(ORIG!H1400=0,"",ORIG!H1400)</f>
        <v/>
      </c>
      <c r="I1400" s="3">
        <f>IF(ORIG!I1400=0,"",ORIG!I1400)</f>
        <v/>
      </c>
      <c r="J1400" s="3">
        <f>IF(ORIG!J1400=0,"",ORIG!J1400)</f>
        <v/>
      </c>
      <c r="K1400" s="3">
        <f>IF(ORIG!K1400=0,"",ORIG!K1400)</f>
        <v/>
      </c>
      <c r="L1400" s="3">
        <f>IF(ORIG!L1400=0,"",ORIG!L1400)</f>
        <v/>
      </c>
      <c r="M1400" s="3">
        <f>IF(ORIG!M1400=0,"",ORIG!M1400)</f>
        <v/>
      </c>
      <c r="N1400" s="3">
        <f>IF(ORIG!N1400=0,"",ORIG!N1400)</f>
        <v/>
      </c>
      <c r="O1400" s="3">
        <f>IF(ORIG!O1400=0,"",ORIG!O1400)</f>
        <v/>
      </c>
      <c r="P1400" s="3">
        <f>IF(ORIG!P1400=0,"",ORIG!P1400)</f>
        <v/>
      </c>
      <c r="Q1400" s="3">
        <f>IF(ORIG!Q1400=0,"",ORIG!Q1400)</f>
        <v/>
      </c>
      <c r="R1400" s="3">
        <f>IF(ORIG!R1400=0,"",ORIG!R1400)</f>
        <v/>
      </c>
      <c r="S1400" s="3">
        <f>IF(ORIG!S1400=0,"",ORIG!S1400)</f>
        <v/>
      </c>
      <c r="T1400" s="3">
        <f>IF(ORIG!T1400=0,"",ORIG!T1400)</f>
        <v/>
      </c>
      <c r="U1400" s="3">
        <f>IF(ORIG!U1400=0,"",ORIG!U1400)</f>
        <v/>
      </c>
      <c r="V1400" s="9">
        <f>IF(ORIG!V1400=0,"",ORIG!V1400)</f>
        <v/>
      </c>
      <c r="W1400" s="9">
        <f>IF(ORIG!W1400=0,"",ORIG!W1400)</f>
        <v/>
      </c>
      <c r="X1400" s="9">
        <f>IF(ORIG!X1400=0,"",ORIG!X1400)</f>
        <v/>
      </c>
      <c r="Y1400" s="9">
        <f>IF(ORIG!Y1400=0,"",ORIG!Y1400)</f>
        <v/>
      </c>
      <c r="Z1400" s="3">
        <f>SUMPRODUCT($B1400:$Y1400,$B$2649:$Y$2649)</f>
        <v/>
      </c>
      <c r="AA1400" s="3">
        <f>SUMPRODUCT($B1400:$Y1400,$B$2655:$Y$2655)</f>
        <v/>
      </c>
      <c r="AC1400" s="1">
        <f>A1400</f>
        <v/>
      </c>
      <c r="AD1400">
        <f>IF(ISNUMBER(V1400),V1400*($AB$1/V$2635),"")</f>
        <v/>
      </c>
      <c r="AE1400">
        <f>IF(ISNUMBER(Z1400),Z1400*($AB$1/Z$2635),"")</f>
        <v/>
      </c>
      <c r="AF1400" s="25">
        <f>IF(ISNUMBER(AD1400+AE1400),AD1400+AE1400,"")</f>
        <v/>
      </c>
      <c r="AH1400" s="1">
        <f>A1400</f>
        <v/>
      </c>
      <c r="AI1400">
        <f>IF(ISNUMBER((1+V1400)*AI1399),(1+V1400)*AI1399,AI1399)</f>
        <v/>
      </c>
      <c r="AJ1400">
        <f>IF(ISNUMBER((1+Z1400)*AJ1399),(1+Z1400)*AJ1399,AJ1399)</f>
        <v/>
      </c>
    </row>
    <row r="1401">
      <c r="A1401" s="1" t="n">
        <v>44035</v>
      </c>
      <c r="B1401" s="3">
        <f>IF(ORIG!B1401=0,"",ORIG!B1401)</f>
        <v/>
      </c>
      <c r="C1401" s="3">
        <f>IF(ORIG!C1401=0,"",ORIG!C1401)</f>
        <v/>
      </c>
      <c r="D1401" s="3">
        <f>IF(ORIG!D1401=0,"",ORIG!D1401)</f>
        <v/>
      </c>
      <c r="E1401" s="3">
        <f>IF(ORIG!E1401=0,"",ORIG!E1401)</f>
        <v/>
      </c>
      <c r="F1401" s="3">
        <f>IF(ORIG!F1401=0,"",ORIG!F1401)</f>
        <v/>
      </c>
      <c r="G1401" s="3">
        <f>IF(ORIG!G1401=0,"",ORIG!G1401)</f>
        <v/>
      </c>
      <c r="H1401" s="3">
        <f>IF(ORIG!H1401=0,"",ORIG!H1401)</f>
        <v/>
      </c>
      <c r="I1401" s="3">
        <f>IF(ORIG!I1401=0,"",ORIG!I1401)</f>
        <v/>
      </c>
      <c r="J1401" s="3">
        <f>IF(ORIG!J1401=0,"",ORIG!J1401)</f>
        <v/>
      </c>
      <c r="K1401" s="3">
        <f>IF(ORIG!K1401=0,"",ORIG!K1401)</f>
        <v/>
      </c>
      <c r="L1401" s="3">
        <f>IF(ORIG!L1401=0,"",ORIG!L1401)</f>
        <v/>
      </c>
      <c r="M1401" s="3">
        <f>IF(ORIG!M1401=0,"",ORIG!M1401)</f>
        <v/>
      </c>
      <c r="N1401" s="3">
        <f>IF(ORIG!N1401=0,"",ORIG!N1401)</f>
        <v/>
      </c>
      <c r="O1401" s="3">
        <f>IF(ORIG!O1401=0,"",ORIG!O1401)</f>
        <v/>
      </c>
      <c r="P1401" s="3">
        <f>IF(ORIG!P1401=0,"",ORIG!P1401)</f>
        <v/>
      </c>
      <c r="Q1401" s="3">
        <f>IF(ORIG!Q1401=0,"",ORIG!Q1401)</f>
        <v/>
      </c>
      <c r="R1401" s="3">
        <f>IF(ORIG!R1401=0,"",ORIG!R1401)</f>
        <v/>
      </c>
      <c r="S1401" s="3">
        <f>IF(ORIG!S1401=0,"",ORIG!S1401)</f>
        <v/>
      </c>
      <c r="T1401" s="3">
        <f>IF(ORIG!T1401=0,"",ORIG!T1401)</f>
        <v/>
      </c>
      <c r="U1401" s="3">
        <f>IF(ORIG!U1401=0,"",ORIG!U1401)</f>
        <v/>
      </c>
      <c r="V1401" s="9">
        <f>IF(ORIG!V1401=0,"",ORIG!V1401)</f>
        <v/>
      </c>
      <c r="W1401" s="9">
        <f>IF(ORIG!W1401=0,"",ORIG!W1401)</f>
        <v/>
      </c>
      <c r="X1401" s="9">
        <f>IF(ORIG!X1401=0,"",ORIG!X1401)</f>
        <v/>
      </c>
      <c r="Y1401" s="9">
        <f>IF(ORIG!Y1401=0,"",ORIG!Y1401)</f>
        <v/>
      </c>
      <c r="Z1401" s="3">
        <f>SUMPRODUCT($B1401:$Y1401,$B$2649:$Y$2649)</f>
        <v/>
      </c>
      <c r="AA1401" s="3">
        <f>SUMPRODUCT($B1401:$Y1401,$B$2655:$Y$2655)</f>
        <v/>
      </c>
      <c r="AC1401" s="1">
        <f>A1401</f>
        <v/>
      </c>
      <c r="AD1401">
        <f>IF(ISNUMBER(V1401),V1401*($AB$1/V$2635),"")</f>
        <v/>
      </c>
      <c r="AE1401">
        <f>IF(ISNUMBER(Z1401),Z1401*($AB$1/Z$2635),"")</f>
        <v/>
      </c>
      <c r="AF1401" s="25">
        <f>IF(ISNUMBER(AD1401+AE1401),AD1401+AE1401,"")</f>
        <v/>
      </c>
      <c r="AH1401" s="1">
        <f>A1401</f>
        <v/>
      </c>
      <c r="AI1401">
        <f>IF(ISNUMBER((1+V1401)*AI1400),(1+V1401)*AI1400,AI1400)</f>
        <v/>
      </c>
      <c r="AJ1401">
        <f>IF(ISNUMBER((1+Z1401)*AJ1400),(1+Z1401)*AJ1400,AJ1400)</f>
        <v/>
      </c>
    </row>
    <row r="1402">
      <c r="A1402" s="1" t="n">
        <v>44036</v>
      </c>
      <c r="B1402" s="3">
        <f>IF(ORIG!B1402=0,"",ORIG!B1402)</f>
        <v/>
      </c>
      <c r="C1402" s="3">
        <f>IF(ORIG!C1402=0,"",ORIG!C1402)</f>
        <v/>
      </c>
      <c r="D1402" s="3">
        <f>IF(ORIG!D1402=0,"",ORIG!D1402)</f>
        <v/>
      </c>
      <c r="E1402" s="3">
        <f>IF(ORIG!E1402=0,"",ORIG!E1402)</f>
        <v/>
      </c>
      <c r="F1402" s="3">
        <f>IF(ORIG!F1402=0,"",ORIG!F1402)</f>
        <v/>
      </c>
      <c r="G1402" s="3">
        <f>IF(ORIG!G1402=0,"",ORIG!G1402)</f>
        <v/>
      </c>
      <c r="H1402" s="3">
        <f>IF(ORIG!H1402=0,"",ORIG!H1402)</f>
        <v/>
      </c>
      <c r="I1402" s="3">
        <f>IF(ORIG!I1402=0,"",ORIG!I1402)</f>
        <v/>
      </c>
      <c r="J1402" s="3">
        <f>IF(ORIG!J1402=0,"",ORIG!J1402)</f>
        <v/>
      </c>
      <c r="K1402" s="3">
        <f>IF(ORIG!K1402=0,"",ORIG!K1402)</f>
        <v/>
      </c>
      <c r="L1402" s="3">
        <f>IF(ORIG!L1402=0,"",ORIG!L1402)</f>
        <v/>
      </c>
      <c r="M1402" s="3">
        <f>IF(ORIG!M1402=0,"",ORIG!M1402)</f>
        <v/>
      </c>
      <c r="N1402" s="3">
        <f>IF(ORIG!N1402=0,"",ORIG!N1402)</f>
        <v/>
      </c>
      <c r="O1402" s="3">
        <f>IF(ORIG!O1402=0,"",ORIG!O1402)</f>
        <v/>
      </c>
      <c r="P1402" s="3">
        <f>IF(ORIG!P1402=0,"",ORIG!P1402)</f>
        <v/>
      </c>
      <c r="Q1402" s="3">
        <f>IF(ORIG!Q1402=0,"",ORIG!Q1402)</f>
        <v/>
      </c>
      <c r="R1402" s="3">
        <f>IF(ORIG!R1402=0,"",ORIG!R1402)</f>
        <v/>
      </c>
      <c r="S1402" s="3">
        <f>IF(ORIG!S1402=0,"",ORIG!S1402)</f>
        <v/>
      </c>
      <c r="T1402" s="3">
        <f>IF(ORIG!T1402=0,"",ORIG!T1402)</f>
        <v/>
      </c>
      <c r="U1402" s="3">
        <f>IF(ORIG!U1402=0,"",ORIG!U1402)</f>
        <v/>
      </c>
      <c r="V1402" s="9">
        <f>IF(ORIG!V1402=0,"",ORIG!V1402)</f>
        <v/>
      </c>
      <c r="W1402" s="9">
        <f>IF(ORIG!W1402=0,"",ORIG!W1402)</f>
        <v/>
      </c>
      <c r="X1402" s="9">
        <f>IF(ORIG!X1402=0,"",ORIG!X1402)</f>
        <v/>
      </c>
      <c r="Y1402" s="9">
        <f>IF(ORIG!Y1402=0,"",ORIG!Y1402)</f>
        <v/>
      </c>
      <c r="Z1402" s="3">
        <f>SUMPRODUCT($B1402:$Y1402,$B$2649:$Y$2649)</f>
        <v/>
      </c>
      <c r="AA1402" s="3">
        <f>SUMPRODUCT($B1402:$Y1402,$B$2655:$Y$2655)</f>
        <v/>
      </c>
      <c r="AC1402" s="1">
        <f>A1402</f>
        <v/>
      </c>
      <c r="AD1402">
        <f>IF(ISNUMBER(V1402),V1402*($AB$1/V$2635),"")</f>
        <v/>
      </c>
      <c r="AE1402">
        <f>IF(ISNUMBER(Z1402),Z1402*($AB$1/Z$2635),"")</f>
        <v/>
      </c>
      <c r="AF1402" s="25">
        <f>IF(ISNUMBER(AD1402+AE1402),AD1402+AE1402,"")</f>
        <v/>
      </c>
      <c r="AH1402" s="1">
        <f>A1402</f>
        <v/>
      </c>
      <c r="AI1402">
        <f>IF(ISNUMBER((1+V1402)*AI1401),(1+V1402)*AI1401,AI1401)</f>
        <v/>
      </c>
      <c r="AJ1402">
        <f>IF(ISNUMBER((1+Z1402)*AJ1401),(1+Z1402)*AJ1401,AJ1401)</f>
        <v/>
      </c>
    </row>
    <row r="1403">
      <c r="A1403" s="1" t="n">
        <v>44039</v>
      </c>
      <c r="B1403" s="3">
        <f>IF(ORIG!B1403=0,"",ORIG!B1403)</f>
        <v/>
      </c>
      <c r="C1403" s="3">
        <f>IF(ORIG!C1403=0,"",ORIG!C1403)</f>
        <v/>
      </c>
      <c r="D1403" s="3">
        <f>IF(ORIG!D1403=0,"",ORIG!D1403)</f>
        <v/>
      </c>
      <c r="E1403" s="3">
        <f>IF(ORIG!E1403=0,"",ORIG!E1403)</f>
        <v/>
      </c>
      <c r="F1403" s="3">
        <f>IF(ORIG!F1403=0,"",ORIG!F1403)</f>
        <v/>
      </c>
      <c r="G1403" s="3">
        <f>IF(ORIG!G1403=0,"",ORIG!G1403)</f>
        <v/>
      </c>
      <c r="H1403" s="3">
        <f>IF(ORIG!H1403=0,"",ORIG!H1403)</f>
        <v/>
      </c>
      <c r="I1403" s="3">
        <f>IF(ORIG!I1403=0,"",ORIG!I1403)</f>
        <v/>
      </c>
      <c r="J1403" s="3">
        <f>IF(ORIG!J1403=0,"",ORIG!J1403)</f>
        <v/>
      </c>
      <c r="K1403" s="3">
        <f>IF(ORIG!K1403=0,"",ORIG!K1403)</f>
        <v/>
      </c>
      <c r="L1403" s="3">
        <f>IF(ORIG!L1403=0,"",ORIG!L1403)</f>
        <v/>
      </c>
      <c r="M1403" s="3">
        <f>IF(ORIG!M1403=0,"",ORIG!M1403)</f>
        <v/>
      </c>
      <c r="N1403" s="3">
        <f>IF(ORIG!N1403=0,"",ORIG!N1403)</f>
        <v/>
      </c>
      <c r="O1403" s="3">
        <f>IF(ORIG!O1403=0,"",ORIG!O1403)</f>
        <v/>
      </c>
      <c r="P1403" s="3">
        <f>IF(ORIG!P1403=0,"",ORIG!P1403)</f>
        <v/>
      </c>
      <c r="Q1403" s="3">
        <f>IF(ORIG!Q1403=0,"",ORIG!Q1403)</f>
        <v/>
      </c>
      <c r="R1403" s="3">
        <f>IF(ORIG!R1403=0,"",ORIG!R1403)</f>
        <v/>
      </c>
      <c r="S1403" s="3">
        <f>IF(ORIG!S1403=0,"",ORIG!S1403)</f>
        <v/>
      </c>
      <c r="T1403" s="3">
        <f>IF(ORIG!T1403=0,"",ORIG!T1403)</f>
        <v/>
      </c>
      <c r="U1403" s="3">
        <f>IF(ORIG!U1403=0,"",ORIG!U1403)</f>
        <v/>
      </c>
      <c r="V1403" s="9">
        <f>IF(ORIG!V1403=0,"",ORIG!V1403)</f>
        <v/>
      </c>
      <c r="W1403" s="9">
        <f>IF(ORIG!W1403=0,"",ORIG!W1403)</f>
        <v/>
      </c>
      <c r="X1403" s="9">
        <f>IF(ORIG!X1403=0,"",ORIG!X1403)</f>
        <v/>
      </c>
      <c r="Y1403" s="9">
        <f>IF(ORIG!Y1403=0,"",ORIG!Y1403)</f>
        <v/>
      </c>
      <c r="Z1403" s="3">
        <f>SUMPRODUCT($B1403:$Y1403,$B$2649:$Y$2649)</f>
        <v/>
      </c>
      <c r="AA1403" s="3">
        <f>SUMPRODUCT($B1403:$Y1403,$B$2655:$Y$2655)</f>
        <v/>
      </c>
      <c r="AC1403" s="1">
        <f>A1403</f>
        <v/>
      </c>
      <c r="AD1403">
        <f>IF(ISNUMBER(V1403),V1403*($AB$1/V$2635),"")</f>
        <v/>
      </c>
      <c r="AE1403">
        <f>IF(ISNUMBER(Z1403),Z1403*($AB$1/Z$2635),"")</f>
        <v/>
      </c>
      <c r="AF1403" s="25">
        <f>IF(ISNUMBER(AD1403+AE1403),AD1403+AE1403,"")</f>
        <v/>
      </c>
      <c r="AH1403" s="1">
        <f>A1403</f>
        <v/>
      </c>
      <c r="AI1403">
        <f>IF(ISNUMBER((1+V1403)*AI1402),(1+V1403)*AI1402,AI1402)</f>
        <v/>
      </c>
      <c r="AJ1403">
        <f>IF(ISNUMBER((1+Z1403)*AJ1402),(1+Z1403)*AJ1402,AJ1402)</f>
        <v/>
      </c>
    </row>
    <row r="1404">
      <c r="A1404" s="1" t="n">
        <v>44040</v>
      </c>
      <c r="B1404" s="3">
        <f>IF(ORIG!B1404=0,"",ORIG!B1404)</f>
        <v/>
      </c>
      <c r="C1404" s="3">
        <f>IF(ORIG!C1404=0,"",ORIG!C1404)</f>
        <v/>
      </c>
      <c r="D1404" s="3">
        <f>IF(ORIG!D1404=0,"",ORIG!D1404)</f>
        <v/>
      </c>
      <c r="E1404" s="3">
        <f>IF(ORIG!E1404=0,"",ORIG!E1404)</f>
        <v/>
      </c>
      <c r="F1404" s="3">
        <f>IF(ORIG!F1404=0,"",ORIG!F1404)</f>
        <v/>
      </c>
      <c r="G1404" s="3">
        <f>IF(ORIG!G1404=0,"",ORIG!G1404)</f>
        <v/>
      </c>
      <c r="H1404" s="3">
        <f>IF(ORIG!H1404=0,"",ORIG!H1404)</f>
        <v/>
      </c>
      <c r="I1404" s="3">
        <f>IF(ORIG!I1404=0,"",ORIG!I1404)</f>
        <v/>
      </c>
      <c r="J1404" s="3">
        <f>IF(ORIG!J1404=0,"",ORIG!J1404)</f>
        <v/>
      </c>
      <c r="K1404" s="3">
        <f>IF(ORIG!K1404=0,"",ORIG!K1404)</f>
        <v/>
      </c>
      <c r="L1404" s="3">
        <f>IF(ORIG!L1404=0,"",ORIG!L1404)</f>
        <v/>
      </c>
      <c r="M1404" s="3">
        <f>IF(ORIG!M1404=0,"",ORIG!M1404)</f>
        <v/>
      </c>
      <c r="N1404" s="3">
        <f>IF(ORIG!N1404=0,"",ORIG!N1404)</f>
        <v/>
      </c>
      <c r="O1404" s="3">
        <f>IF(ORIG!O1404=0,"",ORIG!O1404)</f>
        <v/>
      </c>
      <c r="P1404" s="3">
        <f>IF(ORIG!P1404=0,"",ORIG!P1404)</f>
        <v/>
      </c>
      <c r="Q1404" s="3">
        <f>IF(ORIG!Q1404=0,"",ORIG!Q1404)</f>
        <v/>
      </c>
      <c r="R1404" s="3">
        <f>IF(ORIG!R1404=0,"",ORIG!R1404)</f>
        <v/>
      </c>
      <c r="S1404" s="3">
        <f>IF(ORIG!S1404=0,"",ORIG!S1404)</f>
        <v/>
      </c>
      <c r="T1404" s="3">
        <f>IF(ORIG!T1404=0,"",ORIG!T1404)</f>
        <v/>
      </c>
      <c r="U1404" s="3">
        <f>IF(ORIG!U1404=0,"",ORIG!U1404)</f>
        <v/>
      </c>
      <c r="V1404" s="9">
        <f>IF(ORIG!V1404=0,"",ORIG!V1404)</f>
        <v/>
      </c>
      <c r="W1404" s="9">
        <f>IF(ORIG!W1404=0,"",ORIG!W1404)</f>
        <v/>
      </c>
      <c r="X1404" s="9">
        <f>IF(ORIG!X1404=0,"",ORIG!X1404)</f>
        <v/>
      </c>
      <c r="Y1404" s="9">
        <f>IF(ORIG!Y1404=0,"",ORIG!Y1404)</f>
        <v/>
      </c>
      <c r="Z1404" s="3">
        <f>SUMPRODUCT($B1404:$Y1404,$B$2649:$Y$2649)</f>
        <v/>
      </c>
      <c r="AA1404" s="3">
        <f>SUMPRODUCT($B1404:$Y1404,$B$2655:$Y$2655)</f>
        <v/>
      </c>
      <c r="AC1404" s="1">
        <f>A1404</f>
        <v/>
      </c>
      <c r="AD1404">
        <f>IF(ISNUMBER(V1404),V1404*($AB$1/V$2635),"")</f>
        <v/>
      </c>
      <c r="AE1404">
        <f>IF(ISNUMBER(Z1404),Z1404*($AB$1/Z$2635),"")</f>
        <v/>
      </c>
      <c r="AF1404" s="25">
        <f>IF(ISNUMBER(AD1404+AE1404),AD1404+AE1404,"")</f>
        <v/>
      </c>
      <c r="AH1404" s="1">
        <f>A1404</f>
        <v/>
      </c>
      <c r="AI1404">
        <f>IF(ISNUMBER((1+V1404)*AI1403),(1+V1404)*AI1403,AI1403)</f>
        <v/>
      </c>
      <c r="AJ1404">
        <f>IF(ISNUMBER((1+Z1404)*AJ1403),(1+Z1404)*AJ1403,AJ1403)</f>
        <v/>
      </c>
    </row>
    <row r="1405">
      <c r="A1405" s="1" t="n">
        <v>44041</v>
      </c>
      <c r="B1405" s="3">
        <f>IF(ORIG!B1405=0,"",ORIG!B1405)</f>
        <v/>
      </c>
      <c r="C1405" s="3">
        <f>IF(ORIG!C1405=0,"",ORIG!C1405)</f>
        <v/>
      </c>
      <c r="D1405" s="3">
        <f>IF(ORIG!D1405=0,"",ORIG!D1405)</f>
        <v/>
      </c>
      <c r="E1405" s="3">
        <f>IF(ORIG!E1405=0,"",ORIG!E1405)</f>
        <v/>
      </c>
      <c r="F1405" s="3">
        <f>IF(ORIG!F1405=0,"",ORIG!F1405)</f>
        <v/>
      </c>
      <c r="G1405" s="3">
        <f>IF(ORIG!G1405=0,"",ORIG!G1405)</f>
        <v/>
      </c>
      <c r="H1405" s="3">
        <f>IF(ORIG!H1405=0,"",ORIG!H1405)</f>
        <v/>
      </c>
      <c r="I1405" s="3">
        <f>IF(ORIG!I1405=0,"",ORIG!I1405)</f>
        <v/>
      </c>
      <c r="J1405" s="3">
        <f>IF(ORIG!J1405=0,"",ORIG!J1405)</f>
        <v/>
      </c>
      <c r="K1405" s="3">
        <f>IF(ORIG!K1405=0,"",ORIG!K1405)</f>
        <v/>
      </c>
      <c r="L1405" s="3">
        <f>IF(ORIG!L1405=0,"",ORIG!L1405)</f>
        <v/>
      </c>
      <c r="M1405" s="3">
        <f>IF(ORIG!M1405=0,"",ORIG!M1405)</f>
        <v/>
      </c>
      <c r="N1405" s="3">
        <f>IF(ORIG!N1405=0,"",ORIG!N1405)</f>
        <v/>
      </c>
      <c r="O1405" s="3">
        <f>IF(ORIG!O1405=0,"",ORIG!O1405)</f>
        <v/>
      </c>
      <c r="P1405" s="3">
        <f>IF(ORIG!P1405=0,"",ORIG!P1405)</f>
        <v/>
      </c>
      <c r="Q1405" s="3">
        <f>IF(ORIG!Q1405=0,"",ORIG!Q1405)</f>
        <v/>
      </c>
      <c r="R1405" s="3">
        <f>IF(ORIG!R1405=0,"",ORIG!R1405)</f>
        <v/>
      </c>
      <c r="S1405" s="3">
        <f>IF(ORIG!S1405=0,"",ORIG!S1405)</f>
        <v/>
      </c>
      <c r="T1405" s="3">
        <f>IF(ORIG!T1405=0,"",ORIG!T1405)</f>
        <v/>
      </c>
      <c r="U1405" s="3">
        <f>IF(ORIG!U1405=0,"",ORIG!U1405)</f>
        <v/>
      </c>
      <c r="V1405" s="9">
        <f>IF(ORIG!V1405=0,"",ORIG!V1405)</f>
        <v/>
      </c>
      <c r="W1405" s="9">
        <f>IF(ORIG!W1405=0,"",ORIG!W1405)</f>
        <v/>
      </c>
      <c r="X1405" s="9">
        <f>IF(ORIG!X1405=0,"",ORIG!X1405)</f>
        <v/>
      </c>
      <c r="Y1405" s="9">
        <f>IF(ORIG!Y1405=0,"",ORIG!Y1405)</f>
        <v/>
      </c>
      <c r="Z1405" s="3">
        <f>SUMPRODUCT($B1405:$Y1405,$B$2649:$Y$2649)</f>
        <v/>
      </c>
      <c r="AA1405" s="3">
        <f>SUMPRODUCT($B1405:$Y1405,$B$2655:$Y$2655)</f>
        <v/>
      </c>
      <c r="AC1405" s="1">
        <f>A1405</f>
        <v/>
      </c>
      <c r="AD1405">
        <f>IF(ISNUMBER(V1405),V1405*($AB$1/V$2635),"")</f>
        <v/>
      </c>
      <c r="AE1405">
        <f>IF(ISNUMBER(Z1405),Z1405*($AB$1/Z$2635),"")</f>
        <v/>
      </c>
      <c r="AF1405" s="25">
        <f>IF(ISNUMBER(AD1405+AE1405),AD1405+AE1405,"")</f>
        <v/>
      </c>
      <c r="AH1405" s="1">
        <f>A1405</f>
        <v/>
      </c>
      <c r="AI1405">
        <f>IF(ISNUMBER((1+V1405)*AI1404),(1+V1405)*AI1404,AI1404)</f>
        <v/>
      </c>
      <c r="AJ1405">
        <f>IF(ISNUMBER((1+Z1405)*AJ1404),(1+Z1405)*AJ1404,AJ1404)</f>
        <v/>
      </c>
    </row>
    <row r="1406">
      <c r="A1406" s="1" t="n">
        <v>44042</v>
      </c>
      <c r="B1406" s="3">
        <f>IF(ORIG!B1406=0,"",ORIG!B1406)</f>
        <v/>
      </c>
      <c r="C1406" s="3">
        <f>IF(ORIG!C1406=0,"",ORIG!C1406)</f>
        <v/>
      </c>
      <c r="D1406" s="3">
        <f>IF(ORIG!D1406=0,"",ORIG!D1406)</f>
        <v/>
      </c>
      <c r="E1406" s="3">
        <f>IF(ORIG!E1406=0,"",ORIG!E1406)</f>
        <v/>
      </c>
      <c r="F1406" s="3">
        <f>IF(ORIG!F1406=0,"",ORIG!F1406)</f>
        <v/>
      </c>
      <c r="G1406" s="3">
        <f>IF(ORIG!G1406=0,"",ORIG!G1406)</f>
        <v/>
      </c>
      <c r="H1406" s="3">
        <f>IF(ORIG!H1406=0,"",ORIG!H1406)</f>
        <v/>
      </c>
      <c r="I1406" s="3">
        <f>IF(ORIG!I1406=0,"",ORIG!I1406)</f>
        <v/>
      </c>
      <c r="J1406" s="3">
        <f>IF(ORIG!J1406=0,"",ORIG!J1406)</f>
        <v/>
      </c>
      <c r="K1406" s="3">
        <f>IF(ORIG!K1406=0,"",ORIG!K1406)</f>
        <v/>
      </c>
      <c r="L1406" s="3">
        <f>IF(ORIG!L1406=0,"",ORIG!L1406)</f>
        <v/>
      </c>
      <c r="M1406" s="3">
        <f>IF(ORIG!M1406=0,"",ORIG!M1406)</f>
        <v/>
      </c>
      <c r="N1406" s="3">
        <f>IF(ORIG!N1406=0,"",ORIG!N1406)</f>
        <v/>
      </c>
      <c r="O1406" s="3">
        <f>IF(ORIG!O1406=0,"",ORIG!O1406)</f>
        <v/>
      </c>
      <c r="P1406" s="3">
        <f>IF(ORIG!P1406=0,"",ORIG!P1406)</f>
        <v/>
      </c>
      <c r="Q1406" s="3">
        <f>IF(ORIG!Q1406=0,"",ORIG!Q1406)</f>
        <v/>
      </c>
      <c r="R1406" s="3">
        <f>IF(ORIG!R1406=0,"",ORIG!R1406)</f>
        <v/>
      </c>
      <c r="S1406" s="3">
        <f>IF(ORIG!S1406=0,"",ORIG!S1406)</f>
        <v/>
      </c>
      <c r="T1406" s="3">
        <f>IF(ORIG!T1406=0,"",ORIG!T1406)</f>
        <v/>
      </c>
      <c r="U1406" s="3">
        <f>IF(ORIG!U1406=0,"",ORIG!U1406)</f>
        <v/>
      </c>
      <c r="V1406" s="9">
        <f>IF(ORIG!V1406=0,"",ORIG!V1406)</f>
        <v/>
      </c>
      <c r="W1406" s="9">
        <f>IF(ORIG!W1406=0,"",ORIG!W1406)</f>
        <v/>
      </c>
      <c r="X1406" s="9">
        <f>IF(ORIG!X1406=0,"",ORIG!X1406)</f>
        <v/>
      </c>
      <c r="Y1406" s="9">
        <f>IF(ORIG!Y1406=0,"",ORIG!Y1406)</f>
        <v/>
      </c>
      <c r="Z1406" s="3">
        <f>SUMPRODUCT($B1406:$Y1406,$B$2649:$Y$2649)</f>
        <v/>
      </c>
      <c r="AA1406" s="3">
        <f>SUMPRODUCT($B1406:$Y1406,$B$2655:$Y$2655)</f>
        <v/>
      </c>
      <c r="AC1406" s="1">
        <f>A1406</f>
        <v/>
      </c>
      <c r="AD1406">
        <f>IF(ISNUMBER(V1406),V1406*($AB$1/V$2635),"")</f>
        <v/>
      </c>
      <c r="AE1406">
        <f>IF(ISNUMBER(Z1406),Z1406*($AB$1/Z$2635),"")</f>
        <v/>
      </c>
      <c r="AF1406" s="25">
        <f>IF(ISNUMBER(AD1406+AE1406),AD1406+AE1406,"")</f>
        <v/>
      </c>
      <c r="AH1406" s="1">
        <f>A1406</f>
        <v/>
      </c>
      <c r="AI1406">
        <f>IF(ISNUMBER((1+V1406)*AI1405),(1+V1406)*AI1405,AI1405)</f>
        <v/>
      </c>
      <c r="AJ1406">
        <f>IF(ISNUMBER((1+Z1406)*AJ1405),(1+Z1406)*AJ1405,AJ1405)</f>
        <v/>
      </c>
    </row>
    <row r="1407">
      <c r="A1407" s="1" t="n">
        <v>44043</v>
      </c>
      <c r="B1407" s="3">
        <f>IF(ORIG!B1407=0,"",ORIG!B1407)</f>
        <v/>
      </c>
      <c r="C1407" s="3">
        <f>IF(ORIG!C1407=0,"",ORIG!C1407)</f>
        <v/>
      </c>
      <c r="D1407" s="3">
        <f>IF(ORIG!D1407=0,"",ORIG!D1407)</f>
        <v/>
      </c>
      <c r="E1407" s="3">
        <f>IF(ORIG!E1407=0,"",ORIG!E1407)</f>
        <v/>
      </c>
      <c r="F1407" s="3">
        <f>IF(ORIG!F1407=0,"",ORIG!F1407)</f>
        <v/>
      </c>
      <c r="G1407" s="3">
        <f>IF(ORIG!G1407=0,"",ORIG!G1407)</f>
        <v/>
      </c>
      <c r="H1407" s="3">
        <f>IF(ORIG!H1407=0,"",ORIG!H1407)</f>
        <v/>
      </c>
      <c r="I1407" s="3">
        <f>IF(ORIG!I1407=0,"",ORIG!I1407)</f>
        <v/>
      </c>
      <c r="J1407" s="3">
        <f>IF(ORIG!J1407=0,"",ORIG!J1407)</f>
        <v/>
      </c>
      <c r="K1407" s="3">
        <f>IF(ORIG!K1407=0,"",ORIG!K1407)</f>
        <v/>
      </c>
      <c r="L1407" s="3">
        <f>IF(ORIG!L1407=0,"",ORIG!L1407)</f>
        <v/>
      </c>
      <c r="M1407" s="3">
        <f>IF(ORIG!M1407=0,"",ORIG!M1407)</f>
        <v/>
      </c>
      <c r="N1407" s="3">
        <f>IF(ORIG!N1407=0,"",ORIG!N1407)</f>
        <v/>
      </c>
      <c r="O1407" s="3">
        <f>IF(ORIG!O1407=0,"",ORIG!O1407)</f>
        <v/>
      </c>
      <c r="P1407" s="3">
        <f>IF(ORIG!P1407=0,"",ORIG!P1407)</f>
        <v/>
      </c>
      <c r="Q1407" s="3">
        <f>IF(ORIG!Q1407=0,"",ORIG!Q1407)</f>
        <v/>
      </c>
      <c r="R1407" s="3">
        <f>IF(ORIG!R1407=0,"",ORIG!R1407)</f>
        <v/>
      </c>
      <c r="S1407" s="3">
        <f>IF(ORIG!S1407=0,"",ORIG!S1407)</f>
        <v/>
      </c>
      <c r="T1407" s="3">
        <f>IF(ORIG!T1407=0,"",ORIG!T1407)</f>
        <v/>
      </c>
      <c r="U1407" s="3">
        <f>IF(ORIG!U1407=0,"",ORIG!U1407)</f>
        <v/>
      </c>
      <c r="V1407" s="9">
        <f>IF(ORIG!V1407=0,"",ORIG!V1407)</f>
        <v/>
      </c>
      <c r="W1407" s="9">
        <f>IF(ORIG!W1407=0,"",ORIG!W1407)</f>
        <v/>
      </c>
      <c r="X1407" s="9">
        <f>IF(ORIG!X1407=0,"",ORIG!X1407)</f>
        <v/>
      </c>
      <c r="Y1407" s="9">
        <f>IF(ORIG!Y1407=0,"",ORIG!Y1407)</f>
        <v/>
      </c>
      <c r="Z1407" s="3">
        <f>SUMPRODUCT($B1407:$Y1407,$B$2649:$Y$2649)</f>
        <v/>
      </c>
      <c r="AA1407" s="3">
        <f>SUMPRODUCT($B1407:$Y1407,$B$2655:$Y$2655)</f>
        <v/>
      </c>
      <c r="AC1407" s="1">
        <f>A1407</f>
        <v/>
      </c>
      <c r="AD1407">
        <f>IF(ISNUMBER(V1407),V1407*($AB$1/V$2635),"")</f>
        <v/>
      </c>
      <c r="AE1407">
        <f>IF(ISNUMBER(Z1407),Z1407*($AB$1/Z$2635),"")</f>
        <v/>
      </c>
      <c r="AF1407" s="25">
        <f>IF(ISNUMBER(AD1407+AE1407),AD1407+AE1407,"")</f>
        <v/>
      </c>
      <c r="AH1407" s="1">
        <f>A1407</f>
        <v/>
      </c>
      <c r="AI1407">
        <f>IF(ISNUMBER((1+V1407)*AI1406),(1+V1407)*AI1406,AI1406)</f>
        <v/>
      </c>
      <c r="AJ1407">
        <f>IF(ISNUMBER((1+Z1407)*AJ1406),(1+Z1407)*AJ1406,AJ1406)</f>
        <v/>
      </c>
    </row>
    <row r="1408">
      <c r="A1408" s="1" t="n">
        <v>44046</v>
      </c>
      <c r="B1408" s="3">
        <f>IF(ORIG!B1408=0,"",ORIG!B1408)</f>
        <v/>
      </c>
      <c r="C1408" s="3">
        <f>IF(ORIG!C1408=0,"",ORIG!C1408)</f>
        <v/>
      </c>
      <c r="D1408" s="3">
        <f>IF(ORIG!D1408=0,"",ORIG!D1408)</f>
        <v/>
      </c>
      <c r="E1408" s="3">
        <f>IF(ORIG!E1408=0,"",ORIG!E1408)</f>
        <v/>
      </c>
      <c r="F1408" s="3">
        <f>IF(ORIG!F1408=0,"",ORIG!F1408)</f>
        <v/>
      </c>
      <c r="G1408" s="3">
        <f>IF(ORIG!G1408=0,"",ORIG!G1408)</f>
        <v/>
      </c>
      <c r="H1408" s="3">
        <f>IF(ORIG!H1408=0,"",ORIG!H1408)</f>
        <v/>
      </c>
      <c r="I1408" s="3">
        <f>IF(ORIG!I1408=0,"",ORIG!I1408)</f>
        <v/>
      </c>
      <c r="J1408" s="3">
        <f>IF(ORIG!J1408=0,"",ORIG!J1408)</f>
        <v/>
      </c>
      <c r="K1408" s="3">
        <f>IF(ORIG!K1408=0,"",ORIG!K1408)</f>
        <v/>
      </c>
      <c r="L1408" s="3">
        <f>IF(ORIG!L1408=0,"",ORIG!L1408)</f>
        <v/>
      </c>
      <c r="M1408" s="3">
        <f>IF(ORIG!M1408=0,"",ORIG!M1408)</f>
        <v/>
      </c>
      <c r="N1408" s="3">
        <f>IF(ORIG!N1408=0,"",ORIG!N1408)</f>
        <v/>
      </c>
      <c r="O1408" s="3">
        <f>IF(ORIG!O1408=0,"",ORIG!O1408)</f>
        <v/>
      </c>
      <c r="P1408" s="3">
        <f>IF(ORIG!P1408=0,"",ORIG!P1408)</f>
        <v/>
      </c>
      <c r="Q1408" s="3">
        <f>IF(ORIG!Q1408=0,"",ORIG!Q1408)</f>
        <v/>
      </c>
      <c r="R1408" s="3">
        <f>IF(ORIG!R1408=0,"",ORIG!R1408)</f>
        <v/>
      </c>
      <c r="S1408" s="3">
        <f>IF(ORIG!S1408=0,"",ORIG!S1408)</f>
        <v/>
      </c>
      <c r="T1408" s="3">
        <f>IF(ORIG!T1408=0,"",ORIG!T1408)</f>
        <v/>
      </c>
      <c r="U1408" s="3">
        <f>IF(ORIG!U1408=0,"",ORIG!U1408)</f>
        <v/>
      </c>
      <c r="V1408" s="9">
        <f>IF(ORIG!V1408=0,"",ORIG!V1408)</f>
        <v/>
      </c>
      <c r="W1408" s="9">
        <f>IF(ORIG!W1408=0,"",ORIG!W1408)</f>
        <v/>
      </c>
      <c r="X1408" s="9">
        <f>IF(ORIG!X1408=0,"",ORIG!X1408)</f>
        <v/>
      </c>
      <c r="Y1408" s="9">
        <f>IF(ORIG!Y1408=0,"",ORIG!Y1408)</f>
        <v/>
      </c>
      <c r="Z1408" s="3">
        <f>SUMPRODUCT($B1408:$Y1408,$B$2649:$Y$2649)</f>
        <v/>
      </c>
      <c r="AA1408" s="3">
        <f>SUMPRODUCT($B1408:$Y1408,$B$2655:$Y$2655)</f>
        <v/>
      </c>
      <c r="AC1408" s="1">
        <f>A1408</f>
        <v/>
      </c>
      <c r="AD1408">
        <f>IF(ISNUMBER(V1408),V1408*($AB$1/V$2635),"")</f>
        <v/>
      </c>
      <c r="AE1408">
        <f>IF(ISNUMBER(Z1408),Z1408*($AB$1/Z$2635),"")</f>
        <v/>
      </c>
      <c r="AF1408" s="25">
        <f>IF(ISNUMBER(AD1408+AE1408),AD1408+AE1408,"")</f>
        <v/>
      </c>
      <c r="AH1408" s="1">
        <f>A1408</f>
        <v/>
      </c>
      <c r="AI1408">
        <f>IF(ISNUMBER((1+V1408)*AI1407),(1+V1408)*AI1407,AI1407)</f>
        <v/>
      </c>
      <c r="AJ1408">
        <f>IF(ISNUMBER((1+Z1408)*AJ1407),(1+Z1408)*AJ1407,AJ1407)</f>
        <v/>
      </c>
    </row>
    <row r="1409">
      <c r="A1409" s="1" t="n">
        <v>44047</v>
      </c>
      <c r="B1409" s="3">
        <f>IF(ORIG!B1409=0,"",ORIG!B1409)</f>
        <v/>
      </c>
      <c r="C1409" s="3">
        <f>IF(ORIG!C1409=0,"",ORIG!C1409)</f>
        <v/>
      </c>
      <c r="D1409" s="3">
        <f>IF(ORIG!D1409=0,"",ORIG!D1409)</f>
        <v/>
      </c>
      <c r="E1409" s="3">
        <f>IF(ORIG!E1409=0,"",ORIG!E1409)</f>
        <v/>
      </c>
      <c r="F1409" s="3">
        <f>IF(ORIG!F1409=0,"",ORIG!F1409)</f>
        <v/>
      </c>
      <c r="G1409" s="3">
        <f>IF(ORIG!G1409=0,"",ORIG!G1409)</f>
        <v/>
      </c>
      <c r="H1409" s="3">
        <f>IF(ORIG!H1409=0,"",ORIG!H1409)</f>
        <v/>
      </c>
      <c r="I1409" s="3">
        <f>IF(ORIG!I1409=0,"",ORIG!I1409)</f>
        <v/>
      </c>
      <c r="J1409" s="3">
        <f>IF(ORIG!J1409=0,"",ORIG!J1409)</f>
        <v/>
      </c>
      <c r="K1409" s="3">
        <f>IF(ORIG!K1409=0,"",ORIG!K1409)</f>
        <v/>
      </c>
      <c r="L1409" s="3">
        <f>IF(ORIG!L1409=0,"",ORIG!L1409)</f>
        <v/>
      </c>
      <c r="M1409" s="3">
        <f>IF(ORIG!M1409=0,"",ORIG!M1409)</f>
        <v/>
      </c>
      <c r="N1409" s="3">
        <f>IF(ORIG!N1409=0,"",ORIG!N1409)</f>
        <v/>
      </c>
      <c r="O1409" s="3">
        <f>IF(ORIG!O1409=0,"",ORIG!O1409)</f>
        <v/>
      </c>
      <c r="P1409" s="3">
        <f>IF(ORIG!P1409=0,"",ORIG!P1409)</f>
        <v/>
      </c>
      <c r="Q1409" s="3">
        <f>IF(ORIG!Q1409=0,"",ORIG!Q1409)</f>
        <v/>
      </c>
      <c r="R1409" s="3">
        <f>IF(ORIG!R1409=0,"",ORIG!R1409)</f>
        <v/>
      </c>
      <c r="S1409" s="3">
        <f>IF(ORIG!S1409=0,"",ORIG!S1409)</f>
        <v/>
      </c>
      <c r="T1409" s="3">
        <f>IF(ORIG!T1409=0,"",ORIG!T1409)</f>
        <v/>
      </c>
      <c r="U1409" s="3">
        <f>IF(ORIG!U1409=0,"",ORIG!U1409)</f>
        <v/>
      </c>
      <c r="V1409" s="9">
        <f>IF(ORIG!V1409=0,"",ORIG!V1409)</f>
        <v/>
      </c>
      <c r="W1409" s="9">
        <f>IF(ORIG!W1409=0,"",ORIG!W1409)</f>
        <v/>
      </c>
      <c r="X1409" s="9">
        <f>IF(ORIG!X1409=0,"",ORIG!X1409)</f>
        <v/>
      </c>
      <c r="Y1409" s="9">
        <f>IF(ORIG!Y1409=0,"",ORIG!Y1409)</f>
        <v/>
      </c>
      <c r="Z1409" s="3">
        <f>SUMPRODUCT($B1409:$Y1409,$B$2649:$Y$2649)</f>
        <v/>
      </c>
      <c r="AA1409" s="3">
        <f>SUMPRODUCT($B1409:$Y1409,$B$2655:$Y$2655)</f>
        <v/>
      </c>
      <c r="AC1409" s="1">
        <f>A1409</f>
        <v/>
      </c>
      <c r="AD1409">
        <f>IF(ISNUMBER(V1409),V1409*($AB$1/V$2635),"")</f>
        <v/>
      </c>
      <c r="AE1409">
        <f>IF(ISNUMBER(Z1409),Z1409*($AB$1/Z$2635),"")</f>
        <v/>
      </c>
      <c r="AF1409" s="25">
        <f>IF(ISNUMBER(AD1409+AE1409),AD1409+AE1409,"")</f>
        <v/>
      </c>
      <c r="AH1409" s="1">
        <f>A1409</f>
        <v/>
      </c>
      <c r="AI1409">
        <f>IF(ISNUMBER((1+V1409)*AI1408),(1+V1409)*AI1408,AI1408)</f>
        <v/>
      </c>
      <c r="AJ1409">
        <f>IF(ISNUMBER((1+Z1409)*AJ1408),(1+Z1409)*AJ1408,AJ1408)</f>
        <v/>
      </c>
    </row>
    <row r="1410">
      <c r="A1410" s="1" t="n">
        <v>44048</v>
      </c>
      <c r="B1410" s="3">
        <f>IF(ORIG!B1410=0,"",ORIG!B1410)</f>
        <v/>
      </c>
      <c r="C1410" s="3">
        <f>IF(ORIG!C1410=0,"",ORIG!C1410)</f>
        <v/>
      </c>
      <c r="D1410" s="3">
        <f>IF(ORIG!D1410=0,"",ORIG!D1410)</f>
        <v/>
      </c>
      <c r="E1410" s="3">
        <f>IF(ORIG!E1410=0,"",ORIG!E1410)</f>
        <v/>
      </c>
      <c r="F1410" s="3">
        <f>IF(ORIG!F1410=0,"",ORIG!F1410)</f>
        <v/>
      </c>
      <c r="G1410" s="3">
        <f>IF(ORIG!G1410=0,"",ORIG!G1410)</f>
        <v/>
      </c>
      <c r="H1410" s="3">
        <f>IF(ORIG!H1410=0,"",ORIG!H1410)</f>
        <v/>
      </c>
      <c r="I1410" s="3">
        <f>IF(ORIG!I1410=0,"",ORIG!I1410)</f>
        <v/>
      </c>
      <c r="J1410" s="3">
        <f>IF(ORIG!J1410=0,"",ORIG!J1410)</f>
        <v/>
      </c>
      <c r="K1410" s="3">
        <f>IF(ORIG!K1410=0,"",ORIG!K1410)</f>
        <v/>
      </c>
      <c r="L1410" s="3">
        <f>IF(ORIG!L1410=0,"",ORIG!L1410)</f>
        <v/>
      </c>
      <c r="M1410" s="3">
        <f>IF(ORIG!M1410=0,"",ORIG!M1410)</f>
        <v/>
      </c>
      <c r="N1410" s="3">
        <f>IF(ORIG!N1410=0,"",ORIG!N1410)</f>
        <v/>
      </c>
      <c r="O1410" s="3">
        <f>IF(ORIG!O1410=0,"",ORIG!O1410)</f>
        <v/>
      </c>
      <c r="P1410" s="3">
        <f>IF(ORIG!P1410=0,"",ORIG!P1410)</f>
        <v/>
      </c>
      <c r="Q1410" s="3">
        <f>IF(ORIG!Q1410=0,"",ORIG!Q1410)</f>
        <v/>
      </c>
      <c r="R1410" s="3">
        <f>IF(ORIG!R1410=0,"",ORIG!R1410)</f>
        <v/>
      </c>
      <c r="S1410" s="3">
        <f>IF(ORIG!S1410=0,"",ORIG!S1410)</f>
        <v/>
      </c>
      <c r="T1410" s="3">
        <f>IF(ORIG!T1410=0,"",ORIG!T1410)</f>
        <v/>
      </c>
      <c r="U1410" s="3">
        <f>IF(ORIG!U1410=0,"",ORIG!U1410)</f>
        <v/>
      </c>
      <c r="V1410" s="9">
        <f>IF(ORIG!V1410=0,"",ORIG!V1410)</f>
        <v/>
      </c>
      <c r="W1410" s="9">
        <f>IF(ORIG!W1410=0,"",ORIG!W1410)</f>
        <v/>
      </c>
      <c r="X1410" s="9">
        <f>IF(ORIG!X1410=0,"",ORIG!X1410)</f>
        <v/>
      </c>
      <c r="Y1410" s="9">
        <f>IF(ORIG!Y1410=0,"",ORIG!Y1410)</f>
        <v/>
      </c>
      <c r="Z1410" s="3">
        <f>SUMPRODUCT($B1410:$Y1410,$B$2649:$Y$2649)</f>
        <v/>
      </c>
      <c r="AA1410" s="3">
        <f>SUMPRODUCT($B1410:$Y1410,$B$2655:$Y$2655)</f>
        <v/>
      </c>
      <c r="AC1410" s="1">
        <f>A1410</f>
        <v/>
      </c>
      <c r="AD1410">
        <f>IF(ISNUMBER(V1410),V1410*($AB$1/V$2635),"")</f>
        <v/>
      </c>
      <c r="AE1410">
        <f>IF(ISNUMBER(Z1410),Z1410*($AB$1/Z$2635),"")</f>
        <v/>
      </c>
      <c r="AF1410" s="25">
        <f>IF(ISNUMBER(AD1410+AE1410),AD1410+AE1410,"")</f>
        <v/>
      </c>
      <c r="AH1410" s="1">
        <f>A1410</f>
        <v/>
      </c>
      <c r="AI1410">
        <f>IF(ISNUMBER((1+V1410)*AI1409),(1+V1410)*AI1409,AI1409)</f>
        <v/>
      </c>
      <c r="AJ1410">
        <f>IF(ISNUMBER((1+Z1410)*AJ1409),(1+Z1410)*AJ1409,AJ1409)</f>
        <v/>
      </c>
    </row>
    <row r="1411">
      <c r="A1411" s="1" t="n">
        <v>44049</v>
      </c>
      <c r="B1411" s="3">
        <f>IF(ORIG!B1411=0,"",ORIG!B1411)</f>
        <v/>
      </c>
      <c r="C1411" s="3">
        <f>IF(ORIG!C1411=0,"",ORIG!C1411)</f>
        <v/>
      </c>
      <c r="D1411" s="3">
        <f>IF(ORIG!D1411=0,"",ORIG!D1411)</f>
        <v/>
      </c>
      <c r="E1411" s="3">
        <f>IF(ORIG!E1411=0,"",ORIG!E1411)</f>
        <v/>
      </c>
      <c r="F1411" s="3">
        <f>IF(ORIG!F1411=0,"",ORIG!F1411)</f>
        <v/>
      </c>
      <c r="G1411" s="3">
        <f>IF(ORIG!G1411=0,"",ORIG!G1411)</f>
        <v/>
      </c>
      <c r="H1411" s="3">
        <f>IF(ORIG!H1411=0,"",ORIG!H1411)</f>
        <v/>
      </c>
      <c r="I1411" s="3">
        <f>IF(ORIG!I1411=0,"",ORIG!I1411)</f>
        <v/>
      </c>
      <c r="J1411" s="3">
        <f>IF(ORIG!J1411=0,"",ORIG!J1411)</f>
        <v/>
      </c>
      <c r="K1411" s="3">
        <f>IF(ORIG!K1411=0,"",ORIG!K1411)</f>
        <v/>
      </c>
      <c r="L1411" s="3">
        <f>IF(ORIG!L1411=0,"",ORIG!L1411)</f>
        <v/>
      </c>
      <c r="M1411" s="3">
        <f>IF(ORIG!M1411=0,"",ORIG!M1411)</f>
        <v/>
      </c>
      <c r="N1411" s="3">
        <f>IF(ORIG!N1411=0,"",ORIG!N1411)</f>
        <v/>
      </c>
      <c r="O1411" s="3">
        <f>IF(ORIG!O1411=0,"",ORIG!O1411)</f>
        <v/>
      </c>
      <c r="P1411" s="3">
        <f>IF(ORIG!P1411=0,"",ORIG!P1411)</f>
        <v/>
      </c>
      <c r="Q1411" s="3">
        <f>IF(ORIG!Q1411=0,"",ORIG!Q1411)</f>
        <v/>
      </c>
      <c r="R1411" s="3">
        <f>IF(ORIG!R1411=0,"",ORIG!R1411)</f>
        <v/>
      </c>
      <c r="S1411" s="3">
        <f>IF(ORIG!S1411=0,"",ORIG!S1411)</f>
        <v/>
      </c>
      <c r="T1411" s="3">
        <f>IF(ORIG!T1411=0,"",ORIG!T1411)</f>
        <v/>
      </c>
      <c r="U1411" s="3">
        <f>IF(ORIG!U1411=0,"",ORIG!U1411)</f>
        <v/>
      </c>
      <c r="V1411" s="9">
        <f>IF(ORIG!V1411=0,"",ORIG!V1411)</f>
        <v/>
      </c>
      <c r="W1411" s="9">
        <f>IF(ORIG!W1411=0,"",ORIG!W1411)</f>
        <v/>
      </c>
      <c r="X1411" s="9">
        <f>IF(ORIG!X1411=0,"",ORIG!X1411)</f>
        <v/>
      </c>
      <c r="Y1411" s="9">
        <f>IF(ORIG!Y1411=0,"",ORIG!Y1411)</f>
        <v/>
      </c>
      <c r="Z1411" s="3">
        <f>SUMPRODUCT($B1411:$Y1411,$B$2649:$Y$2649)</f>
        <v/>
      </c>
      <c r="AA1411" s="3">
        <f>SUMPRODUCT($B1411:$Y1411,$B$2655:$Y$2655)</f>
        <v/>
      </c>
      <c r="AC1411" s="1">
        <f>A1411</f>
        <v/>
      </c>
      <c r="AD1411">
        <f>IF(ISNUMBER(V1411),V1411*($AB$1/V$2635),"")</f>
        <v/>
      </c>
      <c r="AE1411">
        <f>IF(ISNUMBER(Z1411),Z1411*($AB$1/Z$2635),"")</f>
        <v/>
      </c>
      <c r="AF1411" s="25">
        <f>IF(ISNUMBER(AD1411+AE1411),AD1411+AE1411,"")</f>
        <v/>
      </c>
      <c r="AH1411" s="1">
        <f>A1411</f>
        <v/>
      </c>
      <c r="AI1411">
        <f>IF(ISNUMBER((1+V1411)*AI1410),(1+V1411)*AI1410,AI1410)</f>
        <v/>
      </c>
      <c r="AJ1411">
        <f>IF(ISNUMBER((1+Z1411)*AJ1410),(1+Z1411)*AJ1410,AJ1410)</f>
        <v/>
      </c>
    </row>
    <row r="1412">
      <c r="A1412" s="1" t="n">
        <v>44050</v>
      </c>
      <c r="B1412" s="3">
        <f>IF(ORIG!B1412=0,"",ORIG!B1412)</f>
        <v/>
      </c>
      <c r="C1412" s="3">
        <f>IF(ORIG!C1412=0,"",ORIG!C1412)</f>
        <v/>
      </c>
      <c r="D1412" s="3">
        <f>IF(ORIG!D1412=0,"",ORIG!D1412)</f>
        <v/>
      </c>
      <c r="E1412" s="3">
        <f>IF(ORIG!E1412=0,"",ORIG!E1412)</f>
        <v/>
      </c>
      <c r="F1412" s="3">
        <f>IF(ORIG!F1412=0,"",ORIG!F1412)</f>
        <v/>
      </c>
      <c r="G1412" s="3">
        <f>IF(ORIG!G1412=0,"",ORIG!G1412)</f>
        <v/>
      </c>
      <c r="H1412" s="3">
        <f>IF(ORIG!H1412=0,"",ORIG!H1412)</f>
        <v/>
      </c>
      <c r="I1412" s="3">
        <f>IF(ORIG!I1412=0,"",ORIG!I1412)</f>
        <v/>
      </c>
      <c r="J1412" s="3">
        <f>IF(ORIG!J1412=0,"",ORIG!J1412)</f>
        <v/>
      </c>
      <c r="K1412" s="3">
        <f>IF(ORIG!K1412=0,"",ORIG!K1412)</f>
        <v/>
      </c>
      <c r="L1412" s="3">
        <f>IF(ORIG!L1412=0,"",ORIG!L1412)</f>
        <v/>
      </c>
      <c r="M1412" s="3">
        <f>IF(ORIG!M1412=0,"",ORIG!M1412)</f>
        <v/>
      </c>
      <c r="N1412" s="3">
        <f>IF(ORIG!N1412=0,"",ORIG!N1412)</f>
        <v/>
      </c>
      <c r="O1412" s="3">
        <f>IF(ORIG!O1412=0,"",ORIG!O1412)</f>
        <v/>
      </c>
      <c r="P1412" s="3">
        <f>IF(ORIG!P1412=0,"",ORIG!P1412)</f>
        <v/>
      </c>
      <c r="Q1412" s="3">
        <f>IF(ORIG!Q1412=0,"",ORIG!Q1412)</f>
        <v/>
      </c>
      <c r="R1412" s="3">
        <f>IF(ORIG!R1412=0,"",ORIG!R1412)</f>
        <v/>
      </c>
      <c r="S1412" s="3">
        <f>IF(ORIG!S1412=0,"",ORIG!S1412)</f>
        <v/>
      </c>
      <c r="T1412" s="3">
        <f>IF(ORIG!T1412=0,"",ORIG!T1412)</f>
        <v/>
      </c>
      <c r="U1412" s="3">
        <f>IF(ORIG!U1412=0,"",ORIG!U1412)</f>
        <v/>
      </c>
      <c r="V1412" s="9">
        <f>IF(ORIG!V1412=0,"",ORIG!V1412)</f>
        <v/>
      </c>
      <c r="W1412" s="9">
        <f>IF(ORIG!W1412=0,"",ORIG!W1412)</f>
        <v/>
      </c>
      <c r="X1412" s="9">
        <f>IF(ORIG!X1412=0,"",ORIG!X1412)</f>
        <v/>
      </c>
      <c r="Y1412" s="9">
        <f>IF(ORIG!Y1412=0,"",ORIG!Y1412)</f>
        <v/>
      </c>
      <c r="Z1412" s="3">
        <f>SUMPRODUCT($B1412:$Y1412,$B$2649:$Y$2649)</f>
        <v/>
      </c>
      <c r="AA1412" s="3">
        <f>SUMPRODUCT($B1412:$Y1412,$B$2655:$Y$2655)</f>
        <v/>
      </c>
      <c r="AC1412" s="1">
        <f>A1412</f>
        <v/>
      </c>
      <c r="AD1412">
        <f>IF(ISNUMBER(V1412),V1412*($AB$1/V$2635),"")</f>
        <v/>
      </c>
      <c r="AE1412">
        <f>IF(ISNUMBER(Z1412),Z1412*($AB$1/Z$2635),"")</f>
        <v/>
      </c>
      <c r="AF1412" s="25">
        <f>IF(ISNUMBER(AD1412+AE1412),AD1412+AE1412,"")</f>
        <v/>
      </c>
      <c r="AH1412" s="1">
        <f>A1412</f>
        <v/>
      </c>
      <c r="AI1412">
        <f>IF(ISNUMBER((1+V1412)*AI1411),(1+V1412)*AI1411,AI1411)</f>
        <v/>
      </c>
      <c r="AJ1412">
        <f>IF(ISNUMBER((1+Z1412)*AJ1411),(1+Z1412)*AJ1411,AJ1411)</f>
        <v/>
      </c>
    </row>
    <row r="1413">
      <c r="A1413" s="1" t="n">
        <v>44053</v>
      </c>
      <c r="B1413" s="3">
        <f>IF(ORIG!B1413=0,"",ORIG!B1413)</f>
        <v/>
      </c>
      <c r="C1413" s="3">
        <f>IF(ORIG!C1413=0,"",ORIG!C1413)</f>
        <v/>
      </c>
      <c r="D1413" s="3">
        <f>IF(ORIG!D1413=0,"",ORIG!D1413)</f>
        <v/>
      </c>
      <c r="E1413" s="3">
        <f>IF(ORIG!E1413=0,"",ORIG!E1413)</f>
        <v/>
      </c>
      <c r="F1413" s="3">
        <f>IF(ORIG!F1413=0,"",ORIG!F1413)</f>
        <v/>
      </c>
      <c r="G1413" s="3">
        <f>IF(ORIG!G1413=0,"",ORIG!G1413)</f>
        <v/>
      </c>
      <c r="H1413" s="3">
        <f>IF(ORIG!H1413=0,"",ORIG!H1413)</f>
        <v/>
      </c>
      <c r="I1413" s="3">
        <f>IF(ORIG!I1413=0,"",ORIG!I1413)</f>
        <v/>
      </c>
      <c r="J1413" s="3">
        <f>IF(ORIG!J1413=0,"",ORIG!J1413)</f>
        <v/>
      </c>
      <c r="K1413" s="3">
        <f>IF(ORIG!K1413=0,"",ORIG!K1413)</f>
        <v/>
      </c>
      <c r="L1413" s="3">
        <f>IF(ORIG!L1413=0,"",ORIG!L1413)</f>
        <v/>
      </c>
      <c r="M1413" s="3">
        <f>IF(ORIG!M1413=0,"",ORIG!M1413)</f>
        <v/>
      </c>
      <c r="N1413" s="3">
        <f>IF(ORIG!N1413=0,"",ORIG!N1413)</f>
        <v/>
      </c>
      <c r="O1413" s="3">
        <f>IF(ORIG!O1413=0,"",ORIG!O1413)</f>
        <v/>
      </c>
      <c r="P1413" s="3">
        <f>IF(ORIG!P1413=0,"",ORIG!P1413)</f>
        <v/>
      </c>
      <c r="Q1413" s="3">
        <f>IF(ORIG!Q1413=0,"",ORIG!Q1413)</f>
        <v/>
      </c>
      <c r="R1413" s="3">
        <f>IF(ORIG!R1413=0,"",ORIG!R1413)</f>
        <v/>
      </c>
      <c r="S1413" s="3">
        <f>IF(ORIG!S1413=0,"",ORIG!S1413)</f>
        <v/>
      </c>
      <c r="T1413" s="3">
        <f>IF(ORIG!T1413=0,"",ORIG!T1413)</f>
        <v/>
      </c>
      <c r="U1413" s="3">
        <f>IF(ORIG!U1413=0,"",ORIG!U1413)</f>
        <v/>
      </c>
      <c r="V1413" s="9">
        <f>IF(ORIG!V1413=0,"",ORIG!V1413)</f>
        <v/>
      </c>
      <c r="W1413" s="9">
        <f>IF(ORIG!W1413=0,"",ORIG!W1413)</f>
        <v/>
      </c>
      <c r="X1413" s="9">
        <f>IF(ORIG!X1413=0,"",ORIG!X1413)</f>
        <v/>
      </c>
      <c r="Y1413" s="9">
        <f>IF(ORIG!Y1413=0,"",ORIG!Y1413)</f>
        <v/>
      </c>
      <c r="Z1413" s="3">
        <f>SUMPRODUCT($B1413:$Y1413,$B$2649:$Y$2649)</f>
        <v/>
      </c>
      <c r="AA1413" s="3">
        <f>SUMPRODUCT($B1413:$Y1413,$B$2655:$Y$2655)</f>
        <v/>
      </c>
      <c r="AC1413" s="1">
        <f>A1413</f>
        <v/>
      </c>
      <c r="AD1413">
        <f>IF(ISNUMBER(V1413),V1413*($AB$1/V$2635),"")</f>
        <v/>
      </c>
      <c r="AE1413">
        <f>IF(ISNUMBER(Z1413),Z1413*($AB$1/Z$2635),"")</f>
        <v/>
      </c>
      <c r="AF1413" s="25">
        <f>IF(ISNUMBER(AD1413+AE1413),AD1413+AE1413,"")</f>
        <v/>
      </c>
      <c r="AH1413" s="1">
        <f>A1413</f>
        <v/>
      </c>
      <c r="AI1413">
        <f>IF(ISNUMBER((1+V1413)*AI1412),(1+V1413)*AI1412,AI1412)</f>
        <v/>
      </c>
      <c r="AJ1413">
        <f>IF(ISNUMBER((1+Z1413)*AJ1412),(1+Z1413)*AJ1412,AJ1412)</f>
        <v/>
      </c>
    </row>
    <row r="1414">
      <c r="A1414" s="1" t="n">
        <v>44054</v>
      </c>
      <c r="B1414" s="3">
        <f>IF(ORIG!B1414=0,"",ORIG!B1414)</f>
        <v/>
      </c>
      <c r="C1414" s="3">
        <f>IF(ORIG!C1414=0,"",ORIG!C1414)</f>
        <v/>
      </c>
      <c r="D1414" s="3">
        <f>IF(ORIG!D1414=0,"",ORIG!D1414)</f>
        <v/>
      </c>
      <c r="E1414" s="3">
        <f>IF(ORIG!E1414=0,"",ORIG!E1414)</f>
        <v/>
      </c>
      <c r="F1414" s="3">
        <f>IF(ORIG!F1414=0,"",ORIG!F1414)</f>
        <v/>
      </c>
      <c r="G1414" s="3">
        <f>IF(ORIG!G1414=0,"",ORIG!G1414)</f>
        <v/>
      </c>
      <c r="H1414" s="3">
        <f>IF(ORIG!H1414=0,"",ORIG!H1414)</f>
        <v/>
      </c>
      <c r="I1414" s="3">
        <f>IF(ORIG!I1414=0,"",ORIG!I1414)</f>
        <v/>
      </c>
      <c r="J1414" s="3">
        <f>IF(ORIG!J1414=0,"",ORIG!J1414)</f>
        <v/>
      </c>
      <c r="K1414" s="3">
        <f>IF(ORIG!K1414=0,"",ORIG!K1414)</f>
        <v/>
      </c>
      <c r="L1414" s="3">
        <f>IF(ORIG!L1414=0,"",ORIG!L1414)</f>
        <v/>
      </c>
      <c r="M1414" s="3">
        <f>IF(ORIG!M1414=0,"",ORIG!M1414)</f>
        <v/>
      </c>
      <c r="N1414" s="3">
        <f>IF(ORIG!N1414=0,"",ORIG!N1414)</f>
        <v/>
      </c>
      <c r="O1414" s="3">
        <f>IF(ORIG!O1414=0,"",ORIG!O1414)</f>
        <v/>
      </c>
      <c r="P1414" s="3">
        <f>IF(ORIG!P1414=0,"",ORIG!P1414)</f>
        <v/>
      </c>
      <c r="Q1414" s="3">
        <f>IF(ORIG!Q1414=0,"",ORIG!Q1414)</f>
        <v/>
      </c>
      <c r="R1414" s="3">
        <f>IF(ORIG!R1414=0,"",ORIG!R1414)</f>
        <v/>
      </c>
      <c r="S1414" s="3">
        <f>IF(ORIG!S1414=0,"",ORIG!S1414)</f>
        <v/>
      </c>
      <c r="T1414" s="3">
        <f>IF(ORIG!T1414=0,"",ORIG!T1414)</f>
        <v/>
      </c>
      <c r="U1414" s="3">
        <f>IF(ORIG!U1414=0,"",ORIG!U1414)</f>
        <v/>
      </c>
      <c r="V1414" s="9">
        <f>IF(ORIG!V1414=0,"",ORIG!V1414)</f>
        <v/>
      </c>
      <c r="W1414" s="9">
        <f>IF(ORIG!W1414=0,"",ORIG!W1414)</f>
        <v/>
      </c>
      <c r="X1414" s="9">
        <f>IF(ORIG!X1414=0,"",ORIG!X1414)</f>
        <v/>
      </c>
      <c r="Y1414" s="9">
        <f>IF(ORIG!Y1414=0,"",ORIG!Y1414)</f>
        <v/>
      </c>
      <c r="Z1414" s="3">
        <f>SUMPRODUCT($B1414:$Y1414,$B$2649:$Y$2649)</f>
        <v/>
      </c>
      <c r="AA1414" s="3">
        <f>SUMPRODUCT($B1414:$Y1414,$B$2655:$Y$2655)</f>
        <v/>
      </c>
      <c r="AC1414" s="1">
        <f>A1414</f>
        <v/>
      </c>
      <c r="AD1414">
        <f>IF(ISNUMBER(V1414),V1414*($AB$1/V$2635),"")</f>
        <v/>
      </c>
      <c r="AE1414">
        <f>IF(ISNUMBER(Z1414),Z1414*($AB$1/Z$2635),"")</f>
        <v/>
      </c>
      <c r="AF1414" s="25">
        <f>IF(ISNUMBER(AD1414+AE1414),AD1414+AE1414,"")</f>
        <v/>
      </c>
      <c r="AH1414" s="1">
        <f>A1414</f>
        <v/>
      </c>
      <c r="AI1414">
        <f>IF(ISNUMBER((1+V1414)*AI1413),(1+V1414)*AI1413,AI1413)</f>
        <v/>
      </c>
      <c r="AJ1414">
        <f>IF(ISNUMBER((1+Z1414)*AJ1413),(1+Z1414)*AJ1413,AJ1413)</f>
        <v/>
      </c>
    </row>
    <row r="1415">
      <c r="A1415" s="1" t="n">
        <v>44055</v>
      </c>
      <c r="B1415" s="3">
        <f>IF(ORIG!B1415=0,"",ORIG!B1415)</f>
        <v/>
      </c>
      <c r="C1415" s="3">
        <f>IF(ORIG!C1415=0,"",ORIG!C1415)</f>
        <v/>
      </c>
      <c r="D1415" s="3">
        <f>IF(ORIG!D1415=0,"",ORIG!D1415)</f>
        <v/>
      </c>
      <c r="E1415" s="3">
        <f>IF(ORIG!E1415=0,"",ORIG!E1415)</f>
        <v/>
      </c>
      <c r="F1415" s="3">
        <f>IF(ORIG!F1415=0,"",ORIG!F1415)</f>
        <v/>
      </c>
      <c r="G1415" s="3">
        <f>IF(ORIG!G1415=0,"",ORIG!G1415)</f>
        <v/>
      </c>
      <c r="H1415" s="3">
        <f>IF(ORIG!H1415=0,"",ORIG!H1415)</f>
        <v/>
      </c>
      <c r="I1415" s="3">
        <f>IF(ORIG!I1415=0,"",ORIG!I1415)</f>
        <v/>
      </c>
      <c r="J1415" s="3">
        <f>IF(ORIG!J1415=0,"",ORIG!J1415)</f>
        <v/>
      </c>
      <c r="K1415" s="3">
        <f>IF(ORIG!K1415=0,"",ORIG!K1415)</f>
        <v/>
      </c>
      <c r="L1415" s="3">
        <f>IF(ORIG!L1415=0,"",ORIG!L1415)</f>
        <v/>
      </c>
      <c r="M1415" s="3">
        <f>IF(ORIG!M1415=0,"",ORIG!M1415)</f>
        <v/>
      </c>
      <c r="N1415" s="3">
        <f>IF(ORIG!N1415=0,"",ORIG!N1415)</f>
        <v/>
      </c>
      <c r="O1415" s="3">
        <f>IF(ORIG!O1415=0,"",ORIG!O1415)</f>
        <v/>
      </c>
      <c r="P1415" s="3">
        <f>IF(ORIG!P1415=0,"",ORIG!P1415)</f>
        <v/>
      </c>
      <c r="Q1415" s="3">
        <f>IF(ORIG!Q1415=0,"",ORIG!Q1415)</f>
        <v/>
      </c>
      <c r="R1415" s="3">
        <f>IF(ORIG!R1415=0,"",ORIG!R1415)</f>
        <v/>
      </c>
      <c r="S1415" s="3">
        <f>IF(ORIG!S1415=0,"",ORIG!S1415)</f>
        <v/>
      </c>
      <c r="T1415" s="3">
        <f>IF(ORIG!T1415=0,"",ORIG!T1415)</f>
        <v/>
      </c>
      <c r="U1415" s="3">
        <f>IF(ORIG!U1415=0,"",ORIG!U1415)</f>
        <v/>
      </c>
      <c r="V1415" s="9">
        <f>IF(ORIG!V1415=0,"",ORIG!V1415)</f>
        <v/>
      </c>
      <c r="W1415" s="9">
        <f>IF(ORIG!W1415=0,"",ORIG!W1415)</f>
        <v/>
      </c>
      <c r="X1415" s="9">
        <f>IF(ORIG!X1415=0,"",ORIG!X1415)</f>
        <v/>
      </c>
      <c r="Y1415" s="9">
        <f>IF(ORIG!Y1415=0,"",ORIG!Y1415)</f>
        <v/>
      </c>
      <c r="Z1415" s="3">
        <f>SUMPRODUCT($B1415:$Y1415,$B$2649:$Y$2649)</f>
        <v/>
      </c>
      <c r="AA1415" s="3">
        <f>SUMPRODUCT($B1415:$Y1415,$B$2655:$Y$2655)</f>
        <v/>
      </c>
      <c r="AC1415" s="1">
        <f>A1415</f>
        <v/>
      </c>
      <c r="AD1415">
        <f>IF(ISNUMBER(V1415),V1415*($AB$1/V$2635),"")</f>
        <v/>
      </c>
      <c r="AE1415">
        <f>IF(ISNUMBER(Z1415),Z1415*($AB$1/Z$2635),"")</f>
        <v/>
      </c>
      <c r="AF1415" s="25">
        <f>IF(ISNUMBER(AD1415+AE1415),AD1415+AE1415,"")</f>
        <v/>
      </c>
      <c r="AH1415" s="1">
        <f>A1415</f>
        <v/>
      </c>
      <c r="AI1415">
        <f>IF(ISNUMBER((1+V1415)*AI1414),(1+V1415)*AI1414,AI1414)</f>
        <v/>
      </c>
      <c r="AJ1415">
        <f>IF(ISNUMBER((1+Z1415)*AJ1414),(1+Z1415)*AJ1414,AJ1414)</f>
        <v/>
      </c>
    </row>
    <row r="1416">
      <c r="A1416" s="1" t="n">
        <v>44056</v>
      </c>
      <c r="B1416" s="3">
        <f>IF(ORIG!B1416=0,"",ORIG!B1416)</f>
        <v/>
      </c>
      <c r="C1416" s="3">
        <f>IF(ORIG!C1416=0,"",ORIG!C1416)</f>
        <v/>
      </c>
      <c r="D1416" s="3">
        <f>IF(ORIG!D1416=0,"",ORIG!D1416)</f>
        <v/>
      </c>
      <c r="E1416" s="3">
        <f>IF(ORIG!E1416=0,"",ORIG!E1416)</f>
        <v/>
      </c>
      <c r="F1416" s="3">
        <f>IF(ORIG!F1416=0,"",ORIG!F1416)</f>
        <v/>
      </c>
      <c r="G1416" s="3">
        <f>IF(ORIG!G1416=0,"",ORIG!G1416)</f>
        <v/>
      </c>
      <c r="H1416" s="3">
        <f>IF(ORIG!H1416=0,"",ORIG!H1416)</f>
        <v/>
      </c>
      <c r="I1416" s="3">
        <f>IF(ORIG!I1416=0,"",ORIG!I1416)</f>
        <v/>
      </c>
      <c r="J1416" s="3">
        <f>IF(ORIG!J1416=0,"",ORIG!J1416)</f>
        <v/>
      </c>
      <c r="K1416" s="3">
        <f>IF(ORIG!K1416=0,"",ORIG!K1416)</f>
        <v/>
      </c>
      <c r="L1416" s="3">
        <f>IF(ORIG!L1416=0,"",ORIG!L1416)</f>
        <v/>
      </c>
      <c r="M1416" s="3">
        <f>IF(ORIG!M1416=0,"",ORIG!M1416)</f>
        <v/>
      </c>
      <c r="N1416" s="3">
        <f>IF(ORIG!N1416=0,"",ORIG!N1416)</f>
        <v/>
      </c>
      <c r="O1416" s="3">
        <f>IF(ORIG!O1416=0,"",ORIG!O1416)</f>
        <v/>
      </c>
      <c r="P1416" s="3">
        <f>IF(ORIG!P1416=0,"",ORIG!P1416)</f>
        <v/>
      </c>
      <c r="Q1416" s="3">
        <f>IF(ORIG!Q1416=0,"",ORIG!Q1416)</f>
        <v/>
      </c>
      <c r="R1416" s="3">
        <f>IF(ORIG!R1416=0,"",ORIG!R1416)</f>
        <v/>
      </c>
      <c r="S1416" s="3">
        <f>IF(ORIG!S1416=0,"",ORIG!S1416)</f>
        <v/>
      </c>
      <c r="T1416" s="3">
        <f>IF(ORIG!T1416=0,"",ORIG!T1416)</f>
        <v/>
      </c>
      <c r="U1416" s="3">
        <f>IF(ORIG!U1416=0,"",ORIG!U1416)</f>
        <v/>
      </c>
      <c r="V1416" s="9">
        <f>IF(ORIG!V1416=0,"",ORIG!V1416)</f>
        <v/>
      </c>
      <c r="W1416" s="9">
        <f>IF(ORIG!W1416=0,"",ORIG!W1416)</f>
        <v/>
      </c>
      <c r="X1416" s="9">
        <f>IF(ORIG!X1416=0,"",ORIG!X1416)</f>
        <v/>
      </c>
      <c r="Y1416" s="9">
        <f>IF(ORIG!Y1416=0,"",ORIG!Y1416)</f>
        <v/>
      </c>
      <c r="Z1416" s="3">
        <f>SUMPRODUCT($B1416:$Y1416,$B$2649:$Y$2649)</f>
        <v/>
      </c>
      <c r="AA1416" s="3">
        <f>SUMPRODUCT($B1416:$Y1416,$B$2655:$Y$2655)</f>
        <v/>
      </c>
      <c r="AC1416" s="1">
        <f>A1416</f>
        <v/>
      </c>
      <c r="AD1416">
        <f>IF(ISNUMBER(V1416),V1416*($AB$1/V$2635),"")</f>
        <v/>
      </c>
      <c r="AE1416">
        <f>IF(ISNUMBER(Z1416),Z1416*($AB$1/Z$2635),"")</f>
        <v/>
      </c>
      <c r="AF1416" s="25">
        <f>IF(ISNUMBER(AD1416+AE1416),AD1416+AE1416,"")</f>
        <v/>
      </c>
      <c r="AH1416" s="1">
        <f>A1416</f>
        <v/>
      </c>
      <c r="AI1416">
        <f>IF(ISNUMBER((1+V1416)*AI1415),(1+V1416)*AI1415,AI1415)</f>
        <v/>
      </c>
      <c r="AJ1416">
        <f>IF(ISNUMBER((1+Z1416)*AJ1415),(1+Z1416)*AJ1415,AJ1415)</f>
        <v/>
      </c>
    </row>
    <row r="1417">
      <c r="A1417" s="1" t="n">
        <v>44057</v>
      </c>
      <c r="B1417" s="3">
        <f>IF(ORIG!B1417=0,"",ORIG!B1417)</f>
        <v/>
      </c>
      <c r="C1417" s="3">
        <f>IF(ORIG!C1417=0,"",ORIG!C1417)</f>
        <v/>
      </c>
      <c r="D1417" s="3">
        <f>IF(ORIG!D1417=0,"",ORIG!D1417)</f>
        <v/>
      </c>
      <c r="E1417" s="3">
        <f>IF(ORIG!E1417=0,"",ORIG!E1417)</f>
        <v/>
      </c>
      <c r="F1417" s="3">
        <f>IF(ORIG!F1417=0,"",ORIG!F1417)</f>
        <v/>
      </c>
      <c r="G1417" s="3">
        <f>IF(ORIG!G1417=0,"",ORIG!G1417)</f>
        <v/>
      </c>
      <c r="H1417" s="3">
        <f>IF(ORIG!H1417=0,"",ORIG!H1417)</f>
        <v/>
      </c>
      <c r="I1417" s="3">
        <f>IF(ORIG!I1417=0,"",ORIG!I1417)</f>
        <v/>
      </c>
      <c r="J1417" s="3">
        <f>IF(ORIG!J1417=0,"",ORIG!J1417)</f>
        <v/>
      </c>
      <c r="K1417" s="3">
        <f>IF(ORIG!K1417=0,"",ORIG!K1417)</f>
        <v/>
      </c>
      <c r="L1417" s="3">
        <f>IF(ORIG!L1417=0,"",ORIG!L1417)</f>
        <v/>
      </c>
      <c r="M1417" s="3">
        <f>IF(ORIG!M1417=0,"",ORIG!M1417)</f>
        <v/>
      </c>
      <c r="N1417" s="3">
        <f>IF(ORIG!N1417=0,"",ORIG!N1417)</f>
        <v/>
      </c>
      <c r="O1417" s="3">
        <f>IF(ORIG!O1417=0,"",ORIG!O1417)</f>
        <v/>
      </c>
      <c r="P1417" s="3">
        <f>IF(ORIG!P1417=0,"",ORIG!P1417)</f>
        <v/>
      </c>
      <c r="Q1417" s="3">
        <f>IF(ORIG!Q1417=0,"",ORIG!Q1417)</f>
        <v/>
      </c>
      <c r="R1417" s="3">
        <f>IF(ORIG!R1417=0,"",ORIG!R1417)</f>
        <v/>
      </c>
      <c r="S1417" s="3">
        <f>IF(ORIG!S1417=0,"",ORIG!S1417)</f>
        <v/>
      </c>
      <c r="T1417" s="3">
        <f>IF(ORIG!T1417=0,"",ORIG!T1417)</f>
        <v/>
      </c>
      <c r="U1417" s="3">
        <f>IF(ORIG!U1417=0,"",ORIG!U1417)</f>
        <v/>
      </c>
      <c r="V1417" s="9">
        <f>IF(ORIG!V1417=0,"",ORIG!V1417)</f>
        <v/>
      </c>
      <c r="W1417" s="9">
        <f>IF(ORIG!W1417=0,"",ORIG!W1417)</f>
        <v/>
      </c>
      <c r="X1417" s="9">
        <f>IF(ORIG!X1417=0,"",ORIG!X1417)</f>
        <v/>
      </c>
      <c r="Y1417" s="9">
        <f>IF(ORIG!Y1417=0,"",ORIG!Y1417)</f>
        <v/>
      </c>
      <c r="Z1417" s="3">
        <f>SUMPRODUCT($B1417:$Y1417,$B$2649:$Y$2649)</f>
        <v/>
      </c>
      <c r="AA1417" s="3">
        <f>SUMPRODUCT($B1417:$Y1417,$B$2655:$Y$2655)</f>
        <v/>
      </c>
      <c r="AC1417" s="1">
        <f>A1417</f>
        <v/>
      </c>
      <c r="AD1417">
        <f>IF(ISNUMBER(V1417),V1417*($AB$1/V$2635),"")</f>
        <v/>
      </c>
      <c r="AE1417">
        <f>IF(ISNUMBER(Z1417),Z1417*($AB$1/Z$2635),"")</f>
        <v/>
      </c>
      <c r="AF1417" s="25">
        <f>IF(ISNUMBER(AD1417+AE1417),AD1417+AE1417,"")</f>
        <v/>
      </c>
      <c r="AH1417" s="1">
        <f>A1417</f>
        <v/>
      </c>
      <c r="AI1417">
        <f>IF(ISNUMBER((1+V1417)*AI1416),(1+V1417)*AI1416,AI1416)</f>
        <v/>
      </c>
      <c r="AJ1417">
        <f>IF(ISNUMBER((1+Z1417)*AJ1416),(1+Z1417)*AJ1416,AJ1416)</f>
        <v/>
      </c>
    </row>
    <row r="1418">
      <c r="A1418" s="1" t="n">
        <v>44060</v>
      </c>
      <c r="B1418" s="3">
        <f>IF(ORIG!B1418=0,"",ORIG!B1418)</f>
        <v/>
      </c>
      <c r="C1418" s="3">
        <f>IF(ORIG!C1418=0,"",ORIG!C1418)</f>
        <v/>
      </c>
      <c r="D1418" s="3">
        <f>IF(ORIG!D1418=0,"",ORIG!D1418)</f>
        <v/>
      </c>
      <c r="E1418" s="3">
        <f>IF(ORIG!E1418=0,"",ORIG!E1418)</f>
        <v/>
      </c>
      <c r="F1418" s="3">
        <f>IF(ORIG!F1418=0,"",ORIG!F1418)</f>
        <v/>
      </c>
      <c r="G1418" s="3">
        <f>IF(ORIG!G1418=0,"",ORIG!G1418)</f>
        <v/>
      </c>
      <c r="H1418" s="3">
        <f>IF(ORIG!H1418=0,"",ORIG!H1418)</f>
        <v/>
      </c>
      <c r="I1418" s="3">
        <f>IF(ORIG!I1418=0,"",ORIG!I1418)</f>
        <v/>
      </c>
      <c r="J1418" s="3">
        <f>IF(ORIG!J1418=0,"",ORIG!J1418)</f>
        <v/>
      </c>
      <c r="K1418" s="3">
        <f>IF(ORIG!K1418=0,"",ORIG!K1418)</f>
        <v/>
      </c>
      <c r="L1418" s="3">
        <f>IF(ORIG!L1418=0,"",ORIG!L1418)</f>
        <v/>
      </c>
      <c r="M1418" s="3">
        <f>IF(ORIG!M1418=0,"",ORIG!M1418)</f>
        <v/>
      </c>
      <c r="N1418" s="3">
        <f>IF(ORIG!N1418=0,"",ORIG!N1418)</f>
        <v/>
      </c>
      <c r="O1418" s="3">
        <f>IF(ORIG!O1418=0,"",ORIG!O1418)</f>
        <v/>
      </c>
      <c r="P1418" s="3">
        <f>IF(ORIG!P1418=0,"",ORIG!P1418)</f>
        <v/>
      </c>
      <c r="Q1418" s="3">
        <f>IF(ORIG!Q1418=0,"",ORIG!Q1418)</f>
        <v/>
      </c>
      <c r="R1418" s="3">
        <f>IF(ORIG!R1418=0,"",ORIG!R1418)</f>
        <v/>
      </c>
      <c r="S1418" s="3">
        <f>IF(ORIG!S1418=0,"",ORIG!S1418)</f>
        <v/>
      </c>
      <c r="T1418" s="3">
        <f>IF(ORIG!T1418=0,"",ORIG!T1418)</f>
        <v/>
      </c>
      <c r="U1418" s="3">
        <f>IF(ORIG!U1418=0,"",ORIG!U1418)</f>
        <v/>
      </c>
      <c r="V1418" s="9">
        <f>IF(ORIG!V1418=0,"",ORIG!V1418)</f>
        <v/>
      </c>
      <c r="W1418" s="9">
        <f>IF(ORIG!W1418=0,"",ORIG!W1418)</f>
        <v/>
      </c>
      <c r="X1418" s="9">
        <f>IF(ORIG!X1418=0,"",ORIG!X1418)</f>
        <v/>
      </c>
      <c r="Y1418" s="9">
        <f>IF(ORIG!Y1418=0,"",ORIG!Y1418)</f>
        <v/>
      </c>
      <c r="Z1418" s="3">
        <f>SUMPRODUCT($B1418:$Y1418,$B$2649:$Y$2649)</f>
        <v/>
      </c>
      <c r="AA1418" s="3">
        <f>SUMPRODUCT($B1418:$Y1418,$B$2655:$Y$2655)</f>
        <v/>
      </c>
      <c r="AC1418" s="1">
        <f>A1418</f>
        <v/>
      </c>
      <c r="AD1418">
        <f>IF(ISNUMBER(V1418),V1418*($AB$1/V$2635),"")</f>
        <v/>
      </c>
      <c r="AE1418">
        <f>IF(ISNUMBER(Z1418),Z1418*($AB$1/Z$2635),"")</f>
        <v/>
      </c>
      <c r="AF1418" s="25">
        <f>IF(ISNUMBER(AD1418+AE1418),AD1418+AE1418,"")</f>
        <v/>
      </c>
      <c r="AH1418" s="1">
        <f>A1418</f>
        <v/>
      </c>
      <c r="AI1418">
        <f>IF(ISNUMBER((1+V1418)*AI1417),(1+V1418)*AI1417,AI1417)</f>
        <v/>
      </c>
      <c r="AJ1418">
        <f>IF(ISNUMBER((1+Z1418)*AJ1417),(1+Z1418)*AJ1417,AJ1417)</f>
        <v/>
      </c>
    </row>
    <row r="1419">
      <c r="A1419" s="1" t="n">
        <v>44061</v>
      </c>
      <c r="B1419" s="3">
        <f>IF(ORIG!B1419=0,"",ORIG!B1419)</f>
        <v/>
      </c>
      <c r="C1419" s="3">
        <f>IF(ORIG!C1419=0,"",ORIG!C1419)</f>
        <v/>
      </c>
      <c r="D1419" s="3">
        <f>IF(ORIG!D1419=0,"",ORIG!D1419)</f>
        <v/>
      </c>
      <c r="E1419" s="3">
        <f>IF(ORIG!E1419=0,"",ORIG!E1419)</f>
        <v/>
      </c>
      <c r="F1419" s="3">
        <f>IF(ORIG!F1419=0,"",ORIG!F1419)</f>
        <v/>
      </c>
      <c r="G1419" s="3">
        <f>IF(ORIG!G1419=0,"",ORIG!G1419)</f>
        <v/>
      </c>
      <c r="H1419" s="3">
        <f>IF(ORIG!H1419=0,"",ORIG!H1419)</f>
        <v/>
      </c>
      <c r="I1419" s="3">
        <f>IF(ORIG!I1419=0,"",ORIG!I1419)</f>
        <v/>
      </c>
      <c r="J1419" s="3">
        <f>IF(ORIG!J1419=0,"",ORIG!J1419)</f>
        <v/>
      </c>
      <c r="K1419" s="3">
        <f>IF(ORIG!K1419=0,"",ORIG!K1419)</f>
        <v/>
      </c>
      <c r="L1419" s="3">
        <f>IF(ORIG!L1419=0,"",ORIG!L1419)</f>
        <v/>
      </c>
      <c r="M1419" s="3">
        <f>IF(ORIG!M1419=0,"",ORIG!M1419)</f>
        <v/>
      </c>
      <c r="N1419" s="3">
        <f>IF(ORIG!N1419=0,"",ORIG!N1419)</f>
        <v/>
      </c>
      <c r="O1419" s="3">
        <f>IF(ORIG!O1419=0,"",ORIG!O1419)</f>
        <v/>
      </c>
      <c r="P1419" s="3">
        <f>IF(ORIG!P1419=0,"",ORIG!P1419)</f>
        <v/>
      </c>
      <c r="Q1419" s="3">
        <f>IF(ORIG!Q1419=0,"",ORIG!Q1419)</f>
        <v/>
      </c>
      <c r="R1419" s="3">
        <f>IF(ORIG!R1419=0,"",ORIG!R1419)</f>
        <v/>
      </c>
      <c r="S1419" s="3">
        <f>IF(ORIG!S1419=0,"",ORIG!S1419)</f>
        <v/>
      </c>
      <c r="T1419" s="3">
        <f>IF(ORIG!T1419=0,"",ORIG!T1419)</f>
        <v/>
      </c>
      <c r="U1419" s="3">
        <f>IF(ORIG!U1419=0,"",ORIG!U1419)</f>
        <v/>
      </c>
      <c r="V1419" s="9">
        <f>IF(ORIG!V1419=0,"",ORIG!V1419)</f>
        <v/>
      </c>
      <c r="W1419" s="9">
        <f>IF(ORIG!W1419=0,"",ORIG!W1419)</f>
        <v/>
      </c>
      <c r="X1419" s="9">
        <f>IF(ORIG!X1419=0,"",ORIG!X1419)</f>
        <v/>
      </c>
      <c r="Y1419" s="9">
        <f>IF(ORIG!Y1419=0,"",ORIG!Y1419)</f>
        <v/>
      </c>
      <c r="Z1419" s="3">
        <f>SUMPRODUCT($B1419:$Y1419,$B$2649:$Y$2649)</f>
        <v/>
      </c>
      <c r="AA1419" s="3">
        <f>SUMPRODUCT($B1419:$Y1419,$B$2655:$Y$2655)</f>
        <v/>
      </c>
      <c r="AC1419" s="1">
        <f>A1419</f>
        <v/>
      </c>
      <c r="AD1419">
        <f>IF(ISNUMBER(V1419),V1419*($AB$1/V$2635),"")</f>
        <v/>
      </c>
      <c r="AE1419">
        <f>IF(ISNUMBER(Z1419),Z1419*($AB$1/Z$2635),"")</f>
        <v/>
      </c>
      <c r="AF1419" s="25">
        <f>IF(ISNUMBER(AD1419+AE1419),AD1419+AE1419,"")</f>
        <v/>
      </c>
      <c r="AH1419" s="1">
        <f>A1419</f>
        <v/>
      </c>
      <c r="AI1419">
        <f>IF(ISNUMBER((1+V1419)*AI1418),(1+V1419)*AI1418,AI1418)</f>
        <v/>
      </c>
      <c r="AJ1419">
        <f>IF(ISNUMBER((1+Z1419)*AJ1418),(1+Z1419)*AJ1418,AJ1418)</f>
        <v/>
      </c>
    </row>
    <row r="1420">
      <c r="A1420" s="1" t="n">
        <v>44062</v>
      </c>
      <c r="B1420" s="3">
        <f>IF(ORIG!B1420=0,"",ORIG!B1420)</f>
        <v/>
      </c>
      <c r="C1420" s="3">
        <f>IF(ORIG!C1420=0,"",ORIG!C1420)</f>
        <v/>
      </c>
      <c r="D1420" s="3">
        <f>IF(ORIG!D1420=0,"",ORIG!D1420)</f>
        <v/>
      </c>
      <c r="E1420" s="3">
        <f>IF(ORIG!E1420=0,"",ORIG!E1420)</f>
        <v/>
      </c>
      <c r="F1420" s="3">
        <f>IF(ORIG!F1420=0,"",ORIG!F1420)</f>
        <v/>
      </c>
      <c r="G1420" s="3">
        <f>IF(ORIG!G1420=0,"",ORIG!G1420)</f>
        <v/>
      </c>
      <c r="H1420" s="3">
        <f>IF(ORIG!H1420=0,"",ORIG!H1420)</f>
        <v/>
      </c>
      <c r="I1420" s="3">
        <f>IF(ORIG!I1420=0,"",ORIG!I1420)</f>
        <v/>
      </c>
      <c r="J1420" s="3">
        <f>IF(ORIG!J1420=0,"",ORIG!J1420)</f>
        <v/>
      </c>
      <c r="K1420" s="3">
        <f>IF(ORIG!K1420=0,"",ORIG!K1420)</f>
        <v/>
      </c>
      <c r="L1420" s="3">
        <f>IF(ORIG!L1420=0,"",ORIG!L1420)</f>
        <v/>
      </c>
      <c r="M1420" s="3">
        <f>IF(ORIG!M1420=0,"",ORIG!M1420)</f>
        <v/>
      </c>
      <c r="N1420" s="3">
        <f>IF(ORIG!N1420=0,"",ORIG!N1420)</f>
        <v/>
      </c>
      <c r="O1420" s="3">
        <f>IF(ORIG!O1420=0,"",ORIG!O1420)</f>
        <v/>
      </c>
      <c r="P1420" s="3">
        <f>IF(ORIG!P1420=0,"",ORIG!P1420)</f>
        <v/>
      </c>
      <c r="Q1420" s="3">
        <f>IF(ORIG!Q1420=0,"",ORIG!Q1420)</f>
        <v/>
      </c>
      <c r="R1420" s="3">
        <f>IF(ORIG!R1420=0,"",ORIG!R1420)</f>
        <v/>
      </c>
      <c r="S1420" s="3">
        <f>IF(ORIG!S1420=0,"",ORIG!S1420)</f>
        <v/>
      </c>
      <c r="T1420" s="3">
        <f>IF(ORIG!T1420=0,"",ORIG!T1420)</f>
        <v/>
      </c>
      <c r="U1420" s="3">
        <f>IF(ORIG!U1420=0,"",ORIG!U1420)</f>
        <v/>
      </c>
      <c r="V1420" s="9">
        <f>IF(ORIG!V1420=0,"",ORIG!V1420)</f>
        <v/>
      </c>
      <c r="W1420" s="9">
        <f>IF(ORIG!W1420=0,"",ORIG!W1420)</f>
        <v/>
      </c>
      <c r="X1420" s="9">
        <f>IF(ORIG!X1420=0,"",ORIG!X1420)</f>
        <v/>
      </c>
      <c r="Y1420" s="9">
        <f>IF(ORIG!Y1420=0,"",ORIG!Y1420)</f>
        <v/>
      </c>
      <c r="Z1420" s="3">
        <f>SUMPRODUCT($B1420:$Y1420,$B$2649:$Y$2649)</f>
        <v/>
      </c>
      <c r="AA1420" s="3">
        <f>SUMPRODUCT($B1420:$Y1420,$B$2655:$Y$2655)</f>
        <v/>
      </c>
      <c r="AC1420" s="1">
        <f>A1420</f>
        <v/>
      </c>
      <c r="AD1420">
        <f>IF(ISNUMBER(V1420),V1420*($AB$1/V$2635),"")</f>
        <v/>
      </c>
      <c r="AE1420">
        <f>IF(ISNUMBER(Z1420),Z1420*($AB$1/Z$2635),"")</f>
        <v/>
      </c>
      <c r="AF1420" s="25">
        <f>IF(ISNUMBER(AD1420+AE1420),AD1420+AE1420,"")</f>
        <v/>
      </c>
      <c r="AH1420" s="1">
        <f>A1420</f>
        <v/>
      </c>
      <c r="AI1420">
        <f>IF(ISNUMBER((1+V1420)*AI1419),(1+V1420)*AI1419,AI1419)</f>
        <v/>
      </c>
      <c r="AJ1420">
        <f>IF(ISNUMBER((1+Z1420)*AJ1419),(1+Z1420)*AJ1419,AJ1419)</f>
        <v/>
      </c>
    </row>
    <row r="1421">
      <c r="A1421" s="1" t="n">
        <v>44063</v>
      </c>
      <c r="B1421" s="3">
        <f>IF(ORIG!B1421=0,"",ORIG!B1421)</f>
        <v/>
      </c>
      <c r="C1421" s="3">
        <f>IF(ORIG!C1421=0,"",ORIG!C1421)</f>
        <v/>
      </c>
      <c r="D1421" s="3">
        <f>IF(ORIG!D1421=0,"",ORIG!D1421)</f>
        <v/>
      </c>
      <c r="E1421" s="3">
        <f>IF(ORIG!E1421=0,"",ORIG!E1421)</f>
        <v/>
      </c>
      <c r="F1421" s="3">
        <f>IF(ORIG!F1421=0,"",ORIG!F1421)</f>
        <v/>
      </c>
      <c r="G1421" s="3">
        <f>IF(ORIG!G1421=0,"",ORIG!G1421)</f>
        <v/>
      </c>
      <c r="H1421" s="3">
        <f>IF(ORIG!H1421=0,"",ORIG!H1421)</f>
        <v/>
      </c>
      <c r="I1421" s="3">
        <f>IF(ORIG!I1421=0,"",ORIG!I1421)</f>
        <v/>
      </c>
      <c r="J1421" s="3">
        <f>IF(ORIG!J1421=0,"",ORIG!J1421)</f>
        <v/>
      </c>
      <c r="K1421" s="3">
        <f>IF(ORIG!K1421=0,"",ORIG!K1421)</f>
        <v/>
      </c>
      <c r="L1421" s="3">
        <f>IF(ORIG!L1421=0,"",ORIG!L1421)</f>
        <v/>
      </c>
      <c r="M1421" s="3">
        <f>IF(ORIG!M1421=0,"",ORIG!M1421)</f>
        <v/>
      </c>
      <c r="N1421" s="3">
        <f>IF(ORIG!N1421=0,"",ORIG!N1421)</f>
        <v/>
      </c>
      <c r="O1421" s="3">
        <f>IF(ORIG!O1421=0,"",ORIG!O1421)</f>
        <v/>
      </c>
      <c r="P1421" s="3">
        <f>IF(ORIG!P1421=0,"",ORIG!P1421)</f>
        <v/>
      </c>
      <c r="Q1421" s="3">
        <f>IF(ORIG!Q1421=0,"",ORIG!Q1421)</f>
        <v/>
      </c>
      <c r="R1421" s="3">
        <f>IF(ORIG!R1421=0,"",ORIG!R1421)</f>
        <v/>
      </c>
      <c r="S1421" s="3">
        <f>IF(ORIG!S1421=0,"",ORIG!S1421)</f>
        <v/>
      </c>
      <c r="T1421" s="3">
        <f>IF(ORIG!T1421=0,"",ORIG!T1421)</f>
        <v/>
      </c>
      <c r="U1421" s="3">
        <f>IF(ORIG!U1421=0,"",ORIG!U1421)</f>
        <v/>
      </c>
      <c r="V1421" s="9">
        <f>IF(ORIG!V1421=0,"",ORIG!V1421)</f>
        <v/>
      </c>
      <c r="W1421" s="9">
        <f>IF(ORIG!W1421=0,"",ORIG!W1421)</f>
        <v/>
      </c>
      <c r="X1421" s="9">
        <f>IF(ORIG!X1421=0,"",ORIG!X1421)</f>
        <v/>
      </c>
      <c r="Y1421" s="9">
        <f>IF(ORIG!Y1421=0,"",ORIG!Y1421)</f>
        <v/>
      </c>
      <c r="Z1421" s="3">
        <f>SUMPRODUCT($B1421:$Y1421,$B$2649:$Y$2649)</f>
        <v/>
      </c>
      <c r="AA1421" s="3">
        <f>SUMPRODUCT($B1421:$Y1421,$B$2655:$Y$2655)</f>
        <v/>
      </c>
      <c r="AC1421" s="1">
        <f>A1421</f>
        <v/>
      </c>
      <c r="AD1421">
        <f>IF(ISNUMBER(V1421),V1421*($AB$1/V$2635),"")</f>
        <v/>
      </c>
      <c r="AE1421">
        <f>IF(ISNUMBER(Z1421),Z1421*($AB$1/Z$2635),"")</f>
        <v/>
      </c>
      <c r="AF1421" s="25">
        <f>IF(ISNUMBER(AD1421+AE1421),AD1421+AE1421,"")</f>
        <v/>
      </c>
      <c r="AH1421" s="1">
        <f>A1421</f>
        <v/>
      </c>
      <c r="AI1421">
        <f>IF(ISNUMBER((1+V1421)*AI1420),(1+V1421)*AI1420,AI1420)</f>
        <v/>
      </c>
      <c r="AJ1421">
        <f>IF(ISNUMBER((1+Z1421)*AJ1420),(1+Z1421)*AJ1420,AJ1420)</f>
        <v/>
      </c>
    </row>
    <row r="1422">
      <c r="A1422" s="1" t="n">
        <v>44064</v>
      </c>
      <c r="B1422" s="3">
        <f>IF(ORIG!B1422=0,"",ORIG!B1422)</f>
        <v/>
      </c>
      <c r="C1422" s="3">
        <f>IF(ORIG!C1422=0,"",ORIG!C1422)</f>
        <v/>
      </c>
      <c r="D1422" s="3">
        <f>IF(ORIG!D1422=0,"",ORIG!D1422)</f>
        <v/>
      </c>
      <c r="E1422" s="3">
        <f>IF(ORIG!E1422=0,"",ORIG!E1422)</f>
        <v/>
      </c>
      <c r="F1422" s="3">
        <f>IF(ORIG!F1422=0,"",ORIG!F1422)</f>
        <v/>
      </c>
      <c r="G1422" s="3">
        <f>IF(ORIG!G1422=0,"",ORIG!G1422)</f>
        <v/>
      </c>
      <c r="H1422" s="3">
        <f>IF(ORIG!H1422=0,"",ORIG!H1422)</f>
        <v/>
      </c>
      <c r="I1422" s="3">
        <f>IF(ORIG!I1422=0,"",ORIG!I1422)</f>
        <v/>
      </c>
      <c r="J1422" s="3">
        <f>IF(ORIG!J1422=0,"",ORIG!J1422)</f>
        <v/>
      </c>
      <c r="K1422" s="3">
        <f>IF(ORIG!K1422=0,"",ORIG!K1422)</f>
        <v/>
      </c>
      <c r="L1422" s="3">
        <f>IF(ORIG!L1422=0,"",ORIG!L1422)</f>
        <v/>
      </c>
      <c r="M1422" s="3">
        <f>IF(ORIG!M1422=0,"",ORIG!M1422)</f>
        <v/>
      </c>
      <c r="N1422" s="3">
        <f>IF(ORIG!N1422=0,"",ORIG!N1422)</f>
        <v/>
      </c>
      <c r="O1422" s="3">
        <f>IF(ORIG!O1422=0,"",ORIG!O1422)</f>
        <v/>
      </c>
      <c r="P1422" s="3">
        <f>IF(ORIG!P1422=0,"",ORIG!P1422)</f>
        <v/>
      </c>
      <c r="Q1422" s="3">
        <f>IF(ORIG!Q1422=0,"",ORIG!Q1422)</f>
        <v/>
      </c>
      <c r="R1422" s="3">
        <f>IF(ORIG!R1422=0,"",ORIG!R1422)</f>
        <v/>
      </c>
      <c r="S1422" s="3">
        <f>IF(ORIG!S1422=0,"",ORIG!S1422)</f>
        <v/>
      </c>
      <c r="T1422" s="3">
        <f>IF(ORIG!T1422=0,"",ORIG!T1422)</f>
        <v/>
      </c>
      <c r="U1422" s="3">
        <f>IF(ORIG!U1422=0,"",ORIG!U1422)</f>
        <v/>
      </c>
      <c r="V1422" s="9">
        <f>IF(ORIG!V1422=0,"",ORIG!V1422)</f>
        <v/>
      </c>
      <c r="W1422" s="9">
        <f>IF(ORIG!W1422=0,"",ORIG!W1422)</f>
        <v/>
      </c>
      <c r="X1422" s="9">
        <f>IF(ORIG!X1422=0,"",ORIG!X1422)</f>
        <v/>
      </c>
      <c r="Y1422" s="9">
        <f>IF(ORIG!Y1422=0,"",ORIG!Y1422)</f>
        <v/>
      </c>
      <c r="Z1422" s="3">
        <f>SUMPRODUCT($B1422:$Y1422,$B$2649:$Y$2649)</f>
        <v/>
      </c>
      <c r="AA1422" s="3">
        <f>SUMPRODUCT($B1422:$Y1422,$B$2655:$Y$2655)</f>
        <v/>
      </c>
      <c r="AC1422" s="1">
        <f>A1422</f>
        <v/>
      </c>
      <c r="AD1422">
        <f>IF(ISNUMBER(V1422),V1422*($AB$1/V$2635),"")</f>
        <v/>
      </c>
      <c r="AE1422">
        <f>IF(ISNUMBER(Z1422),Z1422*($AB$1/Z$2635),"")</f>
        <v/>
      </c>
      <c r="AF1422" s="25">
        <f>IF(ISNUMBER(AD1422+AE1422),AD1422+AE1422,"")</f>
        <v/>
      </c>
      <c r="AH1422" s="1">
        <f>A1422</f>
        <v/>
      </c>
      <c r="AI1422">
        <f>IF(ISNUMBER((1+V1422)*AI1421),(1+V1422)*AI1421,AI1421)</f>
        <v/>
      </c>
      <c r="AJ1422">
        <f>IF(ISNUMBER((1+Z1422)*AJ1421),(1+Z1422)*AJ1421,AJ1421)</f>
        <v/>
      </c>
    </row>
    <row r="1423">
      <c r="A1423" s="1" t="n">
        <v>44067</v>
      </c>
      <c r="B1423" s="3">
        <f>IF(ORIG!B1423=0,"",ORIG!B1423)</f>
        <v/>
      </c>
      <c r="C1423" s="3">
        <f>IF(ORIG!C1423=0,"",ORIG!C1423)</f>
        <v/>
      </c>
      <c r="D1423" s="3">
        <f>IF(ORIG!D1423=0,"",ORIG!D1423)</f>
        <v/>
      </c>
      <c r="E1423" s="3">
        <f>IF(ORIG!E1423=0,"",ORIG!E1423)</f>
        <v/>
      </c>
      <c r="F1423" s="3">
        <f>IF(ORIG!F1423=0,"",ORIG!F1423)</f>
        <v/>
      </c>
      <c r="G1423" s="3">
        <f>IF(ORIG!G1423=0,"",ORIG!G1423)</f>
        <v/>
      </c>
      <c r="H1423" s="3">
        <f>IF(ORIG!H1423=0,"",ORIG!H1423)</f>
        <v/>
      </c>
      <c r="I1423" s="3">
        <f>IF(ORIG!I1423=0,"",ORIG!I1423)</f>
        <v/>
      </c>
      <c r="J1423" s="3">
        <f>IF(ORIG!J1423=0,"",ORIG!J1423)</f>
        <v/>
      </c>
      <c r="K1423" s="3">
        <f>IF(ORIG!K1423=0,"",ORIG!K1423)</f>
        <v/>
      </c>
      <c r="L1423" s="3">
        <f>IF(ORIG!L1423=0,"",ORIG!L1423)</f>
        <v/>
      </c>
      <c r="M1423" s="3">
        <f>IF(ORIG!M1423=0,"",ORIG!M1423)</f>
        <v/>
      </c>
      <c r="N1423" s="3">
        <f>IF(ORIG!N1423=0,"",ORIG!N1423)</f>
        <v/>
      </c>
      <c r="O1423" s="3">
        <f>IF(ORIG!O1423=0,"",ORIG!O1423)</f>
        <v/>
      </c>
      <c r="P1423" s="3">
        <f>IF(ORIG!P1423=0,"",ORIG!P1423)</f>
        <v/>
      </c>
      <c r="Q1423" s="3">
        <f>IF(ORIG!Q1423=0,"",ORIG!Q1423)</f>
        <v/>
      </c>
      <c r="R1423" s="3">
        <f>IF(ORIG!R1423=0,"",ORIG!R1423)</f>
        <v/>
      </c>
      <c r="S1423" s="3">
        <f>IF(ORIG!S1423=0,"",ORIG!S1423)</f>
        <v/>
      </c>
      <c r="T1423" s="3">
        <f>IF(ORIG!T1423=0,"",ORIG!T1423)</f>
        <v/>
      </c>
      <c r="U1423" s="3">
        <f>IF(ORIG!U1423=0,"",ORIG!U1423)</f>
        <v/>
      </c>
      <c r="V1423" s="9">
        <f>IF(ORIG!V1423=0,"",ORIG!V1423)</f>
        <v/>
      </c>
      <c r="W1423" s="9">
        <f>IF(ORIG!W1423=0,"",ORIG!W1423)</f>
        <v/>
      </c>
      <c r="X1423" s="9">
        <f>IF(ORIG!X1423=0,"",ORIG!X1423)</f>
        <v/>
      </c>
      <c r="Y1423" s="9">
        <f>IF(ORIG!Y1423=0,"",ORIG!Y1423)</f>
        <v/>
      </c>
      <c r="Z1423" s="3">
        <f>SUMPRODUCT($B1423:$Y1423,$B$2649:$Y$2649)</f>
        <v/>
      </c>
      <c r="AA1423" s="3">
        <f>SUMPRODUCT($B1423:$Y1423,$B$2655:$Y$2655)</f>
        <v/>
      </c>
      <c r="AC1423" s="1">
        <f>A1423</f>
        <v/>
      </c>
      <c r="AD1423">
        <f>IF(ISNUMBER(V1423),V1423*($AB$1/V$2635),"")</f>
        <v/>
      </c>
      <c r="AE1423">
        <f>IF(ISNUMBER(Z1423),Z1423*($AB$1/Z$2635),"")</f>
        <v/>
      </c>
      <c r="AF1423" s="25">
        <f>IF(ISNUMBER(AD1423+AE1423),AD1423+AE1423,"")</f>
        <v/>
      </c>
      <c r="AH1423" s="1">
        <f>A1423</f>
        <v/>
      </c>
      <c r="AI1423">
        <f>IF(ISNUMBER((1+V1423)*AI1422),(1+V1423)*AI1422,AI1422)</f>
        <v/>
      </c>
      <c r="AJ1423">
        <f>IF(ISNUMBER((1+Z1423)*AJ1422),(1+Z1423)*AJ1422,AJ1422)</f>
        <v/>
      </c>
    </row>
    <row r="1424">
      <c r="A1424" s="1" t="n">
        <v>44068</v>
      </c>
      <c r="B1424" s="3">
        <f>IF(ORIG!B1424=0,"",ORIG!B1424)</f>
        <v/>
      </c>
      <c r="C1424" s="3">
        <f>IF(ORIG!C1424=0,"",ORIG!C1424)</f>
        <v/>
      </c>
      <c r="D1424" s="3">
        <f>IF(ORIG!D1424=0,"",ORIG!D1424)</f>
        <v/>
      </c>
      <c r="E1424" s="3">
        <f>IF(ORIG!E1424=0,"",ORIG!E1424)</f>
        <v/>
      </c>
      <c r="F1424" s="3">
        <f>IF(ORIG!F1424=0,"",ORIG!F1424)</f>
        <v/>
      </c>
      <c r="G1424" s="3">
        <f>IF(ORIG!G1424=0,"",ORIG!G1424)</f>
        <v/>
      </c>
      <c r="H1424" s="3">
        <f>IF(ORIG!H1424=0,"",ORIG!H1424)</f>
        <v/>
      </c>
      <c r="I1424" s="3">
        <f>IF(ORIG!I1424=0,"",ORIG!I1424)</f>
        <v/>
      </c>
      <c r="J1424" s="3">
        <f>IF(ORIG!J1424=0,"",ORIG!J1424)</f>
        <v/>
      </c>
      <c r="K1424" s="3">
        <f>IF(ORIG!K1424=0,"",ORIG!K1424)</f>
        <v/>
      </c>
      <c r="L1424" s="3">
        <f>IF(ORIG!L1424=0,"",ORIG!L1424)</f>
        <v/>
      </c>
      <c r="M1424" s="3">
        <f>IF(ORIG!M1424=0,"",ORIG!M1424)</f>
        <v/>
      </c>
      <c r="N1424" s="3">
        <f>IF(ORIG!N1424=0,"",ORIG!N1424)</f>
        <v/>
      </c>
      <c r="O1424" s="3">
        <f>IF(ORIG!O1424=0,"",ORIG!O1424)</f>
        <v/>
      </c>
      <c r="P1424" s="3">
        <f>IF(ORIG!P1424=0,"",ORIG!P1424)</f>
        <v/>
      </c>
      <c r="Q1424" s="3">
        <f>IF(ORIG!Q1424=0,"",ORIG!Q1424)</f>
        <v/>
      </c>
      <c r="R1424" s="3">
        <f>IF(ORIG!R1424=0,"",ORIG!R1424)</f>
        <v/>
      </c>
      <c r="S1424" s="3">
        <f>IF(ORIG!S1424=0,"",ORIG!S1424)</f>
        <v/>
      </c>
      <c r="T1424" s="3">
        <f>IF(ORIG!T1424=0,"",ORIG!T1424)</f>
        <v/>
      </c>
      <c r="U1424" s="3">
        <f>IF(ORIG!U1424=0,"",ORIG!U1424)</f>
        <v/>
      </c>
      <c r="V1424" s="9">
        <f>IF(ORIG!V1424=0,"",ORIG!V1424)</f>
        <v/>
      </c>
      <c r="W1424" s="9">
        <f>IF(ORIG!W1424=0,"",ORIG!W1424)</f>
        <v/>
      </c>
      <c r="X1424" s="9">
        <f>IF(ORIG!X1424=0,"",ORIG!X1424)</f>
        <v/>
      </c>
      <c r="Y1424" s="9">
        <f>IF(ORIG!Y1424=0,"",ORIG!Y1424)</f>
        <v/>
      </c>
      <c r="Z1424" s="3">
        <f>SUMPRODUCT($B1424:$Y1424,$B$2649:$Y$2649)</f>
        <v/>
      </c>
      <c r="AA1424" s="3">
        <f>SUMPRODUCT($B1424:$Y1424,$B$2655:$Y$2655)</f>
        <v/>
      </c>
      <c r="AC1424" s="1">
        <f>A1424</f>
        <v/>
      </c>
      <c r="AD1424">
        <f>IF(ISNUMBER(V1424),V1424*($AB$1/V$2635),"")</f>
        <v/>
      </c>
      <c r="AE1424">
        <f>IF(ISNUMBER(Z1424),Z1424*($AB$1/Z$2635),"")</f>
        <v/>
      </c>
      <c r="AF1424" s="25">
        <f>IF(ISNUMBER(AD1424+AE1424),AD1424+AE1424,"")</f>
        <v/>
      </c>
      <c r="AH1424" s="1">
        <f>A1424</f>
        <v/>
      </c>
      <c r="AI1424">
        <f>IF(ISNUMBER((1+V1424)*AI1423),(1+V1424)*AI1423,AI1423)</f>
        <v/>
      </c>
      <c r="AJ1424">
        <f>IF(ISNUMBER((1+Z1424)*AJ1423),(1+Z1424)*AJ1423,AJ1423)</f>
        <v/>
      </c>
    </row>
    <row r="1425">
      <c r="A1425" s="1" t="n">
        <v>44069</v>
      </c>
      <c r="B1425" s="3">
        <f>IF(ORIG!B1425=0,"",ORIG!B1425)</f>
        <v/>
      </c>
      <c r="C1425" s="3">
        <f>IF(ORIG!C1425=0,"",ORIG!C1425)</f>
        <v/>
      </c>
      <c r="D1425" s="3">
        <f>IF(ORIG!D1425=0,"",ORIG!D1425)</f>
        <v/>
      </c>
      <c r="E1425" s="3">
        <f>IF(ORIG!E1425=0,"",ORIG!E1425)</f>
        <v/>
      </c>
      <c r="F1425" s="3">
        <f>IF(ORIG!F1425=0,"",ORIG!F1425)</f>
        <v/>
      </c>
      <c r="G1425" s="3">
        <f>IF(ORIG!G1425=0,"",ORIG!G1425)</f>
        <v/>
      </c>
      <c r="H1425" s="3">
        <f>IF(ORIG!H1425=0,"",ORIG!H1425)</f>
        <v/>
      </c>
      <c r="I1425" s="3">
        <f>IF(ORIG!I1425=0,"",ORIG!I1425)</f>
        <v/>
      </c>
      <c r="J1425" s="3">
        <f>IF(ORIG!J1425=0,"",ORIG!J1425)</f>
        <v/>
      </c>
      <c r="K1425" s="3">
        <f>IF(ORIG!K1425=0,"",ORIG!K1425)</f>
        <v/>
      </c>
      <c r="L1425" s="3">
        <f>IF(ORIG!L1425=0,"",ORIG!L1425)</f>
        <v/>
      </c>
      <c r="M1425" s="3">
        <f>IF(ORIG!M1425=0,"",ORIG!M1425)</f>
        <v/>
      </c>
      <c r="N1425" s="3">
        <f>IF(ORIG!N1425=0,"",ORIG!N1425)</f>
        <v/>
      </c>
      <c r="O1425" s="3">
        <f>IF(ORIG!O1425=0,"",ORIG!O1425)</f>
        <v/>
      </c>
      <c r="P1425" s="3">
        <f>IF(ORIG!P1425=0,"",ORIG!P1425)</f>
        <v/>
      </c>
      <c r="Q1425" s="3">
        <f>IF(ORIG!Q1425=0,"",ORIG!Q1425)</f>
        <v/>
      </c>
      <c r="R1425" s="3">
        <f>IF(ORIG!R1425=0,"",ORIG!R1425)</f>
        <v/>
      </c>
      <c r="S1425" s="3">
        <f>IF(ORIG!S1425=0,"",ORIG!S1425)</f>
        <v/>
      </c>
      <c r="T1425" s="3">
        <f>IF(ORIG!T1425=0,"",ORIG!T1425)</f>
        <v/>
      </c>
      <c r="U1425" s="3">
        <f>IF(ORIG!U1425=0,"",ORIG!U1425)</f>
        <v/>
      </c>
      <c r="V1425" s="9">
        <f>IF(ORIG!V1425=0,"",ORIG!V1425)</f>
        <v/>
      </c>
      <c r="W1425" s="9">
        <f>IF(ORIG!W1425=0,"",ORIG!W1425)</f>
        <v/>
      </c>
      <c r="X1425" s="9">
        <f>IF(ORIG!X1425=0,"",ORIG!X1425)</f>
        <v/>
      </c>
      <c r="Y1425" s="9">
        <f>IF(ORIG!Y1425=0,"",ORIG!Y1425)</f>
        <v/>
      </c>
      <c r="Z1425" s="3">
        <f>SUMPRODUCT($B1425:$Y1425,$B$2649:$Y$2649)</f>
        <v/>
      </c>
      <c r="AA1425" s="3">
        <f>SUMPRODUCT($B1425:$Y1425,$B$2655:$Y$2655)</f>
        <v/>
      </c>
      <c r="AC1425" s="1">
        <f>A1425</f>
        <v/>
      </c>
      <c r="AD1425">
        <f>IF(ISNUMBER(V1425),V1425*($AB$1/V$2635),"")</f>
        <v/>
      </c>
      <c r="AE1425">
        <f>IF(ISNUMBER(Z1425),Z1425*($AB$1/Z$2635),"")</f>
        <v/>
      </c>
      <c r="AF1425" s="25">
        <f>IF(ISNUMBER(AD1425+AE1425),AD1425+AE1425,"")</f>
        <v/>
      </c>
      <c r="AH1425" s="1">
        <f>A1425</f>
        <v/>
      </c>
      <c r="AI1425">
        <f>IF(ISNUMBER((1+V1425)*AI1424),(1+V1425)*AI1424,AI1424)</f>
        <v/>
      </c>
      <c r="AJ1425">
        <f>IF(ISNUMBER((1+Z1425)*AJ1424),(1+Z1425)*AJ1424,AJ1424)</f>
        <v/>
      </c>
    </row>
    <row r="1426">
      <c r="A1426" s="1" t="n">
        <v>44070</v>
      </c>
      <c r="B1426" s="3">
        <f>IF(ORIG!B1426=0,"",ORIG!B1426)</f>
        <v/>
      </c>
      <c r="C1426" s="3">
        <f>IF(ORIG!C1426=0,"",ORIG!C1426)</f>
        <v/>
      </c>
      <c r="D1426" s="3">
        <f>IF(ORIG!D1426=0,"",ORIG!D1426)</f>
        <v/>
      </c>
      <c r="E1426" s="3">
        <f>IF(ORIG!E1426=0,"",ORIG!E1426)</f>
        <v/>
      </c>
      <c r="F1426" s="3">
        <f>IF(ORIG!F1426=0,"",ORIG!F1426)</f>
        <v/>
      </c>
      <c r="G1426" s="3">
        <f>IF(ORIG!G1426=0,"",ORIG!G1426)</f>
        <v/>
      </c>
      <c r="H1426" s="3">
        <f>IF(ORIG!H1426=0,"",ORIG!H1426)</f>
        <v/>
      </c>
      <c r="I1426" s="3">
        <f>IF(ORIG!I1426=0,"",ORIG!I1426)</f>
        <v/>
      </c>
      <c r="J1426" s="3">
        <f>IF(ORIG!J1426=0,"",ORIG!J1426)</f>
        <v/>
      </c>
      <c r="K1426" s="3">
        <f>IF(ORIG!K1426=0,"",ORIG!K1426)</f>
        <v/>
      </c>
      <c r="L1426" s="3">
        <f>IF(ORIG!L1426=0,"",ORIG!L1426)</f>
        <v/>
      </c>
      <c r="M1426" s="3">
        <f>IF(ORIG!M1426=0,"",ORIG!M1426)</f>
        <v/>
      </c>
      <c r="N1426" s="3">
        <f>IF(ORIG!N1426=0,"",ORIG!N1426)</f>
        <v/>
      </c>
      <c r="O1426" s="3">
        <f>IF(ORIG!O1426=0,"",ORIG!O1426)</f>
        <v/>
      </c>
      <c r="P1426" s="3">
        <f>IF(ORIG!P1426=0,"",ORIG!P1426)</f>
        <v/>
      </c>
      <c r="Q1426" s="3">
        <f>IF(ORIG!Q1426=0,"",ORIG!Q1426)</f>
        <v/>
      </c>
      <c r="R1426" s="3">
        <f>IF(ORIG!R1426=0,"",ORIG!R1426)</f>
        <v/>
      </c>
      <c r="S1426" s="3">
        <f>IF(ORIG!S1426=0,"",ORIG!S1426)</f>
        <v/>
      </c>
      <c r="T1426" s="3">
        <f>IF(ORIG!T1426=0,"",ORIG!T1426)</f>
        <v/>
      </c>
      <c r="U1426" s="3">
        <f>IF(ORIG!U1426=0,"",ORIG!U1426)</f>
        <v/>
      </c>
      <c r="V1426" s="9">
        <f>IF(ORIG!V1426=0,"",ORIG!V1426)</f>
        <v/>
      </c>
      <c r="W1426" s="9">
        <f>IF(ORIG!W1426=0,"",ORIG!W1426)</f>
        <v/>
      </c>
      <c r="X1426" s="9">
        <f>IF(ORIG!X1426=0,"",ORIG!X1426)</f>
        <v/>
      </c>
      <c r="Y1426" s="9">
        <f>IF(ORIG!Y1426=0,"",ORIG!Y1426)</f>
        <v/>
      </c>
      <c r="Z1426" s="3">
        <f>SUMPRODUCT($B1426:$Y1426,$B$2649:$Y$2649)</f>
        <v/>
      </c>
      <c r="AA1426" s="3">
        <f>SUMPRODUCT($B1426:$Y1426,$B$2655:$Y$2655)</f>
        <v/>
      </c>
      <c r="AC1426" s="1">
        <f>A1426</f>
        <v/>
      </c>
      <c r="AD1426">
        <f>IF(ISNUMBER(V1426),V1426*($AB$1/V$2635),"")</f>
        <v/>
      </c>
      <c r="AE1426">
        <f>IF(ISNUMBER(Z1426),Z1426*($AB$1/Z$2635),"")</f>
        <v/>
      </c>
      <c r="AF1426" s="25">
        <f>IF(ISNUMBER(AD1426+AE1426),AD1426+AE1426,"")</f>
        <v/>
      </c>
      <c r="AH1426" s="1">
        <f>A1426</f>
        <v/>
      </c>
      <c r="AI1426">
        <f>IF(ISNUMBER((1+V1426)*AI1425),(1+V1426)*AI1425,AI1425)</f>
        <v/>
      </c>
      <c r="AJ1426">
        <f>IF(ISNUMBER((1+Z1426)*AJ1425),(1+Z1426)*AJ1425,AJ1425)</f>
        <v/>
      </c>
    </row>
    <row r="1427">
      <c r="A1427" s="1" t="n">
        <v>44071</v>
      </c>
      <c r="B1427" s="3">
        <f>IF(ORIG!B1427=0,"",ORIG!B1427)</f>
        <v/>
      </c>
      <c r="C1427" s="3">
        <f>IF(ORIG!C1427=0,"",ORIG!C1427)</f>
        <v/>
      </c>
      <c r="D1427" s="3">
        <f>IF(ORIG!D1427=0,"",ORIG!D1427)</f>
        <v/>
      </c>
      <c r="E1427" s="3">
        <f>IF(ORIG!E1427=0,"",ORIG!E1427)</f>
        <v/>
      </c>
      <c r="F1427" s="3">
        <f>IF(ORIG!F1427=0,"",ORIG!F1427)</f>
        <v/>
      </c>
      <c r="G1427" s="3">
        <f>IF(ORIG!G1427=0,"",ORIG!G1427)</f>
        <v/>
      </c>
      <c r="H1427" s="3">
        <f>IF(ORIG!H1427=0,"",ORIG!H1427)</f>
        <v/>
      </c>
      <c r="I1427" s="3">
        <f>IF(ORIG!I1427=0,"",ORIG!I1427)</f>
        <v/>
      </c>
      <c r="J1427" s="3">
        <f>IF(ORIG!J1427=0,"",ORIG!J1427)</f>
        <v/>
      </c>
      <c r="K1427" s="3">
        <f>IF(ORIG!K1427=0,"",ORIG!K1427)</f>
        <v/>
      </c>
      <c r="L1427" s="3">
        <f>IF(ORIG!L1427=0,"",ORIG!L1427)</f>
        <v/>
      </c>
      <c r="M1427" s="3">
        <f>IF(ORIG!M1427=0,"",ORIG!M1427)</f>
        <v/>
      </c>
      <c r="N1427" s="3">
        <f>IF(ORIG!N1427=0,"",ORIG!N1427)</f>
        <v/>
      </c>
      <c r="O1427" s="3">
        <f>IF(ORIG!O1427=0,"",ORIG!O1427)</f>
        <v/>
      </c>
      <c r="P1427" s="3">
        <f>IF(ORIG!P1427=0,"",ORIG!P1427)</f>
        <v/>
      </c>
      <c r="Q1427" s="3">
        <f>IF(ORIG!Q1427=0,"",ORIG!Q1427)</f>
        <v/>
      </c>
      <c r="R1427" s="3">
        <f>IF(ORIG!R1427=0,"",ORIG!R1427)</f>
        <v/>
      </c>
      <c r="S1427" s="3">
        <f>IF(ORIG!S1427=0,"",ORIG!S1427)</f>
        <v/>
      </c>
      <c r="T1427" s="3">
        <f>IF(ORIG!T1427=0,"",ORIG!T1427)</f>
        <v/>
      </c>
      <c r="U1427" s="3">
        <f>IF(ORIG!U1427=0,"",ORIG!U1427)</f>
        <v/>
      </c>
      <c r="V1427" s="9">
        <f>IF(ORIG!V1427=0,"",ORIG!V1427)</f>
        <v/>
      </c>
      <c r="W1427" s="9">
        <f>IF(ORIG!W1427=0,"",ORIG!W1427)</f>
        <v/>
      </c>
      <c r="X1427" s="9">
        <f>IF(ORIG!X1427=0,"",ORIG!X1427)</f>
        <v/>
      </c>
      <c r="Y1427" s="9">
        <f>IF(ORIG!Y1427=0,"",ORIG!Y1427)</f>
        <v/>
      </c>
      <c r="Z1427" s="3">
        <f>SUMPRODUCT($B1427:$Y1427,$B$2649:$Y$2649)</f>
        <v/>
      </c>
      <c r="AA1427" s="3">
        <f>SUMPRODUCT($B1427:$Y1427,$B$2655:$Y$2655)</f>
        <v/>
      </c>
      <c r="AC1427" s="1">
        <f>A1427</f>
        <v/>
      </c>
      <c r="AD1427">
        <f>IF(ISNUMBER(V1427),V1427*($AB$1/V$2635),"")</f>
        <v/>
      </c>
      <c r="AE1427">
        <f>IF(ISNUMBER(Z1427),Z1427*($AB$1/Z$2635),"")</f>
        <v/>
      </c>
      <c r="AF1427" s="25">
        <f>IF(ISNUMBER(AD1427+AE1427),AD1427+AE1427,"")</f>
        <v/>
      </c>
      <c r="AH1427" s="1">
        <f>A1427</f>
        <v/>
      </c>
      <c r="AI1427">
        <f>IF(ISNUMBER((1+V1427)*AI1426),(1+V1427)*AI1426,AI1426)</f>
        <v/>
      </c>
      <c r="AJ1427">
        <f>IF(ISNUMBER((1+Z1427)*AJ1426),(1+Z1427)*AJ1426,AJ1426)</f>
        <v/>
      </c>
    </row>
    <row r="1428">
      <c r="A1428" s="1" t="n">
        <v>44074</v>
      </c>
      <c r="B1428" s="3">
        <f>IF(ORIG!B1428=0,"",ORIG!B1428)</f>
        <v/>
      </c>
      <c r="C1428" s="3">
        <f>IF(ORIG!C1428=0,"",ORIG!C1428)</f>
        <v/>
      </c>
      <c r="D1428" s="3">
        <f>IF(ORIG!D1428=0,"",ORIG!D1428)</f>
        <v/>
      </c>
      <c r="E1428" s="3">
        <f>IF(ORIG!E1428=0,"",ORIG!E1428)</f>
        <v/>
      </c>
      <c r="F1428" s="3">
        <f>IF(ORIG!F1428=0,"",ORIG!F1428)</f>
        <v/>
      </c>
      <c r="G1428" s="3">
        <f>IF(ORIG!G1428=0,"",ORIG!G1428)</f>
        <v/>
      </c>
      <c r="H1428" s="3">
        <f>IF(ORIG!H1428=0,"",ORIG!H1428)</f>
        <v/>
      </c>
      <c r="I1428" s="3">
        <f>IF(ORIG!I1428=0,"",ORIG!I1428)</f>
        <v/>
      </c>
      <c r="J1428" s="3">
        <f>IF(ORIG!J1428=0,"",ORIG!J1428)</f>
        <v/>
      </c>
      <c r="K1428" s="3">
        <f>IF(ORIG!K1428=0,"",ORIG!K1428)</f>
        <v/>
      </c>
      <c r="L1428" s="3">
        <f>IF(ORIG!L1428=0,"",ORIG!L1428)</f>
        <v/>
      </c>
      <c r="M1428" s="3">
        <f>IF(ORIG!M1428=0,"",ORIG!M1428)</f>
        <v/>
      </c>
      <c r="N1428" s="3">
        <f>IF(ORIG!N1428=0,"",ORIG!N1428)</f>
        <v/>
      </c>
      <c r="O1428" s="3">
        <f>IF(ORIG!O1428=0,"",ORIG!O1428)</f>
        <v/>
      </c>
      <c r="P1428" s="3">
        <f>IF(ORIG!P1428=0,"",ORIG!P1428)</f>
        <v/>
      </c>
      <c r="Q1428" s="3">
        <f>IF(ORIG!Q1428=0,"",ORIG!Q1428)</f>
        <v/>
      </c>
      <c r="R1428" s="3">
        <f>IF(ORIG!R1428=0,"",ORIG!R1428)</f>
        <v/>
      </c>
      <c r="S1428" s="3">
        <f>IF(ORIG!S1428=0,"",ORIG!S1428)</f>
        <v/>
      </c>
      <c r="T1428" s="3">
        <f>IF(ORIG!T1428=0,"",ORIG!T1428)</f>
        <v/>
      </c>
      <c r="U1428" s="3">
        <f>IF(ORIG!U1428=0,"",ORIG!U1428)</f>
        <v/>
      </c>
      <c r="V1428" s="9">
        <f>IF(ORIG!V1428=0,"",ORIG!V1428)</f>
        <v/>
      </c>
      <c r="W1428" s="9">
        <f>IF(ORIG!W1428=0,"",ORIG!W1428)</f>
        <v/>
      </c>
      <c r="X1428" s="9">
        <f>IF(ORIG!X1428=0,"",ORIG!X1428)</f>
        <v/>
      </c>
      <c r="Y1428" s="9">
        <f>IF(ORIG!Y1428=0,"",ORIG!Y1428)</f>
        <v/>
      </c>
      <c r="Z1428" s="3">
        <f>SUMPRODUCT($B1428:$Y1428,$B$2649:$Y$2649)</f>
        <v/>
      </c>
      <c r="AA1428" s="3">
        <f>SUMPRODUCT($B1428:$Y1428,$B$2655:$Y$2655)</f>
        <v/>
      </c>
      <c r="AC1428" s="1">
        <f>A1428</f>
        <v/>
      </c>
      <c r="AD1428">
        <f>IF(ISNUMBER(V1428),V1428*($AB$1/V$2635),"")</f>
        <v/>
      </c>
      <c r="AE1428">
        <f>IF(ISNUMBER(Z1428),Z1428*($AB$1/Z$2635),"")</f>
        <v/>
      </c>
      <c r="AF1428" s="25">
        <f>IF(ISNUMBER(AD1428+AE1428),AD1428+AE1428,"")</f>
        <v/>
      </c>
      <c r="AH1428" s="1">
        <f>A1428</f>
        <v/>
      </c>
      <c r="AI1428">
        <f>IF(ISNUMBER((1+V1428)*AI1427),(1+V1428)*AI1427,AI1427)</f>
        <v/>
      </c>
      <c r="AJ1428">
        <f>IF(ISNUMBER((1+Z1428)*AJ1427),(1+Z1428)*AJ1427,AJ1427)</f>
        <v/>
      </c>
    </row>
    <row r="1429">
      <c r="A1429" s="1" t="n">
        <v>44075</v>
      </c>
      <c r="B1429" s="3">
        <f>IF(ORIG!B1429=0,"",ORIG!B1429)</f>
        <v/>
      </c>
      <c r="C1429" s="3">
        <f>IF(ORIG!C1429=0,"",ORIG!C1429)</f>
        <v/>
      </c>
      <c r="D1429" s="3">
        <f>IF(ORIG!D1429=0,"",ORIG!D1429)</f>
        <v/>
      </c>
      <c r="E1429" s="3">
        <f>IF(ORIG!E1429=0,"",ORIG!E1429)</f>
        <v/>
      </c>
      <c r="F1429" s="3">
        <f>IF(ORIG!F1429=0,"",ORIG!F1429)</f>
        <v/>
      </c>
      <c r="G1429" s="3">
        <f>IF(ORIG!G1429=0,"",ORIG!G1429)</f>
        <v/>
      </c>
      <c r="H1429" s="3">
        <f>IF(ORIG!H1429=0,"",ORIG!H1429)</f>
        <v/>
      </c>
      <c r="I1429" s="3">
        <f>IF(ORIG!I1429=0,"",ORIG!I1429)</f>
        <v/>
      </c>
      <c r="J1429" s="3">
        <f>IF(ORIG!J1429=0,"",ORIG!J1429)</f>
        <v/>
      </c>
      <c r="K1429" s="3">
        <f>IF(ORIG!K1429=0,"",ORIG!K1429)</f>
        <v/>
      </c>
      <c r="L1429" s="3">
        <f>IF(ORIG!L1429=0,"",ORIG!L1429)</f>
        <v/>
      </c>
      <c r="M1429" s="3">
        <f>IF(ORIG!M1429=0,"",ORIG!M1429)</f>
        <v/>
      </c>
      <c r="N1429" s="3">
        <f>IF(ORIG!N1429=0,"",ORIG!N1429)</f>
        <v/>
      </c>
      <c r="O1429" s="3">
        <f>IF(ORIG!O1429=0,"",ORIG!O1429)</f>
        <v/>
      </c>
      <c r="P1429" s="3">
        <f>IF(ORIG!P1429=0,"",ORIG!P1429)</f>
        <v/>
      </c>
      <c r="Q1429" s="3">
        <f>IF(ORIG!Q1429=0,"",ORIG!Q1429)</f>
        <v/>
      </c>
      <c r="R1429" s="3">
        <f>IF(ORIG!R1429=0,"",ORIG!R1429)</f>
        <v/>
      </c>
      <c r="S1429" s="3">
        <f>IF(ORIG!S1429=0,"",ORIG!S1429)</f>
        <v/>
      </c>
      <c r="T1429" s="3">
        <f>IF(ORIG!T1429=0,"",ORIG!T1429)</f>
        <v/>
      </c>
      <c r="U1429" s="3">
        <f>IF(ORIG!U1429=0,"",ORIG!U1429)</f>
        <v/>
      </c>
      <c r="V1429" s="9">
        <f>IF(ORIG!V1429=0,"",ORIG!V1429)</f>
        <v/>
      </c>
      <c r="W1429" s="9">
        <f>IF(ORIG!W1429=0,"",ORIG!W1429)</f>
        <v/>
      </c>
      <c r="X1429" s="9">
        <f>IF(ORIG!X1429=0,"",ORIG!X1429)</f>
        <v/>
      </c>
      <c r="Y1429" s="9">
        <f>IF(ORIG!Y1429=0,"",ORIG!Y1429)</f>
        <v/>
      </c>
      <c r="Z1429" s="3">
        <f>SUMPRODUCT($B1429:$Y1429,$B$2649:$Y$2649)</f>
        <v/>
      </c>
      <c r="AA1429" s="3">
        <f>SUMPRODUCT($B1429:$Y1429,$B$2655:$Y$2655)</f>
        <v/>
      </c>
      <c r="AC1429" s="1">
        <f>A1429</f>
        <v/>
      </c>
      <c r="AD1429">
        <f>IF(ISNUMBER(V1429),V1429*($AB$1/V$2635),"")</f>
        <v/>
      </c>
      <c r="AE1429">
        <f>IF(ISNUMBER(Z1429),Z1429*($AB$1/Z$2635),"")</f>
        <v/>
      </c>
      <c r="AF1429" s="25">
        <f>IF(ISNUMBER(AD1429+AE1429),AD1429+AE1429,"")</f>
        <v/>
      </c>
      <c r="AH1429" s="1">
        <f>A1429</f>
        <v/>
      </c>
      <c r="AI1429">
        <f>IF(ISNUMBER((1+V1429)*AI1428),(1+V1429)*AI1428,AI1428)</f>
        <v/>
      </c>
      <c r="AJ1429">
        <f>IF(ISNUMBER((1+Z1429)*AJ1428),(1+Z1429)*AJ1428,AJ1428)</f>
        <v/>
      </c>
    </row>
    <row r="1430">
      <c r="A1430" s="1" t="n">
        <v>44076</v>
      </c>
      <c r="B1430" s="3">
        <f>IF(ORIG!B1430=0,"",ORIG!B1430)</f>
        <v/>
      </c>
      <c r="C1430" s="3">
        <f>IF(ORIG!C1430=0,"",ORIG!C1430)</f>
        <v/>
      </c>
      <c r="D1430" s="3">
        <f>IF(ORIG!D1430=0,"",ORIG!D1430)</f>
        <v/>
      </c>
      <c r="E1430" s="3">
        <f>IF(ORIG!E1430=0,"",ORIG!E1430)</f>
        <v/>
      </c>
      <c r="F1430" s="3">
        <f>IF(ORIG!F1430=0,"",ORIG!F1430)</f>
        <v/>
      </c>
      <c r="G1430" s="3">
        <f>IF(ORIG!G1430=0,"",ORIG!G1430)</f>
        <v/>
      </c>
      <c r="H1430" s="3">
        <f>IF(ORIG!H1430=0,"",ORIG!H1430)</f>
        <v/>
      </c>
      <c r="I1430" s="3">
        <f>IF(ORIG!I1430=0,"",ORIG!I1430)</f>
        <v/>
      </c>
      <c r="J1430" s="3">
        <f>IF(ORIG!J1430=0,"",ORIG!J1430)</f>
        <v/>
      </c>
      <c r="K1430" s="3">
        <f>IF(ORIG!K1430=0,"",ORIG!K1430)</f>
        <v/>
      </c>
      <c r="L1430" s="3">
        <f>IF(ORIG!L1430=0,"",ORIG!L1430)</f>
        <v/>
      </c>
      <c r="M1430" s="3">
        <f>IF(ORIG!M1430=0,"",ORIG!M1430)</f>
        <v/>
      </c>
      <c r="N1430" s="3">
        <f>IF(ORIG!N1430=0,"",ORIG!N1430)</f>
        <v/>
      </c>
      <c r="O1430" s="3">
        <f>IF(ORIG!O1430=0,"",ORIG!O1430)</f>
        <v/>
      </c>
      <c r="P1430" s="3">
        <f>IF(ORIG!P1430=0,"",ORIG!P1430)</f>
        <v/>
      </c>
      <c r="Q1430" s="3">
        <f>IF(ORIG!Q1430=0,"",ORIG!Q1430)</f>
        <v/>
      </c>
      <c r="R1430" s="3">
        <f>IF(ORIG!R1430=0,"",ORIG!R1430)</f>
        <v/>
      </c>
      <c r="S1430" s="3">
        <f>IF(ORIG!S1430=0,"",ORIG!S1430)</f>
        <v/>
      </c>
      <c r="T1430" s="3">
        <f>IF(ORIG!T1430=0,"",ORIG!T1430)</f>
        <v/>
      </c>
      <c r="U1430" s="3">
        <f>IF(ORIG!U1430=0,"",ORIG!U1430)</f>
        <v/>
      </c>
      <c r="V1430" s="9">
        <f>IF(ORIG!V1430=0,"",ORIG!V1430)</f>
        <v/>
      </c>
      <c r="W1430" s="9">
        <f>IF(ORIG!W1430=0,"",ORIG!W1430)</f>
        <v/>
      </c>
      <c r="X1430" s="9">
        <f>IF(ORIG!X1430=0,"",ORIG!X1430)</f>
        <v/>
      </c>
      <c r="Y1430" s="9">
        <f>IF(ORIG!Y1430=0,"",ORIG!Y1430)</f>
        <v/>
      </c>
      <c r="Z1430" s="3">
        <f>SUMPRODUCT($B1430:$Y1430,$B$2649:$Y$2649)</f>
        <v/>
      </c>
      <c r="AA1430" s="3">
        <f>SUMPRODUCT($B1430:$Y1430,$B$2655:$Y$2655)</f>
        <v/>
      </c>
      <c r="AC1430" s="1">
        <f>A1430</f>
        <v/>
      </c>
      <c r="AD1430">
        <f>IF(ISNUMBER(V1430),V1430*($AB$1/V$2635),"")</f>
        <v/>
      </c>
      <c r="AE1430">
        <f>IF(ISNUMBER(Z1430),Z1430*($AB$1/Z$2635),"")</f>
        <v/>
      </c>
      <c r="AF1430" s="25">
        <f>IF(ISNUMBER(AD1430+AE1430),AD1430+AE1430,"")</f>
        <v/>
      </c>
      <c r="AH1430" s="1">
        <f>A1430</f>
        <v/>
      </c>
      <c r="AI1430">
        <f>IF(ISNUMBER((1+V1430)*AI1429),(1+V1430)*AI1429,AI1429)</f>
        <v/>
      </c>
      <c r="AJ1430">
        <f>IF(ISNUMBER((1+Z1430)*AJ1429),(1+Z1430)*AJ1429,AJ1429)</f>
        <v/>
      </c>
    </row>
    <row r="1431">
      <c r="A1431" s="1" t="n">
        <v>44077</v>
      </c>
      <c r="B1431" s="3">
        <f>IF(ORIG!B1431=0,"",ORIG!B1431)</f>
        <v/>
      </c>
      <c r="C1431" s="3">
        <f>IF(ORIG!C1431=0,"",ORIG!C1431)</f>
        <v/>
      </c>
      <c r="D1431" s="3">
        <f>IF(ORIG!D1431=0,"",ORIG!D1431)</f>
        <v/>
      </c>
      <c r="E1431" s="3">
        <f>IF(ORIG!E1431=0,"",ORIG!E1431)</f>
        <v/>
      </c>
      <c r="F1431" s="3">
        <f>IF(ORIG!F1431=0,"",ORIG!F1431)</f>
        <v/>
      </c>
      <c r="G1431" s="3">
        <f>IF(ORIG!G1431=0,"",ORIG!G1431)</f>
        <v/>
      </c>
      <c r="H1431" s="3">
        <f>IF(ORIG!H1431=0,"",ORIG!H1431)</f>
        <v/>
      </c>
      <c r="I1431" s="3">
        <f>IF(ORIG!I1431=0,"",ORIG!I1431)</f>
        <v/>
      </c>
      <c r="J1431" s="3">
        <f>IF(ORIG!J1431=0,"",ORIG!J1431)</f>
        <v/>
      </c>
      <c r="K1431" s="3">
        <f>IF(ORIG!K1431=0,"",ORIG!K1431)</f>
        <v/>
      </c>
      <c r="L1431" s="3">
        <f>IF(ORIG!L1431=0,"",ORIG!L1431)</f>
        <v/>
      </c>
      <c r="M1431" s="3">
        <f>IF(ORIG!M1431=0,"",ORIG!M1431)</f>
        <v/>
      </c>
      <c r="N1431" s="3">
        <f>IF(ORIG!N1431=0,"",ORIG!N1431)</f>
        <v/>
      </c>
      <c r="O1431" s="3">
        <f>IF(ORIG!O1431=0,"",ORIG!O1431)</f>
        <v/>
      </c>
      <c r="P1431" s="3">
        <f>IF(ORIG!P1431=0,"",ORIG!P1431)</f>
        <v/>
      </c>
      <c r="Q1431" s="3">
        <f>IF(ORIG!Q1431=0,"",ORIG!Q1431)</f>
        <v/>
      </c>
      <c r="R1431" s="3">
        <f>IF(ORIG!R1431=0,"",ORIG!R1431)</f>
        <v/>
      </c>
      <c r="S1431" s="3">
        <f>IF(ORIG!S1431=0,"",ORIG!S1431)</f>
        <v/>
      </c>
      <c r="T1431" s="3">
        <f>IF(ORIG!T1431=0,"",ORIG!T1431)</f>
        <v/>
      </c>
      <c r="U1431" s="3">
        <f>IF(ORIG!U1431=0,"",ORIG!U1431)</f>
        <v/>
      </c>
      <c r="V1431" s="9">
        <f>IF(ORIG!V1431=0,"",ORIG!V1431)</f>
        <v/>
      </c>
      <c r="W1431" s="9">
        <f>IF(ORIG!W1431=0,"",ORIG!W1431)</f>
        <v/>
      </c>
      <c r="X1431" s="9">
        <f>IF(ORIG!X1431=0,"",ORIG!X1431)</f>
        <v/>
      </c>
      <c r="Y1431" s="9">
        <f>IF(ORIG!Y1431=0,"",ORIG!Y1431)</f>
        <v/>
      </c>
      <c r="Z1431" s="3">
        <f>SUMPRODUCT($B1431:$Y1431,$B$2649:$Y$2649)</f>
        <v/>
      </c>
      <c r="AA1431" s="3">
        <f>SUMPRODUCT($B1431:$Y1431,$B$2655:$Y$2655)</f>
        <v/>
      </c>
      <c r="AC1431" s="1">
        <f>A1431</f>
        <v/>
      </c>
      <c r="AD1431">
        <f>IF(ISNUMBER(V1431),V1431*($AB$1/V$2635),"")</f>
        <v/>
      </c>
      <c r="AE1431">
        <f>IF(ISNUMBER(Z1431),Z1431*($AB$1/Z$2635),"")</f>
        <v/>
      </c>
      <c r="AF1431" s="25">
        <f>IF(ISNUMBER(AD1431+AE1431),AD1431+AE1431,"")</f>
        <v/>
      </c>
      <c r="AH1431" s="1">
        <f>A1431</f>
        <v/>
      </c>
      <c r="AI1431">
        <f>IF(ISNUMBER((1+V1431)*AI1430),(1+V1431)*AI1430,AI1430)</f>
        <v/>
      </c>
      <c r="AJ1431">
        <f>IF(ISNUMBER((1+Z1431)*AJ1430),(1+Z1431)*AJ1430,AJ1430)</f>
        <v/>
      </c>
    </row>
    <row r="1432">
      <c r="A1432" s="1" t="n">
        <v>44078</v>
      </c>
      <c r="B1432" s="3">
        <f>IF(ORIG!B1432=0,"",ORIG!B1432)</f>
        <v/>
      </c>
      <c r="C1432" s="3">
        <f>IF(ORIG!C1432=0,"",ORIG!C1432)</f>
        <v/>
      </c>
      <c r="D1432" s="3">
        <f>IF(ORIG!D1432=0,"",ORIG!D1432)</f>
        <v/>
      </c>
      <c r="E1432" s="3">
        <f>IF(ORIG!E1432=0,"",ORIG!E1432)</f>
        <v/>
      </c>
      <c r="F1432" s="3">
        <f>IF(ORIG!F1432=0,"",ORIG!F1432)</f>
        <v/>
      </c>
      <c r="G1432" s="3">
        <f>IF(ORIG!G1432=0,"",ORIG!G1432)</f>
        <v/>
      </c>
      <c r="H1432" s="3">
        <f>IF(ORIG!H1432=0,"",ORIG!H1432)</f>
        <v/>
      </c>
      <c r="I1432" s="3">
        <f>IF(ORIG!I1432=0,"",ORIG!I1432)</f>
        <v/>
      </c>
      <c r="J1432" s="3">
        <f>IF(ORIG!J1432=0,"",ORIG!J1432)</f>
        <v/>
      </c>
      <c r="K1432" s="3">
        <f>IF(ORIG!K1432=0,"",ORIG!K1432)</f>
        <v/>
      </c>
      <c r="L1432" s="3">
        <f>IF(ORIG!L1432=0,"",ORIG!L1432)</f>
        <v/>
      </c>
      <c r="M1432" s="3">
        <f>IF(ORIG!M1432=0,"",ORIG!M1432)</f>
        <v/>
      </c>
      <c r="N1432" s="3">
        <f>IF(ORIG!N1432=0,"",ORIG!N1432)</f>
        <v/>
      </c>
      <c r="O1432" s="3">
        <f>IF(ORIG!O1432=0,"",ORIG!O1432)</f>
        <v/>
      </c>
      <c r="P1432" s="3">
        <f>IF(ORIG!P1432=0,"",ORIG!P1432)</f>
        <v/>
      </c>
      <c r="Q1432" s="3">
        <f>IF(ORIG!Q1432=0,"",ORIG!Q1432)</f>
        <v/>
      </c>
      <c r="R1432" s="3">
        <f>IF(ORIG!R1432=0,"",ORIG!R1432)</f>
        <v/>
      </c>
      <c r="S1432" s="3">
        <f>IF(ORIG!S1432=0,"",ORIG!S1432)</f>
        <v/>
      </c>
      <c r="T1432" s="3">
        <f>IF(ORIG!T1432=0,"",ORIG!T1432)</f>
        <v/>
      </c>
      <c r="U1432" s="3">
        <f>IF(ORIG!U1432=0,"",ORIG!U1432)</f>
        <v/>
      </c>
      <c r="V1432" s="9">
        <f>IF(ORIG!V1432=0,"",ORIG!V1432)</f>
        <v/>
      </c>
      <c r="W1432" s="9">
        <f>IF(ORIG!W1432=0,"",ORIG!W1432)</f>
        <v/>
      </c>
      <c r="X1432" s="9">
        <f>IF(ORIG!X1432=0,"",ORIG!X1432)</f>
        <v/>
      </c>
      <c r="Y1432" s="9">
        <f>IF(ORIG!Y1432=0,"",ORIG!Y1432)</f>
        <v/>
      </c>
      <c r="Z1432" s="3">
        <f>SUMPRODUCT($B1432:$Y1432,$B$2649:$Y$2649)</f>
        <v/>
      </c>
      <c r="AA1432" s="3">
        <f>SUMPRODUCT($B1432:$Y1432,$B$2655:$Y$2655)</f>
        <v/>
      </c>
      <c r="AC1432" s="1">
        <f>A1432</f>
        <v/>
      </c>
      <c r="AD1432">
        <f>IF(ISNUMBER(V1432),V1432*($AB$1/V$2635),"")</f>
        <v/>
      </c>
      <c r="AE1432">
        <f>IF(ISNUMBER(Z1432),Z1432*($AB$1/Z$2635),"")</f>
        <v/>
      </c>
      <c r="AF1432" s="25">
        <f>IF(ISNUMBER(AD1432+AE1432),AD1432+AE1432,"")</f>
        <v/>
      </c>
      <c r="AH1432" s="1">
        <f>A1432</f>
        <v/>
      </c>
      <c r="AI1432">
        <f>IF(ISNUMBER((1+V1432)*AI1431),(1+V1432)*AI1431,AI1431)</f>
        <v/>
      </c>
      <c r="AJ1432">
        <f>IF(ISNUMBER((1+Z1432)*AJ1431),(1+Z1432)*AJ1431,AJ1431)</f>
        <v/>
      </c>
    </row>
    <row r="1433">
      <c r="A1433" s="1" t="n">
        <v>44082</v>
      </c>
      <c r="B1433" s="3">
        <f>IF(ORIG!B1433=0,"",ORIG!B1433)</f>
        <v/>
      </c>
      <c r="C1433" s="3">
        <f>IF(ORIG!C1433=0,"",ORIG!C1433)</f>
        <v/>
      </c>
      <c r="D1433" s="3">
        <f>IF(ORIG!D1433=0,"",ORIG!D1433)</f>
        <v/>
      </c>
      <c r="E1433" s="3">
        <f>IF(ORIG!E1433=0,"",ORIG!E1433)</f>
        <v/>
      </c>
      <c r="F1433" s="3">
        <f>IF(ORIG!F1433=0,"",ORIG!F1433)</f>
        <v/>
      </c>
      <c r="G1433" s="3">
        <f>IF(ORIG!G1433=0,"",ORIG!G1433)</f>
        <v/>
      </c>
      <c r="H1433" s="3">
        <f>IF(ORIG!H1433=0,"",ORIG!H1433)</f>
        <v/>
      </c>
      <c r="I1433" s="3">
        <f>IF(ORIG!I1433=0,"",ORIG!I1433)</f>
        <v/>
      </c>
      <c r="J1433" s="3">
        <f>IF(ORIG!J1433=0,"",ORIG!J1433)</f>
        <v/>
      </c>
      <c r="K1433" s="3">
        <f>IF(ORIG!K1433=0,"",ORIG!K1433)</f>
        <v/>
      </c>
      <c r="L1433" s="3">
        <f>IF(ORIG!L1433=0,"",ORIG!L1433)</f>
        <v/>
      </c>
      <c r="M1433" s="3">
        <f>IF(ORIG!M1433=0,"",ORIG!M1433)</f>
        <v/>
      </c>
      <c r="N1433" s="3">
        <f>IF(ORIG!N1433=0,"",ORIG!N1433)</f>
        <v/>
      </c>
      <c r="O1433" s="3">
        <f>IF(ORIG!O1433=0,"",ORIG!O1433)</f>
        <v/>
      </c>
      <c r="P1433" s="3">
        <f>IF(ORIG!P1433=0,"",ORIG!P1433)</f>
        <v/>
      </c>
      <c r="Q1433" s="3">
        <f>IF(ORIG!Q1433=0,"",ORIG!Q1433)</f>
        <v/>
      </c>
      <c r="R1433" s="3">
        <f>IF(ORIG!R1433=0,"",ORIG!R1433)</f>
        <v/>
      </c>
      <c r="S1433" s="3">
        <f>IF(ORIG!S1433=0,"",ORIG!S1433)</f>
        <v/>
      </c>
      <c r="T1433" s="3">
        <f>IF(ORIG!T1433=0,"",ORIG!T1433)</f>
        <v/>
      </c>
      <c r="U1433" s="3">
        <f>IF(ORIG!U1433=0,"",ORIG!U1433)</f>
        <v/>
      </c>
      <c r="V1433" s="9">
        <f>IF(ORIG!V1433=0,"",ORIG!V1433)</f>
        <v/>
      </c>
      <c r="W1433" s="9">
        <f>IF(ORIG!W1433=0,"",ORIG!W1433)</f>
        <v/>
      </c>
      <c r="X1433" s="9">
        <f>IF(ORIG!X1433=0,"",ORIG!X1433)</f>
        <v/>
      </c>
      <c r="Y1433" s="9">
        <f>IF(ORIG!Y1433=0,"",ORIG!Y1433)</f>
        <v/>
      </c>
      <c r="Z1433" s="3">
        <f>SUMPRODUCT($B1433:$Y1433,$B$2649:$Y$2649)</f>
        <v/>
      </c>
      <c r="AA1433" s="3">
        <f>SUMPRODUCT($B1433:$Y1433,$B$2655:$Y$2655)</f>
        <v/>
      </c>
      <c r="AC1433" s="1">
        <f>A1433</f>
        <v/>
      </c>
      <c r="AD1433">
        <f>IF(ISNUMBER(V1433),V1433*($AB$1/V$2635),"")</f>
        <v/>
      </c>
      <c r="AE1433">
        <f>IF(ISNUMBER(Z1433),Z1433*($AB$1/Z$2635),"")</f>
        <v/>
      </c>
      <c r="AF1433" s="25">
        <f>IF(ISNUMBER(AD1433+AE1433),AD1433+AE1433,"")</f>
        <v/>
      </c>
      <c r="AH1433" s="1">
        <f>A1433</f>
        <v/>
      </c>
      <c r="AI1433">
        <f>IF(ISNUMBER((1+V1433)*AI1432),(1+V1433)*AI1432,AI1432)</f>
        <v/>
      </c>
      <c r="AJ1433">
        <f>IF(ISNUMBER((1+Z1433)*AJ1432),(1+Z1433)*AJ1432,AJ1432)</f>
        <v/>
      </c>
    </row>
    <row r="1434">
      <c r="A1434" s="1" t="n">
        <v>44083</v>
      </c>
      <c r="B1434" s="3">
        <f>IF(ORIG!B1434=0,"",ORIG!B1434)</f>
        <v/>
      </c>
      <c r="C1434" s="3">
        <f>IF(ORIG!C1434=0,"",ORIG!C1434)</f>
        <v/>
      </c>
      <c r="D1434" s="3">
        <f>IF(ORIG!D1434=0,"",ORIG!D1434)</f>
        <v/>
      </c>
      <c r="E1434" s="3">
        <f>IF(ORIG!E1434=0,"",ORIG!E1434)</f>
        <v/>
      </c>
      <c r="F1434" s="3">
        <f>IF(ORIG!F1434=0,"",ORIG!F1434)</f>
        <v/>
      </c>
      <c r="G1434" s="3">
        <f>IF(ORIG!G1434=0,"",ORIG!G1434)</f>
        <v/>
      </c>
      <c r="H1434" s="3">
        <f>IF(ORIG!H1434=0,"",ORIG!H1434)</f>
        <v/>
      </c>
      <c r="I1434" s="3">
        <f>IF(ORIG!I1434=0,"",ORIG!I1434)</f>
        <v/>
      </c>
      <c r="J1434" s="3">
        <f>IF(ORIG!J1434=0,"",ORIG!J1434)</f>
        <v/>
      </c>
      <c r="K1434" s="3">
        <f>IF(ORIG!K1434=0,"",ORIG!K1434)</f>
        <v/>
      </c>
      <c r="L1434" s="3">
        <f>IF(ORIG!L1434=0,"",ORIG!L1434)</f>
        <v/>
      </c>
      <c r="M1434" s="3">
        <f>IF(ORIG!M1434=0,"",ORIG!M1434)</f>
        <v/>
      </c>
      <c r="N1434" s="3">
        <f>IF(ORIG!N1434=0,"",ORIG!N1434)</f>
        <v/>
      </c>
      <c r="O1434" s="3">
        <f>IF(ORIG!O1434=0,"",ORIG!O1434)</f>
        <v/>
      </c>
      <c r="P1434" s="3">
        <f>IF(ORIG!P1434=0,"",ORIG!P1434)</f>
        <v/>
      </c>
      <c r="Q1434" s="3">
        <f>IF(ORIG!Q1434=0,"",ORIG!Q1434)</f>
        <v/>
      </c>
      <c r="R1434" s="3">
        <f>IF(ORIG!R1434=0,"",ORIG!R1434)</f>
        <v/>
      </c>
      <c r="S1434" s="3">
        <f>IF(ORIG!S1434=0,"",ORIG!S1434)</f>
        <v/>
      </c>
      <c r="T1434" s="3">
        <f>IF(ORIG!T1434=0,"",ORIG!T1434)</f>
        <v/>
      </c>
      <c r="U1434" s="3">
        <f>IF(ORIG!U1434=0,"",ORIG!U1434)</f>
        <v/>
      </c>
      <c r="V1434" s="9">
        <f>IF(ORIG!V1434=0,"",ORIG!V1434)</f>
        <v/>
      </c>
      <c r="W1434" s="9">
        <f>IF(ORIG!W1434=0,"",ORIG!W1434)</f>
        <v/>
      </c>
      <c r="X1434" s="9">
        <f>IF(ORIG!X1434=0,"",ORIG!X1434)</f>
        <v/>
      </c>
      <c r="Y1434" s="9">
        <f>IF(ORIG!Y1434=0,"",ORIG!Y1434)</f>
        <v/>
      </c>
      <c r="Z1434" s="3">
        <f>SUMPRODUCT($B1434:$Y1434,$B$2649:$Y$2649)</f>
        <v/>
      </c>
      <c r="AA1434" s="3">
        <f>SUMPRODUCT($B1434:$Y1434,$B$2655:$Y$2655)</f>
        <v/>
      </c>
      <c r="AC1434" s="1">
        <f>A1434</f>
        <v/>
      </c>
      <c r="AD1434">
        <f>IF(ISNUMBER(V1434),V1434*($AB$1/V$2635),"")</f>
        <v/>
      </c>
      <c r="AE1434">
        <f>IF(ISNUMBER(Z1434),Z1434*($AB$1/Z$2635),"")</f>
        <v/>
      </c>
      <c r="AF1434" s="25">
        <f>IF(ISNUMBER(AD1434+AE1434),AD1434+AE1434,"")</f>
        <v/>
      </c>
      <c r="AH1434" s="1">
        <f>A1434</f>
        <v/>
      </c>
      <c r="AI1434">
        <f>IF(ISNUMBER((1+V1434)*AI1433),(1+V1434)*AI1433,AI1433)</f>
        <v/>
      </c>
      <c r="AJ1434">
        <f>IF(ISNUMBER((1+Z1434)*AJ1433),(1+Z1434)*AJ1433,AJ1433)</f>
        <v/>
      </c>
    </row>
    <row r="1435">
      <c r="A1435" s="1" t="n">
        <v>44084</v>
      </c>
      <c r="B1435" s="3">
        <f>IF(ORIG!B1435=0,"",ORIG!B1435)</f>
        <v/>
      </c>
      <c r="C1435" s="3">
        <f>IF(ORIG!C1435=0,"",ORIG!C1435)</f>
        <v/>
      </c>
      <c r="D1435" s="3">
        <f>IF(ORIG!D1435=0,"",ORIG!D1435)</f>
        <v/>
      </c>
      <c r="E1435" s="3">
        <f>IF(ORIG!E1435=0,"",ORIG!E1435)</f>
        <v/>
      </c>
      <c r="F1435" s="3">
        <f>IF(ORIG!F1435=0,"",ORIG!F1435)</f>
        <v/>
      </c>
      <c r="G1435" s="3">
        <f>IF(ORIG!G1435=0,"",ORIG!G1435)</f>
        <v/>
      </c>
      <c r="H1435" s="3">
        <f>IF(ORIG!H1435=0,"",ORIG!H1435)</f>
        <v/>
      </c>
      <c r="I1435" s="3">
        <f>IF(ORIG!I1435=0,"",ORIG!I1435)</f>
        <v/>
      </c>
      <c r="J1435" s="3">
        <f>IF(ORIG!J1435=0,"",ORIG!J1435)</f>
        <v/>
      </c>
      <c r="K1435" s="3">
        <f>IF(ORIG!K1435=0,"",ORIG!K1435)</f>
        <v/>
      </c>
      <c r="L1435" s="3">
        <f>IF(ORIG!L1435=0,"",ORIG!L1435)</f>
        <v/>
      </c>
      <c r="M1435" s="3">
        <f>IF(ORIG!M1435=0,"",ORIG!M1435)</f>
        <v/>
      </c>
      <c r="N1435" s="3">
        <f>IF(ORIG!N1435=0,"",ORIG!N1435)</f>
        <v/>
      </c>
      <c r="O1435" s="3">
        <f>IF(ORIG!O1435=0,"",ORIG!O1435)</f>
        <v/>
      </c>
      <c r="P1435" s="3">
        <f>IF(ORIG!P1435=0,"",ORIG!P1435)</f>
        <v/>
      </c>
      <c r="Q1435" s="3">
        <f>IF(ORIG!Q1435=0,"",ORIG!Q1435)</f>
        <v/>
      </c>
      <c r="R1435" s="3">
        <f>IF(ORIG!R1435=0,"",ORIG!R1435)</f>
        <v/>
      </c>
      <c r="S1435" s="3">
        <f>IF(ORIG!S1435=0,"",ORIG!S1435)</f>
        <v/>
      </c>
      <c r="T1435" s="3">
        <f>IF(ORIG!T1435=0,"",ORIG!T1435)</f>
        <v/>
      </c>
      <c r="U1435" s="3">
        <f>IF(ORIG!U1435=0,"",ORIG!U1435)</f>
        <v/>
      </c>
      <c r="V1435" s="9">
        <f>IF(ORIG!V1435=0,"",ORIG!V1435)</f>
        <v/>
      </c>
      <c r="W1435" s="9">
        <f>IF(ORIG!W1435=0,"",ORIG!W1435)</f>
        <v/>
      </c>
      <c r="X1435" s="9">
        <f>IF(ORIG!X1435=0,"",ORIG!X1435)</f>
        <v/>
      </c>
      <c r="Y1435" s="9">
        <f>IF(ORIG!Y1435=0,"",ORIG!Y1435)</f>
        <v/>
      </c>
      <c r="Z1435" s="3">
        <f>SUMPRODUCT($B1435:$Y1435,$B$2649:$Y$2649)</f>
        <v/>
      </c>
      <c r="AA1435" s="3">
        <f>SUMPRODUCT($B1435:$Y1435,$B$2655:$Y$2655)</f>
        <v/>
      </c>
      <c r="AC1435" s="1">
        <f>A1435</f>
        <v/>
      </c>
      <c r="AD1435">
        <f>IF(ISNUMBER(V1435),V1435*($AB$1/V$2635),"")</f>
        <v/>
      </c>
      <c r="AE1435">
        <f>IF(ISNUMBER(Z1435),Z1435*($AB$1/Z$2635),"")</f>
        <v/>
      </c>
      <c r="AF1435" s="25">
        <f>IF(ISNUMBER(AD1435+AE1435),AD1435+AE1435,"")</f>
        <v/>
      </c>
      <c r="AH1435" s="1">
        <f>A1435</f>
        <v/>
      </c>
      <c r="AI1435">
        <f>IF(ISNUMBER((1+V1435)*AI1434),(1+V1435)*AI1434,AI1434)</f>
        <v/>
      </c>
      <c r="AJ1435">
        <f>IF(ISNUMBER((1+Z1435)*AJ1434),(1+Z1435)*AJ1434,AJ1434)</f>
        <v/>
      </c>
    </row>
    <row r="1436">
      <c r="A1436" s="1" t="n">
        <v>44085</v>
      </c>
      <c r="B1436" s="3">
        <f>IF(ORIG!B1436=0,"",ORIG!B1436)</f>
        <v/>
      </c>
      <c r="C1436" s="3">
        <f>IF(ORIG!C1436=0,"",ORIG!C1436)</f>
        <v/>
      </c>
      <c r="D1436" s="3">
        <f>IF(ORIG!D1436=0,"",ORIG!D1436)</f>
        <v/>
      </c>
      <c r="E1436" s="3">
        <f>IF(ORIG!E1436=0,"",ORIG!E1436)</f>
        <v/>
      </c>
      <c r="F1436" s="3">
        <f>IF(ORIG!F1436=0,"",ORIG!F1436)</f>
        <v/>
      </c>
      <c r="G1436" s="3">
        <f>IF(ORIG!G1436=0,"",ORIG!G1436)</f>
        <v/>
      </c>
      <c r="H1436" s="3">
        <f>IF(ORIG!H1436=0,"",ORIG!H1436)</f>
        <v/>
      </c>
      <c r="I1436" s="3">
        <f>IF(ORIG!I1436=0,"",ORIG!I1436)</f>
        <v/>
      </c>
      <c r="J1436" s="3">
        <f>IF(ORIG!J1436=0,"",ORIG!J1436)</f>
        <v/>
      </c>
      <c r="K1436" s="3">
        <f>IF(ORIG!K1436=0,"",ORIG!K1436)</f>
        <v/>
      </c>
      <c r="L1436" s="3">
        <f>IF(ORIG!L1436=0,"",ORIG!L1436)</f>
        <v/>
      </c>
      <c r="M1436" s="3">
        <f>IF(ORIG!M1436=0,"",ORIG!M1436)</f>
        <v/>
      </c>
      <c r="N1436" s="3">
        <f>IF(ORIG!N1436=0,"",ORIG!N1436)</f>
        <v/>
      </c>
      <c r="O1436" s="3">
        <f>IF(ORIG!O1436=0,"",ORIG!O1436)</f>
        <v/>
      </c>
      <c r="P1436" s="3">
        <f>IF(ORIG!P1436=0,"",ORIG!P1436)</f>
        <v/>
      </c>
      <c r="Q1436" s="3">
        <f>IF(ORIG!Q1436=0,"",ORIG!Q1436)</f>
        <v/>
      </c>
      <c r="R1436" s="3">
        <f>IF(ORIG!R1436=0,"",ORIG!R1436)</f>
        <v/>
      </c>
      <c r="S1436" s="3">
        <f>IF(ORIG!S1436=0,"",ORIG!S1436)</f>
        <v/>
      </c>
      <c r="T1436" s="3">
        <f>IF(ORIG!T1436=0,"",ORIG!T1436)</f>
        <v/>
      </c>
      <c r="U1436" s="3">
        <f>IF(ORIG!U1436=0,"",ORIG!U1436)</f>
        <v/>
      </c>
      <c r="V1436" s="9">
        <f>IF(ORIG!V1436=0,"",ORIG!V1436)</f>
        <v/>
      </c>
      <c r="W1436" s="9">
        <f>IF(ORIG!W1436=0,"",ORIG!W1436)</f>
        <v/>
      </c>
      <c r="X1436" s="9">
        <f>IF(ORIG!X1436=0,"",ORIG!X1436)</f>
        <v/>
      </c>
      <c r="Y1436" s="9">
        <f>IF(ORIG!Y1436=0,"",ORIG!Y1436)</f>
        <v/>
      </c>
      <c r="Z1436" s="3">
        <f>SUMPRODUCT($B1436:$Y1436,$B$2649:$Y$2649)</f>
        <v/>
      </c>
      <c r="AA1436" s="3">
        <f>SUMPRODUCT($B1436:$Y1436,$B$2655:$Y$2655)</f>
        <v/>
      </c>
      <c r="AC1436" s="1">
        <f>A1436</f>
        <v/>
      </c>
      <c r="AD1436">
        <f>IF(ISNUMBER(V1436),V1436*($AB$1/V$2635),"")</f>
        <v/>
      </c>
      <c r="AE1436">
        <f>IF(ISNUMBER(Z1436),Z1436*($AB$1/Z$2635),"")</f>
        <v/>
      </c>
      <c r="AF1436" s="25">
        <f>IF(ISNUMBER(AD1436+AE1436),AD1436+AE1436,"")</f>
        <v/>
      </c>
      <c r="AH1436" s="1">
        <f>A1436</f>
        <v/>
      </c>
      <c r="AI1436">
        <f>IF(ISNUMBER((1+V1436)*AI1435),(1+V1436)*AI1435,AI1435)</f>
        <v/>
      </c>
      <c r="AJ1436">
        <f>IF(ISNUMBER((1+Z1436)*AJ1435),(1+Z1436)*AJ1435,AJ1435)</f>
        <v/>
      </c>
    </row>
    <row r="1437">
      <c r="A1437" s="1" t="n">
        <v>44088</v>
      </c>
      <c r="B1437" s="3">
        <f>IF(ORIG!B1437=0,"",ORIG!B1437)</f>
        <v/>
      </c>
      <c r="C1437" s="3">
        <f>IF(ORIG!C1437=0,"",ORIG!C1437)</f>
        <v/>
      </c>
      <c r="D1437" s="3">
        <f>IF(ORIG!D1437=0,"",ORIG!D1437)</f>
        <v/>
      </c>
      <c r="E1437" s="3">
        <f>IF(ORIG!E1437=0,"",ORIG!E1437)</f>
        <v/>
      </c>
      <c r="F1437" s="3">
        <f>IF(ORIG!F1437=0,"",ORIG!F1437)</f>
        <v/>
      </c>
      <c r="G1437" s="3">
        <f>IF(ORIG!G1437=0,"",ORIG!G1437)</f>
        <v/>
      </c>
      <c r="H1437" s="3">
        <f>IF(ORIG!H1437=0,"",ORIG!H1437)</f>
        <v/>
      </c>
      <c r="I1437" s="3">
        <f>IF(ORIG!I1437=0,"",ORIG!I1437)</f>
        <v/>
      </c>
      <c r="J1437" s="3">
        <f>IF(ORIG!J1437=0,"",ORIG!J1437)</f>
        <v/>
      </c>
      <c r="K1437" s="3">
        <f>IF(ORIG!K1437=0,"",ORIG!K1437)</f>
        <v/>
      </c>
      <c r="L1437" s="3">
        <f>IF(ORIG!L1437=0,"",ORIG!L1437)</f>
        <v/>
      </c>
      <c r="M1437" s="3">
        <f>IF(ORIG!M1437=0,"",ORIG!M1437)</f>
        <v/>
      </c>
      <c r="N1437" s="3">
        <f>IF(ORIG!N1437=0,"",ORIG!N1437)</f>
        <v/>
      </c>
      <c r="O1437" s="3">
        <f>IF(ORIG!O1437=0,"",ORIG!O1437)</f>
        <v/>
      </c>
      <c r="P1437" s="3">
        <f>IF(ORIG!P1437=0,"",ORIG!P1437)</f>
        <v/>
      </c>
      <c r="Q1437" s="3">
        <f>IF(ORIG!Q1437=0,"",ORIG!Q1437)</f>
        <v/>
      </c>
      <c r="R1437" s="3">
        <f>IF(ORIG!R1437=0,"",ORIG!R1437)</f>
        <v/>
      </c>
      <c r="S1437" s="3">
        <f>IF(ORIG!S1437=0,"",ORIG!S1437)</f>
        <v/>
      </c>
      <c r="T1437" s="3">
        <f>IF(ORIG!T1437=0,"",ORIG!T1437)</f>
        <v/>
      </c>
      <c r="U1437" s="3">
        <f>IF(ORIG!U1437=0,"",ORIG!U1437)</f>
        <v/>
      </c>
      <c r="V1437" s="9">
        <f>IF(ORIG!V1437=0,"",ORIG!V1437)</f>
        <v/>
      </c>
      <c r="W1437" s="9">
        <f>IF(ORIG!W1437=0,"",ORIG!W1437)</f>
        <v/>
      </c>
      <c r="X1437" s="9">
        <f>IF(ORIG!X1437=0,"",ORIG!X1437)</f>
        <v/>
      </c>
      <c r="Y1437" s="9">
        <f>IF(ORIG!Y1437=0,"",ORIG!Y1437)</f>
        <v/>
      </c>
      <c r="Z1437" s="3">
        <f>SUMPRODUCT($B1437:$Y1437,$B$2649:$Y$2649)</f>
        <v/>
      </c>
      <c r="AA1437" s="3">
        <f>SUMPRODUCT($B1437:$Y1437,$B$2655:$Y$2655)</f>
        <v/>
      </c>
      <c r="AC1437" s="1">
        <f>A1437</f>
        <v/>
      </c>
      <c r="AD1437">
        <f>IF(ISNUMBER(V1437),V1437*($AB$1/V$2635),"")</f>
        <v/>
      </c>
      <c r="AE1437">
        <f>IF(ISNUMBER(Z1437),Z1437*($AB$1/Z$2635),"")</f>
        <v/>
      </c>
      <c r="AF1437" s="25">
        <f>IF(ISNUMBER(AD1437+AE1437),AD1437+AE1437,"")</f>
        <v/>
      </c>
      <c r="AH1437" s="1">
        <f>A1437</f>
        <v/>
      </c>
      <c r="AI1437">
        <f>IF(ISNUMBER((1+V1437)*AI1436),(1+V1437)*AI1436,AI1436)</f>
        <v/>
      </c>
      <c r="AJ1437">
        <f>IF(ISNUMBER((1+Z1437)*AJ1436),(1+Z1437)*AJ1436,AJ1436)</f>
        <v/>
      </c>
    </row>
    <row r="1438">
      <c r="A1438" s="1" t="n">
        <v>44089</v>
      </c>
      <c r="B1438" s="3">
        <f>IF(ORIG!B1438=0,"",ORIG!B1438)</f>
        <v/>
      </c>
      <c r="C1438" s="3">
        <f>IF(ORIG!C1438=0,"",ORIG!C1438)</f>
        <v/>
      </c>
      <c r="D1438" s="3">
        <f>IF(ORIG!D1438=0,"",ORIG!D1438)</f>
        <v/>
      </c>
      <c r="E1438" s="3">
        <f>IF(ORIG!E1438=0,"",ORIG!E1438)</f>
        <v/>
      </c>
      <c r="F1438" s="3">
        <f>IF(ORIG!F1438=0,"",ORIG!F1438)</f>
        <v/>
      </c>
      <c r="G1438" s="3">
        <f>IF(ORIG!G1438=0,"",ORIG!G1438)</f>
        <v/>
      </c>
      <c r="H1438" s="3">
        <f>IF(ORIG!H1438=0,"",ORIG!H1438)</f>
        <v/>
      </c>
      <c r="I1438" s="3">
        <f>IF(ORIG!I1438=0,"",ORIG!I1438)</f>
        <v/>
      </c>
      <c r="J1438" s="3">
        <f>IF(ORIG!J1438=0,"",ORIG!J1438)</f>
        <v/>
      </c>
      <c r="K1438" s="3">
        <f>IF(ORIG!K1438=0,"",ORIG!K1438)</f>
        <v/>
      </c>
      <c r="L1438" s="3">
        <f>IF(ORIG!L1438=0,"",ORIG!L1438)</f>
        <v/>
      </c>
      <c r="M1438" s="3">
        <f>IF(ORIG!M1438=0,"",ORIG!M1438)</f>
        <v/>
      </c>
      <c r="N1438" s="3">
        <f>IF(ORIG!N1438=0,"",ORIG!N1438)</f>
        <v/>
      </c>
      <c r="O1438" s="3">
        <f>IF(ORIG!O1438=0,"",ORIG!O1438)</f>
        <v/>
      </c>
      <c r="P1438" s="3">
        <f>IF(ORIG!P1438=0,"",ORIG!P1438)</f>
        <v/>
      </c>
      <c r="Q1438" s="3">
        <f>IF(ORIG!Q1438=0,"",ORIG!Q1438)</f>
        <v/>
      </c>
      <c r="R1438" s="3">
        <f>IF(ORIG!R1438=0,"",ORIG!R1438)</f>
        <v/>
      </c>
      <c r="S1438" s="3">
        <f>IF(ORIG!S1438=0,"",ORIG!S1438)</f>
        <v/>
      </c>
      <c r="T1438" s="3">
        <f>IF(ORIG!T1438=0,"",ORIG!T1438)</f>
        <v/>
      </c>
      <c r="U1438" s="3">
        <f>IF(ORIG!U1438=0,"",ORIG!U1438)</f>
        <v/>
      </c>
      <c r="V1438" s="9">
        <f>IF(ORIG!V1438=0,"",ORIG!V1438)</f>
        <v/>
      </c>
      <c r="W1438" s="9">
        <f>IF(ORIG!W1438=0,"",ORIG!W1438)</f>
        <v/>
      </c>
      <c r="X1438" s="9">
        <f>IF(ORIG!X1438=0,"",ORIG!X1438)</f>
        <v/>
      </c>
      <c r="Y1438" s="9">
        <f>IF(ORIG!Y1438=0,"",ORIG!Y1438)</f>
        <v/>
      </c>
      <c r="Z1438" s="3">
        <f>SUMPRODUCT($B1438:$Y1438,$B$2649:$Y$2649)</f>
        <v/>
      </c>
      <c r="AA1438" s="3">
        <f>SUMPRODUCT($B1438:$Y1438,$B$2655:$Y$2655)</f>
        <v/>
      </c>
      <c r="AC1438" s="1">
        <f>A1438</f>
        <v/>
      </c>
      <c r="AD1438">
        <f>IF(ISNUMBER(V1438),V1438*($AB$1/V$2635),"")</f>
        <v/>
      </c>
      <c r="AE1438">
        <f>IF(ISNUMBER(Z1438),Z1438*($AB$1/Z$2635),"")</f>
        <v/>
      </c>
      <c r="AF1438" s="25">
        <f>IF(ISNUMBER(AD1438+AE1438),AD1438+AE1438,"")</f>
        <v/>
      </c>
      <c r="AH1438" s="1">
        <f>A1438</f>
        <v/>
      </c>
      <c r="AI1438">
        <f>IF(ISNUMBER((1+V1438)*AI1437),(1+V1438)*AI1437,AI1437)</f>
        <v/>
      </c>
      <c r="AJ1438">
        <f>IF(ISNUMBER((1+Z1438)*AJ1437),(1+Z1438)*AJ1437,AJ1437)</f>
        <v/>
      </c>
    </row>
    <row r="1439">
      <c r="A1439" s="1" t="n">
        <v>44090</v>
      </c>
      <c r="B1439" s="3">
        <f>IF(ORIG!B1439=0,"",ORIG!B1439)</f>
        <v/>
      </c>
      <c r="C1439" s="3">
        <f>IF(ORIG!C1439=0,"",ORIG!C1439)</f>
        <v/>
      </c>
      <c r="D1439" s="3">
        <f>IF(ORIG!D1439=0,"",ORIG!D1439)</f>
        <v/>
      </c>
      <c r="E1439" s="3">
        <f>IF(ORIG!E1439=0,"",ORIG!E1439)</f>
        <v/>
      </c>
      <c r="F1439" s="3">
        <f>IF(ORIG!F1439=0,"",ORIG!F1439)</f>
        <v/>
      </c>
      <c r="G1439" s="3">
        <f>IF(ORIG!G1439=0,"",ORIG!G1439)</f>
        <v/>
      </c>
      <c r="H1439" s="3">
        <f>IF(ORIG!H1439=0,"",ORIG!H1439)</f>
        <v/>
      </c>
      <c r="I1439" s="3">
        <f>IF(ORIG!I1439=0,"",ORIG!I1439)</f>
        <v/>
      </c>
      <c r="J1439" s="3">
        <f>IF(ORIG!J1439=0,"",ORIG!J1439)</f>
        <v/>
      </c>
      <c r="K1439" s="3">
        <f>IF(ORIG!K1439=0,"",ORIG!K1439)</f>
        <v/>
      </c>
      <c r="L1439" s="3">
        <f>IF(ORIG!L1439=0,"",ORIG!L1439)</f>
        <v/>
      </c>
      <c r="M1439" s="3">
        <f>IF(ORIG!M1439=0,"",ORIG!M1439)</f>
        <v/>
      </c>
      <c r="N1439" s="3">
        <f>IF(ORIG!N1439=0,"",ORIG!N1439)</f>
        <v/>
      </c>
      <c r="O1439" s="3">
        <f>IF(ORIG!O1439=0,"",ORIG!O1439)</f>
        <v/>
      </c>
      <c r="P1439" s="3">
        <f>IF(ORIG!P1439=0,"",ORIG!P1439)</f>
        <v/>
      </c>
      <c r="Q1439" s="3">
        <f>IF(ORIG!Q1439=0,"",ORIG!Q1439)</f>
        <v/>
      </c>
      <c r="R1439" s="3">
        <f>IF(ORIG!R1439=0,"",ORIG!R1439)</f>
        <v/>
      </c>
      <c r="S1439" s="3">
        <f>IF(ORIG!S1439=0,"",ORIG!S1439)</f>
        <v/>
      </c>
      <c r="T1439" s="3">
        <f>IF(ORIG!T1439=0,"",ORIG!T1439)</f>
        <v/>
      </c>
      <c r="U1439" s="3">
        <f>IF(ORIG!U1439=0,"",ORIG!U1439)</f>
        <v/>
      </c>
      <c r="V1439" s="9">
        <f>IF(ORIG!V1439=0,"",ORIG!V1439)</f>
        <v/>
      </c>
      <c r="W1439" s="9">
        <f>IF(ORIG!W1439=0,"",ORIG!W1439)</f>
        <v/>
      </c>
      <c r="X1439" s="9">
        <f>IF(ORIG!X1439=0,"",ORIG!X1439)</f>
        <v/>
      </c>
      <c r="Y1439" s="9">
        <f>IF(ORIG!Y1439=0,"",ORIG!Y1439)</f>
        <v/>
      </c>
      <c r="Z1439" s="3">
        <f>SUMPRODUCT($B1439:$Y1439,$B$2649:$Y$2649)</f>
        <v/>
      </c>
      <c r="AA1439" s="3">
        <f>SUMPRODUCT($B1439:$Y1439,$B$2655:$Y$2655)</f>
        <v/>
      </c>
      <c r="AC1439" s="1">
        <f>A1439</f>
        <v/>
      </c>
      <c r="AD1439">
        <f>IF(ISNUMBER(V1439),V1439*($AB$1/V$2635),"")</f>
        <v/>
      </c>
      <c r="AE1439">
        <f>IF(ISNUMBER(Z1439),Z1439*($AB$1/Z$2635),"")</f>
        <v/>
      </c>
      <c r="AF1439" s="25">
        <f>IF(ISNUMBER(AD1439+AE1439),AD1439+AE1439,"")</f>
        <v/>
      </c>
      <c r="AH1439" s="1">
        <f>A1439</f>
        <v/>
      </c>
      <c r="AI1439">
        <f>IF(ISNUMBER((1+V1439)*AI1438),(1+V1439)*AI1438,AI1438)</f>
        <v/>
      </c>
      <c r="AJ1439">
        <f>IF(ISNUMBER((1+Z1439)*AJ1438),(1+Z1439)*AJ1438,AJ1438)</f>
        <v/>
      </c>
    </row>
    <row r="1440">
      <c r="A1440" s="1" t="n">
        <v>44091</v>
      </c>
      <c r="B1440" s="3">
        <f>IF(ORIG!B1440=0,"",ORIG!B1440)</f>
        <v/>
      </c>
      <c r="C1440" s="3">
        <f>IF(ORIG!C1440=0,"",ORIG!C1440)</f>
        <v/>
      </c>
      <c r="D1440" s="3">
        <f>IF(ORIG!D1440=0,"",ORIG!D1440)</f>
        <v/>
      </c>
      <c r="E1440" s="3">
        <f>IF(ORIG!E1440=0,"",ORIG!E1440)</f>
        <v/>
      </c>
      <c r="F1440" s="3">
        <f>IF(ORIG!F1440=0,"",ORIG!F1440)</f>
        <v/>
      </c>
      <c r="G1440" s="3">
        <f>IF(ORIG!G1440=0,"",ORIG!G1440)</f>
        <v/>
      </c>
      <c r="H1440" s="3">
        <f>IF(ORIG!H1440=0,"",ORIG!H1440)</f>
        <v/>
      </c>
      <c r="I1440" s="3">
        <f>IF(ORIG!I1440=0,"",ORIG!I1440)</f>
        <v/>
      </c>
      <c r="J1440" s="3">
        <f>IF(ORIG!J1440=0,"",ORIG!J1440)</f>
        <v/>
      </c>
      <c r="K1440" s="3">
        <f>IF(ORIG!K1440=0,"",ORIG!K1440)</f>
        <v/>
      </c>
      <c r="L1440" s="3">
        <f>IF(ORIG!L1440=0,"",ORIG!L1440)</f>
        <v/>
      </c>
      <c r="M1440" s="3">
        <f>IF(ORIG!M1440=0,"",ORIG!M1440)</f>
        <v/>
      </c>
      <c r="N1440" s="3">
        <f>IF(ORIG!N1440=0,"",ORIG!N1440)</f>
        <v/>
      </c>
      <c r="O1440" s="3">
        <f>IF(ORIG!O1440=0,"",ORIG!O1440)</f>
        <v/>
      </c>
      <c r="P1440" s="3">
        <f>IF(ORIG!P1440=0,"",ORIG!P1440)</f>
        <v/>
      </c>
      <c r="Q1440" s="3">
        <f>IF(ORIG!Q1440=0,"",ORIG!Q1440)</f>
        <v/>
      </c>
      <c r="R1440" s="3">
        <f>IF(ORIG!R1440=0,"",ORIG!R1440)</f>
        <v/>
      </c>
      <c r="S1440" s="3">
        <f>IF(ORIG!S1440=0,"",ORIG!S1440)</f>
        <v/>
      </c>
      <c r="T1440" s="3">
        <f>IF(ORIG!T1440=0,"",ORIG!T1440)</f>
        <v/>
      </c>
      <c r="U1440" s="3">
        <f>IF(ORIG!U1440=0,"",ORIG!U1440)</f>
        <v/>
      </c>
      <c r="V1440" s="9">
        <f>IF(ORIG!V1440=0,"",ORIG!V1440)</f>
        <v/>
      </c>
      <c r="W1440" s="9">
        <f>IF(ORIG!W1440=0,"",ORIG!W1440)</f>
        <v/>
      </c>
      <c r="X1440" s="9">
        <f>IF(ORIG!X1440=0,"",ORIG!X1440)</f>
        <v/>
      </c>
      <c r="Y1440" s="9">
        <f>IF(ORIG!Y1440=0,"",ORIG!Y1440)</f>
        <v/>
      </c>
      <c r="Z1440" s="3">
        <f>SUMPRODUCT($B1440:$Y1440,$B$2649:$Y$2649)</f>
        <v/>
      </c>
      <c r="AA1440" s="3">
        <f>SUMPRODUCT($B1440:$Y1440,$B$2655:$Y$2655)</f>
        <v/>
      </c>
      <c r="AC1440" s="1">
        <f>A1440</f>
        <v/>
      </c>
      <c r="AD1440">
        <f>IF(ISNUMBER(V1440),V1440*($AB$1/V$2635),"")</f>
        <v/>
      </c>
      <c r="AE1440">
        <f>IF(ISNUMBER(Z1440),Z1440*($AB$1/Z$2635),"")</f>
        <v/>
      </c>
      <c r="AF1440" s="25">
        <f>IF(ISNUMBER(AD1440+AE1440),AD1440+AE1440,"")</f>
        <v/>
      </c>
      <c r="AH1440" s="1">
        <f>A1440</f>
        <v/>
      </c>
      <c r="AI1440">
        <f>IF(ISNUMBER((1+V1440)*AI1439),(1+V1440)*AI1439,AI1439)</f>
        <v/>
      </c>
      <c r="AJ1440">
        <f>IF(ISNUMBER((1+Z1440)*AJ1439),(1+Z1440)*AJ1439,AJ1439)</f>
        <v/>
      </c>
    </row>
    <row r="1441">
      <c r="A1441" s="1" t="n">
        <v>44092</v>
      </c>
      <c r="B1441" s="3">
        <f>IF(ORIG!B1441=0,"",ORIG!B1441)</f>
        <v/>
      </c>
      <c r="C1441" s="3">
        <f>IF(ORIG!C1441=0,"",ORIG!C1441)</f>
        <v/>
      </c>
      <c r="D1441" s="3">
        <f>IF(ORIG!D1441=0,"",ORIG!D1441)</f>
        <v/>
      </c>
      <c r="E1441" s="3">
        <f>IF(ORIG!E1441=0,"",ORIG!E1441)</f>
        <v/>
      </c>
      <c r="F1441" s="3">
        <f>IF(ORIG!F1441=0,"",ORIG!F1441)</f>
        <v/>
      </c>
      <c r="G1441" s="3">
        <f>IF(ORIG!G1441=0,"",ORIG!G1441)</f>
        <v/>
      </c>
      <c r="H1441" s="3">
        <f>IF(ORIG!H1441=0,"",ORIG!H1441)</f>
        <v/>
      </c>
      <c r="I1441" s="3">
        <f>IF(ORIG!I1441=0,"",ORIG!I1441)</f>
        <v/>
      </c>
      <c r="J1441" s="3">
        <f>IF(ORIG!J1441=0,"",ORIG!J1441)</f>
        <v/>
      </c>
      <c r="K1441" s="3">
        <f>IF(ORIG!K1441=0,"",ORIG!K1441)</f>
        <v/>
      </c>
      <c r="L1441" s="3">
        <f>IF(ORIG!L1441=0,"",ORIG!L1441)</f>
        <v/>
      </c>
      <c r="M1441" s="3">
        <f>IF(ORIG!M1441=0,"",ORIG!M1441)</f>
        <v/>
      </c>
      <c r="N1441" s="3">
        <f>IF(ORIG!N1441=0,"",ORIG!N1441)</f>
        <v/>
      </c>
      <c r="O1441" s="3">
        <f>IF(ORIG!O1441=0,"",ORIG!O1441)</f>
        <v/>
      </c>
      <c r="P1441" s="3">
        <f>IF(ORIG!P1441=0,"",ORIG!P1441)</f>
        <v/>
      </c>
      <c r="Q1441" s="3">
        <f>IF(ORIG!Q1441=0,"",ORIG!Q1441)</f>
        <v/>
      </c>
      <c r="R1441" s="3">
        <f>IF(ORIG!R1441=0,"",ORIG!R1441)</f>
        <v/>
      </c>
      <c r="S1441" s="3">
        <f>IF(ORIG!S1441=0,"",ORIG!S1441)</f>
        <v/>
      </c>
      <c r="T1441" s="3">
        <f>IF(ORIG!T1441=0,"",ORIG!T1441)</f>
        <v/>
      </c>
      <c r="U1441" s="3">
        <f>IF(ORIG!U1441=0,"",ORIG!U1441)</f>
        <v/>
      </c>
      <c r="V1441" s="9">
        <f>IF(ORIG!V1441=0,"",ORIG!V1441)</f>
        <v/>
      </c>
      <c r="W1441" s="9">
        <f>IF(ORIG!W1441=0,"",ORIG!W1441)</f>
        <v/>
      </c>
      <c r="X1441" s="9">
        <f>IF(ORIG!X1441=0,"",ORIG!X1441)</f>
        <v/>
      </c>
      <c r="Y1441" s="9">
        <f>IF(ORIG!Y1441=0,"",ORIG!Y1441)</f>
        <v/>
      </c>
      <c r="Z1441" s="3">
        <f>SUMPRODUCT($B1441:$Y1441,$B$2649:$Y$2649)</f>
        <v/>
      </c>
      <c r="AA1441" s="3">
        <f>SUMPRODUCT($B1441:$Y1441,$B$2655:$Y$2655)</f>
        <v/>
      </c>
      <c r="AC1441" s="1">
        <f>A1441</f>
        <v/>
      </c>
      <c r="AD1441">
        <f>IF(ISNUMBER(V1441),V1441*($AB$1/V$2635),"")</f>
        <v/>
      </c>
      <c r="AE1441">
        <f>IF(ISNUMBER(Z1441),Z1441*($AB$1/Z$2635),"")</f>
        <v/>
      </c>
      <c r="AF1441" s="25">
        <f>IF(ISNUMBER(AD1441+AE1441),AD1441+AE1441,"")</f>
        <v/>
      </c>
      <c r="AH1441" s="1">
        <f>A1441</f>
        <v/>
      </c>
      <c r="AI1441">
        <f>IF(ISNUMBER((1+V1441)*AI1440),(1+V1441)*AI1440,AI1440)</f>
        <v/>
      </c>
      <c r="AJ1441">
        <f>IF(ISNUMBER((1+Z1441)*AJ1440),(1+Z1441)*AJ1440,AJ1440)</f>
        <v/>
      </c>
    </row>
    <row r="1442">
      <c r="A1442" s="1" t="n">
        <v>44095</v>
      </c>
      <c r="B1442" s="3">
        <f>IF(ORIG!B1442=0,"",ORIG!B1442)</f>
        <v/>
      </c>
      <c r="C1442" s="3">
        <f>IF(ORIG!C1442=0,"",ORIG!C1442)</f>
        <v/>
      </c>
      <c r="D1442" s="3">
        <f>IF(ORIG!D1442=0,"",ORIG!D1442)</f>
        <v/>
      </c>
      <c r="E1442" s="3">
        <f>IF(ORIG!E1442=0,"",ORIG!E1442)</f>
        <v/>
      </c>
      <c r="F1442" s="3">
        <f>IF(ORIG!F1442=0,"",ORIG!F1442)</f>
        <v/>
      </c>
      <c r="G1442" s="3">
        <f>IF(ORIG!G1442=0,"",ORIG!G1442)</f>
        <v/>
      </c>
      <c r="H1442" s="3">
        <f>IF(ORIG!H1442=0,"",ORIG!H1442)</f>
        <v/>
      </c>
      <c r="I1442" s="3">
        <f>IF(ORIG!I1442=0,"",ORIG!I1442)</f>
        <v/>
      </c>
      <c r="J1442" s="3">
        <f>IF(ORIG!J1442=0,"",ORIG!J1442)</f>
        <v/>
      </c>
      <c r="K1442" s="3">
        <f>IF(ORIG!K1442=0,"",ORIG!K1442)</f>
        <v/>
      </c>
      <c r="L1442" s="3">
        <f>IF(ORIG!L1442=0,"",ORIG!L1442)</f>
        <v/>
      </c>
      <c r="M1442" s="3">
        <f>IF(ORIG!M1442=0,"",ORIG!M1442)</f>
        <v/>
      </c>
      <c r="N1442" s="3">
        <f>IF(ORIG!N1442=0,"",ORIG!N1442)</f>
        <v/>
      </c>
      <c r="O1442" s="3">
        <f>IF(ORIG!O1442=0,"",ORIG!O1442)</f>
        <v/>
      </c>
      <c r="P1442" s="3">
        <f>IF(ORIG!P1442=0,"",ORIG!P1442)</f>
        <v/>
      </c>
      <c r="Q1442" s="3">
        <f>IF(ORIG!Q1442=0,"",ORIG!Q1442)</f>
        <v/>
      </c>
      <c r="R1442" s="3">
        <f>IF(ORIG!R1442=0,"",ORIG!R1442)</f>
        <v/>
      </c>
      <c r="S1442" s="3">
        <f>IF(ORIG!S1442=0,"",ORIG!S1442)</f>
        <v/>
      </c>
      <c r="T1442" s="3">
        <f>IF(ORIG!T1442=0,"",ORIG!T1442)</f>
        <v/>
      </c>
      <c r="U1442" s="3">
        <f>IF(ORIG!U1442=0,"",ORIG!U1442)</f>
        <v/>
      </c>
      <c r="V1442" s="9">
        <f>IF(ORIG!V1442=0,"",ORIG!V1442)</f>
        <v/>
      </c>
      <c r="W1442" s="9">
        <f>IF(ORIG!W1442=0,"",ORIG!W1442)</f>
        <v/>
      </c>
      <c r="X1442" s="9">
        <f>IF(ORIG!X1442=0,"",ORIG!X1442)</f>
        <v/>
      </c>
      <c r="Y1442" s="9">
        <f>IF(ORIG!Y1442=0,"",ORIG!Y1442)</f>
        <v/>
      </c>
      <c r="Z1442" s="3">
        <f>SUMPRODUCT($B1442:$Y1442,$B$2649:$Y$2649)</f>
        <v/>
      </c>
      <c r="AA1442" s="3">
        <f>SUMPRODUCT($B1442:$Y1442,$B$2655:$Y$2655)</f>
        <v/>
      </c>
      <c r="AC1442" s="1">
        <f>A1442</f>
        <v/>
      </c>
      <c r="AD1442">
        <f>IF(ISNUMBER(V1442),V1442*($AB$1/V$2635),"")</f>
        <v/>
      </c>
      <c r="AE1442">
        <f>IF(ISNUMBER(Z1442),Z1442*($AB$1/Z$2635),"")</f>
        <v/>
      </c>
      <c r="AF1442" s="25">
        <f>IF(ISNUMBER(AD1442+AE1442),AD1442+AE1442,"")</f>
        <v/>
      </c>
      <c r="AH1442" s="1">
        <f>A1442</f>
        <v/>
      </c>
      <c r="AI1442">
        <f>IF(ISNUMBER((1+V1442)*AI1441),(1+V1442)*AI1441,AI1441)</f>
        <v/>
      </c>
      <c r="AJ1442">
        <f>IF(ISNUMBER((1+Z1442)*AJ1441),(1+Z1442)*AJ1441,AJ1441)</f>
        <v/>
      </c>
    </row>
    <row r="1443">
      <c r="A1443" s="1" t="n">
        <v>44096</v>
      </c>
      <c r="B1443" s="3">
        <f>IF(ORIG!B1443=0,"",ORIG!B1443)</f>
        <v/>
      </c>
      <c r="C1443" s="3">
        <f>IF(ORIG!C1443=0,"",ORIG!C1443)</f>
        <v/>
      </c>
      <c r="D1443" s="3">
        <f>IF(ORIG!D1443=0,"",ORIG!D1443)</f>
        <v/>
      </c>
      <c r="E1443" s="3">
        <f>IF(ORIG!E1443=0,"",ORIG!E1443)</f>
        <v/>
      </c>
      <c r="F1443" s="3">
        <f>IF(ORIG!F1443=0,"",ORIG!F1443)</f>
        <v/>
      </c>
      <c r="G1443" s="3">
        <f>IF(ORIG!G1443=0,"",ORIG!G1443)</f>
        <v/>
      </c>
      <c r="H1443" s="3">
        <f>IF(ORIG!H1443=0,"",ORIG!H1443)</f>
        <v/>
      </c>
      <c r="I1443" s="3">
        <f>IF(ORIG!I1443=0,"",ORIG!I1443)</f>
        <v/>
      </c>
      <c r="J1443" s="3">
        <f>IF(ORIG!J1443=0,"",ORIG!J1443)</f>
        <v/>
      </c>
      <c r="K1443" s="3">
        <f>IF(ORIG!K1443=0,"",ORIG!K1443)</f>
        <v/>
      </c>
      <c r="L1443" s="3">
        <f>IF(ORIG!L1443=0,"",ORIG!L1443)</f>
        <v/>
      </c>
      <c r="M1443" s="3">
        <f>IF(ORIG!M1443=0,"",ORIG!M1443)</f>
        <v/>
      </c>
      <c r="N1443" s="3">
        <f>IF(ORIG!N1443=0,"",ORIG!N1443)</f>
        <v/>
      </c>
      <c r="O1443" s="3">
        <f>IF(ORIG!O1443=0,"",ORIG!O1443)</f>
        <v/>
      </c>
      <c r="P1443" s="3">
        <f>IF(ORIG!P1443=0,"",ORIG!P1443)</f>
        <v/>
      </c>
      <c r="Q1443" s="3">
        <f>IF(ORIG!Q1443=0,"",ORIG!Q1443)</f>
        <v/>
      </c>
      <c r="R1443" s="3">
        <f>IF(ORIG!R1443=0,"",ORIG!R1443)</f>
        <v/>
      </c>
      <c r="S1443" s="3">
        <f>IF(ORIG!S1443=0,"",ORIG!S1443)</f>
        <v/>
      </c>
      <c r="T1443" s="3">
        <f>IF(ORIG!T1443=0,"",ORIG!T1443)</f>
        <v/>
      </c>
      <c r="U1443" s="3">
        <f>IF(ORIG!U1443=0,"",ORIG!U1443)</f>
        <v/>
      </c>
      <c r="V1443" s="9">
        <f>IF(ORIG!V1443=0,"",ORIG!V1443)</f>
        <v/>
      </c>
      <c r="W1443" s="9">
        <f>IF(ORIG!W1443=0,"",ORIG!W1443)</f>
        <v/>
      </c>
      <c r="X1443" s="9">
        <f>IF(ORIG!X1443=0,"",ORIG!X1443)</f>
        <v/>
      </c>
      <c r="Y1443" s="9">
        <f>IF(ORIG!Y1443=0,"",ORIG!Y1443)</f>
        <v/>
      </c>
      <c r="Z1443" s="3">
        <f>SUMPRODUCT($B1443:$Y1443,$B$2649:$Y$2649)</f>
        <v/>
      </c>
      <c r="AA1443" s="3">
        <f>SUMPRODUCT($B1443:$Y1443,$B$2655:$Y$2655)</f>
        <v/>
      </c>
      <c r="AC1443" s="1">
        <f>A1443</f>
        <v/>
      </c>
      <c r="AD1443">
        <f>IF(ISNUMBER(V1443),V1443*($AB$1/V$2635),"")</f>
        <v/>
      </c>
      <c r="AE1443">
        <f>IF(ISNUMBER(Z1443),Z1443*($AB$1/Z$2635),"")</f>
        <v/>
      </c>
      <c r="AF1443" s="25">
        <f>IF(ISNUMBER(AD1443+AE1443),AD1443+AE1443,"")</f>
        <v/>
      </c>
      <c r="AH1443" s="1">
        <f>A1443</f>
        <v/>
      </c>
      <c r="AI1443">
        <f>IF(ISNUMBER((1+V1443)*AI1442),(1+V1443)*AI1442,AI1442)</f>
        <v/>
      </c>
      <c r="AJ1443">
        <f>IF(ISNUMBER((1+Z1443)*AJ1442),(1+Z1443)*AJ1442,AJ1442)</f>
        <v/>
      </c>
    </row>
    <row r="1444">
      <c r="A1444" s="1" t="n">
        <v>44097</v>
      </c>
      <c r="B1444" s="3">
        <f>IF(ORIG!B1444=0,"",ORIG!B1444)</f>
        <v/>
      </c>
      <c r="C1444" s="3">
        <f>IF(ORIG!C1444=0,"",ORIG!C1444)</f>
        <v/>
      </c>
      <c r="D1444" s="3">
        <f>IF(ORIG!D1444=0,"",ORIG!D1444)</f>
        <v/>
      </c>
      <c r="E1444" s="3">
        <f>IF(ORIG!E1444=0,"",ORIG!E1444)</f>
        <v/>
      </c>
      <c r="F1444" s="3">
        <f>IF(ORIG!F1444=0,"",ORIG!F1444)</f>
        <v/>
      </c>
      <c r="G1444" s="3">
        <f>IF(ORIG!G1444=0,"",ORIG!G1444)</f>
        <v/>
      </c>
      <c r="H1444" s="3">
        <f>IF(ORIG!H1444=0,"",ORIG!H1444)</f>
        <v/>
      </c>
      <c r="I1444" s="3">
        <f>IF(ORIG!I1444=0,"",ORIG!I1444)</f>
        <v/>
      </c>
      <c r="J1444" s="3">
        <f>IF(ORIG!J1444=0,"",ORIG!J1444)</f>
        <v/>
      </c>
      <c r="K1444" s="3">
        <f>IF(ORIG!K1444=0,"",ORIG!K1444)</f>
        <v/>
      </c>
      <c r="L1444" s="3">
        <f>IF(ORIG!L1444=0,"",ORIG!L1444)</f>
        <v/>
      </c>
      <c r="M1444" s="3">
        <f>IF(ORIG!M1444=0,"",ORIG!M1444)</f>
        <v/>
      </c>
      <c r="N1444" s="3">
        <f>IF(ORIG!N1444=0,"",ORIG!N1444)</f>
        <v/>
      </c>
      <c r="O1444" s="3">
        <f>IF(ORIG!O1444=0,"",ORIG!O1444)</f>
        <v/>
      </c>
      <c r="P1444" s="3">
        <f>IF(ORIG!P1444=0,"",ORIG!P1444)</f>
        <v/>
      </c>
      <c r="Q1444" s="3">
        <f>IF(ORIG!Q1444=0,"",ORIG!Q1444)</f>
        <v/>
      </c>
      <c r="R1444" s="3">
        <f>IF(ORIG!R1444=0,"",ORIG!R1444)</f>
        <v/>
      </c>
      <c r="S1444" s="3">
        <f>IF(ORIG!S1444=0,"",ORIG!S1444)</f>
        <v/>
      </c>
      <c r="T1444" s="3">
        <f>IF(ORIG!T1444=0,"",ORIG!T1444)</f>
        <v/>
      </c>
      <c r="U1444" s="3">
        <f>IF(ORIG!U1444=0,"",ORIG!U1444)</f>
        <v/>
      </c>
      <c r="V1444" s="9">
        <f>IF(ORIG!V1444=0,"",ORIG!V1444)</f>
        <v/>
      </c>
      <c r="W1444" s="9">
        <f>IF(ORIG!W1444=0,"",ORIG!W1444)</f>
        <v/>
      </c>
      <c r="X1444" s="9">
        <f>IF(ORIG!X1444=0,"",ORIG!X1444)</f>
        <v/>
      </c>
      <c r="Y1444" s="9">
        <f>IF(ORIG!Y1444=0,"",ORIG!Y1444)</f>
        <v/>
      </c>
      <c r="Z1444" s="3">
        <f>SUMPRODUCT($B1444:$Y1444,$B$2649:$Y$2649)</f>
        <v/>
      </c>
      <c r="AA1444" s="3">
        <f>SUMPRODUCT($B1444:$Y1444,$B$2655:$Y$2655)</f>
        <v/>
      </c>
      <c r="AC1444" s="1">
        <f>A1444</f>
        <v/>
      </c>
      <c r="AD1444">
        <f>IF(ISNUMBER(V1444),V1444*($AB$1/V$2635),"")</f>
        <v/>
      </c>
      <c r="AE1444">
        <f>IF(ISNUMBER(Z1444),Z1444*($AB$1/Z$2635),"")</f>
        <v/>
      </c>
      <c r="AF1444" s="25">
        <f>IF(ISNUMBER(AD1444+AE1444),AD1444+AE1444,"")</f>
        <v/>
      </c>
      <c r="AH1444" s="1">
        <f>A1444</f>
        <v/>
      </c>
      <c r="AI1444">
        <f>IF(ISNUMBER((1+V1444)*AI1443),(1+V1444)*AI1443,AI1443)</f>
        <v/>
      </c>
      <c r="AJ1444">
        <f>IF(ISNUMBER((1+Z1444)*AJ1443),(1+Z1444)*AJ1443,AJ1443)</f>
        <v/>
      </c>
    </row>
    <row r="1445">
      <c r="A1445" s="1" t="n">
        <v>44098</v>
      </c>
      <c r="B1445" s="3">
        <f>IF(ORIG!B1445=0,"",ORIG!B1445)</f>
        <v/>
      </c>
      <c r="C1445" s="3">
        <f>IF(ORIG!C1445=0,"",ORIG!C1445)</f>
        <v/>
      </c>
      <c r="D1445" s="3">
        <f>IF(ORIG!D1445=0,"",ORIG!D1445)</f>
        <v/>
      </c>
      <c r="E1445" s="3">
        <f>IF(ORIG!E1445=0,"",ORIG!E1445)</f>
        <v/>
      </c>
      <c r="F1445" s="3">
        <f>IF(ORIG!F1445=0,"",ORIG!F1445)</f>
        <v/>
      </c>
      <c r="G1445" s="3">
        <f>IF(ORIG!G1445=0,"",ORIG!G1445)</f>
        <v/>
      </c>
      <c r="H1445" s="3">
        <f>IF(ORIG!H1445=0,"",ORIG!H1445)</f>
        <v/>
      </c>
      <c r="I1445" s="3">
        <f>IF(ORIG!I1445=0,"",ORIG!I1445)</f>
        <v/>
      </c>
      <c r="J1445" s="3">
        <f>IF(ORIG!J1445=0,"",ORIG!J1445)</f>
        <v/>
      </c>
      <c r="K1445" s="3">
        <f>IF(ORIG!K1445=0,"",ORIG!K1445)</f>
        <v/>
      </c>
      <c r="L1445" s="3">
        <f>IF(ORIG!L1445=0,"",ORIG!L1445)</f>
        <v/>
      </c>
      <c r="M1445" s="3">
        <f>IF(ORIG!M1445=0,"",ORIG!M1445)</f>
        <v/>
      </c>
      <c r="N1445" s="3">
        <f>IF(ORIG!N1445=0,"",ORIG!N1445)</f>
        <v/>
      </c>
      <c r="O1445" s="3">
        <f>IF(ORIG!O1445=0,"",ORIG!O1445)</f>
        <v/>
      </c>
      <c r="P1445" s="3">
        <f>IF(ORIG!P1445=0,"",ORIG!P1445)</f>
        <v/>
      </c>
      <c r="Q1445" s="3">
        <f>IF(ORIG!Q1445=0,"",ORIG!Q1445)</f>
        <v/>
      </c>
      <c r="R1445" s="3">
        <f>IF(ORIG!R1445=0,"",ORIG!R1445)</f>
        <v/>
      </c>
      <c r="S1445" s="3">
        <f>IF(ORIG!S1445=0,"",ORIG!S1445)</f>
        <v/>
      </c>
      <c r="T1445" s="3">
        <f>IF(ORIG!T1445=0,"",ORIG!T1445)</f>
        <v/>
      </c>
      <c r="U1445" s="3">
        <f>IF(ORIG!U1445=0,"",ORIG!U1445)</f>
        <v/>
      </c>
      <c r="V1445" s="9">
        <f>IF(ORIG!V1445=0,"",ORIG!V1445)</f>
        <v/>
      </c>
      <c r="W1445" s="9">
        <f>IF(ORIG!W1445=0,"",ORIG!W1445)</f>
        <v/>
      </c>
      <c r="X1445" s="9">
        <f>IF(ORIG!X1445=0,"",ORIG!X1445)</f>
        <v/>
      </c>
      <c r="Y1445" s="9">
        <f>IF(ORIG!Y1445=0,"",ORIG!Y1445)</f>
        <v/>
      </c>
      <c r="Z1445" s="3">
        <f>SUMPRODUCT($B1445:$Y1445,$B$2649:$Y$2649)</f>
        <v/>
      </c>
      <c r="AA1445" s="3">
        <f>SUMPRODUCT($B1445:$Y1445,$B$2655:$Y$2655)</f>
        <v/>
      </c>
      <c r="AC1445" s="1">
        <f>A1445</f>
        <v/>
      </c>
      <c r="AD1445">
        <f>IF(ISNUMBER(V1445),V1445*($AB$1/V$2635),"")</f>
        <v/>
      </c>
      <c r="AE1445">
        <f>IF(ISNUMBER(Z1445),Z1445*($AB$1/Z$2635),"")</f>
        <v/>
      </c>
      <c r="AF1445" s="25">
        <f>IF(ISNUMBER(AD1445+AE1445),AD1445+AE1445,"")</f>
        <v/>
      </c>
      <c r="AH1445" s="1">
        <f>A1445</f>
        <v/>
      </c>
      <c r="AI1445">
        <f>IF(ISNUMBER((1+V1445)*AI1444),(1+V1445)*AI1444,AI1444)</f>
        <v/>
      </c>
      <c r="AJ1445">
        <f>IF(ISNUMBER((1+Z1445)*AJ1444),(1+Z1445)*AJ1444,AJ1444)</f>
        <v/>
      </c>
    </row>
    <row r="1446">
      <c r="A1446" s="1" t="n">
        <v>44099</v>
      </c>
      <c r="B1446" s="3">
        <f>IF(ORIG!B1446=0,"",ORIG!B1446)</f>
        <v/>
      </c>
      <c r="C1446" s="3">
        <f>IF(ORIG!C1446=0,"",ORIG!C1446)</f>
        <v/>
      </c>
      <c r="D1446" s="3">
        <f>IF(ORIG!D1446=0,"",ORIG!D1446)</f>
        <v/>
      </c>
      <c r="E1446" s="3">
        <f>IF(ORIG!E1446=0,"",ORIG!E1446)</f>
        <v/>
      </c>
      <c r="F1446" s="3">
        <f>IF(ORIG!F1446=0,"",ORIG!F1446)</f>
        <v/>
      </c>
      <c r="G1446" s="3">
        <f>IF(ORIG!G1446=0,"",ORIG!G1446)</f>
        <v/>
      </c>
      <c r="H1446" s="3">
        <f>IF(ORIG!H1446=0,"",ORIG!H1446)</f>
        <v/>
      </c>
      <c r="I1446" s="3">
        <f>IF(ORIG!I1446=0,"",ORIG!I1446)</f>
        <v/>
      </c>
      <c r="J1446" s="3">
        <f>IF(ORIG!J1446=0,"",ORIG!J1446)</f>
        <v/>
      </c>
      <c r="K1446" s="3">
        <f>IF(ORIG!K1446=0,"",ORIG!K1446)</f>
        <v/>
      </c>
      <c r="L1446" s="3">
        <f>IF(ORIG!L1446=0,"",ORIG!L1446)</f>
        <v/>
      </c>
      <c r="M1446" s="3">
        <f>IF(ORIG!M1446=0,"",ORIG!M1446)</f>
        <v/>
      </c>
      <c r="N1446" s="3">
        <f>IF(ORIG!N1446=0,"",ORIG!N1446)</f>
        <v/>
      </c>
      <c r="O1446" s="3">
        <f>IF(ORIG!O1446=0,"",ORIG!O1446)</f>
        <v/>
      </c>
      <c r="P1446" s="3">
        <f>IF(ORIG!P1446=0,"",ORIG!P1446)</f>
        <v/>
      </c>
      <c r="Q1446" s="3">
        <f>IF(ORIG!Q1446=0,"",ORIG!Q1446)</f>
        <v/>
      </c>
      <c r="R1446" s="3">
        <f>IF(ORIG!R1446=0,"",ORIG!R1446)</f>
        <v/>
      </c>
      <c r="S1446" s="3">
        <f>IF(ORIG!S1446=0,"",ORIG!S1446)</f>
        <v/>
      </c>
      <c r="T1446" s="3">
        <f>IF(ORIG!T1446=0,"",ORIG!T1446)</f>
        <v/>
      </c>
      <c r="U1446" s="3">
        <f>IF(ORIG!U1446=0,"",ORIG!U1446)</f>
        <v/>
      </c>
      <c r="V1446" s="9">
        <f>IF(ORIG!V1446=0,"",ORIG!V1446)</f>
        <v/>
      </c>
      <c r="W1446" s="9">
        <f>IF(ORIG!W1446=0,"",ORIG!W1446)</f>
        <v/>
      </c>
      <c r="X1446" s="9">
        <f>IF(ORIG!X1446=0,"",ORIG!X1446)</f>
        <v/>
      </c>
      <c r="Y1446" s="9">
        <f>IF(ORIG!Y1446=0,"",ORIG!Y1446)</f>
        <v/>
      </c>
      <c r="Z1446" s="3">
        <f>SUMPRODUCT($B1446:$Y1446,$B$2649:$Y$2649)</f>
        <v/>
      </c>
      <c r="AA1446" s="3">
        <f>SUMPRODUCT($B1446:$Y1446,$B$2655:$Y$2655)</f>
        <v/>
      </c>
      <c r="AC1446" s="1">
        <f>A1446</f>
        <v/>
      </c>
      <c r="AD1446">
        <f>IF(ISNUMBER(V1446),V1446*($AB$1/V$2635),"")</f>
        <v/>
      </c>
      <c r="AE1446">
        <f>IF(ISNUMBER(Z1446),Z1446*($AB$1/Z$2635),"")</f>
        <v/>
      </c>
      <c r="AF1446" s="25">
        <f>IF(ISNUMBER(AD1446+AE1446),AD1446+AE1446,"")</f>
        <v/>
      </c>
      <c r="AH1446" s="1">
        <f>A1446</f>
        <v/>
      </c>
      <c r="AI1446">
        <f>IF(ISNUMBER((1+V1446)*AI1445),(1+V1446)*AI1445,AI1445)</f>
        <v/>
      </c>
      <c r="AJ1446">
        <f>IF(ISNUMBER((1+Z1446)*AJ1445),(1+Z1446)*AJ1445,AJ1445)</f>
        <v/>
      </c>
    </row>
    <row r="1447">
      <c r="A1447" s="1" t="n">
        <v>44102</v>
      </c>
      <c r="B1447" s="3">
        <f>IF(ORIG!B1447=0,"",ORIG!B1447)</f>
        <v/>
      </c>
      <c r="C1447" s="3">
        <f>IF(ORIG!C1447=0,"",ORIG!C1447)</f>
        <v/>
      </c>
      <c r="D1447" s="3">
        <f>IF(ORIG!D1447=0,"",ORIG!D1447)</f>
        <v/>
      </c>
      <c r="E1447" s="3">
        <f>IF(ORIG!E1447=0,"",ORIG!E1447)</f>
        <v/>
      </c>
      <c r="F1447" s="3">
        <f>IF(ORIG!F1447=0,"",ORIG!F1447)</f>
        <v/>
      </c>
      <c r="G1447" s="3">
        <f>IF(ORIG!G1447=0,"",ORIG!G1447)</f>
        <v/>
      </c>
      <c r="H1447" s="3">
        <f>IF(ORIG!H1447=0,"",ORIG!H1447)</f>
        <v/>
      </c>
      <c r="I1447" s="3">
        <f>IF(ORIG!I1447=0,"",ORIG!I1447)</f>
        <v/>
      </c>
      <c r="J1447" s="3">
        <f>IF(ORIG!J1447=0,"",ORIG!J1447)</f>
        <v/>
      </c>
      <c r="K1447" s="3">
        <f>IF(ORIG!K1447=0,"",ORIG!K1447)</f>
        <v/>
      </c>
      <c r="L1447" s="3">
        <f>IF(ORIG!L1447=0,"",ORIG!L1447)</f>
        <v/>
      </c>
      <c r="M1447" s="3">
        <f>IF(ORIG!M1447=0,"",ORIG!M1447)</f>
        <v/>
      </c>
      <c r="N1447" s="3">
        <f>IF(ORIG!N1447=0,"",ORIG!N1447)</f>
        <v/>
      </c>
      <c r="O1447" s="3">
        <f>IF(ORIG!O1447=0,"",ORIG!O1447)</f>
        <v/>
      </c>
      <c r="P1447" s="3">
        <f>IF(ORIG!P1447=0,"",ORIG!P1447)</f>
        <v/>
      </c>
      <c r="Q1447" s="3">
        <f>IF(ORIG!Q1447=0,"",ORIG!Q1447)</f>
        <v/>
      </c>
      <c r="R1447" s="3">
        <f>IF(ORIG!R1447=0,"",ORIG!R1447)</f>
        <v/>
      </c>
      <c r="S1447" s="3">
        <f>IF(ORIG!S1447=0,"",ORIG!S1447)</f>
        <v/>
      </c>
      <c r="T1447" s="3">
        <f>IF(ORIG!T1447=0,"",ORIG!T1447)</f>
        <v/>
      </c>
      <c r="U1447" s="3">
        <f>IF(ORIG!U1447=0,"",ORIG!U1447)</f>
        <v/>
      </c>
      <c r="V1447" s="9">
        <f>IF(ORIG!V1447=0,"",ORIG!V1447)</f>
        <v/>
      </c>
      <c r="W1447" s="9">
        <f>IF(ORIG!W1447=0,"",ORIG!W1447)</f>
        <v/>
      </c>
      <c r="X1447" s="9">
        <f>IF(ORIG!X1447=0,"",ORIG!X1447)</f>
        <v/>
      </c>
      <c r="Y1447" s="9">
        <f>IF(ORIG!Y1447=0,"",ORIG!Y1447)</f>
        <v/>
      </c>
      <c r="Z1447" s="3">
        <f>SUMPRODUCT($B1447:$Y1447,$B$2649:$Y$2649)</f>
        <v/>
      </c>
      <c r="AA1447" s="3">
        <f>SUMPRODUCT($B1447:$Y1447,$B$2655:$Y$2655)</f>
        <v/>
      </c>
      <c r="AC1447" s="1">
        <f>A1447</f>
        <v/>
      </c>
      <c r="AD1447">
        <f>IF(ISNUMBER(V1447),V1447*($AB$1/V$2635),"")</f>
        <v/>
      </c>
      <c r="AE1447">
        <f>IF(ISNUMBER(Z1447),Z1447*($AB$1/Z$2635),"")</f>
        <v/>
      </c>
      <c r="AF1447" s="25">
        <f>IF(ISNUMBER(AD1447+AE1447),AD1447+AE1447,"")</f>
        <v/>
      </c>
      <c r="AH1447" s="1">
        <f>A1447</f>
        <v/>
      </c>
      <c r="AI1447">
        <f>IF(ISNUMBER((1+V1447)*AI1446),(1+V1447)*AI1446,AI1446)</f>
        <v/>
      </c>
      <c r="AJ1447">
        <f>IF(ISNUMBER((1+Z1447)*AJ1446),(1+Z1447)*AJ1446,AJ1446)</f>
        <v/>
      </c>
    </row>
    <row r="1448">
      <c r="A1448" s="1" t="n">
        <v>44103</v>
      </c>
      <c r="B1448" s="3">
        <f>IF(ORIG!B1448=0,"",ORIG!B1448)</f>
        <v/>
      </c>
      <c r="C1448" s="3">
        <f>IF(ORIG!C1448=0,"",ORIG!C1448)</f>
        <v/>
      </c>
      <c r="D1448" s="3">
        <f>IF(ORIG!D1448=0,"",ORIG!D1448)</f>
        <v/>
      </c>
      <c r="E1448" s="3">
        <f>IF(ORIG!E1448=0,"",ORIG!E1448)</f>
        <v/>
      </c>
      <c r="F1448" s="3">
        <f>IF(ORIG!F1448=0,"",ORIG!F1448)</f>
        <v/>
      </c>
      <c r="G1448" s="3">
        <f>IF(ORIG!G1448=0,"",ORIG!G1448)</f>
        <v/>
      </c>
      <c r="H1448" s="3">
        <f>IF(ORIG!H1448=0,"",ORIG!H1448)</f>
        <v/>
      </c>
      <c r="I1448" s="3">
        <f>IF(ORIG!I1448=0,"",ORIG!I1448)</f>
        <v/>
      </c>
      <c r="J1448" s="3">
        <f>IF(ORIG!J1448=0,"",ORIG!J1448)</f>
        <v/>
      </c>
      <c r="K1448" s="3">
        <f>IF(ORIG!K1448=0,"",ORIG!K1448)</f>
        <v/>
      </c>
      <c r="L1448" s="3">
        <f>IF(ORIG!L1448=0,"",ORIG!L1448)</f>
        <v/>
      </c>
      <c r="M1448" s="3">
        <f>IF(ORIG!M1448=0,"",ORIG!M1448)</f>
        <v/>
      </c>
      <c r="N1448" s="3">
        <f>IF(ORIG!N1448=0,"",ORIG!N1448)</f>
        <v/>
      </c>
      <c r="O1448" s="3">
        <f>IF(ORIG!O1448=0,"",ORIG!O1448)</f>
        <v/>
      </c>
      <c r="P1448" s="3">
        <f>IF(ORIG!P1448=0,"",ORIG!P1448)</f>
        <v/>
      </c>
      <c r="Q1448" s="3">
        <f>IF(ORIG!Q1448=0,"",ORIG!Q1448)</f>
        <v/>
      </c>
      <c r="R1448" s="3">
        <f>IF(ORIG!R1448=0,"",ORIG!R1448)</f>
        <v/>
      </c>
      <c r="S1448" s="3">
        <f>IF(ORIG!S1448=0,"",ORIG!S1448)</f>
        <v/>
      </c>
      <c r="T1448" s="3">
        <f>IF(ORIG!T1448=0,"",ORIG!T1448)</f>
        <v/>
      </c>
      <c r="U1448" s="3">
        <f>IF(ORIG!U1448=0,"",ORIG!U1448)</f>
        <v/>
      </c>
      <c r="V1448" s="9">
        <f>IF(ORIG!V1448=0,"",ORIG!V1448)</f>
        <v/>
      </c>
      <c r="W1448" s="9">
        <f>IF(ORIG!W1448=0,"",ORIG!W1448)</f>
        <v/>
      </c>
      <c r="X1448" s="9">
        <f>IF(ORIG!X1448=0,"",ORIG!X1448)</f>
        <v/>
      </c>
      <c r="Y1448" s="9">
        <f>IF(ORIG!Y1448=0,"",ORIG!Y1448)</f>
        <v/>
      </c>
      <c r="Z1448" s="3">
        <f>SUMPRODUCT($B1448:$Y1448,$B$2649:$Y$2649)</f>
        <v/>
      </c>
      <c r="AA1448" s="3">
        <f>SUMPRODUCT($B1448:$Y1448,$B$2655:$Y$2655)</f>
        <v/>
      </c>
      <c r="AC1448" s="1">
        <f>A1448</f>
        <v/>
      </c>
      <c r="AD1448">
        <f>IF(ISNUMBER(V1448),V1448*($AB$1/V$2635),"")</f>
        <v/>
      </c>
      <c r="AE1448">
        <f>IF(ISNUMBER(Z1448),Z1448*($AB$1/Z$2635),"")</f>
        <v/>
      </c>
      <c r="AF1448" s="25">
        <f>IF(ISNUMBER(AD1448+AE1448),AD1448+AE1448,"")</f>
        <v/>
      </c>
      <c r="AH1448" s="1">
        <f>A1448</f>
        <v/>
      </c>
      <c r="AI1448">
        <f>IF(ISNUMBER((1+V1448)*AI1447),(1+V1448)*AI1447,AI1447)</f>
        <v/>
      </c>
      <c r="AJ1448">
        <f>IF(ISNUMBER((1+Z1448)*AJ1447),(1+Z1448)*AJ1447,AJ1447)</f>
        <v/>
      </c>
    </row>
    <row r="1449">
      <c r="A1449" s="1" t="n">
        <v>44104</v>
      </c>
      <c r="B1449" s="3">
        <f>IF(ORIG!B1449=0,"",ORIG!B1449)</f>
        <v/>
      </c>
      <c r="C1449" s="3">
        <f>IF(ORIG!C1449=0,"",ORIG!C1449)</f>
        <v/>
      </c>
      <c r="D1449" s="3">
        <f>IF(ORIG!D1449=0,"",ORIG!D1449)</f>
        <v/>
      </c>
      <c r="E1449" s="3">
        <f>IF(ORIG!E1449=0,"",ORIG!E1449)</f>
        <v/>
      </c>
      <c r="F1449" s="3">
        <f>IF(ORIG!F1449=0,"",ORIG!F1449)</f>
        <v/>
      </c>
      <c r="G1449" s="3">
        <f>IF(ORIG!G1449=0,"",ORIG!G1449)</f>
        <v/>
      </c>
      <c r="H1449" s="3">
        <f>IF(ORIG!H1449=0,"",ORIG!H1449)</f>
        <v/>
      </c>
      <c r="I1449" s="3">
        <f>IF(ORIG!I1449=0,"",ORIG!I1449)</f>
        <v/>
      </c>
      <c r="J1449" s="3">
        <f>IF(ORIG!J1449=0,"",ORIG!J1449)</f>
        <v/>
      </c>
      <c r="K1449" s="3">
        <f>IF(ORIG!K1449=0,"",ORIG!K1449)</f>
        <v/>
      </c>
      <c r="L1449" s="3">
        <f>IF(ORIG!L1449=0,"",ORIG!L1449)</f>
        <v/>
      </c>
      <c r="M1449" s="3">
        <f>IF(ORIG!M1449=0,"",ORIG!M1449)</f>
        <v/>
      </c>
      <c r="N1449" s="3">
        <f>IF(ORIG!N1449=0,"",ORIG!N1449)</f>
        <v/>
      </c>
      <c r="O1449" s="3">
        <f>IF(ORIG!O1449=0,"",ORIG!O1449)</f>
        <v/>
      </c>
      <c r="P1449" s="3">
        <f>IF(ORIG!P1449=0,"",ORIG!P1449)</f>
        <v/>
      </c>
      <c r="Q1449" s="3">
        <f>IF(ORIG!Q1449=0,"",ORIG!Q1449)</f>
        <v/>
      </c>
      <c r="R1449" s="3">
        <f>IF(ORIG!R1449=0,"",ORIG!R1449)</f>
        <v/>
      </c>
      <c r="S1449" s="3">
        <f>IF(ORIG!S1449=0,"",ORIG!S1449)</f>
        <v/>
      </c>
      <c r="T1449" s="3">
        <f>IF(ORIG!T1449=0,"",ORIG!T1449)</f>
        <v/>
      </c>
      <c r="U1449" s="3">
        <f>IF(ORIG!U1449=0,"",ORIG!U1449)</f>
        <v/>
      </c>
      <c r="V1449" s="9">
        <f>IF(ORIG!V1449=0,"",ORIG!V1449)</f>
        <v/>
      </c>
      <c r="W1449" s="9">
        <f>IF(ORIG!W1449=0,"",ORIG!W1449)</f>
        <v/>
      </c>
      <c r="X1449" s="9">
        <f>IF(ORIG!X1449=0,"",ORIG!X1449)</f>
        <v/>
      </c>
      <c r="Y1449" s="9">
        <f>IF(ORIG!Y1449=0,"",ORIG!Y1449)</f>
        <v/>
      </c>
      <c r="Z1449" s="3">
        <f>SUMPRODUCT($B1449:$Y1449,$B$2649:$Y$2649)</f>
        <v/>
      </c>
      <c r="AA1449" s="3">
        <f>SUMPRODUCT($B1449:$Y1449,$B$2655:$Y$2655)</f>
        <v/>
      </c>
      <c r="AC1449" s="1">
        <f>A1449</f>
        <v/>
      </c>
      <c r="AD1449">
        <f>IF(ISNUMBER(V1449),V1449*($AB$1/V$2635),"")</f>
        <v/>
      </c>
      <c r="AE1449">
        <f>IF(ISNUMBER(Z1449),Z1449*($AB$1/Z$2635),"")</f>
        <v/>
      </c>
      <c r="AF1449" s="25">
        <f>IF(ISNUMBER(AD1449+AE1449),AD1449+AE1449,"")</f>
        <v/>
      </c>
      <c r="AH1449" s="1">
        <f>A1449</f>
        <v/>
      </c>
      <c r="AI1449">
        <f>IF(ISNUMBER((1+V1449)*AI1448),(1+V1449)*AI1448,AI1448)</f>
        <v/>
      </c>
      <c r="AJ1449">
        <f>IF(ISNUMBER((1+Z1449)*AJ1448),(1+Z1449)*AJ1448,AJ1448)</f>
        <v/>
      </c>
    </row>
    <row r="1450">
      <c r="A1450" s="1" t="n">
        <v>44105</v>
      </c>
      <c r="B1450" s="3">
        <f>IF(ORIG!B1450=0,"",ORIG!B1450)</f>
        <v/>
      </c>
      <c r="C1450" s="3">
        <f>IF(ORIG!C1450=0,"",ORIG!C1450)</f>
        <v/>
      </c>
      <c r="D1450" s="3">
        <f>IF(ORIG!D1450=0,"",ORIG!D1450)</f>
        <v/>
      </c>
      <c r="E1450" s="3">
        <f>IF(ORIG!E1450=0,"",ORIG!E1450)</f>
        <v/>
      </c>
      <c r="F1450" s="3">
        <f>IF(ORIG!F1450=0,"",ORIG!F1450)</f>
        <v/>
      </c>
      <c r="G1450" s="3">
        <f>IF(ORIG!G1450=0,"",ORIG!G1450)</f>
        <v/>
      </c>
      <c r="H1450" s="3">
        <f>IF(ORIG!H1450=0,"",ORIG!H1450)</f>
        <v/>
      </c>
      <c r="I1450" s="3">
        <f>IF(ORIG!I1450=0,"",ORIG!I1450)</f>
        <v/>
      </c>
      <c r="J1450" s="3">
        <f>IF(ORIG!J1450=0,"",ORIG!J1450)</f>
        <v/>
      </c>
      <c r="K1450" s="3">
        <f>IF(ORIG!K1450=0,"",ORIG!K1450)</f>
        <v/>
      </c>
      <c r="L1450" s="3">
        <f>IF(ORIG!L1450=0,"",ORIG!L1450)</f>
        <v/>
      </c>
      <c r="M1450" s="3">
        <f>IF(ORIG!M1450=0,"",ORIG!M1450)</f>
        <v/>
      </c>
      <c r="N1450" s="3">
        <f>IF(ORIG!N1450=0,"",ORIG!N1450)</f>
        <v/>
      </c>
      <c r="O1450" s="3">
        <f>IF(ORIG!O1450=0,"",ORIG!O1450)</f>
        <v/>
      </c>
      <c r="P1450" s="3">
        <f>IF(ORIG!P1450=0,"",ORIG!P1450)</f>
        <v/>
      </c>
      <c r="Q1450" s="3">
        <f>IF(ORIG!Q1450=0,"",ORIG!Q1450)</f>
        <v/>
      </c>
      <c r="R1450" s="3">
        <f>IF(ORIG!R1450=0,"",ORIG!R1450)</f>
        <v/>
      </c>
      <c r="S1450" s="3">
        <f>IF(ORIG!S1450=0,"",ORIG!S1450)</f>
        <v/>
      </c>
      <c r="T1450" s="3">
        <f>IF(ORIG!T1450=0,"",ORIG!T1450)</f>
        <v/>
      </c>
      <c r="U1450" s="3">
        <f>IF(ORIG!U1450=0,"",ORIG!U1450)</f>
        <v/>
      </c>
      <c r="V1450" s="9">
        <f>IF(ORIG!V1450=0,"",ORIG!V1450)</f>
        <v/>
      </c>
      <c r="W1450" s="9">
        <f>IF(ORIG!W1450=0,"",ORIG!W1450)</f>
        <v/>
      </c>
      <c r="X1450" s="9">
        <f>IF(ORIG!X1450=0,"",ORIG!X1450)</f>
        <v/>
      </c>
      <c r="Y1450" s="9">
        <f>IF(ORIG!Y1450=0,"",ORIG!Y1450)</f>
        <v/>
      </c>
      <c r="Z1450" s="3">
        <f>SUMPRODUCT($B1450:$Y1450,$B$2649:$Y$2649)</f>
        <v/>
      </c>
      <c r="AA1450" s="3">
        <f>SUMPRODUCT($B1450:$Y1450,$B$2655:$Y$2655)</f>
        <v/>
      </c>
      <c r="AC1450" s="1">
        <f>A1450</f>
        <v/>
      </c>
      <c r="AD1450">
        <f>IF(ISNUMBER(V1450),V1450*($AB$1/V$2635),"")</f>
        <v/>
      </c>
      <c r="AE1450">
        <f>IF(ISNUMBER(Z1450),Z1450*($AB$1/Z$2635),"")</f>
        <v/>
      </c>
      <c r="AF1450" s="25">
        <f>IF(ISNUMBER(AD1450+AE1450),AD1450+AE1450,"")</f>
        <v/>
      </c>
      <c r="AH1450" s="1">
        <f>A1450</f>
        <v/>
      </c>
      <c r="AI1450">
        <f>IF(ISNUMBER((1+V1450)*AI1449),(1+V1450)*AI1449,AI1449)</f>
        <v/>
      </c>
      <c r="AJ1450">
        <f>IF(ISNUMBER((1+Z1450)*AJ1449),(1+Z1450)*AJ1449,AJ1449)</f>
        <v/>
      </c>
    </row>
    <row r="1451">
      <c r="A1451" s="1" t="n">
        <v>44106</v>
      </c>
      <c r="B1451" s="3">
        <f>IF(ORIG!B1451=0,"",ORIG!B1451)</f>
        <v/>
      </c>
      <c r="C1451" s="3">
        <f>IF(ORIG!C1451=0,"",ORIG!C1451)</f>
        <v/>
      </c>
      <c r="D1451" s="3">
        <f>IF(ORIG!D1451=0,"",ORIG!D1451)</f>
        <v/>
      </c>
      <c r="E1451" s="3">
        <f>IF(ORIG!E1451=0,"",ORIG!E1451)</f>
        <v/>
      </c>
      <c r="F1451" s="3">
        <f>IF(ORIG!F1451=0,"",ORIG!F1451)</f>
        <v/>
      </c>
      <c r="G1451" s="3">
        <f>IF(ORIG!G1451=0,"",ORIG!G1451)</f>
        <v/>
      </c>
      <c r="H1451" s="3">
        <f>IF(ORIG!H1451=0,"",ORIG!H1451)</f>
        <v/>
      </c>
      <c r="I1451" s="3">
        <f>IF(ORIG!I1451=0,"",ORIG!I1451)</f>
        <v/>
      </c>
      <c r="J1451" s="3">
        <f>IF(ORIG!J1451=0,"",ORIG!J1451)</f>
        <v/>
      </c>
      <c r="K1451" s="3">
        <f>IF(ORIG!K1451=0,"",ORIG!K1451)</f>
        <v/>
      </c>
      <c r="L1451" s="3">
        <f>IF(ORIG!L1451=0,"",ORIG!L1451)</f>
        <v/>
      </c>
      <c r="M1451" s="3">
        <f>IF(ORIG!M1451=0,"",ORIG!M1451)</f>
        <v/>
      </c>
      <c r="N1451" s="3">
        <f>IF(ORIG!N1451=0,"",ORIG!N1451)</f>
        <v/>
      </c>
      <c r="O1451" s="3">
        <f>IF(ORIG!O1451=0,"",ORIG!O1451)</f>
        <v/>
      </c>
      <c r="P1451" s="3">
        <f>IF(ORIG!P1451=0,"",ORIG!P1451)</f>
        <v/>
      </c>
      <c r="Q1451" s="3">
        <f>IF(ORIG!Q1451=0,"",ORIG!Q1451)</f>
        <v/>
      </c>
      <c r="R1451" s="3">
        <f>IF(ORIG!R1451=0,"",ORIG!R1451)</f>
        <v/>
      </c>
      <c r="S1451" s="3">
        <f>IF(ORIG!S1451=0,"",ORIG!S1451)</f>
        <v/>
      </c>
      <c r="T1451" s="3">
        <f>IF(ORIG!T1451=0,"",ORIG!T1451)</f>
        <v/>
      </c>
      <c r="U1451" s="3">
        <f>IF(ORIG!U1451=0,"",ORIG!U1451)</f>
        <v/>
      </c>
      <c r="V1451" s="9">
        <f>IF(ORIG!V1451=0,"",ORIG!V1451)</f>
        <v/>
      </c>
      <c r="W1451" s="9">
        <f>IF(ORIG!W1451=0,"",ORIG!W1451)</f>
        <v/>
      </c>
      <c r="X1451" s="9">
        <f>IF(ORIG!X1451=0,"",ORIG!X1451)</f>
        <v/>
      </c>
      <c r="Y1451" s="9">
        <f>IF(ORIG!Y1451=0,"",ORIG!Y1451)</f>
        <v/>
      </c>
      <c r="Z1451" s="3">
        <f>SUMPRODUCT($B1451:$Y1451,$B$2649:$Y$2649)</f>
        <v/>
      </c>
      <c r="AA1451" s="3">
        <f>SUMPRODUCT($B1451:$Y1451,$B$2655:$Y$2655)</f>
        <v/>
      </c>
      <c r="AC1451" s="1">
        <f>A1451</f>
        <v/>
      </c>
      <c r="AD1451">
        <f>IF(ISNUMBER(V1451),V1451*($AB$1/V$2635),"")</f>
        <v/>
      </c>
      <c r="AE1451">
        <f>IF(ISNUMBER(Z1451),Z1451*($AB$1/Z$2635),"")</f>
        <v/>
      </c>
      <c r="AF1451" s="25">
        <f>IF(ISNUMBER(AD1451+AE1451),AD1451+AE1451,"")</f>
        <v/>
      </c>
      <c r="AH1451" s="1">
        <f>A1451</f>
        <v/>
      </c>
      <c r="AI1451">
        <f>IF(ISNUMBER((1+V1451)*AI1450),(1+V1451)*AI1450,AI1450)</f>
        <v/>
      </c>
      <c r="AJ1451">
        <f>IF(ISNUMBER((1+Z1451)*AJ1450),(1+Z1451)*AJ1450,AJ1450)</f>
        <v/>
      </c>
    </row>
    <row r="1452">
      <c r="A1452" s="1" t="n">
        <v>44109</v>
      </c>
      <c r="B1452" s="3">
        <f>IF(ORIG!B1452=0,"",ORIG!B1452)</f>
        <v/>
      </c>
      <c r="C1452" s="3">
        <f>IF(ORIG!C1452=0,"",ORIG!C1452)</f>
        <v/>
      </c>
      <c r="D1452" s="3">
        <f>IF(ORIG!D1452=0,"",ORIG!D1452)</f>
        <v/>
      </c>
      <c r="E1452" s="3">
        <f>IF(ORIG!E1452=0,"",ORIG!E1452)</f>
        <v/>
      </c>
      <c r="F1452" s="3">
        <f>IF(ORIG!F1452=0,"",ORIG!F1452)</f>
        <v/>
      </c>
      <c r="G1452" s="3">
        <f>IF(ORIG!G1452=0,"",ORIG!G1452)</f>
        <v/>
      </c>
      <c r="H1452" s="3">
        <f>IF(ORIG!H1452=0,"",ORIG!H1452)</f>
        <v/>
      </c>
      <c r="I1452" s="3">
        <f>IF(ORIG!I1452=0,"",ORIG!I1452)</f>
        <v/>
      </c>
      <c r="J1452" s="3">
        <f>IF(ORIG!J1452=0,"",ORIG!J1452)</f>
        <v/>
      </c>
      <c r="K1452" s="3">
        <f>IF(ORIG!K1452=0,"",ORIG!K1452)</f>
        <v/>
      </c>
      <c r="L1452" s="3">
        <f>IF(ORIG!L1452=0,"",ORIG!L1452)</f>
        <v/>
      </c>
      <c r="M1452" s="3">
        <f>IF(ORIG!M1452=0,"",ORIG!M1452)</f>
        <v/>
      </c>
      <c r="N1452" s="3">
        <f>IF(ORIG!N1452=0,"",ORIG!N1452)</f>
        <v/>
      </c>
      <c r="O1452" s="3">
        <f>IF(ORIG!O1452=0,"",ORIG!O1452)</f>
        <v/>
      </c>
      <c r="P1452" s="3">
        <f>IF(ORIG!P1452=0,"",ORIG!P1452)</f>
        <v/>
      </c>
      <c r="Q1452" s="3">
        <f>IF(ORIG!Q1452=0,"",ORIG!Q1452)</f>
        <v/>
      </c>
      <c r="R1452" s="3">
        <f>IF(ORIG!R1452=0,"",ORIG!R1452)</f>
        <v/>
      </c>
      <c r="S1452" s="3">
        <f>IF(ORIG!S1452=0,"",ORIG!S1452)</f>
        <v/>
      </c>
      <c r="T1452" s="3">
        <f>IF(ORIG!T1452=0,"",ORIG!T1452)</f>
        <v/>
      </c>
      <c r="U1452" s="3">
        <f>IF(ORIG!U1452=0,"",ORIG!U1452)</f>
        <v/>
      </c>
      <c r="V1452" s="9">
        <f>IF(ORIG!V1452=0,"",ORIG!V1452)</f>
        <v/>
      </c>
      <c r="W1452" s="9">
        <f>IF(ORIG!W1452=0,"",ORIG!W1452)</f>
        <v/>
      </c>
      <c r="X1452" s="9">
        <f>IF(ORIG!X1452=0,"",ORIG!X1452)</f>
        <v/>
      </c>
      <c r="Y1452" s="9">
        <f>IF(ORIG!Y1452=0,"",ORIG!Y1452)</f>
        <v/>
      </c>
      <c r="Z1452" s="3">
        <f>SUMPRODUCT($B1452:$Y1452,$B$2649:$Y$2649)</f>
        <v/>
      </c>
      <c r="AA1452" s="3">
        <f>SUMPRODUCT($B1452:$Y1452,$B$2655:$Y$2655)</f>
        <v/>
      </c>
      <c r="AC1452" s="1">
        <f>A1452</f>
        <v/>
      </c>
      <c r="AD1452">
        <f>IF(ISNUMBER(V1452),V1452*($AB$1/V$2635),"")</f>
        <v/>
      </c>
      <c r="AE1452">
        <f>IF(ISNUMBER(Z1452),Z1452*($AB$1/Z$2635),"")</f>
        <v/>
      </c>
      <c r="AF1452" s="25">
        <f>IF(ISNUMBER(AD1452+AE1452),AD1452+AE1452,"")</f>
        <v/>
      </c>
      <c r="AH1452" s="1">
        <f>A1452</f>
        <v/>
      </c>
      <c r="AI1452">
        <f>IF(ISNUMBER((1+V1452)*AI1451),(1+V1452)*AI1451,AI1451)</f>
        <v/>
      </c>
      <c r="AJ1452">
        <f>IF(ISNUMBER((1+Z1452)*AJ1451),(1+Z1452)*AJ1451,AJ1451)</f>
        <v/>
      </c>
    </row>
    <row r="1453">
      <c r="A1453" s="1" t="n">
        <v>44110</v>
      </c>
      <c r="B1453" s="3">
        <f>IF(ORIG!B1453=0,"",ORIG!B1453)</f>
        <v/>
      </c>
      <c r="C1453" s="3">
        <f>IF(ORIG!C1453=0,"",ORIG!C1453)</f>
        <v/>
      </c>
      <c r="D1453" s="3">
        <f>IF(ORIG!D1453=0,"",ORIG!D1453)</f>
        <v/>
      </c>
      <c r="E1453" s="3">
        <f>IF(ORIG!E1453=0,"",ORIG!E1453)</f>
        <v/>
      </c>
      <c r="F1453" s="3">
        <f>IF(ORIG!F1453=0,"",ORIG!F1453)</f>
        <v/>
      </c>
      <c r="G1453" s="3">
        <f>IF(ORIG!G1453=0,"",ORIG!G1453)</f>
        <v/>
      </c>
      <c r="H1453" s="3">
        <f>IF(ORIG!H1453=0,"",ORIG!H1453)</f>
        <v/>
      </c>
      <c r="I1453" s="3">
        <f>IF(ORIG!I1453=0,"",ORIG!I1453)</f>
        <v/>
      </c>
      <c r="J1453" s="3">
        <f>IF(ORIG!J1453=0,"",ORIG!J1453)</f>
        <v/>
      </c>
      <c r="K1453" s="3">
        <f>IF(ORIG!K1453=0,"",ORIG!K1453)</f>
        <v/>
      </c>
      <c r="L1453" s="3">
        <f>IF(ORIG!L1453=0,"",ORIG!L1453)</f>
        <v/>
      </c>
      <c r="M1453" s="3">
        <f>IF(ORIG!M1453=0,"",ORIG!M1453)</f>
        <v/>
      </c>
      <c r="N1453" s="3">
        <f>IF(ORIG!N1453=0,"",ORIG!N1453)</f>
        <v/>
      </c>
      <c r="O1453" s="3">
        <f>IF(ORIG!O1453=0,"",ORIG!O1453)</f>
        <v/>
      </c>
      <c r="P1453" s="3">
        <f>IF(ORIG!P1453=0,"",ORIG!P1453)</f>
        <v/>
      </c>
      <c r="Q1453" s="3">
        <f>IF(ORIG!Q1453=0,"",ORIG!Q1453)</f>
        <v/>
      </c>
      <c r="R1453" s="3">
        <f>IF(ORIG!R1453=0,"",ORIG!R1453)</f>
        <v/>
      </c>
      <c r="S1453" s="3">
        <f>IF(ORIG!S1453=0,"",ORIG!S1453)</f>
        <v/>
      </c>
      <c r="T1453" s="3">
        <f>IF(ORIG!T1453=0,"",ORIG!T1453)</f>
        <v/>
      </c>
      <c r="U1453" s="3">
        <f>IF(ORIG!U1453=0,"",ORIG!U1453)</f>
        <v/>
      </c>
      <c r="V1453" s="9">
        <f>IF(ORIG!V1453=0,"",ORIG!V1453)</f>
        <v/>
      </c>
      <c r="W1453" s="9">
        <f>IF(ORIG!W1453=0,"",ORIG!W1453)</f>
        <v/>
      </c>
      <c r="X1453" s="9">
        <f>IF(ORIG!X1453=0,"",ORIG!X1453)</f>
        <v/>
      </c>
      <c r="Y1453" s="9">
        <f>IF(ORIG!Y1453=0,"",ORIG!Y1453)</f>
        <v/>
      </c>
      <c r="Z1453" s="3">
        <f>SUMPRODUCT($B1453:$Y1453,$B$2649:$Y$2649)</f>
        <v/>
      </c>
      <c r="AA1453" s="3">
        <f>SUMPRODUCT($B1453:$Y1453,$B$2655:$Y$2655)</f>
        <v/>
      </c>
      <c r="AC1453" s="1">
        <f>A1453</f>
        <v/>
      </c>
      <c r="AD1453">
        <f>IF(ISNUMBER(V1453),V1453*($AB$1/V$2635),"")</f>
        <v/>
      </c>
      <c r="AE1453">
        <f>IF(ISNUMBER(Z1453),Z1453*($AB$1/Z$2635),"")</f>
        <v/>
      </c>
      <c r="AF1453" s="25">
        <f>IF(ISNUMBER(AD1453+AE1453),AD1453+AE1453,"")</f>
        <v/>
      </c>
      <c r="AH1453" s="1">
        <f>A1453</f>
        <v/>
      </c>
      <c r="AI1453">
        <f>IF(ISNUMBER((1+V1453)*AI1452),(1+V1453)*AI1452,AI1452)</f>
        <v/>
      </c>
      <c r="AJ1453">
        <f>IF(ISNUMBER((1+Z1453)*AJ1452),(1+Z1453)*AJ1452,AJ1452)</f>
        <v/>
      </c>
    </row>
    <row r="1454">
      <c r="A1454" s="1" t="n">
        <v>44111</v>
      </c>
      <c r="B1454" s="3">
        <f>IF(ORIG!B1454=0,"",ORIG!B1454)</f>
        <v/>
      </c>
      <c r="C1454" s="3">
        <f>IF(ORIG!C1454=0,"",ORIG!C1454)</f>
        <v/>
      </c>
      <c r="D1454" s="3">
        <f>IF(ORIG!D1454=0,"",ORIG!D1454)</f>
        <v/>
      </c>
      <c r="E1454" s="3">
        <f>IF(ORIG!E1454=0,"",ORIG!E1454)</f>
        <v/>
      </c>
      <c r="F1454" s="3">
        <f>IF(ORIG!F1454=0,"",ORIG!F1454)</f>
        <v/>
      </c>
      <c r="G1454" s="3">
        <f>IF(ORIG!G1454=0,"",ORIG!G1454)</f>
        <v/>
      </c>
      <c r="H1454" s="3">
        <f>IF(ORIG!H1454=0,"",ORIG!H1454)</f>
        <v/>
      </c>
      <c r="I1454" s="3">
        <f>IF(ORIG!I1454=0,"",ORIG!I1454)</f>
        <v/>
      </c>
      <c r="J1454" s="3">
        <f>IF(ORIG!J1454=0,"",ORIG!J1454)</f>
        <v/>
      </c>
      <c r="K1454" s="3">
        <f>IF(ORIG!K1454=0,"",ORIG!K1454)</f>
        <v/>
      </c>
      <c r="L1454" s="3">
        <f>IF(ORIG!L1454=0,"",ORIG!L1454)</f>
        <v/>
      </c>
      <c r="M1454" s="3">
        <f>IF(ORIG!M1454=0,"",ORIG!M1454)</f>
        <v/>
      </c>
      <c r="N1454" s="3">
        <f>IF(ORIG!N1454=0,"",ORIG!N1454)</f>
        <v/>
      </c>
      <c r="O1454" s="3">
        <f>IF(ORIG!O1454=0,"",ORIG!O1454)</f>
        <v/>
      </c>
      <c r="P1454" s="3">
        <f>IF(ORIG!P1454=0,"",ORIG!P1454)</f>
        <v/>
      </c>
      <c r="Q1454" s="3">
        <f>IF(ORIG!Q1454=0,"",ORIG!Q1454)</f>
        <v/>
      </c>
      <c r="R1454" s="3">
        <f>IF(ORIG!R1454=0,"",ORIG!R1454)</f>
        <v/>
      </c>
      <c r="S1454" s="3">
        <f>IF(ORIG!S1454=0,"",ORIG!S1454)</f>
        <v/>
      </c>
      <c r="T1454" s="3">
        <f>IF(ORIG!T1454=0,"",ORIG!T1454)</f>
        <v/>
      </c>
      <c r="U1454" s="3">
        <f>IF(ORIG!U1454=0,"",ORIG!U1454)</f>
        <v/>
      </c>
      <c r="V1454" s="9">
        <f>IF(ORIG!V1454=0,"",ORIG!V1454)</f>
        <v/>
      </c>
      <c r="W1454" s="9">
        <f>IF(ORIG!W1454=0,"",ORIG!W1454)</f>
        <v/>
      </c>
      <c r="X1454" s="9">
        <f>IF(ORIG!X1454=0,"",ORIG!X1454)</f>
        <v/>
      </c>
      <c r="Y1454" s="9">
        <f>IF(ORIG!Y1454=0,"",ORIG!Y1454)</f>
        <v/>
      </c>
      <c r="Z1454" s="3">
        <f>SUMPRODUCT($B1454:$Y1454,$B$2649:$Y$2649)</f>
        <v/>
      </c>
      <c r="AA1454" s="3">
        <f>SUMPRODUCT($B1454:$Y1454,$B$2655:$Y$2655)</f>
        <v/>
      </c>
      <c r="AC1454" s="1">
        <f>A1454</f>
        <v/>
      </c>
      <c r="AD1454">
        <f>IF(ISNUMBER(V1454),V1454*($AB$1/V$2635),"")</f>
        <v/>
      </c>
      <c r="AE1454">
        <f>IF(ISNUMBER(Z1454),Z1454*($AB$1/Z$2635),"")</f>
        <v/>
      </c>
      <c r="AF1454" s="25">
        <f>IF(ISNUMBER(AD1454+AE1454),AD1454+AE1454,"")</f>
        <v/>
      </c>
      <c r="AH1454" s="1">
        <f>A1454</f>
        <v/>
      </c>
      <c r="AI1454">
        <f>IF(ISNUMBER((1+V1454)*AI1453),(1+V1454)*AI1453,AI1453)</f>
        <v/>
      </c>
      <c r="AJ1454">
        <f>IF(ISNUMBER((1+Z1454)*AJ1453),(1+Z1454)*AJ1453,AJ1453)</f>
        <v/>
      </c>
    </row>
    <row r="1455">
      <c r="A1455" s="1" t="n">
        <v>44112</v>
      </c>
      <c r="B1455" s="3">
        <f>IF(ORIG!B1455=0,"",ORIG!B1455)</f>
        <v/>
      </c>
      <c r="C1455" s="3">
        <f>IF(ORIG!C1455=0,"",ORIG!C1455)</f>
        <v/>
      </c>
      <c r="D1455" s="3">
        <f>IF(ORIG!D1455=0,"",ORIG!D1455)</f>
        <v/>
      </c>
      <c r="E1455" s="3">
        <f>IF(ORIG!E1455=0,"",ORIG!E1455)</f>
        <v/>
      </c>
      <c r="F1455" s="3">
        <f>IF(ORIG!F1455=0,"",ORIG!F1455)</f>
        <v/>
      </c>
      <c r="G1455" s="3">
        <f>IF(ORIG!G1455=0,"",ORIG!G1455)</f>
        <v/>
      </c>
      <c r="H1455" s="3">
        <f>IF(ORIG!H1455=0,"",ORIG!H1455)</f>
        <v/>
      </c>
      <c r="I1455" s="3">
        <f>IF(ORIG!I1455=0,"",ORIG!I1455)</f>
        <v/>
      </c>
      <c r="J1455" s="3">
        <f>IF(ORIG!J1455=0,"",ORIG!J1455)</f>
        <v/>
      </c>
      <c r="K1455" s="3">
        <f>IF(ORIG!K1455=0,"",ORIG!K1455)</f>
        <v/>
      </c>
      <c r="L1455" s="3">
        <f>IF(ORIG!L1455=0,"",ORIG!L1455)</f>
        <v/>
      </c>
      <c r="M1455" s="3">
        <f>IF(ORIG!M1455=0,"",ORIG!M1455)</f>
        <v/>
      </c>
      <c r="N1455" s="3">
        <f>IF(ORIG!N1455=0,"",ORIG!N1455)</f>
        <v/>
      </c>
      <c r="O1455" s="3">
        <f>IF(ORIG!O1455=0,"",ORIG!O1455)</f>
        <v/>
      </c>
      <c r="P1455" s="3">
        <f>IF(ORIG!P1455=0,"",ORIG!P1455)</f>
        <v/>
      </c>
      <c r="Q1455" s="3">
        <f>IF(ORIG!Q1455=0,"",ORIG!Q1455)</f>
        <v/>
      </c>
      <c r="R1455" s="3">
        <f>IF(ORIG!R1455=0,"",ORIG!R1455)</f>
        <v/>
      </c>
      <c r="S1455" s="3">
        <f>IF(ORIG!S1455=0,"",ORIG!S1455)</f>
        <v/>
      </c>
      <c r="T1455" s="3">
        <f>IF(ORIG!T1455=0,"",ORIG!T1455)</f>
        <v/>
      </c>
      <c r="U1455" s="3">
        <f>IF(ORIG!U1455=0,"",ORIG!U1455)</f>
        <v/>
      </c>
      <c r="V1455" s="9">
        <f>IF(ORIG!V1455=0,"",ORIG!V1455)</f>
        <v/>
      </c>
      <c r="W1455" s="9">
        <f>IF(ORIG!W1455=0,"",ORIG!W1455)</f>
        <v/>
      </c>
      <c r="X1455" s="9">
        <f>IF(ORIG!X1455=0,"",ORIG!X1455)</f>
        <v/>
      </c>
      <c r="Y1455" s="9">
        <f>IF(ORIG!Y1455=0,"",ORIG!Y1455)</f>
        <v/>
      </c>
      <c r="Z1455" s="3">
        <f>SUMPRODUCT($B1455:$Y1455,$B$2649:$Y$2649)</f>
        <v/>
      </c>
      <c r="AA1455" s="3">
        <f>SUMPRODUCT($B1455:$Y1455,$B$2655:$Y$2655)</f>
        <v/>
      </c>
      <c r="AC1455" s="1">
        <f>A1455</f>
        <v/>
      </c>
      <c r="AD1455">
        <f>IF(ISNUMBER(V1455),V1455*($AB$1/V$2635),"")</f>
        <v/>
      </c>
      <c r="AE1455">
        <f>IF(ISNUMBER(Z1455),Z1455*($AB$1/Z$2635),"")</f>
        <v/>
      </c>
      <c r="AF1455" s="25">
        <f>IF(ISNUMBER(AD1455+AE1455),AD1455+AE1455,"")</f>
        <v/>
      </c>
      <c r="AH1455" s="1">
        <f>A1455</f>
        <v/>
      </c>
      <c r="AI1455">
        <f>IF(ISNUMBER((1+V1455)*AI1454),(1+V1455)*AI1454,AI1454)</f>
        <v/>
      </c>
      <c r="AJ1455">
        <f>IF(ISNUMBER((1+Z1455)*AJ1454),(1+Z1455)*AJ1454,AJ1454)</f>
        <v/>
      </c>
    </row>
    <row r="1456">
      <c r="A1456" s="1" t="n">
        <v>44113</v>
      </c>
      <c r="B1456" s="3">
        <f>IF(ORIG!B1456=0,"",ORIG!B1456)</f>
        <v/>
      </c>
      <c r="C1456" s="3">
        <f>IF(ORIG!C1456=0,"",ORIG!C1456)</f>
        <v/>
      </c>
      <c r="D1456" s="3">
        <f>IF(ORIG!D1456=0,"",ORIG!D1456)</f>
        <v/>
      </c>
      <c r="E1456" s="3">
        <f>IF(ORIG!E1456=0,"",ORIG!E1456)</f>
        <v/>
      </c>
      <c r="F1456" s="3">
        <f>IF(ORIG!F1456=0,"",ORIG!F1456)</f>
        <v/>
      </c>
      <c r="G1456" s="3">
        <f>IF(ORIG!G1456=0,"",ORIG!G1456)</f>
        <v/>
      </c>
      <c r="H1456" s="3">
        <f>IF(ORIG!H1456=0,"",ORIG!H1456)</f>
        <v/>
      </c>
      <c r="I1456" s="3">
        <f>IF(ORIG!I1456=0,"",ORIG!I1456)</f>
        <v/>
      </c>
      <c r="J1456" s="3">
        <f>IF(ORIG!J1456=0,"",ORIG!J1456)</f>
        <v/>
      </c>
      <c r="K1456" s="3">
        <f>IF(ORIG!K1456=0,"",ORIG!K1456)</f>
        <v/>
      </c>
      <c r="L1456" s="3">
        <f>IF(ORIG!L1456=0,"",ORIG!L1456)</f>
        <v/>
      </c>
      <c r="M1456" s="3">
        <f>IF(ORIG!M1456=0,"",ORIG!M1456)</f>
        <v/>
      </c>
      <c r="N1456" s="3">
        <f>IF(ORIG!N1456=0,"",ORIG!N1456)</f>
        <v/>
      </c>
      <c r="O1456" s="3">
        <f>IF(ORIG!O1456=0,"",ORIG!O1456)</f>
        <v/>
      </c>
      <c r="P1456" s="3">
        <f>IF(ORIG!P1456=0,"",ORIG!P1456)</f>
        <v/>
      </c>
      <c r="Q1456" s="3">
        <f>IF(ORIG!Q1456=0,"",ORIG!Q1456)</f>
        <v/>
      </c>
      <c r="R1456" s="3">
        <f>IF(ORIG!R1456=0,"",ORIG!R1456)</f>
        <v/>
      </c>
      <c r="S1456" s="3">
        <f>IF(ORIG!S1456=0,"",ORIG!S1456)</f>
        <v/>
      </c>
      <c r="T1456" s="3">
        <f>IF(ORIG!T1456=0,"",ORIG!T1456)</f>
        <v/>
      </c>
      <c r="U1456" s="3">
        <f>IF(ORIG!U1456=0,"",ORIG!U1456)</f>
        <v/>
      </c>
      <c r="V1456" s="9">
        <f>IF(ORIG!V1456=0,"",ORIG!V1456)</f>
        <v/>
      </c>
      <c r="W1456" s="9">
        <f>IF(ORIG!W1456=0,"",ORIG!W1456)</f>
        <v/>
      </c>
      <c r="X1456" s="9">
        <f>IF(ORIG!X1456=0,"",ORIG!X1456)</f>
        <v/>
      </c>
      <c r="Y1456" s="9">
        <f>IF(ORIG!Y1456=0,"",ORIG!Y1456)</f>
        <v/>
      </c>
      <c r="Z1456" s="3">
        <f>SUMPRODUCT($B1456:$Y1456,$B$2649:$Y$2649)</f>
        <v/>
      </c>
      <c r="AA1456" s="3">
        <f>SUMPRODUCT($B1456:$Y1456,$B$2655:$Y$2655)</f>
        <v/>
      </c>
      <c r="AC1456" s="1">
        <f>A1456</f>
        <v/>
      </c>
      <c r="AD1456">
        <f>IF(ISNUMBER(V1456),V1456*($AB$1/V$2635),"")</f>
        <v/>
      </c>
      <c r="AE1456">
        <f>IF(ISNUMBER(Z1456),Z1456*($AB$1/Z$2635),"")</f>
        <v/>
      </c>
      <c r="AF1456" s="25">
        <f>IF(ISNUMBER(AD1456+AE1456),AD1456+AE1456,"")</f>
        <v/>
      </c>
      <c r="AH1456" s="1">
        <f>A1456</f>
        <v/>
      </c>
      <c r="AI1456">
        <f>IF(ISNUMBER((1+V1456)*AI1455),(1+V1456)*AI1455,AI1455)</f>
        <v/>
      </c>
      <c r="AJ1456">
        <f>IF(ISNUMBER((1+Z1456)*AJ1455),(1+Z1456)*AJ1455,AJ1455)</f>
        <v/>
      </c>
    </row>
    <row r="1457">
      <c r="A1457" s="1" t="n">
        <v>44116</v>
      </c>
      <c r="B1457" s="3">
        <f>IF(ORIG!B1457=0,"",ORIG!B1457)</f>
        <v/>
      </c>
      <c r="C1457" s="3">
        <f>IF(ORIG!C1457=0,"",ORIG!C1457)</f>
        <v/>
      </c>
      <c r="D1457" s="3">
        <f>IF(ORIG!D1457=0,"",ORIG!D1457)</f>
        <v/>
      </c>
      <c r="E1457" s="3">
        <f>IF(ORIG!E1457=0,"",ORIG!E1457)</f>
        <v/>
      </c>
      <c r="F1457" s="3">
        <f>IF(ORIG!F1457=0,"",ORIG!F1457)</f>
        <v/>
      </c>
      <c r="G1457" s="3">
        <f>IF(ORIG!G1457=0,"",ORIG!G1457)</f>
        <v/>
      </c>
      <c r="H1457" s="3">
        <f>IF(ORIG!H1457=0,"",ORIG!H1457)</f>
        <v/>
      </c>
      <c r="I1457" s="3">
        <f>IF(ORIG!I1457=0,"",ORIG!I1457)</f>
        <v/>
      </c>
      <c r="J1457" s="3">
        <f>IF(ORIG!J1457=0,"",ORIG!J1457)</f>
        <v/>
      </c>
      <c r="K1457" s="3">
        <f>IF(ORIG!K1457=0,"",ORIG!K1457)</f>
        <v/>
      </c>
      <c r="L1457" s="3">
        <f>IF(ORIG!L1457=0,"",ORIG!L1457)</f>
        <v/>
      </c>
      <c r="M1457" s="3">
        <f>IF(ORIG!M1457=0,"",ORIG!M1457)</f>
        <v/>
      </c>
      <c r="N1457" s="3">
        <f>IF(ORIG!N1457=0,"",ORIG!N1457)</f>
        <v/>
      </c>
      <c r="O1457" s="3">
        <f>IF(ORIG!O1457=0,"",ORIG!O1457)</f>
        <v/>
      </c>
      <c r="P1457" s="3">
        <f>IF(ORIG!P1457=0,"",ORIG!P1457)</f>
        <v/>
      </c>
      <c r="Q1457" s="3">
        <f>IF(ORIG!Q1457=0,"",ORIG!Q1457)</f>
        <v/>
      </c>
      <c r="R1457" s="3">
        <f>IF(ORIG!R1457=0,"",ORIG!R1457)</f>
        <v/>
      </c>
      <c r="S1457" s="3">
        <f>IF(ORIG!S1457=0,"",ORIG!S1457)</f>
        <v/>
      </c>
      <c r="T1457" s="3">
        <f>IF(ORIG!T1457=0,"",ORIG!T1457)</f>
        <v/>
      </c>
      <c r="U1457" s="3">
        <f>IF(ORIG!U1457=0,"",ORIG!U1457)</f>
        <v/>
      </c>
      <c r="V1457" s="9">
        <f>IF(ORIG!V1457=0,"",ORIG!V1457)</f>
        <v/>
      </c>
      <c r="W1457" s="9">
        <f>IF(ORIG!W1457=0,"",ORIG!W1457)</f>
        <v/>
      </c>
      <c r="X1457" s="9">
        <f>IF(ORIG!X1457=0,"",ORIG!X1457)</f>
        <v/>
      </c>
      <c r="Y1457" s="9">
        <f>IF(ORIG!Y1457=0,"",ORIG!Y1457)</f>
        <v/>
      </c>
      <c r="Z1457" s="3">
        <f>SUMPRODUCT($B1457:$Y1457,$B$2649:$Y$2649)</f>
        <v/>
      </c>
      <c r="AA1457" s="3">
        <f>SUMPRODUCT($B1457:$Y1457,$B$2655:$Y$2655)</f>
        <v/>
      </c>
      <c r="AC1457" s="1">
        <f>A1457</f>
        <v/>
      </c>
      <c r="AD1457">
        <f>IF(ISNUMBER(V1457),V1457*($AB$1/V$2635),"")</f>
        <v/>
      </c>
      <c r="AE1457">
        <f>IF(ISNUMBER(Z1457),Z1457*($AB$1/Z$2635),"")</f>
        <v/>
      </c>
      <c r="AF1457" s="25">
        <f>IF(ISNUMBER(AD1457+AE1457),AD1457+AE1457,"")</f>
        <v/>
      </c>
      <c r="AH1457" s="1">
        <f>A1457</f>
        <v/>
      </c>
      <c r="AI1457">
        <f>IF(ISNUMBER((1+V1457)*AI1456),(1+V1457)*AI1456,AI1456)</f>
        <v/>
      </c>
      <c r="AJ1457">
        <f>IF(ISNUMBER((1+Z1457)*AJ1456),(1+Z1457)*AJ1456,AJ1456)</f>
        <v/>
      </c>
    </row>
    <row r="1458">
      <c r="A1458" s="1" t="n">
        <v>44117</v>
      </c>
      <c r="B1458" s="3">
        <f>IF(ORIG!B1458=0,"",ORIG!B1458)</f>
        <v/>
      </c>
      <c r="C1458" s="3">
        <f>IF(ORIG!C1458=0,"",ORIG!C1458)</f>
        <v/>
      </c>
      <c r="D1458" s="3">
        <f>IF(ORIG!D1458=0,"",ORIG!D1458)</f>
        <v/>
      </c>
      <c r="E1458" s="3">
        <f>IF(ORIG!E1458=0,"",ORIG!E1458)</f>
        <v/>
      </c>
      <c r="F1458" s="3">
        <f>IF(ORIG!F1458=0,"",ORIG!F1458)</f>
        <v/>
      </c>
      <c r="G1458" s="3">
        <f>IF(ORIG!G1458=0,"",ORIG!G1458)</f>
        <v/>
      </c>
      <c r="H1458" s="3">
        <f>IF(ORIG!H1458=0,"",ORIG!H1458)</f>
        <v/>
      </c>
      <c r="I1458" s="3">
        <f>IF(ORIG!I1458=0,"",ORIG!I1458)</f>
        <v/>
      </c>
      <c r="J1458" s="3">
        <f>IF(ORIG!J1458=0,"",ORIG!J1458)</f>
        <v/>
      </c>
      <c r="K1458" s="3">
        <f>IF(ORIG!K1458=0,"",ORIG!K1458)</f>
        <v/>
      </c>
      <c r="L1458" s="3">
        <f>IF(ORIG!L1458=0,"",ORIG!L1458)</f>
        <v/>
      </c>
      <c r="M1458" s="3">
        <f>IF(ORIG!M1458=0,"",ORIG!M1458)</f>
        <v/>
      </c>
      <c r="N1458" s="3">
        <f>IF(ORIG!N1458=0,"",ORIG!N1458)</f>
        <v/>
      </c>
      <c r="O1458" s="3">
        <f>IF(ORIG!O1458=0,"",ORIG!O1458)</f>
        <v/>
      </c>
      <c r="P1458" s="3">
        <f>IF(ORIG!P1458=0,"",ORIG!P1458)</f>
        <v/>
      </c>
      <c r="Q1458" s="3">
        <f>IF(ORIG!Q1458=0,"",ORIG!Q1458)</f>
        <v/>
      </c>
      <c r="R1458" s="3">
        <f>IF(ORIG!R1458=0,"",ORIG!R1458)</f>
        <v/>
      </c>
      <c r="S1458" s="3">
        <f>IF(ORIG!S1458=0,"",ORIG!S1458)</f>
        <v/>
      </c>
      <c r="T1458" s="3">
        <f>IF(ORIG!T1458=0,"",ORIG!T1458)</f>
        <v/>
      </c>
      <c r="U1458" s="3">
        <f>IF(ORIG!U1458=0,"",ORIG!U1458)</f>
        <v/>
      </c>
      <c r="V1458" s="9">
        <f>IF(ORIG!V1458=0,"",ORIG!V1458)</f>
        <v/>
      </c>
      <c r="W1458" s="9">
        <f>IF(ORIG!W1458=0,"",ORIG!W1458)</f>
        <v/>
      </c>
      <c r="X1458" s="9">
        <f>IF(ORIG!X1458=0,"",ORIG!X1458)</f>
        <v/>
      </c>
      <c r="Y1458" s="9">
        <f>IF(ORIG!Y1458=0,"",ORIG!Y1458)</f>
        <v/>
      </c>
      <c r="Z1458" s="3">
        <f>SUMPRODUCT($B1458:$Y1458,$B$2649:$Y$2649)</f>
        <v/>
      </c>
      <c r="AA1458" s="3">
        <f>SUMPRODUCT($B1458:$Y1458,$B$2655:$Y$2655)</f>
        <v/>
      </c>
      <c r="AC1458" s="1">
        <f>A1458</f>
        <v/>
      </c>
      <c r="AD1458">
        <f>IF(ISNUMBER(V1458),V1458*($AB$1/V$2635),"")</f>
        <v/>
      </c>
      <c r="AE1458">
        <f>IF(ISNUMBER(Z1458),Z1458*($AB$1/Z$2635),"")</f>
        <v/>
      </c>
      <c r="AF1458" s="25">
        <f>IF(ISNUMBER(AD1458+AE1458),AD1458+AE1458,"")</f>
        <v/>
      </c>
      <c r="AH1458" s="1">
        <f>A1458</f>
        <v/>
      </c>
      <c r="AI1458">
        <f>IF(ISNUMBER((1+V1458)*AI1457),(1+V1458)*AI1457,AI1457)</f>
        <v/>
      </c>
      <c r="AJ1458">
        <f>IF(ISNUMBER((1+Z1458)*AJ1457),(1+Z1458)*AJ1457,AJ1457)</f>
        <v/>
      </c>
    </row>
    <row r="1459">
      <c r="A1459" s="1" t="n">
        <v>44118</v>
      </c>
      <c r="B1459" s="3">
        <f>IF(ORIG!B1459=0,"",ORIG!B1459)</f>
        <v/>
      </c>
      <c r="C1459" s="3">
        <f>IF(ORIG!C1459=0,"",ORIG!C1459)</f>
        <v/>
      </c>
      <c r="D1459" s="3">
        <f>IF(ORIG!D1459=0,"",ORIG!D1459)</f>
        <v/>
      </c>
      <c r="E1459" s="3">
        <f>IF(ORIG!E1459=0,"",ORIG!E1459)</f>
        <v/>
      </c>
      <c r="F1459" s="3">
        <f>IF(ORIG!F1459=0,"",ORIG!F1459)</f>
        <v/>
      </c>
      <c r="G1459" s="3">
        <f>IF(ORIG!G1459=0,"",ORIG!G1459)</f>
        <v/>
      </c>
      <c r="H1459" s="3">
        <f>IF(ORIG!H1459=0,"",ORIG!H1459)</f>
        <v/>
      </c>
      <c r="I1459" s="3">
        <f>IF(ORIG!I1459=0,"",ORIG!I1459)</f>
        <v/>
      </c>
      <c r="J1459" s="3">
        <f>IF(ORIG!J1459=0,"",ORIG!J1459)</f>
        <v/>
      </c>
      <c r="K1459" s="3">
        <f>IF(ORIG!K1459=0,"",ORIG!K1459)</f>
        <v/>
      </c>
      <c r="L1459" s="3">
        <f>IF(ORIG!L1459=0,"",ORIG!L1459)</f>
        <v/>
      </c>
      <c r="M1459" s="3">
        <f>IF(ORIG!M1459=0,"",ORIG!M1459)</f>
        <v/>
      </c>
      <c r="N1459" s="3">
        <f>IF(ORIG!N1459=0,"",ORIG!N1459)</f>
        <v/>
      </c>
      <c r="O1459" s="3">
        <f>IF(ORIG!O1459=0,"",ORIG!O1459)</f>
        <v/>
      </c>
      <c r="P1459" s="3">
        <f>IF(ORIG!P1459=0,"",ORIG!P1459)</f>
        <v/>
      </c>
      <c r="Q1459" s="3">
        <f>IF(ORIG!Q1459=0,"",ORIG!Q1459)</f>
        <v/>
      </c>
      <c r="R1459" s="3">
        <f>IF(ORIG!R1459=0,"",ORIG!R1459)</f>
        <v/>
      </c>
      <c r="S1459" s="3">
        <f>IF(ORIG!S1459=0,"",ORIG!S1459)</f>
        <v/>
      </c>
      <c r="T1459" s="3">
        <f>IF(ORIG!T1459=0,"",ORIG!T1459)</f>
        <v/>
      </c>
      <c r="U1459" s="3">
        <f>IF(ORIG!U1459=0,"",ORIG!U1459)</f>
        <v/>
      </c>
      <c r="V1459" s="9">
        <f>IF(ORIG!V1459=0,"",ORIG!V1459)</f>
        <v/>
      </c>
      <c r="W1459" s="9">
        <f>IF(ORIG!W1459=0,"",ORIG!W1459)</f>
        <v/>
      </c>
      <c r="X1459" s="9">
        <f>IF(ORIG!X1459=0,"",ORIG!X1459)</f>
        <v/>
      </c>
      <c r="Y1459" s="9">
        <f>IF(ORIG!Y1459=0,"",ORIG!Y1459)</f>
        <v/>
      </c>
      <c r="Z1459" s="3">
        <f>SUMPRODUCT($B1459:$Y1459,$B$2649:$Y$2649)</f>
        <v/>
      </c>
      <c r="AA1459" s="3">
        <f>SUMPRODUCT($B1459:$Y1459,$B$2655:$Y$2655)</f>
        <v/>
      </c>
      <c r="AC1459" s="1">
        <f>A1459</f>
        <v/>
      </c>
      <c r="AD1459">
        <f>IF(ISNUMBER(V1459),V1459*($AB$1/V$2635),"")</f>
        <v/>
      </c>
      <c r="AE1459">
        <f>IF(ISNUMBER(Z1459),Z1459*($AB$1/Z$2635),"")</f>
        <v/>
      </c>
      <c r="AF1459" s="25">
        <f>IF(ISNUMBER(AD1459+AE1459),AD1459+AE1459,"")</f>
        <v/>
      </c>
      <c r="AH1459" s="1">
        <f>A1459</f>
        <v/>
      </c>
      <c r="AI1459">
        <f>IF(ISNUMBER((1+V1459)*AI1458),(1+V1459)*AI1458,AI1458)</f>
        <v/>
      </c>
      <c r="AJ1459">
        <f>IF(ISNUMBER((1+Z1459)*AJ1458),(1+Z1459)*AJ1458,AJ1458)</f>
        <v/>
      </c>
    </row>
    <row r="1460">
      <c r="A1460" s="1" t="n">
        <v>44119</v>
      </c>
      <c r="B1460" s="3">
        <f>IF(ORIG!B1460=0,"",ORIG!B1460)</f>
        <v/>
      </c>
      <c r="C1460" s="3">
        <f>IF(ORIG!C1460=0,"",ORIG!C1460)</f>
        <v/>
      </c>
      <c r="D1460" s="3">
        <f>IF(ORIG!D1460=0,"",ORIG!D1460)</f>
        <v/>
      </c>
      <c r="E1460" s="3">
        <f>IF(ORIG!E1460=0,"",ORIG!E1460)</f>
        <v/>
      </c>
      <c r="F1460" s="3">
        <f>IF(ORIG!F1460=0,"",ORIG!F1460)</f>
        <v/>
      </c>
      <c r="G1460" s="3">
        <f>IF(ORIG!G1460=0,"",ORIG!G1460)</f>
        <v/>
      </c>
      <c r="H1460" s="3">
        <f>IF(ORIG!H1460=0,"",ORIG!H1460)</f>
        <v/>
      </c>
      <c r="I1460" s="3">
        <f>IF(ORIG!I1460=0,"",ORIG!I1460)</f>
        <v/>
      </c>
      <c r="J1460" s="3">
        <f>IF(ORIG!J1460=0,"",ORIG!J1460)</f>
        <v/>
      </c>
      <c r="K1460" s="3">
        <f>IF(ORIG!K1460=0,"",ORIG!K1460)</f>
        <v/>
      </c>
      <c r="L1460" s="3">
        <f>IF(ORIG!L1460=0,"",ORIG!L1460)</f>
        <v/>
      </c>
      <c r="M1460" s="3">
        <f>IF(ORIG!M1460=0,"",ORIG!M1460)</f>
        <v/>
      </c>
      <c r="N1460" s="3">
        <f>IF(ORIG!N1460=0,"",ORIG!N1460)</f>
        <v/>
      </c>
      <c r="O1460" s="3">
        <f>IF(ORIG!O1460=0,"",ORIG!O1460)</f>
        <v/>
      </c>
      <c r="P1460" s="3">
        <f>IF(ORIG!P1460=0,"",ORIG!P1460)</f>
        <v/>
      </c>
      <c r="Q1460" s="3">
        <f>IF(ORIG!Q1460=0,"",ORIG!Q1460)</f>
        <v/>
      </c>
      <c r="R1460" s="3">
        <f>IF(ORIG!R1460=0,"",ORIG!R1460)</f>
        <v/>
      </c>
      <c r="S1460" s="3">
        <f>IF(ORIG!S1460=0,"",ORIG!S1460)</f>
        <v/>
      </c>
      <c r="T1460" s="3">
        <f>IF(ORIG!T1460=0,"",ORIG!T1460)</f>
        <v/>
      </c>
      <c r="U1460" s="3">
        <f>IF(ORIG!U1460=0,"",ORIG!U1460)</f>
        <v/>
      </c>
      <c r="V1460" s="9">
        <f>IF(ORIG!V1460=0,"",ORIG!V1460)</f>
        <v/>
      </c>
      <c r="W1460" s="9">
        <f>IF(ORIG!W1460=0,"",ORIG!W1460)</f>
        <v/>
      </c>
      <c r="X1460" s="9">
        <f>IF(ORIG!X1460=0,"",ORIG!X1460)</f>
        <v/>
      </c>
      <c r="Y1460" s="9">
        <f>IF(ORIG!Y1460=0,"",ORIG!Y1460)</f>
        <v/>
      </c>
      <c r="Z1460" s="3">
        <f>SUMPRODUCT($B1460:$Y1460,$B$2649:$Y$2649)</f>
        <v/>
      </c>
      <c r="AA1460" s="3">
        <f>SUMPRODUCT($B1460:$Y1460,$B$2655:$Y$2655)</f>
        <v/>
      </c>
      <c r="AC1460" s="1">
        <f>A1460</f>
        <v/>
      </c>
      <c r="AD1460">
        <f>IF(ISNUMBER(V1460),V1460*($AB$1/V$2635),"")</f>
        <v/>
      </c>
      <c r="AE1460">
        <f>IF(ISNUMBER(Z1460),Z1460*($AB$1/Z$2635),"")</f>
        <v/>
      </c>
      <c r="AF1460" s="25">
        <f>IF(ISNUMBER(AD1460+AE1460),AD1460+AE1460,"")</f>
        <v/>
      </c>
      <c r="AH1460" s="1">
        <f>A1460</f>
        <v/>
      </c>
      <c r="AI1460">
        <f>IF(ISNUMBER((1+V1460)*AI1459),(1+V1460)*AI1459,AI1459)</f>
        <v/>
      </c>
      <c r="AJ1460">
        <f>IF(ISNUMBER((1+Z1460)*AJ1459),(1+Z1460)*AJ1459,AJ1459)</f>
        <v/>
      </c>
    </row>
    <row r="1461">
      <c r="A1461" s="1" t="n">
        <v>44120</v>
      </c>
      <c r="B1461" s="3">
        <f>IF(ORIG!B1461=0,"",ORIG!B1461)</f>
        <v/>
      </c>
      <c r="C1461" s="3">
        <f>IF(ORIG!C1461=0,"",ORIG!C1461)</f>
        <v/>
      </c>
      <c r="D1461" s="3">
        <f>IF(ORIG!D1461=0,"",ORIG!D1461)</f>
        <v/>
      </c>
      <c r="E1461" s="3">
        <f>IF(ORIG!E1461=0,"",ORIG!E1461)</f>
        <v/>
      </c>
      <c r="F1461" s="3">
        <f>IF(ORIG!F1461=0,"",ORIG!F1461)</f>
        <v/>
      </c>
      <c r="G1461" s="3">
        <f>IF(ORIG!G1461=0,"",ORIG!G1461)</f>
        <v/>
      </c>
      <c r="H1461" s="3">
        <f>IF(ORIG!H1461=0,"",ORIG!H1461)</f>
        <v/>
      </c>
      <c r="I1461" s="3">
        <f>IF(ORIG!I1461=0,"",ORIG!I1461)</f>
        <v/>
      </c>
      <c r="J1461" s="3">
        <f>IF(ORIG!J1461=0,"",ORIG!J1461)</f>
        <v/>
      </c>
      <c r="K1461" s="3">
        <f>IF(ORIG!K1461=0,"",ORIG!K1461)</f>
        <v/>
      </c>
      <c r="L1461" s="3">
        <f>IF(ORIG!L1461=0,"",ORIG!L1461)</f>
        <v/>
      </c>
      <c r="M1461" s="3">
        <f>IF(ORIG!M1461=0,"",ORIG!M1461)</f>
        <v/>
      </c>
      <c r="N1461" s="3">
        <f>IF(ORIG!N1461=0,"",ORIG!N1461)</f>
        <v/>
      </c>
      <c r="O1461" s="3">
        <f>IF(ORIG!O1461=0,"",ORIG!O1461)</f>
        <v/>
      </c>
      <c r="P1461" s="3">
        <f>IF(ORIG!P1461=0,"",ORIG!P1461)</f>
        <v/>
      </c>
      <c r="Q1461" s="3">
        <f>IF(ORIG!Q1461=0,"",ORIG!Q1461)</f>
        <v/>
      </c>
      <c r="R1461" s="3">
        <f>IF(ORIG!R1461=0,"",ORIG!R1461)</f>
        <v/>
      </c>
      <c r="S1461" s="3">
        <f>IF(ORIG!S1461=0,"",ORIG!S1461)</f>
        <v/>
      </c>
      <c r="T1461" s="3">
        <f>IF(ORIG!T1461=0,"",ORIG!T1461)</f>
        <v/>
      </c>
      <c r="U1461" s="3">
        <f>IF(ORIG!U1461=0,"",ORIG!U1461)</f>
        <v/>
      </c>
      <c r="V1461" s="9">
        <f>IF(ORIG!V1461=0,"",ORIG!V1461)</f>
        <v/>
      </c>
      <c r="W1461" s="9">
        <f>IF(ORIG!W1461=0,"",ORIG!W1461)</f>
        <v/>
      </c>
      <c r="X1461" s="9">
        <f>IF(ORIG!X1461=0,"",ORIG!X1461)</f>
        <v/>
      </c>
      <c r="Y1461" s="9">
        <f>IF(ORIG!Y1461=0,"",ORIG!Y1461)</f>
        <v/>
      </c>
      <c r="Z1461" s="3">
        <f>SUMPRODUCT($B1461:$Y1461,$B$2649:$Y$2649)</f>
        <v/>
      </c>
      <c r="AA1461" s="3">
        <f>SUMPRODUCT($B1461:$Y1461,$B$2655:$Y$2655)</f>
        <v/>
      </c>
      <c r="AC1461" s="1">
        <f>A1461</f>
        <v/>
      </c>
      <c r="AD1461">
        <f>IF(ISNUMBER(V1461),V1461*($AB$1/V$2635),"")</f>
        <v/>
      </c>
      <c r="AE1461">
        <f>IF(ISNUMBER(Z1461),Z1461*($AB$1/Z$2635),"")</f>
        <v/>
      </c>
      <c r="AF1461" s="25">
        <f>IF(ISNUMBER(AD1461+AE1461),AD1461+AE1461,"")</f>
        <v/>
      </c>
      <c r="AH1461" s="1">
        <f>A1461</f>
        <v/>
      </c>
      <c r="AI1461">
        <f>IF(ISNUMBER((1+V1461)*AI1460),(1+V1461)*AI1460,AI1460)</f>
        <v/>
      </c>
      <c r="AJ1461">
        <f>IF(ISNUMBER((1+Z1461)*AJ1460),(1+Z1461)*AJ1460,AJ1460)</f>
        <v/>
      </c>
    </row>
    <row r="1462">
      <c r="A1462" s="1" t="n">
        <v>44123</v>
      </c>
      <c r="B1462" s="3">
        <f>IF(ORIG!B1462=0,"",ORIG!B1462)</f>
        <v/>
      </c>
      <c r="C1462" s="3">
        <f>IF(ORIG!C1462=0,"",ORIG!C1462)</f>
        <v/>
      </c>
      <c r="D1462" s="3">
        <f>IF(ORIG!D1462=0,"",ORIG!D1462)</f>
        <v/>
      </c>
      <c r="E1462" s="3">
        <f>IF(ORIG!E1462=0,"",ORIG!E1462)</f>
        <v/>
      </c>
      <c r="F1462" s="3">
        <f>IF(ORIG!F1462=0,"",ORIG!F1462)</f>
        <v/>
      </c>
      <c r="G1462" s="3">
        <f>IF(ORIG!G1462=0,"",ORIG!G1462)</f>
        <v/>
      </c>
      <c r="H1462" s="3">
        <f>IF(ORIG!H1462=0,"",ORIG!H1462)</f>
        <v/>
      </c>
      <c r="I1462" s="3">
        <f>IF(ORIG!I1462=0,"",ORIG!I1462)</f>
        <v/>
      </c>
      <c r="J1462" s="3">
        <f>IF(ORIG!J1462=0,"",ORIG!J1462)</f>
        <v/>
      </c>
      <c r="K1462" s="3">
        <f>IF(ORIG!K1462=0,"",ORIG!K1462)</f>
        <v/>
      </c>
      <c r="L1462" s="3">
        <f>IF(ORIG!L1462=0,"",ORIG!L1462)</f>
        <v/>
      </c>
      <c r="M1462" s="3">
        <f>IF(ORIG!M1462=0,"",ORIG!M1462)</f>
        <v/>
      </c>
      <c r="N1462" s="3">
        <f>IF(ORIG!N1462=0,"",ORIG!N1462)</f>
        <v/>
      </c>
      <c r="O1462" s="3">
        <f>IF(ORIG!O1462=0,"",ORIG!O1462)</f>
        <v/>
      </c>
      <c r="P1462" s="3">
        <f>IF(ORIG!P1462=0,"",ORIG!P1462)</f>
        <v/>
      </c>
      <c r="Q1462" s="3">
        <f>IF(ORIG!Q1462=0,"",ORIG!Q1462)</f>
        <v/>
      </c>
      <c r="R1462" s="3">
        <f>IF(ORIG!R1462=0,"",ORIG!R1462)</f>
        <v/>
      </c>
      <c r="S1462" s="3">
        <f>IF(ORIG!S1462=0,"",ORIG!S1462)</f>
        <v/>
      </c>
      <c r="T1462" s="3">
        <f>IF(ORIG!T1462=0,"",ORIG!T1462)</f>
        <v/>
      </c>
      <c r="U1462" s="3">
        <f>IF(ORIG!U1462=0,"",ORIG!U1462)</f>
        <v/>
      </c>
      <c r="V1462" s="9">
        <f>IF(ORIG!V1462=0,"",ORIG!V1462)</f>
        <v/>
      </c>
      <c r="W1462" s="9">
        <f>IF(ORIG!W1462=0,"",ORIG!W1462)</f>
        <v/>
      </c>
      <c r="X1462" s="9">
        <f>IF(ORIG!X1462=0,"",ORIG!X1462)</f>
        <v/>
      </c>
      <c r="Y1462" s="9">
        <f>IF(ORIG!Y1462=0,"",ORIG!Y1462)</f>
        <v/>
      </c>
      <c r="Z1462" s="3">
        <f>SUMPRODUCT($B1462:$Y1462,$B$2649:$Y$2649)</f>
        <v/>
      </c>
      <c r="AA1462" s="3">
        <f>SUMPRODUCT($B1462:$Y1462,$B$2655:$Y$2655)</f>
        <v/>
      </c>
      <c r="AC1462" s="1">
        <f>A1462</f>
        <v/>
      </c>
      <c r="AD1462">
        <f>IF(ISNUMBER(V1462),V1462*($AB$1/V$2635),"")</f>
        <v/>
      </c>
      <c r="AE1462">
        <f>IF(ISNUMBER(Z1462),Z1462*($AB$1/Z$2635),"")</f>
        <v/>
      </c>
      <c r="AF1462" s="25">
        <f>IF(ISNUMBER(AD1462+AE1462),AD1462+AE1462,"")</f>
        <v/>
      </c>
      <c r="AH1462" s="1">
        <f>A1462</f>
        <v/>
      </c>
      <c r="AI1462">
        <f>IF(ISNUMBER((1+V1462)*AI1461),(1+V1462)*AI1461,AI1461)</f>
        <v/>
      </c>
      <c r="AJ1462">
        <f>IF(ISNUMBER((1+Z1462)*AJ1461),(1+Z1462)*AJ1461,AJ1461)</f>
        <v/>
      </c>
    </row>
    <row r="1463">
      <c r="A1463" s="1" t="n">
        <v>44124</v>
      </c>
      <c r="B1463" s="3">
        <f>IF(ORIG!B1463=0,"",ORIG!B1463)</f>
        <v/>
      </c>
      <c r="C1463" s="3">
        <f>IF(ORIG!C1463=0,"",ORIG!C1463)</f>
        <v/>
      </c>
      <c r="D1463" s="3">
        <f>IF(ORIG!D1463=0,"",ORIG!D1463)</f>
        <v/>
      </c>
      <c r="E1463" s="3">
        <f>IF(ORIG!E1463=0,"",ORIG!E1463)</f>
        <v/>
      </c>
      <c r="F1463" s="3">
        <f>IF(ORIG!F1463=0,"",ORIG!F1463)</f>
        <v/>
      </c>
      <c r="G1463" s="3">
        <f>IF(ORIG!G1463=0,"",ORIG!G1463)</f>
        <v/>
      </c>
      <c r="H1463" s="3">
        <f>IF(ORIG!H1463=0,"",ORIG!H1463)</f>
        <v/>
      </c>
      <c r="I1463" s="3">
        <f>IF(ORIG!I1463=0,"",ORIG!I1463)</f>
        <v/>
      </c>
      <c r="J1463" s="3">
        <f>IF(ORIG!J1463=0,"",ORIG!J1463)</f>
        <v/>
      </c>
      <c r="K1463" s="3">
        <f>IF(ORIG!K1463=0,"",ORIG!K1463)</f>
        <v/>
      </c>
      <c r="L1463" s="3">
        <f>IF(ORIG!L1463=0,"",ORIG!L1463)</f>
        <v/>
      </c>
      <c r="M1463" s="3">
        <f>IF(ORIG!M1463=0,"",ORIG!M1463)</f>
        <v/>
      </c>
      <c r="N1463" s="3">
        <f>IF(ORIG!N1463=0,"",ORIG!N1463)</f>
        <v/>
      </c>
      <c r="O1463" s="3">
        <f>IF(ORIG!O1463=0,"",ORIG!O1463)</f>
        <v/>
      </c>
      <c r="P1463" s="3">
        <f>IF(ORIG!P1463=0,"",ORIG!P1463)</f>
        <v/>
      </c>
      <c r="Q1463" s="3">
        <f>IF(ORIG!Q1463=0,"",ORIG!Q1463)</f>
        <v/>
      </c>
      <c r="R1463" s="3">
        <f>IF(ORIG!R1463=0,"",ORIG!R1463)</f>
        <v/>
      </c>
      <c r="S1463" s="3">
        <f>IF(ORIG!S1463=0,"",ORIG!S1463)</f>
        <v/>
      </c>
      <c r="T1463" s="3">
        <f>IF(ORIG!T1463=0,"",ORIG!T1463)</f>
        <v/>
      </c>
      <c r="U1463" s="3">
        <f>IF(ORIG!U1463=0,"",ORIG!U1463)</f>
        <v/>
      </c>
      <c r="V1463" s="9">
        <f>IF(ORIG!V1463=0,"",ORIG!V1463)</f>
        <v/>
      </c>
      <c r="W1463" s="9">
        <f>IF(ORIG!W1463=0,"",ORIG!W1463)</f>
        <v/>
      </c>
      <c r="X1463" s="9">
        <f>IF(ORIG!X1463=0,"",ORIG!X1463)</f>
        <v/>
      </c>
      <c r="Y1463" s="9">
        <f>IF(ORIG!Y1463=0,"",ORIG!Y1463)</f>
        <v/>
      </c>
      <c r="Z1463" s="3">
        <f>SUMPRODUCT($B1463:$Y1463,$B$2649:$Y$2649)</f>
        <v/>
      </c>
      <c r="AA1463" s="3">
        <f>SUMPRODUCT($B1463:$Y1463,$B$2655:$Y$2655)</f>
        <v/>
      </c>
      <c r="AC1463" s="1">
        <f>A1463</f>
        <v/>
      </c>
      <c r="AD1463">
        <f>IF(ISNUMBER(V1463),V1463*($AB$1/V$2635),"")</f>
        <v/>
      </c>
      <c r="AE1463">
        <f>IF(ISNUMBER(Z1463),Z1463*($AB$1/Z$2635),"")</f>
        <v/>
      </c>
      <c r="AF1463" s="25">
        <f>IF(ISNUMBER(AD1463+AE1463),AD1463+AE1463,"")</f>
        <v/>
      </c>
      <c r="AH1463" s="1">
        <f>A1463</f>
        <v/>
      </c>
      <c r="AI1463">
        <f>IF(ISNUMBER((1+V1463)*AI1462),(1+V1463)*AI1462,AI1462)</f>
        <v/>
      </c>
      <c r="AJ1463">
        <f>IF(ISNUMBER((1+Z1463)*AJ1462),(1+Z1463)*AJ1462,AJ1462)</f>
        <v/>
      </c>
    </row>
    <row r="1464">
      <c r="A1464" s="1" t="n">
        <v>44125</v>
      </c>
      <c r="B1464" s="3">
        <f>IF(ORIG!B1464=0,"",ORIG!B1464)</f>
        <v/>
      </c>
      <c r="C1464" s="3">
        <f>IF(ORIG!C1464=0,"",ORIG!C1464)</f>
        <v/>
      </c>
      <c r="D1464" s="3">
        <f>IF(ORIG!D1464=0,"",ORIG!D1464)</f>
        <v/>
      </c>
      <c r="E1464" s="3">
        <f>IF(ORIG!E1464=0,"",ORIG!E1464)</f>
        <v/>
      </c>
      <c r="F1464" s="3">
        <f>IF(ORIG!F1464=0,"",ORIG!F1464)</f>
        <v/>
      </c>
      <c r="G1464" s="3">
        <f>IF(ORIG!G1464=0,"",ORIG!G1464)</f>
        <v/>
      </c>
      <c r="H1464" s="3">
        <f>IF(ORIG!H1464=0,"",ORIG!H1464)</f>
        <v/>
      </c>
      <c r="I1464" s="3">
        <f>IF(ORIG!I1464=0,"",ORIG!I1464)</f>
        <v/>
      </c>
      <c r="J1464" s="3">
        <f>IF(ORIG!J1464=0,"",ORIG!J1464)</f>
        <v/>
      </c>
      <c r="K1464" s="3">
        <f>IF(ORIG!K1464=0,"",ORIG!K1464)</f>
        <v/>
      </c>
      <c r="L1464" s="3">
        <f>IF(ORIG!L1464=0,"",ORIG!L1464)</f>
        <v/>
      </c>
      <c r="M1464" s="3">
        <f>IF(ORIG!M1464=0,"",ORIG!M1464)</f>
        <v/>
      </c>
      <c r="N1464" s="3">
        <f>IF(ORIG!N1464=0,"",ORIG!N1464)</f>
        <v/>
      </c>
      <c r="O1464" s="3">
        <f>IF(ORIG!O1464=0,"",ORIG!O1464)</f>
        <v/>
      </c>
      <c r="P1464" s="3">
        <f>IF(ORIG!P1464=0,"",ORIG!P1464)</f>
        <v/>
      </c>
      <c r="Q1464" s="3">
        <f>IF(ORIG!Q1464=0,"",ORIG!Q1464)</f>
        <v/>
      </c>
      <c r="R1464" s="3">
        <f>IF(ORIG!R1464=0,"",ORIG!R1464)</f>
        <v/>
      </c>
      <c r="S1464" s="3">
        <f>IF(ORIG!S1464=0,"",ORIG!S1464)</f>
        <v/>
      </c>
      <c r="T1464" s="3">
        <f>IF(ORIG!T1464=0,"",ORIG!T1464)</f>
        <v/>
      </c>
      <c r="U1464" s="3">
        <f>IF(ORIG!U1464=0,"",ORIG!U1464)</f>
        <v/>
      </c>
      <c r="V1464" s="9">
        <f>IF(ORIG!V1464=0,"",ORIG!V1464)</f>
        <v/>
      </c>
      <c r="W1464" s="9">
        <f>IF(ORIG!W1464=0,"",ORIG!W1464)</f>
        <v/>
      </c>
      <c r="X1464" s="9">
        <f>IF(ORIG!X1464=0,"",ORIG!X1464)</f>
        <v/>
      </c>
      <c r="Y1464" s="9">
        <f>IF(ORIG!Y1464=0,"",ORIG!Y1464)</f>
        <v/>
      </c>
      <c r="Z1464" s="3">
        <f>SUMPRODUCT($B1464:$Y1464,$B$2649:$Y$2649)</f>
        <v/>
      </c>
      <c r="AA1464" s="3">
        <f>SUMPRODUCT($B1464:$Y1464,$B$2655:$Y$2655)</f>
        <v/>
      </c>
      <c r="AC1464" s="1">
        <f>A1464</f>
        <v/>
      </c>
      <c r="AD1464">
        <f>IF(ISNUMBER(V1464),V1464*($AB$1/V$2635),"")</f>
        <v/>
      </c>
      <c r="AE1464">
        <f>IF(ISNUMBER(Z1464),Z1464*($AB$1/Z$2635),"")</f>
        <v/>
      </c>
      <c r="AF1464" s="25">
        <f>IF(ISNUMBER(AD1464+AE1464),AD1464+AE1464,"")</f>
        <v/>
      </c>
      <c r="AH1464" s="1">
        <f>A1464</f>
        <v/>
      </c>
      <c r="AI1464">
        <f>IF(ISNUMBER((1+V1464)*AI1463),(1+V1464)*AI1463,AI1463)</f>
        <v/>
      </c>
      <c r="AJ1464">
        <f>IF(ISNUMBER((1+Z1464)*AJ1463),(1+Z1464)*AJ1463,AJ1463)</f>
        <v/>
      </c>
    </row>
    <row r="1465">
      <c r="A1465" s="1" t="n">
        <v>44126</v>
      </c>
      <c r="B1465" s="3">
        <f>IF(ORIG!B1465=0,"",ORIG!B1465)</f>
        <v/>
      </c>
      <c r="C1465" s="3">
        <f>IF(ORIG!C1465=0,"",ORIG!C1465)</f>
        <v/>
      </c>
      <c r="D1465" s="3">
        <f>IF(ORIG!D1465=0,"",ORIG!D1465)</f>
        <v/>
      </c>
      <c r="E1465" s="3">
        <f>IF(ORIG!E1465=0,"",ORIG!E1465)</f>
        <v/>
      </c>
      <c r="F1465" s="3">
        <f>IF(ORIG!F1465=0,"",ORIG!F1465)</f>
        <v/>
      </c>
      <c r="G1465" s="3">
        <f>IF(ORIG!G1465=0,"",ORIG!G1465)</f>
        <v/>
      </c>
      <c r="H1465" s="3">
        <f>IF(ORIG!H1465=0,"",ORIG!H1465)</f>
        <v/>
      </c>
      <c r="I1465" s="3">
        <f>IF(ORIG!I1465=0,"",ORIG!I1465)</f>
        <v/>
      </c>
      <c r="J1465" s="3">
        <f>IF(ORIG!J1465=0,"",ORIG!J1465)</f>
        <v/>
      </c>
      <c r="K1465" s="3">
        <f>IF(ORIG!K1465=0,"",ORIG!K1465)</f>
        <v/>
      </c>
      <c r="L1465" s="3">
        <f>IF(ORIG!L1465=0,"",ORIG!L1465)</f>
        <v/>
      </c>
      <c r="M1465" s="3">
        <f>IF(ORIG!M1465=0,"",ORIG!M1465)</f>
        <v/>
      </c>
      <c r="N1465" s="3">
        <f>IF(ORIG!N1465=0,"",ORIG!N1465)</f>
        <v/>
      </c>
      <c r="O1465" s="3">
        <f>IF(ORIG!O1465=0,"",ORIG!O1465)</f>
        <v/>
      </c>
      <c r="P1465" s="3">
        <f>IF(ORIG!P1465=0,"",ORIG!P1465)</f>
        <v/>
      </c>
      <c r="Q1465" s="3">
        <f>IF(ORIG!Q1465=0,"",ORIG!Q1465)</f>
        <v/>
      </c>
      <c r="R1465" s="3">
        <f>IF(ORIG!R1465=0,"",ORIG!R1465)</f>
        <v/>
      </c>
      <c r="S1465" s="3">
        <f>IF(ORIG!S1465=0,"",ORIG!S1465)</f>
        <v/>
      </c>
      <c r="T1465" s="3">
        <f>IF(ORIG!T1465=0,"",ORIG!T1465)</f>
        <v/>
      </c>
      <c r="U1465" s="3">
        <f>IF(ORIG!U1465=0,"",ORIG!U1465)</f>
        <v/>
      </c>
      <c r="V1465" s="9">
        <f>IF(ORIG!V1465=0,"",ORIG!V1465)</f>
        <v/>
      </c>
      <c r="W1465" s="9">
        <f>IF(ORIG!W1465=0,"",ORIG!W1465)</f>
        <v/>
      </c>
      <c r="X1465" s="9">
        <f>IF(ORIG!X1465=0,"",ORIG!X1465)</f>
        <v/>
      </c>
      <c r="Y1465" s="9">
        <f>IF(ORIG!Y1465=0,"",ORIG!Y1465)</f>
        <v/>
      </c>
      <c r="Z1465" s="3">
        <f>SUMPRODUCT($B1465:$Y1465,$B$2649:$Y$2649)</f>
        <v/>
      </c>
      <c r="AA1465" s="3">
        <f>SUMPRODUCT($B1465:$Y1465,$B$2655:$Y$2655)</f>
        <v/>
      </c>
      <c r="AC1465" s="1">
        <f>A1465</f>
        <v/>
      </c>
      <c r="AD1465">
        <f>IF(ISNUMBER(V1465),V1465*($AB$1/V$2635),"")</f>
        <v/>
      </c>
      <c r="AE1465">
        <f>IF(ISNUMBER(Z1465),Z1465*($AB$1/Z$2635),"")</f>
        <v/>
      </c>
      <c r="AF1465" s="25">
        <f>IF(ISNUMBER(AD1465+AE1465),AD1465+AE1465,"")</f>
        <v/>
      </c>
      <c r="AH1465" s="1">
        <f>A1465</f>
        <v/>
      </c>
      <c r="AI1465">
        <f>IF(ISNUMBER((1+V1465)*AI1464),(1+V1465)*AI1464,AI1464)</f>
        <v/>
      </c>
      <c r="AJ1465">
        <f>IF(ISNUMBER((1+Z1465)*AJ1464),(1+Z1465)*AJ1464,AJ1464)</f>
        <v/>
      </c>
    </row>
    <row r="1466">
      <c r="A1466" s="1" t="n">
        <v>44127</v>
      </c>
      <c r="B1466" s="3">
        <f>IF(ORIG!B1466=0,"",ORIG!B1466)</f>
        <v/>
      </c>
      <c r="C1466" s="3">
        <f>IF(ORIG!C1466=0,"",ORIG!C1466)</f>
        <v/>
      </c>
      <c r="D1466" s="3">
        <f>IF(ORIG!D1466=0,"",ORIG!D1466)</f>
        <v/>
      </c>
      <c r="E1466" s="3">
        <f>IF(ORIG!E1466=0,"",ORIG!E1466)</f>
        <v/>
      </c>
      <c r="F1466" s="3">
        <f>IF(ORIG!F1466=0,"",ORIG!F1466)</f>
        <v/>
      </c>
      <c r="G1466" s="3">
        <f>IF(ORIG!G1466=0,"",ORIG!G1466)</f>
        <v/>
      </c>
      <c r="H1466" s="3">
        <f>IF(ORIG!H1466=0,"",ORIG!H1466)</f>
        <v/>
      </c>
      <c r="I1466" s="3">
        <f>IF(ORIG!I1466=0,"",ORIG!I1466)</f>
        <v/>
      </c>
      <c r="J1466" s="3">
        <f>IF(ORIG!J1466=0,"",ORIG!J1466)</f>
        <v/>
      </c>
      <c r="K1466" s="3">
        <f>IF(ORIG!K1466=0,"",ORIG!K1466)</f>
        <v/>
      </c>
      <c r="L1466" s="3">
        <f>IF(ORIG!L1466=0,"",ORIG!L1466)</f>
        <v/>
      </c>
      <c r="M1466" s="3">
        <f>IF(ORIG!M1466=0,"",ORIG!M1466)</f>
        <v/>
      </c>
      <c r="N1466" s="3">
        <f>IF(ORIG!N1466=0,"",ORIG!N1466)</f>
        <v/>
      </c>
      <c r="O1466" s="3">
        <f>IF(ORIG!O1466=0,"",ORIG!O1466)</f>
        <v/>
      </c>
      <c r="P1466" s="3">
        <f>IF(ORIG!P1466=0,"",ORIG!P1466)</f>
        <v/>
      </c>
      <c r="Q1466" s="3">
        <f>IF(ORIG!Q1466=0,"",ORIG!Q1466)</f>
        <v/>
      </c>
      <c r="R1466" s="3">
        <f>IF(ORIG!R1466=0,"",ORIG!R1466)</f>
        <v/>
      </c>
      <c r="S1466" s="3">
        <f>IF(ORIG!S1466=0,"",ORIG!S1466)</f>
        <v/>
      </c>
      <c r="T1466" s="3">
        <f>IF(ORIG!T1466=0,"",ORIG!T1466)</f>
        <v/>
      </c>
      <c r="U1466" s="3">
        <f>IF(ORIG!U1466=0,"",ORIG!U1466)</f>
        <v/>
      </c>
      <c r="V1466" s="9">
        <f>IF(ORIG!V1466=0,"",ORIG!V1466)</f>
        <v/>
      </c>
      <c r="W1466" s="9">
        <f>IF(ORIG!W1466=0,"",ORIG!W1466)</f>
        <v/>
      </c>
      <c r="X1466" s="9">
        <f>IF(ORIG!X1466=0,"",ORIG!X1466)</f>
        <v/>
      </c>
      <c r="Y1466" s="9">
        <f>IF(ORIG!Y1466=0,"",ORIG!Y1466)</f>
        <v/>
      </c>
      <c r="Z1466" s="3">
        <f>SUMPRODUCT($B1466:$Y1466,$B$2649:$Y$2649)</f>
        <v/>
      </c>
      <c r="AA1466" s="3">
        <f>SUMPRODUCT($B1466:$Y1466,$B$2655:$Y$2655)</f>
        <v/>
      </c>
      <c r="AC1466" s="1">
        <f>A1466</f>
        <v/>
      </c>
      <c r="AD1466">
        <f>IF(ISNUMBER(V1466),V1466*($AB$1/V$2635),"")</f>
        <v/>
      </c>
      <c r="AE1466">
        <f>IF(ISNUMBER(Z1466),Z1466*($AB$1/Z$2635),"")</f>
        <v/>
      </c>
      <c r="AF1466" s="25">
        <f>IF(ISNUMBER(AD1466+AE1466),AD1466+AE1466,"")</f>
        <v/>
      </c>
      <c r="AH1466" s="1">
        <f>A1466</f>
        <v/>
      </c>
      <c r="AI1466">
        <f>IF(ISNUMBER((1+V1466)*AI1465),(1+V1466)*AI1465,AI1465)</f>
        <v/>
      </c>
      <c r="AJ1466">
        <f>IF(ISNUMBER((1+Z1466)*AJ1465),(1+Z1466)*AJ1465,AJ1465)</f>
        <v/>
      </c>
    </row>
    <row r="1467">
      <c r="A1467" s="1" t="n">
        <v>44130</v>
      </c>
      <c r="B1467" s="3">
        <f>IF(ORIG!B1467=0,"",ORIG!B1467)</f>
        <v/>
      </c>
      <c r="C1467" s="3">
        <f>IF(ORIG!C1467=0,"",ORIG!C1467)</f>
        <v/>
      </c>
      <c r="D1467" s="3">
        <f>IF(ORIG!D1467=0,"",ORIG!D1467)</f>
        <v/>
      </c>
      <c r="E1467" s="3">
        <f>IF(ORIG!E1467=0,"",ORIG!E1467)</f>
        <v/>
      </c>
      <c r="F1467" s="3">
        <f>IF(ORIG!F1467=0,"",ORIG!F1467)</f>
        <v/>
      </c>
      <c r="G1467" s="3">
        <f>IF(ORIG!G1467=0,"",ORIG!G1467)</f>
        <v/>
      </c>
      <c r="H1467" s="3">
        <f>IF(ORIG!H1467=0,"",ORIG!H1467)</f>
        <v/>
      </c>
      <c r="I1467" s="3">
        <f>IF(ORIG!I1467=0,"",ORIG!I1467)</f>
        <v/>
      </c>
      <c r="J1467" s="3">
        <f>IF(ORIG!J1467=0,"",ORIG!J1467)</f>
        <v/>
      </c>
      <c r="K1467" s="3">
        <f>IF(ORIG!K1467=0,"",ORIG!K1467)</f>
        <v/>
      </c>
      <c r="L1467" s="3">
        <f>IF(ORIG!L1467=0,"",ORIG!L1467)</f>
        <v/>
      </c>
      <c r="M1467" s="3">
        <f>IF(ORIG!M1467=0,"",ORIG!M1467)</f>
        <v/>
      </c>
      <c r="N1467" s="3">
        <f>IF(ORIG!N1467=0,"",ORIG!N1467)</f>
        <v/>
      </c>
      <c r="O1467" s="3">
        <f>IF(ORIG!O1467=0,"",ORIG!O1467)</f>
        <v/>
      </c>
      <c r="P1467" s="3">
        <f>IF(ORIG!P1467=0,"",ORIG!P1467)</f>
        <v/>
      </c>
      <c r="Q1467" s="3">
        <f>IF(ORIG!Q1467=0,"",ORIG!Q1467)</f>
        <v/>
      </c>
      <c r="R1467" s="3">
        <f>IF(ORIG!R1467=0,"",ORIG!R1467)</f>
        <v/>
      </c>
      <c r="S1467" s="3">
        <f>IF(ORIG!S1467=0,"",ORIG!S1467)</f>
        <v/>
      </c>
      <c r="T1467" s="3">
        <f>IF(ORIG!T1467=0,"",ORIG!T1467)</f>
        <v/>
      </c>
      <c r="U1467" s="3">
        <f>IF(ORIG!U1467=0,"",ORIG!U1467)</f>
        <v/>
      </c>
      <c r="V1467" s="9">
        <f>IF(ORIG!V1467=0,"",ORIG!V1467)</f>
        <v/>
      </c>
      <c r="W1467" s="9">
        <f>IF(ORIG!W1467=0,"",ORIG!W1467)</f>
        <v/>
      </c>
      <c r="X1467" s="9">
        <f>IF(ORIG!X1467=0,"",ORIG!X1467)</f>
        <v/>
      </c>
      <c r="Y1467" s="9">
        <f>IF(ORIG!Y1467=0,"",ORIG!Y1467)</f>
        <v/>
      </c>
      <c r="Z1467" s="3">
        <f>SUMPRODUCT($B1467:$Y1467,$B$2649:$Y$2649)</f>
        <v/>
      </c>
      <c r="AA1467" s="3">
        <f>SUMPRODUCT($B1467:$Y1467,$B$2655:$Y$2655)</f>
        <v/>
      </c>
      <c r="AC1467" s="1">
        <f>A1467</f>
        <v/>
      </c>
      <c r="AD1467">
        <f>IF(ISNUMBER(V1467),V1467*($AB$1/V$2635),"")</f>
        <v/>
      </c>
      <c r="AE1467">
        <f>IF(ISNUMBER(Z1467),Z1467*($AB$1/Z$2635),"")</f>
        <v/>
      </c>
      <c r="AF1467" s="25">
        <f>IF(ISNUMBER(AD1467+AE1467),AD1467+AE1467,"")</f>
        <v/>
      </c>
      <c r="AH1467" s="1">
        <f>A1467</f>
        <v/>
      </c>
      <c r="AI1467">
        <f>IF(ISNUMBER((1+V1467)*AI1466),(1+V1467)*AI1466,AI1466)</f>
        <v/>
      </c>
      <c r="AJ1467">
        <f>IF(ISNUMBER((1+Z1467)*AJ1466),(1+Z1467)*AJ1466,AJ1466)</f>
        <v/>
      </c>
    </row>
    <row r="1468">
      <c r="A1468" s="1" t="n">
        <v>44131</v>
      </c>
      <c r="B1468" s="3">
        <f>IF(ORIG!B1468=0,"",ORIG!B1468)</f>
        <v/>
      </c>
      <c r="C1468" s="3">
        <f>IF(ORIG!C1468=0,"",ORIG!C1468)</f>
        <v/>
      </c>
      <c r="D1468" s="3">
        <f>IF(ORIG!D1468=0,"",ORIG!D1468)</f>
        <v/>
      </c>
      <c r="E1468" s="3">
        <f>IF(ORIG!E1468=0,"",ORIG!E1468)</f>
        <v/>
      </c>
      <c r="F1468" s="3">
        <f>IF(ORIG!F1468=0,"",ORIG!F1468)</f>
        <v/>
      </c>
      <c r="G1468" s="3">
        <f>IF(ORIG!G1468=0,"",ORIG!G1468)</f>
        <v/>
      </c>
      <c r="H1468" s="3">
        <f>IF(ORIG!H1468=0,"",ORIG!H1468)</f>
        <v/>
      </c>
      <c r="I1468" s="3">
        <f>IF(ORIG!I1468=0,"",ORIG!I1468)</f>
        <v/>
      </c>
      <c r="J1468" s="3">
        <f>IF(ORIG!J1468=0,"",ORIG!J1468)</f>
        <v/>
      </c>
      <c r="K1468" s="3">
        <f>IF(ORIG!K1468=0,"",ORIG!K1468)</f>
        <v/>
      </c>
      <c r="L1468" s="3">
        <f>IF(ORIG!L1468=0,"",ORIG!L1468)</f>
        <v/>
      </c>
      <c r="M1468" s="3">
        <f>IF(ORIG!M1468=0,"",ORIG!M1468)</f>
        <v/>
      </c>
      <c r="N1468" s="3">
        <f>IF(ORIG!N1468=0,"",ORIG!N1468)</f>
        <v/>
      </c>
      <c r="O1468" s="3">
        <f>IF(ORIG!O1468=0,"",ORIG!O1468)</f>
        <v/>
      </c>
      <c r="P1468" s="3">
        <f>IF(ORIG!P1468=0,"",ORIG!P1468)</f>
        <v/>
      </c>
      <c r="Q1468" s="3">
        <f>IF(ORIG!Q1468=0,"",ORIG!Q1468)</f>
        <v/>
      </c>
      <c r="R1468" s="3">
        <f>IF(ORIG!R1468=0,"",ORIG!R1468)</f>
        <v/>
      </c>
      <c r="S1468" s="3">
        <f>IF(ORIG!S1468=0,"",ORIG!S1468)</f>
        <v/>
      </c>
      <c r="T1468" s="3">
        <f>IF(ORIG!T1468=0,"",ORIG!T1468)</f>
        <v/>
      </c>
      <c r="U1468" s="3">
        <f>IF(ORIG!U1468=0,"",ORIG!U1468)</f>
        <v/>
      </c>
      <c r="V1468" s="9">
        <f>IF(ORIG!V1468=0,"",ORIG!V1468)</f>
        <v/>
      </c>
      <c r="W1468" s="9">
        <f>IF(ORIG!W1468=0,"",ORIG!W1468)</f>
        <v/>
      </c>
      <c r="X1468" s="9">
        <f>IF(ORIG!X1468=0,"",ORIG!X1468)</f>
        <v/>
      </c>
      <c r="Y1468" s="9">
        <f>IF(ORIG!Y1468=0,"",ORIG!Y1468)</f>
        <v/>
      </c>
      <c r="Z1468" s="3">
        <f>SUMPRODUCT($B1468:$Y1468,$B$2649:$Y$2649)</f>
        <v/>
      </c>
      <c r="AA1468" s="3">
        <f>SUMPRODUCT($B1468:$Y1468,$B$2655:$Y$2655)</f>
        <v/>
      </c>
      <c r="AC1468" s="1">
        <f>A1468</f>
        <v/>
      </c>
      <c r="AD1468">
        <f>IF(ISNUMBER(V1468),V1468*($AB$1/V$2635),"")</f>
        <v/>
      </c>
      <c r="AE1468">
        <f>IF(ISNUMBER(Z1468),Z1468*($AB$1/Z$2635),"")</f>
        <v/>
      </c>
      <c r="AF1468" s="25">
        <f>IF(ISNUMBER(AD1468+AE1468),AD1468+AE1468,"")</f>
        <v/>
      </c>
      <c r="AH1468" s="1">
        <f>A1468</f>
        <v/>
      </c>
      <c r="AI1468">
        <f>IF(ISNUMBER((1+V1468)*AI1467),(1+V1468)*AI1467,AI1467)</f>
        <v/>
      </c>
      <c r="AJ1468">
        <f>IF(ISNUMBER((1+Z1468)*AJ1467),(1+Z1468)*AJ1467,AJ1467)</f>
        <v/>
      </c>
    </row>
    <row r="1469">
      <c r="A1469" s="1" t="n">
        <v>44132</v>
      </c>
      <c r="B1469" s="3">
        <f>IF(ORIG!B1469=0,"",ORIG!B1469)</f>
        <v/>
      </c>
      <c r="C1469" s="3">
        <f>IF(ORIG!C1469=0,"",ORIG!C1469)</f>
        <v/>
      </c>
      <c r="D1469" s="3">
        <f>IF(ORIG!D1469=0,"",ORIG!D1469)</f>
        <v/>
      </c>
      <c r="E1469" s="3">
        <f>IF(ORIG!E1469=0,"",ORIG!E1469)</f>
        <v/>
      </c>
      <c r="F1469" s="3">
        <f>IF(ORIG!F1469=0,"",ORIG!F1469)</f>
        <v/>
      </c>
      <c r="G1469" s="3">
        <f>IF(ORIG!G1469=0,"",ORIG!G1469)</f>
        <v/>
      </c>
      <c r="H1469" s="3">
        <f>IF(ORIG!H1469=0,"",ORIG!H1469)</f>
        <v/>
      </c>
      <c r="I1469" s="3">
        <f>IF(ORIG!I1469=0,"",ORIG!I1469)</f>
        <v/>
      </c>
      <c r="J1469" s="3">
        <f>IF(ORIG!J1469=0,"",ORIG!J1469)</f>
        <v/>
      </c>
      <c r="K1469" s="3">
        <f>IF(ORIG!K1469=0,"",ORIG!K1469)</f>
        <v/>
      </c>
      <c r="L1469" s="3">
        <f>IF(ORIG!L1469=0,"",ORIG!L1469)</f>
        <v/>
      </c>
      <c r="M1469" s="3">
        <f>IF(ORIG!M1469=0,"",ORIG!M1469)</f>
        <v/>
      </c>
      <c r="N1469" s="3">
        <f>IF(ORIG!N1469=0,"",ORIG!N1469)</f>
        <v/>
      </c>
      <c r="O1469" s="3">
        <f>IF(ORIG!O1469=0,"",ORIG!O1469)</f>
        <v/>
      </c>
      <c r="P1469" s="3">
        <f>IF(ORIG!P1469=0,"",ORIG!P1469)</f>
        <v/>
      </c>
      <c r="Q1469" s="3">
        <f>IF(ORIG!Q1469=0,"",ORIG!Q1469)</f>
        <v/>
      </c>
      <c r="R1469" s="3">
        <f>IF(ORIG!R1469=0,"",ORIG!R1469)</f>
        <v/>
      </c>
      <c r="S1469" s="3">
        <f>IF(ORIG!S1469=0,"",ORIG!S1469)</f>
        <v/>
      </c>
      <c r="T1469" s="3">
        <f>IF(ORIG!T1469=0,"",ORIG!T1469)</f>
        <v/>
      </c>
      <c r="U1469" s="3">
        <f>IF(ORIG!U1469=0,"",ORIG!U1469)</f>
        <v/>
      </c>
      <c r="V1469" s="9">
        <f>IF(ORIG!V1469=0,"",ORIG!V1469)</f>
        <v/>
      </c>
      <c r="W1469" s="9">
        <f>IF(ORIG!W1469=0,"",ORIG!W1469)</f>
        <v/>
      </c>
      <c r="X1469" s="9">
        <f>IF(ORIG!X1469=0,"",ORIG!X1469)</f>
        <v/>
      </c>
      <c r="Y1469" s="9">
        <f>IF(ORIG!Y1469=0,"",ORIG!Y1469)</f>
        <v/>
      </c>
      <c r="Z1469" s="3">
        <f>SUMPRODUCT($B1469:$Y1469,$B$2649:$Y$2649)</f>
        <v/>
      </c>
      <c r="AA1469" s="3">
        <f>SUMPRODUCT($B1469:$Y1469,$B$2655:$Y$2655)</f>
        <v/>
      </c>
      <c r="AC1469" s="1">
        <f>A1469</f>
        <v/>
      </c>
      <c r="AD1469">
        <f>IF(ISNUMBER(V1469),V1469*($AB$1/V$2635),"")</f>
        <v/>
      </c>
      <c r="AE1469">
        <f>IF(ISNUMBER(Z1469),Z1469*($AB$1/Z$2635),"")</f>
        <v/>
      </c>
      <c r="AF1469" s="25">
        <f>IF(ISNUMBER(AD1469+AE1469),AD1469+AE1469,"")</f>
        <v/>
      </c>
      <c r="AH1469" s="1">
        <f>A1469</f>
        <v/>
      </c>
      <c r="AI1469">
        <f>IF(ISNUMBER((1+V1469)*AI1468),(1+V1469)*AI1468,AI1468)</f>
        <v/>
      </c>
      <c r="AJ1469">
        <f>IF(ISNUMBER((1+Z1469)*AJ1468),(1+Z1469)*AJ1468,AJ1468)</f>
        <v/>
      </c>
    </row>
    <row r="1470">
      <c r="A1470" s="1" t="n">
        <v>44133</v>
      </c>
      <c r="B1470" s="3">
        <f>IF(ORIG!B1470=0,"",ORIG!B1470)</f>
        <v/>
      </c>
      <c r="C1470" s="3">
        <f>IF(ORIG!C1470=0,"",ORIG!C1470)</f>
        <v/>
      </c>
      <c r="D1470" s="3">
        <f>IF(ORIG!D1470=0,"",ORIG!D1470)</f>
        <v/>
      </c>
      <c r="E1470" s="3">
        <f>IF(ORIG!E1470=0,"",ORIG!E1470)</f>
        <v/>
      </c>
      <c r="F1470" s="3">
        <f>IF(ORIG!F1470=0,"",ORIG!F1470)</f>
        <v/>
      </c>
      <c r="G1470" s="3">
        <f>IF(ORIG!G1470=0,"",ORIG!G1470)</f>
        <v/>
      </c>
      <c r="H1470" s="3">
        <f>IF(ORIG!H1470=0,"",ORIG!H1470)</f>
        <v/>
      </c>
      <c r="I1470" s="3">
        <f>IF(ORIG!I1470=0,"",ORIG!I1470)</f>
        <v/>
      </c>
      <c r="J1470" s="3">
        <f>IF(ORIG!J1470=0,"",ORIG!J1470)</f>
        <v/>
      </c>
      <c r="K1470" s="3">
        <f>IF(ORIG!K1470=0,"",ORIG!K1470)</f>
        <v/>
      </c>
      <c r="L1470" s="3">
        <f>IF(ORIG!L1470=0,"",ORIG!L1470)</f>
        <v/>
      </c>
      <c r="M1470" s="3">
        <f>IF(ORIG!M1470=0,"",ORIG!M1470)</f>
        <v/>
      </c>
      <c r="N1470" s="3">
        <f>IF(ORIG!N1470=0,"",ORIG!N1470)</f>
        <v/>
      </c>
      <c r="O1470" s="3">
        <f>IF(ORIG!O1470=0,"",ORIG!O1470)</f>
        <v/>
      </c>
      <c r="P1470" s="3">
        <f>IF(ORIG!P1470=0,"",ORIG!P1470)</f>
        <v/>
      </c>
      <c r="Q1470" s="3">
        <f>IF(ORIG!Q1470=0,"",ORIG!Q1470)</f>
        <v/>
      </c>
      <c r="R1470" s="3">
        <f>IF(ORIG!R1470=0,"",ORIG!R1470)</f>
        <v/>
      </c>
      <c r="S1470" s="3">
        <f>IF(ORIG!S1470=0,"",ORIG!S1470)</f>
        <v/>
      </c>
      <c r="T1470" s="3">
        <f>IF(ORIG!T1470=0,"",ORIG!T1470)</f>
        <v/>
      </c>
      <c r="U1470" s="3">
        <f>IF(ORIG!U1470=0,"",ORIG!U1470)</f>
        <v/>
      </c>
      <c r="V1470" s="9">
        <f>IF(ORIG!V1470=0,"",ORIG!V1470)</f>
        <v/>
      </c>
      <c r="W1470" s="9">
        <f>IF(ORIG!W1470=0,"",ORIG!W1470)</f>
        <v/>
      </c>
      <c r="X1470" s="9">
        <f>IF(ORIG!X1470=0,"",ORIG!X1470)</f>
        <v/>
      </c>
      <c r="Y1470" s="9">
        <f>IF(ORIG!Y1470=0,"",ORIG!Y1470)</f>
        <v/>
      </c>
      <c r="Z1470" s="3">
        <f>SUMPRODUCT($B1470:$Y1470,$B$2649:$Y$2649)</f>
        <v/>
      </c>
      <c r="AA1470" s="3">
        <f>SUMPRODUCT($B1470:$Y1470,$B$2655:$Y$2655)</f>
        <v/>
      </c>
      <c r="AC1470" s="1">
        <f>A1470</f>
        <v/>
      </c>
      <c r="AD1470">
        <f>IF(ISNUMBER(V1470),V1470*($AB$1/V$2635),"")</f>
        <v/>
      </c>
      <c r="AE1470">
        <f>IF(ISNUMBER(Z1470),Z1470*($AB$1/Z$2635),"")</f>
        <v/>
      </c>
      <c r="AF1470" s="25">
        <f>IF(ISNUMBER(AD1470+AE1470),AD1470+AE1470,"")</f>
        <v/>
      </c>
      <c r="AH1470" s="1">
        <f>A1470</f>
        <v/>
      </c>
      <c r="AI1470">
        <f>IF(ISNUMBER((1+V1470)*AI1469),(1+V1470)*AI1469,AI1469)</f>
        <v/>
      </c>
      <c r="AJ1470">
        <f>IF(ISNUMBER((1+Z1470)*AJ1469),(1+Z1470)*AJ1469,AJ1469)</f>
        <v/>
      </c>
    </row>
    <row r="1471">
      <c r="A1471" s="1" t="n">
        <v>44134</v>
      </c>
      <c r="B1471" s="3">
        <f>IF(ORIG!B1471=0,"",ORIG!B1471)</f>
        <v/>
      </c>
      <c r="C1471" s="3">
        <f>IF(ORIG!C1471=0,"",ORIG!C1471)</f>
        <v/>
      </c>
      <c r="D1471" s="3">
        <f>IF(ORIG!D1471=0,"",ORIG!D1471)</f>
        <v/>
      </c>
      <c r="E1471" s="3">
        <f>IF(ORIG!E1471=0,"",ORIG!E1471)</f>
        <v/>
      </c>
      <c r="F1471" s="3">
        <f>IF(ORIG!F1471=0,"",ORIG!F1471)</f>
        <v/>
      </c>
      <c r="G1471" s="3">
        <f>IF(ORIG!G1471=0,"",ORIG!G1471)</f>
        <v/>
      </c>
      <c r="H1471" s="3">
        <f>IF(ORIG!H1471=0,"",ORIG!H1471)</f>
        <v/>
      </c>
      <c r="I1471" s="3">
        <f>IF(ORIG!I1471=0,"",ORIG!I1471)</f>
        <v/>
      </c>
      <c r="J1471" s="3">
        <f>IF(ORIG!J1471=0,"",ORIG!J1471)</f>
        <v/>
      </c>
      <c r="K1471" s="3">
        <f>IF(ORIG!K1471=0,"",ORIG!K1471)</f>
        <v/>
      </c>
      <c r="L1471" s="3">
        <f>IF(ORIG!L1471=0,"",ORIG!L1471)</f>
        <v/>
      </c>
      <c r="M1471" s="3">
        <f>IF(ORIG!M1471=0,"",ORIG!M1471)</f>
        <v/>
      </c>
      <c r="N1471" s="3">
        <f>IF(ORIG!N1471=0,"",ORIG!N1471)</f>
        <v/>
      </c>
      <c r="O1471" s="3">
        <f>IF(ORIG!O1471=0,"",ORIG!O1471)</f>
        <v/>
      </c>
      <c r="P1471" s="3">
        <f>IF(ORIG!P1471=0,"",ORIG!P1471)</f>
        <v/>
      </c>
      <c r="Q1471" s="3">
        <f>IF(ORIG!Q1471=0,"",ORIG!Q1471)</f>
        <v/>
      </c>
      <c r="R1471" s="3">
        <f>IF(ORIG!R1471=0,"",ORIG!R1471)</f>
        <v/>
      </c>
      <c r="S1471" s="3">
        <f>IF(ORIG!S1471=0,"",ORIG!S1471)</f>
        <v/>
      </c>
      <c r="T1471" s="3">
        <f>IF(ORIG!T1471=0,"",ORIG!T1471)</f>
        <v/>
      </c>
      <c r="U1471" s="3">
        <f>IF(ORIG!U1471=0,"",ORIG!U1471)</f>
        <v/>
      </c>
      <c r="V1471" s="9">
        <f>IF(ORIG!V1471=0,"",ORIG!V1471)</f>
        <v/>
      </c>
      <c r="W1471" s="9">
        <f>IF(ORIG!W1471=0,"",ORIG!W1471)</f>
        <v/>
      </c>
      <c r="X1471" s="9">
        <f>IF(ORIG!X1471=0,"",ORIG!X1471)</f>
        <v/>
      </c>
      <c r="Y1471" s="9">
        <f>IF(ORIG!Y1471=0,"",ORIG!Y1471)</f>
        <v/>
      </c>
      <c r="Z1471" s="3">
        <f>SUMPRODUCT($B1471:$Y1471,$B$2649:$Y$2649)</f>
        <v/>
      </c>
      <c r="AA1471" s="3">
        <f>SUMPRODUCT($B1471:$Y1471,$B$2655:$Y$2655)</f>
        <v/>
      </c>
      <c r="AC1471" s="1">
        <f>A1471</f>
        <v/>
      </c>
      <c r="AD1471">
        <f>IF(ISNUMBER(V1471),V1471*($AB$1/V$2635),"")</f>
        <v/>
      </c>
      <c r="AE1471">
        <f>IF(ISNUMBER(Z1471),Z1471*($AB$1/Z$2635),"")</f>
        <v/>
      </c>
      <c r="AF1471" s="25">
        <f>IF(ISNUMBER(AD1471+AE1471),AD1471+AE1471,"")</f>
        <v/>
      </c>
      <c r="AH1471" s="1">
        <f>A1471</f>
        <v/>
      </c>
      <c r="AI1471">
        <f>IF(ISNUMBER((1+V1471)*AI1470),(1+V1471)*AI1470,AI1470)</f>
        <v/>
      </c>
      <c r="AJ1471">
        <f>IF(ISNUMBER((1+Z1471)*AJ1470),(1+Z1471)*AJ1470,AJ1470)</f>
        <v/>
      </c>
    </row>
    <row r="1472">
      <c r="A1472" s="1" t="n">
        <v>44137</v>
      </c>
      <c r="B1472" s="3">
        <f>IF(ORIG!B1472=0,"",ORIG!B1472)</f>
        <v/>
      </c>
      <c r="C1472" s="3">
        <f>IF(ORIG!C1472=0,"",ORIG!C1472)</f>
        <v/>
      </c>
      <c r="D1472" s="3">
        <f>IF(ORIG!D1472=0,"",ORIG!D1472)</f>
        <v/>
      </c>
      <c r="E1472" s="3">
        <f>IF(ORIG!E1472=0,"",ORIG!E1472)</f>
        <v/>
      </c>
      <c r="F1472" s="3">
        <f>IF(ORIG!F1472=0,"",ORIG!F1472)</f>
        <v/>
      </c>
      <c r="G1472" s="3">
        <f>IF(ORIG!G1472=0,"",ORIG!G1472)</f>
        <v/>
      </c>
      <c r="H1472" s="3">
        <f>IF(ORIG!H1472=0,"",ORIG!H1472)</f>
        <v/>
      </c>
      <c r="I1472" s="3">
        <f>IF(ORIG!I1472=0,"",ORIG!I1472)</f>
        <v/>
      </c>
      <c r="J1472" s="3">
        <f>IF(ORIG!J1472=0,"",ORIG!J1472)</f>
        <v/>
      </c>
      <c r="K1472" s="3">
        <f>IF(ORIG!K1472=0,"",ORIG!K1472)</f>
        <v/>
      </c>
      <c r="L1472" s="3">
        <f>IF(ORIG!L1472=0,"",ORIG!L1472)</f>
        <v/>
      </c>
      <c r="M1472" s="3">
        <f>IF(ORIG!M1472=0,"",ORIG!M1472)</f>
        <v/>
      </c>
      <c r="N1472" s="3">
        <f>IF(ORIG!N1472=0,"",ORIG!N1472)</f>
        <v/>
      </c>
      <c r="O1472" s="3">
        <f>IF(ORIG!O1472=0,"",ORIG!O1472)</f>
        <v/>
      </c>
      <c r="P1472" s="3">
        <f>IF(ORIG!P1472=0,"",ORIG!P1472)</f>
        <v/>
      </c>
      <c r="Q1472" s="3">
        <f>IF(ORIG!Q1472=0,"",ORIG!Q1472)</f>
        <v/>
      </c>
      <c r="R1472" s="3">
        <f>IF(ORIG!R1472=0,"",ORIG!R1472)</f>
        <v/>
      </c>
      <c r="S1472" s="3">
        <f>IF(ORIG!S1472=0,"",ORIG!S1472)</f>
        <v/>
      </c>
      <c r="T1472" s="3">
        <f>IF(ORIG!T1472=0,"",ORIG!T1472)</f>
        <v/>
      </c>
      <c r="U1472" s="3">
        <f>IF(ORIG!U1472=0,"",ORIG!U1472)</f>
        <v/>
      </c>
      <c r="V1472" s="9">
        <f>IF(ORIG!V1472=0,"",ORIG!V1472)</f>
        <v/>
      </c>
      <c r="W1472" s="9">
        <f>IF(ORIG!W1472=0,"",ORIG!W1472)</f>
        <v/>
      </c>
      <c r="X1472" s="9">
        <f>IF(ORIG!X1472=0,"",ORIG!X1472)</f>
        <v/>
      </c>
      <c r="Y1472" s="9">
        <f>IF(ORIG!Y1472=0,"",ORIG!Y1472)</f>
        <v/>
      </c>
      <c r="Z1472" s="3">
        <f>SUMPRODUCT($B1472:$Y1472,$B$2649:$Y$2649)</f>
        <v/>
      </c>
      <c r="AA1472" s="3">
        <f>SUMPRODUCT($B1472:$Y1472,$B$2655:$Y$2655)</f>
        <v/>
      </c>
      <c r="AC1472" s="1">
        <f>A1472</f>
        <v/>
      </c>
      <c r="AD1472">
        <f>IF(ISNUMBER(V1472),V1472*($AB$1/V$2635),"")</f>
        <v/>
      </c>
      <c r="AE1472">
        <f>IF(ISNUMBER(Z1472),Z1472*($AB$1/Z$2635),"")</f>
        <v/>
      </c>
      <c r="AF1472" s="25">
        <f>IF(ISNUMBER(AD1472+AE1472),AD1472+AE1472,"")</f>
        <v/>
      </c>
      <c r="AH1472" s="1">
        <f>A1472</f>
        <v/>
      </c>
      <c r="AI1472">
        <f>IF(ISNUMBER((1+V1472)*AI1471),(1+V1472)*AI1471,AI1471)</f>
        <v/>
      </c>
      <c r="AJ1472">
        <f>IF(ISNUMBER((1+Z1472)*AJ1471),(1+Z1472)*AJ1471,AJ1471)</f>
        <v/>
      </c>
    </row>
    <row r="1473">
      <c r="A1473" s="1" t="n">
        <v>44138</v>
      </c>
      <c r="B1473" s="3">
        <f>IF(ORIG!B1473=0,"",ORIG!B1473)</f>
        <v/>
      </c>
      <c r="C1473" s="3">
        <f>IF(ORIG!C1473=0,"",ORIG!C1473)</f>
        <v/>
      </c>
      <c r="D1473" s="3">
        <f>IF(ORIG!D1473=0,"",ORIG!D1473)</f>
        <v/>
      </c>
      <c r="E1473" s="3">
        <f>IF(ORIG!E1473=0,"",ORIG!E1473)</f>
        <v/>
      </c>
      <c r="F1473" s="3">
        <f>IF(ORIG!F1473=0,"",ORIG!F1473)</f>
        <v/>
      </c>
      <c r="G1473" s="3">
        <f>IF(ORIG!G1473=0,"",ORIG!G1473)</f>
        <v/>
      </c>
      <c r="H1473" s="3">
        <f>IF(ORIG!H1473=0,"",ORIG!H1473)</f>
        <v/>
      </c>
      <c r="I1473" s="3">
        <f>IF(ORIG!I1473=0,"",ORIG!I1473)</f>
        <v/>
      </c>
      <c r="J1473" s="3">
        <f>IF(ORIG!J1473=0,"",ORIG!J1473)</f>
        <v/>
      </c>
      <c r="K1473" s="3">
        <f>IF(ORIG!K1473=0,"",ORIG!K1473)</f>
        <v/>
      </c>
      <c r="L1473" s="3">
        <f>IF(ORIG!L1473=0,"",ORIG!L1473)</f>
        <v/>
      </c>
      <c r="M1473" s="3">
        <f>IF(ORIG!M1473=0,"",ORIG!M1473)</f>
        <v/>
      </c>
      <c r="N1473" s="3">
        <f>IF(ORIG!N1473=0,"",ORIG!N1473)</f>
        <v/>
      </c>
      <c r="O1473" s="3">
        <f>IF(ORIG!O1473=0,"",ORIG!O1473)</f>
        <v/>
      </c>
      <c r="P1473" s="3">
        <f>IF(ORIG!P1473=0,"",ORIG!P1473)</f>
        <v/>
      </c>
      <c r="Q1473" s="3">
        <f>IF(ORIG!Q1473=0,"",ORIG!Q1473)</f>
        <v/>
      </c>
      <c r="R1473" s="3">
        <f>IF(ORIG!R1473=0,"",ORIG!R1473)</f>
        <v/>
      </c>
      <c r="S1473" s="3">
        <f>IF(ORIG!S1473=0,"",ORIG!S1473)</f>
        <v/>
      </c>
      <c r="T1473" s="3">
        <f>IF(ORIG!T1473=0,"",ORIG!T1473)</f>
        <v/>
      </c>
      <c r="U1473" s="3">
        <f>IF(ORIG!U1473=0,"",ORIG!U1473)</f>
        <v/>
      </c>
      <c r="V1473" s="9">
        <f>IF(ORIG!V1473=0,"",ORIG!V1473)</f>
        <v/>
      </c>
      <c r="W1473" s="9">
        <f>IF(ORIG!W1473=0,"",ORIG!W1473)</f>
        <v/>
      </c>
      <c r="X1473" s="9">
        <f>IF(ORIG!X1473=0,"",ORIG!X1473)</f>
        <v/>
      </c>
      <c r="Y1473" s="9">
        <f>IF(ORIG!Y1473=0,"",ORIG!Y1473)</f>
        <v/>
      </c>
      <c r="Z1473" s="3">
        <f>SUMPRODUCT($B1473:$Y1473,$B$2649:$Y$2649)</f>
        <v/>
      </c>
      <c r="AA1473" s="3">
        <f>SUMPRODUCT($B1473:$Y1473,$B$2655:$Y$2655)</f>
        <v/>
      </c>
      <c r="AC1473" s="1">
        <f>A1473</f>
        <v/>
      </c>
      <c r="AD1473">
        <f>IF(ISNUMBER(V1473),V1473*($AB$1/V$2635),"")</f>
        <v/>
      </c>
      <c r="AE1473">
        <f>IF(ISNUMBER(Z1473),Z1473*($AB$1/Z$2635),"")</f>
        <v/>
      </c>
      <c r="AF1473" s="25">
        <f>IF(ISNUMBER(AD1473+AE1473),AD1473+AE1473,"")</f>
        <v/>
      </c>
      <c r="AH1473" s="1">
        <f>A1473</f>
        <v/>
      </c>
      <c r="AI1473">
        <f>IF(ISNUMBER((1+V1473)*AI1472),(1+V1473)*AI1472,AI1472)</f>
        <v/>
      </c>
      <c r="AJ1473">
        <f>IF(ISNUMBER((1+Z1473)*AJ1472),(1+Z1473)*AJ1472,AJ1472)</f>
        <v/>
      </c>
    </row>
    <row r="1474">
      <c r="A1474" s="1" t="n">
        <v>44139</v>
      </c>
      <c r="B1474" s="3">
        <f>IF(ORIG!B1474=0,"",ORIG!B1474)</f>
        <v/>
      </c>
      <c r="C1474" s="3">
        <f>IF(ORIG!C1474=0,"",ORIG!C1474)</f>
        <v/>
      </c>
      <c r="D1474" s="3">
        <f>IF(ORIG!D1474=0,"",ORIG!D1474)</f>
        <v/>
      </c>
      <c r="E1474" s="3">
        <f>IF(ORIG!E1474=0,"",ORIG!E1474)</f>
        <v/>
      </c>
      <c r="F1474" s="3">
        <f>IF(ORIG!F1474=0,"",ORIG!F1474)</f>
        <v/>
      </c>
      <c r="G1474" s="3">
        <f>IF(ORIG!G1474=0,"",ORIG!G1474)</f>
        <v/>
      </c>
      <c r="H1474" s="3">
        <f>IF(ORIG!H1474=0,"",ORIG!H1474)</f>
        <v/>
      </c>
      <c r="I1474" s="3">
        <f>IF(ORIG!I1474=0,"",ORIG!I1474)</f>
        <v/>
      </c>
      <c r="J1474" s="3">
        <f>IF(ORIG!J1474=0,"",ORIG!J1474)</f>
        <v/>
      </c>
      <c r="K1474" s="3">
        <f>IF(ORIG!K1474=0,"",ORIG!K1474)</f>
        <v/>
      </c>
      <c r="L1474" s="3">
        <f>IF(ORIG!L1474=0,"",ORIG!L1474)</f>
        <v/>
      </c>
      <c r="M1474" s="3">
        <f>IF(ORIG!M1474=0,"",ORIG!M1474)</f>
        <v/>
      </c>
      <c r="N1474" s="3">
        <f>IF(ORIG!N1474=0,"",ORIG!N1474)</f>
        <v/>
      </c>
      <c r="O1474" s="3">
        <f>IF(ORIG!O1474=0,"",ORIG!O1474)</f>
        <v/>
      </c>
      <c r="P1474" s="3">
        <f>IF(ORIG!P1474=0,"",ORIG!P1474)</f>
        <v/>
      </c>
      <c r="Q1474" s="3">
        <f>IF(ORIG!Q1474=0,"",ORIG!Q1474)</f>
        <v/>
      </c>
      <c r="R1474" s="3">
        <f>IF(ORIG!R1474=0,"",ORIG!R1474)</f>
        <v/>
      </c>
      <c r="S1474" s="3">
        <f>IF(ORIG!S1474=0,"",ORIG!S1474)</f>
        <v/>
      </c>
      <c r="T1474" s="3">
        <f>IF(ORIG!T1474=0,"",ORIG!T1474)</f>
        <v/>
      </c>
      <c r="U1474" s="3">
        <f>IF(ORIG!U1474=0,"",ORIG!U1474)</f>
        <v/>
      </c>
      <c r="V1474" s="9">
        <f>IF(ORIG!V1474=0,"",ORIG!V1474)</f>
        <v/>
      </c>
      <c r="W1474" s="9">
        <f>IF(ORIG!W1474=0,"",ORIG!W1474)</f>
        <v/>
      </c>
      <c r="X1474" s="9">
        <f>IF(ORIG!X1474=0,"",ORIG!X1474)</f>
        <v/>
      </c>
      <c r="Y1474" s="9">
        <f>IF(ORIG!Y1474=0,"",ORIG!Y1474)</f>
        <v/>
      </c>
      <c r="Z1474" s="3">
        <f>SUMPRODUCT($B1474:$Y1474,$B$2649:$Y$2649)</f>
        <v/>
      </c>
      <c r="AA1474" s="3">
        <f>SUMPRODUCT($B1474:$Y1474,$B$2655:$Y$2655)</f>
        <v/>
      </c>
      <c r="AC1474" s="1">
        <f>A1474</f>
        <v/>
      </c>
      <c r="AD1474">
        <f>IF(ISNUMBER(V1474),V1474*($AB$1/V$2635),"")</f>
        <v/>
      </c>
      <c r="AE1474">
        <f>IF(ISNUMBER(Z1474),Z1474*($AB$1/Z$2635),"")</f>
        <v/>
      </c>
      <c r="AF1474" s="25">
        <f>IF(ISNUMBER(AD1474+AE1474),AD1474+AE1474,"")</f>
        <v/>
      </c>
      <c r="AH1474" s="1">
        <f>A1474</f>
        <v/>
      </c>
      <c r="AI1474">
        <f>IF(ISNUMBER((1+V1474)*AI1473),(1+V1474)*AI1473,AI1473)</f>
        <v/>
      </c>
      <c r="AJ1474">
        <f>IF(ISNUMBER((1+Z1474)*AJ1473),(1+Z1474)*AJ1473,AJ1473)</f>
        <v/>
      </c>
    </row>
    <row r="1475">
      <c r="A1475" s="1" t="n">
        <v>44140</v>
      </c>
      <c r="B1475" s="3">
        <f>IF(ORIG!B1475=0,"",ORIG!B1475)</f>
        <v/>
      </c>
      <c r="C1475" s="3">
        <f>IF(ORIG!C1475=0,"",ORIG!C1475)</f>
        <v/>
      </c>
      <c r="D1475" s="3">
        <f>IF(ORIG!D1475=0,"",ORIG!D1475)</f>
        <v/>
      </c>
      <c r="E1475" s="3">
        <f>IF(ORIG!E1475=0,"",ORIG!E1475)</f>
        <v/>
      </c>
      <c r="F1475" s="3">
        <f>IF(ORIG!F1475=0,"",ORIG!F1475)</f>
        <v/>
      </c>
      <c r="G1475" s="3">
        <f>IF(ORIG!G1475=0,"",ORIG!G1475)</f>
        <v/>
      </c>
      <c r="H1475" s="3">
        <f>IF(ORIG!H1475=0,"",ORIG!H1475)</f>
        <v/>
      </c>
      <c r="I1475" s="3">
        <f>IF(ORIG!I1475=0,"",ORIG!I1475)</f>
        <v/>
      </c>
      <c r="J1475" s="3">
        <f>IF(ORIG!J1475=0,"",ORIG!J1475)</f>
        <v/>
      </c>
      <c r="K1475" s="3">
        <f>IF(ORIG!K1475=0,"",ORIG!K1475)</f>
        <v/>
      </c>
      <c r="L1475" s="3">
        <f>IF(ORIG!L1475=0,"",ORIG!L1475)</f>
        <v/>
      </c>
      <c r="M1475" s="3">
        <f>IF(ORIG!M1475=0,"",ORIG!M1475)</f>
        <v/>
      </c>
      <c r="N1475" s="3">
        <f>IF(ORIG!N1475=0,"",ORIG!N1475)</f>
        <v/>
      </c>
      <c r="O1475" s="3">
        <f>IF(ORIG!O1475=0,"",ORIG!O1475)</f>
        <v/>
      </c>
      <c r="P1475" s="3">
        <f>IF(ORIG!P1475=0,"",ORIG!P1475)</f>
        <v/>
      </c>
      <c r="Q1475" s="3">
        <f>IF(ORIG!Q1475=0,"",ORIG!Q1475)</f>
        <v/>
      </c>
      <c r="R1475" s="3">
        <f>IF(ORIG!R1475=0,"",ORIG!R1475)</f>
        <v/>
      </c>
      <c r="S1475" s="3">
        <f>IF(ORIG!S1475=0,"",ORIG!S1475)</f>
        <v/>
      </c>
      <c r="T1475" s="3">
        <f>IF(ORIG!T1475=0,"",ORIG!T1475)</f>
        <v/>
      </c>
      <c r="U1475" s="3">
        <f>IF(ORIG!U1475=0,"",ORIG!U1475)</f>
        <v/>
      </c>
      <c r="V1475" s="9">
        <f>IF(ORIG!V1475=0,"",ORIG!V1475)</f>
        <v/>
      </c>
      <c r="W1475" s="9">
        <f>IF(ORIG!W1475=0,"",ORIG!W1475)</f>
        <v/>
      </c>
      <c r="X1475" s="9">
        <f>IF(ORIG!X1475=0,"",ORIG!X1475)</f>
        <v/>
      </c>
      <c r="Y1475" s="9">
        <f>IF(ORIG!Y1475=0,"",ORIG!Y1475)</f>
        <v/>
      </c>
      <c r="Z1475" s="3">
        <f>SUMPRODUCT($B1475:$Y1475,$B$2649:$Y$2649)</f>
        <v/>
      </c>
      <c r="AA1475" s="3">
        <f>SUMPRODUCT($B1475:$Y1475,$B$2655:$Y$2655)</f>
        <v/>
      </c>
      <c r="AC1475" s="1">
        <f>A1475</f>
        <v/>
      </c>
      <c r="AD1475">
        <f>IF(ISNUMBER(V1475),V1475*($AB$1/V$2635),"")</f>
        <v/>
      </c>
      <c r="AE1475">
        <f>IF(ISNUMBER(Z1475),Z1475*($AB$1/Z$2635),"")</f>
        <v/>
      </c>
      <c r="AF1475" s="25">
        <f>IF(ISNUMBER(AD1475+AE1475),AD1475+AE1475,"")</f>
        <v/>
      </c>
      <c r="AH1475" s="1">
        <f>A1475</f>
        <v/>
      </c>
      <c r="AI1475">
        <f>IF(ISNUMBER((1+V1475)*AI1474),(1+V1475)*AI1474,AI1474)</f>
        <v/>
      </c>
      <c r="AJ1475">
        <f>IF(ISNUMBER((1+Z1475)*AJ1474),(1+Z1475)*AJ1474,AJ1474)</f>
        <v/>
      </c>
    </row>
    <row r="1476">
      <c r="A1476" s="1" t="n">
        <v>44141</v>
      </c>
      <c r="B1476" s="3">
        <f>IF(ORIG!B1476=0,"",ORIG!B1476)</f>
        <v/>
      </c>
      <c r="C1476" s="3">
        <f>IF(ORIG!C1476=0,"",ORIG!C1476)</f>
        <v/>
      </c>
      <c r="D1476" s="3">
        <f>IF(ORIG!D1476=0,"",ORIG!D1476)</f>
        <v/>
      </c>
      <c r="E1476" s="3">
        <f>IF(ORIG!E1476=0,"",ORIG!E1476)</f>
        <v/>
      </c>
      <c r="F1476" s="3">
        <f>IF(ORIG!F1476=0,"",ORIG!F1476)</f>
        <v/>
      </c>
      <c r="G1476" s="3">
        <f>IF(ORIG!G1476=0,"",ORIG!G1476)</f>
        <v/>
      </c>
      <c r="H1476" s="3">
        <f>IF(ORIG!H1476=0,"",ORIG!H1476)</f>
        <v/>
      </c>
      <c r="I1476" s="3">
        <f>IF(ORIG!I1476=0,"",ORIG!I1476)</f>
        <v/>
      </c>
      <c r="J1476" s="3">
        <f>IF(ORIG!J1476=0,"",ORIG!J1476)</f>
        <v/>
      </c>
      <c r="K1476" s="3">
        <f>IF(ORIG!K1476=0,"",ORIG!K1476)</f>
        <v/>
      </c>
      <c r="L1476" s="3">
        <f>IF(ORIG!L1476=0,"",ORIG!L1476)</f>
        <v/>
      </c>
      <c r="M1476" s="3">
        <f>IF(ORIG!M1476=0,"",ORIG!M1476)</f>
        <v/>
      </c>
      <c r="N1476" s="3">
        <f>IF(ORIG!N1476=0,"",ORIG!N1476)</f>
        <v/>
      </c>
      <c r="O1476" s="3">
        <f>IF(ORIG!O1476=0,"",ORIG!O1476)</f>
        <v/>
      </c>
      <c r="P1476" s="3">
        <f>IF(ORIG!P1476=0,"",ORIG!P1476)</f>
        <v/>
      </c>
      <c r="Q1476" s="3">
        <f>IF(ORIG!Q1476=0,"",ORIG!Q1476)</f>
        <v/>
      </c>
      <c r="R1476" s="3">
        <f>IF(ORIG!R1476=0,"",ORIG!R1476)</f>
        <v/>
      </c>
      <c r="S1476" s="3">
        <f>IF(ORIG!S1476=0,"",ORIG!S1476)</f>
        <v/>
      </c>
      <c r="T1476" s="3">
        <f>IF(ORIG!T1476=0,"",ORIG!T1476)</f>
        <v/>
      </c>
      <c r="U1476" s="3">
        <f>IF(ORIG!U1476=0,"",ORIG!U1476)</f>
        <v/>
      </c>
      <c r="V1476" s="9">
        <f>IF(ORIG!V1476=0,"",ORIG!V1476)</f>
        <v/>
      </c>
      <c r="W1476" s="9">
        <f>IF(ORIG!W1476=0,"",ORIG!W1476)</f>
        <v/>
      </c>
      <c r="X1476" s="9">
        <f>IF(ORIG!X1476=0,"",ORIG!X1476)</f>
        <v/>
      </c>
      <c r="Y1476" s="9">
        <f>IF(ORIG!Y1476=0,"",ORIG!Y1476)</f>
        <v/>
      </c>
      <c r="Z1476" s="3">
        <f>SUMPRODUCT($B1476:$Y1476,$B$2649:$Y$2649)</f>
        <v/>
      </c>
      <c r="AA1476" s="3">
        <f>SUMPRODUCT($B1476:$Y1476,$B$2655:$Y$2655)</f>
        <v/>
      </c>
      <c r="AC1476" s="1">
        <f>A1476</f>
        <v/>
      </c>
      <c r="AD1476">
        <f>IF(ISNUMBER(V1476),V1476*($AB$1/V$2635),"")</f>
        <v/>
      </c>
      <c r="AE1476">
        <f>IF(ISNUMBER(Z1476),Z1476*($AB$1/Z$2635),"")</f>
        <v/>
      </c>
      <c r="AF1476" s="25">
        <f>IF(ISNUMBER(AD1476+AE1476),AD1476+AE1476,"")</f>
        <v/>
      </c>
      <c r="AH1476" s="1">
        <f>A1476</f>
        <v/>
      </c>
      <c r="AI1476">
        <f>IF(ISNUMBER((1+V1476)*AI1475),(1+V1476)*AI1475,AI1475)</f>
        <v/>
      </c>
      <c r="AJ1476">
        <f>IF(ISNUMBER((1+Z1476)*AJ1475),(1+Z1476)*AJ1475,AJ1475)</f>
        <v/>
      </c>
    </row>
    <row r="1477">
      <c r="A1477" s="1" t="n">
        <v>44144</v>
      </c>
      <c r="B1477" s="3">
        <f>IF(ORIG!B1477=0,"",ORIG!B1477)</f>
        <v/>
      </c>
      <c r="C1477" s="3">
        <f>IF(ORIG!C1477=0,"",ORIG!C1477)</f>
        <v/>
      </c>
      <c r="D1477" s="3">
        <f>IF(ORIG!D1477=0,"",ORIG!D1477)</f>
        <v/>
      </c>
      <c r="E1477" s="3">
        <f>IF(ORIG!E1477=0,"",ORIG!E1477)</f>
        <v/>
      </c>
      <c r="F1477" s="3">
        <f>IF(ORIG!F1477=0,"",ORIG!F1477)</f>
        <v/>
      </c>
      <c r="G1477" s="3">
        <f>IF(ORIG!G1477=0,"",ORIG!G1477)</f>
        <v/>
      </c>
      <c r="H1477" s="3">
        <f>IF(ORIG!H1477=0,"",ORIG!H1477)</f>
        <v/>
      </c>
      <c r="I1477" s="3">
        <f>IF(ORIG!I1477=0,"",ORIG!I1477)</f>
        <v/>
      </c>
      <c r="J1477" s="3">
        <f>IF(ORIG!J1477=0,"",ORIG!J1477)</f>
        <v/>
      </c>
      <c r="K1477" s="3">
        <f>IF(ORIG!K1477=0,"",ORIG!K1477)</f>
        <v/>
      </c>
      <c r="L1477" s="3">
        <f>IF(ORIG!L1477=0,"",ORIG!L1477)</f>
        <v/>
      </c>
      <c r="M1477" s="3">
        <f>IF(ORIG!M1477=0,"",ORIG!M1477)</f>
        <v/>
      </c>
      <c r="N1477" s="3">
        <f>IF(ORIG!N1477=0,"",ORIG!N1477)</f>
        <v/>
      </c>
      <c r="O1477" s="3">
        <f>IF(ORIG!O1477=0,"",ORIG!O1477)</f>
        <v/>
      </c>
      <c r="P1477" s="3">
        <f>IF(ORIG!P1477=0,"",ORIG!P1477)</f>
        <v/>
      </c>
      <c r="Q1477" s="3">
        <f>IF(ORIG!Q1477=0,"",ORIG!Q1477)</f>
        <v/>
      </c>
      <c r="R1477" s="3">
        <f>IF(ORIG!R1477=0,"",ORIG!R1477)</f>
        <v/>
      </c>
      <c r="S1477" s="3">
        <f>IF(ORIG!S1477=0,"",ORIG!S1477)</f>
        <v/>
      </c>
      <c r="T1477" s="3">
        <f>IF(ORIG!T1477=0,"",ORIG!T1477)</f>
        <v/>
      </c>
      <c r="U1477" s="3">
        <f>IF(ORIG!U1477=0,"",ORIG!U1477)</f>
        <v/>
      </c>
      <c r="V1477" s="9">
        <f>IF(ORIG!V1477=0,"",ORIG!V1477)</f>
        <v/>
      </c>
      <c r="W1477" s="9">
        <f>IF(ORIG!W1477=0,"",ORIG!W1477)</f>
        <v/>
      </c>
      <c r="X1477" s="9">
        <f>IF(ORIG!X1477=0,"",ORIG!X1477)</f>
        <v/>
      </c>
      <c r="Y1477" s="9">
        <f>IF(ORIG!Y1477=0,"",ORIG!Y1477)</f>
        <v/>
      </c>
      <c r="Z1477" s="3">
        <f>SUMPRODUCT($B1477:$Y1477,$B$2649:$Y$2649)</f>
        <v/>
      </c>
      <c r="AA1477" s="3">
        <f>SUMPRODUCT($B1477:$Y1477,$B$2655:$Y$2655)</f>
        <v/>
      </c>
      <c r="AC1477" s="1">
        <f>A1477</f>
        <v/>
      </c>
      <c r="AD1477">
        <f>IF(ISNUMBER(V1477),V1477*($AB$1/V$2635),"")</f>
        <v/>
      </c>
      <c r="AE1477">
        <f>IF(ISNUMBER(Z1477),Z1477*($AB$1/Z$2635),"")</f>
        <v/>
      </c>
      <c r="AF1477" s="25">
        <f>IF(ISNUMBER(AD1477+AE1477),AD1477+AE1477,"")</f>
        <v/>
      </c>
      <c r="AH1477" s="1">
        <f>A1477</f>
        <v/>
      </c>
      <c r="AI1477">
        <f>IF(ISNUMBER((1+V1477)*AI1476),(1+V1477)*AI1476,AI1476)</f>
        <v/>
      </c>
      <c r="AJ1477">
        <f>IF(ISNUMBER((1+Z1477)*AJ1476),(1+Z1477)*AJ1476,AJ1476)</f>
        <v/>
      </c>
    </row>
    <row r="1478">
      <c r="A1478" s="1" t="n">
        <v>44145</v>
      </c>
      <c r="B1478" s="3">
        <f>IF(ORIG!B1478=0,"",ORIG!B1478)</f>
        <v/>
      </c>
      <c r="C1478" s="3">
        <f>IF(ORIG!C1478=0,"",ORIG!C1478)</f>
        <v/>
      </c>
      <c r="D1478" s="3">
        <f>IF(ORIG!D1478=0,"",ORIG!D1478)</f>
        <v/>
      </c>
      <c r="E1478" s="3">
        <f>IF(ORIG!E1478=0,"",ORIG!E1478)</f>
        <v/>
      </c>
      <c r="F1478" s="3">
        <f>IF(ORIG!F1478=0,"",ORIG!F1478)</f>
        <v/>
      </c>
      <c r="G1478" s="3">
        <f>IF(ORIG!G1478=0,"",ORIG!G1478)</f>
        <v/>
      </c>
      <c r="H1478" s="3">
        <f>IF(ORIG!H1478=0,"",ORIG!H1478)</f>
        <v/>
      </c>
      <c r="I1478" s="3">
        <f>IF(ORIG!I1478=0,"",ORIG!I1478)</f>
        <v/>
      </c>
      <c r="J1478" s="3">
        <f>IF(ORIG!J1478=0,"",ORIG!J1478)</f>
        <v/>
      </c>
      <c r="K1478" s="3">
        <f>IF(ORIG!K1478=0,"",ORIG!K1478)</f>
        <v/>
      </c>
      <c r="L1478" s="3">
        <f>IF(ORIG!L1478=0,"",ORIG!L1478)</f>
        <v/>
      </c>
      <c r="M1478" s="3">
        <f>IF(ORIG!M1478=0,"",ORIG!M1478)</f>
        <v/>
      </c>
      <c r="N1478" s="3">
        <f>IF(ORIG!N1478=0,"",ORIG!N1478)</f>
        <v/>
      </c>
      <c r="O1478" s="3">
        <f>IF(ORIG!O1478=0,"",ORIG!O1478)</f>
        <v/>
      </c>
      <c r="P1478" s="3">
        <f>IF(ORIG!P1478=0,"",ORIG!P1478)</f>
        <v/>
      </c>
      <c r="Q1478" s="3">
        <f>IF(ORIG!Q1478=0,"",ORIG!Q1478)</f>
        <v/>
      </c>
      <c r="R1478" s="3">
        <f>IF(ORIG!R1478=0,"",ORIG!R1478)</f>
        <v/>
      </c>
      <c r="S1478" s="3">
        <f>IF(ORIG!S1478=0,"",ORIG!S1478)</f>
        <v/>
      </c>
      <c r="T1478" s="3">
        <f>IF(ORIG!T1478=0,"",ORIG!T1478)</f>
        <v/>
      </c>
      <c r="U1478" s="3">
        <f>IF(ORIG!U1478=0,"",ORIG!U1478)</f>
        <v/>
      </c>
      <c r="V1478" s="9">
        <f>IF(ORIG!V1478=0,"",ORIG!V1478)</f>
        <v/>
      </c>
      <c r="W1478" s="9">
        <f>IF(ORIG!W1478=0,"",ORIG!W1478)</f>
        <v/>
      </c>
      <c r="X1478" s="9">
        <f>IF(ORIG!X1478=0,"",ORIG!X1478)</f>
        <v/>
      </c>
      <c r="Y1478" s="9">
        <f>IF(ORIG!Y1478=0,"",ORIG!Y1478)</f>
        <v/>
      </c>
      <c r="Z1478" s="3">
        <f>SUMPRODUCT($B1478:$Y1478,$B$2649:$Y$2649)</f>
        <v/>
      </c>
      <c r="AA1478" s="3">
        <f>SUMPRODUCT($B1478:$Y1478,$B$2655:$Y$2655)</f>
        <v/>
      </c>
      <c r="AC1478" s="1">
        <f>A1478</f>
        <v/>
      </c>
      <c r="AD1478">
        <f>IF(ISNUMBER(V1478),V1478*($AB$1/V$2635),"")</f>
        <v/>
      </c>
      <c r="AE1478">
        <f>IF(ISNUMBER(Z1478),Z1478*($AB$1/Z$2635),"")</f>
        <v/>
      </c>
      <c r="AF1478" s="25">
        <f>IF(ISNUMBER(AD1478+AE1478),AD1478+AE1478,"")</f>
        <v/>
      </c>
      <c r="AH1478" s="1">
        <f>A1478</f>
        <v/>
      </c>
      <c r="AI1478">
        <f>IF(ISNUMBER((1+V1478)*AI1477),(1+V1478)*AI1477,AI1477)</f>
        <v/>
      </c>
      <c r="AJ1478">
        <f>IF(ISNUMBER((1+Z1478)*AJ1477),(1+Z1478)*AJ1477,AJ1477)</f>
        <v/>
      </c>
    </row>
    <row r="1479">
      <c r="A1479" s="1" t="n">
        <v>44146</v>
      </c>
      <c r="B1479" s="3">
        <f>IF(ORIG!B1479=0,"",ORIG!B1479)</f>
        <v/>
      </c>
      <c r="C1479" s="3">
        <f>IF(ORIG!C1479=0,"",ORIG!C1479)</f>
        <v/>
      </c>
      <c r="D1479" s="3">
        <f>IF(ORIG!D1479=0,"",ORIG!D1479)</f>
        <v/>
      </c>
      <c r="E1479" s="3">
        <f>IF(ORIG!E1479=0,"",ORIG!E1479)</f>
        <v/>
      </c>
      <c r="F1479" s="3">
        <f>IF(ORIG!F1479=0,"",ORIG!F1479)</f>
        <v/>
      </c>
      <c r="G1479" s="3">
        <f>IF(ORIG!G1479=0,"",ORIG!G1479)</f>
        <v/>
      </c>
      <c r="H1479" s="3">
        <f>IF(ORIG!H1479=0,"",ORIG!H1479)</f>
        <v/>
      </c>
      <c r="I1479" s="3">
        <f>IF(ORIG!I1479=0,"",ORIG!I1479)</f>
        <v/>
      </c>
      <c r="J1479" s="3">
        <f>IF(ORIG!J1479=0,"",ORIG!J1479)</f>
        <v/>
      </c>
      <c r="K1479" s="3">
        <f>IF(ORIG!K1479=0,"",ORIG!K1479)</f>
        <v/>
      </c>
      <c r="L1479" s="3">
        <f>IF(ORIG!L1479=0,"",ORIG!L1479)</f>
        <v/>
      </c>
      <c r="M1479" s="3">
        <f>IF(ORIG!M1479=0,"",ORIG!M1479)</f>
        <v/>
      </c>
      <c r="N1479" s="3">
        <f>IF(ORIG!N1479=0,"",ORIG!N1479)</f>
        <v/>
      </c>
      <c r="O1479" s="3">
        <f>IF(ORIG!O1479=0,"",ORIG!O1479)</f>
        <v/>
      </c>
      <c r="P1479" s="3">
        <f>IF(ORIG!P1479=0,"",ORIG!P1479)</f>
        <v/>
      </c>
      <c r="Q1479" s="3">
        <f>IF(ORIG!Q1479=0,"",ORIG!Q1479)</f>
        <v/>
      </c>
      <c r="R1479" s="3">
        <f>IF(ORIG!R1479=0,"",ORIG!R1479)</f>
        <v/>
      </c>
      <c r="S1479" s="3">
        <f>IF(ORIG!S1479=0,"",ORIG!S1479)</f>
        <v/>
      </c>
      <c r="T1479" s="3">
        <f>IF(ORIG!T1479=0,"",ORIG!T1479)</f>
        <v/>
      </c>
      <c r="U1479" s="3">
        <f>IF(ORIG!U1479=0,"",ORIG!U1479)</f>
        <v/>
      </c>
      <c r="V1479" s="9">
        <f>IF(ORIG!V1479=0,"",ORIG!V1479)</f>
        <v/>
      </c>
      <c r="W1479" s="9">
        <f>IF(ORIG!W1479=0,"",ORIG!W1479)</f>
        <v/>
      </c>
      <c r="X1479" s="9">
        <f>IF(ORIG!X1479=0,"",ORIG!X1479)</f>
        <v/>
      </c>
      <c r="Y1479" s="9">
        <f>IF(ORIG!Y1479=0,"",ORIG!Y1479)</f>
        <v/>
      </c>
      <c r="Z1479" s="3">
        <f>SUMPRODUCT($B1479:$Y1479,$B$2649:$Y$2649)</f>
        <v/>
      </c>
      <c r="AA1479" s="3">
        <f>SUMPRODUCT($B1479:$Y1479,$B$2655:$Y$2655)</f>
        <v/>
      </c>
      <c r="AC1479" s="1">
        <f>A1479</f>
        <v/>
      </c>
      <c r="AD1479">
        <f>IF(ISNUMBER(V1479),V1479*($AB$1/V$2635),"")</f>
        <v/>
      </c>
      <c r="AE1479">
        <f>IF(ISNUMBER(Z1479),Z1479*($AB$1/Z$2635),"")</f>
        <v/>
      </c>
      <c r="AF1479" s="25">
        <f>IF(ISNUMBER(AD1479+AE1479),AD1479+AE1479,"")</f>
        <v/>
      </c>
      <c r="AH1479" s="1">
        <f>A1479</f>
        <v/>
      </c>
      <c r="AI1479">
        <f>IF(ISNUMBER((1+V1479)*AI1478),(1+V1479)*AI1478,AI1478)</f>
        <v/>
      </c>
      <c r="AJ1479">
        <f>IF(ISNUMBER((1+Z1479)*AJ1478),(1+Z1479)*AJ1478,AJ1478)</f>
        <v/>
      </c>
    </row>
    <row r="1480">
      <c r="A1480" s="1" t="n">
        <v>44147</v>
      </c>
      <c r="B1480" s="3">
        <f>IF(ORIG!B1480=0,"",ORIG!B1480)</f>
        <v/>
      </c>
      <c r="C1480" s="3">
        <f>IF(ORIG!C1480=0,"",ORIG!C1480)</f>
        <v/>
      </c>
      <c r="D1480" s="3">
        <f>IF(ORIG!D1480=0,"",ORIG!D1480)</f>
        <v/>
      </c>
      <c r="E1480" s="3">
        <f>IF(ORIG!E1480=0,"",ORIG!E1480)</f>
        <v/>
      </c>
      <c r="F1480" s="3">
        <f>IF(ORIG!F1480=0,"",ORIG!F1480)</f>
        <v/>
      </c>
      <c r="G1480" s="3">
        <f>IF(ORIG!G1480=0,"",ORIG!G1480)</f>
        <v/>
      </c>
      <c r="H1480" s="3">
        <f>IF(ORIG!H1480=0,"",ORIG!H1480)</f>
        <v/>
      </c>
      <c r="I1480" s="3">
        <f>IF(ORIG!I1480=0,"",ORIG!I1480)</f>
        <v/>
      </c>
      <c r="J1480" s="3">
        <f>IF(ORIG!J1480=0,"",ORIG!J1480)</f>
        <v/>
      </c>
      <c r="K1480" s="3">
        <f>IF(ORIG!K1480=0,"",ORIG!K1480)</f>
        <v/>
      </c>
      <c r="L1480" s="3">
        <f>IF(ORIG!L1480=0,"",ORIG!L1480)</f>
        <v/>
      </c>
      <c r="M1480" s="3">
        <f>IF(ORIG!M1480=0,"",ORIG!M1480)</f>
        <v/>
      </c>
      <c r="N1480" s="3">
        <f>IF(ORIG!N1480=0,"",ORIG!N1480)</f>
        <v/>
      </c>
      <c r="O1480" s="3">
        <f>IF(ORIG!O1480=0,"",ORIG!O1480)</f>
        <v/>
      </c>
      <c r="P1480" s="3">
        <f>IF(ORIG!P1480=0,"",ORIG!P1480)</f>
        <v/>
      </c>
      <c r="Q1480" s="3">
        <f>IF(ORIG!Q1480=0,"",ORIG!Q1480)</f>
        <v/>
      </c>
      <c r="R1480" s="3">
        <f>IF(ORIG!R1480=0,"",ORIG!R1480)</f>
        <v/>
      </c>
      <c r="S1480" s="3">
        <f>IF(ORIG!S1480=0,"",ORIG!S1480)</f>
        <v/>
      </c>
      <c r="T1480" s="3">
        <f>IF(ORIG!T1480=0,"",ORIG!T1480)</f>
        <v/>
      </c>
      <c r="U1480" s="3">
        <f>IF(ORIG!U1480=0,"",ORIG!U1480)</f>
        <v/>
      </c>
      <c r="V1480" s="9">
        <f>IF(ORIG!V1480=0,"",ORIG!V1480)</f>
        <v/>
      </c>
      <c r="W1480" s="9">
        <f>IF(ORIG!W1480=0,"",ORIG!W1480)</f>
        <v/>
      </c>
      <c r="X1480" s="9">
        <f>IF(ORIG!X1480=0,"",ORIG!X1480)</f>
        <v/>
      </c>
      <c r="Y1480" s="9">
        <f>IF(ORIG!Y1480=0,"",ORIG!Y1480)</f>
        <v/>
      </c>
      <c r="Z1480" s="3">
        <f>SUMPRODUCT($B1480:$Y1480,$B$2649:$Y$2649)</f>
        <v/>
      </c>
      <c r="AA1480" s="3">
        <f>SUMPRODUCT($B1480:$Y1480,$B$2655:$Y$2655)</f>
        <v/>
      </c>
      <c r="AC1480" s="1">
        <f>A1480</f>
        <v/>
      </c>
      <c r="AD1480">
        <f>IF(ISNUMBER(V1480),V1480*($AB$1/V$2635),"")</f>
        <v/>
      </c>
      <c r="AE1480">
        <f>IF(ISNUMBER(Z1480),Z1480*($AB$1/Z$2635),"")</f>
        <v/>
      </c>
      <c r="AF1480" s="25">
        <f>IF(ISNUMBER(AD1480+AE1480),AD1480+AE1480,"")</f>
        <v/>
      </c>
      <c r="AH1480" s="1">
        <f>A1480</f>
        <v/>
      </c>
      <c r="AI1480">
        <f>IF(ISNUMBER((1+V1480)*AI1479),(1+V1480)*AI1479,AI1479)</f>
        <v/>
      </c>
      <c r="AJ1480">
        <f>IF(ISNUMBER((1+Z1480)*AJ1479),(1+Z1480)*AJ1479,AJ1479)</f>
        <v/>
      </c>
    </row>
    <row r="1481">
      <c r="A1481" s="1" t="n">
        <v>44148</v>
      </c>
      <c r="B1481" s="3">
        <f>IF(ORIG!B1481=0,"",ORIG!B1481)</f>
        <v/>
      </c>
      <c r="C1481" s="3">
        <f>IF(ORIG!C1481=0,"",ORIG!C1481)</f>
        <v/>
      </c>
      <c r="D1481" s="3">
        <f>IF(ORIG!D1481=0,"",ORIG!D1481)</f>
        <v/>
      </c>
      <c r="E1481" s="3">
        <f>IF(ORIG!E1481=0,"",ORIG!E1481)</f>
        <v/>
      </c>
      <c r="F1481" s="3">
        <f>IF(ORIG!F1481=0,"",ORIG!F1481)</f>
        <v/>
      </c>
      <c r="G1481" s="3">
        <f>IF(ORIG!G1481=0,"",ORIG!G1481)</f>
        <v/>
      </c>
      <c r="H1481" s="3">
        <f>IF(ORIG!H1481=0,"",ORIG!H1481)</f>
        <v/>
      </c>
      <c r="I1481" s="3">
        <f>IF(ORIG!I1481=0,"",ORIG!I1481)</f>
        <v/>
      </c>
      <c r="J1481" s="3">
        <f>IF(ORIG!J1481=0,"",ORIG!J1481)</f>
        <v/>
      </c>
      <c r="K1481" s="3">
        <f>IF(ORIG!K1481=0,"",ORIG!K1481)</f>
        <v/>
      </c>
      <c r="L1481" s="3">
        <f>IF(ORIG!L1481=0,"",ORIG!L1481)</f>
        <v/>
      </c>
      <c r="M1481" s="3">
        <f>IF(ORIG!M1481=0,"",ORIG!M1481)</f>
        <v/>
      </c>
      <c r="N1481" s="3">
        <f>IF(ORIG!N1481=0,"",ORIG!N1481)</f>
        <v/>
      </c>
      <c r="O1481" s="3">
        <f>IF(ORIG!O1481=0,"",ORIG!O1481)</f>
        <v/>
      </c>
      <c r="P1481" s="3">
        <f>IF(ORIG!P1481=0,"",ORIG!P1481)</f>
        <v/>
      </c>
      <c r="Q1481" s="3">
        <f>IF(ORIG!Q1481=0,"",ORIG!Q1481)</f>
        <v/>
      </c>
      <c r="R1481" s="3">
        <f>IF(ORIG!R1481=0,"",ORIG!R1481)</f>
        <v/>
      </c>
      <c r="S1481" s="3">
        <f>IF(ORIG!S1481=0,"",ORIG!S1481)</f>
        <v/>
      </c>
      <c r="T1481" s="3">
        <f>IF(ORIG!T1481=0,"",ORIG!T1481)</f>
        <v/>
      </c>
      <c r="U1481" s="3">
        <f>IF(ORIG!U1481=0,"",ORIG!U1481)</f>
        <v/>
      </c>
      <c r="V1481" s="9">
        <f>IF(ORIG!V1481=0,"",ORIG!V1481)</f>
        <v/>
      </c>
      <c r="W1481" s="9">
        <f>IF(ORIG!W1481=0,"",ORIG!W1481)</f>
        <v/>
      </c>
      <c r="X1481" s="9">
        <f>IF(ORIG!X1481=0,"",ORIG!X1481)</f>
        <v/>
      </c>
      <c r="Y1481" s="9">
        <f>IF(ORIG!Y1481=0,"",ORIG!Y1481)</f>
        <v/>
      </c>
      <c r="Z1481" s="3">
        <f>SUMPRODUCT($B1481:$Y1481,$B$2649:$Y$2649)</f>
        <v/>
      </c>
      <c r="AA1481" s="3">
        <f>SUMPRODUCT($B1481:$Y1481,$B$2655:$Y$2655)</f>
        <v/>
      </c>
      <c r="AC1481" s="1">
        <f>A1481</f>
        <v/>
      </c>
      <c r="AD1481">
        <f>IF(ISNUMBER(V1481),V1481*($AB$1/V$2635),"")</f>
        <v/>
      </c>
      <c r="AE1481">
        <f>IF(ISNUMBER(Z1481),Z1481*($AB$1/Z$2635),"")</f>
        <v/>
      </c>
      <c r="AF1481" s="25">
        <f>IF(ISNUMBER(AD1481+AE1481),AD1481+AE1481,"")</f>
        <v/>
      </c>
      <c r="AH1481" s="1">
        <f>A1481</f>
        <v/>
      </c>
      <c r="AI1481">
        <f>IF(ISNUMBER((1+V1481)*AI1480),(1+V1481)*AI1480,AI1480)</f>
        <v/>
      </c>
      <c r="AJ1481">
        <f>IF(ISNUMBER((1+Z1481)*AJ1480),(1+Z1481)*AJ1480,AJ1480)</f>
        <v/>
      </c>
    </row>
    <row r="1482">
      <c r="A1482" s="1" t="n">
        <v>44151</v>
      </c>
      <c r="B1482" s="3">
        <f>IF(ORIG!B1482=0,"",ORIG!B1482)</f>
        <v/>
      </c>
      <c r="C1482" s="3">
        <f>IF(ORIG!C1482=0,"",ORIG!C1482)</f>
        <v/>
      </c>
      <c r="D1482" s="3">
        <f>IF(ORIG!D1482=0,"",ORIG!D1482)</f>
        <v/>
      </c>
      <c r="E1482" s="3">
        <f>IF(ORIG!E1482=0,"",ORIG!E1482)</f>
        <v/>
      </c>
      <c r="F1482" s="3">
        <f>IF(ORIG!F1482=0,"",ORIG!F1482)</f>
        <v/>
      </c>
      <c r="G1482" s="3">
        <f>IF(ORIG!G1482=0,"",ORIG!G1482)</f>
        <v/>
      </c>
      <c r="H1482" s="3">
        <f>IF(ORIG!H1482=0,"",ORIG!H1482)</f>
        <v/>
      </c>
      <c r="I1482" s="3">
        <f>IF(ORIG!I1482=0,"",ORIG!I1482)</f>
        <v/>
      </c>
      <c r="J1482" s="3">
        <f>IF(ORIG!J1482=0,"",ORIG!J1482)</f>
        <v/>
      </c>
      <c r="K1482" s="3">
        <f>IF(ORIG!K1482=0,"",ORIG!K1482)</f>
        <v/>
      </c>
      <c r="L1482" s="3">
        <f>IF(ORIG!L1482=0,"",ORIG!L1482)</f>
        <v/>
      </c>
      <c r="M1482" s="3">
        <f>IF(ORIG!M1482=0,"",ORIG!M1482)</f>
        <v/>
      </c>
      <c r="N1482" s="3">
        <f>IF(ORIG!N1482=0,"",ORIG!N1482)</f>
        <v/>
      </c>
      <c r="O1482" s="3">
        <f>IF(ORIG!O1482=0,"",ORIG!O1482)</f>
        <v/>
      </c>
      <c r="P1482" s="3">
        <f>IF(ORIG!P1482=0,"",ORIG!P1482)</f>
        <v/>
      </c>
      <c r="Q1482" s="3">
        <f>IF(ORIG!Q1482=0,"",ORIG!Q1482)</f>
        <v/>
      </c>
      <c r="R1482" s="3">
        <f>IF(ORIG!R1482=0,"",ORIG!R1482)</f>
        <v/>
      </c>
      <c r="S1482" s="3">
        <f>IF(ORIG!S1482=0,"",ORIG!S1482)</f>
        <v/>
      </c>
      <c r="T1482" s="3">
        <f>IF(ORIG!T1482=0,"",ORIG!T1482)</f>
        <v/>
      </c>
      <c r="U1482" s="3">
        <f>IF(ORIG!U1482=0,"",ORIG!U1482)</f>
        <v/>
      </c>
      <c r="V1482" s="9">
        <f>IF(ORIG!V1482=0,"",ORIG!V1482)</f>
        <v/>
      </c>
      <c r="W1482" s="9">
        <f>IF(ORIG!W1482=0,"",ORIG!W1482)</f>
        <v/>
      </c>
      <c r="X1482" s="9">
        <f>IF(ORIG!X1482=0,"",ORIG!X1482)</f>
        <v/>
      </c>
      <c r="Y1482" s="9">
        <f>IF(ORIG!Y1482=0,"",ORIG!Y1482)</f>
        <v/>
      </c>
      <c r="Z1482" s="3">
        <f>SUMPRODUCT($B1482:$Y1482,$B$2649:$Y$2649)</f>
        <v/>
      </c>
      <c r="AA1482" s="3">
        <f>SUMPRODUCT($B1482:$Y1482,$B$2655:$Y$2655)</f>
        <v/>
      </c>
      <c r="AC1482" s="1">
        <f>A1482</f>
        <v/>
      </c>
      <c r="AD1482">
        <f>IF(ISNUMBER(V1482),V1482*($AB$1/V$2635),"")</f>
        <v/>
      </c>
      <c r="AE1482">
        <f>IF(ISNUMBER(Z1482),Z1482*($AB$1/Z$2635),"")</f>
        <v/>
      </c>
      <c r="AF1482" s="25">
        <f>IF(ISNUMBER(AD1482+AE1482),AD1482+AE1482,"")</f>
        <v/>
      </c>
      <c r="AH1482" s="1">
        <f>A1482</f>
        <v/>
      </c>
      <c r="AI1482">
        <f>IF(ISNUMBER((1+V1482)*AI1481),(1+V1482)*AI1481,AI1481)</f>
        <v/>
      </c>
      <c r="AJ1482">
        <f>IF(ISNUMBER((1+Z1482)*AJ1481),(1+Z1482)*AJ1481,AJ1481)</f>
        <v/>
      </c>
    </row>
    <row r="1483">
      <c r="A1483" s="1" t="n">
        <v>44152</v>
      </c>
      <c r="B1483" s="3">
        <f>IF(ORIG!B1483=0,"",ORIG!B1483)</f>
        <v/>
      </c>
      <c r="C1483" s="3">
        <f>IF(ORIG!C1483=0,"",ORIG!C1483)</f>
        <v/>
      </c>
      <c r="D1483" s="3">
        <f>IF(ORIG!D1483=0,"",ORIG!D1483)</f>
        <v/>
      </c>
      <c r="E1483" s="3">
        <f>IF(ORIG!E1483=0,"",ORIG!E1483)</f>
        <v/>
      </c>
      <c r="F1483" s="3">
        <f>IF(ORIG!F1483=0,"",ORIG!F1483)</f>
        <v/>
      </c>
      <c r="G1483" s="3">
        <f>IF(ORIG!G1483=0,"",ORIG!G1483)</f>
        <v/>
      </c>
      <c r="H1483" s="3">
        <f>IF(ORIG!H1483=0,"",ORIG!H1483)</f>
        <v/>
      </c>
      <c r="I1483" s="3">
        <f>IF(ORIG!I1483=0,"",ORIG!I1483)</f>
        <v/>
      </c>
      <c r="J1483" s="3">
        <f>IF(ORIG!J1483=0,"",ORIG!J1483)</f>
        <v/>
      </c>
      <c r="K1483" s="3">
        <f>IF(ORIG!K1483=0,"",ORIG!K1483)</f>
        <v/>
      </c>
      <c r="L1483" s="3">
        <f>IF(ORIG!L1483=0,"",ORIG!L1483)</f>
        <v/>
      </c>
      <c r="M1483" s="3">
        <f>IF(ORIG!M1483=0,"",ORIG!M1483)</f>
        <v/>
      </c>
      <c r="N1483" s="3">
        <f>IF(ORIG!N1483=0,"",ORIG!N1483)</f>
        <v/>
      </c>
      <c r="O1483" s="3">
        <f>IF(ORIG!O1483=0,"",ORIG!O1483)</f>
        <v/>
      </c>
      <c r="P1483" s="3">
        <f>IF(ORIG!P1483=0,"",ORIG!P1483)</f>
        <v/>
      </c>
      <c r="Q1483" s="3">
        <f>IF(ORIG!Q1483=0,"",ORIG!Q1483)</f>
        <v/>
      </c>
      <c r="R1483" s="3">
        <f>IF(ORIG!R1483=0,"",ORIG!R1483)</f>
        <v/>
      </c>
      <c r="S1483" s="3">
        <f>IF(ORIG!S1483=0,"",ORIG!S1483)</f>
        <v/>
      </c>
      <c r="T1483" s="3">
        <f>IF(ORIG!T1483=0,"",ORIG!T1483)</f>
        <v/>
      </c>
      <c r="U1483" s="3">
        <f>IF(ORIG!U1483=0,"",ORIG!U1483)</f>
        <v/>
      </c>
      <c r="V1483" s="9">
        <f>IF(ORIG!V1483=0,"",ORIG!V1483)</f>
        <v/>
      </c>
      <c r="W1483" s="9">
        <f>IF(ORIG!W1483=0,"",ORIG!W1483)</f>
        <v/>
      </c>
      <c r="X1483" s="9">
        <f>IF(ORIG!X1483=0,"",ORIG!X1483)</f>
        <v/>
      </c>
      <c r="Y1483" s="9">
        <f>IF(ORIG!Y1483=0,"",ORIG!Y1483)</f>
        <v/>
      </c>
      <c r="Z1483" s="3">
        <f>SUMPRODUCT($B1483:$Y1483,$B$2649:$Y$2649)</f>
        <v/>
      </c>
      <c r="AA1483" s="3">
        <f>SUMPRODUCT($B1483:$Y1483,$B$2655:$Y$2655)</f>
        <v/>
      </c>
      <c r="AC1483" s="1">
        <f>A1483</f>
        <v/>
      </c>
      <c r="AD1483">
        <f>IF(ISNUMBER(V1483),V1483*($AB$1/V$2635),"")</f>
        <v/>
      </c>
      <c r="AE1483">
        <f>IF(ISNUMBER(Z1483),Z1483*($AB$1/Z$2635),"")</f>
        <v/>
      </c>
      <c r="AF1483" s="25">
        <f>IF(ISNUMBER(AD1483+AE1483),AD1483+AE1483,"")</f>
        <v/>
      </c>
      <c r="AH1483" s="1">
        <f>A1483</f>
        <v/>
      </c>
      <c r="AI1483">
        <f>IF(ISNUMBER((1+V1483)*AI1482),(1+V1483)*AI1482,AI1482)</f>
        <v/>
      </c>
      <c r="AJ1483">
        <f>IF(ISNUMBER((1+Z1483)*AJ1482),(1+Z1483)*AJ1482,AJ1482)</f>
        <v/>
      </c>
    </row>
    <row r="1484">
      <c r="A1484" s="1" t="n">
        <v>44153</v>
      </c>
      <c r="B1484" s="3">
        <f>IF(ORIG!B1484=0,"",ORIG!B1484)</f>
        <v/>
      </c>
      <c r="C1484" s="3">
        <f>IF(ORIG!C1484=0,"",ORIG!C1484)</f>
        <v/>
      </c>
      <c r="D1484" s="3">
        <f>IF(ORIG!D1484=0,"",ORIG!D1484)</f>
        <v/>
      </c>
      <c r="E1484" s="3">
        <f>IF(ORIG!E1484=0,"",ORIG!E1484)</f>
        <v/>
      </c>
      <c r="F1484" s="3">
        <f>IF(ORIG!F1484=0,"",ORIG!F1484)</f>
        <v/>
      </c>
      <c r="G1484" s="3">
        <f>IF(ORIG!G1484=0,"",ORIG!G1484)</f>
        <v/>
      </c>
      <c r="H1484" s="3">
        <f>IF(ORIG!H1484=0,"",ORIG!H1484)</f>
        <v/>
      </c>
      <c r="I1484" s="3">
        <f>IF(ORIG!I1484=0,"",ORIG!I1484)</f>
        <v/>
      </c>
      <c r="J1484" s="3">
        <f>IF(ORIG!J1484=0,"",ORIG!J1484)</f>
        <v/>
      </c>
      <c r="K1484" s="3">
        <f>IF(ORIG!K1484=0,"",ORIG!K1484)</f>
        <v/>
      </c>
      <c r="L1484" s="3">
        <f>IF(ORIG!L1484=0,"",ORIG!L1484)</f>
        <v/>
      </c>
      <c r="M1484" s="3">
        <f>IF(ORIG!M1484=0,"",ORIG!M1484)</f>
        <v/>
      </c>
      <c r="N1484" s="3">
        <f>IF(ORIG!N1484=0,"",ORIG!N1484)</f>
        <v/>
      </c>
      <c r="O1484" s="3">
        <f>IF(ORIG!O1484=0,"",ORIG!O1484)</f>
        <v/>
      </c>
      <c r="P1484" s="3">
        <f>IF(ORIG!P1484=0,"",ORIG!P1484)</f>
        <v/>
      </c>
      <c r="Q1484" s="3">
        <f>IF(ORIG!Q1484=0,"",ORIG!Q1484)</f>
        <v/>
      </c>
      <c r="R1484" s="3">
        <f>IF(ORIG!R1484=0,"",ORIG!R1484)</f>
        <v/>
      </c>
      <c r="S1484" s="3">
        <f>IF(ORIG!S1484=0,"",ORIG!S1484)</f>
        <v/>
      </c>
      <c r="T1484" s="3">
        <f>IF(ORIG!T1484=0,"",ORIG!T1484)</f>
        <v/>
      </c>
      <c r="U1484" s="3">
        <f>IF(ORIG!U1484=0,"",ORIG!U1484)</f>
        <v/>
      </c>
      <c r="V1484" s="9">
        <f>IF(ORIG!V1484=0,"",ORIG!V1484)</f>
        <v/>
      </c>
      <c r="W1484" s="9">
        <f>IF(ORIG!W1484=0,"",ORIG!W1484)</f>
        <v/>
      </c>
      <c r="X1484" s="9">
        <f>IF(ORIG!X1484=0,"",ORIG!X1484)</f>
        <v/>
      </c>
      <c r="Y1484" s="9">
        <f>IF(ORIG!Y1484=0,"",ORIG!Y1484)</f>
        <v/>
      </c>
      <c r="Z1484" s="3">
        <f>SUMPRODUCT($B1484:$Y1484,$B$2649:$Y$2649)</f>
        <v/>
      </c>
      <c r="AA1484" s="3">
        <f>SUMPRODUCT($B1484:$Y1484,$B$2655:$Y$2655)</f>
        <v/>
      </c>
      <c r="AC1484" s="1">
        <f>A1484</f>
        <v/>
      </c>
      <c r="AD1484">
        <f>IF(ISNUMBER(V1484),V1484*($AB$1/V$2635),"")</f>
        <v/>
      </c>
      <c r="AE1484">
        <f>IF(ISNUMBER(Z1484),Z1484*($AB$1/Z$2635),"")</f>
        <v/>
      </c>
      <c r="AF1484" s="25">
        <f>IF(ISNUMBER(AD1484+AE1484),AD1484+AE1484,"")</f>
        <v/>
      </c>
      <c r="AH1484" s="1">
        <f>A1484</f>
        <v/>
      </c>
      <c r="AI1484">
        <f>IF(ISNUMBER((1+V1484)*AI1483),(1+V1484)*AI1483,AI1483)</f>
        <v/>
      </c>
      <c r="AJ1484">
        <f>IF(ISNUMBER((1+Z1484)*AJ1483),(1+Z1484)*AJ1483,AJ1483)</f>
        <v/>
      </c>
    </row>
    <row r="1485">
      <c r="A1485" s="1" t="n">
        <v>44154</v>
      </c>
      <c r="B1485" s="3">
        <f>IF(ORIG!B1485=0,"",ORIG!B1485)</f>
        <v/>
      </c>
      <c r="C1485" s="3">
        <f>IF(ORIG!C1485=0,"",ORIG!C1485)</f>
        <v/>
      </c>
      <c r="D1485" s="3">
        <f>IF(ORIG!D1485=0,"",ORIG!D1485)</f>
        <v/>
      </c>
      <c r="E1485" s="3">
        <f>IF(ORIG!E1485=0,"",ORIG!E1485)</f>
        <v/>
      </c>
      <c r="F1485" s="3">
        <f>IF(ORIG!F1485=0,"",ORIG!F1485)</f>
        <v/>
      </c>
      <c r="G1485" s="3">
        <f>IF(ORIG!G1485=0,"",ORIG!G1485)</f>
        <v/>
      </c>
      <c r="H1485" s="3">
        <f>IF(ORIG!H1485=0,"",ORIG!H1485)</f>
        <v/>
      </c>
      <c r="I1485" s="3">
        <f>IF(ORIG!I1485=0,"",ORIG!I1485)</f>
        <v/>
      </c>
      <c r="J1485" s="3">
        <f>IF(ORIG!J1485=0,"",ORIG!J1485)</f>
        <v/>
      </c>
      <c r="K1485" s="3">
        <f>IF(ORIG!K1485=0,"",ORIG!K1485)</f>
        <v/>
      </c>
      <c r="L1485" s="3">
        <f>IF(ORIG!L1485=0,"",ORIG!L1485)</f>
        <v/>
      </c>
      <c r="M1485" s="3">
        <f>IF(ORIG!M1485=0,"",ORIG!M1485)</f>
        <v/>
      </c>
      <c r="N1485" s="3">
        <f>IF(ORIG!N1485=0,"",ORIG!N1485)</f>
        <v/>
      </c>
      <c r="O1485" s="3">
        <f>IF(ORIG!O1485=0,"",ORIG!O1485)</f>
        <v/>
      </c>
      <c r="P1485" s="3">
        <f>IF(ORIG!P1485=0,"",ORIG!P1485)</f>
        <v/>
      </c>
      <c r="Q1485" s="3">
        <f>IF(ORIG!Q1485=0,"",ORIG!Q1485)</f>
        <v/>
      </c>
      <c r="R1485" s="3">
        <f>IF(ORIG!R1485=0,"",ORIG!R1485)</f>
        <v/>
      </c>
      <c r="S1485" s="3">
        <f>IF(ORIG!S1485=0,"",ORIG!S1485)</f>
        <v/>
      </c>
      <c r="T1485" s="3">
        <f>IF(ORIG!T1485=0,"",ORIG!T1485)</f>
        <v/>
      </c>
      <c r="U1485" s="3">
        <f>IF(ORIG!U1485=0,"",ORIG!U1485)</f>
        <v/>
      </c>
      <c r="V1485" s="9">
        <f>IF(ORIG!V1485=0,"",ORIG!V1485)</f>
        <v/>
      </c>
      <c r="W1485" s="9">
        <f>IF(ORIG!W1485=0,"",ORIG!W1485)</f>
        <v/>
      </c>
      <c r="X1485" s="9">
        <f>IF(ORIG!X1485=0,"",ORIG!X1485)</f>
        <v/>
      </c>
      <c r="Y1485" s="9">
        <f>IF(ORIG!Y1485=0,"",ORIG!Y1485)</f>
        <v/>
      </c>
      <c r="Z1485" s="3">
        <f>SUMPRODUCT($B1485:$Y1485,$B$2649:$Y$2649)</f>
        <v/>
      </c>
      <c r="AA1485" s="3">
        <f>SUMPRODUCT($B1485:$Y1485,$B$2655:$Y$2655)</f>
        <v/>
      </c>
      <c r="AC1485" s="1">
        <f>A1485</f>
        <v/>
      </c>
      <c r="AD1485">
        <f>IF(ISNUMBER(V1485),V1485*($AB$1/V$2635),"")</f>
        <v/>
      </c>
      <c r="AE1485">
        <f>IF(ISNUMBER(Z1485),Z1485*($AB$1/Z$2635),"")</f>
        <v/>
      </c>
      <c r="AF1485" s="25">
        <f>IF(ISNUMBER(AD1485+AE1485),AD1485+AE1485,"")</f>
        <v/>
      </c>
      <c r="AH1485" s="1">
        <f>A1485</f>
        <v/>
      </c>
      <c r="AI1485">
        <f>IF(ISNUMBER((1+V1485)*AI1484),(1+V1485)*AI1484,AI1484)</f>
        <v/>
      </c>
      <c r="AJ1485">
        <f>IF(ISNUMBER((1+Z1485)*AJ1484),(1+Z1485)*AJ1484,AJ1484)</f>
        <v/>
      </c>
    </row>
    <row r="1486">
      <c r="A1486" s="1" t="n">
        <v>44155</v>
      </c>
      <c r="B1486" s="3">
        <f>IF(ORIG!B1486=0,"",ORIG!B1486)</f>
        <v/>
      </c>
      <c r="C1486" s="3">
        <f>IF(ORIG!C1486=0,"",ORIG!C1486)</f>
        <v/>
      </c>
      <c r="D1486" s="3">
        <f>IF(ORIG!D1486=0,"",ORIG!D1486)</f>
        <v/>
      </c>
      <c r="E1486" s="3">
        <f>IF(ORIG!E1486=0,"",ORIG!E1486)</f>
        <v/>
      </c>
      <c r="F1486" s="3">
        <f>IF(ORIG!F1486=0,"",ORIG!F1486)</f>
        <v/>
      </c>
      <c r="G1486" s="3">
        <f>IF(ORIG!G1486=0,"",ORIG!G1486)</f>
        <v/>
      </c>
      <c r="H1486" s="3">
        <f>IF(ORIG!H1486=0,"",ORIG!H1486)</f>
        <v/>
      </c>
      <c r="I1486" s="3">
        <f>IF(ORIG!I1486=0,"",ORIG!I1486)</f>
        <v/>
      </c>
      <c r="J1486" s="3">
        <f>IF(ORIG!J1486=0,"",ORIG!J1486)</f>
        <v/>
      </c>
      <c r="K1486" s="3">
        <f>IF(ORIG!K1486=0,"",ORIG!K1486)</f>
        <v/>
      </c>
      <c r="L1486" s="3">
        <f>IF(ORIG!L1486=0,"",ORIG!L1486)</f>
        <v/>
      </c>
      <c r="M1486" s="3">
        <f>IF(ORIG!M1486=0,"",ORIG!M1486)</f>
        <v/>
      </c>
      <c r="N1486" s="3">
        <f>IF(ORIG!N1486=0,"",ORIG!N1486)</f>
        <v/>
      </c>
      <c r="O1486" s="3">
        <f>IF(ORIG!O1486=0,"",ORIG!O1486)</f>
        <v/>
      </c>
      <c r="P1486" s="3">
        <f>IF(ORIG!P1486=0,"",ORIG!P1486)</f>
        <v/>
      </c>
      <c r="Q1486" s="3">
        <f>IF(ORIG!Q1486=0,"",ORIG!Q1486)</f>
        <v/>
      </c>
      <c r="R1486" s="3">
        <f>IF(ORIG!R1486=0,"",ORIG!R1486)</f>
        <v/>
      </c>
      <c r="S1486" s="3">
        <f>IF(ORIG!S1486=0,"",ORIG!S1486)</f>
        <v/>
      </c>
      <c r="T1486" s="3">
        <f>IF(ORIG!T1486=0,"",ORIG!T1486)</f>
        <v/>
      </c>
      <c r="U1486" s="3">
        <f>IF(ORIG!U1486=0,"",ORIG!U1486)</f>
        <v/>
      </c>
      <c r="V1486" s="9">
        <f>IF(ORIG!V1486=0,"",ORIG!V1486)</f>
        <v/>
      </c>
      <c r="W1486" s="9">
        <f>IF(ORIG!W1486=0,"",ORIG!W1486)</f>
        <v/>
      </c>
      <c r="X1486" s="9">
        <f>IF(ORIG!X1486=0,"",ORIG!X1486)</f>
        <v/>
      </c>
      <c r="Y1486" s="9">
        <f>IF(ORIG!Y1486=0,"",ORIG!Y1486)</f>
        <v/>
      </c>
      <c r="Z1486" s="3">
        <f>SUMPRODUCT($B1486:$Y1486,$B$2649:$Y$2649)</f>
        <v/>
      </c>
      <c r="AA1486" s="3">
        <f>SUMPRODUCT($B1486:$Y1486,$B$2655:$Y$2655)</f>
        <v/>
      </c>
      <c r="AC1486" s="1">
        <f>A1486</f>
        <v/>
      </c>
      <c r="AD1486">
        <f>IF(ISNUMBER(V1486),V1486*($AB$1/V$2635),"")</f>
        <v/>
      </c>
      <c r="AE1486">
        <f>IF(ISNUMBER(Z1486),Z1486*($AB$1/Z$2635),"")</f>
        <v/>
      </c>
      <c r="AF1486" s="25">
        <f>IF(ISNUMBER(AD1486+AE1486),AD1486+AE1486,"")</f>
        <v/>
      </c>
      <c r="AH1486" s="1">
        <f>A1486</f>
        <v/>
      </c>
      <c r="AI1486">
        <f>IF(ISNUMBER((1+V1486)*AI1485),(1+V1486)*AI1485,AI1485)</f>
        <v/>
      </c>
      <c r="AJ1486">
        <f>IF(ISNUMBER((1+Z1486)*AJ1485),(1+Z1486)*AJ1485,AJ1485)</f>
        <v/>
      </c>
    </row>
    <row r="1487">
      <c r="A1487" s="1" t="n">
        <v>44158</v>
      </c>
      <c r="B1487" s="3">
        <f>IF(ORIG!B1487=0,"",ORIG!B1487)</f>
        <v/>
      </c>
      <c r="C1487" s="3">
        <f>IF(ORIG!C1487=0,"",ORIG!C1487)</f>
        <v/>
      </c>
      <c r="D1487" s="3">
        <f>IF(ORIG!D1487=0,"",ORIG!D1487)</f>
        <v/>
      </c>
      <c r="E1487" s="3">
        <f>IF(ORIG!E1487=0,"",ORIG!E1487)</f>
        <v/>
      </c>
      <c r="F1487" s="3">
        <f>IF(ORIG!F1487=0,"",ORIG!F1487)</f>
        <v/>
      </c>
      <c r="G1487" s="3">
        <f>IF(ORIG!G1487=0,"",ORIG!G1487)</f>
        <v/>
      </c>
      <c r="H1487" s="3">
        <f>IF(ORIG!H1487=0,"",ORIG!H1487)</f>
        <v/>
      </c>
      <c r="I1487" s="3">
        <f>IF(ORIG!I1487=0,"",ORIG!I1487)</f>
        <v/>
      </c>
      <c r="J1487" s="3">
        <f>IF(ORIG!J1487=0,"",ORIG!J1487)</f>
        <v/>
      </c>
      <c r="K1487" s="3">
        <f>IF(ORIG!K1487=0,"",ORIG!K1487)</f>
        <v/>
      </c>
      <c r="L1487" s="3">
        <f>IF(ORIG!L1487=0,"",ORIG!L1487)</f>
        <v/>
      </c>
      <c r="M1487" s="3">
        <f>IF(ORIG!M1487=0,"",ORIG!M1487)</f>
        <v/>
      </c>
      <c r="N1487" s="3">
        <f>IF(ORIG!N1487=0,"",ORIG!N1487)</f>
        <v/>
      </c>
      <c r="O1487" s="3">
        <f>IF(ORIG!O1487=0,"",ORIG!O1487)</f>
        <v/>
      </c>
      <c r="P1487" s="3">
        <f>IF(ORIG!P1487=0,"",ORIG!P1487)</f>
        <v/>
      </c>
      <c r="Q1487" s="3">
        <f>IF(ORIG!Q1487=0,"",ORIG!Q1487)</f>
        <v/>
      </c>
      <c r="R1487" s="3">
        <f>IF(ORIG!R1487=0,"",ORIG!R1487)</f>
        <v/>
      </c>
      <c r="S1487" s="3">
        <f>IF(ORIG!S1487=0,"",ORIG!S1487)</f>
        <v/>
      </c>
      <c r="T1487" s="3">
        <f>IF(ORIG!T1487=0,"",ORIG!T1487)</f>
        <v/>
      </c>
      <c r="U1487" s="3">
        <f>IF(ORIG!U1487=0,"",ORIG!U1487)</f>
        <v/>
      </c>
      <c r="V1487" s="9">
        <f>IF(ORIG!V1487=0,"",ORIG!V1487)</f>
        <v/>
      </c>
      <c r="W1487" s="9">
        <f>IF(ORIG!W1487=0,"",ORIG!W1487)</f>
        <v/>
      </c>
      <c r="X1487" s="9">
        <f>IF(ORIG!X1487=0,"",ORIG!X1487)</f>
        <v/>
      </c>
      <c r="Y1487" s="9">
        <f>IF(ORIG!Y1487=0,"",ORIG!Y1487)</f>
        <v/>
      </c>
      <c r="Z1487" s="3">
        <f>SUMPRODUCT($B1487:$Y1487,$B$2649:$Y$2649)</f>
        <v/>
      </c>
      <c r="AA1487" s="3">
        <f>SUMPRODUCT($B1487:$Y1487,$B$2655:$Y$2655)</f>
        <v/>
      </c>
      <c r="AC1487" s="1">
        <f>A1487</f>
        <v/>
      </c>
      <c r="AD1487">
        <f>IF(ISNUMBER(V1487),V1487*($AB$1/V$2635),"")</f>
        <v/>
      </c>
      <c r="AE1487">
        <f>IF(ISNUMBER(Z1487),Z1487*($AB$1/Z$2635),"")</f>
        <v/>
      </c>
      <c r="AF1487" s="25">
        <f>IF(ISNUMBER(AD1487+AE1487),AD1487+AE1487,"")</f>
        <v/>
      </c>
      <c r="AH1487" s="1">
        <f>A1487</f>
        <v/>
      </c>
      <c r="AI1487">
        <f>IF(ISNUMBER((1+V1487)*AI1486),(1+V1487)*AI1486,AI1486)</f>
        <v/>
      </c>
      <c r="AJ1487">
        <f>IF(ISNUMBER((1+Z1487)*AJ1486),(1+Z1487)*AJ1486,AJ1486)</f>
        <v/>
      </c>
    </row>
    <row r="1488">
      <c r="A1488" s="1" t="n">
        <v>44159</v>
      </c>
      <c r="B1488" s="3">
        <f>IF(ORIG!B1488=0,"",ORIG!B1488)</f>
        <v/>
      </c>
      <c r="C1488" s="3">
        <f>IF(ORIG!C1488=0,"",ORIG!C1488)</f>
        <v/>
      </c>
      <c r="D1488" s="3">
        <f>IF(ORIG!D1488=0,"",ORIG!D1488)</f>
        <v/>
      </c>
      <c r="E1488" s="3">
        <f>IF(ORIG!E1488=0,"",ORIG!E1488)</f>
        <v/>
      </c>
      <c r="F1488" s="3">
        <f>IF(ORIG!F1488=0,"",ORIG!F1488)</f>
        <v/>
      </c>
      <c r="G1488" s="3">
        <f>IF(ORIG!G1488=0,"",ORIG!G1488)</f>
        <v/>
      </c>
      <c r="H1488" s="3">
        <f>IF(ORIG!H1488=0,"",ORIG!H1488)</f>
        <v/>
      </c>
      <c r="I1488" s="3">
        <f>IF(ORIG!I1488=0,"",ORIG!I1488)</f>
        <v/>
      </c>
      <c r="J1488" s="3">
        <f>IF(ORIG!J1488=0,"",ORIG!J1488)</f>
        <v/>
      </c>
      <c r="K1488" s="3">
        <f>IF(ORIG!K1488=0,"",ORIG!K1488)</f>
        <v/>
      </c>
      <c r="L1488" s="3">
        <f>IF(ORIG!L1488=0,"",ORIG!L1488)</f>
        <v/>
      </c>
      <c r="M1488" s="3">
        <f>IF(ORIG!M1488=0,"",ORIG!M1488)</f>
        <v/>
      </c>
      <c r="N1488" s="3">
        <f>IF(ORIG!N1488=0,"",ORIG!N1488)</f>
        <v/>
      </c>
      <c r="O1488" s="3">
        <f>IF(ORIG!O1488=0,"",ORIG!O1488)</f>
        <v/>
      </c>
      <c r="P1488" s="3">
        <f>IF(ORIG!P1488=0,"",ORIG!P1488)</f>
        <v/>
      </c>
      <c r="Q1488" s="3">
        <f>IF(ORIG!Q1488=0,"",ORIG!Q1488)</f>
        <v/>
      </c>
      <c r="R1488" s="3">
        <f>IF(ORIG!R1488=0,"",ORIG!R1488)</f>
        <v/>
      </c>
      <c r="S1488" s="3">
        <f>IF(ORIG!S1488=0,"",ORIG!S1488)</f>
        <v/>
      </c>
      <c r="T1488" s="3">
        <f>IF(ORIG!T1488=0,"",ORIG!T1488)</f>
        <v/>
      </c>
      <c r="U1488" s="3">
        <f>IF(ORIG!U1488=0,"",ORIG!U1488)</f>
        <v/>
      </c>
      <c r="V1488" s="9">
        <f>IF(ORIG!V1488=0,"",ORIG!V1488)</f>
        <v/>
      </c>
      <c r="W1488" s="9">
        <f>IF(ORIG!W1488=0,"",ORIG!W1488)</f>
        <v/>
      </c>
      <c r="X1488" s="9">
        <f>IF(ORIG!X1488=0,"",ORIG!X1488)</f>
        <v/>
      </c>
      <c r="Y1488" s="9">
        <f>IF(ORIG!Y1488=0,"",ORIG!Y1488)</f>
        <v/>
      </c>
      <c r="Z1488" s="3">
        <f>SUMPRODUCT($B1488:$Y1488,$B$2649:$Y$2649)</f>
        <v/>
      </c>
      <c r="AA1488" s="3">
        <f>SUMPRODUCT($B1488:$Y1488,$B$2655:$Y$2655)</f>
        <v/>
      </c>
      <c r="AC1488" s="1">
        <f>A1488</f>
        <v/>
      </c>
      <c r="AD1488">
        <f>IF(ISNUMBER(V1488),V1488*($AB$1/V$2635),"")</f>
        <v/>
      </c>
      <c r="AE1488">
        <f>IF(ISNUMBER(Z1488),Z1488*($AB$1/Z$2635),"")</f>
        <v/>
      </c>
      <c r="AF1488" s="25">
        <f>IF(ISNUMBER(AD1488+AE1488),AD1488+AE1488,"")</f>
        <v/>
      </c>
      <c r="AH1488" s="1">
        <f>A1488</f>
        <v/>
      </c>
      <c r="AI1488">
        <f>IF(ISNUMBER((1+V1488)*AI1487),(1+V1488)*AI1487,AI1487)</f>
        <v/>
      </c>
      <c r="AJ1488">
        <f>IF(ISNUMBER((1+Z1488)*AJ1487),(1+Z1488)*AJ1487,AJ1487)</f>
        <v/>
      </c>
    </row>
    <row r="1489">
      <c r="A1489" s="1" t="n">
        <v>44160</v>
      </c>
      <c r="B1489" s="3">
        <f>IF(ORIG!B1489=0,"",ORIG!B1489)</f>
        <v/>
      </c>
      <c r="C1489" s="3">
        <f>IF(ORIG!C1489=0,"",ORIG!C1489)</f>
        <v/>
      </c>
      <c r="D1489" s="3">
        <f>IF(ORIG!D1489=0,"",ORIG!D1489)</f>
        <v/>
      </c>
      <c r="E1489" s="3">
        <f>IF(ORIG!E1489=0,"",ORIG!E1489)</f>
        <v/>
      </c>
      <c r="F1489" s="3">
        <f>IF(ORIG!F1489=0,"",ORIG!F1489)</f>
        <v/>
      </c>
      <c r="G1489" s="3">
        <f>IF(ORIG!G1489=0,"",ORIG!G1489)</f>
        <v/>
      </c>
      <c r="H1489" s="3">
        <f>IF(ORIG!H1489=0,"",ORIG!H1489)</f>
        <v/>
      </c>
      <c r="I1489" s="3">
        <f>IF(ORIG!I1489=0,"",ORIG!I1489)</f>
        <v/>
      </c>
      <c r="J1489" s="3">
        <f>IF(ORIG!J1489=0,"",ORIG!J1489)</f>
        <v/>
      </c>
      <c r="K1489" s="3">
        <f>IF(ORIG!K1489=0,"",ORIG!K1489)</f>
        <v/>
      </c>
      <c r="L1489" s="3">
        <f>IF(ORIG!L1489=0,"",ORIG!L1489)</f>
        <v/>
      </c>
      <c r="M1489" s="3">
        <f>IF(ORIG!M1489=0,"",ORIG!M1489)</f>
        <v/>
      </c>
      <c r="N1489" s="3">
        <f>IF(ORIG!N1489=0,"",ORIG!N1489)</f>
        <v/>
      </c>
      <c r="O1489" s="3">
        <f>IF(ORIG!O1489=0,"",ORIG!O1489)</f>
        <v/>
      </c>
      <c r="P1489" s="3">
        <f>IF(ORIG!P1489=0,"",ORIG!P1489)</f>
        <v/>
      </c>
      <c r="Q1489" s="3">
        <f>IF(ORIG!Q1489=0,"",ORIG!Q1489)</f>
        <v/>
      </c>
      <c r="R1489" s="3">
        <f>IF(ORIG!R1489=0,"",ORIG!R1489)</f>
        <v/>
      </c>
      <c r="S1489" s="3">
        <f>IF(ORIG!S1489=0,"",ORIG!S1489)</f>
        <v/>
      </c>
      <c r="T1489" s="3">
        <f>IF(ORIG!T1489=0,"",ORIG!T1489)</f>
        <v/>
      </c>
      <c r="U1489" s="3">
        <f>IF(ORIG!U1489=0,"",ORIG!U1489)</f>
        <v/>
      </c>
      <c r="V1489" s="9">
        <f>IF(ORIG!V1489=0,"",ORIG!V1489)</f>
        <v/>
      </c>
      <c r="W1489" s="9">
        <f>IF(ORIG!W1489=0,"",ORIG!W1489)</f>
        <v/>
      </c>
      <c r="X1489" s="9">
        <f>IF(ORIG!X1489=0,"",ORIG!X1489)</f>
        <v/>
      </c>
      <c r="Y1489" s="9">
        <f>IF(ORIG!Y1489=0,"",ORIG!Y1489)</f>
        <v/>
      </c>
      <c r="Z1489" s="3">
        <f>SUMPRODUCT($B1489:$Y1489,$B$2649:$Y$2649)</f>
        <v/>
      </c>
      <c r="AA1489" s="3">
        <f>SUMPRODUCT($B1489:$Y1489,$B$2655:$Y$2655)</f>
        <v/>
      </c>
      <c r="AC1489" s="1">
        <f>A1489</f>
        <v/>
      </c>
      <c r="AD1489">
        <f>IF(ISNUMBER(V1489),V1489*($AB$1/V$2635),"")</f>
        <v/>
      </c>
      <c r="AE1489">
        <f>IF(ISNUMBER(Z1489),Z1489*($AB$1/Z$2635),"")</f>
        <v/>
      </c>
      <c r="AF1489" s="25">
        <f>IF(ISNUMBER(AD1489+AE1489),AD1489+AE1489,"")</f>
        <v/>
      </c>
      <c r="AH1489" s="1">
        <f>A1489</f>
        <v/>
      </c>
      <c r="AI1489">
        <f>IF(ISNUMBER((1+V1489)*AI1488),(1+V1489)*AI1488,AI1488)</f>
        <v/>
      </c>
      <c r="AJ1489">
        <f>IF(ISNUMBER((1+Z1489)*AJ1488),(1+Z1489)*AJ1488,AJ1488)</f>
        <v/>
      </c>
    </row>
    <row r="1490">
      <c r="A1490" s="1" t="n">
        <v>44162</v>
      </c>
      <c r="B1490" s="3">
        <f>IF(ORIG!B1490=0,"",ORIG!B1490)</f>
        <v/>
      </c>
      <c r="C1490" s="3">
        <f>IF(ORIG!C1490=0,"",ORIG!C1490)</f>
        <v/>
      </c>
      <c r="D1490" s="3">
        <f>IF(ORIG!D1490=0,"",ORIG!D1490)</f>
        <v/>
      </c>
      <c r="E1490" s="3">
        <f>IF(ORIG!E1490=0,"",ORIG!E1490)</f>
        <v/>
      </c>
      <c r="F1490" s="3">
        <f>IF(ORIG!F1490=0,"",ORIG!F1490)</f>
        <v/>
      </c>
      <c r="G1490" s="3">
        <f>IF(ORIG!G1490=0,"",ORIG!G1490)</f>
        <v/>
      </c>
      <c r="H1490" s="3">
        <f>IF(ORIG!H1490=0,"",ORIG!H1490)</f>
        <v/>
      </c>
      <c r="I1490" s="3">
        <f>IF(ORIG!I1490=0,"",ORIG!I1490)</f>
        <v/>
      </c>
      <c r="J1490" s="3">
        <f>IF(ORIG!J1490=0,"",ORIG!J1490)</f>
        <v/>
      </c>
      <c r="K1490" s="3">
        <f>IF(ORIG!K1490=0,"",ORIG!K1490)</f>
        <v/>
      </c>
      <c r="L1490" s="3">
        <f>IF(ORIG!L1490=0,"",ORIG!L1490)</f>
        <v/>
      </c>
      <c r="M1490" s="3">
        <f>IF(ORIG!M1490=0,"",ORIG!M1490)</f>
        <v/>
      </c>
      <c r="N1490" s="3">
        <f>IF(ORIG!N1490=0,"",ORIG!N1490)</f>
        <v/>
      </c>
      <c r="O1490" s="3">
        <f>IF(ORIG!O1490=0,"",ORIG!O1490)</f>
        <v/>
      </c>
      <c r="P1490" s="3">
        <f>IF(ORIG!P1490=0,"",ORIG!P1490)</f>
        <v/>
      </c>
      <c r="Q1490" s="3">
        <f>IF(ORIG!Q1490=0,"",ORIG!Q1490)</f>
        <v/>
      </c>
      <c r="R1490" s="3">
        <f>IF(ORIG!R1490=0,"",ORIG!R1490)</f>
        <v/>
      </c>
      <c r="S1490" s="3">
        <f>IF(ORIG!S1490=0,"",ORIG!S1490)</f>
        <v/>
      </c>
      <c r="T1490" s="3">
        <f>IF(ORIG!T1490=0,"",ORIG!T1490)</f>
        <v/>
      </c>
      <c r="U1490" s="3">
        <f>IF(ORIG!U1490=0,"",ORIG!U1490)</f>
        <v/>
      </c>
      <c r="V1490" s="9">
        <f>IF(ORIG!V1490=0,"",ORIG!V1490)</f>
        <v/>
      </c>
      <c r="W1490" s="9">
        <f>IF(ORIG!W1490=0,"",ORIG!W1490)</f>
        <v/>
      </c>
      <c r="X1490" s="9">
        <f>IF(ORIG!X1490=0,"",ORIG!X1490)</f>
        <v/>
      </c>
      <c r="Y1490" s="9">
        <f>IF(ORIG!Y1490=0,"",ORIG!Y1490)</f>
        <v/>
      </c>
      <c r="Z1490" s="3">
        <f>SUMPRODUCT($B1490:$Y1490,$B$2649:$Y$2649)</f>
        <v/>
      </c>
      <c r="AA1490" s="3">
        <f>SUMPRODUCT($B1490:$Y1490,$B$2655:$Y$2655)</f>
        <v/>
      </c>
      <c r="AC1490" s="1">
        <f>A1490</f>
        <v/>
      </c>
      <c r="AD1490">
        <f>IF(ISNUMBER(V1490),V1490*($AB$1/V$2635),"")</f>
        <v/>
      </c>
      <c r="AE1490">
        <f>IF(ISNUMBER(Z1490),Z1490*($AB$1/Z$2635),"")</f>
        <v/>
      </c>
      <c r="AF1490" s="25">
        <f>IF(ISNUMBER(AD1490+AE1490),AD1490+AE1490,"")</f>
        <v/>
      </c>
      <c r="AH1490" s="1">
        <f>A1490</f>
        <v/>
      </c>
      <c r="AI1490">
        <f>IF(ISNUMBER((1+V1490)*AI1489),(1+V1490)*AI1489,AI1489)</f>
        <v/>
      </c>
      <c r="AJ1490">
        <f>IF(ISNUMBER((1+Z1490)*AJ1489),(1+Z1490)*AJ1489,AJ1489)</f>
        <v/>
      </c>
    </row>
    <row r="1491">
      <c r="A1491" s="1" t="n">
        <v>44165</v>
      </c>
      <c r="B1491" s="3">
        <f>IF(ORIG!B1491=0,"",ORIG!B1491)</f>
        <v/>
      </c>
      <c r="C1491" s="3">
        <f>IF(ORIG!C1491=0,"",ORIG!C1491)</f>
        <v/>
      </c>
      <c r="D1491" s="3">
        <f>IF(ORIG!D1491=0,"",ORIG!D1491)</f>
        <v/>
      </c>
      <c r="E1491" s="3">
        <f>IF(ORIG!E1491=0,"",ORIG!E1491)</f>
        <v/>
      </c>
      <c r="F1491" s="3">
        <f>IF(ORIG!F1491=0,"",ORIG!F1491)</f>
        <v/>
      </c>
      <c r="G1491" s="3">
        <f>IF(ORIG!G1491=0,"",ORIG!G1491)</f>
        <v/>
      </c>
      <c r="H1491" s="3">
        <f>IF(ORIG!H1491=0,"",ORIG!H1491)</f>
        <v/>
      </c>
      <c r="I1491" s="3">
        <f>IF(ORIG!I1491=0,"",ORIG!I1491)</f>
        <v/>
      </c>
      <c r="J1491" s="3">
        <f>IF(ORIG!J1491=0,"",ORIG!J1491)</f>
        <v/>
      </c>
      <c r="K1491" s="3">
        <f>IF(ORIG!K1491=0,"",ORIG!K1491)</f>
        <v/>
      </c>
      <c r="L1491" s="3">
        <f>IF(ORIG!L1491=0,"",ORIG!L1491)</f>
        <v/>
      </c>
      <c r="M1491" s="3">
        <f>IF(ORIG!M1491=0,"",ORIG!M1491)</f>
        <v/>
      </c>
      <c r="N1491" s="3">
        <f>IF(ORIG!N1491=0,"",ORIG!N1491)</f>
        <v/>
      </c>
      <c r="O1491" s="3">
        <f>IF(ORIG!O1491=0,"",ORIG!O1491)</f>
        <v/>
      </c>
      <c r="P1491" s="3">
        <f>IF(ORIG!P1491=0,"",ORIG!P1491)</f>
        <v/>
      </c>
      <c r="Q1491" s="3">
        <f>IF(ORIG!Q1491=0,"",ORIG!Q1491)</f>
        <v/>
      </c>
      <c r="R1491" s="3">
        <f>IF(ORIG!R1491=0,"",ORIG!R1491)</f>
        <v/>
      </c>
      <c r="S1491" s="3">
        <f>IF(ORIG!S1491=0,"",ORIG!S1491)</f>
        <v/>
      </c>
      <c r="T1491" s="3">
        <f>IF(ORIG!T1491=0,"",ORIG!T1491)</f>
        <v/>
      </c>
      <c r="U1491" s="3">
        <f>IF(ORIG!U1491=0,"",ORIG!U1491)</f>
        <v/>
      </c>
      <c r="V1491" s="9">
        <f>IF(ORIG!V1491=0,"",ORIG!V1491)</f>
        <v/>
      </c>
      <c r="W1491" s="9">
        <f>IF(ORIG!W1491=0,"",ORIG!W1491)</f>
        <v/>
      </c>
      <c r="X1491" s="9">
        <f>IF(ORIG!X1491=0,"",ORIG!X1491)</f>
        <v/>
      </c>
      <c r="Y1491" s="9">
        <f>IF(ORIG!Y1491=0,"",ORIG!Y1491)</f>
        <v/>
      </c>
      <c r="Z1491" s="3">
        <f>SUMPRODUCT($B1491:$Y1491,$B$2649:$Y$2649)</f>
        <v/>
      </c>
      <c r="AA1491" s="3">
        <f>SUMPRODUCT($B1491:$Y1491,$B$2655:$Y$2655)</f>
        <v/>
      </c>
      <c r="AC1491" s="1">
        <f>A1491</f>
        <v/>
      </c>
      <c r="AD1491">
        <f>IF(ISNUMBER(V1491),V1491*($AB$1/V$2635),"")</f>
        <v/>
      </c>
      <c r="AE1491">
        <f>IF(ISNUMBER(Z1491),Z1491*($AB$1/Z$2635),"")</f>
        <v/>
      </c>
      <c r="AF1491" s="25">
        <f>IF(ISNUMBER(AD1491+AE1491),AD1491+AE1491,"")</f>
        <v/>
      </c>
      <c r="AH1491" s="1">
        <f>A1491</f>
        <v/>
      </c>
      <c r="AI1491">
        <f>IF(ISNUMBER((1+V1491)*AI1490),(1+V1491)*AI1490,AI1490)</f>
        <v/>
      </c>
      <c r="AJ1491">
        <f>IF(ISNUMBER((1+Z1491)*AJ1490),(1+Z1491)*AJ1490,AJ1490)</f>
        <v/>
      </c>
    </row>
    <row r="1492">
      <c r="A1492" s="1" t="n">
        <v>44166</v>
      </c>
      <c r="B1492" s="3">
        <f>IF(ORIG!B1492=0,"",ORIG!B1492)</f>
        <v/>
      </c>
      <c r="C1492" s="3">
        <f>IF(ORIG!C1492=0,"",ORIG!C1492)</f>
        <v/>
      </c>
      <c r="D1492" s="3">
        <f>IF(ORIG!D1492=0,"",ORIG!D1492)</f>
        <v/>
      </c>
      <c r="E1492" s="3">
        <f>IF(ORIG!E1492=0,"",ORIG!E1492)</f>
        <v/>
      </c>
      <c r="F1492" s="3">
        <f>IF(ORIG!F1492=0,"",ORIG!F1492)</f>
        <v/>
      </c>
      <c r="G1492" s="3">
        <f>IF(ORIG!G1492=0,"",ORIG!G1492)</f>
        <v/>
      </c>
      <c r="H1492" s="3">
        <f>IF(ORIG!H1492=0,"",ORIG!H1492)</f>
        <v/>
      </c>
      <c r="I1492" s="3">
        <f>IF(ORIG!I1492=0,"",ORIG!I1492)</f>
        <v/>
      </c>
      <c r="J1492" s="3">
        <f>IF(ORIG!J1492=0,"",ORIG!J1492)</f>
        <v/>
      </c>
      <c r="K1492" s="3">
        <f>IF(ORIG!K1492=0,"",ORIG!K1492)</f>
        <v/>
      </c>
      <c r="L1492" s="3">
        <f>IF(ORIG!L1492=0,"",ORIG!L1492)</f>
        <v/>
      </c>
      <c r="M1492" s="3">
        <f>IF(ORIG!M1492=0,"",ORIG!M1492)</f>
        <v/>
      </c>
      <c r="N1492" s="3">
        <f>IF(ORIG!N1492=0,"",ORIG!N1492)</f>
        <v/>
      </c>
      <c r="O1492" s="3">
        <f>IF(ORIG!O1492=0,"",ORIG!O1492)</f>
        <v/>
      </c>
      <c r="P1492" s="3">
        <f>IF(ORIG!P1492=0,"",ORIG!P1492)</f>
        <v/>
      </c>
      <c r="Q1492" s="3">
        <f>IF(ORIG!Q1492=0,"",ORIG!Q1492)</f>
        <v/>
      </c>
      <c r="R1492" s="3">
        <f>IF(ORIG!R1492=0,"",ORIG!R1492)</f>
        <v/>
      </c>
      <c r="S1492" s="3">
        <f>IF(ORIG!S1492=0,"",ORIG!S1492)</f>
        <v/>
      </c>
      <c r="T1492" s="3">
        <f>IF(ORIG!T1492=0,"",ORIG!T1492)</f>
        <v/>
      </c>
      <c r="U1492" s="3">
        <f>IF(ORIG!U1492=0,"",ORIG!U1492)</f>
        <v/>
      </c>
      <c r="V1492" s="9">
        <f>IF(ORIG!V1492=0,"",ORIG!V1492)</f>
        <v/>
      </c>
      <c r="W1492" s="9">
        <f>IF(ORIG!W1492=0,"",ORIG!W1492)</f>
        <v/>
      </c>
      <c r="X1492" s="9">
        <f>IF(ORIG!X1492=0,"",ORIG!X1492)</f>
        <v/>
      </c>
      <c r="Y1492" s="9">
        <f>IF(ORIG!Y1492=0,"",ORIG!Y1492)</f>
        <v/>
      </c>
      <c r="Z1492" s="3">
        <f>SUMPRODUCT($B1492:$Y1492,$B$2649:$Y$2649)</f>
        <v/>
      </c>
      <c r="AA1492" s="3">
        <f>SUMPRODUCT($B1492:$Y1492,$B$2655:$Y$2655)</f>
        <v/>
      </c>
      <c r="AC1492" s="1">
        <f>A1492</f>
        <v/>
      </c>
      <c r="AD1492">
        <f>IF(ISNUMBER(V1492),V1492*($AB$1/V$2635),"")</f>
        <v/>
      </c>
      <c r="AE1492">
        <f>IF(ISNUMBER(Z1492),Z1492*($AB$1/Z$2635),"")</f>
        <v/>
      </c>
      <c r="AF1492" s="25">
        <f>IF(ISNUMBER(AD1492+AE1492),AD1492+AE1492,"")</f>
        <v/>
      </c>
      <c r="AH1492" s="1">
        <f>A1492</f>
        <v/>
      </c>
      <c r="AI1492">
        <f>IF(ISNUMBER((1+V1492)*AI1491),(1+V1492)*AI1491,AI1491)</f>
        <v/>
      </c>
      <c r="AJ1492">
        <f>IF(ISNUMBER((1+Z1492)*AJ1491),(1+Z1492)*AJ1491,AJ1491)</f>
        <v/>
      </c>
    </row>
    <row r="1493">
      <c r="A1493" s="1" t="n">
        <v>44167</v>
      </c>
      <c r="B1493" s="3">
        <f>IF(ORIG!B1493=0,"",ORIG!B1493)</f>
        <v/>
      </c>
      <c r="C1493" s="3">
        <f>IF(ORIG!C1493=0,"",ORIG!C1493)</f>
        <v/>
      </c>
      <c r="D1493" s="3">
        <f>IF(ORIG!D1493=0,"",ORIG!D1493)</f>
        <v/>
      </c>
      <c r="E1493" s="3">
        <f>IF(ORIG!E1493=0,"",ORIG!E1493)</f>
        <v/>
      </c>
      <c r="F1493" s="3">
        <f>IF(ORIG!F1493=0,"",ORIG!F1493)</f>
        <v/>
      </c>
      <c r="G1493" s="3">
        <f>IF(ORIG!G1493=0,"",ORIG!G1493)</f>
        <v/>
      </c>
      <c r="H1493" s="3">
        <f>IF(ORIG!H1493=0,"",ORIG!H1493)</f>
        <v/>
      </c>
      <c r="I1493" s="3">
        <f>IF(ORIG!I1493=0,"",ORIG!I1493)</f>
        <v/>
      </c>
      <c r="J1493" s="3">
        <f>IF(ORIG!J1493=0,"",ORIG!J1493)</f>
        <v/>
      </c>
      <c r="K1493" s="3">
        <f>IF(ORIG!K1493=0,"",ORIG!K1493)</f>
        <v/>
      </c>
      <c r="L1493" s="3">
        <f>IF(ORIG!L1493=0,"",ORIG!L1493)</f>
        <v/>
      </c>
      <c r="M1493" s="3">
        <f>IF(ORIG!M1493=0,"",ORIG!M1493)</f>
        <v/>
      </c>
      <c r="N1493" s="3">
        <f>IF(ORIG!N1493=0,"",ORIG!N1493)</f>
        <v/>
      </c>
      <c r="O1493" s="3">
        <f>IF(ORIG!O1493=0,"",ORIG!O1493)</f>
        <v/>
      </c>
      <c r="P1493" s="3">
        <f>IF(ORIG!P1493=0,"",ORIG!P1493)</f>
        <v/>
      </c>
      <c r="Q1493" s="3">
        <f>IF(ORIG!Q1493=0,"",ORIG!Q1493)</f>
        <v/>
      </c>
      <c r="R1493" s="3">
        <f>IF(ORIG!R1493=0,"",ORIG!R1493)</f>
        <v/>
      </c>
      <c r="S1493" s="3">
        <f>IF(ORIG!S1493=0,"",ORIG!S1493)</f>
        <v/>
      </c>
      <c r="T1493" s="3">
        <f>IF(ORIG!T1493=0,"",ORIG!T1493)</f>
        <v/>
      </c>
      <c r="U1493" s="3">
        <f>IF(ORIG!U1493=0,"",ORIG!U1493)</f>
        <v/>
      </c>
      <c r="V1493" s="9">
        <f>IF(ORIG!V1493=0,"",ORIG!V1493)</f>
        <v/>
      </c>
      <c r="W1493" s="9">
        <f>IF(ORIG!W1493=0,"",ORIG!W1493)</f>
        <v/>
      </c>
      <c r="X1493" s="9">
        <f>IF(ORIG!X1493=0,"",ORIG!X1493)</f>
        <v/>
      </c>
      <c r="Y1493" s="9">
        <f>IF(ORIG!Y1493=0,"",ORIG!Y1493)</f>
        <v/>
      </c>
      <c r="Z1493" s="3">
        <f>SUMPRODUCT($B1493:$Y1493,$B$2649:$Y$2649)</f>
        <v/>
      </c>
      <c r="AA1493" s="3">
        <f>SUMPRODUCT($B1493:$Y1493,$B$2655:$Y$2655)</f>
        <v/>
      </c>
      <c r="AC1493" s="1">
        <f>A1493</f>
        <v/>
      </c>
      <c r="AD1493">
        <f>IF(ISNUMBER(V1493),V1493*($AB$1/V$2635),"")</f>
        <v/>
      </c>
      <c r="AE1493">
        <f>IF(ISNUMBER(Z1493),Z1493*($AB$1/Z$2635),"")</f>
        <v/>
      </c>
      <c r="AF1493" s="25">
        <f>IF(ISNUMBER(AD1493+AE1493),AD1493+AE1493,"")</f>
        <v/>
      </c>
      <c r="AH1493" s="1">
        <f>A1493</f>
        <v/>
      </c>
      <c r="AI1493">
        <f>IF(ISNUMBER((1+V1493)*AI1492),(1+V1493)*AI1492,AI1492)</f>
        <v/>
      </c>
      <c r="AJ1493">
        <f>IF(ISNUMBER((1+Z1493)*AJ1492),(1+Z1493)*AJ1492,AJ1492)</f>
        <v/>
      </c>
    </row>
    <row r="1494">
      <c r="A1494" s="1" t="n">
        <v>44168</v>
      </c>
      <c r="B1494" s="3">
        <f>IF(ORIG!B1494=0,"",ORIG!B1494)</f>
        <v/>
      </c>
      <c r="C1494" s="3">
        <f>IF(ORIG!C1494=0,"",ORIG!C1494)</f>
        <v/>
      </c>
      <c r="D1494" s="3">
        <f>IF(ORIG!D1494=0,"",ORIG!D1494)</f>
        <v/>
      </c>
      <c r="E1494" s="3">
        <f>IF(ORIG!E1494=0,"",ORIG!E1494)</f>
        <v/>
      </c>
      <c r="F1494" s="3">
        <f>IF(ORIG!F1494=0,"",ORIG!F1494)</f>
        <v/>
      </c>
      <c r="G1494" s="3">
        <f>IF(ORIG!G1494=0,"",ORIG!G1494)</f>
        <v/>
      </c>
      <c r="H1494" s="3">
        <f>IF(ORIG!H1494=0,"",ORIG!H1494)</f>
        <v/>
      </c>
      <c r="I1494" s="3">
        <f>IF(ORIG!I1494=0,"",ORIG!I1494)</f>
        <v/>
      </c>
      <c r="J1494" s="3">
        <f>IF(ORIG!J1494=0,"",ORIG!J1494)</f>
        <v/>
      </c>
      <c r="K1494" s="3">
        <f>IF(ORIG!K1494=0,"",ORIG!K1494)</f>
        <v/>
      </c>
      <c r="L1494" s="3">
        <f>IF(ORIG!L1494=0,"",ORIG!L1494)</f>
        <v/>
      </c>
      <c r="M1494" s="3">
        <f>IF(ORIG!M1494=0,"",ORIG!M1494)</f>
        <v/>
      </c>
      <c r="N1494" s="3">
        <f>IF(ORIG!N1494=0,"",ORIG!N1494)</f>
        <v/>
      </c>
      <c r="O1494" s="3">
        <f>IF(ORIG!O1494=0,"",ORIG!O1494)</f>
        <v/>
      </c>
      <c r="P1494" s="3">
        <f>IF(ORIG!P1494=0,"",ORIG!P1494)</f>
        <v/>
      </c>
      <c r="Q1494" s="3">
        <f>IF(ORIG!Q1494=0,"",ORIG!Q1494)</f>
        <v/>
      </c>
      <c r="R1494" s="3">
        <f>IF(ORIG!R1494=0,"",ORIG!R1494)</f>
        <v/>
      </c>
      <c r="S1494" s="3">
        <f>IF(ORIG!S1494=0,"",ORIG!S1494)</f>
        <v/>
      </c>
      <c r="T1494" s="3">
        <f>IF(ORIG!T1494=0,"",ORIG!T1494)</f>
        <v/>
      </c>
      <c r="U1494" s="3">
        <f>IF(ORIG!U1494=0,"",ORIG!U1494)</f>
        <v/>
      </c>
      <c r="V1494" s="9">
        <f>IF(ORIG!V1494=0,"",ORIG!V1494)</f>
        <v/>
      </c>
      <c r="W1494" s="9">
        <f>IF(ORIG!W1494=0,"",ORIG!W1494)</f>
        <v/>
      </c>
      <c r="X1494" s="9">
        <f>IF(ORIG!X1494=0,"",ORIG!X1494)</f>
        <v/>
      </c>
      <c r="Y1494" s="9">
        <f>IF(ORIG!Y1494=0,"",ORIG!Y1494)</f>
        <v/>
      </c>
      <c r="Z1494" s="3">
        <f>SUMPRODUCT($B1494:$Y1494,$B$2649:$Y$2649)</f>
        <v/>
      </c>
      <c r="AA1494" s="3">
        <f>SUMPRODUCT($B1494:$Y1494,$B$2655:$Y$2655)</f>
        <v/>
      </c>
      <c r="AC1494" s="1">
        <f>A1494</f>
        <v/>
      </c>
      <c r="AD1494">
        <f>IF(ISNUMBER(V1494),V1494*($AB$1/V$2635),"")</f>
        <v/>
      </c>
      <c r="AE1494">
        <f>IF(ISNUMBER(Z1494),Z1494*($AB$1/Z$2635),"")</f>
        <v/>
      </c>
      <c r="AF1494" s="25">
        <f>IF(ISNUMBER(AD1494+AE1494),AD1494+AE1494,"")</f>
        <v/>
      </c>
      <c r="AH1494" s="1">
        <f>A1494</f>
        <v/>
      </c>
      <c r="AI1494">
        <f>IF(ISNUMBER((1+V1494)*AI1493),(1+V1494)*AI1493,AI1493)</f>
        <v/>
      </c>
      <c r="AJ1494">
        <f>IF(ISNUMBER((1+Z1494)*AJ1493),(1+Z1494)*AJ1493,AJ1493)</f>
        <v/>
      </c>
    </row>
    <row r="1495">
      <c r="A1495" s="1" t="n">
        <v>44169</v>
      </c>
      <c r="B1495" s="3">
        <f>IF(ORIG!B1495=0,"",ORIG!B1495)</f>
        <v/>
      </c>
      <c r="C1495" s="3">
        <f>IF(ORIG!C1495=0,"",ORIG!C1495)</f>
        <v/>
      </c>
      <c r="D1495" s="3">
        <f>IF(ORIG!D1495=0,"",ORIG!D1495)</f>
        <v/>
      </c>
      <c r="E1495" s="3">
        <f>IF(ORIG!E1495=0,"",ORIG!E1495)</f>
        <v/>
      </c>
      <c r="F1495" s="3">
        <f>IF(ORIG!F1495=0,"",ORIG!F1495)</f>
        <v/>
      </c>
      <c r="G1495" s="3">
        <f>IF(ORIG!G1495=0,"",ORIG!G1495)</f>
        <v/>
      </c>
      <c r="H1495" s="3">
        <f>IF(ORIG!H1495=0,"",ORIG!H1495)</f>
        <v/>
      </c>
      <c r="I1495" s="3">
        <f>IF(ORIG!I1495=0,"",ORIG!I1495)</f>
        <v/>
      </c>
      <c r="J1495" s="3">
        <f>IF(ORIG!J1495=0,"",ORIG!J1495)</f>
        <v/>
      </c>
      <c r="K1495" s="3">
        <f>IF(ORIG!K1495=0,"",ORIG!K1495)</f>
        <v/>
      </c>
      <c r="L1495" s="3">
        <f>IF(ORIG!L1495=0,"",ORIG!L1495)</f>
        <v/>
      </c>
      <c r="M1495" s="3">
        <f>IF(ORIG!M1495=0,"",ORIG!M1495)</f>
        <v/>
      </c>
      <c r="N1495" s="3">
        <f>IF(ORIG!N1495=0,"",ORIG!N1495)</f>
        <v/>
      </c>
      <c r="O1495" s="3">
        <f>IF(ORIG!O1495=0,"",ORIG!O1495)</f>
        <v/>
      </c>
      <c r="P1495" s="3">
        <f>IF(ORIG!P1495=0,"",ORIG!P1495)</f>
        <v/>
      </c>
      <c r="Q1495" s="3">
        <f>IF(ORIG!Q1495=0,"",ORIG!Q1495)</f>
        <v/>
      </c>
      <c r="R1495" s="3">
        <f>IF(ORIG!R1495=0,"",ORIG!R1495)</f>
        <v/>
      </c>
      <c r="S1495" s="3">
        <f>IF(ORIG!S1495=0,"",ORIG!S1495)</f>
        <v/>
      </c>
      <c r="T1495" s="3">
        <f>IF(ORIG!T1495=0,"",ORIG!T1495)</f>
        <v/>
      </c>
      <c r="U1495" s="3">
        <f>IF(ORIG!U1495=0,"",ORIG!U1495)</f>
        <v/>
      </c>
      <c r="V1495" s="9">
        <f>IF(ORIG!V1495=0,"",ORIG!V1495)</f>
        <v/>
      </c>
      <c r="W1495" s="9">
        <f>IF(ORIG!W1495=0,"",ORIG!W1495)</f>
        <v/>
      </c>
      <c r="X1495" s="9">
        <f>IF(ORIG!X1495=0,"",ORIG!X1495)</f>
        <v/>
      </c>
      <c r="Y1495" s="9">
        <f>IF(ORIG!Y1495=0,"",ORIG!Y1495)</f>
        <v/>
      </c>
      <c r="Z1495" s="3">
        <f>SUMPRODUCT($B1495:$Y1495,$B$2649:$Y$2649)</f>
        <v/>
      </c>
      <c r="AA1495" s="3">
        <f>SUMPRODUCT($B1495:$Y1495,$B$2655:$Y$2655)</f>
        <v/>
      </c>
      <c r="AC1495" s="1">
        <f>A1495</f>
        <v/>
      </c>
      <c r="AD1495">
        <f>IF(ISNUMBER(V1495),V1495*($AB$1/V$2635),"")</f>
        <v/>
      </c>
      <c r="AE1495">
        <f>IF(ISNUMBER(Z1495),Z1495*($AB$1/Z$2635),"")</f>
        <v/>
      </c>
      <c r="AF1495" s="25">
        <f>IF(ISNUMBER(AD1495+AE1495),AD1495+AE1495,"")</f>
        <v/>
      </c>
      <c r="AH1495" s="1">
        <f>A1495</f>
        <v/>
      </c>
      <c r="AI1495">
        <f>IF(ISNUMBER((1+V1495)*AI1494),(1+V1495)*AI1494,AI1494)</f>
        <v/>
      </c>
      <c r="AJ1495">
        <f>IF(ISNUMBER((1+Z1495)*AJ1494),(1+Z1495)*AJ1494,AJ1494)</f>
        <v/>
      </c>
    </row>
    <row r="1496">
      <c r="A1496" s="1" t="n">
        <v>44172</v>
      </c>
      <c r="B1496" s="3">
        <f>IF(ORIG!B1496=0,"",ORIG!B1496)</f>
        <v/>
      </c>
      <c r="C1496" s="3">
        <f>IF(ORIG!C1496=0,"",ORIG!C1496)</f>
        <v/>
      </c>
      <c r="D1496" s="3">
        <f>IF(ORIG!D1496=0,"",ORIG!D1496)</f>
        <v/>
      </c>
      <c r="E1496" s="3">
        <f>IF(ORIG!E1496=0,"",ORIG!E1496)</f>
        <v/>
      </c>
      <c r="F1496" s="3">
        <f>IF(ORIG!F1496=0,"",ORIG!F1496)</f>
        <v/>
      </c>
      <c r="G1496" s="3">
        <f>IF(ORIG!G1496=0,"",ORIG!G1496)</f>
        <v/>
      </c>
      <c r="H1496" s="3">
        <f>IF(ORIG!H1496=0,"",ORIG!H1496)</f>
        <v/>
      </c>
      <c r="I1496" s="3">
        <f>IF(ORIG!I1496=0,"",ORIG!I1496)</f>
        <v/>
      </c>
      <c r="J1496" s="3">
        <f>IF(ORIG!J1496=0,"",ORIG!J1496)</f>
        <v/>
      </c>
      <c r="K1496" s="3">
        <f>IF(ORIG!K1496=0,"",ORIG!K1496)</f>
        <v/>
      </c>
      <c r="L1496" s="3">
        <f>IF(ORIG!L1496=0,"",ORIG!L1496)</f>
        <v/>
      </c>
      <c r="M1496" s="3">
        <f>IF(ORIG!M1496=0,"",ORIG!M1496)</f>
        <v/>
      </c>
      <c r="N1496" s="3">
        <f>IF(ORIG!N1496=0,"",ORIG!N1496)</f>
        <v/>
      </c>
      <c r="O1496" s="3">
        <f>IF(ORIG!O1496=0,"",ORIG!O1496)</f>
        <v/>
      </c>
      <c r="P1496" s="3">
        <f>IF(ORIG!P1496=0,"",ORIG!P1496)</f>
        <v/>
      </c>
      <c r="Q1496" s="3">
        <f>IF(ORIG!Q1496=0,"",ORIG!Q1496)</f>
        <v/>
      </c>
      <c r="R1496" s="3">
        <f>IF(ORIG!R1496=0,"",ORIG!R1496)</f>
        <v/>
      </c>
      <c r="S1496" s="3">
        <f>IF(ORIG!S1496=0,"",ORIG!S1496)</f>
        <v/>
      </c>
      <c r="T1496" s="3">
        <f>IF(ORIG!T1496=0,"",ORIG!T1496)</f>
        <v/>
      </c>
      <c r="U1496" s="3">
        <f>IF(ORIG!U1496=0,"",ORIG!U1496)</f>
        <v/>
      </c>
      <c r="V1496" s="9">
        <f>IF(ORIG!V1496=0,"",ORIG!V1496)</f>
        <v/>
      </c>
      <c r="W1496" s="9">
        <f>IF(ORIG!W1496=0,"",ORIG!W1496)</f>
        <v/>
      </c>
      <c r="X1496" s="9">
        <f>IF(ORIG!X1496=0,"",ORIG!X1496)</f>
        <v/>
      </c>
      <c r="Y1496" s="9">
        <f>IF(ORIG!Y1496=0,"",ORIG!Y1496)</f>
        <v/>
      </c>
      <c r="Z1496" s="3">
        <f>SUMPRODUCT($B1496:$Y1496,$B$2649:$Y$2649)</f>
        <v/>
      </c>
      <c r="AA1496" s="3">
        <f>SUMPRODUCT($B1496:$Y1496,$B$2655:$Y$2655)</f>
        <v/>
      </c>
      <c r="AC1496" s="1">
        <f>A1496</f>
        <v/>
      </c>
      <c r="AD1496">
        <f>IF(ISNUMBER(V1496),V1496*($AB$1/V$2635),"")</f>
        <v/>
      </c>
      <c r="AE1496">
        <f>IF(ISNUMBER(Z1496),Z1496*($AB$1/Z$2635),"")</f>
        <v/>
      </c>
      <c r="AF1496" s="25">
        <f>IF(ISNUMBER(AD1496+AE1496),AD1496+AE1496,"")</f>
        <v/>
      </c>
      <c r="AH1496" s="1">
        <f>A1496</f>
        <v/>
      </c>
      <c r="AI1496">
        <f>IF(ISNUMBER((1+V1496)*AI1495),(1+V1496)*AI1495,AI1495)</f>
        <v/>
      </c>
      <c r="AJ1496">
        <f>IF(ISNUMBER((1+Z1496)*AJ1495),(1+Z1496)*AJ1495,AJ1495)</f>
        <v/>
      </c>
    </row>
    <row r="1497">
      <c r="A1497" s="1" t="n">
        <v>44173</v>
      </c>
      <c r="B1497" s="3">
        <f>IF(ORIG!B1497=0,"",ORIG!B1497)</f>
        <v/>
      </c>
      <c r="C1497" s="3">
        <f>IF(ORIG!C1497=0,"",ORIG!C1497)</f>
        <v/>
      </c>
      <c r="D1497" s="3">
        <f>IF(ORIG!D1497=0,"",ORIG!D1497)</f>
        <v/>
      </c>
      <c r="E1497" s="3">
        <f>IF(ORIG!E1497=0,"",ORIG!E1497)</f>
        <v/>
      </c>
      <c r="F1497" s="3">
        <f>IF(ORIG!F1497=0,"",ORIG!F1497)</f>
        <v/>
      </c>
      <c r="G1497" s="3">
        <f>IF(ORIG!G1497=0,"",ORIG!G1497)</f>
        <v/>
      </c>
      <c r="H1497" s="3">
        <f>IF(ORIG!H1497=0,"",ORIG!H1497)</f>
        <v/>
      </c>
      <c r="I1497" s="3">
        <f>IF(ORIG!I1497=0,"",ORIG!I1497)</f>
        <v/>
      </c>
      <c r="J1497" s="3">
        <f>IF(ORIG!J1497=0,"",ORIG!J1497)</f>
        <v/>
      </c>
      <c r="K1497" s="3">
        <f>IF(ORIG!K1497=0,"",ORIG!K1497)</f>
        <v/>
      </c>
      <c r="L1497" s="3">
        <f>IF(ORIG!L1497=0,"",ORIG!L1497)</f>
        <v/>
      </c>
      <c r="M1497" s="3">
        <f>IF(ORIG!M1497=0,"",ORIG!M1497)</f>
        <v/>
      </c>
      <c r="N1497" s="3">
        <f>IF(ORIG!N1497=0,"",ORIG!N1497)</f>
        <v/>
      </c>
      <c r="O1497" s="3">
        <f>IF(ORIG!O1497=0,"",ORIG!O1497)</f>
        <v/>
      </c>
      <c r="P1497" s="3">
        <f>IF(ORIG!P1497=0,"",ORIG!P1497)</f>
        <v/>
      </c>
      <c r="Q1497" s="3">
        <f>IF(ORIG!Q1497=0,"",ORIG!Q1497)</f>
        <v/>
      </c>
      <c r="R1497" s="3">
        <f>IF(ORIG!R1497=0,"",ORIG!R1497)</f>
        <v/>
      </c>
      <c r="S1497" s="3">
        <f>IF(ORIG!S1497=0,"",ORIG!S1497)</f>
        <v/>
      </c>
      <c r="T1497" s="3">
        <f>IF(ORIG!T1497=0,"",ORIG!T1497)</f>
        <v/>
      </c>
      <c r="U1497" s="3">
        <f>IF(ORIG!U1497=0,"",ORIG!U1497)</f>
        <v/>
      </c>
      <c r="V1497" s="9">
        <f>IF(ORIG!V1497=0,"",ORIG!V1497)</f>
        <v/>
      </c>
      <c r="W1497" s="9">
        <f>IF(ORIG!W1497=0,"",ORIG!W1497)</f>
        <v/>
      </c>
      <c r="X1497" s="9">
        <f>IF(ORIG!X1497=0,"",ORIG!X1497)</f>
        <v/>
      </c>
      <c r="Y1497" s="9">
        <f>IF(ORIG!Y1497=0,"",ORIG!Y1497)</f>
        <v/>
      </c>
      <c r="Z1497" s="3">
        <f>SUMPRODUCT($B1497:$Y1497,$B$2649:$Y$2649)</f>
        <v/>
      </c>
      <c r="AA1497" s="3">
        <f>SUMPRODUCT($B1497:$Y1497,$B$2655:$Y$2655)</f>
        <v/>
      </c>
      <c r="AC1497" s="1">
        <f>A1497</f>
        <v/>
      </c>
      <c r="AD1497">
        <f>IF(ISNUMBER(V1497),V1497*($AB$1/V$2635),"")</f>
        <v/>
      </c>
      <c r="AE1497">
        <f>IF(ISNUMBER(Z1497),Z1497*($AB$1/Z$2635),"")</f>
        <v/>
      </c>
      <c r="AF1497" s="25">
        <f>IF(ISNUMBER(AD1497+AE1497),AD1497+AE1497,"")</f>
        <v/>
      </c>
      <c r="AH1497" s="1">
        <f>A1497</f>
        <v/>
      </c>
      <c r="AI1497">
        <f>IF(ISNUMBER((1+V1497)*AI1496),(1+V1497)*AI1496,AI1496)</f>
        <v/>
      </c>
      <c r="AJ1497">
        <f>IF(ISNUMBER((1+Z1497)*AJ1496),(1+Z1497)*AJ1496,AJ1496)</f>
        <v/>
      </c>
    </row>
    <row r="1498">
      <c r="A1498" s="1" t="n">
        <v>44174</v>
      </c>
      <c r="B1498" s="3">
        <f>IF(ORIG!B1498=0,"",ORIG!B1498)</f>
        <v/>
      </c>
      <c r="C1498" s="3">
        <f>IF(ORIG!C1498=0,"",ORIG!C1498)</f>
        <v/>
      </c>
      <c r="D1498" s="3">
        <f>IF(ORIG!D1498=0,"",ORIG!D1498)</f>
        <v/>
      </c>
      <c r="E1498" s="3">
        <f>IF(ORIG!E1498=0,"",ORIG!E1498)</f>
        <v/>
      </c>
      <c r="F1498" s="3">
        <f>IF(ORIG!F1498=0,"",ORIG!F1498)</f>
        <v/>
      </c>
      <c r="G1498" s="3">
        <f>IF(ORIG!G1498=0,"",ORIG!G1498)</f>
        <v/>
      </c>
      <c r="H1498" s="3">
        <f>IF(ORIG!H1498=0,"",ORIG!H1498)</f>
        <v/>
      </c>
      <c r="I1498" s="3">
        <f>IF(ORIG!I1498=0,"",ORIG!I1498)</f>
        <v/>
      </c>
      <c r="J1498" s="3">
        <f>IF(ORIG!J1498=0,"",ORIG!J1498)</f>
        <v/>
      </c>
      <c r="K1498" s="3">
        <f>IF(ORIG!K1498=0,"",ORIG!K1498)</f>
        <v/>
      </c>
      <c r="L1498" s="3">
        <f>IF(ORIG!L1498=0,"",ORIG!L1498)</f>
        <v/>
      </c>
      <c r="M1498" s="3">
        <f>IF(ORIG!M1498=0,"",ORIG!M1498)</f>
        <v/>
      </c>
      <c r="N1498" s="3">
        <f>IF(ORIG!N1498=0,"",ORIG!N1498)</f>
        <v/>
      </c>
      <c r="O1498" s="3">
        <f>IF(ORIG!O1498=0,"",ORIG!O1498)</f>
        <v/>
      </c>
      <c r="P1498" s="3">
        <f>IF(ORIG!P1498=0,"",ORIG!P1498)</f>
        <v/>
      </c>
      <c r="Q1498" s="3">
        <f>IF(ORIG!Q1498=0,"",ORIG!Q1498)</f>
        <v/>
      </c>
      <c r="R1498" s="3">
        <f>IF(ORIG!R1498=0,"",ORIG!R1498)</f>
        <v/>
      </c>
      <c r="S1498" s="3">
        <f>IF(ORIG!S1498=0,"",ORIG!S1498)</f>
        <v/>
      </c>
      <c r="T1498" s="3">
        <f>IF(ORIG!T1498=0,"",ORIG!T1498)</f>
        <v/>
      </c>
      <c r="U1498" s="3">
        <f>IF(ORIG!U1498=0,"",ORIG!U1498)</f>
        <v/>
      </c>
      <c r="V1498" s="9">
        <f>IF(ORIG!V1498=0,"",ORIG!V1498)</f>
        <v/>
      </c>
      <c r="W1498" s="9">
        <f>IF(ORIG!W1498=0,"",ORIG!W1498)</f>
        <v/>
      </c>
      <c r="X1498" s="9">
        <f>IF(ORIG!X1498=0,"",ORIG!X1498)</f>
        <v/>
      </c>
      <c r="Y1498" s="9">
        <f>IF(ORIG!Y1498=0,"",ORIG!Y1498)</f>
        <v/>
      </c>
      <c r="Z1498" s="3">
        <f>SUMPRODUCT($B1498:$Y1498,$B$2649:$Y$2649)</f>
        <v/>
      </c>
      <c r="AA1498" s="3">
        <f>SUMPRODUCT($B1498:$Y1498,$B$2655:$Y$2655)</f>
        <v/>
      </c>
      <c r="AC1498" s="1">
        <f>A1498</f>
        <v/>
      </c>
      <c r="AD1498">
        <f>IF(ISNUMBER(V1498),V1498*($AB$1/V$2635),"")</f>
        <v/>
      </c>
      <c r="AE1498">
        <f>IF(ISNUMBER(Z1498),Z1498*($AB$1/Z$2635),"")</f>
        <v/>
      </c>
      <c r="AF1498" s="25">
        <f>IF(ISNUMBER(AD1498+AE1498),AD1498+AE1498,"")</f>
        <v/>
      </c>
      <c r="AH1498" s="1">
        <f>A1498</f>
        <v/>
      </c>
      <c r="AI1498">
        <f>IF(ISNUMBER((1+V1498)*AI1497),(1+V1498)*AI1497,AI1497)</f>
        <v/>
      </c>
      <c r="AJ1498">
        <f>IF(ISNUMBER((1+Z1498)*AJ1497),(1+Z1498)*AJ1497,AJ1497)</f>
        <v/>
      </c>
    </row>
    <row r="1499">
      <c r="A1499" s="1" t="n">
        <v>44175</v>
      </c>
      <c r="B1499" s="3">
        <f>IF(ORIG!B1499=0,"",ORIG!B1499)</f>
        <v/>
      </c>
      <c r="C1499" s="3">
        <f>IF(ORIG!C1499=0,"",ORIG!C1499)</f>
        <v/>
      </c>
      <c r="D1499" s="3">
        <f>IF(ORIG!D1499=0,"",ORIG!D1499)</f>
        <v/>
      </c>
      <c r="E1499" s="3">
        <f>IF(ORIG!E1499=0,"",ORIG!E1499)</f>
        <v/>
      </c>
      <c r="F1499" s="3">
        <f>IF(ORIG!F1499=0,"",ORIG!F1499)</f>
        <v/>
      </c>
      <c r="G1499" s="3">
        <f>IF(ORIG!G1499=0,"",ORIG!G1499)</f>
        <v/>
      </c>
      <c r="H1499" s="3">
        <f>IF(ORIG!H1499=0,"",ORIG!H1499)</f>
        <v/>
      </c>
      <c r="I1499" s="3">
        <f>IF(ORIG!I1499=0,"",ORIG!I1499)</f>
        <v/>
      </c>
      <c r="J1499" s="3">
        <f>IF(ORIG!J1499=0,"",ORIG!J1499)</f>
        <v/>
      </c>
      <c r="K1499" s="3">
        <f>IF(ORIG!K1499=0,"",ORIG!K1499)</f>
        <v/>
      </c>
      <c r="L1499" s="3">
        <f>IF(ORIG!L1499=0,"",ORIG!L1499)</f>
        <v/>
      </c>
      <c r="M1499" s="3">
        <f>IF(ORIG!M1499=0,"",ORIG!M1499)</f>
        <v/>
      </c>
      <c r="N1499" s="3">
        <f>IF(ORIG!N1499=0,"",ORIG!N1499)</f>
        <v/>
      </c>
      <c r="O1499" s="3">
        <f>IF(ORIG!O1499=0,"",ORIG!O1499)</f>
        <v/>
      </c>
      <c r="P1499" s="3">
        <f>IF(ORIG!P1499=0,"",ORIG!P1499)</f>
        <v/>
      </c>
      <c r="Q1499" s="3">
        <f>IF(ORIG!Q1499=0,"",ORIG!Q1499)</f>
        <v/>
      </c>
      <c r="R1499" s="3">
        <f>IF(ORIG!R1499=0,"",ORIG!R1499)</f>
        <v/>
      </c>
      <c r="S1499" s="3">
        <f>IF(ORIG!S1499=0,"",ORIG!S1499)</f>
        <v/>
      </c>
      <c r="T1499" s="3">
        <f>IF(ORIG!T1499=0,"",ORIG!T1499)</f>
        <v/>
      </c>
      <c r="U1499" s="3">
        <f>IF(ORIG!U1499=0,"",ORIG!U1499)</f>
        <v/>
      </c>
      <c r="V1499" s="9">
        <f>IF(ORIG!V1499=0,"",ORIG!V1499)</f>
        <v/>
      </c>
      <c r="W1499" s="9">
        <f>IF(ORIG!W1499=0,"",ORIG!W1499)</f>
        <v/>
      </c>
      <c r="X1499" s="9">
        <f>IF(ORIG!X1499=0,"",ORIG!X1499)</f>
        <v/>
      </c>
      <c r="Y1499" s="9">
        <f>IF(ORIG!Y1499=0,"",ORIG!Y1499)</f>
        <v/>
      </c>
      <c r="Z1499" s="3">
        <f>SUMPRODUCT($B1499:$Y1499,$B$2649:$Y$2649)</f>
        <v/>
      </c>
      <c r="AA1499" s="3">
        <f>SUMPRODUCT($B1499:$Y1499,$B$2655:$Y$2655)</f>
        <v/>
      </c>
      <c r="AC1499" s="1">
        <f>A1499</f>
        <v/>
      </c>
      <c r="AD1499">
        <f>IF(ISNUMBER(V1499),V1499*($AB$1/V$2635),"")</f>
        <v/>
      </c>
      <c r="AE1499">
        <f>IF(ISNUMBER(Z1499),Z1499*($AB$1/Z$2635),"")</f>
        <v/>
      </c>
      <c r="AF1499" s="25">
        <f>IF(ISNUMBER(AD1499+AE1499),AD1499+AE1499,"")</f>
        <v/>
      </c>
      <c r="AH1499" s="1">
        <f>A1499</f>
        <v/>
      </c>
      <c r="AI1499">
        <f>IF(ISNUMBER((1+V1499)*AI1498),(1+V1499)*AI1498,AI1498)</f>
        <v/>
      </c>
      <c r="AJ1499">
        <f>IF(ISNUMBER((1+Z1499)*AJ1498),(1+Z1499)*AJ1498,AJ1498)</f>
        <v/>
      </c>
    </row>
    <row r="1500">
      <c r="A1500" s="1" t="n">
        <v>44176</v>
      </c>
      <c r="B1500" s="3">
        <f>IF(ORIG!B1500=0,"",ORIG!B1500)</f>
        <v/>
      </c>
      <c r="C1500" s="3">
        <f>IF(ORIG!C1500=0,"",ORIG!C1500)</f>
        <v/>
      </c>
      <c r="D1500" s="3">
        <f>IF(ORIG!D1500=0,"",ORIG!D1500)</f>
        <v/>
      </c>
      <c r="E1500" s="3">
        <f>IF(ORIG!E1500=0,"",ORIG!E1500)</f>
        <v/>
      </c>
      <c r="F1500" s="3">
        <f>IF(ORIG!F1500=0,"",ORIG!F1500)</f>
        <v/>
      </c>
      <c r="G1500" s="3">
        <f>IF(ORIG!G1500=0,"",ORIG!G1500)</f>
        <v/>
      </c>
      <c r="H1500" s="3">
        <f>IF(ORIG!H1500=0,"",ORIG!H1500)</f>
        <v/>
      </c>
      <c r="I1500" s="3">
        <f>IF(ORIG!I1500=0,"",ORIG!I1500)</f>
        <v/>
      </c>
      <c r="J1500" s="3">
        <f>IF(ORIG!J1500=0,"",ORIG!J1500)</f>
        <v/>
      </c>
      <c r="K1500" s="3">
        <f>IF(ORIG!K1500=0,"",ORIG!K1500)</f>
        <v/>
      </c>
      <c r="L1500" s="3">
        <f>IF(ORIG!L1500=0,"",ORIG!L1500)</f>
        <v/>
      </c>
      <c r="M1500" s="3">
        <f>IF(ORIG!M1500=0,"",ORIG!M1500)</f>
        <v/>
      </c>
      <c r="N1500" s="3">
        <f>IF(ORIG!N1500=0,"",ORIG!N1500)</f>
        <v/>
      </c>
      <c r="O1500" s="3">
        <f>IF(ORIG!O1500=0,"",ORIG!O1500)</f>
        <v/>
      </c>
      <c r="P1500" s="3">
        <f>IF(ORIG!P1500=0,"",ORIG!P1500)</f>
        <v/>
      </c>
      <c r="Q1500" s="3">
        <f>IF(ORIG!Q1500=0,"",ORIG!Q1500)</f>
        <v/>
      </c>
      <c r="R1500" s="3">
        <f>IF(ORIG!R1500=0,"",ORIG!R1500)</f>
        <v/>
      </c>
      <c r="S1500" s="3">
        <f>IF(ORIG!S1500=0,"",ORIG!S1500)</f>
        <v/>
      </c>
      <c r="T1500" s="3">
        <f>IF(ORIG!T1500=0,"",ORIG!T1500)</f>
        <v/>
      </c>
      <c r="U1500" s="3">
        <f>IF(ORIG!U1500=0,"",ORIG!U1500)</f>
        <v/>
      </c>
      <c r="V1500" s="9">
        <f>IF(ORIG!V1500=0,"",ORIG!V1500)</f>
        <v/>
      </c>
      <c r="W1500" s="9">
        <f>IF(ORIG!W1500=0,"",ORIG!W1500)</f>
        <v/>
      </c>
      <c r="X1500" s="9">
        <f>IF(ORIG!X1500=0,"",ORIG!X1500)</f>
        <v/>
      </c>
      <c r="Y1500" s="9">
        <f>IF(ORIG!Y1500=0,"",ORIG!Y1500)</f>
        <v/>
      </c>
      <c r="Z1500" s="3">
        <f>SUMPRODUCT($B1500:$Y1500,$B$2649:$Y$2649)</f>
        <v/>
      </c>
      <c r="AA1500" s="3">
        <f>SUMPRODUCT($B1500:$Y1500,$B$2655:$Y$2655)</f>
        <v/>
      </c>
      <c r="AC1500" s="1">
        <f>A1500</f>
        <v/>
      </c>
      <c r="AD1500">
        <f>IF(ISNUMBER(V1500),V1500*($AB$1/V$2635),"")</f>
        <v/>
      </c>
      <c r="AE1500">
        <f>IF(ISNUMBER(Z1500),Z1500*($AB$1/Z$2635),"")</f>
        <v/>
      </c>
      <c r="AF1500" s="25">
        <f>IF(ISNUMBER(AD1500+AE1500),AD1500+AE1500,"")</f>
        <v/>
      </c>
      <c r="AH1500" s="1">
        <f>A1500</f>
        <v/>
      </c>
      <c r="AI1500">
        <f>IF(ISNUMBER((1+V1500)*AI1499),(1+V1500)*AI1499,AI1499)</f>
        <v/>
      </c>
      <c r="AJ1500">
        <f>IF(ISNUMBER((1+Z1500)*AJ1499),(1+Z1500)*AJ1499,AJ1499)</f>
        <v/>
      </c>
    </row>
    <row r="1501">
      <c r="A1501" s="1" t="n">
        <v>44179</v>
      </c>
      <c r="B1501" s="3">
        <f>IF(ORIG!B1501=0,"",ORIG!B1501)</f>
        <v/>
      </c>
      <c r="C1501" s="3">
        <f>IF(ORIG!C1501=0,"",ORIG!C1501)</f>
        <v/>
      </c>
      <c r="D1501" s="3">
        <f>IF(ORIG!D1501=0,"",ORIG!D1501)</f>
        <v/>
      </c>
      <c r="E1501" s="3">
        <f>IF(ORIG!E1501=0,"",ORIG!E1501)</f>
        <v/>
      </c>
      <c r="F1501" s="3">
        <f>IF(ORIG!F1501=0,"",ORIG!F1501)</f>
        <v/>
      </c>
      <c r="G1501" s="3">
        <f>IF(ORIG!G1501=0,"",ORIG!G1501)</f>
        <v/>
      </c>
      <c r="H1501" s="3">
        <f>IF(ORIG!H1501=0,"",ORIG!H1501)</f>
        <v/>
      </c>
      <c r="I1501" s="3">
        <f>IF(ORIG!I1501=0,"",ORIG!I1501)</f>
        <v/>
      </c>
      <c r="J1501" s="3">
        <f>IF(ORIG!J1501=0,"",ORIG!J1501)</f>
        <v/>
      </c>
      <c r="K1501" s="3">
        <f>IF(ORIG!K1501=0,"",ORIG!K1501)</f>
        <v/>
      </c>
      <c r="L1501" s="3">
        <f>IF(ORIG!L1501=0,"",ORIG!L1501)</f>
        <v/>
      </c>
      <c r="M1501" s="3">
        <f>IF(ORIG!M1501=0,"",ORIG!M1501)</f>
        <v/>
      </c>
      <c r="N1501" s="3">
        <f>IF(ORIG!N1501=0,"",ORIG!N1501)</f>
        <v/>
      </c>
      <c r="O1501" s="3">
        <f>IF(ORIG!O1501=0,"",ORIG!O1501)</f>
        <v/>
      </c>
      <c r="P1501" s="3">
        <f>IF(ORIG!P1501=0,"",ORIG!P1501)</f>
        <v/>
      </c>
      <c r="Q1501" s="3">
        <f>IF(ORIG!Q1501=0,"",ORIG!Q1501)</f>
        <v/>
      </c>
      <c r="R1501" s="3">
        <f>IF(ORIG!R1501=0,"",ORIG!R1501)</f>
        <v/>
      </c>
      <c r="S1501" s="3">
        <f>IF(ORIG!S1501=0,"",ORIG!S1501)</f>
        <v/>
      </c>
      <c r="T1501" s="3">
        <f>IF(ORIG!T1501=0,"",ORIG!T1501)</f>
        <v/>
      </c>
      <c r="U1501" s="3">
        <f>IF(ORIG!U1501=0,"",ORIG!U1501)</f>
        <v/>
      </c>
      <c r="V1501" s="9">
        <f>IF(ORIG!V1501=0,"",ORIG!V1501)</f>
        <v/>
      </c>
      <c r="W1501" s="9">
        <f>IF(ORIG!W1501=0,"",ORIG!W1501)</f>
        <v/>
      </c>
      <c r="X1501" s="9">
        <f>IF(ORIG!X1501=0,"",ORIG!X1501)</f>
        <v/>
      </c>
      <c r="Y1501" s="9">
        <f>IF(ORIG!Y1501=0,"",ORIG!Y1501)</f>
        <v/>
      </c>
      <c r="Z1501" s="3">
        <f>SUMPRODUCT($B1501:$Y1501,$B$2649:$Y$2649)</f>
        <v/>
      </c>
      <c r="AA1501" s="3">
        <f>SUMPRODUCT($B1501:$Y1501,$B$2655:$Y$2655)</f>
        <v/>
      </c>
      <c r="AC1501" s="1">
        <f>A1501</f>
        <v/>
      </c>
      <c r="AD1501">
        <f>IF(ISNUMBER(V1501),V1501*($AB$1/V$2635),"")</f>
        <v/>
      </c>
      <c r="AE1501">
        <f>IF(ISNUMBER(Z1501),Z1501*($AB$1/Z$2635),"")</f>
        <v/>
      </c>
      <c r="AF1501" s="25">
        <f>IF(ISNUMBER(AD1501+AE1501),AD1501+AE1501,"")</f>
        <v/>
      </c>
      <c r="AH1501" s="1">
        <f>A1501</f>
        <v/>
      </c>
      <c r="AI1501">
        <f>IF(ISNUMBER((1+V1501)*AI1500),(1+V1501)*AI1500,AI1500)</f>
        <v/>
      </c>
      <c r="AJ1501">
        <f>IF(ISNUMBER((1+Z1501)*AJ1500),(1+Z1501)*AJ1500,AJ1500)</f>
        <v/>
      </c>
    </row>
    <row r="1502">
      <c r="A1502" s="1" t="n">
        <v>44180</v>
      </c>
      <c r="B1502" s="3">
        <f>IF(ORIG!B1502=0,"",ORIG!B1502)</f>
        <v/>
      </c>
      <c r="C1502" s="3">
        <f>IF(ORIG!C1502=0,"",ORIG!C1502)</f>
        <v/>
      </c>
      <c r="D1502" s="3">
        <f>IF(ORIG!D1502=0,"",ORIG!D1502)</f>
        <v/>
      </c>
      <c r="E1502" s="3">
        <f>IF(ORIG!E1502=0,"",ORIG!E1502)</f>
        <v/>
      </c>
      <c r="F1502" s="3">
        <f>IF(ORIG!F1502=0,"",ORIG!F1502)</f>
        <v/>
      </c>
      <c r="G1502" s="3">
        <f>IF(ORIG!G1502=0,"",ORIG!G1502)</f>
        <v/>
      </c>
      <c r="H1502" s="3">
        <f>IF(ORIG!H1502=0,"",ORIG!H1502)</f>
        <v/>
      </c>
      <c r="I1502" s="3">
        <f>IF(ORIG!I1502=0,"",ORIG!I1502)</f>
        <v/>
      </c>
      <c r="J1502" s="3">
        <f>IF(ORIG!J1502=0,"",ORIG!J1502)</f>
        <v/>
      </c>
      <c r="K1502" s="3">
        <f>IF(ORIG!K1502=0,"",ORIG!K1502)</f>
        <v/>
      </c>
      <c r="L1502" s="3">
        <f>IF(ORIG!L1502=0,"",ORIG!L1502)</f>
        <v/>
      </c>
      <c r="M1502" s="3">
        <f>IF(ORIG!M1502=0,"",ORIG!M1502)</f>
        <v/>
      </c>
      <c r="N1502" s="3">
        <f>IF(ORIG!N1502=0,"",ORIG!N1502)</f>
        <v/>
      </c>
      <c r="O1502" s="3">
        <f>IF(ORIG!O1502=0,"",ORIG!O1502)</f>
        <v/>
      </c>
      <c r="P1502" s="3">
        <f>IF(ORIG!P1502=0,"",ORIG!P1502)</f>
        <v/>
      </c>
      <c r="Q1502" s="3">
        <f>IF(ORIG!Q1502=0,"",ORIG!Q1502)</f>
        <v/>
      </c>
      <c r="R1502" s="3">
        <f>IF(ORIG!R1502=0,"",ORIG!R1502)</f>
        <v/>
      </c>
      <c r="S1502" s="3">
        <f>IF(ORIG!S1502=0,"",ORIG!S1502)</f>
        <v/>
      </c>
      <c r="T1502" s="3">
        <f>IF(ORIG!T1502=0,"",ORIG!T1502)</f>
        <v/>
      </c>
      <c r="U1502" s="3">
        <f>IF(ORIG!U1502=0,"",ORIG!U1502)</f>
        <v/>
      </c>
      <c r="V1502" s="9">
        <f>IF(ORIG!V1502=0,"",ORIG!V1502)</f>
        <v/>
      </c>
      <c r="W1502" s="9">
        <f>IF(ORIG!W1502=0,"",ORIG!W1502)</f>
        <v/>
      </c>
      <c r="X1502" s="9">
        <f>IF(ORIG!X1502=0,"",ORIG!X1502)</f>
        <v/>
      </c>
      <c r="Y1502" s="9">
        <f>IF(ORIG!Y1502=0,"",ORIG!Y1502)</f>
        <v/>
      </c>
      <c r="Z1502" s="3">
        <f>SUMPRODUCT($B1502:$Y1502,$B$2649:$Y$2649)</f>
        <v/>
      </c>
      <c r="AA1502" s="3">
        <f>SUMPRODUCT($B1502:$Y1502,$B$2655:$Y$2655)</f>
        <v/>
      </c>
      <c r="AC1502" s="1">
        <f>A1502</f>
        <v/>
      </c>
      <c r="AD1502">
        <f>IF(ISNUMBER(V1502),V1502*($AB$1/V$2635),"")</f>
        <v/>
      </c>
      <c r="AE1502">
        <f>IF(ISNUMBER(Z1502),Z1502*($AB$1/Z$2635),"")</f>
        <v/>
      </c>
      <c r="AF1502" s="25">
        <f>IF(ISNUMBER(AD1502+AE1502),AD1502+AE1502,"")</f>
        <v/>
      </c>
      <c r="AH1502" s="1">
        <f>A1502</f>
        <v/>
      </c>
      <c r="AI1502">
        <f>IF(ISNUMBER((1+V1502)*AI1501),(1+V1502)*AI1501,AI1501)</f>
        <v/>
      </c>
      <c r="AJ1502">
        <f>IF(ISNUMBER((1+Z1502)*AJ1501),(1+Z1502)*AJ1501,AJ1501)</f>
        <v/>
      </c>
    </row>
    <row r="1503">
      <c r="A1503" s="1" t="n">
        <v>44181</v>
      </c>
      <c r="B1503" s="3">
        <f>IF(ORIG!B1503=0,"",ORIG!B1503)</f>
        <v/>
      </c>
      <c r="C1503" s="3">
        <f>IF(ORIG!C1503=0,"",ORIG!C1503)</f>
        <v/>
      </c>
      <c r="D1503" s="3">
        <f>IF(ORIG!D1503=0,"",ORIG!D1503)</f>
        <v/>
      </c>
      <c r="E1503" s="3">
        <f>IF(ORIG!E1503=0,"",ORIG!E1503)</f>
        <v/>
      </c>
      <c r="F1503" s="3">
        <f>IF(ORIG!F1503=0,"",ORIG!F1503)</f>
        <v/>
      </c>
      <c r="G1503" s="3">
        <f>IF(ORIG!G1503=0,"",ORIG!G1503)</f>
        <v/>
      </c>
      <c r="H1503" s="3">
        <f>IF(ORIG!H1503=0,"",ORIG!H1503)</f>
        <v/>
      </c>
      <c r="I1503" s="3">
        <f>IF(ORIG!I1503=0,"",ORIG!I1503)</f>
        <v/>
      </c>
      <c r="J1503" s="3">
        <f>IF(ORIG!J1503=0,"",ORIG!J1503)</f>
        <v/>
      </c>
      <c r="K1503" s="3">
        <f>IF(ORIG!K1503=0,"",ORIG!K1503)</f>
        <v/>
      </c>
      <c r="L1503" s="3">
        <f>IF(ORIG!L1503=0,"",ORIG!L1503)</f>
        <v/>
      </c>
      <c r="M1503" s="3">
        <f>IF(ORIG!M1503=0,"",ORIG!M1503)</f>
        <v/>
      </c>
      <c r="N1503" s="3">
        <f>IF(ORIG!N1503=0,"",ORIG!N1503)</f>
        <v/>
      </c>
      <c r="O1503" s="3">
        <f>IF(ORIG!O1503=0,"",ORIG!O1503)</f>
        <v/>
      </c>
      <c r="P1503" s="3">
        <f>IF(ORIG!P1503=0,"",ORIG!P1503)</f>
        <v/>
      </c>
      <c r="Q1503" s="3">
        <f>IF(ORIG!Q1503=0,"",ORIG!Q1503)</f>
        <v/>
      </c>
      <c r="R1503" s="3">
        <f>IF(ORIG!R1503=0,"",ORIG!R1503)</f>
        <v/>
      </c>
      <c r="S1503" s="3">
        <f>IF(ORIG!S1503=0,"",ORIG!S1503)</f>
        <v/>
      </c>
      <c r="T1503" s="3">
        <f>IF(ORIG!T1503=0,"",ORIG!T1503)</f>
        <v/>
      </c>
      <c r="U1503" s="3">
        <f>IF(ORIG!U1503=0,"",ORIG!U1503)</f>
        <v/>
      </c>
      <c r="V1503" s="9">
        <f>IF(ORIG!V1503=0,"",ORIG!V1503)</f>
        <v/>
      </c>
      <c r="W1503" s="9">
        <f>IF(ORIG!W1503=0,"",ORIG!W1503)</f>
        <v/>
      </c>
      <c r="X1503" s="9">
        <f>IF(ORIG!X1503=0,"",ORIG!X1503)</f>
        <v/>
      </c>
      <c r="Y1503" s="9">
        <f>IF(ORIG!Y1503=0,"",ORIG!Y1503)</f>
        <v/>
      </c>
      <c r="Z1503" s="3">
        <f>SUMPRODUCT($B1503:$Y1503,$B$2649:$Y$2649)</f>
        <v/>
      </c>
      <c r="AA1503" s="3">
        <f>SUMPRODUCT($B1503:$Y1503,$B$2655:$Y$2655)</f>
        <v/>
      </c>
      <c r="AC1503" s="1">
        <f>A1503</f>
        <v/>
      </c>
      <c r="AD1503">
        <f>IF(ISNUMBER(V1503),V1503*($AB$1/V$2635),"")</f>
        <v/>
      </c>
      <c r="AE1503">
        <f>IF(ISNUMBER(Z1503),Z1503*($AB$1/Z$2635),"")</f>
        <v/>
      </c>
      <c r="AF1503" s="25">
        <f>IF(ISNUMBER(AD1503+AE1503),AD1503+AE1503,"")</f>
        <v/>
      </c>
      <c r="AH1503" s="1">
        <f>A1503</f>
        <v/>
      </c>
      <c r="AI1503">
        <f>IF(ISNUMBER((1+V1503)*AI1502),(1+V1503)*AI1502,AI1502)</f>
        <v/>
      </c>
      <c r="AJ1503">
        <f>IF(ISNUMBER((1+Z1503)*AJ1502),(1+Z1503)*AJ1502,AJ1502)</f>
        <v/>
      </c>
    </row>
    <row r="1504">
      <c r="A1504" s="1" t="n">
        <v>44182</v>
      </c>
      <c r="B1504" s="3">
        <f>IF(ORIG!B1504=0,"",ORIG!B1504)</f>
        <v/>
      </c>
      <c r="C1504" s="3">
        <f>IF(ORIG!C1504=0,"",ORIG!C1504)</f>
        <v/>
      </c>
      <c r="D1504" s="3">
        <f>IF(ORIG!D1504=0,"",ORIG!D1504)</f>
        <v/>
      </c>
      <c r="E1504" s="3">
        <f>IF(ORIG!E1504=0,"",ORIG!E1504)</f>
        <v/>
      </c>
      <c r="F1504" s="3">
        <f>IF(ORIG!F1504=0,"",ORIG!F1504)</f>
        <v/>
      </c>
      <c r="G1504" s="3">
        <f>IF(ORIG!G1504=0,"",ORIG!G1504)</f>
        <v/>
      </c>
      <c r="H1504" s="3">
        <f>IF(ORIG!H1504=0,"",ORIG!H1504)</f>
        <v/>
      </c>
      <c r="I1504" s="3">
        <f>IF(ORIG!I1504=0,"",ORIG!I1504)</f>
        <v/>
      </c>
      <c r="J1504" s="3">
        <f>IF(ORIG!J1504=0,"",ORIG!J1504)</f>
        <v/>
      </c>
      <c r="K1504" s="3">
        <f>IF(ORIG!K1504=0,"",ORIG!K1504)</f>
        <v/>
      </c>
      <c r="L1504" s="3">
        <f>IF(ORIG!L1504=0,"",ORIG!L1504)</f>
        <v/>
      </c>
      <c r="M1504" s="3">
        <f>IF(ORIG!M1504=0,"",ORIG!M1504)</f>
        <v/>
      </c>
      <c r="N1504" s="3">
        <f>IF(ORIG!N1504=0,"",ORIG!N1504)</f>
        <v/>
      </c>
      <c r="O1504" s="3">
        <f>IF(ORIG!O1504=0,"",ORIG!O1504)</f>
        <v/>
      </c>
      <c r="P1504" s="3">
        <f>IF(ORIG!P1504=0,"",ORIG!P1504)</f>
        <v/>
      </c>
      <c r="Q1504" s="3">
        <f>IF(ORIG!Q1504=0,"",ORIG!Q1504)</f>
        <v/>
      </c>
      <c r="R1504" s="3">
        <f>IF(ORIG!R1504=0,"",ORIG!R1504)</f>
        <v/>
      </c>
      <c r="S1504" s="3">
        <f>IF(ORIG!S1504=0,"",ORIG!S1504)</f>
        <v/>
      </c>
      <c r="T1504" s="3">
        <f>IF(ORIG!T1504=0,"",ORIG!T1504)</f>
        <v/>
      </c>
      <c r="U1504" s="3">
        <f>IF(ORIG!U1504=0,"",ORIG!U1504)</f>
        <v/>
      </c>
      <c r="V1504" s="9">
        <f>IF(ORIG!V1504=0,"",ORIG!V1504)</f>
        <v/>
      </c>
      <c r="W1504" s="9">
        <f>IF(ORIG!W1504=0,"",ORIG!W1504)</f>
        <v/>
      </c>
      <c r="X1504" s="9">
        <f>IF(ORIG!X1504=0,"",ORIG!X1504)</f>
        <v/>
      </c>
      <c r="Y1504" s="9">
        <f>IF(ORIG!Y1504=0,"",ORIG!Y1504)</f>
        <v/>
      </c>
      <c r="Z1504" s="3">
        <f>SUMPRODUCT($B1504:$Y1504,$B$2649:$Y$2649)</f>
        <v/>
      </c>
      <c r="AA1504" s="3">
        <f>SUMPRODUCT($B1504:$Y1504,$B$2655:$Y$2655)</f>
        <v/>
      </c>
      <c r="AC1504" s="1">
        <f>A1504</f>
        <v/>
      </c>
      <c r="AD1504">
        <f>IF(ISNUMBER(V1504),V1504*($AB$1/V$2635),"")</f>
        <v/>
      </c>
      <c r="AE1504">
        <f>IF(ISNUMBER(Z1504),Z1504*($AB$1/Z$2635),"")</f>
        <v/>
      </c>
      <c r="AF1504" s="25">
        <f>IF(ISNUMBER(AD1504+AE1504),AD1504+AE1504,"")</f>
        <v/>
      </c>
      <c r="AH1504" s="1">
        <f>A1504</f>
        <v/>
      </c>
      <c r="AI1504">
        <f>IF(ISNUMBER((1+V1504)*AI1503),(1+V1504)*AI1503,AI1503)</f>
        <v/>
      </c>
      <c r="AJ1504">
        <f>IF(ISNUMBER((1+Z1504)*AJ1503),(1+Z1504)*AJ1503,AJ1503)</f>
        <v/>
      </c>
    </row>
    <row r="1505">
      <c r="A1505" s="1" t="n">
        <v>44183</v>
      </c>
      <c r="B1505" s="3">
        <f>IF(ORIG!B1505=0,"",ORIG!B1505)</f>
        <v/>
      </c>
      <c r="C1505" s="3">
        <f>IF(ORIG!C1505=0,"",ORIG!C1505)</f>
        <v/>
      </c>
      <c r="D1505" s="3">
        <f>IF(ORIG!D1505=0,"",ORIG!D1505)</f>
        <v/>
      </c>
      <c r="E1505" s="3">
        <f>IF(ORIG!E1505=0,"",ORIG!E1505)</f>
        <v/>
      </c>
      <c r="F1505" s="3">
        <f>IF(ORIG!F1505=0,"",ORIG!F1505)</f>
        <v/>
      </c>
      <c r="G1505" s="3">
        <f>IF(ORIG!G1505=0,"",ORIG!G1505)</f>
        <v/>
      </c>
      <c r="H1505" s="3">
        <f>IF(ORIG!H1505=0,"",ORIG!H1505)</f>
        <v/>
      </c>
      <c r="I1505" s="3">
        <f>IF(ORIG!I1505=0,"",ORIG!I1505)</f>
        <v/>
      </c>
      <c r="J1505" s="3">
        <f>IF(ORIG!J1505=0,"",ORIG!J1505)</f>
        <v/>
      </c>
      <c r="K1505" s="3">
        <f>IF(ORIG!K1505=0,"",ORIG!K1505)</f>
        <v/>
      </c>
      <c r="L1505" s="3">
        <f>IF(ORIG!L1505=0,"",ORIG!L1505)</f>
        <v/>
      </c>
      <c r="M1505" s="3">
        <f>IF(ORIG!M1505=0,"",ORIG!M1505)</f>
        <v/>
      </c>
      <c r="N1505" s="3">
        <f>IF(ORIG!N1505=0,"",ORIG!N1505)</f>
        <v/>
      </c>
      <c r="O1505" s="3">
        <f>IF(ORIG!O1505=0,"",ORIG!O1505)</f>
        <v/>
      </c>
      <c r="P1505" s="3">
        <f>IF(ORIG!P1505=0,"",ORIG!P1505)</f>
        <v/>
      </c>
      <c r="Q1505" s="3">
        <f>IF(ORIG!Q1505=0,"",ORIG!Q1505)</f>
        <v/>
      </c>
      <c r="R1505" s="3">
        <f>IF(ORIG!R1505=0,"",ORIG!R1505)</f>
        <v/>
      </c>
      <c r="S1505" s="3">
        <f>IF(ORIG!S1505=0,"",ORIG!S1505)</f>
        <v/>
      </c>
      <c r="T1505" s="3">
        <f>IF(ORIG!T1505=0,"",ORIG!T1505)</f>
        <v/>
      </c>
      <c r="U1505" s="3">
        <f>IF(ORIG!U1505=0,"",ORIG!U1505)</f>
        <v/>
      </c>
      <c r="V1505" s="9">
        <f>IF(ORIG!V1505=0,"",ORIG!V1505)</f>
        <v/>
      </c>
      <c r="W1505" s="9">
        <f>IF(ORIG!W1505=0,"",ORIG!W1505)</f>
        <v/>
      </c>
      <c r="X1505" s="9">
        <f>IF(ORIG!X1505=0,"",ORIG!X1505)</f>
        <v/>
      </c>
      <c r="Y1505" s="9">
        <f>IF(ORIG!Y1505=0,"",ORIG!Y1505)</f>
        <v/>
      </c>
      <c r="Z1505" s="3">
        <f>SUMPRODUCT($B1505:$Y1505,$B$2649:$Y$2649)</f>
        <v/>
      </c>
      <c r="AA1505" s="3">
        <f>SUMPRODUCT($B1505:$Y1505,$B$2655:$Y$2655)</f>
        <v/>
      </c>
      <c r="AC1505" s="1">
        <f>A1505</f>
        <v/>
      </c>
      <c r="AD1505">
        <f>IF(ISNUMBER(V1505),V1505*($AB$1/V$2635),"")</f>
        <v/>
      </c>
      <c r="AE1505">
        <f>IF(ISNUMBER(Z1505),Z1505*($AB$1/Z$2635),"")</f>
        <v/>
      </c>
      <c r="AF1505" s="25">
        <f>IF(ISNUMBER(AD1505+AE1505),AD1505+AE1505,"")</f>
        <v/>
      </c>
      <c r="AH1505" s="1">
        <f>A1505</f>
        <v/>
      </c>
      <c r="AI1505">
        <f>IF(ISNUMBER((1+V1505)*AI1504),(1+V1505)*AI1504,AI1504)</f>
        <v/>
      </c>
      <c r="AJ1505">
        <f>IF(ISNUMBER((1+Z1505)*AJ1504),(1+Z1505)*AJ1504,AJ1504)</f>
        <v/>
      </c>
    </row>
    <row r="1506">
      <c r="A1506" s="1" t="n">
        <v>44186</v>
      </c>
      <c r="B1506" s="3">
        <f>IF(ORIG!B1506=0,"",ORIG!B1506)</f>
        <v/>
      </c>
      <c r="C1506" s="3">
        <f>IF(ORIG!C1506=0,"",ORIG!C1506)</f>
        <v/>
      </c>
      <c r="D1506" s="3">
        <f>IF(ORIG!D1506=0,"",ORIG!D1506)</f>
        <v/>
      </c>
      <c r="E1506" s="3">
        <f>IF(ORIG!E1506=0,"",ORIG!E1506)</f>
        <v/>
      </c>
      <c r="F1506" s="3">
        <f>IF(ORIG!F1506=0,"",ORIG!F1506)</f>
        <v/>
      </c>
      <c r="G1506" s="3">
        <f>IF(ORIG!G1506=0,"",ORIG!G1506)</f>
        <v/>
      </c>
      <c r="H1506" s="3">
        <f>IF(ORIG!H1506=0,"",ORIG!H1506)</f>
        <v/>
      </c>
      <c r="I1506" s="3">
        <f>IF(ORIG!I1506=0,"",ORIG!I1506)</f>
        <v/>
      </c>
      <c r="J1506" s="3">
        <f>IF(ORIG!J1506=0,"",ORIG!J1506)</f>
        <v/>
      </c>
      <c r="K1506" s="3">
        <f>IF(ORIG!K1506=0,"",ORIG!K1506)</f>
        <v/>
      </c>
      <c r="L1506" s="3">
        <f>IF(ORIG!L1506=0,"",ORIG!L1506)</f>
        <v/>
      </c>
      <c r="M1506" s="3">
        <f>IF(ORIG!M1506=0,"",ORIG!M1506)</f>
        <v/>
      </c>
      <c r="N1506" s="3">
        <f>IF(ORIG!N1506=0,"",ORIG!N1506)</f>
        <v/>
      </c>
      <c r="O1506" s="3">
        <f>IF(ORIG!O1506=0,"",ORIG!O1506)</f>
        <v/>
      </c>
      <c r="P1506" s="3">
        <f>IF(ORIG!P1506=0,"",ORIG!P1506)</f>
        <v/>
      </c>
      <c r="Q1506" s="3">
        <f>IF(ORIG!Q1506=0,"",ORIG!Q1506)</f>
        <v/>
      </c>
      <c r="R1506" s="3">
        <f>IF(ORIG!R1506=0,"",ORIG!R1506)</f>
        <v/>
      </c>
      <c r="S1506" s="3">
        <f>IF(ORIG!S1506=0,"",ORIG!S1506)</f>
        <v/>
      </c>
      <c r="T1506" s="3">
        <f>IF(ORIG!T1506=0,"",ORIG!T1506)</f>
        <v/>
      </c>
      <c r="U1506" s="3">
        <f>IF(ORIG!U1506=0,"",ORIG!U1506)</f>
        <v/>
      </c>
      <c r="V1506" s="9">
        <f>IF(ORIG!V1506=0,"",ORIG!V1506)</f>
        <v/>
      </c>
      <c r="W1506" s="9">
        <f>IF(ORIG!W1506=0,"",ORIG!W1506)</f>
        <v/>
      </c>
      <c r="X1506" s="9">
        <f>IF(ORIG!X1506=0,"",ORIG!X1506)</f>
        <v/>
      </c>
      <c r="Y1506" s="9">
        <f>IF(ORIG!Y1506=0,"",ORIG!Y1506)</f>
        <v/>
      </c>
      <c r="Z1506" s="3">
        <f>SUMPRODUCT($B1506:$Y1506,$B$2649:$Y$2649)</f>
        <v/>
      </c>
      <c r="AA1506" s="3">
        <f>SUMPRODUCT($B1506:$Y1506,$B$2655:$Y$2655)</f>
        <v/>
      </c>
      <c r="AC1506" s="1">
        <f>A1506</f>
        <v/>
      </c>
      <c r="AD1506">
        <f>IF(ISNUMBER(V1506),V1506*($AB$1/V$2635),"")</f>
        <v/>
      </c>
      <c r="AE1506">
        <f>IF(ISNUMBER(Z1506),Z1506*($AB$1/Z$2635),"")</f>
        <v/>
      </c>
      <c r="AF1506" s="25">
        <f>IF(ISNUMBER(AD1506+AE1506),AD1506+AE1506,"")</f>
        <v/>
      </c>
      <c r="AH1506" s="1">
        <f>A1506</f>
        <v/>
      </c>
      <c r="AI1506">
        <f>IF(ISNUMBER((1+V1506)*AI1505),(1+V1506)*AI1505,AI1505)</f>
        <v/>
      </c>
      <c r="AJ1506">
        <f>IF(ISNUMBER((1+Z1506)*AJ1505),(1+Z1506)*AJ1505,AJ1505)</f>
        <v/>
      </c>
    </row>
    <row r="1507">
      <c r="A1507" s="1" t="n">
        <v>44187</v>
      </c>
      <c r="B1507" s="3">
        <f>IF(ORIG!B1507=0,"",ORIG!B1507)</f>
        <v/>
      </c>
      <c r="C1507" s="3">
        <f>IF(ORIG!C1507=0,"",ORIG!C1507)</f>
        <v/>
      </c>
      <c r="D1507" s="3">
        <f>IF(ORIG!D1507=0,"",ORIG!D1507)</f>
        <v/>
      </c>
      <c r="E1507" s="3">
        <f>IF(ORIG!E1507=0,"",ORIG!E1507)</f>
        <v/>
      </c>
      <c r="F1507" s="3">
        <f>IF(ORIG!F1507=0,"",ORIG!F1507)</f>
        <v/>
      </c>
      <c r="G1507" s="3">
        <f>IF(ORIG!G1507=0,"",ORIG!G1507)</f>
        <v/>
      </c>
      <c r="H1507" s="3">
        <f>IF(ORIG!H1507=0,"",ORIG!H1507)</f>
        <v/>
      </c>
      <c r="I1507" s="3">
        <f>IF(ORIG!I1507=0,"",ORIG!I1507)</f>
        <v/>
      </c>
      <c r="J1507" s="3">
        <f>IF(ORIG!J1507=0,"",ORIG!J1507)</f>
        <v/>
      </c>
      <c r="K1507" s="3">
        <f>IF(ORIG!K1507=0,"",ORIG!K1507)</f>
        <v/>
      </c>
      <c r="L1507" s="3">
        <f>IF(ORIG!L1507=0,"",ORIG!L1507)</f>
        <v/>
      </c>
      <c r="M1507" s="3">
        <f>IF(ORIG!M1507=0,"",ORIG!M1507)</f>
        <v/>
      </c>
      <c r="N1507" s="3">
        <f>IF(ORIG!N1507=0,"",ORIG!N1507)</f>
        <v/>
      </c>
      <c r="O1507" s="3">
        <f>IF(ORIG!O1507=0,"",ORIG!O1507)</f>
        <v/>
      </c>
      <c r="P1507" s="3">
        <f>IF(ORIG!P1507=0,"",ORIG!P1507)</f>
        <v/>
      </c>
      <c r="Q1507" s="3">
        <f>IF(ORIG!Q1507=0,"",ORIG!Q1507)</f>
        <v/>
      </c>
      <c r="R1507" s="3">
        <f>IF(ORIG!R1507=0,"",ORIG!R1507)</f>
        <v/>
      </c>
      <c r="S1507" s="3">
        <f>IF(ORIG!S1507=0,"",ORIG!S1507)</f>
        <v/>
      </c>
      <c r="T1507" s="3">
        <f>IF(ORIG!T1507=0,"",ORIG!T1507)</f>
        <v/>
      </c>
      <c r="U1507" s="3">
        <f>IF(ORIG!U1507=0,"",ORIG!U1507)</f>
        <v/>
      </c>
      <c r="V1507" s="9">
        <f>IF(ORIG!V1507=0,"",ORIG!V1507)</f>
        <v/>
      </c>
      <c r="W1507" s="9">
        <f>IF(ORIG!W1507=0,"",ORIG!W1507)</f>
        <v/>
      </c>
      <c r="X1507" s="9">
        <f>IF(ORIG!X1507=0,"",ORIG!X1507)</f>
        <v/>
      </c>
      <c r="Y1507" s="9">
        <f>IF(ORIG!Y1507=0,"",ORIG!Y1507)</f>
        <v/>
      </c>
      <c r="Z1507" s="3">
        <f>SUMPRODUCT($B1507:$Y1507,$B$2649:$Y$2649)</f>
        <v/>
      </c>
      <c r="AA1507" s="3">
        <f>SUMPRODUCT($B1507:$Y1507,$B$2655:$Y$2655)</f>
        <v/>
      </c>
      <c r="AC1507" s="1">
        <f>A1507</f>
        <v/>
      </c>
      <c r="AD1507">
        <f>IF(ISNUMBER(V1507),V1507*($AB$1/V$2635),"")</f>
        <v/>
      </c>
      <c r="AE1507">
        <f>IF(ISNUMBER(Z1507),Z1507*($AB$1/Z$2635),"")</f>
        <v/>
      </c>
      <c r="AF1507" s="25">
        <f>IF(ISNUMBER(AD1507+AE1507),AD1507+AE1507,"")</f>
        <v/>
      </c>
      <c r="AH1507" s="1">
        <f>A1507</f>
        <v/>
      </c>
      <c r="AI1507">
        <f>IF(ISNUMBER((1+V1507)*AI1506),(1+V1507)*AI1506,AI1506)</f>
        <v/>
      </c>
      <c r="AJ1507">
        <f>IF(ISNUMBER((1+Z1507)*AJ1506),(1+Z1507)*AJ1506,AJ1506)</f>
        <v/>
      </c>
    </row>
    <row r="1508">
      <c r="A1508" s="1" t="n">
        <v>44188</v>
      </c>
      <c r="B1508" s="3">
        <f>IF(ORIG!B1508=0,"",ORIG!B1508)</f>
        <v/>
      </c>
      <c r="C1508" s="3">
        <f>IF(ORIG!C1508=0,"",ORIG!C1508)</f>
        <v/>
      </c>
      <c r="D1508" s="3">
        <f>IF(ORIG!D1508=0,"",ORIG!D1508)</f>
        <v/>
      </c>
      <c r="E1508" s="3">
        <f>IF(ORIG!E1508=0,"",ORIG!E1508)</f>
        <v/>
      </c>
      <c r="F1508" s="3">
        <f>IF(ORIG!F1508=0,"",ORIG!F1508)</f>
        <v/>
      </c>
      <c r="G1508" s="3">
        <f>IF(ORIG!G1508=0,"",ORIG!G1508)</f>
        <v/>
      </c>
      <c r="H1508" s="3">
        <f>IF(ORIG!H1508=0,"",ORIG!H1508)</f>
        <v/>
      </c>
      <c r="I1508" s="3">
        <f>IF(ORIG!I1508=0,"",ORIG!I1508)</f>
        <v/>
      </c>
      <c r="J1508" s="3">
        <f>IF(ORIG!J1508=0,"",ORIG!J1508)</f>
        <v/>
      </c>
      <c r="K1508" s="3">
        <f>IF(ORIG!K1508=0,"",ORIG!K1508)</f>
        <v/>
      </c>
      <c r="L1508" s="3">
        <f>IF(ORIG!L1508=0,"",ORIG!L1508)</f>
        <v/>
      </c>
      <c r="M1508" s="3">
        <f>IF(ORIG!M1508=0,"",ORIG!M1508)</f>
        <v/>
      </c>
      <c r="N1508" s="3">
        <f>IF(ORIG!N1508=0,"",ORIG!N1508)</f>
        <v/>
      </c>
      <c r="O1508" s="3">
        <f>IF(ORIG!O1508=0,"",ORIG!O1508)</f>
        <v/>
      </c>
      <c r="P1508" s="3">
        <f>IF(ORIG!P1508=0,"",ORIG!P1508)</f>
        <v/>
      </c>
      <c r="Q1508" s="3">
        <f>IF(ORIG!Q1508=0,"",ORIG!Q1508)</f>
        <v/>
      </c>
      <c r="R1508" s="3">
        <f>IF(ORIG!R1508=0,"",ORIG!R1508)</f>
        <v/>
      </c>
      <c r="S1508" s="3">
        <f>IF(ORIG!S1508=0,"",ORIG!S1508)</f>
        <v/>
      </c>
      <c r="T1508" s="3">
        <f>IF(ORIG!T1508=0,"",ORIG!T1508)</f>
        <v/>
      </c>
      <c r="U1508" s="3">
        <f>IF(ORIG!U1508=0,"",ORIG!U1508)</f>
        <v/>
      </c>
      <c r="V1508" s="9">
        <f>IF(ORIG!V1508=0,"",ORIG!V1508)</f>
        <v/>
      </c>
      <c r="W1508" s="9">
        <f>IF(ORIG!W1508=0,"",ORIG!W1508)</f>
        <v/>
      </c>
      <c r="X1508" s="9">
        <f>IF(ORIG!X1508=0,"",ORIG!X1508)</f>
        <v/>
      </c>
      <c r="Y1508" s="9">
        <f>IF(ORIG!Y1508=0,"",ORIG!Y1508)</f>
        <v/>
      </c>
      <c r="Z1508" s="3">
        <f>SUMPRODUCT($B1508:$Y1508,$B$2649:$Y$2649)</f>
        <v/>
      </c>
      <c r="AA1508" s="3">
        <f>SUMPRODUCT($B1508:$Y1508,$B$2655:$Y$2655)</f>
        <v/>
      </c>
      <c r="AC1508" s="1">
        <f>A1508</f>
        <v/>
      </c>
      <c r="AD1508">
        <f>IF(ISNUMBER(V1508),V1508*($AB$1/V$2635),"")</f>
        <v/>
      </c>
      <c r="AE1508">
        <f>IF(ISNUMBER(Z1508),Z1508*($AB$1/Z$2635),"")</f>
        <v/>
      </c>
      <c r="AF1508" s="25">
        <f>IF(ISNUMBER(AD1508+AE1508),AD1508+AE1508,"")</f>
        <v/>
      </c>
      <c r="AH1508" s="1">
        <f>A1508</f>
        <v/>
      </c>
      <c r="AI1508">
        <f>IF(ISNUMBER((1+V1508)*AI1507),(1+V1508)*AI1507,AI1507)</f>
        <v/>
      </c>
      <c r="AJ1508">
        <f>IF(ISNUMBER((1+Z1508)*AJ1507),(1+Z1508)*AJ1507,AJ1507)</f>
        <v/>
      </c>
    </row>
    <row r="1509">
      <c r="A1509" s="1" t="n">
        <v>44189</v>
      </c>
      <c r="B1509" s="3">
        <f>IF(ORIG!B1509=0,"",ORIG!B1509)</f>
        <v/>
      </c>
      <c r="C1509" s="3">
        <f>IF(ORIG!C1509=0,"",ORIG!C1509)</f>
        <v/>
      </c>
      <c r="D1509" s="3">
        <f>IF(ORIG!D1509=0,"",ORIG!D1509)</f>
        <v/>
      </c>
      <c r="E1509" s="3">
        <f>IF(ORIG!E1509=0,"",ORIG!E1509)</f>
        <v/>
      </c>
      <c r="F1509" s="3">
        <f>IF(ORIG!F1509=0,"",ORIG!F1509)</f>
        <v/>
      </c>
      <c r="G1509" s="3">
        <f>IF(ORIG!G1509=0,"",ORIG!G1509)</f>
        <v/>
      </c>
      <c r="H1509" s="3">
        <f>IF(ORIG!H1509=0,"",ORIG!H1509)</f>
        <v/>
      </c>
      <c r="I1509" s="3">
        <f>IF(ORIG!I1509=0,"",ORIG!I1509)</f>
        <v/>
      </c>
      <c r="J1509" s="3">
        <f>IF(ORIG!J1509=0,"",ORIG!J1509)</f>
        <v/>
      </c>
      <c r="K1509" s="3">
        <f>IF(ORIG!K1509=0,"",ORIG!K1509)</f>
        <v/>
      </c>
      <c r="L1509" s="3">
        <f>IF(ORIG!L1509=0,"",ORIG!L1509)</f>
        <v/>
      </c>
      <c r="M1509" s="3">
        <f>IF(ORIG!M1509=0,"",ORIG!M1509)</f>
        <v/>
      </c>
      <c r="N1509" s="3">
        <f>IF(ORIG!N1509=0,"",ORIG!N1509)</f>
        <v/>
      </c>
      <c r="O1509" s="3">
        <f>IF(ORIG!O1509=0,"",ORIG!O1509)</f>
        <v/>
      </c>
      <c r="P1509" s="3">
        <f>IF(ORIG!P1509=0,"",ORIG!P1509)</f>
        <v/>
      </c>
      <c r="Q1509" s="3">
        <f>IF(ORIG!Q1509=0,"",ORIG!Q1509)</f>
        <v/>
      </c>
      <c r="R1509" s="3">
        <f>IF(ORIG!R1509=0,"",ORIG!R1509)</f>
        <v/>
      </c>
      <c r="S1509" s="3">
        <f>IF(ORIG!S1509=0,"",ORIG!S1509)</f>
        <v/>
      </c>
      <c r="T1509" s="3">
        <f>IF(ORIG!T1509=0,"",ORIG!T1509)</f>
        <v/>
      </c>
      <c r="U1509" s="3">
        <f>IF(ORIG!U1509=0,"",ORIG!U1509)</f>
        <v/>
      </c>
      <c r="V1509" s="9">
        <f>IF(ORIG!V1509=0,"",ORIG!V1509)</f>
        <v/>
      </c>
      <c r="W1509" s="9">
        <f>IF(ORIG!W1509=0,"",ORIG!W1509)</f>
        <v/>
      </c>
      <c r="X1509" s="9">
        <f>IF(ORIG!X1509=0,"",ORIG!X1509)</f>
        <v/>
      </c>
      <c r="Y1509" s="9">
        <f>IF(ORIG!Y1509=0,"",ORIG!Y1509)</f>
        <v/>
      </c>
      <c r="Z1509" s="3">
        <f>SUMPRODUCT($B1509:$Y1509,$B$2649:$Y$2649)</f>
        <v/>
      </c>
      <c r="AA1509" s="3">
        <f>SUMPRODUCT($B1509:$Y1509,$B$2655:$Y$2655)</f>
        <v/>
      </c>
      <c r="AC1509" s="1">
        <f>A1509</f>
        <v/>
      </c>
      <c r="AD1509">
        <f>IF(ISNUMBER(V1509),V1509*($AB$1/V$2635),"")</f>
        <v/>
      </c>
      <c r="AE1509">
        <f>IF(ISNUMBER(Z1509),Z1509*($AB$1/Z$2635),"")</f>
        <v/>
      </c>
      <c r="AF1509" s="25">
        <f>IF(ISNUMBER(AD1509+AE1509),AD1509+AE1509,"")</f>
        <v/>
      </c>
      <c r="AH1509" s="1">
        <f>A1509</f>
        <v/>
      </c>
      <c r="AI1509">
        <f>IF(ISNUMBER((1+V1509)*AI1508),(1+V1509)*AI1508,AI1508)</f>
        <v/>
      </c>
      <c r="AJ1509">
        <f>IF(ISNUMBER((1+Z1509)*AJ1508),(1+Z1509)*AJ1508,AJ1508)</f>
        <v/>
      </c>
    </row>
    <row r="1510">
      <c r="A1510" s="1" t="n">
        <v>44193</v>
      </c>
      <c r="B1510" s="3">
        <f>IF(ORIG!B1510=0,"",ORIG!B1510)</f>
        <v/>
      </c>
      <c r="C1510" s="3">
        <f>IF(ORIG!C1510=0,"",ORIG!C1510)</f>
        <v/>
      </c>
      <c r="D1510" s="3">
        <f>IF(ORIG!D1510=0,"",ORIG!D1510)</f>
        <v/>
      </c>
      <c r="E1510" s="3">
        <f>IF(ORIG!E1510=0,"",ORIG!E1510)</f>
        <v/>
      </c>
      <c r="F1510" s="3">
        <f>IF(ORIG!F1510=0,"",ORIG!F1510)</f>
        <v/>
      </c>
      <c r="G1510" s="3">
        <f>IF(ORIG!G1510=0,"",ORIG!G1510)</f>
        <v/>
      </c>
      <c r="H1510" s="3">
        <f>IF(ORIG!H1510=0,"",ORIG!H1510)</f>
        <v/>
      </c>
      <c r="I1510" s="3">
        <f>IF(ORIG!I1510=0,"",ORIG!I1510)</f>
        <v/>
      </c>
      <c r="J1510" s="3">
        <f>IF(ORIG!J1510=0,"",ORIG!J1510)</f>
        <v/>
      </c>
      <c r="K1510" s="3">
        <f>IF(ORIG!K1510=0,"",ORIG!K1510)</f>
        <v/>
      </c>
      <c r="L1510" s="3">
        <f>IF(ORIG!L1510=0,"",ORIG!L1510)</f>
        <v/>
      </c>
      <c r="M1510" s="3">
        <f>IF(ORIG!M1510=0,"",ORIG!M1510)</f>
        <v/>
      </c>
      <c r="N1510" s="3">
        <f>IF(ORIG!N1510=0,"",ORIG!N1510)</f>
        <v/>
      </c>
      <c r="O1510" s="3">
        <f>IF(ORIG!O1510=0,"",ORIG!O1510)</f>
        <v/>
      </c>
      <c r="P1510" s="3">
        <f>IF(ORIG!P1510=0,"",ORIG!P1510)</f>
        <v/>
      </c>
      <c r="Q1510" s="3">
        <f>IF(ORIG!Q1510=0,"",ORIG!Q1510)</f>
        <v/>
      </c>
      <c r="R1510" s="3">
        <f>IF(ORIG!R1510=0,"",ORIG!R1510)</f>
        <v/>
      </c>
      <c r="S1510" s="3">
        <f>IF(ORIG!S1510=0,"",ORIG!S1510)</f>
        <v/>
      </c>
      <c r="T1510" s="3">
        <f>IF(ORIG!T1510=0,"",ORIG!T1510)</f>
        <v/>
      </c>
      <c r="U1510" s="3">
        <f>IF(ORIG!U1510=0,"",ORIG!U1510)</f>
        <v/>
      </c>
      <c r="V1510" s="9">
        <f>IF(ORIG!V1510=0,"",ORIG!V1510)</f>
        <v/>
      </c>
      <c r="W1510" s="9">
        <f>IF(ORIG!W1510=0,"",ORIG!W1510)</f>
        <v/>
      </c>
      <c r="X1510" s="9">
        <f>IF(ORIG!X1510=0,"",ORIG!X1510)</f>
        <v/>
      </c>
      <c r="Y1510" s="9">
        <f>IF(ORIG!Y1510=0,"",ORIG!Y1510)</f>
        <v/>
      </c>
      <c r="Z1510" s="3">
        <f>SUMPRODUCT($B1510:$Y1510,$B$2649:$Y$2649)</f>
        <v/>
      </c>
      <c r="AA1510" s="3">
        <f>SUMPRODUCT($B1510:$Y1510,$B$2655:$Y$2655)</f>
        <v/>
      </c>
      <c r="AC1510" s="1">
        <f>A1510</f>
        <v/>
      </c>
      <c r="AD1510">
        <f>IF(ISNUMBER(V1510),V1510*($AB$1/V$2635),"")</f>
        <v/>
      </c>
      <c r="AE1510">
        <f>IF(ISNUMBER(Z1510),Z1510*($AB$1/Z$2635),"")</f>
        <v/>
      </c>
      <c r="AF1510" s="25">
        <f>IF(ISNUMBER(AD1510+AE1510),AD1510+AE1510,"")</f>
        <v/>
      </c>
      <c r="AH1510" s="1">
        <f>A1510</f>
        <v/>
      </c>
      <c r="AI1510">
        <f>IF(ISNUMBER((1+V1510)*AI1509),(1+V1510)*AI1509,AI1509)</f>
        <v/>
      </c>
      <c r="AJ1510">
        <f>IF(ISNUMBER((1+Z1510)*AJ1509),(1+Z1510)*AJ1509,AJ1509)</f>
        <v/>
      </c>
    </row>
    <row r="1511">
      <c r="A1511" s="1" t="n">
        <v>44194</v>
      </c>
      <c r="B1511" s="3">
        <f>IF(ORIG!B1511=0,"",ORIG!B1511)</f>
        <v/>
      </c>
      <c r="C1511" s="3">
        <f>IF(ORIG!C1511=0,"",ORIG!C1511)</f>
        <v/>
      </c>
      <c r="D1511" s="3">
        <f>IF(ORIG!D1511=0,"",ORIG!D1511)</f>
        <v/>
      </c>
      <c r="E1511" s="3">
        <f>IF(ORIG!E1511=0,"",ORIG!E1511)</f>
        <v/>
      </c>
      <c r="F1511" s="3">
        <f>IF(ORIG!F1511=0,"",ORIG!F1511)</f>
        <v/>
      </c>
      <c r="G1511" s="3">
        <f>IF(ORIG!G1511=0,"",ORIG!G1511)</f>
        <v/>
      </c>
      <c r="H1511" s="3">
        <f>IF(ORIG!H1511=0,"",ORIG!H1511)</f>
        <v/>
      </c>
      <c r="I1511" s="3">
        <f>IF(ORIG!I1511=0,"",ORIG!I1511)</f>
        <v/>
      </c>
      <c r="J1511" s="3">
        <f>IF(ORIG!J1511=0,"",ORIG!J1511)</f>
        <v/>
      </c>
      <c r="K1511" s="3">
        <f>IF(ORIG!K1511=0,"",ORIG!K1511)</f>
        <v/>
      </c>
      <c r="L1511" s="3">
        <f>IF(ORIG!L1511=0,"",ORIG!L1511)</f>
        <v/>
      </c>
      <c r="M1511" s="3">
        <f>IF(ORIG!M1511=0,"",ORIG!M1511)</f>
        <v/>
      </c>
      <c r="N1511" s="3">
        <f>IF(ORIG!N1511=0,"",ORIG!N1511)</f>
        <v/>
      </c>
      <c r="O1511" s="3">
        <f>IF(ORIG!O1511=0,"",ORIG!O1511)</f>
        <v/>
      </c>
      <c r="P1511" s="3">
        <f>IF(ORIG!P1511=0,"",ORIG!P1511)</f>
        <v/>
      </c>
      <c r="Q1511" s="3">
        <f>IF(ORIG!Q1511=0,"",ORIG!Q1511)</f>
        <v/>
      </c>
      <c r="R1511" s="3">
        <f>IF(ORIG!R1511=0,"",ORIG!R1511)</f>
        <v/>
      </c>
      <c r="S1511" s="3">
        <f>IF(ORIG!S1511=0,"",ORIG!S1511)</f>
        <v/>
      </c>
      <c r="T1511" s="3">
        <f>IF(ORIG!T1511=0,"",ORIG!T1511)</f>
        <v/>
      </c>
      <c r="U1511" s="3">
        <f>IF(ORIG!U1511=0,"",ORIG!U1511)</f>
        <v/>
      </c>
      <c r="V1511" s="9">
        <f>IF(ORIG!V1511=0,"",ORIG!V1511)</f>
        <v/>
      </c>
      <c r="W1511" s="9">
        <f>IF(ORIG!W1511=0,"",ORIG!W1511)</f>
        <v/>
      </c>
      <c r="X1511" s="9">
        <f>IF(ORIG!X1511=0,"",ORIG!X1511)</f>
        <v/>
      </c>
      <c r="Y1511" s="9">
        <f>IF(ORIG!Y1511=0,"",ORIG!Y1511)</f>
        <v/>
      </c>
      <c r="Z1511" s="3">
        <f>SUMPRODUCT($B1511:$Y1511,$B$2649:$Y$2649)</f>
        <v/>
      </c>
      <c r="AA1511" s="3">
        <f>SUMPRODUCT($B1511:$Y1511,$B$2655:$Y$2655)</f>
        <v/>
      </c>
      <c r="AC1511" s="1">
        <f>A1511</f>
        <v/>
      </c>
      <c r="AD1511">
        <f>IF(ISNUMBER(V1511),V1511*($AB$1/V$2635),"")</f>
        <v/>
      </c>
      <c r="AE1511">
        <f>IF(ISNUMBER(Z1511),Z1511*($AB$1/Z$2635),"")</f>
        <v/>
      </c>
      <c r="AF1511" s="25">
        <f>IF(ISNUMBER(AD1511+AE1511),AD1511+AE1511,"")</f>
        <v/>
      </c>
      <c r="AH1511" s="1">
        <f>A1511</f>
        <v/>
      </c>
      <c r="AI1511">
        <f>IF(ISNUMBER((1+V1511)*AI1510),(1+V1511)*AI1510,AI1510)</f>
        <v/>
      </c>
      <c r="AJ1511">
        <f>IF(ISNUMBER((1+Z1511)*AJ1510),(1+Z1511)*AJ1510,AJ1510)</f>
        <v/>
      </c>
    </row>
    <row r="1512">
      <c r="A1512" s="1" t="n">
        <v>44195</v>
      </c>
      <c r="B1512" s="3">
        <f>IF(ORIG!B1512=0,"",ORIG!B1512)</f>
        <v/>
      </c>
      <c r="C1512" s="3">
        <f>IF(ORIG!C1512=0,"",ORIG!C1512)</f>
        <v/>
      </c>
      <c r="D1512" s="3">
        <f>IF(ORIG!D1512=0,"",ORIG!D1512)</f>
        <v/>
      </c>
      <c r="E1512" s="3">
        <f>IF(ORIG!E1512=0,"",ORIG!E1512)</f>
        <v/>
      </c>
      <c r="F1512" s="3">
        <f>IF(ORIG!F1512=0,"",ORIG!F1512)</f>
        <v/>
      </c>
      <c r="G1512" s="3">
        <f>IF(ORIG!G1512=0,"",ORIG!G1512)</f>
        <v/>
      </c>
      <c r="H1512" s="3">
        <f>IF(ORIG!H1512=0,"",ORIG!H1512)</f>
        <v/>
      </c>
      <c r="I1512" s="3">
        <f>IF(ORIG!I1512=0,"",ORIG!I1512)</f>
        <v/>
      </c>
      <c r="J1512" s="3">
        <f>IF(ORIG!J1512=0,"",ORIG!J1512)</f>
        <v/>
      </c>
      <c r="K1512" s="3">
        <f>IF(ORIG!K1512=0,"",ORIG!K1512)</f>
        <v/>
      </c>
      <c r="L1512" s="3">
        <f>IF(ORIG!L1512=0,"",ORIG!L1512)</f>
        <v/>
      </c>
      <c r="M1512" s="3">
        <f>IF(ORIG!M1512=0,"",ORIG!M1512)</f>
        <v/>
      </c>
      <c r="N1512" s="3">
        <f>IF(ORIG!N1512=0,"",ORIG!N1512)</f>
        <v/>
      </c>
      <c r="O1512" s="3">
        <f>IF(ORIG!O1512=0,"",ORIG!O1512)</f>
        <v/>
      </c>
      <c r="P1512" s="3">
        <f>IF(ORIG!P1512=0,"",ORIG!P1512)</f>
        <v/>
      </c>
      <c r="Q1512" s="3">
        <f>IF(ORIG!Q1512=0,"",ORIG!Q1512)</f>
        <v/>
      </c>
      <c r="R1512" s="3">
        <f>IF(ORIG!R1512=0,"",ORIG!R1512)</f>
        <v/>
      </c>
      <c r="S1512" s="3">
        <f>IF(ORIG!S1512=0,"",ORIG!S1512)</f>
        <v/>
      </c>
      <c r="T1512" s="3">
        <f>IF(ORIG!T1512=0,"",ORIG!T1512)</f>
        <v/>
      </c>
      <c r="U1512" s="3">
        <f>IF(ORIG!U1512=0,"",ORIG!U1512)</f>
        <v/>
      </c>
      <c r="V1512" s="9">
        <f>IF(ORIG!V1512=0,"",ORIG!V1512)</f>
        <v/>
      </c>
      <c r="W1512" s="9">
        <f>IF(ORIG!W1512=0,"",ORIG!W1512)</f>
        <v/>
      </c>
      <c r="X1512" s="9">
        <f>IF(ORIG!X1512=0,"",ORIG!X1512)</f>
        <v/>
      </c>
      <c r="Y1512" s="9">
        <f>IF(ORIG!Y1512=0,"",ORIG!Y1512)</f>
        <v/>
      </c>
      <c r="Z1512" s="3">
        <f>SUMPRODUCT($B1512:$Y1512,$B$2649:$Y$2649)</f>
        <v/>
      </c>
      <c r="AA1512" s="3">
        <f>SUMPRODUCT($B1512:$Y1512,$B$2655:$Y$2655)</f>
        <v/>
      </c>
      <c r="AC1512" s="1">
        <f>A1512</f>
        <v/>
      </c>
      <c r="AD1512">
        <f>IF(ISNUMBER(V1512),V1512*($AB$1/V$2635),"")</f>
        <v/>
      </c>
      <c r="AE1512">
        <f>IF(ISNUMBER(Z1512),Z1512*($AB$1/Z$2635),"")</f>
        <v/>
      </c>
      <c r="AF1512" s="25">
        <f>IF(ISNUMBER(AD1512+AE1512),AD1512+AE1512,"")</f>
        <v/>
      </c>
      <c r="AH1512" s="1">
        <f>A1512</f>
        <v/>
      </c>
      <c r="AI1512">
        <f>IF(ISNUMBER((1+V1512)*AI1511),(1+V1512)*AI1511,AI1511)</f>
        <v/>
      </c>
      <c r="AJ1512">
        <f>IF(ISNUMBER((1+Z1512)*AJ1511),(1+Z1512)*AJ1511,AJ1511)</f>
        <v/>
      </c>
    </row>
    <row r="1513">
      <c r="A1513" s="1" t="n">
        <v>44196</v>
      </c>
      <c r="B1513" s="3">
        <f>IF(ORIG!B1513=0,"",ORIG!B1513)</f>
        <v/>
      </c>
      <c r="C1513" s="3">
        <f>IF(ORIG!C1513=0,"",ORIG!C1513)</f>
        <v/>
      </c>
      <c r="D1513" s="3">
        <f>IF(ORIG!D1513=0,"",ORIG!D1513)</f>
        <v/>
      </c>
      <c r="E1513" s="3">
        <f>IF(ORIG!E1513=0,"",ORIG!E1513)</f>
        <v/>
      </c>
      <c r="F1513" s="3">
        <f>IF(ORIG!F1513=0,"",ORIG!F1513)</f>
        <v/>
      </c>
      <c r="G1513" s="3">
        <f>IF(ORIG!G1513=0,"",ORIG!G1513)</f>
        <v/>
      </c>
      <c r="H1513" s="3">
        <f>IF(ORIG!H1513=0,"",ORIG!H1513)</f>
        <v/>
      </c>
      <c r="I1513" s="3">
        <f>IF(ORIG!I1513=0,"",ORIG!I1513)</f>
        <v/>
      </c>
      <c r="J1513" s="3">
        <f>IF(ORIG!J1513=0,"",ORIG!J1513)</f>
        <v/>
      </c>
      <c r="K1513" s="3">
        <f>IF(ORIG!K1513=0,"",ORIG!K1513)</f>
        <v/>
      </c>
      <c r="L1513" s="3">
        <f>IF(ORIG!L1513=0,"",ORIG!L1513)</f>
        <v/>
      </c>
      <c r="M1513" s="3">
        <f>IF(ORIG!M1513=0,"",ORIG!M1513)</f>
        <v/>
      </c>
      <c r="N1513" s="3">
        <f>IF(ORIG!N1513=0,"",ORIG!N1513)</f>
        <v/>
      </c>
      <c r="O1513" s="3">
        <f>IF(ORIG!O1513=0,"",ORIG!O1513)</f>
        <v/>
      </c>
      <c r="P1513" s="3">
        <f>IF(ORIG!P1513=0,"",ORIG!P1513)</f>
        <v/>
      </c>
      <c r="Q1513" s="3">
        <f>IF(ORIG!Q1513=0,"",ORIG!Q1513)</f>
        <v/>
      </c>
      <c r="R1513" s="3">
        <f>IF(ORIG!R1513=0,"",ORIG!R1513)</f>
        <v/>
      </c>
      <c r="S1513" s="3">
        <f>IF(ORIG!S1513=0,"",ORIG!S1513)</f>
        <v/>
      </c>
      <c r="T1513" s="3">
        <f>IF(ORIG!T1513=0,"",ORIG!T1513)</f>
        <v/>
      </c>
      <c r="U1513" s="3">
        <f>IF(ORIG!U1513=0,"",ORIG!U1513)</f>
        <v/>
      </c>
      <c r="V1513" s="9">
        <f>IF(ORIG!V1513=0,"",ORIG!V1513)</f>
        <v/>
      </c>
      <c r="W1513" s="9">
        <f>IF(ORIG!W1513=0,"",ORIG!W1513)</f>
        <v/>
      </c>
      <c r="X1513" s="9">
        <f>IF(ORIG!X1513=0,"",ORIG!X1513)</f>
        <v/>
      </c>
      <c r="Y1513" s="9">
        <f>IF(ORIG!Y1513=0,"",ORIG!Y1513)</f>
        <v/>
      </c>
      <c r="Z1513" s="3">
        <f>SUMPRODUCT($B1513:$Y1513,$B$2649:$Y$2649)</f>
        <v/>
      </c>
      <c r="AA1513" s="3">
        <f>SUMPRODUCT($B1513:$Y1513,$B$2655:$Y$2655)</f>
        <v/>
      </c>
      <c r="AC1513" s="1">
        <f>A1513</f>
        <v/>
      </c>
      <c r="AD1513">
        <f>IF(ISNUMBER(V1513),V1513*($AB$1/V$2635),"")</f>
        <v/>
      </c>
      <c r="AE1513">
        <f>IF(ISNUMBER(Z1513),Z1513*($AB$1/Z$2635),"")</f>
        <v/>
      </c>
      <c r="AF1513" s="25">
        <f>IF(ISNUMBER(AD1513+AE1513),AD1513+AE1513,"")</f>
        <v/>
      </c>
      <c r="AH1513" s="1">
        <f>A1513</f>
        <v/>
      </c>
      <c r="AI1513">
        <f>IF(ISNUMBER((1+V1513)*AI1512),(1+V1513)*AI1512,AI1512)</f>
        <v/>
      </c>
      <c r="AJ1513">
        <f>IF(ISNUMBER((1+Z1513)*AJ1512),(1+Z1513)*AJ1512,AJ1512)</f>
        <v/>
      </c>
    </row>
    <row r="1514">
      <c r="A1514" s="1" t="n">
        <v>44200</v>
      </c>
      <c r="B1514" s="3">
        <f>IF(ORIG!B1514=0,"",ORIG!B1514)</f>
        <v/>
      </c>
      <c r="C1514" s="3">
        <f>IF(ORIG!C1514=0,"",ORIG!C1514)</f>
        <v/>
      </c>
      <c r="D1514" s="3">
        <f>IF(ORIG!D1514=0,"",ORIG!D1514)</f>
        <v/>
      </c>
      <c r="E1514" s="3">
        <f>IF(ORIG!E1514=0,"",ORIG!E1514)</f>
        <v/>
      </c>
      <c r="F1514" s="3">
        <f>IF(ORIG!F1514=0,"",ORIG!F1514)</f>
        <v/>
      </c>
      <c r="G1514" s="3">
        <f>IF(ORIG!G1514=0,"",ORIG!G1514)</f>
        <v/>
      </c>
      <c r="H1514" s="3">
        <f>IF(ORIG!H1514=0,"",ORIG!H1514)</f>
        <v/>
      </c>
      <c r="I1514" s="3">
        <f>IF(ORIG!I1514=0,"",ORIG!I1514)</f>
        <v/>
      </c>
      <c r="J1514" s="3">
        <f>IF(ORIG!J1514=0,"",ORIG!J1514)</f>
        <v/>
      </c>
      <c r="K1514" s="3">
        <f>IF(ORIG!K1514=0,"",ORIG!K1514)</f>
        <v/>
      </c>
      <c r="L1514" s="3">
        <f>IF(ORIG!L1514=0,"",ORIG!L1514)</f>
        <v/>
      </c>
      <c r="M1514" s="3">
        <f>IF(ORIG!M1514=0,"",ORIG!M1514)</f>
        <v/>
      </c>
      <c r="N1514" s="3">
        <f>IF(ORIG!N1514=0,"",ORIG!N1514)</f>
        <v/>
      </c>
      <c r="O1514" s="3">
        <f>IF(ORIG!O1514=0,"",ORIG!O1514)</f>
        <v/>
      </c>
      <c r="P1514" s="3">
        <f>IF(ORIG!P1514=0,"",ORIG!P1514)</f>
        <v/>
      </c>
      <c r="Q1514" s="3">
        <f>IF(ORIG!Q1514=0,"",ORIG!Q1514)</f>
        <v/>
      </c>
      <c r="R1514" s="3">
        <f>IF(ORIG!R1514=0,"",ORIG!R1514)</f>
        <v/>
      </c>
      <c r="S1514" s="3">
        <f>IF(ORIG!S1514=0,"",ORIG!S1514)</f>
        <v/>
      </c>
      <c r="T1514" s="3">
        <f>IF(ORIG!T1514=0,"",ORIG!T1514)</f>
        <v/>
      </c>
      <c r="U1514" s="3">
        <f>IF(ORIG!U1514=0,"",ORIG!U1514)</f>
        <v/>
      </c>
      <c r="V1514" s="9">
        <f>IF(ORIG!V1514=0,"",ORIG!V1514)</f>
        <v/>
      </c>
      <c r="W1514" s="9">
        <f>IF(ORIG!W1514=0,"",ORIG!W1514)</f>
        <v/>
      </c>
      <c r="X1514" s="9">
        <f>IF(ORIG!X1514=0,"",ORIG!X1514)</f>
        <v/>
      </c>
      <c r="Y1514" s="9">
        <f>IF(ORIG!Y1514=0,"",ORIG!Y1514)</f>
        <v/>
      </c>
      <c r="Z1514" s="3">
        <f>SUMPRODUCT($B1514:$Y1514,$B$2649:$Y$2649)</f>
        <v/>
      </c>
      <c r="AA1514" s="3">
        <f>SUMPRODUCT($B1514:$Y1514,$B$2655:$Y$2655)</f>
        <v/>
      </c>
      <c r="AC1514" s="1">
        <f>A1514</f>
        <v/>
      </c>
      <c r="AD1514">
        <f>IF(ISNUMBER(V1514),V1514*($AB$1/V$2635),"")</f>
        <v/>
      </c>
      <c r="AE1514">
        <f>IF(ISNUMBER(Z1514),Z1514*($AB$1/Z$2635),"")</f>
        <v/>
      </c>
      <c r="AF1514" s="25">
        <f>IF(ISNUMBER(AD1514+AE1514),AD1514+AE1514,"")</f>
        <v/>
      </c>
      <c r="AH1514" s="1">
        <f>A1514</f>
        <v/>
      </c>
      <c r="AI1514">
        <f>IF(ISNUMBER((1+V1514)*AI1513),(1+V1514)*AI1513,AI1513)</f>
        <v/>
      </c>
      <c r="AJ1514">
        <f>IF(ISNUMBER((1+Z1514)*AJ1513),(1+Z1514)*AJ1513,AJ1513)</f>
        <v/>
      </c>
    </row>
    <row r="1515">
      <c r="A1515" s="1" t="n">
        <v>44201</v>
      </c>
      <c r="B1515" s="3">
        <f>IF(ORIG!B1515=0,"",ORIG!B1515)</f>
        <v/>
      </c>
      <c r="C1515" s="3">
        <f>IF(ORIG!C1515=0,"",ORIG!C1515)</f>
        <v/>
      </c>
      <c r="D1515" s="3">
        <f>IF(ORIG!D1515=0,"",ORIG!D1515)</f>
        <v/>
      </c>
      <c r="E1515" s="3">
        <f>IF(ORIG!E1515=0,"",ORIG!E1515)</f>
        <v/>
      </c>
      <c r="F1515" s="3">
        <f>IF(ORIG!F1515=0,"",ORIG!F1515)</f>
        <v/>
      </c>
      <c r="G1515" s="3">
        <f>IF(ORIG!G1515=0,"",ORIG!G1515)</f>
        <v/>
      </c>
      <c r="H1515" s="3">
        <f>IF(ORIG!H1515=0,"",ORIG!H1515)</f>
        <v/>
      </c>
      <c r="I1515" s="3">
        <f>IF(ORIG!I1515=0,"",ORIG!I1515)</f>
        <v/>
      </c>
      <c r="J1515" s="3">
        <f>IF(ORIG!J1515=0,"",ORIG!J1515)</f>
        <v/>
      </c>
      <c r="K1515" s="3">
        <f>IF(ORIG!K1515=0,"",ORIG!K1515)</f>
        <v/>
      </c>
      <c r="L1515" s="3">
        <f>IF(ORIG!L1515=0,"",ORIG!L1515)</f>
        <v/>
      </c>
      <c r="M1515" s="3">
        <f>IF(ORIG!M1515=0,"",ORIG!M1515)</f>
        <v/>
      </c>
      <c r="N1515" s="3">
        <f>IF(ORIG!N1515=0,"",ORIG!N1515)</f>
        <v/>
      </c>
      <c r="O1515" s="3">
        <f>IF(ORIG!O1515=0,"",ORIG!O1515)</f>
        <v/>
      </c>
      <c r="P1515" s="3">
        <f>IF(ORIG!P1515=0,"",ORIG!P1515)</f>
        <v/>
      </c>
      <c r="Q1515" s="3">
        <f>IF(ORIG!Q1515=0,"",ORIG!Q1515)</f>
        <v/>
      </c>
      <c r="R1515" s="3">
        <f>IF(ORIG!R1515=0,"",ORIG!R1515)</f>
        <v/>
      </c>
      <c r="S1515" s="3">
        <f>IF(ORIG!S1515=0,"",ORIG!S1515)</f>
        <v/>
      </c>
      <c r="T1515" s="3">
        <f>IF(ORIG!T1515=0,"",ORIG!T1515)</f>
        <v/>
      </c>
      <c r="U1515" s="3">
        <f>IF(ORIG!U1515=0,"",ORIG!U1515)</f>
        <v/>
      </c>
      <c r="V1515" s="9">
        <f>IF(ORIG!V1515=0,"",ORIG!V1515)</f>
        <v/>
      </c>
      <c r="W1515" s="9">
        <f>IF(ORIG!W1515=0,"",ORIG!W1515)</f>
        <v/>
      </c>
      <c r="X1515" s="9">
        <f>IF(ORIG!X1515=0,"",ORIG!X1515)</f>
        <v/>
      </c>
      <c r="Y1515" s="9">
        <f>IF(ORIG!Y1515=0,"",ORIG!Y1515)</f>
        <v/>
      </c>
      <c r="Z1515" s="3">
        <f>SUMPRODUCT($B1515:$Y1515,$B$2649:$Y$2649)</f>
        <v/>
      </c>
      <c r="AA1515" s="3">
        <f>SUMPRODUCT($B1515:$Y1515,$B$2655:$Y$2655)</f>
        <v/>
      </c>
      <c r="AC1515" s="1">
        <f>A1515</f>
        <v/>
      </c>
      <c r="AD1515">
        <f>IF(ISNUMBER(V1515),V1515*($AB$1/V$2635),"")</f>
        <v/>
      </c>
      <c r="AE1515">
        <f>IF(ISNUMBER(Z1515),Z1515*($AB$1/Z$2635),"")</f>
        <v/>
      </c>
      <c r="AF1515" s="25">
        <f>IF(ISNUMBER(AD1515+AE1515),AD1515+AE1515,"")</f>
        <v/>
      </c>
      <c r="AH1515" s="1">
        <f>A1515</f>
        <v/>
      </c>
      <c r="AI1515">
        <f>IF(ISNUMBER((1+V1515)*AI1514),(1+V1515)*AI1514,AI1514)</f>
        <v/>
      </c>
      <c r="AJ1515">
        <f>IF(ISNUMBER((1+Z1515)*AJ1514),(1+Z1515)*AJ1514,AJ1514)</f>
        <v/>
      </c>
    </row>
    <row r="1516">
      <c r="A1516" s="1" t="n">
        <v>44202</v>
      </c>
      <c r="B1516" s="3">
        <f>IF(ORIG!B1516=0,"",ORIG!B1516)</f>
        <v/>
      </c>
      <c r="C1516" s="3">
        <f>IF(ORIG!C1516=0,"",ORIG!C1516)</f>
        <v/>
      </c>
      <c r="D1516" s="3">
        <f>IF(ORIG!D1516=0,"",ORIG!D1516)</f>
        <v/>
      </c>
      <c r="E1516" s="3">
        <f>IF(ORIG!E1516=0,"",ORIG!E1516)</f>
        <v/>
      </c>
      <c r="F1516" s="3">
        <f>IF(ORIG!F1516=0,"",ORIG!F1516)</f>
        <v/>
      </c>
      <c r="G1516" s="3">
        <f>IF(ORIG!G1516=0,"",ORIG!G1516)</f>
        <v/>
      </c>
      <c r="H1516" s="3">
        <f>IF(ORIG!H1516=0,"",ORIG!H1516)</f>
        <v/>
      </c>
      <c r="I1516" s="3">
        <f>IF(ORIG!I1516=0,"",ORIG!I1516)</f>
        <v/>
      </c>
      <c r="J1516" s="3">
        <f>IF(ORIG!J1516=0,"",ORIG!J1516)</f>
        <v/>
      </c>
      <c r="K1516" s="3">
        <f>IF(ORIG!K1516=0,"",ORIG!K1516)</f>
        <v/>
      </c>
      <c r="L1516" s="3">
        <f>IF(ORIG!L1516=0,"",ORIG!L1516)</f>
        <v/>
      </c>
      <c r="M1516" s="3">
        <f>IF(ORIG!M1516=0,"",ORIG!M1516)</f>
        <v/>
      </c>
      <c r="N1516" s="3">
        <f>IF(ORIG!N1516=0,"",ORIG!N1516)</f>
        <v/>
      </c>
      <c r="O1516" s="3">
        <f>IF(ORIG!O1516=0,"",ORIG!O1516)</f>
        <v/>
      </c>
      <c r="P1516" s="3">
        <f>IF(ORIG!P1516=0,"",ORIG!P1516)</f>
        <v/>
      </c>
      <c r="Q1516" s="3">
        <f>IF(ORIG!Q1516=0,"",ORIG!Q1516)</f>
        <v/>
      </c>
      <c r="R1516" s="3">
        <f>IF(ORIG!R1516=0,"",ORIG!R1516)</f>
        <v/>
      </c>
      <c r="S1516" s="3">
        <f>IF(ORIG!S1516=0,"",ORIG!S1516)</f>
        <v/>
      </c>
      <c r="T1516" s="3">
        <f>IF(ORIG!T1516=0,"",ORIG!T1516)</f>
        <v/>
      </c>
      <c r="U1516" s="3">
        <f>IF(ORIG!U1516=0,"",ORIG!U1516)</f>
        <v/>
      </c>
      <c r="V1516" s="9">
        <f>IF(ORIG!V1516=0,"",ORIG!V1516)</f>
        <v/>
      </c>
      <c r="W1516" s="9">
        <f>IF(ORIG!W1516=0,"",ORIG!W1516)</f>
        <v/>
      </c>
      <c r="X1516" s="9">
        <f>IF(ORIG!X1516=0,"",ORIG!X1516)</f>
        <v/>
      </c>
      <c r="Y1516" s="9">
        <f>IF(ORIG!Y1516=0,"",ORIG!Y1516)</f>
        <v/>
      </c>
      <c r="Z1516" s="3">
        <f>SUMPRODUCT($B1516:$Y1516,$B$2649:$Y$2649)</f>
        <v/>
      </c>
      <c r="AA1516" s="3">
        <f>SUMPRODUCT($B1516:$Y1516,$B$2655:$Y$2655)</f>
        <v/>
      </c>
      <c r="AC1516" s="1">
        <f>A1516</f>
        <v/>
      </c>
      <c r="AD1516">
        <f>IF(ISNUMBER(V1516),V1516*($AB$1/V$2635),"")</f>
        <v/>
      </c>
      <c r="AE1516">
        <f>IF(ISNUMBER(Z1516),Z1516*($AB$1/Z$2635),"")</f>
        <v/>
      </c>
      <c r="AF1516" s="25">
        <f>IF(ISNUMBER(AD1516+AE1516),AD1516+AE1516,"")</f>
        <v/>
      </c>
      <c r="AH1516" s="1">
        <f>A1516</f>
        <v/>
      </c>
      <c r="AI1516">
        <f>IF(ISNUMBER((1+V1516)*AI1515),(1+V1516)*AI1515,AI1515)</f>
        <v/>
      </c>
      <c r="AJ1516">
        <f>IF(ISNUMBER((1+Z1516)*AJ1515),(1+Z1516)*AJ1515,AJ1515)</f>
        <v/>
      </c>
    </row>
    <row r="1517">
      <c r="A1517" s="1" t="n">
        <v>44203</v>
      </c>
      <c r="B1517" s="3">
        <f>IF(ORIG!B1517=0,"",ORIG!B1517)</f>
        <v/>
      </c>
      <c r="C1517" s="3">
        <f>IF(ORIG!C1517=0,"",ORIG!C1517)</f>
        <v/>
      </c>
      <c r="D1517" s="3">
        <f>IF(ORIG!D1517=0,"",ORIG!D1517)</f>
        <v/>
      </c>
      <c r="E1517" s="3">
        <f>IF(ORIG!E1517=0,"",ORIG!E1517)</f>
        <v/>
      </c>
      <c r="F1517" s="3">
        <f>IF(ORIG!F1517=0,"",ORIG!F1517)</f>
        <v/>
      </c>
      <c r="G1517" s="3">
        <f>IF(ORIG!G1517=0,"",ORIG!G1517)</f>
        <v/>
      </c>
      <c r="H1517" s="3">
        <f>IF(ORIG!H1517=0,"",ORIG!H1517)</f>
        <v/>
      </c>
      <c r="I1517" s="3">
        <f>IF(ORIG!I1517=0,"",ORIG!I1517)</f>
        <v/>
      </c>
      <c r="J1517" s="3">
        <f>IF(ORIG!J1517=0,"",ORIG!J1517)</f>
        <v/>
      </c>
      <c r="K1517" s="3">
        <f>IF(ORIG!K1517=0,"",ORIG!K1517)</f>
        <v/>
      </c>
      <c r="L1517" s="3">
        <f>IF(ORIG!L1517=0,"",ORIG!L1517)</f>
        <v/>
      </c>
      <c r="M1517" s="3">
        <f>IF(ORIG!M1517=0,"",ORIG!M1517)</f>
        <v/>
      </c>
      <c r="N1517" s="3">
        <f>IF(ORIG!N1517=0,"",ORIG!N1517)</f>
        <v/>
      </c>
      <c r="O1517" s="3">
        <f>IF(ORIG!O1517=0,"",ORIG!O1517)</f>
        <v/>
      </c>
      <c r="P1517" s="3">
        <f>IF(ORIG!P1517=0,"",ORIG!P1517)</f>
        <v/>
      </c>
      <c r="Q1517" s="3">
        <f>IF(ORIG!Q1517=0,"",ORIG!Q1517)</f>
        <v/>
      </c>
      <c r="R1517" s="3">
        <f>IF(ORIG!R1517=0,"",ORIG!R1517)</f>
        <v/>
      </c>
      <c r="S1517" s="3">
        <f>IF(ORIG!S1517=0,"",ORIG!S1517)</f>
        <v/>
      </c>
      <c r="T1517" s="3">
        <f>IF(ORIG!T1517=0,"",ORIG!T1517)</f>
        <v/>
      </c>
      <c r="U1517" s="3">
        <f>IF(ORIG!U1517=0,"",ORIG!U1517)</f>
        <v/>
      </c>
      <c r="V1517" s="9">
        <f>IF(ORIG!V1517=0,"",ORIG!V1517)</f>
        <v/>
      </c>
      <c r="W1517" s="9">
        <f>IF(ORIG!W1517=0,"",ORIG!W1517)</f>
        <v/>
      </c>
      <c r="X1517" s="9">
        <f>IF(ORIG!X1517=0,"",ORIG!X1517)</f>
        <v/>
      </c>
      <c r="Y1517" s="9">
        <f>IF(ORIG!Y1517=0,"",ORIG!Y1517)</f>
        <v/>
      </c>
      <c r="Z1517" s="3">
        <f>SUMPRODUCT($B1517:$Y1517,$B$2649:$Y$2649)</f>
        <v/>
      </c>
      <c r="AA1517" s="3">
        <f>SUMPRODUCT($B1517:$Y1517,$B$2655:$Y$2655)</f>
        <v/>
      </c>
      <c r="AC1517" s="1">
        <f>A1517</f>
        <v/>
      </c>
      <c r="AD1517">
        <f>IF(ISNUMBER(V1517),V1517*($AB$1/V$2635),"")</f>
        <v/>
      </c>
      <c r="AE1517">
        <f>IF(ISNUMBER(Z1517),Z1517*($AB$1/Z$2635),"")</f>
        <v/>
      </c>
      <c r="AF1517" s="25">
        <f>IF(ISNUMBER(AD1517+AE1517),AD1517+AE1517,"")</f>
        <v/>
      </c>
      <c r="AH1517" s="1">
        <f>A1517</f>
        <v/>
      </c>
      <c r="AI1517">
        <f>IF(ISNUMBER((1+V1517)*AI1516),(1+V1517)*AI1516,AI1516)</f>
        <v/>
      </c>
      <c r="AJ1517">
        <f>IF(ISNUMBER((1+Z1517)*AJ1516),(1+Z1517)*AJ1516,AJ1516)</f>
        <v/>
      </c>
    </row>
    <row r="1518">
      <c r="A1518" s="1" t="n">
        <v>44204</v>
      </c>
      <c r="B1518" s="3">
        <f>IF(ORIG!B1518=0,"",ORIG!B1518)</f>
        <v/>
      </c>
      <c r="C1518" s="3">
        <f>IF(ORIG!C1518=0,"",ORIG!C1518)</f>
        <v/>
      </c>
      <c r="D1518" s="3">
        <f>IF(ORIG!D1518=0,"",ORIG!D1518)</f>
        <v/>
      </c>
      <c r="E1518" s="3">
        <f>IF(ORIG!E1518=0,"",ORIG!E1518)</f>
        <v/>
      </c>
      <c r="F1518" s="3">
        <f>IF(ORIG!F1518=0,"",ORIG!F1518)</f>
        <v/>
      </c>
      <c r="G1518" s="3">
        <f>IF(ORIG!G1518=0,"",ORIG!G1518)</f>
        <v/>
      </c>
      <c r="H1518" s="3">
        <f>IF(ORIG!H1518=0,"",ORIG!H1518)</f>
        <v/>
      </c>
      <c r="I1518" s="3">
        <f>IF(ORIG!I1518=0,"",ORIG!I1518)</f>
        <v/>
      </c>
      <c r="J1518" s="3">
        <f>IF(ORIG!J1518=0,"",ORIG!J1518)</f>
        <v/>
      </c>
      <c r="K1518" s="3">
        <f>IF(ORIG!K1518=0,"",ORIG!K1518)</f>
        <v/>
      </c>
      <c r="L1518" s="3">
        <f>IF(ORIG!L1518=0,"",ORIG!L1518)</f>
        <v/>
      </c>
      <c r="M1518" s="3">
        <f>IF(ORIG!M1518=0,"",ORIG!M1518)</f>
        <v/>
      </c>
      <c r="N1518" s="3">
        <f>IF(ORIG!N1518=0,"",ORIG!N1518)</f>
        <v/>
      </c>
      <c r="O1518" s="3">
        <f>IF(ORIG!O1518=0,"",ORIG!O1518)</f>
        <v/>
      </c>
      <c r="P1518" s="3">
        <f>IF(ORIG!P1518=0,"",ORIG!P1518)</f>
        <v/>
      </c>
      <c r="Q1518" s="3">
        <f>IF(ORIG!Q1518=0,"",ORIG!Q1518)</f>
        <v/>
      </c>
      <c r="R1518" s="3">
        <f>IF(ORIG!R1518=0,"",ORIG!R1518)</f>
        <v/>
      </c>
      <c r="S1518" s="3">
        <f>IF(ORIG!S1518=0,"",ORIG!S1518)</f>
        <v/>
      </c>
      <c r="T1518" s="3">
        <f>IF(ORIG!T1518=0,"",ORIG!T1518)</f>
        <v/>
      </c>
      <c r="U1518" s="3">
        <f>IF(ORIG!U1518=0,"",ORIG!U1518)</f>
        <v/>
      </c>
      <c r="V1518" s="9">
        <f>IF(ORIG!V1518=0,"",ORIG!V1518)</f>
        <v/>
      </c>
      <c r="W1518" s="9">
        <f>IF(ORIG!W1518=0,"",ORIG!W1518)</f>
        <v/>
      </c>
      <c r="X1518" s="9">
        <f>IF(ORIG!X1518=0,"",ORIG!X1518)</f>
        <v/>
      </c>
      <c r="Y1518" s="9">
        <f>IF(ORIG!Y1518=0,"",ORIG!Y1518)</f>
        <v/>
      </c>
      <c r="Z1518" s="3">
        <f>SUMPRODUCT($B1518:$Y1518,$B$2649:$Y$2649)</f>
        <v/>
      </c>
      <c r="AA1518" s="3">
        <f>SUMPRODUCT($B1518:$Y1518,$B$2655:$Y$2655)</f>
        <v/>
      </c>
      <c r="AC1518" s="1">
        <f>A1518</f>
        <v/>
      </c>
      <c r="AD1518">
        <f>IF(ISNUMBER(V1518),V1518*($AB$1/V$2635),"")</f>
        <v/>
      </c>
      <c r="AE1518">
        <f>IF(ISNUMBER(Z1518),Z1518*($AB$1/Z$2635),"")</f>
        <v/>
      </c>
      <c r="AF1518" s="25">
        <f>IF(ISNUMBER(AD1518+AE1518),AD1518+AE1518,"")</f>
        <v/>
      </c>
      <c r="AH1518" s="1">
        <f>A1518</f>
        <v/>
      </c>
      <c r="AI1518">
        <f>IF(ISNUMBER((1+V1518)*AI1517),(1+V1518)*AI1517,AI1517)</f>
        <v/>
      </c>
      <c r="AJ1518">
        <f>IF(ISNUMBER((1+Z1518)*AJ1517),(1+Z1518)*AJ1517,AJ1517)</f>
        <v/>
      </c>
    </row>
    <row r="1519">
      <c r="A1519" s="1" t="n">
        <v>44207</v>
      </c>
      <c r="B1519" s="3">
        <f>IF(ORIG!B1519=0,"",ORIG!B1519)</f>
        <v/>
      </c>
      <c r="C1519" s="3">
        <f>IF(ORIG!C1519=0,"",ORIG!C1519)</f>
        <v/>
      </c>
      <c r="D1519" s="3">
        <f>IF(ORIG!D1519=0,"",ORIG!D1519)</f>
        <v/>
      </c>
      <c r="E1519" s="3">
        <f>IF(ORIG!E1519=0,"",ORIG!E1519)</f>
        <v/>
      </c>
      <c r="F1519" s="3">
        <f>IF(ORIG!F1519=0,"",ORIG!F1519)</f>
        <v/>
      </c>
      <c r="G1519" s="3">
        <f>IF(ORIG!G1519=0,"",ORIG!G1519)</f>
        <v/>
      </c>
      <c r="H1519" s="3">
        <f>IF(ORIG!H1519=0,"",ORIG!H1519)</f>
        <v/>
      </c>
      <c r="I1519" s="3">
        <f>IF(ORIG!I1519=0,"",ORIG!I1519)</f>
        <v/>
      </c>
      <c r="J1519" s="3">
        <f>IF(ORIG!J1519=0,"",ORIG!J1519)</f>
        <v/>
      </c>
      <c r="K1519" s="3">
        <f>IF(ORIG!K1519=0,"",ORIG!K1519)</f>
        <v/>
      </c>
      <c r="L1519" s="3">
        <f>IF(ORIG!L1519=0,"",ORIG!L1519)</f>
        <v/>
      </c>
      <c r="M1519" s="3">
        <f>IF(ORIG!M1519=0,"",ORIG!M1519)</f>
        <v/>
      </c>
      <c r="N1519" s="3">
        <f>IF(ORIG!N1519=0,"",ORIG!N1519)</f>
        <v/>
      </c>
      <c r="O1519" s="3">
        <f>IF(ORIG!O1519=0,"",ORIG!O1519)</f>
        <v/>
      </c>
      <c r="P1519" s="3">
        <f>IF(ORIG!P1519=0,"",ORIG!P1519)</f>
        <v/>
      </c>
      <c r="Q1519" s="3">
        <f>IF(ORIG!Q1519=0,"",ORIG!Q1519)</f>
        <v/>
      </c>
      <c r="R1519" s="3">
        <f>IF(ORIG!R1519=0,"",ORIG!R1519)</f>
        <v/>
      </c>
      <c r="S1519" s="3">
        <f>IF(ORIG!S1519=0,"",ORIG!S1519)</f>
        <v/>
      </c>
      <c r="T1519" s="3">
        <f>IF(ORIG!T1519=0,"",ORIG!T1519)</f>
        <v/>
      </c>
      <c r="U1519" s="3">
        <f>IF(ORIG!U1519=0,"",ORIG!U1519)</f>
        <v/>
      </c>
      <c r="V1519" s="9">
        <f>IF(ORIG!V1519=0,"",ORIG!V1519)</f>
        <v/>
      </c>
      <c r="W1519" s="9">
        <f>IF(ORIG!W1519=0,"",ORIG!W1519)</f>
        <v/>
      </c>
      <c r="X1519" s="9">
        <f>IF(ORIG!X1519=0,"",ORIG!X1519)</f>
        <v/>
      </c>
      <c r="Y1519" s="9">
        <f>IF(ORIG!Y1519=0,"",ORIG!Y1519)</f>
        <v/>
      </c>
      <c r="Z1519" s="3">
        <f>SUMPRODUCT($B1519:$Y1519,$B$2649:$Y$2649)</f>
        <v/>
      </c>
      <c r="AA1519" s="3">
        <f>SUMPRODUCT($B1519:$Y1519,$B$2655:$Y$2655)</f>
        <v/>
      </c>
      <c r="AC1519" s="1">
        <f>A1519</f>
        <v/>
      </c>
      <c r="AD1519">
        <f>IF(ISNUMBER(V1519),V1519*($AB$1/V$2635),"")</f>
        <v/>
      </c>
      <c r="AE1519">
        <f>IF(ISNUMBER(Z1519),Z1519*($AB$1/Z$2635),"")</f>
        <v/>
      </c>
      <c r="AF1519" s="25">
        <f>IF(ISNUMBER(AD1519+AE1519),AD1519+AE1519,"")</f>
        <v/>
      </c>
      <c r="AH1519" s="1">
        <f>A1519</f>
        <v/>
      </c>
      <c r="AI1519">
        <f>IF(ISNUMBER((1+V1519)*AI1518),(1+V1519)*AI1518,AI1518)</f>
        <v/>
      </c>
      <c r="AJ1519">
        <f>IF(ISNUMBER((1+Z1519)*AJ1518),(1+Z1519)*AJ1518,AJ1518)</f>
        <v/>
      </c>
    </row>
    <row r="1520">
      <c r="A1520" s="1" t="n">
        <v>44208</v>
      </c>
      <c r="B1520" s="3">
        <f>IF(ORIG!B1520=0,"",ORIG!B1520)</f>
        <v/>
      </c>
      <c r="C1520" s="3">
        <f>IF(ORIG!C1520=0,"",ORIG!C1520)</f>
        <v/>
      </c>
      <c r="D1520" s="3">
        <f>IF(ORIG!D1520=0,"",ORIG!D1520)</f>
        <v/>
      </c>
      <c r="E1520" s="3">
        <f>IF(ORIG!E1520=0,"",ORIG!E1520)</f>
        <v/>
      </c>
      <c r="F1520" s="3">
        <f>IF(ORIG!F1520=0,"",ORIG!F1520)</f>
        <v/>
      </c>
      <c r="G1520" s="3">
        <f>IF(ORIG!G1520=0,"",ORIG!G1520)</f>
        <v/>
      </c>
      <c r="H1520" s="3">
        <f>IF(ORIG!H1520=0,"",ORIG!H1520)</f>
        <v/>
      </c>
      <c r="I1520" s="3">
        <f>IF(ORIG!I1520=0,"",ORIG!I1520)</f>
        <v/>
      </c>
      <c r="J1520" s="3">
        <f>IF(ORIG!J1520=0,"",ORIG!J1520)</f>
        <v/>
      </c>
      <c r="K1520" s="3">
        <f>IF(ORIG!K1520=0,"",ORIG!K1520)</f>
        <v/>
      </c>
      <c r="L1520" s="3">
        <f>IF(ORIG!L1520=0,"",ORIG!L1520)</f>
        <v/>
      </c>
      <c r="M1520" s="3">
        <f>IF(ORIG!M1520=0,"",ORIG!M1520)</f>
        <v/>
      </c>
      <c r="N1520" s="3">
        <f>IF(ORIG!N1520=0,"",ORIG!N1520)</f>
        <v/>
      </c>
      <c r="O1520" s="3">
        <f>IF(ORIG!O1520=0,"",ORIG!O1520)</f>
        <v/>
      </c>
      <c r="P1520" s="3">
        <f>IF(ORIG!P1520=0,"",ORIG!P1520)</f>
        <v/>
      </c>
      <c r="Q1520" s="3">
        <f>IF(ORIG!Q1520=0,"",ORIG!Q1520)</f>
        <v/>
      </c>
      <c r="R1520" s="3">
        <f>IF(ORIG!R1520=0,"",ORIG!R1520)</f>
        <v/>
      </c>
      <c r="S1520" s="3">
        <f>IF(ORIG!S1520=0,"",ORIG!S1520)</f>
        <v/>
      </c>
      <c r="T1520" s="3">
        <f>IF(ORIG!T1520=0,"",ORIG!T1520)</f>
        <v/>
      </c>
      <c r="U1520" s="3">
        <f>IF(ORIG!U1520=0,"",ORIG!U1520)</f>
        <v/>
      </c>
      <c r="V1520" s="9">
        <f>IF(ORIG!V1520=0,"",ORIG!V1520)</f>
        <v/>
      </c>
      <c r="W1520" s="9">
        <f>IF(ORIG!W1520=0,"",ORIG!W1520)</f>
        <v/>
      </c>
      <c r="X1520" s="9">
        <f>IF(ORIG!X1520=0,"",ORIG!X1520)</f>
        <v/>
      </c>
      <c r="Y1520" s="9">
        <f>IF(ORIG!Y1520=0,"",ORIG!Y1520)</f>
        <v/>
      </c>
      <c r="Z1520" s="3">
        <f>SUMPRODUCT($B1520:$Y1520,$B$2649:$Y$2649)</f>
        <v/>
      </c>
      <c r="AA1520" s="3">
        <f>SUMPRODUCT($B1520:$Y1520,$B$2655:$Y$2655)</f>
        <v/>
      </c>
      <c r="AC1520" s="1">
        <f>A1520</f>
        <v/>
      </c>
      <c r="AD1520">
        <f>IF(ISNUMBER(V1520),V1520*($AB$1/V$2635),"")</f>
        <v/>
      </c>
      <c r="AE1520">
        <f>IF(ISNUMBER(Z1520),Z1520*($AB$1/Z$2635),"")</f>
        <v/>
      </c>
      <c r="AF1520" s="25">
        <f>IF(ISNUMBER(AD1520+AE1520),AD1520+AE1520,"")</f>
        <v/>
      </c>
      <c r="AH1520" s="1">
        <f>A1520</f>
        <v/>
      </c>
      <c r="AI1520">
        <f>IF(ISNUMBER((1+V1520)*AI1519),(1+V1520)*AI1519,AI1519)</f>
        <v/>
      </c>
      <c r="AJ1520">
        <f>IF(ISNUMBER((1+Z1520)*AJ1519),(1+Z1520)*AJ1519,AJ1519)</f>
        <v/>
      </c>
    </row>
    <row r="1521">
      <c r="A1521" s="1" t="n">
        <v>44209</v>
      </c>
      <c r="B1521" s="3">
        <f>IF(ORIG!B1521=0,"",ORIG!B1521)</f>
        <v/>
      </c>
      <c r="C1521" s="3">
        <f>IF(ORIG!C1521=0,"",ORIG!C1521)</f>
        <v/>
      </c>
      <c r="D1521" s="3">
        <f>IF(ORIG!D1521=0,"",ORIG!D1521)</f>
        <v/>
      </c>
      <c r="E1521" s="3">
        <f>IF(ORIG!E1521=0,"",ORIG!E1521)</f>
        <v/>
      </c>
      <c r="F1521" s="3">
        <f>IF(ORIG!F1521=0,"",ORIG!F1521)</f>
        <v/>
      </c>
      <c r="G1521" s="3">
        <f>IF(ORIG!G1521=0,"",ORIG!G1521)</f>
        <v/>
      </c>
      <c r="H1521" s="3">
        <f>IF(ORIG!H1521=0,"",ORIG!H1521)</f>
        <v/>
      </c>
      <c r="I1521" s="3">
        <f>IF(ORIG!I1521=0,"",ORIG!I1521)</f>
        <v/>
      </c>
      <c r="J1521" s="3">
        <f>IF(ORIG!J1521=0,"",ORIG!J1521)</f>
        <v/>
      </c>
      <c r="K1521" s="3">
        <f>IF(ORIG!K1521=0,"",ORIG!K1521)</f>
        <v/>
      </c>
      <c r="L1521" s="3">
        <f>IF(ORIG!L1521=0,"",ORIG!L1521)</f>
        <v/>
      </c>
      <c r="M1521" s="3">
        <f>IF(ORIG!M1521=0,"",ORIG!M1521)</f>
        <v/>
      </c>
      <c r="N1521" s="3">
        <f>IF(ORIG!N1521=0,"",ORIG!N1521)</f>
        <v/>
      </c>
      <c r="O1521" s="3">
        <f>IF(ORIG!O1521=0,"",ORIG!O1521)</f>
        <v/>
      </c>
      <c r="P1521" s="3">
        <f>IF(ORIG!P1521=0,"",ORIG!P1521)</f>
        <v/>
      </c>
      <c r="Q1521" s="3">
        <f>IF(ORIG!Q1521=0,"",ORIG!Q1521)</f>
        <v/>
      </c>
      <c r="R1521" s="3">
        <f>IF(ORIG!R1521=0,"",ORIG!R1521)</f>
        <v/>
      </c>
      <c r="S1521" s="3">
        <f>IF(ORIG!S1521=0,"",ORIG!S1521)</f>
        <v/>
      </c>
      <c r="T1521" s="3">
        <f>IF(ORIG!T1521=0,"",ORIG!T1521)</f>
        <v/>
      </c>
      <c r="U1521" s="3">
        <f>IF(ORIG!U1521=0,"",ORIG!U1521)</f>
        <v/>
      </c>
      <c r="V1521" s="9">
        <f>IF(ORIG!V1521=0,"",ORIG!V1521)</f>
        <v/>
      </c>
      <c r="W1521" s="9">
        <f>IF(ORIG!W1521=0,"",ORIG!W1521)</f>
        <v/>
      </c>
      <c r="X1521" s="9">
        <f>IF(ORIG!X1521=0,"",ORIG!X1521)</f>
        <v/>
      </c>
      <c r="Y1521" s="9">
        <f>IF(ORIG!Y1521=0,"",ORIG!Y1521)</f>
        <v/>
      </c>
      <c r="Z1521" s="3">
        <f>SUMPRODUCT($B1521:$Y1521,$B$2649:$Y$2649)</f>
        <v/>
      </c>
      <c r="AA1521" s="3">
        <f>SUMPRODUCT($B1521:$Y1521,$B$2655:$Y$2655)</f>
        <v/>
      </c>
      <c r="AC1521" s="1">
        <f>A1521</f>
        <v/>
      </c>
      <c r="AD1521">
        <f>IF(ISNUMBER(V1521),V1521*($AB$1/V$2635),"")</f>
        <v/>
      </c>
      <c r="AE1521">
        <f>IF(ISNUMBER(Z1521),Z1521*($AB$1/Z$2635),"")</f>
        <v/>
      </c>
      <c r="AF1521" s="25">
        <f>IF(ISNUMBER(AD1521+AE1521),AD1521+AE1521,"")</f>
        <v/>
      </c>
      <c r="AH1521" s="1">
        <f>A1521</f>
        <v/>
      </c>
      <c r="AI1521">
        <f>IF(ISNUMBER((1+V1521)*AI1520),(1+V1521)*AI1520,AI1520)</f>
        <v/>
      </c>
      <c r="AJ1521">
        <f>IF(ISNUMBER((1+Z1521)*AJ1520),(1+Z1521)*AJ1520,AJ1520)</f>
        <v/>
      </c>
    </row>
    <row r="1522">
      <c r="A1522" s="1" t="n">
        <v>44210</v>
      </c>
      <c r="B1522" s="3">
        <f>IF(ORIG!B1522=0,"",ORIG!B1522)</f>
        <v/>
      </c>
      <c r="C1522" s="3">
        <f>IF(ORIG!C1522=0,"",ORIG!C1522)</f>
        <v/>
      </c>
      <c r="D1522" s="3">
        <f>IF(ORIG!D1522=0,"",ORIG!D1522)</f>
        <v/>
      </c>
      <c r="E1522" s="3">
        <f>IF(ORIG!E1522=0,"",ORIG!E1522)</f>
        <v/>
      </c>
      <c r="F1522" s="3">
        <f>IF(ORIG!F1522=0,"",ORIG!F1522)</f>
        <v/>
      </c>
      <c r="G1522" s="3">
        <f>IF(ORIG!G1522=0,"",ORIG!G1522)</f>
        <v/>
      </c>
      <c r="H1522" s="3">
        <f>IF(ORIG!H1522=0,"",ORIG!H1522)</f>
        <v/>
      </c>
      <c r="I1522" s="3">
        <f>IF(ORIG!I1522=0,"",ORIG!I1522)</f>
        <v/>
      </c>
      <c r="J1522" s="3">
        <f>IF(ORIG!J1522=0,"",ORIG!J1522)</f>
        <v/>
      </c>
      <c r="K1522" s="3">
        <f>IF(ORIG!K1522=0,"",ORIG!K1522)</f>
        <v/>
      </c>
      <c r="L1522" s="3">
        <f>IF(ORIG!L1522=0,"",ORIG!L1522)</f>
        <v/>
      </c>
      <c r="M1522" s="3">
        <f>IF(ORIG!M1522=0,"",ORIG!M1522)</f>
        <v/>
      </c>
      <c r="N1522" s="3">
        <f>IF(ORIG!N1522=0,"",ORIG!N1522)</f>
        <v/>
      </c>
      <c r="O1522" s="3">
        <f>IF(ORIG!O1522=0,"",ORIG!O1522)</f>
        <v/>
      </c>
      <c r="P1522" s="3">
        <f>IF(ORIG!P1522=0,"",ORIG!P1522)</f>
        <v/>
      </c>
      <c r="Q1522" s="3">
        <f>IF(ORIG!Q1522=0,"",ORIG!Q1522)</f>
        <v/>
      </c>
      <c r="R1522" s="3">
        <f>IF(ORIG!R1522=0,"",ORIG!R1522)</f>
        <v/>
      </c>
      <c r="S1522" s="3">
        <f>IF(ORIG!S1522=0,"",ORIG!S1522)</f>
        <v/>
      </c>
      <c r="T1522" s="3">
        <f>IF(ORIG!T1522=0,"",ORIG!T1522)</f>
        <v/>
      </c>
      <c r="U1522" s="3">
        <f>IF(ORIG!U1522=0,"",ORIG!U1522)</f>
        <v/>
      </c>
      <c r="V1522" s="9">
        <f>IF(ORIG!V1522=0,"",ORIG!V1522)</f>
        <v/>
      </c>
      <c r="W1522" s="9">
        <f>IF(ORIG!W1522=0,"",ORIG!W1522)</f>
        <v/>
      </c>
      <c r="X1522" s="9">
        <f>IF(ORIG!X1522=0,"",ORIG!X1522)</f>
        <v/>
      </c>
      <c r="Y1522" s="9">
        <f>IF(ORIG!Y1522=0,"",ORIG!Y1522)</f>
        <v/>
      </c>
      <c r="Z1522" s="3">
        <f>SUMPRODUCT($B1522:$Y1522,$B$2649:$Y$2649)</f>
        <v/>
      </c>
      <c r="AA1522" s="3">
        <f>SUMPRODUCT($B1522:$Y1522,$B$2655:$Y$2655)</f>
        <v/>
      </c>
      <c r="AC1522" s="1">
        <f>A1522</f>
        <v/>
      </c>
      <c r="AD1522">
        <f>IF(ISNUMBER(V1522),V1522*($AB$1/V$2635),"")</f>
        <v/>
      </c>
      <c r="AE1522">
        <f>IF(ISNUMBER(Z1522),Z1522*($AB$1/Z$2635),"")</f>
        <v/>
      </c>
      <c r="AF1522" s="25">
        <f>IF(ISNUMBER(AD1522+AE1522),AD1522+AE1522,"")</f>
        <v/>
      </c>
      <c r="AH1522" s="1">
        <f>A1522</f>
        <v/>
      </c>
      <c r="AI1522">
        <f>IF(ISNUMBER((1+V1522)*AI1521),(1+V1522)*AI1521,AI1521)</f>
        <v/>
      </c>
      <c r="AJ1522">
        <f>IF(ISNUMBER((1+Z1522)*AJ1521),(1+Z1522)*AJ1521,AJ1521)</f>
        <v/>
      </c>
    </row>
    <row r="1523">
      <c r="A1523" s="1" t="n">
        <v>44211</v>
      </c>
      <c r="B1523" s="3">
        <f>IF(ORIG!B1523=0,"",ORIG!B1523)</f>
        <v/>
      </c>
      <c r="C1523" s="3">
        <f>IF(ORIG!C1523=0,"",ORIG!C1523)</f>
        <v/>
      </c>
      <c r="D1523" s="3">
        <f>IF(ORIG!D1523=0,"",ORIG!D1523)</f>
        <v/>
      </c>
      <c r="E1523" s="3">
        <f>IF(ORIG!E1523=0,"",ORIG!E1523)</f>
        <v/>
      </c>
      <c r="F1523" s="3">
        <f>IF(ORIG!F1523=0,"",ORIG!F1523)</f>
        <v/>
      </c>
      <c r="G1523" s="3">
        <f>IF(ORIG!G1523=0,"",ORIG!G1523)</f>
        <v/>
      </c>
      <c r="H1523" s="3">
        <f>IF(ORIG!H1523=0,"",ORIG!H1523)</f>
        <v/>
      </c>
      <c r="I1523" s="3">
        <f>IF(ORIG!I1523=0,"",ORIG!I1523)</f>
        <v/>
      </c>
      <c r="J1523" s="3">
        <f>IF(ORIG!J1523=0,"",ORIG!J1523)</f>
        <v/>
      </c>
      <c r="K1523" s="3">
        <f>IF(ORIG!K1523=0,"",ORIG!K1523)</f>
        <v/>
      </c>
      <c r="L1523" s="3">
        <f>IF(ORIG!L1523=0,"",ORIG!L1523)</f>
        <v/>
      </c>
      <c r="M1523" s="3">
        <f>IF(ORIG!M1523=0,"",ORIG!M1523)</f>
        <v/>
      </c>
      <c r="N1523" s="3">
        <f>IF(ORIG!N1523=0,"",ORIG!N1523)</f>
        <v/>
      </c>
      <c r="O1523" s="3">
        <f>IF(ORIG!O1523=0,"",ORIG!O1523)</f>
        <v/>
      </c>
      <c r="P1523" s="3">
        <f>IF(ORIG!P1523=0,"",ORIG!P1523)</f>
        <v/>
      </c>
      <c r="Q1523" s="3">
        <f>IF(ORIG!Q1523=0,"",ORIG!Q1523)</f>
        <v/>
      </c>
      <c r="R1523" s="3">
        <f>IF(ORIG!R1523=0,"",ORIG!R1523)</f>
        <v/>
      </c>
      <c r="S1523" s="3">
        <f>IF(ORIG!S1523=0,"",ORIG!S1523)</f>
        <v/>
      </c>
      <c r="T1523" s="3">
        <f>IF(ORIG!T1523=0,"",ORIG!T1523)</f>
        <v/>
      </c>
      <c r="U1523" s="3">
        <f>IF(ORIG!U1523=0,"",ORIG!U1523)</f>
        <v/>
      </c>
      <c r="V1523" s="9">
        <f>IF(ORIG!V1523=0,"",ORIG!V1523)</f>
        <v/>
      </c>
      <c r="W1523" s="9">
        <f>IF(ORIG!W1523=0,"",ORIG!W1523)</f>
        <v/>
      </c>
      <c r="X1523" s="9">
        <f>IF(ORIG!X1523=0,"",ORIG!X1523)</f>
        <v/>
      </c>
      <c r="Y1523" s="9">
        <f>IF(ORIG!Y1523=0,"",ORIG!Y1523)</f>
        <v/>
      </c>
      <c r="Z1523" s="3">
        <f>SUMPRODUCT($B1523:$Y1523,$B$2649:$Y$2649)</f>
        <v/>
      </c>
      <c r="AA1523" s="3">
        <f>SUMPRODUCT($B1523:$Y1523,$B$2655:$Y$2655)</f>
        <v/>
      </c>
      <c r="AC1523" s="1">
        <f>A1523</f>
        <v/>
      </c>
      <c r="AD1523">
        <f>IF(ISNUMBER(V1523),V1523*($AB$1/V$2635),"")</f>
        <v/>
      </c>
      <c r="AE1523">
        <f>IF(ISNUMBER(Z1523),Z1523*($AB$1/Z$2635),"")</f>
        <v/>
      </c>
      <c r="AF1523" s="25">
        <f>IF(ISNUMBER(AD1523+AE1523),AD1523+AE1523,"")</f>
        <v/>
      </c>
      <c r="AH1523" s="1">
        <f>A1523</f>
        <v/>
      </c>
      <c r="AI1523">
        <f>IF(ISNUMBER((1+V1523)*AI1522),(1+V1523)*AI1522,AI1522)</f>
        <v/>
      </c>
      <c r="AJ1523">
        <f>IF(ISNUMBER((1+Z1523)*AJ1522),(1+Z1523)*AJ1522,AJ1522)</f>
        <v/>
      </c>
    </row>
    <row r="1524">
      <c r="A1524" s="1" t="n">
        <v>44215</v>
      </c>
      <c r="B1524" s="3">
        <f>IF(ORIG!B1524=0,"",ORIG!B1524)</f>
        <v/>
      </c>
      <c r="C1524" s="3">
        <f>IF(ORIG!C1524=0,"",ORIG!C1524)</f>
        <v/>
      </c>
      <c r="D1524" s="3">
        <f>IF(ORIG!D1524=0,"",ORIG!D1524)</f>
        <v/>
      </c>
      <c r="E1524" s="3">
        <f>IF(ORIG!E1524=0,"",ORIG!E1524)</f>
        <v/>
      </c>
      <c r="F1524" s="3">
        <f>IF(ORIG!F1524=0,"",ORIG!F1524)</f>
        <v/>
      </c>
      <c r="G1524" s="3">
        <f>IF(ORIG!G1524=0,"",ORIG!G1524)</f>
        <v/>
      </c>
      <c r="H1524" s="3">
        <f>IF(ORIG!H1524=0,"",ORIG!H1524)</f>
        <v/>
      </c>
      <c r="I1524" s="3">
        <f>IF(ORIG!I1524=0,"",ORIG!I1524)</f>
        <v/>
      </c>
      <c r="J1524" s="3">
        <f>IF(ORIG!J1524=0,"",ORIG!J1524)</f>
        <v/>
      </c>
      <c r="K1524" s="3">
        <f>IF(ORIG!K1524=0,"",ORIG!K1524)</f>
        <v/>
      </c>
      <c r="L1524" s="3">
        <f>IF(ORIG!L1524=0,"",ORIG!L1524)</f>
        <v/>
      </c>
      <c r="M1524" s="3">
        <f>IF(ORIG!M1524=0,"",ORIG!M1524)</f>
        <v/>
      </c>
      <c r="N1524" s="3">
        <f>IF(ORIG!N1524=0,"",ORIG!N1524)</f>
        <v/>
      </c>
      <c r="O1524" s="3">
        <f>IF(ORIG!O1524=0,"",ORIG!O1524)</f>
        <v/>
      </c>
      <c r="P1524" s="3">
        <f>IF(ORIG!P1524=0,"",ORIG!P1524)</f>
        <v/>
      </c>
      <c r="Q1524" s="3">
        <f>IF(ORIG!Q1524=0,"",ORIG!Q1524)</f>
        <v/>
      </c>
      <c r="R1524" s="3">
        <f>IF(ORIG!R1524=0,"",ORIG!R1524)</f>
        <v/>
      </c>
      <c r="S1524" s="3">
        <f>IF(ORIG!S1524=0,"",ORIG!S1524)</f>
        <v/>
      </c>
      <c r="T1524" s="3">
        <f>IF(ORIG!T1524=0,"",ORIG!T1524)</f>
        <v/>
      </c>
      <c r="U1524" s="3">
        <f>IF(ORIG!U1524=0,"",ORIG!U1524)</f>
        <v/>
      </c>
      <c r="V1524" s="9">
        <f>IF(ORIG!V1524=0,"",ORIG!V1524)</f>
        <v/>
      </c>
      <c r="W1524" s="9">
        <f>IF(ORIG!W1524=0,"",ORIG!W1524)</f>
        <v/>
      </c>
      <c r="X1524" s="9">
        <f>IF(ORIG!X1524=0,"",ORIG!X1524)</f>
        <v/>
      </c>
      <c r="Y1524" s="9">
        <f>IF(ORIG!Y1524=0,"",ORIG!Y1524)</f>
        <v/>
      </c>
      <c r="Z1524" s="3">
        <f>SUMPRODUCT($B1524:$Y1524,$B$2649:$Y$2649)</f>
        <v/>
      </c>
      <c r="AA1524" s="3">
        <f>SUMPRODUCT($B1524:$Y1524,$B$2655:$Y$2655)</f>
        <v/>
      </c>
      <c r="AC1524" s="1">
        <f>A1524</f>
        <v/>
      </c>
      <c r="AD1524">
        <f>IF(ISNUMBER(V1524),V1524*($AB$1/V$2635),"")</f>
        <v/>
      </c>
      <c r="AE1524">
        <f>IF(ISNUMBER(Z1524),Z1524*($AB$1/Z$2635),"")</f>
        <v/>
      </c>
      <c r="AF1524" s="25">
        <f>IF(ISNUMBER(AD1524+AE1524),AD1524+AE1524,"")</f>
        <v/>
      </c>
      <c r="AH1524" s="1">
        <f>A1524</f>
        <v/>
      </c>
      <c r="AI1524">
        <f>IF(ISNUMBER((1+V1524)*AI1523),(1+V1524)*AI1523,AI1523)</f>
        <v/>
      </c>
      <c r="AJ1524">
        <f>IF(ISNUMBER((1+Z1524)*AJ1523),(1+Z1524)*AJ1523,AJ1523)</f>
        <v/>
      </c>
    </row>
    <row r="1525">
      <c r="A1525" s="1" t="n">
        <v>44216</v>
      </c>
      <c r="B1525" s="3">
        <f>IF(ORIG!B1525=0,"",ORIG!B1525)</f>
        <v/>
      </c>
      <c r="C1525" s="3">
        <f>IF(ORIG!C1525=0,"",ORIG!C1525)</f>
        <v/>
      </c>
      <c r="D1525" s="3">
        <f>IF(ORIG!D1525=0,"",ORIG!D1525)</f>
        <v/>
      </c>
      <c r="E1525" s="3">
        <f>IF(ORIG!E1525=0,"",ORIG!E1525)</f>
        <v/>
      </c>
      <c r="F1525" s="3">
        <f>IF(ORIG!F1525=0,"",ORIG!F1525)</f>
        <v/>
      </c>
      <c r="G1525" s="3">
        <f>IF(ORIG!G1525=0,"",ORIG!G1525)</f>
        <v/>
      </c>
      <c r="H1525" s="3">
        <f>IF(ORIG!H1525=0,"",ORIG!H1525)</f>
        <v/>
      </c>
      <c r="I1525" s="3">
        <f>IF(ORIG!I1525=0,"",ORIG!I1525)</f>
        <v/>
      </c>
      <c r="J1525" s="3">
        <f>IF(ORIG!J1525=0,"",ORIG!J1525)</f>
        <v/>
      </c>
      <c r="K1525" s="3">
        <f>IF(ORIG!K1525=0,"",ORIG!K1525)</f>
        <v/>
      </c>
      <c r="L1525" s="3">
        <f>IF(ORIG!L1525=0,"",ORIG!L1525)</f>
        <v/>
      </c>
      <c r="M1525" s="3">
        <f>IF(ORIG!M1525=0,"",ORIG!M1525)</f>
        <v/>
      </c>
      <c r="N1525" s="3">
        <f>IF(ORIG!N1525=0,"",ORIG!N1525)</f>
        <v/>
      </c>
      <c r="O1525" s="3">
        <f>IF(ORIG!O1525=0,"",ORIG!O1525)</f>
        <v/>
      </c>
      <c r="P1525" s="3">
        <f>IF(ORIG!P1525=0,"",ORIG!P1525)</f>
        <v/>
      </c>
      <c r="Q1525" s="3">
        <f>IF(ORIG!Q1525=0,"",ORIG!Q1525)</f>
        <v/>
      </c>
      <c r="R1525" s="3">
        <f>IF(ORIG!R1525=0,"",ORIG!R1525)</f>
        <v/>
      </c>
      <c r="S1525" s="3">
        <f>IF(ORIG!S1525=0,"",ORIG!S1525)</f>
        <v/>
      </c>
      <c r="T1525" s="3">
        <f>IF(ORIG!T1525=0,"",ORIG!T1525)</f>
        <v/>
      </c>
      <c r="U1525" s="3">
        <f>IF(ORIG!U1525=0,"",ORIG!U1525)</f>
        <v/>
      </c>
      <c r="V1525" s="9">
        <f>IF(ORIG!V1525=0,"",ORIG!V1525)</f>
        <v/>
      </c>
      <c r="W1525" s="9">
        <f>IF(ORIG!W1525=0,"",ORIG!W1525)</f>
        <v/>
      </c>
      <c r="X1525" s="9">
        <f>IF(ORIG!X1525=0,"",ORIG!X1525)</f>
        <v/>
      </c>
      <c r="Y1525" s="9">
        <f>IF(ORIG!Y1525=0,"",ORIG!Y1525)</f>
        <v/>
      </c>
      <c r="Z1525" s="3">
        <f>SUMPRODUCT($B1525:$Y1525,$B$2649:$Y$2649)</f>
        <v/>
      </c>
      <c r="AA1525" s="3">
        <f>SUMPRODUCT($B1525:$Y1525,$B$2655:$Y$2655)</f>
        <v/>
      </c>
      <c r="AC1525" s="1">
        <f>A1525</f>
        <v/>
      </c>
      <c r="AD1525">
        <f>IF(ISNUMBER(V1525),V1525*($AB$1/V$2635),"")</f>
        <v/>
      </c>
      <c r="AE1525">
        <f>IF(ISNUMBER(Z1525),Z1525*($AB$1/Z$2635),"")</f>
        <v/>
      </c>
      <c r="AF1525" s="25">
        <f>IF(ISNUMBER(AD1525+AE1525),AD1525+AE1525,"")</f>
        <v/>
      </c>
      <c r="AH1525" s="1">
        <f>A1525</f>
        <v/>
      </c>
      <c r="AI1525">
        <f>IF(ISNUMBER((1+V1525)*AI1524),(1+V1525)*AI1524,AI1524)</f>
        <v/>
      </c>
      <c r="AJ1525">
        <f>IF(ISNUMBER((1+Z1525)*AJ1524),(1+Z1525)*AJ1524,AJ1524)</f>
        <v/>
      </c>
    </row>
    <row r="1526">
      <c r="A1526" s="1" t="n">
        <v>44217</v>
      </c>
      <c r="B1526" s="3">
        <f>IF(ORIG!B1526=0,"",ORIG!B1526)</f>
        <v/>
      </c>
      <c r="C1526" s="3">
        <f>IF(ORIG!C1526=0,"",ORIG!C1526)</f>
        <v/>
      </c>
      <c r="D1526" s="3">
        <f>IF(ORIG!D1526=0,"",ORIG!D1526)</f>
        <v/>
      </c>
      <c r="E1526" s="3">
        <f>IF(ORIG!E1526=0,"",ORIG!E1526)</f>
        <v/>
      </c>
      <c r="F1526" s="3">
        <f>IF(ORIG!F1526=0,"",ORIG!F1526)</f>
        <v/>
      </c>
      <c r="G1526" s="3">
        <f>IF(ORIG!G1526=0,"",ORIG!G1526)</f>
        <v/>
      </c>
      <c r="H1526" s="3">
        <f>IF(ORIG!H1526=0,"",ORIG!H1526)</f>
        <v/>
      </c>
      <c r="I1526" s="3">
        <f>IF(ORIG!I1526=0,"",ORIG!I1526)</f>
        <v/>
      </c>
      <c r="J1526" s="3">
        <f>IF(ORIG!J1526=0,"",ORIG!J1526)</f>
        <v/>
      </c>
      <c r="K1526" s="3">
        <f>IF(ORIG!K1526=0,"",ORIG!K1526)</f>
        <v/>
      </c>
      <c r="L1526" s="3">
        <f>IF(ORIG!L1526=0,"",ORIG!L1526)</f>
        <v/>
      </c>
      <c r="M1526" s="3">
        <f>IF(ORIG!M1526=0,"",ORIG!M1526)</f>
        <v/>
      </c>
      <c r="N1526" s="3">
        <f>IF(ORIG!N1526=0,"",ORIG!N1526)</f>
        <v/>
      </c>
      <c r="O1526" s="3">
        <f>IF(ORIG!O1526=0,"",ORIG!O1526)</f>
        <v/>
      </c>
      <c r="P1526" s="3">
        <f>IF(ORIG!P1526=0,"",ORIG!P1526)</f>
        <v/>
      </c>
      <c r="Q1526" s="3">
        <f>IF(ORIG!Q1526=0,"",ORIG!Q1526)</f>
        <v/>
      </c>
      <c r="R1526" s="3">
        <f>IF(ORIG!R1526=0,"",ORIG!R1526)</f>
        <v/>
      </c>
      <c r="S1526" s="3">
        <f>IF(ORIG!S1526=0,"",ORIG!S1526)</f>
        <v/>
      </c>
      <c r="T1526" s="3">
        <f>IF(ORIG!T1526=0,"",ORIG!T1526)</f>
        <v/>
      </c>
      <c r="U1526" s="3">
        <f>IF(ORIG!U1526=0,"",ORIG!U1526)</f>
        <v/>
      </c>
      <c r="V1526" s="9">
        <f>IF(ORIG!V1526=0,"",ORIG!V1526)</f>
        <v/>
      </c>
      <c r="W1526" s="9">
        <f>IF(ORIG!W1526=0,"",ORIG!W1526)</f>
        <v/>
      </c>
      <c r="X1526" s="9">
        <f>IF(ORIG!X1526=0,"",ORIG!X1526)</f>
        <v/>
      </c>
      <c r="Y1526" s="9">
        <f>IF(ORIG!Y1526=0,"",ORIG!Y1526)</f>
        <v/>
      </c>
      <c r="Z1526" s="3">
        <f>SUMPRODUCT($B1526:$Y1526,$B$2649:$Y$2649)</f>
        <v/>
      </c>
      <c r="AA1526" s="3">
        <f>SUMPRODUCT($B1526:$Y1526,$B$2655:$Y$2655)</f>
        <v/>
      </c>
      <c r="AC1526" s="1">
        <f>A1526</f>
        <v/>
      </c>
      <c r="AD1526">
        <f>IF(ISNUMBER(V1526),V1526*($AB$1/V$2635),"")</f>
        <v/>
      </c>
      <c r="AE1526">
        <f>IF(ISNUMBER(Z1526),Z1526*($AB$1/Z$2635),"")</f>
        <v/>
      </c>
      <c r="AF1526" s="25">
        <f>IF(ISNUMBER(AD1526+AE1526),AD1526+AE1526,"")</f>
        <v/>
      </c>
      <c r="AH1526" s="1">
        <f>A1526</f>
        <v/>
      </c>
      <c r="AI1526">
        <f>IF(ISNUMBER((1+V1526)*AI1525),(1+V1526)*AI1525,AI1525)</f>
        <v/>
      </c>
      <c r="AJ1526">
        <f>IF(ISNUMBER((1+Z1526)*AJ1525),(1+Z1526)*AJ1525,AJ1525)</f>
        <v/>
      </c>
    </row>
    <row r="1527">
      <c r="A1527" s="1" t="n">
        <v>44218</v>
      </c>
      <c r="B1527" s="3">
        <f>IF(ORIG!B1527=0,"",ORIG!B1527)</f>
        <v/>
      </c>
      <c r="C1527" s="3">
        <f>IF(ORIG!C1527=0,"",ORIG!C1527)</f>
        <v/>
      </c>
      <c r="D1527" s="3">
        <f>IF(ORIG!D1527=0,"",ORIG!D1527)</f>
        <v/>
      </c>
      <c r="E1527" s="3">
        <f>IF(ORIG!E1527=0,"",ORIG!E1527)</f>
        <v/>
      </c>
      <c r="F1527" s="3">
        <f>IF(ORIG!F1527=0,"",ORIG!F1527)</f>
        <v/>
      </c>
      <c r="G1527" s="3">
        <f>IF(ORIG!G1527=0,"",ORIG!G1527)</f>
        <v/>
      </c>
      <c r="H1527" s="3">
        <f>IF(ORIG!H1527=0,"",ORIG!H1527)</f>
        <v/>
      </c>
      <c r="I1527" s="3">
        <f>IF(ORIG!I1527=0,"",ORIG!I1527)</f>
        <v/>
      </c>
      <c r="J1527" s="3">
        <f>IF(ORIG!J1527=0,"",ORIG!J1527)</f>
        <v/>
      </c>
      <c r="K1527" s="3">
        <f>IF(ORIG!K1527=0,"",ORIG!K1527)</f>
        <v/>
      </c>
      <c r="L1527" s="3">
        <f>IF(ORIG!L1527=0,"",ORIG!L1527)</f>
        <v/>
      </c>
      <c r="M1527" s="3">
        <f>IF(ORIG!M1527=0,"",ORIG!M1527)</f>
        <v/>
      </c>
      <c r="N1527" s="3">
        <f>IF(ORIG!N1527=0,"",ORIG!N1527)</f>
        <v/>
      </c>
      <c r="O1527" s="3">
        <f>IF(ORIG!O1527=0,"",ORIG!O1527)</f>
        <v/>
      </c>
      <c r="P1527" s="3">
        <f>IF(ORIG!P1527=0,"",ORIG!P1527)</f>
        <v/>
      </c>
      <c r="Q1527" s="3">
        <f>IF(ORIG!Q1527=0,"",ORIG!Q1527)</f>
        <v/>
      </c>
      <c r="R1527" s="3">
        <f>IF(ORIG!R1527=0,"",ORIG!R1527)</f>
        <v/>
      </c>
      <c r="S1527" s="3">
        <f>IF(ORIG!S1527=0,"",ORIG!S1527)</f>
        <v/>
      </c>
      <c r="T1527" s="3">
        <f>IF(ORIG!T1527=0,"",ORIG!T1527)</f>
        <v/>
      </c>
      <c r="U1527" s="3">
        <f>IF(ORIG!U1527=0,"",ORIG!U1527)</f>
        <v/>
      </c>
      <c r="V1527" s="9">
        <f>IF(ORIG!V1527=0,"",ORIG!V1527)</f>
        <v/>
      </c>
      <c r="W1527" s="9">
        <f>IF(ORIG!W1527=0,"",ORIG!W1527)</f>
        <v/>
      </c>
      <c r="X1527" s="9">
        <f>IF(ORIG!X1527=0,"",ORIG!X1527)</f>
        <v/>
      </c>
      <c r="Y1527" s="9">
        <f>IF(ORIG!Y1527=0,"",ORIG!Y1527)</f>
        <v/>
      </c>
      <c r="Z1527" s="3">
        <f>SUMPRODUCT($B1527:$Y1527,$B$2649:$Y$2649)</f>
        <v/>
      </c>
      <c r="AA1527" s="3">
        <f>SUMPRODUCT($B1527:$Y1527,$B$2655:$Y$2655)</f>
        <v/>
      </c>
      <c r="AC1527" s="1">
        <f>A1527</f>
        <v/>
      </c>
      <c r="AD1527">
        <f>IF(ISNUMBER(V1527),V1527*($AB$1/V$2635),"")</f>
        <v/>
      </c>
      <c r="AE1527">
        <f>IF(ISNUMBER(Z1527),Z1527*($AB$1/Z$2635),"")</f>
        <v/>
      </c>
      <c r="AF1527" s="25">
        <f>IF(ISNUMBER(AD1527+AE1527),AD1527+AE1527,"")</f>
        <v/>
      </c>
      <c r="AH1527" s="1">
        <f>A1527</f>
        <v/>
      </c>
      <c r="AI1527">
        <f>IF(ISNUMBER((1+V1527)*AI1526),(1+V1527)*AI1526,AI1526)</f>
        <v/>
      </c>
      <c r="AJ1527">
        <f>IF(ISNUMBER((1+Z1527)*AJ1526),(1+Z1527)*AJ1526,AJ1526)</f>
        <v/>
      </c>
    </row>
    <row r="1528">
      <c r="A1528" s="1" t="n">
        <v>44221</v>
      </c>
      <c r="B1528" s="3">
        <f>IF(ORIG!B1528=0,"",ORIG!B1528)</f>
        <v/>
      </c>
      <c r="C1528" s="3">
        <f>IF(ORIG!C1528=0,"",ORIG!C1528)</f>
        <v/>
      </c>
      <c r="D1528" s="3">
        <f>IF(ORIG!D1528=0,"",ORIG!D1528)</f>
        <v/>
      </c>
      <c r="E1528" s="3">
        <f>IF(ORIG!E1528=0,"",ORIG!E1528)</f>
        <v/>
      </c>
      <c r="F1528" s="3">
        <f>IF(ORIG!F1528=0,"",ORIG!F1528)</f>
        <v/>
      </c>
      <c r="G1528" s="3">
        <f>IF(ORIG!G1528=0,"",ORIG!G1528)</f>
        <v/>
      </c>
      <c r="H1528" s="3">
        <f>IF(ORIG!H1528=0,"",ORIG!H1528)</f>
        <v/>
      </c>
      <c r="I1528" s="3">
        <f>IF(ORIG!I1528=0,"",ORIG!I1528)</f>
        <v/>
      </c>
      <c r="J1528" s="3">
        <f>IF(ORIG!J1528=0,"",ORIG!J1528)</f>
        <v/>
      </c>
      <c r="K1528" s="3">
        <f>IF(ORIG!K1528=0,"",ORIG!K1528)</f>
        <v/>
      </c>
      <c r="L1528" s="3">
        <f>IF(ORIG!L1528=0,"",ORIG!L1528)</f>
        <v/>
      </c>
      <c r="M1528" s="3">
        <f>IF(ORIG!M1528=0,"",ORIG!M1528)</f>
        <v/>
      </c>
      <c r="N1528" s="3">
        <f>IF(ORIG!N1528=0,"",ORIG!N1528)</f>
        <v/>
      </c>
      <c r="O1528" s="3">
        <f>IF(ORIG!O1528=0,"",ORIG!O1528)</f>
        <v/>
      </c>
      <c r="P1528" s="3">
        <f>IF(ORIG!P1528=0,"",ORIG!P1528)</f>
        <v/>
      </c>
      <c r="Q1528" s="3">
        <f>IF(ORIG!Q1528=0,"",ORIG!Q1528)</f>
        <v/>
      </c>
      <c r="R1528" s="3">
        <f>IF(ORIG!R1528=0,"",ORIG!R1528)</f>
        <v/>
      </c>
      <c r="S1528" s="3">
        <f>IF(ORIG!S1528=0,"",ORIG!S1528)</f>
        <v/>
      </c>
      <c r="T1528" s="3">
        <f>IF(ORIG!T1528=0,"",ORIG!T1528)</f>
        <v/>
      </c>
      <c r="U1528" s="3">
        <f>IF(ORIG!U1528=0,"",ORIG!U1528)</f>
        <v/>
      </c>
      <c r="V1528" s="9">
        <f>IF(ORIG!V1528=0,"",ORIG!V1528)</f>
        <v/>
      </c>
      <c r="W1528" s="9">
        <f>IF(ORIG!W1528=0,"",ORIG!W1528)</f>
        <v/>
      </c>
      <c r="X1528" s="9">
        <f>IF(ORIG!X1528=0,"",ORIG!X1528)</f>
        <v/>
      </c>
      <c r="Y1528" s="9">
        <f>IF(ORIG!Y1528=0,"",ORIG!Y1528)</f>
        <v/>
      </c>
      <c r="Z1528" s="3">
        <f>SUMPRODUCT($B1528:$Y1528,$B$2649:$Y$2649)</f>
        <v/>
      </c>
      <c r="AA1528" s="3">
        <f>SUMPRODUCT($B1528:$Y1528,$B$2655:$Y$2655)</f>
        <v/>
      </c>
      <c r="AC1528" s="1">
        <f>A1528</f>
        <v/>
      </c>
      <c r="AD1528">
        <f>IF(ISNUMBER(V1528),V1528*($AB$1/V$2635),"")</f>
        <v/>
      </c>
      <c r="AE1528">
        <f>IF(ISNUMBER(Z1528),Z1528*($AB$1/Z$2635),"")</f>
        <v/>
      </c>
      <c r="AF1528" s="25">
        <f>IF(ISNUMBER(AD1528+AE1528),AD1528+AE1528,"")</f>
        <v/>
      </c>
      <c r="AH1528" s="1">
        <f>A1528</f>
        <v/>
      </c>
      <c r="AI1528">
        <f>IF(ISNUMBER((1+V1528)*AI1527),(1+V1528)*AI1527,AI1527)</f>
        <v/>
      </c>
      <c r="AJ1528">
        <f>IF(ISNUMBER((1+Z1528)*AJ1527),(1+Z1528)*AJ1527,AJ1527)</f>
        <v/>
      </c>
    </row>
    <row r="1529">
      <c r="A1529" s="1" t="n">
        <v>44222</v>
      </c>
      <c r="B1529" s="3">
        <f>IF(ORIG!B1529=0,"",ORIG!B1529)</f>
        <v/>
      </c>
      <c r="C1529" s="3">
        <f>IF(ORIG!C1529=0,"",ORIG!C1529)</f>
        <v/>
      </c>
      <c r="D1529" s="3">
        <f>IF(ORIG!D1529=0,"",ORIG!D1529)</f>
        <v/>
      </c>
      <c r="E1529" s="3">
        <f>IF(ORIG!E1529=0,"",ORIG!E1529)</f>
        <v/>
      </c>
      <c r="F1529" s="3">
        <f>IF(ORIG!F1529=0,"",ORIG!F1529)</f>
        <v/>
      </c>
      <c r="G1529" s="3">
        <f>IF(ORIG!G1529=0,"",ORIG!G1529)</f>
        <v/>
      </c>
      <c r="H1529" s="3">
        <f>IF(ORIG!H1529=0,"",ORIG!H1529)</f>
        <v/>
      </c>
      <c r="I1529" s="3">
        <f>IF(ORIG!I1529=0,"",ORIG!I1529)</f>
        <v/>
      </c>
      <c r="J1529" s="3">
        <f>IF(ORIG!J1529=0,"",ORIG!J1529)</f>
        <v/>
      </c>
      <c r="K1529" s="3">
        <f>IF(ORIG!K1529=0,"",ORIG!K1529)</f>
        <v/>
      </c>
      <c r="L1529" s="3">
        <f>IF(ORIG!L1529=0,"",ORIG!L1529)</f>
        <v/>
      </c>
      <c r="M1529" s="3">
        <f>IF(ORIG!M1529=0,"",ORIG!M1529)</f>
        <v/>
      </c>
      <c r="N1529" s="3">
        <f>IF(ORIG!N1529=0,"",ORIG!N1529)</f>
        <v/>
      </c>
      <c r="O1529" s="3">
        <f>IF(ORIG!O1529=0,"",ORIG!O1529)</f>
        <v/>
      </c>
      <c r="P1529" s="3">
        <f>IF(ORIG!P1529=0,"",ORIG!P1529)</f>
        <v/>
      </c>
      <c r="Q1529" s="3">
        <f>IF(ORIG!Q1529=0,"",ORIG!Q1529)</f>
        <v/>
      </c>
      <c r="R1529" s="3">
        <f>IF(ORIG!R1529=0,"",ORIG!R1529)</f>
        <v/>
      </c>
      <c r="S1529" s="3">
        <f>IF(ORIG!S1529=0,"",ORIG!S1529)</f>
        <v/>
      </c>
      <c r="T1529" s="3">
        <f>IF(ORIG!T1529=0,"",ORIG!T1529)</f>
        <v/>
      </c>
      <c r="U1529" s="3">
        <f>IF(ORIG!U1529=0,"",ORIG!U1529)</f>
        <v/>
      </c>
      <c r="V1529" s="9">
        <f>IF(ORIG!V1529=0,"",ORIG!V1529)</f>
        <v/>
      </c>
      <c r="W1529" s="9">
        <f>IF(ORIG!W1529=0,"",ORIG!W1529)</f>
        <v/>
      </c>
      <c r="X1529" s="9">
        <f>IF(ORIG!X1529=0,"",ORIG!X1529)</f>
        <v/>
      </c>
      <c r="Y1529" s="9">
        <f>IF(ORIG!Y1529=0,"",ORIG!Y1529)</f>
        <v/>
      </c>
      <c r="Z1529" s="3">
        <f>SUMPRODUCT($B1529:$Y1529,$B$2649:$Y$2649)</f>
        <v/>
      </c>
      <c r="AA1529" s="3">
        <f>SUMPRODUCT($B1529:$Y1529,$B$2655:$Y$2655)</f>
        <v/>
      </c>
      <c r="AC1529" s="1">
        <f>A1529</f>
        <v/>
      </c>
      <c r="AD1529">
        <f>IF(ISNUMBER(V1529),V1529*($AB$1/V$2635),"")</f>
        <v/>
      </c>
      <c r="AE1529">
        <f>IF(ISNUMBER(Z1529),Z1529*($AB$1/Z$2635),"")</f>
        <v/>
      </c>
      <c r="AF1529" s="25">
        <f>IF(ISNUMBER(AD1529+AE1529),AD1529+AE1529,"")</f>
        <v/>
      </c>
      <c r="AH1529" s="1">
        <f>A1529</f>
        <v/>
      </c>
      <c r="AI1529">
        <f>IF(ISNUMBER((1+V1529)*AI1528),(1+V1529)*AI1528,AI1528)</f>
        <v/>
      </c>
      <c r="AJ1529">
        <f>IF(ISNUMBER((1+Z1529)*AJ1528),(1+Z1529)*AJ1528,AJ1528)</f>
        <v/>
      </c>
    </row>
    <row r="1530">
      <c r="A1530" s="1" t="n">
        <v>44223</v>
      </c>
      <c r="B1530" s="3">
        <f>IF(ORIG!B1530=0,"",ORIG!B1530)</f>
        <v/>
      </c>
      <c r="C1530" s="3">
        <f>IF(ORIG!C1530=0,"",ORIG!C1530)</f>
        <v/>
      </c>
      <c r="D1530" s="3">
        <f>IF(ORIG!D1530=0,"",ORIG!D1530)</f>
        <v/>
      </c>
      <c r="E1530" s="3">
        <f>IF(ORIG!E1530=0,"",ORIG!E1530)</f>
        <v/>
      </c>
      <c r="F1530" s="3">
        <f>IF(ORIG!F1530=0,"",ORIG!F1530)</f>
        <v/>
      </c>
      <c r="G1530" s="3">
        <f>IF(ORIG!G1530=0,"",ORIG!G1530)</f>
        <v/>
      </c>
      <c r="H1530" s="3">
        <f>IF(ORIG!H1530=0,"",ORIG!H1530)</f>
        <v/>
      </c>
      <c r="I1530" s="3">
        <f>IF(ORIG!I1530=0,"",ORIG!I1530)</f>
        <v/>
      </c>
      <c r="J1530" s="3">
        <f>IF(ORIG!J1530=0,"",ORIG!J1530)</f>
        <v/>
      </c>
      <c r="K1530" s="3">
        <f>IF(ORIG!K1530=0,"",ORIG!K1530)</f>
        <v/>
      </c>
      <c r="L1530" s="3">
        <f>IF(ORIG!L1530=0,"",ORIG!L1530)</f>
        <v/>
      </c>
      <c r="M1530" s="3">
        <f>IF(ORIG!M1530=0,"",ORIG!M1530)</f>
        <v/>
      </c>
      <c r="N1530" s="3">
        <f>IF(ORIG!N1530=0,"",ORIG!N1530)</f>
        <v/>
      </c>
      <c r="O1530" s="3">
        <f>IF(ORIG!O1530=0,"",ORIG!O1530)</f>
        <v/>
      </c>
      <c r="P1530" s="3">
        <f>IF(ORIG!P1530=0,"",ORIG!P1530)</f>
        <v/>
      </c>
      <c r="Q1530" s="3">
        <f>IF(ORIG!Q1530=0,"",ORIG!Q1530)</f>
        <v/>
      </c>
      <c r="R1530" s="3">
        <f>IF(ORIG!R1530=0,"",ORIG!R1530)</f>
        <v/>
      </c>
      <c r="S1530" s="3">
        <f>IF(ORIG!S1530=0,"",ORIG!S1530)</f>
        <v/>
      </c>
      <c r="T1530" s="3">
        <f>IF(ORIG!T1530=0,"",ORIG!T1530)</f>
        <v/>
      </c>
      <c r="U1530" s="3">
        <f>IF(ORIG!U1530=0,"",ORIG!U1530)</f>
        <v/>
      </c>
      <c r="V1530" s="9">
        <f>IF(ORIG!V1530=0,"",ORIG!V1530)</f>
        <v/>
      </c>
      <c r="W1530" s="9">
        <f>IF(ORIG!W1530=0,"",ORIG!W1530)</f>
        <v/>
      </c>
      <c r="X1530" s="9">
        <f>IF(ORIG!X1530=0,"",ORIG!X1530)</f>
        <v/>
      </c>
      <c r="Y1530" s="9">
        <f>IF(ORIG!Y1530=0,"",ORIG!Y1530)</f>
        <v/>
      </c>
      <c r="Z1530" s="3">
        <f>SUMPRODUCT($B1530:$Y1530,$B$2649:$Y$2649)</f>
        <v/>
      </c>
      <c r="AA1530" s="3">
        <f>SUMPRODUCT($B1530:$Y1530,$B$2655:$Y$2655)</f>
        <v/>
      </c>
      <c r="AC1530" s="1">
        <f>A1530</f>
        <v/>
      </c>
      <c r="AD1530">
        <f>IF(ISNUMBER(V1530),V1530*($AB$1/V$2635),"")</f>
        <v/>
      </c>
      <c r="AE1530">
        <f>IF(ISNUMBER(Z1530),Z1530*($AB$1/Z$2635),"")</f>
        <v/>
      </c>
      <c r="AF1530" s="25">
        <f>IF(ISNUMBER(AD1530+AE1530),AD1530+AE1530,"")</f>
        <v/>
      </c>
      <c r="AH1530" s="1">
        <f>A1530</f>
        <v/>
      </c>
      <c r="AI1530">
        <f>IF(ISNUMBER((1+V1530)*AI1529),(1+V1530)*AI1529,AI1529)</f>
        <v/>
      </c>
      <c r="AJ1530">
        <f>IF(ISNUMBER((1+Z1530)*AJ1529),(1+Z1530)*AJ1529,AJ1529)</f>
        <v/>
      </c>
    </row>
    <row r="1531">
      <c r="A1531" s="1" t="n">
        <v>44224</v>
      </c>
      <c r="B1531" s="3">
        <f>IF(ORIG!B1531=0,"",ORIG!B1531)</f>
        <v/>
      </c>
      <c r="C1531" s="3">
        <f>IF(ORIG!C1531=0,"",ORIG!C1531)</f>
        <v/>
      </c>
      <c r="D1531" s="3">
        <f>IF(ORIG!D1531=0,"",ORIG!D1531)</f>
        <v/>
      </c>
      <c r="E1531" s="3">
        <f>IF(ORIG!E1531=0,"",ORIG!E1531)</f>
        <v/>
      </c>
      <c r="F1531" s="3">
        <f>IF(ORIG!F1531=0,"",ORIG!F1531)</f>
        <v/>
      </c>
      <c r="G1531" s="3">
        <f>IF(ORIG!G1531=0,"",ORIG!G1531)</f>
        <v/>
      </c>
      <c r="H1531" s="3">
        <f>IF(ORIG!H1531=0,"",ORIG!H1531)</f>
        <v/>
      </c>
      <c r="I1531" s="3">
        <f>IF(ORIG!I1531=0,"",ORIG!I1531)</f>
        <v/>
      </c>
      <c r="J1531" s="3">
        <f>IF(ORIG!J1531=0,"",ORIG!J1531)</f>
        <v/>
      </c>
      <c r="K1531" s="3">
        <f>IF(ORIG!K1531=0,"",ORIG!K1531)</f>
        <v/>
      </c>
      <c r="L1531" s="3">
        <f>IF(ORIG!L1531=0,"",ORIG!L1531)</f>
        <v/>
      </c>
      <c r="M1531" s="3">
        <f>IF(ORIG!M1531=0,"",ORIG!M1531)</f>
        <v/>
      </c>
      <c r="N1531" s="3">
        <f>IF(ORIG!N1531=0,"",ORIG!N1531)</f>
        <v/>
      </c>
      <c r="O1531" s="3">
        <f>IF(ORIG!O1531=0,"",ORIG!O1531)</f>
        <v/>
      </c>
      <c r="P1531" s="3">
        <f>IF(ORIG!P1531=0,"",ORIG!P1531)</f>
        <v/>
      </c>
      <c r="Q1531" s="3">
        <f>IF(ORIG!Q1531=0,"",ORIG!Q1531)</f>
        <v/>
      </c>
      <c r="R1531" s="3">
        <f>IF(ORIG!R1531=0,"",ORIG!R1531)</f>
        <v/>
      </c>
      <c r="S1531" s="3">
        <f>IF(ORIG!S1531=0,"",ORIG!S1531)</f>
        <v/>
      </c>
      <c r="T1531" s="3">
        <f>IF(ORIG!T1531=0,"",ORIG!T1531)</f>
        <v/>
      </c>
      <c r="U1531" s="3">
        <f>IF(ORIG!U1531=0,"",ORIG!U1531)</f>
        <v/>
      </c>
      <c r="V1531" s="9">
        <f>IF(ORIG!V1531=0,"",ORIG!V1531)</f>
        <v/>
      </c>
      <c r="W1531" s="9">
        <f>IF(ORIG!W1531=0,"",ORIG!W1531)</f>
        <v/>
      </c>
      <c r="X1531" s="9">
        <f>IF(ORIG!X1531=0,"",ORIG!X1531)</f>
        <v/>
      </c>
      <c r="Y1531" s="9">
        <f>IF(ORIG!Y1531=0,"",ORIG!Y1531)</f>
        <v/>
      </c>
      <c r="Z1531" s="3">
        <f>SUMPRODUCT($B1531:$Y1531,$B$2649:$Y$2649)</f>
        <v/>
      </c>
      <c r="AA1531" s="3">
        <f>SUMPRODUCT($B1531:$Y1531,$B$2655:$Y$2655)</f>
        <v/>
      </c>
      <c r="AC1531" s="1">
        <f>A1531</f>
        <v/>
      </c>
      <c r="AD1531">
        <f>IF(ISNUMBER(V1531),V1531*($AB$1/V$2635),"")</f>
        <v/>
      </c>
      <c r="AE1531">
        <f>IF(ISNUMBER(Z1531),Z1531*($AB$1/Z$2635),"")</f>
        <v/>
      </c>
      <c r="AF1531" s="25">
        <f>IF(ISNUMBER(AD1531+AE1531),AD1531+AE1531,"")</f>
        <v/>
      </c>
      <c r="AH1531" s="1">
        <f>A1531</f>
        <v/>
      </c>
      <c r="AI1531">
        <f>IF(ISNUMBER((1+V1531)*AI1530),(1+V1531)*AI1530,AI1530)</f>
        <v/>
      </c>
      <c r="AJ1531">
        <f>IF(ISNUMBER((1+Z1531)*AJ1530),(1+Z1531)*AJ1530,AJ1530)</f>
        <v/>
      </c>
    </row>
    <row r="1532">
      <c r="A1532" s="1" t="n">
        <v>44225</v>
      </c>
      <c r="B1532" s="3">
        <f>IF(ORIG!B1532=0,"",ORIG!B1532)</f>
        <v/>
      </c>
      <c r="C1532" s="3">
        <f>IF(ORIG!C1532=0,"",ORIG!C1532)</f>
        <v/>
      </c>
      <c r="D1532" s="3">
        <f>IF(ORIG!D1532=0,"",ORIG!D1532)</f>
        <v/>
      </c>
      <c r="E1532" s="3">
        <f>IF(ORIG!E1532=0,"",ORIG!E1532)</f>
        <v/>
      </c>
      <c r="F1532" s="3">
        <f>IF(ORIG!F1532=0,"",ORIG!F1532)</f>
        <v/>
      </c>
      <c r="G1532" s="3">
        <f>IF(ORIG!G1532=0,"",ORIG!G1532)</f>
        <v/>
      </c>
      <c r="H1532" s="3">
        <f>IF(ORIG!H1532=0,"",ORIG!H1532)</f>
        <v/>
      </c>
      <c r="I1532" s="3">
        <f>IF(ORIG!I1532=0,"",ORIG!I1532)</f>
        <v/>
      </c>
      <c r="J1532" s="3">
        <f>IF(ORIG!J1532=0,"",ORIG!J1532)</f>
        <v/>
      </c>
      <c r="K1532" s="3">
        <f>IF(ORIG!K1532=0,"",ORIG!K1532)</f>
        <v/>
      </c>
      <c r="L1532" s="3">
        <f>IF(ORIG!L1532=0,"",ORIG!L1532)</f>
        <v/>
      </c>
      <c r="M1532" s="3">
        <f>IF(ORIG!M1532=0,"",ORIG!M1532)</f>
        <v/>
      </c>
      <c r="N1532" s="3">
        <f>IF(ORIG!N1532=0,"",ORIG!N1532)</f>
        <v/>
      </c>
      <c r="O1532" s="3">
        <f>IF(ORIG!O1532=0,"",ORIG!O1532)</f>
        <v/>
      </c>
      <c r="P1532" s="3">
        <f>IF(ORIG!P1532=0,"",ORIG!P1532)</f>
        <v/>
      </c>
      <c r="Q1532" s="3">
        <f>IF(ORIG!Q1532=0,"",ORIG!Q1532)</f>
        <v/>
      </c>
      <c r="R1532" s="3">
        <f>IF(ORIG!R1532=0,"",ORIG!R1532)</f>
        <v/>
      </c>
      <c r="S1532" s="3">
        <f>IF(ORIG!S1532=0,"",ORIG!S1532)</f>
        <v/>
      </c>
      <c r="T1532" s="3">
        <f>IF(ORIG!T1532=0,"",ORIG!T1532)</f>
        <v/>
      </c>
      <c r="U1532" s="3">
        <f>IF(ORIG!U1532=0,"",ORIG!U1532)</f>
        <v/>
      </c>
      <c r="V1532" s="9">
        <f>IF(ORIG!V1532=0,"",ORIG!V1532)</f>
        <v/>
      </c>
      <c r="W1532" s="9">
        <f>IF(ORIG!W1532=0,"",ORIG!W1532)</f>
        <v/>
      </c>
      <c r="X1532" s="9">
        <f>IF(ORIG!X1532=0,"",ORIG!X1532)</f>
        <v/>
      </c>
      <c r="Y1532" s="9">
        <f>IF(ORIG!Y1532=0,"",ORIG!Y1532)</f>
        <v/>
      </c>
      <c r="Z1532" s="3">
        <f>SUMPRODUCT($B1532:$Y1532,$B$2649:$Y$2649)</f>
        <v/>
      </c>
      <c r="AA1532" s="3">
        <f>SUMPRODUCT($B1532:$Y1532,$B$2655:$Y$2655)</f>
        <v/>
      </c>
      <c r="AC1532" s="1">
        <f>A1532</f>
        <v/>
      </c>
      <c r="AD1532">
        <f>IF(ISNUMBER(V1532),V1532*($AB$1/V$2635),"")</f>
        <v/>
      </c>
      <c r="AE1532">
        <f>IF(ISNUMBER(Z1532),Z1532*($AB$1/Z$2635),"")</f>
        <v/>
      </c>
      <c r="AF1532" s="25">
        <f>IF(ISNUMBER(AD1532+AE1532),AD1532+AE1532,"")</f>
        <v/>
      </c>
      <c r="AH1532" s="1">
        <f>A1532</f>
        <v/>
      </c>
      <c r="AI1532">
        <f>IF(ISNUMBER((1+V1532)*AI1531),(1+V1532)*AI1531,AI1531)</f>
        <v/>
      </c>
      <c r="AJ1532">
        <f>IF(ISNUMBER((1+Z1532)*AJ1531),(1+Z1532)*AJ1531,AJ1531)</f>
        <v/>
      </c>
    </row>
    <row r="1533">
      <c r="A1533" s="1" t="n">
        <v>44228</v>
      </c>
      <c r="B1533" s="3">
        <f>IF(ORIG!B1533=0,"",ORIG!B1533)</f>
        <v/>
      </c>
      <c r="C1533" s="3">
        <f>IF(ORIG!C1533=0,"",ORIG!C1533)</f>
        <v/>
      </c>
      <c r="D1533" s="3">
        <f>IF(ORIG!D1533=0,"",ORIG!D1533)</f>
        <v/>
      </c>
      <c r="E1533" s="3">
        <f>IF(ORIG!E1533=0,"",ORIG!E1533)</f>
        <v/>
      </c>
      <c r="F1533" s="3">
        <f>IF(ORIG!F1533=0,"",ORIG!F1533)</f>
        <v/>
      </c>
      <c r="G1533" s="3">
        <f>IF(ORIG!G1533=0,"",ORIG!G1533)</f>
        <v/>
      </c>
      <c r="H1533" s="3">
        <f>IF(ORIG!H1533=0,"",ORIG!H1533)</f>
        <v/>
      </c>
      <c r="I1533" s="3">
        <f>IF(ORIG!I1533=0,"",ORIG!I1533)</f>
        <v/>
      </c>
      <c r="J1533" s="3">
        <f>IF(ORIG!J1533=0,"",ORIG!J1533)</f>
        <v/>
      </c>
      <c r="K1533" s="3">
        <f>IF(ORIG!K1533=0,"",ORIG!K1533)</f>
        <v/>
      </c>
      <c r="L1533" s="3">
        <f>IF(ORIG!L1533=0,"",ORIG!L1533)</f>
        <v/>
      </c>
      <c r="M1533" s="3">
        <f>IF(ORIG!M1533=0,"",ORIG!M1533)</f>
        <v/>
      </c>
      <c r="N1533" s="3">
        <f>IF(ORIG!N1533=0,"",ORIG!N1533)</f>
        <v/>
      </c>
      <c r="O1533" s="3">
        <f>IF(ORIG!O1533=0,"",ORIG!O1533)</f>
        <v/>
      </c>
      <c r="P1533" s="3">
        <f>IF(ORIG!P1533=0,"",ORIG!P1533)</f>
        <v/>
      </c>
      <c r="Q1533" s="3">
        <f>IF(ORIG!Q1533=0,"",ORIG!Q1533)</f>
        <v/>
      </c>
      <c r="R1533" s="3">
        <f>IF(ORIG!R1533=0,"",ORIG!R1533)</f>
        <v/>
      </c>
      <c r="S1533" s="3">
        <f>IF(ORIG!S1533=0,"",ORIG!S1533)</f>
        <v/>
      </c>
      <c r="T1533" s="3">
        <f>IF(ORIG!T1533=0,"",ORIG!T1533)</f>
        <v/>
      </c>
      <c r="U1533" s="3">
        <f>IF(ORIG!U1533=0,"",ORIG!U1533)</f>
        <v/>
      </c>
      <c r="V1533" s="9">
        <f>IF(ORIG!V1533=0,"",ORIG!V1533)</f>
        <v/>
      </c>
      <c r="W1533" s="9">
        <f>IF(ORIG!W1533=0,"",ORIG!W1533)</f>
        <v/>
      </c>
      <c r="X1533" s="9">
        <f>IF(ORIG!X1533=0,"",ORIG!X1533)</f>
        <v/>
      </c>
      <c r="Y1533" s="9">
        <f>IF(ORIG!Y1533=0,"",ORIG!Y1533)</f>
        <v/>
      </c>
      <c r="Z1533" s="3">
        <f>SUMPRODUCT($B1533:$Y1533,$B$2649:$Y$2649)</f>
        <v/>
      </c>
      <c r="AA1533" s="3">
        <f>SUMPRODUCT($B1533:$Y1533,$B$2655:$Y$2655)</f>
        <v/>
      </c>
      <c r="AC1533" s="1">
        <f>A1533</f>
        <v/>
      </c>
      <c r="AD1533">
        <f>IF(ISNUMBER(V1533),V1533*($AB$1/V$2635),"")</f>
        <v/>
      </c>
      <c r="AE1533">
        <f>IF(ISNUMBER(Z1533),Z1533*($AB$1/Z$2635),"")</f>
        <v/>
      </c>
      <c r="AF1533" s="25">
        <f>IF(ISNUMBER(AD1533+AE1533),AD1533+AE1533,"")</f>
        <v/>
      </c>
      <c r="AH1533" s="1">
        <f>A1533</f>
        <v/>
      </c>
      <c r="AI1533">
        <f>IF(ISNUMBER((1+V1533)*AI1532),(1+V1533)*AI1532,AI1532)</f>
        <v/>
      </c>
      <c r="AJ1533">
        <f>IF(ISNUMBER((1+Z1533)*AJ1532),(1+Z1533)*AJ1532,AJ1532)</f>
        <v/>
      </c>
    </row>
    <row r="1534">
      <c r="A1534" s="1" t="n">
        <v>44229</v>
      </c>
      <c r="B1534" s="3">
        <f>IF(ORIG!B1534=0,"",ORIG!B1534)</f>
        <v/>
      </c>
      <c r="C1534" s="3">
        <f>IF(ORIG!C1534=0,"",ORIG!C1534)</f>
        <v/>
      </c>
      <c r="D1534" s="3">
        <f>IF(ORIG!D1534=0,"",ORIG!D1534)</f>
        <v/>
      </c>
      <c r="E1534" s="3">
        <f>IF(ORIG!E1534=0,"",ORIG!E1534)</f>
        <v/>
      </c>
      <c r="F1534" s="3">
        <f>IF(ORIG!F1534=0,"",ORIG!F1534)</f>
        <v/>
      </c>
      <c r="G1534" s="3">
        <f>IF(ORIG!G1534=0,"",ORIG!G1534)</f>
        <v/>
      </c>
      <c r="H1534" s="3">
        <f>IF(ORIG!H1534=0,"",ORIG!H1534)</f>
        <v/>
      </c>
      <c r="I1534" s="3">
        <f>IF(ORIG!I1534=0,"",ORIG!I1534)</f>
        <v/>
      </c>
      <c r="J1534" s="3">
        <f>IF(ORIG!J1534=0,"",ORIG!J1534)</f>
        <v/>
      </c>
      <c r="K1534" s="3">
        <f>IF(ORIG!K1534=0,"",ORIG!K1534)</f>
        <v/>
      </c>
      <c r="L1534" s="3">
        <f>IF(ORIG!L1534=0,"",ORIG!L1534)</f>
        <v/>
      </c>
      <c r="M1534" s="3">
        <f>IF(ORIG!M1534=0,"",ORIG!M1534)</f>
        <v/>
      </c>
      <c r="N1534" s="3">
        <f>IF(ORIG!N1534=0,"",ORIG!N1534)</f>
        <v/>
      </c>
      <c r="O1534" s="3">
        <f>IF(ORIG!O1534=0,"",ORIG!O1534)</f>
        <v/>
      </c>
      <c r="P1534" s="3">
        <f>IF(ORIG!P1534=0,"",ORIG!P1534)</f>
        <v/>
      </c>
      <c r="Q1534" s="3">
        <f>IF(ORIG!Q1534=0,"",ORIG!Q1534)</f>
        <v/>
      </c>
      <c r="R1534" s="3">
        <f>IF(ORIG!R1534=0,"",ORIG!R1534)</f>
        <v/>
      </c>
      <c r="S1534" s="3">
        <f>IF(ORIG!S1534=0,"",ORIG!S1534)</f>
        <v/>
      </c>
      <c r="T1534" s="3">
        <f>IF(ORIG!T1534=0,"",ORIG!T1534)</f>
        <v/>
      </c>
      <c r="U1534" s="3">
        <f>IF(ORIG!U1534=0,"",ORIG!U1534)</f>
        <v/>
      </c>
      <c r="V1534" s="9">
        <f>IF(ORIG!V1534=0,"",ORIG!V1534)</f>
        <v/>
      </c>
      <c r="W1534" s="9">
        <f>IF(ORIG!W1534=0,"",ORIG!W1534)</f>
        <v/>
      </c>
      <c r="X1534" s="9">
        <f>IF(ORIG!X1534=0,"",ORIG!X1534)</f>
        <v/>
      </c>
      <c r="Y1534" s="9">
        <f>IF(ORIG!Y1534=0,"",ORIG!Y1534)</f>
        <v/>
      </c>
      <c r="Z1534" s="3">
        <f>SUMPRODUCT($B1534:$Y1534,$B$2649:$Y$2649)</f>
        <v/>
      </c>
      <c r="AA1534" s="3">
        <f>SUMPRODUCT($B1534:$Y1534,$B$2655:$Y$2655)</f>
        <v/>
      </c>
      <c r="AC1534" s="1">
        <f>A1534</f>
        <v/>
      </c>
      <c r="AD1534">
        <f>IF(ISNUMBER(V1534),V1534*($AB$1/V$2635),"")</f>
        <v/>
      </c>
      <c r="AE1534">
        <f>IF(ISNUMBER(Z1534),Z1534*($AB$1/Z$2635),"")</f>
        <v/>
      </c>
      <c r="AF1534" s="25">
        <f>IF(ISNUMBER(AD1534+AE1534),AD1534+AE1534,"")</f>
        <v/>
      </c>
      <c r="AH1534" s="1">
        <f>A1534</f>
        <v/>
      </c>
      <c r="AI1534">
        <f>IF(ISNUMBER((1+V1534)*AI1533),(1+V1534)*AI1533,AI1533)</f>
        <v/>
      </c>
      <c r="AJ1534">
        <f>IF(ISNUMBER((1+Z1534)*AJ1533),(1+Z1534)*AJ1533,AJ1533)</f>
        <v/>
      </c>
    </row>
    <row r="1535">
      <c r="A1535" s="1" t="n">
        <v>44230</v>
      </c>
      <c r="B1535" s="3">
        <f>IF(ORIG!B1535=0,"",ORIG!B1535)</f>
        <v/>
      </c>
      <c r="C1535" s="3">
        <f>IF(ORIG!C1535=0,"",ORIG!C1535)</f>
        <v/>
      </c>
      <c r="D1535" s="3">
        <f>IF(ORIG!D1535=0,"",ORIG!D1535)</f>
        <v/>
      </c>
      <c r="E1535" s="3">
        <f>IF(ORIG!E1535=0,"",ORIG!E1535)</f>
        <v/>
      </c>
      <c r="F1535" s="3">
        <f>IF(ORIG!F1535=0,"",ORIG!F1535)</f>
        <v/>
      </c>
      <c r="G1535" s="3">
        <f>IF(ORIG!G1535=0,"",ORIG!G1535)</f>
        <v/>
      </c>
      <c r="H1535" s="3">
        <f>IF(ORIG!H1535=0,"",ORIG!H1535)</f>
        <v/>
      </c>
      <c r="I1535" s="3">
        <f>IF(ORIG!I1535=0,"",ORIG!I1535)</f>
        <v/>
      </c>
      <c r="J1535" s="3">
        <f>IF(ORIG!J1535=0,"",ORIG!J1535)</f>
        <v/>
      </c>
      <c r="K1535" s="3">
        <f>IF(ORIG!K1535=0,"",ORIG!K1535)</f>
        <v/>
      </c>
      <c r="L1535" s="3">
        <f>IF(ORIG!L1535=0,"",ORIG!L1535)</f>
        <v/>
      </c>
      <c r="M1535" s="3">
        <f>IF(ORIG!M1535=0,"",ORIG!M1535)</f>
        <v/>
      </c>
      <c r="N1535" s="3">
        <f>IF(ORIG!N1535=0,"",ORIG!N1535)</f>
        <v/>
      </c>
      <c r="O1535" s="3">
        <f>IF(ORIG!O1535=0,"",ORIG!O1535)</f>
        <v/>
      </c>
      <c r="P1535" s="3">
        <f>IF(ORIG!P1535=0,"",ORIG!P1535)</f>
        <v/>
      </c>
      <c r="Q1535" s="3">
        <f>IF(ORIG!Q1535=0,"",ORIG!Q1535)</f>
        <v/>
      </c>
      <c r="R1535" s="3">
        <f>IF(ORIG!R1535=0,"",ORIG!R1535)</f>
        <v/>
      </c>
      <c r="S1535" s="3">
        <f>IF(ORIG!S1535=0,"",ORIG!S1535)</f>
        <v/>
      </c>
      <c r="T1535" s="3">
        <f>IF(ORIG!T1535=0,"",ORIG!T1535)</f>
        <v/>
      </c>
      <c r="U1535" s="3">
        <f>IF(ORIG!U1535=0,"",ORIG!U1535)</f>
        <v/>
      </c>
      <c r="V1535" s="9">
        <f>IF(ORIG!V1535=0,"",ORIG!V1535)</f>
        <v/>
      </c>
      <c r="W1535" s="9">
        <f>IF(ORIG!W1535=0,"",ORIG!W1535)</f>
        <v/>
      </c>
      <c r="X1535" s="9">
        <f>IF(ORIG!X1535=0,"",ORIG!X1535)</f>
        <v/>
      </c>
      <c r="Y1535" s="9">
        <f>IF(ORIG!Y1535=0,"",ORIG!Y1535)</f>
        <v/>
      </c>
      <c r="Z1535" s="3">
        <f>SUMPRODUCT($B1535:$Y1535,$B$2649:$Y$2649)</f>
        <v/>
      </c>
      <c r="AA1535" s="3">
        <f>SUMPRODUCT($B1535:$Y1535,$B$2655:$Y$2655)</f>
        <v/>
      </c>
      <c r="AC1535" s="1">
        <f>A1535</f>
        <v/>
      </c>
      <c r="AD1535">
        <f>IF(ISNUMBER(V1535),V1535*($AB$1/V$2635),"")</f>
        <v/>
      </c>
      <c r="AE1535">
        <f>IF(ISNUMBER(Z1535),Z1535*($AB$1/Z$2635),"")</f>
        <v/>
      </c>
      <c r="AF1535" s="25">
        <f>IF(ISNUMBER(AD1535+AE1535),AD1535+AE1535,"")</f>
        <v/>
      </c>
      <c r="AH1535" s="1">
        <f>A1535</f>
        <v/>
      </c>
      <c r="AI1535">
        <f>IF(ISNUMBER((1+V1535)*AI1534),(1+V1535)*AI1534,AI1534)</f>
        <v/>
      </c>
      <c r="AJ1535">
        <f>IF(ISNUMBER((1+Z1535)*AJ1534),(1+Z1535)*AJ1534,AJ1534)</f>
        <v/>
      </c>
    </row>
    <row r="1536">
      <c r="A1536" s="1" t="n">
        <v>44231</v>
      </c>
      <c r="B1536" s="3">
        <f>IF(ORIG!B1536=0,"",ORIG!B1536)</f>
        <v/>
      </c>
      <c r="C1536" s="3">
        <f>IF(ORIG!C1536=0,"",ORIG!C1536)</f>
        <v/>
      </c>
      <c r="D1536" s="3">
        <f>IF(ORIG!D1536=0,"",ORIG!D1536)</f>
        <v/>
      </c>
      <c r="E1536" s="3">
        <f>IF(ORIG!E1536=0,"",ORIG!E1536)</f>
        <v/>
      </c>
      <c r="F1536" s="3">
        <f>IF(ORIG!F1536=0,"",ORIG!F1536)</f>
        <v/>
      </c>
      <c r="G1536" s="3">
        <f>IF(ORIG!G1536=0,"",ORIG!G1536)</f>
        <v/>
      </c>
      <c r="H1536" s="3">
        <f>IF(ORIG!H1536=0,"",ORIG!H1536)</f>
        <v/>
      </c>
      <c r="I1536" s="3">
        <f>IF(ORIG!I1536=0,"",ORIG!I1536)</f>
        <v/>
      </c>
      <c r="J1536" s="3">
        <f>IF(ORIG!J1536=0,"",ORIG!J1536)</f>
        <v/>
      </c>
      <c r="K1536" s="3">
        <f>IF(ORIG!K1536=0,"",ORIG!K1536)</f>
        <v/>
      </c>
      <c r="L1536" s="3">
        <f>IF(ORIG!L1536=0,"",ORIG!L1536)</f>
        <v/>
      </c>
      <c r="M1536" s="3">
        <f>IF(ORIG!M1536=0,"",ORIG!M1536)</f>
        <v/>
      </c>
      <c r="N1536" s="3">
        <f>IF(ORIG!N1536=0,"",ORIG!N1536)</f>
        <v/>
      </c>
      <c r="O1536" s="3">
        <f>IF(ORIG!O1536=0,"",ORIG!O1536)</f>
        <v/>
      </c>
      <c r="P1536" s="3">
        <f>IF(ORIG!P1536=0,"",ORIG!P1536)</f>
        <v/>
      </c>
      <c r="Q1536" s="3">
        <f>IF(ORIG!Q1536=0,"",ORIG!Q1536)</f>
        <v/>
      </c>
      <c r="R1536" s="3">
        <f>IF(ORIG!R1536=0,"",ORIG!R1536)</f>
        <v/>
      </c>
      <c r="S1536" s="3">
        <f>IF(ORIG!S1536=0,"",ORIG!S1536)</f>
        <v/>
      </c>
      <c r="T1536" s="3">
        <f>IF(ORIG!T1536=0,"",ORIG!T1536)</f>
        <v/>
      </c>
      <c r="U1536" s="3">
        <f>IF(ORIG!U1536=0,"",ORIG!U1536)</f>
        <v/>
      </c>
      <c r="V1536" s="9">
        <f>IF(ORIG!V1536=0,"",ORIG!V1536)</f>
        <v/>
      </c>
      <c r="W1536" s="9">
        <f>IF(ORIG!W1536=0,"",ORIG!W1536)</f>
        <v/>
      </c>
      <c r="X1536" s="9">
        <f>IF(ORIG!X1536=0,"",ORIG!X1536)</f>
        <v/>
      </c>
      <c r="Y1536" s="9">
        <f>IF(ORIG!Y1536=0,"",ORIG!Y1536)</f>
        <v/>
      </c>
      <c r="Z1536" s="3">
        <f>SUMPRODUCT($B1536:$Y1536,$B$2649:$Y$2649)</f>
        <v/>
      </c>
      <c r="AA1536" s="3">
        <f>SUMPRODUCT($B1536:$Y1536,$B$2655:$Y$2655)</f>
        <v/>
      </c>
      <c r="AC1536" s="1">
        <f>A1536</f>
        <v/>
      </c>
      <c r="AD1536">
        <f>IF(ISNUMBER(V1536),V1536*($AB$1/V$2635),"")</f>
        <v/>
      </c>
      <c r="AE1536">
        <f>IF(ISNUMBER(Z1536),Z1536*($AB$1/Z$2635),"")</f>
        <v/>
      </c>
      <c r="AF1536" s="25">
        <f>IF(ISNUMBER(AD1536+AE1536),AD1536+AE1536,"")</f>
        <v/>
      </c>
      <c r="AH1536" s="1">
        <f>A1536</f>
        <v/>
      </c>
      <c r="AI1536">
        <f>IF(ISNUMBER((1+V1536)*AI1535),(1+V1536)*AI1535,AI1535)</f>
        <v/>
      </c>
      <c r="AJ1536">
        <f>IF(ISNUMBER((1+Z1536)*AJ1535),(1+Z1536)*AJ1535,AJ1535)</f>
        <v/>
      </c>
    </row>
    <row r="1537">
      <c r="A1537" s="1" t="n">
        <v>44232</v>
      </c>
      <c r="B1537" s="3">
        <f>IF(ORIG!B1537=0,"",ORIG!B1537)</f>
        <v/>
      </c>
      <c r="C1537" s="3">
        <f>IF(ORIG!C1537=0,"",ORIG!C1537)</f>
        <v/>
      </c>
      <c r="D1537" s="3">
        <f>IF(ORIG!D1537=0,"",ORIG!D1537)</f>
        <v/>
      </c>
      <c r="E1537" s="3">
        <f>IF(ORIG!E1537=0,"",ORIG!E1537)</f>
        <v/>
      </c>
      <c r="F1537" s="3">
        <f>IF(ORIG!F1537=0,"",ORIG!F1537)</f>
        <v/>
      </c>
      <c r="G1537" s="3">
        <f>IF(ORIG!G1537=0,"",ORIG!G1537)</f>
        <v/>
      </c>
      <c r="H1537" s="3">
        <f>IF(ORIG!H1537=0,"",ORIG!H1537)</f>
        <v/>
      </c>
      <c r="I1537" s="3">
        <f>IF(ORIG!I1537=0,"",ORIG!I1537)</f>
        <v/>
      </c>
      <c r="J1537" s="3">
        <f>IF(ORIG!J1537=0,"",ORIG!J1537)</f>
        <v/>
      </c>
      <c r="K1537" s="3">
        <f>IF(ORIG!K1537=0,"",ORIG!K1537)</f>
        <v/>
      </c>
      <c r="L1537" s="3">
        <f>IF(ORIG!L1537=0,"",ORIG!L1537)</f>
        <v/>
      </c>
      <c r="M1537" s="3">
        <f>IF(ORIG!M1537=0,"",ORIG!M1537)</f>
        <v/>
      </c>
      <c r="N1537" s="3">
        <f>IF(ORIG!N1537=0,"",ORIG!N1537)</f>
        <v/>
      </c>
      <c r="O1537" s="3">
        <f>IF(ORIG!O1537=0,"",ORIG!O1537)</f>
        <v/>
      </c>
      <c r="P1537" s="3">
        <f>IF(ORIG!P1537=0,"",ORIG!P1537)</f>
        <v/>
      </c>
      <c r="Q1537" s="3">
        <f>IF(ORIG!Q1537=0,"",ORIG!Q1537)</f>
        <v/>
      </c>
      <c r="R1537" s="3">
        <f>IF(ORIG!R1537=0,"",ORIG!R1537)</f>
        <v/>
      </c>
      <c r="S1537" s="3">
        <f>IF(ORIG!S1537=0,"",ORIG!S1537)</f>
        <v/>
      </c>
      <c r="T1537" s="3">
        <f>IF(ORIG!T1537=0,"",ORIG!T1537)</f>
        <v/>
      </c>
      <c r="U1537" s="3">
        <f>IF(ORIG!U1537=0,"",ORIG!U1537)</f>
        <v/>
      </c>
      <c r="V1537" s="9">
        <f>IF(ORIG!V1537=0,"",ORIG!V1537)</f>
        <v/>
      </c>
      <c r="W1537" s="9">
        <f>IF(ORIG!W1537=0,"",ORIG!W1537)</f>
        <v/>
      </c>
      <c r="X1537" s="9">
        <f>IF(ORIG!X1537=0,"",ORIG!X1537)</f>
        <v/>
      </c>
      <c r="Y1537" s="9">
        <f>IF(ORIG!Y1537=0,"",ORIG!Y1537)</f>
        <v/>
      </c>
      <c r="Z1537" s="3">
        <f>SUMPRODUCT($B1537:$Y1537,$B$2649:$Y$2649)</f>
        <v/>
      </c>
      <c r="AA1537" s="3">
        <f>SUMPRODUCT($B1537:$Y1537,$B$2655:$Y$2655)</f>
        <v/>
      </c>
      <c r="AC1537" s="1">
        <f>A1537</f>
        <v/>
      </c>
      <c r="AD1537">
        <f>IF(ISNUMBER(V1537),V1537*($AB$1/V$2635),"")</f>
        <v/>
      </c>
      <c r="AE1537">
        <f>IF(ISNUMBER(Z1537),Z1537*($AB$1/Z$2635),"")</f>
        <v/>
      </c>
      <c r="AF1537" s="25">
        <f>IF(ISNUMBER(AD1537+AE1537),AD1537+AE1537,"")</f>
        <v/>
      </c>
      <c r="AH1537" s="1">
        <f>A1537</f>
        <v/>
      </c>
      <c r="AI1537">
        <f>IF(ISNUMBER((1+V1537)*AI1536),(1+V1537)*AI1536,AI1536)</f>
        <v/>
      </c>
      <c r="AJ1537">
        <f>IF(ISNUMBER((1+Z1537)*AJ1536),(1+Z1537)*AJ1536,AJ1536)</f>
        <v/>
      </c>
    </row>
    <row r="1538">
      <c r="A1538" s="1" t="n">
        <v>44235</v>
      </c>
      <c r="B1538" s="3">
        <f>IF(ORIG!B1538=0,"",ORIG!B1538)</f>
        <v/>
      </c>
      <c r="C1538" s="3">
        <f>IF(ORIG!C1538=0,"",ORIG!C1538)</f>
        <v/>
      </c>
      <c r="D1538" s="3">
        <f>IF(ORIG!D1538=0,"",ORIG!D1538)</f>
        <v/>
      </c>
      <c r="E1538" s="3">
        <f>IF(ORIG!E1538=0,"",ORIG!E1538)</f>
        <v/>
      </c>
      <c r="F1538" s="3">
        <f>IF(ORIG!F1538=0,"",ORIG!F1538)</f>
        <v/>
      </c>
      <c r="G1538" s="3">
        <f>IF(ORIG!G1538=0,"",ORIG!G1538)</f>
        <v/>
      </c>
      <c r="H1538" s="3">
        <f>IF(ORIG!H1538=0,"",ORIG!H1538)</f>
        <v/>
      </c>
      <c r="I1538" s="3">
        <f>IF(ORIG!I1538=0,"",ORIG!I1538)</f>
        <v/>
      </c>
      <c r="J1538" s="3">
        <f>IF(ORIG!J1538=0,"",ORIG!J1538)</f>
        <v/>
      </c>
      <c r="K1538" s="3">
        <f>IF(ORIG!K1538=0,"",ORIG!K1538)</f>
        <v/>
      </c>
      <c r="L1538" s="3">
        <f>IF(ORIG!L1538=0,"",ORIG!L1538)</f>
        <v/>
      </c>
      <c r="M1538" s="3">
        <f>IF(ORIG!M1538=0,"",ORIG!M1538)</f>
        <v/>
      </c>
      <c r="N1538" s="3">
        <f>IF(ORIG!N1538=0,"",ORIG!N1538)</f>
        <v/>
      </c>
      <c r="O1538" s="3">
        <f>IF(ORIG!O1538=0,"",ORIG!O1538)</f>
        <v/>
      </c>
      <c r="P1538" s="3">
        <f>IF(ORIG!P1538=0,"",ORIG!P1538)</f>
        <v/>
      </c>
      <c r="Q1538" s="3">
        <f>IF(ORIG!Q1538=0,"",ORIG!Q1538)</f>
        <v/>
      </c>
      <c r="R1538" s="3">
        <f>IF(ORIG!R1538=0,"",ORIG!R1538)</f>
        <v/>
      </c>
      <c r="S1538" s="3">
        <f>IF(ORIG!S1538=0,"",ORIG!S1538)</f>
        <v/>
      </c>
      <c r="T1538" s="3">
        <f>IF(ORIG!T1538=0,"",ORIG!T1538)</f>
        <v/>
      </c>
      <c r="U1538" s="3">
        <f>IF(ORIG!U1538=0,"",ORIG!U1538)</f>
        <v/>
      </c>
      <c r="V1538" s="9">
        <f>IF(ORIG!V1538=0,"",ORIG!V1538)</f>
        <v/>
      </c>
      <c r="W1538" s="9">
        <f>IF(ORIG!W1538=0,"",ORIG!W1538)</f>
        <v/>
      </c>
      <c r="X1538" s="9">
        <f>IF(ORIG!X1538=0,"",ORIG!X1538)</f>
        <v/>
      </c>
      <c r="Y1538" s="9">
        <f>IF(ORIG!Y1538=0,"",ORIG!Y1538)</f>
        <v/>
      </c>
      <c r="Z1538" s="3">
        <f>SUMPRODUCT($B1538:$Y1538,$B$2649:$Y$2649)</f>
        <v/>
      </c>
      <c r="AA1538" s="3">
        <f>SUMPRODUCT($B1538:$Y1538,$B$2655:$Y$2655)</f>
        <v/>
      </c>
      <c r="AC1538" s="1">
        <f>A1538</f>
        <v/>
      </c>
      <c r="AD1538">
        <f>IF(ISNUMBER(V1538),V1538*($AB$1/V$2635),"")</f>
        <v/>
      </c>
      <c r="AE1538">
        <f>IF(ISNUMBER(Z1538),Z1538*($AB$1/Z$2635),"")</f>
        <v/>
      </c>
      <c r="AF1538" s="25">
        <f>IF(ISNUMBER(AD1538+AE1538),AD1538+AE1538,"")</f>
        <v/>
      </c>
      <c r="AH1538" s="1">
        <f>A1538</f>
        <v/>
      </c>
      <c r="AI1538">
        <f>IF(ISNUMBER((1+V1538)*AI1537),(1+V1538)*AI1537,AI1537)</f>
        <v/>
      </c>
      <c r="AJ1538">
        <f>IF(ISNUMBER((1+Z1538)*AJ1537),(1+Z1538)*AJ1537,AJ1537)</f>
        <v/>
      </c>
    </row>
    <row r="1539">
      <c r="A1539" s="1" t="n">
        <v>44236</v>
      </c>
      <c r="B1539" s="3">
        <f>IF(ORIG!B1539=0,"",ORIG!B1539)</f>
        <v/>
      </c>
      <c r="C1539" s="3">
        <f>IF(ORIG!C1539=0,"",ORIG!C1539)</f>
        <v/>
      </c>
      <c r="D1539" s="3">
        <f>IF(ORIG!D1539=0,"",ORIG!D1539)</f>
        <v/>
      </c>
      <c r="E1539" s="3">
        <f>IF(ORIG!E1539=0,"",ORIG!E1539)</f>
        <v/>
      </c>
      <c r="F1539" s="3">
        <f>IF(ORIG!F1539=0,"",ORIG!F1539)</f>
        <v/>
      </c>
      <c r="G1539" s="3">
        <f>IF(ORIG!G1539=0,"",ORIG!G1539)</f>
        <v/>
      </c>
      <c r="H1539" s="3">
        <f>IF(ORIG!H1539=0,"",ORIG!H1539)</f>
        <v/>
      </c>
      <c r="I1539" s="3">
        <f>IF(ORIG!I1539=0,"",ORIG!I1539)</f>
        <v/>
      </c>
      <c r="J1539" s="3">
        <f>IF(ORIG!J1539=0,"",ORIG!J1539)</f>
        <v/>
      </c>
      <c r="K1539" s="3">
        <f>IF(ORIG!K1539=0,"",ORIG!K1539)</f>
        <v/>
      </c>
      <c r="L1539" s="3">
        <f>IF(ORIG!L1539=0,"",ORIG!L1539)</f>
        <v/>
      </c>
      <c r="M1539" s="3">
        <f>IF(ORIG!M1539=0,"",ORIG!M1539)</f>
        <v/>
      </c>
      <c r="N1539" s="3">
        <f>IF(ORIG!N1539=0,"",ORIG!N1539)</f>
        <v/>
      </c>
      <c r="O1539" s="3">
        <f>IF(ORIG!O1539=0,"",ORIG!O1539)</f>
        <v/>
      </c>
      <c r="P1539" s="3">
        <f>IF(ORIG!P1539=0,"",ORIG!P1539)</f>
        <v/>
      </c>
      <c r="Q1539" s="3">
        <f>IF(ORIG!Q1539=0,"",ORIG!Q1539)</f>
        <v/>
      </c>
      <c r="R1539" s="3">
        <f>IF(ORIG!R1539=0,"",ORIG!R1539)</f>
        <v/>
      </c>
      <c r="S1539" s="3">
        <f>IF(ORIG!S1539=0,"",ORIG!S1539)</f>
        <v/>
      </c>
      <c r="T1539" s="3">
        <f>IF(ORIG!T1539=0,"",ORIG!T1539)</f>
        <v/>
      </c>
      <c r="U1539" s="3">
        <f>IF(ORIG!U1539=0,"",ORIG!U1539)</f>
        <v/>
      </c>
      <c r="V1539" s="9">
        <f>IF(ORIG!V1539=0,"",ORIG!V1539)</f>
        <v/>
      </c>
      <c r="W1539" s="9">
        <f>IF(ORIG!W1539=0,"",ORIG!W1539)</f>
        <v/>
      </c>
      <c r="X1539" s="9">
        <f>IF(ORIG!X1539=0,"",ORIG!X1539)</f>
        <v/>
      </c>
      <c r="Y1539" s="9">
        <f>IF(ORIG!Y1539=0,"",ORIG!Y1539)</f>
        <v/>
      </c>
      <c r="Z1539" s="3">
        <f>SUMPRODUCT($B1539:$Y1539,$B$2649:$Y$2649)</f>
        <v/>
      </c>
      <c r="AA1539" s="3">
        <f>SUMPRODUCT($B1539:$Y1539,$B$2655:$Y$2655)</f>
        <v/>
      </c>
      <c r="AC1539" s="1">
        <f>A1539</f>
        <v/>
      </c>
      <c r="AD1539">
        <f>IF(ISNUMBER(V1539),V1539*($AB$1/V$2635),"")</f>
        <v/>
      </c>
      <c r="AE1539">
        <f>IF(ISNUMBER(Z1539),Z1539*($AB$1/Z$2635),"")</f>
        <v/>
      </c>
      <c r="AF1539" s="25">
        <f>IF(ISNUMBER(AD1539+AE1539),AD1539+AE1539,"")</f>
        <v/>
      </c>
      <c r="AH1539" s="1">
        <f>A1539</f>
        <v/>
      </c>
      <c r="AI1539">
        <f>IF(ISNUMBER((1+V1539)*AI1538),(1+V1539)*AI1538,AI1538)</f>
        <v/>
      </c>
      <c r="AJ1539">
        <f>IF(ISNUMBER((1+Z1539)*AJ1538),(1+Z1539)*AJ1538,AJ1538)</f>
        <v/>
      </c>
    </row>
    <row r="1540">
      <c r="A1540" s="1" t="n">
        <v>44237</v>
      </c>
      <c r="B1540" s="3">
        <f>IF(ORIG!B1540=0,"",ORIG!B1540)</f>
        <v/>
      </c>
      <c r="C1540" s="3">
        <f>IF(ORIG!C1540=0,"",ORIG!C1540)</f>
        <v/>
      </c>
      <c r="D1540" s="3">
        <f>IF(ORIG!D1540=0,"",ORIG!D1540)</f>
        <v/>
      </c>
      <c r="E1540" s="3">
        <f>IF(ORIG!E1540=0,"",ORIG!E1540)</f>
        <v/>
      </c>
      <c r="F1540" s="3">
        <f>IF(ORIG!F1540=0,"",ORIG!F1540)</f>
        <v/>
      </c>
      <c r="G1540" s="3">
        <f>IF(ORIG!G1540=0,"",ORIG!G1540)</f>
        <v/>
      </c>
      <c r="H1540" s="3">
        <f>IF(ORIG!H1540=0,"",ORIG!H1540)</f>
        <v/>
      </c>
      <c r="I1540" s="3">
        <f>IF(ORIG!I1540=0,"",ORIG!I1540)</f>
        <v/>
      </c>
      <c r="J1540" s="3">
        <f>IF(ORIG!J1540=0,"",ORIG!J1540)</f>
        <v/>
      </c>
      <c r="K1540" s="3">
        <f>IF(ORIG!K1540=0,"",ORIG!K1540)</f>
        <v/>
      </c>
      <c r="L1540" s="3">
        <f>IF(ORIG!L1540=0,"",ORIG!L1540)</f>
        <v/>
      </c>
      <c r="M1540" s="3">
        <f>IF(ORIG!M1540=0,"",ORIG!M1540)</f>
        <v/>
      </c>
      <c r="N1540" s="3">
        <f>IF(ORIG!N1540=0,"",ORIG!N1540)</f>
        <v/>
      </c>
      <c r="O1540" s="3">
        <f>IF(ORIG!O1540=0,"",ORIG!O1540)</f>
        <v/>
      </c>
      <c r="P1540" s="3">
        <f>IF(ORIG!P1540=0,"",ORIG!P1540)</f>
        <v/>
      </c>
      <c r="Q1540" s="3">
        <f>IF(ORIG!Q1540=0,"",ORIG!Q1540)</f>
        <v/>
      </c>
      <c r="R1540" s="3">
        <f>IF(ORIG!R1540=0,"",ORIG!R1540)</f>
        <v/>
      </c>
      <c r="S1540" s="3">
        <f>IF(ORIG!S1540=0,"",ORIG!S1540)</f>
        <v/>
      </c>
      <c r="T1540" s="3">
        <f>IF(ORIG!T1540=0,"",ORIG!T1540)</f>
        <v/>
      </c>
      <c r="U1540" s="3">
        <f>IF(ORIG!U1540=0,"",ORIG!U1540)</f>
        <v/>
      </c>
      <c r="V1540" s="9">
        <f>IF(ORIG!V1540=0,"",ORIG!V1540)</f>
        <v/>
      </c>
      <c r="W1540" s="9">
        <f>IF(ORIG!W1540=0,"",ORIG!W1540)</f>
        <v/>
      </c>
      <c r="X1540" s="9">
        <f>IF(ORIG!X1540=0,"",ORIG!X1540)</f>
        <v/>
      </c>
      <c r="Y1540" s="9">
        <f>IF(ORIG!Y1540=0,"",ORIG!Y1540)</f>
        <v/>
      </c>
      <c r="Z1540" s="3">
        <f>SUMPRODUCT($B1540:$Y1540,$B$2649:$Y$2649)</f>
        <v/>
      </c>
      <c r="AA1540" s="3">
        <f>SUMPRODUCT($B1540:$Y1540,$B$2655:$Y$2655)</f>
        <v/>
      </c>
      <c r="AC1540" s="1">
        <f>A1540</f>
        <v/>
      </c>
      <c r="AD1540">
        <f>IF(ISNUMBER(V1540),V1540*($AB$1/V$2635),"")</f>
        <v/>
      </c>
      <c r="AE1540">
        <f>IF(ISNUMBER(Z1540),Z1540*($AB$1/Z$2635),"")</f>
        <v/>
      </c>
      <c r="AF1540" s="25">
        <f>IF(ISNUMBER(AD1540+AE1540),AD1540+AE1540,"")</f>
        <v/>
      </c>
      <c r="AH1540" s="1">
        <f>A1540</f>
        <v/>
      </c>
      <c r="AI1540">
        <f>IF(ISNUMBER((1+V1540)*AI1539),(1+V1540)*AI1539,AI1539)</f>
        <v/>
      </c>
      <c r="AJ1540">
        <f>IF(ISNUMBER((1+Z1540)*AJ1539),(1+Z1540)*AJ1539,AJ1539)</f>
        <v/>
      </c>
    </row>
    <row r="1541">
      <c r="A1541" s="1" t="n">
        <v>44238</v>
      </c>
      <c r="B1541" s="3">
        <f>IF(ORIG!B1541=0,"",ORIG!B1541)</f>
        <v/>
      </c>
      <c r="C1541" s="3">
        <f>IF(ORIG!C1541=0,"",ORIG!C1541)</f>
        <v/>
      </c>
      <c r="D1541" s="3">
        <f>IF(ORIG!D1541=0,"",ORIG!D1541)</f>
        <v/>
      </c>
      <c r="E1541" s="3">
        <f>IF(ORIG!E1541=0,"",ORIG!E1541)</f>
        <v/>
      </c>
      <c r="F1541" s="3">
        <f>IF(ORIG!F1541=0,"",ORIG!F1541)</f>
        <v/>
      </c>
      <c r="G1541" s="3">
        <f>IF(ORIG!G1541=0,"",ORIG!G1541)</f>
        <v/>
      </c>
      <c r="H1541" s="3">
        <f>IF(ORIG!H1541=0,"",ORIG!H1541)</f>
        <v/>
      </c>
      <c r="I1541" s="3">
        <f>IF(ORIG!I1541=0,"",ORIG!I1541)</f>
        <v/>
      </c>
      <c r="J1541" s="3">
        <f>IF(ORIG!J1541=0,"",ORIG!J1541)</f>
        <v/>
      </c>
      <c r="K1541" s="3">
        <f>IF(ORIG!K1541=0,"",ORIG!K1541)</f>
        <v/>
      </c>
      <c r="L1541" s="3">
        <f>IF(ORIG!L1541=0,"",ORIG!L1541)</f>
        <v/>
      </c>
      <c r="M1541" s="3">
        <f>IF(ORIG!M1541=0,"",ORIG!M1541)</f>
        <v/>
      </c>
      <c r="N1541" s="3">
        <f>IF(ORIG!N1541=0,"",ORIG!N1541)</f>
        <v/>
      </c>
      <c r="O1541" s="3">
        <f>IF(ORIG!O1541=0,"",ORIG!O1541)</f>
        <v/>
      </c>
      <c r="P1541" s="3">
        <f>IF(ORIG!P1541=0,"",ORIG!P1541)</f>
        <v/>
      </c>
      <c r="Q1541" s="3">
        <f>IF(ORIG!Q1541=0,"",ORIG!Q1541)</f>
        <v/>
      </c>
      <c r="R1541" s="3">
        <f>IF(ORIG!R1541=0,"",ORIG!R1541)</f>
        <v/>
      </c>
      <c r="S1541" s="3">
        <f>IF(ORIG!S1541=0,"",ORIG!S1541)</f>
        <v/>
      </c>
      <c r="T1541" s="3">
        <f>IF(ORIG!T1541=0,"",ORIG!T1541)</f>
        <v/>
      </c>
      <c r="U1541" s="3">
        <f>IF(ORIG!U1541=0,"",ORIG!U1541)</f>
        <v/>
      </c>
      <c r="V1541" s="9">
        <f>IF(ORIG!V1541=0,"",ORIG!V1541)</f>
        <v/>
      </c>
      <c r="W1541" s="9">
        <f>IF(ORIG!W1541=0,"",ORIG!W1541)</f>
        <v/>
      </c>
      <c r="X1541" s="9">
        <f>IF(ORIG!X1541=0,"",ORIG!X1541)</f>
        <v/>
      </c>
      <c r="Y1541" s="9">
        <f>IF(ORIG!Y1541=0,"",ORIG!Y1541)</f>
        <v/>
      </c>
      <c r="Z1541" s="3">
        <f>SUMPRODUCT($B1541:$Y1541,$B$2649:$Y$2649)</f>
        <v/>
      </c>
      <c r="AA1541" s="3">
        <f>SUMPRODUCT($B1541:$Y1541,$B$2655:$Y$2655)</f>
        <v/>
      </c>
      <c r="AC1541" s="1">
        <f>A1541</f>
        <v/>
      </c>
      <c r="AD1541">
        <f>IF(ISNUMBER(V1541),V1541*($AB$1/V$2635),"")</f>
        <v/>
      </c>
      <c r="AE1541">
        <f>IF(ISNUMBER(Z1541),Z1541*($AB$1/Z$2635),"")</f>
        <v/>
      </c>
      <c r="AF1541" s="25">
        <f>IF(ISNUMBER(AD1541+AE1541),AD1541+AE1541,"")</f>
        <v/>
      </c>
      <c r="AH1541" s="1">
        <f>A1541</f>
        <v/>
      </c>
      <c r="AI1541">
        <f>IF(ISNUMBER((1+V1541)*AI1540),(1+V1541)*AI1540,AI1540)</f>
        <v/>
      </c>
      <c r="AJ1541">
        <f>IF(ISNUMBER((1+Z1541)*AJ1540),(1+Z1541)*AJ1540,AJ1540)</f>
        <v/>
      </c>
    </row>
    <row r="1542">
      <c r="A1542" s="1" t="n">
        <v>44239</v>
      </c>
      <c r="B1542" s="3">
        <f>IF(ORIG!B1542=0,"",ORIG!B1542)</f>
        <v/>
      </c>
      <c r="C1542" s="3">
        <f>IF(ORIG!C1542=0,"",ORIG!C1542)</f>
        <v/>
      </c>
      <c r="D1542" s="3">
        <f>IF(ORIG!D1542=0,"",ORIG!D1542)</f>
        <v/>
      </c>
      <c r="E1542" s="3">
        <f>IF(ORIG!E1542=0,"",ORIG!E1542)</f>
        <v/>
      </c>
      <c r="F1542" s="3">
        <f>IF(ORIG!F1542=0,"",ORIG!F1542)</f>
        <v/>
      </c>
      <c r="G1542" s="3">
        <f>IF(ORIG!G1542=0,"",ORIG!G1542)</f>
        <v/>
      </c>
      <c r="H1542" s="3">
        <f>IF(ORIG!H1542=0,"",ORIG!H1542)</f>
        <v/>
      </c>
      <c r="I1542" s="3">
        <f>IF(ORIG!I1542=0,"",ORIG!I1542)</f>
        <v/>
      </c>
      <c r="J1542" s="3">
        <f>IF(ORIG!J1542=0,"",ORIG!J1542)</f>
        <v/>
      </c>
      <c r="K1542" s="3">
        <f>IF(ORIG!K1542=0,"",ORIG!K1542)</f>
        <v/>
      </c>
      <c r="L1542" s="3">
        <f>IF(ORIG!L1542=0,"",ORIG!L1542)</f>
        <v/>
      </c>
      <c r="M1542" s="3">
        <f>IF(ORIG!M1542=0,"",ORIG!M1542)</f>
        <v/>
      </c>
      <c r="N1542" s="3">
        <f>IF(ORIG!N1542=0,"",ORIG!N1542)</f>
        <v/>
      </c>
      <c r="O1542" s="3">
        <f>IF(ORIG!O1542=0,"",ORIG!O1542)</f>
        <v/>
      </c>
      <c r="P1542" s="3">
        <f>IF(ORIG!P1542=0,"",ORIG!P1542)</f>
        <v/>
      </c>
      <c r="Q1542" s="3">
        <f>IF(ORIG!Q1542=0,"",ORIG!Q1542)</f>
        <v/>
      </c>
      <c r="R1542" s="3">
        <f>IF(ORIG!R1542=0,"",ORIG!R1542)</f>
        <v/>
      </c>
      <c r="S1542" s="3">
        <f>IF(ORIG!S1542=0,"",ORIG!S1542)</f>
        <v/>
      </c>
      <c r="T1542" s="3">
        <f>IF(ORIG!T1542=0,"",ORIG!T1542)</f>
        <v/>
      </c>
      <c r="U1542" s="3">
        <f>IF(ORIG!U1542=0,"",ORIG!U1542)</f>
        <v/>
      </c>
      <c r="V1542" s="9">
        <f>IF(ORIG!V1542=0,"",ORIG!V1542)</f>
        <v/>
      </c>
      <c r="W1542" s="9">
        <f>IF(ORIG!W1542=0,"",ORIG!W1542)</f>
        <v/>
      </c>
      <c r="X1542" s="9">
        <f>IF(ORIG!X1542=0,"",ORIG!X1542)</f>
        <v/>
      </c>
      <c r="Y1542" s="9">
        <f>IF(ORIG!Y1542=0,"",ORIG!Y1542)</f>
        <v/>
      </c>
      <c r="Z1542" s="3">
        <f>SUMPRODUCT($B1542:$Y1542,$B$2649:$Y$2649)</f>
        <v/>
      </c>
      <c r="AA1542" s="3">
        <f>SUMPRODUCT($B1542:$Y1542,$B$2655:$Y$2655)</f>
        <v/>
      </c>
      <c r="AC1542" s="1">
        <f>A1542</f>
        <v/>
      </c>
      <c r="AD1542">
        <f>IF(ISNUMBER(V1542),V1542*($AB$1/V$2635),"")</f>
        <v/>
      </c>
      <c r="AE1542">
        <f>IF(ISNUMBER(Z1542),Z1542*($AB$1/Z$2635),"")</f>
        <v/>
      </c>
      <c r="AF1542" s="25">
        <f>IF(ISNUMBER(AD1542+AE1542),AD1542+AE1542,"")</f>
        <v/>
      </c>
      <c r="AH1542" s="1">
        <f>A1542</f>
        <v/>
      </c>
      <c r="AI1542">
        <f>IF(ISNUMBER((1+V1542)*AI1541),(1+V1542)*AI1541,AI1541)</f>
        <v/>
      </c>
      <c r="AJ1542">
        <f>IF(ISNUMBER((1+Z1542)*AJ1541),(1+Z1542)*AJ1541,AJ1541)</f>
        <v/>
      </c>
    </row>
    <row r="1543">
      <c r="A1543" s="1" t="n">
        <v>44243</v>
      </c>
      <c r="B1543" s="3">
        <f>IF(ORIG!B1543=0,"",ORIG!B1543)</f>
        <v/>
      </c>
      <c r="C1543" s="3">
        <f>IF(ORIG!C1543=0,"",ORIG!C1543)</f>
        <v/>
      </c>
      <c r="D1543" s="3">
        <f>IF(ORIG!D1543=0,"",ORIG!D1543)</f>
        <v/>
      </c>
      <c r="E1543" s="3">
        <f>IF(ORIG!E1543=0,"",ORIG!E1543)</f>
        <v/>
      </c>
      <c r="F1543" s="3">
        <f>IF(ORIG!F1543=0,"",ORIG!F1543)</f>
        <v/>
      </c>
      <c r="G1543" s="3">
        <f>IF(ORIG!G1543=0,"",ORIG!G1543)</f>
        <v/>
      </c>
      <c r="H1543" s="3">
        <f>IF(ORIG!H1543=0,"",ORIG!H1543)</f>
        <v/>
      </c>
      <c r="I1543" s="3">
        <f>IF(ORIG!I1543=0,"",ORIG!I1543)</f>
        <v/>
      </c>
      <c r="J1543" s="3">
        <f>IF(ORIG!J1543=0,"",ORIG!J1543)</f>
        <v/>
      </c>
      <c r="K1543" s="3">
        <f>IF(ORIG!K1543=0,"",ORIG!K1543)</f>
        <v/>
      </c>
      <c r="L1543" s="3">
        <f>IF(ORIG!L1543=0,"",ORIG!L1543)</f>
        <v/>
      </c>
      <c r="M1543" s="3">
        <f>IF(ORIG!M1543=0,"",ORIG!M1543)</f>
        <v/>
      </c>
      <c r="N1543" s="3">
        <f>IF(ORIG!N1543=0,"",ORIG!N1543)</f>
        <v/>
      </c>
      <c r="O1543" s="3">
        <f>IF(ORIG!O1543=0,"",ORIG!O1543)</f>
        <v/>
      </c>
      <c r="P1543" s="3">
        <f>IF(ORIG!P1543=0,"",ORIG!P1543)</f>
        <v/>
      </c>
      <c r="Q1543" s="3">
        <f>IF(ORIG!Q1543=0,"",ORIG!Q1543)</f>
        <v/>
      </c>
      <c r="R1543" s="3">
        <f>IF(ORIG!R1543=0,"",ORIG!R1543)</f>
        <v/>
      </c>
      <c r="S1543" s="3">
        <f>IF(ORIG!S1543=0,"",ORIG!S1543)</f>
        <v/>
      </c>
      <c r="T1543" s="3">
        <f>IF(ORIG!T1543=0,"",ORIG!T1543)</f>
        <v/>
      </c>
      <c r="U1543" s="3">
        <f>IF(ORIG!U1543=0,"",ORIG!U1543)</f>
        <v/>
      </c>
      <c r="V1543" s="9">
        <f>IF(ORIG!V1543=0,"",ORIG!V1543)</f>
        <v/>
      </c>
      <c r="W1543" s="9">
        <f>IF(ORIG!W1543=0,"",ORIG!W1543)</f>
        <v/>
      </c>
      <c r="X1543" s="9">
        <f>IF(ORIG!X1543=0,"",ORIG!X1543)</f>
        <v/>
      </c>
      <c r="Y1543" s="9">
        <f>IF(ORIG!Y1543=0,"",ORIG!Y1543)</f>
        <v/>
      </c>
      <c r="Z1543" s="3">
        <f>SUMPRODUCT($B1543:$Y1543,$B$2649:$Y$2649)</f>
        <v/>
      </c>
      <c r="AA1543" s="3">
        <f>SUMPRODUCT($B1543:$Y1543,$B$2655:$Y$2655)</f>
        <v/>
      </c>
      <c r="AC1543" s="1">
        <f>A1543</f>
        <v/>
      </c>
      <c r="AD1543">
        <f>IF(ISNUMBER(V1543),V1543*($AB$1/V$2635),"")</f>
        <v/>
      </c>
      <c r="AE1543">
        <f>IF(ISNUMBER(Z1543),Z1543*($AB$1/Z$2635),"")</f>
        <v/>
      </c>
      <c r="AF1543" s="25">
        <f>IF(ISNUMBER(AD1543+AE1543),AD1543+AE1543,"")</f>
        <v/>
      </c>
      <c r="AH1543" s="1">
        <f>A1543</f>
        <v/>
      </c>
      <c r="AI1543">
        <f>IF(ISNUMBER((1+V1543)*AI1542),(1+V1543)*AI1542,AI1542)</f>
        <v/>
      </c>
      <c r="AJ1543">
        <f>IF(ISNUMBER((1+Z1543)*AJ1542),(1+Z1543)*AJ1542,AJ1542)</f>
        <v/>
      </c>
    </row>
    <row r="1544">
      <c r="A1544" s="1" t="n">
        <v>44244</v>
      </c>
      <c r="B1544" s="3">
        <f>IF(ORIG!B1544=0,"",ORIG!B1544)</f>
        <v/>
      </c>
      <c r="C1544" s="3">
        <f>IF(ORIG!C1544=0,"",ORIG!C1544)</f>
        <v/>
      </c>
      <c r="D1544" s="3">
        <f>IF(ORIG!D1544=0,"",ORIG!D1544)</f>
        <v/>
      </c>
      <c r="E1544" s="3">
        <f>IF(ORIG!E1544=0,"",ORIG!E1544)</f>
        <v/>
      </c>
      <c r="F1544" s="3">
        <f>IF(ORIG!F1544=0,"",ORIG!F1544)</f>
        <v/>
      </c>
      <c r="G1544" s="3">
        <f>IF(ORIG!G1544=0,"",ORIG!G1544)</f>
        <v/>
      </c>
      <c r="H1544" s="3">
        <f>IF(ORIG!H1544=0,"",ORIG!H1544)</f>
        <v/>
      </c>
      <c r="I1544" s="3">
        <f>IF(ORIG!I1544=0,"",ORIG!I1544)</f>
        <v/>
      </c>
      <c r="J1544" s="3">
        <f>IF(ORIG!J1544=0,"",ORIG!J1544)</f>
        <v/>
      </c>
      <c r="K1544" s="3">
        <f>IF(ORIG!K1544=0,"",ORIG!K1544)</f>
        <v/>
      </c>
      <c r="L1544" s="3">
        <f>IF(ORIG!L1544=0,"",ORIG!L1544)</f>
        <v/>
      </c>
      <c r="M1544" s="3">
        <f>IF(ORIG!M1544=0,"",ORIG!M1544)</f>
        <v/>
      </c>
      <c r="N1544" s="3">
        <f>IF(ORIG!N1544=0,"",ORIG!N1544)</f>
        <v/>
      </c>
      <c r="O1544" s="3">
        <f>IF(ORIG!O1544=0,"",ORIG!O1544)</f>
        <v/>
      </c>
      <c r="P1544" s="3">
        <f>IF(ORIG!P1544=0,"",ORIG!P1544)</f>
        <v/>
      </c>
      <c r="Q1544" s="3">
        <f>IF(ORIG!Q1544=0,"",ORIG!Q1544)</f>
        <v/>
      </c>
      <c r="R1544" s="3">
        <f>IF(ORIG!R1544=0,"",ORIG!R1544)</f>
        <v/>
      </c>
      <c r="S1544" s="3">
        <f>IF(ORIG!S1544=0,"",ORIG!S1544)</f>
        <v/>
      </c>
      <c r="T1544" s="3">
        <f>IF(ORIG!T1544=0,"",ORIG!T1544)</f>
        <v/>
      </c>
      <c r="U1544" s="3">
        <f>IF(ORIG!U1544=0,"",ORIG!U1544)</f>
        <v/>
      </c>
      <c r="V1544" s="9">
        <f>IF(ORIG!V1544=0,"",ORIG!V1544)</f>
        <v/>
      </c>
      <c r="W1544" s="9">
        <f>IF(ORIG!W1544=0,"",ORIG!W1544)</f>
        <v/>
      </c>
      <c r="X1544" s="9">
        <f>IF(ORIG!X1544=0,"",ORIG!X1544)</f>
        <v/>
      </c>
      <c r="Y1544" s="9">
        <f>IF(ORIG!Y1544=0,"",ORIG!Y1544)</f>
        <v/>
      </c>
      <c r="Z1544" s="3">
        <f>SUMPRODUCT($B1544:$Y1544,$B$2649:$Y$2649)</f>
        <v/>
      </c>
      <c r="AA1544" s="3">
        <f>SUMPRODUCT($B1544:$Y1544,$B$2655:$Y$2655)</f>
        <v/>
      </c>
      <c r="AC1544" s="1">
        <f>A1544</f>
        <v/>
      </c>
      <c r="AD1544">
        <f>IF(ISNUMBER(V1544),V1544*($AB$1/V$2635),"")</f>
        <v/>
      </c>
      <c r="AE1544">
        <f>IF(ISNUMBER(Z1544),Z1544*($AB$1/Z$2635),"")</f>
        <v/>
      </c>
      <c r="AF1544" s="25">
        <f>IF(ISNUMBER(AD1544+AE1544),AD1544+AE1544,"")</f>
        <v/>
      </c>
      <c r="AH1544" s="1">
        <f>A1544</f>
        <v/>
      </c>
      <c r="AI1544">
        <f>IF(ISNUMBER((1+V1544)*AI1543),(1+V1544)*AI1543,AI1543)</f>
        <v/>
      </c>
      <c r="AJ1544">
        <f>IF(ISNUMBER((1+Z1544)*AJ1543),(1+Z1544)*AJ1543,AJ1543)</f>
        <v/>
      </c>
    </row>
    <row r="1545">
      <c r="A1545" s="1" t="n">
        <v>44245</v>
      </c>
      <c r="B1545" s="3">
        <f>IF(ORIG!B1545=0,"",ORIG!B1545)</f>
        <v/>
      </c>
      <c r="C1545" s="3">
        <f>IF(ORIG!C1545=0,"",ORIG!C1545)</f>
        <v/>
      </c>
      <c r="D1545" s="3">
        <f>IF(ORIG!D1545=0,"",ORIG!D1545)</f>
        <v/>
      </c>
      <c r="E1545" s="3">
        <f>IF(ORIG!E1545=0,"",ORIG!E1545)</f>
        <v/>
      </c>
      <c r="F1545" s="3">
        <f>IF(ORIG!F1545=0,"",ORIG!F1545)</f>
        <v/>
      </c>
      <c r="G1545" s="3">
        <f>IF(ORIG!G1545=0,"",ORIG!G1545)</f>
        <v/>
      </c>
      <c r="H1545" s="3">
        <f>IF(ORIG!H1545=0,"",ORIG!H1545)</f>
        <v/>
      </c>
      <c r="I1545" s="3">
        <f>IF(ORIG!I1545=0,"",ORIG!I1545)</f>
        <v/>
      </c>
      <c r="J1545" s="3">
        <f>IF(ORIG!J1545=0,"",ORIG!J1545)</f>
        <v/>
      </c>
      <c r="K1545" s="3">
        <f>IF(ORIG!K1545=0,"",ORIG!K1545)</f>
        <v/>
      </c>
      <c r="L1545" s="3">
        <f>IF(ORIG!L1545=0,"",ORIG!L1545)</f>
        <v/>
      </c>
      <c r="M1545" s="3">
        <f>IF(ORIG!M1545=0,"",ORIG!M1545)</f>
        <v/>
      </c>
      <c r="N1545" s="3">
        <f>IF(ORIG!N1545=0,"",ORIG!N1545)</f>
        <v/>
      </c>
      <c r="O1545" s="3">
        <f>IF(ORIG!O1545=0,"",ORIG!O1545)</f>
        <v/>
      </c>
      <c r="P1545" s="3">
        <f>IF(ORIG!P1545=0,"",ORIG!P1545)</f>
        <v/>
      </c>
      <c r="Q1545" s="3">
        <f>IF(ORIG!Q1545=0,"",ORIG!Q1545)</f>
        <v/>
      </c>
      <c r="R1545" s="3">
        <f>IF(ORIG!R1545=0,"",ORIG!R1545)</f>
        <v/>
      </c>
      <c r="S1545" s="3">
        <f>IF(ORIG!S1545=0,"",ORIG!S1545)</f>
        <v/>
      </c>
      <c r="T1545" s="3">
        <f>IF(ORIG!T1545=0,"",ORIG!T1545)</f>
        <v/>
      </c>
      <c r="U1545" s="3">
        <f>IF(ORIG!U1545=0,"",ORIG!U1545)</f>
        <v/>
      </c>
      <c r="V1545" s="9">
        <f>IF(ORIG!V1545=0,"",ORIG!V1545)</f>
        <v/>
      </c>
      <c r="W1545" s="9">
        <f>IF(ORIG!W1545=0,"",ORIG!W1545)</f>
        <v/>
      </c>
      <c r="X1545" s="9">
        <f>IF(ORIG!X1545=0,"",ORIG!X1545)</f>
        <v/>
      </c>
      <c r="Y1545" s="9">
        <f>IF(ORIG!Y1545=0,"",ORIG!Y1545)</f>
        <v/>
      </c>
      <c r="Z1545" s="3">
        <f>SUMPRODUCT($B1545:$Y1545,$B$2649:$Y$2649)</f>
        <v/>
      </c>
      <c r="AA1545" s="3">
        <f>SUMPRODUCT($B1545:$Y1545,$B$2655:$Y$2655)</f>
        <v/>
      </c>
      <c r="AC1545" s="1">
        <f>A1545</f>
        <v/>
      </c>
      <c r="AD1545">
        <f>IF(ISNUMBER(V1545),V1545*($AB$1/V$2635),"")</f>
        <v/>
      </c>
      <c r="AE1545">
        <f>IF(ISNUMBER(Z1545),Z1545*($AB$1/Z$2635),"")</f>
        <v/>
      </c>
      <c r="AF1545" s="25">
        <f>IF(ISNUMBER(AD1545+AE1545),AD1545+AE1545,"")</f>
        <v/>
      </c>
      <c r="AH1545" s="1">
        <f>A1545</f>
        <v/>
      </c>
      <c r="AI1545">
        <f>IF(ISNUMBER((1+V1545)*AI1544),(1+V1545)*AI1544,AI1544)</f>
        <v/>
      </c>
      <c r="AJ1545">
        <f>IF(ISNUMBER((1+Z1545)*AJ1544),(1+Z1545)*AJ1544,AJ1544)</f>
        <v/>
      </c>
    </row>
    <row r="1546">
      <c r="A1546" s="1" t="n">
        <v>44246</v>
      </c>
      <c r="B1546" s="3">
        <f>IF(ORIG!B1546=0,"",ORIG!B1546)</f>
        <v/>
      </c>
      <c r="C1546" s="3">
        <f>IF(ORIG!C1546=0,"",ORIG!C1546)</f>
        <v/>
      </c>
      <c r="D1546" s="3">
        <f>IF(ORIG!D1546=0,"",ORIG!D1546)</f>
        <v/>
      </c>
      <c r="E1546" s="3">
        <f>IF(ORIG!E1546=0,"",ORIG!E1546)</f>
        <v/>
      </c>
      <c r="F1546" s="3">
        <f>IF(ORIG!F1546=0,"",ORIG!F1546)</f>
        <v/>
      </c>
      <c r="G1546" s="3">
        <f>IF(ORIG!G1546=0,"",ORIG!G1546)</f>
        <v/>
      </c>
      <c r="H1546" s="3">
        <f>IF(ORIG!H1546=0,"",ORIG!H1546)</f>
        <v/>
      </c>
      <c r="I1546" s="3">
        <f>IF(ORIG!I1546=0,"",ORIG!I1546)</f>
        <v/>
      </c>
      <c r="J1546" s="3">
        <f>IF(ORIG!J1546=0,"",ORIG!J1546)</f>
        <v/>
      </c>
      <c r="K1546" s="3">
        <f>IF(ORIG!K1546=0,"",ORIG!K1546)</f>
        <v/>
      </c>
      <c r="L1546" s="3">
        <f>IF(ORIG!L1546=0,"",ORIG!L1546)</f>
        <v/>
      </c>
      <c r="M1546" s="3">
        <f>IF(ORIG!M1546=0,"",ORIG!M1546)</f>
        <v/>
      </c>
      <c r="N1546" s="3">
        <f>IF(ORIG!N1546=0,"",ORIG!N1546)</f>
        <v/>
      </c>
      <c r="O1546" s="3">
        <f>IF(ORIG!O1546=0,"",ORIG!O1546)</f>
        <v/>
      </c>
      <c r="P1546" s="3">
        <f>IF(ORIG!P1546=0,"",ORIG!P1546)</f>
        <v/>
      </c>
      <c r="Q1546" s="3">
        <f>IF(ORIG!Q1546=0,"",ORIG!Q1546)</f>
        <v/>
      </c>
      <c r="R1546" s="3">
        <f>IF(ORIG!R1546=0,"",ORIG!R1546)</f>
        <v/>
      </c>
      <c r="S1546" s="3">
        <f>IF(ORIG!S1546=0,"",ORIG!S1546)</f>
        <v/>
      </c>
      <c r="T1546" s="3">
        <f>IF(ORIG!T1546=0,"",ORIG!T1546)</f>
        <v/>
      </c>
      <c r="U1546" s="3">
        <f>IF(ORIG!U1546=0,"",ORIG!U1546)</f>
        <v/>
      </c>
      <c r="V1546" s="9">
        <f>IF(ORIG!V1546=0,"",ORIG!V1546)</f>
        <v/>
      </c>
      <c r="W1546" s="9">
        <f>IF(ORIG!W1546=0,"",ORIG!W1546)</f>
        <v/>
      </c>
      <c r="X1546" s="9">
        <f>IF(ORIG!X1546=0,"",ORIG!X1546)</f>
        <v/>
      </c>
      <c r="Y1546" s="9">
        <f>IF(ORIG!Y1546=0,"",ORIG!Y1546)</f>
        <v/>
      </c>
      <c r="Z1546" s="3">
        <f>SUMPRODUCT($B1546:$Y1546,$B$2649:$Y$2649)</f>
        <v/>
      </c>
      <c r="AA1546" s="3">
        <f>SUMPRODUCT($B1546:$Y1546,$B$2655:$Y$2655)</f>
        <v/>
      </c>
      <c r="AC1546" s="1">
        <f>A1546</f>
        <v/>
      </c>
      <c r="AD1546">
        <f>IF(ISNUMBER(V1546),V1546*($AB$1/V$2635),"")</f>
        <v/>
      </c>
      <c r="AE1546">
        <f>IF(ISNUMBER(Z1546),Z1546*($AB$1/Z$2635),"")</f>
        <v/>
      </c>
      <c r="AF1546" s="25">
        <f>IF(ISNUMBER(AD1546+AE1546),AD1546+AE1546,"")</f>
        <v/>
      </c>
      <c r="AH1546" s="1">
        <f>A1546</f>
        <v/>
      </c>
      <c r="AI1546">
        <f>IF(ISNUMBER((1+V1546)*AI1545),(1+V1546)*AI1545,AI1545)</f>
        <v/>
      </c>
      <c r="AJ1546">
        <f>IF(ISNUMBER((1+Z1546)*AJ1545),(1+Z1546)*AJ1545,AJ1545)</f>
        <v/>
      </c>
    </row>
    <row r="1547">
      <c r="A1547" s="1" t="n">
        <v>44249</v>
      </c>
      <c r="B1547" s="3">
        <f>IF(ORIG!B1547=0,"",ORIG!B1547)</f>
        <v/>
      </c>
      <c r="C1547" s="3">
        <f>IF(ORIG!C1547=0,"",ORIG!C1547)</f>
        <v/>
      </c>
      <c r="D1547" s="3">
        <f>IF(ORIG!D1547=0,"",ORIG!D1547)</f>
        <v/>
      </c>
      <c r="E1547" s="3">
        <f>IF(ORIG!E1547=0,"",ORIG!E1547)</f>
        <v/>
      </c>
      <c r="F1547" s="3">
        <f>IF(ORIG!F1547=0,"",ORIG!F1547)</f>
        <v/>
      </c>
      <c r="G1547" s="3">
        <f>IF(ORIG!G1547=0,"",ORIG!G1547)</f>
        <v/>
      </c>
      <c r="H1547" s="3">
        <f>IF(ORIG!H1547=0,"",ORIG!H1547)</f>
        <v/>
      </c>
      <c r="I1547" s="3">
        <f>IF(ORIG!I1547=0,"",ORIG!I1547)</f>
        <v/>
      </c>
      <c r="J1547" s="3">
        <f>IF(ORIG!J1547=0,"",ORIG!J1547)</f>
        <v/>
      </c>
      <c r="K1547" s="3">
        <f>IF(ORIG!K1547=0,"",ORIG!K1547)</f>
        <v/>
      </c>
      <c r="L1547" s="3">
        <f>IF(ORIG!L1547=0,"",ORIG!L1547)</f>
        <v/>
      </c>
      <c r="M1547" s="3">
        <f>IF(ORIG!M1547=0,"",ORIG!M1547)</f>
        <v/>
      </c>
      <c r="N1547" s="3">
        <f>IF(ORIG!N1547=0,"",ORIG!N1547)</f>
        <v/>
      </c>
      <c r="O1547" s="3">
        <f>IF(ORIG!O1547=0,"",ORIG!O1547)</f>
        <v/>
      </c>
      <c r="P1547" s="3">
        <f>IF(ORIG!P1547=0,"",ORIG!P1547)</f>
        <v/>
      </c>
      <c r="Q1547" s="3">
        <f>IF(ORIG!Q1547=0,"",ORIG!Q1547)</f>
        <v/>
      </c>
      <c r="R1547" s="3">
        <f>IF(ORIG!R1547=0,"",ORIG!R1547)</f>
        <v/>
      </c>
      <c r="S1547" s="3">
        <f>IF(ORIG!S1547=0,"",ORIG!S1547)</f>
        <v/>
      </c>
      <c r="T1547" s="3">
        <f>IF(ORIG!T1547=0,"",ORIG!T1547)</f>
        <v/>
      </c>
      <c r="U1547" s="3">
        <f>IF(ORIG!U1547=0,"",ORIG!U1547)</f>
        <v/>
      </c>
      <c r="V1547" s="9">
        <f>IF(ORIG!V1547=0,"",ORIG!V1547)</f>
        <v/>
      </c>
      <c r="W1547" s="9">
        <f>IF(ORIG!W1547=0,"",ORIG!W1547)</f>
        <v/>
      </c>
      <c r="X1547" s="9">
        <f>IF(ORIG!X1547=0,"",ORIG!X1547)</f>
        <v/>
      </c>
      <c r="Y1547" s="9">
        <f>IF(ORIG!Y1547=0,"",ORIG!Y1547)</f>
        <v/>
      </c>
      <c r="Z1547" s="3">
        <f>SUMPRODUCT($B1547:$Y1547,$B$2649:$Y$2649)</f>
        <v/>
      </c>
      <c r="AA1547" s="3">
        <f>SUMPRODUCT($B1547:$Y1547,$B$2655:$Y$2655)</f>
        <v/>
      </c>
      <c r="AC1547" s="1">
        <f>A1547</f>
        <v/>
      </c>
      <c r="AD1547">
        <f>IF(ISNUMBER(V1547),V1547*($AB$1/V$2635),"")</f>
        <v/>
      </c>
      <c r="AE1547">
        <f>IF(ISNUMBER(Z1547),Z1547*($AB$1/Z$2635),"")</f>
        <v/>
      </c>
      <c r="AF1547" s="25">
        <f>IF(ISNUMBER(AD1547+AE1547),AD1547+AE1547,"")</f>
        <v/>
      </c>
      <c r="AH1547" s="1">
        <f>A1547</f>
        <v/>
      </c>
      <c r="AI1547">
        <f>IF(ISNUMBER((1+V1547)*AI1546),(1+V1547)*AI1546,AI1546)</f>
        <v/>
      </c>
      <c r="AJ1547">
        <f>IF(ISNUMBER((1+Z1547)*AJ1546),(1+Z1547)*AJ1546,AJ1546)</f>
        <v/>
      </c>
    </row>
    <row r="1548">
      <c r="A1548" s="1" t="n">
        <v>44250</v>
      </c>
      <c r="B1548" s="3">
        <f>IF(ORIG!B1548=0,"",ORIG!B1548)</f>
        <v/>
      </c>
      <c r="C1548" s="3">
        <f>IF(ORIG!C1548=0,"",ORIG!C1548)</f>
        <v/>
      </c>
      <c r="D1548" s="3">
        <f>IF(ORIG!D1548=0,"",ORIG!D1548)</f>
        <v/>
      </c>
      <c r="E1548" s="3">
        <f>IF(ORIG!E1548=0,"",ORIG!E1548)</f>
        <v/>
      </c>
      <c r="F1548" s="3">
        <f>IF(ORIG!F1548=0,"",ORIG!F1548)</f>
        <v/>
      </c>
      <c r="G1548" s="3">
        <f>IF(ORIG!G1548=0,"",ORIG!G1548)</f>
        <v/>
      </c>
      <c r="H1548" s="3">
        <f>IF(ORIG!H1548=0,"",ORIG!H1548)</f>
        <v/>
      </c>
      <c r="I1548" s="3">
        <f>IF(ORIG!I1548=0,"",ORIG!I1548)</f>
        <v/>
      </c>
      <c r="J1548" s="3">
        <f>IF(ORIG!J1548=0,"",ORIG!J1548)</f>
        <v/>
      </c>
      <c r="K1548" s="3">
        <f>IF(ORIG!K1548=0,"",ORIG!K1548)</f>
        <v/>
      </c>
      <c r="L1548" s="3">
        <f>IF(ORIG!L1548=0,"",ORIG!L1548)</f>
        <v/>
      </c>
      <c r="M1548" s="3">
        <f>IF(ORIG!M1548=0,"",ORIG!M1548)</f>
        <v/>
      </c>
      <c r="N1548" s="3">
        <f>IF(ORIG!N1548=0,"",ORIG!N1548)</f>
        <v/>
      </c>
      <c r="O1548" s="3">
        <f>IF(ORIG!O1548=0,"",ORIG!O1548)</f>
        <v/>
      </c>
      <c r="P1548" s="3">
        <f>IF(ORIG!P1548=0,"",ORIG!P1548)</f>
        <v/>
      </c>
      <c r="Q1548" s="3">
        <f>IF(ORIG!Q1548=0,"",ORIG!Q1548)</f>
        <v/>
      </c>
      <c r="R1548" s="3">
        <f>IF(ORIG!R1548=0,"",ORIG!R1548)</f>
        <v/>
      </c>
      <c r="S1548" s="3">
        <f>IF(ORIG!S1548=0,"",ORIG!S1548)</f>
        <v/>
      </c>
      <c r="T1548" s="3">
        <f>IF(ORIG!T1548=0,"",ORIG!T1548)</f>
        <v/>
      </c>
      <c r="U1548" s="3">
        <f>IF(ORIG!U1548=0,"",ORIG!U1548)</f>
        <v/>
      </c>
      <c r="V1548" s="9">
        <f>IF(ORIG!V1548=0,"",ORIG!V1548)</f>
        <v/>
      </c>
      <c r="W1548" s="9">
        <f>IF(ORIG!W1548=0,"",ORIG!W1548)</f>
        <v/>
      </c>
      <c r="X1548" s="9">
        <f>IF(ORIG!X1548=0,"",ORIG!X1548)</f>
        <v/>
      </c>
      <c r="Y1548" s="9">
        <f>IF(ORIG!Y1548=0,"",ORIG!Y1548)</f>
        <v/>
      </c>
      <c r="Z1548" s="3">
        <f>SUMPRODUCT($B1548:$Y1548,$B$2649:$Y$2649)</f>
        <v/>
      </c>
      <c r="AA1548" s="3">
        <f>SUMPRODUCT($B1548:$Y1548,$B$2655:$Y$2655)</f>
        <v/>
      </c>
      <c r="AC1548" s="1">
        <f>A1548</f>
        <v/>
      </c>
      <c r="AD1548">
        <f>IF(ISNUMBER(V1548),V1548*($AB$1/V$2635),"")</f>
        <v/>
      </c>
      <c r="AE1548">
        <f>IF(ISNUMBER(Z1548),Z1548*($AB$1/Z$2635),"")</f>
        <v/>
      </c>
      <c r="AF1548" s="25">
        <f>IF(ISNUMBER(AD1548+AE1548),AD1548+AE1548,"")</f>
        <v/>
      </c>
      <c r="AH1548" s="1">
        <f>A1548</f>
        <v/>
      </c>
      <c r="AI1548">
        <f>IF(ISNUMBER((1+V1548)*AI1547),(1+V1548)*AI1547,AI1547)</f>
        <v/>
      </c>
      <c r="AJ1548">
        <f>IF(ISNUMBER((1+Z1548)*AJ1547),(1+Z1548)*AJ1547,AJ1547)</f>
        <v/>
      </c>
    </row>
    <row r="1549">
      <c r="A1549" s="1" t="n">
        <v>44251</v>
      </c>
      <c r="B1549" s="3">
        <f>IF(ORIG!B1549=0,"",ORIG!B1549)</f>
        <v/>
      </c>
      <c r="C1549" s="3">
        <f>IF(ORIG!C1549=0,"",ORIG!C1549)</f>
        <v/>
      </c>
      <c r="D1549" s="3">
        <f>IF(ORIG!D1549=0,"",ORIG!D1549)</f>
        <v/>
      </c>
      <c r="E1549" s="3">
        <f>IF(ORIG!E1549=0,"",ORIG!E1549)</f>
        <v/>
      </c>
      <c r="F1549" s="3">
        <f>IF(ORIG!F1549=0,"",ORIG!F1549)</f>
        <v/>
      </c>
      <c r="G1549" s="3">
        <f>IF(ORIG!G1549=0,"",ORIG!G1549)</f>
        <v/>
      </c>
      <c r="H1549" s="3">
        <f>IF(ORIG!H1549=0,"",ORIG!H1549)</f>
        <v/>
      </c>
      <c r="I1549" s="3">
        <f>IF(ORIG!I1549=0,"",ORIG!I1549)</f>
        <v/>
      </c>
      <c r="J1549" s="3">
        <f>IF(ORIG!J1549=0,"",ORIG!J1549)</f>
        <v/>
      </c>
      <c r="K1549" s="3">
        <f>IF(ORIG!K1549=0,"",ORIG!K1549)</f>
        <v/>
      </c>
      <c r="L1549" s="3">
        <f>IF(ORIG!L1549=0,"",ORIG!L1549)</f>
        <v/>
      </c>
      <c r="M1549" s="3">
        <f>IF(ORIG!M1549=0,"",ORIG!M1549)</f>
        <v/>
      </c>
      <c r="N1549" s="3">
        <f>IF(ORIG!N1549=0,"",ORIG!N1549)</f>
        <v/>
      </c>
      <c r="O1549" s="3">
        <f>IF(ORIG!O1549=0,"",ORIG!O1549)</f>
        <v/>
      </c>
      <c r="P1549" s="3">
        <f>IF(ORIG!P1549=0,"",ORIG!P1549)</f>
        <v/>
      </c>
      <c r="Q1549" s="3">
        <f>IF(ORIG!Q1549=0,"",ORIG!Q1549)</f>
        <v/>
      </c>
      <c r="R1549" s="3">
        <f>IF(ORIG!R1549=0,"",ORIG!R1549)</f>
        <v/>
      </c>
      <c r="S1549" s="3">
        <f>IF(ORIG!S1549=0,"",ORIG!S1549)</f>
        <v/>
      </c>
      <c r="T1549" s="3">
        <f>IF(ORIG!T1549=0,"",ORIG!T1549)</f>
        <v/>
      </c>
      <c r="U1549" s="3">
        <f>IF(ORIG!U1549=0,"",ORIG!U1549)</f>
        <v/>
      </c>
      <c r="V1549" s="9">
        <f>IF(ORIG!V1549=0,"",ORIG!V1549)</f>
        <v/>
      </c>
      <c r="W1549" s="9">
        <f>IF(ORIG!W1549=0,"",ORIG!W1549)</f>
        <v/>
      </c>
      <c r="X1549" s="9">
        <f>IF(ORIG!X1549=0,"",ORIG!X1549)</f>
        <v/>
      </c>
      <c r="Y1549" s="9">
        <f>IF(ORIG!Y1549=0,"",ORIG!Y1549)</f>
        <v/>
      </c>
      <c r="Z1549" s="3">
        <f>SUMPRODUCT($B1549:$Y1549,$B$2649:$Y$2649)</f>
        <v/>
      </c>
      <c r="AA1549" s="3">
        <f>SUMPRODUCT($B1549:$Y1549,$B$2655:$Y$2655)</f>
        <v/>
      </c>
      <c r="AC1549" s="1">
        <f>A1549</f>
        <v/>
      </c>
      <c r="AD1549">
        <f>IF(ISNUMBER(V1549),V1549*($AB$1/V$2635),"")</f>
        <v/>
      </c>
      <c r="AE1549">
        <f>IF(ISNUMBER(Z1549),Z1549*($AB$1/Z$2635),"")</f>
        <v/>
      </c>
      <c r="AF1549" s="25">
        <f>IF(ISNUMBER(AD1549+AE1549),AD1549+AE1549,"")</f>
        <v/>
      </c>
      <c r="AH1549" s="1">
        <f>A1549</f>
        <v/>
      </c>
      <c r="AI1549">
        <f>IF(ISNUMBER((1+V1549)*AI1548),(1+V1549)*AI1548,AI1548)</f>
        <v/>
      </c>
      <c r="AJ1549">
        <f>IF(ISNUMBER((1+Z1549)*AJ1548),(1+Z1549)*AJ1548,AJ1548)</f>
        <v/>
      </c>
    </row>
    <row r="1550">
      <c r="A1550" s="1" t="n">
        <v>44252</v>
      </c>
      <c r="B1550" s="3">
        <f>IF(ORIG!B1550=0,"",ORIG!B1550)</f>
        <v/>
      </c>
      <c r="C1550" s="3">
        <f>IF(ORIG!C1550=0,"",ORIG!C1550)</f>
        <v/>
      </c>
      <c r="D1550" s="3">
        <f>IF(ORIG!D1550=0,"",ORIG!D1550)</f>
        <v/>
      </c>
      <c r="E1550" s="3">
        <f>IF(ORIG!E1550=0,"",ORIG!E1550)</f>
        <v/>
      </c>
      <c r="F1550" s="3">
        <f>IF(ORIG!F1550=0,"",ORIG!F1550)</f>
        <v/>
      </c>
      <c r="G1550" s="3">
        <f>IF(ORIG!G1550=0,"",ORIG!G1550)</f>
        <v/>
      </c>
      <c r="H1550" s="3">
        <f>IF(ORIG!H1550=0,"",ORIG!H1550)</f>
        <v/>
      </c>
      <c r="I1550" s="3">
        <f>IF(ORIG!I1550=0,"",ORIG!I1550)</f>
        <v/>
      </c>
      <c r="J1550" s="3">
        <f>IF(ORIG!J1550=0,"",ORIG!J1550)</f>
        <v/>
      </c>
      <c r="K1550" s="3">
        <f>IF(ORIG!K1550=0,"",ORIG!K1550)</f>
        <v/>
      </c>
      <c r="L1550" s="3">
        <f>IF(ORIG!L1550=0,"",ORIG!L1550)</f>
        <v/>
      </c>
      <c r="M1550" s="3">
        <f>IF(ORIG!M1550=0,"",ORIG!M1550)</f>
        <v/>
      </c>
      <c r="N1550" s="3">
        <f>IF(ORIG!N1550=0,"",ORIG!N1550)</f>
        <v/>
      </c>
      <c r="O1550" s="3">
        <f>IF(ORIG!O1550=0,"",ORIG!O1550)</f>
        <v/>
      </c>
      <c r="P1550" s="3">
        <f>IF(ORIG!P1550=0,"",ORIG!P1550)</f>
        <v/>
      </c>
      <c r="Q1550" s="3">
        <f>IF(ORIG!Q1550=0,"",ORIG!Q1550)</f>
        <v/>
      </c>
      <c r="R1550" s="3">
        <f>IF(ORIG!R1550=0,"",ORIG!R1550)</f>
        <v/>
      </c>
      <c r="S1550" s="3">
        <f>IF(ORIG!S1550=0,"",ORIG!S1550)</f>
        <v/>
      </c>
      <c r="T1550" s="3">
        <f>IF(ORIG!T1550=0,"",ORIG!T1550)</f>
        <v/>
      </c>
      <c r="U1550" s="3">
        <f>IF(ORIG!U1550=0,"",ORIG!U1550)</f>
        <v/>
      </c>
      <c r="V1550" s="9">
        <f>IF(ORIG!V1550=0,"",ORIG!V1550)</f>
        <v/>
      </c>
      <c r="W1550" s="9">
        <f>IF(ORIG!W1550=0,"",ORIG!W1550)</f>
        <v/>
      </c>
      <c r="X1550" s="9">
        <f>IF(ORIG!X1550=0,"",ORIG!X1550)</f>
        <v/>
      </c>
      <c r="Y1550" s="9">
        <f>IF(ORIG!Y1550=0,"",ORIG!Y1550)</f>
        <v/>
      </c>
      <c r="Z1550" s="3">
        <f>SUMPRODUCT($B1550:$Y1550,$B$2649:$Y$2649)</f>
        <v/>
      </c>
      <c r="AA1550" s="3">
        <f>SUMPRODUCT($B1550:$Y1550,$B$2655:$Y$2655)</f>
        <v/>
      </c>
      <c r="AC1550" s="1">
        <f>A1550</f>
        <v/>
      </c>
      <c r="AD1550">
        <f>IF(ISNUMBER(V1550),V1550*($AB$1/V$2635),"")</f>
        <v/>
      </c>
      <c r="AE1550">
        <f>IF(ISNUMBER(Z1550),Z1550*($AB$1/Z$2635),"")</f>
        <v/>
      </c>
      <c r="AF1550" s="25">
        <f>IF(ISNUMBER(AD1550+AE1550),AD1550+AE1550,"")</f>
        <v/>
      </c>
      <c r="AH1550" s="1">
        <f>A1550</f>
        <v/>
      </c>
      <c r="AI1550">
        <f>IF(ISNUMBER((1+V1550)*AI1549),(1+V1550)*AI1549,AI1549)</f>
        <v/>
      </c>
      <c r="AJ1550">
        <f>IF(ISNUMBER((1+Z1550)*AJ1549),(1+Z1550)*AJ1549,AJ1549)</f>
        <v/>
      </c>
    </row>
    <row r="1551">
      <c r="A1551" s="1" t="n">
        <v>44253</v>
      </c>
      <c r="B1551" s="3">
        <f>IF(ORIG!B1551=0,"",ORIG!B1551)</f>
        <v/>
      </c>
      <c r="C1551" s="3">
        <f>IF(ORIG!C1551=0,"",ORIG!C1551)</f>
        <v/>
      </c>
      <c r="D1551" s="3">
        <f>IF(ORIG!D1551=0,"",ORIG!D1551)</f>
        <v/>
      </c>
      <c r="E1551" s="3">
        <f>IF(ORIG!E1551=0,"",ORIG!E1551)</f>
        <v/>
      </c>
      <c r="F1551" s="3">
        <f>IF(ORIG!F1551=0,"",ORIG!F1551)</f>
        <v/>
      </c>
      <c r="G1551" s="3">
        <f>IF(ORIG!G1551=0,"",ORIG!G1551)</f>
        <v/>
      </c>
      <c r="H1551" s="3">
        <f>IF(ORIG!H1551=0,"",ORIG!H1551)</f>
        <v/>
      </c>
      <c r="I1551" s="3">
        <f>IF(ORIG!I1551=0,"",ORIG!I1551)</f>
        <v/>
      </c>
      <c r="J1551" s="3">
        <f>IF(ORIG!J1551=0,"",ORIG!J1551)</f>
        <v/>
      </c>
      <c r="K1551" s="3">
        <f>IF(ORIG!K1551=0,"",ORIG!K1551)</f>
        <v/>
      </c>
      <c r="L1551" s="3">
        <f>IF(ORIG!L1551=0,"",ORIG!L1551)</f>
        <v/>
      </c>
      <c r="M1551" s="3">
        <f>IF(ORIG!M1551=0,"",ORIG!M1551)</f>
        <v/>
      </c>
      <c r="N1551" s="3">
        <f>IF(ORIG!N1551=0,"",ORIG!N1551)</f>
        <v/>
      </c>
      <c r="O1551" s="3">
        <f>IF(ORIG!O1551=0,"",ORIG!O1551)</f>
        <v/>
      </c>
      <c r="P1551" s="3">
        <f>IF(ORIG!P1551=0,"",ORIG!P1551)</f>
        <v/>
      </c>
      <c r="Q1551" s="3">
        <f>IF(ORIG!Q1551=0,"",ORIG!Q1551)</f>
        <v/>
      </c>
      <c r="R1551" s="3">
        <f>IF(ORIG!R1551=0,"",ORIG!R1551)</f>
        <v/>
      </c>
      <c r="S1551" s="3">
        <f>IF(ORIG!S1551=0,"",ORIG!S1551)</f>
        <v/>
      </c>
      <c r="T1551" s="3">
        <f>IF(ORIG!T1551=0,"",ORIG!T1551)</f>
        <v/>
      </c>
      <c r="U1551" s="3">
        <f>IF(ORIG!U1551=0,"",ORIG!U1551)</f>
        <v/>
      </c>
      <c r="V1551" s="9">
        <f>IF(ORIG!V1551=0,"",ORIG!V1551)</f>
        <v/>
      </c>
      <c r="W1551" s="9">
        <f>IF(ORIG!W1551=0,"",ORIG!W1551)</f>
        <v/>
      </c>
      <c r="X1551" s="9">
        <f>IF(ORIG!X1551=0,"",ORIG!X1551)</f>
        <v/>
      </c>
      <c r="Y1551" s="9">
        <f>IF(ORIG!Y1551=0,"",ORIG!Y1551)</f>
        <v/>
      </c>
      <c r="Z1551" s="3">
        <f>SUMPRODUCT($B1551:$Y1551,$B$2649:$Y$2649)</f>
        <v/>
      </c>
      <c r="AA1551" s="3">
        <f>SUMPRODUCT($B1551:$Y1551,$B$2655:$Y$2655)</f>
        <v/>
      </c>
      <c r="AC1551" s="1">
        <f>A1551</f>
        <v/>
      </c>
      <c r="AD1551">
        <f>IF(ISNUMBER(V1551),V1551*($AB$1/V$2635),"")</f>
        <v/>
      </c>
      <c r="AE1551">
        <f>IF(ISNUMBER(Z1551),Z1551*($AB$1/Z$2635),"")</f>
        <v/>
      </c>
      <c r="AF1551" s="25">
        <f>IF(ISNUMBER(AD1551+AE1551),AD1551+AE1551,"")</f>
        <v/>
      </c>
      <c r="AH1551" s="1">
        <f>A1551</f>
        <v/>
      </c>
      <c r="AI1551">
        <f>IF(ISNUMBER((1+V1551)*AI1550),(1+V1551)*AI1550,AI1550)</f>
        <v/>
      </c>
      <c r="AJ1551">
        <f>IF(ISNUMBER((1+Z1551)*AJ1550),(1+Z1551)*AJ1550,AJ1550)</f>
        <v/>
      </c>
    </row>
    <row r="1552">
      <c r="A1552" s="1" t="n">
        <v>44256</v>
      </c>
      <c r="B1552" s="3">
        <f>IF(ORIG!B1552=0,"",ORIG!B1552)</f>
        <v/>
      </c>
      <c r="C1552" s="3">
        <f>IF(ORIG!C1552=0,"",ORIG!C1552)</f>
        <v/>
      </c>
      <c r="D1552" s="3">
        <f>IF(ORIG!D1552=0,"",ORIG!D1552)</f>
        <v/>
      </c>
      <c r="E1552" s="3">
        <f>IF(ORIG!E1552=0,"",ORIG!E1552)</f>
        <v/>
      </c>
      <c r="F1552" s="3">
        <f>IF(ORIG!F1552=0,"",ORIG!F1552)</f>
        <v/>
      </c>
      <c r="G1552" s="3">
        <f>IF(ORIG!G1552=0,"",ORIG!G1552)</f>
        <v/>
      </c>
      <c r="H1552" s="3">
        <f>IF(ORIG!H1552=0,"",ORIG!H1552)</f>
        <v/>
      </c>
      <c r="I1552" s="3">
        <f>IF(ORIG!I1552=0,"",ORIG!I1552)</f>
        <v/>
      </c>
      <c r="J1552" s="3">
        <f>IF(ORIG!J1552=0,"",ORIG!J1552)</f>
        <v/>
      </c>
      <c r="K1552" s="3">
        <f>IF(ORIG!K1552=0,"",ORIG!K1552)</f>
        <v/>
      </c>
      <c r="L1552" s="3">
        <f>IF(ORIG!L1552=0,"",ORIG!L1552)</f>
        <v/>
      </c>
      <c r="M1552" s="3">
        <f>IF(ORIG!M1552=0,"",ORIG!M1552)</f>
        <v/>
      </c>
      <c r="N1552" s="3">
        <f>IF(ORIG!N1552=0,"",ORIG!N1552)</f>
        <v/>
      </c>
      <c r="O1552" s="3">
        <f>IF(ORIG!O1552=0,"",ORIG!O1552)</f>
        <v/>
      </c>
      <c r="P1552" s="3">
        <f>IF(ORIG!P1552=0,"",ORIG!P1552)</f>
        <v/>
      </c>
      <c r="Q1552" s="3">
        <f>IF(ORIG!Q1552=0,"",ORIG!Q1552)</f>
        <v/>
      </c>
      <c r="R1552" s="3">
        <f>IF(ORIG!R1552=0,"",ORIG!R1552)</f>
        <v/>
      </c>
      <c r="S1552" s="3">
        <f>IF(ORIG!S1552=0,"",ORIG!S1552)</f>
        <v/>
      </c>
      <c r="T1552" s="3">
        <f>IF(ORIG!T1552=0,"",ORIG!T1552)</f>
        <v/>
      </c>
      <c r="U1552" s="3">
        <f>IF(ORIG!U1552=0,"",ORIG!U1552)</f>
        <v/>
      </c>
      <c r="V1552" s="9">
        <f>IF(ORIG!V1552=0,"",ORIG!V1552)</f>
        <v/>
      </c>
      <c r="W1552" s="9">
        <f>IF(ORIG!W1552=0,"",ORIG!W1552)</f>
        <v/>
      </c>
      <c r="X1552" s="9">
        <f>IF(ORIG!X1552=0,"",ORIG!X1552)</f>
        <v/>
      </c>
      <c r="Y1552" s="9">
        <f>IF(ORIG!Y1552=0,"",ORIG!Y1552)</f>
        <v/>
      </c>
      <c r="Z1552" s="3">
        <f>SUMPRODUCT($B1552:$Y1552,$B$2649:$Y$2649)</f>
        <v/>
      </c>
      <c r="AA1552" s="3">
        <f>SUMPRODUCT($B1552:$Y1552,$B$2655:$Y$2655)</f>
        <v/>
      </c>
      <c r="AC1552" s="1">
        <f>A1552</f>
        <v/>
      </c>
      <c r="AD1552">
        <f>IF(ISNUMBER(V1552),V1552*($AB$1/V$2635),"")</f>
        <v/>
      </c>
      <c r="AE1552">
        <f>IF(ISNUMBER(Z1552),Z1552*($AB$1/Z$2635),"")</f>
        <v/>
      </c>
      <c r="AF1552" s="25">
        <f>IF(ISNUMBER(AD1552+AE1552),AD1552+AE1552,"")</f>
        <v/>
      </c>
      <c r="AH1552" s="1">
        <f>A1552</f>
        <v/>
      </c>
      <c r="AI1552">
        <f>IF(ISNUMBER((1+V1552)*AI1551),(1+V1552)*AI1551,AI1551)</f>
        <v/>
      </c>
      <c r="AJ1552">
        <f>IF(ISNUMBER((1+Z1552)*AJ1551),(1+Z1552)*AJ1551,AJ1551)</f>
        <v/>
      </c>
    </row>
    <row r="1553">
      <c r="A1553" s="1" t="n">
        <v>44257</v>
      </c>
      <c r="B1553" s="3">
        <f>IF(ORIG!B1553=0,"",ORIG!B1553)</f>
        <v/>
      </c>
      <c r="C1553" s="3">
        <f>IF(ORIG!C1553=0,"",ORIG!C1553)</f>
        <v/>
      </c>
      <c r="D1553" s="3">
        <f>IF(ORIG!D1553=0,"",ORIG!D1553)</f>
        <v/>
      </c>
      <c r="E1553" s="3">
        <f>IF(ORIG!E1553=0,"",ORIG!E1553)</f>
        <v/>
      </c>
      <c r="F1553" s="3">
        <f>IF(ORIG!F1553=0,"",ORIG!F1553)</f>
        <v/>
      </c>
      <c r="G1553" s="3">
        <f>IF(ORIG!G1553=0,"",ORIG!G1553)</f>
        <v/>
      </c>
      <c r="H1553" s="3">
        <f>IF(ORIG!H1553=0,"",ORIG!H1553)</f>
        <v/>
      </c>
      <c r="I1553" s="3">
        <f>IF(ORIG!I1553=0,"",ORIG!I1553)</f>
        <v/>
      </c>
      <c r="J1553" s="3">
        <f>IF(ORIG!J1553=0,"",ORIG!J1553)</f>
        <v/>
      </c>
      <c r="K1553" s="3">
        <f>IF(ORIG!K1553=0,"",ORIG!K1553)</f>
        <v/>
      </c>
      <c r="L1553" s="3">
        <f>IF(ORIG!L1553=0,"",ORIG!L1553)</f>
        <v/>
      </c>
      <c r="M1553" s="3">
        <f>IF(ORIG!M1553=0,"",ORIG!M1553)</f>
        <v/>
      </c>
      <c r="N1553" s="3">
        <f>IF(ORIG!N1553=0,"",ORIG!N1553)</f>
        <v/>
      </c>
      <c r="O1553" s="3">
        <f>IF(ORIG!O1553=0,"",ORIG!O1553)</f>
        <v/>
      </c>
      <c r="P1553" s="3">
        <f>IF(ORIG!P1553=0,"",ORIG!P1553)</f>
        <v/>
      </c>
      <c r="Q1553" s="3">
        <f>IF(ORIG!Q1553=0,"",ORIG!Q1553)</f>
        <v/>
      </c>
      <c r="R1553" s="3">
        <f>IF(ORIG!R1553=0,"",ORIG!R1553)</f>
        <v/>
      </c>
      <c r="S1553" s="3">
        <f>IF(ORIG!S1553=0,"",ORIG!S1553)</f>
        <v/>
      </c>
      <c r="T1553" s="3">
        <f>IF(ORIG!T1553=0,"",ORIG!T1553)</f>
        <v/>
      </c>
      <c r="U1553" s="3">
        <f>IF(ORIG!U1553=0,"",ORIG!U1553)</f>
        <v/>
      </c>
      <c r="V1553" s="9">
        <f>IF(ORIG!V1553=0,"",ORIG!V1553)</f>
        <v/>
      </c>
      <c r="W1553" s="9">
        <f>IF(ORIG!W1553=0,"",ORIG!W1553)</f>
        <v/>
      </c>
      <c r="X1553" s="9">
        <f>IF(ORIG!X1553=0,"",ORIG!X1553)</f>
        <v/>
      </c>
      <c r="Y1553" s="9">
        <f>IF(ORIG!Y1553=0,"",ORIG!Y1553)</f>
        <v/>
      </c>
      <c r="Z1553" s="3">
        <f>SUMPRODUCT($B1553:$Y1553,$B$2649:$Y$2649)</f>
        <v/>
      </c>
      <c r="AA1553" s="3">
        <f>SUMPRODUCT($B1553:$Y1553,$B$2655:$Y$2655)</f>
        <v/>
      </c>
      <c r="AC1553" s="1">
        <f>A1553</f>
        <v/>
      </c>
      <c r="AD1553">
        <f>IF(ISNUMBER(V1553),V1553*($AB$1/V$2635),"")</f>
        <v/>
      </c>
      <c r="AE1553">
        <f>IF(ISNUMBER(Z1553),Z1553*($AB$1/Z$2635),"")</f>
        <v/>
      </c>
      <c r="AF1553" s="25">
        <f>IF(ISNUMBER(AD1553+AE1553),AD1553+AE1553,"")</f>
        <v/>
      </c>
      <c r="AH1553" s="1">
        <f>A1553</f>
        <v/>
      </c>
      <c r="AI1553">
        <f>IF(ISNUMBER((1+V1553)*AI1552),(1+V1553)*AI1552,AI1552)</f>
        <v/>
      </c>
      <c r="AJ1553">
        <f>IF(ISNUMBER((1+Z1553)*AJ1552),(1+Z1553)*AJ1552,AJ1552)</f>
        <v/>
      </c>
    </row>
    <row r="1554">
      <c r="A1554" s="1" t="n">
        <v>44258</v>
      </c>
      <c r="B1554" s="3">
        <f>IF(ORIG!B1554=0,"",ORIG!B1554)</f>
        <v/>
      </c>
      <c r="C1554" s="3">
        <f>IF(ORIG!C1554=0,"",ORIG!C1554)</f>
        <v/>
      </c>
      <c r="D1554" s="3">
        <f>IF(ORIG!D1554=0,"",ORIG!D1554)</f>
        <v/>
      </c>
      <c r="E1554" s="3">
        <f>IF(ORIG!E1554=0,"",ORIG!E1554)</f>
        <v/>
      </c>
      <c r="F1554" s="3">
        <f>IF(ORIG!F1554=0,"",ORIG!F1554)</f>
        <v/>
      </c>
      <c r="G1554" s="3">
        <f>IF(ORIG!G1554=0,"",ORIG!G1554)</f>
        <v/>
      </c>
      <c r="H1554" s="3">
        <f>IF(ORIG!H1554=0,"",ORIG!H1554)</f>
        <v/>
      </c>
      <c r="I1554" s="3">
        <f>IF(ORIG!I1554=0,"",ORIG!I1554)</f>
        <v/>
      </c>
      <c r="J1554" s="3">
        <f>IF(ORIG!J1554=0,"",ORIG!J1554)</f>
        <v/>
      </c>
      <c r="K1554" s="3">
        <f>IF(ORIG!K1554=0,"",ORIG!K1554)</f>
        <v/>
      </c>
      <c r="L1554" s="3">
        <f>IF(ORIG!L1554=0,"",ORIG!L1554)</f>
        <v/>
      </c>
      <c r="M1554" s="3">
        <f>IF(ORIG!M1554=0,"",ORIG!M1554)</f>
        <v/>
      </c>
      <c r="N1554" s="3">
        <f>IF(ORIG!N1554=0,"",ORIG!N1554)</f>
        <v/>
      </c>
      <c r="O1554" s="3">
        <f>IF(ORIG!O1554=0,"",ORIG!O1554)</f>
        <v/>
      </c>
      <c r="P1554" s="3">
        <f>IF(ORIG!P1554=0,"",ORIG!P1554)</f>
        <v/>
      </c>
      <c r="Q1554" s="3">
        <f>IF(ORIG!Q1554=0,"",ORIG!Q1554)</f>
        <v/>
      </c>
      <c r="R1554" s="3">
        <f>IF(ORIG!R1554=0,"",ORIG!R1554)</f>
        <v/>
      </c>
      <c r="S1554" s="3">
        <f>IF(ORIG!S1554=0,"",ORIG!S1554)</f>
        <v/>
      </c>
      <c r="T1554" s="3">
        <f>IF(ORIG!T1554=0,"",ORIG!T1554)</f>
        <v/>
      </c>
      <c r="U1554" s="3">
        <f>IF(ORIG!U1554=0,"",ORIG!U1554)</f>
        <v/>
      </c>
      <c r="V1554" s="9">
        <f>IF(ORIG!V1554=0,"",ORIG!V1554)</f>
        <v/>
      </c>
      <c r="W1554" s="9">
        <f>IF(ORIG!W1554=0,"",ORIG!W1554)</f>
        <v/>
      </c>
      <c r="X1554" s="9">
        <f>IF(ORIG!X1554=0,"",ORIG!X1554)</f>
        <v/>
      </c>
      <c r="Y1554" s="9">
        <f>IF(ORIG!Y1554=0,"",ORIG!Y1554)</f>
        <v/>
      </c>
      <c r="Z1554" s="3">
        <f>SUMPRODUCT($B1554:$Y1554,$B$2649:$Y$2649)</f>
        <v/>
      </c>
      <c r="AA1554" s="3">
        <f>SUMPRODUCT($B1554:$Y1554,$B$2655:$Y$2655)</f>
        <v/>
      </c>
      <c r="AC1554" s="1">
        <f>A1554</f>
        <v/>
      </c>
      <c r="AD1554">
        <f>IF(ISNUMBER(V1554),V1554*($AB$1/V$2635),"")</f>
        <v/>
      </c>
      <c r="AE1554">
        <f>IF(ISNUMBER(Z1554),Z1554*($AB$1/Z$2635),"")</f>
        <v/>
      </c>
      <c r="AF1554" s="25">
        <f>IF(ISNUMBER(AD1554+AE1554),AD1554+AE1554,"")</f>
        <v/>
      </c>
      <c r="AH1554" s="1">
        <f>A1554</f>
        <v/>
      </c>
      <c r="AI1554">
        <f>IF(ISNUMBER((1+V1554)*AI1553),(1+V1554)*AI1553,AI1553)</f>
        <v/>
      </c>
      <c r="AJ1554">
        <f>IF(ISNUMBER((1+Z1554)*AJ1553),(1+Z1554)*AJ1553,AJ1553)</f>
        <v/>
      </c>
    </row>
    <row r="1555">
      <c r="A1555" s="1" t="n">
        <v>44259</v>
      </c>
      <c r="B1555" s="3">
        <f>IF(ORIG!B1555=0,"",ORIG!B1555)</f>
        <v/>
      </c>
      <c r="C1555" s="3">
        <f>IF(ORIG!C1555=0,"",ORIG!C1555)</f>
        <v/>
      </c>
      <c r="D1555" s="3">
        <f>IF(ORIG!D1555=0,"",ORIG!D1555)</f>
        <v/>
      </c>
      <c r="E1555" s="3">
        <f>IF(ORIG!E1555=0,"",ORIG!E1555)</f>
        <v/>
      </c>
      <c r="F1555" s="3">
        <f>IF(ORIG!F1555=0,"",ORIG!F1555)</f>
        <v/>
      </c>
      <c r="G1555" s="3">
        <f>IF(ORIG!G1555=0,"",ORIG!G1555)</f>
        <v/>
      </c>
      <c r="H1555" s="3">
        <f>IF(ORIG!H1555=0,"",ORIG!H1555)</f>
        <v/>
      </c>
      <c r="I1555" s="3">
        <f>IF(ORIG!I1555=0,"",ORIG!I1555)</f>
        <v/>
      </c>
      <c r="J1555" s="3">
        <f>IF(ORIG!J1555=0,"",ORIG!J1555)</f>
        <v/>
      </c>
      <c r="K1555" s="3">
        <f>IF(ORIG!K1555=0,"",ORIG!K1555)</f>
        <v/>
      </c>
      <c r="L1555" s="3">
        <f>IF(ORIG!L1555=0,"",ORIG!L1555)</f>
        <v/>
      </c>
      <c r="M1555" s="3">
        <f>IF(ORIG!M1555=0,"",ORIG!M1555)</f>
        <v/>
      </c>
      <c r="N1555" s="3">
        <f>IF(ORIG!N1555=0,"",ORIG!N1555)</f>
        <v/>
      </c>
      <c r="O1555" s="3">
        <f>IF(ORIG!O1555=0,"",ORIG!O1555)</f>
        <v/>
      </c>
      <c r="P1555" s="3">
        <f>IF(ORIG!P1555=0,"",ORIG!P1555)</f>
        <v/>
      </c>
      <c r="Q1555" s="3">
        <f>IF(ORIG!Q1555=0,"",ORIG!Q1555)</f>
        <v/>
      </c>
      <c r="R1555" s="3">
        <f>IF(ORIG!R1555=0,"",ORIG!R1555)</f>
        <v/>
      </c>
      <c r="S1555" s="3">
        <f>IF(ORIG!S1555=0,"",ORIG!S1555)</f>
        <v/>
      </c>
      <c r="T1555" s="3">
        <f>IF(ORIG!T1555=0,"",ORIG!T1555)</f>
        <v/>
      </c>
      <c r="U1555" s="3">
        <f>IF(ORIG!U1555=0,"",ORIG!U1555)</f>
        <v/>
      </c>
      <c r="V1555" s="9">
        <f>IF(ORIG!V1555=0,"",ORIG!V1555)</f>
        <v/>
      </c>
      <c r="W1555" s="9">
        <f>IF(ORIG!W1555=0,"",ORIG!W1555)</f>
        <v/>
      </c>
      <c r="X1555" s="9">
        <f>IF(ORIG!X1555=0,"",ORIG!X1555)</f>
        <v/>
      </c>
      <c r="Y1555" s="9">
        <f>IF(ORIG!Y1555=0,"",ORIG!Y1555)</f>
        <v/>
      </c>
      <c r="Z1555" s="3">
        <f>SUMPRODUCT($B1555:$Y1555,$B$2649:$Y$2649)</f>
        <v/>
      </c>
      <c r="AA1555" s="3">
        <f>SUMPRODUCT($B1555:$Y1555,$B$2655:$Y$2655)</f>
        <v/>
      </c>
      <c r="AC1555" s="1">
        <f>A1555</f>
        <v/>
      </c>
      <c r="AD1555">
        <f>IF(ISNUMBER(V1555),V1555*($AB$1/V$2635),"")</f>
        <v/>
      </c>
      <c r="AE1555">
        <f>IF(ISNUMBER(Z1555),Z1555*($AB$1/Z$2635),"")</f>
        <v/>
      </c>
      <c r="AF1555" s="25">
        <f>IF(ISNUMBER(AD1555+AE1555),AD1555+AE1555,"")</f>
        <v/>
      </c>
      <c r="AH1555" s="1">
        <f>A1555</f>
        <v/>
      </c>
      <c r="AI1555">
        <f>IF(ISNUMBER((1+V1555)*AI1554),(1+V1555)*AI1554,AI1554)</f>
        <v/>
      </c>
      <c r="AJ1555">
        <f>IF(ISNUMBER((1+Z1555)*AJ1554),(1+Z1555)*AJ1554,AJ1554)</f>
        <v/>
      </c>
    </row>
    <row r="1556">
      <c r="A1556" s="1" t="n">
        <v>44260</v>
      </c>
      <c r="B1556" s="3">
        <f>IF(ORIG!B1556=0,"",ORIG!B1556)</f>
        <v/>
      </c>
      <c r="C1556" s="3">
        <f>IF(ORIG!C1556=0,"",ORIG!C1556)</f>
        <v/>
      </c>
      <c r="D1556" s="3">
        <f>IF(ORIG!D1556=0,"",ORIG!D1556)</f>
        <v/>
      </c>
      <c r="E1556" s="3">
        <f>IF(ORIG!E1556=0,"",ORIG!E1556)</f>
        <v/>
      </c>
      <c r="F1556" s="3">
        <f>IF(ORIG!F1556=0,"",ORIG!F1556)</f>
        <v/>
      </c>
      <c r="G1556" s="3">
        <f>IF(ORIG!G1556=0,"",ORIG!G1556)</f>
        <v/>
      </c>
      <c r="H1556" s="3">
        <f>IF(ORIG!H1556=0,"",ORIG!H1556)</f>
        <v/>
      </c>
      <c r="I1556" s="3">
        <f>IF(ORIG!I1556=0,"",ORIG!I1556)</f>
        <v/>
      </c>
      <c r="J1556" s="3">
        <f>IF(ORIG!J1556=0,"",ORIG!J1556)</f>
        <v/>
      </c>
      <c r="K1556" s="3">
        <f>IF(ORIG!K1556=0,"",ORIG!K1556)</f>
        <v/>
      </c>
      <c r="L1556" s="3">
        <f>IF(ORIG!L1556=0,"",ORIG!L1556)</f>
        <v/>
      </c>
      <c r="M1556" s="3">
        <f>IF(ORIG!M1556=0,"",ORIG!M1556)</f>
        <v/>
      </c>
      <c r="N1556" s="3">
        <f>IF(ORIG!N1556=0,"",ORIG!N1556)</f>
        <v/>
      </c>
      <c r="O1556" s="3">
        <f>IF(ORIG!O1556=0,"",ORIG!O1556)</f>
        <v/>
      </c>
      <c r="P1556" s="3">
        <f>IF(ORIG!P1556=0,"",ORIG!P1556)</f>
        <v/>
      </c>
      <c r="Q1556" s="3">
        <f>IF(ORIG!Q1556=0,"",ORIG!Q1556)</f>
        <v/>
      </c>
      <c r="R1556" s="3">
        <f>IF(ORIG!R1556=0,"",ORIG!R1556)</f>
        <v/>
      </c>
      <c r="S1556" s="3">
        <f>IF(ORIG!S1556=0,"",ORIG!S1556)</f>
        <v/>
      </c>
      <c r="T1556" s="3">
        <f>IF(ORIG!T1556=0,"",ORIG!T1556)</f>
        <v/>
      </c>
      <c r="U1556" s="3">
        <f>IF(ORIG!U1556=0,"",ORIG!U1556)</f>
        <v/>
      </c>
      <c r="V1556" s="9">
        <f>IF(ORIG!V1556=0,"",ORIG!V1556)</f>
        <v/>
      </c>
      <c r="W1556" s="9">
        <f>IF(ORIG!W1556=0,"",ORIG!W1556)</f>
        <v/>
      </c>
      <c r="X1556" s="9">
        <f>IF(ORIG!X1556=0,"",ORIG!X1556)</f>
        <v/>
      </c>
      <c r="Y1556" s="9">
        <f>IF(ORIG!Y1556=0,"",ORIG!Y1556)</f>
        <v/>
      </c>
      <c r="Z1556" s="3">
        <f>SUMPRODUCT($B1556:$Y1556,$B$2649:$Y$2649)</f>
        <v/>
      </c>
      <c r="AA1556" s="3">
        <f>SUMPRODUCT($B1556:$Y1556,$B$2655:$Y$2655)</f>
        <v/>
      </c>
      <c r="AC1556" s="1">
        <f>A1556</f>
        <v/>
      </c>
      <c r="AD1556">
        <f>IF(ISNUMBER(V1556),V1556*($AB$1/V$2635),"")</f>
        <v/>
      </c>
      <c r="AE1556">
        <f>IF(ISNUMBER(Z1556),Z1556*($AB$1/Z$2635),"")</f>
        <v/>
      </c>
      <c r="AF1556" s="25">
        <f>IF(ISNUMBER(AD1556+AE1556),AD1556+AE1556,"")</f>
        <v/>
      </c>
      <c r="AH1556" s="1">
        <f>A1556</f>
        <v/>
      </c>
      <c r="AI1556">
        <f>IF(ISNUMBER((1+V1556)*AI1555),(1+V1556)*AI1555,AI1555)</f>
        <v/>
      </c>
      <c r="AJ1556">
        <f>IF(ISNUMBER((1+Z1556)*AJ1555),(1+Z1556)*AJ1555,AJ1555)</f>
        <v/>
      </c>
    </row>
    <row r="1557">
      <c r="A1557" s="1" t="n">
        <v>44263</v>
      </c>
      <c r="B1557" s="3">
        <f>IF(ORIG!B1557=0,"",ORIG!B1557)</f>
        <v/>
      </c>
      <c r="C1557" s="3">
        <f>IF(ORIG!C1557=0,"",ORIG!C1557)</f>
        <v/>
      </c>
      <c r="D1557" s="3">
        <f>IF(ORIG!D1557=0,"",ORIG!D1557)</f>
        <v/>
      </c>
      <c r="E1557" s="3">
        <f>IF(ORIG!E1557=0,"",ORIG!E1557)</f>
        <v/>
      </c>
      <c r="F1557" s="3">
        <f>IF(ORIG!F1557=0,"",ORIG!F1557)</f>
        <v/>
      </c>
      <c r="G1557" s="3">
        <f>IF(ORIG!G1557=0,"",ORIG!G1557)</f>
        <v/>
      </c>
      <c r="H1557" s="3">
        <f>IF(ORIG!H1557=0,"",ORIG!H1557)</f>
        <v/>
      </c>
      <c r="I1557" s="3">
        <f>IF(ORIG!I1557=0,"",ORIG!I1557)</f>
        <v/>
      </c>
      <c r="J1557" s="3">
        <f>IF(ORIG!J1557=0,"",ORIG!J1557)</f>
        <v/>
      </c>
      <c r="K1557" s="3">
        <f>IF(ORIG!K1557=0,"",ORIG!K1557)</f>
        <v/>
      </c>
      <c r="L1557" s="3">
        <f>IF(ORIG!L1557=0,"",ORIG!L1557)</f>
        <v/>
      </c>
      <c r="M1557" s="3">
        <f>IF(ORIG!M1557=0,"",ORIG!M1557)</f>
        <v/>
      </c>
      <c r="N1557" s="3">
        <f>IF(ORIG!N1557=0,"",ORIG!N1557)</f>
        <v/>
      </c>
      <c r="O1557" s="3">
        <f>IF(ORIG!O1557=0,"",ORIG!O1557)</f>
        <v/>
      </c>
      <c r="P1557" s="3">
        <f>IF(ORIG!P1557=0,"",ORIG!P1557)</f>
        <v/>
      </c>
      <c r="Q1557" s="3">
        <f>IF(ORIG!Q1557=0,"",ORIG!Q1557)</f>
        <v/>
      </c>
      <c r="R1557" s="3">
        <f>IF(ORIG!R1557=0,"",ORIG!R1557)</f>
        <v/>
      </c>
      <c r="S1557" s="3">
        <f>IF(ORIG!S1557=0,"",ORIG!S1557)</f>
        <v/>
      </c>
      <c r="T1557" s="3">
        <f>IF(ORIG!T1557=0,"",ORIG!T1557)</f>
        <v/>
      </c>
      <c r="U1557" s="3">
        <f>IF(ORIG!U1557=0,"",ORIG!U1557)</f>
        <v/>
      </c>
      <c r="V1557" s="9">
        <f>IF(ORIG!V1557=0,"",ORIG!V1557)</f>
        <v/>
      </c>
      <c r="W1557" s="9">
        <f>IF(ORIG!W1557=0,"",ORIG!W1557)</f>
        <v/>
      </c>
      <c r="X1557" s="9">
        <f>IF(ORIG!X1557=0,"",ORIG!X1557)</f>
        <v/>
      </c>
      <c r="Y1557" s="9">
        <f>IF(ORIG!Y1557=0,"",ORIG!Y1557)</f>
        <v/>
      </c>
      <c r="Z1557" s="3">
        <f>SUMPRODUCT($B1557:$Y1557,$B$2649:$Y$2649)</f>
        <v/>
      </c>
      <c r="AA1557" s="3">
        <f>SUMPRODUCT($B1557:$Y1557,$B$2655:$Y$2655)</f>
        <v/>
      </c>
      <c r="AC1557" s="1">
        <f>A1557</f>
        <v/>
      </c>
      <c r="AD1557">
        <f>IF(ISNUMBER(V1557),V1557*($AB$1/V$2635),"")</f>
        <v/>
      </c>
      <c r="AE1557">
        <f>IF(ISNUMBER(Z1557),Z1557*($AB$1/Z$2635),"")</f>
        <v/>
      </c>
      <c r="AF1557" s="25">
        <f>IF(ISNUMBER(AD1557+AE1557),AD1557+AE1557,"")</f>
        <v/>
      </c>
      <c r="AH1557" s="1">
        <f>A1557</f>
        <v/>
      </c>
      <c r="AI1557">
        <f>IF(ISNUMBER((1+V1557)*AI1556),(1+V1557)*AI1556,AI1556)</f>
        <v/>
      </c>
      <c r="AJ1557">
        <f>IF(ISNUMBER((1+Z1557)*AJ1556),(1+Z1557)*AJ1556,AJ1556)</f>
        <v/>
      </c>
    </row>
    <row r="1558">
      <c r="A1558" s="1" t="n">
        <v>44264</v>
      </c>
      <c r="B1558" s="3">
        <f>IF(ORIG!B1558=0,"",ORIG!B1558)</f>
        <v/>
      </c>
      <c r="C1558" s="3">
        <f>IF(ORIG!C1558=0,"",ORIG!C1558)</f>
        <v/>
      </c>
      <c r="D1558" s="3">
        <f>IF(ORIG!D1558=0,"",ORIG!D1558)</f>
        <v/>
      </c>
      <c r="E1558" s="3">
        <f>IF(ORIG!E1558=0,"",ORIG!E1558)</f>
        <v/>
      </c>
      <c r="F1558" s="3">
        <f>IF(ORIG!F1558=0,"",ORIG!F1558)</f>
        <v/>
      </c>
      <c r="G1558" s="3">
        <f>IF(ORIG!G1558=0,"",ORIG!G1558)</f>
        <v/>
      </c>
      <c r="H1558" s="3">
        <f>IF(ORIG!H1558=0,"",ORIG!H1558)</f>
        <v/>
      </c>
      <c r="I1558" s="3">
        <f>IF(ORIG!I1558=0,"",ORIG!I1558)</f>
        <v/>
      </c>
      <c r="J1558" s="3">
        <f>IF(ORIG!J1558=0,"",ORIG!J1558)</f>
        <v/>
      </c>
      <c r="K1558" s="3">
        <f>IF(ORIG!K1558=0,"",ORIG!K1558)</f>
        <v/>
      </c>
      <c r="L1558" s="3">
        <f>IF(ORIG!L1558=0,"",ORIG!L1558)</f>
        <v/>
      </c>
      <c r="M1558" s="3">
        <f>IF(ORIG!M1558=0,"",ORIG!M1558)</f>
        <v/>
      </c>
      <c r="N1558" s="3">
        <f>IF(ORIG!N1558=0,"",ORIG!N1558)</f>
        <v/>
      </c>
      <c r="O1558" s="3">
        <f>IF(ORIG!O1558=0,"",ORIG!O1558)</f>
        <v/>
      </c>
      <c r="P1558" s="3">
        <f>IF(ORIG!P1558=0,"",ORIG!P1558)</f>
        <v/>
      </c>
      <c r="Q1558" s="3">
        <f>IF(ORIG!Q1558=0,"",ORIG!Q1558)</f>
        <v/>
      </c>
      <c r="R1558" s="3">
        <f>IF(ORIG!R1558=0,"",ORIG!R1558)</f>
        <v/>
      </c>
      <c r="S1558" s="3">
        <f>IF(ORIG!S1558=0,"",ORIG!S1558)</f>
        <v/>
      </c>
      <c r="T1558" s="3">
        <f>IF(ORIG!T1558=0,"",ORIG!T1558)</f>
        <v/>
      </c>
      <c r="U1558" s="3">
        <f>IF(ORIG!U1558=0,"",ORIG!U1558)</f>
        <v/>
      </c>
      <c r="V1558" s="9">
        <f>IF(ORIG!V1558=0,"",ORIG!V1558)</f>
        <v/>
      </c>
      <c r="W1558" s="9">
        <f>IF(ORIG!W1558=0,"",ORIG!W1558)</f>
        <v/>
      </c>
      <c r="X1558" s="9">
        <f>IF(ORIG!X1558=0,"",ORIG!X1558)</f>
        <v/>
      </c>
      <c r="Y1558" s="9">
        <f>IF(ORIG!Y1558=0,"",ORIG!Y1558)</f>
        <v/>
      </c>
      <c r="Z1558" s="3">
        <f>SUMPRODUCT($B1558:$Y1558,$B$2649:$Y$2649)</f>
        <v/>
      </c>
      <c r="AA1558" s="3">
        <f>SUMPRODUCT($B1558:$Y1558,$B$2655:$Y$2655)</f>
        <v/>
      </c>
      <c r="AC1558" s="1">
        <f>A1558</f>
        <v/>
      </c>
      <c r="AD1558">
        <f>IF(ISNUMBER(V1558),V1558*($AB$1/V$2635),"")</f>
        <v/>
      </c>
      <c r="AE1558">
        <f>IF(ISNUMBER(Z1558),Z1558*($AB$1/Z$2635),"")</f>
        <v/>
      </c>
      <c r="AF1558" s="25">
        <f>IF(ISNUMBER(AD1558+AE1558),AD1558+AE1558,"")</f>
        <v/>
      </c>
      <c r="AH1558" s="1">
        <f>A1558</f>
        <v/>
      </c>
      <c r="AI1558">
        <f>IF(ISNUMBER((1+V1558)*AI1557),(1+V1558)*AI1557,AI1557)</f>
        <v/>
      </c>
      <c r="AJ1558">
        <f>IF(ISNUMBER((1+Z1558)*AJ1557),(1+Z1558)*AJ1557,AJ1557)</f>
        <v/>
      </c>
    </row>
    <row r="1559">
      <c r="A1559" s="1" t="n">
        <v>44265</v>
      </c>
      <c r="B1559" s="3">
        <f>IF(ORIG!B1559=0,"",ORIG!B1559)</f>
        <v/>
      </c>
      <c r="C1559" s="3">
        <f>IF(ORIG!C1559=0,"",ORIG!C1559)</f>
        <v/>
      </c>
      <c r="D1559" s="3">
        <f>IF(ORIG!D1559=0,"",ORIG!D1559)</f>
        <v/>
      </c>
      <c r="E1559" s="3">
        <f>IF(ORIG!E1559=0,"",ORIG!E1559)</f>
        <v/>
      </c>
      <c r="F1559" s="3">
        <f>IF(ORIG!F1559=0,"",ORIG!F1559)</f>
        <v/>
      </c>
      <c r="G1559" s="3">
        <f>IF(ORIG!G1559=0,"",ORIG!G1559)</f>
        <v/>
      </c>
      <c r="H1559" s="3">
        <f>IF(ORIG!H1559=0,"",ORIG!H1559)</f>
        <v/>
      </c>
      <c r="I1559" s="3">
        <f>IF(ORIG!I1559=0,"",ORIG!I1559)</f>
        <v/>
      </c>
      <c r="J1559" s="3">
        <f>IF(ORIG!J1559=0,"",ORIG!J1559)</f>
        <v/>
      </c>
      <c r="K1559" s="3">
        <f>IF(ORIG!K1559=0,"",ORIG!K1559)</f>
        <v/>
      </c>
      <c r="L1559" s="3">
        <f>IF(ORIG!L1559=0,"",ORIG!L1559)</f>
        <v/>
      </c>
      <c r="M1559" s="3">
        <f>IF(ORIG!M1559=0,"",ORIG!M1559)</f>
        <v/>
      </c>
      <c r="N1559" s="3">
        <f>IF(ORIG!N1559=0,"",ORIG!N1559)</f>
        <v/>
      </c>
      <c r="O1559" s="3">
        <f>IF(ORIG!O1559=0,"",ORIG!O1559)</f>
        <v/>
      </c>
      <c r="P1559" s="3">
        <f>IF(ORIG!P1559=0,"",ORIG!P1559)</f>
        <v/>
      </c>
      <c r="Q1559" s="3">
        <f>IF(ORIG!Q1559=0,"",ORIG!Q1559)</f>
        <v/>
      </c>
      <c r="R1559" s="3">
        <f>IF(ORIG!R1559=0,"",ORIG!R1559)</f>
        <v/>
      </c>
      <c r="S1559" s="3">
        <f>IF(ORIG!S1559=0,"",ORIG!S1559)</f>
        <v/>
      </c>
      <c r="T1559" s="3">
        <f>IF(ORIG!T1559=0,"",ORIG!T1559)</f>
        <v/>
      </c>
      <c r="U1559" s="3">
        <f>IF(ORIG!U1559=0,"",ORIG!U1559)</f>
        <v/>
      </c>
      <c r="V1559" s="9">
        <f>IF(ORIG!V1559=0,"",ORIG!V1559)</f>
        <v/>
      </c>
      <c r="W1559" s="9">
        <f>IF(ORIG!W1559=0,"",ORIG!W1559)</f>
        <v/>
      </c>
      <c r="X1559" s="9">
        <f>IF(ORIG!X1559=0,"",ORIG!X1559)</f>
        <v/>
      </c>
      <c r="Y1559" s="9">
        <f>IF(ORIG!Y1559=0,"",ORIG!Y1559)</f>
        <v/>
      </c>
      <c r="Z1559" s="3">
        <f>SUMPRODUCT($B1559:$Y1559,$B$2649:$Y$2649)</f>
        <v/>
      </c>
      <c r="AA1559" s="3">
        <f>SUMPRODUCT($B1559:$Y1559,$B$2655:$Y$2655)</f>
        <v/>
      </c>
      <c r="AC1559" s="1">
        <f>A1559</f>
        <v/>
      </c>
      <c r="AD1559">
        <f>IF(ISNUMBER(V1559),V1559*($AB$1/V$2635),"")</f>
        <v/>
      </c>
      <c r="AE1559">
        <f>IF(ISNUMBER(Z1559),Z1559*($AB$1/Z$2635),"")</f>
        <v/>
      </c>
      <c r="AF1559" s="25">
        <f>IF(ISNUMBER(AD1559+AE1559),AD1559+AE1559,"")</f>
        <v/>
      </c>
      <c r="AH1559" s="1">
        <f>A1559</f>
        <v/>
      </c>
      <c r="AI1559">
        <f>IF(ISNUMBER((1+V1559)*AI1558),(1+V1559)*AI1558,AI1558)</f>
        <v/>
      </c>
      <c r="AJ1559">
        <f>IF(ISNUMBER((1+Z1559)*AJ1558),(1+Z1559)*AJ1558,AJ1558)</f>
        <v/>
      </c>
    </row>
    <row r="1560">
      <c r="A1560" s="1" t="n">
        <v>44266</v>
      </c>
      <c r="B1560" s="3">
        <f>IF(ORIG!B1560=0,"",ORIG!B1560)</f>
        <v/>
      </c>
      <c r="C1560" s="3">
        <f>IF(ORIG!C1560=0,"",ORIG!C1560)</f>
        <v/>
      </c>
      <c r="D1560" s="3">
        <f>IF(ORIG!D1560=0,"",ORIG!D1560)</f>
        <v/>
      </c>
      <c r="E1560" s="3">
        <f>IF(ORIG!E1560=0,"",ORIG!E1560)</f>
        <v/>
      </c>
      <c r="F1560" s="3">
        <f>IF(ORIG!F1560=0,"",ORIG!F1560)</f>
        <v/>
      </c>
      <c r="G1560" s="3">
        <f>IF(ORIG!G1560=0,"",ORIG!G1560)</f>
        <v/>
      </c>
      <c r="H1560" s="3">
        <f>IF(ORIG!H1560=0,"",ORIG!H1560)</f>
        <v/>
      </c>
      <c r="I1560" s="3">
        <f>IF(ORIG!I1560=0,"",ORIG!I1560)</f>
        <v/>
      </c>
      <c r="J1560" s="3">
        <f>IF(ORIG!J1560=0,"",ORIG!J1560)</f>
        <v/>
      </c>
      <c r="K1560" s="3">
        <f>IF(ORIG!K1560=0,"",ORIG!K1560)</f>
        <v/>
      </c>
      <c r="L1560" s="3">
        <f>IF(ORIG!L1560=0,"",ORIG!L1560)</f>
        <v/>
      </c>
      <c r="M1560" s="3">
        <f>IF(ORIG!M1560=0,"",ORIG!M1560)</f>
        <v/>
      </c>
      <c r="N1560" s="3">
        <f>IF(ORIG!N1560=0,"",ORIG!N1560)</f>
        <v/>
      </c>
      <c r="O1560" s="3">
        <f>IF(ORIG!O1560=0,"",ORIG!O1560)</f>
        <v/>
      </c>
      <c r="P1560" s="3">
        <f>IF(ORIG!P1560=0,"",ORIG!P1560)</f>
        <v/>
      </c>
      <c r="Q1560" s="3">
        <f>IF(ORIG!Q1560=0,"",ORIG!Q1560)</f>
        <v/>
      </c>
      <c r="R1560" s="3">
        <f>IF(ORIG!R1560=0,"",ORIG!R1560)</f>
        <v/>
      </c>
      <c r="S1560" s="3">
        <f>IF(ORIG!S1560=0,"",ORIG!S1560)</f>
        <v/>
      </c>
      <c r="T1560" s="3">
        <f>IF(ORIG!T1560=0,"",ORIG!T1560)</f>
        <v/>
      </c>
      <c r="U1560" s="3">
        <f>IF(ORIG!U1560=0,"",ORIG!U1560)</f>
        <v/>
      </c>
      <c r="V1560" s="9">
        <f>IF(ORIG!V1560=0,"",ORIG!V1560)</f>
        <v/>
      </c>
      <c r="W1560" s="9">
        <f>IF(ORIG!W1560=0,"",ORIG!W1560)</f>
        <v/>
      </c>
      <c r="X1560" s="9">
        <f>IF(ORIG!X1560=0,"",ORIG!X1560)</f>
        <v/>
      </c>
      <c r="Y1560" s="9">
        <f>IF(ORIG!Y1560=0,"",ORIG!Y1560)</f>
        <v/>
      </c>
      <c r="Z1560" s="3">
        <f>SUMPRODUCT($B1560:$Y1560,$B$2649:$Y$2649)</f>
        <v/>
      </c>
      <c r="AA1560" s="3">
        <f>SUMPRODUCT($B1560:$Y1560,$B$2655:$Y$2655)</f>
        <v/>
      </c>
      <c r="AC1560" s="1">
        <f>A1560</f>
        <v/>
      </c>
      <c r="AD1560">
        <f>IF(ISNUMBER(V1560),V1560*($AB$1/V$2635),"")</f>
        <v/>
      </c>
      <c r="AE1560">
        <f>IF(ISNUMBER(Z1560),Z1560*($AB$1/Z$2635),"")</f>
        <v/>
      </c>
      <c r="AF1560" s="25">
        <f>IF(ISNUMBER(AD1560+AE1560),AD1560+AE1560,"")</f>
        <v/>
      </c>
      <c r="AH1560" s="1">
        <f>A1560</f>
        <v/>
      </c>
      <c r="AI1560">
        <f>IF(ISNUMBER((1+V1560)*AI1559),(1+V1560)*AI1559,AI1559)</f>
        <v/>
      </c>
      <c r="AJ1560">
        <f>IF(ISNUMBER((1+Z1560)*AJ1559),(1+Z1560)*AJ1559,AJ1559)</f>
        <v/>
      </c>
    </row>
    <row r="1561">
      <c r="A1561" s="1" t="n">
        <v>44267</v>
      </c>
      <c r="B1561" s="3">
        <f>IF(ORIG!B1561=0,"",ORIG!B1561)</f>
        <v/>
      </c>
      <c r="C1561" s="3">
        <f>IF(ORIG!C1561=0,"",ORIG!C1561)</f>
        <v/>
      </c>
      <c r="D1561" s="3">
        <f>IF(ORIG!D1561=0,"",ORIG!D1561)</f>
        <v/>
      </c>
      <c r="E1561" s="3">
        <f>IF(ORIG!E1561=0,"",ORIG!E1561)</f>
        <v/>
      </c>
      <c r="F1561" s="3">
        <f>IF(ORIG!F1561=0,"",ORIG!F1561)</f>
        <v/>
      </c>
      <c r="G1561" s="3">
        <f>IF(ORIG!G1561=0,"",ORIG!G1561)</f>
        <v/>
      </c>
      <c r="H1561" s="3">
        <f>IF(ORIG!H1561=0,"",ORIG!H1561)</f>
        <v/>
      </c>
      <c r="I1561" s="3">
        <f>IF(ORIG!I1561=0,"",ORIG!I1561)</f>
        <v/>
      </c>
      <c r="J1561" s="3">
        <f>IF(ORIG!J1561=0,"",ORIG!J1561)</f>
        <v/>
      </c>
      <c r="K1561" s="3">
        <f>IF(ORIG!K1561=0,"",ORIG!K1561)</f>
        <v/>
      </c>
      <c r="L1561" s="3">
        <f>IF(ORIG!L1561=0,"",ORIG!L1561)</f>
        <v/>
      </c>
      <c r="M1561" s="3">
        <f>IF(ORIG!M1561=0,"",ORIG!M1561)</f>
        <v/>
      </c>
      <c r="N1561" s="3">
        <f>IF(ORIG!N1561=0,"",ORIG!N1561)</f>
        <v/>
      </c>
      <c r="O1561" s="3">
        <f>IF(ORIG!O1561=0,"",ORIG!O1561)</f>
        <v/>
      </c>
      <c r="P1561" s="3">
        <f>IF(ORIG!P1561=0,"",ORIG!P1561)</f>
        <v/>
      </c>
      <c r="Q1561" s="3">
        <f>IF(ORIG!Q1561=0,"",ORIG!Q1561)</f>
        <v/>
      </c>
      <c r="R1561" s="3">
        <f>IF(ORIG!R1561=0,"",ORIG!R1561)</f>
        <v/>
      </c>
      <c r="S1561" s="3">
        <f>IF(ORIG!S1561=0,"",ORIG!S1561)</f>
        <v/>
      </c>
      <c r="T1561" s="3">
        <f>IF(ORIG!T1561=0,"",ORIG!T1561)</f>
        <v/>
      </c>
      <c r="U1561" s="3">
        <f>IF(ORIG!U1561=0,"",ORIG!U1561)</f>
        <v/>
      </c>
      <c r="V1561" s="9">
        <f>IF(ORIG!V1561=0,"",ORIG!V1561)</f>
        <v/>
      </c>
      <c r="W1561" s="9">
        <f>IF(ORIG!W1561=0,"",ORIG!W1561)</f>
        <v/>
      </c>
      <c r="X1561" s="9">
        <f>IF(ORIG!X1561=0,"",ORIG!X1561)</f>
        <v/>
      </c>
      <c r="Y1561" s="9">
        <f>IF(ORIG!Y1561=0,"",ORIG!Y1561)</f>
        <v/>
      </c>
      <c r="Z1561" s="3">
        <f>SUMPRODUCT($B1561:$Y1561,$B$2649:$Y$2649)</f>
        <v/>
      </c>
      <c r="AA1561" s="3">
        <f>SUMPRODUCT($B1561:$Y1561,$B$2655:$Y$2655)</f>
        <v/>
      </c>
      <c r="AC1561" s="1">
        <f>A1561</f>
        <v/>
      </c>
      <c r="AD1561">
        <f>IF(ISNUMBER(V1561),V1561*($AB$1/V$2635),"")</f>
        <v/>
      </c>
      <c r="AE1561">
        <f>IF(ISNUMBER(Z1561),Z1561*($AB$1/Z$2635),"")</f>
        <v/>
      </c>
      <c r="AF1561" s="25">
        <f>IF(ISNUMBER(AD1561+AE1561),AD1561+AE1561,"")</f>
        <v/>
      </c>
      <c r="AH1561" s="1">
        <f>A1561</f>
        <v/>
      </c>
      <c r="AI1561">
        <f>IF(ISNUMBER((1+V1561)*AI1560),(1+V1561)*AI1560,AI1560)</f>
        <v/>
      </c>
      <c r="AJ1561">
        <f>IF(ISNUMBER((1+Z1561)*AJ1560),(1+Z1561)*AJ1560,AJ1560)</f>
        <v/>
      </c>
    </row>
    <row r="1562">
      <c r="A1562" s="1" t="n">
        <v>44270</v>
      </c>
      <c r="B1562" s="3">
        <f>IF(ORIG!B1562=0,"",ORIG!B1562)</f>
        <v/>
      </c>
      <c r="C1562" s="3">
        <f>IF(ORIG!C1562=0,"",ORIG!C1562)</f>
        <v/>
      </c>
      <c r="D1562" s="3">
        <f>IF(ORIG!D1562=0,"",ORIG!D1562)</f>
        <v/>
      </c>
      <c r="E1562" s="3">
        <f>IF(ORIG!E1562=0,"",ORIG!E1562)</f>
        <v/>
      </c>
      <c r="F1562" s="3">
        <f>IF(ORIG!F1562=0,"",ORIG!F1562)</f>
        <v/>
      </c>
      <c r="G1562" s="3">
        <f>IF(ORIG!G1562=0,"",ORIG!G1562)</f>
        <v/>
      </c>
      <c r="H1562" s="3">
        <f>IF(ORIG!H1562=0,"",ORIG!H1562)</f>
        <v/>
      </c>
      <c r="I1562" s="3">
        <f>IF(ORIG!I1562=0,"",ORIG!I1562)</f>
        <v/>
      </c>
      <c r="J1562" s="3">
        <f>IF(ORIG!J1562=0,"",ORIG!J1562)</f>
        <v/>
      </c>
      <c r="K1562" s="3">
        <f>IF(ORIG!K1562=0,"",ORIG!K1562)</f>
        <v/>
      </c>
      <c r="L1562" s="3">
        <f>IF(ORIG!L1562=0,"",ORIG!L1562)</f>
        <v/>
      </c>
      <c r="M1562" s="3">
        <f>IF(ORIG!M1562=0,"",ORIG!M1562)</f>
        <v/>
      </c>
      <c r="N1562" s="3">
        <f>IF(ORIG!N1562=0,"",ORIG!N1562)</f>
        <v/>
      </c>
      <c r="O1562" s="3">
        <f>IF(ORIG!O1562=0,"",ORIG!O1562)</f>
        <v/>
      </c>
      <c r="P1562" s="3">
        <f>IF(ORIG!P1562=0,"",ORIG!P1562)</f>
        <v/>
      </c>
      <c r="Q1562" s="3">
        <f>IF(ORIG!Q1562=0,"",ORIG!Q1562)</f>
        <v/>
      </c>
      <c r="R1562" s="3">
        <f>IF(ORIG!R1562=0,"",ORIG!R1562)</f>
        <v/>
      </c>
      <c r="S1562" s="3">
        <f>IF(ORIG!S1562=0,"",ORIG!S1562)</f>
        <v/>
      </c>
      <c r="T1562" s="3">
        <f>IF(ORIG!T1562=0,"",ORIG!T1562)</f>
        <v/>
      </c>
      <c r="U1562" s="3">
        <f>IF(ORIG!U1562=0,"",ORIG!U1562)</f>
        <v/>
      </c>
      <c r="V1562" s="9">
        <f>IF(ORIG!V1562=0,"",ORIG!V1562)</f>
        <v/>
      </c>
      <c r="W1562" s="9">
        <f>IF(ORIG!W1562=0,"",ORIG!W1562)</f>
        <v/>
      </c>
      <c r="X1562" s="9">
        <f>IF(ORIG!X1562=0,"",ORIG!X1562)</f>
        <v/>
      </c>
      <c r="Y1562" s="9">
        <f>IF(ORIG!Y1562=0,"",ORIG!Y1562)</f>
        <v/>
      </c>
      <c r="Z1562" s="3">
        <f>SUMPRODUCT($B1562:$Y1562,$B$2649:$Y$2649)</f>
        <v/>
      </c>
      <c r="AA1562" s="3">
        <f>SUMPRODUCT($B1562:$Y1562,$B$2655:$Y$2655)</f>
        <v/>
      </c>
      <c r="AC1562" s="1">
        <f>A1562</f>
        <v/>
      </c>
      <c r="AD1562">
        <f>IF(ISNUMBER(V1562),V1562*($AB$1/V$2635),"")</f>
        <v/>
      </c>
      <c r="AE1562">
        <f>IF(ISNUMBER(Z1562),Z1562*($AB$1/Z$2635),"")</f>
        <v/>
      </c>
      <c r="AF1562" s="25">
        <f>IF(ISNUMBER(AD1562+AE1562),AD1562+AE1562,"")</f>
        <v/>
      </c>
      <c r="AH1562" s="1">
        <f>A1562</f>
        <v/>
      </c>
      <c r="AI1562">
        <f>IF(ISNUMBER((1+V1562)*AI1561),(1+V1562)*AI1561,AI1561)</f>
        <v/>
      </c>
      <c r="AJ1562">
        <f>IF(ISNUMBER((1+Z1562)*AJ1561),(1+Z1562)*AJ1561,AJ1561)</f>
        <v/>
      </c>
    </row>
    <row r="1563">
      <c r="A1563" s="1" t="n">
        <v>44271</v>
      </c>
      <c r="B1563" s="3">
        <f>IF(ORIG!B1563=0,"",ORIG!B1563)</f>
        <v/>
      </c>
      <c r="C1563" s="3">
        <f>IF(ORIG!C1563=0,"",ORIG!C1563)</f>
        <v/>
      </c>
      <c r="D1563" s="3">
        <f>IF(ORIG!D1563=0,"",ORIG!D1563)</f>
        <v/>
      </c>
      <c r="E1563" s="3">
        <f>IF(ORIG!E1563=0,"",ORIG!E1563)</f>
        <v/>
      </c>
      <c r="F1563" s="3">
        <f>IF(ORIG!F1563=0,"",ORIG!F1563)</f>
        <v/>
      </c>
      <c r="G1563" s="3">
        <f>IF(ORIG!G1563=0,"",ORIG!G1563)</f>
        <v/>
      </c>
      <c r="H1563" s="3">
        <f>IF(ORIG!H1563=0,"",ORIG!H1563)</f>
        <v/>
      </c>
      <c r="I1563" s="3">
        <f>IF(ORIG!I1563=0,"",ORIG!I1563)</f>
        <v/>
      </c>
      <c r="J1563" s="3">
        <f>IF(ORIG!J1563=0,"",ORIG!J1563)</f>
        <v/>
      </c>
      <c r="K1563" s="3">
        <f>IF(ORIG!K1563=0,"",ORIG!K1563)</f>
        <v/>
      </c>
      <c r="L1563" s="3">
        <f>IF(ORIG!L1563=0,"",ORIG!L1563)</f>
        <v/>
      </c>
      <c r="M1563" s="3">
        <f>IF(ORIG!M1563=0,"",ORIG!M1563)</f>
        <v/>
      </c>
      <c r="N1563" s="3">
        <f>IF(ORIG!N1563=0,"",ORIG!N1563)</f>
        <v/>
      </c>
      <c r="O1563" s="3">
        <f>IF(ORIG!O1563=0,"",ORIG!O1563)</f>
        <v/>
      </c>
      <c r="P1563" s="3">
        <f>IF(ORIG!P1563=0,"",ORIG!P1563)</f>
        <v/>
      </c>
      <c r="Q1563" s="3">
        <f>IF(ORIG!Q1563=0,"",ORIG!Q1563)</f>
        <v/>
      </c>
      <c r="R1563" s="3">
        <f>IF(ORIG!R1563=0,"",ORIG!R1563)</f>
        <v/>
      </c>
      <c r="S1563" s="3">
        <f>IF(ORIG!S1563=0,"",ORIG!S1563)</f>
        <v/>
      </c>
      <c r="T1563" s="3">
        <f>IF(ORIG!T1563=0,"",ORIG!T1563)</f>
        <v/>
      </c>
      <c r="U1563" s="3">
        <f>IF(ORIG!U1563=0,"",ORIG!U1563)</f>
        <v/>
      </c>
      <c r="V1563" s="9">
        <f>IF(ORIG!V1563=0,"",ORIG!V1563)</f>
        <v/>
      </c>
      <c r="W1563" s="9">
        <f>IF(ORIG!W1563=0,"",ORIG!W1563)</f>
        <v/>
      </c>
      <c r="X1563" s="9">
        <f>IF(ORIG!X1563=0,"",ORIG!X1563)</f>
        <v/>
      </c>
      <c r="Y1563" s="9">
        <f>IF(ORIG!Y1563=0,"",ORIG!Y1563)</f>
        <v/>
      </c>
      <c r="Z1563" s="3">
        <f>SUMPRODUCT($B1563:$Y1563,$B$2649:$Y$2649)</f>
        <v/>
      </c>
      <c r="AA1563" s="3">
        <f>SUMPRODUCT($B1563:$Y1563,$B$2655:$Y$2655)</f>
        <v/>
      </c>
      <c r="AC1563" s="1">
        <f>A1563</f>
        <v/>
      </c>
      <c r="AD1563">
        <f>IF(ISNUMBER(V1563),V1563*($AB$1/V$2635),"")</f>
        <v/>
      </c>
      <c r="AE1563">
        <f>IF(ISNUMBER(Z1563),Z1563*($AB$1/Z$2635),"")</f>
        <v/>
      </c>
      <c r="AF1563" s="25">
        <f>IF(ISNUMBER(AD1563+AE1563),AD1563+AE1563,"")</f>
        <v/>
      </c>
      <c r="AH1563" s="1">
        <f>A1563</f>
        <v/>
      </c>
      <c r="AI1563">
        <f>IF(ISNUMBER((1+V1563)*AI1562),(1+V1563)*AI1562,AI1562)</f>
        <v/>
      </c>
      <c r="AJ1563">
        <f>IF(ISNUMBER((1+Z1563)*AJ1562),(1+Z1563)*AJ1562,AJ1562)</f>
        <v/>
      </c>
    </row>
    <row r="1564">
      <c r="A1564" s="1" t="n">
        <v>44272</v>
      </c>
      <c r="B1564" s="3">
        <f>IF(ORIG!B1564=0,"",ORIG!B1564)</f>
        <v/>
      </c>
      <c r="C1564" s="3">
        <f>IF(ORIG!C1564=0,"",ORIG!C1564)</f>
        <v/>
      </c>
      <c r="D1564" s="3">
        <f>IF(ORIG!D1564=0,"",ORIG!D1564)</f>
        <v/>
      </c>
      <c r="E1564" s="3">
        <f>IF(ORIG!E1564=0,"",ORIG!E1564)</f>
        <v/>
      </c>
      <c r="F1564" s="3">
        <f>IF(ORIG!F1564=0,"",ORIG!F1564)</f>
        <v/>
      </c>
      <c r="G1564" s="3">
        <f>IF(ORIG!G1564=0,"",ORIG!G1564)</f>
        <v/>
      </c>
      <c r="H1564" s="3">
        <f>IF(ORIG!H1564=0,"",ORIG!H1564)</f>
        <v/>
      </c>
      <c r="I1564" s="3">
        <f>IF(ORIG!I1564=0,"",ORIG!I1564)</f>
        <v/>
      </c>
      <c r="J1564" s="3">
        <f>IF(ORIG!J1564=0,"",ORIG!J1564)</f>
        <v/>
      </c>
      <c r="K1564" s="3">
        <f>IF(ORIG!K1564=0,"",ORIG!K1564)</f>
        <v/>
      </c>
      <c r="L1564" s="3">
        <f>IF(ORIG!L1564=0,"",ORIG!L1564)</f>
        <v/>
      </c>
      <c r="M1564" s="3">
        <f>IF(ORIG!M1564=0,"",ORIG!M1564)</f>
        <v/>
      </c>
      <c r="N1564" s="3">
        <f>IF(ORIG!N1564=0,"",ORIG!N1564)</f>
        <v/>
      </c>
      <c r="O1564" s="3">
        <f>IF(ORIG!O1564=0,"",ORIG!O1564)</f>
        <v/>
      </c>
      <c r="P1564" s="3">
        <f>IF(ORIG!P1564=0,"",ORIG!P1564)</f>
        <v/>
      </c>
      <c r="Q1564" s="3">
        <f>IF(ORIG!Q1564=0,"",ORIG!Q1564)</f>
        <v/>
      </c>
      <c r="R1564" s="3">
        <f>IF(ORIG!R1564=0,"",ORIG!R1564)</f>
        <v/>
      </c>
      <c r="S1564" s="3">
        <f>IF(ORIG!S1564=0,"",ORIG!S1564)</f>
        <v/>
      </c>
      <c r="T1564" s="3">
        <f>IF(ORIG!T1564=0,"",ORIG!T1564)</f>
        <v/>
      </c>
      <c r="U1564" s="3">
        <f>IF(ORIG!U1564=0,"",ORIG!U1564)</f>
        <v/>
      </c>
      <c r="V1564" s="9">
        <f>IF(ORIG!V1564=0,"",ORIG!V1564)</f>
        <v/>
      </c>
      <c r="W1564" s="9">
        <f>IF(ORIG!W1564=0,"",ORIG!W1564)</f>
        <v/>
      </c>
      <c r="X1564" s="9">
        <f>IF(ORIG!X1564=0,"",ORIG!X1564)</f>
        <v/>
      </c>
      <c r="Y1564" s="9">
        <f>IF(ORIG!Y1564=0,"",ORIG!Y1564)</f>
        <v/>
      </c>
      <c r="Z1564" s="3">
        <f>SUMPRODUCT($B1564:$Y1564,$B$2649:$Y$2649)</f>
        <v/>
      </c>
      <c r="AA1564" s="3">
        <f>SUMPRODUCT($B1564:$Y1564,$B$2655:$Y$2655)</f>
        <v/>
      </c>
      <c r="AC1564" s="1">
        <f>A1564</f>
        <v/>
      </c>
      <c r="AD1564">
        <f>IF(ISNUMBER(V1564),V1564*($AB$1/V$2635),"")</f>
        <v/>
      </c>
      <c r="AE1564">
        <f>IF(ISNUMBER(Z1564),Z1564*($AB$1/Z$2635),"")</f>
        <v/>
      </c>
      <c r="AF1564" s="25">
        <f>IF(ISNUMBER(AD1564+AE1564),AD1564+AE1564,"")</f>
        <v/>
      </c>
      <c r="AH1564" s="1">
        <f>A1564</f>
        <v/>
      </c>
      <c r="AI1564">
        <f>IF(ISNUMBER((1+V1564)*AI1563),(1+V1564)*AI1563,AI1563)</f>
        <v/>
      </c>
      <c r="AJ1564">
        <f>IF(ISNUMBER((1+Z1564)*AJ1563),(1+Z1564)*AJ1563,AJ1563)</f>
        <v/>
      </c>
    </row>
    <row r="1565">
      <c r="A1565" s="1" t="n">
        <v>44273</v>
      </c>
      <c r="B1565" s="3">
        <f>IF(ORIG!B1565=0,"",ORIG!B1565)</f>
        <v/>
      </c>
      <c r="C1565" s="3">
        <f>IF(ORIG!C1565=0,"",ORIG!C1565)</f>
        <v/>
      </c>
      <c r="D1565" s="3">
        <f>IF(ORIG!D1565=0,"",ORIG!D1565)</f>
        <v/>
      </c>
      <c r="E1565" s="3">
        <f>IF(ORIG!E1565=0,"",ORIG!E1565)</f>
        <v/>
      </c>
      <c r="F1565" s="3">
        <f>IF(ORIG!F1565=0,"",ORIG!F1565)</f>
        <v/>
      </c>
      <c r="G1565" s="3">
        <f>IF(ORIG!G1565=0,"",ORIG!G1565)</f>
        <v/>
      </c>
      <c r="H1565" s="3">
        <f>IF(ORIG!H1565=0,"",ORIG!H1565)</f>
        <v/>
      </c>
      <c r="I1565" s="3">
        <f>IF(ORIG!I1565=0,"",ORIG!I1565)</f>
        <v/>
      </c>
      <c r="J1565" s="3">
        <f>IF(ORIG!J1565=0,"",ORIG!J1565)</f>
        <v/>
      </c>
      <c r="K1565" s="3">
        <f>IF(ORIG!K1565=0,"",ORIG!K1565)</f>
        <v/>
      </c>
      <c r="L1565" s="3">
        <f>IF(ORIG!L1565=0,"",ORIG!L1565)</f>
        <v/>
      </c>
      <c r="M1565" s="3">
        <f>IF(ORIG!M1565=0,"",ORIG!M1565)</f>
        <v/>
      </c>
      <c r="N1565" s="3">
        <f>IF(ORIG!N1565=0,"",ORIG!N1565)</f>
        <v/>
      </c>
      <c r="O1565" s="3">
        <f>IF(ORIG!O1565=0,"",ORIG!O1565)</f>
        <v/>
      </c>
      <c r="P1565" s="3">
        <f>IF(ORIG!P1565=0,"",ORIG!P1565)</f>
        <v/>
      </c>
      <c r="Q1565" s="3">
        <f>IF(ORIG!Q1565=0,"",ORIG!Q1565)</f>
        <v/>
      </c>
      <c r="R1565" s="3">
        <f>IF(ORIG!R1565=0,"",ORIG!R1565)</f>
        <v/>
      </c>
      <c r="S1565" s="3">
        <f>IF(ORIG!S1565=0,"",ORIG!S1565)</f>
        <v/>
      </c>
      <c r="T1565" s="3">
        <f>IF(ORIG!T1565=0,"",ORIG!T1565)</f>
        <v/>
      </c>
      <c r="U1565" s="3">
        <f>IF(ORIG!U1565=0,"",ORIG!U1565)</f>
        <v/>
      </c>
      <c r="V1565" s="9">
        <f>IF(ORIG!V1565=0,"",ORIG!V1565)</f>
        <v/>
      </c>
      <c r="W1565" s="9">
        <f>IF(ORIG!W1565=0,"",ORIG!W1565)</f>
        <v/>
      </c>
      <c r="X1565" s="9">
        <f>IF(ORIG!X1565=0,"",ORIG!X1565)</f>
        <v/>
      </c>
      <c r="Y1565" s="9">
        <f>IF(ORIG!Y1565=0,"",ORIG!Y1565)</f>
        <v/>
      </c>
      <c r="Z1565" s="3">
        <f>SUMPRODUCT($B1565:$Y1565,$B$2649:$Y$2649)</f>
        <v/>
      </c>
      <c r="AA1565" s="3">
        <f>SUMPRODUCT($B1565:$Y1565,$B$2655:$Y$2655)</f>
        <v/>
      </c>
      <c r="AC1565" s="1">
        <f>A1565</f>
        <v/>
      </c>
      <c r="AD1565">
        <f>IF(ISNUMBER(V1565),V1565*($AB$1/V$2635),"")</f>
        <v/>
      </c>
      <c r="AE1565">
        <f>IF(ISNUMBER(Z1565),Z1565*($AB$1/Z$2635),"")</f>
        <v/>
      </c>
      <c r="AF1565" s="25">
        <f>IF(ISNUMBER(AD1565+AE1565),AD1565+AE1565,"")</f>
        <v/>
      </c>
      <c r="AH1565" s="1">
        <f>A1565</f>
        <v/>
      </c>
      <c r="AI1565">
        <f>IF(ISNUMBER((1+V1565)*AI1564),(1+V1565)*AI1564,AI1564)</f>
        <v/>
      </c>
      <c r="AJ1565">
        <f>IF(ISNUMBER((1+Z1565)*AJ1564),(1+Z1565)*AJ1564,AJ1564)</f>
        <v/>
      </c>
    </row>
    <row r="1566">
      <c r="A1566" s="1" t="n">
        <v>44274</v>
      </c>
      <c r="B1566" s="3">
        <f>IF(ORIG!B1566=0,"",ORIG!B1566)</f>
        <v/>
      </c>
      <c r="C1566" s="3">
        <f>IF(ORIG!C1566=0,"",ORIG!C1566)</f>
        <v/>
      </c>
      <c r="D1566" s="3">
        <f>IF(ORIG!D1566=0,"",ORIG!D1566)</f>
        <v/>
      </c>
      <c r="E1566" s="3">
        <f>IF(ORIG!E1566=0,"",ORIG!E1566)</f>
        <v/>
      </c>
      <c r="F1566" s="3">
        <f>IF(ORIG!F1566=0,"",ORIG!F1566)</f>
        <v/>
      </c>
      <c r="G1566" s="3">
        <f>IF(ORIG!G1566=0,"",ORIG!G1566)</f>
        <v/>
      </c>
      <c r="H1566" s="3">
        <f>IF(ORIG!H1566=0,"",ORIG!H1566)</f>
        <v/>
      </c>
      <c r="I1566" s="3">
        <f>IF(ORIG!I1566=0,"",ORIG!I1566)</f>
        <v/>
      </c>
      <c r="J1566" s="3">
        <f>IF(ORIG!J1566=0,"",ORIG!J1566)</f>
        <v/>
      </c>
      <c r="K1566" s="3">
        <f>IF(ORIG!K1566=0,"",ORIG!K1566)</f>
        <v/>
      </c>
      <c r="L1566" s="3">
        <f>IF(ORIG!L1566=0,"",ORIG!L1566)</f>
        <v/>
      </c>
      <c r="M1566" s="3">
        <f>IF(ORIG!M1566=0,"",ORIG!M1566)</f>
        <v/>
      </c>
      <c r="N1566" s="3">
        <f>IF(ORIG!N1566=0,"",ORIG!N1566)</f>
        <v/>
      </c>
      <c r="O1566" s="3">
        <f>IF(ORIG!O1566=0,"",ORIG!O1566)</f>
        <v/>
      </c>
      <c r="P1566" s="3">
        <f>IF(ORIG!P1566=0,"",ORIG!P1566)</f>
        <v/>
      </c>
      <c r="Q1566" s="3">
        <f>IF(ORIG!Q1566=0,"",ORIG!Q1566)</f>
        <v/>
      </c>
      <c r="R1566" s="3">
        <f>IF(ORIG!R1566=0,"",ORIG!R1566)</f>
        <v/>
      </c>
      <c r="S1566" s="3">
        <f>IF(ORIG!S1566=0,"",ORIG!S1566)</f>
        <v/>
      </c>
      <c r="T1566" s="3">
        <f>IF(ORIG!T1566=0,"",ORIG!T1566)</f>
        <v/>
      </c>
      <c r="U1566" s="3">
        <f>IF(ORIG!U1566=0,"",ORIG!U1566)</f>
        <v/>
      </c>
      <c r="V1566" s="9">
        <f>IF(ORIG!V1566=0,"",ORIG!V1566)</f>
        <v/>
      </c>
      <c r="W1566" s="9">
        <f>IF(ORIG!W1566=0,"",ORIG!W1566)</f>
        <v/>
      </c>
      <c r="X1566" s="9">
        <f>IF(ORIG!X1566=0,"",ORIG!X1566)</f>
        <v/>
      </c>
      <c r="Y1566" s="9">
        <f>IF(ORIG!Y1566=0,"",ORIG!Y1566)</f>
        <v/>
      </c>
      <c r="Z1566" s="3">
        <f>SUMPRODUCT($B1566:$Y1566,$B$2649:$Y$2649)</f>
        <v/>
      </c>
      <c r="AA1566" s="3">
        <f>SUMPRODUCT($B1566:$Y1566,$B$2655:$Y$2655)</f>
        <v/>
      </c>
      <c r="AC1566" s="1">
        <f>A1566</f>
        <v/>
      </c>
      <c r="AD1566">
        <f>IF(ISNUMBER(V1566),V1566*($AB$1/V$2635),"")</f>
        <v/>
      </c>
      <c r="AE1566">
        <f>IF(ISNUMBER(Z1566),Z1566*($AB$1/Z$2635),"")</f>
        <v/>
      </c>
      <c r="AF1566" s="25">
        <f>IF(ISNUMBER(AD1566+AE1566),AD1566+AE1566,"")</f>
        <v/>
      </c>
      <c r="AH1566" s="1">
        <f>A1566</f>
        <v/>
      </c>
      <c r="AI1566">
        <f>IF(ISNUMBER((1+V1566)*AI1565),(1+V1566)*AI1565,AI1565)</f>
        <v/>
      </c>
      <c r="AJ1566">
        <f>IF(ISNUMBER((1+Z1566)*AJ1565),(1+Z1566)*AJ1565,AJ1565)</f>
        <v/>
      </c>
    </row>
    <row r="1567">
      <c r="A1567" s="1" t="n">
        <v>44277</v>
      </c>
      <c r="B1567" s="3">
        <f>IF(ORIG!B1567=0,"",ORIG!B1567)</f>
        <v/>
      </c>
      <c r="C1567" s="3">
        <f>IF(ORIG!C1567=0,"",ORIG!C1567)</f>
        <v/>
      </c>
      <c r="D1567" s="3">
        <f>IF(ORIG!D1567=0,"",ORIG!D1567)</f>
        <v/>
      </c>
      <c r="E1567" s="3">
        <f>IF(ORIG!E1567=0,"",ORIG!E1567)</f>
        <v/>
      </c>
      <c r="F1567" s="3">
        <f>IF(ORIG!F1567=0,"",ORIG!F1567)</f>
        <v/>
      </c>
      <c r="G1567" s="3">
        <f>IF(ORIG!G1567=0,"",ORIG!G1567)</f>
        <v/>
      </c>
      <c r="H1567" s="3">
        <f>IF(ORIG!H1567=0,"",ORIG!H1567)</f>
        <v/>
      </c>
      <c r="I1567" s="3">
        <f>IF(ORIG!I1567=0,"",ORIG!I1567)</f>
        <v/>
      </c>
      <c r="J1567" s="3">
        <f>IF(ORIG!J1567=0,"",ORIG!J1567)</f>
        <v/>
      </c>
      <c r="K1567" s="3">
        <f>IF(ORIG!K1567=0,"",ORIG!K1567)</f>
        <v/>
      </c>
      <c r="L1567" s="3">
        <f>IF(ORIG!L1567=0,"",ORIG!L1567)</f>
        <v/>
      </c>
      <c r="M1567" s="3">
        <f>IF(ORIG!M1567=0,"",ORIG!M1567)</f>
        <v/>
      </c>
      <c r="N1567" s="3">
        <f>IF(ORIG!N1567=0,"",ORIG!N1567)</f>
        <v/>
      </c>
      <c r="O1567" s="3">
        <f>IF(ORIG!O1567=0,"",ORIG!O1567)</f>
        <v/>
      </c>
      <c r="P1567" s="3">
        <f>IF(ORIG!P1567=0,"",ORIG!P1567)</f>
        <v/>
      </c>
      <c r="Q1567" s="3">
        <f>IF(ORIG!Q1567=0,"",ORIG!Q1567)</f>
        <v/>
      </c>
      <c r="R1567" s="3">
        <f>IF(ORIG!R1567=0,"",ORIG!R1567)</f>
        <v/>
      </c>
      <c r="S1567" s="3">
        <f>IF(ORIG!S1567=0,"",ORIG!S1567)</f>
        <v/>
      </c>
      <c r="T1567" s="3">
        <f>IF(ORIG!T1567=0,"",ORIG!T1567)</f>
        <v/>
      </c>
      <c r="U1567" s="3">
        <f>IF(ORIG!U1567=0,"",ORIG!U1567)</f>
        <v/>
      </c>
      <c r="V1567" s="9">
        <f>IF(ORIG!V1567=0,"",ORIG!V1567)</f>
        <v/>
      </c>
      <c r="W1567" s="9">
        <f>IF(ORIG!W1567=0,"",ORIG!W1567)</f>
        <v/>
      </c>
      <c r="X1567" s="9">
        <f>IF(ORIG!X1567=0,"",ORIG!X1567)</f>
        <v/>
      </c>
      <c r="Y1567" s="9">
        <f>IF(ORIG!Y1567=0,"",ORIG!Y1567)</f>
        <v/>
      </c>
      <c r="Z1567" s="3">
        <f>SUMPRODUCT($B1567:$Y1567,$B$2649:$Y$2649)</f>
        <v/>
      </c>
      <c r="AA1567" s="3">
        <f>SUMPRODUCT($B1567:$Y1567,$B$2655:$Y$2655)</f>
        <v/>
      </c>
      <c r="AC1567" s="1">
        <f>A1567</f>
        <v/>
      </c>
      <c r="AD1567">
        <f>IF(ISNUMBER(V1567),V1567*($AB$1/V$2635),"")</f>
        <v/>
      </c>
      <c r="AE1567">
        <f>IF(ISNUMBER(Z1567),Z1567*($AB$1/Z$2635),"")</f>
        <v/>
      </c>
      <c r="AF1567" s="25">
        <f>IF(ISNUMBER(AD1567+AE1567),AD1567+AE1567,"")</f>
        <v/>
      </c>
      <c r="AH1567" s="1">
        <f>A1567</f>
        <v/>
      </c>
      <c r="AI1567">
        <f>IF(ISNUMBER((1+V1567)*AI1566),(1+V1567)*AI1566,AI1566)</f>
        <v/>
      </c>
      <c r="AJ1567">
        <f>IF(ISNUMBER((1+Z1567)*AJ1566),(1+Z1567)*AJ1566,AJ1566)</f>
        <v/>
      </c>
    </row>
    <row r="1568">
      <c r="A1568" s="1" t="n">
        <v>44278</v>
      </c>
      <c r="B1568" s="3">
        <f>IF(ORIG!B1568=0,"",ORIG!B1568)</f>
        <v/>
      </c>
      <c r="C1568" s="3">
        <f>IF(ORIG!C1568=0,"",ORIG!C1568)</f>
        <v/>
      </c>
      <c r="D1568" s="3">
        <f>IF(ORIG!D1568=0,"",ORIG!D1568)</f>
        <v/>
      </c>
      <c r="E1568" s="3">
        <f>IF(ORIG!E1568=0,"",ORIG!E1568)</f>
        <v/>
      </c>
      <c r="F1568" s="3">
        <f>IF(ORIG!F1568=0,"",ORIG!F1568)</f>
        <v/>
      </c>
      <c r="G1568" s="3">
        <f>IF(ORIG!G1568=0,"",ORIG!G1568)</f>
        <v/>
      </c>
      <c r="H1568" s="3">
        <f>IF(ORIG!H1568=0,"",ORIG!H1568)</f>
        <v/>
      </c>
      <c r="I1568" s="3">
        <f>IF(ORIG!I1568=0,"",ORIG!I1568)</f>
        <v/>
      </c>
      <c r="J1568" s="3">
        <f>IF(ORIG!J1568=0,"",ORIG!J1568)</f>
        <v/>
      </c>
      <c r="K1568" s="3">
        <f>IF(ORIG!K1568=0,"",ORIG!K1568)</f>
        <v/>
      </c>
      <c r="L1568" s="3">
        <f>IF(ORIG!L1568=0,"",ORIG!L1568)</f>
        <v/>
      </c>
      <c r="M1568" s="3">
        <f>IF(ORIG!M1568=0,"",ORIG!M1568)</f>
        <v/>
      </c>
      <c r="N1568" s="3">
        <f>IF(ORIG!N1568=0,"",ORIG!N1568)</f>
        <v/>
      </c>
      <c r="O1568" s="3">
        <f>IF(ORIG!O1568=0,"",ORIG!O1568)</f>
        <v/>
      </c>
      <c r="P1568" s="3">
        <f>IF(ORIG!P1568=0,"",ORIG!P1568)</f>
        <v/>
      </c>
      <c r="Q1568" s="3">
        <f>IF(ORIG!Q1568=0,"",ORIG!Q1568)</f>
        <v/>
      </c>
      <c r="R1568" s="3">
        <f>IF(ORIG!R1568=0,"",ORIG!R1568)</f>
        <v/>
      </c>
      <c r="S1568" s="3">
        <f>IF(ORIG!S1568=0,"",ORIG!S1568)</f>
        <v/>
      </c>
      <c r="T1568" s="3">
        <f>IF(ORIG!T1568=0,"",ORIG!T1568)</f>
        <v/>
      </c>
      <c r="U1568" s="3">
        <f>IF(ORIG!U1568=0,"",ORIG!U1568)</f>
        <v/>
      </c>
      <c r="V1568" s="9">
        <f>IF(ORIG!V1568=0,"",ORIG!V1568)</f>
        <v/>
      </c>
      <c r="W1568" s="9">
        <f>IF(ORIG!W1568=0,"",ORIG!W1568)</f>
        <v/>
      </c>
      <c r="X1568" s="9">
        <f>IF(ORIG!X1568=0,"",ORIG!X1568)</f>
        <v/>
      </c>
      <c r="Y1568" s="9">
        <f>IF(ORIG!Y1568=0,"",ORIG!Y1568)</f>
        <v/>
      </c>
      <c r="Z1568" s="3">
        <f>SUMPRODUCT($B1568:$Y1568,$B$2649:$Y$2649)</f>
        <v/>
      </c>
      <c r="AA1568" s="3">
        <f>SUMPRODUCT($B1568:$Y1568,$B$2655:$Y$2655)</f>
        <v/>
      </c>
      <c r="AC1568" s="1">
        <f>A1568</f>
        <v/>
      </c>
      <c r="AD1568">
        <f>IF(ISNUMBER(V1568),V1568*($AB$1/V$2635),"")</f>
        <v/>
      </c>
      <c r="AE1568">
        <f>IF(ISNUMBER(Z1568),Z1568*($AB$1/Z$2635),"")</f>
        <v/>
      </c>
      <c r="AF1568" s="25">
        <f>IF(ISNUMBER(AD1568+AE1568),AD1568+AE1568,"")</f>
        <v/>
      </c>
      <c r="AH1568" s="1">
        <f>A1568</f>
        <v/>
      </c>
      <c r="AI1568">
        <f>IF(ISNUMBER((1+V1568)*AI1567),(1+V1568)*AI1567,AI1567)</f>
        <v/>
      </c>
      <c r="AJ1568">
        <f>IF(ISNUMBER((1+Z1568)*AJ1567),(1+Z1568)*AJ1567,AJ1567)</f>
        <v/>
      </c>
    </row>
    <row r="1569">
      <c r="A1569" s="1" t="n">
        <v>44279</v>
      </c>
      <c r="B1569" s="3">
        <f>IF(ORIG!B1569=0,"",ORIG!B1569)</f>
        <v/>
      </c>
      <c r="C1569" s="3">
        <f>IF(ORIG!C1569=0,"",ORIG!C1569)</f>
        <v/>
      </c>
      <c r="D1569" s="3">
        <f>IF(ORIG!D1569=0,"",ORIG!D1569)</f>
        <v/>
      </c>
      <c r="E1569" s="3">
        <f>IF(ORIG!E1569=0,"",ORIG!E1569)</f>
        <v/>
      </c>
      <c r="F1569" s="3">
        <f>IF(ORIG!F1569=0,"",ORIG!F1569)</f>
        <v/>
      </c>
      <c r="G1569" s="3">
        <f>IF(ORIG!G1569=0,"",ORIG!G1569)</f>
        <v/>
      </c>
      <c r="H1569" s="3">
        <f>IF(ORIG!H1569=0,"",ORIG!H1569)</f>
        <v/>
      </c>
      <c r="I1569" s="3">
        <f>IF(ORIG!I1569=0,"",ORIG!I1569)</f>
        <v/>
      </c>
      <c r="J1569" s="3">
        <f>IF(ORIG!J1569=0,"",ORIG!J1569)</f>
        <v/>
      </c>
      <c r="K1569" s="3">
        <f>IF(ORIG!K1569=0,"",ORIG!K1569)</f>
        <v/>
      </c>
      <c r="L1569" s="3">
        <f>IF(ORIG!L1569=0,"",ORIG!L1569)</f>
        <v/>
      </c>
      <c r="M1569" s="3">
        <f>IF(ORIG!M1569=0,"",ORIG!M1569)</f>
        <v/>
      </c>
      <c r="N1569" s="3">
        <f>IF(ORIG!N1569=0,"",ORIG!N1569)</f>
        <v/>
      </c>
      <c r="O1569" s="3">
        <f>IF(ORIG!O1569=0,"",ORIG!O1569)</f>
        <v/>
      </c>
      <c r="P1569" s="3">
        <f>IF(ORIG!P1569=0,"",ORIG!P1569)</f>
        <v/>
      </c>
      <c r="Q1569" s="3">
        <f>IF(ORIG!Q1569=0,"",ORIG!Q1569)</f>
        <v/>
      </c>
      <c r="R1569" s="3">
        <f>IF(ORIG!R1569=0,"",ORIG!R1569)</f>
        <v/>
      </c>
      <c r="S1569" s="3">
        <f>IF(ORIG!S1569=0,"",ORIG!S1569)</f>
        <v/>
      </c>
      <c r="T1569" s="3">
        <f>IF(ORIG!T1569=0,"",ORIG!T1569)</f>
        <v/>
      </c>
      <c r="U1569" s="3">
        <f>IF(ORIG!U1569=0,"",ORIG!U1569)</f>
        <v/>
      </c>
      <c r="V1569" s="9">
        <f>IF(ORIG!V1569=0,"",ORIG!V1569)</f>
        <v/>
      </c>
      <c r="W1569" s="9">
        <f>IF(ORIG!W1569=0,"",ORIG!W1569)</f>
        <v/>
      </c>
      <c r="X1569" s="9">
        <f>IF(ORIG!X1569=0,"",ORIG!X1569)</f>
        <v/>
      </c>
      <c r="Y1569" s="9">
        <f>IF(ORIG!Y1569=0,"",ORIG!Y1569)</f>
        <v/>
      </c>
      <c r="Z1569" s="3">
        <f>SUMPRODUCT($B1569:$Y1569,$B$2649:$Y$2649)</f>
        <v/>
      </c>
      <c r="AA1569" s="3">
        <f>SUMPRODUCT($B1569:$Y1569,$B$2655:$Y$2655)</f>
        <v/>
      </c>
      <c r="AC1569" s="1">
        <f>A1569</f>
        <v/>
      </c>
      <c r="AD1569">
        <f>IF(ISNUMBER(V1569),V1569*($AB$1/V$2635),"")</f>
        <v/>
      </c>
      <c r="AE1569">
        <f>IF(ISNUMBER(Z1569),Z1569*($AB$1/Z$2635),"")</f>
        <v/>
      </c>
      <c r="AF1569" s="25">
        <f>IF(ISNUMBER(AD1569+AE1569),AD1569+AE1569,"")</f>
        <v/>
      </c>
      <c r="AH1569" s="1">
        <f>A1569</f>
        <v/>
      </c>
      <c r="AI1569">
        <f>IF(ISNUMBER((1+V1569)*AI1568),(1+V1569)*AI1568,AI1568)</f>
        <v/>
      </c>
      <c r="AJ1569">
        <f>IF(ISNUMBER((1+Z1569)*AJ1568),(1+Z1569)*AJ1568,AJ1568)</f>
        <v/>
      </c>
    </row>
    <row r="1570">
      <c r="A1570" s="1" t="n">
        <v>44280</v>
      </c>
      <c r="B1570" s="3">
        <f>IF(ORIG!B1570=0,"",ORIG!B1570)</f>
        <v/>
      </c>
      <c r="C1570" s="3">
        <f>IF(ORIG!C1570=0,"",ORIG!C1570)</f>
        <v/>
      </c>
      <c r="D1570" s="3">
        <f>IF(ORIG!D1570=0,"",ORIG!D1570)</f>
        <v/>
      </c>
      <c r="E1570" s="3">
        <f>IF(ORIG!E1570=0,"",ORIG!E1570)</f>
        <v/>
      </c>
      <c r="F1570" s="3">
        <f>IF(ORIG!F1570=0,"",ORIG!F1570)</f>
        <v/>
      </c>
      <c r="G1570" s="3">
        <f>IF(ORIG!G1570=0,"",ORIG!G1570)</f>
        <v/>
      </c>
      <c r="H1570" s="3">
        <f>IF(ORIG!H1570=0,"",ORIG!H1570)</f>
        <v/>
      </c>
      <c r="I1570" s="3">
        <f>IF(ORIG!I1570=0,"",ORIG!I1570)</f>
        <v/>
      </c>
      <c r="J1570" s="3">
        <f>IF(ORIG!J1570=0,"",ORIG!J1570)</f>
        <v/>
      </c>
      <c r="K1570" s="3">
        <f>IF(ORIG!K1570=0,"",ORIG!K1570)</f>
        <v/>
      </c>
      <c r="L1570" s="3">
        <f>IF(ORIG!L1570=0,"",ORIG!L1570)</f>
        <v/>
      </c>
      <c r="M1570" s="3">
        <f>IF(ORIG!M1570=0,"",ORIG!M1570)</f>
        <v/>
      </c>
      <c r="N1570" s="3">
        <f>IF(ORIG!N1570=0,"",ORIG!N1570)</f>
        <v/>
      </c>
      <c r="O1570" s="3">
        <f>IF(ORIG!O1570=0,"",ORIG!O1570)</f>
        <v/>
      </c>
      <c r="P1570" s="3">
        <f>IF(ORIG!P1570=0,"",ORIG!P1570)</f>
        <v/>
      </c>
      <c r="Q1570" s="3">
        <f>IF(ORIG!Q1570=0,"",ORIG!Q1570)</f>
        <v/>
      </c>
      <c r="R1570" s="3">
        <f>IF(ORIG!R1570=0,"",ORIG!R1570)</f>
        <v/>
      </c>
      <c r="S1570" s="3">
        <f>IF(ORIG!S1570=0,"",ORIG!S1570)</f>
        <v/>
      </c>
      <c r="T1570" s="3">
        <f>IF(ORIG!T1570=0,"",ORIG!T1570)</f>
        <v/>
      </c>
      <c r="U1570" s="3">
        <f>IF(ORIG!U1570=0,"",ORIG!U1570)</f>
        <v/>
      </c>
      <c r="V1570" s="9">
        <f>IF(ORIG!V1570=0,"",ORIG!V1570)</f>
        <v/>
      </c>
      <c r="W1570" s="9">
        <f>IF(ORIG!W1570=0,"",ORIG!W1570)</f>
        <v/>
      </c>
      <c r="X1570" s="9">
        <f>IF(ORIG!X1570=0,"",ORIG!X1570)</f>
        <v/>
      </c>
      <c r="Y1570" s="9">
        <f>IF(ORIG!Y1570=0,"",ORIG!Y1570)</f>
        <v/>
      </c>
      <c r="Z1570" s="3">
        <f>SUMPRODUCT($B1570:$Y1570,$B$2649:$Y$2649)</f>
        <v/>
      </c>
      <c r="AA1570" s="3">
        <f>SUMPRODUCT($B1570:$Y1570,$B$2655:$Y$2655)</f>
        <v/>
      </c>
      <c r="AC1570" s="1">
        <f>A1570</f>
        <v/>
      </c>
      <c r="AD1570">
        <f>IF(ISNUMBER(V1570),V1570*($AB$1/V$2635),"")</f>
        <v/>
      </c>
      <c r="AE1570">
        <f>IF(ISNUMBER(Z1570),Z1570*($AB$1/Z$2635),"")</f>
        <v/>
      </c>
      <c r="AF1570" s="25">
        <f>IF(ISNUMBER(AD1570+AE1570),AD1570+AE1570,"")</f>
        <v/>
      </c>
      <c r="AH1570" s="1">
        <f>A1570</f>
        <v/>
      </c>
      <c r="AI1570">
        <f>IF(ISNUMBER((1+V1570)*AI1569),(1+V1570)*AI1569,AI1569)</f>
        <v/>
      </c>
      <c r="AJ1570">
        <f>IF(ISNUMBER((1+Z1570)*AJ1569),(1+Z1570)*AJ1569,AJ1569)</f>
        <v/>
      </c>
    </row>
    <row r="1571">
      <c r="A1571" s="1" t="n">
        <v>44281</v>
      </c>
      <c r="B1571" s="3">
        <f>IF(ORIG!B1571=0,"",ORIG!B1571)</f>
        <v/>
      </c>
      <c r="C1571" s="3">
        <f>IF(ORIG!C1571=0,"",ORIG!C1571)</f>
        <v/>
      </c>
      <c r="D1571" s="3">
        <f>IF(ORIG!D1571=0,"",ORIG!D1571)</f>
        <v/>
      </c>
      <c r="E1571" s="3">
        <f>IF(ORIG!E1571=0,"",ORIG!E1571)</f>
        <v/>
      </c>
      <c r="F1571" s="3">
        <f>IF(ORIG!F1571=0,"",ORIG!F1571)</f>
        <v/>
      </c>
      <c r="G1571" s="3">
        <f>IF(ORIG!G1571=0,"",ORIG!G1571)</f>
        <v/>
      </c>
      <c r="H1571" s="3">
        <f>IF(ORIG!H1571=0,"",ORIG!H1571)</f>
        <v/>
      </c>
      <c r="I1571" s="3">
        <f>IF(ORIG!I1571=0,"",ORIG!I1571)</f>
        <v/>
      </c>
      <c r="J1571" s="3">
        <f>IF(ORIG!J1571=0,"",ORIG!J1571)</f>
        <v/>
      </c>
      <c r="K1571" s="3">
        <f>IF(ORIG!K1571=0,"",ORIG!K1571)</f>
        <v/>
      </c>
      <c r="L1571" s="3">
        <f>IF(ORIG!L1571=0,"",ORIG!L1571)</f>
        <v/>
      </c>
      <c r="M1571" s="3">
        <f>IF(ORIG!M1571=0,"",ORIG!M1571)</f>
        <v/>
      </c>
      <c r="N1571" s="3">
        <f>IF(ORIG!N1571=0,"",ORIG!N1571)</f>
        <v/>
      </c>
      <c r="O1571" s="3">
        <f>IF(ORIG!O1571=0,"",ORIG!O1571)</f>
        <v/>
      </c>
      <c r="P1571" s="3">
        <f>IF(ORIG!P1571=0,"",ORIG!P1571)</f>
        <v/>
      </c>
      <c r="Q1571" s="3">
        <f>IF(ORIG!Q1571=0,"",ORIG!Q1571)</f>
        <v/>
      </c>
      <c r="R1571" s="3">
        <f>IF(ORIG!R1571=0,"",ORIG!R1571)</f>
        <v/>
      </c>
      <c r="S1571" s="3">
        <f>IF(ORIG!S1571=0,"",ORIG!S1571)</f>
        <v/>
      </c>
      <c r="T1571" s="3">
        <f>IF(ORIG!T1571=0,"",ORIG!T1571)</f>
        <v/>
      </c>
      <c r="U1571" s="3">
        <f>IF(ORIG!U1571=0,"",ORIG!U1571)</f>
        <v/>
      </c>
      <c r="V1571" s="9">
        <f>IF(ORIG!V1571=0,"",ORIG!V1571)</f>
        <v/>
      </c>
      <c r="W1571" s="9">
        <f>IF(ORIG!W1571=0,"",ORIG!W1571)</f>
        <v/>
      </c>
      <c r="X1571" s="9">
        <f>IF(ORIG!X1571=0,"",ORIG!X1571)</f>
        <v/>
      </c>
      <c r="Y1571" s="9">
        <f>IF(ORIG!Y1571=0,"",ORIG!Y1571)</f>
        <v/>
      </c>
      <c r="Z1571" s="3">
        <f>SUMPRODUCT($B1571:$Y1571,$B$2649:$Y$2649)</f>
        <v/>
      </c>
      <c r="AA1571" s="3">
        <f>SUMPRODUCT($B1571:$Y1571,$B$2655:$Y$2655)</f>
        <v/>
      </c>
      <c r="AC1571" s="1">
        <f>A1571</f>
        <v/>
      </c>
      <c r="AD1571">
        <f>IF(ISNUMBER(V1571),V1571*($AB$1/V$2635),"")</f>
        <v/>
      </c>
      <c r="AE1571">
        <f>IF(ISNUMBER(Z1571),Z1571*($AB$1/Z$2635),"")</f>
        <v/>
      </c>
      <c r="AF1571" s="25">
        <f>IF(ISNUMBER(AD1571+AE1571),AD1571+AE1571,"")</f>
        <v/>
      </c>
      <c r="AH1571" s="1">
        <f>A1571</f>
        <v/>
      </c>
      <c r="AI1571">
        <f>IF(ISNUMBER((1+V1571)*AI1570),(1+V1571)*AI1570,AI1570)</f>
        <v/>
      </c>
      <c r="AJ1571">
        <f>IF(ISNUMBER((1+Z1571)*AJ1570),(1+Z1571)*AJ1570,AJ1570)</f>
        <v/>
      </c>
    </row>
    <row r="1572">
      <c r="A1572" s="1" t="n">
        <v>44284</v>
      </c>
      <c r="B1572" s="3">
        <f>IF(ORIG!B1572=0,"",ORIG!B1572)</f>
        <v/>
      </c>
      <c r="C1572" s="3">
        <f>IF(ORIG!C1572=0,"",ORIG!C1572)</f>
        <v/>
      </c>
      <c r="D1572" s="3">
        <f>IF(ORIG!D1572=0,"",ORIG!D1572)</f>
        <v/>
      </c>
      <c r="E1572" s="3">
        <f>IF(ORIG!E1572=0,"",ORIG!E1572)</f>
        <v/>
      </c>
      <c r="F1572" s="3">
        <f>IF(ORIG!F1572=0,"",ORIG!F1572)</f>
        <v/>
      </c>
      <c r="G1572" s="3">
        <f>IF(ORIG!G1572=0,"",ORIG!G1572)</f>
        <v/>
      </c>
      <c r="H1572" s="3">
        <f>IF(ORIG!H1572=0,"",ORIG!H1572)</f>
        <v/>
      </c>
      <c r="I1572" s="3">
        <f>IF(ORIG!I1572=0,"",ORIG!I1572)</f>
        <v/>
      </c>
      <c r="J1572" s="3">
        <f>IF(ORIG!J1572=0,"",ORIG!J1572)</f>
        <v/>
      </c>
      <c r="K1572" s="3">
        <f>IF(ORIG!K1572=0,"",ORIG!K1572)</f>
        <v/>
      </c>
      <c r="L1572" s="3">
        <f>IF(ORIG!L1572=0,"",ORIG!L1572)</f>
        <v/>
      </c>
      <c r="M1572" s="3">
        <f>IF(ORIG!M1572=0,"",ORIG!M1572)</f>
        <v/>
      </c>
      <c r="N1572" s="3">
        <f>IF(ORIG!N1572=0,"",ORIG!N1572)</f>
        <v/>
      </c>
      <c r="O1572" s="3">
        <f>IF(ORIG!O1572=0,"",ORIG!O1572)</f>
        <v/>
      </c>
      <c r="P1572" s="3">
        <f>IF(ORIG!P1572=0,"",ORIG!P1572)</f>
        <v/>
      </c>
      <c r="Q1572" s="3">
        <f>IF(ORIG!Q1572=0,"",ORIG!Q1572)</f>
        <v/>
      </c>
      <c r="R1572" s="3">
        <f>IF(ORIG!R1572=0,"",ORIG!R1572)</f>
        <v/>
      </c>
      <c r="S1572" s="3">
        <f>IF(ORIG!S1572=0,"",ORIG!S1572)</f>
        <v/>
      </c>
      <c r="T1572" s="3">
        <f>IF(ORIG!T1572=0,"",ORIG!T1572)</f>
        <v/>
      </c>
      <c r="U1572" s="3">
        <f>IF(ORIG!U1572=0,"",ORIG!U1572)</f>
        <v/>
      </c>
      <c r="V1572" s="9">
        <f>IF(ORIG!V1572=0,"",ORIG!V1572)</f>
        <v/>
      </c>
      <c r="W1572" s="9">
        <f>IF(ORIG!W1572=0,"",ORIG!W1572)</f>
        <v/>
      </c>
      <c r="X1572" s="9">
        <f>IF(ORIG!X1572=0,"",ORIG!X1572)</f>
        <v/>
      </c>
      <c r="Y1572" s="9">
        <f>IF(ORIG!Y1572=0,"",ORIG!Y1572)</f>
        <v/>
      </c>
      <c r="Z1572" s="3">
        <f>SUMPRODUCT($B1572:$Y1572,$B$2649:$Y$2649)</f>
        <v/>
      </c>
      <c r="AA1572" s="3">
        <f>SUMPRODUCT($B1572:$Y1572,$B$2655:$Y$2655)</f>
        <v/>
      </c>
      <c r="AC1572" s="1">
        <f>A1572</f>
        <v/>
      </c>
      <c r="AD1572">
        <f>IF(ISNUMBER(V1572),V1572*($AB$1/V$2635),"")</f>
        <v/>
      </c>
      <c r="AE1572">
        <f>IF(ISNUMBER(Z1572),Z1572*($AB$1/Z$2635),"")</f>
        <v/>
      </c>
      <c r="AF1572" s="25">
        <f>IF(ISNUMBER(AD1572+AE1572),AD1572+AE1572,"")</f>
        <v/>
      </c>
      <c r="AH1572" s="1">
        <f>A1572</f>
        <v/>
      </c>
      <c r="AI1572">
        <f>IF(ISNUMBER((1+V1572)*AI1571),(1+V1572)*AI1571,AI1571)</f>
        <v/>
      </c>
      <c r="AJ1572">
        <f>IF(ISNUMBER((1+Z1572)*AJ1571),(1+Z1572)*AJ1571,AJ1571)</f>
        <v/>
      </c>
    </row>
    <row r="1573">
      <c r="A1573" s="1" t="n">
        <v>44285</v>
      </c>
      <c r="B1573" s="3">
        <f>IF(ORIG!B1573=0,"",ORIG!B1573)</f>
        <v/>
      </c>
      <c r="C1573" s="3">
        <f>IF(ORIG!C1573=0,"",ORIG!C1573)</f>
        <v/>
      </c>
      <c r="D1573" s="3">
        <f>IF(ORIG!D1573=0,"",ORIG!D1573)</f>
        <v/>
      </c>
      <c r="E1573" s="3">
        <f>IF(ORIG!E1573=0,"",ORIG!E1573)</f>
        <v/>
      </c>
      <c r="F1573" s="3">
        <f>IF(ORIG!F1573=0,"",ORIG!F1573)</f>
        <v/>
      </c>
      <c r="G1573" s="3">
        <f>IF(ORIG!G1573=0,"",ORIG!G1573)</f>
        <v/>
      </c>
      <c r="H1573" s="3">
        <f>IF(ORIG!H1573=0,"",ORIG!H1573)</f>
        <v/>
      </c>
      <c r="I1573" s="3">
        <f>IF(ORIG!I1573=0,"",ORIG!I1573)</f>
        <v/>
      </c>
      <c r="J1573" s="3">
        <f>IF(ORIG!J1573=0,"",ORIG!J1573)</f>
        <v/>
      </c>
      <c r="K1573" s="3">
        <f>IF(ORIG!K1573=0,"",ORIG!K1573)</f>
        <v/>
      </c>
      <c r="L1573" s="3">
        <f>IF(ORIG!L1573=0,"",ORIG!L1573)</f>
        <v/>
      </c>
      <c r="M1573" s="3">
        <f>IF(ORIG!M1573=0,"",ORIG!M1573)</f>
        <v/>
      </c>
      <c r="N1573" s="3">
        <f>IF(ORIG!N1573=0,"",ORIG!N1573)</f>
        <v/>
      </c>
      <c r="O1573" s="3">
        <f>IF(ORIG!O1573=0,"",ORIG!O1573)</f>
        <v/>
      </c>
      <c r="P1573" s="3">
        <f>IF(ORIG!P1573=0,"",ORIG!P1573)</f>
        <v/>
      </c>
      <c r="Q1573" s="3">
        <f>IF(ORIG!Q1573=0,"",ORIG!Q1573)</f>
        <v/>
      </c>
      <c r="R1573" s="3">
        <f>IF(ORIG!R1573=0,"",ORIG!R1573)</f>
        <v/>
      </c>
      <c r="S1573" s="3">
        <f>IF(ORIG!S1573=0,"",ORIG!S1573)</f>
        <v/>
      </c>
      <c r="T1573" s="3">
        <f>IF(ORIG!T1573=0,"",ORIG!T1573)</f>
        <v/>
      </c>
      <c r="U1573" s="3">
        <f>IF(ORIG!U1573=0,"",ORIG!U1573)</f>
        <v/>
      </c>
      <c r="V1573" s="9">
        <f>IF(ORIG!V1573=0,"",ORIG!V1573)</f>
        <v/>
      </c>
      <c r="W1573" s="9">
        <f>IF(ORIG!W1573=0,"",ORIG!W1573)</f>
        <v/>
      </c>
      <c r="X1573" s="9">
        <f>IF(ORIG!X1573=0,"",ORIG!X1573)</f>
        <v/>
      </c>
      <c r="Y1573" s="9">
        <f>IF(ORIG!Y1573=0,"",ORIG!Y1573)</f>
        <v/>
      </c>
      <c r="Z1573" s="3">
        <f>SUMPRODUCT($B1573:$Y1573,$B$2649:$Y$2649)</f>
        <v/>
      </c>
      <c r="AA1573" s="3">
        <f>SUMPRODUCT($B1573:$Y1573,$B$2655:$Y$2655)</f>
        <v/>
      </c>
      <c r="AC1573" s="1">
        <f>A1573</f>
        <v/>
      </c>
      <c r="AD1573">
        <f>IF(ISNUMBER(V1573),V1573*($AB$1/V$2635),"")</f>
        <v/>
      </c>
      <c r="AE1573">
        <f>IF(ISNUMBER(Z1573),Z1573*($AB$1/Z$2635),"")</f>
        <v/>
      </c>
      <c r="AF1573" s="25">
        <f>IF(ISNUMBER(AD1573+AE1573),AD1573+AE1573,"")</f>
        <v/>
      </c>
      <c r="AH1573" s="1">
        <f>A1573</f>
        <v/>
      </c>
      <c r="AI1573">
        <f>IF(ISNUMBER((1+V1573)*AI1572),(1+V1573)*AI1572,AI1572)</f>
        <v/>
      </c>
      <c r="AJ1573">
        <f>IF(ISNUMBER((1+Z1573)*AJ1572),(1+Z1573)*AJ1572,AJ1572)</f>
        <v/>
      </c>
    </row>
    <row r="1574">
      <c r="A1574" s="1" t="n">
        <v>44286</v>
      </c>
      <c r="B1574" s="3">
        <f>IF(ORIG!B1574=0,"",ORIG!B1574)</f>
        <v/>
      </c>
      <c r="C1574" s="3">
        <f>IF(ORIG!C1574=0,"",ORIG!C1574)</f>
        <v/>
      </c>
      <c r="D1574" s="3">
        <f>IF(ORIG!D1574=0,"",ORIG!D1574)</f>
        <v/>
      </c>
      <c r="E1574" s="3">
        <f>IF(ORIG!E1574=0,"",ORIG!E1574)</f>
        <v/>
      </c>
      <c r="F1574" s="3">
        <f>IF(ORIG!F1574=0,"",ORIG!F1574)</f>
        <v/>
      </c>
      <c r="G1574" s="3">
        <f>IF(ORIG!G1574=0,"",ORIG!G1574)</f>
        <v/>
      </c>
      <c r="H1574" s="3">
        <f>IF(ORIG!H1574=0,"",ORIG!H1574)</f>
        <v/>
      </c>
      <c r="I1574" s="3">
        <f>IF(ORIG!I1574=0,"",ORIG!I1574)</f>
        <v/>
      </c>
      <c r="J1574" s="3">
        <f>IF(ORIG!J1574=0,"",ORIG!J1574)</f>
        <v/>
      </c>
      <c r="K1574" s="3">
        <f>IF(ORIG!K1574=0,"",ORIG!K1574)</f>
        <v/>
      </c>
      <c r="L1574" s="3">
        <f>IF(ORIG!L1574=0,"",ORIG!L1574)</f>
        <v/>
      </c>
      <c r="M1574" s="3">
        <f>IF(ORIG!M1574=0,"",ORIG!M1574)</f>
        <v/>
      </c>
      <c r="N1574" s="3">
        <f>IF(ORIG!N1574=0,"",ORIG!N1574)</f>
        <v/>
      </c>
      <c r="O1574" s="3">
        <f>IF(ORIG!O1574=0,"",ORIG!O1574)</f>
        <v/>
      </c>
      <c r="P1574" s="3">
        <f>IF(ORIG!P1574=0,"",ORIG!P1574)</f>
        <v/>
      </c>
      <c r="Q1574" s="3">
        <f>IF(ORIG!Q1574=0,"",ORIG!Q1574)</f>
        <v/>
      </c>
      <c r="R1574" s="3">
        <f>IF(ORIG!R1574=0,"",ORIG!R1574)</f>
        <v/>
      </c>
      <c r="S1574" s="3">
        <f>IF(ORIG!S1574=0,"",ORIG!S1574)</f>
        <v/>
      </c>
      <c r="T1574" s="3">
        <f>IF(ORIG!T1574=0,"",ORIG!T1574)</f>
        <v/>
      </c>
      <c r="U1574" s="3">
        <f>IF(ORIG!U1574=0,"",ORIG!U1574)</f>
        <v/>
      </c>
      <c r="V1574" s="9">
        <f>IF(ORIG!V1574=0,"",ORIG!V1574)</f>
        <v/>
      </c>
      <c r="W1574" s="9">
        <f>IF(ORIG!W1574=0,"",ORIG!W1574)</f>
        <v/>
      </c>
      <c r="X1574" s="9">
        <f>IF(ORIG!X1574=0,"",ORIG!X1574)</f>
        <v/>
      </c>
      <c r="Y1574" s="9">
        <f>IF(ORIG!Y1574=0,"",ORIG!Y1574)</f>
        <v/>
      </c>
      <c r="Z1574" s="3">
        <f>SUMPRODUCT($B1574:$Y1574,$B$2649:$Y$2649)</f>
        <v/>
      </c>
      <c r="AA1574" s="3">
        <f>SUMPRODUCT($B1574:$Y1574,$B$2655:$Y$2655)</f>
        <v/>
      </c>
      <c r="AC1574" s="1">
        <f>A1574</f>
        <v/>
      </c>
      <c r="AD1574">
        <f>IF(ISNUMBER(V1574),V1574*($AB$1/V$2635),"")</f>
        <v/>
      </c>
      <c r="AE1574">
        <f>IF(ISNUMBER(Z1574),Z1574*($AB$1/Z$2635),"")</f>
        <v/>
      </c>
      <c r="AF1574" s="25">
        <f>IF(ISNUMBER(AD1574+AE1574),AD1574+AE1574,"")</f>
        <v/>
      </c>
      <c r="AH1574" s="1">
        <f>A1574</f>
        <v/>
      </c>
      <c r="AI1574">
        <f>IF(ISNUMBER((1+V1574)*AI1573),(1+V1574)*AI1573,AI1573)</f>
        <v/>
      </c>
      <c r="AJ1574">
        <f>IF(ISNUMBER((1+Z1574)*AJ1573),(1+Z1574)*AJ1573,AJ1573)</f>
        <v/>
      </c>
    </row>
    <row r="1575">
      <c r="A1575" s="1" t="n">
        <v>44287</v>
      </c>
      <c r="B1575" s="3">
        <f>IF(ORIG!B1575=0,"",ORIG!B1575)</f>
        <v/>
      </c>
      <c r="C1575" s="3">
        <f>IF(ORIG!C1575=0,"",ORIG!C1575)</f>
        <v/>
      </c>
      <c r="D1575" s="3">
        <f>IF(ORIG!D1575=0,"",ORIG!D1575)</f>
        <v/>
      </c>
      <c r="E1575" s="3">
        <f>IF(ORIG!E1575=0,"",ORIG!E1575)</f>
        <v/>
      </c>
      <c r="F1575" s="3">
        <f>IF(ORIG!F1575=0,"",ORIG!F1575)</f>
        <v/>
      </c>
      <c r="G1575" s="3">
        <f>IF(ORIG!G1575=0,"",ORIG!G1575)</f>
        <v/>
      </c>
      <c r="H1575" s="3">
        <f>IF(ORIG!H1575=0,"",ORIG!H1575)</f>
        <v/>
      </c>
      <c r="I1575" s="3">
        <f>IF(ORIG!I1575=0,"",ORIG!I1575)</f>
        <v/>
      </c>
      <c r="J1575" s="3">
        <f>IF(ORIG!J1575=0,"",ORIG!J1575)</f>
        <v/>
      </c>
      <c r="K1575" s="3">
        <f>IF(ORIG!K1575=0,"",ORIG!K1575)</f>
        <v/>
      </c>
      <c r="L1575" s="3">
        <f>IF(ORIG!L1575=0,"",ORIG!L1575)</f>
        <v/>
      </c>
      <c r="M1575" s="3">
        <f>IF(ORIG!M1575=0,"",ORIG!M1575)</f>
        <v/>
      </c>
      <c r="N1575" s="3">
        <f>IF(ORIG!N1575=0,"",ORIG!N1575)</f>
        <v/>
      </c>
      <c r="O1575" s="3">
        <f>IF(ORIG!O1575=0,"",ORIG!O1575)</f>
        <v/>
      </c>
      <c r="P1575" s="3">
        <f>IF(ORIG!P1575=0,"",ORIG!P1575)</f>
        <v/>
      </c>
      <c r="Q1575" s="3">
        <f>IF(ORIG!Q1575=0,"",ORIG!Q1575)</f>
        <v/>
      </c>
      <c r="R1575" s="3">
        <f>IF(ORIG!R1575=0,"",ORIG!R1575)</f>
        <v/>
      </c>
      <c r="S1575" s="3">
        <f>IF(ORIG!S1575=0,"",ORIG!S1575)</f>
        <v/>
      </c>
      <c r="T1575" s="3">
        <f>IF(ORIG!T1575=0,"",ORIG!T1575)</f>
        <v/>
      </c>
      <c r="U1575" s="3">
        <f>IF(ORIG!U1575=0,"",ORIG!U1575)</f>
        <v/>
      </c>
      <c r="V1575" s="9">
        <f>IF(ORIG!V1575=0,"",ORIG!V1575)</f>
        <v/>
      </c>
      <c r="W1575" s="9">
        <f>IF(ORIG!W1575=0,"",ORIG!W1575)</f>
        <v/>
      </c>
      <c r="X1575" s="9">
        <f>IF(ORIG!X1575=0,"",ORIG!X1575)</f>
        <v/>
      </c>
      <c r="Y1575" s="9">
        <f>IF(ORIG!Y1575=0,"",ORIG!Y1575)</f>
        <v/>
      </c>
      <c r="Z1575" s="3">
        <f>SUMPRODUCT($B1575:$Y1575,$B$2649:$Y$2649)</f>
        <v/>
      </c>
      <c r="AA1575" s="3">
        <f>SUMPRODUCT($B1575:$Y1575,$B$2655:$Y$2655)</f>
        <v/>
      </c>
      <c r="AC1575" s="1">
        <f>A1575</f>
        <v/>
      </c>
      <c r="AD1575">
        <f>IF(ISNUMBER(V1575),V1575*($AB$1/V$2635),"")</f>
        <v/>
      </c>
      <c r="AE1575">
        <f>IF(ISNUMBER(Z1575),Z1575*($AB$1/Z$2635),"")</f>
        <v/>
      </c>
      <c r="AF1575" s="25">
        <f>IF(ISNUMBER(AD1575+AE1575),AD1575+AE1575,"")</f>
        <v/>
      </c>
      <c r="AH1575" s="1">
        <f>A1575</f>
        <v/>
      </c>
      <c r="AI1575">
        <f>IF(ISNUMBER((1+V1575)*AI1574),(1+V1575)*AI1574,AI1574)</f>
        <v/>
      </c>
      <c r="AJ1575">
        <f>IF(ISNUMBER((1+Z1575)*AJ1574),(1+Z1575)*AJ1574,AJ1574)</f>
        <v/>
      </c>
    </row>
    <row r="1576">
      <c r="A1576" s="1" t="n">
        <v>44291</v>
      </c>
      <c r="B1576" s="3">
        <f>IF(ORIG!B1576=0,"",ORIG!B1576)</f>
        <v/>
      </c>
      <c r="C1576" s="3">
        <f>IF(ORIG!C1576=0,"",ORIG!C1576)</f>
        <v/>
      </c>
      <c r="D1576" s="3">
        <f>IF(ORIG!D1576=0,"",ORIG!D1576)</f>
        <v/>
      </c>
      <c r="E1576" s="3">
        <f>IF(ORIG!E1576=0,"",ORIG!E1576)</f>
        <v/>
      </c>
      <c r="F1576" s="3">
        <f>IF(ORIG!F1576=0,"",ORIG!F1576)</f>
        <v/>
      </c>
      <c r="G1576" s="3">
        <f>IF(ORIG!G1576=0,"",ORIG!G1576)</f>
        <v/>
      </c>
      <c r="H1576" s="3">
        <f>IF(ORIG!H1576=0,"",ORIG!H1576)</f>
        <v/>
      </c>
      <c r="I1576" s="3">
        <f>IF(ORIG!I1576=0,"",ORIG!I1576)</f>
        <v/>
      </c>
      <c r="J1576" s="3">
        <f>IF(ORIG!J1576=0,"",ORIG!J1576)</f>
        <v/>
      </c>
      <c r="K1576" s="3">
        <f>IF(ORIG!K1576=0,"",ORIG!K1576)</f>
        <v/>
      </c>
      <c r="L1576" s="3">
        <f>IF(ORIG!L1576=0,"",ORIG!L1576)</f>
        <v/>
      </c>
      <c r="M1576" s="3">
        <f>IF(ORIG!M1576=0,"",ORIG!M1576)</f>
        <v/>
      </c>
      <c r="N1576" s="3">
        <f>IF(ORIG!N1576=0,"",ORIG!N1576)</f>
        <v/>
      </c>
      <c r="O1576" s="3">
        <f>IF(ORIG!O1576=0,"",ORIG!O1576)</f>
        <v/>
      </c>
      <c r="P1576" s="3">
        <f>IF(ORIG!P1576=0,"",ORIG!P1576)</f>
        <v/>
      </c>
      <c r="Q1576" s="3">
        <f>IF(ORIG!Q1576=0,"",ORIG!Q1576)</f>
        <v/>
      </c>
      <c r="R1576" s="3">
        <f>IF(ORIG!R1576=0,"",ORIG!R1576)</f>
        <v/>
      </c>
      <c r="S1576" s="3">
        <f>IF(ORIG!S1576=0,"",ORIG!S1576)</f>
        <v/>
      </c>
      <c r="T1576" s="3">
        <f>IF(ORIG!T1576=0,"",ORIG!T1576)</f>
        <v/>
      </c>
      <c r="U1576" s="3">
        <f>IF(ORIG!U1576=0,"",ORIG!U1576)</f>
        <v/>
      </c>
      <c r="V1576" s="9">
        <f>IF(ORIG!V1576=0,"",ORIG!V1576)</f>
        <v/>
      </c>
      <c r="W1576" s="9">
        <f>IF(ORIG!W1576=0,"",ORIG!W1576)</f>
        <v/>
      </c>
      <c r="X1576" s="9">
        <f>IF(ORIG!X1576=0,"",ORIG!X1576)</f>
        <v/>
      </c>
      <c r="Y1576" s="9">
        <f>IF(ORIG!Y1576=0,"",ORIG!Y1576)</f>
        <v/>
      </c>
      <c r="Z1576" s="3">
        <f>SUMPRODUCT($B1576:$Y1576,$B$2649:$Y$2649)</f>
        <v/>
      </c>
      <c r="AA1576" s="3">
        <f>SUMPRODUCT($B1576:$Y1576,$B$2655:$Y$2655)</f>
        <v/>
      </c>
      <c r="AC1576" s="1">
        <f>A1576</f>
        <v/>
      </c>
      <c r="AD1576">
        <f>IF(ISNUMBER(V1576),V1576*($AB$1/V$2635),"")</f>
        <v/>
      </c>
      <c r="AE1576">
        <f>IF(ISNUMBER(Z1576),Z1576*($AB$1/Z$2635),"")</f>
        <v/>
      </c>
      <c r="AF1576" s="25">
        <f>IF(ISNUMBER(AD1576+AE1576),AD1576+AE1576,"")</f>
        <v/>
      </c>
      <c r="AH1576" s="1">
        <f>A1576</f>
        <v/>
      </c>
      <c r="AI1576">
        <f>IF(ISNUMBER((1+V1576)*AI1575),(1+V1576)*AI1575,AI1575)</f>
        <v/>
      </c>
      <c r="AJ1576">
        <f>IF(ISNUMBER((1+Z1576)*AJ1575),(1+Z1576)*AJ1575,AJ1575)</f>
        <v/>
      </c>
    </row>
    <row r="1577">
      <c r="A1577" s="1" t="n">
        <v>44292</v>
      </c>
      <c r="B1577" s="3">
        <f>IF(ORIG!B1577=0,"",ORIG!B1577)</f>
        <v/>
      </c>
      <c r="C1577" s="3">
        <f>IF(ORIG!C1577=0,"",ORIG!C1577)</f>
        <v/>
      </c>
      <c r="D1577" s="3">
        <f>IF(ORIG!D1577=0,"",ORIG!D1577)</f>
        <v/>
      </c>
      <c r="E1577" s="3">
        <f>IF(ORIG!E1577=0,"",ORIG!E1577)</f>
        <v/>
      </c>
      <c r="F1577" s="3">
        <f>IF(ORIG!F1577=0,"",ORIG!F1577)</f>
        <v/>
      </c>
      <c r="G1577" s="3">
        <f>IF(ORIG!G1577=0,"",ORIG!G1577)</f>
        <v/>
      </c>
      <c r="H1577" s="3">
        <f>IF(ORIG!H1577=0,"",ORIG!H1577)</f>
        <v/>
      </c>
      <c r="I1577" s="3">
        <f>IF(ORIG!I1577=0,"",ORIG!I1577)</f>
        <v/>
      </c>
      <c r="J1577" s="3">
        <f>IF(ORIG!J1577=0,"",ORIG!J1577)</f>
        <v/>
      </c>
      <c r="K1577" s="3">
        <f>IF(ORIG!K1577=0,"",ORIG!K1577)</f>
        <v/>
      </c>
      <c r="L1577" s="3">
        <f>IF(ORIG!L1577=0,"",ORIG!L1577)</f>
        <v/>
      </c>
      <c r="M1577" s="3">
        <f>IF(ORIG!M1577=0,"",ORIG!M1577)</f>
        <v/>
      </c>
      <c r="N1577" s="3">
        <f>IF(ORIG!N1577=0,"",ORIG!N1577)</f>
        <v/>
      </c>
      <c r="O1577" s="3">
        <f>IF(ORIG!O1577=0,"",ORIG!O1577)</f>
        <v/>
      </c>
      <c r="P1577" s="3">
        <f>IF(ORIG!P1577=0,"",ORIG!P1577)</f>
        <v/>
      </c>
      <c r="Q1577" s="3">
        <f>IF(ORIG!Q1577=0,"",ORIG!Q1577)</f>
        <v/>
      </c>
      <c r="R1577" s="3">
        <f>IF(ORIG!R1577=0,"",ORIG!R1577)</f>
        <v/>
      </c>
      <c r="S1577" s="3">
        <f>IF(ORIG!S1577=0,"",ORIG!S1577)</f>
        <v/>
      </c>
      <c r="T1577" s="3">
        <f>IF(ORIG!T1577=0,"",ORIG!T1577)</f>
        <v/>
      </c>
      <c r="U1577" s="3">
        <f>IF(ORIG!U1577=0,"",ORIG!U1577)</f>
        <v/>
      </c>
      <c r="V1577" s="9">
        <f>IF(ORIG!V1577=0,"",ORIG!V1577)</f>
        <v/>
      </c>
      <c r="W1577" s="9">
        <f>IF(ORIG!W1577=0,"",ORIG!W1577)</f>
        <v/>
      </c>
      <c r="X1577" s="9">
        <f>IF(ORIG!X1577=0,"",ORIG!X1577)</f>
        <v/>
      </c>
      <c r="Y1577" s="9">
        <f>IF(ORIG!Y1577=0,"",ORIG!Y1577)</f>
        <v/>
      </c>
      <c r="Z1577" s="3">
        <f>SUMPRODUCT($B1577:$Y1577,$B$2649:$Y$2649)</f>
        <v/>
      </c>
      <c r="AA1577" s="3">
        <f>SUMPRODUCT($B1577:$Y1577,$B$2655:$Y$2655)</f>
        <v/>
      </c>
      <c r="AC1577" s="1">
        <f>A1577</f>
        <v/>
      </c>
      <c r="AD1577">
        <f>IF(ISNUMBER(V1577),V1577*($AB$1/V$2635),"")</f>
        <v/>
      </c>
      <c r="AE1577">
        <f>IF(ISNUMBER(Z1577),Z1577*($AB$1/Z$2635),"")</f>
        <v/>
      </c>
      <c r="AF1577" s="25">
        <f>IF(ISNUMBER(AD1577+AE1577),AD1577+AE1577,"")</f>
        <v/>
      </c>
      <c r="AH1577" s="1">
        <f>A1577</f>
        <v/>
      </c>
      <c r="AI1577">
        <f>IF(ISNUMBER((1+V1577)*AI1576),(1+V1577)*AI1576,AI1576)</f>
        <v/>
      </c>
      <c r="AJ1577">
        <f>IF(ISNUMBER((1+Z1577)*AJ1576),(1+Z1577)*AJ1576,AJ1576)</f>
        <v/>
      </c>
    </row>
    <row r="1578">
      <c r="A1578" s="1" t="n">
        <v>44293</v>
      </c>
      <c r="B1578" s="3">
        <f>IF(ORIG!B1578=0,"",ORIG!B1578)</f>
        <v/>
      </c>
      <c r="C1578" s="3">
        <f>IF(ORIG!C1578=0,"",ORIG!C1578)</f>
        <v/>
      </c>
      <c r="D1578" s="3">
        <f>IF(ORIG!D1578=0,"",ORIG!D1578)</f>
        <v/>
      </c>
      <c r="E1578" s="3">
        <f>IF(ORIG!E1578=0,"",ORIG!E1578)</f>
        <v/>
      </c>
      <c r="F1578" s="3">
        <f>IF(ORIG!F1578=0,"",ORIG!F1578)</f>
        <v/>
      </c>
      <c r="G1578" s="3">
        <f>IF(ORIG!G1578=0,"",ORIG!G1578)</f>
        <v/>
      </c>
      <c r="H1578" s="3">
        <f>IF(ORIG!H1578=0,"",ORIG!H1578)</f>
        <v/>
      </c>
      <c r="I1578" s="3">
        <f>IF(ORIG!I1578=0,"",ORIG!I1578)</f>
        <v/>
      </c>
      <c r="J1578" s="3">
        <f>IF(ORIG!J1578=0,"",ORIG!J1578)</f>
        <v/>
      </c>
      <c r="K1578" s="3">
        <f>IF(ORIG!K1578=0,"",ORIG!K1578)</f>
        <v/>
      </c>
      <c r="L1578" s="3">
        <f>IF(ORIG!L1578=0,"",ORIG!L1578)</f>
        <v/>
      </c>
      <c r="M1578" s="3">
        <f>IF(ORIG!M1578=0,"",ORIG!M1578)</f>
        <v/>
      </c>
      <c r="N1578" s="3">
        <f>IF(ORIG!N1578=0,"",ORIG!N1578)</f>
        <v/>
      </c>
      <c r="O1578" s="3">
        <f>IF(ORIG!O1578=0,"",ORIG!O1578)</f>
        <v/>
      </c>
      <c r="P1578" s="3">
        <f>IF(ORIG!P1578=0,"",ORIG!P1578)</f>
        <v/>
      </c>
      <c r="Q1578" s="3">
        <f>IF(ORIG!Q1578=0,"",ORIG!Q1578)</f>
        <v/>
      </c>
      <c r="R1578" s="3">
        <f>IF(ORIG!R1578=0,"",ORIG!R1578)</f>
        <v/>
      </c>
      <c r="S1578" s="3">
        <f>IF(ORIG!S1578=0,"",ORIG!S1578)</f>
        <v/>
      </c>
      <c r="T1578" s="3">
        <f>IF(ORIG!T1578=0,"",ORIG!T1578)</f>
        <v/>
      </c>
      <c r="U1578" s="3">
        <f>IF(ORIG!U1578=0,"",ORIG!U1578)</f>
        <v/>
      </c>
      <c r="V1578" s="9">
        <f>IF(ORIG!V1578=0,"",ORIG!V1578)</f>
        <v/>
      </c>
      <c r="W1578" s="9">
        <f>IF(ORIG!W1578=0,"",ORIG!W1578)</f>
        <v/>
      </c>
      <c r="X1578" s="9">
        <f>IF(ORIG!X1578=0,"",ORIG!X1578)</f>
        <v/>
      </c>
      <c r="Y1578" s="9">
        <f>IF(ORIG!Y1578=0,"",ORIG!Y1578)</f>
        <v/>
      </c>
      <c r="Z1578" s="3">
        <f>SUMPRODUCT($B1578:$Y1578,$B$2649:$Y$2649)</f>
        <v/>
      </c>
      <c r="AA1578" s="3">
        <f>SUMPRODUCT($B1578:$Y1578,$B$2655:$Y$2655)</f>
        <v/>
      </c>
      <c r="AC1578" s="1">
        <f>A1578</f>
        <v/>
      </c>
      <c r="AD1578">
        <f>IF(ISNUMBER(V1578),V1578*($AB$1/V$2635),"")</f>
        <v/>
      </c>
      <c r="AE1578">
        <f>IF(ISNUMBER(Z1578),Z1578*($AB$1/Z$2635),"")</f>
        <v/>
      </c>
      <c r="AF1578" s="25">
        <f>IF(ISNUMBER(AD1578+AE1578),AD1578+AE1578,"")</f>
        <v/>
      </c>
      <c r="AH1578" s="1">
        <f>A1578</f>
        <v/>
      </c>
      <c r="AI1578">
        <f>IF(ISNUMBER((1+V1578)*AI1577),(1+V1578)*AI1577,AI1577)</f>
        <v/>
      </c>
      <c r="AJ1578">
        <f>IF(ISNUMBER((1+Z1578)*AJ1577),(1+Z1578)*AJ1577,AJ1577)</f>
        <v/>
      </c>
    </row>
    <row r="1579">
      <c r="A1579" s="1" t="n">
        <v>44294</v>
      </c>
      <c r="B1579" s="3">
        <f>IF(ORIG!B1579=0,"",ORIG!B1579)</f>
        <v/>
      </c>
      <c r="C1579" s="3">
        <f>IF(ORIG!C1579=0,"",ORIG!C1579)</f>
        <v/>
      </c>
      <c r="D1579" s="3">
        <f>IF(ORIG!D1579=0,"",ORIG!D1579)</f>
        <v/>
      </c>
      <c r="E1579" s="3">
        <f>IF(ORIG!E1579=0,"",ORIG!E1579)</f>
        <v/>
      </c>
      <c r="F1579" s="3">
        <f>IF(ORIG!F1579=0,"",ORIG!F1579)</f>
        <v/>
      </c>
      <c r="G1579" s="3">
        <f>IF(ORIG!G1579=0,"",ORIG!G1579)</f>
        <v/>
      </c>
      <c r="H1579" s="3">
        <f>IF(ORIG!H1579=0,"",ORIG!H1579)</f>
        <v/>
      </c>
      <c r="I1579" s="3">
        <f>IF(ORIG!I1579=0,"",ORIG!I1579)</f>
        <v/>
      </c>
      <c r="J1579" s="3">
        <f>IF(ORIG!J1579=0,"",ORIG!J1579)</f>
        <v/>
      </c>
      <c r="K1579" s="3">
        <f>IF(ORIG!K1579=0,"",ORIG!K1579)</f>
        <v/>
      </c>
      <c r="L1579" s="3">
        <f>IF(ORIG!L1579=0,"",ORIG!L1579)</f>
        <v/>
      </c>
      <c r="M1579" s="3">
        <f>IF(ORIG!M1579=0,"",ORIG!M1579)</f>
        <v/>
      </c>
      <c r="N1579" s="3">
        <f>IF(ORIG!N1579=0,"",ORIG!N1579)</f>
        <v/>
      </c>
      <c r="O1579" s="3">
        <f>IF(ORIG!O1579=0,"",ORIG!O1579)</f>
        <v/>
      </c>
      <c r="P1579" s="3">
        <f>IF(ORIG!P1579=0,"",ORIG!P1579)</f>
        <v/>
      </c>
      <c r="Q1579" s="3">
        <f>IF(ORIG!Q1579=0,"",ORIG!Q1579)</f>
        <v/>
      </c>
      <c r="R1579" s="3">
        <f>IF(ORIG!R1579=0,"",ORIG!R1579)</f>
        <v/>
      </c>
      <c r="S1579" s="3">
        <f>IF(ORIG!S1579=0,"",ORIG!S1579)</f>
        <v/>
      </c>
      <c r="T1579" s="3">
        <f>IF(ORIG!T1579=0,"",ORIG!T1579)</f>
        <v/>
      </c>
      <c r="U1579" s="3">
        <f>IF(ORIG!U1579=0,"",ORIG!U1579)</f>
        <v/>
      </c>
      <c r="V1579" s="9">
        <f>IF(ORIG!V1579=0,"",ORIG!V1579)</f>
        <v/>
      </c>
      <c r="W1579" s="9">
        <f>IF(ORIG!W1579=0,"",ORIG!W1579)</f>
        <v/>
      </c>
      <c r="X1579" s="9">
        <f>IF(ORIG!X1579=0,"",ORIG!X1579)</f>
        <v/>
      </c>
      <c r="Y1579" s="9">
        <f>IF(ORIG!Y1579=0,"",ORIG!Y1579)</f>
        <v/>
      </c>
      <c r="Z1579" s="3">
        <f>SUMPRODUCT($B1579:$Y1579,$B$2649:$Y$2649)</f>
        <v/>
      </c>
      <c r="AA1579" s="3">
        <f>SUMPRODUCT($B1579:$Y1579,$B$2655:$Y$2655)</f>
        <v/>
      </c>
      <c r="AC1579" s="1">
        <f>A1579</f>
        <v/>
      </c>
      <c r="AD1579">
        <f>IF(ISNUMBER(V1579),V1579*($AB$1/V$2635),"")</f>
        <v/>
      </c>
      <c r="AE1579">
        <f>IF(ISNUMBER(Z1579),Z1579*($AB$1/Z$2635),"")</f>
        <v/>
      </c>
      <c r="AF1579" s="25">
        <f>IF(ISNUMBER(AD1579+AE1579),AD1579+AE1579,"")</f>
        <v/>
      </c>
      <c r="AH1579" s="1">
        <f>A1579</f>
        <v/>
      </c>
      <c r="AI1579">
        <f>IF(ISNUMBER((1+V1579)*AI1578),(1+V1579)*AI1578,AI1578)</f>
        <v/>
      </c>
      <c r="AJ1579">
        <f>IF(ISNUMBER((1+Z1579)*AJ1578),(1+Z1579)*AJ1578,AJ1578)</f>
        <v/>
      </c>
    </row>
    <row r="1580">
      <c r="A1580" s="1" t="n">
        <v>44295</v>
      </c>
      <c r="B1580" s="3">
        <f>IF(ORIG!B1580=0,"",ORIG!B1580)</f>
        <v/>
      </c>
      <c r="C1580" s="3">
        <f>IF(ORIG!C1580=0,"",ORIG!C1580)</f>
        <v/>
      </c>
      <c r="D1580" s="3">
        <f>IF(ORIG!D1580=0,"",ORIG!D1580)</f>
        <v/>
      </c>
      <c r="E1580" s="3">
        <f>IF(ORIG!E1580=0,"",ORIG!E1580)</f>
        <v/>
      </c>
      <c r="F1580" s="3">
        <f>IF(ORIG!F1580=0,"",ORIG!F1580)</f>
        <v/>
      </c>
      <c r="G1580" s="3">
        <f>IF(ORIG!G1580=0,"",ORIG!G1580)</f>
        <v/>
      </c>
      <c r="H1580" s="3">
        <f>IF(ORIG!H1580=0,"",ORIG!H1580)</f>
        <v/>
      </c>
      <c r="I1580" s="3">
        <f>IF(ORIG!I1580=0,"",ORIG!I1580)</f>
        <v/>
      </c>
      <c r="J1580" s="3">
        <f>IF(ORIG!J1580=0,"",ORIG!J1580)</f>
        <v/>
      </c>
      <c r="K1580" s="3">
        <f>IF(ORIG!K1580=0,"",ORIG!K1580)</f>
        <v/>
      </c>
      <c r="L1580" s="3">
        <f>IF(ORIG!L1580=0,"",ORIG!L1580)</f>
        <v/>
      </c>
      <c r="M1580" s="3">
        <f>IF(ORIG!M1580=0,"",ORIG!M1580)</f>
        <v/>
      </c>
      <c r="N1580" s="3">
        <f>IF(ORIG!N1580=0,"",ORIG!N1580)</f>
        <v/>
      </c>
      <c r="O1580" s="3">
        <f>IF(ORIG!O1580=0,"",ORIG!O1580)</f>
        <v/>
      </c>
      <c r="P1580" s="3">
        <f>IF(ORIG!P1580=0,"",ORIG!P1580)</f>
        <v/>
      </c>
      <c r="Q1580" s="3">
        <f>IF(ORIG!Q1580=0,"",ORIG!Q1580)</f>
        <v/>
      </c>
      <c r="R1580" s="3">
        <f>IF(ORIG!R1580=0,"",ORIG!R1580)</f>
        <v/>
      </c>
      <c r="S1580" s="3">
        <f>IF(ORIG!S1580=0,"",ORIG!S1580)</f>
        <v/>
      </c>
      <c r="T1580" s="3">
        <f>IF(ORIG!T1580=0,"",ORIG!T1580)</f>
        <v/>
      </c>
      <c r="U1580" s="3">
        <f>IF(ORIG!U1580=0,"",ORIG!U1580)</f>
        <v/>
      </c>
      <c r="V1580" s="9">
        <f>IF(ORIG!V1580=0,"",ORIG!V1580)</f>
        <v/>
      </c>
      <c r="W1580" s="9">
        <f>IF(ORIG!W1580=0,"",ORIG!W1580)</f>
        <v/>
      </c>
      <c r="X1580" s="9">
        <f>IF(ORIG!X1580=0,"",ORIG!X1580)</f>
        <v/>
      </c>
      <c r="Y1580" s="9">
        <f>IF(ORIG!Y1580=0,"",ORIG!Y1580)</f>
        <v/>
      </c>
      <c r="Z1580" s="3">
        <f>SUMPRODUCT($B1580:$Y1580,$B$2649:$Y$2649)</f>
        <v/>
      </c>
      <c r="AA1580" s="3">
        <f>SUMPRODUCT($B1580:$Y1580,$B$2655:$Y$2655)</f>
        <v/>
      </c>
      <c r="AC1580" s="1">
        <f>A1580</f>
        <v/>
      </c>
      <c r="AD1580">
        <f>IF(ISNUMBER(V1580),V1580*($AB$1/V$2635),"")</f>
        <v/>
      </c>
      <c r="AE1580">
        <f>IF(ISNUMBER(Z1580),Z1580*($AB$1/Z$2635),"")</f>
        <v/>
      </c>
      <c r="AF1580" s="25">
        <f>IF(ISNUMBER(AD1580+AE1580),AD1580+AE1580,"")</f>
        <v/>
      </c>
      <c r="AH1580" s="1">
        <f>A1580</f>
        <v/>
      </c>
      <c r="AI1580">
        <f>IF(ISNUMBER((1+V1580)*AI1579),(1+V1580)*AI1579,AI1579)</f>
        <v/>
      </c>
      <c r="AJ1580">
        <f>IF(ISNUMBER((1+Z1580)*AJ1579),(1+Z1580)*AJ1579,AJ1579)</f>
        <v/>
      </c>
    </row>
    <row r="1581">
      <c r="A1581" s="1" t="n">
        <v>44298</v>
      </c>
      <c r="B1581" s="3">
        <f>IF(ORIG!B1581=0,"",ORIG!B1581)</f>
        <v/>
      </c>
      <c r="C1581" s="3">
        <f>IF(ORIG!C1581=0,"",ORIG!C1581)</f>
        <v/>
      </c>
      <c r="D1581" s="3">
        <f>IF(ORIG!D1581=0,"",ORIG!D1581)</f>
        <v/>
      </c>
      <c r="E1581" s="3">
        <f>IF(ORIG!E1581=0,"",ORIG!E1581)</f>
        <v/>
      </c>
      <c r="F1581" s="3">
        <f>IF(ORIG!F1581=0,"",ORIG!F1581)</f>
        <v/>
      </c>
      <c r="G1581" s="3">
        <f>IF(ORIG!G1581=0,"",ORIG!G1581)</f>
        <v/>
      </c>
      <c r="H1581" s="3">
        <f>IF(ORIG!H1581=0,"",ORIG!H1581)</f>
        <v/>
      </c>
      <c r="I1581" s="3">
        <f>IF(ORIG!I1581=0,"",ORIG!I1581)</f>
        <v/>
      </c>
      <c r="J1581" s="3">
        <f>IF(ORIG!J1581=0,"",ORIG!J1581)</f>
        <v/>
      </c>
      <c r="K1581" s="3">
        <f>IF(ORIG!K1581=0,"",ORIG!K1581)</f>
        <v/>
      </c>
      <c r="L1581" s="3">
        <f>IF(ORIG!L1581=0,"",ORIG!L1581)</f>
        <v/>
      </c>
      <c r="M1581" s="3">
        <f>IF(ORIG!M1581=0,"",ORIG!M1581)</f>
        <v/>
      </c>
      <c r="N1581" s="3">
        <f>IF(ORIG!N1581=0,"",ORIG!N1581)</f>
        <v/>
      </c>
      <c r="O1581" s="3">
        <f>IF(ORIG!O1581=0,"",ORIG!O1581)</f>
        <v/>
      </c>
      <c r="P1581" s="3">
        <f>IF(ORIG!P1581=0,"",ORIG!P1581)</f>
        <v/>
      </c>
      <c r="Q1581" s="3">
        <f>IF(ORIG!Q1581=0,"",ORIG!Q1581)</f>
        <v/>
      </c>
      <c r="R1581" s="3">
        <f>IF(ORIG!R1581=0,"",ORIG!R1581)</f>
        <v/>
      </c>
      <c r="S1581" s="3">
        <f>IF(ORIG!S1581=0,"",ORIG!S1581)</f>
        <v/>
      </c>
      <c r="T1581" s="3">
        <f>IF(ORIG!T1581=0,"",ORIG!T1581)</f>
        <v/>
      </c>
      <c r="U1581" s="3">
        <f>IF(ORIG!U1581=0,"",ORIG!U1581)</f>
        <v/>
      </c>
      <c r="V1581" s="9">
        <f>IF(ORIG!V1581=0,"",ORIG!V1581)</f>
        <v/>
      </c>
      <c r="W1581" s="9">
        <f>IF(ORIG!W1581=0,"",ORIG!W1581)</f>
        <v/>
      </c>
      <c r="X1581" s="9">
        <f>IF(ORIG!X1581=0,"",ORIG!X1581)</f>
        <v/>
      </c>
      <c r="Y1581" s="9">
        <f>IF(ORIG!Y1581=0,"",ORIG!Y1581)</f>
        <v/>
      </c>
      <c r="Z1581" s="3">
        <f>SUMPRODUCT($B1581:$Y1581,$B$2649:$Y$2649)</f>
        <v/>
      </c>
      <c r="AA1581" s="3">
        <f>SUMPRODUCT($B1581:$Y1581,$B$2655:$Y$2655)</f>
        <v/>
      </c>
      <c r="AC1581" s="1">
        <f>A1581</f>
        <v/>
      </c>
      <c r="AD1581">
        <f>IF(ISNUMBER(V1581),V1581*($AB$1/V$2635),"")</f>
        <v/>
      </c>
      <c r="AE1581">
        <f>IF(ISNUMBER(Z1581),Z1581*($AB$1/Z$2635),"")</f>
        <v/>
      </c>
      <c r="AF1581" s="25">
        <f>IF(ISNUMBER(AD1581+AE1581),AD1581+AE1581,"")</f>
        <v/>
      </c>
      <c r="AH1581" s="1">
        <f>A1581</f>
        <v/>
      </c>
      <c r="AI1581">
        <f>IF(ISNUMBER((1+V1581)*AI1580),(1+V1581)*AI1580,AI1580)</f>
        <v/>
      </c>
      <c r="AJ1581">
        <f>IF(ISNUMBER((1+Z1581)*AJ1580),(1+Z1581)*AJ1580,AJ1580)</f>
        <v/>
      </c>
    </row>
    <row r="1582">
      <c r="A1582" s="1" t="n">
        <v>44299</v>
      </c>
      <c r="B1582" s="3">
        <f>IF(ORIG!B1582=0,"",ORIG!B1582)</f>
        <v/>
      </c>
      <c r="C1582" s="3">
        <f>IF(ORIG!C1582=0,"",ORIG!C1582)</f>
        <v/>
      </c>
      <c r="D1582" s="3">
        <f>IF(ORIG!D1582=0,"",ORIG!D1582)</f>
        <v/>
      </c>
      <c r="E1582" s="3">
        <f>IF(ORIG!E1582=0,"",ORIG!E1582)</f>
        <v/>
      </c>
      <c r="F1582" s="3">
        <f>IF(ORIG!F1582=0,"",ORIG!F1582)</f>
        <v/>
      </c>
      <c r="G1582" s="3">
        <f>IF(ORIG!G1582=0,"",ORIG!G1582)</f>
        <v/>
      </c>
      <c r="H1582" s="3">
        <f>IF(ORIG!H1582=0,"",ORIG!H1582)</f>
        <v/>
      </c>
      <c r="I1582" s="3">
        <f>IF(ORIG!I1582=0,"",ORIG!I1582)</f>
        <v/>
      </c>
      <c r="J1582" s="3">
        <f>IF(ORIG!J1582=0,"",ORIG!J1582)</f>
        <v/>
      </c>
      <c r="K1582" s="3">
        <f>IF(ORIG!K1582=0,"",ORIG!K1582)</f>
        <v/>
      </c>
      <c r="L1582" s="3">
        <f>IF(ORIG!L1582=0,"",ORIG!L1582)</f>
        <v/>
      </c>
      <c r="M1582" s="3">
        <f>IF(ORIG!M1582=0,"",ORIG!M1582)</f>
        <v/>
      </c>
      <c r="N1582" s="3">
        <f>IF(ORIG!N1582=0,"",ORIG!N1582)</f>
        <v/>
      </c>
      <c r="O1582" s="3">
        <f>IF(ORIG!O1582=0,"",ORIG!O1582)</f>
        <v/>
      </c>
      <c r="P1582" s="3">
        <f>IF(ORIG!P1582=0,"",ORIG!P1582)</f>
        <v/>
      </c>
      <c r="Q1582" s="3">
        <f>IF(ORIG!Q1582=0,"",ORIG!Q1582)</f>
        <v/>
      </c>
      <c r="R1582" s="3">
        <f>IF(ORIG!R1582=0,"",ORIG!R1582)</f>
        <v/>
      </c>
      <c r="S1582" s="3">
        <f>IF(ORIG!S1582=0,"",ORIG!S1582)</f>
        <v/>
      </c>
      <c r="T1582" s="3">
        <f>IF(ORIG!T1582=0,"",ORIG!T1582)</f>
        <v/>
      </c>
      <c r="U1582" s="3">
        <f>IF(ORIG!U1582=0,"",ORIG!U1582)</f>
        <v/>
      </c>
      <c r="V1582" s="9">
        <f>IF(ORIG!V1582=0,"",ORIG!V1582)</f>
        <v/>
      </c>
      <c r="W1582" s="9">
        <f>IF(ORIG!W1582=0,"",ORIG!W1582)</f>
        <v/>
      </c>
      <c r="X1582" s="9">
        <f>IF(ORIG!X1582=0,"",ORIG!X1582)</f>
        <v/>
      </c>
      <c r="Y1582" s="9">
        <f>IF(ORIG!Y1582=0,"",ORIG!Y1582)</f>
        <v/>
      </c>
      <c r="Z1582" s="3">
        <f>SUMPRODUCT($B1582:$Y1582,$B$2649:$Y$2649)</f>
        <v/>
      </c>
      <c r="AA1582" s="3">
        <f>SUMPRODUCT($B1582:$Y1582,$B$2655:$Y$2655)</f>
        <v/>
      </c>
      <c r="AC1582" s="1">
        <f>A1582</f>
        <v/>
      </c>
      <c r="AD1582">
        <f>IF(ISNUMBER(V1582),V1582*($AB$1/V$2635),"")</f>
        <v/>
      </c>
      <c r="AE1582">
        <f>IF(ISNUMBER(Z1582),Z1582*($AB$1/Z$2635),"")</f>
        <v/>
      </c>
      <c r="AF1582" s="25">
        <f>IF(ISNUMBER(AD1582+AE1582),AD1582+AE1582,"")</f>
        <v/>
      </c>
      <c r="AH1582" s="1">
        <f>A1582</f>
        <v/>
      </c>
      <c r="AI1582">
        <f>IF(ISNUMBER((1+V1582)*AI1581),(1+V1582)*AI1581,AI1581)</f>
        <v/>
      </c>
      <c r="AJ1582">
        <f>IF(ISNUMBER((1+Z1582)*AJ1581),(1+Z1582)*AJ1581,AJ1581)</f>
        <v/>
      </c>
    </row>
    <row r="1583">
      <c r="A1583" s="1" t="n">
        <v>44300</v>
      </c>
      <c r="B1583" s="3">
        <f>IF(ORIG!B1583=0,"",ORIG!B1583)</f>
        <v/>
      </c>
      <c r="C1583" s="3">
        <f>IF(ORIG!C1583=0,"",ORIG!C1583)</f>
        <v/>
      </c>
      <c r="D1583" s="3">
        <f>IF(ORIG!D1583=0,"",ORIG!D1583)</f>
        <v/>
      </c>
      <c r="E1583" s="3">
        <f>IF(ORIG!E1583=0,"",ORIG!E1583)</f>
        <v/>
      </c>
      <c r="F1583" s="3">
        <f>IF(ORIG!F1583=0,"",ORIG!F1583)</f>
        <v/>
      </c>
      <c r="G1583" s="3">
        <f>IF(ORIG!G1583=0,"",ORIG!G1583)</f>
        <v/>
      </c>
      <c r="H1583" s="3">
        <f>IF(ORIG!H1583=0,"",ORIG!H1583)</f>
        <v/>
      </c>
      <c r="I1583" s="3">
        <f>IF(ORIG!I1583=0,"",ORIG!I1583)</f>
        <v/>
      </c>
      <c r="J1583" s="3">
        <f>IF(ORIG!J1583=0,"",ORIG!J1583)</f>
        <v/>
      </c>
      <c r="K1583" s="3">
        <f>IF(ORIG!K1583=0,"",ORIG!K1583)</f>
        <v/>
      </c>
      <c r="L1583" s="3">
        <f>IF(ORIG!L1583=0,"",ORIG!L1583)</f>
        <v/>
      </c>
      <c r="M1583" s="3">
        <f>IF(ORIG!M1583=0,"",ORIG!M1583)</f>
        <v/>
      </c>
      <c r="N1583" s="3">
        <f>IF(ORIG!N1583=0,"",ORIG!N1583)</f>
        <v/>
      </c>
      <c r="O1583" s="3">
        <f>IF(ORIG!O1583=0,"",ORIG!O1583)</f>
        <v/>
      </c>
      <c r="P1583" s="3">
        <f>IF(ORIG!P1583=0,"",ORIG!P1583)</f>
        <v/>
      </c>
      <c r="Q1583" s="3">
        <f>IF(ORIG!Q1583=0,"",ORIG!Q1583)</f>
        <v/>
      </c>
      <c r="R1583" s="3">
        <f>IF(ORIG!R1583=0,"",ORIG!R1583)</f>
        <v/>
      </c>
      <c r="S1583" s="3">
        <f>IF(ORIG!S1583=0,"",ORIG!S1583)</f>
        <v/>
      </c>
      <c r="T1583" s="3">
        <f>IF(ORIG!T1583=0,"",ORIG!T1583)</f>
        <v/>
      </c>
      <c r="U1583" s="3">
        <f>IF(ORIG!U1583=0,"",ORIG!U1583)</f>
        <v/>
      </c>
      <c r="V1583" s="9">
        <f>IF(ORIG!V1583=0,"",ORIG!V1583)</f>
        <v/>
      </c>
      <c r="W1583" s="9">
        <f>IF(ORIG!W1583=0,"",ORIG!W1583)</f>
        <v/>
      </c>
      <c r="X1583" s="9">
        <f>IF(ORIG!X1583=0,"",ORIG!X1583)</f>
        <v/>
      </c>
      <c r="Y1583" s="9">
        <f>IF(ORIG!Y1583=0,"",ORIG!Y1583)</f>
        <v/>
      </c>
      <c r="Z1583" s="3">
        <f>SUMPRODUCT($B1583:$Y1583,$B$2649:$Y$2649)</f>
        <v/>
      </c>
      <c r="AA1583" s="3">
        <f>SUMPRODUCT($B1583:$Y1583,$B$2655:$Y$2655)</f>
        <v/>
      </c>
      <c r="AC1583" s="1">
        <f>A1583</f>
        <v/>
      </c>
      <c r="AD1583">
        <f>IF(ISNUMBER(V1583),V1583*($AB$1/V$2635),"")</f>
        <v/>
      </c>
      <c r="AE1583">
        <f>IF(ISNUMBER(Z1583),Z1583*($AB$1/Z$2635),"")</f>
        <v/>
      </c>
      <c r="AF1583" s="25">
        <f>IF(ISNUMBER(AD1583+AE1583),AD1583+AE1583,"")</f>
        <v/>
      </c>
      <c r="AH1583" s="1">
        <f>A1583</f>
        <v/>
      </c>
      <c r="AI1583">
        <f>IF(ISNUMBER((1+V1583)*AI1582),(1+V1583)*AI1582,AI1582)</f>
        <v/>
      </c>
      <c r="AJ1583">
        <f>IF(ISNUMBER((1+Z1583)*AJ1582),(1+Z1583)*AJ1582,AJ1582)</f>
        <v/>
      </c>
    </row>
    <row r="1584">
      <c r="A1584" s="1" t="n">
        <v>44301</v>
      </c>
      <c r="B1584" s="3">
        <f>IF(ORIG!B1584=0,"",ORIG!B1584)</f>
        <v/>
      </c>
      <c r="C1584" s="3">
        <f>IF(ORIG!C1584=0,"",ORIG!C1584)</f>
        <v/>
      </c>
      <c r="D1584" s="3">
        <f>IF(ORIG!D1584=0,"",ORIG!D1584)</f>
        <v/>
      </c>
      <c r="E1584" s="3">
        <f>IF(ORIG!E1584=0,"",ORIG!E1584)</f>
        <v/>
      </c>
      <c r="F1584" s="3">
        <f>IF(ORIG!F1584=0,"",ORIG!F1584)</f>
        <v/>
      </c>
      <c r="G1584" s="3">
        <f>IF(ORIG!G1584=0,"",ORIG!G1584)</f>
        <v/>
      </c>
      <c r="H1584" s="3">
        <f>IF(ORIG!H1584=0,"",ORIG!H1584)</f>
        <v/>
      </c>
      <c r="I1584" s="3">
        <f>IF(ORIG!I1584=0,"",ORIG!I1584)</f>
        <v/>
      </c>
      <c r="J1584" s="3">
        <f>IF(ORIG!J1584=0,"",ORIG!J1584)</f>
        <v/>
      </c>
      <c r="K1584" s="3">
        <f>IF(ORIG!K1584=0,"",ORIG!K1584)</f>
        <v/>
      </c>
      <c r="L1584" s="3">
        <f>IF(ORIG!L1584=0,"",ORIG!L1584)</f>
        <v/>
      </c>
      <c r="M1584" s="3">
        <f>IF(ORIG!M1584=0,"",ORIG!M1584)</f>
        <v/>
      </c>
      <c r="N1584" s="3">
        <f>IF(ORIG!N1584=0,"",ORIG!N1584)</f>
        <v/>
      </c>
      <c r="O1584" s="3">
        <f>IF(ORIG!O1584=0,"",ORIG!O1584)</f>
        <v/>
      </c>
      <c r="P1584" s="3">
        <f>IF(ORIG!P1584=0,"",ORIG!P1584)</f>
        <v/>
      </c>
      <c r="Q1584" s="3">
        <f>IF(ORIG!Q1584=0,"",ORIG!Q1584)</f>
        <v/>
      </c>
      <c r="R1584" s="3">
        <f>IF(ORIG!R1584=0,"",ORIG!R1584)</f>
        <v/>
      </c>
      <c r="S1584" s="3">
        <f>IF(ORIG!S1584=0,"",ORIG!S1584)</f>
        <v/>
      </c>
      <c r="T1584" s="3">
        <f>IF(ORIG!T1584=0,"",ORIG!T1584)</f>
        <v/>
      </c>
      <c r="U1584" s="3">
        <f>IF(ORIG!U1584=0,"",ORIG!U1584)</f>
        <v/>
      </c>
      <c r="V1584" s="9">
        <f>IF(ORIG!V1584=0,"",ORIG!V1584)</f>
        <v/>
      </c>
      <c r="W1584" s="9">
        <f>IF(ORIG!W1584=0,"",ORIG!W1584)</f>
        <v/>
      </c>
      <c r="X1584" s="9">
        <f>IF(ORIG!X1584=0,"",ORIG!X1584)</f>
        <v/>
      </c>
      <c r="Y1584" s="9">
        <f>IF(ORIG!Y1584=0,"",ORIG!Y1584)</f>
        <v/>
      </c>
      <c r="Z1584" s="3">
        <f>SUMPRODUCT($B1584:$Y1584,$B$2649:$Y$2649)</f>
        <v/>
      </c>
      <c r="AA1584" s="3">
        <f>SUMPRODUCT($B1584:$Y1584,$B$2655:$Y$2655)</f>
        <v/>
      </c>
      <c r="AC1584" s="1">
        <f>A1584</f>
        <v/>
      </c>
      <c r="AD1584">
        <f>IF(ISNUMBER(V1584),V1584*($AB$1/V$2635),"")</f>
        <v/>
      </c>
      <c r="AE1584">
        <f>IF(ISNUMBER(Z1584),Z1584*($AB$1/Z$2635),"")</f>
        <v/>
      </c>
      <c r="AF1584" s="25">
        <f>IF(ISNUMBER(AD1584+AE1584),AD1584+AE1584,"")</f>
        <v/>
      </c>
      <c r="AH1584" s="1">
        <f>A1584</f>
        <v/>
      </c>
      <c r="AI1584">
        <f>IF(ISNUMBER((1+V1584)*AI1583),(1+V1584)*AI1583,AI1583)</f>
        <v/>
      </c>
      <c r="AJ1584">
        <f>IF(ISNUMBER((1+Z1584)*AJ1583),(1+Z1584)*AJ1583,AJ1583)</f>
        <v/>
      </c>
    </row>
    <row r="1585">
      <c r="A1585" s="1" t="n">
        <v>44302</v>
      </c>
      <c r="B1585" s="3">
        <f>IF(ORIG!B1585=0,"",ORIG!B1585)</f>
        <v/>
      </c>
      <c r="C1585" s="3">
        <f>IF(ORIG!C1585=0,"",ORIG!C1585)</f>
        <v/>
      </c>
      <c r="D1585" s="3">
        <f>IF(ORIG!D1585=0,"",ORIG!D1585)</f>
        <v/>
      </c>
      <c r="E1585" s="3">
        <f>IF(ORIG!E1585=0,"",ORIG!E1585)</f>
        <v/>
      </c>
      <c r="F1585" s="3">
        <f>IF(ORIG!F1585=0,"",ORIG!F1585)</f>
        <v/>
      </c>
      <c r="G1585" s="3">
        <f>IF(ORIG!G1585=0,"",ORIG!G1585)</f>
        <v/>
      </c>
      <c r="H1585" s="3">
        <f>IF(ORIG!H1585=0,"",ORIG!H1585)</f>
        <v/>
      </c>
      <c r="I1585" s="3">
        <f>IF(ORIG!I1585=0,"",ORIG!I1585)</f>
        <v/>
      </c>
      <c r="J1585" s="3">
        <f>IF(ORIG!J1585=0,"",ORIG!J1585)</f>
        <v/>
      </c>
      <c r="K1585" s="3">
        <f>IF(ORIG!K1585=0,"",ORIG!K1585)</f>
        <v/>
      </c>
      <c r="L1585" s="3">
        <f>IF(ORIG!L1585=0,"",ORIG!L1585)</f>
        <v/>
      </c>
      <c r="M1585" s="3">
        <f>IF(ORIG!M1585=0,"",ORIG!M1585)</f>
        <v/>
      </c>
      <c r="N1585" s="3">
        <f>IF(ORIG!N1585=0,"",ORIG!N1585)</f>
        <v/>
      </c>
      <c r="O1585" s="3">
        <f>IF(ORIG!O1585=0,"",ORIG!O1585)</f>
        <v/>
      </c>
      <c r="P1585" s="3">
        <f>IF(ORIG!P1585=0,"",ORIG!P1585)</f>
        <v/>
      </c>
      <c r="Q1585" s="3">
        <f>IF(ORIG!Q1585=0,"",ORIG!Q1585)</f>
        <v/>
      </c>
      <c r="R1585" s="3">
        <f>IF(ORIG!R1585=0,"",ORIG!R1585)</f>
        <v/>
      </c>
      <c r="S1585" s="3">
        <f>IF(ORIG!S1585=0,"",ORIG!S1585)</f>
        <v/>
      </c>
      <c r="T1585" s="3">
        <f>IF(ORIG!T1585=0,"",ORIG!T1585)</f>
        <v/>
      </c>
      <c r="U1585" s="3">
        <f>IF(ORIG!U1585=0,"",ORIG!U1585)</f>
        <v/>
      </c>
      <c r="V1585" s="9">
        <f>IF(ORIG!V1585=0,"",ORIG!V1585)</f>
        <v/>
      </c>
      <c r="W1585" s="9">
        <f>IF(ORIG!W1585=0,"",ORIG!W1585)</f>
        <v/>
      </c>
      <c r="X1585" s="9">
        <f>IF(ORIG!X1585=0,"",ORIG!X1585)</f>
        <v/>
      </c>
      <c r="Y1585" s="9">
        <f>IF(ORIG!Y1585=0,"",ORIG!Y1585)</f>
        <v/>
      </c>
      <c r="Z1585" s="3">
        <f>SUMPRODUCT($B1585:$Y1585,$B$2649:$Y$2649)</f>
        <v/>
      </c>
      <c r="AA1585" s="3">
        <f>SUMPRODUCT($B1585:$Y1585,$B$2655:$Y$2655)</f>
        <v/>
      </c>
      <c r="AC1585" s="1">
        <f>A1585</f>
        <v/>
      </c>
      <c r="AD1585">
        <f>IF(ISNUMBER(V1585),V1585*($AB$1/V$2635),"")</f>
        <v/>
      </c>
      <c r="AE1585">
        <f>IF(ISNUMBER(Z1585),Z1585*($AB$1/Z$2635),"")</f>
        <v/>
      </c>
      <c r="AF1585" s="25">
        <f>IF(ISNUMBER(AD1585+AE1585),AD1585+AE1585,"")</f>
        <v/>
      </c>
      <c r="AH1585" s="1">
        <f>A1585</f>
        <v/>
      </c>
      <c r="AI1585">
        <f>IF(ISNUMBER((1+V1585)*AI1584),(1+V1585)*AI1584,AI1584)</f>
        <v/>
      </c>
      <c r="AJ1585">
        <f>IF(ISNUMBER((1+Z1585)*AJ1584),(1+Z1585)*AJ1584,AJ1584)</f>
        <v/>
      </c>
    </row>
    <row r="1586">
      <c r="A1586" s="1" t="n">
        <v>44305</v>
      </c>
      <c r="B1586" s="3">
        <f>IF(ORIG!B1586=0,"",ORIG!B1586)</f>
        <v/>
      </c>
      <c r="C1586" s="3">
        <f>IF(ORIG!C1586=0,"",ORIG!C1586)</f>
        <v/>
      </c>
      <c r="D1586" s="3">
        <f>IF(ORIG!D1586=0,"",ORIG!D1586)</f>
        <v/>
      </c>
      <c r="E1586" s="3">
        <f>IF(ORIG!E1586=0,"",ORIG!E1586)</f>
        <v/>
      </c>
      <c r="F1586" s="3">
        <f>IF(ORIG!F1586=0,"",ORIG!F1586)</f>
        <v/>
      </c>
      <c r="G1586" s="3">
        <f>IF(ORIG!G1586=0,"",ORIG!G1586)</f>
        <v/>
      </c>
      <c r="H1586" s="3">
        <f>IF(ORIG!H1586=0,"",ORIG!H1586)</f>
        <v/>
      </c>
      <c r="I1586" s="3">
        <f>IF(ORIG!I1586=0,"",ORIG!I1586)</f>
        <v/>
      </c>
      <c r="J1586" s="3">
        <f>IF(ORIG!J1586=0,"",ORIG!J1586)</f>
        <v/>
      </c>
      <c r="K1586" s="3">
        <f>IF(ORIG!K1586=0,"",ORIG!K1586)</f>
        <v/>
      </c>
      <c r="L1586" s="3">
        <f>IF(ORIG!L1586=0,"",ORIG!L1586)</f>
        <v/>
      </c>
      <c r="M1586" s="3">
        <f>IF(ORIG!M1586=0,"",ORIG!M1586)</f>
        <v/>
      </c>
      <c r="N1586" s="3">
        <f>IF(ORIG!N1586=0,"",ORIG!N1586)</f>
        <v/>
      </c>
      <c r="O1586" s="3">
        <f>IF(ORIG!O1586=0,"",ORIG!O1586)</f>
        <v/>
      </c>
      <c r="P1586" s="3">
        <f>IF(ORIG!P1586=0,"",ORIG!P1586)</f>
        <v/>
      </c>
      <c r="Q1586" s="3">
        <f>IF(ORIG!Q1586=0,"",ORIG!Q1586)</f>
        <v/>
      </c>
      <c r="R1586" s="3">
        <f>IF(ORIG!R1586=0,"",ORIG!R1586)</f>
        <v/>
      </c>
      <c r="S1586" s="3">
        <f>IF(ORIG!S1586=0,"",ORIG!S1586)</f>
        <v/>
      </c>
      <c r="T1586" s="3">
        <f>IF(ORIG!T1586=0,"",ORIG!T1586)</f>
        <v/>
      </c>
      <c r="U1586" s="3">
        <f>IF(ORIG!U1586=0,"",ORIG!U1586)</f>
        <v/>
      </c>
      <c r="V1586" s="9">
        <f>IF(ORIG!V1586=0,"",ORIG!V1586)</f>
        <v/>
      </c>
      <c r="W1586" s="9">
        <f>IF(ORIG!W1586=0,"",ORIG!W1586)</f>
        <v/>
      </c>
      <c r="X1586" s="9">
        <f>IF(ORIG!X1586=0,"",ORIG!X1586)</f>
        <v/>
      </c>
      <c r="Y1586" s="9">
        <f>IF(ORIG!Y1586=0,"",ORIG!Y1586)</f>
        <v/>
      </c>
      <c r="Z1586" s="3">
        <f>SUMPRODUCT($B1586:$Y1586,$B$2649:$Y$2649)</f>
        <v/>
      </c>
      <c r="AA1586" s="3">
        <f>SUMPRODUCT($B1586:$Y1586,$B$2655:$Y$2655)</f>
        <v/>
      </c>
      <c r="AC1586" s="1">
        <f>A1586</f>
        <v/>
      </c>
      <c r="AD1586">
        <f>IF(ISNUMBER(V1586),V1586*($AB$1/V$2635),"")</f>
        <v/>
      </c>
      <c r="AE1586">
        <f>IF(ISNUMBER(Z1586),Z1586*($AB$1/Z$2635),"")</f>
        <v/>
      </c>
      <c r="AF1586" s="25">
        <f>IF(ISNUMBER(AD1586+AE1586),AD1586+AE1586,"")</f>
        <v/>
      </c>
      <c r="AH1586" s="1">
        <f>A1586</f>
        <v/>
      </c>
      <c r="AI1586">
        <f>IF(ISNUMBER((1+V1586)*AI1585),(1+V1586)*AI1585,AI1585)</f>
        <v/>
      </c>
      <c r="AJ1586">
        <f>IF(ISNUMBER((1+Z1586)*AJ1585),(1+Z1586)*AJ1585,AJ1585)</f>
        <v/>
      </c>
    </row>
    <row r="1587">
      <c r="A1587" s="1" t="n">
        <v>44306</v>
      </c>
      <c r="B1587" s="3">
        <f>IF(ORIG!B1587=0,"",ORIG!B1587)</f>
        <v/>
      </c>
      <c r="C1587" s="3">
        <f>IF(ORIG!C1587=0,"",ORIG!C1587)</f>
        <v/>
      </c>
      <c r="D1587" s="3">
        <f>IF(ORIG!D1587=0,"",ORIG!D1587)</f>
        <v/>
      </c>
      <c r="E1587" s="3">
        <f>IF(ORIG!E1587=0,"",ORIG!E1587)</f>
        <v/>
      </c>
      <c r="F1587" s="3">
        <f>IF(ORIG!F1587=0,"",ORIG!F1587)</f>
        <v/>
      </c>
      <c r="G1587" s="3">
        <f>IF(ORIG!G1587=0,"",ORIG!G1587)</f>
        <v/>
      </c>
      <c r="H1587" s="3">
        <f>IF(ORIG!H1587=0,"",ORIG!H1587)</f>
        <v/>
      </c>
      <c r="I1587" s="3">
        <f>IF(ORIG!I1587=0,"",ORIG!I1587)</f>
        <v/>
      </c>
      <c r="J1587" s="3">
        <f>IF(ORIG!J1587=0,"",ORIG!J1587)</f>
        <v/>
      </c>
      <c r="K1587" s="3">
        <f>IF(ORIG!K1587=0,"",ORIG!K1587)</f>
        <v/>
      </c>
      <c r="L1587" s="3">
        <f>IF(ORIG!L1587=0,"",ORIG!L1587)</f>
        <v/>
      </c>
      <c r="M1587" s="3">
        <f>IF(ORIG!M1587=0,"",ORIG!M1587)</f>
        <v/>
      </c>
      <c r="N1587" s="3">
        <f>IF(ORIG!N1587=0,"",ORIG!N1587)</f>
        <v/>
      </c>
      <c r="O1587" s="3">
        <f>IF(ORIG!O1587=0,"",ORIG!O1587)</f>
        <v/>
      </c>
      <c r="P1587" s="3">
        <f>IF(ORIG!P1587=0,"",ORIG!P1587)</f>
        <v/>
      </c>
      <c r="Q1587" s="3">
        <f>IF(ORIG!Q1587=0,"",ORIG!Q1587)</f>
        <v/>
      </c>
      <c r="R1587" s="3">
        <f>IF(ORIG!R1587=0,"",ORIG!R1587)</f>
        <v/>
      </c>
      <c r="S1587" s="3">
        <f>IF(ORIG!S1587=0,"",ORIG!S1587)</f>
        <v/>
      </c>
      <c r="T1587" s="3">
        <f>IF(ORIG!T1587=0,"",ORIG!T1587)</f>
        <v/>
      </c>
      <c r="U1587" s="3">
        <f>IF(ORIG!U1587=0,"",ORIG!U1587)</f>
        <v/>
      </c>
      <c r="V1587" s="9">
        <f>IF(ORIG!V1587=0,"",ORIG!V1587)</f>
        <v/>
      </c>
      <c r="W1587" s="9">
        <f>IF(ORIG!W1587=0,"",ORIG!W1587)</f>
        <v/>
      </c>
      <c r="X1587" s="9">
        <f>IF(ORIG!X1587=0,"",ORIG!X1587)</f>
        <v/>
      </c>
      <c r="Y1587" s="9">
        <f>IF(ORIG!Y1587=0,"",ORIG!Y1587)</f>
        <v/>
      </c>
      <c r="Z1587" s="3">
        <f>SUMPRODUCT($B1587:$Y1587,$B$2649:$Y$2649)</f>
        <v/>
      </c>
      <c r="AA1587" s="3">
        <f>SUMPRODUCT($B1587:$Y1587,$B$2655:$Y$2655)</f>
        <v/>
      </c>
      <c r="AC1587" s="1">
        <f>A1587</f>
        <v/>
      </c>
      <c r="AD1587">
        <f>IF(ISNUMBER(V1587),V1587*($AB$1/V$2635),"")</f>
        <v/>
      </c>
      <c r="AE1587">
        <f>IF(ISNUMBER(Z1587),Z1587*($AB$1/Z$2635),"")</f>
        <v/>
      </c>
      <c r="AF1587" s="25">
        <f>IF(ISNUMBER(AD1587+AE1587),AD1587+AE1587,"")</f>
        <v/>
      </c>
      <c r="AH1587" s="1">
        <f>A1587</f>
        <v/>
      </c>
      <c r="AI1587">
        <f>IF(ISNUMBER((1+V1587)*AI1586),(1+V1587)*AI1586,AI1586)</f>
        <v/>
      </c>
      <c r="AJ1587">
        <f>IF(ISNUMBER((1+Z1587)*AJ1586),(1+Z1587)*AJ1586,AJ1586)</f>
        <v/>
      </c>
    </row>
    <row r="1588">
      <c r="A1588" s="1" t="n">
        <v>44307</v>
      </c>
      <c r="B1588" s="3">
        <f>IF(ORIG!B1588=0,"",ORIG!B1588)</f>
        <v/>
      </c>
      <c r="C1588" s="3">
        <f>IF(ORIG!C1588=0,"",ORIG!C1588)</f>
        <v/>
      </c>
      <c r="D1588" s="3">
        <f>IF(ORIG!D1588=0,"",ORIG!D1588)</f>
        <v/>
      </c>
      <c r="E1588" s="3">
        <f>IF(ORIG!E1588=0,"",ORIG!E1588)</f>
        <v/>
      </c>
      <c r="F1588" s="3">
        <f>IF(ORIG!F1588=0,"",ORIG!F1588)</f>
        <v/>
      </c>
      <c r="G1588" s="3">
        <f>IF(ORIG!G1588=0,"",ORIG!G1588)</f>
        <v/>
      </c>
      <c r="H1588" s="3">
        <f>IF(ORIG!H1588=0,"",ORIG!H1588)</f>
        <v/>
      </c>
      <c r="I1588" s="3">
        <f>IF(ORIG!I1588=0,"",ORIG!I1588)</f>
        <v/>
      </c>
      <c r="J1588" s="3">
        <f>IF(ORIG!J1588=0,"",ORIG!J1588)</f>
        <v/>
      </c>
      <c r="K1588" s="3">
        <f>IF(ORIG!K1588=0,"",ORIG!K1588)</f>
        <v/>
      </c>
      <c r="L1588" s="3">
        <f>IF(ORIG!L1588=0,"",ORIG!L1588)</f>
        <v/>
      </c>
      <c r="M1588" s="3">
        <f>IF(ORIG!M1588=0,"",ORIG!M1588)</f>
        <v/>
      </c>
      <c r="N1588" s="3">
        <f>IF(ORIG!N1588=0,"",ORIG!N1588)</f>
        <v/>
      </c>
      <c r="O1588" s="3">
        <f>IF(ORIG!O1588=0,"",ORIG!O1588)</f>
        <v/>
      </c>
      <c r="P1588" s="3">
        <f>IF(ORIG!P1588=0,"",ORIG!P1588)</f>
        <v/>
      </c>
      <c r="Q1588" s="3">
        <f>IF(ORIG!Q1588=0,"",ORIG!Q1588)</f>
        <v/>
      </c>
      <c r="R1588" s="3">
        <f>IF(ORIG!R1588=0,"",ORIG!R1588)</f>
        <v/>
      </c>
      <c r="S1588" s="3">
        <f>IF(ORIG!S1588=0,"",ORIG!S1588)</f>
        <v/>
      </c>
      <c r="T1588" s="3">
        <f>IF(ORIG!T1588=0,"",ORIG!T1588)</f>
        <v/>
      </c>
      <c r="U1588" s="3">
        <f>IF(ORIG!U1588=0,"",ORIG!U1588)</f>
        <v/>
      </c>
      <c r="V1588" s="9">
        <f>IF(ORIG!V1588=0,"",ORIG!V1588)</f>
        <v/>
      </c>
      <c r="W1588" s="9">
        <f>IF(ORIG!W1588=0,"",ORIG!W1588)</f>
        <v/>
      </c>
      <c r="X1588" s="9">
        <f>IF(ORIG!X1588=0,"",ORIG!X1588)</f>
        <v/>
      </c>
      <c r="Y1588" s="9">
        <f>IF(ORIG!Y1588=0,"",ORIG!Y1588)</f>
        <v/>
      </c>
      <c r="Z1588" s="3">
        <f>SUMPRODUCT($B1588:$Y1588,$B$2649:$Y$2649)</f>
        <v/>
      </c>
      <c r="AA1588" s="3">
        <f>SUMPRODUCT($B1588:$Y1588,$B$2655:$Y$2655)</f>
        <v/>
      </c>
      <c r="AC1588" s="1">
        <f>A1588</f>
        <v/>
      </c>
      <c r="AD1588">
        <f>IF(ISNUMBER(V1588),V1588*($AB$1/V$2635),"")</f>
        <v/>
      </c>
      <c r="AE1588">
        <f>IF(ISNUMBER(Z1588),Z1588*($AB$1/Z$2635),"")</f>
        <v/>
      </c>
      <c r="AF1588" s="25">
        <f>IF(ISNUMBER(AD1588+AE1588),AD1588+AE1588,"")</f>
        <v/>
      </c>
      <c r="AH1588" s="1">
        <f>A1588</f>
        <v/>
      </c>
      <c r="AI1588">
        <f>IF(ISNUMBER((1+V1588)*AI1587),(1+V1588)*AI1587,AI1587)</f>
        <v/>
      </c>
      <c r="AJ1588">
        <f>IF(ISNUMBER((1+Z1588)*AJ1587),(1+Z1588)*AJ1587,AJ1587)</f>
        <v/>
      </c>
    </row>
    <row r="1589">
      <c r="A1589" s="1" t="n">
        <v>44308</v>
      </c>
      <c r="B1589" s="3">
        <f>IF(ORIG!B1589=0,"",ORIG!B1589)</f>
        <v/>
      </c>
      <c r="C1589" s="3">
        <f>IF(ORIG!C1589=0,"",ORIG!C1589)</f>
        <v/>
      </c>
      <c r="D1589" s="3">
        <f>IF(ORIG!D1589=0,"",ORIG!D1589)</f>
        <v/>
      </c>
      <c r="E1589" s="3">
        <f>IF(ORIG!E1589=0,"",ORIG!E1589)</f>
        <v/>
      </c>
      <c r="F1589" s="3">
        <f>IF(ORIG!F1589=0,"",ORIG!F1589)</f>
        <v/>
      </c>
      <c r="G1589" s="3">
        <f>IF(ORIG!G1589=0,"",ORIG!G1589)</f>
        <v/>
      </c>
      <c r="H1589" s="3">
        <f>IF(ORIG!H1589=0,"",ORIG!H1589)</f>
        <v/>
      </c>
      <c r="I1589" s="3">
        <f>IF(ORIG!I1589=0,"",ORIG!I1589)</f>
        <v/>
      </c>
      <c r="J1589" s="3">
        <f>IF(ORIG!J1589=0,"",ORIG!J1589)</f>
        <v/>
      </c>
      <c r="K1589" s="3">
        <f>IF(ORIG!K1589=0,"",ORIG!K1589)</f>
        <v/>
      </c>
      <c r="L1589" s="3">
        <f>IF(ORIG!L1589=0,"",ORIG!L1589)</f>
        <v/>
      </c>
      <c r="M1589" s="3">
        <f>IF(ORIG!M1589=0,"",ORIG!M1589)</f>
        <v/>
      </c>
      <c r="N1589" s="3">
        <f>IF(ORIG!N1589=0,"",ORIG!N1589)</f>
        <v/>
      </c>
      <c r="O1589" s="3">
        <f>IF(ORIG!O1589=0,"",ORIG!O1589)</f>
        <v/>
      </c>
      <c r="P1589" s="3">
        <f>IF(ORIG!P1589=0,"",ORIG!P1589)</f>
        <v/>
      </c>
      <c r="Q1589" s="3">
        <f>IF(ORIG!Q1589=0,"",ORIG!Q1589)</f>
        <v/>
      </c>
      <c r="R1589" s="3">
        <f>IF(ORIG!R1589=0,"",ORIG!R1589)</f>
        <v/>
      </c>
      <c r="S1589" s="3">
        <f>IF(ORIG!S1589=0,"",ORIG!S1589)</f>
        <v/>
      </c>
      <c r="T1589" s="3">
        <f>IF(ORIG!T1589=0,"",ORIG!T1589)</f>
        <v/>
      </c>
      <c r="U1589" s="3">
        <f>IF(ORIG!U1589=0,"",ORIG!U1589)</f>
        <v/>
      </c>
      <c r="V1589" s="9">
        <f>IF(ORIG!V1589=0,"",ORIG!V1589)</f>
        <v/>
      </c>
      <c r="W1589" s="9">
        <f>IF(ORIG!W1589=0,"",ORIG!W1589)</f>
        <v/>
      </c>
      <c r="X1589" s="9">
        <f>IF(ORIG!X1589=0,"",ORIG!X1589)</f>
        <v/>
      </c>
      <c r="Y1589" s="9">
        <f>IF(ORIG!Y1589=0,"",ORIG!Y1589)</f>
        <v/>
      </c>
      <c r="Z1589" s="3">
        <f>SUMPRODUCT($B1589:$Y1589,$B$2649:$Y$2649)</f>
        <v/>
      </c>
      <c r="AA1589" s="3">
        <f>SUMPRODUCT($B1589:$Y1589,$B$2655:$Y$2655)</f>
        <v/>
      </c>
      <c r="AC1589" s="1">
        <f>A1589</f>
        <v/>
      </c>
      <c r="AD1589">
        <f>IF(ISNUMBER(V1589),V1589*($AB$1/V$2635),"")</f>
        <v/>
      </c>
      <c r="AE1589">
        <f>IF(ISNUMBER(Z1589),Z1589*($AB$1/Z$2635),"")</f>
        <v/>
      </c>
      <c r="AF1589" s="25">
        <f>IF(ISNUMBER(AD1589+AE1589),AD1589+AE1589,"")</f>
        <v/>
      </c>
      <c r="AH1589" s="1">
        <f>A1589</f>
        <v/>
      </c>
      <c r="AI1589">
        <f>IF(ISNUMBER((1+V1589)*AI1588),(1+V1589)*AI1588,AI1588)</f>
        <v/>
      </c>
      <c r="AJ1589">
        <f>IF(ISNUMBER((1+Z1589)*AJ1588),(1+Z1589)*AJ1588,AJ1588)</f>
        <v/>
      </c>
    </row>
    <row r="1590">
      <c r="A1590" s="1" t="n">
        <v>44309</v>
      </c>
      <c r="B1590" s="3">
        <f>IF(ORIG!B1590=0,"",ORIG!B1590)</f>
        <v/>
      </c>
      <c r="C1590" s="3">
        <f>IF(ORIG!C1590=0,"",ORIG!C1590)</f>
        <v/>
      </c>
      <c r="D1590" s="3">
        <f>IF(ORIG!D1590=0,"",ORIG!D1590)</f>
        <v/>
      </c>
      <c r="E1590" s="3">
        <f>IF(ORIG!E1590=0,"",ORIG!E1590)</f>
        <v/>
      </c>
      <c r="F1590" s="3">
        <f>IF(ORIG!F1590=0,"",ORIG!F1590)</f>
        <v/>
      </c>
      <c r="G1590" s="3">
        <f>IF(ORIG!G1590=0,"",ORIG!G1590)</f>
        <v/>
      </c>
      <c r="H1590" s="3">
        <f>IF(ORIG!H1590=0,"",ORIG!H1590)</f>
        <v/>
      </c>
      <c r="I1590" s="3">
        <f>IF(ORIG!I1590=0,"",ORIG!I1590)</f>
        <v/>
      </c>
      <c r="J1590" s="3">
        <f>IF(ORIG!J1590=0,"",ORIG!J1590)</f>
        <v/>
      </c>
      <c r="K1590" s="3">
        <f>IF(ORIG!K1590=0,"",ORIG!K1590)</f>
        <v/>
      </c>
      <c r="L1590" s="3">
        <f>IF(ORIG!L1590=0,"",ORIG!L1590)</f>
        <v/>
      </c>
      <c r="M1590" s="3">
        <f>IF(ORIG!M1590=0,"",ORIG!M1590)</f>
        <v/>
      </c>
      <c r="N1590" s="3">
        <f>IF(ORIG!N1590=0,"",ORIG!N1590)</f>
        <v/>
      </c>
      <c r="O1590" s="3">
        <f>IF(ORIG!O1590=0,"",ORIG!O1590)</f>
        <v/>
      </c>
      <c r="P1590" s="3">
        <f>IF(ORIG!P1590=0,"",ORIG!P1590)</f>
        <v/>
      </c>
      <c r="Q1590" s="3">
        <f>IF(ORIG!Q1590=0,"",ORIG!Q1590)</f>
        <v/>
      </c>
      <c r="R1590" s="3">
        <f>IF(ORIG!R1590=0,"",ORIG!R1590)</f>
        <v/>
      </c>
      <c r="S1590" s="3">
        <f>IF(ORIG!S1590=0,"",ORIG!S1590)</f>
        <v/>
      </c>
      <c r="T1590" s="3">
        <f>IF(ORIG!T1590=0,"",ORIG!T1590)</f>
        <v/>
      </c>
      <c r="U1590" s="3">
        <f>IF(ORIG!U1590=0,"",ORIG!U1590)</f>
        <v/>
      </c>
      <c r="V1590" s="9">
        <f>IF(ORIG!V1590=0,"",ORIG!V1590)</f>
        <v/>
      </c>
      <c r="W1590" s="9">
        <f>IF(ORIG!W1590=0,"",ORIG!W1590)</f>
        <v/>
      </c>
      <c r="X1590" s="9">
        <f>IF(ORIG!X1590=0,"",ORIG!X1590)</f>
        <v/>
      </c>
      <c r="Y1590" s="9">
        <f>IF(ORIG!Y1590=0,"",ORIG!Y1590)</f>
        <v/>
      </c>
      <c r="Z1590" s="3">
        <f>SUMPRODUCT($B1590:$Y1590,$B$2649:$Y$2649)</f>
        <v/>
      </c>
      <c r="AA1590" s="3">
        <f>SUMPRODUCT($B1590:$Y1590,$B$2655:$Y$2655)</f>
        <v/>
      </c>
      <c r="AC1590" s="1">
        <f>A1590</f>
        <v/>
      </c>
      <c r="AD1590">
        <f>IF(ISNUMBER(V1590),V1590*($AB$1/V$2635),"")</f>
        <v/>
      </c>
      <c r="AE1590">
        <f>IF(ISNUMBER(Z1590),Z1590*($AB$1/Z$2635),"")</f>
        <v/>
      </c>
      <c r="AF1590" s="25">
        <f>IF(ISNUMBER(AD1590+AE1590),AD1590+AE1590,"")</f>
        <v/>
      </c>
      <c r="AH1590" s="1">
        <f>A1590</f>
        <v/>
      </c>
      <c r="AI1590">
        <f>IF(ISNUMBER((1+V1590)*AI1589),(1+V1590)*AI1589,AI1589)</f>
        <v/>
      </c>
      <c r="AJ1590">
        <f>IF(ISNUMBER((1+Z1590)*AJ1589),(1+Z1590)*AJ1589,AJ1589)</f>
        <v/>
      </c>
    </row>
    <row r="1591">
      <c r="A1591" s="1" t="n">
        <v>44312</v>
      </c>
      <c r="B1591" s="3">
        <f>IF(ORIG!B1591=0,"",ORIG!B1591)</f>
        <v/>
      </c>
      <c r="C1591" s="3">
        <f>IF(ORIG!C1591=0,"",ORIG!C1591)</f>
        <v/>
      </c>
      <c r="D1591" s="3">
        <f>IF(ORIG!D1591=0,"",ORIG!D1591)</f>
        <v/>
      </c>
      <c r="E1591" s="3">
        <f>IF(ORIG!E1591=0,"",ORIG!E1591)</f>
        <v/>
      </c>
      <c r="F1591" s="3">
        <f>IF(ORIG!F1591=0,"",ORIG!F1591)</f>
        <v/>
      </c>
      <c r="G1591" s="3">
        <f>IF(ORIG!G1591=0,"",ORIG!G1591)</f>
        <v/>
      </c>
      <c r="H1591" s="3">
        <f>IF(ORIG!H1591=0,"",ORIG!H1591)</f>
        <v/>
      </c>
      <c r="I1591" s="3">
        <f>IF(ORIG!I1591=0,"",ORIG!I1591)</f>
        <v/>
      </c>
      <c r="J1591" s="3">
        <f>IF(ORIG!J1591=0,"",ORIG!J1591)</f>
        <v/>
      </c>
      <c r="K1591" s="3">
        <f>IF(ORIG!K1591=0,"",ORIG!K1591)</f>
        <v/>
      </c>
      <c r="L1591" s="3">
        <f>IF(ORIG!L1591=0,"",ORIG!L1591)</f>
        <v/>
      </c>
      <c r="M1591" s="3">
        <f>IF(ORIG!M1591=0,"",ORIG!M1591)</f>
        <v/>
      </c>
      <c r="N1591" s="3">
        <f>IF(ORIG!N1591=0,"",ORIG!N1591)</f>
        <v/>
      </c>
      <c r="O1591" s="3">
        <f>IF(ORIG!O1591=0,"",ORIG!O1591)</f>
        <v/>
      </c>
      <c r="P1591" s="3">
        <f>IF(ORIG!P1591=0,"",ORIG!P1591)</f>
        <v/>
      </c>
      <c r="Q1591" s="3">
        <f>IF(ORIG!Q1591=0,"",ORIG!Q1591)</f>
        <v/>
      </c>
      <c r="R1591" s="3">
        <f>IF(ORIG!R1591=0,"",ORIG!R1591)</f>
        <v/>
      </c>
      <c r="S1591" s="3">
        <f>IF(ORIG!S1591=0,"",ORIG!S1591)</f>
        <v/>
      </c>
      <c r="T1591" s="3">
        <f>IF(ORIG!T1591=0,"",ORIG!T1591)</f>
        <v/>
      </c>
      <c r="U1591" s="3">
        <f>IF(ORIG!U1591=0,"",ORIG!U1591)</f>
        <v/>
      </c>
      <c r="V1591" s="9">
        <f>IF(ORIG!V1591=0,"",ORIG!V1591)</f>
        <v/>
      </c>
      <c r="W1591" s="9">
        <f>IF(ORIG!W1591=0,"",ORIG!W1591)</f>
        <v/>
      </c>
      <c r="X1591" s="9">
        <f>IF(ORIG!X1591=0,"",ORIG!X1591)</f>
        <v/>
      </c>
      <c r="Y1591" s="9">
        <f>IF(ORIG!Y1591=0,"",ORIG!Y1591)</f>
        <v/>
      </c>
      <c r="Z1591" s="3">
        <f>SUMPRODUCT($B1591:$Y1591,$B$2649:$Y$2649)</f>
        <v/>
      </c>
      <c r="AA1591" s="3">
        <f>SUMPRODUCT($B1591:$Y1591,$B$2655:$Y$2655)</f>
        <v/>
      </c>
      <c r="AC1591" s="1">
        <f>A1591</f>
        <v/>
      </c>
      <c r="AD1591">
        <f>IF(ISNUMBER(V1591),V1591*($AB$1/V$2635),"")</f>
        <v/>
      </c>
      <c r="AE1591">
        <f>IF(ISNUMBER(Z1591),Z1591*($AB$1/Z$2635),"")</f>
        <v/>
      </c>
      <c r="AF1591" s="25">
        <f>IF(ISNUMBER(AD1591+AE1591),AD1591+AE1591,"")</f>
        <v/>
      </c>
      <c r="AH1591" s="1">
        <f>A1591</f>
        <v/>
      </c>
      <c r="AI1591">
        <f>IF(ISNUMBER((1+V1591)*AI1590),(1+V1591)*AI1590,AI1590)</f>
        <v/>
      </c>
      <c r="AJ1591">
        <f>IF(ISNUMBER((1+Z1591)*AJ1590),(1+Z1591)*AJ1590,AJ1590)</f>
        <v/>
      </c>
    </row>
    <row r="1592">
      <c r="A1592" s="1" t="n">
        <v>44313</v>
      </c>
      <c r="B1592" s="3">
        <f>IF(ORIG!B1592=0,"",ORIG!B1592)</f>
        <v/>
      </c>
      <c r="C1592" s="3">
        <f>IF(ORIG!C1592=0,"",ORIG!C1592)</f>
        <v/>
      </c>
      <c r="D1592" s="3">
        <f>IF(ORIG!D1592=0,"",ORIG!D1592)</f>
        <v/>
      </c>
      <c r="E1592" s="3">
        <f>IF(ORIG!E1592=0,"",ORIG!E1592)</f>
        <v/>
      </c>
      <c r="F1592" s="3">
        <f>IF(ORIG!F1592=0,"",ORIG!F1592)</f>
        <v/>
      </c>
      <c r="G1592" s="3">
        <f>IF(ORIG!G1592=0,"",ORIG!G1592)</f>
        <v/>
      </c>
      <c r="H1592" s="3">
        <f>IF(ORIG!H1592=0,"",ORIG!H1592)</f>
        <v/>
      </c>
      <c r="I1592" s="3">
        <f>IF(ORIG!I1592=0,"",ORIG!I1592)</f>
        <v/>
      </c>
      <c r="J1592" s="3">
        <f>IF(ORIG!J1592=0,"",ORIG!J1592)</f>
        <v/>
      </c>
      <c r="K1592" s="3">
        <f>IF(ORIG!K1592=0,"",ORIG!K1592)</f>
        <v/>
      </c>
      <c r="L1592" s="3">
        <f>IF(ORIG!L1592=0,"",ORIG!L1592)</f>
        <v/>
      </c>
      <c r="M1592" s="3">
        <f>IF(ORIG!M1592=0,"",ORIG!M1592)</f>
        <v/>
      </c>
      <c r="N1592" s="3">
        <f>IF(ORIG!N1592=0,"",ORIG!N1592)</f>
        <v/>
      </c>
      <c r="O1592" s="3">
        <f>IF(ORIG!O1592=0,"",ORIG!O1592)</f>
        <v/>
      </c>
      <c r="P1592" s="3">
        <f>IF(ORIG!P1592=0,"",ORIG!P1592)</f>
        <v/>
      </c>
      <c r="Q1592" s="3">
        <f>IF(ORIG!Q1592=0,"",ORIG!Q1592)</f>
        <v/>
      </c>
      <c r="R1592" s="3">
        <f>IF(ORIG!R1592=0,"",ORIG!R1592)</f>
        <v/>
      </c>
      <c r="S1592" s="3">
        <f>IF(ORIG!S1592=0,"",ORIG!S1592)</f>
        <v/>
      </c>
      <c r="T1592" s="3">
        <f>IF(ORIG!T1592=0,"",ORIG!T1592)</f>
        <v/>
      </c>
      <c r="U1592" s="3">
        <f>IF(ORIG!U1592=0,"",ORIG!U1592)</f>
        <v/>
      </c>
      <c r="V1592" s="9">
        <f>IF(ORIG!V1592=0,"",ORIG!V1592)</f>
        <v/>
      </c>
      <c r="W1592" s="9">
        <f>IF(ORIG!W1592=0,"",ORIG!W1592)</f>
        <v/>
      </c>
      <c r="X1592" s="9">
        <f>IF(ORIG!X1592=0,"",ORIG!X1592)</f>
        <v/>
      </c>
      <c r="Y1592" s="9">
        <f>IF(ORIG!Y1592=0,"",ORIG!Y1592)</f>
        <v/>
      </c>
      <c r="Z1592" s="3">
        <f>SUMPRODUCT($B1592:$Y1592,$B$2649:$Y$2649)</f>
        <v/>
      </c>
      <c r="AA1592" s="3">
        <f>SUMPRODUCT($B1592:$Y1592,$B$2655:$Y$2655)</f>
        <v/>
      </c>
      <c r="AC1592" s="1">
        <f>A1592</f>
        <v/>
      </c>
      <c r="AD1592">
        <f>IF(ISNUMBER(V1592),V1592*($AB$1/V$2635),"")</f>
        <v/>
      </c>
      <c r="AE1592">
        <f>IF(ISNUMBER(Z1592),Z1592*($AB$1/Z$2635),"")</f>
        <v/>
      </c>
      <c r="AF1592" s="25">
        <f>IF(ISNUMBER(AD1592+AE1592),AD1592+AE1592,"")</f>
        <v/>
      </c>
      <c r="AH1592" s="1">
        <f>A1592</f>
        <v/>
      </c>
      <c r="AI1592">
        <f>IF(ISNUMBER((1+V1592)*AI1591),(1+V1592)*AI1591,AI1591)</f>
        <v/>
      </c>
      <c r="AJ1592">
        <f>IF(ISNUMBER((1+Z1592)*AJ1591),(1+Z1592)*AJ1591,AJ1591)</f>
        <v/>
      </c>
    </row>
    <row r="1593">
      <c r="A1593" s="1" t="n">
        <v>44314</v>
      </c>
      <c r="B1593" s="3">
        <f>IF(ORIG!B1593=0,"",ORIG!B1593)</f>
        <v/>
      </c>
      <c r="C1593" s="3">
        <f>IF(ORIG!C1593=0,"",ORIG!C1593)</f>
        <v/>
      </c>
      <c r="D1593" s="3">
        <f>IF(ORIG!D1593=0,"",ORIG!D1593)</f>
        <v/>
      </c>
      <c r="E1593" s="3">
        <f>IF(ORIG!E1593=0,"",ORIG!E1593)</f>
        <v/>
      </c>
      <c r="F1593" s="3">
        <f>IF(ORIG!F1593=0,"",ORIG!F1593)</f>
        <v/>
      </c>
      <c r="G1593" s="3">
        <f>IF(ORIG!G1593=0,"",ORIG!G1593)</f>
        <v/>
      </c>
      <c r="H1593" s="3">
        <f>IF(ORIG!H1593=0,"",ORIG!H1593)</f>
        <v/>
      </c>
      <c r="I1593" s="3">
        <f>IF(ORIG!I1593=0,"",ORIG!I1593)</f>
        <v/>
      </c>
      <c r="J1593" s="3">
        <f>IF(ORIG!J1593=0,"",ORIG!J1593)</f>
        <v/>
      </c>
      <c r="K1593" s="3">
        <f>IF(ORIG!K1593=0,"",ORIG!K1593)</f>
        <v/>
      </c>
      <c r="L1593" s="3">
        <f>IF(ORIG!L1593=0,"",ORIG!L1593)</f>
        <v/>
      </c>
      <c r="M1593" s="3">
        <f>IF(ORIG!M1593=0,"",ORIG!M1593)</f>
        <v/>
      </c>
      <c r="N1593" s="3">
        <f>IF(ORIG!N1593=0,"",ORIG!N1593)</f>
        <v/>
      </c>
      <c r="O1593" s="3">
        <f>IF(ORIG!O1593=0,"",ORIG!O1593)</f>
        <v/>
      </c>
      <c r="P1593" s="3">
        <f>IF(ORIG!P1593=0,"",ORIG!P1593)</f>
        <v/>
      </c>
      <c r="Q1593" s="3">
        <f>IF(ORIG!Q1593=0,"",ORIG!Q1593)</f>
        <v/>
      </c>
      <c r="R1593" s="3">
        <f>IF(ORIG!R1593=0,"",ORIG!R1593)</f>
        <v/>
      </c>
      <c r="S1593" s="3">
        <f>IF(ORIG!S1593=0,"",ORIG!S1593)</f>
        <v/>
      </c>
      <c r="T1593" s="3">
        <f>IF(ORIG!T1593=0,"",ORIG!T1593)</f>
        <v/>
      </c>
      <c r="U1593" s="3">
        <f>IF(ORIG!U1593=0,"",ORIG!U1593)</f>
        <v/>
      </c>
      <c r="V1593" s="9">
        <f>IF(ORIG!V1593=0,"",ORIG!V1593)</f>
        <v/>
      </c>
      <c r="W1593" s="9">
        <f>IF(ORIG!W1593=0,"",ORIG!W1593)</f>
        <v/>
      </c>
      <c r="X1593" s="9">
        <f>IF(ORIG!X1593=0,"",ORIG!X1593)</f>
        <v/>
      </c>
      <c r="Y1593" s="9">
        <f>IF(ORIG!Y1593=0,"",ORIG!Y1593)</f>
        <v/>
      </c>
      <c r="Z1593" s="3">
        <f>SUMPRODUCT($B1593:$Y1593,$B$2649:$Y$2649)</f>
        <v/>
      </c>
      <c r="AA1593" s="3">
        <f>SUMPRODUCT($B1593:$Y1593,$B$2655:$Y$2655)</f>
        <v/>
      </c>
      <c r="AC1593" s="1">
        <f>A1593</f>
        <v/>
      </c>
      <c r="AD1593">
        <f>IF(ISNUMBER(V1593),V1593*($AB$1/V$2635),"")</f>
        <v/>
      </c>
      <c r="AE1593">
        <f>IF(ISNUMBER(Z1593),Z1593*($AB$1/Z$2635),"")</f>
        <v/>
      </c>
      <c r="AF1593" s="25">
        <f>IF(ISNUMBER(AD1593+AE1593),AD1593+AE1593,"")</f>
        <v/>
      </c>
      <c r="AH1593" s="1">
        <f>A1593</f>
        <v/>
      </c>
      <c r="AI1593">
        <f>IF(ISNUMBER((1+V1593)*AI1592),(1+V1593)*AI1592,AI1592)</f>
        <v/>
      </c>
      <c r="AJ1593">
        <f>IF(ISNUMBER((1+Z1593)*AJ1592),(1+Z1593)*AJ1592,AJ1592)</f>
        <v/>
      </c>
    </row>
    <row r="1594">
      <c r="A1594" s="1" t="n">
        <v>44315</v>
      </c>
      <c r="B1594" s="3">
        <f>IF(ORIG!B1594=0,"",ORIG!B1594)</f>
        <v/>
      </c>
      <c r="C1594" s="3">
        <f>IF(ORIG!C1594=0,"",ORIG!C1594)</f>
        <v/>
      </c>
      <c r="D1594" s="3">
        <f>IF(ORIG!D1594=0,"",ORIG!D1594)</f>
        <v/>
      </c>
      <c r="E1594" s="3">
        <f>IF(ORIG!E1594=0,"",ORIG!E1594)</f>
        <v/>
      </c>
      <c r="F1594" s="3">
        <f>IF(ORIG!F1594=0,"",ORIG!F1594)</f>
        <v/>
      </c>
      <c r="G1594" s="3">
        <f>IF(ORIG!G1594=0,"",ORIG!G1594)</f>
        <v/>
      </c>
      <c r="H1594" s="3">
        <f>IF(ORIG!H1594=0,"",ORIG!H1594)</f>
        <v/>
      </c>
      <c r="I1594" s="3">
        <f>IF(ORIG!I1594=0,"",ORIG!I1594)</f>
        <v/>
      </c>
      <c r="J1594" s="3">
        <f>IF(ORIG!J1594=0,"",ORIG!J1594)</f>
        <v/>
      </c>
      <c r="K1594" s="3">
        <f>IF(ORIG!K1594=0,"",ORIG!K1594)</f>
        <v/>
      </c>
      <c r="L1594" s="3">
        <f>IF(ORIG!L1594=0,"",ORIG!L1594)</f>
        <v/>
      </c>
      <c r="M1594" s="3">
        <f>IF(ORIG!M1594=0,"",ORIG!M1594)</f>
        <v/>
      </c>
      <c r="N1594" s="3">
        <f>IF(ORIG!N1594=0,"",ORIG!N1594)</f>
        <v/>
      </c>
      <c r="O1594" s="3">
        <f>IF(ORIG!O1594=0,"",ORIG!O1594)</f>
        <v/>
      </c>
      <c r="P1594" s="3">
        <f>IF(ORIG!P1594=0,"",ORIG!P1594)</f>
        <v/>
      </c>
      <c r="Q1594" s="3">
        <f>IF(ORIG!Q1594=0,"",ORIG!Q1594)</f>
        <v/>
      </c>
      <c r="R1594" s="3">
        <f>IF(ORIG!R1594=0,"",ORIG!R1594)</f>
        <v/>
      </c>
      <c r="S1594" s="3">
        <f>IF(ORIG!S1594=0,"",ORIG!S1594)</f>
        <v/>
      </c>
      <c r="T1594" s="3">
        <f>IF(ORIG!T1594=0,"",ORIG!T1594)</f>
        <v/>
      </c>
      <c r="U1594" s="3">
        <f>IF(ORIG!U1594=0,"",ORIG!U1594)</f>
        <v/>
      </c>
      <c r="V1594" s="9">
        <f>IF(ORIG!V1594=0,"",ORIG!V1594)</f>
        <v/>
      </c>
      <c r="W1594" s="9">
        <f>IF(ORIG!W1594=0,"",ORIG!W1594)</f>
        <v/>
      </c>
      <c r="X1594" s="9">
        <f>IF(ORIG!X1594=0,"",ORIG!X1594)</f>
        <v/>
      </c>
      <c r="Y1594" s="9">
        <f>IF(ORIG!Y1594=0,"",ORIG!Y1594)</f>
        <v/>
      </c>
      <c r="Z1594" s="3">
        <f>SUMPRODUCT($B1594:$Y1594,$B$2649:$Y$2649)</f>
        <v/>
      </c>
      <c r="AA1594" s="3">
        <f>SUMPRODUCT($B1594:$Y1594,$B$2655:$Y$2655)</f>
        <v/>
      </c>
      <c r="AC1594" s="1">
        <f>A1594</f>
        <v/>
      </c>
      <c r="AD1594">
        <f>IF(ISNUMBER(V1594),V1594*($AB$1/V$2635),"")</f>
        <v/>
      </c>
      <c r="AE1594">
        <f>IF(ISNUMBER(Z1594),Z1594*($AB$1/Z$2635),"")</f>
        <v/>
      </c>
      <c r="AF1594" s="25">
        <f>IF(ISNUMBER(AD1594+AE1594),AD1594+AE1594,"")</f>
        <v/>
      </c>
      <c r="AH1594" s="1">
        <f>A1594</f>
        <v/>
      </c>
      <c r="AI1594">
        <f>IF(ISNUMBER((1+V1594)*AI1593),(1+V1594)*AI1593,AI1593)</f>
        <v/>
      </c>
      <c r="AJ1594">
        <f>IF(ISNUMBER((1+Z1594)*AJ1593),(1+Z1594)*AJ1593,AJ1593)</f>
        <v/>
      </c>
    </row>
    <row r="1595">
      <c r="A1595" s="1" t="n">
        <v>44316</v>
      </c>
      <c r="B1595" s="3">
        <f>IF(ORIG!B1595=0,"",ORIG!B1595)</f>
        <v/>
      </c>
      <c r="C1595" s="3">
        <f>IF(ORIG!C1595=0,"",ORIG!C1595)</f>
        <v/>
      </c>
      <c r="D1595" s="3">
        <f>IF(ORIG!D1595=0,"",ORIG!D1595)</f>
        <v/>
      </c>
      <c r="E1595" s="3">
        <f>IF(ORIG!E1595=0,"",ORIG!E1595)</f>
        <v/>
      </c>
      <c r="F1595" s="3">
        <f>IF(ORIG!F1595=0,"",ORIG!F1595)</f>
        <v/>
      </c>
      <c r="G1595" s="3">
        <f>IF(ORIG!G1595=0,"",ORIG!G1595)</f>
        <v/>
      </c>
      <c r="H1595" s="3">
        <f>IF(ORIG!H1595=0,"",ORIG!H1595)</f>
        <v/>
      </c>
      <c r="I1595" s="3">
        <f>IF(ORIG!I1595=0,"",ORIG!I1595)</f>
        <v/>
      </c>
      <c r="J1595" s="3">
        <f>IF(ORIG!J1595=0,"",ORIG!J1595)</f>
        <v/>
      </c>
      <c r="K1595" s="3">
        <f>IF(ORIG!K1595=0,"",ORIG!K1595)</f>
        <v/>
      </c>
      <c r="L1595" s="3">
        <f>IF(ORIG!L1595=0,"",ORIG!L1595)</f>
        <v/>
      </c>
      <c r="M1595" s="3">
        <f>IF(ORIG!M1595=0,"",ORIG!M1595)</f>
        <v/>
      </c>
      <c r="N1595" s="3">
        <f>IF(ORIG!N1595=0,"",ORIG!N1595)</f>
        <v/>
      </c>
      <c r="O1595" s="3">
        <f>IF(ORIG!O1595=0,"",ORIG!O1595)</f>
        <v/>
      </c>
      <c r="P1595" s="3">
        <f>IF(ORIG!P1595=0,"",ORIG!P1595)</f>
        <v/>
      </c>
      <c r="Q1595" s="3">
        <f>IF(ORIG!Q1595=0,"",ORIG!Q1595)</f>
        <v/>
      </c>
      <c r="R1595" s="3">
        <f>IF(ORIG!R1595=0,"",ORIG!R1595)</f>
        <v/>
      </c>
      <c r="S1595" s="3">
        <f>IF(ORIG!S1595=0,"",ORIG!S1595)</f>
        <v/>
      </c>
      <c r="T1595" s="3">
        <f>IF(ORIG!T1595=0,"",ORIG!T1595)</f>
        <v/>
      </c>
      <c r="U1595" s="3">
        <f>IF(ORIG!U1595=0,"",ORIG!U1595)</f>
        <v/>
      </c>
      <c r="V1595" s="9">
        <f>IF(ORIG!V1595=0,"",ORIG!V1595)</f>
        <v/>
      </c>
      <c r="W1595" s="9">
        <f>IF(ORIG!W1595=0,"",ORIG!W1595)</f>
        <v/>
      </c>
      <c r="X1595" s="9">
        <f>IF(ORIG!X1595=0,"",ORIG!X1595)</f>
        <v/>
      </c>
      <c r="Y1595" s="9">
        <f>IF(ORIG!Y1595=0,"",ORIG!Y1595)</f>
        <v/>
      </c>
      <c r="Z1595" s="3">
        <f>SUMPRODUCT($B1595:$Y1595,$B$2649:$Y$2649)</f>
        <v/>
      </c>
      <c r="AA1595" s="3">
        <f>SUMPRODUCT($B1595:$Y1595,$B$2655:$Y$2655)</f>
        <v/>
      </c>
      <c r="AC1595" s="1">
        <f>A1595</f>
        <v/>
      </c>
      <c r="AD1595">
        <f>IF(ISNUMBER(V1595),V1595*($AB$1/V$2635),"")</f>
        <v/>
      </c>
      <c r="AE1595">
        <f>IF(ISNUMBER(Z1595),Z1595*($AB$1/Z$2635),"")</f>
        <v/>
      </c>
      <c r="AF1595" s="25">
        <f>IF(ISNUMBER(AD1595+AE1595),AD1595+AE1595,"")</f>
        <v/>
      </c>
      <c r="AH1595" s="1">
        <f>A1595</f>
        <v/>
      </c>
      <c r="AI1595">
        <f>IF(ISNUMBER((1+V1595)*AI1594),(1+V1595)*AI1594,AI1594)</f>
        <v/>
      </c>
      <c r="AJ1595">
        <f>IF(ISNUMBER((1+Z1595)*AJ1594),(1+Z1595)*AJ1594,AJ1594)</f>
        <v/>
      </c>
    </row>
    <row r="1596">
      <c r="A1596" s="1" t="n">
        <v>44319</v>
      </c>
      <c r="B1596" s="3">
        <f>IF(ORIG!B1596=0,"",ORIG!B1596)</f>
        <v/>
      </c>
      <c r="C1596" s="3">
        <f>IF(ORIG!C1596=0,"",ORIG!C1596)</f>
        <v/>
      </c>
      <c r="D1596" s="3">
        <f>IF(ORIG!D1596=0,"",ORIG!D1596)</f>
        <v/>
      </c>
      <c r="E1596" s="3">
        <f>IF(ORIG!E1596=0,"",ORIG!E1596)</f>
        <v/>
      </c>
      <c r="F1596" s="3">
        <f>IF(ORIG!F1596=0,"",ORIG!F1596)</f>
        <v/>
      </c>
      <c r="G1596" s="3">
        <f>IF(ORIG!G1596=0,"",ORIG!G1596)</f>
        <v/>
      </c>
      <c r="H1596" s="3">
        <f>IF(ORIG!H1596=0,"",ORIG!H1596)</f>
        <v/>
      </c>
      <c r="I1596" s="3">
        <f>IF(ORIG!I1596=0,"",ORIG!I1596)</f>
        <v/>
      </c>
      <c r="J1596" s="3">
        <f>IF(ORIG!J1596=0,"",ORIG!J1596)</f>
        <v/>
      </c>
      <c r="K1596" s="3">
        <f>IF(ORIG!K1596=0,"",ORIG!K1596)</f>
        <v/>
      </c>
      <c r="L1596" s="3">
        <f>IF(ORIG!L1596=0,"",ORIG!L1596)</f>
        <v/>
      </c>
      <c r="M1596" s="3">
        <f>IF(ORIG!M1596=0,"",ORIG!M1596)</f>
        <v/>
      </c>
      <c r="N1596" s="3">
        <f>IF(ORIG!N1596=0,"",ORIG!N1596)</f>
        <v/>
      </c>
      <c r="O1596" s="3">
        <f>IF(ORIG!O1596=0,"",ORIG!O1596)</f>
        <v/>
      </c>
      <c r="P1596" s="3">
        <f>IF(ORIG!P1596=0,"",ORIG!P1596)</f>
        <v/>
      </c>
      <c r="Q1596" s="3">
        <f>IF(ORIG!Q1596=0,"",ORIG!Q1596)</f>
        <v/>
      </c>
      <c r="R1596" s="3">
        <f>IF(ORIG!R1596=0,"",ORIG!R1596)</f>
        <v/>
      </c>
      <c r="S1596" s="3">
        <f>IF(ORIG!S1596=0,"",ORIG!S1596)</f>
        <v/>
      </c>
      <c r="T1596" s="3">
        <f>IF(ORIG!T1596=0,"",ORIG!T1596)</f>
        <v/>
      </c>
      <c r="U1596" s="3">
        <f>IF(ORIG!U1596=0,"",ORIG!U1596)</f>
        <v/>
      </c>
      <c r="V1596" s="9">
        <f>IF(ORIG!V1596=0,"",ORIG!V1596)</f>
        <v/>
      </c>
      <c r="W1596" s="9">
        <f>IF(ORIG!W1596=0,"",ORIG!W1596)</f>
        <v/>
      </c>
      <c r="X1596" s="9">
        <f>IF(ORIG!X1596=0,"",ORIG!X1596)</f>
        <v/>
      </c>
      <c r="Y1596" s="9">
        <f>IF(ORIG!Y1596=0,"",ORIG!Y1596)</f>
        <v/>
      </c>
      <c r="Z1596" s="3">
        <f>SUMPRODUCT($B1596:$Y1596,$B$2649:$Y$2649)</f>
        <v/>
      </c>
      <c r="AA1596" s="3">
        <f>SUMPRODUCT($B1596:$Y1596,$B$2655:$Y$2655)</f>
        <v/>
      </c>
      <c r="AC1596" s="1">
        <f>A1596</f>
        <v/>
      </c>
      <c r="AD1596">
        <f>IF(ISNUMBER(V1596),V1596*($AB$1/V$2635),"")</f>
        <v/>
      </c>
      <c r="AE1596">
        <f>IF(ISNUMBER(Z1596),Z1596*($AB$1/Z$2635),"")</f>
        <v/>
      </c>
      <c r="AF1596" s="25">
        <f>IF(ISNUMBER(AD1596+AE1596),AD1596+AE1596,"")</f>
        <v/>
      </c>
      <c r="AH1596" s="1">
        <f>A1596</f>
        <v/>
      </c>
      <c r="AI1596">
        <f>IF(ISNUMBER((1+V1596)*AI1595),(1+V1596)*AI1595,AI1595)</f>
        <v/>
      </c>
      <c r="AJ1596">
        <f>IF(ISNUMBER((1+Z1596)*AJ1595),(1+Z1596)*AJ1595,AJ1595)</f>
        <v/>
      </c>
    </row>
    <row r="1597">
      <c r="A1597" s="1" t="n">
        <v>44320</v>
      </c>
      <c r="B1597" s="3">
        <f>IF(ORIG!B1597=0,"",ORIG!B1597)</f>
        <v/>
      </c>
      <c r="C1597" s="3">
        <f>IF(ORIG!C1597=0,"",ORIG!C1597)</f>
        <v/>
      </c>
      <c r="D1597" s="3">
        <f>IF(ORIG!D1597=0,"",ORIG!D1597)</f>
        <v/>
      </c>
      <c r="E1597" s="3">
        <f>IF(ORIG!E1597=0,"",ORIG!E1597)</f>
        <v/>
      </c>
      <c r="F1597" s="3">
        <f>IF(ORIG!F1597=0,"",ORIG!F1597)</f>
        <v/>
      </c>
      <c r="G1597" s="3">
        <f>IF(ORIG!G1597=0,"",ORIG!G1597)</f>
        <v/>
      </c>
      <c r="H1597" s="3">
        <f>IF(ORIG!H1597=0,"",ORIG!H1597)</f>
        <v/>
      </c>
      <c r="I1597" s="3">
        <f>IF(ORIG!I1597=0,"",ORIG!I1597)</f>
        <v/>
      </c>
      <c r="J1597" s="3">
        <f>IF(ORIG!J1597=0,"",ORIG!J1597)</f>
        <v/>
      </c>
      <c r="K1597" s="3">
        <f>IF(ORIG!K1597=0,"",ORIG!K1597)</f>
        <v/>
      </c>
      <c r="L1597" s="3">
        <f>IF(ORIG!L1597=0,"",ORIG!L1597)</f>
        <v/>
      </c>
      <c r="M1597" s="3">
        <f>IF(ORIG!M1597=0,"",ORIG!M1597)</f>
        <v/>
      </c>
      <c r="N1597" s="3">
        <f>IF(ORIG!N1597=0,"",ORIG!N1597)</f>
        <v/>
      </c>
      <c r="O1597" s="3">
        <f>IF(ORIG!O1597=0,"",ORIG!O1597)</f>
        <v/>
      </c>
      <c r="P1597" s="3">
        <f>IF(ORIG!P1597=0,"",ORIG!P1597)</f>
        <v/>
      </c>
      <c r="Q1597" s="3">
        <f>IF(ORIG!Q1597=0,"",ORIG!Q1597)</f>
        <v/>
      </c>
      <c r="R1597" s="3">
        <f>IF(ORIG!R1597=0,"",ORIG!R1597)</f>
        <v/>
      </c>
      <c r="S1597" s="3">
        <f>IF(ORIG!S1597=0,"",ORIG!S1597)</f>
        <v/>
      </c>
      <c r="T1597" s="3">
        <f>IF(ORIG!T1597=0,"",ORIG!T1597)</f>
        <v/>
      </c>
      <c r="U1597" s="3">
        <f>IF(ORIG!U1597=0,"",ORIG!U1597)</f>
        <v/>
      </c>
      <c r="V1597" s="9">
        <f>IF(ORIG!V1597=0,"",ORIG!V1597)</f>
        <v/>
      </c>
      <c r="W1597" s="9">
        <f>IF(ORIG!W1597=0,"",ORIG!W1597)</f>
        <v/>
      </c>
      <c r="X1597" s="9">
        <f>IF(ORIG!X1597=0,"",ORIG!X1597)</f>
        <v/>
      </c>
      <c r="Y1597" s="9">
        <f>IF(ORIG!Y1597=0,"",ORIG!Y1597)</f>
        <v/>
      </c>
      <c r="Z1597" s="3">
        <f>SUMPRODUCT($B1597:$Y1597,$B$2649:$Y$2649)</f>
        <v/>
      </c>
      <c r="AA1597" s="3">
        <f>SUMPRODUCT($B1597:$Y1597,$B$2655:$Y$2655)</f>
        <v/>
      </c>
      <c r="AC1597" s="1">
        <f>A1597</f>
        <v/>
      </c>
      <c r="AD1597">
        <f>IF(ISNUMBER(V1597),V1597*($AB$1/V$2635),"")</f>
        <v/>
      </c>
      <c r="AE1597">
        <f>IF(ISNUMBER(Z1597),Z1597*($AB$1/Z$2635),"")</f>
        <v/>
      </c>
      <c r="AF1597" s="25">
        <f>IF(ISNUMBER(AD1597+AE1597),AD1597+AE1597,"")</f>
        <v/>
      </c>
      <c r="AH1597" s="1">
        <f>A1597</f>
        <v/>
      </c>
      <c r="AI1597">
        <f>IF(ISNUMBER((1+V1597)*AI1596),(1+V1597)*AI1596,AI1596)</f>
        <v/>
      </c>
      <c r="AJ1597">
        <f>IF(ISNUMBER((1+Z1597)*AJ1596),(1+Z1597)*AJ1596,AJ1596)</f>
        <v/>
      </c>
    </row>
    <row r="1598">
      <c r="A1598" s="1" t="n">
        <v>44321</v>
      </c>
      <c r="B1598" s="3">
        <f>IF(ORIG!B1598=0,"",ORIG!B1598)</f>
        <v/>
      </c>
      <c r="C1598" s="3">
        <f>IF(ORIG!C1598=0,"",ORIG!C1598)</f>
        <v/>
      </c>
      <c r="D1598" s="3">
        <f>IF(ORIG!D1598=0,"",ORIG!D1598)</f>
        <v/>
      </c>
      <c r="E1598" s="3">
        <f>IF(ORIG!E1598=0,"",ORIG!E1598)</f>
        <v/>
      </c>
      <c r="F1598" s="3">
        <f>IF(ORIG!F1598=0,"",ORIG!F1598)</f>
        <v/>
      </c>
      <c r="G1598" s="3">
        <f>IF(ORIG!G1598=0,"",ORIG!G1598)</f>
        <v/>
      </c>
      <c r="H1598" s="3">
        <f>IF(ORIG!H1598=0,"",ORIG!H1598)</f>
        <v/>
      </c>
      <c r="I1598" s="3">
        <f>IF(ORIG!I1598=0,"",ORIG!I1598)</f>
        <v/>
      </c>
      <c r="J1598" s="3">
        <f>IF(ORIG!J1598=0,"",ORIG!J1598)</f>
        <v/>
      </c>
      <c r="K1598" s="3">
        <f>IF(ORIG!K1598=0,"",ORIG!K1598)</f>
        <v/>
      </c>
      <c r="L1598" s="3">
        <f>IF(ORIG!L1598=0,"",ORIG!L1598)</f>
        <v/>
      </c>
      <c r="M1598" s="3">
        <f>IF(ORIG!M1598=0,"",ORIG!M1598)</f>
        <v/>
      </c>
      <c r="N1598" s="3">
        <f>IF(ORIG!N1598=0,"",ORIG!N1598)</f>
        <v/>
      </c>
      <c r="O1598" s="3">
        <f>IF(ORIG!O1598=0,"",ORIG!O1598)</f>
        <v/>
      </c>
      <c r="P1598" s="3">
        <f>IF(ORIG!P1598=0,"",ORIG!P1598)</f>
        <v/>
      </c>
      <c r="Q1598" s="3">
        <f>IF(ORIG!Q1598=0,"",ORIG!Q1598)</f>
        <v/>
      </c>
      <c r="R1598" s="3">
        <f>IF(ORIG!R1598=0,"",ORIG!R1598)</f>
        <v/>
      </c>
      <c r="S1598" s="3">
        <f>IF(ORIG!S1598=0,"",ORIG!S1598)</f>
        <v/>
      </c>
      <c r="T1598" s="3">
        <f>IF(ORIG!T1598=0,"",ORIG!T1598)</f>
        <v/>
      </c>
      <c r="U1598" s="3">
        <f>IF(ORIG!U1598=0,"",ORIG!U1598)</f>
        <v/>
      </c>
      <c r="V1598" s="9">
        <f>IF(ORIG!V1598=0,"",ORIG!V1598)</f>
        <v/>
      </c>
      <c r="W1598" s="9">
        <f>IF(ORIG!W1598=0,"",ORIG!W1598)</f>
        <v/>
      </c>
      <c r="X1598" s="9">
        <f>IF(ORIG!X1598=0,"",ORIG!X1598)</f>
        <v/>
      </c>
      <c r="Y1598" s="9">
        <f>IF(ORIG!Y1598=0,"",ORIG!Y1598)</f>
        <v/>
      </c>
      <c r="Z1598" s="3">
        <f>SUMPRODUCT($B1598:$Y1598,$B$2649:$Y$2649)</f>
        <v/>
      </c>
      <c r="AA1598" s="3">
        <f>SUMPRODUCT($B1598:$Y1598,$B$2655:$Y$2655)</f>
        <v/>
      </c>
      <c r="AC1598" s="1">
        <f>A1598</f>
        <v/>
      </c>
      <c r="AD1598">
        <f>IF(ISNUMBER(V1598),V1598*($AB$1/V$2635),"")</f>
        <v/>
      </c>
      <c r="AE1598">
        <f>IF(ISNUMBER(Z1598),Z1598*($AB$1/Z$2635),"")</f>
        <v/>
      </c>
      <c r="AF1598" s="25">
        <f>IF(ISNUMBER(AD1598+AE1598),AD1598+AE1598,"")</f>
        <v/>
      </c>
      <c r="AH1598" s="1">
        <f>A1598</f>
        <v/>
      </c>
      <c r="AI1598">
        <f>IF(ISNUMBER((1+V1598)*AI1597),(1+V1598)*AI1597,AI1597)</f>
        <v/>
      </c>
      <c r="AJ1598">
        <f>IF(ISNUMBER((1+Z1598)*AJ1597),(1+Z1598)*AJ1597,AJ1597)</f>
        <v/>
      </c>
    </row>
    <row r="1599">
      <c r="A1599" s="1" t="n">
        <v>44322</v>
      </c>
      <c r="B1599" s="3">
        <f>IF(ORIG!B1599=0,"",ORIG!B1599)</f>
        <v/>
      </c>
      <c r="C1599" s="3">
        <f>IF(ORIG!C1599=0,"",ORIG!C1599)</f>
        <v/>
      </c>
      <c r="D1599" s="3">
        <f>IF(ORIG!D1599=0,"",ORIG!D1599)</f>
        <v/>
      </c>
      <c r="E1599" s="3">
        <f>IF(ORIG!E1599=0,"",ORIG!E1599)</f>
        <v/>
      </c>
      <c r="F1599" s="3">
        <f>IF(ORIG!F1599=0,"",ORIG!F1599)</f>
        <v/>
      </c>
      <c r="G1599" s="3">
        <f>IF(ORIG!G1599=0,"",ORIG!G1599)</f>
        <v/>
      </c>
      <c r="H1599" s="3">
        <f>IF(ORIG!H1599=0,"",ORIG!H1599)</f>
        <v/>
      </c>
      <c r="I1599" s="3">
        <f>IF(ORIG!I1599=0,"",ORIG!I1599)</f>
        <v/>
      </c>
      <c r="J1599" s="3">
        <f>IF(ORIG!J1599=0,"",ORIG!J1599)</f>
        <v/>
      </c>
      <c r="K1599" s="3">
        <f>IF(ORIG!K1599=0,"",ORIG!K1599)</f>
        <v/>
      </c>
      <c r="L1599" s="3">
        <f>IF(ORIG!L1599=0,"",ORIG!L1599)</f>
        <v/>
      </c>
      <c r="M1599" s="3">
        <f>IF(ORIG!M1599=0,"",ORIG!M1599)</f>
        <v/>
      </c>
      <c r="N1599" s="3">
        <f>IF(ORIG!N1599=0,"",ORIG!N1599)</f>
        <v/>
      </c>
      <c r="O1599" s="3">
        <f>IF(ORIG!O1599=0,"",ORIG!O1599)</f>
        <v/>
      </c>
      <c r="P1599" s="3">
        <f>IF(ORIG!P1599=0,"",ORIG!P1599)</f>
        <v/>
      </c>
      <c r="Q1599" s="3">
        <f>IF(ORIG!Q1599=0,"",ORIG!Q1599)</f>
        <v/>
      </c>
      <c r="R1599" s="3">
        <f>IF(ORIG!R1599=0,"",ORIG!R1599)</f>
        <v/>
      </c>
      <c r="S1599" s="3">
        <f>IF(ORIG!S1599=0,"",ORIG!S1599)</f>
        <v/>
      </c>
      <c r="T1599" s="3">
        <f>IF(ORIG!T1599=0,"",ORIG!T1599)</f>
        <v/>
      </c>
      <c r="U1599" s="3">
        <f>IF(ORIG!U1599=0,"",ORIG!U1599)</f>
        <v/>
      </c>
      <c r="V1599" s="9">
        <f>IF(ORIG!V1599=0,"",ORIG!V1599)</f>
        <v/>
      </c>
      <c r="W1599" s="9">
        <f>IF(ORIG!W1599=0,"",ORIG!W1599)</f>
        <v/>
      </c>
      <c r="X1599" s="9">
        <f>IF(ORIG!X1599=0,"",ORIG!X1599)</f>
        <v/>
      </c>
      <c r="Y1599" s="9">
        <f>IF(ORIG!Y1599=0,"",ORIG!Y1599)</f>
        <v/>
      </c>
      <c r="Z1599" s="3">
        <f>SUMPRODUCT($B1599:$Y1599,$B$2649:$Y$2649)</f>
        <v/>
      </c>
      <c r="AA1599" s="3">
        <f>SUMPRODUCT($B1599:$Y1599,$B$2655:$Y$2655)</f>
        <v/>
      </c>
      <c r="AC1599" s="1">
        <f>A1599</f>
        <v/>
      </c>
      <c r="AD1599">
        <f>IF(ISNUMBER(V1599),V1599*($AB$1/V$2635),"")</f>
        <v/>
      </c>
      <c r="AE1599">
        <f>IF(ISNUMBER(Z1599),Z1599*($AB$1/Z$2635),"")</f>
        <v/>
      </c>
      <c r="AF1599" s="25">
        <f>IF(ISNUMBER(AD1599+AE1599),AD1599+AE1599,"")</f>
        <v/>
      </c>
      <c r="AH1599" s="1">
        <f>A1599</f>
        <v/>
      </c>
      <c r="AI1599">
        <f>IF(ISNUMBER((1+V1599)*AI1598),(1+V1599)*AI1598,AI1598)</f>
        <v/>
      </c>
      <c r="AJ1599">
        <f>IF(ISNUMBER((1+Z1599)*AJ1598),(1+Z1599)*AJ1598,AJ1598)</f>
        <v/>
      </c>
    </row>
    <row r="1600">
      <c r="A1600" s="1" t="n">
        <v>44323</v>
      </c>
      <c r="B1600" s="3">
        <f>IF(ORIG!B1600=0,"",ORIG!B1600)</f>
        <v/>
      </c>
      <c r="C1600" s="3">
        <f>IF(ORIG!C1600=0,"",ORIG!C1600)</f>
        <v/>
      </c>
      <c r="D1600" s="3">
        <f>IF(ORIG!D1600=0,"",ORIG!D1600)</f>
        <v/>
      </c>
      <c r="E1600" s="3">
        <f>IF(ORIG!E1600=0,"",ORIG!E1600)</f>
        <v/>
      </c>
      <c r="F1600" s="3">
        <f>IF(ORIG!F1600=0,"",ORIG!F1600)</f>
        <v/>
      </c>
      <c r="G1600" s="3">
        <f>IF(ORIG!G1600=0,"",ORIG!G1600)</f>
        <v/>
      </c>
      <c r="H1600" s="3">
        <f>IF(ORIG!H1600=0,"",ORIG!H1600)</f>
        <v/>
      </c>
      <c r="I1600" s="3">
        <f>IF(ORIG!I1600=0,"",ORIG!I1600)</f>
        <v/>
      </c>
      <c r="J1600" s="3">
        <f>IF(ORIG!J1600=0,"",ORIG!J1600)</f>
        <v/>
      </c>
      <c r="K1600" s="3">
        <f>IF(ORIG!K1600=0,"",ORIG!K1600)</f>
        <v/>
      </c>
      <c r="L1600" s="3">
        <f>IF(ORIG!L1600=0,"",ORIG!L1600)</f>
        <v/>
      </c>
      <c r="M1600" s="3">
        <f>IF(ORIG!M1600=0,"",ORIG!M1600)</f>
        <v/>
      </c>
      <c r="N1600" s="3">
        <f>IF(ORIG!N1600=0,"",ORIG!N1600)</f>
        <v/>
      </c>
      <c r="O1600" s="3">
        <f>IF(ORIG!O1600=0,"",ORIG!O1600)</f>
        <v/>
      </c>
      <c r="P1600" s="3">
        <f>IF(ORIG!P1600=0,"",ORIG!P1600)</f>
        <v/>
      </c>
      <c r="Q1600" s="3">
        <f>IF(ORIG!Q1600=0,"",ORIG!Q1600)</f>
        <v/>
      </c>
      <c r="R1600" s="3">
        <f>IF(ORIG!R1600=0,"",ORIG!R1600)</f>
        <v/>
      </c>
      <c r="S1600" s="3">
        <f>IF(ORIG!S1600=0,"",ORIG!S1600)</f>
        <v/>
      </c>
      <c r="T1600" s="3">
        <f>IF(ORIG!T1600=0,"",ORIG!T1600)</f>
        <v/>
      </c>
      <c r="U1600" s="3">
        <f>IF(ORIG!U1600=0,"",ORIG!U1600)</f>
        <v/>
      </c>
      <c r="V1600" s="9">
        <f>IF(ORIG!V1600=0,"",ORIG!V1600)</f>
        <v/>
      </c>
      <c r="W1600" s="9">
        <f>IF(ORIG!W1600=0,"",ORIG!W1600)</f>
        <v/>
      </c>
      <c r="X1600" s="9">
        <f>IF(ORIG!X1600=0,"",ORIG!X1600)</f>
        <v/>
      </c>
      <c r="Y1600" s="9">
        <f>IF(ORIG!Y1600=0,"",ORIG!Y1600)</f>
        <v/>
      </c>
      <c r="Z1600" s="3">
        <f>SUMPRODUCT($B1600:$Y1600,$B$2649:$Y$2649)</f>
        <v/>
      </c>
      <c r="AA1600" s="3">
        <f>SUMPRODUCT($B1600:$Y1600,$B$2655:$Y$2655)</f>
        <v/>
      </c>
      <c r="AC1600" s="1">
        <f>A1600</f>
        <v/>
      </c>
      <c r="AD1600">
        <f>IF(ISNUMBER(V1600),V1600*($AB$1/V$2635),"")</f>
        <v/>
      </c>
      <c r="AE1600">
        <f>IF(ISNUMBER(Z1600),Z1600*($AB$1/Z$2635),"")</f>
        <v/>
      </c>
      <c r="AF1600" s="25">
        <f>IF(ISNUMBER(AD1600+AE1600),AD1600+AE1600,"")</f>
        <v/>
      </c>
      <c r="AH1600" s="1">
        <f>A1600</f>
        <v/>
      </c>
      <c r="AI1600">
        <f>IF(ISNUMBER((1+V1600)*AI1599),(1+V1600)*AI1599,AI1599)</f>
        <v/>
      </c>
      <c r="AJ1600">
        <f>IF(ISNUMBER((1+Z1600)*AJ1599),(1+Z1600)*AJ1599,AJ1599)</f>
        <v/>
      </c>
    </row>
    <row r="1601">
      <c r="A1601" s="1" t="n">
        <v>44326</v>
      </c>
      <c r="B1601" s="3">
        <f>IF(ORIG!B1601=0,"",ORIG!B1601)</f>
        <v/>
      </c>
      <c r="C1601" s="3">
        <f>IF(ORIG!C1601=0,"",ORIG!C1601)</f>
        <v/>
      </c>
      <c r="D1601" s="3">
        <f>IF(ORIG!D1601=0,"",ORIG!D1601)</f>
        <v/>
      </c>
      <c r="E1601" s="3">
        <f>IF(ORIG!E1601=0,"",ORIG!E1601)</f>
        <v/>
      </c>
      <c r="F1601" s="3">
        <f>IF(ORIG!F1601=0,"",ORIG!F1601)</f>
        <v/>
      </c>
      <c r="G1601" s="3">
        <f>IF(ORIG!G1601=0,"",ORIG!G1601)</f>
        <v/>
      </c>
      <c r="H1601" s="3">
        <f>IF(ORIG!H1601=0,"",ORIG!H1601)</f>
        <v/>
      </c>
      <c r="I1601" s="3">
        <f>IF(ORIG!I1601=0,"",ORIG!I1601)</f>
        <v/>
      </c>
      <c r="J1601" s="3">
        <f>IF(ORIG!J1601=0,"",ORIG!J1601)</f>
        <v/>
      </c>
      <c r="K1601" s="3">
        <f>IF(ORIG!K1601=0,"",ORIG!K1601)</f>
        <v/>
      </c>
      <c r="L1601" s="3">
        <f>IF(ORIG!L1601=0,"",ORIG!L1601)</f>
        <v/>
      </c>
      <c r="M1601" s="3">
        <f>IF(ORIG!M1601=0,"",ORIG!M1601)</f>
        <v/>
      </c>
      <c r="N1601" s="3">
        <f>IF(ORIG!N1601=0,"",ORIG!N1601)</f>
        <v/>
      </c>
      <c r="O1601" s="3">
        <f>IF(ORIG!O1601=0,"",ORIG!O1601)</f>
        <v/>
      </c>
      <c r="P1601" s="3">
        <f>IF(ORIG!P1601=0,"",ORIG!P1601)</f>
        <v/>
      </c>
      <c r="Q1601" s="3">
        <f>IF(ORIG!Q1601=0,"",ORIG!Q1601)</f>
        <v/>
      </c>
      <c r="R1601" s="3">
        <f>IF(ORIG!R1601=0,"",ORIG!R1601)</f>
        <v/>
      </c>
      <c r="S1601" s="3">
        <f>IF(ORIG!S1601=0,"",ORIG!S1601)</f>
        <v/>
      </c>
      <c r="T1601" s="3">
        <f>IF(ORIG!T1601=0,"",ORIG!T1601)</f>
        <v/>
      </c>
      <c r="U1601" s="3">
        <f>IF(ORIG!U1601=0,"",ORIG!U1601)</f>
        <v/>
      </c>
      <c r="V1601" s="9">
        <f>IF(ORIG!V1601=0,"",ORIG!V1601)</f>
        <v/>
      </c>
      <c r="W1601" s="9">
        <f>IF(ORIG!W1601=0,"",ORIG!W1601)</f>
        <v/>
      </c>
      <c r="X1601" s="9">
        <f>IF(ORIG!X1601=0,"",ORIG!X1601)</f>
        <v/>
      </c>
      <c r="Y1601" s="9">
        <f>IF(ORIG!Y1601=0,"",ORIG!Y1601)</f>
        <v/>
      </c>
      <c r="Z1601" s="3">
        <f>SUMPRODUCT($B1601:$Y1601,$B$2649:$Y$2649)</f>
        <v/>
      </c>
      <c r="AA1601" s="3">
        <f>SUMPRODUCT($B1601:$Y1601,$B$2655:$Y$2655)</f>
        <v/>
      </c>
      <c r="AC1601" s="1">
        <f>A1601</f>
        <v/>
      </c>
      <c r="AD1601">
        <f>IF(ISNUMBER(V1601),V1601*($AB$1/V$2635),"")</f>
        <v/>
      </c>
      <c r="AE1601">
        <f>IF(ISNUMBER(Z1601),Z1601*($AB$1/Z$2635),"")</f>
        <v/>
      </c>
      <c r="AF1601" s="25">
        <f>IF(ISNUMBER(AD1601+AE1601),AD1601+AE1601,"")</f>
        <v/>
      </c>
      <c r="AH1601" s="1">
        <f>A1601</f>
        <v/>
      </c>
      <c r="AI1601">
        <f>IF(ISNUMBER((1+V1601)*AI1600),(1+V1601)*AI1600,AI1600)</f>
        <v/>
      </c>
      <c r="AJ1601">
        <f>IF(ISNUMBER((1+Z1601)*AJ1600),(1+Z1601)*AJ1600,AJ1600)</f>
        <v/>
      </c>
    </row>
    <row r="1602">
      <c r="A1602" s="1" t="n">
        <v>44327</v>
      </c>
      <c r="B1602" s="3">
        <f>IF(ORIG!B1602=0,"",ORIG!B1602)</f>
        <v/>
      </c>
      <c r="C1602" s="3">
        <f>IF(ORIG!C1602=0,"",ORIG!C1602)</f>
        <v/>
      </c>
      <c r="D1602" s="3">
        <f>IF(ORIG!D1602=0,"",ORIG!D1602)</f>
        <v/>
      </c>
      <c r="E1602" s="3">
        <f>IF(ORIG!E1602=0,"",ORIG!E1602)</f>
        <v/>
      </c>
      <c r="F1602" s="3">
        <f>IF(ORIG!F1602=0,"",ORIG!F1602)</f>
        <v/>
      </c>
      <c r="G1602" s="3">
        <f>IF(ORIG!G1602=0,"",ORIG!G1602)</f>
        <v/>
      </c>
      <c r="H1602" s="3">
        <f>IF(ORIG!H1602=0,"",ORIG!H1602)</f>
        <v/>
      </c>
      <c r="I1602" s="3">
        <f>IF(ORIG!I1602=0,"",ORIG!I1602)</f>
        <v/>
      </c>
      <c r="J1602" s="3">
        <f>IF(ORIG!J1602=0,"",ORIG!J1602)</f>
        <v/>
      </c>
      <c r="K1602" s="3">
        <f>IF(ORIG!K1602=0,"",ORIG!K1602)</f>
        <v/>
      </c>
      <c r="L1602" s="3">
        <f>IF(ORIG!L1602=0,"",ORIG!L1602)</f>
        <v/>
      </c>
      <c r="M1602" s="3">
        <f>IF(ORIG!M1602=0,"",ORIG!M1602)</f>
        <v/>
      </c>
      <c r="N1602" s="3">
        <f>IF(ORIG!N1602=0,"",ORIG!N1602)</f>
        <v/>
      </c>
      <c r="O1602" s="3">
        <f>IF(ORIG!O1602=0,"",ORIG!O1602)</f>
        <v/>
      </c>
      <c r="P1602" s="3">
        <f>IF(ORIG!P1602=0,"",ORIG!P1602)</f>
        <v/>
      </c>
      <c r="Q1602" s="3">
        <f>IF(ORIG!Q1602=0,"",ORIG!Q1602)</f>
        <v/>
      </c>
      <c r="R1602" s="3">
        <f>IF(ORIG!R1602=0,"",ORIG!R1602)</f>
        <v/>
      </c>
      <c r="S1602" s="3">
        <f>IF(ORIG!S1602=0,"",ORIG!S1602)</f>
        <v/>
      </c>
      <c r="T1602" s="3">
        <f>IF(ORIG!T1602=0,"",ORIG!T1602)</f>
        <v/>
      </c>
      <c r="U1602" s="3">
        <f>IF(ORIG!U1602=0,"",ORIG!U1602)</f>
        <v/>
      </c>
      <c r="V1602" s="9">
        <f>IF(ORIG!V1602=0,"",ORIG!V1602)</f>
        <v/>
      </c>
      <c r="W1602" s="9">
        <f>IF(ORIG!W1602=0,"",ORIG!W1602)</f>
        <v/>
      </c>
      <c r="X1602" s="9">
        <f>IF(ORIG!X1602=0,"",ORIG!X1602)</f>
        <v/>
      </c>
      <c r="Y1602" s="9">
        <f>IF(ORIG!Y1602=0,"",ORIG!Y1602)</f>
        <v/>
      </c>
      <c r="Z1602" s="3">
        <f>SUMPRODUCT($B1602:$Y1602,$B$2649:$Y$2649)</f>
        <v/>
      </c>
      <c r="AA1602" s="3">
        <f>SUMPRODUCT($B1602:$Y1602,$B$2655:$Y$2655)</f>
        <v/>
      </c>
      <c r="AC1602" s="1">
        <f>A1602</f>
        <v/>
      </c>
      <c r="AD1602">
        <f>IF(ISNUMBER(V1602),V1602*($AB$1/V$2635),"")</f>
        <v/>
      </c>
      <c r="AE1602">
        <f>IF(ISNUMBER(Z1602),Z1602*($AB$1/Z$2635),"")</f>
        <v/>
      </c>
      <c r="AF1602" s="25">
        <f>IF(ISNUMBER(AD1602+AE1602),AD1602+AE1602,"")</f>
        <v/>
      </c>
      <c r="AH1602" s="1">
        <f>A1602</f>
        <v/>
      </c>
      <c r="AI1602">
        <f>IF(ISNUMBER((1+V1602)*AI1601),(1+V1602)*AI1601,AI1601)</f>
        <v/>
      </c>
      <c r="AJ1602">
        <f>IF(ISNUMBER((1+Z1602)*AJ1601),(1+Z1602)*AJ1601,AJ1601)</f>
        <v/>
      </c>
    </row>
    <row r="1603">
      <c r="A1603" s="1" t="n">
        <v>44328</v>
      </c>
      <c r="B1603" s="3">
        <f>IF(ORIG!B1603=0,"",ORIG!B1603)</f>
        <v/>
      </c>
      <c r="C1603" s="3">
        <f>IF(ORIG!C1603=0,"",ORIG!C1603)</f>
        <v/>
      </c>
      <c r="D1603" s="3">
        <f>IF(ORIG!D1603=0,"",ORIG!D1603)</f>
        <v/>
      </c>
      <c r="E1603" s="3">
        <f>IF(ORIG!E1603=0,"",ORIG!E1603)</f>
        <v/>
      </c>
      <c r="F1603" s="3">
        <f>IF(ORIG!F1603=0,"",ORIG!F1603)</f>
        <v/>
      </c>
      <c r="G1603" s="3">
        <f>IF(ORIG!G1603=0,"",ORIG!G1603)</f>
        <v/>
      </c>
      <c r="H1603" s="3">
        <f>IF(ORIG!H1603=0,"",ORIG!H1603)</f>
        <v/>
      </c>
      <c r="I1603" s="3">
        <f>IF(ORIG!I1603=0,"",ORIG!I1603)</f>
        <v/>
      </c>
      <c r="J1603" s="3">
        <f>IF(ORIG!J1603=0,"",ORIG!J1603)</f>
        <v/>
      </c>
      <c r="K1603" s="3">
        <f>IF(ORIG!K1603=0,"",ORIG!K1603)</f>
        <v/>
      </c>
      <c r="L1603" s="3">
        <f>IF(ORIG!L1603=0,"",ORIG!L1603)</f>
        <v/>
      </c>
      <c r="M1603" s="3">
        <f>IF(ORIG!M1603=0,"",ORIG!M1603)</f>
        <v/>
      </c>
      <c r="N1603" s="3">
        <f>IF(ORIG!N1603=0,"",ORIG!N1603)</f>
        <v/>
      </c>
      <c r="O1603" s="3">
        <f>IF(ORIG!O1603=0,"",ORIG!O1603)</f>
        <v/>
      </c>
      <c r="P1603" s="3">
        <f>IF(ORIG!P1603=0,"",ORIG!P1603)</f>
        <v/>
      </c>
      <c r="Q1603" s="3">
        <f>IF(ORIG!Q1603=0,"",ORIG!Q1603)</f>
        <v/>
      </c>
      <c r="R1603" s="3">
        <f>IF(ORIG!R1603=0,"",ORIG!R1603)</f>
        <v/>
      </c>
      <c r="S1603" s="3">
        <f>IF(ORIG!S1603=0,"",ORIG!S1603)</f>
        <v/>
      </c>
      <c r="T1603" s="3">
        <f>IF(ORIG!T1603=0,"",ORIG!T1603)</f>
        <v/>
      </c>
      <c r="U1603" s="3">
        <f>IF(ORIG!U1603=0,"",ORIG!U1603)</f>
        <v/>
      </c>
      <c r="V1603" s="9">
        <f>IF(ORIG!V1603=0,"",ORIG!V1603)</f>
        <v/>
      </c>
      <c r="W1603" s="9">
        <f>IF(ORIG!W1603=0,"",ORIG!W1603)</f>
        <v/>
      </c>
      <c r="X1603" s="9">
        <f>IF(ORIG!X1603=0,"",ORIG!X1603)</f>
        <v/>
      </c>
      <c r="Y1603" s="9">
        <f>IF(ORIG!Y1603=0,"",ORIG!Y1603)</f>
        <v/>
      </c>
      <c r="Z1603" s="3">
        <f>SUMPRODUCT($B1603:$Y1603,$B$2649:$Y$2649)</f>
        <v/>
      </c>
      <c r="AA1603" s="3">
        <f>SUMPRODUCT($B1603:$Y1603,$B$2655:$Y$2655)</f>
        <v/>
      </c>
      <c r="AC1603" s="1">
        <f>A1603</f>
        <v/>
      </c>
      <c r="AD1603">
        <f>IF(ISNUMBER(V1603),V1603*($AB$1/V$2635),"")</f>
        <v/>
      </c>
      <c r="AE1603">
        <f>IF(ISNUMBER(Z1603),Z1603*($AB$1/Z$2635),"")</f>
        <v/>
      </c>
      <c r="AF1603" s="25">
        <f>IF(ISNUMBER(AD1603+AE1603),AD1603+AE1603,"")</f>
        <v/>
      </c>
      <c r="AH1603" s="1">
        <f>A1603</f>
        <v/>
      </c>
      <c r="AI1603">
        <f>IF(ISNUMBER((1+V1603)*AI1602),(1+V1603)*AI1602,AI1602)</f>
        <v/>
      </c>
      <c r="AJ1603">
        <f>IF(ISNUMBER((1+Z1603)*AJ1602),(1+Z1603)*AJ1602,AJ1602)</f>
        <v/>
      </c>
    </row>
    <row r="1604">
      <c r="A1604" s="1" t="n">
        <v>44329</v>
      </c>
      <c r="B1604" s="3">
        <f>IF(ORIG!B1604=0,"",ORIG!B1604)</f>
        <v/>
      </c>
      <c r="C1604" s="3">
        <f>IF(ORIG!C1604=0,"",ORIG!C1604)</f>
        <v/>
      </c>
      <c r="D1604" s="3">
        <f>IF(ORIG!D1604=0,"",ORIG!D1604)</f>
        <v/>
      </c>
      <c r="E1604" s="3">
        <f>IF(ORIG!E1604=0,"",ORIG!E1604)</f>
        <v/>
      </c>
      <c r="F1604" s="3">
        <f>IF(ORIG!F1604=0,"",ORIG!F1604)</f>
        <v/>
      </c>
      <c r="G1604" s="3">
        <f>IF(ORIG!G1604=0,"",ORIG!G1604)</f>
        <v/>
      </c>
      <c r="H1604" s="3">
        <f>IF(ORIG!H1604=0,"",ORIG!H1604)</f>
        <v/>
      </c>
      <c r="I1604" s="3">
        <f>IF(ORIG!I1604=0,"",ORIG!I1604)</f>
        <v/>
      </c>
      <c r="J1604" s="3">
        <f>IF(ORIG!J1604=0,"",ORIG!J1604)</f>
        <v/>
      </c>
      <c r="K1604" s="3">
        <f>IF(ORIG!K1604=0,"",ORIG!K1604)</f>
        <v/>
      </c>
      <c r="L1604" s="3">
        <f>IF(ORIG!L1604=0,"",ORIG!L1604)</f>
        <v/>
      </c>
      <c r="M1604" s="3">
        <f>IF(ORIG!M1604=0,"",ORIG!M1604)</f>
        <v/>
      </c>
      <c r="N1604" s="3">
        <f>IF(ORIG!N1604=0,"",ORIG!N1604)</f>
        <v/>
      </c>
      <c r="O1604" s="3">
        <f>IF(ORIG!O1604=0,"",ORIG!O1604)</f>
        <v/>
      </c>
      <c r="P1604" s="3">
        <f>IF(ORIG!P1604=0,"",ORIG!P1604)</f>
        <v/>
      </c>
      <c r="Q1604" s="3">
        <f>IF(ORIG!Q1604=0,"",ORIG!Q1604)</f>
        <v/>
      </c>
      <c r="R1604" s="3">
        <f>IF(ORIG!R1604=0,"",ORIG!R1604)</f>
        <v/>
      </c>
      <c r="S1604" s="3">
        <f>IF(ORIG!S1604=0,"",ORIG!S1604)</f>
        <v/>
      </c>
      <c r="T1604" s="3">
        <f>IF(ORIG!T1604=0,"",ORIG!T1604)</f>
        <v/>
      </c>
      <c r="U1604" s="3">
        <f>IF(ORIG!U1604=0,"",ORIG!U1604)</f>
        <v/>
      </c>
      <c r="V1604" s="9">
        <f>IF(ORIG!V1604=0,"",ORIG!V1604)</f>
        <v/>
      </c>
      <c r="W1604" s="9">
        <f>IF(ORIG!W1604=0,"",ORIG!W1604)</f>
        <v/>
      </c>
      <c r="X1604" s="9">
        <f>IF(ORIG!X1604=0,"",ORIG!X1604)</f>
        <v/>
      </c>
      <c r="Y1604" s="9">
        <f>IF(ORIG!Y1604=0,"",ORIG!Y1604)</f>
        <v/>
      </c>
      <c r="Z1604" s="3">
        <f>SUMPRODUCT($B1604:$Y1604,$B$2649:$Y$2649)</f>
        <v/>
      </c>
      <c r="AA1604" s="3">
        <f>SUMPRODUCT($B1604:$Y1604,$B$2655:$Y$2655)</f>
        <v/>
      </c>
      <c r="AC1604" s="1">
        <f>A1604</f>
        <v/>
      </c>
      <c r="AD1604">
        <f>IF(ISNUMBER(V1604),V1604*($AB$1/V$2635),"")</f>
        <v/>
      </c>
      <c r="AE1604">
        <f>IF(ISNUMBER(Z1604),Z1604*($AB$1/Z$2635),"")</f>
        <v/>
      </c>
      <c r="AF1604" s="25">
        <f>IF(ISNUMBER(AD1604+AE1604),AD1604+AE1604,"")</f>
        <v/>
      </c>
      <c r="AH1604" s="1">
        <f>A1604</f>
        <v/>
      </c>
      <c r="AI1604">
        <f>IF(ISNUMBER((1+V1604)*AI1603),(1+V1604)*AI1603,AI1603)</f>
        <v/>
      </c>
      <c r="AJ1604">
        <f>IF(ISNUMBER((1+Z1604)*AJ1603),(1+Z1604)*AJ1603,AJ1603)</f>
        <v/>
      </c>
    </row>
    <row r="1605">
      <c r="A1605" s="1" t="n">
        <v>44330</v>
      </c>
      <c r="B1605" s="3">
        <f>IF(ORIG!B1605=0,"",ORIG!B1605)</f>
        <v/>
      </c>
      <c r="C1605" s="3">
        <f>IF(ORIG!C1605=0,"",ORIG!C1605)</f>
        <v/>
      </c>
      <c r="D1605" s="3">
        <f>IF(ORIG!D1605=0,"",ORIG!D1605)</f>
        <v/>
      </c>
      <c r="E1605" s="3">
        <f>IF(ORIG!E1605=0,"",ORIG!E1605)</f>
        <v/>
      </c>
      <c r="F1605" s="3">
        <f>IF(ORIG!F1605=0,"",ORIG!F1605)</f>
        <v/>
      </c>
      <c r="G1605" s="3">
        <f>IF(ORIG!G1605=0,"",ORIG!G1605)</f>
        <v/>
      </c>
      <c r="H1605" s="3">
        <f>IF(ORIG!H1605=0,"",ORIG!H1605)</f>
        <v/>
      </c>
      <c r="I1605" s="3">
        <f>IF(ORIG!I1605=0,"",ORIG!I1605)</f>
        <v/>
      </c>
      <c r="J1605" s="3">
        <f>IF(ORIG!J1605=0,"",ORIG!J1605)</f>
        <v/>
      </c>
      <c r="K1605" s="3">
        <f>IF(ORIG!K1605=0,"",ORIG!K1605)</f>
        <v/>
      </c>
      <c r="L1605" s="3">
        <f>IF(ORIG!L1605=0,"",ORIG!L1605)</f>
        <v/>
      </c>
      <c r="M1605" s="3">
        <f>IF(ORIG!M1605=0,"",ORIG!M1605)</f>
        <v/>
      </c>
      <c r="N1605" s="3">
        <f>IF(ORIG!N1605=0,"",ORIG!N1605)</f>
        <v/>
      </c>
      <c r="O1605" s="3">
        <f>IF(ORIG!O1605=0,"",ORIG!O1605)</f>
        <v/>
      </c>
      <c r="P1605" s="3">
        <f>IF(ORIG!P1605=0,"",ORIG!P1605)</f>
        <v/>
      </c>
      <c r="Q1605" s="3">
        <f>IF(ORIG!Q1605=0,"",ORIG!Q1605)</f>
        <v/>
      </c>
      <c r="R1605" s="3">
        <f>IF(ORIG!R1605=0,"",ORIG!R1605)</f>
        <v/>
      </c>
      <c r="S1605" s="3">
        <f>IF(ORIG!S1605=0,"",ORIG!S1605)</f>
        <v/>
      </c>
      <c r="T1605" s="3">
        <f>IF(ORIG!T1605=0,"",ORIG!T1605)</f>
        <v/>
      </c>
      <c r="U1605" s="3">
        <f>IF(ORIG!U1605=0,"",ORIG!U1605)</f>
        <v/>
      </c>
      <c r="V1605" s="9">
        <f>IF(ORIG!V1605=0,"",ORIG!V1605)</f>
        <v/>
      </c>
      <c r="W1605" s="9">
        <f>IF(ORIG!W1605=0,"",ORIG!W1605)</f>
        <v/>
      </c>
      <c r="X1605" s="9">
        <f>IF(ORIG!X1605=0,"",ORIG!X1605)</f>
        <v/>
      </c>
      <c r="Y1605" s="9">
        <f>IF(ORIG!Y1605=0,"",ORIG!Y1605)</f>
        <v/>
      </c>
      <c r="Z1605" s="3">
        <f>SUMPRODUCT($B1605:$Y1605,$B$2649:$Y$2649)</f>
        <v/>
      </c>
      <c r="AA1605" s="3">
        <f>SUMPRODUCT($B1605:$Y1605,$B$2655:$Y$2655)</f>
        <v/>
      </c>
      <c r="AC1605" s="1">
        <f>A1605</f>
        <v/>
      </c>
      <c r="AD1605">
        <f>IF(ISNUMBER(V1605),V1605*($AB$1/V$2635),"")</f>
        <v/>
      </c>
      <c r="AE1605">
        <f>IF(ISNUMBER(Z1605),Z1605*($AB$1/Z$2635),"")</f>
        <v/>
      </c>
      <c r="AF1605" s="25">
        <f>IF(ISNUMBER(AD1605+AE1605),AD1605+AE1605,"")</f>
        <v/>
      </c>
      <c r="AH1605" s="1">
        <f>A1605</f>
        <v/>
      </c>
      <c r="AI1605">
        <f>IF(ISNUMBER((1+V1605)*AI1604),(1+V1605)*AI1604,AI1604)</f>
        <v/>
      </c>
      <c r="AJ1605">
        <f>IF(ISNUMBER((1+Z1605)*AJ1604),(1+Z1605)*AJ1604,AJ1604)</f>
        <v/>
      </c>
    </row>
    <row r="1606">
      <c r="A1606" s="1" t="n">
        <v>44333</v>
      </c>
      <c r="B1606" s="3">
        <f>IF(ORIG!B1606=0,"",ORIG!B1606)</f>
        <v/>
      </c>
      <c r="C1606" s="3">
        <f>IF(ORIG!C1606=0,"",ORIG!C1606)</f>
        <v/>
      </c>
      <c r="D1606" s="3">
        <f>IF(ORIG!D1606=0,"",ORIG!D1606)</f>
        <v/>
      </c>
      <c r="E1606" s="3">
        <f>IF(ORIG!E1606=0,"",ORIG!E1606)</f>
        <v/>
      </c>
      <c r="F1606" s="3">
        <f>IF(ORIG!F1606=0,"",ORIG!F1606)</f>
        <v/>
      </c>
      <c r="G1606" s="3">
        <f>IF(ORIG!G1606=0,"",ORIG!G1606)</f>
        <v/>
      </c>
      <c r="H1606" s="3">
        <f>IF(ORIG!H1606=0,"",ORIG!H1606)</f>
        <v/>
      </c>
      <c r="I1606" s="3">
        <f>IF(ORIG!I1606=0,"",ORIG!I1606)</f>
        <v/>
      </c>
      <c r="J1606" s="3">
        <f>IF(ORIG!J1606=0,"",ORIG!J1606)</f>
        <v/>
      </c>
      <c r="K1606" s="3">
        <f>IF(ORIG!K1606=0,"",ORIG!K1606)</f>
        <v/>
      </c>
      <c r="L1606" s="3">
        <f>IF(ORIG!L1606=0,"",ORIG!L1606)</f>
        <v/>
      </c>
      <c r="M1606" s="3">
        <f>IF(ORIG!M1606=0,"",ORIG!M1606)</f>
        <v/>
      </c>
      <c r="N1606" s="3">
        <f>IF(ORIG!N1606=0,"",ORIG!N1606)</f>
        <v/>
      </c>
      <c r="O1606" s="3">
        <f>IF(ORIG!O1606=0,"",ORIG!O1606)</f>
        <v/>
      </c>
      <c r="P1606" s="3">
        <f>IF(ORIG!P1606=0,"",ORIG!P1606)</f>
        <v/>
      </c>
      <c r="Q1606" s="3">
        <f>IF(ORIG!Q1606=0,"",ORIG!Q1606)</f>
        <v/>
      </c>
      <c r="R1606" s="3">
        <f>IF(ORIG!R1606=0,"",ORIG!R1606)</f>
        <v/>
      </c>
      <c r="S1606" s="3">
        <f>IF(ORIG!S1606=0,"",ORIG!S1606)</f>
        <v/>
      </c>
      <c r="T1606" s="3">
        <f>IF(ORIG!T1606=0,"",ORIG!T1606)</f>
        <v/>
      </c>
      <c r="U1606" s="3">
        <f>IF(ORIG!U1606=0,"",ORIG!U1606)</f>
        <v/>
      </c>
      <c r="V1606" s="9">
        <f>IF(ORIG!V1606=0,"",ORIG!V1606)</f>
        <v/>
      </c>
      <c r="W1606" s="9">
        <f>IF(ORIG!W1606=0,"",ORIG!W1606)</f>
        <v/>
      </c>
      <c r="X1606" s="9">
        <f>IF(ORIG!X1606=0,"",ORIG!X1606)</f>
        <v/>
      </c>
      <c r="Y1606" s="9">
        <f>IF(ORIG!Y1606=0,"",ORIG!Y1606)</f>
        <v/>
      </c>
      <c r="Z1606" s="3">
        <f>SUMPRODUCT($B1606:$Y1606,$B$2649:$Y$2649)</f>
        <v/>
      </c>
      <c r="AA1606" s="3">
        <f>SUMPRODUCT($B1606:$Y1606,$B$2655:$Y$2655)</f>
        <v/>
      </c>
      <c r="AC1606" s="1">
        <f>A1606</f>
        <v/>
      </c>
      <c r="AD1606">
        <f>IF(ISNUMBER(V1606),V1606*($AB$1/V$2635),"")</f>
        <v/>
      </c>
      <c r="AE1606">
        <f>IF(ISNUMBER(Z1606),Z1606*($AB$1/Z$2635),"")</f>
        <v/>
      </c>
      <c r="AF1606" s="25">
        <f>IF(ISNUMBER(AD1606+AE1606),AD1606+AE1606,"")</f>
        <v/>
      </c>
      <c r="AH1606" s="1">
        <f>A1606</f>
        <v/>
      </c>
      <c r="AI1606">
        <f>IF(ISNUMBER((1+V1606)*AI1605),(1+V1606)*AI1605,AI1605)</f>
        <v/>
      </c>
      <c r="AJ1606">
        <f>IF(ISNUMBER((1+Z1606)*AJ1605),(1+Z1606)*AJ1605,AJ1605)</f>
        <v/>
      </c>
    </row>
    <row r="1607">
      <c r="A1607" s="1" t="n">
        <v>44334</v>
      </c>
      <c r="B1607" s="3">
        <f>IF(ORIG!B1607=0,"",ORIG!B1607)</f>
        <v/>
      </c>
      <c r="C1607" s="3">
        <f>IF(ORIG!C1607=0,"",ORIG!C1607)</f>
        <v/>
      </c>
      <c r="D1607" s="3">
        <f>IF(ORIG!D1607=0,"",ORIG!D1607)</f>
        <v/>
      </c>
      <c r="E1607" s="3">
        <f>IF(ORIG!E1607=0,"",ORIG!E1607)</f>
        <v/>
      </c>
      <c r="F1607" s="3">
        <f>IF(ORIG!F1607=0,"",ORIG!F1607)</f>
        <v/>
      </c>
      <c r="G1607" s="3">
        <f>IF(ORIG!G1607=0,"",ORIG!G1607)</f>
        <v/>
      </c>
      <c r="H1607" s="3">
        <f>IF(ORIG!H1607=0,"",ORIG!H1607)</f>
        <v/>
      </c>
      <c r="I1607" s="3">
        <f>IF(ORIG!I1607=0,"",ORIG!I1607)</f>
        <v/>
      </c>
      <c r="J1607" s="3">
        <f>IF(ORIG!J1607=0,"",ORIG!J1607)</f>
        <v/>
      </c>
      <c r="K1607" s="3">
        <f>IF(ORIG!K1607=0,"",ORIG!K1607)</f>
        <v/>
      </c>
      <c r="L1607" s="3">
        <f>IF(ORIG!L1607=0,"",ORIG!L1607)</f>
        <v/>
      </c>
      <c r="M1607" s="3">
        <f>IF(ORIG!M1607=0,"",ORIG!M1607)</f>
        <v/>
      </c>
      <c r="N1607" s="3">
        <f>IF(ORIG!N1607=0,"",ORIG!N1607)</f>
        <v/>
      </c>
      <c r="O1607" s="3">
        <f>IF(ORIG!O1607=0,"",ORIG!O1607)</f>
        <v/>
      </c>
      <c r="P1607" s="3">
        <f>IF(ORIG!P1607=0,"",ORIG!P1607)</f>
        <v/>
      </c>
      <c r="Q1607" s="3">
        <f>IF(ORIG!Q1607=0,"",ORIG!Q1607)</f>
        <v/>
      </c>
      <c r="R1607" s="3">
        <f>IF(ORIG!R1607=0,"",ORIG!R1607)</f>
        <v/>
      </c>
      <c r="S1607" s="3">
        <f>IF(ORIG!S1607=0,"",ORIG!S1607)</f>
        <v/>
      </c>
      <c r="T1607" s="3">
        <f>IF(ORIG!T1607=0,"",ORIG!T1607)</f>
        <v/>
      </c>
      <c r="U1607" s="3">
        <f>IF(ORIG!U1607=0,"",ORIG!U1607)</f>
        <v/>
      </c>
      <c r="V1607" s="9">
        <f>IF(ORIG!V1607=0,"",ORIG!V1607)</f>
        <v/>
      </c>
      <c r="W1607" s="9">
        <f>IF(ORIG!W1607=0,"",ORIG!W1607)</f>
        <v/>
      </c>
      <c r="X1607" s="9">
        <f>IF(ORIG!X1607=0,"",ORIG!X1607)</f>
        <v/>
      </c>
      <c r="Y1607" s="9">
        <f>IF(ORIG!Y1607=0,"",ORIG!Y1607)</f>
        <v/>
      </c>
      <c r="Z1607" s="3">
        <f>SUMPRODUCT($B1607:$Y1607,$B$2649:$Y$2649)</f>
        <v/>
      </c>
      <c r="AA1607" s="3">
        <f>SUMPRODUCT($B1607:$Y1607,$B$2655:$Y$2655)</f>
        <v/>
      </c>
      <c r="AC1607" s="1">
        <f>A1607</f>
        <v/>
      </c>
      <c r="AD1607">
        <f>IF(ISNUMBER(V1607),V1607*($AB$1/V$2635),"")</f>
        <v/>
      </c>
      <c r="AE1607">
        <f>IF(ISNUMBER(Z1607),Z1607*($AB$1/Z$2635),"")</f>
        <v/>
      </c>
      <c r="AF1607" s="25">
        <f>IF(ISNUMBER(AD1607+AE1607),AD1607+AE1607,"")</f>
        <v/>
      </c>
      <c r="AH1607" s="1">
        <f>A1607</f>
        <v/>
      </c>
      <c r="AI1607">
        <f>IF(ISNUMBER((1+V1607)*AI1606),(1+V1607)*AI1606,AI1606)</f>
        <v/>
      </c>
      <c r="AJ1607">
        <f>IF(ISNUMBER((1+Z1607)*AJ1606),(1+Z1607)*AJ1606,AJ1606)</f>
        <v/>
      </c>
    </row>
    <row r="1608">
      <c r="A1608" s="1" t="n">
        <v>44335</v>
      </c>
      <c r="B1608" s="3">
        <f>IF(ORIG!B1608=0,"",ORIG!B1608)</f>
        <v/>
      </c>
      <c r="C1608" s="3">
        <f>IF(ORIG!C1608=0,"",ORIG!C1608)</f>
        <v/>
      </c>
      <c r="D1608" s="3">
        <f>IF(ORIG!D1608=0,"",ORIG!D1608)</f>
        <v/>
      </c>
      <c r="E1608" s="3">
        <f>IF(ORIG!E1608=0,"",ORIG!E1608)</f>
        <v/>
      </c>
      <c r="F1608" s="3">
        <f>IF(ORIG!F1608=0,"",ORIG!F1608)</f>
        <v/>
      </c>
      <c r="G1608" s="3">
        <f>IF(ORIG!G1608=0,"",ORIG!G1608)</f>
        <v/>
      </c>
      <c r="H1608" s="3">
        <f>IF(ORIG!H1608=0,"",ORIG!H1608)</f>
        <v/>
      </c>
      <c r="I1608" s="3">
        <f>IF(ORIG!I1608=0,"",ORIG!I1608)</f>
        <v/>
      </c>
      <c r="J1608" s="3">
        <f>IF(ORIG!J1608=0,"",ORIG!J1608)</f>
        <v/>
      </c>
      <c r="K1608" s="3">
        <f>IF(ORIG!K1608=0,"",ORIG!K1608)</f>
        <v/>
      </c>
      <c r="L1608" s="3">
        <f>IF(ORIG!L1608=0,"",ORIG!L1608)</f>
        <v/>
      </c>
      <c r="M1608" s="3">
        <f>IF(ORIG!M1608=0,"",ORIG!M1608)</f>
        <v/>
      </c>
      <c r="N1608" s="3">
        <f>IF(ORIG!N1608=0,"",ORIG!N1608)</f>
        <v/>
      </c>
      <c r="O1608" s="3">
        <f>IF(ORIG!O1608=0,"",ORIG!O1608)</f>
        <v/>
      </c>
      <c r="P1608" s="3">
        <f>IF(ORIG!P1608=0,"",ORIG!P1608)</f>
        <v/>
      </c>
      <c r="Q1608" s="3">
        <f>IF(ORIG!Q1608=0,"",ORIG!Q1608)</f>
        <v/>
      </c>
      <c r="R1608" s="3">
        <f>IF(ORIG!R1608=0,"",ORIG!R1608)</f>
        <v/>
      </c>
      <c r="S1608" s="3">
        <f>IF(ORIG!S1608=0,"",ORIG!S1608)</f>
        <v/>
      </c>
      <c r="T1608" s="3">
        <f>IF(ORIG!T1608=0,"",ORIG!T1608)</f>
        <v/>
      </c>
      <c r="U1608" s="3">
        <f>IF(ORIG!U1608=0,"",ORIG!U1608)</f>
        <v/>
      </c>
      <c r="V1608" s="9">
        <f>IF(ORIG!V1608=0,"",ORIG!V1608)</f>
        <v/>
      </c>
      <c r="W1608" s="9">
        <f>IF(ORIG!W1608=0,"",ORIG!W1608)</f>
        <v/>
      </c>
      <c r="X1608" s="9">
        <f>IF(ORIG!X1608=0,"",ORIG!X1608)</f>
        <v/>
      </c>
      <c r="Y1608" s="9">
        <f>IF(ORIG!Y1608=0,"",ORIG!Y1608)</f>
        <v/>
      </c>
      <c r="Z1608" s="3">
        <f>SUMPRODUCT($B1608:$Y1608,$B$2649:$Y$2649)</f>
        <v/>
      </c>
      <c r="AA1608" s="3">
        <f>SUMPRODUCT($B1608:$Y1608,$B$2655:$Y$2655)</f>
        <v/>
      </c>
      <c r="AC1608" s="1">
        <f>A1608</f>
        <v/>
      </c>
      <c r="AD1608">
        <f>IF(ISNUMBER(V1608),V1608*($AB$1/V$2635),"")</f>
        <v/>
      </c>
      <c r="AE1608">
        <f>IF(ISNUMBER(Z1608),Z1608*($AB$1/Z$2635),"")</f>
        <v/>
      </c>
      <c r="AF1608" s="25">
        <f>IF(ISNUMBER(AD1608+AE1608),AD1608+AE1608,"")</f>
        <v/>
      </c>
      <c r="AH1608" s="1">
        <f>A1608</f>
        <v/>
      </c>
      <c r="AI1608">
        <f>IF(ISNUMBER((1+V1608)*AI1607),(1+V1608)*AI1607,AI1607)</f>
        <v/>
      </c>
      <c r="AJ1608">
        <f>IF(ISNUMBER((1+Z1608)*AJ1607),(1+Z1608)*AJ1607,AJ1607)</f>
        <v/>
      </c>
    </row>
    <row r="1609">
      <c r="A1609" s="1" t="n">
        <v>44336</v>
      </c>
      <c r="B1609" s="3">
        <f>IF(ORIG!B1609=0,"",ORIG!B1609)</f>
        <v/>
      </c>
      <c r="C1609" s="3">
        <f>IF(ORIG!C1609=0,"",ORIG!C1609)</f>
        <v/>
      </c>
      <c r="D1609" s="3">
        <f>IF(ORIG!D1609=0,"",ORIG!D1609)</f>
        <v/>
      </c>
      <c r="E1609" s="3">
        <f>IF(ORIG!E1609=0,"",ORIG!E1609)</f>
        <v/>
      </c>
      <c r="F1609" s="3">
        <f>IF(ORIG!F1609=0,"",ORIG!F1609)</f>
        <v/>
      </c>
      <c r="G1609" s="3">
        <f>IF(ORIG!G1609=0,"",ORIG!G1609)</f>
        <v/>
      </c>
      <c r="H1609" s="3">
        <f>IF(ORIG!H1609=0,"",ORIG!H1609)</f>
        <v/>
      </c>
      <c r="I1609" s="3">
        <f>IF(ORIG!I1609=0,"",ORIG!I1609)</f>
        <v/>
      </c>
      <c r="J1609" s="3">
        <f>IF(ORIG!J1609=0,"",ORIG!J1609)</f>
        <v/>
      </c>
      <c r="K1609" s="3">
        <f>IF(ORIG!K1609=0,"",ORIG!K1609)</f>
        <v/>
      </c>
      <c r="L1609" s="3">
        <f>IF(ORIG!L1609=0,"",ORIG!L1609)</f>
        <v/>
      </c>
      <c r="M1609" s="3">
        <f>IF(ORIG!M1609=0,"",ORIG!M1609)</f>
        <v/>
      </c>
      <c r="N1609" s="3">
        <f>IF(ORIG!N1609=0,"",ORIG!N1609)</f>
        <v/>
      </c>
      <c r="O1609" s="3">
        <f>IF(ORIG!O1609=0,"",ORIG!O1609)</f>
        <v/>
      </c>
      <c r="P1609" s="3">
        <f>IF(ORIG!P1609=0,"",ORIG!P1609)</f>
        <v/>
      </c>
      <c r="Q1609" s="3">
        <f>IF(ORIG!Q1609=0,"",ORIG!Q1609)</f>
        <v/>
      </c>
      <c r="R1609" s="3">
        <f>IF(ORIG!R1609=0,"",ORIG!R1609)</f>
        <v/>
      </c>
      <c r="S1609" s="3">
        <f>IF(ORIG!S1609=0,"",ORIG!S1609)</f>
        <v/>
      </c>
      <c r="T1609" s="3">
        <f>IF(ORIG!T1609=0,"",ORIG!T1609)</f>
        <v/>
      </c>
      <c r="U1609" s="3">
        <f>IF(ORIG!U1609=0,"",ORIG!U1609)</f>
        <v/>
      </c>
      <c r="V1609" s="9">
        <f>IF(ORIG!V1609=0,"",ORIG!V1609)</f>
        <v/>
      </c>
      <c r="W1609" s="9">
        <f>IF(ORIG!W1609=0,"",ORIG!W1609)</f>
        <v/>
      </c>
      <c r="X1609" s="9">
        <f>IF(ORIG!X1609=0,"",ORIG!X1609)</f>
        <v/>
      </c>
      <c r="Y1609" s="9">
        <f>IF(ORIG!Y1609=0,"",ORIG!Y1609)</f>
        <v/>
      </c>
      <c r="Z1609" s="3">
        <f>SUMPRODUCT($B1609:$Y1609,$B$2649:$Y$2649)</f>
        <v/>
      </c>
      <c r="AA1609" s="3">
        <f>SUMPRODUCT($B1609:$Y1609,$B$2655:$Y$2655)</f>
        <v/>
      </c>
      <c r="AC1609" s="1">
        <f>A1609</f>
        <v/>
      </c>
      <c r="AD1609">
        <f>IF(ISNUMBER(V1609),V1609*($AB$1/V$2635),"")</f>
        <v/>
      </c>
      <c r="AE1609">
        <f>IF(ISNUMBER(Z1609),Z1609*($AB$1/Z$2635),"")</f>
        <v/>
      </c>
      <c r="AF1609" s="25">
        <f>IF(ISNUMBER(AD1609+AE1609),AD1609+AE1609,"")</f>
        <v/>
      </c>
      <c r="AH1609" s="1">
        <f>A1609</f>
        <v/>
      </c>
      <c r="AI1609">
        <f>IF(ISNUMBER((1+V1609)*AI1608),(1+V1609)*AI1608,AI1608)</f>
        <v/>
      </c>
      <c r="AJ1609">
        <f>IF(ISNUMBER((1+Z1609)*AJ1608),(1+Z1609)*AJ1608,AJ1608)</f>
        <v/>
      </c>
    </row>
    <row r="1610">
      <c r="A1610" s="1" t="n">
        <v>44337</v>
      </c>
      <c r="B1610" s="3">
        <f>IF(ORIG!B1610=0,"",ORIG!B1610)</f>
        <v/>
      </c>
      <c r="C1610" s="3">
        <f>IF(ORIG!C1610=0,"",ORIG!C1610)</f>
        <v/>
      </c>
      <c r="D1610" s="3">
        <f>IF(ORIG!D1610=0,"",ORIG!D1610)</f>
        <v/>
      </c>
      <c r="E1610" s="3">
        <f>IF(ORIG!E1610=0,"",ORIG!E1610)</f>
        <v/>
      </c>
      <c r="F1610" s="3">
        <f>IF(ORIG!F1610=0,"",ORIG!F1610)</f>
        <v/>
      </c>
      <c r="G1610" s="3">
        <f>IF(ORIG!G1610=0,"",ORIG!G1610)</f>
        <v/>
      </c>
      <c r="H1610" s="3">
        <f>IF(ORIG!H1610=0,"",ORIG!H1610)</f>
        <v/>
      </c>
      <c r="I1610" s="3">
        <f>IF(ORIG!I1610=0,"",ORIG!I1610)</f>
        <v/>
      </c>
      <c r="J1610" s="3">
        <f>IF(ORIG!J1610=0,"",ORIG!J1610)</f>
        <v/>
      </c>
      <c r="K1610" s="3">
        <f>IF(ORIG!K1610=0,"",ORIG!K1610)</f>
        <v/>
      </c>
      <c r="L1610" s="3">
        <f>IF(ORIG!L1610=0,"",ORIG!L1610)</f>
        <v/>
      </c>
      <c r="M1610" s="3">
        <f>IF(ORIG!M1610=0,"",ORIG!M1610)</f>
        <v/>
      </c>
      <c r="N1610" s="3">
        <f>IF(ORIG!N1610=0,"",ORIG!N1610)</f>
        <v/>
      </c>
      <c r="O1610" s="3">
        <f>IF(ORIG!O1610=0,"",ORIG!O1610)</f>
        <v/>
      </c>
      <c r="P1610" s="3">
        <f>IF(ORIG!P1610=0,"",ORIG!P1610)</f>
        <v/>
      </c>
      <c r="Q1610" s="3">
        <f>IF(ORIG!Q1610=0,"",ORIG!Q1610)</f>
        <v/>
      </c>
      <c r="R1610" s="3">
        <f>IF(ORIG!R1610=0,"",ORIG!R1610)</f>
        <v/>
      </c>
      <c r="S1610" s="3">
        <f>IF(ORIG!S1610=0,"",ORIG!S1610)</f>
        <v/>
      </c>
      <c r="T1610" s="3">
        <f>IF(ORIG!T1610=0,"",ORIG!T1610)</f>
        <v/>
      </c>
      <c r="U1610" s="3">
        <f>IF(ORIG!U1610=0,"",ORIG!U1610)</f>
        <v/>
      </c>
      <c r="V1610" s="9">
        <f>IF(ORIG!V1610=0,"",ORIG!V1610)</f>
        <v/>
      </c>
      <c r="W1610" s="9">
        <f>IF(ORIG!W1610=0,"",ORIG!W1610)</f>
        <v/>
      </c>
      <c r="X1610" s="9">
        <f>IF(ORIG!X1610=0,"",ORIG!X1610)</f>
        <v/>
      </c>
      <c r="Y1610" s="9">
        <f>IF(ORIG!Y1610=0,"",ORIG!Y1610)</f>
        <v/>
      </c>
      <c r="Z1610" s="3">
        <f>SUMPRODUCT($B1610:$Y1610,$B$2649:$Y$2649)</f>
        <v/>
      </c>
      <c r="AA1610" s="3">
        <f>SUMPRODUCT($B1610:$Y1610,$B$2655:$Y$2655)</f>
        <v/>
      </c>
      <c r="AC1610" s="1">
        <f>A1610</f>
        <v/>
      </c>
      <c r="AD1610">
        <f>IF(ISNUMBER(V1610),V1610*($AB$1/V$2635),"")</f>
        <v/>
      </c>
      <c r="AE1610">
        <f>IF(ISNUMBER(Z1610),Z1610*($AB$1/Z$2635),"")</f>
        <v/>
      </c>
      <c r="AF1610" s="25">
        <f>IF(ISNUMBER(AD1610+AE1610),AD1610+AE1610,"")</f>
        <v/>
      </c>
      <c r="AH1610" s="1">
        <f>A1610</f>
        <v/>
      </c>
      <c r="AI1610">
        <f>IF(ISNUMBER((1+V1610)*AI1609),(1+V1610)*AI1609,AI1609)</f>
        <v/>
      </c>
      <c r="AJ1610">
        <f>IF(ISNUMBER((1+Z1610)*AJ1609),(1+Z1610)*AJ1609,AJ1609)</f>
        <v/>
      </c>
    </row>
    <row r="1611">
      <c r="A1611" s="1" t="n">
        <v>44340</v>
      </c>
      <c r="B1611" s="3">
        <f>IF(ORIG!B1611=0,"",ORIG!B1611)</f>
        <v/>
      </c>
      <c r="C1611" s="3">
        <f>IF(ORIG!C1611=0,"",ORIG!C1611)</f>
        <v/>
      </c>
      <c r="D1611" s="3">
        <f>IF(ORIG!D1611=0,"",ORIG!D1611)</f>
        <v/>
      </c>
      <c r="E1611" s="3">
        <f>IF(ORIG!E1611=0,"",ORIG!E1611)</f>
        <v/>
      </c>
      <c r="F1611" s="3">
        <f>IF(ORIG!F1611=0,"",ORIG!F1611)</f>
        <v/>
      </c>
      <c r="G1611" s="3">
        <f>IF(ORIG!G1611=0,"",ORIG!G1611)</f>
        <v/>
      </c>
      <c r="H1611" s="3">
        <f>IF(ORIG!H1611=0,"",ORIG!H1611)</f>
        <v/>
      </c>
      <c r="I1611" s="3">
        <f>IF(ORIG!I1611=0,"",ORIG!I1611)</f>
        <v/>
      </c>
      <c r="J1611" s="3">
        <f>IF(ORIG!J1611=0,"",ORIG!J1611)</f>
        <v/>
      </c>
      <c r="K1611" s="3">
        <f>IF(ORIG!K1611=0,"",ORIG!K1611)</f>
        <v/>
      </c>
      <c r="L1611" s="3">
        <f>IF(ORIG!L1611=0,"",ORIG!L1611)</f>
        <v/>
      </c>
      <c r="M1611" s="3">
        <f>IF(ORIG!M1611=0,"",ORIG!M1611)</f>
        <v/>
      </c>
      <c r="N1611" s="3">
        <f>IF(ORIG!N1611=0,"",ORIG!N1611)</f>
        <v/>
      </c>
      <c r="O1611" s="3">
        <f>IF(ORIG!O1611=0,"",ORIG!O1611)</f>
        <v/>
      </c>
      <c r="P1611" s="3">
        <f>IF(ORIG!P1611=0,"",ORIG!P1611)</f>
        <v/>
      </c>
      <c r="Q1611" s="3">
        <f>IF(ORIG!Q1611=0,"",ORIG!Q1611)</f>
        <v/>
      </c>
      <c r="R1611" s="3">
        <f>IF(ORIG!R1611=0,"",ORIG!R1611)</f>
        <v/>
      </c>
      <c r="S1611" s="3">
        <f>IF(ORIG!S1611=0,"",ORIG!S1611)</f>
        <v/>
      </c>
      <c r="T1611" s="3">
        <f>IF(ORIG!T1611=0,"",ORIG!T1611)</f>
        <v/>
      </c>
      <c r="U1611" s="3">
        <f>IF(ORIG!U1611=0,"",ORIG!U1611)</f>
        <v/>
      </c>
      <c r="V1611" s="9">
        <f>IF(ORIG!V1611=0,"",ORIG!V1611)</f>
        <v/>
      </c>
      <c r="W1611" s="9">
        <f>IF(ORIG!W1611=0,"",ORIG!W1611)</f>
        <v/>
      </c>
      <c r="X1611" s="9">
        <f>IF(ORIG!X1611=0,"",ORIG!X1611)</f>
        <v/>
      </c>
      <c r="Y1611" s="9">
        <f>IF(ORIG!Y1611=0,"",ORIG!Y1611)</f>
        <v/>
      </c>
      <c r="Z1611" s="3">
        <f>SUMPRODUCT($B1611:$Y1611,$B$2649:$Y$2649)</f>
        <v/>
      </c>
      <c r="AA1611" s="3">
        <f>SUMPRODUCT($B1611:$Y1611,$B$2655:$Y$2655)</f>
        <v/>
      </c>
      <c r="AC1611" s="1">
        <f>A1611</f>
        <v/>
      </c>
      <c r="AD1611">
        <f>IF(ISNUMBER(V1611),V1611*($AB$1/V$2635),"")</f>
        <v/>
      </c>
      <c r="AE1611">
        <f>IF(ISNUMBER(Z1611),Z1611*($AB$1/Z$2635),"")</f>
        <v/>
      </c>
      <c r="AF1611" s="25">
        <f>IF(ISNUMBER(AD1611+AE1611),AD1611+AE1611,"")</f>
        <v/>
      </c>
      <c r="AH1611" s="1">
        <f>A1611</f>
        <v/>
      </c>
      <c r="AI1611">
        <f>IF(ISNUMBER((1+V1611)*AI1610),(1+V1611)*AI1610,AI1610)</f>
        <v/>
      </c>
      <c r="AJ1611">
        <f>IF(ISNUMBER((1+Z1611)*AJ1610),(1+Z1611)*AJ1610,AJ1610)</f>
        <v/>
      </c>
    </row>
    <row r="1612">
      <c r="A1612" s="1" t="n">
        <v>44341</v>
      </c>
      <c r="B1612" s="3">
        <f>IF(ORIG!B1612=0,"",ORIG!B1612)</f>
        <v/>
      </c>
      <c r="C1612" s="3">
        <f>IF(ORIG!C1612=0,"",ORIG!C1612)</f>
        <v/>
      </c>
      <c r="D1612" s="3">
        <f>IF(ORIG!D1612=0,"",ORIG!D1612)</f>
        <v/>
      </c>
      <c r="E1612" s="3">
        <f>IF(ORIG!E1612=0,"",ORIG!E1612)</f>
        <v/>
      </c>
      <c r="F1612" s="3">
        <f>IF(ORIG!F1612=0,"",ORIG!F1612)</f>
        <v/>
      </c>
      <c r="G1612" s="3">
        <f>IF(ORIG!G1612=0,"",ORIG!G1612)</f>
        <v/>
      </c>
      <c r="H1612" s="3">
        <f>IF(ORIG!H1612=0,"",ORIG!H1612)</f>
        <v/>
      </c>
      <c r="I1612" s="3">
        <f>IF(ORIG!I1612=0,"",ORIG!I1612)</f>
        <v/>
      </c>
      <c r="J1612" s="3">
        <f>IF(ORIG!J1612=0,"",ORIG!J1612)</f>
        <v/>
      </c>
      <c r="K1612" s="3">
        <f>IF(ORIG!K1612=0,"",ORIG!K1612)</f>
        <v/>
      </c>
      <c r="L1612" s="3">
        <f>IF(ORIG!L1612=0,"",ORIG!L1612)</f>
        <v/>
      </c>
      <c r="M1612" s="3">
        <f>IF(ORIG!M1612=0,"",ORIG!M1612)</f>
        <v/>
      </c>
      <c r="N1612" s="3">
        <f>IF(ORIG!N1612=0,"",ORIG!N1612)</f>
        <v/>
      </c>
      <c r="O1612" s="3">
        <f>IF(ORIG!O1612=0,"",ORIG!O1612)</f>
        <v/>
      </c>
      <c r="P1612" s="3">
        <f>IF(ORIG!P1612=0,"",ORIG!P1612)</f>
        <v/>
      </c>
      <c r="Q1612" s="3">
        <f>IF(ORIG!Q1612=0,"",ORIG!Q1612)</f>
        <v/>
      </c>
      <c r="R1612" s="3">
        <f>IF(ORIG!R1612=0,"",ORIG!R1612)</f>
        <v/>
      </c>
      <c r="S1612" s="3">
        <f>IF(ORIG!S1612=0,"",ORIG!S1612)</f>
        <v/>
      </c>
      <c r="T1612" s="3">
        <f>IF(ORIG!T1612=0,"",ORIG!T1612)</f>
        <v/>
      </c>
      <c r="U1612" s="3">
        <f>IF(ORIG!U1612=0,"",ORIG!U1612)</f>
        <v/>
      </c>
      <c r="V1612" s="9">
        <f>IF(ORIG!V1612=0,"",ORIG!V1612)</f>
        <v/>
      </c>
      <c r="W1612" s="9">
        <f>IF(ORIG!W1612=0,"",ORIG!W1612)</f>
        <v/>
      </c>
      <c r="X1612" s="9">
        <f>IF(ORIG!X1612=0,"",ORIG!X1612)</f>
        <v/>
      </c>
      <c r="Y1612" s="9">
        <f>IF(ORIG!Y1612=0,"",ORIG!Y1612)</f>
        <v/>
      </c>
      <c r="Z1612" s="3">
        <f>SUMPRODUCT($B1612:$Y1612,$B$2649:$Y$2649)</f>
        <v/>
      </c>
      <c r="AA1612" s="3">
        <f>SUMPRODUCT($B1612:$Y1612,$B$2655:$Y$2655)</f>
        <v/>
      </c>
      <c r="AC1612" s="1">
        <f>A1612</f>
        <v/>
      </c>
      <c r="AD1612">
        <f>IF(ISNUMBER(V1612),V1612*($AB$1/V$2635),"")</f>
        <v/>
      </c>
      <c r="AE1612">
        <f>IF(ISNUMBER(Z1612),Z1612*($AB$1/Z$2635),"")</f>
        <v/>
      </c>
      <c r="AF1612" s="25">
        <f>IF(ISNUMBER(AD1612+AE1612),AD1612+AE1612,"")</f>
        <v/>
      </c>
      <c r="AH1612" s="1">
        <f>A1612</f>
        <v/>
      </c>
      <c r="AI1612">
        <f>IF(ISNUMBER((1+V1612)*AI1611),(1+V1612)*AI1611,AI1611)</f>
        <v/>
      </c>
      <c r="AJ1612">
        <f>IF(ISNUMBER((1+Z1612)*AJ1611),(1+Z1612)*AJ1611,AJ1611)</f>
        <v/>
      </c>
    </row>
    <row r="1613">
      <c r="A1613" s="1" t="n">
        <v>44342</v>
      </c>
      <c r="B1613" s="3">
        <f>IF(ORIG!B1613=0,"",ORIG!B1613)</f>
        <v/>
      </c>
      <c r="C1613" s="3">
        <f>IF(ORIG!C1613=0,"",ORIG!C1613)</f>
        <v/>
      </c>
      <c r="D1613" s="3">
        <f>IF(ORIG!D1613=0,"",ORIG!D1613)</f>
        <v/>
      </c>
      <c r="E1613" s="3">
        <f>IF(ORIG!E1613=0,"",ORIG!E1613)</f>
        <v/>
      </c>
      <c r="F1613" s="3">
        <f>IF(ORIG!F1613=0,"",ORIG!F1613)</f>
        <v/>
      </c>
      <c r="G1613" s="3">
        <f>IF(ORIG!G1613=0,"",ORIG!G1613)</f>
        <v/>
      </c>
      <c r="H1613" s="3">
        <f>IF(ORIG!H1613=0,"",ORIG!H1613)</f>
        <v/>
      </c>
      <c r="I1613" s="3">
        <f>IF(ORIG!I1613=0,"",ORIG!I1613)</f>
        <v/>
      </c>
      <c r="J1613" s="3">
        <f>IF(ORIG!J1613=0,"",ORIG!J1613)</f>
        <v/>
      </c>
      <c r="K1613" s="3">
        <f>IF(ORIG!K1613=0,"",ORIG!K1613)</f>
        <v/>
      </c>
      <c r="L1613" s="3">
        <f>IF(ORIG!L1613=0,"",ORIG!L1613)</f>
        <v/>
      </c>
      <c r="M1613" s="3">
        <f>IF(ORIG!M1613=0,"",ORIG!M1613)</f>
        <v/>
      </c>
      <c r="N1613" s="3">
        <f>IF(ORIG!N1613=0,"",ORIG!N1613)</f>
        <v/>
      </c>
      <c r="O1613" s="3">
        <f>IF(ORIG!O1613=0,"",ORIG!O1613)</f>
        <v/>
      </c>
      <c r="P1613" s="3">
        <f>IF(ORIG!P1613=0,"",ORIG!P1613)</f>
        <v/>
      </c>
      <c r="Q1613" s="3">
        <f>IF(ORIG!Q1613=0,"",ORIG!Q1613)</f>
        <v/>
      </c>
      <c r="R1613" s="3">
        <f>IF(ORIG!R1613=0,"",ORIG!R1613)</f>
        <v/>
      </c>
      <c r="S1613" s="3">
        <f>IF(ORIG!S1613=0,"",ORIG!S1613)</f>
        <v/>
      </c>
      <c r="T1613" s="3">
        <f>IF(ORIG!T1613=0,"",ORIG!T1613)</f>
        <v/>
      </c>
      <c r="U1613" s="3">
        <f>IF(ORIG!U1613=0,"",ORIG!U1613)</f>
        <v/>
      </c>
      <c r="V1613" s="9">
        <f>IF(ORIG!V1613=0,"",ORIG!V1613)</f>
        <v/>
      </c>
      <c r="W1613" s="9">
        <f>IF(ORIG!W1613=0,"",ORIG!W1613)</f>
        <v/>
      </c>
      <c r="X1613" s="9">
        <f>IF(ORIG!X1613=0,"",ORIG!X1613)</f>
        <v/>
      </c>
      <c r="Y1613" s="9">
        <f>IF(ORIG!Y1613=0,"",ORIG!Y1613)</f>
        <v/>
      </c>
      <c r="Z1613" s="3">
        <f>SUMPRODUCT($B1613:$Y1613,$B$2649:$Y$2649)</f>
        <v/>
      </c>
      <c r="AA1613" s="3">
        <f>SUMPRODUCT($B1613:$Y1613,$B$2655:$Y$2655)</f>
        <v/>
      </c>
      <c r="AC1613" s="1">
        <f>A1613</f>
        <v/>
      </c>
      <c r="AD1613">
        <f>IF(ISNUMBER(V1613),V1613*($AB$1/V$2635),"")</f>
        <v/>
      </c>
      <c r="AE1613">
        <f>IF(ISNUMBER(Z1613),Z1613*($AB$1/Z$2635),"")</f>
        <v/>
      </c>
      <c r="AF1613" s="25">
        <f>IF(ISNUMBER(AD1613+AE1613),AD1613+AE1613,"")</f>
        <v/>
      </c>
      <c r="AH1613" s="1">
        <f>A1613</f>
        <v/>
      </c>
      <c r="AI1613">
        <f>IF(ISNUMBER((1+V1613)*AI1612),(1+V1613)*AI1612,AI1612)</f>
        <v/>
      </c>
      <c r="AJ1613">
        <f>IF(ISNUMBER((1+Z1613)*AJ1612),(1+Z1613)*AJ1612,AJ1612)</f>
        <v/>
      </c>
    </row>
    <row r="1614">
      <c r="A1614" s="1" t="n">
        <v>44343</v>
      </c>
      <c r="B1614" s="3">
        <f>IF(ORIG!B1614=0,"",ORIG!B1614)</f>
        <v/>
      </c>
      <c r="C1614" s="3">
        <f>IF(ORIG!C1614=0,"",ORIG!C1614)</f>
        <v/>
      </c>
      <c r="D1614" s="3">
        <f>IF(ORIG!D1614=0,"",ORIG!D1614)</f>
        <v/>
      </c>
      <c r="E1614" s="3">
        <f>IF(ORIG!E1614=0,"",ORIG!E1614)</f>
        <v/>
      </c>
      <c r="F1614" s="3">
        <f>IF(ORIG!F1614=0,"",ORIG!F1614)</f>
        <v/>
      </c>
      <c r="G1614" s="3">
        <f>IF(ORIG!G1614=0,"",ORIG!G1614)</f>
        <v/>
      </c>
      <c r="H1614" s="3">
        <f>IF(ORIG!H1614=0,"",ORIG!H1614)</f>
        <v/>
      </c>
      <c r="I1614" s="3">
        <f>IF(ORIG!I1614=0,"",ORIG!I1614)</f>
        <v/>
      </c>
      <c r="J1614" s="3">
        <f>IF(ORIG!J1614=0,"",ORIG!J1614)</f>
        <v/>
      </c>
      <c r="K1614" s="3">
        <f>IF(ORIG!K1614=0,"",ORIG!K1614)</f>
        <v/>
      </c>
      <c r="L1614" s="3">
        <f>IF(ORIG!L1614=0,"",ORIG!L1614)</f>
        <v/>
      </c>
      <c r="M1614" s="3">
        <f>IF(ORIG!M1614=0,"",ORIG!M1614)</f>
        <v/>
      </c>
      <c r="N1614" s="3">
        <f>IF(ORIG!N1614=0,"",ORIG!N1614)</f>
        <v/>
      </c>
      <c r="O1614" s="3">
        <f>IF(ORIG!O1614=0,"",ORIG!O1614)</f>
        <v/>
      </c>
      <c r="P1614" s="3">
        <f>IF(ORIG!P1614=0,"",ORIG!P1614)</f>
        <v/>
      </c>
      <c r="Q1614" s="3">
        <f>IF(ORIG!Q1614=0,"",ORIG!Q1614)</f>
        <v/>
      </c>
      <c r="R1614" s="3">
        <f>IF(ORIG!R1614=0,"",ORIG!R1614)</f>
        <v/>
      </c>
      <c r="S1614" s="3">
        <f>IF(ORIG!S1614=0,"",ORIG!S1614)</f>
        <v/>
      </c>
      <c r="T1614" s="3">
        <f>IF(ORIG!T1614=0,"",ORIG!T1614)</f>
        <v/>
      </c>
      <c r="U1614" s="3">
        <f>IF(ORIG!U1614=0,"",ORIG!U1614)</f>
        <v/>
      </c>
      <c r="V1614" s="9">
        <f>IF(ORIG!V1614=0,"",ORIG!V1614)</f>
        <v/>
      </c>
      <c r="W1614" s="9">
        <f>IF(ORIG!W1614=0,"",ORIG!W1614)</f>
        <v/>
      </c>
      <c r="X1614" s="9">
        <f>IF(ORIG!X1614=0,"",ORIG!X1614)</f>
        <v/>
      </c>
      <c r="Y1614" s="9">
        <f>IF(ORIG!Y1614=0,"",ORIG!Y1614)</f>
        <v/>
      </c>
      <c r="Z1614" s="3">
        <f>SUMPRODUCT($B1614:$Y1614,$B$2649:$Y$2649)</f>
        <v/>
      </c>
      <c r="AA1614" s="3">
        <f>SUMPRODUCT($B1614:$Y1614,$B$2655:$Y$2655)</f>
        <v/>
      </c>
      <c r="AC1614" s="1">
        <f>A1614</f>
        <v/>
      </c>
      <c r="AD1614">
        <f>IF(ISNUMBER(V1614),V1614*($AB$1/V$2635),"")</f>
        <v/>
      </c>
      <c r="AE1614">
        <f>IF(ISNUMBER(Z1614),Z1614*($AB$1/Z$2635),"")</f>
        <v/>
      </c>
      <c r="AF1614" s="25">
        <f>IF(ISNUMBER(AD1614+AE1614),AD1614+AE1614,"")</f>
        <v/>
      </c>
      <c r="AH1614" s="1">
        <f>A1614</f>
        <v/>
      </c>
      <c r="AI1614">
        <f>IF(ISNUMBER((1+V1614)*AI1613),(1+V1614)*AI1613,AI1613)</f>
        <v/>
      </c>
      <c r="AJ1614">
        <f>IF(ISNUMBER((1+Z1614)*AJ1613),(1+Z1614)*AJ1613,AJ1613)</f>
        <v/>
      </c>
    </row>
    <row r="1615">
      <c r="A1615" s="1" t="n">
        <v>44344</v>
      </c>
      <c r="B1615" s="3">
        <f>IF(ORIG!B1615=0,"",ORIG!B1615)</f>
        <v/>
      </c>
      <c r="C1615" s="3">
        <f>IF(ORIG!C1615=0,"",ORIG!C1615)</f>
        <v/>
      </c>
      <c r="D1615" s="3">
        <f>IF(ORIG!D1615=0,"",ORIG!D1615)</f>
        <v/>
      </c>
      <c r="E1615" s="3">
        <f>IF(ORIG!E1615=0,"",ORIG!E1615)</f>
        <v/>
      </c>
      <c r="F1615" s="3">
        <f>IF(ORIG!F1615=0,"",ORIG!F1615)</f>
        <v/>
      </c>
      <c r="G1615" s="3">
        <f>IF(ORIG!G1615=0,"",ORIG!G1615)</f>
        <v/>
      </c>
      <c r="H1615" s="3">
        <f>IF(ORIG!H1615=0,"",ORIG!H1615)</f>
        <v/>
      </c>
      <c r="I1615" s="3">
        <f>IF(ORIG!I1615=0,"",ORIG!I1615)</f>
        <v/>
      </c>
      <c r="J1615" s="3">
        <f>IF(ORIG!J1615=0,"",ORIG!J1615)</f>
        <v/>
      </c>
      <c r="K1615" s="3">
        <f>IF(ORIG!K1615=0,"",ORIG!K1615)</f>
        <v/>
      </c>
      <c r="L1615" s="3">
        <f>IF(ORIG!L1615=0,"",ORIG!L1615)</f>
        <v/>
      </c>
      <c r="M1615" s="3">
        <f>IF(ORIG!M1615=0,"",ORIG!M1615)</f>
        <v/>
      </c>
      <c r="N1615" s="3">
        <f>IF(ORIG!N1615=0,"",ORIG!N1615)</f>
        <v/>
      </c>
      <c r="O1615" s="3">
        <f>IF(ORIG!O1615=0,"",ORIG!O1615)</f>
        <v/>
      </c>
      <c r="P1615" s="3">
        <f>IF(ORIG!P1615=0,"",ORIG!P1615)</f>
        <v/>
      </c>
      <c r="Q1615" s="3">
        <f>IF(ORIG!Q1615=0,"",ORIG!Q1615)</f>
        <v/>
      </c>
      <c r="R1615" s="3">
        <f>IF(ORIG!R1615=0,"",ORIG!R1615)</f>
        <v/>
      </c>
      <c r="S1615" s="3">
        <f>IF(ORIG!S1615=0,"",ORIG!S1615)</f>
        <v/>
      </c>
      <c r="T1615" s="3">
        <f>IF(ORIG!T1615=0,"",ORIG!T1615)</f>
        <v/>
      </c>
      <c r="U1615" s="3">
        <f>IF(ORIG!U1615=0,"",ORIG!U1615)</f>
        <v/>
      </c>
      <c r="V1615" s="9">
        <f>IF(ORIG!V1615=0,"",ORIG!V1615)</f>
        <v/>
      </c>
      <c r="W1615" s="9">
        <f>IF(ORIG!W1615=0,"",ORIG!W1615)</f>
        <v/>
      </c>
      <c r="X1615" s="9">
        <f>IF(ORIG!X1615=0,"",ORIG!X1615)</f>
        <v/>
      </c>
      <c r="Y1615" s="9">
        <f>IF(ORIG!Y1615=0,"",ORIG!Y1615)</f>
        <v/>
      </c>
      <c r="Z1615" s="3">
        <f>SUMPRODUCT($B1615:$Y1615,$B$2649:$Y$2649)</f>
        <v/>
      </c>
      <c r="AA1615" s="3">
        <f>SUMPRODUCT($B1615:$Y1615,$B$2655:$Y$2655)</f>
        <v/>
      </c>
      <c r="AC1615" s="1">
        <f>A1615</f>
        <v/>
      </c>
      <c r="AD1615">
        <f>IF(ISNUMBER(V1615),V1615*($AB$1/V$2635),"")</f>
        <v/>
      </c>
      <c r="AE1615">
        <f>IF(ISNUMBER(Z1615),Z1615*($AB$1/Z$2635),"")</f>
        <v/>
      </c>
      <c r="AF1615" s="25">
        <f>IF(ISNUMBER(AD1615+AE1615),AD1615+AE1615,"")</f>
        <v/>
      </c>
      <c r="AH1615" s="1">
        <f>A1615</f>
        <v/>
      </c>
      <c r="AI1615">
        <f>IF(ISNUMBER((1+V1615)*AI1614),(1+V1615)*AI1614,AI1614)</f>
        <v/>
      </c>
      <c r="AJ1615">
        <f>IF(ISNUMBER((1+Z1615)*AJ1614),(1+Z1615)*AJ1614,AJ1614)</f>
        <v/>
      </c>
    </row>
    <row r="1616">
      <c r="A1616" s="1" t="n">
        <v>44348</v>
      </c>
      <c r="B1616" s="3">
        <f>IF(ORIG!B1616=0,"",ORIG!B1616)</f>
        <v/>
      </c>
      <c r="C1616" s="3">
        <f>IF(ORIG!C1616=0,"",ORIG!C1616)</f>
        <v/>
      </c>
      <c r="D1616" s="3">
        <f>IF(ORIG!D1616=0,"",ORIG!D1616)</f>
        <v/>
      </c>
      <c r="E1616" s="3">
        <f>IF(ORIG!E1616=0,"",ORIG!E1616)</f>
        <v/>
      </c>
      <c r="F1616" s="3">
        <f>IF(ORIG!F1616=0,"",ORIG!F1616)</f>
        <v/>
      </c>
      <c r="G1616" s="3">
        <f>IF(ORIG!G1616=0,"",ORIG!G1616)</f>
        <v/>
      </c>
      <c r="H1616" s="3">
        <f>IF(ORIG!H1616=0,"",ORIG!H1616)</f>
        <v/>
      </c>
      <c r="I1616" s="3">
        <f>IF(ORIG!I1616=0,"",ORIG!I1616)</f>
        <v/>
      </c>
      <c r="J1616" s="3">
        <f>IF(ORIG!J1616=0,"",ORIG!J1616)</f>
        <v/>
      </c>
      <c r="K1616" s="3">
        <f>IF(ORIG!K1616=0,"",ORIG!K1616)</f>
        <v/>
      </c>
      <c r="L1616" s="3">
        <f>IF(ORIG!L1616=0,"",ORIG!L1616)</f>
        <v/>
      </c>
      <c r="M1616" s="3">
        <f>IF(ORIG!M1616=0,"",ORIG!M1616)</f>
        <v/>
      </c>
      <c r="N1616" s="3">
        <f>IF(ORIG!N1616=0,"",ORIG!N1616)</f>
        <v/>
      </c>
      <c r="O1616" s="3">
        <f>IF(ORIG!O1616=0,"",ORIG!O1616)</f>
        <v/>
      </c>
      <c r="P1616" s="3">
        <f>IF(ORIG!P1616=0,"",ORIG!P1616)</f>
        <v/>
      </c>
      <c r="Q1616" s="3">
        <f>IF(ORIG!Q1616=0,"",ORIG!Q1616)</f>
        <v/>
      </c>
      <c r="R1616" s="3">
        <f>IF(ORIG!R1616=0,"",ORIG!R1616)</f>
        <v/>
      </c>
      <c r="S1616" s="3">
        <f>IF(ORIG!S1616=0,"",ORIG!S1616)</f>
        <v/>
      </c>
      <c r="T1616" s="3">
        <f>IF(ORIG!T1616=0,"",ORIG!T1616)</f>
        <v/>
      </c>
      <c r="U1616" s="3">
        <f>IF(ORIG!U1616=0,"",ORIG!U1616)</f>
        <v/>
      </c>
      <c r="V1616" s="9">
        <f>IF(ORIG!V1616=0,"",ORIG!V1616)</f>
        <v/>
      </c>
      <c r="W1616" s="9">
        <f>IF(ORIG!W1616=0,"",ORIG!W1616)</f>
        <v/>
      </c>
      <c r="X1616" s="9">
        <f>IF(ORIG!X1616=0,"",ORIG!X1616)</f>
        <v/>
      </c>
      <c r="Y1616" s="9">
        <f>IF(ORIG!Y1616=0,"",ORIG!Y1616)</f>
        <v/>
      </c>
      <c r="Z1616" s="3">
        <f>SUMPRODUCT($B1616:$Y1616,$B$2649:$Y$2649)</f>
        <v/>
      </c>
      <c r="AA1616" s="3">
        <f>SUMPRODUCT($B1616:$Y1616,$B$2655:$Y$2655)</f>
        <v/>
      </c>
      <c r="AC1616" s="1">
        <f>A1616</f>
        <v/>
      </c>
      <c r="AD1616">
        <f>IF(ISNUMBER(V1616),V1616*($AB$1/V$2635),"")</f>
        <v/>
      </c>
      <c r="AE1616">
        <f>IF(ISNUMBER(Z1616),Z1616*($AB$1/Z$2635),"")</f>
        <v/>
      </c>
      <c r="AF1616" s="25">
        <f>IF(ISNUMBER(AD1616+AE1616),AD1616+AE1616,"")</f>
        <v/>
      </c>
      <c r="AH1616" s="1">
        <f>A1616</f>
        <v/>
      </c>
      <c r="AI1616">
        <f>IF(ISNUMBER((1+V1616)*AI1615),(1+V1616)*AI1615,AI1615)</f>
        <v/>
      </c>
      <c r="AJ1616">
        <f>IF(ISNUMBER((1+Z1616)*AJ1615),(1+Z1616)*AJ1615,AJ1615)</f>
        <v/>
      </c>
    </row>
    <row r="1617">
      <c r="A1617" s="1" t="n">
        <v>44349</v>
      </c>
      <c r="B1617" s="3">
        <f>IF(ORIG!B1617=0,"",ORIG!B1617)</f>
        <v/>
      </c>
      <c r="C1617" s="3">
        <f>IF(ORIG!C1617=0,"",ORIG!C1617)</f>
        <v/>
      </c>
      <c r="D1617" s="3">
        <f>IF(ORIG!D1617=0,"",ORIG!D1617)</f>
        <v/>
      </c>
      <c r="E1617" s="3">
        <f>IF(ORIG!E1617=0,"",ORIG!E1617)</f>
        <v/>
      </c>
      <c r="F1617" s="3">
        <f>IF(ORIG!F1617=0,"",ORIG!F1617)</f>
        <v/>
      </c>
      <c r="G1617" s="3">
        <f>IF(ORIG!G1617=0,"",ORIG!G1617)</f>
        <v/>
      </c>
      <c r="H1617" s="3">
        <f>IF(ORIG!H1617=0,"",ORIG!H1617)</f>
        <v/>
      </c>
      <c r="I1617" s="3">
        <f>IF(ORIG!I1617=0,"",ORIG!I1617)</f>
        <v/>
      </c>
      <c r="J1617" s="3">
        <f>IF(ORIG!J1617=0,"",ORIG!J1617)</f>
        <v/>
      </c>
      <c r="K1617" s="3">
        <f>IF(ORIG!K1617=0,"",ORIG!K1617)</f>
        <v/>
      </c>
      <c r="L1617" s="3">
        <f>IF(ORIG!L1617=0,"",ORIG!L1617)</f>
        <v/>
      </c>
      <c r="M1617" s="3">
        <f>IF(ORIG!M1617=0,"",ORIG!M1617)</f>
        <v/>
      </c>
      <c r="N1617" s="3">
        <f>IF(ORIG!N1617=0,"",ORIG!N1617)</f>
        <v/>
      </c>
      <c r="O1617" s="3">
        <f>IF(ORIG!O1617=0,"",ORIG!O1617)</f>
        <v/>
      </c>
      <c r="P1617" s="3">
        <f>IF(ORIG!P1617=0,"",ORIG!P1617)</f>
        <v/>
      </c>
      <c r="Q1617" s="3">
        <f>IF(ORIG!Q1617=0,"",ORIG!Q1617)</f>
        <v/>
      </c>
      <c r="R1617" s="3">
        <f>IF(ORIG!R1617=0,"",ORIG!R1617)</f>
        <v/>
      </c>
      <c r="S1617" s="3">
        <f>IF(ORIG!S1617=0,"",ORIG!S1617)</f>
        <v/>
      </c>
      <c r="T1617" s="3">
        <f>IF(ORIG!T1617=0,"",ORIG!T1617)</f>
        <v/>
      </c>
      <c r="U1617" s="3">
        <f>IF(ORIG!U1617=0,"",ORIG!U1617)</f>
        <v/>
      </c>
      <c r="V1617" s="9">
        <f>IF(ORIG!V1617=0,"",ORIG!V1617)</f>
        <v/>
      </c>
      <c r="W1617" s="9">
        <f>IF(ORIG!W1617=0,"",ORIG!W1617)</f>
        <v/>
      </c>
      <c r="X1617" s="9">
        <f>IF(ORIG!X1617=0,"",ORIG!X1617)</f>
        <v/>
      </c>
      <c r="Y1617" s="9">
        <f>IF(ORIG!Y1617=0,"",ORIG!Y1617)</f>
        <v/>
      </c>
      <c r="Z1617" s="3">
        <f>SUMPRODUCT($B1617:$Y1617,$B$2649:$Y$2649)</f>
        <v/>
      </c>
      <c r="AA1617" s="3">
        <f>SUMPRODUCT($B1617:$Y1617,$B$2655:$Y$2655)</f>
        <v/>
      </c>
      <c r="AC1617" s="1">
        <f>A1617</f>
        <v/>
      </c>
      <c r="AD1617">
        <f>IF(ISNUMBER(V1617),V1617*($AB$1/V$2635),"")</f>
        <v/>
      </c>
      <c r="AE1617">
        <f>IF(ISNUMBER(Z1617),Z1617*($AB$1/Z$2635),"")</f>
        <v/>
      </c>
      <c r="AF1617" s="25">
        <f>IF(ISNUMBER(AD1617+AE1617),AD1617+AE1617,"")</f>
        <v/>
      </c>
      <c r="AH1617" s="1">
        <f>A1617</f>
        <v/>
      </c>
      <c r="AI1617">
        <f>IF(ISNUMBER((1+V1617)*AI1616),(1+V1617)*AI1616,AI1616)</f>
        <v/>
      </c>
      <c r="AJ1617">
        <f>IF(ISNUMBER((1+Z1617)*AJ1616),(1+Z1617)*AJ1616,AJ1616)</f>
        <v/>
      </c>
    </row>
    <row r="1618">
      <c r="A1618" s="1" t="n">
        <v>44350</v>
      </c>
      <c r="B1618" s="3">
        <f>IF(ORIG!B1618=0,"",ORIG!B1618)</f>
        <v/>
      </c>
      <c r="C1618" s="3">
        <f>IF(ORIG!C1618=0,"",ORIG!C1618)</f>
        <v/>
      </c>
      <c r="D1618" s="3">
        <f>IF(ORIG!D1618=0,"",ORIG!D1618)</f>
        <v/>
      </c>
      <c r="E1618" s="3">
        <f>IF(ORIG!E1618=0,"",ORIG!E1618)</f>
        <v/>
      </c>
      <c r="F1618" s="3">
        <f>IF(ORIG!F1618=0,"",ORIG!F1618)</f>
        <v/>
      </c>
      <c r="G1618" s="3">
        <f>IF(ORIG!G1618=0,"",ORIG!G1618)</f>
        <v/>
      </c>
      <c r="H1618" s="3">
        <f>IF(ORIG!H1618=0,"",ORIG!H1618)</f>
        <v/>
      </c>
      <c r="I1618" s="3">
        <f>IF(ORIG!I1618=0,"",ORIG!I1618)</f>
        <v/>
      </c>
      <c r="J1618" s="3">
        <f>IF(ORIG!J1618=0,"",ORIG!J1618)</f>
        <v/>
      </c>
      <c r="K1618" s="3">
        <f>IF(ORIG!K1618=0,"",ORIG!K1618)</f>
        <v/>
      </c>
      <c r="L1618" s="3">
        <f>IF(ORIG!L1618=0,"",ORIG!L1618)</f>
        <v/>
      </c>
      <c r="M1618" s="3">
        <f>IF(ORIG!M1618=0,"",ORIG!M1618)</f>
        <v/>
      </c>
      <c r="N1618" s="3">
        <f>IF(ORIG!N1618=0,"",ORIG!N1618)</f>
        <v/>
      </c>
      <c r="O1618" s="3">
        <f>IF(ORIG!O1618=0,"",ORIG!O1618)</f>
        <v/>
      </c>
      <c r="P1618" s="3">
        <f>IF(ORIG!P1618=0,"",ORIG!P1618)</f>
        <v/>
      </c>
      <c r="Q1618" s="3">
        <f>IF(ORIG!Q1618=0,"",ORIG!Q1618)</f>
        <v/>
      </c>
      <c r="R1618" s="3">
        <f>IF(ORIG!R1618=0,"",ORIG!R1618)</f>
        <v/>
      </c>
      <c r="S1618" s="3">
        <f>IF(ORIG!S1618=0,"",ORIG!S1618)</f>
        <v/>
      </c>
      <c r="T1618" s="3">
        <f>IF(ORIG!T1618=0,"",ORIG!T1618)</f>
        <v/>
      </c>
      <c r="U1618" s="3">
        <f>IF(ORIG!U1618=0,"",ORIG!U1618)</f>
        <v/>
      </c>
      <c r="V1618" s="9">
        <f>IF(ORIG!V1618=0,"",ORIG!V1618)</f>
        <v/>
      </c>
      <c r="W1618" s="9">
        <f>IF(ORIG!W1618=0,"",ORIG!W1618)</f>
        <v/>
      </c>
      <c r="X1618" s="9">
        <f>IF(ORIG!X1618=0,"",ORIG!X1618)</f>
        <v/>
      </c>
      <c r="Y1618" s="9">
        <f>IF(ORIG!Y1618=0,"",ORIG!Y1618)</f>
        <v/>
      </c>
      <c r="Z1618" s="3">
        <f>SUMPRODUCT($B1618:$Y1618,$B$2649:$Y$2649)</f>
        <v/>
      </c>
      <c r="AA1618" s="3">
        <f>SUMPRODUCT($B1618:$Y1618,$B$2655:$Y$2655)</f>
        <v/>
      </c>
      <c r="AC1618" s="1">
        <f>A1618</f>
        <v/>
      </c>
      <c r="AD1618">
        <f>IF(ISNUMBER(V1618),V1618*($AB$1/V$2635),"")</f>
        <v/>
      </c>
      <c r="AE1618">
        <f>IF(ISNUMBER(Z1618),Z1618*($AB$1/Z$2635),"")</f>
        <v/>
      </c>
      <c r="AF1618" s="25">
        <f>IF(ISNUMBER(AD1618+AE1618),AD1618+AE1618,"")</f>
        <v/>
      </c>
      <c r="AH1618" s="1">
        <f>A1618</f>
        <v/>
      </c>
      <c r="AI1618">
        <f>IF(ISNUMBER((1+V1618)*AI1617),(1+V1618)*AI1617,AI1617)</f>
        <v/>
      </c>
      <c r="AJ1618">
        <f>IF(ISNUMBER((1+Z1618)*AJ1617),(1+Z1618)*AJ1617,AJ1617)</f>
        <v/>
      </c>
    </row>
    <row r="1619">
      <c r="A1619" s="1" t="n">
        <v>44351</v>
      </c>
      <c r="B1619" s="3">
        <f>IF(ORIG!B1619=0,"",ORIG!B1619)</f>
        <v/>
      </c>
      <c r="C1619" s="3">
        <f>IF(ORIG!C1619=0,"",ORIG!C1619)</f>
        <v/>
      </c>
      <c r="D1619" s="3">
        <f>IF(ORIG!D1619=0,"",ORIG!D1619)</f>
        <v/>
      </c>
      <c r="E1619" s="3">
        <f>IF(ORIG!E1619=0,"",ORIG!E1619)</f>
        <v/>
      </c>
      <c r="F1619" s="3">
        <f>IF(ORIG!F1619=0,"",ORIG!F1619)</f>
        <v/>
      </c>
      <c r="G1619" s="3">
        <f>IF(ORIG!G1619=0,"",ORIG!G1619)</f>
        <v/>
      </c>
      <c r="H1619" s="3">
        <f>IF(ORIG!H1619=0,"",ORIG!H1619)</f>
        <v/>
      </c>
      <c r="I1619" s="3">
        <f>IF(ORIG!I1619=0,"",ORIG!I1619)</f>
        <v/>
      </c>
      <c r="J1619" s="3">
        <f>IF(ORIG!J1619=0,"",ORIG!J1619)</f>
        <v/>
      </c>
      <c r="K1619" s="3">
        <f>IF(ORIG!K1619=0,"",ORIG!K1619)</f>
        <v/>
      </c>
      <c r="L1619" s="3">
        <f>IF(ORIG!L1619=0,"",ORIG!L1619)</f>
        <v/>
      </c>
      <c r="M1619" s="3">
        <f>IF(ORIG!M1619=0,"",ORIG!M1619)</f>
        <v/>
      </c>
      <c r="N1619" s="3">
        <f>IF(ORIG!N1619=0,"",ORIG!N1619)</f>
        <v/>
      </c>
      <c r="O1619" s="3">
        <f>IF(ORIG!O1619=0,"",ORIG!O1619)</f>
        <v/>
      </c>
      <c r="P1619" s="3">
        <f>IF(ORIG!P1619=0,"",ORIG!P1619)</f>
        <v/>
      </c>
      <c r="Q1619" s="3">
        <f>IF(ORIG!Q1619=0,"",ORIG!Q1619)</f>
        <v/>
      </c>
      <c r="R1619" s="3">
        <f>IF(ORIG!R1619=0,"",ORIG!R1619)</f>
        <v/>
      </c>
      <c r="S1619" s="3">
        <f>IF(ORIG!S1619=0,"",ORIG!S1619)</f>
        <v/>
      </c>
      <c r="T1619" s="3">
        <f>IF(ORIG!T1619=0,"",ORIG!T1619)</f>
        <v/>
      </c>
      <c r="U1619" s="3">
        <f>IF(ORIG!U1619=0,"",ORIG!U1619)</f>
        <v/>
      </c>
      <c r="V1619" s="9">
        <f>IF(ORIG!V1619=0,"",ORIG!V1619)</f>
        <v/>
      </c>
      <c r="W1619" s="9">
        <f>IF(ORIG!W1619=0,"",ORIG!W1619)</f>
        <v/>
      </c>
      <c r="X1619" s="9">
        <f>IF(ORIG!X1619=0,"",ORIG!X1619)</f>
        <v/>
      </c>
      <c r="Y1619" s="9">
        <f>IF(ORIG!Y1619=0,"",ORIG!Y1619)</f>
        <v/>
      </c>
      <c r="Z1619" s="3">
        <f>SUMPRODUCT($B1619:$Y1619,$B$2649:$Y$2649)</f>
        <v/>
      </c>
      <c r="AA1619" s="3">
        <f>SUMPRODUCT($B1619:$Y1619,$B$2655:$Y$2655)</f>
        <v/>
      </c>
      <c r="AC1619" s="1">
        <f>A1619</f>
        <v/>
      </c>
      <c r="AD1619">
        <f>IF(ISNUMBER(V1619),V1619*($AB$1/V$2635),"")</f>
        <v/>
      </c>
      <c r="AE1619">
        <f>IF(ISNUMBER(Z1619),Z1619*($AB$1/Z$2635),"")</f>
        <v/>
      </c>
      <c r="AF1619" s="25">
        <f>IF(ISNUMBER(AD1619+AE1619),AD1619+AE1619,"")</f>
        <v/>
      </c>
      <c r="AH1619" s="1">
        <f>A1619</f>
        <v/>
      </c>
      <c r="AI1619">
        <f>IF(ISNUMBER((1+V1619)*AI1618),(1+V1619)*AI1618,AI1618)</f>
        <v/>
      </c>
      <c r="AJ1619">
        <f>IF(ISNUMBER((1+Z1619)*AJ1618),(1+Z1619)*AJ1618,AJ1618)</f>
        <v/>
      </c>
    </row>
    <row r="1620">
      <c r="A1620" s="1" t="n">
        <v>44354</v>
      </c>
      <c r="B1620" s="3">
        <f>IF(ORIG!B1620=0,"",ORIG!B1620)</f>
        <v/>
      </c>
      <c r="C1620" s="3">
        <f>IF(ORIG!C1620=0,"",ORIG!C1620)</f>
        <v/>
      </c>
      <c r="D1620" s="3">
        <f>IF(ORIG!D1620=0,"",ORIG!D1620)</f>
        <v/>
      </c>
      <c r="E1620" s="3">
        <f>IF(ORIG!E1620=0,"",ORIG!E1620)</f>
        <v/>
      </c>
      <c r="F1620" s="3">
        <f>IF(ORIG!F1620=0,"",ORIG!F1620)</f>
        <v/>
      </c>
      <c r="G1620" s="3">
        <f>IF(ORIG!G1620=0,"",ORIG!G1620)</f>
        <v/>
      </c>
      <c r="H1620" s="3">
        <f>IF(ORIG!H1620=0,"",ORIG!H1620)</f>
        <v/>
      </c>
      <c r="I1620" s="3">
        <f>IF(ORIG!I1620=0,"",ORIG!I1620)</f>
        <v/>
      </c>
      <c r="J1620" s="3">
        <f>IF(ORIG!J1620=0,"",ORIG!J1620)</f>
        <v/>
      </c>
      <c r="K1620" s="3">
        <f>IF(ORIG!K1620=0,"",ORIG!K1620)</f>
        <v/>
      </c>
      <c r="L1620" s="3">
        <f>IF(ORIG!L1620=0,"",ORIG!L1620)</f>
        <v/>
      </c>
      <c r="M1620" s="3">
        <f>IF(ORIG!M1620=0,"",ORIG!M1620)</f>
        <v/>
      </c>
      <c r="N1620" s="3">
        <f>IF(ORIG!N1620=0,"",ORIG!N1620)</f>
        <v/>
      </c>
      <c r="O1620" s="3">
        <f>IF(ORIG!O1620=0,"",ORIG!O1620)</f>
        <v/>
      </c>
      <c r="P1620" s="3">
        <f>IF(ORIG!P1620=0,"",ORIG!P1620)</f>
        <v/>
      </c>
      <c r="Q1620" s="3">
        <f>IF(ORIG!Q1620=0,"",ORIG!Q1620)</f>
        <v/>
      </c>
      <c r="R1620" s="3">
        <f>IF(ORIG!R1620=0,"",ORIG!R1620)</f>
        <v/>
      </c>
      <c r="S1620" s="3">
        <f>IF(ORIG!S1620=0,"",ORIG!S1620)</f>
        <v/>
      </c>
      <c r="T1620" s="3">
        <f>IF(ORIG!T1620=0,"",ORIG!T1620)</f>
        <v/>
      </c>
      <c r="U1620" s="3">
        <f>IF(ORIG!U1620=0,"",ORIG!U1620)</f>
        <v/>
      </c>
      <c r="V1620" s="9">
        <f>IF(ORIG!V1620=0,"",ORIG!V1620)</f>
        <v/>
      </c>
      <c r="W1620" s="9">
        <f>IF(ORIG!W1620=0,"",ORIG!W1620)</f>
        <v/>
      </c>
      <c r="X1620" s="9">
        <f>IF(ORIG!X1620=0,"",ORIG!X1620)</f>
        <v/>
      </c>
      <c r="Y1620" s="9">
        <f>IF(ORIG!Y1620=0,"",ORIG!Y1620)</f>
        <v/>
      </c>
      <c r="Z1620" s="3">
        <f>SUMPRODUCT($B1620:$Y1620,$B$2649:$Y$2649)</f>
        <v/>
      </c>
      <c r="AA1620" s="3">
        <f>SUMPRODUCT($B1620:$Y1620,$B$2655:$Y$2655)</f>
        <v/>
      </c>
      <c r="AC1620" s="1">
        <f>A1620</f>
        <v/>
      </c>
      <c r="AD1620">
        <f>IF(ISNUMBER(V1620),V1620*($AB$1/V$2635),"")</f>
        <v/>
      </c>
      <c r="AE1620">
        <f>IF(ISNUMBER(Z1620),Z1620*($AB$1/Z$2635),"")</f>
        <v/>
      </c>
      <c r="AF1620" s="25">
        <f>IF(ISNUMBER(AD1620+AE1620),AD1620+AE1620,"")</f>
        <v/>
      </c>
      <c r="AH1620" s="1">
        <f>A1620</f>
        <v/>
      </c>
      <c r="AI1620">
        <f>IF(ISNUMBER((1+V1620)*AI1619),(1+V1620)*AI1619,AI1619)</f>
        <v/>
      </c>
      <c r="AJ1620">
        <f>IF(ISNUMBER((1+Z1620)*AJ1619),(1+Z1620)*AJ1619,AJ1619)</f>
        <v/>
      </c>
    </row>
    <row r="1621">
      <c r="A1621" s="1" t="n">
        <v>44355</v>
      </c>
      <c r="B1621" s="3">
        <f>IF(ORIG!B1621=0,"",ORIG!B1621)</f>
        <v/>
      </c>
      <c r="C1621" s="3">
        <f>IF(ORIG!C1621=0,"",ORIG!C1621)</f>
        <v/>
      </c>
      <c r="D1621" s="3">
        <f>IF(ORIG!D1621=0,"",ORIG!D1621)</f>
        <v/>
      </c>
      <c r="E1621" s="3">
        <f>IF(ORIG!E1621=0,"",ORIG!E1621)</f>
        <v/>
      </c>
      <c r="F1621" s="3">
        <f>IF(ORIG!F1621=0,"",ORIG!F1621)</f>
        <v/>
      </c>
      <c r="G1621" s="3">
        <f>IF(ORIG!G1621=0,"",ORIG!G1621)</f>
        <v/>
      </c>
      <c r="H1621" s="3">
        <f>IF(ORIG!H1621=0,"",ORIG!H1621)</f>
        <v/>
      </c>
      <c r="I1621" s="3">
        <f>IF(ORIG!I1621=0,"",ORIG!I1621)</f>
        <v/>
      </c>
      <c r="J1621" s="3">
        <f>IF(ORIG!J1621=0,"",ORIG!J1621)</f>
        <v/>
      </c>
      <c r="K1621" s="3">
        <f>IF(ORIG!K1621=0,"",ORIG!K1621)</f>
        <v/>
      </c>
      <c r="L1621" s="3">
        <f>IF(ORIG!L1621=0,"",ORIG!L1621)</f>
        <v/>
      </c>
      <c r="M1621" s="3">
        <f>IF(ORIG!M1621=0,"",ORIG!M1621)</f>
        <v/>
      </c>
      <c r="N1621" s="3">
        <f>IF(ORIG!N1621=0,"",ORIG!N1621)</f>
        <v/>
      </c>
      <c r="O1621" s="3">
        <f>IF(ORIG!O1621=0,"",ORIG!O1621)</f>
        <v/>
      </c>
      <c r="P1621" s="3">
        <f>IF(ORIG!P1621=0,"",ORIG!P1621)</f>
        <v/>
      </c>
      <c r="Q1621" s="3">
        <f>IF(ORIG!Q1621=0,"",ORIG!Q1621)</f>
        <v/>
      </c>
      <c r="R1621" s="3">
        <f>IF(ORIG!R1621=0,"",ORIG!R1621)</f>
        <v/>
      </c>
      <c r="S1621" s="3">
        <f>IF(ORIG!S1621=0,"",ORIG!S1621)</f>
        <v/>
      </c>
      <c r="T1621" s="3">
        <f>IF(ORIG!T1621=0,"",ORIG!T1621)</f>
        <v/>
      </c>
      <c r="U1621" s="3">
        <f>IF(ORIG!U1621=0,"",ORIG!U1621)</f>
        <v/>
      </c>
      <c r="V1621" s="9">
        <f>IF(ORIG!V1621=0,"",ORIG!V1621)</f>
        <v/>
      </c>
      <c r="W1621" s="9">
        <f>IF(ORIG!W1621=0,"",ORIG!W1621)</f>
        <v/>
      </c>
      <c r="X1621" s="9">
        <f>IF(ORIG!X1621=0,"",ORIG!X1621)</f>
        <v/>
      </c>
      <c r="Y1621" s="9">
        <f>IF(ORIG!Y1621=0,"",ORIG!Y1621)</f>
        <v/>
      </c>
      <c r="Z1621" s="3">
        <f>SUMPRODUCT($B1621:$Y1621,$B$2649:$Y$2649)</f>
        <v/>
      </c>
      <c r="AA1621" s="3">
        <f>SUMPRODUCT($B1621:$Y1621,$B$2655:$Y$2655)</f>
        <v/>
      </c>
      <c r="AC1621" s="1">
        <f>A1621</f>
        <v/>
      </c>
      <c r="AD1621">
        <f>IF(ISNUMBER(V1621),V1621*($AB$1/V$2635),"")</f>
        <v/>
      </c>
      <c r="AE1621">
        <f>IF(ISNUMBER(Z1621),Z1621*($AB$1/Z$2635),"")</f>
        <v/>
      </c>
      <c r="AF1621" s="25">
        <f>IF(ISNUMBER(AD1621+AE1621),AD1621+AE1621,"")</f>
        <v/>
      </c>
      <c r="AH1621" s="1">
        <f>A1621</f>
        <v/>
      </c>
      <c r="AI1621">
        <f>IF(ISNUMBER((1+V1621)*AI1620),(1+V1621)*AI1620,AI1620)</f>
        <v/>
      </c>
      <c r="AJ1621">
        <f>IF(ISNUMBER((1+Z1621)*AJ1620),(1+Z1621)*AJ1620,AJ1620)</f>
        <v/>
      </c>
    </row>
    <row r="1622">
      <c r="A1622" s="1" t="n">
        <v>44356</v>
      </c>
      <c r="B1622" s="3">
        <f>IF(ORIG!B1622=0,"",ORIG!B1622)</f>
        <v/>
      </c>
      <c r="C1622" s="3">
        <f>IF(ORIG!C1622=0,"",ORIG!C1622)</f>
        <v/>
      </c>
      <c r="D1622" s="3">
        <f>IF(ORIG!D1622=0,"",ORIG!D1622)</f>
        <v/>
      </c>
      <c r="E1622" s="3">
        <f>IF(ORIG!E1622=0,"",ORIG!E1622)</f>
        <v/>
      </c>
      <c r="F1622" s="3">
        <f>IF(ORIG!F1622=0,"",ORIG!F1622)</f>
        <v/>
      </c>
      <c r="G1622" s="3">
        <f>IF(ORIG!G1622=0,"",ORIG!G1622)</f>
        <v/>
      </c>
      <c r="H1622" s="3">
        <f>IF(ORIG!H1622=0,"",ORIG!H1622)</f>
        <v/>
      </c>
      <c r="I1622" s="3">
        <f>IF(ORIG!I1622=0,"",ORIG!I1622)</f>
        <v/>
      </c>
      <c r="J1622" s="3">
        <f>IF(ORIG!J1622=0,"",ORIG!J1622)</f>
        <v/>
      </c>
      <c r="K1622" s="3">
        <f>IF(ORIG!K1622=0,"",ORIG!K1622)</f>
        <v/>
      </c>
      <c r="L1622" s="3">
        <f>IF(ORIG!L1622=0,"",ORIG!L1622)</f>
        <v/>
      </c>
      <c r="M1622" s="3">
        <f>IF(ORIG!M1622=0,"",ORIG!M1622)</f>
        <v/>
      </c>
      <c r="N1622" s="3">
        <f>IF(ORIG!N1622=0,"",ORIG!N1622)</f>
        <v/>
      </c>
      <c r="O1622" s="3">
        <f>IF(ORIG!O1622=0,"",ORIG!O1622)</f>
        <v/>
      </c>
      <c r="P1622" s="3">
        <f>IF(ORIG!P1622=0,"",ORIG!P1622)</f>
        <v/>
      </c>
      <c r="Q1622" s="3">
        <f>IF(ORIG!Q1622=0,"",ORIG!Q1622)</f>
        <v/>
      </c>
      <c r="R1622" s="3">
        <f>IF(ORIG!R1622=0,"",ORIG!R1622)</f>
        <v/>
      </c>
      <c r="S1622" s="3">
        <f>IF(ORIG!S1622=0,"",ORIG!S1622)</f>
        <v/>
      </c>
      <c r="T1622" s="3">
        <f>IF(ORIG!T1622=0,"",ORIG!T1622)</f>
        <v/>
      </c>
      <c r="U1622" s="3">
        <f>IF(ORIG!U1622=0,"",ORIG!U1622)</f>
        <v/>
      </c>
      <c r="V1622" s="9">
        <f>IF(ORIG!V1622=0,"",ORIG!V1622)</f>
        <v/>
      </c>
      <c r="W1622" s="9">
        <f>IF(ORIG!W1622=0,"",ORIG!W1622)</f>
        <v/>
      </c>
      <c r="X1622" s="9">
        <f>IF(ORIG!X1622=0,"",ORIG!X1622)</f>
        <v/>
      </c>
      <c r="Y1622" s="9">
        <f>IF(ORIG!Y1622=0,"",ORIG!Y1622)</f>
        <v/>
      </c>
      <c r="Z1622" s="3">
        <f>SUMPRODUCT($B1622:$Y1622,$B$2649:$Y$2649)</f>
        <v/>
      </c>
      <c r="AA1622" s="3">
        <f>SUMPRODUCT($B1622:$Y1622,$B$2655:$Y$2655)</f>
        <v/>
      </c>
      <c r="AC1622" s="1">
        <f>A1622</f>
        <v/>
      </c>
      <c r="AD1622">
        <f>IF(ISNUMBER(V1622),V1622*($AB$1/V$2635),"")</f>
        <v/>
      </c>
      <c r="AE1622">
        <f>IF(ISNUMBER(Z1622),Z1622*($AB$1/Z$2635),"")</f>
        <v/>
      </c>
      <c r="AF1622" s="25">
        <f>IF(ISNUMBER(AD1622+AE1622),AD1622+AE1622,"")</f>
        <v/>
      </c>
      <c r="AH1622" s="1">
        <f>A1622</f>
        <v/>
      </c>
      <c r="AI1622">
        <f>IF(ISNUMBER((1+V1622)*AI1621),(1+V1622)*AI1621,AI1621)</f>
        <v/>
      </c>
      <c r="AJ1622">
        <f>IF(ISNUMBER((1+Z1622)*AJ1621),(1+Z1622)*AJ1621,AJ1621)</f>
        <v/>
      </c>
    </row>
    <row r="1623">
      <c r="A1623" s="1" t="n">
        <v>44357</v>
      </c>
      <c r="B1623" s="3">
        <f>IF(ORIG!B1623=0,"",ORIG!B1623)</f>
        <v/>
      </c>
      <c r="C1623" s="3">
        <f>IF(ORIG!C1623=0,"",ORIG!C1623)</f>
        <v/>
      </c>
      <c r="D1623" s="3">
        <f>IF(ORIG!D1623=0,"",ORIG!D1623)</f>
        <v/>
      </c>
      <c r="E1623" s="3">
        <f>IF(ORIG!E1623=0,"",ORIG!E1623)</f>
        <v/>
      </c>
      <c r="F1623" s="3">
        <f>IF(ORIG!F1623=0,"",ORIG!F1623)</f>
        <v/>
      </c>
      <c r="G1623" s="3">
        <f>IF(ORIG!G1623=0,"",ORIG!G1623)</f>
        <v/>
      </c>
      <c r="H1623" s="3">
        <f>IF(ORIG!H1623=0,"",ORIG!H1623)</f>
        <v/>
      </c>
      <c r="I1623" s="3">
        <f>IF(ORIG!I1623=0,"",ORIG!I1623)</f>
        <v/>
      </c>
      <c r="J1623" s="3">
        <f>IF(ORIG!J1623=0,"",ORIG!J1623)</f>
        <v/>
      </c>
      <c r="K1623" s="3">
        <f>IF(ORIG!K1623=0,"",ORIG!K1623)</f>
        <v/>
      </c>
      <c r="L1623" s="3">
        <f>IF(ORIG!L1623=0,"",ORIG!L1623)</f>
        <v/>
      </c>
      <c r="M1623" s="3">
        <f>IF(ORIG!M1623=0,"",ORIG!M1623)</f>
        <v/>
      </c>
      <c r="N1623" s="3">
        <f>IF(ORIG!N1623=0,"",ORIG!N1623)</f>
        <v/>
      </c>
      <c r="O1623" s="3">
        <f>IF(ORIG!O1623=0,"",ORIG!O1623)</f>
        <v/>
      </c>
      <c r="P1623" s="3">
        <f>IF(ORIG!P1623=0,"",ORIG!P1623)</f>
        <v/>
      </c>
      <c r="Q1623" s="3">
        <f>IF(ORIG!Q1623=0,"",ORIG!Q1623)</f>
        <v/>
      </c>
      <c r="R1623" s="3">
        <f>IF(ORIG!R1623=0,"",ORIG!R1623)</f>
        <v/>
      </c>
      <c r="S1623" s="3">
        <f>IF(ORIG!S1623=0,"",ORIG!S1623)</f>
        <v/>
      </c>
      <c r="T1623" s="3">
        <f>IF(ORIG!T1623=0,"",ORIG!T1623)</f>
        <v/>
      </c>
      <c r="U1623" s="3">
        <f>IF(ORIG!U1623=0,"",ORIG!U1623)</f>
        <v/>
      </c>
      <c r="V1623" s="9">
        <f>IF(ORIG!V1623=0,"",ORIG!V1623)</f>
        <v/>
      </c>
      <c r="W1623" s="9">
        <f>IF(ORIG!W1623=0,"",ORIG!W1623)</f>
        <v/>
      </c>
      <c r="X1623" s="9">
        <f>IF(ORIG!X1623=0,"",ORIG!X1623)</f>
        <v/>
      </c>
      <c r="Y1623" s="9">
        <f>IF(ORIG!Y1623=0,"",ORIG!Y1623)</f>
        <v/>
      </c>
      <c r="Z1623" s="3">
        <f>SUMPRODUCT($B1623:$Y1623,$B$2649:$Y$2649)</f>
        <v/>
      </c>
      <c r="AA1623" s="3">
        <f>SUMPRODUCT($B1623:$Y1623,$B$2655:$Y$2655)</f>
        <v/>
      </c>
      <c r="AC1623" s="1">
        <f>A1623</f>
        <v/>
      </c>
      <c r="AD1623">
        <f>IF(ISNUMBER(V1623),V1623*($AB$1/V$2635),"")</f>
        <v/>
      </c>
      <c r="AE1623">
        <f>IF(ISNUMBER(Z1623),Z1623*($AB$1/Z$2635),"")</f>
        <v/>
      </c>
      <c r="AF1623" s="25">
        <f>IF(ISNUMBER(AD1623+AE1623),AD1623+AE1623,"")</f>
        <v/>
      </c>
      <c r="AH1623" s="1">
        <f>A1623</f>
        <v/>
      </c>
      <c r="AI1623">
        <f>IF(ISNUMBER((1+V1623)*AI1622),(1+V1623)*AI1622,AI1622)</f>
        <v/>
      </c>
      <c r="AJ1623">
        <f>IF(ISNUMBER((1+Z1623)*AJ1622),(1+Z1623)*AJ1622,AJ1622)</f>
        <v/>
      </c>
    </row>
    <row r="1624">
      <c r="A1624" s="1" t="n">
        <v>44358</v>
      </c>
      <c r="B1624" s="3">
        <f>IF(ORIG!B1624=0,"",ORIG!B1624)</f>
        <v/>
      </c>
      <c r="C1624" s="3">
        <f>IF(ORIG!C1624=0,"",ORIG!C1624)</f>
        <v/>
      </c>
      <c r="D1624" s="3">
        <f>IF(ORIG!D1624=0,"",ORIG!D1624)</f>
        <v/>
      </c>
      <c r="E1624" s="3">
        <f>IF(ORIG!E1624=0,"",ORIG!E1624)</f>
        <v/>
      </c>
      <c r="F1624" s="3">
        <f>IF(ORIG!F1624=0,"",ORIG!F1624)</f>
        <v/>
      </c>
      <c r="G1624" s="3">
        <f>IF(ORIG!G1624=0,"",ORIG!G1624)</f>
        <v/>
      </c>
      <c r="H1624" s="3">
        <f>IF(ORIG!H1624=0,"",ORIG!H1624)</f>
        <v/>
      </c>
      <c r="I1624" s="3">
        <f>IF(ORIG!I1624=0,"",ORIG!I1624)</f>
        <v/>
      </c>
      <c r="J1624" s="3">
        <f>IF(ORIG!J1624=0,"",ORIG!J1624)</f>
        <v/>
      </c>
      <c r="K1624" s="3">
        <f>IF(ORIG!K1624=0,"",ORIG!K1624)</f>
        <v/>
      </c>
      <c r="L1624" s="3">
        <f>IF(ORIG!L1624=0,"",ORIG!L1624)</f>
        <v/>
      </c>
      <c r="M1624" s="3">
        <f>IF(ORIG!M1624=0,"",ORIG!M1624)</f>
        <v/>
      </c>
      <c r="N1624" s="3">
        <f>IF(ORIG!N1624=0,"",ORIG!N1624)</f>
        <v/>
      </c>
      <c r="O1624" s="3">
        <f>IF(ORIG!O1624=0,"",ORIG!O1624)</f>
        <v/>
      </c>
      <c r="P1624" s="3">
        <f>IF(ORIG!P1624=0,"",ORIG!P1624)</f>
        <v/>
      </c>
      <c r="Q1624" s="3">
        <f>IF(ORIG!Q1624=0,"",ORIG!Q1624)</f>
        <v/>
      </c>
      <c r="R1624" s="3">
        <f>IF(ORIG!R1624=0,"",ORIG!R1624)</f>
        <v/>
      </c>
      <c r="S1624" s="3">
        <f>IF(ORIG!S1624=0,"",ORIG!S1624)</f>
        <v/>
      </c>
      <c r="T1624" s="3">
        <f>IF(ORIG!T1624=0,"",ORIG!T1624)</f>
        <v/>
      </c>
      <c r="U1624" s="3">
        <f>IF(ORIG!U1624=0,"",ORIG!U1624)</f>
        <v/>
      </c>
      <c r="V1624" s="9">
        <f>IF(ORIG!V1624=0,"",ORIG!V1624)</f>
        <v/>
      </c>
      <c r="W1624" s="9">
        <f>IF(ORIG!W1624=0,"",ORIG!W1624)</f>
        <v/>
      </c>
      <c r="X1624" s="9">
        <f>IF(ORIG!X1624=0,"",ORIG!X1624)</f>
        <v/>
      </c>
      <c r="Y1624" s="9">
        <f>IF(ORIG!Y1624=0,"",ORIG!Y1624)</f>
        <v/>
      </c>
      <c r="Z1624" s="3">
        <f>SUMPRODUCT($B1624:$Y1624,$B$2649:$Y$2649)</f>
        <v/>
      </c>
      <c r="AA1624" s="3">
        <f>SUMPRODUCT($B1624:$Y1624,$B$2655:$Y$2655)</f>
        <v/>
      </c>
      <c r="AC1624" s="1">
        <f>A1624</f>
        <v/>
      </c>
      <c r="AD1624">
        <f>IF(ISNUMBER(V1624),V1624*($AB$1/V$2635),"")</f>
        <v/>
      </c>
      <c r="AE1624">
        <f>IF(ISNUMBER(Z1624),Z1624*($AB$1/Z$2635),"")</f>
        <v/>
      </c>
      <c r="AF1624" s="25">
        <f>IF(ISNUMBER(AD1624+AE1624),AD1624+AE1624,"")</f>
        <v/>
      </c>
      <c r="AH1624" s="1">
        <f>A1624</f>
        <v/>
      </c>
      <c r="AI1624">
        <f>IF(ISNUMBER((1+V1624)*AI1623),(1+V1624)*AI1623,AI1623)</f>
        <v/>
      </c>
      <c r="AJ1624">
        <f>IF(ISNUMBER((1+Z1624)*AJ1623),(1+Z1624)*AJ1623,AJ1623)</f>
        <v/>
      </c>
    </row>
    <row r="1625">
      <c r="A1625" s="1" t="n">
        <v>44361</v>
      </c>
      <c r="B1625" s="3">
        <f>IF(ORIG!B1625=0,"",ORIG!B1625)</f>
        <v/>
      </c>
      <c r="C1625" s="3">
        <f>IF(ORIG!C1625=0,"",ORIG!C1625)</f>
        <v/>
      </c>
      <c r="D1625" s="3">
        <f>IF(ORIG!D1625=0,"",ORIG!D1625)</f>
        <v/>
      </c>
      <c r="E1625" s="3">
        <f>IF(ORIG!E1625=0,"",ORIG!E1625)</f>
        <v/>
      </c>
      <c r="F1625" s="3">
        <f>IF(ORIG!F1625=0,"",ORIG!F1625)</f>
        <v/>
      </c>
      <c r="G1625" s="3">
        <f>IF(ORIG!G1625=0,"",ORIG!G1625)</f>
        <v/>
      </c>
      <c r="H1625" s="3">
        <f>IF(ORIG!H1625=0,"",ORIG!H1625)</f>
        <v/>
      </c>
      <c r="I1625" s="3">
        <f>IF(ORIG!I1625=0,"",ORIG!I1625)</f>
        <v/>
      </c>
      <c r="J1625" s="3">
        <f>IF(ORIG!J1625=0,"",ORIG!J1625)</f>
        <v/>
      </c>
      <c r="K1625" s="3">
        <f>IF(ORIG!K1625=0,"",ORIG!K1625)</f>
        <v/>
      </c>
      <c r="L1625" s="3">
        <f>IF(ORIG!L1625=0,"",ORIG!L1625)</f>
        <v/>
      </c>
      <c r="M1625" s="3">
        <f>IF(ORIG!M1625=0,"",ORIG!M1625)</f>
        <v/>
      </c>
      <c r="N1625" s="3">
        <f>IF(ORIG!N1625=0,"",ORIG!N1625)</f>
        <v/>
      </c>
      <c r="O1625" s="3">
        <f>IF(ORIG!O1625=0,"",ORIG!O1625)</f>
        <v/>
      </c>
      <c r="P1625" s="3">
        <f>IF(ORIG!P1625=0,"",ORIG!P1625)</f>
        <v/>
      </c>
      <c r="Q1625" s="3">
        <f>IF(ORIG!Q1625=0,"",ORIG!Q1625)</f>
        <v/>
      </c>
      <c r="R1625" s="3">
        <f>IF(ORIG!R1625=0,"",ORIG!R1625)</f>
        <v/>
      </c>
      <c r="S1625" s="3">
        <f>IF(ORIG!S1625=0,"",ORIG!S1625)</f>
        <v/>
      </c>
      <c r="T1625" s="3">
        <f>IF(ORIG!T1625=0,"",ORIG!T1625)</f>
        <v/>
      </c>
      <c r="U1625" s="3">
        <f>IF(ORIG!U1625=0,"",ORIG!U1625)</f>
        <v/>
      </c>
      <c r="V1625" s="9">
        <f>IF(ORIG!V1625=0,"",ORIG!V1625)</f>
        <v/>
      </c>
      <c r="W1625" s="9">
        <f>IF(ORIG!W1625=0,"",ORIG!W1625)</f>
        <v/>
      </c>
      <c r="X1625" s="9">
        <f>IF(ORIG!X1625=0,"",ORIG!X1625)</f>
        <v/>
      </c>
      <c r="Y1625" s="9">
        <f>IF(ORIG!Y1625=0,"",ORIG!Y1625)</f>
        <v/>
      </c>
      <c r="Z1625" s="3">
        <f>SUMPRODUCT($B1625:$Y1625,$B$2649:$Y$2649)</f>
        <v/>
      </c>
      <c r="AA1625" s="3">
        <f>SUMPRODUCT($B1625:$Y1625,$B$2655:$Y$2655)</f>
        <v/>
      </c>
      <c r="AC1625" s="1">
        <f>A1625</f>
        <v/>
      </c>
      <c r="AD1625">
        <f>IF(ISNUMBER(V1625),V1625*($AB$1/V$2635),"")</f>
        <v/>
      </c>
      <c r="AE1625">
        <f>IF(ISNUMBER(Z1625),Z1625*($AB$1/Z$2635),"")</f>
        <v/>
      </c>
      <c r="AF1625" s="25">
        <f>IF(ISNUMBER(AD1625+AE1625),AD1625+AE1625,"")</f>
        <v/>
      </c>
      <c r="AH1625" s="1">
        <f>A1625</f>
        <v/>
      </c>
      <c r="AI1625">
        <f>IF(ISNUMBER((1+V1625)*AI1624),(1+V1625)*AI1624,AI1624)</f>
        <v/>
      </c>
      <c r="AJ1625">
        <f>IF(ISNUMBER((1+Z1625)*AJ1624),(1+Z1625)*AJ1624,AJ1624)</f>
        <v/>
      </c>
    </row>
    <row r="1626">
      <c r="A1626" s="1" t="n">
        <v>44362</v>
      </c>
      <c r="B1626" s="3">
        <f>IF(ORIG!B1626=0,"",ORIG!B1626)</f>
        <v/>
      </c>
      <c r="C1626" s="3">
        <f>IF(ORIG!C1626=0,"",ORIG!C1626)</f>
        <v/>
      </c>
      <c r="D1626" s="3">
        <f>IF(ORIG!D1626=0,"",ORIG!D1626)</f>
        <v/>
      </c>
      <c r="E1626" s="3">
        <f>IF(ORIG!E1626=0,"",ORIG!E1626)</f>
        <v/>
      </c>
      <c r="F1626" s="3">
        <f>IF(ORIG!F1626=0,"",ORIG!F1626)</f>
        <v/>
      </c>
      <c r="G1626" s="3">
        <f>IF(ORIG!G1626=0,"",ORIG!G1626)</f>
        <v/>
      </c>
      <c r="H1626" s="3">
        <f>IF(ORIG!H1626=0,"",ORIG!H1626)</f>
        <v/>
      </c>
      <c r="I1626" s="3">
        <f>IF(ORIG!I1626=0,"",ORIG!I1626)</f>
        <v/>
      </c>
      <c r="J1626" s="3">
        <f>IF(ORIG!J1626=0,"",ORIG!J1626)</f>
        <v/>
      </c>
      <c r="K1626" s="3">
        <f>IF(ORIG!K1626=0,"",ORIG!K1626)</f>
        <v/>
      </c>
      <c r="L1626" s="3">
        <f>IF(ORIG!L1626=0,"",ORIG!L1626)</f>
        <v/>
      </c>
      <c r="M1626" s="3">
        <f>IF(ORIG!M1626=0,"",ORIG!M1626)</f>
        <v/>
      </c>
      <c r="N1626" s="3">
        <f>IF(ORIG!N1626=0,"",ORIG!N1626)</f>
        <v/>
      </c>
      <c r="O1626" s="3">
        <f>IF(ORIG!O1626=0,"",ORIG!O1626)</f>
        <v/>
      </c>
      <c r="P1626" s="3">
        <f>IF(ORIG!P1626=0,"",ORIG!P1626)</f>
        <v/>
      </c>
      <c r="Q1626" s="3">
        <f>IF(ORIG!Q1626=0,"",ORIG!Q1626)</f>
        <v/>
      </c>
      <c r="R1626" s="3">
        <f>IF(ORIG!R1626=0,"",ORIG!R1626)</f>
        <v/>
      </c>
      <c r="S1626" s="3">
        <f>IF(ORIG!S1626=0,"",ORIG!S1626)</f>
        <v/>
      </c>
      <c r="T1626" s="3">
        <f>IF(ORIG!T1626=0,"",ORIG!T1626)</f>
        <v/>
      </c>
      <c r="U1626" s="3">
        <f>IF(ORIG!U1626=0,"",ORIG!U1626)</f>
        <v/>
      </c>
      <c r="V1626" s="9">
        <f>IF(ORIG!V1626=0,"",ORIG!V1626)</f>
        <v/>
      </c>
      <c r="W1626" s="9">
        <f>IF(ORIG!W1626=0,"",ORIG!W1626)</f>
        <v/>
      </c>
      <c r="X1626" s="9">
        <f>IF(ORIG!X1626=0,"",ORIG!X1626)</f>
        <v/>
      </c>
      <c r="Y1626" s="9">
        <f>IF(ORIG!Y1626=0,"",ORIG!Y1626)</f>
        <v/>
      </c>
      <c r="Z1626" s="3">
        <f>SUMPRODUCT($B1626:$Y1626,$B$2649:$Y$2649)</f>
        <v/>
      </c>
      <c r="AA1626" s="3">
        <f>SUMPRODUCT($B1626:$Y1626,$B$2655:$Y$2655)</f>
        <v/>
      </c>
      <c r="AC1626" s="1">
        <f>A1626</f>
        <v/>
      </c>
      <c r="AD1626">
        <f>IF(ISNUMBER(V1626),V1626*($AB$1/V$2635),"")</f>
        <v/>
      </c>
      <c r="AE1626">
        <f>IF(ISNUMBER(Z1626),Z1626*($AB$1/Z$2635),"")</f>
        <v/>
      </c>
      <c r="AF1626" s="25">
        <f>IF(ISNUMBER(AD1626+AE1626),AD1626+AE1626,"")</f>
        <v/>
      </c>
      <c r="AH1626" s="1">
        <f>A1626</f>
        <v/>
      </c>
      <c r="AI1626">
        <f>IF(ISNUMBER((1+V1626)*AI1625),(1+V1626)*AI1625,AI1625)</f>
        <v/>
      </c>
      <c r="AJ1626">
        <f>IF(ISNUMBER((1+Z1626)*AJ1625),(1+Z1626)*AJ1625,AJ1625)</f>
        <v/>
      </c>
    </row>
    <row r="1627">
      <c r="A1627" s="1" t="n">
        <v>44363</v>
      </c>
      <c r="B1627" s="3">
        <f>IF(ORIG!B1627=0,"",ORIG!B1627)</f>
        <v/>
      </c>
      <c r="C1627" s="3">
        <f>IF(ORIG!C1627=0,"",ORIG!C1627)</f>
        <v/>
      </c>
      <c r="D1627" s="3">
        <f>IF(ORIG!D1627=0,"",ORIG!D1627)</f>
        <v/>
      </c>
      <c r="E1627" s="3">
        <f>IF(ORIG!E1627=0,"",ORIG!E1627)</f>
        <v/>
      </c>
      <c r="F1627" s="3">
        <f>IF(ORIG!F1627=0,"",ORIG!F1627)</f>
        <v/>
      </c>
      <c r="G1627" s="3">
        <f>IF(ORIG!G1627=0,"",ORIG!G1627)</f>
        <v/>
      </c>
      <c r="H1627" s="3">
        <f>IF(ORIG!H1627=0,"",ORIG!H1627)</f>
        <v/>
      </c>
      <c r="I1627" s="3">
        <f>IF(ORIG!I1627=0,"",ORIG!I1627)</f>
        <v/>
      </c>
      <c r="J1627" s="3">
        <f>IF(ORIG!J1627=0,"",ORIG!J1627)</f>
        <v/>
      </c>
      <c r="K1627" s="3">
        <f>IF(ORIG!K1627=0,"",ORIG!K1627)</f>
        <v/>
      </c>
      <c r="L1627" s="3">
        <f>IF(ORIG!L1627=0,"",ORIG!L1627)</f>
        <v/>
      </c>
      <c r="M1627" s="3">
        <f>IF(ORIG!M1627=0,"",ORIG!M1627)</f>
        <v/>
      </c>
      <c r="N1627" s="3">
        <f>IF(ORIG!N1627=0,"",ORIG!N1627)</f>
        <v/>
      </c>
      <c r="O1627" s="3">
        <f>IF(ORIG!O1627=0,"",ORIG!O1627)</f>
        <v/>
      </c>
      <c r="P1627" s="3">
        <f>IF(ORIG!P1627=0,"",ORIG!P1627)</f>
        <v/>
      </c>
      <c r="Q1627" s="3">
        <f>IF(ORIG!Q1627=0,"",ORIG!Q1627)</f>
        <v/>
      </c>
      <c r="R1627" s="3">
        <f>IF(ORIG!R1627=0,"",ORIG!R1627)</f>
        <v/>
      </c>
      <c r="S1627" s="3">
        <f>IF(ORIG!S1627=0,"",ORIG!S1627)</f>
        <v/>
      </c>
      <c r="T1627" s="3">
        <f>IF(ORIG!T1627=0,"",ORIG!T1627)</f>
        <v/>
      </c>
      <c r="U1627" s="3">
        <f>IF(ORIG!U1627=0,"",ORIG!U1627)</f>
        <v/>
      </c>
      <c r="V1627" s="9">
        <f>IF(ORIG!V1627=0,"",ORIG!V1627)</f>
        <v/>
      </c>
      <c r="W1627" s="9">
        <f>IF(ORIG!W1627=0,"",ORIG!W1627)</f>
        <v/>
      </c>
      <c r="X1627" s="9">
        <f>IF(ORIG!X1627=0,"",ORIG!X1627)</f>
        <v/>
      </c>
      <c r="Y1627" s="9">
        <f>IF(ORIG!Y1627=0,"",ORIG!Y1627)</f>
        <v/>
      </c>
      <c r="Z1627" s="3">
        <f>SUMPRODUCT($B1627:$Y1627,$B$2649:$Y$2649)</f>
        <v/>
      </c>
      <c r="AA1627" s="3">
        <f>SUMPRODUCT($B1627:$Y1627,$B$2655:$Y$2655)</f>
        <v/>
      </c>
      <c r="AC1627" s="1">
        <f>A1627</f>
        <v/>
      </c>
      <c r="AD1627">
        <f>IF(ISNUMBER(V1627),V1627*($AB$1/V$2635),"")</f>
        <v/>
      </c>
      <c r="AE1627">
        <f>IF(ISNUMBER(Z1627),Z1627*($AB$1/Z$2635),"")</f>
        <v/>
      </c>
      <c r="AF1627" s="25">
        <f>IF(ISNUMBER(AD1627+AE1627),AD1627+AE1627,"")</f>
        <v/>
      </c>
      <c r="AH1627" s="1">
        <f>A1627</f>
        <v/>
      </c>
      <c r="AI1627">
        <f>IF(ISNUMBER((1+V1627)*AI1626),(1+V1627)*AI1626,AI1626)</f>
        <v/>
      </c>
      <c r="AJ1627">
        <f>IF(ISNUMBER((1+Z1627)*AJ1626),(1+Z1627)*AJ1626,AJ1626)</f>
        <v/>
      </c>
    </row>
    <row r="1628">
      <c r="A1628" s="1" t="n">
        <v>44364</v>
      </c>
      <c r="B1628" s="3">
        <f>IF(ORIG!B1628=0,"",ORIG!B1628)</f>
        <v/>
      </c>
      <c r="C1628" s="3">
        <f>IF(ORIG!C1628=0,"",ORIG!C1628)</f>
        <v/>
      </c>
      <c r="D1628" s="3">
        <f>IF(ORIG!D1628=0,"",ORIG!D1628)</f>
        <v/>
      </c>
      <c r="E1628" s="3">
        <f>IF(ORIG!E1628=0,"",ORIG!E1628)</f>
        <v/>
      </c>
      <c r="F1628" s="3">
        <f>IF(ORIG!F1628=0,"",ORIG!F1628)</f>
        <v/>
      </c>
      <c r="G1628" s="3">
        <f>IF(ORIG!G1628=0,"",ORIG!G1628)</f>
        <v/>
      </c>
      <c r="H1628" s="3">
        <f>IF(ORIG!H1628=0,"",ORIG!H1628)</f>
        <v/>
      </c>
      <c r="I1628" s="3">
        <f>IF(ORIG!I1628=0,"",ORIG!I1628)</f>
        <v/>
      </c>
      <c r="J1628" s="3">
        <f>IF(ORIG!J1628=0,"",ORIG!J1628)</f>
        <v/>
      </c>
      <c r="K1628" s="3">
        <f>IF(ORIG!K1628=0,"",ORIG!K1628)</f>
        <v/>
      </c>
      <c r="L1628" s="3">
        <f>IF(ORIG!L1628=0,"",ORIG!L1628)</f>
        <v/>
      </c>
      <c r="M1628" s="3">
        <f>IF(ORIG!M1628=0,"",ORIG!M1628)</f>
        <v/>
      </c>
      <c r="N1628" s="3">
        <f>IF(ORIG!N1628=0,"",ORIG!N1628)</f>
        <v/>
      </c>
      <c r="O1628" s="3">
        <f>IF(ORIG!O1628=0,"",ORIG!O1628)</f>
        <v/>
      </c>
      <c r="P1628" s="3">
        <f>IF(ORIG!P1628=0,"",ORIG!P1628)</f>
        <v/>
      </c>
      <c r="Q1628" s="3">
        <f>IF(ORIG!Q1628=0,"",ORIG!Q1628)</f>
        <v/>
      </c>
      <c r="R1628" s="3">
        <f>IF(ORIG!R1628=0,"",ORIG!R1628)</f>
        <v/>
      </c>
      <c r="S1628" s="3">
        <f>IF(ORIG!S1628=0,"",ORIG!S1628)</f>
        <v/>
      </c>
      <c r="T1628" s="3">
        <f>IF(ORIG!T1628=0,"",ORIG!T1628)</f>
        <v/>
      </c>
      <c r="U1628" s="3">
        <f>IF(ORIG!U1628=0,"",ORIG!U1628)</f>
        <v/>
      </c>
      <c r="V1628" s="9">
        <f>IF(ORIG!V1628=0,"",ORIG!V1628)</f>
        <v/>
      </c>
      <c r="W1628" s="9">
        <f>IF(ORIG!W1628=0,"",ORIG!W1628)</f>
        <v/>
      </c>
      <c r="X1628" s="9">
        <f>IF(ORIG!X1628=0,"",ORIG!X1628)</f>
        <v/>
      </c>
      <c r="Y1628" s="9">
        <f>IF(ORIG!Y1628=0,"",ORIG!Y1628)</f>
        <v/>
      </c>
      <c r="Z1628" s="3">
        <f>SUMPRODUCT($B1628:$Y1628,$B$2649:$Y$2649)</f>
        <v/>
      </c>
      <c r="AA1628" s="3">
        <f>SUMPRODUCT($B1628:$Y1628,$B$2655:$Y$2655)</f>
        <v/>
      </c>
      <c r="AC1628" s="1">
        <f>A1628</f>
        <v/>
      </c>
      <c r="AD1628">
        <f>IF(ISNUMBER(V1628),V1628*($AB$1/V$2635),"")</f>
        <v/>
      </c>
      <c r="AE1628">
        <f>IF(ISNUMBER(Z1628),Z1628*($AB$1/Z$2635),"")</f>
        <v/>
      </c>
      <c r="AF1628" s="25">
        <f>IF(ISNUMBER(AD1628+AE1628),AD1628+AE1628,"")</f>
        <v/>
      </c>
      <c r="AH1628" s="1">
        <f>A1628</f>
        <v/>
      </c>
      <c r="AI1628">
        <f>IF(ISNUMBER((1+V1628)*AI1627),(1+V1628)*AI1627,AI1627)</f>
        <v/>
      </c>
      <c r="AJ1628">
        <f>IF(ISNUMBER((1+Z1628)*AJ1627),(1+Z1628)*AJ1627,AJ1627)</f>
        <v/>
      </c>
    </row>
    <row r="1629">
      <c r="A1629" s="1" t="n">
        <v>44365</v>
      </c>
      <c r="B1629" s="3">
        <f>IF(ORIG!B1629=0,"",ORIG!B1629)</f>
        <v/>
      </c>
      <c r="C1629" s="3">
        <f>IF(ORIG!C1629=0,"",ORIG!C1629)</f>
        <v/>
      </c>
      <c r="D1629" s="3">
        <f>IF(ORIG!D1629=0,"",ORIG!D1629)</f>
        <v/>
      </c>
      <c r="E1629" s="3">
        <f>IF(ORIG!E1629=0,"",ORIG!E1629)</f>
        <v/>
      </c>
      <c r="F1629" s="3">
        <f>IF(ORIG!F1629=0,"",ORIG!F1629)</f>
        <v/>
      </c>
      <c r="G1629" s="3">
        <f>IF(ORIG!G1629=0,"",ORIG!G1629)</f>
        <v/>
      </c>
      <c r="H1629" s="3">
        <f>IF(ORIG!H1629=0,"",ORIG!H1629)</f>
        <v/>
      </c>
      <c r="I1629" s="3">
        <f>IF(ORIG!I1629=0,"",ORIG!I1629)</f>
        <v/>
      </c>
      <c r="J1629" s="3">
        <f>IF(ORIG!J1629=0,"",ORIG!J1629)</f>
        <v/>
      </c>
      <c r="K1629" s="3">
        <f>IF(ORIG!K1629=0,"",ORIG!K1629)</f>
        <v/>
      </c>
      <c r="L1629" s="3">
        <f>IF(ORIG!L1629=0,"",ORIG!L1629)</f>
        <v/>
      </c>
      <c r="M1629" s="3">
        <f>IF(ORIG!M1629=0,"",ORIG!M1629)</f>
        <v/>
      </c>
      <c r="N1629" s="3">
        <f>IF(ORIG!N1629=0,"",ORIG!N1629)</f>
        <v/>
      </c>
      <c r="O1629" s="3">
        <f>IF(ORIG!O1629=0,"",ORIG!O1629)</f>
        <v/>
      </c>
      <c r="P1629" s="3">
        <f>IF(ORIG!P1629=0,"",ORIG!P1629)</f>
        <v/>
      </c>
      <c r="Q1629" s="3">
        <f>IF(ORIG!Q1629=0,"",ORIG!Q1629)</f>
        <v/>
      </c>
      <c r="R1629" s="3">
        <f>IF(ORIG!R1629=0,"",ORIG!R1629)</f>
        <v/>
      </c>
      <c r="S1629" s="3">
        <f>IF(ORIG!S1629=0,"",ORIG!S1629)</f>
        <v/>
      </c>
      <c r="T1629" s="3">
        <f>IF(ORIG!T1629=0,"",ORIG!T1629)</f>
        <v/>
      </c>
      <c r="U1629" s="3">
        <f>IF(ORIG!U1629=0,"",ORIG!U1629)</f>
        <v/>
      </c>
      <c r="V1629" s="9">
        <f>IF(ORIG!V1629=0,"",ORIG!V1629)</f>
        <v/>
      </c>
      <c r="W1629" s="9">
        <f>IF(ORIG!W1629=0,"",ORIG!W1629)</f>
        <v/>
      </c>
      <c r="X1629" s="9">
        <f>IF(ORIG!X1629=0,"",ORIG!X1629)</f>
        <v/>
      </c>
      <c r="Y1629" s="9">
        <f>IF(ORIG!Y1629=0,"",ORIG!Y1629)</f>
        <v/>
      </c>
      <c r="Z1629" s="3">
        <f>SUMPRODUCT($B1629:$Y1629,$B$2649:$Y$2649)</f>
        <v/>
      </c>
      <c r="AA1629" s="3">
        <f>SUMPRODUCT($B1629:$Y1629,$B$2655:$Y$2655)</f>
        <v/>
      </c>
      <c r="AC1629" s="1">
        <f>A1629</f>
        <v/>
      </c>
      <c r="AD1629">
        <f>IF(ISNUMBER(V1629),V1629*($AB$1/V$2635),"")</f>
        <v/>
      </c>
      <c r="AE1629">
        <f>IF(ISNUMBER(Z1629),Z1629*($AB$1/Z$2635),"")</f>
        <v/>
      </c>
      <c r="AF1629" s="25">
        <f>IF(ISNUMBER(AD1629+AE1629),AD1629+AE1629,"")</f>
        <v/>
      </c>
      <c r="AH1629" s="1">
        <f>A1629</f>
        <v/>
      </c>
      <c r="AI1629">
        <f>IF(ISNUMBER((1+V1629)*AI1628),(1+V1629)*AI1628,AI1628)</f>
        <v/>
      </c>
      <c r="AJ1629">
        <f>IF(ISNUMBER((1+Z1629)*AJ1628),(1+Z1629)*AJ1628,AJ1628)</f>
        <v/>
      </c>
    </row>
    <row r="1630">
      <c r="A1630" s="1" t="n">
        <v>44368</v>
      </c>
      <c r="B1630" s="3">
        <f>IF(ORIG!B1630=0,"",ORIG!B1630)</f>
        <v/>
      </c>
      <c r="C1630" s="3">
        <f>IF(ORIG!C1630=0,"",ORIG!C1630)</f>
        <v/>
      </c>
      <c r="D1630" s="3">
        <f>IF(ORIG!D1630=0,"",ORIG!D1630)</f>
        <v/>
      </c>
      <c r="E1630" s="3">
        <f>IF(ORIG!E1630=0,"",ORIG!E1630)</f>
        <v/>
      </c>
      <c r="F1630" s="3">
        <f>IF(ORIG!F1630=0,"",ORIG!F1630)</f>
        <v/>
      </c>
      <c r="G1630" s="3">
        <f>IF(ORIG!G1630=0,"",ORIG!G1630)</f>
        <v/>
      </c>
      <c r="H1630" s="3">
        <f>IF(ORIG!H1630=0,"",ORIG!H1630)</f>
        <v/>
      </c>
      <c r="I1630" s="3">
        <f>IF(ORIG!I1630=0,"",ORIG!I1630)</f>
        <v/>
      </c>
      <c r="J1630" s="3">
        <f>IF(ORIG!J1630=0,"",ORIG!J1630)</f>
        <v/>
      </c>
      <c r="K1630" s="3">
        <f>IF(ORIG!K1630=0,"",ORIG!K1630)</f>
        <v/>
      </c>
      <c r="L1630" s="3">
        <f>IF(ORIG!L1630=0,"",ORIG!L1630)</f>
        <v/>
      </c>
      <c r="M1630" s="3">
        <f>IF(ORIG!M1630=0,"",ORIG!M1630)</f>
        <v/>
      </c>
      <c r="N1630" s="3">
        <f>IF(ORIG!N1630=0,"",ORIG!N1630)</f>
        <v/>
      </c>
      <c r="O1630" s="3">
        <f>IF(ORIG!O1630=0,"",ORIG!O1630)</f>
        <v/>
      </c>
      <c r="P1630" s="3">
        <f>IF(ORIG!P1630=0,"",ORIG!P1630)</f>
        <v/>
      </c>
      <c r="Q1630" s="3">
        <f>IF(ORIG!Q1630=0,"",ORIG!Q1630)</f>
        <v/>
      </c>
      <c r="R1630" s="3">
        <f>IF(ORIG!R1630=0,"",ORIG!R1630)</f>
        <v/>
      </c>
      <c r="S1630" s="3">
        <f>IF(ORIG!S1630=0,"",ORIG!S1630)</f>
        <v/>
      </c>
      <c r="T1630" s="3">
        <f>IF(ORIG!T1630=0,"",ORIG!T1630)</f>
        <v/>
      </c>
      <c r="U1630" s="3">
        <f>IF(ORIG!U1630=0,"",ORIG!U1630)</f>
        <v/>
      </c>
      <c r="V1630" s="9">
        <f>IF(ORIG!V1630=0,"",ORIG!V1630)</f>
        <v/>
      </c>
      <c r="W1630" s="9">
        <f>IF(ORIG!W1630=0,"",ORIG!W1630)</f>
        <v/>
      </c>
      <c r="X1630" s="9">
        <f>IF(ORIG!X1630=0,"",ORIG!X1630)</f>
        <v/>
      </c>
      <c r="Y1630" s="9">
        <f>IF(ORIG!Y1630=0,"",ORIG!Y1630)</f>
        <v/>
      </c>
      <c r="Z1630" s="3">
        <f>SUMPRODUCT($B1630:$Y1630,$B$2649:$Y$2649)</f>
        <v/>
      </c>
      <c r="AA1630" s="3">
        <f>SUMPRODUCT($B1630:$Y1630,$B$2655:$Y$2655)</f>
        <v/>
      </c>
      <c r="AC1630" s="1">
        <f>A1630</f>
        <v/>
      </c>
      <c r="AD1630">
        <f>IF(ISNUMBER(V1630),V1630*($AB$1/V$2635),"")</f>
        <v/>
      </c>
      <c r="AE1630">
        <f>IF(ISNUMBER(Z1630),Z1630*($AB$1/Z$2635),"")</f>
        <v/>
      </c>
      <c r="AF1630" s="25">
        <f>IF(ISNUMBER(AD1630+AE1630),AD1630+AE1630,"")</f>
        <v/>
      </c>
      <c r="AH1630" s="1">
        <f>A1630</f>
        <v/>
      </c>
      <c r="AI1630">
        <f>IF(ISNUMBER((1+V1630)*AI1629),(1+V1630)*AI1629,AI1629)</f>
        <v/>
      </c>
      <c r="AJ1630">
        <f>IF(ISNUMBER((1+Z1630)*AJ1629),(1+Z1630)*AJ1629,AJ1629)</f>
        <v/>
      </c>
    </row>
    <row r="1631">
      <c r="A1631" s="1" t="n">
        <v>44369</v>
      </c>
      <c r="B1631" s="3">
        <f>IF(ORIG!B1631=0,"",ORIG!B1631)</f>
        <v/>
      </c>
      <c r="C1631" s="3">
        <f>IF(ORIG!C1631=0,"",ORIG!C1631)</f>
        <v/>
      </c>
      <c r="D1631" s="3">
        <f>IF(ORIG!D1631=0,"",ORIG!D1631)</f>
        <v/>
      </c>
      <c r="E1631" s="3">
        <f>IF(ORIG!E1631=0,"",ORIG!E1631)</f>
        <v/>
      </c>
      <c r="F1631" s="3">
        <f>IF(ORIG!F1631=0,"",ORIG!F1631)</f>
        <v/>
      </c>
      <c r="G1631" s="3">
        <f>IF(ORIG!G1631=0,"",ORIG!G1631)</f>
        <v/>
      </c>
      <c r="H1631" s="3">
        <f>IF(ORIG!H1631=0,"",ORIG!H1631)</f>
        <v/>
      </c>
      <c r="I1631" s="3">
        <f>IF(ORIG!I1631=0,"",ORIG!I1631)</f>
        <v/>
      </c>
      <c r="J1631" s="3">
        <f>IF(ORIG!J1631=0,"",ORIG!J1631)</f>
        <v/>
      </c>
      <c r="K1631" s="3">
        <f>IF(ORIG!K1631=0,"",ORIG!K1631)</f>
        <v/>
      </c>
      <c r="L1631" s="3">
        <f>IF(ORIG!L1631=0,"",ORIG!L1631)</f>
        <v/>
      </c>
      <c r="M1631" s="3">
        <f>IF(ORIG!M1631=0,"",ORIG!M1631)</f>
        <v/>
      </c>
      <c r="N1631" s="3">
        <f>IF(ORIG!N1631=0,"",ORIG!N1631)</f>
        <v/>
      </c>
      <c r="O1631" s="3">
        <f>IF(ORIG!O1631=0,"",ORIG!O1631)</f>
        <v/>
      </c>
      <c r="P1631" s="3">
        <f>IF(ORIG!P1631=0,"",ORIG!P1631)</f>
        <v/>
      </c>
      <c r="Q1631" s="3">
        <f>IF(ORIG!Q1631=0,"",ORIG!Q1631)</f>
        <v/>
      </c>
      <c r="R1631" s="3">
        <f>IF(ORIG!R1631=0,"",ORIG!R1631)</f>
        <v/>
      </c>
      <c r="S1631" s="3">
        <f>IF(ORIG!S1631=0,"",ORIG!S1631)</f>
        <v/>
      </c>
      <c r="T1631" s="3">
        <f>IF(ORIG!T1631=0,"",ORIG!T1631)</f>
        <v/>
      </c>
      <c r="U1631" s="3">
        <f>IF(ORIG!U1631=0,"",ORIG!U1631)</f>
        <v/>
      </c>
      <c r="V1631" s="9">
        <f>IF(ORIG!V1631=0,"",ORIG!V1631)</f>
        <v/>
      </c>
      <c r="W1631" s="9">
        <f>IF(ORIG!W1631=0,"",ORIG!W1631)</f>
        <v/>
      </c>
      <c r="X1631" s="9">
        <f>IF(ORIG!X1631=0,"",ORIG!X1631)</f>
        <v/>
      </c>
      <c r="Y1631" s="9">
        <f>IF(ORIG!Y1631=0,"",ORIG!Y1631)</f>
        <v/>
      </c>
      <c r="Z1631" s="3">
        <f>SUMPRODUCT($B1631:$Y1631,$B$2649:$Y$2649)</f>
        <v/>
      </c>
      <c r="AA1631" s="3">
        <f>SUMPRODUCT($B1631:$Y1631,$B$2655:$Y$2655)</f>
        <v/>
      </c>
      <c r="AC1631" s="1">
        <f>A1631</f>
        <v/>
      </c>
      <c r="AD1631">
        <f>IF(ISNUMBER(V1631),V1631*($AB$1/V$2635),"")</f>
        <v/>
      </c>
      <c r="AE1631">
        <f>IF(ISNUMBER(Z1631),Z1631*($AB$1/Z$2635),"")</f>
        <v/>
      </c>
      <c r="AF1631" s="25">
        <f>IF(ISNUMBER(AD1631+AE1631),AD1631+AE1631,"")</f>
        <v/>
      </c>
      <c r="AH1631" s="1">
        <f>A1631</f>
        <v/>
      </c>
      <c r="AI1631">
        <f>IF(ISNUMBER((1+V1631)*AI1630),(1+V1631)*AI1630,AI1630)</f>
        <v/>
      </c>
      <c r="AJ1631">
        <f>IF(ISNUMBER((1+Z1631)*AJ1630),(1+Z1631)*AJ1630,AJ1630)</f>
        <v/>
      </c>
    </row>
    <row r="1632">
      <c r="A1632" s="1" t="n">
        <v>44370</v>
      </c>
      <c r="B1632" s="3">
        <f>IF(ORIG!B1632=0,"",ORIG!B1632)</f>
        <v/>
      </c>
      <c r="C1632" s="3">
        <f>IF(ORIG!C1632=0,"",ORIG!C1632)</f>
        <v/>
      </c>
      <c r="D1632" s="3">
        <f>IF(ORIG!D1632=0,"",ORIG!D1632)</f>
        <v/>
      </c>
      <c r="E1632" s="3">
        <f>IF(ORIG!E1632=0,"",ORIG!E1632)</f>
        <v/>
      </c>
      <c r="F1632" s="3">
        <f>IF(ORIG!F1632=0,"",ORIG!F1632)</f>
        <v/>
      </c>
      <c r="G1632" s="3">
        <f>IF(ORIG!G1632=0,"",ORIG!G1632)</f>
        <v/>
      </c>
      <c r="H1632" s="3">
        <f>IF(ORIG!H1632=0,"",ORIG!H1632)</f>
        <v/>
      </c>
      <c r="I1632" s="3">
        <f>IF(ORIG!I1632=0,"",ORIG!I1632)</f>
        <v/>
      </c>
      <c r="J1632" s="3">
        <f>IF(ORIG!J1632=0,"",ORIG!J1632)</f>
        <v/>
      </c>
      <c r="K1632" s="3">
        <f>IF(ORIG!K1632=0,"",ORIG!K1632)</f>
        <v/>
      </c>
      <c r="L1632" s="3">
        <f>IF(ORIG!L1632=0,"",ORIG!L1632)</f>
        <v/>
      </c>
      <c r="M1632" s="3">
        <f>IF(ORIG!M1632=0,"",ORIG!M1632)</f>
        <v/>
      </c>
      <c r="N1632" s="3">
        <f>IF(ORIG!N1632=0,"",ORIG!N1632)</f>
        <v/>
      </c>
      <c r="O1632" s="3">
        <f>IF(ORIG!O1632=0,"",ORIG!O1632)</f>
        <v/>
      </c>
      <c r="P1632" s="3">
        <f>IF(ORIG!P1632=0,"",ORIG!P1632)</f>
        <v/>
      </c>
      <c r="Q1632" s="3">
        <f>IF(ORIG!Q1632=0,"",ORIG!Q1632)</f>
        <v/>
      </c>
      <c r="R1632" s="3">
        <f>IF(ORIG!R1632=0,"",ORIG!R1632)</f>
        <v/>
      </c>
      <c r="S1632" s="3">
        <f>IF(ORIG!S1632=0,"",ORIG!S1632)</f>
        <v/>
      </c>
      <c r="T1632" s="3">
        <f>IF(ORIG!T1632=0,"",ORIG!T1632)</f>
        <v/>
      </c>
      <c r="U1632" s="3">
        <f>IF(ORIG!U1632=0,"",ORIG!U1632)</f>
        <v/>
      </c>
      <c r="V1632" s="9">
        <f>IF(ORIG!V1632=0,"",ORIG!V1632)</f>
        <v/>
      </c>
      <c r="W1632" s="9">
        <f>IF(ORIG!W1632=0,"",ORIG!W1632)</f>
        <v/>
      </c>
      <c r="X1632" s="9">
        <f>IF(ORIG!X1632=0,"",ORIG!X1632)</f>
        <v/>
      </c>
      <c r="Y1632" s="9">
        <f>IF(ORIG!Y1632=0,"",ORIG!Y1632)</f>
        <v/>
      </c>
      <c r="Z1632" s="3">
        <f>SUMPRODUCT($B1632:$Y1632,$B$2649:$Y$2649)</f>
        <v/>
      </c>
      <c r="AA1632" s="3">
        <f>SUMPRODUCT($B1632:$Y1632,$B$2655:$Y$2655)</f>
        <v/>
      </c>
      <c r="AC1632" s="1">
        <f>A1632</f>
        <v/>
      </c>
      <c r="AD1632">
        <f>IF(ISNUMBER(V1632),V1632*($AB$1/V$2635),"")</f>
        <v/>
      </c>
      <c r="AE1632">
        <f>IF(ISNUMBER(Z1632),Z1632*($AB$1/Z$2635),"")</f>
        <v/>
      </c>
      <c r="AF1632" s="25">
        <f>IF(ISNUMBER(AD1632+AE1632),AD1632+AE1632,"")</f>
        <v/>
      </c>
      <c r="AH1632" s="1">
        <f>A1632</f>
        <v/>
      </c>
      <c r="AI1632">
        <f>IF(ISNUMBER((1+V1632)*AI1631),(1+V1632)*AI1631,AI1631)</f>
        <v/>
      </c>
      <c r="AJ1632">
        <f>IF(ISNUMBER((1+Z1632)*AJ1631),(1+Z1632)*AJ1631,AJ1631)</f>
        <v/>
      </c>
    </row>
    <row r="1633">
      <c r="A1633" s="1" t="n">
        <v>44371</v>
      </c>
      <c r="B1633" s="3">
        <f>IF(ORIG!B1633=0,"",ORIG!B1633)</f>
        <v/>
      </c>
      <c r="C1633" s="3">
        <f>IF(ORIG!C1633=0,"",ORIG!C1633)</f>
        <v/>
      </c>
      <c r="D1633" s="3">
        <f>IF(ORIG!D1633=0,"",ORIG!D1633)</f>
        <v/>
      </c>
      <c r="E1633" s="3">
        <f>IF(ORIG!E1633=0,"",ORIG!E1633)</f>
        <v/>
      </c>
      <c r="F1633" s="3">
        <f>IF(ORIG!F1633=0,"",ORIG!F1633)</f>
        <v/>
      </c>
      <c r="G1633" s="3">
        <f>IF(ORIG!G1633=0,"",ORIG!G1633)</f>
        <v/>
      </c>
      <c r="H1633" s="3">
        <f>IF(ORIG!H1633=0,"",ORIG!H1633)</f>
        <v/>
      </c>
      <c r="I1633" s="3">
        <f>IF(ORIG!I1633=0,"",ORIG!I1633)</f>
        <v/>
      </c>
      <c r="J1633" s="3">
        <f>IF(ORIG!J1633=0,"",ORIG!J1633)</f>
        <v/>
      </c>
      <c r="K1633" s="3">
        <f>IF(ORIG!K1633=0,"",ORIG!K1633)</f>
        <v/>
      </c>
      <c r="L1633" s="3">
        <f>IF(ORIG!L1633=0,"",ORIG!L1633)</f>
        <v/>
      </c>
      <c r="M1633" s="3">
        <f>IF(ORIG!M1633=0,"",ORIG!M1633)</f>
        <v/>
      </c>
      <c r="N1633" s="3">
        <f>IF(ORIG!N1633=0,"",ORIG!N1633)</f>
        <v/>
      </c>
      <c r="O1633" s="3">
        <f>IF(ORIG!O1633=0,"",ORIG!O1633)</f>
        <v/>
      </c>
      <c r="P1633" s="3">
        <f>IF(ORIG!P1633=0,"",ORIG!P1633)</f>
        <v/>
      </c>
      <c r="Q1633" s="3">
        <f>IF(ORIG!Q1633=0,"",ORIG!Q1633)</f>
        <v/>
      </c>
      <c r="R1633" s="3">
        <f>IF(ORIG!R1633=0,"",ORIG!R1633)</f>
        <v/>
      </c>
      <c r="S1633" s="3">
        <f>IF(ORIG!S1633=0,"",ORIG!S1633)</f>
        <v/>
      </c>
      <c r="T1633" s="3">
        <f>IF(ORIG!T1633=0,"",ORIG!T1633)</f>
        <v/>
      </c>
      <c r="U1633" s="3">
        <f>IF(ORIG!U1633=0,"",ORIG!U1633)</f>
        <v/>
      </c>
      <c r="V1633" s="9">
        <f>IF(ORIG!V1633=0,"",ORIG!V1633)</f>
        <v/>
      </c>
      <c r="W1633" s="9">
        <f>IF(ORIG!W1633=0,"",ORIG!W1633)</f>
        <v/>
      </c>
      <c r="X1633" s="9">
        <f>IF(ORIG!X1633=0,"",ORIG!X1633)</f>
        <v/>
      </c>
      <c r="Y1633" s="9">
        <f>IF(ORIG!Y1633=0,"",ORIG!Y1633)</f>
        <v/>
      </c>
      <c r="Z1633" s="3">
        <f>SUMPRODUCT($B1633:$Y1633,$B$2649:$Y$2649)</f>
        <v/>
      </c>
      <c r="AA1633" s="3">
        <f>SUMPRODUCT($B1633:$Y1633,$B$2655:$Y$2655)</f>
        <v/>
      </c>
      <c r="AC1633" s="1">
        <f>A1633</f>
        <v/>
      </c>
      <c r="AD1633">
        <f>IF(ISNUMBER(V1633),V1633*($AB$1/V$2635),"")</f>
        <v/>
      </c>
      <c r="AE1633">
        <f>IF(ISNUMBER(Z1633),Z1633*($AB$1/Z$2635),"")</f>
        <v/>
      </c>
      <c r="AF1633" s="25">
        <f>IF(ISNUMBER(AD1633+AE1633),AD1633+AE1633,"")</f>
        <v/>
      </c>
      <c r="AH1633" s="1">
        <f>A1633</f>
        <v/>
      </c>
      <c r="AI1633">
        <f>IF(ISNUMBER((1+V1633)*AI1632),(1+V1633)*AI1632,AI1632)</f>
        <v/>
      </c>
      <c r="AJ1633">
        <f>IF(ISNUMBER((1+Z1633)*AJ1632),(1+Z1633)*AJ1632,AJ1632)</f>
        <v/>
      </c>
    </row>
    <row r="1634">
      <c r="A1634" s="1" t="n">
        <v>44372</v>
      </c>
      <c r="B1634" s="3">
        <f>IF(ORIG!B1634=0,"",ORIG!B1634)</f>
        <v/>
      </c>
      <c r="C1634" s="3">
        <f>IF(ORIG!C1634=0,"",ORIG!C1634)</f>
        <v/>
      </c>
      <c r="D1634" s="3">
        <f>IF(ORIG!D1634=0,"",ORIG!D1634)</f>
        <v/>
      </c>
      <c r="E1634" s="3">
        <f>IF(ORIG!E1634=0,"",ORIG!E1634)</f>
        <v/>
      </c>
      <c r="F1634" s="3">
        <f>IF(ORIG!F1634=0,"",ORIG!F1634)</f>
        <v/>
      </c>
      <c r="G1634" s="3">
        <f>IF(ORIG!G1634=0,"",ORIG!G1634)</f>
        <v/>
      </c>
      <c r="H1634" s="3">
        <f>IF(ORIG!H1634=0,"",ORIG!H1634)</f>
        <v/>
      </c>
      <c r="I1634" s="3">
        <f>IF(ORIG!I1634=0,"",ORIG!I1634)</f>
        <v/>
      </c>
      <c r="J1634" s="3">
        <f>IF(ORIG!J1634=0,"",ORIG!J1634)</f>
        <v/>
      </c>
      <c r="K1634" s="3">
        <f>IF(ORIG!K1634=0,"",ORIG!K1634)</f>
        <v/>
      </c>
      <c r="L1634" s="3">
        <f>IF(ORIG!L1634=0,"",ORIG!L1634)</f>
        <v/>
      </c>
      <c r="M1634" s="3">
        <f>IF(ORIG!M1634=0,"",ORIG!M1634)</f>
        <v/>
      </c>
      <c r="N1634" s="3">
        <f>IF(ORIG!N1634=0,"",ORIG!N1634)</f>
        <v/>
      </c>
      <c r="O1634" s="3">
        <f>IF(ORIG!O1634=0,"",ORIG!O1634)</f>
        <v/>
      </c>
      <c r="P1634" s="3">
        <f>IF(ORIG!P1634=0,"",ORIG!P1634)</f>
        <v/>
      </c>
      <c r="Q1634" s="3">
        <f>IF(ORIG!Q1634=0,"",ORIG!Q1634)</f>
        <v/>
      </c>
      <c r="R1634" s="3">
        <f>IF(ORIG!R1634=0,"",ORIG!R1634)</f>
        <v/>
      </c>
      <c r="S1634" s="3">
        <f>IF(ORIG!S1634=0,"",ORIG!S1634)</f>
        <v/>
      </c>
      <c r="T1634" s="3">
        <f>IF(ORIG!T1634=0,"",ORIG!T1634)</f>
        <v/>
      </c>
      <c r="U1634" s="3">
        <f>IF(ORIG!U1634=0,"",ORIG!U1634)</f>
        <v/>
      </c>
      <c r="V1634" s="9">
        <f>IF(ORIG!V1634=0,"",ORIG!V1634)</f>
        <v/>
      </c>
      <c r="W1634" s="9">
        <f>IF(ORIG!W1634=0,"",ORIG!W1634)</f>
        <v/>
      </c>
      <c r="X1634" s="9">
        <f>IF(ORIG!X1634=0,"",ORIG!X1634)</f>
        <v/>
      </c>
      <c r="Y1634" s="9">
        <f>IF(ORIG!Y1634=0,"",ORIG!Y1634)</f>
        <v/>
      </c>
      <c r="Z1634" s="3">
        <f>SUMPRODUCT($B1634:$Y1634,$B$2649:$Y$2649)</f>
        <v/>
      </c>
      <c r="AA1634" s="3">
        <f>SUMPRODUCT($B1634:$Y1634,$B$2655:$Y$2655)</f>
        <v/>
      </c>
      <c r="AC1634" s="1">
        <f>A1634</f>
        <v/>
      </c>
      <c r="AD1634">
        <f>IF(ISNUMBER(V1634),V1634*($AB$1/V$2635),"")</f>
        <v/>
      </c>
      <c r="AE1634">
        <f>IF(ISNUMBER(Z1634),Z1634*($AB$1/Z$2635),"")</f>
        <v/>
      </c>
      <c r="AF1634" s="25">
        <f>IF(ISNUMBER(AD1634+AE1634),AD1634+AE1634,"")</f>
        <v/>
      </c>
      <c r="AH1634" s="1">
        <f>A1634</f>
        <v/>
      </c>
      <c r="AI1634">
        <f>IF(ISNUMBER((1+V1634)*AI1633),(1+V1634)*AI1633,AI1633)</f>
        <v/>
      </c>
      <c r="AJ1634">
        <f>IF(ISNUMBER((1+Z1634)*AJ1633),(1+Z1634)*AJ1633,AJ1633)</f>
        <v/>
      </c>
    </row>
    <row r="1635">
      <c r="A1635" s="1" t="n">
        <v>44375</v>
      </c>
      <c r="B1635" s="3">
        <f>IF(ORIG!B1635=0,"",ORIG!B1635)</f>
        <v/>
      </c>
      <c r="C1635" s="3">
        <f>IF(ORIG!C1635=0,"",ORIG!C1635)</f>
        <v/>
      </c>
      <c r="D1635" s="3">
        <f>IF(ORIG!D1635=0,"",ORIG!D1635)</f>
        <v/>
      </c>
      <c r="E1635" s="3">
        <f>IF(ORIG!E1635=0,"",ORIG!E1635)</f>
        <v/>
      </c>
      <c r="F1635" s="3">
        <f>IF(ORIG!F1635=0,"",ORIG!F1635)</f>
        <v/>
      </c>
      <c r="G1635" s="3">
        <f>IF(ORIG!G1635=0,"",ORIG!G1635)</f>
        <v/>
      </c>
      <c r="H1635" s="3">
        <f>IF(ORIG!H1635=0,"",ORIG!H1635)</f>
        <v/>
      </c>
      <c r="I1635" s="3">
        <f>IF(ORIG!I1635=0,"",ORIG!I1635)</f>
        <v/>
      </c>
      <c r="J1635" s="3">
        <f>IF(ORIG!J1635=0,"",ORIG!J1635)</f>
        <v/>
      </c>
      <c r="K1635" s="3">
        <f>IF(ORIG!K1635=0,"",ORIG!K1635)</f>
        <v/>
      </c>
      <c r="L1635" s="3">
        <f>IF(ORIG!L1635=0,"",ORIG!L1635)</f>
        <v/>
      </c>
      <c r="M1635" s="3">
        <f>IF(ORIG!M1635=0,"",ORIG!M1635)</f>
        <v/>
      </c>
      <c r="N1635" s="3">
        <f>IF(ORIG!N1635=0,"",ORIG!N1635)</f>
        <v/>
      </c>
      <c r="O1635" s="3">
        <f>IF(ORIG!O1635=0,"",ORIG!O1635)</f>
        <v/>
      </c>
      <c r="P1635" s="3">
        <f>IF(ORIG!P1635=0,"",ORIG!P1635)</f>
        <v/>
      </c>
      <c r="Q1635" s="3">
        <f>IF(ORIG!Q1635=0,"",ORIG!Q1635)</f>
        <v/>
      </c>
      <c r="R1635" s="3">
        <f>IF(ORIG!R1635=0,"",ORIG!R1635)</f>
        <v/>
      </c>
      <c r="S1635" s="3">
        <f>IF(ORIG!S1635=0,"",ORIG!S1635)</f>
        <v/>
      </c>
      <c r="T1635" s="3">
        <f>IF(ORIG!T1635=0,"",ORIG!T1635)</f>
        <v/>
      </c>
      <c r="U1635" s="3">
        <f>IF(ORIG!U1635=0,"",ORIG!U1635)</f>
        <v/>
      </c>
      <c r="V1635" s="9">
        <f>IF(ORIG!V1635=0,"",ORIG!V1635)</f>
        <v/>
      </c>
      <c r="W1635" s="9">
        <f>IF(ORIG!W1635=0,"",ORIG!W1635)</f>
        <v/>
      </c>
      <c r="X1635" s="9">
        <f>IF(ORIG!X1635=0,"",ORIG!X1635)</f>
        <v/>
      </c>
      <c r="Y1635" s="9">
        <f>IF(ORIG!Y1635=0,"",ORIG!Y1635)</f>
        <v/>
      </c>
      <c r="Z1635" s="3">
        <f>SUMPRODUCT($B1635:$Y1635,$B$2649:$Y$2649)</f>
        <v/>
      </c>
      <c r="AA1635" s="3">
        <f>SUMPRODUCT($B1635:$Y1635,$B$2655:$Y$2655)</f>
        <v/>
      </c>
      <c r="AC1635" s="1">
        <f>A1635</f>
        <v/>
      </c>
      <c r="AD1635">
        <f>IF(ISNUMBER(V1635),V1635*($AB$1/V$2635),"")</f>
        <v/>
      </c>
      <c r="AE1635">
        <f>IF(ISNUMBER(Z1635),Z1635*($AB$1/Z$2635),"")</f>
        <v/>
      </c>
      <c r="AF1635" s="25">
        <f>IF(ISNUMBER(AD1635+AE1635),AD1635+AE1635,"")</f>
        <v/>
      </c>
      <c r="AH1635" s="1">
        <f>A1635</f>
        <v/>
      </c>
      <c r="AI1635">
        <f>IF(ISNUMBER((1+V1635)*AI1634),(1+V1635)*AI1634,AI1634)</f>
        <v/>
      </c>
      <c r="AJ1635">
        <f>IF(ISNUMBER((1+Z1635)*AJ1634),(1+Z1635)*AJ1634,AJ1634)</f>
        <v/>
      </c>
    </row>
    <row r="1636">
      <c r="A1636" s="1" t="n">
        <v>44376</v>
      </c>
      <c r="B1636" s="3">
        <f>IF(ORIG!B1636=0,"",ORIG!B1636)</f>
        <v/>
      </c>
      <c r="C1636" s="3">
        <f>IF(ORIG!C1636=0,"",ORIG!C1636)</f>
        <v/>
      </c>
      <c r="D1636" s="3">
        <f>IF(ORIG!D1636=0,"",ORIG!D1636)</f>
        <v/>
      </c>
      <c r="E1636" s="3">
        <f>IF(ORIG!E1636=0,"",ORIG!E1636)</f>
        <v/>
      </c>
      <c r="F1636" s="3">
        <f>IF(ORIG!F1636=0,"",ORIG!F1636)</f>
        <v/>
      </c>
      <c r="G1636" s="3">
        <f>IF(ORIG!G1636=0,"",ORIG!G1636)</f>
        <v/>
      </c>
      <c r="H1636" s="3">
        <f>IF(ORIG!H1636=0,"",ORIG!H1636)</f>
        <v/>
      </c>
      <c r="I1636" s="3">
        <f>IF(ORIG!I1636=0,"",ORIG!I1636)</f>
        <v/>
      </c>
      <c r="J1636" s="3">
        <f>IF(ORIG!J1636=0,"",ORIG!J1636)</f>
        <v/>
      </c>
      <c r="K1636" s="3">
        <f>IF(ORIG!K1636=0,"",ORIG!K1636)</f>
        <v/>
      </c>
      <c r="L1636" s="3">
        <f>IF(ORIG!L1636=0,"",ORIG!L1636)</f>
        <v/>
      </c>
      <c r="M1636" s="3">
        <f>IF(ORIG!M1636=0,"",ORIG!M1636)</f>
        <v/>
      </c>
      <c r="N1636" s="3">
        <f>IF(ORIG!N1636=0,"",ORIG!N1636)</f>
        <v/>
      </c>
      <c r="O1636" s="3">
        <f>IF(ORIG!O1636=0,"",ORIG!O1636)</f>
        <v/>
      </c>
      <c r="P1636" s="3">
        <f>IF(ORIG!P1636=0,"",ORIG!P1636)</f>
        <v/>
      </c>
      <c r="Q1636" s="3">
        <f>IF(ORIG!Q1636=0,"",ORIG!Q1636)</f>
        <v/>
      </c>
      <c r="R1636" s="3">
        <f>IF(ORIG!R1636=0,"",ORIG!R1636)</f>
        <v/>
      </c>
      <c r="S1636" s="3">
        <f>IF(ORIG!S1636=0,"",ORIG!S1636)</f>
        <v/>
      </c>
      <c r="T1636" s="3">
        <f>IF(ORIG!T1636=0,"",ORIG!T1636)</f>
        <v/>
      </c>
      <c r="U1636" s="3">
        <f>IF(ORIG!U1636=0,"",ORIG!U1636)</f>
        <v/>
      </c>
      <c r="V1636" s="9">
        <f>IF(ORIG!V1636=0,"",ORIG!V1636)</f>
        <v/>
      </c>
      <c r="W1636" s="9">
        <f>IF(ORIG!W1636=0,"",ORIG!W1636)</f>
        <v/>
      </c>
      <c r="X1636" s="9">
        <f>IF(ORIG!X1636=0,"",ORIG!X1636)</f>
        <v/>
      </c>
      <c r="Y1636" s="9">
        <f>IF(ORIG!Y1636=0,"",ORIG!Y1636)</f>
        <v/>
      </c>
      <c r="Z1636" s="3">
        <f>SUMPRODUCT($B1636:$Y1636,$B$2649:$Y$2649)</f>
        <v/>
      </c>
      <c r="AA1636" s="3">
        <f>SUMPRODUCT($B1636:$Y1636,$B$2655:$Y$2655)</f>
        <v/>
      </c>
      <c r="AC1636" s="1">
        <f>A1636</f>
        <v/>
      </c>
      <c r="AD1636">
        <f>IF(ISNUMBER(V1636),V1636*($AB$1/V$2635),"")</f>
        <v/>
      </c>
      <c r="AE1636">
        <f>IF(ISNUMBER(Z1636),Z1636*($AB$1/Z$2635),"")</f>
        <v/>
      </c>
      <c r="AF1636" s="25">
        <f>IF(ISNUMBER(AD1636+AE1636),AD1636+AE1636,"")</f>
        <v/>
      </c>
      <c r="AH1636" s="1">
        <f>A1636</f>
        <v/>
      </c>
      <c r="AI1636">
        <f>IF(ISNUMBER((1+V1636)*AI1635),(1+V1636)*AI1635,AI1635)</f>
        <v/>
      </c>
      <c r="AJ1636">
        <f>IF(ISNUMBER((1+Z1636)*AJ1635),(1+Z1636)*AJ1635,AJ1635)</f>
        <v/>
      </c>
    </row>
    <row r="1637">
      <c r="A1637" s="1" t="n">
        <v>44377</v>
      </c>
      <c r="B1637" s="3">
        <f>IF(ORIG!B1637=0,"",ORIG!B1637)</f>
        <v/>
      </c>
      <c r="C1637" s="3">
        <f>IF(ORIG!C1637=0,"",ORIG!C1637)</f>
        <v/>
      </c>
      <c r="D1637" s="3">
        <f>IF(ORIG!D1637=0,"",ORIG!D1637)</f>
        <v/>
      </c>
      <c r="E1637" s="3">
        <f>IF(ORIG!E1637=0,"",ORIG!E1637)</f>
        <v/>
      </c>
      <c r="F1637" s="3">
        <f>IF(ORIG!F1637=0,"",ORIG!F1637)</f>
        <v/>
      </c>
      <c r="G1637" s="3">
        <f>IF(ORIG!G1637=0,"",ORIG!G1637)</f>
        <v/>
      </c>
      <c r="H1637" s="3">
        <f>IF(ORIG!H1637=0,"",ORIG!H1637)</f>
        <v/>
      </c>
      <c r="I1637" s="3">
        <f>IF(ORIG!I1637=0,"",ORIG!I1637)</f>
        <v/>
      </c>
      <c r="J1637" s="3">
        <f>IF(ORIG!J1637=0,"",ORIG!J1637)</f>
        <v/>
      </c>
      <c r="K1637" s="3">
        <f>IF(ORIG!K1637=0,"",ORIG!K1637)</f>
        <v/>
      </c>
      <c r="L1637" s="3">
        <f>IF(ORIG!L1637=0,"",ORIG!L1637)</f>
        <v/>
      </c>
      <c r="M1637" s="3">
        <f>IF(ORIG!M1637=0,"",ORIG!M1637)</f>
        <v/>
      </c>
      <c r="N1637" s="3">
        <f>IF(ORIG!N1637=0,"",ORIG!N1637)</f>
        <v/>
      </c>
      <c r="O1637" s="3">
        <f>IF(ORIG!O1637=0,"",ORIG!O1637)</f>
        <v/>
      </c>
      <c r="P1637" s="3">
        <f>IF(ORIG!P1637=0,"",ORIG!P1637)</f>
        <v/>
      </c>
      <c r="Q1637" s="3">
        <f>IF(ORIG!Q1637=0,"",ORIG!Q1637)</f>
        <v/>
      </c>
      <c r="R1637" s="3">
        <f>IF(ORIG!R1637=0,"",ORIG!R1637)</f>
        <v/>
      </c>
      <c r="S1637" s="3">
        <f>IF(ORIG!S1637=0,"",ORIG!S1637)</f>
        <v/>
      </c>
      <c r="T1637" s="3">
        <f>IF(ORIG!T1637=0,"",ORIG!T1637)</f>
        <v/>
      </c>
      <c r="U1637" s="3">
        <f>IF(ORIG!U1637=0,"",ORIG!U1637)</f>
        <v/>
      </c>
      <c r="V1637" s="9">
        <f>IF(ORIG!V1637=0,"",ORIG!V1637)</f>
        <v/>
      </c>
      <c r="W1637" s="9">
        <f>IF(ORIG!W1637=0,"",ORIG!W1637)</f>
        <v/>
      </c>
      <c r="X1637" s="9">
        <f>IF(ORIG!X1637=0,"",ORIG!X1637)</f>
        <v/>
      </c>
      <c r="Y1637" s="9">
        <f>IF(ORIG!Y1637=0,"",ORIG!Y1637)</f>
        <v/>
      </c>
      <c r="Z1637" s="3">
        <f>SUMPRODUCT($B1637:$Y1637,$B$2649:$Y$2649)</f>
        <v/>
      </c>
      <c r="AA1637" s="3">
        <f>SUMPRODUCT($B1637:$Y1637,$B$2655:$Y$2655)</f>
        <v/>
      </c>
      <c r="AC1637" s="1">
        <f>A1637</f>
        <v/>
      </c>
      <c r="AD1637">
        <f>IF(ISNUMBER(V1637),V1637*($AB$1/V$2635),"")</f>
        <v/>
      </c>
      <c r="AE1637">
        <f>IF(ISNUMBER(Z1637),Z1637*($AB$1/Z$2635),"")</f>
        <v/>
      </c>
      <c r="AF1637" s="25">
        <f>IF(ISNUMBER(AD1637+AE1637),AD1637+AE1637,"")</f>
        <v/>
      </c>
      <c r="AH1637" s="1">
        <f>A1637</f>
        <v/>
      </c>
      <c r="AI1637">
        <f>IF(ISNUMBER((1+V1637)*AI1636),(1+V1637)*AI1636,AI1636)</f>
        <v/>
      </c>
      <c r="AJ1637">
        <f>IF(ISNUMBER((1+Z1637)*AJ1636),(1+Z1637)*AJ1636,AJ1636)</f>
        <v/>
      </c>
    </row>
    <row r="1638">
      <c r="A1638" s="1" t="n">
        <v>44378</v>
      </c>
      <c r="B1638" s="3">
        <f>IF(ORIG!B1638=0,"",ORIG!B1638)</f>
        <v/>
      </c>
      <c r="C1638" s="3">
        <f>IF(ORIG!C1638=0,"",ORIG!C1638)</f>
        <v/>
      </c>
      <c r="D1638" s="3">
        <f>IF(ORIG!D1638=0,"",ORIG!D1638)</f>
        <v/>
      </c>
      <c r="E1638" s="3">
        <f>IF(ORIG!E1638=0,"",ORIG!E1638)</f>
        <v/>
      </c>
      <c r="F1638" s="3">
        <f>IF(ORIG!F1638=0,"",ORIG!F1638)</f>
        <v/>
      </c>
      <c r="G1638" s="3">
        <f>IF(ORIG!G1638=0,"",ORIG!G1638)</f>
        <v/>
      </c>
      <c r="H1638" s="3">
        <f>IF(ORIG!H1638=0,"",ORIG!H1638)</f>
        <v/>
      </c>
      <c r="I1638" s="3">
        <f>IF(ORIG!I1638=0,"",ORIG!I1638)</f>
        <v/>
      </c>
      <c r="J1638" s="3">
        <f>IF(ORIG!J1638=0,"",ORIG!J1638)</f>
        <v/>
      </c>
      <c r="K1638" s="3">
        <f>IF(ORIG!K1638=0,"",ORIG!K1638)</f>
        <v/>
      </c>
      <c r="L1638" s="3">
        <f>IF(ORIG!L1638=0,"",ORIG!L1638)</f>
        <v/>
      </c>
      <c r="M1638" s="3">
        <f>IF(ORIG!M1638=0,"",ORIG!M1638)</f>
        <v/>
      </c>
      <c r="N1638" s="3">
        <f>IF(ORIG!N1638=0,"",ORIG!N1638)</f>
        <v/>
      </c>
      <c r="O1638" s="3">
        <f>IF(ORIG!O1638=0,"",ORIG!O1638)</f>
        <v/>
      </c>
      <c r="P1638" s="3">
        <f>IF(ORIG!P1638=0,"",ORIG!P1638)</f>
        <v/>
      </c>
      <c r="Q1638" s="3">
        <f>IF(ORIG!Q1638=0,"",ORIG!Q1638)</f>
        <v/>
      </c>
      <c r="R1638" s="3">
        <f>IF(ORIG!R1638=0,"",ORIG!R1638)</f>
        <v/>
      </c>
      <c r="S1638" s="3">
        <f>IF(ORIG!S1638=0,"",ORIG!S1638)</f>
        <v/>
      </c>
      <c r="T1638" s="3">
        <f>IF(ORIG!T1638=0,"",ORIG!T1638)</f>
        <v/>
      </c>
      <c r="U1638" s="3">
        <f>IF(ORIG!U1638=0,"",ORIG!U1638)</f>
        <v/>
      </c>
      <c r="V1638" s="9">
        <f>IF(ORIG!V1638=0,"",ORIG!V1638)</f>
        <v/>
      </c>
      <c r="W1638" s="9">
        <f>IF(ORIG!W1638=0,"",ORIG!W1638)</f>
        <v/>
      </c>
      <c r="X1638" s="9">
        <f>IF(ORIG!X1638=0,"",ORIG!X1638)</f>
        <v/>
      </c>
      <c r="Y1638" s="9">
        <f>IF(ORIG!Y1638=0,"",ORIG!Y1638)</f>
        <v/>
      </c>
      <c r="Z1638" s="3">
        <f>SUMPRODUCT($B1638:$Y1638,$B$2649:$Y$2649)</f>
        <v/>
      </c>
      <c r="AA1638" s="3">
        <f>SUMPRODUCT($B1638:$Y1638,$B$2655:$Y$2655)</f>
        <v/>
      </c>
      <c r="AC1638" s="1">
        <f>A1638</f>
        <v/>
      </c>
      <c r="AD1638">
        <f>IF(ISNUMBER(V1638),V1638*($AB$1/V$2635),"")</f>
        <v/>
      </c>
      <c r="AE1638">
        <f>IF(ISNUMBER(Z1638),Z1638*($AB$1/Z$2635),"")</f>
        <v/>
      </c>
      <c r="AF1638" s="25">
        <f>IF(ISNUMBER(AD1638+AE1638),AD1638+AE1638,"")</f>
        <v/>
      </c>
      <c r="AH1638" s="1">
        <f>A1638</f>
        <v/>
      </c>
      <c r="AI1638">
        <f>IF(ISNUMBER((1+V1638)*AI1637),(1+V1638)*AI1637,AI1637)</f>
        <v/>
      </c>
      <c r="AJ1638">
        <f>IF(ISNUMBER((1+Z1638)*AJ1637),(1+Z1638)*AJ1637,AJ1637)</f>
        <v/>
      </c>
    </row>
    <row r="1639">
      <c r="A1639" s="1" t="n">
        <v>44379</v>
      </c>
      <c r="B1639" s="3">
        <f>IF(ORIG!B1639=0,"",ORIG!B1639)</f>
        <v/>
      </c>
      <c r="C1639" s="3">
        <f>IF(ORIG!C1639=0,"",ORIG!C1639)</f>
        <v/>
      </c>
      <c r="D1639" s="3">
        <f>IF(ORIG!D1639=0,"",ORIG!D1639)</f>
        <v/>
      </c>
      <c r="E1639" s="3">
        <f>IF(ORIG!E1639=0,"",ORIG!E1639)</f>
        <v/>
      </c>
      <c r="F1639" s="3">
        <f>IF(ORIG!F1639=0,"",ORIG!F1639)</f>
        <v/>
      </c>
      <c r="G1639" s="3">
        <f>IF(ORIG!G1639=0,"",ORIG!G1639)</f>
        <v/>
      </c>
      <c r="H1639" s="3">
        <f>IF(ORIG!H1639=0,"",ORIG!H1639)</f>
        <v/>
      </c>
      <c r="I1639" s="3">
        <f>IF(ORIG!I1639=0,"",ORIG!I1639)</f>
        <v/>
      </c>
      <c r="J1639" s="3">
        <f>IF(ORIG!J1639=0,"",ORIG!J1639)</f>
        <v/>
      </c>
      <c r="K1639" s="3">
        <f>IF(ORIG!K1639=0,"",ORIG!K1639)</f>
        <v/>
      </c>
      <c r="L1639" s="3">
        <f>IF(ORIG!L1639=0,"",ORIG!L1639)</f>
        <v/>
      </c>
      <c r="M1639" s="3">
        <f>IF(ORIG!M1639=0,"",ORIG!M1639)</f>
        <v/>
      </c>
      <c r="N1639" s="3">
        <f>IF(ORIG!N1639=0,"",ORIG!N1639)</f>
        <v/>
      </c>
      <c r="O1639" s="3">
        <f>IF(ORIG!O1639=0,"",ORIG!O1639)</f>
        <v/>
      </c>
      <c r="P1639" s="3">
        <f>IF(ORIG!P1639=0,"",ORIG!P1639)</f>
        <v/>
      </c>
      <c r="Q1639" s="3">
        <f>IF(ORIG!Q1639=0,"",ORIG!Q1639)</f>
        <v/>
      </c>
      <c r="R1639" s="3">
        <f>IF(ORIG!R1639=0,"",ORIG!R1639)</f>
        <v/>
      </c>
      <c r="S1639" s="3">
        <f>IF(ORIG!S1639=0,"",ORIG!S1639)</f>
        <v/>
      </c>
      <c r="T1639" s="3">
        <f>IF(ORIG!T1639=0,"",ORIG!T1639)</f>
        <v/>
      </c>
      <c r="U1639" s="3">
        <f>IF(ORIG!U1639=0,"",ORIG!U1639)</f>
        <v/>
      </c>
      <c r="V1639" s="9">
        <f>IF(ORIG!V1639=0,"",ORIG!V1639)</f>
        <v/>
      </c>
      <c r="W1639" s="9">
        <f>IF(ORIG!W1639=0,"",ORIG!W1639)</f>
        <v/>
      </c>
      <c r="X1639" s="9">
        <f>IF(ORIG!X1639=0,"",ORIG!X1639)</f>
        <v/>
      </c>
      <c r="Y1639" s="9">
        <f>IF(ORIG!Y1639=0,"",ORIG!Y1639)</f>
        <v/>
      </c>
      <c r="Z1639" s="3">
        <f>SUMPRODUCT($B1639:$Y1639,$B$2649:$Y$2649)</f>
        <v/>
      </c>
      <c r="AA1639" s="3">
        <f>SUMPRODUCT($B1639:$Y1639,$B$2655:$Y$2655)</f>
        <v/>
      </c>
      <c r="AC1639" s="1">
        <f>A1639</f>
        <v/>
      </c>
      <c r="AD1639">
        <f>IF(ISNUMBER(V1639),V1639*($AB$1/V$2635),"")</f>
        <v/>
      </c>
      <c r="AE1639">
        <f>IF(ISNUMBER(Z1639),Z1639*($AB$1/Z$2635),"")</f>
        <v/>
      </c>
      <c r="AF1639" s="25">
        <f>IF(ISNUMBER(AD1639+AE1639),AD1639+AE1639,"")</f>
        <v/>
      </c>
      <c r="AH1639" s="1">
        <f>A1639</f>
        <v/>
      </c>
      <c r="AI1639">
        <f>IF(ISNUMBER((1+V1639)*AI1638),(1+V1639)*AI1638,AI1638)</f>
        <v/>
      </c>
      <c r="AJ1639">
        <f>IF(ISNUMBER((1+Z1639)*AJ1638),(1+Z1639)*AJ1638,AJ1638)</f>
        <v/>
      </c>
    </row>
    <row r="1640">
      <c r="A1640" s="1" t="n">
        <v>44383</v>
      </c>
      <c r="B1640" s="3">
        <f>IF(ORIG!B1640=0,"",ORIG!B1640)</f>
        <v/>
      </c>
      <c r="C1640" s="3">
        <f>IF(ORIG!C1640=0,"",ORIG!C1640)</f>
        <v/>
      </c>
      <c r="D1640" s="3">
        <f>IF(ORIG!D1640=0,"",ORIG!D1640)</f>
        <v/>
      </c>
      <c r="E1640" s="3">
        <f>IF(ORIG!E1640=0,"",ORIG!E1640)</f>
        <v/>
      </c>
      <c r="F1640" s="3">
        <f>IF(ORIG!F1640=0,"",ORIG!F1640)</f>
        <v/>
      </c>
      <c r="G1640" s="3">
        <f>IF(ORIG!G1640=0,"",ORIG!G1640)</f>
        <v/>
      </c>
      <c r="H1640" s="3">
        <f>IF(ORIG!H1640=0,"",ORIG!H1640)</f>
        <v/>
      </c>
      <c r="I1640" s="3">
        <f>IF(ORIG!I1640=0,"",ORIG!I1640)</f>
        <v/>
      </c>
      <c r="J1640" s="3">
        <f>IF(ORIG!J1640=0,"",ORIG!J1640)</f>
        <v/>
      </c>
      <c r="K1640" s="3">
        <f>IF(ORIG!K1640=0,"",ORIG!K1640)</f>
        <v/>
      </c>
      <c r="L1640" s="3">
        <f>IF(ORIG!L1640=0,"",ORIG!L1640)</f>
        <v/>
      </c>
      <c r="M1640" s="3">
        <f>IF(ORIG!M1640=0,"",ORIG!M1640)</f>
        <v/>
      </c>
      <c r="N1640" s="3">
        <f>IF(ORIG!N1640=0,"",ORIG!N1640)</f>
        <v/>
      </c>
      <c r="O1640" s="3">
        <f>IF(ORIG!O1640=0,"",ORIG!O1640)</f>
        <v/>
      </c>
      <c r="P1640" s="3">
        <f>IF(ORIG!P1640=0,"",ORIG!P1640)</f>
        <v/>
      </c>
      <c r="Q1640" s="3">
        <f>IF(ORIG!Q1640=0,"",ORIG!Q1640)</f>
        <v/>
      </c>
      <c r="R1640" s="3">
        <f>IF(ORIG!R1640=0,"",ORIG!R1640)</f>
        <v/>
      </c>
      <c r="S1640" s="3">
        <f>IF(ORIG!S1640=0,"",ORIG!S1640)</f>
        <v/>
      </c>
      <c r="T1640" s="3">
        <f>IF(ORIG!T1640=0,"",ORIG!T1640)</f>
        <v/>
      </c>
      <c r="U1640" s="3">
        <f>IF(ORIG!U1640=0,"",ORIG!U1640)</f>
        <v/>
      </c>
      <c r="V1640" s="9">
        <f>IF(ORIG!V1640=0,"",ORIG!V1640)</f>
        <v/>
      </c>
      <c r="W1640" s="9">
        <f>IF(ORIG!W1640=0,"",ORIG!W1640)</f>
        <v/>
      </c>
      <c r="X1640" s="9">
        <f>IF(ORIG!X1640=0,"",ORIG!X1640)</f>
        <v/>
      </c>
      <c r="Y1640" s="9">
        <f>IF(ORIG!Y1640=0,"",ORIG!Y1640)</f>
        <v/>
      </c>
      <c r="Z1640" s="3">
        <f>SUMPRODUCT($B1640:$Y1640,$B$2649:$Y$2649)</f>
        <v/>
      </c>
      <c r="AA1640" s="3">
        <f>SUMPRODUCT($B1640:$Y1640,$B$2655:$Y$2655)</f>
        <v/>
      </c>
      <c r="AC1640" s="1">
        <f>A1640</f>
        <v/>
      </c>
      <c r="AD1640">
        <f>IF(ISNUMBER(V1640),V1640*($AB$1/V$2635),"")</f>
        <v/>
      </c>
      <c r="AE1640">
        <f>IF(ISNUMBER(Z1640),Z1640*($AB$1/Z$2635),"")</f>
        <v/>
      </c>
      <c r="AF1640" s="25">
        <f>IF(ISNUMBER(AD1640+AE1640),AD1640+AE1640,"")</f>
        <v/>
      </c>
      <c r="AH1640" s="1">
        <f>A1640</f>
        <v/>
      </c>
      <c r="AI1640">
        <f>IF(ISNUMBER((1+V1640)*AI1639),(1+V1640)*AI1639,AI1639)</f>
        <v/>
      </c>
      <c r="AJ1640">
        <f>IF(ISNUMBER((1+Z1640)*AJ1639),(1+Z1640)*AJ1639,AJ1639)</f>
        <v/>
      </c>
    </row>
    <row r="1641">
      <c r="A1641" s="1" t="n">
        <v>44384</v>
      </c>
      <c r="B1641" s="3">
        <f>IF(ORIG!B1641=0,"",ORIG!B1641)</f>
        <v/>
      </c>
      <c r="C1641" s="3">
        <f>IF(ORIG!C1641=0,"",ORIG!C1641)</f>
        <v/>
      </c>
      <c r="D1641" s="3">
        <f>IF(ORIG!D1641=0,"",ORIG!D1641)</f>
        <v/>
      </c>
      <c r="E1641" s="3">
        <f>IF(ORIG!E1641=0,"",ORIG!E1641)</f>
        <v/>
      </c>
      <c r="F1641" s="3">
        <f>IF(ORIG!F1641=0,"",ORIG!F1641)</f>
        <v/>
      </c>
      <c r="G1641" s="3">
        <f>IF(ORIG!G1641=0,"",ORIG!G1641)</f>
        <v/>
      </c>
      <c r="H1641" s="3">
        <f>IF(ORIG!H1641=0,"",ORIG!H1641)</f>
        <v/>
      </c>
      <c r="I1641" s="3">
        <f>IF(ORIG!I1641=0,"",ORIG!I1641)</f>
        <v/>
      </c>
      <c r="J1641" s="3">
        <f>IF(ORIG!J1641=0,"",ORIG!J1641)</f>
        <v/>
      </c>
      <c r="K1641" s="3">
        <f>IF(ORIG!K1641=0,"",ORIG!K1641)</f>
        <v/>
      </c>
      <c r="L1641" s="3">
        <f>IF(ORIG!L1641=0,"",ORIG!L1641)</f>
        <v/>
      </c>
      <c r="M1641" s="3">
        <f>IF(ORIG!M1641=0,"",ORIG!M1641)</f>
        <v/>
      </c>
      <c r="N1641" s="3">
        <f>IF(ORIG!N1641=0,"",ORIG!N1641)</f>
        <v/>
      </c>
      <c r="O1641" s="3">
        <f>IF(ORIG!O1641=0,"",ORIG!O1641)</f>
        <v/>
      </c>
      <c r="P1641" s="3">
        <f>IF(ORIG!P1641=0,"",ORIG!P1641)</f>
        <v/>
      </c>
      <c r="Q1641" s="3">
        <f>IF(ORIG!Q1641=0,"",ORIG!Q1641)</f>
        <v/>
      </c>
      <c r="R1641" s="3">
        <f>IF(ORIG!R1641=0,"",ORIG!R1641)</f>
        <v/>
      </c>
      <c r="S1641" s="3">
        <f>IF(ORIG!S1641=0,"",ORIG!S1641)</f>
        <v/>
      </c>
      <c r="T1641" s="3">
        <f>IF(ORIG!T1641=0,"",ORIG!T1641)</f>
        <v/>
      </c>
      <c r="U1641" s="3">
        <f>IF(ORIG!U1641=0,"",ORIG!U1641)</f>
        <v/>
      </c>
      <c r="V1641" s="9">
        <f>IF(ORIG!V1641=0,"",ORIG!V1641)</f>
        <v/>
      </c>
      <c r="W1641" s="9">
        <f>IF(ORIG!W1641=0,"",ORIG!W1641)</f>
        <v/>
      </c>
      <c r="X1641" s="9">
        <f>IF(ORIG!X1641=0,"",ORIG!X1641)</f>
        <v/>
      </c>
      <c r="Y1641" s="9">
        <f>IF(ORIG!Y1641=0,"",ORIG!Y1641)</f>
        <v/>
      </c>
      <c r="Z1641" s="3">
        <f>SUMPRODUCT($B1641:$Y1641,$B$2649:$Y$2649)</f>
        <v/>
      </c>
      <c r="AA1641" s="3">
        <f>SUMPRODUCT($B1641:$Y1641,$B$2655:$Y$2655)</f>
        <v/>
      </c>
      <c r="AC1641" s="1">
        <f>A1641</f>
        <v/>
      </c>
      <c r="AD1641">
        <f>IF(ISNUMBER(V1641),V1641*($AB$1/V$2635),"")</f>
        <v/>
      </c>
      <c r="AE1641">
        <f>IF(ISNUMBER(Z1641),Z1641*($AB$1/Z$2635),"")</f>
        <v/>
      </c>
      <c r="AF1641" s="25">
        <f>IF(ISNUMBER(AD1641+AE1641),AD1641+AE1641,"")</f>
        <v/>
      </c>
      <c r="AH1641" s="1">
        <f>A1641</f>
        <v/>
      </c>
      <c r="AI1641">
        <f>IF(ISNUMBER((1+V1641)*AI1640),(1+V1641)*AI1640,AI1640)</f>
        <v/>
      </c>
      <c r="AJ1641">
        <f>IF(ISNUMBER((1+Z1641)*AJ1640),(1+Z1641)*AJ1640,AJ1640)</f>
        <v/>
      </c>
    </row>
    <row r="1642">
      <c r="A1642" s="1" t="n">
        <v>44385</v>
      </c>
      <c r="B1642" s="3">
        <f>IF(ORIG!B1642=0,"",ORIG!B1642)</f>
        <v/>
      </c>
      <c r="C1642" s="3">
        <f>IF(ORIG!C1642=0,"",ORIG!C1642)</f>
        <v/>
      </c>
      <c r="D1642" s="3">
        <f>IF(ORIG!D1642=0,"",ORIG!D1642)</f>
        <v/>
      </c>
      <c r="E1642" s="3">
        <f>IF(ORIG!E1642=0,"",ORIG!E1642)</f>
        <v/>
      </c>
      <c r="F1642" s="3">
        <f>IF(ORIG!F1642=0,"",ORIG!F1642)</f>
        <v/>
      </c>
      <c r="G1642" s="3">
        <f>IF(ORIG!G1642=0,"",ORIG!G1642)</f>
        <v/>
      </c>
      <c r="H1642" s="3">
        <f>IF(ORIG!H1642=0,"",ORIG!H1642)</f>
        <v/>
      </c>
      <c r="I1642" s="3">
        <f>IF(ORIG!I1642=0,"",ORIG!I1642)</f>
        <v/>
      </c>
      <c r="J1642" s="3">
        <f>IF(ORIG!J1642=0,"",ORIG!J1642)</f>
        <v/>
      </c>
      <c r="K1642" s="3">
        <f>IF(ORIG!K1642=0,"",ORIG!K1642)</f>
        <v/>
      </c>
      <c r="L1642" s="3">
        <f>IF(ORIG!L1642=0,"",ORIG!L1642)</f>
        <v/>
      </c>
      <c r="M1642" s="3">
        <f>IF(ORIG!M1642=0,"",ORIG!M1642)</f>
        <v/>
      </c>
      <c r="N1642" s="3">
        <f>IF(ORIG!N1642=0,"",ORIG!N1642)</f>
        <v/>
      </c>
      <c r="O1642" s="3">
        <f>IF(ORIG!O1642=0,"",ORIG!O1642)</f>
        <v/>
      </c>
      <c r="P1642" s="3">
        <f>IF(ORIG!P1642=0,"",ORIG!P1642)</f>
        <v/>
      </c>
      <c r="Q1642" s="3">
        <f>IF(ORIG!Q1642=0,"",ORIG!Q1642)</f>
        <v/>
      </c>
      <c r="R1642" s="3">
        <f>IF(ORIG!R1642=0,"",ORIG!R1642)</f>
        <v/>
      </c>
      <c r="S1642" s="3">
        <f>IF(ORIG!S1642=0,"",ORIG!S1642)</f>
        <v/>
      </c>
      <c r="T1642" s="3">
        <f>IF(ORIG!T1642=0,"",ORIG!T1642)</f>
        <v/>
      </c>
      <c r="U1642" s="3">
        <f>IF(ORIG!U1642=0,"",ORIG!U1642)</f>
        <v/>
      </c>
      <c r="V1642" s="9">
        <f>IF(ORIG!V1642=0,"",ORIG!V1642)</f>
        <v/>
      </c>
      <c r="W1642" s="9">
        <f>IF(ORIG!W1642=0,"",ORIG!W1642)</f>
        <v/>
      </c>
      <c r="X1642" s="9">
        <f>IF(ORIG!X1642=0,"",ORIG!X1642)</f>
        <v/>
      </c>
      <c r="Y1642" s="9">
        <f>IF(ORIG!Y1642=0,"",ORIG!Y1642)</f>
        <v/>
      </c>
      <c r="Z1642" s="3">
        <f>SUMPRODUCT($B1642:$Y1642,$B$2649:$Y$2649)</f>
        <v/>
      </c>
      <c r="AA1642" s="3">
        <f>SUMPRODUCT($B1642:$Y1642,$B$2655:$Y$2655)</f>
        <v/>
      </c>
      <c r="AC1642" s="1">
        <f>A1642</f>
        <v/>
      </c>
      <c r="AD1642">
        <f>IF(ISNUMBER(V1642),V1642*($AB$1/V$2635),"")</f>
        <v/>
      </c>
      <c r="AE1642">
        <f>IF(ISNUMBER(Z1642),Z1642*($AB$1/Z$2635),"")</f>
        <v/>
      </c>
      <c r="AF1642" s="25">
        <f>IF(ISNUMBER(AD1642+AE1642),AD1642+AE1642,"")</f>
        <v/>
      </c>
      <c r="AH1642" s="1">
        <f>A1642</f>
        <v/>
      </c>
      <c r="AI1642">
        <f>IF(ISNUMBER((1+V1642)*AI1641),(1+V1642)*AI1641,AI1641)</f>
        <v/>
      </c>
      <c r="AJ1642">
        <f>IF(ISNUMBER((1+Z1642)*AJ1641),(1+Z1642)*AJ1641,AJ1641)</f>
        <v/>
      </c>
    </row>
    <row r="1643">
      <c r="A1643" s="1" t="n">
        <v>44386</v>
      </c>
      <c r="B1643" s="3">
        <f>IF(ORIG!B1643=0,"",ORIG!B1643)</f>
        <v/>
      </c>
      <c r="C1643" s="3">
        <f>IF(ORIG!C1643=0,"",ORIG!C1643)</f>
        <v/>
      </c>
      <c r="D1643" s="3">
        <f>IF(ORIG!D1643=0,"",ORIG!D1643)</f>
        <v/>
      </c>
      <c r="E1643" s="3">
        <f>IF(ORIG!E1643=0,"",ORIG!E1643)</f>
        <v/>
      </c>
      <c r="F1643" s="3">
        <f>IF(ORIG!F1643=0,"",ORIG!F1643)</f>
        <v/>
      </c>
      <c r="G1643" s="3">
        <f>IF(ORIG!G1643=0,"",ORIG!G1643)</f>
        <v/>
      </c>
      <c r="H1643" s="3">
        <f>IF(ORIG!H1643=0,"",ORIG!H1643)</f>
        <v/>
      </c>
      <c r="I1643" s="3">
        <f>IF(ORIG!I1643=0,"",ORIG!I1643)</f>
        <v/>
      </c>
      <c r="J1643" s="3">
        <f>IF(ORIG!J1643=0,"",ORIG!J1643)</f>
        <v/>
      </c>
      <c r="K1643" s="3">
        <f>IF(ORIG!K1643=0,"",ORIG!K1643)</f>
        <v/>
      </c>
      <c r="L1643" s="3">
        <f>IF(ORIG!L1643=0,"",ORIG!L1643)</f>
        <v/>
      </c>
      <c r="M1643" s="3">
        <f>IF(ORIG!M1643=0,"",ORIG!M1643)</f>
        <v/>
      </c>
      <c r="N1643" s="3">
        <f>IF(ORIG!N1643=0,"",ORIG!N1643)</f>
        <v/>
      </c>
      <c r="O1643" s="3">
        <f>IF(ORIG!O1643=0,"",ORIG!O1643)</f>
        <v/>
      </c>
      <c r="P1643" s="3">
        <f>IF(ORIG!P1643=0,"",ORIG!P1643)</f>
        <v/>
      </c>
      <c r="Q1643" s="3">
        <f>IF(ORIG!Q1643=0,"",ORIG!Q1643)</f>
        <v/>
      </c>
      <c r="R1643" s="3">
        <f>IF(ORIG!R1643=0,"",ORIG!R1643)</f>
        <v/>
      </c>
      <c r="S1643" s="3">
        <f>IF(ORIG!S1643=0,"",ORIG!S1643)</f>
        <v/>
      </c>
      <c r="T1643" s="3">
        <f>IF(ORIG!T1643=0,"",ORIG!T1643)</f>
        <v/>
      </c>
      <c r="U1643" s="3">
        <f>IF(ORIG!U1643=0,"",ORIG!U1643)</f>
        <v/>
      </c>
      <c r="V1643" s="9">
        <f>IF(ORIG!V1643=0,"",ORIG!V1643)</f>
        <v/>
      </c>
      <c r="W1643" s="9">
        <f>IF(ORIG!W1643=0,"",ORIG!W1643)</f>
        <v/>
      </c>
      <c r="X1643" s="9">
        <f>IF(ORIG!X1643=0,"",ORIG!X1643)</f>
        <v/>
      </c>
      <c r="Y1643" s="9">
        <f>IF(ORIG!Y1643=0,"",ORIG!Y1643)</f>
        <v/>
      </c>
      <c r="Z1643" s="3">
        <f>SUMPRODUCT($B1643:$Y1643,$B$2649:$Y$2649)</f>
        <v/>
      </c>
      <c r="AA1643" s="3">
        <f>SUMPRODUCT($B1643:$Y1643,$B$2655:$Y$2655)</f>
        <v/>
      </c>
      <c r="AC1643" s="1">
        <f>A1643</f>
        <v/>
      </c>
      <c r="AD1643">
        <f>IF(ISNUMBER(V1643),V1643*($AB$1/V$2635),"")</f>
        <v/>
      </c>
      <c r="AE1643">
        <f>IF(ISNUMBER(Z1643),Z1643*($AB$1/Z$2635),"")</f>
        <v/>
      </c>
      <c r="AF1643" s="25">
        <f>IF(ISNUMBER(AD1643+AE1643),AD1643+AE1643,"")</f>
        <v/>
      </c>
      <c r="AH1643" s="1">
        <f>A1643</f>
        <v/>
      </c>
      <c r="AI1643">
        <f>IF(ISNUMBER((1+V1643)*AI1642),(1+V1643)*AI1642,AI1642)</f>
        <v/>
      </c>
      <c r="AJ1643">
        <f>IF(ISNUMBER((1+Z1643)*AJ1642),(1+Z1643)*AJ1642,AJ1642)</f>
        <v/>
      </c>
    </row>
    <row r="1644">
      <c r="A1644" s="1" t="n">
        <v>44389</v>
      </c>
      <c r="B1644" s="3">
        <f>IF(ORIG!B1644=0,"",ORIG!B1644)</f>
        <v/>
      </c>
      <c r="C1644" s="3">
        <f>IF(ORIG!C1644=0,"",ORIG!C1644)</f>
        <v/>
      </c>
      <c r="D1644" s="3">
        <f>IF(ORIG!D1644=0,"",ORIG!D1644)</f>
        <v/>
      </c>
      <c r="E1644" s="3">
        <f>IF(ORIG!E1644=0,"",ORIG!E1644)</f>
        <v/>
      </c>
      <c r="F1644" s="3">
        <f>IF(ORIG!F1644=0,"",ORIG!F1644)</f>
        <v/>
      </c>
      <c r="G1644" s="3">
        <f>IF(ORIG!G1644=0,"",ORIG!G1644)</f>
        <v/>
      </c>
      <c r="H1644" s="3">
        <f>IF(ORIG!H1644=0,"",ORIG!H1644)</f>
        <v/>
      </c>
      <c r="I1644" s="3">
        <f>IF(ORIG!I1644=0,"",ORIG!I1644)</f>
        <v/>
      </c>
      <c r="J1644" s="3">
        <f>IF(ORIG!J1644=0,"",ORIG!J1644)</f>
        <v/>
      </c>
      <c r="K1644" s="3">
        <f>IF(ORIG!K1644=0,"",ORIG!K1644)</f>
        <v/>
      </c>
      <c r="L1644" s="3">
        <f>IF(ORIG!L1644=0,"",ORIG!L1644)</f>
        <v/>
      </c>
      <c r="M1644" s="3">
        <f>IF(ORIG!M1644=0,"",ORIG!M1644)</f>
        <v/>
      </c>
      <c r="N1644" s="3">
        <f>IF(ORIG!N1644=0,"",ORIG!N1644)</f>
        <v/>
      </c>
      <c r="O1644" s="3">
        <f>IF(ORIG!O1644=0,"",ORIG!O1644)</f>
        <v/>
      </c>
      <c r="P1644" s="3">
        <f>IF(ORIG!P1644=0,"",ORIG!P1644)</f>
        <v/>
      </c>
      <c r="Q1644" s="3">
        <f>IF(ORIG!Q1644=0,"",ORIG!Q1644)</f>
        <v/>
      </c>
      <c r="R1644" s="3">
        <f>IF(ORIG!R1644=0,"",ORIG!R1644)</f>
        <v/>
      </c>
      <c r="S1644" s="3">
        <f>IF(ORIG!S1644=0,"",ORIG!S1644)</f>
        <v/>
      </c>
      <c r="T1644" s="3">
        <f>IF(ORIG!T1644=0,"",ORIG!T1644)</f>
        <v/>
      </c>
      <c r="U1644" s="3">
        <f>IF(ORIG!U1644=0,"",ORIG!U1644)</f>
        <v/>
      </c>
      <c r="V1644" s="9">
        <f>IF(ORIG!V1644=0,"",ORIG!V1644)</f>
        <v/>
      </c>
      <c r="W1644" s="9">
        <f>IF(ORIG!W1644=0,"",ORIG!W1644)</f>
        <v/>
      </c>
      <c r="X1644" s="9">
        <f>IF(ORIG!X1644=0,"",ORIG!X1644)</f>
        <v/>
      </c>
      <c r="Y1644" s="9">
        <f>IF(ORIG!Y1644=0,"",ORIG!Y1644)</f>
        <v/>
      </c>
      <c r="Z1644" s="3">
        <f>SUMPRODUCT($B1644:$Y1644,$B$2649:$Y$2649)</f>
        <v/>
      </c>
      <c r="AA1644" s="3">
        <f>SUMPRODUCT($B1644:$Y1644,$B$2655:$Y$2655)</f>
        <v/>
      </c>
      <c r="AC1644" s="1">
        <f>A1644</f>
        <v/>
      </c>
      <c r="AD1644">
        <f>IF(ISNUMBER(V1644),V1644*($AB$1/V$2635),"")</f>
        <v/>
      </c>
      <c r="AE1644">
        <f>IF(ISNUMBER(Z1644),Z1644*($AB$1/Z$2635),"")</f>
        <v/>
      </c>
      <c r="AF1644" s="25">
        <f>IF(ISNUMBER(AD1644+AE1644),AD1644+AE1644,"")</f>
        <v/>
      </c>
      <c r="AH1644" s="1">
        <f>A1644</f>
        <v/>
      </c>
      <c r="AI1644">
        <f>IF(ISNUMBER((1+V1644)*AI1643),(1+V1644)*AI1643,AI1643)</f>
        <v/>
      </c>
      <c r="AJ1644">
        <f>IF(ISNUMBER((1+Z1644)*AJ1643),(1+Z1644)*AJ1643,AJ1643)</f>
        <v/>
      </c>
    </row>
    <row r="1645">
      <c r="A1645" s="1" t="n">
        <v>44390</v>
      </c>
      <c r="B1645" s="3">
        <f>IF(ORIG!B1645=0,"",ORIG!B1645)</f>
        <v/>
      </c>
      <c r="C1645" s="3">
        <f>IF(ORIG!C1645=0,"",ORIG!C1645)</f>
        <v/>
      </c>
      <c r="D1645" s="3">
        <f>IF(ORIG!D1645=0,"",ORIG!D1645)</f>
        <v/>
      </c>
      <c r="E1645" s="3">
        <f>IF(ORIG!E1645=0,"",ORIG!E1645)</f>
        <v/>
      </c>
      <c r="F1645" s="3">
        <f>IF(ORIG!F1645=0,"",ORIG!F1645)</f>
        <v/>
      </c>
      <c r="G1645" s="3">
        <f>IF(ORIG!G1645=0,"",ORIG!G1645)</f>
        <v/>
      </c>
      <c r="H1645" s="3">
        <f>IF(ORIG!H1645=0,"",ORIG!H1645)</f>
        <v/>
      </c>
      <c r="I1645" s="3">
        <f>IF(ORIG!I1645=0,"",ORIG!I1645)</f>
        <v/>
      </c>
      <c r="J1645" s="3">
        <f>IF(ORIG!J1645=0,"",ORIG!J1645)</f>
        <v/>
      </c>
      <c r="K1645" s="3">
        <f>IF(ORIG!K1645=0,"",ORIG!K1645)</f>
        <v/>
      </c>
      <c r="L1645" s="3">
        <f>IF(ORIG!L1645=0,"",ORIG!L1645)</f>
        <v/>
      </c>
      <c r="M1645" s="3">
        <f>IF(ORIG!M1645=0,"",ORIG!M1645)</f>
        <v/>
      </c>
      <c r="N1645" s="3">
        <f>IF(ORIG!N1645=0,"",ORIG!N1645)</f>
        <v/>
      </c>
      <c r="O1645" s="3">
        <f>IF(ORIG!O1645=0,"",ORIG!O1645)</f>
        <v/>
      </c>
      <c r="P1645" s="3">
        <f>IF(ORIG!P1645=0,"",ORIG!P1645)</f>
        <v/>
      </c>
      <c r="Q1645" s="3">
        <f>IF(ORIG!Q1645=0,"",ORIG!Q1645)</f>
        <v/>
      </c>
      <c r="R1645" s="3">
        <f>IF(ORIG!R1645=0,"",ORIG!R1645)</f>
        <v/>
      </c>
      <c r="S1645" s="3">
        <f>IF(ORIG!S1645=0,"",ORIG!S1645)</f>
        <v/>
      </c>
      <c r="T1645" s="3">
        <f>IF(ORIG!T1645=0,"",ORIG!T1645)</f>
        <v/>
      </c>
      <c r="U1645" s="3">
        <f>IF(ORIG!U1645=0,"",ORIG!U1645)</f>
        <v/>
      </c>
      <c r="V1645" s="9">
        <f>IF(ORIG!V1645=0,"",ORIG!V1645)</f>
        <v/>
      </c>
      <c r="W1645" s="9">
        <f>IF(ORIG!W1645=0,"",ORIG!W1645)</f>
        <v/>
      </c>
      <c r="X1645" s="9">
        <f>IF(ORIG!X1645=0,"",ORIG!X1645)</f>
        <v/>
      </c>
      <c r="Y1645" s="9">
        <f>IF(ORIG!Y1645=0,"",ORIG!Y1645)</f>
        <v/>
      </c>
      <c r="Z1645" s="3">
        <f>SUMPRODUCT($B1645:$Y1645,$B$2649:$Y$2649)</f>
        <v/>
      </c>
      <c r="AA1645" s="3">
        <f>SUMPRODUCT($B1645:$Y1645,$B$2655:$Y$2655)</f>
        <v/>
      </c>
      <c r="AC1645" s="1">
        <f>A1645</f>
        <v/>
      </c>
      <c r="AD1645">
        <f>IF(ISNUMBER(V1645),V1645*($AB$1/V$2635),"")</f>
        <v/>
      </c>
      <c r="AE1645">
        <f>IF(ISNUMBER(Z1645),Z1645*($AB$1/Z$2635),"")</f>
        <v/>
      </c>
      <c r="AF1645" s="25">
        <f>IF(ISNUMBER(AD1645+AE1645),AD1645+AE1645,"")</f>
        <v/>
      </c>
      <c r="AH1645" s="1">
        <f>A1645</f>
        <v/>
      </c>
      <c r="AI1645">
        <f>IF(ISNUMBER((1+V1645)*AI1644),(1+V1645)*AI1644,AI1644)</f>
        <v/>
      </c>
      <c r="AJ1645">
        <f>IF(ISNUMBER((1+Z1645)*AJ1644),(1+Z1645)*AJ1644,AJ1644)</f>
        <v/>
      </c>
    </row>
    <row r="1646">
      <c r="A1646" s="1" t="n">
        <v>44391</v>
      </c>
      <c r="B1646" s="3">
        <f>IF(ORIG!B1646=0,"",ORIG!B1646)</f>
        <v/>
      </c>
      <c r="C1646" s="3">
        <f>IF(ORIG!C1646=0,"",ORIG!C1646)</f>
        <v/>
      </c>
      <c r="D1646" s="3">
        <f>IF(ORIG!D1646=0,"",ORIG!D1646)</f>
        <v/>
      </c>
      <c r="E1646" s="3">
        <f>IF(ORIG!E1646=0,"",ORIG!E1646)</f>
        <v/>
      </c>
      <c r="F1646" s="3">
        <f>IF(ORIG!F1646=0,"",ORIG!F1646)</f>
        <v/>
      </c>
      <c r="G1646" s="3">
        <f>IF(ORIG!G1646=0,"",ORIG!G1646)</f>
        <v/>
      </c>
      <c r="H1646" s="3">
        <f>IF(ORIG!H1646=0,"",ORIG!H1646)</f>
        <v/>
      </c>
      <c r="I1646" s="3">
        <f>IF(ORIG!I1646=0,"",ORIG!I1646)</f>
        <v/>
      </c>
      <c r="J1646" s="3">
        <f>IF(ORIG!J1646=0,"",ORIG!J1646)</f>
        <v/>
      </c>
      <c r="K1646" s="3">
        <f>IF(ORIG!K1646=0,"",ORIG!K1646)</f>
        <v/>
      </c>
      <c r="L1646" s="3">
        <f>IF(ORIG!L1646=0,"",ORIG!L1646)</f>
        <v/>
      </c>
      <c r="M1646" s="3">
        <f>IF(ORIG!M1646=0,"",ORIG!M1646)</f>
        <v/>
      </c>
      <c r="N1646" s="3">
        <f>IF(ORIG!N1646=0,"",ORIG!N1646)</f>
        <v/>
      </c>
      <c r="O1646" s="3">
        <f>IF(ORIG!O1646=0,"",ORIG!O1646)</f>
        <v/>
      </c>
      <c r="P1646" s="3">
        <f>IF(ORIG!P1646=0,"",ORIG!P1646)</f>
        <v/>
      </c>
      <c r="Q1646" s="3">
        <f>IF(ORIG!Q1646=0,"",ORIG!Q1646)</f>
        <v/>
      </c>
      <c r="R1646" s="3">
        <f>IF(ORIG!R1646=0,"",ORIG!R1646)</f>
        <v/>
      </c>
      <c r="S1646" s="3">
        <f>IF(ORIG!S1646=0,"",ORIG!S1646)</f>
        <v/>
      </c>
      <c r="T1646" s="3">
        <f>IF(ORIG!T1646=0,"",ORIG!T1646)</f>
        <v/>
      </c>
      <c r="U1646" s="3">
        <f>IF(ORIG!U1646=0,"",ORIG!U1646)</f>
        <v/>
      </c>
      <c r="V1646" s="9">
        <f>IF(ORIG!V1646=0,"",ORIG!V1646)</f>
        <v/>
      </c>
      <c r="W1646" s="9">
        <f>IF(ORIG!W1646=0,"",ORIG!W1646)</f>
        <v/>
      </c>
      <c r="X1646" s="9">
        <f>IF(ORIG!X1646=0,"",ORIG!X1646)</f>
        <v/>
      </c>
      <c r="Y1646" s="9">
        <f>IF(ORIG!Y1646=0,"",ORIG!Y1646)</f>
        <v/>
      </c>
      <c r="Z1646" s="3">
        <f>SUMPRODUCT($B1646:$Y1646,$B$2649:$Y$2649)</f>
        <v/>
      </c>
      <c r="AA1646" s="3">
        <f>SUMPRODUCT($B1646:$Y1646,$B$2655:$Y$2655)</f>
        <v/>
      </c>
      <c r="AC1646" s="1">
        <f>A1646</f>
        <v/>
      </c>
      <c r="AD1646">
        <f>IF(ISNUMBER(V1646),V1646*($AB$1/V$2635),"")</f>
        <v/>
      </c>
      <c r="AE1646">
        <f>IF(ISNUMBER(Z1646),Z1646*($AB$1/Z$2635),"")</f>
        <v/>
      </c>
      <c r="AF1646" s="25">
        <f>IF(ISNUMBER(AD1646+AE1646),AD1646+AE1646,"")</f>
        <v/>
      </c>
      <c r="AH1646" s="1">
        <f>A1646</f>
        <v/>
      </c>
      <c r="AI1646">
        <f>IF(ISNUMBER((1+V1646)*AI1645),(1+V1646)*AI1645,AI1645)</f>
        <v/>
      </c>
      <c r="AJ1646">
        <f>IF(ISNUMBER((1+Z1646)*AJ1645),(1+Z1646)*AJ1645,AJ1645)</f>
        <v/>
      </c>
    </row>
    <row r="1647">
      <c r="A1647" s="1" t="n">
        <v>44392</v>
      </c>
      <c r="B1647" s="3">
        <f>IF(ORIG!B1647=0,"",ORIG!B1647)</f>
        <v/>
      </c>
      <c r="C1647" s="3">
        <f>IF(ORIG!C1647=0,"",ORIG!C1647)</f>
        <v/>
      </c>
      <c r="D1647" s="3">
        <f>IF(ORIG!D1647=0,"",ORIG!D1647)</f>
        <v/>
      </c>
      <c r="E1647" s="3">
        <f>IF(ORIG!E1647=0,"",ORIG!E1647)</f>
        <v/>
      </c>
      <c r="F1647" s="3">
        <f>IF(ORIG!F1647=0,"",ORIG!F1647)</f>
        <v/>
      </c>
      <c r="G1647" s="3">
        <f>IF(ORIG!G1647=0,"",ORIG!G1647)</f>
        <v/>
      </c>
      <c r="H1647" s="3">
        <f>IF(ORIG!H1647=0,"",ORIG!H1647)</f>
        <v/>
      </c>
      <c r="I1647" s="3">
        <f>IF(ORIG!I1647=0,"",ORIG!I1647)</f>
        <v/>
      </c>
      <c r="J1647" s="3">
        <f>IF(ORIG!J1647=0,"",ORIG!J1647)</f>
        <v/>
      </c>
      <c r="K1647" s="3">
        <f>IF(ORIG!K1647=0,"",ORIG!K1647)</f>
        <v/>
      </c>
      <c r="L1647" s="3">
        <f>IF(ORIG!L1647=0,"",ORIG!L1647)</f>
        <v/>
      </c>
      <c r="M1647" s="3">
        <f>IF(ORIG!M1647=0,"",ORIG!M1647)</f>
        <v/>
      </c>
      <c r="N1647" s="3">
        <f>IF(ORIG!N1647=0,"",ORIG!N1647)</f>
        <v/>
      </c>
      <c r="O1647" s="3">
        <f>IF(ORIG!O1647=0,"",ORIG!O1647)</f>
        <v/>
      </c>
      <c r="P1647" s="3">
        <f>IF(ORIG!P1647=0,"",ORIG!P1647)</f>
        <v/>
      </c>
      <c r="Q1647" s="3">
        <f>IF(ORIG!Q1647=0,"",ORIG!Q1647)</f>
        <v/>
      </c>
      <c r="R1647" s="3">
        <f>IF(ORIG!R1647=0,"",ORIG!R1647)</f>
        <v/>
      </c>
      <c r="S1647" s="3">
        <f>IF(ORIG!S1647=0,"",ORIG!S1647)</f>
        <v/>
      </c>
      <c r="T1647" s="3">
        <f>IF(ORIG!T1647=0,"",ORIG!T1647)</f>
        <v/>
      </c>
      <c r="U1647" s="3">
        <f>IF(ORIG!U1647=0,"",ORIG!U1647)</f>
        <v/>
      </c>
      <c r="V1647" s="9">
        <f>IF(ORIG!V1647=0,"",ORIG!V1647)</f>
        <v/>
      </c>
      <c r="W1647" s="9">
        <f>IF(ORIG!W1647=0,"",ORIG!W1647)</f>
        <v/>
      </c>
      <c r="X1647" s="9">
        <f>IF(ORIG!X1647=0,"",ORIG!X1647)</f>
        <v/>
      </c>
      <c r="Y1647" s="9">
        <f>IF(ORIG!Y1647=0,"",ORIG!Y1647)</f>
        <v/>
      </c>
      <c r="Z1647" s="3">
        <f>SUMPRODUCT($B1647:$Y1647,$B$2649:$Y$2649)</f>
        <v/>
      </c>
      <c r="AA1647" s="3">
        <f>SUMPRODUCT($B1647:$Y1647,$B$2655:$Y$2655)</f>
        <v/>
      </c>
      <c r="AC1647" s="1">
        <f>A1647</f>
        <v/>
      </c>
      <c r="AD1647">
        <f>IF(ISNUMBER(V1647),V1647*($AB$1/V$2635),"")</f>
        <v/>
      </c>
      <c r="AE1647">
        <f>IF(ISNUMBER(Z1647),Z1647*($AB$1/Z$2635),"")</f>
        <v/>
      </c>
      <c r="AF1647" s="25">
        <f>IF(ISNUMBER(AD1647+AE1647),AD1647+AE1647,"")</f>
        <v/>
      </c>
      <c r="AH1647" s="1">
        <f>A1647</f>
        <v/>
      </c>
      <c r="AI1647">
        <f>IF(ISNUMBER((1+V1647)*AI1646),(1+V1647)*AI1646,AI1646)</f>
        <v/>
      </c>
      <c r="AJ1647">
        <f>IF(ISNUMBER((1+Z1647)*AJ1646),(1+Z1647)*AJ1646,AJ1646)</f>
        <v/>
      </c>
    </row>
    <row r="1648">
      <c r="A1648" s="1" t="n">
        <v>44393</v>
      </c>
      <c r="B1648" s="3">
        <f>IF(ORIG!B1648=0,"",ORIG!B1648)</f>
        <v/>
      </c>
      <c r="C1648" s="3">
        <f>IF(ORIG!C1648=0,"",ORIG!C1648)</f>
        <v/>
      </c>
      <c r="D1648" s="3">
        <f>IF(ORIG!D1648=0,"",ORIG!D1648)</f>
        <v/>
      </c>
      <c r="E1648" s="3">
        <f>IF(ORIG!E1648=0,"",ORIG!E1648)</f>
        <v/>
      </c>
      <c r="F1648" s="3">
        <f>IF(ORIG!F1648=0,"",ORIG!F1648)</f>
        <v/>
      </c>
      <c r="G1648" s="3">
        <f>IF(ORIG!G1648=0,"",ORIG!G1648)</f>
        <v/>
      </c>
      <c r="H1648" s="3">
        <f>IF(ORIG!H1648=0,"",ORIG!H1648)</f>
        <v/>
      </c>
      <c r="I1648" s="3">
        <f>IF(ORIG!I1648=0,"",ORIG!I1648)</f>
        <v/>
      </c>
      <c r="J1648" s="3">
        <f>IF(ORIG!J1648=0,"",ORIG!J1648)</f>
        <v/>
      </c>
      <c r="K1648" s="3">
        <f>IF(ORIG!K1648=0,"",ORIG!K1648)</f>
        <v/>
      </c>
      <c r="L1648" s="3">
        <f>IF(ORIG!L1648=0,"",ORIG!L1648)</f>
        <v/>
      </c>
      <c r="M1648" s="3">
        <f>IF(ORIG!M1648=0,"",ORIG!M1648)</f>
        <v/>
      </c>
      <c r="N1648" s="3">
        <f>IF(ORIG!N1648=0,"",ORIG!N1648)</f>
        <v/>
      </c>
      <c r="O1648" s="3">
        <f>IF(ORIG!O1648=0,"",ORIG!O1648)</f>
        <v/>
      </c>
      <c r="P1648" s="3">
        <f>IF(ORIG!P1648=0,"",ORIG!P1648)</f>
        <v/>
      </c>
      <c r="Q1648" s="3">
        <f>IF(ORIG!Q1648=0,"",ORIG!Q1648)</f>
        <v/>
      </c>
      <c r="R1648" s="3">
        <f>IF(ORIG!R1648=0,"",ORIG!R1648)</f>
        <v/>
      </c>
      <c r="S1648" s="3">
        <f>IF(ORIG!S1648=0,"",ORIG!S1648)</f>
        <v/>
      </c>
      <c r="T1648" s="3">
        <f>IF(ORIG!T1648=0,"",ORIG!T1648)</f>
        <v/>
      </c>
      <c r="U1648" s="3">
        <f>IF(ORIG!U1648=0,"",ORIG!U1648)</f>
        <v/>
      </c>
      <c r="V1648" s="9">
        <f>IF(ORIG!V1648=0,"",ORIG!V1648)</f>
        <v/>
      </c>
      <c r="W1648" s="9">
        <f>IF(ORIG!W1648=0,"",ORIG!W1648)</f>
        <v/>
      </c>
      <c r="X1648" s="9">
        <f>IF(ORIG!X1648=0,"",ORIG!X1648)</f>
        <v/>
      </c>
      <c r="Y1648" s="9">
        <f>IF(ORIG!Y1648=0,"",ORIG!Y1648)</f>
        <v/>
      </c>
      <c r="Z1648" s="3">
        <f>SUMPRODUCT($B1648:$Y1648,$B$2649:$Y$2649)</f>
        <v/>
      </c>
      <c r="AA1648" s="3">
        <f>SUMPRODUCT($B1648:$Y1648,$B$2655:$Y$2655)</f>
        <v/>
      </c>
      <c r="AC1648" s="1">
        <f>A1648</f>
        <v/>
      </c>
      <c r="AD1648">
        <f>IF(ISNUMBER(V1648),V1648*($AB$1/V$2635),"")</f>
        <v/>
      </c>
      <c r="AE1648">
        <f>IF(ISNUMBER(Z1648),Z1648*($AB$1/Z$2635),"")</f>
        <v/>
      </c>
      <c r="AF1648" s="25">
        <f>IF(ISNUMBER(AD1648+AE1648),AD1648+AE1648,"")</f>
        <v/>
      </c>
      <c r="AH1648" s="1">
        <f>A1648</f>
        <v/>
      </c>
      <c r="AI1648">
        <f>IF(ISNUMBER((1+V1648)*AI1647),(1+V1648)*AI1647,AI1647)</f>
        <v/>
      </c>
      <c r="AJ1648">
        <f>IF(ISNUMBER((1+Z1648)*AJ1647),(1+Z1648)*AJ1647,AJ1647)</f>
        <v/>
      </c>
    </row>
    <row r="1649">
      <c r="A1649" s="1" t="n">
        <v>44396</v>
      </c>
      <c r="B1649" s="3">
        <f>IF(ORIG!B1649=0,"",ORIG!B1649)</f>
        <v/>
      </c>
      <c r="C1649" s="3">
        <f>IF(ORIG!C1649=0,"",ORIG!C1649)</f>
        <v/>
      </c>
      <c r="D1649" s="3">
        <f>IF(ORIG!D1649=0,"",ORIG!D1649)</f>
        <v/>
      </c>
      <c r="E1649" s="3">
        <f>IF(ORIG!E1649=0,"",ORIG!E1649)</f>
        <v/>
      </c>
      <c r="F1649" s="3">
        <f>IF(ORIG!F1649=0,"",ORIG!F1649)</f>
        <v/>
      </c>
      <c r="G1649" s="3">
        <f>IF(ORIG!G1649=0,"",ORIG!G1649)</f>
        <v/>
      </c>
      <c r="H1649" s="3">
        <f>IF(ORIG!H1649=0,"",ORIG!H1649)</f>
        <v/>
      </c>
      <c r="I1649" s="3">
        <f>IF(ORIG!I1649=0,"",ORIG!I1649)</f>
        <v/>
      </c>
      <c r="J1649" s="3">
        <f>IF(ORIG!J1649=0,"",ORIG!J1649)</f>
        <v/>
      </c>
      <c r="K1649" s="3">
        <f>IF(ORIG!K1649=0,"",ORIG!K1649)</f>
        <v/>
      </c>
      <c r="L1649" s="3">
        <f>IF(ORIG!L1649=0,"",ORIG!L1649)</f>
        <v/>
      </c>
      <c r="M1649" s="3">
        <f>IF(ORIG!M1649=0,"",ORIG!M1649)</f>
        <v/>
      </c>
      <c r="N1649" s="3">
        <f>IF(ORIG!N1649=0,"",ORIG!N1649)</f>
        <v/>
      </c>
      <c r="O1649" s="3">
        <f>IF(ORIG!O1649=0,"",ORIG!O1649)</f>
        <v/>
      </c>
      <c r="P1649" s="3">
        <f>IF(ORIG!P1649=0,"",ORIG!P1649)</f>
        <v/>
      </c>
      <c r="Q1649" s="3">
        <f>IF(ORIG!Q1649=0,"",ORIG!Q1649)</f>
        <v/>
      </c>
      <c r="R1649" s="3">
        <f>IF(ORIG!R1649=0,"",ORIG!R1649)</f>
        <v/>
      </c>
      <c r="S1649" s="3">
        <f>IF(ORIG!S1649=0,"",ORIG!S1649)</f>
        <v/>
      </c>
      <c r="T1649" s="3">
        <f>IF(ORIG!T1649=0,"",ORIG!T1649)</f>
        <v/>
      </c>
      <c r="U1649" s="3">
        <f>IF(ORIG!U1649=0,"",ORIG!U1649)</f>
        <v/>
      </c>
      <c r="V1649" s="9">
        <f>IF(ORIG!V1649=0,"",ORIG!V1649)</f>
        <v/>
      </c>
      <c r="W1649" s="9">
        <f>IF(ORIG!W1649=0,"",ORIG!W1649)</f>
        <v/>
      </c>
      <c r="X1649" s="9">
        <f>IF(ORIG!X1649=0,"",ORIG!X1649)</f>
        <v/>
      </c>
      <c r="Y1649" s="9">
        <f>IF(ORIG!Y1649=0,"",ORIG!Y1649)</f>
        <v/>
      </c>
      <c r="Z1649" s="3">
        <f>SUMPRODUCT($B1649:$Y1649,$B$2649:$Y$2649)</f>
        <v/>
      </c>
      <c r="AA1649" s="3">
        <f>SUMPRODUCT($B1649:$Y1649,$B$2655:$Y$2655)</f>
        <v/>
      </c>
      <c r="AC1649" s="1">
        <f>A1649</f>
        <v/>
      </c>
      <c r="AD1649">
        <f>IF(ISNUMBER(V1649),V1649*($AB$1/V$2635),"")</f>
        <v/>
      </c>
      <c r="AE1649">
        <f>IF(ISNUMBER(Z1649),Z1649*($AB$1/Z$2635),"")</f>
        <v/>
      </c>
      <c r="AF1649" s="25">
        <f>IF(ISNUMBER(AD1649+AE1649),AD1649+AE1649,"")</f>
        <v/>
      </c>
      <c r="AH1649" s="1">
        <f>A1649</f>
        <v/>
      </c>
      <c r="AI1649">
        <f>IF(ISNUMBER((1+V1649)*AI1648),(1+V1649)*AI1648,AI1648)</f>
        <v/>
      </c>
      <c r="AJ1649">
        <f>IF(ISNUMBER((1+Z1649)*AJ1648),(1+Z1649)*AJ1648,AJ1648)</f>
        <v/>
      </c>
    </row>
    <row r="1650">
      <c r="A1650" s="1" t="n">
        <v>44397</v>
      </c>
      <c r="B1650" s="3">
        <f>IF(ORIG!B1650=0,"",ORIG!B1650)</f>
        <v/>
      </c>
      <c r="C1650" s="3">
        <f>IF(ORIG!C1650=0,"",ORIG!C1650)</f>
        <v/>
      </c>
      <c r="D1650" s="3">
        <f>IF(ORIG!D1650=0,"",ORIG!D1650)</f>
        <v/>
      </c>
      <c r="E1650" s="3">
        <f>IF(ORIG!E1650=0,"",ORIG!E1650)</f>
        <v/>
      </c>
      <c r="F1650" s="3">
        <f>IF(ORIG!F1650=0,"",ORIG!F1650)</f>
        <v/>
      </c>
      <c r="G1650" s="3">
        <f>IF(ORIG!G1650=0,"",ORIG!G1650)</f>
        <v/>
      </c>
      <c r="H1650" s="3">
        <f>IF(ORIG!H1650=0,"",ORIG!H1650)</f>
        <v/>
      </c>
      <c r="I1650" s="3">
        <f>IF(ORIG!I1650=0,"",ORIG!I1650)</f>
        <v/>
      </c>
      <c r="J1650" s="3">
        <f>IF(ORIG!J1650=0,"",ORIG!J1650)</f>
        <v/>
      </c>
      <c r="K1650" s="3">
        <f>IF(ORIG!K1650=0,"",ORIG!K1650)</f>
        <v/>
      </c>
      <c r="L1650" s="3">
        <f>IF(ORIG!L1650=0,"",ORIG!L1650)</f>
        <v/>
      </c>
      <c r="M1650" s="3">
        <f>IF(ORIG!M1650=0,"",ORIG!M1650)</f>
        <v/>
      </c>
      <c r="N1650" s="3">
        <f>IF(ORIG!N1650=0,"",ORIG!N1650)</f>
        <v/>
      </c>
      <c r="O1650" s="3">
        <f>IF(ORIG!O1650=0,"",ORIG!O1650)</f>
        <v/>
      </c>
      <c r="P1650" s="3">
        <f>IF(ORIG!P1650=0,"",ORIG!P1650)</f>
        <v/>
      </c>
      <c r="Q1650" s="3">
        <f>IF(ORIG!Q1650=0,"",ORIG!Q1650)</f>
        <v/>
      </c>
      <c r="R1650" s="3">
        <f>IF(ORIG!R1650=0,"",ORIG!R1650)</f>
        <v/>
      </c>
      <c r="S1650" s="3">
        <f>IF(ORIG!S1650=0,"",ORIG!S1650)</f>
        <v/>
      </c>
      <c r="T1650" s="3">
        <f>IF(ORIG!T1650=0,"",ORIG!T1650)</f>
        <v/>
      </c>
      <c r="U1650" s="3">
        <f>IF(ORIG!U1650=0,"",ORIG!U1650)</f>
        <v/>
      </c>
      <c r="V1650" s="9">
        <f>IF(ORIG!V1650=0,"",ORIG!V1650)</f>
        <v/>
      </c>
      <c r="W1650" s="9">
        <f>IF(ORIG!W1650=0,"",ORIG!W1650)</f>
        <v/>
      </c>
      <c r="X1650" s="9">
        <f>IF(ORIG!X1650=0,"",ORIG!X1650)</f>
        <v/>
      </c>
      <c r="Y1650" s="9">
        <f>IF(ORIG!Y1650=0,"",ORIG!Y1650)</f>
        <v/>
      </c>
      <c r="Z1650" s="3">
        <f>SUMPRODUCT($B1650:$Y1650,$B$2649:$Y$2649)</f>
        <v/>
      </c>
      <c r="AA1650" s="3">
        <f>SUMPRODUCT($B1650:$Y1650,$B$2655:$Y$2655)</f>
        <v/>
      </c>
      <c r="AC1650" s="1">
        <f>A1650</f>
        <v/>
      </c>
      <c r="AD1650">
        <f>IF(ISNUMBER(V1650),V1650*($AB$1/V$2635),"")</f>
        <v/>
      </c>
      <c r="AE1650">
        <f>IF(ISNUMBER(Z1650),Z1650*($AB$1/Z$2635),"")</f>
        <v/>
      </c>
      <c r="AF1650" s="25">
        <f>IF(ISNUMBER(AD1650+AE1650),AD1650+AE1650,"")</f>
        <v/>
      </c>
      <c r="AH1650" s="1">
        <f>A1650</f>
        <v/>
      </c>
      <c r="AI1650">
        <f>IF(ISNUMBER((1+V1650)*AI1649),(1+V1650)*AI1649,AI1649)</f>
        <v/>
      </c>
      <c r="AJ1650">
        <f>IF(ISNUMBER((1+Z1650)*AJ1649),(1+Z1650)*AJ1649,AJ1649)</f>
        <v/>
      </c>
    </row>
    <row r="1651">
      <c r="A1651" s="1" t="n">
        <v>44398</v>
      </c>
      <c r="B1651" s="3">
        <f>IF(ORIG!B1651=0,"",ORIG!B1651)</f>
        <v/>
      </c>
      <c r="C1651" s="3">
        <f>IF(ORIG!C1651=0,"",ORIG!C1651)</f>
        <v/>
      </c>
      <c r="D1651" s="3">
        <f>IF(ORIG!D1651=0,"",ORIG!D1651)</f>
        <v/>
      </c>
      <c r="E1651" s="3">
        <f>IF(ORIG!E1651=0,"",ORIG!E1651)</f>
        <v/>
      </c>
      <c r="F1651" s="3">
        <f>IF(ORIG!F1651=0,"",ORIG!F1651)</f>
        <v/>
      </c>
      <c r="G1651" s="3">
        <f>IF(ORIG!G1651=0,"",ORIG!G1651)</f>
        <v/>
      </c>
      <c r="H1651" s="3">
        <f>IF(ORIG!H1651=0,"",ORIG!H1651)</f>
        <v/>
      </c>
      <c r="I1651" s="3">
        <f>IF(ORIG!I1651=0,"",ORIG!I1651)</f>
        <v/>
      </c>
      <c r="J1651" s="3">
        <f>IF(ORIG!J1651=0,"",ORIG!J1651)</f>
        <v/>
      </c>
      <c r="K1651" s="3">
        <f>IF(ORIG!K1651=0,"",ORIG!K1651)</f>
        <v/>
      </c>
      <c r="L1651" s="3">
        <f>IF(ORIG!L1651=0,"",ORIG!L1651)</f>
        <v/>
      </c>
      <c r="M1651" s="3">
        <f>IF(ORIG!M1651=0,"",ORIG!M1651)</f>
        <v/>
      </c>
      <c r="N1651" s="3">
        <f>IF(ORIG!N1651=0,"",ORIG!N1651)</f>
        <v/>
      </c>
      <c r="O1651" s="3">
        <f>IF(ORIG!O1651=0,"",ORIG!O1651)</f>
        <v/>
      </c>
      <c r="P1651" s="3">
        <f>IF(ORIG!P1651=0,"",ORIG!P1651)</f>
        <v/>
      </c>
      <c r="Q1651" s="3">
        <f>IF(ORIG!Q1651=0,"",ORIG!Q1651)</f>
        <v/>
      </c>
      <c r="R1651" s="3">
        <f>IF(ORIG!R1651=0,"",ORIG!R1651)</f>
        <v/>
      </c>
      <c r="S1651" s="3">
        <f>IF(ORIG!S1651=0,"",ORIG!S1651)</f>
        <v/>
      </c>
      <c r="T1651" s="3">
        <f>IF(ORIG!T1651=0,"",ORIG!T1651)</f>
        <v/>
      </c>
      <c r="U1651" s="3">
        <f>IF(ORIG!U1651=0,"",ORIG!U1651)</f>
        <v/>
      </c>
      <c r="V1651" s="9">
        <f>IF(ORIG!V1651=0,"",ORIG!V1651)</f>
        <v/>
      </c>
      <c r="W1651" s="9">
        <f>IF(ORIG!W1651=0,"",ORIG!W1651)</f>
        <v/>
      </c>
      <c r="X1651" s="9">
        <f>IF(ORIG!X1651=0,"",ORIG!X1651)</f>
        <v/>
      </c>
      <c r="Y1651" s="9">
        <f>IF(ORIG!Y1651=0,"",ORIG!Y1651)</f>
        <v/>
      </c>
      <c r="Z1651" s="3">
        <f>SUMPRODUCT($B1651:$Y1651,$B$2649:$Y$2649)</f>
        <v/>
      </c>
      <c r="AA1651" s="3">
        <f>SUMPRODUCT($B1651:$Y1651,$B$2655:$Y$2655)</f>
        <v/>
      </c>
      <c r="AC1651" s="1">
        <f>A1651</f>
        <v/>
      </c>
      <c r="AD1651">
        <f>IF(ISNUMBER(V1651),V1651*($AB$1/V$2635),"")</f>
        <v/>
      </c>
      <c r="AE1651">
        <f>IF(ISNUMBER(Z1651),Z1651*($AB$1/Z$2635),"")</f>
        <v/>
      </c>
      <c r="AF1651" s="25">
        <f>IF(ISNUMBER(AD1651+AE1651),AD1651+AE1651,"")</f>
        <v/>
      </c>
      <c r="AH1651" s="1">
        <f>A1651</f>
        <v/>
      </c>
      <c r="AI1651">
        <f>IF(ISNUMBER((1+V1651)*AI1650),(1+V1651)*AI1650,AI1650)</f>
        <v/>
      </c>
      <c r="AJ1651">
        <f>IF(ISNUMBER((1+Z1651)*AJ1650),(1+Z1651)*AJ1650,AJ1650)</f>
        <v/>
      </c>
    </row>
    <row r="1652">
      <c r="A1652" s="1" t="n">
        <v>44399</v>
      </c>
      <c r="B1652" s="3">
        <f>IF(ORIG!B1652=0,"",ORIG!B1652)</f>
        <v/>
      </c>
      <c r="C1652" s="3">
        <f>IF(ORIG!C1652=0,"",ORIG!C1652)</f>
        <v/>
      </c>
      <c r="D1652" s="3">
        <f>IF(ORIG!D1652=0,"",ORIG!D1652)</f>
        <v/>
      </c>
      <c r="E1652" s="3">
        <f>IF(ORIG!E1652=0,"",ORIG!E1652)</f>
        <v/>
      </c>
      <c r="F1652" s="3">
        <f>IF(ORIG!F1652=0,"",ORIG!F1652)</f>
        <v/>
      </c>
      <c r="G1652" s="3">
        <f>IF(ORIG!G1652=0,"",ORIG!G1652)</f>
        <v/>
      </c>
      <c r="H1652" s="3">
        <f>IF(ORIG!H1652=0,"",ORIG!H1652)</f>
        <v/>
      </c>
      <c r="I1652" s="3">
        <f>IF(ORIG!I1652=0,"",ORIG!I1652)</f>
        <v/>
      </c>
      <c r="J1652" s="3">
        <f>IF(ORIG!J1652=0,"",ORIG!J1652)</f>
        <v/>
      </c>
      <c r="K1652" s="3">
        <f>IF(ORIG!K1652=0,"",ORIG!K1652)</f>
        <v/>
      </c>
      <c r="L1652" s="3">
        <f>IF(ORIG!L1652=0,"",ORIG!L1652)</f>
        <v/>
      </c>
      <c r="M1652" s="3">
        <f>IF(ORIG!M1652=0,"",ORIG!M1652)</f>
        <v/>
      </c>
      <c r="N1652" s="3">
        <f>IF(ORIG!N1652=0,"",ORIG!N1652)</f>
        <v/>
      </c>
      <c r="O1652" s="3">
        <f>IF(ORIG!O1652=0,"",ORIG!O1652)</f>
        <v/>
      </c>
      <c r="P1652" s="3">
        <f>IF(ORIG!P1652=0,"",ORIG!P1652)</f>
        <v/>
      </c>
      <c r="Q1652" s="3">
        <f>IF(ORIG!Q1652=0,"",ORIG!Q1652)</f>
        <v/>
      </c>
      <c r="R1652" s="3">
        <f>IF(ORIG!R1652=0,"",ORIG!R1652)</f>
        <v/>
      </c>
      <c r="S1652" s="3">
        <f>IF(ORIG!S1652=0,"",ORIG!S1652)</f>
        <v/>
      </c>
      <c r="T1652" s="3">
        <f>IF(ORIG!T1652=0,"",ORIG!T1652)</f>
        <v/>
      </c>
      <c r="U1652" s="3">
        <f>IF(ORIG!U1652=0,"",ORIG!U1652)</f>
        <v/>
      </c>
      <c r="V1652" s="9">
        <f>IF(ORIG!V1652=0,"",ORIG!V1652)</f>
        <v/>
      </c>
      <c r="W1652" s="9">
        <f>IF(ORIG!W1652=0,"",ORIG!W1652)</f>
        <v/>
      </c>
      <c r="X1652" s="9">
        <f>IF(ORIG!X1652=0,"",ORIG!X1652)</f>
        <v/>
      </c>
      <c r="Y1652" s="9">
        <f>IF(ORIG!Y1652=0,"",ORIG!Y1652)</f>
        <v/>
      </c>
      <c r="Z1652" s="3">
        <f>SUMPRODUCT($B1652:$Y1652,$B$2649:$Y$2649)</f>
        <v/>
      </c>
      <c r="AA1652" s="3">
        <f>SUMPRODUCT($B1652:$Y1652,$B$2655:$Y$2655)</f>
        <v/>
      </c>
      <c r="AC1652" s="1">
        <f>A1652</f>
        <v/>
      </c>
      <c r="AD1652">
        <f>IF(ISNUMBER(V1652),V1652*($AB$1/V$2635),"")</f>
        <v/>
      </c>
      <c r="AE1652">
        <f>IF(ISNUMBER(Z1652),Z1652*($AB$1/Z$2635),"")</f>
        <v/>
      </c>
      <c r="AF1652" s="25">
        <f>IF(ISNUMBER(AD1652+AE1652),AD1652+AE1652,"")</f>
        <v/>
      </c>
      <c r="AH1652" s="1">
        <f>A1652</f>
        <v/>
      </c>
      <c r="AI1652">
        <f>IF(ISNUMBER((1+V1652)*AI1651),(1+V1652)*AI1651,AI1651)</f>
        <v/>
      </c>
      <c r="AJ1652">
        <f>IF(ISNUMBER((1+Z1652)*AJ1651),(1+Z1652)*AJ1651,AJ1651)</f>
        <v/>
      </c>
    </row>
    <row r="1653">
      <c r="A1653" s="1" t="n">
        <v>44400</v>
      </c>
      <c r="B1653" s="3">
        <f>IF(ORIG!B1653=0,"",ORIG!B1653)</f>
        <v/>
      </c>
      <c r="C1653" s="3">
        <f>IF(ORIG!C1653=0,"",ORIG!C1653)</f>
        <v/>
      </c>
      <c r="D1653" s="3">
        <f>IF(ORIG!D1653=0,"",ORIG!D1653)</f>
        <v/>
      </c>
      <c r="E1653" s="3">
        <f>IF(ORIG!E1653=0,"",ORIG!E1653)</f>
        <v/>
      </c>
      <c r="F1653" s="3">
        <f>IF(ORIG!F1653=0,"",ORIG!F1653)</f>
        <v/>
      </c>
      <c r="G1653" s="3">
        <f>IF(ORIG!G1653=0,"",ORIG!G1653)</f>
        <v/>
      </c>
      <c r="H1653" s="3">
        <f>IF(ORIG!H1653=0,"",ORIG!H1653)</f>
        <v/>
      </c>
      <c r="I1653" s="3">
        <f>IF(ORIG!I1653=0,"",ORIG!I1653)</f>
        <v/>
      </c>
      <c r="J1653" s="3">
        <f>IF(ORIG!J1653=0,"",ORIG!J1653)</f>
        <v/>
      </c>
      <c r="K1653" s="3">
        <f>IF(ORIG!K1653=0,"",ORIG!K1653)</f>
        <v/>
      </c>
      <c r="L1653" s="3">
        <f>IF(ORIG!L1653=0,"",ORIG!L1653)</f>
        <v/>
      </c>
      <c r="M1653" s="3">
        <f>IF(ORIG!M1653=0,"",ORIG!M1653)</f>
        <v/>
      </c>
      <c r="N1653" s="3">
        <f>IF(ORIG!N1653=0,"",ORIG!N1653)</f>
        <v/>
      </c>
      <c r="O1653" s="3">
        <f>IF(ORIG!O1653=0,"",ORIG!O1653)</f>
        <v/>
      </c>
      <c r="P1653" s="3">
        <f>IF(ORIG!P1653=0,"",ORIG!P1653)</f>
        <v/>
      </c>
      <c r="Q1653" s="3">
        <f>IF(ORIG!Q1653=0,"",ORIG!Q1653)</f>
        <v/>
      </c>
      <c r="R1653" s="3">
        <f>IF(ORIG!R1653=0,"",ORIG!R1653)</f>
        <v/>
      </c>
      <c r="S1653" s="3">
        <f>IF(ORIG!S1653=0,"",ORIG!S1653)</f>
        <v/>
      </c>
      <c r="T1653" s="3">
        <f>IF(ORIG!T1653=0,"",ORIG!T1653)</f>
        <v/>
      </c>
      <c r="U1653" s="3">
        <f>IF(ORIG!U1653=0,"",ORIG!U1653)</f>
        <v/>
      </c>
      <c r="V1653" s="9">
        <f>IF(ORIG!V1653=0,"",ORIG!V1653)</f>
        <v/>
      </c>
      <c r="W1653" s="9">
        <f>IF(ORIG!W1653=0,"",ORIG!W1653)</f>
        <v/>
      </c>
      <c r="X1653" s="9">
        <f>IF(ORIG!X1653=0,"",ORIG!X1653)</f>
        <v/>
      </c>
      <c r="Y1653" s="9">
        <f>IF(ORIG!Y1653=0,"",ORIG!Y1653)</f>
        <v/>
      </c>
      <c r="Z1653" s="3">
        <f>SUMPRODUCT($B1653:$Y1653,$B$2649:$Y$2649)</f>
        <v/>
      </c>
      <c r="AA1653" s="3">
        <f>SUMPRODUCT($B1653:$Y1653,$B$2655:$Y$2655)</f>
        <v/>
      </c>
      <c r="AC1653" s="1">
        <f>A1653</f>
        <v/>
      </c>
      <c r="AD1653">
        <f>IF(ISNUMBER(V1653),V1653*($AB$1/V$2635),"")</f>
        <v/>
      </c>
      <c r="AE1653">
        <f>IF(ISNUMBER(Z1653),Z1653*($AB$1/Z$2635),"")</f>
        <v/>
      </c>
      <c r="AF1653" s="25">
        <f>IF(ISNUMBER(AD1653+AE1653),AD1653+AE1653,"")</f>
        <v/>
      </c>
      <c r="AH1653" s="1">
        <f>A1653</f>
        <v/>
      </c>
      <c r="AI1653">
        <f>IF(ISNUMBER((1+V1653)*AI1652),(1+V1653)*AI1652,AI1652)</f>
        <v/>
      </c>
      <c r="AJ1653">
        <f>IF(ISNUMBER((1+Z1653)*AJ1652),(1+Z1653)*AJ1652,AJ1652)</f>
        <v/>
      </c>
    </row>
    <row r="1654">
      <c r="A1654" s="1" t="n">
        <v>44403</v>
      </c>
      <c r="B1654" s="3">
        <f>IF(ORIG!B1654=0,"",ORIG!B1654)</f>
        <v/>
      </c>
      <c r="C1654" s="3">
        <f>IF(ORIG!C1654=0,"",ORIG!C1654)</f>
        <v/>
      </c>
      <c r="D1654" s="3">
        <f>IF(ORIG!D1654=0,"",ORIG!D1654)</f>
        <v/>
      </c>
      <c r="E1654" s="3">
        <f>IF(ORIG!E1654=0,"",ORIG!E1654)</f>
        <v/>
      </c>
      <c r="F1654" s="3">
        <f>IF(ORIG!F1654=0,"",ORIG!F1654)</f>
        <v/>
      </c>
      <c r="G1654" s="3">
        <f>IF(ORIG!G1654=0,"",ORIG!G1654)</f>
        <v/>
      </c>
      <c r="H1654" s="3">
        <f>IF(ORIG!H1654=0,"",ORIG!H1654)</f>
        <v/>
      </c>
      <c r="I1654" s="3">
        <f>IF(ORIG!I1654=0,"",ORIG!I1654)</f>
        <v/>
      </c>
      <c r="J1654" s="3">
        <f>IF(ORIG!J1654=0,"",ORIG!J1654)</f>
        <v/>
      </c>
      <c r="K1654" s="3">
        <f>IF(ORIG!K1654=0,"",ORIG!K1654)</f>
        <v/>
      </c>
      <c r="L1654" s="3">
        <f>IF(ORIG!L1654=0,"",ORIG!L1654)</f>
        <v/>
      </c>
      <c r="M1654" s="3">
        <f>IF(ORIG!M1654=0,"",ORIG!M1654)</f>
        <v/>
      </c>
      <c r="N1654" s="3">
        <f>IF(ORIG!N1654=0,"",ORIG!N1654)</f>
        <v/>
      </c>
      <c r="O1654" s="3">
        <f>IF(ORIG!O1654=0,"",ORIG!O1654)</f>
        <v/>
      </c>
      <c r="P1654" s="3">
        <f>IF(ORIG!P1654=0,"",ORIG!P1654)</f>
        <v/>
      </c>
      <c r="Q1654" s="3">
        <f>IF(ORIG!Q1654=0,"",ORIG!Q1654)</f>
        <v/>
      </c>
      <c r="R1654" s="3">
        <f>IF(ORIG!R1654=0,"",ORIG!R1654)</f>
        <v/>
      </c>
      <c r="S1654" s="3">
        <f>IF(ORIG!S1654=0,"",ORIG!S1654)</f>
        <v/>
      </c>
      <c r="T1654" s="3">
        <f>IF(ORIG!T1654=0,"",ORIG!T1654)</f>
        <v/>
      </c>
      <c r="U1654" s="3">
        <f>IF(ORIG!U1654=0,"",ORIG!U1654)</f>
        <v/>
      </c>
      <c r="V1654" s="9">
        <f>IF(ORIG!V1654=0,"",ORIG!V1654)</f>
        <v/>
      </c>
      <c r="W1654" s="9">
        <f>IF(ORIG!W1654=0,"",ORIG!W1654)</f>
        <v/>
      </c>
      <c r="X1654" s="9">
        <f>IF(ORIG!X1654=0,"",ORIG!X1654)</f>
        <v/>
      </c>
      <c r="Y1654" s="9">
        <f>IF(ORIG!Y1654=0,"",ORIG!Y1654)</f>
        <v/>
      </c>
      <c r="Z1654" s="3">
        <f>SUMPRODUCT($B1654:$Y1654,$B$2649:$Y$2649)</f>
        <v/>
      </c>
      <c r="AA1654" s="3">
        <f>SUMPRODUCT($B1654:$Y1654,$B$2655:$Y$2655)</f>
        <v/>
      </c>
      <c r="AC1654" s="1">
        <f>A1654</f>
        <v/>
      </c>
      <c r="AD1654">
        <f>IF(ISNUMBER(V1654),V1654*($AB$1/V$2635),"")</f>
        <v/>
      </c>
      <c r="AE1654">
        <f>IF(ISNUMBER(Z1654),Z1654*($AB$1/Z$2635),"")</f>
        <v/>
      </c>
      <c r="AF1654" s="25">
        <f>IF(ISNUMBER(AD1654+AE1654),AD1654+AE1654,"")</f>
        <v/>
      </c>
      <c r="AH1654" s="1">
        <f>A1654</f>
        <v/>
      </c>
      <c r="AI1654">
        <f>IF(ISNUMBER((1+V1654)*AI1653),(1+V1654)*AI1653,AI1653)</f>
        <v/>
      </c>
      <c r="AJ1654">
        <f>IF(ISNUMBER((1+Z1654)*AJ1653),(1+Z1654)*AJ1653,AJ1653)</f>
        <v/>
      </c>
    </row>
    <row r="1655">
      <c r="A1655" s="1" t="n">
        <v>44404</v>
      </c>
      <c r="B1655" s="3">
        <f>IF(ORIG!B1655=0,"",ORIG!B1655)</f>
        <v/>
      </c>
      <c r="C1655" s="3">
        <f>IF(ORIG!C1655=0,"",ORIG!C1655)</f>
        <v/>
      </c>
      <c r="D1655" s="3">
        <f>IF(ORIG!D1655=0,"",ORIG!D1655)</f>
        <v/>
      </c>
      <c r="E1655" s="3">
        <f>IF(ORIG!E1655=0,"",ORIG!E1655)</f>
        <v/>
      </c>
      <c r="F1655" s="3">
        <f>IF(ORIG!F1655=0,"",ORIG!F1655)</f>
        <v/>
      </c>
      <c r="G1655" s="3">
        <f>IF(ORIG!G1655=0,"",ORIG!G1655)</f>
        <v/>
      </c>
      <c r="H1655" s="3">
        <f>IF(ORIG!H1655=0,"",ORIG!H1655)</f>
        <v/>
      </c>
      <c r="I1655" s="3">
        <f>IF(ORIG!I1655=0,"",ORIG!I1655)</f>
        <v/>
      </c>
      <c r="J1655" s="3">
        <f>IF(ORIG!J1655=0,"",ORIG!J1655)</f>
        <v/>
      </c>
      <c r="K1655" s="3">
        <f>IF(ORIG!K1655=0,"",ORIG!K1655)</f>
        <v/>
      </c>
      <c r="L1655" s="3">
        <f>IF(ORIG!L1655=0,"",ORIG!L1655)</f>
        <v/>
      </c>
      <c r="M1655" s="3">
        <f>IF(ORIG!M1655=0,"",ORIG!M1655)</f>
        <v/>
      </c>
      <c r="N1655" s="3">
        <f>IF(ORIG!N1655=0,"",ORIG!N1655)</f>
        <v/>
      </c>
      <c r="O1655" s="3">
        <f>IF(ORIG!O1655=0,"",ORIG!O1655)</f>
        <v/>
      </c>
      <c r="P1655" s="3">
        <f>IF(ORIG!P1655=0,"",ORIG!P1655)</f>
        <v/>
      </c>
      <c r="Q1655" s="3">
        <f>IF(ORIG!Q1655=0,"",ORIG!Q1655)</f>
        <v/>
      </c>
      <c r="R1655" s="3">
        <f>IF(ORIG!R1655=0,"",ORIG!R1655)</f>
        <v/>
      </c>
      <c r="S1655" s="3">
        <f>IF(ORIG!S1655=0,"",ORIG!S1655)</f>
        <v/>
      </c>
      <c r="T1655" s="3">
        <f>IF(ORIG!T1655=0,"",ORIG!T1655)</f>
        <v/>
      </c>
      <c r="U1655" s="3">
        <f>IF(ORIG!U1655=0,"",ORIG!U1655)</f>
        <v/>
      </c>
      <c r="V1655" s="9">
        <f>IF(ORIG!V1655=0,"",ORIG!V1655)</f>
        <v/>
      </c>
      <c r="W1655" s="9">
        <f>IF(ORIG!W1655=0,"",ORIG!W1655)</f>
        <v/>
      </c>
      <c r="X1655" s="9">
        <f>IF(ORIG!X1655=0,"",ORIG!X1655)</f>
        <v/>
      </c>
      <c r="Y1655" s="9">
        <f>IF(ORIG!Y1655=0,"",ORIG!Y1655)</f>
        <v/>
      </c>
      <c r="Z1655" s="3">
        <f>SUMPRODUCT($B1655:$Y1655,$B$2649:$Y$2649)</f>
        <v/>
      </c>
      <c r="AA1655" s="3">
        <f>SUMPRODUCT($B1655:$Y1655,$B$2655:$Y$2655)</f>
        <v/>
      </c>
      <c r="AC1655" s="1">
        <f>A1655</f>
        <v/>
      </c>
      <c r="AD1655">
        <f>IF(ISNUMBER(V1655),V1655*($AB$1/V$2635),"")</f>
        <v/>
      </c>
      <c r="AE1655">
        <f>IF(ISNUMBER(Z1655),Z1655*($AB$1/Z$2635),"")</f>
        <v/>
      </c>
      <c r="AF1655" s="25">
        <f>IF(ISNUMBER(AD1655+AE1655),AD1655+AE1655,"")</f>
        <v/>
      </c>
      <c r="AH1655" s="1">
        <f>A1655</f>
        <v/>
      </c>
      <c r="AI1655">
        <f>IF(ISNUMBER((1+V1655)*AI1654),(1+V1655)*AI1654,AI1654)</f>
        <v/>
      </c>
      <c r="AJ1655">
        <f>IF(ISNUMBER((1+Z1655)*AJ1654),(1+Z1655)*AJ1654,AJ1654)</f>
        <v/>
      </c>
    </row>
    <row r="1656">
      <c r="A1656" s="1" t="n">
        <v>44405</v>
      </c>
      <c r="B1656" s="3">
        <f>IF(ORIG!B1656=0,"",ORIG!B1656)</f>
        <v/>
      </c>
      <c r="C1656" s="3">
        <f>IF(ORIG!C1656=0,"",ORIG!C1656)</f>
        <v/>
      </c>
      <c r="D1656" s="3">
        <f>IF(ORIG!D1656=0,"",ORIG!D1656)</f>
        <v/>
      </c>
      <c r="E1656" s="3">
        <f>IF(ORIG!E1656=0,"",ORIG!E1656)</f>
        <v/>
      </c>
      <c r="F1656" s="3">
        <f>IF(ORIG!F1656=0,"",ORIG!F1656)</f>
        <v/>
      </c>
      <c r="G1656" s="3">
        <f>IF(ORIG!G1656=0,"",ORIG!G1656)</f>
        <v/>
      </c>
      <c r="H1656" s="3">
        <f>IF(ORIG!H1656=0,"",ORIG!H1656)</f>
        <v/>
      </c>
      <c r="I1656" s="3">
        <f>IF(ORIG!I1656=0,"",ORIG!I1656)</f>
        <v/>
      </c>
      <c r="J1656" s="3">
        <f>IF(ORIG!J1656=0,"",ORIG!J1656)</f>
        <v/>
      </c>
      <c r="K1656" s="3">
        <f>IF(ORIG!K1656=0,"",ORIG!K1656)</f>
        <v/>
      </c>
      <c r="L1656" s="3">
        <f>IF(ORIG!L1656=0,"",ORIG!L1656)</f>
        <v/>
      </c>
      <c r="M1656" s="3">
        <f>IF(ORIG!M1656=0,"",ORIG!M1656)</f>
        <v/>
      </c>
      <c r="N1656" s="3">
        <f>IF(ORIG!N1656=0,"",ORIG!N1656)</f>
        <v/>
      </c>
      <c r="O1656" s="3">
        <f>IF(ORIG!O1656=0,"",ORIG!O1656)</f>
        <v/>
      </c>
      <c r="P1656" s="3">
        <f>IF(ORIG!P1656=0,"",ORIG!P1656)</f>
        <v/>
      </c>
      <c r="Q1656" s="3">
        <f>IF(ORIG!Q1656=0,"",ORIG!Q1656)</f>
        <v/>
      </c>
      <c r="R1656" s="3">
        <f>IF(ORIG!R1656=0,"",ORIG!R1656)</f>
        <v/>
      </c>
      <c r="S1656" s="3">
        <f>IF(ORIG!S1656=0,"",ORIG!S1656)</f>
        <v/>
      </c>
      <c r="T1656" s="3">
        <f>IF(ORIG!T1656=0,"",ORIG!T1656)</f>
        <v/>
      </c>
      <c r="U1656" s="3">
        <f>IF(ORIG!U1656=0,"",ORIG!U1656)</f>
        <v/>
      </c>
      <c r="V1656" s="9">
        <f>IF(ORIG!V1656=0,"",ORIG!V1656)</f>
        <v/>
      </c>
      <c r="W1656" s="9">
        <f>IF(ORIG!W1656=0,"",ORIG!W1656)</f>
        <v/>
      </c>
      <c r="X1656" s="9">
        <f>IF(ORIG!X1656=0,"",ORIG!X1656)</f>
        <v/>
      </c>
      <c r="Y1656" s="9">
        <f>IF(ORIG!Y1656=0,"",ORIG!Y1656)</f>
        <v/>
      </c>
      <c r="Z1656" s="3">
        <f>SUMPRODUCT($B1656:$Y1656,$B$2649:$Y$2649)</f>
        <v/>
      </c>
      <c r="AA1656" s="3">
        <f>SUMPRODUCT($B1656:$Y1656,$B$2655:$Y$2655)</f>
        <v/>
      </c>
      <c r="AC1656" s="1">
        <f>A1656</f>
        <v/>
      </c>
      <c r="AD1656">
        <f>IF(ISNUMBER(V1656),V1656*($AB$1/V$2635),"")</f>
        <v/>
      </c>
      <c r="AE1656">
        <f>IF(ISNUMBER(Z1656),Z1656*($AB$1/Z$2635),"")</f>
        <v/>
      </c>
      <c r="AF1656" s="25">
        <f>IF(ISNUMBER(AD1656+AE1656),AD1656+AE1656,"")</f>
        <v/>
      </c>
      <c r="AH1656" s="1">
        <f>A1656</f>
        <v/>
      </c>
      <c r="AI1656">
        <f>IF(ISNUMBER((1+V1656)*AI1655),(1+V1656)*AI1655,AI1655)</f>
        <v/>
      </c>
      <c r="AJ1656">
        <f>IF(ISNUMBER((1+Z1656)*AJ1655),(1+Z1656)*AJ1655,AJ1655)</f>
        <v/>
      </c>
    </row>
    <row r="1657">
      <c r="A1657" s="1" t="n">
        <v>44406</v>
      </c>
      <c r="B1657" s="3">
        <f>IF(ORIG!B1657=0,"",ORIG!B1657)</f>
        <v/>
      </c>
      <c r="C1657" s="3">
        <f>IF(ORIG!C1657=0,"",ORIG!C1657)</f>
        <v/>
      </c>
      <c r="D1657" s="3">
        <f>IF(ORIG!D1657=0,"",ORIG!D1657)</f>
        <v/>
      </c>
      <c r="E1657" s="3">
        <f>IF(ORIG!E1657=0,"",ORIG!E1657)</f>
        <v/>
      </c>
      <c r="F1657" s="3">
        <f>IF(ORIG!F1657=0,"",ORIG!F1657)</f>
        <v/>
      </c>
      <c r="G1657" s="3">
        <f>IF(ORIG!G1657=0,"",ORIG!G1657)</f>
        <v/>
      </c>
      <c r="H1657" s="3">
        <f>IF(ORIG!H1657=0,"",ORIG!H1657)</f>
        <v/>
      </c>
      <c r="I1657" s="3">
        <f>IF(ORIG!I1657=0,"",ORIG!I1657)</f>
        <v/>
      </c>
      <c r="J1657" s="3">
        <f>IF(ORIG!J1657=0,"",ORIG!J1657)</f>
        <v/>
      </c>
      <c r="K1657" s="3">
        <f>IF(ORIG!K1657=0,"",ORIG!K1657)</f>
        <v/>
      </c>
      <c r="L1657" s="3">
        <f>IF(ORIG!L1657=0,"",ORIG!L1657)</f>
        <v/>
      </c>
      <c r="M1657" s="3">
        <f>IF(ORIG!M1657=0,"",ORIG!M1657)</f>
        <v/>
      </c>
      <c r="N1657" s="3">
        <f>IF(ORIG!N1657=0,"",ORIG!N1657)</f>
        <v/>
      </c>
      <c r="O1657" s="3">
        <f>IF(ORIG!O1657=0,"",ORIG!O1657)</f>
        <v/>
      </c>
      <c r="P1657" s="3">
        <f>IF(ORIG!P1657=0,"",ORIG!P1657)</f>
        <v/>
      </c>
      <c r="Q1657" s="3">
        <f>IF(ORIG!Q1657=0,"",ORIG!Q1657)</f>
        <v/>
      </c>
      <c r="R1657" s="3">
        <f>IF(ORIG!R1657=0,"",ORIG!R1657)</f>
        <v/>
      </c>
      <c r="S1657" s="3">
        <f>IF(ORIG!S1657=0,"",ORIG!S1657)</f>
        <v/>
      </c>
      <c r="T1657" s="3">
        <f>IF(ORIG!T1657=0,"",ORIG!T1657)</f>
        <v/>
      </c>
      <c r="U1657" s="3">
        <f>IF(ORIG!U1657=0,"",ORIG!U1657)</f>
        <v/>
      </c>
      <c r="V1657" s="9">
        <f>IF(ORIG!V1657=0,"",ORIG!V1657)</f>
        <v/>
      </c>
      <c r="W1657" s="9">
        <f>IF(ORIG!W1657=0,"",ORIG!W1657)</f>
        <v/>
      </c>
      <c r="X1657" s="9">
        <f>IF(ORIG!X1657=0,"",ORIG!X1657)</f>
        <v/>
      </c>
      <c r="Y1657" s="9">
        <f>IF(ORIG!Y1657=0,"",ORIG!Y1657)</f>
        <v/>
      </c>
      <c r="Z1657" s="3">
        <f>SUMPRODUCT($B1657:$Y1657,$B$2649:$Y$2649)</f>
        <v/>
      </c>
      <c r="AA1657" s="3">
        <f>SUMPRODUCT($B1657:$Y1657,$B$2655:$Y$2655)</f>
        <v/>
      </c>
      <c r="AC1657" s="1">
        <f>A1657</f>
        <v/>
      </c>
      <c r="AD1657">
        <f>IF(ISNUMBER(V1657),V1657*($AB$1/V$2635),"")</f>
        <v/>
      </c>
      <c r="AE1657">
        <f>IF(ISNUMBER(Z1657),Z1657*($AB$1/Z$2635),"")</f>
        <v/>
      </c>
      <c r="AF1657" s="25">
        <f>IF(ISNUMBER(AD1657+AE1657),AD1657+AE1657,"")</f>
        <v/>
      </c>
      <c r="AH1657" s="1">
        <f>A1657</f>
        <v/>
      </c>
      <c r="AI1657">
        <f>IF(ISNUMBER((1+V1657)*AI1656),(1+V1657)*AI1656,AI1656)</f>
        <v/>
      </c>
      <c r="AJ1657">
        <f>IF(ISNUMBER((1+Z1657)*AJ1656),(1+Z1657)*AJ1656,AJ1656)</f>
        <v/>
      </c>
    </row>
    <row r="1658">
      <c r="A1658" s="1" t="n">
        <v>44407</v>
      </c>
      <c r="B1658" s="3">
        <f>IF(ORIG!B1658=0,"",ORIG!B1658)</f>
        <v/>
      </c>
      <c r="C1658" s="3">
        <f>IF(ORIG!C1658=0,"",ORIG!C1658)</f>
        <v/>
      </c>
      <c r="D1658" s="3">
        <f>IF(ORIG!D1658=0,"",ORIG!D1658)</f>
        <v/>
      </c>
      <c r="E1658" s="3">
        <f>IF(ORIG!E1658=0,"",ORIG!E1658)</f>
        <v/>
      </c>
      <c r="F1658" s="3">
        <f>IF(ORIG!F1658=0,"",ORIG!F1658)</f>
        <v/>
      </c>
      <c r="G1658" s="3">
        <f>IF(ORIG!G1658=0,"",ORIG!G1658)</f>
        <v/>
      </c>
      <c r="H1658" s="3">
        <f>IF(ORIG!H1658=0,"",ORIG!H1658)</f>
        <v/>
      </c>
      <c r="I1658" s="3">
        <f>IF(ORIG!I1658=0,"",ORIG!I1658)</f>
        <v/>
      </c>
      <c r="J1658" s="3">
        <f>IF(ORIG!J1658=0,"",ORIG!J1658)</f>
        <v/>
      </c>
      <c r="K1658" s="3">
        <f>IF(ORIG!K1658=0,"",ORIG!K1658)</f>
        <v/>
      </c>
      <c r="L1658" s="3">
        <f>IF(ORIG!L1658=0,"",ORIG!L1658)</f>
        <v/>
      </c>
      <c r="M1658" s="3">
        <f>IF(ORIG!M1658=0,"",ORIG!M1658)</f>
        <v/>
      </c>
      <c r="N1658" s="3">
        <f>IF(ORIG!N1658=0,"",ORIG!N1658)</f>
        <v/>
      </c>
      <c r="O1658" s="3">
        <f>IF(ORIG!O1658=0,"",ORIG!O1658)</f>
        <v/>
      </c>
      <c r="P1658" s="3">
        <f>IF(ORIG!P1658=0,"",ORIG!P1658)</f>
        <v/>
      </c>
      <c r="Q1658" s="3">
        <f>IF(ORIG!Q1658=0,"",ORIG!Q1658)</f>
        <v/>
      </c>
      <c r="R1658" s="3">
        <f>IF(ORIG!R1658=0,"",ORIG!R1658)</f>
        <v/>
      </c>
      <c r="S1658" s="3">
        <f>IF(ORIG!S1658=0,"",ORIG!S1658)</f>
        <v/>
      </c>
      <c r="T1658" s="3">
        <f>IF(ORIG!T1658=0,"",ORIG!T1658)</f>
        <v/>
      </c>
      <c r="U1658" s="3">
        <f>IF(ORIG!U1658=0,"",ORIG!U1658)</f>
        <v/>
      </c>
      <c r="V1658" s="9">
        <f>IF(ORIG!V1658=0,"",ORIG!V1658)</f>
        <v/>
      </c>
      <c r="W1658" s="9">
        <f>IF(ORIG!W1658=0,"",ORIG!W1658)</f>
        <v/>
      </c>
      <c r="X1658" s="9">
        <f>IF(ORIG!X1658=0,"",ORIG!X1658)</f>
        <v/>
      </c>
      <c r="Y1658" s="9">
        <f>IF(ORIG!Y1658=0,"",ORIG!Y1658)</f>
        <v/>
      </c>
      <c r="Z1658" s="3">
        <f>SUMPRODUCT($B1658:$Y1658,$B$2649:$Y$2649)</f>
        <v/>
      </c>
      <c r="AA1658" s="3">
        <f>SUMPRODUCT($B1658:$Y1658,$B$2655:$Y$2655)</f>
        <v/>
      </c>
      <c r="AC1658" s="1">
        <f>A1658</f>
        <v/>
      </c>
      <c r="AD1658">
        <f>IF(ISNUMBER(V1658),V1658*($AB$1/V$2635),"")</f>
        <v/>
      </c>
      <c r="AE1658">
        <f>IF(ISNUMBER(Z1658),Z1658*($AB$1/Z$2635),"")</f>
        <v/>
      </c>
      <c r="AF1658" s="25">
        <f>IF(ISNUMBER(AD1658+AE1658),AD1658+AE1658,"")</f>
        <v/>
      </c>
      <c r="AH1658" s="1">
        <f>A1658</f>
        <v/>
      </c>
      <c r="AI1658">
        <f>IF(ISNUMBER((1+V1658)*AI1657),(1+V1658)*AI1657,AI1657)</f>
        <v/>
      </c>
      <c r="AJ1658">
        <f>IF(ISNUMBER((1+Z1658)*AJ1657),(1+Z1658)*AJ1657,AJ1657)</f>
        <v/>
      </c>
    </row>
    <row r="1659">
      <c r="A1659" s="1" t="n">
        <v>44410</v>
      </c>
      <c r="B1659" s="3">
        <f>IF(ORIG!B1659=0,"",ORIG!B1659)</f>
        <v/>
      </c>
      <c r="C1659" s="3">
        <f>IF(ORIG!C1659=0,"",ORIG!C1659)</f>
        <v/>
      </c>
      <c r="D1659" s="3">
        <f>IF(ORIG!D1659=0,"",ORIG!D1659)</f>
        <v/>
      </c>
      <c r="E1659" s="3">
        <f>IF(ORIG!E1659=0,"",ORIG!E1659)</f>
        <v/>
      </c>
      <c r="F1659" s="3">
        <f>IF(ORIG!F1659=0,"",ORIG!F1659)</f>
        <v/>
      </c>
      <c r="G1659" s="3">
        <f>IF(ORIG!G1659=0,"",ORIG!G1659)</f>
        <v/>
      </c>
      <c r="H1659" s="3">
        <f>IF(ORIG!H1659=0,"",ORIG!H1659)</f>
        <v/>
      </c>
      <c r="I1659" s="3">
        <f>IF(ORIG!I1659=0,"",ORIG!I1659)</f>
        <v/>
      </c>
      <c r="J1659" s="3">
        <f>IF(ORIG!J1659=0,"",ORIG!J1659)</f>
        <v/>
      </c>
      <c r="K1659" s="3">
        <f>IF(ORIG!K1659=0,"",ORIG!K1659)</f>
        <v/>
      </c>
      <c r="L1659" s="3">
        <f>IF(ORIG!L1659=0,"",ORIG!L1659)</f>
        <v/>
      </c>
      <c r="M1659" s="3">
        <f>IF(ORIG!M1659=0,"",ORIG!M1659)</f>
        <v/>
      </c>
      <c r="N1659" s="3">
        <f>IF(ORIG!N1659=0,"",ORIG!N1659)</f>
        <v/>
      </c>
      <c r="O1659" s="3">
        <f>IF(ORIG!O1659=0,"",ORIG!O1659)</f>
        <v/>
      </c>
      <c r="P1659" s="3">
        <f>IF(ORIG!P1659=0,"",ORIG!P1659)</f>
        <v/>
      </c>
      <c r="Q1659" s="3">
        <f>IF(ORIG!Q1659=0,"",ORIG!Q1659)</f>
        <v/>
      </c>
      <c r="R1659" s="3">
        <f>IF(ORIG!R1659=0,"",ORIG!R1659)</f>
        <v/>
      </c>
      <c r="S1659" s="3">
        <f>IF(ORIG!S1659=0,"",ORIG!S1659)</f>
        <v/>
      </c>
      <c r="T1659" s="3">
        <f>IF(ORIG!T1659=0,"",ORIG!T1659)</f>
        <v/>
      </c>
      <c r="U1659" s="3">
        <f>IF(ORIG!U1659=0,"",ORIG!U1659)</f>
        <v/>
      </c>
      <c r="V1659" s="9">
        <f>IF(ORIG!V1659=0,"",ORIG!V1659)</f>
        <v/>
      </c>
      <c r="W1659" s="9">
        <f>IF(ORIG!W1659=0,"",ORIG!W1659)</f>
        <v/>
      </c>
      <c r="X1659" s="9">
        <f>IF(ORIG!X1659=0,"",ORIG!X1659)</f>
        <v/>
      </c>
      <c r="Y1659" s="9">
        <f>IF(ORIG!Y1659=0,"",ORIG!Y1659)</f>
        <v/>
      </c>
      <c r="Z1659" s="3">
        <f>SUMPRODUCT($B1659:$Y1659,$B$2649:$Y$2649)</f>
        <v/>
      </c>
      <c r="AA1659" s="3">
        <f>SUMPRODUCT($B1659:$Y1659,$B$2655:$Y$2655)</f>
        <v/>
      </c>
      <c r="AC1659" s="1">
        <f>A1659</f>
        <v/>
      </c>
      <c r="AD1659">
        <f>IF(ISNUMBER(V1659),V1659*($AB$1/V$2635),"")</f>
        <v/>
      </c>
      <c r="AE1659">
        <f>IF(ISNUMBER(Z1659),Z1659*($AB$1/Z$2635),"")</f>
        <v/>
      </c>
      <c r="AF1659" s="25">
        <f>IF(ISNUMBER(AD1659+AE1659),AD1659+AE1659,"")</f>
        <v/>
      </c>
      <c r="AH1659" s="1">
        <f>A1659</f>
        <v/>
      </c>
      <c r="AI1659">
        <f>IF(ISNUMBER((1+V1659)*AI1658),(1+V1659)*AI1658,AI1658)</f>
        <v/>
      </c>
      <c r="AJ1659">
        <f>IF(ISNUMBER((1+Z1659)*AJ1658),(1+Z1659)*AJ1658,AJ1658)</f>
        <v/>
      </c>
    </row>
    <row r="1660">
      <c r="A1660" s="1" t="n">
        <v>44411</v>
      </c>
      <c r="B1660" s="3">
        <f>IF(ORIG!B1660=0,"",ORIG!B1660)</f>
        <v/>
      </c>
      <c r="C1660" s="3">
        <f>IF(ORIG!C1660=0,"",ORIG!C1660)</f>
        <v/>
      </c>
      <c r="D1660" s="3">
        <f>IF(ORIG!D1660=0,"",ORIG!D1660)</f>
        <v/>
      </c>
      <c r="E1660" s="3">
        <f>IF(ORIG!E1660=0,"",ORIG!E1660)</f>
        <v/>
      </c>
      <c r="F1660" s="3">
        <f>IF(ORIG!F1660=0,"",ORIG!F1660)</f>
        <v/>
      </c>
      <c r="G1660" s="3">
        <f>IF(ORIG!G1660=0,"",ORIG!G1660)</f>
        <v/>
      </c>
      <c r="H1660" s="3">
        <f>IF(ORIG!H1660=0,"",ORIG!H1660)</f>
        <v/>
      </c>
      <c r="I1660" s="3">
        <f>IF(ORIG!I1660=0,"",ORIG!I1660)</f>
        <v/>
      </c>
      <c r="J1660" s="3">
        <f>IF(ORIG!J1660=0,"",ORIG!J1660)</f>
        <v/>
      </c>
      <c r="K1660" s="3">
        <f>IF(ORIG!K1660=0,"",ORIG!K1660)</f>
        <v/>
      </c>
      <c r="L1660" s="3">
        <f>IF(ORIG!L1660=0,"",ORIG!L1660)</f>
        <v/>
      </c>
      <c r="M1660" s="3">
        <f>IF(ORIG!M1660=0,"",ORIG!M1660)</f>
        <v/>
      </c>
      <c r="N1660" s="3">
        <f>IF(ORIG!N1660=0,"",ORIG!N1660)</f>
        <v/>
      </c>
      <c r="O1660" s="3">
        <f>IF(ORIG!O1660=0,"",ORIG!O1660)</f>
        <v/>
      </c>
      <c r="P1660" s="3">
        <f>IF(ORIG!P1660=0,"",ORIG!P1660)</f>
        <v/>
      </c>
      <c r="Q1660" s="3">
        <f>IF(ORIG!Q1660=0,"",ORIG!Q1660)</f>
        <v/>
      </c>
      <c r="R1660" s="3">
        <f>IF(ORIG!R1660=0,"",ORIG!R1660)</f>
        <v/>
      </c>
      <c r="S1660" s="3">
        <f>IF(ORIG!S1660=0,"",ORIG!S1660)</f>
        <v/>
      </c>
      <c r="T1660" s="3">
        <f>IF(ORIG!T1660=0,"",ORIG!T1660)</f>
        <v/>
      </c>
      <c r="U1660" s="3">
        <f>IF(ORIG!U1660=0,"",ORIG!U1660)</f>
        <v/>
      </c>
      <c r="V1660" s="9">
        <f>IF(ORIG!V1660=0,"",ORIG!V1660)</f>
        <v/>
      </c>
      <c r="W1660" s="9">
        <f>IF(ORIG!W1660=0,"",ORIG!W1660)</f>
        <v/>
      </c>
      <c r="X1660" s="9">
        <f>IF(ORIG!X1660=0,"",ORIG!X1660)</f>
        <v/>
      </c>
      <c r="Y1660" s="9">
        <f>IF(ORIG!Y1660=0,"",ORIG!Y1660)</f>
        <v/>
      </c>
      <c r="Z1660" s="3">
        <f>SUMPRODUCT($B1660:$Y1660,$B$2649:$Y$2649)</f>
        <v/>
      </c>
      <c r="AA1660" s="3">
        <f>SUMPRODUCT($B1660:$Y1660,$B$2655:$Y$2655)</f>
        <v/>
      </c>
      <c r="AC1660" s="1">
        <f>A1660</f>
        <v/>
      </c>
      <c r="AD1660">
        <f>IF(ISNUMBER(V1660),V1660*($AB$1/V$2635),"")</f>
        <v/>
      </c>
      <c r="AE1660">
        <f>IF(ISNUMBER(Z1660),Z1660*($AB$1/Z$2635),"")</f>
        <v/>
      </c>
      <c r="AF1660" s="25">
        <f>IF(ISNUMBER(AD1660+AE1660),AD1660+AE1660,"")</f>
        <v/>
      </c>
      <c r="AH1660" s="1">
        <f>A1660</f>
        <v/>
      </c>
      <c r="AI1660">
        <f>IF(ISNUMBER((1+V1660)*AI1659),(1+V1660)*AI1659,AI1659)</f>
        <v/>
      </c>
      <c r="AJ1660">
        <f>IF(ISNUMBER((1+Z1660)*AJ1659),(1+Z1660)*AJ1659,AJ1659)</f>
        <v/>
      </c>
    </row>
    <row r="1661">
      <c r="A1661" s="1" t="n">
        <v>44412</v>
      </c>
      <c r="B1661" s="3">
        <f>IF(ORIG!B1661=0,"",ORIG!B1661)</f>
        <v/>
      </c>
      <c r="C1661" s="3">
        <f>IF(ORIG!C1661=0,"",ORIG!C1661)</f>
        <v/>
      </c>
      <c r="D1661" s="3">
        <f>IF(ORIG!D1661=0,"",ORIG!D1661)</f>
        <v/>
      </c>
      <c r="E1661" s="3">
        <f>IF(ORIG!E1661=0,"",ORIG!E1661)</f>
        <v/>
      </c>
      <c r="F1661" s="3">
        <f>IF(ORIG!F1661=0,"",ORIG!F1661)</f>
        <v/>
      </c>
      <c r="G1661" s="3">
        <f>IF(ORIG!G1661=0,"",ORIG!G1661)</f>
        <v/>
      </c>
      <c r="H1661" s="3">
        <f>IF(ORIG!H1661=0,"",ORIG!H1661)</f>
        <v/>
      </c>
      <c r="I1661" s="3">
        <f>IF(ORIG!I1661=0,"",ORIG!I1661)</f>
        <v/>
      </c>
      <c r="J1661" s="3">
        <f>IF(ORIG!J1661=0,"",ORIG!J1661)</f>
        <v/>
      </c>
      <c r="K1661" s="3">
        <f>IF(ORIG!K1661=0,"",ORIG!K1661)</f>
        <v/>
      </c>
      <c r="L1661" s="3">
        <f>IF(ORIG!L1661=0,"",ORIG!L1661)</f>
        <v/>
      </c>
      <c r="M1661" s="3">
        <f>IF(ORIG!M1661=0,"",ORIG!M1661)</f>
        <v/>
      </c>
      <c r="N1661" s="3">
        <f>IF(ORIG!N1661=0,"",ORIG!N1661)</f>
        <v/>
      </c>
      <c r="O1661" s="3">
        <f>IF(ORIG!O1661=0,"",ORIG!O1661)</f>
        <v/>
      </c>
      <c r="P1661" s="3">
        <f>IF(ORIG!P1661=0,"",ORIG!P1661)</f>
        <v/>
      </c>
      <c r="Q1661" s="3">
        <f>IF(ORIG!Q1661=0,"",ORIG!Q1661)</f>
        <v/>
      </c>
      <c r="R1661" s="3">
        <f>IF(ORIG!R1661=0,"",ORIG!R1661)</f>
        <v/>
      </c>
      <c r="S1661" s="3">
        <f>IF(ORIG!S1661=0,"",ORIG!S1661)</f>
        <v/>
      </c>
      <c r="T1661" s="3">
        <f>IF(ORIG!T1661=0,"",ORIG!T1661)</f>
        <v/>
      </c>
      <c r="U1661" s="3">
        <f>IF(ORIG!U1661=0,"",ORIG!U1661)</f>
        <v/>
      </c>
      <c r="V1661" s="9">
        <f>IF(ORIG!V1661=0,"",ORIG!V1661)</f>
        <v/>
      </c>
      <c r="W1661" s="9">
        <f>IF(ORIG!W1661=0,"",ORIG!W1661)</f>
        <v/>
      </c>
      <c r="X1661" s="9">
        <f>IF(ORIG!X1661=0,"",ORIG!X1661)</f>
        <v/>
      </c>
      <c r="Y1661" s="9">
        <f>IF(ORIG!Y1661=0,"",ORIG!Y1661)</f>
        <v/>
      </c>
      <c r="Z1661" s="3">
        <f>SUMPRODUCT($B1661:$Y1661,$B$2649:$Y$2649)</f>
        <v/>
      </c>
      <c r="AA1661" s="3">
        <f>SUMPRODUCT($B1661:$Y1661,$B$2655:$Y$2655)</f>
        <v/>
      </c>
      <c r="AC1661" s="1">
        <f>A1661</f>
        <v/>
      </c>
      <c r="AD1661">
        <f>IF(ISNUMBER(V1661),V1661*($AB$1/V$2635),"")</f>
        <v/>
      </c>
      <c r="AE1661">
        <f>IF(ISNUMBER(Z1661),Z1661*($AB$1/Z$2635),"")</f>
        <v/>
      </c>
      <c r="AF1661" s="25">
        <f>IF(ISNUMBER(AD1661+AE1661),AD1661+AE1661,"")</f>
        <v/>
      </c>
      <c r="AH1661" s="1">
        <f>A1661</f>
        <v/>
      </c>
      <c r="AI1661">
        <f>IF(ISNUMBER((1+V1661)*AI1660),(1+V1661)*AI1660,AI1660)</f>
        <v/>
      </c>
      <c r="AJ1661">
        <f>IF(ISNUMBER((1+Z1661)*AJ1660),(1+Z1661)*AJ1660,AJ1660)</f>
        <v/>
      </c>
    </row>
    <row r="1662">
      <c r="A1662" s="1" t="n">
        <v>44413</v>
      </c>
      <c r="B1662" s="3">
        <f>IF(ORIG!B1662=0,"",ORIG!B1662)</f>
        <v/>
      </c>
      <c r="C1662" s="3">
        <f>IF(ORIG!C1662=0,"",ORIG!C1662)</f>
        <v/>
      </c>
      <c r="D1662" s="3">
        <f>IF(ORIG!D1662=0,"",ORIG!D1662)</f>
        <v/>
      </c>
      <c r="E1662" s="3">
        <f>IF(ORIG!E1662=0,"",ORIG!E1662)</f>
        <v/>
      </c>
      <c r="F1662" s="3">
        <f>IF(ORIG!F1662=0,"",ORIG!F1662)</f>
        <v/>
      </c>
      <c r="G1662" s="3">
        <f>IF(ORIG!G1662=0,"",ORIG!G1662)</f>
        <v/>
      </c>
      <c r="H1662" s="3">
        <f>IF(ORIG!H1662=0,"",ORIG!H1662)</f>
        <v/>
      </c>
      <c r="I1662" s="3">
        <f>IF(ORIG!I1662=0,"",ORIG!I1662)</f>
        <v/>
      </c>
      <c r="J1662" s="3">
        <f>IF(ORIG!J1662=0,"",ORIG!J1662)</f>
        <v/>
      </c>
      <c r="K1662" s="3">
        <f>IF(ORIG!K1662=0,"",ORIG!K1662)</f>
        <v/>
      </c>
      <c r="L1662" s="3">
        <f>IF(ORIG!L1662=0,"",ORIG!L1662)</f>
        <v/>
      </c>
      <c r="M1662" s="3">
        <f>IF(ORIG!M1662=0,"",ORIG!M1662)</f>
        <v/>
      </c>
      <c r="N1662" s="3">
        <f>IF(ORIG!N1662=0,"",ORIG!N1662)</f>
        <v/>
      </c>
      <c r="O1662" s="3">
        <f>IF(ORIG!O1662=0,"",ORIG!O1662)</f>
        <v/>
      </c>
      <c r="P1662" s="3">
        <f>IF(ORIG!P1662=0,"",ORIG!P1662)</f>
        <v/>
      </c>
      <c r="Q1662" s="3">
        <f>IF(ORIG!Q1662=0,"",ORIG!Q1662)</f>
        <v/>
      </c>
      <c r="R1662" s="3">
        <f>IF(ORIG!R1662=0,"",ORIG!R1662)</f>
        <v/>
      </c>
      <c r="S1662" s="3">
        <f>IF(ORIG!S1662=0,"",ORIG!S1662)</f>
        <v/>
      </c>
      <c r="T1662" s="3">
        <f>IF(ORIG!T1662=0,"",ORIG!T1662)</f>
        <v/>
      </c>
      <c r="U1662" s="3">
        <f>IF(ORIG!U1662=0,"",ORIG!U1662)</f>
        <v/>
      </c>
      <c r="V1662" s="9">
        <f>IF(ORIG!V1662=0,"",ORIG!V1662)</f>
        <v/>
      </c>
      <c r="W1662" s="9">
        <f>IF(ORIG!W1662=0,"",ORIG!W1662)</f>
        <v/>
      </c>
      <c r="X1662" s="9">
        <f>IF(ORIG!X1662=0,"",ORIG!X1662)</f>
        <v/>
      </c>
      <c r="Y1662" s="9">
        <f>IF(ORIG!Y1662=0,"",ORIG!Y1662)</f>
        <v/>
      </c>
      <c r="Z1662" s="3">
        <f>SUMPRODUCT($B1662:$Y1662,$B$2649:$Y$2649)</f>
        <v/>
      </c>
      <c r="AA1662" s="3">
        <f>SUMPRODUCT($B1662:$Y1662,$B$2655:$Y$2655)</f>
        <v/>
      </c>
      <c r="AC1662" s="1">
        <f>A1662</f>
        <v/>
      </c>
      <c r="AD1662">
        <f>IF(ISNUMBER(V1662),V1662*($AB$1/V$2635),"")</f>
        <v/>
      </c>
      <c r="AE1662">
        <f>IF(ISNUMBER(Z1662),Z1662*($AB$1/Z$2635),"")</f>
        <v/>
      </c>
      <c r="AF1662" s="25">
        <f>IF(ISNUMBER(AD1662+AE1662),AD1662+AE1662,"")</f>
        <v/>
      </c>
      <c r="AH1662" s="1">
        <f>A1662</f>
        <v/>
      </c>
      <c r="AI1662">
        <f>IF(ISNUMBER((1+V1662)*AI1661),(1+V1662)*AI1661,AI1661)</f>
        <v/>
      </c>
      <c r="AJ1662">
        <f>IF(ISNUMBER((1+Z1662)*AJ1661),(1+Z1662)*AJ1661,AJ1661)</f>
        <v/>
      </c>
    </row>
    <row r="1663">
      <c r="A1663" s="1" t="n">
        <v>44414</v>
      </c>
      <c r="B1663" s="3">
        <f>IF(ORIG!B1663=0,"",ORIG!B1663)</f>
        <v/>
      </c>
      <c r="C1663" s="3">
        <f>IF(ORIG!C1663=0,"",ORIG!C1663)</f>
        <v/>
      </c>
      <c r="D1663" s="3">
        <f>IF(ORIG!D1663=0,"",ORIG!D1663)</f>
        <v/>
      </c>
      <c r="E1663" s="3">
        <f>IF(ORIG!E1663=0,"",ORIG!E1663)</f>
        <v/>
      </c>
      <c r="F1663" s="3">
        <f>IF(ORIG!F1663=0,"",ORIG!F1663)</f>
        <v/>
      </c>
      <c r="G1663" s="3">
        <f>IF(ORIG!G1663=0,"",ORIG!G1663)</f>
        <v/>
      </c>
      <c r="H1663" s="3">
        <f>IF(ORIG!H1663=0,"",ORIG!H1663)</f>
        <v/>
      </c>
      <c r="I1663" s="3">
        <f>IF(ORIG!I1663=0,"",ORIG!I1663)</f>
        <v/>
      </c>
      <c r="J1663" s="3">
        <f>IF(ORIG!J1663=0,"",ORIG!J1663)</f>
        <v/>
      </c>
      <c r="K1663" s="3">
        <f>IF(ORIG!K1663=0,"",ORIG!K1663)</f>
        <v/>
      </c>
      <c r="L1663" s="3">
        <f>IF(ORIG!L1663=0,"",ORIG!L1663)</f>
        <v/>
      </c>
      <c r="M1663" s="3">
        <f>IF(ORIG!M1663=0,"",ORIG!M1663)</f>
        <v/>
      </c>
      <c r="N1663" s="3">
        <f>IF(ORIG!N1663=0,"",ORIG!N1663)</f>
        <v/>
      </c>
      <c r="O1663" s="3">
        <f>IF(ORIG!O1663=0,"",ORIG!O1663)</f>
        <v/>
      </c>
      <c r="P1663" s="3">
        <f>IF(ORIG!P1663=0,"",ORIG!P1663)</f>
        <v/>
      </c>
      <c r="Q1663" s="3">
        <f>IF(ORIG!Q1663=0,"",ORIG!Q1663)</f>
        <v/>
      </c>
      <c r="R1663" s="3">
        <f>IF(ORIG!R1663=0,"",ORIG!R1663)</f>
        <v/>
      </c>
      <c r="S1663" s="3">
        <f>IF(ORIG!S1663=0,"",ORIG!S1663)</f>
        <v/>
      </c>
      <c r="T1663" s="3">
        <f>IF(ORIG!T1663=0,"",ORIG!T1663)</f>
        <v/>
      </c>
      <c r="U1663" s="3">
        <f>IF(ORIG!U1663=0,"",ORIG!U1663)</f>
        <v/>
      </c>
      <c r="V1663" s="9">
        <f>IF(ORIG!V1663=0,"",ORIG!V1663)</f>
        <v/>
      </c>
      <c r="W1663" s="9">
        <f>IF(ORIG!W1663=0,"",ORIG!W1663)</f>
        <v/>
      </c>
      <c r="X1663" s="9">
        <f>IF(ORIG!X1663=0,"",ORIG!X1663)</f>
        <v/>
      </c>
      <c r="Y1663" s="9">
        <f>IF(ORIG!Y1663=0,"",ORIG!Y1663)</f>
        <v/>
      </c>
      <c r="Z1663" s="3">
        <f>SUMPRODUCT($B1663:$Y1663,$B$2649:$Y$2649)</f>
        <v/>
      </c>
      <c r="AA1663" s="3">
        <f>SUMPRODUCT($B1663:$Y1663,$B$2655:$Y$2655)</f>
        <v/>
      </c>
      <c r="AC1663" s="1">
        <f>A1663</f>
        <v/>
      </c>
      <c r="AD1663">
        <f>IF(ISNUMBER(V1663),V1663*($AB$1/V$2635),"")</f>
        <v/>
      </c>
      <c r="AE1663">
        <f>IF(ISNUMBER(Z1663),Z1663*($AB$1/Z$2635),"")</f>
        <v/>
      </c>
      <c r="AF1663" s="25">
        <f>IF(ISNUMBER(AD1663+AE1663),AD1663+AE1663,"")</f>
        <v/>
      </c>
      <c r="AH1663" s="1">
        <f>A1663</f>
        <v/>
      </c>
      <c r="AI1663">
        <f>IF(ISNUMBER((1+V1663)*AI1662),(1+V1663)*AI1662,AI1662)</f>
        <v/>
      </c>
      <c r="AJ1663">
        <f>IF(ISNUMBER((1+Z1663)*AJ1662),(1+Z1663)*AJ1662,AJ1662)</f>
        <v/>
      </c>
    </row>
    <row r="1664">
      <c r="A1664" s="1" t="n">
        <v>44417</v>
      </c>
      <c r="B1664" s="3">
        <f>IF(ORIG!B1664=0,"",ORIG!B1664)</f>
        <v/>
      </c>
      <c r="C1664" s="3">
        <f>IF(ORIG!C1664=0,"",ORIG!C1664)</f>
        <v/>
      </c>
      <c r="D1664" s="3">
        <f>IF(ORIG!D1664=0,"",ORIG!D1664)</f>
        <v/>
      </c>
      <c r="E1664" s="3">
        <f>IF(ORIG!E1664=0,"",ORIG!E1664)</f>
        <v/>
      </c>
      <c r="F1664" s="3">
        <f>IF(ORIG!F1664=0,"",ORIG!F1664)</f>
        <v/>
      </c>
      <c r="G1664" s="3">
        <f>IF(ORIG!G1664=0,"",ORIG!G1664)</f>
        <v/>
      </c>
      <c r="H1664" s="3">
        <f>IF(ORIG!H1664=0,"",ORIG!H1664)</f>
        <v/>
      </c>
      <c r="I1664" s="3">
        <f>IF(ORIG!I1664=0,"",ORIG!I1664)</f>
        <v/>
      </c>
      <c r="J1664" s="3">
        <f>IF(ORIG!J1664=0,"",ORIG!J1664)</f>
        <v/>
      </c>
      <c r="K1664" s="3">
        <f>IF(ORIG!K1664=0,"",ORIG!K1664)</f>
        <v/>
      </c>
      <c r="L1664" s="3">
        <f>IF(ORIG!L1664=0,"",ORIG!L1664)</f>
        <v/>
      </c>
      <c r="M1664" s="3">
        <f>IF(ORIG!M1664=0,"",ORIG!M1664)</f>
        <v/>
      </c>
      <c r="N1664" s="3">
        <f>IF(ORIG!N1664=0,"",ORIG!N1664)</f>
        <v/>
      </c>
      <c r="O1664" s="3">
        <f>IF(ORIG!O1664=0,"",ORIG!O1664)</f>
        <v/>
      </c>
      <c r="P1664" s="3">
        <f>IF(ORIG!P1664=0,"",ORIG!P1664)</f>
        <v/>
      </c>
      <c r="Q1664" s="3">
        <f>IF(ORIG!Q1664=0,"",ORIG!Q1664)</f>
        <v/>
      </c>
      <c r="R1664" s="3">
        <f>IF(ORIG!R1664=0,"",ORIG!R1664)</f>
        <v/>
      </c>
      <c r="S1664" s="3">
        <f>IF(ORIG!S1664=0,"",ORIG!S1664)</f>
        <v/>
      </c>
      <c r="T1664" s="3">
        <f>IF(ORIG!T1664=0,"",ORIG!T1664)</f>
        <v/>
      </c>
      <c r="U1664" s="3">
        <f>IF(ORIG!U1664=0,"",ORIG!U1664)</f>
        <v/>
      </c>
      <c r="V1664" s="9">
        <f>IF(ORIG!V1664=0,"",ORIG!V1664)</f>
        <v/>
      </c>
      <c r="W1664" s="9">
        <f>IF(ORIG!W1664=0,"",ORIG!W1664)</f>
        <v/>
      </c>
      <c r="X1664" s="9">
        <f>IF(ORIG!X1664=0,"",ORIG!X1664)</f>
        <v/>
      </c>
      <c r="Y1664" s="9">
        <f>IF(ORIG!Y1664=0,"",ORIG!Y1664)</f>
        <v/>
      </c>
      <c r="Z1664" s="3">
        <f>SUMPRODUCT($B1664:$Y1664,$B$2649:$Y$2649)</f>
        <v/>
      </c>
      <c r="AA1664" s="3">
        <f>SUMPRODUCT($B1664:$Y1664,$B$2655:$Y$2655)</f>
        <v/>
      </c>
      <c r="AC1664" s="1">
        <f>A1664</f>
        <v/>
      </c>
      <c r="AD1664">
        <f>IF(ISNUMBER(V1664),V1664*($AB$1/V$2635),"")</f>
        <v/>
      </c>
      <c r="AE1664">
        <f>IF(ISNUMBER(Z1664),Z1664*($AB$1/Z$2635),"")</f>
        <v/>
      </c>
      <c r="AF1664" s="25">
        <f>IF(ISNUMBER(AD1664+AE1664),AD1664+AE1664,"")</f>
        <v/>
      </c>
      <c r="AH1664" s="1">
        <f>A1664</f>
        <v/>
      </c>
      <c r="AI1664">
        <f>IF(ISNUMBER((1+V1664)*AI1663),(1+V1664)*AI1663,AI1663)</f>
        <v/>
      </c>
      <c r="AJ1664">
        <f>IF(ISNUMBER((1+Z1664)*AJ1663),(1+Z1664)*AJ1663,AJ1663)</f>
        <v/>
      </c>
    </row>
    <row r="1665">
      <c r="A1665" s="1" t="n">
        <v>44418</v>
      </c>
      <c r="B1665" s="3">
        <f>IF(ORIG!B1665=0,"",ORIG!B1665)</f>
        <v/>
      </c>
      <c r="C1665" s="3">
        <f>IF(ORIG!C1665=0,"",ORIG!C1665)</f>
        <v/>
      </c>
      <c r="D1665" s="3">
        <f>IF(ORIG!D1665=0,"",ORIG!D1665)</f>
        <v/>
      </c>
      <c r="E1665" s="3">
        <f>IF(ORIG!E1665=0,"",ORIG!E1665)</f>
        <v/>
      </c>
      <c r="F1665" s="3">
        <f>IF(ORIG!F1665=0,"",ORIG!F1665)</f>
        <v/>
      </c>
      <c r="G1665" s="3">
        <f>IF(ORIG!G1665=0,"",ORIG!G1665)</f>
        <v/>
      </c>
      <c r="H1665" s="3">
        <f>IF(ORIG!H1665=0,"",ORIG!H1665)</f>
        <v/>
      </c>
      <c r="I1665" s="3">
        <f>IF(ORIG!I1665=0,"",ORIG!I1665)</f>
        <v/>
      </c>
      <c r="J1665" s="3">
        <f>IF(ORIG!J1665=0,"",ORIG!J1665)</f>
        <v/>
      </c>
      <c r="K1665" s="3">
        <f>IF(ORIG!K1665=0,"",ORIG!K1665)</f>
        <v/>
      </c>
      <c r="L1665" s="3">
        <f>IF(ORIG!L1665=0,"",ORIG!L1665)</f>
        <v/>
      </c>
      <c r="M1665" s="3">
        <f>IF(ORIG!M1665=0,"",ORIG!M1665)</f>
        <v/>
      </c>
      <c r="N1665" s="3">
        <f>IF(ORIG!N1665=0,"",ORIG!N1665)</f>
        <v/>
      </c>
      <c r="O1665" s="3">
        <f>IF(ORIG!O1665=0,"",ORIG!O1665)</f>
        <v/>
      </c>
      <c r="P1665" s="3">
        <f>IF(ORIG!P1665=0,"",ORIG!P1665)</f>
        <v/>
      </c>
      <c r="Q1665" s="3">
        <f>IF(ORIG!Q1665=0,"",ORIG!Q1665)</f>
        <v/>
      </c>
      <c r="R1665" s="3">
        <f>IF(ORIG!R1665=0,"",ORIG!R1665)</f>
        <v/>
      </c>
      <c r="S1665" s="3">
        <f>IF(ORIG!S1665=0,"",ORIG!S1665)</f>
        <v/>
      </c>
      <c r="T1665" s="3">
        <f>IF(ORIG!T1665=0,"",ORIG!T1665)</f>
        <v/>
      </c>
      <c r="U1665" s="3">
        <f>IF(ORIG!U1665=0,"",ORIG!U1665)</f>
        <v/>
      </c>
      <c r="V1665" s="9">
        <f>IF(ORIG!V1665=0,"",ORIG!V1665)</f>
        <v/>
      </c>
      <c r="W1665" s="9">
        <f>IF(ORIG!W1665=0,"",ORIG!W1665)</f>
        <v/>
      </c>
      <c r="X1665" s="9">
        <f>IF(ORIG!X1665=0,"",ORIG!X1665)</f>
        <v/>
      </c>
      <c r="Y1665" s="9">
        <f>IF(ORIG!Y1665=0,"",ORIG!Y1665)</f>
        <v/>
      </c>
      <c r="Z1665" s="3">
        <f>SUMPRODUCT($B1665:$Y1665,$B$2649:$Y$2649)</f>
        <v/>
      </c>
      <c r="AA1665" s="3">
        <f>SUMPRODUCT($B1665:$Y1665,$B$2655:$Y$2655)</f>
        <v/>
      </c>
      <c r="AC1665" s="1">
        <f>A1665</f>
        <v/>
      </c>
      <c r="AD1665">
        <f>IF(ISNUMBER(V1665),V1665*($AB$1/V$2635),"")</f>
        <v/>
      </c>
      <c r="AE1665">
        <f>IF(ISNUMBER(Z1665),Z1665*($AB$1/Z$2635),"")</f>
        <v/>
      </c>
      <c r="AF1665" s="25">
        <f>IF(ISNUMBER(AD1665+AE1665),AD1665+AE1665,"")</f>
        <v/>
      </c>
      <c r="AH1665" s="1">
        <f>A1665</f>
        <v/>
      </c>
      <c r="AI1665">
        <f>IF(ISNUMBER((1+V1665)*AI1664),(1+V1665)*AI1664,AI1664)</f>
        <v/>
      </c>
      <c r="AJ1665">
        <f>IF(ISNUMBER((1+Z1665)*AJ1664),(1+Z1665)*AJ1664,AJ1664)</f>
        <v/>
      </c>
    </row>
    <row r="1666">
      <c r="A1666" s="1" t="n">
        <v>44419</v>
      </c>
      <c r="B1666" s="3">
        <f>IF(ORIG!B1666=0,"",ORIG!B1666)</f>
        <v/>
      </c>
      <c r="C1666" s="3">
        <f>IF(ORIG!C1666=0,"",ORIG!C1666)</f>
        <v/>
      </c>
      <c r="D1666" s="3">
        <f>IF(ORIG!D1666=0,"",ORIG!D1666)</f>
        <v/>
      </c>
      <c r="E1666" s="3">
        <f>IF(ORIG!E1666=0,"",ORIG!E1666)</f>
        <v/>
      </c>
      <c r="F1666" s="3">
        <f>IF(ORIG!F1666=0,"",ORIG!F1666)</f>
        <v/>
      </c>
      <c r="G1666" s="3">
        <f>IF(ORIG!G1666=0,"",ORIG!G1666)</f>
        <v/>
      </c>
      <c r="H1666" s="3">
        <f>IF(ORIG!H1666=0,"",ORIG!H1666)</f>
        <v/>
      </c>
      <c r="I1666" s="3">
        <f>IF(ORIG!I1666=0,"",ORIG!I1666)</f>
        <v/>
      </c>
      <c r="J1666" s="3">
        <f>IF(ORIG!J1666=0,"",ORIG!J1666)</f>
        <v/>
      </c>
      <c r="K1666" s="3">
        <f>IF(ORIG!K1666=0,"",ORIG!K1666)</f>
        <v/>
      </c>
      <c r="L1666" s="3">
        <f>IF(ORIG!L1666=0,"",ORIG!L1666)</f>
        <v/>
      </c>
      <c r="M1666" s="3">
        <f>IF(ORIG!M1666=0,"",ORIG!M1666)</f>
        <v/>
      </c>
      <c r="N1666" s="3">
        <f>IF(ORIG!N1666=0,"",ORIG!N1666)</f>
        <v/>
      </c>
      <c r="O1666" s="3">
        <f>IF(ORIG!O1666=0,"",ORIG!O1666)</f>
        <v/>
      </c>
      <c r="P1666" s="3">
        <f>IF(ORIG!P1666=0,"",ORIG!P1666)</f>
        <v/>
      </c>
      <c r="Q1666" s="3">
        <f>IF(ORIG!Q1666=0,"",ORIG!Q1666)</f>
        <v/>
      </c>
      <c r="R1666" s="3">
        <f>IF(ORIG!R1666=0,"",ORIG!R1666)</f>
        <v/>
      </c>
      <c r="S1666" s="3">
        <f>IF(ORIG!S1666=0,"",ORIG!S1666)</f>
        <v/>
      </c>
      <c r="T1666" s="3">
        <f>IF(ORIG!T1666=0,"",ORIG!T1666)</f>
        <v/>
      </c>
      <c r="U1666" s="3">
        <f>IF(ORIG!U1666=0,"",ORIG!U1666)</f>
        <v/>
      </c>
      <c r="V1666" s="9">
        <f>IF(ORIG!V1666=0,"",ORIG!V1666)</f>
        <v/>
      </c>
      <c r="W1666" s="9">
        <f>IF(ORIG!W1666=0,"",ORIG!W1666)</f>
        <v/>
      </c>
      <c r="X1666" s="9">
        <f>IF(ORIG!X1666=0,"",ORIG!X1666)</f>
        <v/>
      </c>
      <c r="Y1666" s="9">
        <f>IF(ORIG!Y1666=0,"",ORIG!Y1666)</f>
        <v/>
      </c>
      <c r="Z1666" s="3">
        <f>SUMPRODUCT($B1666:$Y1666,$B$2649:$Y$2649)</f>
        <v/>
      </c>
      <c r="AA1666" s="3">
        <f>SUMPRODUCT($B1666:$Y1666,$B$2655:$Y$2655)</f>
        <v/>
      </c>
      <c r="AC1666" s="1">
        <f>A1666</f>
        <v/>
      </c>
      <c r="AD1666">
        <f>IF(ISNUMBER(V1666),V1666*($AB$1/V$2635),"")</f>
        <v/>
      </c>
      <c r="AE1666">
        <f>IF(ISNUMBER(Z1666),Z1666*($AB$1/Z$2635),"")</f>
        <v/>
      </c>
      <c r="AF1666" s="25">
        <f>IF(ISNUMBER(AD1666+AE1666),AD1666+AE1666,"")</f>
        <v/>
      </c>
      <c r="AH1666" s="1">
        <f>A1666</f>
        <v/>
      </c>
      <c r="AI1666">
        <f>IF(ISNUMBER((1+V1666)*AI1665),(1+V1666)*AI1665,AI1665)</f>
        <v/>
      </c>
      <c r="AJ1666">
        <f>IF(ISNUMBER((1+Z1666)*AJ1665),(1+Z1666)*AJ1665,AJ1665)</f>
        <v/>
      </c>
    </row>
    <row r="1667">
      <c r="A1667" s="1" t="n">
        <v>44420</v>
      </c>
      <c r="B1667" s="3">
        <f>IF(ORIG!B1667=0,"",ORIG!B1667)</f>
        <v/>
      </c>
      <c r="C1667" s="3">
        <f>IF(ORIG!C1667=0,"",ORIG!C1667)</f>
        <v/>
      </c>
      <c r="D1667" s="3">
        <f>IF(ORIG!D1667=0,"",ORIG!D1667)</f>
        <v/>
      </c>
      <c r="E1667" s="3">
        <f>IF(ORIG!E1667=0,"",ORIG!E1667)</f>
        <v/>
      </c>
      <c r="F1667" s="3">
        <f>IF(ORIG!F1667=0,"",ORIG!F1667)</f>
        <v/>
      </c>
      <c r="G1667" s="3">
        <f>IF(ORIG!G1667=0,"",ORIG!G1667)</f>
        <v/>
      </c>
      <c r="H1667" s="3">
        <f>IF(ORIG!H1667=0,"",ORIG!H1667)</f>
        <v/>
      </c>
      <c r="I1667" s="3">
        <f>IF(ORIG!I1667=0,"",ORIG!I1667)</f>
        <v/>
      </c>
      <c r="J1667" s="3">
        <f>IF(ORIG!J1667=0,"",ORIG!J1667)</f>
        <v/>
      </c>
      <c r="K1667" s="3">
        <f>IF(ORIG!K1667=0,"",ORIG!K1667)</f>
        <v/>
      </c>
      <c r="L1667" s="3">
        <f>IF(ORIG!L1667=0,"",ORIG!L1667)</f>
        <v/>
      </c>
      <c r="M1667" s="3">
        <f>IF(ORIG!M1667=0,"",ORIG!M1667)</f>
        <v/>
      </c>
      <c r="N1667" s="3">
        <f>IF(ORIG!N1667=0,"",ORIG!N1667)</f>
        <v/>
      </c>
      <c r="O1667" s="3">
        <f>IF(ORIG!O1667=0,"",ORIG!O1667)</f>
        <v/>
      </c>
      <c r="P1667" s="3">
        <f>IF(ORIG!P1667=0,"",ORIG!P1667)</f>
        <v/>
      </c>
      <c r="Q1667" s="3">
        <f>IF(ORIG!Q1667=0,"",ORIG!Q1667)</f>
        <v/>
      </c>
      <c r="R1667" s="3">
        <f>IF(ORIG!R1667=0,"",ORIG!R1667)</f>
        <v/>
      </c>
      <c r="S1667" s="3">
        <f>IF(ORIG!S1667=0,"",ORIG!S1667)</f>
        <v/>
      </c>
      <c r="T1667" s="3">
        <f>IF(ORIG!T1667=0,"",ORIG!T1667)</f>
        <v/>
      </c>
      <c r="U1667" s="3">
        <f>IF(ORIG!U1667=0,"",ORIG!U1667)</f>
        <v/>
      </c>
      <c r="V1667" s="9">
        <f>IF(ORIG!V1667=0,"",ORIG!V1667)</f>
        <v/>
      </c>
      <c r="W1667" s="9">
        <f>IF(ORIG!W1667=0,"",ORIG!W1667)</f>
        <v/>
      </c>
      <c r="X1667" s="9">
        <f>IF(ORIG!X1667=0,"",ORIG!X1667)</f>
        <v/>
      </c>
      <c r="Y1667" s="9">
        <f>IF(ORIG!Y1667=0,"",ORIG!Y1667)</f>
        <v/>
      </c>
      <c r="Z1667" s="3">
        <f>SUMPRODUCT($B1667:$Y1667,$B$2649:$Y$2649)</f>
        <v/>
      </c>
      <c r="AA1667" s="3">
        <f>SUMPRODUCT($B1667:$Y1667,$B$2655:$Y$2655)</f>
        <v/>
      </c>
      <c r="AC1667" s="1">
        <f>A1667</f>
        <v/>
      </c>
      <c r="AD1667">
        <f>IF(ISNUMBER(V1667),V1667*($AB$1/V$2635),"")</f>
        <v/>
      </c>
      <c r="AE1667">
        <f>IF(ISNUMBER(Z1667),Z1667*($AB$1/Z$2635),"")</f>
        <v/>
      </c>
      <c r="AF1667" s="25">
        <f>IF(ISNUMBER(AD1667+AE1667),AD1667+AE1667,"")</f>
        <v/>
      </c>
      <c r="AH1667" s="1">
        <f>A1667</f>
        <v/>
      </c>
      <c r="AI1667">
        <f>IF(ISNUMBER((1+V1667)*AI1666),(1+V1667)*AI1666,AI1666)</f>
        <v/>
      </c>
      <c r="AJ1667">
        <f>IF(ISNUMBER((1+Z1667)*AJ1666),(1+Z1667)*AJ1666,AJ1666)</f>
        <v/>
      </c>
    </row>
    <row r="1668">
      <c r="A1668" s="1" t="n">
        <v>44421</v>
      </c>
      <c r="B1668" s="3">
        <f>IF(ORIG!B1668=0,"",ORIG!B1668)</f>
        <v/>
      </c>
      <c r="C1668" s="3">
        <f>IF(ORIG!C1668=0,"",ORIG!C1668)</f>
        <v/>
      </c>
      <c r="D1668" s="3">
        <f>IF(ORIG!D1668=0,"",ORIG!D1668)</f>
        <v/>
      </c>
      <c r="E1668" s="3">
        <f>IF(ORIG!E1668=0,"",ORIG!E1668)</f>
        <v/>
      </c>
      <c r="F1668" s="3">
        <f>IF(ORIG!F1668=0,"",ORIG!F1668)</f>
        <v/>
      </c>
      <c r="G1668" s="3">
        <f>IF(ORIG!G1668=0,"",ORIG!G1668)</f>
        <v/>
      </c>
      <c r="H1668" s="3">
        <f>IF(ORIG!H1668=0,"",ORIG!H1668)</f>
        <v/>
      </c>
      <c r="I1668" s="3">
        <f>IF(ORIG!I1668=0,"",ORIG!I1668)</f>
        <v/>
      </c>
      <c r="J1668" s="3">
        <f>IF(ORIG!J1668=0,"",ORIG!J1668)</f>
        <v/>
      </c>
      <c r="K1668" s="3">
        <f>IF(ORIG!K1668=0,"",ORIG!K1668)</f>
        <v/>
      </c>
      <c r="L1668" s="3">
        <f>IF(ORIG!L1668=0,"",ORIG!L1668)</f>
        <v/>
      </c>
      <c r="M1668" s="3">
        <f>IF(ORIG!M1668=0,"",ORIG!M1668)</f>
        <v/>
      </c>
      <c r="N1668" s="3">
        <f>IF(ORIG!N1668=0,"",ORIG!N1668)</f>
        <v/>
      </c>
      <c r="O1668" s="3">
        <f>IF(ORIG!O1668=0,"",ORIG!O1668)</f>
        <v/>
      </c>
      <c r="P1668" s="3">
        <f>IF(ORIG!P1668=0,"",ORIG!P1668)</f>
        <v/>
      </c>
      <c r="Q1668" s="3">
        <f>IF(ORIG!Q1668=0,"",ORIG!Q1668)</f>
        <v/>
      </c>
      <c r="R1668" s="3">
        <f>IF(ORIG!R1668=0,"",ORIG!R1668)</f>
        <v/>
      </c>
      <c r="S1668" s="3">
        <f>IF(ORIG!S1668=0,"",ORIG!S1668)</f>
        <v/>
      </c>
      <c r="T1668" s="3">
        <f>IF(ORIG!T1668=0,"",ORIG!T1668)</f>
        <v/>
      </c>
      <c r="U1668" s="3">
        <f>IF(ORIG!U1668=0,"",ORIG!U1668)</f>
        <v/>
      </c>
      <c r="V1668" s="9">
        <f>IF(ORIG!V1668=0,"",ORIG!V1668)</f>
        <v/>
      </c>
      <c r="W1668" s="9">
        <f>IF(ORIG!W1668=0,"",ORIG!W1668)</f>
        <v/>
      </c>
      <c r="X1668" s="9">
        <f>IF(ORIG!X1668=0,"",ORIG!X1668)</f>
        <v/>
      </c>
      <c r="Y1668" s="9">
        <f>IF(ORIG!Y1668=0,"",ORIG!Y1668)</f>
        <v/>
      </c>
      <c r="Z1668" s="3">
        <f>SUMPRODUCT($B1668:$Y1668,$B$2649:$Y$2649)</f>
        <v/>
      </c>
      <c r="AA1668" s="3">
        <f>SUMPRODUCT($B1668:$Y1668,$B$2655:$Y$2655)</f>
        <v/>
      </c>
      <c r="AC1668" s="1">
        <f>A1668</f>
        <v/>
      </c>
      <c r="AD1668">
        <f>IF(ISNUMBER(V1668),V1668*($AB$1/V$2635),"")</f>
        <v/>
      </c>
      <c r="AE1668">
        <f>IF(ISNUMBER(Z1668),Z1668*($AB$1/Z$2635),"")</f>
        <v/>
      </c>
      <c r="AF1668" s="25">
        <f>IF(ISNUMBER(AD1668+AE1668),AD1668+AE1668,"")</f>
        <v/>
      </c>
      <c r="AH1668" s="1">
        <f>A1668</f>
        <v/>
      </c>
      <c r="AI1668">
        <f>IF(ISNUMBER((1+V1668)*AI1667),(1+V1668)*AI1667,AI1667)</f>
        <v/>
      </c>
      <c r="AJ1668">
        <f>IF(ISNUMBER((1+Z1668)*AJ1667),(1+Z1668)*AJ1667,AJ1667)</f>
        <v/>
      </c>
    </row>
    <row r="1669">
      <c r="A1669" s="1" t="n">
        <v>44424</v>
      </c>
      <c r="B1669" s="3">
        <f>IF(ORIG!B1669=0,"",ORIG!B1669)</f>
        <v/>
      </c>
      <c r="C1669" s="3">
        <f>IF(ORIG!C1669=0,"",ORIG!C1669)</f>
        <v/>
      </c>
      <c r="D1669" s="3">
        <f>IF(ORIG!D1669=0,"",ORIG!D1669)</f>
        <v/>
      </c>
      <c r="E1669" s="3">
        <f>IF(ORIG!E1669=0,"",ORIG!E1669)</f>
        <v/>
      </c>
      <c r="F1669" s="3">
        <f>IF(ORIG!F1669=0,"",ORIG!F1669)</f>
        <v/>
      </c>
      <c r="G1669" s="3">
        <f>IF(ORIG!G1669=0,"",ORIG!G1669)</f>
        <v/>
      </c>
      <c r="H1669" s="3">
        <f>IF(ORIG!H1669=0,"",ORIG!H1669)</f>
        <v/>
      </c>
      <c r="I1669" s="3">
        <f>IF(ORIG!I1669=0,"",ORIG!I1669)</f>
        <v/>
      </c>
      <c r="J1669" s="3">
        <f>IF(ORIG!J1669=0,"",ORIG!J1669)</f>
        <v/>
      </c>
      <c r="K1669" s="3">
        <f>IF(ORIG!K1669=0,"",ORIG!K1669)</f>
        <v/>
      </c>
      <c r="L1669" s="3">
        <f>IF(ORIG!L1669=0,"",ORIG!L1669)</f>
        <v/>
      </c>
      <c r="M1669" s="3">
        <f>IF(ORIG!M1669=0,"",ORIG!M1669)</f>
        <v/>
      </c>
      <c r="N1669" s="3">
        <f>IF(ORIG!N1669=0,"",ORIG!N1669)</f>
        <v/>
      </c>
      <c r="O1669" s="3">
        <f>IF(ORIG!O1669=0,"",ORIG!O1669)</f>
        <v/>
      </c>
      <c r="P1669" s="3">
        <f>IF(ORIG!P1669=0,"",ORIG!P1669)</f>
        <v/>
      </c>
      <c r="Q1669" s="3">
        <f>IF(ORIG!Q1669=0,"",ORIG!Q1669)</f>
        <v/>
      </c>
      <c r="R1669" s="3">
        <f>IF(ORIG!R1669=0,"",ORIG!R1669)</f>
        <v/>
      </c>
      <c r="S1669" s="3">
        <f>IF(ORIG!S1669=0,"",ORIG!S1669)</f>
        <v/>
      </c>
      <c r="T1669" s="3">
        <f>IF(ORIG!T1669=0,"",ORIG!T1669)</f>
        <v/>
      </c>
      <c r="U1669" s="3">
        <f>IF(ORIG!U1669=0,"",ORIG!U1669)</f>
        <v/>
      </c>
      <c r="V1669" s="9">
        <f>IF(ORIG!V1669=0,"",ORIG!V1669)</f>
        <v/>
      </c>
      <c r="W1669" s="9">
        <f>IF(ORIG!W1669=0,"",ORIG!W1669)</f>
        <v/>
      </c>
      <c r="X1669" s="9">
        <f>IF(ORIG!X1669=0,"",ORIG!X1669)</f>
        <v/>
      </c>
      <c r="Y1669" s="9">
        <f>IF(ORIG!Y1669=0,"",ORIG!Y1669)</f>
        <v/>
      </c>
      <c r="Z1669" s="3">
        <f>SUMPRODUCT($B1669:$Y1669,$B$2649:$Y$2649)</f>
        <v/>
      </c>
      <c r="AA1669" s="3">
        <f>SUMPRODUCT($B1669:$Y1669,$B$2655:$Y$2655)</f>
        <v/>
      </c>
      <c r="AC1669" s="1">
        <f>A1669</f>
        <v/>
      </c>
      <c r="AD1669">
        <f>IF(ISNUMBER(V1669),V1669*($AB$1/V$2635),"")</f>
        <v/>
      </c>
      <c r="AE1669">
        <f>IF(ISNUMBER(Z1669),Z1669*($AB$1/Z$2635),"")</f>
        <v/>
      </c>
      <c r="AF1669" s="25">
        <f>IF(ISNUMBER(AD1669+AE1669),AD1669+AE1669,"")</f>
        <v/>
      </c>
      <c r="AH1669" s="1">
        <f>A1669</f>
        <v/>
      </c>
      <c r="AI1669">
        <f>IF(ISNUMBER((1+V1669)*AI1668),(1+V1669)*AI1668,AI1668)</f>
        <v/>
      </c>
      <c r="AJ1669">
        <f>IF(ISNUMBER((1+Z1669)*AJ1668),(1+Z1669)*AJ1668,AJ1668)</f>
        <v/>
      </c>
    </row>
    <row r="1670">
      <c r="A1670" s="1" t="n">
        <v>44425</v>
      </c>
      <c r="B1670" s="3">
        <f>IF(ORIG!B1670=0,"",ORIG!B1670)</f>
        <v/>
      </c>
      <c r="C1670" s="3">
        <f>IF(ORIG!C1670=0,"",ORIG!C1670)</f>
        <v/>
      </c>
      <c r="D1670" s="3">
        <f>IF(ORIG!D1670=0,"",ORIG!D1670)</f>
        <v/>
      </c>
      <c r="E1670" s="3">
        <f>IF(ORIG!E1670=0,"",ORIG!E1670)</f>
        <v/>
      </c>
      <c r="F1670" s="3">
        <f>IF(ORIG!F1670=0,"",ORIG!F1670)</f>
        <v/>
      </c>
      <c r="G1670" s="3">
        <f>IF(ORIG!G1670=0,"",ORIG!G1670)</f>
        <v/>
      </c>
      <c r="H1670" s="3">
        <f>IF(ORIG!H1670=0,"",ORIG!H1670)</f>
        <v/>
      </c>
      <c r="I1670" s="3">
        <f>IF(ORIG!I1670=0,"",ORIG!I1670)</f>
        <v/>
      </c>
      <c r="J1670" s="3">
        <f>IF(ORIG!J1670=0,"",ORIG!J1670)</f>
        <v/>
      </c>
      <c r="K1670" s="3">
        <f>IF(ORIG!K1670=0,"",ORIG!K1670)</f>
        <v/>
      </c>
      <c r="L1670" s="3">
        <f>IF(ORIG!L1670=0,"",ORIG!L1670)</f>
        <v/>
      </c>
      <c r="M1670" s="3">
        <f>IF(ORIG!M1670=0,"",ORIG!M1670)</f>
        <v/>
      </c>
      <c r="N1670" s="3">
        <f>IF(ORIG!N1670=0,"",ORIG!N1670)</f>
        <v/>
      </c>
      <c r="O1670" s="3">
        <f>IF(ORIG!O1670=0,"",ORIG!O1670)</f>
        <v/>
      </c>
      <c r="P1670" s="3">
        <f>IF(ORIG!P1670=0,"",ORIG!P1670)</f>
        <v/>
      </c>
      <c r="Q1670" s="3">
        <f>IF(ORIG!Q1670=0,"",ORIG!Q1670)</f>
        <v/>
      </c>
      <c r="R1670" s="3">
        <f>IF(ORIG!R1670=0,"",ORIG!R1670)</f>
        <v/>
      </c>
      <c r="S1670" s="3">
        <f>IF(ORIG!S1670=0,"",ORIG!S1670)</f>
        <v/>
      </c>
      <c r="T1670" s="3">
        <f>IF(ORIG!T1670=0,"",ORIG!T1670)</f>
        <v/>
      </c>
      <c r="U1670" s="3">
        <f>IF(ORIG!U1670=0,"",ORIG!U1670)</f>
        <v/>
      </c>
      <c r="V1670" s="9">
        <f>IF(ORIG!V1670=0,"",ORIG!V1670)</f>
        <v/>
      </c>
      <c r="W1670" s="9">
        <f>IF(ORIG!W1670=0,"",ORIG!W1670)</f>
        <v/>
      </c>
      <c r="X1670" s="9">
        <f>IF(ORIG!X1670=0,"",ORIG!X1670)</f>
        <v/>
      </c>
      <c r="Y1670" s="9">
        <f>IF(ORIG!Y1670=0,"",ORIG!Y1670)</f>
        <v/>
      </c>
      <c r="Z1670" s="3">
        <f>SUMPRODUCT($B1670:$Y1670,$B$2649:$Y$2649)</f>
        <v/>
      </c>
      <c r="AA1670" s="3">
        <f>SUMPRODUCT($B1670:$Y1670,$B$2655:$Y$2655)</f>
        <v/>
      </c>
      <c r="AC1670" s="1">
        <f>A1670</f>
        <v/>
      </c>
      <c r="AD1670">
        <f>IF(ISNUMBER(V1670),V1670*($AB$1/V$2635),"")</f>
        <v/>
      </c>
      <c r="AE1670">
        <f>IF(ISNUMBER(Z1670),Z1670*($AB$1/Z$2635),"")</f>
        <v/>
      </c>
      <c r="AF1670" s="25">
        <f>IF(ISNUMBER(AD1670+AE1670),AD1670+AE1670,"")</f>
        <v/>
      </c>
      <c r="AH1670" s="1">
        <f>A1670</f>
        <v/>
      </c>
      <c r="AI1670">
        <f>IF(ISNUMBER((1+V1670)*AI1669),(1+V1670)*AI1669,AI1669)</f>
        <v/>
      </c>
      <c r="AJ1670">
        <f>IF(ISNUMBER((1+Z1670)*AJ1669),(1+Z1670)*AJ1669,AJ1669)</f>
        <v/>
      </c>
    </row>
    <row r="1671">
      <c r="A1671" s="1" t="n">
        <v>44426</v>
      </c>
      <c r="B1671" s="3">
        <f>IF(ORIG!B1671=0,"",ORIG!B1671)</f>
        <v/>
      </c>
      <c r="C1671" s="3">
        <f>IF(ORIG!C1671=0,"",ORIG!C1671)</f>
        <v/>
      </c>
      <c r="D1671" s="3">
        <f>IF(ORIG!D1671=0,"",ORIG!D1671)</f>
        <v/>
      </c>
      <c r="E1671" s="3">
        <f>IF(ORIG!E1671=0,"",ORIG!E1671)</f>
        <v/>
      </c>
      <c r="F1671" s="3">
        <f>IF(ORIG!F1671=0,"",ORIG!F1671)</f>
        <v/>
      </c>
      <c r="G1671" s="3">
        <f>IF(ORIG!G1671=0,"",ORIG!G1671)</f>
        <v/>
      </c>
      <c r="H1671" s="3">
        <f>IF(ORIG!H1671=0,"",ORIG!H1671)</f>
        <v/>
      </c>
      <c r="I1671" s="3">
        <f>IF(ORIG!I1671=0,"",ORIG!I1671)</f>
        <v/>
      </c>
      <c r="J1671" s="3">
        <f>IF(ORIG!J1671=0,"",ORIG!J1671)</f>
        <v/>
      </c>
      <c r="K1671" s="3">
        <f>IF(ORIG!K1671=0,"",ORIG!K1671)</f>
        <v/>
      </c>
      <c r="L1671" s="3">
        <f>IF(ORIG!L1671=0,"",ORIG!L1671)</f>
        <v/>
      </c>
      <c r="M1671" s="3">
        <f>IF(ORIG!M1671=0,"",ORIG!M1671)</f>
        <v/>
      </c>
      <c r="N1671" s="3">
        <f>IF(ORIG!N1671=0,"",ORIG!N1671)</f>
        <v/>
      </c>
      <c r="O1671" s="3">
        <f>IF(ORIG!O1671=0,"",ORIG!O1671)</f>
        <v/>
      </c>
      <c r="P1671" s="3">
        <f>IF(ORIG!P1671=0,"",ORIG!P1671)</f>
        <v/>
      </c>
      <c r="Q1671" s="3">
        <f>IF(ORIG!Q1671=0,"",ORIG!Q1671)</f>
        <v/>
      </c>
      <c r="R1671" s="3">
        <f>IF(ORIG!R1671=0,"",ORIG!R1671)</f>
        <v/>
      </c>
      <c r="S1671" s="3">
        <f>IF(ORIG!S1671=0,"",ORIG!S1671)</f>
        <v/>
      </c>
      <c r="T1671" s="3">
        <f>IF(ORIG!T1671=0,"",ORIG!T1671)</f>
        <v/>
      </c>
      <c r="U1671" s="3">
        <f>IF(ORIG!U1671=0,"",ORIG!U1671)</f>
        <v/>
      </c>
      <c r="V1671" s="9">
        <f>IF(ORIG!V1671=0,"",ORIG!V1671)</f>
        <v/>
      </c>
      <c r="W1671" s="9">
        <f>IF(ORIG!W1671=0,"",ORIG!W1671)</f>
        <v/>
      </c>
      <c r="X1671" s="9">
        <f>IF(ORIG!X1671=0,"",ORIG!X1671)</f>
        <v/>
      </c>
      <c r="Y1671" s="9">
        <f>IF(ORIG!Y1671=0,"",ORIG!Y1671)</f>
        <v/>
      </c>
      <c r="Z1671" s="3">
        <f>SUMPRODUCT($B1671:$Y1671,$B$2649:$Y$2649)</f>
        <v/>
      </c>
      <c r="AA1671" s="3">
        <f>SUMPRODUCT($B1671:$Y1671,$B$2655:$Y$2655)</f>
        <v/>
      </c>
      <c r="AC1671" s="1">
        <f>A1671</f>
        <v/>
      </c>
      <c r="AD1671">
        <f>IF(ISNUMBER(V1671),V1671*($AB$1/V$2635),"")</f>
        <v/>
      </c>
      <c r="AE1671">
        <f>IF(ISNUMBER(Z1671),Z1671*($AB$1/Z$2635),"")</f>
        <v/>
      </c>
      <c r="AF1671" s="25">
        <f>IF(ISNUMBER(AD1671+AE1671),AD1671+AE1671,"")</f>
        <v/>
      </c>
      <c r="AH1671" s="1">
        <f>A1671</f>
        <v/>
      </c>
      <c r="AI1671">
        <f>IF(ISNUMBER((1+V1671)*AI1670),(1+V1671)*AI1670,AI1670)</f>
        <v/>
      </c>
      <c r="AJ1671">
        <f>IF(ISNUMBER((1+Z1671)*AJ1670),(1+Z1671)*AJ1670,AJ1670)</f>
        <v/>
      </c>
    </row>
    <row r="1672">
      <c r="A1672" s="1" t="n">
        <v>44427</v>
      </c>
      <c r="B1672" s="3">
        <f>IF(ORIG!B1672=0,"",ORIG!B1672)</f>
        <v/>
      </c>
      <c r="C1672" s="3">
        <f>IF(ORIG!C1672=0,"",ORIG!C1672)</f>
        <v/>
      </c>
      <c r="D1672" s="3">
        <f>IF(ORIG!D1672=0,"",ORIG!D1672)</f>
        <v/>
      </c>
      <c r="E1672" s="3">
        <f>IF(ORIG!E1672=0,"",ORIG!E1672)</f>
        <v/>
      </c>
      <c r="F1672" s="3">
        <f>IF(ORIG!F1672=0,"",ORIG!F1672)</f>
        <v/>
      </c>
      <c r="G1672" s="3">
        <f>IF(ORIG!G1672=0,"",ORIG!G1672)</f>
        <v/>
      </c>
      <c r="H1672" s="3">
        <f>IF(ORIG!H1672=0,"",ORIG!H1672)</f>
        <v/>
      </c>
      <c r="I1672" s="3">
        <f>IF(ORIG!I1672=0,"",ORIG!I1672)</f>
        <v/>
      </c>
      <c r="J1672" s="3">
        <f>IF(ORIG!J1672=0,"",ORIG!J1672)</f>
        <v/>
      </c>
      <c r="K1672" s="3">
        <f>IF(ORIG!K1672=0,"",ORIG!K1672)</f>
        <v/>
      </c>
      <c r="L1672" s="3">
        <f>IF(ORIG!L1672=0,"",ORIG!L1672)</f>
        <v/>
      </c>
      <c r="M1672" s="3">
        <f>IF(ORIG!M1672=0,"",ORIG!M1672)</f>
        <v/>
      </c>
      <c r="N1672" s="3">
        <f>IF(ORIG!N1672=0,"",ORIG!N1672)</f>
        <v/>
      </c>
      <c r="O1672" s="3">
        <f>IF(ORIG!O1672=0,"",ORIG!O1672)</f>
        <v/>
      </c>
      <c r="P1672" s="3">
        <f>IF(ORIG!P1672=0,"",ORIG!P1672)</f>
        <v/>
      </c>
      <c r="Q1672" s="3">
        <f>IF(ORIG!Q1672=0,"",ORIG!Q1672)</f>
        <v/>
      </c>
      <c r="R1672" s="3">
        <f>IF(ORIG!R1672=0,"",ORIG!R1672)</f>
        <v/>
      </c>
      <c r="S1672" s="3">
        <f>IF(ORIG!S1672=0,"",ORIG!S1672)</f>
        <v/>
      </c>
      <c r="T1672" s="3">
        <f>IF(ORIG!T1672=0,"",ORIG!T1672)</f>
        <v/>
      </c>
      <c r="U1672" s="3">
        <f>IF(ORIG!U1672=0,"",ORIG!U1672)</f>
        <v/>
      </c>
      <c r="V1672" s="9">
        <f>IF(ORIG!V1672=0,"",ORIG!V1672)</f>
        <v/>
      </c>
      <c r="W1672" s="9">
        <f>IF(ORIG!W1672=0,"",ORIG!W1672)</f>
        <v/>
      </c>
      <c r="X1672" s="9">
        <f>IF(ORIG!X1672=0,"",ORIG!X1672)</f>
        <v/>
      </c>
      <c r="Y1672" s="9">
        <f>IF(ORIG!Y1672=0,"",ORIG!Y1672)</f>
        <v/>
      </c>
      <c r="Z1672" s="3">
        <f>SUMPRODUCT($B1672:$Y1672,$B$2649:$Y$2649)</f>
        <v/>
      </c>
      <c r="AA1672" s="3">
        <f>SUMPRODUCT($B1672:$Y1672,$B$2655:$Y$2655)</f>
        <v/>
      </c>
      <c r="AC1672" s="1">
        <f>A1672</f>
        <v/>
      </c>
      <c r="AD1672">
        <f>IF(ISNUMBER(V1672),V1672*($AB$1/V$2635),"")</f>
        <v/>
      </c>
      <c r="AE1672">
        <f>IF(ISNUMBER(Z1672),Z1672*($AB$1/Z$2635),"")</f>
        <v/>
      </c>
      <c r="AF1672" s="25">
        <f>IF(ISNUMBER(AD1672+AE1672),AD1672+AE1672,"")</f>
        <v/>
      </c>
      <c r="AH1672" s="1">
        <f>A1672</f>
        <v/>
      </c>
      <c r="AI1672">
        <f>IF(ISNUMBER((1+V1672)*AI1671),(1+V1672)*AI1671,AI1671)</f>
        <v/>
      </c>
      <c r="AJ1672">
        <f>IF(ISNUMBER((1+Z1672)*AJ1671),(1+Z1672)*AJ1671,AJ1671)</f>
        <v/>
      </c>
    </row>
    <row r="1673">
      <c r="A1673" s="1" t="n">
        <v>44428</v>
      </c>
      <c r="B1673" s="3">
        <f>IF(ORIG!B1673=0,"",ORIG!B1673)</f>
        <v/>
      </c>
      <c r="C1673" s="3">
        <f>IF(ORIG!C1673=0,"",ORIG!C1673)</f>
        <v/>
      </c>
      <c r="D1673" s="3">
        <f>IF(ORIG!D1673=0,"",ORIG!D1673)</f>
        <v/>
      </c>
      <c r="E1673" s="3">
        <f>IF(ORIG!E1673=0,"",ORIG!E1673)</f>
        <v/>
      </c>
      <c r="F1673" s="3">
        <f>IF(ORIG!F1673=0,"",ORIG!F1673)</f>
        <v/>
      </c>
      <c r="G1673" s="3">
        <f>IF(ORIG!G1673=0,"",ORIG!G1673)</f>
        <v/>
      </c>
      <c r="H1673" s="3">
        <f>IF(ORIG!H1673=0,"",ORIG!H1673)</f>
        <v/>
      </c>
      <c r="I1673" s="3">
        <f>IF(ORIG!I1673=0,"",ORIG!I1673)</f>
        <v/>
      </c>
      <c r="J1673" s="3">
        <f>IF(ORIG!J1673=0,"",ORIG!J1673)</f>
        <v/>
      </c>
      <c r="K1673" s="3">
        <f>IF(ORIG!K1673=0,"",ORIG!K1673)</f>
        <v/>
      </c>
      <c r="L1673" s="3">
        <f>IF(ORIG!L1673=0,"",ORIG!L1673)</f>
        <v/>
      </c>
      <c r="M1673" s="3">
        <f>IF(ORIG!M1673=0,"",ORIG!M1673)</f>
        <v/>
      </c>
      <c r="N1673" s="3">
        <f>IF(ORIG!N1673=0,"",ORIG!N1673)</f>
        <v/>
      </c>
      <c r="O1673" s="3">
        <f>IF(ORIG!O1673=0,"",ORIG!O1673)</f>
        <v/>
      </c>
      <c r="P1673" s="3">
        <f>IF(ORIG!P1673=0,"",ORIG!P1673)</f>
        <v/>
      </c>
      <c r="Q1673" s="3">
        <f>IF(ORIG!Q1673=0,"",ORIG!Q1673)</f>
        <v/>
      </c>
      <c r="R1673" s="3">
        <f>IF(ORIG!R1673=0,"",ORIG!R1673)</f>
        <v/>
      </c>
      <c r="S1673" s="3">
        <f>IF(ORIG!S1673=0,"",ORIG!S1673)</f>
        <v/>
      </c>
      <c r="T1673" s="3">
        <f>IF(ORIG!T1673=0,"",ORIG!T1673)</f>
        <v/>
      </c>
      <c r="U1673" s="3">
        <f>IF(ORIG!U1673=0,"",ORIG!U1673)</f>
        <v/>
      </c>
      <c r="V1673" s="9">
        <f>IF(ORIG!V1673=0,"",ORIG!V1673)</f>
        <v/>
      </c>
      <c r="W1673" s="9">
        <f>IF(ORIG!W1673=0,"",ORIG!W1673)</f>
        <v/>
      </c>
      <c r="X1673" s="9">
        <f>IF(ORIG!X1673=0,"",ORIG!X1673)</f>
        <v/>
      </c>
      <c r="Y1673" s="9">
        <f>IF(ORIG!Y1673=0,"",ORIG!Y1673)</f>
        <v/>
      </c>
      <c r="Z1673" s="3">
        <f>SUMPRODUCT($B1673:$Y1673,$B$2649:$Y$2649)</f>
        <v/>
      </c>
      <c r="AA1673" s="3">
        <f>SUMPRODUCT($B1673:$Y1673,$B$2655:$Y$2655)</f>
        <v/>
      </c>
      <c r="AC1673" s="1">
        <f>A1673</f>
        <v/>
      </c>
      <c r="AD1673">
        <f>IF(ISNUMBER(V1673),V1673*($AB$1/V$2635),"")</f>
        <v/>
      </c>
      <c r="AE1673">
        <f>IF(ISNUMBER(Z1673),Z1673*($AB$1/Z$2635),"")</f>
        <v/>
      </c>
      <c r="AF1673" s="25">
        <f>IF(ISNUMBER(AD1673+AE1673),AD1673+AE1673,"")</f>
        <v/>
      </c>
      <c r="AH1673" s="1">
        <f>A1673</f>
        <v/>
      </c>
      <c r="AI1673">
        <f>IF(ISNUMBER((1+V1673)*AI1672),(1+V1673)*AI1672,AI1672)</f>
        <v/>
      </c>
      <c r="AJ1673">
        <f>IF(ISNUMBER((1+Z1673)*AJ1672),(1+Z1673)*AJ1672,AJ1672)</f>
        <v/>
      </c>
    </row>
    <row r="1674">
      <c r="A1674" s="1" t="n">
        <v>44431</v>
      </c>
      <c r="B1674" s="3">
        <f>IF(ORIG!B1674=0,"",ORIG!B1674)</f>
        <v/>
      </c>
      <c r="C1674" s="3">
        <f>IF(ORIG!C1674=0,"",ORIG!C1674)</f>
        <v/>
      </c>
      <c r="D1674" s="3">
        <f>IF(ORIG!D1674=0,"",ORIG!D1674)</f>
        <v/>
      </c>
      <c r="E1674" s="3">
        <f>IF(ORIG!E1674=0,"",ORIG!E1674)</f>
        <v/>
      </c>
      <c r="F1674" s="3">
        <f>IF(ORIG!F1674=0,"",ORIG!F1674)</f>
        <v/>
      </c>
      <c r="G1674" s="3">
        <f>IF(ORIG!G1674=0,"",ORIG!G1674)</f>
        <v/>
      </c>
      <c r="H1674" s="3">
        <f>IF(ORIG!H1674=0,"",ORIG!H1674)</f>
        <v/>
      </c>
      <c r="I1674" s="3">
        <f>IF(ORIG!I1674=0,"",ORIG!I1674)</f>
        <v/>
      </c>
      <c r="J1674" s="3">
        <f>IF(ORIG!J1674=0,"",ORIG!J1674)</f>
        <v/>
      </c>
      <c r="K1674" s="3">
        <f>IF(ORIG!K1674=0,"",ORIG!K1674)</f>
        <v/>
      </c>
      <c r="L1674" s="3">
        <f>IF(ORIG!L1674=0,"",ORIG!L1674)</f>
        <v/>
      </c>
      <c r="M1674" s="3">
        <f>IF(ORIG!M1674=0,"",ORIG!M1674)</f>
        <v/>
      </c>
      <c r="N1674" s="3">
        <f>IF(ORIG!N1674=0,"",ORIG!N1674)</f>
        <v/>
      </c>
      <c r="O1674" s="3">
        <f>IF(ORIG!O1674=0,"",ORIG!O1674)</f>
        <v/>
      </c>
      <c r="P1674" s="3">
        <f>IF(ORIG!P1674=0,"",ORIG!P1674)</f>
        <v/>
      </c>
      <c r="Q1674" s="3">
        <f>IF(ORIG!Q1674=0,"",ORIG!Q1674)</f>
        <v/>
      </c>
      <c r="R1674" s="3">
        <f>IF(ORIG!R1674=0,"",ORIG!R1674)</f>
        <v/>
      </c>
      <c r="S1674" s="3">
        <f>IF(ORIG!S1674=0,"",ORIG!S1674)</f>
        <v/>
      </c>
      <c r="T1674" s="3">
        <f>IF(ORIG!T1674=0,"",ORIG!T1674)</f>
        <v/>
      </c>
      <c r="U1674" s="3">
        <f>IF(ORIG!U1674=0,"",ORIG!U1674)</f>
        <v/>
      </c>
      <c r="V1674" s="9">
        <f>IF(ORIG!V1674=0,"",ORIG!V1674)</f>
        <v/>
      </c>
      <c r="W1674" s="9">
        <f>IF(ORIG!W1674=0,"",ORIG!W1674)</f>
        <v/>
      </c>
      <c r="X1674" s="9">
        <f>IF(ORIG!X1674=0,"",ORIG!X1674)</f>
        <v/>
      </c>
      <c r="Y1674" s="9">
        <f>IF(ORIG!Y1674=0,"",ORIG!Y1674)</f>
        <v/>
      </c>
      <c r="Z1674" s="3">
        <f>SUMPRODUCT($B1674:$Y1674,$B$2649:$Y$2649)</f>
        <v/>
      </c>
      <c r="AA1674" s="3">
        <f>SUMPRODUCT($B1674:$Y1674,$B$2655:$Y$2655)</f>
        <v/>
      </c>
      <c r="AC1674" s="1">
        <f>A1674</f>
        <v/>
      </c>
      <c r="AD1674">
        <f>IF(ISNUMBER(V1674),V1674*($AB$1/V$2635),"")</f>
        <v/>
      </c>
      <c r="AE1674">
        <f>IF(ISNUMBER(Z1674),Z1674*($AB$1/Z$2635),"")</f>
        <v/>
      </c>
      <c r="AF1674" s="25">
        <f>IF(ISNUMBER(AD1674+AE1674),AD1674+AE1674,"")</f>
        <v/>
      </c>
      <c r="AH1674" s="1">
        <f>A1674</f>
        <v/>
      </c>
      <c r="AI1674">
        <f>IF(ISNUMBER((1+V1674)*AI1673),(1+V1674)*AI1673,AI1673)</f>
        <v/>
      </c>
      <c r="AJ1674">
        <f>IF(ISNUMBER((1+Z1674)*AJ1673),(1+Z1674)*AJ1673,AJ1673)</f>
        <v/>
      </c>
    </row>
    <row r="1675">
      <c r="A1675" s="1" t="n">
        <v>44432</v>
      </c>
      <c r="B1675" s="3">
        <f>IF(ORIG!B1675=0,"",ORIG!B1675)</f>
        <v/>
      </c>
      <c r="C1675" s="3">
        <f>IF(ORIG!C1675=0,"",ORIG!C1675)</f>
        <v/>
      </c>
      <c r="D1675" s="3">
        <f>IF(ORIG!D1675=0,"",ORIG!D1675)</f>
        <v/>
      </c>
      <c r="E1675" s="3">
        <f>IF(ORIG!E1675=0,"",ORIG!E1675)</f>
        <v/>
      </c>
      <c r="F1675" s="3">
        <f>IF(ORIG!F1675=0,"",ORIG!F1675)</f>
        <v/>
      </c>
      <c r="G1675" s="3">
        <f>IF(ORIG!G1675=0,"",ORIG!G1675)</f>
        <v/>
      </c>
      <c r="H1675" s="3">
        <f>IF(ORIG!H1675=0,"",ORIG!H1675)</f>
        <v/>
      </c>
      <c r="I1675" s="3">
        <f>IF(ORIG!I1675=0,"",ORIG!I1675)</f>
        <v/>
      </c>
      <c r="J1675" s="3">
        <f>IF(ORIG!J1675=0,"",ORIG!J1675)</f>
        <v/>
      </c>
      <c r="K1675" s="3">
        <f>IF(ORIG!K1675=0,"",ORIG!K1675)</f>
        <v/>
      </c>
      <c r="L1675" s="3">
        <f>IF(ORIG!L1675=0,"",ORIG!L1675)</f>
        <v/>
      </c>
      <c r="M1675" s="3">
        <f>IF(ORIG!M1675=0,"",ORIG!M1675)</f>
        <v/>
      </c>
      <c r="N1675" s="3">
        <f>IF(ORIG!N1675=0,"",ORIG!N1675)</f>
        <v/>
      </c>
      <c r="O1675" s="3">
        <f>IF(ORIG!O1675=0,"",ORIG!O1675)</f>
        <v/>
      </c>
      <c r="P1675" s="3">
        <f>IF(ORIG!P1675=0,"",ORIG!P1675)</f>
        <v/>
      </c>
      <c r="Q1675" s="3">
        <f>IF(ORIG!Q1675=0,"",ORIG!Q1675)</f>
        <v/>
      </c>
      <c r="R1675" s="3">
        <f>IF(ORIG!R1675=0,"",ORIG!R1675)</f>
        <v/>
      </c>
      <c r="S1675" s="3">
        <f>IF(ORIG!S1675=0,"",ORIG!S1675)</f>
        <v/>
      </c>
      <c r="T1675" s="3">
        <f>IF(ORIG!T1675=0,"",ORIG!T1675)</f>
        <v/>
      </c>
      <c r="U1675" s="3">
        <f>IF(ORIG!U1675=0,"",ORIG!U1675)</f>
        <v/>
      </c>
      <c r="V1675" s="9">
        <f>IF(ORIG!V1675=0,"",ORIG!V1675)</f>
        <v/>
      </c>
      <c r="W1675" s="9">
        <f>IF(ORIG!W1675=0,"",ORIG!W1675)</f>
        <v/>
      </c>
      <c r="X1675" s="9">
        <f>IF(ORIG!X1675=0,"",ORIG!X1675)</f>
        <v/>
      </c>
      <c r="Y1675" s="9">
        <f>IF(ORIG!Y1675=0,"",ORIG!Y1675)</f>
        <v/>
      </c>
      <c r="Z1675" s="3">
        <f>SUMPRODUCT($B1675:$Y1675,$B$2649:$Y$2649)</f>
        <v/>
      </c>
      <c r="AA1675" s="3">
        <f>SUMPRODUCT($B1675:$Y1675,$B$2655:$Y$2655)</f>
        <v/>
      </c>
      <c r="AC1675" s="1">
        <f>A1675</f>
        <v/>
      </c>
      <c r="AD1675">
        <f>IF(ISNUMBER(V1675),V1675*($AB$1/V$2635),"")</f>
        <v/>
      </c>
      <c r="AE1675">
        <f>IF(ISNUMBER(Z1675),Z1675*($AB$1/Z$2635),"")</f>
        <v/>
      </c>
      <c r="AF1675" s="25">
        <f>IF(ISNUMBER(AD1675+AE1675),AD1675+AE1675,"")</f>
        <v/>
      </c>
      <c r="AH1675" s="1">
        <f>A1675</f>
        <v/>
      </c>
      <c r="AI1675">
        <f>IF(ISNUMBER((1+V1675)*AI1674),(1+V1675)*AI1674,AI1674)</f>
        <v/>
      </c>
      <c r="AJ1675">
        <f>IF(ISNUMBER((1+Z1675)*AJ1674),(1+Z1675)*AJ1674,AJ1674)</f>
        <v/>
      </c>
    </row>
    <row r="1676">
      <c r="A1676" s="1" t="n">
        <v>44433</v>
      </c>
      <c r="B1676" s="3">
        <f>IF(ORIG!B1676=0,"",ORIG!B1676)</f>
        <v/>
      </c>
      <c r="C1676" s="3">
        <f>IF(ORIG!C1676=0,"",ORIG!C1676)</f>
        <v/>
      </c>
      <c r="D1676" s="3">
        <f>IF(ORIG!D1676=0,"",ORIG!D1676)</f>
        <v/>
      </c>
      <c r="E1676" s="3">
        <f>IF(ORIG!E1676=0,"",ORIG!E1676)</f>
        <v/>
      </c>
      <c r="F1676" s="3">
        <f>IF(ORIG!F1676=0,"",ORIG!F1676)</f>
        <v/>
      </c>
      <c r="G1676" s="3">
        <f>IF(ORIG!G1676=0,"",ORIG!G1676)</f>
        <v/>
      </c>
      <c r="H1676" s="3">
        <f>IF(ORIG!H1676=0,"",ORIG!H1676)</f>
        <v/>
      </c>
      <c r="I1676" s="3">
        <f>IF(ORIG!I1676=0,"",ORIG!I1676)</f>
        <v/>
      </c>
      <c r="J1676" s="3">
        <f>IF(ORIG!J1676=0,"",ORIG!J1676)</f>
        <v/>
      </c>
      <c r="K1676" s="3">
        <f>IF(ORIG!K1676=0,"",ORIG!K1676)</f>
        <v/>
      </c>
      <c r="L1676" s="3">
        <f>IF(ORIG!L1676=0,"",ORIG!L1676)</f>
        <v/>
      </c>
      <c r="M1676" s="3">
        <f>IF(ORIG!M1676=0,"",ORIG!M1676)</f>
        <v/>
      </c>
      <c r="N1676" s="3">
        <f>IF(ORIG!N1676=0,"",ORIG!N1676)</f>
        <v/>
      </c>
      <c r="O1676" s="3">
        <f>IF(ORIG!O1676=0,"",ORIG!O1676)</f>
        <v/>
      </c>
      <c r="P1676" s="3">
        <f>IF(ORIG!P1676=0,"",ORIG!P1676)</f>
        <v/>
      </c>
      <c r="Q1676" s="3">
        <f>IF(ORIG!Q1676=0,"",ORIG!Q1676)</f>
        <v/>
      </c>
      <c r="R1676" s="3">
        <f>IF(ORIG!R1676=0,"",ORIG!R1676)</f>
        <v/>
      </c>
      <c r="S1676" s="3">
        <f>IF(ORIG!S1676=0,"",ORIG!S1676)</f>
        <v/>
      </c>
      <c r="T1676" s="3">
        <f>IF(ORIG!T1676=0,"",ORIG!T1676)</f>
        <v/>
      </c>
      <c r="U1676" s="3">
        <f>IF(ORIG!U1676=0,"",ORIG!U1676)</f>
        <v/>
      </c>
      <c r="V1676" s="9">
        <f>IF(ORIG!V1676=0,"",ORIG!V1676)</f>
        <v/>
      </c>
      <c r="W1676" s="9">
        <f>IF(ORIG!W1676=0,"",ORIG!W1676)</f>
        <v/>
      </c>
      <c r="X1676" s="9">
        <f>IF(ORIG!X1676=0,"",ORIG!X1676)</f>
        <v/>
      </c>
      <c r="Y1676" s="9">
        <f>IF(ORIG!Y1676=0,"",ORIG!Y1676)</f>
        <v/>
      </c>
      <c r="Z1676" s="3">
        <f>SUMPRODUCT($B1676:$Y1676,$B$2649:$Y$2649)</f>
        <v/>
      </c>
      <c r="AA1676" s="3">
        <f>SUMPRODUCT($B1676:$Y1676,$B$2655:$Y$2655)</f>
        <v/>
      </c>
      <c r="AC1676" s="1">
        <f>A1676</f>
        <v/>
      </c>
      <c r="AD1676">
        <f>IF(ISNUMBER(V1676),V1676*($AB$1/V$2635),"")</f>
        <v/>
      </c>
      <c r="AE1676">
        <f>IF(ISNUMBER(Z1676),Z1676*($AB$1/Z$2635),"")</f>
        <v/>
      </c>
      <c r="AF1676" s="25">
        <f>IF(ISNUMBER(AD1676+AE1676),AD1676+AE1676,"")</f>
        <v/>
      </c>
      <c r="AH1676" s="1">
        <f>A1676</f>
        <v/>
      </c>
      <c r="AI1676">
        <f>IF(ISNUMBER((1+V1676)*AI1675),(1+V1676)*AI1675,AI1675)</f>
        <v/>
      </c>
      <c r="AJ1676">
        <f>IF(ISNUMBER((1+Z1676)*AJ1675),(1+Z1676)*AJ1675,AJ1675)</f>
        <v/>
      </c>
    </row>
    <row r="1677">
      <c r="A1677" s="1" t="n">
        <v>44434</v>
      </c>
      <c r="B1677" s="3">
        <f>IF(ORIG!B1677=0,"",ORIG!B1677)</f>
        <v/>
      </c>
      <c r="C1677" s="3">
        <f>IF(ORIG!C1677=0,"",ORIG!C1677)</f>
        <v/>
      </c>
      <c r="D1677" s="3">
        <f>IF(ORIG!D1677=0,"",ORIG!D1677)</f>
        <v/>
      </c>
      <c r="E1677" s="3">
        <f>IF(ORIG!E1677=0,"",ORIG!E1677)</f>
        <v/>
      </c>
      <c r="F1677" s="3">
        <f>IF(ORIG!F1677=0,"",ORIG!F1677)</f>
        <v/>
      </c>
      <c r="G1677" s="3">
        <f>IF(ORIG!G1677=0,"",ORIG!G1677)</f>
        <v/>
      </c>
      <c r="H1677" s="3">
        <f>IF(ORIG!H1677=0,"",ORIG!H1677)</f>
        <v/>
      </c>
      <c r="I1677" s="3">
        <f>IF(ORIG!I1677=0,"",ORIG!I1677)</f>
        <v/>
      </c>
      <c r="J1677" s="3">
        <f>IF(ORIG!J1677=0,"",ORIG!J1677)</f>
        <v/>
      </c>
      <c r="K1677" s="3">
        <f>IF(ORIG!K1677=0,"",ORIG!K1677)</f>
        <v/>
      </c>
      <c r="L1677" s="3">
        <f>IF(ORIG!L1677=0,"",ORIG!L1677)</f>
        <v/>
      </c>
      <c r="M1677" s="3">
        <f>IF(ORIG!M1677=0,"",ORIG!M1677)</f>
        <v/>
      </c>
      <c r="N1677" s="3">
        <f>IF(ORIG!N1677=0,"",ORIG!N1677)</f>
        <v/>
      </c>
      <c r="O1677" s="3">
        <f>IF(ORIG!O1677=0,"",ORIG!O1677)</f>
        <v/>
      </c>
      <c r="P1677" s="3">
        <f>IF(ORIG!P1677=0,"",ORIG!P1677)</f>
        <v/>
      </c>
      <c r="Q1677" s="3">
        <f>IF(ORIG!Q1677=0,"",ORIG!Q1677)</f>
        <v/>
      </c>
      <c r="R1677" s="3">
        <f>IF(ORIG!R1677=0,"",ORIG!R1677)</f>
        <v/>
      </c>
      <c r="S1677" s="3">
        <f>IF(ORIG!S1677=0,"",ORIG!S1677)</f>
        <v/>
      </c>
      <c r="T1677" s="3">
        <f>IF(ORIG!T1677=0,"",ORIG!T1677)</f>
        <v/>
      </c>
      <c r="U1677" s="3">
        <f>IF(ORIG!U1677=0,"",ORIG!U1677)</f>
        <v/>
      </c>
      <c r="V1677" s="9">
        <f>IF(ORIG!V1677=0,"",ORIG!V1677)</f>
        <v/>
      </c>
      <c r="W1677" s="9">
        <f>IF(ORIG!W1677=0,"",ORIG!W1677)</f>
        <v/>
      </c>
      <c r="X1677" s="9">
        <f>IF(ORIG!X1677=0,"",ORIG!X1677)</f>
        <v/>
      </c>
      <c r="Y1677" s="9">
        <f>IF(ORIG!Y1677=0,"",ORIG!Y1677)</f>
        <v/>
      </c>
      <c r="Z1677" s="3">
        <f>SUMPRODUCT($B1677:$Y1677,$B$2649:$Y$2649)</f>
        <v/>
      </c>
      <c r="AA1677" s="3">
        <f>SUMPRODUCT($B1677:$Y1677,$B$2655:$Y$2655)</f>
        <v/>
      </c>
      <c r="AC1677" s="1">
        <f>A1677</f>
        <v/>
      </c>
      <c r="AD1677">
        <f>IF(ISNUMBER(V1677),V1677*($AB$1/V$2635),"")</f>
        <v/>
      </c>
      <c r="AE1677">
        <f>IF(ISNUMBER(Z1677),Z1677*($AB$1/Z$2635),"")</f>
        <v/>
      </c>
      <c r="AF1677" s="25">
        <f>IF(ISNUMBER(AD1677+AE1677),AD1677+AE1677,"")</f>
        <v/>
      </c>
      <c r="AH1677" s="1">
        <f>A1677</f>
        <v/>
      </c>
      <c r="AI1677">
        <f>IF(ISNUMBER((1+V1677)*AI1676),(1+V1677)*AI1676,AI1676)</f>
        <v/>
      </c>
      <c r="AJ1677">
        <f>IF(ISNUMBER((1+Z1677)*AJ1676),(1+Z1677)*AJ1676,AJ1676)</f>
        <v/>
      </c>
    </row>
    <row r="1678">
      <c r="A1678" s="1" t="n">
        <v>44435</v>
      </c>
      <c r="B1678" s="3">
        <f>IF(ORIG!B1678=0,"",ORIG!B1678)</f>
        <v/>
      </c>
      <c r="C1678" s="3">
        <f>IF(ORIG!C1678=0,"",ORIG!C1678)</f>
        <v/>
      </c>
      <c r="D1678" s="3">
        <f>IF(ORIG!D1678=0,"",ORIG!D1678)</f>
        <v/>
      </c>
      <c r="E1678" s="3">
        <f>IF(ORIG!E1678=0,"",ORIG!E1678)</f>
        <v/>
      </c>
      <c r="F1678" s="3">
        <f>IF(ORIG!F1678=0,"",ORIG!F1678)</f>
        <v/>
      </c>
      <c r="G1678" s="3">
        <f>IF(ORIG!G1678=0,"",ORIG!G1678)</f>
        <v/>
      </c>
      <c r="H1678" s="3">
        <f>IF(ORIG!H1678=0,"",ORIG!H1678)</f>
        <v/>
      </c>
      <c r="I1678" s="3">
        <f>IF(ORIG!I1678=0,"",ORIG!I1678)</f>
        <v/>
      </c>
      <c r="J1678" s="3">
        <f>IF(ORIG!J1678=0,"",ORIG!J1678)</f>
        <v/>
      </c>
      <c r="K1678" s="3">
        <f>IF(ORIG!K1678=0,"",ORIG!K1678)</f>
        <v/>
      </c>
      <c r="L1678" s="3">
        <f>IF(ORIG!L1678=0,"",ORIG!L1678)</f>
        <v/>
      </c>
      <c r="M1678" s="3">
        <f>IF(ORIG!M1678=0,"",ORIG!M1678)</f>
        <v/>
      </c>
      <c r="N1678" s="3">
        <f>IF(ORIG!N1678=0,"",ORIG!N1678)</f>
        <v/>
      </c>
      <c r="O1678" s="3">
        <f>IF(ORIG!O1678=0,"",ORIG!O1678)</f>
        <v/>
      </c>
      <c r="P1678" s="3">
        <f>IF(ORIG!P1678=0,"",ORIG!P1678)</f>
        <v/>
      </c>
      <c r="Q1678" s="3">
        <f>IF(ORIG!Q1678=0,"",ORIG!Q1678)</f>
        <v/>
      </c>
      <c r="R1678" s="3">
        <f>IF(ORIG!R1678=0,"",ORIG!R1678)</f>
        <v/>
      </c>
      <c r="S1678" s="3">
        <f>IF(ORIG!S1678=0,"",ORIG!S1678)</f>
        <v/>
      </c>
      <c r="T1678" s="3">
        <f>IF(ORIG!T1678=0,"",ORIG!T1678)</f>
        <v/>
      </c>
      <c r="U1678" s="3">
        <f>IF(ORIG!U1678=0,"",ORIG!U1678)</f>
        <v/>
      </c>
      <c r="V1678" s="9">
        <f>IF(ORIG!V1678=0,"",ORIG!V1678)</f>
        <v/>
      </c>
      <c r="W1678" s="9">
        <f>IF(ORIG!W1678=0,"",ORIG!W1678)</f>
        <v/>
      </c>
      <c r="X1678" s="9">
        <f>IF(ORIG!X1678=0,"",ORIG!X1678)</f>
        <v/>
      </c>
      <c r="Y1678" s="9">
        <f>IF(ORIG!Y1678=0,"",ORIG!Y1678)</f>
        <v/>
      </c>
      <c r="Z1678" s="3">
        <f>SUMPRODUCT($B1678:$Y1678,$B$2649:$Y$2649)</f>
        <v/>
      </c>
      <c r="AA1678" s="3">
        <f>SUMPRODUCT($B1678:$Y1678,$B$2655:$Y$2655)</f>
        <v/>
      </c>
      <c r="AC1678" s="1">
        <f>A1678</f>
        <v/>
      </c>
      <c r="AD1678">
        <f>IF(ISNUMBER(V1678),V1678*($AB$1/V$2635),"")</f>
        <v/>
      </c>
      <c r="AE1678">
        <f>IF(ISNUMBER(Z1678),Z1678*($AB$1/Z$2635),"")</f>
        <v/>
      </c>
      <c r="AF1678" s="25">
        <f>IF(ISNUMBER(AD1678+AE1678),AD1678+AE1678,"")</f>
        <v/>
      </c>
      <c r="AH1678" s="1">
        <f>A1678</f>
        <v/>
      </c>
      <c r="AI1678">
        <f>IF(ISNUMBER((1+V1678)*AI1677),(1+V1678)*AI1677,AI1677)</f>
        <v/>
      </c>
      <c r="AJ1678">
        <f>IF(ISNUMBER((1+Z1678)*AJ1677),(1+Z1678)*AJ1677,AJ1677)</f>
        <v/>
      </c>
    </row>
    <row r="1679">
      <c r="A1679" s="1" t="n">
        <v>44438</v>
      </c>
      <c r="B1679" s="3">
        <f>IF(ORIG!B1679=0,"",ORIG!B1679)</f>
        <v/>
      </c>
      <c r="C1679" s="3">
        <f>IF(ORIG!C1679=0,"",ORIG!C1679)</f>
        <v/>
      </c>
      <c r="D1679" s="3">
        <f>IF(ORIG!D1679=0,"",ORIG!D1679)</f>
        <v/>
      </c>
      <c r="E1679" s="3">
        <f>IF(ORIG!E1679=0,"",ORIG!E1679)</f>
        <v/>
      </c>
      <c r="F1679" s="3">
        <f>IF(ORIG!F1679=0,"",ORIG!F1679)</f>
        <v/>
      </c>
      <c r="G1679" s="3">
        <f>IF(ORIG!G1679=0,"",ORIG!G1679)</f>
        <v/>
      </c>
      <c r="H1679" s="3">
        <f>IF(ORIG!H1679=0,"",ORIG!H1679)</f>
        <v/>
      </c>
      <c r="I1679" s="3">
        <f>IF(ORIG!I1679=0,"",ORIG!I1679)</f>
        <v/>
      </c>
      <c r="J1679" s="3">
        <f>IF(ORIG!J1679=0,"",ORIG!J1679)</f>
        <v/>
      </c>
      <c r="K1679" s="3">
        <f>IF(ORIG!K1679=0,"",ORIG!K1679)</f>
        <v/>
      </c>
      <c r="L1679" s="3">
        <f>IF(ORIG!L1679=0,"",ORIG!L1679)</f>
        <v/>
      </c>
      <c r="M1679" s="3">
        <f>IF(ORIG!M1679=0,"",ORIG!M1679)</f>
        <v/>
      </c>
      <c r="N1679" s="3">
        <f>IF(ORIG!N1679=0,"",ORIG!N1679)</f>
        <v/>
      </c>
      <c r="O1679" s="3">
        <f>IF(ORIG!O1679=0,"",ORIG!O1679)</f>
        <v/>
      </c>
      <c r="P1679" s="3">
        <f>IF(ORIG!P1679=0,"",ORIG!P1679)</f>
        <v/>
      </c>
      <c r="Q1679" s="3">
        <f>IF(ORIG!Q1679=0,"",ORIG!Q1679)</f>
        <v/>
      </c>
      <c r="R1679" s="3">
        <f>IF(ORIG!R1679=0,"",ORIG!R1679)</f>
        <v/>
      </c>
      <c r="S1679" s="3">
        <f>IF(ORIG!S1679=0,"",ORIG!S1679)</f>
        <v/>
      </c>
      <c r="T1679" s="3">
        <f>IF(ORIG!T1679=0,"",ORIG!T1679)</f>
        <v/>
      </c>
      <c r="U1679" s="3">
        <f>IF(ORIG!U1679=0,"",ORIG!U1679)</f>
        <v/>
      </c>
      <c r="V1679" s="9">
        <f>IF(ORIG!V1679=0,"",ORIG!V1679)</f>
        <v/>
      </c>
      <c r="W1679" s="9">
        <f>IF(ORIG!W1679=0,"",ORIG!W1679)</f>
        <v/>
      </c>
      <c r="X1679" s="9">
        <f>IF(ORIG!X1679=0,"",ORIG!X1679)</f>
        <v/>
      </c>
      <c r="Y1679" s="9">
        <f>IF(ORIG!Y1679=0,"",ORIG!Y1679)</f>
        <v/>
      </c>
      <c r="Z1679" s="3">
        <f>SUMPRODUCT($B1679:$Y1679,$B$2649:$Y$2649)</f>
        <v/>
      </c>
      <c r="AA1679" s="3">
        <f>SUMPRODUCT($B1679:$Y1679,$B$2655:$Y$2655)</f>
        <v/>
      </c>
      <c r="AC1679" s="1">
        <f>A1679</f>
        <v/>
      </c>
      <c r="AD1679">
        <f>IF(ISNUMBER(V1679),V1679*($AB$1/V$2635),"")</f>
        <v/>
      </c>
      <c r="AE1679">
        <f>IF(ISNUMBER(Z1679),Z1679*($AB$1/Z$2635),"")</f>
        <v/>
      </c>
      <c r="AF1679" s="25">
        <f>IF(ISNUMBER(AD1679+AE1679),AD1679+AE1679,"")</f>
        <v/>
      </c>
      <c r="AH1679" s="1">
        <f>A1679</f>
        <v/>
      </c>
      <c r="AI1679">
        <f>IF(ISNUMBER((1+V1679)*AI1678),(1+V1679)*AI1678,AI1678)</f>
        <v/>
      </c>
      <c r="AJ1679">
        <f>IF(ISNUMBER((1+Z1679)*AJ1678),(1+Z1679)*AJ1678,AJ1678)</f>
        <v/>
      </c>
    </row>
    <row r="1680">
      <c r="A1680" s="1" t="n">
        <v>44439</v>
      </c>
      <c r="B1680" s="3">
        <f>IF(ORIG!B1680=0,"",ORIG!B1680)</f>
        <v/>
      </c>
      <c r="C1680" s="3">
        <f>IF(ORIG!C1680=0,"",ORIG!C1680)</f>
        <v/>
      </c>
      <c r="D1680" s="3">
        <f>IF(ORIG!D1680=0,"",ORIG!D1680)</f>
        <v/>
      </c>
      <c r="E1680" s="3">
        <f>IF(ORIG!E1680=0,"",ORIG!E1680)</f>
        <v/>
      </c>
      <c r="F1680" s="3">
        <f>IF(ORIG!F1680=0,"",ORIG!F1680)</f>
        <v/>
      </c>
      <c r="G1680" s="3">
        <f>IF(ORIG!G1680=0,"",ORIG!G1680)</f>
        <v/>
      </c>
      <c r="H1680" s="3">
        <f>IF(ORIG!H1680=0,"",ORIG!H1680)</f>
        <v/>
      </c>
      <c r="I1680" s="3">
        <f>IF(ORIG!I1680=0,"",ORIG!I1680)</f>
        <v/>
      </c>
      <c r="J1680" s="3">
        <f>IF(ORIG!J1680=0,"",ORIG!J1680)</f>
        <v/>
      </c>
      <c r="K1680" s="3">
        <f>IF(ORIG!K1680=0,"",ORIG!K1680)</f>
        <v/>
      </c>
      <c r="L1680" s="3">
        <f>IF(ORIG!L1680=0,"",ORIG!L1680)</f>
        <v/>
      </c>
      <c r="M1680" s="3">
        <f>IF(ORIG!M1680=0,"",ORIG!M1680)</f>
        <v/>
      </c>
      <c r="N1680" s="3">
        <f>IF(ORIG!N1680=0,"",ORIG!N1680)</f>
        <v/>
      </c>
      <c r="O1680" s="3">
        <f>IF(ORIG!O1680=0,"",ORIG!O1680)</f>
        <v/>
      </c>
      <c r="P1680" s="3">
        <f>IF(ORIG!P1680=0,"",ORIG!P1680)</f>
        <v/>
      </c>
      <c r="Q1680" s="3">
        <f>IF(ORIG!Q1680=0,"",ORIG!Q1680)</f>
        <v/>
      </c>
      <c r="R1680" s="3">
        <f>IF(ORIG!R1680=0,"",ORIG!R1680)</f>
        <v/>
      </c>
      <c r="S1680" s="3">
        <f>IF(ORIG!S1680=0,"",ORIG!S1680)</f>
        <v/>
      </c>
      <c r="T1680" s="3">
        <f>IF(ORIG!T1680=0,"",ORIG!T1680)</f>
        <v/>
      </c>
      <c r="U1680" s="3">
        <f>IF(ORIG!U1680=0,"",ORIG!U1680)</f>
        <v/>
      </c>
      <c r="V1680" s="9">
        <f>IF(ORIG!V1680=0,"",ORIG!V1680)</f>
        <v/>
      </c>
      <c r="W1680" s="9">
        <f>IF(ORIG!W1680=0,"",ORIG!W1680)</f>
        <v/>
      </c>
      <c r="X1680" s="9">
        <f>IF(ORIG!X1680=0,"",ORIG!X1680)</f>
        <v/>
      </c>
      <c r="Y1680" s="9">
        <f>IF(ORIG!Y1680=0,"",ORIG!Y1680)</f>
        <v/>
      </c>
      <c r="Z1680" s="3">
        <f>SUMPRODUCT($B1680:$Y1680,$B$2649:$Y$2649)</f>
        <v/>
      </c>
      <c r="AA1680" s="3">
        <f>SUMPRODUCT($B1680:$Y1680,$B$2655:$Y$2655)</f>
        <v/>
      </c>
      <c r="AC1680" s="1">
        <f>A1680</f>
        <v/>
      </c>
      <c r="AD1680">
        <f>IF(ISNUMBER(V1680),V1680*($AB$1/V$2635),"")</f>
        <v/>
      </c>
      <c r="AE1680">
        <f>IF(ISNUMBER(Z1680),Z1680*($AB$1/Z$2635),"")</f>
        <v/>
      </c>
      <c r="AF1680" s="25">
        <f>IF(ISNUMBER(AD1680+AE1680),AD1680+AE1680,"")</f>
        <v/>
      </c>
      <c r="AH1680" s="1">
        <f>A1680</f>
        <v/>
      </c>
      <c r="AI1680">
        <f>IF(ISNUMBER((1+V1680)*AI1679),(1+V1680)*AI1679,AI1679)</f>
        <v/>
      </c>
      <c r="AJ1680">
        <f>IF(ISNUMBER((1+Z1680)*AJ1679),(1+Z1680)*AJ1679,AJ1679)</f>
        <v/>
      </c>
    </row>
    <row r="1681">
      <c r="A1681" s="1" t="n">
        <v>44440</v>
      </c>
      <c r="B1681" s="3">
        <f>IF(ORIG!B1681=0,"",ORIG!B1681)</f>
        <v/>
      </c>
      <c r="C1681" s="3">
        <f>IF(ORIG!C1681=0,"",ORIG!C1681)</f>
        <v/>
      </c>
      <c r="D1681" s="3">
        <f>IF(ORIG!D1681=0,"",ORIG!D1681)</f>
        <v/>
      </c>
      <c r="E1681" s="3">
        <f>IF(ORIG!E1681=0,"",ORIG!E1681)</f>
        <v/>
      </c>
      <c r="F1681" s="3">
        <f>IF(ORIG!F1681=0,"",ORIG!F1681)</f>
        <v/>
      </c>
      <c r="G1681" s="3">
        <f>IF(ORIG!G1681=0,"",ORIG!G1681)</f>
        <v/>
      </c>
      <c r="H1681" s="3">
        <f>IF(ORIG!H1681=0,"",ORIG!H1681)</f>
        <v/>
      </c>
      <c r="I1681" s="3">
        <f>IF(ORIG!I1681=0,"",ORIG!I1681)</f>
        <v/>
      </c>
      <c r="J1681" s="3">
        <f>IF(ORIG!J1681=0,"",ORIG!J1681)</f>
        <v/>
      </c>
      <c r="K1681" s="3">
        <f>IF(ORIG!K1681=0,"",ORIG!K1681)</f>
        <v/>
      </c>
      <c r="L1681" s="3">
        <f>IF(ORIG!L1681=0,"",ORIG!L1681)</f>
        <v/>
      </c>
      <c r="M1681" s="3">
        <f>IF(ORIG!M1681=0,"",ORIG!M1681)</f>
        <v/>
      </c>
      <c r="N1681" s="3">
        <f>IF(ORIG!N1681=0,"",ORIG!N1681)</f>
        <v/>
      </c>
      <c r="O1681" s="3">
        <f>IF(ORIG!O1681=0,"",ORIG!O1681)</f>
        <v/>
      </c>
      <c r="P1681" s="3">
        <f>IF(ORIG!P1681=0,"",ORIG!P1681)</f>
        <v/>
      </c>
      <c r="Q1681" s="3">
        <f>IF(ORIG!Q1681=0,"",ORIG!Q1681)</f>
        <v/>
      </c>
      <c r="R1681" s="3">
        <f>IF(ORIG!R1681=0,"",ORIG!R1681)</f>
        <v/>
      </c>
      <c r="S1681" s="3">
        <f>IF(ORIG!S1681=0,"",ORIG!S1681)</f>
        <v/>
      </c>
      <c r="T1681" s="3">
        <f>IF(ORIG!T1681=0,"",ORIG!T1681)</f>
        <v/>
      </c>
      <c r="U1681" s="3">
        <f>IF(ORIG!U1681=0,"",ORIG!U1681)</f>
        <v/>
      </c>
      <c r="V1681" s="9">
        <f>IF(ORIG!V1681=0,"",ORIG!V1681)</f>
        <v/>
      </c>
      <c r="W1681" s="9">
        <f>IF(ORIG!W1681=0,"",ORIG!W1681)</f>
        <v/>
      </c>
      <c r="X1681" s="9">
        <f>IF(ORIG!X1681=0,"",ORIG!X1681)</f>
        <v/>
      </c>
      <c r="Y1681" s="9">
        <f>IF(ORIG!Y1681=0,"",ORIG!Y1681)</f>
        <v/>
      </c>
      <c r="Z1681" s="3">
        <f>SUMPRODUCT($B1681:$Y1681,$B$2649:$Y$2649)</f>
        <v/>
      </c>
      <c r="AA1681" s="3">
        <f>SUMPRODUCT($B1681:$Y1681,$B$2655:$Y$2655)</f>
        <v/>
      </c>
      <c r="AC1681" s="1">
        <f>A1681</f>
        <v/>
      </c>
      <c r="AD1681">
        <f>IF(ISNUMBER(V1681),V1681*($AB$1/V$2635),"")</f>
        <v/>
      </c>
      <c r="AE1681">
        <f>IF(ISNUMBER(Z1681),Z1681*($AB$1/Z$2635),"")</f>
        <v/>
      </c>
      <c r="AF1681" s="25">
        <f>IF(ISNUMBER(AD1681+AE1681),AD1681+AE1681,"")</f>
        <v/>
      </c>
      <c r="AH1681" s="1">
        <f>A1681</f>
        <v/>
      </c>
      <c r="AI1681">
        <f>IF(ISNUMBER((1+V1681)*AI1680),(1+V1681)*AI1680,AI1680)</f>
        <v/>
      </c>
      <c r="AJ1681">
        <f>IF(ISNUMBER((1+Z1681)*AJ1680),(1+Z1681)*AJ1680,AJ1680)</f>
        <v/>
      </c>
    </row>
    <row r="1682">
      <c r="A1682" s="1" t="n">
        <v>44441</v>
      </c>
      <c r="B1682" s="3">
        <f>IF(ORIG!B1682=0,"",ORIG!B1682)</f>
        <v/>
      </c>
      <c r="C1682" s="3">
        <f>IF(ORIG!C1682=0,"",ORIG!C1682)</f>
        <v/>
      </c>
      <c r="D1682" s="3">
        <f>IF(ORIG!D1682=0,"",ORIG!D1682)</f>
        <v/>
      </c>
      <c r="E1682" s="3">
        <f>IF(ORIG!E1682=0,"",ORIG!E1682)</f>
        <v/>
      </c>
      <c r="F1682" s="3">
        <f>IF(ORIG!F1682=0,"",ORIG!F1682)</f>
        <v/>
      </c>
      <c r="G1682" s="3">
        <f>IF(ORIG!G1682=0,"",ORIG!G1682)</f>
        <v/>
      </c>
      <c r="H1682" s="3">
        <f>IF(ORIG!H1682=0,"",ORIG!H1682)</f>
        <v/>
      </c>
      <c r="I1682" s="3">
        <f>IF(ORIG!I1682=0,"",ORIG!I1682)</f>
        <v/>
      </c>
      <c r="J1682" s="3">
        <f>IF(ORIG!J1682=0,"",ORIG!J1682)</f>
        <v/>
      </c>
      <c r="K1682" s="3">
        <f>IF(ORIG!K1682=0,"",ORIG!K1682)</f>
        <v/>
      </c>
      <c r="L1682" s="3">
        <f>IF(ORIG!L1682=0,"",ORIG!L1682)</f>
        <v/>
      </c>
      <c r="M1682" s="3">
        <f>IF(ORIG!M1682=0,"",ORIG!M1682)</f>
        <v/>
      </c>
      <c r="N1682" s="3">
        <f>IF(ORIG!N1682=0,"",ORIG!N1682)</f>
        <v/>
      </c>
      <c r="O1682" s="3">
        <f>IF(ORIG!O1682=0,"",ORIG!O1682)</f>
        <v/>
      </c>
      <c r="P1682" s="3">
        <f>IF(ORIG!P1682=0,"",ORIG!P1682)</f>
        <v/>
      </c>
      <c r="Q1682" s="3">
        <f>IF(ORIG!Q1682=0,"",ORIG!Q1682)</f>
        <v/>
      </c>
      <c r="R1682" s="3">
        <f>IF(ORIG!R1682=0,"",ORIG!R1682)</f>
        <v/>
      </c>
      <c r="S1682" s="3">
        <f>IF(ORIG!S1682=0,"",ORIG!S1682)</f>
        <v/>
      </c>
      <c r="T1682" s="3">
        <f>IF(ORIG!T1682=0,"",ORIG!T1682)</f>
        <v/>
      </c>
      <c r="U1682" s="3">
        <f>IF(ORIG!U1682=0,"",ORIG!U1682)</f>
        <v/>
      </c>
      <c r="V1682" s="9">
        <f>IF(ORIG!V1682=0,"",ORIG!V1682)</f>
        <v/>
      </c>
      <c r="W1682" s="9">
        <f>IF(ORIG!W1682=0,"",ORIG!W1682)</f>
        <v/>
      </c>
      <c r="X1682" s="9">
        <f>IF(ORIG!X1682=0,"",ORIG!X1682)</f>
        <v/>
      </c>
      <c r="Y1682" s="9">
        <f>IF(ORIG!Y1682=0,"",ORIG!Y1682)</f>
        <v/>
      </c>
      <c r="Z1682" s="3">
        <f>SUMPRODUCT($B1682:$Y1682,$B$2649:$Y$2649)</f>
        <v/>
      </c>
      <c r="AA1682" s="3">
        <f>SUMPRODUCT($B1682:$Y1682,$B$2655:$Y$2655)</f>
        <v/>
      </c>
      <c r="AC1682" s="1">
        <f>A1682</f>
        <v/>
      </c>
      <c r="AD1682">
        <f>IF(ISNUMBER(V1682),V1682*($AB$1/V$2635),"")</f>
        <v/>
      </c>
      <c r="AE1682">
        <f>IF(ISNUMBER(Z1682),Z1682*($AB$1/Z$2635),"")</f>
        <v/>
      </c>
      <c r="AF1682" s="25">
        <f>IF(ISNUMBER(AD1682+AE1682),AD1682+AE1682,"")</f>
        <v/>
      </c>
      <c r="AH1682" s="1">
        <f>A1682</f>
        <v/>
      </c>
      <c r="AI1682">
        <f>IF(ISNUMBER((1+V1682)*AI1681),(1+V1682)*AI1681,AI1681)</f>
        <v/>
      </c>
      <c r="AJ1682">
        <f>IF(ISNUMBER((1+Z1682)*AJ1681),(1+Z1682)*AJ1681,AJ1681)</f>
        <v/>
      </c>
    </row>
    <row r="1683">
      <c r="A1683" s="1" t="n">
        <v>44442</v>
      </c>
      <c r="B1683" s="3">
        <f>IF(ORIG!B1683=0,"",ORIG!B1683)</f>
        <v/>
      </c>
      <c r="C1683" s="3">
        <f>IF(ORIG!C1683=0,"",ORIG!C1683)</f>
        <v/>
      </c>
      <c r="D1683" s="3">
        <f>IF(ORIG!D1683=0,"",ORIG!D1683)</f>
        <v/>
      </c>
      <c r="E1683" s="3">
        <f>IF(ORIG!E1683=0,"",ORIG!E1683)</f>
        <v/>
      </c>
      <c r="F1683" s="3">
        <f>IF(ORIG!F1683=0,"",ORIG!F1683)</f>
        <v/>
      </c>
      <c r="G1683" s="3">
        <f>IF(ORIG!G1683=0,"",ORIG!G1683)</f>
        <v/>
      </c>
      <c r="H1683" s="3">
        <f>IF(ORIG!H1683=0,"",ORIG!H1683)</f>
        <v/>
      </c>
      <c r="I1683" s="3">
        <f>IF(ORIG!I1683=0,"",ORIG!I1683)</f>
        <v/>
      </c>
      <c r="J1683" s="3">
        <f>IF(ORIG!J1683=0,"",ORIG!J1683)</f>
        <v/>
      </c>
      <c r="K1683" s="3">
        <f>IF(ORIG!K1683=0,"",ORIG!K1683)</f>
        <v/>
      </c>
      <c r="L1683" s="3">
        <f>IF(ORIG!L1683=0,"",ORIG!L1683)</f>
        <v/>
      </c>
      <c r="M1683" s="3">
        <f>IF(ORIG!M1683=0,"",ORIG!M1683)</f>
        <v/>
      </c>
      <c r="N1683" s="3">
        <f>IF(ORIG!N1683=0,"",ORIG!N1683)</f>
        <v/>
      </c>
      <c r="O1683" s="3">
        <f>IF(ORIG!O1683=0,"",ORIG!O1683)</f>
        <v/>
      </c>
      <c r="P1683" s="3">
        <f>IF(ORIG!P1683=0,"",ORIG!P1683)</f>
        <v/>
      </c>
      <c r="Q1683" s="3">
        <f>IF(ORIG!Q1683=0,"",ORIG!Q1683)</f>
        <v/>
      </c>
      <c r="R1683" s="3">
        <f>IF(ORIG!R1683=0,"",ORIG!R1683)</f>
        <v/>
      </c>
      <c r="S1683" s="3">
        <f>IF(ORIG!S1683=0,"",ORIG!S1683)</f>
        <v/>
      </c>
      <c r="T1683" s="3">
        <f>IF(ORIG!T1683=0,"",ORIG!T1683)</f>
        <v/>
      </c>
      <c r="U1683" s="3">
        <f>IF(ORIG!U1683=0,"",ORIG!U1683)</f>
        <v/>
      </c>
      <c r="V1683" s="9">
        <f>IF(ORIG!V1683=0,"",ORIG!V1683)</f>
        <v/>
      </c>
      <c r="W1683" s="9">
        <f>IF(ORIG!W1683=0,"",ORIG!W1683)</f>
        <v/>
      </c>
      <c r="X1683" s="9">
        <f>IF(ORIG!X1683=0,"",ORIG!X1683)</f>
        <v/>
      </c>
      <c r="Y1683" s="9">
        <f>IF(ORIG!Y1683=0,"",ORIG!Y1683)</f>
        <v/>
      </c>
      <c r="Z1683" s="3">
        <f>SUMPRODUCT($B1683:$Y1683,$B$2649:$Y$2649)</f>
        <v/>
      </c>
      <c r="AA1683" s="3">
        <f>SUMPRODUCT($B1683:$Y1683,$B$2655:$Y$2655)</f>
        <v/>
      </c>
      <c r="AC1683" s="1">
        <f>A1683</f>
        <v/>
      </c>
      <c r="AD1683">
        <f>IF(ISNUMBER(V1683),V1683*($AB$1/V$2635),"")</f>
        <v/>
      </c>
      <c r="AE1683">
        <f>IF(ISNUMBER(Z1683),Z1683*($AB$1/Z$2635),"")</f>
        <v/>
      </c>
      <c r="AF1683" s="25">
        <f>IF(ISNUMBER(AD1683+AE1683),AD1683+AE1683,"")</f>
        <v/>
      </c>
      <c r="AH1683" s="1">
        <f>A1683</f>
        <v/>
      </c>
      <c r="AI1683">
        <f>IF(ISNUMBER((1+V1683)*AI1682),(1+V1683)*AI1682,AI1682)</f>
        <v/>
      </c>
      <c r="AJ1683">
        <f>IF(ISNUMBER((1+Z1683)*AJ1682),(1+Z1683)*AJ1682,AJ1682)</f>
        <v/>
      </c>
    </row>
    <row r="1684">
      <c r="A1684" s="1" t="n">
        <v>44446</v>
      </c>
      <c r="B1684" s="3">
        <f>IF(ORIG!B1684=0,"",ORIG!B1684)</f>
        <v/>
      </c>
      <c r="C1684" s="3">
        <f>IF(ORIG!C1684=0,"",ORIG!C1684)</f>
        <v/>
      </c>
      <c r="D1684" s="3">
        <f>IF(ORIG!D1684=0,"",ORIG!D1684)</f>
        <v/>
      </c>
      <c r="E1684" s="3">
        <f>IF(ORIG!E1684=0,"",ORIG!E1684)</f>
        <v/>
      </c>
      <c r="F1684" s="3">
        <f>IF(ORIG!F1684=0,"",ORIG!F1684)</f>
        <v/>
      </c>
      <c r="G1684" s="3">
        <f>IF(ORIG!G1684=0,"",ORIG!G1684)</f>
        <v/>
      </c>
      <c r="H1684" s="3">
        <f>IF(ORIG!H1684=0,"",ORIG!H1684)</f>
        <v/>
      </c>
      <c r="I1684" s="3">
        <f>IF(ORIG!I1684=0,"",ORIG!I1684)</f>
        <v/>
      </c>
      <c r="J1684" s="3">
        <f>IF(ORIG!J1684=0,"",ORIG!J1684)</f>
        <v/>
      </c>
      <c r="K1684" s="3">
        <f>IF(ORIG!K1684=0,"",ORIG!K1684)</f>
        <v/>
      </c>
      <c r="L1684" s="3">
        <f>IF(ORIG!L1684=0,"",ORIG!L1684)</f>
        <v/>
      </c>
      <c r="M1684" s="3">
        <f>IF(ORIG!M1684=0,"",ORIG!M1684)</f>
        <v/>
      </c>
      <c r="N1684" s="3">
        <f>IF(ORIG!N1684=0,"",ORIG!N1684)</f>
        <v/>
      </c>
      <c r="O1684" s="3">
        <f>IF(ORIG!O1684=0,"",ORIG!O1684)</f>
        <v/>
      </c>
      <c r="P1684" s="3">
        <f>IF(ORIG!P1684=0,"",ORIG!P1684)</f>
        <v/>
      </c>
      <c r="Q1684" s="3">
        <f>IF(ORIG!Q1684=0,"",ORIG!Q1684)</f>
        <v/>
      </c>
      <c r="R1684" s="3">
        <f>IF(ORIG!R1684=0,"",ORIG!R1684)</f>
        <v/>
      </c>
      <c r="S1684" s="3">
        <f>IF(ORIG!S1684=0,"",ORIG!S1684)</f>
        <v/>
      </c>
      <c r="T1684" s="3">
        <f>IF(ORIG!T1684=0,"",ORIG!T1684)</f>
        <v/>
      </c>
      <c r="U1684" s="3">
        <f>IF(ORIG!U1684=0,"",ORIG!U1684)</f>
        <v/>
      </c>
      <c r="V1684" s="9">
        <f>IF(ORIG!V1684=0,"",ORIG!V1684)</f>
        <v/>
      </c>
      <c r="W1684" s="9">
        <f>IF(ORIG!W1684=0,"",ORIG!W1684)</f>
        <v/>
      </c>
      <c r="X1684" s="9">
        <f>IF(ORIG!X1684=0,"",ORIG!X1684)</f>
        <v/>
      </c>
      <c r="Y1684" s="9">
        <f>IF(ORIG!Y1684=0,"",ORIG!Y1684)</f>
        <v/>
      </c>
      <c r="Z1684" s="3">
        <f>SUMPRODUCT($B1684:$Y1684,$B$2649:$Y$2649)</f>
        <v/>
      </c>
      <c r="AA1684" s="3">
        <f>SUMPRODUCT($B1684:$Y1684,$B$2655:$Y$2655)</f>
        <v/>
      </c>
      <c r="AC1684" s="1">
        <f>A1684</f>
        <v/>
      </c>
      <c r="AD1684">
        <f>IF(ISNUMBER(V1684),V1684*($AB$1/V$2635),"")</f>
        <v/>
      </c>
      <c r="AE1684">
        <f>IF(ISNUMBER(Z1684),Z1684*($AB$1/Z$2635),"")</f>
        <v/>
      </c>
      <c r="AF1684" s="25">
        <f>IF(ISNUMBER(AD1684+AE1684),AD1684+AE1684,"")</f>
        <v/>
      </c>
      <c r="AH1684" s="1">
        <f>A1684</f>
        <v/>
      </c>
      <c r="AI1684">
        <f>IF(ISNUMBER((1+V1684)*AI1683),(1+V1684)*AI1683,AI1683)</f>
        <v/>
      </c>
      <c r="AJ1684">
        <f>IF(ISNUMBER((1+Z1684)*AJ1683),(1+Z1684)*AJ1683,AJ1683)</f>
        <v/>
      </c>
    </row>
    <row r="1685">
      <c r="A1685" s="1" t="n">
        <v>44447</v>
      </c>
      <c r="B1685" s="3">
        <f>IF(ORIG!B1685=0,"",ORIG!B1685)</f>
        <v/>
      </c>
      <c r="C1685" s="3">
        <f>IF(ORIG!C1685=0,"",ORIG!C1685)</f>
        <v/>
      </c>
      <c r="D1685" s="3">
        <f>IF(ORIG!D1685=0,"",ORIG!D1685)</f>
        <v/>
      </c>
      <c r="E1685" s="3">
        <f>IF(ORIG!E1685=0,"",ORIG!E1685)</f>
        <v/>
      </c>
      <c r="F1685" s="3">
        <f>IF(ORIG!F1685=0,"",ORIG!F1685)</f>
        <v/>
      </c>
      <c r="G1685" s="3">
        <f>IF(ORIG!G1685=0,"",ORIG!G1685)</f>
        <v/>
      </c>
      <c r="H1685" s="3">
        <f>IF(ORIG!H1685=0,"",ORIG!H1685)</f>
        <v/>
      </c>
      <c r="I1685" s="3">
        <f>IF(ORIG!I1685=0,"",ORIG!I1685)</f>
        <v/>
      </c>
      <c r="J1685" s="3">
        <f>IF(ORIG!J1685=0,"",ORIG!J1685)</f>
        <v/>
      </c>
      <c r="K1685" s="3">
        <f>IF(ORIG!K1685=0,"",ORIG!K1685)</f>
        <v/>
      </c>
      <c r="L1685" s="3">
        <f>IF(ORIG!L1685=0,"",ORIG!L1685)</f>
        <v/>
      </c>
      <c r="M1685" s="3">
        <f>IF(ORIG!M1685=0,"",ORIG!M1685)</f>
        <v/>
      </c>
      <c r="N1685" s="3">
        <f>IF(ORIG!N1685=0,"",ORIG!N1685)</f>
        <v/>
      </c>
      <c r="O1685" s="3">
        <f>IF(ORIG!O1685=0,"",ORIG!O1685)</f>
        <v/>
      </c>
      <c r="P1685" s="3">
        <f>IF(ORIG!P1685=0,"",ORIG!P1685)</f>
        <v/>
      </c>
      <c r="Q1685" s="3">
        <f>IF(ORIG!Q1685=0,"",ORIG!Q1685)</f>
        <v/>
      </c>
      <c r="R1685" s="3">
        <f>IF(ORIG!R1685=0,"",ORIG!R1685)</f>
        <v/>
      </c>
      <c r="S1685" s="3">
        <f>IF(ORIG!S1685=0,"",ORIG!S1685)</f>
        <v/>
      </c>
      <c r="T1685" s="3">
        <f>IF(ORIG!T1685=0,"",ORIG!T1685)</f>
        <v/>
      </c>
      <c r="U1685" s="3">
        <f>IF(ORIG!U1685=0,"",ORIG!U1685)</f>
        <v/>
      </c>
      <c r="V1685" s="9">
        <f>IF(ORIG!V1685=0,"",ORIG!V1685)</f>
        <v/>
      </c>
      <c r="W1685" s="9">
        <f>IF(ORIG!W1685=0,"",ORIG!W1685)</f>
        <v/>
      </c>
      <c r="X1685" s="9">
        <f>IF(ORIG!X1685=0,"",ORIG!X1685)</f>
        <v/>
      </c>
      <c r="Y1685" s="9">
        <f>IF(ORIG!Y1685=0,"",ORIG!Y1685)</f>
        <v/>
      </c>
      <c r="Z1685" s="3">
        <f>SUMPRODUCT($B1685:$Y1685,$B$2649:$Y$2649)</f>
        <v/>
      </c>
      <c r="AA1685" s="3">
        <f>SUMPRODUCT($B1685:$Y1685,$B$2655:$Y$2655)</f>
        <v/>
      </c>
      <c r="AC1685" s="1">
        <f>A1685</f>
        <v/>
      </c>
      <c r="AD1685">
        <f>IF(ISNUMBER(V1685),V1685*($AB$1/V$2635),"")</f>
        <v/>
      </c>
      <c r="AE1685">
        <f>IF(ISNUMBER(Z1685),Z1685*($AB$1/Z$2635),"")</f>
        <v/>
      </c>
      <c r="AF1685" s="25">
        <f>IF(ISNUMBER(AD1685+AE1685),AD1685+AE1685,"")</f>
        <v/>
      </c>
      <c r="AH1685" s="1">
        <f>A1685</f>
        <v/>
      </c>
      <c r="AI1685">
        <f>IF(ISNUMBER((1+V1685)*AI1684),(1+V1685)*AI1684,AI1684)</f>
        <v/>
      </c>
      <c r="AJ1685">
        <f>IF(ISNUMBER((1+Z1685)*AJ1684),(1+Z1685)*AJ1684,AJ1684)</f>
        <v/>
      </c>
    </row>
    <row r="1686">
      <c r="A1686" s="1" t="n">
        <v>44448</v>
      </c>
      <c r="B1686" s="3">
        <f>IF(ORIG!B1686=0,"",ORIG!B1686)</f>
        <v/>
      </c>
      <c r="C1686" s="3">
        <f>IF(ORIG!C1686=0,"",ORIG!C1686)</f>
        <v/>
      </c>
      <c r="D1686" s="3">
        <f>IF(ORIG!D1686=0,"",ORIG!D1686)</f>
        <v/>
      </c>
      <c r="E1686" s="3">
        <f>IF(ORIG!E1686=0,"",ORIG!E1686)</f>
        <v/>
      </c>
      <c r="F1686" s="3">
        <f>IF(ORIG!F1686=0,"",ORIG!F1686)</f>
        <v/>
      </c>
      <c r="G1686" s="3">
        <f>IF(ORIG!G1686=0,"",ORIG!G1686)</f>
        <v/>
      </c>
      <c r="H1686" s="3">
        <f>IF(ORIG!H1686=0,"",ORIG!H1686)</f>
        <v/>
      </c>
      <c r="I1686" s="3">
        <f>IF(ORIG!I1686=0,"",ORIG!I1686)</f>
        <v/>
      </c>
      <c r="J1686" s="3">
        <f>IF(ORIG!J1686=0,"",ORIG!J1686)</f>
        <v/>
      </c>
      <c r="K1686" s="3">
        <f>IF(ORIG!K1686=0,"",ORIG!K1686)</f>
        <v/>
      </c>
      <c r="L1686" s="3">
        <f>IF(ORIG!L1686=0,"",ORIG!L1686)</f>
        <v/>
      </c>
      <c r="M1686" s="3">
        <f>IF(ORIG!M1686=0,"",ORIG!M1686)</f>
        <v/>
      </c>
      <c r="N1686" s="3">
        <f>IF(ORIG!N1686=0,"",ORIG!N1686)</f>
        <v/>
      </c>
      <c r="O1686" s="3">
        <f>IF(ORIG!O1686=0,"",ORIG!O1686)</f>
        <v/>
      </c>
      <c r="P1686" s="3">
        <f>IF(ORIG!P1686=0,"",ORIG!P1686)</f>
        <v/>
      </c>
      <c r="Q1686" s="3">
        <f>IF(ORIG!Q1686=0,"",ORIG!Q1686)</f>
        <v/>
      </c>
      <c r="R1686" s="3">
        <f>IF(ORIG!R1686=0,"",ORIG!R1686)</f>
        <v/>
      </c>
      <c r="S1686" s="3">
        <f>IF(ORIG!S1686=0,"",ORIG!S1686)</f>
        <v/>
      </c>
      <c r="T1686" s="3">
        <f>IF(ORIG!T1686=0,"",ORIG!T1686)</f>
        <v/>
      </c>
      <c r="U1686" s="3">
        <f>IF(ORIG!U1686=0,"",ORIG!U1686)</f>
        <v/>
      </c>
      <c r="V1686" s="9">
        <f>IF(ORIG!V1686=0,"",ORIG!V1686)</f>
        <v/>
      </c>
      <c r="W1686" s="9">
        <f>IF(ORIG!W1686=0,"",ORIG!W1686)</f>
        <v/>
      </c>
      <c r="X1686" s="9">
        <f>IF(ORIG!X1686=0,"",ORIG!X1686)</f>
        <v/>
      </c>
      <c r="Y1686" s="9">
        <f>IF(ORIG!Y1686=0,"",ORIG!Y1686)</f>
        <v/>
      </c>
      <c r="Z1686" s="3">
        <f>SUMPRODUCT($B1686:$Y1686,$B$2649:$Y$2649)</f>
        <v/>
      </c>
      <c r="AA1686" s="3">
        <f>SUMPRODUCT($B1686:$Y1686,$B$2655:$Y$2655)</f>
        <v/>
      </c>
      <c r="AC1686" s="1">
        <f>A1686</f>
        <v/>
      </c>
      <c r="AD1686">
        <f>IF(ISNUMBER(V1686),V1686*($AB$1/V$2635),"")</f>
        <v/>
      </c>
      <c r="AE1686">
        <f>IF(ISNUMBER(Z1686),Z1686*($AB$1/Z$2635),"")</f>
        <v/>
      </c>
      <c r="AF1686" s="25">
        <f>IF(ISNUMBER(AD1686+AE1686),AD1686+AE1686,"")</f>
        <v/>
      </c>
      <c r="AH1686" s="1">
        <f>A1686</f>
        <v/>
      </c>
      <c r="AI1686">
        <f>IF(ISNUMBER((1+V1686)*AI1685),(1+V1686)*AI1685,AI1685)</f>
        <v/>
      </c>
      <c r="AJ1686">
        <f>IF(ISNUMBER((1+Z1686)*AJ1685),(1+Z1686)*AJ1685,AJ1685)</f>
        <v/>
      </c>
    </row>
    <row r="1687">
      <c r="A1687" s="1" t="n">
        <v>44449</v>
      </c>
      <c r="B1687" s="3">
        <f>IF(ORIG!B1687=0,"",ORIG!B1687)</f>
        <v/>
      </c>
      <c r="C1687" s="3">
        <f>IF(ORIG!C1687=0,"",ORIG!C1687)</f>
        <v/>
      </c>
      <c r="D1687" s="3">
        <f>IF(ORIG!D1687=0,"",ORIG!D1687)</f>
        <v/>
      </c>
      <c r="E1687" s="3">
        <f>IF(ORIG!E1687=0,"",ORIG!E1687)</f>
        <v/>
      </c>
      <c r="F1687" s="3">
        <f>IF(ORIG!F1687=0,"",ORIG!F1687)</f>
        <v/>
      </c>
      <c r="G1687" s="3">
        <f>IF(ORIG!G1687=0,"",ORIG!G1687)</f>
        <v/>
      </c>
      <c r="H1687" s="3">
        <f>IF(ORIG!H1687=0,"",ORIG!H1687)</f>
        <v/>
      </c>
      <c r="I1687" s="3">
        <f>IF(ORIG!I1687=0,"",ORIG!I1687)</f>
        <v/>
      </c>
      <c r="J1687" s="3">
        <f>IF(ORIG!J1687=0,"",ORIG!J1687)</f>
        <v/>
      </c>
      <c r="K1687" s="3">
        <f>IF(ORIG!K1687=0,"",ORIG!K1687)</f>
        <v/>
      </c>
      <c r="L1687" s="3">
        <f>IF(ORIG!L1687=0,"",ORIG!L1687)</f>
        <v/>
      </c>
      <c r="M1687" s="3">
        <f>IF(ORIG!M1687=0,"",ORIG!M1687)</f>
        <v/>
      </c>
      <c r="N1687" s="3">
        <f>IF(ORIG!N1687=0,"",ORIG!N1687)</f>
        <v/>
      </c>
      <c r="O1687" s="3">
        <f>IF(ORIG!O1687=0,"",ORIG!O1687)</f>
        <v/>
      </c>
      <c r="P1687" s="3">
        <f>IF(ORIG!P1687=0,"",ORIG!P1687)</f>
        <v/>
      </c>
      <c r="Q1687" s="3">
        <f>IF(ORIG!Q1687=0,"",ORIG!Q1687)</f>
        <v/>
      </c>
      <c r="R1687" s="3">
        <f>IF(ORIG!R1687=0,"",ORIG!R1687)</f>
        <v/>
      </c>
      <c r="S1687" s="3">
        <f>IF(ORIG!S1687=0,"",ORIG!S1687)</f>
        <v/>
      </c>
      <c r="T1687" s="3">
        <f>IF(ORIG!T1687=0,"",ORIG!T1687)</f>
        <v/>
      </c>
      <c r="U1687" s="3">
        <f>IF(ORIG!U1687=0,"",ORIG!U1687)</f>
        <v/>
      </c>
      <c r="V1687" s="9">
        <f>IF(ORIG!V1687=0,"",ORIG!V1687)</f>
        <v/>
      </c>
      <c r="W1687" s="9">
        <f>IF(ORIG!W1687=0,"",ORIG!W1687)</f>
        <v/>
      </c>
      <c r="X1687" s="9">
        <f>IF(ORIG!X1687=0,"",ORIG!X1687)</f>
        <v/>
      </c>
      <c r="Y1687" s="9">
        <f>IF(ORIG!Y1687=0,"",ORIG!Y1687)</f>
        <v/>
      </c>
      <c r="Z1687" s="3">
        <f>SUMPRODUCT($B1687:$Y1687,$B$2649:$Y$2649)</f>
        <v/>
      </c>
      <c r="AA1687" s="3">
        <f>SUMPRODUCT($B1687:$Y1687,$B$2655:$Y$2655)</f>
        <v/>
      </c>
      <c r="AC1687" s="1">
        <f>A1687</f>
        <v/>
      </c>
      <c r="AD1687">
        <f>IF(ISNUMBER(V1687),V1687*($AB$1/V$2635),"")</f>
        <v/>
      </c>
      <c r="AE1687">
        <f>IF(ISNUMBER(Z1687),Z1687*($AB$1/Z$2635),"")</f>
        <v/>
      </c>
      <c r="AF1687" s="25">
        <f>IF(ISNUMBER(AD1687+AE1687),AD1687+AE1687,"")</f>
        <v/>
      </c>
      <c r="AH1687" s="1">
        <f>A1687</f>
        <v/>
      </c>
      <c r="AI1687">
        <f>IF(ISNUMBER((1+V1687)*AI1686),(1+V1687)*AI1686,AI1686)</f>
        <v/>
      </c>
      <c r="AJ1687">
        <f>IF(ISNUMBER((1+Z1687)*AJ1686),(1+Z1687)*AJ1686,AJ1686)</f>
        <v/>
      </c>
    </row>
    <row r="1688">
      <c r="A1688" s="1" t="n">
        <v>44452</v>
      </c>
      <c r="B1688" s="3">
        <f>IF(ORIG!B1688=0,"",ORIG!B1688)</f>
        <v/>
      </c>
      <c r="C1688" s="3">
        <f>IF(ORIG!C1688=0,"",ORIG!C1688)</f>
        <v/>
      </c>
      <c r="D1688" s="3">
        <f>IF(ORIG!D1688=0,"",ORIG!D1688)</f>
        <v/>
      </c>
      <c r="E1688" s="3">
        <f>IF(ORIG!E1688=0,"",ORIG!E1688)</f>
        <v/>
      </c>
      <c r="F1688" s="3">
        <f>IF(ORIG!F1688=0,"",ORIG!F1688)</f>
        <v/>
      </c>
      <c r="G1688" s="3">
        <f>IF(ORIG!G1688=0,"",ORIG!G1688)</f>
        <v/>
      </c>
      <c r="H1688" s="3">
        <f>IF(ORIG!H1688=0,"",ORIG!H1688)</f>
        <v/>
      </c>
      <c r="I1688" s="3">
        <f>IF(ORIG!I1688=0,"",ORIG!I1688)</f>
        <v/>
      </c>
      <c r="J1688" s="3">
        <f>IF(ORIG!J1688=0,"",ORIG!J1688)</f>
        <v/>
      </c>
      <c r="K1688" s="3">
        <f>IF(ORIG!K1688=0,"",ORIG!K1688)</f>
        <v/>
      </c>
      <c r="L1688" s="3">
        <f>IF(ORIG!L1688=0,"",ORIG!L1688)</f>
        <v/>
      </c>
      <c r="M1688" s="3">
        <f>IF(ORIG!M1688=0,"",ORIG!M1688)</f>
        <v/>
      </c>
      <c r="N1688" s="3">
        <f>IF(ORIG!N1688=0,"",ORIG!N1688)</f>
        <v/>
      </c>
      <c r="O1688" s="3">
        <f>IF(ORIG!O1688=0,"",ORIG!O1688)</f>
        <v/>
      </c>
      <c r="P1688" s="3">
        <f>IF(ORIG!P1688=0,"",ORIG!P1688)</f>
        <v/>
      </c>
      <c r="Q1688" s="3">
        <f>IF(ORIG!Q1688=0,"",ORIG!Q1688)</f>
        <v/>
      </c>
      <c r="R1688" s="3">
        <f>IF(ORIG!R1688=0,"",ORIG!R1688)</f>
        <v/>
      </c>
      <c r="S1688" s="3">
        <f>IF(ORIG!S1688=0,"",ORIG!S1688)</f>
        <v/>
      </c>
      <c r="T1688" s="3">
        <f>IF(ORIG!T1688=0,"",ORIG!T1688)</f>
        <v/>
      </c>
      <c r="U1688" s="3">
        <f>IF(ORIG!U1688=0,"",ORIG!U1688)</f>
        <v/>
      </c>
      <c r="V1688" s="9">
        <f>IF(ORIG!V1688=0,"",ORIG!V1688)</f>
        <v/>
      </c>
      <c r="W1688" s="9">
        <f>IF(ORIG!W1688=0,"",ORIG!W1688)</f>
        <v/>
      </c>
      <c r="X1688" s="9">
        <f>IF(ORIG!X1688=0,"",ORIG!X1688)</f>
        <v/>
      </c>
      <c r="Y1688" s="9">
        <f>IF(ORIG!Y1688=0,"",ORIG!Y1688)</f>
        <v/>
      </c>
      <c r="Z1688" s="3">
        <f>SUMPRODUCT($B1688:$Y1688,$B$2649:$Y$2649)</f>
        <v/>
      </c>
      <c r="AA1688" s="3">
        <f>SUMPRODUCT($B1688:$Y1688,$B$2655:$Y$2655)</f>
        <v/>
      </c>
      <c r="AC1688" s="1">
        <f>A1688</f>
        <v/>
      </c>
      <c r="AD1688">
        <f>IF(ISNUMBER(V1688),V1688*($AB$1/V$2635),"")</f>
        <v/>
      </c>
      <c r="AE1688">
        <f>IF(ISNUMBER(Z1688),Z1688*($AB$1/Z$2635),"")</f>
        <v/>
      </c>
      <c r="AF1688" s="25">
        <f>IF(ISNUMBER(AD1688+AE1688),AD1688+AE1688,"")</f>
        <v/>
      </c>
      <c r="AH1688" s="1">
        <f>A1688</f>
        <v/>
      </c>
      <c r="AI1688">
        <f>IF(ISNUMBER((1+V1688)*AI1687),(1+V1688)*AI1687,AI1687)</f>
        <v/>
      </c>
      <c r="AJ1688">
        <f>IF(ISNUMBER((1+Z1688)*AJ1687),(1+Z1688)*AJ1687,AJ1687)</f>
        <v/>
      </c>
    </row>
    <row r="1689">
      <c r="A1689" s="1" t="n">
        <v>44453</v>
      </c>
      <c r="B1689" s="3">
        <f>IF(ORIG!B1689=0,"",ORIG!B1689)</f>
        <v/>
      </c>
      <c r="C1689" s="3">
        <f>IF(ORIG!C1689=0,"",ORIG!C1689)</f>
        <v/>
      </c>
      <c r="D1689" s="3">
        <f>IF(ORIG!D1689=0,"",ORIG!D1689)</f>
        <v/>
      </c>
      <c r="E1689" s="3">
        <f>IF(ORIG!E1689=0,"",ORIG!E1689)</f>
        <v/>
      </c>
      <c r="F1689" s="3">
        <f>IF(ORIG!F1689=0,"",ORIG!F1689)</f>
        <v/>
      </c>
      <c r="G1689" s="3">
        <f>IF(ORIG!G1689=0,"",ORIG!G1689)</f>
        <v/>
      </c>
      <c r="H1689" s="3">
        <f>IF(ORIG!H1689=0,"",ORIG!H1689)</f>
        <v/>
      </c>
      <c r="I1689" s="3">
        <f>IF(ORIG!I1689=0,"",ORIG!I1689)</f>
        <v/>
      </c>
      <c r="J1689" s="3">
        <f>IF(ORIG!J1689=0,"",ORIG!J1689)</f>
        <v/>
      </c>
      <c r="K1689" s="3">
        <f>IF(ORIG!K1689=0,"",ORIG!K1689)</f>
        <v/>
      </c>
      <c r="L1689" s="3">
        <f>IF(ORIG!L1689=0,"",ORIG!L1689)</f>
        <v/>
      </c>
      <c r="M1689" s="3">
        <f>IF(ORIG!M1689=0,"",ORIG!M1689)</f>
        <v/>
      </c>
      <c r="N1689" s="3">
        <f>IF(ORIG!N1689=0,"",ORIG!N1689)</f>
        <v/>
      </c>
      <c r="O1689" s="3">
        <f>IF(ORIG!O1689=0,"",ORIG!O1689)</f>
        <v/>
      </c>
      <c r="P1689" s="3">
        <f>IF(ORIG!P1689=0,"",ORIG!P1689)</f>
        <v/>
      </c>
      <c r="Q1689" s="3">
        <f>IF(ORIG!Q1689=0,"",ORIG!Q1689)</f>
        <v/>
      </c>
      <c r="R1689" s="3">
        <f>IF(ORIG!R1689=0,"",ORIG!R1689)</f>
        <v/>
      </c>
      <c r="S1689" s="3">
        <f>IF(ORIG!S1689=0,"",ORIG!S1689)</f>
        <v/>
      </c>
      <c r="T1689" s="3">
        <f>IF(ORIG!T1689=0,"",ORIG!T1689)</f>
        <v/>
      </c>
      <c r="U1689" s="3">
        <f>IF(ORIG!U1689=0,"",ORIG!U1689)</f>
        <v/>
      </c>
      <c r="V1689" s="9">
        <f>IF(ORIG!V1689=0,"",ORIG!V1689)</f>
        <v/>
      </c>
      <c r="W1689" s="9">
        <f>IF(ORIG!W1689=0,"",ORIG!W1689)</f>
        <v/>
      </c>
      <c r="X1689" s="9">
        <f>IF(ORIG!X1689=0,"",ORIG!X1689)</f>
        <v/>
      </c>
      <c r="Y1689" s="9">
        <f>IF(ORIG!Y1689=0,"",ORIG!Y1689)</f>
        <v/>
      </c>
      <c r="Z1689" s="3">
        <f>SUMPRODUCT($B1689:$Y1689,$B$2649:$Y$2649)</f>
        <v/>
      </c>
      <c r="AA1689" s="3">
        <f>SUMPRODUCT($B1689:$Y1689,$B$2655:$Y$2655)</f>
        <v/>
      </c>
      <c r="AC1689" s="1">
        <f>A1689</f>
        <v/>
      </c>
      <c r="AD1689">
        <f>IF(ISNUMBER(V1689),V1689*($AB$1/V$2635),"")</f>
        <v/>
      </c>
      <c r="AE1689">
        <f>IF(ISNUMBER(Z1689),Z1689*($AB$1/Z$2635),"")</f>
        <v/>
      </c>
      <c r="AF1689" s="25">
        <f>IF(ISNUMBER(AD1689+AE1689),AD1689+AE1689,"")</f>
        <v/>
      </c>
      <c r="AH1689" s="1">
        <f>A1689</f>
        <v/>
      </c>
      <c r="AI1689">
        <f>IF(ISNUMBER((1+V1689)*AI1688),(1+V1689)*AI1688,AI1688)</f>
        <v/>
      </c>
      <c r="AJ1689">
        <f>IF(ISNUMBER((1+Z1689)*AJ1688),(1+Z1689)*AJ1688,AJ1688)</f>
        <v/>
      </c>
    </row>
    <row r="1690">
      <c r="A1690" s="1" t="n">
        <v>44454</v>
      </c>
      <c r="B1690" s="3">
        <f>IF(ORIG!B1690=0,"",ORIG!B1690)</f>
        <v/>
      </c>
      <c r="C1690" s="3">
        <f>IF(ORIG!C1690=0,"",ORIG!C1690)</f>
        <v/>
      </c>
      <c r="D1690" s="3">
        <f>IF(ORIG!D1690=0,"",ORIG!D1690)</f>
        <v/>
      </c>
      <c r="E1690" s="3">
        <f>IF(ORIG!E1690=0,"",ORIG!E1690)</f>
        <v/>
      </c>
      <c r="F1690" s="3">
        <f>IF(ORIG!F1690=0,"",ORIG!F1690)</f>
        <v/>
      </c>
      <c r="G1690" s="3">
        <f>IF(ORIG!G1690=0,"",ORIG!G1690)</f>
        <v/>
      </c>
      <c r="H1690" s="3">
        <f>IF(ORIG!H1690=0,"",ORIG!H1690)</f>
        <v/>
      </c>
      <c r="I1690" s="3">
        <f>IF(ORIG!I1690=0,"",ORIG!I1690)</f>
        <v/>
      </c>
      <c r="J1690" s="3">
        <f>IF(ORIG!J1690=0,"",ORIG!J1690)</f>
        <v/>
      </c>
      <c r="K1690" s="3">
        <f>IF(ORIG!K1690=0,"",ORIG!K1690)</f>
        <v/>
      </c>
      <c r="L1690" s="3">
        <f>IF(ORIG!L1690=0,"",ORIG!L1690)</f>
        <v/>
      </c>
      <c r="M1690" s="3">
        <f>IF(ORIG!M1690=0,"",ORIG!M1690)</f>
        <v/>
      </c>
      <c r="N1690" s="3">
        <f>IF(ORIG!N1690=0,"",ORIG!N1690)</f>
        <v/>
      </c>
      <c r="O1690" s="3">
        <f>IF(ORIG!O1690=0,"",ORIG!O1690)</f>
        <v/>
      </c>
      <c r="P1690" s="3">
        <f>IF(ORIG!P1690=0,"",ORIG!P1690)</f>
        <v/>
      </c>
      <c r="Q1690" s="3">
        <f>IF(ORIG!Q1690=0,"",ORIG!Q1690)</f>
        <v/>
      </c>
      <c r="R1690" s="3">
        <f>IF(ORIG!R1690=0,"",ORIG!R1690)</f>
        <v/>
      </c>
      <c r="S1690" s="3">
        <f>IF(ORIG!S1690=0,"",ORIG!S1690)</f>
        <v/>
      </c>
      <c r="T1690" s="3">
        <f>IF(ORIG!T1690=0,"",ORIG!T1690)</f>
        <v/>
      </c>
      <c r="U1690" s="3">
        <f>IF(ORIG!U1690=0,"",ORIG!U1690)</f>
        <v/>
      </c>
      <c r="V1690" s="9">
        <f>IF(ORIG!V1690=0,"",ORIG!V1690)</f>
        <v/>
      </c>
      <c r="W1690" s="9">
        <f>IF(ORIG!W1690=0,"",ORIG!W1690)</f>
        <v/>
      </c>
      <c r="X1690" s="9">
        <f>IF(ORIG!X1690=0,"",ORIG!X1690)</f>
        <v/>
      </c>
      <c r="Y1690" s="9">
        <f>IF(ORIG!Y1690=0,"",ORIG!Y1690)</f>
        <v/>
      </c>
      <c r="Z1690" s="3">
        <f>SUMPRODUCT($B1690:$Y1690,$B$2649:$Y$2649)</f>
        <v/>
      </c>
      <c r="AA1690" s="3">
        <f>SUMPRODUCT($B1690:$Y1690,$B$2655:$Y$2655)</f>
        <v/>
      </c>
      <c r="AC1690" s="1">
        <f>A1690</f>
        <v/>
      </c>
      <c r="AD1690">
        <f>IF(ISNUMBER(V1690),V1690*($AB$1/V$2635),"")</f>
        <v/>
      </c>
      <c r="AE1690">
        <f>IF(ISNUMBER(Z1690),Z1690*($AB$1/Z$2635),"")</f>
        <v/>
      </c>
      <c r="AF1690" s="25">
        <f>IF(ISNUMBER(AD1690+AE1690),AD1690+AE1690,"")</f>
        <v/>
      </c>
      <c r="AH1690" s="1">
        <f>A1690</f>
        <v/>
      </c>
      <c r="AI1690">
        <f>IF(ISNUMBER((1+V1690)*AI1689),(1+V1690)*AI1689,AI1689)</f>
        <v/>
      </c>
      <c r="AJ1690">
        <f>IF(ISNUMBER((1+Z1690)*AJ1689),(1+Z1690)*AJ1689,AJ1689)</f>
        <v/>
      </c>
    </row>
    <row r="1691">
      <c r="A1691" s="1" t="n">
        <v>44455</v>
      </c>
      <c r="B1691" s="3">
        <f>IF(ORIG!B1691=0,"",ORIG!B1691)</f>
        <v/>
      </c>
      <c r="C1691" s="3">
        <f>IF(ORIG!C1691=0,"",ORIG!C1691)</f>
        <v/>
      </c>
      <c r="D1691" s="3">
        <f>IF(ORIG!D1691=0,"",ORIG!D1691)</f>
        <v/>
      </c>
      <c r="E1691" s="3">
        <f>IF(ORIG!E1691=0,"",ORIG!E1691)</f>
        <v/>
      </c>
      <c r="F1691" s="3">
        <f>IF(ORIG!F1691=0,"",ORIG!F1691)</f>
        <v/>
      </c>
      <c r="G1691" s="3">
        <f>IF(ORIG!G1691=0,"",ORIG!G1691)</f>
        <v/>
      </c>
      <c r="H1691" s="3">
        <f>IF(ORIG!H1691=0,"",ORIG!H1691)</f>
        <v/>
      </c>
      <c r="I1691" s="3">
        <f>IF(ORIG!I1691=0,"",ORIG!I1691)</f>
        <v/>
      </c>
      <c r="J1691" s="3">
        <f>IF(ORIG!J1691=0,"",ORIG!J1691)</f>
        <v/>
      </c>
      <c r="K1691" s="3">
        <f>IF(ORIG!K1691=0,"",ORIG!K1691)</f>
        <v/>
      </c>
      <c r="L1691" s="3">
        <f>IF(ORIG!L1691=0,"",ORIG!L1691)</f>
        <v/>
      </c>
      <c r="M1691" s="3">
        <f>IF(ORIG!M1691=0,"",ORIG!M1691)</f>
        <v/>
      </c>
      <c r="N1691" s="3">
        <f>IF(ORIG!N1691=0,"",ORIG!N1691)</f>
        <v/>
      </c>
      <c r="O1691" s="3">
        <f>IF(ORIG!O1691=0,"",ORIG!O1691)</f>
        <v/>
      </c>
      <c r="P1691" s="3">
        <f>IF(ORIG!P1691=0,"",ORIG!P1691)</f>
        <v/>
      </c>
      <c r="Q1691" s="3">
        <f>IF(ORIG!Q1691=0,"",ORIG!Q1691)</f>
        <v/>
      </c>
      <c r="R1691" s="3">
        <f>IF(ORIG!R1691=0,"",ORIG!R1691)</f>
        <v/>
      </c>
      <c r="S1691" s="3">
        <f>IF(ORIG!S1691=0,"",ORIG!S1691)</f>
        <v/>
      </c>
      <c r="T1691" s="3">
        <f>IF(ORIG!T1691=0,"",ORIG!T1691)</f>
        <v/>
      </c>
      <c r="U1691" s="3">
        <f>IF(ORIG!U1691=0,"",ORIG!U1691)</f>
        <v/>
      </c>
      <c r="V1691" s="9">
        <f>IF(ORIG!V1691=0,"",ORIG!V1691)</f>
        <v/>
      </c>
      <c r="W1691" s="9">
        <f>IF(ORIG!W1691=0,"",ORIG!W1691)</f>
        <v/>
      </c>
      <c r="X1691" s="9">
        <f>IF(ORIG!X1691=0,"",ORIG!X1691)</f>
        <v/>
      </c>
      <c r="Y1691" s="9">
        <f>IF(ORIG!Y1691=0,"",ORIG!Y1691)</f>
        <v/>
      </c>
      <c r="Z1691" s="3">
        <f>SUMPRODUCT($B1691:$Y1691,$B$2649:$Y$2649)</f>
        <v/>
      </c>
      <c r="AA1691" s="3">
        <f>SUMPRODUCT($B1691:$Y1691,$B$2655:$Y$2655)</f>
        <v/>
      </c>
      <c r="AC1691" s="1">
        <f>A1691</f>
        <v/>
      </c>
      <c r="AD1691">
        <f>IF(ISNUMBER(V1691),V1691*($AB$1/V$2635),"")</f>
        <v/>
      </c>
      <c r="AE1691">
        <f>IF(ISNUMBER(Z1691),Z1691*($AB$1/Z$2635),"")</f>
        <v/>
      </c>
      <c r="AF1691" s="25">
        <f>IF(ISNUMBER(AD1691+AE1691),AD1691+AE1691,"")</f>
        <v/>
      </c>
      <c r="AH1691" s="1">
        <f>A1691</f>
        <v/>
      </c>
      <c r="AI1691">
        <f>IF(ISNUMBER((1+V1691)*AI1690),(1+V1691)*AI1690,AI1690)</f>
        <v/>
      </c>
      <c r="AJ1691">
        <f>IF(ISNUMBER((1+Z1691)*AJ1690),(1+Z1691)*AJ1690,AJ1690)</f>
        <v/>
      </c>
    </row>
    <row r="1692">
      <c r="A1692" s="1" t="n">
        <v>44456</v>
      </c>
      <c r="B1692" s="3">
        <f>IF(ORIG!B1692=0,"",ORIG!B1692)</f>
        <v/>
      </c>
      <c r="C1692" s="3">
        <f>IF(ORIG!C1692=0,"",ORIG!C1692)</f>
        <v/>
      </c>
      <c r="D1692" s="3">
        <f>IF(ORIG!D1692=0,"",ORIG!D1692)</f>
        <v/>
      </c>
      <c r="E1692" s="3">
        <f>IF(ORIG!E1692=0,"",ORIG!E1692)</f>
        <v/>
      </c>
      <c r="F1692" s="3">
        <f>IF(ORIG!F1692=0,"",ORIG!F1692)</f>
        <v/>
      </c>
      <c r="G1692" s="3">
        <f>IF(ORIG!G1692=0,"",ORIG!G1692)</f>
        <v/>
      </c>
      <c r="H1692" s="3">
        <f>IF(ORIG!H1692=0,"",ORIG!H1692)</f>
        <v/>
      </c>
      <c r="I1692" s="3">
        <f>IF(ORIG!I1692=0,"",ORIG!I1692)</f>
        <v/>
      </c>
      <c r="J1692" s="3">
        <f>IF(ORIG!J1692=0,"",ORIG!J1692)</f>
        <v/>
      </c>
      <c r="K1692" s="3">
        <f>IF(ORIG!K1692=0,"",ORIG!K1692)</f>
        <v/>
      </c>
      <c r="L1692" s="3">
        <f>IF(ORIG!L1692=0,"",ORIG!L1692)</f>
        <v/>
      </c>
      <c r="M1692" s="3">
        <f>IF(ORIG!M1692=0,"",ORIG!M1692)</f>
        <v/>
      </c>
      <c r="N1692" s="3">
        <f>IF(ORIG!N1692=0,"",ORIG!N1692)</f>
        <v/>
      </c>
      <c r="O1692" s="3">
        <f>IF(ORIG!O1692=0,"",ORIG!O1692)</f>
        <v/>
      </c>
      <c r="P1692" s="3">
        <f>IF(ORIG!P1692=0,"",ORIG!P1692)</f>
        <v/>
      </c>
      <c r="Q1692" s="3">
        <f>IF(ORIG!Q1692=0,"",ORIG!Q1692)</f>
        <v/>
      </c>
      <c r="R1692" s="3">
        <f>IF(ORIG!R1692=0,"",ORIG!R1692)</f>
        <v/>
      </c>
      <c r="S1692" s="3">
        <f>IF(ORIG!S1692=0,"",ORIG!S1692)</f>
        <v/>
      </c>
      <c r="T1692" s="3">
        <f>IF(ORIG!T1692=0,"",ORIG!T1692)</f>
        <v/>
      </c>
      <c r="U1692" s="3">
        <f>IF(ORIG!U1692=0,"",ORIG!U1692)</f>
        <v/>
      </c>
      <c r="V1692" s="9">
        <f>IF(ORIG!V1692=0,"",ORIG!V1692)</f>
        <v/>
      </c>
      <c r="W1692" s="9">
        <f>IF(ORIG!W1692=0,"",ORIG!W1692)</f>
        <v/>
      </c>
      <c r="X1692" s="9">
        <f>IF(ORIG!X1692=0,"",ORIG!X1692)</f>
        <v/>
      </c>
      <c r="Y1692" s="9">
        <f>IF(ORIG!Y1692=0,"",ORIG!Y1692)</f>
        <v/>
      </c>
      <c r="Z1692" s="3">
        <f>SUMPRODUCT($B1692:$Y1692,$B$2649:$Y$2649)</f>
        <v/>
      </c>
      <c r="AA1692" s="3">
        <f>SUMPRODUCT($B1692:$Y1692,$B$2655:$Y$2655)</f>
        <v/>
      </c>
      <c r="AC1692" s="1">
        <f>A1692</f>
        <v/>
      </c>
      <c r="AD1692">
        <f>IF(ISNUMBER(V1692),V1692*($AB$1/V$2635),"")</f>
        <v/>
      </c>
      <c r="AE1692">
        <f>IF(ISNUMBER(Z1692),Z1692*($AB$1/Z$2635),"")</f>
        <v/>
      </c>
      <c r="AF1692" s="25">
        <f>IF(ISNUMBER(AD1692+AE1692),AD1692+AE1692,"")</f>
        <v/>
      </c>
      <c r="AH1692" s="1">
        <f>A1692</f>
        <v/>
      </c>
      <c r="AI1692">
        <f>IF(ISNUMBER((1+V1692)*AI1691),(1+V1692)*AI1691,AI1691)</f>
        <v/>
      </c>
      <c r="AJ1692">
        <f>IF(ISNUMBER((1+Z1692)*AJ1691),(1+Z1692)*AJ1691,AJ1691)</f>
        <v/>
      </c>
    </row>
    <row r="1693">
      <c r="A1693" s="1" t="n">
        <v>44459</v>
      </c>
      <c r="B1693" s="3">
        <f>IF(ORIG!B1693=0,"",ORIG!B1693)</f>
        <v/>
      </c>
      <c r="C1693" s="3">
        <f>IF(ORIG!C1693=0,"",ORIG!C1693)</f>
        <v/>
      </c>
      <c r="D1693" s="3">
        <f>IF(ORIG!D1693=0,"",ORIG!D1693)</f>
        <v/>
      </c>
      <c r="E1693" s="3">
        <f>IF(ORIG!E1693=0,"",ORIG!E1693)</f>
        <v/>
      </c>
      <c r="F1693" s="3">
        <f>IF(ORIG!F1693=0,"",ORIG!F1693)</f>
        <v/>
      </c>
      <c r="G1693" s="3">
        <f>IF(ORIG!G1693=0,"",ORIG!G1693)</f>
        <v/>
      </c>
      <c r="H1693" s="3">
        <f>IF(ORIG!H1693=0,"",ORIG!H1693)</f>
        <v/>
      </c>
      <c r="I1693" s="3">
        <f>IF(ORIG!I1693=0,"",ORIG!I1693)</f>
        <v/>
      </c>
      <c r="J1693" s="3">
        <f>IF(ORIG!J1693=0,"",ORIG!J1693)</f>
        <v/>
      </c>
      <c r="K1693" s="3">
        <f>IF(ORIG!K1693=0,"",ORIG!K1693)</f>
        <v/>
      </c>
      <c r="L1693" s="3">
        <f>IF(ORIG!L1693=0,"",ORIG!L1693)</f>
        <v/>
      </c>
      <c r="M1693" s="3">
        <f>IF(ORIG!M1693=0,"",ORIG!M1693)</f>
        <v/>
      </c>
      <c r="N1693" s="3">
        <f>IF(ORIG!N1693=0,"",ORIG!N1693)</f>
        <v/>
      </c>
      <c r="O1693" s="3">
        <f>IF(ORIG!O1693=0,"",ORIG!O1693)</f>
        <v/>
      </c>
      <c r="P1693" s="3">
        <f>IF(ORIG!P1693=0,"",ORIG!P1693)</f>
        <v/>
      </c>
      <c r="Q1693" s="3">
        <f>IF(ORIG!Q1693=0,"",ORIG!Q1693)</f>
        <v/>
      </c>
      <c r="R1693" s="3">
        <f>IF(ORIG!R1693=0,"",ORIG!R1693)</f>
        <v/>
      </c>
      <c r="S1693" s="3">
        <f>IF(ORIG!S1693=0,"",ORIG!S1693)</f>
        <v/>
      </c>
      <c r="T1693" s="3">
        <f>IF(ORIG!T1693=0,"",ORIG!T1693)</f>
        <v/>
      </c>
      <c r="U1693" s="3">
        <f>IF(ORIG!U1693=0,"",ORIG!U1693)</f>
        <v/>
      </c>
      <c r="V1693" s="9">
        <f>IF(ORIG!V1693=0,"",ORIG!V1693)</f>
        <v/>
      </c>
      <c r="W1693" s="9">
        <f>IF(ORIG!W1693=0,"",ORIG!W1693)</f>
        <v/>
      </c>
      <c r="X1693" s="9">
        <f>IF(ORIG!X1693=0,"",ORIG!X1693)</f>
        <v/>
      </c>
      <c r="Y1693" s="9">
        <f>IF(ORIG!Y1693=0,"",ORIG!Y1693)</f>
        <v/>
      </c>
      <c r="Z1693" s="3">
        <f>SUMPRODUCT($B1693:$Y1693,$B$2649:$Y$2649)</f>
        <v/>
      </c>
      <c r="AA1693" s="3">
        <f>SUMPRODUCT($B1693:$Y1693,$B$2655:$Y$2655)</f>
        <v/>
      </c>
      <c r="AC1693" s="1">
        <f>A1693</f>
        <v/>
      </c>
      <c r="AD1693">
        <f>IF(ISNUMBER(V1693),V1693*($AB$1/V$2635),"")</f>
        <v/>
      </c>
      <c r="AE1693">
        <f>IF(ISNUMBER(Z1693),Z1693*($AB$1/Z$2635),"")</f>
        <v/>
      </c>
      <c r="AF1693" s="25">
        <f>IF(ISNUMBER(AD1693+AE1693),AD1693+AE1693,"")</f>
        <v/>
      </c>
      <c r="AH1693" s="1">
        <f>A1693</f>
        <v/>
      </c>
      <c r="AI1693">
        <f>IF(ISNUMBER((1+V1693)*AI1692),(1+V1693)*AI1692,AI1692)</f>
        <v/>
      </c>
      <c r="AJ1693">
        <f>IF(ISNUMBER((1+Z1693)*AJ1692),(1+Z1693)*AJ1692,AJ1692)</f>
        <v/>
      </c>
    </row>
    <row r="1694">
      <c r="A1694" s="1" t="n">
        <v>44460</v>
      </c>
      <c r="B1694" s="3">
        <f>IF(ORIG!B1694=0,"",ORIG!B1694)</f>
        <v/>
      </c>
      <c r="C1694" s="3">
        <f>IF(ORIG!C1694=0,"",ORIG!C1694)</f>
        <v/>
      </c>
      <c r="D1694" s="3">
        <f>IF(ORIG!D1694=0,"",ORIG!D1694)</f>
        <v/>
      </c>
      <c r="E1694" s="3">
        <f>IF(ORIG!E1694=0,"",ORIG!E1694)</f>
        <v/>
      </c>
      <c r="F1694" s="3">
        <f>IF(ORIG!F1694=0,"",ORIG!F1694)</f>
        <v/>
      </c>
      <c r="G1694" s="3">
        <f>IF(ORIG!G1694=0,"",ORIG!G1694)</f>
        <v/>
      </c>
      <c r="H1694" s="3">
        <f>IF(ORIG!H1694=0,"",ORIG!H1694)</f>
        <v/>
      </c>
      <c r="I1694" s="3">
        <f>IF(ORIG!I1694=0,"",ORIG!I1694)</f>
        <v/>
      </c>
      <c r="J1694" s="3">
        <f>IF(ORIG!J1694=0,"",ORIG!J1694)</f>
        <v/>
      </c>
      <c r="K1694" s="3">
        <f>IF(ORIG!K1694=0,"",ORIG!K1694)</f>
        <v/>
      </c>
      <c r="L1694" s="3">
        <f>IF(ORIG!L1694=0,"",ORIG!L1694)</f>
        <v/>
      </c>
      <c r="M1694" s="3">
        <f>IF(ORIG!M1694=0,"",ORIG!M1694)</f>
        <v/>
      </c>
      <c r="N1694" s="3">
        <f>IF(ORIG!N1694=0,"",ORIG!N1694)</f>
        <v/>
      </c>
      <c r="O1694" s="3">
        <f>IF(ORIG!O1694=0,"",ORIG!O1694)</f>
        <v/>
      </c>
      <c r="P1694" s="3">
        <f>IF(ORIG!P1694=0,"",ORIG!P1694)</f>
        <v/>
      </c>
      <c r="Q1694" s="3">
        <f>IF(ORIG!Q1694=0,"",ORIG!Q1694)</f>
        <v/>
      </c>
      <c r="R1694" s="3">
        <f>IF(ORIG!R1694=0,"",ORIG!R1694)</f>
        <v/>
      </c>
      <c r="S1694" s="3">
        <f>IF(ORIG!S1694=0,"",ORIG!S1694)</f>
        <v/>
      </c>
      <c r="T1694" s="3">
        <f>IF(ORIG!T1694=0,"",ORIG!T1694)</f>
        <v/>
      </c>
      <c r="U1694" s="3">
        <f>IF(ORIG!U1694=0,"",ORIG!U1694)</f>
        <v/>
      </c>
      <c r="V1694" s="9">
        <f>IF(ORIG!V1694=0,"",ORIG!V1694)</f>
        <v/>
      </c>
      <c r="W1694" s="9">
        <f>IF(ORIG!W1694=0,"",ORIG!W1694)</f>
        <v/>
      </c>
      <c r="X1694" s="9">
        <f>IF(ORIG!X1694=0,"",ORIG!X1694)</f>
        <v/>
      </c>
      <c r="Y1694" s="9">
        <f>IF(ORIG!Y1694=0,"",ORIG!Y1694)</f>
        <v/>
      </c>
      <c r="Z1694" s="3">
        <f>SUMPRODUCT($B1694:$Y1694,$B$2649:$Y$2649)</f>
        <v/>
      </c>
      <c r="AA1694" s="3">
        <f>SUMPRODUCT($B1694:$Y1694,$B$2655:$Y$2655)</f>
        <v/>
      </c>
      <c r="AC1694" s="1">
        <f>A1694</f>
        <v/>
      </c>
      <c r="AD1694">
        <f>IF(ISNUMBER(V1694),V1694*($AB$1/V$2635),"")</f>
        <v/>
      </c>
      <c r="AE1694">
        <f>IF(ISNUMBER(Z1694),Z1694*($AB$1/Z$2635),"")</f>
        <v/>
      </c>
      <c r="AF1694" s="25">
        <f>IF(ISNUMBER(AD1694+AE1694),AD1694+AE1694,"")</f>
        <v/>
      </c>
      <c r="AH1694" s="1">
        <f>A1694</f>
        <v/>
      </c>
      <c r="AI1694">
        <f>IF(ISNUMBER((1+V1694)*AI1693),(1+V1694)*AI1693,AI1693)</f>
        <v/>
      </c>
      <c r="AJ1694">
        <f>IF(ISNUMBER((1+Z1694)*AJ1693),(1+Z1694)*AJ1693,AJ1693)</f>
        <v/>
      </c>
    </row>
    <row r="1695">
      <c r="A1695" s="1" t="n">
        <v>44461</v>
      </c>
      <c r="B1695" s="3">
        <f>IF(ORIG!B1695=0,"",ORIG!B1695)</f>
        <v/>
      </c>
      <c r="C1695" s="3">
        <f>IF(ORIG!C1695=0,"",ORIG!C1695)</f>
        <v/>
      </c>
      <c r="D1695" s="3">
        <f>IF(ORIG!D1695=0,"",ORIG!D1695)</f>
        <v/>
      </c>
      <c r="E1695" s="3">
        <f>IF(ORIG!E1695=0,"",ORIG!E1695)</f>
        <v/>
      </c>
      <c r="F1695" s="3">
        <f>IF(ORIG!F1695=0,"",ORIG!F1695)</f>
        <v/>
      </c>
      <c r="G1695" s="3">
        <f>IF(ORIG!G1695=0,"",ORIG!G1695)</f>
        <v/>
      </c>
      <c r="H1695" s="3">
        <f>IF(ORIG!H1695=0,"",ORIG!H1695)</f>
        <v/>
      </c>
      <c r="I1695" s="3">
        <f>IF(ORIG!I1695=0,"",ORIG!I1695)</f>
        <v/>
      </c>
      <c r="J1695" s="3">
        <f>IF(ORIG!J1695=0,"",ORIG!J1695)</f>
        <v/>
      </c>
      <c r="K1695" s="3">
        <f>IF(ORIG!K1695=0,"",ORIG!K1695)</f>
        <v/>
      </c>
      <c r="L1695" s="3">
        <f>IF(ORIG!L1695=0,"",ORIG!L1695)</f>
        <v/>
      </c>
      <c r="M1695" s="3">
        <f>IF(ORIG!M1695=0,"",ORIG!M1695)</f>
        <v/>
      </c>
      <c r="N1695" s="3">
        <f>IF(ORIG!N1695=0,"",ORIG!N1695)</f>
        <v/>
      </c>
      <c r="O1695" s="3">
        <f>IF(ORIG!O1695=0,"",ORIG!O1695)</f>
        <v/>
      </c>
      <c r="P1695" s="3">
        <f>IF(ORIG!P1695=0,"",ORIG!P1695)</f>
        <v/>
      </c>
      <c r="Q1695" s="3">
        <f>IF(ORIG!Q1695=0,"",ORIG!Q1695)</f>
        <v/>
      </c>
      <c r="R1695" s="3">
        <f>IF(ORIG!R1695=0,"",ORIG!R1695)</f>
        <v/>
      </c>
      <c r="S1695" s="3">
        <f>IF(ORIG!S1695=0,"",ORIG!S1695)</f>
        <v/>
      </c>
      <c r="T1695" s="3">
        <f>IF(ORIG!T1695=0,"",ORIG!T1695)</f>
        <v/>
      </c>
      <c r="U1695" s="3">
        <f>IF(ORIG!U1695=0,"",ORIG!U1695)</f>
        <v/>
      </c>
      <c r="V1695" s="9">
        <f>IF(ORIG!V1695=0,"",ORIG!V1695)</f>
        <v/>
      </c>
      <c r="W1695" s="9">
        <f>IF(ORIG!W1695=0,"",ORIG!W1695)</f>
        <v/>
      </c>
      <c r="X1695" s="9">
        <f>IF(ORIG!X1695=0,"",ORIG!X1695)</f>
        <v/>
      </c>
      <c r="Y1695" s="9">
        <f>IF(ORIG!Y1695=0,"",ORIG!Y1695)</f>
        <v/>
      </c>
      <c r="Z1695" s="3">
        <f>SUMPRODUCT($B1695:$Y1695,$B$2649:$Y$2649)</f>
        <v/>
      </c>
      <c r="AA1695" s="3">
        <f>SUMPRODUCT($B1695:$Y1695,$B$2655:$Y$2655)</f>
        <v/>
      </c>
      <c r="AC1695" s="1">
        <f>A1695</f>
        <v/>
      </c>
      <c r="AD1695">
        <f>IF(ISNUMBER(V1695),V1695*($AB$1/V$2635),"")</f>
        <v/>
      </c>
      <c r="AE1695">
        <f>IF(ISNUMBER(Z1695),Z1695*($AB$1/Z$2635),"")</f>
        <v/>
      </c>
      <c r="AF1695" s="25">
        <f>IF(ISNUMBER(AD1695+AE1695),AD1695+AE1695,"")</f>
        <v/>
      </c>
      <c r="AH1695" s="1">
        <f>A1695</f>
        <v/>
      </c>
      <c r="AI1695">
        <f>IF(ISNUMBER((1+V1695)*AI1694),(1+V1695)*AI1694,AI1694)</f>
        <v/>
      </c>
      <c r="AJ1695">
        <f>IF(ISNUMBER((1+Z1695)*AJ1694),(1+Z1695)*AJ1694,AJ1694)</f>
        <v/>
      </c>
    </row>
    <row r="1696">
      <c r="A1696" s="1" t="n">
        <v>44462</v>
      </c>
      <c r="B1696" s="3">
        <f>IF(ORIG!B1696=0,"",ORIG!B1696)</f>
        <v/>
      </c>
      <c r="C1696" s="3">
        <f>IF(ORIG!C1696=0,"",ORIG!C1696)</f>
        <v/>
      </c>
      <c r="D1696" s="3">
        <f>IF(ORIG!D1696=0,"",ORIG!D1696)</f>
        <v/>
      </c>
      <c r="E1696" s="3">
        <f>IF(ORIG!E1696=0,"",ORIG!E1696)</f>
        <v/>
      </c>
      <c r="F1696" s="3">
        <f>IF(ORIG!F1696=0,"",ORIG!F1696)</f>
        <v/>
      </c>
      <c r="G1696" s="3">
        <f>IF(ORIG!G1696=0,"",ORIG!G1696)</f>
        <v/>
      </c>
      <c r="H1696" s="3">
        <f>IF(ORIG!H1696=0,"",ORIG!H1696)</f>
        <v/>
      </c>
      <c r="I1696" s="3">
        <f>IF(ORIG!I1696=0,"",ORIG!I1696)</f>
        <v/>
      </c>
      <c r="J1696" s="3">
        <f>IF(ORIG!J1696=0,"",ORIG!J1696)</f>
        <v/>
      </c>
      <c r="K1696" s="3">
        <f>IF(ORIG!K1696=0,"",ORIG!K1696)</f>
        <v/>
      </c>
      <c r="L1696" s="3">
        <f>IF(ORIG!L1696=0,"",ORIG!L1696)</f>
        <v/>
      </c>
      <c r="M1696" s="3">
        <f>IF(ORIG!M1696=0,"",ORIG!M1696)</f>
        <v/>
      </c>
      <c r="N1696" s="3">
        <f>IF(ORIG!N1696=0,"",ORIG!N1696)</f>
        <v/>
      </c>
      <c r="O1696" s="3">
        <f>IF(ORIG!O1696=0,"",ORIG!O1696)</f>
        <v/>
      </c>
      <c r="P1696" s="3">
        <f>IF(ORIG!P1696=0,"",ORIG!P1696)</f>
        <v/>
      </c>
      <c r="Q1696" s="3">
        <f>IF(ORIG!Q1696=0,"",ORIG!Q1696)</f>
        <v/>
      </c>
      <c r="R1696" s="3">
        <f>IF(ORIG!R1696=0,"",ORIG!R1696)</f>
        <v/>
      </c>
      <c r="S1696" s="3">
        <f>IF(ORIG!S1696=0,"",ORIG!S1696)</f>
        <v/>
      </c>
      <c r="T1696" s="3">
        <f>IF(ORIG!T1696=0,"",ORIG!T1696)</f>
        <v/>
      </c>
      <c r="U1696" s="3">
        <f>IF(ORIG!U1696=0,"",ORIG!U1696)</f>
        <v/>
      </c>
      <c r="V1696" s="9">
        <f>IF(ORIG!V1696=0,"",ORIG!V1696)</f>
        <v/>
      </c>
      <c r="W1696" s="9">
        <f>IF(ORIG!W1696=0,"",ORIG!W1696)</f>
        <v/>
      </c>
      <c r="X1696" s="9">
        <f>IF(ORIG!X1696=0,"",ORIG!X1696)</f>
        <v/>
      </c>
      <c r="Y1696" s="9">
        <f>IF(ORIG!Y1696=0,"",ORIG!Y1696)</f>
        <v/>
      </c>
      <c r="Z1696" s="3">
        <f>SUMPRODUCT($B1696:$Y1696,$B$2649:$Y$2649)</f>
        <v/>
      </c>
      <c r="AA1696" s="3">
        <f>SUMPRODUCT($B1696:$Y1696,$B$2655:$Y$2655)</f>
        <v/>
      </c>
      <c r="AC1696" s="1">
        <f>A1696</f>
        <v/>
      </c>
      <c r="AD1696">
        <f>IF(ISNUMBER(V1696),V1696*($AB$1/V$2635),"")</f>
        <v/>
      </c>
      <c r="AE1696">
        <f>IF(ISNUMBER(Z1696),Z1696*($AB$1/Z$2635),"")</f>
        <v/>
      </c>
      <c r="AF1696" s="25">
        <f>IF(ISNUMBER(AD1696+AE1696),AD1696+AE1696,"")</f>
        <v/>
      </c>
      <c r="AH1696" s="1">
        <f>A1696</f>
        <v/>
      </c>
      <c r="AI1696">
        <f>IF(ISNUMBER((1+V1696)*AI1695),(1+V1696)*AI1695,AI1695)</f>
        <v/>
      </c>
      <c r="AJ1696">
        <f>IF(ISNUMBER((1+Z1696)*AJ1695),(1+Z1696)*AJ1695,AJ1695)</f>
        <v/>
      </c>
    </row>
    <row r="1697">
      <c r="A1697" s="1" t="n">
        <v>44463</v>
      </c>
      <c r="B1697" s="3">
        <f>IF(ORIG!B1697=0,"",ORIG!B1697)</f>
        <v/>
      </c>
      <c r="C1697" s="3">
        <f>IF(ORIG!C1697=0,"",ORIG!C1697)</f>
        <v/>
      </c>
      <c r="D1697" s="3">
        <f>IF(ORIG!D1697=0,"",ORIG!D1697)</f>
        <v/>
      </c>
      <c r="E1697" s="3">
        <f>IF(ORIG!E1697=0,"",ORIG!E1697)</f>
        <v/>
      </c>
      <c r="F1697" s="3">
        <f>IF(ORIG!F1697=0,"",ORIG!F1697)</f>
        <v/>
      </c>
      <c r="G1697" s="3">
        <f>IF(ORIG!G1697=0,"",ORIG!G1697)</f>
        <v/>
      </c>
      <c r="H1697" s="3">
        <f>IF(ORIG!H1697=0,"",ORIG!H1697)</f>
        <v/>
      </c>
      <c r="I1697" s="3">
        <f>IF(ORIG!I1697=0,"",ORIG!I1697)</f>
        <v/>
      </c>
      <c r="J1697" s="3">
        <f>IF(ORIG!J1697=0,"",ORIG!J1697)</f>
        <v/>
      </c>
      <c r="K1697" s="3">
        <f>IF(ORIG!K1697=0,"",ORIG!K1697)</f>
        <v/>
      </c>
      <c r="L1697" s="3">
        <f>IF(ORIG!L1697=0,"",ORIG!L1697)</f>
        <v/>
      </c>
      <c r="M1697" s="3">
        <f>IF(ORIG!M1697=0,"",ORIG!M1697)</f>
        <v/>
      </c>
      <c r="N1697" s="3">
        <f>IF(ORIG!N1697=0,"",ORIG!N1697)</f>
        <v/>
      </c>
      <c r="O1697" s="3">
        <f>IF(ORIG!O1697=0,"",ORIG!O1697)</f>
        <v/>
      </c>
      <c r="P1697" s="3">
        <f>IF(ORIG!P1697=0,"",ORIG!P1697)</f>
        <v/>
      </c>
      <c r="Q1697" s="3">
        <f>IF(ORIG!Q1697=0,"",ORIG!Q1697)</f>
        <v/>
      </c>
      <c r="R1697" s="3">
        <f>IF(ORIG!R1697=0,"",ORIG!R1697)</f>
        <v/>
      </c>
      <c r="S1697" s="3">
        <f>IF(ORIG!S1697=0,"",ORIG!S1697)</f>
        <v/>
      </c>
      <c r="T1697" s="3">
        <f>IF(ORIG!T1697=0,"",ORIG!T1697)</f>
        <v/>
      </c>
      <c r="U1697" s="3">
        <f>IF(ORIG!U1697=0,"",ORIG!U1697)</f>
        <v/>
      </c>
      <c r="V1697" s="9">
        <f>IF(ORIG!V1697=0,"",ORIG!V1697)</f>
        <v/>
      </c>
      <c r="W1697" s="9">
        <f>IF(ORIG!W1697=0,"",ORIG!W1697)</f>
        <v/>
      </c>
      <c r="X1697" s="9">
        <f>IF(ORIG!X1697=0,"",ORIG!X1697)</f>
        <v/>
      </c>
      <c r="Y1697" s="9">
        <f>IF(ORIG!Y1697=0,"",ORIG!Y1697)</f>
        <v/>
      </c>
      <c r="Z1697" s="3">
        <f>SUMPRODUCT($B1697:$Y1697,$B$2649:$Y$2649)</f>
        <v/>
      </c>
      <c r="AA1697" s="3">
        <f>SUMPRODUCT($B1697:$Y1697,$B$2655:$Y$2655)</f>
        <v/>
      </c>
      <c r="AC1697" s="1">
        <f>A1697</f>
        <v/>
      </c>
      <c r="AD1697">
        <f>IF(ISNUMBER(V1697),V1697*($AB$1/V$2635),"")</f>
        <v/>
      </c>
      <c r="AE1697">
        <f>IF(ISNUMBER(Z1697),Z1697*($AB$1/Z$2635),"")</f>
        <v/>
      </c>
      <c r="AF1697" s="25">
        <f>IF(ISNUMBER(AD1697+AE1697),AD1697+AE1697,"")</f>
        <v/>
      </c>
      <c r="AH1697" s="1">
        <f>A1697</f>
        <v/>
      </c>
      <c r="AI1697">
        <f>IF(ISNUMBER((1+V1697)*AI1696),(1+V1697)*AI1696,AI1696)</f>
        <v/>
      </c>
      <c r="AJ1697">
        <f>IF(ISNUMBER((1+Z1697)*AJ1696),(1+Z1697)*AJ1696,AJ1696)</f>
        <v/>
      </c>
    </row>
    <row r="1698">
      <c r="A1698" s="1" t="n">
        <v>44466</v>
      </c>
      <c r="B1698" s="3">
        <f>IF(ORIG!B1698=0,"",ORIG!B1698)</f>
        <v/>
      </c>
      <c r="C1698" s="3">
        <f>IF(ORIG!C1698=0,"",ORIG!C1698)</f>
        <v/>
      </c>
      <c r="D1698" s="3">
        <f>IF(ORIG!D1698=0,"",ORIG!D1698)</f>
        <v/>
      </c>
      <c r="E1698" s="3">
        <f>IF(ORIG!E1698=0,"",ORIG!E1698)</f>
        <v/>
      </c>
      <c r="F1698" s="3">
        <f>IF(ORIG!F1698=0,"",ORIG!F1698)</f>
        <v/>
      </c>
      <c r="G1698" s="3">
        <f>IF(ORIG!G1698=0,"",ORIG!G1698)</f>
        <v/>
      </c>
      <c r="H1698" s="3">
        <f>IF(ORIG!H1698=0,"",ORIG!H1698)</f>
        <v/>
      </c>
      <c r="I1698" s="3">
        <f>IF(ORIG!I1698=0,"",ORIG!I1698)</f>
        <v/>
      </c>
      <c r="J1698" s="3">
        <f>IF(ORIG!J1698=0,"",ORIG!J1698)</f>
        <v/>
      </c>
      <c r="K1698" s="3">
        <f>IF(ORIG!K1698=0,"",ORIG!K1698)</f>
        <v/>
      </c>
      <c r="L1698" s="3">
        <f>IF(ORIG!L1698=0,"",ORIG!L1698)</f>
        <v/>
      </c>
      <c r="M1698" s="3">
        <f>IF(ORIG!M1698=0,"",ORIG!M1698)</f>
        <v/>
      </c>
      <c r="N1698" s="3">
        <f>IF(ORIG!N1698=0,"",ORIG!N1698)</f>
        <v/>
      </c>
      <c r="O1698" s="3">
        <f>IF(ORIG!O1698=0,"",ORIG!O1698)</f>
        <v/>
      </c>
      <c r="P1698" s="3">
        <f>IF(ORIG!P1698=0,"",ORIG!P1698)</f>
        <v/>
      </c>
      <c r="Q1698" s="3">
        <f>IF(ORIG!Q1698=0,"",ORIG!Q1698)</f>
        <v/>
      </c>
      <c r="R1698" s="3">
        <f>IF(ORIG!R1698=0,"",ORIG!R1698)</f>
        <v/>
      </c>
      <c r="S1698" s="3">
        <f>IF(ORIG!S1698=0,"",ORIG!S1698)</f>
        <v/>
      </c>
      <c r="T1698" s="3">
        <f>IF(ORIG!T1698=0,"",ORIG!T1698)</f>
        <v/>
      </c>
      <c r="U1698" s="3">
        <f>IF(ORIG!U1698=0,"",ORIG!U1698)</f>
        <v/>
      </c>
      <c r="V1698" s="9">
        <f>IF(ORIG!V1698=0,"",ORIG!V1698)</f>
        <v/>
      </c>
      <c r="W1698" s="9">
        <f>IF(ORIG!W1698=0,"",ORIG!W1698)</f>
        <v/>
      </c>
      <c r="X1698" s="9">
        <f>IF(ORIG!X1698=0,"",ORIG!X1698)</f>
        <v/>
      </c>
      <c r="Y1698" s="9">
        <f>IF(ORIG!Y1698=0,"",ORIG!Y1698)</f>
        <v/>
      </c>
      <c r="Z1698" s="3">
        <f>SUMPRODUCT($B1698:$Y1698,$B$2649:$Y$2649)</f>
        <v/>
      </c>
      <c r="AA1698" s="3">
        <f>SUMPRODUCT($B1698:$Y1698,$B$2655:$Y$2655)</f>
        <v/>
      </c>
      <c r="AC1698" s="1">
        <f>A1698</f>
        <v/>
      </c>
      <c r="AD1698">
        <f>IF(ISNUMBER(V1698),V1698*($AB$1/V$2635),"")</f>
        <v/>
      </c>
      <c r="AE1698">
        <f>IF(ISNUMBER(Z1698),Z1698*($AB$1/Z$2635),"")</f>
        <v/>
      </c>
      <c r="AF1698" s="25">
        <f>IF(ISNUMBER(AD1698+AE1698),AD1698+AE1698,"")</f>
        <v/>
      </c>
      <c r="AH1698" s="1">
        <f>A1698</f>
        <v/>
      </c>
      <c r="AI1698">
        <f>IF(ISNUMBER((1+V1698)*AI1697),(1+V1698)*AI1697,AI1697)</f>
        <v/>
      </c>
      <c r="AJ1698">
        <f>IF(ISNUMBER((1+Z1698)*AJ1697),(1+Z1698)*AJ1697,AJ1697)</f>
        <v/>
      </c>
    </row>
    <row r="1699">
      <c r="A1699" s="1" t="n">
        <v>44467</v>
      </c>
      <c r="B1699" s="3">
        <f>IF(ORIG!B1699=0,"",ORIG!B1699)</f>
        <v/>
      </c>
      <c r="C1699" s="3">
        <f>IF(ORIG!C1699=0,"",ORIG!C1699)</f>
        <v/>
      </c>
      <c r="D1699" s="3">
        <f>IF(ORIG!D1699=0,"",ORIG!D1699)</f>
        <v/>
      </c>
      <c r="E1699" s="3">
        <f>IF(ORIG!E1699=0,"",ORIG!E1699)</f>
        <v/>
      </c>
      <c r="F1699" s="3">
        <f>IF(ORIG!F1699=0,"",ORIG!F1699)</f>
        <v/>
      </c>
      <c r="G1699" s="3">
        <f>IF(ORIG!G1699=0,"",ORIG!G1699)</f>
        <v/>
      </c>
      <c r="H1699" s="3">
        <f>IF(ORIG!H1699=0,"",ORIG!H1699)</f>
        <v/>
      </c>
      <c r="I1699" s="3">
        <f>IF(ORIG!I1699=0,"",ORIG!I1699)</f>
        <v/>
      </c>
      <c r="J1699" s="3">
        <f>IF(ORIG!J1699=0,"",ORIG!J1699)</f>
        <v/>
      </c>
      <c r="K1699" s="3">
        <f>IF(ORIG!K1699=0,"",ORIG!K1699)</f>
        <v/>
      </c>
      <c r="L1699" s="3">
        <f>IF(ORIG!L1699=0,"",ORIG!L1699)</f>
        <v/>
      </c>
      <c r="M1699" s="3">
        <f>IF(ORIG!M1699=0,"",ORIG!M1699)</f>
        <v/>
      </c>
      <c r="N1699" s="3">
        <f>IF(ORIG!N1699=0,"",ORIG!N1699)</f>
        <v/>
      </c>
      <c r="O1699" s="3">
        <f>IF(ORIG!O1699=0,"",ORIG!O1699)</f>
        <v/>
      </c>
      <c r="P1699" s="3">
        <f>IF(ORIG!P1699=0,"",ORIG!P1699)</f>
        <v/>
      </c>
      <c r="Q1699" s="3">
        <f>IF(ORIG!Q1699=0,"",ORIG!Q1699)</f>
        <v/>
      </c>
      <c r="R1699" s="3">
        <f>IF(ORIG!R1699=0,"",ORIG!R1699)</f>
        <v/>
      </c>
      <c r="S1699" s="3">
        <f>IF(ORIG!S1699=0,"",ORIG!S1699)</f>
        <v/>
      </c>
      <c r="T1699" s="3">
        <f>IF(ORIG!T1699=0,"",ORIG!T1699)</f>
        <v/>
      </c>
      <c r="U1699" s="3">
        <f>IF(ORIG!U1699=0,"",ORIG!U1699)</f>
        <v/>
      </c>
      <c r="V1699" s="9">
        <f>IF(ORIG!V1699=0,"",ORIG!V1699)</f>
        <v/>
      </c>
      <c r="W1699" s="9">
        <f>IF(ORIG!W1699=0,"",ORIG!W1699)</f>
        <v/>
      </c>
      <c r="X1699" s="9">
        <f>IF(ORIG!X1699=0,"",ORIG!X1699)</f>
        <v/>
      </c>
      <c r="Y1699" s="9">
        <f>IF(ORIG!Y1699=0,"",ORIG!Y1699)</f>
        <v/>
      </c>
      <c r="Z1699" s="3">
        <f>SUMPRODUCT($B1699:$Y1699,$B$2649:$Y$2649)</f>
        <v/>
      </c>
      <c r="AA1699" s="3">
        <f>SUMPRODUCT($B1699:$Y1699,$B$2655:$Y$2655)</f>
        <v/>
      </c>
      <c r="AC1699" s="1">
        <f>A1699</f>
        <v/>
      </c>
      <c r="AD1699">
        <f>IF(ISNUMBER(V1699),V1699*($AB$1/V$2635),"")</f>
        <v/>
      </c>
      <c r="AE1699">
        <f>IF(ISNUMBER(Z1699),Z1699*($AB$1/Z$2635),"")</f>
        <v/>
      </c>
      <c r="AF1699" s="25">
        <f>IF(ISNUMBER(AD1699+AE1699),AD1699+AE1699,"")</f>
        <v/>
      </c>
      <c r="AH1699" s="1">
        <f>A1699</f>
        <v/>
      </c>
      <c r="AI1699">
        <f>IF(ISNUMBER((1+V1699)*AI1698),(1+V1699)*AI1698,AI1698)</f>
        <v/>
      </c>
      <c r="AJ1699">
        <f>IF(ISNUMBER((1+Z1699)*AJ1698),(1+Z1699)*AJ1698,AJ1698)</f>
        <v/>
      </c>
    </row>
    <row r="1700">
      <c r="A1700" s="1" t="n">
        <v>44468</v>
      </c>
      <c r="B1700" s="3">
        <f>IF(ORIG!B1700=0,"",ORIG!B1700)</f>
        <v/>
      </c>
      <c r="C1700" s="3">
        <f>IF(ORIG!C1700=0,"",ORIG!C1700)</f>
        <v/>
      </c>
      <c r="D1700" s="3">
        <f>IF(ORIG!D1700=0,"",ORIG!D1700)</f>
        <v/>
      </c>
      <c r="E1700" s="3">
        <f>IF(ORIG!E1700=0,"",ORIG!E1700)</f>
        <v/>
      </c>
      <c r="F1700" s="3">
        <f>IF(ORIG!F1700=0,"",ORIG!F1700)</f>
        <v/>
      </c>
      <c r="G1700" s="3">
        <f>IF(ORIG!G1700=0,"",ORIG!G1700)</f>
        <v/>
      </c>
      <c r="H1700" s="3">
        <f>IF(ORIG!H1700=0,"",ORIG!H1700)</f>
        <v/>
      </c>
      <c r="I1700" s="3">
        <f>IF(ORIG!I1700=0,"",ORIG!I1700)</f>
        <v/>
      </c>
      <c r="J1700" s="3">
        <f>IF(ORIG!J1700=0,"",ORIG!J1700)</f>
        <v/>
      </c>
      <c r="K1700" s="3">
        <f>IF(ORIG!K1700=0,"",ORIG!K1700)</f>
        <v/>
      </c>
      <c r="L1700" s="3">
        <f>IF(ORIG!L1700=0,"",ORIG!L1700)</f>
        <v/>
      </c>
      <c r="M1700" s="3">
        <f>IF(ORIG!M1700=0,"",ORIG!M1700)</f>
        <v/>
      </c>
      <c r="N1700" s="3">
        <f>IF(ORIG!N1700=0,"",ORIG!N1700)</f>
        <v/>
      </c>
      <c r="O1700" s="3">
        <f>IF(ORIG!O1700=0,"",ORIG!O1700)</f>
        <v/>
      </c>
      <c r="P1700" s="3">
        <f>IF(ORIG!P1700=0,"",ORIG!P1700)</f>
        <v/>
      </c>
      <c r="Q1700" s="3">
        <f>IF(ORIG!Q1700=0,"",ORIG!Q1700)</f>
        <v/>
      </c>
      <c r="R1700" s="3">
        <f>IF(ORIG!R1700=0,"",ORIG!R1700)</f>
        <v/>
      </c>
      <c r="S1700" s="3">
        <f>IF(ORIG!S1700=0,"",ORIG!S1700)</f>
        <v/>
      </c>
      <c r="T1700" s="3">
        <f>IF(ORIG!T1700=0,"",ORIG!T1700)</f>
        <v/>
      </c>
      <c r="U1700" s="3">
        <f>IF(ORIG!U1700=0,"",ORIG!U1700)</f>
        <v/>
      </c>
      <c r="V1700" s="9">
        <f>IF(ORIG!V1700=0,"",ORIG!V1700)</f>
        <v/>
      </c>
      <c r="W1700" s="9">
        <f>IF(ORIG!W1700=0,"",ORIG!W1700)</f>
        <v/>
      </c>
      <c r="X1700" s="9">
        <f>IF(ORIG!X1700=0,"",ORIG!X1700)</f>
        <v/>
      </c>
      <c r="Y1700" s="9">
        <f>IF(ORIG!Y1700=0,"",ORIG!Y1700)</f>
        <v/>
      </c>
      <c r="Z1700" s="3">
        <f>SUMPRODUCT($B1700:$Y1700,$B$2649:$Y$2649)</f>
        <v/>
      </c>
      <c r="AA1700" s="3">
        <f>SUMPRODUCT($B1700:$Y1700,$B$2655:$Y$2655)</f>
        <v/>
      </c>
      <c r="AC1700" s="1">
        <f>A1700</f>
        <v/>
      </c>
      <c r="AD1700">
        <f>IF(ISNUMBER(V1700),V1700*($AB$1/V$2635),"")</f>
        <v/>
      </c>
      <c r="AE1700">
        <f>IF(ISNUMBER(Z1700),Z1700*($AB$1/Z$2635),"")</f>
        <v/>
      </c>
      <c r="AF1700" s="25">
        <f>IF(ISNUMBER(AD1700+AE1700),AD1700+AE1700,"")</f>
        <v/>
      </c>
      <c r="AH1700" s="1">
        <f>A1700</f>
        <v/>
      </c>
      <c r="AI1700">
        <f>IF(ISNUMBER((1+V1700)*AI1699),(1+V1700)*AI1699,AI1699)</f>
        <v/>
      </c>
      <c r="AJ1700">
        <f>IF(ISNUMBER((1+Z1700)*AJ1699),(1+Z1700)*AJ1699,AJ1699)</f>
        <v/>
      </c>
    </row>
    <row r="1701">
      <c r="A1701" s="1" t="n">
        <v>44469</v>
      </c>
      <c r="B1701" s="3">
        <f>IF(ORIG!B1701=0,"",ORIG!B1701)</f>
        <v/>
      </c>
      <c r="C1701" s="3">
        <f>IF(ORIG!C1701=0,"",ORIG!C1701)</f>
        <v/>
      </c>
      <c r="D1701" s="3">
        <f>IF(ORIG!D1701=0,"",ORIG!D1701)</f>
        <v/>
      </c>
      <c r="E1701" s="3">
        <f>IF(ORIG!E1701=0,"",ORIG!E1701)</f>
        <v/>
      </c>
      <c r="F1701" s="3">
        <f>IF(ORIG!F1701=0,"",ORIG!F1701)</f>
        <v/>
      </c>
      <c r="G1701" s="3">
        <f>IF(ORIG!G1701=0,"",ORIG!G1701)</f>
        <v/>
      </c>
      <c r="H1701" s="3">
        <f>IF(ORIG!H1701=0,"",ORIG!H1701)</f>
        <v/>
      </c>
      <c r="I1701" s="3">
        <f>IF(ORIG!I1701=0,"",ORIG!I1701)</f>
        <v/>
      </c>
      <c r="J1701" s="3">
        <f>IF(ORIG!J1701=0,"",ORIG!J1701)</f>
        <v/>
      </c>
      <c r="K1701" s="3">
        <f>IF(ORIG!K1701=0,"",ORIG!K1701)</f>
        <v/>
      </c>
      <c r="L1701" s="3">
        <f>IF(ORIG!L1701=0,"",ORIG!L1701)</f>
        <v/>
      </c>
      <c r="M1701" s="3">
        <f>IF(ORIG!M1701=0,"",ORIG!M1701)</f>
        <v/>
      </c>
      <c r="N1701" s="3">
        <f>IF(ORIG!N1701=0,"",ORIG!N1701)</f>
        <v/>
      </c>
      <c r="O1701" s="3">
        <f>IF(ORIG!O1701=0,"",ORIG!O1701)</f>
        <v/>
      </c>
      <c r="P1701" s="3">
        <f>IF(ORIG!P1701=0,"",ORIG!P1701)</f>
        <v/>
      </c>
      <c r="Q1701" s="3">
        <f>IF(ORIG!Q1701=0,"",ORIG!Q1701)</f>
        <v/>
      </c>
      <c r="R1701" s="3">
        <f>IF(ORIG!R1701=0,"",ORIG!R1701)</f>
        <v/>
      </c>
      <c r="S1701" s="3">
        <f>IF(ORIG!S1701=0,"",ORIG!S1701)</f>
        <v/>
      </c>
      <c r="T1701" s="3">
        <f>IF(ORIG!T1701=0,"",ORIG!T1701)</f>
        <v/>
      </c>
      <c r="U1701" s="3">
        <f>IF(ORIG!U1701=0,"",ORIG!U1701)</f>
        <v/>
      </c>
      <c r="V1701" s="9">
        <f>IF(ORIG!V1701=0,"",ORIG!V1701)</f>
        <v/>
      </c>
      <c r="W1701" s="9">
        <f>IF(ORIG!W1701=0,"",ORIG!W1701)</f>
        <v/>
      </c>
      <c r="X1701" s="9">
        <f>IF(ORIG!X1701=0,"",ORIG!X1701)</f>
        <v/>
      </c>
      <c r="Y1701" s="9">
        <f>IF(ORIG!Y1701=0,"",ORIG!Y1701)</f>
        <v/>
      </c>
      <c r="Z1701" s="3">
        <f>SUMPRODUCT($B1701:$Y1701,$B$2649:$Y$2649)</f>
        <v/>
      </c>
      <c r="AA1701" s="3">
        <f>SUMPRODUCT($B1701:$Y1701,$B$2655:$Y$2655)</f>
        <v/>
      </c>
      <c r="AC1701" s="1">
        <f>A1701</f>
        <v/>
      </c>
      <c r="AD1701">
        <f>IF(ISNUMBER(V1701),V1701*($AB$1/V$2635),"")</f>
        <v/>
      </c>
      <c r="AE1701">
        <f>IF(ISNUMBER(Z1701),Z1701*($AB$1/Z$2635),"")</f>
        <v/>
      </c>
      <c r="AF1701" s="25">
        <f>IF(ISNUMBER(AD1701+AE1701),AD1701+AE1701,"")</f>
        <v/>
      </c>
      <c r="AH1701" s="1">
        <f>A1701</f>
        <v/>
      </c>
      <c r="AI1701">
        <f>IF(ISNUMBER((1+V1701)*AI1700),(1+V1701)*AI1700,AI1700)</f>
        <v/>
      </c>
      <c r="AJ1701">
        <f>IF(ISNUMBER((1+Z1701)*AJ1700),(1+Z1701)*AJ1700,AJ1700)</f>
        <v/>
      </c>
    </row>
    <row r="1702">
      <c r="A1702" s="1" t="n">
        <v>44470</v>
      </c>
      <c r="B1702" s="3">
        <f>IF(ORIG!B1702=0,"",ORIG!B1702)</f>
        <v/>
      </c>
      <c r="C1702" s="3">
        <f>IF(ORIG!C1702=0,"",ORIG!C1702)</f>
        <v/>
      </c>
      <c r="D1702" s="3">
        <f>IF(ORIG!D1702=0,"",ORIG!D1702)</f>
        <v/>
      </c>
      <c r="E1702" s="3">
        <f>IF(ORIG!E1702=0,"",ORIG!E1702)</f>
        <v/>
      </c>
      <c r="F1702" s="3">
        <f>IF(ORIG!F1702=0,"",ORIG!F1702)</f>
        <v/>
      </c>
      <c r="G1702" s="3">
        <f>IF(ORIG!G1702=0,"",ORIG!G1702)</f>
        <v/>
      </c>
      <c r="H1702" s="3">
        <f>IF(ORIG!H1702=0,"",ORIG!H1702)</f>
        <v/>
      </c>
      <c r="I1702" s="3">
        <f>IF(ORIG!I1702=0,"",ORIG!I1702)</f>
        <v/>
      </c>
      <c r="J1702" s="3">
        <f>IF(ORIG!J1702=0,"",ORIG!J1702)</f>
        <v/>
      </c>
      <c r="K1702" s="3">
        <f>IF(ORIG!K1702=0,"",ORIG!K1702)</f>
        <v/>
      </c>
      <c r="L1702" s="3">
        <f>IF(ORIG!L1702=0,"",ORIG!L1702)</f>
        <v/>
      </c>
      <c r="M1702" s="3">
        <f>IF(ORIG!M1702=0,"",ORIG!M1702)</f>
        <v/>
      </c>
      <c r="N1702" s="3">
        <f>IF(ORIG!N1702=0,"",ORIG!N1702)</f>
        <v/>
      </c>
      <c r="O1702" s="3">
        <f>IF(ORIG!O1702=0,"",ORIG!O1702)</f>
        <v/>
      </c>
      <c r="P1702" s="3">
        <f>IF(ORIG!P1702=0,"",ORIG!P1702)</f>
        <v/>
      </c>
      <c r="Q1702" s="3">
        <f>IF(ORIG!Q1702=0,"",ORIG!Q1702)</f>
        <v/>
      </c>
      <c r="R1702" s="3">
        <f>IF(ORIG!R1702=0,"",ORIG!R1702)</f>
        <v/>
      </c>
      <c r="S1702" s="3">
        <f>IF(ORIG!S1702=0,"",ORIG!S1702)</f>
        <v/>
      </c>
      <c r="T1702" s="3">
        <f>IF(ORIG!T1702=0,"",ORIG!T1702)</f>
        <v/>
      </c>
      <c r="U1702" s="3">
        <f>IF(ORIG!U1702=0,"",ORIG!U1702)</f>
        <v/>
      </c>
      <c r="V1702" s="9">
        <f>IF(ORIG!V1702=0,"",ORIG!V1702)</f>
        <v/>
      </c>
      <c r="W1702" s="9">
        <f>IF(ORIG!W1702=0,"",ORIG!W1702)</f>
        <v/>
      </c>
      <c r="X1702" s="9">
        <f>IF(ORIG!X1702=0,"",ORIG!X1702)</f>
        <v/>
      </c>
      <c r="Y1702" s="9">
        <f>IF(ORIG!Y1702=0,"",ORIG!Y1702)</f>
        <v/>
      </c>
      <c r="Z1702" s="3">
        <f>SUMPRODUCT($B1702:$Y1702,$B$2649:$Y$2649)</f>
        <v/>
      </c>
      <c r="AA1702" s="3">
        <f>SUMPRODUCT($B1702:$Y1702,$B$2655:$Y$2655)</f>
        <v/>
      </c>
      <c r="AC1702" s="1">
        <f>A1702</f>
        <v/>
      </c>
      <c r="AD1702">
        <f>IF(ISNUMBER(V1702),V1702*($AB$1/V$2635),"")</f>
        <v/>
      </c>
      <c r="AE1702">
        <f>IF(ISNUMBER(Z1702),Z1702*($AB$1/Z$2635),"")</f>
        <v/>
      </c>
      <c r="AF1702" s="25">
        <f>IF(ISNUMBER(AD1702+AE1702),AD1702+AE1702,"")</f>
        <v/>
      </c>
      <c r="AH1702" s="1">
        <f>A1702</f>
        <v/>
      </c>
      <c r="AI1702">
        <f>IF(ISNUMBER((1+V1702)*AI1701),(1+V1702)*AI1701,AI1701)</f>
        <v/>
      </c>
      <c r="AJ1702">
        <f>IF(ISNUMBER((1+Z1702)*AJ1701),(1+Z1702)*AJ1701,AJ1701)</f>
        <v/>
      </c>
    </row>
    <row r="1703">
      <c r="A1703" s="1" t="n">
        <v>44473</v>
      </c>
      <c r="B1703" s="3">
        <f>IF(ORIG!B1703=0,"",ORIG!B1703)</f>
        <v/>
      </c>
      <c r="C1703" s="3">
        <f>IF(ORIG!C1703=0,"",ORIG!C1703)</f>
        <v/>
      </c>
      <c r="D1703" s="3">
        <f>IF(ORIG!D1703=0,"",ORIG!D1703)</f>
        <v/>
      </c>
      <c r="E1703" s="3">
        <f>IF(ORIG!E1703=0,"",ORIG!E1703)</f>
        <v/>
      </c>
      <c r="F1703" s="3">
        <f>IF(ORIG!F1703=0,"",ORIG!F1703)</f>
        <v/>
      </c>
      <c r="G1703" s="3">
        <f>IF(ORIG!G1703=0,"",ORIG!G1703)</f>
        <v/>
      </c>
      <c r="H1703" s="3">
        <f>IF(ORIG!H1703=0,"",ORIG!H1703)</f>
        <v/>
      </c>
      <c r="I1703" s="3">
        <f>IF(ORIG!I1703=0,"",ORIG!I1703)</f>
        <v/>
      </c>
      <c r="J1703" s="3">
        <f>IF(ORIG!J1703=0,"",ORIG!J1703)</f>
        <v/>
      </c>
      <c r="K1703" s="3">
        <f>IF(ORIG!K1703=0,"",ORIG!K1703)</f>
        <v/>
      </c>
      <c r="L1703" s="3">
        <f>IF(ORIG!L1703=0,"",ORIG!L1703)</f>
        <v/>
      </c>
      <c r="M1703" s="3">
        <f>IF(ORIG!M1703=0,"",ORIG!M1703)</f>
        <v/>
      </c>
      <c r="N1703" s="3">
        <f>IF(ORIG!N1703=0,"",ORIG!N1703)</f>
        <v/>
      </c>
      <c r="O1703" s="3">
        <f>IF(ORIG!O1703=0,"",ORIG!O1703)</f>
        <v/>
      </c>
      <c r="P1703" s="3">
        <f>IF(ORIG!P1703=0,"",ORIG!P1703)</f>
        <v/>
      </c>
      <c r="Q1703" s="3">
        <f>IF(ORIG!Q1703=0,"",ORIG!Q1703)</f>
        <v/>
      </c>
      <c r="R1703" s="3">
        <f>IF(ORIG!R1703=0,"",ORIG!R1703)</f>
        <v/>
      </c>
      <c r="S1703" s="3">
        <f>IF(ORIG!S1703=0,"",ORIG!S1703)</f>
        <v/>
      </c>
      <c r="T1703" s="3">
        <f>IF(ORIG!T1703=0,"",ORIG!T1703)</f>
        <v/>
      </c>
      <c r="U1703" s="3">
        <f>IF(ORIG!U1703=0,"",ORIG!U1703)</f>
        <v/>
      </c>
      <c r="V1703" s="9">
        <f>IF(ORIG!V1703=0,"",ORIG!V1703)</f>
        <v/>
      </c>
      <c r="W1703" s="9">
        <f>IF(ORIG!W1703=0,"",ORIG!W1703)</f>
        <v/>
      </c>
      <c r="X1703" s="9">
        <f>IF(ORIG!X1703=0,"",ORIG!X1703)</f>
        <v/>
      </c>
      <c r="Y1703" s="9">
        <f>IF(ORIG!Y1703=0,"",ORIG!Y1703)</f>
        <v/>
      </c>
      <c r="Z1703" s="3">
        <f>SUMPRODUCT($B1703:$Y1703,$B$2649:$Y$2649)</f>
        <v/>
      </c>
      <c r="AA1703" s="3">
        <f>SUMPRODUCT($B1703:$Y1703,$B$2655:$Y$2655)</f>
        <v/>
      </c>
      <c r="AC1703" s="1">
        <f>A1703</f>
        <v/>
      </c>
      <c r="AD1703">
        <f>IF(ISNUMBER(V1703),V1703*($AB$1/V$2635),"")</f>
        <v/>
      </c>
      <c r="AE1703">
        <f>IF(ISNUMBER(Z1703),Z1703*($AB$1/Z$2635),"")</f>
        <v/>
      </c>
      <c r="AF1703" s="25">
        <f>IF(ISNUMBER(AD1703+AE1703),AD1703+AE1703,"")</f>
        <v/>
      </c>
      <c r="AH1703" s="1">
        <f>A1703</f>
        <v/>
      </c>
      <c r="AI1703">
        <f>IF(ISNUMBER((1+V1703)*AI1702),(1+V1703)*AI1702,AI1702)</f>
        <v/>
      </c>
      <c r="AJ1703">
        <f>IF(ISNUMBER((1+Z1703)*AJ1702),(1+Z1703)*AJ1702,AJ1702)</f>
        <v/>
      </c>
    </row>
    <row r="1704">
      <c r="A1704" s="1" t="n">
        <v>44474</v>
      </c>
      <c r="B1704" s="3">
        <f>IF(ORIG!B1704=0,"",ORIG!B1704)</f>
        <v/>
      </c>
      <c r="C1704" s="3">
        <f>IF(ORIG!C1704=0,"",ORIG!C1704)</f>
        <v/>
      </c>
      <c r="D1704" s="3">
        <f>IF(ORIG!D1704=0,"",ORIG!D1704)</f>
        <v/>
      </c>
      <c r="E1704" s="3">
        <f>IF(ORIG!E1704=0,"",ORIG!E1704)</f>
        <v/>
      </c>
      <c r="F1704" s="3">
        <f>IF(ORIG!F1704=0,"",ORIG!F1704)</f>
        <v/>
      </c>
      <c r="G1704" s="3">
        <f>IF(ORIG!G1704=0,"",ORIG!G1704)</f>
        <v/>
      </c>
      <c r="H1704" s="3">
        <f>IF(ORIG!H1704=0,"",ORIG!H1704)</f>
        <v/>
      </c>
      <c r="I1704" s="3">
        <f>IF(ORIG!I1704=0,"",ORIG!I1704)</f>
        <v/>
      </c>
      <c r="J1704" s="3">
        <f>IF(ORIG!J1704=0,"",ORIG!J1704)</f>
        <v/>
      </c>
      <c r="K1704" s="3">
        <f>IF(ORIG!K1704=0,"",ORIG!K1704)</f>
        <v/>
      </c>
      <c r="L1704" s="3">
        <f>IF(ORIG!L1704=0,"",ORIG!L1704)</f>
        <v/>
      </c>
      <c r="M1704" s="3">
        <f>IF(ORIG!M1704=0,"",ORIG!M1704)</f>
        <v/>
      </c>
      <c r="N1704" s="3">
        <f>IF(ORIG!N1704=0,"",ORIG!N1704)</f>
        <v/>
      </c>
      <c r="O1704" s="3">
        <f>IF(ORIG!O1704=0,"",ORIG!O1704)</f>
        <v/>
      </c>
      <c r="P1704" s="3">
        <f>IF(ORIG!P1704=0,"",ORIG!P1704)</f>
        <v/>
      </c>
      <c r="Q1704" s="3">
        <f>IF(ORIG!Q1704=0,"",ORIG!Q1704)</f>
        <v/>
      </c>
      <c r="R1704" s="3">
        <f>IF(ORIG!R1704=0,"",ORIG!R1704)</f>
        <v/>
      </c>
      <c r="S1704" s="3">
        <f>IF(ORIG!S1704=0,"",ORIG!S1704)</f>
        <v/>
      </c>
      <c r="T1704" s="3">
        <f>IF(ORIG!T1704=0,"",ORIG!T1704)</f>
        <v/>
      </c>
      <c r="U1704" s="3">
        <f>IF(ORIG!U1704=0,"",ORIG!U1704)</f>
        <v/>
      </c>
      <c r="V1704" s="9">
        <f>IF(ORIG!V1704=0,"",ORIG!V1704)</f>
        <v/>
      </c>
      <c r="W1704" s="9">
        <f>IF(ORIG!W1704=0,"",ORIG!W1704)</f>
        <v/>
      </c>
      <c r="X1704" s="9">
        <f>IF(ORIG!X1704=0,"",ORIG!X1704)</f>
        <v/>
      </c>
      <c r="Y1704" s="9">
        <f>IF(ORIG!Y1704=0,"",ORIG!Y1704)</f>
        <v/>
      </c>
      <c r="Z1704" s="3">
        <f>SUMPRODUCT($B1704:$Y1704,$B$2649:$Y$2649)</f>
        <v/>
      </c>
      <c r="AA1704" s="3">
        <f>SUMPRODUCT($B1704:$Y1704,$B$2655:$Y$2655)</f>
        <v/>
      </c>
      <c r="AC1704" s="1">
        <f>A1704</f>
        <v/>
      </c>
      <c r="AD1704">
        <f>IF(ISNUMBER(V1704),V1704*($AB$1/V$2635),"")</f>
        <v/>
      </c>
      <c r="AE1704">
        <f>IF(ISNUMBER(Z1704),Z1704*($AB$1/Z$2635),"")</f>
        <v/>
      </c>
      <c r="AF1704" s="25">
        <f>IF(ISNUMBER(AD1704+AE1704),AD1704+AE1704,"")</f>
        <v/>
      </c>
      <c r="AH1704" s="1">
        <f>A1704</f>
        <v/>
      </c>
      <c r="AI1704">
        <f>IF(ISNUMBER((1+V1704)*AI1703),(1+V1704)*AI1703,AI1703)</f>
        <v/>
      </c>
      <c r="AJ1704">
        <f>IF(ISNUMBER((1+Z1704)*AJ1703),(1+Z1704)*AJ1703,AJ1703)</f>
        <v/>
      </c>
    </row>
    <row r="1705">
      <c r="A1705" s="1" t="n">
        <v>44475</v>
      </c>
      <c r="B1705" s="3">
        <f>IF(ORIG!B1705=0,"",ORIG!B1705)</f>
        <v/>
      </c>
      <c r="C1705" s="3">
        <f>IF(ORIG!C1705=0,"",ORIG!C1705)</f>
        <v/>
      </c>
      <c r="D1705" s="3">
        <f>IF(ORIG!D1705=0,"",ORIG!D1705)</f>
        <v/>
      </c>
      <c r="E1705" s="3">
        <f>IF(ORIG!E1705=0,"",ORIG!E1705)</f>
        <v/>
      </c>
      <c r="F1705" s="3">
        <f>IF(ORIG!F1705=0,"",ORIG!F1705)</f>
        <v/>
      </c>
      <c r="G1705" s="3">
        <f>IF(ORIG!G1705=0,"",ORIG!G1705)</f>
        <v/>
      </c>
      <c r="H1705" s="3">
        <f>IF(ORIG!H1705=0,"",ORIG!H1705)</f>
        <v/>
      </c>
      <c r="I1705" s="3">
        <f>IF(ORIG!I1705=0,"",ORIG!I1705)</f>
        <v/>
      </c>
      <c r="J1705" s="3">
        <f>IF(ORIG!J1705=0,"",ORIG!J1705)</f>
        <v/>
      </c>
      <c r="K1705" s="3">
        <f>IF(ORIG!K1705=0,"",ORIG!K1705)</f>
        <v/>
      </c>
      <c r="L1705" s="3">
        <f>IF(ORIG!L1705=0,"",ORIG!L1705)</f>
        <v/>
      </c>
      <c r="M1705" s="3">
        <f>IF(ORIG!M1705=0,"",ORIG!M1705)</f>
        <v/>
      </c>
      <c r="N1705" s="3">
        <f>IF(ORIG!N1705=0,"",ORIG!N1705)</f>
        <v/>
      </c>
      <c r="O1705" s="3">
        <f>IF(ORIG!O1705=0,"",ORIG!O1705)</f>
        <v/>
      </c>
      <c r="P1705" s="3">
        <f>IF(ORIG!P1705=0,"",ORIG!P1705)</f>
        <v/>
      </c>
      <c r="Q1705" s="3">
        <f>IF(ORIG!Q1705=0,"",ORIG!Q1705)</f>
        <v/>
      </c>
      <c r="R1705" s="3">
        <f>IF(ORIG!R1705=0,"",ORIG!R1705)</f>
        <v/>
      </c>
      <c r="S1705" s="3">
        <f>IF(ORIG!S1705=0,"",ORIG!S1705)</f>
        <v/>
      </c>
      <c r="T1705" s="3">
        <f>IF(ORIG!T1705=0,"",ORIG!T1705)</f>
        <v/>
      </c>
      <c r="U1705" s="3">
        <f>IF(ORIG!U1705=0,"",ORIG!U1705)</f>
        <v/>
      </c>
      <c r="V1705" s="9">
        <f>IF(ORIG!V1705=0,"",ORIG!V1705)</f>
        <v/>
      </c>
      <c r="W1705" s="9">
        <f>IF(ORIG!W1705=0,"",ORIG!W1705)</f>
        <v/>
      </c>
      <c r="X1705" s="9">
        <f>IF(ORIG!X1705=0,"",ORIG!X1705)</f>
        <v/>
      </c>
      <c r="Y1705" s="9">
        <f>IF(ORIG!Y1705=0,"",ORIG!Y1705)</f>
        <v/>
      </c>
      <c r="Z1705" s="3">
        <f>SUMPRODUCT($B1705:$Y1705,$B$2649:$Y$2649)</f>
        <v/>
      </c>
      <c r="AA1705" s="3">
        <f>SUMPRODUCT($B1705:$Y1705,$B$2655:$Y$2655)</f>
        <v/>
      </c>
      <c r="AC1705" s="1">
        <f>A1705</f>
        <v/>
      </c>
      <c r="AD1705">
        <f>IF(ISNUMBER(V1705),V1705*($AB$1/V$2635),"")</f>
        <v/>
      </c>
      <c r="AE1705">
        <f>IF(ISNUMBER(Z1705),Z1705*($AB$1/Z$2635),"")</f>
        <v/>
      </c>
      <c r="AF1705" s="25">
        <f>IF(ISNUMBER(AD1705+AE1705),AD1705+AE1705,"")</f>
        <v/>
      </c>
      <c r="AH1705" s="1">
        <f>A1705</f>
        <v/>
      </c>
      <c r="AI1705">
        <f>IF(ISNUMBER((1+V1705)*AI1704),(1+V1705)*AI1704,AI1704)</f>
        <v/>
      </c>
      <c r="AJ1705">
        <f>IF(ISNUMBER((1+Z1705)*AJ1704),(1+Z1705)*AJ1704,AJ1704)</f>
        <v/>
      </c>
    </row>
    <row r="1706">
      <c r="A1706" s="1" t="n">
        <v>44476</v>
      </c>
      <c r="B1706" s="3">
        <f>IF(ORIG!B1706=0,"",ORIG!B1706)</f>
        <v/>
      </c>
      <c r="C1706" s="3">
        <f>IF(ORIG!C1706=0,"",ORIG!C1706)</f>
        <v/>
      </c>
      <c r="D1706" s="3">
        <f>IF(ORIG!D1706=0,"",ORIG!D1706)</f>
        <v/>
      </c>
      <c r="E1706" s="3">
        <f>IF(ORIG!E1706=0,"",ORIG!E1706)</f>
        <v/>
      </c>
      <c r="F1706" s="3">
        <f>IF(ORIG!F1706=0,"",ORIG!F1706)</f>
        <v/>
      </c>
      <c r="G1706" s="3">
        <f>IF(ORIG!G1706=0,"",ORIG!G1706)</f>
        <v/>
      </c>
      <c r="H1706" s="3">
        <f>IF(ORIG!H1706=0,"",ORIG!H1706)</f>
        <v/>
      </c>
      <c r="I1706" s="3">
        <f>IF(ORIG!I1706=0,"",ORIG!I1706)</f>
        <v/>
      </c>
      <c r="J1706" s="3">
        <f>IF(ORIG!J1706=0,"",ORIG!J1706)</f>
        <v/>
      </c>
      <c r="K1706" s="3">
        <f>IF(ORIG!K1706=0,"",ORIG!K1706)</f>
        <v/>
      </c>
      <c r="L1706" s="3">
        <f>IF(ORIG!L1706=0,"",ORIG!L1706)</f>
        <v/>
      </c>
      <c r="M1706" s="3">
        <f>IF(ORIG!M1706=0,"",ORIG!M1706)</f>
        <v/>
      </c>
      <c r="N1706" s="3">
        <f>IF(ORIG!N1706=0,"",ORIG!N1706)</f>
        <v/>
      </c>
      <c r="O1706" s="3">
        <f>IF(ORIG!O1706=0,"",ORIG!O1706)</f>
        <v/>
      </c>
      <c r="P1706" s="3">
        <f>IF(ORIG!P1706=0,"",ORIG!P1706)</f>
        <v/>
      </c>
      <c r="Q1706" s="3">
        <f>IF(ORIG!Q1706=0,"",ORIG!Q1706)</f>
        <v/>
      </c>
      <c r="R1706" s="3">
        <f>IF(ORIG!R1706=0,"",ORIG!R1706)</f>
        <v/>
      </c>
      <c r="S1706" s="3">
        <f>IF(ORIG!S1706=0,"",ORIG!S1706)</f>
        <v/>
      </c>
      <c r="T1706" s="3">
        <f>IF(ORIG!T1706=0,"",ORIG!T1706)</f>
        <v/>
      </c>
      <c r="U1706" s="3">
        <f>IF(ORIG!U1706=0,"",ORIG!U1706)</f>
        <v/>
      </c>
      <c r="V1706" s="9">
        <f>IF(ORIG!V1706=0,"",ORIG!V1706)</f>
        <v/>
      </c>
      <c r="W1706" s="9">
        <f>IF(ORIG!W1706=0,"",ORIG!W1706)</f>
        <v/>
      </c>
      <c r="X1706" s="9">
        <f>IF(ORIG!X1706=0,"",ORIG!X1706)</f>
        <v/>
      </c>
      <c r="Y1706" s="9">
        <f>IF(ORIG!Y1706=0,"",ORIG!Y1706)</f>
        <v/>
      </c>
      <c r="Z1706" s="3">
        <f>SUMPRODUCT($B1706:$Y1706,$B$2649:$Y$2649)</f>
        <v/>
      </c>
      <c r="AA1706" s="3">
        <f>SUMPRODUCT($B1706:$Y1706,$B$2655:$Y$2655)</f>
        <v/>
      </c>
      <c r="AC1706" s="1">
        <f>A1706</f>
        <v/>
      </c>
      <c r="AD1706">
        <f>IF(ISNUMBER(V1706),V1706*($AB$1/V$2635),"")</f>
        <v/>
      </c>
      <c r="AE1706">
        <f>IF(ISNUMBER(Z1706),Z1706*($AB$1/Z$2635),"")</f>
        <v/>
      </c>
      <c r="AF1706" s="25">
        <f>IF(ISNUMBER(AD1706+AE1706),AD1706+AE1706,"")</f>
        <v/>
      </c>
      <c r="AH1706" s="1">
        <f>A1706</f>
        <v/>
      </c>
      <c r="AI1706">
        <f>IF(ISNUMBER((1+V1706)*AI1705),(1+V1706)*AI1705,AI1705)</f>
        <v/>
      </c>
      <c r="AJ1706">
        <f>IF(ISNUMBER((1+Z1706)*AJ1705),(1+Z1706)*AJ1705,AJ1705)</f>
        <v/>
      </c>
    </row>
    <row r="1707">
      <c r="A1707" s="1" t="n">
        <v>44477</v>
      </c>
      <c r="B1707" s="3">
        <f>IF(ORIG!B1707=0,"",ORIG!B1707)</f>
        <v/>
      </c>
      <c r="C1707" s="3">
        <f>IF(ORIG!C1707=0,"",ORIG!C1707)</f>
        <v/>
      </c>
      <c r="D1707" s="3">
        <f>IF(ORIG!D1707=0,"",ORIG!D1707)</f>
        <v/>
      </c>
      <c r="E1707" s="3">
        <f>IF(ORIG!E1707=0,"",ORIG!E1707)</f>
        <v/>
      </c>
      <c r="F1707" s="3">
        <f>IF(ORIG!F1707=0,"",ORIG!F1707)</f>
        <v/>
      </c>
      <c r="G1707" s="3">
        <f>IF(ORIG!G1707=0,"",ORIG!G1707)</f>
        <v/>
      </c>
      <c r="H1707" s="3">
        <f>IF(ORIG!H1707=0,"",ORIG!H1707)</f>
        <v/>
      </c>
      <c r="I1707" s="3">
        <f>IF(ORIG!I1707=0,"",ORIG!I1707)</f>
        <v/>
      </c>
      <c r="J1707" s="3">
        <f>IF(ORIG!J1707=0,"",ORIG!J1707)</f>
        <v/>
      </c>
      <c r="K1707" s="3">
        <f>IF(ORIG!K1707=0,"",ORIG!K1707)</f>
        <v/>
      </c>
      <c r="L1707" s="3">
        <f>IF(ORIG!L1707=0,"",ORIG!L1707)</f>
        <v/>
      </c>
      <c r="M1707" s="3">
        <f>IF(ORIG!M1707=0,"",ORIG!M1707)</f>
        <v/>
      </c>
      <c r="N1707" s="3">
        <f>IF(ORIG!N1707=0,"",ORIG!N1707)</f>
        <v/>
      </c>
      <c r="O1707" s="3">
        <f>IF(ORIG!O1707=0,"",ORIG!O1707)</f>
        <v/>
      </c>
      <c r="P1707" s="3">
        <f>IF(ORIG!P1707=0,"",ORIG!P1707)</f>
        <v/>
      </c>
      <c r="Q1707" s="3">
        <f>IF(ORIG!Q1707=0,"",ORIG!Q1707)</f>
        <v/>
      </c>
      <c r="R1707" s="3">
        <f>IF(ORIG!R1707=0,"",ORIG!R1707)</f>
        <v/>
      </c>
      <c r="S1707" s="3">
        <f>IF(ORIG!S1707=0,"",ORIG!S1707)</f>
        <v/>
      </c>
      <c r="T1707" s="3">
        <f>IF(ORIG!T1707=0,"",ORIG!T1707)</f>
        <v/>
      </c>
      <c r="U1707" s="3">
        <f>IF(ORIG!U1707=0,"",ORIG!U1707)</f>
        <v/>
      </c>
      <c r="V1707" s="9">
        <f>IF(ORIG!V1707=0,"",ORIG!V1707)</f>
        <v/>
      </c>
      <c r="W1707" s="9">
        <f>IF(ORIG!W1707=0,"",ORIG!W1707)</f>
        <v/>
      </c>
      <c r="X1707" s="9">
        <f>IF(ORIG!X1707=0,"",ORIG!X1707)</f>
        <v/>
      </c>
      <c r="Y1707" s="9">
        <f>IF(ORIG!Y1707=0,"",ORIG!Y1707)</f>
        <v/>
      </c>
      <c r="Z1707" s="3">
        <f>SUMPRODUCT($B1707:$Y1707,$B$2649:$Y$2649)</f>
        <v/>
      </c>
      <c r="AA1707" s="3">
        <f>SUMPRODUCT($B1707:$Y1707,$B$2655:$Y$2655)</f>
        <v/>
      </c>
      <c r="AC1707" s="1">
        <f>A1707</f>
        <v/>
      </c>
      <c r="AD1707">
        <f>IF(ISNUMBER(V1707),V1707*($AB$1/V$2635),"")</f>
        <v/>
      </c>
      <c r="AE1707">
        <f>IF(ISNUMBER(Z1707),Z1707*($AB$1/Z$2635),"")</f>
        <v/>
      </c>
      <c r="AF1707" s="25">
        <f>IF(ISNUMBER(AD1707+AE1707),AD1707+AE1707,"")</f>
        <v/>
      </c>
      <c r="AH1707" s="1">
        <f>A1707</f>
        <v/>
      </c>
      <c r="AI1707">
        <f>IF(ISNUMBER((1+V1707)*AI1706),(1+V1707)*AI1706,AI1706)</f>
        <v/>
      </c>
      <c r="AJ1707">
        <f>IF(ISNUMBER((1+Z1707)*AJ1706),(1+Z1707)*AJ1706,AJ1706)</f>
        <v/>
      </c>
    </row>
    <row r="1708">
      <c r="A1708" s="1" t="n">
        <v>44480</v>
      </c>
      <c r="B1708" s="3">
        <f>IF(ORIG!B1708=0,"",ORIG!B1708)</f>
        <v/>
      </c>
      <c r="C1708" s="3">
        <f>IF(ORIG!C1708=0,"",ORIG!C1708)</f>
        <v/>
      </c>
      <c r="D1708" s="3">
        <f>IF(ORIG!D1708=0,"",ORIG!D1708)</f>
        <v/>
      </c>
      <c r="E1708" s="3">
        <f>IF(ORIG!E1708=0,"",ORIG!E1708)</f>
        <v/>
      </c>
      <c r="F1708" s="3">
        <f>IF(ORIG!F1708=0,"",ORIG!F1708)</f>
        <v/>
      </c>
      <c r="G1708" s="3">
        <f>IF(ORIG!G1708=0,"",ORIG!G1708)</f>
        <v/>
      </c>
      <c r="H1708" s="3">
        <f>IF(ORIG!H1708=0,"",ORIG!H1708)</f>
        <v/>
      </c>
      <c r="I1708" s="3">
        <f>IF(ORIG!I1708=0,"",ORIG!I1708)</f>
        <v/>
      </c>
      <c r="J1708" s="3">
        <f>IF(ORIG!J1708=0,"",ORIG!J1708)</f>
        <v/>
      </c>
      <c r="K1708" s="3">
        <f>IF(ORIG!K1708=0,"",ORIG!K1708)</f>
        <v/>
      </c>
      <c r="L1708" s="3">
        <f>IF(ORIG!L1708=0,"",ORIG!L1708)</f>
        <v/>
      </c>
      <c r="M1708" s="3">
        <f>IF(ORIG!M1708=0,"",ORIG!M1708)</f>
        <v/>
      </c>
      <c r="N1708" s="3">
        <f>IF(ORIG!N1708=0,"",ORIG!N1708)</f>
        <v/>
      </c>
      <c r="O1708" s="3">
        <f>IF(ORIG!O1708=0,"",ORIG!O1708)</f>
        <v/>
      </c>
      <c r="P1708" s="3">
        <f>IF(ORIG!P1708=0,"",ORIG!P1708)</f>
        <v/>
      </c>
      <c r="Q1708" s="3">
        <f>IF(ORIG!Q1708=0,"",ORIG!Q1708)</f>
        <v/>
      </c>
      <c r="R1708" s="3">
        <f>IF(ORIG!R1708=0,"",ORIG!R1708)</f>
        <v/>
      </c>
      <c r="S1708" s="3">
        <f>IF(ORIG!S1708=0,"",ORIG!S1708)</f>
        <v/>
      </c>
      <c r="T1708" s="3">
        <f>IF(ORIG!T1708=0,"",ORIG!T1708)</f>
        <v/>
      </c>
      <c r="U1708" s="3">
        <f>IF(ORIG!U1708=0,"",ORIG!U1708)</f>
        <v/>
      </c>
      <c r="V1708" s="9">
        <f>IF(ORIG!V1708=0,"",ORIG!V1708)</f>
        <v/>
      </c>
      <c r="W1708" s="9">
        <f>IF(ORIG!W1708=0,"",ORIG!W1708)</f>
        <v/>
      </c>
      <c r="X1708" s="9">
        <f>IF(ORIG!X1708=0,"",ORIG!X1708)</f>
        <v/>
      </c>
      <c r="Y1708" s="9">
        <f>IF(ORIG!Y1708=0,"",ORIG!Y1708)</f>
        <v/>
      </c>
      <c r="Z1708" s="3">
        <f>SUMPRODUCT($B1708:$Y1708,$B$2649:$Y$2649)</f>
        <v/>
      </c>
      <c r="AA1708" s="3">
        <f>SUMPRODUCT($B1708:$Y1708,$B$2655:$Y$2655)</f>
        <v/>
      </c>
      <c r="AC1708" s="1">
        <f>A1708</f>
        <v/>
      </c>
      <c r="AD1708">
        <f>IF(ISNUMBER(V1708),V1708*($AB$1/V$2635),"")</f>
        <v/>
      </c>
      <c r="AE1708">
        <f>IF(ISNUMBER(Z1708),Z1708*($AB$1/Z$2635),"")</f>
        <v/>
      </c>
      <c r="AF1708" s="25">
        <f>IF(ISNUMBER(AD1708+AE1708),AD1708+AE1708,"")</f>
        <v/>
      </c>
      <c r="AH1708" s="1">
        <f>A1708</f>
        <v/>
      </c>
      <c r="AI1708">
        <f>IF(ISNUMBER((1+V1708)*AI1707),(1+V1708)*AI1707,AI1707)</f>
        <v/>
      </c>
      <c r="AJ1708">
        <f>IF(ISNUMBER((1+Z1708)*AJ1707),(1+Z1708)*AJ1707,AJ1707)</f>
        <v/>
      </c>
    </row>
    <row r="1709">
      <c r="A1709" s="1" t="n">
        <v>44481</v>
      </c>
      <c r="B1709" s="3">
        <f>IF(ORIG!B1709=0,"",ORIG!B1709)</f>
        <v/>
      </c>
      <c r="C1709" s="3">
        <f>IF(ORIG!C1709=0,"",ORIG!C1709)</f>
        <v/>
      </c>
      <c r="D1709" s="3">
        <f>IF(ORIG!D1709=0,"",ORIG!D1709)</f>
        <v/>
      </c>
      <c r="E1709" s="3">
        <f>IF(ORIG!E1709=0,"",ORIG!E1709)</f>
        <v/>
      </c>
      <c r="F1709" s="3">
        <f>IF(ORIG!F1709=0,"",ORIG!F1709)</f>
        <v/>
      </c>
      <c r="G1709" s="3">
        <f>IF(ORIG!G1709=0,"",ORIG!G1709)</f>
        <v/>
      </c>
      <c r="H1709" s="3">
        <f>IF(ORIG!H1709=0,"",ORIG!H1709)</f>
        <v/>
      </c>
      <c r="I1709" s="3">
        <f>IF(ORIG!I1709=0,"",ORIG!I1709)</f>
        <v/>
      </c>
      <c r="J1709" s="3">
        <f>IF(ORIG!J1709=0,"",ORIG!J1709)</f>
        <v/>
      </c>
      <c r="K1709" s="3">
        <f>IF(ORIG!K1709=0,"",ORIG!K1709)</f>
        <v/>
      </c>
      <c r="L1709" s="3">
        <f>IF(ORIG!L1709=0,"",ORIG!L1709)</f>
        <v/>
      </c>
      <c r="M1709" s="3">
        <f>IF(ORIG!M1709=0,"",ORIG!M1709)</f>
        <v/>
      </c>
      <c r="N1709" s="3">
        <f>IF(ORIG!N1709=0,"",ORIG!N1709)</f>
        <v/>
      </c>
      <c r="O1709" s="3">
        <f>IF(ORIG!O1709=0,"",ORIG!O1709)</f>
        <v/>
      </c>
      <c r="P1709" s="3">
        <f>IF(ORIG!P1709=0,"",ORIG!P1709)</f>
        <v/>
      </c>
      <c r="Q1709" s="3">
        <f>IF(ORIG!Q1709=0,"",ORIG!Q1709)</f>
        <v/>
      </c>
      <c r="R1709" s="3">
        <f>IF(ORIG!R1709=0,"",ORIG!R1709)</f>
        <v/>
      </c>
      <c r="S1709" s="3">
        <f>IF(ORIG!S1709=0,"",ORIG!S1709)</f>
        <v/>
      </c>
      <c r="T1709" s="3">
        <f>IF(ORIG!T1709=0,"",ORIG!T1709)</f>
        <v/>
      </c>
      <c r="U1709" s="3">
        <f>IF(ORIG!U1709=0,"",ORIG!U1709)</f>
        <v/>
      </c>
      <c r="V1709" s="9">
        <f>IF(ORIG!V1709=0,"",ORIG!V1709)</f>
        <v/>
      </c>
      <c r="W1709" s="9">
        <f>IF(ORIG!W1709=0,"",ORIG!W1709)</f>
        <v/>
      </c>
      <c r="X1709" s="9">
        <f>IF(ORIG!X1709=0,"",ORIG!X1709)</f>
        <v/>
      </c>
      <c r="Y1709" s="9">
        <f>IF(ORIG!Y1709=0,"",ORIG!Y1709)</f>
        <v/>
      </c>
      <c r="Z1709" s="3">
        <f>SUMPRODUCT($B1709:$Y1709,$B$2649:$Y$2649)</f>
        <v/>
      </c>
      <c r="AA1709" s="3">
        <f>SUMPRODUCT($B1709:$Y1709,$B$2655:$Y$2655)</f>
        <v/>
      </c>
      <c r="AC1709" s="1">
        <f>A1709</f>
        <v/>
      </c>
      <c r="AD1709">
        <f>IF(ISNUMBER(V1709),V1709*($AB$1/V$2635),"")</f>
        <v/>
      </c>
      <c r="AE1709">
        <f>IF(ISNUMBER(Z1709),Z1709*($AB$1/Z$2635),"")</f>
        <v/>
      </c>
      <c r="AF1709" s="25">
        <f>IF(ISNUMBER(AD1709+AE1709),AD1709+AE1709,"")</f>
        <v/>
      </c>
      <c r="AH1709" s="1">
        <f>A1709</f>
        <v/>
      </c>
      <c r="AI1709">
        <f>IF(ISNUMBER((1+V1709)*AI1708),(1+V1709)*AI1708,AI1708)</f>
        <v/>
      </c>
      <c r="AJ1709">
        <f>IF(ISNUMBER((1+Z1709)*AJ1708),(1+Z1709)*AJ1708,AJ1708)</f>
        <v/>
      </c>
    </row>
    <row r="1710">
      <c r="A1710" s="1" t="n">
        <v>44482</v>
      </c>
      <c r="B1710" s="3">
        <f>IF(ORIG!B1710=0,"",ORIG!B1710)</f>
        <v/>
      </c>
      <c r="C1710" s="3">
        <f>IF(ORIG!C1710=0,"",ORIG!C1710)</f>
        <v/>
      </c>
      <c r="D1710" s="3">
        <f>IF(ORIG!D1710=0,"",ORIG!D1710)</f>
        <v/>
      </c>
      <c r="E1710" s="3">
        <f>IF(ORIG!E1710=0,"",ORIG!E1710)</f>
        <v/>
      </c>
      <c r="F1710" s="3">
        <f>IF(ORIG!F1710=0,"",ORIG!F1710)</f>
        <v/>
      </c>
      <c r="G1710" s="3">
        <f>IF(ORIG!G1710=0,"",ORIG!G1710)</f>
        <v/>
      </c>
      <c r="H1710" s="3">
        <f>IF(ORIG!H1710=0,"",ORIG!H1710)</f>
        <v/>
      </c>
      <c r="I1710" s="3">
        <f>IF(ORIG!I1710=0,"",ORIG!I1710)</f>
        <v/>
      </c>
      <c r="J1710" s="3">
        <f>IF(ORIG!J1710=0,"",ORIG!J1710)</f>
        <v/>
      </c>
      <c r="K1710" s="3">
        <f>IF(ORIG!K1710=0,"",ORIG!K1710)</f>
        <v/>
      </c>
      <c r="L1710" s="3">
        <f>IF(ORIG!L1710=0,"",ORIG!L1710)</f>
        <v/>
      </c>
      <c r="M1710" s="3">
        <f>IF(ORIG!M1710=0,"",ORIG!M1710)</f>
        <v/>
      </c>
      <c r="N1710" s="3">
        <f>IF(ORIG!N1710=0,"",ORIG!N1710)</f>
        <v/>
      </c>
      <c r="O1710" s="3">
        <f>IF(ORIG!O1710=0,"",ORIG!O1710)</f>
        <v/>
      </c>
      <c r="P1710" s="3">
        <f>IF(ORIG!P1710=0,"",ORIG!P1710)</f>
        <v/>
      </c>
      <c r="Q1710" s="3">
        <f>IF(ORIG!Q1710=0,"",ORIG!Q1710)</f>
        <v/>
      </c>
      <c r="R1710" s="3">
        <f>IF(ORIG!R1710=0,"",ORIG!R1710)</f>
        <v/>
      </c>
      <c r="S1710" s="3">
        <f>IF(ORIG!S1710=0,"",ORIG!S1710)</f>
        <v/>
      </c>
      <c r="T1710" s="3">
        <f>IF(ORIG!T1710=0,"",ORIG!T1710)</f>
        <v/>
      </c>
      <c r="U1710" s="3">
        <f>IF(ORIG!U1710=0,"",ORIG!U1710)</f>
        <v/>
      </c>
      <c r="V1710" s="9">
        <f>IF(ORIG!V1710=0,"",ORIG!V1710)</f>
        <v/>
      </c>
      <c r="W1710" s="9">
        <f>IF(ORIG!W1710=0,"",ORIG!W1710)</f>
        <v/>
      </c>
      <c r="X1710" s="9">
        <f>IF(ORIG!X1710=0,"",ORIG!X1710)</f>
        <v/>
      </c>
      <c r="Y1710" s="9">
        <f>IF(ORIG!Y1710=0,"",ORIG!Y1710)</f>
        <v/>
      </c>
      <c r="Z1710" s="3">
        <f>SUMPRODUCT($B1710:$Y1710,$B$2649:$Y$2649)</f>
        <v/>
      </c>
      <c r="AA1710" s="3">
        <f>SUMPRODUCT($B1710:$Y1710,$B$2655:$Y$2655)</f>
        <v/>
      </c>
      <c r="AC1710" s="1">
        <f>A1710</f>
        <v/>
      </c>
      <c r="AD1710">
        <f>IF(ISNUMBER(V1710),V1710*($AB$1/V$2635),"")</f>
        <v/>
      </c>
      <c r="AE1710">
        <f>IF(ISNUMBER(Z1710),Z1710*($AB$1/Z$2635),"")</f>
        <v/>
      </c>
      <c r="AF1710" s="25">
        <f>IF(ISNUMBER(AD1710+AE1710),AD1710+AE1710,"")</f>
        <v/>
      </c>
      <c r="AH1710" s="1">
        <f>A1710</f>
        <v/>
      </c>
      <c r="AI1710">
        <f>IF(ISNUMBER((1+V1710)*AI1709),(1+V1710)*AI1709,AI1709)</f>
        <v/>
      </c>
      <c r="AJ1710">
        <f>IF(ISNUMBER((1+Z1710)*AJ1709),(1+Z1710)*AJ1709,AJ1709)</f>
        <v/>
      </c>
    </row>
    <row r="1711">
      <c r="A1711" s="1" t="n">
        <v>44483</v>
      </c>
      <c r="B1711" s="3">
        <f>IF(ORIG!B1711=0,"",ORIG!B1711)</f>
        <v/>
      </c>
      <c r="C1711" s="3">
        <f>IF(ORIG!C1711=0,"",ORIG!C1711)</f>
        <v/>
      </c>
      <c r="D1711" s="3">
        <f>IF(ORIG!D1711=0,"",ORIG!D1711)</f>
        <v/>
      </c>
      <c r="E1711" s="3">
        <f>IF(ORIG!E1711=0,"",ORIG!E1711)</f>
        <v/>
      </c>
      <c r="F1711" s="3">
        <f>IF(ORIG!F1711=0,"",ORIG!F1711)</f>
        <v/>
      </c>
      <c r="G1711" s="3">
        <f>IF(ORIG!G1711=0,"",ORIG!G1711)</f>
        <v/>
      </c>
      <c r="H1711" s="3">
        <f>IF(ORIG!H1711=0,"",ORIG!H1711)</f>
        <v/>
      </c>
      <c r="I1711" s="3">
        <f>IF(ORIG!I1711=0,"",ORIG!I1711)</f>
        <v/>
      </c>
      <c r="J1711" s="3">
        <f>IF(ORIG!J1711=0,"",ORIG!J1711)</f>
        <v/>
      </c>
      <c r="K1711" s="3">
        <f>IF(ORIG!K1711=0,"",ORIG!K1711)</f>
        <v/>
      </c>
      <c r="L1711" s="3">
        <f>IF(ORIG!L1711=0,"",ORIG!L1711)</f>
        <v/>
      </c>
      <c r="M1711" s="3">
        <f>IF(ORIG!M1711=0,"",ORIG!M1711)</f>
        <v/>
      </c>
      <c r="N1711" s="3">
        <f>IF(ORIG!N1711=0,"",ORIG!N1711)</f>
        <v/>
      </c>
      <c r="O1711" s="3">
        <f>IF(ORIG!O1711=0,"",ORIG!O1711)</f>
        <v/>
      </c>
      <c r="P1711" s="3">
        <f>IF(ORIG!P1711=0,"",ORIG!P1711)</f>
        <v/>
      </c>
      <c r="Q1711" s="3">
        <f>IF(ORIG!Q1711=0,"",ORIG!Q1711)</f>
        <v/>
      </c>
      <c r="R1711" s="3">
        <f>IF(ORIG!R1711=0,"",ORIG!R1711)</f>
        <v/>
      </c>
      <c r="S1711" s="3">
        <f>IF(ORIG!S1711=0,"",ORIG!S1711)</f>
        <v/>
      </c>
      <c r="T1711" s="3">
        <f>IF(ORIG!T1711=0,"",ORIG!T1711)</f>
        <v/>
      </c>
      <c r="U1711" s="3">
        <f>IF(ORIG!U1711=0,"",ORIG!U1711)</f>
        <v/>
      </c>
      <c r="V1711" s="9">
        <f>IF(ORIG!V1711=0,"",ORIG!V1711)</f>
        <v/>
      </c>
      <c r="W1711" s="9">
        <f>IF(ORIG!W1711=0,"",ORIG!W1711)</f>
        <v/>
      </c>
      <c r="X1711" s="9">
        <f>IF(ORIG!X1711=0,"",ORIG!X1711)</f>
        <v/>
      </c>
      <c r="Y1711" s="9">
        <f>IF(ORIG!Y1711=0,"",ORIG!Y1711)</f>
        <v/>
      </c>
      <c r="Z1711" s="3">
        <f>SUMPRODUCT($B1711:$Y1711,$B$2649:$Y$2649)</f>
        <v/>
      </c>
      <c r="AA1711" s="3">
        <f>SUMPRODUCT($B1711:$Y1711,$B$2655:$Y$2655)</f>
        <v/>
      </c>
      <c r="AC1711" s="1">
        <f>A1711</f>
        <v/>
      </c>
      <c r="AD1711">
        <f>IF(ISNUMBER(V1711),V1711*($AB$1/V$2635),"")</f>
        <v/>
      </c>
      <c r="AE1711">
        <f>IF(ISNUMBER(Z1711),Z1711*($AB$1/Z$2635),"")</f>
        <v/>
      </c>
      <c r="AF1711" s="25">
        <f>IF(ISNUMBER(AD1711+AE1711),AD1711+AE1711,"")</f>
        <v/>
      </c>
      <c r="AH1711" s="1">
        <f>A1711</f>
        <v/>
      </c>
      <c r="AI1711">
        <f>IF(ISNUMBER((1+V1711)*AI1710),(1+V1711)*AI1710,AI1710)</f>
        <v/>
      </c>
      <c r="AJ1711">
        <f>IF(ISNUMBER((1+Z1711)*AJ1710),(1+Z1711)*AJ1710,AJ1710)</f>
        <v/>
      </c>
    </row>
    <row r="1712">
      <c r="A1712" s="1" t="n">
        <v>44484</v>
      </c>
      <c r="B1712" s="3">
        <f>IF(ORIG!B1712=0,"",ORIG!B1712)</f>
        <v/>
      </c>
      <c r="C1712" s="3">
        <f>IF(ORIG!C1712=0,"",ORIG!C1712)</f>
        <v/>
      </c>
      <c r="D1712" s="3">
        <f>IF(ORIG!D1712=0,"",ORIG!D1712)</f>
        <v/>
      </c>
      <c r="E1712" s="3">
        <f>IF(ORIG!E1712=0,"",ORIG!E1712)</f>
        <v/>
      </c>
      <c r="F1712" s="3">
        <f>IF(ORIG!F1712=0,"",ORIG!F1712)</f>
        <v/>
      </c>
      <c r="G1712" s="3">
        <f>IF(ORIG!G1712=0,"",ORIG!G1712)</f>
        <v/>
      </c>
      <c r="H1712" s="3">
        <f>IF(ORIG!H1712=0,"",ORIG!H1712)</f>
        <v/>
      </c>
      <c r="I1712" s="3">
        <f>IF(ORIG!I1712=0,"",ORIG!I1712)</f>
        <v/>
      </c>
      <c r="J1712" s="3">
        <f>IF(ORIG!J1712=0,"",ORIG!J1712)</f>
        <v/>
      </c>
      <c r="K1712" s="3">
        <f>IF(ORIG!K1712=0,"",ORIG!K1712)</f>
        <v/>
      </c>
      <c r="L1712" s="3">
        <f>IF(ORIG!L1712=0,"",ORIG!L1712)</f>
        <v/>
      </c>
      <c r="M1712" s="3">
        <f>IF(ORIG!M1712=0,"",ORIG!M1712)</f>
        <v/>
      </c>
      <c r="N1712" s="3">
        <f>IF(ORIG!N1712=0,"",ORIG!N1712)</f>
        <v/>
      </c>
      <c r="O1712" s="3">
        <f>IF(ORIG!O1712=0,"",ORIG!O1712)</f>
        <v/>
      </c>
      <c r="P1712" s="3">
        <f>IF(ORIG!P1712=0,"",ORIG!P1712)</f>
        <v/>
      </c>
      <c r="Q1712" s="3">
        <f>IF(ORIG!Q1712=0,"",ORIG!Q1712)</f>
        <v/>
      </c>
      <c r="R1712" s="3">
        <f>IF(ORIG!R1712=0,"",ORIG!R1712)</f>
        <v/>
      </c>
      <c r="S1712" s="3">
        <f>IF(ORIG!S1712=0,"",ORIG!S1712)</f>
        <v/>
      </c>
      <c r="T1712" s="3">
        <f>IF(ORIG!T1712=0,"",ORIG!T1712)</f>
        <v/>
      </c>
      <c r="U1712" s="3">
        <f>IF(ORIG!U1712=0,"",ORIG!U1712)</f>
        <v/>
      </c>
      <c r="V1712" s="9">
        <f>IF(ORIG!V1712=0,"",ORIG!V1712)</f>
        <v/>
      </c>
      <c r="W1712" s="9">
        <f>IF(ORIG!W1712=0,"",ORIG!W1712)</f>
        <v/>
      </c>
      <c r="X1712" s="9">
        <f>IF(ORIG!X1712=0,"",ORIG!X1712)</f>
        <v/>
      </c>
      <c r="Y1712" s="9">
        <f>IF(ORIG!Y1712=0,"",ORIG!Y1712)</f>
        <v/>
      </c>
      <c r="Z1712" s="3">
        <f>SUMPRODUCT($B1712:$Y1712,$B$2649:$Y$2649)</f>
        <v/>
      </c>
      <c r="AA1712" s="3">
        <f>SUMPRODUCT($B1712:$Y1712,$B$2655:$Y$2655)</f>
        <v/>
      </c>
      <c r="AC1712" s="1">
        <f>A1712</f>
        <v/>
      </c>
      <c r="AD1712">
        <f>IF(ISNUMBER(V1712),V1712*($AB$1/V$2635),"")</f>
        <v/>
      </c>
      <c r="AE1712">
        <f>IF(ISNUMBER(Z1712),Z1712*($AB$1/Z$2635),"")</f>
        <v/>
      </c>
      <c r="AF1712" s="25">
        <f>IF(ISNUMBER(AD1712+AE1712),AD1712+AE1712,"")</f>
        <v/>
      </c>
      <c r="AH1712" s="1">
        <f>A1712</f>
        <v/>
      </c>
      <c r="AI1712">
        <f>IF(ISNUMBER((1+V1712)*AI1711),(1+V1712)*AI1711,AI1711)</f>
        <v/>
      </c>
      <c r="AJ1712">
        <f>IF(ISNUMBER((1+Z1712)*AJ1711),(1+Z1712)*AJ1711,AJ1711)</f>
        <v/>
      </c>
    </row>
    <row r="1713">
      <c r="A1713" s="1" t="n">
        <v>44487</v>
      </c>
      <c r="B1713" s="3">
        <f>IF(ORIG!B1713=0,"",ORIG!B1713)</f>
        <v/>
      </c>
      <c r="C1713" s="3">
        <f>IF(ORIG!C1713=0,"",ORIG!C1713)</f>
        <v/>
      </c>
      <c r="D1713" s="3">
        <f>IF(ORIG!D1713=0,"",ORIG!D1713)</f>
        <v/>
      </c>
      <c r="E1713" s="3">
        <f>IF(ORIG!E1713=0,"",ORIG!E1713)</f>
        <v/>
      </c>
      <c r="F1713" s="3">
        <f>IF(ORIG!F1713=0,"",ORIG!F1713)</f>
        <v/>
      </c>
      <c r="G1713" s="3">
        <f>IF(ORIG!G1713=0,"",ORIG!G1713)</f>
        <v/>
      </c>
      <c r="H1713" s="3">
        <f>IF(ORIG!H1713=0,"",ORIG!H1713)</f>
        <v/>
      </c>
      <c r="I1713" s="3">
        <f>IF(ORIG!I1713=0,"",ORIG!I1713)</f>
        <v/>
      </c>
      <c r="J1713" s="3">
        <f>IF(ORIG!J1713=0,"",ORIG!J1713)</f>
        <v/>
      </c>
      <c r="K1713" s="3">
        <f>IF(ORIG!K1713=0,"",ORIG!K1713)</f>
        <v/>
      </c>
      <c r="L1713" s="3">
        <f>IF(ORIG!L1713=0,"",ORIG!L1713)</f>
        <v/>
      </c>
      <c r="M1713" s="3">
        <f>IF(ORIG!M1713=0,"",ORIG!M1713)</f>
        <v/>
      </c>
      <c r="N1713" s="3">
        <f>IF(ORIG!N1713=0,"",ORIG!N1713)</f>
        <v/>
      </c>
      <c r="O1713" s="3">
        <f>IF(ORIG!O1713=0,"",ORIG!O1713)</f>
        <v/>
      </c>
      <c r="P1713" s="3">
        <f>IF(ORIG!P1713=0,"",ORIG!P1713)</f>
        <v/>
      </c>
      <c r="Q1713" s="3">
        <f>IF(ORIG!Q1713=0,"",ORIG!Q1713)</f>
        <v/>
      </c>
      <c r="R1713" s="3">
        <f>IF(ORIG!R1713=0,"",ORIG!R1713)</f>
        <v/>
      </c>
      <c r="S1713" s="3">
        <f>IF(ORIG!S1713=0,"",ORIG!S1713)</f>
        <v/>
      </c>
      <c r="T1713" s="3">
        <f>IF(ORIG!T1713=0,"",ORIG!T1713)</f>
        <v/>
      </c>
      <c r="U1713" s="3">
        <f>IF(ORIG!U1713=0,"",ORIG!U1713)</f>
        <v/>
      </c>
      <c r="V1713" s="9">
        <f>IF(ORIG!V1713=0,"",ORIG!V1713)</f>
        <v/>
      </c>
      <c r="W1713" s="9">
        <f>IF(ORIG!W1713=0,"",ORIG!W1713)</f>
        <v/>
      </c>
      <c r="X1713" s="9">
        <f>IF(ORIG!X1713=0,"",ORIG!X1713)</f>
        <v/>
      </c>
      <c r="Y1713" s="9">
        <f>IF(ORIG!Y1713=0,"",ORIG!Y1713)</f>
        <v/>
      </c>
      <c r="Z1713" s="3">
        <f>SUMPRODUCT($B1713:$Y1713,$B$2649:$Y$2649)</f>
        <v/>
      </c>
      <c r="AA1713" s="3">
        <f>SUMPRODUCT($B1713:$Y1713,$B$2655:$Y$2655)</f>
        <v/>
      </c>
      <c r="AC1713" s="1">
        <f>A1713</f>
        <v/>
      </c>
      <c r="AD1713">
        <f>IF(ISNUMBER(V1713),V1713*($AB$1/V$2635),"")</f>
        <v/>
      </c>
      <c r="AE1713">
        <f>IF(ISNUMBER(Z1713),Z1713*($AB$1/Z$2635),"")</f>
        <v/>
      </c>
      <c r="AF1713" s="25">
        <f>IF(ISNUMBER(AD1713+AE1713),AD1713+AE1713,"")</f>
        <v/>
      </c>
      <c r="AH1713" s="1">
        <f>A1713</f>
        <v/>
      </c>
      <c r="AI1713">
        <f>IF(ISNUMBER((1+V1713)*AI1712),(1+V1713)*AI1712,AI1712)</f>
        <v/>
      </c>
      <c r="AJ1713">
        <f>IF(ISNUMBER((1+Z1713)*AJ1712),(1+Z1713)*AJ1712,AJ1712)</f>
        <v/>
      </c>
    </row>
    <row r="1714">
      <c r="A1714" s="1" t="n">
        <v>44488</v>
      </c>
      <c r="B1714" s="3">
        <f>IF(ORIG!B1714=0,"",ORIG!B1714)</f>
        <v/>
      </c>
      <c r="C1714" s="3">
        <f>IF(ORIG!C1714=0,"",ORIG!C1714)</f>
        <v/>
      </c>
      <c r="D1714" s="3">
        <f>IF(ORIG!D1714=0,"",ORIG!D1714)</f>
        <v/>
      </c>
      <c r="E1714" s="3">
        <f>IF(ORIG!E1714=0,"",ORIG!E1714)</f>
        <v/>
      </c>
      <c r="F1714" s="3">
        <f>IF(ORIG!F1714=0,"",ORIG!F1714)</f>
        <v/>
      </c>
      <c r="G1714" s="3">
        <f>IF(ORIG!G1714=0,"",ORIG!G1714)</f>
        <v/>
      </c>
      <c r="H1714" s="3">
        <f>IF(ORIG!H1714=0,"",ORIG!H1714)</f>
        <v/>
      </c>
      <c r="I1714" s="3">
        <f>IF(ORIG!I1714=0,"",ORIG!I1714)</f>
        <v/>
      </c>
      <c r="J1714" s="3">
        <f>IF(ORIG!J1714=0,"",ORIG!J1714)</f>
        <v/>
      </c>
      <c r="K1714" s="3">
        <f>IF(ORIG!K1714=0,"",ORIG!K1714)</f>
        <v/>
      </c>
      <c r="L1714" s="3">
        <f>IF(ORIG!L1714=0,"",ORIG!L1714)</f>
        <v/>
      </c>
      <c r="M1714" s="3">
        <f>IF(ORIG!M1714=0,"",ORIG!M1714)</f>
        <v/>
      </c>
      <c r="N1714" s="3">
        <f>IF(ORIG!N1714=0,"",ORIG!N1714)</f>
        <v/>
      </c>
      <c r="O1714" s="3">
        <f>IF(ORIG!O1714=0,"",ORIG!O1714)</f>
        <v/>
      </c>
      <c r="P1714" s="3">
        <f>IF(ORIG!P1714=0,"",ORIG!P1714)</f>
        <v/>
      </c>
      <c r="Q1714" s="3">
        <f>IF(ORIG!Q1714=0,"",ORIG!Q1714)</f>
        <v/>
      </c>
      <c r="R1714" s="3">
        <f>IF(ORIG!R1714=0,"",ORIG!R1714)</f>
        <v/>
      </c>
      <c r="S1714" s="3">
        <f>IF(ORIG!S1714=0,"",ORIG!S1714)</f>
        <v/>
      </c>
      <c r="T1714" s="3">
        <f>IF(ORIG!T1714=0,"",ORIG!T1714)</f>
        <v/>
      </c>
      <c r="U1714" s="3">
        <f>IF(ORIG!U1714=0,"",ORIG!U1714)</f>
        <v/>
      </c>
      <c r="V1714" s="9">
        <f>IF(ORIG!V1714=0,"",ORIG!V1714)</f>
        <v/>
      </c>
      <c r="W1714" s="9">
        <f>IF(ORIG!W1714=0,"",ORIG!W1714)</f>
        <v/>
      </c>
      <c r="X1714" s="9">
        <f>IF(ORIG!X1714=0,"",ORIG!X1714)</f>
        <v/>
      </c>
      <c r="Y1714" s="9">
        <f>IF(ORIG!Y1714=0,"",ORIG!Y1714)</f>
        <v/>
      </c>
      <c r="Z1714" s="3">
        <f>SUMPRODUCT($B1714:$Y1714,$B$2649:$Y$2649)</f>
        <v/>
      </c>
      <c r="AA1714" s="3">
        <f>SUMPRODUCT($B1714:$Y1714,$B$2655:$Y$2655)</f>
        <v/>
      </c>
      <c r="AC1714" s="1">
        <f>A1714</f>
        <v/>
      </c>
      <c r="AD1714">
        <f>IF(ISNUMBER(V1714),V1714*($AB$1/V$2635),"")</f>
        <v/>
      </c>
      <c r="AE1714">
        <f>IF(ISNUMBER(Z1714),Z1714*($AB$1/Z$2635),"")</f>
        <v/>
      </c>
      <c r="AF1714" s="25">
        <f>IF(ISNUMBER(AD1714+AE1714),AD1714+AE1714,"")</f>
        <v/>
      </c>
      <c r="AH1714" s="1">
        <f>A1714</f>
        <v/>
      </c>
      <c r="AI1714">
        <f>IF(ISNUMBER((1+V1714)*AI1713),(1+V1714)*AI1713,AI1713)</f>
        <v/>
      </c>
      <c r="AJ1714">
        <f>IF(ISNUMBER((1+Z1714)*AJ1713),(1+Z1714)*AJ1713,AJ1713)</f>
        <v/>
      </c>
    </row>
    <row r="1715">
      <c r="A1715" s="1" t="n">
        <v>44489</v>
      </c>
      <c r="B1715" s="3">
        <f>IF(ORIG!B1715=0,"",ORIG!B1715)</f>
        <v/>
      </c>
      <c r="C1715" s="3">
        <f>IF(ORIG!C1715=0,"",ORIG!C1715)</f>
        <v/>
      </c>
      <c r="D1715" s="3">
        <f>IF(ORIG!D1715=0,"",ORIG!D1715)</f>
        <v/>
      </c>
      <c r="E1715" s="3">
        <f>IF(ORIG!E1715=0,"",ORIG!E1715)</f>
        <v/>
      </c>
      <c r="F1715" s="3">
        <f>IF(ORIG!F1715=0,"",ORIG!F1715)</f>
        <v/>
      </c>
      <c r="G1715" s="3">
        <f>IF(ORIG!G1715=0,"",ORIG!G1715)</f>
        <v/>
      </c>
      <c r="H1715" s="3">
        <f>IF(ORIG!H1715=0,"",ORIG!H1715)</f>
        <v/>
      </c>
      <c r="I1715" s="3">
        <f>IF(ORIG!I1715=0,"",ORIG!I1715)</f>
        <v/>
      </c>
      <c r="J1715" s="3">
        <f>IF(ORIG!J1715=0,"",ORIG!J1715)</f>
        <v/>
      </c>
      <c r="K1715" s="3">
        <f>IF(ORIG!K1715=0,"",ORIG!K1715)</f>
        <v/>
      </c>
      <c r="L1715" s="3">
        <f>IF(ORIG!L1715=0,"",ORIG!L1715)</f>
        <v/>
      </c>
      <c r="M1715" s="3">
        <f>IF(ORIG!M1715=0,"",ORIG!M1715)</f>
        <v/>
      </c>
      <c r="N1715" s="3">
        <f>IF(ORIG!N1715=0,"",ORIG!N1715)</f>
        <v/>
      </c>
      <c r="O1715" s="3">
        <f>IF(ORIG!O1715=0,"",ORIG!O1715)</f>
        <v/>
      </c>
      <c r="P1715" s="3">
        <f>IF(ORIG!P1715=0,"",ORIG!P1715)</f>
        <v/>
      </c>
      <c r="Q1715" s="3">
        <f>IF(ORIG!Q1715=0,"",ORIG!Q1715)</f>
        <v/>
      </c>
      <c r="R1715" s="3">
        <f>IF(ORIG!R1715=0,"",ORIG!R1715)</f>
        <v/>
      </c>
      <c r="S1715" s="3">
        <f>IF(ORIG!S1715=0,"",ORIG!S1715)</f>
        <v/>
      </c>
      <c r="T1715" s="3">
        <f>IF(ORIG!T1715=0,"",ORIG!T1715)</f>
        <v/>
      </c>
      <c r="U1715" s="3">
        <f>IF(ORIG!U1715=0,"",ORIG!U1715)</f>
        <v/>
      </c>
      <c r="V1715" s="9">
        <f>IF(ORIG!V1715=0,"",ORIG!V1715)</f>
        <v/>
      </c>
      <c r="W1715" s="9">
        <f>IF(ORIG!W1715=0,"",ORIG!W1715)</f>
        <v/>
      </c>
      <c r="X1715" s="9">
        <f>IF(ORIG!X1715=0,"",ORIG!X1715)</f>
        <v/>
      </c>
      <c r="Y1715" s="9">
        <f>IF(ORIG!Y1715=0,"",ORIG!Y1715)</f>
        <v/>
      </c>
      <c r="Z1715" s="3">
        <f>SUMPRODUCT($B1715:$Y1715,$B$2649:$Y$2649)</f>
        <v/>
      </c>
      <c r="AA1715" s="3">
        <f>SUMPRODUCT($B1715:$Y1715,$B$2655:$Y$2655)</f>
        <v/>
      </c>
      <c r="AC1715" s="1">
        <f>A1715</f>
        <v/>
      </c>
      <c r="AD1715">
        <f>IF(ISNUMBER(V1715),V1715*($AB$1/V$2635),"")</f>
        <v/>
      </c>
      <c r="AE1715">
        <f>IF(ISNUMBER(Z1715),Z1715*($AB$1/Z$2635),"")</f>
        <v/>
      </c>
      <c r="AF1715" s="25">
        <f>IF(ISNUMBER(AD1715+AE1715),AD1715+AE1715,"")</f>
        <v/>
      </c>
      <c r="AH1715" s="1">
        <f>A1715</f>
        <v/>
      </c>
      <c r="AI1715">
        <f>IF(ISNUMBER((1+V1715)*AI1714),(1+V1715)*AI1714,AI1714)</f>
        <v/>
      </c>
      <c r="AJ1715">
        <f>IF(ISNUMBER((1+Z1715)*AJ1714),(1+Z1715)*AJ1714,AJ1714)</f>
        <v/>
      </c>
    </row>
    <row r="1716">
      <c r="A1716" s="1" t="n">
        <v>44490</v>
      </c>
      <c r="B1716" s="3">
        <f>IF(ORIG!B1716=0,"",ORIG!B1716)</f>
        <v/>
      </c>
      <c r="C1716" s="3">
        <f>IF(ORIG!C1716=0,"",ORIG!C1716)</f>
        <v/>
      </c>
      <c r="D1716" s="3">
        <f>IF(ORIG!D1716=0,"",ORIG!D1716)</f>
        <v/>
      </c>
      <c r="E1716" s="3">
        <f>IF(ORIG!E1716=0,"",ORIG!E1716)</f>
        <v/>
      </c>
      <c r="F1716" s="3">
        <f>IF(ORIG!F1716=0,"",ORIG!F1716)</f>
        <v/>
      </c>
      <c r="G1716" s="3">
        <f>IF(ORIG!G1716=0,"",ORIG!G1716)</f>
        <v/>
      </c>
      <c r="H1716" s="3">
        <f>IF(ORIG!H1716=0,"",ORIG!H1716)</f>
        <v/>
      </c>
      <c r="I1716" s="3">
        <f>IF(ORIG!I1716=0,"",ORIG!I1716)</f>
        <v/>
      </c>
      <c r="J1716" s="3">
        <f>IF(ORIG!J1716=0,"",ORIG!J1716)</f>
        <v/>
      </c>
      <c r="K1716" s="3">
        <f>IF(ORIG!K1716=0,"",ORIG!K1716)</f>
        <v/>
      </c>
      <c r="L1716" s="3">
        <f>IF(ORIG!L1716=0,"",ORIG!L1716)</f>
        <v/>
      </c>
      <c r="M1716" s="3">
        <f>IF(ORIG!M1716=0,"",ORIG!M1716)</f>
        <v/>
      </c>
      <c r="N1716" s="3">
        <f>IF(ORIG!N1716=0,"",ORIG!N1716)</f>
        <v/>
      </c>
      <c r="O1716" s="3">
        <f>IF(ORIG!O1716=0,"",ORIG!O1716)</f>
        <v/>
      </c>
      <c r="P1716" s="3">
        <f>IF(ORIG!P1716=0,"",ORIG!P1716)</f>
        <v/>
      </c>
      <c r="Q1716" s="3">
        <f>IF(ORIG!Q1716=0,"",ORIG!Q1716)</f>
        <v/>
      </c>
      <c r="R1716" s="3">
        <f>IF(ORIG!R1716=0,"",ORIG!R1716)</f>
        <v/>
      </c>
      <c r="S1716" s="3">
        <f>IF(ORIG!S1716=0,"",ORIG!S1716)</f>
        <v/>
      </c>
      <c r="T1716" s="3">
        <f>IF(ORIG!T1716=0,"",ORIG!T1716)</f>
        <v/>
      </c>
      <c r="U1716" s="3">
        <f>IF(ORIG!U1716=0,"",ORIG!U1716)</f>
        <v/>
      </c>
      <c r="V1716" s="9">
        <f>IF(ORIG!V1716=0,"",ORIG!V1716)</f>
        <v/>
      </c>
      <c r="W1716" s="9">
        <f>IF(ORIG!W1716=0,"",ORIG!W1716)</f>
        <v/>
      </c>
      <c r="X1716" s="9">
        <f>IF(ORIG!X1716=0,"",ORIG!X1716)</f>
        <v/>
      </c>
      <c r="Y1716" s="9">
        <f>IF(ORIG!Y1716=0,"",ORIG!Y1716)</f>
        <v/>
      </c>
      <c r="Z1716" s="3">
        <f>SUMPRODUCT($B1716:$Y1716,$B$2649:$Y$2649)</f>
        <v/>
      </c>
      <c r="AA1716" s="3">
        <f>SUMPRODUCT($B1716:$Y1716,$B$2655:$Y$2655)</f>
        <v/>
      </c>
      <c r="AC1716" s="1">
        <f>A1716</f>
        <v/>
      </c>
      <c r="AD1716">
        <f>IF(ISNUMBER(V1716),V1716*($AB$1/V$2635),"")</f>
        <v/>
      </c>
      <c r="AE1716">
        <f>IF(ISNUMBER(Z1716),Z1716*($AB$1/Z$2635),"")</f>
        <v/>
      </c>
      <c r="AF1716" s="25">
        <f>IF(ISNUMBER(AD1716+AE1716),AD1716+AE1716,"")</f>
        <v/>
      </c>
      <c r="AH1716" s="1">
        <f>A1716</f>
        <v/>
      </c>
      <c r="AI1716">
        <f>IF(ISNUMBER((1+V1716)*AI1715),(1+V1716)*AI1715,AI1715)</f>
        <v/>
      </c>
      <c r="AJ1716">
        <f>IF(ISNUMBER((1+Z1716)*AJ1715),(1+Z1716)*AJ1715,AJ1715)</f>
        <v/>
      </c>
    </row>
    <row r="1717">
      <c r="A1717" s="1" t="n">
        <v>44491</v>
      </c>
      <c r="B1717" s="3">
        <f>IF(ORIG!B1717=0,"",ORIG!B1717)</f>
        <v/>
      </c>
      <c r="C1717" s="3">
        <f>IF(ORIG!C1717=0,"",ORIG!C1717)</f>
        <v/>
      </c>
      <c r="D1717" s="3">
        <f>IF(ORIG!D1717=0,"",ORIG!D1717)</f>
        <v/>
      </c>
      <c r="E1717" s="3">
        <f>IF(ORIG!E1717=0,"",ORIG!E1717)</f>
        <v/>
      </c>
      <c r="F1717" s="3">
        <f>IF(ORIG!F1717=0,"",ORIG!F1717)</f>
        <v/>
      </c>
      <c r="G1717" s="3">
        <f>IF(ORIG!G1717=0,"",ORIG!G1717)</f>
        <v/>
      </c>
      <c r="H1717" s="3">
        <f>IF(ORIG!H1717=0,"",ORIG!H1717)</f>
        <v/>
      </c>
      <c r="I1717" s="3">
        <f>IF(ORIG!I1717=0,"",ORIG!I1717)</f>
        <v/>
      </c>
      <c r="J1717" s="3">
        <f>IF(ORIG!J1717=0,"",ORIG!J1717)</f>
        <v/>
      </c>
      <c r="K1717" s="3">
        <f>IF(ORIG!K1717=0,"",ORIG!K1717)</f>
        <v/>
      </c>
      <c r="L1717" s="3">
        <f>IF(ORIG!L1717=0,"",ORIG!L1717)</f>
        <v/>
      </c>
      <c r="M1717" s="3">
        <f>IF(ORIG!M1717=0,"",ORIG!M1717)</f>
        <v/>
      </c>
      <c r="N1717" s="3">
        <f>IF(ORIG!N1717=0,"",ORIG!N1717)</f>
        <v/>
      </c>
      <c r="O1717" s="3">
        <f>IF(ORIG!O1717=0,"",ORIG!O1717)</f>
        <v/>
      </c>
      <c r="P1717" s="3">
        <f>IF(ORIG!P1717=0,"",ORIG!P1717)</f>
        <v/>
      </c>
      <c r="Q1717" s="3">
        <f>IF(ORIG!Q1717=0,"",ORIG!Q1717)</f>
        <v/>
      </c>
      <c r="R1717" s="3">
        <f>IF(ORIG!R1717=0,"",ORIG!R1717)</f>
        <v/>
      </c>
      <c r="S1717" s="3">
        <f>IF(ORIG!S1717=0,"",ORIG!S1717)</f>
        <v/>
      </c>
      <c r="T1717" s="3">
        <f>IF(ORIG!T1717=0,"",ORIG!T1717)</f>
        <v/>
      </c>
      <c r="U1717" s="3">
        <f>IF(ORIG!U1717=0,"",ORIG!U1717)</f>
        <v/>
      </c>
      <c r="V1717" s="9">
        <f>IF(ORIG!V1717=0,"",ORIG!V1717)</f>
        <v/>
      </c>
      <c r="W1717" s="9">
        <f>IF(ORIG!W1717=0,"",ORIG!W1717)</f>
        <v/>
      </c>
      <c r="X1717" s="9">
        <f>IF(ORIG!X1717=0,"",ORIG!X1717)</f>
        <v/>
      </c>
      <c r="Y1717" s="9">
        <f>IF(ORIG!Y1717=0,"",ORIG!Y1717)</f>
        <v/>
      </c>
      <c r="Z1717" s="3">
        <f>SUMPRODUCT($B1717:$Y1717,$B$2649:$Y$2649)</f>
        <v/>
      </c>
      <c r="AA1717" s="3">
        <f>SUMPRODUCT($B1717:$Y1717,$B$2655:$Y$2655)</f>
        <v/>
      </c>
      <c r="AC1717" s="1">
        <f>A1717</f>
        <v/>
      </c>
      <c r="AD1717">
        <f>IF(ISNUMBER(V1717),V1717*($AB$1/V$2635),"")</f>
        <v/>
      </c>
      <c r="AE1717">
        <f>IF(ISNUMBER(Z1717),Z1717*($AB$1/Z$2635),"")</f>
        <v/>
      </c>
      <c r="AF1717" s="25">
        <f>IF(ISNUMBER(AD1717+AE1717),AD1717+AE1717,"")</f>
        <v/>
      </c>
      <c r="AH1717" s="1">
        <f>A1717</f>
        <v/>
      </c>
      <c r="AI1717">
        <f>IF(ISNUMBER((1+V1717)*AI1716),(1+V1717)*AI1716,AI1716)</f>
        <v/>
      </c>
      <c r="AJ1717">
        <f>IF(ISNUMBER((1+Z1717)*AJ1716),(1+Z1717)*AJ1716,AJ1716)</f>
        <v/>
      </c>
    </row>
    <row r="1718">
      <c r="A1718" s="1" t="n">
        <v>44494</v>
      </c>
      <c r="B1718" s="3">
        <f>IF(ORIG!B1718=0,"",ORIG!B1718)</f>
        <v/>
      </c>
      <c r="C1718" s="3">
        <f>IF(ORIG!C1718=0,"",ORIG!C1718)</f>
        <v/>
      </c>
      <c r="D1718" s="3">
        <f>IF(ORIG!D1718=0,"",ORIG!D1718)</f>
        <v/>
      </c>
      <c r="E1718" s="3">
        <f>IF(ORIG!E1718=0,"",ORIG!E1718)</f>
        <v/>
      </c>
      <c r="F1718" s="3">
        <f>IF(ORIG!F1718=0,"",ORIG!F1718)</f>
        <v/>
      </c>
      <c r="G1718" s="3">
        <f>IF(ORIG!G1718=0,"",ORIG!G1718)</f>
        <v/>
      </c>
      <c r="H1718" s="3">
        <f>IF(ORIG!H1718=0,"",ORIG!H1718)</f>
        <v/>
      </c>
      <c r="I1718" s="3">
        <f>IF(ORIG!I1718=0,"",ORIG!I1718)</f>
        <v/>
      </c>
      <c r="J1718" s="3">
        <f>IF(ORIG!J1718=0,"",ORIG!J1718)</f>
        <v/>
      </c>
      <c r="K1718" s="3">
        <f>IF(ORIG!K1718=0,"",ORIG!K1718)</f>
        <v/>
      </c>
      <c r="L1718" s="3">
        <f>IF(ORIG!L1718=0,"",ORIG!L1718)</f>
        <v/>
      </c>
      <c r="M1718" s="3">
        <f>IF(ORIG!M1718=0,"",ORIG!M1718)</f>
        <v/>
      </c>
      <c r="N1718" s="3">
        <f>IF(ORIG!N1718=0,"",ORIG!N1718)</f>
        <v/>
      </c>
      <c r="O1718" s="3">
        <f>IF(ORIG!O1718=0,"",ORIG!O1718)</f>
        <v/>
      </c>
      <c r="P1718" s="3">
        <f>IF(ORIG!P1718=0,"",ORIG!P1718)</f>
        <v/>
      </c>
      <c r="Q1718" s="3">
        <f>IF(ORIG!Q1718=0,"",ORIG!Q1718)</f>
        <v/>
      </c>
      <c r="R1718" s="3">
        <f>IF(ORIG!R1718=0,"",ORIG!R1718)</f>
        <v/>
      </c>
      <c r="S1718" s="3">
        <f>IF(ORIG!S1718=0,"",ORIG!S1718)</f>
        <v/>
      </c>
      <c r="T1718" s="3">
        <f>IF(ORIG!T1718=0,"",ORIG!T1718)</f>
        <v/>
      </c>
      <c r="U1718" s="3">
        <f>IF(ORIG!U1718=0,"",ORIG!U1718)</f>
        <v/>
      </c>
      <c r="V1718" s="9">
        <f>IF(ORIG!V1718=0,"",ORIG!V1718)</f>
        <v/>
      </c>
      <c r="W1718" s="9">
        <f>IF(ORIG!W1718=0,"",ORIG!W1718)</f>
        <v/>
      </c>
      <c r="X1718" s="9">
        <f>IF(ORIG!X1718=0,"",ORIG!X1718)</f>
        <v/>
      </c>
      <c r="Y1718" s="9">
        <f>IF(ORIG!Y1718=0,"",ORIG!Y1718)</f>
        <v/>
      </c>
      <c r="Z1718" s="3">
        <f>SUMPRODUCT($B1718:$Y1718,$B$2649:$Y$2649)</f>
        <v/>
      </c>
      <c r="AA1718" s="3">
        <f>SUMPRODUCT($B1718:$Y1718,$B$2655:$Y$2655)</f>
        <v/>
      </c>
      <c r="AC1718" s="1">
        <f>A1718</f>
        <v/>
      </c>
      <c r="AD1718">
        <f>IF(ISNUMBER(V1718),V1718*($AB$1/V$2635),"")</f>
        <v/>
      </c>
      <c r="AE1718">
        <f>IF(ISNUMBER(Z1718),Z1718*($AB$1/Z$2635),"")</f>
        <v/>
      </c>
      <c r="AF1718" s="25">
        <f>IF(ISNUMBER(AD1718+AE1718),AD1718+AE1718,"")</f>
        <v/>
      </c>
      <c r="AH1718" s="1">
        <f>A1718</f>
        <v/>
      </c>
      <c r="AI1718">
        <f>IF(ISNUMBER((1+V1718)*AI1717),(1+V1718)*AI1717,AI1717)</f>
        <v/>
      </c>
      <c r="AJ1718">
        <f>IF(ISNUMBER((1+Z1718)*AJ1717),(1+Z1718)*AJ1717,AJ1717)</f>
        <v/>
      </c>
    </row>
    <row r="1719">
      <c r="A1719" s="1" t="n">
        <v>44495</v>
      </c>
      <c r="B1719" s="3">
        <f>IF(ORIG!B1719=0,"",ORIG!B1719)</f>
        <v/>
      </c>
      <c r="C1719" s="3">
        <f>IF(ORIG!C1719=0,"",ORIG!C1719)</f>
        <v/>
      </c>
      <c r="D1719" s="3">
        <f>IF(ORIG!D1719=0,"",ORIG!D1719)</f>
        <v/>
      </c>
      <c r="E1719" s="3">
        <f>IF(ORIG!E1719=0,"",ORIG!E1719)</f>
        <v/>
      </c>
      <c r="F1719" s="3">
        <f>IF(ORIG!F1719=0,"",ORIG!F1719)</f>
        <v/>
      </c>
      <c r="G1719" s="3">
        <f>IF(ORIG!G1719=0,"",ORIG!G1719)</f>
        <v/>
      </c>
      <c r="H1719" s="3">
        <f>IF(ORIG!H1719=0,"",ORIG!H1719)</f>
        <v/>
      </c>
      <c r="I1719" s="3">
        <f>IF(ORIG!I1719=0,"",ORIG!I1719)</f>
        <v/>
      </c>
      <c r="J1719" s="3">
        <f>IF(ORIG!J1719=0,"",ORIG!J1719)</f>
        <v/>
      </c>
      <c r="K1719" s="3">
        <f>IF(ORIG!K1719=0,"",ORIG!K1719)</f>
        <v/>
      </c>
      <c r="L1719" s="3">
        <f>IF(ORIG!L1719=0,"",ORIG!L1719)</f>
        <v/>
      </c>
      <c r="M1719" s="3">
        <f>IF(ORIG!M1719=0,"",ORIG!M1719)</f>
        <v/>
      </c>
      <c r="N1719" s="3">
        <f>IF(ORIG!N1719=0,"",ORIG!N1719)</f>
        <v/>
      </c>
      <c r="O1719" s="3">
        <f>IF(ORIG!O1719=0,"",ORIG!O1719)</f>
        <v/>
      </c>
      <c r="P1719" s="3">
        <f>IF(ORIG!P1719=0,"",ORIG!P1719)</f>
        <v/>
      </c>
      <c r="Q1719" s="3">
        <f>IF(ORIG!Q1719=0,"",ORIG!Q1719)</f>
        <v/>
      </c>
      <c r="R1719" s="3">
        <f>IF(ORIG!R1719=0,"",ORIG!R1719)</f>
        <v/>
      </c>
      <c r="S1719" s="3">
        <f>IF(ORIG!S1719=0,"",ORIG!S1719)</f>
        <v/>
      </c>
      <c r="T1719" s="3">
        <f>IF(ORIG!T1719=0,"",ORIG!T1719)</f>
        <v/>
      </c>
      <c r="U1719" s="3">
        <f>IF(ORIG!U1719=0,"",ORIG!U1719)</f>
        <v/>
      </c>
      <c r="V1719" s="9">
        <f>IF(ORIG!V1719=0,"",ORIG!V1719)</f>
        <v/>
      </c>
      <c r="W1719" s="9">
        <f>IF(ORIG!W1719=0,"",ORIG!W1719)</f>
        <v/>
      </c>
      <c r="X1719" s="9">
        <f>IF(ORIG!X1719=0,"",ORIG!X1719)</f>
        <v/>
      </c>
      <c r="Y1719" s="9">
        <f>IF(ORIG!Y1719=0,"",ORIG!Y1719)</f>
        <v/>
      </c>
      <c r="Z1719" s="3">
        <f>SUMPRODUCT($B1719:$Y1719,$B$2649:$Y$2649)</f>
        <v/>
      </c>
      <c r="AA1719" s="3">
        <f>SUMPRODUCT($B1719:$Y1719,$B$2655:$Y$2655)</f>
        <v/>
      </c>
      <c r="AC1719" s="1">
        <f>A1719</f>
        <v/>
      </c>
      <c r="AD1719">
        <f>IF(ISNUMBER(V1719),V1719*($AB$1/V$2635),"")</f>
        <v/>
      </c>
      <c r="AE1719">
        <f>IF(ISNUMBER(Z1719),Z1719*($AB$1/Z$2635),"")</f>
        <v/>
      </c>
      <c r="AF1719" s="25">
        <f>IF(ISNUMBER(AD1719+AE1719),AD1719+AE1719,"")</f>
        <v/>
      </c>
      <c r="AH1719" s="1">
        <f>A1719</f>
        <v/>
      </c>
      <c r="AI1719">
        <f>IF(ISNUMBER((1+V1719)*AI1718),(1+V1719)*AI1718,AI1718)</f>
        <v/>
      </c>
      <c r="AJ1719">
        <f>IF(ISNUMBER((1+Z1719)*AJ1718),(1+Z1719)*AJ1718,AJ1718)</f>
        <v/>
      </c>
    </row>
    <row r="1720">
      <c r="A1720" s="1" t="n">
        <v>44496</v>
      </c>
      <c r="B1720" s="3">
        <f>IF(ORIG!B1720=0,"",ORIG!B1720)</f>
        <v/>
      </c>
      <c r="C1720" s="3">
        <f>IF(ORIG!C1720=0,"",ORIG!C1720)</f>
        <v/>
      </c>
      <c r="D1720" s="3">
        <f>IF(ORIG!D1720=0,"",ORIG!D1720)</f>
        <v/>
      </c>
      <c r="E1720" s="3">
        <f>IF(ORIG!E1720=0,"",ORIG!E1720)</f>
        <v/>
      </c>
      <c r="F1720" s="3">
        <f>IF(ORIG!F1720=0,"",ORIG!F1720)</f>
        <v/>
      </c>
      <c r="G1720" s="3">
        <f>IF(ORIG!G1720=0,"",ORIG!G1720)</f>
        <v/>
      </c>
      <c r="H1720" s="3">
        <f>IF(ORIG!H1720=0,"",ORIG!H1720)</f>
        <v/>
      </c>
      <c r="I1720" s="3">
        <f>IF(ORIG!I1720=0,"",ORIG!I1720)</f>
        <v/>
      </c>
      <c r="J1720" s="3">
        <f>IF(ORIG!J1720=0,"",ORIG!J1720)</f>
        <v/>
      </c>
      <c r="K1720" s="3">
        <f>IF(ORIG!K1720=0,"",ORIG!K1720)</f>
        <v/>
      </c>
      <c r="L1720" s="3">
        <f>IF(ORIG!L1720=0,"",ORIG!L1720)</f>
        <v/>
      </c>
      <c r="M1720" s="3">
        <f>IF(ORIG!M1720=0,"",ORIG!M1720)</f>
        <v/>
      </c>
      <c r="N1720" s="3">
        <f>IF(ORIG!N1720=0,"",ORIG!N1720)</f>
        <v/>
      </c>
      <c r="O1720" s="3">
        <f>IF(ORIG!O1720=0,"",ORIG!O1720)</f>
        <v/>
      </c>
      <c r="P1720" s="3">
        <f>IF(ORIG!P1720=0,"",ORIG!P1720)</f>
        <v/>
      </c>
      <c r="Q1720" s="3">
        <f>IF(ORIG!Q1720=0,"",ORIG!Q1720)</f>
        <v/>
      </c>
      <c r="R1720" s="3">
        <f>IF(ORIG!R1720=0,"",ORIG!R1720)</f>
        <v/>
      </c>
      <c r="S1720" s="3">
        <f>IF(ORIG!S1720=0,"",ORIG!S1720)</f>
        <v/>
      </c>
      <c r="T1720" s="3">
        <f>IF(ORIG!T1720=0,"",ORIG!T1720)</f>
        <v/>
      </c>
      <c r="U1720" s="3">
        <f>IF(ORIG!U1720=0,"",ORIG!U1720)</f>
        <v/>
      </c>
      <c r="V1720" s="9">
        <f>IF(ORIG!V1720=0,"",ORIG!V1720)</f>
        <v/>
      </c>
      <c r="W1720" s="9">
        <f>IF(ORIG!W1720=0,"",ORIG!W1720)</f>
        <v/>
      </c>
      <c r="X1720" s="9">
        <f>IF(ORIG!X1720=0,"",ORIG!X1720)</f>
        <v/>
      </c>
      <c r="Y1720" s="9">
        <f>IF(ORIG!Y1720=0,"",ORIG!Y1720)</f>
        <v/>
      </c>
      <c r="Z1720" s="3">
        <f>SUMPRODUCT($B1720:$Y1720,$B$2649:$Y$2649)</f>
        <v/>
      </c>
      <c r="AA1720" s="3">
        <f>SUMPRODUCT($B1720:$Y1720,$B$2655:$Y$2655)</f>
        <v/>
      </c>
      <c r="AC1720" s="1">
        <f>A1720</f>
        <v/>
      </c>
      <c r="AD1720">
        <f>IF(ISNUMBER(V1720),V1720*($AB$1/V$2635),"")</f>
        <v/>
      </c>
      <c r="AE1720">
        <f>IF(ISNUMBER(Z1720),Z1720*($AB$1/Z$2635),"")</f>
        <v/>
      </c>
      <c r="AF1720" s="25">
        <f>IF(ISNUMBER(AD1720+AE1720),AD1720+AE1720,"")</f>
        <v/>
      </c>
      <c r="AH1720" s="1">
        <f>A1720</f>
        <v/>
      </c>
      <c r="AI1720">
        <f>IF(ISNUMBER((1+V1720)*AI1719),(1+V1720)*AI1719,AI1719)</f>
        <v/>
      </c>
      <c r="AJ1720">
        <f>IF(ISNUMBER((1+Z1720)*AJ1719),(1+Z1720)*AJ1719,AJ1719)</f>
        <v/>
      </c>
    </row>
    <row r="1721">
      <c r="A1721" s="1" t="n">
        <v>44497</v>
      </c>
      <c r="B1721" s="3">
        <f>IF(ORIG!B1721=0,"",ORIG!B1721)</f>
        <v/>
      </c>
      <c r="C1721" s="3">
        <f>IF(ORIG!C1721=0,"",ORIG!C1721)</f>
        <v/>
      </c>
      <c r="D1721" s="3">
        <f>IF(ORIG!D1721=0,"",ORIG!D1721)</f>
        <v/>
      </c>
      <c r="E1721" s="3">
        <f>IF(ORIG!E1721=0,"",ORIG!E1721)</f>
        <v/>
      </c>
      <c r="F1721" s="3">
        <f>IF(ORIG!F1721=0,"",ORIG!F1721)</f>
        <v/>
      </c>
      <c r="G1721" s="3">
        <f>IF(ORIG!G1721=0,"",ORIG!G1721)</f>
        <v/>
      </c>
      <c r="H1721" s="3">
        <f>IF(ORIG!H1721=0,"",ORIG!H1721)</f>
        <v/>
      </c>
      <c r="I1721" s="3">
        <f>IF(ORIG!I1721=0,"",ORIG!I1721)</f>
        <v/>
      </c>
      <c r="J1721" s="3">
        <f>IF(ORIG!J1721=0,"",ORIG!J1721)</f>
        <v/>
      </c>
      <c r="K1721" s="3">
        <f>IF(ORIG!K1721=0,"",ORIG!K1721)</f>
        <v/>
      </c>
      <c r="L1721" s="3">
        <f>IF(ORIG!L1721=0,"",ORIG!L1721)</f>
        <v/>
      </c>
      <c r="M1721" s="3">
        <f>IF(ORIG!M1721=0,"",ORIG!M1721)</f>
        <v/>
      </c>
      <c r="N1721" s="3">
        <f>IF(ORIG!N1721=0,"",ORIG!N1721)</f>
        <v/>
      </c>
      <c r="O1721" s="3">
        <f>IF(ORIG!O1721=0,"",ORIG!O1721)</f>
        <v/>
      </c>
      <c r="P1721" s="3">
        <f>IF(ORIG!P1721=0,"",ORIG!P1721)</f>
        <v/>
      </c>
      <c r="Q1721" s="3">
        <f>IF(ORIG!Q1721=0,"",ORIG!Q1721)</f>
        <v/>
      </c>
      <c r="R1721" s="3">
        <f>IF(ORIG!R1721=0,"",ORIG!R1721)</f>
        <v/>
      </c>
      <c r="S1721" s="3">
        <f>IF(ORIG!S1721=0,"",ORIG!S1721)</f>
        <v/>
      </c>
      <c r="T1721" s="3">
        <f>IF(ORIG!T1721=0,"",ORIG!T1721)</f>
        <v/>
      </c>
      <c r="U1721" s="3">
        <f>IF(ORIG!U1721=0,"",ORIG!U1721)</f>
        <v/>
      </c>
      <c r="V1721" s="9">
        <f>IF(ORIG!V1721=0,"",ORIG!V1721)</f>
        <v/>
      </c>
      <c r="W1721" s="9">
        <f>IF(ORIG!W1721=0,"",ORIG!W1721)</f>
        <v/>
      </c>
      <c r="X1721" s="9">
        <f>IF(ORIG!X1721=0,"",ORIG!X1721)</f>
        <v/>
      </c>
      <c r="Y1721" s="9">
        <f>IF(ORIG!Y1721=0,"",ORIG!Y1721)</f>
        <v/>
      </c>
      <c r="Z1721" s="3">
        <f>SUMPRODUCT($B1721:$Y1721,$B$2649:$Y$2649)</f>
        <v/>
      </c>
      <c r="AA1721" s="3">
        <f>SUMPRODUCT($B1721:$Y1721,$B$2655:$Y$2655)</f>
        <v/>
      </c>
      <c r="AC1721" s="1">
        <f>A1721</f>
        <v/>
      </c>
      <c r="AD1721">
        <f>IF(ISNUMBER(V1721),V1721*($AB$1/V$2635),"")</f>
        <v/>
      </c>
      <c r="AE1721">
        <f>IF(ISNUMBER(Z1721),Z1721*($AB$1/Z$2635),"")</f>
        <v/>
      </c>
      <c r="AF1721" s="25">
        <f>IF(ISNUMBER(AD1721+AE1721),AD1721+AE1721,"")</f>
        <v/>
      </c>
      <c r="AH1721" s="1">
        <f>A1721</f>
        <v/>
      </c>
      <c r="AI1721">
        <f>IF(ISNUMBER((1+V1721)*AI1720),(1+V1721)*AI1720,AI1720)</f>
        <v/>
      </c>
      <c r="AJ1721">
        <f>IF(ISNUMBER((1+Z1721)*AJ1720),(1+Z1721)*AJ1720,AJ1720)</f>
        <v/>
      </c>
    </row>
    <row r="1722">
      <c r="A1722" s="1" t="n">
        <v>44498</v>
      </c>
      <c r="B1722" s="3">
        <f>IF(ORIG!B1722=0,"",ORIG!B1722)</f>
        <v/>
      </c>
      <c r="C1722" s="3">
        <f>IF(ORIG!C1722=0,"",ORIG!C1722)</f>
        <v/>
      </c>
      <c r="D1722" s="3">
        <f>IF(ORIG!D1722=0,"",ORIG!D1722)</f>
        <v/>
      </c>
      <c r="E1722" s="3">
        <f>IF(ORIG!E1722=0,"",ORIG!E1722)</f>
        <v/>
      </c>
      <c r="F1722" s="3">
        <f>IF(ORIG!F1722=0,"",ORIG!F1722)</f>
        <v/>
      </c>
      <c r="G1722" s="3">
        <f>IF(ORIG!G1722=0,"",ORIG!G1722)</f>
        <v/>
      </c>
      <c r="H1722" s="3">
        <f>IF(ORIG!H1722=0,"",ORIG!H1722)</f>
        <v/>
      </c>
      <c r="I1722" s="3">
        <f>IF(ORIG!I1722=0,"",ORIG!I1722)</f>
        <v/>
      </c>
      <c r="J1722" s="3">
        <f>IF(ORIG!J1722=0,"",ORIG!J1722)</f>
        <v/>
      </c>
      <c r="K1722" s="3">
        <f>IF(ORIG!K1722=0,"",ORIG!K1722)</f>
        <v/>
      </c>
      <c r="L1722" s="3">
        <f>IF(ORIG!L1722=0,"",ORIG!L1722)</f>
        <v/>
      </c>
      <c r="M1722" s="3">
        <f>IF(ORIG!M1722=0,"",ORIG!M1722)</f>
        <v/>
      </c>
      <c r="N1722" s="3">
        <f>IF(ORIG!N1722=0,"",ORIG!N1722)</f>
        <v/>
      </c>
      <c r="O1722" s="3">
        <f>IF(ORIG!O1722=0,"",ORIG!O1722)</f>
        <v/>
      </c>
      <c r="P1722" s="3">
        <f>IF(ORIG!P1722=0,"",ORIG!P1722)</f>
        <v/>
      </c>
      <c r="Q1722" s="3">
        <f>IF(ORIG!Q1722=0,"",ORIG!Q1722)</f>
        <v/>
      </c>
      <c r="R1722" s="3">
        <f>IF(ORIG!R1722=0,"",ORIG!R1722)</f>
        <v/>
      </c>
      <c r="S1722" s="3">
        <f>IF(ORIG!S1722=0,"",ORIG!S1722)</f>
        <v/>
      </c>
      <c r="T1722" s="3">
        <f>IF(ORIG!T1722=0,"",ORIG!T1722)</f>
        <v/>
      </c>
      <c r="U1722" s="3">
        <f>IF(ORIG!U1722=0,"",ORIG!U1722)</f>
        <v/>
      </c>
      <c r="V1722" s="9">
        <f>IF(ORIG!V1722=0,"",ORIG!V1722)</f>
        <v/>
      </c>
      <c r="W1722" s="9">
        <f>IF(ORIG!W1722=0,"",ORIG!W1722)</f>
        <v/>
      </c>
      <c r="X1722" s="9">
        <f>IF(ORIG!X1722=0,"",ORIG!X1722)</f>
        <v/>
      </c>
      <c r="Y1722" s="9">
        <f>IF(ORIG!Y1722=0,"",ORIG!Y1722)</f>
        <v/>
      </c>
      <c r="Z1722" s="3">
        <f>SUMPRODUCT($B1722:$Y1722,$B$2649:$Y$2649)</f>
        <v/>
      </c>
      <c r="AA1722" s="3">
        <f>SUMPRODUCT($B1722:$Y1722,$B$2655:$Y$2655)</f>
        <v/>
      </c>
      <c r="AC1722" s="1">
        <f>A1722</f>
        <v/>
      </c>
      <c r="AD1722">
        <f>IF(ISNUMBER(V1722),V1722*($AB$1/V$2635),"")</f>
        <v/>
      </c>
      <c r="AE1722">
        <f>IF(ISNUMBER(Z1722),Z1722*($AB$1/Z$2635),"")</f>
        <v/>
      </c>
      <c r="AF1722" s="25">
        <f>IF(ISNUMBER(AD1722+AE1722),AD1722+AE1722,"")</f>
        <v/>
      </c>
      <c r="AH1722" s="1">
        <f>A1722</f>
        <v/>
      </c>
      <c r="AI1722">
        <f>IF(ISNUMBER((1+V1722)*AI1721),(1+V1722)*AI1721,AI1721)</f>
        <v/>
      </c>
      <c r="AJ1722">
        <f>IF(ISNUMBER((1+Z1722)*AJ1721),(1+Z1722)*AJ1721,AJ1721)</f>
        <v/>
      </c>
    </row>
    <row r="1723">
      <c r="A1723" s="1" t="n">
        <v>44501</v>
      </c>
      <c r="B1723" s="3">
        <f>IF(ORIG!B1723=0,"",ORIG!B1723)</f>
        <v/>
      </c>
      <c r="C1723" s="3">
        <f>IF(ORIG!C1723=0,"",ORIG!C1723)</f>
        <v/>
      </c>
      <c r="D1723" s="3">
        <f>IF(ORIG!D1723=0,"",ORIG!D1723)</f>
        <v/>
      </c>
      <c r="E1723" s="3">
        <f>IF(ORIG!E1723=0,"",ORIG!E1723)</f>
        <v/>
      </c>
      <c r="F1723" s="3">
        <f>IF(ORIG!F1723=0,"",ORIG!F1723)</f>
        <v/>
      </c>
      <c r="G1723" s="3">
        <f>IF(ORIG!G1723=0,"",ORIG!G1723)</f>
        <v/>
      </c>
      <c r="H1723" s="3">
        <f>IF(ORIG!H1723=0,"",ORIG!H1723)</f>
        <v/>
      </c>
      <c r="I1723" s="3">
        <f>IF(ORIG!I1723=0,"",ORIG!I1723)</f>
        <v/>
      </c>
      <c r="J1723" s="3">
        <f>IF(ORIG!J1723=0,"",ORIG!J1723)</f>
        <v/>
      </c>
      <c r="K1723" s="3">
        <f>IF(ORIG!K1723=0,"",ORIG!K1723)</f>
        <v/>
      </c>
      <c r="L1723" s="3">
        <f>IF(ORIG!L1723=0,"",ORIG!L1723)</f>
        <v/>
      </c>
      <c r="M1723" s="3">
        <f>IF(ORIG!M1723=0,"",ORIG!M1723)</f>
        <v/>
      </c>
      <c r="N1723" s="3">
        <f>IF(ORIG!N1723=0,"",ORIG!N1723)</f>
        <v/>
      </c>
      <c r="O1723" s="3">
        <f>IF(ORIG!O1723=0,"",ORIG!O1723)</f>
        <v/>
      </c>
      <c r="P1723" s="3">
        <f>IF(ORIG!P1723=0,"",ORIG!P1723)</f>
        <v/>
      </c>
      <c r="Q1723" s="3">
        <f>IF(ORIG!Q1723=0,"",ORIG!Q1723)</f>
        <v/>
      </c>
      <c r="R1723" s="3">
        <f>IF(ORIG!R1723=0,"",ORIG!R1723)</f>
        <v/>
      </c>
      <c r="S1723" s="3">
        <f>IF(ORIG!S1723=0,"",ORIG!S1723)</f>
        <v/>
      </c>
      <c r="T1723" s="3">
        <f>IF(ORIG!T1723=0,"",ORIG!T1723)</f>
        <v/>
      </c>
      <c r="U1723" s="3">
        <f>IF(ORIG!U1723=0,"",ORIG!U1723)</f>
        <v/>
      </c>
      <c r="V1723" s="9">
        <f>IF(ORIG!V1723=0,"",ORIG!V1723)</f>
        <v/>
      </c>
      <c r="W1723" s="9">
        <f>IF(ORIG!W1723=0,"",ORIG!W1723)</f>
        <v/>
      </c>
      <c r="X1723" s="9">
        <f>IF(ORIG!X1723=0,"",ORIG!X1723)</f>
        <v/>
      </c>
      <c r="Y1723" s="9">
        <f>IF(ORIG!Y1723=0,"",ORIG!Y1723)</f>
        <v/>
      </c>
      <c r="Z1723" s="3">
        <f>SUMPRODUCT($B1723:$Y1723,$B$2649:$Y$2649)</f>
        <v/>
      </c>
      <c r="AA1723" s="3">
        <f>SUMPRODUCT($B1723:$Y1723,$B$2655:$Y$2655)</f>
        <v/>
      </c>
      <c r="AC1723" s="1">
        <f>A1723</f>
        <v/>
      </c>
      <c r="AD1723">
        <f>IF(ISNUMBER(V1723),V1723*($AB$1/V$2635),"")</f>
        <v/>
      </c>
      <c r="AE1723">
        <f>IF(ISNUMBER(Z1723),Z1723*($AB$1/Z$2635),"")</f>
        <v/>
      </c>
      <c r="AF1723" s="25">
        <f>IF(ISNUMBER(AD1723+AE1723),AD1723+AE1723,"")</f>
        <v/>
      </c>
      <c r="AH1723" s="1">
        <f>A1723</f>
        <v/>
      </c>
      <c r="AI1723">
        <f>IF(ISNUMBER((1+V1723)*AI1722),(1+V1723)*AI1722,AI1722)</f>
        <v/>
      </c>
      <c r="AJ1723">
        <f>IF(ISNUMBER((1+Z1723)*AJ1722),(1+Z1723)*AJ1722,AJ1722)</f>
        <v/>
      </c>
    </row>
    <row r="1724">
      <c r="A1724" s="1" t="n">
        <v>44502</v>
      </c>
      <c r="B1724" s="3">
        <f>IF(ORIG!B1724=0,"",ORIG!B1724)</f>
        <v/>
      </c>
      <c r="C1724" s="3">
        <f>IF(ORIG!C1724=0,"",ORIG!C1724)</f>
        <v/>
      </c>
      <c r="D1724" s="3">
        <f>IF(ORIG!D1724=0,"",ORIG!D1724)</f>
        <v/>
      </c>
      <c r="E1724" s="3">
        <f>IF(ORIG!E1724=0,"",ORIG!E1724)</f>
        <v/>
      </c>
      <c r="F1724" s="3">
        <f>IF(ORIG!F1724=0,"",ORIG!F1724)</f>
        <v/>
      </c>
      <c r="G1724" s="3">
        <f>IF(ORIG!G1724=0,"",ORIG!G1724)</f>
        <v/>
      </c>
      <c r="H1724" s="3">
        <f>IF(ORIG!H1724=0,"",ORIG!H1724)</f>
        <v/>
      </c>
      <c r="I1724" s="3">
        <f>IF(ORIG!I1724=0,"",ORIG!I1724)</f>
        <v/>
      </c>
      <c r="J1724" s="3">
        <f>IF(ORIG!J1724=0,"",ORIG!J1724)</f>
        <v/>
      </c>
      <c r="K1724" s="3">
        <f>IF(ORIG!K1724=0,"",ORIG!K1724)</f>
        <v/>
      </c>
      <c r="L1724" s="3">
        <f>IF(ORIG!L1724=0,"",ORIG!L1724)</f>
        <v/>
      </c>
      <c r="M1724" s="3">
        <f>IF(ORIG!M1724=0,"",ORIG!M1724)</f>
        <v/>
      </c>
      <c r="N1724" s="3">
        <f>IF(ORIG!N1724=0,"",ORIG!N1724)</f>
        <v/>
      </c>
      <c r="O1724" s="3">
        <f>IF(ORIG!O1724=0,"",ORIG!O1724)</f>
        <v/>
      </c>
      <c r="P1724" s="3">
        <f>IF(ORIG!P1724=0,"",ORIG!P1724)</f>
        <v/>
      </c>
      <c r="Q1724" s="3">
        <f>IF(ORIG!Q1724=0,"",ORIG!Q1724)</f>
        <v/>
      </c>
      <c r="R1724" s="3">
        <f>IF(ORIG!R1724=0,"",ORIG!R1724)</f>
        <v/>
      </c>
      <c r="S1724" s="3">
        <f>IF(ORIG!S1724=0,"",ORIG!S1724)</f>
        <v/>
      </c>
      <c r="T1724" s="3">
        <f>IF(ORIG!T1724=0,"",ORIG!T1724)</f>
        <v/>
      </c>
      <c r="U1724" s="3">
        <f>IF(ORIG!U1724=0,"",ORIG!U1724)</f>
        <v/>
      </c>
      <c r="V1724" s="9">
        <f>IF(ORIG!V1724=0,"",ORIG!V1724)</f>
        <v/>
      </c>
      <c r="W1724" s="9">
        <f>IF(ORIG!W1724=0,"",ORIG!W1724)</f>
        <v/>
      </c>
      <c r="X1724" s="9">
        <f>IF(ORIG!X1724=0,"",ORIG!X1724)</f>
        <v/>
      </c>
      <c r="Y1724" s="9">
        <f>IF(ORIG!Y1724=0,"",ORIG!Y1724)</f>
        <v/>
      </c>
      <c r="Z1724" s="3">
        <f>SUMPRODUCT($B1724:$Y1724,$B$2649:$Y$2649)</f>
        <v/>
      </c>
      <c r="AA1724" s="3">
        <f>SUMPRODUCT($B1724:$Y1724,$B$2655:$Y$2655)</f>
        <v/>
      </c>
      <c r="AC1724" s="1">
        <f>A1724</f>
        <v/>
      </c>
      <c r="AD1724">
        <f>IF(ISNUMBER(V1724),V1724*($AB$1/V$2635),"")</f>
        <v/>
      </c>
      <c r="AE1724">
        <f>IF(ISNUMBER(Z1724),Z1724*($AB$1/Z$2635),"")</f>
        <v/>
      </c>
      <c r="AF1724" s="25">
        <f>IF(ISNUMBER(AD1724+AE1724),AD1724+AE1724,"")</f>
        <v/>
      </c>
      <c r="AH1724" s="1">
        <f>A1724</f>
        <v/>
      </c>
      <c r="AI1724">
        <f>IF(ISNUMBER((1+V1724)*AI1723),(1+V1724)*AI1723,AI1723)</f>
        <v/>
      </c>
      <c r="AJ1724">
        <f>IF(ISNUMBER((1+Z1724)*AJ1723),(1+Z1724)*AJ1723,AJ1723)</f>
        <v/>
      </c>
    </row>
    <row r="1725">
      <c r="A1725" s="1" t="n">
        <v>44503</v>
      </c>
      <c r="B1725" s="3">
        <f>IF(ORIG!B1725=0,"",ORIG!B1725)</f>
        <v/>
      </c>
      <c r="C1725" s="3">
        <f>IF(ORIG!C1725=0,"",ORIG!C1725)</f>
        <v/>
      </c>
      <c r="D1725" s="3">
        <f>IF(ORIG!D1725=0,"",ORIG!D1725)</f>
        <v/>
      </c>
      <c r="E1725" s="3">
        <f>IF(ORIG!E1725=0,"",ORIG!E1725)</f>
        <v/>
      </c>
      <c r="F1725" s="3">
        <f>IF(ORIG!F1725=0,"",ORIG!F1725)</f>
        <v/>
      </c>
      <c r="G1725" s="3">
        <f>IF(ORIG!G1725=0,"",ORIG!G1725)</f>
        <v/>
      </c>
      <c r="H1725" s="3">
        <f>IF(ORIG!H1725=0,"",ORIG!H1725)</f>
        <v/>
      </c>
      <c r="I1725" s="3">
        <f>IF(ORIG!I1725=0,"",ORIG!I1725)</f>
        <v/>
      </c>
      <c r="J1725" s="3">
        <f>IF(ORIG!J1725=0,"",ORIG!J1725)</f>
        <v/>
      </c>
      <c r="K1725" s="3">
        <f>IF(ORIG!K1725=0,"",ORIG!K1725)</f>
        <v/>
      </c>
      <c r="L1725" s="3">
        <f>IF(ORIG!L1725=0,"",ORIG!L1725)</f>
        <v/>
      </c>
      <c r="M1725" s="3">
        <f>IF(ORIG!M1725=0,"",ORIG!M1725)</f>
        <v/>
      </c>
      <c r="N1725" s="3">
        <f>IF(ORIG!N1725=0,"",ORIG!N1725)</f>
        <v/>
      </c>
      <c r="O1725" s="3">
        <f>IF(ORIG!O1725=0,"",ORIG!O1725)</f>
        <v/>
      </c>
      <c r="P1725" s="3">
        <f>IF(ORIG!P1725=0,"",ORIG!P1725)</f>
        <v/>
      </c>
      <c r="Q1725" s="3">
        <f>IF(ORIG!Q1725=0,"",ORIG!Q1725)</f>
        <v/>
      </c>
      <c r="R1725" s="3">
        <f>IF(ORIG!R1725=0,"",ORIG!R1725)</f>
        <v/>
      </c>
      <c r="S1725" s="3">
        <f>IF(ORIG!S1725=0,"",ORIG!S1725)</f>
        <v/>
      </c>
      <c r="T1725" s="3">
        <f>IF(ORIG!T1725=0,"",ORIG!T1725)</f>
        <v/>
      </c>
      <c r="U1725" s="3">
        <f>IF(ORIG!U1725=0,"",ORIG!U1725)</f>
        <v/>
      </c>
      <c r="V1725" s="9">
        <f>IF(ORIG!V1725=0,"",ORIG!V1725)</f>
        <v/>
      </c>
      <c r="W1725" s="9">
        <f>IF(ORIG!W1725=0,"",ORIG!W1725)</f>
        <v/>
      </c>
      <c r="X1725" s="9">
        <f>IF(ORIG!X1725=0,"",ORIG!X1725)</f>
        <v/>
      </c>
      <c r="Y1725" s="9">
        <f>IF(ORIG!Y1725=0,"",ORIG!Y1725)</f>
        <v/>
      </c>
      <c r="Z1725" s="3">
        <f>SUMPRODUCT($B1725:$Y1725,$B$2649:$Y$2649)</f>
        <v/>
      </c>
      <c r="AA1725" s="3">
        <f>SUMPRODUCT($B1725:$Y1725,$B$2655:$Y$2655)</f>
        <v/>
      </c>
      <c r="AC1725" s="1">
        <f>A1725</f>
        <v/>
      </c>
      <c r="AD1725">
        <f>IF(ISNUMBER(V1725),V1725*($AB$1/V$2635),"")</f>
        <v/>
      </c>
      <c r="AE1725">
        <f>IF(ISNUMBER(Z1725),Z1725*($AB$1/Z$2635),"")</f>
        <v/>
      </c>
      <c r="AF1725" s="25">
        <f>IF(ISNUMBER(AD1725+AE1725),AD1725+AE1725,"")</f>
        <v/>
      </c>
      <c r="AH1725" s="1">
        <f>A1725</f>
        <v/>
      </c>
      <c r="AI1725">
        <f>IF(ISNUMBER((1+V1725)*AI1724),(1+V1725)*AI1724,AI1724)</f>
        <v/>
      </c>
      <c r="AJ1725">
        <f>IF(ISNUMBER((1+Z1725)*AJ1724),(1+Z1725)*AJ1724,AJ1724)</f>
        <v/>
      </c>
    </row>
    <row r="1726">
      <c r="A1726" s="1" t="n">
        <v>44504</v>
      </c>
      <c r="B1726" s="3">
        <f>IF(ORIG!B1726=0,"",ORIG!B1726)</f>
        <v/>
      </c>
      <c r="C1726" s="3">
        <f>IF(ORIG!C1726=0,"",ORIG!C1726)</f>
        <v/>
      </c>
      <c r="D1726" s="3">
        <f>IF(ORIG!D1726=0,"",ORIG!D1726)</f>
        <v/>
      </c>
      <c r="E1726" s="3">
        <f>IF(ORIG!E1726=0,"",ORIG!E1726)</f>
        <v/>
      </c>
      <c r="F1726" s="3">
        <f>IF(ORIG!F1726=0,"",ORIG!F1726)</f>
        <v/>
      </c>
      <c r="G1726" s="3">
        <f>IF(ORIG!G1726=0,"",ORIG!G1726)</f>
        <v/>
      </c>
      <c r="H1726" s="3">
        <f>IF(ORIG!H1726=0,"",ORIG!H1726)</f>
        <v/>
      </c>
      <c r="I1726" s="3">
        <f>IF(ORIG!I1726=0,"",ORIG!I1726)</f>
        <v/>
      </c>
      <c r="J1726" s="3">
        <f>IF(ORIG!J1726=0,"",ORIG!J1726)</f>
        <v/>
      </c>
      <c r="K1726" s="3">
        <f>IF(ORIG!K1726=0,"",ORIG!K1726)</f>
        <v/>
      </c>
      <c r="L1726" s="3">
        <f>IF(ORIG!L1726=0,"",ORIG!L1726)</f>
        <v/>
      </c>
      <c r="M1726" s="3">
        <f>IF(ORIG!M1726=0,"",ORIG!M1726)</f>
        <v/>
      </c>
      <c r="N1726" s="3">
        <f>IF(ORIG!N1726=0,"",ORIG!N1726)</f>
        <v/>
      </c>
      <c r="O1726" s="3">
        <f>IF(ORIG!O1726=0,"",ORIG!O1726)</f>
        <v/>
      </c>
      <c r="P1726" s="3">
        <f>IF(ORIG!P1726=0,"",ORIG!P1726)</f>
        <v/>
      </c>
      <c r="Q1726" s="3">
        <f>IF(ORIG!Q1726=0,"",ORIG!Q1726)</f>
        <v/>
      </c>
      <c r="R1726" s="3">
        <f>IF(ORIG!R1726=0,"",ORIG!R1726)</f>
        <v/>
      </c>
      <c r="S1726" s="3">
        <f>IF(ORIG!S1726=0,"",ORIG!S1726)</f>
        <v/>
      </c>
      <c r="T1726" s="3">
        <f>IF(ORIG!T1726=0,"",ORIG!T1726)</f>
        <v/>
      </c>
      <c r="U1726" s="3">
        <f>IF(ORIG!U1726=0,"",ORIG!U1726)</f>
        <v/>
      </c>
      <c r="V1726" s="9">
        <f>IF(ORIG!V1726=0,"",ORIG!V1726)</f>
        <v/>
      </c>
      <c r="W1726" s="9">
        <f>IF(ORIG!W1726=0,"",ORIG!W1726)</f>
        <v/>
      </c>
      <c r="X1726" s="9">
        <f>IF(ORIG!X1726=0,"",ORIG!X1726)</f>
        <v/>
      </c>
      <c r="Y1726" s="9">
        <f>IF(ORIG!Y1726=0,"",ORIG!Y1726)</f>
        <v/>
      </c>
      <c r="Z1726" s="3">
        <f>SUMPRODUCT($B1726:$Y1726,$B$2649:$Y$2649)</f>
        <v/>
      </c>
      <c r="AA1726" s="3">
        <f>SUMPRODUCT($B1726:$Y1726,$B$2655:$Y$2655)</f>
        <v/>
      </c>
      <c r="AC1726" s="1">
        <f>A1726</f>
        <v/>
      </c>
      <c r="AD1726">
        <f>IF(ISNUMBER(V1726),V1726*($AB$1/V$2635),"")</f>
        <v/>
      </c>
      <c r="AE1726">
        <f>IF(ISNUMBER(Z1726),Z1726*($AB$1/Z$2635),"")</f>
        <v/>
      </c>
      <c r="AF1726" s="25">
        <f>IF(ISNUMBER(AD1726+AE1726),AD1726+AE1726,"")</f>
        <v/>
      </c>
      <c r="AH1726" s="1">
        <f>A1726</f>
        <v/>
      </c>
      <c r="AI1726">
        <f>IF(ISNUMBER((1+V1726)*AI1725),(1+V1726)*AI1725,AI1725)</f>
        <v/>
      </c>
      <c r="AJ1726">
        <f>IF(ISNUMBER((1+Z1726)*AJ1725),(1+Z1726)*AJ1725,AJ1725)</f>
        <v/>
      </c>
    </row>
    <row r="1727">
      <c r="A1727" s="1" t="n">
        <v>44505</v>
      </c>
      <c r="B1727" s="3">
        <f>IF(ORIG!B1727=0,"",ORIG!B1727)</f>
        <v/>
      </c>
      <c r="C1727" s="3">
        <f>IF(ORIG!C1727=0,"",ORIG!C1727)</f>
        <v/>
      </c>
      <c r="D1727" s="3">
        <f>IF(ORIG!D1727=0,"",ORIG!D1727)</f>
        <v/>
      </c>
      <c r="E1727" s="3">
        <f>IF(ORIG!E1727=0,"",ORIG!E1727)</f>
        <v/>
      </c>
      <c r="F1727" s="3">
        <f>IF(ORIG!F1727=0,"",ORIG!F1727)</f>
        <v/>
      </c>
      <c r="G1727" s="3">
        <f>IF(ORIG!G1727=0,"",ORIG!G1727)</f>
        <v/>
      </c>
      <c r="H1727" s="3">
        <f>IF(ORIG!H1727=0,"",ORIG!H1727)</f>
        <v/>
      </c>
      <c r="I1727" s="3">
        <f>IF(ORIG!I1727=0,"",ORIG!I1727)</f>
        <v/>
      </c>
      <c r="J1727" s="3">
        <f>IF(ORIG!J1727=0,"",ORIG!J1727)</f>
        <v/>
      </c>
      <c r="K1727" s="3">
        <f>IF(ORIG!K1727=0,"",ORIG!K1727)</f>
        <v/>
      </c>
      <c r="L1727" s="3">
        <f>IF(ORIG!L1727=0,"",ORIG!L1727)</f>
        <v/>
      </c>
      <c r="M1727" s="3">
        <f>IF(ORIG!M1727=0,"",ORIG!M1727)</f>
        <v/>
      </c>
      <c r="N1727" s="3">
        <f>IF(ORIG!N1727=0,"",ORIG!N1727)</f>
        <v/>
      </c>
      <c r="O1727" s="3">
        <f>IF(ORIG!O1727=0,"",ORIG!O1727)</f>
        <v/>
      </c>
      <c r="P1727" s="3">
        <f>IF(ORIG!P1727=0,"",ORIG!P1727)</f>
        <v/>
      </c>
      <c r="Q1727" s="3">
        <f>IF(ORIG!Q1727=0,"",ORIG!Q1727)</f>
        <v/>
      </c>
      <c r="R1727" s="3">
        <f>IF(ORIG!R1727=0,"",ORIG!R1727)</f>
        <v/>
      </c>
      <c r="S1727" s="3">
        <f>IF(ORIG!S1727=0,"",ORIG!S1727)</f>
        <v/>
      </c>
      <c r="T1727" s="3">
        <f>IF(ORIG!T1727=0,"",ORIG!T1727)</f>
        <v/>
      </c>
      <c r="U1727" s="3">
        <f>IF(ORIG!U1727=0,"",ORIG!U1727)</f>
        <v/>
      </c>
      <c r="V1727" s="9">
        <f>IF(ORIG!V1727=0,"",ORIG!V1727)</f>
        <v/>
      </c>
      <c r="W1727" s="9">
        <f>IF(ORIG!W1727=0,"",ORIG!W1727)</f>
        <v/>
      </c>
      <c r="X1727" s="9">
        <f>IF(ORIG!X1727=0,"",ORIG!X1727)</f>
        <v/>
      </c>
      <c r="Y1727" s="9">
        <f>IF(ORIG!Y1727=0,"",ORIG!Y1727)</f>
        <v/>
      </c>
      <c r="Z1727" s="3">
        <f>SUMPRODUCT($B1727:$Y1727,$B$2649:$Y$2649)</f>
        <v/>
      </c>
      <c r="AA1727" s="3">
        <f>SUMPRODUCT($B1727:$Y1727,$B$2655:$Y$2655)</f>
        <v/>
      </c>
      <c r="AC1727" s="1">
        <f>A1727</f>
        <v/>
      </c>
      <c r="AD1727">
        <f>IF(ISNUMBER(V1727),V1727*($AB$1/V$2635),"")</f>
        <v/>
      </c>
      <c r="AE1727">
        <f>IF(ISNUMBER(Z1727),Z1727*($AB$1/Z$2635),"")</f>
        <v/>
      </c>
      <c r="AF1727" s="25">
        <f>IF(ISNUMBER(AD1727+AE1727),AD1727+AE1727,"")</f>
        <v/>
      </c>
      <c r="AH1727" s="1">
        <f>A1727</f>
        <v/>
      </c>
      <c r="AI1727">
        <f>IF(ISNUMBER((1+V1727)*AI1726),(1+V1727)*AI1726,AI1726)</f>
        <v/>
      </c>
      <c r="AJ1727">
        <f>IF(ISNUMBER((1+Z1727)*AJ1726),(1+Z1727)*AJ1726,AJ1726)</f>
        <v/>
      </c>
    </row>
    <row r="1728">
      <c r="A1728" s="1" t="n">
        <v>44508</v>
      </c>
      <c r="B1728" s="3">
        <f>IF(ORIG!B1728=0,"",ORIG!B1728)</f>
        <v/>
      </c>
      <c r="C1728" s="3">
        <f>IF(ORIG!C1728=0,"",ORIG!C1728)</f>
        <v/>
      </c>
      <c r="D1728" s="3">
        <f>IF(ORIG!D1728=0,"",ORIG!D1728)</f>
        <v/>
      </c>
      <c r="E1728" s="3">
        <f>IF(ORIG!E1728=0,"",ORIG!E1728)</f>
        <v/>
      </c>
      <c r="F1728" s="3">
        <f>IF(ORIG!F1728=0,"",ORIG!F1728)</f>
        <v/>
      </c>
      <c r="G1728" s="3">
        <f>IF(ORIG!G1728=0,"",ORIG!G1728)</f>
        <v/>
      </c>
      <c r="H1728" s="3">
        <f>IF(ORIG!H1728=0,"",ORIG!H1728)</f>
        <v/>
      </c>
      <c r="I1728" s="3">
        <f>IF(ORIG!I1728=0,"",ORIG!I1728)</f>
        <v/>
      </c>
      <c r="J1728" s="3">
        <f>IF(ORIG!J1728=0,"",ORIG!J1728)</f>
        <v/>
      </c>
      <c r="K1728" s="3">
        <f>IF(ORIG!K1728=0,"",ORIG!K1728)</f>
        <v/>
      </c>
      <c r="L1728" s="3">
        <f>IF(ORIG!L1728=0,"",ORIG!L1728)</f>
        <v/>
      </c>
      <c r="M1728" s="3">
        <f>IF(ORIG!M1728=0,"",ORIG!M1728)</f>
        <v/>
      </c>
      <c r="N1728" s="3">
        <f>IF(ORIG!N1728=0,"",ORIG!N1728)</f>
        <v/>
      </c>
      <c r="O1728" s="3">
        <f>IF(ORIG!O1728=0,"",ORIG!O1728)</f>
        <v/>
      </c>
      <c r="P1728" s="3">
        <f>IF(ORIG!P1728=0,"",ORIG!P1728)</f>
        <v/>
      </c>
      <c r="Q1728" s="3">
        <f>IF(ORIG!Q1728=0,"",ORIG!Q1728)</f>
        <v/>
      </c>
      <c r="R1728" s="3">
        <f>IF(ORIG!R1728=0,"",ORIG!R1728)</f>
        <v/>
      </c>
      <c r="S1728" s="3">
        <f>IF(ORIG!S1728=0,"",ORIG!S1728)</f>
        <v/>
      </c>
      <c r="T1728" s="3">
        <f>IF(ORIG!T1728=0,"",ORIG!T1728)</f>
        <v/>
      </c>
      <c r="U1728" s="3">
        <f>IF(ORIG!U1728=0,"",ORIG!U1728)</f>
        <v/>
      </c>
      <c r="V1728" s="9">
        <f>IF(ORIG!V1728=0,"",ORIG!V1728)</f>
        <v/>
      </c>
      <c r="W1728" s="9">
        <f>IF(ORIG!W1728=0,"",ORIG!W1728)</f>
        <v/>
      </c>
      <c r="X1728" s="9">
        <f>IF(ORIG!X1728=0,"",ORIG!X1728)</f>
        <v/>
      </c>
      <c r="Y1728" s="9">
        <f>IF(ORIG!Y1728=0,"",ORIG!Y1728)</f>
        <v/>
      </c>
      <c r="Z1728" s="3">
        <f>SUMPRODUCT($B1728:$Y1728,$B$2649:$Y$2649)</f>
        <v/>
      </c>
      <c r="AA1728" s="3">
        <f>SUMPRODUCT($B1728:$Y1728,$B$2655:$Y$2655)</f>
        <v/>
      </c>
      <c r="AC1728" s="1">
        <f>A1728</f>
        <v/>
      </c>
      <c r="AD1728">
        <f>IF(ISNUMBER(V1728),V1728*($AB$1/V$2635),"")</f>
        <v/>
      </c>
      <c r="AE1728">
        <f>IF(ISNUMBER(Z1728),Z1728*($AB$1/Z$2635),"")</f>
        <v/>
      </c>
      <c r="AF1728" s="25">
        <f>IF(ISNUMBER(AD1728+AE1728),AD1728+AE1728,"")</f>
        <v/>
      </c>
      <c r="AH1728" s="1">
        <f>A1728</f>
        <v/>
      </c>
      <c r="AI1728">
        <f>IF(ISNUMBER((1+V1728)*AI1727),(1+V1728)*AI1727,AI1727)</f>
        <v/>
      </c>
      <c r="AJ1728">
        <f>IF(ISNUMBER((1+Z1728)*AJ1727),(1+Z1728)*AJ1727,AJ1727)</f>
        <v/>
      </c>
    </row>
    <row r="1729">
      <c r="A1729" s="1" t="n">
        <v>44509</v>
      </c>
      <c r="B1729" s="3">
        <f>IF(ORIG!B1729=0,"",ORIG!B1729)</f>
        <v/>
      </c>
      <c r="C1729" s="3">
        <f>IF(ORIG!C1729=0,"",ORIG!C1729)</f>
        <v/>
      </c>
      <c r="D1729" s="3">
        <f>IF(ORIG!D1729=0,"",ORIG!D1729)</f>
        <v/>
      </c>
      <c r="E1729" s="3">
        <f>IF(ORIG!E1729=0,"",ORIG!E1729)</f>
        <v/>
      </c>
      <c r="F1729" s="3">
        <f>IF(ORIG!F1729=0,"",ORIG!F1729)</f>
        <v/>
      </c>
      <c r="G1729" s="3">
        <f>IF(ORIG!G1729=0,"",ORIG!G1729)</f>
        <v/>
      </c>
      <c r="H1729" s="3">
        <f>IF(ORIG!H1729=0,"",ORIG!H1729)</f>
        <v/>
      </c>
      <c r="I1729" s="3">
        <f>IF(ORIG!I1729=0,"",ORIG!I1729)</f>
        <v/>
      </c>
      <c r="J1729" s="3">
        <f>IF(ORIG!J1729=0,"",ORIG!J1729)</f>
        <v/>
      </c>
      <c r="K1729" s="3">
        <f>IF(ORIG!K1729=0,"",ORIG!K1729)</f>
        <v/>
      </c>
      <c r="L1729" s="3">
        <f>IF(ORIG!L1729=0,"",ORIG!L1729)</f>
        <v/>
      </c>
      <c r="M1729" s="3">
        <f>IF(ORIG!M1729=0,"",ORIG!M1729)</f>
        <v/>
      </c>
      <c r="N1729" s="3">
        <f>IF(ORIG!N1729=0,"",ORIG!N1729)</f>
        <v/>
      </c>
      <c r="O1729" s="3">
        <f>IF(ORIG!O1729=0,"",ORIG!O1729)</f>
        <v/>
      </c>
      <c r="P1729" s="3">
        <f>IF(ORIG!P1729=0,"",ORIG!P1729)</f>
        <v/>
      </c>
      <c r="Q1729" s="3">
        <f>IF(ORIG!Q1729=0,"",ORIG!Q1729)</f>
        <v/>
      </c>
      <c r="R1729" s="3">
        <f>IF(ORIG!R1729=0,"",ORIG!R1729)</f>
        <v/>
      </c>
      <c r="S1729" s="3">
        <f>IF(ORIG!S1729=0,"",ORIG!S1729)</f>
        <v/>
      </c>
      <c r="T1729" s="3">
        <f>IF(ORIG!T1729=0,"",ORIG!T1729)</f>
        <v/>
      </c>
      <c r="U1729" s="3">
        <f>IF(ORIG!U1729=0,"",ORIG!U1729)</f>
        <v/>
      </c>
      <c r="V1729" s="9">
        <f>IF(ORIG!V1729=0,"",ORIG!V1729)</f>
        <v/>
      </c>
      <c r="W1729" s="9">
        <f>IF(ORIG!W1729=0,"",ORIG!W1729)</f>
        <v/>
      </c>
      <c r="X1729" s="9">
        <f>IF(ORIG!X1729=0,"",ORIG!X1729)</f>
        <v/>
      </c>
      <c r="Y1729" s="9">
        <f>IF(ORIG!Y1729=0,"",ORIG!Y1729)</f>
        <v/>
      </c>
      <c r="Z1729" s="3">
        <f>SUMPRODUCT($B1729:$Y1729,$B$2649:$Y$2649)</f>
        <v/>
      </c>
      <c r="AA1729" s="3">
        <f>SUMPRODUCT($B1729:$Y1729,$B$2655:$Y$2655)</f>
        <v/>
      </c>
      <c r="AC1729" s="1">
        <f>A1729</f>
        <v/>
      </c>
      <c r="AD1729">
        <f>IF(ISNUMBER(V1729),V1729*($AB$1/V$2635),"")</f>
        <v/>
      </c>
      <c r="AE1729">
        <f>IF(ISNUMBER(Z1729),Z1729*($AB$1/Z$2635),"")</f>
        <v/>
      </c>
      <c r="AF1729" s="25">
        <f>IF(ISNUMBER(AD1729+AE1729),AD1729+AE1729,"")</f>
        <v/>
      </c>
      <c r="AH1729" s="1">
        <f>A1729</f>
        <v/>
      </c>
      <c r="AI1729">
        <f>IF(ISNUMBER((1+V1729)*AI1728),(1+V1729)*AI1728,AI1728)</f>
        <v/>
      </c>
      <c r="AJ1729">
        <f>IF(ISNUMBER((1+Z1729)*AJ1728),(1+Z1729)*AJ1728,AJ1728)</f>
        <v/>
      </c>
    </row>
    <row r="1730">
      <c r="A1730" s="1" t="n">
        <v>44510</v>
      </c>
      <c r="B1730" s="3">
        <f>IF(ORIG!B1730=0,"",ORIG!B1730)</f>
        <v/>
      </c>
      <c r="C1730" s="3">
        <f>IF(ORIG!C1730=0,"",ORIG!C1730)</f>
        <v/>
      </c>
      <c r="D1730" s="3">
        <f>IF(ORIG!D1730=0,"",ORIG!D1730)</f>
        <v/>
      </c>
      <c r="E1730" s="3">
        <f>IF(ORIG!E1730=0,"",ORIG!E1730)</f>
        <v/>
      </c>
      <c r="F1730" s="3">
        <f>IF(ORIG!F1730=0,"",ORIG!F1730)</f>
        <v/>
      </c>
      <c r="G1730" s="3">
        <f>IF(ORIG!G1730=0,"",ORIG!G1730)</f>
        <v/>
      </c>
      <c r="H1730" s="3">
        <f>IF(ORIG!H1730=0,"",ORIG!H1730)</f>
        <v/>
      </c>
      <c r="I1730" s="3">
        <f>IF(ORIG!I1730=0,"",ORIG!I1730)</f>
        <v/>
      </c>
      <c r="J1730" s="3">
        <f>IF(ORIG!J1730=0,"",ORIG!J1730)</f>
        <v/>
      </c>
      <c r="K1730" s="3">
        <f>IF(ORIG!K1730=0,"",ORIG!K1730)</f>
        <v/>
      </c>
      <c r="L1730" s="3">
        <f>IF(ORIG!L1730=0,"",ORIG!L1730)</f>
        <v/>
      </c>
      <c r="M1730" s="3">
        <f>IF(ORIG!M1730=0,"",ORIG!M1730)</f>
        <v/>
      </c>
      <c r="N1730" s="3">
        <f>IF(ORIG!N1730=0,"",ORIG!N1730)</f>
        <v/>
      </c>
      <c r="O1730" s="3">
        <f>IF(ORIG!O1730=0,"",ORIG!O1730)</f>
        <v/>
      </c>
      <c r="P1730" s="3">
        <f>IF(ORIG!P1730=0,"",ORIG!P1730)</f>
        <v/>
      </c>
      <c r="Q1730" s="3">
        <f>IF(ORIG!Q1730=0,"",ORIG!Q1730)</f>
        <v/>
      </c>
      <c r="R1730" s="3">
        <f>IF(ORIG!R1730=0,"",ORIG!R1730)</f>
        <v/>
      </c>
      <c r="S1730" s="3">
        <f>IF(ORIG!S1730=0,"",ORIG!S1730)</f>
        <v/>
      </c>
      <c r="T1730" s="3">
        <f>IF(ORIG!T1730=0,"",ORIG!T1730)</f>
        <v/>
      </c>
      <c r="U1730" s="3">
        <f>IF(ORIG!U1730=0,"",ORIG!U1730)</f>
        <v/>
      </c>
      <c r="V1730" s="9">
        <f>IF(ORIG!V1730=0,"",ORIG!V1730)</f>
        <v/>
      </c>
      <c r="W1730" s="9">
        <f>IF(ORIG!W1730=0,"",ORIG!W1730)</f>
        <v/>
      </c>
      <c r="X1730" s="9">
        <f>IF(ORIG!X1730=0,"",ORIG!X1730)</f>
        <v/>
      </c>
      <c r="Y1730" s="9">
        <f>IF(ORIG!Y1730=0,"",ORIG!Y1730)</f>
        <v/>
      </c>
      <c r="Z1730" s="3">
        <f>SUMPRODUCT($B1730:$Y1730,$B$2649:$Y$2649)</f>
        <v/>
      </c>
      <c r="AA1730" s="3">
        <f>SUMPRODUCT($B1730:$Y1730,$B$2655:$Y$2655)</f>
        <v/>
      </c>
      <c r="AC1730" s="1">
        <f>A1730</f>
        <v/>
      </c>
      <c r="AD1730">
        <f>IF(ISNUMBER(V1730),V1730*($AB$1/V$2635),"")</f>
        <v/>
      </c>
      <c r="AE1730">
        <f>IF(ISNUMBER(Z1730),Z1730*($AB$1/Z$2635),"")</f>
        <v/>
      </c>
      <c r="AF1730" s="25">
        <f>IF(ISNUMBER(AD1730+AE1730),AD1730+AE1730,"")</f>
        <v/>
      </c>
      <c r="AH1730" s="1">
        <f>A1730</f>
        <v/>
      </c>
      <c r="AI1730">
        <f>IF(ISNUMBER((1+V1730)*AI1729),(1+V1730)*AI1729,AI1729)</f>
        <v/>
      </c>
      <c r="AJ1730">
        <f>IF(ISNUMBER((1+Z1730)*AJ1729),(1+Z1730)*AJ1729,AJ1729)</f>
        <v/>
      </c>
    </row>
    <row r="1731">
      <c r="A1731" s="1" t="n">
        <v>44511</v>
      </c>
      <c r="B1731" s="3">
        <f>IF(ORIG!B1731=0,"",ORIG!B1731)</f>
        <v/>
      </c>
      <c r="C1731" s="3">
        <f>IF(ORIG!C1731=0,"",ORIG!C1731)</f>
        <v/>
      </c>
      <c r="D1731" s="3">
        <f>IF(ORIG!D1731=0,"",ORIG!D1731)</f>
        <v/>
      </c>
      <c r="E1731" s="3">
        <f>IF(ORIG!E1731=0,"",ORIG!E1731)</f>
        <v/>
      </c>
      <c r="F1731" s="3">
        <f>IF(ORIG!F1731=0,"",ORIG!F1731)</f>
        <v/>
      </c>
      <c r="G1731" s="3">
        <f>IF(ORIG!G1731=0,"",ORIG!G1731)</f>
        <v/>
      </c>
      <c r="H1731" s="3">
        <f>IF(ORIG!H1731=0,"",ORIG!H1731)</f>
        <v/>
      </c>
      <c r="I1731" s="3">
        <f>IF(ORIG!I1731=0,"",ORIG!I1731)</f>
        <v/>
      </c>
      <c r="J1731" s="3">
        <f>IF(ORIG!J1731=0,"",ORIG!J1731)</f>
        <v/>
      </c>
      <c r="K1731" s="3">
        <f>IF(ORIG!K1731=0,"",ORIG!K1731)</f>
        <v/>
      </c>
      <c r="L1731" s="3">
        <f>IF(ORIG!L1731=0,"",ORIG!L1731)</f>
        <v/>
      </c>
      <c r="M1731" s="3">
        <f>IF(ORIG!M1731=0,"",ORIG!M1731)</f>
        <v/>
      </c>
      <c r="N1731" s="3">
        <f>IF(ORIG!N1731=0,"",ORIG!N1731)</f>
        <v/>
      </c>
      <c r="O1731" s="3">
        <f>IF(ORIG!O1731=0,"",ORIG!O1731)</f>
        <v/>
      </c>
      <c r="P1731" s="3">
        <f>IF(ORIG!P1731=0,"",ORIG!P1731)</f>
        <v/>
      </c>
      <c r="Q1731" s="3">
        <f>IF(ORIG!Q1731=0,"",ORIG!Q1731)</f>
        <v/>
      </c>
      <c r="R1731" s="3">
        <f>IF(ORIG!R1731=0,"",ORIG!R1731)</f>
        <v/>
      </c>
      <c r="S1731" s="3">
        <f>IF(ORIG!S1731=0,"",ORIG!S1731)</f>
        <v/>
      </c>
      <c r="T1731" s="3">
        <f>IF(ORIG!T1731=0,"",ORIG!T1731)</f>
        <v/>
      </c>
      <c r="U1731" s="3">
        <f>IF(ORIG!U1731=0,"",ORIG!U1731)</f>
        <v/>
      </c>
      <c r="V1731" s="9">
        <f>IF(ORIG!V1731=0,"",ORIG!V1731)</f>
        <v/>
      </c>
      <c r="W1731" s="9">
        <f>IF(ORIG!W1731=0,"",ORIG!W1731)</f>
        <v/>
      </c>
      <c r="X1731" s="9">
        <f>IF(ORIG!X1731=0,"",ORIG!X1731)</f>
        <v/>
      </c>
      <c r="Y1731" s="9">
        <f>IF(ORIG!Y1731=0,"",ORIG!Y1731)</f>
        <v/>
      </c>
      <c r="Z1731" s="3">
        <f>SUMPRODUCT($B1731:$Y1731,$B$2649:$Y$2649)</f>
        <v/>
      </c>
      <c r="AA1731" s="3">
        <f>SUMPRODUCT($B1731:$Y1731,$B$2655:$Y$2655)</f>
        <v/>
      </c>
      <c r="AC1731" s="1">
        <f>A1731</f>
        <v/>
      </c>
      <c r="AD1731">
        <f>IF(ISNUMBER(V1731),V1731*($AB$1/V$2635),"")</f>
        <v/>
      </c>
      <c r="AE1731">
        <f>IF(ISNUMBER(Z1731),Z1731*($AB$1/Z$2635),"")</f>
        <v/>
      </c>
      <c r="AF1731" s="25">
        <f>IF(ISNUMBER(AD1731+AE1731),AD1731+AE1731,"")</f>
        <v/>
      </c>
      <c r="AH1731" s="1">
        <f>A1731</f>
        <v/>
      </c>
      <c r="AI1731">
        <f>IF(ISNUMBER((1+V1731)*AI1730),(1+V1731)*AI1730,AI1730)</f>
        <v/>
      </c>
      <c r="AJ1731">
        <f>IF(ISNUMBER((1+Z1731)*AJ1730),(1+Z1731)*AJ1730,AJ1730)</f>
        <v/>
      </c>
    </row>
    <row r="1732">
      <c r="A1732" s="1" t="n">
        <v>44512</v>
      </c>
      <c r="B1732" s="3">
        <f>IF(ORIG!B1732=0,"",ORIG!B1732)</f>
        <v/>
      </c>
      <c r="C1732" s="3">
        <f>IF(ORIG!C1732=0,"",ORIG!C1732)</f>
        <v/>
      </c>
      <c r="D1732" s="3">
        <f>IF(ORIG!D1732=0,"",ORIG!D1732)</f>
        <v/>
      </c>
      <c r="E1732" s="3">
        <f>IF(ORIG!E1732=0,"",ORIG!E1732)</f>
        <v/>
      </c>
      <c r="F1732" s="3">
        <f>IF(ORIG!F1732=0,"",ORIG!F1732)</f>
        <v/>
      </c>
      <c r="G1732" s="3">
        <f>IF(ORIG!G1732=0,"",ORIG!G1732)</f>
        <v/>
      </c>
      <c r="H1732" s="3">
        <f>IF(ORIG!H1732=0,"",ORIG!H1732)</f>
        <v/>
      </c>
      <c r="I1732" s="3">
        <f>IF(ORIG!I1732=0,"",ORIG!I1732)</f>
        <v/>
      </c>
      <c r="J1732" s="3">
        <f>IF(ORIG!J1732=0,"",ORIG!J1732)</f>
        <v/>
      </c>
      <c r="K1732" s="3">
        <f>IF(ORIG!K1732=0,"",ORIG!K1732)</f>
        <v/>
      </c>
      <c r="L1732" s="3">
        <f>IF(ORIG!L1732=0,"",ORIG!L1732)</f>
        <v/>
      </c>
      <c r="M1732" s="3">
        <f>IF(ORIG!M1732=0,"",ORIG!M1732)</f>
        <v/>
      </c>
      <c r="N1732" s="3">
        <f>IF(ORIG!N1732=0,"",ORIG!N1732)</f>
        <v/>
      </c>
      <c r="O1732" s="3">
        <f>IF(ORIG!O1732=0,"",ORIG!O1732)</f>
        <v/>
      </c>
      <c r="P1732" s="3">
        <f>IF(ORIG!P1732=0,"",ORIG!P1732)</f>
        <v/>
      </c>
      <c r="Q1732" s="3">
        <f>IF(ORIG!Q1732=0,"",ORIG!Q1732)</f>
        <v/>
      </c>
      <c r="R1732" s="3">
        <f>IF(ORIG!R1732=0,"",ORIG!R1732)</f>
        <v/>
      </c>
      <c r="S1732" s="3">
        <f>IF(ORIG!S1732=0,"",ORIG!S1732)</f>
        <v/>
      </c>
      <c r="T1732" s="3">
        <f>IF(ORIG!T1732=0,"",ORIG!T1732)</f>
        <v/>
      </c>
      <c r="U1732" s="3">
        <f>IF(ORIG!U1732=0,"",ORIG!U1732)</f>
        <v/>
      </c>
      <c r="V1732" s="9">
        <f>IF(ORIG!V1732=0,"",ORIG!V1732)</f>
        <v/>
      </c>
      <c r="W1732" s="9">
        <f>IF(ORIG!W1732=0,"",ORIG!W1732)</f>
        <v/>
      </c>
      <c r="X1732" s="9">
        <f>IF(ORIG!X1732=0,"",ORIG!X1732)</f>
        <v/>
      </c>
      <c r="Y1732" s="9">
        <f>IF(ORIG!Y1732=0,"",ORIG!Y1732)</f>
        <v/>
      </c>
      <c r="Z1732" s="3">
        <f>SUMPRODUCT($B1732:$Y1732,$B$2649:$Y$2649)</f>
        <v/>
      </c>
      <c r="AA1732" s="3">
        <f>SUMPRODUCT($B1732:$Y1732,$B$2655:$Y$2655)</f>
        <v/>
      </c>
      <c r="AC1732" s="1">
        <f>A1732</f>
        <v/>
      </c>
      <c r="AD1732">
        <f>IF(ISNUMBER(V1732),V1732*($AB$1/V$2635),"")</f>
        <v/>
      </c>
      <c r="AE1732">
        <f>IF(ISNUMBER(Z1732),Z1732*($AB$1/Z$2635),"")</f>
        <v/>
      </c>
      <c r="AF1732" s="25">
        <f>IF(ISNUMBER(AD1732+AE1732),AD1732+AE1732,"")</f>
        <v/>
      </c>
      <c r="AH1732" s="1">
        <f>A1732</f>
        <v/>
      </c>
      <c r="AI1732">
        <f>IF(ISNUMBER((1+V1732)*AI1731),(1+V1732)*AI1731,AI1731)</f>
        <v/>
      </c>
      <c r="AJ1732">
        <f>IF(ISNUMBER((1+Z1732)*AJ1731),(1+Z1732)*AJ1731,AJ1731)</f>
        <v/>
      </c>
    </row>
    <row r="1733">
      <c r="A1733" s="1" t="n">
        <v>44515</v>
      </c>
      <c r="B1733" s="3">
        <f>IF(ORIG!B1733=0,"",ORIG!B1733)</f>
        <v/>
      </c>
      <c r="C1733" s="3">
        <f>IF(ORIG!C1733=0,"",ORIG!C1733)</f>
        <v/>
      </c>
      <c r="D1733" s="3">
        <f>IF(ORIG!D1733=0,"",ORIG!D1733)</f>
        <v/>
      </c>
      <c r="E1733" s="3">
        <f>IF(ORIG!E1733=0,"",ORIG!E1733)</f>
        <v/>
      </c>
      <c r="F1733" s="3">
        <f>IF(ORIG!F1733=0,"",ORIG!F1733)</f>
        <v/>
      </c>
      <c r="G1733" s="3">
        <f>IF(ORIG!G1733=0,"",ORIG!G1733)</f>
        <v/>
      </c>
      <c r="H1733" s="3">
        <f>IF(ORIG!H1733=0,"",ORIG!H1733)</f>
        <v/>
      </c>
      <c r="I1733" s="3">
        <f>IF(ORIG!I1733=0,"",ORIG!I1733)</f>
        <v/>
      </c>
      <c r="J1733" s="3">
        <f>IF(ORIG!J1733=0,"",ORIG!J1733)</f>
        <v/>
      </c>
      <c r="K1733" s="3">
        <f>IF(ORIG!K1733=0,"",ORIG!K1733)</f>
        <v/>
      </c>
      <c r="L1733" s="3">
        <f>IF(ORIG!L1733=0,"",ORIG!L1733)</f>
        <v/>
      </c>
      <c r="M1733" s="3">
        <f>IF(ORIG!M1733=0,"",ORIG!M1733)</f>
        <v/>
      </c>
      <c r="N1733" s="3">
        <f>IF(ORIG!N1733=0,"",ORIG!N1733)</f>
        <v/>
      </c>
      <c r="O1733" s="3">
        <f>IF(ORIG!O1733=0,"",ORIG!O1733)</f>
        <v/>
      </c>
      <c r="P1733" s="3">
        <f>IF(ORIG!P1733=0,"",ORIG!P1733)</f>
        <v/>
      </c>
      <c r="Q1733" s="3">
        <f>IF(ORIG!Q1733=0,"",ORIG!Q1733)</f>
        <v/>
      </c>
      <c r="R1733" s="3">
        <f>IF(ORIG!R1733=0,"",ORIG!R1733)</f>
        <v/>
      </c>
      <c r="S1733" s="3">
        <f>IF(ORIG!S1733=0,"",ORIG!S1733)</f>
        <v/>
      </c>
      <c r="T1733" s="3">
        <f>IF(ORIG!T1733=0,"",ORIG!T1733)</f>
        <v/>
      </c>
      <c r="U1733" s="3">
        <f>IF(ORIG!U1733=0,"",ORIG!U1733)</f>
        <v/>
      </c>
      <c r="V1733" s="9">
        <f>IF(ORIG!V1733=0,"",ORIG!V1733)</f>
        <v/>
      </c>
      <c r="W1733" s="9">
        <f>IF(ORIG!W1733=0,"",ORIG!W1733)</f>
        <v/>
      </c>
      <c r="X1733" s="9">
        <f>IF(ORIG!X1733=0,"",ORIG!X1733)</f>
        <v/>
      </c>
      <c r="Y1733" s="9">
        <f>IF(ORIG!Y1733=0,"",ORIG!Y1733)</f>
        <v/>
      </c>
      <c r="Z1733" s="3">
        <f>SUMPRODUCT($B1733:$Y1733,$B$2649:$Y$2649)</f>
        <v/>
      </c>
      <c r="AA1733" s="3">
        <f>SUMPRODUCT($B1733:$Y1733,$B$2655:$Y$2655)</f>
        <v/>
      </c>
      <c r="AC1733" s="1">
        <f>A1733</f>
        <v/>
      </c>
      <c r="AD1733">
        <f>IF(ISNUMBER(V1733),V1733*($AB$1/V$2635),"")</f>
        <v/>
      </c>
      <c r="AE1733">
        <f>IF(ISNUMBER(Z1733),Z1733*($AB$1/Z$2635),"")</f>
        <v/>
      </c>
      <c r="AF1733" s="25">
        <f>IF(ISNUMBER(AD1733+AE1733),AD1733+AE1733,"")</f>
        <v/>
      </c>
      <c r="AH1733" s="1">
        <f>A1733</f>
        <v/>
      </c>
      <c r="AI1733">
        <f>IF(ISNUMBER((1+V1733)*AI1732),(1+V1733)*AI1732,AI1732)</f>
        <v/>
      </c>
      <c r="AJ1733">
        <f>IF(ISNUMBER((1+Z1733)*AJ1732),(1+Z1733)*AJ1732,AJ1732)</f>
        <v/>
      </c>
    </row>
    <row r="1734">
      <c r="A1734" s="1" t="n">
        <v>44516</v>
      </c>
      <c r="B1734" s="3">
        <f>IF(ORIG!B1734=0,"",ORIG!B1734)</f>
        <v/>
      </c>
      <c r="C1734" s="3">
        <f>IF(ORIG!C1734=0,"",ORIG!C1734)</f>
        <v/>
      </c>
      <c r="D1734" s="3">
        <f>IF(ORIG!D1734=0,"",ORIG!D1734)</f>
        <v/>
      </c>
      <c r="E1734" s="3">
        <f>IF(ORIG!E1734=0,"",ORIG!E1734)</f>
        <v/>
      </c>
      <c r="F1734" s="3">
        <f>IF(ORIG!F1734=0,"",ORIG!F1734)</f>
        <v/>
      </c>
      <c r="G1734" s="3">
        <f>IF(ORIG!G1734=0,"",ORIG!G1734)</f>
        <v/>
      </c>
      <c r="H1734" s="3">
        <f>IF(ORIG!H1734=0,"",ORIG!H1734)</f>
        <v/>
      </c>
      <c r="I1734" s="3">
        <f>IF(ORIG!I1734=0,"",ORIG!I1734)</f>
        <v/>
      </c>
      <c r="J1734" s="3">
        <f>IF(ORIG!J1734=0,"",ORIG!J1734)</f>
        <v/>
      </c>
      <c r="K1734" s="3">
        <f>IF(ORIG!K1734=0,"",ORIG!K1734)</f>
        <v/>
      </c>
      <c r="L1734" s="3">
        <f>IF(ORIG!L1734=0,"",ORIG!L1734)</f>
        <v/>
      </c>
      <c r="M1734" s="3">
        <f>IF(ORIG!M1734=0,"",ORIG!M1734)</f>
        <v/>
      </c>
      <c r="N1734" s="3">
        <f>IF(ORIG!N1734=0,"",ORIG!N1734)</f>
        <v/>
      </c>
      <c r="O1734" s="3">
        <f>IF(ORIG!O1734=0,"",ORIG!O1734)</f>
        <v/>
      </c>
      <c r="P1734" s="3">
        <f>IF(ORIG!P1734=0,"",ORIG!P1734)</f>
        <v/>
      </c>
      <c r="Q1734" s="3">
        <f>IF(ORIG!Q1734=0,"",ORIG!Q1734)</f>
        <v/>
      </c>
      <c r="R1734" s="3">
        <f>IF(ORIG!R1734=0,"",ORIG!R1734)</f>
        <v/>
      </c>
      <c r="S1734" s="3">
        <f>IF(ORIG!S1734=0,"",ORIG!S1734)</f>
        <v/>
      </c>
      <c r="T1734" s="3">
        <f>IF(ORIG!T1734=0,"",ORIG!T1734)</f>
        <v/>
      </c>
      <c r="U1734" s="3">
        <f>IF(ORIG!U1734=0,"",ORIG!U1734)</f>
        <v/>
      </c>
      <c r="V1734" s="9">
        <f>IF(ORIG!V1734=0,"",ORIG!V1734)</f>
        <v/>
      </c>
      <c r="W1734" s="9">
        <f>IF(ORIG!W1734=0,"",ORIG!W1734)</f>
        <v/>
      </c>
      <c r="X1734" s="9">
        <f>IF(ORIG!X1734=0,"",ORIG!X1734)</f>
        <v/>
      </c>
      <c r="Y1734" s="9">
        <f>IF(ORIG!Y1734=0,"",ORIG!Y1734)</f>
        <v/>
      </c>
      <c r="Z1734" s="3">
        <f>SUMPRODUCT($B1734:$Y1734,$B$2649:$Y$2649)</f>
        <v/>
      </c>
      <c r="AA1734" s="3">
        <f>SUMPRODUCT($B1734:$Y1734,$B$2655:$Y$2655)</f>
        <v/>
      </c>
      <c r="AC1734" s="1">
        <f>A1734</f>
        <v/>
      </c>
      <c r="AD1734">
        <f>IF(ISNUMBER(V1734),V1734*($AB$1/V$2635),"")</f>
        <v/>
      </c>
      <c r="AE1734">
        <f>IF(ISNUMBER(Z1734),Z1734*($AB$1/Z$2635),"")</f>
        <v/>
      </c>
      <c r="AF1734" s="25">
        <f>IF(ISNUMBER(AD1734+AE1734),AD1734+AE1734,"")</f>
        <v/>
      </c>
      <c r="AH1734" s="1">
        <f>A1734</f>
        <v/>
      </c>
      <c r="AI1734">
        <f>IF(ISNUMBER((1+V1734)*AI1733),(1+V1734)*AI1733,AI1733)</f>
        <v/>
      </c>
      <c r="AJ1734">
        <f>IF(ISNUMBER((1+Z1734)*AJ1733),(1+Z1734)*AJ1733,AJ1733)</f>
        <v/>
      </c>
    </row>
    <row r="1735">
      <c r="A1735" s="1" t="n">
        <v>44517</v>
      </c>
      <c r="B1735" s="3">
        <f>IF(ORIG!B1735=0,"",ORIG!B1735)</f>
        <v/>
      </c>
      <c r="C1735" s="3">
        <f>IF(ORIG!C1735=0,"",ORIG!C1735)</f>
        <v/>
      </c>
      <c r="D1735" s="3">
        <f>IF(ORIG!D1735=0,"",ORIG!D1735)</f>
        <v/>
      </c>
      <c r="E1735" s="3">
        <f>IF(ORIG!E1735=0,"",ORIG!E1735)</f>
        <v/>
      </c>
      <c r="F1735" s="3">
        <f>IF(ORIG!F1735=0,"",ORIG!F1735)</f>
        <v/>
      </c>
      <c r="G1735" s="3">
        <f>IF(ORIG!G1735=0,"",ORIG!G1735)</f>
        <v/>
      </c>
      <c r="H1735" s="3">
        <f>IF(ORIG!H1735=0,"",ORIG!H1735)</f>
        <v/>
      </c>
      <c r="I1735" s="3">
        <f>IF(ORIG!I1735=0,"",ORIG!I1735)</f>
        <v/>
      </c>
      <c r="J1735" s="3">
        <f>IF(ORIG!J1735=0,"",ORIG!J1735)</f>
        <v/>
      </c>
      <c r="K1735" s="3">
        <f>IF(ORIG!K1735=0,"",ORIG!K1735)</f>
        <v/>
      </c>
      <c r="L1735" s="3">
        <f>IF(ORIG!L1735=0,"",ORIG!L1735)</f>
        <v/>
      </c>
      <c r="M1735" s="3">
        <f>IF(ORIG!M1735=0,"",ORIG!M1735)</f>
        <v/>
      </c>
      <c r="N1735" s="3">
        <f>IF(ORIG!N1735=0,"",ORIG!N1735)</f>
        <v/>
      </c>
      <c r="O1735" s="3">
        <f>IF(ORIG!O1735=0,"",ORIG!O1735)</f>
        <v/>
      </c>
      <c r="P1735" s="3">
        <f>IF(ORIG!P1735=0,"",ORIG!P1735)</f>
        <v/>
      </c>
      <c r="Q1735" s="3">
        <f>IF(ORIG!Q1735=0,"",ORIG!Q1735)</f>
        <v/>
      </c>
      <c r="R1735" s="3">
        <f>IF(ORIG!R1735=0,"",ORIG!R1735)</f>
        <v/>
      </c>
      <c r="S1735" s="3">
        <f>IF(ORIG!S1735=0,"",ORIG!S1735)</f>
        <v/>
      </c>
      <c r="T1735" s="3">
        <f>IF(ORIG!T1735=0,"",ORIG!T1735)</f>
        <v/>
      </c>
      <c r="U1735" s="3">
        <f>IF(ORIG!U1735=0,"",ORIG!U1735)</f>
        <v/>
      </c>
      <c r="V1735" s="9">
        <f>IF(ORIG!V1735=0,"",ORIG!V1735)</f>
        <v/>
      </c>
      <c r="W1735" s="9">
        <f>IF(ORIG!W1735=0,"",ORIG!W1735)</f>
        <v/>
      </c>
      <c r="X1735" s="9">
        <f>IF(ORIG!X1735=0,"",ORIG!X1735)</f>
        <v/>
      </c>
      <c r="Y1735" s="9">
        <f>IF(ORIG!Y1735=0,"",ORIG!Y1735)</f>
        <v/>
      </c>
      <c r="Z1735" s="3">
        <f>SUMPRODUCT($B1735:$Y1735,$B$2649:$Y$2649)</f>
        <v/>
      </c>
      <c r="AA1735" s="3">
        <f>SUMPRODUCT($B1735:$Y1735,$B$2655:$Y$2655)</f>
        <v/>
      </c>
      <c r="AC1735" s="1">
        <f>A1735</f>
        <v/>
      </c>
      <c r="AD1735">
        <f>IF(ISNUMBER(V1735),V1735*($AB$1/V$2635),"")</f>
        <v/>
      </c>
      <c r="AE1735">
        <f>IF(ISNUMBER(Z1735),Z1735*($AB$1/Z$2635),"")</f>
        <v/>
      </c>
      <c r="AF1735" s="25">
        <f>IF(ISNUMBER(AD1735+AE1735),AD1735+AE1735,"")</f>
        <v/>
      </c>
      <c r="AH1735" s="1">
        <f>A1735</f>
        <v/>
      </c>
      <c r="AI1735">
        <f>IF(ISNUMBER((1+V1735)*AI1734),(1+V1735)*AI1734,AI1734)</f>
        <v/>
      </c>
      <c r="AJ1735">
        <f>IF(ISNUMBER((1+Z1735)*AJ1734),(1+Z1735)*AJ1734,AJ1734)</f>
        <v/>
      </c>
    </row>
    <row r="1736">
      <c r="A1736" s="1" t="n">
        <v>44518</v>
      </c>
      <c r="B1736" s="3">
        <f>IF(ORIG!B1736=0,"",ORIG!B1736)</f>
        <v/>
      </c>
      <c r="C1736" s="3">
        <f>IF(ORIG!C1736=0,"",ORIG!C1736)</f>
        <v/>
      </c>
      <c r="D1736" s="3">
        <f>IF(ORIG!D1736=0,"",ORIG!D1736)</f>
        <v/>
      </c>
      <c r="E1736" s="3">
        <f>IF(ORIG!E1736=0,"",ORIG!E1736)</f>
        <v/>
      </c>
      <c r="F1736" s="3">
        <f>IF(ORIG!F1736=0,"",ORIG!F1736)</f>
        <v/>
      </c>
      <c r="G1736" s="3">
        <f>IF(ORIG!G1736=0,"",ORIG!G1736)</f>
        <v/>
      </c>
      <c r="H1736" s="3">
        <f>IF(ORIG!H1736=0,"",ORIG!H1736)</f>
        <v/>
      </c>
      <c r="I1736" s="3">
        <f>IF(ORIG!I1736=0,"",ORIG!I1736)</f>
        <v/>
      </c>
      <c r="J1736" s="3">
        <f>IF(ORIG!J1736=0,"",ORIG!J1736)</f>
        <v/>
      </c>
      <c r="K1736" s="3">
        <f>IF(ORIG!K1736=0,"",ORIG!K1736)</f>
        <v/>
      </c>
      <c r="L1736" s="3">
        <f>IF(ORIG!L1736=0,"",ORIG!L1736)</f>
        <v/>
      </c>
      <c r="M1736" s="3">
        <f>IF(ORIG!M1736=0,"",ORIG!M1736)</f>
        <v/>
      </c>
      <c r="N1736" s="3">
        <f>IF(ORIG!N1736=0,"",ORIG!N1736)</f>
        <v/>
      </c>
      <c r="O1736" s="3">
        <f>IF(ORIG!O1736=0,"",ORIG!O1736)</f>
        <v/>
      </c>
      <c r="P1736" s="3">
        <f>IF(ORIG!P1736=0,"",ORIG!P1736)</f>
        <v/>
      </c>
      <c r="Q1736" s="3">
        <f>IF(ORIG!Q1736=0,"",ORIG!Q1736)</f>
        <v/>
      </c>
      <c r="R1736" s="3">
        <f>IF(ORIG!R1736=0,"",ORIG!R1736)</f>
        <v/>
      </c>
      <c r="S1736" s="3">
        <f>IF(ORIG!S1736=0,"",ORIG!S1736)</f>
        <v/>
      </c>
      <c r="T1736" s="3">
        <f>IF(ORIG!T1736=0,"",ORIG!T1736)</f>
        <v/>
      </c>
      <c r="U1736" s="3">
        <f>IF(ORIG!U1736=0,"",ORIG!U1736)</f>
        <v/>
      </c>
      <c r="V1736" s="9">
        <f>IF(ORIG!V1736=0,"",ORIG!V1736)</f>
        <v/>
      </c>
      <c r="W1736" s="9">
        <f>IF(ORIG!W1736=0,"",ORIG!W1736)</f>
        <v/>
      </c>
      <c r="X1736" s="9">
        <f>IF(ORIG!X1736=0,"",ORIG!X1736)</f>
        <v/>
      </c>
      <c r="Y1736" s="9">
        <f>IF(ORIG!Y1736=0,"",ORIG!Y1736)</f>
        <v/>
      </c>
      <c r="Z1736" s="3">
        <f>SUMPRODUCT($B1736:$Y1736,$B$2649:$Y$2649)</f>
        <v/>
      </c>
      <c r="AA1736" s="3">
        <f>SUMPRODUCT($B1736:$Y1736,$B$2655:$Y$2655)</f>
        <v/>
      </c>
      <c r="AC1736" s="1">
        <f>A1736</f>
        <v/>
      </c>
      <c r="AD1736">
        <f>IF(ISNUMBER(V1736),V1736*($AB$1/V$2635),"")</f>
        <v/>
      </c>
      <c r="AE1736">
        <f>IF(ISNUMBER(Z1736),Z1736*($AB$1/Z$2635),"")</f>
        <v/>
      </c>
      <c r="AF1736" s="25">
        <f>IF(ISNUMBER(AD1736+AE1736),AD1736+AE1736,"")</f>
        <v/>
      </c>
      <c r="AH1736" s="1">
        <f>A1736</f>
        <v/>
      </c>
      <c r="AI1736">
        <f>IF(ISNUMBER((1+V1736)*AI1735),(1+V1736)*AI1735,AI1735)</f>
        <v/>
      </c>
      <c r="AJ1736">
        <f>IF(ISNUMBER((1+Z1736)*AJ1735),(1+Z1736)*AJ1735,AJ1735)</f>
        <v/>
      </c>
    </row>
    <row r="1737">
      <c r="A1737" s="1" t="n">
        <v>44519</v>
      </c>
      <c r="B1737" s="3">
        <f>IF(ORIG!B1737=0,"",ORIG!B1737)</f>
        <v/>
      </c>
      <c r="C1737" s="3">
        <f>IF(ORIG!C1737=0,"",ORIG!C1737)</f>
        <v/>
      </c>
      <c r="D1737" s="3">
        <f>IF(ORIG!D1737=0,"",ORIG!D1737)</f>
        <v/>
      </c>
      <c r="E1737" s="3">
        <f>IF(ORIG!E1737=0,"",ORIG!E1737)</f>
        <v/>
      </c>
      <c r="F1737" s="3">
        <f>IF(ORIG!F1737=0,"",ORIG!F1737)</f>
        <v/>
      </c>
      <c r="G1737" s="3">
        <f>IF(ORIG!G1737=0,"",ORIG!G1737)</f>
        <v/>
      </c>
      <c r="H1737" s="3">
        <f>IF(ORIG!H1737=0,"",ORIG!H1737)</f>
        <v/>
      </c>
      <c r="I1737" s="3">
        <f>IF(ORIG!I1737=0,"",ORIG!I1737)</f>
        <v/>
      </c>
      <c r="J1737" s="3">
        <f>IF(ORIG!J1737=0,"",ORIG!J1737)</f>
        <v/>
      </c>
      <c r="K1737" s="3">
        <f>IF(ORIG!K1737=0,"",ORIG!K1737)</f>
        <v/>
      </c>
      <c r="L1737" s="3">
        <f>IF(ORIG!L1737=0,"",ORIG!L1737)</f>
        <v/>
      </c>
      <c r="M1737" s="3">
        <f>IF(ORIG!M1737=0,"",ORIG!M1737)</f>
        <v/>
      </c>
      <c r="N1737" s="3">
        <f>IF(ORIG!N1737=0,"",ORIG!N1737)</f>
        <v/>
      </c>
      <c r="O1737" s="3">
        <f>IF(ORIG!O1737=0,"",ORIG!O1737)</f>
        <v/>
      </c>
      <c r="P1737" s="3">
        <f>IF(ORIG!P1737=0,"",ORIG!P1737)</f>
        <v/>
      </c>
      <c r="Q1737" s="3">
        <f>IF(ORIG!Q1737=0,"",ORIG!Q1737)</f>
        <v/>
      </c>
      <c r="R1737" s="3">
        <f>IF(ORIG!R1737=0,"",ORIG!R1737)</f>
        <v/>
      </c>
      <c r="S1737" s="3">
        <f>IF(ORIG!S1737=0,"",ORIG!S1737)</f>
        <v/>
      </c>
      <c r="T1737" s="3">
        <f>IF(ORIG!T1737=0,"",ORIG!T1737)</f>
        <v/>
      </c>
      <c r="U1737" s="3">
        <f>IF(ORIG!U1737=0,"",ORIG!U1737)</f>
        <v/>
      </c>
      <c r="V1737" s="9">
        <f>IF(ORIG!V1737=0,"",ORIG!V1737)</f>
        <v/>
      </c>
      <c r="W1737" s="9">
        <f>IF(ORIG!W1737=0,"",ORIG!W1737)</f>
        <v/>
      </c>
      <c r="X1737" s="9">
        <f>IF(ORIG!X1737=0,"",ORIG!X1737)</f>
        <v/>
      </c>
      <c r="Y1737" s="9">
        <f>IF(ORIG!Y1737=0,"",ORIG!Y1737)</f>
        <v/>
      </c>
      <c r="Z1737" s="3">
        <f>SUMPRODUCT($B1737:$Y1737,$B$2649:$Y$2649)</f>
        <v/>
      </c>
      <c r="AA1737" s="3">
        <f>SUMPRODUCT($B1737:$Y1737,$B$2655:$Y$2655)</f>
        <v/>
      </c>
      <c r="AC1737" s="1">
        <f>A1737</f>
        <v/>
      </c>
      <c r="AD1737">
        <f>IF(ISNUMBER(V1737),V1737*($AB$1/V$2635),"")</f>
        <v/>
      </c>
      <c r="AE1737">
        <f>IF(ISNUMBER(Z1737),Z1737*($AB$1/Z$2635),"")</f>
        <v/>
      </c>
      <c r="AF1737" s="25">
        <f>IF(ISNUMBER(AD1737+AE1737),AD1737+AE1737,"")</f>
        <v/>
      </c>
      <c r="AH1737" s="1">
        <f>A1737</f>
        <v/>
      </c>
      <c r="AI1737">
        <f>IF(ISNUMBER((1+V1737)*AI1736),(1+V1737)*AI1736,AI1736)</f>
        <v/>
      </c>
      <c r="AJ1737">
        <f>IF(ISNUMBER((1+Z1737)*AJ1736),(1+Z1737)*AJ1736,AJ1736)</f>
        <v/>
      </c>
    </row>
    <row r="1738">
      <c r="A1738" s="1" t="n">
        <v>44522</v>
      </c>
      <c r="B1738" s="3">
        <f>IF(ORIG!B1738=0,"",ORIG!B1738)</f>
        <v/>
      </c>
      <c r="C1738" s="3">
        <f>IF(ORIG!C1738=0,"",ORIG!C1738)</f>
        <v/>
      </c>
      <c r="D1738" s="3">
        <f>IF(ORIG!D1738=0,"",ORIG!D1738)</f>
        <v/>
      </c>
      <c r="E1738" s="3">
        <f>IF(ORIG!E1738=0,"",ORIG!E1738)</f>
        <v/>
      </c>
      <c r="F1738" s="3">
        <f>IF(ORIG!F1738=0,"",ORIG!F1738)</f>
        <v/>
      </c>
      <c r="G1738" s="3">
        <f>IF(ORIG!G1738=0,"",ORIG!G1738)</f>
        <v/>
      </c>
      <c r="H1738" s="3">
        <f>IF(ORIG!H1738=0,"",ORIG!H1738)</f>
        <v/>
      </c>
      <c r="I1738" s="3">
        <f>IF(ORIG!I1738=0,"",ORIG!I1738)</f>
        <v/>
      </c>
      <c r="J1738" s="3">
        <f>IF(ORIG!J1738=0,"",ORIG!J1738)</f>
        <v/>
      </c>
      <c r="K1738" s="3">
        <f>IF(ORIG!K1738=0,"",ORIG!K1738)</f>
        <v/>
      </c>
      <c r="L1738" s="3">
        <f>IF(ORIG!L1738=0,"",ORIG!L1738)</f>
        <v/>
      </c>
      <c r="M1738" s="3">
        <f>IF(ORIG!M1738=0,"",ORIG!M1738)</f>
        <v/>
      </c>
      <c r="N1738" s="3">
        <f>IF(ORIG!N1738=0,"",ORIG!N1738)</f>
        <v/>
      </c>
      <c r="O1738" s="3">
        <f>IF(ORIG!O1738=0,"",ORIG!O1738)</f>
        <v/>
      </c>
      <c r="P1738" s="3">
        <f>IF(ORIG!P1738=0,"",ORIG!P1738)</f>
        <v/>
      </c>
      <c r="Q1738" s="3">
        <f>IF(ORIG!Q1738=0,"",ORIG!Q1738)</f>
        <v/>
      </c>
      <c r="R1738" s="3">
        <f>IF(ORIG!R1738=0,"",ORIG!R1738)</f>
        <v/>
      </c>
      <c r="S1738" s="3">
        <f>IF(ORIG!S1738=0,"",ORIG!S1738)</f>
        <v/>
      </c>
      <c r="T1738" s="3">
        <f>IF(ORIG!T1738=0,"",ORIG!T1738)</f>
        <v/>
      </c>
      <c r="U1738" s="3">
        <f>IF(ORIG!U1738=0,"",ORIG!U1738)</f>
        <v/>
      </c>
      <c r="V1738" s="9">
        <f>IF(ORIG!V1738=0,"",ORIG!V1738)</f>
        <v/>
      </c>
      <c r="W1738" s="9">
        <f>IF(ORIG!W1738=0,"",ORIG!W1738)</f>
        <v/>
      </c>
      <c r="X1738" s="9">
        <f>IF(ORIG!X1738=0,"",ORIG!X1738)</f>
        <v/>
      </c>
      <c r="Y1738" s="9">
        <f>IF(ORIG!Y1738=0,"",ORIG!Y1738)</f>
        <v/>
      </c>
      <c r="Z1738" s="3">
        <f>SUMPRODUCT($B1738:$Y1738,$B$2649:$Y$2649)</f>
        <v/>
      </c>
      <c r="AA1738" s="3">
        <f>SUMPRODUCT($B1738:$Y1738,$B$2655:$Y$2655)</f>
        <v/>
      </c>
      <c r="AC1738" s="1">
        <f>A1738</f>
        <v/>
      </c>
      <c r="AD1738">
        <f>IF(ISNUMBER(V1738),V1738*($AB$1/V$2635),"")</f>
        <v/>
      </c>
      <c r="AE1738">
        <f>IF(ISNUMBER(Z1738),Z1738*($AB$1/Z$2635),"")</f>
        <v/>
      </c>
      <c r="AF1738" s="25">
        <f>IF(ISNUMBER(AD1738+AE1738),AD1738+AE1738,"")</f>
        <v/>
      </c>
      <c r="AH1738" s="1">
        <f>A1738</f>
        <v/>
      </c>
      <c r="AI1738">
        <f>IF(ISNUMBER((1+V1738)*AI1737),(1+V1738)*AI1737,AI1737)</f>
        <v/>
      </c>
      <c r="AJ1738">
        <f>IF(ISNUMBER((1+Z1738)*AJ1737),(1+Z1738)*AJ1737,AJ1737)</f>
        <v/>
      </c>
    </row>
    <row r="1739">
      <c r="A1739" s="1" t="n">
        <v>44523</v>
      </c>
      <c r="B1739" s="3">
        <f>IF(ORIG!B1739=0,"",ORIG!B1739)</f>
        <v/>
      </c>
      <c r="C1739" s="3">
        <f>IF(ORIG!C1739=0,"",ORIG!C1739)</f>
        <v/>
      </c>
      <c r="D1739" s="3">
        <f>IF(ORIG!D1739=0,"",ORIG!D1739)</f>
        <v/>
      </c>
      <c r="E1739" s="3">
        <f>IF(ORIG!E1739=0,"",ORIG!E1739)</f>
        <v/>
      </c>
      <c r="F1739" s="3">
        <f>IF(ORIG!F1739=0,"",ORIG!F1739)</f>
        <v/>
      </c>
      <c r="G1739" s="3">
        <f>IF(ORIG!G1739=0,"",ORIG!G1739)</f>
        <v/>
      </c>
      <c r="H1739" s="3">
        <f>IF(ORIG!H1739=0,"",ORIG!H1739)</f>
        <v/>
      </c>
      <c r="I1739" s="3">
        <f>IF(ORIG!I1739=0,"",ORIG!I1739)</f>
        <v/>
      </c>
      <c r="J1739" s="3">
        <f>IF(ORIG!J1739=0,"",ORIG!J1739)</f>
        <v/>
      </c>
      <c r="K1739" s="3">
        <f>IF(ORIG!K1739=0,"",ORIG!K1739)</f>
        <v/>
      </c>
      <c r="L1739" s="3">
        <f>IF(ORIG!L1739=0,"",ORIG!L1739)</f>
        <v/>
      </c>
      <c r="M1739" s="3">
        <f>IF(ORIG!M1739=0,"",ORIG!M1739)</f>
        <v/>
      </c>
      <c r="N1739" s="3">
        <f>IF(ORIG!N1739=0,"",ORIG!N1739)</f>
        <v/>
      </c>
      <c r="O1739" s="3">
        <f>IF(ORIG!O1739=0,"",ORIG!O1739)</f>
        <v/>
      </c>
      <c r="P1739" s="3">
        <f>IF(ORIG!P1739=0,"",ORIG!P1739)</f>
        <v/>
      </c>
      <c r="Q1739" s="3">
        <f>IF(ORIG!Q1739=0,"",ORIG!Q1739)</f>
        <v/>
      </c>
      <c r="R1739" s="3">
        <f>IF(ORIG!R1739=0,"",ORIG!R1739)</f>
        <v/>
      </c>
      <c r="S1739" s="3">
        <f>IF(ORIG!S1739=0,"",ORIG!S1739)</f>
        <v/>
      </c>
      <c r="T1739" s="3">
        <f>IF(ORIG!T1739=0,"",ORIG!T1739)</f>
        <v/>
      </c>
      <c r="U1739" s="3">
        <f>IF(ORIG!U1739=0,"",ORIG!U1739)</f>
        <v/>
      </c>
      <c r="V1739" s="9">
        <f>IF(ORIG!V1739=0,"",ORIG!V1739)</f>
        <v/>
      </c>
      <c r="W1739" s="9">
        <f>IF(ORIG!W1739=0,"",ORIG!W1739)</f>
        <v/>
      </c>
      <c r="X1739" s="9">
        <f>IF(ORIG!X1739=0,"",ORIG!X1739)</f>
        <v/>
      </c>
      <c r="Y1739" s="9">
        <f>IF(ORIG!Y1739=0,"",ORIG!Y1739)</f>
        <v/>
      </c>
      <c r="Z1739" s="3">
        <f>SUMPRODUCT($B1739:$Y1739,$B$2649:$Y$2649)</f>
        <v/>
      </c>
      <c r="AA1739" s="3">
        <f>SUMPRODUCT($B1739:$Y1739,$B$2655:$Y$2655)</f>
        <v/>
      </c>
      <c r="AC1739" s="1">
        <f>A1739</f>
        <v/>
      </c>
      <c r="AD1739">
        <f>IF(ISNUMBER(V1739),V1739*($AB$1/V$2635),"")</f>
        <v/>
      </c>
      <c r="AE1739">
        <f>IF(ISNUMBER(Z1739),Z1739*($AB$1/Z$2635),"")</f>
        <v/>
      </c>
      <c r="AF1739" s="25">
        <f>IF(ISNUMBER(AD1739+AE1739),AD1739+AE1739,"")</f>
        <v/>
      </c>
      <c r="AH1739" s="1">
        <f>A1739</f>
        <v/>
      </c>
      <c r="AI1739">
        <f>IF(ISNUMBER((1+V1739)*AI1738),(1+V1739)*AI1738,AI1738)</f>
        <v/>
      </c>
      <c r="AJ1739">
        <f>IF(ISNUMBER((1+Z1739)*AJ1738),(1+Z1739)*AJ1738,AJ1738)</f>
        <v/>
      </c>
    </row>
    <row r="1740">
      <c r="A1740" s="1" t="n">
        <v>44524</v>
      </c>
      <c r="B1740" s="3">
        <f>IF(ORIG!B1740=0,"",ORIG!B1740)</f>
        <v/>
      </c>
      <c r="C1740" s="3">
        <f>IF(ORIG!C1740=0,"",ORIG!C1740)</f>
        <v/>
      </c>
      <c r="D1740" s="3">
        <f>IF(ORIG!D1740=0,"",ORIG!D1740)</f>
        <v/>
      </c>
      <c r="E1740" s="3">
        <f>IF(ORIG!E1740=0,"",ORIG!E1740)</f>
        <v/>
      </c>
      <c r="F1740" s="3">
        <f>IF(ORIG!F1740=0,"",ORIG!F1740)</f>
        <v/>
      </c>
      <c r="G1740" s="3">
        <f>IF(ORIG!G1740=0,"",ORIG!G1740)</f>
        <v/>
      </c>
      <c r="H1740" s="3">
        <f>IF(ORIG!H1740=0,"",ORIG!H1740)</f>
        <v/>
      </c>
      <c r="I1740" s="3">
        <f>IF(ORIG!I1740=0,"",ORIG!I1740)</f>
        <v/>
      </c>
      <c r="J1740" s="3">
        <f>IF(ORIG!J1740=0,"",ORIG!J1740)</f>
        <v/>
      </c>
      <c r="K1740" s="3">
        <f>IF(ORIG!K1740=0,"",ORIG!K1740)</f>
        <v/>
      </c>
      <c r="L1740" s="3">
        <f>IF(ORIG!L1740=0,"",ORIG!L1740)</f>
        <v/>
      </c>
      <c r="M1740" s="3">
        <f>IF(ORIG!M1740=0,"",ORIG!M1740)</f>
        <v/>
      </c>
      <c r="N1740" s="3">
        <f>IF(ORIG!N1740=0,"",ORIG!N1740)</f>
        <v/>
      </c>
      <c r="O1740" s="3">
        <f>IF(ORIG!O1740=0,"",ORIG!O1740)</f>
        <v/>
      </c>
      <c r="P1740" s="3">
        <f>IF(ORIG!P1740=0,"",ORIG!P1740)</f>
        <v/>
      </c>
      <c r="Q1740" s="3">
        <f>IF(ORIG!Q1740=0,"",ORIG!Q1740)</f>
        <v/>
      </c>
      <c r="R1740" s="3">
        <f>IF(ORIG!R1740=0,"",ORIG!R1740)</f>
        <v/>
      </c>
      <c r="S1740" s="3">
        <f>IF(ORIG!S1740=0,"",ORIG!S1740)</f>
        <v/>
      </c>
      <c r="T1740" s="3">
        <f>IF(ORIG!T1740=0,"",ORIG!T1740)</f>
        <v/>
      </c>
      <c r="U1740" s="3">
        <f>IF(ORIG!U1740=0,"",ORIG!U1740)</f>
        <v/>
      </c>
      <c r="V1740" s="9">
        <f>IF(ORIG!V1740=0,"",ORIG!V1740)</f>
        <v/>
      </c>
      <c r="W1740" s="9">
        <f>IF(ORIG!W1740=0,"",ORIG!W1740)</f>
        <v/>
      </c>
      <c r="X1740" s="9">
        <f>IF(ORIG!X1740=0,"",ORIG!X1740)</f>
        <v/>
      </c>
      <c r="Y1740" s="9">
        <f>IF(ORIG!Y1740=0,"",ORIG!Y1740)</f>
        <v/>
      </c>
      <c r="Z1740" s="3">
        <f>SUMPRODUCT($B1740:$Y1740,$B$2649:$Y$2649)</f>
        <v/>
      </c>
      <c r="AA1740" s="3">
        <f>SUMPRODUCT($B1740:$Y1740,$B$2655:$Y$2655)</f>
        <v/>
      </c>
      <c r="AC1740" s="1">
        <f>A1740</f>
        <v/>
      </c>
      <c r="AD1740">
        <f>IF(ISNUMBER(V1740),V1740*($AB$1/V$2635),"")</f>
        <v/>
      </c>
      <c r="AE1740">
        <f>IF(ISNUMBER(Z1740),Z1740*($AB$1/Z$2635),"")</f>
        <v/>
      </c>
      <c r="AF1740" s="25">
        <f>IF(ISNUMBER(AD1740+AE1740),AD1740+AE1740,"")</f>
        <v/>
      </c>
      <c r="AH1740" s="1">
        <f>A1740</f>
        <v/>
      </c>
      <c r="AI1740">
        <f>IF(ISNUMBER((1+V1740)*AI1739),(1+V1740)*AI1739,AI1739)</f>
        <v/>
      </c>
      <c r="AJ1740">
        <f>IF(ISNUMBER((1+Z1740)*AJ1739),(1+Z1740)*AJ1739,AJ1739)</f>
        <v/>
      </c>
    </row>
    <row r="1741">
      <c r="A1741" s="1" t="n">
        <v>44526</v>
      </c>
      <c r="B1741" s="3">
        <f>IF(ORIG!B1741=0,"",ORIG!B1741)</f>
        <v/>
      </c>
      <c r="C1741" s="3">
        <f>IF(ORIG!C1741=0,"",ORIG!C1741)</f>
        <v/>
      </c>
      <c r="D1741" s="3">
        <f>IF(ORIG!D1741=0,"",ORIG!D1741)</f>
        <v/>
      </c>
      <c r="E1741" s="3">
        <f>IF(ORIG!E1741=0,"",ORIG!E1741)</f>
        <v/>
      </c>
      <c r="F1741" s="3">
        <f>IF(ORIG!F1741=0,"",ORIG!F1741)</f>
        <v/>
      </c>
      <c r="G1741" s="3">
        <f>IF(ORIG!G1741=0,"",ORIG!G1741)</f>
        <v/>
      </c>
      <c r="H1741" s="3">
        <f>IF(ORIG!H1741=0,"",ORIG!H1741)</f>
        <v/>
      </c>
      <c r="I1741" s="3">
        <f>IF(ORIG!I1741=0,"",ORIG!I1741)</f>
        <v/>
      </c>
      <c r="J1741" s="3">
        <f>IF(ORIG!J1741=0,"",ORIG!J1741)</f>
        <v/>
      </c>
      <c r="K1741" s="3">
        <f>IF(ORIG!K1741=0,"",ORIG!K1741)</f>
        <v/>
      </c>
      <c r="L1741" s="3">
        <f>IF(ORIG!L1741=0,"",ORIG!L1741)</f>
        <v/>
      </c>
      <c r="M1741" s="3">
        <f>IF(ORIG!M1741=0,"",ORIG!M1741)</f>
        <v/>
      </c>
      <c r="N1741" s="3">
        <f>IF(ORIG!N1741=0,"",ORIG!N1741)</f>
        <v/>
      </c>
      <c r="O1741" s="3">
        <f>IF(ORIG!O1741=0,"",ORIG!O1741)</f>
        <v/>
      </c>
      <c r="P1741" s="3">
        <f>IF(ORIG!P1741=0,"",ORIG!P1741)</f>
        <v/>
      </c>
      <c r="Q1741" s="3">
        <f>IF(ORIG!Q1741=0,"",ORIG!Q1741)</f>
        <v/>
      </c>
      <c r="R1741" s="3">
        <f>IF(ORIG!R1741=0,"",ORIG!R1741)</f>
        <v/>
      </c>
      <c r="S1741" s="3">
        <f>IF(ORIG!S1741=0,"",ORIG!S1741)</f>
        <v/>
      </c>
      <c r="T1741" s="3">
        <f>IF(ORIG!T1741=0,"",ORIG!T1741)</f>
        <v/>
      </c>
      <c r="U1741" s="3">
        <f>IF(ORIG!U1741=0,"",ORIG!U1741)</f>
        <v/>
      </c>
      <c r="V1741" s="9">
        <f>IF(ORIG!V1741=0,"",ORIG!V1741)</f>
        <v/>
      </c>
      <c r="W1741" s="9">
        <f>IF(ORIG!W1741=0,"",ORIG!W1741)</f>
        <v/>
      </c>
      <c r="X1741" s="9">
        <f>IF(ORIG!X1741=0,"",ORIG!X1741)</f>
        <v/>
      </c>
      <c r="Y1741" s="9">
        <f>IF(ORIG!Y1741=0,"",ORIG!Y1741)</f>
        <v/>
      </c>
      <c r="Z1741" s="3">
        <f>SUMPRODUCT($B1741:$Y1741,$B$2649:$Y$2649)</f>
        <v/>
      </c>
      <c r="AA1741" s="3">
        <f>SUMPRODUCT($B1741:$Y1741,$B$2655:$Y$2655)</f>
        <v/>
      </c>
      <c r="AC1741" s="1">
        <f>A1741</f>
        <v/>
      </c>
      <c r="AD1741">
        <f>IF(ISNUMBER(V1741),V1741*($AB$1/V$2635),"")</f>
        <v/>
      </c>
      <c r="AE1741">
        <f>IF(ISNUMBER(Z1741),Z1741*($AB$1/Z$2635),"")</f>
        <v/>
      </c>
      <c r="AF1741" s="25">
        <f>IF(ISNUMBER(AD1741+AE1741),AD1741+AE1741,"")</f>
        <v/>
      </c>
      <c r="AH1741" s="1">
        <f>A1741</f>
        <v/>
      </c>
      <c r="AI1741">
        <f>IF(ISNUMBER((1+V1741)*AI1740),(1+V1741)*AI1740,AI1740)</f>
        <v/>
      </c>
      <c r="AJ1741">
        <f>IF(ISNUMBER((1+Z1741)*AJ1740),(1+Z1741)*AJ1740,AJ1740)</f>
        <v/>
      </c>
    </row>
    <row r="1742">
      <c r="A1742" s="1" t="n">
        <v>44529</v>
      </c>
      <c r="B1742" s="3">
        <f>IF(ORIG!B1742=0,"",ORIG!B1742)</f>
        <v/>
      </c>
      <c r="C1742" s="3">
        <f>IF(ORIG!C1742=0,"",ORIG!C1742)</f>
        <v/>
      </c>
      <c r="D1742" s="3">
        <f>IF(ORIG!D1742=0,"",ORIG!D1742)</f>
        <v/>
      </c>
      <c r="E1742" s="3">
        <f>IF(ORIG!E1742=0,"",ORIG!E1742)</f>
        <v/>
      </c>
      <c r="F1742" s="3">
        <f>IF(ORIG!F1742=0,"",ORIG!F1742)</f>
        <v/>
      </c>
      <c r="G1742" s="3">
        <f>IF(ORIG!G1742=0,"",ORIG!G1742)</f>
        <v/>
      </c>
      <c r="H1742" s="3">
        <f>IF(ORIG!H1742=0,"",ORIG!H1742)</f>
        <v/>
      </c>
      <c r="I1742" s="3">
        <f>IF(ORIG!I1742=0,"",ORIG!I1742)</f>
        <v/>
      </c>
      <c r="J1742" s="3">
        <f>IF(ORIG!J1742=0,"",ORIG!J1742)</f>
        <v/>
      </c>
      <c r="K1742" s="3">
        <f>IF(ORIG!K1742=0,"",ORIG!K1742)</f>
        <v/>
      </c>
      <c r="L1742" s="3">
        <f>IF(ORIG!L1742=0,"",ORIG!L1742)</f>
        <v/>
      </c>
      <c r="M1742" s="3">
        <f>IF(ORIG!M1742=0,"",ORIG!M1742)</f>
        <v/>
      </c>
      <c r="N1742" s="3">
        <f>IF(ORIG!N1742=0,"",ORIG!N1742)</f>
        <v/>
      </c>
      <c r="O1742" s="3">
        <f>IF(ORIG!O1742=0,"",ORIG!O1742)</f>
        <v/>
      </c>
      <c r="P1742" s="3">
        <f>IF(ORIG!P1742=0,"",ORIG!P1742)</f>
        <v/>
      </c>
      <c r="Q1742" s="3">
        <f>IF(ORIG!Q1742=0,"",ORIG!Q1742)</f>
        <v/>
      </c>
      <c r="R1742" s="3">
        <f>IF(ORIG!R1742=0,"",ORIG!R1742)</f>
        <v/>
      </c>
      <c r="S1742" s="3">
        <f>IF(ORIG!S1742=0,"",ORIG!S1742)</f>
        <v/>
      </c>
      <c r="T1742" s="3">
        <f>IF(ORIG!T1742=0,"",ORIG!T1742)</f>
        <v/>
      </c>
      <c r="U1742" s="3">
        <f>IF(ORIG!U1742=0,"",ORIG!U1742)</f>
        <v/>
      </c>
      <c r="V1742" s="9">
        <f>IF(ORIG!V1742=0,"",ORIG!V1742)</f>
        <v/>
      </c>
      <c r="W1742" s="9">
        <f>IF(ORIG!W1742=0,"",ORIG!W1742)</f>
        <v/>
      </c>
      <c r="X1742" s="9">
        <f>IF(ORIG!X1742=0,"",ORIG!X1742)</f>
        <v/>
      </c>
      <c r="Y1742" s="9">
        <f>IF(ORIG!Y1742=0,"",ORIG!Y1742)</f>
        <v/>
      </c>
      <c r="Z1742" s="3">
        <f>SUMPRODUCT($B1742:$Y1742,$B$2649:$Y$2649)</f>
        <v/>
      </c>
      <c r="AA1742" s="3">
        <f>SUMPRODUCT($B1742:$Y1742,$B$2655:$Y$2655)</f>
        <v/>
      </c>
      <c r="AC1742" s="1">
        <f>A1742</f>
        <v/>
      </c>
      <c r="AD1742">
        <f>IF(ISNUMBER(V1742),V1742*($AB$1/V$2635),"")</f>
        <v/>
      </c>
      <c r="AE1742">
        <f>IF(ISNUMBER(Z1742),Z1742*($AB$1/Z$2635),"")</f>
        <v/>
      </c>
      <c r="AF1742" s="25">
        <f>IF(ISNUMBER(AD1742+AE1742),AD1742+AE1742,"")</f>
        <v/>
      </c>
      <c r="AH1742" s="1">
        <f>A1742</f>
        <v/>
      </c>
      <c r="AI1742">
        <f>IF(ISNUMBER((1+V1742)*AI1741),(1+V1742)*AI1741,AI1741)</f>
        <v/>
      </c>
      <c r="AJ1742">
        <f>IF(ISNUMBER((1+Z1742)*AJ1741),(1+Z1742)*AJ1741,AJ1741)</f>
        <v/>
      </c>
    </row>
    <row r="1743">
      <c r="A1743" s="1" t="n">
        <v>44530</v>
      </c>
      <c r="B1743" s="3">
        <f>IF(ORIG!B1743=0,"",ORIG!B1743)</f>
        <v/>
      </c>
      <c r="C1743" s="3">
        <f>IF(ORIG!C1743=0,"",ORIG!C1743)</f>
        <v/>
      </c>
      <c r="D1743" s="3">
        <f>IF(ORIG!D1743=0,"",ORIG!D1743)</f>
        <v/>
      </c>
      <c r="E1743" s="3">
        <f>IF(ORIG!E1743=0,"",ORIG!E1743)</f>
        <v/>
      </c>
      <c r="F1743" s="3">
        <f>IF(ORIG!F1743=0,"",ORIG!F1743)</f>
        <v/>
      </c>
      <c r="G1743" s="3">
        <f>IF(ORIG!G1743=0,"",ORIG!G1743)</f>
        <v/>
      </c>
      <c r="H1743" s="3">
        <f>IF(ORIG!H1743=0,"",ORIG!H1743)</f>
        <v/>
      </c>
      <c r="I1743" s="3">
        <f>IF(ORIG!I1743=0,"",ORIG!I1743)</f>
        <v/>
      </c>
      <c r="J1743" s="3">
        <f>IF(ORIG!J1743=0,"",ORIG!J1743)</f>
        <v/>
      </c>
      <c r="K1743" s="3">
        <f>IF(ORIG!K1743=0,"",ORIG!K1743)</f>
        <v/>
      </c>
      <c r="L1743" s="3">
        <f>IF(ORIG!L1743=0,"",ORIG!L1743)</f>
        <v/>
      </c>
      <c r="M1743" s="3">
        <f>IF(ORIG!M1743=0,"",ORIG!M1743)</f>
        <v/>
      </c>
      <c r="N1743" s="3">
        <f>IF(ORIG!N1743=0,"",ORIG!N1743)</f>
        <v/>
      </c>
      <c r="O1743" s="3">
        <f>IF(ORIG!O1743=0,"",ORIG!O1743)</f>
        <v/>
      </c>
      <c r="P1743" s="3">
        <f>IF(ORIG!P1743=0,"",ORIG!P1743)</f>
        <v/>
      </c>
      <c r="Q1743" s="3">
        <f>IF(ORIG!Q1743=0,"",ORIG!Q1743)</f>
        <v/>
      </c>
      <c r="R1743" s="3">
        <f>IF(ORIG!R1743=0,"",ORIG!R1743)</f>
        <v/>
      </c>
      <c r="S1743" s="3">
        <f>IF(ORIG!S1743=0,"",ORIG!S1743)</f>
        <v/>
      </c>
      <c r="T1743" s="3">
        <f>IF(ORIG!T1743=0,"",ORIG!T1743)</f>
        <v/>
      </c>
      <c r="U1743" s="3">
        <f>IF(ORIG!U1743=0,"",ORIG!U1743)</f>
        <v/>
      </c>
      <c r="V1743" s="9">
        <f>IF(ORIG!V1743=0,"",ORIG!V1743)</f>
        <v/>
      </c>
      <c r="W1743" s="9">
        <f>IF(ORIG!W1743=0,"",ORIG!W1743)</f>
        <v/>
      </c>
      <c r="X1743" s="9">
        <f>IF(ORIG!X1743=0,"",ORIG!X1743)</f>
        <v/>
      </c>
      <c r="Y1743" s="9">
        <f>IF(ORIG!Y1743=0,"",ORIG!Y1743)</f>
        <v/>
      </c>
      <c r="Z1743" s="3">
        <f>SUMPRODUCT($B1743:$Y1743,$B$2649:$Y$2649)</f>
        <v/>
      </c>
      <c r="AA1743" s="3">
        <f>SUMPRODUCT($B1743:$Y1743,$B$2655:$Y$2655)</f>
        <v/>
      </c>
      <c r="AC1743" s="1">
        <f>A1743</f>
        <v/>
      </c>
      <c r="AD1743">
        <f>IF(ISNUMBER(V1743),V1743*($AB$1/V$2635),"")</f>
        <v/>
      </c>
      <c r="AE1743">
        <f>IF(ISNUMBER(Z1743),Z1743*($AB$1/Z$2635),"")</f>
        <v/>
      </c>
      <c r="AF1743" s="25">
        <f>IF(ISNUMBER(AD1743+AE1743),AD1743+AE1743,"")</f>
        <v/>
      </c>
      <c r="AH1743" s="1">
        <f>A1743</f>
        <v/>
      </c>
      <c r="AI1743">
        <f>IF(ISNUMBER((1+V1743)*AI1742),(1+V1743)*AI1742,AI1742)</f>
        <v/>
      </c>
      <c r="AJ1743">
        <f>IF(ISNUMBER((1+Z1743)*AJ1742),(1+Z1743)*AJ1742,AJ1742)</f>
        <v/>
      </c>
    </row>
    <row r="1744">
      <c r="A1744" s="1" t="n">
        <v>44531</v>
      </c>
      <c r="B1744" s="3">
        <f>IF(ORIG!B1744=0,"",ORIG!B1744)</f>
        <v/>
      </c>
      <c r="C1744" s="3">
        <f>IF(ORIG!C1744=0,"",ORIG!C1744)</f>
        <v/>
      </c>
      <c r="D1744" s="3">
        <f>IF(ORIG!D1744=0,"",ORIG!D1744)</f>
        <v/>
      </c>
      <c r="E1744" s="3">
        <f>IF(ORIG!E1744=0,"",ORIG!E1744)</f>
        <v/>
      </c>
      <c r="F1744" s="3">
        <f>IF(ORIG!F1744=0,"",ORIG!F1744)</f>
        <v/>
      </c>
      <c r="G1744" s="3">
        <f>IF(ORIG!G1744=0,"",ORIG!G1744)</f>
        <v/>
      </c>
      <c r="H1744" s="3">
        <f>IF(ORIG!H1744=0,"",ORIG!H1744)</f>
        <v/>
      </c>
      <c r="I1744" s="3">
        <f>IF(ORIG!I1744=0,"",ORIG!I1744)</f>
        <v/>
      </c>
      <c r="J1744" s="3">
        <f>IF(ORIG!J1744=0,"",ORIG!J1744)</f>
        <v/>
      </c>
      <c r="K1744" s="3">
        <f>IF(ORIG!K1744=0,"",ORIG!K1744)</f>
        <v/>
      </c>
      <c r="L1744" s="3">
        <f>IF(ORIG!L1744=0,"",ORIG!L1744)</f>
        <v/>
      </c>
      <c r="M1744" s="3">
        <f>IF(ORIG!M1744=0,"",ORIG!M1744)</f>
        <v/>
      </c>
      <c r="N1744" s="3">
        <f>IF(ORIG!N1744=0,"",ORIG!N1744)</f>
        <v/>
      </c>
      <c r="O1744" s="3">
        <f>IF(ORIG!O1744=0,"",ORIG!O1744)</f>
        <v/>
      </c>
      <c r="P1744" s="3">
        <f>IF(ORIG!P1744=0,"",ORIG!P1744)</f>
        <v/>
      </c>
      <c r="Q1744" s="3">
        <f>IF(ORIG!Q1744=0,"",ORIG!Q1744)</f>
        <v/>
      </c>
      <c r="R1744" s="3">
        <f>IF(ORIG!R1744=0,"",ORIG!R1744)</f>
        <v/>
      </c>
      <c r="S1744" s="3">
        <f>IF(ORIG!S1744=0,"",ORIG!S1744)</f>
        <v/>
      </c>
      <c r="T1744" s="3">
        <f>IF(ORIG!T1744=0,"",ORIG!T1744)</f>
        <v/>
      </c>
      <c r="U1744" s="3">
        <f>IF(ORIG!U1744=0,"",ORIG!U1744)</f>
        <v/>
      </c>
      <c r="V1744" s="9">
        <f>IF(ORIG!V1744=0,"",ORIG!V1744)</f>
        <v/>
      </c>
      <c r="W1744" s="9">
        <f>IF(ORIG!W1744=0,"",ORIG!W1744)</f>
        <v/>
      </c>
      <c r="X1744" s="9">
        <f>IF(ORIG!X1744=0,"",ORIG!X1744)</f>
        <v/>
      </c>
      <c r="Y1744" s="9">
        <f>IF(ORIG!Y1744=0,"",ORIG!Y1744)</f>
        <v/>
      </c>
      <c r="Z1744" s="3">
        <f>SUMPRODUCT($B1744:$Y1744,$B$2649:$Y$2649)</f>
        <v/>
      </c>
      <c r="AA1744" s="3">
        <f>SUMPRODUCT($B1744:$Y1744,$B$2655:$Y$2655)</f>
        <v/>
      </c>
      <c r="AC1744" s="1">
        <f>A1744</f>
        <v/>
      </c>
      <c r="AD1744">
        <f>IF(ISNUMBER(V1744),V1744*($AB$1/V$2635),"")</f>
        <v/>
      </c>
      <c r="AE1744">
        <f>IF(ISNUMBER(Z1744),Z1744*($AB$1/Z$2635),"")</f>
        <v/>
      </c>
      <c r="AF1744" s="25">
        <f>IF(ISNUMBER(AD1744+AE1744),AD1744+AE1744,"")</f>
        <v/>
      </c>
      <c r="AH1744" s="1">
        <f>A1744</f>
        <v/>
      </c>
      <c r="AI1744">
        <f>IF(ISNUMBER((1+V1744)*AI1743),(1+V1744)*AI1743,AI1743)</f>
        <v/>
      </c>
      <c r="AJ1744">
        <f>IF(ISNUMBER((1+Z1744)*AJ1743),(1+Z1744)*AJ1743,AJ1743)</f>
        <v/>
      </c>
    </row>
    <row r="1745">
      <c r="A1745" s="1" t="n">
        <v>44532</v>
      </c>
      <c r="B1745" s="3">
        <f>IF(ORIG!B1745=0,"",ORIG!B1745)</f>
        <v/>
      </c>
      <c r="C1745" s="3">
        <f>IF(ORIG!C1745=0,"",ORIG!C1745)</f>
        <v/>
      </c>
      <c r="D1745" s="3">
        <f>IF(ORIG!D1745=0,"",ORIG!D1745)</f>
        <v/>
      </c>
      <c r="E1745" s="3">
        <f>IF(ORIG!E1745=0,"",ORIG!E1745)</f>
        <v/>
      </c>
      <c r="F1745" s="3">
        <f>IF(ORIG!F1745=0,"",ORIG!F1745)</f>
        <v/>
      </c>
      <c r="G1745" s="3">
        <f>IF(ORIG!G1745=0,"",ORIG!G1745)</f>
        <v/>
      </c>
      <c r="H1745" s="3">
        <f>IF(ORIG!H1745=0,"",ORIG!H1745)</f>
        <v/>
      </c>
      <c r="I1745" s="3">
        <f>IF(ORIG!I1745=0,"",ORIG!I1745)</f>
        <v/>
      </c>
      <c r="J1745" s="3">
        <f>IF(ORIG!J1745=0,"",ORIG!J1745)</f>
        <v/>
      </c>
      <c r="K1745" s="3">
        <f>IF(ORIG!K1745=0,"",ORIG!K1745)</f>
        <v/>
      </c>
      <c r="L1745" s="3">
        <f>IF(ORIG!L1745=0,"",ORIG!L1745)</f>
        <v/>
      </c>
      <c r="M1745" s="3">
        <f>IF(ORIG!M1745=0,"",ORIG!M1745)</f>
        <v/>
      </c>
      <c r="N1745" s="3">
        <f>IF(ORIG!N1745=0,"",ORIG!N1745)</f>
        <v/>
      </c>
      <c r="O1745" s="3">
        <f>IF(ORIG!O1745=0,"",ORIG!O1745)</f>
        <v/>
      </c>
      <c r="P1745" s="3">
        <f>IF(ORIG!P1745=0,"",ORIG!P1745)</f>
        <v/>
      </c>
      <c r="Q1745" s="3">
        <f>IF(ORIG!Q1745=0,"",ORIG!Q1745)</f>
        <v/>
      </c>
      <c r="R1745" s="3">
        <f>IF(ORIG!R1745=0,"",ORIG!R1745)</f>
        <v/>
      </c>
      <c r="S1745" s="3">
        <f>IF(ORIG!S1745=0,"",ORIG!S1745)</f>
        <v/>
      </c>
      <c r="T1745" s="3">
        <f>IF(ORIG!T1745=0,"",ORIG!T1745)</f>
        <v/>
      </c>
      <c r="U1745" s="3">
        <f>IF(ORIG!U1745=0,"",ORIG!U1745)</f>
        <v/>
      </c>
      <c r="V1745" s="9">
        <f>IF(ORIG!V1745=0,"",ORIG!V1745)</f>
        <v/>
      </c>
      <c r="W1745" s="9">
        <f>IF(ORIG!W1745=0,"",ORIG!W1745)</f>
        <v/>
      </c>
      <c r="X1745" s="9">
        <f>IF(ORIG!X1745=0,"",ORIG!X1745)</f>
        <v/>
      </c>
      <c r="Y1745" s="9">
        <f>IF(ORIG!Y1745=0,"",ORIG!Y1745)</f>
        <v/>
      </c>
      <c r="Z1745" s="3">
        <f>SUMPRODUCT($B1745:$Y1745,$B$2649:$Y$2649)</f>
        <v/>
      </c>
      <c r="AA1745" s="3">
        <f>SUMPRODUCT($B1745:$Y1745,$B$2655:$Y$2655)</f>
        <v/>
      </c>
      <c r="AC1745" s="1">
        <f>A1745</f>
        <v/>
      </c>
      <c r="AD1745">
        <f>IF(ISNUMBER(V1745),V1745*($AB$1/V$2635),"")</f>
        <v/>
      </c>
      <c r="AE1745">
        <f>IF(ISNUMBER(Z1745),Z1745*($AB$1/Z$2635),"")</f>
        <v/>
      </c>
      <c r="AF1745" s="25">
        <f>IF(ISNUMBER(AD1745+AE1745),AD1745+AE1745,"")</f>
        <v/>
      </c>
      <c r="AH1745" s="1">
        <f>A1745</f>
        <v/>
      </c>
      <c r="AI1745">
        <f>IF(ISNUMBER((1+V1745)*AI1744),(1+V1745)*AI1744,AI1744)</f>
        <v/>
      </c>
      <c r="AJ1745">
        <f>IF(ISNUMBER((1+Z1745)*AJ1744),(1+Z1745)*AJ1744,AJ1744)</f>
        <v/>
      </c>
    </row>
    <row r="1746">
      <c r="A1746" s="1" t="n">
        <v>44533</v>
      </c>
      <c r="B1746" s="3">
        <f>IF(ORIG!B1746=0,"",ORIG!B1746)</f>
        <v/>
      </c>
      <c r="C1746" s="3">
        <f>IF(ORIG!C1746=0,"",ORIG!C1746)</f>
        <v/>
      </c>
      <c r="D1746" s="3">
        <f>IF(ORIG!D1746=0,"",ORIG!D1746)</f>
        <v/>
      </c>
      <c r="E1746" s="3">
        <f>IF(ORIG!E1746=0,"",ORIG!E1746)</f>
        <v/>
      </c>
      <c r="F1746" s="3">
        <f>IF(ORIG!F1746=0,"",ORIG!F1746)</f>
        <v/>
      </c>
      <c r="G1746" s="3">
        <f>IF(ORIG!G1746=0,"",ORIG!G1746)</f>
        <v/>
      </c>
      <c r="H1746" s="3">
        <f>IF(ORIG!H1746=0,"",ORIG!H1746)</f>
        <v/>
      </c>
      <c r="I1746" s="3">
        <f>IF(ORIG!I1746=0,"",ORIG!I1746)</f>
        <v/>
      </c>
      <c r="J1746" s="3">
        <f>IF(ORIG!J1746=0,"",ORIG!J1746)</f>
        <v/>
      </c>
      <c r="K1746" s="3">
        <f>IF(ORIG!K1746=0,"",ORIG!K1746)</f>
        <v/>
      </c>
      <c r="L1746" s="3">
        <f>IF(ORIG!L1746=0,"",ORIG!L1746)</f>
        <v/>
      </c>
      <c r="M1746" s="3">
        <f>IF(ORIG!M1746=0,"",ORIG!M1746)</f>
        <v/>
      </c>
      <c r="N1746" s="3">
        <f>IF(ORIG!N1746=0,"",ORIG!N1746)</f>
        <v/>
      </c>
      <c r="O1746" s="3">
        <f>IF(ORIG!O1746=0,"",ORIG!O1746)</f>
        <v/>
      </c>
      <c r="P1746" s="3">
        <f>IF(ORIG!P1746=0,"",ORIG!P1746)</f>
        <v/>
      </c>
      <c r="Q1746" s="3">
        <f>IF(ORIG!Q1746=0,"",ORIG!Q1746)</f>
        <v/>
      </c>
      <c r="R1746" s="3">
        <f>IF(ORIG!R1746=0,"",ORIG!R1746)</f>
        <v/>
      </c>
      <c r="S1746" s="3">
        <f>IF(ORIG!S1746=0,"",ORIG!S1746)</f>
        <v/>
      </c>
      <c r="T1746" s="3">
        <f>IF(ORIG!T1746=0,"",ORIG!T1746)</f>
        <v/>
      </c>
      <c r="U1746" s="3">
        <f>IF(ORIG!U1746=0,"",ORIG!U1746)</f>
        <v/>
      </c>
      <c r="V1746" s="9">
        <f>IF(ORIG!V1746=0,"",ORIG!V1746)</f>
        <v/>
      </c>
      <c r="W1746" s="9">
        <f>IF(ORIG!W1746=0,"",ORIG!W1746)</f>
        <v/>
      </c>
      <c r="X1746" s="9">
        <f>IF(ORIG!X1746=0,"",ORIG!X1746)</f>
        <v/>
      </c>
      <c r="Y1746" s="9">
        <f>IF(ORIG!Y1746=0,"",ORIG!Y1746)</f>
        <v/>
      </c>
      <c r="Z1746" s="3">
        <f>SUMPRODUCT($B1746:$Y1746,$B$2649:$Y$2649)</f>
        <v/>
      </c>
      <c r="AA1746" s="3">
        <f>SUMPRODUCT($B1746:$Y1746,$B$2655:$Y$2655)</f>
        <v/>
      </c>
      <c r="AC1746" s="1">
        <f>A1746</f>
        <v/>
      </c>
      <c r="AD1746">
        <f>IF(ISNUMBER(V1746),V1746*($AB$1/V$2635),"")</f>
        <v/>
      </c>
      <c r="AE1746">
        <f>IF(ISNUMBER(Z1746),Z1746*($AB$1/Z$2635),"")</f>
        <v/>
      </c>
      <c r="AF1746" s="25">
        <f>IF(ISNUMBER(AD1746+AE1746),AD1746+AE1746,"")</f>
        <v/>
      </c>
      <c r="AH1746" s="1">
        <f>A1746</f>
        <v/>
      </c>
      <c r="AI1746">
        <f>IF(ISNUMBER((1+V1746)*AI1745),(1+V1746)*AI1745,AI1745)</f>
        <v/>
      </c>
      <c r="AJ1746">
        <f>IF(ISNUMBER((1+Z1746)*AJ1745),(1+Z1746)*AJ1745,AJ1745)</f>
        <v/>
      </c>
    </row>
    <row r="1747">
      <c r="A1747" s="1" t="n">
        <v>44536</v>
      </c>
      <c r="B1747" s="3">
        <f>IF(ORIG!B1747=0,"",ORIG!B1747)</f>
        <v/>
      </c>
      <c r="C1747" s="3">
        <f>IF(ORIG!C1747=0,"",ORIG!C1747)</f>
        <v/>
      </c>
      <c r="D1747" s="3">
        <f>IF(ORIG!D1747=0,"",ORIG!D1747)</f>
        <v/>
      </c>
      <c r="E1747" s="3">
        <f>IF(ORIG!E1747=0,"",ORIG!E1747)</f>
        <v/>
      </c>
      <c r="F1747" s="3">
        <f>IF(ORIG!F1747=0,"",ORIG!F1747)</f>
        <v/>
      </c>
      <c r="G1747" s="3">
        <f>IF(ORIG!G1747=0,"",ORIG!G1747)</f>
        <v/>
      </c>
      <c r="H1747" s="3">
        <f>IF(ORIG!H1747=0,"",ORIG!H1747)</f>
        <v/>
      </c>
      <c r="I1747" s="3">
        <f>IF(ORIG!I1747=0,"",ORIG!I1747)</f>
        <v/>
      </c>
      <c r="J1747" s="3">
        <f>IF(ORIG!J1747=0,"",ORIG!J1747)</f>
        <v/>
      </c>
      <c r="K1747" s="3">
        <f>IF(ORIG!K1747=0,"",ORIG!K1747)</f>
        <v/>
      </c>
      <c r="L1747" s="3">
        <f>IF(ORIG!L1747=0,"",ORIG!L1747)</f>
        <v/>
      </c>
      <c r="M1747" s="3">
        <f>IF(ORIG!M1747=0,"",ORIG!M1747)</f>
        <v/>
      </c>
      <c r="N1747" s="3">
        <f>IF(ORIG!N1747=0,"",ORIG!N1747)</f>
        <v/>
      </c>
      <c r="O1747" s="3">
        <f>IF(ORIG!O1747=0,"",ORIG!O1747)</f>
        <v/>
      </c>
      <c r="P1747" s="3">
        <f>IF(ORIG!P1747=0,"",ORIG!P1747)</f>
        <v/>
      </c>
      <c r="Q1747" s="3">
        <f>IF(ORIG!Q1747=0,"",ORIG!Q1747)</f>
        <v/>
      </c>
      <c r="R1747" s="3">
        <f>IF(ORIG!R1747=0,"",ORIG!R1747)</f>
        <v/>
      </c>
      <c r="S1747" s="3">
        <f>IF(ORIG!S1747=0,"",ORIG!S1747)</f>
        <v/>
      </c>
      <c r="T1747" s="3">
        <f>IF(ORIG!T1747=0,"",ORIG!T1747)</f>
        <v/>
      </c>
      <c r="U1747" s="3">
        <f>IF(ORIG!U1747=0,"",ORIG!U1747)</f>
        <v/>
      </c>
      <c r="V1747" s="9">
        <f>IF(ORIG!V1747=0,"",ORIG!V1747)</f>
        <v/>
      </c>
      <c r="W1747" s="9">
        <f>IF(ORIG!W1747=0,"",ORIG!W1747)</f>
        <v/>
      </c>
      <c r="X1747" s="9">
        <f>IF(ORIG!X1747=0,"",ORIG!X1747)</f>
        <v/>
      </c>
      <c r="Y1747" s="9">
        <f>IF(ORIG!Y1747=0,"",ORIG!Y1747)</f>
        <v/>
      </c>
      <c r="Z1747" s="3">
        <f>SUMPRODUCT($B1747:$Y1747,$B$2649:$Y$2649)</f>
        <v/>
      </c>
      <c r="AA1747" s="3">
        <f>SUMPRODUCT($B1747:$Y1747,$B$2655:$Y$2655)</f>
        <v/>
      </c>
      <c r="AC1747" s="1">
        <f>A1747</f>
        <v/>
      </c>
      <c r="AD1747">
        <f>IF(ISNUMBER(V1747),V1747*($AB$1/V$2635),"")</f>
        <v/>
      </c>
      <c r="AE1747">
        <f>IF(ISNUMBER(Z1747),Z1747*($AB$1/Z$2635),"")</f>
        <v/>
      </c>
      <c r="AF1747" s="25">
        <f>IF(ISNUMBER(AD1747+AE1747),AD1747+AE1747,"")</f>
        <v/>
      </c>
      <c r="AH1747" s="1">
        <f>A1747</f>
        <v/>
      </c>
      <c r="AI1747">
        <f>IF(ISNUMBER((1+V1747)*AI1746),(1+V1747)*AI1746,AI1746)</f>
        <v/>
      </c>
      <c r="AJ1747">
        <f>IF(ISNUMBER((1+Z1747)*AJ1746),(1+Z1747)*AJ1746,AJ1746)</f>
        <v/>
      </c>
    </row>
    <row r="1748">
      <c r="A1748" s="1" t="n">
        <v>44537</v>
      </c>
      <c r="B1748" s="3">
        <f>IF(ORIG!B1748=0,"",ORIG!B1748)</f>
        <v/>
      </c>
      <c r="C1748" s="3">
        <f>IF(ORIG!C1748=0,"",ORIG!C1748)</f>
        <v/>
      </c>
      <c r="D1748" s="3">
        <f>IF(ORIG!D1748=0,"",ORIG!D1748)</f>
        <v/>
      </c>
      <c r="E1748" s="3">
        <f>IF(ORIG!E1748=0,"",ORIG!E1748)</f>
        <v/>
      </c>
      <c r="F1748" s="3">
        <f>IF(ORIG!F1748=0,"",ORIG!F1748)</f>
        <v/>
      </c>
      <c r="G1748" s="3">
        <f>IF(ORIG!G1748=0,"",ORIG!G1748)</f>
        <v/>
      </c>
      <c r="H1748" s="3">
        <f>IF(ORIG!H1748=0,"",ORIG!H1748)</f>
        <v/>
      </c>
      <c r="I1748" s="3">
        <f>IF(ORIG!I1748=0,"",ORIG!I1748)</f>
        <v/>
      </c>
      <c r="J1748" s="3">
        <f>IF(ORIG!J1748=0,"",ORIG!J1748)</f>
        <v/>
      </c>
      <c r="K1748" s="3">
        <f>IF(ORIG!K1748=0,"",ORIG!K1748)</f>
        <v/>
      </c>
      <c r="L1748" s="3">
        <f>IF(ORIG!L1748=0,"",ORIG!L1748)</f>
        <v/>
      </c>
      <c r="M1748" s="3">
        <f>IF(ORIG!M1748=0,"",ORIG!M1748)</f>
        <v/>
      </c>
      <c r="N1748" s="3">
        <f>IF(ORIG!N1748=0,"",ORIG!N1748)</f>
        <v/>
      </c>
      <c r="O1748" s="3">
        <f>IF(ORIG!O1748=0,"",ORIG!O1748)</f>
        <v/>
      </c>
      <c r="P1748" s="3">
        <f>IF(ORIG!P1748=0,"",ORIG!P1748)</f>
        <v/>
      </c>
      <c r="Q1748" s="3">
        <f>IF(ORIG!Q1748=0,"",ORIG!Q1748)</f>
        <v/>
      </c>
      <c r="R1748" s="3">
        <f>IF(ORIG!R1748=0,"",ORIG!R1748)</f>
        <v/>
      </c>
      <c r="S1748" s="3">
        <f>IF(ORIG!S1748=0,"",ORIG!S1748)</f>
        <v/>
      </c>
      <c r="T1748" s="3">
        <f>IF(ORIG!T1748=0,"",ORIG!T1748)</f>
        <v/>
      </c>
      <c r="U1748" s="3">
        <f>IF(ORIG!U1748=0,"",ORIG!U1748)</f>
        <v/>
      </c>
      <c r="V1748" s="9">
        <f>IF(ORIG!V1748=0,"",ORIG!V1748)</f>
        <v/>
      </c>
      <c r="W1748" s="9">
        <f>IF(ORIG!W1748=0,"",ORIG!W1748)</f>
        <v/>
      </c>
      <c r="X1748" s="9">
        <f>IF(ORIG!X1748=0,"",ORIG!X1748)</f>
        <v/>
      </c>
      <c r="Y1748" s="9">
        <f>IF(ORIG!Y1748=0,"",ORIG!Y1748)</f>
        <v/>
      </c>
      <c r="Z1748" s="3">
        <f>SUMPRODUCT($B1748:$Y1748,$B$2649:$Y$2649)</f>
        <v/>
      </c>
      <c r="AA1748" s="3">
        <f>SUMPRODUCT($B1748:$Y1748,$B$2655:$Y$2655)</f>
        <v/>
      </c>
      <c r="AC1748" s="1">
        <f>A1748</f>
        <v/>
      </c>
      <c r="AD1748">
        <f>IF(ISNUMBER(V1748),V1748*($AB$1/V$2635),"")</f>
        <v/>
      </c>
      <c r="AE1748">
        <f>IF(ISNUMBER(Z1748),Z1748*($AB$1/Z$2635),"")</f>
        <v/>
      </c>
      <c r="AF1748" s="25">
        <f>IF(ISNUMBER(AD1748+AE1748),AD1748+AE1748,"")</f>
        <v/>
      </c>
      <c r="AH1748" s="1">
        <f>A1748</f>
        <v/>
      </c>
      <c r="AI1748">
        <f>IF(ISNUMBER((1+V1748)*AI1747),(1+V1748)*AI1747,AI1747)</f>
        <v/>
      </c>
      <c r="AJ1748">
        <f>IF(ISNUMBER((1+Z1748)*AJ1747),(1+Z1748)*AJ1747,AJ1747)</f>
        <v/>
      </c>
    </row>
    <row r="1749">
      <c r="A1749" s="1" t="n">
        <v>44538</v>
      </c>
      <c r="B1749" s="3">
        <f>IF(ORIG!B1749=0,"",ORIG!B1749)</f>
        <v/>
      </c>
      <c r="C1749" s="3">
        <f>IF(ORIG!C1749=0,"",ORIG!C1749)</f>
        <v/>
      </c>
      <c r="D1749" s="3">
        <f>IF(ORIG!D1749=0,"",ORIG!D1749)</f>
        <v/>
      </c>
      <c r="E1749" s="3">
        <f>IF(ORIG!E1749=0,"",ORIG!E1749)</f>
        <v/>
      </c>
      <c r="F1749" s="3">
        <f>IF(ORIG!F1749=0,"",ORIG!F1749)</f>
        <v/>
      </c>
      <c r="G1749" s="3">
        <f>IF(ORIG!G1749=0,"",ORIG!G1749)</f>
        <v/>
      </c>
      <c r="H1749" s="3">
        <f>IF(ORIG!H1749=0,"",ORIG!H1749)</f>
        <v/>
      </c>
      <c r="I1749" s="3">
        <f>IF(ORIG!I1749=0,"",ORIG!I1749)</f>
        <v/>
      </c>
      <c r="J1749" s="3">
        <f>IF(ORIG!J1749=0,"",ORIG!J1749)</f>
        <v/>
      </c>
      <c r="K1749" s="3">
        <f>IF(ORIG!K1749=0,"",ORIG!K1749)</f>
        <v/>
      </c>
      <c r="L1749" s="3">
        <f>IF(ORIG!L1749=0,"",ORIG!L1749)</f>
        <v/>
      </c>
      <c r="M1749" s="3">
        <f>IF(ORIG!M1749=0,"",ORIG!M1749)</f>
        <v/>
      </c>
      <c r="N1749" s="3">
        <f>IF(ORIG!N1749=0,"",ORIG!N1749)</f>
        <v/>
      </c>
      <c r="O1749" s="3">
        <f>IF(ORIG!O1749=0,"",ORIG!O1749)</f>
        <v/>
      </c>
      <c r="P1749" s="3">
        <f>IF(ORIG!P1749=0,"",ORIG!P1749)</f>
        <v/>
      </c>
      <c r="Q1749" s="3">
        <f>IF(ORIG!Q1749=0,"",ORIG!Q1749)</f>
        <v/>
      </c>
      <c r="R1749" s="3">
        <f>IF(ORIG!R1749=0,"",ORIG!R1749)</f>
        <v/>
      </c>
      <c r="S1749" s="3">
        <f>IF(ORIG!S1749=0,"",ORIG!S1749)</f>
        <v/>
      </c>
      <c r="T1749" s="3">
        <f>IF(ORIG!T1749=0,"",ORIG!T1749)</f>
        <v/>
      </c>
      <c r="U1749" s="3">
        <f>IF(ORIG!U1749=0,"",ORIG!U1749)</f>
        <v/>
      </c>
      <c r="V1749" s="9">
        <f>IF(ORIG!V1749=0,"",ORIG!V1749)</f>
        <v/>
      </c>
      <c r="W1749" s="9">
        <f>IF(ORIG!W1749=0,"",ORIG!W1749)</f>
        <v/>
      </c>
      <c r="X1749" s="9">
        <f>IF(ORIG!X1749=0,"",ORIG!X1749)</f>
        <v/>
      </c>
      <c r="Y1749" s="9">
        <f>IF(ORIG!Y1749=0,"",ORIG!Y1749)</f>
        <v/>
      </c>
      <c r="Z1749" s="3">
        <f>SUMPRODUCT($B1749:$Y1749,$B$2649:$Y$2649)</f>
        <v/>
      </c>
      <c r="AA1749" s="3">
        <f>SUMPRODUCT($B1749:$Y1749,$B$2655:$Y$2655)</f>
        <v/>
      </c>
      <c r="AC1749" s="1">
        <f>A1749</f>
        <v/>
      </c>
      <c r="AD1749">
        <f>IF(ISNUMBER(V1749),V1749*($AB$1/V$2635),"")</f>
        <v/>
      </c>
      <c r="AE1749">
        <f>IF(ISNUMBER(Z1749),Z1749*($AB$1/Z$2635),"")</f>
        <v/>
      </c>
      <c r="AF1749" s="25">
        <f>IF(ISNUMBER(AD1749+AE1749),AD1749+AE1749,"")</f>
        <v/>
      </c>
      <c r="AH1749" s="1">
        <f>A1749</f>
        <v/>
      </c>
      <c r="AI1749">
        <f>IF(ISNUMBER((1+V1749)*AI1748),(1+V1749)*AI1748,AI1748)</f>
        <v/>
      </c>
      <c r="AJ1749">
        <f>IF(ISNUMBER((1+Z1749)*AJ1748),(1+Z1749)*AJ1748,AJ1748)</f>
        <v/>
      </c>
    </row>
    <row r="1750">
      <c r="A1750" s="1" t="n">
        <v>44539</v>
      </c>
      <c r="B1750" s="3">
        <f>IF(ORIG!B1750=0,"",ORIG!B1750)</f>
        <v/>
      </c>
      <c r="C1750" s="3">
        <f>IF(ORIG!C1750=0,"",ORIG!C1750)</f>
        <v/>
      </c>
      <c r="D1750" s="3">
        <f>IF(ORIG!D1750=0,"",ORIG!D1750)</f>
        <v/>
      </c>
      <c r="E1750" s="3">
        <f>IF(ORIG!E1750=0,"",ORIG!E1750)</f>
        <v/>
      </c>
      <c r="F1750" s="3">
        <f>IF(ORIG!F1750=0,"",ORIG!F1750)</f>
        <v/>
      </c>
      <c r="G1750" s="3">
        <f>IF(ORIG!G1750=0,"",ORIG!G1750)</f>
        <v/>
      </c>
      <c r="H1750" s="3">
        <f>IF(ORIG!H1750=0,"",ORIG!H1750)</f>
        <v/>
      </c>
      <c r="I1750" s="3">
        <f>IF(ORIG!I1750=0,"",ORIG!I1750)</f>
        <v/>
      </c>
      <c r="J1750" s="3">
        <f>IF(ORIG!J1750=0,"",ORIG!J1750)</f>
        <v/>
      </c>
      <c r="K1750" s="3">
        <f>IF(ORIG!K1750=0,"",ORIG!K1750)</f>
        <v/>
      </c>
      <c r="L1750" s="3">
        <f>IF(ORIG!L1750=0,"",ORIG!L1750)</f>
        <v/>
      </c>
      <c r="M1750" s="3">
        <f>IF(ORIG!M1750=0,"",ORIG!M1750)</f>
        <v/>
      </c>
      <c r="N1750" s="3">
        <f>IF(ORIG!N1750=0,"",ORIG!N1750)</f>
        <v/>
      </c>
      <c r="O1750" s="3">
        <f>IF(ORIG!O1750=0,"",ORIG!O1750)</f>
        <v/>
      </c>
      <c r="P1750" s="3">
        <f>IF(ORIG!P1750=0,"",ORIG!P1750)</f>
        <v/>
      </c>
      <c r="Q1750" s="3">
        <f>IF(ORIG!Q1750=0,"",ORIG!Q1750)</f>
        <v/>
      </c>
      <c r="R1750" s="3">
        <f>IF(ORIG!R1750=0,"",ORIG!R1750)</f>
        <v/>
      </c>
      <c r="S1750" s="3">
        <f>IF(ORIG!S1750=0,"",ORIG!S1750)</f>
        <v/>
      </c>
      <c r="T1750" s="3">
        <f>IF(ORIG!T1750=0,"",ORIG!T1750)</f>
        <v/>
      </c>
      <c r="U1750" s="3">
        <f>IF(ORIG!U1750=0,"",ORIG!U1750)</f>
        <v/>
      </c>
      <c r="V1750" s="9">
        <f>IF(ORIG!V1750=0,"",ORIG!V1750)</f>
        <v/>
      </c>
      <c r="W1750" s="9">
        <f>IF(ORIG!W1750=0,"",ORIG!W1750)</f>
        <v/>
      </c>
      <c r="X1750" s="9">
        <f>IF(ORIG!X1750=0,"",ORIG!X1750)</f>
        <v/>
      </c>
      <c r="Y1750" s="9">
        <f>IF(ORIG!Y1750=0,"",ORIG!Y1750)</f>
        <v/>
      </c>
      <c r="Z1750" s="3">
        <f>SUMPRODUCT($B1750:$Y1750,$B$2649:$Y$2649)</f>
        <v/>
      </c>
      <c r="AA1750" s="3">
        <f>SUMPRODUCT($B1750:$Y1750,$B$2655:$Y$2655)</f>
        <v/>
      </c>
      <c r="AC1750" s="1">
        <f>A1750</f>
        <v/>
      </c>
      <c r="AD1750">
        <f>IF(ISNUMBER(V1750),V1750*($AB$1/V$2635),"")</f>
        <v/>
      </c>
      <c r="AE1750">
        <f>IF(ISNUMBER(Z1750),Z1750*($AB$1/Z$2635),"")</f>
        <v/>
      </c>
      <c r="AF1750" s="25">
        <f>IF(ISNUMBER(AD1750+AE1750),AD1750+AE1750,"")</f>
        <v/>
      </c>
      <c r="AH1750" s="1">
        <f>A1750</f>
        <v/>
      </c>
      <c r="AI1750">
        <f>IF(ISNUMBER((1+V1750)*AI1749),(1+V1750)*AI1749,AI1749)</f>
        <v/>
      </c>
      <c r="AJ1750">
        <f>IF(ISNUMBER((1+Z1750)*AJ1749),(1+Z1750)*AJ1749,AJ1749)</f>
        <v/>
      </c>
    </row>
    <row r="1751">
      <c r="A1751" s="1" t="n">
        <v>44540</v>
      </c>
      <c r="B1751" s="3">
        <f>IF(ORIG!B1751=0,"",ORIG!B1751)</f>
        <v/>
      </c>
      <c r="C1751" s="3">
        <f>IF(ORIG!C1751=0,"",ORIG!C1751)</f>
        <v/>
      </c>
      <c r="D1751" s="3">
        <f>IF(ORIG!D1751=0,"",ORIG!D1751)</f>
        <v/>
      </c>
      <c r="E1751" s="3">
        <f>IF(ORIG!E1751=0,"",ORIG!E1751)</f>
        <v/>
      </c>
      <c r="F1751" s="3">
        <f>IF(ORIG!F1751=0,"",ORIG!F1751)</f>
        <v/>
      </c>
      <c r="G1751" s="3">
        <f>IF(ORIG!G1751=0,"",ORIG!G1751)</f>
        <v/>
      </c>
      <c r="H1751" s="3">
        <f>IF(ORIG!H1751=0,"",ORIG!H1751)</f>
        <v/>
      </c>
      <c r="I1751" s="3">
        <f>IF(ORIG!I1751=0,"",ORIG!I1751)</f>
        <v/>
      </c>
      <c r="J1751" s="3">
        <f>IF(ORIG!J1751=0,"",ORIG!J1751)</f>
        <v/>
      </c>
      <c r="K1751" s="3">
        <f>IF(ORIG!K1751=0,"",ORIG!K1751)</f>
        <v/>
      </c>
      <c r="L1751" s="3">
        <f>IF(ORIG!L1751=0,"",ORIG!L1751)</f>
        <v/>
      </c>
      <c r="M1751" s="3">
        <f>IF(ORIG!M1751=0,"",ORIG!M1751)</f>
        <v/>
      </c>
      <c r="N1751" s="3">
        <f>IF(ORIG!N1751=0,"",ORIG!N1751)</f>
        <v/>
      </c>
      <c r="O1751" s="3">
        <f>IF(ORIG!O1751=0,"",ORIG!O1751)</f>
        <v/>
      </c>
      <c r="P1751" s="3">
        <f>IF(ORIG!P1751=0,"",ORIG!P1751)</f>
        <v/>
      </c>
      <c r="Q1751" s="3">
        <f>IF(ORIG!Q1751=0,"",ORIG!Q1751)</f>
        <v/>
      </c>
      <c r="R1751" s="3">
        <f>IF(ORIG!R1751=0,"",ORIG!R1751)</f>
        <v/>
      </c>
      <c r="S1751" s="3">
        <f>IF(ORIG!S1751=0,"",ORIG!S1751)</f>
        <v/>
      </c>
      <c r="T1751" s="3">
        <f>IF(ORIG!T1751=0,"",ORIG!T1751)</f>
        <v/>
      </c>
      <c r="U1751" s="3">
        <f>IF(ORIG!U1751=0,"",ORIG!U1751)</f>
        <v/>
      </c>
      <c r="V1751" s="9">
        <f>IF(ORIG!V1751=0,"",ORIG!V1751)</f>
        <v/>
      </c>
      <c r="W1751" s="9">
        <f>IF(ORIG!W1751=0,"",ORIG!W1751)</f>
        <v/>
      </c>
      <c r="X1751" s="9">
        <f>IF(ORIG!X1751=0,"",ORIG!X1751)</f>
        <v/>
      </c>
      <c r="Y1751" s="9">
        <f>IF(ORIG!Y1751=0,"",ORIG!Y1751)</f>
        <v/>
      </c>
      <c r="Z1751" s="3">
        <f>SUMPRODUCT($B1751:$Y1751,$B$2649:$Y$2649)</f>
        <v/>
      </c>
      <c r="AA1751" s="3">
        <f>SUMPRODUCT($B1751:$Y1751,$B$2655:$Y$2655)</f>
        <v/>
      </c>
      <c r="AC1751" s="1">
        <f>A1751</f>
        <v/>
      </c>
      <c r="AD1751">
        <f>IF(ISNUMBER(V1751),V1751*($AB$1/V$2635),"")</f>
        <v/>
      </c>
      <c r="AE1751">
        <f>IF(ISNUMBER(Z1751),Z1751*($AB$1/Z$2635),"")</f>
        <v/>
      </c>
      <c r="AF1751" s="25">
        <f>IF(ISNUMBER(AD1751+AE1751),AD1751+AE1751,"")</f>
        <v/>
      </c>
      <c r="AH1751" s="1">
        <f>A1751</f>
        <v/>
      </c>
      <c r="AI1751">
        <f>IF(ISNUMBER((1+V1751)*AI1750),(1+V1751)*AI1750,AI1750)</f>
        <v/>
      </c>
      <c r="AJ1751">
        <f>IF(ISNUMBER((1+Z1751)*AJ1750),(1+Z1751)*AJ1750,AJ1750)</f>
        <v/>
      </c>
    </row>
    <row r="1752">
      <c r="A1752" s="1" t="n">
        <v>44543</v>
      </c>
      <c r="B1752" s="3">
        <f>IF(ORIG!B1752=0,"",ORIG!B1752)</f>
        <v/>
      </c>
      <c r="C1752" s="3">
        <f>IF(ORIG!C1752=0,"",ORIG!C1752)</f>
        <v/>
      </c>
      <c r="D1752" s="3">
        <f>IF(ORIG!D1752=0,"",ORIG!D1752)</f>
        <v/>
      </c>
      <c r="E1752" s="3">
        <f>IF(ORIG!E1752=0,"",ORIG!E1752)</f>
        <v/>
      </c>
      <c r="F1752" s="3">
        <f>IF(ORIG!F1752=0,"",ORIG!F1752)</f>
        <v/>
      </c>
      <c r="G1752" s="3">
        <f>IF(ORIG!G1752=0,"",ORIG!G1752)</f>
        <v/>
      </c>
      <c r="H1752" s="3">
        <f>IF(ORIG!H1752=0,"",ORIG!H1752)</f>
        <v/>
      </c>
      <c r="I1752" s="3">
        <f>IF(ORIG!I1752=0,"",ORIG!I1752)</f>
        <v/>
      </c>
      <c r="J1752" s="3">
        <f>IF(ORIG!J1752=0,"",ORIG!J1752)</f>
        <v/>
      </c>
      <c r="K1752" s="3">
        <f>IF(ORIG!K1752=0,"",ORIG!K1752)</f>
        <v/>
      </c>
      <c r="L1752" s="3">
        <f>IF(ORIG!L1752=0,"",ORIG!L1752)</f>
        <v/>
      </c>
      <c r="M1752" s="3">
        <f>IF(ORIG!M1752=0,"",ORIG!M1752)</f>
        <v/>
      </c>
      <c r="N1752" s="3">
        <f>IF(ORIG!N1752=0,"",ORIG!N1752)</f>
        <v/>
      </c>
      <c r="O1752" s="3">
        <f>IF(ORIG!O1752=0,"",ORIG!O1752)</f>
        <v/>
      </c>
      <c r="P1752" s="3">
        <f>IF(ORIG!P1752=0,"",ORIG!P1752)</f>
        <v/>
      </c>
      <c r="Q1752" s="3">
        <f>IF(ORIG!Q1752=0,"",ORIG!Q1752)</f>
        <v/>
      </c>
      <c r="R1752" s="3">
        <f>IF(ORIG!R1752=0,"",ORIG!R1752)</f>
        <v/>
      </c>
      <c r="S1752" s="3">
        <f>IF(ORIG!S1752=0,"",ORIG!S1752)</f>
        <v/>
      </c>
      <c r="T1752" s="3">
        <f>IF(ORIG!T1752=0,"",ORIG!T1752)</f>
        <v/>
      </c>
      <c r="U1752" s="3">
        <f>IF(ORIG!U1752=0,"",ORIG!U1752)</f>
        <v/>
      </c>
      <c r="V1752" s="9">
        <f>IF(ORIG!V1752=0,"",ORIG!V1752)</f>
        <v/>
      </c>
      <c r="W1752" s="9">
        <f>IF(ORIG!W1752=0,"",ORIG!W1752)</f>
        <v/>
      </c>
      <c r="X1752" s="9">
        <f>IF(ORIG!X1752=0,"",ORIG!X1752)</f>
        <v/>
      </c>
      <c r="Y1752" s="9">
        <f>IF(ORIG!Y1752=0,"",ORIG!Y1752)</f>
        <v/>
      </c>
      <c r="Z1752" s="3">
        <f>SUMPRODUCT($B1752:$Y1752,$B$2649:$Y$2649)</f>
        <v/>
      </c>
      <c r="AA1752" s="3">
        <f>SUMPRODUCT($B1752:$Y1752,$B$2655:$Y$2655)</f>
        <v/>
      </c>
      <c r="AC1752" s="1">
        <f>A1752</f>
        <v/>
      </c>
      <c r="AD1752">
        <f>IF(ISNUMBER(V1752),V1752*($AB$1/V$2635),"")</f>
        <v/>
      </c>
      <c r="AE1752">
        <f>IF(ISNUMBER(Z1752),Z1752*($AB$1/Z$2635),"")</f>
        <v/>
      </c>
      <c r="AF1752" s="25">
        <f>IF(ISNUMBER(AD1752+AE1752),AD1752+AE1752,"")</f>
        <v/>
      </c>
      <c r="AH1752" s="1">
        <f>A1752</f>
        <v/>
      </c>
      <c r="AI1752">
        <f>IF(ISNUMBER((1+V1752)*AI1751),(1+V1752)*AI1751,AI1751)</f>
        <v/>
      </c>
      <c r="AJ1752">
        <f>IF(ISNUMBER((1+Z1752)*AJ1751),(1+Z1752)*AJ1751,AJ1751)</f>
        <v/>
      </c>
    </row>
    <row r="1753">
      <c r="A1753" s="1" t="n">
        <v>44544</v>
      </c>
      <c r="B1753" s="3">
        <f>IF(ORIG!B1753=0,"",ORIG!B1753)</f>
        <v/>
      </c>
      <c r="C1753" s="3">
        <f>IF(ORIG!C1753=0,"",ORIG!C1753)</f>
        <v/>
      </c>
      <c r="D1753" s="3">
        <f>IF(ORIG!D1753=0,"",ORIG!D1753)</f>
        <v/>
      </c>
      <c r="E1753" s="3">
        <f>IF(ORIG!E1753=0,"",ORIG!E1753)</f>
        <v/>
      </c>
      <c r="F1753" s="3">
        <f>IF(ORIG!F1753=0,"",ORIG!F1753)</f>
        <v/>
      </c>
      <c r="G1753" s="3">
        <f>IF(ORIG!G1753=0,"",ORIG!G1753)</f>
        <v/>
      </c>
      <c r="H1753" s="3">
        <f>IF(ORIG!H1753=0,"",ORIG!H1753)</f>
        <v/>
      </c>
      <c r="I1753" s="3">
        <f>IF(ORIG!I1753=0,"",ORIG!I1753)</f>
        <v/>
      </c>
      <c r="J1753" s="3">
        <f>IF(ORIG!J1753=0,"",ORIG!J1753)</f>
        <v/>
      </c>
      <c r="K1753" s="3">
        <f>IF(ORIG!K1753=0,"",ORIG!K1753)</f>
        <v/>
      </c>
      <c r="L1753" s="3">
        <f>IF(ORIG!L1753=0,"",ORIG!L1753)</f>
        <v/>
      </c>
      <c r="M1753" s="3">
        <f>IF(ORIG!M1753=0,"",ORIG!M1753)</f>
        <v/>
      </c>
      <c r="N1753" s="3">
        <f>IF(ORIG!N1753=0,"",ORIG!N1753)</f>
        <v/>
      </c>
      <c r="O1753" s="3">
        <f>IF(ORIG!O1753=0,"",ORIG!O1753)</f>
        <v/>
      </c>
      <c r="P1753" s="3">
        <f>IF(ORIG!P1753=0,"",ORIG!P1753)</f>
        <v/>
      </c>
      <c r="Q1753" s="3">
        <f>IF(ORIG!Q1753=0,"",ORIG!Q1753)</f>
        <v/>
      </c>
      <c r="R1753" s="3">
        <f>IF(ORIG!R1753=0,"",ORIG!R1753)</f>
        <v/>
      </c>
      <c r="S1753" s="3">
        <f>IF(ORIG!S1753=0,"",ORIG!S1753)</f>
        <v/>
      </c>
      <c r="T1753" s="3">
        <f>IF(ORIG!T1753=0,"",ORIG!T1753)</f>
        <v/>
      </c>
      <c r="U1753" s="3">
        <f>IF(ORIG!U1753=0,"",ORIG!U1753)</f>
        <v/>
      </c>
      <c r="V1753" s="9">
        <f>IF(ORIG!V1753=0,"",ORIG!V1753)</f>
        <v/>
      </c>
      <c r="W1753" s="9">
        <f>IF(ORIG!W1753=0,"",ORIG!W1753)</f>
        <v/>
      </c>
      <c r="X1753" s="9">
        <f>IF(ORIG!X1753=0,"",ORIG!X1753)</f>
        <v/>
      </c>
      <c r="Y1753" s="9">
        <f>IF(ORIG!Y1753=0,"",ORIG!Y1753)</f>
        <v/>
      </c>
      <c r="Z1753" s="3">
        <f>SUMPRODUCT($B1753:$Y1753,$B$2649:$Y$2649)</f>
        <v/>
      </c>
      <c r="AA1753" s="3">
        <f>SUMPRODUCT($B1753:$Y1753,$B$2655:$Y$2655)</f>
        <v/>
      </c>
      <c r="AC1753" s="1">
        <f>A1753</f>
        <v/>
      </c>
      <c r="AD1753">
        <f>IF(ISNUMBER(V1753),V1753*($AB$1/V$2635),"")</f>
        <v/>
      </c>
      <c r="AE1753">
        <f>IF(ISNUMBER(Z1753),Z1753*($AB$1/Z$2635),"")</f>
        <v/>
      </c>
      <c r="AF1753" s="25">
        <f>IF(ISNUMBER(AD1753+AE1753),AD1753+AE1753,"")</f>
        <v/>
      </c>
      <c r="AH1753" s="1">
        <f>A1753</f>
        <v/>
      </c>
      <c r="AI1753">
        <f>IF(ISNUMBER((1+V1753)*AI1752),(1+V1753)*AI1752,AI1752)</f>
        <v/>
      </c>
      <c r="AJ1753">
        <f>IF(ISNUMBER((1+Z1753)*AJ1752),(1+Z1753)*AJ1752,AJ1752)</f>
        <v/>
      </c>
    </row>
    <row r="1754">
      <c r="A1754" s="1" t="n">
        <v>44545</v>
      </c>
      <c r="B1754" s="3">
        <f>IF(ORIG!B1754=0,"",ORIG!B1754)</f>
        <v/>
      </c>
      <c r="C1754" s="3">
        <f>IF(ORIG!C1754=0,"",ORIG!C1754)</f>
        <v/>
      </c>
      <c r="D1754" s="3">
        <f>IF(ORIG!D1754=0,"",ORIG!D1754)</f>
        <v/>
      </c>
      <c r="E1754" s="3">
        <f>IF(ORIG!E1754=0,"",ORIG!E1754)</f>
        <v/>
      </c>
      <c r="F1754" s="3">
        <f>IF(ORIG!F1754=0,"",ORIG!F1754)</f>
        <v/>
      </c>
      <c r="G1754" s="3">
        <f>IF(ORIG!G1754=0,"",ORIG!G1754)</f>
        <v/>
      </c>
      <c r="H1754" s="3">
        <f>IF(ORIG!H1754=0,"",ORIG!H1754)</f>
        <v/>
      </c>
      <c r="I1754" s="3">
        <f>IF(ORIG!I1754=0,"",ORIG!I1754)</f>
        <v/>
      </c>
      <c r="J1754" s="3">
        <f>IF(ORIG!J1754=0,"",ORIG!J1754)</f>
        <v/>
      </c>
      <c r="K1754" s="3">
        <f>IF(ORIG!K1754=0,"",ORIG!K1754)</f>
        <v/>
      </c>
      <c r="L1754" s="3">
        <f>IF(ORIG!L1754=0,"",ORIG!L1754)</f>
        <v/>
      </c>
      <c r="M1754" s="3">
        <f>IF(ORIG!M1754=0,"",ORIG!M1754)</f>
        <v/>
      </c>
      <c r="N1754" s="3">
        <f>IF(ORIG!N1754=0,"",ORIG!N1754)</f>
        <v/>
      </c>
      <c r="O1754" s="3">
        <f>IF(ORIG!O1754=0,"",ORIG!O1754)</f>
        <v/>
      </c>
      <c r="P1754" s="3">
        <f>IF(ORIG!P1754=0,"",ORIG!P1754)</f>
        <v/>
      </c>
      <c r="Q1754" s="3">
        <f>IF(ORIG!Q1754=0,"",ORIG!Q1754)</f>
        <v/>
      </c>
      <c r="R1754" s="3">
        <f>IF(ORIG!R1754=0,"",ORIG!R1754)</f>
        <v/>
      </c>
      <c r="S1754" s="3">
        <f>IF(ORIG!S1754=0,"",ORIG!S1754)</f>
        <v/>
      </c>
      <c r="T1754" s="3">
        <f>IF(ORIG!T1754=0,"",ORIG!T1754)</f>
        <v/>
      </c>
      <c r="U1754" s="3">
        <f>IF(ORIG!U1754=0,"",ORIG!U1754)</f>
        <v/>
      </c>
      <c r="V1754" s="9">
        <f>IF(ORIG!V1754=0,"",ORIG!V1754)</f>
        <v/>
      </c>
      <c r="W1754" s="9">
        <f>IF(ORIG!W1754=0,"",ORIG!W1754)</f>
        <v/>
      </c>
      <c r="X1754" s="9">
        <f>IF(ORIG!X1754=0,"",ORIG!X1754)</f>
        <v/>
      </c>
      <c r="Y1754" s="9">
        <f>IF(ORIG!Y1754=0,"",ORIG!Y1754)</f>
        <v/>
      </c>
      <c r="Z1754" s="3">
        <f>SUMPRODUCT($B1754:$Y1754,$B$2649:$Y$2649)</f>
        <v/>
      </c>
      <c r="AA1754" s="3">
        <f>SUMPRODUCT($B1754:$Y1754,$B$2655:$Y$2655)</f>
        <v/>
      </c>
      <c r="AC1754" s="1">
        <f>A1754</f>
        <v/>
      </c>
      <c r="AD1754">
        <f>IF(ISNUMBER(V1754),V1754*($AB$1/V$2635),"")</f>
        <v/>
      </c>
      <c r="AE1754">
        <f>IF(ISNUMBER(Z1754),Z1754*($AB$1/Z$2635),"")</f>
        <v/>
      </c>
      <c r="AF1754" s="25">
        <f>IF(ISNUMBER(AD1754+AE1754),AD1754+AE1754,"")</f>
        <v/>
      </c>
      <c r="AH1754" s="1">
        <f>A1754</f>
        <v/>
      </c>
      <c r="AI1754">
        <f>IF(ISNUMBER((1+V1754)*AI1753),(1+V1754)*AI1753,AI1753)</f>
        <v/>
      </c>
      <c r="AJ1754">
        <f>IF(ISNUMBER((1+Z1754)*AJ1753),(1+Z1754)*AJ1753,AJ1753)</f>
        <v/>
      </c>
    </row>
    <row r="1755">
      <c r="A1755" s="1" t="n">
        <v>44546</v>
      </c>
      <c r="B1755" s="3">
        <f>IF(ORIG!B1755=0,"",ORIG!B1755)</f>
        <v/>
      </c>
      <c r="C1755" s="3">
        <f>IF(ORIG!C1755=0,"",ORIG!C1755)</f>
        <v/>
      </c>
      <c r="D1755" s="3">
        <f>IF(ORIG!D1755=0,"",ORIG!D1755)</f>
        <v/>
      </c>
      <c r="E1755" s="3">
        <f>IF(ORIG!E1755=0,"",ORIG!E1755)</f>
        <v/>
      </c>
      <c r="F1755" s="3">
        <f>IF(ORIG!F1755=0,"",ORIG!F1755)</f>
        <v/>
      </c>
      <c r="G1755" s="3">
        <f>IF(ORIG!G1755=0,"",ORIG!G1755)</f>
        <v/>
      </c>
      <c r="H1755" s="3">
        <f>IF(ORIG!H1755=0,"",ORIG!H1755)</f>
        <v/>
      </c>
      <c r="I1755" s="3">
        <f>IF(ORIG!I1755=0,"",ORIG!I1755)</f>
        <v/>
      </c>
      <c r="J1755" s="3">
        <f>IF(ORIG!J1755=0,"",ORIG!J1755)</f>
        <v/>
      </c>
      <c r="K1755" s="3">
        <f>IF(ORIG!K1755=0,"",ORIG!K1755)</f>
        <v/>
      </c>
      <c r="L1755" s="3">
        <f>IF(ORIG!L1755=0,"",ORIG!L1755)</f>
        <v/>
      </c>
      <c r="M1755" s="3">
        <f>IF(ORIG!M1755=0,"",ORIG!M1755)</f>
        <v/>
      </c>
      <c r="N1755" s="3">
        <f>IF(ORIG!N1755=0,"",ORIG!N1755)</f>
        <v/>
      </c>
      <c r="O1755" s="3">
        <f>IF(ORIG!O1755=0,"",ORIG!O1755)</f>
        <v/>
      </c>
      <c r="P1755" s="3">
        <f>IF(ORIG!P1755=0,"",ORIG!P1755)</f>
        <v/>
      </c>
      <c r="Q1755" s="3">
        <f>IF(ORIG!Q1755=0,"",ORIG!Q1755)</f>
        <v/>
      </c>
      <c r="R1755" s="3">
        <f>IF(ORIG!R1755=0,"",ORIG!R1755)</f>
        <v/>
      </c>
      <c r="S1755" s="3">
        <f>IF(ORIG!S1755=0,"",ORIG!S1755)</f>
        <v/>
      </c>
      <c r="T1755" s="3">
        <f>IF(ORIG!T1755=0,"",ORIG!T1755)</f>
        <v/>
      </c>
      <c r="U1755" s="3">
        <f>IF(ORIG!U1755=0,"",ORIG!U1755)</f>
        <v/>
      </c>
      <c r="V1755" s="9">
        <f>IF(ORIG!V1755=0,"",ORIG!V1755)</f>
        <v/>
      </c>
      <c r="W1755" s="9">
        <f>IF(ORIG!W1755=0,"",ORIG!W1755)</f>
        <v/>
      </c>
      <c r="X1755" s="9">
        <f>IF(ORIG!X1755=0,"",ORIG!X1755)</f>
        <v/>
      </c>
      <c r="Y1755" s="9">
        <f>IF(ORIG!Y1755=0,"",ORIG!Y1755)</f>
        <v/>
      </c>
      <c r="Z1755" s="3">
        <f>SUMPRODUCT($B1755:$Y1755,$B$2649:$Y$2649)</f>
        <v/>
      </c>
      <c r="AA1755" s="3">
        <f>SUMPRODUCT($B1755:$Y1755,$B$2655:$Y$2655)</f>
        <v/>
      </c>
      <c r="AC1755" s="1">
        <f>A1755</f>
        <v/>
      </c>
      <c r="AD1755">
        <f>IF(ISNUMBER(V1755),V1755*($AB$1/V$2635),"")</f>
        <v/>
      </c>
      <c r="AE1755">
        <f>IF(ISNUMBER(Z1755),Z1755*($AB$1/Z$2635),"")</f>
        <v/>
      </c>
      <c r="AF1755" s="25">
        <f>IF(ISNUMBER(AD1755+AE1755),AD1755+AE1755,"")</f>
        <v/>
      </c>
      <c r="AH1755" s="1">
        <f>A1755</f>
        <v/>
      </c>
      <c r="AI1755">
        <f>IF(ISNUMBER((1+V1755)*AI1754),(1+V1755)*AI1754,AI1754)</f>
        <v/>
      </c>
      <c r="AJ1755">
        <f>IF(ISNUMBER((1+Z1755)*AJ1754),(1+Z1755)*AJ1754,AJ1754)</f>
        <v/>
      </c>
    </row>
    <row r="1756">
      <c r="A1756" s="1" t="n">
        <v>44547</v>
      </c>
      <c r="B1756" s="3">
        <f>IF(ORIG!B1756=0,"",ORIG!B1756)</f>
        <v/>
      </c>
      <c r="C1756" s="3">
        <f>IF(ORIG!C1756=0,"",ORIG!C1756)</f>
        <v/>
      </c>
      <c r="D1756" s="3">
        <f>IF(ORIG!D1756=0,"",ORIG!D1756)</f>
        <v/>
      </c>
      <c r="E1756" s="3">
        <f>IF(ORIG!E1756=0,"",ORIG!E1756)</f>
        <v/>
      </c>
      <c r="F1756" s="3">
        <f>IF(ORIG!F1756=0,"",ORIG!F1756)</f>
        <v/>
      </c>
      <c r="G1756" s="3">
        <f>IF(ORIG!G1756=0,"",ORIG!G1756)</f>
        <v/>
      </c>
      <c r="H1756" s="3">
        <f>IF(ORIG!H1756=0,"",ORIG!H1756)</f>
        <v/>
      </c>
      <c r="I1756" s="3">
        <f>IF(ORIG!I1756=0,"",ORIG!I1756)</f>
        <v/>
      </c>
      <c r="J1756" s="3">
        <f>IF(ORIG!J1756=0,"",ORIG!J1756)</f>
        <v/>
      </c>
      <c r="K1756" s="3">
        <f>IF(ORIG!K1756=0,"",ORIG!K1756)</f>
        <v/>
      </c>
      <c r="L1756" s="3">
        <f>IF(ORIG!L1756=0,"",ORIG!L1756)</f>
        <v/>
      </c>
      <c r="M1756" s="3">
        <f>IF(ORIG!M1756=0,"",ORIG!M1756)</f>
        <v/>
      </c>
      <c r="N1756" s="3">
        <f>IF(ORIG!N1756=0,"",ORIG!N1756)</f>
        <v/>
      </c>
      <c r="O1756" s="3">
        <f>IF(ORIG!O1756=0,"",ORIG!O1756)</f>
        <v/>
      </c>
      <c r="P1756" s="3">
        <f>IF(ORIG!P1756=0,"",ORIG!P1756)</f>
        <v/>
      </c>
      <c r="Q1756" s="3">
        <f>IF(ORIG!Q1756=0,"",ORIG!Q1756)</f>
        <v/>
      </c>
      <c r="R1756" s="3">
        <f>IF(ORIG!R1756=0,"",ORIG!R1756)</f>
        <v/>
      </c>
      <c r="S1756" s="3">
        <f>IF(ORIG!S1756=0,"",ORIG!S1756)</f>
        <v/>
      </c>
      <c r="T1756" s="3">
        <f>IF(ORIG!T1756=0,"",ORIG!T1756)</f>
        <v/>
      </c>
      <c r="U1756" s="3">
        <f>IF(ORIG!U1756=0,"",ORIG!U1756)</f>
        <v/>
      </c>
      <c r="V1756" s="9">
        <f>IF(ORIG!V1756=0,"",ORIG!V1756)</f>
        <v/>
      </c>
      <c r="W1756" s="9">
        <f>IF(ORIG!W1756=0,"",ORIG!W1756)</f>
        <v/>
      </c>
      <c r="X1756" s="9">
        <f>IF(ORIG!X1756=0,"",ORIG!X1756)</f>
        <v/>
      </c>
      <c r="Y1756" s="9">
        <f>IF(ORIG!Y1756=0,"",ORIG!Y1756)</f>
        <v/>
      </c>
      <c r="Z1756" s="3">
        <f>SUMPRODUCT($B1756:$Y1756,$B$2649:$Y$2649)</f>
        <v/>
      </c>
      <c r="AA1756" s="3">
        <f>SUMPRODUCT($B1756:$Y1756,$B$2655:$Y$2655)</f>
        <v/>
      </c>
      <c r="AC1756" s="1">
        <f>A1756</f>
        <v/>
      </c>
      <c r="AD1756">
        <f>IF(ISNUMBER(V1756),V1756*($AB$1/V$2635),"")</f>
        <v/>
      </c>
      <c r="AE1756">
        <f>IF(ISNUMBER(Z1756),Z1756*($AB$1/Z$2635),"")</f>
        <v/>
      </c>
      <c r="AF1756" s="25">
        <f>IF(ISNUMBER(AD1756+AE1756),AD1756+AE1756,"")</f>
        <v/>
      </c>
      <c r="AH1756" s="1">
        <f>A1756</f>
        <v/>
      </c>
      <c r="AI1756">
        <f>IF(ISNUMBER((1+V1756)*AI1755),(1+V1756)*AI1755,AI1755)</f>
        <v/>
      </c>
      <c r="AJ1756">
        <f>IF(ISNUMBER((1+Z1756)*AJ1755),(1+Z1756)*AJ1755,AJ1755)</f>
        <v/>
      </c>
    </row>
    <row r="1757">
      <c r="A1757" s="1" t="n">
        <v>44550</v>
      </c>
      <c r="B1757" s="3">
        <f>IF(ORIG!B1757=0,"",ORIG!B1757)</f>
        <v/>
      </c>
      <c r="C1757" s="3">
        <f>IF(ORIG!C1757=0,"",ORIG!C1757)</f>
        <v/>
      </c>
      <c r="D1757" s="3">
        <f>IF(ORIG!D1757=0,"",ORIG!D1757)</f>
        <v/>
      </c>
      <c r="E1757" s="3">
        <f>IF(ORIG!E1757=0,"",ORIG!E1757)</f>
        <v/>
      </c>
      <c r="F1757" s="3">
        <f>IF(ORIG!F1757=0,"",ORIG!F1757)</f>
        <v/>
      </c>
      <c r="G1757" s="3">
        <f>IF(ORIG!G1757=0,"",ORIG!G1757)</f>
        <v/>
      </c>
      <c r="H1757" s="3">
        <f>IF(ORIG!H1757=0,"",ORIG!H1757)</f>
        <v/>
      </c>
      <c r="I1757" s="3">
        <f>IF(ORIG!I1757=0,"",ORIG!I1757)</f>
        <v/>
      </c>
      <c r="J1757" s="3">
        <f>IF(ORIG!J1757=0,"",ORIG!J1757)</f>
        <v/>
      </c>
      <c r="K1757" s="3">
        <f>IF(ORIG!K1757=0,"",ORIG!K1757)</f>
        <v/>
      </c>
      <c r="L1757" s="3">
        <f>IF(ORIG!L1757=0,"",ORIG!L1757)</f>
        <v/>
      </c>
      <c r="M1757" s="3">
        <f>IF(ORIG!M1757=0,"",ORIG!M1757)</f>
        <v/>
      </c>
      <c r="N1757" s="3">
        <f>IF(ORIG!N1757=0,"",ORIG!N1757)</f>
        <v/>
      </c>
      <c r="O1757" s="3">
        <f>IF(ORIG!O1757=0,"",ORIG!O1757)</f>
        <v/>
      </c>
      <c r="P1757" s="3">
        <f>IF(ORIG!P1757=0,"",ORIG!P1757)</f>
        <v/>
      </c>
      <c r="Q1757" s="3">
        <f>IF(ORIG!Q1757=0,"",ORIG!Q1757)</f>
        <v/>
      </c>
      <c r="R1757" s="3">
        <f>IF(ORIG!R1757=0,"",ORIG!R1757)</f>
        <v/>
      </c>
      <c r="S1757" s="3">
        <f>IF(ORIG!S1757=0,"",ORIG!S1757)</f>
        <v/>
      </c>
      <c r="T1757" s="3">
        <f>IF(ORIG!T1757=0,"",ORIG!T1757)</f>
        <v/>
      </c>
      <c r="U1757" s="3">
        <f>IF(ORIG!U1757=0,"",ORIG!U1757)</f>
        <v/>
      </c>
      <c r="V1757" s="9">
        <f>IF(ORIG!V1757=0,"",ORIG!V1757)</f>
        <v/>
      </c>
      <c r="W1757" s="9">
        <f>IF(ORIG!W1757=0,"",ORIG!W1757)</f>
        <v/>
      </c>
      <c r="X1757" s="9">
        <f>IF(ORIG!X1757=0,"",ORIG!X1757)</f>
        <v/>
      </c>
      <c r="Y1757" s="9">
        <f>IF(ORIG!Y1757=0,"",ORIG!Y1757)</f>
        <v/>
      </c>
      <c r="Z1757" s="3">
        <f>SUMPRODUCT($B1757:$Y1757,$B$2649:$Y$2649)</f>
        <v/>
      </c>
      <c r="AA1757" s="3">
        <f>SUMPRODUCT($B1757:$Y1757,$B$2655:$Y$2655)</f>
        <v/>
      </c>
      <c r="AC1757" s="1">
        <f>A1757</f>
        <v/>
      </c>
      <c r="AD1757">
        <f>IF(ISNUMBER(V1757),V1757*($AB$1/V$2635),"")</f>
        <v/>
      </c>
      <c r="AE1757">
        <f>IF(ISNUMBER(Z1757),Z1757*($AB$1/Z$2635),"")</f>
        <v/>
      </c>
      <c r="AF1757" s="25">
        <f>IF(ISNUMBER(AD1757+AE1757),AD1757+AE1757,"")</f>
        <v/>
      </c>
      <c r="AH1757" s="1">
        <f>A1757</f>
        <v/>
      </c>
      <c r="AI1757">
        <f>IF(ISNUMBER((1+V1757)*AI1756),(1+V1757)*AI1756,AI1756)</f>
        <v/>
      </c>
      <c r="AJ1757">
        <f>IF(ISNUMBER((1+Z1757)*AJ1756),(1+Z1757)*AJ1756,AJ1756)</f>
        <v/>
      </c>
    </row>
    <row r="1758">
      <c r="A1758" s="1" t="n">
        <v>44551</v>
      </c>
      <c r="B1758" s="3">
        <f>IF(ORIG!B1758=0,"",ORIG!B1758)</f>
        <v/>
      </c>
      <c r="C1758" s="3">
        <f>IF(ORIG!C1758=0,"",ORIG!C1758)</f>
        <v/>
      </c>
      <c r="D1758" s="3">
        <f>IF(ORIG!D1758=0,"",ORIG!D1758)</f>
        <v/>
      </c>
      <c r="E1758" s="3">
        <f>IF(ORIG!E1758=0,"",ORIG!E1758)</f>
        <v/>
      </c>
      <c r="F1758" s="3">
        <f>IF(ORIG!F1758=0,"",ORIG!F1758)</f>
        <v/>
      </c>
      <c r="G1758" s="3">
        <f>IF(ORIG!G1758=0,"",ORIG!G1758)</f>
        <v/>
      </c>
      <c r="H1758" s="3">
        <f>IF(ORIG!H1758=0,"",ORIG!H1758)</f>
        <v/>
      </c>
      <c r="I1758" s="3">
        <f>IF(ORIG!I1758=0,"",ORIG!I1758)</f>
        <v/>
      </c>
      <c r="J1758" s="3">
        <f>IF(ORIG!J1758=0,"",ORIG!J1758)</f>
        <v/>
      </c>
      <c r="K1758" s="3">
        <f>IF(ORIG!K1758=0,"",ORIG!K1758)</f>
        <v/>
      </c>
      <c r="L1758" s="3">
        <f>IF(ORIG!L1758=0,"",ORIG!L1758)</f>
        <v/>
      </c>
      <c r="M1758" s="3">
        <f>IF(ORIG!M1758=0,"",ORIG!M1758)</f>
        <v/>
      </c>
      <c r="N1758" s="3">
        <f>IF(ORIG!N1758=0,"",ORIG!N1758)</f>
        <v/>
      </c>
      <c r="O1758" s="3">
        <f>IF(ORIG!O1758=0,"",ORIG!O1758)</f>
        <v/>
      </c>
      <c r="P1758" s="3">
        <f>IF(ORIG!P1758=0,"",ORIG!P1758)</f>
        <v/>
      </c>
      <c r="Q1758" s="3">
        <f>IF(ORIG!Q1758=0,"",ORIG!Q1758)</f>
        <v/>
      </c>
      <c r="R1758" s="3">
        <f>IF(ORIG!R1758=0,"",ORIG!R1758)</f>
        <v/>
      </c>
      <c r="S1758" s="3">
        <f>IF(ORIG!S1758=0,"",ORIG!S1758)</f>
        <v/>
      </c>
      <c r="T1758" s="3">
        <f>IF(ORIG!T1758=0,"",ORIG!T1758)</f>
        <v/>
      </c>
      <c r="U1758" s="3">
        <f>IF(ORIG!U1758=0,"",ORIG!U1758)</f>
        <v/>
      </c>
      <c r="V1758" s="9">
        <f>IF(ORIG!V1758=0,"",ORIG!V1758)</f>
        <v/>
      </c>
      <c r="W1758" s="9">
        <f>IF(ORIG!W1758=0,"",ORIG!W1758)</f>
        <v/>
      </c>
      <c r="X1758" s="9">
        <f>IF(ORIG!X1758=0,"",ORIG!X1758)</f>
        <v/>
      </c>
      <c r="Y1758" s="9">
        <f>IF(ORIG!Y1758=0,"",ORIG!Y1758)</f>
        <v/>
      </c>
      <c r="Z1758" s="3">
        <f>SUMPRODUCT($B1758:$Y1758,$B$2649:$Y$2649)</f>
        <v/>
      </c>
      <c r="AA1758" s="3">
        <f>SUMPRODUCT($B1758:$Y1758,$B$2655:$Y$2655)</f>
        <v/>
      </c>
      <c r="AC1758" s="1">
        <f>A1758</f>
        <v/>
      </c>
      <c r="AD1758">
        <f>IF(ISNUMBER(V1758),V1758*($AB$1/V$2635),"")</f>
        <v/>
      </c>
      <c r="AE1758">
        <f>IF(ISNUMBER(Z1758),Z1758*($AB$1/Z$2635),"")</f>
        <v/>
      </c>
      <c r="AF1758" s="25">
        <f>IF(ISNUMBER(AD1758+AE1758),AD1758+AE1758,"")</f>
        <v/>
      </c>
      <c r="AH1758" s="1">
        <f>A1758</f>
        <v/>
      </c>
      <c r="AI1758">
        <f>IF(ISNUMBER((1+V1758)*AI1757),(1+V1758)*AI1757,AI1757)</f>
        <v/>
      </c>
      <c r="AJ1758">
        <f>IF(ISNUMBER((1+Z1758)*AJ1757),(1+Z1758)*AJ1757,AJ1757)</f>
        <v/>
      </c>
    </row>
    <row r="1759">
      <c r="A1759" s="1" t="n">
        <v>44552</v>
      </c>
      <c r="B1759" s="3">
        <f>IF(ORIG!B1759=0,"",ORIG!B1759)</f>
        <v/>
      </c>
      <c r="C1759" s="3">
        <f>IF(ORIG!C1759=0,"",ORIG!C1759)</f>
        <v/>
      </c>
      <c r="D1759" s="3">
        <f>IF(ORIG!D1759=0,"",ORIG!D1759)</f>
        <v/>
      </c>
      <c r="E1759" s="3">
        <f>IF(ORIG!E1759=0,"",ORIG!E1759)</f>
        <v/>
      </c>
      <c r="F1759" s="3">
        <f>IF(ORIG!F1759=0,"",ORIG!F1759)</f>
        <v/>
      </c>
      <c r="G1759" s="3">
        <f>IF(ORIG!G1759=0,"",ORIG!G1759)</f>
        <v/>
      </c>
      <c r="H1759" s="3">
        <f>IF(ORIG!H1759=0,"",ORIG!H1759)</f>
        <v/>
      </c>
      <c r="I1759" s="3">
        <f>IF(ORIG!I1759=0,"",ORIG!I1759)</f>
        <v/>
      </c>
      <c r="J1759" s="3">
        <f>IF(ORIG!J1759=0,"",ORIG!J1759)</f>
        <v/>
      </c>
      <c r="K1759" s="3">
        <f>IF(ORIG!K1759=0,"",ORIG!K1759)</f>
        <v/>
      </c>
      <c r="L1759" s="3">
        <f>IF(ORIG!L1759=0,"",ORIG!L1759)</f>
        <v/>
      </c>
      <c r="M1759" s="3">
        <f>IF(ORIG!M1759=0,"",ORIG!M1759)</f>
        <v/>
      </c>
      <c r="N1759" s="3">
        <f>IF(ORIG!N1759=0,"",ORIG!N1759)</f>
        <v/>
      </c>
      <c r="O1759" s="3">
        <f>IF(ORIG!O1759=0,"",ORIG!O1759)</f>
        <v/>
      </c>
      <c r="P1759" s="3">
        <f>IF(ORIG!P1759=0,"",ORIG!P1759)</f>
        <v/>
      </c>
      <c r="Q1759" s="3">
        <f>IF(ORIG!Q1759=0,"",ORIG!Q1759)</f>
        <v/>
      </c>
      <c r="R1759" s="3">
        <f>IF(ORIG!R1759=0,"",ORIG!R1759)</f>
        <v/>
      </c>
      <c r="S1759" s="3">
        <f>IF(ORIG!S1759=0,"",ORIG!S1759)</f>
        <v/>
      </c>
      <c r="T1759" s="3">
        <f>IF(ORIG!T1759=0,"",ORIG!T1759)</f>
        <v/>
      </c>
      <c r="U1759" s="3">
        <f>IF(ORIG!U1759=0,"",ORIG!U1759)</f>
        <v/>
      </c>
      <c r="V1759" s="9">
        <f>IF(ORIG!V1759=0,"",ORIG!V1759)</f>
        <v/>
      </c>
      <c r="W1759" s="9">
        <f>IF(ORIG!W1759=0,"",ORIG!W1759)</f>
        <v/>
      </c>
      <c r="X1759" s="9">
        <f>IF(ORIG!X1759=0,"",ORIG!X1759)</f>
        <v/>
      </c>
      <c r="Y1759" s="9">
        <f>IF(ORIG!Y1759=0,"",ORIG!Y1759)</f>
        <v/>
      </c>
      <c r="Z1759" s="3">
        <f>SUMPRODUCT($B1759:$Y1759,$B$2649:$Y$2649)</f>
        <v/>
      </c>
      <c r="AA1759" s="3">
        <f>SUMPRODUCT($B1759:$Y1759,$B$2655:$Y$2655)</f>
        <v/>
      </c>
      <c r="AC1759" s="1">
        <f>A1759</f>
        <v/>
      </c>
      <c r="AD1759">
        <f>IF(ISNUMBER(V1759),V1759*($AB$1/V$2635),"")</f>
        <v/>
      </c>
      <c r="AE1759">
        <f>IF(ISNUMBER(Z1759),Z1759*($AB$1/Z$2635),"")</f>
        <v/>
      </c>
      <c r="AF1759" s="25">
        <f>IF(ISNUMBER(AD1759+AE1759),AD1759+AE1759,"")</f>
        <v/>
      </c>
      <c r="AH1759" s="1">
        <f>A1759</f>
        <v/>
      </c>
      <c r="AI1759">
        <f>IF(ISNUMBER((1+V1759)*AI1758),(1+V1759)*AI1758,AI1758)</f>
        <v/>
      </c>
      <c r="AJ1759">
        <f>IF(ISNUMBER((1+Z1759)*AJ1758),(1+Z1759)*AJ1758,AJ1758)</f>
        <v/>
      </c>
    </row>
    <row r="1760">
      <c r="A1760" s="1" t="n">
        <v>44553</v>
      </c>
      <c r="B1760" s="3">
        <f>IF(ORIG!B1760=0,"",ORIG!B1760)</f>
        <v/>
      </c>
      <c r="C1760" s="3">
        <f>IF(ORIG!C1760=0,"",ORIG!C1760)</f>
        <v/>
      </c>
      <c r="D1760" s="3">
        <f>IF(ORIG!D1760=0,"",ORIG!D1760)</f>
        <v/>
      </c>
      <c r="E1760" s="3">
        <f>IF(ORIG!E1760=0,"",ORIG!E1760)</f>
        <v/>
      </c>
      <c r="F1760" s="3">
        <f>IF(ORIG!F1760=0,"",ORIG!F1760)</f>
        <v/>
      </c>
      <c r="G1760" s="3">
        <f>IF(ORIG!G1760=0,"",ORIG!G1760)</f>
        <v/>
      </c>
      <c r="H1760" s="3">
        <f>IF(ORIG!H1760=0,"",ORIG!H1760)</f>
        <v/>
      </c>
      <c r="I1760" s="3">
        <f>IF(ORIG!I1760=0,"",ORIG!I1760)</f>
        <v/>
      </c>
      <c r="J1760" s="3">
        <f>IF(ORIG!J1760=0,"",ORIG!J1760)</f>
        <v/>
      </c>
      <c r="K1760" s="3">
        <f>IF(ORIG!K1760=0,"",ORIG!K1760)</f>
        <v/>
      </c>
      <c r="L1760" s="3">
        <f>IF(ORIG!L1760=0,"",ORIG!L1760)</f>
        <v/>
      </c>
      <c r="M1760" s="3">
        <f>IF(ORIG!M1760=0,"",ORIG!M1760)</f>
        <v/>
      </c>
      <c r="N1760" s="3">
        <f>IF(ORIG!N1760=0,"",ORIG!N1760)</f>
        <v/>
      </c>
      <c r="O1760" s="3">
        <f>IF(ORIG!O1760=0,"",ORIG!O1760)</f>
        <v/>
      </c>
      <c r="P1760" s="3">
        <f>IF(ORIG!P1760=0,"",ORIG!P1760)</f>
        <v/>
      </c>
      <c r="Q1760" s="3">
        <f>IF(ORIG!Q1760=0,"",ORIG!Q1760)</f>
        <v/>
      </c>
      <c r="R1760" s="3">
        <f>IF(ORIG!R1760=0,"",ORIG!R1760)</f>
        <v/>
      </c>
      <c r="S1760" s="3">
        <f>IF(ORIG!S1760=0,"",ORIG!S1760)</f>
        <v/>
      </c>
      <c r="T1760" s="3">
        <f>IF(ORIG!T1760=0,"",ORIG!T1760)</f>
        <v/>
      </c>
      <c r="U1760" s="3">
        <f>IF(ORIG!U1760=0,"",ORIG!U1760)</f>
        <v/>
      </c>
      <c r="V1760" s="9">
        <f>IF(ORIG!V1760=0,"",ORIG!V1760)</f>
        <v/>
      </c>
      <c r="W1760" s="9">
        <f>IF(ORIG!W1760=0,"",ORIG!W1760)</f>
        <v/>
      </c>
      <c r="X1760" s="9">
        <f>IF(ORIG!X1760=0,"",ORIG!X1760)</f>
        <v/>
      </c>
      <c r="Y1760" s="9">
        <f>IF(ORIG!Y1760=0,"",ORIG!Y1760)</f>
        <v/>
      </c>
      <c r="Z1760" s="3">
        <f>SUMPRODUCT($B1760:$Y1760,$B$2649:$Y$2649)</f>
        <v/>
      </c>
      <c r="AA1760" s="3">
        <f>SUMPRODUCT($B1760:$Y1760,$B$2655:$Y$2655)</f>
        <v/>
      </c>
      <c r="AC1760" s="1">
        <f>A1760</f>
        <v/>
      </c>
      <c r="AD1760">
        <f>IF(ISNUMBER(V1760),V1760*($AB$1/V$2635),"")</f>
        <v/>
      </c>
      <c r="AE1760">
        <f>IF(ISNUMBER(Z1760),Z1760*($AB$1/Z$2635),"")</f>
        <v/>
      </c>
      <c r="AF1760" s="25">
        <f>IF(ISNUMBER(AD1760+AE1760),AD1760+AE1760,"")</f>
        <v/>
      </c>
      <c r="AH1760" s="1">
        <f>A1760</f>
        <v/>
      </c>
      <c r="AI1760">
        <f>IF(ISNUMBER((1+V1760)*AI1759),(1+V1760)*AI1759,AI1759)</f>
        <v/>
      </c>
      <c r="AJ1760">
        <f>IF(ISNUMBER((1+Z1760)*AJ1759),(1+Z1760)*AJ1759,AJ1759)</f>
        <v/>
      </c>
    </row>
    <row r="1761">
      <c r="A1761" s="1" t="n">
        <v>44557</v>
      </c>
      <c r="B1761" s="3">
        <f>IF(ORIG!B1761=0,"",ORIG!B1761)</f>
        <v/>
      </c>
      <c r="C1761" s="3">
        <f>IF(ORIG!C1761=0,"",ORIG!C1761)</f>
        <v/>
      </c>
      <c r="D1761" s="3">
        <f>IF(ORIG!D1761=0,"",ORIG!D1761)</f>
        <v/>
      </c>
      <c r="E1761" s="3">
        <f>IF(ORIG!E1761=0,"",ORIG!E1761)</f>
        <v/>
      </c>
      <c r="F1761" s="3">
        <f>IF(ORIG!F1761=0,"",ORIG!F1761)</f>
        <v/>
      </c>
      <c r="G1761" s="3">
        <f>IF(ORIG!G1761=0,"",ORIG!G1761)</f>
        <v/>
      </c>
      <c r="H1761" s="3">
        <f>IF(ORIG!H1761=0,"",ORIG!H1761)</f>
        <v/>
      </c>
      <c r="I1761" s="3">
        <f>IF(ORIG!I1761=0,"",ORIG!I1761)</f>
        <v/>
      </c>
      <c r="J1761" s="3">
        <f>IF(ORIG!J1761=0,"",ORIG!J1761)</f>
        <v/>
      </c>
      <c r="K1761" s="3">
        <f>IF(ORIG!K1761=0,"",ORIG!K1761)</f>
        <v/>
      </c>
      <c r="L1761" s="3">
        <f>IF(ORIG!L1761=0,"",ORIG!L1761)</f>
        <v/>
      </c>
      <c r="M1761" s="3">
        <f>IF(ORIG!M1761=0,"",ORIG!M1761)</f>
        <v/>
      </c>
      <c r="N1761" s="3">
        <f>IF(ORIG!N1761=0,"",ORIG!N1761)</f>
        <v/>
      </c>
      <c r="O1761" s="3">
        <f>IF(ORIG!O1761=0,"",ORIG!O1761)</f>
        <v/>
      </c>
      <c r="P1761" s="3">
        <f>IF(ORIG!P1761=0,"",ORIG!P1761)</f>
        <v/>
      </c>
      <c r="Q1761" s="3">
        <f>IF(ORIG!Q1761=0,"",ORIG!Q1761)</f>
        <v/>
      </c>
      <c r="R1761" s="3">
        <f>IF(ORIG!R1761=0,"",ORIG!R1761)</f>
        <v/>
      </c>
      <c r="S1761" s="3">
        <f>IF(ORIG!S1761=0,"",ORIG!S1761)</f>
        <v/>
      </c>
      <c r="T1761" s="3">
        <f>IF(ORIG!T1761=0,"",ORIG!T1761)</f>
        <v/>
      </c>
      <c r="U1761" s="3">
        <f>IF(ORIG!U1761=0,"",ORIG!U1761)</f>
        <v/>
      </c>
      <c r="V1761" s="9">
        <f>IF(ORIG!V1761=0,"",ORIG!V1761)</f>
        <v/>
      </c>
      <c r="W1761" s="9">
        <f>IF(ORIG!W1761=0,"",ORIG!W1761)</f>
        <v/>
      </c>
      <c r="X1761" s="9">
        <f>IF(ORIG!X1761=0,"",ORIG!X1761)</f>
        <v/>
      </c>
      <c r="Y1761" s="9">
        <f>IF(ORIG!Y1761=0,"",ORIG!Y1761)</f>
        <v/>
      </c>
      <c r="Z1761" s="3">
        <f>SUMPRODUCT($B1761:$Y1761,$B$2649:$Y$2649)</f>
        <v/>
      </c>
      <c r="AA1761" s="3">
        <f>SUMPRODUCT($B1761:$Y1761,$B$2655:$Y$2655)</f>
        <v/>
      </c>
      <c r="AC1761" s="1">
        <f>A1761</f>
        <v/>
      </c>
      <c r="AD1761">
        <f>IF(ISNUMBER(V1761),V1761*($AB$1/V$2635),"")</f>
        <v/>
      </c>
      <c r="AE1761">
        <f>IF(ISNUMBER(Z1761),Z1761*($AB$1/Z$2635),"")</f>
        <v/>
      </c>
      <c r="AF1761" s="25">
        <f>IF(ISNUMBER(AD1761+AE1761),AD1761+AE1761,"")</f>
        <v/>
      </c>
      <c r="AH1761" s="1">
        <f>A1761</f>
        <v/>
      </c>
      <c r="AI1761">
        <f>IF(ISNUMBER((1+V1761)*AI1760),(1+V1761)*AI1760,AI1760)</f>
        <v/>
      </c>
      <c r="AJ1761">
        <f>IF(ISNUMBER((1+Z1761)*AJ1760),(1+Z1761)*AJ1760,AJ1760)</f>
        <v/>
      </c>
    </row>
    <row r="1762">
      <c r="A1762" s="1" t="n">
        <v>44558</v>
      </c>
      <c r="B1762" s="3">
        <f>IF(ORIG!B1762=0,"",ORIG!B1762)</f>
        <v/>
      </c>
      <c r="C1762" s="3">
        <f>IF(ORIG!C1762=0,"",ORIG!C1762)</f>
        <v/>
      </c>
      <c r="D1762" s="3">
        <f>IF(ORIG!D1762=0,"",ORIG!D1762)</f>
        <v/>
      </c>
      <c r="E1762" s="3">
        <f>IF(ORIG!E1762=0,"",ORIG!E1762)</f>
        <v/>
      </c>
      <c r="F1762" s="3">
        <f>IF(ORIG!F1762=0,"",ORIG!F1762)</f>
        <v/>
      </c>
      <c r="G1762" s="3">
        <f>IF(ORIG!G1762=0,"",ORIG!G1762)</f>
        <v/>
      </c>
      <c r="H1762" s="3">
        <f>IF(ORIG!H1762=0,"",ORIG!H1762)</f>
        <v/>
      </c>
      <c r="I1762" s="3">
        <f>IF(ORIG!I1762=0,"",ORIG!I1762)</f>
        <v/>
      </c>
      <c r="J1762" s="3">
        <f>IF(ORIG!J1762=0,"",ORIG!J1762)</f>
        <v/>
      </c>
      <c r="K1762" s="3">
        <f>IF(ORIG!K1762=0,"",ORIG!K1762)</f>
        <v/>
      </c>
      <c r="L1762" s="3">
        <f>IF(ORIG!L1762=0,"",ORIG!L1762)</f>
        <v/>
      </c>
      <c r="M1762" s="3">
        <f>IF(ORIG!M1762=0,"",ORIG!M1762)</f>
        <v/>
      </c>
      <c r="N1762" s="3">
        <f>IF(ORIG!N1762=0,"",ORIG!N1762)</f>
        <v/>
      </c>
      <c r="O1762" s="3">
        <f>IF(ORIG!O1762=0,"",ORIG!O1762)</f>
        <v/>
      </c>
      <c r="P1762" s="3">
        <f>IF(ORIG!P1762=0,"",ORIG!P1762)</f>
        <v/>
      </c>
      <c r="Q1762" s="3">
        <f>IF(ORIG!Q1762=0,"",ORIG!Q1762)</f>
        <v/>
      </c>
      <c r="R1762" s="3">
        <f>IF(ORIG!R1762=0,"",ORIG!R1762)</f>
        <v/>
      </c>
      <c r="S1762" s="3">
        <f>IF(ORIG!S1762=0,"",ORIG!S1762)</f>
        <v/>
      </c>
      <c r="T1762" s="3">
        <f>IF(ORIG!T1762=0,"",ORIG!T1762)</f>
        <v/>
      </c>
      <c r="U1762" s="3">
        <f>IF(ORIG!U1762=0,"",ORIG!U1762)</f>
        <v/>
      </c>
      <c r="V1762" s="9">
        <f>IF(ORIG!V1762=0,"",ORIG!V1762)</f>
        <v/>
      </c>
      <c r="W1762" s="9">
        <f>IF(ORIG!W1762=0,"",ORIG!W1762)</f>
        <v/>
      </c>
      <c r="X1762" s="9">
        <f>IF(ORIG!X1762=0,"",ORIG!X1762)</f>
        <v/>
      </c>
      <c r="Y1762" s="9">
        <f>IF(ORIG!Y1762=0,"",ORIG!Y1762)</f>
        <v/>
      </c>
      <c r="Z1762" s="3">
        <f>SUMPRODUCT($B1762:$Y1762,$B$2649:$Y$2649)</f>
        <v/>
      </c>
      <c r="AA1762" s="3">
        <f>SUMPRODUCT($B1762:$Y1762,$B$2655:$Y$2655)</f>
        <v/>
      </c>
      <c r="AC1762" s="1">
        <f>A1762</f>
        <v/>
      </c>
      <c r="AD1762">
        <f>IF(ISNUMBER(V1762),V1762*($AB$1/V$2635),"")</f>
        <v/>
      </c>
      <c r="AE1762">
        <f>IF(ISNUMBER(Z1762),Z1762*($AB$1/Z$2635),"")</f>
        <v/>
      </c>
      <c r="AF1762" s="25">
        <f>IF(ISNUMBER(AD1762+AE1762),AD1762+AE1762,"")</f>
        <v/>
      </c>
      <c r="AH1762" s="1">
        <f>A1762</f>
        <v/>
      </c>
      <c r="AI1762">
        <f>IF(ISNUMBER((1+V1762)*AI1761),(1+V1762)*AI1761,AI1761)</f>
        <v/>
      </c>
      <c r="AJ1762">
        <f>IF(ISNUMBER((1+Z1762)*AJ1761),(1+Z1762)*AJ1761,AJ1761)</f>
        <v/>
      </c>
    </row>
    <row r="1763">
      <c r="A1763" s="1" t="n">
        <v>44559</v>
      </c>
      <c r="B1763" s="3">
        <f>IF(ORIG!B1763=0,"",ORIG!B1763)</f>
        <v/>
      </c>
      <c r="C1763" s="3">
        <f>IF(ORIG!C1763=0,"",ORIG!C1763)</f>
        <v/>
      </c>
      <c r="D1763" s="3">
        <f>IF(ORIG!D1763=0,"",ORIG!D1763)</f>
        <v/>
      </c>
      <c r="E1763" s="3">
        <f>IF(ORIG!E1763=0,"",ORIG!E1763)</f>
        <v/>
      </c>
      <c r="F1763" s="3">
        <f>IF(ORIG!F1763=0,"",ORIG!F1763)</f>
        <v/>
      </c>
      <c r="G1763" s="3">
        <f>IF(ORIG!G1763=0,"",ORIG!G1763)</f>
        <v/>
      </c>
      <c r="H1763" s="3">
        <f>IF(ORIG!H1763=0,"",ORIG!H1763)</f>
        <v/>
      </c>
      <c r="I1763" s="3">
        <f>IF(ORIG!I1763=0,"",ORIG!I1763)</f>
        <v/>
      </c>
      <c r="J1763" s="3">
        <f>IF(ORIG!J1763=0,"",ORIG!J1763)</f>
        <v/>
      </c>
      <c r="K1763" s="3">
        <f>IF(ORIG!K1763=0,"",ORIG!K1763)</f>
        <v/>
      </c>
      <c r="L1763" s="3">
        <f>IF(ORIG!L1763=0,"",ORIG!L1763)</f>
        <v/>
      </c>
      <c r="M1763" s="3">
        <f>IF(ORIG!M1763=0,"",ORIG!M1763)</f>
        <v/>
      </c>
      <c r="N1763" s="3">
        <f>IF(ORIG!N1763=0,"",ORIG!N1763)</f>
        <v/>
      </c>
      <c r="O1763" s="3">
        <f>IF(ORIG!O1763=0,"",ORIG!O1763)</f>
        <v/>
      </c>
      <c r="P1763" s="3">
        <f>IF(ORIG!P1763=0,"",ORIG!P1763)</f>
        <v/>
      </c>
      <c r="Q1763" s="3">
        <f>IF(ORIG!Q1763=0,"",ORIG!Q1763)</f>
        <v/>
      </c>
      <c r="R1763" s="3">
        <f>IF(ORIG!R1763=0,"",ORIG!R1763)</f>
        <v/>
      </c>
      <c r="S1763" s="3">
        <f>IF(ORIG!S1763=0,"",ORIG!S1763)</f>
        <v/>
      </c>
      <c r="T1763" s="3">
        <f>IF(ORIG!T1763=0,"",ORIG!T1763)</f>
        <v/>
      </c>
      <c r="U1763" s="3">
        <f>IF(ORIG!U1763=0,"",ORIG!U1763)</f>
        <v/>
      </c>
      <c r="V1763" s="9">
        <f>IF(ORIG!V1763=0,"",ORIG!V1763)</f>
        <v/>
      </c>
      <c r="W1763" s="9">
        <f>IF(ORIG!W1763=0,"",ORIG!W1763)</f>
        <v/>
      </c>
      <c r="X1763" s="9">
        <f>IF(ORIG!X1763=0,"",ORIG!X1763)</f>
        <v/>
      </c>
      <c r="Y1763" s="9">
        <f>IF(ORIG!Y1763=0,"",ORIG!Y1763)</f>
        <v/>
      </c>
      <c r="Z1763" s="3">
        <f>SUMPRODUCT($B1763:$Y1763,$B$2649:$Y$2649)</f>
        <v/>
      </c>
      <c r="AA1763" s="3">
        <f>SUMPRODUCT($B1763:$Y1763,$B$2655:$Y$2655)</f>
        <v/>
      </c>
      <c r="AC1763" s="1">
        <f>A1763</f>
        <v/>
      </c>
      <c r="AD1763">
        <f>IF(ISNUMBER(V1763),V1763*($AB$1/V$2635),"")</f>
        <v/>
      </c>
      <c r="AE1763">
        <f>IF(ISNUMBER(Z1763),Z1763*($AB$1/Z$2635),"")</f>
        <v/>
      </c>
      <c r="AF1763" s="25">
        <f>IF(ISNUMBER(AD1763+AE1763),AD1763+AE1763,"")</f>
        <v/>
      </c>
      <c r="AH1763" s="1">
        <f>A1763</f>
        <v/>
      </c>
      <c r="AI1763">
        <f>IF(ISNUMBER((1+V1763)*AI1762),(1+V1763)*AI1762,AI1762)</f>
        <v/>
      </c>
      <c r="AJ1763">
        <f>IF(ISNUMBER((1+Z1763)*AJ1762),(1+Z1763)*AJ1762,AJ1762)</f>
        <v/>
      </c>
    </row>
    <row r="1764">
      <c r="A1764" s="1" t="n">
        <v>44560</v>
      </c>
      <c r="B1764" s="3">
        <f>IF(ORIG!B1764=0,"",ORIG!B1764)</f>
        <v/>
      </c>
      <c r="C1764" s="3">
        <f>IF(ORIG!C1764=0,"",ORIG!C1764)</f>
        <v/>
      </c>
      <c r="D1764" s="3">
        <f>IF(ORIG!D1764=0,"",ORIG!D1764)</f>
        <v/>
      </c>
      <c r="E1764" s="3">
        <f>IF(ORIG!E1764=0,"",ORIG!E1764)</f>
        <v/>
      </c>
      <c r="F1764" s="3">
        <f>IF(ORIG!F1764=0,"",ORIG!F1764)</f>
        <v/>
      </c>
      <c r="G1764" s="3">
        <f>IF(ORIG!G1764=0,"",ORIG!G1764)</f>
        <v/>
      </c>
      <c r="H1764" s="3">
        <f>IF(ORIG!H1764=0,"",ORIG!H1764)</f>
        <v/>
      </c>
      <c r="I1764" s="3">
        <f>IF(ORIG!I1764=0,"",ORIG!I1764)</f>
        <v/>
      </c>
      <c r="J1764" s="3">
        <f>IF(ORIG!J1764=0,"",ORIG!J1764)</f>
        <v/>
      </c>
      <c r="K1764" s="3">
        <f>IF(ORIG!K1764=0,"",ORIG!K1764)</f>
        <v/>
      </c>
      <c r="L1764" s="3">
        <f>IF(ORIG!L1764=0,"",ORIG!L1764)</f>
        <v/>
      </c>
      <c r="M1764" s="3">
        <f>IF(ORIG!M1764=0,"",ORIG!M1764)</f>
        <v/>
      </c>
      <c r="N1764" s="3">
        <f>IF(ORIG!N1764=0,"",ORIG!N1764)</f>
        <v/>
      </c>
      <c r="O1764" s="3">
        <f>IF(ORIG!O1764=0,"",ORIG!O1764)</f>
        <v/>
      </c>
      <c r="P1764" s="3">
        <f>IF(ORIG!P1764=0,"",ORIG!P1764)</f>
        <v/>
      </c>
      <c r="Q1764" s="3">
        <f>IF(ORIG!Q1764=0,"",ORIG!Q1764)</f>
        <v/>
      </c>
      <c r="R1764" s="3">
        <f>IF(ORIG!R1764=0,"",ORIG!R1764)</f>
        <v/>
      </c>
      <c r="S1764" s="3">
        <f>IF(ORIG!S1764=0,"",ORIG!S1764)</f>
        <v/>
      </c>
      <c r="T1764" s="3">
        <f>IF(ORIG!T1764=0,"",ORIG!T1764)</f>
        <v/>
      </c>
      <c r="U1764" s="3">
        <f>IF(ORIG!U1764=0,"",ORIG!U1764)</f>
        <v/>
      </c>
      <c r="V1764" s="9">
        <f>IF(ORIG!V1764=0,"",ORIG!V1764)</f>
        <v/>
      </c>
      <c r="W1764" s="9">
        <f>IF(ORIG!W1764=0,"",ORIG!W1764)</f>
        <v/>
      </c>
      <c r="X1764" s="9">
        <f>IF(ORIG!X1764=0,"",ORIG!X1764)</f>
        <v/>
      </c>
      <c r="Y1764" s="9">
        <f>IF(ORIG!Y1764=0,"",ORIG!Y1764)</f>
        <v/>
      </c>
      <c r="Z1764" s="3">
        <f>SUMPRODUCT($B1764:$Y1764,$B$2649:$Y$2649)</f>
        <v/>
      </c>
      <c r="AA1764" s="3">
        <f>SUMPRODUCT($B1764:$Y1764,$B$2655:$Y$2655)</f>
        <v/>
      </c>
      <c r="AC1764" s="1">
        <f>A1764</f>
        <v/>
      </c>
      <c r="AD1764">
        <f>IF(ISNUMBER(V1764),V1764*($AB$1/V$2635),"")</f>
        <v/>
      </c>
      <c r="AE1764">
        <f>IF(ISNUMBER(Z1764),Z1764*($AB$1/Z$2635),"")</f>
        <v/>
      </c>
      <c r="AF1764" s="25">
        <f>IF(ISNUMBER(AD1764+AE1764),AD1764+AE1764,"")</f>
        <v/>
      </c>
      <c r="AH1764" s="1">
        <f>A1764</f>
        <v/>
      </c>
      <c r="AI1764">
        <f>IF(ISNUMBER((1+V1764)*AI1763),(1+V1764)*AI1763,AI1763)</f>
        <v/>
      </c>
      <c r="AJ1764">
        <f>IF(ISNUMBER((1+Z1764)*AJ1763),(1+Z1764)*AJ1763,AJ1763)</f>
        <v/>
      </c>
    </row>
    <row r="1765">
      <c r="A1765" s="1" t="n">
        <v>44561</v>
      </c>
      <c r="B1765" s="3">
        <f>IF(ORIG!B1765=0,"",ORIG!B1765)</f>
        <v/>
      </c>
      <c r="C1765" s="3">
        <f>IF(ORIG!C1765=0,"",ORIG!C1765)</f>
        <v/>
      </c>
      <c r="D1765" s="3">
        <f>IF(ORIG!D1765=0,"",ORIG!D1765)</f>
        <v/>
      </c>
      <c r="E1765" s="3">
        <f>IF(ORIG!E1765=0,"",ORIG!E1765)</f>
        <v/>
      </c>
      <c r="F1765" s="3">
        <f>IF(ORIG!F1765=0,"",ORIG!F1765)</f>
        <v/>
      </c>
      <c r="G1765" s="3">
        <f>IF(ORIG!G1765=0,"",ORIG!G1765)</f>
        <v/>
      </c>
      <c r="H1765" s="3">
        <f>IF(ORIG!H1765=0,"",ORIG!H1765)</f>
        <v/>
      </c>
      <c r="I1765" s="3">
        <f>IF(ORIG!I1765=0,"",ORIG!I1765)</f>
        <v/>
      </c>
      <c r="J1765" s="3">
        <f>IF(ORIG!J1765=0,"",ORIG!J1765)</f>
        <v/>
      </c>
      <c r="K1765" s="3">
        <f>IF(ORIG!K1765=0,"",ORIG!K1765)</f>
        <v/>
      </c>
      <c r="L1765" s="3">
        <f>IF(ORIG!L1765=0,"",ORIG!L1765)</f>
        <v/>
      </c>
      <c r="M1765" s="3">
        <f>IF(ORIG!M1765=0,"",ORIG!M1765)</f>
        <v/>
      </c>
      <c r="N1765" s="3">
        <f>IF(ORIG!N1765=0,"",ORIG!N1765)</f>
        <v/>
      </c>
      <c r="O1765" s="3">
        <f>IF(ORIG!O1765=0,"",ORIG!O1765)</f>
        <v/>
      </c>
      <c r="P1765" s="3">
        <f>IF(ORIG!P1765=0,"",ORIG!P1765)</f>
        <v/>
      </c>
      <c r="Q1765" s="3">
        <f>IF(ORIG!Q1765=0,"",ORIG!Q1765)</f>
        <v/>
      </c>
      <c r="R1765" s="3">
        <f>IF(ORIG!R1765=0,"",ORIG!R1765)</f>
        <v/>
      </c>
      <c r="S1765" s="3">
        <f>IF(ORIG!S1765=0,"",ORIG!S1765)</f>
        <v/>
      </c>
      <c r="T1765" s="3">
        <f>IF(ORIG!T1765=0,"",ORIG!T1765)</f>
        <v/>
      </c>
      <c r="U1765" s="3">
        <f>IF(ORIG!U1765=0,"",ORIG!U1765)</f>
        <v/>
      </c>
      <c r="V1765" s="9">
        <f>IF(ORIG!V1765=0,"",ORIG!V1765)</f>
        <v/>
      </c>
      <c r="W1765" s="9">
        <f>IF(ORIG!W1765=0,"",ORIG!W1765)</f>
        <v/>
      </c>
      <c r="X1765" s="9">
        <f>IF(ORIG!X1765=0,"",ORIG!X1765)</f>
        <v/>
      </c>
      <c r="Y1765" s="9">
        <f>IF(ORIG!Y1765=0,"",ORIG!Y1765)</f>
        <v/>
      </c>
      <c r="Z1765" s="3">
        <f>SUMPRODUCT($B1765:$Y1765,$B$2649:$Y$2649)</f>
        <v/>
      </c>
      <c r="AA1765" s="3">
        <f>SUMPRODUCT($B1765:$Y1765,$B$2655:$Y$2655)</f>
        <v/>
      </c>
      <c r="AC1765" s="1">
        <f>A1765</f>
        <v/>
      </c>
      <c r="AD1765">
        <f>IF(ISNUMBER(V1765),V1765*($AB$1/V$2635),"")</f>
        <v/>
      </c>
      <c r="AE1765">
        <f>IF(ISNUMBER(Z1765),Z1765*($AB$1/Z$2635),"")</f>
        <v/>
      </c>
      <c r="AF1765" s="25">
        <f>IF(ISNUMBER(AD1765+AE1765),AD1765+AE1765,"")</f>
        <v/>
      </c>
      <c r="AH1765" s="1">
        <f>A1765</f>
        <v/>
      </c>
      <c r="AI1765">
        <f>IF(ISNUMBER((1+V1765)*AI1764),(1+V1765)*AI1764,AI1764)</f>
        <v/>
      </c>
      <c r="AJ1765">
        <f>IF(ISNUMBER((1+Z1765)*AJ1764),(1+Z1765)*AJ1764,AJ1764)</f>
        <v/>
      </c>
    </row>
    <row r="1766">
      <c r="A1766" s="1" t="n">
        <v>44564</v>
      </c>
      <c r="B1766" s="3">
        <f>IF(ORIG!B1766=0,"",ORIG!B1766)</f>
        <v/>
      </c>
      <c r="C1766" s="3">
        <f>IF(ORIG!C1766=0,"",ORIG!C1766)</f>
        <v/>
      </c>
      <c r="D1766" s="3">
        <f>IF(ORIG!D1766=0,"",ORIG!D1766)</f>
        <v/>
      </c>
      <c r="E1766" s="3">
        <f>IF(ORIG!E1766=0,"",ORIG!E1766)</f>
        <v/>
      </c>
      <c r="F1766" s="3">
        <f>IF(ORIG!F1766=0,"",ORIG!F1766)</f>
        <v/>
      </c>
      <c r="G1766" s="3">
        <f>IF(ORIG!G1766=0,"",ORIG!G1766)</f>
        <v/>
      </c>
      <c r="H1766" s="3">
        <f>IF(ORIG!H1766=0,"",ORIG!H1766)</f>
        <v/>
      </c>
      <c r="I1766" s="3">
        <f>IF(ORIG!I1766=0,"",ORIG!I1766)</f>
        <v/>
      </c>
      <c r="J1766" s="3">
        <f>IF(ORIG!J1766=0,"",ORIG!J1766)</f>
        <v/>
      </c>
      <c r="K1766" s="3">
        <f>IF(ORIG!K1766=0,"",ORIG!K1766)</f>
        <v/>
      </c>
      <c r="L1766" s="3">
        <f>IF(ORIG!L1766=0,"",ORIG!L1766)</f>
        <v/>
      </c>
      <c r="M1766" s="3">
        <f>IF(ORIG!M1766=0,"",ORIG!M1766)</f>
        <v/>
      </c>
      <c r="N1766" s="3">
        <f>IF(ORIG!N1766=0,"",ORIG!N1766)</f>
        <v/>
      </c>
      <c r="O1766" s="3">
        <f>IF(ORIG!O1766=0,"",ORIG!O1766)</f>
        <v/>
      </c>
      <c r="P1766" s="3">
        <f>IF(ORIG!P1766=0,"",ORIG!P1766)</f>
        <v/>
      </c>
      <c r="Q1766" s="3">
        <f>IF(ORIG!Q1766=0,"",ORIG!Q1766)</f>
        <v/>
      </c>
      <c r="R1766" s="3">
        <f>IF(ORIG!R1766=0,"",ORIG!R1766)</f>
        <v/>
      </c>
      <c r="S1766" s="3">
        <f>IF(ORIG!S1766=0,"",ORIG!S1766)</f>
        <v/>
      </c>
      <c r="T1766" s="3">
        <f>IF(ORIG!T1766=0,"",ORIG!T1766)</f>
        <v/>
      </c>
      <c r="U1766" s="3">
        <f>IF(ORIG!U1766=0,"",ORIG!U1766)</f>
        <v/>
      </c>
      <c r="V1766" s="9">
        <f>IF(ORIG!V1766=0,"",ORIG!V1766)</f>
        <v/>
      </c>
      <c r="W1766" s="9">
        <f>IF(ORIG!W1766=0,"",ORIG!W1766)</f>
        <v/>
      </c>
      <c r="X1766" s="9">
        <f>IF(ORIG!X1766=0,"",ORIG!X1766)</f>
        <v/>
      </c>
      <c r="Y1766" s="9">
        <f>IF(ORIG!Y1766=0,"",ORIG!Y1766)</f>
        <v/>
      </c>
      <c r="Z1766" s="3">
        <f>SUMPRODUCT($B1766:$Y1766,$B$2649:$Y$2649)</f>
        <v/>
      </c>
      <c r="AA1766" s="3">
        <f>SUMPRODUCT($B1766:$Y1766,$B$2655:$Y$2655)</f>
        <v/>
      </c>
      <c r="AC1766" s="1">
        <f>A1766</f>
        <v/>
      </c>
      <c r="AD1766">
        <f>IF(ISNUMBER(V1766),V1766*($AB$1/V$2635),"")</f>
        <v/>
      </c>
      <c r="AE1766">
        <f>IF(ISNUMBER(Z1766),Z1766*($AB$1/Z$2635),"")</f>
        <v/>
      </c>
      <c r="AF1766" s="25">
        <f>IF(ISNUMBER(AD1766+AE1766),AD1766+AE1766,"")</f>
        <v/>
      </c>
      <c r="AH1766" s="1">
        <f>A1766</f>
        <v/>
      </c>
      <c r="AI1766">
        <f>IF(ISNUMBER((1+V1766)*AI1765),(1+V1766)*AI1765,AI1765)</f>
        <v/>
      </c>
      <c r="AJ1766">
        <f>IF(ISNUMBER((1+Z1766)*AJ1765),(1+Z1766)*AJ1765,AJ1765)</f>
        <v/>
      </c>
    </row>
    <row r="1767">
      <c r="A1767" s="1" t="n">
        <v>44565</v>
      </c>
      <c r="B1767" s="3">
        <f>IF(ORIG!B1767=0,"",ORIG!B1767)</f>
        <v/>
      </c>
      <c r="C1767" s="3">
        <f>IF(ORIG!C1767=0,"",ORIG!C1767)</f>
        <v/>
      </c>
      <c r="D1767" s="3">
        <f>IF(ORIG!D1767=0,"",ORIG!D1767)</f>
        <v/>
      </c>
      <c r="E1767" s="3">
        <f>IF(ORIG!E1767=0,"",ORIG!E1767)</f>
        <v/>
      </c>
      <c r="F1767" s="3">
        <f>IF(ORIG!F1767=0,"",ORIG!F1767)</f>
        <v/>
      </c>
      <c r="G1767" s="3">
        <f>IF(ORIG!G1767=0,"",ORIG!G1767)</f>
        <v/>
      </c>
      <c r="H1767" s="3">
        <f>IF(ORIG!H1767=0,"",ORIG!H1767)</f>
        <v/>
      </c>
      <c r="I1767" s="3">
        <f>IF(ORIG!I1767=0,"",ORIG!I1767)</f>
        <v/>
      </c>
      <c r="J1767" s="3">
        <f>IF(ORIG!J1767=0,"",ORIG!J1767)</f>
        <v/>
      </c>
      <c r="K1767" s="3">
        <f>IF(ORIG!K1767=0,"",ORIG!K1767)</f>
        <v/>
      </c>
      <c r="L1767" s="3">
        <f>IF(ORIG!L1767=0,"",ORIG!L1767)</f>
        <v/>
      </c>
      <c r="M1767" s="3">
        <f>IF(ORIG!M1767=0,"",ORIG!M1767)</f>
        <v/>
      </c>
      <c r="N1767" s="3">
        <f>IF(ORIG!N1767=0,"",ORIG!N1767)</f>
        <v/>
      </c>
      <c r="O1767" s="3">
        <f>IF(ORIG!O1767=0,"",ORIG!O1767)</f>
        <v/>
      </c>
      <c r="P1767" s="3">
        <f>IF(ORIG!P1767=0,"",ORIG!P1767)</f>
        <v/>
      </c>
      <c r="Q1767" s="3">
        <f>IF(ORIG!Q1767=0,"",ORIG!Q1767)</f>
        <v/>
      </c>
      <c r="R1767" s="3">
        <f>IF(ORIG!R1767=0,"",ORIG!R1767)</f>
        <v/>
      </c>
      <c r="S1767" s="3">
        <f>IF(ORIG!S1767=0,"",ORIG!S1767)</f>
        <v/>
      </c>
      <c r="T1767" s="3">
        <f>IF(ORIG!T1767=0,"",ORIG!T1767)</f>
        <v/>
      </c>
      <c r="U1767" s="3">
        <f>IF(ORIG!U1767=0,"",ORIG!U1767)</f>
        <v/>
      </c>
      <c r="V1767" s="9">
        <f>IF(ORIG!V1767=0,"",ORIG!V1767)</f>
        <v/>
      </c>
      <c r="W1767" s="9">
        <f>IF(ORIG!W1767=0,"",ORIG!W1767)</f>
        <v/>
      </c>
      <c r="X1767" s="9">
        <f>IF(ORIG!X1767=0,"",ORIG!X1767)</f>
        <v/>
      </c>
      <c r="Y1767" s="9">
        <f>IF(ORIG!Y1767=0,"",ORIG!Y1767)</f>
        <v/>
      </c>
      <c r="Z1767" s="3">
        <f>SUMPRODUCT($B1767:$Y1767,$B$2649:$Y$2649)</f>
        <v/>
      </c>
      <c r="AA1767" s="3">
        <f>SUMPRODUCT($B1767:$Y1767,$B$2655:$Y$2655)</f>
        <v/>
      </c>
      <c r="AC1767" s="1">
        <f>A1767</f>
        <v/>
      </c>
      <c r="AD1767">
        <f>IF(ISNUMBER(V1767),V1767*($AB$1/V$2635),"")</f>
        <v/>
      </c>
      <c r="AE1767">
        <f>IF(ISNUMBER(Z1767),Z1767*($AB$1/Z$2635),"")</f>
        <v/>
      </c>
      <c r="AF1767" s="25">
        <f>IF(ISNUMBER(AD1767+AE1767),AD1767+AE1767,"")</f>
        <v/>
      </c>
      <c r="AH1767" s="1">
        <f>A1767</f>
        <v/>
      </c>
      <c r="AI1767">
        <f>IF(ISNUMBER((1+V1767)*AI1766),(1+V1767)*AI1766,AI1766)</f>
        <v/>
      </c>
      <c r="AJ1767">
        <f>IF(ISNUMBER((1+Z1767)*AJ1766),(1+Z1767)*AJ1766,AJ1766)</f>
        <v/>
      </c>
    </row>
    <row r="1768">
      <c r="A1768" s="1" t="n">
        <v>44566</v>
      </c>
      <c r="B1768" s="3">
        <f>IF(ORIG!B1768=0,"",ORIG!B1768)</f>
        <v/>
      </c>
      <c r="C1768" s="3">
        <f>IF(ORIG!C1768=0,"",ORIG!C1768)</f>
        <v/>
      </c>
      <c r="D1768" s="3">
        <f>IF(ORIG!D1768=0,"",ORIG!D1768)</f>
        <v/>
      </c>
      <c r="E1768" s="3">
        <f>IF(ORIG!E1768=0,"",ORIG!E1768)</f>
        <v/>
      </c>
      <c r="F1768" s="3">
        <f>IF(ORIG!F1768=0,"",ORIG!F1768)</f>
        <v/>
      </c>
      <c r="G1768" s="3">
        <f>IF(ORIG!G1768=0,"",ORIG!G1768)</f>
        <v/>
      </c>
      <c r="H1768" s="3">
        <f>IF(ORIG!H1768=0,"",ORIG!H1768)</f>
        <v/>
      </c>
      <c r="I1768" s="3">
        <f>IF(ORIG!I1768=0,"",ORIG!I1768)</f>
        <v/>
      </c>
      <c r="J1768" s="3">
        <f>IF(ORIG!J1768=0,"",ORIG!J1768)</f>
        <v/>
      </c>
      <c r="K1768" s="3">
        <f>IF(ORIG!K1768=0,"",ORIG!K1768)</f>
        <v/>
      </c>
      <c r="L1768" s="3">
        <f>IF(ORIG!L1768=0,"",ORIG!L1768)</f>
        <v/>
      </c>
      <c r="M1768" s="3">
        <f>IF(ORIG!M1768=0,"",ORIG!M1768)</f>
        <v/>
      </c>
      <c r="N1768" s="3">
        <f>IF(ORIG!N1768=0,"",ORIG!N1768)</f>
        <v/>
      </c>
      <c r="O1768" s="3">
        <f>IF(ORIG!O1768=0,"",ORIG!O1768)</f>
        <v/>
      </c>
      <c r="P1768" s="3">
        <f>IF(ORIG!P1768=0,"",ORIG!P1768)</f>
        <v/>
      </c>
      <c r="Q1768" s="3">
        <f>IF(ORIG!Q1768=0,"",ORIG!Q1768)</f>
        <v/>
      </c>
      <c r="R1768" s="3">
        <f>IF(ORIG!R1768=0,"",ORIG!R1768)</f>
        <v/>
      </c>
      <c r="S1768" s="3">
        <f>IF(ORIG!S1768=0,"",ORIG!S1768)</f>
        <v/>
      </c>
      <c r="T1768" s="3">
        <f>IF(ORIG!T1768=0,"",ORIG!T1768)</f>
        <v/>
      </c>
      <c r="U1768" s="3">
        <f>IF(ORIG!U1768=0,"",ORIG!U1768)</f>
        <v/>
      </c>
      <c r="V1768" s="9">
        <f>IF(ORIG!V1768=0,"",ORIG!V1768)</f>
        <v/>
      </c>
      <c r="W1768" s="9">
        <f>IF(ORIG!W1768=0,"",ORIG!W1768)</f>
        <v/>
      </c>
      <c r="X1768" s="9">
        <f>IF(ORIG!X1768=0,"",ORIG!X1768)</f>
        <v/>
      </c>
      <c r="Y1768" s="9">
        <f>IF(ORIG!Y1768=0,"",ORIG!Y1768)</f>
        <v/>
      </c>
      <c r="Z1768" s="3">
        <f>SUMPRODUCT($B1768:$Y1768,$B$2649:$Y$2649)</f>
        <v/>
      </c>
      <c r="AA1768" s="3">
        <f>SUMPRODUCT($B1768:$Y1768,$B$2655:$Y$2655)</f>
        <v/>
      </c>
      <c r="AC1768" s="1">
        <f>A1768</f>
        <v/>
      </c>
      <c r="AD1768">
        <f>IF(ISNUMBER(V1768),V1768*($AB$1/V$2635),"")</f>
        <v/>
      </c>
      <c r="AE1768">
        <f>IF(ISNUMBER(Z1768),Z1768*($AB$1/Z$2635),"")</f>
        <v/>
      </c>
      <c r="AF1768" s="25">
        <f>IF(ISNUMBER(AD1768+AE1768),AD1768+AE1768,"")</f>
        <v/>
      </c>
      <c r="AH1768" s="1">
        <f>A1768</f>
        <v/>
      </c>
      <c r="AI1768">
        <f>IF(ISNUMBER((1+V1768)*AI1767),(1+V1768)*AI1767,AI1767)</f>
        <v/>
      </c>
      <c r="AJ1768">
        <f>IF(ISNUMBER((1+Z1768)*AJ1767),(1+Z1768)*AJ1767,AJ1767)</f>
        <v/>
      </c>
    </row>
    <row r="1769">
      <c r="A1769" s="1" t="n">
        <v>44567</v>
      </c>
      <c r="B1769" s="3">
        <f>IF(ORIG!B1769=0,"",ORIG!B1769)</f>
        <v/>
      </c>
      <c r="C1769" s="3">
        <f>IF(ORIG!C1769=0,"",ORIG!C1769)</f>
        <v/>
      </c>
      <c r="D1769" s="3">
        <f>IF(ORIG!D1769=0,"",ORIG!D1769)</f>
        <v/>
      </c>
      <c r="E1769" s="3">
        <f>IF(ORIG!E1769=0,"",ORIG!E1769)</f>
        <v/>
      </c>
      <c r="F1769" s="3">
        <f>IF(ORIG!F1769=0,"",ORIG!F1769)</f>
        <v/>
      </c>
      <c r="G1769" s="3">
        <f>IF(ORIG!G1769=0,"",ORIG!G1769)</f>
        <v/>
      </c>
      <c r="H1769" s="3">
        <f>IF(ORIG!H1769=0,"",ORIG!H1769)</f>
        <v/>
      </c>
      <c r="I1769" s="3">
        <f>IF(ORIG!I1769=0,"",ORIG!I1769)</f>
        <v/>
      </c>
      <c r="J1769" s="3">
        <f>IF(ORIG!J1769=0,"",ORIG!J1769)</f>
        <v/>
      </c>
      <c r="K1769" s="3">
        <f>IF(ORIG!K1769=0,"",ORIG!K1769)</f>
        <v/>
      </c>
      <c r="L1769" s="3">
        <f>IF(ORIG!L1769=0,"",ORIG!L1769)</f>
        <v/>
      </c>
      <c r="M1769" s="3">
        <f>IF(ORIG!M1769=0,"",ORIG!M1769)</f>
        <v/>
      </c>
      <c r="N1769" s="3">
        <f>IF(ORIG!N1769=0,"",ORIG!N1769)</f>
        <v/>
      </c>
      <c r="O1769" s="3">
        <f>IF(ORIG!O1769=0,"",ORIG!O1769)</f>
        <v/>
      </c>
      <c r="P1769" s="3">
        <f>IF(ORIG!P1769=0,"",ORIG!P1769)</f>
        <v/>
      </c>
      <c r="Q1769" s="3">
        <f>IF(ORIG!Q1769=0,"",ORIG!Q1769)</f>
        <v/>
      </c>
      <c r="R1769" s="3">
        <f>IF(ORIG!R1769=0,"",ORIG!R1769)</f>
        <v/>
      </c>
      <c r="S1769" s="3">
        <f>IF(ORIG!S1769=0,"",ORIG!S1769)</f>
        <v/>
      </c>
      <c r="T1769" s="3">
        <f>IF(ORIG!T1769=0,"",ORIG!T1769)</f>
        <v/>
      </c>
      <c r="U1769" s="3">
        <f>IF(ORIG!U1769=0,"",ORIG!U1769)</f>
        <v/>
      </c>
      <c r="V1769" s="9">
        <f>IF(ORIG!V1769=0,"",ORIG!V1769)</f>
        <v/>
      </c>
      <c r="W1769" s="9">
        <f>IF(ORIG!W1769=0,"",ORIG!W1769)</f>
        <v/>
      </c>
      <c r="X1769" s="9">
        <f>IF(ORIG!X1769=0,"",ORIG!X1769)</f>
        <v/>
      </c>
      <c r="Y1769" s="9">
        <f>IF(ORIG!Y1769=0,"",ORIG!Y1769)</f>
        <v/>
      </c>
      <c r="Z1769" s="3">
        <f>SUMPRODUCT($B1769:$Y1769,$B$2649:$Y$2649)</f>
        <v/>
      </c>
      <c r="AA1769" s="3">
        <f>SUMPRODUCT($B1769:$Y1769,$B$2655:$Y$2655)</f>
        <v/>
      </c>
      <c r="AC1769" s="1">
        <f>A1769</f>
        <v/>
      </c>
      <c r="AD1769">
        <f>IF(ISNUMBER(V1769),V1769*($AB$1/V$2635),"")</f>
        <v/>
      </c>
      <c r="AE1769">
        <f>IF(ISNUMBER(Z1769),Z1769*($AB$1/Z$2635),"")</f>
        <v/>
      </c>
      <c r="AF1769" s="25">
        <f>IF(ISNUMBER(AD1769+AE1769),AD1769+AE1769,"")</f>
        <v/>
      </c>
      <c r="AH1769" s="1">
        <f>A1769</f>
        <v/>
      </c>
      <c r="AI1769">
        <f>IF(ISNUMBER((1+V1769)*AI1768),(1+V1769)*AI1768,AI1768)</f>
        <v/>
      </c>
      <c r="AJ1769">
        <f>IF(ISNUMBER((1+Z1769)*AJ1768),(1+Z1769)*AJ1768,AJ1768)</f>
        <v/>
      </c>
    </row>
    <row r="1770">
      <c r="A1770" s="1" t="n">
        <v>44568</v>
      </c>
      <c r="B1770" s="3">
        <f>IF(ORIG!B1770=0,"",ORIG!B1770)</f>
        <v/>
      </c>
      <c r="C1770" s="3">
        <f>IF(ORIG!C1770=0,"",ORIG!C1770)</f>
        <v/>
      </c>
      <c r="D1770" s="3">
        <f>IF(ORIG!D1770=0,"",ORIG!D1770)</f>
        <v/>
      </c>
      <c r="E1770" s="3">
        <f>IF(ORIG!E1770=0,"",ORIG!E1770)</f>
        <v/>
      </c>
      <c r="F1770" s="3">
        <f>IF(ORIG!F1770=0,"",ORIG!F1770)</f>
        <v/>
      </c>
      <c r="G1770" s="3">
        <f>IF(ORIG!G1770=0,"",ORIG!G1770)</f>
        <v/>
      </c>
      <c r="H1770" s="3">
        <f>IF(ORIG!H1770=0,"",ORIG!H1770)</f>
        <v/>
      </c>
      <c r="I1770" s="3">
        <f>IF(ORIG!I1770=0,"",ORIG!I1770)</f>
        <v/>
      </c>
      <c r="J1770" s="3">
        <f>IF(ORIG!J1770=0,"",ORIG!J1770)</f>
        <v/>
      </c>
      <c r="K1770" s="3">
        <f>IF(ORIG!K1770=0,"",ORIG!K1770)</f>
        <v/>
      </c>
      <c r="L1770" s="3">
        <f>IF(ORIG!L1770=0,"",ORIG!L1770)</f>
        <v/>
      </c>
      <c r="M1770" s="3">
        <f>IF(ORIG!M1770=0,"",ORIG!M1770)</f>
        <v/>
      </c>
      <c r="N1770" s="3">
        <f>IF(ORIG!N1770=0,"",ORIG!N1770)</f>
        <v/>
      </c>
      <c r="O1770" s="3">
        <f>IF(ORIG!O1770=0,"",ORIG!O1770)</f>
        <v/>
      </c>
      <c r="P1770" s="3">
        <f>IF(ORIG!P1770=0,"",ORIG!P1770)</f>
        <v/>
      </c>
      <c r="Q1770" s="3">
        <f>IF(ORIG!Q1770=0,"",ORIG!Q1770)</f>
        <v/>
      </c>
      <c r="R1770" s="3">
        <f>IF(ORIG!R1770=0,"",ORIG!R1770)</f>
        <v/>
      </c>
      <c r="S1770" s="3">
        <f>IF(ORIG!S1770=0,"",ORIG!S1770)</f>
        <v/>
      </c>
      <c r="T1770" s="3">
        <f>IF(ORIG!T1770=0,"",ORIG!T1770)</f>
        <v/>
      </c>
      <c r="U1770" s="3">
        <f>IF(ORIG!U1770=0,"",ORIG!U1770)</f>
        <v/>
      </c>
      <c r="V1770" s="9">
        <f>IF(ORIG!V1770=0,"",ORIG!V1770)</f>
        <v/>
      </c>
      <c r="W1770" s="9">
        <f>IF(ORIG!W1770=0,"",ORIG!W1770)</f>
        <v/>
      </c>
      <c r="X1770" s="9">
        <f>IF(ORIG!X1770=0,"",ORIG!X1770)</f>
        <v/>
      </c>
      <c r="Y1770" s="9">
        <f>IF(ORIG!Y1770=0,"",ORIG!Y1770)</f>
        <v/>
      </c>
      <c r="Z1770" s="3">
        <f>SUMPRODUCT($B1770:$Y1770,$B$2649:$Y$2649)</f>
        <v/>
      </c>
      <c r="AA1770" s="3">
        <f>SUMPRODUCT($B1770:$Y1770,$B$2655:$Y$2655)</f>
        <v/>
      </c>
      <c r="AC1770" s="1">
        <f>A1770</f>
        <v/>
      </c>
      <c r="AD1770">
        <f>IF(ISNUMBER(V1770),V1770*($AB$1/V$2635),"")</f>
        <v/>
      </c>
      <c r="AE1770">
        <f>IF(ISNUMBER(Z1770),Z1770*($AB$1/Z$2635),"")</f>
        <v/>
      </c>
      <c r="AF1770" s="25">
        <f>IF(ISNUMBER(AD1770+AE1770),AD1770+AE1770,"")</f>
        <v/>
      </c>
      <c r="AH1770" s="1">
        <f>A1770</f>
        <v/>
      </c>
      <c r="AI1770">
        <f>IF(ISNUMBER((1+V1770)*AI1769),(1+V1770)*AI1769,AI1769)</f>
        <v/>
      </c>
      <c r="AJ1770">
        <f>IF(ISNUMBER((1+Z1770)*AJ1769),(1+Z1770)*AJ1769,AJ1769)</f>
        <v/>
      </c>
    </row>
    <row r="1771">
      <c r="A1771" s="1" t="n">
        <v>44571</v>
      </c>
      <c r="B1771" s="3">
        <f>IF(ORIG!B1771=0,"",ORIG!B1771)</f>
        <v/>
      </c>
      <c r="C1771" s="3">
        <f>IF(ORIG!C1771=0,"",ORIG!C1771)</f>
        <v/>
      </c>
      <c r="D1771" s="3">
        <f>IF(ORIG!D1771=0,"",ORIG!D1771)</f>
        <v/>
      </c>
      <c r="E1771" s="3">
        <f>IF(ORIG!E1771=0,"",ORIG!E1771)</f>
        <v/>
      </c>
      <c r="F1771" s="3">
        <f>IF(ORIG!F1771=0,"",ORIG!F1771)</f>
        <v/>
      </c>
      <c r="G1771" s="3">
        <f>IF(ORIG!G1771=0,"",ORIG!G1771)</f>
        <v/>
      </c>
      <c r="H1771" s="3">
        <f>IF(ORIG!H1771=0,"",ORIG!H1771)</f>
        <v/>
      </c>
      <c r="I1771" s="3">
        <f>IF(ORIG!I1771=0,"",ORIG!I1771)</f>
        <v/>
      </c>
      <c r="J1771" s="3">
        <f>IF(ORIG!J1771=0,"",ORIG!J1771)</f>
        <v/>
      </c>
      <c r="K1771" s="3">
        <f>IF(ORIG!K1771=0,"",ORIG!K1771)</f>
        <v/>
      </c>
      <c r="L1771" s="3">
        <f>IF(ORIG!L1771=0,"",ORIG!L1771)</f>
        <v/>
      </c>
      <c r="M1771" s="3">
        <f>IF(ORIG!M1771=0,"",ORIG!M1771)</f>
        <v/>
      </c>
      <c r="N1771" s="3">
        <f>IF(ORIG!N1771=0,"",ORIG!N1771)</f>
        <v/>
      </c>
      <c r="O1771" s="3">
        <f>IF(ORIG!O1771=0,"",ORIG!O1771)</f>
        <v/>
      </c>
      <c r="P1771" s="3">
        <f>IF(ORIG!P1771=0,"",ORIG!P1771)</f>
        <v/>
      </c>
      <c r="Q1771" s="3">
        <f>IF(ORIG!Q1771=0,"",ORIG!Q1771)</f>
        <v/>
      </c>
      <c r="R1771" s="3">
        <f>IF(ORIG!R1771=0,"",ORIG!R1771)</f>
        <v/>
      </c>
      <c r="S1771" s="3">
        <f>IF(ORIG!S1771=0,"",ORIG!S1771)</f>
        <v/>
      </c>
      <c r="T1771" s="3">
        <f>IF(ORIG!T1771=0,"",ORIG!T1771)</f>
        <v/>
      </c>
      <c r="U1771" s="3">
        <f>IF(ORIG!U1771=0,"",ORIG!U1771)</f>
        <v/>
      </c>
      <c r="V1771" s="9">
        <f>IF(ORIG!V1771=0,"",ORIG!V1771)</f>
        <v/>
      </c>
      <c r="W1771" s="9">
        <f>IF(ORIG!W1771=0,"",ORIG!W1771)</f>
        <v/>
      </c>
      <c r="X1771" s="9">
        <f>IF(ORIG!X1771=0,"",ORIG!X1771)</f>
        <v/>
      </c>
      <c r="Y1771" s="9">
        <f>IF(ORIG!Y1771=0,"",ORIG!Y1771)</f>
        <v/>
      </c>
      <c r="Z1771" s="3">
        <f>SUMPRODUCT($B1771:$Y1771,$B$2649:$Y$2649)</f>
        <v/>
      </c>
      <c r="AA1771" s="3">
        <f>SUMPRODUCT($B1771:$Y1771,$B$2655:$Y$2655)</f>
        <v/>
      </c>
      <c r="AC1771" s="1">
        <f>A1771</f>
        <v/>
      </c>
      <c r="AD1771">
        <f>IF(ISNUMBER(V1771),V1771*($AB$1/V$2635),"")</f>
        <v/>
      </c>
      <c r="AE1771">
        <f>IF(ISNUMBER(Z1771),Z1771*($AB$1/Z$2635),"")</f>
        <v/>
      </c>
      <c r="AF1771" s="25">
        <f>IF(ISNUMBER(AD1771+AE1771),AD1771+AE1771,"")</f>
        <v/>
      </c>
      <c r="AH1771" s="1">
        <f>A1771</f>
        <v/>
      </c>
      <c r="AI1771">
        <f>IF(ISNUMBER((1+V1771)*AI1770),(1+V1771)*AI1770,AI1770)</f>
        <v/>
      </c>
      <c r="AJ1771">
        <f>IF(ISNUMBER((1+Z1771)*AJ1770),(1+Z1771)*AJ1770,AJ1770)</f>
        <v/>
      </c>
    </row>
    <row r="1772">
      <c r="A1772" s="1" t="n">
        <v>44572</v>
      </c>
      <c r="B1772" s="3">
        <f>IF(ORIG!B1772=0,"",ORIG!B1772)</f>
        <v/>
      </c>
      <c r="C1772" s="3">
        <f>IF(ORIG!C1772=0,"",ORIG!C1772)</f>
        <v/>
      </c>
      <c r="D1772" s="3">
        <f>IF(ORIG!D1772=0,"",ORIG!D1772)</f>
        <v/>
      </c>
      <c r="E1772" s="3">
        <f>IF(ORIG!E1772=0,"",ORIG!E1772)</f>
        <v/>
      </c>
      <c r="F1772" s="3">
        <f>IF(ORIG!F1772=0,"",ORIG!F1772)</f>
        <v/>
      </c>
      <c r="G1772" s="3">
        <f>IF(ORIG!G1772=0,"",ORIG!G1772)</f>
        <v/>
      </c>
      <c r="H1772" s="3">
        <f>IF(ORIG!H1772=0,"",ORIG!H1772)</f>
        <v/>
      </c>
      <c r="I1772" s="3">
        <f>IF(ORIG!I1772=0,"",ORIG!I1772)</f>
        <v/>
      </c>
      <c r="J1772" s="3">
        <f>IF(ORIG!J1772=0,"",ORIG!J1772)</f>
        <v/>
      </c>
      <c r="K1772" s="3">
        <f>IF(ORIG!K1772=0,"",ORIG!K1772)</f>
        <v/>
      </c>
      <c r="L1772" s="3">
        <f>IF(ORIG!L1772=0,"",ORIG!L1772)</f>
        <v/>
      </c>
      <c r="M1772" s="3">
        <f>IF(ORIG!M1772=0,"",ORIG!M1772)</f>
        <v/>
      </c>
      <c r="N1772" s="3">
        <f>IF(ORIG!N1772=0,"",ORIG!N1772)</f>
        <v/>
      </c>
      <c r="O1772" s="3">
        <f>IF(ORIG!O1772=0,"",ORIG!O1772)</f>
        <v/>
      </c>
      <c r="P1772" s="3">
        <f>IF(ORIG!P1772=0,"",ORIG!P1772)</f>
        <v/>
      </c>
      <c r="Q1772" s="3">
        <f>IF(ORIG!Q1772=0,"",ORIG!Q1772)</f>
        <v/>
      </c>
      <c r="R1772" s="3">
        <f>IF(ORIG!R1772=0,"",ORIG!R1772)</f>
        <v/>
      </c>
      <c r="S1772" s="3">
        <f>IF(ORIG!S1772=0,"",ORIG!S1772)</f>
        <v/>
      </c>
      <c r="T1772" s="3">
        <f>IF(ORIG!T1772=0,"",ORIG!T1772)</f>
        <v/>
      </c>
      <c r="U1772" s="3">
        <f>IF(ORIG!U1772=0,"",ORIG!U1772)</f>
        <v/>
      </c>
      <c r="V1772" s="9">
        <f>IF(ORIG!V1772=0,"",ORIG!V1772)</f>
        <v/>
      </c>
      <c r="W1772" s="9">
        <f>IF(ORIG!W1772=0,"",ORIG!W1772)</f>
        <v/>
      </c>
      <c r="X1772" s="9">
        <f>IF(ORIG!X1772=0,"",ORIG!X1772)</f>
        <v/>
      </c>
      <c r="Y1772" s="9">
        <f>IF(ORIG!Y1772=0,"",ORIG!Y1772)</f>
        <v/>
      </c>
      <c r="Z1772" s="3">
        <f>SUMPRODUCT($B1772:$Y1772,$B$2649:$Y$2649)</f>
        <v/>
      </c>
      <c r="AA1772" s="3">
        <f>SUMPRODUCT($B1772:$Y1772,$B$2655:$Y$2655)</f>
        <v/>
      </c>
      <c r="AC1772" s="1">
        <f>A1772</f>
        <v/>
      </c>
      <c r="AD1772">
        <f>IF(ISNUMBER(V1772),V1772*($AB$1/V$2635),"")</f>
        <v/>
      </c>
      <c r="AE1772">
        <f>IF(ISNUMBER(Z1772),Z1772*($AB$1/Z$2635),"")</f>
        <v/>
      </c>
      <c r="AF1772" s="25">
        <f>IF(ISNUMBER(AD1772+AE1772),AD1772+AE1772,"")</f>
        <v/>
      </c>
      <c r="AH1772" s="1">
        <f>A1772</f>
        <v/>
      </c>
      <c r="AI1772">
        <f>IF(ISNUMBER((1+V1772)*AI1771),(1+V1772)*AI1771,AI1771)</f>
        <v/>
      </c>
      <c r="AJ1772">
        <f>IF(ISNUMBER((1+Z1772)*AJ1771),(1+Z1772)*AJ1771,AJ1771)</f>
        <v/>
      </c>
    </row>
    <row r="1773">
      <c r="A1773" s="1" t="n">
        <v>44573</v>
      </c>
      <c r="B1773" s="3">
        <f>IF(ORIG!B1773=0,"",ORIG!B1773)</f>
        <v/>
      </c>
      <c r="C1773" s="3">
        <f>IF(ORIG!C1773=0,"",ORIG!C1773)</f>
        <v/>
      </c>
      <c r="D1773" s="3">
        <f>IF(ORIG!D1773=0,"",ORIG!D1773)</f>
        <v/>
      </c>
      <c r="E1773" s="3">
        <f>IF(ORIG!E1773=0,"",ORIG!E1773)</f>
        <v/>
      </c>
      <c r="F1773" s="3">
        <f>IF(ORIG!F1773=0,"",ORIG!F1773)</f>
        <v/>
      </c>
      <c r="G1773" s="3">
        <f>IF(ORIG!G1773=0,"",ORIG!G1773)</f>
        <v/>
      </c>
      <c r="H1773" s="3">
        <f>IF(ORIG!H1773=0,"",ORIG!H1773)</f>
        <v/>
      </c>
      <c r="I1773" s="3">
        <f>IF(ORIG!I1773=0,"",ORIG!I1773)</f>
        <v/>
      </c>
      <c r="J1773" s="3">
        <f>IF(ORIG!J1773=0,"",ORIG!J1773)</f>
        <v/>
      </c>
      <c r="K1773" s="3">
        <f>IF(ORIG!K1773=0,"",ORIG!K1773)</f>
        <v/>
      </c>
      <c r="L1773" s="3">
        <f>IF(ORIG!L1773=0,"",ORIG!L1773)</f>
        <v/>
      </c>
      <c r="M1773" s="3">
        <f>IF(ORIG!M1773=0,"",ORIG!M1773)</f>
        <v/>
      </c>
      <c r="N1773" s="3">
        <f>IF(ORIG!N1773=0,"",ORIG!N1773)</f>
        <v/>
      </c>
      <c r="O1773" s="3">
        <f>IF(ORIG!O1773=0,"",ORIG!O1773)</f>
        <v/>
      </c>
      <c r="P1773" s="3">
        <f>IF(ORIG!P1773=0,"",ORIG!P1773)</f>
        <v/>
      </c>
      <c r="Q1773" s="3">
        <f>IF(ORIG!Q1773=0,"",ORIG!Q1773)</f>
        <v/>
      </c>
      <c r="R1773" s="3">
        <f>IF(ORIG!R1773=0,"",ORIG!R1773)</f>
        <v/>
      </c>
      <c r="S1773" s="3">
        <f>IF(ORIG!S1773=0,"",ORIG!S1773)</f>
        <v/>
      </c>
      <c r="T1773" s="3">
        <f>IF(ORIG!T1773=0,"",ORIG!T1773)</f>
        <v/>
      </c>
      <c r="U1773" s="3">
        <f>IF(ORIG!U1773=0,"",ORIG!U1773)</f>
        <v/>
      </c>
      <c r="V1773" s="9">
        <f>IF(ORIG!V1773=0,"",ORIG!V1773)</f>
        <v/>
      </c>
      <c r="W1773" s="9">
        <f>IF(ORIG!W1773=0,"",ORIG!W1773)</f>
        <v/>
      </c>
      <c r="X1773" s="9">
        <f>IF(ORIG!X1773=0,"",ORIG!X1773)</f>
        <v/>
      </c>
      <c r="Y1773" s="9">
        <f>IF(ORIG!Y1773=0,"",ORIG!Y1773)</f>
        <v/>
      </c>
      <c r="Z1773" s="3">
        <f>SUMPRODUCT($B1773:$Y1773,$B$2649:$Y$2649)</f>
        <v/>
      </c>
      <c r="AA1773" s="3">
        <f>SUMPRODUCT($B1773:$Y1773,$B$2655:$Y$2655)</f>
        <v/>
      </c>
      <c r="AC1773" s="1">
        <f>A1773</f>
        <v/>
      </c>
      <c r="AD1773">
        <f>IF(ISNUMBER(V1773),V1773*($AB$1/V$2635),"")</f>
        <v/>
      </c>
      <c r="AE1773">
        <f>IF(ISNUMBER(Z1773),Z1773*($AB$1/Z$2635),"")</f>
        <v/>
      </c>
      <c r="AF1773" s="25">
        <f>IF(ISNUMBER(AD1773+AE1773),AD1773+AE1773,"")</f>
        <v/>
      </c>
      <c r="AH1773" s="1">
        <f>A1773</f>
        <v/>
      </c>
      <c r="AI1773">
        <f>IF(ISNUMBER((1+V1773)*AI1772),(1+V1773)*AI1772,AI1772)</f>
        <v/>
      </c>
      <c r="AJ1773">
        <f>IF(ISNUMBER((1+Z1773)*AJ1772),(1+Z1773)*AJ1772,AJ1772)</f>
        <v/>
      </c>
    </row>
    <row r="1774">
      <c r="A1774" s="1" t="n">
        <v>44574</v>
      </c>
      <c r="B1774" s="3">
        <f>IF(ORIG!B1774=0,"",ORIG!B1774)</f>
        <v/>
      </c>
      <c r="C1774" s="3">
        <f>IF(ORIG!C1774=0,"",ORIG!C1774)</f>
        <v/>
      </c>
      <c r="D1774" s="3">
        <f>IF(ORIG!D1774=0,"",ORIG!D1774)</f>
        <v/>
      </c>
      <c r="E1774" s="3">
        <f>IF(ORIG!E1774=0,"",ORIG!E1774)</f>
        <v/>
      </c>
      <c r="F1774" s="3">
        <f>IF(ORIG!F1774=0,"",ORIG!F1774)</f>
        <v/>
      </c>
      <c r="G1774" s="3">
        <f>IF(ORIG!G1774=0,"",ORIG!G1774)</f>
        <v/>
      </c>
      <c r="H1774" s="3">
        <f>IF(ORIG!H1774=0,"",ORIG!H1774)</f>
        <v/>
      </c>
      <c r="I1774" s="3">
        <f>IF(ORIG!I1774=0,"",ORIG!I1774)</f>
        <v/>
      </c>
      <c r="J1774" s="3">
        <f>IF(ORIG!J1774=0,"",ORIG!J1774)</f>
        <v/>
      </c>
      <c r="K1774" s="3">
        <f>IF(ORIG!K1774=0,"",ORIG!K1774)</f>
        <v/>
      </c>
      <c r="L1774" s="3">
        <f>IF(ORIG!L1774=0,"",ORIG!L1774)</f>
        <v/>
      </c>
      <c r="M1774" s="3">
        <f>IF(ORIG!M1774=0,"",ORIG!M1774)</f>
        <v/>
      </c>
      <c r="N1774" s="3">
        <f>IF(ORIG!N1774=0,"",ORIG!N1774)</f>
        <v/>
      </c>
      <c r="O1774" s="3">
        <f>IF(ORIG!O1774=0,"",ORIG!O1774)</f>
        <v/>
      </c>
      <c r="P1774" s="3">
        <f>IF(ORIG!P1774=0,"",ORIG!P1774)</f>
        <v/>
      </c>
      <c r="Q1774" s="3">
        <f>IF(ORIG!Q1774=0,"",ORIG!Q1774)</f>
        <v/>
      </c>
      <c r="R1774" s="3">
        <f>IF(ORIG!R1774=0,"",ORIG!R1774)</f>
        <v/>
      </c>
      <c r="S1774" s="3">
        <f>IF(ORIG!S1774=0,"",ORIG!S1774)</f>
        <v/>
      </c>
      <c r="T1774" s="3">
        <f>IF(ORIG!T1774=0,"",ORIG!T1774)</f>
        <v/>
      </c>
      <c r="U1774" s="3">
        <f>IF(ORIG!U1774=0,"",ORIG!U1774)</f>
        <v/>
      </c>
      <c r="V1774" s="9">
        <f>IF(ORIG!V1774=0,"",ORIG!V1774)</f>
        <v/>
      </c>
      <c r="W1774" s="9">
        <f>IF(ORIG!W1774=0,"",ORIG!W1774)</f>
        <v/>
      </c>
      <c r="X1774" s="9">
        <f>IF(ORIG!X1774=0,"",ORIG!X1774)</f>
        <v/>
      </c>
      <c r="Y1774" s="9">
        <f>IF(ORIG!Y1774=0,"",ORIG!Y1774)</f>
        <v/>
      </c>
      <c r="Z1774" s="3">
        <f>SUMPRODUCT($B1774:$Y1774,$B$2649:$Y$2649)</f>
        <v/>
      </c>
      <c r="AA1774" s="3">
        <f>SUMPRODUCT($B1774:$Y1774,$B$2655:$Y$2655)</f>
        <v/>
      </c>
      <c r="AC1774" s="1">
        <f>A1774</f>
        <v/>
      </c>
      <c r="AD1774">
        <f>IF(ISNUMBER(V1774),V1774*($AB$1/V$2635),"")</f>
        <v/>
      </c>
      <c r="AE1774">
        <f>IF(ISNUMBER(Z1774),Z1774*($AB$1/Z$2635),"")</f>
        <v/>
      </c>
      <c r="AF1774" s="25">
        <f>IF(ISNUMBER(AD1774+AE1774),AD1774+AE1774,"")</f>
        <v/>
      </c>
      <c r="AH1774" s="1">
        <f>A1774</f>
        <v/>
      </c>
      <c r="AI1774">
        <f>IF(ISNUMBER((1+V1774)*AI1773),(1+V1774)*AI1773,AI1773)</f>
        <v/>
      </c>
      <c r="AJ1774">
        <f>IF(ISNUMBER((1+Z1774)*AJ1773),(1+Z1774)*AJ1773,AJ1773)</f>
        <v/>
      </c>
    </row>
    <row r="1775">
      <c r="A1775" s="1" t="n">
        <v>44575</v>
      </c>
      <c r="B1775" s="3">
        <f>IF(ORIG!B1775=0,"",ORIG!B1775)</f>
        <v/>
      </c>
      <c r="C1775" s="3">
        <f>IF(ORIG!C1775=0,"",ORIG!C1775)</f>
        <v/>
      </c>
      <c r="D1775" s="3">
        <f>IF(ORIG!D1775=0,"",ORIG!D1775)</f>
        <v/>
      </c>
      <c r="E1775" s="3">
        <f>IF(ORIG!E1775=0,"",ORIG!E1775)</f>
        <v/>
      </c>
      <c r="F1775" s="3">
        <f>IF(ORIG!F1775=0,"",ORIG!F1775)</f>
        <v/>
      </c>
      <c r="G1775" s="3">
        <f>IF(ORIG!G1775=0,"",ORIG!G1775)</f>
        <v/>
      </c>
      <c r="H1775" s="3">
        <f>IF(ORIG!H1775=0,"",ORIG!H1775)</f>
        <v/>
      </c>
      <c r="I1775" s="3">
        <f>IF(ORIG!I1775=0,"",ORIG!I1775)</f>
        <v/>
      </c>
      <c r="J1775" s="3">
        <f>IF(ORIG!J1775=0,"",ORIG!J1775)</f>
        <v/>
      </c>
      <c r="K1775" s="3">
        <f>IF(ORIG!K1775=0,"",ORIG!K1775)</f>
        <v/>
      </c>
      <c r="L1775" s="3">
        <f>IF(ORIG!L1775=0,"",ORIG!L1775)</f>
        <v/>
      </c>
      <c r="M1775" s="3">
        <f>IF(ORIG!M1775=0,"",ORIG!M1775)</f>
        <v/>
      </c>
      <c r="N1775" s="3">
        <f>IF(ORIG!N1775=0,"",ORIG!N1775)</f>
        <v/>
      </c>
      <c r="O1775" s="3">
        <f>IF(ORIG!O1775=0,"",ORIG!O1775)</f>
        <v/>
      </c>
      <c r="P1775" s="3">
        <f>IF(ORIG!P1775=0,"",ORIG!P1775)</f>
        <v/>
      </c>
      <c r="Q1775" s="3">
        <f>IF(ORIG!Q1775=0,"",ORIG!Q1775)</f>
        <v/>
      </c>
      <c r="R1775" s="3">
        <f>IF(ORIG!R1775=0,"",ORIG!R1775)</f>
        <v/>
      </c>
      <c r="S1775" s="3">
        <f>IF(ORIG!S1775=0,"",ORIG!S1775)</f>
        <v/>
      </c>
      <c r="T1775" s="3">
        <f>IF(ORIG!T1775=0,"",ORIG!T1775)</f>
        <v/>
      </c>
      <c r="U1775" s="3">
        <f>IF(ORIG!U1775=0,"",ORIG!U1775)</f>
        <v/>
      </c>
      <c r="V1775" s="9">
        <f>IF(ORIG!V1775=0,"",ORIG!V1775)</f>
        <v/>
      </c>
      <c r="W1775" s="9">
        <f>IF(ORIG!W1775=0,"",ORIG!W1775)</f>
        <v/>
      </c>
      <c r="X1775" s="9">
        <f>IF(ORIG!X1775=0,"",ORIG!X1775)</f>
        <v/>
      </c>
      <c r="Y1775" s="9">
        <f>IF(ORIG!Y1775=0,"",ORIG!Y1775)</f>
        <v/>
      </c>
      <c r="Z1775" s="3">
        <f>SUMPRODUCT($B1775:$Y1775,$B$2649:$Y$2649)</f>
        <v/>
      </c>
      <c r="AA1775" s="3">
        <f>SUMPRODUCT($B1775:$Y1775,$B$2655:$Y$2655)</f>
        <v/>
      </c>
      <c r="AC1775" s="1">
        <f>A1775</f>
        <v/>
      </c>
      <c r="AD1775">
        <f>IF(ISNUMBER(V1775),V1775*($AB$1/V$2635),"")</f>
        <v/>
      </c>
      <c r="AE1775">
        <f>IF(ISNUMBER(Z1775),Z1775*($AB$1/Z$2635),"")</f>
        <v/>
      </c>
      <c r="AF1775" s="25">
        <f>IF(ISNUMBER(AD1775+AE1775),AD1775+AE1775,"")</f>
        <v/>
      </c>
      <c r="AH1775" s="1">
        <f>A1775</f>
        <v/>
      </c>
      <c r="AI1775">
        <f>IF(ISNUMBER((1+V1775)*AI1774),(1+V1775)*AI1774,AI1774)</f>
        <v/>
      </c>
      <c r="AJ1775">
        <f>IF(ISNUMBER((1+Z1775)*AJ1774),(1+Z1775)*AJ1774,AJ1774)</f>
        <v/>
      </c>
    </row>
    <row r="1776">
      <c r="A1776" s="1" t="n">
        <v>44579</v>
      </c>
      <c r="B1776" s="3">
        <f>IF(ORIG!B1776=0,"",ORIG!B1776)</f>
        <v/>
      </c>
      <c r="C1776" s="3">
        <f>IF(ORIG!C1776=0,"",ORIG!C1776)</f>
        <v/>
      </c>
      <c r="D1776" s="3">
        <f>IF(ORIG!D1776=0,"",ORIG!D1776)</f>
        <v/>
      </c>
      <c r="E1776" s="3">
        <f>IF(ORIG!E1776=0,"",ORIG!E1776)</f>
        <v/>
      </c>
      <c r="F1776" s="3">
        <f>IF(ORIG!F1776=0,"",ORIG!F1776)</f>
        <v/>
      </c>
      <c r="G1776" s="3">
        <f>IF(ORIG!G1776=0,"",ORIG!G1776)</f>
        <v/>
      </c>
      <c r="H1776" s="3">
        <f>IF(ORIG!H1776=0,"",ORIG!H1776)</f>
        <v/>
      </c>
      <c r="I1776" s="3">
        <f>IF(ORIG!I1776=0,"",ORIG!I1776)</f>
        <v/>
      </c>
      <c r="J1776" s="3">
        <f>IF(ORIG!J1776=0,"",ORIG!J1776)</f>
        <v/>
      </c>
      <c r="K1776" s="3">
        <f>IF(ORIG!K1776=0,"",ORIG!K1776)</f>
        <v/>
      </c>
      <c r="L1776" s="3">
        <f>IF(ORIG!L1776=0,"",ORIG!L1776)</f>
        <v/>
      </c>
      <c r="M1776" s="3">
        <f>IF(ORIG!M1776=0,"",ORIG!M1776)</f>
        <v/>
      </c>
      <c r="N1776" s="3">
        <f>IF(ORIG!N1776=0,"",ORIG!N1776)</f>
        <v/>
      </c>
      <c r="O1776" s="3">
        <f>IF(ORIG!O1776=0,"",ORIG!O1776)</f>
        <v/>
      </c>
      <c r="P1776" s="3">
        <f>IF(ORIG!P1776=0,"",ORIG!P1776)</f>
        <v/>
      </c>
      <c r="Q1776" s="3">
        <f>IF(ORIG!Q1776=0,"",ORIG!Q1776)</f>
        <v/>
      </c>
      <c r="R1776" s="3">
        <f>IF(ORIG!R1776=0,"",ORIG!R1776)</f>
        <v/>
      </c>
      <c r="S1776" s="3">
        <f>IF(ORIG!S1776=0,"",ORIG!S1776)</f>
        <v/>
      </c>
      <c r="T1776" s="3">
        <f>IF(ORIG!T1776=0,"",ORIG!T1776)</f>
        <v/>
      </c>
      <c r="U1776" s="3">
        <f>IF(ORIG!U1776=0,"",ORIG!U1776)</f>
        <v/>
      </c>
      <c r="V1776" s="9">
        <f>IF(ORIG!V1776=0,"",ORIG!V1776)</f>
        <v/>
      </c>
      <c r="W1776" s="9">
        <f>IF(ORIG!W1776=0,"",ORIG!W1776)</f>
        <v/>
      </c>
      <c r="X1776" s="9">
        <f>IF(ORIG!X1776=0,"",ORIG!X1776)</f>
        <v/>
      </c>
      <c r="Y1776" s="9">
        <f>IF(ORIG!Y1776=0,"",ORIG!Y1776)</f>
        <v/>
      </c>
      <c r="Z1776" s="3">
        <f>SUMPRODUCT($B1776:$Y1776,$B$2649:$Y$2649)</f>
        <v/>
      </c>
      <c r="AA1776" s="3">
        <f>SUMPRODUCT($B1776:$Y1776,$B$2655:$Y$2655)</f>
        <v/>
      </c>
      <c r="AC1776" s="1">
        <f>A1776</f>
        <v/>
      </c>
      <c r="AD1776">
        <f>IF(ISNUMBER(V1776),V1776*($AB$1/V$2635),"")</f>
        <v/>
      </c>
      <c r="AE1776">
        <f>IF(ISNUMBER(Z1776),Z1776*($AB$1/Z$2635),"")</f>
        <v/>
      </c>
      <c r="AF1776" s="25">
        <f>IF(ISNUMBER(AD1776+AE1776),AD1776+AE1776,"")</f>
        <v/>
      </c>
      <c r="AH1776" s="1">
        <f>A1776</f>
        <v/>
      </c>
      <c r="AI1776">
        <f>IF(ISNUMBER((1+V1776)*AI1775),(1+V1776)*AI1775,AI1775)</f>
        <v/>
      </c>
      <c r="AJ1776">
        <f>IF(ISNUMBER((1+Z1776)*AJ1775),(1+Z1776)*AJ1775,AJ1775)</f>
        <v/>
      </c>
    </row>
    <row r="1777">
      <c r="A1777" s="1" t="n">
        <v>44580</v>
      </c>
      <c r="B1777" s="3">
        <f>IF(ORIG!B1777=0,"",ORIG!B1777)</f>
        <v/>
      </c>
      <c r="C1777" s="3">
        <f>IF(ORIG!C1777=0,"",ORIG!C1777)</f>
        <v/>
      </c>
      <c r="D1777" s="3">
        <f>IF(ORIG!D1777=0,"",ORIG!D1777)</f>
        <v/>
      </c>
      <c r="E1777" s="3">
        <f>IF(ORIG!E1777=0,"",ORIG!E1777)</f>
        <v/>
      </c>
      <c r="F1777" s="3">
        <f>IF(ORIG!F1777=0,"",ORIG!F1777)</f>
        <v/>
      </c>
      <c r="G1777" s="3">
        <f>IF(ORIG!G1777=0,"",ORIG!G1777)</f>
        <v/>
      </c>
      <c r="H1777" s="3">
        <f>IF(ORIG!H1777=0,"",ORIG!H1777)</f>
        <v/>
      </c>
      <c r="I1777" s="3">
        <f>IF(ORIG!I1777=0,"",ORIG!I1777)</f>
        <v/>
      </c>
      <c r="J1777" s="3">
        <f>IF(ORIG!J1777=0,"",ORIG!J1777)</f>
        <v/>
      </c>
      <c r="K1777" s="3">
        <f>IF(ORIG!K1777=0,"",ORIG!K1777)</f>
        <v/>
      </c>
      <c r="L1777" s="3">
        <f>IF(ORIG!L1777=0,"",ORIG!L1777)</f>
        <v/>
      </c>
      <c r="M1777" s="3">
        <f>IF(ORIG!M1777=0,"",ORIG!M1777)</f>
        <v/>
      </c>
      <c r="N1777" s="3">
        <f>IF(ORIG!N1777=0,"",ORIG!N1777)</f>
        <v/>
      </c>
      <c r="O1777" s="3">
        <f>IF(ORIG!O1777=0,"",ORIG!O1777)</f>
        <v/>
      </c>
      <c r="P1777" s="3">
        <f>IF(ORIG!P1777=0,"",ORIG!P1777)</f>
        <v/>
      </c>
      <c r="Q1777" s="3">
        <f>IF(ORIG!Q1777=0,"",ORIG!Q1777)</f>
        <v/>
      </c>
      <c r="R1777" s="3">
        <f>IF(ORIG!R1777=0,"",ORIG!R1777)</f>
        <v/>
      </c>
      <c r="S1777" s="3">
        <f>IF(ORIG!S1777=0,"",ORIG!S1777)</f>
        <v/>
      </c>
      <c r="T1777" s="3">
        <f>IF(ORIG!T1777=0,"",ORIG!T1777)</f>
        <v/>
      </c>
      <c r="U1777" s="3">
        <f>IF(ORIG!U1777=0,"",ORIG!U1777)</f>
        <v/>
      </c>
      <c r="V1777" s="9">
        <f>IF(ORIG!V1777=0,"",ORIG!V1777)</f>
        <v/>
      </c>
      <c r="W1777" s="9">
        <f>IF(ORIG!W1777=0,"",ORIG!W1777)</f>
        <v/>
      </c>
      <c r="X1777" s="9">
        <f>IF(ORIG!X1777=0,"",ORIG!X1777)</f>
        <v/>
      </c>
      <c r="Y1777" s="9">
        <f>IF(ORIG!Y1777=0,"",ORIG!Y1777)</f>
        <v/>
      </c>
      <c r="Z1777" s="3">
        <f>SUMPRODUCT($B1777:$Y1777,$B$2649:$Y$2649)</f>
        <v/>
      </c>
      <c r="AA1777" s="3">
        <f>SUMPRODUCT($B1777:$Y1777,$B$2655:$Y$2655)</f>
        <v/>
      </c>
      <c r="AC1777" s="1">
        <f>A1777</f>
        <v/>
      </c>
      <c r="AD1777">
        <f>IF(ISNUMBER(V1777),V1777*($AB$1/V$2635),"")</f>
        <v/>
      </c>
      <c r="AE1777">
        <f>IF(ISNUMBER(Z1777),Z1777*($AB$1/Z$2635),"")</f>
        <v/>
      </c>
      <c r="AF1777" s="25">
        <f>IF(ISNUMBER(AD1777+AE1777),AD1777+AE1777,"")</f>
        <v/>
      </c>
      <c r="AH1777" s="1">
        <f>A1777</f>
        <v/>
      </c>
      <c r="AI1777">
        <f>IF(ISNUMBER((1+V1777)*AI1776),(1+V1777)*AI1776,AI1776)</f>
        <v/>
      </c>
      <c r="AJ1777">
        <f>IF(ISNUMBER((1+Z1777)*AJ1776),(1+Z1777)*AJ1776,AJ1776)</f>
        <v/>
      </c>
    </row>
    <row r="1778">
      <c r="A1778" s="1" t="n">
        <v>44581</v>
      </c>
      <c r="B1778" s="3">
        <f>IF(ORIG!B1778=0,"",ORIG!B1778)</f>
        <v/>
      </c>
      <c r="C1778" s="3">
        <f>IF(ORIG!C1778=0,"",ORIG!C1778)</f>
        <v/>
      </c>
      <c r="D1778" s="3">
        <f>IF(ORIG!D1778=0,"",ORIG!D1778)</f>
        <v/>
      </c>
      <c r="E1778" s="3">
        <f>IF(ORIG!E1778=0,"",ORIG!E1778)</f>
        <v/>
      </c>
      <c r="F1778" s="3">
        <f>IF(ORIG!F1778=0,"",ORIG!F1778)</f>
        <v/>
      </c>
      <c r="G1778" s="3">
        <f>IF(ORIG!G1778=0,"",ORIG!G1778)</f>
        <v/>
      </c>
      <c r="H1778" s="3">
        <f>IF(ORIG!H1778=0,"",ORIG!H1778)</f>
        <v/>
      </c>
      <c r="I1778" s="3">
        <f>IF(ORIG!I1778=0,"",ORIG!I1778)</f>
        <v/>
      </c>
      <c r="J1778" s="3">
        <f>IF(ORIG!J1778=0,"",ORIG!J1778)</f>
        <v/>
      </c>
      <c r="K1778" s="3">
        <f>IF(ORIG!K1778=0,"",ORIG!K1778)</f>
        <v/>
      </c>
      <c r="L1778" s="3">
        <f>IF(ORIG!L1778=0,"",ORIG!L1778)</f>
        <v/>
      </c>
      <c r="M1778" s="3">
        <f>IF(ORIG!M1778=0,"",ORIG!M1778)</f>
        <v/>
      </c>
      <c r="N1778" s="3">
        <f>IF(ORIG!N1778=0,"",ORIG!N1778)</f>
        <v/>
      </c>
      <c r="O1778" s="3">
        <f>IF(ORIG!O1778=0,"",ORIG!O1778)</f>
        <v/>
      </c>
      <c r="P1778" s="3">
        <f>IF(ORIG!P1778=0,"",ORIG!P1778)</f>
        <v/>
      </c>
      <c r="Q1778" s="3">
        <f>IF(ORIG!Q1778=0,"",ORIG!Q1778)</f>
        <v/>
      </c>
      <c r="R1778" s="3">
        <f>IF(ORIG!R1778=0,"",ORIG!R1778)</f>
        <v/>
      </c>
      <c r="S1778" s="3">
        <f>IF(ORIG!S1778=0,"",ORIG!S1778)</f>
        <v/>
      </c>
      <c r="T1778" s="3">
        <f>IF(ORIG!T1778=0,"",ORIG!T1778)</f>
        <v/>
      </c>
      <c r="U1778" s="3">
        <f>IF(ORIG!U1778=0,"",ORIG!U1778)</f>
        <v/>
      </c>
      <c r="V1778" s="9">
        <f>IF(ORIG!V1778=0,"",ORIG!V1778)</f>
        <v/>
      </c>
      <c r="W1778" s="9">
        <f>IF(ORIG!W1778=0,"",ORIG!W1778)</f>
        <v/>
      </c>
      <c r="X1778" s="9">
        <f>IF(ORIG!X1778=0,"",ORIG!X1778)</f>
        <v/>
      </c>
      <c r="Y1778" s="9">
        <f>IF(ORIG!Y1778=0,"",ORIG!Y1778)</f>
        <v/>
      </c>
      <c r="Z1778" s="3">
        <f>SUMPRODUCT($B1778:$Y1778,$B$2649:$Y$2649)</f>
        <v/>
      </c>
      <c r="AA1778" s="3">
        <f>SUMPRODUCT($B1778:$Y1778,$B$2655:$Y$2655)</f>
        <v/>
      </c>
      <c r="AC1778" s="1">
        <f>A1778</f>
        <v/>
      </c>
      <c r="AD1778">
        <f>IF(ISNUMBER(V1778),V1778*($AB$1/V$2635),"")</f>
        <v/>
      </c>
      <c r="AE1778">
        <f>IF(ISNUMBER(Z1778),Z1778*($AB$1/Z$2635),"")</f>
        <v/>
      </c>
      <c r="AF1778" s="25">
        <f>IF(ISNUMBER(AD1778+AE1778),AD1778+AE1778,"")</f>
        <v/>
      </c>
      <c r="AH1778" s="1">
        <f>A1778</f>
        <v/>
      </c>
      <c r="AI1778">
        <f>IF(ISNUMBER((1+V1778)*AI1777),(1+V1778)*AI1777,AI1777)</f>
        <v/>
      </c>
      <c r="AJ1778">
        <f>IF(ISNUMBER((1+Z1778)*AJ1777),(1+Z1778)*AJ1777,AJ1777)</f>
        <v/>
      </c>
    </row>
    <row r="1779">
      <c r="A1779" s="1" t="n">
        <v>44582</v>
      </c>
      <c r="B1779" s="3">
        <f>IF(ORIG!B1779=0,"",ORIG!B1779)</f>
        <v/>
      </c>
      <c r="C1779" s="3">
        <f>IF(ORIG!C1779=0,"",ORIG!C1779)</f>
        <v/>
      </c>
      <c r="D1779" s="3">
        <f>IF(ORIG!D1779=0,"",ORIG!D1779)</f>
        <v/>
      </c>
      <c r="E1779" s="3">
        <f>IF(ORIG!E1779=0,"",ORIG!E1779)</f>
        <v/>
      </c>
      <c r="F1779" s="3">
        <f>IF(ORIG!F1779=0,"",ORIG!F1779)</f>
        <v/>
      </c>
      <c r="G1779" s="3">
        <f>IF(ORIG!G1779=0,"",ORIG!G1779)</f>
        <v/>
      </c>
      <c r="H1779" s="3">
        <f>IF(ORIG!H1779=0,"",ORIG!H1779)</f>
        <v/>
      </c>
      <c r="I1779" s="3">
        <f>IF(ORIG!I1779=0,"",ORIG!I1779)</f>
        <v/>
      </c>
      <c r="J1779" s="3">
        <f>IF(ORIG!J1779=0,"",ORIG!J1779)</f>
        <v/>
      </c>
      <c r="K1779" s="3">
        <f>IF(ORIG!K1779=0,"",ORIG!K1779)</f>
        <v/>
      </c>
      <c r="L1779" s="3">
        <f>IF(ORIG!L1779=0,"",ORIG!L1779)</f>
        <v/>
      </c>
      <c r="M1779" s="3">
        <f>IF(ORIG!M1779=0,"",ORIG!M1779)</f>
        <v/>
      </c>
      <c r="N1779" s="3">
        <f>IF(ORIG!N1779=0,"",ORIG!N1779)</f>
        <v/>
      </c>
      <c r="O1779" s="3">
        <f>IF(ORIG!O1779=0,"",ORIG!O1779)</f>
        <v/>
      </c>
      <c r="P1779" s="3">
        <f>IF(ORIG!P1779=0,"",ORIG!P1779)</f>
        <v/>
      </c>
      <c r="Q1779" s="3">
        <f>IF(ORIG!Q1779=0,"",ORIG!Q1779)</f>
        <v/>
      </c>
      <c r="R1779" s="3">
        <f>IF(ORIG!R1779=0,"",ORIG!R1779)</f>
        <v/>
      </c>
      <c r="S1779" s="3">
        <f>IF(ORIG!S1779=0,"",ORIG!S1779)</f>
        <v/>
      </c>
      <c r="T1779" s="3">
        <f>IF(ORIG!T1779=0,"",ORIG!T1779)</f>
        <v/>
      </c>
      <c r="U1779" s="3">
        <f>IF(ORIG!U1779=0,"",ORIG!U1779)</f>
        <v/>
      </c>
      <c r="V1779" s="9">
        <f>IF(ORIG!V1779=0,"",ORIG!V1779)</f>
        <v/>
      </c>
      <c r="W1779" s="9">
        <f>IF(ORIG!W1779=0,"",ORIG!W1779)</f>
        <v/>
      </c>
      <c r="X1779" s="9">
        <f>IF(ORIG!X1779=0,"",ORIG!X1779)</f>
        <v/>
      </c>
      <c r="Y1779" s="9">
        <f>IF(ORIG!Y1779=0,"",ORIG!Y1779)</f>
        <v/>
      </c>
      <c r="Z1779" s="3">
        <f>SUMPRODUCT($B1779:$Y1779,$B$2649:$Y$2649)</f>
        <v/>
      </c>
      <c r="AA1779" s="3">
        <f>SUMPRODUCT($B1779:$Y1779,$B$2655:$Y$2655)</f>
        <v/>
      </c>
      <c r="AC1779" s="1">
        <f>A1779</f>
        <v/>
      </c>
      <c r="AD1779">
        <f>IF(ISNUMBER(V1779),V1779*($AB$1/V$2635),"")</f>
        <v/>
      </c>
      <c r="AE1779">
        <f>IF(ISNUMBER(Z1779),Z1779*($AB$1/Z$2635),"")</f>
        <v/>
      </c>
      <c r="AF1779" s="25">
        <f>IF(ISNUMBER(AD1779+AE1779),AD1779+AE1779,"")</f>
        <v/>
      </c>
      <c r="AH1779" s="1">
        <f>A1779</f>
        <v/>
      </c>
      <c r="AI1779">
        <f>IF(ISNUMBER((1+V1779)*AI1778),(1+V1779)*AI1778,AI1778)</f>
        <v/>
      </c>
      <c r="AJ1779">
        <f>IF(ISNUMBER((1+Z1779)*AJ1778),(1+Z1779)*AJ1778,AJ1778)</f>
        <v/>
      </c>
    </row>
    <row r="1780">
      <c r="A1780" s="1" t="n">
        <v>44585</v>
      </c>
      <c r="B1780" s="3">
        <f>IF(ORIG!B1780=0,"",ORIG!B1780)</f>
        <v/>
      </c>
      <c r="C1780" s="3">
        <f>IF(ORIG!C1780=0,"",ORIG!C1780)</f>
        <v/>
      </c>
      <c r="D1780" s="3">
        <f>IF(ORIG!D1780=0,"",ORIG!D1780)</f>
        <v/>
      </c>
      <c r="E1780" s="3">
        <f>IF(ORIG!E1780=0,"",ORIG!E1780)</f>
        <v/>
      </c>
      <c r="F1780" s="3">
        <f>IF(ORIG!F1780=0,"",ORIG!F1780)</f>
        <v/>
      </c>
      <c r="G1780" s="3">
        <f>IF(ORIG!G1780=0,"",ORIG!G1780)</f>
        <v/>
      </c>
      <c r="H1780" s="3">
        <f>IF(ORIG!H1780=0,"",ORIG!H1780)</f>
        <v/>
      </c>
      <c r="I1780" s="3">
        <f>IF(ORIG!I1780=0,"",ORIG!I1780)</f>
        <v/>
      </c>
      <c r="J1780" s="3">
        <f>IF(ORIG!J1780=0,"",ORIG!J1780)</f>
        <v/>
      </c>
      <c r="K1780" s="3">
        <f>IF(ORIG!K1780=0,"",ORIG!K1780)</f>
        <v/>
      </c>
      <c r="L1780" s="3">
        <f>IF(ORIG!L1780=0,"",ORIG!L1780)</f>
        <v/>
      </c>
      <c r="M1780" s="3">
        <f>IF(ORIG!M1780=0,"",ORIG!M1780)</f>
        <v/>
      </c>
      <c r="N1780" s="3">
        <f>IF(ORIG!N1780=0,"",ORIG!N1780)</f>
        <v/>
      </c>
      <c r="O1780" s="3">
        <f>IF(ORIG!O1780=0,"",ORIG!O1780)</f>
        <v/>
      </c>
      <c r="P1780" s="3">
        <f>IF(ORIG!P1780=0,"",ORIG!P1780)</f>
        <v/>
      </c>
      <c r="Q1780" s="3">
        <f>IF(ORIG!Q1780=0,"",ORIG!Q1780)</f>
        <v/>
      </c>
      <c r="R1780" s="3">
        <f>IF(ORIG!R1780=0,"",ORIG!R1780)</f>
        <v/>
      </c>
      <c r="S1780" s="3">
        <f>IF(ORIG!S1780=0,"",ORIG!S1780)</f>
        <v/>
      </c>
      <c r="T1780" s="3">
        <f>IF(ORIG!T1780=0,"",ORIG!T1780)</f>
        <v/>
      </c>
      <c r="U1780" s="3">
        <f>IF(ORIG!U1780=0,"",ORIG!U1780)</f>
        <v/>
      </c>
      <c r="V1780" s="9">
        <f>IF(ORIG!V1780=0,"",ORIG!V1780)</f>
        <v/>
      </c>
      <c r="W1780" s="9">
        <f>IF(ORIG!W1780=0,"",ORIG!W1780)</f>
        <v/>
      </c>
      <c r="X1780" s="9">
        <f>IF(ORIG!X1780=0,"",ORIG!X1780)</f>
        <v/>
      </c>
      <c r="Y1780" s="9">
        <f>IF(ORIG!Y1780=0,"",ORIG!Y1780)</f>
        <v/>
      </c>
      <c r="Z1780" s="3">
        <f>SUMPRODUCT($B1780:$Y1780,$B$2649:$Y$2649)</f>
        <v/>
      </c>
      <c r="AA1780" s="3">
        <f>SUMPRODUCT($B1780:$Y1780,$B$2655:$Y$2655)</f>
        <v/>
      </c>
      <c r="AC1780" s="1">
        <f>A1780</f>
        <v/>
      </c>
      <c r="AD1780">
        <f>IF(ISNUMBER(V1780),V1780*($AB$1/V$2635),"")</f>
        <v/>
      </c>
      <c r="AE1780">
        <f>IF(ISNUMBER(Z1780),Z1780*($AB$1/Z$2635),"")</f>
        <v/>
      </c>
      <c r="AF1780" s="25">
        <f>IF(ISNUMBER(AD1780+AE1780),AD1780+AE1780,"")</f>
        <v/>
      </c>
      <c r="AH1780" s="1">
        <f>A1780</f>
        <v/>
      </c>
      <c r="AI1780">
        <f>IF(ISNUMBER((1+V1780)*AI1779),(1+V1780)*AI1779,AI1779)</f>
        <v/>
      </c>
      <c r="AJ1780">
        <f>IF(ISNUMBER((1+Z1780)*AJ1779),(1+Z1780)*AJ1779,AJ1779)</f>
        <v/>
      </c>
    </row>
    <row r="1781">
      <c r="A1781" s="1" t="n">
        <v>44586</v>
      </c>
      <c r="B1781" s="3">
        <f>IF(ORIG!B1781=0,"",ORIG!B1781)</f>
        <v/>
      </c>
      <c r="C1781" s="3">
        <f>IF(ORIG!C1781=0,"",ORIG!C1781)</f>
        <v/>
      </c>
      <c r="D1781" s="3">
        <f>IF(ORIG!D1781=0,"",ORIG!D1781)</f>
        <v/>
      </c>
      <c r="E1781" s="3">
        <f>IF(ORIG!E1781=0,"",ORIG!E1781)</f>
        <v/>
      </c>
      <c r="F1781" s="3">
        <f>IF(ORIG!F1781=0,"",ORIG!F1781)</f>
        <v/>
      </c>
      <c r="G1781" s="3">
        <f>IF(ORIG!G1781=0,"",ORIG!G1781)</f>
        <v/>
      </c>
      <c r="H1781" s="3">
        <f>IF(ORIG!H1781=0,"",ORIG!H1781)</f>
        <v/>
      </c>
      <c r="I1781" s="3">
        <f>IF(ORIG!I1781=0,"",ORIG!I1781)</f>
        <v/>
      </c>
      <c r="J1781" s="3">
        <f>IF(ORIG!J1781=0,"",ORIG!J1781)</f>
        <v/>
      </c>
      <c r="K1781" s="3">
        <f>IF(ORIG!K1781=0,"",ORIG!K1781)</f>
        <v/>
      </c>
      <c r="L1781" s="3">
        <f>IF(ORIG!L1781=0,"",ORIG!L1781)</f>
        <v/>
      </c>
      <c r="M1781" s="3">
        <f>IF(ORIG!M1781=0,"",ORIG!M1781)</f>
        <v/>
      </c>
      <c r="N1781" s="3">
        <f>IF(ORIG!N1781=0,"",ORIG!N1781)</f>
        <v/>
      </c>
      <c r="O1781" s="3">
        <f>IF(ORIG!O1781=0,"",ORIG!O1781)</f>
        <v/>
      </c>
      <c r="P1781" s="3">
        <f>IF(ORIG!P1781=0,"",ORIG!P1781)</f>
        <v/>
      </c>
      <c r="Q1781" s="3">
        <f>IF(ORIG!Q1781=0,"",ORIG!Q1781)</f>
        <v/>
      </c>
      <c r="R1781" s="3">
        <f>IF(ORIG!R1781=0,"",ORIG!R1781)</f>
        <v/>
      </c>
      <c r="S1781" s="3">
        <f>IF(ORIG!S1781=0,"",ORIG!S1781)</f>
        <v/>
      </c>
      <c r="T1781" s="3">
        <f>IF(ORIG!T1781=0,"",ORIG!T1781)</f>
        <v/>
      </c>
      <c r="U1781" s="3">
        <f>IF(ORIG!U1781=0,"",ORIG!U1781)</f>
        <v/>
      </c>
      <c r="V1781" s="9">
        <f>IF(ORIG!V1781=0,"",ORIG!V1781)</f>
        <v/>
      </c>
      <c r="W1781" s="9">
        <f>IF(ORIG!W1781=0,"",ORIG!W1781)</f>
        <v/>
      </c>
      <c r="X1781" s="9">
        <f>IF(ORIG!X1781=0,"",ORIG!X1781)</f>
        <v/>
      </c>
      <c r="Y1781" s="9">
        <f>IF(ORIG!Y1781=0,"",ORIG!Y1781)</f>
        <v/>
      </c>
      <c r="Z1781" s="3">
        <f>SUMPRODUCT($B1781:$Y1781,$B$2649:$Y$2649)</f>
        <v/>
      </c>
      <c r="AA1781" s="3">
        <f>SUMPRODUCT($B1781:$Y1781,$B$2655:$Y$2655)</f>
        <v/>
      </c>
      <c r="AC1781" s="1">
        <f>A1781</f>
        <v/>
      </c>
      <c r="AD1781">
        <f>IF(ISNUMBER(V1781),V1781*($AB$1/V$2635),"")</f>
        <v/>
      </c>
      <c r="AE1781">
        <f>IF(ISNUMBER(Z1781),Z1781*($AB$1/Z$2635),"")</f>
        <v/>
      </c>
      <c r="AF1781" s="25">
        <f>IF(ISNUMBER(AD1781+AE1781),AD1781+AE1781,"")</f>
        <v/>
      </c>
      <c r="AH1781" s="1">
        <f>A1781</f>
        <v/>
      </c>
      <c r="AI1781">
        <f>IF(ISNUMBER((1+V1781)*AI1780),(1+V1781)*AI1780,AI1780)</f>
        <v/>
      </c>
      <c r="AJ1781">
        <f>IF(ISNUMBER((1+Z1781)*AJ1780),(1+Z1781)*AJ1780,AJ1780)</f>
        <v/>
      </c>
    </row>
    <row r="1782">
      <c r="A1782" s="1" t="n">
        <v>44587</v>
      </c>
      <c r="B1782" s="3">
        <f>IF(ORIG!B1782=0,"",ORIG!B1782)</f>
        <v/>
      </c>
      <c r="C1782" s="3">
        <f>IF(ORIG!C1782=0,"",ORIG!C1782)</f>
        <v/>
      </c>
      <c r="D1782" s="3">
        <f>IF(ORIG!D1782=0,"",ORIG!D1782)</f>
        <v/>
      </c>
      <c r="E1782" s="3">
        <f>IF(ORIG!E1782=0,"",ORIG!E1782)</f>
        <v/>
      </c>
      <c r="F1782" s="3">
        <f>IF(ORIG!F1782=0,"",ORIG!F1782)</f>
        <v/>
      </c>
      <c r="G1782" s="3">
        <f>IF(ORIG!G1782=0,"",ORIG!G1782)</f>
        <v/>
      </c>
      <c r="H1782" s="3">
        <f>IF(ORIG!H1782=0,"",ORIG!H1782)</f>
        <v/>
      </c>
      <c r="I1782" s="3">
        <f>IF(ORIG!I1782=0,"",ORIG!I1782)</f>
        <v/>
      </c>
      <c r="J1782" s="3">
        <f>IF(ORIG!J1782=0,"",ORIG!J1782)</f>
        <v/>
      </c>
      <c r="K1782" s="3">
        <f>IF(ORIG!K1782=0,"",ORIG!K1782)</f>
        <v/>
      </c>
      <c r="L1782" s="3">
        <f>IF(ORIG!L1782=0,"",ORIG!L1782)</f>
        <v/>
      </c>
      <c r="M1782" s="3">
        <f>IF(ORIG!M1782=0,"",ORIG!M1782)</f>
        <v/>
      </c>
      <c r="N1782" s="3">
        <f>IF(ORIG!N1782=0,"",ORIG!N1782)</f>
        <v/>
      </c>
      <c r="O1782" s="3">
        <f>IF(ORIG!O1782=0,"",ORIG!O1782)</f>
        <v/>
      </c>
      <c r="P1782" s="3">
        <f>IF(ORIG!P1782=0,"",ORIG!P1782)</f>
        <v/>
      </c>
      <c r="Q1782" s="3">
        <f>IF(ORIG!Q1782=0,"",ORIG!Q1782)</f>
        <v/>
      </c>
      <c r="R1782" s="3">
        <f>IF(ORIG!R1782=0,"",ORIG!R1782)</f>
        <v/>
      </c>
      <c r="S1782" s="3">
        <f>IF(ORIG!S1782=0,"",ORIG!S1782)</f>
        <v/>
      </c>
      <c r="T1782" s="3">
        <f>IF(ORIG!T1782=0,"",ORIG!T1782)</f>
        <v/>
      </c>
      <c r="U1782" s="3">
        <f>IF(ORIG!U1782=0,"",ORIG!U1782)</f>
        <v/>
      </c>
      <c r="V1782" s="9">
        <f>IF(ORIG!V1782=0,"",ORIG!V1782)</f>
        <v/>
      </c>
      <c r="W1782" s="9">
        <f>IF(ORIG!W1782=0,"",ORIG!W1782)</f>
        <v/>
      </c>
      <c r="X1782" s="9">
        <f>IF(ORIG!X1782=0,"",ORIG!X1782)</f>
        <v/>
      </c>
      <c r="Y1782" s="9">
        <f>IF(ORIG!Y1782=0,"",ORIG!Y1782)</f>
        <v/>
      </c>
      <c r="Z1782" s="3">
        <f>SUMPRODUCT($B1782:$Y1782,$B$2649:$Y$2649)</f>
        <v/>
      </c>
      <c r="AA1782" s="3">
        <f>SUMPRODUCT($B1782:$Y1782,$B$2655:$Y$2655)</f>
        <v/>
      </c>
      <c r="AC1782" s="1">
        <f>A1782</f>
        <v/>
      </c>
      <c r="AD1782">
        <f>IF(ISNUMBER(V1782),V1782*($AB$1/V$2635),"")</f>
        <v/>
      </c>
      <c r="AE1782">
        <f>IF(ISNUMBER(Z1782),Z1782*($AB$1/Z$2635),"")</f>
        <v/>
      </c>
      <c r="AF1782" s="25">
        <f>IF(ISNUMBER(AD1782+AE1782),AD1782+AE1782,"")</f>
        <v/>
      </c>
      <c r="AH1782" s="1">
        <f>A1782</f>
        <v/>
      </c>
      <c r="AI1782">
        <f>IF(ISNUMBER((1+V1782)*AI1781),(1+V1782)*AI1781,AI1781)</f>
        <v/>
      </c>
      <c r="AJ1782">
        <f>IF(ISNUMBER((1+Z1782)*AJ1781),(1+Z1782)*AJ1781,AJ1781)</f>
        <v/>
      </c>
    </row>
    <row r="1783">
      <c r="A1783" s="1" t="n">
        <v>44588</v>
      </c>
      <c r="B1783" s="3">
        <f>IF(ORIG!B1783=0,"",ORIG!B1783)</f>
        <v/>
      </c>
      <c r="C1783" s="3">
        <f>IF(ORIG!C1783=0,"",ORIG!C1783)</f>
        <v/>
      </c>
      <c r="D1783" s="3">
        <f>IF(ORIG!D1783=0,"",ORIG!D1783)</f>
        <v/>
      </c>
      <c r="E1783" s="3">
        <f>IF(ORIG!E1783=0,"",ORIG!E1783)</f>
        <v/>
      </c>
      <c r="F1783" s="3">
        <f>IF(ORIG!F1783=0,"",ORIG!F1783)</f>
        <v/>
      </c>
      <c r="G1783" s="3">
        <f>IF(ORIG!G1783=0,"",ORIG!G1783)</f>
        <v/>
      </c>
      <c r="H1783" s="3">
        <f>IF(ORIG!H1783=0,"",ORIG!H1783)</f>
        <v/>
      </c>
      <c r="I1783" s="3">
        <f>IF(ORIG!I1783=0,"",ORIG!I1783)</f>
        <v/>
      </c>
      <c r="J1783" s="3">
        <f>IF(ORIG!J1783=0,"",ORIG!J1783)</f>
        <v/>
      </c>
      <c r="K1783" s="3">
        <f>IF(ORIG!K1783=0,"",ORIG!K1783)</f>
        <v/>
      </c>
      <c r="L1783" s="3">
        <f>IF(ORIG!L1783=0,"",ORIG!L1783)</f>
        <v/>
      </c>
      <c r="M1783" s="3">
        <f>IF(ORIG!M1783=0,"",ORIG!M1783)</f>
        <v/>
      </c>
      <c r="N1783" s="3">
        <f>IF(ORIG!N1783=0,"",ORIG!N1783)</f>
        <v/>
      </c>
      <c r="O1783" s="3">
        <f>IF(ORIG!O1783=0,"",ORIG!O1783)</f>
        <v/>
      </c>
      <c r="P1783" s="3">
        <f>IF(ORIG!P1783=0,"",ORIG!P1783)</f>
        <v/>
      </c>
      <c r="Q1783" s="3">
        <f>IF(ORIG!Q1783=0,"",ORIG!Q1783)</f>
        <v/>
      </c>
      <c r="R1783" s="3">
        <f>IF(ORIG!R1783=0,"",ORIG!R1783)</f>
        <v/>
      </c>
      <c r="S1783" s="3">
        <f>IF(ORIG!S1783=0,"",ORIG!S1783)</f>
        <v/>
      </c>
      <c r="T1783" s="3">
        <f>IF(ORIG!T1783=0,"",ORIG!T1783)</f>
        <v/>
      </c>
      <c r="U1783" s="3">
        <f>IF(ORIG!U1783=0,"",ORIG!U1783)</f>
        <v/>
      </c>
      <c r="V1783" s="9">
        <f>IF(ORIG!V1783=0,"",ORIG!V1783)</f>
        <v/>
      </c>
      <c r="W1783" s="9">
        <f>IF(ORIG!W1783=0,"",ORIG!W1783)</f>
        <v/>
      </c>
      <c r="X1783" s="9">
        <f>IF(ORIG!X1783=0,"",ORIG!X1783)</f>
        <v/>
      </c>
      <c r="Y1783" s="9">
        <f>IF(ORIG!Y1783=0,"",ORIG!Y1783)</f>
        <v/>
      </c>
      <c r="Z1783" s="3">
        <f>SUMPRODUCT($B1783:$Y1783,$B$2649:$Y$2649)</f>
        <v/>
      </c>
      <c r="AA1783" s="3">
        <f>SUMPRODUCT($B1783:$Y1783,$B$2655:$Y$2655)</f>
        <v/>
      </c>
      <c r="AC1783" s="1">
        <f>A1783</f>
        <v/>
      </c>
      <c r="AD1783">
        <f>IF(ISNUMBER(V1783),V1783*($AB$1/V$2635),"")</f>
        <v/>
      </c>
      <c r="AE1783">
        <f>IF(ISNUMBER(Z1783),Z1783*($AB$1/Z$2635),"")</f>
        <v/>
      </c>
      <c r="AF1783" s="25">
        <f>IF(ISNUMBER(AD1783+AE1783),AD1783+AE1783,"")</f>
        <v/>
      </c>
      <c r="AH1783" s="1">
        <f>A1783</f>
        <v/>
      </c>
      <c r="AI1783">
        <f>IF(ISNUMBER((1+V1783)*AI1782),(1+V1783)*AI1782,AI1782)</f>
        <v/>
      </c>
      <c r="AJ1783">
        <f>IF(ISNUMBER((1+Z1783)*AJ1782),(1+Z1783)*AJ1782,AJ1782)</f>
        <v/>
      </c>
    </row>
    <row r="1784">
      <c r="A1784" s="1" t="n">
        <v>44589</v>
      </c>
      <c r="B1784" s="3">
        <f>IF(ORIG!B1784=0,"",ORIG!B1784)</f>
        <v/>
      </c>
      <c r="C1784" s="3">
        <f>IF(ORIG!C1784=0,"",ORIG!C1784)</f>
        <v/>
      </c>
      <c r="D1784" s="3">
        <f>IF(ORIG!D1784=0,"",ORIG!D1784)</f>
        <v/>
      </c>
      <c r="E1784" s="3">
        <f>IF(ORIG!E1784=0,"",ORIG!E1784)</f>
        <v/>
      </c>
      <c r="F1784" s="3">
        <f>IF(ORIG!F1784=0,"",ORIG!F1784)</f>
        <v/>
      </c>
      <c r="G1784" s="3">
        <f>IF(ORIG!G1784=0,"",ORIG!G1784)</f>
        <v/>
      </c>
      <c r="H1784" s="3">
        <f>IF(ORIG!H1784=0,"",ORIG!H1784)</f>
        <v/>
      </c>
      <c r="I1784" s="3">
        <f>IF(ORIG!I1784=0,"",ORIG!I1784)</f>
        <v/>
      </c>
      <c r="J1784" s="3">
        <f>IF(ORIG!J1784=0,"",ORIG!J1784)</f>
        <v/>
      </c>
      <c r="K1784" s="3">
        <f>IF(ORIG!K1784=0,"",ORIG!K1784)</f>
        <v/>
      </c>
      <c r="L1784" s="3">
        <f>IF(ORIG!L1784=0,"",ORIG!L1784)</f>
        <v/>
      </c>
      <c r="M1784" s="3">
        <f>IF(ORIG!M1784=0,"",ORIG!M1784)</f>
        <v/>
      </c>
      <c r="N1784" s="3">
        <f>IF(ORIG!N1784=0,"",ORIG!N1784)</f>
        <v/>
      </c>
      <c r="O1784" s="3">
        <f>IF(ORIG!O1784=0,"",ORIG!O1784)</f>
        <v/>
      </c>
      <c r="P1784" s="3">
        <f>IF(ORIG!P1784=0,"",ORIG!P1784)</f>
        <v/>
      </c>
      <c r="Q1784" s="3">
        <f>IF(ORIG!Q1784=0,"",ORIG!Q1784)</f>
        <v/>
      </c>
      <c r="R1784" s="3">
        <f>IF(ORIG!R1784=0,"",ORIG!R1784)</f>
        <v/>
      </c>
      <c r="S1784" s="3">
        <f>IF(ORIG!S1784=0,"",ORIG!S1784)</f>
        <v/>
      </c>
      <c r="T1784" s="3">
        <f>IF(ORIG!T1784=0,"",ORIG!T1784)</f>
        <v/>
      </c>
      <c r="U1784" s="3">
        <f>IF(ORIG!U1784=0,"",ORIG!U1784)</f>
        <v/>
      </c>
      <c r="V1784" s="9">
        <f>IF(ORIG!V1784=0,"",ORIG!V1784)</f>
        <v/>
      </c>
      <c r="W1784" s="9">
        <f>IF(ORIG!W1784=0,"",ORIG!W1784)</f>
        <v/>
      </c>
      <c r="X1784" s="9">
        <f>IF(ORIG!X1784=0,"",ORIG!X1784)</f>
        <v/>
      </c>
      <c r="Y1784" s="9">
        <f>IF(ORIG!Y1784=0,"",ORIG!Y1784)</f>
        <v/>
      </c>
      <c r="Z1784" s="3">
        <f>SUMPRODUCT($B1784:$Y1784,$B$2649:$Y$2649)</f>
        <v/>
      </c>
      <c r="AA1784" s="3">
        <f>SUMPRODUCT($B1784:$Y1784,$B$2655:$Y$2655)</f>
        <v/>
      </c>
      <c r="AC1784" s="1">
        <f>A1784</f>
        <v/>
      </c>
      <c r="AD1784">
        <f>IF(ISNUMBER(V1784),V1784*($AB$1/V$2635),"")</f>
        <v/>
      </c>
      <c r="AE1784">
        <f>IF(ISNUMBER(Z1784),Z1784*($AB$1/Z$2635),"")</f>
        <v/>
      </c>
      <c r="AF1784" s="25">
        <f>IF(ISNUMBER(AD1784+AE1784),AD1784+AE1784,"")</f>
        <v/>
      </c>
      <c r="AH1784" s="1">
        <f>A1784</f>
        <v/>
      </c>
      <c r="AI1784">
        <f>IF(ISNUMBER((1+V1784)*AI1783),(1+V1784)*AI1783,AI1783)</f>
        <v/>
      </c>
      <c r="AJ1784">
        <f>IF(ISNUMBER((1+Z1784)*AJ1783),(1+Z1784)*AJ1783,AJ1783)</f>
        <v/>
      </c>
    </row>
    <row r="1785">
      <c r="A1785" s="1" t="n">
        <v>44592</v>
      </c>
      <c r="B1785" s="3">
        <f>IF(ORIG!B1785=0,"",ORIG!B1785)</f>
        <v/>
      </c>
      <c r="C1785" s="3">
        <f>IF(ORIG!C1785=0,"",ORIG!C1785)</f>
        <v/>
      </c>
      <c r="D1785" s="3">
        <f>IF(ORIG!D1785=0,"",ORIG!D1785)</f>
        <v/>
      </c>
      <c r="E1785" s="3">
        <f>IF(ORIG!E1785=0,"",ORIG!E1785)</f>
        <v/>
      </c>
      <c r="F1785" s="3">
        <f>IF(ORIG!F1785=0,"",ORIG!F1785)</f>
        <v/>
      </c>
      <c r="G1785" s="3">
        <f>IF(ORIG!G1785=0,"",ORIG!G1785)</f>
        <v/>
      </c>
      <c r="H1785" s="3">
        <f>IF(ORIG!H1785=0,"",ORIG!H1785)</f>
        <v/>
      </c>
      <c r="I1785" s="3">
        <f>IF(ORIG!I1785=0,"",ORIG!I1785)</f>
        <v/>
      </c>
      <c r="J1785" s="3">
        <f>IF(ORIG!J1785=0,"",ORIG!J1785)</f>
        <v/>
      </c>
      <c r="K1785" s="3">
        <f>IF(ORIG!K1785=0,"",ORIG!K1785)</f>
        <v/>
      </c>
      <c r="L1785" s="3">
        <f>IF(ORIG!L1785=0,"",ORIG!L1785)</f>
        <v/>
      </c>
      <c r="M1785" s="3">
        <f>IF(ORIG!M1785=0,"",ORIG!M1785)</f>
        <v/>
      </c>
      <c r="N1785" s="3">
        <f>IF(ORIG!N1785=0,"",ORIG!N1785)</f>
        <v/>
      </c>
      <c r="O1785" s="3">
        <f>IF(ORIG!O1785=0,"",ORIG!O1785)</f>
        <v/>
      </c>
      <c r="P1785" s="3">
        <f>IF(ORIG!P1785=0,"",ORIG!P1785)</f>
        <v/>
      </c>
      <c r="Q1785" s="3">
        <f>IF(ORIG!Q1785=0,"",ORIG!Q1785)</f>
        <v/>
      </c>
      <c r="R1785" s="3">
        <f>IF(ORIG!R1785=0,"",ORIG!R1785)</f>
        <v/>
      </c>
      <c r="S1785" s="3">
        <f>IF(ORIG!S1785=0,"",ORIG!S1785)</f>
        <v/>
      </c>
      <c r="T1785" s="3">
        <f>IF(ORIG!T1785=0,"",ORIG!T1785)</f>
        <v/>
      </c>
      <c r="U1785" s="3">
        <f>IF(ORIG!U1785=0,"",ORIG!U1785)</f>
        <v/>
      </c>
      <c r="V1785" s="9">
        <f>IF(ORIG!V1785=0,"",ORIG!V1785)</f>
        <v/>
      </c>
      <c r="W1785" s="9">
        <f>IF(ORIG!W1785=0,"",ORIG!W1785)</f>
        <v/>
      </c>
      <c r="X1785" s="9">
        <f>IF(ORIG!X1785=0,"",ORIG!X1785)</f>
        <v/>
      </c>
      <c r="Y1785" s="9">
        <f>IF(ORIG!Y1785=0,"",ORIG!Y1785)</f>
        <v/>
      </c>
      <c r="Z1785" s="3">
        <f>SUMPRODUCT($B1785:$Y1785,$B$2649:$Y$2649)</f>
        <v/>
      </c>
      <c r="AA1785" s="3">
        <f>SUMPRODUCT($B1785:$Y1785,$B$2655:$Y$2655)</f>
        <v/>
      </c>
      <c r="AC1785" s="1">
        <f>A1785</f>
        <v/>
      </c>
      <c r="AD1785">
        <f>IF(ISNUMBER(V1785),V1785*($AB$1/V$2635),"")</f>
        <v/>
      </c>
      <c r="AE1785">
        <f>IF(ISNUMBER(Z1785),Z1785*($AB$1/Z$2635),"")</f>
        <v/>
      </c>
      <c r="AF1785" s="25">
        <f>IF(ISNUMBER(AD1785+AE1785),AD1785+AE1785,"")</f>
        <v/>
      </c>
      <c r="AH1785" s="1">
        <f>A1785</f>
        <v/>
      </c>
      <c r="AI1785">
        <f>IF(ISNUMBER((1+V1785)*AI1784),(1+V1785)*AI1784,AI1784)</f>
        <v/>
      </c>
      <c r="AJ1785">
        <f>IF(ISNUMBER((1+Z1785)*AJ1784),(1+Z1785)*AJ1784,AJ1784)</f>
        <v/>
      </c>
    </row>
    <row r="1786">
      <c r="A1786" s="1" t="n">
        <v>44593</v>
      </c>
      <c r="B1786" s="3">
        <f>IF(ORIG!B1786=0,"",ORIG!B1786)</f>
        <v/>
      </c>
      <c r="C1786" s="3">
        <f>IF(ORIG!C1786=0,"",ORIG!C1786)</f>
        <v/>
      </c>
      <c r="D1786" s="3">
        <f>IF(ORIG!D1786=0,"",ORIG!D1786)</f>
        <v/>
      </c>
      <c r="E1786" s="3">
        <f>IF(ORIG!E1786=0,"",ORIG!E1786)</f>
        <v/>
      </c>
      <c r="F1786" s="3">
        <f>IF(ORIG!F1786=0,"",ORIG!F1786)</f>
        <v/>
      </c>
      <c r="G1786" s="3">
        <f>IF(ORIG!G1786=0,"",ORIG!G1786)</f>
        <v/>
      </c>
      <c r="H1786" s="3">
        <f>IF(ORIG!H1786=0,"",ORIG!H1786)</f>
        <v/>
      </c>
      <c r="I1786" s="3">
        <f>IF(ORIG!I1786=0,"",ORIG!I1786)</f>
        <v/>
      </c>
      <c r="J1786" s="3">
        <f>IF(ORIG!J1786=0,"",ORIG!J1786)</f>
        <v/>
      </c>
      <c r="K1786" s="3">
        <f>IF(ORIG!K1786=0,"",ORIG!K1786)</f>
        <v/>
      </c>
      <c r="L1786" s="3">
        <f>IF(ORIG!L1786=0,"",ORIG!L1786)</f>
        <v/>
      </c>
      <c r="M1786" s="3">
        <f>IF(ORIG!M1786=0,"",ORIG!M1786)</f>
        <v/>
      </c>
      <c r="N1786" s="3">
        <f>IF(ORIG!N1786=0,"",ORIG!N1786)</f>
        <v/>
      </c>
      <c r="O1786" s="3">
        <f>IF(ORIG!O1786=0,"",ORIG!O1786)</f>
        <v/>
      </c>
      <c r="P1786" s="3">
        <f>IF(ORIG!P1786=0,"",ORIG!P1786)</f>
        <v/>
      </c>
      <c r="Q1786" s="3">
        <f>IF(ORIG!Q1786=0,"",ORIG!Q1786)</f>
        <v/>
      </c>
      <c r="R1786" s="3">
        <f>IF(ORIG!R1786=0,"",ORIG!R1786)</f>
        <v/>
      </c>
      <c r="S1786" s="3">
        <f>IF(ORIG!S1786=0,"",ORIG!S1786)</f>
        <v/>
      </c>
      <c r="T1786" s="3">
        <f>IF(ORIG!T1786=0,"",ORIG!T1786)</f>
        <v/>
      </c>
      <c r="U1786" s="3">
        <f>IF(ORIG!U1786=0,"",ORIG!U1786)</f>
        <v/>
      </c>
      <c r="V1786" s="9">
        <f>IF(ORIG!V1786=0,"",ORIG!V1786)</f>
        <v/>
      </c>
      <c r="W1786" s="9">
        <f>IF(ORIG!W1786=0,"",ORIG!W1786)</f>
        <v/>
      </c>
      <c r="X1786" s="9">
        <f>IF(ORIG!X1786=0,"",ORIG!X1786)</f>
        <v/>
      </c>
      <c r="Y1786" s="9">
        <f>IF(ORIG!Y1786=0,"",ORIG!Y1786)</f>
        <v/>
      </c>
      <c r="Z1786" s="3">
        <f>SUMPRODUCT($B1786:$Y1786,$B$2649:$Y$2649)</f>
        <v/>
      </c>
      <c r="AA1786" s="3">
        <f>SUMPRODUCT($B1786:$Y1786,$B$2655:$Y$2655)</f>
        <v/>
      </c>
      <c r="AC1786" s="1">
        <f>A1786</f>
        <v/>
      </c>
      <c r="AD1786">
        <f>IF(ISNUMBER(V1786),V1786*($AB$1/V$2635),"")</f>
        <v/>
      </c>
      <c r="AE1786">
        <f>IF(ISNUMBER(Z1786),Z1786*($AB$1/Z$2635),"")</f>
        <v/>
      </c>
      <c r="AF1786" s="25">
        <f>IF(ISNUMBER(AD1786+AE1786),AD1786+AE1786,"")</f>
        <v/>
      </c>
      <c r="AH1786" s="1">
        <f>A1786</f>
        <v/>
      </c>
      <c r="AI1786">
        <f>IF(ISNUMBER((1+V1786)*AI1785),(1+V1786)*AI1785,AI1785)</f>
        <v/>
      </c>
      <c r="AJ1786">
        <f>IF(ISNUMBER((1+Z1786)*AJ1785),(1+Z1786)*AJ1785,AJ1785)</f>
        <v/>
      </c>
    </row>
    <row r="1787">
      <c r="A1787" s="1" t="n">
        <v>44594</v>
      </c>
      <c r="B1787" s="3">
        <f>IF(ORIG!B1787=0,"",ORIG!B1787)</f>
        <v/>
      </c>
      <c r="C1787" s="3">
        <f>IF(ORIG!C1787=0,"",ORIG!C1787)</f>
        <v/>
      </c>
      <c r="D1787" s="3">
        <f>IF(ORIG!D1787=0,"",ORIG!D1787)</f>
        <v/>
      </c>
      <c r="E1787" s="3">
        <f>IF(ORIG!E1787=0,"",ORIG!E1787)</f>
        <v/>
      </c>
      <c r="F1787" s="3">
        <f>IF(ORIG!F1787=0,"",ORIG!F1787)</f>
        <v/>
      </c>
      <c r="G1787" s="3">
        <f>IF(ORIG!G1787=0,"",ORIG!G1787)</f>
        <v/>
      </c>
      <c r="H1787" s="3">
        <f>IF(ORIG!H1787=0,"",ORIG!H1787)</f>
        <v/>
      </c>
      <c r="I1787" s="3">
        <f>IF(ORIG!I1787=0,"",ORIG!I1787)</f>
        <v/>
      </c>
      <c r="J1787" s="3">
        <f>IF(ORIG!J1787=0,"",ORIG!J1787)</f>
        <v/>
      </c>
      <c r="K1787" s="3">
        <f>IF(ORIG!K1787=0,"",ORIG!K1787)</f>
        <v/>
      </c>
      <c r="L1787" s="3">
        <f>IF(ORIG!L1787=0,"",ORIG!L1787)</f>
        <v/>
      </c>
      <c r="M1787" s="3">
        <f>IF(ORIG!M1787=0,"",ORIG!M1787)</f>
        <v/>
      </c>
      <c r="N1787" s="3">
        <f>IF(ORIG!N1787=0,"",ORIG!N1787)</f>
        <v/>
      </c>
      <c r="O1787" s="3">
        <f>IF(ORIG!O1787=0,"",ORIG!O1787)</f>
        <v/>
      </c>
      <c r="P1787" s="3">
        <f>IF(ORIG!P1787=0,"",ORIG!P1787)</f>
        <v/>
      </c>
      <c r="Q1787" s="3">
        <f>IF(ORIG!Q1787=0,"",ORIG!Q1787)</f>
        <v/>
      </c>
      <c r="R1787" s="3">
        <f>IF(ORIG!R1787=0,"",ORIG!R1787)</f>
        <v/>
      </c>
      <c r="S1787" s="3">
        <f>IF(ORIG!S1787=0,"",ORIG!S1787)</f>
        <v/>
      </c>
      <c r="T1787" s="3">
        <f>IF(ORIG!T1787=0,"",ORIG!T1787)</f>
        <v/>
      </c>
      <c r="U1787" s="3">
        <f>IF(ORIG!U1787=0,"",ORIG!U1787)</f>
        <v/>
      </c>
      <c r="V1787" s="9">
        <f>IF(ORIG!V1787=0,"",ORIG!V1787)</f>
        <v/>
      </c>
      <c r="W1787" s="9">
        <f>IF(ORIG!W1787=0,"",ORIG!W1787)</f>
        <v/>
      </c>
      <c r="X1787" s="9">
        <f>IF(ORIG!X1787=0,"",ORIG!X1787)</f>
        <v/>
      </c>
      <c r="Y1787" s="9">
        <f>IF(ORIG!Y1787=0,"",ORIG!Y1787)</f>
        <v/>
      </c>
      <c r="Z1787" s="3">
        <f>SUMPRODUCT($B1787:$Y1787,$B$2649:$Y$2649)</f>
        <v/>
      </c>
      <c r="AA1787" s="3">
        <f>SUMPRODUCT($B1787:$Y1787,$B$2655:$Y$2655)</f>
        <v/>
      </c>
      <c r="AC1787" s="1">
        <f>A1787</f>
        <v/>
      </c>
      <c r="AD1787">
        <f>IF(ISNUMBER(V1787),V1787*($AB$1/V$2635),"")</f>
        <v/>
      </c>
      <c r="AE1787">
        <f>IF(ISNUMBER(Z1787),Z1787*($AB$1/Z$2635),"")</f>
        <v/>
      </c>
      <c r="AF1787" s="25">
        <f>IF(ISNUMBER(AD1787+AE1787),AD1787+AE1787,"")</f>
        <v/>
      </c>
      <c r="AH1787" s="1">
        <f>A1787</f>
        <v/>
      </c>
      <c r="AI1787">
        <f>IF(ISNUMBER((1+V1787)*AI1786),(1+V1787)*AI1786,AI1786)</f>
        <v/>
      </c>
      <c r="AJ1787">
        <f>IF(ISNUMBER((1+Z1787)*AJ1786),(1+Z1787)*AJ1786,AJ1786)</f>
        <v/>
      </c>
    </row>
    <row r="1788">
      <c r="A1788" s="1" t="n">
        <v>44595</v>
      </c>
      <c r="B1788" s="3">
        <f>IF(ORIG!B1788=0,"",ORIG!B1788)</f>
        <v/>
      </c>
      <c r="C1788" s="3">
        <f>IF(ORIG!C1788=0,"",ORIG!C1788)</f>
        <v/>
      </c>
      <c r="D1788" s="3">
        <f>IF(ORIG!D1788=0,"",ORIG!D1788)</f>
        <v/>
      </c>
      <c r="E1788" s="3">
        <f>IF(ORIG!E1788=0,"",ORIG!E1788)</f>
        <v/>
      </c>
      <c r="F1788" s="3">
        <f>IF(ORIG!F1788=0,"",ORIG!F1788)</f>
        <v/>
      </c>
      <c r="G1788" s="3">
        <f>IF(ORIG!G1788=0,"",ORIG!G1788)</f>
        <v/>
      </c>
      <c r="H1788" s="3">
        <f>IF(ORIG!H1788=0,"",ORIG!H1788)</f>
        <v/>
      </c>
      <c r="I1788" s="3">
        <f>IF(ORIG!I1788=0,"",ORIG!I1788)</f>
        <v/>
      </c>
      <c r="J1788" s="3">
        <f>IF(ORIG!J1788=0,"",ORIG!J1788)</f>
        <v/>
      </c>
      <c r="K1788" s="3">
        <f>IF(ORIG!K1788=0,"",ORIG!K1788)</f>
        <v/>
      </c>
      <c r="L1788" s="3">
        <f>IF(ORIG!L1788=0,"",ORIG!L1788)</f>
        <v/>
      </c>
      <c r="M1788" s="3">
        <f>IF(ORIG!M1788=0,"",ORIG!M1788)</f>
        <v/>
      </c>
      <c r="N1788" s="3">
        <f>IF(ORIG!N1788=0,"",ORIG!N1788)</f>
        <v/>
      </c>
      <c r="O1788" s="3">
        <f>IF(ORIG!O1788=0,"",ORIG!O1788)</f>
        <v/>
      </c>
      <c r="P1788" s="3">
        <f>IF(ORIG!P1788=0,"",ORIG!P1788)</f>
        <v/>
      </c>
      <c r="Q1788" s="3">
        <f>IF(ORIG!Q1788=0,"",ORIG!Q1788)</f>
        <v/>
      </c>
      <c r="R1788" s="3">
        <f>IF(ORIG!R1788=0,"",ORIG!R1788)</f>
        <v/>
      </c>
      <c r="S1788" s="3">
        <f>IF(ORIG!S1788=0,"",ORIG!S1788)</f>
        <v/>
      </c>
      <c r="T1788" s="3">
        <f>IF(ORIG!T1788=0,"",ORIG!T1788)</f>
        <v/>
      </c>
      <c r="U1788" s="3">
        <f>IF(ORIG!U1788=0,"",ORIG!U1788)</f>
        <v/>
      </c>
      <c r="V1788" s="9">
        <f>IF(ORIG!V1788=0,"",ORIG!V1788)</f>
        <v/>
      </c>
      <c r="W1788" s="9">
        <f>IF(ORIG!W1788=0,"",ORIG!W1788)</f>
        <v/>
      </c>
      <c r="X1788" s="9">
        <f>IF(ORIG!X1788=0,"",ORIG!X1788)</f>
        <v/>
      </c>
      <c r="Y1788" s="9">
        <f>IF(ORIG!Y1788=0,"",ORIG!Y1788)</f>
        <v/>
      </c>
      <c r="Z1788" s="3">
        <f>SUMPRODUCT($B1788:$Y1788,$B$2649:$Y$2649)</f>
        <v/>
      </c>
      <c r="AA1788" s="3">
        <f>SUMPRODUCT($B1788:$Y1788,$B$2655:$Y$2655)</f>
        <v/>
      </c>
      <c r="AC1788" s="1">
        <f>A1788</f>
        <v/>
      </c>
      <c r="AD1788">
        <f>IF(ISNUMBER(V1788),V1788*($AB$1/V$2635),"")</f>
        <v/>
      </c>
      <c r="AE1788">
        <f>IF(ISNUMBER(Z1788),Z1788*($AB$1/Z$2635),"")</f>
        <v/>
      </c>
      <c r="AF1788" s="25">
        <f>IF(ISNUMBER(AD1788+AE1788),AD1788+AE1788,"")</f>
        <v/>
      </c>
      <c r="AH1788" s="1">
        <f>A1788</f>
        <v/>
      </c>
      <c r="AI1788">
        <f>IF(ISNUMBER((1+V1788)*AI1787),(1+V1788)*AI1787,AI1787)</f>
        <v/>
      </c>
      <c r="AJ1788">
        <f>IF(ISNUMBER((1+Z1788)*AJ1787),(1+Z1788)*AJ1787,AJ1787)</f>
        <v/>
      </c>
    </row>
    <row r="1789">
      <c r="A1789" s="1" t="n">
        <v>44596</v>
      </c>
      <c r="B1789" s="3">
        <f>IF(ORIG!B1789=0,"",ORIG!B1789)</f>
        <v/>
      </c>
      <c r="C1789" s="3">
        <f>IF(ORIG!C1789=0,"",ORIG!C1789)</f>
        <v/>
      </c>
      <c r="D1789" s="3">
        <f>IF(ORIG!D1789=0,"",ORIG!D1789)</f>
        <v/>
      </c>
      <c r="E1789" s="3">
        <f>IF(ORIG!E1789=0,"",ORIG!E1789)</f>
        <v/>
      </c>
      <c r="F1789" s="3">
        <f>IF(ORIG!F1789=0,"",ORIG!F1789)</f>
        <v/>
      </c>
      <c r="G1789" s="3">
        <f>IF(ORIG!G1789=0,"",ORIG!G1789)</f>
        <v/>
      </c>
      <c r="H1789" s="3">
        <f>IF(ORIG!H1789=0,"",ORIG!H1789)</f>
        <v/>
      </c>
      <c r="I1789" s="3">
        <f>IF(ORIG!I1789=0,"",ORIG!I1789)</f>
        <v/>
      </c>
      <c r="J1789" s="3">
        <f>IF(ORIG!J1789=0,"",ORIG!J1789)</f>
        <v/>
      </c>
      <c r="K1789" s="3">
        <f>IF(ORIG!K1789=0,"",ORIG!K1789)</f>
        <v/>
      </c>
      <c r="L1789" s="3">
        <f>IF(ORIG!L1789=0,"",ORIG!L1789)</f>
        <v/>
      </c>
      <c r="M1789" s="3">
        <f>IF(ORIG!M1789=0,"",ORIG!M1789)</f>
        <v/>
      </c>
      <c r="N1789" s="3">
        <f>IF(ORIG!N1789=0,"",ORIG!N1789)</f>
        <v/>
      </c>
      <c r="O1789" s="3">
        <f>IF(ORIG!O1789=0,"",ORIG!O1789)</f>
        <v/>
      </c>
      <c r="P1789" s="3">
        <f>IF(ORIG!P1789=0,"",ORIG!P1789)</f>
        <v/>
      </c>
      <c r="Q1789" s="3">
        <f>IF(ORIG!Q1789=0,"",ORIG!Q1789)</f>
        <v/>
      </c>
      <c r="R1789" s="3">
        <f>IF(ORIG!R1789=0,"",ORIG!R1789)</f>
        <v/>
      </c>
      <c r="S1789" s="3">
        <f>IF(ORIG!S1789=0,"",ORIG!S1789)</f>
        <v/>
      </c>
      <c r="T1789" s="3">
        <f>IF(ORIG!T1789=0,"",ORIG!T1789)</f>
        <v/>
      </c>
      <c r="U1789" s="3">
        <f>IF(ORIG!U1789=0,"",ORIG!U1789)</f>
        <v/>
      </c>
      <c r="V1789" s="9">
        <f>IF(ORIG!V1789=0,"",ORIG!V1789)</f>
        <v/>
      </c>
      <c r="W1789" s="9">
        <f>IF(ORIG!W1789=0,"",ORIG!W1789)</f>
        <v/>
      </c>
      <c r="X1789" s="9">
        <f>IF(ORIG!X1789=0,"",ORIG!X1789)</f>
        <v/>
      </c>
      <c r="Y1789" s="9">
        <f>IF(ORIG!Y1789=0,"",ORIG!Y1789)</f>
        <v/>
      </c>
      <c r="Z1789" s="3">
        <f>SUMPRODUCT($B1789:$Y1789,$B$2649:$Y$2649)</f>
        <v/>
      </c>
      <c r="AA1789" s="3">
        <f>SUMPRODUCT($B1789:$Y1789,$B$2655:$Y$2655)</f>
        <v/>
      </c>
      <c r="AC1789" s="1">
        <f>A1789</f>
        <v/>
      </c>
      <c r="AD1789">
        <f>IF(ISNUMBER(V1789),V1789*($AB$1/V$2635),"")</f>
        <v/>
      </c>
      <c r="AE1789">
        <f>IF(ISNUMBER(Z1789),Z1789*($AB$1/Z$2635),"")</f>
        <v/>
      </c>
      <c r="AF1789" s="25">
        <f>IF(ISNUMBER(AD1789+AE1789),AD1789+AE1789,"")</f>
        <v/>
      </c>
      <c r="AH1789" s="1">
        <f>A1789</f>
        <v/>
      </c>
      <c r="AI1789">
        <f>IF(ISNUMBER((1+V1789)*AI1788),(1+V1789)*AI1788,AI1788)</f>
        <v/>
      </c>
      <c r="AJ1789">
        <f>IF(ISNUMBER((1+Z1789)*AJ1788),(1+Z1789)*AJ1788,AJ1788)</f>
        <v/>
      </c>
    </row>
    <row r="1790">
      <c r="A1790" s="1" t="n">
        <v>44599</v>
      </c>
      <c r="B1790" s="3">
        <f>IF(ORIG!B1790=0,"",ORIG!B1790)</f>
        <v/>
      </c>
      <c r="C1790" s="3">
        <f>IF(ORIG!C1790=0,"",ORIG!C1790)</f>
        <v/>
      </c>
      <c r="D1790" s="3">
        <f>IF(ORIG!D1790=0,"",ORIG!D1790)</f>
        <v/>
      </c>
      <c r="E1790" s="3">
        <f>IF(ORIG!E1790=0,"",ORIG!E1790)</f>
        <v/>
      </c>
      <c r="F1790" s="3">
        <f>IF(ORIG!F1790=0,"",ORIG!F1790)</f>
        <v/>
      </c>
      <c r="G1790" s="3">
        <f>IF(ORIG!G1790=0,"",ORIG!G1790)</f>
        <v/>
      </c>
      <c r="H1790" s="3">
        <f>IF(ORIG!H1790=0,"",ORIG!H1790)</f>
        <v/>
      </c>
      <c r="I1790" s="3">
        <f>IF(ORIG!I1790=0,"",ORIG!I1790)</f>
        <v/>
      </c>
      <c r="J1790" s="3">
        <f>IF(ORIG!J1790=0,"",ORIG!J1790)</f>
        <v/>
      </c>
      <c r="K1790" s="3">
        <f>IF(ORIG!K1790=0,"",ORIG!K1790)</f>
        <v/>
      </c>
      <c r="L1790" s="3">
        <f>IF(ORIG!L1790=0,"",ORIG!L1790)</f>
        <v/>
      </c>
      <c r="M1790" s="3">
        <f>IF(ORIG!M1790=0,"",ORIG!M1790)</f>
        <v/>
      </c>
      <c r="N1790" s="3">
        <f>IF(ORIG!N1790=0,"",ORIG!N1790)</f>
        <v/>
      </c>
      <c r="O1790" s="3">
        <f>IF(ORIG!O1790=0,"",ORIG!O1790)</f>
        <v/>
      </c>
      <c r="P1790" s="3">
        <f>IF(ORIG!P1790=0,"",ORIG!P1790)</f>
        <v/>
      </c>
      <c r="Q1790" s="3">
        <f>IF(ORIG!Q1790=0,"",ORIG!Q1790)</f>
        <v/>
      </c>
      <c r="R1790" s="3">
        <f>IF(ORIG!R1790=0,"",ORIG!R1790)</f>
        <v/>
      </c>
      <c r="S1790" s="3">
        <f>IF(ORIG!S1790=0,"",ORIG!S1790)</f>
        <v/>
      </c>
      <c r="T1790" s="3">
        <f>IF(ORIG!T1790=0,"",ORIG!T1790)</f>
        <v/>
      </c>
      <c r="U1790" s="3">
        <f>IF(ORIG!U1790=0,"",ORIG!U1790)</f>
        <v/>
      </c>
      <c r="V1790" s="9">
        <f>IF(ORIG!V1790=0,"",ORIG!V1790)</f>
        <v/>
      </c>
      <c r="W1790" s="9">
        <f>IF(ORIG!W1790=0,"",ORIG!W1790)</f>
        <v/>
      </c>
      <c r="X1790" s="9">
        <f>IF(ORIG!X1790=0,"",ORIG!X1790)</f>
        <v/>
      </c>
      <c r="Y1790" s="9">
        <f>IF(ORIG!Y1790=0,"",ORIG!Y1790)</f>
        <v/>
      </c>
      <c r="Z1790" s="3">
        <f>SUMPRODUCT($B1790:$Y1790,$B$2649:$Y$2649)</f>
        <v/>
      </c>
      <c r="AA1790" s="3">
        <f>SUMPRODUCT($B1790:$Y1790,$B$2655:$Y$2655)</f>
        <v/>
      </c>
      <c r="AC1790" s="1">
        <f>A1790</f>
        <v/>
      </c>
      <c r="AD1790">
        <f>IF(ISNUMBER(V1790),V1790*($AB$1/V$2635),"")</f>
        <v/>
      </c>
      <c r="AE1790">
        <f>IF(ISNUMBER(Z1790),Z1790*($AB$1/Z$2635),"")</f>
        <v/>
      </c>
      <c r="AF1790" s="25">
        <f>IF(ISNUMBER(AD1790+AE1790),AD1790+AE1790,"")</f>
        <v/>
      </c>
      <c r="AH1790" s="1">
        <f>A1790</f>
        <v/>
      </c>
      <c r="AI1790">
        <f>IF(ISNUMBER((1+V1790)*AI1789),(1+V1790)*AI1789,AI1789)</f>
        <v/>
      </c>
      <c r="AJ1790">
        <f>IF(ISNUMBER((1+Z1790)*AJ1789),(1+Z1790)*AJ1789,AJ1789)</f>
        <v/>
      </c>
    </row>
    <row r="1791">
      <c r="A1791" s="1" t="n">
        <v>44600</v>
      </c>
      <c r="B1791" s="3">
        <f>IF(ORIG!B1791=0,"",ORIG!B1791)</f>
        <v/>
      </c>
      <c r="C1791" s="3">
        <f>IF(ORIG!C1791=0,"",ORIG!C1791)</f>
        <v/>
      </c>
      <c r="D1791" s="3">
        <f>IF(ORIG!D1791=0,"",ORIG!D1791)</f>
        <v/>
      </c>
      <c r="E1791" s="3">
        <f>IF(ORIG!E1791=0,"",ORIG!E1791)</f>
        <v/>
      </c>
      <c r="F1791" s="3">
        <f>IF(ORIG!F1791=0,"",ORIG!F1791)</f>
        <v/>
      </c>
      <c r="G1791" s="3">
        <f>IF(ORIG!G1791=0,"",ORIG!G1791)</f>
        <v/>
      </c>
      <c r="H1791" s="3">
        <f>IF(ORIG!H1791=0,"",ORIG!H1791)</f>
        <v/>
      </c>
      <c r="I1791" s="3">
        <f>IF(ORIG!I1791=0,"",ORIG!I1791)</f>
        <v/>
      </c>
      <c r="J1791" s="3">
        <f>IF(ORIG!J1791=0,"",ORIG!J1791)</f>
        <v/>
      </c>
      <c r="K1791" s="3">
        <f>IF(ORIG!K1791=0,"",ORIG!K1791)</f>
        <v/>
      </c>
      <c r="L1791" s="3">
        <f>IF(ORIG!L1791=0,"",ORIG!L1791)</f>
        <v/>
      </c>
      <c r="M1791" s="3">
        <f>IF(ORIG!M1791=0,"",ORIG!M1791)</f>
        <v/>
      </c>
      <c r="N1791" s="3">
        <f>IF(ORIG!N1791=0,"",ORIG!N1791)</f>
        <v/>
      </c>
      <c r="O1791" s="3">
        <f>IF(ORIG!O1791=0,"",ORIG!O1791)</f>
        <v/>
      </c>
      <c r="P1791" s="3">
        <f>IF(ORIG!P1791=0,"",ORIG!P1791)</f>
        <v/>
      </c>
      <c r="Q1791" s="3">
        <f>IF(ORIG!Q1791=0,"",ORIG!Q1791)</f>
        <v/>
      </c>
      <c r="R1791" s="3">
        <f>IF(ORIG!R1791=0,"",ORIG!R1791)</f>
        <v/>
      </c>
      <c r="S1791" s="3">
        <f>IF(ORIG!S1791=0,"",ORIG!S1791)</f>
        <v/>
      </c>
      <c r="T1791" s="3">
        <f>IF(ORIG!T1791=0,"",ORIG!T1791)</f>
        <v/>
      </c>
      <c r="U1791" s="3">
        <f>IF(ORIG!U1791=0,"",ORIG!U1791)</f>
        <v/>
      </c>
      <c r="V1791" s="9">
        <f>IF(ORIG!V1791=0,"",ORIG!V1791)</f>
        <v/>
      </c>
      <c r="W1791" s="9">
        <f>IF(ORIG!W1791=0,"",ORIG!W1791)</f>
        <v/>
      </c>
      <c r="X1791" s="9">
        <f>IF(ORIG!X1791=0,"",ORIG!X1791)</f>
        <v/>
      </c>
      <c r="Y1791" s="9">
        <f>IF(ORIG!Y1791=0,"",ORIG!Y1791)</f>
        <v/>
      </c>
      <c r="Z1791" s="3">
        <f>SUMPRODUCT($B1791:$Y1791,$B$2649:$Y$2649)</f>
        <v/>
      </c>
      <c r="AA1791" s="3">
        <f>SUMPRODUCT($B1791:$Y1791,$B$2655:$Y$2655)</f>
        <v/>
      </c>
      <c r="AC1791" s="1">
        <f>A1791</f>
        <v/>
      </c>
      <c r="AD1791">
        <f>IF(ISNUMBER(V1791),V1791*($AB$1/V$2635),"")</f>
        <v/>
      </c>
      <c r="AE1791">
        <f>IF(ISNUMBER(Z1791),Z1791*($AB$1/Z$2635),"")</f>
        <v/>
      </c>
      <c r="AF1791" s="25">
        <f>IF(ISNUMBER(AD1791+AE1791),AD1791+AE1791,"")</f>
        <v/>
      </c>
      <c r="AH1791" s="1">
        <f>A1791</f>
        <v/>
      </c>
      <c r="AI1791">
        <f>IF(ISNUMBER((1+V1791)*AI1790),(1+V1791)*AI1790,AI1790)</f>
        <v/>
      </c>
      <c r="AJ1791">
        <f>IF(ISNUMBER((1+Z1791)*AJ1790),(1+Z1791)*AJ1790,AJ1790)</f>
        <v/>
      </c>
    </row>
    <row r="1792">
      <c r="A1792" s="1" t="n">
        <v>44601</v>
      </c>
      <c r="B1792" s="3">
        <f>IF(ORIG!B1792=0,"",ORIG!B1792)</f>
        <v/>
      </c>
      <c r="C1792" s="3">
        <f>IF(ORIG!C1792=0,"",ORIG!C1792)</f>
        <v/>
      </c>
      <c r="D1792" s="3">
        <f>IF(ORIG!D1792=0,"",ORIG!D1792)</f>
        <v/>
      </c>
      <c r="E1792" s="3">
        <f>IF(ORIG!E1792=0,"",ORIG!E1792)</f>
        <v/>
      </c>
      <c r="F1792" s="3">
        <f>IF(ORIG!F1792=0,"",ORIG!F1792)</f>
        <v/>
      </c>
      <c r="G1792" s="3">
        <f>IF(ORIG!G1792=0,"",ORIG!G1792)</f>
        <v/>
      </c>
      <c r="H1792" s="3">
        <f>IF(ORIG!H1792=0,"",ORIG!H1792)</f>
        <v/>
      </c>
      <c r="I1792" s="3">
        <f>IF(ORIG!I1792=0,"",ORIG!I1792)</f>
        <v/>
      </c>
      <c r="J1792" s="3">
        <f>IF(ORIG!J1792=0,"",ORIG!J1792)</f>
        <v/>
      </c>
      <c r="K1792" s="3">
        <f>IF(ORIG!K1792=0,"",ORIG!K1792)</f>
        <v/>
      </c>
      <c r="L1792" s="3">
        <f>IF(ORIG!L1792=0,"",ORIG!L1792)</f>
        <v/>
      </c>
      <c r="M1792" s="3">
        <f>IF(ORIG!M1792=0,"",ORIG!M1792)</f>
        <v/>
      </c>
      <c r="N1792" s="3">
        <f>IF(ORIG!N1792=0,"",ORIG!N1792)</f>
        <v/>
      </c>
      <c r="O1792" s="3">
        <f>IF(ORIG!O1792=0,"",ORIG!O1792)</f>
        <v/>
      </c>
      <c r="P1792" s="3">
        <f>IF(ORIG!P1792=0,"",ORIG!P1792)</f>
        <v/>
      </c>
      <c r="Q1792" s="3">
        <f>IF(ORIG!Q1792=0,"",ORIG!Q1792)</f>
        <v/>
      </c>
      <c r="R1792" s="3">
        <f>IF(ORIG!R1792=0,"",ORIG!R1792)</f>
        <v/>
      </c>
      <c r="S1792" s="3">
        <f>IF(ORIG!S1792=0,"",ORIG!S1792)</f>
        <v/>
      </c>
      <c r="T1792" s="3">
        <f>IF(ORIG!T1792=0,"",ORIG!T1792)</f>
        <v/>
      </c>
      <c r="U1792" s="3">
        <f>IF(ORIG!U1792=0,"",ORIG!U1792)</f>
        <v/>
      </c>
      <c r="V1792" s="9">
        <f>IF(ORIG!V1792=0,"",ORIG!V1792)</f>
        <v/>
      </c>
      <c r="W1792" s="9">
        <f>IF(ORIG!W1792=0,"",ORIG!W1792)</f>
        <v/>
      </c>
      <c r="X1792" s="9">
        <f>IF(ORIG!X1792=0,"",ORIG!X1792)</f>
        <v/>
      </c>
      <c r="Y1792" s="9">
        <f>IF(ORIG!Y1792=0,"",ORIG!Y1792)</f>
        <v/>
      </c>
      <c r="Z1792" s="3">
        <f>SUMPRODUCT($B1792:$Y1792,$B$2649:$Y$2649)</f>
        <v/>
      </c>
      <c r="AA1792" s="3">
        <f>SUMPRODUCT($B1792:$Y1792,$B$2655:$Y$2655)</f>
        <v/>
      </c>
      <c r="AC1792" s="1">
        <f>A1792</f>
        <v/>
      </c>
      <c r="AD1792">
        <f>IF(ISNUMBER(V1792),V1792*($AB$1/V$2635),"")</f>
        <v/>
      </c>
      <c r="AE1792">
        <f>IF(ISNUMBER(Z1792),Z1792*($AB$1/Z$2635),"")</f>
        <v/>
      </c>
      <c r="AF1792" s="25">
        <f>IF(ISNUMBER(AD1792+AE1792),AD1792+AE1792,"")</f>
        <v/>
      </c>
      <c r="AH1792" s="1">
        <f>A1792</f>
        <v/>
      </c>
      <c r="AI1792">
        <f>IF(ISNUMBER((1+V1792)*AI1791),(1+V1792)*AI1791,AI1791)</f>
        <v/>
      </c>
      <c r="AJ1792">
        <f>IF(ISNUMBER((1+Z1792)*AJ1791),(1+Z1792)*AJ1791,AJ1791)</f>
        <v/>
      </c>
    </row>
    <row r="1793">
      <c r="A1793" s="1" t="n">
        <v>44602</v>
      </c>
      <c r="B1793" s="3">
        <f>IF(ORIG!B1793=0,"",ORIG!B1793)</f>
        <v/>
      </c>
      <c r="C1793" s="3">
        <f>IF(ORIG!C1793=0,"",ORIG!C1793)</f>
        <v/>
      </c>
      <c r="D1793" s="3">
        <f>IF(ORIG!D1793=0,"",ORIG!D1793)</f>
        <v/>
      </c>
      <c r="E1793" s="3">
        <f>IF(ORIG!E1793=0,"",ORIG!E1793)</f>
        <v/>
      </c>
      <c r="F1793" s="3">
        <f>IF(ORIG!F1793=0,"",ORIG!F1793)</f>
        <v/>
      </c>
      <c r="G1793" s="3">
        <f>IF(ORIG!G1793=0,"",ORIG!G1793)</f>
        <v/>
      </c>
      <c r="H1793" s="3">
        <f>IF(ORIG!H1793=0,"",ORIG!H1793)</f>
        <v/>
      </c>
      <c r="I1793" s="3">
        <f>IF(ORIG!I1793=0,"",ORIG!I1793)</f>
        <v/>
      </c>
      <c r="J1793" s="3">
        <f>IF(ORIG!J1793=0,"",ORIG!J1793)</f>
        <v/>
      </c>
      <c r="K1793" s="3">
        <f>IF(ORIG!K1793=0,"",ORIG!K1793)</f>
        <v/>
      </c>
      <c r="L1793" s="3">
        <f>IF(ORIG!L1793=0,"",ORIG!L1793)</f>
        <v/>
      </c>
      <c r="M1793" s="3">
        <f>IF(ORIG!M1793=0,"",ORIG!M1793)</f>
        <v/>
      </c>
      <c r="N1793" s="3">
        <f>IF(ORIG!N1793=0,"",ORIG!N1793)</f>
        <v/>
      </c>
      <c r="O1793" s="3">
        <f>IF(ORIG!O1793=0,"",ORIG!O1793)</f>
        <v/>
      </c>
      <c r="P1793" s="3">
        <f>IF(ORIG!P1793=0,"",ORIG!P1793)</f>
        <v/>
      </c>
      <c r="Q1793" s="3">
        <f>IF(ORIG!Q1793=0,"",ORIG!Q1793)</f>
        <v/>
      </c>
      <c r="R1793" s="3">
        <f>IF(ORIG!R1793=0,"",ORIG!R1793)</f>
        <v/>
      </c>
      <c r="S1793" s="3">
        <f>IF(ORIG!S1793=0,"",ORIG!S1793)</f>
        <v/>
      </c>
      <c r="T1793" s="3">
        <f>IF(ORIG!T1793=0,"",ORIG!T1793)</f>
        <v/>
      </c>
      <c r="U1793" s="3">
        <f>IF(ORIG!U1793=0,"",ORIG!U1793)</f>
        <v/>
      </c>
      <c r="V1793" s="9">
        <f>IF(ORIG!V1793=0,"",ORIG!V1793)</f>
        <v/>
      </c>
      <c r="W1793" s="9">
        <f>IF(ORIG!W1793=0,"",ORIG!W1793)</f>
        <v/>
      </c>
      <c r="X1793" s="9">
        <f>IF(ORIG!X1793=0,"",ORIG!X1793)</f>
        <v/>
      </c>
      <c r="Y1793" s="9">
        <f>IF(ORIG!Y1793=0,"",ORIG!Y1793)</f>
        <v/>
      </c>
      <c r="Z1793" s="3">
        <f>SUMPRODUCT($B1793:$Y1793,$B$2649:$Y$2649)</f>
        <v/>
      </c>
      <c r="AA1793" s="3">
        <f>SUMPRODUCT($B1793:$Y1793,$B$2655:$Y$2655)</f>
        <v/>
      </c>
      <c r="AC1793" s="1">
        <f>A1793</f>
        <v/>
      </c>
      <c r="AD1793">
        <f>IF(ISNUMBER(V1793),V1793*($AB$1/V$2635),"")</f>
        <v/>
      </c>
      <c r="AE1793">
        <f>IF(ISNUMBER(Z1793),Z1793*($AB$1/Z$2635),"")</f>
        <v/>
      </c>
      <c r="AF1793" s="25">
        <f>IF(ISNUMBER(AD1793+AE1793),AD1793+AE1793,"")</f>
        <v/>
      </c>
      <c r="AH1793" s="1">
        <f>A1793</f>
        <v/>
      </c>
      <c r="AI1793">
        <f>IF(ISNUMBER((1+V1793)*AI1792),(1+V1793)*AI1792,AI1792)</f>
        <v/>
      </c>
      <c r="AJ1793">
        <f>IF(ISNUMBER((1+Z1793)*AJ1792),(1+Z1793)*AJ1792,AJ1792)</f>
        <v/>
      </c>
    </row>
    <row r="1794">
      <c r="A1794" s="1" t="n">
        <v>44603</v>
      </c>
      <c r="B1794" s="3">
        <f>IF(ORIG!B1794=0,"",ORIG!B1794)</f>
        <v/>
      </c>
      <c r="C1794" s="3">
        <f>IF(ORIG!C1794=0,"",ORIG!C1794)</f>
        <v/>
      </c>
      <c r="D1794" s="3">
        <f>IF(ORIG!D1794=0,"",ORIG!D1794)</f>
        <v/>
      </c>
      <c r="E1794" s="3">
        <f>IF(ORIG!E1794=0,"",ORIG!E1794)</f>
        <v/>
      </c>
      <c r="F1794" s="3">
        <f>IF(ORIG!F1794=0,"",ORIG!F1794)</f>
        <v/>
      </c>
      <c r="G1794" s="3">
        <f>IF(ORIG!G1794=0,"",ORIG!G1794)</f>
        <v/>
      </c>
      <c r="H1794" s="3">
        <f>IF(ORIG!H1794=0,"",ORIG!H1794)</f>
        <v/>
      </c>
      <c r="I1794" s="3">
        <f>IF(ORIG!I1794=0,"",ORIG!I1794)</f>
        <v/>
      </c>
      <c r="J1794" s="3">
        <f>IF(ORIG!J1794=0,"",ORIG!J1794)</f>
        <v/>
      </c>
      <c r="K1794" s="3">
        <f>IF(ORIG!K1794=0,"",ORIG!K1794)</f>
        <v/>
      </c>
      <c r="L1794" s="3">
        <f>IF(ORIG!L1794=0,"",ORIG!L1794)</f>
        <v/>
      </c>
      <c r="M1794" s="3">
        <f>IF(ORIG!M1794=0,"",ORIG!M1794)</f>
        <v/>
      </c>
      <c r="N1794" s="3">
        <f>IF(ORIG!N1794=0,"",ORIG!N1794)</f>
        <v/>
      </c>
      <c r="O1794" s="3">
        <f>IF(ORIG!O1794=0,"",ORIG!O1794)</f>
        <v/>
      </c>
      <c r="P1794" s="3">
        <f>IF(ORIG!P1794=0,"",ORIG!P1794)</f>
        <v/>
      </c>
      <c r="Q1794" s="3">
        <f>IF(ORIG!Q1794=0,"",ORIG!Q1794)</f>
        <v/>
      </c>
      <c r="R1794" s="3">
        <f>IF(ORIG!R1794=0,"",ORIG!R1794)</f>
        <v/>
      </c>
      <c r="S1794" s="3">
        <f>IF(ORIG!S1794=0,"",ORIG!S1794)</f>
        <v/>
      </c>
      <c r="T1794" s="3">
        <f>IF(ORIG!T1794=0,"",ORIG!T1794)</f>
        <v/>
      </c>
      <c r="U1794" s="3">
        <f>IF(ORIG!U1794=0,"",ORIG!U1794)</f>
        <v/>
      </c>
      <c r="V1794" s="9">
        <f>IF(ORIG!V1794=0,"",ORIG!V1794)</f>
        <v/>
      </c>
      <c r="W1794" s="9">
        <f>IF(ORIG!W1794=0,"",ORIG!W1794)</f>
        <v/>
      </c>
      <c r="X1794" s="9">
        <f>IF(ORIG!X1794=0,"",ORIG!X1794)</f>
        <v/>
      </c>
      <c r="Y1794" s="9">
        <f>IF(ORIG!Y1794=0,"",ORIG!Y1794)</f>
        <v/>
      </c>
      <c r="Z1794" s="3">
        <f>SUMPRODUCT($B1794:$Y1794,$B$2649:$Y$2649)</f>
        <v/>
      </c>
      <c r="AA1794" s="3">
        <f>SUMPRODUCT($B1794:$Y1794,$B$2655:$Y$2655)</f>
        <v/>
      </c>
      <c r="AC1794" s="1">
        <f>A1794</f>
        <v/>
      </c>
      <c r="AD1794">
        <f>IF(ISNUMBER(V1794),V1794*($AB$1/V$2635),"")</f>
        <v/>
      </c>
      <c r="AE1794">
        <f>IF(ISNUMBER(Z1794),Z1794*($AB$1/Z$2635),"")</f>
        <v/>
      </c>
      <c r="AF1794" s="25">
        <f>IF(ISNUMBER(AD1794+AE1794),AD1794+AE1794,"")</f>
        <v/>
      </c>
      <c r="AH1794" s="1">
        <f>A1794</f>
        <v/>
      </c>
      <c r="AI1794">
        <f>IF(ISNUMBER((1+V1794)*AI1793),(1+V1794)*AI1793,AI1793)</f>
        <v/>
      </c>
      <c r="AJ1794">
        <f>IF(ISNUMBER((1+Z1794)*AJ1793),(1+Z1794)*AJ1793,AJ1793)</f>
        <v/>
      </c>
    </row>
    <row r="1795">
      <c r="A1795" s="1" t="n">
        <v>44606</v>
      </c>
      <c r="B1795" s="3">
        <f>IF(ORIG!B1795=0,"",ORIG!B1795)</f>
        <v/>
      </c>
      <c r="C1795" s="3">
        <f>IF(ORIG!C1795=0,"",ORIG!C1795)</f>
        <v/>
      </c>
      <c r="D1795" s="3">
        <f>IF(ORIG!D1795=0,"",ORIG!D1795)</f>
        <v/>
      </c>
      <c r="E1795" s="3">
        <f>IF(ORIG!E1795=0,"",ORIG!E1795)</f>
        <v/>
      </c>
      <c r="F1795" s="3">
        <f>IF(ORIG!F1795=0,"",ORIG!F1795)</f>
        <v/>
      </c>
      <c r="G1795" s="3">
        <f>IF(ORIG!G1795=0,"",ORIG!G1795)</f>
        <v/>
      </c>
      <c r="H1795" s="3">
        <f>IF(ORIG!H1795=0,"",ORIG!H1795)</f>
        <v/>
      </c>
      <c r="I1795" s="3">
        <f>IF(ORIG!I1795=0,"",ORIG!I1795)</f>
        <v/>
      </c>
      <c r="J1795" s="3">
        <f>IF(ORIG!J1795=0,"",ORIG!J1795)</f>
        <v/>
      </c>
      <c r="K1795" s="3">
        <f>IF(ORIG!K1795=0,"",ORIG!K1795)</f>
        <v/>
      </c>
      <c r="L1795" s="3">
        <f>IF(ORIG!L1795=0,"",ORIG!L1795)</f>
        <v/>
      </c>
      <c r="M1795" s="3">
        <f>IF(ORIG!M1795=0,"",ORIG!M1795)</f>
        <v/>
      </c>
      <c r="N1795" s="3">
        <f>IF(ORIG!N1795=0,"",ORIG!N1795)</f>
        <v/>
      </c>
      <c r="O1795" s="3">
        <f>IF(ORIG!O1795=0,"",ORIG!O1795)</f>
        <v/>
      </c>
      <c r="P1795" s="3">
        <f>IF(ORIG!P1795=0,"",ORIG!P1795)</f>
        <v/>
      </c>
      <c r="Q1795" s="3">
        <f>IF(ORIG!Q1795=0,"",ORIG!Q1795)</f>
        <v/>
      </c>
      <c r="R1795" s="3">
        <f>IF(ORIG!R1795=0,"",ORIG!R1795)</f>
        <v/>
      </c>
      <c r="S1795" s="3">
        <f>IF(ORIG!S1795=0,"",ORIG!S1795)</f>
        <v/>
      </c>
      <c r="T1795" s="3">
        <f>IF(ORIG!T1795=0,"",ORIG!T1795)</f>
        <v/>
      </c>
      <c r="U1795" s="3">
        <f>IF(ORIG!U1795=0,"",ORIG!U1795)</f>
        <v/>
      </c>
      <c r="V1795" s="9">
        <f>IF(ORIG!V1795=0,"",ORIG!V1795)</f>
        <v/>
      </c>
      <c r="W1795" s="9">
        <f>IF(ORIG!W1795=0,"",ORIG!W1795)</f>
        <v/>
      </c>
      <c r="X1795" s="9">
        <f>IF(ORIG!X1795=0,"",ORIG!X1795)</f>
        <v/>
      </c>
      <c r="Y1795" s="9">
        <f>IF(ORIG!Y1795=0,"",ORIG!Y1795)</f>
        <v/>
      </c>
      <c r="Z1795" s="3">
        <f>SUMPRODUCT($B1795:$Y1795,$B$2649:$Y$2649)</f>
        <v/>
      </c>
      <c r="AA1795" s="3">
        <f>SUMPRODUCT($B1795:$Y1795,$B$2655:$Y$2655)</f>
        <v/>
      </c>
      <c r="AC1795" s="1">
        <f>A1795</f>
        <v/>
      </c>
      <c r="AD1795">
        <f>IF(ISNUMBER(V1795),V1795*($AB$1/V$2635),"")</f>
        <v/>
      </c>
      <c r="AE1795">
        <f>IF(ISNUMBER(Z1795),Z1795*($AB$1/Z$2635),"")</f>
        <v/>
      </c>
      <c r="AF1795" s="25">
        <f>IF(ISNUMBER(AD1795+AE1795),AD1795+AE1795,"")</f>
        <v/>
      </c>
      <c r="AH1795" s="1">
        <f>A1795</f>
        <v/>
      </c>
      <c r="AI1795">
        <f>IF(ISNUMBER((1+V1795)*AI1794),(1+V1795)*AI1794,AI1794)</f>
        <v/>
      </c>
      <c r="AJ1795">
        <f>IF(ISNUMBER((1+Z1795)*AJ1794),(1+Z1795)*AJ1794,AJ1794)</f>
        <v/>
      </c>
    </row>
    <row r="1796">
      <c r="A1796" s="1" t="n">
        <v>44607</v>
      </c>
      <c r="B1796" s="3">
        <f>IF(ORIG!B1796=0,"",ORIG!B1796)</f>
        <v/>
      </c>
      <c r="C1796" s="3">
        <f>IF(ORIG!C1796=0,"",ORIG!C1796)</f>
        <v/>
      </c>
      <c r="D1796" s="3">
        <f>IF(ORIG!D1796=0,"",ORIG!D1796)</f>
        <v/>
      </c>
      <c r="E1796" s="3">
        <f>IF(ORIG!E1796=0,"",ORIG!E1796)</f>
        <v/>
      </c>
      <c r="F1796" s="3">
        <f>IF(ORIG!F1796=0,"",ORIG!F1796)</f>
        <v/>
      </c>
      <c r="G1796" s="3">
        <f>IF(ORIG!G1796=0,"",ORIG!G1796)</f>
        <v/>
      </c>
      <c r="H1796" s="3">
        <f>IF(ORIG!H1796=0,"",ORIG!H1796)</f>
        <v/>
      </c>
      <c r="I1796" s="3">
        <f>IF(ORIG!I1796=0,"",ORIG!I1796)</f>
        <v/>
      </c>
      <c r="J1796" s="3">
        <f>IF(ORIG!J1796=0,"",ORIG!J1796)</f>
        <v/>
      </c>
      <c r="K1796" s="3">
        <f>IF(ORIG!K1796=0,"",ORIG!K1796)</f>
        <v/>
      </c>
      <c r="L1796" s="3">
        <f>IF(ORIG!L1796=0,"",ORIG!L1796)</f>
        <v/>
      </c>
      <c r="M1796" s="3">
        <f>IF(ORIG!M1796=0,"",ORIG!M1796)</f>
        <v/>
      </c>
      <c r="N1796" s="3">
        <f>IF(ORIG!N1796=0,"",ORIG!N1796)</f>
        <v/>
      </c>
      <c r="O1796" s="3">
        <f>IF(ORIG!O1796=0,"",ORIG!O1796)</f>
        <v/>
      </c>
      <c r="P1796" s="3">
        <f>IF(ORIG!P1796=0,"",ORIG!P1796)</f>
        <v/>
      </c>
      <c r="Q1796" s="3">
        <f>IF(ORIG!Q1796=0,"",ORIG!Q1796)</f>
        <v/>
      </c>
      <c r="R1796" s="3">
        <f>IF(ORIG!R1796=0,"",ORIG!R1796)</f>
        <v/>
      </c>
      <c r="S1796" s="3">
        <f>IF(ORIG!S1796=0,"",ORIG!S1796)</f>
        <v/>
      </c>
      <c r="T1796" s="3">
        <f>IF(ORIG!T1796=0,"",ORIG!T1796)</f>
        <v/>
      </c>
      <c r="U1796" s="3">
        <f>IF(ORIG!U1796=0,"",ORIG!U1796)</f>
        <v/>
      </c>
      <c r="V1796" s="9">
        <f>IF(ORIG!V1796=0,"",ORIG!V1796)</f>
        <v/>
      </c>
      <c r="W1796" s="9">
        <f>IF(ORIG!W1796=0,"",ORIG!W1796)</f>
        <v/>
      </c>
      <c r="X1796" s="9">
        <f>IF(ORIG!X1796=0,"",ORIG!X1796)</f>
        <v/>
      </c>
      <c r="Y1796" s="9">
        <f>IF(ORIG!Y1796=0,"",ORIG!Y1796)</f>
        <v/>
      </c>
      <c r="Z1796" s="3">
        <f>SUMPRODUCT($B1796:$Y1796,$B$2649:$Y$2649)</f>
        <v/>
      </c>
      <c r="AA1796" s="3">
        <f>SUMPRODUCT($B1796:$Y1796,$B$2655:$Y$2655)</f>
        <v/>
      </c>
      <c r="AC1796" s="1">
        <f>A1796</f>
        <v/>
      </c>
      <c r="AD1796">
        <f>IF(ISNUMBER(V1796),V1796*($AB$1/V$2635),"")</f>
        <v/>
      </c>
      <c r="AE1796">
        <f>IF(ISNUMBER(Z1796),Z1796*($AB$1/Z$2635),"")</f>
        <v/>
      </c>
      <c r="AF1796" s="25">
        <f>IF(ISNUMBER(AD1796+AE1796),AD1796+AE1796,"")</f>
        <v/>
      </c>
      <c r="AH1796" s="1">
        <f>A1796</f>
        <v/>
      </c>
      <c r="AI1796">
        <f>IF(ISNUMBER((1+V1796)*AI1795),(1+V1796)*AI1795,AI1795)</f>
        <v/>
      </c>
      <c r="AJ1796">
        <f>IF(ISNUMBER((1+Z1796)*AJ1795),(1+Z1796)*AJ1795,AJ1795)</f>
        <v/>
      </c>
    </row>
    <row r="1797">
      <c r="A1797" s="1" t="n">
        <v>44608</v>
      </c>
      <c r="B1797" s="3">
        <f>IF(ORIG!B1797=0,"",ORIG!B1797)</f>
        <v/>
      </c>
      <c r="C1797" s="3">
        <f>IF(ORIG!C1797=0,"",ORIG!C1797)</f>
        <v/>
      </c>
      <c r="D1797" s="3">
        <f>IF(ORIG!D1797=0,"",ORIG!D1797)</f>
        <v/>
      </c>
      <c r="E1797" s="3">
        <f>IF(ORIG!E1797=0,"",ORIG!E1797)</f>
        <v/>
      </c>
      <c r="F1797" s="3">
        <f>IF(ORIG!F1797=0,"",ORIG!F1797)</f>
        <v/>
      </c>
      <c r="G1797" s="3">
        <f>IF(ORIG!G1797=0,"",ORIG!G1797)</f>
        <v/>
      </c>
      <c r="H1797" s="3">
        <f>IF(ORIG!H1797=0,"",ORIG!H1797)</f>
        <v/>
      </c>
      <c r="I1797" s="3">
        <f>IF(ORIG!I1797=0,"",ORIG!I1797)</f>
        <v/>
      </c>
      <c r="J1797" s="3">
        <f>IF(ORIG!J1797=0,"",ORIG!J1797)</f>
        <v/>
      </c>
      <c r="K1797" s="3">
        <f>IF(ORIG!K1797=0,"",ORIG!K1797)</f>
        <v/>
      </c>
      <c r="L1797" s="3">
        <f>IF(ORIG!L1797=0,"",ORIG!L1797)</f>
        <v/>
      </c>
      <c r="M1797" s="3">
        <f>IF(ORIG!M1797=0,"",ORIG!M1797)</f>
        <v/>
      </c>
      <c r="N1797" s="3">
        <f>IF(ORIG!N1797=0,"",ORIG!N1797)</f>
        <v/>
      </c>
      <c r="O1797" s="3">
        <f>IF(ORIG!O1797=0,"",ORIG!O1797)</f>
        <v/>
      </c>
      <c r="P1797" s="3">
        <f>IF(ORIG!P1797=0,"",ORIG!P1797)</f>
        <v/>
      </c>
      <c r="Q1797" s="3">
        <f>IF(ORIG!Q1797=0,"",ORIG!Q1797)</f>
        <v/>
      </c>
      <c r="R1797" s="3">
        <f>IF(ORIG!R1797=0,"",ORIG!R1797)</f>
        <v/>
      </c>
      <c r="S1797" s="3">
        <f>IF(ORIG!S1797=0,"",ORIG!S1797)</f>
        <v/>
      </c>
      <c r="T1797" s="3">
        <f>IF(ORIG!T1797=0,"",ORIG!T1797)</f>
        <v/>
      </c>
      <c r="U1797" s="3">
        <f>IF(ORIG!U1797=0,"",ORIG!U1797)</f>
        <v/>
      </c>
      <c r="V1797" s="9">
        <f>IF(ORIG!V1797=0,"",ORIG!V1797)</f>
        <v/>
      </c>
      <c r="W1797" s="9">
        <f>IF(ORIG!W1797=0,"",ORIG!W1797)</f>
        <v/>
      </c>
      <c r="X1797" s="9">
        <f>IF(ORIG!X1797=0,"",ORIG!X1797)</f>
        <v/>
      </c>
      <c r="Y1797" s="9">
        <f>IF(ORIG!Y1797=0,"",ORIG!Y1797)</f>
        <v/>
      </c>
      <c r="Z1797" s="3">
        <f>SUMPRODUCT($B1797:$Y1797,$B$2649:$Y$2649)</f>
        <v/>
      </c>
      <c r="AA1797" s="3">
        <f>SUMPRODUCT($B1797:$Y1797,$B$2655:$Y$2655)</f>
        <v/>
      </c>
      <c r="AC1797" s="1">
        <f>A1797</f>
        <v/>
      </c>
      <c r="AD1797">
        <f>IF(ISNUMBER(V1797),V1797*($AB$1/V$2635),"")</f>
        <v/>
      </c>
      <c r="AE1797">
        <f>IF(ISNUMBER(Z1797),Z1797*($AB$1/Z$2635),"")</f>
        <v/>
      </c>
      <c r="AF1797" s="25">
        <f>IF(ISNUMBER(AD1797+AE1797),AD1797+AE1797,"")</f>
        <v/>
      </c>
      <c r="AH1797" s="1">
        <f>A1797</f>
        <v/>
      </c>
      <c r="AI1797">
        <f>IF(ISNUMBER((1+V1797)*AI1796),(1+V1797)*AI1796,AI1796)</f>
        <v/>
      </c>
      <c r="AJ1797">
        <f>IF(ISNUMBER((1+Z1797)*AJ1796),(1+Z1797)*AJ1796,AJ1796)</f>
        <v/>
      </c>
    </row>
    <row r="1798">
      <c r="A1798" s="1" t="n">
        <v>44609</v>
      </c>
      <c r="B1798" s="3">
        <f>IF(ORIG!B1798=0,"",ORIG!B1798)</f>
        <v/>
      </c>
      <c r="C1798" s="3">
        <f>IF(ORIG!C1798=0,"",ORIG!C1798)</f>
        <v/>
      </c>
      <c r="D1798" s="3">
        <f>IF(ORIG!D1798=0,"",ORIG!D1798)</f>
        <v/>
      </c>
      <c r="E1798" s="3">
        <f>IF(ORIG!E1798=0,"",ORIG!E1798)</f>
        <v/>
      </c>
      <c r="F1798" s="3">
        <f>IF(ORIG!F1798=0,"",ORIG!F1798)</f>
        <v/>
      </c>
      <c r="G1798" s="3">
        <f>IF(ORIG!G1798=0,"",ORIG!G1798)</f>
        <v/>
      </c>
      <c r="H1798" s="3">
        <f>IF(ORIG!H1798=0,"",ORIG!H1798)</f>
        <v/>
      </c>
      <c r="I1798" s="3">
        <f>IF(ORIG!I1798=0,"",ORIG!I1798)</f>
        <v/>
      </c>
      <c r="J1798" s="3">
        <f>IF(ORIG!J1798=0,"",ORIG!J1798)</f>
        <v/>
      </c>
      <c r="K1798" s="3">
        <f>IF(ORIG!K1798=0,"",ORIG!K1798)</f>
        <v/>
      </c>
      <c r="L1798" s="3">
        <f>IF(ORIG!L1798=0,"",ORIG!L1798)</f>
        <v/>
      </c>
      <c r="M1798" s="3">
        <f>IF(ORIG!M1798=0,"",ORIG!M1798)</f>
        <v/>
      </c>
      <c r="N1798" s="3">
        <f>IF(ORIG!N1798=0,"",ORIG!N1798)</f>
        <v/>
      </c>
      <c r="O1798" s="3">
        <f>IF(ORIG!O1798=0,"",ORIG!O1798)</f>
        <v/>
      </c>
      <c r="P1798" s="3">
        <f>IF(ORIG!P1798=0,"",ORIG!P1798)</f>
        <v/>
      </c>
      <c r="Q1798" s="3">
        <f>IF(ORIG!Q1798=0,"",ORIG!Q1798)</f>
        <v/>
      </c>
      <c r="R1798" s="3">
        <f>IF(ORIG!R1798=0,"",ORIG!R1798)</f>
        <v/>
      </c>
      <c r="S1798" s="3">
        <f>IF(ORIG!S1798=0,"",ORIG!S1798)</f>
        <v/>
      </c>
      <c r="T1798" s="3">
        <f>IF(ORIG!T1798=0,"",ORIG!T1798)</f>
        <v/>
      </c>
      <c r="U1798" s="3">
        <f>IF(ORIG!U1798=0,"",ORIG!U1798)</f>
        <v/>
      </c>
      <c r="V1798" s="9">
        <f>IF(ORIG!V1798=0,"",ORIG!V1798)</f>
        <v/>
      </c>
      <c r="W1798" s="9">
        <f>IF(ORIG!W1798=0,"",ORIG!W1798)</f>
        <v/>
      </c>
      <c r="X1798" s="9">
        <f>IF(ORIG!X1798=0,"",ORIG!X1798)</f>
        <v/>
      </c>
      <c r="Y1798" s="9">
        <f>IF(ORIG!Y1798=0,"",ORIG!Y1798)</f>
        <v/>
      </c>
      <c r="Z1798" s="3">
        <f>SUMPRODUCT($B1798:$Y1798,$B$2649:$Y$2649)</f>
        <v/>
      </c>
      <c r="AA1798" s="3">
        <f>SUMPRODUCT($B1798:$Y1798,$B$2655:$Y$2655)</f>
        <v/>
      </c>
      <c r="AC1798" s="1">
        <f>A1798</f>
        <v/>
      </c>
      <c r="AD1798">
        <f>IF(ISNUMBER(V1798),V1798*($AB$1/V$2635),"")</f>
        <v/>
      </c>
      <c r="AE1798">
        <f>IF(ISNUMBER(Z1798),Z1798*($AB$1/Z$2635),"")</f>
        <v/>
      </c>
      <c r="AF1798" s="25">
        <f>IF(ISNUMBER(AD1798+AE1798),AD1798+AE1798,"")</f>
        <v/>
      </c>
      <c r="AH1798" s="1">
        <f>A1798</f>
        <v/>
      </c>
      <c r="AI1798">
        <f>IF(ISNUMBER((1+V1798)*AI1797),(1+V1798)*AI1797,AI1797)</f>
        <v/>
      </c>
      <c r="AJ1798">
        <f>IF(ISNUMBER((1+Z1798)*AJ1797),(1+Z1798)*AJ1797,AJ1797)</f>
        <v/>
      </c>
    </row>
    <row r="1799">
      <c r="A1799" s="1" t="n">
        <v>44610</v>
      </c>
      <c r="B1799" s="3">
        <f>IF(ORIG!B1799=0,"",ORIG!B1799)</f>
        <v/>
      </c>
      <c r="C1799" s="3">
        <f>IF(ORIG!C1799=0,"",ORIG!C1799)</f>
        <v/>
      </c>
      <c r="D1799" s="3">
        <f>IF(ORIG!D1799=0,"",ORIG!D1799)</f>
        <v/>
      </c>
      <c r="E1799" s="3">
        <f>IF(ORIG!E1799=0,"",ORIG!E1799)</f>
        <v/>
      </c>
      <c r="F1799" s="3">
        <f>IF(ORIG!F1799=0,"",ORIG!F1799)</f>
        <v/>
      </c>
      <c r="G1799" s="3">
        <f>IF(ORIG!G1799=0,"",ORIG!G1799)</f>
        <v/>
      </c>
      <c r="H1799" s="3">
        <f>IF(ORIG!H1799=0,"",ORIG!H1799)</f>
        <v/>
      </c>
      <c r="I1799" s="3">
        <f>IF(ORIG!I1799=0,"",ORIG!I1799)</f>
        <v/>
      </c>
      <c r="J1799" s="3">
        <f>IF(ORIG!J1799=0,"",ORIG!J1799)</f>
        <v/>
      </c>
      <c r="K1799" s="3">
        <f>IF(ORIG!K1799=0,"",ORIG!K1799)</f>
        <v/>
      </c>
      <c r="L1799" s="3">
        <f>IF(ORIG!L1799=0,"",ORIG!L1799)</f>
        <v/>
      </c>
      <c r="M1799" s="3">
        <f>IF(ORIG!M1799=0,"",ORIG!M1799)</f>
        <v/>
      </c>
      <c r="N1799" s="3">
        <f>IF(ORIG!N1799=0,"",ORIG!N1799)</f>
        <v/>
      </c>
      <c r="O1799" s="3">
        <f>IF(ORIG!O1799=0,"",ORIG!O1799)</f>
        <v/>
      </c>
      <c r="P1799" s="3">
        <f>IF(ORIG!P1799=0,"",ORIG!P1799)</f>
        <v/>
      </c>
      <c r="Q1799" s="3">
        <f>IF(ORIG!Q1799=0,"",ORIG!Q1799)</f>
        <v/>
      </c>
      <c r="R1799" s="3">
        <f>IF(ORIG!R1799=0,"",ORIG!R1799)</f>
        <v/>
      </c>
      <c r="S1799" s="3">
        <f>IF(ORIG!S1799=0,"",ORIG!S1799)</f>
        <v/>
      </c>
      <c r="T1799" s="3">
        <f>IF(ORIG!T1799=0,"",ORIG!T1799)</f>
        <v/>
      </c>
      <c r="U1799" s="3">
        <f>IF(ORIG!U1799=0,"",ORIG!U1799)</f>
        <v/>
      </c>
      <c r="V1799" s="9">
        <f>IF(ORIG!V1799=0,"",ORIG!V1799)</f>
        <v/>
      </c>
      <c r="W1799" s="9">
        <f>IF(ORIG!W1799=0,"",ORIG!W1799)</f>
        <v/>
      </c>
      <c r="X1799" s="9">
        <f>IF(ORIG!X1799=0,"",ORIG!X1799)</f>
        <v/>
      </c>
      <c r="Y1799" s="9">
        <f>IF(ORIG!Y1799=0,"",ORIG!Y1799)</f>
        <v/>
      </c>
      <c r="Z1799" s="3">
        <f>SUMPRODUCT($B1799:$Y1799,$B$2649:$Y$2649)</f>
        <v/>
      </c>
      <c r="AA1799" s="3">
        <f>SUMPRODUCT($B1799:$Y1799,$B$2655:$Y$2655)</f>
        <v/>
      </c>
      <c r="AC1799" s="1">
        <f>A1799</f>
        <v/>
      </c>
      <c r="AD1799">
        <f>IF(ISNUMBER(V1799),V1799*($AB$1/V$2635),"")</f>
        <v/>
      </c>
      <c r="AE1799">
        <f>IF(ISNUMBER(Z1799),Z1799*($AB$1/Z$2635),"")</f>
        <v/>
      </c>
      <c r="AF1799" s="25">
        <f>IF(ISNUMBER(AD1799+AE1799),AD1799+AE1799,"")</f>
        <v/>
      </c>
      <c r="AH1799" s="1">
        <f>A1799</f>
        <v/>
      </c>
      <c r="AI1799">
        <f>IF(ISNUMBER((1+V1799)*AI1798),(1+V1799)*AI1798,AI1798)</f>
        <v/>
      </c>
      <c r="AJ1799">
        <f>IF(ISNUMBER((1+Z1799)*AJ1798),(1+Z1799)*AJ1798,AJ1798)</f>
        <v/>
      </c>
    </row>
    <row r="1800">
      <c r="A1800" s="1" t="n">
        <v>44614</v>
      </c>
      <c r="B1800" s="3">
        <f>IF(ORIG!B1800=0,"",ORIG!B1800)</f>
        <v/>
      </c>
      <c r="C1800" s="3">
        <f>IF(ORIG!C1800=0,"",ORIG!C1800)</f>
        <v/>
      </c>
      <c r="D1800" s="3">
        <f>IF(ORIG!D1800=0,"",ORIG!D1800)</f>
        <v/>
      </c>
      <c r="E1800" s="3">
        <f>IF(ORIG!E1800=0,"",ORIG!E1800)</f>
        <v/>
      </c>
      <c r="F1800" s="3">
        <f>IF(ORIG!F1800=0,"",ORIG!F1800)</f>
        <v/>
      </c>
      <c r="G1800" s="3">
        <f>IF(ORIG!G1800=0,"",ORIG!G1800)</f>
        <v/>
      </c>
      <c r="H1800" s="3">
        <f>IF(ORIG!H1800=0,"",ORIG!H1800)</f>
        <v/>
      </c>
      <c r="I1800" s="3">
        <f>IF(ORIG!I1800=0,"",ORIG!I1800)</f>
        <v/>
      </c>
      <c r="J1800" s="3">
        <f>IF(ORIG!J1800=0,"",ORIG!J1800)</f>
        <v/>
      </c>
      <c r="K1800" s="3">
        <f>IF(ORIG!K1800=0,"",ORIG!K1800)</f>
        <v/>
      </c>
      <c r="L1800" s="3">
        <f>IF(ORIG!L1800=0,"",ORIG!L1800)</f>
        <v/>
      </c>
      <c r="M1800" s="3">
        <f>IF(ORIG!M1800=0,"",ORIG!M1800)</f>
        <v/>
      </c>
      <c r="N1800" s="3">
        <f>IF(ORIG!N1800=0,"",ORIG!N1800)</f>
        <v/>
      </c>
      <c r="O1800" s="3">
        <f>IF(ORIG!O1800=0,"",ORIG!O1800)</f>
        <v/>
      </c>
      <c r="P1800" s="3">
        <f>IF(ORIG!P1800=0,"",ORIG!P1800)</f>
        <v/>
      </c>
      <c r="Q1800" s="3">
        <f>IF(ORIG!Q1800=0,"",ORIG!Q1800)</f>
        <v/>
      </c>
      <c r="R1800" s="3">
        <f>IF(ORIG!R1800=0,"",ORIG!R1800)</f>
        <v/>
      </c>
      <c r="S1800" s="3">
        <f>IF(ORIG!S1800=0,"",ORIG!S1800)</f>
        <v/>
      </c>
      <c r="T1800" s="3">
        <f>IF(ORIG!T1800=0,"",ORIG!T1800)</f>
        <v/>
      </c>
      <c r="U1800" s="3">
        <f>IF(ORIG!U1800=0,"",ORIG!U1800)</f>
        <v/>
      </c>
      <c r="V1800" s="9">
        <f>IF(ORIG!V1800=0,"",ORIG!V1800)</f>
        <v/>
      </c>
      <c r="W1800" s="9">
        <f>IF(ORIG!W1800=0,"",ORIG!W1800)</f>
        <v/>
      </c>
      <c r="X1800" s="9">
        <f>IF(ORIG!X1800=0,"",ORIG!X1800)</f>
        <v/>
      </c>
      <c r="Y1800" s="9">
        <f>IF(ORIG!Y1800=0,"",ORIG!Y1800)</f>
        <v/>
      </c>
      <c r="Z1800" s="3">
        <f>SUMPRODUCT($B1800:$Y1800,$B$2649:$Y$2649)</f>
        <v/>
      </c>
      <c r="AA1800" s="3">
        <f>SUMPRODUCT($B1800:$Y1800,$B$2655:$Y$2655)</f>
        <v/>
      </c>
      <c r="AC1800" s="1">
        <f>A1800</f>
        <v/>
      </c>
      <c r="AD1800">
        <f>IF(ISNUMBER(V1800),V1800*($AB$1/V$2635),"")</f>
        <v/>
      </c>
      <c r="AE1800">
        <f>IF(ISNUMBER(Z1800),Z1800*($AB$1/Z$2635),"")</f>
        <v/>
      </c>
      <c r="AF1800" s="25">
        <f>IF(ISNUMBER(AD1800+AE1800),AD1800+AE1800,"")</f>
        <v/>
      </c>
      <c r="AH1800" s="1">
        <f>A1800</f>
        <v/>
      </c>
      <c r="AI1800">
        <f>IF(ISNUMBER((1+V1800)*AI1799),(1+V1800)*AI1799,AI1799)</f>
        <v/>
      </c>
      <c r="AJ1800">
        <f>IF(ISNUMBER((1+Z1800)*AJ1799),(1+Z1800)*AJ1799,AJ1799)</f>
        <v/>
      </c>
    </row>
    <row r="1801">
      <c r="A1801" s="1" t="n">
        <v>44615</v>
      </c>
      <c r="B1801" s="3">
        <f>IF(ORIG!B1801=0,"",ORIG!B1801)</f>
        <v/>
      </c>
      <c r="C1801" s="3">
        <f>IF(ORIG!C1801=0,"",ORIG!C1801)</f>
        <v/>
      </c>
      <c r="D1801" s="3">
        <f>IF(ORIG!D1801=0,"",ORIG!D1801)</f>
        <v/>
      </c>
      <c r="E1801" s="3">
        <f>IF(ORIG!E1801=0,"",ORIG!E1801)</f>
        <v/>
      </c>
      <c r="F1801" s="3">
        <f>IF(ORIG!F1801=0,"",ORIG!F1801)</f>
        <v/>
      </c>
      <c r="G1801" s="3">
        <f>IF(ORIG!G1801=0,"",ORIG!G1801)</f>
        <v/>
      </c>
      <c r="H1801" s="3">
        <f>IF(ORIG!H1801=0,"",ORIG!H1801)</f>
        <v/>
      </c>
      <c r="I1801" s="3">
        <f>IF(ORIG!I1801=0,"",ORIG!I1801)</f>
        <v/>
      </c>
      <c r="J1801" s="3">
        <f>IF(ORIG!J1801=0,"",ORIG!J1801)</f>
        <v/>
      </c>
      <c r="K1801" s="3">
        <f>IF(ORIG!K1801=0,"",ORIG!K1801)</f>
        <v/>
      </c>
      <c r="L1801" s="3">
        <f>IF(ORIG!L1801=0,"",ORIG!L1801)</f>
        <v/>
      </c>
      <c r="M1801" s="3">
        <f>IF(ORIG!M1801=0,"",ORIG!M1801)</f>
        <v/>
      </c>
      <c r="N1801" s="3">
        <f>IF(ORIG!N1801=0,"",ORIG!N1801)</f>
        <v/>
      </c>
      <c r="O1801" s="3">
        <f>IF(ORIG!O1801=0,"",ORIG!O1801)</f>
        <v/>
      </c>
      <c r="P1801" s="3">
        <f>IF(ORIG!P1801=0,"",ORIG!P1801)</f>
        <v/>
      </c>
      <c r="Q1801" s="3">
        <f>IF(ORIG!Q1801=0,"",ORIG!Q1801)</f>
        <v/>
      </c>
      <c r="R1801" s="3">
        <f>IF(ORIG!R1801=0,"",ORIG!R1801)</f>
        <v/>
      </c>
      <c r="S1801" s="3">
        <f>IF(ORIG!S1801=0,"",ORIG!S1801)</f>
        <v/>
      </c>
      <c r="T1801" s="3">
        <f>IF(ORIG!T1801=0,"",ORIG!T1801)</f>
        <v/>
      </c>
      <c r="U1801" s="3">
        <f>IF(ORIG!U1801=0,"",ORIG!U1801)</f>
        <v/>
      </c>
      <c r="V1801" s="9">
        <f>IF(ORIG!V1801=0,"",ORIG!V1801)</f>
        <v/>
      </c>
      <c r="W1801" s="9">
        <f>IF(ORIG!W1801=0,"",ORIG!W1801)</f>
        <v/>
      </c>
      <c r="X1801" s="9">
        <f>IF(ORIG!X1801=0,"",ORIG!X1801)</f>
        <v/>
      </c>
      <c r="Y1801" s="9">
        <f>IF(ORIG!Y1801=0,"",ORIG!Y1801)</f>
        <v/>
      </c>
      <c r="Z1801" s="3">
        <f>SUMPRODUCT($B1801:$Y1801,$B$2649:$Y$2649)</f>
        <v/>
      </c>
      <c r="AA1801" s="3">
        <f>SUMPRODUCT($B1801:$Y1801,$B$2655:$Y$2655)</f>
        <v/>
      </c>
      <c r="AC1801" s="1">
        <f>A1801</f>
        <v/>
      </c>
      <c r="AD1801">
        <f>IF(ISNUMBER(V1801),V1801*($AB$1/V$2635),"")</f>
        <v/>
      </c>
      <c r="AE1801">
        <f>IF(ISNUMBER(Z1801),Z1801*($AB$1/Z$2635),"")</f>
        <v/>
      </c>
      <c r="AF1801" s="25">
        <f>IF(ISNUMBER(AD1801+AE1801),AD1801+AE1801,"")</f>
        <v/>
      </c>
      <c r="AH1801" s="1">
        <f>A1801</f>
        <v/>
      </c>
      <c r="AI1801">
        <f>IF(ISNUMBER((1+V1801)*AI1800),(1+V1801)*AI1800,AI1800)</f>
        <v/>
      </c>
      <c r="AJ1801">
        <f>IF(ISNUMBER((1+Z1801)*AJ1800),(1+Z1801)*AJ1800,AJ1800)</f>
        <v/>
      </c>
    </row>
    <row r="1802">
      <c r="A1802" s="1" t="n">
        <v>44616</v>
      </c>
      <c r="B1802" s="3">
        <f>IF(ORIG!B1802=0,"",ORIG!B1802)</f>
        <v/>
      </c>
      <c r="C1802" s="3">
        <f>IF(ORIG!C1802=0,"",ORIG!C1802)</f>
        <v/>
      </c>
      <c r="D1802" s="3">
        <f>IF(ORIG!D1802=0,"",ORIG!D1802)</f>
        <v/>
      </c>
      <c r="E1802" s="3">
        <f>IF(ORIG!E1802=0,"",ORIG!E1802)</f>
        <v/>
      </c>
      <c r="F1802" s="3">
        <f>IF(ORIG!F1802=0,"",ORIG!F1802)</f>
        <v/>
      </c>
      <c r="G1802" s="3">
        <f>IF(ORIG!G1802=0,"",ORIG!G1802)</f>
        <v/>
      </c>
      <c r="H1802" s="3">
        <f>IF(ORIG!H1802=0,"",ORIG!H1802)</f>
        <v/>
      </c>
      <c r="I1802" s="3">
        <f>IF(ORIG!I1802=0,"",ORIG!I1802)</f>
        <v/>
      </c>
      <c r="J1802" s="3">
        <f>IF(ORIG!J1802=0,"",ORIG!J1802)</f>
        <v/>
      </c>
      <c r="K1802" s="3">
        <f>IF(ORIG!K1802=0,"",ORIG!K1802)</f>
        <v/>
      </c>
      <c r="L1802" s="3">
        <f>IF(ORIG!L1802=0,"",ORIG!L1802)</f>
        <v/>
      </c>
      <c r="M1802" s="3">
        <f>IF(ORIG!M1802=0,"",ORIG!M1802)</f>
        <v/>
      </c>
      <c r="N1802" s="3">
        <f>IF(ORIG!N1802=0,"",ORIG!N1802)</f>
        <v/>
      </c>
      <c r="O1802" s="3">
        <f>IF(ORIG!O1802=0,"",ORIG!O1802)</f>
        <v/>
      </c>
      <c r="P1802" s="3">
        <f>IF(ORIG!P1802=0,"",ORIG!P1802)</f>
        <v/>
      </c>
      <c r="Q1802" s="3">
        <f>IF(ORIG!Q1802=0,"",ORIG!Q1802)</f>
        <v/>
      </c>
      <c r="R1802" s="3">
        <f>IF(ORIG!R1802=0,"",ORIG!R1802)</f>
        <v/>
      </c>
      <c r="S1802" s="3">
        <f>IF(ORIG!S1802=0,"",ORIG!S1802)</f>
        <v/>
      </c>
      <c r="T1802" s="3">
        <f>IF(ORIG!T1802=0,"",ORIG!T1802)</f>
        <v/>
      </c>
      <c r="U1802" s="3">
        <f>IF(ORIG!U1802=0,"",ORIG!U1802)</f>
        <v/>
      </c>
      <c r="V1802" s="9">
        <f>IF(ORIG!V1802=0,"",ORIG!V1802)</f>
        <v/>
      </c>
      <c r="W1802" s="9">
        <f>IF(ORIG!W1802=0,"",ORIG!W1802)</f>
        <v/>
      </c>
      <c r="X1802" s="9">
        <f>IF(ORIG!X1802=0,"",ORIG!X1802)</f>
        <v/>
      </c>
      <c r="Y1802" s="9">
        <f>IF(ORIG!Y1802=0,"",ORIG!Y1802)</f>
        <v/>
      </c>
      <c r="Z1802" s="3">
        <f>SUMPRODUCT($B1802:$Y1802,$B$2649:$Y$2649)</f>
        <v/>
      </c>
      <c r="AA1802" s="3">
        <f>SUMPRODUCT($B1802:$Y1802,$B$2655:$Y$2655)</f>
        <v/>
      </c>
      <c r="AC1802" s="1">
        <f>A1802</f>
        <v/>
      </c>
      <c r="AD1802">
        <f>IF(ISNUMBER(V1802),V1802*($AB$1/V$2635),"")</f>
        <v/>
      </c>
      <c r="AE1802">
        <f>IF(ISNUMBER(Z1802),Z1802*($AB$1/Z$2635),"")</f>
        <v/>
      </c>
      <c r="AF1802" s="25">
        <f>IF(ISNUMBER(AD1802+AE1802),AD1802+AE1802,"")</f>
        <v/>
      </c>
      <c r="AH1802" s="1">
        <f>A1802</f>
        <v/>
      </c>
      <c r="AI1802">
        <f>IF(ISNUMBER((1+V1802)*AI1801),(1+V1802)*AI1801,AI1801)</f>
        <v/>
      </c>
      <c r="AJ1802">
        <f>IF(ISNUMBER((1+Z1802)*AJ1801),(1+Z1802)*AJ1801,AJ1801)</f>
        <v/>
      </c>
    </row>
    <row r="1803">
      <c r="A1803" s="1" t="n">
        <v>44617</v>
      </c>
      <c r="B1803" s="3">
        <f>IF(ORIG!B1803=0,"",ORIG!B1803)</f>
        <v/>
      </c>
      <c r="C1803" s="3">
        <f>IF(ORIG!C1803=0,"",ORIG!C1803)</f>
        <v/>
      </c>
      <c r="D1803" s="3">
        <f>IF(ORIG!D1803=0,"",ORIG!D1803)</f>
        <v/>
      </c>
      <c r="E1803" s="3">
        <f>IF(ORIG!E1803=0,"",ORIG!E1803)</f>
        <v/>
      </c>
      <c r="F1803" s="3">
        <f>IF(ORIG!F1803=0,"",ORIG!F1803)</f>
        <v/>
      </c>
      <c r="G1803" s="3">
        <f>IF(ORIG!G1803=0,"",ORIG!G1803)</f>
        <v/>
      </c>
      <c r="H1803" s="3">
        <f>IF(ORIG!H1803=0,"",ORIG!H1803)</f>
        <v/>
      </c>
      <c r="I1803" s="3">
        <f>IF(ORIG!I1803=0,"",ORIG!I1803)</f>
        <v/>
      </c>
      <c r="J1803" s="3">
        <f>IF(ORIG!J1803=0,"",ORIG!J1803)</f>
        <v/>
      </c>
      <c r="K1803" s="3">
        <f>IF(ORIG!K1803=0,"",ORIG!K1803)</f>
        <v/>
      </c>
      <c r="L1803" s="3">
        <f>IF(ORIG!L1803=0,"",ORIG!L1803)</f>
        <v/>
      </c>
      <c r="M1803" s="3">
        <f>IF(ORIG!M1803=0,"",ORIG!M1803)</f>
        <v/>
      </c>
      <c r="N1803" s="3">
        <f>IF(ORIG!N1803=0,"",ORIG!N1803)</f>
        <v/>
      </c>
      <c r="O1803" s="3">
        <f>IF(ORIG!O1803=0,"",ORIG!O1803)</f>
        <v/>
      </c>
      <c r="P1803" s="3">
        <f>IF(ORIG!P1803=0,"",ORIG!P1803)</f>
        <v/>
      </c>
      <c r="Q1803" s="3">
        <f>IF(ORIG!Q1803=0,"",ORIG!Q1803)</f>
        <v/>
      </c>
      <c r="R1803" s="3">
        <f>IF(ORIG!R1803=0,"",ORIG!R1803)</f>
        <v/>
      </c>
      <c r="S1803" s="3">
        <f>IF(ORIG!S1803=0,"",ORIG!S1803)</f>
        <v/>
      </c>
      <c r="T1803" s="3">
        <f>IF(ORIG!T1803=0,"",ORIG!T1803)</f>
        <v/>
      </c>
      <c r="U1803" s="3">
        <f>IF(ORIG!U1803=0,"",ORIG!U1803)</f>
        <v/>
      </c>
      <c r="V1803" s="9">
        <f>IF(ORIG!V1803=0,"",ORIG!V1803)</f>
        <v/>
      </c>
      <c r="W1803" s="9">
        <f>IF(ORIG!W1803=0,"",ORIG!W1803)</f>
        <v/>
      </c>
      <c r="X1803" s="9">
        <f>IF(ORIG!X1803=0,"",ORIG!X1803)</f>
        <v/>
      </c>
      <c r="Y1803" s="9">
        <f>IF(ORIG!Y1803=0,"",ORIG!Y1803)</f>
        <v/>
      </c>
      <c r="Z1803" s="3">
        <f>SUMPRODUCT($B1803:$Y1803,$B$2649:$Y$2649)</f>
        <v/>
      </c>
      <c r="AA1803" s="3">
        <f>SUMPRODUCT($B1803:$Y1803,$B$2655:$Y$2655)</f>
        <v/>
      </c>
      <c r="AC1803" s="1">
        <f>A1803</f>
        <v/>
      </c>
      <c r="AD1803">
        <f>IF(ISNUMBER(V1803),V1803*($AB$1/V$2635),"")</f>
        <v/>
      </c>
      <c r="AE1803">
        <f>IF(ISNUMBER(Z1803),Z1803*($AB$1/Z$2635),"")</f>
        <v/>
      </c>
      <c r="AF1803" s="25">
        <f>IF(ISNUMBER(AD1803+AE1803),AD1803+AE1803,"")</f>
        <v/>
      </c>
      <c r="AH1803" s="1">
        <f>A1803</f>
        <v/>
      </c>
      <c r="AI1803">
        <f>IF(ISNUMBER((1+V1803)*AI1802),(1+V1803)*AI1802,AI1802)</f>
        <v/>
      </c>
      <c r="AJ1803">
        <f>IF(ISNUMBER((1+Z1803)*AJ1802),(1+Z1803)*AJ1802,AJ1802)</f>
        <v/>
      </c>
    </row>
    <row r="1804">
      <c r="A1804" s="1" t="n">
        <v>44620</v>
      </c>
      <c r="B1804" s="3">
        <f>IF(ORIG!B1804=0,"",ORIG!B1804)</f>
        <v/>
      </c>
      <c r="C1804" s="3">
        <f>IF(ORIG!C1804=0,"",ORIG!C1804)</f>
        <v/>
      </c>
      <c r="D1804" s="3">
        <f>IF(ORIG!D1804=0,"",ORIG!D1804)</f>
        <v/>
      </c>
      <c r="E1804" s="3">
        <f>IF(ORIG!E1804=0,"",ORIG!E1804)</f>
        <v/>
      </c>
      <c r="F1804" s="3">
        <f>IF(ORIG!F1804=0,"",ORIG!F1804)</f>
        <v/>
      </c>
      <c r="G1804" s="3">
        <f>IF(ORIG!G1804=0,"",ORIG!G1804)</f>
        <v/>
      </c>
      <c r="H1804" s="3">
        <f>IF(ORIG!H1804=0,"",ORIG!H1804)</f>
        <v/>
      </c>
      <c r="I1804" s="3">
        <f>IF(ORIG!I1804=0,"",ORIG!I1804)</f>
        <v/>
      </c>
      <c r="J1804" s="3">
        <f>IF(ORIG!J1804=0,"",ORIG!J1804)</f>
        <v/>
      </c>
      <c r="K1804" s="3">
        <f>IF(ORIG!K1804=0,"",ORIG!K1804)</f>
        <v/>
      </c>
      <c r="L1804" s="3">
        <f>IF(ORIG!L1804=0,"",ORIG!L1804)</f>
        <v/>
      </c>
      <c r="M1804" s="3">
        <f>IF(ORIG!M1804=0,"",ORIG!M1804)</f>
        <v/>
      </c>
      <c r="N1804" s="3">
        <f>IF(ORIG!N1804=0,"",ORIG!N1804)</f>
        <v/>
      </c>
      <c r="O1804" s="3">
        <f>IF(ORIG!O1804=0,"",ORIG!O1804)</f>
        <v/>
      </c>
      <c r="P1804" s="3">
        <f>IF(ORIG!P1804=0,"",ORIG!P1804)</f>
        <v/>
      </c>
      <c r="Q1804" s="3">
        <f>IF(ORIG!Q1804=0,"",ORIG!Q1804)</f>
        <v/>
      </c>
      <c r="R1804" s="3">
        <f>IF(ORIG!R1804=0,"",ORIG!R1804)</f>
        <v/>
      </c>
      <c r="S1804" s="3">
        <f>IF(ORIG!S1804=0,"",ORIG!S1804)</f>
        <v/>
      </c>
      <c r="T1804" s="3">
        <f>IF(ORIG!T1804=0,"",ORIG!T1804)</f>
        <v/>
      </c>
      <c r="U1804" s="3">
        <f>IF(ORIG!U1804=0,"",ORIG!U1804)</f>
        <v/>
      </c>
      <c r="V1804" s="9">
        <f>IF(ORIG!V1804=0,"",ORIG!V1804)</f>
        <v/>
      </c>
      <c r="W1804" s="9">
        <f>IF(ORIG!W1804=0,"",ORIG!W1804)</f>
        <v/>
      </c>
      <c r="X1804" s="9">
        <f>IF(ORIG!X1804=0,"",ORIG!X1804)</f>
        <v/>
      </c>
      <c r="Y1804" s="9">
        <f>IF(ORIG!Y1804=0,"",ORIG!Y1804)</f>
        <v/>
      </c>
      <c r="Z1804" s="3">
        <f>SUMPRODUCT($B1804:$Y1804,$B$2649:$Y$2649)</f>
        <v/>
      </c>
      <c r="AA1804" s="3">
        <f>SUMPRODUCT($B1804:$Y1804,$B$2655:$Y$2655)</f>
        <v/>
      </c>
      <c r="AC1804" s="1">
        <f>A1804</f>
        <v/>
      </c>
      <c r="AD1804">
        <f>IF(ISNUMBER(V1804),V1804*($AB$1/V$2635),"")</f>
        <v/>
      </c>
      <c r="AE1804">
        <f>IF(ISNUMBER(Z1804),Z1804*($AB$1/Z$2635),"")</f>
        <v/>
      </c>
      <c r="AF1804" s="25">
        <f>IF(ISNUMBER(AD1804+AE1804),AD1804+AE1804,"")</f>
        <v/>
      </c>
      <c r="AH1804" s="1">
        <f>A1804</f>
        <v/>
      </c>
      <c r="AI1804">
        <f>IF(ISNUMBER((1+V1804)*AI1803),(1+V1804)*AI1803,AI1803)</f>
        <v/>
      </c>
      <c r="AJ1804">
        <f>IF(ISNUMBER((1+Z1804)*AJ1803),(1+Z1804)*AJ1803,AJ1803)</f>
        <v/>
      </c>
    </row>
    <row r="1805">
      <c r="A1805" s="1" t="n">
        <v>44621</v>
      </c>
      <c r="B1805" s="3">
        <f>IF(ORIG!B1805=0,"",ORIG!B1805)</f>
        <v/>
      </c>
      <c r="C1805" s="3">
        <f>IF(ORIG!C1805=0,"",ORIG!C1805)</f>
        <v/>
      </c>
      <c r="D1805" s="3">
        <f>IF(ORIG!D1805=0,"",ORIG!D1805)</f>
        <v/>
      </c>
      <c r="E1805" s="3">
        <f>IF(ORIG!E1805=0,"",ORIG!E1805)</f>
        <v/>
      </c>
      <c r="F1805" s="3">
        <f>IF(ORIG!F1805=0,"",ORIG!F1805)</f>
        <v/>
      </c>
      <c r="G1805" s="3">
        <f>IF(ORIG!G1805=0,"",ORIG!G1805)</f>
        <v/>
      </c>
      <c r="H1805" s="3">
        <f>IF(ORIG!H1805=0,"",ORIG!H1805)</f>
        <v/>
      </c>
      <c r="I1805" s="3">
        <f>IF(ORIG!I1805=0,"",ORIG!I1805)</f>
        <v/>
      </c>
      <c r="J1805" s="3">
        <f>IF(ORIG!J1805=0,"",ORIG!J1805)</f>
        <v/>
      </c>
      <c r="K1805" s="3">
        <f>IF(ORIG!K1805=0,"",ORIG!K1805)</f>
        <v/>
      </c>
      <c r="L1805" s="3">
        <f>IF(ORIG!L1805=0,"",ORIG!L1805)</f>
        <v/>
      </c>
      <c r="M1805" s="3">
        <f>IF(ORIG!M1805=0,"",ORIG!M1805)</f>
        <v/>
      </c>
      <c r="N1805" s="3">
        <f>IF(ORIG!N1805=0,"",ORIG!N1805)</f>
        <v/>
      </c>
      <c r="O1805" s="3">
        <f>IF(ORIG!O1805=0,"",ORIG!O1805)</f>
        <v/>
      </c>
      <c r="P1805" s="3">
        <f>IF(ORIG!P1805=0,"",ORIG!P1805)</f>
        <v/>
      </c>
      <c r="Q1805" s="3">
        <f>IF(ORIG!Q1805=0,"",ORIG!Q1805)</f>
        <v/>
      </c>
      <c r="R1805" s="3">
        <f>IF(ORIG!R1805=0,"",ORIG!R1805)</f>
        <v/>
      </c>
      <c r="S1805" s="3">
        <f>IF(ORIG!S1805=0,"",ORIG!S1805)</f>
        <v/>
      </c>
      <c r="T1805" s="3">
        <f>IF(ORIG!T1805=0,"",ORIG!T1805)</f>
        <v/>
      </c>
      <c r="U1805" s="3">
        <f>IF(ORIG!U1805=0,"",ORIG!U1805)</f>
        <v/>
      </c>
      <c r="V1805" s="9">
        <f>IF(ORIG!V1805=0,"",ORIG!V1805)</f>
        <v/>
      </c>
      <c r="W1805" s="9">
        <f>IF(ORIG!W1805=0,"",ORIG!W1805)</f>
        <v/>
      </c>
      <c r="X1805" s="9">
        <f>IF(ORIG!X1805=0,"",ORIG!X1805)</f>
        <v/>
      </c>
      <c r="Y1805" s="9">
        <f>IF(ORIG!Y1805=0,"",ORIG!Y1805)</f>
        <v/>
      </c>
      <c r="Z1805" s="3">
        <f>SUMPRODUCT($B1805:$Y1805,$B$2649:$Y$2649)</f>
        <v/>
      </c>
      <c r="AA1805" s="3">
        <f>SUMPRODUCT($B1805:$Y1805,$B$2655:$Y$2655)</f>
        <v/>
      </c>
      <c r="AC1805" s="1">
        <f>A1805</f>
        <v/>
      </c>
      <c r="AD1805">
        <f>IF(ISNUMBER(V1805),V1805*($AB$1/V$2635),"")</f>
        <v/>
      </c>
      <c r="AE1805">
        <f>IF(ISNUMBER(Z1805),Z1805*($AB$1/Z$2635),"")</f>
        <v/>
      </c>
      <c r="AF1805" s="25">
        <f>IF(ISNUMBER(AD1805+AE1805),AD1805+AE1805,"")</f>
        <v/>
      </c>
      <c r="AH1805" s="1">
        <f>A1805</f>
        <v/>
      </c>
      <c r="AI1805">
        <f>IF(ISNUMBER((1+V1805)*AI1804),(1+V1805)*AI1804,AI1804)</f>
        <v/>
      </c>
      <c r="AJ1805">
        <f>IF(ISNUMBER((1+Z1805)*AJ1804),(1+Z1805)*AJ1804,AJ1804)</f>
        <v/>
      </c>
    </row>
    <row r="1806">
      <c r="A1806" s="1" t="n">
        <v>44622</v>
      </c>
      <c r="B1806" s="3">
        <f>IF(ORIG!B1806=0,"",ORIG!B1806)</f>
        <v/>
      </c>
      <c r="C1806" s="3">
        <f>IF(ORIG!C1806=0,"",ORIG!C1806)</f>
        <v/>
      </c>
      <c r="D1806" s="3">
        <f>IF(ORIG!D1806=0,"",ORIG!D1806)</f>
        <v/>
      </c>
      <c r="E1806" s="3">
        <f>IF(ORIG!E1806=0,"",ORIG!E1806)</f>
        <v/>
      </c>
      <c r="F1806" s="3">
        <f>IF(ORIG!F1806=0,"",ORIG!F1806)</f>
        <v/>
      </c>
      <c r="G1806" s="3">
        <f>IF(ORIG!G1806=0,"",ORIG!G1806)</f>
        <v/>
      </c>
      <c r="H1806" s="3">
        <f>IF(ORIG!H1806=0,"",ORIG!H1806)</f>
        <v/>
      </c>
      <c r="I1806" s="3">
        <f>IF(ORIG!I1806=0,"",ORIG!I1806)</f>
        <v/>
      </c>
      <c r="J1806" s="3">
        <f>IF(ORIG!J1806=0,"",ORIG!J1806)</f>
        <v/>
      </c>
      <c r="K1806" s="3">
        <f>IF(ORIG!K1806=0,"",ORIG!K1806)</f>
        <v/>
      </c>
      <c r="L1806" s="3">
        <f>IF(ORIG!L1806=0,"",ORIG!L1806)</f>
        <v/>
      </c>
      <c r="M1806" s="3">
        <f>IF(ORIG!M1806=0,"",ORIG!M1806)</f>
        <v/>
      </c>
      <c r="N1806" s="3">
        <f>IF(ORIG!N1806=0,"",ORIG!N1806)</f>
        <v/>
      </c>
      <c r="O1806" s="3">
        <f>IF(ORIG!O1806=0,"",ORIG!O1806)</f>
        <v/>
      </c>
      <c r="P1806" s="3">
        <f>IF(ORIG!P1806=0,"",ORIG!P1806)</f>
        <v/>
      </c>
      <c r="Q1806" s="3">
        <f>IF(ORIG!Q1806=0,"",ORIG!Q1806)</f>
        <v/>
      </c>
      <c r="R1806" s="3">
        <f>IF(ORIG!R1806=0,"",ORIG!R1806)</f>
        <v/>
      </c>
      <c r="S1806" s="3">
        <f>IF(ORIG!S1806=0,"",ORIG!S1806)</f>
        <v/>
      </c>
      <c r="T1806" s="3">
        <f>IF(ORIG!T1806=0,"",ORIG!T1806)</f>
        <v/>
      </c>
      <c r="U1806" s="3">
        <f>IF(ORIG!U1806=0,"",ORIG!U1806)</f>
        <v/>
      </c>
      <c r="V1806" s="9">
        <f>IF(ORIG!V1806=0,"",ORIG!V1806)</f>
        <v/>
      </c>
      <c r="W1806" s="9">
        <f>IF(ORIG!W1806=0,"",ORIG!W1806)</f>
        <v/>
      </c>
      <c r="X1806" s="9">
        <f>IF(ORIG!X1806=0,"",ORIG!X1806)</f>
        <v/>
      </c>
      <c r="Y1806" s="9">
        <f>IF(ORIG!Y1806=0,"",ORIG!Y1806)</f>
        <v/>
      </c>
      <c r="Z1806" s="3">
        <f>SUMPRODUCT($B1806:$Y1806,$B$2649:$Y$2649)</f>
        <v/>
      </c>
      <c r="AA1806" s="3">
        <f>SUMPRODUCT($B1806:$Y1806,$B$2655:$Y$2655)</f>
        <v/>
      </c>
      <c r="AC1806" s="1">
        <f>A1806</f>
        <v/>
      </c>
      <c r="AD1806">
        <f>IF(ISNUMBER(V1806),V1806*($AB$1/V$2635),"")</f>
        <v/>
      </c>
      <c r="AE1806">
        <f>IF(ISNUMBER(Z1806),Z1806*($AB$1/Z$2635),"")</f>
        <v/>
      </c>
      <c r="AF1806" s="25">
        <f>IF(ISNUMBER(AD1806+AE1806),AD1806+AE1806,"")</f>
        <v/>
      </c>
      <c r="AH1806" s="1">
        <f>A1806</f>
        <v/>
      </c>
      <c r="AI1806">
        <f>IF(ISNUMBER((1+V1806)*AI1805),(1+V1806)*AI1805,AI1805)</f>
        <v/>
      </c>
      <c r="AJ1806">
        <f>IF(ISNUMBER((1+Z1806)*AJ1805),(1+Z1806)*AJ1805,AJ1805)</f>
        <v/>
      </c>
    </row>
    <row r="1807">
      <c r="A1807" s="1" t="n">
        <v>44623</v>
      </c>
      <c r="B1807" s="3">
        <f>IF(ORIG!B1807=0,"",ORIG!B1807)</f>
        <v/>
      </c>
      <c r="C1807" s="3">
        <f>IF(ORIG!C1807=0,"",ORIG!C1807)</f>
        <v/>
      </c>
      <c r="D1807" s="3">
        <f>IF(ORIG!D1807=0,"",ORIG!D1807)</f>
        <v/>
      </c>
      <c r="E1807" s="3">
        <f>IF(ORIG!E1807=0,"",ORIG!E1807)</f>
        <v/>
      </c>
      <c r="F1807" s="3">
        <f>IF(ORIG!F1807=0,"",ORIG!F1807)</f>
        <v/>
      </c>
      <c r="G1807" s="3">
        <f>IF(ORIG!G1807=0,"",ORIG!G1807)</f>
        <v/>
      </c>
      <c r="H1807" s="3">
        <f>IF(ORIG!H1807=0,"",ORIG!H1807)</f>
        <v/>
      </c>
      <c r="I1807" s="3">
        <f>IF(ORIG!I1807=0,"",ORIG!I1807)</f>
        <v/>
      </c>
      <c r="J1807" s="3">
        <f>IF(ORIG!J1807=0,"",ORIG!J1807)</f>
        <v/>
      </c>
      <c r="K1807" s="3">
        <f>IF(ORIG!K1807=0,"",ORIG!K1807)</f>
        <v/>
      </c>
      <c r="L1807" s="3">
        <f>IF(ORIG!L1807=0,"",ORIG!L1807)</f>
        <v/>
      </c>
      <c r="M1807" s="3">
        <f>IF(ORIG!M1807=0,"",ORIG!M1807)</f>
        <v/>
      </c>
      <c r="N1807" s="3">
        <f>IF(ORIG!N1807=0,"",ORIG!N1807)</f>
        <v/>
      </c>
      <c r="O1807" s="3">
        <f>IF(ORIG!O1807=0,"",ORIG!O1807)</f>
        <v/>
      </c>
      <c r="P1807" s="3">
        <f>IF(ORIG!P1807=0,"",ORIG!P1807)</f>
        <v/>
      </c>
      <c r="Q1807" s="3">
        <f>IF(ORIG!Q1807=0,"",ORIG!Q1807)</f>
        <v/>
      </c>
      <c r="R1807" s="3">
        <f>IF(ORIG!R1807=0,"",ORIG!R1807)</f>
        <v/>
      </c>
      <c r="S1807" s="3">
        <f>IF(ORIG!S1807=0,"",ORIG!S1807)</f>
        <v/>
      </c>
      <c r="T1807" s="3">
        <f>IF(ORIG!T1807=0,"",ORIG!T1807)</f>
        <v/>
      </c>
      <c r="U1807" s="3">
        <f>IF(ORIG!U1807=0,"",ORIG!U1807)</f>
        <v/>
      </c>
      <c r="V1807" s="9">
        <f>IF(ORIG!V1807=0,"",ORIG!V1807)</f>
        <v/>
      </c>
      <c r="W1807" s="9">
        <f>IF(ORIG!W1807=0,"",ORIG!W1807)</f>
        <v/>
      </c>
      <c r="X1807" s="9">
        <f>IF(ORIG!X1807=0,"",ORIG!X1807)</f>
        <v/>
      </c>
      <c r="Y1807" s="9">
        <f>IF(ORIG!Y1807=0,"",ORIG!Y1807)</f>
        <v/>
      </c>
      <c r="Z1807" s="3">
        <f>SUMPRODUCT($B1807:$Y1807,$B$2649:$Y$2649)</f>
        <v/>
      </c>
      <c r="AA1807" s="3">
        <f>SUMPRODUCT($B1807:$Y1807,$B$2655:$Y$2655)</f>
        <v/>
      </c>
      <c r="AC1807" s="1">
        <f>A1807</f>
        <v/>
      </c>
      <c r="AD1807">
        <f>IF(ISNUMBER(V1807),V1807*($AB$1/V$2635),"")</f>
        <v/>
      </c>
      <c r="AE1807">
        <f>IF(ISNUMBER(Z1807),Z1807*($AB$1/Z$2635),"")</f>
        <v/>
      </c>
      <c r="AF1807" s="25">
        <f>IF(ISNUMBER(AD1807+AE1807),AD1807+AE1807,"")</f>
        <v/>
      </c>
      <c r="AH1807" s="1">
        <f>A1807</f>
        <v/>
      </c>
      <c r="AI1807">
        <f>IF(ISNUMBER((1+V1807)*AI1806),(1+V1807)*AI1806,AI1806)</f>
        <v/>
      </c>
      <c r="AJ1807">
        <f>IF(ISNUMBER((1+Z1807)*AJ1806),(1+Z1807)*AJ1806,AJ1806)</f>
        <v/>
      </c>
    </row>
    <row r="1808">
      <c r="A1808" s="1" t="n">
        <v>44624</v>
      </c>
      <c r="B1808" s="3">
        <f>IF(ORIG!B1808=0,"",ORIG!B1808)</f>
        <v/>
      </c>
      <c r="C1808" s="3">
        <f>IF(ORIG!C1808=0,"",ORIG!C1808)</f>
        <v/>
      </c>
      <c r="D1808" s="3">
        <f>IF(ORIG!D1808=0,"",ORIG!D1808)</f>
        <v/>
      </c>
      <c r="E1808" s="3">
        <f>IF(ORIG!E1808=0,"",ORIG!E1808)</f>
        <v/>
      </c>
      <c r="F1808" s="3">
        <f>IF(ORIG!F1808=0,"",ORIG!F1808)</f>
        <v/>
      </c>
      <c r="G1808" s="3">
        <f>IF(ORIG!G1808=0,"",ORIG!G1808)</f>
        <v/>
      </c>
      <c r="H1808" s="3">
        <f>IF(ORIG!H1808=0,"",ORIG!H1808)</f>
        <v/>
      </c>
      <c r="I1808" s="3">
        <f>IF(ORIG!I1808=0,"",ORIG!I1808)</f>
        <v/>
      </c>
      <c r="J1808" s="3">
        <f>IF(ORIG!J1808=0,"",ORIG!J1808)</f>
        <v/>
      </c>
      <c r="K1808" s="3">
        <f>IF(ORIG!K1808=0,"",ORIG!K1808)</f>
        <v/>
      </c>
      <c r="L1808" s="3">
        <f>IF(ORIG!L1808=0,"",ORIG!L1808)</f>
        <v/>
      </c>
      <c r="M1808" s="3">
        <f>IF(ORIG!M1808=0,"",ORIG!M1808)</f>
        <v/>
      </c>
      <c r="N1808" s="3">
        <f>IF(ORIG!N1808=0,"",ORIG!N1808)</f>
        <v/>
      </c>
      <c r="O1808" s="3">
        <f>IF(ORIG!O1808=0,"",ORIG!O1808)</f>
        <v/>
      </c>
      <c r="P1808" s="3">
        <f>IF(ORIG!P1808=0,"",ORIG!P1808)</f>
        <v/>
      </c>
      <c r="Q1808" s="3">
        <f>IF(ORIG!Q1808=0,"",ORIG!Q1808)</f>
        <v/>
      </c>
      <c r="R1808" s="3">
        <f>IF(ORIG!R1808=0,"",ORIG!R1808)</f>
        <v/>
      </c>
      <c r="S1808" s="3">
        <f>IF(ORIG!S1808=0,"",ORIG!S1808)</f>
        <v/>
      </c>
      <c r="T1808" s="3">
        <f>IF(ORIG!T1808=0,"",ORIG!T1808)</f>
        <v/>
      </c>
      <c r="U1808" s="3">
        <f>IF(ORIG!U1808=0,"",ORIG!U1808)</f>
        <v/>
      </c>
      <c r="V1808" s="9">
        <f>IF(ORIG!V1808=0,"",ORIG!V1808)</f>
        <v/>
      </c>
      <c r="W1808" s="9">
        <f>IF(ORIG!W1808=0,"",ORIG!W1808)</f>
        <v/>
      </c>
      <c r="X1808" s="9">
        <f>IF(ORIG!X1808=0,"",ORIG!X1808)</f>
        <v/>
      </c>
      <c r="Y1808" s="9">
        <f>IF(ORIG!Y1808=0,"",ORIG!Y1808)</f>
        <v/>
      </c>
      <c r="Z1808" s="3">
        <f>SUMPRODUCT($B1808:$Y1808,$B$2649:$Y$2649)</f>
        <v/>
      </c>
      <c r="AA1808" s="3">
        <f>SUMPRODUCT($B1808:$Y1808,$B$2655:$Y$2655)</f>
        <v/>
      </c>
      <c r="AC1808" s="1">
        <f>A1808</f>
        <v/>
      </c>
      <c r="AD1808">
        <f>IF(ISNUMBER(V1808),V1808*($AB$1/V$2635),"")</f>
        <v/>
      </c>
      <c r="AE1808">
        <f>IF(ISNUMBER(Z1808),Z1808*($AB$1/Z$2635),"")</f>
        <v/>
      </c>
      <c r="AF1808" s="25">
        <f>IF(ISNUMBER(AD1808+AE1808),AD1808+AE1808,"")</f>
        <v/>
      </c>
      <c r="AH1808" s="1">
        <f>A1808</f>
        <v/>
      </c>
      <c r="AI1808">
        <f>IF(ISNUMBER((1+V1808)*AI1807),(1+V1808)*AI1807,AI1807)</f>
        <v/>
      </c>
      <c r="AJ1808">
        <f>IF(ISNUMBER((1+Z1808)*AJ1807),(1+Z1808)*AJ1807,AJ1807)</f>
        <v/>
      </c>
    </row>
    <row r="1809">
      <c r="A1809" s="1" t="n">
        <v>44627</v>
      </c>
      <c r="B1809" s="3">
        <f>IF(ORIG!B1809=0,"",ORIG!B1809)</f>
        <v/>
      </c>
      <c r="C1809" s="3">
        <f>IF(ORIG!C1809=0,"",ORIG!C1809)</f>
        <v/>
      </c>
      <c r="D1809" s="3">
        <f>IF(ORIG!D1809=0,"",ORIG!D1809)</f>
        <v/>
      </c>
      <c r="E1809" s="3">
        <f>IF(ORIG!E1809=0,"",ORIG!E1809)</f>
        <v/>
      </c>
      <c r="F1809" s="3">
        <f>IF(ORIG!F1809=0,"",ORIG!F1809)</f>
        <v/>
      </c>
      <c r="G1809" s="3">
        <f>IF(ORIG!G1809=0,"",ORIG!G1809)</f>
        <v/>
      </c>
      <c r="H1809" s="3">
        <f>IF(ORIG!H1809=0,"",ORIG!H1809)</f>
        <v/>
      </c>
      <c r="I1809" s="3">
        <f>IF(ORIG!I1809=0,"",ORIG!I1809)</f>
        <v/>
      </c>
      <c r="J1809" s="3">
        <f>IF(ORIG!J1809=0,"",ORIG!J1809)</f>
        <v/>
      </c>
      <c r="K1809" s="3">
        <f>IF(ORIG!K1809=0,"",ORIG!K1809)</f>
        <v/>
      </c>
      <c r="L1809" s="3">
        <f>IF(ORIG!L1809=0,"",ORIG!L1809)</f>
        <v/>
      </c>
      <c r="M1809" s="3">
        <f>IF(ORIG!M1809=0,"",ORIG!M1809)</f>
        <v/>
      </c>
      <c r="N1809" s="3">
        <f>IF(ORIG!N1809=0,"",ORIG!N1809)</f>
        <v/>
      </c>
      <c r="O1809" s="3">
        <f>IF(ORIG!O1809=0,"",ORIG!O1809)</f>
        <v/>
      </c>
      <c r="P1809" s="3">
        <f>IF(ORIG!P1809=0,"",ORIG!P1809)</f>
        <v/>
      </c>
      <c r="Q1809" s="3">
        <f>IF(ORIG!Q1809=0,"",ORIG!Q1809)</f>
        <v/>
      </c>
      <c r="R1809" s="3">
        <f>IF(ORIG!R1809=0,"",ORIG!R1809)</f>
        <v/>
      </c>
      <c r="S1809" s="3">
        <f>IF(ORIG!S1809=0,"",ORIG!S1809)</f>
        <v/>
      </c>
      <c r="T1809" s="3">
        <f>IF(ORIG!T1809=0,"",ORIG!T1809)</f>
        <v/>
      </c>
      <c r="U1809" s="3">
        <f>IF(ORIG!U1809=0,"",ORIG!U1809)</f>
        <v/>
      </c>
      <c r="V1809" s="9">
        <f>IF(ORIG!V1809=0,"",ORIG!V1809)</f>
        <v/>
      </c>
      <c r="W1809" s="9">
        <f>IF(ORIG!W1809=0,"",ORIG!W1809)</f>
        <v/>
      </c>
      <c r="X1809" s="9">
        <f>IF(ORIG!X1809=0,"",ORIG!X1809)</f>
        <v/>
      </c>
      <c r="Y1809" s="9">
        <f>IF(ORIG!Y1809=0,"",ORIG!Y1809)</f>
        <v/>
      </c>
      <c r="Z1809" s="3">
        <f>SUMPRODUCT($B1809:$Y1809,$B$2649:$Y$2649)</f>
        <v/>
      </c>
      <c r="AA1809" s="3">
        <f>SUMPRODUCT($B1809:$Y1809,$B$2655:$Y$2655)</f>
        <v/>
      </c>
      <c r="AC1809" s="1">
        <f>A1809</f>
        <v/>
      </c>
      <c r="AD1809">
        <f>IF(ISNUMBER(V1809),V1809*($AB$1/V$2635),"")</f>
        <v/>
      </c>
      <c r="AE1809">
        <f>IF(ISNUMBER(Z1809),Z1809*($AB$1/Z$2635),"")</f>
        <v/>
      </c>
      <c r="AF1809" s="25">
        <f>IF(ISNUMBER(AD1809+AE1809),AD1809+AE1809,"")</f>
        <v/>
      </c>
      <c r="AH1809" s="1">
        <f>A1809</f>
        <v/>
      </c>
      <c r="AI1809">
        <f>IF(ISNUMBER((1+V1809)*AI1808),(1+V1809)*AI1808,AI1808)</f>
        <v/>
      </c>
      <c r="AJ1809">
        <f>IF(ISNUMBER((1+Z1809)*AJ1808),(1+Z1809)*AJ1808,AJ1808)</f>
        <v/>
      </c>
    </row>
    <row r="1810">
      <c r="A1810" s="1" t="n">
        <v>44628</v>
      </c>
      <c r="B1810" s="3">
        <f>IF(ORIG!B1810=0,"",ORIG!B1810)</f>
        <v/>
      </c>
      <c r="C1810" s="3">
        <f>IF(ORIG!C1810=0,"",ORIG!C1810)</f>
        <v/>
      </c>
      <c r="D1810" s="3">
        <f>IF(ORIG!D1810=0,"",ORIG!D1810)</f>
        <v/>
      </c>
      <c r="E1810" s="3">
        <f>IF(ORIG!E1810=0,"",ORIG!E1810)</f>
        <v/>
      </c>
      <c r="F1810" s="3">
        <f>IF(ORIG!F1810=0,"",ORIG!F1810)</f>
        <v/>
      </c>
      <c r="G1810" s="3">
        <f>IF(ORIG!G1810=0,"",ORIG!G1810)</f>
        <v/>
      </c>
      <c r="H1810" s="3">
        <f>IF(ORIG!H1810=0,"",ORIG!H1810)</f>
        <v/>
      </c>
      <c r="I1810" s="3">
        <f>IF(ORIG!I1810=0,"",ORIG!I1810)</f>
        <v/>
      </c>
      <c r="J1810" s="3">
        <f>IF(ORIG!J1810=0,"",ORIG!J1810)</f>
        <v/>
      </c>
      <c r="K1810" s="3">
        <f>IF(ORIG!K1810=0,"",ORIG!K1810)</f>
        <v/>
      </c>
      <c r="L1810" s="3">
        <f>IF(ORIG!L1810=0,"",ORIG!L1810)</f>
        <v/>
      </c>
      <c r="M1810" s="3">
        <f>IF(ORIG!M1810=0,"",ORIG!M1810)</f>
        <v/>
      </c>
      <c r="N1810" s="3">
        <f>IF(ORIG!N1810=0,"",ORIG!N1810)</f>
        <v/>
      </c>
      <c r="O1810" s="3">
        <f>IF(ORIG!O1810=0,"",ORIG!O1810)</f>
        <v/>
      </c>
      <c r="P1810" s="3">
        <f>IF(ORIG!P1810=0,"",ORIG!P1810)</f>
        <v/>
      </c>
      <c r="Q1810" s="3">
        <f>IF(ORIG!Q1810=0,"",ORIG!Q1810)</f>
        <v/>
      </c>
      <c r="R1810" s="3">
        <f>IF(ORIG!R1810=0,"",ORIG!R1810)</f>
        <v/>
      </c>
      <c r="S1810" s="3">
        <f>IF(ORIG!S1810=0,"",ORIG!S1810)</f>
        <v/>
      </c>
      <c r="T1810" s="3">
        <f>IF(ORIG!T1810=0,"",ORIG!T1810)</f>
        <v/>
      </c>
      <c r="U1810" s="3">
        <f>IF(ORIG!U1810=0,"",ORIG!U1810)</f>
        <v/>
      </c>
      <c r="V1810" s="9">
        <f>IF(ORIG!V1810=0,"",ORIG!V1810)</f>
        <v/>
      </c>
      <c r="W1810" s="9">
        <f>IF(ORIG!W1810=0,"",ORIG!W1810)</f>
        <v/>
      </c>
      <c r="X1810" s="9">
        <f>IF(ORIG!X1810=0,"",ORIG!X1810)</f>
        <v/>
      </c>
      <c r="Y1810" s="9">
        <f>IF(ORIG!Y1810=0,"",ORIG!Y1810)</f>
        <v/>
      </c>
      <c r="Z1810" s="3">
        <f>SUMPRODUCT($B1810:$Y1810,$B$2649:$Y$2649)</f>
        <v/>
      </c>
      <c r="AA1810" s="3">
        <f>SUMPRODUCT($B1810:$Y1810,$B$2655:$Y$2655)</f>
        <v/>
      </c>
      <c r="AC1810" s="1">
        <f>A1810</f>
        <v/>
      </c>
      <c r="AD1810">
        <f>IF(ISNUMBER(V1810),V1810*($AB$1/V$2635),"")</f>
        <v/>
      </c>
      <c r="AE1810">
        <f>IF(ISNUMBER(Z1810),Z1810*($AB$1/Z$2635),"")</f>
        <v/>
      </c>
      <c r="AF1810" s="25">
        <f>IF(ISNUMBER(AD1810+AE1810),AD1810+AE1810,"")</f>
        <v/>
      </c>
      <c r="AH1810" s="1">
        <f>A1810</f>
        <v/>
      </c>
      <c r="AI1810">
        <f>IF(ISNUMBER((1+V1810)*AI1809),(1+V1810)*AI1809,AI1809)</f>
        <v/>
      </c>
      <c r="AJ1810">
        <f>IF(ISNUMBER((1+Z1810)*AJ1809),(1+Z1810)*AJ1809,AJ1809)</f>
        <v/>
      </c>
    </row>
    <row r="1811">
      <c r="A1811" s="1" t="n">
        <v>44629</v>
      </c>
      <c r="B1811" s="3">
        <f>IF(ORIG!B1811=0,"",ORIG!B1811)</f>
        <v/>
      </c>
      <c r="C1811" s="3">
        <f>IF(ORIG!C1811=0,"",ORIG!C1811)</f>
        <v/>
      </c>
      <c r="D1811" s="3">
        <f>IF(ORIG!D1811=0,"",ORIG!D1811)</f>
        <v/>
      </c>
      <c r="E1811" s="3">
        <f>IF(ORIG!E1811=0,"",ORIG!E1811)</f>
        <v/>
      </c>
      <c r="F1811" s="3">
        <f>IF(ORIG!F1811=0,"",ORIG!F1811)</f>
        <v/>
      </c>
      <c r="G1811" s="3">
        <f>IF(ORIG!G1811=0,"",ORIG!G1811)</f>
        <v/>
      </c>
      <c r="H1811" s="3">
        <f>IF(ORIG!H1811=0,"",ORIG!H1811)</f>
        <v/>
      </c>
      <c r="I1811" s="3">
        <f>IF(ORIG!I1811=0,"",ORIG!I1811)</f>
        <v/>
      </c>
      <c r="J1811" s="3">
        <f>IF(ORIG!J1811=0,"",ORIG!J1811)</f>
        <v/>
      </c>
      <c r="K1811" s="3">
        <f>IF(ORIG!K1811=0,"",ORIG!K1811)</f>
        <v/>
      </c>
      <c r="L1811" s="3">
        <f>IF(ORIG!L1811=0,"",ORIG!L1811)</f>
        <v/>
      </c>
      <c r="M1811" s="3">
        <f>IF(ORIG!M1811=0,"",ORIG!M1811)</f>
        <v/>
      </c>
      <c r="N1811" s="3">
        <f>IF(ORIG!N1811=0,"",ORIG!N1811)</f>
        <v/>
      </c>
      <c r="O1811" s="3">
        <f>IF(ORIG!O1811=0,"",ORIG!O1811)</f>
        <v/>
      </c>
      <c r="P1811" s="3">
        <f>IF(ORIG!P1811=0,"",ORIG!P1811)</f>
        <v/>
      </c>
      <c r="Q1811" s="3">
        <f>IF(ORIG!Q1811=0,"",ORIG!Q1811)</f>
        <v/>
      </c>
      <c r="R1811" s="3">
        <f>IF(ORIG!R1811=0,"",ORIG!R1811)</f>
        <v/>
      </c>
      <c r="S1811" s="3">
        <f>IF(ORIG!S1811=0,"",ORIG!S1811)</f>
        <v/>
      </c>
      <c r="T1811" s="3">
        <f>IF(ORIG!T1811=0,"",ORIG!T1811)</f>
        <v/>
      </c>
      <c r="U1811" s="3">
        <f>IF(ORIG!U1811=0,"",ORIG!U1811)</f>
        <v/>
      </c>
      <c r="V1811" s="9">
        <f>IF(ORIG!V1811=0,"",ORIG!V1811)</f>
        <v/>
      </c>
      <c r="W1811" s="9">
        <f>IF(ORIG!W1811=0,"",ORIG!W1811)</f>
        <v/>
      </c>
      <c r="X1811" s="9">
        <f>IF(ORIG!X1811=0,"",ORIG!X1811)</f>
        <v/>
      </c>
      <c r="Y1811" s="9">
        <f>IF(ORIG!Y1811=0,"",ORIG!Y1811)</f>
        <v/>
      </c>
      <c r="Z1811" s="3">
        <f>SUMPRODUCT($B1811:$Y1811,$B$2649:$Y$2649)</f>
        <v/>
      </c>
      <c r="AA1811" s="3">
        <f>SUMPRODUCT($B1811:$Y1811,$B$2655:$Y$2655)</f>
        <v/>
      </c>
      <c r="AC1811" s="1">
        <f>A1811</f>
        <v/>
      </c>
      <c r="AD1811">
        <f>IF(ISNUMBER(V1811),V1811*($AB$1/V$2635),"")</f>
        <v/>
      </c>
      <c r="AE1811">
        <f>IF(ISNUMBER(Z1811),Z1811*($AB$1/Z$2635),"")</f>
        <v/>
      </c>
      <c r="AF1811" s="25">
        <f>IF(ISNUMBER(AD1811+AE1811),AD1811+AE1811,"")</f>
        <v/>
      </c>
      <c r="AH1811" s="1">
        <f>A1811</f>
        <v/>
      </c>
      <c r="AI1811">
        <f>IF(ISNUMBER((1+V1811)*AI1810),(1+V1811)*AI1810,AI1810)</f>
        <v/>
      </c>
      <c r="AJ1811">
        <f>IF(ISNUMBER((1+Z1811)*AJ1810),(1+Z1811)*AJ1810,AJ1810)</f>
        <v/>
      </c>
    </row>
    <row r="1812">
      <c r="A1812" s="1" t="n">
        <v>44630</v>
      </c>
      <c r="B1812" s="3">
        <f>IF(ORIG!B1812=0,"",ORIG!B1812)</f>
        <v/>
      </c>
      <c r="C1812" s="3">
        <f>IF(ORIG!C1812=0,"",ORIG!C1812)</f>
        <v/>
      </c>
      <c r="D1812" s="3">
        <f>IF(ORIG!D1812=0,"",ORIG!D1812)</f>
        <v/>
      </c>
      <c r="E1812" s="3">
        <f>IF(ORIG!E1812=0,"",ORIG!E1812)</f>
        <v/>
      </c>
      <c r="F1812" s="3">
        <f>IF(ORIG!F1812=0,"",ORIG!F1812)</f>
        <v/>
      </c>
      <c r="G1812" s="3">
        <f>IF(ORIG!G1812=0,"",ORIG!G1812)</f>
        <v/>
      </c>
      <c r="H1812" s="3">
        <f>IF(ORIG!H1812=0,"",ORIG!H1812)</f>
        <v/>
      </c>
      <c r="I1812" s="3">
        <f>IF(ORIG!I1812=0,"",ORIG!I1812)</f>
        <v/>
      </c>
      <c r="J1812" s="3">
        <f>IF(ORIG!J1812=0,"",ORIG!J1812)</f>
        <v/>
      </c>
      <c r="K1812" s="3">
        <f>IF(ORIG!K1812=0,"",ORIG!K1812)</f>
        <v/>
      </c>
      <c r="L1812" s="3">
        <f>IF(ORIG!L1812=0,"",ORIG!L1812)</f>
        <v/>
      </c>
      <c r="M1812" s="3">
        <f>IF(ORIG!M1812=0,"",ORIG!M1812)</f>
        <v/>
      </c>
      <c r="N1812" s="3">
        <f>IF(ORIG!N1812=0,"",ORIG!N1812)</f>
        <v/>
      </c>
      <c r="O1812" s="3">
        <f>IF(ORIG!O1812=0,"",ORIG!O1812)</f>
        <v/>
      </c>
      <c r="P1812" s="3">
        <f>IF(ORIG!P1812=0,"",ORIG!P1812)</f>
        <v/>
      </c>
      <c r="Q1812" s="3">
        <f>IF(ORIG!Q1812=0,"",ORIG!Q1812)</f>
        <v/>
      </c>
      <c r="R1812" s="3">
        <f>IF(ORIG!R1812=0,"",ORIG!R1812)</f>
        <v/>
      </c>
      <c r="S1812" s="3">
        <f>IF(ORIG!S1812=0,"",ORIG!S1812)</f>
        <v/>
      </c>
      <c r="T1812" s="3">
        <f>IF(ORIG!T1812=0,"",ORIG!T1812)</f>
        <v/>
      </c>
      <c r="U1812" s="3">
        <f>IF(ORIG!U1812=0,"",ORIG!U1812)</f>
        <v/>
      </c>
      <c r="V1812" s="9">
        <f>IF(ORIG!V1812=0,"",ORIG!V1812)</f>
        <v/>
      </c>
      <c r="W1812" s="9">
        <f>IF(ORIG!W1812=0,"",ORIG!W1812)</f>
        <v/>
      </c>
      <c r="X1812" s="9">
        <f>IF(ORIG!X1812=0,"",ORIG!X1812)</f>
        <v/>
      </c>
      <c r="Y1812" s="9">
        <f>IF(ORIG!Y1812=0,"",ORIG!Y1812)</f>
        <v/>
      </c>
      <c r="Z1812" s="3">
        <f>SUMPRODUCT($B1812:$Y1812,$B$2649:$Y$2649)</f>
        <v/>
      </c>
      <c r="AA1812" s="3">
        <f>SUMPRODUCT($B1812:$Y1812,$B$2655:$Y$2655)</f>
        <v/>
      </c>
      <c r="AC1812" s="1">
        <f>A1812</f>
        <v/>
      </c>
      <c r="AD1812">
        <f>IF(ISNUMBER(V1812),V1812*($AB$1/V$2635),"")</f>
        <v/>
      </c>
      <c r="AE1812">
        <f>IF(ISNUMBER(Z1812),Z1812*($AB$1/Z$2635),"")</f>
        <v/>
      </c>
      <c r="AF1812" s="25">
        <f>IF(ISNUMBER(AD1812+AE1812),AD1812+AE1812,"")</f>
        <v/>
      </c>
      <c r="AH1812" s="1">
        <f>A1812</f>
        <v/>
      </c>
      <c r="AI1812">
        <f>IF(ISNUMBER((1+V1812)*AI1811),(1+V1812)*AI1811,AI1811)</f>
        <v/>
      </c>
      <c r="AJ1812">
        <f>IF(ISNUMBER((1+Z1812)*AJ1811),(1+Z1812)*AJ1811,AJ1811)</f>
        <v/>
      </c>
    </row>
    <row r="1813">
      <c r="A1813" s="1" t="n">
        <v>44631</v>
      </c>
      <c r="B1813" s="3">
        <f>IF(ORIG!B1813=0,"",ORIG!B1813)</f>
        <v/>
      </c>
      <c r="C1813" s="3">
        <f>IF(ORIG!C1813=0,"",ORIG!C1813)</f>
        <v/>
      </c>
      <c r="D1813" s="3">
        <f>IF(ORIG!D1813=0,"",ORIG!D1813)</f>
        <v/>
      </c>
      <c r="E1813" s="3">
        <f>IF(ORIG!E1813=0,"",ORIG!E1813)</f>
        <v/>
      </c>
      <c r="F1813" s="3">
        <f>IF(ORIG!F1813=0,"",ORIG!F1813)</f>
        <v/>
      </c>
      <c r="G1813" s="3">
        <f>IF(ORIG!G1813=0,"",ORIG!G1813)</f>
        <v/>
      </c>
      <c r="H1813" s="3">
        <f>IF(ORIG!H1813=0,"",ORIG!H1813)</f>
        <v/>
      </c>
      <c r="I1813" s="3">
        <f>IF(ORIG!I1813=0,"",ORIG!I1813)</f>
        <v/>
      </c>
      <c r="J1813" s="3">
        <f>IF(ORIG!J1813=0,"",ORIG!J1813)</f>
        <v/>
      </c>
      <c r="K1813" s="3">
        <f>IF(ORIG!K1813=0,"",ORIG!K1813)</f>
        <v/>
      </c>
      <c r="L1813" s="3">
        <f>IF(ORIG!L1813=0,"",ORIG!L1813)</f>
        <v/>
      </c>
      <c r="M1813" s="3">
        <f>IF(ORIG!M1813=0,"",ORIG!M1813)</f>
        <v/>
      </c>
      <c r="N1813" s="3">
        <f>IF(ORIG!N1813=0,"",ORIG!N1813)</f>
        <v/>
      </c>
      <c r="O1813" s="3">
        <f>IF(ORIG!O1813=0,"",ORIG!O1813)</f>
        <v/>
      </c>
      <c r="P1813" s="3">
        <f>IF(ORIG!P1813=0,"",ORIG!P1813)</f>
        <v/>
      </c>
      <c r="Q1813" s="3">
        <f>IF(ORIG!Q1813=0,"",ORIG!Q1813)</f>
        <v/>
      </c>
      <c r="R1813" s="3">
        <f>IF(ORIG!R1813=0,"",ORIG!R1813)</f>
        <v/>
      </c>
      <c r="S1813" s="3">
        <f>IF(ORIG!S1813=0,"",ORIG!S1813)</f>
        <v/>
      </c>
      <c r="T1813" s="3">
        <f>IF(ORIG!T1813=0,"",ORIG!T1813)</f>
        <v/>
      </c>
      <c r="U1813" s="3">
        <f>IF(ORIG!U1813=0,"",ORIG!U1813)</f>
        <v/>
      </c>
      <c r="V1813" s="9">
        <f>IF(ORIG!V1813=0,"",ORIG!V1813)</f>
        <v/>
      </c>
      <c r="W1813" s="9">
        <f>IF(ORIG!W1813=0,"",ORIG!W1813)</f>
        <v/>
      </c>
      <c r="X1813" s="9">
        <f>IF(ORIG!X1813=0,"",ORIG!X1813)</f>
        <v/>
      </c>
      <c r="Y1813" s="9">
        <f>IF(ORIG!Y1813=0,"",ORIG!Y1813)</f>
        <v/>
      </c>
      <c r="Z1813" s="3">
        <f>SUMPRODUCT($B1813:$Y1813,$B$2649:$Y$2649)</f>
        <v/>
      </c>
      <c r="AA1813" s="3">
        <f>SUMPRODUCT($B1813:$Y1813,$B$2655:$Y$2655)</f>
        <v/>
      </c>
      <c r="AC1813" s="1">
        <f>A1813</f>
        <v/>
      </c>
      <c r="AD1813">
        <f>IF(ISNUMBER(V1813),V1813*($AB$1/V$2635),"")</f>
        <v/>
      </c>
      <c r="AE1813">
        <f>IF(ISNUMBER(Z1813),Z1813*($AB$1/Z$2635),"")</f>
        <v/>
      </c>
      <c r="AF1813" s="25">
        <f>IF(ISNUMBER(AD1813+AE1813),AD1813+AE1813,"")</f>
        <v/>
      </c>
      <c r="AH1813" s="1">
        <f>A1813</f>
        <v/>
      </c>
      <c r="AI1813">
        <f>IF(ISNUMBER((1+V1813)*AI1812),(1+V1813)*AI1812,AI1812)</f>
        <v/>
      </c>
      <c r="AJ1813">
        <f>IF(ISNUMBER((1+Z1813)*AJ1812),(1+Z1813)*AJ1812,AJ1812)</f>
        <v/>
      </c>
    </row>
    <row r="1814">
      <c r="A1814" s="1" t="n">
        <v>44634</v>
      </c>
      <c r="B1814" s="3">
        <f>IF(ORIG!B1814=0,"",ORIG!B1814)</f>
        <v/>
      </c>
      <c r="C1814" s="3">
        <f>IF(ORIG!C1814=0,"",ORIG!C1814)</f>
        <v/>
      </c>
      <c r="D1814" s="3">
        <f>IF(ORIG!D1814=0,"",ORIG!D1814)</f>
        <v/>
      </c>
      <c r="E1814" s="3">
        <f>IF(ORIG!E1814=0,"",ORIG!E1814)</f>
        <v/>
      </c>
      <c r="F1814" s="3">
        <f>IF(ORIG!F1814=0,"",ORIG!F1814)</f>
        <v/>
      </c>
      <c r="G1814" s="3">
        <f>IF(ORIG!G1814=0,"",ORIG!G1814)</f>
        <v/>
      </c>
      <c r="H1814" s="3">
        <f>IF(ORIG!H1814=0,"",ORIG!H1814)</f>
        <v/>
      </c>
      <c r="I1814" s="3">
        <f>IF(ORIG!I1814=0,"",ORIG!I1814)</f>
        <v/>
      </c>
      <c r="J1814" s="3">
        <f>IF(ORIG!J1814=0,"",ORIG!J1814)</f>
        <v/>
      </c>
      <c r="K1814" s="3">
        <f>IF(ORIG!K1814=0,"",ORIG!K1814)</f>
        <v/>
      </c>
      <c r="L1814" s="3">
        <f>IF(ORIG!L1814=0,"",ORIG!L1814)</f>
        <v/>
      </c>
      <c r="M1814" s="3">
        <f>IF(ORIG!M1814=0,"",ORIG!M1814)</f>
        <v/>
      </c>
      <c r="N1814" s="3">
        <f>IF(ORIG!N1814=0,"",ORIG!N1814)</f>
        <v/>
      </c>
      <c r="O1814" s="3">
        <f>IF(ORIG!O1814=0,"",ORIG!O1814)</f>
        <v/>
      </c>
      <c r="P1814" s="3">
        <f>IF(ORIG!P1814=0,"",ORIG!P1814)</f>
        <v/>
      </c>
      <c r="Q1814" s="3">
        <f>IF(ORIG!Q1814=0,"",ORIG!Q1814)</f>
        <v/>
      </c>
      <c r="R1814" s="3">
        <f>IF(ORIG!R1814=0,"",ORIG!R1814)</f>
        <v/>
      </c>
      <c r="S1814" s="3">
        <f>IF(ORIG!S1814=0,"",ORIG!S1814)</f>
        <v/>
      </c>
      <c r="T1814" s="3">
        <f>IF(ORIG!T1814=0,"",ORIG!T1814)</f>
        <v/>
      </c>
      <c r="U1814" s="3">
        <f>IF(ORIG!U1814=0,"",ORIG!U1814)</f>
        <v/>
      </c>
      <c r="V1814" s="9">
        <f>IF(ORIG!V1814=0,"",ORIG!V1814)</f>
        <v/>
      </c>
      <c r="W1814" s="9">
        <f>IF(ORIG!W1814=0,"",ORIG!W1814)</f>
        <v/>
      </c>
      <c r="X1814" s="9">
        <f>IF(ORIG!X1814=0,"",ORIG!X1814)</f>
        <v/>
      </c>
      <c r="Y1814" s="9">
        <f>IF(ORIG!Y1814=0,"",ORIG!Y1814)</f>
        <v/>
      </c>
      <c r="Z1814" s="3">
        <f>SUMPRODUCT($B1814:$Y1814,$B$2649:$Y$2649)</f>
        <v/>
      </c>
      <c r="AA1814" s="3">
        <f>SUMPRODUCT($B1814:$Y1814,$B$2655:$Y$2655)</f>
        <v/>
      </c>
      <c r="AC1814" s="1">
        <f>A1814</f>
        <v/>
      </c>
      <c r="AD1814">
        <f>IF(ISNUMBER(V1814),V1814*($AB$1/V$2635),"")</f>
        <v/>
      </c>
      <c r="AE1814">
        <f>IF(ISNUMBER(Z1814),Z1814*($AB$1/Z$2635),"")</f>
        <v/>
      </c>
      <c r="AF1814" s="25">
        <f>IF(ISNUMBER(AD1814+AE1814),AD1814+AE1814,"")</f>
        <v/>
      </c>
      <c r="AH1814" s="1">
        <f>A1814</f>
        <v/>
      </c>
      <c r="AI1814">
        <f>IF(ISNUMBER((1+V1814)*AI1813),(1+V1814)*AI1813,AI1813)</f>
        <v/>
      </c>
      <c r="AJ1814">
        <f>IF(ISNUMBER((1+Z1814)*AJ1813),(1+Z1814)*AJ1813,AJ1813)</f>
        <v/>
      </c>
    </row>
    <row r="1815">
      <c r="A1815" s="1" t="n">
        <v>44635</v>
      </c>
      <c r="B1815" s="3">
        <f>IF(ORIG!B1815=0,"",ORIG!B1815)</f>
        <v/>
      </c>
      <c r="C1815" s="3">
        <f>IF(ORIG!C1815=0,"",ORIG!C1815)</f>
        <v/>
      </c>
      <c r="D1815" s="3">
        <f>IF(ORIG!D1815=0,"",ORIG!D1815)</f>
        <v/>
      </c>
      <c r="E1815" s="3">
        <f>IF(ORIG!E1815=0,"",ORIG!E1815)</f>
        <v/>
      </c>
      <c r="F1815" s="3">
        <f>IF(ORIG!F1815=0,"",ORIG!F1815)</f>
        <v/>
      </c>
      <c r="G1815" s="3">
        <f>IF(ORIG!G1815=0,"",ORIG!G1815)</f>
        <v/>
      </c>
      <c r="H1815" s="3">
        <f>IF(ORIG!H1815=0,"",ORIG!H1815)</f>
        <v/>
      </c>
      <c r="I1815" s="3">
        <f>IF(ORIG!I1815=0,"",ORIG!I1815)</f>
        <v/>
      </c>
      <c r="J1815" s="3">
        <f>IF(ORIG!J1815=0,"",ORIG!J1815)</f>
        <v/>
      </c>
      <c r="K1815" s="3">
        <f>IF(ORIG!K1815=0,"",ORIG!K1815)</f>
        <v/>
      </c>
      <c r="L1815" s="3">
        <f>IF(ORIG!L1815=0,"",ORIG!L1815)</f>
        <v/>
      </c>
      <c r="M1815" s="3">
        <f>IF(ORIG!M1815=0,"",ORIG!M1815)</f>
        <v/>
      </c>
      <c r="N1815" s="3">
        <f>IF(ORIG!N1815=0,"",ORIG!N1815)</f>
        <v/>
      </c>
      <c r="O1815" s="3">
        <f>IF(ORIG!O1815=0,"",ORIG!O1815)</f>
        <v/>
      </c>
      <c r="P1815" s="3">
        <f>IF(ORIG!P1815=0,"",ORIG!P1815)</f>
        <v/>
      </c>
      <c r="Q1815" s="3">
        <f>IF(ORIG!Q1815=0,"",ORIG!Q1815)</f>
        <v/>
      </c>
      <c r="R1815" s="3">
        <f>IF(ORIG!R1815=0,"",ORIG!R1815)</f>
        <v/>
      </c>
      <c r="S1815" s="3">
        <f>IF(ORIG!S1815=0,"",ORIG!S1815)</f>
        <v/>
      </c>
      <c r="T1815" s="3">
        <f>IF(ORIG!T1815=0,"",ORIG!T1815)</f>
        <v/>
      </c>
      <c r="U1815" s="3">
        <f>IF(ORIG!U1815=0,"",ORIG!U1815)</f>
        <v/>
      </c>
      <c r="V1815" s="9">
        <f>IF(ORIG!V1815=0,"",ORIG!V1815)</f>
        <v/>
      </c>
      <c r="W1815" s="9">
        <f>IF(ORIG!W1815=0,"",ORIG!W1815)</f>
        <v/>
      </c>
      <c r="X1815" s="9">
        <f>IF(ORIG!X1815=0,"",ORIG!X1815)</f>
        <v/>
      </c>
      <c r="Y1815" s="9">
        <f>IF(ORIG!Y1815=0,"",ORIG!Y1815)</f>
        <v/>
      </c>
      <c r="Z1815" s="3">
        <f>SUMPRODUCT($B1815:$Y1815,$B$2649:$Y$2649)</f>
        <v/>
      </c>
      <c r="AA1815" s="3">
        <f>SUMPRODUCT($B1815:$Y1815,$B$2655:$Y$2655)</f>
        <v/>
      </c>
      <c r="AC1815" s="1">
        <f>A1815</f>
        <v/>
      </c>
      <c r="AD1815">
        <f>IF(ISNUMBER(V1815),V1815*($AB$1/V$2635),"")</f>
        <v/>
      </c>
      <c r="AE1815">
        <f>IF(ISNUMBER(Z1815),Z1815*($AB$1/Z$2635),"")</f>
        <v/>
      </c>
      <c r="AF1815" s="25">
        <f>IF(ISNUMBER(AD1815+AE1815),AD1815+AE1815,"")</f>
        <v/>
      </c>
      <c r="AH1815" s="1">
        <f>A1815</f>
        <v/>
      </c>
      <c r="AI1815">
        <f>IF(ISNUMBER((1+V1815)*AI1814),(1+V1815)*AI1814,AI1814)</f>
        <v/>
      </c>
      <c r="AJ1815">
        <f>IF(ISNUMBER((1+Z1815)*AJ1814),(1+Z1815)*AJ1814,AJ1814)</f>
        <v/>
      </c>
    </row>
    <row r="1816">
      <c r="A1816" s="1" t="n">
        <v>44636</v>
      </c>
      <c r="B1816" s="3">
        <f>IF(ORIG!B1816=0,"",ORIG!B1816)</f>
        <v/>
      </c>
      <c r="C1816" s="3">
        <f>IF(ORIG!C1816=0,"",ORIG!C1816)</f>
        <v/>
      </c>
      <c r="D1816" s="3">
        <f>IF(ORIG!D1816=0,"",ORIG!D1816)</f>
        <v/>
      </c>
      <c r="E1816" s="3">
        <f>IF(ORIG!E1816=0,"",ORIG!E1816)</f>
        <v/>
      </c>
      <c r="F1816" s="3">
        <f>IF(ORIG!F1816=0,"",ORIG!F1816)</f>
        <v/>
      </c>
      <c r="G1816" s="3">
        <f>IF(ORIG!G1816=0,"",ORIG!G1816)</f>
        <v/>
      </c>
      <c r="H1816" s="3">
        <f>IF(ORIG!H1816=0,"",ORIG!H1816)</f>
        <v/>
      </c>
      <c r="I1816" s="3">
        <f>IF(ORIG!I1816=0,"",ORIG!I1816)</f>
        <v/>
      </c>
      <c r="J1816" s="3">
        <f>IF(ORIG!J1816=0,"",ORIG!J1816)</f>
        <v/>
      </c>
      <c r="K1816" s="3">
        <f>IF(ORIG!K1816=0,"",ORIG!K1816)</f>
        <v/>
      </c>
      <c r="L1816" s="3">
        <f>IF(ORIG!L1816=0,"",ORIG!L1816)</f>
        <v/>
      </c>
      <c r="M1816" s="3">
        <f>IF(ORIG!M1816=0,"",ORIG!M1816)</f>
        <v/>
      </c>
      <c r="N1816" s="3">
        <f>IF(ORIG!N1816=0,"",ORIG!N1816)</f>
        <v/>
      </c>
      <c r="O1816" s="3">
        <f>IF(ORIG!O1816=0,"",ORIG!O1816)</f>
        <v/>
      </c>
      <c r="P1816" s="3">
        <f>IF(ORIG!P1816=0,"",ORIG!P1816)</f>
        <v/>
      </c>
      <c r="Q1816" s="3">
        <f>IF(ORIG!Q1816=0,"",ORIG!Q1816)</f>
        <v/>
      </c>
      <c r="R1816" s="3">
        <f>IF(ORIG!R1816=0,"",ORIG!R1816)</f>
        <v/>
      </c>
      <c r="S1816" s="3">
        <f>IF(ORIG!S1816=0,"",ORIG!S1816)</f>
        <v/>
      </c>
      <c r="T1816" s="3">
        <f>IF(ORIG!T1816=0,"",ORIG!T1816)</f>
        <v/>
      </c>
      <c r="U1816" s="3">
        <f>IF(ORIG!U1816=0,"",ORIG!U1816)</f>
        <v/>
      </c>
      <c r="V1816" s="9">
        <f>IF(ORIG!V1816=0,"",ORIG!V1816)</f>
        <v/>
      </c>
      <c r="W1816" s="9">
        <f>IF(ORIG!W1816=0,"",ORIG!W1816)</f>
        <v/>
      </c>
      <c r="X1816" s="9">
        <f>IF(ORIG!X1816=0,"",ORIG!X1816)</f>
        <v/>
      </c>
      <c r="Y1816" s="9">
        <f>IF(ORIG!Y1816=0,"",ORIG!Y1816)</f>
        <v/>
      </c>
      <c r="Z1816" s="3">
        <f>SUMPRODUCT($B1816:$Y1816,$B$2649:$Y$2649)</f>
        <v/>
      </c>
      <c r="AA1816" s="3">
        <f>SUMPRODUCT($B1816:$Y1816,$B$2655:$Y$2655)</f>
        <v/>
      </c>
      <c r="AC1816" s="1">
        <f>A1816</f>
        <v/>
      </c>
      <c r="AD1816">
        <f>IF(ISNUMBER(V1816),V1816*($AB$1/V$2635),"")</f>
        <v/>
      </c>
      <c r="AE1816">
        <f>IF(ISNUMBER(Z1816),Z1816*($AB$1/Z$2635),"")</f>
        <v/>
      </c>
      <c r="AF1816" s="25">
        <f>IF(ISNUMBER(AD1816+AE1816),AD1816+AE1816,"")</f>
        <v/>
      </c>
      <c r="AH1816" s="1">
        <f>A1816</f>
        <v/>
      </c>
      <c r="AI1816">
        <f>IF(ISNUMBER((1+V1816)*AI1815),(1+V1816)*AI1815,AI1815)</f>
        <v/>
      </c>
      <c r="AJ1816">
        <f>IF(ISNUMBER((1+Z1816)*AJ1815),(1+Z1816)*AJ1815,AJ1815)</f>
        <v/>
      </c>
    </row>
    <row r="1817">
      <c r="A1817" s="1" t="n">
        <v>44637</v>
      </c>
      <c r="B1817" s="3">
        <f>IF(ORIG!B1817=0,"",ORIG!B1817)</f>
        <v/>
      </c>
      <c r="C1817" s="3">
        <f>IF(ORIG!C1817=0,"",ORIG!C1817)</f>
        <v/>
      </c>
      <c r="D1817" s="3">
        <f>IF(ORIG!D1817=0,"",ORIG!D1817)</f>
        <v/>
      </c>
      <c r="E1817" s="3">
        <f>IF(ORIG!E1817=0,"",ORIG!E1817)</f>
        <v/>
      </c>
      <c r="F1817" s="3">
        <f>IF(ORIG!F1817=0,"",ORIG!F1817)</f>
        <v/>
      </c>
      <c r="G1817" s="3">
        <f>IF(ORIG!G1817=0,"",ORIG!G1817)</f>
        <v/>
      </c>
      <c r="H1817" s="3">
        <f>IF(ORIG!H1817=0,"",ORIG!H1817)</f>
        <v/>
      </c>
      <c r="I1817" s="3">
        <f>IF(ORIG!I1817=0,"",ORIG!I1817)</f>
        <v/>
      </c>
      <c r="J1817" s="3">
        <f>IF(ORIG!J1817=0,"",ORIG!J1817)</f>
        <v/>
      </c>
      <c r="K1817" s="3">
        <f>IF(ORIG!K1817=0,"",ORIG!K1817)</f>
        <v/>
      </c>
      <c r="L1817" s="3">
        <f>IF(ORIG!L1817=0,"",ORIG!L1817)</f>
        <v/>
      </c>
      <c r="M1817" s="3">
        <f>IF(ORIG!M1817=0,"",ORIG!M1817)</f>
        <v/>
      </c>
      <c r="N1817" s="3">
        <f>IF(ORIG!N1817=0,"",ORIG!N1817)</f>
        <v/>
      </c>
      <c r="O1817" s="3">
        <f>IF(ORIG!O1817=0,"",ORIG!O1817)</f>
        <v/>
      </c>
      <c r="P1817" s="3">
        <f>IF(ORIG!P1817=0,"",ORIG!P1817)</f>
        <v/>
      </c>
      <c r="Q1817" s="3">
        <f>IF(ORIG!Q1817=0,"",ORIG!Q1817)</f>
        <v/>
      </c>
      <c r="R1817" s="3">
        <f>IF(ORIG!R1817=0,"",ORIG!R1817)</f>
        <v/>
      </c>
      <c r="S1817" s="3">
        <f>IF(ORIG!S1817=0,"",ORIG!S1817)</f>
        <v/>
      </c>
      <c r="T1817" s="3">
        <f>IF(ORIG!T1817=0,"",ORIG!T1817)</f>
        <v/>
      </c>
      <c r="U1817" s="3">
        <f>IF(ORIG!U1817=0,"",ORIG!U1817)</f>
        <v/>
      </c>
      <c r="V1817" s="9">
        <f>IF(ORIG!V1817=0,"",ORIG!V1817)</f>
        <v/>
      </c>
      <c r="W1817" s="9">
        <f>IF(ORIG!W1817=0,"",ORIG!W1817)</f>
        <v/>
      </c>
      <c r="X1817" s="9">
        <f>IF(ORIG!X1817=0,"",ORIG!X1817)</f>
        <v/>
      </c>
      <c r="Y1817" s="9">
        <f>IF(ORIG!Y1817=0,"",ORIG!Y1817)</f>
        <v/>
      </c>
      <c r="Z1817" s="3">
        <f>SUMPRODUCT($B1817:$Y1817,$B$2649:$Y$2649)</f>
        <v/>
      </c>
      <c r="AA1817" s="3">
        <f>SUMPRODUCT($B1817:$Y1817,$B$2655:$Y$2655)</f>
        <v/>
      </c>
      <c r="AC1817" s="1">
        <f>A1817</f>
        <v/>
      </c>
      <c r="AD1817">
        <f>IF(ISNUMBER(V1817),V1817*($AB$1/V$2635),"")</f>
        <v/>
      </c>
      <c r="AE1817">
        <f>IF(ISNUMBER(Z1817),Z1817*($AB$1/Z$2635),"")</f>
        <v/>
      </c>
      <c r="AF1817" s="25">
        <f>IF(ISNUMBER(AD1817+AE1817),AD1817+AE1817,"")</f>
        <v/>
      </c>
      <c r="AH1817" s="1">
        <f>A1817</f>
        <v/>
      </c>
      <c r="AI1817">
        <f>IF(ISNUMBER((1+V1817)*AI1816),(1+V1817)*AI1816,AI1816)</f>
        <v/>
      </c>
      <c r="AJ1817">
        <f>IF(ISNUMBER((1+Z1817)*AJ1816),(1+Z1817)*AJ1816,AJ1816)</f>
        <v/>
      </c>
    </row>
    <row r="1818">
      <c r="A1818" s="1" t="n">
        <v>44638</v>
      </c>
      <c r="B1818" s="3">
        <f>IF(ORIG!B1818=0,"",ORIG!B1818)</f>
        <v/>
      </c>
      <c r="C1818" s="3">
        <f>IF(ORIG!C1818=0,"",ORIG!C1818)</f>
        <v/>
      </c>
      <c r="D1818" s="3">
        <f>IF(ORIG!D1818=0,"",ORIG!D1818)</f>
        <v/>
      </c>
      <c r="E1818" s="3">
        <f>IF(ORIG!E1818=0,"",ORIG!E1818)</f>
        <v/>
      </c>
      <c r="F1818" s="3">
        <f>IF(ORIG!F1818=0,"",ORIG!F1818)</f>
        <v/>
      </c>
      <c r="G1818" s="3">
        <f>IF(ORIG!G1818=0,"",ORIG!G1818)</f>
        <v/>
      </c>
      <c r="H1818" s="3">
        <f>IF(ORIG!H1818=0,"",ORIG!H1818)</f>
        <v/>
      </c>
      <c r="I1818" s="3">
        <f>IF(ORIG!I1818=0,"",ORIG!I1818)</f>
        <v/>
      </c>
      <c r="J1818" s="3">
        <f>IF(ORIG!J1818=0,"",ORIG!J1818)</f>
        <v/>
      </c>
      <c r="K1818" s="3">
        <f>IF(ORIG!K1818=0,"",ORIG!K1818)</f>
        <v/>
      </c>
      <c r="L1818" s="3">
        <f>IF(ORIG!L1818=0,"",ORIG!L1818)</f>
        <v/>
      </c>
      <c r="M1818" s="3">
        <f>IF(ORIG!M1818=0,"",ORIG!M1818)</f>
        <v/>
      </c>
      <c r="N1818" s="3">
        <f>IF(ORIG!N1818=0,"",ORIG!N1818)</f>
        <v/>
      </c>
      <c r="O1818" s="3">
        <f>IF(ORIG!O1818=0,"",ORIG!O1818)</f>
        <v/>
      </c>
      <c r="P1818" s="3">
        <f>IF(ORIG!P1818=0,"",ORIG!P1818)</f>
        <v/>
      </c>
      <c r="Q1818" s="3">
        <f>IF(ORIG!Q1818=0,"",ORIG!Q1818)</f>
        <v/>
      </c>
      <c r="R1818" s="3">
        <f>IF(ORIG!R1818=0,"",ORIG!R1818)</f>
        <v/>
      </c>
      <c r="S1818" s="3">
        <f>IF(ORIG!S1818=0,"",ORIG!S1818)</f>
        <v/>
      </c>
      <c r="T1818" s="3">
        <f>IF(ORIG!T1818=0,"",ORIG!T1818)</f>
        <v/>
      </c>
      <c r="U1818" s="3">
        <f>IF(ORIG!U1818=0,"",ORIG!U1818)</f>
        <v/>
      </c>
      <c r="V1818" s="9">
        <f>IF(ORIG!V1818=0,"",ORIG!V1818)</f>
        <v/>
      </c>
      <c r="W1818" s="9">
        <f>IF(ORIG!W1818=0,"",ORIG!W1818)</f>
        <v/>
      </c>
      <c r="X1818" s="9">
        <f>IF(ORIG!X1818=0,"",ORIG!X1818)</f>
        <v/>
      </c>
      <c r="Y1818" s="9">
        <f>IF(ORIG!Y1818=0,"",ORIG!Y1818)</f>
        <v/>
      </c>
      <c r="Z1818" s="3">
        <f>SUMPRODUCT($B1818:$Y1818,$B$2649:$Y$2649)</f>
        <v/>
      </c>
      <c r="AA1818" s="3">
        <f>SUMPRODUCT($B1818:$Y1818,$B$2655:$Y$2655)</f>
        <v/>
      </c>
      <c r="AC1818" s="1">
        <f>A1818</f>
        <v/>
      </c>
      <c r="AD1818">
        <f>IF(ISNUMBER(V1818),V1818*($AB$1/V$2635),"")</f>
        <v/>
      </c>
      <c r="AE1818">
        <f>IF(ISNUMBER(Z1818),Z1818*($AB$1/Z$2635),"")</f>
        <v/>
      </c>
      <c r="AF1818" s="25">
        <f>IF(ISNUMBER(AD1818+AE1818),AD1818+AE1818,"")</f>
        <v/>
      </c>
      <c r="AH1818" s="1">
        <f>A1818</f>
        <v/>
      </c>
      <c r="AI1818">
        <f>IF(ISNUMBER((1+V1818)*AI1817),(1+V1818)*AI1817,AI1817)</f>
        <v/>
      </c>
      <c r="AJ1818">
        <f>IF(ISNUMBER((1+Z1818)*AJ1817),(1+Z1818)*AJ1817,AJ1817)</f>
        <v/>
      </c>
    </row>
    <row r="1819">
      <c r="A1819" s="1" t="n">
        <v>44641</v>
      </c>
      <c r="B1819" s="3">
        <f>IF(ORIG!B1819=0,"",ORIG!B1819)</f>
        <v/>
      </c>
      <c r="C1819" s="3">
        <f>IF(ORIG!C1819=0,"",ORIG!C1819)</f>
        <v/>
      </c>
      <c r="D1819" s="3">
        <f>IF(ORIG!D1819=0,"",ORIG!D1819)</f>
        <v/>
      </c>
      <c r="E1819" s="3">
        <f>IF(ORIG!E1819=0,"",ORIG!E1819)</f>
        <v/>
      </c>
      <c r="F1819" s="3">
        <f>IF(ORIG!F1819=0,"",ORIG!F1819)</f>
        <v/>
      </c>
      <c r="G1819" s="3">
        <f>IF(ORIG!G1819=0,"",ORIG!G1819)</f>
        <v/>
      </c>
      <c r="H1819" s="3">
        <f>IF(ORIG!H1819=0,"",ORIG!H1819)</f>
        <v/>
      </c>
      <c r="I1819" s="3">
        <f>IF(ORIG!I1819=0,"",ORIG!I1819)</f>
        <v/>
      </c>
      <c r="J1819" s="3">
        <f>IF(ORIG!J1819=0,"",ORIG!J1819)</f>
        <v/>
      </c>
      <c r="K1819" s="3">
        <f>IF(ORIG!K1819=0,"",ORIG!K1819)</f>
        <v/>
      </c>
      <c r="L1819" s="3">
        <f>IF(ORIG!L1819=0,"",ORIG!L1819)</f>
        <v/>
      </c>
      <c r="M1819" s="3">
        <f>IF(ORIG!M1819=0,"",ORIG!M1819)</f>
        <v/>
      </c>
      <c r="N1819" s="3">
        <f>IF(ORIG!N1819=0,"",ORIG!N1819)</f>
        <v/>
      </c>
      <c r="O1819" s="3">
        <f>IF(ORIG!O1819=0,"",ORIG!O1819)</f>
        <v/>
      </c>
      <c r="P1819" s="3">
        <f>IF(ORIG!P1819=0,"",ORIG!P1819)</f>
        <v/>
      </c>
      <c r="Q1819" s="3">
        <f>IF(ORIG!Q1819=0,"",ORIG!Q1819)</f>
        <v/>
      </c>
      <c r="R1819" s="3">
        <f>IF(ORIG!R1819=0,"",ORIG!R1819)</f>
        <v/>
      </c>
      <c r="S1819" s="3">
        <f>IF(ORIG!S1819=0,"",ORIG!S1819)</f>
        <v/>
      </c>
      <c r="T1819" s="3">
        <f>IF(ORIG!T1819=0,"",ORIG!T1819)</f>
        <v/>
      </c>
      <c r="U1819" s="3">
        <f>IF(ORIG!U1819=0,"",ORIG!U1819)</f>
        <v/>
      </c>
      <c r="V1819" s="9">
        <f>IF(ORIG!V1819=0,"",ORIG!V1819)</f>
        <v/>
      </c>
      <c r="W1819" s="9">
        <f>IF(ORIG!W1819=0,"",ORIG!W1819)</f>
        <v/>
      </c>
      <c r="X1819" s="9">
        <f>IF(ORIG!X1819=0,"",ORIG!X1819)</f>
        <v/>
      </c>
      <c r="Y1819" s="9">
        <f>IF(ORIG!Y1819=0,"",ORIG!Y1819)</f>
        <v/>
      </c>
      <c r="Z1819" s="3">
        <f>SUMPRODUCT($B1819:$Y1819,$B$2649:$Y$2649)</f>
        <v/>
      </c>
      <c r="AA1819" s="3">
        <f>SUMPRODUCT($B1819:$Y1819,$B$2655:$Y$2655)</f>
        <v/>
      </c>
      <c r="AC1819" s="1">
        <f>A1819</f>
        <v/>
      </c>
      <c r="AD1819">
        <f>IF(ISNUMBER(V1819),V1819*($AB$1/V$2635),"")</f>
        <v/>
      </c>
      <c r="AE1819">
        <f>IF(ISNUMBER(Z1819),Z1819*($AB$1/Z$2635),"")</f>
        <v/>
      </c>
      <c r="AF1819" s="25">
        <f>IF(ISNUMBER(AD1819+AE1819),AD1819+AE1819,"")</f>
        <v/>
      </c>
      <c r="AH1819" s="1">
        <f>A1819</f>
        <v/>
      </c>
      <c r="AI1819">
        <f>IF(ISNUMBER((1+V1819)*AI1818),(1+V1819)*AI1818,AI1818)</f>
        <v/>
      </c>
      <c r="AJ1819">
        <f>IF(ISNUMBER((1+Z1819)*AJ1818),(1+Z1819)*AJ1818,AJ1818)</f>
        <v/>
      </c>
    </row>
    <row r="1820">
      <c r="A1820" s="1" t="n">
        <v>44642</v>
      </c>
      <c r="B1820" s="3">
        <f>IF(ORIG!B1820=0,"",ORIG!B1820)</f>
        <v/>
      </c>
      <c r="C1820" s="3">
        <f>IF(ORIG!C1820=0,"",ORIG!C1820)</f>
        <v/>
      </c>
      <c r="D1820" s="3">
        <f>IF(ORIG!D1820=0,"",ORIG!D1820)</f>
        <v/>
      </c>
      <c r="E1820" s="3">
        <f>IF(ORIG!E1820=0,"",ORIG!E1820)</f>
        <v/>
      </c>
      <c r="F1820" s="3">
        <f>IF(ORIG!F1820=0,"",ORIG!F1820)</f>
        <v/>
      </c>
      <c r="G1820" s="3">
        <f>IF(ORIG!G1820=0,"",ORIG!G1820)</f>
        <v/>
      </c>
      <c r="H1820" s="3">
        <f>IF(ORIG!H1820=0,"",ORIG!H1820)</f>
        <v/>
      </c>
      <c r="I1820" s="3">
        <f>IF(ORIG!I1820=0,"",ORIG!I1820)</f>
        <v/>
      </c>
      <c r="J1820" s="3">
        <f>IF(ORIG!J1820=0,"",ORIG!J1820)</f>
        <v/>
      </c>
      <c r="K1820" s="3">
        <f>IF(ORIG!K1820=0,"",ORIG!K1820)</f>
        <v/>
      </c>
      <c r="L1820" s="3">
        <f>IF(ORIG!L1820=0,"",ORIG!L1820)</f>
        <v/>
      </c>
      <c r="M1820" s="3">
        <f>IF(ORIG!M1820=0,"",ORIG!M1820)</f>
        <v/>
      </c>
      <c r="N1820" s="3">
        <f>IF(ORIG!N1820=0,"",ORIG!N1820)</f>
        <v/>
      </c>
      <c r="O1820" s="3">
        <f>IF(ORIG!O1820=0,"",ORIG!O1820)</f>
        <v/>
      </c>
      <c r="P1820" s="3">
        <f>IF(ORIG!P1820=0,"",ORIG!P1820)</f>
        <v/>
      </c>
      <c r="Q1820" s="3">
        <f>IF(ORIG!Q1820=0,"",ORIG!Q1820)</f>
        <v/>
      </c>
      <c r="R1820" s="3">
        <f>IF(ORIG!R1820=0,"",ORIG!R1820)</f>
        <v/>
      </c>
      <c r="S1820" s="3">
        <f>IF(ORIG!S1820=0,"",ORIG!S1820)</f>
        <v/>
      </c>
      <c r="T1820" s="3">
        <f>IF(ORIG!T1820=0,"",ORIG!T1820)</f>
        <v/>
      </c>
      <c r="U1820" s="3">
        <f>IF(ORIG!U1820=0,"",ORIG!U1820)</f>
        <v/>
      </c>
      <c r="V1820" s="9">
        <f>IF(ORIG!V1820=0,"",ORIG!V1820)</f>
        <v/>
      </c>
      <c r="W1820" s="9">
        <f>IF(ORIG!W1820=0,"",ORIG!W1820)</f>
        <v/>
      </c>
      <c r="X1820" s="9">
        <f>IF(ORIG!X1820=0,"",ORIG!X1820)</f>
        <v/>
      </c>
      <c r="Y1820" s="9">
        <f>IF(ORIG!Y1820=0,"",ORIG!Y1820)</f>
        <v/>
      </c>
      <c r="Z1820" s="3">
        <f>SUMPRODUCT($B1820:$Y1820,$B$2649:$Y$2649)</f>
        <v/>
      </c>
      <c r="AA1820" s="3">
        <f>SUMPRODUCT($B1820:$Y1820,$B$2655:$Y$2655)</f>
        <v/>
      </c>
      <c r="AC1820" s="1">
        <f>A1820</f>
        <v/>
      </c>
      <c r="AD1820">
        <f>IF(ISNUMBER(V1820),V1820*($AB$1/V$2635),"")</f>
        <v/>
      </c>
      <c r="AE1820">
        <f>IF(ISNUMBER(Z1820),Z1820*($AB$1/Z$2635),"")</f>
        <v/>
      </c>
      <c r="AF1820" s="25">
        <f>IF(ISNUMBER(AD1820+AE1820),AD1820+AE1820,"")</f>
        <v/>
      </c>
      <c r="AH1820" s="1">
        <f>A1820</f>
        <v/>
      </c>
      <c r="AI1820">
        <f>IF(ISNUMBER((1+V1820)*AI1819),(1+V1820)*AI1819,AI1819)</f>
        <v/>
      </c>
      <c r="AJ1820">
        <f>IF(ISNUMBER((1+Z1820)*AJ1819),(1+Z1820)*AJ1819,AJ1819)</f>
        <v/>
      </c>
    </row>
    <row r="1821">
      <c r="A1821" s="1" t="n">
        <v>44643</v>
      </c>
      <c r="B1821" s="3">
        <f>IF(ORIG!B1821=0,"",ORIG!B1821)</f>
        <v/>
      </c>
      <c r="C1821" s="3">
        <f>IF(ORIG!C1821=0,"",ORIG!C1821)</f>
        <v/>
      </c>
      <c r="D1821" s="3">
        <f>IF(ORIG!D1821=0,"",ORIG!D1821)</f>
        <v/>
      </c>
      <c r="E1821" s="3">
        <f>IF(ORIG!E1821=0,"",ORIG!E1821)</f>
        <v/>
      </c>
      <c r="F1821" s="3">
        <f>IF(ORIG!F1821=0,"",ORIG!F1821)</f>
        <v/>
      </c>
      <c r="G1821" s="3">
        <f>IF(ORIG!G1821=0,"",ORIG!G1821)</f>
        <v/>
      </c>
      <c r="H1821" s="3">
        <f>IF(ORIG!H1821=0,"",ORIG!H1821)</f>
        <v/>
      </c>
      <c r="I1821" s="3">
        <f>IF(ORIG!I1821=0,"",ORIG!I1821)</f>
        <v/>
      </c>
      <c r="J1821" s="3">
        <f>IF(ORIG!J1821=0,"",ORIG!J1821)</f>
        <v/>
      </c>
      <c r="K1821" s="3">
        <f>IF(ORIG!K1821=0,"",ORIG!K1821)</f>
        <v/>
      </c>
      <c r="L1821" s="3">
        <f>IF(ORIG!L1821=0,"",ORIG!L1821)</f>
        <v/>
      </c>
      <c r="M1821" s="3">
        <f>IF(ORIG!M1821=0,"",ORIG!M1821)</f>
        <v/>
      </c>
      <c r="N1821" s="3">
        <f>IF(ORIG!N1821=0,"",ORIG!N1821)</f>
        <v/>
      </c>
      <c r="O1821" s="3">
        <f>IF(ORIG!O1821=0,"",ORIG!O1821)</f>
        <v/>
      </c>
      <c r="P1821" s="3">
        <f>IF(ORIG!P1821=0,"",ORIG!P1821)</f>
        <v/>
      </c>
      <c r="Q1821" s="3">
        <f>IF(ORIG!Q1821=0,"",ORIG!Q1821)</f>
        <v/>
      </c>
      <c r="R1821" s="3">
        <f>IF(ORIG!R1821=0,"",ORIG!R1821)</f>
        <v/>
      </c>
      <c r="S1821" s="3">
        <f>IF(ORIG!S1821=0,"",ORIG!S1821)</f>
        <v/>
      </c>
      <c r="T1821" s="3">
        <f>IF(ORIG!T1821=0,"",ORIG!T1821)</f>
        <v/>
      </c>
      <c r="U1821" s="3">
        <f>IF(ORIG!U1821=0,"",ORIG!U1821)</f>
        <v/>
      </c>
      <c r="V1821" s="9">
        <f>IF(ORIG!V1821=0,"",ORIG!V1821)</f>
        <v/>
      </c>
      <c r="W1821" s="9">
        <f>IF(ORIG!W1821=0,"",ORIG!W1821)</f>
        <v/>
      </c>
      <c r="X1821" s="9">
        <f>IF(ORIG!X1821=0,"",ORIG!X1821)</f>
        <v/>
      </c>
      <c r="Y1821" s="9">
        <f>IF(ORIG!Y1821=0,"",ORIG!Y1821)</f>
        <v/>
      </c>
      <c r="Z1821" s="3">
        <f>SUMPRODUCT($B1821:$Y1821,$B$2649:$Y$2649)</f>
        <v/>
      </c>
      <c r="AA1821" s="3">
        <f>SUMPRODUCT($B1821:$Y1821,$B$2655:$Y$2655)</f>
        <v/>
      </c>
      <c r="AC1821" s="1">
        <f>A1821</f>
        <v/>
      </c>
      <c r="AD1821">
        <f>IF(ISNUMBER(V1821),V1821*($AB$1/V$2635),"")</f>
        <v/>
      </c>
      <c r="AE1821">
        <f>IF(ISNUMBER(Z1821),Z1821*($AB$1/Z$2635),"")</f>
        <v/>
      </c>
      <c r="AF1821" s="25">
        <f>IF(ISNUMBER(AD1821+AE1821),AD1821+AE1821,"")</f>
        <v/>
      </c>
      <c r="AH1821" s="1">
        <f>A1821</f>
        <v/>
      </c>
      <c r="AI1821">
        <f>IF(ISNUMBER((1+V1821)*AI1820),(1+V1821)*AI1820,AI1820)</f>
        <v/>
      </c>
      <c r="AJ1821">
        <f>IF(ISNUMBER((1+Z1821)*AJ1820),(1+Z1821)*AJ1820,AJ1820)</f>
        <v/>
      </c>
    </row>
    <row r="1822">
      <c r="A1822" s="1" t="n">
        <v>44644</v>
      </c>
      <c r="B1822" s="3">
        <f>IF(ORIG!B1822=0,"",ORIG!B1822)</f>
        <v/>
      </c>
      <c r="C1822" s="3">
        <f>IF(ORIG!C1822=0,"",ORIG!C1822)</f>
        <v/>
      </c>
      <c r="D1822" s="3">
        <f>IF(ORIG!D1822=0,"",ORIG!D1822)</f>
        <v/>
      </c>
      <c r="E1822" s="3">
        <f>IF(ORIG!E1822=0,"",ORIG!E1822)</f>
        <v/>
      </c>
      <c r="F1822" s="3">
        <f>IF(ORIG!F1822=0,"",ORIG!F1822)</f>
        <v/>
      </c>
      <c r="G1822" s="3">
        <f>IF(ORIG!G1822=0,"",ORIG!G1822)</f>
        <v/>
      </c>
      <c r="H1822" s="3">
        <f>IF(ORIG!H1822=0,"",ORIG!H1822)</f>
        <v/>
      </c>
      <c r="I1822" s="3">
        <f>IF(ORIG!I1822=0,"",ORIG!I1822)</f>
        <v/>
      </c>
      <c r="J1822" s="3">
        <f>IF(ORIG!J1822=0,"",ORIG!J1822)</f>
        <v/>
      </c>
      <c r="K1822" s="3">
        <f>IF(ORIG!K1822=0,"",ORIG!K1822)</f>
        <v/>
      </c>
      <c r="L1822" s="3">
        <f>IF(ORIG!L1822=0,"",ORIG!L1822)</f>
        <v/>
      </c>
      <c r="M1822" s="3">
        <f>IF(ORIG!M1822=0,"",ORIG!M1822)</f>
        <v/>
      </c>
      <c r="N1822" s="3">
        <f>IF(ORIG!N1822=0,"",ORIG!N1822)</f>
        <v/>
      </c>
      <c r="O1822" s="3">
        <f>IF(ORIG!O1822=0,"",ORIG!O1822)</f>
        <v/>
      </c>
      <c r="P1822" s="3">
        <f>IF(ORIG!P1822=0,"",ORIG!P1822)</f>
        <v/>
      </c>
      <c r="Q1822" s="3">
        <f>IF(ORIG!Q1822=0,"",ORIG!Q1822)</f>
        <v/>
      </c>
      <c r="R1822" s="3">
        <f>IF(ORIG!R1822=0,"",ORIG!R1822)</f>
        <v/>
      </c>
      <c r="S1822" s="3">
        <f>IF(ORIG!S1822=0,"",ORIG!S1822)</f>
        <v/>
      </c>
      <c r="T1822" s="3">
        <f>IF(ORIG!T1822=0,"",ORIG!T1822)</f>
        <v/>
      </c>
      <c r="U1822" s="3">
        <f>IF(ORIG!U1822=0,"",ORIG!U1822)</f>
        <v/>
      </c>
      <c r="V1822" s="9">
        <f>IF(ORIG!V1822=0,"",ORIG!V1822)</f>
        <v/>
      </c>
      <c r="W1822" s="9">
        <f>IF(ORIG!W1822=0,"",ORIG!W1822)</f>
        <v/>
      </c>
      <c r="X1822" s="9">
        <f>IF(ORIG!X1822=0,"",ORIG!X1822)</f>
        <v/>
      </c>
      <c r="Y1822" s="9">
        <f>IF(ORIG!Y1822=0,"",ORIG!Y1822)</f>
        <v/>
      </c>
      <c r="Z1822" s="3">
        <f>SUMPRODUCT($B1822:$Y1822,$B$2649:$Y$2649)</f>
        <v/>
      </c>
      <c r="AA1822" s="3">
        <f>SUMPRODUCT($B1822:$Y1822,$B$2655:$Y$2655)</f>
        <v/>
      </c>
      <c r="AC1822" s="1">
        <f>A1822</f>
        <v/>
      </c>
      <c r="AD1822">
        <f>IF(ISNUMBER(V1822),V1822*($AB$1/V$2635),"")</f>
        <v/>
      </c>
      <c r="AE1822">
        <f>IF(ISNUMBER(Z1822),Z1822*($AB$1/Z$2635),"")</f>
        <v/>
      </c>
      <c r="AF1822" s="25">
        <f>IF(ISNUMBER(AD1822+AE1822),AD1822+AE1822,"")</f>
        <v/>
      </c>
      <c r="AH1822" s="1">
        <f>A1822</f>
        <v/>
      </c>
      <c r="AI1822">
        <f>IF(ISNUMBER((1+V1822)*AI1821),(1+V1822)*AI1821,AI1821)</f>
        <v/>
      </c>
      <c r="AJ1822">
        <f>IF(ISNUMBER((1+Z1822)*AJ1821),(1+Z1822)*AJ1821,AJ1821)</f>
        <v/>
      </c>
    </row>
    <row r="1823">
      <c r="A1823" s="1" t="n">
        <v>44645</v>
      </c>
      <c r="B1823" s="3">
        <f>IF(ORIG!B1823=0,"",ORIG!B1823)</f>
        <v/>
      </c>
      <c r="C1823" s="3">
        <f>IF(ORIG!C1823=0,"",ORIG!C1823)</f>
        <v/>
      </c>
      <c r="D1823" s="3">
        <f>IF(ORIG!D1823=0,"",ORIG!D1823)</f>
        <v/>
      </c>
      <c r="E1823" s="3">
        <f>IF(ORIG!E1823=0,"",ORIG!E1823)</f>
        <v/>
      </c>
      <c r="F1823" s="3">
        <f>IF(ORIG!F1823=0,"",ORIG!F1823)</f>
        <v/>
      </c>
      <c r="G1823" s="3">
        <f>IF(ORIG!G1823=0,"",ORIG!G1823)</f>
        <v/>
      </c>
      <c r="H1823" s="3">
        <f>IF(ORIG!H1823=0,"",ORIG!H1823)</f>
        <v/>
      </c>
      <c r="I1823" s="3">
        <f>IF(ORIG!I1823=0,"",ORIG!I1823)</f>
        <v/>
      </c>
      <c r="J1823" s="3">
        <f>IF(ORIG!J1823=0,"",ORIG!J1823)</f>
        <v/>
      </c>
      <c r="K1823" s="3">
        <f>IF(ORIG!K1823=0,"",ORIG!K1823)</f>
        <v/>
      </c>
      <c r="L1823" s="3">
        <f>IF(ORIG!L1823=0,"",ORIG!L1823)</f>
        <v/>
      </c>
      <c r="M1823" s="3">
        <f>IF(ORIG!M1823=0,"",ORIG!M1823)</f>
        <v/>
      </c>
      <c r="N1823" s="3">
        <f>IF(ORIG!N1823=0,"",ORIG!N1823)</f>
        <v/>
      </c>
      <c r="O1823" s="3">
        <f>IF(ORIG!O1823=0,"",ORIG!O1823)</f>
        <v/>
      </c>
      <c r="P1823" s="3">
        <f>IF(ORIG!P1823=0,"",ORIG!P1823)</f>
        <v/>
      </c>
      <c r="Q1823" s="3">
        <f>IF(ORIG!Q1823=0,"",ORIG!Q1823)</f>
        <v/>
      </c>
      <c r="R1823" s="3">
        <f>IF(ORIG!R1823=0,"",ORIG!R1823)</f>
        <v/>
      </c>
      <c r="S1823" s="3">
        <f>IF(ORIG!S1823=0,"",ORIG!S1823)</f>
        <v/>
      </c>
      <c r="T1823" s="3">
        <f>IF(ORIG!T1823=0,"",ORIG!T1823)</f>
        <v/>
      </c>
      <c r="U1823" s="3">
        <f>IF(ORIG!U1823=0,"",ORIG!U1823)</f>
        <v/>
      </c>
      <c r="V1823" s="9">
        <f>IF(ORIG!V1823=0,"",ORIG!V1823)</f>
        <v/>
      </c>
      <c r="W1823" s="9">
        <f>IF(ORIG!W1823=0,"",ORIG!W1823)</f>
        <v/>
      </c>
      <c r="X1823" s="9">
        <f>IF(ORIG!X1823=0,"",ORIG!X1823)</f>
        <v/>
      </c>
      <c r="Y1823" s="9">
        <f>IF(ORIG!Y1823=0,"",ORIG!Y1823)</f>
        <v/>
      </c>
      <c r="Z1823" s="3">
        <f>SUMPRODUCT($B1823:$Y1823,$B$2649:$Y$2649)</f>
        <v/>
      </c>
      <c r="AA1823" s="3">
        <f>SUMPRODUCT($B1823:$Y1823,$B$2655:$Y$2655)</f>
        <v/>
      </c>
      <c r="AC1823" s="1">
        <f>A1823</f>
        <v/>
      </c>
      <c r="AD1823">
        <f>IF(ISNUMBER(V1823),V1823*($AB$1/V$2635),"")</f>
        <v/>
      </c>
      <c r="AE1823">
        <f>IF(ISNUMBER(Z1823),Z1823*($AB$1/Z$2635),"")</f>
        <v/>
      </c>
      <c r="AF1823" s="25">
        <f>IF(ISNUMBER(AD1823+AE1823),AD1823+AE1823,"")</f>
        <v/>
      </c>
      <c r="AH1823" s="1">
        <f>A1823</f>
        <v/>
      </c>
      <c r="AI1823">
        <f>IF(ISNUMBER((1+V1823)*AI1822),(1+V1823)*AI1822,AI1822)</f>
        <v/>
      </c>
      <c r="AJ1823">
        <f>IF(ISNUMBER((1+Z1823)*AJ1822),(1+Z1823)*AJ1822,AJ1822)</f>
        <v/>
      </c>
    </row>
    <row r="1824">
      <c r="A1824" s="1" t="n">
        <v>44648</v>
      </c>
      <c r="B1824" s="3">
        <f>IF(ORIG!B1824=0,"",ORIG!B1824)</f>
        <v/>
      </c>
      <c r="C1824" s="3">
        <f>IF(ORIG!C1824=0,"",ORIG!C1824)</f>
        <v/>
      </c>
      <c r="D1824" s="3">
        <f>IF(ORIG!D1824=0,"",ORIG!D1824)</f>
        <v/>
      </c>
      <c r="E1824" s="3">
        <f>IF(ORIG!E1824=0,"",ORIG!E1824)</f>
        <v/>
      </c>
      <c r="F1824" s="3">
        <f>IF(ORIG!F1824=0,"",ORIG!F1824)</f>
        <v/>
      </c>
      <c r="G1824" s="3">
        <f>IF(ORIG!G1824=0,"",ORIG!G1824)</f>
        <v/>
      </c>
      <c r="H1824" s="3">
        <f>IF(ORIG!H1824=0,"",ORIG!H1824)</f>
        <v/>
      </c>
      <c r="I1824" s="3">
        <f>IF(ORIG!I1824=0,"",ORIG!I1824)</f>
        <v/>
      </c>
      <c r="J1824" s="3">
        <f>IF(ORIG!J1824=0,"",ORIG!J1824)</f>
        <v/>
      </c>
      <c r="K1824" s="3">
        <f>IF(ORIG!K1824=0,"",ORIG!K1824)</f>
        <v/>
      </c>
      <c r="L1824" s="3">
        <f>IF(ORIG!L1824=0,"",ORIG!L1824)</f>
        <v/>
      </c>
      <c r="M1824" s="3">
        <f>IF(ORIG!M1824=0,"",ORIG!M1824)</f>
        <v/>
      </c>
      <c r="N1824" s="3">
        <f>IF(ORIG!N1824=0,"",ORIG!N1824)</f>
        <v/>
      </c>
      <c r="O1824" s="3">
        <f>IF(ORIG!O1824=0,"",ORIG!O1824)</f>
        <v/>
      </c>
      <c r="P1824" s="3">
        <f>IF(ORIG!P1824=0,"",ORIG!P1824)</f>
        <v/>
      </c>
      <c r="Q1824" s="3">
        <f>IF(ORIG!Q1824=0,"",ORIG!Q1824)</f>
        <v/>
      </c>
      <c r="R1824" s="3">
        <f>IF(ORIG!R1824=0,"",ORIG!R1824)</f>
        <v/>
      </c>
      <c r="S1824" s="3">
        <f>IF(ORIG!S1824=0,"",ORIG!S1824)</f>
        <v/>
      </c>
      <c r="T1824" s="3">
        <f>IF(ORIG!T1824=0,"",ORIG!T1824)</f>
        <v/>
      </c>
      <c r="U1824" s="3">
        <f>IF(ORIG!U1824=0,"",ORIG!U1824)</f>
        <v/>
      </c>
      <c r="V1824" s="9">
        <f>IF(ORIG!V1824=0,"",ORIG!V1824)</f>
        <v/>
      </c>
      <c r="W1824" s="9">
        <f>IF(ORIG!W1824=0,"",ORIG!W1824)</f>
        <v/>
      </c>
      <c r="X1824" s="9">
        <f>IF(ORIG!X1824=0,"",ORIG!X1824)</f>
        <v/>
      </c>
      <c r="Y1824" s="9">
        <f>IF(ORIG!Y1824=0,"",ORIG!Y1824)</f>
        <v/>
      </c>
      <c r="Z1824" s="3">
        <f>SUMPRODUCT($B1824:$Y1824,$B$2649:$Y$2649)</f>
        <v/>
      </c>
      <c r="AA1824" s="3">
        <f>SUMPRODUCT($B1824:$Y1824,$B$2655:$Y$2655)</f>
        <v/>
      </c>
      <c r="AC1824" s="1">
        <f>A1824</f>
        <v/>
      </c>
      <c r="AD1824">
        <f>IF(ISNUMBER(V1824),V1824*($AB$1/V$2635),"")</f>
        <v/>
      </c>
      <c r="AE1824">
        <f>IF(ISNUMBER(Z1824),Z1824*($AB$1/Z$2635),"")</f>
        <v/>
      </c>
      <c r="AF1824" s="25">
        <f>IF(ISNUMBER(AD1824+AE1824),AD1824+AE1824,"")</f>
        <v/>
      </c>
      <c r="AH1824" s="1">
        <f>A1824</f>
        <v/>
      </c>
      <c r="AI1824">
        <f>IF(ISNUMBER((1+V1824)*AI1823),(1+V1824)*AI1823,AI1823)</f>
        <v/>
      </c>
      <c r="AJ1824">
        <f>IF(ISNUMBER((1+Z1824)*AJ1823),(1+Z1824)*AJ1823,AJ1823)</f>
        <v/>
      </c>
    </row>
    <row r="1825">
      <c r="A1825" s="1" t="n">
        <v>44649</v>
      </c>
      <c r="B1825" s="3">
        <f>IF(ORIG!B1825=0,"",ORIG!B1825)</f>
        <v/>
      </c>
      <c r="C1825" s="3">
        <f>IF(ORIG!C1825=0,"",ORIG!C1825)</f>
        <v/>
      </c>
      <c r="D1825" s="3">
        <f>IF(ORIG!D1825=0,"",ORIG!D1825)</f>
        <v/>
      </c>
      <c r="E1825" s="3">
        <f>IF(ORIG!E1825=0,"",ORIG!E1825)</f>
        <v/>
      </c>
      <c r="F1825" s="3">
        <f>IF(ORIG!F1825=0,"",ORIG!F1825)</f>
        <v/>
      </c>
      <c r="G1825" s="3">
        <f>IF(ORIG!G1825=0,"",ORIG!G1825)</f>
        <v/>
      </c>
      <c r="H1825" s="3">
        <f>IF(ORIG!H1825=0,"",ORIG!H1825)</f>
        <v/>
      </c>
      <c r="I1825" s="3">
        <f>IF(ORIG!I1825=0,"",ORIG!I1825)</f>
        <v/>
      </c>
      <c r="J1825" s="3">
        <f>IF(ORIG!J1825=0,"",ORIG!J1825)</f>
        <v/>
      </c>
      <c r="K1825" s="3">
        <f>IF(ORIG!K1825=0,"",ORIG!K1825)</f>
        <v/>
      </c>
      <c r="L1825" s="3">
        <f>IF(ORIG!L1825=0,"",ORIG!L1825)</f>
        <v/>
      </c>
      <c r="M1825" s="3">
        <f>IF(ORIG!M1825=0,"",ORIG!M1825)</f>
        <v/>
      </c>
      <c r="N1825" s="3">
        <f>IF(ORIG!N1825=0,"",ORIG!N1825)</f>
        <v/>
      </c>
      <c r="O1825" s="3">
        <f>IF(ORIG!O1825=0,"",ORIG!O1825)</f>
        <v/>
      </c>
      <c r="P1825" s="3">
        <f>IF(ORIG!P1825=0,"",ORIG!P1825)</f>
        <v/>
      </c>
      <c r="Q1825" s="3">
        <f>IF(ORIG!Q1825=0,"",ORIG!Q1825)</f>
        <v/>
      </c>
      <c r="R1825" s="3">
        <f>IF(ORIG!R1825=0,"",ORIG!R1825)</f>
        <v/>
      </c>
      <c r="S1825" s="3">
        <f>IF(ORIG!S1825=0,"",ORIG!S1825)</f>
        <v/>
      </c>
      <c r="T1825" s="3">
        <f>IF(ORIG!T1825=0,"",ORIG!T1825)</f>
        <v/>
      </c>
      <c r="U1825" s="3">
        <f>IF(ORIG!U1825=0,"",ORIG!U1825)</f>
        <v/>
      </c>
      <c r="V1825" s="9">
        <f>IF(ORIG!V1825=0,"",ORIG!V1825)</f>
        <v/>
      </c>
      <c r="W1825" s="9">
        <f>IF(ORIG!W1825=0,"",ORIG!W1825)</f>
        <v/>
      </c>
      <c r="X1825" s="9">
        <f>IF(ORIG!X1825=0,"",ORIG!X1825)</f>
        <v/>
      </c>
      <c r="Y1825" s="9">
        <f>IF(ORIG!Y1825=0,"",ORIG!Y1825)</f>
        <v/>
      </c>
      <c r="Z1825" s="3">
        <f>SUMPRODUCT($B1825:$Y1825,$B$2649:$Y$2649)</f>
        <v/>
      </c>
      <c r="AA1825" s="3">
        <f>SUMPRODUCT($B1825:$Y1825,$B$2655:$Y$2655)</f>
        <v/>
      </c>
      <c r="AC1825" s="1">
        <f>A1825</f>
        <v/>
      </c>
      <c r="AD1825">
        <f>IF(ISNUMBER(V1825),V1825*($AB$1/V$2635),"")</f>
        <v/>
      </c>
      <c r="AE1825">
        <f>IF(ISNUMBER(Z1825),Z1825*($AB$1/Z$2635),"")</f>
        <v/>
      </c>
      <c r="AF1825" s="25">
        <f>IF(ISNUMBER(AD1825+AE1825),AD1825+AE1825,"")</f>
        <v/>
      </c>
      <c r="AH1825" s="1">
        <f>A1825</f>
        <v/>
      </c>
      <c r="AI1825">
        <f>IF(ISNUMBER((1+V1825)*AI1824),(1+V1825)*AI1824,AI1824)</f>
        <v/>
      </c>
      <c r="AJ1825">
        <f>IF(ISNUMBER((1+Z1825)*AJ1824),(1+Z1825)*AJ1824,AJ1824)</f>
        <v/>
      </c>
    </row>
    <row r="1826">
      <c r="A1826" s="1" t="n">
        <v>44650</v>
      </c>
      <c r="B1826" s="3">
        <f>IF(ORIG!B1826=0,"",ORIG!B1826)</f>
        <v/>
      </c>
      <c r="C1826" s="3">
        <f>IF(ORIG!C1826=0,"",ORIG!C1826)</f>
        <v/>
      </c>
      <c r="D1826" s="3">
        <f>IF(ORIG!D1826=0,"",ORIG!D1826)</f>
        <v/>
      </c>
      <c r="E1826" s="3">
        <f>IF(ORIG!E1826=0,"",ORIG!E1826)</f>
        <v/>
      </c>
      <c r="F1826" s="3">
        <f>IF(ORIG!F1826=0,"",ORIG!F1826)</f>
        <v/>
      </c>
      <c r="G1826" s="3">
        <f>IF(ORIG!G1826=0,"",ORIG!G1826)</f>
        <v/>
      </c>
      <c r="H1826" s="3">
        <f>IF(ORIG!H1826=0,"",ORIG!H1826)</f>
        <v/>
      </c>
      <c r="I1826" s="3">
        <f>IF(ORIG!I1826=0,"",ORIG!I1826)</f>
        <v/>
      </c>
      <c r="J1826" s="3">
        <f>IF(ORIG!J1826=0,"",ORIG!J1826)</f>
        <v/>
      </c>
      <c r="K1826" s="3">
        <f>IF(ORIG!K1826=0,"",ORIG!K1826)</f>
        <v/>
      </c>
      <c r="L1826" s="3">
        <f>IF(ORIG!L1826=0,"",ORIG!L1826)</f>
        <v/>
      </c>
      <c r="M1826" s="3">
        <f>IF(ORIG!M1826=0,"",ORIG!M1826)</f>
        <v/>
      </c>
      <c r="N1826" s="3">
        <f>IF(ORIG!N1826=0,"",ORIG!N1826)</f>
        <v/>
      </c>
      <c r="O1826" s="3">
        <f>IF(ORIG!O1826=0,"",ORIG!O1826)</f>
        <v/>
      </c>
      <c r="P1826" s="3">
        <f>IF(ORIG!P1826=0,"",ORIG!P1826)</f>
        <v/>
      </c>
      <c r="Q1826" s="3">
        <f>IF(ORIG!Q1826=0,"",ORIG!Q1826)</f>
        <v/>
      </c>
      <c r="R1826" s="3">
        <f>IF(ORIG!R1826=0,"",ORIG!R1826)</f>
        <v/>
      </c>
      <c r="S1826" s="3">
        <f>IF(ORIG!S1826=0,"",ORIG!S1826)</f>
        <v/>
      </c>
      <c r="T1826" s="3">
        <f>IF(ORIG!T1826=0,"",ORIG!T1826)</f>
        <v/>
      </c>
      <c r="U1826" s="3">
        <f>IF(ORIG!U1826=0,"",ORIG!U1826)</f>
        <v/>
      </c>
      <c r="V1826" s="9">
        <f>IF(ORIG!V1826=0,"",ORIG!V1826)</f>
        <v/>
      </c>
      <c r="W1826" s="9">
        <f>IF(ORIG!W1826=0,"",ORIG!W1826)</f>
        <v/>
      </c>
      <c r="X1826" s="9">
        <f>IF(ORIG!X1826=0,"",ORIG!X1826)</f>
        <v/>
      </c>
      <c r="Y1826" s="9">
        <f>IF(ORIG!Y1826=0,"",ORIG!Y1826)</f>
        <v/>
      </c>
      <c r="Z1826" s="3">
        <f>SUMPRODUCT($B1826:$Y1826,$B$2649:$Y$2649)</f>
        <v/>
      </c>
      <c r="AA1826" s="3">
        <f>SUMPRODUCT($B1826:$Y1826,$B$2655:$Y$2655)</f>
        <v/>
      </c>
      <c r="AC1826" s="1">
        <f>A1826</f>
        <v/>
      </c>
      <c r="AD1826">
        <f>IF(ISNUMBER(V1826),V1826*($AB$1/V$2635),"")</f>
        <v/>
      </c>
      <c r="AE1826">
        <f>IF(ISNUMBER(Z1826),Z1826*($AB$1/Z$2635),"")</f>
        <v/>
      </c>
      <c r="AF1826" s="25">
        <f>IF(ISNUMBER(AD1826+AE1826),AD1826+AE1826,"")</f>
        <v/>
      </c>
      <c r="AH1826" s="1">
        <f>A1826</f>
        <v/>
      </c>
      <c r="AI1826">
        <f>IF(ISNUMBER((1+V1826)*AI1825),(1+V1826)*AI1825,AI1825)</f>
        <v/>
      </c>
      <c r="AJ1826">
        <f>IF(ISNUMBER((1+Z1826)*AJ1825),(1+Z1826)*AJ1825,AJ1825)</f>
        <v/>
      </c>
    </row>
    <row r="1827">
      <c r="A1827" s="1" t="n">
        <v>44651</v>
      </c>
      <c r="B1827" s="3">
        <f>IF(ORIG!B1827=0,"",ORIG!B1827)</f>
        <v/>
      </c>
      <c r="C1827" s="3">
        <f>IF(ORIG!C1827=0,"",ORIG!C1827)</f>
        <v/>
      </c>
      <c r="D1827" s="3">
        <f>IF(ORIG!D1827=0,"",ORIG!D1827)</f>
        <v/>
      </c>
      <c r="E1827" s="3">
        <f>IF(ORIG!E1827=0,"",ORIG!E1827)</f>
        <v/>
      </c>
      <c r="F1827" s="3">
        <f>IF(ORIG!F1827=0,"",ORIG!F1827)</f>
        <v/>
      </c>
      <c r="G1827" s="3">
        <f>IF(ORIG!G1827=0,"",ORIG!G1827)</f>
        <v/>
      </c>
      <c r="H1827" s="3">
        <f>IF(ORIG!H1827=0,"",ORIG!H1827)</f>
        <v/>
      </c>
      <c r="I1827" s="3">
        <f>IF(ORIG!I1827=0,"",ORIG!I1827)</f>
        <v/>
      </c>
      <c r="J1827" s="3">
        <f>IF(ORIG!J1827=0,"",ORIG!J1827)</f>
        <v/>
      </c>
      <c r="K1827" s="3">
        <f>IF(ORIG!K1827=0,"",ORIG!K1827)</f>
        <v/>
      </c>
      <c r="L1827" s="3">
        <f>IF(ORIG!L1827=0,"",ORIG!L1827)</f>
        <v/>
      </c>
      <c r="M1827" s="3">
        <f>IF(ORIG!M1827=0,"",ORIG!M1827)</f>
        <v/>
      </c>
      <c r="N1827" s="3">
        <f>IF(ORIG!N1827=0,"",ORIG!N1827)</f>
        <v/>
      </c>
      <c r="O1827" s="3">
        <f>IF(ORIG!O1827=0,"",ORIG!O1827)</f>
        <v/>
      </c>
      <c r="P1827" s="3">
        <f>IF(ORIG!P1827=0,"",ORIG!P1827)</f>
        <v/>
      </c>
      <c r="Q1827" s="3">
        <f>IF(ORIG!Q1827=0,"",ORIG!Q1827)</f>
        <v/>
      </c>
      <c r="R1827" s="3">
        <f>IF(ORIG!R1827=0,"",ORIG!R1827)</f>
        <v/>
      </c>
      <c r="S1827" s="3">
        <f>IF(ORIG!S1827=0,"",ORIG!S1827)</f>
        <v/>
      </c>
      <c r="T1827" s="3">
        <f>IF(ORIG!T1827=0,"",ORIG!T1827)</f>
        <v/>
      </c>
      <c r="U1827" s="3">
        <f>IF(ORIG!U1827=0,"",ORIG!U1827)</f>
        <v/>
      </c>
      <c r="V1827" s="9">
        <f>IF(ORIG!V1827=0,"",ORIG!V1827)</f>
        <v/>
      </c>
      <c r="W1827" s="9">
        <f>IF(ORIG!W1827=0,"",ORIG!W1827)</f>
        <v/>
      </c>
      <c r="X1827" s="9">
        <f>IF(ORIG!X1827=0,"",ORIG!X1827)</f>
        <v/>
      </c>
      <c r="Y1827" s="9">
        <f>IF(ORIG!Y1827=0,"",ORIG!Y1827)</f>
        <v/>
      </c>
      <c r="Z1827" s="3">
        <f>SUMPRODUCT($B1827:$Y1827,$B$2649:$Y$2649)</f>
        <v/>
      </c>
      <c r="AA1827" s="3">
        <f>SUMPRODUCT($B1827:$Y1827,$B$2655:$Y$2655)</f>
        <v/>
      </c>
      <c r="AC1827" s="1">
        <f>A1827</f>
        <v/>
      </c>
      <c r="AD1827">
        <f>IF(ISNUMBER(V1827),V1827*($AB$1/V$2635),"")</f>
        <v/>
      </c>
      <c r="AE1827">
        <f>IF(ISNUMBER(Z1827),Z1827*($AB$1/Z$2635),"")</f>
        <v/>
      </c>
      <c r="AF1827" s="25">
        <f>IF(ISNUMBER(AD1827+AE1827),AD1827+AE1827,"")</f>
        <v/>
      </c>
      <c r="AH1827" s="1">
        <f>A1827</f>
        <v/>
      </c>
      <c r="AI1827">
        <f>IF(ISNUMBER((1+V1827)*AI1826),(1+V1827)*AI1826,AI1826)</f>
        <v/>
      </c>
      <c r="AJ1827">
        <f>IF(ISNUMBER((1+Z1827)*AJ1826),(1+Z1827)*AJ1826,AJ1826)</f>
        <v/>
      </c>
    </row>
    <row r="1828">
      <c r="A1828" s="1" t="n">
        <v>44652</v>
      </c>
      <c r="B1828" s="3">
        <f>IF(ORIG!B1828=0,"",ORIG!B1828)</f>
        <v/>
      </c>
      <c r="C1828" s="3">
        <f>IF(ORIG!C1828=0,"",ORIG!C1828)</f>
        <v/>
      </c>
      <c r="D1828" s="3">
        <f>IF(ORIG!D1828=0,"",ORIG!D1828)</f>
        <v/>
      </c>
      <c r="E1828" s="3">
        <f>IF(ORIG!E1828=0,"",ORIG!E1828)</f>
        <v/>
      </c>
      <c r="F1828" s="3">
        <f>IF(ORIG!F1828=0,"",ORIG!F1828)</f>
        <v/>
      </c>
      <c r="G1828" s="3">
        <f>IF(ORIG!G1828=0,"",ORIG!G1828)</f>
        <v/>
      </c>
      <c r="H1828" s="3">
        <f>IF(ORIG!H1828=0,"",ORIG!H1828)</f>
        <v/>
      </c>
      <c r="I1828" s="3">
        <f>IF(ORIG!I1828=0,"",ORIG!I1828)</f>
        <v/>
      </c>
      <c r="J1828" s="3">
        <f>IF(ORIG!J1828=0,"",ORIG!J1828)</f>
        <v/>
      </c>
      <c r="K1828" s="3">
        <f>IF(ORIG!K1828=0,"",ORIG!K1828)</f>
        <v/>
      </c>
      <c r="L1828" s="3">
        <f>IF(ORIG!L1828=0,"",ORIG!L1828)</f>
        <v/>
      </c>
      <c r="M1828" s="3">
        <f>IF(ORIG!M1828=0,"",ORIG!M1828)</f>
        <v/>
      </c>
      <c r="N1828" s="3">
        <f>IF(ORIG!N1828=0,"",ORIG!N1828)</f>
        <v/>
      </c>
      <c r="O1828" s="3">
        <f>IF(ORIG!O1828=0,"",ORIG!O1828)</f>
        <v/>
      </c>
      <c r="P1828" s="3">
        <f>IF(ORIG!P1828=0,"",ORIG!P1828)</f>
        <v/>
      </c>
      <c r="Q1828" s="3">
        <f>IF(ORIG!Q1828=0,"",ORIG!Q1828)</f>
        <v/>
      </c>
      <c r="R1828" s="3">
        <f>IF(ORIG!R1828=0,"",ORIG!R1828)</f>
        <v/>
      </c>
      <c r="S1828" s="3">
        <f>IF(ORIG!S1828=0,"",ORIG!S1828)</f>
        <v/>
      </c>
      <c r="T1828" s="3">
        <f>IF(ORIG!T1828=0,"",ORIG!T1828)</f>
        <v/>
      </c>
      <c r="U1828" s="3">
        <f>IF(ORIG!U1828=0,"",ORIG!U1828)</f>
        <v/>
      </c>
      <c r="V1828" s="9">
        <f>IF(ORIG!V1828=0,"",ORIG!V1828)</f>
        <v/>
      </c>
      <c r="W1828" s="9">
        <f>IF(ORIG!W1828=0,"",ORIG!W1828)</f>
        <v/>
      </c>
      <c r="X1828" s="9">
        <f>IF(ORIG!X1828=0,"",ORIG!X1828)</f>
        <v/>
      </c>
      <c r="Y1828" s="9">
        <f>IF(ORIG!Y1828=0,"",ORIG!Y1828)</f>
        <v/>
      </c>
      <c r="Z1828" s="3">
        <f>SUMPRODUCT($B1828:$Y1828,$B$2649:$Y$2649)</f>
        <v/>
      </c>
      <c r="AA1828" s="3">
        <f>SUMPRODUCT($B1828:$Y1828,$B$2655:$Y$2655)</f>
        <v/>
      </c>
      <c r="AC1828" s="1">
        <f>A1828</f>
        <v/>
      </c>
      <c r="AD1828">
        <f>IF(ISNUMBER(V1828),V1828*($AB$1/V$2635),"")</f>
        <v/>
      </c>
      <c r="AE1828">
        <f>IF(ISNUMBER(Z1828),Z1828*($AB$1/Z$2635),"")</f>
        <v/>
      </c>
      <c r="AF1828" s="25">
        <f>IF(ISNUMBER(AD1828+AE1828),AD1828+AE1828,"")</f>
        <v/>
      </c>
      <c r="AH1828" s="1">
        <f>A1828</f>
        <v/>
      </c>
      <c r="AI1828">
        <f>IF(ISNUMBER((1+V1828)*AI1827),(1+V1828)*AI1827,AI1827)</f>
        <v/>
      </c>
      <c r="AJ1828">
        <f>IF(ISNUMBER((1+Z1828)*AJ1827),(1+Z1828)*AJ1827,AJ1827)</f>
        <v/>
      </c>
    </row>
    <row r="1829">
      <c r="A1829" s="1" t="n">
        <v>44655</v>
      </c>
      <c r="B1829" s="3">
        <f>IF(ORIG!B1829=0,"",ORIG!B1829)</f>
        <v/>
      </c>
      <c r="C1829" s="3">
        <f>IF(ORIG!C1829=0,"",ORIG!C1829)</f>
        <v/>
      </c>
      <c r="D1829" s="3">
        <f>IF(ORIG!D1829=0,"",ORIG!D1829)</f>
        <v/>
      </c>
      <c r="E1829" s="3">
        <f>IF(ORIG!E1829=0,"",ORIG!E1829)</f>
        <v/>
      </c>
      <c r="F1829" s="3">
        <f>IF(ORIG!F1829=0,"",ORIG!F1829)</f>
        <v/>
      </c>
      <c r="G1829" s="3">
        <f>IF(ORIG!G1829=0,"",ORIG!G1829)</f>
        <v/>
      </c>
      <c r="H1829" s="3">
        <f>IF(ORIG!H1829=0,"",ORIG!H1829)</f>
        <v/>
      </c>
      <c r="I1829" s="3">
        <f>IF(ORIG!I1829=0,"",ORIG!I1829)</f>
        <v/>
      </c>
      <c r="J1829" s="3">
        <f>IF(ORIG!J1829=0,"",ORIG!J1829)</f>
        <v/>
      </c>
      <c r="K1829" s="3">
        <f>IF(ORIG!K1829=0,"",ORIG!K1829)</f>
        <v/>
      </c>
      <c r="L1829" s="3">
        <f>IF(ORIG!L1829=0,"",ORIG!L1829)</f>
        <v/>
      </c>
      <c r="M1829" s="3">
        <f>IF(ORIG!M1829=0,"",ORIG!M1829)</f>
        <v/>
      </c>
      <c r="N1829" s="3">
        <f>IF(ORIG!N1829=0,"",ORIG!N1829)</f>
        <v/>
      </c>
      <c r="O1829" s="3">
        <f>IF(ORIG!O1829=0,"",ORIG!O1829)</f>
        <v/>
      </c>
      <c r="P1829" s="3">
        <f>IF(ORIG!P1829=0,"",ORIG!P1829)</f>
        <v/>
      </c>
      <c r="Q1829" s="3">
        <f>IF(ORIG!Q1829=0,"",ORIG!Q1829)</f>
        <v/>
      </c>
      <c r="R1829" s="3">
        <f>IF(ORIG!R1829=0,"",ORIG!R1829)</f>
        <v/>
      </c>
      <c r="S1829" s="3">
        <f>IF(ORIG!S1829=0,"",ORIG!S1829)</f>
        <v/>
      </c>
      <c r="T1829" s="3">
        <f>IF(ORIG!T1829=0,"",ORIG!T1829)</f>
        <v/>
      </c>
      <c r="U1829" s="3">
        <f>IF(ORIG!U1829=0,"",ORIG!U1829)</f>
        <v/>
      </c>
      <c r="V1829" s="9">
        <f>IF(ORIG!V1829=0,"",ORIG!V1829)</f>
        <v/>
      </c>
      <c r="W1829" s="9">
        <f>IF(ORIG!W1829=0,"",ORIG!W1829)</f>
        <v/>
      </c>
      <c r="X1829" s="9">
        <f>IF(ORIG!X1829=0,"",ORIG!X1829)</f>
        <v/>
      </c>
      <c r="Y1829" s="9">
        <f>IF(ORIG!Y1829=0,"",ORIG!Y1829)</f>
        <v/>
      </c>
      <c r="Z1829" s="3">
        <f>SUMPRODUCT($B1829:$Y1829,$B$2649:$Y$2649)</f>
        <v/>
      </c>
      <c r="AA1829" s="3">
        <f>SUMPRODUCT($B1829:$Y1829,$B$2655:$Y$2655)</f>
        <v/>
      </c>
      <c r="AC1829" s="1">
        <f>A1829</f>
        <v/>
      </c>
      <c r="AD1829">
        <f>IF(ISNUMBER(V1829),V1829*($AB$1/V$2635),"")</f>
        <v/>
      </c>
      <c r="AE1829">
        <f>IF(ISNUMBER(Z1829),Z1829*($AB$1/Z$2635),"")</f>
        <v/>
      </c>
      <c r="AF1829" s="25">
        <f>IF(ISNUMBER(AD1829+AE1829),AD1829+AE1829,"")</f>
        <v/>
      </c>
      <c r="AH1829" s="1">
        <f>A1829</f>
        <v/>
      </c>
      <c r="AI1829">
        <f>IF(ISNUMBER((1+V1829)*AI1828),(1+V1829)*AI1828,AI1828)</f>
        <v/>
      </c>
      <c r="AJ1829">
        <f>IF(ISNUMBER((1+Z1829)*AJ1828),(1+Z1829)*AJ1828,AJ1828)</f>
        <v/>
      </c>
    </row>
    <row r="1830">
      <c r="A1830" s="1" t="n">
        <v>44656</v>
      </c>
      <c r="B1830" s="3">
        <f>IF(ORIG!B1830=0,"",ORIG!B1830)</f>
        <v/>
      </c>
      <c r="C1830" s="3">
        <f>IF(ORIG!C1830=0,"",ORIG!C1830)</f>
        <v/>
      </c>
      <c r="D1830" s="3">
        <f>IF(ORIG!D1830=0,"",ORIG!D1830)</f>
        <v/>
      </c>
      <c r="E1830" s="3">
        <f>IF(ORIG!E1830=0,"",ORIG!E1830)</f>
        <v/>
      </c>
      <c r="F1830" s="3">
        <f>IF(ORIG!F1830=0,"",ORIG!F1830)</f>
        <v/>
      </c>
      <c r="G1830" s="3">
        <f>IF(ORIG!G1830=0,"",ORIG!G1830)</f>
        <v/>
      </c>
      <c r="H1830" s="3">
        <f>IF(ORIG!H1830=0,"",ORIG!H1830)</f>
        <v/>
      </c>
      <c r="I1830" s="3">
        <f>IF(ORIG!I1830=0,"",ORIG!I1830)</f>
        <v/>
      </c>
      <c r="J1830" s="3">
        <f>IF(ORIG!J1830=0,"",ORIG!J1830)</f>
        <v/>
      </c>
      <c r="K1830" s="3">
        <f>IF(ORIG!K1830=0,"",ORIG!K1830)</f>
        <v/>
      </c>
      <c r="L1830" s="3">
        <f>IF(ORIG!L1830=0,"",ORIG!L1830)</f>
        <v/>
      </c>
      <c r="M1830" s="3">
        <f>IF(ORIG!M1830=0,"",ORIG!M1830)</f>
        <v/>
      </c>
      <c r="N1830" s="3">
        <f>IF(ORIG!N1830=0,"",ORIG!N1830)</f>
        <v/>
      </c>
      <c r="O1830" s="3">
        <f>IF(ORIG!O1830=0,"",ORIG!O1830)</f>
        <v/>
      </c>
      <c r="P1830" s="3">
        <f>IF(ORIG!P1830=0,"",ORIG!P1830)</f>
        <v/>
      </c>
      <c r="Q1830" s="3">
        <f>IF(ORIG!Q1830=0,"",ORIG!Q1830)</f>
        <v/>
      </c>
      <c r="R1830" s="3">
        <f>IF(ORIG!R1830=0,"",ORIG!R1830)</f>
        <v/>
      </c>
      <c r="S1830" s="3">
        <f>IF(ORIG!S1830=0,"",ORIG!S1830)</f>
        <v/>
      </c>
      <c r="T1830" s="3">
        <f>IF(ORIG!T1830=0,"",ORIG!T1830)</f>
        <v/>
      </c>
      <c r="U1830" s="3">
        <f>IF(ORIG!U1830=0,"",ORIG!U1830)</f>
        <v/>
      </c>
      <c r="V1830" s="9">
        <f>IF(ORIG!V1830=0,"",ORIG!V1830)</f>
        <v/>
      </c>
      <c r="W1830" s="9">
        <f>IF(ORIG!W1830=0,"",ORIG!W1830)</f>
        <v/>
      </c>
      <c r="X1830" s="9">
        <f>IF(ORIG!X1830=0,"",ORIG!X1830)</f>
        <v/>
      </c>
      <c r="Y1830" s="9">
        <f>IF(ORIG!Y1830=0,"",ORIG!Y1830)</f>
        <v/>
      </c>
      <c r="Z1830" s="3">
        <f>SUMPRODUCT($B1830:$Y1830,$B$2649:$Y$2649)</f>
        <v/>
      </c>
      <c r="AA1830" s="3">
        <f>SUMPRODUCT($B1830:$Y1830,$B$2655:$Y$2655)</f>
        <v/>
      </c>
      <c r="AC1830" s="1">
        <f>A1830</f>
        <v/>
      </c>
      <c r="AD1830">
        <f>IF(ISNUMBER(V1830),V1830*($AB$1/V$2635),"")</f>
        <v/>
      </c>
      <c r="AE1830">
        <f>IF(ISNUMBER(Z1830),Z1830*($AB$1/Z$2635),"")</f>
        <v/>
      </c>
      <c r="AF1830" s="25">
        <f>IF(ISNUMBER(AD1830+AE1830),AD1830+AE1830,"")</f>
        <v/>
      </c>
      <c r="AH1830" s="1">
        <f>A1830</f>
        <v/>
      </c>
      <c r="AI1830">
        <f>IF(ISNUMBER((1+V1830)*AI1829),(1+V1830)*AI1829,AI1829)</f>
        <v/>
      </c>
      <c r="AJ1830">
        <f>IF(ISNUMBER((1+Z1830)*AJ1829),(1+Z1830)*AJ1829,AJ1829)</f>
        <v/>
      </c>
    </row>
    <row r="1831">
      <c r="A1831" s="1" t="n">
        <v>44657</v>
      </c>
      <c r="B1831" s="3">
        <f>IF(ORIG!B1831=0,"",ORIG!B1831)</f>
        <v/>
      </c>
      <c r="C1831" s="3">
        <f>IF(ORIG!C1831=0,"",ORIG!C1831)</f>
        <v/>
      </c>
      <c r="D1831" s="3">
        <f>IF(ORIG!D1831=0,"",ORIG!D1831)</f>
        <v/>
      </c>
      <c r="E1831" s="3">
        <f>IF(ORIG!E1831=0,"",ORIG!E1831)</f>
        <v/>
      </c>
      <c r="F1831" s="3">
        <f>IF(ORIG!F1831=0,"",ORIG!F1831)</f>
        <v/>
      </c>
      <c r="G1831" s="3">
        <f>IF(ORIG!G1831=0,"",ORIG!G1831)</f>
        <v/>
      </c>
      <c r="H1831" s="3">
        <f>IF(ORIG!H1831=0,"",ORIG!H1831)</f>
        <v/>
      </c>
      <c r="I1831" s="3">
        <f>IF(ORIG!I1831=0,"",ORIG!I1831)</f>
        <v/>
      </c>
      <c r="J1831" s="3">
        <f>IF(ORIG!J1831=0,"",ORIG!J1831)</f>
        <v/>
      </c>
      <c r="K1831" s="3">
        <f>IF(ORIG!K1831=0,"",ORIG!K1831)</f>
        <v/>
      </c>
      <c r="L1831" s="3">
        <f>IF(ORIG!L1831=0,"",ORIG!L1831)</f>
        <v/>
      </c>
      <c r="M1831" s="3">
        <f>IF(ORIG!M1831=0,"",ORIG!M1831)</f>
        <v/>
      </c>
      <c r="N1831" s="3">
        <f>IF(ORIG!N1831=0,"",ORIG!N1831)</f>
        <v/>
      </c>
      <c r="O1831" s="3">
        <f>IF(ORIG!O1831=0,"",ORIG!O1831)</f>
        <v/>
      </c>
      <c r="P1831" s="3">
        <f>IF(ORIG!P1831=0,"",ORIG!P1831)</f>
        <v/>
      </c>
      <c r="Q1831" s="3">
        <f>IF(ORIG!Q1831=0,"",ORIG!Q1831)</f>
        <v/>
      </c>
      <c r="R1831" s="3">
        <f>IF(ORIG!R1831=0,"",ORIG!R1831)</f>
        <v/>
      </c>
      <c r="S1831" s="3">
        <f>IF(ORIG!S1831=0,"",ORIG!S1831)</f>
        <v/>
      </c>
      <c r="T1831" s="3">
        <f>IF(ORIG!T1831=0,"",ORIG!T1831)</f>
        <v/>
      </c>
      <c r="U1831" s="3">
        <f>IF(ORIG!U1831=0,"",ORIG!U1831)</f>
        <v/>
      </c>
      <c r="V1831" s="9">
        <f>IF(ORIG!V1831=0,"",ORIG!V1831)</f>
        <v/>
      </c>
      <c r="W1831" s="9">
        <f>IF(ORIG!W1831=0,"",ORIG!W1831)</f>
        <v/>
      </c>
      <c r="X1831" s="9">
        <f>IF(ORIG!X1831=0,"",ORIG!X1831)</f>
        <v/>
      </c>
      <c r="Y1831" s="9">
        <f>IF(ORIG!Y1831=0,"",ORIG!Y1831)</f>
        <v/>
      </c>
      <c r="Z1831" s="3">
        <f>SUMPRODUCT($B1831:$Y1831,$B$2649:$Y$2649)</f>
        <v/>
      </c>
      <c r="AA1831" s="3">
        <f>SUMPRODUCT($B1831:$Y1831,$B$2655:$Y$2655)</f>
        <v/>
      </c>
      <c r="AC1831" s="1">
        <f>A1831</f>
        <v/>
      </c>
      <c r="AD1831">
        <f>IF(ISNUMBER(V1831),V1831*($AB$1/V$2635),"")</f>
        <v/>
      </c>
      <c r="AE1831">
        <f>IF(ISNUMBER(Z1831),Z1831*($AB$1/Z$2635),"")</f>
        <v/>
      </c>
      <c r="AF1831" s="25">
        <f>IF(ISNUMBER(AD1831+AE1831),AD1831+AE1831,"")</f>
        <v/>
      </c>
      <c r="AH1831" s="1">
        <f>A1831</f>
        <v/>
      </c>
      <c r="AI1831">
        <f>IF(ISNUMBER((1+V1831)*AI1830),(1+V1831)*AI1830,AI1830)</f>
        <v/>
      </c>
      <c r="AJ1831">
        <f>IF(ISNUMBER((1+Z1831)*AJ1830),(1+Z1831)*AJ1830,AJ1830)</f>
        <v/>
      </c>
    </row>
    <row r="1832">
      <c r="A1832" s="1" t="n">
        <v>44658</v>
      </c>
      <c r="B1832" s="3">
        <f>IF(ORIG!B1832=0,"",ORIG!B1832)</f>
        <v/>
      </c>
      <c r="C1832" s="3">
        <f>IF(ORIG!C1832=0,"",ORIG!C1832)</f>
        <v/>
      </c>
      <c r="D1832" s="3">
        <f>IF(ORIG!D1832=0,"",ORIG!D1832)</f>
        <v/>
      </c>
      <c r="E1832" s="3">
        <f>IF(ORIG!E1832=0,"",ORIG!E1832)</f>
        <v/>
      </c>
      <c r="F1832" s="3">
        <f>IF(ORIG!F1832=0,"",ORIG!F1832)</f>
        <v/>
      </c>
      <c r="G1832" s="3">
        <f>IF(ORIG!G1832=0,"",ORIG!G1832)</f>
        <v/>
      </c>
      <c r="H1832" s="3">
        <f>IF(ORIG!H1832=0,"",ORIG!H1832)</f>
        <v/>
      </c>
      <c r="I1832" s="3">
        <f>IF(ORIG!I1832=0,"",ORIG!I1832)</f>
        <v/>
      </c>
      <c r="J1832" s="3">
        <f>IF(ORIG!J1832=0,"",ORIG!J1832)</f>
        <v/>
      </c>
      <c r="K1832" s="3">
        <f>IF(ORIG!K1832=0,"",ORIG!K1832)</f>
        <v/>
      </c>
      <c r="L1832" s="3">
        <f>IF(ORIG!L1832=0,"",ORIG!L1832)</f>
        <v/>
      </c>
      <c r="M1832" s="3">
        <f>IF(ORIG!M1832=0,"",ORIG!M1832)</f>
        <v/>
      </c>
      <c r="N1832" s="3">
        <f>IF(ORIG!N1832=0,"",ORIG!N1832)</f>
        <v/>
      </c>
      <c r="O1832" s="3">
        <f>IF(ORIG!O1832=0,"",ORIG!O1832)</f>
        <v/>
      </c>
      <c r="P1832" s="3">
        <f>IF(ORIG!P1832=0,"",ORIG!P1832)</f>
        <v/>
      </c>
      <c r="Q1832" s="3">
        <f>IF(ORIG!Q1832=0,"",ORIG!Q1832)</f>
        <v/>
      </c>
      <c r="R1832" s="3">
        <f>IF(ORIG!R1832=0,"",ORIG!R1832)</f>
        <v/>
      </c>
      <c r="S1832" s="3">
        <f>IF(ORIG!S1832=0,"",ORIG!S1832)</f>
        <v/>
      </c>
      <c r="T1832" s="3">
        <f>IF(ORIG!T1832=0,"",ORIG!T1832)</f>
        <v/>
      </c>
      <c r="U1832" s="3">
        <f>IF(ORIG!U1832=0,"",ORIG!U1832)</f>
        <v/>
      </c>
      <c r="V1832" s="9">
        <f>IF(ORIG!V1832=0,"",ORIG!V1832)</f>
        <v/>
      </c>
      <c r="W1832" s="9">
        <f>IF(ORIG!W1832=0,"",ORIG!W1832)</f>
        <v/>
      </c>
      <c r="X1832" s="9">
        <f>IF(ORIG!X1832=0,"",ORIG!X1832)</f>
        <v/>
      </c>
      <c r="Y1832" s="9">
        <f>IF(ORIG!Y1832=0,"",ORIG!Y1832)</f>
        <v/>
      </c>
      <c r="Z1832" s="3">
        <f>SUMPRODUCT($B1832:$Y1832,$B$2649:$Y$2649)</f>
        <v/>
      </c>
      <c r="AA1832" s="3">
        <f>SUMPRODUCT($B1832:$Y1832,$B$2655:$Y$2655)</f>
        <v/>
      </c>
      <c r="AC1832" s="1">
        <f>A1832</f>
        <v/>
      </c>
      <c r="AD1832">
        <f>IF(ISNUMBER(V1832),V1832*($AB$1/V$2635),"")</f>
        <v/>
      </c>
      <c r="AE1832">
        <f>IF(ISNUMBER(Z1832),Z1832*($AB$1/Z$2635),"")</f>
        <v/>
      </c>
      <c r="AF1832" s="25">
        <f>IF(ISNUMBER(AD1832+AE1832),AD1832+AE1832,"")</f>
        <v/>
      </c>
      <c r="AH1832" s="1">
        <f>A1832</f>
        <v/>
      </c>
      <c r="AI1832">
        <f>IF(ISNUMBER((1+V1832)*AI1831),(1+V1832)*AI1831,AI1831)</f>
        <v/>
      </c>
      <c r="AJ1832">
        <f>IF(ISNUMBER((1+Z1832)*AJ1831),(1+Z1832)*AJ1831,AJ1831)</f>
        <v/>
      </c>
    </row>
    <row r="1833">
      <c r="A1833" s="1" t="n">
        <v>44659</v>
      </c>
      <c r="B1833" s="3">
        <f>IF(ORIG!B1833=0,"",ORIG!B1833)</f>
        <v/>
      </c>
      <c r="C1833" s="3">
        <f>IF(ORIG!C1833=0,"",ORIG!C1833)</f>
        <v/>
      </c>
      <c r="D1833" s="3">
        <f>IF(ORIG!D1833=0,"",ORIG!D1833)</f>
        <v/>
      </c>
      <c r="E1833" s="3">
        <f>IF(ORIG!E1833=0,"",ORIG!E1833)</f>
        <v/>
      </c>
      <c r="F1833" s="3">
        <f>IF(ORIG!F1833=0,"",ORIG!F1833)</f>
        <v/>
      </c>
      <c r="G1833" s="3">
        <f>IF(ORIG!G1833=0,"",ORIG!G1833)</f>
        <v/>
      </c>
      <c r="H1833" s="3">
        <f>IF(ORIG!H1833=0,"",ORIG!H1833)</f>
        <v/>
      </c>
      <c r="I1833" s="3">
        <f>IF(ORIG!I1833=0,"",ORIG!I1833)</f>
        <v/>
      </c>
      <c r="J1833" s="3">
        <f>IF(ORIG!J1833=0,"",ORIG!J1833)</f>
        <v/>
      </c>
      <c r="K1833" s="3">
        <f>IF(ORIG!K1833=0,"",ORIG!K1833)</f>
        <v/>
      </c>
      <c r="L1833" s="3">
        <f>IF(ORIG!L1833=0,"",ORIG!L1833)</f>
        <v/>
      </c>
      <c r="M1833" s="3">
        <f>IF(ORIG!M1833=0,"",ORIG!M1833)</f>
        <v/>
      </c>
      <c r="N1833" s="3">
        <f>IF(ORIG!N1833=0,"",ORIG!N1833)</f>
        <v/>
      </c>
      <c r="O1833" s="3">
        <f>IF(ORIG!O1833=0,"",ORIG!O1833)</f>
        <v/>
      </c>
      <c r="P1833" s="3">
        <f>IF(ORIG!P1833=0,"",ORIG!P1833)</f>
        <v/>
      </c>
      <c r="Q1833" s="3">
        <f>IF(ORIG!Q1833=0,"",ORIG!Q1833)</f>
        <v/>
      </c>
      <c r="R1833" s="3">
        <f>IF(ORIG!R1833=0,"",ORIG!R1833)</f>
        <v/>
      </c>
      <c r="S1833" s="3">
        <f>IF(ORIG!S1833=0,"",ORIG!S1833)</f>
        <v/>
      </c>
      <c r="T1833" s="3">
        <f>IF(ORIG!T1833=0,"",ORIG!T1833)</f>
        <v/>
      </c>
      <c r="U1833" s="3">
        <f>IF(ORIG!U1833=0,"",ORIG!U1833)</f>
        <v/>
      </c>
      <c r="V1833" s="9">
        <f>IF(ORIG!V1833=0,"",ORIG!V1833)</f>
        <v/>
      </c>
      <c r="W1833" s="9">
        <f>IF(ORIG!W1833=0,"",ORIG!W1833)</f>
        <v/>
      </c>
      <c r="X1833" s="9">
        <f>IF(ORIG!X1833=0,"",ORIG!X1833)</f>
        <v/>
      </c>
      <c r="Y1833" s="9">
        <f>IF(ORIG!Y1833=0,"",ORIG!Y1833)</f>
        <v/>
      </c>
      <c r="Z1833" s="3">
        <f>SUMPRODUCT($B1833:$Y1833,$B$2649:$Y$2649)</f>
        <v/>
      </c>
      <c r="AA1833" s="3">
        <f>SUMPRODUCT($B1833:$Y1833,$B$2655:$Y$2655)</f>
        <v/>
      </c>
      <c r="AC1833" s="1">
        <f>A1833</f>
        <v/>
      </c>
      <c r="AD1833">
        <f>IF(ISNUMBER(V1833),V1833*($AB$1/V$2635),"")</f>
        <v/>
      </c>
      <c r="AE1833">
        <f>IF(ISNUMBER(Z1833),Z1833*($AB$1/Z$2635),"")</f>
        <v/>
      </c>
      <c r="AF1833" s="25">
        <f>IF(ISNUMBER(AD1833+AE1833),AD1833+AE1833,"")</f>
        <v/>
      </c>
      <c r="AH1833" s="1">
        <f>A1833</f>
        <v/>
      </c>
      <c r="AI1833">
        <f>IF(ISNUMBER((1+V1833)*AI1832),(1+V1833)*AI1832,AI1832)</f>
        <v/>
      </c>
      <c r="AJ1833">
        <f>IF(ISNUMBER((1+Z1833)*AJ1832),(1+Z1833)*AJ1832,AJ1832)</f>
        <v/>
      </c>
    </row>
    <row r="1834">
      <c r="A1834" s="1" t="n">
        <v>44662</v>
      </c>
      <c r="B1834" s="3">
        <f>IF(ORIG!B1834=0,"",ORIG!B1834)</f>
        <v/>
      </c>
      <c r="C1834" s="3">
        <f>IF(ORIG!C1834=0,"",ORIG!C1834)</f>
        <v/>
      </c>
      <c r="D1834" s="3">
        <f>IF(ORIG!D1834=0,"",ORIG!D1834)</f>
        <v/>
      </c>
      <c r="E1834" s="3">
        <f>IF(ORIG!E1834=0,"",ORIG!E1834)</f>
        <v/>
      </c>
      <c r="F1834" s="3">
        <f>IF(ORIG!F1834=0,"",ORIG!F1834)</f>
        <v/>
      </c>
      <c r="G1834" s="3">
        <f>IF(ORIG!G1834=0,"",ORIG!G1834)</f>
        <v/>
      </c>
      <c r="H1834" s="3">
        <f>IF(ORIG!H1834=0,"",ORIG!H1834)</f>
        <v/>
      </c>
      <c r="I1834" s="3">
        <f>IF(ORIG!I1834=0,"",ORIG!I1834)</f>
        <v/>
      </c>
      <c r="J1834" s="3">
        <f>IF(ORIG!J1834=0,"",ORIG!J1834)</f>
        <v/>
      </c>
      <c r="K1834" s="3">
        <f>IF(ORIG!K1834=0,"",ORIG!K1834)</f>
        <v/>
      </c>
      <c r="L1834" s="3">
        <f>IF(ORIG!L1834=0,"",ORIG!L1834)</f>
        <v/>
      </c>
      <c r="M1834" s="3">
        <f>IF(ORIG!M1834=0,"",ORIG!M1834)</f>
        <v/>
      </c>
      <c r="N1834" s="3">
        <f>IF(ORIG!N1834=0,"",ORIG!N1834)</f>
        <v/>
      </c>
      <c r="O1834" s="3">
        <f>IF(ORIG!O1834=0,"",ORIG!O1834)</f>
        <v/>
      </c>
      <c r="P1834" s="3">
        <f>IF(ORIG!P1834=0,"",ORIG!P1834)</f>
        <v/>
      </c>
      <c r="Q1834" s="3">
        <f>IF(ORIG!Q1834=0,"",ORIG!Q1834)</f>
        <v/>
      </c>
      <c r="R1834" s="3">
        <f>IF(ORIG!R1834=0,"",ORIG!R1834)</f>
        <v/>
      </c>
      <c r="S1834" s="3">
        <f>IF(ORIG!S1834=0,"",ORIG!S1834)</f>
        <v/>
      </c>
      <c r="T1834" s="3">
        <f>IF(ORIG!T1834=0,"",ORIG!T1834)</f>
        <v/>
      </c>
      <c r="U1834" s="3">
        <f>IF(ORIG!U1834=0,"",ORIG!U1834)</f>
        <v/>
      </c>
      <c r="V1834" s="9">
        <f>IF(ORIG!V1834=0,"",ORIG!V1834)</f>
        <v/>
      </c>
      <c r="W1834" s="9">
        <f>IF(ORIG!W1834=0,"",ORIG!W1834)</f>
        <v/>
      </c>
      <c r="X1834" s="9">
        <f>IF(ORIG!X1834=0,"",ORIG!X1834)</f>
        <v/>
      </c>
      <c r="Y1834" s="9">
        <f>IF(ORIG!Y1834=0,"",ORIG!Y1834)</f>
        <v/>
      </c>
      <c r="Z1834" s="3">
        <f>SUMPRODUCT($B1834:$Y1834,$B$2649:$Y$2649)</f>
        <v/>
      </c>
      <c r="AA1834" s="3">
        <f>SUMPRODUCT($B1834:$Y1834,$B$2655:$Y$2655)</f>
        <v/>
      </c>
      <c r="AC1834" s="1">
        <f>A1834</f>
        <v/>
      </c>
      <c r="AD1834">
        <f>IF(ISNUMBER(V1834),V1834*($AB$1/V$2635),"")</f>
        <v/>
      </c>
      <c r="AE1834">
        <f>IF(ISNUMBER(Z1834),Z1834*($AB$1/Z$2635),"")</f>
        <v/>
      </c>
      <c r="AF1834" s="25">
        <f>IF(ISNUMBER(AD1834+AE1834),AD1834+AE1834,"")</f>
        <v/>
      </c>
      <c r="AH1834" s="1">
        <f>A1834</f>
        <v/>
      </c>
      <c r="AI1834">
        <f>IF(ISNUMBER((1+V1834)*AI1833),(1+V1834)*AI1833,AI1833)</f>
        <v/>
      </c>
      <c r="AJ1834">
        <f>IF(ISNUMBER((1+Z1834)*AJ1833),(1+Z1834)*AJ1833,AJ1833)</f>
        <v/>
      </c>
    </row>
    <row r="1835">
      <c r="A1835" s="1" t="n">
        <v>44663</v>
      </c>
      <c r="B1835" s="3">
        <f>IF(ORIG!B1835=0,"",ORIG!B1835)</f>
        <v/>
      </c>
      <c r="C1835" s="3">
        <f>IF(ORIG!C1835=0,"",ORIG!C1835)</f>
        <v/>
      </c>
      <c r="D1835" s="3">
        <f>IF(ORIG!D1835=0,"",ORIG!D1835)</f>
        <v/>
      </c>
      <c r="E1835" s="3">
        <f>IF(ORIG!E1835=0,"",ORIG!E1835)</f>
        <v/>
      </c>
      <c r="F1835" s="3">
        <f>IF(ORIG!F1835=0,"",ORIG!F1835)</f>
        <v/>
      </c>
      <c r="G1835" s="3">
        <f>IF(ORIG!G1835=0,"",ORIG!G1835)</f>
        <v/>
      </c>
      <c r="H1835" s="3">
        <f>IF(ORIG!H1835=0,"",ORIG!H1835)</f>
        <v/>
      </c>
      <c r="I1835" s="3">
        <f>IF(ORIG!I1835=0,"",ORIG!I1835)</f>
        <v/>
      </c>
      <c r="J1835" s="3">
        <f>IF(ORIG!J1835=0,"",ORIG!J1835)</f>
        <v/>
      </c>
      <c r="K1835" s="3">
        <f>IF(ORIG!K1835=0,"",ORIG!K1835)</f>
        <v/>
      </c>
      <c r="L1835" s="3">
        <f>IF(ORIG!L1835=0,"",ORIG!L1835)</f>
        <v/>
      </c>
      <c r="M1835" s="3">
        <f>IF(ORIG!M1835=0,"",ORIG!M1835)</f>
        <v/>
      </c>
      <c r="N1835" s="3">
        <f>IF(ORIG!N1835=0,"",ORIG!N1835)</f>
        <v/>
      </c>
      <c r="O1835" s="3">
        <f>IF(ORIG!O1835=0,"",ORIG!O1835)</f>
        <v/>
      </c>
      <c r="P1835" s="3">
        <f>IF(ORIG!P1835=0,"",ORIG!P1835)</f>
        <v/>
      </c>
      <c r="Q1835" s="3">
        <f>IF(ORIG!Q1835=0,"",ORIG!Q1835)</f>
        <v/>
      </c>
      <c r="R1835" s="3">
        <f>IF(ORIG!R1835=0,"",ORIG!R1835)</f>
        <v/>
      </c>
      <c r="S1835" s="3">
        <f>IF(ORIG!S1835=0,"",ORIG!S1835)</f>
        <v/>
      </c>
      <c r="T1835" s="3">
        <f>IF(ORIG!T1835=0,"",ORIG!T1835)</f>
        <v/>
      </c>
      <c r="U1835" s="3">
        <f>IF(ORIG!U1835=0,"",ORIG!U1835)</f>
        <v/>
      </c>
      <c r="V1835" s="9">
        <f>IF(ORIG!V1835=0,"",ORIG!V1835)</f>
        <v/>
      </c>
      <c r="W1835" s="9">
        <f>IF(ORIG!W1835=0,"",ORIG!W1835)</f>
        <v/>
      </c>
      <c r="X1835" s="9">
        <f>IF(ORIG!X1835=0,"",ORIG!X1835)</f>
        <v/>
      </c>
      <c r="Y1835" s="9">
        <f>IF(ORIG!Y1835=0,"",ORIG!Y1835)</f>
        <v/>
      </c>
      <c r="Z1835" s="3">
        <f>SUMPRODUCT($B1835:$Y1835,$B$2649:$Y$2649)</f>
        <v/>
      </c>
      <c r="AA1835" s="3">
        <f>SUMPRODUCT($B1835:$Y1835,$B$2655:$Y$2655)</f>
        <v/>
      </c>
      <c r="AC1835" s="1">
        <f>A1835</f>
        <v/>
      </c>
      <c r="AD1835">
        <f>IF(ISNUMBER(V1835),V1835*($AB$1/V$2635),"")</f>
        <v/>
      </c>
      <c r="AE1835">
        <f>IF(ISNUMBER(Z1835),Z1835*($AB$1/Z$2635),"")</f>
        <v/>
      </c>
      <c r="AF1835" s="25">
        <f>IF(ISNUMBER(AD1835+AE1835),AD1835+AE1835,"")</f>
        <v/>
      </c>
      <c r="AH1835" s="1">
        <f>A1835</f>
        <v/>
      </c>
      <c r="AI1835">
        <f>IF(ISNUMBER((1+V1835)*AI1834),(1+V1835)*AI1834,AI1834)</f>
        <v/>
      </c>
      <c r="AJ1835">
        <f>IF(ISNUMBER((1+Z1835)*AJ1834),(1+Z1835)*AJ1834,AJ1834)</f>
        <v/>
      </c>
    </row>
    <row r="1836">
      <c r="A1836" s="1" t="n">
        <v>44664</v>
      </c>
      <c r="B1836" s="3">
        <f>IF(ORIG!B1836=0,"",ORIG!B1836)</f>
        <v/>
      </c>
      <c r="C1836" s="3">
        <f>IF(ORIG!C1836=0,"",ORIG!C1836)</f>
        <v/>
      </c>
      <c r="D1836" s="3">
        <f>IF(ORIG!D1836=0,"",ORIG!D1836)</f>
        <v/>
      </c>
      <c r="E1836" s="3">
        <f>IF(ORIG!E1836=0,"",ORIG!E1836)</f>
        <v/>
      </c>
      <c r="F1836" s="3">
        <f>IF(ORIG!F1836=0,"",ORIG!F1836)</f>
        <v/>
      </c>
      <c r="G1836" s="3">
        <f>IF(ORIG!G1836=0,"",ORIG!G1836)</f>
        <v/>
      </c>
      <c r="H1836" s="3">
        <f>IF(ORIG!H1836=0,"",ORIG!H1836)</f>
        <v/>
      </c>
      <c r="I1836" s="3">
        <f>IF(ORIG!I1836=0,"",ORIG!I1836)</f>
        <v/>
      </c>
      <c r="J1836" s="3">
        <f>IF(ORIG!J1836=0,"",ORIG!J1836)</f>
        <v/>
      </c>
      <c r="K1836" s="3">
        <f>IF(ORIG!K1836=0,"",ORIG!K1836)</f>
        <v/>
      </c>
      <c r="L1836" s="3">
        <f>IF(ORIG!L1836=0,"",ORIG!L1836)</f>
        <v/>
      </c>
      <c r="M1836" s="3">
        <f>IF(ORIG!M1836=0,"",ORIG!M1836)</f>
        <v/>
      </c>
      <c r="N1836" s="3">
        <f>IF(ORIG!N1836=0,"",ORIG!N1836)</f>
        <v/>
      </c>
      <c r="O1836" s="3">
        <f>IF(ORIG!O1836=0,"",ORIG!O1836)</f>
        <v/>
      </c>
      <c r="P1836" s="3">
        <f>IF(ORIG!P1836=0,"",ORIG!P1836)</f>
        <v/>
      </c>
      <c r="Q1836" s="3">
        <f>IF(ORIG!Q1836=0,"",ORIG!Q1836)</f>
        <v/>
      </c>
      <c r="R1836" s="3">
        <f>IF(ORIG!R1836=0,"",ORIG!R1836)</f>
        <v/>
      </c>
      <c r="S1836" s="3">
        <f>IF(ORIG!S1836=0,"",ORIG!S1836)</f>
        <v/>
      </c>
      <c r="T1836" s="3">
        <f>IF(ORIG!T1836=0,"",ORIG!T1836)</f>
        <v/>
      </c>
      <c r="U1836" s="3">
        <f>IF(ORIG!U1836=0,"",ORIG!U1836)</f>
        <v/>
      </c>
      <c r="V1836" s="9">
        <f>IF(ORIG!V1836=0,"",ORIG!V1836)</f>
        <v/>
      </c>
      <c r="W1836" s="9">
        <f>IF(ORIG!W1836=0,"",ORIG!W1836)</f>
        <v/>
      </c>
      <c r="X1836" s="9">
        <f>IF(ORIG!X1836=0,"",ORIG!X1836)</f>
        <v/>
      </c>
      <c r="Y1836" s="9">
        <f>IF(ORIG!Y1836=0,"",ORIG!Y1836)</f>
        <v/>
      </c>
      <c r="Z1836" s="3">
        <f>SUMPRODUCT($B1836:$Y1836,$B$2649:$Y$2649)</f>
        <v/>
      </c>
      <c r="AA1836" s="3">
        <f>SUMPRODUCT($B1836:$Y1836,$B$2655:$Y$2655)</f>
        <v/>
      </c>
      <c r="AC1836" s="1">
        <f>A1836</f>
        <v/>
      </c>
      <c r="AD1836">
        <f>IF(ISNUMBER(V1836),V1836*($AB$1/V$2635),"")</f>
        <v/>
      </c>
      <c r="AE1836">
        <f>IF(ISNUMBER(Z1836),Z1836*($AB$1/Z$2635),"")</f>
        <v/>
      </c>
      <c r="AF1836" s="25">
        <f>IF(ISNUMBER(AD1836+AE1836),AD1836+AE1836,"")</f>
        <v/>
      </c>
      <c r="AH1836" s="1">
        <f>A1836</f>
        <v/>
      </c>
      <c r="AI1836">
        <f>IF(ISNUMBER((1+V1836)*AI1835),(1+V1836)*AI1835,AI1835)</f>
        <v/>
      </c>
      <c r="AJ1836">
        <f>IF(ISNUMBER((1+Z1836)*AJ1835),(1+Z1836)*AJ1835,AJ1835)</f>
        <v/>
      </c>
    </row>
    <row r="1837">
      <c r="A1837" s="1" t="n">
        <v>44665</v>
      </c>
      <c r="B1837" s="3">
        <f>IF(ORIG!B1837=0,"",ORIG!B1837)</f>
        <v/>
      </c>
      <c r="C1837" s="3">
        <f>IF(ORIG!C1837=0,"",ORIG!C1837)</f>
        <v/>
      </c>
      <c r="D1837" s="3">
        <f>IF(ORIG!D1837=0,"",ORIG!D1837)</f>
        <v/>
      </c>
      <c r="E1837" s="3">
        <f>IF(ORIG!E1837=0,"",ORIG!E1837)</f>
        <v/>
      </c>
      <c r="F1837" s="3">
        <f>IF(ORIG!F1837=0,"",ORIG!F1837)</f>
        <v/>
      </c>
      <c r="G1837" s="3">
        <f>IF(ORIG!G1837=0,"",ORIG!G1837)</f>
        <v/>
      </c>
      <c r="H1837" s="3">
        <f>IF(ORIG!H1837=0,"",ORIG!H1837)</f>
        <v/>
      </c>
      <c r="I1837" s="3">
        <f>IF(ORIG!I1837=0,"",ORIG!I1837)</f>
        <v/>
      </c>
      <c r="J1837" s="3">
        <f>IF(ORIG!J1837=0,"",ORIG!J1837)</f>
        <v/>
      </c>
      <c r="K1837" s="3">
        <f>IF(ORIG!K1837=0,"",ORIG!K1837)</f>
        <v/>
      </c>
      <c r="L1837" s="3">
        <f>IF(ORIG!L1837=0,"",ORIG!L1837)</f>
        <v/>
      </c>
      <c r="M1837" s="3">
        <f>IF(ORIG!M1837=0,"",ORIG!M1837)</f>
        <v/>
      </c>
      <c r="N1837" s="3">
        <f>IF(ORIG!N1837=0,"",ORIG!N1837)</f>
        <v/>
      </c>
      <c r="O1837" s="3">
        <f>IF(ORIG!O1837=0,"",ORIG!O1837)</f>
        <v/>
      </c>
      <c r="P1837" s="3">
        <f>IF(ORIG!P1837=0,"",ORIG!P1837)</f>
        <v/>
      </c>
      <c r="Q1837" s="3">
        <f>IF(ORIG!Q1837=0,"",ORIG!Q1837)</f>
        <v/>
      </c>
      <c r="R1837" s="3">
        <f>IF(ORIG!R1837=0,"",ORIG!R1837)</f>
        <v/>
      </c>
      <c r="S1837" s="3">
        <f>IF(ORIG!S1837=0,"",ORIG!S1837)</f>
        <v/>
      </c>
      <c r="T1837" s="3">
        <f>IF(ORIG!T1837=0,"",ORIG!T1837)</f>
        <v/>
      </c>
      <c r="U1837" s="3">
        <f>IF(ORIG!U1837=0,"",ORIG!U1837)</f>
        <v/>
      </c>
      <c r="V1837" s="9">
        <f>IF(ORIG!V1837=0,"",ORIG!V1837)</f>
        <v/>
      </c>
      <c r="W1837" s="9">
        <f>IF(ORIG!W1837=0,"",ORIG!W1837)</f>
        <v/>
      </c>
      <c r="X1837" s="9">
        <f>IF(ORIG!X1837=0,"",ORIG!X1837)</f>
        <v/>
      </c>
      <c r="Y1837" s="9">
        <f>IF(ORIG!Y1837=0,"",ORIG!Y1837)</f>
        <v/>
      </c>
      <c r="Z1837" s="3">
        <f>SUMPRODUCT($B1837:$Y1837,$B$2649:$Y$2649)</f>
        <v/>
      </c>
      <c r="AA1837" s="3">
        <f>SUMPRODUCT($B1837:$Y1837,$B$2655:$Y$2655)</f>
        <v/>
      </c>
      <c r="AC1837" s="1">
        <f>A1837</f>
        <v/>
      </c>
      <c r="AD1837">
        <f>IF(ISNUMBER(V1837),V1837*($AB$1/V$2635),"")</f>
        <v/>
      </c>
      <c r="AE1837">
        <f>IF(ISNUMBER(Z1837),Z1837*($AB$1/Z$2635),"")</f>
        <v/>
      </c>
      <c r="AF1837" s="25">
        <f>IF(ISNUMBER(AD1837+AE1837),AD1837+AE1837,"")</f>
        <v/>
      </c>
      <c r="AH1837" s="1">
        <f>A1837</f>
        <v/>
      </c>
      <c r="AI1837">
        <f>IF(ISNUMBER((1+V1837)*AI1836),(1+V1837)*AI1836,AI1836)</f>
        <v/>
      </c>
      <c r="AJ1837">
        <f>IF(ISNUMBER((1+Z1837)*AJ1836),(1+Z1837)*AJ1836,AJ1836)</f>
        <v/>
      </c>
    </row>
    <row r="1838">
      <c r="A1838" s="1" t="n">
        <v>44669</v>
      </c>
      <c r="B1838" s="3">
        <f>IF(ORIG!B1838=0,"",ORIG!B1838)</f>
        <v/>
      </c>
      <c r="C1838" s="3">
        <f>IF(ORIG!C1838=0,"",ORIG!C1838)</f>
        <v/>
      </c>
      <c r="D1838" s="3">
        <f>IF(ORIG!D1838=0,"",ORIG!D1838)</f>
        <v/>
      </c>
      <c r="E1838" s="3">
        <f>IF(ORIG!E1838=0,"",ORIG!E1838)</f>
        <v/>
      </c>
      <c r="F1838" s="3">
        <f>IF(ORIG!F1838=0,"",ORIG!F1838)</f>
        <v/>
      </c>
      <c r="G1838" s="3">
        <f>IF(ORIG!G1838=0,"",ORIG!G1838)</f>
        <v/>
      </c>
      <c r="H1838" s="3">
        <f>IF(ORIG!H1838=0,"",ORIG!H1838)</f>
        <v/>
      </c>
      <c r="I1838" s="3">
        <f>IF(ORIG!I1838=0,"",ORIG!I1838)</f>
        <v/>
      </c>
      <c r="J1838" s="3">
        <f>IF(ORIG!J1838=0,"",ORIG!J1838)</f>
        <v/>
      </c>
      <c r="K1838" s="3">
        <f>IF(ORIG!K1838=0,"",ORIG!K1838)</f>
        <v/>
      </c>
      <c r="L1838" s="3">
        <f>IF(ORIG!L1838=0,"",ORIG!L1838)</f>
        <v/>
      </c>
      <c r="M1838" s="3">
        <f>IF(ORIG!M1838=0,"",ORIG!M1838)</f>
        <v/>
      </c>
      <c r="N1838" s="3">
        <f>IF(ORIG!N1838=0,"",ORIG!N1838)</f>
        <v/>
      </c>
      <c r="O1838" s="3">
        <f>IF(ORIG!O1838=0,"",ORIG!O1838)</f>
        <v/>
      </c>
      <c r="P1838" s="3">
        <f>IF(ORIG!P1838=0,"",ORIG!P1838)</f>
        <v/>
      </c>
      <c r="Q1838" s="3">
        <f>IF(ORIG!Q1838=0,"",ORIG!Q1838)</f>
        <v/>
      </c>
      <c r="R1838" s="3">
        <f>IF(ORIG!R1838=0,"",ORIG!R1838)</f>
        <v/>
      </c>
      <c r="S1838" s="3">
        <f>IF(ORIG!S1838=0,"",ORIG!S1838)</f>
        <v/>
      </c>
      <c r="T1838" s="3">
        <f>IF(ORIG!T1838=0,"",ORIG!T1838)</f>
        <v/>
      </c>
      <c r="U1838" s="3">
        <f>IF(ORIG!U1838=0,"",ORIG!U1838)</f>
        <v/>
      </c>
      <c r="V1838" s="9">
        <f>IF(ORIG!V1838=0,"",ORIG!V1838)</f>
        <v/>
      </c>
      <c r="W1838" s="9">
        <f>IF(ORIG!W1838=0,"",ORIG!W1838)</f>
        <v/>
      </c>
      <c r="X1838" s="9">
        <f>IF(ORIG!X1838=0,"",ORIG!X1838)</f>
        <v/>
      </c>
      <c r="Y1838" s="9">
        <f>IF(ORIG!Y1838=0,"",ORIG!Y1838)</f>
        <v/>
      </c>
      <c r="Z1838" s="3">
        <f>SUMPRODUCT($B1838:$Y1838,$B$2649:$Y$2649)</f>
        <v/>
      </c>
      <c r="AA1838" s="3">
        <f>SUMPRODUCT($B1838:$Y1838,$B$2655:$Y$2655)</f>
        <v/>
      </c>
      <c r="AC1838" s="1">
        <f>A1838</f>
        <v/>
      </c>
      <c r="AD1838">
        <f>IF(ISNUMBER(V1838),V1838*($AB$1/V$2635),"")</f>
        <v/>
      </c>
      <c r="AE1838">
        <f>IF(ISNUMBER(Z1838),Z1838*($AB$1/Z$2635),"")</f>
        <v/>
      </c>
      <c r="AF1838" s="25">
        <f>IF(ISNUMBER(AD1838+AE1838),AD1838+AE1838,"")</f>
        <v/>
      </c>
      <c r="AH1838" s="1">
        <f>A1838</f>
        <v/>
      </c>
      <c r="AI1838">
        <f>IF(ISNUMBER((1+V1838)*AI1837),(1+V1838)*AI1837,AI1837)</f>
        <v/>
      </c>
      <c r="AJ1838">
        <f>IF(ISNUMBER((1+Z1838)*AJ1837),(1+Z1838)*AJ1837,AJ1837)</f>
        <v/>
      </c>
    </row>
    <row r="1839">
      <c r="A1839" s="1" t="n">
        <v>44670</v>
      </c>
      <c r="B1839" s="3">
        <f>IF(ORIG!B1839=0,"",ORIG!B1839)</f>
        <v/>
      </c>
      <c r="C1839" s="3">
        <f>IF(ORIG!C1839=0,"",ORIG!C1839)</f>
        <v/>
      </c>
      <c r="D1839" s="3">
        <f>IF(ORIG!D1839=0,"",ORIG!D1839)</f>
        <v/>
      </c>
      <c r="E1839" s="3">
        <f>IF(ORIG!E1839=0,"",ORIG!E1839)</f>
        <v/>
      </c>
      <c r="F1839" s="3">
        <f>IF(ORIG!F1839=0,"",ORIG!F1839)</f>
        <v/>
      </c>
      <c r="G1839" s="3">
        <f>IF(ORIG!G1839=0,"",ORIG!G1839)</f>
        <v/>
      </c>
      <c r="H1839" s="3">
        <f>IF(ORIG!H1839=0,"",ORIG!H1839)</f>
        <v/>
      </c>
      <c r="I1839" s="3">
        <f>IF(ORIG!I1839=0,"",ORIG!I1839)</f>
        <v/>
      </c>
      <c r="J1839" s="3">
        <f>IF(ORIG!J1839=0,"",ORIG!J1839)</f>
        <v/>
      </c>
      <c r="K1839" s="3">
        <f>IF(ORIG!K1839=0,"",ORIG!K1839)</f>
        <v/>
      </c>
      <c r="L1839" s="3">
        <f>IF(ORIG!L1839=0,"",ORIG!L1839)</f>
        <v/>
      </c>
      <c r="M1839" s="3">
        <f>IF(ORIG!M1839=0,"",ORIG!M1839)</f>
        <v/>
      </c>
      <c r="N1839" s="3">
        <f>IF(ORIG!N1839=0,"",ORIG!N1839)</f>
        <v/>
      </c>
      <c r="O1839" s="3">
        <f>IF(ORIG!O1839=0,"",ORIG!O1839)</f>
        <v/>
      </c>
      <c r="P1839" s="3">
        <f>IF(ORIG!P1839=0,"",ORIG!P1839)</f>
        <v/>
      </c>
      <c r="Q1839" s="3">
        <f>IF(ORIG!Q1839=0,"",ORIG!Q1839)</f>
        <v/>
      </c>
      <c r="R1839" s="3">
        <f>IF(ORIG!R1839=0,"",ORIG!R1839)</f>
        <v/>
      </c>
      <c r="S1839" s="3">
        <f>IF(ORIG!S1839=0,"",ORIG!S1839)</f>
        <v/>
      </c>
      <c r="T1839" s="3">
        <f>IF(ORIG!T1839=0,"",ORIG!T1839)</f>
        <v/>
      </c>
      <c r="U1839" s="3">
        <f>IF(ORIG!U1839=0,"",ORIG!U1839)</f>
        <v/>
      </c>
      <c r="V1839" s="9">
        <f>IF(ORIG!V1839=0,"",ORIG!V1839)</f>
        <v/>
      </c>
      <c r="W1839" s="9">
        <f>IF(ORIG!W1839=0,"",ORIG!W1839)</f>
        <v/>
      </c>
      <c r="X1839" s="9">
        <f>IF(ORIG!X1839=0,"",ORIG!X1839)</f>
        <v/>
      </c>
      <c r="Y1839" s="9">
        <f>IF(ORIG!Y1839=0,"",ORIG!Y1839)</f>
        <v/>
      </c>
      <c r="Z1839" s="3">
        <f>SUMPRODUCT($B1839:$Y1839,$B$2649:$Y$2649)</f>
        <v/>
      </c>
      <c r="AA1839" s="3">
        <f>SUMPRODUCT($B1839:$Y1839,$B$2655:$Y$2655)</f>
        <v/>
      </c>
      <c r="AC1839" s="1">
        <f>A1839</f>
        <v/>
      </c>
      <c r="AD1839">
        <f>IF(ISNUMBER(V1839),V1839*($AB$1/V$2635),"")</f>
        <v/>
      </c>
      <c r="AE1839">
        <f>IF(ISNUMBER(Z1839),Z1839*($AB$1/Z$2635),"")</f>
        <v/>
      </c>
      <c r="AF1839" s="25">
        <f>IF(ISNUMBER(AD1839+AE1839),AD1839+AE1839,"")</f>
        <v/>
      </c>
      <c r="AH1839" s="1">
        <f>A1839</f>
        <v/>
      </c>
      <c r="AI1839">
        <f>IF(ISNUMBER((1+V1839)*AI1838),(1+V1839)*AI1838,AI1838)</f>
        <v/>
      </c>
      <c r="AJ1839">
        <f>IF(ISNUMBER((1+Z1839)*AJ1838),(1+Z1839)*AJ1838,AJ1838)</f>
        <v/>
      </c>
    </row>
    <row r="1840">
      <c r="A1840" s="1" t="n">
        <v>44671</v>
      </c>
      <c r="B1840" s="3">
        <f>IF(ORIG!B1840=0,"",ORIG!B1840)</f>
        <v/>
      </c>
      <c r="C1840" s="3">
        <f>IF(ORIG!C1840=0,"",ORIG!C1840)</f>
        <v/>
      </c>
      <c r="D1840" s="3">
        <f>IF(ORIG!D1840=0,"",ORIG!D1840)</f>
        <v/>
      </c>
      <c r="E1840" s="3">
        <f>IF(ORIG!E1840=0,"",ORIG!E1840)</f>
        <v/>
      </c>
      <c r="F1840" s="3">
        <f>IF(ORIG!F1840=0,"",ORIG!F1840)</f>
        <v/>
      </c>
      <c r="G1840" s="3">
        <f>IF(ORIG!G1840=0,"",ORIG!G1840)</f>
        <v/>
      </c>
      <c r="H1840" s="3">
        <f>IF(ORIG!H1840=0,"",ORIG!H1840)</f>
        <v/>
      </c>
      <c r="I1840" s="3">
        <f>IF(ORIG!I1840=0,"",ORIG!I1840)</f>
        <v/>
      </c>
      <c r="J1840" s="3">
        <f>IF(ORIG!J1840=0,"",ORIG!J1840)</f>
        <v/>
      </c>
      <c r="K1840" s="3">
        <f>IF(ORIG!K1840=0,"",ORIG!K1840)</f>
        <v/>
      </c>
      <c r="L1840" s="3">
        <f>IF(ORIG!L1840=0,"",ORIG!L1840)</f>
        <v/>
      </c>
      <c r="M1840" s="3">
        <f>IF(ORIG!M1840=0,"",ORIG!M1840)</f>
        <v/>
      </c>
      <c r="N1840" s="3">
        <f>IF(ORIG!N1840=0,"",ORIG!N1840)</f>
        <v/>
      </c>
      <c r="O1840" s="3">
        <f>IF(ORIG!O1840=0,"",ORIG!O1840)</f>
        <v/>
      </c>
      <c r="P1840" s="3">
        <f>IF(ORIG!P1840=0,"",ORIG!P1840)</f>
        <v/>
      </c>
      <c r="Q1840" s="3">
        <f>IF(ORIG!Q1840=0,"",ORIG!Q1840)</f>
        <v/>
      </c>
      <c r="R1840" s="3">
        <f>IF(ORIG!R1840=0,"",ORIG!R1840)</f>
        <v/>
      </c>
      <c r="S1840" s="3">
        <f>IF(ORIG!S1840=0,"",ORIG!S1840)</f>
        <v/>
      </c>
      <c r="T1840" s="3">
        <f>IF(ORIG!T1840=0,"",ORIG!T1840)</f>
        <v/>
      </c>
      <c r="U1840" s="3">
        <f>IF(ORIG!U1840=0,"",ORIG!U1840)</f>
        <v/>
      </c>
      <c r="V1840" s="9">
        <f>IF(ORIG!V1840=0,"",ORIG!V1840)</f>
        <v/>
      </c>
      <c r="W1840" s="9">
        <f>IF(ORIG!W1840=0,"",ORIG!W1840)</f>
        <v/>
      </c>
      <c r="X1840" s="9">
        <f>IF(ORIG!X1840=0,"",ORIG!X1840)</f>
        <v/>
      </c>
      <c r="Y1840" s="9">
        <f>IF(ORIG!Y1840=0,"",ORIG!Y1840)</f>
        <v/>
      </c>
      <c r="Z1840" s="3">
        <f>SUMPRODUCT($B1840:$Y1840,$B$2649:$Y$2649)</f>
        <v/>
      </c>
      <c r="AA1840" s="3">
        <f>SUMPRODUCT($B1840:$Y1840,$B$2655:$Y$2655)</f>
        <v/>
      </c>
      <c r="AC1840" s="1">
        <f>A1840</f>
        <v/>
      </c>
      <c r="AD1840">
        <f>IF(ISNUMBER(V1840),V1840*($AB$1/V$2635),"")</f>
        <v/>
      </c>
      <c r="AE1840">
        <f>IF(ISNUMBER(Z1840),Z1840*($AB$1/Z$2635),"")</f>
        <v/>
      </c>
      <c r="AF1840" s="25">
        <f>IF(ISNUMBER(AD1840+AE1840),AD1840+AE1840,"")</f>
        <v/>
      </c>
      <c r="AH1840" s="1">
        <f>A1840</f>
        <v/>
      </c>
      <c r="AI1840">
        <f>IF(ISNUMBER((1+V1840)*AI1839),(1+V1840)*AI1839,AI1839)</f>
        <v/>
      </c>
      <c r="AJ1840">
        <f>IF(ISNUMBER((1+Z1840)*AJ1839),(1+Z1840)*AJ1839,AJ1839)</f>
        <v/>
      </c>
    </row>
    <row r="1841">
      <c r="A1841" s="1" t="n">
        <v>44672</v>
      </c>
      <c r="B1841" s="3">
        <f>IF(ORIG!B1841=0,"",ORIG!B1841)</f>
        <v/>
      </c>
      <c r="C1841" s="3">
        <f>IF(ORIG!C1841=0,"",ORIG!C1841)</f>
        <v/>
      </c>
      <c r="D1841" s="3">
        <f>IF(ORIG!D1841=0,"",ORIG!D1841)</f>
        <v/>
      </c>
      <c r="E1841" s="3">
        <f>IF(ORIG!E1841=0,"",ORIG!E1841)</f>
        <v/>
      </c>
      <c r="F1841" s="3">
        <f>IF(ORIG!F1841=0,"",ORIG!F1841)</f>
        <v/>
      </c>
      <c r="G1841" s="3">
        <f>IF(ORIG!G1841=0,"",ORIG!G1841)</f>
        <v/>
      </c>
      <c r="H1841" s="3">
        <f>IF(ORIG!H1841=0,"",ORIG!H1841)</f>
        <v/>
      </c>
      <c r="I1841" s="3">
        <f>IF(ORIG!I1841=0,"",ORIG!I1841)</f>
        <v/>
      </c>
      <c r="J1841" s="3">
        <f>IF(ORIG!J1841=0,"",ORIG!J1841)</f>
        <v/>
      </c>
      <c r="K1841" s="3">
        <f>IF(ORIG!K1841=0,"",ORIG!K1841)</f>
        <v/>
      </c>
      <c r="L1841" s="3">
        <f>IF(ORIG!L1841=0,"",ORIG!L1841)</f>
        <v/>
      </c>
      <c r="M1841" s="3">
        <f>IF(ORIG!M1841=0,"",ORIG!M1841)</f>
        <v/>
      </c>
      <c r="N1841" s="3">
        <f>IF(ORIG!N1841=0,"",ORIG!N1841)</f>
        <v/>
      </c>
      <c r="O1841" s="3">
        <f>IF(ORIG!O1841=0,"",ORIG!O1841)</f>
        <v/>
      </c>
      <c r="P1841" s="3">
        <f>IF(ORIG!P1841=0,"",ORIG!P1841)</f>
        <v/>
      </c>
      <c r="Q1841" s="3">
        <f>IF(ORIG!Q1841=0,"",ORIG!Q1841)</f>
        <v/>
      </c>
      <c r="R1841" s="3">
        <f>IF(ORIG!R1841=0,"",ORIG!R1841)</f>
        <v/>
      </c>
      <c r="S1841" s="3">
        <f>IF(ORIG!S1841=0,"",ORIG!S1841)</f>
        <v/>
      </c>
      <c r="T1841" s="3">
        <f>IF(ORIG!T1841=0,"",ORIG!T1841)</f>
        <v/>
      </c>
      <c r="U1841" s="3">
        <f>IF(ORIG!U1841=0,"",ORIG!U1841)</f>
        <v/>
      </c>
      <c r="V1841" s="9">
        <f>IF(ORIG!V1841=0,"",ORIG!V1841)</f>
        <v/>
      </c>
      <c r="W1841" s="9">
        <f>IF(ORIG!W1841=0,"",ORIG!W1841)</f>
        <v/>
      </c>
      <c r="X1841" s="9">
        <f>IF(ORIG!X1841=0,"",ORIG!X1841)</f>
        <v/>
      </c>
      <c r="Y1841" s="9">
        <f>IF(ORIG!Y1841=0,"",ORIG!Y1841)</f>
        <v/>
      </c>
      <c r="Z1841" s="3">
        <f>SUMPRODUCT($B1841:$Y1841,$B$2649:$Y$2649)</f>
        <v/>
      </c>
      <c r="AA1841" s="3">
        <f>SUMPRODUCT($B1841:$Y1841,$B$2655:$Y$2655)</f>
        <v/>
      </c>
      <c r="AC1841" s="1">
        <f>A1841</f>
        <v/>
      </c>
      <c r="AD1841">
        <f>IF(ISNUMBER(V1841),V1841*($AB$1/V$2635),"")</f>
        <v/>
      </c>
      <c r="AE1841">
        <f>IF(ISNUMBER(Z1841),Z1841*($AB$1/Z$2635),"")</f>
        <v/>
      </c>
      <c r="AF1841" s="25">
        <f>IF(ISNUMBER(AD1841+AE1841),AD1841+AE1841,"")</f>
        <v/>
      </c>
      <c r="AH1841" s="1">
        <f>A1841</f>
        <v/>
      </c>
      <c r="AI1841">
        <f>IF(ISNUMBER((1+V1841)*AI1840),(1+V1841)*AI1840,AI1840)</f>
        <v/>
      </c>
      <c r="AJ1841">
        <f>IF(ISNUMBER((1+Z1841)*AJ1840),(1+Z1841)*AJ1840,AJ1840)</f>
        <v/>
      </c>
    </row>
    <row r="1842">
      <c r="A1842" s="1" t="n">
        <v>44673</v>
      </c>
      <c r="B1842" s="3">
        <f>IF(ORIG!B1842=0,"",ORIG!B1842)</f>
        <v/>
      </c>
      <c r="C1842" s="3">
        <f>IF(ORIG!C1842=0,"",ORIG!C1842)</f>
        <v/>
      </c>
      <c r="D1842" s="3">
        <f>IF(ORIG!D1842=0,"",ORIG!D1842)</f>
        <v/>
      </c>
      <c r="E1842" s="3">
        <f>IF(ORIG!E1842=0,"",ORIG!E1842)</f>
        <v/>
      </c>
      <c r="F1842" s="3">
        <f>IF(ORIG!F1842=0,"",ORIG!F1842)</f>
        <v/>
      </c>
      <c r="G1842" s="3">
        <f>IF(ORIG!G1842=0,"",ORIG!G1842)</f>
        <v/>
      </c>
      <c r="H1842" s="3">
        <f>IF(ORIG!H1842=0,"",ORIG!H1842)</f>
        <v/>
      </c>
      <c r="I1842" s="3">
        <f>IF(ORIG!I1842=0,"",ORIG!I1842)</f>
        <v/>
      </c>
      <c r="J1842" s="3">
        <f>IF(ORIG!J1842=0,"",ORIG!J1842)</f>
        <v/>
      </c>
      <c r="K1842" s="3">
        <f>IF(ORIG!K1842=0,"",ORIG!K1842)</f>
        <v/>
      </c>
      <c r="L1842" s="3">
        <f>IF(ORIG!L1842=0,"",ORIG!L1842)</f>
        <v/>
      </c>
      <c r="M1842" s="3">
        <f>IF(ORIG!M1842=0,"",ORIG!M1842)</f>
        <v/>
      </c>
      <c r="N1842" s="3">
        <f>IF(ORIG!N1842=0,"",ORIG!N1842)</f>
        <v/>
      </c>
      <c r="O1842" s="3">
        <f>IF(ORIG!O1842=0,"",ORIG!O1842)</f>
        <v/>
      </c>
      <c r="P1842" s="3">
        <f>IF(ORIG!P1842=0,"",ORIG!P1842)</f>
        <v/>
      </c>
      <c r="Q1842" s="3">
        <f>IF(ORIG!Q1842=0,"",ORIG!Q1842)</f>
        <v/>
      </c>
      <c r="R1842" s="3">
        <f>IF(ORIG!R1842=0,"",ORIG!R1842)</f>
        <v/>
      </c>
      <c r="S1842" s="3">
        <f>IF(ORIG!S1842=0,"",ORIG!S1842)</f>
        <v/>
      </c>
      <c r="T1842" s="3">
        <f>IF(ORIG!T1842=0,"",ORIG!T1842)</f>
        <v/>
      </c>
      <c r="U1842" s="3">
        <f>IF(ORIG!U1842=0,"",ORIG!U1842)</f>
        <v/>
      </c>
      <c r="V1842" s="9">
        <f>IF(ORIG!V1842=0,"",ORIG!V1842)</f>
        <v/>
      </c>
      <c r="W1842" s="9">
        <f>IF(ORIG!W1842=0,"",ORIG!W1842)</f>
        <v/>
      </c>
      <c r="X1842" s="9">
        <f>IF(ORIG!X1842=0,"",ORIG!X1842)</f>
        <v/>
      </c>
      <c r="Y1842" s="9">
        <f>IF(ORIG!Y1842=0,"",ORIG!Y1842)</f>
        <v/>
      </c>
      <c r="Z1842" s="3">
        <f>SUMPRODUCT($B1842:$Y1842,$B$2649:$Y$2649)</f>
        <v/>
      </c>
      <c r="AA1842" s="3">
        <f>SUMPRODUCT($B1842:$Y1842,$B$2655:$Y$2655)</f>
        <v/>
      </c>
      <c r="AC1842" s="1">
        <f>A1842</f>
        <v/>
      </c>
      <c r="AD1842">
        <f>IF(ISNUMBER(V1842),V1842*($AB$1/V$2635),"")</f>
        <v/>
      </c>
      <c r="AE1842">
        <f>IF(ISNUMBER(Z1842),Z1842*($AB$1/Z$2635),"")</f>
        <v/>
      </c>
      <c r="AF1842" s="25">
        <f>IF(ISNUMBER(AD1842+AE1842),AD1842+AE1842,"")</f>
        <v/>
      </c>
      <c r="AH1842" s="1">
        <f>A1842</f>
        <v/>
      </c>
      <c r="AI1842">
        <f>IF(ISNUMBER((1+V1842)*AI1841),(1+V1842)*AI1841,AI1841)</f>
        <v/>
      </c>
      <c r="AJ1842">
        <f>IF(ISNUMBER((1+Z1842)*AJ1841),(1+Z1842)*AJ1841,AJ1841)</f>
        <v/>
      </c>
    </row>
    <row r="1843">
      <c r="A1843" s="1" t="n">
        <v>44676</v>
      </c>
      <c r="B1843" s="3">
        <f>IF(ORIG!B1843=0,"",ORIG!B1843)</f>
        <v/>
      </c>
      <c r="C1843" s="3">
        <f>IF(ORIG!C1843=0,"",ORIG!C1843)</f>
        <v/>
      </c>
      <c r="D1843" s="3">
        <f>IF(ORIG!D1843=0,"",ORIG!D1843)</f>
        <v/>
      </c>
      <c r="E1843" s="3">
        <f>IF(ORIG!E1843=0,"",ORIG!E1843)</f>
        <v/>
      </c>
      <c r="F1843" s="3">
        <f>IF(ORIG!F1843=0,"",ORIG!F1843)</f>
        <v/>
      </c>
      <c r="G1843" s="3">
        <f>IF(ORIG!G1843=0,"",ORIG!G1843)</f>
        <v/>
      </c>
      <c r="H1843" s="3">
        <f>IF(ORIG!H1843=0,"",ORIG!H1843)</f>
        <v/>
      </c>
      <c r="I1843" s="3">
        <f>IF(ORIG!I1843=0,"",ORIG!I1843)</f>
        <v/>
      </c>
      <c r="J1843" s="3">
        <f>IF(ORIG!J1843=0,"",ORIG!J1843)</f>
        <v/>
      </c>
      <c r="K1843" s="3">
        <f>IF(ORIG!K1843=0,"",ORIG!K1843)</f>
        <v/>
      </c>
      <c r="L1843" s="3">
        <f>IF(ORIG!L1843=0,"",ORIG!L1843)</f>
        <v/>
      </c>
      <c r="M1843" s="3">
        <f>IF(ORIG!M1843=0,"",ORIG!M1843)</f>
        <v/>
      </c>
      <c r="N1843" s="3">
        <f>IF(ORIG!N1843=0,"",ORIG!N1843)</f>
        <v/>
      </c>
      <c r="O1843" s="3">
        <f>IF(ORIG!O1843=0,"",ORIG!O1843)</f>
        <v/>
      </c>
      <c r="P1843" s="3">
        <f>IF(ORIG!P1843=0,"",ORIG!P1843)</f>
        <v/>
      </c>
      <c r="Q1843" s="3">
        <f>IF(ORIG!Q1843=0,"",ORIG!Q1843)</f>
        <v/>
      </c>
      <c r="R1843" s="3">
        <f>IF(ORIG!R1843=0,"",ORIG!R1843)</f>
        <v/>
      </c>
      <c r="S1843" s="3">
        <f>IF(ORIG!S1843=0,"",ORIG!S1843)</f>
        <v/>
      </c>
      <c r="T1843" s="3">
        <f>IF(ORIG!T1843=0,"",ORIG!T1843)</f>
        <v/>
      </c>
      <c r="U1843" s="3">
        <f>IF(ORIG!U1843=0,"",ORIG!U1843)</f>
        <v/>
      </c>
      <c r="V1843" s="9">
        <f>IF(ORIG!V1843=0,"",ORIG!V1843)</f>
        <v/>
      </c>
      <c r="W1843" s="9">
        <f>IF(ORIG!W1843=0,"",ORIG!W1843)</f>
        <v/>
      </c>
      <c r="X1843" s="9">
        <f>IF(ORIG!X1843=0,"",ORIG!X1843)</f>
        <v/>
      </c>
      <c r="Y1843" s="9">
        <f>IF(ORIG!Y1843=0,"",ORIG!Y1843)</f>
        <v/>
      </c>
      <c r="Z1843" s="3">
        <f>SUMPRODUCT($B1843:$Y1843,$B$2649:$Y$2649)</f>
        <v/>
      </c>
      <c r="AA1843" s="3">
        <f>SUMPRODUCT($B1843:$Y1843,$B$2655:$Y$2655)</f>
        <v/>
      </c>
      <c r="AC1843" s="1">
        <f>A1843</f>
        <v/>
      </c>
      <c r="AD1843">
        <f>IF(ISNUMBER(V1843),V1843*($AB$1/V$2635),"")</f>
        <v/>
      </c>
      <c r="AE1843">
        <f>IF(ISNUMBER(Z1843),Z1843*($AB$1/Z$2635),"")</f>
        <v/>
      </c>
      <c r="AF1843" s="25">
        <f>IF(ISNUMBER(AD1843+AE1843),AD1843+AE1843,"")</f>
        <v/>
      </c>
      <c r="AH1843" s="1">
        <f>A1843</f>
        <v/>
      </c>
      <c r="AI1843">
        <f>IF(ISNUMBER((1+V1843)*AI1842),(1+V1843)*AI1842,AI1842)</f>
        <v/>
      </c>
      <c r="AJ1843">
        <f>IF(ISNUMBER((1+Z1843)*AJ1842),(1+Z1843)*AJ1842,AJ1842)</f>
        <v/>
      </c>
    </row>
    <row r="1844">
      <c r="A1844" s="1" t="n">
        <v>44677</v>
      </c>
      <c r="B1844" s="3">
        <f>IF(ORIG!B1844=0,"",ORIG!B1844)</f>
        <v/>
      </c>
      <c r="C1844" s="3">
        <f>IF(ORIG!C1844=0,"",ORIG!C1844)</f>
        <v/>
      </c>
      <c r="D1844" s="3">
        <f>IF(ORIG!D1844=0,"",ORIG!D1844)</f>
        <v/>
      </c>
      <c r="E1844" s="3">
        <f>IF(ORIG!E1844=0,"",ORIG!E1844)</f>
        <v/>
      </c>
      <c r="F1844" s="3">
        <f>IF(ORIG!F1844=0,"",ORIG!F1844)</f>
        <v/>
      </c>
      <c r="G1844" s="3">
        <f>IF(ORIG!G1844=0,"",ORIG!G1844)</f>
        <v/>
      </c>
      <c r="H1844" s="3">
        <f>IF(ORIG!H1844=0,"",ORIG!H1844)</f>
        <v/>
      </c>
      <c r="I1844" s="3">
        <f>IF(ORIG!I1844=0,"",ORIG!I1844)</f>
        <v/>
      </c>
      <c r="J1844" s="3">
        <f>IF(ORIG!J1844=0,"",ORIG!J1844)</f>
        <v/>
      </c>
      <c r="K1844" s="3">
        <f>IF(ORIG!K1844=0,"",ORIG!K1844)</f>
        <v/>
      </c>
      <c r="L1844" s="3">
        <f>IF(ORIG!L1844=0,"",ORIG!L1844)</f>
        <v/>
      </c>
      <c r="M1844" s="3">
        <f>IF(ORIG!M1844=0,"",ORIG!M1844)</f>
        <v/>
      </c>
      <c r="N1844" s="3">
        <f>IF(ORIG!N1844=0,"",ORIG!N1844)</f>
        <v/>
      </c>
      <c r="O1844" s="3">
        <f>IF(ORIG!O1844=0,"",ORIG!O1844)</f>
        <v/>
      </c>
      <c r="P1844" s="3">
        <f>IF(ORIG!P1844=0,"",ORIG!P1844)</f>
        <v/>
      </c>
      <c r="Q1844" s="3">
        <f>IF(ORIG!Q1844=0,"",ORIG!Q1844)</f>
        <v/>
      </c>
      <c r="R1844" s="3">
        <f>IF(ORIG!R1844=0,"",ORIG!R1844)</f>
        <v/>
      </c>
      <c r="S1844" s="3">
        <f>IF(ORIG!S1844=0,"",ORIG!S1844)</f>
        <v/>
      </c>
      <c r="T1844" s="3">
        <f>IF(ORIG!T1844=0,"",ORIG!T1844)</f>
        <v/>
      </c>
      <c r="U1844" s="3">
        <f>IF(ORIG!U1844=0,"",ORIG!U1844)</f>
        <v/>
      </c>
      <c r="V1844" s="9">
        <f>IF(ORIG!V1844=0,"",ORIG!V1844)</f>
        <v/>
      </c>
      <c r="W1844" s="9">
        <f>IF(ORIG!W1844=0,"",ORIG!W1844)</f>
        <v/>
      </c>
      <c r="X1844" s="9">
        <f>IF(ORIG!X1844=0,"",ORIG!X1844)</f>
        <v/>
      </c>
      <c r="Y1844" s="9">
        <f>IF(ORIG!Y1844=0,"",ORIG!Y1844)</f>
        <v/>
      </c>
      <c r="Z1844" s="3">
        <f>SUMPRODUCT($B1844:$Y1844,$B$2649:$Y$2649)</f>
        <v/>
      </c>
      <c r="AA1844" s="3">
        <f>SUMPRODUCT($B1844:$Y1844,$B$2655:$Y$2655)</f>
        <v/>
      </c>
      <c r="AC1844" s="1">
        <f>A1844</f>
        <v/>
      </c>
      <c r="AD1844">
        <f>IF(ISNUMBER(V1844),V1844*($AB$1/V$2635),"")</f>
        <v/>
      </c>
      <c r="AE1844">
        <f>IF(ISNUMBER(Z1844),Z1844*($AB$1/Z$2635),"")</f>
        <v/>
      </c>
      <c r="AF1844" s="25">
        <f>IF(ISNUMBER(AD1844+AE1844),AD1844+AE1844,"")</f>
        <v/>
      </c>
      <c r="AH1844" s="1">
        <f>A1844</f>
        <v/>
      </c>
      <c r="AI1844">
        <f>IF(ISNUMBER((1+V1844)*AI1843),(1+V1844)*AI1843,AI1843)</f>
        <v/>
      </c>
      <c r="AJ1844">
        <f>IF(ISNUMBER((1+Z1844)*AJ1843),(1+Z1844)*AJ1843,AJ1843)</f>
        <v/>
      </c>
    </row>
    <row r="1845">
      <c r="A1845" s="1" t="n">
        <v>44678</v>
      </c>
      <c r="B1845" s="3">
        <f>IF(ORIG!B1845=0,"",ORIG!B1845)</f>
        <v/>
      </c>
      <c r="C1845" s="3">
        <f>IF(ORIG!C1845=0,"",ORIG!C1845)</f>
        <v/>
      </c>
      <c r="D1845" s="3">
        <f>IF(ORIG!D1845=0,"",ORIG!D1845)</f>
        <v/>
      </c>
      <c r="E1845" s="3">
        <f>IF(ORIG!E1845=0,"",ORIG!E1845)</f>
        <v/>
      </c>
      <c r="F1845" s="3">
        <f>IF(ORIG!F1845=0,"",ORIG!F1845)</f>
        <v/>
      </c>
      <c r="G1845" s="3">
        <f>IF(ORIG!G1845=0,"",ORIG!G1845)</f>
        <v/>
      </c>
      <c r="H1845" s="3">
        <f>IF(ORIG!H1845=0,"",ORIG!H1845)</f>
        <v/>
      </c>
      <c r="I1845" s="3">
        <f>IF(ORIG!I1845=0,"",ORIG!I1845)</f>
        <v/>
      </c>
      <c r="J1845" s="3">
        <f>IF(ORIG!J1845=0,"",ORIG!J1845)</f>
        <v/>
      </c>
      <c r="K1845" s="3">
        <f>IF(ORIG!K1845=0,"",ORIG!K1845)</f>
        <v/>
      </c>
      <c r="L1845" s="3">
        <f>IF(ORIG!L1845=0,"",ORIG!L1845)</f>
        <v/>
      </c>
      <c r="M1845" s="3">
        <f>IF(ORIG!M1845=0,"",ORIG!M1845)</f>
        <v/>
      </c>
      <c r="N1845" s="3">
        <f>IF(ORIG!N1845=0,"",ORIG!N1845)</f>
        <v/>
      </c>
      <c r="O1845" s="3">
        <f>IF(ORIG!O1845=0,"",ORIG!O1845)</f>
        <v/>
      </c>
      <c r="P1845" s="3">
        <f>IF(ORIG!P1845=0,"",ORIG!P1845)</f>
        <v/>
      </c>
      <c r="Q1845" s="3">
        <f>IF(ORIG!Q1845=0,"",ORIG!Q1845)</f>
        <v/>
      </c>
      <c r="R1845" s="3">
        <f>IF(ORIG!R1845=0,"",ORIG!R1845)</f>
        <v/>
      </c>
      <c r="S1845" s="3">
        <f>IF(ORIG!S1845=0,"",ORIG!S1845)</f>
        <v/>
      </c>
      <c r="T1845" s="3">
        <f>IF(ORIG!T1845=0,"",ORIG!T1845)</f>
        <v/>
      </c>
      <c r="U1845" s="3">
        <f>IF(ORIG!U1845=0,"",ORIG!U1845)</f>
        <v/>
      </c>
      <c r="V1845" s="9">
        <f>IF(ORIG!V1845=0,"",ORIG!V1845)</f>
        <v/>
      </c>
      <c r="W1845" s="9">
        <f>IF(ORIG!W1845=0,"",ORIG!W1845)</f>
        <v/>
      </c>
      <c r="X1845" s="9">
        <f>IF(ORIG!X1845=0,"",ORIG!X1845)</f>
        <v/>
      </c>
      <c r="Y1845" s="9">
        <f>IF(ORIG!Y1845=0,"",ORIG!Y1845)</f>
        <v/>
      </c>
      <c r="Z1845" s="3">
        <f>SUMPRODUCT($B1845:$Y1845,$B$2649:$Y$2649)</f>
        <v/>
      </c>
      <c r="AA1845" s="3">
        <f>SUMPRODUCT($B1845:$Y1845,$B$2655:$Y$2655)</f>
        <v/>
      </c>
      <c r="AC1845" s="1">
        <f>A1845</f>
        <v/>
      </c>
      <c r="AD1845">
        <f>IF(ISNUMBER(V1845),V1845*($AB$1/V$2635),"")</f>
        <v/>
      </c>
      <c r="AE1845">
        <f>IF(ISNUMBER(Z1845),Z1845*($AB$1/Z$2635),"")</f>
        <v/>
      </c>
      <c r="AF1845" s="25">
        <f>IF(ISNUMBER(AD1845+AE1845),AD1845+AE1845,"")</f>
        <v/>
      </c>
      <c r="AH1845" s="1">
        <f>A1845</f>
        <v/>
      </c>
      <c r="AI1845">
        <f>IF(ISNUMBER((1+V1845)*AI1844),(1+V1845)*AI1844,AI1844)</f>
        <v/>
      </c>
      <c r="AJ1845">
        <f>IF(ISNUMBER((1+Z1845)*AJ1844),(1+Z1845)*AJ1844,AJ1844)</f>
        <v/>
      </c>
    </row>
    <row r="1846">
      <c r="A1846" s="1" t="n">
        <v>44679</v>
      </c>
      <c r="B1846" s="3">
        <f>IF(ORIG!B1846=0,"",ORIG!B1846)</f>
        <v/>
      </c>
      <c r="C1846" s="3">
        <f>IF(ORIG!C1846=0,"",ORIG!C1846)</f>
        <v/>
      </c>
      <c r="D1846" s="3">
        <f>IF(ORIG!D1846=0,"",ORIG!D1846)</f>
        <v/>
      </c>
      <c r="E1846" s="3">
        <f>IF(ORIG!E1846=0,"",ORIG!E1846)</f>
        <v/>
      </c>
      <c r="F1846" s="3">
        <f>IF(ORIG!F1846=0,"",ORIG!F1846)</f>
        <v/>
      </c>
      <c r="G1846" s="3">
        <f>IF(ORIG!G1846=0,"",ORIG!G1846)</f>
        <v/>
      </c>
      <c r="H1846" s="3">
        <f>IF(ORIG!H1846=0,"",ORIG!H1846)</f>
        <v/>
      </c>
      <c r="I1846" s="3">
        <f>IF(ORIG!I1846=0,"",ORIG!I1846)</f>
        <v/>
      </c>
      <c r="J1846" s="3">
        <f>IF(ORIG!J1846=0,"",ORIG!J1846)</f>
        <v/>
      </c>
      <c r="K1846" s="3">
        <f>IF(ORIG!K1846=0,"",ORIG!K1846)</f>
        <v/>
      </c>
      <c r="L1846" s="3">
        <f>IF(ORIG!L1846=0,"",ORIG!L1846)</f>
        <v/>
      </c>
      <c r="M1846" s="3">
        <f>IF(ORIG!M1846=0,"",ORIG!M1846)</f>
        <v/>
      </c>
      <c r="N1846" s="3">
        <f>IF(ORIG!N1846=0,"",ORIG!N1846)</f>
        <v/>
      </c>
      <c r="O1846" s="3">
        <f>IF(ORIG!O1846=0,"",ORIG!O1846)</f>
        <v/>
      </c>
      <c r="P1846" s="3">
        <f>IF(ORIG!P1846=0,"",ORIG!P1846)</f>
        <v/>
      </c>
      <c r="Q1846" s="3">
        <f>IF(ORIG!Q1846=0,"",ORIG!Q1846)</f>
        <v/>
      </c>
      <c r="R1846" s="3">
        <f>IF(ORIG!R1846=0,"",ORIG!R1846)</f>
        <v/>
      </c>
      <c r="S1846" s="3">
        <f>IF(ORIG!S1846=0,"",ORIG!S1846)</f>
        <v/>
      </c>
      <c r="T1846" s="3">
        <f>IF(ORIG!T1846=0,"",ORIG!T1846)</f>
        <v/>
      </c>
      <c r="U1846" s="3">
        <f>IF(ORIG!U1846=0,"",ORIG!U1846)</f>
        <v/>
      </c>
      <c r="V1846" s="9">
        <f>IF(ORIG!V1846=0,"",ORIG!V1846)</f>
        <v/>
      </c>
      <c r="W1846" s="9">
        <f>IF(ORIG!W1846=0,"",ORIG!W1846)</f>
        <v/>
      </c>
      <c r="X1846" s="9">
        <f>IF(ORIG!X1846=0,"",ORIG!X1846)</f>
        <v/>
      </c>
      <c r="Y1846" s="9">
        <f>IF(ORIG!Y1846=0,"",ORIG!Y1846)</f>
        <v/>
      </c>
      <c r="Z1846" s="3">
        <f>SUMPRODUCT($B1846:$Y1846,$B$2649:$Y$2649)</f>
        <v/>
      </c>
      <c r="AA1846" s="3">
        <f>SUMPRODUCT($B1846:$Y1846,$B$2655:$Y$2655)</f>
        <v/>
      </c>
      <c r="AC1846" s="1">
        <f>A1846</f>
        <v/>
      </c>
      <c r="AD1846">
        <f>IF(ISNUMBER(V1846),V1846*($AB$1/V$2635),"")</f>
        <v/>
      </c>
      <c r="AE1846">
        <f>IF(ISNUMBER(Z1846),Z1846*($AB$1/Z$2635),"")</f>
        <v/>
      </c>
      <c r="AF1846" s="25">
        <f>IF(ISNUMBER(AD1846+AE1846),AD1846+AE1846,"")</f>
        <v/>
      </c>
      <c r="AH1846" s="1">
        <f>A1846</f>
        <v/>
      </c>
      <c r="AI1846">
        <f>IF(ISNUMBER((1+V1846)*AI1845),(1+V1846)*AI1845,AI1845)</f>
        <v/>
      </c>
      <c r="AJ1846">
        <f>IF(ISNUMBER((1+Z1846)*AJ1845),(1+Z1846)*AJ1845,AJ1845)</f>
        <v/>
      </c>
    </row>
    <row r="1847">
      <c r="A1847" s="1" t="n">
        <v>44680</v>
      </c>
      <c r="B1847" s="3">
        <f>IF(ORIG!B1847=0,"",ORIG!B1847)</f>
        <v/>
      </c>
      <c r="C1847" s="3">
        <f>IF(ORIG!C1847=0,"",ORIG!C1847)</f>
        <v/>
      </c>
      <c r="D1847" s="3">
        <f>IF(ORIG!D1847=0,"",ORIG!D1847)</f>
        <v/>
      </c>
      <c r="E1847" s="3">
        <f>IF(ORIG!E1847=0,"",ORIG!E1847)</f>
        <v/>
      </c>
      <c r="F1847" s="3">
        <f>IF(ORIG!F1847=0,"",ORIG!F1847)</f>
        <v/>
      </c>
      <c r="G1847" s="3">
        <f>IF(ORIG!G1847=0,"",ORIG!G1847)</f>
        <v/>
      </c>
      <c r="H1847" s="3">
        <f>IF(ORIG!H1847=0,"",ORIG!H1847)</f>
        <v/>
      </c>
      <c r="I1847" s="3">
        <f>IF(ORIG!I1847=0,"",ORIG!I1847)</f>
        <v/>
      </c>
      <c r="J1847" s="3">
        <f>IF(ORIG!J1847=0,"",ORIG!J1847)</f>
        <v/>
      </c>
      <c r="K1847" s="3">
        <f>IF(ORIG!K1847=0,"",ORIG!K1847)</f>
        <v/>
      </c>
      <c r="L1847" s="3">
        <f>IF(ORIG!L1847=0,"",ORIG!L1847)</f>
        <v/>
      </c>
      <c r="M1847" s="3">
        <f>IF(ORIG!M1847=0,"",ORIG!M1847)</f>
        <v/>
      </c>
      <c r="N1847" s="3">
        <f>IF(ORIG!N1847=0,"",ORIG!N1847)</f>
        <v/>
      </c>
      <c r="O1847" s="3">
        <f>IF(ORIG!O1847=0,"",ORIG!O1847)</f>
        <v/>
      </c>
      <c r="P1847" s="3">
        <f>IF(ORIG!P1847=0,"",ORIG!P1847)</f>
        <v/>
      </c>
      <c r="Q1847" s="3">
        <f>IF(ORIG!Q1847=0,"",ORIG!Q1847)</f>
        <v/>
      </c>
      <c r="R1847" s="3">
        <f>IF(ORIG!R1847=0,"",ORIG!R1847)</f>
        <v/>
      </c>
      <c r="S1847" s="3">
        <f>IF(ORIG!S1847=0,"",ORIG!S1847)</f>
        <v/>
      </c>
      <c r="T1847" s="3">
        <f>IF(ORIG!T1847=0,"",ORIG!T1847)</f>
        <v/>
      </c>
      <c r="U1847" s="3">
        <f>IF(ORIG!U1847=0,"",ORIG!U1847)</f>
        <v/>
      </c>
      <c r="V1847" s="9">
        <f>IF(ORIG!V1847=0,"",ORIG!V1847)</f>
        <v/>
      </c>
      <c r="W1847" s="9">
        <f>IF(ORIG!W1847=0,"",ORIG!W1847)</f>
        <v/>
      </c>
      <c r="X1847" s="9">
        <f>IF(ORIG!X1847=0,"",ORIG!X1847)</f>
        <v/>
      </c>
      <c r="Y1847" s="9">
        <f>IF(ORIG!Y1847=0,"",ORIG!Y1847)</f>
        <v/>
      </c>
      <c r="Z1847" s="3">
        <f>SUMPRODUCT($B1847:$Y1847,$B$2649:$Y$2649)</f>
        <v/>
      </c>
      <c r="AA1847" s="3">
        <f>SUMPRODUCT($B1847:$Y1847,$B$2655:$Y$2655)</f>
        <v/>
      </c>
      <c r="AC1847" s="1">
        <f>A1847</f>
        <v/>
      </c>
      <c r="AD1847">
        <f>IF(ISNUMBER(V1847),V1847*($AB$1/V$2635),"")</f>
        <v/>
      </c>
      <c r="AE1847">
        <f>IF(ISNUMBER(Z1847),Z1847*($AB$1/Z$2635),"")</f>
        <v/>
      </c>
      <c r="AF1847" s="25">
        <f>IF(ISNUMBER(AD1847+AE1847),AD1847+AE1847,"")</f>
        <v/>
      </c>
      <c r="AH1847" s="1">
        <f>A1847</f>
        <v/>
      </c>
      <c r="AI1847">
        <f>IF(ISNUMBER((1+V1847)*AI1846),(1+V1847)*AI1846,AI1846)</f>
        <v/>
      </c>
      <c r="AJ1847">
        <f>IF(ISNUMBER((1+Z1847)*AJ1846),(1+Z1847)*AJ1846,AJ1846)</f>
        <v/>
      </c>
    </row>
    <row r="1848">
      <c r="A1848" s="1" t="n">
        <v>44683</v>
      </c>
      <c r="B1848" s="3">
        <f>IF(ORIG!B1848=0,"",ORIG!B1848)</f>
        <v/>
      </c>
      <c r="C1848" s="3">
        <f>IF(ORIG!C1848=0,"",ORIG!C1848)</f>
        <v/>
      </c>
      <c r="D1848" s="3">
        <f>IF(ORIG!D1848=0,"",ORIG!D1848)</f>
        <v/>
      </c>
      <c r="E1848" s="3">
        <f>IF(ORIG!E1848=0,"",ORIG!E1848)</f>
        <v/>
      </c>
      <c r="F1848" s="3">
        <f>IF(ORIG!F1848=0,"",ORIG!F1848)</f>
        <v/>
      </c>
      <c r="G1848" s="3">
        <f>IF(ORIG!G1848=0,"",ORIG!G1848)</f>
        <v/>
      </c>
      <c r="H1848" s="3">
        <f>IF(ORIG!H1848=0,"",ORIG!H1848)</f>
        <v/>
      </c>
      <c r="I1848" s="3">
        <f>IF(ORIG!I1848=0,"",ORIG!I1848)</f>
        <v/>
      </c>
      <c r="J1848" s="3">
        <f>IF(ORIG!J1848=0,"",ORIG!J1848)</f>
        <v/>
      </c>
      <c r="K1848" s="3">
        <f>IF(ORIG!K1848=0,"",ORIG!K1848)</f>
        <v/>
      </c>
      <c r="L1848" s="3">
        <f>IF(ORIG!L1848=0,"",ORIG!L1848)</f>
        <v/>
      </c>
      <c r="M1848" s="3">
        <f>IF(ORIG!M1848=0,"",ORIG!M1848)</f>
        <v/>
      </c>
      <c r="N1848" s="3">
        <f>IF(ORIG!N1848=0,"",ORIG!N1848)</f>
        <v/>
      </c>
      <c r="O1848" s="3">
        <f>IF(ORIG!O1848=0,"",ORIG!O1848)</f>
        <v/>
      </c>
      <c r="P1848" s="3">
        <f>IF(ORIG!P1848=0,"",ORIG!P1848)</f>
        <v/>
      </c>
      <c r="Q1848" s="3">
        <f>IF(ORIG!Q1848=0,"",ORIG!Q1848)</f>
        <v/>
      </c>
      <c r="R1848" s="3">
        <f>IF(ORIG!R1848=0,"",ORIG!R1848)</f>
        <v/>
      </c>
      <c r="S1848" s="3">
        <f>IF(ORIG!S1848=0,"",ORIG!S1848)</f>
        <v/>
      </c>
      <c r="T1848" s="3">
        <f>IF(ORIG!T1848=0,"",ORIG!T1848)</f>
        <v/>
      </c>
      <c r="U1848" s="3">
        <f>IF(ORIG!U1848=0,"",ORIG!U1848)</f>
        <v/>
      </c>
      <c r="V1848" s="9">
        <f>IF(ORIG!V1848=0,"",ORIG!V1848)</f>
        <v/>
      </c>
      <c r="W1848" s="9">
        <f>IF(ORIG!W1848=0,"",ORIG!W1848)</f>
        <v/>
      </c>
      <c r="X1848" s="9">
        <f>IF(ORIG!X1848=0,"",ORIG!X1848)</f>
        <v/>
      </c>
      <c r="Y1848" s="9">
        <f>IF(ORIG!Y1848=0,"",ORIG!Y1848)</f>
        <v/>
      </c>
      <c r="Z1848" s="3">
        <f>SUMPRODUCT($B1848:$Y1848,$B$2649:$Y$2649)</f>
        <v/>
      </c>
      <c r="AA1848" s="3">
        <f>SUMPRODUCT($B1848:$Y1848,$B$2655:$Y$2655)</f>
        <v/>
      </c>
      <c r="AC1848" s="1">
        <f>A1848</f>
        <v/>
      </c>
      <c r="AD1848">
        <f>IF(ISNUMBER(V1848),V1848*($AB$1/V$2635),"")</f>
        <v/>
      </c>
      <c r="AE1848">
        <f>IF(ISNUMBER(Z1848),Z1848*($AB$1/Z$2635),"")</f>
        <v/>
      </c>
      <c r="AF1848" s="25">
        <f>IF(ISNUMBER(AD1848+AE1848),AD1848+AE1848,"")</f>
        <v/>
      </c>
      <c r="AH1848" s="1">
        <f>A1848</f>
        <v/>
      </c>
      <c r="AI1848">
        <f>IF(ISNUMBER((1+V1848)*AI1847),(1+V1848)*AI1847,AI1847)</f>
        <v/>
      </c>
      <c r="AJ1848">
        <f>IF(ISNUMBER((1+Z1848)*AJ1847),(1+Z1848)*AJ1847,AJ1847)</f>
        <v/>
      </c>
    </row>
    <row r="1849">
      <c r="A1849" s="1" t="n">
        <v>44684</v>
      </c>
      <c r="B1849" s="3">
        <f>IF(ORIG!B1849=0,"",ORIG!B1849)</f>
        <v/>
      </c>
      <c r="C1849" s="3">
        <f>IF(ORIG!C1849=0,"",ORIG!C1849)</f>
        <v/>
      </c>
      <c r="D1849" s="3">
        <f>IF(ORIG!D1849=0,"",ORIG!D1849)</f>
        <v/>
      </c>
      <c r="E1849" s="3">
        <f>IF(ORIG!E1849=0,"",ORIG!E1849)</f>
        <v/>
      </c>
      <c r="F1849" s="3">
        <f>IF(ORIG!F1849=0,"",ORIG!F1849)</f>
        <v/>
      </c>
      <c r="G1849" s="3">
        <f>IF(ORIG!G1849=0,"",ORIG!G1849)</f>
        <v/>
      </c>
      <c r="H1849" s="3">
        <f>IF(ORIG!H1849=0,"",ORIG!H1849)</f>
        <v/>
      </c>
      <c r="I1849" s="3">
        <f>IF(ORIG!I1849=0,"",ORIG!I1849)</f>
        <v/>
      </c>
      <c r="J1849" s="3">
        <f>IF(ORIG!J1849=0,"",ORIG!J1849)</f>
        <v/>
      </c>
      <c r="K1849" s="3">
        <f>IF(ORIG!K1849=0,"",ORIG!K1849)</f>
        <v/>
      </c>
      <c r="L1849" s="3">
        <f>IF(ORIG!L1849=0,"",ORIG!L1849)</f>
        <v/>
      </c>
      <c r="M1849" s="3">
        <f>IF(ORIG!M1849=0,"",ORIG!M1849)</f>
        <v/>
      </c>
      <c r="N1849" s="3">
        <f>IF(ORIG!N1849=0,"",ORIG!N1849)</f>
        <v/>
      </c>
      <c r="O1849" s="3">
        <f>IF(ORIG!O1849=0,"",ORIG!O1849)</f>
        <v/>
      </c>
      <c r="P1849" s="3">
        <f>IF(ORIG!P1849=0,"",ORIG!P1849)</f>
        <v/>
      </c>
      <c r="Q1849" s="3">
        <f>IF(ORIG!Q1849=0,"",ORIG!Q1849)</f>
        <v/>
      </c>
      <c r="R1849" s="3">
        <f>IF(ORIG!R1849=0,"",ORIG!R1849)</f>
        <v/>
      </c>
      <c r="S1849" s="3">
        <f>IF(ORIG!S1849=0,"",ORIG!S1849)</f>
        <v/>
      </c>
      <c r="T1849" s="3">
        <f>IF(ORIG!T1849=0,"",ORIG!T1849)</f>
        <v/>
      </c>
      <c r="U1849" s="3">
        <f>IF(ORIG!U1849=0,"",ORIG!U1849)</f>
        <v/>
      </c>
      <c r="V1849" s="9">
        <f>IF(ORIG!V1849=0,"",ORIG!V1849)</f>
        <v/>
      </c>
      <c r="W1849" s="9">
        <f>IF(ORIG!W1849=0,"",ORIG!W1849)</f>
        <v/>
      </c>
      <c r="X1849" s="9">
        <f>IF(ORIG!X1849=0,"",ORIG!X1849)</f>
        <v/>
      </c>
      <c r="Y1849" s="9">
        <f>IF(ORIG!Y1849=0,"",ORIG!Y1849)</f>
        <v/>
      </c>
      <c r="Z1849" s="3">
        <f>SUMPRODUCT($B1849:$Y1849,$B$2649:$Y$2649)</f>
        <v/>
      </c>
      <c r="AA1849" s="3">
        <f>SUMPRODUCT($B1849:$Y1849,$B$2655:$Y$2655)</f>
        <v/>
      </c>
      <c r="AC1849" s="1">
        <f>A1849</f>
        <v/>
      </c>
      <c r="AD1849">
        <f>IF(ISNUMBER(V1849),V1849*($AB$1/V$2635),"")</f>
        <v/>
      </c>
      <c r="AE1849">
        <f>IF(ISNUMBER(Z1849),Z1849*($AB$1/Z$2635),"")</f>
        <v/>
      </c>
      <c r="AF1849" s="25">
        <f>IF(ISNUMBER(AD1849+AE1849),AD1849+AE1849,"")</f>
        <v/>
      </c>
      <c r="AH1849" s="1">
        <f>A1849</f>
        <v/>
      </c>
      <c r="AI1849">
        <f>IF(ISNUMBER((1+V1849)*AI1848),(1+V1849)*AI1848,AI1848)</f>
        <v/>
      </c>
      <c r="AJ1849">
        <f>IF(ISNUMBER((1+Z1849)*AJ1848),(1+Z1849)*AJ1848,AJ1848)</f>
        <v/>
      </c>
    </row>
    <row r="1850">
      <c r="A1850" s="1" t="n">
        <v>44685</v>
      </c>
      <c r="B1850" s="3">
        <f>IF(ORIG!B1850=0,"",ORIG!B1850)</f>
        <v/>
      </c>
      <c r="C1850" s="3">
        <f>IF(ORIG!C1850=0,"",ORIG!C1850)</f>
        <v/>
      </c>
      <c r="D1850" s="3">
        <f>IF(ORIG!D1850=0,"",ORIG!D1850)</f>
        <v/>
      </c>
      <c r="E1850" s="3">
        <f>IF(ORIG!E1850=0,"",ORIG!E1850)</f>
        <v/>
      </c>
      <c r="F1850" s="3">
        <f>IF(ORIG!F1850=0,"",ORIG!F1850)</f>
        <v/>
      </c>
      <c r="G1850" s="3">
        <f>IF(ORIG!G1850=0,"",ORIG!G1850)</f>
        <v/>
      </c>
      <c r="H1850" s="3">
        <f>IF(ORIG!H1850=0,"",ORIG!H1850)</f>
        <v/>
      </c>
      <c r="I1850" s="3">
        <f>IF(ORIG!I1850=0,"",ORIG!I1850)</f>
        <v/>
      </c>
      <c r="J1850" s="3">
        <f>IF(ORIG!J1850=0,"",ORIG!J1850)</f>
        <v/>
      </c>
      <c r="K1850" s="3">
        <f>IF(ORIG!K1850=0,"",ORIG!K1850)</f>
        <v/>
      </c>
      <c r="L1850" s="3">
        <f>IF(ORIG!L1850=0,"",ORIG!L1850)</f>
        <v/>
      </c>
      <c r="M1850" s="3">
        <f>IF(ORIG!M1850=0,"",ORIG!M1850)</f>
        <v/>
      </c>
      <c r="N1850" s="3">
        <f>IF(ORIG!N1850=0,"",ORIG!N1850)</f>
        <v/>
      </c>
      <c r="O1850" s="3">
        <f>IF(ORIG!O1850=0,"",ORIG!O1850)</f>
        <v/>
      </c>
      <c r="P1850" s="3">
        <f>IF(ORIG!P1850=0,"",ORIG!P1850)</f>
        <v/>
      </c>
      <c r="Q1850" s="3">
        <f>IF(ORIG!Q1850=0,"",ORIG!Q1850)</f>
        <v/>
      </c>
      <c r="R1850" s="3">
        <f>IF(ORIG!R1850=0,"",ORIG!R1850)</f>
        <v/>
      </c>
      <c r="S1850" s="3">
        <f>IF(ORIG!S1850=0,"",ORIG!S1850)</f>
        <v/>
      </c>
      <c r="T1850" s="3">
        <f>IF(ORIG!T1850=0,"",ORIG!T1850)</f>
        <v/>
      </c>
      <c r="U1850" s="3">
        <f>IF(ORIG!U1850=0,"",ORIG!U1850)</f>
        <v/>
      </c>
      <c r="V1850" s="9">
        <f>IF(ORIG!V1850=0,"",ORIG!V1850)</f>
        <v/>
      </c>
      <c r="W1850" s="9">
        <f>IF(ORIG!W1850=0,"",ORIG!W1850)</f>
        <v/>
      </c>
      <c r="X1850" s="9">
        <f>IF(ORIG!X1850=0,"",ORIG!X1850)</f>
        <v/>
      </c>
      <c r="Y1850" s="9">
        <f>IF(ORIG!Y1850=0,"",ORIG!Y1850)</f>
        <v/>
      </c>
      <c r="Z1850" s="3">
        <f>SUMPRODUCT($B1850:$Y1850,$B$2649:$Y$2649)</f>
        <v/>
      </c>
      <c r="AA1850" s="3">
        <f>SUMPRODUCT($B1850:$Y1850,$B$2655:$Y$2655)</f>
        <v/>
      </c>
      <c r="AC1850" s="1">
        <f>A1850</f>
        <v/>
      </c>
      <c r="AD1850">
        <f>IF(ISNUMBER(V1850),V1850*($AB$1/V$2635),"")</f>
        <v/>
      </c>
      <c r="AE1850">
        <f>IF(ISNUMBER(Z1850),Z1850*($AB$1/Z$2635),"")</f>
        <v/>
      </c>
      <c r="AF1850" s="25">
        <f>IF(ISNUMBER(AD1850+AE1850),AD1850+AE1850,"")</f>
        <v/>
      </c>
      <c r="AH1850" s="1">
        <f>A1850</f>
        <v/>
      </c>
      <c r="AI1850">
        <f>IF(ISNUMBER((1+V1850)*AI1849),(1+V1850)*AI1849,AI1849)</f>
        <v/>
      </c>
      <c r="AJ1850">
        <f>IF(ISNUMBER((1+Z1850)*AJ1849),(1+Z1850)*AJ1849,AJ1849)</f>
        <v/>
      </c>
    </row>
    <row r="1851">
      <c r="A1851" s="1" t="n">
        <v>44686</v>
      </c>
      <c r="B1851" s="3">
        <f>IF(ORIG!B1851=0,"",ORIG!B1851)</f>
        <v/>
      </c>
      <c r="C1851" s="3">
        <f>IF(ORIG!C1851=0,"",ORIG!C1851)</f>
        <v/>
      </c>
      <c r="D1851" s="3">
        <f>IF(ORIG!D1851=0,"",ORIG!D1851)</f>
        <v/>
      </c>
      <c r="E1851" s="3">
        <f>IF(ORIG!E1851=0,"",ORIG!E1851)</f>
        <v/>
      </c>
      <c r="F1851" s="3">
        <f>IF(ORIG!F1851=0,"",ORIG!F1851)</f>
        <v/>
      </c>
      <c r="G1851" s="3">
        <f>IF(ORIG!G1851=0,"",ORIG!G1851)</f>
        <v/>
      </c>
      <c r="H1851" s="3">
        <f>IF(ORIG!H1851=0,"",ORIG!H1851)</f>
        <v/>
      </c>
      <c r="I1851" s="3">
        <f>IF(ORIG!I1851=0,"",ORIG!I1851)</f>
        <v/>
      </c>
      <c r="J1851" s="3">
        <f>IF(ORIG!J1851=0,"",ORIG!J1851)</f>
        <v/>
      </c>
      <c r="K1851" s="3">
        <f>IF(ORIG!K1851=0,"",ORIG!K1851)</f>
        <v/>
      </c>
      <c r="L1851" s="3">
        <f>IF(ORIG!L1851=0,"",ORIG!L1851)</f>
        <v/>
      </c>
      <c r="M1851" s="3">
        <f>IF(ORIG!M1851=0,"",ORIG!M1851)</f>
        <v/>
      </c>
      <c r="N1851" s="3">
        <f>IF(ORIG!N1851=0,"",ORIG!N1851)</f>
        <v/>
      </c>
      <c r="O1851" s="3">
        <f>IF(ORIG!O1851=0,"",ORIG!O1851)</f>
        <v/>
      </c>
      <c r="P1851" s="3">
        <f>IF(ORIG!P1851=0,"",ORIG!P1851)</f>
        <v/>
      </c>
      <c r="Q1851" s="3">
        <f>IF(ORIG!Q1851=0,"",ORIG!Q1851)</f>
        <v/>
      </c>
      <c r="R1851" s="3">
        <f>IF(ORIG!R1851=0,"",ORIG!R1851)</f>
        <v/>
      </c>
      <c r="S1851" s="3">
        <f>IF(ORIG!S1851=0,"",ORIG!S1851)</f>
        <v/>
      </c>
      <c r="T1851" s="3">
        <f>IF(ORIG!T1851=0,"",ORIG!T1851)</f>
        <v/>
      </c>
      <c r="U1851" s="3">
        <f>IF(ORIG!U1851=0,"",ORIG!U1851)</f>
        <v/>
      </c>
      <c r="V1851" s="9">
        <f>IF(ORIG!V1851=0,"",ORIG!V1851)</f>
        <v/>
      </c>
      <c r="W1851" s="9">
        <f>IF(ORIG!W1851=0,"",ORIG!W1851)</f>
        <v/>
      </c>
      <c r="X1851" s="9">
        <f>IF(ORIG!X1851=0,"",ORIG!X1851)</f>
        <v/>
      </c>
      <c r="Y1851" s="9">
        <f>IF(ORIG!Y1851=0,"",ORIG!Y1851)</f>
        <v/>
      </c>
      <c r="Z1851" s="3">
        <f>SUMPRODUCT($B1851:$Y1851,$B$2649:$Y$2649)</f>
        <v/>
      </c>
      <c r="AA1851" s="3">
        <f>SUMPRODUCT($B1851:$Y1851,$B$2655:$Y$2655)</f>
        <v/>
      </c>
      <c r="AC1851" s="1">
        <f>A1851</f>
        <v/>
      </c>
      <c r="AD1851">
        <f>IF(ISNUMBER(V1851),V1851*($AB$1/V$2635),"")</f>
        <v/>
      </c>
      <c r="AE1851">
        <f>IF(ISNUMBER(Z1851),Z1851*($AB$1/Z$2635),"")</f>
        <v/>
      </c>
      <c r="AF1851" s="25">
        <f>IF(ISNUMBER(AD1851+AE1851),AD1851+AE1851,"")</f>
        <v/>
      </c>
      <c r="AH1851" s="1">
        <f>A1851</f>
        <v/>
      </c>
      <c r="AI1851">
        <f>IF(ISNUMBER((1+V1851)*AI1850),(1+V1851)*AI1850,AI1850)</f>
        <v/>
      </c>
      <c r="AJ1851">
        <f>IF(ISNUMBER((1+Z1851)*AJ1850),(1+Z1851)*AJ1850,AJ1850)</f>
        <v/>
      </c>
    </row>
    <row r="1852">
      <c r="A1852" s="1" t="n">
        <v>44687</v>
      </c>
      <c r="B1852" s="3">
        <f>IF(ORIG!B1852=0,"",ORIG!B1852)</f>
        <v/>
      </c>
      <c r="C1852" s="3">
        <f>IF(ORIG!C1852=0,"",ORIG!C1852)</f>
        <v/>
      </c>
      <c r="D1852" s="3">
        <f>IF(ORIG!D1852=0,"",ORIG!D1852)</f>
        <v/>
      </c>
      <c r="E1852" s="3">
        <f>IF(ORIG!E1852=0,"",ORIG!E1852)</f>
        <v/>
      </c>
      <c r="F1852" s="3">
        <f>IF(ORIG!F1852=0,"",ORIG!F1852)</f>
        <v/>
      </c>
      <c r="G1852" s="3">
        <f>IF(ORIG!G1852=0,"",ORIG!G1852)</f>
        <v/>
      </c>
      <c r="H1852" s="3">
        <f>IF(ORIG!H1852=0,"",ORIG!H1852)</f>
        <v/>
      </c>
      <c r="I1852" s="3">
        <f>IF(ORIG!I1852=0,"",ORIG!I1852)</f>
        <v/>
      </c>
      <c r="J1852" s="3">
        <f>IF(ORIG!J1852=0,"",ORIG!J1852)</f>
        <v/>
      </c>
      <c r="K1852" s="3">
        <f>IF(ORIG!K1852=0,"",ORIG!K1852)</f>
        <v/>
      </c>
      <c r="L1852" s="3">
        <f>IF(ORIG!L1852=0,"",ORIG!L1852)</f>
        <v/>
      </c>
      <c r="M1852" s="3">
        <f>IF(ORIG!M1852=0,"",ORIG!M1852)</f>
        <v/>
      </c>
      <c r="N1852" s="3">
        <f>IF(ORIG!N1852=0,"",ORIG!N1852)</f>
        <v/>
      </c>
      <c r="O1852" s="3">
        <f>IF(ORIG!O1852=0,"",ORIG!O1852)</f>
        <v/>
      </c>
      <c r="P1852" s="3">
        <f>IF(ORIG!P1852=0,"",ORIG!P1852)</f>
        <v/>
      </c>
      <c r="Q1852" s="3">
        <f>IF(ORIG!Q1852=0,"",ORIG!Q1852)</f>
        <v/>
      </c>
      <c r="R1852" s="3">
        <f>IF(ORIG!R1852=0,"",ORIG!R1852)</f>
        <v/>
      </c>
      <c r="S1852" s="3">
        <f>IF(ORIG!S1852=0,"",ORIG!S1852)</f>
        <v/>
      </c>
      <c r="T1852" s="3">
        <f>IF(ORIG!T1852=0,"",ORIG!T1852)</f>
        <v/>
      </c>
      <c r="U1852" s="3">
        <f>IF(ORIG!U1852=0,"",ORIG!U1852)</f>
        <v/>
      </c>
      <c r="V1852" s="9">
        <f>IF(ORIG!V1852=0,"",ORIG!V1852)</f>
        <v/>
      </c>
      <c r="W1852" s="9">
        <f>IF(ORIG!W1852=0,"",ORIG!W1852)</f>
        <v/>
      </c>
      <c r="X1852" s="9">
        <f>IF(ORIG!X1852=0,"",ORIG!X1852)</f>
        <v/>
      </c>
      <c r="Y1852" s="9">
        <f>IF(ORIG!Y1852=0,"",ORIG!Y1852)</f>
        <v/>
      </c>
      <c r="Z1852" s="3">
        <f>SUMPRODUCT($B1852:$Y1852,$B$2649:$Y$2649)</f>
        <v/>
      </c>
      <c r="AA1852" s="3">
        <f>SUMPRODUCT($B1852:$Y1852,$B$2655:$Y$2655)</f>
        <v/>
      </c>
      <c r="AC1852" s="1">
        <f>A1852</f>
        <v/>
      </c>
      <c r="AD1852">
        <f>IF(ISNUMBER(V1852),V1852*($AB$1/V$2635),"")</f>
        <v/>
      </c>
      <c r="AE1852">
        <f>IF(ISNUMBER(Z1852),Z1852*($AB$1/Z$2635),"")</f>
        <v/>
      </c>
      <c r="AF1852" s="25">
        <f>IF(ISNUMBER(AD1852+AE1852),AD1852+AE1852,"")</f>
        <v/>
      </c>
      <c r="AH1852" s="1">
        <f>A1852</f>
        <v/>
      </c>
      <c r="AI1852">
        <f>IF(ISNUMBER((1+V1852)*AI1851),(1+V1852)*AI1851,AI1851)</f>
        <v/>
      </c>
      <c r="AJ1852">
        <f>IF(ISNUMBER((1+Z1852)*AJ1851),(1+Z1852)*AJ1851,AJ1851)</f>
        <v/>
      </c>
    </row>
    <row r="1853">
      <c r="A1853" s="1" t="n">
        <v>44690</v>
      </c>
      <c r="B1853" s="3">
        <f>IF(ORIG!B1853=0,"",ORIG!B1853)</f>
        <v/>
      </c>
      <c r="C1853" s="3">
        <f>IF(ORIG!C1853=0,"",ORIG!C1853)</f>
        <v/>
      </c>
      <c r="D1853" s="3">
        <f>IF(ORIG!D1853=0,"",ORIG!D1853)</f>
        <v/>
      </c>
      <c r="E1853" s="3">
        <f>IF(ORIG!E1853=0,"",ORIG!E1853)</f>
        <v/>
      </c>
      <c r="F1853" s="3">
        <f>IF(ORIG!F1853=0,"",ORIG!F1853)</f>
        <v/>
      </c>
      <c r="G1853" s="3">
        <f>IF(ORIG!G1853=0,"",ORIG!G1853)</f>
        <v/>
      </c>
      <c r="H1853" s="3">
        <f>IF(ORIG!H1853=0,"",ORIG!H1853)</f>
        <v/>
      </c>
      <c r="I1853" s="3">
        <f>IF(ORIG!I1853=0,"",ORIG!I1853)</f>
        <v/>
      </c>
      <c r="J1853" s="3">
        <f>IF(ORIG!J1853=0,"",ORIG!J1853)</f>
        <v/>
      </c>
      <c r="K1853" s="3">
        <f>IF(ORIG!K1853=0,"",ORIG!K1853)</f>
        <v/>
      </c>
      <c r="L1853" s="3">
        <f>IF(ORIG!L1853=0,"",ORIG!L1853)</f>
        <v/>
      </c>
      <c r="M1853" s="3">
        <f>IF(ORIG!M1853=0,"",ORIG!M1853)</f>
        <v/>
      </c>
      <c r="N1853" s="3">
        <f>IF(ORIG!N1853=0,"",ORIG!N1853)</f>
        <v/>
      </c>
      <c r="O1853" s="3">
        <f>IF(ORIG!O1853=0,"",ORIG!O1853)</f>
        <v/>
      </c>
      <c r="P1853" s="3">
        <f>IF(ORIG!P1853=0,"",ORIG!P1853)</f>
        <v/>
      </c>
      <c r="Q1853" s="3">
        <f>IF(ORIG!Q1853=0,"",ORIG!Q1853)</f>
        <v/>
      </c>
      <c r="R1853" s="3">
        <f>IF(ORIG!R1853=0,"",ORIG!R1853)</f>
        <v/>
      </c>
      <c r="S1853" s="3">
        <f>IF(ORIG!S1853=0,"",ORIG!S1853)</f>
        <v/>
      </c>
      <c r="T1853" s="3">
        <f>IF(ORIG!T1853=0,"",ORIG!T1853)</f>
        <v/>
      </c>
      <c r="U1853" s="3">
        <f>IF(ORIG!U1853=0,"",ORIG!U1853)</f>
        <v/>
      </c>
      <c r="V1853" s="9">
        <f>IF(ORIG!V1853=0,"",ORIG!V1853)</f>
        <v/>
      </c>
      <c r="W1853" s="9">
        <f>IF(ORIG!W1853=0,"",ORIG!W1853)</f>
        <v/>
      </c>
      <c r="X1853" s="9">
        <f>IF(ORIG!X1853=0,"",ORIG!X1853)</f>
        <v/>
      </c>
      <c r="Y1853" s="9">
        <f>IF(ORIG!Y1853=0,"",ORIG!Y1853)</f>
        <v/>
      </c>
      <c r="Z1853" s="3">
        <f>SUMPRODUCT($B1853:$Y1853,$B$2649:$Y$2649)</f>
        <v/>
      </c>
      <c r="AA1853" s="3">
        <f>SUMPRODUCT($B1853:$Y1853,$B$2655:$Y$2655)</f>
        <v/>
      </c>
      <c r="AC1853" s="1">
        <f>A1853</f>
        <v/>
      </c>
      <c r="AD1853">
        <f>IF(ISNUMBER(V1853),V1853*($AB$1/V$2635),"")</f>
        <v/>
      </c>
      <c r="AE1853">
        <f>IF(ISNUMBER(Z1853),Z1853*($AB$1/Z$2635),"")</f>
        <v/>
      </c>
      <c r="AF1853" s="25">
        <f>IF(ISNUMBER(AD1853+AE1853),AD1853+AE1853,"")</f>
        <v/>
      </c>
      <c r="AH1853" s="1">
        <f>A1853</f>
        <v/>
      </c>
      <c r="AI1853">
        <f>IF(ISNUMBER((1+V1853)*AI1852),(1+V1853)*AI1852,AI1852)</f>
        <v/>
      </c>
      <c r="AJ1853">
        <f>IF(ISNUMBER((1+Z1853)*AJ1852),(1+Z1853)*AJ1852,AJ1852)</f>
        <v/>
      </c>
    </row>
    <row r="1854">
      <c r="A1854" s="1" t="n">
        <v>44691</v>
      </c>
      <c r="B1854" s="3">
        <f>IF(ORIG!B1854=0,"",ORIG!B1854)</f>
        <v/>
      </c>
      <c r="C1854" s="3">
        <f>IF(ORIG!C1854=0,"",ORIG!C1854)</f>
        <v/>
      </c>
      <c r="D1854" s="3">
        <f>IF(ORIG!D1854=0,"",ORIG!D1854)</f>
        <v/>
      </c>
      <c r="E1854" s="3">
        <f>IF(ORIG!E1854=0,"",ORIG!E1854)</f>
        <v/>
      </c>
      <c r="F1854" s="3">
        <f>IF(ORIG!F1854=0,"",ORIG!F1854)</f>
        <v/>
      </c>
      <c r="G1854" s="3">
        <f>IF(ORIG!G1854=0,"",ORIG!G1854)</f>
        <v/>
      </c>
      <c r="H1854" s="3">
        <f>IF(ORIG!H1854=0,"",ORIG!H1854)</f>
        <v/>
      </c>
      <c r="I1854" s="3">
        <f>IF(ORIG!I1854=0,"",ORIG!I1854)</f>
        <v/>
      </c>
      <c r="J1854" s="3">
        <f>IF(ORIG!J1854=0,"",ORIG!J1854)</f>
        <v/>
      </c>
      <c r="K1854" s="3">
        <f>IF(ORIG!K1854=0,"",ORIG!K1854)</f>
        <v/>
      </c>
      <c r="L1854" s="3">
        <f>IF(ORIG!L1854=0,"",ORIG!L1854)</f>
        <v/>
      </c>
      <c r="M1854" s="3">
        <f>IF(ORIG!M1854=0,"",ORIG!M1854)</f>
        <v/>
      </c>
      <c r="N1854" s="3">
        <f>IF(ORIG!N1854=0,"",ORIG!N1854)</f>
        <v/>
      </c>
      <c r="O1854" s="3">
        <f>IF(ORIG!O1854=0,"",ORIG!O1854)</f>
        <v/>
      </c>
      <c r="P1854" s="3">
        <f>IF(ORIG!P1854=0,"",ORIG!P1854)</f>
        <v/>
      </c>
      <c r="Q1854" s="3">
        <f>IF(ORIG!Q1854=0,"",ORIG!Q1854)</f>
        <v/>
      </c>
      <c r="R1854" s="3">
        <f>IF(ORIG!R1854=0,"",ORIG!R1854)</f>
        <v/>
      </c>
      <c r="S1854" s="3">
        <f>IF(ORIG!S1854=0,"",ORIG!S1854)</f>
        <v/>
      </c>
      <c r="T1854" s="3">
        <f>IF(ORIG!T1854=0,"",ORIG!T1854)</f>
        <v/>
      </c>
      <c r="U1854" s="3">
        <f>IF(ORIG!U1854=0,"",ORIG!U1854)</f>
        <v/>
      </c>
      <c r="V1854" s="9">
        <f>IF(ORIG!V1854=0,"",ORIG!V1854)</f>
        <v/>
      </c>
      <c r="W1854" s="9">
        <f>IF(ORIG!W1854=0,"",ORIG!W1854)</f>
        <v/>
      </c>
      <c r="X1854" s="9">
        <f>IF(ORIG!X1854=0,"",ORIG!X1854)</f>
        <v/>
      </c>
      <c r="Y1854" s="9">
        <f>IF(ORIG!Y1854=0,"",ORIG!Y1854)</f>
        <v/>
      </c>
      <c r="Z1854" s="3">
        <f>SUMPRODUCT($B1854:$Y1854,$B$2649:$Y$2649)</f>
        <v/>
      </c>
      <c r="AA1854" s="3">
        <f>SUMPRODUCT($B1854:$Y1854,$B$2655:$Y$2655)</f>
        <v/>
      </c>
      <c r="AC1854" s="1">
        <f>A1854</f>
        <v/>
      </c>
      <c r="AD1854">
        <f>IF(ISNUMBER(V1854),V1854*($AB$1/V$2635),"")</f>
        <v/>
      </c>
      <c r="AE1854">
        <f>IF(ISNUMBER(Z1854),Z1854*($AB$1/Z$2635),"")</f>
        <v/>
      </c>
      <c r="AF1854" s="25">
        <f>IF(ISNUMBER(AD1854+AE1854),AD1854+AE1854,"")</f>
        <v/>
      </c>
      <c r="AH1854" s="1">
        <f>A1854</f>
        <v/>
      </c>
      <c r="AI1854">
        <f>IF(ISNUMBER((1+V1854)*AI1853),(1+V1854)*AI1853,AI1853)</f>
        <v/>
      </c>
      <c r="AJ1854">
        <f>IF(ISNUMBER((1+Z1854)*AJ1853),(1+Z1854)*AJ1853,AJ1853)</f>
        <v/>
      </c>
    </row>
    <row r="1855">
      <c r="A1855" s="1" t="n">
        <v>44692</v>
      </c>
      <c r="B1855" s="3">
        <f>IF(ORIG!B1855=0,"",ORIG!B1855)</f>
        <v/>
      </c>
      <c r="C1855" s="3">
        <f>IF(ORIG!C1855=0,"",ORIG!C1855)</f>
        <v/>
      </c>
      <c r="D1855" s="3">
        <f>IF(ORIG!D1855=0,"",ORIG!D1855)</f>
        <v/>
      </c>
      <c r="E1855" s="3">
        <f>IF(ORIG!E1855=0,"",ORIG!E1855)</f>
        <v/>
      </c>
      <c r="F1855" s="3">
        <f>IF(ORIG!F1855=0,"",ORIG!F1855)</f>
        <v/>
      </c>
      <c r="G1855" s="3">
        <f>IF(ORIG!G1855=0,"",ORIG!G1855)</f>
        <v/>
      </c>
      <c r="H1855" s="3">
        <f>IF(ORIG!H1855=0,"",ORIG!H1855)</f>
        <v/>
      </c>
      <c r="I1855" s="3">
        <f>IF(ORIG!I1855=0,"",ORIG!I1855)</f>
        <v/>
      </c>
      <c r="J1855" s="3">
        <f>IF(ORIG!J1855=0,"",ORIG!J1855)</f>
        <v/>
      </c>
      <c r="K1855" s="3">
        <f>IF(ORIG!K1855=0,"",ORIG!K1855)</f>
        <v/>
      </c>
      <c r="L1855" s="3">
        <f>IF(ORIG!L1855=0,"",ORIG!L1855)</f>
        <v/>
      </c>
      <c r="M1855" s="3">
        <f>IF(ORIG!M1855=0,"",ORIG!M1855)</f>
        <v/>
      </c>
      <c r="N1855" s="3">
        <f>IF(ORIG!N1855=0,"",ORIG!N1855)</f>
        <v/>
      </c>
      <c r="O1855" s="3">
        <f>IF(ORIG!O1855=0,"",ORIG!O1855)</f>
        <v/>
      </c>
      <c r="P1855" s="3">
        <f>IF(ORIG!P1855=0,"",ORIG!P1855)</f>
        <v/>
      </c>
      <c r="Q1855" s="3">
        <f>IF(ORIG!Q1855=0,"",ORIG!Q1855)</f>
        <v/>
      </c>
      <c r="R1855" s="3">
        <f>IF(ORIG!R1855=0,"",ORIG!R1855)</f>
        <v/>
      </c>
      <c r="S1855" s="3">
        <f>IF(ORIG!S1855=0,"",ORIG!S1855)</f>
        <v/>
      </c>
      <c r="T1855" s="3">
        <f>IF(ORIG!T1855=0,"",ORIG!T1855)</f>
        <v/>
      </c>
      <c r="U1855" s="3">
        <f>IF(ORIG!U1855=0,"",ORIG!U1855)</f>
        <v/>
      </c>
      <c r="V1855" s="9">
        <f>IF(ORIG!V1855=0,"",ORIG!V1855)</f>
        <v/>
      </c>
      <c r="W1855" s="9">
        <f>IF(ORIG!W1855=0,"",ORIG!W1855)</f>
        <v/>
      </c>
      <c r="X1855" s="9">
        <f>IF(ORIG!X1855=0,"",ORIG!X1855)</f>
        <v/>
      </c>
      <c r="Y1855" s="9">
        <f>IF(ORIG!Y1855=0,"",ORIG!Y1855)</f>
        <v/>
      </c>
      <c r="Z1855" s="3">
        <f>SUMPRODUCT($B1855:$Y1855,$B$2649:$Y$2649)</f>
        <v/>
      </c>
      <c r="AA1855" s="3">
        <f>SUMPRODUCT($B1855:$Y1855,$B$2655:$Y$2655)</f>
        <v/>
      </c>
      <c r="AC1855" s="1">
        <f>A1855</f>
        <v/>
      </c>
      <c r="AD1855">
        <f>IF(ISNUMBER(V1855),V1855*($AB$1/V$2635),"")</f>
        <v/>
      </c>
      <c r="AE1855">
        <f>IF(ISNUMBER(Z1855),Z1855*($AB$1/Z$2635),"")</f>
        <v/>
      </c>
      <c r="AF1855" s="25">
        <f>IF(ISNUMBER(AD1855+AE1855),AD1855+AE1855,"")</f>
        <v/>
      </c>
      <c r="AH1855" s="1">
        <f>A1855</f>
        <v/>
      </c>
      <c r="AI1855">
        <f>IF(ISNUMBER((1+V1855)*AI1854),(1+V1855)*AI1854,AI1854)</f>
        <v/>
      </c>
      <c r="AJ1855">
        <f>IF(ISNUMBER((1+Z1855)*AJ1854),(1+Z1855)*AJ1854,AJ1854)</f>
        <v/>
      </c>
    </row>
    <row r="1856">
      <c r="A1856" s="1" t="n">
        <v>44693</v>
      </c>
      <c r="B1856" s="3">
        <f>IF(ORIG!B1856=0,"",ORIG!B1856)</f>
        <v/>
      </c>
      <c r="C1856" s="3">
        <f>IF(ORIG!C1856=0,"",ORIG!C1856)</f>
        <v/>
      </c>
      <c r="D1856" s="3">
        <f>IF(ORIG!D1856=0,"",ORIG!D1856)</f>
        <v/>
      </c>
      <c r="E1856" s="3">
        <f>IF(ORIG!E1856=0,"",ORIG!E1856)</f>
        <v/>
      </c>
      <c r="F1856" s="3">
        <f>IF(ORIG!F1856=0,"",ORIG!F1856)</f>
        <v/>
      </c>
      <c r="G1856" s="3">
        <f>IF(ORIG!G1856=0,"",ORIG!G1856)</f>
        <v/>
      </c>
      <c r="H1856" s="3">
        <f>IF(ORIG!H1856=0,"",ORIG!H1856)</f>
        <v/>
      </c>
      <c r="I1856" s="3">
        <f>IF(ORIG!I1856=0,"",ORIG!I1856)</f>
        <v/>
      </c>
      <c r="J1856" s="3">
        <f>IF(ORIG!J1856=0,"",ORIG!J1856)</f>
        <v/>
      </c>
      <c r="K1856" s="3">
        <f>IF(ORIG!K1856=0,"",ORIG!K1856)</f>
        <v/>
      </c>
      <c r="L1856" s="3">
        <f>IF(ORIG!L1856=0,"",ORIG!L1856)</f>
        <v/>
      </c>
      <c r="M1856" s="3">
        <f>IF(ORIG!M1856=0,"",ORIG!M1856)</f>
        <v/>
      </c>
      <c r="N1856" s="3">
        <f>IF(ORIG!N1856=0,"",ORIG!N1856)</f>
        <v/>
      </c>
      <c r="O1856" s="3">
        <f>IF(ORIG!O1856=0,"",ORIG!O1856)</f>
        <v/>
      </c>
      <c r="P1856" s="3">
        <f>IF(ORIG!P1856=0,"",ORIG!P1856)</f>
        <v/>
      </c>
      <c r="Q1856" s="3">
        <f>IF(ORIG!Q1856=0,"",ORIG!Q1856)</f>
        <v/>
      </c>
      <c r="R1856" s="3">
        <f>IF(ORIG!R1856=0,"",ORIG!R1856)</f>
        <v/>
      </c>
      <c r="S1856" s="3">
        <f>IF(ORIG!S1856=0,"",ORIG!S1856)</f>
        <v/>
      </c>
      <c r="T1856" s="3">
        <f>IF(ORIG!T1856=0,"",ORIG!T1856)</f>
        <v/>
      </c>
      <c r="U1856" s="3">
        <f>IF(ORIG!U1856=0,"",ORIG!U1856)</f>
        <v/>
      </c>
      <c r="V1856" s="9">
        <f>IF(ORIG!V1856=0,"",ORIG!V1856)</f>
        <v/>
      </c>
      <c r="W1856" s="9">
        <f>IF(ORIG!W1856=0,"",ORIG!W1856)</f>
        <v/>
      </c>
      <c r="X1856" s="9">
        <f>IF(ORIG!X1856=0,"",ORIG!X1856)</f>
        <v/>
      </c>
      <c r="Y1856" s="9">
        <f>IF(ORIG!Y1856=0,"",ORIG!Y1856)</f>
        <v/>
      </c>
      <c r="Z1856" s="3">
        <f>SUMPRODUCT($B1856:$Y1856,$B$2649:$Y$2649)</f>
        <v/>
      </c>
      <c r="AA1856" s="3">
        <f>SUMPRODUCT($B1856:$Y1856,$B$2655:$Y$2655)</f>
        <v/>
      </c>
      <c r="AC1856" s="1">
        <f>A1856</f>
        <v/>
      </c>
      <c r="AD1856">
        <f>IF(ISNUMBER(V1856),V1856*($AB$1/V$2635),"")</f>
        <v/>
      </c>
      <c r="AE1856">
        <f>IF(ISNUMBER(Z1856),Z1856*($AB$1/Z$2635),"")</f>
        <v/>
      </c>
      <c r="AF1856" s="25">
        <f>IF(ISNUMBER(AD1856+AE1856),AD1856+AE1856,"")</f>
        <v/>
      </c>
      <c r="AH1856" s="1">
        <f>A1856</f>
        <v/>
      </c>
      <c r="AI1856">
        <f>IF(ISNUMBER((1+V1856)*AI1855),(1+V1856)*AI1855,AI1855)</f>
        <v/>
      </c>
      <c r="AJ1856">
        <f>IF(ISNUMBER((1+Z1856)*AJ1855),(1+Z1856)*AJ1855,AJ1855)</f>
        <v/>
      </c>
    </row>
    <row r="1857">
      <c r="A1857" s="1" t="n">
        <v>44694</v>
      </c>
      <c r="B1857" s="3">
        <f>IF(ORIG!B1857=0,"",ORIG!B1857)</f>
        <v/>
      </c>
      <c r="C1857" s="3">
        <f>IF(ORIG!C1857=0,"",ORIG!C1857)</f>
        <v/>
      </c>
      <c r="D1857" s="3">
        <f>IF(ORIG!D1857=0,"",ORIG!D1857)</f>
        <v/>
      </c>
      <c r="E1857" s="3">
        <f>IF(ORIG!E1857=0,"",ORIG!E1857)</f>
        <v/>
      </c>
      <c r="F1857" s="3">
        <f>IF(ORIG!F1857=0,"",ORIG!F1857)</f>
        <v/>
      </c>
      <c r="G1857" s="3">
        <f>IF(ORIG!G1857=0,"",ORIG!G1857)</f>
        <v/>
      </c>
      <c r="H1857" s="3">
        <f>IF(ORIG!H1857=0,"",ORIG!H1857)</f>
        <v/>
      </c>
      <c r="I1857" s="3">
        <f>IF(ORIG!I1857=0,"",ORIG!I1857)</f>
        <v/>
      </c>
      <c r="J1857" s="3">
        <f>IF(ORIG!J1857=0,"",ORIG!J1857)</f>
        <v/>
      </c>
      <c r="K1857" s="3">
        <f>IF(ORIG!K1857=0,"",ORIG!K1857)</f>
        <v/>
      </c>
      <c r="L1857" s="3">
        <f>IF(ORIG!L1857=0,"",ORIG!L1857)</f>
        <v/>
      </c>
      <c r="M1857" s="3">
        <f>IF(ORIG!M1857=0,"",ORIG!M1857)</f>
        <v/>
      </c>
      <c r="N1857" s="3">
        <f>IF(ORIG!N1857=0,"",ORIG!N1857)</f>
        <v/>
      </c>
      <c r="O1857" s="3">
        <f>IF(ORIG!O1857=0,"",ORIG!O1857)</f>
        <v/>
      </c>
      <c r="P1857" s="3">
        <f>IF(ORIG!P1857=0,"",ORIG!P1857)</f>
        <v/>
      </c>
      <c r="Q1857" s="3">
        <f>IF(ORIG!Q1857=0,"",ORIG!Q1857)</f>
        <v/>
      </c>
      <c r="R1857" s="3">
        <f>IF(ORIG!R1857=0,"",ORIG!R1857)</f>
        <v/>
      </c>
      <c r="S1857" s="3">
        <f>IF(ORIG!S1857=0,"",ORIG!S1857)</f>
        <v/>
      </c>
      <c r="T1857" s="3">
        <f>IF(ORIG!T1857=0,"",ORIG!T1857)</f>
        <v/>
      </c>
      <c r="U1857" s="3">
        <f>IF(ORIG!U1857=0,"",ORIG!U1857)</f>
        <v/>
      </c>
      <c r="V1857" s="9">
        <f>IF(ORIG!V1857=0,"",ORIG!V1857)</f>
        <v/>
      </c>
      <c r="W1857" s="9">
        <f>IF(ORIG!W1857=0,"",ORIG!W1857)</f>
        <v/>
      </c>
      <c r="X1857" s="9">
        <f>IF(ORIG!X1857=0,"",ORIG!X1857)</f>
        <v/>
      </c>
      <c r="Y1857" s="9">
        <f>IF(ORIG!Y1857=0,"",ORIG!Y1857)</f>
        <v/>
      </c>
      <c r="Z1857" s="3">
        <f>SUMPRODUCT($B1857:$Y1857,$B$2649:$Y$2649)</f>
        <v/>
      </c>
      <c r="AA1857" s="3">
        <f>SUMPRODUCT($B1857:$Y1857,$B$2655:$Y$2655)</f>
        <v/>
      </c>
      <c r="AC1857" s="1">
        <f>A1857</f>
        <v/>
      </c>
      <c r="AD1857">
        <f>IF(ISNUMBER(V1857),V1857*($AB$1/V$2635),"")</f>
        <v/>
      </c>
      <c r="AE1857">
        <f>IF(ISNUMBER(Z1857),Z1857*($AB$1/Z$2635),"")</f>
        <v/>
      </c>
      <c r="AF1857" s="25">
        <f>IF(ISNUMBER(AD1857+AE1857),AD1857+AE1857,"")</f>
        <v/>
      </c>
      <c r="AH1857" s="1">
        <f>A1857</f>
        <v/>
      </c>
      <c r="AI1857">
        <f>IF(ISNUMBER((1+V1857)*AI1856),(1+V1857)*AI1856,AI1856)</f>
        <v/>
      </c>
      <c r="AJ1857">
        <f>IF(ISNUMBER((1+Z1857)*AJ1856),(1+Z1857)*AJ1856,AJ1856)</f>
        <v/>
      </c>
    </row>
    <row r="1858">
      <c r="A1858" s="1" t="n">
        <v>44697</v>
      </c>
      <c r="B1858" s="3">
        <f>IF(ORIG!B1858=0,"",ORIG!B1858)</f>
        <v/>
      </c>
      <c r="C1858" s="3">
        <f>IF(ORIG!C1858=0,"",ORIG!C1858)</f>
        <v/>
      </c>
      <c r="D1858" s="3">
        <f>IF(ORIG!D1858=0,"",ORIG!D1858)</f>
        <v/>
      </c>
      <c r="E1858" s="3">
        <f>IF(ORIG!E1858=0,"",ORIG!E1858)</f>
        <v/>
      </c>
      <c r="F1858" s="3">
        <f>IF(ORIG!F1858=0,"",ORIG!F1858)</f>
        <v/>
      </c>
      <c r="G1858" s="3">
        <f>IF(ORIG!G1858=0,"",ORIG!G1858)</f>
        <v/>
      </c>
      <c r="H1858" s="3">
        <f>IF(ORIG!H1858=0,"",ORIG!H1858)</f>
        <v/>
      </c>
      <c r="I1858" s="3">
        <f>IF(ORIG!I1858=0,"",ORIG!I1858)</f>
        <v/>
      </c>
      <c r="J1858" s="3">
        <f>IF(ORIG!J1858=0,"",ORIG!J1858)</f>
        <v/>
      </c>
      <c r="K1858" s="3">
        <f>IF(ORIG!K1858=0,"",ORIG!K1858)</f>
        <v/>
      </c>
      <c r="L1858" s="3">
        <f>IF(ORIG!L1858=0,"",ORIG!L1858)</f>
        <v/>
      </c>
      <c r="M1858" s="3">
        <f>IF(ORIG!M1858=0,"",ORIG!M1858)</f>
        <v/>
      </c>
      <c r="N1858" s="3">
        <f>IF(ORIG!N1858=0,"",ORIG!N1858)</f>
        <v/>
      </c>
      <c r="O1858" s="3">
        <f>IF(ORIG!O1858=0,"",ORIG!O1858)</f>
        <v/>
      </c>
      <c r="P1858" s="3">
        <f>IF(ORIG!P1858=0,"",ORIG!P1858)</f>
        <v/>
      </c>
      <c r="Q1858" s="3">
        <f>IF(ORIG!Q1858=0,"",ORIG!Q1858)</f>
        <v/>
      </c>
      <c r="R1858" s="3">
        <f>IF(ORIG!R1858=0,"",ORIG!R1858)</f>
        <v/>
      </c>
      <c r="S1858" s="3">
        <f>IF(ORIG!S1858=0,"",ORIG!S1858)</f>
        <v/>
      </c>
      <c r="T1858" s="3">
        <f>IF(ORIG!T1858=0,"",ORIG!T1858)</f>
        <v/>
      </c>
      <c r="U1858" s="3">
        <f>IF(ORIG!U1858=0,"",ORIG!U1858)</f>
        <v/>
      </c>
      <c r="V1858" s="9">
        <f>IF(ORIG!V1858=0,"",ORIG!V1858)</f>
        <v/>
      </c>
      <c r="W1858" s="9">
        <f>IF(ORIG!W1858=0,"",ORIG!W1858)</f>
        <v/>
      </c>
      <c r="X1858" s="9">
        <f>IF(ORIG!X1858=0,"",ORIG!X1858)</f>
        <v/>
      </c>
      <c r="Y1858" s="9">
        <f>IF(ORIG!Y1858=0,"",ORIG!Y1858)</f>
        <v/>
      </c>
      <c r="Z1858" s="3">
        <f>SUMPRODUCT($B1858:$Y1858,$B$2649:$Y$2649)</f>
        <v/>
      </c>
      <c r="AA1858" s="3">
        <f>SUMPRODUCT($B1858:$Y1858,$B$2655:$Y$2655)</f>
        <v/>
      </c>
      <c r="AC1858" s="1">
        <f>A1858</f>
        <v/>
      </c>
      <c r="AD1858">
        <f>IF(ISNUMBER(V1858),V1858*($AB$1/V$2635),"")</f>
        <v/>
      </c>
      <c r="AE1858">
        <f>IF(ISNUMBER(Z1858),Z1858*($AB$1/Z$2635),"")</f>
        <v/>
      </c>
      <c r="AF1858" s="25">
        <f>IF(ISNUMBER(AD1858+AE1858),AD1858+AE1858,"")</f>
        <v/>
      </c>
      <c r="AH1858" s="1">
        <f>A1858</f>
        <v/>
      </c>
      <c r="AI1858">
        <f>IF(ISNUMBER((1+V1858)*AI1857),(1+V1858)*AI1857,AI1857)</f>
        <v/>
      </c>
      <c r="AJ1858">
        <f>IF(ISNUMBER((1+Z1858)*AJ1857),(1+Z1858)*AJ1857,AJ1857)</f>
        <v/>
      </c>
    </row>
    <row r="1859">
      <c r="A1859" s="1" t="n">
        <v>44698</v>
      </c>
      <c r="B1859" s="3">
        <f>IF(ORIG!B1859=0,"",ORIG!B1859)</f>
        <v/>
      </c>
      <c r="C1859" s="3">
        <f>IF(ORIG!C1859=0,"",ORIG!C1859)</f>
        <v/>
      </c>
      <c r="D1859" s="3">
        <f>IF(ORIG!D1859=0,"",ORIG!D1859)</f>
        <v/>
      </c>
      <c r="E1859" s="3">
        <f>IF(ORIG!E1859=0,"",ORIG!E1859)</f>
        <v/>
      </c>
      <c r="F1859" s="3">
        <f>IF(ORIG!F1859=0,"",ORIG!F1859)</f>
        <v/>
      </c>
      <c r="G1859" s="3">
        <f>IF(ORIG!G1859=0,"",ORIG!G1859)</f>
        <v/>
      </c>
      <c r="H1859" s="3">
        <f>IF(ORIG!H1859=0,"",ORIG!H1859)</f>
        <v/>
      </c>
      <c r="I1859" s="3">
        <f>IF(ORIG!I1859=0,"",ORIG!I1859)</f>
        <v/>
      </c>
      <c r="J1859" s="3">
        <f>IF(ORIG!J1859=0,"",ORIG!J1859)</f>
        <v/>
      </c>
      <c r="K1859" s="3">
        <f>IF(ORIG!K1859=0,"",ORIG!K1859)</f>
        <v/>
      </c>
      <c r="L1859" s="3">
        <f>IF(ORIG!L1859=0,"",ORIG!L1859)</f>
        <v/>
      </c>
      <c r="M1859" s="3">
        <f>IF(ORIG!M1859=0,"",ORIG!M1859)</f>
        <v/>
      </c>
      <c r="N1859" s="3">
        <f>IF(ORIG!N1859=0,"",ORIG!N1859)</f>
        <v/>
      </c>
      <c r="O1859" s="3">
        <f>IF(ORIG!O1859=0,"",ORIG!O1859)</f>
        <v/>
      </c>
      <c r="P1859" s="3">
        <f>IF(ORIG!P1859=0,"",ORIG!P1859)</f>
        <v/>
      </c>
      <c r="Q1859" s="3">
        <f>IF(ORIG!Q1859=0,"",ORIG!Q1859)</f>
        <v/>
      </c>
      <c r="R1859" s="3">
        <f>IF(ORIG!R1859=0,"",ORIG!R1859)</f>
        <v/>
      </c>
      <c r="S1859" s="3">
        <f>IF(ORIG!S1859=0,"",ORIG!S1859)</f>
        <v/>
      </c>
      <c r="T1859" s="3">
        <f>IF(ORIG!T1859=0,"",ORIG!T1859)</f>
        <v/>
      </c>
      <c r="U1859" s="3">
        <f>IF(ORIG!U1859=0,"",ORIG!U1859)</f>
        <v/>
      </c>
      <c r="V1859" s="9">
        <f>IF(ORIG!V1859=0,"",ORIG!V1859)</f>
        <v/>
      </c>
      <c r="W1859" s="9">
        <f>IF(ORIG!W1859=0,"",ORIG!W1859)</f>
        <v/>
      </c>
      <c r="X1859" s="9">
        <f>IF(ORIG!X1859=0,"",ORIG!X1859)</f>
        <v/>
      </c>
      <c r="Y1859" s="9">
        <f>IF(ORIG!Y1859=0,"",ORIG!Y1859)</f>
        <v/>
      </c>
      <c r="Z1859" s="3">
        <f>SUMPRODUCT($B1859:$Y1859,$B$2649:$Y$2649)</f>
        <v/>
      </c>
      <c r="AA1859" s="3">
        <f>SUMPRODUCT($B1859:$Y1859,$B$2655:$Y$2655)</f>
        <v/>
      </c>
      <c r="AC1859" s="1">
        <f>A1859</f>
        <v/>
      </c>
      <c r="AD1859">
        <f>IF(ISNUMBER(V1859),V1859*($AB$1/V$2635),"")</f>
        <v/>
      </c>
      <c r="AE1859">
        <f>IF(ISNUMBER(Z1859),Z1859*($AB$1/Z$2635),"")</f>
        <v/>
      </c>
      <c r="AF1859" s="25">
        <f>IF(ISNUMBER(AD1859+AE1859),AD1859+AE1859,"")</f>
        <v/>
      </c>
      <c r="AH1859" s="1">
        <f>A1859</f>
        <v/>
      </c>
      <c r="AI1859">
        <f>IF(ISNUMBER((1+V1859)*AI1858),(1+V1859)*AI1858,AI1858)</f>
        <v/>
      </c>
      <c r="AJ1859">
        <f>IF(ISNUMBER((1+Z1859)*AJ1858),(1+Z1859)*AJ1858,AJ1858)</f>
        <v/>
      </c>
    </row>
    <row r="1860">
      <c r="A1860" s="1" t="n">
        <v>44699</v>
      </c>
      <c r="B1860" s="3">
        <f>IF(ORIG!B1860=0,"",ORIG!B1860)</f>
        <v/>
      </c>
      <c r="C1860" s="3">
        <f>IF(ORIG!C1860=0,"",ORIG!C1860)</f>
        <v/>
      </c>
      <c r="D1860" s="3">
        <f>IF(ORIG!D1860=0,"",ORIG!D1860)</f>
        <v/>
      </c>
      <c r="E1860" s="3">
        <f>IF(ORIG!E1860=0,"",ORIG!E1860)</f>
        <v/>
      </c>
      <c r="F1860" s="3">
        <f>IF(ORIG!F1860=0,"",ORIG!F1860)</f>
        <v/>
      </c>
      <c r="G1860" s="3">
        <f>IF(ORIG!G1860=0,"",ORIG!G1860)</f>
        <v/>
      </c>
      <c r="H1860" s="3">
        <f>IF(ORIG!H1860=0,"",ORIG!H1860)</f>
        <v/>
      </c>
      <c r="I1860" s="3">
        <f>IF(ORIG!I1860=0,"",ORIG!I1860)</f>
        <v/>
      </c>
      <c r="J1860" s="3">
        <f>IF(ORIG!J1860=0,"",ORIG!J1860)</f>
        <v/>
      </c>
      <c r="K1860" s="3">
        <f>IF(ORIG!K1860=0,"",ORIG!K1860)</f>
        <v/>
      </c>
      <c r="L1860" s="3">
        <f>IF(ORIG!L1860=0,"",ORIG!L1860)</f>
        <v/>
      </c>
      <c r="M1860" s="3">
        <f>IF(ORIG!M1860=0,"",ORIG!M1860)</f>
        <v/>
      </c>
      <c r="N1860" s="3">
        <f>IF(ORIG!N1860=0,"",ORIG!N1860)</f>
        <v/>
      </c>
      <c r="O1860" s="3">
        <f>IF(ORIG!O1860=0,"",ORIG!O1860)</f>
        <v/>
      </c>
      <c r="P1860" s="3">
        <f>IF(ORIG!P1860=0,"",ORIG!P1860)</f>
        <v/>
      </c>
      <c r="Q1860" s="3">
        <f>IF(ORIG!Q1860=0,"",ORIG!Q1860)</f>
        <v/>
      </c>
      <c r="R1860" s="3">
        <f>IF(ORIG!R1860=0,"",ORIG!R1860)</f>
        <v/>
      </c>
      <c r="S1860" s="3">
        <f>IF(ORIG!S1860=0,"",ORIG!S1860)</f>
        <v/>
      </c>
      <c r="T1860" s="3">
        <f>IF(ORIG!T1860=0,"",ORIG!T1860)</f>
        <v/>
      </c>
      <c r="U1860" s="3">
        <f>IF(ORIG!U1860=0,"",ORIG!U1860)</f>
        <v/>
      </c>
      <c r="V1860" s="9">
        <f>IF(ORIG!V1860=0,"",ORIG!V1860)</f>
        <v/>
      </c>
      <c r="W1860" s="9">
        <f>IF(ORIG!W1860=0,"",ORIG!W1860)</f>
        <v/>
      </c>
      <c r="X1860" s="9">
        <f>IF(ORIG!X1860=0,"",ORIG!X1860)</f>
        <v/>
      </c>
      <c r="Y1860" s="9">
        <f>IF(ORIG!Y1860=0,"",ORIG!Y1860)</f>
        <v/>
      </c>
      <c r="Z1860" s="3">
        <f>SUMPRODUCT($B1860:$Y1860,$B$2649:$Y$2649)</f>
        <v/>
      </c>
      <c r="AA1860" s="3">
        <f>SUMPRODUCT($B1860:$Y1860,$B$2655:$Y$2655)</f>
        <v/>
      </c>
      <c r="AC1860" s="1">
        <f>A1860</f>
        <v/>
      </c>
      <c r="AD1860">
        <f>IF(ISNUMBER(V1860),V1860*($AB$1/V$2635),"")</f>
        <v/>
      </c>
      <c r="AE1860">
        <f>IF(ISNUMBER(Z1860),Z1860*($AB$1/Z$2635),"")</f>
        <v/>
      </c>
      <c r="AF1860" s="25">
        <f>IF(ISNUMBER(AD1860+AE1860),AD1860+AE1860,"")</f>
        <v/>
      </c>
      <c r="AH1860" s="1">
        <f>A1860</f>
        <v/>
      </c>
      <c r="AI1860">
        <f>IF(ISNUMBER((1+V1860)*AI1859),(1+V1860)*AI1859,AI1859)</f>
        <v/>
      </c>
      <c r="AJ1860">
        <f>IF(ISNUMBER((1+Z1860)*AJ1859),(1+Z1860)*AJ1859,AJ1859)</f>
        <v/>
      </c>
    </row>
    <row r="1861">
      <c r="A1861" s="1" t="n">
        <v>44700</v>
      </c>
      <c r="B1861" s="3">
        <f>IF(ORIG!B1861=0,"",ORIG!B1861)</f>
        <v/>
      </c>
      <c r="C1861" s="3">
        <f>IF(ORIG!C1861=0,"",ORIG!C1861)</f>
        <v/>
      </c>
      <c r="D1861" s="3">
        <f>IF(ORIG!D1861=0,"",ORIG!D1861)</f>
        <v/>
      </c>
      <c r="E1861" s="3">
        <f>IF(ORIG!E1861=0,"",ORIG!E1861)</f>
        <v/>
      </c>
      <c r="F1861" s="3">
        <f>IF(ORIG!F1861=0,"",ORIG!F1861)</f>
        <v/>
      </c>
      <c r="G1861" s="3">
        <f>IF(ORIG!G1861=0,"",ORIG!G1861)</f>
        <v/>
      </c>
      <c r="H1861" s="3">
        <f>IF(ORIG!H1861=0,"",ORIG!H1861)</f>
        <v/>
      </c>
      <c r="I1861" s="3">
        <f>IF(ORIG!I1861=0,"",ORIG!I1861)</f>
        <v/>
      </c>
      <c r="J1861" s="3">
        <f>IF(ORIG!J1861=0,"",ORIG!J1861)</f>
        <v/>
      </c>
      <c r="K1861" s="3">
        <f>IF(ORIG!K1861=0,"",ORIG!K1861)</f>
        <v/>
      </c>
      <c r="L1861" s="3">
        <f>IF(ORIG!L1861=0,"",ORIG!L1861)</f>
        <v/>
      </c>
      <c r="M1861" s="3">
        <f>IF(ORIG!M1861=0,"",ORIG!M1861)</f>
        <v/>
      </c>
      <c r="N1861" s="3">
        <f>IF(ORIG!N1861=0,"",ORIG!N1861)</f>
        <v/>
      </c>
      <c r="O1861" s="3">
        <f>IF(ORIG!O1861=0,"",ORIG!O1861)</f>
        <v/>
      </c>
      <c r="P1861" s="3">
        <f>IF(ORIG!P1861=0,"",ORIG!P1861)</f>
        <v/>
      </c>
      <c r="Q1861" s="3">
        <f>IF(ORIG!Q1861=0,"",ORIG!Q1861)</f>
        <v/>
      </c>
      <c r="R1861" s="3">
        <f>IF(ORIG!R1861=0,"",ORIG!R1861)</f>
        <v/>
      </c>
      <c r="S1861" s="3">
        <f>IF(ORIG!S1861=0,"",ORIG!S1861)</f>
        <v/>
      </c>
      <c r="T1861" s="3">
        <f>IF(ORIG!T1861=0,"",ORIG!T1861)</f>
        <v/>
      </c>
      <c r="U1861" s="3">
        <f>IF(ORIG!U1861=0,"",ORIG!U1861)</f>
        <v/>
      </c>
      <c r="V1861" s="9">
        <f>IF(ORIG!V1861=0,"",ORIG!V1861)</f>
        <v/>
      </c>
      <c r="W1861" s="9">
        <f>IF(ORIG!W1861=0,"",ORIG!W1861)</f>
        <v/>
      </c>
      <c r="X1861" s="9">
        <f>IF(ORIG!X1861=0,"",ORIG!X1861)</f>
        <v/>
      </c>
      <c r="Y1861" s="9">
        <f>IF(ORIG!Y1861=0,"",ORIG!Y1861)</f>
        <v/>
      </c>
      <c r="Z1861" s="3">
        <f>SUMPRODUCT($B1861:$Y1861,$B$2649:$Y$2649)</f>
        <v/>
      </c>
      <c r="AA1861" s="3">
        <f>SUMPRODUCT($B1861:$Y1861,$B$2655:$Y$2655)</f>
        <v/>
      </c>
      <c r="AC1861" s="1">
        <f>A1861</f>
        <v/>
      </c>
      <c r="AD1861">
        <f>IF(ISNUMBER(V1861),V1861*($AB$1/V$2635),"")</f>
        <v/>
      </c>
      <c r="AE1861">
        <f>IF(ISNUMBER(Z1861),Z1861*($AB$1/Z$2635),"")</f>
        <v/>
      </c>
      <c r="AF1861" s="25">
        <f>IF(ISNUMBER(AD1861+AE1861),AD1861+AE1861,"")</f>
        <v/>
      </c>
      <c r="AH1861" s="1">
        <f>A1861</f>
        <v/>
      </c>
      <c r="AI1861">
        <f>IF(ISNUMBER((1+V1861)*AI1860),(1+V1861)*AI1860,AI1860)</f>
        <v/>
      </c>
      <c r="AJ1861">
        <f>IF(ISNUMBER((1+Z1861)*AJ1860),(1+Z1861)*AJ1860,AJ1860)</f>
        <v/>
      </c>
    </row>
    <row r="1862">
      <c r="A1862" s="1" t="n">
        <v>44701</v>
      </c>
      <c r="B1862" s="3">
        <f>IF(ORIG!B1862=0,"",ORIG!B1862)</f>
        <v/>
      </c>
      <c r="C1862" s="3">
        <f>IF(ORIG!C1862=0,"",ORIG!C1862)</f>
        <v/>
      </c>
      <c r="D1862" s="3">
        <f>IF(ORIG!D1862=0,"",ORIG!D1862)</f>
        <v/>
      </c>
      <c r="E1862" s="3">
        <f>IF(ORIG!E1862=0,"",ORIG!E1862)</f>
        <v/>
      </c>
      <c r="F1862" s="3">
        <f>IF(ORIG!F1862=0,"",ORIG!F1862)</f>
        <v/>
      </c>
      <c r="G1862" s="3">
        <f>IF(ORIG!G1862=0,"",ORIG!G1862)</f>
        <v/>
      </c>
      <c r="H1862" s="3">
        <f>IF(ORIG!H1862=0,"",ORIG!H1862)</f>
        <v/>
      </c>
      <c r="I1862" s="3">
        <f>IF(ORIG!I1862=0,"",ORIG!I1862)</f>
        <v/>
      </c>
      <c r="J1862" s="3">
        <f>IF(ORIG!J1862=0,"",ORIG!J1862)</f>
        <v/>
      </c>
      <c r="K1862" s="3">
        <f>IF(ORIG!K1862=0,"",ORIG!K1862)</f>
        <v/>
      </c>
      <c r="L1862" s="3">
        <f>IF(ORIG!L1862=0,"",ORIG!L1862)</f>
        <v/>
      </c>
      <c r="M1862" s="3">
        <f>IF(ORIG!M1862=0,"",ORIG!M1862)</f>
        <v/>
      </c>
      <c r="N1862" s="3">
        <f>IF(ORIG!N1862=0,"",ORIG!N1862)</f>
        <v/>
      </c>
      <c r="O1862" s="3">
        <f>IF(ORIG!O1862=0,"",ORIG!O1862)</f>
        <v/>
      </c>
      <c r="P1862" s="3">
        <f>IF(ORIG!P1862=0,"",ORIG!P1862)</f>
        <v/>
      </c>
      <c r="Q1862" s="3">
        <f>IF(ORIG!Q1862=0,"",ORIG!Q1862)</f>
        <v/>
      </c>
      <c r="R1862" s="3">
        <f>IF(ORIG!R1862=0,"",ORIG!R1862)</f>
        <v/>
      </c>
      <c r="S1862" s="3">
        <f>IF(ORIG!S1862=0,"",ORIG!S1862)</f>
        <v/>
      </c>
      <c r="T1862" s="3">
        <f>IF(ORIG!T1862=0,"",ORIG!T1862)</f>
        <v/>
      </c>
      <c r="U1862" s="3">
        <f>IF(ORIG!U1862=0,"",ORIG!U1862)</f>
        <v/>
      </c>
      <c r="V1862" s="9">
        <f>IF(ORIG!V1862=0,"",ORIG!V1862)</f>
        <v/>
      </c>
      <c r="W1862" s="9">
        <f>IF(ORIG!W1862=0,"",ORIG!W1862)</f>
        <v/>
      </c>
      <c r="X1862" s="9">
        <f>IF(ORIG!X1862=0,"",ORIG!X1862)</f>
        <v/>
      </c>
      <c r="Y1862" s="9">
        <f>IF(ORIG!Y1862=0,"",ORIG!Y1862)</f>
        <v/>
      </c>
      <c r="Z1862" s="3">
        <f>SUMPRODUCT($B1862:$Y1862,$B$2649:$Y$2649)</f>
        <v/>
      </c>
      <c r="AA1862" s="3">
        <f>SUMPRODUCT($B1862:$Y1862,$B$2655:$Y$2655)</f>
        <v/>
      </c>
      <c r="AC1862" s="1">
        <f>A1862</f>
        <v/>
      </c>
      <c r="AD1862">
        <f>IF(ISNUMBER(V1862),V1862*($AB$1/V$2635),"")</f>
        <v/>
      </c>
      <c r="AE1862">
        <f>IF(ISNUMBER(Z1862),Z1862*($AB$1/Z$2635),"")</f>
        <v/>
      </c>
      <c r="AF1862" s="25">
        <f>IF(ISNUMBER(AD1862+AE1862),AD1862+AE1862,"")</f>
        <v/>
      </c>
      <c r="AH1862" s="1">
        <f>A1862</f>
        <v/>
      </c>
      <c r="AI1862">
        <f>IF(ISNUMBER((1+V1862)*AI1861),(1+V1862)*AI1861,AI1861)</f>
        <v/>
      </c>
      <c r="AJ1862">
        <f>IF(ISNUMBER((1+Z1862)*AJ1861),(1+Z1862)*AJ1861,AJ1861)</f>
        <v/>
      </c>
    </row>
    <row r="1863">
      <c r="A1863" s="1" t="n">
        <v>44704</v>
      </c>
      <c r="B1863" s="3">
        <f>IF(ORIG!B1863=0,"",ORIG!B1863)</f>
        <v/>
      </c>
      <c r="C1863" s="3">
        <f>IF(ORIG!C1863=0,"",ORIG!C1863)</f>
        <v/>
      </c>
      <c r="D1863" s="3">
        <f>IF(ORIG!D1863=0,"",ORIG!D1863)</f>
        <v/>
      </c>
      <c r="E1863" s="3">
        <f>IF(ORIG!E1863=0,"",ORIG!E1863)</f>
        <v/>
      </c>
      <c r="F1863" s="3">
        <f>IF(ORIG!F1863=0,"",ORIG!F1863)</f>
        <v/>
      </c>
      <c r="G1863" s="3">
        <f>IF(ORIG!G1863=0,"",ORIG!G1863)</f>
        <v/>
      </c>
      <c r="H1863" s="3">
        <f>IF(ORIG!H1863=0,"",ORIG!H1863)</f>
        <v/>
      </c>
      <c r="I1863" s="3">
        <f>IF(ORIG!I1863=0,"",ORIG!I1863)</f>
        <v/>
      </c>
      <c r="J1863" s="3">
        <f>IF(ORIG!J1863=0,"",ORIG!J1863)</f>
        <v/>
      </c>
      <c r="K1863" s="3">
        <f>IF(ORIG!K1863=0,"",ORIG!K1863)</f>
        <v/>
      </c>
      <c r="L1863" s="3">
        <f>IF(ORIG!L1863=0,"",ORIG!L1863)</f>
        <v/>
      </c>
      <c r="M1863" s="3">
        <f>IF(ORIG!M1863=0,"",ORIG!M1863)</f>
        <v/>
      </c>
      <c r="N1863" s="3">
        <f>IF(ORIG!N1863=0,"",ORIG!N1863)</f>
        <v/>
      </c>
      <c r="O1863" s="3">
        <f>IF(ORIG!O1863=0,"",ORIG!O1863)</f>
        <v/>
      </c>
      <c r="P1863" s="3">
        <f>IF(ORIG!P1863=0,"",ORIG!P1863)</f>
        <v/>
      </c>
      <c r="Q1863" s="3">
        <f>IF(ORIG!Q1863=0,"",ORIG!Q1863)</f>
        <v/>
      </c>
      <c r="R1863" s="3">
        <f>IF(ORIG!R1863=0,"",ORIG!R1863)</f>
        <v/>
      </c>
      <c r="S1863" s="3">
        <f>IF(ORIG!S1863=0,"",ORIG!S1863)</f>
        <v/>
      </c>
      <c r="T1863" s="3">
        <f>IF(ORIG!T1863=0,"",ORIG!T1863)</f>
        <v/>
      </c>
      <c r="U1863" s="3">
        <f>IF(ORIG!U1863=0,"",ORIG!U1863)</f>
        <v/>
      </c>
      <c r="V1863" s="9">
        <f>IF(ORIG!V1863=0,"",ORIG!V1863)</f>
        <v/>
      </c>
      <c r="W1863" s="9">
        <f>IF(ORIG!W1863=0,"",ORIG!W1863)</f>
        <v/>
      </c>
      <c r="X1863" s="9">
        <f>IF(ORIG!X1863=0,"",ORIG!X1863)</f>
        <v/>
      </c>
      <c r="Y1863" s="9">
        <f>IF(ORIG!Y1863=0,"",ORIG!Y1863)</f>
        <v/>
      </c>
      <c r="Z1863" s="3">
        <f>SUMPRODUCT($B1863:$Y1863,$B$2649:$Y$2649)</f>
        <v/>
      </c>
      <c r="AA1863" s="3">
        <f>SUMPRODUCT($B1863:$Y1863,$B$2655:$Y$2655)</f>
        <v/>
      </c>
      <c r="AC1863" s="1">
        <f>A1863</f>
        <v/>
      </c>
      <c r="AD1863">
        <f>IF(ISNUMBER(V1863),V1863*($AB$1/V$2635),"")</f>
        <v/>
      </c>
      <c r="AE1863">
        <f>IF(ISNUMBER(Z1863),Z1863*($AB$1/Z$2635),"")</f>
        <v/>
      </c>
      <c r="AF1863" s="25">
        <f>IF(ISNUMBER(AD1863+AE1863),AD1863+AE1863,"")</f>
        <v/>
      </c>
      <c r="AH1863" s="1">
        <f>A1863</f>
        <v/>
      </c>
      <c r="AI1863">
        <f>IF(ISNUMBER((1+V1863)*AI1862),(1+V1863)*AI1862,AI1862)</f>
        <v/>
      </c>
      <c r="AJ1863">
        <f>IF(ISNUMBER((1+Z1863)*AJ1862),(1+Z1863)*AJ1862,AJ1862)</f>
        <v/>
      </c>
    </row>
    <row r="1864">
      <c r="A1864" s="1" t="n">
        <v>44705</v>
      </c>
      <c r="B1864" s="3">
        <f>IF(ORIG!B1864=0,"",ORIG!B1864)</f>
        <v/>
      </c>
      <c r="C1864" s="3">
        <f>IF(ORIG!C1864=0,"",ORIG!C1864)</f>
        <v/>
      </c>
      <c r="D1864" s="3">
        <f>IF(ORIG!D1864=0,"",ORIG!D1864)</f>
        <v/>
      </c>
      <c r="E1864" s="3">
        <f>IF(ORIG!E1864=0,"",ORIG!E1864)</f>
        <v/>
      </c>
      <c r="F1864" s="3">
        <f>IF(ORIG!F1864=0,"",ORIG!F1864)</f>
        <v/>
      </c>
      <c r="G1864" s="3">
        <f>IF(ORIG!G1864=0,"",ORIG!G1864)</f>
        <v/>
      </c>
      <c r="H1864" s="3">
        <f>IF(ORIG!H1864=0,"",ORIG!H1864)</f>
        <v/>
      </c>
      <c r="I1864" s="3">
        <f>IF(ORIG!I1864=0,"",ORIG!I1864)</f>
        <v/>
      </c>
      <c r="J1864" s="3">
        <f>IF(ORIG!J1864=0,"",ORIG!J1864)</f>
        <v/>
      </c>
      <c r="K1864" s="3">
        <f>IF(ORIG!K1864=0,"",ORIG!K1864)</f>
        <v/>
      </c>
      <c r="L1864" s="3">
        <f>IF(ORIG!L1864=0,"",ORIG!L1864)</f>
        <v/>
      </c>
      <c r="M1864" s="3">
        <f>IF(ORIG!M1864=0,"",ORIG!M1864)</f>
        <v/>
      </c>
      <c r="N1864" s="3">
        <f>IF(ORIG!N1864=0,"",ORIG!N1864)</f>
        <v/>
      </c>
      <c r="O1864" s="3">
        <f>IF(ORIG!O1864=0,"",ORIG!O1864)</f>
        <v/>
      </c>
      <c r="P1864" s="3">
        <f>IF(ORIG!P1864=0,"",ORIG!P1864)</f>
        <v/>
      </c>
      <c r="Q1864" s="3">
        <f>IF(ORIG!Q1864=0,"",ORIG!Q1864)</f>
        <v/>
      </c>
      <c r="R1864" s="3">
        <f>IF(ORIG!R1864=0,"",ORIG!R1864)</f>
        <v/>
      </c>
      <c r="S1864" s="3">
        <f>IF(ORIG!S1864=0,"",ORIG!S1864)</f>
        <v/>
      </c>
      <c r="T1864" s="3">
        <f>IF(ORIG!T1864=0,"",ORIG!T1864)</f>
        <v/>
      </c>
      <c r="U1864" s="3">
        <f>IF(ORIG!U1864=0,"",ORIG!U1864)</f>
        <v/>
      </c>
      <c r="V1864" s="9">
        <f>IF(ORIG!V1864=0,"",ORIG!V1864)</f>
        <v/>
      </c>
      <c r="W1864" s="9">
        <f>IF(ORIG!W1864=0,"",ORIG!W1864)</f>
        <v/>
      </c>
      <c r="X1864" s="9">
        <f>IF(ORIG!X1864=0,"",ORIG!X1864)</f>
        <v/>
      </c>
      <c r="Y1864" s="9">
        <f>IF(ORIG!Y1864=0,"",ORIG!Y1864)</f>
        <v/>
      </c>
      <c r="Z1864" s="3">
        <f>SUMPRODUCT($B1864:$Y1864,$B$2649:$Y$2649)</f>
        <v/>
      </c>
      <c r="AA1864" s="3">
        <f>SUMPRODUCT($B1864:$Y1864,$B$2655:$Y$2655)</f>
        <v/>
      </c>
      <c r="AC1864" s="1">
        <f>A1864</f>
        <v/>
      </c>
      <c r="AD1864">
        <f>IF(ISNUMBER(V1864),V1864*($AB$1/V$2635),"")</f>
        <v/>
      </c>
      <c r="AE1864">
        <f>IF(ISNUMBER(Z1864),Z1864*($AB$1/Z$2635),"")</f>
        <v/>
      </c>
      <c r="AF1864" s="25">
        <f>IF(ISNUMBER(AD1864+AE1864),AD1864+AE1864,"")</f>
        <v/>
      </c>
      <c r="AH1864" s="1">
        <f>A1864</f>
        <v/>
      </c>
      <c r="AI1864">
        <f>IF(ISNUMBER((1+V1864)*AI1863),(1+V1864)*AI1863,AI1863)</f>
        <v/>
      </c>
      <c r="AJ1864">
        <f>IF(ISNUMBER((1+Z1864)*AJ1863),(1+Z1864)*AJ1863,AJ1863)</f>
        <v/>
      </c>
    </row>
    <row r="1865">
      <c r="A1865" s="1" t="n">
        <v>44706</v>
      </c>
      <c r="B1865" s="3">
        <f>IF(ORIG!B1865=0,"",ORIG!B1865)</f>
        <v/>
      </c>
      <c r="C1865" s="3">
        <f>IF(ORIG!C1865=0,"",ORIG!C1865)</f>
        <v/>
      </c>
      <c r="D1865" s="3">
        <f>IF(ORIG!D1865=0,"",ORIG!D1865)</f>
        <v/>
      </c>
      <c r="E1865" s="3">
        <f>IF(ORIG!E1865=0,"",ORIG!E1865)</f>
        <v/>
      </c>
      <c r="F1865" s="3">
        <f>IF(ORIG!F1865=0,"",ORIG!F1865)</f>
        <v/>
      </c>
      <c r="G1865" s="3">
        <f>IF(ORIG!G1865=0,"",ORIG!G1865)</f>
        <v/>
      </c>
      <c r="H1865" s="3">
        <f>IF(ORIG!H1865=0,"",ORIG!H1865)</f>
        <v/>
      </c>
      <c r="I1865" s="3">
        <f>IF(ORIG!I1865=0,"",ORIG!I1865)</f>
        <v/>
      </c>
      <c r="J1865" s="3">
        <f>IF(ORIG!J1865=0,"",ORIG!J1865)</f>
        <v/>
      </c>
      <c r="K1865" s="3">
        <f>IF(ORIG!K1865=0,"",ORIG!K1865)</f>
        <v/>
      </c>
      <c r="L1865" s="3">
        <f>IF(ORIG!L1865=0,"",ORIG!L1865)</f>
        <v/>
      </c>
      <c r="M1865" s="3">
        <f>IF(ORIG!M1865=0,"",ORIG!M1865)</f>
        <v/>
      </c>
      <c r="N1865" s="3">
        <f>IF(ORIG!N1865=0,"",ORIG!N1865)</f>
        <v/>
      </c>
      <c r="O1865" s="3">
        <f>IF(ORIG!O1865=0,"",ORIG!O1865)</f>
        <v/>
      </c>
      <c r="P1865" s="3">
        <f>IF(ORIG!P1865=0,"",ORIG!P1865)</f>
        <v/>
      </c>
      <c r="Q1865" s="3">
        <f>IF(ORIG!Q1865=0,"",ORIG!Q1865)</f>
        <v/>
      </c>
      <c r="R1865" s="3">
        <f>IF(ORIG!R1865=0,"",ORIG!R1865)</f>
        <v/>
      </c>
      <c r="S1865" s="3">
        <f>IF(ORIG!S1865=0,"",ORIG!S1865)</f>
        <v/>
      </c>
      <c r="T1865" s="3">
        <f>IF(ORIG!T1865=0,"",ORIG!T1865)</f>
        <v/>
      </c>
      <c r="U1865" s="3">
        <f>IF(ORIG!U1865=0,"",ORIG!U1865)</f>
        <v/>
      </c>
      <c r="V1865" s="9">
        <f>IF(ORIG!V1865=0,"",ORIG!V1865)</f>
        <v/>
      </c>
      <c r="W1865" s="9">
        <f>IF(ORIG!W1865=0,"",ORIG!W1865)</f>
        <v/>
      </c>
      <c r="X1865" s="9">
        <f>IF(ORIG!X1865=0,"",ORIG!X1865)</f>
        <v/>
      </c>
      <c r="Y1865" s="9">
        <f>IF(ORIG!Y1865=0,"",ORIG!Y1865)</f>
        <v/>
      </c>
      <c r="Z1865" s="3">
        <f>SUMPRODUCT($B1865:$Y1865,$B$2649:$Y$2649)</f>
        <v/>
      </c>
      <c r="AA1865" s="3">
        <f>SUMPRODUCT($B1865:$Y1865,$B$2655:$Y$2655)</f>
        <v/>
      </c>
      <c r="AC1865" s="1">
        <f>A1865</f>
        <v/>
      </c>
      <c r="AD1865">
        <f>IF(ISNUMBER(V1865),V1865*($AB$1/V$2635),"")</f>
        <v/>
      </c>
      <c r="AE1865">
        <f>IF(ISNUMBER(Z1865),Z1865*($AB$1/Z$2635),"")</f>
        <v/>
      </c>
      <c r="AF1865" s="25">
        <f>IF(ISNUMBER(AD1865+AE1865),AD1865+AE1865,"")</f>
        <v/>
      </c>
      <c r="AH1865" s="1">
        <f>A1865</f>
        <v/>
      </c>
      <c r="AI1865">
        <f>IF(ISNUMBER((1+V1865)*AI1864),(1+V1865)*AI1864,AI1864)</f>
        <v/>
      </c>
      <c r="AJ1865">
        <f>IF(ISNUMBER((1+Z1865)*AJ1864),(1+Z1865)*AJ1864,AJ1864)</f>
        <v/>
      </c>
    </row>
    <row r="1866">
      <c r="A1866" s="1" t="n">
        <v>44707</v>
      </c>
      <c r="B1866" s="3">
        <f>IF(ORIG!B1866=0,"",ORIG!B1866)</f>
        <v/>
      </c>
      <c r="C1866" s="3">
        <f>IF(ORIG!C1866=0,"",ORIG!C1866)</f>
        <v/>
      </c>
      <c r="D1866" s="3">
        <f>IF(ORIG!D1866=0,"",ORIG!D1866)</f>
        <v/>
      </c>
      <c r="E1866" s="3">
        <f>IF(ORIG!E1866=0,"",ORIG!E1866)</f>
        <v/>
      </c>
      <c r="F1866" s="3">
        <f>IF(ORIG!F1866=0,"",ORIG!F1866)</f>
        <v/>
      </c>
      <c r="G1866" s="3">
        <f>IF(ORIG!G1866=0,"",ORIG!G1866)</f>
        <v/>
      </c>
      <c r="H1866" s="3">
        <f>IF(ORIG!H1866=0,"",ORIG!H1866)</f>
        <v/>
      </c>
      <c r="I1866" s="3">
        <f>IF(ORIG!I1866=0,"",ORIG!I1866)</f>
        <v/>
      </c>
      <c r="J1866" s="3">
        <f>IF(ORIG!J1866=0,"",ORIG!J1866)</f>
        <v/>
      </c>
      <c r="K1866" s="3">
        <f>IF(ORIG!K1866=0,"",ORIG!K1866)</f>
        <v/>
      </c>
      <c r="L1866" s="3">
        <f>IF(ORIG!L1866=0,"",ORIG!L1866)</f>
        <v/>
      </c>
      <c r="M1866" s="3">
        <f>IF(ORIG!M1866=0,"",ORIG!M1866)</f>
        <v/>
      </c>
      <c r="N1866" s="3">
        <f>IF(ORIG!N1866=0,"",ORIG!N1866)</f>
        <v/>
      </c>
      <c r="O1866" s="3">
        <f>IF(ORIG!O1866=0,"",ORIG!O1866)</f>
        <v/>
      </c>
      <c r="P1866" s="3">
        <f>IF(ORIG!P1866=0,"",ORIG!P1866)</f>
        <v/>
      </c>
      <c r="Q1866" s="3">
        <f>IF(ORIG!Q1866=0,"",ORIG!Q1866)</f>
        <v/>
      </c>
      <c r="R1866" s="3">
        <f>IF(ORIG!R1866=0,"",ORIG!R1866)</f>
        <v/>
      </c>
      <c r="S1866" s="3">
        <f>IF(ORIG!S1866=0,"",ORIG!S1866)</f>
        <v/>
      </c>
      <c r="T1866" s="3">
        <f>IF(ORIG!T1866=0,"",ORIG!T1866)</f>
        <v/>
      </c>
      <c r="U1866" s="3">
        <f>IF(ORIG!U1866=0,"",ORIG!U1866)</f>
        <v/>
      </c>
      <c r="V1866" s="9">
        <f>IF(ORIG!V1866=0,"",ORIG!V1866)</f>
        <v/>
      </c>
      <c r="W1866" s="9">
        <f>IF(ORIG!W1866=0,"",ORIG!W1866)</f>
        <v/>
      </c>
      <c r="X1866" s="9">
        <f>IF(ORIG!X1866=0,"",ORIG!X1866)</f>
        <v/>
      </c>
      <c r="Y1866" s="9">
        <f>IF(ORIG!Y1866=0,"",ORIG!Y1866)</f>
        <v/>
      </c>
      <c r="Z1866" s="3">
        <f>SUMPRODUCT($B1866:$Y1866,$B$2649:$Y$2649)</f>
        <v/>
      </c>
      <c r="AA1866" s="3">
        <f>SUMPRODUCT($B1866:$Y1866,$B$2655:$Y$2655)</f>
        <v/>
      </c>
      <c r="AC1866" s="1">
        <f>A1866</f>
        <v/>
      </c>
      <c r="AD1866">
        <f>IF(ISNUMBER(V1866),V1866*($AB$1/V$2635),"")</f>
        <v/>
      </c>
      <c r="AE1866">
        <f>IF(ISNUMBER(Z1866),Z1866*($AB$1/Z$2635),"")</f>
        <v/>
      </c>
      <c r="AF1866" s="25">
        <f>IF(ISNUMBER(AD1866+AE1866),AD1866+AE1866,"")</f>
        <v/>
      </c>
      <c r="AH1866" s="1">
        <f>A1866</f>
        <v/>
      </c>
      <c r="AI1866">
        <f>IF(ISNUMBER((1+V1866)*AI1865),(1+V1866)*AI1865,AI1865)</f>
        <v/>
      </c>
      <c r="AJ1866">
        <f>IF(ISNUMBER((1+Z1866)*AJ1865),(1+Z1866)*AJ1865,AJ1865)</f>
        <v/>
      </c>
    </row>
    <row r="1867">
      <c r="A1867" s="1" t="n">
        <v>44708</v>
      </c>
      <c r="B1867" s="3">
        <f>IF(ORIG!B1867=0,"",ORIG!B1867)</f>
        <v/>
      </c>
      <c r="C1867" s="3">
        <f>IF(ORIG!C1867=0,"",ORIG!C1867)</f>
        <v/>
      </c>
      <c r="D1867" s="3">
        <f>IF(ORIG!D1867=0,"",ORIG!D1867)</f>
        <v/>
      </c>
      <c r="E1867" s="3">
        <f>IF(ORIG!E1867=0,"",ORIG!E1867)</f>
        <v/>
      </c>
      <c r="F1867" s="3">
        <f>IF(ORIG!F1867=0,"",ORIG!F1867)</f>
        <v/>
      </c>
      <c r="G1867" s="3">
        <f>IF(ORIG!G1867=0,"",ORIG!G1867)</f>
        <v/>
      </c>
      <c r="H1867" s="3">
        <f>IF(ORIG!H1867=0,"",ORIG!H1867)</f>
        <v/>
      </c>
      <c r="I1867" s="3">
        <f>IF(ORIG!I1867=0,"",ORIG!I1867)</f>
        <v/>
      </c>
      <c r="J1867" s="3">
        <f>IF(ORIG!J1867=0,"",ORIG!J1867)</f>
        <v/>
      </c>
      <c r="K1867" s="3">
        <f>IF(ORIG!K1867=0,"",ORIG!K1867)</f>
        <v/>
      </c>
      <c r="L1867" s="3">
        <f>IF(ORIG!L1867=0,"",ORIG!L1867)</f>
        <v/>
      </c>
      <c r="M1867" s="3">
        <f>IF(ORIG!M1867=0,"",ORIG!M1867)</f>
        <v/>
      </c>
      <c r="N1867" s="3">
        <f>IF(ORIG!N1867=0,"",ORIG!N1867)</f>
        <v/>
      </c>
      <c r="O1867" s="3">
        <f>IF(ORIG!O1867=0,"",ORIG!O1867)</f>
        <v/>
      </c>
      <c r="P1867" s="3">
        <f>IF(ORIG!P1867=0,"",ORIG!P1867)</f>
        <v/>
      </c>
      <c r="Q1867" s="3">
        <f>IF(ORIG!Q1867=0,"",ORIG!Q1867)</f>
        <v/>
      </c>
      <c r="R1867" s="3">
        <f>IF(ORIG!R1867=0,"",ORIG!R1867)</f>
        <v/>
      </c>
      <c r="S1867" s="3">
        <f>IF(ORIG!S1867=0,"",ORIG!S1867)</f>
        <v/>
      </c>
      <c r="T1867" s="3">
        <f>IF(ORIG!T1867=0,"",ORIG!T1867)</f>
        <v/>
      </c>
      <c r="U1867" s="3">
        <f>IF(ORIG!U1867=0,"",ORIG!U1867)</f>
        <v/>
      </c>
      <c r="V1867" s="9">
        <f>IF(ORIG!V1867=0,"",ORIG!V1867)</f>
        <v/>
      </c>
      <c r="W1867" s="9">
        <f>IF(ORIG!W1867=0,"",ORIG!W1867)</f>
        <v/>
      </c>
      <c r="X1867" s="9">
        <f>IF(ORIG!X1867=0,"",ORIG!X1867)</f>
        <v/>
      </c>
      <c r="Y1867" s="9">
        <f>IF(ORIG!Y1867=0,"",ORIG!Y1867)</f>
        <v/>
      </c>
      <c r="Z1867" s="3">
        <f>SUMPRODUCT($B1867:$Y1867,$B$2649:$Y$2649)</f>
        <v/>
      </c>
      <c r="AA1867" s="3">
        <f>SUMPRODUCT($B1867:$Y1867,$B$2655:$Y$2655)</f>
        <v/>
      </c>
      <c r="AC1867" s="1">
        <f>A1867</f>
        <v/>
      </c>
      <c r="AD1867">
        <f>IF(ISNUMBER(V1867),V1867*($AB$1/V$2635),"")</f>
        <v/>
      </c>
      <c r="AE1867">
        <f>IF(ISNUMBER(Z1867),Z1867*($AB$1/Z$2635),"")</f>
        <v/>
      </c>
      <c r="AF1867" s="25">
        <f>IF(ISNUMBER(AD1867+AE1867),AD1867+AE1867,"")</f>
        <v/>
      </c>
      <c r="AH1867" s="1">
        <f>A1867</f>
        <v/>
      </c>
      <c r="AI1867">
        <f>IF(ISNUMBER((1+V1867)*AI1866),(1+V1867)*AI1866,AI1866)</f>
        <v/>
      </c>
      <c r="AJ1867">
        <f>IF(ISNUMBER((1+Z1867)*AJ1866),(1+Z1867)*AJ1866,AJ1866)</f>
        <v/>
      </c>
    </row>
    <row r="1868">
      <c r="A1868" s="1" t="n">
        <v>44712</v>
      </c>
      <c r="B1868" s="3">
        <f>IF(ORIG!B1868=0,"",ORIG!B1868)</f>
        <v/>
      </c>
      <c r="C1868" s="3">
        <f>IF(ORIG!C1868=0,"",ORIG!C1868)</f>
        <v/>
      </c>
      <c r="D1868" s="3">
        <f>IF(ORIG!D1868=0,"",ORIG!D1868)</f>
        <v/>
      </c>
      <c r="E1868" s="3">
        <f>IF(ORIG!E1868=0,"",ORIG!E1868)</f>
        <v/>
      </c>
      <c r="F1868" s="3">
        <f>IF(ORIG!F1868=0,"",ORIG!F1868)</f>
        <v/>
      </c>
      <c r="G1868" s="3">
        <f>IF(ORIG!G1868=0,"",ORIG!G1868)</f>
        <v/>
      </c>
      <c r="H1868" s="3">
        <f>IF(ORIG!H1868=0,"",ORIG!H1868)</f>
        <v/>
      </c>
      <c r="I1868" s="3">
        <f>IF(ORIG!I1868=0,"",ORIG!I1868)</f>
        <v/>
      </c>
      <c r="J1868" s="3">
        <f>IF(ORIG!J1868=0,"",ORIG!J1868)</f>
        <v/>
      </c>
      <c r="K1868" s="3">
        <f>IF(ORIG!K1868=0,"",ORIG!K1868)</f>
        <v/>
      </c>
      <c r="L1868" s="3">
        <f>IF(ORIG!L1868=0,"",ORIG!L1868)</f>
        <v/>
      </c>
      <c r="M1868" s="3">
        <f>IF(ORIG!M1868=0,"",ORIG!M1868)</f>
        <v/>
      </c>
      <c r="N1868" s="3">
        <f>IF(ORIG!N1868=0,"",ORIG!N1868)</f>
        <v/>
      </c>
      <c r="O1868" s="3">
        <f>IF(ORIG!O1868=0,"",ORIG!O1868)</f>
        <v/>
      </c>
      <c r="P1868" s="3">
        <f>IF(ORIG!P1868=0,"",ORIG!P1868)</f>
        <v/>
      </c>
      <c r="Q1868" s="3">
        <f>IF(ORIG!Q1868=0,"",ORIG!Q1868)</f>
        <v/>
      </c>
      <c r="R1868" s="3">
        <f>IF(ORIG!R1868=0,"",ORIG!R1868)</f>
        <v/>
      </c>
      <c r="S1868" s="3">
        <f>IF(ORIG!S1868=0,"",ORIG!S1868)</f>
        <v/>
      </c>
      <c r="T1868" s="3">
        <f>IF(ORIG!T1868=0,"",ORIG!T1868)</f>
        <v/>
      </c>
      <c r="U1868" s="3">
        <f>IF(ORIG!U1868=0,"",ORIG!U1868)</f>
        <v/>
      </c>
      <c r="V1868" s="9">
        <f>IF(ORIG!V1868=0,"",ORIG!V1868)</f>
        <v/>
      </c>
      <c r="W1868" s="9">
        <f>IF(ORIG!W1868=0,"",ORIG!W1868)</f>
        <v/>
      </c>
      <c r="X1868" s="9">
        <f>IF(ORIG!X1868=0,"",ORIG!X1868)</f>
        <v/>
      </c>
      <c r="Y1868" s="9">
        <f>IF(ORIG!Y1868=0,"",ORIG!Y1868)</f>
        <v/>
      </c>
      <c r="Z1868" s="3">
        <f>SUMPRODUCT($B1868:$Y1868,$B$2649:$Y$2649)</f>
        <v/>
      </c>
      <c r="AA1868" s="3">
        <f>SUMPRODUCT($B1868:$Y1868,$B$2655:$Y$2655)</f>
        <v/>
      </c>
      <c r="AC1868" s="1">
        <f>A1868</f>
        <v/>
      </c>
      <c r="AD1868">
        <f>IF(ISNUMBER(V1868),V1868*($AB$1/V$2635),"")</f>
        <v/>
      </c>
      <c r="AE1868">
        <f>IF(ISNUMBER(Z1868),Z1868*($AB$1/Z$2635),"")</f>
        <v/>
      </c>
      <c r="AF1868" s="25">
        <f>IF(ISNUMBER(AD1868+AE1868),AD1868+AE1868,"")</f>
        <v/>
      </c>
      <c r="AH1868" s="1">
        <f>A1868</f>
        <v/>
      </c>
      <c r="AI1868">
        <f>IF(ISNUMBER((1+V1868)*AI1867),(1+V1868)*AI1867,AI1867)</f>
        <v/>
      </c>
      <c r="AJ1868">
        <f>IF(ISNUMBER((1+Z1868)*AJ1867),(1+Z1868)*AJ1867,AJ1867)</f>
        <v/>
      </c>
    </row>
    <row r="1869">
      <c r="A1869" s="1" t="n">
        <v>44713</v>
      </c>
      <c r="B1869" s="3">
        <f>IF(ORIG!B1869=0,"",ORIG!B1869)</f>
        <v/>
      </c>
      <c r="C1869" s="3">
        <f>IF(ORIG!C1869=0,"",ORIG!C1869)</f>
        <v/>
      </c>
      <c r="D1869" s="3">
        <f>IF(ORIG!D1869=0,"",ORIG!D1869)</f>
        <v/>
      </c>
      <c r="E1869" s="3">
        <f>IF(ORIG!E1869=0,"",ORIG!E1869)</f>
        <v/>
      </c>
      <c r="F1869" s="3">
        <f>IF(ORIG!F1869=0,"",ORIG!F1869)</f>
        <v/>
      </c>
      <c r="G1869" s="3">
        <f>IF(ORIG!G1869=0,"",ORIG!G1869)</f>
        <v/>
      </c>
      <c r="H1869" s="3">
        <f>IF(ORIG!H1869=0,"",ORIG!H1869)</f>
        <v/>
      </c>
      <c r="I1869" s="3">
        <f>IF(ORIG!I1869=0,"",ORIG!I1869)</f>
        <v/>
      </c>
      <c r="J1869" s="3">
        <f>IF(ORIG!J1869=0,"",ORIG!J1869)</f>
        <v/>
      </c>
      <c r="K1869" s="3">
        <f>IF(ORIG!K1869=0,"",ORIG!K1869)</f>
        <v/>
      </c>
      <c r="L1869" s="3">
        <f>IF(ORIG!L1869=0,"",ORIG!L1869)</f>
        <v/>
      </c>
      <c r="M1869" s="3">
        <f>IF(ORIG!M1869=0,"",ORIG!M1869)</f>
        <v/>
      </c>
      <c r="N1869" s="3">
        <f>IF(ORIG!N1869=0,"",ORIG!N1869)</f>
        <v/>
      </c>
      <c r="O1869" s="3">
        <f>IF(ORIG!O1869=0,"",ORIG!O1869)</f>
        <v/>
      </c>
      <c r="P1869" s="3">
        <f>IF(ORIG!P1869=0,"",ORIG!P1869)</f>
        <v/>
      </c>
      <c r="Q1869" s="3">
        <f>IF(ORIG!Q1869=0,"",ORIG!Q1869)</f>
        <v/>
      </c>
      <c r="R1869" s="3">
        <f>IF(ORIG!R1869=0,"",ORIG!R1869)</f>
        <v/>
      </c>
      <c r="S1869" s="3">
        <f>IF(ORIG!S1869=0,"",ORIG!S1869)</f>
        <v/>
      </c>
      <c r="T1869" s="3">
        <f>IF(ORIG!T1869=0,"",ORIG!T1869)</f>
        <v/>
      </c>
      <c r="U1869" s="3">
        <f>IF(ORIG!U1869=0,"",ORIG!U1869)</f>
        <v/>
      </c>
      <c r="V1869" s="9">
        <f>IF(ORIG!V1869=0,"",ORIG!V1869)</f>
        <v/>
      </c>
      <c r="W1869" s="9">
        <f>IF(ORIG!W1869=0,"",ORIG!W1869)</f>
        <v/>
      </c>
      <c r="X1869" s="9">
        <f>IF(ORIG!X1869=0,"",ORIG!X1869)</f>
        <v/>
      </c>
      <c r="Y1869" s="9">
        <f>IF(ORIG!Y1869=0,"",ORIG!Y1869)</f>
        <v/>
      </c>
      <c r="Z1869" s="3">
        <f>SUMPRODUCT($B1869:$Y1869,$B$2649:$Y$2649)</f>
        <v/>
      </c>
      <c r="AA1869" s="3">
        <f>SUMPRODUCT($B1869:$Y1869,$B$2655:$Y$2655)</f>
        <v/>
      </c>
      <c r="AC1869" s="1">
        <f>A1869</f>
        <v/>
      </c>
      <c r="AD1869">
        <f>IF(ISNUMBER(V1869),V1869*($AB$1/V$2635),"")</f>
        <v/>
      </c>
      <c r="AE1869">
        <f>IF(ISNUMBER(Z1869),Z1869*($AB$1/Z$2635),"")</f>
        <v/>
      </c>
      <c r="AF1869" s="25">
        <f>IF(ISNUMBER(AD1869+AE1869),AD1869+AE1869,"")</f>
        <v/>
      </c>
      <c r="AH1869" s="1">
        <f>A1869</f>
        <v/>
      </c>
      <c r="AI1869">
        <f>IF(ISNUMBER((1+V1869)*AI1868),(1+V1869)*AI1868,AI1868)</f>
        <v/>
      </c>
      <c r="AJ1869">
        <f>IF(ISNUMBER((1+Z1869)*AJ1868),(1+Z1869)*AJ1868,AJ1868)</f>
        <v/>
      </c>
    </row>
    <row r="1870">
      <c r="A1870" s="1" t="n">
        <v>44714</v>
      </c>
      <c r="B1870" s="3">
        <f>IF(ORIG!B1870=0,"",ORIG!B1870)</f>
        <v/>
      </c>
      <c r="C1870" s="3">
        <f>IF(ORIG!C1870=0,"",ORIG!C1870)</f>
        <v/>
      </c>
      <c r="D1870" s="3">
        <f>IF(ORIG!D1870=0,"",ORIG!D1870)</f>
        <v/>
      </c>
      <c r="E1870" s="3">
        <f>IF(ORIG!E1870=0,"",ORIG!E1870)</f>
        <v/>
      </c>
      <c r="F1870" s="3">
        <f>IF(ORIG!F1870=0,"",ORIG!F1870)</f>
        <v/>
      </c>
      <c r="G1870" s="3">
        <f>IF(ORIG!G1870=0,"",ORIG!G1870)</f>
        <v/>
      </c>
      <c r="H1870" s="3">
        <f>IF(ORIG!H1870=0,"",ORIG!H1870)</f>
        <v/>
      </c>
      <c r="I1870" s="3">
        <f>IF(ORIG!I1870=0,"",ORIG!I1870)</f>
        <v/>
      </c>
      <c r="J1870" s="3">
        <f>IF(ORIG!J1870=0,"",ORIG!J1870)</f>
        <v/>
      </c>
      <c r="K1870" s="3">
        <f>IF(ORIG!K1870=0,"",ORIG!K1870)</f>
        <v/>
      </c>
      <c r="L1870" s="3">
        <f>IF(ORIG!L1870=0,"",ORIG!L1870)</f>
        <v/>
      </c>
      <c r="M1870" s="3">
        <f>IF(ORIG!M1870=0,"",ORIG!M1870)</f>
        <v/>
      </c>
      <c r="N1870" s="3">
        <f>IF(ORIG!N1870=0,"",ORIG!N1870)</f>
        <v/>
      </c>
      <c r="O1870" s="3">
        <f>IF(ORIG!O1870=0,"",ORIG!O1870)</f>
        <v/>
      </c>
      <c r="P1870" s="3">
        <f>IF(ORIG!P1870=0,"",ORIG!P1870)</f>
        <v/>
      </c>
      <c r="Q1870" s="3">
        <f>IF(ORIG!Q1870=0,"",ORIG!Q1870)</f>
        <v/>
      </c>
      <c r="R1870" s="3">
        <f>IF(ORIG!R1870=0,"",ORIG!R1870)</f>
        <v/>
      </c>
      <c r="S1870" s="3">
        <f>IF(ORIG!S1870=0,"",ORIG!S1870)</f>
        <v/>
      </c>
      <c r="T1870" s="3">
        <f>IF(ORIG!T1870=0,"",ORIG!T1870)</f>
        <v/>
      </c>
      <c r="U1870" s="3">
        <f>IF(ORIG!U1870=0,"",ORIG!U1870)</f>
        <v/>
      </c>
      <c r="V1870" s="9">
        <f>IF(ORIG!V1870=0,"",ORIG!V1870)</f>
        <v/>
      </c>
      <c r="W1870" s="9">
        <f>IF(ORIG!W1870=0,"",ORIG!W1870)</f>
        <v/>
      </c>
      <c r="X1870" s="9">
        <f>IF(ORIG!X1870=0,"",ORIG!X1870)</f>
        <v/>
      </c>
      <c r="Y1870" s="9">
        <f>IF(ORIG!Y1870=0,"",ORIG!Y1870)</f>
        <v/>
      </c>
      <c r="Z1870" s="3">
        <f>SUMPRODUCT($B1870:$Y1870,$B$2649:$Y$2649)</f>
        <v/>
      </c>
      <c r="AA1870" s="3">
        <f>SUMPRODUCT($B1870:$Y1870,$B$2655:$Y$2655)</f>
        <v/>
      </c>
      <c r="AC1870" s="1">
        <f>A1870</f>
        <v/>
      </c>
      <c r="AD1870">
        <f>IF(ISNUMBER(V1870),V1870*($AB$1/V$2635),"")</f>
        <v/>
      </c>
      <c r="AE1870">
        <f>IF(ISNUMBER(Z1870),Z1870*($AB$1/Z$2635),"")</f>
        <v/>
      </c>
      <c r="AF1870" s="25">
        <f>IF(ISNUMBER(AD1870+AE1870),AD1870+AE1870,"")</f>
        <v/>
      </c>
      <c r="AH1870" s="1">
        <f>A1870</f>
        <v/>
      </c>
      <c r="AI1870">
        <f>IF(ISNUMBER((1+V1870)*AI1869),(1+V1870)*AI1869,AI1869)</f>
        <v/>
      </c>
      <c r="AJ1870">
        <f>IF(ISNUMBER((1+Z1870)*AJ1869),(1+Z1870)*AJ1869,AJ1869)</f>
        <v/>
      </c>
    </row>
    <row r="1871">
      <c r="A1871" s="1" t="n">
        <v>44715</v>
      </c>
      <c r="B1871" s="3">
        <f>IF(ORIG!B1871=0,"",ORIG!B1871)</f>
        <v/>
      </c>
      <c r="C1871" s="3">
        <f>IF(ORIG!C1871=0,"",ORIG!C1871)</f>
        <v/>
      </c>
      <c r="D1871" s="3">
        <f>IF(ORIG!D1871=0,"",ORIG!D1871)</f>
        <v/>
      </c>
      <c r="E1871" s="3">
        <f>IF(ORIG!E1871=0,"",ORIG!E1871)</f>
        <v/>
      </c>
      <c r="F1871" s="3">
        <f>IF(ORIG!F1871=0,"",ORIG!F1871)</f>
        <v/>
      </c>
      <c r="G1871" s="3">
        <f>IF(ORIG!G1871=0,"",ORIG!G1871)</f>
        <v/>
      </c>
      <c r="H1871" s="3">
        <f>IF(ORIG!H1871=0,"",ORIG!H1871)</f>
        <v/>
      </c>
      <c r="I1871" s="3">
        <f>IF(ORIG!I1871=0,"",ORIG!I1871)</f>
        <v/>
      </c>
      <c r="J1871" s="3">
        <f>IF(ORIG!J1871=0,"",ORIG!J1871)</f>
        <v/>
      </c>
      <c r="K1871" s="3">
        <f>IF(ORIG!K1871=0,"",ORIG!K1871)</f>
        <v/>
      </c>
      <c r="L1871" s="3">
        <f>IF(ORIG!L1871=0,"",ORIG!L1871)</f>
        <v/>
      </c>
      <c r="M1871" s="3">
        <f>IF(ORIG!M1871=0,"",ORIG!M1871)</f>
        <v/>
      </c>
      <c r="N1871" s="3">
        <f>IF(ORIG!N1871=0,"",ORIG!N1871)</f>
        <v/>
      </c>
      <c r="O1871" s="3">
        <f>IF(ORIG!O1871=0,"",ORIG!O1871)</f>
        <v/>
      </c>
      <c r="P1871" s="3">
        <f>IF(ORIG!P1871=0,"",ORIG!P1871)</f>
        <v/>
      </c>
      <c r="Q1871" s="3">
        <f>IF(ORIG!Q1871=0,"",ORIG!Q1871)</f>
        <v/>
      </c>
      <c r="R1871" s="3">
        <f>IF(ORIG!R1871=0,"",ORIG!R1871)</f>
        <v/>
      </c>
      <c r="S1871" s="3">
        <f>IF(ORIG!S1871=0,"",ORIG!S1871)</f>
        <v/>
      </c>
      <c r="T1871" s="3">
        <f>IF(ORIG!T1871=0,"",ORIG!T1871)</f>
        <v/>
      </c>
      <c r="U1871" s="3">
        <f>IF(ORIG!U1871=0,"",ORIG!U1871)</f>
        <v/>
      </c>
      <c r="V1871" s="9">
        <f>IF(ORIG!V1871=0,"",ORIG!V1871)</f>
        <v/>
      </c>
      <c r="W1871" s="9">
        <f>IF(ORIG!W1871=0,"",ORIG!W1871)</f>
        <v/>
      </c>
      <c r="X1871" s="9">
        <f>IF(ORIG!X1871=0,"",ORIG!X1871)</f>
        <v/>
      </c>
      <c r="Y1871" s="9">
        <f>IF(ORIG!Y1871=0,"",ORIG!Y1871)</f>
        <v/>
      </c>
      <c r="Z1871" s="3">
        <f>SUMPRODUCT($B1871:$Y1871,$B$2649:$Y$2649)</f>
        <v/>
      </c>
      <c r="AA1871" s="3">
        <f>SUMPRODUCT($B1871:$Y1871,$B$2655:$Y$2655)</f>
        <v/>
      </c>
      <c r="AC1871" s="1">
        <f>A1871</f>
        <v/>
      </c>
      <c r="AD1871">
        <f>IF(ISNUMBER(V1871),V1871*($AB$1/V$2635),"")</f>
        <v/>
      </c>
      <c r="AE1871">
        <f>IF(ISNUMBER(Z1871),Z1871*($AB$1/Z$2635),"")</f>
        <v/>
      </c>
      <c r="AF1871" s="25">
        <f>IF(ISNUMBER(AD1871+AE1871),AD1871+AE1871,"")</f>
        <v/>
      </c>
      <c r="AH1871" s="1">
        <f>A1871</f>
        <v/>
      </c>
      <c r="AI1871">
        <f>IF(ISNUMBER((1+V1871)*AI1870),(1+V1871)*AI1870,AI1870)</f>
        <v/>
      </c>
      <c r="AJ1871">
        <f>IF(ISNUMBER((1+Z1871)*AJ1870),(1+Z1871)*AJ1870,AJ1870)</f>
        <v/>
      </c>
    </row>
    <row r="1872">
      <c r="A1872" s="1" t="n">
        <v>44718</v>
      </c>
      <c r="B1872" s="3">
        <f>IF(ORIG!B1872=0,"",ORIG!B1872)</f>
        <v/>
      </c>
      <c r="C1872" s="3">
        <f>IF(ORIG!C1872=0,"",ORIG!C1872)</f>
        <v/>
      </c>
      <c r="D1872" s="3">
        <f>IF(ORIG!D1872=0,"",ORIG!D1872)</f>
        <v/>
      </c>
      <c r="E1872" s="3">
        <f>IF(ORIG!E1872=0,"",ORIG!E1872)</f>
        <v/>
      </c>
      <c r="F1872" s="3">
        <f>IF(ORIG!F1872=0,"",ORIG!F1872)</f>
        <v/>
      </c>
      <c r="G1872" s="3">
        <f>IF(ORIG!G1872=0,"",ORIG!G1872)</f>
        <v/>
      </c>
      <c r="H1872" s="3">
        <f>IF(ORIG!H1872=0,"",ORIG!H1872)</f>
        <v/>
      </c>
      <c r="I1872" s="3">
        <f>IF(ORIG!I1872=0,"",ORIG!I1872)</f>
        <v/>
      </c>
      <c r="J1872" s="3">
        <f>IF(ORIG!J1872=0,"",ORIG!J1872)</f>
        <v/>
      </c>
      <c r="K1872" s="3">
        <f>IF(ORIG!K1872=0,"",ORIG!K1872)</f>
        <v/>
      </c>
      <c r="L1872" s="3">
        <f>IF(ORIG!L1872=0,"",ORIG!L1872)</f>
        <v/>
      </c>
      <c r="M1872" s="3">
        <f>IF(ORIG!M1872=0,"",ORIG!M1872)</f>
        <v/>
      </c>
      <c r="N1872" s="3">
        <f>IF(ORIG!N1872=0,"",ORIG!N1872)</f>
        <v/>
      </c>
      <c r="O1872" s="3">
        <f>IF(ORIG!O1872=0,"",ORIG!O1872)</f>
        <v/>
      </c>
      <c r="P1872" s="3">
        <f>IF(ORIG!P1872=0,"",ORIG!P1872)</f>
        <v/>
      </c>
      <c r="Q1872" s="3">
        <f>IF(ORIG!Q1872=0,"",ORIG!Q1872)</f>
        <v/>
      </c>
      <c r="R1872" s="3">
        <f>IF(ORIG!R1872=0,"",ORIG!R1872)</f>
        <v/>
      </c>
      <c r="S1872" s="3">
        <f>IF(ORIG!S1872=0,"",ORIG!S1872)</f>
        <v/>
      </c>
      <c r="T1872" s="3">
        <f>IF(ORIG!T1872=0,"",ORIG!T1872)</f>
        <v/>
      </c>
      <c r="U1872" s="3">
        <f>IF(ORIG!U1872=0,"",ORIG!U1872)</f>
        <v/>
      </c>
      <c r="V1872" s="9">
        <f>IF(ORIG!V1872=0,"",ORIG!V1872)</f>
        <v/>
      </c>
      <c r="W1872" s="9">
        <f>IF(ORIG!W1872=0,"",ORIG!W1872)</f>
        <v/>
      </c>
      <c r="X1872" s="9">
        <f>IF(ORIG!X1872=0,"",ORIG!X1872)</f>
        <v/>
      </c>
      <c r="Y1872" s="9">
        <f>IF(ORIG!Y1872=0,"",ORIG!Y1872)</f>
        <v/>
      </c>
      <c r="Z1872" s="3">
        <f>SUMPRODUCT($B1872:$Y1872,$B$2649:$Y$2649)</f>
        <v/>
      </c>
      <c r="AA1872" s="3">
        <f>SUMPRODUCT($B1872:$Y1872,$B$2655:$Y$2655)</f>
        <v/>
      </c>
      <c r="AC1872" s="1">
        <f>A1872</f>
        <v/>
      </c>
      <c r="AD1872">
        <f>IF(ISNUMBER(V1872),V1872*($AB$1/V$2635),"")</f>
        <v/>
      </c>
      <c r="AE1872">
        <f>IF(ISNUMBER(Z1872),Z1872*($AB$1/Z$2635),"")</f>
        <v/>
      </c>
      <c r="AF1872" s="25">
        <f>IF(ISNUMBER(AD1872+AE1872),AD1872+AE1872,"")</f>
        <v/>
      </c>
      <c r="AH1872" s="1">
        <f>A1872</f>
        <v/>
      </c>
      <c r="AI1872">
        <f>IF(ISNUMBER((1+V1872)*AI1871),(1+V1872)*AI1871,AI1871)</f>
        <v/>
      </c>
      <c r="AJ1872">
        <f>IF(ISNUMBER((1+Z1872)*AJ1871),(1+Z1872)*AJ1871,AJ1871)</f>
        <v/>
      </c>
    </row>
    <row r="1873">
      <c r="A1873" s="1" t="n">
        <v>44719</v>
      </c>
      <c r="B1873" s="3">
        <f>IF(ORIG!B1873=0,"",ORIG!B1873)</f>
        <v/>
      </c>
      <c r="C1873" s="3">
        <f>IF(ORIG!C1873=0,"",ORIG!C1873)</f>
        <v/>
      </c>
      <c r="D1873" s="3">
        <f>IF(ORIG!D1873=0,"",ORIG!D1873)</f>
        <v/>
      </c>
      <c r="E1873" s="3">
        <f>IF(ORIG!E1873=0,"",ORIG!E1873)</f>
        <v/>
      </c>
      <c r="F1873" s="3">
        <f>IF(ORIG!F1873=0,"",ORIG!F1873)</f>
        <v/>
      </c>
      <c r="G1873" s="3">
        <f>IF(ORIG!G1873=0,"",ORIG!G1873)</f>
        <v/>
      </c>
      <c r="H1873" s="3">
        <f>IF(ORIG!H1873=0,"",ORIG!H1873)</f>
        <v/>
      </c>
      <c r="I1873" s="3">
        <f>IF(ORIG!I1873=0,"",ORIG!I1873)</f>
        <v/>
      </c>
      <c r="J1873" s="3">
        <f>IF(ORIG!J1873=0,"",ORIG!J1873)</f>
        <v/>
      </c>
      <c r="K1873" s="3">
        <f>IF(ORIG!K1873=0,"",ORIG!K1873)</f>
        <v/>
      </c>
      <c r="L1873" s="3">
        <f>IF(ORIG!L1873=0,"",ORIG!L1873)</f>
        <v/>
      </c>
      <c r="M1873" s="3">
        <f>IF(ORIG!M1873=0,"",ORIG!M1873)</f>
        <v/>
      </c>
      <c r="N1873" s="3">
        <f>IF(ORIG!N1873=0,"",ORIG!N1873)</f>
        <v/>
      </c>
      <c r="O1873" s="3">
        <f>IF(ORIG!O1873=0,"",ORIG!O1873)</f>
        <v/>
      </c>
      <c r="P1873" s="3">
        <f>IF(ORIG!P1873=0,"",ORIG!P1873)</f>
        <v/>
      </c>
      <c r="Q1873" s="3">
        <f>IF(ORIG!Q1873=0,"",ORIG!Q1873)</f>
        <v/>
      </c>
      <c r="R1873" s="3">
        <f>IF(ORIG!R1873=0,"",ORIG!R1873)</f>
        <v/>
      </c>
      <c r="S1873" s="3">
        <f>IF(ORIG!S1873=0,"",ORIG!S1873)</f>
        <v/>
      </c>
      <c r="T1873" s="3">
        <f>IF(ORIG!T1873=0,"",ORIG!T1873)</f>
        <v/>
      </c>
      <c r="U1873" s="3">
        <f>IF(ORIG!U1873=0,"",ORIG!U1873)</f>
        <v/>
      </c>
      <c r="V1873" s="9">
        <f>IF(ORIG!V1873=0,"",ORIG!V1873)</f>
        <v/>
      </c>
      <c r="W1873" s="9">
        <f>IF(ORIG!W1873=0,"",ORIG!W1873)</f>
        <v/>
      </c>
      <c r="X1873" s="9">
        <f>IF(ORIG!X1873=0,"",ORIG!X1873)</f>
        <v/>
      </c>
      <c r="Y1873" s="9">
        <f>IF(ORIG!Y1873=0,"",ORIG!Y1873)</f>
        <v/>
      </c>
      <c r="Z1873" s="3">
        <f>SUMPRODUCT($B1873:$Y1873,$B$2649:$Y$2649)</f>
        <v/>
      </c>
      <c r="AA1873" s="3">
        <f>SUMPRODUCT($B1873:$Y1873,$B$2655:$Y$2655)</f>
        <v/>
      </c>
      <c r="AC1873" s="1">
        <f>A1873</f>
        <v/>
      </c>
      <c r="AD1873">
        <f>IF(ISNUMBER(V1873),V1873*($AB$1/V$2635),"")</f>
        <v/>
      </c>
      <c r="AE1873">
        <f>IF(ISNUMBER(Z1873),Z1873*($AB$1/Z$2635),"")</f>
        <v/>
      </c>
      <c r="AF1873" s="25">
        <f>IF(ISNUMBER(AD1873+AE1873),AD1873+AE1873,"")</f>
        <v/>
      </c>
      <c r="AH1873" s="1">
        <f>A1873</f>
        <v/>
      </c>
      <c r="AI1873">
        <f>IF(ISNUMBER((1+V1873)*AI1872),(1+V1873)*AI1872,AI1872)</f>
        <v/>
      </c>
      <c r="AJ1873">
        <f>IF(ISNUMBER((1+Z1873)*AJ1872),(1+Z1873)*AJ1872,AJ1872)</f>
        <v/>
      </c>
    </row>
    <row r="1874">
      <c r="A1874" s="1" t="n">
        <v>44720</v>
      </c>
      <c r="B1874" s="3">
        <f>IF(ORIG!B1874=0,"",ORIG!B1874)</f>
        <v/>
      </c>
      <c r="C1874" s="3">
        <f>IF(ORIG!C1874=0,"",ORIG!C1874)</f>
        <v/>
      </c>
      <c r="D1874" s="3">
        <f>IF(ORIG!D1874=0,"",ORIG!D1874)</f>
        <v/>
      </c>
      <c r="E1874" s="3">
        <f>IF(ORIG!E1874=0,"",ORIG!E1874)</f>
        <v/>
      </c>
      <c r="F1874" s="3">
        <f>IF(ORIG!F1874=0,"",ORIG!F1874)</f>
        <v/>
      </c>
      <c r="G1874" s="3">
        <f>IF(ORIG!G1874=0,"",ORIG!G1874)</f>
        <v/>
      </c>
      <c r="H1874" s="3">
        <f>IF(ORIG!H1874=0,"",ORIG!H1874)</f>
        <v/>
      </c>
      <c r="I1874" s="3">
        <f>IF(ORIG!I1874=0,"",ORIG!I1874)</f>
        <v/>
      </c>
      <c r="J1874" s="3">
        <f>IF(ORIG!J1874=0,"",ORIG!J1874)</f>
        <v/>
      </c>
      <c r="K1874" s="3">
        <f>IF(ORIG!K1874=0,"",ORIG!K1874)</f>
        <v/>
      </c>
      <c r="L1874" s="3">
        <f>IF(ORIG!L1874=0,"",ORIG!L1874)</f>
        <v/>
      </c>
      <c r="M1874" s="3">
        <f>IF(ORIG!M1874=0,"",ORIG!M1874)</f>
        <v/>
      </c>
      <c r="N1874" s="3">
        <f>IF(ORIG!N1874=0,"",ORIG!N1874)</f>
        <v/>
      </c>
      <c r="O1874" s="3">
        <f>IF(ORIG!O1874=0,"",ORIG!O1874)</f>
        <v/>
      </c>
      <c r="P1874" s="3">
        <f>IF(ORIG!P1874=0,"",ORIG!P1874)</f>
        <v/>
      </c>
      <c r="Q1874" s="3">
        <f>IF(ORIG!Q1874=0,"",ORIG!Q1874)</f>
        <v/>
      </c>
      <c r="R1874" s="3">
        <f>IF(ORIG!R1874=0,"",ORIG!R1874)</f>
        <v/>
      </c>
      <c r="S1874" s="3">
        <f>IF(ORIG!S1874=0,"",ORIG!S1874)</f>
        <v/>
      </c>
      <c r="T1874" s="3">
        <f>IF(ORIG!T1874=0,"",ORIG!T1874)</f>
        <v/>
      </c>
      <c r="U1874" s="3">
        <f>IF(ORIG!U1874=0,"",ORIG!U1874)</f>
        <v/>
      </c>
      <c r="V1874" s="9">
        <f>IF(ORIG!V1874=0,"",ORIG!V1874)</f>
        <v/>
      </c>
      <c r="W1874" s="9">
        <f>IF(ORIG!W1874=0,"",ORIG!W1874)</f>
        <v/>
      </c>
      <c r="X1874" s="9">
        <f>IF(ORIG!X1874=0,"",ORIG!X1874)</f>
        <v/>
      </c>
      <c r="Y1874" s="9">
        <f>IF(ORIG!Y1874=0,"",ORIG!Y1874)</f>
        <v/>
      </c>
      <c r="Z1874" s="3">
        <f>SUMPRODUCT($B1874:$Y1874,$B$2649:$Y$2649)</f>
        <v/>
      </c>
      <c r="AA1874" s="3">
        <f>SUMPRODUCT($B1874:$Y1874,$B$2655:$Y$2655)</f>
        <v/>
      </c>
      <c r="AC1874" s="1">
        <f>A1874</f>
        <v/>
      </c>
      <c r="AD1874">
        <f>IF(ISNUMBER(V1874),V1874*($AB$1/V$2635),"")</f>
        <v/>
      </c>
      <c r="AE1874">
        <f>IF(ISNUMBER(Z1874),Z1874*($AB$1/Z$2635),"")</f>
        <v/>
      </c>
      <c r="AF1874" s="25">
        <f>IF(ISNUMBER(AD1874+AE1874),AD1874+AE1874,"")</f>
        <v/>
      </c>
      <c r="AH1874" s="1">
        <f>A1874</f>
        <v/>
      </c>
      <c r="AI1874">
        <f>IF(ISNUMBER((1+V1874)*AI1873),(1+V1874)*AI1873,AI1873)</f>
        <v/>
      </c>
      <c r="AJ1874">
        <f>IF(ISNUMBER((1+Z1874)*AJ1873),(1+Z1874)*AJ1873,AJ1873)</f>
        <v/>
      </c>
    </row>
    <row r="1875">
      <c r="A1875" s="1" t="n">
        <v>44721</v>
      </c>
      <c r="B1875" s="3">
        <f>IF(ORIG!B1875=0,"",ORIG!B1875)</f>
        <v/>
      </c>
      <c r="C1875" s="3">
        <f>IF(ORIG!C1875=0,"",ORIG!C1875)</f>
        <v/>
      </c>
      <c r="D1875" s="3">
        <f>IF(ORIG!D1875=0,"",ORIG!D1875)</f>
        <v/>
      </c>
      <c r="E1875" s="3">
        <f>IF(ORIG!E1875=0,"",ORIG!E1875)</f>
        <v/>
      </c>
      <c r="F1875" s="3">
        <f>IF(ORIG!F1875=0,"",ORIG!F1875)</f>
        <v/>
      </c>
      <c r="G1875" s="3">
        <f>IF(ORIG!G1875=0,"",ORIG!G1875)</f>
        <v/>
      </c>
      <c r="H1875" s="3">
        <f>IF(ORIG!H1875=0,"",ORIG!H1875)</f>
        <v/>
      </c>
      <c r="I1875" s="3">
        <f>IF(ORIG!I1875=0,"",ORIG!I1875)</f>
        <v/>
      </c>
      <c r="J1875" s="3">
        <f>IF(ORIG!J1875=0,"",ORIG!J1875)</f>
        <v/>
      </c>
      <c r="K1875" s="3">
        <f>IF(ORIG!K1875=0,"",ORIG!K1875)</f>
        <v/>
      </c>
      <c r="L1875" s="3">
        <f>IF(ORIG!L1875=0,"",ORIG!L1875)</f>
        <v/>
      </c>
      <c r="M1875" s="3">
        <f>IF(ORIG!M1875=0,"",ORIG!M1875)</f>
        <v/>
      </c>
      <c r="N1875" s="3">
        <f>IF(ORIG!N1875=0,"",ORIG!N1875)</f>
        <v/>
      </c>
      <c r="O1875" s="3">
        <f>IF(ORIG!O1875=0,"",ORIG!O1875)</f>
        <v/>
      </c>
      <c r="P1875" s="3">
        <f>IF(ORIG!P1875=0,"",ORIG!P1875)</f>
        <v/>
      </c>
      <c r="Q1875" s="3">
        <f>IF(ORIG!Q1875=0,"",ORIG!Q1875)</f>
        <v/>
      </c>
      <c r="R1875" s="3">
        <f>IF(ORIG!R1875=0,"",ORIG!R1875)</f>
        <v/>
      </c>
      <c r="S1875" s="3">
        <f>IF(ORIG!S1875=0,"",ORIG!S1875)</f>
        <v/>
      </c>
      <c r="T1875" s="3">
        <f>IF(ORIG!T1875=0,"",ORIG!T1875)</f>
        <v/>
      </c>
      <c r="U1875" s="3">
        <f>IF(ORIG!U1875=0,"",ORIG!U1875)</f>
        <v/>
      </c>
      <c r="V1875" s="9">
        <f>IF(ORIG!V1875=0,"",ORIG!V1875)</f>
        <v/>
      </c>
      <c r="W1875" s="9">
        <f>IF(ORIG!W1875=0,"",ORIG!W1875)</f>
        <v/>
      </c>
      <c r="X1875" s="9">
        <f>IF(ORIG!X1875=0,"",ORIG!X1875)</f>
        <v/>
      </c>
      <c r="Y1875" s="9">
        <f>IF(ORIG!Y1875=0,"",ORIG!Y1875)</f>
        <v/>
      </c>
      <c r="Z1875" s="3">
        <f>SUMPRODUCT($B1875:$Y1875,$B$2649:$Y$2649)</f>
        <v/>
      </c>
      <c r="AA1875" s="3">
        <f>SUMPRODUCT($B1875:$Y1875,$B$2655:$Y$2655)</f>
        <v/>
      </c>
      <c r="AC1875" s="1">
        <f>A1875</f>
        <v/>
      </c>
      <c r="AD1875">
        <f>IF(ISNUMBER(V1875),V1875*($AB$1/V$2635),"")</f>
        <v/>
      </c>
      <c r="AE1875">
        <f>IF(ISNUMBER(Z1875),Z1875*($AB$1/Z$2635),"")</f>
        <v/>
      </c>
      <c r="AF1875" s="25">
        <f>IF(ISNUMBER(AD1875+AE1875),AD1875+AE1875,"")</f>
        <v/>
      </c>
      <c r="AH1875" s="1">
        <f>A1875</f>
        <v/>
      </c>
      <c r="AI1875">
        <f>IF(ISNUMBER((1+V1875)*AI1874),(1+V1875)*AI1874,AI1874)</f>
        <v/>
      </c>
      <c r="AJ1875">
        <f>IF(ISNUMBER((1+Z1875)*AJ1874),(1+Z1875)*AJ1874,AJ1874)</f>
        <v/>
      </c>
    </row>
    <row r="1876">
      <c r="A1876" s="1" t="n">
        <v>44722</v>
      </c>
      <c r="B1876" s="3">
        <f>IF(ORIG!B1876=0,"",ORIG!B1876)</f>
        <v/>
      </c>
      <c r="C1876" s="3">
        <f>IF(ORIG!C1876=0,"",ORIG!C1876)</f>
        <v/>
      </c>
      <c r="D1876" s="3">
        <f>IF(ORIG!D1876=0,"",ORIG!D1876)</f>
        <v/>
      </c>
      <c r="E1876" s="3">
        <f>IF(ORIG!E1876=0,"",ORIG!E1876)</f>
        <v/>
      </c>
      <c r="F1876" s="3">
        <f>IF(ORIG!F1876=0,"",ORIG!F1876)</f>
        <v/>
      </c>
      <c r="G1876" s="3">
        <f>IF(ORIG!G1876=0,"",ORIG!G1876)</f>
        <v/>
      </c>
      <c r="H1876" s="3">
        <f>IF(ORIG!H1876=0,"",ORIG!H1876)</f>
        <v/>
      </c>
      <c r="I1876" s="3">
        <f>IF(ORIG!I1876=0,"",ORIG!I1876)</f>
        <v/>
      </c>
      <c r="J1876" s="3">
        <f>IF(ORIG!J1876=0,"",ORIG!J1876)</f>
        <v/>
      </c>
      <c r="K1876" s="3">
        <f>IF(ORIG!K1876=0,"",ORIG!K1876)</f>
        <v/>
      </c>
      <c r="L1876" s="3">
        <f>IF(ORIG!L1876=0,"",ORIG!L1876)</f>
        <v/>
      </c>
      <c r="M1876" s="3">
        <f>IF(ORIG!M1876=0,"",ORIG!M1876)</f>
        <v/>
      </c>
      <c r="N1876" s="3">
        <f>IF(ORIG!N1876=0,"",ORIG!N1876)</f>
        <v/>
      </c>
      <c r="O1876" s="3">
        <f>IF(ORIG!O1876=0,"",ORIG!O1876)</f>
        <v/>
      </c>
      <c r="P1876" s="3">
        <f>IF(ORIG!P1876=0,"",ORIG!P1876)</f>
        <v/>
      </c>
      <c r="Q1876" s="3">
        <f>IF(ORIG!Q1876=0,"",ORIG!Q1876)</f>
        <v/>
      </c>
      <c r="R1876" s="3">
        <f>IF(ORIG!R1876=0,"",ORIG!R1876)</f>
        <v/>
      </c>
      <c r="S1876" s="3">
        <f>IF(ORIG!S1876=0,"",ORIG!S1876)</f>
        <v/>
      </c>
      <c r="T1876" s="3">
        <f>IF(ORIG!T1876=0,"",ORIG!T1876)</f>
        <v/>
      </c>
      <c r="U1876" s="3">
        <f>IF(ORIG!U1876=0,"",ORIG!U1876)</f>
        <v/>
      </c>
      <c r="V1876" s="9">
        <f>IF(ORIG!V1876=0,"",ORIG!V1876)</f>
        <v/>
      </c>
      <c r="W1876" s="9">
        <f>IF(ORIG!W1876=0,"",ORIG!W1876)</f>
        <v/>
      </c>
      <c r="X1876" s="9">
        <f>IF(ORIG!X1876=0,"",ORIG!X1876)</f>
        <v/>
      </c>
      <c r="Y1876" s="9">
        <f>IF(ORIG!Y1876=0,"",ORIG!Y1876)</f>
        <v/>
      </c>
      <c r="Z1876" s="3">
        <f>SUMPRODUCT($B1876:$Y1876,$B$2649:$Y$2649)</f>
        <v/>
      </c>
      <c r="AA1876" s="3">
        <f>SUMPRODUCT($B1876:$Y1876,$B$2655:$Y$2655)</f>
        <v/>
      </c>
      <c r="AC1876" s="1">
        <f>A1876</f>
        <v/>
      </c>
      <c r="AD1876">
        <f>IF(ISNUMBER(V1876),V1876*($AB$1/V$2635),"")</f>
        <v/>
      </c>
      <c r="AE1876">
        <f>IF(ISNUMBER(Z1876),Z1876*($AB$1/Z$2635),"")</f>
        <v/>
      </c>
      <c r="AF1876" s="25">
        <f>IF(ISNUMBER(AD1876+AE1876),AD1876+AE1876,"")</f>
        <v/>
      </c>
      <c r="AH1876" s="1">
        <f>A1876</f>
        <v/>
      </c>
      <c r="AI1876">
        <f>IF(ISNUMBER((1+V1876)*AI1875),(1+V1876)*AI1875,AI1875)</f>
        <v/>
      </c>
      <c r="AJ1876">
        <f>IF(ISNUMBER((1+Z1876)*AJ1875),(1+Z1876)*AJ1875,AJ1875)</f>
        <v/>
      </c>
    </row>
    <row r="1877">
      <c r="A1877" s="1" t="n">
        <v>44725</v>
      </c>
      <c r="B1877" s="3">
        <f>IF(ORIG!B1877=0,"",ORIG!B1877)</f>
        <v/>
      </c>
      <c r="C1877" s="3">
        <f>IF(ORIG!C1877=0,"",ORIG!C1877)</f>
        <v/>
      </c>
      <c r="D1877" s="3">
        <f>IF(ORIG!D1877=0,"",ORIG!D1877)</f>
        <v/>
      </c>
      <c r="E1877" s="3">
        <f>IF(ORIG!E1877=0,"",ORIG!E1877)</f>
        <v/>
      </c>
      <c r="F1877" s="3">
        <f>IF(ORIG!F1877=0,"",ORIG!F1877)</f>
        <v/>
      </c>
      <c r="G1877" s="3">
        <f>IF(ORIG!G1877=0,"",ORIG!G1877)</f>
        <v/>
      </c>
      <c r="H1877" s="3">
        <f>IF(ORIG!H1877=0,"",ORIG!H1877)</f>
        <v/>
      </c>
      <c r="I1877" s="3">
        <f>IF(ORIG!I1877=0,"",ORIG!I1877)</f>
        <v/>
      </c>
      <c r="J1877" s="3">
        <f>IF(ORIG!J1877=0,"",ORIG!J1877)</f>
        <v/>
      </c>
      <c r="K1877" s="3">
        <f>IF(ORIG!K1877=0,"",ORIG!K1877)</f>
        <v/>
      </c>
      <c r="L1877" s="3">
        <f>IF(ORIG!L1877=0,"",ORIG!L1877)</f>
        <v/>
      </c>
      <c r="M1877" s="3">
        <f>IF(ORIG!M1877=0,"",ORIG!M1877)</f>
        <v/>
      </c>
      <c r="N1877" s="3">
        <f>IF(ORIG!N1877=0,"",ORIG!N1877)</f>
        <v/>
      </c>
      <c r="O1877" s="3">
        <f>IF(ORIG!O1877=0,"",ORIG!O1877)</f>
        <v/>
      </c>
      <c r="P1877" s="3">
        <f>IF(ORIG!P1877=0,"",ORIG!P1877)</f>
        <v/>
      </c>
      <c r="Q1877" s="3">
        <f>IF(ORIG!Q1877=0,"",ORIG!Q1877)</f>
        <v/>
      </c>
      <c r="R1877" s="3">
        <f>IF(ORIG!R1877=0,"",ORIG!R1877)</f>
        <v/>
      </c>
      <c r="S1877" s="3">
        <f>IF(ORIG!S1877=0,"",ORIG!S1877)</f>
        <v/>
      </c>
      <c r="T1877" s="3">
        <f>IF(ORIG!T1877=0,"",ORIG!T1877)</f>
        <v/>
      </c>
      <c r="U1877" s="3">
        <f>IF(ORIG!U1877=0,"",ORIG!U1877)</f>
        <v/>
      </c>
      <c r="V1877" s="9">
        <f>IF(ORIG!V1877=0,"",ORIG!V1877)</f>
        <v/>
      </c>
      <c r="W1877" s="9">
        <f>IF(ORIG!W1877=0,"",ORIG!W1877)</f>
        <v/>
      </c>
      <c r="X1877" s="9">
        <f>IF(ORIG!X1877=0,"",ORIG!X1877)</f>
        <v/>
      </c>
      <c r="Y1877" s="9">
        <f>IF(ORIG!Y1877=0,"",ORIG!Y1877)</f>
        <v/>
      </c>
      <c r="Z1877" s="3">
        <f>SUMPRODUCT($B1877:$Y1877,$B$2649:$Y$2649)</f>
        <v/>
      </c>
      <c r="AA1877" s="3">
        <f>SUMPRODUCT($B1877:$Y1877,$B$2655:$Y$2655)</f>
        <v/>
      </c>
      <c r="AC1877" s="1">
        <f>A1877</f>
        <v/>
      </c>
      <c r="AD1877">
        <f>IF(ISNUMBER(V1877),V1877*($AB$1/V$2635),"")</f>
        <v/>
      </c>
      <c r="AE1877">
        <f>IF(ISNUMBER(Z1877),Z1877*($AB$1/Z$2635),"")</f>
        <v/>
      </c>
      <c r="AF1877" s="25">
        <f>IF(ISNUMBER(AD1877+AE1877),AD1877+AE1877,"")</f>
        <v/>
      </c>
      <c r="AH1877" s="1">
        <f>A1877</f>
        <v/>
      </c>
      <c r="AI1877">
        <f>IF(ISNUMBER((1+V1877)*AI1876),(1+V1877)*AI1876,AI1876)</f>
        <v/>
      </c>
      <c r="AJ1877">
        <f>IF(ISNUMBER((1+Z1877)*AJ1876),(1+Z1877)*AJ1876,AJ1876)</f>
        <v/>
      </c>
    </row>
    <row r="1878">
      <c r="A1878" s="1" t="n">
        <v>44726</v>
      </c>
      <c r="B1878" s="3">
        <f>IF(ORIG!B1878=0,"",ORIG!B1878)</f>
        <v/>
      </c>
      <c r="C1878" s="3">
        <f>IF(ORIG!C1878=0,"",ORIG!C1878)</f>
        <v/>
      </c>
      <c r="D1878" s="3">
        <f>IF(ORIG!D1878=0,"",ORIG!D1878)</f>
        <v/>
      </c>
      <c r="E1878" s="3">
        <f>IF(ORIG!E1878=0,"",ORIG!E1878)</f>
        <v/>
      </c>
      <c r="F1878" s="3">
        <f>IF(ORIG!F1878=0,"",ORIG!F1878)</f>
        <v/>
      </c>
      <c r="G1878" s="3">
        <f>IF(ORIG!G1878=0,"",ORIG!G1878)</f>
        <v/>
      </c>
      <c r="H1878" s="3">
        <f>IF(ORIG!H1878=0,"",ORIG!H1878)</f>
        <v/>
      </c>
      <c r="I1878" s="3">
        <f>IF(ORIG!I1878=0,"",ORIG!I1878)</f>
        <v/>
      </c>
      <c r="J1878" s="3">
        <f>IF(ORIG!J1878=0,"",ORIG!J1878)</f>
        <v/>
      </c>
      <c r="K1878" s="3">
        <f>IF(ORIG!K1878=0,"",ORIG!K1878)</f>
        <v/>
      </c>
      <c r="L1878" s="3">
        <f>IF(ORIG!L1878=0,"",ORIG!L1878)</f>
        <v/>
      </c>
      <c r="M1878" s="3">
        <f>IF(ORIG!M1878=0,"",ORIG!M1878)</f>
        <v/>
      </c>
      <c r="N1878" s="3">
        <f>IF(ORIG!N1878=0,"",ORIG!N1878)</f>
        <v/>
      </c>
      <c r="O1878" s="3">
        <f>IF(ORIG!O1878=0,"",ORIG!O1878)</f>
        <v/>
      </c>
      <c r="P1878" s="3">
        <f>IF(ORIG!P1878=0,"",ORIG!P1878)</f>
        <v/>
      </c>
      <c r="Q1878" s="3">
        <f>IF(ORIG!Q1878=0,"",ORIG!Q1878)</f>
        <v/>
      </c>
      <c r="R1878" s="3">
        <f>IF(ORIG!R1878=0,"",ORIG!R1878)</f>
        <v/>
      </c>
      <c r="S1878" s="3">
        <f>IF(ORIG!S1878=0,"",ORIG!S1878)</f>
        <v/>
      </c>
      <c r="T1878" s="3">
        <f>IF(ORIG!T1878=0,"",ORIG!T1878)</f>
        <v/>
      </c>
      <c r="U1878" s="3">
        <f>IF(ORIG!U1878=0,"",ORIG!U1878)</f>
        <v/>
      </c>
      <c r="V1878" s="9">
        <f>IF(ORIG!V1878=0,"",ORIG!V1878)</f>
        <v/>
      </c>
      <c r="W1878" s="9">
        <f>IF(ORIG!W1878=0,"",ORIG!W1878)</f>
        <v/>
      </c>
      <c r="X1878" s="9">
        <f>IF(ORIG!X1878=0,"",ORIG!X1878)</f>
        <v/>
      </c>
      <c r="Y1878" s="9">
        <f>IF(ORIG!Y1878=0,"",ORIG!Y1878)</f>
        <v/>
      </c>
      <c r="Z1878" s="3">
        <f>SUMPRODUCT($B1878:$Y1878,$B$2649:$Y$2649)</f>
        <v/>
      </c>
      <c r="AA1878" s="3">
        <f>SUMPRODUCT($B1878:$Y1878,$B$2655:$Y$2655)</f>
        <v/>
      </c>
      <c r="AC1878" s="1">
        <f>A1878</f>
        <v/>
      </c>
      <c r="AD1878">
        <f>IF(ISNUMBER(V1878),V1878*($AB$1/V$2635),"")</f>
        <v/>
      </c>
      <c r="AE1878">
        <f>IF(ISNUMBER(Z1878),Z1878*($AB$1/Z$2635),"")</f>
        <v/>
      </c>
      <c r="AF1878" s="25">
        <f>IF(ISNUMBER(AD1878+AE1878),AD1878+AE1878,"")</f>
        <v/>
      </c>
      <c r="AH1878" s="1">
        <f>A1878</f>
        <v/>
      </c>
      <c r="AI1878">
        <f>IF(ISNUMBER((1+V1878)*AI1877),(1+V1878)*AI1877,AI1877)</f>
        <v/>
      </c>
      <c r="AJ1878">
        <f>IF(ISNUMBER((1+Z1878)*AJ1877),(1+Z1878)*AJ1877,AJ1877)</f>
        <v/>
      </c>
    </row>
    <row r="1879">
      <c r="A1879" s="1" t="n">
        <v>44727</v>
      </c>
      <c r="B1879" s="3">
        <f>IF(ORIG!B1879=0,"",ORIG!B1879)</f>
        <v/>
      </c>
      <c r="C1879" s="3">
        <f>IF(ORIG!C1879=0,"",ORIG!C1879)</f>
        <v/>
      </c>
      <c r="D1879" s="3">
        <f>IF(ORIG!D1879=0,"",ORIG!D1879)</f>
        <v/>
      </c>
      <c r="E1879" s="3">
        <f>IF(ORIG!E1879=0,"",ORIG!E1879)</f>
        <v/>
      </c>
      <c r="F1879" s="3">
        <f>IF(ORIG!F1879=0,"",ORIG!F1879)</f>
        <v/>
      </c>
      <c r="G1879" s="3">
        <f>IF(ORIG!G1879=0,"",ORIG!G1879)</f>
        <v/>
      </c>
      <c r="H1879" s="3">
        <f>IF(ORIG!H1879=0,"",ORIG!H1879)</f>
        <v/>
      </c>
      <c r="I1879" s="3">
        <f>IF(ORIG!I1879=0,"",ORIG!I1879)</f>
        <v/>
      </c>
      <c r="J1879" s="3">
        <f>IF(ORIG!J1879=0,"",ORIG!J1879)</f>
        <v/>
      </c>
      <c r="K1879" s="3">
        <f>IF(ORIG!K1879=0,"",ORIG!K1879)</f>
        <v/>
      </c>
      <c r="L1879" s="3">
        <f>IF(ORIG!L1879=0,"",ORIG!L1879)</f>
        <v/>
      </c>
      <c r="M1879" s="3">
        <f>IF(ORIG!M1879=0,"",ORIG!M1879)</f>
        <v/>
      </c>
      <c r="N1879" s="3">
        <f>IF(ORIG!N1879=0,"",ORIG!N1879)</f>
        <v/>
      </c>
      <c r="O1879" s="3">
        <f>IF(ORIG!O1879=0,"",ORIG!O1879)</f>
        <v/>
      </c>
      <c r="P1879" s="3">
        <f>IF(ORIG!P1879=0,"",ORIG!P1879)</f>
        <v/>
      </c>
      <c r="Q1879" s="3">
        <f>IF(ORIG!Q1879=0,"",ORIG!Q1879)</f>
        <v/>
      </c>
      <c r="R1879" s="3">
        <f>IF(ORIG!R1879=0,"",ORIG!R1879)</f>
        <v/>
      </c>
      <c r="S1879" s="3">
        <f>IF(ORIG!S1879=0,"",ORIG!S1879)</f>
        <v/>
      </c>
      <c r="T1879" s="3">
        <f>IF(ORIG!T1879=0,"",ORIG!T1879)</f>
        <v/>
      </c>
      <c r="U1879" s="3">
        <f>IF(ORIG!U1879=0,"",ORIG!U1879)</f>
        <v/>
      </c>
      <c r="V1879" s="9">
        <f>IF(ORIG!V1879=0,"",ORIG!V1879)</f>
        <v/>
      </c>
      <c r="W1879" s="9">
        <f>IF(ORIG!W1879=0,"",ORIG!W1879)</f>
        <v/>
      </c>
      <c r="X1879" s="9">
        <f>IF(ORIG!X1879=0,"",ORIG!X1879)</f>
        <v/>
      </c>
      <c r="Y1879" s="9">
        <f>IF(ORIG!Y1879=0,"",ORIG!Y1879)</f>
        <v/>
      </c>
      <c r="Z1879" s="3">
        <f>SUMPRODUCT($B1879:$Y1879,$B$2649:$Y$2649)</f>
        <v/>
      </c>
      <c r="AA1879" s="3">
        <f>SUMPRODUCT($B1879:$Y1879,$B$2655:$Y$2655)</f>
        <v/>
      </c>
      <c r="AC1879" s="1">
        <f>A1879</f>
        <v/>
      </c>
      <c r="AD1879">
        <f>IF(ISNUMBER(V1879),V1879*($AB$1/V$2635),"")</f>
        <v/>
      </c>
      <c r="AE1879">
        <f>IF(ISNUMBER(Z1879),Z1879*($AB$1/Z$2635),"")</f>
        <v/>
      </c>
      <c r="AF1879" s="25">
        <f>IF(ISNUMBER(AD1879+AE1879),AD1879+AE1879,"")</f>
        <v/>
      </c>
      <c r="AH1879" s="1">
        <f>A1879</f>
        <v/>
      </c>
      <c r="AI1879">
        <f>IF(ISNUMBER((1+V1879)*AI1878),(1+V1879)*AI1878,AI1878)</f>
        <v/>
      </c>
      <c r="AJ1879">
        <f>IF(ISNUMBER((1+Z1879)*AJ1878),(1+Z1879)*AJ1878,AJ1878)</f>
        <v/>
      </c>
    </row>
    <row r="1880">
      <c r="A1880" s="1" t="n">
        <v>44728</v>
      </c>
      <c r="B1880" s="3">
        <f>IF(ORIG!B1880=0,"",ORIG!B1880)</f>
        <v/>
      </c>
      <c r="C1880" s="3">
        <f>IF(ORIG!C1880=0,"",ORIG!C1880)</f>
        <v/>
      </c>
      <c r="D1880" s="3">
        <f>IF(ORIG!D1880=0,"",ORIG!D1880)</f>
        <v/>
      </c>
      <c r="E1880" s="3">
        <f>IF(ORIG!E1880=0,"",ORIG!E1880)</f>
        <v/>
      </c>
      <c r="F1880" s="3">
        <f>IF(ORIG!F1880=0,"",ORIG!F1880)</f>
        <v/>
      </c>
      <c r="G1880" s="3">
        <f>IF(ORIG!G1880=0,"",ORIG!G1880)</f>
        <v/>
      </c>
      <c r="H1880" s="3">
        <f>IF(ORIG!H1880=0,"",ORIG!H1880)</f>
        <v/>
      </c>
      <c r="I1880" s="3">
        <f>IF(ORIG!I1880=0,"",ORIG!I1880)</f>
        <v/>
      </c>
      <c r="J1880" s="3">
        <f>IF(ORIG!J1880=0,"",ORIG!J1880)</f>
        <v/>
      </c>
      <c r="K1880" s="3">
        <f>IF(ORIG!K1880=0,"",ORIG!K1880)</f>
        <v/>
      </c>
      <c r="L1880" s="3">
        <f>IF(ORIG!L1880=0,"",ORIG!L1880)</f>
        <v/>
      </c>
      <c r="M1880" s="3">
        <f>IF(ORIG!M1880=0,"",ORIG!M1880)</f>
        <v/>
      </c>
      <c r="N1880" s="3">
        <f>IF(ORIG!N1880=0,"",ORIG!N1880)</f>
        <v/>
      </c>
      <c r="O1880" s="3">
        <f>IF(ORIG!O1880=0,"",ORIG!O1880)</f>
        <v/>
      </c>
      <c r="P1880" s="3">
        <f>IF(ORIG!P1880=0,"",ORIG!P1880)</f>
        <v/>
      </c>
      <c r="Q1880" s="3">
        <f>IF(ORIG!Q1880=0,"",ORIG!Q1880)</f>
        <v/>
      </c>
      <c r="R1880" s="3">
        <f>IF(ORIG!R1880=0,"",ORIG!R1880)</f>
        <v/>
      </c>
      <c r="S1880" s="3">
        <f>IF(ORIG!S1880=0,"",ORIG!S1880)</f>
        <v/>
      </c>
      <c r="T1880" s="3">
        <f>IF(ORIG!T1880=0,"",ORIG!T1880)</f>
        <v/>
      </c>
      <c r="U1880" s="3">
        <f>IF(ORIG!U1880=0,"",ORIG!U1880)</f>
        <v/>
      </c>
      <c r="V1880" s="9">
        <f>IF(ORIG!V1880=0,"",ORIG!V1880)</f>
        <v/>
      </c>
      <c r="W1880" s="9">
        <f>IF(ORIG!W1880=0,"",ORIG!W1880)</f>
        <v/>
      </c>
      <c r="X1880" s="9">
        <f>IF(ORIG!X1880=0,"",ORIG!X1880)</f>
        <v/>
      </c>
      <c r="Y1880" s="9">
        <f>IF(ORIG!Y1880=0,"",ORIG!Y1880)</f>
        <v/>
      </c>
      <c r="Z1880" s="3">
        <f>SUMPRODUCT($B1880:$Y1880,$B$2649:$Y$2649)</f>
        <v/>
      </c>
      <c r="AA1880" s="3">
        <f>SUMPRODUCT($B1880:$Y1880,$B$2655:$Y$2655)</f>
        <v/>
      </c>
      <c r="AC1880" s="1">
        <f>A1880</f>
        <v/>
      </c>
      <c r="AD1880">
        <f>IF(ISNUMBER(V1880),V1880*($AB$1/V$2635),"")</f>
        <v/>
      </c>
      <c r="AE1880">
        <f>IF(ISNUMBER(Z1880),Z1880*($AB$1/Z$2635),"")</f>
        <v/>
      </c>
      <c r="AF1880" s="25">
        <f>IF(ISNUMBER(AD1880+AE1880),AD1880+AE1880,"")</f>
        <v/>
      </c>
      <c r="AH1880" s="1">
        <f>A1880</f>
        <v/>
      </c>
      <c r="AI1880">
        <f>IF(ISNUMBER((1+V1880)*AI1879),(1+V1880)*AI1879,AI1879)</f>
        <v/>
      </c>
      <c r="AJ1880">
        <f>IF(ISNUMBER((1+Z1880)*AJ1879),(1+Z1880)*AJ1879,AJ1879)</f>
        <v/>
      </c>
    </row>
    <row r="1881">
      <c r="A1881" s="1" t="n">
        <v>44729</v>
      </c>
      <c r="B1881" s="3">
        <f>IF(ORIG!B1881=0,"",ORIG!B1881)</f>
        <v/>
      </c>
      <c r="C1881" s="3">
        <f>IF(ORIG!C1881=0,"",ORIG!C1881)</f>
        <v/>
      </c>
      <c r="D1881" s="3">
        <f>IF(ORIG!D1881=0,"",ORIG!D1881)</f>
        <v/>
      </c>
      <c r="E1881" s="3">
        <f>IF(ORIG!E1881=0,"",ORIG!E1881)</f>
        <v/>
      </c>
      <c r="F1881" s="3">
        <f>IF(ORIG!F1881=0,"",ORIG!F1881)</f>
        <v/>
      </c>
      <c r="G1881" s="3">
        <f>IF(ORIG!G1881=0,"",ORIG!G1881)</f>
        <v/>
      </c>
      <c r="H1881" s="3">
        <f>IF(ORIG!H1881=0,"",ORIG!H1881)</f>
        <v/>
      </c>
      <c r="I1881" s="3">
        <f>IF(ORIG!I1881=0,"",ORIG!I1881)</f>
        <v/>
      </c>
      <c r="J1881" s="3">
        <f>IF(ORIG!J1881=0,"",ORIG!J1881)</f>
        <v/>
      </c>
      <c r="K1881" s="3">
        <f>IF(ORIG!K1881=0,"",ORIG!K1881)</f>
        <v/>
      </c>
      <c r="L1881" s="3">
        <f>IF(ORIG!L1881=0,"",ORIG!L1881)</f>
        <v/>
      </c>
      <c r="M1881" s="3">
        <f>IF(ORIG!M1881=0,"",ORIG!M1881)</f>
        <v/>
      </c>
      <c r="N1881" s="3">
        <f>IF(ORIG!N1881=0,"",ORIG!N1881)</f>
        <v/>
      </c>
      <c r="O1881" s="3">
        <f>IF(ORIG!O1881=0,"",ORIG!O1881)</f>
        <v/>
      </c>
      <c r="P1881" s="3">
        <f>IF(ORIG!P1881=0,"",ORIG!P1881)</f>
        <v/>
      </c>
      <c r="Q1881" s="3">
        <f>IF(ORIG!Q1881=0,"",ORIG!Q1881)</f>
        <v/>
      </c>
      <c r="R1881" s="3">
        <f>IF(ORIG!R1881=0,"",ORIG!R1881)</f>
        <v/>
      </c>
      <c r="S1881" s="3">
        <f>IF(ORIG!S1881=0,"",ORIG!S1881)</f>
        <v/>
      </c>
      <c r="T1881" s="3">
        <f>IF(ORIG!T1881=0,"",ORIG!T1881)</f>
        <v/>
      </c>
      <c r="U1881" s="3">
        <f>IF(ORIG!U1881=0,"",ORIG!U1881)</f>
        <v/>
      </c>
      <c r="V1881" s="9">
        <f>IF(ORIG!V1881=0,"",ORIG!V1881)</f>
        <v/>
      </c>
      <c r="W1881" s="9">
        <f>IF(ORIG!W1881=0,"",ORIG!W1881)</f>
        <v/>
      </c>
      <c r="X1881" s="9">
        <f>IF(ORIG!X1881=0,"",ORIG!X1881)</f>
        <v/>
      </c>
      <c r="Y1881" s="9">
        <f>IF(ORIG!Y1881=0,"",ORIG!Y1881)</f>
        <v/>
      </c>
      <c r="Z1881" s="3">
        <f>SUMPRODUCT($B1881:$Y1881,$B$2649:$Y$2649)</f>
        <v/>
      </c>
      <c r="AA1881" s="3">
        <f>SUMPRODUCT($B1881:$Y1881,$B$2655:$Y$2655)</f>
        <v/>
      </c>
      <c r="AC1881" s="1">
        <f>A1881</f>
        <v/>
      </c>
      <c r="AD1881">
        <f>IF(ISNUMBER(V1881),V1881*($AB$1/V$2635),"")</f>
        <v/>
      </c>
      <c r="AE1881">
        <f>IF(ISNUMBER(Z1881),Z1881*($AB$1/Z$2635),"")</f>
        <v/>
      </c>
      <c r="AF1881" s="25">
        <f>IF(ISNUMBER(AD1881+AE1881),AD1881+AE1881,"")</f>
        <v/>
      </c>
      <c r="AH1881" s="1">
        <f>A1881</f>
        <v/>
      </c>
      <c r="AI1881">
        <f>IF(ISNUMBER((1+V1881)*AI1880),(1+V1881)*AI1880,AI1880)</f>
        <v/>
      </c>
      <c r="AJ1881">
        <f>IF(ISNUMBER((1+Z1881)*AJ1880),(1+Z1881)*AJ1880,AJ1880)</f>
        <v/>
      </c>
    </row>
    <row r="1882">
      <c r="A1882" s="1" t="n">
        <v>44733</v>
      </c>
      <c r="B1882" s="3">
        <f>IF(ORIG!B1882=0,"",ORIG!B1882)</f>
        <v/>
      </c>
      <c r="C1882" s="3">
        <f>IF(ORIG!C1882=0,"",ORIG!C1882)</f>
        <v/>
      </c>
      <c r="D1882" s="3">
        <f>IF(ORIG!D1882=0,"",ORIG!D1882)</f>
        <v/>
      </c>
      <c r="E1882" s="3">
        <f>IF(ORIG!E1882=0,"",ORIG!E1882)</f>
        <v/>
      </c>
      <c r="F1882" s="3">
        <f>IF(ORIG!F1882=0,"",ORIG!F1882)</f>
        <v/>
      </c>
      <c r="G1882" s="3">
        <f>IF(ORIG!G1882=0,"",ORIG!G1882)</f>
        <v/>
      </c>
      <c r="H1882" s="3">
        <f>IF(ORIG!H1882=0,"",ORIG!H1882)</f>
        <v/>
      </c>
      <c r="I1882" s="3">
        <f>IF(ORIG!I1882=0,"",ORIG!I1882)</f>
        <v/>
      </c>
      <c r="J1882" s="3">
        <f>IF(ORIG!J1882=0,"",ORIG!J1882)</f>
        <v/>
      </c>
      <c r="K1882" s="3">
        <f>IF(ORIG!K1882=0,"",ORIG!K1882)</f>
        <v/>
      </c>
      <c r="L1882" s="3">
        <f>IF(ORIG!L1882=0,"",ORIG!L1882)</f>
        <v/>
      </c>
      <c r="M1882" s="3">
        <f>IF(ORIG!M1882=0,"",ORIG!M1882)</f>
        <v/>
      </c>
      <c r="N1882" s="3">
        <f>IF(ORIG!N1882=0,"",ORIG!N1882)</f>
        <v/>
      </c>
      <c r="O1882" s="3">
        <f>IF(ORIG!O1882=0,"",ORIG!O1882)</f>
        <v/>
      </c>
      <c r="P1882" s="3">
        <f>IF(ORIG!P1882=0,"",ORIG!P1882)</f>
        <v/>
      </c>
      <c r="Q1882" s="3">
        <f>IF(ORIG!Q1882=0,"",ORIG!Q1882)</f>
        <v/>
      </c>
      <c r="R1882" s="3">
        <f>IF(ORIG!R1882=0,"",ORIG!R1882)</f>
        <v/>
      </c>
      <c r="S1882" s="3">
        <f>IF(ORIG!S1882=0,"",ORIG!S1882)</f>
        <v/>
      </c>
      <c r="T1882" s="3">
        <f>IF(ORIG!T1882=0,"",ORIG!T1882)</f>
        <v/>
      </c>
      <c r="U1882" s="3">
        <f>IF(ORIG!U1882=0,"",ORIG!U1882)</f>
        <v/>
      </c>
      <c r="V1882" s="9">
        <f>IF(ORIG!V1882=0,"",ORIG!V1882)</f>
        <v/>
      </c>
      <c r="W1882" s="9">
        <f>IF(ORIG!W1882=0,"",ORIG!W1882)</f>
        <v/>
      </c>
      <c r="X1882" s="9">
        <f>IF(ORIG!X1882=0,"",ORIG!X1882)</f>
        <v/>
      </c>
      <c r="Y1882" s="9">
        <f>IF(ORIG!Y1882=0,"",ORIG!Y1882)</f>
        <v/>
      </c>
      <c r="Z1882" s="3">
        <f>SUMPRODUCT($B1882:$Y1882,$B$2649:$Y$2649)</f>
        <v/>
      </c>
      <c r="AA1882" s="3">
        <f>SUMPRODUCT($B1882:$Y1882,$B$2655:$Y$2655)</f>
        <v/>
      </c>
      <c r="AC1882" s="1">
        <f>A1882</f>
        <v/>
      </c>
      <c r="AD1882">
        <f>IF(ISNUMBER(V1882),V1882*($AB$1/V$2635),"")</f>
        <v/>
      </c>
      <c r="AE1882">
        <f>IF(ISNUMBER(Z1882),Z1882*($AB$1/Z$2635),"")</f>
        <v/>
      </c>
      <c r="AF1882" s="25">
        <f>IF(ISNUMBER(AD1882+AE1882),AD1882+AE1882,"")</f>
        <v/>
      </c>
      <c r="AH1882" s="1">
        <f>A1882</f>
        <v/>
      </c>
      <c r="AI1882">
        <f>IF(ISNUMBER((1+V1882)*AI1881),(1+V1882)*AI1881,AI1881)</f>
        <v/>
      </c>
      <c r="AJ1882">
        <f>IF(ISNUMBER((1+Z1882)*AJ1881),(1+Z1882)*AJ1881,AJ1881)</f>
        <v/>
      </c>
    </row>
    <row r="1883">
      <c r="A1883" s="1" t="n">
        <v>44734</v>
      </c>
      <c r="B1883" s="3">
        <f>IF(ORIG!B1883=0,"",ORIG!B1883)</f>
        <v/>
      </c>
      <c r="C1883" s="3">
        <f>IF(ORIG!C1883=0,"",ORIG!C1883)</f>
        <v/>
      </c>
      <c r="D1883" s="3">
        <f>IF(ORIG!D1883=0,"",ORIG!D1883)</f>
        <v/>
      </c>
      <c r="E1883" s="3">
        <f>IF(ORIG!E1883=0,"",ORIG!E1883)</f>
        <v/>
      </c>
      <c r="F1883" s="3">
        <f>IF(ORIG!F1883=0,"",ORIG!F1883)</f>
        <v/>
      </c>
      <c r="G1883" s="3">
        <f>IF(ORIG!G1883=0,"",ORIG!G1883)</f>
        <v/>
      </c>
      <c r="H1883" s="3">
        <f>IF(ORIG!H1883=0,"",ORIG!H1883)</f>
        <v/>
      </c>
      <c r="I1883" s="3">
        <f>IF(ORIG!I1883=0,"",ORIG!I1883)</f>
        <v/>
      </c>
      <c r="J1883" s="3">
        <f>IF(ORIG!J1883=0,"",ORIG!J1883)</f>
        <v/>
      </c>
      <c r="K1883" s="3">
        <f>IF(ORIG!K1883=0,"",ORIG!K1883)</f>
        <v/>
      </c>
      <c r="L1883" s="3">
        <f>IF(ORIG!L1883=0,"",ORIG!L1883)</f>
        <v/>
      </c>
      <c r="M1883" s="3">
        <f>IF(ORIG!M1883=0,"",ORIG!M1883)</f>
        <v/>
      </c>
      <c r="N1883" s="3">
        <f>IF(ORIG!N1883=0,"",ORIG!N1883)</f>
        <v/>
      </c>
      <c r="O1883" s="3">
        <f>IF(ORIG!O1883=0,"",ORIG!O1883)</f>
        <v/>
      </c>
      <c r="P1883" s="3">
        <f>IF(ORIG!P1883=0,"",ORIG!P1883)</f>
        <v/>
      </c>
      <c r="Q1883" s="3">
        <f>IF(ORIG!Q1883=0,"",ORIG!Q1883)</f>
        <v/>
      </c>
      <c r="R1883" s="3">
        <f>IF(ORIG!R1883=0,"",ORIG!R1883)</f>
        <v/>
      </c>
      <c r="S1883" s="3">
        <f>IF(ORIG!S1883=0,"",ORIG!S1883)</f>
        <v/>
      </c>
      <c r="T1883" s="3">
        <f>IF(ORIG!T1883=0,"",ORIG!T1883)</f>
        <v/>
      </c>
      <c r="U1883" s="3">
        <f>IF(ORIG!U1883=0,"",ORIG!U1883)</f>
        <v/>
      </c>
      <c r="V1883" s="9">
        <f>IF(ORIG!V1883=0,"",ORIG!V1883)</f>
        <v/>
      </c>
      <c r="W1883" s="9">
        <f>IF(ORIG!W1883=0,"",ORIG!W1883)</f>
        <v/>
      </c>
      <c r="X1883" s="9">
        <f>IF(ORIG!X1883=0,"",ORIG!X1883)</f>
        <v/>
      </c>
      <c r="Y1883" s="9">
        <f>IF(ORIG!Y1883=0,"",ORIG!Y1883)</f>
        <v/>
      </c>
      <c r="Z1883" s="3">
        <f>SUMPRODUCT($B1883:$Y1883,$B$2649:$Y$2649)</f>
        <v/>
      </c>
      <c r="AA1883" s="3">
        <f>SUMPRODUCT($B1883:$Y1883,$B$2655:$Y$2655)</f>
        <v/>
      </c>
      <c r="AC1883" s="1">
        <f>A1883</f>
        <v/>
      </c>
      <c r="AD1883">
        <f>IF(ISNUMBER(V1883),V1883*($AB$1/V$2635),"")</f>
        <v/>
      </c>
      <c r="AE1883">
        <f>IF(ISNUMBER(Z1883),Z1883*($AB$1/Z$2635),"")</f>
        <v/>
      </c>
      <c r="AF1883" s="25">
        <f>IF(ISNUMBER(AD1883+AE1883),AD1883+AE1883,"")</f>
        <v/>
      </c>
      <c r="AH1883" s="1">
        <f>A1883</f>
        <v/>
      </c>
      <c r="AI1883">
        <f>IF(ISNUMBER((1+V1883)*AI1882),(1+V1883)*AI1882,AI1882)</f>
        <v/>
      </c>
      <c r="AJ1883">
        <f>IF(ISNUMBER((1+Z1883)*AJ1882),(1+Z1883)*AJ1882,AJ1882)</f>
        <v/>
      </c>
    </row>
    <row r="1884">
      <c r="A1884" s="1" t="n">
        <v>44735</v>
      </c>
      <c r="B1884" s="3">
        <f>IF(ORIG!B1884=0,"",ORIG!B1884)</f>
        <v/>
      </c>
      <c r="C1884" s="3">
        <f>IF(ORIG!C1884=0,"",ORIG!C1884)</f>
        <v/>
      </c>
      <c r="D1884" s="3">
        <f>IF(ORIG!D1884=0,"",ORIG!D1884)</f>
        <v/>
      </c>
      <c r="E1884" s="3">
        <f>IF(ORIG!E1884=0,"",ORIG!E1884)</f>
        <v/>
      </c>
      <c r="F1884" s="3">
        <f>IF(ORIG!F1884=0,"",ORIG!F1884)</f>
        <v/>
      </c>
      <c r="G1884" s="3">
        <f>IF(ORIG!G1884=0,"",ORIG!G1884)</f>
        <v/>
      </c>
      <c r="H1884" s="3">
        <f>IF(ORIG!H1884=0,"",ORIG!H1884)</f>
        <v/>
      </c>
      <c r="I1884" s="3">
        <f>IF(ORIG!I1884=0,"",ORIG!I1884)</f>
        <v/>
      </c>
      <c r="J1884" s="3">
        <f>IF(ORIG!J1884=0,"",ORIG!J1884)</f>
        <v/>
      </c>
      <c r="K1884" s="3">
        <f>IF(ORIG!K1884=0,"",ORIG!K1884)</f>
        <v/>
      </c>
      <c r="L1884" s="3">
        <f>IF(ORIG!L1884=0,"",ORIG!L1884)</f>
        <v/>
      </c>
      <c r="M1884" s="3">
        <f>IF(ORIG!M1884=0,"",ORIG!M1884)</f>
        <v/>
      </c>
      <c r="N1884" s="3">
        <f>IF(ORIG!N1884=0,"",ORIG!N1884)</f>
        <v/>
      </c>
      <c r="O1884" s="3">
        <f>IF(ORIG!O1884=0,"",ORIG!O1884)</f>
        <v/>
      </c>
      <c r="P1884" s="3">
        <f>IF(ORIG!P1884=0,"",ORIG!P1884)</f>
        <v/>
      </c>
      <c r="Q1884" s="3">
        <f>IF(ORIG!Q1884=0,"",ORIG!Q1884)</f>
        <v/>
      </c>
      <c r="R1884" s="3">
        <f>IF(ORIG!R1884=0,"",ORIG!R1884)</f>
        <v/>
      </c>
      <c r="S1884" s="3">
        <f>IF(ORIG!S1884=0,"",ORIG!S1884)</f>
        <v/>
      </c>
      <c r="T1884" s="3">
        <f>IF(ORIG!T1884=0,"",ORIG!T1884)</f>
        <v/>
      </c>
      <c r="U1884" s="3">
        <f>IF(ORIG!U1884=0,"",ORIG!U1884)</f>
        <v/>
      </c>
      <c r="V1884" s="9">
        <f>IF(ORIG!V1884=0,"",ORIG!V1884)</f>
        <v/>
      </c>
      <c r="W1884" s="9">
        <f>IF(ORIG!W1884=0,"",ORIG!W1884)</f>
        <v/>
      </c>
      <c r="X1884" s="9">
        <f>IF(ORIG!X1884=0,"",ORIG!X1884)</f>
        <v/>
      </c>
      <c r="Y1884" s="9">
        <f>IF(ORIG!Y1884=0,"",ORIG!Y1884)</f>
        <v/>
      </c>
      <c r="Z1884" s="3">
        <f>SUMPRODUCT($B1884:$Y1884,$B$2649:$Y$2649)</f>
        <v/>
      </c>
      <c r="AA1884" s="3">
        <f>SUMPRODUCT($B1884:$Y1884,$B$2655:$Y$2655)</f>
        <v/>
      </c>
      <c r="AC1884" s="1">
        <f>A1884</f>
        <v/>
      </c>
      <c r="AD1884">
        <f>IF(ISNUMBER(V1884),V1884*($AB$1/V$2635),"")</f>
        <v/>
      </c>
      <c r="AE1884">
        <f>IF(ISNUMBER(Z1884),Z1884*($AB$1/Z$2635),"")</f>
        <v/>
      </c>
      <c r="AF1884" s="25">
        <f>IF(ISNUMBER(AD1884+AE1884),AD1884+AE1884,"")</f>
        <v/>
      </c>
      <c r="AH1884" s="1">
        <f>A1884</f>
        <v/>
      </c>
      <c r="AI1884">
        <f>IF(ISNUMBER((1+V1884)*AI1883),(1+V1884)*AI1883,AI1883)</f>
        <v/>
      </c>
      <c r="AJ1884">
        <f>IF(ISNUMBER((1+Z1884)*AJ1883),(1+Z1884)*AJ1883,AJ1883)</f>
        <v/>
      </c>
    </row>
    <row r="1885">
      <c r="A1885" s="1" t="n">
        <v>44736</v>
      </c>
      <c r="B1885" s="3">
        <f>IF(ORIG!B1885=0,"",ORIG!B1885)</f>
        <v/>
      </c>
      <c r="C1885" s="3">
        <f>IF(ORIG!C1885=0,"",ORIG!C1885)</f>
        <v/>
      </c>
      <c r="D1885" s="3">
        <f>IF(ORIG!D1885=0,"",ORIG!D1885)</f>
        <v/>
      </c>
      <c r="E1885" s="3">
        <f>IF(ORIG!E1885=0,"",ORIG!E1885)</f>
        <v/>
      </c>
      <c r="F1885" s="3">
        <f>IF(ORIG!F1885=0,"",ORIG!F1885)</f>
        <v/>
      </c>
      <c r="G1885" s="3">
        <f>IF(ORIG!G1885=0,"",ORIG!G1885)</f>
        <v/>
      </c>
      <c r="H1885" s="3">
        <f>IF(ORIG!H1885=0,"",ORIG!H1885)</f>
        <v/>
      </c>
      <c r="I1885" s="3">
        <f>IF(ORIG!I1885=0,"",ORIG!I1885)</f>
        <v/>
      </c>
      <c r="J1885" s="3">
        <f>IF(ORIG!J1885=0,"",ORIG!J1885)</f>
        <v/>
      </c>
      <c r="K1885" s="3">
        <f>IF(ORIG!K1885=0,"",ORIG!K1885)</f>
        <v/>
      </c>
      <c r="L1885" s="3">
        <f>IF(ORIG!L1885=0,"",ORIG!L1885)</f>
        <v/>
      </c>
      <c r="M1885" s="3">
        <f>IF(ORIG!M1885=0,"",ORIG!M1885)</f>
        <v/>
      </c>
      <c r="N1885" s="3">
        <f>IF(ORIG!N1885=0,"",ORIG!N1885)</f>
        <v/>
      </c>
      <c r="O1885" s="3">
        <f>IF(ORIG!O1885=0,"",ORIG!O1885)</f>
        <v/>
      </c>
      <c r="P1885" s="3">
        <f>IF(ORIG!P1885=0,"",ORIG!P1885)</f>
        <v/>
      </c>
      <c r="Q1885" s="3">
        <f>IF(ORIG!Q1885=0,"",ORIG!Q1885)</f>
        <v/>
      </c>
      <c r="R1885" s="3">
        <f>IF(ORIG!R1885=0,"",ORIG!R1885)</f>
        <v/>
      </c>
      <c r="S1885" s="3">
        <f>IF(ORIG!S1885=0,"",ORIG!S1885)</f>
        <v/>
      </c>
      <c r="T1885" s="3">
        <f>IF(ORIG!T1885=0,"",ORIG!T1885)</f>
        <v/>
      </c>
      <c r="U1885" s="3">
        <f>IF(ORIG!U1885=0,"",ORIG!U1885)</f>
        <v/>
      </c>
      <c r="V1885" s="9">
        <f>IF(ORIG!V1885=0,"",ORIG!V1885)</f>
        <v/>
      </c>
      <c r="W1885" s="9">
        <f>IF(ORIG!W1885=0,"",ORIG!W1885)</f>
        <v/>
      </c>
      <c r="X1885" s="9">
        <f>IF(ORIG!X1885=0,"",ORIG!X1885)</f>
        <v/>
      </c>
      <c r="Y1885" s="9">
        <f>IF(ORIG!Y1885=0,"",ORIG!Y1885)</f>
        <v/>
      </c>
      <c r="Z1885" s="3">
        <f>SUMPRODUCT($B1885:$Y1885,$B$2649:$Y$2649)</f>
        <v/>
      </c>
      <c r="AA1885" s="3">
        <f>SUMPRODUCT($B1885:$Y1885,$B$2655:$Y$2655)</f>
        <v/>
      </c>
      <c r="AC1885" s="1">
        <f>A1885</f>
        <v/>
      </c>
      <c r="AD1885">
        <f>IF(ISNUMBER(V1885),V1885*($AB$1/V$2635),"")</f>
        <v/>
      </c>
      <c r="AE1885">
        <f>IF(ISNUMBER(Z1885),Z1885*($AB$1/Z$2635),"")</f>
        <v/>
      </c>
      <c r="AF1885" s="25">
        <f>IF(ISNUMBER(AD1885+AE1885),AD1885+AE1885,"")</f>
        <v/>
      </c>
      <c r="AH1885" s="1">
        <f>A1885</f>
        <v/>
      </c>
      <c r="AI1885">
        <f>IF(ISNUMBER((1+V1885)*AI1884),(1+V1885)*AI1884,AI1884)</f>
        <v/>
      </c>
      <c r="AJ1885">
        <f>IF(ISNUMBER((1+Z1885)*AJ1884),(1+Z1885)*AJ1884,AJ1884)</f>
        <v/>
      </c>
    </row>
    <row r="1886">
      <c r="A1886" s="1" t="n">
        <v>44739</v>
      </c>
      <c r="B1886" s="3">
        <f>IF(ORIG!B1886=0,"",ORIG!B1886)</f>
        <v/>
      </c>
      <c r="C1886" s="3">
        <f>IF(ORIG!C1886=0,"",ORIG!C1886)</f>
        <v/>
      </c>
      <c r="D1886" s="3">
        <f>IF(ORIG!D1886=0,"",ORIG!D1886)</f>
        <v/>
      </c>
      <c r="E1886" s="3">
        <f>IF(ORIG!E1886=0,"",ORIG!E1886)</f>
        <v/>
      </c>
      <c r="F1886" s="3">
        <f>IF(ORIG!F1886=0,"",ORIG!F1886)</f>
        <v/>
      </c>
      <c r="G1886" s="3">
        <f>IF(ORIG!G1886=0,"",ORIG!G1886)</f>
        <v/>
      </c>
      <c r="H1886" s="3">
        <f>IF(ORIG!H1886=0,"",ORIG!H1886)</f>
        <v/>
      </c>
      <c r="I1886" s="3">
        <f>IF(ORIG!I1886=0,"",ORIG!I1886)</f>
        <v/>
      </c>
      <c r="J1886" s="3">
        <f>IF(ORIG!J1886=0,"",ORIG!J1886)</f>
        <v/>
      </c>
      <c r="K1886" s="3">
        <f>IF(ORIG!K1886=0,"",ORIG!K1886)</f>
        <v/>
      </c>
      <c r="L1886" s="3">
        <f>IF(ORIG!L1886=0,"",ORIG!L1886)</f>
        <v/>
      </c>
      <c r="M1886" s="3">
        <f>IF(ORIG!M1886=0,"",ORIG!M1886)</f>
        <v/>
      </c>
      <c r="N1886" s="3">
        <f>IF(ORIG!N1886=0,"",ORIG!N1886)</f>
        <v/>
      </c>
      <c r="O1886" s="3">
        <f>IF(ORIG!O1886=0,"",ORIG!O1886)</f>
        <v/>
      </c>
      <c r="P1886" s="3">
        <f>IF(ORIG!P1886=0,"",ORIG!P1886)</f>
        <v/>
      </c>
      <c r="Q1886" s="3">
        <f>IF(ORIG!Q1886=0,"",ORIG!Q1886)</f>
        <v/>
      </c>
      <c r="R1886" s="3">
        <f>IF(ORIG!R1886=0,"",ORIG!R1886)</f>
        <v/>
      </c>
      <c r="S1886" s="3">
        <f>IF(ORIG!S1886=0,"",ORIG!S1886)</f>
        <v/>
      </c>
      <c r="T1886" s="3">
        <f>IF(ORIG!T1886=0,"",ORIG!T1886)</f>
        <v/>
      </c>
      <c r="U1886" s="3">
        <f>IF(ORIG!U1886=0,"",ORIG!U1886)</f>
        <v/>
      </c>
      <c r="V1886" s="9">
        <f>IF(ORIG!V1886=0,"",ORIG!V1886)</f>
        <v/>
      </c>
      <c r="W1886" s="9">
        <f>IF(ORIG!W1886=0,"",ORIG!W1886)</f>
        <v/>
      </c>
      <c r="X1886" s="9">
        <f>IF(ORIG!X1886=0,"",ORIG!X1886)</f>
        <v/>
      </c>
      <c r="Y1886" s="9">
        <f>IF(ORIG!Y1886=0,"",ORIG!Y1886)</f>
        <v/>
      </c>
      <c r="Z1886" s="3">
        <f>SUMPRODUCT($B1886:$Y1886,$B$2649:$Y$2649)</f>
        <v/>
      </c>
      <c r="AA1886" s="3">
        <f>SUMPRODUCT($B1886:$Y1886,$B$2655:$Y$2655)</f>
        <v/>
      </c>
      <c r="AC1886" s="1">
        <f>A1886</f>
        <v/>
      </c>
      <c r="AD1886">
        <f>IF(ISNUMBER(V1886),V1886*($AB$1/V$2635),"")</f>
        <v/>
      </c>
      <c r="AE1886">
        <f>IF(ISNUMBER(Z1886),Z1886*($AB$1/Z$2635),"")</f>
        <v/>
      </c>
      <c r="AF1886" s="25">
        <f>IF(ISNUMBER(AD1886+AE1886),AD1886+AE1886,"")</f>
        <v/>
      </c>
      <c r="AH1886" s="1">
        <f>A1886</f>
        <v/>
      </c>
      <c r="AI1886">
        <f>IF(ISNUMBER((1+V1886)*AI1885),(1+V1886)*AI1885,AI1885)</f>
        <v/>
      </c>
      <c r="AJ1886">
        <f>IF(ISNUMBER((1+Z1886)*AJ1885),(1+Z1886)*AJ1885,AJ1885)</f>
        <v/>
      </c>
    </row>
    <row r="1887">
      <c r="A1887" s="1" t="n">
        <v>44740</v>
      </c>
      <c r="B1887" s="3">
        <f>IF(ORIG!B1887=0,"",ORIG!B1887)</f>
        <v/>
      </c>
      <c r="C1887" s="3">
        <f>IF(ORIG!C1887=0,"",ORIG!C1887)</f>
        <v/>
      </c>
      <c r="D1887" s="3">
        <f>IF(ORIG!D1887=0,"",ORIG!D1887)</f>
        <v/>
      </c>
      <c r="E1887" s="3">
        <f>IF(ORIG!E1887=0,"",ORIG!E1887)</f>
        <v/>
      </c>
      <c r="F1887" s="3">
        <f>IF(ORIG!F1887=0,"",ORIG!F1887)</f>
        <v/>
      </c>
      <c r="G1887" s="3">
        <f>IF(ORIG!G1887=0,"",ORIG!G1887)</f>
        <v/>
      </c>
      <c r="H1887" s="3">
        <f>IF(ORIG!H1887=0,"",ORIG!H1887)</f>
        <v/>
      </c>
      <c r="I1887" s="3">
        <f>IF(ORIG!I1887=0,"",ORIG!I1887)</f>
        <v/>
      </c>
      <c r="J1887" s="3">
        <f>IF(ORIG!J1887=0,"",ORIG!J1887)</f>
        <v/>
      </c>
      <c r="K1887" s="3">
        <f>IF(ORIG!K1887=0,"",ORIG!K1887)</f>
        <v/>
      </c>
      <c r="L1887" s="3">
        <f>IF(ORIG!L1887=0,"",ORIG!L1887)</f>
        <v/>
      </c>
      <c r="M1887" s="3">
        <f>IF(ORIG!M1887=0,"",ORIG!M1887)</f>
        <v/>
      </c>
      <c r="N1887" s="3">
        <f>IF(ORIG!N1887=0,"",ORIG!N1887)</f>
        <v/>
      </c>
      <c r="O1887" s="3">
        <f>IF(ORIG!O1887=0,"",ORIG!O1887)</f>
        <v/>
      </c>
      <c r="P1887" s="3">
        <f>IF(ORIG!P1887=0,"",ORIG!P1887)</f>
        <v/>
      </c>
      <c r="Q1887" s="3">
        <f>IF(ORIG!Q1887=0,"",ORIG!Q1887)</f>
        <v/>
      </c>
      <c r="R1887" s="3">
        <f>IF(ORIG!R1887=0,"",ORIG!R1887)</f>
        <v/>
      </c>
      <c r="S1887" s="3">
        <f>IF(ORIG!S1887=0,"",ORIG!S1887)</f>
        <v/>
      </c>
      <c r="T1887" s="3">
        <f>IF(ORIG!T1887=0,"",ORIG!T1887)</f>
        <v/>
      </c>
      <c r="U1887" s="3">
        <f>IF(ORIG!U1887=0,"",ORIG!U1887)</f>
        <v/>
      </c>
      <c r="V1887" s="9">
        <f>IF(ORIG!V1887=0,"",ORIG!V1887)</f>
        <v/>
      </c>
      <c r="W1887" s="9">
        <f>IF(ORIG!W1887=0,"",ORIG!W1887)</f>
        <v/>
      </c>
      <c r="X1887" s="9">
        <f>IF(ORIG!X1887=0,"",ORIG!X1887)</f>
        <v/>
      </c>
      <c r="Y1887" s="9">
        <f>IF(ORIG!Y1887=0,"",ORIG!Y1887)</f>
        <v/>
      </c>
      <c r="Z1887" s="3">
        <f>SUMPRODUCT($B1887:$Y1887,$B$2649:$Y$2649)</f>
        <v/>
      </c>
      <c r="AA1887" s="3">
        <f>SUMPRODUCT($B1887:$Y1887,$B$2655:$Y$2655)</f>
        <v/>
      </c>
      <c r="AC1887" s="1">
        <f>A1887</f>
        <v/>
      </c>
      <c r="AD1887">
        <f>IF(ISNUMBER(V1887),V1887*($AB$1/V$2635),"")</f>
        <v/>
      </c>
      <c r="AE1887">
        <f>IF(ISNUMBER(Z1887),Z1887*($AB$1/Z$2635),"")</f>
        <v/>
      </c>
      <c r="AF1887" s="25">
        <f>IF(ISNUMBER(AD1887+AE1887),AD1887+AE1887,"")</f>
        <v/>
      </c>
      <c r="AH1887" s="1">
        <f>A1887</f>
        <v/>
      </c>
      <c r="AI1887">
        <f>IF(ISNUMBER((1+V1887)*AI1886),(1+V1887)*AI1886,AI1886)</f>
        <v/>
      </c>
      <c r="AJ1887">
        <f>IF(ISNUMBER((1+Z1887)*AJ1886),(1+Z1887)*AJ1886,AJ1886)</f>
        <v/>
      </c>
    </row>
    <row r="1888">
      <c r="A1888" s="1" t="n">
        <v>44741</v>
      </c>
      <c r="B1888" s="3">
        <f>IF(ORIG!B1888=0,"",ORIG!B1888)</f>
        <v/>
      </c>
      <c r="C1888" s="3">
        <f>IF(ORIG!C1888=0,"",ORIG!C1888)</f>
        <v/>
      </c>
      <c r="D1888" s="3">
        <f>IF(ORIG!D1888=0,"",ORIG!D1888)</f>
        <v/>
      </c>
      <c r="E1888" s="3">
        <f>IF(ORIG!E1888=0,"",ORIG!E1888)</f>
        <v/>
      </c>
      <c r="F1888" s="3">
        <f>IF(ORIG!F1888=0,"",ORIG!F1888)</f>
        <v/>
      </c>
      <c r="G1888" s="3">
        <f>IF(ORIG!G1888=0,"",ORIG!G1888)</f>
        <v/>
      </c>
      <c r="H1888" s="3">
        <f>IF(ORIG!H1888=0,"",ORIG!H1888)</f>
        <v/>
      </c>
      <c r="I1888" s="3">
        <f>IF(ORIG!I1888=0,"",ORIG!I1888)</f>
        <v/>
      </c>
      <c r="J1888" s="3">
        <f>IF(ORIG!J1888=0,"",ORIG!J1888)</f>
        <v/>
      </c>
      <c r="K1888" s="3">
        <f>IF(ORIG!K1888=0,"",ORIG!K1888)</f>
        <v/>
      </c>
      <c r="L1888" s="3">
        <f>IF(ORIG!L1888=0,"",ORIG!L1888)</f>
        <v/>
      </c>
      <c r="M1888" s="3">
        <f>IF(ORIG!M1888=0,"",ORIG!M1888)</f>
        <v/>
      </c>
      <c r="N1888" s="3">
        <f>IF(ORIG!N1888=0,"",ORIG!N1888)</f>
        <v/>
      </c>
      <c r="O1888" s="3">
        <f>IF(ORIG!O1888=0,"",ORIG!O1888)</f>
        <v/>
      </c>
      <c r="P1888" s="3">
        <f>IF(ORIG!P1888=0,"",ORIG!P1888)</f>
        <v/>
      </c>
      <c r="Q1888" s="3">
        <f>IF(ORIG!Q1888=0,"",ORIG!Q1888)</f>
        <v/>
      </c>
      <c r="R1888" s="3">
        <f>IF(ORIG!R1888=0,"",ORIG!R1888)</f>
        <v/>
      </c>
      <c r="S1888" s="3">
        <f>IF(ORIG!S1888=0,"",ORIG!S1888)</f>
        <v/>
      </c>
      <c r="T1888" s="3">
        <f>IF(ORIG!T1888=0,"",ORIG!T1888)</f>
        <v/>
      </c>
      <c r="U1888" s="3">
        <f>IF(ORIG!U1888=0,"",ORIG!U1888)</f>
        <v/>
      </c>
      <c r="V1888" s="9">
        <f>IF(ORIG!V1888=0,"",ORIG!V1888)</f>
        <v/>
      </c>
      <c r="W1888" s="9">
        <f>IF(ORIG!W1888=0,"",ORIG!W1888)</f>
        <v/>
      </c>
      <c r="X1888" s="9">
        <f>IF(ORIG!X1888=0,"",ORIG!X1888)</f>
        <v/>
      </c>
      <c r="Y1888" s="9">
        <f>IF(ORIG!Y1888=0,"",ORIG!Y1888)</f>
        <v/>
      </c>
      <c r="Z1888" s="3">
        <f>SUMPRODUCT($B1888:$Y1888,$B$2649:$Y$2649)</f>
        <v/>
      </c>
      <c r="AA1888" s="3">
        <f>SUMPRODUCT($B1888:$Y1888,$B$2655:$Y$2655)</f>
        <v/>
      </c>
      <c r="AC1888" s="1">
        <f>A1888</f>
        <v/>
      </c>
      <c r="AD1888">
        <f>IF(ISNUMBER(V1888),V1888*($AB$1/V$2635),"")</f>
        <v/>
      </c>
      <c r="AE1888">
        <f>IF(ISNUMBER(Z1888),Z1888*($AB$1/Z$2635),"")</f>
        <v/>
      </c>
      <c r="AF1888" s="25">
        <f>IF(ISNUMBER(AD1888+AE1888),AD1888+AE1888,"")</f>
        <v/>
      </c>
      <c r="AH1888" s="1">
        <f>A1888</f>
        <v/>
      </c>
      <c r="AI1888">
        <f>IF(ISNUMBER((1+V1888)*AI1887),(1+V1888)*AI1887,AI1887)</f>
        <v/>
      </c>
      <c r="AJ1888">
        <f>IF(ISNUMBER((1+Z1888)*AJ1887),(1+Z1888)*AJ1887,AJ1887)</f>
        <v/>
      </c>
    </row>
    <row r="1889">
      <c r="A1889" s="1" t="n">
        <v>44742</v>
      </c>
      <c r="B1889" s="3">
        <f>IF(ORIG!B1889=0,"",ORIG!B1889)</f>
        <v/>
      </c>
      <c r="C1889" s="3">
        <f>IF(ORIG!C1889=0,"",ORIG!C1889)</f>
        <v/>
      </c>
      <c r="D1889" s="3">
        <f>IF(ORIG!D1889=0,"",ORIG!D1889)</f>
        <v/>
      </c>
      <c r="E1889" s="3">
        <f>IF(ORIG!E1889=0,"",ORIG!E1889)</f>
        <v/>
      </c>
      <c r="F1889" s="3">
        <f>IF(ORIG!F1889=0,"",ORIG!F1889)</f>
        <v/>
      </c>
      <c r="G1889" s="3">
        <f>IF(ORIG!G1889=0,"",ORIG!G1889)</f>
        <v/>
      </c>
      <c r="H1889" s="3">
        <f>IF(ORIG!H1889=0,"",ORIG!H1889)</f>
        <v/>
      </c>
      <c r="I1889" s="3">
        <f>IF(ORIG!I1889=0,"",ORIG!I1889)</f>
        <v/>
      </c>
      <c r="J1889" s="3">
        <f>IF(ORIG!J1889=0,"",ORIG!J1889)</f>
        <v/>
      </c>
      <c r="K1889" s="3">
        <f>IF(ORIG!K1889=0,"",ORIG!K1889)</f>
        <v/>
      </c>
      <c r="L1889" s="3">
        <f>IF(ORIG!L1889=0,"",ORIG!L1889)</f>
        <v/>
      </c>
      <c r="M1889" s="3">
        <f>IF(ORIG!M1889=0,"",ORIG!M1889)</f>
        <v/>
      </c>
      <c r="N1889" s="3">
        <f>IF(ORIG!N1889=0,"",ORIG!N1889)</f>
        <v/>
      </c>
      <c r="O1889" s="3">
        <f>IF(ORIG!O1889=0,"",ORIG!O1889)</f>
        <v/>
      </c>
      <c r="P1889" s="3">
        <f>IF(ORIG!P1889=0,"",ORIG!P1889)</f>
        <v/>
      </c>
      <c r="Q1889" s="3">
        <f>IF(ORIG!Q1889=0,"",ORIG!Q1889)</f>
        <v/>
      </c>
      <c r="R1889" s="3">
        <f>IF(ORIG!R1889=0,"",ORIG!R1889)</f>
        <v/>
      </c>
      <c r="S1889" s="3">
        <f>IF(ORIG!S1889=0,"",ORIG!S1889)</f>
        <v/>
      </c>
      <c r="T1889" s="3">
        <f>IF(ORIG!T1889=0,"",ORIG!T1889)</f>
        <v/>
      </c>
      <c r="U1889" s="3">
        <f>IF(ORIG!U1889=0,"",ORIG!U1889)</f>
        <v/>
      </c>
      <c r="V1889" s="9">
        <f>IF(ORIG!V1889=0,"",ORIG!V1889)</f>
        <v/>
      </c>
      <c r="W1889" s="9">
        <f>IF(ORIG!W1889=0,"",ORIG!W1889)</f>
        <v/>
      </c>
      <c r="X1889" s="9">
        <f>IF(ORIG!X1889=0,"",ORIG!X1889)</f>
        <v/>
      </c>
      <c r="Y1889" s="9">
        <f>IF(ORIG!Y1889=0,"",ORIG!Y1889)</f>
        <v/>
      </c>
      <c r="Z1889" s="3">
        <f>SUMPRODUCT($B1889:$Y1889,$B$2649:$Y$2649)</f>
        <v/>
      </c>
      <c r="AA1889" s="3">
        <f>SUMPRODUCT($B1889:$Y1889,$B$2655:$Y$2655)</f>
        <v/>
      </c>
      <c r="AC1889" s="1">
        <f>A1889</f>
        <v/>
      </c>
      <c r="AD1889">
        <f>IF(ISNUMBER(V1889),V1889*($AB$1/V$2635),"")</f>
        <v/>
      </c>
      <c r="AE1889">
        <f>IF(ISNUMBER(Z1889),Z1889*($AB$1/Z$2635),"")</f>
        <v/>
      </c>
      <c r="AF1889" s="25">
        <f>IF(ISNUMBER(AD1889+AE1889),AD1889+AE1889,"")</f>
        <v/>
      </c>
      <c r="AH1889" s="1">
        <f>A1889</f>
        <v/>
      </c>
      <c r="AI1889">
        <f>IF(ISNUMBER((1+V1889)*AI1888),(1+V1889)*AI1888,AI1888)</f>
        <v/>
      </c>
      <c r="AJ1889">
        <f>IF(ISNUMBER((1+Z1889)*AJ1888),(1+Z1889)*AJ1888,AJ1888)</f>
        <v/>
      </c>
    </row>
    <row r="1890">
      <c r="A1890" s="1" t="n">
        <v>44743</v>
      </c>
      <c r="B1890" s="3">
        <f>IF(ORIG!B1890=0,"",ORIG!B1890)</f>
        <v/>
      </c>
      <c r="C1890" s="3">
        <f>IF(ORIG!C1890=0,"",ORIG!C1890)</f>
        <v/>
      </c>
      <c r="D1890" s="3">
        <f>IF(ORIG!D1890=0,"",ORIG!D1890)</f>
        <v/>
      </c>
      <c r="E1890" s="3">
        <f>IF(ORIG!E1890=0,"",ORIG!E1890)</f>
        <v/>
      </c>
      <c r="F1890" s="3">
        <f>IF(ORIG!F1890=0,"",ORIG!F1890)</f>
        <v/>
      </c>
      <c r="G1890" s="3">
        <f>IF(ORIG!G1890=0,"",ORIG!G1890)</f>
        <v/>
      </c>
      <c r="H1890" s="3">
        <f>IF(ORIG!H1890=0,"",ORIG!H1890)</f>
        <v/>
      </c>
      <c r="I1890" s="3">
        <f>IF(ORIG!I1890=0,"",ORIG!I1890)</f>
        <v/>
      </c>
      <c r="J1890" s="3">
        <f>IF(ORIG!J1890=0,"",ORIG!J1890)</f>
        <v/>
      </c>
      <c r="K1890" s="3">
        <f>IF(ORIG!K1890=0,"",ORIG!K1890)</f>
        <v/>
      </c>
      <c r="L1890" s="3">
        <f>IF(ORIG!L1890=0,"",ORIG!L1890)</f>
        <v/>
      </c>
      <c r="M1890" s="3">
        <f>IF(ORIG!M1890=0,"",ORIG!M1890)</f>
        <v/>
      </c>
      <c r="N1890" s="3">
        <f>IF(ORIG!N1890=0,"",ORIG!N1890)</f>
        <v/>
      </c>
      <c r="O1890" s="3">
        <f>IF(ORIG!O1890=0,"",ORIG!O1890)</f>
        <v/>
      </c>
      <c r="P1890" s="3">
        <f>IF(ORIG!P1890=0,"",ORIG!P1890)</f>
        <v/>
      </c>
      <c r="Q1890" s="3">
        <f>IF(ORIG!Q1890=0,"",ORIG!Q1890)</f>
        <v/>
      </c>
      <c r="R1890" s="3">
        <f>IF(ORIG!R1890=0,"",ORIG!R1890)</f>
        <v/>
      </c>
      <c r="S1890" s="3">
        <f>IF(ORIG!S1890=0,"",ORIG!S1890)</f>
        <v/>
      </c>
      <c r="T1890" s="3">
        <f>IF(ORIG!T1890=0,"",ORIG!T1890)</f>
        <v/>
      </c>
      <c r="U1890" s="3">
        <f>IF(ORIG!U1890=0,"",ORIG!U1890)</f>
        <v/>
      </c>
      <c r="V1890" s="9">
        <f>IF(ORIG!V1890=0,"",ORIG!V1890)</f>
        <v/>
      </c>
      <c r="W1890" s="9">
        <f>IF(ORIG!W1890=0,"",ORIG!W1890)</f>
        <v/>
      </c>
      <c r="X1890" s="9">
        <f>IF(ORIG!X1890=0,"",ORIG!X1890)</f>
        <v/>
      </c>
      <c r="Y1890" s="9">
        <f>IF(ORIG!Y1890=0,"",ORIG!Y1890)</f>
        <v/>
      </c>
      <c r="Z1890" s="3">
        <f>SUMPRODUCT($B1890:$Y1890,$B$2649:$Y$2649)</f>
        <v/>
      </c>
      <c r="AA1890" s="3">
        <f>SUMPRODUCT($B1890:$Y1890,$B$2655:$Y$2655)</f>
        <v/>
      </c>
      <c r="AC1890" s="1">
        <f>A1890</f>
        <v/>
      </c>
      <c r="AD1890">
        <f>IF(ISNUMBER(V1890),V1890*($AB$1/V$2635),"")</f>
        <v/>
      </c>
      <c r="AE1890">
        <f>IF(ISNUMBER(Z1890),Z1890*($AB$1/Z$2635),"")</f>
        <v/>
      </c>
      <c r="AF1890" s="25">
        <f>IF(ISNUMBER(AD1890+AE1890),AD1890+AE1890,"")</f>
        <v/>
      </c>
      <c r="AH1890" s="1">
        <f>A1890</f>
        <v/>
      </c>
      <c r="AI1890">
        <f>IF(ISNUMBER((1+V1890)*AI1889),(1+V1890)*AI1889,AI1889)</f>
        <v/>
      </c>
      <c r="AJ1890">
        <f>IF(ISNUMBER((1+Z1890)*AJ1889),(1+Z1890)*AJ1889,AJ1889)</f>
        <v/>
      </c>
    </row>
    <row r="1891">
      <c r="A1891" s="1" t="n">
        <v>44747</v>
      </c>
      <c r="B1891" s="3">
        <f>IF(ORIG!B1891=0,"",ORIG!B1891)</f>
        <v/>
      </c>
      <c r="C1891" s="3">
        <f>IF(ORIG!C1891=0,"",ORIG!C1891)</f>
        <v/>
      </c>
      <c r="D1891" s="3">
        <f>IF(ORIG!D1891=0,"",ORIG!D1891)</f>
        <v/>
      </c>
      <c r="E1891" s="3">
        <f>IF(ORIG!E1891=0,"",ORIG!E1891)</f>
        <v/>
      </c>
      <c r="F1891" s="3">
        <f>IF(ORIG!F1891=0,"",ORIG!F1891)</f>
        <v/>
      </c>
      <c r="G1891" s="3">
        <f>IF(ORIG!G1891=0,"",ORIG!G1891)</f>
        <v/>
      </c>
      <c r="H1891" s="3">
        <f>IF(ORIG!H1891=0,"",ORIG!H1891)</f>
        <v/>
      </c>
      <c r="I1891" s="3">
        <f>IF(ORIG!I1891=0,"",ORIG!I1891)</f>
        <v/>
      </c>
      <c r="J1891" s="3">
        <f>IF(ORIG!J1891=0,"",ORIG!J1891)</f>
        <v/>
      </c>
      <c r="K1891" s="3">
        <f>IF(ORIG!K1891=0,"",ORIG!K1891)</f>
        <v/>
      </c>
      <c r="L1891" s="3">
        <f>IF(ORIG!L1891=0,"",ORIG!L1891)</f>
        <v/>
      </c>
      <c r="M1891" s="3">
        <f>IF(ORIG!M1891=0,"",ORIG!M1891)</f>
        <v/>
      </c>
      <c r="N1891" s="3">
        <f>IF(ORIG!N1891=0,"",ORIG!N1891)</f>
        <v/>
      </c>
      <c r="O1891" s="3">
        <f>IF(ORIG!O1891=0,"",ORIG!O1891)</f>
        <v/>
      </c>
      <c r="P1891" s="3">
        <f>IF(ORIG!P1891=0,"",ORIG!P1891)</f>
        <v/>
      </c>
      <c r="Q1891" s="3">
        <f>IF(ORIG!Q1891=0,"",ORIG!Q1891)</f>
        <v/>
      </c>
      <c r="R1891" s="3">
        <f>IF(ORIG!R1891=0,"",ORIG!R1891)</f>
        <v/>
      </c>
      <c r="S1891" s="3">
        <f>IF(ORIG!S1891=0,"",ORIG!S1891)</f>
        <v/>
      </c>
      <c r="T1891" s="3">
        <f>IF(ORIG!T1891=0,"",ORIG!T1891)</f>
        <v/>
      </c>
      <c r="U1891" s="3">
        <f>IF(ORIG!U1891=0,"",ORIG!U1891)</f>
        <v/>
      </c>
      <c r="V1891" s="9">
        <f>IF(ORIG!V1891=0,"",ORIG!V1891)</f>
        <v/>
      </c>
      <c r="W1891" s="9">
        <f>IF(ORIG!W1891=0,"",ORIG!W1891)</f>
        <v/>
      </c>
      <c r="X1891" s="9">
        <f>IF(ORIG!X1891=0,"",ORIG!X1891)</f>
        <v/>
      </c>
      <c r="Y1891" s="9">
        <f>IF(ORIG!Y1891=0,"",ORIG!Y1891)</f>
        <v/>
      </c>
      <c r="Z1891" s="3">
        <f>SUMPRODUCT($B1891:$Y1891,$B$2649:$Y$2649)</f>
        <v/>
      </c>
      <c r="AA1891" s="3">
        <f>SUMPRODUCT($B1891:$Y1891,$B$2655:$Y$2655)</f>
        <v/>
      </c>
      <c r="AC1891" s="1">
        <f>A1891</f>
        <v/>
      </c>
      <c r="AD1891">
        <f>IF(ISNUMBER(V1891),V1891*($AB$1/V$2635),"")</f>
        <v/>
      </c>
      <c r="AE1891">
        <f>IF(ISNUMBER(Z1891),Z1891*($AB$1/Z$2635),"")</f>
        <v/>
      </c>
      <c r="AF1891" s="25">
        <f>IF(ISNUMBER(AD1891+AE1891),AD1891+AE1891,"")</f>
        <v/>
      </c>
      <c r="AH1891" s="1">
        <f>A1891</f>
        <v/>
      </c>
      <c r="AI1891">
        <f>IF(ISNUMBER((1+V1891)*AI1890),(1+V1891)*AI1890,AI1890)</f>
        <v/>
      </c>
      <c r="AJ1891">
        <f>IF(ISNUMBER((1+Z1891)*AJ1890),(1+Z1891)*AJ1890,AJ1890)</f>
        <v/>
      </c>
    </row>
    <row r="1892">
      <c r="A1892" s="1" t="n">
        <v>44748</v>
      </c>
      <c r="B1892" s="3">
        <f>IF(ORIG!B1892=0,"",ORIG!B1892)</f>
        <v/>
      </c>
      <c r="C1892" s="3">
        <f>IF(ORIG!C1892=0,"",ORIG!C1892)</f>
        <v/>
      </c>
      <c r="D1892" s="3">
        <f>IF(ORIG!D1892=0,"",ORIG!D1892)</f>
        <v/>
      </c>
      <c r="E1892" s="3">
        <f>IF(ORIG!E1892=0,"",ORIG!E1892)</f>
        <v/>
      </c>
      <c r="F1892" s="3">
        <f>IF(ORIG!F1892=0,"",ORIG!F1892)</f>
        <v/>
      </c>
      <c r="G1892" s="3">
        <f>IF(ORIG!G1892=0,"",ORIG!G1892)</f>
        <v/>
      </c>
      <c r="H1892" s="3">
        <f>IF(ORIG!H1892=0,"",ORIG!H1892)</f>
        <v/>
      </c>
      <c r="I1892" s="3">
        <f>IF(ORIG!I1892=0,"",ORIG!I1892)</f>
        <v/>
      </c>
      <c r="J1892" s="3">
        <f>IF(ORIG!J1892=0,"",ORIG!J1892)</f>
        <v/>
      </c>
      <c r="K1892" s="3">
        <f>IF(ORIG!K1892=0,"",ORIG!K1892)</f>
        <v/>
      </c>
      <c r="L1892" s="3">
        <f>IF(ORIG!L1892=0,"",ORIG!L1892)</f>
        <v/>
      </c>
      <c r="M1892" s="3">
        <f>IF(ORIG!M1892=0,"",ORIG!M1892)</f>
        <v/>
      </c>
      <c r="N1892" s="3">
        <f>IF(ORIG!N1892=0,"",ORIG!N1892)</f>
        <v/>
      </c>
      <c r="O1892" s="3">
        <f>IF(ORIG!O1892=0,"",ORIG!O1892)</f>
        <v/>
      </c>
      <c r="P1892" s="3">
        <f>IF(ORIG!P1892=0,"",ORIG!P1892)</f>
        <v/>
      </c>
      <c r="Q1892" s="3">
        <f>IF(ORIG!Q1892=0,"",ORIG!Q1892)</f>
        <v/>
      </c>
      <c r="R1892" s="3">
        <f>IF(ORIG!R1892=0,"",ORIG!R1892)</f>
        <v/>
      </c>
      <c r="S1892" s="3">
        <f>IF(ORIG!S1892=0,"",ORIG!S1892)</f>
        <v/>
      </c>
      <c r="T1892" s="3">
        <f>IF(ORIG!T1892=0,"",ORIG!T1892)</f>
        <v/>
      </c>
      <c r="U1892" s="3">
        <f>IF(ORIG!U1892=0,"",ORIG!U1892)</f>
        <v/>
      </c>
      <c r="V1892" s="9">
        <f>IF(ORIG!V1892=0,"",ORIG!V1892)</f>
        <v/>
      </c>
      <c r="W1892" s="9">
        <f>IF(ORIG!W1892=0,"",ORIG!W1892)</f>
        <v/>
      </c>
      <c r="X1892" s="9">
        <f>IF(ORIG!X1892=0,"",ORIG!X1892)</f>
        <v/>
      </c>
      <c r="Y1892" s="9">
        <f>IF(ORIG!Y1892=0,"",ORIG!Y1892)</f>
        <v/>
      </c>
      <c r="Z1892" s="3">
        <f>SUMPRODUCT($B1892:$Y1892,$B$2649:$Y$2649)</f>
        <v/>
      </c>
      <c r="AA1892" s="3">
        <f>SUMPRODUCT($B1892:$Y1892,$B$2655:$Y$2655)</f>
        <v/>
      </c>
      <c r="AC1892" s="1">
        <f>A1892</f>
        <v/>
      </c>
      <c r="AD1892">
        <f>IF(ISNUMBER(V1892),V1892*($AB$1/V$2635),"")</f>
        <v/>
      </c>
      <c r="AE1892">
        <f>IF(ISNUMBER(Z1892),Z1892*($AB$1/Z$2635),"")</f>
        <v/>
      </c>
      <c r="AF1892" s="25">
        <f>IF(ISNUMBER(AD1892+AE1892),AD1892+AE1892,"")</f>
        <v/>
      </c>
      <c r="AH1892" s="1">
        <f>A1892</f>
        <v/>
      </c>
      <c r="AI1892">
        <f>IF(ISNUMBER((1+V1892)*AI1891),(1+V1892)*AI1891,AI1891)</f>
        <v/>
      </c>
      <c r="AJ1892">
        <f>IF(ISNUMBER((1+Z1892)*AJ1891),(1+Z1892)*AJ1891,AJ1891)</f>
        <v/>
      </c>
    </row>
    <row r="1893">
      <c r="A1893" s="1" t="n">
        <v>44749</v>
      </c>
      <c r="B1893" s="3">
        <f>IF(ORIG!B1893=0,"",ORIG!B1893)</f>
        <v/>
      </c>
      <c r="C1893" s="3">
        <f>IF(ORIG!C1893=0,"",ORIG!C1893)</f>
        <v/>
      </c>
      <c r="D1893" s="3">
        <f>IF(ORIG!D1893=0,"",ORIG!D1893)</f>
        <v/>
      </c>
      <c r="E1893" s="3">
        <f>IF(ORIG!E1893=0,"",ORIG!E1893)</f>
        <v/>
      </c>
      <c r="F1893" s="3">
        <f>IF(ORIG!F1893=0,"",ORIG!F1893)</f>
        <v/>
      </c>
      <c r="G1893" s="3">
        <f>IF(ORIG!G1893=0,"",ORIG!G1893)</f>
        <v/>
      </c>
      <c r="H1893" s="3">
        <f>IF(ORIG!H1893=0,"",ORIG!H1893)</f>
        <v/>
      </c>
      <c r="I1893" s="3">
        <f>IF(ORIG!I1893=0,"",ORIG!I1893)</f>
        <v/>
      </c>
      <c r="J1893" s="3">
        <f>IF(ORIG!J1893=0,"",ORIG!J1893)</f>
        <v/>
      </c>
      <c r="K1893" s="3">
        <f>IF(ORIG!K1893=0,"",ORIG!K1893)</f>
        <v/>
      </c>
      <c r="L1893" s="3">
        <f>IF(ORIG!L1893=0,"",ORIG!L1893)</f>
        <v/>
      </c>
      <c r="M1893" s="3">
        <f>IF(ORIG!M1893=0,"",ORIG!M1893)</f>
        <v/>
      </c>
      <c r="N1893" s="3">
        <f>IF(ORIG!N1893=0,"",ORIG!N1893)</f>
        <v/>
      </c>
      <c r="O1893" s="3">
        <f>IF(ORIG!O1893=0,"",ORIG!O1893)</f>
        <v/>
      </c>
      <c r="P1893" s="3">
        <f>IF(ORIG!P1893=0,"",ORIG!P1893)</f>
        <v/>
      </c>
      <c r="Q1893" s="3">
        <f>IF(ORIG!Q1893=0,"",ORIG!Q1893)</f>
        <v/>
      </c>
      <c r="R1893" s="3">
        <f>IF(ORIG!R1893=0,"",ORIG!R1893)</f>
        <v/>
      </c>
      <c r="S1893" s="3">
        <f>IF(ORIG!S1893=0,"",ORIG!S1893)</f>
        <v/>
      </c>
      <c r="T1893" s="3">
        <f>IF(ORIG!T1893=0,"",ORIG!T1893)</f>
        <v/>
      </c>
      <c r="U1893" s="3">
        <f>IF(ORIG!U1893=0,"",ORIG!U1893)</f>
        <v/>
      </c>
      <c r="V1893" s="9">
        <f>IF(ORIG!V1893=0,"",ORIG!V1893)</f>
        <v/>
      </c>
      <c r="W1893" s="9">
        <f>IF(ORIG!W1893=0,"",ORIG!W1893)</f>
        <v/>
      </c>
      <c r="X1893" s="9">
        <f>IF(ORIG!X1893=0,"",ORIG!X1893)</f>
        <v/>
      </c>
      <c r="Y1893" s="9">
        <f>IF(ORIG!Y1893=0,"",ORIG!Y1893)</f>
        <v/>
      </c>
      <c r="Z1893" s="3">
        <f>SUMPRODUCT($B1893:$Y1893,$B$2649:$Y$2649)</f>
        <v/>
      </c>
      <c r="AA1893" s="3">
        <f>SUMPRODUCT($B1893:$Y1893,$B$2655:$Y$2655)</f>
        <v/>
      </c>
      <c r="AC1893" s="1">
        <f>A1893</f>
        <v/>
      </c>
      <c r="AD1893">
        <f>IF(ISNUMBER(V1893),V1893*($AB$1/V$2635),"")</f>
        <v/>
      </c>
      <c r="AE1893">
        <f>IF(ISNUMBER(Z1893),Z1893*($AB$1/Z$2635),"")</f>
        <v/>
      </c>
      <c r="AF1893" s="25">
        <f>IF(ISNUMBER(AD1893+AE1893),AD1893+AE1893,"")</f>
        <v/>
      </c>
      <c r="AH1893" s="1">
        <f>A1893</f>
        <v/>
      </c>
      <c r="AI1893">
        <f>IF(ISNUMBER((1+V1893)*AI1892),(1+V1893)*AI1892,AI1892)</f>
        <v/>
      </c>
      <c r="AJ1893">
        <f>IF(ISNUMBER((1+Z1893)*AJ1892),(1+Z1893)*AJ1892,AJ1892)</f>
        <v/>
      </c>
    </row>
    <row r="1894">
      <c r="A1894" s="1" t="n">
        <v>44750</v>
      </c>
      <c r="B1894" s="3">
        <f>IF(ORIG!B1894=0,"",ORIG!B1894)</f>
        <v/>
      </c>
      <c r="C1894" s="3">
        <f>IF(ORIG!C1894=0,"",ORIG!C1894)</f>
        <v/>
      </c>
      <c r="D1894" s="3">
        <f>IF(ORIG!D1894=0,"",ORIG!D1894)</f>
        <v/>
      </c>
      <c r="E1894" s="3">
        <f>IF(ORIG!E1894=0,"",ORIG!E1894)</f>
        <v/>
      </c>
      <c r="F1894" s="3">
        <f>IF(ORIG!F1894=0,"",ORIG!F1894)</f>
        <v/>
      </c>
      <c r="G1894" s="3">
        <f>IF(ORIG!G1894=0,"",ORIG!G1894)</f>
        <v/>
      </c>
      <c r="H1894" s="3">
        <f>IF(ORIG!H1894=0,"",ORIG!H1894)</f>
        <v/>
      </c>
      <c r="I1894" s="3">
        <f>IF(ORIG!I1894=0,"",ORIG!I1894)</f>
        <v/>
      </c>
      <c r="J1894" s="3">
        <f>IF(ORIG!J1894=0,"",ORIG!J1894)</f>
        <v/>
      </c>
      <c r="K1894" s="3">
        <f>IF(ORIG!K1894=0,"",ORIG!K1894)</f>
        <v/>
      </c>
      <c r="L1894" s="3">
        <f>IF(ORIG!L1894=0,"",ORIG!L1894)</f>
        <v/>
      </c>
      <c r="M1894" s="3">
        <f>IF(ORIG!M1894=0,"",ORIG!M1894)</f>
        <v/>
      </c>
      <c r="N1894" s="3">
        <f>IF(ORIG!N1894=0,"",ORIG!N1894)</f>
        <v/>
      </c>
      <c r="O1894" s="3">
        <f>IF(ORIG!O1894=0,"",ORIG!O1894)</f>
        <v/>
      </c>
      <c r="P1894" s="3">
        <f>IF(ORIG!P1894=0,"",ORIG!P1894)</f>
        <v/>
      </c>
      <c r="Q1894" s="3">
        <f>IF(ORIG!Q1894=0,"",ORIG!Q1894)</f>
        <v/>
      </c>
      <c r="R1894" s="3">
        <f>IF(ORIG!R1894=0,"",ORIG!R1894)</f>
        <v/>
      </c>
      <c r="S1894" s="3">
        <f>IF(ORIG!S1894=0,"",ORIG!S1894)</f>
        <v/>
      </c>
      <c r="T1894" s="3">
        <f>IF(ORIG!T1894=0,"",ORIG!T1894)</f>
        <v/>
      </c>
      <c r="U1894" s="3">
        <f>IF(ORIG!U1894=0,"",ORIG!U1894)</f>
        <v/>
      </c>
      <c r="V1894" s="9">
        <f>IF(ORIG!V1894=0,"",ORIG!V1894)</f>
        <v/>
      </c>
      <c r="W1894" s="9">
        <f>IF(ORIG!W1894=0,"",ORIG!W1894)</f>
        <v/>
      </c>
      <c r="X1894" s="9">
        <f>IF(ORIG!X1894=0,"",ORIG!X1894)</f>
        <v/>
      </c>
      <c r="Y1894" s="9">
        <f>IF(ORIG!Y1894=0,"",ORIG!Y1894)</f>
        <v/>
      </c>
      <c r="Z1894" s="3">
        <f>SUMPRODUCT($B1894:$Y1894,$B$2649:$Y$2649)</f>
        <v/>
      </c>
      <c r="AA1894" s="3">
        <f>SUMPRODUCT($B1894:$Y1894,$B$2655:$Y$2655)</f>
        <v/>
      </c>
      <c r="AC1894" s="1">
        <f>A1894</f>
        <v/>
      </c>
      <c r="AD1894">
        <f>IF(ISNUMBER(V1894),V1894*($AB$1/V$2635),"")</f>
        <v/>
      </c>
      <c r="AE1894">
        <f>IF(ISNUMBER(Z1894),Z1894*($AB$1/Z$2635),"")</f>
        <v/>
      </c>
      <c r="AF1894" s="25">
        <f>IF(ISNUMBER(AD1894+AE1894),AD1894+AE1894,"")</f>
        <v/>
      </c>
      <c r="AH1894" s="1">
        <f>A1894</f>
        <v/>
      </c>
      <c r="AI1894">
        <f>IF(ISNUMBER((1+V1894)*AI1893),(1+V1894)*AI1893,AI1893)</f>
        <v/>
      </c>
      <c r="AJ1894">
        <f>IF(ISNUMBER((1+Z1894)*AJ1893),(1+Z1894)*AJ1893,AJ1893)</f>
        <v/>
      </c>
    </row>
    <row r="1895">
      <c r="A1895" s="1" t="n">
        <v>44753</v>
      </c>
      <c r="B1895" s="3">
        <f>IF(ORIG!B1895=0,"",ORIG!B1895)</f>
        <v/>
      </c>
      <c r="C1895" s="3">
        <f>IF(ORIG!C1895=0,"",ORIG!C1895)</f>
        <v/>
      </c>
      <c r="D1895" s="3">
        <f>IF(ORIG!D1895=0,"",ORIG!D1895)</f>
        <v/>
      </c>
      <c r="E1895" s="3">
        <f>IF(ORIG!E1895=0,"",ORIG!E1895)</f>
        <v/>
      </c>
      <c r="F1895" s="3">
        <f>IF(ORIG!F1895=0,"",ORIG!F1895)</f>
        <v/>
      </c>
      <c r="G1895" s="3">
        <f>IF(ORIG!G1895=0,"",ORIG!G1895)</f>
        <v/>
      </c>
      <c r="H1895" s="3">
        <f>IF(ORIG!H1895=0,"",ORIG!H1895)</f>
        <v/>
      </c>
      <c r="I1895" s="3">
        <f>IF(ORIG!I1895=0,"",ORIG!I1895)</f>
        <v/>
      </c>
      <c r="J1895" s="3">
        <f>IF(ORIG!J1895=0,"",ORIG!J1895)</f>
        <v/>
      </c>
      <c r="K1895" s="3">
        <f>IF(ORIG!K1895=0,"",ORIG!K1895)</f>
        <v/>
      </c>
      <c r="L1895" s="3">
        <f>IF(ORIG!L1895=0,"",ORIG!L1895)</f>
        <v/>
      </c>
      <c r="M1895" s="3">
        <f>IF(ORIG!M1895=0,"",ORIG!M1895)</f>
        <v/>
      </c>
      <c r="N1895" s="3">
        <f>IF(ORIG!N1895=0,"",ORIG!N1895)</f>
        <v/>
      </c>
      <c r="O1895" s="3">
        <f>IF(ORIG!O1895=0,"",ORIG!O1895)</f>
        <v/>
      </c>
      <c r="P1895" s="3">
        <f>IF(ORIG!P1895=0,"",ORIG!P1895)</f>
        <v/>
      </c>
      <c r="Q1895" s="3">
        <f>IF(ORIG!Q1895=0,"",ORIG!Q1895)</f>
        <v/>
      </c>
      <c r="R1895" s="3">
        <f>IF(ORIG!R1895=0,"",ORIG!R1895)</f>
        <v/>
      </c>
      <c r="S1895" s="3">
        <f>IF(ORIG!S1895=0,"",ORIG!S1895)</f>
        <v/>
      </c>
      <c r="T1895" s="3">
        <f>IF(ORIG!T1895=0,"",ORIG!T1895)</f>
        <v/>
      </c>
      <c r="U1895" s="3">
        <f>IF(ORIG!U1895=0,"",ORIG!U1895)</f>
        <v/>
      </c>
      <c r="V1895" s="9">
        <f>IF(ORIG!V1895=0,"",ORIG!V1895)</f>
        <v/>
      </c>
      <c r="W1895" s="9">
        <f>IF(ORIG!W1895=0,"",ORIG!W1895)</f>
        <v/>
      </c>
      <c r="X1895" s="9">
        <f>IF(ORIG!X1895=0,"",ORIG!X1895)</f>
        <v/>
      </c>
      <c r="Y1895" s="9">
        <f>IF(ORIG!Y1895=0,"",ORIG!Y1895)</f>
        <v/>
      </c>
      <c r="Z1895" s="3">
        <f>SUMPRODUCT($B1895:$Y1895,$B$2649:$Y$2649)</f>
        <v/>
      </c>
      <c r="AA1895" s="3">
        <f>SUMPRODUCT($B1895:$Y1895,$B$2655:$Y$2655)</f>
        <v/>
      </c>
      <c r="AC1895" s="1">
        <f>A1895</f>
        <v/>
      </c>
      <c r="AD1895">
        <f>IF(ISNUMBER(V1895),V1895*($AB$1/V$2635),"")</f>
        <v/>
      </c>
      <c r="AE1895">
        <f>IF(ISNUMBER(Z1895),Z1895*($AB$1/Z$2635),"")</f>
        <v/>
      </c>
      <c r="AF1895" s="25">
        <f>IF(ISNUMBER(AD1895+AE1895),AD1895+AE1895,"")</f>
        <v/>
      </c>
      <c r="AH1895" s="1">
        <f>A1895</f>
        <v/>
      </c>
      <c r="AI1895">
        <f>IF(ISNUMBER((1+V1895)*AI1894),(1+V1895)*AI1894,AI1894)</f>
        <v/>
      </c>
      <c r="AJ1895">
        <f>IF(ISNUMBER((1+Z1895)*AJ1894),(1+Z1895)*AJ1894,AJ1894)</f>
        <v/>
      </c>
    </row>
    <row r="1896">
      <c r="A1896" s="1" t="n">
        <v>44754</v>
      </c>
      <c r="B1896" s="3">
        <f>IF(ORIG!B1896=0,"",ORIG!B1896)</f>
        <v/>
      </c>
      <c r="C1896" s="3">
        <f>IF(ORIG!C1896=0,"",ORIG!C1896)</f>
        <v/>
      </c>
      <c r="D1896" s="3">
        <f>IF(ORIG!D1896=0,"",ORIG!D1896)</f>
        <v/>
      </c>
      <c r="E1896" s="3">
        <f>IF(ORIG!E1896=0,"",ORIG!E1896)</f>
        <v/>
      </c>
      <c r="F1896" s="3">
        <f>IF(ORIG!F1896=0,"",ORIG!F1896)</f>
        <v/>
      </c>
      <c r="G1896" s="3">
        <f>IF(ORIG!G1896=0,"",ORIG!G1896)</f>
        <v/>
      </c>
      <c r="H1896" s="3">
        <f>IF(ORIG!H1896=0,"",ORIG!H1896)</f>
        <v/>
      </c>
      <c r="I1896" s="3">
        <f>IF(ORIG!I1896=0,"",ORIG!I1896)</f>
        <v/>
      </c>
      <c r="J1896" s="3">
        <f>IF(ORIG!J1896=0,"",ORIG!J1896)</f>
        <v/>
      </c>
      <c r="K1896" s="3">
        <f>IF(ORIG!K1896=0,"",ORIG!K1896)</f>
        <v/>
      </c>
      <c r="L1896" s="3">
        <f>IF(ORIG!L1896=0,"",ORIG!L1896)</f>
        <v/>
      </c>
      <c r="M1896" s="3">
        <f>IF(ORIG!M1896=0,"",ORIG!M1896)</f>
        <v/>
      </c>
      <c r="N1896" s="3">
        <f>IF(ORIG!N1896=0,"",ORIG!N1896)</f>
        <v/>
      </c>
      <c r="O1896" s="3">
        <f>IF(ORIG!O1896=0,"",ORIG!O1896)</f>
        <v/>
      </c>
      <c r="P1896" s="3">
        <f>IF(ORIG!P1896=0,"",ORIG!P1896)</f>
        <v/>
      </c>
      <c r="Q1896" s="3">
        <f>IF(ORIG!Q1896=0,"",ORIG!Q1896)</f>
        <v/>
      </c>
      <c r="R1896" s="3">
        <f>IF(ORIG!R1896=0,"",ORIG!R1896)</f>
        <v/>
      </c>
      <c r="S1896" s="3">
        <f>IF(ORIG!S1896=0,"",ORIG!S1896)</f>
        <v/>
      </c>
      <c r="T1896" s="3">
        <f>IF(ORIG!T1896=0,"",ORIG!T1896)</f>
        <v/>
      </c>
      <c r="U1896" s="3">
        <f>IF(ORIG!U1896=0,"",ORIG!U1896)</f>
        <v/>
      </c>
      <c r="V1896" s="9">
        <f>IF(ORIG!V1896=0,"",ORIG!V1896)</f>
        <v/>
      </c>
      <c r="W1896" s="9">
        <f>IF(ORIG!W1896=0,"",ORIG!W1896)</f>
        <v/>
      </c>
      <c r="X1896" s="9">
        <f>IF(ORIG!X1896=0,"",ORIG!X1896)</f>
        <v/>
      </c>
      <c r="Y1896" s="9">
        <f>IF(ORIG!Y1896=0,"",ORIG!Y1896)</f>
        <v/>
      </c>
      <c r="Z1896" s="3">
        <f>SUMPRODUCT($B1896:$Y1896,$B$2649:$Y$2649)</f>
        <v/>
      </c>
      <c r="AA1896" s="3">
        <f>SUMPRODUCT($B1896:$Y1896,$B$2655:$Y$2655)</f>
        <v/>
      </c>
      <c r="AC1896" s="1">
        <f>A1896</f>
        <v/>
      </c>
      <c r="AD1896">
        <f>IF(ISNUMBER(V1896),V1896*($AB$1/V$2635),"")</f>
        <v/>
      </c>
      <c r="AE1896">
        <f>IF(ISNUMBER(Z1896),Z1896*($AB$1/Z$2635),"")</f>
        <v/>
      </c>
      <c r="AF1896" s="25">
        <f>IF(ISNUMBER(AD1896+AE1896),AD1896+AE1896,"")</f>
        <v/>
      </c>
      <c r="AH1896" s="1">
        <f>A1896</f>
        <v/>
      </c>
      <c r="AI1896">
        <f>IF(ISNUMBER((1+V1896)*AI1895),(1+V1896)*AI1895,AI1895)</f>
        <v/>
      </c>
      <c r="AJ1896">
        <f>IF(ISNUMBER((1+Z1896)*AJ1895),(1+Z1896)*AJ1895,AJ1895)</f>
        <v/>
      </c>
    </row>
    <row r="1897">
      <c r="A1897" s="1" t="n">
        <v>44755</v>
      </c>
      <c r="B1897" s="3">
        <f>IF(ORIG!B1897=0,"",ORIG!B1897)</f>
        <v/>
      </c>
      <c r="C1897" s="3">
        <f>IF(ORIG!C1897=0,"",ORIG!C1897)</f>
        <v/>
      </c>
      <c r="D1897" s="3">
        <f>IF(ORIG!D1897=0,"",ORIG!D1897)</f>
        <v/>
      </c>
      <c r="E1897" s="3">
        <f>IF(ORIG!E1897=0,"",ORIG!E1897)</f>
        <v/>
      </c>
      <c r="F1897" s="3">
        <f>IF(ORIG!F1897=0,"",ORIG!F1897)</f>
        <v/>
      </c>
      <c r="G1897" s="3">
        <f>IF(ORIG!G1897=0,"",ORIG!G1897)</f>
        <v/>
      </c>
      <c r="H1897" s="3">
        <f>IF(ORIG!H1897=0,"",ORIG!H1897)</f>
        <v/>
      </c>
      <c r="I1897" s="3">
        <f>IF(ORIG!I1897=0,"",ORIG!I1897)</f>
        <v/>
      </c>
      <c r="J1897" s="3">
        <f>IF(ORIG!J1897=0,"",ORIG!J1897)</f>
        <v/>
      </c>
      <c r="K1897" s="3">
        <f>IF(ORIG!K1897=0,"",ORIG!K1897)</f>
        <v/>
      </c>
      <c r="L1897" s="3">
        <f>IF(ORIG!L1897=0,"",ORIG!L1897)</f>
        <v/>
      </c>
      <c r="M1897" s="3">
        <f>IF(ORIG!M1897=0,"",ORIG!M1897)</f>
        <v/>
      </c>
      <c r="N1897" s="3">
        <f>IF(ORIG!N1897=0,"",ORIG!N1897)</f>
        <v/>
      </c>
      <c r="O1897" s="3">
        <f>IF(ORIG!O1897=0,"",ORIG!O1897)</f>
        <v/>
      </c>
      <c r="P1897" s="3">
        <f>IF(ORIG!P1897=0,"",ORIG!P1897)</f>
        <v/>
      </c>
      <c r="Q1897" s="3">
        <f>IF(ORIG!Q1897=0,"",ORIG!Q1897)</f>
        <v/>
      </c>
      <c r="R1897" s="3">
        <f>IF(ORIG!R1897=0,"",ORIG!R1897)</f>
        <v/>
      </c>
      <c r="S1897" s="3">
        <f>IF(ORIG!S1897=0,"",ORIG!S1897)</f>
        <v/>
      </c>
      <c r="T1897" s="3">
        <f>IF(ORIG!T1897=0,"",ORIG!T1897)</f>
        <v/>
      </c>
      <c r="U1897" s="3">
        <f>IF(ORIG!U1897=0,"",ORIG!U1897)</f>
        <v/>
      </c>
      <c r="V1897" s="9">
        <f>IF(ORIG!V1897=0,"",ORIG!V1897)</f>
        <v/>
      </c>
      <c r="W1897" s="9">
        <f>IF(ORIG!W1897=0,"",ORIG!W1897)</f>
        <v/>
      </c>
      <c r="X1897" s="9">
        <f>IF(ORIG!X1897=0,"",ORIG!X1897)</f>
        <v/>
      </c>
      <c r="Y1897" s="9">
        <f>IF(ORIG!Y1897=0,"",ORIG!Y1897)</f>
        <v/>
      </c>
      <c r="Z1897" s="3">
        <f>SUMPRODUCT($B1897:$Y1897,$B$2649:$Y$2649)</f>
        <v/>
      </c>
      <c r="AA1897" s="3">
        <f>SUMPRODUCT($B1897:$Y1897,$B$2655:$Y$2655)</f>
        <v/>
      </c>
      <c r="AC1897" s="1">
        <f>A1897</f>
        <v/>
      </c>
      <c r="AD1897">
        <f>IF(ISNUMBER(V1897),V1897*($AB$1/V$2635),"")</f>
        <v/>
      </c>
      <c r="AE1897">
        <f>IF(ISNUMBER(Z1897),Z1897*($AB$1/Z$2635),"")</f>
        <v/>
      </c>
      <c r="AF1897" s="25">
        <f>IF(ISNUMBER(AD1897+AE1897),AD1897+AE1897,"")</f>
        <v/>
      </c>
      <c r="AH1897" s="1">
        <f>A1897</f>
        <v/>
      </c>
      <c r="AI1897">
        <f>IF(ISNUMBER((1+V1897)*AI1896),(1+V1897)*AI1896,AI1896)</f>
        <v/>
      </c>
      <c r="AJ1897">
        <f>IF(ISNUMBER((1+Z1897)*AJ1896),(1+Z1897)*AJ1896,AJ1896)</f>
        <v/>
      </c>
    </row>
    <row r="1898">
      <c r="A1898" s="1" t="n">
        <v>44756</v>
      </c>
      <c r="B1898" s="3">
        <f>IF(ORIG!B1898=0,"",ORIG!B1898)</f>
        <v/>
      </c>
      <c r="C1898" s="3">
        <f>IF(ORIG!C1898=0,"",ORIG!C1898)</f>
        <v/>
      </c>
      <c r="D1898" s="3">
        <f>IF(ORIG!D1898=0,"",ORIG!D1898)</f>
        <v/>
      </c>
      <c r="E1898" s="3">
        <f>IF(ORIG!E1898=0,"",ORIG!E1898)</f>
        <v/>
      </c>
      <c r="F1898" s="3">
        <f>IF(ORIG!F1898=0,"",ORIG!F1898)</f>
        <v/>
      </c>
      <c r="G1898" s="3">
        <f>IF(ORIG!G1898=0,"",ORIG!G1898)</f>
        <v/>
      </c>
      <c r="H1898" s="3">
        <f>IF(ORIG!H1898=0,"",ORIG!H1898)</f>
        <v/>
      </c>
      <c r="I1898" s="3">
        <f>IF(ORIG!I1898=0,"",ORIG!I1898)</f>
        <v/>
      </c>
      <c r="J1898" s="3">
        <f>IF(ORIG!J1898=0,"",ORIG!J1898)</f>
        <v/>
      </c>
      <c r="K1898" s="3">
        <f>IF(ORIG!K1898=0,"",ORIG!K1898)</f>
        <v/>
      </c>
      <c r="L1898" s="3">
        <f>IF(ORIG!L1898=0,"",ORIG!L1898)</f>
        <v/>
      </c>
      <c r="M1898" s="3">
        <f>IF(ORIG!M1898=0,"",ORIG!M1898)</f>
        <v/>
      </c>
      <c r="N1898" s="3">
        <f>IF(ORIG!N1898=0,"",ORIG!N1898)</f>
        <v/>
      </c>
      <c r="O1898" s="3">
        <f>IF(ORIG!O1898=0,"",ORIG!O1898)</f>
        <v/>
      </c>
      <c r="P1898" s="3">
        <f>IF(ORIG!P1898=0,"",ORIG!P1898)</f>
        <v/>
      </c>
      <c r="Q1898" s="3">
        <f>IF(ORIG!Q1898=0,"",ORIG!Q1898)</f>
        <v/>
      </c>
      <c r="R1898" s="3">
        <f>IF(ORIG!R1898=0,"",ORIG!R1898)</f>
        <v/>
      </c>
      <c r="S1898" s="3">
        <f>IF(ORIG!S1898=0,"",ORIG!S1898)</f>
        <v/>
      </c>
      <c r="T1898" s="3">
        <f>IF(ORIG!T1898=0,"",ORIG!T1898)</f>
        <v/>
      </c>
      <c r="U1898" s="3">
        <f>IF(ORIG!U1898=0,"",ORIG!U1898)</f>
        <v/>
      </c>
      <c r="V1898" s="9">
        <f>IF(ORIG!V1898=0,"",ORIG!V1898)</f>
        <v/>
      </c>
      <c r="W1898" s="9">
        <f>IF(ORIG!W1898=0,"",ORIG!W1898)</f>
        <v/>
      </c>
      <c r="X1898" s="9">
        <f>IF(ORIG!X1898=0,"",ORIG!X1898)</f>
        <v/>
      </c>
      <c r="Y1898" s="9">
        <f>IF(ORIG!Y1898=0,"",ORIG!Y1898)</f>
        <v/>
      </c>
      <c r="Z1898" s="3">
        <f>SUMPRODUCT($B1898:$Y1898,$B$2649:$Y$2649)</f>
        <v/>
      </c>
      <c r="AA1898" s="3">
        <f>SUMPRODUCT($B1898:$Y1898,$B$2655:$Y$2655)</f>
        <v/>
      </c>
      <c r="AC1898" s="1">
        <f>A1898</f>
        <v/>
      </c>
      <c r="AD1898">
        <f>IF(ISNUMBER(V1898),V1898*($AB$1/V$2635),"")</f>
        <v/>
      </c>
      <c r="AE1898">
        <f>IF(ISNUMBER(Z1898),Z1898*($AB$1/Z$2635),"")</f>
        <v/>
      </c>
      <c r="AF1898" s="25">
        <f>IF(ISNUMBER(AD1898+AE1898),AD1898+AE1898,"")</f>
        <v/>
      </c>
      <c r="AH1898" s="1">
        <f>A1898</f>
        <v/>
      </c>
      <c r="AI1898">
        <f>IF(ISNUMBER((1+V1898)*AI1897),(1+V1898)*AI1897,AI1897)</f>
        <v/>
      </c>
      <c r="AJ1898">
        <f>IF(ISNUMBER((1+Z1898)*AJ1897),(1+Z1898)*AJ1897,AJ1897)</f>
        <v/>
      </c>
    </row>
    <row r="1899">
      <c r="A1899" s="1" t="n">
        <v>44757</v>
      </c>
      <c r="B1899" s="3">
        <f>IF(ORIG!B1899=0,"",ORIG!B1899)</f>
        <v/>
      </c>
      <c r="C1899" s="3">
        <f>IF(ORIG!C1899=0,"",ORIG!C1899)</f>
        <v/>
      </c>
      <c r="D1899" s="3">
        <f>IF(ORIG!D1899=0,"",ORIG!D1899)</f>
        <v/>
      </c>
      <c r="E1899" s="3">
        <f>IF(ORIG!E1899=0,"",ORIG!E1899)</f>
        <v/>
      </c>
      <c r="F1899" s="3">
        <f>IF(ORIG!F1899=0,"",ORIG!F1899)</f>
        <v/>
      </c>
      <c r="G1899" s="3">
        <f>IF(ORIG!G1899=0,"",ORIG!G1899)</f>
        <v/>
      </c>
      <c r="H1899" s="3">
        <f>IF(ORIG!H1899=0,"",ORIG!H1899)</f>
        <v/>
      </c>
      <c r="I1899" s="3">
        <f>IF(ORIG!I1899=0,"",ORIG!I1899)</f>
        <v/>
      </c>
      <c r="J1899" s="3">
        <f>IF(ORIG!J1899=0,"",ORIG!J1899)</f>
        <v/>
      </c>
      <c r="K1899" s="3">
        <f>IF(ORIG!K1899=0,"",ORIG!K1899)</f>
        <v/>
      </c>
      <c r="L1899" s="3">
        <f>IF(ORIG!L1899=0,"",ORIG!L1899)</f>
        <v/>
      </c>
      <c r="M1899" s="3">
        <f>IF(ORIG!M1899=0,"",ORIG!M1899)</f>
        <v/>
      </c>
      <c r="N1899" s="3">
        <f>IF(ORIG!N1899=0,"",ORIG!N1899)</f>
        <v/>
      </c>
      <c r="O1899" s="3">
        <f>IF(ORIG!O1899=0,"",ORIG!O1899)</f>
        <v/>
      </c>
      <c r="P1899" s="3">
        <f>IF(ORIG!P1899=0,"",ORIG!P1899)</f>
        <v/>
      </c>
      <c r="Q1899" s="3">
        <f>IF(ORIG!Q1899=0,"",ORIG!Q1899)</f>
        <v/>
      </c>
      <c r="R1899" s="3">
        <f>IF(ORIG!R1899=0,"",ORIG!R1899)</f>
        <v/>
      </c>
      <c r="S1899" s="3">
        <f>IF(ORIG!S1899=0,"",ORIG!S1899)</f>
        <v/>
      </c>
      <c r="T1899" s="3">
        <f>IF(ORIG!T1899=0,"",ORIG!T1899)</f>
        <v/>
      </c>
      <c r="U1899" s="3">
        <f>IF(ORIG!U1899=0,"",ORIG!U1899)</f>
        <v/>
      </c>
      <c r="V1899" s="9">
        <f>IF(ORIG!V1899=0,"",ORIG!V1899)</f>
        <v/>
      </c>
      <c r="W1899" s="9">
        <f>IF(ORIG!W1899=0,"",ORIG!W1899)</f>
        <v/>
      </c>
      <c r="X1899" s="9">
        <f>IF(ORIG!X1899=0,"",ORIG!X1899)</f>
        <v/>
      </c>
      <c r="Y1899" s="9">
        <f>IF(ORIG!Y1899=0,"",ORIG!Y1899)</f>
        <v/>
      </c>
      <c r="Z1899" s="3">
        <f>SUMPRODUCT($B1899:$Y1899,$B$2649:$Y$2649)</f>
        <v/>
      </c>
      <c r="AA1899" s="3">
        <f>SUMPRODUCT($B1899:$Y1899,$B$2655:$Y$2655)</f>
        <v/>
      </c>
      <c r="AC1899" s="1">
        <f>A1899</f>
        <v/>
      </c>
      <c r="AD1899">
        <f>IF(ISNUMBER(V1899),V1899*($AB$1/V$2635),"")</f>
        <v/>
      </c>
      <c r="AE1899">
        <f>IF(ISNUMBER(Z1899),Z1899*($AB$1/Z$2635),"")</f>
        <v/>
      </c>
      <c r="AF1899" s="25">
        <f>IF(ISNUMBER(AD1899+AE1899),AD1899+AE1899,"")</f>
        <v/>
      </c>
      <c r="AH1899" s="1">
        <f>A1899</f>
        <v/>
      </c>
      <c r="AI1899">
        <f>IF(ISNUMBER((1+V1899)*AI1898),(1+V1899)*AI1898,AI1898)</f>
        <v/>
      </c>
      <c r="AJ1899">
        <f>IF(ISNUMBER((1+Z1899)*AJ1898),(1+Z1899)*AJ1898,AJ1898)</f>
        <v/>
      </c>
    </row>
    <row r="1900">
      <c r="A1900" s="1" t="n">
        <v>44760</v>
      </c>
      <c r="B1900" s="3">
        <f>IF(ORIG!B1900=0,"",ORIG!B1900)</f>
        <v/>
      </c>
      <c r="C1900" s="3">
        <f>IF(ORIG!C1900=0,"",ORIG!C1900)</f>
        <v/>
      </c>
      <c r="D1900" s="3">
        <f>IF(ORIG!D1900=0,"",ORIG!D1900)</f>
        <v/>
      </c>
      <c r="E1900" s="3">
        <f>IF(ORIG!E1900=0,"",ORIG!E1900)</f>
        <v/>
      </c>
      <c r="F1900" s="3">
        <f>IF(ORIG!F1900=0,"",ORIG!F1900)</f>
        <v/>
      </c>
      <c r="G1900" s="3">
        <f>IF(ORIG!G1900=0,"",ORIG!G1900)</f>
        <v/>
      </c>
      <c r="H1900" s="3">
        <f>IF(ORIG!H1900=0,"",ORIG!H1900)</f>
        <v/>
      </c>
      <c r="I1900" s="3">
        <f>IF(ORIG!I1900=0,"",ORIG!I1900)</f>
        <v/>
      </c>
      <c r="J1900" s="3">
        <f>IF(ORIG!J1900=0,"",ORIG!J1900)</f>
        <v/>
      </c>
      <c r="K1900" s="3">
        <f>IF(ORIG!K1900=0,"",ORIG!K1900)</f>
        <v/>
      </c>
      <c r="L1900" s="3">
        <f>IF(ORIG!L1900=0,"",ORIG!L1900)</f>
        <v/>
      </c>
      <c r="M1900" s="3">
        <f>IF(ORIG!M1900=0,"",ORIG!M1900)</f>
        <v/>
      </c>
      <c r="N1900" s="3">
        <f>IF(ORIG!N1900=0,"",ORIG!N1900)</f>
        <v/>
      </c>
      <c r="O1900" s="3">
        <f>IF(ORIG!O1900=0,"",ORIG!O1900)</f>
        <v/>
      </c>
      <c r="P1900" s="3">
        <f>IF(ORIG!P1900=0,"",ORIG!P1900)</f>
        <v/>
      </c>
      <c r="Q1900" s="3">
        <f>IF(ORIG!Q1900=0,"",ORIG!Q1900)</f>
        <v/>
      </c>
      <c r="R1900" s="3">
        <f>IF(ORIG!R1900=0,"",ORIG!R1900)</f>
        <v/>
      </c>
      <c r="S1900" s="3">
        <f>IF(ORIG!S1900=0,"",ORIG!S1900)</f>
        <v/>
      </c>
      <c r="T1900" s="3">
        <f>IF(ORIG!T1900=0,"",ORIG!T1900)</f>
        <v/>
      </c>
      <c r="U1900" s="3">
        <f>IF(ORIG!U1900=0,"",ORIG!U1900)</f>
        <v/>
      </c>
      <c r="V1900" s="9">
        <f>IF(ORIG!V1900=0,"",ORIG!V1900)</f>
        <v/>
      </c>
      <c r="W1900" s="9">
        <f>IF(ORIG!W1900=0,"",ORIG!W1900)</f>
        <v/>
      </c>
      <c r="X1900" s="9">
        <f>IF(ORIG!X1900=0,"",ORIG!X1900)</f>
        <v/>
      </c>
      <c r="Y1900" s="9">
        <f>IF(ORIG!Y1900=0,"",ORIG!Y1900)</f>
        <v/>
      </c>
      <c r="Z1900" s="3">
        <f>SUMPRODUCT($B1900:$Y1900,$B$2649:$Y$2649)</f>
        <v/>
      </c>
      <c r="AA1900" s="3">
        <f>SUMPRODUCT($B1900:$Y1900,$B$2655:$Y$2655)</f>
        <v/>
      </c>
      <c r="AC1900" s="1">
        <f>A1900</f>
        <v/>
      </c>
      <c r="AD1900">
        <f>IF(ISNUMBER(V1900),V1900*($AB$1/V$2635),"")</f>
        <v/>
      </c>
      <c r="AE1900">
        <f>IF(ISNUMBER(Z1900),Z1900*($AB$1/Z$2635),"")</f>
        <v/>
      </c>
      <c r="AF1900" s="25">
        <f>IF(ISNUMBER(AD1900+AE1900),AD1900+AE1900,"")</f>
        <v/>
      </c>
      <c r="AH1900" s="1">
        <f>A1900</f>
        <v/>
      </c>
      <c r="AI1900">
        <f>IF(ISNUMBER((1+V1900)*AI1899),(1+V1900)*AI1899,AI1899)</f>
        <v/>
      </c>
      <c r="AJ1900">
        <f>IF(ISNUMBER((1+Z1900)*AJ1899),(1+Z1900)*AJ1899,AJ1899)</f>
        <v/>
      </c>
    </row>
    <row r="1901">
      <c r="A1901" s="1" t="n">
        <v>44761</v>
      </c>
      <c r="B1901" s="3">
        <f>IF(ORIG!B1901=0,"",ORIG!B1901)</f>
        <v/>
      </c>
      <c r="C1901" s="3">
        <f>IF(ORIG!C1901=0,"",ORIG!C1901)</f>
        <v/>
      </c>
      <c r="D1901" s="3">
        <f>IF(ORIG!D1901=0,"",ORIG!D1901)</f>
        <v/>
      </c>
      <c r="E1901" s="3">
        <f>IF(ORIG!E1901=0,"",ORIG!E1901)</f>
        <v/>
      </c>
      <c r="F1901" s="3">
        <f>IF(ORIG!F1901=0,"",ORIG!F1901)</f>
        <v/>
      </c>
      <c r="G1901" s="3">
        <f>IF(ORIG!G1901=0,"",ORIG!G1901)</f>
        <v/>
      </c>
      <c r="H1901" s="3">
        <f>IF(ORIG!H1901=0,"",ORIG!H1901)</f>
        <v/>
      </c>
      <c r="I1901" s="3">
        <f>IF(ORIG!I1901=0,"",ORIG!I1901)</f>
        <v/>
      </c>
      <c r="J1901" s="3">
        <f>IF(ORIG!J1901=0,"",ORIG!J1901)</f>
        <v/>
      </c>
      <c r="K1901" s="3">
        <f>IF(ORIG!K1901=0,"",ORIG!K1901)</f>
        <v/>
      </c>
      <c r="L1901" s="3">
        <f>IF(ORIG!L1901=0,"",ORIG!L1901)</f>
        <v/>
      </c>
      <c r="M1901" s="3">
        <f>IF(ORIG!M1901=0,"",ORIG!M1901)</f>
        <v/>
      </c>
      <c r="N1901" s="3">
        <f>IF(ORIG!N1901=0,"",ORIG!N1901)</f>
        <v/>
      </c>
      <c r="O1901" s="3">
        <f>IF(ORIG!O1901=0,"",ORIG!O1901)</f>
        <v/>
      </c>
      <c r="P1901" s="3">
        <f>IF(ORIG!P1901=0,"",ORIG!P1901)</f>
        <v/>
      </c>
      <c r="Q1901" s="3">
        <f>IF(ORIG!Q1901=0,"",ORIG!Q1901)</f>
        <v/>
      </c>
      <c r="R1901" s="3">
        <f>IF(ORIG!R1901=0,"",ORIG!R1901)</f>
        <v/>
      </c>
      <c r="S1901" s="3">
        <f>IF(ORIG!S1901=0,"",ORIG!S1901)</f>
        <v/>
      </c>
      <c r="T1901" s="3">
        <f>IF(ORIG!T1901=0,"",ORIG!T1901)</f>
        <v/>
      </c>
      <c r="U1901" s="3">
        <f>IF(ORIG!U1901=0,"",ORIG!U1901)</f>
        <v/>
      </c>
      <c r="V1901" s="9">
        <f>IF(ORIG!V1901=0,"",ORIG!V1901)</f>
        <v/>
      </c>
      <c r="W1901" s="9">
        <f>IF(ORIG!W1901=0,"",ORIG!W1901)</f>
        <v/>
      </c>
      <c r="X1901" s="9">
        <f>IF(ORIG!X1901=0,"",ORIG!X1901)</f>
        <v/>
      </c>
      <c r="Y1901" s="9">
        <f>IF(ORIG!Y1901=0,"",ORIG!Y1901)</f>
        <v/>
      </c>
      <c r="Z1901" s="3">
        <f>SUMPRODUCT($B1901:$Y1901,$B$2649:$Y$2649)</f>
        <v/>
      </c>
      <c r="AA1901" s="3">
        <f>SUMPRODUCT($B1901:$Y1901,$B$2655:$Y$2655)</f>
        <v/>
      </c>
      <c r="AC1901" s="1">
        <f>A1901</f>
        <v/>
      </c>
      <c r="AD1901">
        <f>IF(ISNUMBER(V1901),V1901*($AB$1/V$2635),"")</f>
        <v/>
      </c>
      <c r="AE1901">
        <f>IF(ISNUMBER(Z1901),Z1901*($AB$1/Z$2635),"")</f>
        <v/>
      </c>
      <c r="AF1901" s="25">
        <f>IF(ISNUMBER(AD1901+AE1901),AD1901+AE1901,"")</f>
        <v/>
      </c>
      <c r="AH1901" s="1">
        <f>A1901</f>
        <v/>
      </c>
      <c r="AI1901">
        <f>IF(ISNUMBER((1+V1901)*AI1900),(1+V1901)*AI1900,AI1900)</f>
        <v/>
      </c>
      <c r="AJ1901">
        <f>IF(ISNUMBER((1+Z1901)*AJ1900),(1+Z1901)*AJ1900,AJ1900)</f>
        <v/>
      </c>
    </row>
    <row r="1902">
      <c r="A1902" s="1" t="n">
        <v>44762</v>
      </c>
      <c r="B1902" s="3">
        <f>IF(ORIG!B1902=0,"",ORIG!B1902)</f>
        <v/>
      </c>
      <c r="C1902" s="3">
        <f>IF(ORIG!C1902=0,"",ORIG!C1902)</f>
        <v/>
      </c>
      <c r="D1902" s="3">
        <f>IF(ORIG!D1902=0,"",ORIG!D1902)</f>
        <v/>
      </c>
      <c r="E1902" s="3">
        <f>IF(ORIG!E1902=0,"",ORIG!E1902)</f>
        <v/>
      </c>
      <c r="F1902" s="3">
        <f>IF(ORIG!F1902=0,"",ORIG!F1902)</f>
        <v/>
      </c>
      <c r="G1902" s="3">
        <f>IF(ORIG!G1902=0,"",ORIG!G1902)</f>
        <v/>
      </c>
      <c r="H1902" s="3">
        <f>IF(ORIG!H1902=0,"",ORIG!H1902)</f>
        <v/>
      </c>
      <c r="I1902" s="3">
        <f>IF(ORIG!I1902=0,"",ORIG!I1902)</f>
        <v/>
      </c>
      <c r="J1902" s="3">
        <f>IF(ORIG!J1902=0,"",ORIG!J1902)</f>
        <v/>
      </c>
      <c r="K1902" s="3">
        <f>IF(ORIG!K1902=0,"",ORIG!K1902)</f>
        <v/>
      </c>
      <c r="L1902" s="3">
        <f>IF(ORIG!L1902=0,"",ORIG!L1902)</f>
        <v/>
      </c>
      <c r="M1902" s="3">
        <f>IF(ORIG!M1902=0,"",ORIG!M1902)</f>
        <v/>
      </c>
      <c r="N1902" s="3">
        <f>IF(ORIG!N1902=0,"",ORIG!N1902)</f>
        <v/>
      </c>
      <c r="O1902" s="3">
        <f>IF(ORIG!O1902=0,"",ORIG!O1902)</f>
        <v/>
      </c>
      <c r="P1902" s="3">
        <f>IF(ORIG!P1902=0,"",ORIG!P1902)</f>
        <v/>
      </c>
      <c r="Q1902" s="3">
        <f>IF(ORIG!Q1902=0,"",ORIG!Q1902)</f>
        <v/>
      </c>
      <c r="R1902" s="3">
        <f>IF(ORIG!R1902=0,"",ORIG!R1902)</f>
        <v/>
      </c>
      <c r="S1902" s="3">
        <f>IF(ORIG!S1902=0,"",ORIG!S1902)</f>
        <v/>
      </c>
      <c r="T1902" s="3">
        <f>IF(ORIG!T1902=0,"",ORIG!T1902)</f>
        <v/>
      </c>
      <c r="U1902" s="3">
        <f>IF(ORIG!U1902=0,"",ORIG!U1902)</f>
        <v/>
      </c>
      <c r="V1902" s="9">
        <f>IF(ORIG!V1902=0,"",ORIG!V1902)</f>
        <v/>
      </c>
      <c r="W1902" s="9">
        <f>IF(ORIG!W1902=0,"",ORIG!W1902)</f>
        <v/>
      </c>
      <c r="X1902" s="9">
        <f>IF(ORIG!X1902=0,"",ORIG!X1902)</f>
        <v/>
      </c>
      <c r="Y1902" s="9">
        <f>IF(ORIG!Y1902=0,"",ORIG!Y1902)</f>
        <v/>
      </c>
      <c r="Z1902" s="3">
        <f>SUMPRODUCT($B1902:$Y1902,$B$2649:$Y$2649)</f>
        <v/>
      </c>
      <c r="AA1902" s="3">
        <f>SUMPRODUCT($B1902:$Y1902,$B$2655:$Y$2655)</f>
        <v/>
      </c>
      <c r="AC1902" s="1">
        <f>A1902</f>
        <v/>
      </c>
      <c r="AD1902">
        <f>IF(ISNUMBER(V1902),V1902*($AB$1/V$2635),"")</f>
        <v/>
      </c>
      <c r="AE1902">
        <f>IF(ISNUMBER(Z1902),Z1902*($AB$1/Z$2635),"")</f>
        <v/>
      </c>
      <c r="AF1902" s="25">
        <f>IF(ISNUMBER(AD1902+AE1902),AD1902+AE1902,"")</f>
        <v/>
      </c>
      <c r="AH1902" s="1">
        <f>A1902</f>
        <v/>
      </c>
      <c r="AI1902">
        <f>IF(ISNUMBER((1+V1902)*AI1901),(1+V1902)*AI1901,AI1901)</f>
        <v/>
      </c>
      <c r="AJ1902">
        <f>IF(ISNUMBER((1+Z1902)*AJ1901),(1+Z1902)*AJ1901,AJ1901)</f>
        <v/>
      </c>
    </row>
    <row r="1903">
      <c r="A1903" s="1" t="n">
        <v>44763</v>
      </c>
      <c r="B1903" s="3">
        <f>IF(ORIG!B1903=0,"",ORIG!B1903)</f>
        <v/>
      </c>
      <c r="C1903" s="3">
        <f>IF(ORIG!C1903=0,"",ORIG!C1903)</f>
        <v/>
      </c>
      <c r="D1903" s="3">
        <f>IF(ORIG!D1903=0,"",ORIG!D1903)</f>
        <v/>
      </c>
      <c r="E1903" s="3">
        <f>IF(ORIG!E1903=0,"",ORIG!E1903)</f>
        <v/>
      </c>
      <c r="F1903" s="3">
        <f>IF(ORIG!F1903=0,"",ORIG!F1903)</f>
        <v/>
      </c>
      <c r="G1903" s="3">
        <f>IF(ORIG!G1903=0,"",ORIG!G1903)</f>
        <v/>
      </c>
      <c r="H1903" s="3">
        <f>IF(ORIG!H1903=0,"",ORIG!H1903)</f>
        <v/>
      </c>
      <c r="I1903" s="3">
        <f>IF(ORIG!I1903=0,"",ORIG!I1903)</f>
        <v/>
      </c>
      <c r="J1903" s="3">
        <f>IF(ORIG!J1903=0,"",ORIG!J1903)</f>
        <v/>
      </c>
      <c r="K1903" s="3">
        <f>IF(ORIG!K1903=0,"",ORIG!K1903)</f>
        <v/>
      </c>
      <c r="L1903" s="3">
        <f>IF(ORIG!L1903=0,"",ORIG!L1903)</f>
        <v/>
      </c>
      <c r="M1903" s="3">
        <f>IF(ORIG!M1903=0,"",ORIG!M1903)</f>
        <v/>
      </c>
      <c r="N1903" s="3">
        <f>IF(ORIG!N1903=0,"",ORIG!N1903)</f>
        <v/>
      </c>
      <c r="O1903" s="3">
        <f>IF(ORIG!O1903=0,"",ORIG!O1903)</f>
        <v/>
      </c>
      <c r="P1903" s="3">
        <f>IF(ORIG!P1903=0,"",ORIG!P1903)</f>
        <v/>
      </c>
      <c r="Q1903" s="3">
        <f>IF(ORIG!Q1903=0,"",ORIG!Q1903)</f>
        <v/>
      </c>
      <c r="R1903" s="3">
        <f>IF(ORIG!R1903=0,"",ORIG!R1903)</f>
        <v/>
      </c>
      <c r="S1903" s="3">
        <f>IF(ORIG!S1903=0,"",ORIG!S1903)</f>
        <v/>
      </c>
      <c r="T1903" s="3">
        <f>IF(ORIG!T1903=0,"",ORIG!T1903)</f>
        <v/>
      </c>
      <c r="U1903" s="3">
        <f>IF(ORIG!U1903=0,"",ORIG!U1903)</f>
        <v/>
      </c>
      <c r="V1903" s="9">
        <f>IF(ORIG!V1903=0,"",ORIG!V1903)</f>
        <v/>
      </c>
      <c r="W1903" s="9">
        <f>IF(ORIG!W1903=0,"",ORIG!W1903)</f>
        <v/>
      </c>
      <c r="X1903" s="9">
        <f>IF(ORIG!X1903=0,"",ORIG!X1903)</f>
        <v/>
      </c>
      <c r="Y1903" s="9">
        <f>IF(ORIG!Y1903=0,"",ORIG!Y1903)</f>
        <v/>
      </c>
      <c r="Z1903" s="3">
        <f>SUMPRODUCT($B1903:$Y1903,$B$2649:$Y$2649)</f>
        <v/>
      </c>
      <c r="AA1903" s="3">
        <f>SUMPRODUCT($B1903:$Y1903,$B$2655:$Y$2655)</f>
        <v/>
      </c>
      <c r="AC1903" s="1">
        <f>A1903</f>
        <v/>
      </c>
      <c r="AD1903">
        <f>IF(ISNUMBER(V1903),V1903*($AB$1/V$2635),"")</f>
        <v/>
      </c>
      <c r="AE1903">
        <f>IF(ISNUMBER(Z1903),Z1903*($AB$1/Z$2635),"")</f>
        <v/>
      </c>
      <c r="AF1903" s="25">
        <f>IF(ISNUMBER(AD1903+AE1903),AD1903+AE1903,"")</f>
        <v/>
      </c>
      <c r="AH1903" s="1">
        <f>A1903</f>
        <v/>
      </c>
      <c r="AI1903">
        <f>IF(ISNUMBER((1+V1903)*AI1902),(1+V1903)*AI1902,AI1902)</f>
        <v/>
      </c>
      <c r="AJ1903">
        <f>IF(ISNUMBER((1+Z1903)*AJ1902),(1+Z1903)*AJ1902,AJ1902)</f>
        <v/>
      </c>
    </row>
    <row r="1904">
      <c r="A1904" s="1" t="n">
        <v>44764</v>
      </c>
      <c r="B1904" s="3">
        <f>IF(ORIG!B1904=0,"",ORIG!B1904)</f>
        <v/>
      </c>
      <c r="C1904" s="3">
        <f>IF(ORIG!C1904=0,"",ORIG!C1904)</f>
        <v/>
      </c>
      <c r="D1904" s="3">
        <f>IF(ORIG!D1904=0,"",ORIG!D1904)</f>
        <v/>
      </c>
      <c r="E1904" s="3">
        <f>IF(ORIG!E1904=0,"",ORIG!E1904)</f>
        <v/>
      </c>
      <c r="F1904" s="3">
        <f>IF(ORIG!F1904=0,"",ORIG!F1904)</f>
        <v/>
      </c>
      <c r="G1904" s="3">
        <f>IF(ORIG!G1904=0,"",ORIG!G1904)</f>
        <v/>
      </c>
      <c r="H1904" s="3">
        <f>IF(ORIG!H1904=0,"",ORIG!H1904)</f>
        <v/>
      </c>
      <c r="I1904" s="3">
        <f>IF(ORIG!I1904=0,"",ORIG!I1904)</f>
        <v/>
      </c>
      <c r="J1904" s="3">
        <f>IF(ORIG!J1904=0,"",ORIG!J1904)</f>
        <v/>
      </c>
      <c r="K1904" s="3">
        <f>IF(ORIG!K1904=0,"",ORIG!K1904)</f>
        <v/>
      </c>
      <c r="L1904" s="3">
        <f>IF(ORIG!L1904=0,"",ORIG!L1904)</f>
        <v/>
      </c>
      <c r="M1904" s="3">
        <f>IF(ORIG!M1904=0,"",ORIG!M1904)</f>
        <v/>
      </c>
      <c r="N1904" s="3">
        <f>IF(ORIG!N1904=0,"",ORIG!N1904)</f>
        <v/>
      </c>
      <c r="O1904" s="3">
        <f>IF(ORIG!O1904=0,"",ORIG!O1904)</f>
        <v/>
      </c>
      <c r="P1904" s="3">
        <f>IF(ORIG!P1904=0,"",ORIG!P1904)</f>
        <v/>
      </c>
      <c r="Q1904" s="3">
        <f>IF(ORIG!Q1904=0,"",ORIG!Q1904)</f>
        <v/>
      </c>
      <c r="R1904" s="3">
        <f>IF(ORIG!R1904=0,"",ORIG!R1904)</f>
        <v/>
      </c>
      <c r="S1904" s="3">
        <f>IF(ORIG!S1904=0,"",ORIG!S1904)</f>
        <v/>
      </c>
      <c r="T1904" s="3">
        <f>IF(ORIG!T1904=0,"",ORIG!T1904)</f>
        <v/>
      </c>
      <c r="U1904" s="3">
        <f>IF(ORIG!U1904=0,"",ORIG!U1904)</f>
        <v/>
      </c>
      <c r="V1904" s="9">
        <f>IF(ORIG!V1904=0,"",ORIG!V1904)</f>
        <v/>
      </c>
      <c r="W1904" s="9">
        <f>IF(ORIG!W1904=0,"",ORIG!W1904)</f>
        <v/>
      </c>
      <c r="X1904" s="9">
        <f>IF(ORIG!X1904=0,"",ORIG!X1904)</f>
        <v/>
      </c>
      <c r="Y1904" s="9">
        <f>IF(ORIG!Y1904=0,"",ORIG!Y1904)</f>
        <v/>
      </c>
      <c r="Z1904" s="3">
        <f>SUMPRODUCT($B1904:$Y1904,$B$2649:$Y$2649)</f>
        <v/>
      </c>
      <c r="AA1904" s="3">
        <f>SUMPRODUCT($B1904:$Y1904,$B$2655:$Y$2655)</f>
        <v/>
      </c>
      <c r="AC1904" s="1">
        <f>A1904</f>
        <v/>
      </c>
      <c r="AD1904">
        <f>IF(ISNUMBER(V1904),V1904*($AB$1/V$2635),"")</f>
        <v/>
      </c>
      <c r="AE1904">
        <f>IF(ISNUMBER(Z1904),Z1904*($AB$1/Z$2635),"")</f>
        <v/>
      </c>
      <c r="AF1904" s="25">
        <f>IF(ISNUMBER(AD1904+AE1904),AD1904+AE1904,"")</f>
        <v/>
      </c>
      <c r="AH1904" s="1">
        <f>A1904</f>
        <v/>
      </c>
      <c r="AI1904">
        <f>IF(ISNUMBER((1+V1904)*AI1903),(1+V1904)*AI1903,AI1903)</f>
        <v/>
      </c>
      <c r="AJ1904">
        <f>IF(ISNUMBER((1+Z1904)*AJ1903),(1+Z1904)*AJ1903,AJ1903)</f>
        <v/>
      </c>
    </row>
    <row r="1905">
      <c r="A1905" s="1" t="n">
        <v>44767</v>
      </c>
      <c r="B1905" s="3">
        <f>IF(ORIG!B1905=0,"",ORIG!B1905)</f>
        <v/>
      </c>
      <c r="C1905" s="3">
        <f>IF(ORIG!C1905=0,"",ORIG!C1905)</f>
        <v/>
      </c>
      <c r="D1905" s="3">
        <f>IF(ORIG!D1905=0,"",ORIG!D1905)</f>
        <v/>
      </c>
      <c r="E1905" s="3">
        <f>IF(ORIG!E1905=0,"",ORIG!E1905)</f>
        <v/>
      </c>
      <c r="F1905" s="3">
        <f>IF(ORIG!F1905=0,"",ORIG!F1905)</f>
        <v/>
      </c>
      <c r="G1905" s="3">
        <f>IF(ORIG!G1905=0,"",ORIG!G1905)</f>
        <v/>
      </c>
      <c r="H1905" s="3">
        <f>IF(ORIG!H1905=0,"",ORIG!H1905)</f>
        <v/>
      </c>
      <c r="I1905" s="3">
        <f>IF(ORIG!I1905=0,"",ORIG!I1905)</f>
        <v/>
      </c>
      <c r="J1905" s="3">
        <f>IF(ORIG!J1905=0,"",ORIG!J1905)</f>
        <v/>
      </c>
      <c r="K1905" s="3">
        <f>IF(ORIG!K1905=0,"",ORIG!K1905)</f>
        <v/>
      </c>
      <c r="L1905" s="3">
        <f>IF(ORIG!L1905=0,"",ORIG!L1905)</f>
        <v/>
      </c>
      <c r="M1905" s="3">
        <f>IF(ORIG!M1905=0,"",ORIG!M1905)</f>
        <v/>
      </c>
      <c r="N1905" s="3">
        <f>IF(ORIG!N1905=0,"",ORIG!N1905)</f>
        <v/>
      </c>
      <c r="O1905" s="3">
        <f>IF(ORIG!O1905=0,"",ORIG!O1905)</f>
        <v/>
      </c>
      <c r="P1905" s="3">
        <f>IF(ORIG!P1905=0,"",ORIG!P1905)</f>
        <v/>
      </c>
      <c r="Q1905" s="3">
        <f>IF(ORIG!Q1905=0,"",ORIG!Q1905)</f>
        <v/>
      </c>
      <c r="R1905" s="3">
        <f>IF(ORIG!R1905=0,"",ORIG!R1905)</f>
        <v/>
      </c>
      <c r="S1905" s="3">
        <f>IF(ORIG!S1905=0,"",ORIG!S1905)</f>
        <v/>
      </c>
      <c r="T1905" s="3">
        <f>IF(ORIG!T1905=0,"",ORIG!T1905)</f>
        <v/>
      </c>
      <c r="U1905" s="3">
        <f>IF(ORIG!U1905=0,"",ORIG!U1905)</f>
        <v/>
      </c>
      <c r="V1905" s="9">
        <f>IF(ORIG!V1905=0,"",ORIG!V1905)</f>
        <v/>
      </c>
      <c r="W1905" s="9">
        <f>IF(ORIG!W1905=0,"",ORIG!W1905)</f>
        <v/>
      </c>
      <c r="X1905" s="9">
        <f>IF(ORIG!X1905=0,"",ORIG!X1905)</f>
        <v/>
      </c>
      <c r="Y1905" s="9">
        <f>IF(ORIG!Y1905=0,"",ORIG!Y1905)</f>
        <v/>
      </c>
      <c r="Z1905" s="3">
        <f>SUMPRODUCT($B1905:$Y1905,$B$2649:$Y$2649)</f>
        <v/>
      </c>
      <c r="AA1905" s="3">
        <f>SUMPRODUCT($B1905:$Y1905,$B$2655:$Y$2655)</f>
        <v/>
      </c>
      <c r="AC1905" s="1">
        <f>A1905</f>
        <v/>
      </c>
      <c r="AD1905">
        <f>IF(ISNUMBER(V1905),V1905*($AB$1/V$2635),"")</f>
        <v/>
      </c>
      <c r="AE1905">
        <f>IF(ISNUMBER(Z1905),Z1905*($AB$1/Z$2635),"")</f>
        <v/>
      </c>
      <c r="AF1905" s="25">
        <f>IF(ISNUMBER(AD1905+AE1905),AD1905+AE1905,"")</f>
        <v/>
      </c>
      <c r="AH1905" s="1">
        <f>A1905</f>
        <v/>
      </c>
      <c r="AI1905">
        <f>IF(ISNUMBER((1+V1905)*AI1904),(1+V1905)*AI1904,AI1904)</f>
        <v/>
      </c>
      <c r="AJ1905">
        <f>IF(ISNUMBER((1+Z1905)*AJ1904),(1+Z1905)*AJ1904,AJ1904)</f>
        <v/>
      </c>
    </row>
    <row r="1906">
      <c r="A1906" s="1" t="n">
        <v>44768</v>
      </c>
      <c r="B1906" s="3">
        <f>IF(ORIG!B1906=0,"",ORIG!B1906)</f>
        <v/>
      </c>
      <c r="C1906" s="3">
        <f>IF(ORIG!C1906=0,"",ORIG!C1906)</f>
        <v/>
      </c>
      <c r="D1906" s="3">
        <f>IF(ORIG!D1906=0,"",ORIG!D1906)</f>
        <v/>
      </c>
      <c r="E1906" s="3">
        <f>IF(ORIG!E1906=0,"",ORIG!E1906)</f>
        <v/>
      </c>
      <c r="F1906" s="3">
        <f>IF(ORIG!F1906=0,"",ORIG!F1906)</f>
        <v/>
      </c>
      <c r="G1906" s="3">
        <f>IF(ORIG!G1906=0,"",ORIG!G1906)</f>
        <v/>
      </c>
      <c r="H1906" s="3">
        <f>IF(ORIG!H1906=0,"",ORIG!H1906)</f>
        <v/>
      </c>
      <c r="I1906" s="3">
        <f>IF(ORIG!I1906=0,"",ORIG!I1906)</f>
        <v/>
      </c>
      <c r="J1906" s="3">
        <f>IF(ORIG!J1906=0,"",ORIG!J1906)</f>
        <v/>
      </c>
      <c r="K1906" s="3">
        <f>IF(ORIG!K1906=0,"",ORIG!K1906)</f>
        <v/>
      </c>
      <c r="L1906" s="3">
        <f>IF(ORIG!L1906=0,"",ORIG!L1906)</f>
        <v/>
      </c>
      <c r="M1906" s="3">
        <f>IF(ORIG!M1906=0,"",ORIG!M1906)</f>
        <v/>
      </c>
      <c r="N1906" s="3">
        <f>IF(ORIG!N1906=0,"",ORIG!N1906)</f>
        <v/>
      </c>
      <c r="O1906" s="3">
        <f>IF(ORIG!O1906=0,"",ORIG!O1906)</f>
        <v/>
      </c>
      <c r="P1906" s="3">
        <f>IF(ORIG!P1906=0,"",ORIG!P1906)</f>
        <v/>
      </c>
      <c r="Q1906" s="3">
        <f>IF(ORIG!Q1906=0,"",ORIG!Q1906)</f>
        <v/>
      </c>
      <c r="R1906" s="3">
        <f>IF(ORIG!R1906=0,"",ORIG!R1906)</f>
        <v/>
      </c>
      <c r="S1906" s="3">
        <f>IF(ORIG!S1906=0,"",ORIG!S1906)</f>
        <v/>
      </c>
      <c r="T1906" s="3">
        <f>IF(ORIG!T1906=0,"",ORIG!T1906)</f>
        <v/>
      </c>
      <c r="U1906" s="3">
        <f>IF(ORIG!U1906=0,"",ORIG!U1906)</f>
        <v/>
      </c>
      <c r="V1906" s="9">
        <f>IF(ORIG!V1906=0,"",ORIG!V1906)</f>
        <v/>
      </c>
      <c r="W1906" s="9">
        <f>IF(ORIG!W1906=0,"",ORIG!W1906)</f>
        <v/>
      </c>
      <c r="X1906" s="9">
        <f>IF(ORIG!X1906=0,"",ORIG!X1906)</f>
        <v/>
      </c>
      <c r="Y1906" s="9">
        <f>IF(ORIG!Y1906=0,"",ORIG!Y1906)</f>
        <v/>
      </c>
      <c r="Z1906" s="3">
        <f>SUMPRODUCT($B1906:$Y1906,$B$2649:$Y$2649)</f>
        <v/>
      </c>
      <c r="AA1906" s="3">
        <f>SUMPRODUCT($B1906:$Y1906,$B$2655:$Y$2655)</f>
        <v/>
      </c>
      <c r="AC1906" s="1">
        <f>A1906</f>
        <v/>
      </c>
      <c r="AD1906">
        <f>IF(ISNUMBER(V1906),V1906*($AB$1/V$2635),"")</f>
        <v/>
      </c>
      <c r="AE1906">
        <f>IF(ISNUMBER(Z1906),Z1906*($AB$1/Z$2635),"")</f>
        <v/>
      </c>
      <c r="AF1906" s="25">
        <f>IF(ISNUMBER(AD1906+AE1906),AD1906+AE1906,"")</f>
        <v/>
      </c>
      <c r="AH1906" s="1">
        <f>A1906</f>
        <v/>
      </c>
      <c r="AI1906">
        <f>IF(ISNUMBER((1+V1906)*AI1905),(1+V1906)*AI1905,AI1905)</f>
        <v/>
      </c>
      <c r="AJ1906">
        <f>IF(ISNUMBER((1+Z1906)*AJ1905),(1+Z1906)*AJ1905,AJ1905)</f>
        <v/>
      </c>
    </row>
    <row r="1907">
      <c r="A1907" s="1" t="n">
        <v>44769</v>
      </c>
      <c r="B1907" s="3">
        <f>IF(ORIG!B1907=0,"",ORIG!B1907)</f>
        <v/>
      </c>
      <c r="C1907" s="3">
        <f>IF(ORIG!C1907=0,"",ORIG!C1907)</f>
        <v/>
      </c>
      <c r="D1907" s="3">
        <f>IF(ORIG!D1907=0,"",ORIG!D1907)</f>
        <v/>
      </c>
      <c r="E1907" s="3">
        <f>IF(ORIG!E1907=0,"",ORIG!E1907)</f>
        <v/>
      </c>
      <c r="F1907" s="3">
        <f>IF(ORIG!F1907=0,"",ORIG!F1907)</f>
        <v/>
      </c>
      <c r="G1907" s="3">
        <f>IF(ORIG!G1907=0,"",ORIG!G1907)</f>
        <v/>
      </c>
      <c r="H1907" s="3">
        <f>IF(ORIG!H1907=0,"",ORIG!H1907)</f>
        <v/>
      </c>
      <c r="I1907" s="3">
        <f>IF(ORIG!I1907=0,"",ORIG!I1907)</f>
        <v/>
      </c>
      <c r="J1907" s="3">
        <f>IF(ORIG!J1907=0,"",ORIG!J1907)</f>
        <v/>
      </c>
      <c r="K1907" s="3">
        <f>IF(ORIG!K1907=0,"",ORIG!K1907)</f>
        <v/>
      </c>
      <c r="L1907" s="3">
        <f>IF(ORIG!L1907=0,"",ORIG!L1907)</f>
        <v/>
      </c>
      <c r="M1907" s="3">
        <f>IF(ORIG!M1907=0,"",ORIG!M1907)</f>
        <v/>
      </c>
      <c r="N1907" s="3">
        <f>IF(ORIG!N1907=0,"",ORIG!N1907)</f>
        <v/>
      </c>
      <c r="O1907" s="3">
        <f>IF(ORIG!O1907=0,"",ORIG!O1907)</f>
        <v/>
      </c>
      <c r="P1907" s="3">
        <f>IF(ORIG!P1907=0,"",ORIG!P1907)</f>
        <v/>
      </c>
      <c r="Q1907" s="3">
        <f>IF(ORIG!Q1907=0,"",ORIG!Q1907)</f>
        <v/>
      </c>
      <c r="R1907" s="3">
        <f>IF(ORIG!R1907=0,"",ORIG!R1907)</f>
        <v/>
      </c>
      <c r="S1907" s="3">
        <f>IF(ORIG!S1907=0,"",ORIG!S1907)</f>
        <v/>
      </c>
      <c r="T1907" s="3">
        <f>IF(ORIG!T1907=0,"",ORIG!T1907)</f>
        <v/>
      </c>
      <c r="U1907" s="3">
        <f>IF(ORIG!U1907=0,"",ORIG!U1907)</f>
        <v/>
      </c>
      <c r="V1907" s="9">
        <f>IF(ORIG!V1907=0,"",ORIG!V1907)</f>
        <v/>
      </c>
      <c r="W1907" s="9">
        <f>IF(ORIG!W1907=0,"",ORIG!W1907)</f>
        <v/>
      </c>
      <c r="X1907" s="9">
        <f>IF(ORIG!X1907=0,"",ORIG!X1907)</f>
        <v/>
      </c>
      <c r="Y1907" s="9">
        <f>IF(ORIG!Y1907=0,"",ORIG!Y1907)</f>
        <v/>
      </c>
      <c r="Z1907" s="3">
        <f>SUMPRODUCT($B1907:$Y1907,$B$2649:$Y$2649)</f>
        <v/>
      </c>
      <c r="AA1907" s="3">
        <f>SUMPRODUCT($B1907:$Y1907,$B$2655:$Y$2655)</f>
        <v/>
      </c>
      <c r="AC1907" s="1">
        <f>A1907</f>
        <v/>
      </c>
      <c r="AD1907">
        <f>IF(ISNUMBER(V1907),V1907*($AB$1/V$2635),"")</f>
        <v/>
      </c>
      <c r="AE1907">
        <f>IF(ISNUMBER(Z1907),Z1907*($AB$1/Z$2635),"")</f>
        <v/>
      </c>
      <c r="AF1907" s="25">
        <f>IF(ISNUMBER(AD1907+AE1907),AD1907+AE1907,"")</f>
        <v/>
      </c>
      <c r="AH1907" s="1">
        <f>A1907</f>
        <v/>
      </c>
      <c r="AI1907">
        <f>IF(ISNUMBER((1+V1907)*AI1906),(1+V1907)*AI1906,AI1906)</f>
        <v/>
      </c>
      <c r="AJ1907">
        <f>IF(ISNUMBER((1+Z1907)*AJ1906),(1+Z1907)*AJ1906,AJ1906)</f>
        <v/>
      </c>
    </row>
    <row r="1908">
      <c r="A1908" s="1" t="n">
        <v>44770</v>
      </c>
      <c r="B1908" s="3">
        <f>IF(ORIG!B1908=0,"",ORIG!B1908)</f>
        <v/>
      </c>
      <c r="C1908" s="3">
        <f>IF(ORIG!C1908=0,"",ORIG!C1908)</f>
        <v/>
      </c>
      <c r="D1908" s="3">
        <f>IF(ORIG!D1908=0,"",ORIG!D1908)</f>
        <v/>
      </c>
      <c r="E1908" s="3">
        <f>IF(ORIG!E1908=0,"",ORIG!E1908)</f>
        <v/>
      </c>
      <c r="F1908" s="3">
        <f>IF(ORIG!F1908=0,"",ORIG!F1908)</f>
        <v/>
      </c>
      <c r="G1908" s="3">
        <f>IF(ORIG!G1908=0,"",ORIG!G1908)</f>
        <v/>
      </c>
      <c r="H1908" s="3">
        <f>IF(ORIG!H1908=0,"",ORIG!H1908)</f>
        <v/>
      </c>
      <c r="I1908" s="3">
        <f>IF(ORIG!I1908=0,"",ORIG!I1908)</f>
        <v/>
      </c>
      <c r="J1908" s="3">
        <f>IF(ORIG!J1908=0,"",ORIG!J1908)</f>
        <v/>
      </c>
      <c r="K1908" s="3">
        <f>IF(ORIG!K1908=0,"",ORIG!K1908)</f>
        <v/>
      </c>
      <c r="L1908" s="3">
        <f>IF(ORIG!L1908=0,"",ORIG!L1908)</f>
        <v/>
      </c>
      <c r="M1908" s="3">
        <f>IF(ORIG!M1908=0,"",ORIG!M1908)</f>
        <v/>
      </c>
      <c r="N1908" s="3">
        <f>IF(ORIG!N1908=0,"",ORIG!N1908)</f>
        <v/>
      </c>
      <c r="O1908" s="3">
        <f>IF(ORIG!O1908=0,"",ORIG!O1908)</f>
        <v/>
      </c>
      <c r="P1908" s="3">
        <f>IF(ORIG!P1908=0,"",ORIG!P1908)</f>
        <v/>
      </c>
      <c r="Q1908" s="3">
        <f>IF(ORIG!Q1908=0,"",ORIG!Q1908)</f>
        <v/>
      </c>
      <c r="R1908" s="3">
        <f>IF(ORIG!R1908=0,"",ORIG!R1908)</f>
        <v/>
      </c>
      <c r="S1908" s="3">
        <f>IF(ORIG!S1908=0,"",ORIG!S1908)</f>
        <v/>
      </c>
      <c r="T1908" s="3">
        <f>IF(ORIG!T1908=0,"",ORIG!T1908)</f>
        <v/>
      </c>
      <c r="U1908" s="3">
        <f>IF(ORIG!U1908=0,"",ORIG!U1908)</f>
        <v/>
      </c>
      <c r="V1908" s="9">
        <f>IF(ORIG!V1908=0,"",ORIG!V1908)</f>
        <v/>
      </c>
      <c r="W1908" s="9">
        <f>IF(ORIG!W1908=0,"",ORIG!W1908)</f>
        <v/>
      </c>
      <c r="X1908" s="9">
        <f>IF(ORIG!X1908=0,"",ORIG!X1908)</f>
        <v/>
      </c>
      <c r="Y1908" s="9">
        <f>IF(ORIG!Y1908=0,"",ORIG!Y1908)</f>
        <v/>
      </c>
      <c r="Z1908" s="3">
        <f>SUMPRODUCT($B1908:$Y1908,$B$2649:$Y$2649)</f>
        <v/>
      </c>
      <c r="AA1908" s="3">
        <f>SUMPRODUCT($B1908:$Y1908,$B$2655:$Y$2655)</f>
        <v/>
      </c>
      <c r="AC1908" s="1">
        <f>A1908</f>
        <v/>
      </c>
      <c r="AD1908">
        <f>IF(ISNUMBER(V1908),V1908*($AB$1/V$2635),"")</f>
        <v/>
      </c>
      <c r="AE1908">
        <f>IF(ISNUMBER(Z1908),Z1908*($AB$1/Z$2635),"")</f>
        <v/>
      </c>
      <c r="AF1908" s="25">
        <f>IF(ISNUMBER(AD1908+AE1908),AD1908+AE1908,"")</f>
        <v/>
      </c>
      <c r="AH1908" s="1">
        <f>A1908</f>
        <v/>
      </c>
      <c r="AI1908">
        <f>IF(ISNUMBER((1+V1908)*AI1907),(1+V1908)*AI1907,AI1907)</f>
        <v/>
      </c>
      <c r="AJ1908">
        <f>IF(ISNUMBER((1+Z1908)*AJ1907),(1+Z1908)*AJ1907,AJ1907)</f>
        <v/>
      </c>
    </row>
    <row r="1909">
      <c r="A1909" s="1" t="n">
        <v>44771</v>
      </c>
      <c r="B1909" s="3">
        <f>IF(ORIG!B1909=0,"",ORIG!B1909)</f>
        <v/>
      </c>
      <c r="C1909" s="3">
        <f>IF(ORIG!C1909=0,"",ORIG!C1909)</f>
        <v/>
      </c>
      <c r="D1909" s="3">
        <f>IF(ORIG!D1909=0,"",ORIG!D1909)</f>
        <v/>
      </c>
      <c r="E1909" s="3">
        <f>IF(ORIG!E1909=0,"",ORIG!E1909)</f>
        <v/>
      </c>
      <c r="F1909" s="3">
        <f>IF(ORIG!F1909=0,"",ORIG!F1909)</f>
        <v/>
      </c>
      <c r="G1909" s="3">
        <f>IF(ORIG!G1909=0,"",ORIG!G1909)</f>
        <v/>
      </c>
      <c r="H1909" s="3">
        <f>IF(ORIG!H1909=0,"",ORIG!H1909)</f>
        <v/>
      </c>
      <c r="I1909" s="3">
        <f>IF(ORIG!I1909=0,"",ORIG!I1909)</f>
        <v/>
      </c>
      <c r="J1909" s="3">
        <f>IF(ORIG!J1909=0,"",ORIG!J1909)</f>
        <v/>
      </c>
      <c r="K1909" s="3">
        <f>IF(ORIG!K1909=0,"",ORIG!K1909)</f>
        <v/>
      </c>
      <c r="L1909" s="3">
        <f>IF(ORIG!L1909=0,"",ORIG!L1909)</f>
        <v/>
      </c>
      <c r="M1909" s="3">
        <f>IF(ORIG!M1909=0,"",ORIG!M1909)</f>
        <v/>
      </c>
      <c r="N1909" s="3">
        <f>IF(ORIG!N1909=0,"",ORIG!N1909)</f>
        <v/>
      </c>
      <c r="O1909" s="3">
        <f>IF(ORIG!O1909=0,"",ORIG!O1909)</f>
        <v/>
      </c>
      <c r="P1909" s="3">
        <f>IF(ORIG!P1909=0,"",ORIG!P1909)</f>
        <v/>
      </c>
      <c r="Q1909" s="3">
        <f>IF(ORIG!Q1909=0,"",ORIG!Q1909)</f>
        <v/>
      </c>
      <c r="R1909" s="3">
        <f>IF(ORIG!R1909=0,"",ORIG!R1909)</f>
        <v/>
      </c>
      <c r="S1909" s="3">
        <f>IF(ORIG!S1909=0,"",ORIG!S1909)</f>
        <v/>
      </c>
      <c r="T1909" s="3">
        <f>IF(ORIG!T1909=0,"",ORIG!T1909)</f>
        <v/>
      </c>
      <c r="U1909" s="3">
        <f>IF(ORIG!U1909=0,"",ORIG!U1909)</f>
        <v/>
      </c>
      <c r="V1909" s="9">
        <f>IF(ORIG!V1909=0,"",ORIG!V1909)</f>
        <v/>
      </c>
      <c r="W1909" s="9">
        <f>IF(ORIG!W1909=0,"",ORIG!W1909)</f>
        <v/>
      </c>
      <c r="X1909" s="9">
        <f>IF(ORIG!X1909=0,"",ORIG!X1909)</f>
        <v/>
      </c>
      <c r="Y1909" s="9">
        <f>IF(ORIG!Y1909=0,"",ORIG!Y1909)</f>
        <v/>
      </c>
      <c r="Z1909" s="3">
        <f>SUMPRODUCT($B1909:$Y1909,$B$2649:$Y$2649)</f>
        <v/>
      </c>
      <c r="AA1909" s="3">
        <f>SUMPRODUCT($B1909:$Y1909,$B$2655:$Y$2655)</f>
        <v/>
      </c>
      <c r="AC1909" s="1">
        <f>A1909</f>
        <v/>
      </c>
      <c r="AD1909">
        <f>IF(ISNUMBER(V1909),V1909*($AB$1/V$2635),"")</f>
        <v/>
      </c>
      <c r="AE1909">
        <f>IF(ISNUMBER(Z1909),Z1909*($AB$1/Z$2635),"")</f>
        <v/>
      </c>
      <c r="AF1909" s="25">
        <f>IF(ISNUMBER(AD1909+AE1909),AD1909+AE1909,"")</f>
        <v/>
      </c>
      <c r="AH1909" s="1">
        <f>A1909</f>
        <v/>
      </c>
      <c r="AI1909">
        <f>IF(ISNUMBER((1+V1909)*AI1908),(1+V1909)*AI1908,AI1908)</f>
        <v/>
      </c>
      <c r="AJ1909">
        <f>IF(ISNUMBER((1+Z1909)*AJ1908),(1+Z1909)*AJ1908,AJ1908)</f>
        <v/>
      </c>
    </row>
    <row r="1910">
      <c r="A1910" s="1" t="n">
        <v>44774</v>
      </c>
      <c r="B1910" s="3">
        <f>IF(ORIG!B1910=0,"",ORIG!B1910)</f>
        <v/>
      </c>
      <c r="C1910" s="3">
        <f>IF(ORIG!C1910=0,"",ORIG!C1910)</f>
        <v/>
      </c>
      <c r="D1910" s="3">
        <f>IF(ORIG!D1910=0,"",ORIG!D1910)</f>
        <v/>
      </c>
      <c r="E1910" s="3">
        <f>IF(ORIG!E1910=0,"",ORIG!E1910)</f>
        <v/>
      </c>
      <c r="F1910" s="3">
        <f>IF(ORIG!F1910=0,"",ORIG!F1910)</f>
        <v/>
      </c>
      <c r="G1910" s="3">
        <f>IF(ORIG!G1910=0,"",ORIG!G1910)</f>
        <v/>
      </c>
      <c r="H1910" s="3">
        <f>IF(ORIG!H1910=0,"",ORIG!H1910)</f>
        <v/>
      </c>
      <c r="I1910" s="3">
        <f>IF(ORIG!I1910=0,"",ORIG!I1910)</f>
        <v/>
      </c>
      <c r="J1910" s="3">
        <f>IF(ORIG!J1910=0,"",ORIG!J1910)</f>
        <v/>
      </c>
      <c r="K1910" s="3">
        <f>IF(ORIG!K1910=0,"",ORIG!K1910)</f>
        <v/>
      </c>
      <c r="L1910" s="3">
        <f>IF(ORIG!L1910=0,"",ORIG!L1910)</f>
        <v/>
      </c>
      <c r="M1910" s="3">
        <f>IF(ORIG!M1910=0,"",ORIG!M1910)</f>
        <v/>
      </c>
      <c r="N1910" s="3">
        <f>IF(ORIG!N1910=0,"",ORIG!N1910)</f>
        <v/>
      </c>
      <c r="O1910" s="3">
        <f>IF(ORIG!O1910=0,"",ORIG!O1910)</f>
        <v/>
      </c>
      <c r="P1910" s="3">
        <f>IF(ORIG!P1910=0,"",ORIG!P1910)</f>
        <v/>
      </c>
      <c r="Q1910" s="3">
        <f>IF(ORIG!Q1910=0,"",ORIG!Q1910)</f>
        <v/>
      </c>
      <c r="R1910" s="3">
        <f>IF(ORIG!R1910=0,"",ORIG!R1910)</f>
        <v/>
      </c>
      <c r="S1910" s="3">
        <f>IF(ORIG!S1910=0,"",ORIG!S1910)</f>
        <v/>
      </c>
      <c r="T1910" s="3">
        <f>IF(ORIG!T1910=0,"",ORIG!T1910)</f>
        <v/>
      </c>
      <c r="U1910" s="3">
        <f>IF(ORIG!U1910=0,"",ORIG!U1910)</f>
        <v/>
      </c>
      <c r="V1910" s="9">
        <f>IF(ORIG!V1910=0,"",ORIG!V1910)</f>
        <v/>
      </c>
      <c r="W1910" s="9">
        <f>IF(ORIG!W1910=0,"",ORIG!W1910)</f>
        <v/>
      </c>
      <c r="X1910" s="9">
        <f>IF(ORIG!X1910=0,"",ORIG!X1910)</f>
        <v/>
      </c>
      <c r="Y1910" s="9">
        <f>IF(ORIG!Y1910=0,"",ORIG!Y1910)</f>
        <v/>
      </c>
      <c r="Z1910" s="3">
        <f>SUMPRODUCT($B1910:$Y1910,$B$2649:$Y$2649)</f>
        <v/>
      </c>
      <c r="AA1910" s="3">
        <f>SUMPRODUCT($B1910:$Y1910,$B$2655:$Y$2655)</f>
        <v/>
      </c>
      <c r="AC1910" s="1">
        <f>A1910</f>
        <v/>
      </c>
      <c r="AD1910">
        <f>IF(ISNUMBER(V1910),V1910*($AB$1/V$2635),"")</f>
        <v/>
      </c>
      <c r="AE1910">
        <f>IF(ISNUMBER(Z1910),Z1910*($AB$1/Z$2635),"")</f>
        <v/>
      </c>
      <c r="AF1910" s="25">
        <f>IF(ISNUMBER(AD1910+AE1910),AD1910+AE1910,"")</f>
        <v/>
      </c>
      <c r="AH1910" s="1">
        <f>A1910</f>
        <v/>
      </c>
      <c r="AI1910">
        <f>IF(ISNUMBER((1+V1910)*AI1909),(1+V1910)*AI1909,AI1909)</f>
        <v/>
      </c>
      <c r="AJ1910">
        <f>IF(ISNUMBER((1+Z1910)*AJ1909),(1+Z1910)*AJ1909,AJ1909)</f>
        <v/>
      </c>
    </row>
    <row r="1911">
      <c r="A1911" s="1" t="n">
        <v>44775</v>
      </c>
      <c r="B1911" s="3">
        <f>IF(ORIG!B1911=0,"",ORIG!B1911)</f>
        <v/>
      </c>
      <c r="C1911" s="3">
        <f>IF(ORIG!C1911=0,"",ORIG!C1911)</f>
        <v/>
      </c>
      <c r="D1911" s="3">
        <f>IF(ORIG!D1911=0,"",ORIG!D1911)</f>
        <v/>
      </c>
      <c r="E1911" s="3">
        <f>IF(ORIG!E1911=0,"",ORIG!E1911)</f>
        <v/>
      </c>
      <c r="F1911" s="3">
        <f>IF(ORIG!F1911=0,"",ORIG!F1911)</f>
        <v/>
      </c>
      <c r="G1911" s="3">
        <f>IF(ORIG!G1911=0,"",ORIG!G1911)</f>
        <v/>
      </c>
      <c r="H1911" s="3">
        <f>IF(ORIG!H1911=0,"",ORIG!H1911)</f>
        <v/>
      </c>
      <c r="I1911" s="3">
        <f>IF(ORIG!I1911=0,"",ORIG!I1911)</f>
        <v/>
      </c>
      <c r="J1911" s="3">
        <f>IF(ORIG!J1911=0,"",ORIG!J1911)</f>
        <v/>
      </c>
      <c r="K1911" s="3">
        <f>IF(ORIG!K1911=0,"",ORIG!K1911)</f>
        <v/>
      </c>
      <c r="L1911" s="3">
        <f>IF(ORIG!L1911=0,"",ORIG!L1911)</f>
        <v/>
      </c>
      <c r="M1911" s="3">
        <f>IF(ORIG!M1911=0,"",ORIG!M1911)</f>
        <v/>
      </c>
      <c r="N1911" s="3">
        <f>IF(ORIG!N1911=0,"",ORIG!N1911)</f>
        <v/>
      </c>
      <c r="O1911" s="3">
        <f>IF(ORIG!O1911=0,"",ORIG!O1911)</f>
        <v/>
      </c>
      <c r="P1911" s="3">
        <f>IF(ORIG!P1911=0,"",ORIG!P1911)</f>
        <v/>
      </c>
      <c r="Q1911" s="3">
        <f>IF(ORIG!Q1911=0,"",ORIG!Q1911)</f>
        <v/>
      </c>
      <c r="R1911" s="3">
        <f>IF(ORIG!R1911=0,"",ORIG!R1911)</f>
        <v/>
      </c>
      <c r="S1911" s="3">
        <f>IF(ORIG!S1911=0,"",ORIG!S1911)</f>
        <v/>
      </c>
      <c r="T1911" s="3">
        <f>IF(ORIG!T1911=0,"",ORIG!T1911)</f>
        <v/>
      </c>
      <c r="U1911" s="3">
        <f>IF(ORIG!U1911=0,"",ORIG!U1911)</f>
        <v/>
      </c>
      <c r="V1911" s="9">
        <f>IF(ORIG!V1911=0,"",ORIG!V1911)</f>
        <v/>
      </c>
      <c r="W1911" s="9">
        <f>IF(ORIG!W1911=0,"",ORIG!W1911)</f>
        <v/>
      </c>
      <c r="X1911" s="9">
        <f>IF(ORIG!X1911=0,"",ORIG!X1911)</f>
        <v/>
      </c>
      <c r="Y1911" s="9">
        <f>IF(ORIG!Y1911=0,"",ORIG!Y1911)</f>
        <v/>
      </c>
      <c r="Z1911" s="3">
        <f>SUMPRODUCT($B1911:$Y1911,$B$2649:$Y$2649)</f>
        <v/>
      </c>
      <c r="AA1911" s="3">
        <f>SUMPRODUCT($B1911:$Y1911,$B$2655:$Y$2655)</f>
        <v/>
      </c>
      <c r="AC1911" s="1">
        <f>A1911</f>
        <v/>
      </c>
      <c r="AD1911">
        <f>IF(ISNUMBER(V1911),V1911*($AB$1/V$2635),"")</f>
        <v/>
      </c>
      <c r="AE1911">
        <f>IF(ISNUMBER(Z1911),Z1911*($AB$1/Z$2635),"")</f>
        <v/>
      </c>
      <c r="AF1911" s="25">
        <f>IF(ISNUMBER(AD1911+AE1911),AD1911+AE1911,"")</f>
        <v/>
      </c>
      <c r="AH1911" s="1">
        <f>A1911</f>
        <v/>
      </c>
      <c r="AI1911">
        <f>IF(ISNUMBER((1+V1911)*AI1910),(1+V1911)*AI1910,AI1910)</f>
        <v/>
      </c>
      <c r="AJ1911">
        <f>IF(ISNUMBER((1+Z1911)*AJ1910),(1+Z1911)*AJ1910,AJ1910)</f>
        <v/>
      </c>
    </row>
    <row r="1912">
      <c r="A1912" s="1" t="n">
        <v>44776</v>
      </c>
      <c r="B1912" s="3">
        <f>IF(ORIG!B1912=0,"",ORIG!B1912)</f>
        <v/>
      </c>
      <c r="C1912" s="3">
        <f>IF(ORIG!C1912=0,"",ORIG!C1912)</f>
        <v/>
      </c>
      <c r="D1912" s="3">
        <f>IF(ORIG!D1912=0,"",ORIG!D1912)</f>
        <v/>
      </c>
      <c r="E1912" s="3">
        <f>IF(ORIG!E1912=0,"",ORIG!E1912)</f>
        <v/>
      </c>
      <c r="F1912" s="3">
        <f>IF(ORIG!F1912=0,"",ORIG!F1912)</f>
        <v/>
      </c>
      <c r="G1912" s="3">
        <f>IF(ORIG!G1912=0,"",ORIG!G1912)</f>
        <v/>
      </c>
      <c r="H1912" s="3">
        <f>IF(ORIG!H1912=0,"",ORIG!H1912)</f>
        <v/>
      </c>
      <c r="I1912" s="3">
        <f>IF(ORIG!I1912=0,"",ORIG!I1912)</f>
        <v/>
      </c>
      <c r="J1912" s="3">
        <f>IF(ORIG!J1912=0,"",ORIG!J1912)</f>
        <v/>
      </c>
      <c r="K1912" s="3">
        <f>IF(ORIG!K1912=0,"",ORIG!K1912)</f>
        <v/>
      </c>
      <c r="L1912" s="3">
        <f>IF(ORIG!L1912=0,"",ORIG!L1912)</f>
        <v/>
      </c>
      <c r="M1912" s="3">
        <f>IF(ORIG!M1912=0,"",ORIG!M1912)</f>
        <v/>
      </c>
      <c r="N1912" s="3">
        <f>IF(ORIG!N1912=0,"",ORIG!N1912)</f>
        <v/>
      </c>
      <c r="O1912" s="3">
        <f>IF(ORIG!O1912=0,"",ORIG!O1912)</f>
        <v/>
      </c>
      <c r="P1912" s="3">
        <f>IF(ORIG!P1912=0,"",ORIG!P1912)</f>
        <v/>
      </c>
      <c r="Q1912" s="3">
        <f>IF(ORIG!Q1912=0,"",ORIG!Q1912)</f>
        <v/>
      </c>
      <c r="R1912" s="3">
        <f>IF(ORIG!R1912=0,"",ORIG!R1912)</f>
        <v/>
      </c>
      <c r="S1912" s="3">
        <f>IF(ORIG!S1912=0,"",ORIG!S1912)</f>
        <v/>
      </c>
      <c r="T1912" s="3">
        <f>IF(ORIG!T1912=0,"",ORIG!T1912)</f>
        <v/>
      </c>
      <c r="U1912" s="3">
        <f>IF(ORIG!U1912=0,"",ORIG!U1912)</f>
        <v/>
      </c>
      <c r="V1912" s="9">
        <f>IF(ORIG!V1912=0,"",ORIG!V1912)</f>
        <v/>
      </c>
      <c r="W1912" s="9">
        <f>IF(ORIG!W1912=0,"",ORIG!W1912)</f>
        <v/>
      </c>
      <c r="X1912" s="9">
        <f>IF(ORIG!X1912=0,"",ORIG!X1912)</f>
        <v/>
      </c>
      <c r="Y1912" s="9">
        <f>IF(ORIG!Y1912=0,"",ORIG!Y1912)</f>
        <v/>
      </c>
      <c r="Z1912" s="3">
        <f>SUMPRODUCT($B1912:$Y1912,$B$2649:$Y$2649)</f>
        <v/>
      </c>
      <c r="AA1912" s="3">
        <f>SUMPRODUCT($B1912:$Y1912,$B$2655:$Y$2655)</f>
        <v/>
      </c>
      <c r="AC1912" s="1">
        <f>A1912</f>
        <v/>
      </c>
      <c r="AD1912">
        <f>IF(ISNUMBER(V1912),V1912*($AB$1/V$2635),"")</f>
        <v/>
      </c>
      <c r="AE1912">
        <f>IF(ISNUMBER(Z1912),Z1912*($AB$1/Z$2635),"")</f>
        <v/>
      </c>
      <c r="AF1912" s="25">
        <f>IF(ISNUMBER(AD1912+AE1912),AD1912+AE1912,"")</f>
        <v/>
      </c>
      <c r="AH1912" s="1">
        <f>A1912</f>
        <v/>
      </c>
      <c r="AI1912">
        <f>IF(ISNUMBER((1+V1912)*AI1911),(1+V1912)*AI1911,AI1911)</f>
        <v/>
      </c>
      <c r="AJ1912">
        <f>IF(ISNUMBER((1+Z1912)*AJ1911),(1+Z1912)*AJ1911,AJ1911)</f>
        <v/>
      </c>
    </row>
    <row r="1913">
      <c r="A1913" s="1" t="n">
        <v>44777</v>
      </c>
      <c r="B1913" s="3">
        <f>IF(ORIG!B1913=0,"",ORIG!B1913)</f>
        <v/>
      </c>
      <c r="C1913" s="3">
        <f>IF(ORIG!C1913=0,"",ORIG!C1913)</f>
        <v/>
      </c>
      <c r="D1913" s="3">
        <f>IF(ORIG!D1913=0,"",ORIG!D1913)</f>
        <v/>
      </c>
      <c r="E1913" s="3">
        <f>IF(ORIG!E1913=0,"",ORIG!E1913)</f>
        <v/>
      </c>
      <c r="F1913" s="3">
        <f>IF(ORIG!F1913=0,"",ORIG!F1913)</f>
        <v/>
      </c>
      <c r="G1913" s="3">
        <f>IF(ORIG!G1913=0,"",ORIG!G1913)</f>
        <v/>
      </c>
      <c r="H1913" s="3">
        <f>IF(ORIG!H1913=0,"",ORIG!H1913)</f>
        <v/>
      </c>
      <c r="I1913" s="3">
        <f>IF(ORIG!I1913=0,"",ORIG!I1913)</f>
        <v/>
      </c>
      <c r="J1913" s="3">
        <f>IF(ORIG!J1913=0,"",ORIG!J1913)</f>
        <v/>
      </c>
      <c r="K1913" s="3">
        <f>IF(ORIG!K1913=0,"",ORIG!K1913)</f>
        <v/>
      </c>
      <c r="L1913" s="3">
        <f>IF(ORIG!L1913=0,"",ORIG!L1913)</f>
        <v/>
      </c>
      <c r="M1913" s="3">
        <f>IF(ORIG!M1913=0,"",ORIG!M1913)</f>
        <v/>
      </c>
      <c r="N1913" s="3">
        <f>IF(ORIG!N1913=0,"",ORIG!N1913)</f>
        <v/>
      </c>
      <c r="O1913" s="3">
        <f>IF(ORIG!O1913=0,"",ORIG!O1913)</f>
        <v/>
      </c>
      <c r="P1913" s="3">
        <f>IF(ORIG!P1913=0,"",ORIG!P1913)</f>
        <v/>
      </c>
      <c r="Q1913" s="3">
        <f>IF(ORIG!Q1913=0,"",ORIG!Q1913)</f>
        <v/>
      </c>
      <c r="R1913" s="3">
        <f>IF(ORIG!R1913=0,"",ORIG!R1913)</f>
        <v/>
      </c>
      <c r="S1913" s="3">
        <f>IF(ORIG!S1913=0,"",ORIG!S1913)</f>
        <v/>
      </c>
      <c r="T1913" s="3">
        <f>IF(ORIG!T1913=0,"",ORIG!T1913)</f>
        <v/>
      </c>
      <c r="U1913" s="3">
        <f>IF(ORIG!U1913=0,"",ORIG!U1913)</f>
        <v/>
      </c>
      <c r="V1913" s="9">
        <f>IF(ORIG!V1913=0,"",ORIG!V1913)</f>
        <v/>
      </c>
      <c r="W1913" s="9">
        <f>IF(ORIG!W1913=0,"",ORIG!W1913)</f>
        <v/>
      </c>
      <c r="X1913" s="9">
        <f>IF(ORIG!X1913=0,"",ORIG!X1913)</f>
        <v/>
      </c>
      <c r="Y1913" s="9">
        <f>IF(ORIG!Y1913=0,"",ORIG!Y1913)</f>
        <v/>
      </c>
      <c r="Z1913" s="3">
        <f>SUMPRODUCT($B1913:$Y1913,$B$2649:$Y$2649)</f>
        <v/>
      </c>
      <c r="AA1913" s="3">
        <f>SUMPRODUCT($B1913:$Y1913,$B$2655:$Y$2655)</f>
        <v/>
      </c>
      <c r="AC1913" s="1">
        <f>A1913</f>
        <v/>
      </c>
      <c r="AD1913">
        <f>IF(ISNUMBER(V1913),V1913*($AB$1/V$2635),"")</f>
        <v/>
      </c>
      <c r="AE1913">
        <f>IF(ISNUMBER(Z1913),Z1913*($AB$1/Z$2635),"")</f>
        <v/>
      </c>
      <c r="AF1913" s="25">
        <f>IF(ISNUMBER(AD1913+AE1913),AD1913+AE1913,"")</f>
        <v/>
      </c>
      <c r="AH1913" s="1">
        <f>A1913</f>
        <v/>
      </c>
      <c r="AI1913">
        <f>IF(ISNUMBER((1+V1913)*AI1912),(1+V1913)*AI1912,AI1912)</f>
        <v/>
      </c>
      <c r="AJ1913">
        <f>IF(ISNUMBER((1+Z1913)*AJ1912),(1+Z1913)*AJ1912,AJ1912)</f>
        <v/>
      </c>
    </row>
    <row r="1914">
      <c r="A1914" s="1" t="n">
        <v>44778</v>
      </c>
      <c r="B1914" s="3">
        <f>IF(ORIG!B1914=0,"",ORIG!B1914)</f>
        <v/>
      </c>
      <c r="C1914" s="3">
        <f>IF(ORIG!C1914=0,"",ORIG!C1914)</f>
        <v/>
      </c>
      <c r="D1914" s="3">
        <f>IF(ORIG!D1914=0,"",ORIG!D1914)</f>
        <v/>
      </c>
      <c r="E1914" s="3">
        <f>IF(ORIG!E1914=0,"",ORIG!E1914)</f>
        <v/>
      </c>
      <c r="F1914" s="3">
        <f>IF(ORIG!F1914=0,"",ORIG!F1914)</f>
        <v/>
      </c>
      <c r="G1914" s="3">
        <f>IF(ORIG!G1914=0,"",ORIG!G1914)</f>
        <v/>
      </c>
      <c r="H1914" s="3">
        <f>IF(ORIG!H1914=0,"",ORIG!H1914)</f>
        <v/>
      </c>
      <c r="I1914" s="3">
        <f>IF(ORIG!I1914=0,"",ORIG!I1914)</f>
        <v/>
      </c>
      <c r="J1914" s="3">
        <f>IF(ORIG!J1914=0,"",ORIG!J1914)</f>
        <v/>
      </c>
      <c r="K1914" s="3">
        <f>IF(ORIG!K1914=0,"",ORIG!K1914)</f>
        <v/>
      </c>
      <c r="L1914" s="3">
        <f>IF(ORIG!L1914=0,"",ORIG!L1914)</f>
        <v/>
      </c>
      <c r="M1914" s="3">
        <f>IF(ORIG!M1914=0,"",ORIG!M1914)</f>
        <v/>
      </c>
      <c r="N1914" s="3">
        <f>IF(ORIG!N1914=0,"",ORIG!N1914)</f>
        <v/>
      </c>
      <c r="O1914" s="3">
        <f>IF(ORIG!O1914=0,"",ORIG!O1914)</f>
        <v/>
      </c>
      <c r="P1914" s="3">
        <f>IF(ORIG!P1914=0,"",ORIG!P1914)</f>
        <v/>
      </c>
      <c r="Q1914" s="3">
        <f>IF(ORIG!Q1914=0,"",ORIG!Q1914)</f>
        <v/>
      </c>
      <c r="R1914" s="3">
        <f>IF(ORIG!R1914=0,"",ORIG!R1914)</f>
        <v/>
      </c>
      <c r="S1914" s="3">
        <f>IF(ORIG!S1914=0,"",ORIG!S1914)</f>
        <v/>
      </c>
      <c r="T1914" s="3">
        <f>IF(ORIG!T1914=0,"",ORIG!T1914)</f>
        <v/>
      </c>
      <c r="U1914" s="3">
        <f>IF(ORIG!U1914=0,"",ORIG!U1914)</f>
        <v/>
      </c>
      <c r="V1914" s="9">
        <f>IF(ORIG!V1914=0,"",ORIG!V1914)</f>
        <v/>
      </c>
      <c r="W1914" s="9">
        <f>IF(ORIG!W1914=0,"",ORIG!W1914)</f>
        <v/>
      </c>
      <c r="X1914" s="9">
        <f>IF(ORIG!X1914=0,"",ORIG!X1914)</f>
        <v/>
      </c>
      <c r="Y1914" s="9">
        <f>IF(ORIG!Y1914=0,"",ORIG!Y1914)</f>
        <v/>
      </c>
      <c r="Z1914" s="3">
        <f>SUMPRODUCT($B1914:$Y1914,$B$2649:$Y$2649)</f>
        <v/>
      </c>
      <c r="AA1914" s="3">
        <f>SUMPRODUCT($B1914:$Y1914,$B$2655:$Y$2655)</f>
        <v/>
      </c>
      <c r="AC1914" s="1">
        <f>A1914</f>
        <v/>
      </c>
      <c r="AD1914">
        <f>IF(ISNUMBER(V1914),V1914*($AB$1/V$2635),"")</f>
        <v/>
      </c>
      <c r="AE1914">
        <f>IF(ISNUMBER(Z1914),Z1914*($AB$1/Z$2635),"")</f>
        <v/>
      </c>
      <c r="AF1914" s="25">
        <f>IF(ISNUMBER(AD1914+AE1914),AD1914+AE1914,"")</f>
        <v/>
      </c>
      <c r="AH1914" s="1">
        <f>A1914</f>
        <v/>
      </c>
      <c r="AI1914">
        <f>IF(ISNUMBER((1+V1914)*AI1913),(1+V1914)*AI1913,AI1913)</f>
        <v/>
      </c>
      <c r="AJ1914">
        <f>IF(ISNUMBER((1+Z1914)*AJ1913),(1+Z1914)*AJ1913,AJ1913)</f>
        <v/>
      </c>
    </row>
    <row r="1915">
      <c r="A1915" s="1" t="n">
        <v>44781</v>
      </c>
      <c r="B1915" s="3">
        <f>IF(ORIG!B1915=0,"",ORIG!B1915)</f>
        <v/>
      </c>
      <c r="C1915" s="3">
        <f>IF(ORIG!C1915=0,"",ORIG!C1915)</f>
        <v/>
      </c>
      <c r="D1915" s="3">
        <f>IF(ORIG!D1915=0,"",ORIG!D1915)</f>
        <v/>
      </c>
      <c r="E1915" s="3">
        <f>IF(ORIG!E1915=0,"",ORIG!E1915)</f>
        <v/>
      </c>
      <c r="F1915" s="3">
        <f>IF(ORIG!F1915=0,"",ORIG!F1915)</f>
        <v/>
      </c>
      <c r="G1915" s="3">
        <f>IF(ORIG!G1915=0,"",ORIG!G1915)</f>
        <v/>
      </c>
      <c r="H1915" s="3">
        <f>IF(ORIG!H1915=0,"",ORIG!H1915)</f>
        <v/>
      </c>
      <c r="I1915" s="3">
        <f>IF(ORIG!I1915=0,"",ORIG!I1915)</f>
        <v/>
      </c>
      <c r="J1915" s="3">
        <f>IF(ORIG!J1915=0,"",ORIG!J1915)</f>
        <v/>
      </c>
      <c r="K1915" s="3">
        <f>IF(ORIG!K1915=0,"",ORIG!K1915)</f>
        <v/>
      </c>
      <c r="L1915" s="3">
        <f>IF(ORIG!L1915=0,"",ORIG!L1915)</f>
        <v/>
      </c>
      <c r="M1915" s="3">
        <f>IF(ORIG!M1915=0,"",ORIG!M1915)</f>
        <v/>
      </c>
      <c r="N1915" s="3">
        <f>IF(ORIG!N1915=0,"",ORIG!N1915)</f>
        <v/>
      </c>
      <c r="O1915" s="3">
        <f>IF(ORIG!O1915=0,"",ORIG!O1915)</f>
        <v/>
      </c>
      <c r="P1915" s="3">
        <f>IF(ORIG!P1915=0,"",ORIG!P1915)</f>
        <v/>
      </c>
      <c r="Q1915" s="3">
        <f>IF(ORIG!Q1915=0,"",ORIG!Q1915)</f>
        <v/>
      </c>
      <c r="R1915" s="3">
        <f>IF(ORIG!R1915=0,"",ORIG!R1915)</f>
        <v/>
      </c>
      <c r="S1915" s="3">
        <f>IF(ORIG!S1915=0,"",ORIG!S1915)</f>
        <v/>
      </c>
      <c r="T1915" s="3">
        <f>IF(ORIG!T1915=0,"",ORIG!T1915)</f>
        <v/>
      </c>
      <c r="U1915" s="3">
        <f>IF(ORIG!U1915=0,"",ORIG!U1915)</f>
        <v/>
      </c>
      <c r="V1915" s="9">
        <f>IF(ORIG!V1915=0,"",ORIG!V1915)</f>
        <v/>
      </c>
      <c r="W1915" s="9">
        <f>IF(ORIG!W1915=0,"",ORIG!W1915)</f>
        <v/>
      </c>
      <c r="X1915" s="9">
        <f>IF(ORIG!X1915=0,"",ORIG!X1915)</f>
        <v/>
      </c>
      <c r="Y1915" s="9">
        <f>IF(ORIG!Y1915=0,"",ORIG!Y1915)</f>
        <v/>
      </c>
      <c r="Z1915" s="3">
        <f>SUMPRODUCT($B1915:$Y1915,$B$2649:$Y$2649)</f>
        <v/>
      </c>
      <c r="AA1915" s="3">
        <f>SUMPRODUCT($B1915:$Y1915,$B$2655:$Y$2655)</f>
        <v/>
      </c>
      <c r="AC1915" s="1">
        <f>A1915</f>
        <v/>
      </c>
      <c r="AD1915">
        <f>IF(ISNUMBER(V1915),V1915*($AB$1/V$2635),"")</f>
        <v/>
      </c>
      <c r="AE1915">
        <f>IF(ISNUMBER(Z1915),Z1915*($AB$1/Z$2635),"")</f>
        <v/>
      </c>
      <c r="AF1915" s="25">
        <f>IF(ISNUMBER(AD1915+AE1915),AD1915+AE1915,"")</f>
        <v/>
      </c>
      <c r="AH1915" s="1">
        <f>A1915</f>
        <v/>
      </c>
      <c r="AI1915">
        <f>IF(ISNUMBER((1+V1915)*AI1914),(1+V1915)*AI1914,AI1914)</f>
        <v/>
      </c>
      <c r="AJ1915">
        <f>IF(ISNUMBER((1+Z1915)*AJ1914),(1+Z1915)*AJ1914,AJ1914)</f>
        <v/>
      </c>
    </row>
    <row r="1916">
      <c r="A1916" s="1" t="n">
        <v>44782</v>
      </c>
      <c r="B1916" s="3">
        <f>IF(ORIG!B1916=0,"",ORIG!B1916)</f>
        <v/>
      </c>
      <c r="C1916" s="3">
        <f>IF(ORIG!C1916=0,"",ORIG!C1916)</f>
        <v/>
      </c>
      <c r="D1916" s="3">
        <f>IF(ORIG!D1916=0,"",ORIG!D1916)</f>
        <v/>
      </c>
      <c r="E1916" s="3">
        <f>IF(ORIG!E1916=0,"",ORIG!E1916)</f>
        <v/>
      </c>
      <c r="F1916" s="3">
        <f>IF(ORIG!F1916=0,"",ORIG!F1916)</f>
        <v/>
      </c>
      <c r="G1916" s="3">
        <f>IF(ORIG!G1916=0,"",ORIG!G1916)</f>
        <v/>
      </c>
      <c r="H1916" s="3">
        <f>IF(ORIG!H1916=0,"",ORIG!H1916)</f>
        <v/>
      </c>
      <c r="I1916" s="3">
        <f>IF(ORIG!I1916=0,"",ORIG!I1916)</f>
        <v/>
      </c>
      <c r="J1916" s="3">
        <f>IF(ORIG!J1916=0,"",ORIG!J1916)</f>
        <v/>
      </c>
      <c r="K1916" s="3">
        <f>IF(ORIG!K1916=0,"",ORIG!K1916)</f>
        <v/>
      </c>
      <c r="L1916" s="3">
        <f>IF(ORIG!L1916=0,"",ORIG!L1916)</f>
        <v/>
      </c>
      <c r="M1916" s="3">
        <f>IF(ORIG!M1916=0,"",ORIG!M1916)</f>
        <v/>
      </c>
      <c r="N1916" s="3">
        <f>IF(ORIG!N1916=0,"",ORIG!N1916)</f>
        <v/>
      </c>
      <c r="O1916" s="3">
        <f>IF(ORIG!O1916=0,"",ORIG!O1916)</f>
        <v/>
      </c>
      <c r="P1916" s="3">
        <f>IF(ORIG!P1916=0,"",ORIG!P1916)</f>
        <v/>
      </c>
      <c r="Q1916" s="3">
        <f>IF(ORIG!Q1916=0,"",ORIG!Q1916)</f>
        <v/>
      </c>
      <c r="R1916" s="3">
        <f>IF(ORIG!R1916=0,"",ORIG!R1916)</f>
        <v/>
      </c>
      <c r="S1916" s="3">
        <f>IF(ORIG!S1916=0,"",ORIG!S1916)</f>
        <v/>
      </c>
      <c r="T1916" s="3">
        <f>IF(ORIG!T1916=0,"",ORIG!T1916)</f>
        <v/>
      </c>
      <c r="U1916" s="3">
        <f>IF(ORIG!U1916=0,"",ORIG!U1916)</f>
        <v/>
      </c>
      <c r="V1916" s="9">
        <f>IF(ORIG!V1916=0,"",ORIG!V1916)</f>
        <v/>
      </c>
      <c r="W1916" s="9">
        <f>IF(ORIG!W1916=0,"",ORIG!W1916)</f>
        <v/>
      </c>
      <c r="X1916" s="9">
        <f>IF(ORIG!X1916=0,"",ORIG!X1916)</f>
        <v/>
      </c>
      <c r="Y1916" s="9">
        <f>IF(ORIG!Y1916=0,"",ORIG!Y1916)</f>
        <v/>
      </c>
      <c r="Z1916" s="3">
        <f>SUMPRODUCT($B1916:$Y1916,$B$2649:$Y$2649)</f>
        <v/>
      </c>
      <c r="AA1916" s="3">
        <f>SUMPRODUCT($B1916:$Y1916,$B$2655:$Y$2655)</f>
        <v/>
      </c>
      <c r="AC1916" s="1">
        <f>A1916</f>
        <v/>
      </c>
      <c r="AD1916">
        <f>IF(ISNUMBER(V1916),V1916*($AB$1/V$2635),"")</f>
        <v/>
      </c>
      <c r="AE1916">
        <f>IF(ISNUMBER(Z1916),Z1916*($AB$1/Z$2635),"")</f>
        <v/>
      </c>
      <c r="AF1916" s="25">
        <f>IF(ISNUMBER(AD1916+AE1916),AD1916+AE1916,"")</f>
        <v/>
      </c>
      <c r="AH1916" s="1">
        <f>A1916</f>
        <v/>
      </c>
      <c r="AI1916">
        <f>IF(ISNUMBER((1+V1916)*AI1915),(1+V1916)*AI1915,AI1915)</f>
        <v/>
      </c>
      <c r="AJ1916">
        <f>IF(ISNUMBER((1+Z1916)*AJ1915),(1+Z1916)*AJ1915,AJ1915)</f>
        <v/>
      </c>
    </row>
    <row r="1917">
      <c r="A1917" s="1" t="n">
        <v>44783</v>
      </c>
      <c r="B1917" s="3">
        <f>IF(ORIG!B1917=0,"",ORIG!B1917)</f>
        <v/>
      </c>
      <c r="C1917" s="3">
        <f>IF(ORIG!C1917=0,"",ORIG!C1917)</f>
        <v/>
      </c>
      <c r="D1917" s="3">
        <f>IF(ORIG!D1917=0,"",ORIG!D1917)</f>
        <v/>
      </c>
      <c r="E1917" s="3">
        <f>IF(ORIG!E1917=0,"",ORIG!E1917)</f>
        <v/>
      </c>
      <c r="F1917" s="3">
        <f>IF(ORIG!F1917=0,"",ORIG!F1917)</f>
        <v/>
      </c>
      <c r="G1917" s="3">
        <f>IF(ORIG!G1917=0,"",ORIG!G1917)</f>
        <v/>
      </c>
      <c r="H1917" s="3">
        <f>IF(ORIG!H1917=0,"",ORIG!H1917)</f>
        <v/>
      </c>
      <c r="I1917" s="3">
        <f>IF(ORIG!I1917=0,"",ORIG!I1917)</f>
        <v/>
      </c>
      <c r="J1917" s="3">
        <f>IF(ORIG!J1917=0,"",ORIG!J1917)</f>
        <v/>
      </c>
      <c r="K1917" s="3">
        <f>IF(ORIG!K1917=0,"",ORIG!K1917)</f>
        <v/>
      </c>
      <c r="L1917" s="3">
        <f>IF(ORIG!L1917=0,"",ORIG!L1917)</f>
        <v/>
      </c>
      <c r="M1917" s="3">
        <f>IF(ORIG!M1917=0,"",ORIG!M1917)</f>
        <v/>
      </c>
      <c r="N1917" s="3">
        <f>IF(ORIG!N1917=0,"",ORIG!N1917)</f>
        <v/>
      </c>
      <c r="O1917" s="3">
        <f>IF(ORIG!O1917=0,"",ORIG!O1917)</f>
        <v/>
      </c>
      <c r="P1917" s="3">
        <f>IF(ORIG!P1917=0,"",ORIG!P1917)</f>
        <v/>
      </c>
      <c r="Q1917" s="3">
        <f>IF(ORIG!Q1917=0,"",ORIG!Q1917)</f>
        <v/>
      </c>
      <c r="R1917" s="3">
        <f>IF(ORIG!R1917=0,"",ORIG!R1917)</f>
        <v/>
      </c>
      <c r="S1917" s="3">
        <f>IF(ORIG!S1917=0,"",ORIG!S1917)</f>
        <v/>
      </c>
      <c r="T1917" s="3">
        <f>IF(ORIG!T1917=0,"",ORIG!T1917)</f>
        <v/>
      </c>
      <c r="U1917" s="3">
        <f>IF(ORIG!U1917=0,"",ORIG!U1917)</f>
        <v/>
      </c>
      <c r="V1917" s="9">
        <f>IF(ORIG!V1917=0,"",ORIG!V1917)</f>
        <v/>
      </c>
      <c r="W1917" s="9">
        <f>IF(ORIG!W1917=0,"",ORIG!W1917)</f>
        <v/>
      </c>
      <c r="X1917" s="9">
        <f>IF(ORIG!X1917=0,"",ORIG!X1917)</f>
        <v/>
      </c>
      <c r="Y1917" s="9">
        <f>IF(ORIG!Y1917=0,"",ORIG!Y1917)</f>
        <v/>
      </c>
      <c r="Z1917" s="3">
        <f>SUMPRODUCT($B1917:$Y1917,$B$2649:$Y$2649)</f>
        <v/>
      </c>
      <c r="AA1917" s="3">
        <f>SUMPRODUCT($B1917:$Y1917,$B$2655:$Y$2655)</f>
        <v/>
      </c>
      <c r="AC1917" s="1">
        <f>A1917</f>
        <v/>
      </c>
      <c r="AD1917">
        <f>IF(ISNUMBER(V1917),V1917*($AB$1/V$2635),"")</f>
        <v/>
      </c>
      <c r="AE1917">
        <f>IF(ISNUMBER(Z1917),Z1917*($AB$1/Z$2635),"")</f>
        <v/>
      </c>
      <c r="AF1917" s="25">
        <f>IF(ISNUMBER(AD1917+AE1917),AD1917+AE1917,"")</f>
        <v/>
      </c>
      <c r="AH1917" s="1">
        <f>A1917</f>
        <v/>
      </c>
      <c r="AI1917">
        <f>IF(ISNUMBER((1+V1917)*AI1916),(1+V1917)*AI1916,AI1916)</f>
        <v/>
      </c>
      <c r="AJ1917">
        <f>IF(ISNUMBER((1+Z1917)*AJ1916),(1+Z1917)*AJ1916,AJ1916)</f>
        <v/>
      </c>
    </row>
    <row r="1918">
      <c r="A1918" s="1" t="n">
        <v>44784</v>
      </c>
      <c r="B1918" s="3">
        <f>IF(ORIG!B1918=0,"",ORIG!B1918)</f>
        <v/>
      </c>
      <c r="C1918" s="3">
        <f>IF(ORIG!C1918=0,"",ORIG!C1918)</f>
        <v/>
      </c>
      <c r="D1918" s="3">
        <f>IF(ORIG!D1918=0,"",ORIG!D1918)</f>
        <v/>
      </c>
      <c r="E1918" s="3">
        <f>IF(ORIG!E1918=0,"",ORIG!E1918)</f>
        <v/>
      </c>
      <c r="F1918" s="3">
        <f>IF(ORIG!F1918=0,"",ORIG!F1918)</f>
        <v/>
      </c>
      <c r="G1918" s="3">
        <f>IF(ORIG!G1918=0,"",ORIG!G1918)</f>
        <v/>
      </c>
      <c r="H1918" s="3">
        <f>IF(ORIG!H1918=0,"",ORIG!H1918)</f>
        <v/>
      </c>
      <c r="I1918" s="3">
        <f>IF(ORIG!I1918=0,"",ORIG!I1918)</f>
        <v/>
      </c>
      <c r="J1918" s="3">
        <f>IF(ORIG!J1918=0,"",ORIG!J1918)</f>
        <v/>
      </c>
      <c r="K1918" s="3">
        <f>IF(ORIG!K1918=0,"",ORIG!K1918)</f>
        <v/>
      </c>
      <c r="L1918" s="3">
        <f>IF(ORIG!L1918=0,"",ORIG!L1918)</f>
        <v/>
      </c>
      <c r="M1918" s="3">
        <f>IF(ORIG!M1918=0,"",ORIG!M1918)</f>
        <v/>
      </c>
      <c r="N1918" s="3">
        <f>IF(ORIG!N1918=0,"",ORIG!N1918)</f>
        <v/>
      </c>
      <c r="O1918" s="3">
        <f>IF(ORIG!O1918=0,"",ORIG!O1918)</f>
        <v/>
      </c>
      <c r="P1918" s="3">
        <f>IF(ORIG!P1918=0,"",ORIG!P1918)</f>
        <v/>
      </c>
      <c r="Q1918" s="3">
        <f>IF(ORIG!Q1918=0,"",ORIG!Q1918)</f>
        <v/>
      </c>
      <c r="R1918" s="3">
        <f>IF(ORIG!R1918=0,"",ORIG!R1918)</f>
        <v/>
      </c>
      <c r="S1918" s="3">
        <f>IF(ORIG!S1918=0,"",ORIG!S1918)</f>
        <v/>
      </c>
      <c r="T1918" s="3">
        <f>IF(ORIG!T1918=0,"",ORIG!T1918)</f>
        <v/>
      </c>
      <c r="U1918" s="3">
        <f>IF(ORIG!U1918=0,"",ORIG!U1918)</f>
        <v/>
      </c>
      <c r="V1918" s="9">
        <f>IF(ORIG!V1918=0,"",ORIG!V1918)</f>
        <v/>
      </c>
      <c r="W1918" s="9">
        <f>IF(ORIG!W1918=0,"",ORIG!W1918)</f>
        <v/>
      </c>
      <c r="X1918" s="9">
        <f>IF(ORIG!X1918=0,"",ORIG!X1918)</f>
        <v/>
      </c>
      <c r="Y1918" s="9">
        <f>IF(ORIG!Y1918=0,"",ORIG!Y1918)</f>
        <v/>
      </c>
      <c r="Z1918" s="3">
        <f>SUMPRODUCT($B1918:$Y1918,$B$2649:$Y$2649)</f>
        <v/>
      </c>
      <c r="AA1918" s="3">
        <f>SUMPRODUCT($B1918:$Y1918,$B$2655:$Y$2655)</f>
        <v/>
      </c>
      <c r="AC1918" s="1">
        <f>A1918</f>
        <v/>
      </c>
      <c r="AD1918">
        <f>IF(ISNUMBER(V1918),V1918*($AB$1/V$2635),"")</f>
        <v/>
      </c>
      <c r="AE1918">
        <f>IF(ISNUMBER(Z1918),Z1918*($AB$1/Z$2635),"")</f>
        <v/>
      </c>
      <c r="AF1918" s="25">
        <f>IF(ISNUMBER(AD1918+AE1918),AD1918+AE1918,"")</f>
        <v/>
      </c>
      <c r="AH1918" s="1">
        <f>A1918</f>
        <v/>
      </c>
      <c r="AI1918">
        <f>IF(ISNUMBER((1+V1918)*AI1917),(1+V1918)*AI1917,AI1917)</f>
        <v/>
      </c>
      <c r="AJ1918">
        <f>IF(ISNUMBER((1+Z1918)*AJ1917),(1+Z1918)*AJ1917,AJ1917)</f>
        <v/>
      </c>
    </row>
    <row r="1919">
      <c r="A1919" s="1" t="n">
        <v>44785</v>
      </c>
      <c r="B1919" s="3">
        <f>IF(ORIG!B1919=0,"",ORIG!B1919)</f>
        <v/>
      </c>
      <c r="C1919" s="3">
        <f>IF(ORIG!C1919=0,"",ORIG!C1919)</f>
        <v/>
      </c>
      <c r="D1919" s="3">
        <f>IF(ORIG!D1919=0,"",ORIG!D1919)</f>
        <v/>
      </c>
      <c r="E1919" s="3">
        <f>IF(ORIG!E1919=0,"",ORIG!E1919)</f>
        <v/>
      </c>
      <c r="F1919" s="3">
        <f>IF(ORIG!F1919=0,"",ORIG!F1919)</f>
        <v/>
      </c>
      <c r="G1919" s="3">
        <f>IF(ORIG!G1919=0,"",ORIG!G1919)</f>
        <v/>
      </c>
      <c r="H1919" s="3">
        <f>IF(ORIG!H1919=0,"",ORIG!H1919)</f>
        <v/>
      </c>
      <c r="I1919" s="3">
        <f>IF(ORIG!I1919=0,"",ORIG!I1919)</f>
        <v/>
      </c>
      <c r="J1919" s="3">
        <f>IF(ORIG!J1919=0,"",ORIG!J1919)</f>
        <v/>
      </c>
      <c r="K1919" s="3">
        <f>IF(ORIG!K1919=0,"",ORIG!K1919)</f>
        <v/>
      </c>
      <c r="L1919" s="3">
        <f>IF(ORIG!L1919=0,"",ORIG!L1919)</f>
        <v/>
      </c>
      <c r="M1919" s="3">
        <f>IF(ORIG!M1919=0,"",ORIG!M1919)</f>
        <v/>
      </c>
      <c r="N1919" s="3">
        <f>IF(ORIG!N1919=0,"",ORIG!N1919)</f>
        <v/>
      </c>
      <c r="O1919" s="3">
        <f>IF(ORIG!O1919=0,"",ORIG!O1919)</f>
        <v/>
      </c>
      <c r="P1919" s="3">
        <f>IF(ORIG!P1919=0,"",ORIG!P1919)</f>
        <v/>
      </c>
      <c r="Q1919" s="3">
        <f>IF(ORIG!Q1919=0,"",ORIG!Q1919)</f>
        <v/>
      </c>
      <c r="R1919" s="3">
        <f>IF(ORIG!R1919=0,"",ORIG!R1919)</f>
        <v/>
      </c>
      <c r="S1919" s="3">
        <f>IF(ORIG!S1919=0,"",ORIG!S1919)</f>
        <v/>
      </c>
      <c r="T1919" s="3">
        <f>IF(ORIG!T1919=0,"",ORIG!T1919)</f>
        <v/>
      </c>
      <c r="U1919" s="3">
        <f>IF(ORIG!U1919=0,"",ORIG!U1919)</f>
        <v/>
      </c>
      <c r="V1919" s="9">
        <f>IF(ORIG!V1919=0,"",ORIG!V1919)</f>
        <v/>
      </c>
      <c r="W1919" s="9">
        <f>IF(ORIG!W1919=0,"",ORIG!W1919)</f>
        <v/>
      </c>
      <c r="X1919" s="9">
        <f>IF(ORIG!X1919=0,"",ORIG!X1919)</f>
        <v/>
      </c>
      <c r="Y1919" s="9">
        <f>IF(ORIG!Y1919=0,"",ORIG!Y1919)</f>
        <v/>
      </c>
      <c r="Z1919" s="3">
        <f>SUMPRODUCT($B1919:$Y1919,$B$2649:$Y$2649)</f>
        <v/>
      </c>
      <c r="AA1919" s="3">
        <f>SUMPRODUCT($B1919:$Y1919,$B$2655:$Y$2655)</f>
        <v/>
      </c>
      <c r="AC1919" s="1">
        <f>A1919</f>
        <v/>
      </c>
      <c r="AD1919">
        <f>IF(ISNUMBER(V1919),V1919*($AB$1/V$2635),"")</f>
        <v/>
      </c>
      <c r="AE1919">
        <f>IF(ISNUMBER(Z1919),Z1919*($AB$1/Z$2635),"")</f>
        <v/>
      </c>
      <c r="AF1919" s="25">
        <f>IF(ISNUMBER(AD1919+AE1919),AD1919+AE1919,"")</f>
        <v/>
      </c>
      <c r="AH1919" s="1">
        <f>A1919</f>
        <v/>
      </c>
      <c r="AI1919">
        <f>IF(ISNUMBER((1+V1919)*AI1918),(1+V1919)*AI1918,AI1918)</f>
        <v/>
      </c>
      <c r="AJ1919">
        <f>IF(ISNUMBER((1+Z1919)*AJ1918),(1+Z1919)*AJ1918,AJ1918)</f>
        <v/>
      </c>
    </row>
    <row r="1920">
      <c r="A1920" s="1" t="n">
        <v>44788</v>
      </c>
      <c r="B1920" s="3">
        <f>IF(ORIG!B1920=0,"",ORIG!B1920)</f>
        <v/>
      </c>
      <c r="C1920" s="3">
        <f>IF(ORIG!C1920=0,"",ORIG!C1920)</f>
        <v/>
      </c>
      <c r="D1920" s="3">
        <f>IF(ORIG!D1920=0,"",ORIG!D1920)</f>
        <v/>
      </c>
      <c r="E1920" s="3">
        <f>IF(ORIG!E1920=0,"",ORIG!E1920)</f>
        <v/>
      </c>
      <c r="F1920" s="3">
        <f>IF(ORIG!F1920=0,"",ORIG!F1920)</f>
        <v/>
      </c>
      <c r="G1920" s="3">
        <f>IF(ORIG!G1920=0,"",ORIG!G1920)</f>
        <v/>
      </c>
      <c r="H1920" s="3">
        <f>IF(ORIG!H1920=0,"",ORIG!H1920)</f>
        <v/>
      </c>
      <c r="I1920" s="3">
        <f>IF(ORIG!I1920=0,"",ORIG!I1920)</f>
        <v/>
      </c>
      <c r="J1920" s="3">
        <f>IF(ORIG!J1920=0,"",ORIG!J1920)</f>
        <v/>
      </c>
      <c r="K1920" s="3">
        <f>IF(ORIG!K1920=0,"",ORIG!K1920)</f>
        <v/>
      </c>
      <c r="L1920" s="3">
        <f>IF(ORIG!L1920=0,"",ORIG!L1920)</f>
        <v/>
      </c>
      <c r="M1920" s="3">
        <f>IF(ORIG!M1920=0,"",ORIG!M1920)</f>
        <v/>
      </c>
      <c r="N1920" s="3">
        <f>IF(ORIG!N1920=0,"",ORIG!N1920)</f>
        <v/>
      </c>
      <c r="O1920" s="3">
        <f>IF(ORIG!O1920=0,"",ORIG!O1920)</f>
        <v/>
      </c>
      <c r="P1920" s="3">
        <f>IF(ORIG!P1920=0,"",ORIG!P1920)</f>
        <v/>
      </c>
      <c r="Q1920" s="3">
        <f>IF(ORIG!Q1920=0,"",ORIG!Q1920)</f>
        <v/>
      </c>
      <c r="R1920" s="3">
        <f>IF(ORIG!R1920=0,"",ORIG!R1920)</f>
        <v/>
      </c>
      <c r="S1920" s="3">
        <f>IF(ORIG!S1920=0,"",ORIG!S1920)</f>
        <v/>
      </c>
      <c r="T1920" s="3">
        <f>IF(ORIG!T1920=0,"",ORIG!T1920)</f>
        <v/>
      </c>
      <c r="U1920" s="3">
        <f>IF(ORIG!U1920=0,"",ORIG!U1920)</f>
        <v/>
      </c>
      <c r="V1920" s="9">
        <f>IF(ORIG!V1920=0,"",ORIG!V1920)</f>
        <v/>
      </c>
      <c r="W1920" s="9">
        <f>IF(ORIG!W1920=0,"",ORIG!W1920)</f>
        <v/>
      </c>
      <c r="X1920" s="9">
        <f>IF(ORIG!X1920=0,"",ORIG!X1920)</f>
        <v/>
      </c>
      <c r="Y1920" s="9">
        <f>IF(ORIG!Y1920=0,"",ORIG!Y1920)</f>
        <v/>
      </c>
      <c r="Z1920" s="3">
        <f>SUMPRODUCT($B1920:$Y1920,$B$2649:$Y$2649)</f>
        <v/>
      </c>
      <c r="AA1920" s="3">
        <f>SUMPRODUCT($B1920:$Y1920,$B$2655:$Y$2655)</f>
        <v/>
      </c>
      <c r="AC1920" s="1">
        <f>A1920</f>
        <v/>
      </c>
      <c r="AD1920">
        <f>IF(ISNUMBER(V1920),V1920*($AB$1/V$2635),"")</f>
        <v/>
      </c>
      <c r="AE1920">
        <f>IF(ISNUMBER(Z1920),Z1920*($AB$1/Z$2635),"")</f>
        <v/>
      </c>
      <c r="AF1920" s="25">
        <f>IF(ISNUMBER(AD1920+AE1920),AD1920+AE1920,"")</f>
        <v/>
      </c>
      <c r="AH1920" s="1">
        <f>A1920</f>
        <v/>
      </c>
      <c r="AI1920">
        <f>IF(ISNUMBER((1+V1920)*AI1919),(1+V1920)*AI1919,AI1919)</f>
        <v/>
      </c>
      <c r="AJ1920">
        <f>IF(ISNUMBER((1+Z1920)*AJ1919),(1+Z1920)*AJ1919,AJ1919)</f>
        <v/>
      </c>
    </row>
    <row r="1921">
      <c r="A1921" s="1" t="n">
        <v>44789</v>
      </c>
      <c r="B1921" s="3">
        <f>IF(ORIG!B1921=0,"",ORIG!B1921)</f>
        <v/>
      </c>
      <c r="C1921" s="3">
        <f>IF(ORIG!C1921=0,"",ORIG!C1921)</f>
        <v/>
      </c>
      <c r="D1921" s="3">
        <f>IF(ORIG!D1921=0,"",ORIG!D1921)</f>
        <v/>
      </c>
      <c r="E1921" s="3">
        <f>IF(ORIG!E1921=0,"",ORIG!E1921)</f>
        <v/>
      </c>
      <c r="F1921" s="3">
        <f>IF(ORIG!F1921=0,"",ORIG!F1921)</f>
        <v/>
      </c>
      <c r="G1921" s="3">
        <f>IF(ORIG!G1921=0,"",ORIG!G1921)</f>
        <v/>
      </c>
      <c r="H1921" s="3">
        <f>IF(ORIG!H1921=0,"",ORIG!H1921)</f>
        <v/>
      </c>
      <c r="I1921" s="3">
        <f>IF(ORIG!I1921=0,"",ORIG!I1921)</f>
        <v/>
      </c>
      <c r="J1921" s="3">
        <f>IF(ORIG!J1921=0,"",ORIG!J1921)</f>
        <v/>
      </c>
      <c r="K1921" s="3">
        <f>IF(ORIG!K1921=0,"",ORIG!K1921)</f>
        <v/>
      </c>
      <c r="L1921" s="3">
        <f>IF(ORIG!L1921=0,"",ORIG!L1921)</f>
        <v/>
      </c>
      <c r="M1921" s="3">
        <f>IF(ORIG!M1921=0,"",ORIG!M1921)</f>
        <v/>
      </c>
      <c r="N1921" s="3">
        <f>IF(ORIG!N1921=0,"",ORIG!N1921)</f>
        <v/>
      </c>
      <c r="O1921" s="3">
        <f>IF(ORIG!O1921=0,"",ORIG!O1921)</f>
        <v/>
      </c>
      <c r="P1921" s="3">
        <f>IF(ORIG!P1921=0,"",ORIG!P1921)</f>
        <v/>
      </c>
      <c r="Q1921" s="3">
        <f>IF(ORIG!Q1921=0,"",ORIG!Q1921)</f>
        <v/>
      </c>
      <c r="R1921" s="3">
        <f>IF(ORIG!R1921=0,"",ORIG!R1921)</f>
        <v/>
      </c>
      <c r="S1921" s="3">
        <f>IF(ORIG!S1921=0,"",ORIG!S1921)</f>
        <v/>
      </c>
      <c r="T1921" s="3">
        <f>IF(ORIG!T1921=0,"",ORIG!T1921)</f>
        <v/>
      </c>
      <c r="U1921" s="3">
        <f>IF(ORIG!U1921=0,"",ORIG!U1921)</f>
        <v/>
      </c>
      <c r="V1921" s="9">
        <f>IF(ORIG!V1921=0,"",ORIG!V1921)</f>
        <v/>
      </c>
      <c r="W1921" s="9">
        <f>IF(ORIG!W1921=0,"",ORIG!W1921)</f>
        <v/>
      </c>
      <c r="X1921" s="9">
        <f>IF(ORIG!X1921=0,"",ORIG!X1921)</f>
        <v/>
      </c>
      <c r="Y1921" s="9">
        <f>IF(ORIG!Y1921=0,"",ORIG!Y1921)</f>
        <v/>
      </c>
      <c r="Z1921" s="3">
        <f>SUMPRODUCT($B1921:$Y1921,$B$2649:$Y$2649)</f>
        <v/>
      </c>
      <c r="AA1921" s="3">
        <f>SUMPRODUCT($B1921:$Y1921,$B$2655:$Y$2655)</f>
        <v/>
      </c>
      <c r="AC1921" s="1">
        <f>A1921</f>
        <v/>
      </c>
      <c r="AD1921">
        <f>IF(ISNUMBER(V1921),V1921*($AB$1/V$2635),"")</f>
        <v/>
      </c>
      <c r="AE1921">
        <f>IF(ISNUMBER(Z1921),Z1921*($AB$1/Z$2635),"")</f>
        <v/>
      </c>
      <c r="AF1921" s="25">
        <f>IF(ISNUMBER(AD1921+AE1921),AD1921+AE1921,"")</f>
        <v/>
      </c>
      <c r="AH1921" s="1">
        <f>A1921</f>
        <v/>
      </c>
      <c r="AI1921">
        <f>IF(ISNUMBER((1+V1921)*AI1920),(1+V1921)*AI1920,AI1920)</f>
        <v/>
      </c>
      <c r="AJ1921">
        <f>IF(ISNUMBER((1+Z1921)*AJ1920),(1+Z1921)*AJ1920,AJ1920)</f>
        <v/>
      </c>
    </row>
    <row r="1922">
      <c r="A1922" s="1" t="n">
        <v>44790</v>
      </c>
      <c r="B1922" s="3">
        <f>IF(ORIG!B1922=0,"",ORIG!B1922)</f>
        <v/>
      </c>
      <c r="C1922" s="3">
        <f>IF(ORIG!C1922=0,"",ORIG!C1922)</f>
        <v/>
      </c>
      <c r="D1922" s="3">
        <f>IF(ORIG!D1922=0,"",ORIG!D1922)</f>
        <v/>
      </c>
      <c r="E1922" s="3">
        <f>IF(ORIG!E1922=0,"",ORIG!E1922)</f>
        <v/>
      </c>
      <c r="F1922" s="3">
        <f>IF(ORIG!F1922=0,"",ORIG!F1922)</f>
        <v/>
      </c>
      <c r="G1922" s="3">
        <f>IF(ORIG!G1922=0,"",ORIG!G1922)</f>
        <v/>
      </c>
      <c r="H1922" s="3">
        <f>IF(ORIG!H1922=0,"",ORIG!H1922)</f>
        <v/>
      </c>
      <c r="I1922" s="3">
        <f>IF(ORIG!I1922=0,"",ORIG!I1922)</f>
        <v/>
      </c>
      <c r="J1922" s="3">
        <f>IF(ORIG!J1922=0,"",ORIG!J1922)</f>
        <v/>
      </c>
      <c r="K1922" s="3">
        <f>IF(ORIG!K1922=0,"",ORIG!K1922)</f>
        <v/>
      </c>
      <c r="L1922" s="3">
        <f>IF(ORIG!L1922=0,"",ORIG!L1922)</f>
        <v/>
      </c>
      <c r="M1922" s="3">
        <f>IF(ORIG!M1922=0,"",ORIG!M1922)</f>
        <v/>
      </c>
      <c r="N1922" s="3">
        <f>IF(ORIG!N1922=0,"",ORIG!N1922)</f>
        <v/>
      </c>
      <c r="O1922" s="3">
        <f>IF(ORIG!O1922=0,"",ORIG!O1922)</f>
        <v/>
      </c>
      <c r="P1922" s="3">
        <f>IF(ORIG!P1922=0,"",ORIG!P1922)</f>
        <v/>
      </c>
      <c r="Q1922" s="3">
        <f>IF(ORIG!Q1922=0,"",ORIG!Q1922)</f>
        <v/>
      </c>
      <c r="R1922" s="3">
        <f>IF(ORIG!R1922=0,"",ORIG!R1922)</f>
        <v/>
      </c>
      <c r="S1922" s="3">
        <f>IF(ORIG!S1922=0,"",ORIG!S1922)</f>
        <v/>
      </c>
      <c r="T1922" s="3">
        <f>IF(ORIG!T1922=0,"",ORIG!T1922)</f>
        <v/>
      </c>
      <c r="U1922" s="3">
        <f>IF(ORIG!U1922=0,"",ORIG!U1922)</f>
        <v/>
      </c>
      <c r="V1922" s="9">
        <f>IF(ORIG!V1922=0,"",ORIG!V1922)</f>
        <v/>
      </c>
      <c r="W1922" s="9">
        <f>IF(ORIG!W1922=0,"",ORIG!W1922)</f>
        <v/>
      </c>
      <c r="X1922" s="9">
        <f>IF(ORIG!X1922=0,"",ORIG!X1922)</f>
        <v/>
      </c>
      <c r="Y1922" s="9">
        <f>IF(ORIG!Y1922=0,"",ORIG!Y1922)</f>
        <v/>
      </c>
      <c r="Z1922" s="3">
        <f>SUMPRODUCT($B1922:$Y1922,$B$2649:$Y$2649)</f>
        <v/>
      </c>
      <c r="AA1922" s="3">
        <f>SUMPRODUCT($B1922:$Y1922,$B$2655:$Y$2655)</f>
        <v/>
      </c>
      <c r="AC1922" s="1">
        <f>A1922</f>
        <v/>
      </c>
      <c r="AD1922">
        <f>IF(ISNUMBER(V1922),V1922*($AB$1/V$2635),"")</f>
        <v/>
      </c>
      <c r="AE1922">
        <f>IF(ISNUMBER(Z1922),Z1922*($AB$1/Z$2635),"")</f>
        <v/>
      </c>
      <c r="AF1922" s="25">
        <f>IF(ISNUMBER(AD1922+AE1922),AD1922+AE1922,"")</f>
        <v/>
      </c>
      <c r="AH1922" s="1">
        <f>A1922</f>
        <v/>
      </c>
      <c r="AI1922">
        <f>IF(ISNUMBER((1+V1922)*AI1921),(1+V1922)*AI1921,AI1921)</f>
        <v/>
      </c>
      <c r="AJ1922">
        <f>IF(ISNUMBER((1+Z1922)*AJ1921),(1+Z1922)*AJ1921,AJ1921)</f>
        <v/>
      </c>
    </row>
    <row r="1923">
      <c r="A1923" s="1" t="n">
        <v>44791</v>
      </c>
      <c r="B1923" s="3">
        <f>IF(ORIG!B1923=0,"",ORIG!B1923)</f>
        <v/>
      </c>
      <c r="C1923" s="3">
        <f>IF(ORIG!C1923=0,"",ORIG!C1923)</f>
        <v/>
      </c>
      <c r="D1923" s="3">
        <f>IF(ORIG!D1923=0,"",ORIG!D1923)</f>
        <v/>
      </c>
      <c r="E1923" s="3">
        <f>IF(ORIG!E1923=0,"",ORIG!E1923)</f>
        <v/>
      </c>
      <c r="F1923" s="3">
        <f>IF(ORIG!F1923=0,"",ORIG!F1923)</f>
        <v/>
      </c>
      <c r="G1923" s="3">
        <f>IF(ORIG!G1923=0,"",ORIG!G1923)</f>
        <v/>
      </c>
      <c r="H1923" s="3">
        <f>IF(ORIG!H1923=0,"",ORIG!H1923)</f>
        <v/>
      </c>
      <c r="I1923" s="3">
        <f>IF(ORIG!I1923=0,"",ORIG!I1923)</f>
        <v/>
      </c>
      <c r="J1923" s="3">
        <f>IF(ORIG!J1923=0,"",ORIG!J1923)</f>
        <v/>
      </c>
      <c r="K1923" s="3">
        <f>IF(ORIG!K1923=0,"",ORIG!K1923)</f>
        <v/>
      </c>
      <c r="L1923" s="3">
        <f>IF(ORIG!L1923=0,"",ORIG!L1923)</f>
        <v/>
      </c>
      <c r="M1923" s="3">
        <f>IF(ORIG!M1923=0,"",ORIG!M1923)</f>
        <v/>
      </c>
      <c r="N1923" s="3">
        <f>IF(ORIG!N1923=0,"",ORIG!N1923)</f>
        <v/>
      </c>
      <c r="O1923" s="3">
        <f>IF(ORIG!O1923=0,"",ORIG!O1923)</f>
        <v/>
      </c>
      <c r="P1923" s="3">
        <f>IF(ORIG!P1923=0,"",ORIG!P1923)</f>
        <v/>
      </c>
      <c r="Q1923" s="3">
        <f>IF(ORIG!Q1923=0,"",ORIG!Q1923)</f>
        <v/>
      </c>
      <c r="R1923" s="3">
        <f>IF(ORIG!R1923=0,"",ORIG!R1923)</f>
        <v/>
      </c>
      <c r="S1923" s="3">
        <f>IF(ORIG!S1923=0,"",ORIG!S1923)</f>
        <v/>
      </c>
      <c r="T1923" s="3">
        <f>IF(ORIG!T1923=0,"",ORIG!T1923)</f>
        <v/>
      </c>
      <c r="U1923" s="3">
        <f>IF(ORIG!U1923=0,"",ORIG!U1923)</f>
        <v/>
      </c>
      <c r="V1923" s="9">
        <f>IF(ORIG!V1923=0,"",ORIG!V1923)</f>
        <v/>
      </c>
      <c r="W1923" s="9">
        <f>IF(ORIG!W1923=0,"",ORIG!W1923)</f>
        <v/>
      </c>
      <c r="X1923" s="9">
        <f>IF(ORIG!X1923=0,"",ORIG!X1923)</f>
        <v/>
      </c>
      <c r="Y1923" s="9">
        <f>IF(ORIG!Y1923=0,"",ORIG!Y1923)</f>
        <v/>
      </c>
      <c r="Z1923" s="3">
        <f>SUMPRODUCT($B1923:$Y1923,$B$2649:$Y$2649)</f>
        <v/>
      </c>
      <c r="AA1923" s="3">
        <f>SUMPRODUCT($B1923:$Y1923,$B$2655:$Y$2655)</f>
        <v/>
      </c>
      <c r="AC1923" s="1">
        <f>A1923</f>
        <v/>
      </c>
      <c r="AD1923">
        <f>IF(ISNUMBER(V1923),V1923*($AB$1/V$2635),"")</f>
        <v/>
      </c>
      <c r="AE1923">
        <f>IF(ISNUMBER(Z1923),Z1923*($AB$1/Z$2635),"")</f>
        <v/>
      </c>
      <c r="AF1923" s="25">
        <f>IF(ISNUMBER(AD1923+AE1923),AD1923+AE1923,"")</f>
        <v/>
      </c>
      <c r="AH1923" s="1">
        <f>A1923</f>
        <v/>
      </c>
      <c r="AI1923">
        <f>IF(ISNUMBER((1+V1923)*AI1922),(1+V1923)*AI1922,AI1922)</f>
        <v/>
      </c>
      <c r="AJ1923">
        <f>IF(ISNUMBER((1+Z1923)*AJ1922),(1+Z1923)*AJ1922,AJ1922)</f>
        <v/>
      </c>
    </row>
    <row r="1924">
      <c r="A1924" s="1" t="n">
        <v>44792</v>
      </c>
      <c r="B1924" s="3">
        <f>IF(ORIG!B1924=0,"",ORIG!B1924)</f>
        <v/>
      </c>
      <c r="C1924" s="3">
        <f>IF(ORIG!C1924=0,"",ORIG!C1924)</f>
        <v/>
      </c>
      <c r="D1924" s="3">
        <f>IF(ORIG!D1924=0,"",ORIG!D1924)</f>
        <v/>
      </c>
      <c r="E1924" s="3">
        <f>IF(ORIG!E1924=0,"",ORIG!E1924)</f>
        <v/>
      </c>
      <c r="F1924" s="3">
        <f>IF(ORIG!F1924=0,"",ORIG!F1924)</f>
        <v/>
      </c>
      <c r="G1924" s="3">
        <f>IF(ORIG!G1924=0,"",ORIG!G1924)</f>
        <v/>
      </c>
      <c r="H1924" s="3">
        <f>IF(ORIG!H1924=0,"",ORIG!H1924)</f>
        <v/>
      </c>
      <c r="I1924" s="3">
        <f>IF(ORIG!I1924=0,"",ORIG!I1924)</f>
        <v/>
      </c>
      <c r="J1924" s="3">
        <f>IF(ORIG!J1924=0,"",ORIG!J1924)</f>
        <v/>
      </c>
      <c r="K1924" s="3">
        <f>IF(ORIG!K1924=0,"",ORIG!K1924)</f>
        <v/>
      </c>
      <c r="L1924" s="3">
        <f>IF(ORIG!L1924=0,"",ORIG!L1924)</f>
        <v/>
      </c>
      <c r="M1924" s="3">
        <f>IF(ORIG!M1924=0,"",ORIG!M1924)</f>
        <v/>
      </c>
      <c r="N1924" s="3">
        <f>IF(ORIG!N1924=0,"",ORIG!N1924)</f>
        <v/>
      </c>
      <c r="O1924" s="3">
        <f>IF(ORIG!O1924=0,"",ORIG!O1924)</f>
        <v/>
      </c>
      <c r="P1924" s="3">
        <f>IF(ORIG!P1924=0,"",ORIG!P1924)</f>
        <v/>
      </c>
      <c r="Q1924" s="3">
        <f>IF(ORIG!Q1924=0,"",ORIG!Q1924)</f>
        <v/>
      </c>
      <c r="R1924" s="3">
        <f>IF(ORIG!R1924=0,"",ORIG!R1924)</f>
        <v/>
      </c>
      <c r="S1924" s="3">
        <f>IF(ORIG!S1924=0,"",ORIG!S1924)</f>
        <v/>
      </c>
      <c r="T1924" s="3">
        <f>IF(ORIG!T1924=0,"",ORIG!T1924)</f>
        <v/>
      </c>
      <c r="U1924" s="3">
        <f>IF(ORIG!U1924=0,"",ORIG!U1924)</f>
        <v/>
      </c>
      <c r="V1924" s="9">
        <f>IF(ORIG!V1924=0,"",ORIG!V1924)</f>
        <v/>
      </c>
      <c r="W1924" s="9">
        <f>IF(ORIG!W1924=0,"",ORIG!W1924)</f>
        <v/>
      </c>
      <c r="X1924" s="9">
        <f>IF(ORIG!X1924=0,"",ORIG!X1924)</f>
        <v/>
      </c>
      <c r="Y1924" s="9">
        <f>IF(ORIG!Y1924=0,"",ORIG!Y1924)</f>
        <v/>
      </c>
      <c r="Z1924" s="3">
        <f>SUMPRODUCT($B1924:$Y1924,$B$2649:$Y$2649)</f>
        <v/>
      </c>
      <c r="AA1924" s="3">
        <f>SUMPRODUCT($B1924:$Y1924,$B$2655:$Y$2655)</f>
        <v/>
      </c>
      <c r="AC1924" s="1">
        <f>A1924</f>
        <v/>
      </c>
      <c r="AD1924">
        <f>IF(ISNUMBER(V1924),V1924*($AB$1/V$2635),"")</f>
        <v/>
      </c>
      <c r="AE1924">
        <f>IF(ISNUMBER(Z1924),Z1924*($AB$1/Z$2635),"")</f>
        <v/>
      </c>
      <c r="AF1924" s="25">
        <f>IF(ISNUMBER(AD1924+AE1924),AD1924+AE1924,"")</f>
        <v/>
      </c>
      <c r="AH1924" s="1">
        <f>A1924</f>
        <v/>
      </c>
      <c r="AI1924">
        <f>IF(ISNUMBER((1+V1924)*AI1923),(1+V1924)*AI1923,AI1923)</f>
        <v/>
      </c>
      <c r="AJ1924">
        <f>IF(ISNUMBER((1+Z1924)*AJ1923),(1+Z1924)*AJ1923,AJ1923)</f>
        <v/>
      </c>
    </row>
    <row r="1925">
      <c r="A1925" s="1" t="n">
        <v>44795</v>
      </c>
      <c r="B1925" s="3">
        <f>IF(ORIG!B1925=0,"",ORIG!B1925)</f>
        <v/>
      </c>
      <c r="C1925" s="3">
        <f>IF(ORIG!C1925=0,"",ORIG!C1925)</f>
        <v/>
      </c>
      <c r="D1925" s="3">
        <f>IF(ORIG!D1925=0,"",ORIG!D1925)</f>
        <v/>
      </c>
      <c r="E1925" s="3">
        <f>IF(ORIG!E1925=0,"",ORIG!E1925)</f>
        <v/>
      </c>
      <c r="F1925" s="3">
        <f>IF(ORIG!F1925=0,"",ORIG!F1925)</f>
        <v/>
      </c>
      <c r="G1925" s="3">
        <f>IF(ORIG!G1925=0,"",ORIG!G1925)</f>
        <v/>
      </c>
      <c r="H1925" s="3">
        <f>IF(ORIG!H1925=0,"",ORIG!H1925)</f>
        <v/>
      </c>
      <c r="I1925" s="3">
        <f>IF(ORIG!I1925=0,"",ORIG!I1925)</f>
        <v/>
      </c>
      <c r="J1925" s="3">
        <f>IF(ORIG!J1925=0,"",ORIG!J1925)</f>
        <v/>
      </c>
      <c r="K1925" s="3">
        <f>IF(ORIG!K1925=0,"",ORIG!K1925)</f>
        <v/>
      </c>
      <c r="L1925" s="3">
        <f>IF(ORIG!L1925=0,"",ORIG!L1925)</f>
        <v/>
      </c>
      <c r="M1925" s="3">
        <f>IF(ORIG!M1925=0,"",ORIG!M1925)</f>
        <v/>
      </c>
      <c r="N1925" s="3">
        <f>IF(ORIG!N1925=0,"",ORIG!N1925)</f>
        <v/>
      </c>
      <c r="O1925" s="3">
        <f>IF(ORIG!O1925=0,"",ORIG!O1925)</f>
        <v/>
      </c>
      <c r="P1925" s="3">
        <f>IF(ORIG!P1925=0,"",ORIG!P1925)</f>
        <v/>
      </c>
      <c r="Q1925" s="3">
        <f>IF(ORIG!Q1925=0,"",ORIG!Q1925)</f>
        <v/>
      </c>
      <c r="R1925" s="3">
        <f>IF(ORIG!R1925=0,"",ORIG!R1925)</f>
        <v/>
      </c>
      <c r="S1925" s="3">
        <f>IF(ORIG!S1925=0,"",ORIG!S1925)</f>
        <v/>
      </c>
      <c r="T1925" s="3">
        <f>IF(ORIG!T1925=0,"",ORIG!T1925)</f>
        <v/>
      </c>
      <c r="U1925" s="3">
        <f>IF(ORIG!U1925=0,"",ORIG!U1925)</f>
        <v/>
      </c>
      <c r="V1925" s="9">
        <f>IF(ORIG!V1925=0,"",ORIG!V1925)</f>
        <v/>
      </c>
      <c r="W1925" s="9">
        <f>IF(ORIG!W1925=0,"",ORIG!W1925)</f>
        <v/>
      </c>
      <c r="X1925" s="9">
        <f>IF(ORIG!X1925=0,"",ORIG!X1925)</f>
        <v/>
      </c>
      <c r="Y1925" s="9">
        <f>IF(ORIG!Y1925=0,"",ORIG!Y1925)</f>
        <v/>
      </c>
      <c r="Z1925" s="3">
        <f>SUMPRODUCT($B1925:$Y1925,$B$2649:$Y$2649)</f>
        <v/>
      </c>
      <c r="AA1925" s="3">
        <f>SUMPRODUCT($B1925:$Y1925,$B$2655:$Y$2655)</f>
        <v/>
      </c>
      <c r="AC1925" s="1">
        <f>A1925</f>
        <v/>
      </c>
      <c r="AD1925">
        <f>IF(ISNUMBER(V1925),V1925*($AB$1/V$2635),"")</f>
        <v/>
      </c>
      <c r="AE1925">
        <f>IF(ISNUMBER(Z1925),Z1925*($AB$1/Z$2635),"")</f>
        <v/>
      </c>
      <c r="AF1925" s="25">
        <f>IF(ISNUMBER(AD1925+AE1925),AD1925+AE1925,"")</f>
        <v/>
      </c>
      <c r="AH1925" s="1">
        <f>A1925</f>
        <v/>
      </c>
      <c r="AI1925">
        <f>IF(ISNUMBER((1+V1925)*AI1924),(1+V1925)*AI1924,AI1924)</f>
        <v/>
      </c>
      <c r="AJ1925">
        <f>IF(ISNUMBER((1+Z1925)*AJ1924),(1+Z1925)*AJ1924,AJ1924)</f>
        <v/>
      </c>
    </row>
    <row r="1926">
      <c r="A1926" s="1" t="n">
        <v>44796</v>
      </c>
      <c r="B1926" s="3">
        <f>IF(ORIG!B1926=0,"",ORIG!B1926)</f>
        <v/>
      </c>
      <c r="C1926" s="3">
        <f>IF(ORIG!C1926=0,"",ORIG!C1926)</f>
        <v/>
      </c>
      <c r="D1926" s="3">
        <f>IF(ORIG!D1926=0,"",ORIG!D1926)</f>
        <v/>
      </c>
      <c r="E1926" s="3">
        <f>IF(ORIG!E1926=0,"",ORIG!E1926)</f>
        <v/>
      </c>
      <c r="F1926" s="3">
        <f>IF(ORIG!F1926=0,"",ORIG!F1926)</f>
        <v/>
      </c>
      <c r="G1926" s="3">
        <f>IF(ORIG!G1926=0,"",ORIG!G1926)</f>
        <v/>
      </c>
      <c r="H1926" s="3">
        <f>IF(ORIG!H1926=0,"",ORIG!H1926)</f>
        <v/>
      </c>
      <c r="I1926" s="3">
        <f>IF(ORIG!I1926=0,"",ORIG!I1926)</f>
        <v/>
      </c>
      <c r="J1926" s="3">
        <f>IF(ORIG!J1926=0,"",ORIG!J1926)</f>
        <v/>
      </c>
      <c r="K1926" s="3">
        <f>IF(ORIG!K1926=0,"",ORIG!K1926)</f>
        <v/>
      </c>
      <c r="L1926" s="3">
        <f>IF(ORIG!L1926=0,"",ORIG!L1926)</f>
        <v/>
      </c>
      <c r="M1926" s="3">
        <f>IF(ORIG!M1926=0,"",ORIG!M1926)</f>
        <v/>
      </c>
      <c r="N1926" s="3">
        <f>IF(ORIG!N1926=0,"",ORIG!N1926)</f>
        <v/>
      </c>
      <c r="O1926" s="3">
        <f>IF(ORIG!O1926=0,"",ORIG!O1926)</f>
        <v/>
      </c>
      <c r="P1926" s="3">
        <f>IF(ORIG!P1926=0,"",ORIG!P1926)</f>
        <v/>
      </c>
      <c r="Q1926" s="3">
        <f>IF(ORIG!Q1926=0,"",ORIG!Q1926)</f>
        <v/>
      </c>
      <c r="R1926" s="3">
        <f>IF(ORIG!R1926=0,"",ORIG!R1926)</f>
        <v/>
      </c>
      <c r="S1926" s="3">
        <f>IF(ORIG!S1926=0,"",ORIG!S1926)</f>
        <v/>
      </c>
      <c r="T1926" s="3">
        <f>IF(ORIG!T1926=0,"",ORIG!T1926)</f>
        <v/>
      </c>
      <c r="U1926" s="3">
        <f>IF(ORIG!U1926=0,"",ORIG!U1926)</f>
        <v/>
      </c>
      <c r="V1926" s="9">
        <f>IF(ORIG!V1926=0,"",ORIG!V1926)</f>
        <v/>
      </c>
      <c r="W1926" s="9">
        <f>IF(ORIG!W1926=0,"",ORIG!W1926)</f>
        <v/>
      </c>
      <c r="X1926" s="9">
        <f>IF(ORIG!X1926=0,"",ORIG!X1926)</f>
        <v/>
      </c>
      <c r="Y1926" s="9">
        <f>IF(ORIG!Y1926=0,"",ORIG!Y1926)</f>
        <v/>
      </c>
      <c r="Z1926" s="3">
        <f>SUMPRODUCT($B1926:$Y1926,$B$2649:$Y$2649)</f>
        <v/>
      </c>
      <c r="AA1926" s="3">
        <f>SUMPRODUCT($B1926:$Y1926,$B$2655:$Y$2655)</f>
        <v/>
      </c>
      <c r="AC1926" s="1">
        <f>A1926</f>
        <v/>
      </c>
      <c r="AD1926">
        <f>IF(ISNUMBER(V1926),V1926*($AB$1/V$2635),"")</f>
        <v/>
      </c>
      <c r="AE1926">
        <f>IF(ISNUMBER(Z1926),Z1926*($AB$1/Z$2635),"")</f>
        <v/>
      </c>
      <c r="AF1926" s="25">
        <f>IF(ISNUMBER(AD1926+AE1926),AD1926+AE1926,"")</f>
        <v/>
      </c>
      <c r="AH1926" s="1">
        <f>A1926</f>
        <v/>
      </c>
      <c r="AI1926">
        <f>IF(ISNUMBER((1+V1926)*AI1925),(1+V1926)*AI1925,AI1925)</f>
        <v/>
      </c>
      <c r="AJ1926">
        <f>IF(ISNUMBER((1+Z1926)*AJ1925),(1+Z1926)*AJ1925,AJ1925)</f>
        <v/>
      </c>
    </row>
    <row r="1927">
      <c r="A1927" s="1" t="n">
        <v>44797</v>
      </c>
      <c r="B1927" s="3">
        <f>IF(ORIG!B1927=0,"",ORIG!B1927)</f>
        <v/>
      </c>
      <c r="C1927" s="3">
        <f>IF(ORIG!C1927=0,"",ORIG!C1927)</f>
        <v/>
      </c>
      <c r="D1927" s="3">
        <f>IF(ORIG!D1927=0,"",ORIG!D1927)</f>
        <v/>
      </c>
      <c r="E1927" s="3">
        <f>IF(ORIG!E1927=0,"",ORIG!E1927)</f>
        <v/>
      </c>
      <c r="F1927" s="3">
        <f>IF(ORIG!F1927=0,"",ORIG!F1927)</f>
        <v/>
      </c>
      <c r="G1927" s="3">
        <f>IF(ORIG!G1927=0,"",ORIG!G1927)</f>
        <v/>
      </c>
      <c r="H1927" s="3">
        <f>IF(ORIG!H1927=0,"",ORIG!H1927)</f>
        <v/>
      </c>
      <c r="I1927" s="3">
        <f>IF(ORIG!I1927=0,"",ORIG!I1927)</f>
        <v/>
      </c>
      <c r="J1927" s="3">
        <f>IF(ORIG!J1927=0,"",ORIG!J1927)</f>
        <v/>
      </c>
      <c r="K1927" s="3">
        <f>IF(ORIG!K1927=0,"",ORIG!K1927)</f>
        <v/>
      </c>
      <c r="L1927" s="3">
        <f>IF(ORIG!L1927=0,"",ORIG!L1927)</f>
        <v/>
      </c>
      <c r="M1927" s="3">
        <f>IF(ORIG!M1927=0,"",ORIG!M1927)</f>
        <v/>
      </c>
      <c r="N1927" s="3">
        <f>IF(ORIG!N1927=0,"",ORIG!N1927)</f>
        <v/>
      </c>
      <c r="O1927" s="3">
        <f>IF(ORIG!O1927=0,"",ORIG!O1927)</f>
        <v/>
      </c>
      <c r="P1927" s="3">
        <f>IF(ORIG!P1927=0,"",ORIG!P1927)</f>
        <v/>
      </c>
      <c r="Q1927" s="3">
        <f>IF(ORIG!Q1927=0,"",ORIG!Q1927)</f>
        <v/>
      </c>
      <c r="R1927" s="3">
        <f>IF(ORIG!R1927=0,"",ORIG!R1927)</f>
        <v/>
      </c>
      <c r="S1927" s="3">
        <f>IF(ORIG!S1927=0,"",ORIG!S1927)</f>
        <v/>
      </c>
      <c r="T1927" s="3">
        <f>IF(ORIG!T1927=0,"",ORIG!T1927)</f>
        <v/>
      </c>
      <c r="U1927" s="3">
        <f>IF(ORIG!U1927=0,"",ORIG!U1927)</f>
        <v/>
      </c>
      <c r="V1927" s="9">
        <f>IF(ORIG!V1927=0,"",ORIG!V1927)</f>
        <v/>
      </c>
      <c r="W1927" s="9">
        <f>IF(ORIG!W1927=0,"",ORIG!W1927)</f>
        <v/>
      </c>
      <c r="X1927" s="9">
        <f>IF(ORIG!X1927=0,"",ORIG!X1927)</f>
        <v/>
      </c>
      <c r="Y1927" s="9">
        <f>IF(ORIG!Y1927=0,"",ORIG!Y1927)</f>
        <v/>
      </c>
      <c r="Z1927" s="3">
        <f>SUMPRODUCT($B1927:$Y1927,$B$2649:$Y$2649)</f>
        <v/>
      </c>
      <c r="AA1927" s="3">
        <f>SUMPRODUCT($B1927:$Y1927,$B$2655:$Y$2655)</f>
        <v/>
      </c>
      <c r="AC1927" s="1">
        <f>A1927</f>
        <v/>
      </c>
      <c r="AD1927">
        <f>IF(ISNUMBER(V1927),V1927*($AB$1/V$2635),"")</f>
        <v/>
      </c>
      <c r="AE1927">
        <f>IF(ISNUMBER(Z1927),Z1927*($AB$1/Z$2635),"")</f>
        <v/>
      </c>
      <c r="AF1927" s="25">
        <f>IF(ISNUMBER(AD1927+AE1927),AD1927+AE1927,"")</f>
        <v/>
      </c>
      <c r="AH1927" s="1">
        <f>A1927</f>
        <v/>
      </c>
      <c r="AI1927">
        <f>IF(ISNUMBER((1+V1927)*AI1926),(1+V1927)*AI1926,AI1926)</f>
        <v/>
      </c>
      <c r="AJ1927">
        <f>IF(ISNUMBER((1+Z1927)*AJ1926),(1+Z1927)*AJ1926,AJ1926)</f>
        <v/>
      </c>
    </row>
    <row r="1928">
      <c r="A1928" s="1" t="n">
        <v>44798</v>
      </c>
      <c r="B1928" s="3">
        <f>IF(ORIG!B1928=0,"",ORIG!B1928)</f>
        <v/>
      </c>
      <c r="C1928" s="3">
        <f>IF(ORIG!C1928=0,"",ORIG!C1928)</f>
        <v/>
      </c>
      <c r="D1928" s="3">
        <f>IF(ORIG!D1928=0,"",ORIG!D1928)</f>
        <v/>
      </c>
      <c r="E1928" s="3">
        <f>IF(ORIG!E1928=0,"",ORIG!E1928)</f>
        <v/>
      </c>
      <c r="F1928" s="3">
        <f>IF(ORIG!F1928=0,"",ORIG!F1928)</f>
        <v/>
      </c>
      <c r="G1928" s="3">
        <f>IF(ORIG!G1928=0,"",ORIG!G1928)</f>
        <v/>
      </c>
      <c r="H1928" s="3">
        <f>IF(ORIG!H1928=0,"",ORIG!H1928)</f>
        <v/>
      </c>
      <c r="I1928" s="3">
        <f>IF(ORIG!I1928=0,"",ORIG!I1928)</f>
        <v/>
      </c>
      <c r="J1928" s="3">
        <f>IF(ORIG!J1928=0,"",ORIG!J1928)</f>
        <v/>
      </c>
      <c r="K1928" s="3">
        <f>IF(ORIG!K1928=0,"",ORIG!K1928)</f>
        <v/>
      </c>
      <c r="L1928" s="3">
        <f>IF(ORIG!L1928=0,"",ORIG!L1928)</f>
        <v/>
      </c>
      <c r="M1928" s="3">
        <f>IF(ORIG!M1928=0,"",ORIG!M1928)</f>
        <v/>
      </c>
      <c r="N1928" s="3">
        <f>IF(ORIG!N1928=0,"",ORIG!N1928)</f>
        <v/>
      </c>
      <c r="O1928" s="3">
        <f>IF(ORIG!O1928=0,"",ORIG!O1928)</f>
        <v/>
      </c>
      <c r="P1928" s="3">
        <f>IF(ORIG!P1928=0,"",ORIG!P1928)</f>
        <v/>
      </c>
      <c r="Q1928" s="3">
        <f>IF(ORIG!Q1928=0,"",ORIG!Q1928)</f>
        <v/>
      </c>
      <c r="R1928" s="3">
        <f>IF(ORIG!R1928=0,"",ORIG!R1928)</f>
        <v/>
      </c>
      <c r="S1928" s="3">
        <f>IF(ORIG!S1928=0,"",ORIG!S1928)</f>
        <v/>
      </c>
      <c r="T1928" s="3">
        <f>IF(ORIG!T1928=0,"",ORIG!T1928)</f>
        <v/>
      </c>
      <c r="U1928" s="3">
        <f>IF(ORIG!U1928=0,"",ORIG!U1928)</f>
        <v/>
      </c>
      <c r="V1928" s="9">
        <f>IF(ORIG!V1928=0,"",ORIG!V1928)</f>
        <v/>
      </c>
      <c r="W1928" s="9">
        <f>IF(ORIG!W1928=0,"",ORIG!W1928)</f>
        <v/>
      </c>
      <c r="X1928" s="9">
        <f>IF(ORIG!X1928=0,"",ORIG!X1928)</f>
        <v/>
      </c>
      <c r="Y1928" s="9">
        <f>IF(ORIG!Y1928=0,"",ORIG!Y1928)</f>
        <v/>
      </c>
      <c r="Z1928" s="3">
        <f>SUMPRODUCT($B1928:$Y1928,$B$2649:$Y$2649)</f>
        <v/>
      </c>
      <c r="AA1928" s="3">
        <f>SUMPRODUCT($B1928:$Y1928,$B$2655:$Y$2655)</f>
        <v/>
      </c>
      <c r="AC1928" s="1">
        <f>A1928</f>
        <v/>
      </c>
      <c r="AD1928">
        <f>IF(ISNUMBER(V1928),V1928*($AB$1/V$2635),"")</f>
        <v/>
      </c>
      <c r="AE1928">
        <f>IF(ISNUMBER(Z1928),Z1928*($AB$1/Z$2635),"")</f>
        <v/>
      </c>
      <c r="AF1928" s="25">
        <f>IF(ISNUMBER(AD1928+AE1928),AD1928+AE1928,"")</f>
        <v/>
      </c>
      <c r="AH1928" s="1">
        <f>A1928</f>
        <v/>
      </c>
      <c r="AI1928">
        <f>IF(ISNUMBER((1+V1928)*AI1927),(1+V1928)*AI1927,AI1927)</f>
        <v/>
      </c>
      <c r="AJ1928">
        <f>IF(ISNUMBER((1+Z1928)*AJ1927),(1+Z1928)*AJ1927,AJ1927)</f>
        <v/>
      </c>
    </row>
    <row r="1929">
      <c r="A1929" s="1" t="n">
        <v>44799</v>
      </c>
      <c r="B1929" s="3">
        <f>IF(ORIG!B1929=0,"",ORIG!B1929)</f>
        <v/>
      </c>
      <c r="C1929" s="3">
        <f>IF(ORIG!C1929=0,"",ORIG!C1929)</f>
        <v/>
      </c>
      <c r="D1929" s="3">
        <f>IF(ORIG!D1929=0,"",ORIG!D1929)</f>
        <v/>
      </c>
      <c r="E1929" s="3">
        <f>IF(ORIG!E1929=0,"",ORIG!E1929)</f>
        <v/>
      </c>
      <c r="F1929" s="3">
        <f>IF(ORIG!F1929=0,"",ORIG!F1929)</f>
        <v/>
      </c>
      <c r="G1929" s="3">
        <f>IF(ORIG!G1929=0,"",ORIG!G1929)</f>
        <v/>
      </c>
      <c r="H1929" s="3">
        <f>IF(ORIG!H1929=0,"",ORIG!H1929)</f>
        <v/>
      </c>
      <c r="I1929" s="3">
        <f>IF(ORIG!I1929=0,"",ORIG!I1929)</f>
        <v/>
      </c>
      <c r="J1929" s="3">
        <f>IF(ORIG!J1929=0,"",ORIG!J1929)</f>
        <v/>
      </c>
      <c r="K1929" s="3">
        <f>IF(ORIG!K1929=0,"",ORIG!K1929)</f>
        <v/>
      </c>
      <c r="L1929" s="3">
        <f>IF(ORIG!L1929=0,"",ORIG!L1929)</f>
        <v/>
      </c>
      <c r="M1929" s="3">
        <f>IF(ORIG!M1929=0,"",ORIG!M1929)</f>
        <v/>
      </c>
      <c r="N1929" s="3">
        <f>IF(ORIG!N1929=0,"",ORIG!N1929)</f>
        <v/>
      </c>
      <c r="O1929" s="3">
        <f>IF(ORIG!O1929=0,"",ORIG!O1929)</f>
        <v/>
      </c>
      <c r="P1929" s="3">
        <f>IF(ORIG!P1929=0,"",ORIG!P1929)</f>
        <v/>
      </c>
      <c r="Q1929" s="3">
        <f>IF(ORIG!Q1929=0,"",ORIG!Q1929)</f>
        <v/>
      </c>
      <c r="R1929" s="3">
        <f>IF(ORIG!R1929=0,"",ORIG!R1929)</f>
        <v/>
      </c>
      <c r="S1929" s="3">
        <f>IF(ORIG!S1929=0,"",ORIG!S1929)</f>
        <v/>
      </c>
      <c r="T1929" s="3">
        <f>IF(ORIG!T1929=0,"",ORIG!T1929)</f>
        <v/>
      </c>
      <c r="U1929" s="3">
        <f>IF(ORIG!U1929=0,"",ORIG!U1929)</f>
        <v/>
      </c>
      <c r="V1929" s="9">
        <f>IF(ORIG!V1929=0,"",ORIG!V1929)</f>
        <v/>
      </c>
      <c r="W1929" s="9">
        <f>IF(ORIG!W1929=0,"",ORIG!W1929)</f>
        <v/>
      </c>
      <c r="X1929" s="9">
        <f>IF(ORIG!X1929=0,"",ORIG!X1929)</f>
        <v/>
      </c>
      <c r="Y1929" s="9">
        <f>IF(ORIG!Y1929=0,"",ORIG!Y1929)</f>
        <v/>
      </c>
      <c r="Z1929" s="3">
        <f>SUMPRODUCT($B1929:$Y1929,$B$2649:$Y$2649)</f>
        <v/>
      </c>
      <c r="AA1929" s="3">
        <f>SUMPRODUCT($B1929:$Y1929,$B$2655:$Y$2655)</f>
        <v/>
      </c>
      <c r="AC1929" s="1">
        <f>A1929</f>
        <v/>
      </c>
      <c r="AD1929">
        <f>IF(ISNUMBER(V1929),V1929*($AB$1/V$2635),"")</f>
        <v/>
      </c>
      <c r="AE1929">
        <f>IF(ISNUMBER(Z1929),Z1929*($AB$1/Z$2635),"")</f>
        <v/>
      </c>
      <c r="AF1929" s="25">
        <f>IF(ISNUMBER(AD1929+AE1929),AD1929+AE1929,"")</f>
        <v/>
      </c>
      <c r="AH1929" s="1">
        <f>A1929</f>
        <v/>
      </c>
      <c r="AI1929">
        <f>IF(ISNUMBER((1+V1929)*AI1928),(1+V1929)*AI1928,AI1928)</f>
        <v/>
      </c>
      <c r="AJ1929">
        <f>IF(ISNUMBER((1+Z1929)*AJ1928),(1+Z1929)*AJ1928,AJ1928)</f>
        <v/>
      </c>
    </row>
    <row r="1930">
      <c r="A1930" s="1" t="n">
        <v>44802</v>
      </c>
      <c r="B1930" s="3">
        <f>IF(ORIG!B1930=0,"",ORIG!B1930)</f>
        <v/>
      </c>
      <c r="C1930" s="3">
        <f>IF(ORIG!C1930=0,"",ORIG!C1930)</f>
        <v/>
      </c>
      <c r="D1930" s="3">
        <f>IF(ORIG!D1930=0,"",ORIG!D1930)</f>
        <v/>
      </c>
      <c r="E1930" s="3">
        <f>IF(ORIG!E1930=0,"",ORIG!E1930)</f>
        <v/>
      </c>
      <c r="F1930" s="3">
        <f>IF(ORIG!F1930=0,"",ORIG!F1930)</f>
        <v/>
      </c>
      <c r="G1930" s="3">
        <f>IF(ORIG!G1930=0,"",ORIG!G1930)</f>
        <v/>
      </c>
      <c r="H1930" s="3">
        <f>IF(ORIG!H1930=0,"",ORIG!H1930)</f>
        <v/>
      </c>
      <c r="I1930" s="3">
        <f>IF(ORIG!I1930=0,"",ORIG!I1930)</f>
        <v/>
      </c>
      <c r="J1930" s="3">
        <f>IF(ORIG!J1930=0,"",ORIG!J1930)</f>
        <v/>
      </c>
      <c r="K1930" s="3">
        <f>IF(ORIG!K1930=0,"",ORIG!K1930)</f>
        <v/>
      </c>
      <c r="L1930" s="3">
        <f>IF(ORIG!L1930=0,"",ORIG!L1930)</f>
        <v/>
      </c>
      <c r="M1930" s="3">
        <f>IF(ORIG!M1930=0,"",ORIG!M1930)</f>
        <v/>
      </c>
      <c r="N1930" s="3">
        <f>IF(ORIG!N1930=0,"",ORIG!N1930)</f>
        <v/>
      </c>
      <c r="O1930" s="3">
        <f>IF(ORIG!O1930=0,"",ORIG!O1930)</f>
        <v/>
      </c>
      <c r="P1930" s="3">
        <f>IF(ORIG!P1930=0,"",ORIG!P1930)</f>
        <v/>
      </c>
      <c r="Q1930" s="3">
        <f>IF(ORIG!Q1930=0,"",ORIG!Q1930)</f>
        <v/>
      </c>
      <c r="R1930" s="3">
        <f>IF(ORIG!R1930=0,"",ORIG!R1930)</f>
        <v/>
      </c>
      <c r="S1930" s="3">
        <f>IF(ORIG!S1930=0,"",ORIG!S1930)</f>
        <v/>
      </c>
      <c r="T1930" s="3">
        <f>IF(ORIG!T1930=0,"",ORIG!T1930)</f>
        <v/>
      </c>
      <c r="U1930" s="3">
        <f>IF(ORIG!U1930=0,"",ORIG!U1930)</f>
        <v/>
      </c>
      <c r="V1930" s="9">
        <f>IF(ORIG!V1930=0,"",ORIG!V1930)</f>
        <v/>
      </c>
      <c r="W1930" s="9">
        <f>IF(ORIG!W1930=0,"",ORIG!W1930)</f>
        <v/>
      </c>
      <c r="X1930" s="9">
        <f>IF(ORIG!X1930=0,"",ORIG!X1930)</f>
        <v/>
      </c>
      <c r="Y1930" s="9">
        <f>IF(ORIG!Y1930=0,"",ORIG!Y1930)</f>
        <v/>
      </c>
      <c r="Z1930" s="3">
        <f>SUMPRODUCT($B1930:$Y1930,$B$2649:$Y$2649)</f>
        <v/>
      </c>
      <c r="AA1930" s="3">
        <f>SUMPRODUCT($B1930:$Y1930,$B$2655:$Y$2655)</f>
        <v/>
      </c>
      <c r="AC1930" s="1">
        <f>A1930</f>
        <v/>
      </c>
      <c r="AD1930">
        <f>IF(ISNUMBER(V1930),V1930*($AB$1/V$2635),"")</f>
        <v/>
      </c>
      <c r="AE1930">
        <f>IF(ISNUMBER(Z1930),Z1930*($AB$1/Z$2635),"")</f>
        <v/>
      </c>
      <c r="AF1930" s="25">
        <f>IF(ISNUMBER(AD1930+AE1930),AD1930+AE1930,"")</f>
        <v/>
      </c>
      <c r="AH1930" s="1">
        <f>A1930</f>
        <v/>
      </c>
      <c r="AI1930">
        <f>IF(ISNUMBER((1+V1930)*AI1929),(1+V1930)*AI1929,AI1929)</f>
        <v/>
      </c>
      <c r="AJ1930">
        <f>IF(ISNUMBER((1+Z1930)*AJ1929),(1+Z1930)*AJ1929,AJ1929)</f>
        <v/>
      </c>
    </row>
    <row r="1931">
      <c r="A1931" s="1" t="n">
        <v>44803</v>
      </c>
      <c r="B1931" s="3">
        <f>IF(ORIG!B1931=0,"",ORIG!B1931)</f>
        <v/>
      </c>
      <c r="C1931" s="3">
        <f>IF(ORIG!C1931=0,"",ORIG!C1931)</f>
        <v/>
      </c>
      <c r="D1931" s="3">
        <f>IF(ORIG!D1931=0,"",ORIG!D1931)</f>
        <v/>
      </c>
      <c r="E1931" s="3">
        <f>IF(ORIG!E1931=0,"",ORIG!E1931)</f>
        <v/>
      </c>
      <c r="F1931" s="3">
        <f>IF(ORIG!F1931=0,"",ORIG!F1931)</f>
        <v/>
      </c>
      <c r="G1931" s="3">
        <f>IF(ORIG!G1931=0,"",ORIG!G1931)</f>
        <v/>
      </c>
      <c r="H1931" s="3">
        <f>IF(ORIG!H1931=0,"",ORIG!H1931)</f>
        <v/>
      </c>
      <c r="I1931" s="3">
        <f>IF(ORIG!I1931=0,"",ORIG!I1931)</f>
        <v/>
      </c>
      <c r="J1931" s="3">
        <f>IF(ORIG!J1931=0,"",ORIG!J1931)</f>
        <v/>
      </c>
      <c r="K1931" s="3">
        <f>IF(ORIG!K1931=0,"",ORIG!K1931)</f>
        <v/>
      </c>
      <c r="L1931" s="3">
        <f>IF(ORIG!L1931=0,"",ORIG!L1931)</f>
        <v/>
      </c>
      <c r="M1931" s="3">
        <f>IF(ORIG!M1931=0,"",ORIG!M1931)</f>
        <v/>
      </c>
      <c r="N1931" s="3">
        <f>IF(ORIG!N1931=0,"",ORIG!N1931)</f>
        <v/>
      </c>
      <c r="O1931" s="3">
        <f>IF(ORIG!O1931=0,"",ORIG!O1931)</f>
        <v/>
      </c>
      <c r="P1931" s="3">
        <f>IF(ORIG!P1931=0,"",ORIG!P1931)</f>
        <v/>
      </c>
      <c r="Q1931" s="3">
        <f>IF(ORIG!Q1931=0,"",ORIG!Q1931)</f>
        <v/>
      </c>
      <c r="R1931" s="3">
        <f>IF(ORIG!R1931=0,"",ORIG!R1931)</f>
        <v/>
      </c>
      <c r="S1931" s="3">
        <f>IF(ORIG!S1931=0,"",ORIG!S1931)</f>
        <v/>
      </c>
      <c r="T1931" s="3">
        <f>IF(ORIG!T1931=0,"",ORIG!T1931)</f>
        <v/>
      </c>
      <c r="U1931" s="3">
        <f>IF(ORIG!U1931=0,"",ORIG!U1931)</f>
        <v/>
      </c>
      <c r="V1931" s="9">
        <f>IF(ORIG!V1931=0,"",ORIG!V1931)</f>
        <v/>
      </c>
      <c r="W1931" s="9">
        <f>IF(ORIG!W1931=0,"",ORIG!W1931)</f>
        <v/>
      </c>
      <c r="X1931" s="9">
        <f>IF(ORIG!X1931=0,"",ORIG!X1931)</f>
        <v/>
      </c>
      <c r="Y1931" s="9">
        <f>IF(ORIG!Y1931=0,"",ORIG!Y1931)</f>
        <v/>
      </c>
      <c r="Z1931" s="3">
        <f>SUMPRODUCT($B1931:$Y1931,$B$2649:$Y$2649)</f>
        <v/>
      </c>
      <c r="AA1931" s="3">
        <f>SUMPRODUCT($B1931:$Y1931,$B$2655:$Y$2655)</f>
        <v/>
      </c>
      <c r="AC1931" s="1">
        <f>A1931</f>
        <v/>
      </c>
      <c r="AD1931">
        <f>IF(ISNUMBER(V1931),V1931*($AB$1/V$2635),"")</f>
        <v/>
      </c>
      <c r="AE1931">
        <f>IF(ISNUMBER(Z1931),Z1931*($AB$1/Z$2635),"")</f>
        <v/>
      </c>
      <c r="AF1931" s="25">
        <f>IF(ISNUMBER(AD1931+AE1931),AD1931+AE1931,"")</f>
        <v/>
      </c>
      <c r="AH1931" s="1">
        <f>A1931</f>
        <v/>
      </c>
      <c r="AI1931">
        <f>IF(ISNUMBER((1+V1931)*AI1930),(1+V1931)*AI1930,AI1930)</f>
        <v/>
      </c>
      <c r="AJ1931">
        <f>IF(ISNUMBER((1+Z1931)*AJ1930),(1+Z1931)*AJ1930,AJ1930)</f>
        <v/>
      </c>
    </row>
    <row r="1932">
      <c r="A1932" s="1" t="n">
        <v>44804</v>
      </c>
      <c r="B1932" s="3">
        <f>IF(ORIG!B1932=0,"",ORIG!B1932)</f>
        <v/>
      </c>
      <c r="C1932" s="3">
        <f>IF(ORIG!C1932=0,"",ORIG!C1932)</f>
        <v/>
      </c>
      <c r="D1932" s="3">
        <f>IF(ORIG!D1932=0,"",ORIG!D1932)</f>
        <v/>
      </c>
      <c r="E1932" s="3">
        <f>IF(ORIG!E1932=0,"",ORIG!E1932)</f>
        <v/>
      </c>
      <c r="F1932" s="3">
        <f>IF(ORIG!F1932=0,"",ORIG!F1932)</f>
        <v/>
      </c>
      <c r="G1932" s="3">
        <f>IF(ORIG!G1932=0,"",ORIG!G1932)</f>
        <v/>
      </c>
      <c r="H1932" s="3">
        <f>IF(ORIG!H1932=0,"",ORIG!H1932)</f>
        <v/>
      </c>
      <c r="I1932" s="3">
        <f>IF(ORIG!I1932=0,"",ORIG!I1932)</f>
        <v/>
      </c>
      <c r="J1932" s="3">
        <f>IF(ORIG!J1932=0,"",ORIG!J1932)</f>
        <v/>
      </c>
      <c r="K1932" s="3">
        <f>IF(ORIG!K1932=0,"",ORIG!K1932)</f>
        <v/>
      </c>
      <c r="L1932" s="3">
        <f>IF(ORIG!L1932=0,"",ORIG!L1932)</f>
        <v/>
      </c>
      <c r="M1932" s="3">
        <f>IF(ORIG!M1932=0,"",ORIG!M1932)</f>
        <v/>
      </c>
      <c r="N1932" s="3">
        <f>IF(ORIG!N1932=0,"",ORIG!N1932)</f>
        <v/>
      </c>
      <c r="O1932" s="3">
        <f>IF(ORIG!O1932=0,"",ORIG!O1932)</f>
        <v/>
      </c>
      <c r="P1932" s="3">
        <f>IF(ORIG!P1932=0,"",ORIG!P1932)</f>
        <v/>
      </c>
      <c r="Q1932" s="3">
        <f>IF(ORIG!Q1932=0,"",ORIG!Q1932)</f>
        <v/>
      </c>
      <c r="R1932" s="3">
        <f>IF(ORIG!R1932=0,"",ORIG!R1932)</f>
        <v/>
      </c>
      <c r="S1932" s="3">
        <f>IF(ORIG!S1932=0,"",ORIG!S1932)</f>
        <v/>
      </c>
      <c r="T1932" s="3">
        <f>IF(ORIG!T1932=0,"",ORIG!T1932)</f>
        <v/>
      </c>
      <c r="U1932" s="3">
        <f>IF(ORIG!U1932=0,"",ORIG!U1932)</f>
        <v/>
      </c>
      <c r="V1932" s="9">
        <f>IF(ORIG!V1932=0,"",ORIG!V1932)</f>
        <v/>
      </c>
      <c r="W1932" s="9">
        <f>IF(ORIG!W1932=0,"",ORIG!W1932)</f>
        <v/>
      </c>
      <c r="X1932" s="9">
        <f>IF(ORIG!X1932=0,"",ORIG!X1932)</f>
        <v/>
      </c>
      <c r="Y1932" s="9">
        <f>IF(ORIG!Y1932=0,"",ORIG!Y1932)</f>
        <v/>
      </c>
      <c r="Z1932" s="3">
        <f>SUMPRODUCT($B1932:$Y1932,$B$2649:$Y$2649)</f>
        <v/>
      </c>
      <c r="AA1932" s="3">
        <f>SUMPRODUCT($B1932:$Y1932,$B$2655:$Y$2655)</f>
        <v/>
      </c>
      <c r="AC1932" s="1">
        <f>A1932</f>
        <v/>
      </c>
      <c r="AD1932">
        <f>IF(ISNUMBER(V1932),V1932*($AB$1/V$2635),"")</f>
        <v/>
      </c>
      <c r="AE1932">
        <f>IF(ISNUMBER(Z1932),Z1932*($AB$1/Z$2635),"")</f>
        <v/>
      </c>
      <c r="AF1932" s="25">
        <f>IF(ISNUMBER(AD1932+AE1932),AD1932+AE1932,"")</f>
        <v/>
      </c>
      <c r="AH1932" s="1">
        <f>A1932</f>
        <v/>
      </c>
      <c r="AI1932">
        <f>IF(ISNUMBER((1+V1932)*AI1931),(1+V1932)*AI1931,AI1931)</f>
        <v/>
      </c>
      <c r="AJ1932">
        <f>IF(ISNUMBER((1+Z1932)*AJ1931),(1+Z1932)*AJ1931,AJ1931)</f>
        <v/>
      </c>
    </row>
    <row r="1933">
      <c r="A1933" s="1" t="n">
        <v>44805</v>
      </c>
      <c r="B1933" s="3">
        <f>IF(ORIG!B1933=0,"",ORIG!B1933)</f>
        <v/>
      </c>
      <c r="C1933" s="3">
        <f>IF(ORIG!C1933=0,"",ORIG!C1933)</f>
        <v/>
      </c>
      <c r="D1933" s="3">
        <f>IF(ORIG!D1933=0,"",ORIG!D1933)</f>
        <v/>
      </c>
      <c r="E1933" s="3">
        <f>IF(ORIG!E1933=0,"",ORIG!E1933)</f>
        <v/>
      </c>
      <c r="F1933" s="3">
        <f>IF(ORIG!F1933=0,"",ORIG!F1933)</f>
        <v/>
      </c>
      <c r="G1933" s="3">
        <f>IF(ORIG!G1933=0,"",ORIG!G1933)</f>
        <v/>
      </c>
      <c r="H1933" s="3">
        <f>IF(ORIG!H1933=0,"",ORIG!H1933)</f>
        <v/>
      </c>
      <c r="I1933" s="3">
        <f>IF(ORIG!I1933=0,"",ORIG!I1933)</f>
        <v/>
      </c>
      <c r="J1933" s="3">
        <f>IF(ORIG!J1933=0,"",ORIG!J1933)</f>
        <v/>
      </c>
      <c r="K1933" s="3">
        <f>IF(ORIG!K1933=0,"",ORIG!K1933)</f>
        <v/>
      </c>
      <c r="L1933" s="3">
        <f>IF(ORIG!L1933=0,"",ORIG!L1933)</f>
        <v/>
      </c>
      <c r="M1933" s="3">
        <f>IF(ORIG!M1933=0,"",ORIG!M1933)</f>
        <v/>
      </c>
      <c r="N1933" s="3">
        <f>IF(ORIG!N1933=0,"",ORIG!N1933)</f>
        <v/>
      </c>
      <c r="O1933" s="3">
        <f>IF(ORIG!O1933=0,"",ORIG!O1933)</f>
        <v/>
      </c>
      <c r="P1933" s="3">
        <f>IF(ORIG!P1933=0,"",ORIG!P1933)</f>
        <v/>
      </c>
      <c r="Q1933" s="3">
        <f>IF(ORIG!Q1933=0,"",ORIG!Q1933)</f>
        <v/>
      </c>
      <c r="R1933" s="3">
        <f>IF(ORIG!R1933=0,"",ORIG!R1933)</f>
        <v/>
      </c>
      <c r="S1933" s="3">
        <f>IF(ORIG!S1933=0,"",ORIG!S1933)</f>
        <v/>
      </c>
      <c r="T1933" s="3">
        <f>IF(ORIG!T1933=0,"",ORIG!T1933)</f>
        <v/>
      </c>
      <c r="U1933" s="3">
        <f>IF(ORIG!U1933=0,"",ORIG!U1933)</f>
        <v/>
      </c>
      <c r="V1933" s="9">
        <f>IF(ORIG!V1933=0,"",ORIG!V1933)</f>
        <v/>
      </c>
      <c r="W1933" s="9">
        <f>IF(ORIG!W1933=0,"",ORIG!W1933)</f>
        <v/>
      </c>
      <c r="X1933" s="9">
        <f>IF(ORIG!X1933=0,"",ORIG!X1933)</f>
        <v/>
      </c>
      <c r="Y1933" s="9">
        <f>IF(ORIG!Y1933=0,"",ORIG!Y1933)</f>
        <v/>
      </c>
      <c r="Z1933" s="3">
        <f>SUMPRODUCT($B1933:$Y1933,$B$2649:$Y$2649)</f>
        <v/>
      </c>
      <c r="AA1933" s="3">
        <f>SUMPRODUCT($B1933:$Y1933,$B$2655:$Y$2655)</f>
        <v/>
      </c>
      <c r="AC1933" s="1">
        <f>A1933</f>
        <v/>
      </c>
      <c r="AD1933">
        <f>IF(ISNUMBER(V1933),V1933*($AB$1/V$2635),"")</f>
        <v/>
      </c>
      <c r="AE1933">
        <f>IF(ISNUMBER(Z1933),Z1933*($AB$1/Z$2635),"")</f>
        <v/>
      </c>
      <c r="AF1933" s="25">
        <f>IF(ISNUMBER(AD1933+AE1933),AD1933+AE1933,"")</f>
        <v/>
      </c>
      <c r="AH1933" s="1">
        <f>A1933</f>
        <v/>
      </c>
      <c r="AI1933">
        <f>IF(ISNUMBER((1+V1933)*AI1932),(1+V1933)*AI1932,AI1932)</f>
        <v/>
      </c>
      <c r="AJ1933">
        <f>IF(ISNUMBER((1+Z1933)*AJ1932),(1+Z1933)*AJ1932,AJ1932)</f>
        <v/>
      </c>
    </row>
    <row r="1934">
      <c r="A1934" s="1" t="n">
        <v>44806</v>
      </c>
      <c r="B1934" s="3">
        <f>IF(ORIG!B1934=0,"",ORIG!B1934)</f>
        <v/>
      </c>
      <c r="C1934" s="3">
        <f>IF(ORIG!C1934=0,"",ORIG!C1934)</f>
        <v/>
      </c>
      <c r="D1934" s="3">
        <f>IF(ORIG!D1934=0,"",ORIG!D1934)</f>
        <v/>
      </c>
      <c r="E1934" s="3">
        <f>IF(ORIG!E1934=0,"",ORIG!E1934)</f>
        <v/>
      </c>
      <c r="F1934" s="3">
        <f>IF(ORIG!F1934=0,"",ORIG!F1934)</f>
        <v/>
      </c>
      <c r="G1934" s="3">
        <f>IF(ORIG!G1934=0,"",ORIG!G1934)</f>
        <v/>
      </c>
      <c r="H1934" s="3">
        <f>IF(ORIG!H1934=0,"",ORIG!H1934)</f>
        <v/>
      </c>
      <c r="I1934" s="3">
        <f>IF(ORIG!I1934=0,"",ORIG!I1934)</f>
        <v/>
      </c>
      <c r="J1934" s="3">
        <f>IF(ORIG!J1934=0,"",ORIG!J1934)</f>
        <v/>
      </c>
      <c r="K1934" s="3">
        <f>IF(ORIG!K1934=0,"",ORIG!K1934)</f>
        <v/>
      </c>
      <c r="L1934" s="3">
        <f>IF(ORIG!L1934=0,"",ORIG!L1934)</f>
        <v/>
      </c>
      <c r="M1934" s="3">
        <f>IF(ORIG!M1934=0,"",ORIG!M1934)</f>
        <v/>
      </c>
      <c r="N1934" s="3">
        <f>IF(ORIG!N1934=0,"",ORIG!N1934)</f>
        <v/>
      </c>
      <c r="O1934" s="3">
        <f>IF(ORIG!O1934=0,"",ORIG!O1934)</f>
        <v/>
      </c>
      <c r="P1934" s="3">
        <f>IF(ORIG!P1934=0,"",ORIG!P1934)</f>
        <v/>
      </c>
      <c r="Q1934" s="3">
        <f>IF(ORIG!Q1934=0,"",ORIG!Q1934)</f>
        <v/>
      </c>
      <c r="R1934" s="3">
        <f>IF(ORIG!R1934=0,"",ORIG!R1934)</f>
        <v/>
      </c>
      <c r="S1934" s="3">
        <f>IF(ORIG!S1934=0,"",ORIG!S1934)</f>
        <v/>
      </c>
      <c r="T1934" s="3">
        <f>IF(ORIG!T1934=0,"",ORIG!T1934)</f>
        <v/>
      </c>
      <c r="U1934" s="3">
        <f>IF(ORIG!U1934=0,"",ORIG!U1934)</f>
        <v/>
      </c>
      <c r="V1934" s="9">
        <f>IF(ORIG!V1934=0,"",ORIG!V1934)</f>
        <v/>
      </c>
      <c r="W1934" s="9">
        <f>IF(ORIG!W1934=0,"",ORIG!W1934)</f>
        <v/>
      </c>
      <c r="X1934" s="9">
        <f>IF(ORIG!X1934=0,"",ORIG!X1934)</f>
        <v/>
      </c>
      <c r="Y1934" s="9">
        <f>IF(ORIG!Y1934=0,"",ORIG!Y1934)</f>
        <v/>
      </c>
      <c r="Z1934" s="3">
        <f>SUMPRODUCT($B1934:$Y1934,$B$2649:$Y$2649)</f>
        <v/>
      </c>
      <c r="AA1934" s="3">
        <f>SUMPRODUCT($B1934:$Y1934,$B$2655:$Y$2655)</f>
        <v/>
      </c>
      <c r="AC1934" s="1">
        <f>A1934</f>
        <v/>
      </c>
      <c r="AD1934">
        <f>IF(ISNUMBER(V1934),V1934*($AB$1/V$2635),"")</f>
        <v/>
      </c>
      <c r="AE1934">
        <f>IF(ISNUMBER(Z1934),Z1934*($AB$1/Z$2635),"")</f>
        <v/>
      </c>
      <c r="AF1934" s="25">
        <f>IF(ISNUMBER(AD1934+AE1934),AD1934+AE1934,"")</f>
        <v/>
      </c>
      <c r="AH1934" s="1">
        <f>A1934</f>
        <v/>
      </c>
      <c r="AI1934">
        <f>IF(ISNUMBER((1+V1934)*AI1933),(1+V1934)*AI1933,AI1933)</f>
        <v/>
      </c>
      <c r="AJ1934">
        <f>IF(ISNUMBER((1+Z1934)*AJ1933),(1+Z1934)*AJ1933,AJ1933)</f>
        <v/>
      </c>
    </row>
    <row r="1935">
      <c r="A1935" s="1" t="n">
        <v>44810</v>
      </c>
      <c r="B1935" s="3">
        <f>IF(ORIG!B1935=0,"",ORIG!B1935)</f>
        <v/>
      </c>
      <c r="C1935" s="3">
        <f>IF(ORIG!C1935=0,"",ORIG!C1935)</f>
        <v/>
      </c>
      <c r="D1935" s="3">
        <f>IF(ORIG!D1935=0,"",ORIG!D1935)</f>
        <v/>
      </c>
      <c r="E1935" s="3">
        <f>IF(ORIG!E1935=0,"",ORIG!E1935)</f>
        <v/>
      </c>
      <c r="F1935" s="3">
        <f>IF(ORIG!F1935=0,"",ORIG!F1935)</f>
        <v/>
      </c>
      <c r="G1935" s="3">
        <f>IF(ORIG!G1935=0,"",ORIG!G1935)</f>
        <v/>
      </c>
      <c r="H1935" s="3">
        <f>IF(ORIG!H1935=0,"",ORIG!H1935)</f>
        <v/>
      </c>
      <c r="I1935" s="3">
        <f>IF(ORIG!I1935=0,"",ORIG!I1935)</f>
        <v/>
      </c>
      <c r="J1935" s="3">
        <f>IF(ORIG!J1935=0,"",ORIG!J1935)</f>
        <v/>
      </c>
      <c r="K1935" s="3">
        <f>IF(ORIG!K1935=0,"",ORIG!K1935)</f>
        <v/>
      </c>
      <c r="L1935" s="3">
        <f>IF(ORIG!L1935=0,"",ORIG!L1935)</f>
        <v/>
      </c>
      <c r="M1935" s="3">
        <f>IF(ORIG!M1935=0,"",ORIG!M1935)</f>
        <v/>
      </c>
      <c r="N1935" s="3">
        <f>IF(ORIG!N1935=0,"",ORIG!N1935)</f>
        <v/>
      </c>
      <c r="O1935" s="3">
        <f>IF(ORIG!O1935=0,"",ORIG!O1935)</f>
        <v/>
      </c>
      <c r="P1935" s="3">
        <f>IF(ORIG!P1935=0,"",ORIG!P1935)</f>
        <v/>
      </c>
      <c r="Q1935" s="3">
        <f>IF(ORIG!Q1935=0,"",ORIG!Q1935)</f>
        <v/>
      </c>
      <c r="R1935" s="3">
        <f>IF(ORIG!R1935=0,"",ORIG!R1935)</f>
        <v/>
      </c>
      <c r="S1935" s="3">
        <f>IF(ORIG!S1935=0,"",ORIG!S1935)</f>
        <v/>
      </c>
      <c r="T1935" s="3">
        <f>IF(ORIG!T1935=0,"",ORIG!T1935)</f>
        <v/>
      </c>
      <c r="U1935" s="3">
        <f>IF(ORIG!U1935=0,"",ORIG!U1935)</f>
        <v/>
      </c>
      <c r="V1935" s="9">
        <f>IF(ORIG!V1935=0,"",ORIG!V1935)</f>
        <v/>
      </c>
      <c r="W1935" s="9">
        <f>IF(ORIG!W1935=0,"",ORIG!W1935)</f>
        <v/>
      </c>
      <c r="X1935" s="9">
        <f>IF(ORIG!X1935=0,"",ORIG!X1935)</f>
        <v/>
      </c>
      <c r="Y1935" s="9">
        <f>IF(ORIG!Y1935=0,"",ORIG!Y1935)</f>
        <v/>
      </c>
      <c r="Z1935" s="3">
        <f>SUMPRODUCT($B1935:$Y1935,$B$2649:$Y$2649)</f>
        <v/>
      </c>
      <c r="AA1935" s="3">
        <f>SUMPRODUCT($B1935:$Y1935,$B$2655:$Y$2655)</f>
        <v/>
      </c>
      <c r="AC1935" s="1">
        <f>A1935</f>
        <v/>
      </c>
      <c r="AD1935">
        <f>IF(ISNUMBER(V1935),V1935*($AB$1/V$2635),"")</f>
        <v/>
      </c>
      <c r="AE1935">
        <f>IF(ISNUMBER(Z1935),Z1935*($AB$1/Z$2635),"")</f>
        <v/>
      </c>
      <c r="AF1935" s="25">
        <f>IF(ISNUMBER(AD1935+AE1935),AD1935+AE1935,"")</f>
        <v/>
      </c>
      <c r="AH1935" s="1">
        <f>A1935</f>
        <v/>
      </c>
      <c r="AI1935">
        <f>IF(ISNUMBER((1+V1935)*AI1934),(1+V1935)*AI1934,AI1934)</f>
        <v/>
      </c>
      <c r="AJ1935">
        <f>IF(ISNUMBER((1+Z1935)*AJ1934),(1+Z1935)*AJ1934,AJ1934)</f>
        <v/>
      </c>
    </row>
    <row r="1936">
      <c r="A1936" s="1" t="n">
        <v>44811</v>
      </c>
      <c r="B1936" s="3">
        <f>IF(ORIG!B1936=0,"",ORIG!B1936)</f>
        <v/>
      </c>
      <c r="C1936" s="3">
        <f>IF(ORIG!C1936=0,"",ORIG!C1936)</f>
        <v/>
      </c>
      <c r="D1936" s="3">
        <f>IF(ORIG!D1936=0,"",ORIG!D1936)</f>
        <v/>
      </c>
      <c r="E1936" s="3">
        <f>IF(ORIG!E1936=0,"",ORIG!E1936)</f>
        <v/>
      </c>
      <c r="F1936" s="3">
        <f>IF(ORIG!F1936=0,"",ORIG!F1936)</f>
        <v/>
      </c>
      <c r="G1936" s="3">
        <f>IF(ORIG!G1936=0,"",ORIG!G1936)</f>
        <v/>
      </c>
      <c r="H1936" s="3">
        <f>IF(ORIG!H1936=0,"",ORIG!H1936)</f>
        <v/>
      </c>
      <c r="I1936" s="3">
        <f>IF(ORIG!I1936=0,"",ORIG!I1936)</f>
        <v/>
      </c>
      <c r="J1936" s="3">
        <f>IF(ORIG!J1936=0,"",ORIG!J1936)</f>
        <v/>
      </c>
      <c r="K1936" s="3">
        <f>IF(ORIG!K1936=0,"",ORIG!K1936)</f>
        <v/>
      </c>
      <c r="L1936" s="3">
        <f>IF(ORIG!L1936=0,"",ORIG!L1936)</f>
        <v/>
      </c>
      <c r="M1936" s="3">
        <f>IF(ORIG!M1936=0,"",ORIG!M1936)</f>
        <v/>
      </c>
      <c r="N1936" s="3">
        <f>IF(ORIG!N1936=0,"",ORIG!N1936)</f>
        <v/>
      </c>
      <c r="O1936" s="3">
        <f>IF(ORIG!O1936=0,"",ORIG!O1936)</f>
        <v/>
      </c>
      <c r="P1936" s="3">
        <f>IF(ORIG!P1936=0,"",ORIG!P1936)</f>
        <v/>
      </c>
      <c r="Q1936" s="3">
        <f>IF(ORIG!Q1936=0,"",ORIG!Q1936)</f>
        <v/>
      </c>
      <c r="R1936" s="3">
        <f>IF(ORIG!R1936=0,"",ORIG!R1936)</f>
        <v/>
      </c>
      <c r="S1936" s="3">
        <f>IF(ORIG!S1936=0,"",ORIG!S1936)</f>
        <v/>
      </c>
      <c r="T1936" s="3">
        <f>IF(ORIG!T1936=0,"",ORIG!T1936)</f>
        <v/>
      </c>
      <c r="U1936" s="3">
        <f>IF(ORIG!U1936=0,"",ORIG!U1936)</f>
        <v/>
      </c>
      <c r="V1936" s="9">
        <f>IF(ORIG!V1936=0,"",ORIG!V1936)</f>
        <v/>
      </c>
      <c r="W1936" s="9">
        <f>IF(ORIG!W1936=0,"",ORIG!W1936)</f>
        <v/>
      </c>
      <c r="X1936" s="9">
        <f>IF(ORIG!X1936=0,"",ORIG!X1936)</f>
        <v/>
      </c>
      <c r="Y1936" s="9">
        <f>IF(ORIG!Y1936=0,"",ORIG!Y1936)</f>
        <v/>
      </c>
      <c r="Z1936" s="3">
        <f>SUMPRODUCT($B1936:$Y1936,$B$2649:$Y$2649)</f>
        <v/>
      </c>
      <c r="AA1936" s="3">
        <f>SUMPRODUCT($B1936:$Y1936,$B$2655:$Y$2655)</f>
        <v/>
      </c>
      <c r="AC1936" s="1">
        <f>A1936</f>
        <v/>
      </c>
      <c r="AD1936">
        <f>IF(ISNUMBER(V1936),V1936*($AB$1/V$2635),"")</f>
        <v/>
      </c>
      <c r="AE1936">
        <f>IF(ISNUMBER(Z1936),Z1936*($AB$1/Z$2635),"")</f>
        <v/>
      </c>
      <c r="AF1936" s="25">
        <f>IF(ISNUMBER(AD1936+AE1936),AD1936+AE1936,"")</f>
        <v/>
      </c>
      <c r="AH1936" s="1">
        <f>A1936</f>
        <v/>
      </c>
      <c r="AI1936">
        <f>IF(ISNUMBER((1+V1936)*AI1935),(1+V1936)*AI1935,AI1935)</f>
        <v/>
      </c>
      <c r="AJ1936">
        <f>IF(ISNUMBER((1+Z1936)*AJ1935),(1+Z1936)*AJ1935,AJ1935)</f>
        <v/>
      </c>
    </row>
    <row r="1937">
      <c r="A1937" s="1" t="n">
        <v>44812</v>
      </c>
      <c r="B1937" s="3">
        <f>IF(ORIG!B1937=0,"",ORIG!B1937)</f>
        <v/>
      </c>
      <c r="C1937" s="3">
        <f>IF(ORIG!C1937=0,"",ORIG!C1937)</f>
        <v/>
      </c>
      <c r="D1937" s="3">
        <f>IF(ORIG!D1937=0,"",ORIG!D1937)</f>
        <v/>
      </c>
      <c r="E1937" s="3">
        <f>IF(ORIG!E1937=0,"",ORIG!E1937)</f>
        <v/>
      </c>
      <c r="F1937" s="3">
        <f>IF(ORIG!F1937=0,"",ORIG!F1937)</f>
        <v/>
      </c>
      <c r="G1937" s="3">
        <f>IF(ORIG!G1937=0,"",ORIG!G1937)</f>
        <v/>
      </c>
      <c r="H1937" s="3">
        <f>IF(ORIG!H1937=0,"",ORIG!H1937)</f>
        <v/>
      </c>
      <c r="I1937" s="3">
        <f>IF(ORIG!I1937=0,"",ORIG!I1937)</f>
        <v/>
      </c>
      <c r="J1937" s="3">
        <f>IF(ORIG!J1937=0,"",ORIG!J1937)</f>
        <v/>
      </c>
      <c r="K1937" s="3">
        <f>IF(ORIG!K1937=0,"",ORIG!K1937)</f>
        <v/>
      </c>
      <c r="L1937" s="3">
        <f>IF(ORIG!L1937=0,"",ORIG!L1937)</f>
        <v/>
      </c>
      <c r="M1937" s="3">
        <f>IF(ORIG!M1937=0,"",ORIG!M1937)</f>
        <v/>
      </c>
      <c r="N1937" s="3">
        <f>IF(ORIG!N1937=0,"",ORIG!N1937)</f>
        <v/>
      </c>
      <c r="O1937" s="3">
        <f>IF(ORIG!O1937=0,"",ORIG!O1937)</f>
        <v/>
      </c>
      <c r="P1937" s="3">
        <f>IF(ORIG!P1937=0,"",ORIG!P1937)</f>
        <v/>
      </c>
      <c r="Q1937" s="3">
        <f>IF(ORIG!Q1937=0,"",ORIG!Q1937)</f>
        <v/>
      </c>
      <c r="R1937" s="3">
        <f>IF(ORIG!R1937=0,"",ORIG!R1937)</f>
        <v/>
      </c>
      <c r="S1937" s="3">
        <f>IF(ORIG!S1937=0,"",ORIG!S1937)</f>
        <v/>
      </c>
      <c r="T1937" s="3">
        <f>IF(ORIG!T1937=0,"",ORIG!T1937)</f>
        <v/>
      </c>
      <c r="U1937" s="3">
        <f>IF(ORIG!U1937=0,"",ORIG!U1937)</f>
        <v/>
      </c>
      <c r="V1937" s="9">
        <f>IF(ORIG!V1937=0,"",ORIG!V1937)</f>
        <v/>
      </c>
      <c r="W1937" s="9">
        <f>IF(ORIG!W1937=0,"",ORIG!W1937)</f>
        <v/>
      </c>
      <c r="X1937" s="9">
        <f>IF(ORIG!X1937=0,"",ORIG!X1937)</f>
        <v/>
      </c>
      <c r="Y1937" s="9">
        <f>IF(ORIG!Y1937=0,"",ORIG!Y1937)</f>
        <v/>
      </c>
      <c r="Z1937" s="3">
        <f>SUMPRODUCT($B1937:$Y1937,$B$2649:$Y$2649)</f>
        <v/>
      </c>
      <c r="AA1937" s="3">
        <f>SUMPRODUCT($B1937:$Y1937,$B$2655:$Y$2655)</f>
        <v/>
      </c>
      <c r="AC1937" s="1">
        <f>A1937</f>
        <v/>
      </c>
      <c r="AD1937">
        <f>IF(ISNUMBER(V1937),V1937*($AB$1/V$2635),"")</f>
        <v/>
      </c>
      <c r="AE1937">
        <f>IF(ISNUMBER(Z1937),Z1937*($AB$1/Z$2635),"")</f>
        <v/>
      </c>
      <c r="AF1937" s="25">
        <f>IF(ISNUMBER(AD1937+AE1937),AD1937+AE1937,"")</f>
        <v/>
      </c>
      <c r="AH1937" s="1">
        <f>A1937</f>
        <v/>
      </c>
      <c r="AI1937">
        <f>IF(ISNUMBER((1+V1937)*AI1936),(1+V1937)*AI1936,AI1936)</f>
        <v/>
      </c>
      <c r="AJ1937">
        <f>IF(ISNUMBER((1+Z1937)*AJ1936),(1+Z1937)*AJ1936,AJ1936)</f>
        <v/>
      </c>
    </row>
    <row r="1938">
      <c r="A1938" s="1" t="n">
        <v>44813</v>
      </c>
      <c r="B1938" s="3">
        <f>IF(ORIG!B1938=0,"",ORIG!B1938)</f>
        <v/>
      </c>
      <c r="C1938" s="3">
        <f>IF(ORIG!C1938=0,"",ORIG!C1938)</f>
        <v/>
      </c>
      <c r="D1938" s="3">
        <f>IF(ORIG!D1938=0,"",ORIG!D1938)</f>
        <v/>
      </c>
      <c r="E1938" s="3">
        <f>IF(ORIG!E1938=0,"",ORIG!E1938)</f>
        <v/>
      </c>
      <c r="F1938" s="3">
        <f>IF(ORIG!F1938=0,"",ORIG!F1938)</f>
        <v/>
      </c>
      <c r="G1938" s="3">
        <f>IF(ORIG!G1938=0,"",ORIG!G1938)</f>
        <v/>
      </c>
      <c r="H1938" s="3">
        <f>IF(ORIG!H1938=0,"",ORIG!H1938)</f>
        <v/>
      </c>
      <c r="I1938" s="3">
        <f>IF(ORIG!I1938=0,"",ORIG!I1938)</f>
        <v/>
      </c>
      <c r="J1938" s="3">
        <f>IF(ORIG!J1938=0,"",ORIG!J1938)</f>
        <v/>
      </c>
      <c r="K1938" s="3">
        <f>IF(ORIG!K1938=0,"",ORIG!K1938)</f>
        <v/>
      </c>
      <c r="L1938" s="3">
        <f>IF(ORIG!L1938=0,"",ORIG!L1938)</f>
        <v/>
      </c>
      <c r="M1938" s="3">
        <f>IF(ORIG!M1938=0,"",ORIG!M1938)</f>
        <v/>
      </c>
      <c r="N1938" s="3">
        <f>IF(ORIG!N1938=0,"",ORIG!N1938)</f>
        <v/>
      </c>
      <c r="O1938" s="3">
        <f>IF(ORIG!O1938=0,"",ORIG!O1938)</f>
        <v/>
      </c>
      <c r="P1938" s="3">
        <f>IF(ORIG!P1938=0,"",ORIG!P1938)</f>
        <v/>
      </c>
      <c r="Q1938" s="3">
        <f>IF(ORIG!Q1938=0,"",ORIG!Q1938)</f>
        <v/>
      </c>
      <c r="R1938" s="3">
        <f>IF(ORIG!R1938=0,"",ORIG!R1938)</f>
        <v/>
      </c>
      <c r="S1938" s="3">
        <f>IF(ORIG!S1938=0,"",ORIG!S1938)</f>
        <v/>
      </c>
      <c r="T1938" s="3">
        <f>IF(ORIG!T1938=0,"",ORIG!T1938)</f>
        <v/>
      </c>
      <c r="U1938" s="3">
        <f>IF(ORIG!U1938=0,"",ORIG!U1938)</f>
        <v/>
      </c>
      <c r="V1938" s="9">
        <f>IF(ORIG!V1938=0,"",ORIG!V1938)</f>
        <v/>
      </c>
      <c r="W1938" s="9">
        <f>IF(ORIG!W1938=0,"",ORIG!W1938)</f>
        <v/>
      </c>
      <c r="X1938" s="9">
        <f>IF(ORIG!X1938=0,"",ORIG!X1938)</f>
        <v/>
      </c>
      <c r="Y1938" s="9">
        <f>IF(ORIG!Y1938=0,"",ORIG!Y1938)</f>
        <v/>
      </c>
      <c r="Z1938" s="3">
        <f>SUMPRODUCT($B1938:$Y1938,$B$2649:$Y$2649)</f>
        <v/>
      </c>
      <c r="AA1938" s="3">
        <f>SUMPRODUCT($B1938:$Y1938,$B$2655:$Y$2655)</f>
        <v/>
      </c>
      <c r="AC1938" s="1">
        <f>A1938</f>
        <v/>
      </c>
      <c r="AD1938">
        <f>IF(ISNUMBER(V1938),V1938*($AB$1/V$2635),"")</f>
        <v/>
      </c>
      <c r="AE1938">
        <f>IF(ISNUMBER(Z1938),Z1938*($AB$1/Z$2635),"")</f>
        <v/>
      </c>
      <c r="AF1938" s="25">
        <f>IF(ISNUMBER(AD1938+AE1938),AD1938+AE1938,"")</f>
        <v/>
      </c>
      <c r="AH1938" s="1">
        <f>A1938</f>
        <v/>
      </c>
      <c r="AI1938">
        <f>IF(ISNUMBER((1+V1938)*AI1937),(1+V1938)*AI1937,AI1937)</f>
        <v/>
      </c>
      <c r="AJ1938">
        <f>IF(ISNUMBER((1+Z1938)*AJ1937),(1+Z1938)*AJ1937,AJ1937)</f>
        <v/>
      </c>
    </row>
    <row r="1939">
      <c r="A1939" s="1" t="n">
        <v>44816</v>
      </c>
      <c r="B1939" s="3">
        <f>IF(ORIG!B1939=0,"",ORIG!B1939)</f>
        <v/>
      </c>
      <c r="C1939" s="3">
        <f>IF(ORIG!C1939=0,"",ORIG!C1939)</f>
        <v/>
      </c>
      <c r="D1939" s="3">
        <f>IF(ORIG!D1939=0,"",ORIG!D1939)</f>
        <v/>
      </c>
      <c r="E1939" s="3">
        <f>IF(ORIG!E1939=0,"",ORIG!E1939)</f>
        <v/>
      </c>
      <c r="F1939" s="3">
        <f>IF(ORIG!F1939=0,"",ORIG!F1939)</f>
        <v/>
      </c>
      <c r="G1939" s="3">
        <f>IF(ORIG!G1939=0,"",ORIG!G1939)</f>
        <v/>
      </c>
      <c r="H1939" s="3">
        <f>IF(ORIG!H1939=0,"",ORIG!H1939)</f>
        <v/>
      </c>
      <c r="I1939" s="3">
        <f>IF(ORIG!I1939=0,"",ORIG!I1939)</f>
        <v/>
      </c>
      <c r="J1939" s="3">
        <f>IF(ORIG!J1939=0,"",ORIG!J1939)</f>
        <v/>
      </c>
      <c r="K1939" s="3">
        <f>IF(ORIG!K1939=0,"",ORIG!K1939)</f>
        <v/>
      </c>
      <c r="L1939" s="3">
        <f>IF(ORIG!L1939=0,"",ORIG!L1939)</f>
        <v/>
      </c>
      <c r="M1939" s="3">
        <f>IF(ORIG!M1939=0,"",ORIG!M1939)</f>
        <v/>
      </c>
      <c r="N1939" s="3">
        <f>IF(ORIG!N1939=0,"",ORIG!N1939)</f>
        <v/>
      </c>
      <c r="O1939" s="3">
        <f>IF(ORIG!O1939=0,"",ORIG!O1939)</f>
        <v/>
      </c>
      <c r="P1939" s="3">
        <f>IF(ORIG!P1939=0,"",ORIG!P1939)</f>
        <v/>
      </c>
      <c r="Q1939" s="3">
        <f>IF(ORIG!Q1939=0,"",ORIG!Q1939)</f>
        <v/>
      </c>
      <c r="R1939" s="3">
        <f>IF(ORIG!R1939=0,"",ORIG!R1939)</f>
        <v/>
      </c>
      <c r="S1939" s="3">
        <f>IF(ORIG!S1939=0,"",ORIG!S1939)</f>
        <v/>
      </c>
      <c r="T1939" s="3">
        <f>IF(ORIG!T1939=0,"",ORIG!T1939)</f>
        <v/>
      </c>
      <c r="U1939" s="3">
        <f>IF(ORIG!U1939=0,"",ORIG!U1939)</f>
        <v/>
      </c>
      <c r="V1939" s="9">
        <f>IF(ORIG!V1939=0,"",ORIG!V1939)</f>
        <v/>
      </c>
      <c r="W1939" s="9">
        <f>IF(ORIG!W1939=0,"",ORIG!W1939)</f>
        <v/>
      </c>
      <c r="X1939" s="9">
        <f>IF(ORIG!X1939=0,"",ORIG!X1939)</f>
        <v/>
      </c>
      <c r="Y1939" s="9">
        <f>IF(ORIG!Y1939=0,"",ORIG!Y1939)</f>
        <v/>
      </c>
      <c r="Z1939" s="3">
        <f>SUMPRODUCT($B1939:$Y1939,$B$2649:$Y$2649)</f>
        <v/>
      </c>
      <c r="AA1939" s="3">
        <f>SUMPRODUCT($B1939:$Y1939,$B$2655:$Y$2655)</f>
        <v/>
      </c>
      <c r="AC1939" s="1">
        <f>A1939</f>
        <v/>
      </c>
      <c r="AD1939">
        <f>IF(ISNUMBER(V1939),V1939*($AB$1/V$2635),"")</f>
        <v/>
      </c>
      <c r="AE1939">
        <f>IF(ISNUMBER(Z1939),Z1939*($AB$1/Z$2635),"")</f>
        <v/>
      </c>
      <c r="AF1939" s="25">
        <f>IF(ISNUMBER(AD1939+AE1939),AD1939+AE1939,"")</f>
        <v/>
      </c>
      <c r="AH1939" s="1">
        <f>A1939</f>
        <v/>
      </c>
      <c r="AI1939">
        <f>IF(ISNUMBER((1+V1939)*AI1938),(1+V1939)*AI1938,AI1938)</f>
        <v/>
      </c>
      <c r="AJ1939">
        <f>IF(ISNUMBER((1+Z1939)*AJ1938),(1+Z1939)*AJ1938,AJ1938)</f>
        <v/>
      </c>
    </row>
    <row r="1940">
      <c r="A1940" s="1" t="n">
        <v>44817</v>
      </c>
      <c r="B1940" s="3">
        <f>IF(ORIG!B1940=0,"",ORIG!B1940)</f>
        <v/>
      </c>
      <c r="C1940" s="3">
        <f>IF(ORIG!C1940=0,"",ORIG!C1940)</f>
        <v/>
      </c>
      <c r="D1940" s="3">
        <f>IF(ORIG!D1940=0,"",ORIG!D1940)</f>
        <v/>
      </c>
      <c r="E1940" s="3">
        <f>IF(ORIG!E1940=0,"",ORIG!E1940)</f>
        <v/>
      </c>
      <c r="F1940" s="3">
        <f>IF(ORIG!F1940=0,"",ORIG!F1940)</f>
        <v/>
      </c>
      <c r="G1940" s="3">
        <f>IF(ORIG!G1940=0,"",ORIG!G1940)</f>
        <v/>
      </c>
      <c r="H1940" s="3">
        <f>IF(ORIG!H1940=0,"",ORIG!H1940)</f>
        <v/>
      </c>
      <c r="I1940" s="3">
        <f>IF(ORIG!I1940=0,"",ORIG!I1940)</f>
        <v/>
      </c>
      <c r="J1940" s="3">
        <f>IF(ORIG!J1940=0,"",ORIG!J1940)</f>
        <v/>
      </c>
      <c r="K1940" s="3">
        <f>IF(ORIG!K1940=0,"",ORIG!K1940)</f>
        <v/>
      </c>
      <c r="L1940" s="3">
        <f>IF(ORIG!L1940=0,"",ORIG!L1940)</f>
        <v/>
      </c>
      <c r="M1940" s="3">
        <f>IF(ORIG!M1940=0,"",ORIG!M1940)</f>
        <v/>
      </c>
      <c r="N1940" s="3">
        <f>IF(ORIG!N1940=0,"",ORIG!N1940)</f>
        <v/>
      </c>
      <c r="O1940" s="3">
        <f>IF(ORIG!O1940=0,"",ORIG!O1940)</f>
        <v/>
      </c>
      <c r="P1940" s="3">
        <f>IF(ORIG!P1940=0,"",ORIG!P1940)</f>
        <v/>
      </c>
      <c r="Q1940" s="3">
        <f>IF(ORIG!Q1940=0,"",ORIG!Q1940)</f>
        <v/>
      </c>
      <c r="R1940" s="3">
        <f>IF(ORIG!R1940=0,"",ORIG!R1940)</f>
        <v/>
      </c>
      <c r="S1940" s="3">
        <f>IF(ORIG!S1940=0,"",ORIG!S1940)</f>
        <v/>
      </c>
      <c r="T1940" s="3">
        <f>IF(ORIG!T1940=0,"",ORIG!T1940)</f>
        <v/>
      </c>
      <c r="U1940" s="3">
        <f>IF(ORIG!U1940=0,"",ORIG!U1940)</f>
        <v/>
      </c>
      <c r="V1940" s="9">
        <f>IF(ORIG!V1940=0,"",ORIG!V1940)</f>
        <v/>
      </c>
      <c r="W1940" s="9">
        <f>IF(ORIG!W1940=0,"",ORIG!W1940)</f>
        <v/>
      </c>
      <c r="X1940" s="9">
        <f>IF(ORIG!X1940=0,"",ORIG!X1940)</f>
        <v/>
      </c>
      <c r="Y1940" s="9">
        <f>IF(ORIG!Y1940=0,"",ORIG!Y1940)</f>
        <v/>
      </c>
      <c r="Z1940" s="3">
        <f>SUMPRODUCT($B1940:$Y1940,$B$2649:$Y$2649)</f>
        <v/>
      </c>
      <c r="AA1940" s="3">
        <f>SUMPRODUCT($B1940:$Y1940,$B$2655:$Y$2655)</f>
        <v/>
      </c>
      <c r="AC1940" s="1">
        <f>A1940</f>
        <v/>
      </c>
      <c r="AD1940">
        <f>IF(ISNUMBER(V1940),V1940*($AB$1/V$2635),"")</f>
        <v/>
      </c>
      <c r="AE1940">
        <f>IF(ISNUMBER(Z1940),Z1940*($AB$1/Z$2635),"")</f>
        <v/>
      </c>
      <c r="AF1940" s="25">
        <f>IF(ISNUMBER(AD1940+AE1940),AD1940+AE1940,"")</f>
        <v/>
      </c>
      <c r="AH1940" s="1">
        <f>A1940</f>
        <v/>
      </c>
      <c r="AI1940">
        <f>IF(ISNUMBER((1+V1940)*AI1939),(1+V1940)*AI1939,AI1939)</f>
        <v/>
      </c>
      <c r="AJ1940">
        <f>IF(ISNUMBER((1+Z1940)*AJ1939),(1+Z1940)*AJ1939,AJ1939)</f>
        <v/>
      </c>
    </row>
    <row r="1941">
      <c r="A1941" s="1" t="n">
        <v>44818</v>
      </c>
      <c r="B1941" s="3">
        <f>IF(ORIG!B1941=0,"",ORIG!B1941)</f>
        <v/>
      </c>
      <c r="C1941" s="3">
        <f>IF(ORIG!C1941=0,"",ORIG!C1941)</f>
        <v/>
      </c>
      <c r="D1941" s="3">
        <f>IF(ORIG!D1941=0,"",ORIG!D1941)</f>
        <v/>
      </c>
      <c r="E1941" s="3">
        <f>IF(ORIG!E1941=0,"",ORIG!E1941)</f>
        <v/>
      </c>
      <c r="F1941" s="3">
        <f>IF(ORIG!F1941=0,"",ORIG!F1941)</f>
        <v/>
      </c>
      <c r="G1941" s="3">
        <f>IF(ORIG!G1941=0,"",ORIG!G1941)</f>
        <v/>
      </c>
      <c r="H1941" s="3">
        <f>IF(ORIG!H1941=0,"",ORIG!H1941)</f>
        <v/>
      </c>
      <c r="I1941" s="3">
        <f>IF(ORIG!I1941=0,"",ORIG!I1941)</f>
        <v/>
      </c>
      <c r="J1941" s="3">
        <f>IF(ORIG!J1941=0,"",ORIG!J1941)</f>
        <v/>
      </c>
      <c r="K1941" s="3">
        <f>IF(ORIG!K1941=0,"",ORIG!K1941)</f>
        <v/>
      </c>
      <c r="L1941" s="3">
        <f>IF(ORIG!L1941=0,"",ORIG!L1941)</f>
        <v/>
      </c>
      <c r="M1941" s="3">
        <f>IF(ORIG!M1941=0,"",ORIG!M1941)</f>
        <v/>
      </c>
      <c r="N1941" s="3">
        <f>IF(ORIG!N1941=0,"",ORIG!N1941)</f>
        <v/>
      </c>
      <c r="O1941" s="3">
        <f>IF(ORIG!O1941=0,"",ORIG!O1941)</f>
        <v/>
      </c>
      <c r="P1941" s="3">
        <f>IF(ORIG!P1941=0,"",ORIG!P1941)</f>
        <v/>
      </c>
      <c r="Q1941" s="3">
        <f>IF(ORIG!Q1941=0,"",ORIG!Q1941)</f>
        <v/>
      </c>
      <c r="R1941" s="3">
        <f>IF(ORIG!R1941=0,"",ORIG!R1941)</f>
        <v/>
      </c>
      <c r="S1941" s="3">
        <f>IF(ORIG!S1941=0,"",ORIG!S1941)</f>
        <v/>
      </c>
      <c r="T1941" s="3">
        <f>IF(ORIG!T1941=0,"",ORIG!T1941)</f>
        <v/>
      </c>
      <c r="U1941" s="3">
        <f>IF(ORIG!U1941=0,"",ORIG!U1941)</f>
        <v/>
      </c>
      <c r="V1941" s="9">
        <f>IF(ORIG!V1941=0,"",ORIG!V1941)</f>
        <v/>
      </c>
      <c r="W1941" s="9">
        <f>IF(ORIG!W1941=0,"",ORIG!W1941)</f>
        <v/>
      </c>
      <c r="X1941" s="9">
        <f>IF(ORIG!X1941=0,"",ORIG!X1941)</f>
        <v/>
      </c>
      <c r="Y1941" s="9">
        <f>IF(ORIG!Y1941=0,"",ORIG!Y1941)</f>
        <v/>
      </c>
      <c r="Z1941" s="3">
        <f>SUMPRODUCT($B1941:$Y1941,$B$2649:$Y$2649)</f>
        <v/>
      </c>
      <c r="AA1941" s="3">
        <f>SUMPRODUCT($B1941:$Y1941,$B$2655:$Y$2655)</f>
        <v/>
      </c>
      <c r="AC1941" s="1">
        <f>A1941</f>
        <v/>
      </c>
      <c r="AD1941">
        <f>IF(ISNUMBER(V1941),V1941*($AB$1/V$2635),"")</f>
        <v/>
      </c>
      <c r="AE1941">
        <f>IF(ISNUMBER(Z1941),Z1941*($AB$1/Z$2635),"")</f>
        <v/>
      </c>
      <c r="AF1941" s="25">
        <f>IF(ISNUMBER(AD1941+AE1941),AD1941+AE1941,"")</f>
        <v/>
      </c>
      <c r="AH1941" s="1">
        <f>A1941</f>
        <v/>
      </c>
      <c r="AI1941">
        <f>IF(ISNUMBER((1+V1941)*AI1940),(1+V1941)*AI1940,AI1940)</f>
        <v/>
      </c>
      <c r="AJ1941">
        <f>IF(ISNUMBER((1+Z1941)*AJ1940),(1+Z1941)*AJ1940,AJ1940)</f>
        <v/>
      </c>
    </row>
    <row r="1942">
      <c r="A1942" s="1" t="n">
        <v>44819</v>
      </c>
      <c r="B1942" s="3">
        <f>IF(ORIG!B1942=0,"",ORIG!B1942)</f>
        <v/>
      </c>
      <c r="C1942" s="3">
        <f>IF(ORIG!C1942=0,"",ORIG!C1942)</f>
        <v/>
      </c>
      <c r="D1942" s="3">
        <f>IF(ORIG!D1942=0,"",ORIG!D1942)</f>
        <v/>
      </c>
      <c r="E1942" s="3">
        <f>IF(ORIG!E1942=0,"",ORIG!E1942)</f>
        <v/>
      </c>
      <c r="F1942" s="3">
        <f>IF(ORIG!F1942=0,"",ORIG!F1942)</f>
        <v/>
      </c>
      <c r="G1942" s="3">
        <f>IF(ORIG!G1942=0,"",ORIG!G1942)</f>
        <v/>
      </c>
      <c r="H1942" s="3">
        <f>IF(ORIG!H1942=0,"",ORIG!H1942)</f>
        <v/>
      </c>
      <c r="I1942" s="3">
        <f>IF(ORIG!I1942=0,"",ORIG!I1942)</f>
        <v/>
      </c>
      <c r="J1942" s="3">
        <f>IF(ORIG!J1942=0,"",ORIG!J1942)</f>
        <v/>
      </c>
      <c r="K1942" s="3">
        <f>IF(ORIG!K1942=0,"",ORIG!K1942)</f>
        <v/>
      </c>
      <c r="L1942" s="3">
        <f>IF(ORIG!L1942=0,"",ORIG!L1942)</f>
        <v/>
      </c>
      <c r="M1942" s="3">
        <f>IF(ORIG!M1942=0,"",ORIG!M1942)</f>
        <v/>
      </c>
      <c r="N1942" s="3">
        <f>IF(ORIG!N1942=0,"",ORIG!N1942)</f>
        <v/>
      </c>
      <c r="O1942" s="3">
        <f>IF(ORIG!O1942=0,"",ORIG!O1942)</f>
        <v/>
      </c>
      <c r="P1942" s="3">
        <f>IF(ORIG!P1942=0,"",ORIG!P1942)</f>
        <v/>
      </c>
      <c r="Q1942" s="3">
        <f>IF(ORIG!Q1942=0,"",ORIG!Q1942)</f>
        <v/>
      </c>
      <c r="R1942" s="3">
        <f>IF(ORIG!R1942=0,"",ORIG!R1942)</f>
        <v/>
      </c>
      <c r="S1942" s="3">
        <f>IF(ORIG!S1942=0,"",ORIG!S1942)</f>
        <v/>
      </c>
      <c r="T1942" s="3">
        <f>IF(ORIG!T1942=0,"",ORIG!T1942)</f>
        <v/>
      </c>
      <c r="U1942" s="3">
        <f>IF(ORIG!U1942=0,"",ORIG!U1942)</f>
        <v/>
      </c>
      <c r="V1942" s="9">
        <f>IF(ORIG!V1942=0,"",ORIG!V1942)</f>
        <v/>
      </c>
      <c r="W1942" s="9">
        <f>IF(ORIG!W1942=0,"",ORIG!W1942)</f>
        <v/>
      </c>
      <c r="X1942" s="9">
        <f>IF(ORIG!X1942=0,"",ORIG!X1942)</f>
        <v/>
      </c>
      <c r="Y1942" s="9">
        <f>IF(ORIG!Y1942=0,"",ORIG!Y1942)</f>
        <v/>
      </c>
      <c r="Z1942" s="3">
        <f>SUMPRODUCT($B1942:$Y1942,$B$2649:$Y$2649)</f>
        <v/>
      </c>
      <c r="AA1942" s="3">
        <f>SUMPRODUCT($B1942:$Y1942,$B$2655:$Y$2655)</f>
        <v/>
      </c>
      <c r="AC1942" s="1">
        <f>A1942</f>
        <v/>
      </c>
      <c r="AD1942">
        <f>IF(ISNUMBER(V1942),V1942*($AB$1/V$2635),"")</f>
        <v/>
      </c>
      <c r="AE1942">
        <f>IF(ISNUMBER(Z1942),Z1942*($AB$1/Z$2635),"")</f>
        <v/>
      </c>
      <c r="AF1942" s="25">
        <f>IF(ISNUMBER(AD1942+AE1942),AD1942+AE1942,"")</f>
        <v/>
      </c>
      <c r="AH1942" s="1">
        <f>A1942</f>
        <v/>
      </c>
      <c r="AI1942">
        <f>IF(ISNUMBER((1+V1942)*AI1941),(1+V1942)*AI1941,AI1941)</f>
        <v/>
      </c>
      <c r="AJ1942">
        <f>IF(ISNUMBER((1+Z1942)*AJ1941),(1+Z1942)*AJ1941,AJ1941)</f>
        <v/>
      </c>
    </row>
    <row r="1943">
      <c r="A1943" s="1" t="n">
        <v>44820</v>
      </c>
      <c r="B1943" s="3">
        <f>IF(ORIG!B1943=0,"",ORIG!B1943)</f>
        <v/>
      </c>
      <c r="C1943" s="3">
        <f>IF(ORIG!C1943=0,"",ORIG!C1943)</f>
        <v/>
      </c>
      <c r="D1943" s="3">
        <f>IF(ORIG!D1943=0,"",ORIG!D1943)</f>
        <v/>
      </c>
      <c r="E1943" s="3">
        <f>IF(ORIG!E1943=0,"",ORIG!E1943)</f>
        <v/>
      </c>
      <c r="F1943" s="3">
        <f>IF(ORIG!F1943=0,"",ORIG!F1943)</f>
        <v/>
      </c>
      <c r="G1943" s="3">
        <f>IF(ORIG!G1943=0,"",ORIG!G1943)</f>
        <v/>
      </c>
      <c r="H1943" s="3">
        <f>IF(ORIG!H1943=0,"",ORIG!H1943)</f>
        <v/>
      </c>
      <c r="I1943" s="3">
        <f>IF(ORIG!I1943=0,"",ORIG!I1943)</f>
        <v/>
      </c>
      <c r="J1943" s="3">
        <f>IF(ORIG!J1943=0,"",ORIG!J1943)</f>
        <v/>
      </c>
      <c r="K1943" s="3">
        <f>IF(ORIG!K1943=0,"",ORIG!K1943)</f>
        <v/>
      </c>
      <c r="L1943" s="3">
        <f>IF(ORIG!L1943=0,"",ORIG!L1943)</f>
        <v/>
      </c>
      <c r="M1943" s="3">
        <f>IF(ORIG!M1943=0,"",ORIG!M1943)</f>
        <v/>
      </c>
      <c r="N1943" s="3">
        <f>IF(ORIG!N1943=0,"",ORIG!N1943)</f>
        <v/>
      </c>
      <c r="O1943" s="3">
        <f>IF(ORIG!O1943=0,"",ORIG!O1943)</f>
        <v/>
      </c>
      <c r="P1943" s="3">
        <f>IF(ORIG!P1943=0,"",ORIG!P1943)</f>
        <v/>
      </c>
      <c r="Q1943" s="3">
        <f>IF(ORIG!Q1943=0,"",ORIG!Q1943)</f>
        <v/>
      </c>
      <c r="R1943" s="3">
        <f>IF(ORIG!R1943=0,"",ORIG!R1943)</f>
        <v/>
      </c>
      <c r="S1943" s="3">
        <f>IF(ORIG!S1943=0,"",ORIG!S1943)</f>
        <v/>
      </c>
      <c r="T1943" s="3">
        <f>IF(ORIG!T1943=0,"",ORIG!T1943)</f>
        <v/>
      </c>
      <c r="U1943" s="3">
        <f>IF(ORIG!U1943=0,"",ORIG!U1943)</f>
        <v/>
      </c>
      <c r="V1943" s="9">
        <f>IF(ORIG!V1943=0,"",ORIG!V1943)</f>
        <v/>
      </c>
      <c r="W1943" s="9">
        <f>IF(ORIG!W1943=0,"",ORIG!W1943)</f>
        <v/>
      </c>
      <c r="X1943" s="9">
        <f>IF(ORIG!X1943=0,"",ORIG!X1943)</f>
        <v/>
      </c>
      <c r="Y1943" s="9">
        <f>IF(ORIG!Y1943=0,"",ORIG!Y1943)</f>
        <v/>
      </c>
      <c r="Z1943" s="3">
        <f>SUMPRODUCT($B1943:$Y1943,$B$2649:$Y$2649)</f>
        <v/>
      </c>
      <c r="AA1943" s="3">
        <f>SUMPRODUCT($B1943:$Y1943,$B$2655:$Y$2655)</f>
        <v/>
      </c>
      <c r="AC1943" s="1">
        <f>A1943</f>
        <v/>
      </c>
      <c r="AD1943">
        <f>IF(ISNUMBER(V1943),V1943*($AB$1/V$2635),"")</f>
        <v/>
      </c>
      <c r="AE1943">
        <f>IF(ISNUMBER(Z1943),Z1943*($AB$1/Z$2635),"")</f>
        <v/>
      </c>
      <c r="AF1943" s="25">
        <f>IF(ISNUMBER(AD1943+AE1943),AD1943+AE1943,"")</f>
        <v/>
      </c>
      <c r="AH1943" s="1">
        <f>A1943</f>
        <v/>
      </c>
      <c r="AI1943">
        <f>IF(ISNUMBER((1+V1943)*AI1942),(1+V1943)*AI1942,AI1942)</f>
        <v/>
      </c>
      <c r="AJ1943">
        <f>IF(ISNUMBER((1+Z1943)*AJ1942),(1+Z1943)*AJ1942,AJ1942)</f>
        <v/>
      </c>
    </row>
    <row r="1944">
      <c r="A1944" s="1" t="n">
        <v>44823</v>
      </c>
      <c r="B1944" s="3">
        <f>IF(ORIG!B1944=0,"",ORIG!B1944)</f>
        <v/>
      </c>
      <c r="C1944" s="3">
        <f>IF(ORIG!C1944=0,"",ORIG!C1944)</f>
        <v/>
      </c>
      <c r="D1944" s="3">
        <f>IF(ORIG!D1944=0,"",ORIG!D1944)</f>
        <v/>
      </c>
      <c r="E1944" s="3">
        <f>IF(ORIG!E1944=0,"",ORIG!E1944)</f>
        <v/>
      </c>
      <c r="F1944" s="3">
        <f>IF(ORIG!F1944=0,"",ORIG!F1944)</f>
        <v/>
      </c>
      <c r="G1944" s="3">
        <f>IF(ORIG!G1944=0,"",ORIG!G1944)</f>
        <v/>
      </c>
      <c r="H1944" s="3">
        <f>IF(ORIG!H1944=0,"",ORIG!H1944)</f>
        <v/>
      </c>
      <c r="I1944" s="3">
        <f>IF(ORIG!I1944=0,"",ORIG!I1944)</f>
        <v/>
      </c>
      <c r="J1944" s="3">
        <f>IF(ORIG!J1944=0,"",ORIG!J1944)</f>
        <v/>
      </c>
      <c r="K1944" s="3">
        <f>IF(ORIG!K1944=0,"",ORIG!K1944)</f>
        <v/>
      </c>
      <c r="L1944" s="3">
        <f>IF(ORIG!L1944=0,"",ORIG!L1944)</f>
        <v/>
      </c>
      <c r="M1944" s="3">
        <f>IF(ORIG!M1944=0,"",ORIG!M1944)</f>
        <v/>
      </c>
      <c r="N1944" s="3">
        <f>IF(ORIG!N1944=0,"",ORIG!N1944)</f>
        <v/>
      </c>
      <c r="O1944" s="3">
        <f>IF(ORIG!O1944=0,"",ORIG!O1944)</f>
        <v/>
      </c>
      <c r="P1944" s="3">
        <f>IF(ORIG!P1944=0,"",ORIG!P1944)</f>
        <v/>
      </c>
      <c r="Q1944" s="3">
        <f>IF(ORIG!Q1944=0,"",ORIG!Q1944)</f>
        <v/>
      </c>
      <c r="R1944" s="3">
        <f>IF(ORIG!R1944=0,"",ORIG!R1944)</f>
        <v/>
      </c>
      <c r="S1944" s="3">
        <f>IF(ORIG!S1944=0,"",ORIG!S1944)</f>
        <v/>
      </c>
      <c r="T1944" s="3">
        <f>IF(ORIG!T1944=0,"",ORIG!T1944)</f>
        <v/>
      </c>
      <c r="U1944" s="3">
        <f>IF(ORIG!U1944=0,"",ORIG!U1944)</f>
        <v/>
      </c>
      <c r="V1944" s="9">
        <f>IF(ORIG!V1944=0,"",ORIG!V1944)</f>
        <v/>
      </c>
      <c r="W1944" s="9">
        <f>IF(ORIG!W1944=0,"",ORIG!W1944)</f>
        <v/>
      </c>
      <c r="X1944" s="9">
        <f>IF(ORIG!X1944=0,"",ORIG!X1944)</f>
        <v/>
      </c>
      <c r="Y1944" s="9">
        <f>IF(ORIG!Y1944=0,"",ORIG!Y1944)</f>
        <v/>
      </c>
      <c r="Z1944" s="3">
        <f>SUMPRODUCT($B1944:$Y1944,$B$2649:$Y$2649)</f>
        <v/>
      </c>
      <c r="AA1944" s="3">
        <f>SUMPRODUCT($B1944:$Y1944,$B$2655:$Y$2655)</f>
        <v/>
      </c>
      <c r="AC1944" s="1">
        <f>A1944</f>
        <v/>
      </c>
      <c r="AD1944">
        <f>IF(ISNUMBER(V1944),V1944*($AB$1/V$2635),"")</f>
        <v/>
      </c>
      <c r="AE1944">
        <f>IF(ISNUMBER(Z1944),Z1944*($AB$1/Z$2635),"")</f>
        <v/>
      </c>
      <c r="AF1944" s="25">
        <f>IF(ISNUMBER(AD1944+AE1944),AD1944+AE1944,"")</f>
        <v/>
      </c>
      <c r="AH1944" s="1">
        <f>A1944</f>
        <v/>
      </c>
      <c r="AI1944">
        <f>IF(ISNUMBER((1+V1944)*AI1943),(1+V1944)*AI1943,AI1943)</f>
        <v/>
      </c>
      <c r="AJ1944">
        <f>IF(ISNUMBER((1+Z1944)*AJ1943),(1+Z1944)*AJ1943,AJ1943)</f>
        <v/>
      </c>
    </row>
    <row r="1945">
      <c r="A1945" s="1" t="n">
        <v>44824</v>
      </c>
      <c r="B1945" s="3">
        <f>IF(ORIG!B1945=0,"",ORIG!B1945)</f>
        <v/>
      </c>
      <c r="C1945" s="3">
        <f>IF(ORIG!C1945=0,"",ORIG!C1945)</f>
        <v/>
      </c>
      <c r="D1945" s="3">
        <f>IF(ORIG!D1945=0,"",ORIG!D1945)</f>
        <v/>
      </c>
      <c r="E1945" s="3">
        <f>IF(ORIG!E1945=0,"",ORIG!E1945)</f>
        <v/>
      </c>
      <c r="F1945" s="3">
        <f>IF(ORIG!F1945=0,"",ORIG!F1945)</f>
        <v/>
      </c>
      <c r="G1945" s="3">
        <f>IF(ORIG!G1945=0,"",ORIG!G1945)</f>
        <v/>
      </c>
      <c r="H1945" s="3">
        <f>IF(ORIG!H1945=0,"",ORIG!H1945)</f>
        <v/>
      </c>
      <c r="I1945" s="3">
        <f>IF(ORIG!I1945=0,"",ORIG!I1945)</f>
        <v/>
      </c>
      <c r="J1945" s="3">
        <f>IF(ORIG!J1945=0,"",ORIG!J1945)</f>
        <v/>
      </c>
      <c r="K1945" s="3">
        <f>IF(ORIG!K1945=0,"",ORIG!K1945)</f>
        <v/>
      </c>
      <c r="L1945" s="3">
        <f>IF(ORIG!L1945=0,"",ORIG!L1945)</f>
        <v/>
      </c>
      <c r="M1945" s="3">
        <f>IF(ORIG!M1945=0,"",ORIG!M1945)</f>
        <v/>
      </c>
      <c r="N1945" s="3">
        <f>IF(ORIG!N1945=0,"",ORIG!N1945)</f>
        <v/>
      </c>
      <c r="O1945" s="3">
        <f>IF(ORIG!O1945=0,"",ORIG!O1945)</f>
        <v/>
      </c>
      <c r="P1945" s="3">
        <f>IF(ORIG!P1945=0,"",ORIG!P1945)</f>
        <v/>
      </c>
      <c r="Q1945" s="3">
        <f>IF(ORIG!Q1945=0,"",ORIG!Q1945)</f>
        <v/>
      </c>
      <c r="R1945" s="3">
        <f>IF(ORIG!R1945=0,"",ORIG!R1945)</f>
        <v/>
      </c>
      <c r="S1945" s="3">
        <f>IF(ORIG!S1945=0,"",ORIG!S1945)</f>
        <v/>
      </c>
      <c r="T1945" s="3">
        <f>IF(ORIG!T1945=0,"",ORIG!T1945)</f>
        <v/>
      </c>
      <c r="U1945" s="3">
        <f>IF(ORIG!U1945=0,"",ORIG!U1945)</f>
        <v/>
      </c>
      <c r="V1945" s="9">
        <f>IF(ORIG!V1945=0,"",ORIG!V1945)</f>
        <v/>
      </c>
      <c r="W1945" s="9">
        <f>IF(ORIG!W1945=0,"",ORIG!W1945)</f>
        <v/>
      </c>
      <c r="X1945" s="9">
        <f>IF(ORIG!X1945=0,"",ORIG!X1945)</f>
        <v/>
      </c>
      <c r="Y1945" s="9">
        <f>IF(ORIG!Y1945=0,"",ORIG!Y1945)</f>
        <v/>
      </c>
      <c r="Z1945" s="3">
        <f>SUMPRODUCT($B1945:$Y1945,$B$2649:$Y$2649)</f>
        <v/>
      </c>
      <c r="AA1945" s="3">
        <f>SUMPRODUCT($B1945:$Y1945,$B$2655:$Y$2655)</f>
        <v/>
      </c>
      <c r="AC1945" s="1">
        <f>A1945</f>
        <v/>
      </c>
      <c r="AD1945">
        <f>IF(ISNUMBER(V1945),V1945*($AB$1/V$2635),"")</f>
        <v/>
      </c>
      <c r="AE1945">
        <f>IF(ISNUMBER(Z1945),Z1945*($AB$1/Z$2635),"")</f>
        <v/>
      </c>
      <c r="AF1945" s="25">
        <f>IF(ISNUMBER(AD1945+AE1945),AD1945+AE1945,"")</f>
        <v/>
      </c>
      <c r="AH1945" s="1">
        <f>A1945</f>
        <v/>
      </c>
      <c r="AI1945">
        <f>IF(ISNUMBER((1+V1945)*AI1944),(1+V1945)*AI1944,AI1944)</f>
        <v/>
      </c>
      <c r="AJ1945">
        <f>IF(ISNUMBER((1+Z1945)*AJ1944),(1+Z1945)*AJ1944,AJ1944)</f>
        <v/>
      </c>
    </row>
    <row r="1946">
      <c r="A1946" s="1" t="n">
        <v>44825</v>
      </c>
      <c r="B1946" s="3">
        <f>IF(ORIG!B1946=0,"",ORIG!B1946)</f>
        <v/>
      </c>
      <c r="C1946" s="3">
        <f>IF(ORIG!C1946=0,"",ORIG!C1946)</f>
        <v/>
      </c>
      <c r="D1946" s="3">
        <f>IF(ORIG!D1946=0,"",ORIG!D1946)</f>
        <v/>
      </c>
      <c r="E1946" s="3">
        <f>IF(ORIG!E1946=0,"",ORIG!E1946)</f>
        <v/>
      </c>
      <c r="F1946" s="3">
        <f>IF(ORIG!F1946=0,"",ORIG!F1946)</f>
        <v/>
      </c>
      <c r="G1946" s="3">
        <f>IF(ORIG!G1946=0,"",ORIG!G1946)</f>
        <v/>
      </c>
      <c r="H1946" s="3">
        <f>IF(ORIG!H1946=0,"",ORIG!H1946)</f>
        <v/>
      </c>
      <c r="I1946" s="3">
        <f>IF(ORIG!I1946=0,"",ORIG!I1946)</f>
        <v/>
      </c>
      <c r="J1946" s="3">
        <f>IF(ORIG!J1946=0,"",ORIG!J1946)</f>
        <v/>
      </c>
      <c r="K1946" s="3">
        <f>IF(ORIG!K1946=0,"",ORIG!K1946)</f>
        <v/>
      </c>
      <c r="L1946" s="3">
        <f>IF(ORIG!L1946=0,"",ORIG!L1946)</f>
        <v/>
      </c>
      <c r="M1946" s="3">
        <f>IF(ORIG!M1946=0,"",ORIG!M1946)</f>
        <v/>
      </c>
      <c r="N1946" s="3">
        <f>IF(ORIG!N1946=0,"",ORIG!N1946)</f>
        <v/>
      </c>
      <c r="O1946" s="3">
        <f>IF(ORIG!O1946=0,"",ORIG!O1946)</f>
        <v/>
      </c>
      <c r="P1946" s="3">
        <f>IF(ORIG!P1946=0,"",ORIG!P1946)</f>
        <v/>
      </c>
      <c r="Q1946" s="3">
        <f>IF(ORIG!Q1946=0,"",ORIG!Q1946)</f>
        <v/>
      </c>
      <c r="R1946" s="3">
        <f>IF(ORIG!R1946=0,"",ORIG!R1946)</f>
        <v/>
      </c>
      <c r="S1946" s="3">
        <f>IF(ORIG!S1946=0,"",ORIG!S1946)</f>
        <v/>
      </c>
      <c r="T1946" s="3">
        <f>IF(ORIG!T1946=0,"",ORIG!T1946)</f>
        <v/>
      </c>
      <c r="U1946" s="3">
        <f>IF(ORIG!U1946=0,"",ORIG!U1946)</f>
        <v/>
      </c>
      <c r="V1946" s="9">
        <f>IF(ORIG!V1946=0,"",ORIG!V1946)</f>
        <v/>
      </c>
      <c r="W1946" s="9">
        <f>IF(ORIG!W1946=0,"",ORIG!W1946)</f>
        <v/>
      </c>
      <c r="X1946" s="9">
        <f>IF(ORIG!X1946=0,"",ORIG!X1946)</f>
        <v/>
      </c>
      <c r="Y1946" s="9">
        <f>IF(ORIG!Y1946=0,"",ORIG!Y1946)</f>
        <v/>
      </c>
      <c r="Z1946" s="3">
        <f>SUMPRODUCT($B1946:$Y1946,$B$2649:$Y$2649)</f>
        <v/>
      </c>
      <c r="AA1946" s="3">
        <f>SUMPRODUCT($B1946:$Y1946,$B$2655:$Y$2655)</f>
        <v/>
      </c>
      <c r="AC1946" s="1">
        <f>A1946</f>
        <v/>
      </c>
      <c r="AD1946">
        <f>IF(ISNUMBER(V1946),V1946*($AB$1/V$2635),"")</f>
        <v/>
      </c>
      <c r="AE1946">
        <f>IF(ISNUMBER(Z1946),Z1946*($AB$1/Z$2635),"")</f>
        <v/>
      </c>
      <c r="AF1946" s="25">
        <f>IF(ISNUMBER(AD1946+AE1946),AD1946+AE1946,"")</f>
        <v/>
      </c>
      <c r="AH1946" s="1">
        <f>A1946</f>
        <v/>
      </c>
      <c r="AI1946">
        <f>IF(ISNUMBER((1+V1946)*AI1945),(1+V1946)*AI1945,AI1945)</f>
        <v/>
      </c>
      <c r="AJ1946">
        <f>IF(ISNUMBER((1+Z1946)*AJ1945),(1+Z1946)*AJ1945,AJ1945)</f>
        <v/>
      </c>
    </row>
    <row r="1947">
      <c r="A1947" s="1" t="n">
        <v>44826</v>
      </c>
      <c r="B1947" s="3">
        <f>IF(ORIG!B1947=0,"",ORIG!B1947)</f>
        <v/>
      </c>
      <c r="C1947" s="3">
        <f>IF(ORIG!C1947=0,"",ORIG!C1947)</f>
        <v/>
      </c>
      <c r="D1947" s="3">
        <f>IF(ORIG!D1947=0,"",ORIG!D1947)</f>
        <v/>
      </c>
      <c r="E1947" s="3">
        <f>IF(ORIG!E1947=0,"",ORIG!E1947)</f>
        <v/>
      </c>
      <c r="F1947" s="3">
        <f>IF(ORIG!F1947=0,"",ORIG!F1947)</f>
        <v/>
      </c>
      <c r="G1947" s="3">
        <f>IF(ORIG!G1947=0,"",ORIG!G1947)</f>
        <v/>
      </c>
      <c r="H1947" s="3">
        <f>IF(ORIG!H1947=0,"",ORIG!H1947)</f>
        <v/>
      </c>
      <c r="I1947" s="3">
        <f>IF(ORIG!I1947=0,"",ORIG!I1947)</f>
        <v/>
      </c>
      <c r="J1947" s="3">
        <f>IF(ORIG!J1947=0,"",ORIG!J1947)</f>
        <v/>
      </c>
      <c r="K1947" s="3">
        <f>IF(ORIG!K1947=0,"",ORIG!K1947)</f>
        <v/>
      </c>
      <c r="L1947" s="3">
        <f>IF(ORIG!L1947=0,"",ORIG!L1947)</f>
        <v/>
      </c>
      <c r="M1947" s="3">
        <f>IF(ORIG!M1947=0,"",ORIG!M1947)</f>
        <v/>
      </c>
      <c r="N1947" s="3">
        <f>IF(ORIG!N1947=0,"",ORIG!N1947)</f>
        <v/>
      </c>
      <c r="O1947" s="3">
        <f>IF(ORIG!O1947=0,"",ORIG!O1947)</f>
        <v/>
      </c>
      <c r="P1947" s="3">
        <f>IF(ORIG!P1947=0,"",ORIG!P1947)</f>
        <v/>
      </c>
      <c r="Q1947" s="3">
        <f>IF(ORIG!Q1947=0,"",ORIG!Q1947)</f>
        <v/>
      </c>
      <c r="R1947" s="3">
        <f>IF(ORIG!R1947=0,"",ORIG!R1947)</f>
        <v/>
      </c>
      <c r="S1947" s="3">
        <f>IF(ORIG!S1947=0,"",ORIG!S1947)</f>
        <v/>
      </c>
      <c r="T1947" s="3">
        <f>IF(ORIG!T1947=0,"",ORIG!T1947)</f>
        <v/>
      </c>
      <c r="U1947" s="3">
        <f>IF(ORIG!U1947=0,"",ORIG!U1947)</f>
        <v/>
      </c>
      <c r="V1947" s="9">
        <f>IF(ORIG!V1947=0,"",ORIG!V1947)</f>
        <v/>
      </c>
      <c r="W1947" s="9">
        <f>IF(ORIG!W1947=0,"",ORIG!W1947)</f>
        <v/>
      </c>
      <c r="X1947" s="9">
        <f>IF(ORIG!X1947=0,"",ORIG!X1947)</f>
        <v/>
      </c>
      <c r="Y1947" s="9">
        <f>IF(ORIG!Y1947=0,"",ORIG!Y1947)</f>
        <v/>
      </c>
      <c r="Z1947" s="3">
        <f>SUMPRODUCT($B1947:$Y1947,$B$2649:$Y$2649)</f>
        <v/>
      </c>
      <c r="AA1947" s="3">
        <f>SUMPRODUCT($B1947:$Y1947,$B$2655:$Y$2655)</f>
        <v/>
      </c>
      <c r="AC1947" s="1">
        <f>A1947</f>
        <v/>
      </c>
      <c r="AD1947">
        <f>IF(ISNUMBER(V1947),V1947*($AB$1/V$2635),"")</f>
        <v/>
      </c>
      <c r="AE1947">
        <f>IF(ISNUMBER(Z1947),Z1947*($AB$1/Z$2635),"")</f>
        <v/>
      </c>
      <c r="AF1947" s="25">
        <f>IF(ISNUMBER(AD1947+AE1947),AD1947+AE1947,"")</f>
        <v/>
      </c>
      <c r="AH1947" s="1">
        <f>A1947</f>
        <v/>
      </c>
      <c r="AI1947">
        <f>IF(ISNUMBER((1+V1947)*AI1946),(1+V1947)*AI1946,AI1946)</f>
        <v/>
      </c>
      <c r="AJ1947">
        <f>IF(ISNUMBER((1+Z1947)*AJ1946),(1+Z1947)*AJ1946,AJ1946)</f>
        <v/>
      </c>
    </row>
    <row r="1948">
      <c r="A1948" s="1" t="n">
        <v>44827</v>
      </c>
      <c r="B1948" s="3">
        <f>IF(ORIG!B1948=0,"",ORIG!B1948)</f>
        <v/>
      </c>
      <c r="C1948" s="3">
        <f>IF(ORIG!C1948=0,"",ORIG!C1948)</f>
        <v/>
      </c>
      <c r="D1948" s="3">
        <f>IF(ORIG!D1948=0,"",ORIG!D1948)</f>
        <v/>
      </c>
      <c r="E1948" s="3">
        <f>IF(ORIG!E1948=0,"",ORIG!E1948)</f>
        <v/>
      </c>
      <c r="F1948" s="3">
        <f>IF(ORIG!F1948=0,"",ORIG!F1948)</f>
        <v/>
      </c>
      <c r="G1948" s="3">
        <f>IF(ORIG!G1948=0,"",ORIG!G1948)</f>
        <v/>
      </c>
      <c r="H1948" s="3">
        <f>IF(ORIG!H1948=0,"",ORIG!H1948)</f>
        <v/>
      </c>
      <c r="I1948" s="3">
        <f>IF(ORIG!I1948=0,"",ORIG!I1948)</f>
        <v/>
      </c>
      <c r="J1948" s="3">
        <f>IF(ORIG!J1948=0,"",ORIG!J1948)</f>
        <v/>
      </c>
      <c r="K1948" s="3">
        <f>IF(ORIG!K1948=0,"",ORIG!K1948)</f>
        <v/>
      </c>
      <c r="L1948" s="3">
        <f>IF(ORIG!L1948=0,"",ORIG!L1948)</f>
        <v/>
      </c>
      <c r="M1948" s="3">
        <f>IF(ORIG!M1948=0,"",ORIG!M1948)</f>
        <v/>
      </c>
      <c r="N1948" s="3">
        <f>IF(ORIG!N1948=0,"",ORIG!N1948)</f>
        <v/>
      </c>
      <c r="O1948" s="3">
        <f>IF(ORIG!O1948=0,"",ORIG!O1948)</f>
        <v/>
      </c>
      <c r="P1948" s="3">
        <f>IF(ORIG!P1948=0,"",ORIG!P1948)</f>
        <v/>
      </c>
      <c r="Q1948" s="3">
        <f>IF(ORIG!Q1948=0,"",ORIG!Q1948)</f>
        <v/>
      </c>
      <c r="R1948" s="3">
        <f>IF(ORIG!R1948=0,"",ORIG!R1948)</f>
        <v/>
      </c>
      <c r="S1948" s="3">
        <f>IF(ORIG!S1948=0,"",ORIG!S1948)</f>
        <v/>
      </c>
      <c r="T1948" s="3">
        <f>IF(ORIG!T1948=0,"",ORIG!T1948)</f>
        <v/>
      </c>
      <c r="U1948" s="3">
        <f>IF(ORIG!U1948=0,"",ORIG!U1948)</f>
        <v/>
      </c>
      <c r="V1948" s="9">
        <f>IF(ORIG!V1948=0,"",ORIG!V1948)</f>
        <v/>
      </c>
      <c r="W1948" s="9">
        <f>IF(ORIG!W1948=0,"",ORIG!W1948)</f>
        <v/>
      </c>
      <c r="X1948" s="9">
        <f>IF(ORIG!X1948=0,"",ORIG!X1948)</f>
        <v/>
      </c>
      <c r="Y1948" s="9">
        <f>IF(ORIG!Y1948=0,"",ORIG!Y1948)</f>
        <v/>
      </c>
      <c r="Z1948" s="3">
        <f>SUMPRODUCT($B1948:$Y1948,$B$2649:$Y$2649)</f>
        <v/>
      </c>
      <c r="AA1948" s="3">
        <f>SUMPRODUCT($B1948:$Y1948,$B$2655:$Y$2655)</f>
        <v/>
      </c>
      <c r="AC1948" s="1">
        <f>A1948</f>
        <v/>
      </c>
      <c r="AD1948">
        <f>IF(ISNUMBER(V1948),V1948*($AB$1/V$2635),"")</f>
        <v/>
      </c>
      <c r="AE1948">
        <f>IF(ISNUMBER(Z1948),Z1948*($AB$1/Z$2635),"")</f>
        <v/>
      </c>
      <c r="AF1948" s="25">
        <f>IF(ISNUMBER(AD1948+AE1948),AD1948+AE1948,"")</f>
        <v/>
      </c>
      <c r="AH1948" s="1">
        <f>A1948</f>
        <v/>
      </c>
      <c r="AI1948">
        <f>IF(ISNUMBER((1+V1948)*AI1947),(1+V1948)*AI1947,AI1947)</f>
        <v/>
      </c>
      <c r="AJ1948">
        <f>IF(ISNUMBER((1+Z1948)*AJ1947),(1+Z1948)*AJ1947,AJ1947)</f>
        <v/>
      </c>
    </row>
    <row r="1949">
      <c r="A1949" s="1" t="n">
        <v>44830</v>
      </c>
      <c r="B1949" s="3">
        <f>IF(ORIG!B1949=0,"",ORIG!B1949)</f>
        <v/>
      </c>
      <c r="C1949" s="3">
        <f>IF(ORIG!C1949=0,"",ORIG!C1949)</f>
        <v/>
      </c>
      <c r="D1949" s="3">
        <f>IF(ORIG!D1949=0,"",ORIG!D1949)</f>
        <v/>
      </c>
      <c r="E1949" s="3">
        <f>IF(ORIG!E1949=0,"",ORIG!E1949)</f>
        <v/>
      </c>
      <c r="F1949" s="3">
        <f>IF(ORIG!F1949=0,"",ORIG!F1949)</f>
        <v/>
      </c>
      <c r="G1949" s="3">
        <f>IF(ORIG!G1949=0,"",ORIG!G1949)</f>
        <v/>
      </c>
      <c r="H1949" s="3">
        <f>IF(ORIG!H1949=0,"",ORIG!H1949)</f>
        <v/>
      </c>
      <c r="I1949" s="3">
        <f>IF(ORIG!I1949=0,"",ORIG!I1949)</f>
        <v/>
      </c>
      <c r="J1949" s="3">
        <f>IF(ORIG!J1949=0,"",ORIG!J1949)</f>
        <v/>
      </c>
      <c r="K1949" s="3">
        <f>IF(ORIG!K1949=0,"",ORIG!K1949)</f>
        <v/>
      </c>
      <c r="L1949" s="3">
        <f>IF(ORIG!L1949=0,"",ORIG!L1949)</f>
        <v/>
      </c>
      <c r="M1949" s="3">
        <f>IF(ORIG!M1949=0,"",ORIG!M1949)</f>
        <v/>
      </c>
      <c r="N1949" s="3">
        <f>IF(ORIG!N1949=0,"",ORIG!N1949)</f>
        <v/>
      </c>
      <c r="O1949" s="3">
        <f>IF(ORIG!O1949=0,"",ORIG!O1949)</f>
        <v/>
      </c>
      <c r="P1949" s="3">
        <f>IF(ORIG!P1949=0,"",ORIG!P1949)</f>
        <v/>
      </c>
      <c r="Q1949" s="3">
        <f>IF(ORIG!Q1949=0,"",ORIG!Q1949)</f>
        <v/>
      </c>
      <c r="R1949" s="3">
        <f>IF(ORIG!R1949=0,"",ORIG!R1949)</f>
        <v/>
      </c>
      <c r="S1949" s="3">
        <f>IF(ORIG!S1949=0,"",ORIG!S1949)</f>
        <v/>
      </c>
      <c r="T1949" s="3">
        <f>IF(ORIG!T1949=0,"",ORIG!T1949)</f>
        <v/>
      </c>
      <c r="U1949" s="3">
        <f>IF(ORIG!U1949=0,"",ORIG!U1949)</f>
        <v/>
      </c>
      <c r="V1949" s="9">
        <f>IF(ORIG!V1949=0,"",ORIG!V1949)</f>
        <v/>
      </c>
      <c r="W1949" s="9">
        <f>IF(ORIG!W1949=0,"",ORIG!W1949)</f>
        <v/>
      </c>
      <c r="X1949" s="9">
        <f>IF(ORIG!X1949=0,"",ORIG!X1949)</f>
        <v/>
      </c>
      <c r="Y1949" s="9">
        <f>IF(ORIG!Y1949=0,"",ORIG!Y1949)</f>
        <v/>
      </c>
      <c r="Z1949" s="3">
        <f>SUMPRODUCT($B1949:$Y1949,$B$2649:$Y$2649)</f>
        <v/>
      </c>
      <c r="AA1949" s="3">
        <f>SUMPRODUCT($B1949:$Y1949,$B$2655:$Y$2655)</f>
        <v/>
      </c>
      <c r="AC1949" s="1">
        <f>A1949</f>
        <v/>
      </c>
      <c r="AD1949">
        <f>IF(ISNUMBER(V1949),V1949*($AB$1/V$2635),"")</f>
        <v/>
      </c>
      <c r="AE1949">
        <f>IF(ISNUMBER(Z1949),Z1949*($AB$1/Z$2635),"")</f>
        <v/>
      </c>
      <c r="AF1949" s="25">
        <f>IF(ISNUMBER(AD1949+AE1949),AD1949+AE1949,"")</f>
        <v/>
      </c>
      <c r="AH1949" s="1">
        <f>A1949</f>
        <v/>
      </c>
      <c r="AI1949">
        <f>IF(ISNUMBER((1+V1949)*AI1948),(1+V1949)*AI1948,AI1948)</f>
        <v/>
      </c>
      <c r="AJ1949">
        <f>IF(ISNUMBER((1+Z1949)*AJ1948),(1+Z1949)*AJ1948,AJ1948)</f>
        <v/>
      </c>
    </row>
    <row r="1950">
      <c r="A1950" s="1" t="n">
        <v>44831</v>
      </c>
      <c r="B1950" s="3">
        <f>IF(ORIG!B1950=0,"",ORIG!B1950)</f>
        <v/>
      </c>
      <c r="C1950" s="3">
        <f>IF(ORIG!C1950=0,"",ORIG!C1950)</f>
        <v/>
      </c>
      <c r="D1950" s="3">
        <f>IF(ORIG!D1950=0,"",ORIG!D1950)</f>
        <v/>
      </c>
      <c r="E1950" s="3">
        <f>IF(ORIG!E1950=0,"",ORIG!E1950)</f>
        <v/>
      </c>
      <c r="F1950" s="3">
        <f>IF(ORIG!F1950=0,"",ORIG!F1950)</f>
        <v/>
      </c>
      <c r="G1950" s="3">
        <f>IF(ORIG!G1950=0,"",ORIG!G1950)</f>
        <v/>
      </c>
      <c r="H1950" s="3">
        <f>IF(ORIG!H1950=0,"",ORIG!H1950)</f>
        <v/>
      </c>
      <c r="I1950" s="3">
        <f>IF(ORIG!I1950=0,"",ORIG!I1950)</f>
        <v/>
      </c>
      <c r="J1950" s="3">
        <f>IF(ORIG!J1950=0,"",ORIG!J1950)</f>
        <v/>
      </c>
      <c r="K1950" s="3">
        <f>IF(ORIG!K1950=0,"",ORIG!K1950)</f>
        <v/>
      </c>
      <c r="L1950" s="3">
        <f>IF(ORIG!L1950=0,"",ORIG!L1950)</f>
        <v/>
      </c>
      <c r="M1950" s="3">
        <f>IF(ORIG!M1950=0,"",ORIG!M1950)</f>
        <v/>
      </c>
      <c r="N1950" s="3">
        <f>IF(ORIG!N1950=0,"",ORIG!N1950)</f>
        <v/>
      </c>
      <c r="O1950" s="3">
        <f>IF(ORIG!O1950=0,"",ORIG!O1950)</f>
        <v/>
      </c>
      <c r="P1950" s="3">
        <f>IF(ORIG!P1950=0,"",ORIG!P1950)</f>
        <v/>
      </c>
      <c r="Q1950" s="3">
        <f>IF(ORIG!Q1950=0,"",ORIG!Q1950)</f>
        <v/>
      </c>
      <c r="R1950" s="3">
        <f>IF(ORIG!R1950=0,"",ORIG!R1950)</f>
        <v/>
      </c>
      <c r="S1950" s="3">
        <f>IF(ORIG!S1950=0,"",ORIG!S1950)</f>
        <v/>
      </c>
      <c r="T1950" s="3">
        <f>IF(ORIG!T1950=0,"",ORIG!T1950)</f>
        <v/>
      </c>
      <c r="U1950" s="3">
        <f>IF(ORIG!U1950=0,"",ORIG!U1950)</f>
        <v/>
      </c>
      <c r="V1950" s="9">
        <f>IF(ORIG!V1950=0,"",ORIG!V1950)</f>
        <v/>
      </c>
      <c r="W1950" s="9">
        <f>IF(ORIG!W1950=0,"",ORIG!W1950)</f>
        <v/>
      </c>
      <c r="X1950" s="9">
        <f>IF(ORIG!X1950=0,"",ORIG!X1950)</f>
        <v/>
      </c>
      <c r="Y1950" s="9">
        <f>IF(ORIG!Y1950=0,"",ORIG!Y1950)</f>
        <v/>
      </c>
      <c r="Z1950" s="3">
        <f>SUMPRODUCT($B1950:$Y1950,$B$2649:$Y$2649)</f>
        <v/>
      </c>
      <c r="AA1950" s="3">
        <f>SUMPRODUCT($B1950:$Y1950,$B$2655:$Y$2655)</f>
        <v/>
      </c>
      <c r="AC1950" s="1">
        <f>A1950</f>
        <v/>
      </c>
      <c r="AD1950">
        <f>IF(ISNUMBER(V1950),V1950*($AB$1/V$2635),"")</f>
        <v/>
      </c>
      <c r="AE1950">
        <f>IF(ISNUMBER(Z1950),Z1950*($AB$1/Z$2635),"")</f>
        <v/>
      </c>
      <c r="AF1950" s="25">
        <f>IF(ISNUMBER(AD1950+AE1950),AD1950+AE1950,"")</f>
        <v/>
      </c>
      <c r="AH1950" s="1">
        <f>A1950</f>
        <v/>
      </c>
      <c r="AI1950">
        <f>IF(ISNUMBER((1+V1950)*AI1949),(1+V1950)*AI1949,AI1949)</f>
        <v/>
      </c>
      <c r="AJ1950">
        <f>IF(ISNUMBER((1+Z1950)*AJ1949),(1+Z1950)*AJ1949,AJ1949)</f>
        <v/>
      </c>
    </row>
    <row r="1951">
      <c r="A1951" s="1" t="n">
        <v>44832</v>
      </c>
      <c r="B1951" s="3">
        <f>IF(ORIG!B1951=0,"",ORIG!B1951)</f>
        <v/>
      </c>
      <c r="C1951" s="3">
        <f>IF(ORIG!C1951=0,"",ORIG!C1951)</f>
        <v/>
      </c>
      <c r="D1951" s="3">
        <f>IF(ORIG!D1951=0,"",ORIG!D1951)</f>
        <v/>
      </c>
      <c r="E1951" s="3">
        <f>IF(ORIG!E1951=0,"",ORIG!E1951)</f>
        <v/>
      </c>
      <c r="F1951" s="3">
        <f>IF(ORIG!F1951=0,"",ORIG!F1951)</f>
        <v/>
      </c>
      <c r="G1951" s="3">
        <f>IF(ORIG!G1951=0,"",ORIG!G1951)</f>
        <v/>
      </c>
      <c r="H1951" s="3">
        <f>IF(ORIG!H1951=0,"",ORIG!H1951)</f>
        <v/>
      </c>
      <c r="I1951" s="3">
        <f>IF(ORIG!I1951=0,"",ORIG!I1951)</f>
        <v/>
      </c>
      <c r="J1951" s="3">
        <f>IF(ORIG!J1951=0,"",ORIG!J1951)</f>
        <v/>
      </c>
      <c r="K1951" s="3">
        <f>IF(ORIG!K1951=0,"",ORIG!K1951)</f>
        <v/>
      </c>
      <c r="L1951" s="3">
        <f>IF(ORIG!L1951=0,"",ORIG!L1951)</f>
        <v/>
      </c>
      <c r="M1951" s="3">
        <f>IF(ORIG!M1951=0,"",ORIG!M1951)</f>
        <v/>
      </c>
      <c r="N1951" s="3">
        <f>IF(ORIG!N1951=0,"",ORIG!N1951)</f>
        <v/>
      </c>
      <c r="O1951" s="3">
        <f>IF(ORIG!O1951=0,"",ORIG!O1951)</f>
        <v/>
      </c>
      <c r="P1951" s="3">
        <f>IF(ORIG!P1951=0,"",ORIG!P1951)</f>
        <v/>
      </c>
      <c r="Q1951" s="3">
        <f>IF(ORIG!Q1951=0,"",ORIG!Q1951)</f>
        <v/>
      </c>
      <c r="R1951" s="3">
        <f>IF(ORIG!R1951=0,"",ORIG!R1951)</f>
        <v/>
      </c>
      <c r="S1951" s="3">
        <f>IF(ORIG!S1951=0,"",ORIG!S1951)</f>
        <v/>
      </c>
      <c r="T1951" s="3">
        <f>IF(ORIG!T1951=0,"",ORIG!T1951)</f>
        <v/>
      </c>
      <c r="U1951" s="3">
        <f>IF(ORIG!U1951=0,"",ORIG!U1951)</f>
        <v/>
      </c>
      <c r="V1951" s="9">
        <f>IF(ORIG!V1951=0,"",ORIG!V1951)</f>
        <v/>
      </c>
      <c r="W1951" s="9">
        <f>IF(ORIG!W1951=0,"",ORIG!W1951)</f>
        <v/>
      </c>
      <c r="X1951" s="9">
        <f>IF(ORIG!X1951=0,"",ORIG!X1951)</f>
        <v/>
      </c>
      <c r="Y1951" s="9">
        <f>IF(ORIG!Y1951=0,"",ORIG!Y1951)</f>
        <v/>
      </c>
      <c r="Z1951" s="3">
        <f>SUMPRODUCT($B1951:$Y1951,$B$2649:$Y$2649)</f>
        <v/>
      </c>
      <c r="AA1951" s="3">
        <f>SUMPRODUCT($B1951:$Y1951,$B$2655:$Y$2655)</f>
        <v/>
      </c>
      <c r="AC1951" s="1">
        <f>A1951</f>
        <v/>
      </c>
      <c r="AD1951">
        <f>IF(ISNUMBER(V1951),V1951*($AB$1/V$2635),"")</f>
        <v/>
      </c>
      <c r="AE1951">
        <f>IF(ISNUMBER(Z1951),Z1951*($AB$1/Z$2635),"")</f>
        <v/>
      </c>
      <c r="AF1951" s="25">
        <f>IF(ISNUMBER(AD1951+AE1951),AD1951+AE1951,"")</f>
        <v/>
      </c>
      <c r="AH1951" s="1">
        <f>A1951</f>
        <v/>
      </c>
      <c r="AI1951">
        <f>IF(ISNUMBER((1+V1951)*AI1950),(1+V1951)*AI1950,AI1950)</f>
        <v/>
      </c>
      <c r="AJ1951">
        <f>IF(ISNUMBER((1+Z1951)*AJ1950),(1+Z1951)*AJ1950,AJ1950)</f>
        <v/>
      </c>
    </row>
    <row r="1952">
      <c r="A1952" s="1" t="n">
        <v>44833</v>
      </c>
      <c r="B1952" s="3">
        <f>IF(ORIG!B1952=0,"",ORIG!B1952)</f>
        <v/>
      </c>
      <c r="C1952" s="3">
        <f>IF(ORIG!C1952=0,"",ORIG!C1952)</f>
        <v/>
      </c>
      <c r="D1952" s="3">
        <f>IF(ORIG!D1952=0,"",ORIG!D1952)</f>
        <v/>
      </c>
      <c r="E1952" s="3">
        <f>IF(ORIG!E1952=0,"",ORIG!E1952)</f>
        <v/>
      </c>
      <c r="F1952" s="3">
        <f>IF(ORIG!F1952=0,"",ORIG!F1952)</f>
        <v/>
      </c>
      <c r="G1952" s="3">
        <f>IF(ORIG!G1952=0,"",ORIG!G1952)</f>
        <v/>
      </c>
      <c r="H1952" s="3">
        <f>IF(ORIG!H1952=0,"",ORIG!H1952)</f>
        <v/>
      </c>
      <c r="I1952" s="3">
        <f>IF(ORIG!I1952=0,"",ORIG!I1952)</f>
        <v/>
      </c>
      <c r="J1952" s="3">
        <f>IF(ORIG!J1952=0,"",ORIG!J1952)</f>
        <v/>
      </c>
      <c r="K1952" s="3">
        <f>IF(ORIG!K1952=0,"",ORIG!K1952)</f>
        <v/>
      </c>
      <c r="L1952" s="3">
        <f>IF(ORIG!L1952=0,"",ORIG!L1952)</f>
        <v/>
      </c>
      <c r="M1952" s="3">
        <f>IF(ORIG!M1952=0,"",ORIG!M1952)</f>
        <v/>
      </c>
      <c r="N1952" s="3">
        <f>IF(ORIG!N1952=0,"",ORIG!N1952)</f>
        <v/>
      </c>
      <c r="O1952" s="3">
        <f>IF(ORIG!O1952=0,"",ORIG!O1952)</f>
        <v/>
      </c>
      <c r="P1952" s="3">
        <f>IF(ORIG!P1952=0,"",ORIG!P1952)</f>
        <v/>
      </c>
      <c r="Q1952" s="3">
        <f>IF(ORIG!Q1952=0,"",ORIG!Q1952)</f>
        <v/>
      </c>
      <c r="R1952" s="3">
        <f>IF(ORIG!R1952=0,"",ORIG!R1952)</f>
        <v/>
      </c>
      <c r="S1952" s="3">
        <f>IF(ORIG!S1952=0,"",ORIG!S1952)</f>
        <v/>
      </c>
      <c r="T1952" s="3">
        <f>IF(ORIG!T1952=0,"",ORIG!T1952)</f>
        <v/>
      </c>
      <c r="U1952" s="3">
        <f>IF(ORIG!U1952=0,"",ORIG!U1952)</f>
        <v/>
      </c>
      <c r="V1952" s="9">
        <f>IF(ORIG!V1952=0,"",ORIG!V1952)</f>
        <v/>
      </c>
      <c r="W1952" s="9">
        <f>IF(ORIG!W1952=0,"",ORIG!W1952)</f>
        <v/>
      </c>
      <c r="X1952" s="9">
        <f>IF(ORIG!X1952=0,"",ORIG!X1952)</f>
        <v/>
      </c>
      <c r="Y1952" s="9">
        <f>IF(ORIG!Y1952=0,"",ORIG!Y1952)</f>
        <v/>
      </c>
      <c r="Z1952" s="3">
        <f>SUMPRODUCT($B1952:$Y1952,$B$2649:$Y$2649)</f>
        <v/>
      </c>
      <c r="AA1952" s="3">
        <f>SUMPRODUCT($B1952:$Y1952,$B$2655:$Y$2655)</f>
        <v/>
      </c>
      <c r="AC1952" s="1">
        <f>A1952</f>
        <v/>
      </c>
      <c r="AD1952">
        <f>IF(ISNUMBER(V1952),V1952*($AB$1/V$2635),"")</f>
        <v/>
      </c>
      <c r="AE1952">
        <f>IF(ISNUMBER(Z1952),Z1952*($AB$1/Z$2635),"")</f>
        <v/>
      </c>
      <c r="AF1952" s="25">
        <f>IF(ISNUMBER(AD1952+AE1952),AD1952+AE1952,"")</f>
        <v/>
      </c>
      <c r="AH1952" s="1">
        <f>A1952</f>
        <v/>
      </c>
      <c r="AI1952">
        <f>IF(ISNUMBER((1+V1952)*AI1951),(1+V1952)*AI1951,AI1951)</f>
        <v/>
      </c>
      <c r="AJ1952">
        <f>IF(ISNUMBER((1+Z1952)*AJ1951),(1+Z1952)*AJ1951,AJ1951)</f>
        <v/>
      </c>
    </row>
    <row r="1953">
      <c r="A1953" s="1" t="n">
        <v>44834</v>
      </c>
      <c r="B1953" s="3">
        <f>IF(ORIG!B1953=0,"",ORIG!B1953)</f>
        <v/>
      </c>
      <c r="C1953" s="3">
        <f>IF(ORIG!C1953=0,"",ORIG!C1953)</f>
        <v/>
      </c>
      <c r="D1953" s="3">
        <f>IF(ORIG!D1953=0,"",ORIG!D1953)</f>
        <v/>
      </c>
      <c r="E1953" s="3">
        <f>IF(ORIG!E1953=0,"",ORIG!E1953)</f>
        <v/>
      </c>
      <c r="F1953" s="3">
        <f>IF(ORIG!F1953=0,"",ORIG!F1953)</f>
        <v/>
      </c>
      <c r="G1953" s="3">
        <f>IF(ORIG!G1953=0,"",ORIG!G1953)</f>
        <v/>
      </c>
      <c r="H1953" s="3">
        <f>IF(ORIG!H1953=0,"",ORIG!H1953)</f>
        <v/>
      </c>
      <c r="I1953" s="3">
        <f>IF(ORIG!I1953=0,"",ORIG!I1953)</f>
        <v/>
      </c>
      <c r="J1953" s="3">
        <f>IF(ORIG!J1953=0,"",ORIG!J1953)</f>
        <v/>
      </c>
      <c r="K1953" s="3">
        <f>IF(ORIG!K1953=0,"",ORIG!K1953)</f>
        <v/>
      </c>
      <c r="L1953" s="3">
        <f>IF(ORIG!L1953=0,"",ORIG!L1953)</f>
        <v/>
      </c>
      <c r="M1953" s="3">
        <f>IF(ORIG!M1953=0,"",ORIG!M1953)</f>
        <v/>
      </c>
      <c r="N1953" s="3">
        <f>IF(ORIG!N1953=0,"",ORIG!N1953)</f>
        <v/>
      </c>
      <c r="O1953" s="3">
        <f>IF(ORIG!O1953=0,"",ORIG!O1953)</f>
        <v/>
      </c>
      <c r="P1953" s="3">
        <f>IF(ORIG!P1953=0,"",ORIG!P1953)</f>
        <v/>
      </c>
      <c r="Q1953" s="3">
        <f>IF(ORIG!Q1953=0,"",ORIG!Q1953)</f>
        <v/>
      </c>
      <c r="R1953" s="3">
        <f>IF(ORIG!R1953=0,"",ORIG!R1953)</f>
        <v/>
      </c>
      <c r="S1953" s="3">
        <f>IF(ORIG!S1953=0,"",ORIG!S1953)</f>
        <v/>
      </c>
      <c r="T1953" s="3">
        <f>IF(ORIG!T1953=0,"",ORIG!T1953)</f>
        <v/>
      </c>
      <c r="U1953" s="3">
        <f>IF(ORIG!U1953=0,"",ORIG!U1953)</f>
        <v/>
      </c>
      <c r="V1953" s="9">
        <f>IF(ORIG!V1953=0,"",ORIG!V1953)</f>
        <v/>
      </c>
      <c r="W1953" s="9">
        <f>IF(ORIG!W1953=0,"",ORIG!W1953)</f>
        <v/>
      </c>
      <c r="X1953" s="9">
        <f>IF(ORIG!X1953=0,"",ORIG!X1953)</f>
        <v/>
      </c>
      <c r="Y1953" s="9">
        <f>IF(ORIG!Y1953=0,"",ORIG!Y1953)</f>
        <v/>
      </c>
      <c r="Z1953" s="3">
        <f>SUMPRODUCT($B1953:$Y1953,$B$2649:$Y$2649)</f>
        <v/>
      </c>
      <c r="AA1953" s="3">
        <f>SUMPRODUCT($B1953:$Y1953,$B$2655:$Y$2655)</f>
        <v/>
      </c>
      <c r="AC1953" s="1">
        <f>A1953</f>
        <v/>
      </c>
      <c r="AD1953">
        <f>IF(ISNUMBER(V1953),V1953*($AB$1/V$2635),"")</f>
        <v/>
      </c>
      <c r="AE1953">
        <f>IF(ISNUMBER(Z1953),Z1953*($AB$1/Z$2635),"")</f>
        <v/>
      </c>
      <c r="AF1953" s="25">
        <f>IF(ISNUMBER(AD1953+AE1953),AD1953+AE1953,"")</f>
        <v/>
      </c>
      <c r="AH1953" s="1">
        <f>A1953</f>
        <v/>
      </c>
      <c r="AI1953">
        <f>IF(ISNUMBER((1+V1953)*AI1952),(1+V1953)*AI1952,AI1952)</f>
        <v/>
      </c>
      <c r="AJ1953">
        <f>IF(ISNUMBER((1+Z1953)*AJ1952),(1+Z1953)*AJ1952,AJ1952)</f>
        <v/>
      </c>
    </row>
    <row r="1954">
      <c r="A1954" s="1" t="n">
        <v>44837</v>
      </c>
      <c r="B1954" s="3">
        <f>IF(ORIG!B1954=0,"",ORIG!B1954)</f>
        <v/>
      </c>
      <c r="C1954" s="3">
        <f>IF(ORIG!C1954=0,"",ORIG!C1954)</f>
        <v/>
      </c>
      <c r="D1954" s="3">
        <f>IF(ORIG!D1954=0,"",ORIG!D1954)</f>
        <v/>
      </c>
      <c r="E1954" s="3">
        <f>IF(ORIG!E1954=0,"",ORIG!E1954)</f>
        <v/>
      </c>
      <c r="F1954" s="3">
        <f>IF(ORIG!F1954=0,"",ORIG!F1954)</f>
        <v/>
      </c>
      <c r="G1954" s="3">
        <f>IF(ORIG!G1954=0,"",ORIG!G1954)</f>
        <v/>
      </c>
      <c r="H1954" s="3">
        <f>IF(ORIG!H1954=0,"",ORIG!H1954)</f>
        <v/>
      </c>
      <c r="I1954" s="3">
        <f>IF(ORIG!I1954=0,"",ORIG!I1954)</f>
        <v/>
      </c>
      <c r="J1954" s="3">
        <f>IF(ORIG!J1954=0,"",ORIG!J1954)</f>
        <v/>
      </c>
      <c r="K1954" s="3">
        <f>IF(ORIG!K1954=0,"",ORIG!K1954)</f>
        <v/>
      </c>
      <c r="L1954" s="3">
        <f>IF(ORIG!L1954=0,"",ORIG!L1954)</f>
        <v/>
      </c>
      <c r="M1954" s="3">
        <f>IF(ORIG!M1954=0,"",ORIG!M1954)</f>
        <v/>
      </c>
      <c r="N1954" s="3">
        <f>IF(ORIG!N1954=0,"",ORIG!N1954)</f>
        <v/>
      </c>
      <c r="O1954" s="3">
        <f>IF(ORIG!O1954=0,"",ORIG!O1954)</f>
        <v/>
      </c>
      <c r="P1954" s="3">
        <f>IF(ORIG!P1954=0,"",ORIG!P1954)</f>
        <v/>
      </c>
      <c r="Q1954" s="3">
        <f>IF(ORIG!Q1954=0,"",ORIG!Q1954)</f>
        <v/>
      </c>
      <c r="R1954" s="3">
        <f>IF(ORIG!R1954=0,"",ORIG!R1954)</f>
        <v/>
      </c>
      <c r="S1954" s="3">
        <f>IF(ORIG!S1954=0,"",ORIG!S1954)</f>
        <v/>
      </c>
      <c r="T1954" s="3">
        <f>IF(ORIG!T1954=0,"",ORIG!T1954)</f>
        <v/>
      </c>
      <c r="U1954" s="3">
        <f>IF(ORIG!U1954=0,"",ORIG!U1954)</f>
        <v/>
      </c>
      <c r="V1954" s="9">
        <f>IF(ORIG!V1954=0,"",ORIG!V1954)</f>
        <v/>
      </c>
      <c r="W1954" s="9">
        <f>IF(ORIG!W1954=0,"",ORIG!W1954)</f>
        <v/>
      </c>
      <c r="X1954" s="9">
        <f>IF(ORIG!X1954=0,"",ORIG!X1954)</f>
        <v/>
      </c>
      <c r="Y1954" s="9">
        <f>IF(ORIG!Y1954=0,"",ORIG!Y1954)</f>
        <v/>
      </c>
      <c r="Z1954" s="3">
        <f>SUMPRODUCT($B1954:$Y1954,$B$2649:$Y$2649)</f>
        <v/>
      </c>
      <c r="AA1954" s="3">
        <f>SUMPRODUCT($B1954:$Y1954,$B$2655:$Y$2655)</f>
        <v/>
      </c>
      <c r="AC1954" s="1">
        <f>A1954</f>
        <v/>
      </c>
      <c r="AD1954">
        <f>IF(ISNUMBER(V1954),V1954*($AB$1/V$2635),"")</f>
        <v/>
      </c>
      <c r="AE1954">
        <f>IF(ISNUMBER(Z1954),Z1954*($AB$1/Z$2635),"")</f>
        <v/>
      </c>
      <c r="AF1954" s="25">
        <f>IF(ISNUMBER(AD1954+AE1954),AD1954+AE1954,"")</f>
        <v/>
      </c>
      <c r="AH1954" s="1">
        <f>A1954</f>
        <v/>
      </c>
      <c r="AI1954">
        <f>IF(ISNUMBER((1+V1954)*AI1953),(1+V1954)*AI1953,AI1953)</f>
        <v/>
      </c>
      <c r="AJ1954">
        <f>IF(ISNUMBER((1+Z1954)*AJ1953),(1+Z1954)*AJ1953,AJ1953)</f>
        <v/>
      </c>
    </row>
    <row r="1955">
      <c r="A1955" s="1" t="n">
        <v>44838</v>
      </c>
      <c r="B1955" s="3">
        <f>IF(ORIG!B1955=0,"",ORIG!B1955)</f>
        <v/>
      </c>
      <c r="C1955" s="3">
        <f>IF(ORIG!C1955=0,"",ORIG!C1955)</f>
        <v/>
      </c>
      <c r="D1955" s="3">
        <f>IF(ORIG!D1955=0,"",ORIG!D1955)</f>
        <v/>
      </c>
      <c r="E1955" s="3">
        <f>IF(ORIG!E1955=0,"",ORIG!E1955)</f>
        <v/>
      </c>
      <c r="F1955" s="3">
        <f>IF(ORIG!F1955=0,"",ORIG!F1955)</f>
        <v/>
      </c>
      <c r="G1955" s="3">
        <f>IF(ORIG!G1955=0,"",ORIG!G1955)</f>
        <v/>
      </c>
      <c r="H1955" s="3">
        <f>IF(ORIG!H1955=0,"",ORIG!H1955)</f>
        <v/>
      </c>
      <c r="I1955" s="3">
        <f>IF(ORIG!I1955=0,"",ORIG!I1955)</f>
        <v/>
      </c>
      <c r="J1955" s="3">
        <f>IF(ORIG!J1955=0,"",ORIG!J1955)</f>
        <v/>
      </c>
      <c r="K1955" s="3">
        <f>IF(ORIG!K1955=0,"",ORIG!K1955)</f>
        <v/>
      </c>
      <c r="L1955" s="3">
        <f>IF(ORIG!L1955=0,"",ORIG!L1955)</f>
        <v/>
      </c>
      <c r="M1955" s="3">
        <f>IF(ORIG!M1955=0,"",ORIG!M1955)</f>
        <v/>
      </c>
      <c r="N1955" s="3">
        <f>IF(ORIG!N1955=0,"",ORIG!N1955)</f>
        <v/>
      </c>
      <c r="O1955" s="3">
        <f>IF(ORIG!O1955=0,"",ORIG!O1955)</f>
        <v/>
      </c>
      <c r="P1955" s="3">
        <f>IF(ORIG!P1955=0,"",ORIG!P1955)</f>
        <v/>
      </c>
      <c r="Q1955" s="3">
        <f>IF(ORIG!Q1955=0,"",ORIG!Q1955)</f>
        <v/>
      </c>
      <c r="R1955" s="3">
        <f>IF(ORIG!R1955=0,"",ORIG!R1955)</f>
        <v/>
      </c>
      <c r="S1955" s="3">
        <f>IF(ORIG!S1955=0,"",ORIG!S1955)</f>
        <v/>
      </c>
      <c r="T1955" s="3">
        <f>IF(ORIG!T1955=0,"",ORIG!T1955)</f>
        <v/>
      </c>
      <c r="U1955" s="3">
        <f>IF(ORIG!U1955=0,"",ORIG!U1955)</f>
        <v/>
      </c>
      <c r="V1955" s="9">
        <f>IF(ORIG!V1955=0,"",ORIG!V1955)</f>
        <v/>
      </c>
      <c r="W1955" s="9">
        <f>IF(ORIG!W1955=0,"",ORIG!W1955)</f>
        <v/>
      </c>
      <c r="X1955" s="9">
        <f>IF(ORIG!X1955=0,"",ORIG!X1955)</f>
        <v/>
      </c>
      <c r="Y1955" s="9">
        <f>IF(ORIG!Y1955=0,"",ORIG!Y1955)</f>
        <v/>
      </c>
      <c r="Z1955" s="3">
        <f>SUMPRODUCT($B1955:$Y1955,$B$2649:$Y$2649)</f>
        <v/>
      </c>
      <c r="AA1955" s="3">
        <f>SUMPRODUCT($B1955:$Y1955,$B$2655:$Y$2655)</f>
        <v/>
      </c>
      <c r="AC1955" s="1">
        <f>A1955</f>
        <v/>
      </c>
      <c r="AD1955">
        <f>IF(ISNUMBER(V1955),V1955*($AB$1/V$2635),"")</f>
        <v/>
      </c>
      <c r="AE1955">
        <f>IF(ISNUMBER(Z1955),Z1955*($AB$1/Z$2635),"")</f>
        <v/>
      </c>
      <c r="AF1955" s="25">
        <f>IF(ISNUMBER(AD1955+AE1955),AD1955+AE1955,"")</f>
        <v/>
      </c>
      <c r="AH1955" s="1">
        <f>A1955</f>
        <v/>
      </c>
      <c r="AI1955">
        <f>IF(ISNUMBER((1+V1955)*AI1954),(1+V1955)*AI1954,AI1954)</f>
        <v/>
      </c>
      <c r="AJ1955">
        <f>IF(ISNUMBER((1+Z1955)*AJ1954),(1+Z1955)*AJ1954,AJ1954)</f>
        <v/>
      </c>
    </row>
    <row r="1956">
      <c r="A1956" s="1" t="n">
        <v>44839</v>
      </c>
      <c r="B1956" s="3">
        <f>IF(ORIG!B1956=0,"",ORIG!B1956)</f>
        <v/>
      </c>
      <c r="C1956" s="3">
        <f>IF(ORIG!C1956=0,"",ORIG!C1956)</f>
        <v/>
      </c>
      <c r="D1956" s="3">
        <f>IF(ORIG!D1956=0,"",ORIG!D1956)</f>
        <v/>
      </c>
      <c r="E1956" s="3">
        <f>IF(ORIG!E1956=0,"",ORIG!E1956)</f>
        <v/>
      </c>
      <c r="F1956" s="3">
        <f>IF(ORIG!F1956=0,"",ORIG!F1956)</f>
        <v/>
      </c>
      <c r="G1956" s="3">
        <f>IF(ORIG!G1956=0,"",ORIG!G1956)</f>
        <v/>
      </c>
      <c r="H1956" s="3">
        <f>IF(ORIG!H1956=0,"",ORIG!H1956)</f>
        <v/>
      </c>
      <c r="I1956" s="3">
        <f>IF(ORIG!I1956=0,"",ORIG!I1956)</f>
        <v/>
      </c>
      <c r="J1956" s="3">
        <f>IF(ORIG!J1956=0,"",ORIG!J1956)</f>
        <v/>
      </c>
      <c r="K1956" s="3">
        <f>IF(ORIG!K1956=0,"",ORIG!K1956)</f>
        <v/>
      </c>
      <c r="L1956" s="3">
        <f>IF(ORIG!L1956=0,"",ORIG!L1956)</f>
        <v/>
      </c>
      <c r="M1956" s="3">
        <f>IF(ORIG!M1956=0,"",ORIG!M1956)</f>
        <v/>
      </c>
      <c r="N1956" s="3">
        <f>IF(ORIG!N1956=0,"",ORIG!N1956)</f>
        <v/>
      </c>
      <c r="O1956" s="3">
        <f>IF(ORIG!O1956=0,"",ORIG!O1956)</f>
        <v/>
      </c>
      <c r="P1956" s="3">
        <f>IF(ORIG!P1956=0,"",ORIG!P1956)</f>
        <v/>
      </c>
      <c r="Q1956" s="3">
        <f>IF(ORIG!Q1956=0,"",ORIG!Q1956)</f>
        <v/>
      </c>
      <c r="R1956" s="3">
        <f>IF(ORIG!R1956=0,"",ORIG!R1956)</f>
        <v/>
      </c>
      <c r="S1956" s="3">
        <f>IF(ORIG!S1956=0,"",ORIG!S1956)</f>
        <v/>
      </c>
      <c r="T1956" s="3">
        <f>IF(ORIG!T1956=0,"",ORIG!T1956)</f>
        <v/>
      </c>
      <c r="U1956" s="3">
        <f>IF(ORIG!U1956=0,"",ORIG!U1956)</f>
        <v/>
      </c>
      <c r="V1956" s="9">
        <f>IF(ORIG!V1956=0,"",ORIG!V1956)</f>
        <v/>
      </c>
      <c r="W1956" s="9">
        <f>IF(ORIG!W1956=0,"",ORIG!W1956)</f>
        <v/>
      </c>
      <c r="X1956" s="9">
        <f>IF(ORIG!X1956=0,"",ORIG!X1956)</f>
        <v/>
      </c>
      <c r="Y1956" s="9">
        <f>IF(ORIG!Y1956=0,"",ORIG!Y1956)</f>
        <v/>
      </c>
      <c r="Z1956" s="3">
        <f>SUMPRODUCT($B1956:$Y1956,$B$2649:$Y$2649)</f>
        <v/>
      </c>
      <c r="AA1956" s="3">
        <f>SUMPRODUCT($B1956:$Y1956,$B$2655:$Y$2655)</f>
        <v/>
      </c>
      <c r="AC1956" s="1">
        <f>A1956</f>
        <v/>
      </c>
      <c r="AD1956">
        <f>IF(ISNUMBER(V1956),V1956*($AB$1/V$2635),"")</f>
        <v/>
      </c>
      <c r="AE1956">
        <f>IF(ISNUMBER(Z1956),Z1956*($AB$1/Z$2635),"")</f>
        <v/>
      </c>
      <c r="AF1956" s="25">
        <f>IF(ISNUMBER(AD1956+AE1956),AD1956+AE1956,"")</f>
        <v/>
      </c>
      <c r="AH1956" s="1">
        <f>A1956</f>
        <v/>
      </c>
      <c r="AI1956">
        <f>IF(ISNUMBER((1+V1956)*AI1955),(1+V1956)*AI1955,AI1955)</f>
        <v/>
      </c>
      <c r="AJ1956">
        <f>IF(ISNUMBER((1+Z1956)*AJ1955),(1+Z1956)*AJ1955,AJ1955)</f>
        <v/>
      </c>
    </row>
    <row r="1957">
      <c r="A1957" s="1" t="n">
        <v>44840</v>
      </c>
      <c r="B1957" s="3">
        <f>IF(ORIG!B1957=0,"",ORIG!B1957)</f>
        <v/>
      </c>
      <c r="C1957" s="3">
        <f>IF(ORIG!C1957=0,"",ORIG!C1957)</f>
        <v/>
      </c>
      <c r="D1957" s="3">
        <f>IF(ORIG!D1957=0,"",ORIG!D1957)</f>
        <v/>
      </c>
      <c r="E1957" s="3">
        <f>IF(ORIG!E1957=0,"",ORIG!E1957)</f>
        <v/>
      </c>
      <c r="F1957" s="3">
        <f>IF(ORIG!F1957=0,"",ORIG!F1957)</f>
        <v/>
      </c>
      <c r="G1957" s="3">
        <f>IF(ORIG!G1957=0,"",ORIG!G1957)</f>
        <v/>
      </c>
      <c r="H1957" s="3">
        <f>IF(ORIG!H1957=0,"",ORIG!H1957)</f>
        <v/>
      </c>
      <c r="I1957" s="3">
        <f>IF(ORIG!I1957=0,"",ORIG!I1957)</f>
        <v/>
      </c>
      <c r="J1957" s="3">
        <f>IF(ORIG!J1957=0,"",ORIG!J1957)</f>
        <v/>
      </c>
      <c r="K1957" s="3">
        <f>IF(ORIG!K1957=0,"",ORIG!K1957)</f>
        <v/>
      </c>
      <c r="L1957" s="3">
        <f>IF(ORIG!L1957=0,"",ORIG!L1957)</f>
        <v/>
      </c>
      <c r="M1957" s="3">
        <f>IF(ORIG!M1957=0,"",ORIG!M1957)</f>
        <v/>
      </c>
      <c r="N1957" s="3">
        <f>IF(ORIG!N1957=0,"",ORIG!N1957)</f>
        <v/>
      </c>
      <c r="O1957" s="3">
        <f>IF(ORIG!O1957=0,"",ORIG!O1957)</f>
        <v/>
      </c>
      <c r="P1957" s="3">
        <f>IF(ORIG!P1957=0,"",ORIG!P1957)</f>
        <v/>
      </c>
      <c r="Q1957" s="3">
        <f>IF(ORIG!Q1957=0,"",ORIG!Q1957)</f>
        <v/>
      </c>
      <c r="R1957" s="3">
        <f>IF(ORIG!R1957=0,"",ORIG!R1957)</f>
        <v/>
      </c>
      <c r="S1957" s="3">
        <f>IF(ORIG!S1957=0,"",ORIG!S1957)</f>
        <v/>
      </c>
      <c r="T1957" s="3">
        <f>IF(ORIG!T1957=0,"",ORIG!T1957)</f>
        <v/>
      </c>
      <c r="U1957" s="3">
        <f>IF(ORIG!U1957=0,"",ORIG!U1957)</f>
        <v/>
      </c>
      <c r="V1957" s="9">
        <f>IF(ORIG!V1957=0,"",ORIG!V1957)</f>
        <v/>
      </c>
      <c r="W1957" s="9">
        <f>IF(ORIG!W1957=0,"",ORIG!W1957)</f>
        <v/>
      </c>
      <c r="X1957" s="9">
        <f>IF(ORIG!X1957=0,"",ORIG!X1957)</f>
        <v/>
      </c>
      <c r="Y1957" s="9">
        <f>IF(ORIG!Y1957=0,"",ORIG!Y1957)</f>
        <v/>
      </c>
      <c r="Z1957" s="3">
        <f>SUMPRODUCT($B1957:$Y1957,$B$2649:$Y$2649)</f>
        <v/>
      </c>
      <c r="AA1957" s="3">
        <f>SUMPRODUCT($B1957:$Y1957,$B$2655:$Y$2655)</f>
        <v/>
      </c>
      <c r="AC1957" s="1">
        <f>A1957</f>
        <v/>
      </c>
      <c r="AD1957">
        <f>IF(ISNUMBER(V1957),V1957*($AB$1/V$2635),"")</f>
        <v/>
      </c>
      <c r="AE1957">
        <f>IF(ISNUMBER(Z1957),Z1957*($AB$1/Z$2635),"")</f>
        <v/>
      </c>
      <c r="AF1957" s="25">
        <f>IF(ISNUMBER(AD1957+AE1957),AD1957+AE1957,"")</f>
        <v/>
      </c>
      <c r="AH1957" s="1">
        <f>A1957</f>
        <v/>
      </c>
      <c r="AI1957">
        <f>IF(ISNUMBER((1+V1957)*AI1956),(1+V1957)*AI1956,AI1956)</f>
        <v/>
      </c>
      <c r="AJ1957">
        <f>IF(ISNUMBER((1+Z1957)*AJ1956),(1+Z1957)*AJ1956,AJ1956)</f>
        <v/>
      </c>
    </row>
    <row r="1958">
      <c r="A1958" s="1" t="n">
        <v>44841</v>
      </c>
      <c r="B1958" s="3">
        <f>IF(ORIG!B1958=0,"",ORIG!B1958)</f>
        <v/>
      </c>
      <c r="C1958" s="3">
        <f>IF(ORIG!C1958=0,"",ORIG!C1958)</f>
        <v/>
      </c>
      <c r="D1958" s="3">
        <f>IF(ORIG!D1958=0,"",ORIG!D1958)</f>
        <v/>
      </c>
      <c r="E1958" s="3">
        <f>IF(ORIG!E1958=0,"",ORIG!E1958)</f>
        <v/>
      </c>
      <c r="F1958" s="3">
        <f>IF(ORIG!F1958=0,"",ORIG!F1958)</f>
        <v/>
      </c>
      <c r="G1958" s="3">
        <f>IF(ORIG!G1958=0,"",ORIG!G1958)</f>
        <v/>
      </c>
      <c r="H1958" s="3">
        <f>IF(ORIG!H1958=0,"",ORIG!H1958)</f>
        <v/>
      </c>
      <c r="I1958" s="3">
        <f>IF(ORIG!I1958=0,"",ORIG!I1958)</f>
        <v/>
      </c>
      <c r="J1958" s="3">
        <f>IF(ORIG!J1958=0,"",ORIG!J1958)</f>
        <v/>
      </c>
      <c r="K1958" s="3">
        <f>IF(ORIG!K1958=0,"",ORIG!K1958)</f>
        <v/>
      </c>
      <c r="L1958" s="3">
        <f>IF(ORIG!L1958=0,"",ORIG!L1958)</f>
        <v/>
      </c>
      <c r="M1958" s="3">
        <f>IF(ORIG!M1958=0,"",ORIG!M1958)</f>
        <v/>
      </c>
      <c r="N1958" s="3">
        <f>IF(ORIG!N1958=0,"",ORIG!N1958)</f>
        <v/>
      </c>
      <c r="O1958" s="3">
        <f>IF(ORIG!O1958=0,"",ORIG!O1958)</f>
        <v/>
      </c>
      <c r="P1958" s="3">
        <f>IF(ORIG!P1958=0,"",ORIG!P1958)</f>
        <v/>
      </c>
      <c r="Q1958" s="3">
        <f>IF(ORIG!Q1958=0,"",ORIG!Q1958)</f>
        <v/>
      </c>
      <c r="R1958" s="3">
        <f>IF(ORIG!R1958=0,"",ORIG!R1958)</f>
        <v/>
      </c>
      <c r="S1958" s="3">
        <f>IF(ORIG!S1958=0,"",ORIG!S1958)</f>
        <v/>
      </c>
      <c r="T1958" s="3">
        <f>IF(ORIG!T1958=0,"",ORIG!T1958)</f>
        <v/>
      </c>
      <c r="U1958" s="3">
        <f>IF(ORIG!U1958=0,"",ORIG!U1958)</f>
        <v/>
      </c>
      <c r="V1958" s="9">
        <f>IF(ORIG!V1958=0,"",ORIG!V1958)</f>
        <v/>
      </c>
      <c r="W1958" s="9">
        <f>IF(ORIG!W1958=0,"",ORIG!W1958)</f>
        <v/>
      </c>
      <c r="X1958" s="9">
        <f>IF(ORIG!X1958=0,"",ORIG!X1958)</f>
        <v/>
      </c>
      <c r="Y1958" s="9">
        <f>IF(ORIG!Y1958=0,"",ORIG!Y1958)</f>
        <v/>
      </c>
      <c r="Z1958" s="3">
        <f>SUMPRODUCT($B1958:$Y1958,$B$2649:$Y$2649)</f>
        <v/>
      </c>
      <c r="AA1958" s="3">
        <f>SUMPRODUCT($B1958:$Y1958,$B$2655:$Y$2655)</f>
        <v/>
      </c>
      <c r="AC1958" s="1">
        <f>A1958</f>
        <v/>
      </c>
      <c r="AD1958">
        <f>IF(ISNUMBER(V1958),V1958*($AB$1/V$2635),"")</f>
        <v/>
      </c>
      <c r="AE1958">
        <f>IF(ISNUMBER(Z1958),Z1958*($AB$1/Z$2635),"")</f>
        <v/>
      </c>
      <c r="AF1958" s="25">
        <f>IF(ISNUMBER(AD1958+AE1958),AD1958+AE1958,"")</f>
        <v/>
      </c>
      <c r="AH1958" s="1">
        <f>A1958</f>
        <v/>
      </c>
      <c r="AI1958">
        <f>IF(ISNUMBER((1+V1958)*AI1957),(1+V1958)*AI1957,AI1957)</f>
        <v/>
      </c>
      <c r="AJ1958">
        <f>IF(ISNUMBER((1+Z1958)*AJ1957),(1+Z1958)*AJ1957,AJ1957)</f>
        <v/>
      </c>
    </row>
    <row r="1959">
      <c r="A1959" s="1" t="n">
        <v>44844</v>
      </c>
      <c r="B1959" s="3">
        <f>IF(ORIG!B1959=0,"",ORIG!B1959)</f>
        <v/>
      </c>
      <c r="C1959" s="3">
        <f>IF(ORIG!C1959=0,"",ORIG!C1959)</f>
        <v/>
      </c>
      <c r="D1959" s="3">
        <f>IF(ORIG!D1959=0,"",ORIG!D1959)</f>
        <v/>
      </c>
      <c r="E1959" s="3">
        <f>IF(ORIG!E1959=0,"",ORIG!E1959)</f>
        <v/>
      </c>
      <c r="F1959" s="3">
        <f>IF(ORIG!F1959=0,"",ORIG!F1959)</f>
        <v/>
      </c>
      <c r="G1959" s="3">
        <f>IF(ORIG!G1959=0,"",ORIG!G1959)</f>
        <v/>
      </c>
      <c r="H1959" s="3">
        <f>IF(ORIG!H1959=0,"",ORIG!H1959)</f>
        <v/>
      </c>
      <c r="I1959" s="3">
        <f>IF(ORIG!I1959=0,"",ORIG!I1959)</f>
        <v/>
      </c>
      <c r="J1959" s="3">
        <f>IF(ORIG!J1959=0,"",ORIG!J1959)</f>
        <v/>
      </c>
      <c r="K1959" s="3">
        <f>IF(ORIG!K1959=0,"",ORIG!K1959)</f>
        <v/>
      </c>
      <c r="L1959" s="3">
        <f>IF(ORIG!L1959=0,"",ORIG!L1959)</f>
        <v/>
      </c>
      <c r="M1959" s="3">
        <f>IF(ORIG!M1959=0,"",ORIG!M1959)</f>
        <v/>
      </c>
      <c r="N1959" s="3">
        <f>IF(ORIG!N1959=0,"",ORIG!N1959)</f>
        <v/>
      </c>
      <c r="O1959" s="3">
        <f>IF(ORIG!O1959=0,"",ORIG!O1959)</f>
        <v/>
      </c>
      <c r="P1959" s="3">
        <f>IF(ORIG!P1959=0,"",ORIG!P1959)</f>
        <v/>
      </c>
      <c r="Q1959" s="3">
        <f>IF(ORIG!Q1959=0,"",ORIG!Q1959)</f>
        <v/>
      </c>
      <c r="R1959" s="3">
        <f>IF(ORIG!R1959=0,"",ORIG!R1959)</f>
        <v/>
      </c>
      <c r="S1959" s="3">
        <f>IF(ORIG!S1959=0,"",ORIG!S1959)</f>
        <v/>
      </c>
      <c r="T1959" s="3">
        <f>IF(ORIG!T1959=0,"",ORIG!T1959)</f>
        <v/>
      </c>
      <c r="U1959" s="3">
        <f>IF(ORIG!U1959=0,"",ORIG!U1959)</f>
        <v/>
      </c>
      <c r="V1959" s="9">
        <f>IF(ORIG!V1959=0,"",ORIG!V1959)</f>
        <v/>
      </c>
      <c r="W1959" s="9">
        <f>IF(ORIG!W1959=0,"",ORIG!W1959)</f>
        <v/>
      </c>
      <c r="X1959" s="9">
        <f>IF(ORIG!X1959=0,"",ORIG!X1959)</f>
        <v/>
      </c>
      <c r="Y1959" s="9">
        <f>IF(ORIG!Y1959=0,"",ORIG!Y1959)</f>
        <v/>
      </c>
      <c r="Z1959" s="3">
        <f>SUMPRODUCT($B1959:$Y1959,$B$2649:$Y$2649)</f>
        <v/>
      </c>
      <c r="AA1959" s="3">
        <f>SUMPRODUCT($B1959:$Y1959,$B$2655:$Y$2655)</f>
        <v/>
      </c>
      <c r="AC1959" s="1">
        <f>A1959</f>
        <v/>
      </c>
      <c r="AD1959">
        <f>IF(ISNUMBER(V1959),V1959*($AB$1/V$2635),"")</f>
        <v/>
      </c>
      <c r="AE1959">
        <f>IF(ISNUMBER(Z1959),Z1959*($AB$1/Z$2635),"")</f>
        <v/>
      </c>
      <c r="AF1959" s="25">
        <f>IF(ISNUMBER(AD1959+AE1959),AD1959+AE1959,"")</f>
        <v/>
      </c>
      <c r="AH1959" s="1">
        <f>A1959</f>
        <v/>
      </c>
      <c r="AI1959">
        <f>IF(ISNUMBER((1+V1959)*AI1958),(1+V1959)*AI1958,AI1958)</f>
        <v/>
      </c>
      <c r="AJ1959">
        <f>IF(ISNUMBER((1+Z1959)*AJ1958),(1+Z1959)*AJ1958,AJ1958)</f>
        <v/>
      </c>
    </row>
    <row r="1960">
      <c r="A1960" s="1" t="n">
        <v>44845</v>
      </c>
      <c r="B1960" s="3">
        <f>IF(ORIG!B1960=0,"",ORIG!B1960)</f>
        <v/>
      </c>
      <c r="C1960" s="3">
        <f>IF(ORIG!C1960=0,"",ORIG!C1960)</f>
        <v/>
      </c>
      <c r="D1960" s="3">
        <f>IF(ORIG!D1960=0,"",ORIG!D1960)</f>
        <v/>
      </c>
      <c r="E1960" s="3">
        <f>IF(ORIG!E1960=0,"",ORIG!E1960)</f>
        <v/>
      </c>
      <c r="F1960" s="3">
        <f>IF(ORIG!F1960=0,"",ORIG!F1960)</f>
        <v/>
      </c>
      <c r="G1960" s="3">
        <f>IF(ORIG!G1960=0,"",ORIG!G1960)</f>
        <v/>
      </c>
      <c r="H1960" s="3">
        <f>IF(ORIG!H1960=0,"",ORIG!H1960)</f>
        <v/>
      </c>
      <c r="I1960" s="3">
        <f>IF(ORIG!I1960=0,"",ORIG!I1960)</f>
        <v/>
      </c>
      <c r="J1960" s="3">
        <f>IF(ORIG!J1960=0,"",ORIG!J1960)</f>
        <v/>
      </c>
      <c r="K1960" s="3">
        <f>IF(ORIG!K1960=0,"",ORIG!K1960)</f>
        <v/>
      </c>
      <c r="L1960" s="3">
        <f>IF(ORIG!L1960=0,"",ORIG!L1960)</f>
        <v/>
      </c>
      <c r="M1960" s="3">
        <f>IF(ORIG!M1960=0,"",ORIG!M1960)</f>
        <v/>
      </c>
      <c r="N1960" s="3">
        <f>IF(ORIG!N1960=0,"",ORIG!N1960)</f>
        <v/>
      </c>
      <c r="O1960" s="3">
        <f>IF(ORIG!O1960=0,"",ORIG!O1960)</f>
        <v/>
      </c>
      <c r="P1960" s="3">
        <f>IF(ORIG!P1960=0,"",ORIG!P1960)</f>
        <v/>
      </c>
      <c r="Q1960" s="3">
        <f>IF(ORIG!Q1960=0,"",ORIG!Q1960)</f>
        <v/>
      </c>
      <c r="R1960" s="3">
        <f>IF(ORIG!R1960=0,"",ORIG!R1960)</f>
        <v/>
      </c>
      <c r="S1960" s="3">
        <f>IF(ORIG!S1960=0,"",ORIG!S1960)</f>
        <v/>
      </c>
      <c r="T1960" s="3">
        <f>IF(ORIG!T1960=0,"",ORIG!T1960)</f>
        <v/>
      </c>
      <c r="U1960" s="3">
        <f>IF(ORIG!U1960=0,"",ORIG!U1960)</f>
        <v/>
      </c>
      <c r="V1960" s="9">
        <f>IF(ORIG!V1960=0,"",ORIG!V1960)</f>
        <v/>
      </c>
      <c r="W1960" s="9">
        <f>IF(ORIG!W1960=0,"",ORIG!W1960)</f>
        <v/>
      </c>
      <c r="X1960" s="9">
        <f>IF(ORIG!X1960=0,"",ORIG!X1960)</f>
        <v/>
      </c>
      <c r="Y1960" s="9">
        <f>IF(ORIG!Y1960=0,"",ORIG!Y1960)</f>
        <v/>
      </c>
      <c r="Z1960" s="3">
        <f>SUMPRODUCT($B1960:$Y1960,$B$2649:$Y$2649)</f>
        <v/>
      </c>
      <c r="AA1960" s="3">
        <f>SUMPRODUCT($B1960:$Y1960,$B$2655:$Y$2655)</f>
        <v/>
      </c>
      <c r="AC1960" s="1">
        <f>A1960</f>
        <v/>
      </c>
      <c r="AD1960">
        <f>IF(ISNUMBER(V1960),V1960*($AB$1/V$2635),"")</f>
        <v/>
      </c>
      <c r="AE1960">
        <f>IF(ISNUMBER(Z1960),Z1960*($AB$1/Z$2635),"")</f>
        <v/>
      </c>
      <c r="AF1960" s="25">
        <f>IF(ISNUMBER(AD1960+AE1960),AD1960+AE1960,"")</f>
        <v/>
      </c>
      <c r="AH1960" s="1">
        <f>A1960</f>
        <v/>
      </c>
      <c r="AI1960">
        <f>IF(ISNUMBER((1+V1960)*AI1959),(1+V1960)*AI1959,AI1959)</f>
        <v/>
      </c>
      <c r="AJ1960">
        <f>IF(ISNUMBER((1+Z1960)*AJ1959),(1+Z1960)*AJ1959,AJ1959)</f>
        <v/>
      </c>
    </row>
    <row r="1961">
      <c r="A1961" s="1" t="n">
        <v>44846</v>
      </c>
      <c r="B1961" s="3">
        <f>IF(ORIG!B1961=0,"",ORIG!B1961)</f>
        <v/>
      </c>
      <c r="C1961" s="3">
        <f>IF(ORIG!C1961=0,"",ORIG!C1961)</f>
        <v/>
      </c>
      <c r="D1961" s="3">
        <f>IF(ORIG!D1961=0,"",ORIG!D1961)</f>
        <v/>
      </c>
      <c r="E1961" s="3">
        <f>IF(ORIG!E1961=0,"",ORIG!E1961)</f>
        <v/>
      </c>
      <c r="F1961" s="3">
        <f>IF(ORIG!F1961=0,"",ORIG!F1961)</f>
        <v/>
      </c>
      <c r="G1961" s="3">
        <f>IF(ORIG!G1961=0,"",ORIG!G1961)</f>
        <v/>
      </c>
      <c r="H1961" s="3">
        <f>IF(ORIG!H1961=0,"",ORIG!H1961)</f>
        <v/>
      </c>
      <c r="I1961" s="3">
        <f>IF(ORIG!I1961=0,"",ORIG!I1961)</f>
        <v/>
      </c>
      <c r="J1961" s="3">
        <f>IF(ORIG!J1961=0,"",ORIG!J1961)</f>
        <v/>
      </c>
      <c r="K1961" s="3">
        <f>IF(ORIG!K1961=0,"",ORIG!K1961)</f>
        <v/>
      </c>
      <c r="L1961" s="3">
        <f>IF(ORIG!L1961=0,"",ORIG!L1961)</f>
        <v/>
      </c>
      <c r="M1961" s="3">
        <f>IF(ORIG!M1961=0,"",ORIG!M1961)</f>
        <v/>
      </c>
      <c r="N1961" s="3">
        <f>IF(ORIG!N1961=0,"",ORIG!N1961)</f>
        <v/>
      </c>
      <c r="O1961" s="3">
        <f>IF(ORIG!O1961=0,"",ORIG!O1961)</f>
        <v/>
      </c>
      <c r="P1961" s="3">
        <f>IF(ORIG!P1961=0,"",ORIG!P1961)</f>
        <v/>
      </c>
      <c r="Q1961" s="3">
        <f>IF(ORIG!Q1961=0,"",ORIG!Q1961)</f>
        <v/>
      </c>
      <c r="R1961" s="3">
        <f>IF(ORIG!R1961=0,"",ORIG!R1961)</f>
        <v/>
      </c>
      <c r="S1961" s="3">
        <f>IF(ORIG!S1961=0,"",ORIG!S1961)</f>
        <v/>
      </c>
      <c r="T1961" s="3">
        <f>IF(ORIG!T1961=0,"",ORIG!T1961)</f>
        <v/>
      </c>
      <c r="U1961" s="3">
        <f>IF(ORIG!U1961=0,"",ORIG!U1961)</f>
        <v/>
      </c>
      <c r="V1961" s="9">
        <f>IF(ORIG!V1961=0,"",ORIG!V1961)</f>
        <v/>
      </c>
      <c r="W1961" s="9">
        <f>IF(ORIG!W1961=0,"",ORIG!W1961)</f>
        <v/>
      </c>
      <c r="X1961" s="9">
        <f>IF(ORIG!X1961=0,"",ORIG!X1961)</f>
        <v/>
      </c>
      <c r="Y1961" s="9">
        <f>IF(ORIG!Y1961=0,"",ORIG!Y1961)</f>
        <v/>
      </c>
      <c r="Z1961" s="3">
        <f>SUMPRODUCT($B1961:$Y1961,$B$2649:$Y$2649)</f>
        <v/>
      </c>
      <c r="AA1961" s="3">
        <f>SUMPRODUCT($B1961:$Y1961,$B$2655:$Y$2655)</f>
        <v/>
      </c>
      <c r="AC1961" s="1">
        <f>A1961</f>
        <v/>
      </c>
      <c r="AD1961">
        <f>IF(ISNUMBER(V1961),V1961*($AB$1/V$2635),"")</f>
        <v/>
      </c>
      <c r="AE1961">
        <f>IF(ISNUMBER(Z1961),Z1961*($AB$1/Z$2635),"")</f>
        <v/>
      </c>
      <c r="AF1961" s="25">
        <f>IF(ISNUMBER(AD1961+AE1961),AD1961+AE1961,"")</f>
        <v/>
      </c>
      <c r="AH1961" s="1">
        <f>A1961</f>
        <v/>
      </c>
      <c r="AI1961">
        <f>IF(ISNUMBER((1+V1961)*AI1960),(1+V1961)*AI1960,AI1960)</f>
        <v/>
      </c>
      <c r="AJ1961">
        <f>IF(ISNUMBER((1+Z1961)*AJ1960),(1+Z1961)*AJ1960,AJ1960)</f>
        <v/>
      </c>
    </row>
    <row r="1962">
      <c r="A1962" s="1" t="n">
        <v>44847</v>
      </c>
      <c r="B1962" s="3">
        <f>IF(ORIG!B1962=0,"",ORIG!B1962)</f>
        <v/>
      </c>
      <c r="C1962" s="3">
        <f>IF(ORIG!C1962=0,"",ORIG!C1962)</f>
        <v/>
      </c>
      <c r="D1962" s="3">
        <f>IF(ORIG!D1962=0,"",ORIG!D1962)</f>
        <v/>
      </c>
      <c r="E1962" s="3">
        <f>IF(ORIG!E1962=0,"",ORIG!E1962)</f>
        <v/>
      </c>
      <c r="F1962" s="3">
        <f>IF(ORIG!F1962=0,"",ORIG!F1962)</f>
        <v/>
      </c>
      <c r="G1962" s="3">
        <f>IF(ORIG!G1962=0,"",ORIG!G1962)</f>
        <v/>
      </c>
      <c r="H1962" s="3">
        <f>IF(ORIG!H1962=0,"",ORIG!H1962)</f>
        <v/>
      </c>
      <c r="I1962" s="3">
        <f>IF(ORIG!I1962=0,"",ORIG!I1962)</f>
        <v/>
      </c>
      <c r="J1962" s="3">
        <f>IF(ORIG!J1962=0,"",ORIG!J1962)</f>
        <v/>
      </c>
      <c r="K1962" s="3">
        <f>IF(ORIG!K1962=0,"",ORIG!K1962)</f>
        <v/>
      </c>
      <c r="L1962" s="3">
        <f>IF(ORIG!L1962=0,"",ORIG!L1962)</f>
        <v/>
      </c>
      <c r="M1962" s="3">
        <f>IF(ORIG!M1962=0,"",ORIG!M1962)</f>
        <v/>
      </c>
      <c r="N1962" s="3">
        <f>IF(ORIG!N1962=0,"",ORIG!N1962)</f>
        <v/>
      </c>
      <c r="O1962" s="3">
        <f>IF(ORIG!O1962=0,"",ORIG!O1962)</f>
        <v/>
      </c>
      <c r="P1962" s="3">
        <f>IF(ORIG!P1962=0,"",ORIG!P1962)</f>
        <v/>
      </c>
      <c r="Q1962" s="3">
        <f>IF(ORIG!Q1962=0,"",ORIG!Q1962)</f>
        <v/>
      </c>
      <c r="R1962" s="3">
        <f>IF(ORIG!R1962=0,"",ORIG!R1962)</f>
        <v/>
      </c>
      <c r="S1962" s="3">
        <f>IF(ORIG!S1962=0,"",ORIG!S1962)</f>
        <v/>
      </c>
      <c r="T1962" s="3">
        <f>IF(ORIG!T1962=0,"",ORIG!T1962)</f>
        <v/>
      </c>
      <c r="U1962" s="3">
        <f>IF(ORIG!U1962=0,"",ORIG!U1962)</f>
        <v/>
      </c>
      <c r="V1962" s="9">
        <f>IF(ORIG!V1962=0,"",ORIG!V1962)</f>
        <v/>
      </c>
      <c r="W1962" s="9">
        <f>IF(ORIG!W1962=0,"",ORIG!W1962)</f>
        <v/>
      </c>
      <c r="X1962" s="9">
        <f>IF(ORIG!X1962=0,"",ORIG!X1962)</f>
        <v/>
      </c>
      <c r="Y1962" s="9">
        <f>IF(ORIG!Y1962=0,"",ORIG!Y1962)</f>
        <v/>
      </c>
      <c r="Z1962" s="3">
        <f>SUMPRODUCT($B1962:$Y1962,$B$2649:$Y$2649)</f>
        <v/>
      </c>
      <c r="AA1962" s="3">
        <f>SUMPRODUCT($B1962:$Y1962,$B$2655:$Y$2655)</f>
        <v/>
      </c>
      <c r="AC1962" s="1">
        <f>A1962</f>
        <v/>
      </c>
      <c r="AD1962">
        <f>IF(ISNUMBER(V1962),V1962*($AB$1/V$2635),"")</f>
        <v/>
      </c>
      <c r="AE1962">
        <f>IF(ISNUMBER(Z1962),Z1962*($AB$1/Z$2635),"")</f>
        <v/>
      </c>
      <c r="AF1962" s="25">
        <f>IF(ISNUMBER(AD1962+AE1962),AD1962+AE1962,"")</f>
        <v/>
      </c>
      <c r="AH1962" s="1">
        <f>A1962</f>
        <v/>
      </c>
      <c r="AI1962">
        <f>IF(ISNUMBER((1+V1962)*AI1961),(1+V1962)*AI1961,AI1961)</f>
        <v/>
      </c>
      <c r="AJ1962">
        <f>IF(ISNUMBER((1+Z1962)*AJ1961),(1+Z1962)*AJ1961,AJ1961)</f>
        <v/>
      </c>
    </row>
    <row r="1963">
      <c r="A1963" s="1" t="n">
        <v>44848</v>
      </c>
      <c r="B1963" s="3">
        <f>IF(ORIG!B1963=0,"",ORIG!B1963)</f>
        <v/>
      </c>
      <c r="C1963" s="3">
        <f>IF(ORIG!C1963=0,"",ORIG!C1963)</f>
        <v/>
      </c>
      <c r="D1963" s="3">
        <f>IF(ORIG!D1963=0,"",ORIG!D1963)</f>
        <v/>
      </c>
      <c r="E1963" s="3">
        <f>IF(ORIG!E1963=0,"",ORIG!E1963)</f>
        <v/>
      </c>
      <c r="F1963" s="3">
        <f>IF(ORIG!F1963=0,"",ORIG!F1963)</f>
        <v/>
      </c>
      <c r="G1963" s="3">
        <f>IF(ORIG!G1963=0,"",ORIG!G1963)</f>
        <v/>
      </c>
      <c r="H1963" s="3">
        <f>IF(ORIG!H1963=0,"",ORIG!H1963)</f>
        <v/>
      </c>
      <c r="I1963" s="3">
        <f>IF(ORIG!I1963=0,"",ORIG!I1963)</f>
        <v/>
      </c>
      <c r="J1963" s="3">
        <f>IF(ORIG!J1963=0,"",ORIG!J1963)</f>
        <v/>
      </c>
      <c r="K1963" s="3">
        <f>IF(ORIG!K1963=0,"",ORIG!K1963)</f>
        <v/>
      </c>
      <c r="L1963" s="3">
        <f>IF(ORIG!L1963=0,"",ORIG!L1963)</f>
        <v/>
      </c>
      <c r="M1963" s="3">
        <f>IF(ORIG!M1963=0,"",ORIG!M1963)</f>
        <v/>
      </c>
      <c r="N1963" s="3">
        <f>IF(ORIG!N1963=0,"",ORIG!N1963)</f>
        <v/>
      </c>
      <c r="O1963" s="3">
        <f>IF(ORIG!O1963=0,"",ORIG!O1963)</f>
        <v/>
      </c>
      <c r="P1963" s="3">
        <f>IF(ORIG!P1963=0,"",ORIG!P1963)</f>
        <v/>
      </c>
      <c r="Q1963" s="3">
        <f>IF(ORIG!Q1963=0,"",ORIG!Q1963)</f>
        <v/>
      </c>
      <c r="R1963" s="3">
        <f>IF(ORIG!R1963=0,"",ORIG!R1963)</f>
        <v/>
      </c>
      <c r="S1963" s="3">
        <f>IF(ORIG!S1963=0,"",ORIG!S1963)</f>
        <v/>
      </c>
      <c r="T1963" s="3">
        <f>IF(ORIG!T1963=0,"",ORIG!T1963)</f>
        <v/>
      </c>
      <c r="U1963" s="3">
        <f>IF(ORIG!U1963=0,"",ORIG!U1963)</f>
        <v/>
      </c>
      <c r="V1963" s="9">
        <f>IF(ORIG!V1963=0,"",ORIG!V1963)</f>
        <v/>
      </c>
      <c r="W1963" s="9">
        <f>IF(ORIG!W1963=0,"",ORIG!W1963)</f>
        <v/>
      </c>
      <c r="X1963" s="9">
        <f>IF(ORIG!X1963=0,"",ORIG!X1963)</f>
        <v/>
      </c>
      <c r="Y1963" s="9">
        <f>IF(ORIG!Y1963=0,"",ORIG!Y1963)</f>
        <v/>
      </c>
      <c r="Z1963" s="3">
        <f>SUMPRODUCT($B1963:$Y1963,$B$2649:$Y$2649)</f>
        <v/>
      </c>
      <c r="AA1963" s="3">
        <f>SUMPRODUCT($B1963:$Y1963,$B$2655:$Y$2655)</f>
        <v/>
      </c>
      <c r="AC1963" s="1">
        <f>A1963</f>
        <v/>
      </c>
      <c r="AD1963">
        <f>IF(ISNUMBER(V1963),V1963*($AB$1/V$2635),"")</f>
        <v/>
      </c>
      <c r="AE1963">
        <f>IF(ISNUMBER(Z1963),Z1963*($AB$1/Z$2635),"")</f>
        <v/>
      </c>
      <c r="AF1963" s="25">
        <f>IF(ISNUMBER(AD1963+AE1963),AD1963+AE1963,"")</f>
        <v/>
      </c>
      <c r="AH1963" s="1">
        <f>A1963</f>
        <v/>
      </c>
      <c r="AI1963">
        <f>IF(ISNUMBER((1+V1963)*AI1962),(1+V1963)*AI1962,AI1962)</f>
        <v/>
      </c>
      <c r="AJ1963">
        <f>IF(ISNUMBER((1+Z1963)*AJ1962),(1+Z1963)*AJ1962,AJ1962)</f>
        <v/>
      </c>
    </row>
    <row r="1964">
      <c r="A1964" s="1" t="n">
        <v>44851</v>
      </c>
      <c r="B1964" s="3">
        <f>IF(ORIG!B1964=0,"",ORIG!B1964)</f>
        <v/>
      </c>
      <c r="C1964" s="3">
        <f>IF(ORIG!C1964=0,"",ORIG!C1964)</f>
        <v/>
      </c>
      <c r="D1964" s="3">
        <f>IF(ORIG!D1964=0,"",ORIG!D1964)</f>
        <v/>
      </c>
      <c r="E1964" s="3">
        <f>IF(ORIG!E1964=0,"",ORIG!E1964)</f>
        <v/>
      </c>
      <c r="F1964" s="3">
        <f>IF(ORIG!F1964=0,"",ORIG!F1964)</f>
        <v/>
      </c>
      <c r="G1964" s="3">
        <f>IF(ORIG!G1964=0,"",ORIG!G1964)</f>
        <v/>
      </c>
      <c r="H1964" s="3">
        <f>IF(ORIG!H1964=0,"",ORIG!H1964)</f>
        <v/>
      </c>
      <c r="I1964" s="3">
        <f>IF(ORIG!I1964=0,"",ORIG!I1964)</f>
        <v/>
      </c>
      <c r="J1964" s="3">
        <f>IF(ORIG!J1964=0,"",ORIG!J1964)</f>
        <v/>
      </c>
      <c r="K1964" s="3">
        <f>IF(ORIG!K1964=0,"",ORIG!K1964)</f>
        <v/>
      </c>
      <c r="L1964" s="3">
        <f>IF(ORIG!L1964=0,"",ORIG!L1964)</f>
        <v/>
      </c>
      <c r="M1964" s="3">
        <f>IF(ORIG!M1964=0,"",ORIG!M1964)</f>
        <v/>
      </c>
      <c r="N1964" s="3">
        <f>IF(ORIG!N1964=0,"",ORIG!N1964)</f>
        <v/>
      </c>
      <c r="O1964" s="3">
        <f>IF(ORIG!O1964=0,"",ORIG!O1964)</f>
        <v/>
      </c>
      <c r="P1964" s="3">
        <f>IF(ORIG!P1964=0,"",ORIG!P1964)</f>
        <v/>
      </c>
      <c r="Q1964" s="3">
        <f>IF(ORIG!Q1964=0,"",ORIG!Q1964)</f>
        <v/>
      </c>
      <c r="R1964" s="3">
        <f>IF(ORIG!R1964=0,"",ORIG!R1964)</f>
        <v/>
      </c>
      <c r="S1964" s="3">
        <f>IF(ORIG!S1964=0,"",ORIG!S1964)</f>
        <v/>
      </c>
      <c r="T1964" s="3">
        <f>IF(ORIG!T1964=0,"",ORIG!T1964)</f>
        <v/>
      </c>
      <c r="U1964" s="3">
        <f>IF(ORIG!U1964=0,"",ORIG!U1964)</f>
        <v/>
      </c>
      <c r="V1964" s="9">
        <f>IF(ORIG!V1964=0,"",ORIG!V1964)</f>
        <v/>
      </c>
      <c r="W1964" s="9">
        <f>IF(ORIG!W1964=0,"",ORIG!W1964)</f>
        <v/>
      </c>
      <c r="X1964" s="9">
        <f>IF(ORIG!X1964=0,"",ORIG!X1964)</f>
        <v/>
      </c>
      <c r="Y1964" s="9">
        <f>IF(ORIG!Y1964=0,"",ORIG!Y1964)</f>
        <v/>
      </c>
      <c r="Z1964" s="3">
        <f>SUMPRODUCT($B1964:$Y1964,$B$2649:$Y$2649)</f>
        <v/>
      </c>
      <c r="AA1964" s="3">
        <f>SUMPRODUCT($B1964:$Y1964,$B$2655:$Y$2655)</f>
        <v/>
      </c>
      <c r="AC1964" s="1">
        <f>A1964</f>
        <v/>
      </c>
      <c r="AD1964">
        <f>IF(ISNUMBER(V1964),V1964*($AB$1/V$2635),"")</f>
        <v/>
      </c>
      <c r="AE1964">
        <f>IF(ISNUMBER(Z1964),Z1964*($AB$1/Z$2635),"")</f>
        <v/>
      </c>
      <c r="AF1964" s="25">
        <f>IF(ISNUMBER(AD1964+AE1964),AD1964+AE1964,"")</f>
        <v/>
      </c>
      <c r="AH1964" s="1">
        <f>A1964</f>
        <v/>
      </c>
      <c r="AI1964">
        <f>IF(ISNUMBER((1+V1964)*AI1963),(1+V1964)*AI1963,AI1963)</f>
        <v/>
      </c>
      <c r="AJ1964">
        <f>IF(ISNUMBER((1+Z1964)*AJ1963),(1+Z1964)*AJ1963,AJ1963)</f>
        <v/>
      </c>
    </row>
    <row r="1965">
      <c r="A1965" s="1" t="n">
        <v>44852</v>
      </c>
      <c r="B1965" s="3">
        <f>IF(ORIG!B1965=0,"",ORIG!B1965)</f>
        <v/>
      </c>
      <c r="C1965" s="3">
        <f>IF(ORIG!C1965=0,"",ORIG!C1965)</f>
        <v/>
      </c>
      <c r="D1965" s="3">
        <f>IF(ORIG!D1965=0,"",ORIG!D1965)</f>
        <v/>
      </c>
      <c r="E1965" s="3">
        <f>IF(ORIG!E1965=0,"",ORIG!E1965)</f>
        <v/>
      </c>
      <c r="F1965" s="3">
        <f>IF(ORIG!F1965=0,"",ORIG!F1965)</f>
        <v/>
      </c>
      <c r="G1965" s="3">
        <f>IF(ORIG!G1965=0,"",ORIG!G1965)</f>
        <v/>
      </c>
      <c r="H1965" s="3">
        <f>IF(ORIG!H1965=0,"",ORIG!H1965)</f>
        <v/>
      </c>
      <c r="I1965" s="3">
        <f>IF(ORIG!I1965=0,"",ORIG!I1965)</f>
        <v/>
      </c>
      <c r="J1965" s="3">
        <f>IF(ORIG!J1965=0,"",ORIG!J1965)</f>
        <v/>
      </c>
      <c r="K1965" s="3">
        <f>IF(ORIG!K1965=0,"",ORIG!K1965)</f>
        <v/>
      </c>
      <c r="L1965" s="3">
        <f>IF(ORIG!L1965=0,"",ORIG!L1965)</f>
        <v/>
      </c>
      <c r="M1965" s="3">
        <f>IF(ORIG!M1965=0,"",ORIG!M1965)</f>
        <v/>
      </c>
      <c r="N1965" s="3">
        <f>IF(ORIG!N1965=0,"",ORIG!N1965)</f>
        <v/>
      </c>
      <c r="O1965" s="3">
        <f>IF(ORIG!O1965=0,"",ORIG!O1965)</f>
        <v/>
      </c>
      <c r="P1965" s="3">
        <f>IF(ORIG!P1965=0,"",ORIG!P1965)</f>
        <v/>
      </c>
      <c r="Q1965" s="3">
        <f>IF(ORIG!Q1965=0,"",ORIG!Q1965)</f>
        <v/>
      </c>
      <c r="R1965" s="3">
        <f>IF(ORIG!R1965=0,"",ORIG!R1965)</f>
        <v/>
      </c>
      <c r="S1965" s="3">
        <f>IF(ORIG!S1965=0,"",ORIG!S1965)</f>
        <v/>
      </c>
      <c r="T1965" s="3">
        <f>IF(ORIG!T1965=0,"",ORIG!T1965)</f>
        <v/>
      </c>
      <c r="U1965" s="3">
        <f>IF(ORIG!U1965=0,"",ORIG!U1965)</f>
        <v/>
      </c>
      <c r="V1965" s="9">
        <f>IF(ORIG!V1965=0,"",ORIG!V1965)</f>
        <v/>
      </c>
      <c r="W1965" s="9">
        <f>IF(ORIG!W1965=0,"",ORIG!W1965)</f>
        <v/>
      </c>
      <c r="X1965" s="9">
        <f>IF(ORIG!X1965=0,"",ORIG!X1965)</f>
        <v/>
      </c>
      <c r="Y1965" s="9">
        <f>IF(ORIG!Y1965=0,"",ORIG!Y1965)</f>
        <v/>
      </c>
      <c r="Z1965" s="3">
        <f>SUMPRODUCT($B1965:$Y1965,$B$2649:$Y$2649)</f>
        <v/>
      </c>
      <c r="AA1965" s="3">
        <f>SUMPRODUCT($B1965:$Y1965,$B$2655:$Y$2655)</f>
        <v/>
      </c>
      <c r="AC1965" s="1">
        <f>A1965</f>
        <v/>
      </c>
      <c r="AD1965">
        <f>IF(ISNUMBER(V1965),V1965*($AB$1/V$2635),"")</f>
        <v/>
      </c>
      <c r="AE1965">
        <f>IF(ISNUMBER(Z1965),Z1965*($AB$1/Z$2635),"")</f>
        <v/>
      </c>
      <c r="AF1965" s="25">
        <f>IF(ISNUMBER(AD1965+AE1965),AD1965+AE1965,"")</f>
        <v/>
      </c>
      <c r="AH1965" s="1">
        <f>A1965</f>
        <v/>
      </c>
      <c r="AI1965">
        <f>IF(ISNUMBER((1+V1965)*AI1964),(1+V1965)*AI1964,AI1964)</f>
        <v/>
      </c>
      <c r="AJ1965">
        <f>IF(ISNUMBER((1+Z1965)*AJ1964),(1+Z1965)*AJ1964,AJ1964)</f>
        <v/>
      </c>
    </row>
    <row r="1966">
      <c r="A1966" s="1" t="n">
        <v>44853</v>
      </c>
      <c r="B1966" s="3">
        <f>IF(ORIG!B1966=0,"",ORIG!B1966)</f>
        <v/>
      </c>
      <c r="C1966" s="3">
        <f>IF(ORIG!C1966=0,"",ORIG!C1966)</f>
        <v/>
      </c>
      <c r="D1966" s="3">
        <f>IF(ORIG!D1966=0,"",ORIG!D1966)</f>
        <v/>
      </c>
      <c r="E1966" s="3">
        <f>IF(ORIG!E1966=0,"",ORIG!E1966)</f>
        <v/>
      </c>
      <c r="F1966" s="3">
        <f>IF(ORIG!F1966=0,"",ORIG!F1966)</f>
        <v/>
      </c>
      <c r="G1966" s="3">
        <f>IF(ORIG!G1966=0,"",ORIG!G1966)</f>
        <v/>
      </c>
      <c r="H1966" s="3">
        <f>IF(ORIG!H1966=0,"",ORIG!H1966)</f>
        <v/>
      </c>
      <c r="I1966" s="3">
        <f>IF(ORIG!I1966=0,"",ORIG!I1966)</f>
        <v/>
      </c>
      <c r="J1966" s="3">
        <f>IF(ORIG!J1966=0,"",ORIG!J1966)</f>
        <v/>
      </c>
      <c r="K1966" s="3">
        <f>IF(ORIG!K1966=0,"",ORIG!K1966)</f>
        <v/>
      </c>
      <c r="L1966" s="3">
        <f>IF(ORIG!L1966=0,"",ORIG!L1966)</f>
        <v/>
      </c>
      <c r="M1966" s="3">
        <f>IF(ORIG!M1966=0,"",ORIG!M1966)</f>
        <v/>
      </c>
      <c r="N1966" s="3">
        <f>IF(ORIG!N1966=0,"",ORIG!N1966)</f>
        <v/>
      </c>
      <c r="O1966" s="3">
        <f>IF(ORIG!O1966=0,"",ORIG!O1966)</f>
        <v/>
      </c>
      <c r="P1966" s="3">
        <f>IF(ORIG!P1966=0,"",ORIG!P1966)</f>
        <v/>
      </c>
      <c r="Q1966" s="3">
        <f>IF(ORIG!Q1966=0,"",ORIG!Q1966)</f>
        <v/>
      </c>
      <c r="R1966" s="3">
        <f>IF(ORIG!R1966=0,"",ORIG!R1966)</f>
        <v/>
      </c>
      <c r="S1966" s="3">
        <f>IF(ORIG!S1966=0,"",ORIG!S1966)</f>
        <v/>
      </c>
      <c r="T1966" s="3">
        <f>IF(ORIG!T1966=0,"",ORIG!T1966)</f>
        <v/>
      </c>
      <c r="U1966" s="3">
        <f>IF(ORIG!U1966=0,"",ORIG!U1966)</f>
        <v/>
      </c>
      <c r="V1966" s="9">
        <f>IF(ORIG!V1966=0,"",ORIG!V1966)</f>
        <v/>
      </c>
      <c r="W1966" s="9">
        <f>IF(ORIG!W1966=0,"",ORIG!W1966)</f>
        <v/>
      </c>
      <c r="X1966" s="9">
        <f>IF(ORIG!X1966=0,"",ORIG!X1966)</f>
        <v/>
      </c>
      <c r="Y1966" s="9">
        <f>IF(ORIG!Y1966=0,"",ORIG!Y1966)</f>
        <v/>
      </c>
      <c r="Z1966" s="3">
        <f>SUMPRODUCT($B1966:$Y1966,$B$2649:$Y$2649)</f>
        <v/>
      </c>
      <c r="AA1966" s="3">
        <f>SUMPRODUCT($B1966:$Y1966,$B$2655:$Y$2655)</f>
        <v/>
      </c>
      <c r="AC1966" s="1">
        <f>A1966</f>
        <v/>
      </c>
      <c r="AD1966">
        <f>IF(ISNUMBER(V1966),V1966*($AB$1/V$2635),"")</f>
        <v/>
      </c>
      <c r="AE1966">
        <f>IF(ISNUMBER(Z1966),Z1966*($AB$1/Z$2635),"")</f>
        <v/>
      </c>
      <c r="AF1966" s="25">
        <f>IF(ISNUMBER(AD1966+AE1966),AD1966+AE1966,"")</f>
        <v/>
      </c>
      <c r="AH1966" s="1">
        <f>A1966</f>
        <v/>
      </c>
      <c r="AI1966">
        <f>IF(ISNUMBER((1+V1966)*AI1965),(1+V1966)*AI1965,AI1965)</f>
        <v/>
      </c>
      <c r="AJ1966">
        <f>IF(ISNUMBER((1+Z1966)*AJ1965),(1+Z1966)*AJ1965,AJ1965)</f>
        <v/>
      </c>
    </row>
    <row r="1967">
      <c r="A1967" s="1" t="n">
        <v>44854</v>
      </c>
      <c r="B1967" s="3">
        <f>IF(ORIG!B1967=0,"",ORIG!B1967)</f>
        <v/>
      </c>
      <c r="C1967" s="3">
        <f>IF(ORIG!C1967=0,"",ORIG!C1967)</f>
        <v/>
      </c>
      <c r="D1967" s="3">
        <f>IF(ORIG!D1967=0,"",ORIG!D1967)</f>
        <v/>
      </c>
      <c r="E1967" s="3">
        <f>IF(ORIG!E1967=0,"",ORIG!E1967)</f>
        <v/>
      </c>
      <c r="F1967" s="3">
        <f>IF(ORIG!F1967=0,"",ORIG!F1967)</f>
        <v/>
      </c>
      <c r="G1967" s="3">
        <f>IF(ORIG!G1967=0,"",ORIG!G1967)</f>
        <v/>
      </c>
      <c r="H1967" s="3">
        <f>IF(ORIG!H1967=0,"",ORIG!H1967)</f>
        <v/>
      </c>
      <c r="I1967" s="3">
        <f>IF(ORIG!I1967=0,"",ORIG!I1967)</f>
        <v/>
      </c>
      <c r="J1967" s="3">
        <f>IF(ORIG!J1967=0,"",ORIG!J1967)</f>
        <v/>
      </c>
      <c r="K1967" s="3">
        <f>IF(ORIG!K1967=0,"",ORIG!K1967)</f>
        <v/>
      </c>
      <c r="L1967" s="3">
        <f>IF(ORIG!L1967=0,"",ORIG!L1967)</f>
        <v/>
      </c>
      <c r="M1967" s="3">
        <f>IF(ORIG!M1967=0,"",ORIG!M1967)</f>
        <v/>
      </c>
      <c r="N1967" s="3">
        <f>IF(ORIG!N1967=0,"",ORIG!N1967)</f>
        <v/>
      </c>
      <c r="O1967" s="3">
        <f>IF(ORIG!O1967=0,"",ORIG!O1967)</f>
        <v/>
      </c>
      <c r="P1967" s="3">
        <f>IF(ORIG!P1967=0,"",ORIG!P1967)</f>
        <v/>
      </c>
      <c r="Q1967" s="3">
        <f>IF(ORIG!Q1967=0,"",ORIG!Q1967)</f>
        <v/>
      </c>
      <c r="R1967" s="3">
        <f>IF(ORIG!R1967=0,"",ORIG!R1967)</f>
        <v/>
      </c>
      <c r="S1967" s="3">
        <f>IF(ORIG!S1967=0,"",ORIG!S1967)</f>
        <v/>
      </c>
      <c r="T1967" s="3">
        <f>IF(ORIG!T1967=0,"",ORIG!T1967)</f>
        <v/>
      </c>
      <c r="U1967" s="3">
        <f>IF(ORIG!U1967=0,"",ORIG!U1967)</f>
        <v/>
      </c>
      <c r="V1967" s="9">
        <f>IF(ORIG!V1967=0,"",ORIG!V1967)</f>
        <v/>
      </c>
      <c r="W1967" s="9">
        <f>IF(ORIG!W1967=0,"",ORIG!W1967)</f>
        <v/>
      </c>
      <c r="X1967" s="9">
        <f>IF(ORIG!X1967=0,"",ORIG!X1967)</f>
        <v/>
      </c>
      <c r="Y1967" s="9">
        <f>IF(ORIG!Y1967=0,"",ORIG!Y1967)</f>
        <v/>
      </c>
      <c r="Z1967" s="3">
        <f>SUMPRODUCT($B1967:$Y1967,$B$2649:$Y$2649)</f>
        <v/>
      </c>
      <c r="AA1967" s="3">
        <f>SUMPRODUCT($B1967:$Y1967,$B$2655:$Y$2655)</f>
        <v/>
      </c>
      <c r="AC1967" s="1">
        <f>A1967</f>
        <v/>
      </c>
      <c r="AD1967">
        <f>IF(ISNUMBER(V1967),V1967*($AB$1/V$2635),"")</f>
        <v/>
      </c>
      <c r="AE1967">
        <f>IF(ISNUMBER(Z1967),Z1967*($AB$1/Z$2635),"")</f>
        <v/>
      </c>
      <c r="AF1967" s="25">
        <f>IF(ISNUMBER(AD1967+AE1967),AD1967+AE1967,"")</f>
        <v/>
      </c>
      <c r="AH1967" s="1">
        <f>A1967</f>
        <v/>
      </c>
      <c r="AI1967">
        <f>IF(ISNUMBER((1+V1967)*AI1966),(1+V1967)*AI1966,AI1966)</f>
        <v/>
      </c>
      <c r="AJ1967">
        <f>IF(ISNUMBER((1+Z1967)*AJ1966),(1+Z1967)*AJ1966,AJ1966)</f>
        <v/>
      </c>
    </row>
    <row r="1968">
      <c r="A1968" s="1" t="n">
        <v>44855</v>
      </c>
      <c r="B1968" s="3">
        <f>IF(ORIG!B1968=0,"",ORIG!B1968)</f>
        <v/>
      </c>
      <c r="C1968" s="3">
        <f>IF(ORIG!C1968=0,"",ORIG!C1968)</f>
        <v/>
      </c>
      <c r="D1968" s="3">
        <f>IF(ORIG!D1968=0,"",ORIG!D1968)</f>
        <v/>
      </c>
      <c r="E1968" s="3">
        <f>IF(ORIG!E1968=0,"",ORIG!E1968)</f>
        <v/>
      </c>
      <c r="F1968" s="3">
        <f>IF(ORIG!F1968=0,"",ORIG!F1968)</f>
        <v/>
      </c>
      <c r="G1968" s="3">
        <f>IF(ORIG!G1968=0,"",ORIG!G1968)</f>
        <v/>
      </c>
      <c r="H1968" s="3">
        <f>IF(ORIG!H1968=0,"",ORIG!H1968)</f>
        <v/>
      </c>
      <c r="I1968" s="3">
        <f>IF(ORIG!I1968=0,"",ORIG!I1968)</f>
        <v/>
      </c>
      <c r="J1968" s="3">
        <f>IF(ORIG!J1968=0,"",ORIG!J1968)</f>
        <v/>
      </c>
      <c r="K1968" s="3">
        <f>IF(ORIG!K1968=0,"",ORIG!K1968)</f>
        <v/>
      </c>
      <c r="L1968" s="3">
        <f>IF(ORIG!L1968=0,"",ORIG!L1968)</f>
        <v/>
      </c>
      <c r="M1968" s="3">
        <f>IF(ORIG!M1968=0,"",ORIG!M1968)</f>
        <v/>
      </c>
      <c r="N1968" s="3">
        <f>IF(ORIG!N1968=0,"",ORIG!N1968)</f>
        <v/>
      </c>
      <c r="O1968" s="3">
        <f>IF(ORIG!O1968=0,"",ORIG!O1968)</f>
        <v/>
      </c>
      <c r="P1968" s="3">
        <f>IF(ORIG!P1968=0,"",ORIG!P1968)</f>
        <v/>
      </c>
      <c r="Q1968" s="3">
        <f>IF(ORIG!Q1968=0,"",ORIG!Q1968)</f>
        <v/>
      </c>
      <c r="R1968" s="3">
        <f>IF(ORIG!R1968=0,"",ORIG!R1968)</f>
        <v/>
      </c>
      <c r="S1968" s="3">
        <f>IF(ORIG!S1968=0,"",ORIG!S1968)</f>
        <v/>
      </c>
      <c r="T1968" s="3">
        <f>IF(ORIG!T1968=0,"",ORIG!T1968)</f>
        <v/>
      </c>
      <c r="U1968" s="3">
        <f>IF(ORIG!U1968=0,"",ORIG!U1968)</f>
        <v/>
      </c>
      <c r="V1968" s="9">
        <f>IF(ORIG!V1968=0,"",ORIG!V1968)</f>
        <v/>
      </c>
      <c r="W1968" s="9">
        <f>IF(ORIG!W1968=0,"",ORIG!W1968)</f>
        <v/>
      </c>
      <c r="X1968" s="9">
        <f>IF(ORIG!X1968=0,"",ORIG!X1968)</f>
        <v/>
      </c>
      <c r="Y1968" s="9">
        <f>IF(ORIG!Y1968=0,"",ORIG!Y1968)</f>
        <v/>
      </c>
      <c r="Z1968" s="3">
        <f>SUMPRODUCT($B1968:$Y1968,$B$2649:$Y$2649)</f>
        <v/>
      </c>
      <c r="AA1968" s="3">
        <f>SUMPRODUCT($B1968:$Y1968,$B$2655:$Y$2655)</f>
        <v/>
      </c>
      <c r="AC1968" s="1">
        <f>A1968</f>
        <v/>
      </c>
      <c r="AD1968">
        <f>IF(ISNUMBER(V1968),V1968*($AB$1/V$2635),"")</f>
        <v/>
      </c>
      <c r="AE1968">
        <f>IF(ISNUMBER(Z1968),Z1968*($AB$1/Z$2635),"")</f>
        <v/>
      </c>
      <c r="AF1968" s="25">
        <f>IF(ISNUMBER(AD1968+AE1968),AD1968+AE1968,"")</f>
        <v/>
      </c>
      <c r="AH1968" s="1">
        <f>A1968</f>
        <v/>
      </c>
      <c r="AI1968">
        <f>IF(ISNUMBER((1+V1968)*AI1967),(1+V1968)*AI1967,AI1967)</f>
        <v/>
      </c>
      <c r="AJ1968">
        <f>IF(ISNUMBER((1+Z1968)*AJ1967),(1+Z1968)*AJ1967,AJ1967)</f>
        <v/>
      </c>
    </row>
    <row r="1969">
      <c r="A1969" s="1" t="n">
        <v>44858</v>
      </c>
      <c r="B1969" s="3">
        <f>IF(ORIG!B1969=0,"",ORIG!B1969)</f>
        <v/>
      </c>
      <c r="C1969" s="3">
        <f>IF(ORIG!C1969=0,"",ORIG!C1969)</f>
        <v/>
      </c>
      <c r="D1969" s="3">
        <f>IF(ORIG!D1969=0,"",ORIG!D1969)</f>
        <v/>
      </c>
      <c r="E1969" s="3">
        <f>IF(ORIG!E1969=0,"",ORIG!E1969)</f>
        <v/>
      </c>
      <c r="F1969" s="3">
        <f>IF(ORIG!F1969=0,"",ORIG!F1969)</f>
        <v/>
      </c>
      <c r="G1969" s="3">
        <f>IF(ORIG!G1969=0,"",ORIG!G1969)</f>
        <v/>
      </c>
      <c r="H1969" s="3">
        <f>IF(ORIG!H1969=0,"",ORIG!H1969)</f>
        <v/>
      </c>
      <c r="I1969" s="3">
        <f>IF(ORIG!I1969=0,"",ORIG!I1969)</f>
        <v/>
      </c>
      <c r="J1969" s="3">
        <f>IF(ORIG!J1969=0,"",ORIG!J1969)</f>
        <v/>
      </c>
      <c r="K1969" s="3">
        <f>IF(ORIG!K1969=0,"",ORIG!K1969)</f>
        <v/>
      </c>
      <c r="L1969" s="3">
        <f>IF(ORIG!L1969=0,"",ORIG!L1969)</f>
        <v/>
      </c>
      <c r="M1969" s="3">
        <f>IF(ORIG!M1969=0,"",ORIG!M1969)</f>
        <v/>
      </c>
      <c r="N1969" s="3">
        <f>IF(ORIG!N1969=0,"",ORIG!N1969)</f>
        <v/>
      </c>
      <c r="O1969" s="3">
        <f>IF(ORIG!O1969=0,"",ORIG!O1969)</f>
        <v/>
      </c>
      <c r="P1969" s="3">
        <f>IF(ORIG!P1969=0,"",ORIG!P1969)</f>
        <v/>
      </c>
      <c r="Q1969" s="3">
        <f>IF(ORIG!Q1969=0,"",ORIG!Q1969)</f>
        <v/>
      </c>
      <c r="R1969" s="3">
        <f>IF(ORIG!R1969=0,"",ORIG!R1969)</f>
        <v/>
      </c>
      <c r="S1969" s="3">
        <f>IF(ORIG!S1969=0,"",ORIG!S1969)</f>
        <v/>
      </c>
      <c r="T1969" s="3">
        <f>IF(ORIG!T1969=0,"",ORIG!T1969)</f>
        <v/>
      </c>
      <c r="U1969" s="3">
        <f>IF(ORIG!U1969=0,"",ORIG!U1969)</f>
        <v/>
      </c>
      <c r="V1969" s="9">
        <f>IF(ORIG!V1969=0,"",ORIG!V1969)</f>
        <v/>
      </c>
      <c r="W1969" s="9">
        <f>IF(ORIG!W1969=0,"",ORIG!W1969)</f>
        <v/>
      </c>
      <c r="X1969" s="9">
        <f>IF(ORIG!X1969=0,"",ORIG!X1969)</f>
        <v/>
      </c>
      <c r="Y1969" s="9">
        <f>IF(ORIG!Y1969=0,"",ORIG!Y1969)</f>
        <v/>
      </c>
      <c r="Z1969" s="3">
        <f>SUMPRODUCT($B1969:$Y1969,$B$2649:$Y$2649)</f>
        <v/>
      </c>
      <c r="AA1969" s="3">
        <f>SUMPRODUCT($B1969:$Y1969,$B$2655:$Y$2655)</f>
        <v/>
      </c>
      <c r="AC1969" s="1">
        <f>A1969</f>
        <v/>
      </c>
      <c r="AD1969">
        <f>IF(ISNUMBER(V1969),V1969*($AB$1/V$2635),"")</f>
        <v/>
      </c>
      <c r="AE1969">
        <f>IF(ISNUMBER(Z1969),Z1969*($AB$1/Z$2635),"")</f>
        <v/>
      </c>
      <c r="AF1969" s="25">
        <f>IF(ISNUMBER(AD1969+AE1969),AD1969+AE1969,"")</f>
        <v/>
      </c>
      <c r="AH1969" s="1">
        <f>A1969</f>
        <v/>
      </c>
      <c r="AI1969">
        <f>IF(ISNUMBER((1+V1969)*AI1968),(1+V1969)*AI1968,AI1968)</f>
        <v/>
      </c>
      <c r="AJ1969">
        <f>IF(ISNUMBER((1+Z1969)*AJ1968),(1+Z1969)*AJ1968,AJ1968)</f>
        <v/>
      </c>
    </row>
    <row r="1970">
      <c r="A1970" s="1" t="n">
        <v>44859</v>
      </c>
      <c r="B1970" s="3">
        <f>IF(ORIG!B1970=0,"",ORIG!B1970)</f>
        <v/>
      </c>
      <c r="C1970" s="3">
        <f>IF(ORIG!C1970=0,"",ORIG!C1970)</f>
        <v/>
      </c>
      <c r="D1970" s="3">
        <f>IF(ORIG!D1970=0,"",ORIG!D1970)</f>
        <v/>
      </c>
      <c r="E1970" s="3">
        <f>IF(ORIG!E1970=0,"",ORIG!E1970)</f>
        <v/>
      </c>
      <c r="F1970" s="3">
        <f>IF(ORIG!F1970=0,"",ORIG!F1970)</f>
        <v/>
      </c>
      <c r="G1970" s="3">
        <f>IF(ORIG!G1970=0,"",ORIG!G1970)</f>
        <v/>
      </c>
      <c r="H1970" s="3">
        <f>IF(ORIG!H1970=0,"",ORIG!H1970)</f>
        <v/>
      </c>
      <c r="I1970" s="3">
        <f>IF(ORIG!I1970=0,"",ORIG!I1970)</f>
        <v/>
      </c>
      <c r="J1970" s="3">
        <f>IF(ORIG!J1970=0,"",ORIG!J1970)</f>
        <v/>
      </c>
      <c r="K1970" s="3">
        <f>IF(ORIG!K1970=0,"",ORIG!K1970)</f>
        <v/>
      </c>
      <c r="L1970" s="3">
        <f>IF(ORIG!L1970=0,"",ORIG!L1970)</f>
        <v/>
      </c>
      <c r="M1970" s="3">
        <f>IF(ORIG!M1970=0,"",ORIG!M1970)</f>
        <v/>
      </c>
      <c r="N1970" s="3">
        <f>IF(ORIG!N1970=0,"",ORIG!N1970)</f>
        <v/>
      </c>
      <c r="O1970" s="3">
        <f>IF(ORIG!O1970=0,"",ORIG!O1970)</f>
        <v/>
      </c>
      <c r="P1970" s="3">
        <f>IF(ORIG!P1970=0,"",ORIG!P1970)</f>
        <v/>
      </c>
      <c r="Q1970" s="3">
        <f>IF(ORIG!Q1970=0,"",ORIG!Q1970)</f>
        <v/>
      </c>
      <c r="R1970" s="3">
        <f>IF(ORIG!R1970=0,"",ORIG!R1970)</f>
        <v/>
      </c>
      <c r="S1970" s="3">
        <f>IF(ORIG!S1970=0,"",ORIG!S1970)</f>
        <v/>
      </c>
      <c r="T1970" s="3">
        <f>IF(ORIG!T1970=0,"",ORIG!T1970)</f>
        <v/>
      </c>
      <c r="U1970" s="3">
        <f>IF(ORIG!U1970=0,"",ORIG!U1970)</f>
        <v/>
      </c>
      <c r="V1970" s="9">
        <f>IF(ORIG!V1970=0,"",ORIG!V1970)</f>
        <v/>
      </c>
      <c r="W1970" s="9">
        <f>IF(ORIG!W1970=0,"",ORIG!W1970)</f>
        <v/>
      </c>
      <c r="X1970" s="9">
        <f>IF(ORIG!X1970=0,"",ORIG!X1970)</f>
        <v/>
      </c>
      <c r="Y1970" s="9">
        <f>IF(ORIG!Y1970=0,"",ORIG!Y1970)</f>
        <v/>
      </c>
      <c r="Z1970" s="3">
        <f>SUMPRODUCT($B1970:$Y1970,$B$2649:$Y$2649)</f>
        <v/>
      </c>
      <c r="AA1970" s="3">
        <f>SUMPRODUCT($B1970:$Y1970,$B$2655:$Y$2655)</f>
        <v/>
      </c>
      <c r="AC1970" s="1">
        <f>A1970</f>
        <v/>
      </c>
      <c r="AD1970">
        <f>IF(ISNUMBER(V1970),V1970*($AB$1/V$2635),"")</f>
        <v/>
      </c>
      <c r="AE1970">
        <f>IF(ISNUMBER(Z1970),Z1970*($AB$1/Z$2635),"")</f>
        <v/>
      </c>
      <c r="AF1970" s="25">
        <f>IF(ISNUMBER(AD1970+AE1970),AD1970+AE1970,"")</f>
        <v/>
      </c>
      <c r="AH1970" s="1">
        <f>A1970</f>
        <v/>
      </c>
      <c r="AI1970">
        <f>IF(ISNUMBER((1+V1970)*AI1969),(1+V1970)*AI1969,AI1969)</f>
        <v/>
      </c>
      <c r="AJ1970">
        <f>IF(ISNUMBER((1+Z1970)*AJ1969),(1+Z1970)*AJ1969,AJ1969)</f>
        <v/>
      </c>
    </row>
    <row r="1971">
      <c r="A1971" s="1" t="n">
        <v>44860</v>
      </c>
      <c r="B1971" s="3">
        <f>IF(ORIG!B1971=0,"",ORIG!B1971)</f>
        <v/>
      </c>
      <c r="C1971" s="3">
        <f>IF(ORIG!C1971=0,"",ORIG!C1971)</f>
        <v/>
      </c>
      <c r="D1971" s="3">
        <f>IF(ORIG!D1971=0,"",ORIG!D1971)</f>
        <v/>
      </c>
      <c r="E1971" s="3">
        <f>IF(ORIG!E1971=0,"",ORIG!E1971)</f>
        <v/>
      </c>
      <c r="F1971" s="3">
        <f>IF(ORIG!F1971=0,"",ORIG!F1971)</f>
        <v/>
      </c>
      <c r="G1971" s="3">
        <f>IF(ORIG!G1971=0,"",ORIG!G1971)</f>
        <v/>
      </c>
      <c r="H1971" s="3">
        <f>IF(ORIG!H1971=0,"",ORIG!H1971)</f>
        <v/>
      </c>
      <c r="I1971" s="3">
        <f>IF(ORIG!I1971=0,"",ORIG!I1971)</f>
        <v/>
      </c>
      <c r="J1971" s="3">
        <f>IF(ORIG!J1971=0,"",ORIG!J1971)</f>
        <v/>
      </c>
      <c r="K1971" s="3">
        <f>IF(ORIG!K1971=0,"",ORIG!K1971)</f>
        <v/>
      </c>
      <c r="L1971" s="3">
        <f>IF(ORIG!L1971=0,"",ORIG!L1971)</f>
        <v/>
      </c>
      <c r="M1971" s="3">
        <f>IF(ORIG!M1971=0,"",ORIG!M1971)</f>
        <v/>
      </c>
      <c r="N1971" s="3">
        <f>IF(ORIG!N1971=0,"",ORIG!N1971)</f>
        <v/>
      </c>
      <c r="O1971" s="3">
        <f>IF(ORIG!O1971=0,"",ORIG!O1971)</f>
        <v/>
      </c>
      <c r="P1971" s="3">
        <f>IF(ORIG!P1971=0,"",ORIG!P1971)</f>
        <v/>
      </c>
      <c r="Q1971" s="3">
        <f>IF(ORIG!Q1971=0,"",ORIG!Q1971)</f>
        <v/>
      </c>
      <c r="R1971" s="3">
        <f>IF(ORIG!R1971=0,"",ORIG!R1971)</f>
        <v/>
      </c>
      <c r="S1971" s="3">
        <f>IF(ORIG!S1971=0,"",ORIG!S1971)</f>
        <v/>
      </c>
      <c r="T1971" s="3">
        <f>IF(ORIG!T1971=0,"",ORIG!T1971)</f>
        <v/>
      </c>
      <c r="U1971" s="3">
        <f>IF(ORIG!U1971=0,"",ORIG!U1971)</f>
        <v/>
      </c>
      <c r="V1971" s="9">
        <f>IF(ORIG!V1971=0,"",ORIG!V1971)</f>
        <v/>
      </c>
      <c r="W1971" s="9">
        <f>IF(ORIG!W1971=0,"",ORIG!W1971)</f>
        <v/>
      </c>
      <c r="X1971" s="9">
        <f>IF(ORIG!X1971=0,"",ORIG!X1971)</f>
        <v/>
      </c>
      <c r="Y1971" s="9">
        <f>IF(ORIG!Y1971=0,"",ORIG!Y1971)</f>
        <v/>
      </c>
      <c r="Z1971" s="3">
        <f>SUMPRODUCT($B1971:$Y1971,$B$2649:$Y$2649)</f>
        <v/>
      </c>
      <c r="AA1971" s="3">
        <f>SUMPRODUCT($B1971:$Y1971,$B$2655:$Y$2655)</f>
        <v/>
      </c>
      <c r="AC1971" s="1">
        <f>A1971</f>
        <v/>
      </c>
      <c r="AD1971">
        <f>IF(ISNUMBER(V1971),V1971*($AB$1/V$2635),"")</f>
        <v/>
      </c>
      <c r="AE1971">
        <f>IF(ISNUMBER(Z1971),Z1971*($AB$1/Z$2635),"")</f>
        <v/>
      </c>
      <c r="AF1971" s="25">
        <f>IF(ISNUMBER(AD1971+AE1971),AD1971+AE1971,"")</f>
        <v/>
      </c>
      <c r="AH1971" s="1">
        <f>A1971</f>
        <v/>
      </c>
      <c r="AI1971">
        <f>IF(ISNUMBER((1+V1971)*AI1970),(1+V1971)*AI1970,AI1970)</f>
        <v/>
      </c>
      <c r="AJ1971">
        <f>IF(ISNUMBER((1+Z1971)*AJ1970),(1+Z1971)*AJ1970,AJ1970)</f>
        <v/>
      </c>
    </row>
    <row r="1972">
      <c r="A1972" s="1" t="n">
        <v>44861</v>
      </c>
      <c r="B1972" s="3">
        <f>IF(ORIG!B1972=0,"",ORIG!B1972)</f>
        <v/>
      </c>
      <c r="C1972" s="3">
        <f>IF(ORIG!C1972=0,"",ORIG!C1972)</f>
        <v/>
      </c>
      <c r="D1972" s="3">
        <f>IF(ORIG!D1972=0,"",ORIG!D1972)</f>
        <v/>
      </c>
      <c r="E1972" s="3">
        <f>IF(ORIG!E1972=0,"",ORIG!E1972)</f>
        <v/>
      </c>
      <c r="F1972" s="3">
        <f>IF(ORIG!F1972=0,"",ORIG!F1972)</f>
        <v/>
      </c>
      <c r="G1972" s="3">
        <f>IF(ORIG!G1972=0,"",ORIG!G1972)</f>
        <v/>
      </c>
      <c r="H1972" s="3">
        <f>IF(ORIG!H1972=0,"",ORIG!H1972)</f>
        <v/>
      </c>
      <c r="I1972" s="3">
        <f>IF(ORIG!I1972=0,"",ORIG!I1972)</f>
        <v/>
      </c>
      <c r="J1972" s="3">
        <f>IF(ORIG!J1972=0,"",ORIG!J1972)</f>
        <v/>
      </c>
      <c r="K1972" s="3">
        <f>IF(ORIG!K1972=0,"",ORIG!K1972)</f>
        <v/>
      </c>
      <c r="L1972" s="3">
        <f>IF(ORIG!L1972=0,"",ORIG!L1972)</f>
        <v/>
      </c>
      <c r="M1972" s="3">
        <f>IF(ORIG!M1972=0,"",ORIG!M1972)</f>
        <v/>
      </c>
      <c r="N1972" s="3">
        <f>IF(ORIG!N1972=0,"",ORIG!N1972)</f>
        <v/>
      </c>
      <c r="O1972" s="3">
        <f>IF(ORIG!O1972=0,"",ORIG!O1972)</f>
        <v/>
      </c>
      <c r="P1972" s="3">
        <f>IF(ORIG!P1972=0,"",ORIG!P1972)</f>
        <v/>
      </c>
      <c r="Q1972" s="3">
        <f>IF(ORIG!Q1972=0,"",ORIG!Q1972)</f>
        <v/>
      </c>
      <c r="R1972" s="3">
        <f>IF(ORIG!R1972=0,"",ORIG!R1972)</f>
        <v/>
      </c>
      <c r="S1972" s="3">
        <f>IF(ORIG!S1972=0,"",ORIG!S1972)</f>
        <v/>
      </c>
      <c r="T1972" s="3">
        <f>IF(ORIG!T1972=0,"",ORIG!T1972)</f>
        <v/>
      </c>
      <c r="U1972" s="3">
        <f>IF(ORIG!U1972=0,"",ORIG!U1972)</f>
        <v/>
      </c>
      <c r="V1972" s="9">
        <f>IF(ORIG!V1972=0,"",ORIG!V1972)</f>
        <v/>
      </c>
      <c r="W1972" s="9">
        <f>IF(ORIG!W1972=0,"",ORIG!W1972)</f>
        <v/>
      </c>
      <c r="X1972" s="9">
        <f>IF(ORIG!X1972=0,"",ORIG!X1972)</f>
        <v/>
      </c>
      <c r="Y1972" s="9">
        <f>IF(ORIG!Y1972=0,"",ORIG!Y1972)</f>
        <v/>
      </c>
      <c r="Z1972" s="3">
        <f>SUMPRODUCT($B1972:$Y1972,$B$2649:$Y$2649)</f>
        <v/>
      </c>
      <c r="AA1972" s="3">
        <f>SUMPRODUCT($B1972:$Y1972,$B$2655:$Y$2655)</f>
        <v/>
      </c>
      <c r="AC1972" s="1">
        <f>A1972</f>
        <v/>
      </c>
      <c r="AD1972">
        <f>IF(ISNUMBER(V1972),V1972*($AB$1/V$2635),"")</f>
        <v/>
      </c>
      <c r="AE1972">
        <f>IF(ISNUMBER(Z1972),Z1972*($AB$1/Z$2635),"")</f>
        <v/>
      </c>
      <c r="AF1972" s="25">
        <f>IF(ISNUMBER(AD1972+AE1972),AD1972+AE1972,"")</f>
        <v/>
      </c>
      <c r="AH1972" s="1">
        <f>A1972</f>
        <v/>
      </c>
      <c r="AI1972">
        <f>IF(ISNUMBER((1+V1972)*AI1971),(1+V1972)*AI1971,AI1971)</f>
        <v/>
      </c>
      <c r="AJ1972">
        <f>IF(ISNUMBER((1+Z1972)*AJ1971),(1+Z1972)*AJ1971,AJ1971)</f>
        <v/>
      </c>
    </row>
    <row r="1973">
      <c r="A1973" s="1" t="n">
        <v>44862</v>
      </c>
      <c r="B1973" s="3">
        <f>IF(ORIG!B1973=0,"",ORIG!B1973)</f>
        <v/>
      </c>
      <c r="C1973" s="3">
        <f>IF(ORIG!C1973=0,"",ORIG!C1973)</f>
        <v/>
      </c>
      <c r="D1973" s="3">
        <f>IF(ORIG!D1973=0,"",ORIG!D1973)</f>
        <v/>
      </c>
      <c r="E1973" s="3">
        <f>IF(ORIG!E1973=0,"",ORIG!E1973)</f>
        <v/>
      </c>
      <c r="F1973" s="3">
        <f>IF(ORIG!F1973=0,"",ORIG!F1973)</f>
        <v/>
      </c>
      <c r="G1973" s="3">
        <f>IF(ORIG!G1973=0,"",ORIG!G1973)</f>
        <v/>
      </c>
      <c r="H1973" s="3">
        <f>IF(ORIG!H1973=0,"",ORIG!H1973)</f>
        <v/>
      </c>
      <c r="I1973" s="3">
        <f>IF(ORIG!I1973=0,"",ORIG!I1973)</f>
        <v/>
      </c>
      <c r="J1973" s="3">
        <f>IF(ORIG!J1973=0,"",ORIG!J1973)</f>
        <v/>
      </c>
      <c r="K1973" s="3">
        <f>IF(ORIG!K1973=0,"",ORIG!K1973)</f>
        <v/>
      </c>
      <c r="L1973" s="3">
        <f>IF(ORIG!L1973=0,"",ORIG!L1973)</f>
        <v/>
      </c>
      <c r="M1973" s="3">
        <f>IF(ORIG!M1973=0,"",ORIG!M1973)</f>
        <v/>
      </c>
      <c r="N1973" s="3">
        <f>IF(ORIG!N1973=0,"",ORIG!N1973)</f>
        <v/>
      </c>
      <c r="O1973" s="3">
        <f>IF(ORIG!O1973=0,"",ORIG!O1973)</f>
        <v/>
      </c>
      <c r="P1973" s="3">
        <f>IF(ORIG!P1973=0,"",ORIG!P1973)</f>
        <v/>
      </c>
      <c r="Q1973" s="3">
        <f>IF(ORIG!Q1973=0,"",ORIG!Q1973)</f>
        <v/>
      </c>
      <c r="R1973" s="3">
        <f>IF(ORIG!R1973=0,"",ORIG!R1973)</f>
        <v/>
      </c>
      <c r="S1973" s="3">
        <f>IF(ORIG!S1973=0,"",ORIG!S1973)</f>
        <v/>
      </c>
      <c r="T1973" s="3">
        <f>IF(ORIG!T1973=0,"",ORIG!T1973)</f>
        <v/>
      </c>
      <c r="U1973" s="3">
        <f>IF(ORIG!U1973=0,"",ORIG!U1973)</f>
        <v/>
      </c>
      <c r="V1973" s="9">
        <f>IF(ORIG!V1973=0,"",ORIG!V1973)</f>
        <v/>
      </c>
      <c r="W1973" s="9">
        <f>IF(ORIG!W1973=0,"",ORIG!W1973)</f>
        <v/>
      </c>
      <c r="X1973" s="9">
        <f>IF(ORIG!X1973=0,"",ORIG!X1973)</f>
        <v/>
      </c>
      <c r="Y1973" s="9">
        <f>IF(ORIG!Y1973=0,"",ORIG!Y1973)</f>
        <v/>
      </c>
      <c r="Z1973" s="3">
        <f>SUMPRODUCT($B1973:$Y1973,$B$2649:$Y$2649)</f>
        <v/>
      </c>
      <c r="AA1973" s="3">
        <f>SUMPRODUCT($B1973:$Y1973,$B$2655:$Y$2655)</f>
        <v/>
      </c>
      <c r="AC1973" s="1">
        <f>A1973</f>
        <v/>
      </c>
      <c r="AD1973">
        <f>IF(ISNUMBER(V1973),V1973*($AB$1/V$2635),"")</f>
        <v/>
      </c>
      <c r="AE1973">
        <f>IF(ISNUMBER(Z1973),Z1973*($AB$1/Z$2635),"")</f>
        <v/>
      </c>
      <c r="AF1973" s="25">
        <f>IF(ISNUMBER(AD1973+AE1973),AD1973+AE1973,"")</f>
        <v/>
      </c>
      <c r="AH1973" s="1">
        <f>A1973</f>
        <v/>
      </c>
      <c r="AI1973">
        <f>IF(ISNUMBER((1+V1973)*AI1972),(1+V1973)*AI1972,AI1972)</f>
        <v/>
      </c>
      <c r="AJ1973">
        <f>IF(ISNUMBER((1+Z1973)*AJ1972),(1+Z1973)*AJ1972,AJ1972)</f>
        <v/>
      </c>
    </row>
    <row r="1974">
      <c r="A1974" s="1" t="n">
        <v>44865</v>
      </c>
      <c r="B1974" s="3">
        <f>IF(ORIG!B1974=0,"",ORIG!B1974)</f>
        <v/>
      </c>
      <c r="C1974" s="3">
        <f>IF(ORIG!C1974=0,"",ORIG!C1974)</f>
        <v/>
      </c>
      <c r="D1974" s="3">
        <f>IF(ORIG!D1974=0,"",ORIG!D1974)</f>
        <v/>
      </c>
      <c r="E1974" s="3">
        <f>IF(ORIG!E1974=0,"",ORIG!E1974)</f>
        <v/>
      </c>
      <c r="F1974" s="3">
        <f>IF(ORIG!F1974=0,"",ORIG!F1974)</f>
        <v/>
      </c>
      <c r="G1974" s="3">
        <f>IF(ORIG!G1974=0,"",ORIG!G1974)</f>
        <v/>
      </c>
      <c r="H1974" s="3">
        <f>IF(ORIG!H1974=0,"",ORIG!H1974)</f>
        <v/>
      </c>
      <c r="I1974" s="3">
        <f>IF(ORIG!I1974=0,"",ORIG!I1974)</f>
        <v/>
      </c>
      <c r="J1974" s="3">
        <f>IF(ORIG!J1974=0,"",ORIG!J1974)</f>
        <v/>
      </c>
      <c r="K1974" s="3">
        <f>IF(ORIG!K1974=0,"",ORIG!K1974)</f>
        <v/>
      </c>
      <c r="L1974" s="3">
        <f>IF(ORIG!L1974=0,"",ORIG!L1974)</f>
        <v/>
      </c>
      <c r="M1974" s="3">
        <f>IF(ORIG!M1974=0,"",ORIG!M1974)</f>
        <v/>
      </c>
      <c r="N1974" s="3">
        <f>IF(ORIG!N1974=0,"",ORIG!N1974)</f>
        <v/>
      </c>
      <c r="O1974" s="3">
        <f>IF(ORIG!O1974=0,"",ORIG!O1974)</f>
        <v/>
      </c>
      <c r="P1974" s="3">
        <f>IF(ORIG!P1974=0,"",ORIG!P1974)</f>
        <v/>
      </c>
      <c r="Q1974" s="3">
        <f>IF(ORIG!Q1974=0,"",ORIG!Q1974)</f>
        <v/>
      </c>
      <c r="R1974" s="3">
        <f>IF(ORIG!R1974=0,"",ORIG!R1974)</f>
        <v/>
      </c>
      <c r="S1974" s="3">
        <f>IF(ORIG!S1974=0,"",ORIG!S1974)</f>
        <v/>
      </c>
      <c r="T1974" s="3">
        <f>IF(ORIG!T1974=0,"",ORIG!T1974)</f>
        <v/>
      </c>
      <c r="U1974" s="3">
        <f>IF(ORIG!U1974=0,"",ORIG!U1974)</f>
        <v/>
      </c>
      <c r="V1974" s="9">
        <f>IF(ORIG!V1974=0,"",ORIG!V1974)</f>
        <v/>
      </c>
      <c r="W1974" s="9">
        <f>IF(ORIG!W1974=0,"",ORIG!W1974)</f>
        <v/>
      </c>
      <c r="X1974" s="9">
        <f>IF(ORIG!X1974=0,"",ORIG!X1974)</f>
        <v/>
      </c>
      <c r="Y1974" s="9">
        <f>IF(ORIG!Y1974=0,"",ORIG!Y1974)</f>
        <v/>
      </c>
      <c r="Z1974" s="3">
        <f>SUMPRODUCT($B1974:$Y1974,$B$2649:$Y$2649)</f>
        <v/>
      </c>
      <c r="AA1974" s="3">
        <f>SUMPRODUCT($B1974:$Y1974,$B$2655:$Y$2655)</f>
        <v/>
      </c>
      <c r="AC1974" s="1">
        <f>A1974</f>
        <v/>
      </c>
      <c r="AD1974">
        <f>IF(ISNUMBER(V1974),V1974*($AB$1/V$2635),"")</f>
        <v/>
      </c>
      <c r="AE1974">
        <f>IF(ISNUMBER(Z1974),Z1974*($AB$1/Z$2635),"")</f>
        <v/>
      </c>
      <c r="AF1974" s="25">
        <f>IF(ISNUMBER(AD1974+AE1974),AD1974+AE1974,"")</f>
        <v/>
      </c>
      <c r="AH1974" s="1">
        <f>A1974</f>
        <v/>
      </c>
      <c r="AI1974">
        <f>IF(ISNUMBER((1+V1974)*AI1973),(1+V1974)*AI1973,AI1973)</f>
        <v/>
      </c>
      <c r="AJ1974">
        <f>IF(ISNUMBER((1+Z1974)*AJ1973),(1+Z1974)*AJ1973,AJ1973)</f>
        <v/>
      </c>
    </row>
    <row r="1975">
      <c r="A1975" s="1" t="n">
        <v>44866</v>
      </c>
      <c r="B1975" s="3">
        <f>IF(ORIG!B1975=0,"",ORIG!B1975)</f>
        <v/>
      </c>
      <c r="C1975" s="3">
        <f>IF(ORIG!C1975=0,"",ORIG!C1975)</f>
        <v/>
      </c>
      <c r="D1975" s="3">
        <f>IF(ORIG!D1975=0,"",ORIG!D1975)</f>
        <v/>
      </c>
      <c r="E1975" s="3">
        <f>IF(ORIG!E1975=0,"",ORIG!E1975)</f>
        <v/>
      </c>
      <c r="F1975" s="3">
        <f>IF(ORIG!F1975=0,"",ORIG!F1975)</f>
        <v/>
      </c>
      <c r="G1975" s="3">
        <f>IF(ORIG!G1975=0,"",ORIG!G1975)</f>
        <v/>
      </c>
      <c r="H1975" s="3">
        <f>IF(ORIG!H1975=0,"",ORIG!H1975)</f>
        <v/>
      </c>
      <c r="I1975" s="3">
        <f>IF(ORIG!I1975=0,"",ORIG!I1975)</f>
        <v/>
      </c>
      <c r="J1975" s="3">
        <f>IF(ORIG!J1975=0,"",ORIG!J1975)</f>
        <v/>
      </c>
      <c r="K1975" s="3">
        <f>IF(ORIG!K1975=0,"",ORIG!K1975)</f>
        <v/>
      </c>
      <c r="L1975" s="3">
        <f>IF(ORIG!L1975=0,"",ORIG!L1975)</f>
        <v/>
      </c>
      <c r="M1975" s="3">
        <f>IF(ORIG!M1975=0,"",ORIG!M1975)</f>
        <v/>
      </c>
      <c r="N1975" s="3">
        <f>IF(ORIG!N1975=0,"",ORIG!N1975)</f>
        <v/>
      </c>
      <c r="O1975" s="3">
        <f>IF(ORIG!O1975=0,"",ORIG!O1975)</f>
        <v/>
      </c>
      <c r="P1975" s="3">
        <f>IF(ORIG!P1975=0,"",ORIG!P1975)</f>
        <v/>
      </c>
      <c r="Q1975" s="3">
        <f>IF(ORIG!Q1975=0,"",ORIG!Q1975)</f>
        <v/>
      </c>
      <c r="R1975" s="3">
        <f>IF(ORIG!R1975=0,"",ORIG!R1975)</f>
        <v/>
      </c>
      <c r="S1975" s="3">
        <f>IF(ORIG!S1975=0,"",ORIG!S1975)</f>
        <v/>
      </c>
      <c r="T1975" s="3">
        <f>IF(ORIG!T1975=0,"",ORIG!T1975)</f>
        <v/>
      </c>
      <c r="U1975" s="3">
        <f>IF(ORIG!U1975=0,"",ORIG!U1975)</f>
        <v/>
      </c>
      <c r="V1975" s="9">
        <f>IF(ORIG!V1975=0,"",ORIG!V1975)</f>
        <v/>
      </c>
      <c r="W1975" s="9">
        <f>IF(ORIG!W1975=0,"",ORIG!W1975)</f>
        <v/>
      </c>
      <c r="X1975" s="9">
        <f>IF(ORIG!X1975=0,"",ORIG!X1975)</f>
        <v/>
      </c>
      <c r="Y1975" s="9">
        <f>IF(ORIG!Y1975=0,"",ORIG!Y1975)</f>
        <v/>
      </c>
      <c r="Z1975" s="3">
        <f>SUMPRODUCT($B1975:$Y1975,$B$2649:$Y$2649)</f>
        <v/>
      </c>
      <c r="AA1975" s="3">
        <f>SUMPRODUCT($B1975:$Y1975,$B$2655:$Y$2655)</f>
        <v/>
      </c>
      <c r="AC1975" s="1">
        <f>A1975</f>
        <v/>
      </c>
      <c r="AD1975">
        <f>IF(ISNUMBER(V1975),V1975*($AB$1/V$2635),"")</f>
        <v/>
      </c>
      <c r="AE1975">
        <f>IF(ISNUMBER(Z1975),Z1975*($AB$1/Z$2635),"")</f>
        <v/>
      </c>
      <c r="AF1975" s="25">
        <f>IF(ISNUMBER(AD1975+AE1975),AD1975+AE1975,"")</f>
        <v/>
      </c>
      <c r="AH1975" s="1">
        <f>A1975</f>
        <v/>
      </c>
      <c r="AI1975">
        <f>IF(ISNUMBER((1+V1975)*AI1974),(1+V1975)*AI1974,AI1974)</f>
        <v/>
      </c>
      <c r="AJ1975">
        <f>IF(ISNUMBER((1+Z1975)*AJ1974),(1+Z1975)*AJ1974,AJ1974)</f>
        <v/>
      </c>
    </row>
    <row r="1976">
      <c r="A1976" s="1" t="n">
        <v>44867</v>
      </c>
      <c r="B1976" s="3">
        <f>IF(ORIG!B1976=0,"",ORIG!B1976)</f>
        <v/>
      </c>
      <c r="C1976" s="3">
        <f>IF(ORIG!C1976=0,"",ORIG!C1976)</f>
        <v/>
      </c>
      <c r="D1976" s="3">
        <f>IF(ORIG!D1976=0,"",ORIG!D1976)</f>
        <v/>
      </c>
      <c r="E1976" s="3">
        <f>IF(ORIG!E1976=0,"",ORIG!E1976)</f>
        <v/>
      </c>
      <c r="F1976" s="3">
        <f>IF(ORIG!F1976=0,"",ORIG!F1976)</f>
        <v/>
      </c>
      <c r="G1976" s="3">
        <f>IF(ORIG!G1976=0,"",ORIG!G1976)</f>
        <v/>
      </c>
      <c r="H1976" s="3">
        <f>IF(ORIG!H1976=0,"",ORIG!H1976)</f>
        <v/>
      </c>
      <c r="I1976" s="3">
        <f>IF(ORIG!I1976=0,"",ORIG!I1976)</f>
        <v/>
      </c>
      <c r="J1976" s="3">
        <f>IF(ORIG!J1976=0,"",ORIG!J1976)</f>
        <v/>
      </c>
      <c r="K1976" s="3">
        <f>IF(ORIG!K1976=0,"",ORIG!K1976)</f>
        <v/>
      </c>
      <c r="L1976" s="3">
        <f>IF(ORIG!L1976=0,"",ORIG!L1976)</f>
        <v/>
      </c>
      <c r="M1976" s="3">
        <f>IF(ORIG!M1976=0,"",ORIG!M1976)</f>
        <v/>
      </c>
      <c r="N1976" s="3">
        <f>IF(ORIG!N1976=0,"",ORIG!N1976)</f>
        <v/>
      </c>
      <c r="O1976" s="3">
        <f>IF(ORIG!O1976=0,"",ORIG!O1976)</f>
        <v/>
      </c>
      <c r="P1976" s="3">
        <f>IF(ORIG!P1976=0,"",ORIG!P1976)</f>
        <v/>
      </c>
      <c r="Q1976" s="3">
        <f>IF(ORIG!Q1976=0,"",ORIG!Q1976)</f>
        <v/>
      </c>
      <c r="R1976" s="3">
        <f>IF(ORIG!R1976=0,"",ORIG!R1976)</f>
        <v/>
      </c>
      <c r="S1976" s="3">
        <f>IF(ORIG!S1976=0,"",ORIG!S1976)</f>
        <v/>
      </c>
      <c r="T1976" s="3">
        <f>IF(ORIG!T1976=0,"",ORIG!T1976)</f>
        <v/>
      </c>
      <c r="U1976" s="3">
        <f>IF(ORIG!U1976=0,"",ORIG!U1976)</f>
        <v/>
      </c>
      <c r="V1976" s="9">
        <f>IF(ORIG!V1976=0,"",ORIG!V1976)</f>
        <v/>
      </c>
      <c r="W1976" s="9">
        <f>IF(ORIG!W1976=0,"",ORIG!W1976)</f>
        <v/>
      </c>
      <c r="X1976" s="9">
        <f>IF(ORIG!X1976=0,"",ORIG!X1976)</f>
        <v/>
      </c>
      <c r="Y1976" s="9">
        <f>IF(ORIG!Y1976=0,"",ORIG!Y1976)</f>
        <v/>
      </c>
      <c r="Z1976" s="3">
        <f>SUMPRODUCT($B1976:$Y1976,$B$2649:$Y$2649)</f>
        <v/>
      </c>
      <c r="AA1976" s="3">
        <f>SUMPRODUCT($B1976:$Y1976,$B$2655:$Y$2655)</f>
        <v/>
      </c>
      <c r="AC1976" s="1">
        <f>A1976</f>
        <v/>
      </c>
      <c r="AD1976">
        <f>IF(ISNUMBER(V1976),V1976*($AB$1/V$2635),"")</f>
        <v/>
      </c>
      <c r="AE1976">
        <f>IF(ISNUMBER(Z1976),Z1976*($AB$1/Z$2635),"")</f>
        <v/>
      </c>
      <c r="AF1976" s="25">
        <f>IF(ISNUMBER(AD1976+AE1976),AD1976+AE1976,"")</f>
        <v/>
      </c>
      <c r="AH1976" s="1">
        <f>A1976</f>
        <v/>
      </c>
      <c r="AI1976">
        <f>IF(ISNUMBER((1+V1976)*AI1975),(1+V1976)*AI1975,AI1975)</f>
        <v/>
      </c>
      <c r="AJ1976">
        <f>IF(ISNUMBER((1+Z1976)*AJ1975),(1+Z1976)*AJ1975,AJ1975)</f>
        <v/>
      </c>
    </row>
    <row r="1977">
      <c r="A1977" s="1" t="n">
        <v>44868</v>
      </c>
      <c r="B1977" s="3">
        <f>IF(ORIG!B1977=0,"",ORIG!B1977)</f>
        <v/>
      </c>
      <c r="C1977" s="3">
        <f>IF(ORIG!C1977=0,"",ORIG!C1977)</f>
        <v/>
      </c>
      <c r="D1977" s="3">
        <f>IF(ORIG!D1977=0,"",ORIG!D1977)</f>
        <v/>
      </c>
      <c r="E1977" s="3">
        <f>IF(ORIG!E1977=0,"",ORIG!E1977)</f>
        <v/>
      </c>
      <c r="F1977" s="3">
        <f>IF(ORIG!F1977=0,"",ORIG!F1977)</f>
        <v/>
      </c>
      <c r="G1977" s="3">
        <f>IF(ORIG!G1977=0,"",ORIG!G1977)</f>
        <v/>
      </c>
      <c r="H1977" s="3">
        <f>IF(ORIG!H1977=0,"",ORIG!H1977)</f>
        <v/>
      </c>
      <c r="I1977" s="3">
        <f>IF(ORIG!I1977=0,"",ORIG!I1977)</f>
        <v/>
      </c>
      <c r="J1977" s="3">
        <f>IF(ORIG!J1977=0,"",ORIG!J1977)</f>
        <v/>
      </c>
      <c r="K1977" s="3">
        <f>IF(ORIG!K1977=0,"",ORIG!K1977)</f>
        <v/>
      </c>
      <c r="L1977" s="3">
        <f>IF(ORIG!L1977=0,"",ORIG!L1977)</f>
        <v/>
      </c>
      <c r="M1977" s="3">
        <f>IF(ORIG!M1977=0,"",ORIG!M1977)</f>
        <v/>
      </c>
      <c r="N1977" s="3">
        <f>IF(ORIG!N1977=0,"",ORIG!N1977)</f>
        <v/>
      </c>
      <c r="O1977" s="3">
        <f>IF(ORIG!O1977=0,"",ORIG!O1977)</f>
        <v/>
      </c>
      <c r="P1977" s="3">
        <f>IF(ORIG!P1977=0,"",ORIG!P1977)</f>
        <v/>
      </c>
      <c r="Q1977" s="3">
        <f>IF(ORIG!Q1977=0,"",ORIG!Q1977)</f>
        <v/>
      </c>
      <c r="R1977" s="3">
        <f>IF(ORIG!R1977=0,"",ORIG!R1977)</f>
        <v/>
      </c>
      <c r="S1977" s="3">
        <f>IF(ORIG!S1977=0,"",ORIG!S1977)</f>
        <v/>
      </c>
      <c r="T1977" s="3">
        <f>IF(ORIG!T1977=0,"",ORIG!T1977)</f>
        <v/>
      </c>
      <c r="U1977" s="3">
        <f>IF(ORIG!U1977=0,"",ORIG!U1977)</f>
        <v/>
      </c>
      <c r="V1977" s="9">
        <f>IF(ORIG!V1977=0,"",ORIG!V1977)</f>
        <v/>
      </c>
      <c r="W1977" s="9">
        <f>IF(ORIG!W1977=0,"",ORIG!W1977)</f>
        <v/>
      </c>
      <c r="X1977" s="9">
        <f>IF(ORIG!X1977=0,"",ORIG!X1977)</f>
        <v/>
      </c>
      <c r="Y1977" s="9">
        <f>IF(ORIG!Y1977=0,"",ORIG!Y1977)</f>
        <v/>
      </c>
      <c r="Z1977" s="3">
        <f>SUMPRODUCT($B1977:$Y1977,$B$2649:$Y$2649)</f>
        <v/>
      </c>
      <c r="AA1977" s="3">
        <f>SUMPRODUCT($B1977:$Y1977,$B$2655:$Y$2655)</f>
        <v/>
      </c>
      <c r="AC1977" s="1">
        <f>A1977</f>
        <v/>
      </c>
      <c r="AD1977">
        <f>IF(ISNUMBER(V1977),V1977*($AB$1/V$2635),"")</f>
        <v/>
      </c>
      <c r="AE1977">
        <f>IF(ISNUMBER(Z1977),Z1977*($AB$1/Z$2635),"")</f>
        <v/>
      </c>
      <c r="AF1977" s="25">
        <f>IF(ISNUMBER(AD1977+AE1977),AD1977+AE1977,"")</f>
        <v/>
      </c>
      <c r="AH1977" s="1">
        <f>A1977</f>
        <v/>
      </c>
      <c r="AI1977">
        <f>IF(ISNUMBER((1+V1977)*AI1976),(1+V1977)*AI1976,AI1976)</f>
        <v/>
      </c>
      <c r="AJ1977">
        <f>IF(ISNUMBER((1+Z1977)*AJ1976),(1+Z1977)*AJ1976,AJ1976)</f>
        <v/>
      </c>
    </row>
    <row r="1978">
      <c r="A1978" s="1" t="n">
        <v>44869</v>
      </c>
      <c r="B1978" s="3">
        <f>IF(ORIG!B1978=0,"",ORIG!B1978)</f>
        <v/>
      </c>
      <c r="C1978" s="3">
        <f>IF(ORIG!C1978=0,"",ORIG!C1978)</f>
        <v/>
      </c>
      <c r="D1978" s="3">
        <f>IF(ORIG!D1978=0,"",ORIG!D1978)</f>
        <v/>
      </c>
      <c r="E1978" s="3">
        <f>IF(ORIG!E1978=0,"",ORIG!E1978)</f>
        <v/>
      </c>
      <c r="F1978" s="3">
        <f>IF(ORIG!F1978=0,"",ORIG!F1978)</f>
        <v/>
      </c>
      <c r="G1978" s="3">
        <f>IF(ORIG!G1978=0,"",ORIG!G1978)</f>
        <v/>
      </c>
      <c r="H1978" s="3">
        <f>IF(ORIG!H1978=0,"",ORIG!H1978)</f>
        <v/>
      </c>
      <c r="I1978" s="3">
        <f>IF(ORIG!I1978=0,"",ORIG!I1978)</f>
        <v/>
      </c>
      <c r="J1978" s="3">
        <f>IF(ORIG!J1978=0,"",ORIG!J1978)</f>
        <v/>
      </c>
      <c r="K1978" s="3">
        <f>IF(ORIG!K1978=0,"",ORIG!K1978)</f>
        <v/>
      </c>
      <c r="L1978" s="3">
        <f>IF(ORIG!L1978=0,"",ORIG!L1978)</f>
        <v/>
      </c>
      <c r="M1978" s="3">
        <f>IF(ORIG!M1978=0,"",ORIG!M1978)</f>
        <v/>
      </c>
      <c r="N1978" s="3">
        <f>IF(ORIG!N1978=0,"",ORIG!N1978)</f>
        <v/>
      </c>
      <c r="O1978" s="3">
        <f>IF(ORIG!O1978=0,"",ORIG!O1978)</f>
        <v/>
      </c>
      <c r="P1978" s="3">
        <f>IF(ORIG!P1978=0,"",ORIG!P1978)</f>
        <v/>
      </c>
      <c r="Q1978" s="3">
        <f>IF(ORIG!Q1978=0,"",ORIG!Q1978)</f>
        <v/>
      </c>
      <c r="R1978" s="3">
        <f>IF(ORIG!R1978=0,"",ORIG!R1978)</f>
        <v/>
      </c>
      <c r="S1978" s="3">
        <f>IF(ORIG!S1978=0,"",ORIG!S1978)</f>
        <v/>
      </c>
      <c r="T1978" s="3">
        <f>IF(ORIG!T1978=0,"",ORIG!T1978)</f>
        <v/>
      </c>
      <c r="U1978" s="3">
        <f>IF(ORIG!U1978=0,"",ORIG!U1978)</f>
        <v/>
      </c>
      <c r="V1978" s="9">
        <f>IF(ORIG!V1978=0,"",ORIG!V1978)</f>
        <v/>
      </c>
      <c r="W1978" s="9">
        <f>IF(ORIG!W1978=0,"",ORIG!W1978)</f>
        <v/>
      </c>
      <c r="X1978" s="9">
        <f>IF(ORIG!X1978=0,"",ORIG!X1978)</f>
        <v/>
      </c>
      <c r="Y1978" s="9">
        <f>IF(ORIG!Y1978=0,"",ORIG!Y1978)</f>
        <v/>
      </c>
      <c r="Z1978" s="3">
        <f>SUMPRODUCT($B1978:$Y1978,$B$2649:$Y$2649)</f>
        <v/>
      </c>
      <c r="AA1978" s="3">
        <f>SUMPRODUCT($B1978:$Y1978,$B$2655:$Y$2655)</f>
        <v/>
      </c>
      <c r="AC1978" s="1">
        <f>A1978</f>
        <v/>
      </c>
      <c r="AD1978">
        <f>IF(ISNUMBER(V1978),V1978*($AB$1/V$2635),"")</f>
        <v/>
      </c>
      <c r="AE1978">
        <f>IF(ISNUMBER(Z1978),Z1978*($AB$1/Z$2635),"")</f>
        <v/>
      </c>
      <c r="AF1978" s="25">
        <f>IF(ISNUMBER(AD1978+AE1978),AD1978+AE1978,"")</f>
        <v/>
      </c>
      <c r="AH1978" s="1">
        <f>A1978</f>
        <v/>
      </c>
      <c r="AI1978">
        <f>IF(ISNUMBER((1+V1978)*AI1977),(1+V1978)*AI1977,AI1977)</f>
        <v/>
      </c>
      <c r="AJ1978">
        <f>IF(ISNUMBER((1+Z1978)*AJ1977),(1+Z1978)*AJ1977,AJ1977)</f>
        <v/>
      </c>
    </row>
    <row r="1979">
      <c r="A1979" s="1" t="n">
        <v>44872</v>
      </c>
      <c r="B1979" s="3">
        <f>IF(ORIG!B1979=0,"",ORIG!B1979)</f>
        <v/>
      </c>
      <c r="C1979" s="3">
        <f>IF(ORIG!C1979=0,"",ORIG!C1979)</f>
        <v/>
      </c>
      <c r="D1979" s="3">
        <f>IF(ORIG!D1979=0,"",ORIG!D1979)</f>
        <v/>
      </c>
      <c r="E1979" s="3">
        <f>IF(ORIG!E1979=0,"",ORIG!E1979)</f>
        <v/>
      </c>
      <c r="F1979" s="3">
        <f>IF(ORIG!F1979=0,"",ORIG!F1979)</f>
        <v/>
      </c>
      <c r="G1979" s="3">
        <f>IF(ORIG!G1979=0,"",ORIG!G1979)</f>
        <v/>
      </c>
      <c r="H1979" s="3">
        <f>IF(ORIG!H1979=0,"",ORIG!H1979)</f>
        <v/>
      </c>
      <c r="I1979" s="3">
        <f>IF(ORIG!I1979=0,"",ORIG!I1979)</f>
        <v/>
      </c>
      <c r="J1979" s="3">
        <f>IF(ORIG!J1979=0,"",ORIG!J1979)</f>
        <v/>
      </c>
      <c r="K1979" s="3">
        <f>IF(ORIG!K1979=0,"",ORIG!K1979)</f>
        <v/>
      </c>
      <c r="L1979" s="3">
        <f>IF(ORIG!L1979=0,"",ORIG!L1979)</f>
        <v/>
      </c>
      <c r="M1979" s="3">
        <f>IF(ORIG!M1979=0,"",ORIG!M1979)</f>
        <v/>
      </c>
      <c r="N1979" s="3">
        <f>IF(ORIG!N1979=0,"",ORIG!N1979)</f>
        <v/>
      </c>
      <c r="O1979" s="3">
        <f>IF(ORIG!O1979=0,"",ORIG!O1979)</f>
        <v/>
      </c>
      <c r="P1979" s="3">
        <f>IF(ORIG!P1979=0,"",ORIG!P1979)</f>
        <v/>
      </c>
      <c r="Q1979" s="3">
        <f>IF(ORIG!Q1979=0,"",ORIG!Q1979)</f>
        <v/>
      </c>
      <c r="R1979" s="3">
        <f>IF(ORIG!R1979=0,"",ORIG!R1979)</f>
        <v/>
      </c>
      <c r="S1979" s="3">
        <f>IF(ORIG!S1979=0,"",ORIG!S1979)</f>
        <v/>
      </c>
      <c r="T1979" s="3">
        <f>IF(ORIG!T1979=0,"",ORIG!T1979)</f>
        <v/>
      </c>
      <c r="U1979" s="3">
        <f>IF(ORIG!U1979=0,"",ORIG!U1979)</f>
        <v/>
      </c>
      <c r="V1979" s="9">
        <f>IF(ORIG!V1979=0,"",ORIG!V1979)</f>
        <v/>
      </c>
      <c r="W1979" s="9">
        <f>IF(ORIG!W1979=0,"",ORIG!W1979)</f>
        <v/>
      </c>
      <c r="X1979" s="9">
        <f>IF(ORIG!X1979=0,"",ORIG!X1979)</f>
        <v/>
      </c>
      <c r="Y1979" s="9">
        <f>IF(ORIG!Y1979=0,"",ORIG!Y1979)</f>
        <v/>
      </c>
      <c r="Z1979" s="3">
        <f>SUMPRODUCT($B1979:$Y1979,$B$2649:$Y$2649)</f>
        <v/>
      </c>
      <c r="AA1979" s="3">
        <f>SUMPRODUCT($B1979:$Y1979,$B$2655:$Y$2655)</f>
        <v/>
      </c>
      <c r="AC1979" s="1">
        <f>A1979</f>
        <v/>
      </c>
      <c r="AD1979">
        <f>IF(ISNUMBER(V1979),V1979*($AB$1/V$2635),"")</f>
        <v/>
      </c>
      <c r="AE1979">
        <f>IF(ISNUMBER(Z1979),Z1979*($AB$1/Z$2635),"")</f>
        <v/>
      </c>
      <c r="AF1979" s="25">
        <f>IF(ISNUMBER(AD1979+AE1979),AD1979+AE1979,"")</f>
        <v/>
      </c>
      <c r="AH1979" s="1">
        <f>A1979</f>
        <v/>
      </c>
      <c r="AI1979">
        <f>IF(ISNUMBER((1+V1979)*AI1978),(1+V1979)*AI1978,AI1978)</f>
        <v/>
      </c>
      <c r="AJ1979">
        <f>IF(ISNUMBER((1+Z1979)*AJ1978),(1+Z1979)*AJ1978,AJ1978)</f>
        <v/>
      </c>
    </row>
    <row r="1980">
      <c r="A1980" s="1" t="n">
        <v>44873</v>
      </c>
      <c r="B1980" s="3">
        <f>IF(ORIG!B1980=0,"",ORIG!B1980)</f>
        <v/>
      </c>
      <c r="C1980" s="3">
        <f>IF(ORIG!C1980=0,"",ORIG!C1980)</f>
        <v/>
      </c>
      <c r="D1980" s="3">
        <f>IF(ORIG!D1980=0,"",ORIG!D1980)</f>
        <v/>
      </c>
      <c r="E1980" s="3">
        <f>IF(ORIG!E1980=0,"",ORIG!E1980)</f>
        <v/>
      </c>
      <c r="F1980" s="3">
        <f>IF(ORIG!F1980=0,"",ORIG!F1980)</f>
        <v/>
      </c>
      <c r="G1980" s="3">
        <f>IF(ORIG!G1980=0,"",ORIG!G1980)</f>
        <v/>
      </c>
      <c r="H1980" s="3">
        <f>IF(ORIG!H1980=0,"",ORIG!H1980)</f>
        <v/>
      </c>
      <c r="I1980" s="3">
        <f>IF(ORIG!I1980=0,"",ORIG!I1980)</f>
        <v/>
      </c>
      <c r="J1980" s="3">
        <f>IF(ORIG!J1980=0,"",ORIG!J1980)</f>
        <v/>
      </c>
      <c r="K1980" s="3">
        <f>IF(ORIG!K1980=0,"",ORIG!K1980)</f>
        <v/>
      </c>
      <c r="L1980" s="3">
        <f>IF(ORIG!L1980=0,"",ORIG!L1980)</f>
        <v/>
      </c>
      <c r="M1980" s="3">
        <f>IF(ORIG!M1980=0,"",ORIG!M1980)</f>
        <v/>
      </c>
      <c r="N1980" s="3">
        <f>IF(ORIG!N1980=0,"",ORIG!N1980)</f>
        <v/>
      </c>
      <c r="O1980" s="3">
        <f>IF(ORIG!O1980=0,"",ORIG!O1980)</f>
        <v/>
      </c>
      <c r="P1980" s="3">
        <f>IF(ORIG!P1980=0,"",ORIG!P1980)</f>
        <v/>
      </c>
      <c r="Q1980" s="3">
        <f>IF(ORIG!Q1980=0,"",ORIG!Q1980)</f>
        <v/>
      </c>
      <c r="R1980" s="3">
        <f>IF(ORIG!R1980=0,"",ORIG!R1980)</f>
        <v/>
      </c>
      <c r="S1980" s="3">
        <f>IF(ORIG!S1980=0,"",ORIG!S1980)</f>
        <v/>
      </c>
      <c r="T1980" s="3">
        <f>IF(ORIG!T1980=0,"",ORIG!T1980)</f>
        <v/>
      </c>
      <c r="U1980" s="3">
        <f>IF(ORIG!U1980=0,"",ORIG!U1980)</f>
        <v/>
      </c>
      <c r="V1980" s="9">
        <f>IF(ORIG!V1980=0,"",ORIG!V1980)</f>
        <v/>
      </c>
      <c r="W1980" s="9">
        <f>IF(ORIG!W1980=0,"",ORIG!W1980)</f>
        <v/>
      </c>
      <c r="X1980" s="9">
        <f>IF(ORIG!X1980=0,"",ORIG!X1980)</f>
        <v/>
      </c>
      <c r="Y1980" s="9">
        <f>IF(ORIG!Y1980=0,"",ORIG!Y1980)</f>
        <v/>
      </c>
      <c r="Z1980" s="3">
        <f>SUMPRODUCT($B1980:$Y1980,$B$2649:$Y$2649)</f>
        <v/>
      </c>
      <c r="AA1980" s="3">
        <f>SUMPRODUCT($B1980:$Y1980,$B$2655:$Y$2655)</f>
        <v/>
      </c>
      <c r="AC1980" s="1">
        <f>A1980</f>
        <v/>
      </c>
      <c r="AD1980">
        <f>IF(ISNUMBER(V1980),V1980*($AB$1/V$2635),"")</f>
        <v/>
      </c>
      <c r="AE1980">
        <f>IF(ISNUMBER(Z1980),Z1980*($AB$1/Z$2635),"")</f>
        <v/>
      </c>
      <c r="AF1980" s="25">
        <f>IF(ISNUMBER(AD1980+AE1980),AD1980+AE1980,"")</f>
        <v/>
      </c>
      <c r="AH1980" s="1">
        <f>A1980</f>
        <v/>
      </c>
      <c r="AI1980">
        <f>IF(ISNUMBER((1+V1980)*AI1979),(1+V1980)*AI1979,AI1979)</f>
        <v/>
      </c>
      <c r="AJ1980">
        <f>IF(ISNUMBER((1+Z1980)*AJ1979),(1+Z1980)*AJ1979,AJ1979)</f>
        <v/>
      </c>
    </row>
    <row r="1981">
      <c r="A1981" s="1" t="n">
        <v>44874</v>
      </c>
      <c r="B1981" s="3">
        <f>IF(ORIG!B1981=0,"",ORIG!B1981)</f>
        <v/>
      </c>
      <c r="C1981" s="3">
        <f>IF(ORIG!C1981=0,"",ORIG!C1981)</f>
        <v/>
      </c>
      <c r="D1981" s="3">
        <f>IF(ORIG!D1981=0,"",ORIG!D1981)</f>
        <v/>
      </c>
      <c r="E1981" s="3">
        <f>IF(ORIG!E1981=0,"",ORIG!E1981)</f>
        <v/>
      </c>
      <c r="F1981" s="3">
        <f>IF(ORIG!F1981=0,"",ORIG!F1981)</f>
        <v/>
      </c>
      <c r="G1981" s="3">
        <f>IF(ORIG!G1981=0,"",ORIG!G1981)</f>
        <v/>
      </c>
      <c r="H1981" s="3">
        <f>IF(ORIG!H1981=0,"",ORIG!H1981)</f>
        <v/>
      </c>
      <c r="I1981" s="3">
        <f>IF(ORIG!I1981=0,"",ORIG!I1981)</f>
        <v/>
      </c>
      <c r="J1981" s="3">
        <f>IF(ORIG!J1981=0,"",ORIG!J1981)</f>
        <v/>
      </c>
      <c r="K1981" s="3">
        <f>IF(ORIG!K1981=0,"",ORIG!K1981)</f>
        <v/>
      </c>
      <c r="L1981" s="3">
        <f>IF(ORIG!L1981=0,"",ORIG!L1981)</f>
        <v/>
      </c>
      <c r="M1981" s="3">
        <f>IF(ORIG!M1981=0,"",ORIG!M1981)</f>
        <v/>
      </c>
      <c r="N1981" s="3">
        <f>IF(ORIG!N1981=0,"",ORIG!N1981)</f>
        <v/>
      </c>
      <c r="O1981" s="3">
        <f>IF(ORIG!O1981=0,"",ORIG!O1981)</f>
        <v/>
      </c>
      <c r="P1981" s="3">
        <f>IF(ORIG!P1981=0,"",ORIG!P1981)</f>
        <v/>
      </c>
      <c r="Q1981" s="3">
        <f>IF(ORIG!Q1981=0,"",ORIG!Q1981)</f>
        <v/>
      </c>
      <c r="R1981" s="3">
        <f>IF(ORIG!R1981=0,"",ORIG!R1981)</f>
        <v/>
      </c>
      <c r="S1981" s="3">
        <f>IF(ORIG!S1981=0,"",ORIG!S1981)</f>
        <v/>
      </c>
      <c r="T1981" s="3">
        <f>IF(ORIG!T1981=0,"",ORIG!T1981)</f>
        <v/>
      </c>
      <c r="U1981" s="3">
        <f>IF(ORIG!U1981=0,"",ORIG!U1981)</f>
        <v/>
      </c>
      <c r="V1981" s="9">
        <f>IF(ORIG!V1981=0,"",ORIG!V1981)</f>
        <v/>
      </c>
      <c r="W1981" s="9">
        <f>IF(ORIG!W1981=0,"",ORIG!W1981)</f>
        <v/>
      </c>
      <c r="X1981" s="9">
        <f>IF(ORIG!X1981=0,"",ORIG!X1981)</f>
        <v/>
      </c>
      <c r="Y1981" s="9">
        <f>IF(ORIG!Y1981=0,"",ORIG!Y1981)</f>
        <v/>
      </c>
      <c r="Z1981" s="3">
        <f>SUMPRODUCT($B1981:$Y1981,$B$2649:$Y$2649)</f>
        <v/>
      </c>
      <c r="AA1981" s="3">
        <f>SUMPRODUCT($B1981:$Y1981,$B$2655:$Y$2655)</f>
        <v/>
      </c>
      <c r="AC1981" s="1">
        <f>A1981</f>
        <v/>
      </c>
      <c r="AD1981">
        <f>IF(ISNUMBER(V1981),V1981*($AB$1/V$2635),"")</f>
        <v/>
      </c>
      <c r="AE1981">
        <f>IF(ISNUMBER(Z1981),Z1981*($AB$1/Z$2635),"")</f>
        <v/>
      </c>
      <c r="AF1981" s="25">
        <f>IF(ISNUMBER(AD1981+AE1981),AD1981+AE1981,"")</f>
        <v/>
      </c>
      <c r="AH1981" s="1">
        <f>A1981</f>
        <v/>
      </c>
      <c r="AI1981">
        <f>IF(ISNUMBER((1+V1981)*AI1980),(1+V1981)*AI1980,AI1980)</f>
        <v/>
      </c>
      <c r="AJ1981">
        <f>IF(ISNUMBER((1+Z1981)*AJ1980),(1+Z1981)*AJ1980,AJ1980)</f>
        <v/>
      </c>
    </row>
    <row r="1982">
      <c r="A1982" s="1" t="n">
        <v>44875</v>
      </c>
      <c r="B1982" s="3">
        <f>IF(ORIG!B1982=0,"",ORIG!B1982)</f>
        <v/>
      </c>
      <c r="C1982" s="3">
        <f>IF(ORIG!C1982=0,"",ORIG!C1982)</f>
        <v/>
      </c>
      <c r="D1982" s="3">
        <f>IF(ORIG!D1982=0,"",ORIG!D1982)</f>
        <v/>
      </c>
      <c r="E1982" s="3">
        <f>IF(ORIG!E1982=0,"",ORIG!E1982)</f>
        <v/>
      </c>
      <c r="F1982" s="3">
        <f>IF(ORIG!F1982=0,"",ORIG!F1982)</f>
        <v/>
      </c>
      <c r="G1982" s="3">
        <f>IF(ORIG!G1982=0,"",ORIG!G1982)</f>
        <v/>
      </c>
      <c r="H1982" s="3">
        <f>IF(ORIG!H1982=0,"",ORIG!H1982)</f>
        <v/>
      </c>
      <c r="I1982" s="3">
        <f>IF(ORIG!I1982=0,"",ORIG!I1982)</f>
        <v/>
      </c>
      <c r="J1982" s="3">
        <f>IF(ORIG!J1982=0,"",ORIG!J1982)</f>
        <v/>
      </c>
      <c r="K1982" s="3">
        <f>IF(ORIG!K1982=0,"",ORIG!K1982)</f>
        <v/>
      </c>
      <c r="L1982" s="3">
        <f>IF(ORIG!L1982=0,"",ORIG!L1982)</f>
        <v/>
      </c>
      <c r="M1982" s="3">
        <f>IF(ORIG!M1982=0,"",ORIG!M1982)</f>
        <v/>
      </c>
      <c r="N1982" s="3">
        <f>IF(ORIG!N1982=0,"",ORIG!N1982)</f>
        <v/>
      </c>
      <c r="O1982" s="3">
        <f>IF(ORIG!O1982=0,"",ORIG!O1982)</f>
        <v/>
      </c>
      <c r="P1982" s="3">
        <f>IF(ORIG!P1982=0,"",ORIG!P1982)</f>
        <v/>
      </c>
      <c r="Q1982" s="3">
        <f>IF(ORIG!Q1982=0,"",ORIG!Q1982)</f>
        <v/>
      </c>
      <c r="R1982" s="3">
        <f>IF(ORIG!R1982=0,"",ORIG!R1982)</f>
        <v/>
      </c>
      <c r="S1982" s="3">
        <f>IF(ORIG!S1982=0,"",ORIG!S1982)</f>
        <v/>
      </c>
      <c r="T1982" s="3">
        <f>IF(ORIG!T1982=0,"",ORIG!T1982)</f>
        <v/>
      </c>
      <c r="U1982" s="3">
        <f>IF(ORIG!U1982=0,"",ORIG!U1982)</f>
        <v/>
      </c>
      <c r="V1982" s="9">
        <f>IF(ORIG!V1982=0,"",ORIG!V1982)</f>
        <v/>
      </c>
      <c r="W1982" s="9">
        <f>IF(ORIG!W1982=0,"",ORIG!W1982)</f>
        <v/>
      </c>
      <c r="X1982" s="9">
        <f>IF(ORIG!X1982=0,"",ORIG!X1982)</f>
        <v/>
      </c>
      <c r="Y1982" s="9">
        <f>IF(ORIG!Y1982=0,"",ORIG!Y1982)</f>
        <v/>
      </c>
      <c r="Z1982" s="3">
        <f>SUMPRODUCT($B1982:$Y1982,$B$2649:$Y$2649)</f>
        <v/>
      </c>
      <c r="AA1982" s="3">
        <f>SUMPRODUCT($B1982:$Y1982,$B$2655:$Y$2655)</f>
        <v/>
      </c>
      <c r="AC1982" s="1">
        <f>A1982</f>
        <v/>
      </c>
      <c r="AD1982">
        <f>IF(ISNUMBER(V1982),V1982*($AB$1/V$2635),"")</f>
        <v/>
      </c>
      <c r="AE1982">
        <f>IF(ISNUMBER(Z1982),Z1982*($AB$1/Z$2635),"")</f>
        <v/>
      </c>
      <c r="AF1982" s="25">
        <f>IF(ISNUMBER(AD1982+AE1982),AD1982+AE1982,"")</f>
        <v/>
      </c>
      <c r="AH1982" s="1">
        <f>A1982</f>
        <v/>
      </c>
      <c r="AI1982">
        <f>IF(ISNUMBER((1+V1982)*AI1981),(1+V1982)*AI1981,AI1981)</f>
        <v/>
      </c>
      <c r="AJ1982">
        <f>IF(ISNUMBER((1+Z1982)*AJ1981),(1+Z1982)*AJ1981,AJ1981)</f>
        <v/>
      </c>
    </row>
    <row r="1983">
      <c r="A1983" s="1" t="n">
        <v>44876</v>
      </c>
      <c r="B1983" s="3">
        <f>IF(ORIG!B1983=0,"",ORIG!B1983)</f>
        <v/>
      </c>
      <c r="C1983" s="3">
        <f>IF(ORIG!C1983=0,"",ORIG!C1983)</f>
        <v/>
      </c>
      <c r="D1983" s="3">
        <f>IF(ORIG!D1983=0,"",ORIG!D1983)</f>
        <v/>
      </c>
      <c r="E1983" s="3">
        <f>IF(ORIG!E1983=0,"",ORIG!E1983)</f>
        <v/>
      </c>
      <c r="F1983" s="3">
        <f>IF(ORIG!F1983=0,"",ORIG!F1983)</f>
        <v/>
      </c>
      <c r="G1983" s="3">
        <f>IF(ORIG!G1983=0,"",ORIG!G1983)</f>
        <v/>
      </c>
      <c r="H1983" s="3">
        <f>IF(ORIG!H1983=0,"",ORIG!H1983)</f>
        <v/>
      </c>
      <c r="I1983" s="3">
        <f>IF(ORIG!I1983=0,"",ORIG!I1983)</f>
        <v/>
      </c>
      <c r="J1983" s="3">
        <f>IF(ORIG!J1983=0,"",ORIG!J1983)</f>
        <v/>
      </c>
      <c r="K1983" s="3">
        <f>IF(ORIG!K1983=0,"",ORIG!K1983)</f>
        <v/>
      </c>
      <c r="L1983" s="3">
        <f>IF(ORIG!L1983=0,"",ORIG!L1983)</f>
        <v/>
      </c>
      <c r="M1983" s="3">
        <f>IF(ORIG!M1983=0,"",ORIG!M1983)</f>
        <v/>
      </c>
      <c r="N1983" s="3">
        <f>IF(ORIG!N1983=0,"",ORIG!N1983)</f>
        <v/>
      </c>
      <c r="O1983" s="3">
        <f>IF(ORIG!O1983=0,"",ORIG!O1983)</f>
        <v/>
      </c>
      <c r="P1983" s="3">
        <f>IF(ORIG!P1983=0,"",ORIG!P1983)</f>
        <v/>
      </c>
      <c r="Q1983" s="3">
        <f>IF(ORIG!Q1983=0,"",ORIG!Q1983)</f>
        <v/>
      </c>
      <c r="R1983" s="3">
        <f>IF(ORIG!R1983=0,"",ORIG!R1983)</f>
        <v/>
      </c>
      <c r="S1983" s="3">
        <f>IF(ORIG!S1983=0,"",ORIG!S1983)</f>
        <v/>
      </c>
      <c r="T1983" s="3">
        <f>IF(ORIG!T1983=0,"",ORIG!T1983)</f>
        <v/>
      </c>
      <c r="U1983" s="3">
        <f>IF(ORIG!U1983=0,"",ORIG!U1983)</f>
        <v/>
      </c>
      <c r="V1983" s="9">
        <f>IF(ORIG!V1983=0,"",ORIG!V1983)</f>
        <v/>
      </c>
      <c r="W1983" s="9">
        <f>IF(ORIG!W1983=0,"",ORIG!W1983)</f>
        <v/>
      </c>
      <c r="X1983" s="9">
        <f>IF(ORIG!X1983=0,"",ORIG!X1983)</f>
        <v/>
      </c>
      <c r="Y1983" s="9">
        <f>IF(ORIG!Y1983=0,"",ORIG!Y1983)</f>
        <v/>
      </c>
      <c r="Z1983" s="3">
        <f>SUMPRODUCT($B1983:$Y1983,$B$2649:$Y$2649)</f>
        <v/>
      </c>
      <c r="AA1983" s="3">
        <f>SUMPRODUCT($B1983:$Y1983,$B$2655:$Y$2655)</f>
        <v/>
      </c>
      <c r="AC1983" s="1">
        <f>A1983</f>
        <v/>
      </c>
      <c r="AD1983">
        <f>IF(ISNUMBER(V1983),V1983*($AB$1/V$2635),"")</f>
        <v/>
      </c>
      <c r="AE1983">
        <f>IF(ISNUMBER(Z1983),Z1983*($AB$1/Z$2635),"")</f>
        <v/>
      </c>
      <c r="AF1983" s="25">
        <f>IF(ISNUMBER(AD1983+AE1983),AD1983+AE1983,"")</f>
        <v/>
      </c>
      <c r="AH1983" s="1">
        <f>A1983</f>
        <v/>
      </c>
      <c r="AI1983">
        <f>IF(ISNUMBER((1+V1983)*AI1982),(1+V1983)*AI1982,AI1982)</f>
        <v/>
      </c>
      <c r="AJ1983">
        <f>IF(ISNUMBER((1+Z1983)*AJ1982),(1+Z1983)*AJ1982,AJ1982)</f>
        <v/>
      </c>
    </row>
    <row r="1984">
      <c r="A1984" s="1" t="n">
        <v>44879</v>
      </c>
      <c r="B1984" s="3">
        <f>IF(ORIG!B1984=0,"",ORIG!B1984)</f>
        <v/>
      </c>
      <c r="C1984" s="3">
        <f>IF(ORIG!C1984=0,"",ORIG!C1984)</f>
        <v/>
      </c>
      <c r="D1984" s="3">
        <f>IF(ORIG!D1984=0,"",ORIG!D1984)</f>
        <v/>
      </c>
      <c r="E1984" s="3">
        <f>IF(ORIG!E1984=0,"",ORIG!E1984)</f>
        <v/>
      </c>
      <c r="F1984" s="3">
        <f>IF(ORIG!F1984=0,"",ORIG!F1984)</f>
        <v/>
      </c>
      <c r="G1984" s="3">
        <f>IF(ORIG!G1984=0,"",ORIG!G1984)</f>
        <v/>
      </c>
      <c r="H1984" s="3">
        <f>IF(ORIG!H1984=0,"",ORIG!H1984)</f>
        <v/>
      </c>
      <c r="I1984" s="3">
        <f>IF(ORIG!I1984=0,"",ORIG!I1984)</f>
        <v/>
      </c>
      <c r="J1984" s="3">
        <f>IF(ORIG!J1984=0,"",ORIG!J1984)</f>
        <v/>
      </c>
      <c r="K1984" s="3">
        <f>IF(ORIG!K1984=0,"",ORIG!K1984)</f>
        <v/>
      </c>
      <c r="L1984" s="3">
        <f>IF(ORIG!L1984=0,"",ORIG!L1984)</f>
        <v/>
      </c>
      <c r="M1984" s="3">
        <f>IF(ORIG!M1984=0,"",ORIG!M1984)</f>
        <v/>
      </c>
      <c r="N1984" s="3">
        <f>IF(ORIG!N1984=0,"",ORIG!N1984)</f>
        <v/>
      </c>
      <c r="O1984" s="3">
        <f>IF(ORIG!O1984=0,"",ORIG!O1984)</f>
        <v/>
      </c>
      <c r="P1984" s="3">
        <f>IF(ORIG!P1984=0,"",ORIG!P1984)</f>
        <v/>
      </c>
      <c r="Q1984" s="3">
        <f>IF(ORIG!Q1984=0,"",ORIG!Q1984)</f>
        <v/>
      </c>
      <c r="R1984" s="3">
        <f>IF(ORIG!R1984=0,"",ORIG!R1984)</f>
        <v/>
      </c>
      <c r="S1984" s="3">
        <f>IF(ORIG!S1984=0,"",ORIG!S1984)</f>
        <v/>
      </c>
      <c r="T1984" s="3">
        <f>IF(ORIG!T1984=0,"",ORIG!T1984)</f>
        <v/>
      </c>
      <c r="U1984" s="3">
        <f>IF(ORIG!U1984=0,"",ORIG!U1984)</f>
        <v/>
      </c>
      <c r="V1984" s="9">
        <f>IF(ORIG!V1984=0,"",ORIG!V1984)</f>
        <v/>
      </c>
      <c r="W1984" s="9">
        <f>IF(ORIG!W1984=0,"",ORIG!W1984)</f>
        <v/>
      </c>
      <c r="X1984" s="9">
        <f>IF(ORIG!X1984=0,"",ORIG!X1984)</f>
        <v/>
      </c>
      <c r="Y1984" s="9">
        <f>IF(ORIG!Y1984=0,"",ORIG!Y1984)</f>
        <v/>
      </c>
      <c r="Z1984" s="3">
        <f>SUMPRODUCT($B1984:$Y1984,$B$2649:$Y$2649)</f>
        <v/>
      </c>
      <c r="AA1984" s="3">
        <f>SUMPRODUCT($B1984:$Y1984,$B$2655:$Y$2655)</f>
        <v/>
      </c>
      <c r="AC1984" s="1">
        <f>A1984</f>
        <v/>
      </c>
      <c r="AD1984">
        <f>IF(ISNUMBER(V1984),V1984*($AB$1/V$2635),"")</f>
        <v/>
      </c>
      <c r="AE1984">
        <f>IF(ISNUMBER(Z1984),Z1984*($AB$1/Z$2635),"")</f>
        <v/>
      </c>
      <c r="AF1984" s="25">
        <f>IF(ISNUMBER(AD1984+AE1984),AD1984+AE1984,"")</f>
        <v/>
      </c>
      <c r="AH1984" s="1">
        <f>A1984</f>
        <v/>
      </c>
      <c r="AI1984">
        <f>IF(ISNUMBER((1+V1984)*AI1983),(1+V1984)*AI1983,AI1983)</f>
        <v/>
      </c>
      <c r="AJ1984">
        <f>IF(ISNUMBER((1+Z1984)*AJ1983),(1+Z1984)*AJ1983,AJ1983)</f>
        <v/>
      </c>
    </row>
    <row r="1985">
      <c r="A1985" s="1" t="n">
        <v>44880</v>
      </c>
      <c r="B1985" s="3">
        <f>IF(ORIG!B1985=0,"",ORIG!B1985)</f>
        <v/>
      </c>
      <c r="C1985" s="3">
        <f>IF(ORIG!C1985=0,"",ORIG!C1985)</f>
        <v/>
      </c>
      <c r="D1985" s="3">
        <f>IF(ORIG!D1985=0,"",ORIG!D1985)</f>
        <v/>
      </c>
      <c r="E1985" s="3">
        <f>IF(ORIG!E1985=0,"",ORIG!E1985)</f>
        <v/>
      </c>
      <c r="F1985" s="3">
        <f>IF(ORIG!F1985=0,"",ORIG!F1985)</f>
        <v/>
      </c>
      <c r="G1985" s="3">
        <f>IF(ORIG!G1985=0,"",ORIG!G1985)</f>
        <v/>
      </c>
      <c r="H1985" s="3">
        <f>IF(ORIG!H1985=0,"",ORIG!H1985)</f>
        <v/>
      </c>
      <c r="I1985" s="3">
        <f>IF(ORIG!I1985=0,"",ORIG!I1985)</f>
        <v/>
      </c>
      <c r="J1985" s="3">
        <f>IF(ORIG!J1985=0,"",ORIG!J1985)</f>
        <v/>
      </c>
      <c r="K1985" s="3">
        <f>IF(ORIG!K1985=0,"",ORIG!K1985)</f>
        <v/>
      </c>
      <c r="L1985" s="3">
        <f>IF(ORIG!L1985=0,"",ORIG!L1985)</f>
        <v/>
      </c>
      <c r="M1985" s="3">
        <f>IF(ORIG!M1985=0,"",ORIG!M1985)</f>
        <v/>
      </c>
      <c r="N1985" s="3">
        <f>IF(ORIG!N1985=0,"",ORIG!N1985)</f>
        <v/>
      </c>
      <c r="O1985" s="3">
        <f>IF(ORIG!O1985=0,"",ORIG!O1985)</f>
        <v/>
      </c>
      <c r="P1985" s="3">
        <f>IF(ORIG!P1985=0,"",ORIG!P1985)</f>
        <v/>
      </c>
      <c r="Q1985" s="3">
        <f>IF(ORIG!Q1985=0,"",ORIG!Q1985)</f>
        <v/>
      </c>
      <c r="R1985" s="3">
        <f>IF(ORIG!R1985=0,"",ORIG!R1985)</f>
        <v/>
      </c>
      <c r="S1985" s="3">
        <f>IF(ORIG!S1985=0,"",ORIG!S1985)</f>
        <v/>
      </c>
      <c r="T1985" s="3">
        <f>IF(ORIG!T1985=0,"",ORIG!T1985)</f>
        <v/>
      </c>
      <c r="U1985" s="3">
        <f>IF(ORIG!U1985=0,"",ORIG!U1985)</f>
        <v/>
      </c>
      <c r="V1985" s="9">
        <f>IF(ORIG!V1985=0,"",ORIG!V1985)</f>
        <v/>
      </c>
      <c r="W1985" s="9">
        <f>IF(ORIG!W1985=0,"",ORIG!W1985)</f>
        <v/>
      </c>
      <c r="X1985" s="9">
        <f>IF(ORIG!X1985=0,"",ORIG!X1985)</f>
        <v/>
      </c>
      <c r="Y1985" s="9">
        <f>IF(ORIG!Y1985=0,"",ORIG!Y1985)</f>
        <v/>
      </c>
      <c r="Z1985" s="3">
        <f>SUMPRODUCT($B1985:$Y1985,$B$2649:$Y$2649)</f>
        <v/>
      </c>
      <c r="AA1985" s="3">
        <f>SUMPRODUCT($B1985:$Y1985,$B$2655:$Y$2655)</f>
        <v/>
      </c>
      <c r="AC1985" s="1">
        <f>A1985</f>
        <v/>
      </c>
      <c r="AD1985">
        <f>IF(ISNUMBER(V1985),V1985*($AB$1/V$2635),"")</f>
        <v/>
      </c>
      <c r="AE1985">
        <f>IF(ISNUMBER(Z1985),Z1985*($AB$1/Z$2635),"")</f>
        <v/>
      </c>
      <c r="AF1985" s="25">
        <f>IF(ISNUMBER(AD1985+AE1985),AD1985+AE1985,"")</f>
        <v/>
      </c>
      <c r="AH1985" s="1">
        <f>A1985</f>
        <v/>
      </c>
      <c r="AI1985">
        <f>IF(ISNUMBER((1+V1985)*AI1984),(1+V1985)*AI1984,AI1984)</f>
        <v/>
      </c>
      <c r="AJ1985">
        <f>IF(ISNUMBER((1+Z1985)*AJ1984),(1+Z1985)*AJ1984,AJ1984)</f>
        <v/>
      </c>
    </row>
    <row r="1986">
      <c r="A1986" s="1" t="n">
        <v>44881</v>
      </c>
      <c r="B1986" s="3">
        <f>IF(ORIG!B1986=0,"",ORIG!B1986)</f>
        <v/>
      </c>
      <c r="C1986" s="3">
        <f>IF(ORIG!C1986=0,"",ORIG!C1986)</f>
        <v/>
      </c>
      <c r="D1986" s="3">
        <f>IF(ORIG!D1986=0,"",ORIG!D1986)</f>
        <v/>
      </c>
      <c r="E1986" s="3">
        <f>IF(ORIG!E1986=0,"",ORIG!E1986)</f>
        <v/>
      </c>
      <c r="F1986" s="3">
        <f>IF(ORIG!F1986=0,"",ORIG!F1986)</f>
        <v/>
      </c>
      <c r="G1986" s="3">
        <f>IF(ORIG!G1986=0,"",ORIG!G1986)</f>
        <v/>
      </c>
      <c r="H1986" s="3">
        <f>IF(ORIG!H1986=0,"",ORIG!H1986)</f>
        <v/>
      </c>
      <c r="I1986" s="3">
        <f>IF(ORIG!I1986=0,"",ORIG!I1986)</f>
        <v/>
      </c>
      <c r="J1986" s="3">
        <f>IF(ORIG!J1986=0,"",ORIG!J1986)</f>
        <v/>
      </c>
      <c r="K1986" s="3">
        <f>IF(ORIG!K1986=0,"",ORIG!K1986)</f>
        <v/>
      </c>
      <c r="L1986" s="3">
        <f>IF(ORIG!L1986=0,"",ORIG!L1986)</f>
        <v/>
      </c>
      <c r="M1986" s="3">
        <f>IF(ORIG!M1986=0,"",ORIG!M1986)</f>
        <v/>
      </c>
      <c r="N1986" s="3">
        <f>IF(ORIG!N1986=0,"",ORIG!N1986)</f>
        <v/>
      </c>
      <c r="O1986" s="3">
        <f>IF(ORIG!O1986=0,"",ORIG!O1986)</f>
        <v/>
      </c>
      <c r="P1986" s="3">
        <f>IF(ORIG!P1986=0,"",ORIG!P1986)</f>
        <v/>
      </c>
      <c r="Q1986" s="3">
        <f>IF(ORIG!Q1986=0,"",ORIG!Q1986)</f>
        <v/>
      </c>
      <c r="R1986" s="3">
        <f>IF(ORIG!R1986=0,"",ORIG!R1986)</f>
        <v/>
      </c>
      <c r="S1986" s="3">
        <f>IF(ORIG!S1986=0,"",ORIG!S1986)</f>
        <v/>
      </c>
      <c r="T1986" s="3">
        <f>IF(ORIG!T1986=0,"",ORIG!T1986)</f>
        <v/>
      </c>
      <c r="U1986" s="3">
        <f>IF(ORIG!U1986=0,"",ORIG!U1986)</f>
        <v/>
      </c>
      <c r="V1986" s="9">
        <f>IF(ORIG!V1986=0,"",ORIG!V1986)</f>
        <v/>
      </c>
      <c r="W1986" s="9">
        <f>IF(ORIG!W1986=0,"",ORIG!W1986)</f>
        <v/>
      </c>
      <c r="X1986" s="9">
        <f>IF(ORIG!X1986=0,"",ORIG!X1986)</f>
        <v/>
      </c>
      <c r="Y1986" s="9">
        <f>IF(ORIG!Y1986=0,"",ORIG!Y1986)</f>
        <v/>
      </c>
      <c r="Z1986" s="3">
        <f>SUMPRODUCT($B1986:$Y1986,$B$2649:$Y$2649)</f>
        <v/>
      </c>
      <c r="AA1986" s="3">
        <f>SUMPRODUCT($B1986:$Y1986,$B$2655:$Y$2655)</f>
        <v/>
      </c>
      <c r="AC1986" s="1">
        <f>A1986</f>
        <v/>
      </c>
      <c r="AD1986">
        <f>IF(ISNUMBER(V1986),V1986*($AB$1/V$2635),"")</f>
        <v/>
      </c>
      <c r="AE1986">
        <f>IF(ISNUMBER(Z1986),Z1986*($AB$1/Z$2635),"")</f>
        <v/>
      </c>
      <c r="AF1986" s="25">
        <f>IF(ISNUMBER(AD1986+AE1986),AD1986+AE1986,"")</f>
        <v/>
      </c>
      <c r="AH1986" s="1">
        <f>A1986</f>
        <v/>
      </c>
      <c r="AI1986">
        <f>IF(ISNUMBER((1+V1986)*AI1985),(1+V1986)*AI1985,AI1985)</f>
        <v/>
      </c>
      <c r="AJ1986">
        <f>IF(ISNUMBER((1+Z1986)*AJ1985),(1+Z1986)*AJ1985,AJ1985)</f>
        <v/>
      </c>
    </row>
    <row r="1987">
      <c r="A1987" s="1" t="n">
        <v>44882</v>
      </c>
      <c r="B1987" s="3">
        <f>IF(ORIG!B1987=0,"",ORIG!B1987)</f>
        <v/>
      </c>
      <c r="C1987" s="3">
        <f>IF(ORIG!C1987=0,"",ORIG!C1987)</f>
        <v/>
      </c>
      <c r="D1987" s="3">
        <f>IF(ORIG!D1987=0,"",ORIG!D1987)</f>
        <v/>
      </c>
      <c r="E1987" s="3">
        <f>IF(ORIG!E1987=0,"",ORIG!E1987)</f>
        <v/>
      </c>
      <c r="F1987" s="3">
        <f>IF(ORIG!F1987=0,"",ORIG!F1987)</f>
        <v/>
      </c>
      <c r="G1987" s="3">
        <f>IF(ORIG!G1987=0,"",ORIG!G1987)</f>
        <v/>
      </c>
      <c r="H1987" s="3">
        <f>IF(ORIG!H1987=0,"",ORIG!H1987)</f>
        <v/>
      </c>
      <c r="I1987" s="3">
        <f>IF(ORIG!I1987=0,"",ORIG!I1987)</f>
        <v/>
      </c>
      <c r="J1987" s="3">
        <f>IF(ORIG!J1987=0,"",ORIG!J1987)</f>
        <v/>
      </c>
      <c r="K1987" s="3">
        <f>IF(ORIG!K1987=0,"",ORIG!K1987)</f>
        <v/>
      </c>
      <c r="L1987" s="3">
        <f>IF(ORIG!L1987=0,"",ORIG!L1987)</f>
        <v/>
      </c>
      <c r="M1987" s="3">
        <f>IF(ORIG!M1987=0,"",ORIG!M1987)</f>
        <v/>
      </c>
      <c r="N1987" s="3">
        <f>IF(ORIG!N1987=0,"",ORIG!N1987)</f>
        <v/>
      </c>
      <c r="O1987" s="3">
        <f>IF(ORIG!O1987=0,"",ORIG!O1987)</f>
        <v/>
      </c>
      <c r="P1987" s="3">
        <f>IF(ORIG!P1987=0,"",ORIG!P1987)</f>
        <v/>
      </c>
      <c r="Q1987" s="3">
        <f>IF(ORIG!Q1987=0,"",ORIG!Q1987)</f>
        <v/>
      </c>
      <c r="R1987" s="3">
        <f>IF(ORIG!R1987=0,"",ORIG!R1987)</f>
        <v/>
      </c>
      <c r="S1987" s="3">
        <f>IF(ORIG!S1987=0,"",ORIG!S1987)</f>
        <v/>
      </c>
      <c r="T1987" s="3">
        <f>IF(ORIG!T1987=0,"",ORIG!T1987)</f>
        <v/>
      </c>
      <c r="U1987" s="3">
        <f>IF(ORIG!U1987=0,"",ORIG!U1987)</f>
        <v/>
      </c>
      <c r="V1987" s="9">
        <f>IF(ORIG!V1987=0,"",ORIG!V1987)</f>
        <v/>
      </c>
      <c r="W1987" s="9">
        <f>IF(ORIG!W1987=0,"",ORIG!W1987)</f>
        <v/>
      </c>
      <c r="X1987" s="9">
        <f>IF(ORIG!X1987=0,"",ORIG!X1987)</f>
        <v/>
      </c>
      <c r="Y1987" s="9">
        <f>IF(ORIG!Y1987=0,"",ORIG!Y1987)</f>
        <v/>
      </c>
      <c r="Z1987" s="3">
        <f>SUMPRODUCT($B1987:$Y1987,$B$2649:$Y$2649)</f>
        <v/>
      </c>
      <c r="AA1987" s="3">
        <f>SUMPRODUCT($B1987:$Y1987,$B$2655:$Y$2655)</f>
        <v/>
      </c>
      <c r="AC1987" s="1">
        <f>A1987</f>
        <v/>
      </c>
      <c r="AD1987">
        <f>IF(ISNUMBER(V1987),V1987*($AB$1/V$2635),"")</f>
        <v/>
      </c>
      <c r="AE1987">
        <f>IF(ISNUMBER(Z1987),Z1987*($AB$1/Z$2635),"")</f>
        <v/>
      </c>
      <c r="AF1987" s="25">
        <f>IF(ISNUMBER(AD1987+AE1987),AD1987+AE1987,"")</f>
        <v/>
      </c>
      <c r="AH1987" s="1">
        <f>A1987</f>
        <v/>
      </c>
      <c r="AI1987">
        <f>IF(ISNUMBER((1+V1987)*AI1986),(1+V1987)*AI1986,AI1986)</f>
        <v/>
      </c>
      <c r="AJ1987">
        <f>IF(ISNUMBER((1+Z1987)*AJ1986),(1+Z1987)*AJ1986,AJ1986)</f>
        <v/>
      </c>
    </row>
    <row r="1988">
      <c r="A1988" s="1" t="n">
        <v>44883</v>
      </c>
      <c r="B1988" s="3">
        <f>IF(ORIG!B1988=0,"",ORIG!B1988)</f>
        <v/>
      </c>
      <c r="C1988" s="3">
        <f>IF(ORIG!C1988=0,"",ORIG!C1988)</f>
        <v/>
      </c>
      <c r="D1988" s="3">
        <f>IF(ORIG!D1988=0,"",ORIG!D1988)</f>
        <v/>
      </c>
      <c r="E1988" s="3">
        <f>IF(ORIG!E1988=0,"",ORIG!E1988)</f>
        <v/>
      </c>
      <c r="F1988" s="3">
        <f>IF(ORIG!F1988=0,"",ORIG!F1988)</f>
        <v/>
      </c>
      <c r="G1988" s="3">
        <f>IF(ORIG!G1988=0,"",ORIG!G1988)</f>
        <v/>
      </c>
      <c r="H1988" s="3">
        <f>IF(ORIG!H1988=0,"",ORIG!H1988)</f>
        <v/>
      </c>
      <c r="I1988" s="3">
        <f>IF(ORIG!I1988=0,"",ORIG!I1988)</f>
        <v/>
      </c>
      <c r="J1988" s="3">
        <f>IF(ORIG!J1988=0,"",ORIG!J1988)</f>
        <v/>
      </c>
      <c r="K1988" s="3">
        <f>IF(ORIG!K1988=0,"",ORIG!K1988)</f>
        <v/>
      </c>
      <c r="L1988" s="3">
        <f>IF(ORIG!L1988=0,"",ORIG!L1988)</f>
        <v/>
      </c>
      <c r="M1988" s="3">
        <f>IF(ORIG!M1988=0,"",ORIG!M1988)</f>
        <v/>
      </c>
      <c r="N1988" s="3">
        <f>IF(ORIG!N1988=0,"",ORIG!N1988)</f>
        <v/>
      </c>
      <c r="O1988" s="3">
        <f>IF(ORIG!O1988=0,"",ORIG!O1988)</f>
        <v/>
      </c>
      <c r="P1988" s="3">
        <f>IF(ORIG!P1988=0,"",ORIG!P1988)</f>
        <v/>
      </c>
      <c r="Q1988" s="3">
        <f>IF(ORIG!Q1988=0,"",ORIG!Q1988)</f>
        <v/>
      </c>
      <c r="R1988" s="3">
        <f>IF(ORIG!R1988=0,"",ORIG!R1988)</f>
        <v/>
      </c>
      <c r="S1988" s="3">
        <f>IF(ORIG!S1988=0,"",ORIG!S1988)</f>
        <v/>
      </c>
      <c r="T1988" s="3">
        <f>IF(ORIG!T1988=0,"",ORIG!T1988)</f>
        <v/>
      </c>
      <c r="U1988" s="3">
        <f>IF(ORIG!U1988=0,"",ORIG!U1988)</f>
        <v/>
      </c>
      <c r="V1988" s="9">
        <f>IF(ORIG!V1988=0,"",ORIG!V1988)</f>
        <v/>
      </c>
      <c r="W1988" s="9">
        <f>IF(ORIG!W1988=0,"",ORIG!W1988)</f>
        <v/>
      </c>
      <c r="X1988" s="9">
        <f>IF(ORIG!X1988=0,"",ORIG!X1988)</f>
        <v/>
      </c>
      <c r="Y1988" s="9">
        <f>IF(ORIG!Y1988=0,"",ORIG!Y1988)</f>
        <v/>
      </c>
      <c r="Z1988" s="3">
        <f>SUMPRODUCT($B1988:$Y1988,$B$2649:$Y$2649)</f>
        <v/>
      </c>
      <c r="AA1988" s="3">
        <f>SUMPRODUCT($B1988:$Y1988,$B$2655:$Y$2655)</f>
        <v/>
      </c>
      <c r="AC1988" s="1">
        <f>A1988</f>
        <v/>
      </c>
      <c r="AD1988">
        <f>IF(ISNUMBER(V1988),V1988*($AB$1/V$2635),"")</f>
        <v/>
      </c>
      <c r="AE1988">
        <f>IF(ISNUMBER(Z1988),Z1988*($AB$1/Z$2635),"")</f>
        <v/>
      </c>
      <c r="AF1988" s="25">
        <f>IF(ISNUMBER(AD1988+AE1988),AD1988+AE1988,"")</f>
        <v/>
      </c>
      <c r="AH1988" s="1">
        <f>A1988</f>
        <v/>
      </c>
      <c r="AI1988">
        <f>IF(ISNUMBER((1+V1988)*AI1987),(1+V1988)*AI1987,AI1987)</f>
        <v/>
      </c>
      <c r="AJ1988">
        <f>IF(ISNUMBER((1+Z1988)*AJ1987),(1+Z1988)*AJ1987,AJ1987)</f>
        <v/>
      </c>
    </row>
    <row r="1989">
      <c r="A1989" s="1" t="n">
        <v>44886</v>
      </c>
      <c r="B1989" s="3">
        <f>IF(ORIG!B1989=0,"",ORIG!B1989)</f>
        <v/>
      </c>
      <c r="C1989" s="3">
        <f>IF(ORIG!C1989=0,"",ORIG!C1989)</f>
        <v/>
      </c>
      <c r="D1989" s="3">
        <f>IF(ORIG!D1989=0,"",ORIG!D1989)</f>
        <v/>
      </c>
      <c r="E1989" s="3">
        <f>IF(ORIG!E1989=0,"",ORIG!E1989)</f>
        <v/>
      </c>
      <c r="F1989" s="3">
        <f>IF(ORIG!F1989=0,"",ORIG!F1989)</f>
        <v/>
      </c>
      <c r="G1989" s="3">
        <f>IF(ORIG!G1989=0,"",ORIG!G1989)</f>
        <v/>
      </c>
      <c r="H1989" s="3">
        <f>IF(ORIG!H1989=0,"",ORIG!H1989)</f>
        <v/>
      </c>
      <c r="I1989" s="3">
        <f>IF(ORIG!I1989=0,"",ORIG!I1989)</f>
        <v/>
      </c>
      <c r="J1989" s="3">
        <f>IF(ORIG!J1989=0,"",ORIG!J1989)</f>
        <v/>
      </c>
      <c r="K1989" s="3">
        <f>IF(ORIG!K1989=0,"",ORIG!K1989)</f>
        <v/>
      </c>
      <c r="L1989" s="3">
        <f>IF(ORIG!L1989=0,"",ORIG!L1989)</f>
        <v/>
      </c>
      <c r="M1989" s="3">
        <f>IF(ORIG!M1989=0,"",ORIG!M1989)</f>
        <v/>
      </c>
      <c r="N1989" s="3">
        <f>IF(ORIG!N1989=0,"",ORIG!N1989)</f>
        <v/>
      </c>
      <c r="O1989" s="3">
        <f>IF(ORIG!O1989=0,"",ORIG!O1989)</f>
        <v/>
      </c>
      <c r="P1989" s="3">
        <f>IF(ORIG!P1989=0,"",ORIG!P1989)</f>
        <v/>
      </c>
      <c r="Q1989" s="3">
        <f>IF(ORIG!Q1989=0,"",ORIG!Q1989)</f>
        <v/>
      </c>
      <c r="R1989" s="3">
        <f>IF(ORIG!R1989=0,"",ORIG!R1989)</f>
        <v/>
      </c>
      <c r="S1989" s="3">
        <f>IF(ORIG!S1989=0,"",ORIG!S1989)</f>
        <v/>
      </c>
      <c r="T1989" s="3">
        <f>IF(ORIG!T1989=0,"",ORIG!T1989)</f>
        <v/>
      </c>
      <c r="U1989" s="3">
        <f>IF(ORIG!U1989=0,"",ORIG!U1989)</f>
        <v/>
      </c>
      <c r="V1989" s="9">
        <f>IF(ORIG!V1989=0,"",ORIG!V1989)</f>
        <v/>
      </c>
      <c r="W1989" s="9">
        <f>IF(ORIG!W1989=0,"",ORIG!W1989)</f>
        <v/>
      </c>
      <c r="X1989" s="9">
        <f>IF(ORIG!X1989=0,"",ORIG!X1989)</f>
        <v/>
      </c>
      <c r="Y1989" s="9">
        <f>IF(ORIG!Y1989=0,"",ORIG!Y1989)</f>
        <v/>
      </c>
      <c r="Z1989" s="3">
        <f>SUMPRODUCT($B1989:$Y1989,$B$2649:$Y$2649)</f>
        <v/>
      </c>
      <c r="AA1989" s="3">
        <f>SUMPRODUCT($B1989:$Y1989,$B$2655:$Y$2655)</f>
        <v/>
      </c>
      <c r="AC1989" s="1">
        <f>A1989</f>
        <v/>
      </c>
      <c r="AD1989">
        <f>IF(ISNUMBER(V1989),V1989*($AB$1/V$2635),"")</f>
        <v/>
      </c>
      <c r="AE1989">
        <f>IF(ISNUMBER(Z1989),Z1989*($AB$1/Z$2635),"")</f>
        <v/>
      </c>
      <c r="AF1989" s="25">
        <f>IF(ISNUMBER(AD1989+AE1989),AD1989+AE1989,"")</f>
        <v/>
      </c>
      <c r="AH1989" s="1">
        <f>A1989</f>
        <v/>
      </c>
      <c r="AI1989">
        <f>IF(ISNUMBER((1+V1989)*AI1988),(1+V1989)*AI1988,AI1988)</f>
        <v/>
      </c>
      <c r="AJ1989">
        <f>IF(ISNUMBER((1+Z1989)*AJ1988),(1+Z1989)*AJ1988,AJ1988)</f>
        <v/>
      </c>
    </row>
    <row r="1990">
      <c r="A1990" s="1" t="n">
        <v>44887</v>
      </c>
      <c r="B1990" s="3">
        <f>IF(ORIG!B1990=0,"",ORIG!B1990)</f>
        <v/>
      </c>
      <c r="C1990" s="3">
        <f>IF(ORIG!C1990=0,"",ORIG!C1990)</f>
        <v/>
      </c>
      <c r="D1990" s="3">
        <f>IF(ORIG!D1990=0,"",ORIG!D1990)</f>
        <v/>
      </c>
      <c r="E1990" s="3">
        <f>IF(ORIG!E1990=0,"",ORIG!E1990)</f>
        <v/>
      </c>
      <c r="F1990" s="3">
        <f>IF(ORIG!F1990=0,"",ORIG!F1990)</f>
        <v/>
      </c>
      <c r="G1990" s="3">
        <f>IF(ORIG!G1990=0,"",ORIG!G1990)</f>
        <v/>
      </c>
      <c r="H1990" s="3">
        <f>IF(ORIG!H1990=0,"",ORIG!H1990)</f>
        <v/>
      </c>
      <c r="I1990" s="3">
        <f>IF(ORIG!I1990=0,"",ORIG!I1990)</f>
        <v/>
      </c>
      <c r="J1990" s="3">
        <f>IF(ORIG!J1990=0,"",ORIG!J1990)</f>
        <v/>
      </c>
      <c r="K1990" s="3">
        <f>IF(ORIG!K1990=0,"",ORIG!K1990)</f>
        <v/>
      </c>
      <c r="L1990" s="3">
        <f>IF(ORIG!L1990=0,"",ORIG!L1990)</f>
        <v/>
      </c>
      <c r="M1990" s="3">
        <f>IF(ORIG!M1990=0,"",ORIG!M1990)</f>
        <v/>
      </c>
      <c r="N1990" s="3">
        <f>IF(ORIG!N1990=0,"",ORIG!N1990)</f>
        <v/>
      </c>
      <c r="O1990" s="3">
        <f>IF(ORIG!O1990=0,"",ORIG!O1990)</f>
        <v/>
      </c>
      <c r="P1990" s="3">
        <f>IF(ORIG!P1990=0,"",ORIG!P1990)</f>
        <v/>
      </c>
      <c r="Q1990" s="3">
        <f>IF(ORIG!Q1990=0,"",ORIG!Q1990)</f>
        <v/>
      </c>
      <c r="R1990" s="3">
        <f>IF(ORIG!R1990=0,"",ORIG!R1990)</f>
        <v/>
      </c>
      <c r="S1990" s="3">
        <f>IF(ORIG!S1990=0,"",ORIG!S1990)</f>
        <v/>
      </c>
      <c r="T1990" s="3">
        <f>IF(ORIG!T1990=0,"",ORIG!T1990)</f>
        <v/>
      </c>
      <c r="U1990" s="3">
        <f>IF(ORIG!U1990=0,"",ORIG!U1990)</f>
        <v/>
      </c>
      <c r="V1990" s="9">
        <f>IF(ORIG!V1990=0,"",ORIG!V1990)</f>
        <v/>
      </c>
      <c r="W1990" s="9">
        <f>IF(ORIG!W1990=0,"",ORIG!W1990)</f>
        <v/>
      </c>
      <c r="X1990" s="9">
        <f>IF(ORIG!X1990=0,"",ORIG!X1990)</f>
        <v/>
      </c>
      <c r="Y1990" s="9">
        <f>IF(ORIG!Y1990=0,"",ORIG!Y1990)</f>
        <v/>
      </c>
      <c r="Z1990" s="3">
        <f>SUMPRODUCT($B1990:$Y1990,$B$2649:$Y$2649)</f>
        <v/>
      </c>
      <c r="AA1990" s="3">
        <f>SUMPRODUCT($B1990:$Y1990,$B$2655:$Y$2655)</f>
        <v/>
      </c>
      <c r="AC1990" s="1">
        <f>A1990</f>
        <v/>
      </c>
      <c r="AD1990">
        <f>IF(ISNUMBER(V1990),V1990*($AB$1/V$2635),"")</f>
        <v/>
      </c>
      <c r="AE1990">
        <f>IF(ISNUMBER(Z1990),Z1990*($AB$1/Z$2635),"")</f>
        <v/>
      </c>
      <c r="AF1990" s="25">
        <f>IF(ISNUMBER(AD1990+AE1990),AD1990+AE1990,"")</f>
        <v/>
      </c>
      <c r="AH1990" s="1">
        <f>A1990</f>
        <v/>
      </c>
      <c r="AI1990">
        <f>IF(ISNUMBER((1+V1990)*AI1989),(1+V1990)*AI1989,AI1989)</f>
        <v/>
      </c>
      <c r="AJ1990">
        <f>IF(ISNUMBER((1+Z1990)*AJ1989),(1+Z1990)*AJ1989,AJ1989)</f>
        <v/>
      </c>
    </row>
    <row r="1991">
      <c r="A1991" s="1" t="n">
        <v>44888</v>
      </c>
      <c r="B1991" s="3">
        <f>IF(ORIG!B1991=0,"",ORIG!B1991)</f>
        <v/>
      </c>
      <c r="C1991" s="3">
        <f>IF(ORIG!C1991=0,"",ORIG!C1991)</f>
        <v/>
      </c>
      <c r="D1991" s="3">
        <f>IF(ORIG!D1991=0,"",ORIG!D1991)</f>
        <v/>
      </c>
      <c r="E1991" s="3">
        <f>IF(ORIG!E1991=0,"",ORIG!E1991)</f>
        <v/>
      </c>
      <c r="F1991" s="3">
        <f>IF(ORIG!F1991=0,"",ORIG!F1991)</f>
        <v/>
      </c>
      <c r="G1991" s="3">
        <f>IF(ORIG!G1991=0,"",ORIG!G1991)</f>
        <v/>
      </c>
      <c r="H1991" s="3">
        <f>IF(ORIG!H1991=0,"",ORIG!H1991)</f>
        <v/>
      </c>
      <c r="I1991" s="3">
        <f>IF(ORIG!I1991=0,"",ORIG!I1991)</f>
        <v/>
      </c>
      <c r="J1991" s="3">
        <f>IF(ORIG!J1991=0,"",ORIG!J1991)</f>
        <v/>
      </c>
      <c r="K1991" s="3">
        <f>IF(ORIG!K1991=0,"",ORIG!K1991)</f>
        <v/>
      </c>
      <c r="L1991" s="3">
        <f>IF(ORIG!L1991=0,"",ORIG!L1991)</f>
        <v/>
      </c>
      <c r="M1991" s="3">
        <f>IF(ORIG!M1991=0,"",ORIG!M1991)</f>
        <v/>
      </c>
      <c r="N1991" s="3">
        <f>IF(ORIG!N1991=0,"",ORIG!N1991)</f>
        <v/>
      </c>
      <c r="O1991" s="3">
        <f>IF(ORIG!O1991=0,"",ORIG!O1991)</f>
        <v/>
      </c>
      <c r="P1991" s="3">
        <f>IF(ORIG!P1991=0,"",ORIG!P1991)</f>
        <v/>
      </c>
      <c r="Q1991" s="3">
        <f>IF(ORIG!Q1991=0,"",ORIG!Q1991)</f>
        <v/>
      </c>
      <c r="R1991" s="3">
        <f>IF(ORIG!R1991=0,"",ORIG!R1991)</f>
        <v/>
      </c>
      <c r="S1991" s="3">
        <f>IF(ORIG!S1991=0,"",ORIG!S1991)</f>
        <v/>
      </c>
      <c r="T1991" s="3">
        <f>IF(ORIG!T1991=0,"",ORIG!T1991)</f>
        <v/>
      </c>
      <c r="U1991" s="3">
        <f>IF(ORIG!U1991=0,"",ORIG!U1991)</f>
        <v/>
      </c>
      <c r="V1991" s="9">
        <f>IF(ORIG!V1991=0,"",ORIG!V1991)</f>
        <v/>
      </c>
      <c r="W1991" s="9">
        <f>IF(ORIG!W1991=0,"",ORIG!W1991)</f>
        <v/>
      </c>
      <c r="X1991" s="9">
        <f>IF(ORIG!X1991=0,"",ORIG!X1991)</f>
        <v/>
      </c>
      <c r="Y1991" s="9">
        <f>IF(ORIG!Y1991=0,"",ORIG!Y1991)</f>
        <v/>
      </c>
      <c r="Z1991" s="3">
        <f>SUMPRODUCT($B1991:$Y1991,$B$2649:$Y$2649)</f>
        <v/>
      </c>
      <c r="AA1991" s="3">
        <f>SUMPRODUCT($B1991:$Y1991,$B$2655:$Y$2655)</f>
        <v/>
      </c>
      <c r="AC1991" s="1">
        <f>A1991</f>
        <v/>
      </c>
      <c r="AD1991">
        <f>IF(ISNUMBER(V1991),V1991*($AB$1/V$2635),"")</f>
        <v/>
      </c>
      <c r="AE1991">
        <f>IF(ISNUMBER(Z1991),Z1991*($AB$1/Z$2635),"")</f>
        <v/>
      </c>
      <c r="AF1991" s="25">
        <f>IF(ISNUMBER(AD1991+AE1991),AD1991+AE1991,"")</f>
        <v/>
      </c>
      <c r="AH1991" s="1">
        <f>A1991</f>
        <v/>
      </c>
      <c r="AI1991">
        <f>IF(ISNUMBER((1+V1991)*AI1990),(1+V1991)*AI1990,AI1990)</f>
        <v/>
      </c>
      <c r="AJ1991">
        <f>IF(ISNUMBER((1+Z1991)*AJ1990),(1+Z1991)*AJ1990,AJ1990)</f>
        <v/>
      </c>
    </row>
    <row r="1992">
      <c r="A1992" s="1" t="n">
        <v>44890</v>
      </c>
      <c r="B1992" s="3">
        <f>IF(ORIG!B1992=0,"",ORIG!B1992)</f>
        <v/>
      </c>
      <c r="C1992" s="3">
        <f>IF(ORIG!C1992=0,"",ORIG!C1992)</f>
        <v/>
      </c>
      <c r="D1992" s="3">
        <f>IF(ORIG!D1992=0,"",ORIG!D1992)</f>
        <v/>
      </c>
      <c r="E1992" s="3">
        <f>IF(ORIG!E1992=0,"",ORIG!E1992)</f>
        <v/>
      </c>
      <c r="F1992" s="3">
        <f>IF(ORIG!F1992=0,"",ORIG!F1992)</f>
        <v/>
      </c>
      <c r="G1992" s="3">
        <f>IF(ORIG!G1992=0,"",ORIG!G1992)</f>
        <v/>
      </c>
      <c r="H1992" s="3">
        <f>IF(ORIG!H1992=0,"",ORIG!H1992)</f>
        <v/>
      </c>
      <c r="I1992" s="3">
        <f>IF(ORIG!I1992=0,"",ORIG!I1992)</f>
        <v/>
      </c>
      <c r="J1992" s="3">
        <f>IF(ORIG!J1992=0,"",ORIG!J1992)</f>
        <v/>
      </c>
      <c r="K1992" s="3">
        <f>IF(ORIG!K1992=0,"",ORIG!K1992)</f>
        <v/>
      </c>
      <c r="L1992" s="3">
        <f>IF(ORIG!L1992=0,"",ORIG!L1992)</f>
        <v/>
      </c>
      <c r="M1992" s="3">
        <f>IF(ORIG!M1992=0,"",ORIG!M1992)</f>
        <v/>
      </c>
      <c r="N1992" s="3">
        <f>IF(ORIG!N1992=0,"",ORIG!N1992)</f>
        <v/>
      </c>
      <c r="O1992" s="3">
        <f>IF(ORIG!O1992=0,"",ORIG!O1992)</f>
        <v/>
      </c>
      <c r="P1992" s="3">
        <f>IF(ORIG!P1992=0,"",ORIG!P1992)</f>
        <v/>
      </c>
      <c r="Q1992" s="3">
        <f>IF(ORIG!Q1992=0,"",ORIG!Q1992)</f>
        <v/>
      </c>
      <c r="R1992" s="3">
        <f>IF(ORIG!R1992=0,"",ORIG!R1992)</f>
        <v/>
      </c>
      <c r="S1992" s="3">
        <f>IF(ORIG!S1992=0,"",ORIG!S1992)</f>
        <v/>
      </c>
      <c r="T1992" s="3">
        <f>IF(ORIG!T1992=0,"",ORIG!T1992)</f>
        <v/>
      </c>
      <c r="U1992" s="3">
        <f>IF(ORIG!U1992=0,"",ORIG!U1992)</f>
        <v/>
      </c>
      <c r="V1992" s="9">
        <f>IF(ORIG!V1992=0,"",ORIG!V1992)</f>
        <v/>
      </c>
      <c r="W1992" s="9">
        <f>IF(ORIG!W1992=0,"",ORIG!W1992)</f>
        <v/>
      </c>
      <c r="X1992" s="9">
        <f>IF(ORIG!X1992=0,"",ORIG!X1992)</f>
        <v/>
      </c>
      <c r="Y1992" s="9">
        <f>IF(ORIG!Y1992=0,"",ORIG!Y1992)</f>
        <v/>
      </c>
      <c r="Z1992" s="3">
        <f>SUMPRODUCT($B1992:$Y1992,$B$2649:$Y$2649)</f>
        <v/>
      </c>
      <c r="AA1992" s="3">
        <f>SUMPRODUCT($B1992:$Y1992,$B$2655:$Y$2655)</f>
        <v/>
      </c>
      <c r="AC1992" s="1">
        <f>A1992</f>
        <v/>
      </c>
      <c r="AD1992">
        <f>IF(ISNUMBER(V1992),V1992*($AB$1/V$2635),"")</f>
        <v/>
      </c>
      <c r="AE1992">
        <f>IF(ISNUMBER(Z1992),Z1992*($AB$1/Z$2635),"")</f>
        <v/>
      </c>
      <c r="AF1992" s="25">
        <f>IF(ISNUMBER(AD1992+AE1992),AD1992+AE1992,"")</f>
        <v/>
      </c>
      <c r="AH1992" s="1">
        <f>A1992</f>
        <v/>
      </c>
      <c r="AI1992">
        <f>IF(ISNUMBER((1+V1992)*AI1991),(1+V1992)*AI1991,AI1991)</f>
        <v/>
      </c>
      <c r="AJ1992">
        <f>IF(ISNUMBER((1+Z1992)*AJ1991),(1+Z1992)*AJ1991,AJ1991)</f>
        <v/>
      </c>
    </row>
    <row r="1993">
      <c r="A1993" s="1" t="n">
        <v>44893</v>
      </c>
      <c r="B1993" s="3">
        <f>IF(ORIG!B1993=0,"",ORIG!B1993)</f>
        <v/>
      </c>
      <c r="C1993" s="3">
        <f>IF(ORIG!C1993=0,"",ORIG!C1993)</f>
        <v/>
      </c>
      <c r="D1993" s="3">
        <f>IF(ORIG!D1993=0,"",ORIG!D1993)</f>
        <v/>
      </c>
      <c r="E1993" s="3">
        <f>IF(ORIG!E1993=0,"",ORIG!E1993)</f>
        <v/>
      </c>
      <c r="F1993" s="3">
        <f>IF(ORIG!F1993=0,"",ORIG!F1993)</f>
        <v/>
      </c>
      <c r="G1993" s="3">
        <f>IF(ORIG!G1993=0,"",ORIG!G1993)</f>
        <v/>
      </c>
      <c r="H1993" s="3">
        <f>IF(ORIG!H1993=0,"",ORIG!H1993)</f>
        <v/>
      </c>
      <c r="I1993" s="3">
        <f>IF(ORIG!I1993=0,"",ORIG!I1993)</f>
        <v/>
      </c>
      <c r="J1993" s="3">
        <f>IF(ORIG!J1993=0,"",ORIG!J1993)</f>
        <v/>
      </c>
      <c r="K1993" s="3">
        <f>IF(ORIG!K1993=0,"",ORIG!K1993)</f>
        <v/>
      </c>
      <c r="L1993" s="3">
        <f>IF(ORIG!L1993=0,"",ORIG!L1993)</f>
        <v/>
      </c>
      <c r="M1993" s="3">
        <f>IF(ORIG!M1993=0,"",ORIG!M1993)</f>
        <v/>
      </c>
      <c r="N1993" s="3">
        <f>IF(ORIG!N1993=0,"",ORIG!N1993)</f>
        <v/>
      </c>
      <c r="O1993" s="3">
        <f>IF(ORIG!O1993=0,"",ORIG!O1993)</f>
        <v/>
      </c>
      <c r="P1993" s="3">
        <f>IF(ORIG!P1993=0,"",ORIG!P1993)</f>
        <v/>
      </c>
      <c r="Q1993" s="3">
        <f>IF(ORIG!Q1993=0,"",ORIG!Q1993)</f>
        <v/>
      </c>
      <c r="R1993" s="3">
        <f>IF(ORIG!R1993=0,"",ORIG!R1993)</f>
        <v/>
      </c>
      <c r="S1993" s="3">
        <f>IF(ORIG!S1993=0,"",ORIG!S1993)</f>
        <v/>
      </c>
      <c r="T1993" s="3">
        <f>IF(ORIG!T1993=0,"",ORIG!T1993)</f>
        <v/>
      </c>
      <c r="U1993" s="3">
        <f>IF(ORIG!U1993=0,"",ORIG!U1993)</f>
        <v/>
      </c>
      <c r="V1993" s="9">
        <f>IF(ORIG!V1993=0,"",ORIG!V1993)</f>
        <v/>
      </c>
      <c r="W1993" s="9">
        <f>IF(ORIG!W1993=0,"",ORIG!W1993)</f>
        <v/>
      </c>
      <c r="X1993" s="9">
        <f>IF(ORIG!X1993=0,"",ORIG!X1993)</f>
        <v/>
      </c>
      <c r="Y1993" s="9">
        <f>IF(ORIG!Y1993=0,"",ORIG!Y1993)</f>
        <v/>
      </c>
      <c r="Z1993" s="3">
        <f>SUMPRODUCT($B1993:$Y1993,$B$2649:$Y$2649)</f>
        <v/>
      </c>
      <c r="AA1993" s="3">
        <f>SUMPRODUCT($B1993:$Y1993,$B$2655:$Y$2655)</f>
        <v/>
      </c>
      <c r="AC1993" s="1">
        <f>A1993</f>
        <v/>
      </c>
      <c r="AD1993">
        <f>IF(ISNUMBER(V1993),V1993*($AB$1/V$2635),"")</f>
        <v/>
      </c>
      <c r="AE1993">
        <f>IF(ISNUMBER(Z1993),Z1993*($AB$1/Z$2635),"")</f>
        <v/>
      </c>
      <c r="AF1993" s="25">
        <f>IF(ISNUMBER(AD1993+AE1993),AD1993+AE1993,"")</f>
        <v/>
      </c>
      <c r="AH1993" s="1">
        <f>A1993</f>
        <v/>
      </c>
      <c r="AI1993">
        <f>IF(ISNUMBER((1+V1993)*AI1992),(1+V1993)*AI1992,AI1992)</f>
        <v/>
      </c>
      <c r="AJ1993">
        <f>IF(ISNUMBER((1+Z1993)*AJ1992),(1+Z1993)*AJ1992,AJ1992)</f>
        <v/>
      </c>
    </row>
    <row r="1994">
      <c r="A1994" s="1" t="n">
        <v>44894</v>
      </c>
      <c r="B1994" s="3">
        <f>IF(ORIG!B1994=0,"",ORIG!B1994)</f>
        <v/>
      </c>
      <c r="C1994" s="3">
        <f>IF(ORIG!C1994=0,"",ORIG!C1994)</f>
        <v/>
      </c>
      <c r="D1994" s="3">
        <f>IF(ORIG!D1994=0,"",ORIG!D1994)</f>
        <v/>
      </c>
      <c r="E1994" s="3">
        <f>IF(ORIG!E1994=0,"",ORIG!E1994)</f>
        <v/>
      </c>
      <c r="F1994" s="3">
        <f>IF(ORIG!F1994=0,"",ORIG!F1994)</f>
        <v/>
      </c>
      <c r="G1994" s="3">
        <f>IF(ORIG!G1994=0,"",ORIG!G1994)</f>
        <v/>
      </c>
      <c r="H1994" s="3">
        <f>IF(ORIG!H1994=0,"",ORIG!H1994)</f>
        <v/>
      </c>
      <c r="I1994" s="3">
        <f>IF(ORIG!I1994=0,"",ORIG!I1994)</f>
        <v/>
      </c>
      <c r="J1994" s="3">
        <f>IF(ORIG!J1994=0,"",ORIG!J1994)</f>
        <v/>
      </c>
      <c r="K1994" s="3">
        <f>IF(ORIG!K1994=0,"",ORIG!K1994)</f>
        <v/>
      </c>
      <c r="L1994" s="3">
        <f>IF(ORIG!L1994=0,"",ORIG!L1994)</f>
        <v/>
      </c>
      <c r="M1994" s="3">
        <f>IF(ORIG!M1994=0,"",ORIG!M1994)</f>
        <v/>
      </c>
      <c r="N1994" s="3">
        <f>IF(ORIG!N1994=0,"",ORIG!N1994)</f>
        <v/>
      </c>
      <c r="O1994" s="3">
        <f>IF(ORIG!O1994=0,"",ORIG!O1994)</f>
        <v/>
      </c>
      <c r="P1994" s="3">
        <f>IF(ORIG!P1994=0,"",ORIG!P1994)</f>
        <v/>
      </c>
      <c r="Q1994" s="3">
        <f>IF(ORIG!Q1994=0,"",ORIG!Q1994)</f>
        <v/>
      </c>
      <c r="R1994" s="3">
        <f>IF(ORIG!R1994=0,"",ORIG!R1994)</f>
        <v/>
      </c>
      <c r="S1994" s="3">
        <f>IF(ORIG!S1994=0,"",ORIG!S1994)</f>
        <v/>
      </c>
      <c r="T1994" s="3">
        <f>IF(ORIG!T1994=0,"",ORIG!T1994)</f>
        <v/>
      </c>
      <c r="U1994" s="3">
        <f>IF(ORIG!U1994=0,"",ORIG!U1994)</f>
        <v/>
      </c>
      <c r="V1994" s="9">
        <f>IF(ORIG!V1994=0,"",ORIG!V1994)</f>
        <v/>
      </c>
      <c r="W1994" s="9">
        <f>IF(ORIG!W1994=0,"",ORIG!W1994)</f>
        <v/>
      </c>
      <c r="X1994" s="9">
        <f>IF(ORIG!X1994=0,"",ORIG!X1994)</f>
        <v/>
      </c>
      <c r="Y1994" s="9">
        <f>IF(ORIG!Y1994=0,"",ORIG!Y1994)</f>
        <v/>
      </c>
      <c r="Z1994" s="3">
        <f>SUMPRODUCT($B1994:$Y1994,$B$2649:$Y$2649)</f>
        <v/>
      </c>
      <c r="AA1994" s="3">
        <f>SUMPRODUCT($B1994:$Y1994,$B$2655:$Y$2655)</f>
        <v/>
      </c>
      <c r="AC1994" s="1">
        <f>A1994</f>
        <v/>
      </c>
      <c r="AD1994">
        <f>IF(ISNUMBER(V1994),V1994*($AB$1/V$2635),"")</f>
        <v/>
      </c>
      <c r="AE1994">
        <f>IF(ISNUMBER(Z1994),Z1994*($AB$1/Z$2635),"")</f>
        <v/>
      </c>
      <c r="AF1994" s="25">
        <f>IF(ISNUMBER(AD1994+AE1994),AD1994+AE1994,"")</f>
        <v/>
      </c>
      <c r="AH1994" s="1">
        <f>A1994</f>
        <v/>
      </c>
      <c r="AI1994">
        <f>IF(ISNUMBER((1+V1994)*AI1993),(1+V1994)*AI1993,AI1993)</f>
        <v/>
      </c>
      <c r="AJ1994">
        <f>IF(ISNUMBER((1+Z1994)*AJ1993),(1+Z1994)*AJ1993,AJ1993)</f>
        <v/>
      </c>
    </row>
    <row r="1995">
      <c r="A1995" s="1" t="n">
        <v>44895</v>
      </c>
      <c r="B1995" s="3">
        <f>IF(ORIG!B1995=0,"",ORIG!B1995)</f>
        <v/>
      </c>
      <c r="C1995" s="3">
        <f>IF(ORIG!C1995=0,"",ORIG!C1995)</f>
        <v/>
      </c>
      <c r="D1995" s="3">
        <f>IF(ORIG!D1995=0,"",ORIG!D1995)</f>
        <v/>
      </c>
      <c r="E1995" s="3">
        <f>IF(ORIG!E1995=0,"",ORIG!E1995)</f>
        <v/>
      </c>
      <c r="F1995" s="3">
        <f>IF(ORIG!F1995=0,"",ORIG!F1995)</f>
        <v/>
      </c>
      <c r="G1995" s="3">
        <f>IF(ORIG!G1995=0,"",ORIG!G1995)</f>
        <v/>
      </c>
      <c r="H1995" s="3">
        <f>IF(ORIG!H1995=0,"",ORIG!H1995)</f>
        <v/>
      </c>
      <c r="I1995" s="3">
        <f>IF(ORIG!I1995=0,"",ORIG!I1995)</f>
        <v/>
      </c>
      <c r="J1995" s="3">
        <f>IF(ORIG!J1995=0,"",ORIG!J1995)</f>
        <v/>
      </c>
      <c r="K1995" s="3">
        <f>IF(ORIG!K1995=0,"",ORIG!K1995)</f>
        <v/>
      </c>
      <c r="L1995" s="3">
        <f>IF(ORIG!L1995=0,"",ORIG!L1995)</f>
        <v/>
      </c>
      <c r="M1995" s="3">
        <f>IF(ORIG!M1995=0,"",ORIG!M1995)</f>
        <v/>
      </c>
      <c r="N1995" s="3">
        <f>IF(ORIG!N1995=0,"",ORIG!N1995)</f>
        <v/>
      </c>
      <c r="O1995" s="3">
        <f>IF(ORIG!O1995=0,"",ORIG!O1995)</f>
        <v/>
      </c>
      <c r="P1995" s="3">
        <f>IF(ORIG!P1995=0,"",ORIG!P1995)</f>
        <v/>
      </c>
      <c r="Q1995" s="3">
        <f>IF(ORIG!Q1995=0,"",ORIG!Q1995)</f>
        <v/>
      </c>
      <c r="R1995" s="3">
        <f>IF(ORIG!R1995=0,"",ORIG!R1995)</f>
        <v/>
      </c>
      <c r="S1995" s="3">
        <f>IF(ORIG!S1995=0,"",ORIG!S1995)</f>
        <v/>
      </c>
      <c r="T1995" s="3">
        <f>IF(ORIG!T1995=0,"",ORIG!T1995)</f>
        <v/>
      </c>
      <c r="U1995" s="3">
        <f>IF(ORIG!U1995=0,"",ORIG!U1995)</f>
        <v/>
      </c>
      <c r="V1995" s="9">
        <f>IF(ORIG!V1995=0,"",ORIG!V1995)</f>
        <v/>
      </c>
      <c r="W1995" s="9">
        <f>IF(ORIG!W1995=0,"",ORIG!W1995)</f>
        <v/>
      </c>
      <c r="X1995" s="9">
        <f>IF(ORIG!X1995=0,"",ORIG!X1995)</f>
        <v/>
      </c>
      <c r="Y1995" s="9">
        <f>IF(ORIG!Y1995=0,"",ORIG!Y1995)</f>
        <v/>
      </c>
      <c r="Z1995" s="3">
        <f>SUMPRODUCT($B1995:$Y1995,$B$2649:$Y$2649)</f>
        <v/>
      </c>
      <c r="AA1995" s="3">
        <f>SUMPRODUCT($B1995:$Y1995,$B$2655:$Y$2655)</f>
        <v/>
      </c>
      <c r="AC1995" s="1">
        <f>A1995</f>
        <v/>
      </c>
      <c r="AD1995">
        <f>IF(ISNUMBER(V1995),V1995*($AB$1/V$2635),"")</f>
        <v/>
      </c>
      <c r="AE1995">
        <f>IF(ISNUMBER(Z1995),Z1995*($AB$1/Z$2635),"")</f>
        <v/>
      </c>
      <c r="AF1995" s="25">
        <f>IF(ISNUMBER(AD1995+AE1995),AD1995+AE1995,"")</f>
        <v/>
      </c>
      <c r="AH1995" s="1">
        <f>A1995</f>
        <v/>
      </c>
      <c r="AI1995">
        <f>IF(ISNUMBER((1+V1995)*AI1994),(1+V1995)*AI1994,AI1994)</f>
        <v/>
      </c>
      <c r="AJ1995">
        <f>IF(ISNUMBER((1+Z1995)*AJ1994),(1+Z1995)*AJ1994,AJ1994)</f>
        <v/>
      </c>
    </row>
    <row r="1996">
      <c r="A1996" s="1" t="n">
        <v>44896</v>
      </c>
      <c r="B1996" s="3">
        <f>IF(ORIG!B1996=0,"",ORIG!B1996)</f>
        <v/>
      </c>
      <c r="C1996" s="3">
        <f>IF(ORIG!C1996=0,"",ORIG!C1996)</f>
        <v/>
      </c>
      <c r="D1996" s="3">
        <f>IF(ORIG!D1996=0,"",ORIG!D1996)</f>
        <v/>
      </c>
      <c r="E1996" s="3">
        <f>IF(ORIG!E1996=0,"",ORIG!E1996)</f>
        <v/>
      </c>
      <c r="F1996" s="3">
        <f>IF(ORIG!F1996=0,"",ORIG!F1996)</f>
        <v/>
      </c>
      <c r="G1996" s="3">
        <f>IF(ORIG!G1996=0,"",ORIG!G1996)</f>
        <v/>
      </c>
      <c r="H1996" s="3">
        <f>IF(ORIG!H1996=0,"",ORIG!H1996)</f>
        <v/>
      </c>
      <c r="I1996" s="3">
        <f>IF(ORIG!I1996=0,"",ORIG!I1996)</f>
        <v/>
      </c>
      <c r="J1996" s="3">
        <f>IF(ORIG!J1996=0,"",ORIG!J1996)</f>
        <v/>
      </c>
      <c r="K1996" s="3">
        <f>IF(ORIG!K1996=0,"",ORIG!K1996)</f>
        <v/>
      </c>
      <c r="L1996" s="3">
        <f>IF(ORIG!L1996=0,"",ORIG!L1996)</f>
        <v/>
      </c>
      <c r="M1996" s="3">
        <f>IF(ORIG!M1996=0,"",ORIG!M1996)</f>
        <v/>
      </c>
      <c r="N1996" s="3">
        <f>IF(ORIG!N1996=0,"",ORIG!N1996)</f>
        <v/>
      </c>
      <c r="O1996" s="3">
        <f>IF(ORIG!O1996=0,"",ORIG!O1996)</f>
        <v/>
      </c>
      <c r="P1996" s="3">
        <f>IF(ORIG!P1996=0,"",ORIG!P1996)</f>
        <v/>
      </c>
      <c r="Q1996" s="3">
        <f>IF(ORIG!Q1996=0,"",ORIG!Q1996)</f>
        <v/>
      </c>
      <c r="R1996" s="3">
        <f>IF(ORIG!R1996=0,"",ORIG!R1996)</f>
        <v/>
      </c>
      <c r="S1996" s="3">
        <f>IF(ORIG!S1996=0,"",ORIG!S1996)</f>
        <v/>
      </c>
      <c r="T1996" s="3">
        <f>IF(ORIG!T1996=0,"",ORIG!T1996)</f>
        <v/>
      </c>
      <c r="U1996" s="3">
        <f>IF(ORIG!U1996=0,"",ORIG!U1996)</f>
        <v/>
      </c>
      <c r="V1996" s="9">
        <f>IF(ORIG!V1996=0,"",ORIG!V1996)</f>
        <v/>
      </c>
      <c r="W1996" s="9">
        <f>IF(ORIG!W1996=0,"",ORIG!W1996)</f>
        <v/>
      </c>
      <c r="X1996" s="9">
        <f>IF(ORIG!X1996=0,"",ORIG!X1996)</f>
        <v/>
      </c>
      <c r="Y1996" s="9">
        <f>IF(ORIG!Y1996=0,"",ORIG!Y1996)</f>
        <v/>
      </c>
      <c r="Z1996" s="3">
        <f>SUMPRODUCT($B1996:$Y1996,$B$2649:$Y$2649)</f>
        <v/>
      </c>
      <c r="AA1996" s="3">
        <f>SUMPRODUCT($B1996:$Y1996,$B$2655:$Y$2655)</f>
        <v/>
      </c>
      <c r="AC1996" s="1">
        <f>A1996</f>
        <v/>
      </c>
      <c r="AD1996">
        <f>IF(ISNUMBER(V1996),V1996*($AB$1/V$2635),"")</f>
        <v/>
      </c>
      <c r="AE1996">
        <f>IF(ISNUMBER(Z1996),Z1996*($AB$1/Z$2635),"")</f>
        <v/>
      </c>
      <c r="AF1996" s="25">
        <f>IF(ISNUMBER(AD1996+AE1996),AD1996+AE1996,"")</f>
        <v/>
      </c>
      <c r="AH1996" s="1">
        <f>A1996</f>
        <v/>
      </c>
      <c r="AI1996">
        <f>IF(ISNUMBER((1+V1996)*AI1995),(1+V1996)*AI1995,AI1995)</f>
        <v/>
      </c>
      <c r="AJ1996">
        <f>IF(ISNUMBER((1+Z1996)*AJ1995),(1+Z1996)*AJ1995,AJ1995)</f>
        <v/>
      </c>
    </row>
    <row r="1997">
      <c r="A1997" s="1" t="n">
        <v>44897</v>
      </c>
      <c r="B1997" s="3">
        <f>IF(ORIG!B1997=0,"",ORIG!B1997)</f>
        <v/>
      </c>
      <c r="C1997" s="3">
        <f>IF(ORIG!C1997=0,"",ORIG!C1997)</f>
        <v/>
      </c>
      <c r="D1997" s="3">
        <f>IF(ORIG!D1997=0,"",ORIG!D1997)</f>
        <v/>
      </c>
      <c r="E1997" s="3">
        <f>IF(ORIG!E1997=0,"",ORIG!E1997)</f>
        <v/>
      </c>
      <c r="F1997" s="3">
        <f>IF(ORIG!F1997=0,"",ORIG!F1997)</f>
        <v/>
      </c>
      <c r="G1997" s="3">
        <f>IF(ORIG!G1997=0,"",ORIG!G1997)</f>
        <v/>
      </c>
      <c r="H1997" s="3">
        <f>IF(ORIG!H1997=0,"",ORIG!H1997)</f>
        <v/>
      </c>
      <c r="I1997" s="3">
        <f>IF(ORIG!I1997=0,"",ORIG!I1997)</f>
        <v/>
      </c>
      <c r="J1997" s="3">
        <f>IF(ORIG!J1997=0,"",ORIG!J1997)</f>
        <v/>
      </c>
      <c r="K1997" s="3">
        <f>IF(ORIG!K1997=0,"",ORIG!K1997)</f>
        <v/>
      </c>
      <c r="L1997" s="3">
        <f>IF(ORIG!L1997=0,"",ORIG!L1997)</f>
        <v/>
      </c>
      <c r="M1997" s="3">
        <f>IF(ORIG!M1997=0,"",ORIG!M1997)</f>
        <v/>
      </c>
      <c r="N1997" s="3">
        <f>IF(ORIG!N1997=0,"",ORIG!N1997)</f>
        <v/>
      </c>
      <c r="O1997" s="3">
        <f>IF(ORIG!O1997=0,"",ORIG!O1997)</f>
        <v/>
      </c>
      <c r="P1997" s="3">
        <f>IF(ORIG!P1997=0,"",ORIG!P1997)</f>
        <v/>
      </c>
      <c r="Q1997" s="3">
        <f>IF(ORIG!Q1997=0,"",ORIG!Q1997)</f>
        <v/>
      </c>
      <c r="R1997" s="3">
        <f>IF(ORIG!R1997=0,"",ORIG!R1997)</f>
        <v/>
      </c>
      <c r="S1997" s="3">
        <f>IF(ORIG!S1997=0,"",ORIG!S1997)</f>
        <v/>
      </c>
      <c r="T1997" s="3">
        <f>IF(ORIG!T1997=0,"",ORIG!T1997)</f>
        <v/>
      </c>
      <c r="U1997" s="3">
        <f>IF(ORIG!U1997=0,"",ORIG!U1997)</f>
        <v/>
      </c>
      <c r="V1997" s="9">
        <f>IF(ORIG!V1997=0,"",ORIG!V1997)</f>
        <v/>
      </c>
      <c r="W1997" s="9">
        <f>IF(ORIG!W1997=0,"",ORIG!W1997)</f>
        <v/>
      </c>
      <c r="X1997" s="9">
        <f>IF(ORIG!X1997=0,"",ORIG!X1997)</f>
        <v/>
      </c>
      <c r="Y1997" s="9">
        <f>IF(ORIG!Y1997=0,"",ORIG!Y1997)</f>
        <v/>
      </c>
      <c r="Z1997" s="3">
        <f>SUMPRODUCT($B1997:$Y1997,$B$2649:$Y$2649)</f>
        <v/>
      </c>
      <c r="AA1997" s="3">
        <f>SUMPRODUCT($B1997:$Y1997,$B$2655:$Y$2655)</f>
        <v/>
      </c>
      <c r="AC1997" s="1">
        <f>A1997</f>
        <v/>
      </c>
      <c r="AD1997">
        <f>IF(ISNUMBER(V1997),V1997*($AB$1/V$2635),"")</f>
        <v/>
      </c>
      <c r="AE1997">
        <f>IF(ISNUMBER(Z1997),Z1997*($AB$1/Z$2635),"")</f>
        <v/>
      </c>
      <c r="AF1997" s="25">
        <f>IF(ISNUMBER(AD1997+AE1997),AD1997+AE1997,"")</f>
        <v/>
      </c>
      <c r="AH1997" s="1">
        <f>A1997</f>
        <v/>
      </c>
      <c r="AI1997">
        <f>IF(ISNUMBER((1+V1997)*AI1996),(1+V1997)*AI1996,AI1996)</f>
        <v/>
      </c>
      <c r="AJ1997">
        <f>IF(ISNUMBER((1+Z1997)*AJ1996),(1+Z1997)*AJ1996,AJ1996)</f>
        <v/>
      </c>
    </row>
    <row r="1998">
      <c r="A1998" s="1" t="n">
        <v>44900</v>
      </c>
      <c r="B1998" s="3">
        <f>IF(ORIG!B1998=0,"",ORIG!B1998)</f>
        <v/>
      </c>
      <c r="C1998" s="3">
        <f>IF(ORIG!C1998=0,"",ORIG!C1998)</f>
        <v/>
      </c>
      <c r="D1998" s="3">
        <f>IF(ORIG!D1998=0,"",ORIG!D1998)</f>
        <v/>
      </c>
      <c r="E1998" s="3">
        <f>IF(ORIG!E1998=0,"",ORIG!E1998)</f>
        <v/>
      </c>
      <c r="F1998" s="3">
        <f>IF(ORIG!F1998=0,"",ORIG!F1998)</f>
        <v/>
      </c>
      <c r="G1998" s="3">
        <f>IF(ORIG!G1998=0,"",ORIG!G1998)</f>
        <v/>
      </c>
      <c r="H1998" s="3">
        <f>IF(ORIG!H1998=0,"",ORIG!H1998)</f>
        <v/>
      </c>
      <c r="I1998" s="3">
        <f>IF(ORIG!I1998=0,"",ORIG!I1998)</f>
        <v/>
      </c>
      <c r="J1998" s="3">
        <f>IF(ORIG!J1998=0,"",ORIG!J1998)</f>
        <v/>
      </c>
      <c r="K1998" s="3">
        <f>IF(ORIG!K1998=0,"",ORIG!K1998)</f>
        <v/>
      </c>
      <c r="L1998" s="3">
        <f>IF(ORIG!L1998=0,"",ORIG!L1998)</f>
        <v/>
      </c>
      <c r="M1998" s="3">
        <f>IF(ORIG!M1998=0,"",ORIG!M1998)</f>
        <v/>
      </c>
      <c r="N1998" s="3">
        <f>IF(ORIG!N1998=0,"",ORIG!N1998)</f>
        <v/>
      </c>
      <c r="O1998" s="3">
        <f>IF(ORIG!O1998=0,"",ORIG!O1998)</f>
        <v/>
      </c>
      <c r="P1998" s="3">
        <f>IF(ORIG!P1998=0,"",ORIG!P1998)</f>
        <v/>
      </c>
      <c r="Q1998" s="3">
        <f>IF(ORIG!Q1998=0,"",ORIG!Q1998)</f>
        <v/>
      </c>
      <c r="R1998" s="3">
        <f>IF(ORIG!R1998=0,"",ORIG!R1998)</f>
        <v/>
      </c>
      <c r="S1998" s="3">
        <f>IF(ORIG!S1998=0,"",ORIG!S1998)</f>
        <v/>
      </c>
      <c r="T1998" s="3">
        <f>IF(ORIG!T1998=0,"",ORIG!T1998)</f>
        <v/>
      </c>
      <c r="U1998" s="3">
        <f>IF(ORIG!U1998=0,"",ORIG!U1998)</f>
        <v/>
      </c>
      <c r="V1998" s="9">
        <f>IF(ORIG!V1998=0,"",ORIG!V1998)</f>
        <v/>
      </c>
      <c r="W1998" s="9">
        <f>IF(ORIG!W1998=0,"",ORIG!W1998)</f>
        <v/>
      </c>
      <c r="X1998" s="9">
        <f>IF(ORIG!X1998=0,"",ORIG!X1998)</f>
        <v/>
      </c>
      <c r="Y1998" s="9">
        <f>IF(ORIG!Y1998=0,"",ORIG!Y1998)</f>
        <v/>
      </c>
      <c r="Z1998" s="3">
        <f>SUMPRODUCT($B1998:$Y1998,$B$2649:$Y$2649)</f>
        <v/>
      </c>
      <c r="AA1998" s="3">
        <f>SUMPRODUCT($B1998:$Y1998,$B$2655:$Y$2655)</f>
        <v/>
      </c>
      <c r="AC1998" s="1">
        <f>A1998</f>
        <v/>
      </c>
      <c r="AD1998">
        <f>IF(ISNUMBER(V1998),V1998*($AB$1/V$2635),"")</f>
        <v/>
      </c>
      <c r="AE1998">
        <f>IF(ISNUMBER(Z1998),Z1998*($AB$1/Z$2635),"")</f>
        <v/>
      </c>
      <c r="AF1998" s="25">
        <f>IF(ISNUMBER(AD1998+AE1998),AD1998+AE1998,"")</f>
        <v/>
      </c>
      <c r="AH1998" s="1">
        <f>A1998</f>
        <v/>
      </c>
      <c r="AI1998">
        <f>IF(ISNUMBER((1+V1998)*AI1997),(1+V1998)*AI1997,AI1997)</f>
        <v/>
      </c>
      <c r="AJ1998">
        <f>IF(ISNUMBER((1+Z1998)*AJ1997),(1+Z1998)*AJ1997,AJ1997)</f>
        <v/>
      </c>
    </row>
    <row r="1999">
      <c r="A1999" s="1" t="n">
        <v>44901</v>
      </c>
      <c r="B1999" s="3">
        <f>IF(ORIG!B1999=0,"",ORIG!B1999)</f>
        <v/>
      </c>
      <c r="C1999" s="3">
        <f>IF(ORIG!C1999=0,"",ORIG!C1999)</f>
        <v/>
      </c>
      <c r="D1999" s="3">
        <f>IF(ORIG!D1999=0,"",ORIG!D1999)</f>
        <v/>
      </c>
      <c r="E1999" s="3">
        <f>IF(ORIG!E1999=0,"",ORIG!E1999)</f>
        <v/>
      </c>
      <c r="F1999" s="3">
        <f>IF(ORIG!F1999=0,"",ORIG!F1999)</f>
        <v/>
      </c>
      <c r="G1999" s="3">
        <f>IF(ORIG!G1999=0,"",ORIG!G1999)</f>
        <v/>
      </c>
      <c r="H1999" s="3">
        <f>IF(ORIG!H1999=0,"",ORIG!H1999)</f>
        <v/>
      </c>
      <c r="I1999" s="3">
        <f>IF(ORIG!I1999=0,"",ORIG!I1999)</f>
        <v/>
      </c>
      <c r="J1999" s="3">
        <f>IF(ORIG!J1999=0,"",ORIG!J1999)</f>
        <v/>
      </c>
      <c r="K1999" s="3">
        <f>IF(ORIG!K1999=0,"",ORIG!K1999)</f>
        <v/>
      </c>
      <c r="L1999" s="3">
        <f>IF(ORIG!L1999=0,"",ORIG!L1999)</f>
        <v/>
      </c>
      <c r="M1999" s="3">
        <f>IF(ORIG!M1999=0,"",ORIG!M1999)</f>
        <v/>
      </c>
      <c r="N1999" s="3">
        <f>IF(ORIG!N1999=0,"",ORIG!N1999)</f>
        <v/>
      </c>
      <c r="O1999" s="3">
        <f>IF(ORIG!O1999=0,"",ORIG!O1999)</f>
        <v/>
      </c>
      <c r="P1999" s="3">
        <f>IF(ORIG!P1999=0,"",ORIG!P1999)</f>
        <v/>
      </c>
      <c r="Q1999" s="3">
        <f>IF(ORIG!Q1999=0,"",ORIG!Q1999)</f>
        <v/>
      </c>
      <c r="R1999" s="3">
        <f>IF(ORIG!R1999=0,"",ORIG!R1999)</f>
        <v/>
      </c>
      <c r="S1999" s="3">
        <f>IF(ORIG!S1999=0,"",ORIG!S1999)</f>
        <v/>
      </c>
      <c r="T1999" s="3">
        <f>IF(ORIG!T1999=0,"",ORIG!T1999)</f>
        <v/>
      </c>
      <c r="U1999" s="3">
        <f>IF(ORIG!U1999=0,"",ORIG!U1999)</f>
        <v/>
      </c>
      <c r="V1999" s="9">
        <f>IF(ORIG!V1999=0,"",ORIG!V1999)</f>
        <v/>
      </c>
      <c r="W1999" s="9">
        <f>IF(ORIG!W1999=0,"",ORIG!W1999)</f>
        <v/>
      </c>
      <c r="X1999" s="9">
        <f>IF(ORIG!X1999=0,"",ORIG!X1999)</f>
        <v/>
      </c>
      <c r="Y1999" s="9">
        <f>IF(ORIG!Y1999=0,"",ORIG!Y1999)</f>
        <v/>
      </c>
      <c r="Z1999" s="3">
        <f>SUMPRODUCT($B1999:$Y1999,$B$2649:$Y$2649)</f>
        <v/>
      </c>
      <c r="AA1999" s="3">
        <f>SUMPRODUCT($B1999:$Y1999,$B$2655:$Y$2655)</f>
        <v/>
      </c>
      <c r="AC1999" s="1">
        <f>A1999</f>
        <v/>
      </c>
      <c r="AD1999">
        <f>IF(ISNUMBER(V1999),V1999*($AB$1/V$2635),"")</f>
        <v/>
      </c>
      <c r="AE1999">
        <f>IF(ISNUMBER(Z1999),Z1999*($AB$1/Z$2635),"")</f>
        <v/>
      </c>
      <c r="AF1999" s="25">
        <f>IF(ISNUMBER(AD1999+AE1999),AD1999+AE1999,"")</f>
        <v/>
      </c>
      <c r="AH1999" s="1">
        <f>A1999</f>
        <v/>
      </c>
      <c r="AI1999">
        <f>IF(ISNUMBER((1+V1999)*AI1998),(1+V1999)*AI1998,AI1998)</f>
        <v/>
      </c>
      <c r="AJ1999">
        <f>IF(ISNUMBER((1+Z1999)*AJ1998),(1+Z1999)*AJ1998,AJ1998)</f>
        <v/>
      </c>
    </row>
    <row r="2000">
      <c r="A2000" s="1" t="n">
        <v>44902</v>
      </c>
      <c r="B2000" s="3">
        <f>IF(ORIG!B2000=0,"",ORIG!B2000)</f>
        <v/>
      </c>
      <c r="C2000" s="3">
        <f>IF(ORIG!C2000=0,"",ORIG!C2000)</f>
        <v/>
      </c>
      <c r="D2000" s="3">
        <f>IF(ORIG!D2000=0,"",ORIG!D2000)</f>
        <v/>
      </c>
      <c r="E2000" s="3">
        <f>IF(ORIG!E2000=0,"",ORIG!E2000)</f>
        <v/>
      </c>
      <c r="F2000" s="3">
        <f>IF(ORIG!F2000=0,"",ORIG!F2000)</f>
        <v/>
      </c>
      <c r="G2000" s="3">
        <f>IF(ORIG!G2000=0,"",ORIG!G2000)</f>
        <v/>
      </c>
      <c r="H2000" s="3">
        <f>IF(ORIG!H2000=0,"",ORIG!H2000)</f>
        <v/>
      </c>
      <c r="I2000" s="3">
        <f>IF(ORIG!I2000=0,"",ORIG!I2000)</f>
        <v/>
      </c>
      <c r="J2000" s="3">
        <f>IF(ORIG!J2000=0,"",ORIG!J2000)</f>
        <v/>
      </c>
      <c r="K2000" s="3">
        <f>IF(ORIG!K2000=0,"",ORIG!K2000)</f>
        <v/>
      </c>
      <c r="L2000" s="3">
        <f>IF(ORIG!L2000=0,"",ORIG!L2000)</f>
        <v/>
      </c>
      <c r="M2000" s="3">
        <f>IF(ORIG!M2000=0,"",ORIG!M2000)</f>
        <v/>
      </c>
      <c r="N2000" s="3">
        <f>IF(ORIG!N2000=0,"",ORIG!N2000)</f>
        <v/>
      </c>
      <c r="O2000" s="3">
        <f>IF(ORIG!O2000=0,"",ORIG!O2000)</f>
        <v/>
      </c>
      <c r="P2000" s="3">
        <f>IF(ORIG!P2000=0,"",ORIG!P2000)</f>
        <v/>
      </c>
      <c r="Q2000" s="3">
        <f>IF(ORIG!Q2000=0,"",ORIG!Q2000)</f>
        <v/>
      </c>
      <c r="R2000" s="3">
        <f>IF(ORIG!R2000=0,"",ORIG!R2000)</f>
        <v/>
      </c>
      <c r="S2000" s="3">
        <f>IF(ORIG!S2000=0,"",ORIG!S2000)</f>
        <v/>
      </c>
      <c r="T2000" s="3">
        <f>IF(ORIG!T2000=0,"",ORIG!T2000)</f>
        <v/>
      </c>
      <c r="U2000" s="3">
        <f>IF(ORIG!U2000=0,"",ORIG!U2000)</f>
        <v/>
      </c>
      <c r="V2000" s="9">
        <f>IF(ORIG!V2000=0,"",ORIG!V2000)</f>
        <v/>
      </c>
      <c r="W2000" s="9">
        <f>IF(ORIG!W2000=0,"",ORIG!W2000)</f>
        <v/>
      </c>
      <c r="X2000" s="9">
        <f>IF(ORIG!X2000=0,"",ORIG!X2000)</f>
        <v/>
      </c>
      <c r="Y2000" s="9">
        <f>IF(ORIG!Y2000=0,"",ORIG!Y2000)</f>
        <v/>
      </c>
      <c r="Z2000" s="3">
        <f>SUMPRODUCT($B2000:$Y2000,$B$2649:$Y$2649)</f>
        <v/>
      </c>
      <c r="AA2000" s="3">
        <f>SUMPRODUCT($B2000:$Y2000,$B$2655:$Y$2655)</f>
        <v/>
      </c>
      <c r="AC2000" s="1">
        <f>A2000</f>
        <v/>
      </c>
      <c r="AD2000">
        <f>IF(ISNUMBER(V2000),V2000*($AB$1/V$2635),"")</f>
        <v/>
      </c>
      <c r="AE2000">
        <f>IF(ISNUMBER(Z2000),Z2000*($AB$1/Z$2635),"")</f>
        <v/>
      </c>
      <c r="AF2000" s="25">
        <f>IF(ISNUMBER(AD2000+AE2000),AD2000+AE2000,"")</f>
        <v/>
      </c>
      <c r="AH2000" s="1">
        <f>A2000</f>
        <v/>
      </c>
      <c r="AI2000">
        <f>IF(ISNUMBER((1+V2000)*AI1999),(1+V2000)*AI1999,AI1999)</f>
        <v/>
      </c>
      <c r="AJ2000">
        <f>IF(ISNUMBER((1+Z2000)*AJ1999),(1+Z2000)*AJ1999,AJ1999)</f>
        <v/>
      </c>
    </row>
    <row r="2001">
      <c r="A2001" s="1" t="n">
        <v>44903</v>
      </c>
      <c r="B2001" s="3">
        <f>IF(ORIG!B2001=0,"",ORIG!B2001)</f>
        <v/>
      </c>
      <c r="C2001" s="3">
        <f>IF(ORIG!C2001=0,"",ORIG!C2001)</f>
        <v/>
      </c>
      <c r="D2001" s="3">
        <f>IF(ORIG!D2001=0,"",ORIG!D2001)</f>
        <v/>
      </c>
      <c r="E2001" s="3">
        <f>IF(ORIG!E2001=0,"",ORIG!E2001)</f>
        <v/>
      </c>
      <c r="F2001" s="3">
        <f>IF(ORIG!F2001=0,"",ORIG!F2001)</f>
        <v/>
      </c>
      <c r="G2001" s="3">
        <f>IF(ORIG!G2001=0,"",ORIG!G2001)</f>
        <v/>
      </c>
      <c r="H2001" s="3">
        <f>IF(ORIG!H2001=0,"",ORIG!H2001)</f>
        <v/>
      </c>
      <c r="I2001" s="3">
        <f>IF(ORIG!I2001=0,"",ORIG!I2001)</f>
        <v/>
      </c>
      <c r="J2001" s="3">
        <f>IF(ORIG!J2001=0,"",ORIG!J2001)</f>
        <v/>
      </c>
      <c r="K2001" s="3">
        <f>IF(ORIG!K2001=0,"",ORIG!K2001)</f>
        <v/>
      </c>
      <c r="L2001" s="3">
        <f>IF(ORIG!L2001=0,"",ORIG!L2001)</f>
        <v/>
      </c>
      <c r="M2001" s="3">
        <f>IF(ORIG!M2001=0,"",ORIG!M2001)</f>
        <v/>
      </c>
      <c r="N2001" s="3">
        <f>IF(ORIG!N2001=0,"",ORIG!N2001)</f>
        <v/>
      </c>
      <c r="O2001" s="3">
        <f>IF(ORIG!O2001=0,"",ORIG!O2001)</f>
        <v/>
      </c>
      <c r="P2001" s="3">
        <f>IF(ORIG!P2001=0,"",ORIG!P2001)</f>
        <v/>
      </c>
      <c r="Q2001" s="3">
        <f>IF(ORIG!Q2001=0,"",ORIG!Q2001)</f>
        <v/>
      </c>
      <c r="R2001" s="3">
        <f>IF(ORIG!R2001=0,"",ORIG!R2001)</f>
        <v/>
      </c>
      <c r="S2001" s="3">
        <f>IF(ORIG!S2001=0,"",ORIG!S2001)</f>
        <v/>
      </c>
      <c r="T2001" s="3">
        <f>IF(ORIG!T2001=0,"",ORIG!T2001)</f>
        <v/>
      </c>
      <c r="U2001" s="3">
        <f>IF(ORIG!U2001=0,"",ORIG!U2001)</f>
        <v/>
      </c>
      <c r="V2001" s="9">
        <f>IF(ORIG!V2001=0,"",ORIG!V2001)</f>
        <v/>
      </c>
      <c r="W2001" s="9">
        <f>IF(ORIG!W2001=0,"",ORIG!W2001)</f>
        <v/>
      </c>
      <c r="X2001" s="9">
        <f>IF(ORIG!X2001=0,"",ORIG!X2001)</f>
        <v/>
      </c>
      <c r="Y2001" s="9">
        <f>IF(ORIG!Y2001=0,"",ORIG!Y2001)</f>
        <v/>
      </c>
      <c r="Z2001" s="3">
        <f>SUMPRODUCT($B2001:$Y2001,$B$2649:$Y$2649)</f>
        <v/>
      </c>
      <c r="AA2001" s="3">
        <f>SUMPRODUCT($B2001:$Y2001,$B$2655:$Y$2655)</f>
        <v/>
      </c>
      <c r="AC2001" s="1">
        <f>A2001</f>
        <v/>
      </c>
      <c r="AD2001">
        <f>IF(ISNUMBER(V2001),V2001*($AB$1/V$2635),"")</f>
        <v/>
      </c>
      <c r="AE2001">
        <f>IF(ISNUMBER(Z2001),Z2001*($AB$1/Z$2635),"")</f>
        <v/>
      </c>
      <c r="AF2001" s="25">
        <f>IF(ISNUMBER(AD2001+AE2001),AD2001+AE2001,"")</f>
        <v/>
      </c>
      <c r="AH2001" s="1">
        <f>A2001</f>
        <v/>
      </c>
      <c r="AI2001">
        <f>IF(ISNUMBER((1+V2001)*AI2000),(1+V2001)*AI2000,AI2000)</f>
        <v/>
      </c>
      <c r="AJ2001">
        <f>IF(ISNUMBER((1+Z2001)*AJ2000),(1+Z2001)*AJ2000,AJ2000)</f>
        <v/>
      </c>
    </row>
    <row r="2002">
      <c r="A2002" s="1" t="n">
        <v>44904</v>
      </c>
      <c r="B2002" s="3">
        <f>IF(ORIG!B2002=0,"",ORIG!B2002)</f>
        <v/>
      </c>
      <c r="C2002" s="3">
        <f>IF(ORIG!C2002=0,"",ORIG!C2002)</f>
        <v/>
      </c>
      <c r="D2002" s="3">
        <f>IF(ORIG!D2002=0,"",ORIG!D2002)</f>
        <v/>
      </c>
      <c r="E2002" s="3">
        <f>IF(ORIG!E2002=0,"",ORIG!E2002)</f>
        <v/>
      </c>
      <c r="F2002" s="3">
        <f>IF(ORIG!F2002=0,"",ORIG!F2002)</f>
        <v/>
      </c>
      <c r="G2002" s="3">
        <f>IF(ORIG!G2002=0,"",ORIG!G2002)</f>
        <v/>
      </c>
      <c r="H2002" s="3">
        <f>IF(ORIG!H2002=0,"",ORIG!H2002)</f>
        <v/>
      </c>
      <c r="I2002" s="3">
        <f>IF(ORIG!I2002=0,"",ORIG!I2002)</f>
        <v/>
      </c>
      <c r="J2002" s="3">
        <f>IF(ORIG!J2002=0,"",ORIG!J2002)</f>
        <v/>
      </c>
      <c r="K2002" s="3">
        <f>IF(ORIG!K2002=0,"",ORIG!K2002)</f>
        <v/>
      </c>
      <c r="L2002" s="3">
        <f>IF(ORIG!L2002=0,"",ORIG!L2002)</f>
        <v/>
      </c>
      <c r="M2002" s="3">
        <f>IF(ORIG!M2002=0,"",ORIG!M2002)</f>
        <v/>
      </c>
      <c r="N2002" s="3">
        <f>IF(ORIG!N2002=0,"",ORIG!N2002)</f>
        <v/>
      </c>
      <c r="O2002" s="3">
        <f>IF(ORIG!O2002=0,"",ORIG!O2002)</f>
        <v/>
      </c>
      <c r="P2002" s="3">
        <f>IF(ORIG!P2002=0,"",ORIG!P2002)</f>
        <v/>
      </c>
      <c r="Q2002" s="3">
        <f>IF(ORIG!Q2002=0,"",ORIG!Q2002)</f>
        <v/>
      </c>
      <c r="R2002" s="3">
        <f>IF(ORIG!R2002=0,"",ORIG!R2002)</f>
        <v/>
      </c>
      <c r="S2002" s="3">
        <f>IF(ORIG!S2002=0,"",ORIG!S2002)</f>
        <v/>
      </c>
      <c r="T2002" s="3">
        <f>IF(ORIG!T2002=0,"",ORIG!T2002)</f>
        <v/>
      </c>
      <c r="U2002" s="3">
        <f>IF(ORIG!U2002=0,"",ORIG!U2002)</f>
        <v/>
      </c>
      <c r="V2002" s="9">
        <f>IF(ORIG!V2002=0,"",ORIG!V2002)</f>
        <v/>
      </c>
      <c r="W2002" s="9">
        <f>IF(ORIG!W2002=0,"",ORIG!W2002)</f>
        <v/>
      </c>
      <c r="X2002" s="9">
        <f>IF(ORIG!X2002=0,"",ORIG!X2002)</f>
        <v/>
      </c>
      <c r="Y2002" s="9">
        <f>IF(ORIG!Y2002=0,"",ORIG!Y2002)</f>
        <v/>
      </c>
      <c r="Z2002" s="3">
        <f>SUMPRODUCT($B2002:$Y2002,$B$2649:$Y$2649)</f>
        <v/>
      </c>
      <c r="AA2002" s="3">
        <f>SUMPRODUCT($B2002:$Y2002,$B$2655:$Y$2655)</f>
        <v/>
      </c>
      <c r="AC2002" s="1">
        <f>A2002</f>
        <v/>
      </c>
      <c r="AD2002">
        <f>IF(ISNUMBER(V2002),V2002*($AB$1/V$2635),"")</f>
        <v/>
      </c>
      <c r="AE2002">
        <f>IF(ISNUMBER(Z2002),Z2002*($AB$1/Z$2635),"")</f>
        <v/>
      </c>
      <c r="AF2002" s="25">
        <f>IF(ISNUMBER(AD2002+AE2002),AD2002+AE2002,"")</f>
        <v/>
      </c>
      <c r="AH2002" s="1">
        <f>A2002</f>
        <v/>
      </c>
      <c r="AI2002">
        <f>IF(ISNUMBER((1+V2002)*AI2001),(1+V2002)*AI2001,AI2001)</f>
        <v/>
      </c>
      <c r="AJ2002">
        <f>IF(ISNUMBER((1+Z2002)*AJ2001),(1+Z2002)*AJ2001,AJ2001)</f>
        <v/>
      </c>
    </row>
    <row r="2003">
      <c r="A2003" s="1" t="n">
        <v>44907</v>
      </c>
      <c r="B2003" s="3">
        <f>IF(ORIG!B2003=0,"",ORIG!B2003)</f>
        <v/>
      </c>
      <c r="C2003" s="3">
        <f>IF(ORIG!C2003=0,"",ORIG!C2003)</f>
        <v/>
      </c>
      <c r="D2003" s="3">
        <f>IF(ORIG!D2003=0,"",ORIG!D2003)</f>
        <v/>
      </c>
      <c r="E2003" s="3">
        <f>IF(ORIG!E2003=0,"",ORIG!E2003)</f>
        <v/>
      </c>
      <c r="F2003" s="3">
        <f>IF(ORIG!F2003=0,"",ORIG!F2003)</f>
        <v/>
      </c>
      <c r="G2003" s="3">
        <f>IF(ORIG!G2003=0,"",ORIG!G2003)</f>
        <v/>
      </c>
      <c r="H2003" s="3">
        <f>IF(ORIG!H2003=0,"",ORIG!H2003)</f>
        <v/>
      </c>
      <c r="I2003" s="3">
        <f>IF(ORIG!I2003=0,"",ORIG!I2003)</f>
        <v/>
      </c>
      <c r="J2003" s="3">
        <f>IF(ORIG!J2003=0,"",ORIG!J2003)</f>
        <v/>
      </c>
      <c r="K2003" s="3">
        <f>IF(ORIG!K2003=0,"",ORIG!K2003)</f>
        <v/>
      </c>
      <c r="L2003" s="3">
        <f>IF(ORIG!L2003=0,"",ORIG!L2003)</f>
        <v/>
      </c>
      <c r="M2003" s="3">
        <f>IF(ORIG!M2003=0,"",ORIG!M2003)</f>
        <v/>
      </c>
      <c r="N2003" s="3">
        <f>IF(ORIG!N2003=0,"",ORIG!N2003)</f>
        <v/>
      </c>
      <c r="O2003" s="3">
        <f>IF(ORIG!O2003=0,"",ORIG!O2003)</f>
        <v/>
      </c>
      <c r="P2003" s="3">
        <f>IF(ORIG!P2003=0,"",ORIG!P2003)</f>
        <v/>
      </c>
      <c r="Q2003" s="3">
        <f>IF(ORIG!Q2003=0,"",ORIG!Q2003)</f>
        <v/>
      </c>
      <c r="R2003" s="3">
        <f>IF(ORIG!R2003=0,"",ORIG!R2003)</f>
        <v/>
      </c>
      <c r="S2003" s="3">
        <f>IF(ORIG!S2003=0,"",ORIG!S2003)</f>
        <v/>
      </c>
      <c r="T2003" s="3">
        <f>IF(ORIG!T2003=0,"",ORIG!T2003)</f>
        <v/>
      </c>
      <c r="U2003" s="3">
        <f>IF(ORIG!U2003=0,"",ORIG!U2003)</f>
        <v/>
      </c>
      <c r="V2003" s="9">
        <f>IF(ORIG!V2003=0,"",ORIG!V2003)</f>
        <v/>
      </c>
      <c r="W2003" s="9">
        <f>IF(ORIG!W2003=0,"",ORIG!W2003)</f>
        <v/>
      </c>
      <c r="X2003" s="9">
        <f>IF(ORIG!X2003=0,"",ORIG!X2003)</f>
        <v/>
      </c>
      <c r="Y2003" s="9">
        <f>IF(ORIG!Y2003=0,"",ORIG!Y2003)</f>
        <v/>
      </c>
      <c r="Z2003" s="3">
        <f>SUMPRODUCT($B2003:$Y2003,$B$2649:$Y$2649)</f>
        <v/>
      </c>
      <c r="AA2003" s="3">
        <f>SUMPRODUCT($B2003:$Y2003,$B$2655:$Y$2655)</f>
        <v/>
      </c>
      <c r="AC2003" s="1">
        <f>A2003</f>
        <v/>
      </c>
      <c r="AD2003">
        <f>IF(ISNUMBER(V2003),V2003*($AB$1/V$2635),"")</f>
        <v/>
      </c>
      <c r="AE2003">
        <f>IF(ISNUMBER(Z2003),Z2003*($AB$1/Z$2635),"")</f>
        <v/>
      </c>
      <c r="AF2003" s="25">
        <f>IF(ISNUMBER(AD2003+AE2003),AD2003+AE2003,"")</f>
        <v/>
      </c>
      <c r="AH2003" s="1">
        <f>A2003</f>
        <v/>
      </c>
      <c r="AI2003">
        <f>IF(ISNUMBER((1+V2003)*AI2002),(1+V2003)*AI2002,AI2002)</f>
        <v/>
      </c>
      <c r="AJ2003">
        <f>IF(ISNUMBER((1+Z2003)*AJ2002),(1+Z2003)*AJ2002,AJ2002)</f>
        <v/>
      </c>
    </row>
    <row r="2004">
      <c r="A2004" s="1" t="n">
        <v>44908</v>
      </c>
      <c r="B2004" s="3">
        <f>IF(ORIG!B2004=0,"",ORIG!B2004)</f>
        <v/>
      </c>
      <c r="C2004" s="3">
        <f>IF(ORIG!C2004=0,"",ORIG!C2004)</f>
        <v/>
      </c>
      <c r="D2004" s="3">
        <f>IF(ORIG!D2004=0,"",ORIG!D2004)</f>
        <v/>
      </c>
      <c r="E2004" s="3">
        <f>IF(ORIG!E2004=0,"",ORIG!E2004)</f>
        <v/>
      </c>
      <c r="F2004" s="3">
        <f>IF(ORIG!F2004=0,"",ORIG!F2004)</f>
        <v/>
      </c>
      <c r="G2004" s="3">
        <f>IF(ORIG!G2004=0,"",ORIG!G2004)</f>
        <v/>
      </c>
      <c r="H2004" s="3">
        <f>IF(ORIG!H2004=0,"",ORIG!H2004)</f>
        <v/>
      </c>
      <c r="I2004" s="3">
        <f>IF(ORIG!I2004=0,"",ORIG!I2004)</f>
        <v/>
      </c>
      <c r="J2004" s="3">
        <f>IF(ORIG!J2004=0,"",ORIG!J2004)</f>
        <v/>
      </c>
      <c r="K2004" s="3">
        <f>IF(ORIG!K2004=0,"",ORIG!K2004)</f>
        <v/>
      </c>
      <c r="L2004" s="3">
        <f>IF(ORIG!L2004=0,"",ORIG!L2004)</f>
        <v/>
      </c>
      <c r="M2004" s="3">
        <f>IF(ORIG!M2004=0,"",ORIG!M2004)</f>
        <v/>
      </c>
      <c r="N2004" s="3">
        <f>IF(ORIG!N2004=0,"",ORIG!N2004)</f>
        <v/>
      </c>
      <c r="O2004" s="3">
        <f>IF(ORIG!O2004=0,"",ORIG!O2004)</f>
        <v/>
      </c>
      <c r="P2004" s="3">
        <f>IF(ORIG!P2004=0,"",ORIG!P2004)</f>
        <v/>
      </c>
      <c r="Q2004" s="3">
        <f>IF(ORIG!Q2004=0,"",ORIG!Q2004)</f>
        <v/>
      </c>
      <c r="R2004" s="3">
        <f>IF(ORIG!R2004=0,"",ORIG!R2004)</f>
        <v/>
      </c>
      <c r="S2004" s="3">
        <f>IF(ORIG!S2004=0,"",ORIG!S2004)</f>
        <v/>
      </c>
      <c r="T2004" s="3">
        <f>IF(ORIG!T2004=0,"",ORIG!T2004)</f>
        <v/>
      </c>
      <c r="U2004" s="3">
        <f>IF(ORIG!U2004=0,"",ORIG!U2004)</f>
        <v/>
      </c>
      <c r="V2004" s="9">
        <f>IF(ORIG!V2004=0,"",ORIG!V2004)</f>
        <v/>
      </c>
      <c r="W2004" s="9">
        <f>IF(ORIG!W2004=0,"",ORIG!W2004)</f>
        <v/>
      </c>
      <c r="X2004" s="9">
        <f>IF(ORIG!X2004=0,"",ORIG!X2004)</f>
        <v/>
      </c>
      <c r="Y2004" s="9">
        <f>IF(ORIG!Y2004=0,"",ORIG!Y2004)</f>
        <v/>
      </c>
      <c r="Z2004" s="3">
        <f>SUMPRODUCT($B2004:$Y2004,$B$2649:$Y$2649)</f>
        <v/>
      </c>
      <c r="AA2004" s="3">
        <f>SUMPRODUCT($B2004:$Y2004,$B$2655:$Y$2655)</f>
        <v/>
      </c>
      <c r="AC2004" s="1">
        <f>A2004</f>
        <v/>
      </c>
      <c r="AD2004">
        <f>IF(ISNUMBER(V2004),V2004*($AB$1/V$2635),"")</f>
        <v/>
      </c>
      <c r="AE2004">
        <f>IF(ISNUMBER(Z2004),Z2004*($AB$1/Z$2635),"")</f>
        <v/>
      </c>
      <c r="AF2004" s="25">
        <f>IF(ISNUMBER(AD2004+AE2004),AD2004+AE2004,"")</f>
        <v/>
      </c>
      <c r="AH2004" s="1">
        <f>A2004</f>
        <v/>
      </c>
      <c r="AI2004">
        <f>IF(ISNUMBER((1+V2004)*AI2003),(1+V2004)*AI2003,AI2003)</f>
        <v/>
      </c>
      <c r="AJ2004">
        <f>IF(ISNUMBER((1+Z2004)*AJ2003),(1+Z2004)*AJ2003,AJ2003)</f>
        <v/>
      </c>
    </row>
    <row r="2005">
      <c r="A2005" s="1" t="n">
        <v>44909</v>
      </c>
      <c r="B2005" s="3">
        <f>IF(ORIG!B2005=0,"",ORIG!B2005)</f>
        <v/>
      </c>
      <c r="C2005" s="3">
        <f>IF(ORIG!C2005=0,"",ORIG!C2005)</f>
        <v/>
      </c>
      <c r="D2005" s="3">
        <f>IF(ORIG!D2005=0,"",ORIG!D2005)</f>
        <v/>
      </c>
      <c r="E2005" s="3">
        <f>IF(ORIG!E2005=0,"",ORIG!E2005)</f>
        <v/>
      </c>
      <c r="F2005" s="3">
        <f>IF(ORIG!F2005=0,"",ORIG!F2005)</f>
        <v/>
      </c>
      <c r="G2005" s="3">
        <f>IF(ORIG!G2005=0,"",ORIG!G2005)</f>
        <v/>
      </c>
      <c r="H2005" s="3">
        <f>IF(ORIG!H2005=0,"",ORIG!H2005)</f>
        <v/>
      </c>
      <c r="I2005" s="3">
        <f>IF(ORIG!I2005=0,"",ORIG!I2005)</f>
        <v/>
      </c>
      <c r="J2005" s="3">
        <f>IF(ORIG!J2005=0,"",ORIG!J2005)</f>
        <v/>
      </c>
      <c r="K2005" s="3">
        <f>IF(ORIG!K2005=0,"",ORIG!K2005)</f>
        <v/>
      </c>
      <c r="L2005" s="3">
        <f>IF(ORIG!L2005=0,"",ORIG!L2005)</f>
        <v/>
      </c>
      <c r="M2005" s="3">
        <f>IF(ORIG!M2005=0,"",ORIG!M2005)</f>
        <v/>
      </c>
      <c r="N2005" s="3">
        <f>IF(ORIG!N2005=0,"",ORIG!N2005)</f>
        <v/>
      </c>
      <c r="O2005" s="3">
        <f>IF(ORIG!O2005=0,"",ORIG!O2005)</f>
        <v/>
      </c>
      <c r="P2005" s="3">
        <f>IF(ORIG!P2005=0,"",ORIG!P2005)</f>
        <v/>
      </c>
      <c r="Q2005" s="3">
        <f>IF(ORIG!Q2005=0,"",ORIG!Q2005)</f>
        <v/>
      </c>
      <c r="R2005" s="3">
        <f>IF(ORIG!R2005=0,"",ORIG!R2005)</f>
        <v/>
      </c>
      <c r="S2005" s="3">
        <f>IF(ORIG!S2005=0,"",ORIG!S2005)</f>
        <v/>
      </c>
      <c r="T2005" s="3">
        <f>IF(ORIG!T2005=0,"",ORIG!T2005)</f>
        <v/>
      </c>
      <c r="U2005" s="3">
        <f>IF(ORIG!U2005=0,"",ORIG!U2005)</f>
        <v/>
      </c>
      <c r="V2005" s="9">
        <f>IF(ORIG!V2005=0,"",ORIG!V2005)</f>
        <v/>
      </c>
      <c r="W2005" s="9">
        <f>IF(ORIG!W2005=0,"",ORIG!W2005)</f>
        <v/>
      </c>
      <c r="X2005" s="9">
        <f>IF(ORIG!X2005=0,"",ORIG!X2005)</f>
        <v/>
      </c>
      <c r="Y2005" s="9">
        <f>IF(ORIG!Y2005=0,"",ORIG!Y2005)</f>
        <v/>
      </c>
      <c r="Z2005" s="3">
        <f>SUMPRODUCT($B2005:$Y2005,$B$2649:$Y$2649)</f>
        <v/>
      </c>
      <c r="AA2005" s="3">
        <f>SUMPRODUCT($B2005:$Y2005,$B$2655:$Y$2655)</f>
        <v/>
      </c>
      <c r="AC2005" s="1">
        <f>A2005</f>
        <v/>
      </c>
      <c r="AD2005">
        <f>IF(ISNUMBER(V2005),V2005*($AB$1/V$2635),"")</f>
        <v/>
      </c>
      <c r="AE2005">
        <f>IF(ISNUMBER(Z2005),Z2005*($AB$1/Z$2635),"")</f>
        <v/>
      </c>
      <c r="AF2005" s="25">
        <f>IF(ISNUMBER(AD2005+AE2005),AD2005+AE2005,"")</f>
        <v/>
      </c>
      <c r="AH2005" s="1">
        <f>A2005</f>
        <v/>
      </c>
      <c r="AI2005">
        <f>IF(ISNUMBER((1+V2005)*AI2004),(1+V2005)*AI2004,AI2004)</f>
        <v/>
      </c>
      <c r="AJ2005">
        <f>IF(ISNUMBER((1+Z2005)*AJ2004),(1+Z2005)*AJ2004,AJ2004)</f>
        <v/>
      </c>
    </row>
    <row r="2006">
      <c r="A2006" s="1" t="n">
        <v>44910</v>
      </c>
      <c r="B2006" s="3">
        <f>IF(ORIG!B2006=0,"",ORIG!B2006)</f>
        <v/>
      </c>
      <c r="C2006" s="3">
        <f>IF(ORIG!C2006=0,"",ORIG!C2006)</f>
        <v/>
      </c>
      <c r="D2006" s="3">
        <f>IF(ORIG!D2006=0,"",ORIG!D2006)</f>
        <v/>
      </c>
      <c r="E2006" s="3">
        <f>IF(ORIG!E2006=0,"",ORIG!E2006)</f>
        <v/>
      </c>
      <c r="F2006" s="3">
        <f>IF(ORIG!F2006=0,"",ORIG!F2006)</f>
        <v/>
      </c>
      <c r="G2006" s="3">
        <f>IF(ORIG!G2006=0,"",ORIG!G2006)</f>
        <v/>
      </c>
      <c r="H2006" s="3">
        <f>IF(ORIG!H2006=0,"",ORIG!H2006)</f>
        <v/>
      </c>
      <c r="I2006" s="3">
        <f>IF(ORIG!I2006=0,"",ORIG!I2006)</f>
        <v/>
      </c>
      <c r="J2006" s="3">
        <f>IF(ORIG!J2006=0,"",ORIG!J2006)</f>
        <v/>
      </c>
      <c r="K2006" s="3">
        <f>IF(ORIG!K2006=0,"",ORIG!K2006)</f>
        <v/>
      </c>
      <c r="L2006" s="3">
        <f>IF(ORIG!L2006=0,"",ORIG!L2006)</f>
        <v/>
      </c>
      <c r="M2006" s="3">
        <f>IF(ORIG!M2006=0,"",ORIG!M2006)</f>
        <v/>
      </c>
      <c r="N2006" s="3">
        <f>IF(ORIG!N2006=0,"",ORIG!N2006)</f>
        <v/>
      </c>
      <c r="O2006" s="3">
        <f>IF(ORIG!O2006=0,"",ORIG!O2006)</f>
        <v/>
      </c>
      <c r="P2006" s="3">
        <f>IF(ORIG!P2006=0,"",ORIG!P2006)</f>
        <v/>
      </c>
      <c r="Q2006" s="3">
        <f>IF(ORIG!Q2006=0,"",ORIG!Q2006)</f>
        <v/>
      </c>
      <c r="R2006" s="3">
        <f>IF(ORIG!R2006=0,"",ORIG!R2006)</f>
        <v/>
      </c>
      <c r="S2006" s="3">
        <f>IF(ORIG!S2006=0,"",ORIG!S2006)</f>
        <v/>
      </c>
      <c r="T2006" s="3">
        <f>IF(ORIG!T2006=0,"",ORIG!T2006)</f>
        <v/>
      </c>
      <c r="U2006" s="3">
        <f>IF(ORIG!U2006=0,"",ORIG!U2006)</f>
        <v/>
      </c>
      <c r="V2006" s="9">
        <f>IF(ORIG!V2006=0,"",ORIG!V2006)</f>
        <v/>
      </c>
      <c r="W2006" s="9">
        <f>IF(ORIG!W2006=0,"",ORIG!W2006)</f>
        <v/>
      </c>
      <c r="X2006" s="9">
        <f>IF(ORIG!X2006=0,"",ORIG!X2006)</f>
        <v/>
      </c>
      <c r="Y2006" s="9">
        <f>IF(ORIG!Y2006=0,"",ORIG!Y2006)</f>
        <v/>
      </c>
      <c r="Z2006" s="3">
        <f>SUMPRODUCT($B2006:$Y2006,$B$2649:$Y$2649)</f>
        <v/>
      </c>
      <c r="AA2006" s="3">
        <f>SUMPRODUCT($B2006:$Y2006,$B$2655:$Y$2655)</f>
        <v/>
      </c>
      <c r="AC2006" s="1">
        <f>A2006</f>
        <v/>
      </c>
      <c r="AD2006">
        <f>IF(ISNUMBER(V2006),V2006*($AB$1/V$2635),"")</f>
        <v/>
      </c>
      <c r="AE2006">
        <f>IF(ISNUMBER(Z2006),Z2006*($AB$1/Z$2635),"")</f>
        <v/>
      </c>
      <c r="AF2006" s="25">
        <f>IF(ISNUMBER(AD2006+AE2006),AD2006+AE2006,"")</f>
        <v/>
      </c>
      <c r="AH2006" s="1">
        <f>A2006</f>
        <v/>
      </c>
      <c r="AI2006">
        <f>IF(ISNUMBER((1+V2006)*AI2005),(1+V2006)*AI2005,AI2005)</f>
        <v/>
      </c>
      <c r="AJ2006">
        <f>IF(ISNUMBER((1+Z2006)*AJ2005),(1+Z2006)*AJ2005,AJ2005)</f>
        <v/>
      </c>
    </row>
    <row r="2007">
      <c r="A2007" s="1" t="n">
        <v>44911</v>
      </c>
      <c r="B2007" s="3">
        <f>IF(ORIG!B2007=0,"",ORIG!B2007)</f>
        <v/>
      </c>
      <c r="C2007" s="3">
        <f>IF(ORIG!C2007=0,"",ORIG!C2007)</f>
        <v/>
      </c>
      <c r="D2007" s="3">
        <f>IF(ORIG!D2007=0,"",ORIG!D2007)</f>
        <v/>
      </c>
      <c r="E2007" s="3">
        <f>IF(ORIG!E2007=0,"",ORIG!E2007)</f>
        <v/>
      </c>
      <c r="F2007" s="3">
        <f>IF(ORIG!F2007=0,"",ORIG!F2007)</f>
        <v/>
      </c>
      <c r="G2007" s="3">
        <f>IF(ORIG!G2007=0,"",ORIG!G2007)</f>
        <v/>
      </c>
      <c r="H2007" s="3">
        <f>IF(ORIG!H2007=0,"",ORIG!H2007)</f>
        <v/>
      </c>
      <c r="I2007" s="3">
        <f>IF(ORIG!I2007=0,"",ORIG!I2007)</f>
        <v/>
      </c>
      <c r="J2007" s="3">
        <f>IF(ORIG!J2007=0,"",ORIG!J2007)</f>
        <v/>
      </c>
      <c r="K2007" s="3">
        <f>IF(ORIG!K2007=0,"",ORIG!K2007)</f>
        <v/>
      </c>
      <c r="L2007" s="3">
        <f>IF(ORIG!L2007=0,"",ORIG!L2007)</f>
        <v/>
      </c>
      <c r="M2007" s="3">
        <f>IF(ORIG!M2007=0,"",ORIG!M2007)</f>
        <v/>
      </c>
      <c r="N2007" s="3">
        <f>IF(ORIG!N2007=0,"",ORIG!N2007)</f>
        <v/>
      </c>
      <c r="O2007" s="3">
        <f>IF(ORIG!O2007=0,"",ORIG!O2007)</f>
        <v/>
      </c>
      <c r="P2007" s="3">
        <f>IF(ORIG!P2007=0,"",ORIG!P2007)</f>
        <v/>
      </c>
      <c r="Q2007" s="3">
        <f>IF(ORIG!Q2007=0,"",ORIG!Q2007)</f>
        <v/>
      </c>
      <c r="R2007" s="3">
        <f>IF(ORIG!R2007=0,"",ORIG!R2007)</f>
        <v/>
      </c>
      <c r="S2007" s="3">
        <f>IF(ORIG!S2007=0,"",ORIG!S2007)</f>
        <v/>
      </c>
      <c r="T2007" s="3">
        <f>IF(ORIG!T2007=0,"",ORIG!T2007)</f>
        <v/>
      </c>
      <c r="U2007" s="3">
        <f>IF(ORIG!U2007=0,"",ORIG!U2007)</f>
        <v/>
      </c>
      <c r="V2007" s="9">
        <f>IF(ORIG!V2007=0,"",ORIG!V2007)</f>
        <v/>
      </c>
      <c r="W2007" s="9">
        <f>IF(ORIG!W2007=0,"",ORIG!W2007)</f>
        <v/>
      </c>
      <c r="X2007" s="9">
        <f>IF(ORIG!X2007=0,"",ORIG!X2007)</f>
        <v/>
      </c>
      <c r="Y2007" s="9">
        <f>IF(ORIG!Y2007=0,"",ORIG!Y2007)</f>
        <v/>
      </c>
      <c r="Z2007" s="3">
        <f>SUMPRODUCT($B2007:$Y2007,$B$2649:$Y$2649)</f>
        <v/>
      </c>
      <c r="AA2007" s="3">
        <f>SUMPRODUCT($B2007:$Y2007,$B$2655:$Y$2655)</f>
        <v/>
      </c>
      <c r="AC2007" s="1">
        <f>A2007</f>
        <v/>
      </c>
      <c r="AD2007">
        <f>IF(ISNUMBER(V2007),V2007*($AB$1/V$2635),"")</f>
        <v/>
      </c>
      <c r="AE2007">
        <f>IF(ISNUMBER(Z2007),Z2007*($AB$1/Z$2635),"")</f>
        <v/>
      </c>
      <c r="AF2007" s="25">
        <f>IF(ISNUMBER(AD2007+AE2007),AD2007+AE2007,"")</f>
        <v/>
      </c>
      <c r="AH2007" s="1">
        <f>A2007</f>
        <v/>
      </c>
      <c r="AI2007">
        <f>IF(ISNUMBER((1+V2007)*AI2006),(1+V2007)*AI2006,AI2006)</f>
        <v/>
      </c>
      <c r="AJ2007">
        <f>IF(ISNUMBER((1+Z2007)*AJ2006),(1+Z2007)*AJ2006,AJ2006)</f>
        <v/>
      </c>
    </row>
    <row r="2008">
      <c r="A2008" s="1" t="n">
        <v>44914</v>
      </c>
      <c r="B2008" s="3">
        <f>IF(ORIG!B2008=0,"",ORIG!B2008)</f>
        <v/>
      </c>
      <c r="C2008" s="3">
        <f>IF(ORIG!C2008=0,"",ORIG!C2008)</f>
        <v/>
      </c>
      <c r="D2008" s="3">
        <f>IF(ORIG!D2008=0,"",ORIG!D2008)</f>
        <v/>
      </c>
      <c r="E2008" s="3">
        <f>IF(ORIG!E2008=0,"",ORIG!E2008)</f>
        <v/>
      </c>
      <c r="F2008" s="3">
        <f>IF(ORIG!F2008=0,"",ORIG!F2008)</f>
        <v/>
      </c>
      <c r="G2008" s="3">
        <f>IF(ORIG!G2008=0,"",ORIG!G2008)</f>
        <v/>
      </c>
      <c r="H2008" s="3">
        <f>IF(ORIG!H2008=0,"",ORIG!H2008)</f>
        <v/>
      </c>
      <c r="I2008" s="3">
        <f>IF(ORIG!I2008=0,"",ORIG!I2008)</f>
        <v/>
      </c>
      <c r="J2008" s="3">
        <f>IF(ORIG!J2008=0,"",ORIG!J2008)</f>
        <v/>
      </c>
      <c r="K2008" s="3">
        <f>IF(ORIG!K2008=0,"",ORIG!K2008)</f>
        <v/>
      </c>
      <c r="L2008" s="3">
        <f>IF(ORIG!L2008=0,"",ORIG!L2008)</f>
        <v/>
      </c>
      <c r="M2008" s="3">
        <f>IF(ORIG!M2008=0,"",ORIG!M2008)</f>
        <v/>
      </c>
      <c r="N2008" s="3">
        <f>IF(ORIG!N2008=0,"",ORIG!N2008)</f>
        <v/>
      </c>
      <c r="O2008" s="3">
        <f>IF(ORIG!O2008=0,"",ORIG!O2008)</f>
        <v/>
      </c>
      <c r="P2008" s="3">
        <f>IF(ORIG!P2008=0,"",ORIG!P2008)</f>
        <v/>
      </c>
      <c r="Q2008" s="3">
        <f>IF(ORIG!Q2008=0,"",ORIG!Q2008)</f>
        <v/>
      </c>
      <c r="R2008" s="3">
        <f>IF(ORIG!R2008=0,"",ORIG!R2008)</f>
        <v/>
      </c>
      <c r="S2008" s="3">
        <f>IF(ORIG!S2008=0,"",ORIG!S2008)</f>
        <v/>
      </c>
      <c r="T2008" s="3">
        <f>IF(ORIG!T2008=0,"",ORIG!T2008)</f>
        <v/>
      </c>
      <c r="U2008" s="3">
        <f>IF(ORIG!U2008=0,"",ORIG!U2008)</f>
        <v/>
      </c>
      <c r="V2008" s="9">
        <f>IF(ORIG!V2008=0,"",ORIG!V2008)</f>
        <v/>
      </c>
      <c r="W2008" s="9">
        <f>IF(ORIG!W2008=0,"",ORIG!W2008)</f>
        <v/>
      </c>
      <c r="X2008" s="9">
        <f>IF(ORIG!X2008=0,"",ORIG!X2008)</f>
        <v/>
      </c>
      <c r="Y2008" s="9">
        <f>IF(ORIG!Y2008=0,"",ORIG!Y2008)</f>
        <v/>
      </c>
      <c r="Z2008" s="3">
        <f>SUMPRODUCT($B2008:$Y2008,$B$2649:$Y$2649)</f>
        <v/>
      </c>
      <c r="AA2008" s="3">
        <f>SUMPRODUCT($B2008:$Y2008,$B$2655:$Y$2655)</f>
        <v/>
      </c>
      <c r="AC2008" s="1">
        <f>A2008</f>
        <v/>
      </c>
      <c r="AD2008">
        <f>IF(ISNUMBER(V2008),V2008*($AB$1/V$2635),"")</f>
        <v/>
      </c>
      <c r="AE2008">
        <f>IF(ISNUMBER(Z2008),Z2008*($AB$1/Z$2635),"")</f>
        <v/>
      </c>
      <c r="AF2008" s="25">
        <f>IF(ISNUMBER(AD2008+AE2008),AD2008+AE2008,"")</f>
        <v/>
      </c>
      <c r="AH2008" s="1">
        <f>A2008</f>
        <v/>
      </c>
      <c r="AI2008">
        <f>IF(ISNUMBER((1+V2008)*AI2007),(1+V2008)*AI2007,AI2007)</f>
        <v/>
      </c>
      <c r="AJ2008">
        <f>IF(ISNUMBER((1+Z2008)*AJ2007),(1+Z2008)*AJ2007,AJ2007)</f>
        <v/>
      </c>
    </row>
    <row r="2009">
      <c r="A2009" s="1" t="n">
        <v>44915</v>
      </c>
      <c r="B2009" s="3">
        <f>IF(ORIG!B2009=0,"",ORIG!B2009)</f>
        <v/>
      </c>
      <c r="C2009" s="3">
        <f>IF(ORIG!C2009=0,"",ORIG!C2009)</f>
        <v/>
      </c>
      <c r="D2009" s="3">
        <f>IF(ORIG!D2009=0,"",ORIG!D2009)</f>
        <v/>
      </c>
      <c r="E2009" s="3">
        <f>IF(ORIG!E2009=0,"",ORIG!E2009)</f>
        <v/>
      </c>
      <c r="F2009" s="3">
        <f>IF(ORIG!F2009=0,"",ORIG!F2009)</f>
        <v/>
      </c>
      <c r="G2009" s="3">
        <f>IF(ORIG!G2009=0,"",ORIG!G2009)</f>
        <v/>
      </c>
      <c r="H2009" s="3">
        <f>IF(ORIG!H2009=0,"",ORIG!H2009)</f>
        <v/>
      </c>
      <c r="I2009" s="3">
        <f>IF(ORIG!I2009=0,"",ORIG!I2009)</f>
        <v/>
      </c>
      <c r="J2009" s="3">
        <f>IF(ORIG!J2009=0,"",ORIG!J2009)</f>
        <v/>
      </c>
      <c r="K2009" s="3">
        <f>IF(ORIG!K2009=0,"",ORIG!K2009)</f>
        <v/>
      </c>
      <c r="L2009" s="3">
        <f>IF(ORIG!L2009=0,"",ORIG!L2009)</f>
        <v/>
      </c>
      <c r="M2009" s="3">
        <f>IF(ORIG!M2009=0,"",ORIG!M2009)</f>
        <v/>
      </c>
      <c r="N2009" s="3">
        <f>IF(ORIG!N2009=0,"",ORIG!N2009)</f>
        <v/>
      </c>
      <c r="O2009" s="3">
        <f>IF(ORIG!O2009=0,"",ORIG!O2009)</f>
        <v/>
      </c>
      <c r="P2009" s="3">
        <f>IF(ORIG!P2009=0,"",ORIG!P2009)</f>
        <v/>
      </c>
      <c r="Q2009" s="3">
        <f>IF(ORIG!Q2009=0,"",ORIG!Q2009)</f>
        <v/>
      </c>
      <c r="R2009" s="3">
        <f>IF(ORIG!R2009=0,"",ORIG!R2009)</f>
        <v/>
      </c>
      <c r="S2009" s="3">
        <f>IF(ORIG!S2009=0,"",ORIG!S2009)</f>
        <v/>
      </c>
      <c r="T2009" s="3">
        <f>IF(ORIG!T2009=0,"",ORIG!T2009)</f>
        <v/>
      </c>
      <c r="U2009" s="3">
        <f>IF(ORIG!U2009=0,"",ORIG!U2009)</f>
        <v/>
      </c>
      <c r="V2009" s="9">
        <f>IF(ORIG!V2009=0,"",ORIG!V2009)</f>
        <v/>
      </c>
      <c r="W2009" s="9">
        <f>IF(ORIG!W2009=0,"",ORIG!W2009)</f>
        <v/>
      </c>
      <c r="X2009" s="9">
        <f>IF(ORIG!X2009=0,"",ORIG!X2009)</f>
        <v/>
      </c>
      <c r="Y2009" s="9">
        <f>IF(ORIG!Y2009=0,"",ORIG!Y2009)</f>
        <v/>
      </c>
      <c r="Z2009" s="3">
        <f>SUMPRODUCT($B2009:$Y2009,$B$2649:$Y$2649)</f>
        <v/>
      </c>
      <c r="AA2009" s="3">
        <f>SUMPRODUCT($B2009:$Y2009,$B$2655:$Y$2655)</f>
        <v/>
      </c>
      <c r="AC2009" s="1">
        <f>A2009</f>
        <v/>
      </c>
      <c r="AD2009">
        <f>IF(ISNUMBER(V2009),V2009*($AB$1/V$2635),"")</f>
        <v/>
      </c>
      <c r="AE2009">
        <f>IF(ISNUMBER(Z2009),Z2009*($AB$1/Z$2635),"")</f>
        <v/>
      </c>
      <c r="AF2009" s="25">
        <f>IF(ISNUMBER(AD2009+AE2009),AD2009+AE2009,"")</f>
        <v/>
      </c>
      <c r="AH2009" s="1">
        <f>A2009</f>
        <v/>
      </c>
      <c r="AI2009">
        <f>IF(ISNUMBER((1+V2009)*AI2008),(1+V2009)*AI2008,AI2008)</f>
        <v/>
      </c>
      <c r="AJ2009">
        <f>IF(ISNUMBER((1+Z2009)*AJ2008),(1+Z2009)*AJ2008,AJ2008)</f>
        <v/>
      </c>
    </row>
    <row r="2010">
      <c r="A2010" s="1" t="n">
        <v>44916</v>
      </c>
      <c r="B2010" s="3">
        <f>IF(ORIG!B2010=0,"",ORIG!B2010)</f>
        <v/>
      </c>
      <c r="C2010" s="3">
        <f>IF(ORIG!C2010=0,"",ORIG!C2010)</f>
        <v/>
      </c>
      <c r="D2010" s="3">
        <f>IF(ORIG!D2010=0,"",ORIG!D2010)</f>
        <v/>
      </c>
      <c r="E2010" s="3">
        <f>IF(ORIG!E2010=0,"",ORIG!E2010)</f>
        <v/>
      </c>
      <c r="F2010" s="3">
        <f>IF(ORIG!F2010=0,"",ORIG!F2010)</f>
        <v/>
      </c>
      <c r="G2010" s="3">
        <f>IF(ORIG!G2010=0,"",ORIG!G2010)</f>
        <v/>
      </c>
      <c r="H2010" s="3">
        <f>IF(ORIG!H2010=0,"",ORIG!H2010)</f>
        <v/>
      </c>
      <c r="I2010" s="3">
        <f>IF(ORIG!I2010=0,"",ORIG!I2010)</f>
        <v/>
      </c>
      <c r="J2010" s="3">
        <f>IF(ORIG!J2010=0,"",ORIG!J2010)</f>
        <v/>
      </c>
      <c r="K2010" s="3">
        <f>IF(ORIG!K2010=0,"",ORIG!K2010)</f>
        <v/>
      </c>
      <c r="L2010" s="3">
        <f>IF(ORIG!L2010=0,"",ORIG!L2010)</f>
        <v/>
      </c>
      <c r="M2010" s="3">
        <f>IF(ORIG!M2010=0,"",ORIG!M2010)</f>
        <v/>
      </c>
      <c r="N2010" s="3">
        <f>IF(ORIG!N2010=0,"",ORIG!N2010)</f>
        <v/>
      </c>
      <c r="O2010" s="3">
        <f>IF(ORIG!O2010=0,"",ORIG!O2010)</f>
        <v/>
      </c>
      <c r="P2010" s="3">
        <f>IF(ORIG!P2010=0,"",ORIG!P2010)</f>
        <v/>
      </c>
      <c r="Q2010" s="3">
        <f>IF(ORIG!Q2010=0,"",ORIG!Q2010)</f>
        <v/>
      </c>
      <c r="R2010" s="3">
        <f>IF(ORIG!R2010=0,"",ORIG!R2010)</f>
        <v/>
      </c>
      <c r="S2010" s="3">
        <f>IF(ORIG!S2010=0,"",ORIG!S2010)</f>
        <v/>
      </c>
      <c r="T2010" s="3">
        <f>IF(ORIG!T2010=0,"",ORIG!T2010)</f>
        <v/>
      </c>
      <c r="U2010" s="3">
        <f>IF(ORIG!U2010=0,"",ORIG!U2010)</f>
        <v/>
      </c>
      <c r="V2010" s="9">
        <f>IF(ORIG!V2010=0,"",ORIG!V2010)</f>
        <v/>
      </c>
      <c r="W2010" s="9">
        <f>IF(ORIG!W2010=0,"",ORIG!W2010)</f>
        <v/>
      </c>
      <c r="X2010" s="9">
        <f>IF(ORIG!X2010=0,"",ORIG!X2010)</f>
        <v/>
      </c>
      <c r="Y2010" s="9">
        <f>IF(ORIG!Y2010=0,"",ORIG!Y2010)</f>
        <v/>
      </c>
      <c r="Z2010" s="3">
        <f>SUMPRODUCT($B2010:$Y2010,$B$2649:$Y$2649)</f>
        <v/>
      </c>
      <c r="AA2010" s="3">
        <f>SUMPRODUCT($B2010:$Y2010,$B$2655:$Y$2655)</f>
        <v/>
      </c>
      <c r="AC2010" s="1">
        <f>A2010</f>
        <v/>
      </c>
      <c r="AD2010">
        <f>IF(ISNUMBER(V2010),V2010*($AB$1/V$2635),"")</f>
        <v/>
      </c>
      <c r="AE2010">
        <f>IF(ISNUMBER(Z2010),Z2010*($AB$1/Z$2635),"")</f>
        <v/>
      </c>
      <c r="AF2010" s="25">
        <f>IF(ISNUMBER(AD2010+AE2010),AD2010+AE2010,"")</f>
        <v/>
      </c>
      <c r="AH2010" s="1">
        <f>A2010</f>
        <v/>
      </c>
      <c r="AI2010">
        <f>IF(ISNUMBER((1+V2010)*AI2009),(1+V2010)*AI2009,AI2009)</f>
        <v/>
      </c>
      <c r="AJ2010">
        <f>IF(ISNUMBER((1+Z2010)*AJ2009),(1+Z2010)*AJ2009,AJ2009)</f>
        <v/>
      </c>
    </row>
    <row r="2011">
      <c r="A2011" s="1" t="n">
        <v>44917</v>
      </c>
      <c r="B2011" s="3">
        <f>IF(ORIG!B2011=0,"",ORIG!B2011)</f>
        <v/>
      </c>
      <c r="C2011" s="3">
        <f>IF(ORIG!C2011=0,"",ORIG!C2011)</f>
        <v/>
      </c>
      <c r="D2011" s="3">
        <f>IF(ORIG!D2011=0,"",ORIG!D2011)</f>
        <v/>
      </c>
      <c r="E2011" s="3">
        <f>IF(ORIG!E2011=0,"",ORIG!E2011)</f>
        <v/>
      </c>
      <c r="F2011" s="3">
        <f>IF(ORIG!F2011=0,"",ORIG!F2011)</f>
        <v/>
      </c>
      <c r="G2011" s="3">
        <f>IF(ORIG!G2011=0,"",ORIG!G2011)</f>
        <v/>
      </c>
      <c r="H2011" s="3">
        <f>IF(ORIG!H2011=0,"",ORIG!H2011)</f>
        <v/>
      </c>
      <c r="I2011" s="3">
        <f>IF(ORIG!I2011=0,"",ORIG!I2011)</f>
        <v/>
      </c>
      <c r="J2011" s="3">
        <f>IF(ORIG!J2011=0,"",ORIG!J2011)</f>
        <v/>
      </c>
      <c r="K2011" s="3">
        <f>IF(ORIG!K2011=0,"",ORIG!K2011)</f>
        <v/>
      </c>
      <c r="L2011" s="3">
        <f>IF(ORIG!L2011=0,"",ORIG!L2011)</f>
        <v/>
      </c>
      <c r="M2011" s="3">
        <f>IF(ORIG!M2011=0,"",ORIG!M2011)</f>
        <v/>
      </c>
      <c r="N2011" s="3">
        <f>IF(ORIG!N2011=0,"",ORIG!N2011)</f>
        <v/>
      </c>
      <c r="O2011" s="3">
        <f>IF(ORIG!O2011=0,"",ORIG!O2011)</f>
        <v/>
      </c>
      <c r="P2011" s="3">
        <f>IF(ORIG!P2011=0,"",ORIG!P2011)</f>
        <v/>
      </c>
      <c r="Q2011" s="3">
        <f>IF(ORIG!Q2011=0,"",ORIG!Q2011)</f>
        <v/>
      </c>
      <c r="R2011" s="3">
        <f>IF(ORIG!R2011=0,"",ORIG!R2011)</f>
        <v/>
      </c>
      <c r="S2011" s="3">
        <f>IF(ORIG!S2011=0,"",ORIG!S2011)</f>
        <v/>
      </c>
      <c r="T2011" s="3">
        <f>IF(ORIG!T2011=0,"",ORIG!T2011)</f>
        <v/>
      </c>
      <c r="U2011" s="3">
        <f>IF(ORIG!U2011=0,"",ORIG!U2011)</f>
        <v/>
      </c>
      <c r="V2011" s="9">
        <f>IF(ORIG!V2011=0,"",ORIG!V2011)</f>
        <v/>
      </c>
      <c r="W2011" s="9">
        <f>IF(ORIG!W2011=0,"",ORIG!W2011)</f>
        <v/>
      </c>
      <c r="X2011" s="9">
        <f>IF(ORIG!X2011=0,"",ORIG!X2011)</f>
        <v/>
      </c>
      <c r="Y2011" s="9">
        <f>IF(ORIG!Y2011=0,"",ORIG!Y2011)</f>
        <v/>
      </c>
      <c r="Z2011" s="3">
        <f>SUMPRODUCT($B2011:$Y2011,$B$2649:$Y$2649)</f>
        <v/>
      </c>
      <c r="AA2011" s="3">
        <f>SUMPRODUCT($B2011:$Y2011,$B$2655:$Y$2655)</f>
        <v/>
      </c>
      <c r="AC2011" s="1">
        <f>A2011</f>
        <v/>
      </c>
      <c r="AD2011">
        <f>IF(ISNUMBER(V2011),V2011*($AB$1/V$2635),"")</f>
        <v/>
      </c>
      <c r="AE2011">
        <f>IF(ISNUMBER(Z2011),Z2011*($AB$1/Z$2635),"")</f>
        <v/>
      </c>
      <c r="AF2011" s="25">
        <f>IF(ISNUMBER(AD2011+AE2011),AD2011+AE2011,"")</f>
        <v/>
      </c>
      <c r="AH2011" s="1">
        <f>A2011</f>
        <v/>
      </c>
      <c r="AI2011">
        <f>IF(ISNUMBER((1+V2011)*AI2010),(1+V2011)*AI2010,AI2010)</f>
        <v/>
      </c>
      <c r="AJ2011">
        <f>IF(ISNUMBER((1+Z2011)*AJ2010),(1+Z2011)*AJ2010,AJ2010)</f>
        <v/>
      </c>
    </row>
    <row r="2012">
      <c r="A2012" s="1" t="n">
        <v>44918</v>
      </c>
      <c r="B2012" s="3">
        <f>IF(ORIG!B2012=0,"",ORIG!B2012)</f>
        <v/>
      </c>
      <c r="C2012" s="3">
        <f>IF(ORIG!C2012=0,"",ORIG!C2012)</f>
        <v/>
      </c>
      <c r="D2012" s="3">
        <f>IF(ORIG!D2012=0,"",ORIG!D2012)</f>
        <v/>
      </c>
      <c r="E2012" s="3">
        <f>IF(ORIG!E2012=0,"",ORIG!E2012)</f>
        <v/>
      </c>
      <c r="F2012" s="3">
        <f>IF(ORIG!F2012=0,"",ORIG!F2012)</f>
        <v/>
      </c>
      <c r="G2012" s="3">
        <f>IF(ORIG!G2012=0,"",ORIG!G2012)</f>
        <v/>
      </c>
      <c r="H2012" s="3">
        <f>IF(ORIG!H2012=0,"",ORIG!H2012)</f>
        <v/>
      </c>
      <c r="I2012" s="3">
        <f>IF(ORIG!I2012=0,"",ORIG!I2012)</f>
        <v/>
      </c>
      <c r="J2012" s="3">
        <f>IF(ORIG!J2012=0,"",ORIG!J2012)</f>
        <v/>
      </c>
      <c r="K2012" s="3">
        <f>IF(ORIG!K2012=0,"",ORIG!K2012)</f>
        <v/>
      </c>
      <c r="L2012" s="3">
        <f>IF(ORIG!L2012=0,"",ORIG!L2012)</f>
        <v/>
      </c>
      <c r="M2012" s="3">
        <f>IF(ORIG!M2012=0,"",ORIG!M2012)</f>
        <v/>
      </c>
      <c r="N2012" s="3">
        <f>IF(ORIG!N2012=0,"",ORIG!N2012)</f>
        <v/>
      </c>
      <c r="O2012" s="3">
        <f>IF(ORIG!O2012=0,"",ORIG!O2012)</f>
        <v/>
      </c>
      <c r="P2012" s="3">
        <f>IF(ORIG!P2012=0,"",ORIG!P2012)</f>
        <v/>
      </c>
      <c r="Q2012" s="3">
        <f>IF(ORIG!Q2012=0,"",ORIG!Q2012)</f>
        <v/>
      </c>
      <c r="R2012" s="3">
        <f>IF(ORIG!R2012=0,"",ORIG!R2012)</f>
        <v/>
      </c>
      <c r="S2012" s="3">
        <f>IF(ORIG!S2012=0,"",ORIG!S2012)</f>
        <v/>
      </c>
      <c r="T2012" s="3">
        <f>IF(ORIG!T2012=0,"",ORIG!T2012)</f>
        <v/>
      </c>
      <c r="U2012" s="3">
        <f>IF(ORIG!U2012=0,"",ORIG!U2012)</f>
        <v/>
      </c>
      <c r="V2012" s="9">
        <f>IF(ORIG!V2012=0,"",ORIG!V2012)</f>
        <v/>
      </c>
      <c r="W2012" s="9">
        <f>IF(ORIG!W2012=0,"",ORIG!W2012)</f>
        <v/>
      </c>
      <c r="X2012" s="9">
        <f>IF(ORIG!X2012=0,"",ORIG!X2012)</f>
        <v/>
      </c>
      <c r="Y2012" s="9">
        <f>IF(ORIG!Y2012=0,"",ORIG!Y2012)</f>
        <v/>
      </c>
      <c r="Z2012" s="3">
        <f>SUMPRODUCT($B2012:$Y2012,$B$2649:$Y$2649)</f>
        <v/>
      </c>
      <c r="AA2012" s="3">
        <f>SUMPRODUCT($B2012:$Y2012,$B$2655:$Y$2655)</f>
        <v/>
      </c>
      <c r="AC2012" s="1">
        <f>A2012</f>
        <v/>
      </c>
      <c r="AD2012">
        <f>IF(ISNUMBER(V2012),V2012*($AB$1/V$2635),"")</f>
        <v/>
      </c>
      <c r="AE2012">
        <f>IF(ISNUMBER(Z2012),Z2012*($AB$1/Z$2635),"")</f>
        <v/>
      </c>
      <c r="AF2012" s="25">
        <f>IF(ISNUMBER(AD2012+AE2012),AD2012+AE2012,"")</f>
        <v/>
      </c>
      <c r="AH2012" s="1">
        <f>A2012</f>
        <v/>
      </c>
      <c r="AI2012">
        <f>IF(ISNUMBER((1+V2012)*AI2011),(1+V2012)*AI2011,AI2011)</f>
        <v/>
      </c>
      <c r="AJ2012">
        <f>IF(ISNUMBER((1+Z2012)*AJ2011),(1+Z2012)*AJ2011,AJ2011)</f>
        <v/>
      </c>
    </row>
    <row r="2013">
      <c r="A2013" s="1" t="n">
        <v>44922</v>
      </c>
      <c r="B2013" s="3">
        <f>IF(ORIG!B2013=0,"",ORIG!B2013)</f>
        <v/>
      </c>
      <c r="C2013" s="3">
        <f>IF(ORIG!C2013=0,"",ORIG!C2013)</f>
        <v/>
      </c>
      <c r="D2013" s="3">
        <f>IF(ORIG!D2013=0,"",ORIG!D2013)</f>
        <v/>
      </c>
      <c r="E2013" s="3">
        <f>IF(ORIG!E2013=0,"",ORIG!E2013)</f>
        <v/>
      </c>
      <c r="F2013" s="3">
        <f>IF(ORIG!F2013=0,"",ORIG!F2013)</f>
        <v/>
      </c>
      <c r="G2013" s="3">
        <f>IF(ORIG!G2013=0,"",ORIG!G2013)</f>
        <v/>
      </c>
      <c r="H2013" s="3">
        <f>IF(ORIG!H2013=0,"",ORIG!H2013)</f>
        <v/>
      </c>
      <c r="I2013" s="3">
        <f>IF(ORIG!I2013=0,"",ORIG!I2013)</f>
        <v/>
      </c>
      <c r="J2013" s="3">
        <f>IF(ORIG!J2013=0,"",ORIG!J2013)</f>
        <v/>
      </c>
      <c r="K2013" s="3">
        <f>IF(ORIG!K2013=0,"",ORIG!K2013)</f>
        <v/>
      </c>
      <c r="L2013" s="3">
        <f>IF(ORIG!L2013=0,"",ORIG!L2013)</f>
        <v/>
      </c>
      <c r="M2013" s="3">
        <f>IF(ORIG!M2013=0,"",ORIG!M2013)</f>
        <v/>
      </c>
      <c r="N2013" s="3">
        <f>IF(ORIG!N2013=0,"",ORIG!N2013)</f>
        <v/>
      </c>
      <c r="O2013" s="3">
        <f>IF(ORIG!O2013=0,"",ORIG!O2013)</f>
        <v/>
      </c>
      <c r="P2013" s="3">
        <f>IF(ORIG!P2013=0,"",ORIG!P2013)</f>
        <v/>
      </c>
      <c r="Q2013" s="3">
        <f>IF(ORIG!Q2013=0,"",ORIG!Q2013)</f>
        <v/>
      </c>
      <c r="R2013" s="3">
        <f>IF(ORIG!R2013=0,"",ORIG!R2013)</f>
        <v/>
      </c>
      <c r="S2013" s="3">
        <f>IF(ORIG!S2013=0,"",ORIG!S2013)</f>
        <v/>
      </c>
      <c r="T2013" s="3">
        <f>IF(ORIG!T2013=0,"",ORIG!T2013)</f>
        <v/>
      </c>
      <c r="U2013" s="3">
        <f>IF(ORIG!U2013=0,"",ORIG!U2013)</f>
        <v/>
      </c>
      <c r="V2013" s="9">
        <f>IF(ORIG!V2013=0,"",ORIG!V2013)</f>
        <v/>
      </c>
      <c r="W2013" s="9">
        <f>IF(ORIG!W2013=0,"",ORIG!W2013)</f>
        <v/>
      </c>
      <c r="X2013" s="9">
        <f>IF(ORIG!X2013=0,"",ORIG!X2013)</f>
        <v/>
      </c>
      <c r="Y2013" s="9">
        <f>IF(ORIG!Y2013=0,"",ORIG!Y2013)</f>
        <v/>
      </c>
      <c r="Z2013" s="3">
        <f>SUMPRODUCT($B2013:$Y2013,$B$2649:$Y$2649)</f>
        <v/>
      </c>
      <c r="AA2013" s="3">
        <f>SUMPRODUCT($B2013:$Y2013,$B$2655:$Y$2655)</f>
        <v/>
      </c>
      <c r="AC2013" s="1">
        <f>A2013</f>
        <v/>
      </c>
      <c r="AD2013">
        <f>IF(ISNUMBER(V2013),V2013*($AB$1/V$2635),"")</f>
        <v/>
      </c>
      <c r="AE2013">
        <f>IF(ISNUMBER(Z2013),Z2013*($AB$1/Z$2635),"")</f>
        <v/>
      </c>
      <c r="AF2013" s="25">
        <f>IF(ISNUMBER(AD2013+AE2013),AD2013+AE2013,"")</f>
        <v/>
      </c>
      <c r="AH2013" s="1">
        <f>A2013</f>
        <v/>
      </c>
      <c r="AI2013">
        <f>IF(ISNUMBER((1+V2013)*AI2012),(1+V2013)*AI2012,AI2012)</f>
        <v/>
      </c>
      <c r="AJ2013">
        <f>IF(ISNUMBER((1+Z2013)*AJ2012),(1+Z2013)*AJ2012,AJ2012)</f>
        <v/>
      </c>
    </row>
    <row r="2014">
      <c r="A2014" s="1" t="n">
        <v>44923</v>
      </c>
      <c r="B2014" s="3">
        <f>IF(ORIG!B2014=0,"",ORIG!B2014)</f>
        <v/>
      </c>
      <c r="C2014" s="3">
        <f>IF(ORIG!C2014=0,"",ORIG!C2014)</f>
        <v/>
      </c>
      <c r="D2014" s="3">
        <f>IF(ORIG!D2014=0,"",ORIG!D2014)</f>
        <v/>
      </c>
      <c r="E2014" s="3">
        <f>IF(ORIG!E2014=0,"",ORIG!E2014)</f>
        <v/>
      </c>
      <c r="F2014" s="3">
        <f>IF(ORIG!F2014=0,"",ORIG!F2014)</f>
        <v/>
      </c>
      <c r="G2014" s="3">
        <f>IF(ORIG!G2014=0,"",ORIG!G2014)</f>
        <v/>
      </c>
      <c r="H2014" s="3">
        <f>IF(ORIG!H2014=0,"",ORIG!H2014)</f>
        <v/>
      </c>
      <c r="I2014" s="3">
        <f>IF(ORIG!I2014=0,"",ORIG!I2014)</f>
        <v/>
      </c>
      <c r="J2014" s="3">
        <f>IF(ORIG!J2014=0,"",ORIG!J2014)</f>
        <v/>
      </c>
      <c r="K2014" s="3">
        <f>IF(ORIG!K2014=0,"",ORIG!K2014)</f>
        <v/>
      </c>
      <c r="L2014" s="3">
        <f>IF(ORIG!L2014=0,"",ORIG!L2014)</f>
        <v/>
      </c>
      <c r="M2014" s="3">
        <f>IF(ORIG!M2014=0,"",ORIG!M2014)</f>
        <v/>
      </c>
      <c r="N2014" s="3">
        <f>IF(ORIG!N2014=0,"",ORIG!N2014)</f>
        <v/>
      </c>
      <c r="O2014" s="3">
        <f>IF(ORIG!O2014=0,"",ORIG!O2014)</f>
        <v/>
      </c>
      <c r="P2014" s="3">
        <f>IF(ORIG!P2014=0,"",ORIG!P2014)</f>
        <v/>
      </c>
      <c r="Q2014" s="3">
        <f>IF(ORIG!Q2014=0,"",ORIG!Q2014)</f>
        <v/>
      </c>
      <c r="R2014" s="3">
        <f>IF(ORIG!R2014=0,"",ORIG!R2014)</f>
        <v/>
      </c>
      <c r="S2014" s="3">
        <f>IF(ORIG!S2014=0,"",ORIG!S2014)</f>
        <v/>
      </c>
      <c r="T2014" s="3">
        <f>IF(ORIG!T2014=0,"",ORIG!T2014)</f>
        <v/>
      </c>
      <c r="U2014" s="3">
        <f>IF(ORIG!U2014=0,"",ORIG!U2014)</f>
        <v/>
      </c>
      <c r="V2014" s="9">
        <f>IF(ORIG!V2014=0,"",ORIG!V2014)</f>
        <v/>
      </c>
      <c r="W2014" s="9">
        <f>IF(ORIG!W2014=0,"",ORIG!W2014)</f>
        <v/>
      </c>
      <c r="X2014" s="9">
        <f>IF(ORIG!X2014=0,"",ORIG!X2014)</f>
        <v/>
      </c>
      <c r="Y2014" s="9">
        <f>IF(ORIG!Y2014=0,"",ORIG!Y2014)</f>
        <v/>
      </c>
      <c r="Z2014" s="3">
        <f>SUMPRODUCT($B2014:$Y2014,$B$2649:$Y$2649)</f>
        <v/>
      </c>
      <c r="AA2014" s="3">
        <f>SUMPRODUCT($B2014:$Y2014,$B$2655:$Y$2655)</f>
        <v/>
      </c>
      <c r="AC2014" s="1">
        <f>A2014</f>
        <v/>
      </c>
      <c r="AD2014">
        <f>IF(ISNUMBER(V2014),V2014*($AB$1/V$2635),"")</f>
        <v/>
      </c>
      <c r="AE2014">
        <f>IF(ISNUMBER(Z2014),Z2014*($AB$1/Z$2635),"")</f>
        <v/>
      </c>
      <c r="AF2014" s="25">
        <f>IF(ISNUMBER(AD2014+AE2014),AD2014+AE2014,"")</f>
        <v/>
      </c>
      <c r="AH2014" s="1">
        <f>A2014</f>
        <v/>
      </c>
      <c r="AI2014">
        <f>IF(ISNUMBER((1+V2014)*AI2013),(1+V2014)*AI2013,AI2013)</f>
        <v/>
      </c>
      <c r="AJ2014">
        <f>IF(ISNUMBER((1+Z2014)*AJ2013),(1+Z2014)*AJ2013,AJ2013)</f>
        <v/>
      </c>
    </row>
    <row r="2015">
      <c r="A2015" s="1" t="n">
        <v>44924</v>
      </c>
      <c r="B2015" s="3">
        <f>IF(ORIG!B2015=0,"",ORIG!B2015)</f>
        <v/>
      </c>
      <c r="C2015" s="3">
        <f>IF(ORIG!C2015=0,"",ORIG!C2015)</f>
        <v/>
      </c>
      <c r="D2015" s="3">
        <f>IF(ORIG!D2015=0,"",ORIG!D2015)</f>
        <v/>
      </c>
      <c r="E2015" s="3">
        <f>IF(ORIG!E2015=0,"",ORIG!E2015)</f>
        <v/>
      </c>
      <c r="F2015" s="3">
        <f>IF(ORIG!F2015=0,"",ORIG!F2015)</f>
        <v/>
      </c>
      <c r="G2015" s="3">
        <f>IF(ORIG!G2015=0,"",ORIG!G2015)</f>
        <v/>
      </c>
      <c r="H2015" s="3">
        <f>IF(ORIG!H2015=0,"",ORIG!H2015)</f>
        <v/>
      </c>
      <c r="I2015" s="3">
        <f>IF(ORIG!I2015=0,"",ORIG!I2015)</f>
        <v/>
      </c>
      <c r="J2015" s="3">
        <f>IF(ORIG!J2015=0,"",ORIG!J2015)</f>
        <v/>
      </c>
      <c r="K2015" s="3">
        <f>IF(ORIG!K2015=0,"",ORIG!K2015)</f>
        <v/>
      </c>
      <c r="L2015" s="3">
        <f>IF(ORIG!L2015=0,"",ORIG!L2015)</f>
        <v/>
      </c>
      <c r="M2015" s="3">
        <f>IF(ORIG!M2015=0,"",ORIG!M2015)</f>
        <v/>
      </c>
      <c r="N2015" s="3">
        <f>IF(ORIG!N2015=0,"",ORIG!N2015)</f>
        <v/>
      </c>
      <c r="O2015" s="3">
        <f>IF(ORIG!O2015=0,"",ORIG!O2015)</f>
        <v/>
      </c>
      <c r="P2015" s="3">
        <f>IF(ORIG!P2015=0,"",ORIG!P2015)</f>
        <v/>
      </c>
      <c r="Q2015" s="3">
        <f>IF(ORIG!Q2015=0,"",ORIG!Q2015)</f>
        <v/>
      </c>
      <c r="R2015" s="3">
        <f>IF(ORIG!R2015=0,"",ORIG!R2015)</f>
        <v/>
      </c>
      <c r="S2015" s="3">
        <f>IF(ORIG!S2015=0,"",ORIG!S2015)</f>
        <v/>
      </c>
      <c r="T2015" s="3">
        <f>IF(ORIG!T2015=0,"",ORIG!T2015)</f>
        <v/>
      </c>
      <c r="U2015" s="3">
        <f>IF(ORIG!U2015=0,"",ORIG!U2015)</f>
        <v/>
      </c>
      <c r="V2015" s="9">
        <f>IF(ORIG!V2015=0,"",ORIG!V2015)</f>
        <v/>
      </c>
      <c r="W2015" s="9">
        <f>IF(ORIG!W2015=0,"",ORIG!W2015)</f>
        <v/>
      </c>
      <c r="X2015" s="9">
        <f>IF(ORIG!X2015=0,"",ORIG!X2015)</f>
        <v/>
      </c>
      <c r="Y2015" s="9">
        <f>IF(ORIG!Y2015=0,"",ORIG!Y2015)</f>
        <v/>
      </c>
      <c r="Z2015" s="3">
        <f>SUMPRODUCT($B2015:$Y2015,$B$2649:$Y$2649)</f>
        <v/>
      </c>
      <c r="AA2015" s="3">
        <f>SUMPRODUCT($B2015:$Y2015,$B$2655:$Y$2655)</f>
        <v/>
      </c>
      <c r="AC2015" s="1">
        <f>A2015</f>
        <v/>
      </c>
      <c r="AD2015">
        <f>IF(ISNUMBER(V2015),V2015*($AB$1/V$2635),"")</f>
        <v/>
      </c>
      <c r="AE2015">
        <f>IF(ISNUMBER(Z2015),Z2015*($AB$1/Z$2635),"")</f>
        <v/>
      </c>
      <c r="AF2015" s="25">
        <f>IF(ISNUMBER(AD2015+AE2015),AD2015+AE2015,"")</f>
        <v/>
      </c>
      <c r="AH2015" s="1">
        <f>A2015</f>
        <v/>
      </c>
      <c r="AI2015">
        <f>IF(ISNUMBER((1+V2015)*AI2014),(1+V2015)*AI2014,AI2014)</f>
        <v/>
      </c>
      <c r="AJ2015">
        <f>IF(ISNUMBER((1+Z2015)*AJ2014),(1+Z2015)*AJ2014,AJ2014)</f>
        <v/>
      </c>
    </row>
    <row r="2016">
      <c r="A2016" s="1" t="n">
        <v>44925</v>
      </c>
      <c r="B2016" s="3">
        <f>IF(ORIG!B2016=0,"",ORIG!B2016)</f>
        <v/>
      </c>
      <c r="C2016" s="3">
        <f>IF(ORIG!C2016=0,"",ORIG!C2016)</f>
        <v/>
      </c>
      <c r="D2016" s="3">
        <f>IF(ORIG!D2016=0,"",ORIG!D2016)</f>
        <v/>
      </c>
      <c r="E2016" s="3">
        <f>IF(ORIG!E2016=0,"",ORIG!E2016)</f>
        <v/>
      </c>
      <c r="F2016" s="3">
        <f>IF(ORIG!F2016=0,"",ORIG!F2016)</f>
        <v/>
      </c>
      <c r="G2016" s="3">
        <f>IF(ORIG!G2016=0,"",ORIG!G2016)</f>
        <v/>
      </c>
      <c r="H2016" s="3">
        <f>IF(ORIG!H2016=0,"",ORIG!H2016)</f>
        <v/>
      </c>
      <c r="I2016" s="3">
        <f>IF(ORIG!I2016=0,"",ORIG!I2016)</f>
        <v/>
      </c>
      <c r="J2016" s="3">
        <f>IF(ORIG!J2016=0,"",ORIG!J2016)</f>
        <v/>
      </c>
      <c r="K2016" s="3">
        <f>IF(ORIG!K2016=0,"",ORIG!K2016)</f>
        <v/>
      </c>
      <c r="L2016" s="3">
        <f>IF(ORIG!L2016=0,"",ORIG!L2016)</f>
        <v/>
      </c>
      <c r="M2016" s="3">
        <f>IF(ORIG!M2016=0,"",ORIG!M2016)</f>
        <v/>
      </c>
      <c r="N2016" s="3">
        <f>IF(ORIG!N2016=0,"",ORIG!N2016)</f>
        <v/>
      </c>
      <c r="O2016" s="3">
        <f>IF(ORIG!O2016=0,"",ORIG!O2016)</f>
        <v/>
      </c>
      <c r="P2016" s="3">
        <f>IF(ORIG!P2016=0,"",ORIG!P2016)</f>
        <v/>
      </c>
      <c r="Q2016" s="3">
        <f>IF(ORIG!Q2016=0,"",ORIG!Q2016)</f>
        <v/>
      </c>
      <c r="R2016" s="3">
        <f>IF(ORIG!R2016=0,"",ORIG!R2016)</f>
        <v/>
      </c>
      <c r="S2016" s="3">
        <f>IF(ORIG!S2016=0,"",ORIG!S2016)</f>
        <v/>
      </c>
      <c r="T2016" s="3">
        <f>IF(ORIG!T2016=0,"",ORIG!T2016)</f>
        <v/>
      </c>
      <c r="U2016" s="3">
        <f>IF(ORIG!U2016=0,"",ORIG!U2016)</f>
        <v/>
      </c>
      <c r="V2016" s="9">
        <f>IF(ORIG!V2016=0,"",ORIG!V2016)</f>
        <v/>
      </c>
      <c r="W2016" s="9">
        <f>IF(ORIG!W2016=0,"",ORIG!W2016)</f>
        <v/>
      </c>
      <c r="X2016" s="9">
        <f>IF(ORIG!X2016=0,"",ORIG!X2016)</f>
        <v/>
      </c>
      <c r="Y2016" s="9">
        <f>IF(ORIG!Y2016=0,"",ORIG!Y2016)</f>
        <v/>
      </c>
      <c r="Z2016" s="3">
        <f>SUMPRODUCT($B2016:$Y2016,$B$2649:$Y$2649)</f>
        <v/>
      </c>
      <c r="AA2016" s="3">
        <f>SUMPRODUCT($B2016:$Y2016,$B$2655:$Y$2655)</f>
        <v/>
      </c>
      <c r="AC2016" s="1">
        <f>A2016</f>
        <v/>
      </c>
      <c r="AD2016">
        <f>IF(ISNUMBER(V2016),V2016*($AB$1/V$2635),"")</f>
        <v/>
      </c>
      <c r="AE2016">
        <f>IF(ISNUMBER(Z2016),Z2016*($AB$1/Z$2635),"")</f>
        <v/>
      </c>
      <c r="AF2016" s="25">
        <f>IF(ISNUMBER(AD2016+AE2016),AD2016+AE2016,"")</f>
        <v/>
      </c>
      <c r="AH2016" s="1">
        <f>A2016</f>
        <v/>
      </c>
      <c r="AI2016">
        <f>IF(ISNUMBER((1+V2016)*AI2015),(1+V2016)*AI2015,AI2015)</f>
        <v/>
      </c>
      <c r="AJ2016">
        <f>IF(ISNUMBER((1+Z2016)*AJ2015),(1+Z2016)*AJ2015,AJ2015)</f>
        <v/>
      </c>
    </row>
    <row r="2017">
      <c r="A2017" s="1" t="n">
        <v>44929</v>
      </c>
      <c r="B2017" s="3">
        <f>IF(ORIG!B2017=0,"",ORIG!B2017)</f>
        <v/>
      </c>
      <c r="C2017" s="3">
        <f>IF(ORIG!C2017=0,"",ORIG!C2017)</f>
        <v/>
      </c>
      <c r="D2017" s="3">
        <f>IF(ORIG!D2017=0,"",ORIG!D2017)</f>
        <v/>
      </c>
      <c r="E2017" s="3">
        <f>IF(ORIG!E2017=0,"",ORIG!E2017)</f>
        <v/>
      </c>
      <c r="F2017" s="3">
        <f>IF(ORIG!F2017=0,"",ORIG!F2017)</f>
        <v/>
      </c>
      <c r="G2017" s="3">
        <f>IF(ORIG!G2017=0,"",ORIG!G2017)</f>
        <v/>
      </c>
      <c r="H2017" s="3">
        <f>IF(ORIG!H2017=0,"",ORIG!H2017)</f>
        <v/>
      </c>
      <c r="I2017" s="3">
        <f>IF(ORIG!I2017=0,"",ORIG!I2017)</f>
        <v/>
      </c>
      <c r="J2017" s="3">
        <f>IF(ORIG!J2017=0,"",ORIG!J2017)</f>
        <v/>
      </c>
      <c r="K2017" s="3">
        <f>IF(ORIG!K2017=0,"",ORIG!K2017)</f>
        <v/>
      </c>
      <c r="L2017" s="3">
        <f>IF(ORIG!L2017=0,"",ORIG!L2017)</f>
        <v/>
      </c>
      <c r="M2017" s="3">
        <f>IF(ORIG!M2017=0,"",ORIG!M2017)</f>
        <v/>
      </c>
      <c r="N2017" s="3">
        <f>IF(ORIG!N2017=0,"",ORIG!N2017)</f>
        <v/>
      </c>
      <c r="O2017" s="3">
        <f>IF(ORIG!O2017=0,"",ORIG!O2017)</f>
        <v/>
      </c>
      <c r="P2017" s="3">
        <f>IF(ORIG!P2017=0,"",ORIG!P2017)</f>
        <v/>
      </c>
      <c r="Q2017" s="3">
        <f>IF(ORIG!Q2017=0,"",ORIG!Q2017)</f>
        <v/>
      </c>
      <c r="R2017" s="3">
        <f>IF(ORIG!R2017=0,"",ORIG!R2017)</f>
        <v/>
      </c>
      <c r="S2017" s="3">
        <f>IF(ORIG!S2017=0,"",ORIG!S2017)</f>
        <v/>
      </c>
      <c r="T2017" s="3">
        <f>IF(ORIG!T2017=0,"",ORIG!T2017)</f>
        <v/>
      </c>
      <c r="U2017" s="3">
        <f>IF(ORIG!U2017=0,"",ORIG!U2017)</f>
        <v/>
      </c>
      <c r="V2017" s="9">
        <f>IF(ORIG!V2017=0,"",ORIG!V2017)</f>
        <v/>
      </c>
      <c r="W2017" s="9">
        <f>IF(ORIG!W2017=0,"",ORIG!W2017)</f>
        <v/>
      </c>
      <c r="X2017" s="9">
        <f>IF(ORIG!X2017=0,"",ORIG!X2017)</f>
        <v/>
      </c>
      <c r="Y2017" s="9">
        <f>IF(ORIG!Y2017=0,"",ORIG!Y2017)</f>
        <v/>
      </c>
      <c r="Z2017" s="3">
        <f>SUMPRODUCT($B2017:$Y2017,$B$2649:$Y$2649)</f>
        <v/>
      </c>
      <c r="AA2017" s="3">
        <f>SUMPRODUCT($B2017:$Y2017,$B$2655:$Y$2655)</f>
        <v/>
      </c>
      <c r="AC2017" s="1">
        <f>A2017</f>
        <v/>
      </c>
      <c r="AD2017">
        <f>IF(ISNUMBER(V2017),V2017*($AB$1/V$2635),"")</f>
        <v/>
      </c>
      <c r="AE2017">
        <f>IF(ISNUMBER(Z2017),Z2017*($AB$1/Z$2635),"")</f>
        <v/>
      </c>
      <c r="AF2017" s="25">
        <f>IF(ISNUMBER(AD2017+AE2017),AD2017+AE2017,"")</f>
        <v/>
      </c>
      <c r="AH2017" s="1">
        <f>A2017</f>
        <v/>
      </c>
      <c r="AI2017">
        <f>IF(ISNUMBER((1+V2017)*AI2016),(1+V2017)*AI2016,AI2016)</f>
        <v/>
      </c>
      <c r="AJ2017">
        <f>IF(ISNUMBER((1+Z2017)*AJ2016),(1+Z2017)*AJ2016,AJ2016)</f>
        <v/>
      </c>
    </row>
    <row r="2018">
      <c r="A2018" s="1" t="n">
        <v>44930</v>
      </c>
      <c r="B2018" s="3">
        <f>IF(ORIG!B2018=0,"",ORIG!B2018)</f>
        <v/>
      </c>
      <c r="C2018" s="3">
        <f>IF(ORIG!C2018=0,"",ORIG!C2018)</f>
        <v/>
      </c>
      <c r="D2018" s="3">
        <f>IF(ORIG!D2018=0,"",ORIG!D2018)</f>
        <v/>
      </c>
      <c r="E2018" s="3">
        <f>IF(ORIG!E2018=0,"",ORIG!E2018)</f>
        <v/>
      </c>
      <c r="F2018" s="3">
        <f>IF(ORIG!F2018=0,"",ORIG!F2018)</f>
        <v/>
      </c>
      <c r="G2018" s="3">
        <f>IF(ORIG!G2018=0,"",ORIG!G2018)</f>
        <v/>
      </c>
      <c r="H2018" s="3">
        <f>IF(ORIG!H2018=0,"",ORIG!H2018)</f>
        <v/>
      </c>
      <c r="I2018" s="3">
        <f>IF(ORIG!I2018=0,"",ORIG!I2018)</f>
        <v/>
      </c>
      <c r="J2018" s="3">
        <f>IF(ORIG!J2018=0,"",ORIG!J2018)</f>
        <v/>
      </c>
      <c r="K2018" s="3">
        <f>IF(ORIG!K2018=0,"",ORIG!K2018)</f>
        <v/>
      </c>
      <c r="L2018" s="3">
        <f>IF(ORIG!L2018=0,"",ORIG!L2018)</f>
        <v/>
      </c>
      <c r="M2018" s="3">
        <f>IF(ORIG!M2018=0,"",ORIG!M2018)</f>
        <v/>
      </c>
      <c r="N2018" s="3">
        <f>IF(ORIG!N2018=0,"",ORIG!N2018)</f>
        <v/>
      </c>
      <c r="O2018" s="3">
        <f>IF(ORIG!O2018=0,"",ORIG!O2018)</f>
        <v/>
      </c>
      <c r="P2018" s="3">
        <f>IF(ORIG!P2018=0,"",ORIG!P2018)</f>
        <v/>
      </c>
      <c r="Q2018" s="3">
        <f>IF(ORIG!Q2018=0,"",ORIG!Q2018)</f>
        <v/>
      </c>
      <c r="R2018" s="3">
        <f>IF(ORIG!R2018=0,"",ORIG!R2018)</f>
        <v/>
      </c>
      <c r="S2018" s="3">
        <f>IF(ORIG!S2018=0,"",ORIG!S2018)</f>
        <v/>
      </c>
      <c r="T2018" s="3">
        <f>IF(ORIG!T2018=0,"",ORIG!T2018)</f>
        <v/>
      </c>
      <c r="U2018" s="3">
        <f>IF(ORIG!U2018=0,"",ORIG!U2018)</f>
        <v/>
      </c>
      <c r="V2018" s="9">
        <f>IF(ORIG!V2018=0,"",ORIG!V2018)</f>
        <v/>
      </c>
      <c r="W2018" s="9">
        <f>IF(ORIG!W2018=0,"",ORIG!W2018)</f>
        <v/>
      </c>
      <c r="X2018" s="9">
        <f>IF(ORIG!X2018=0,"",ORIG!X2018)</f>
        <v/>
      </c>
      <c r="Y2018" s="9">
        <f>IF(ORIG!Y2018=0,"",ORIG!Y2018)</f>
        <v/>
      </c>
      <c r="Z2018" s="3">
        <f>SUMPRODUCT($B2018:$Y2018,$B$2649:$Y$2649)</f>
        <v/>
      </c>
      <c r="AA2018" s="3">
        <f>SUMPRODUCT($B2018:$Y2018,$B$2655:$Y$2655)</f>
        <v/>
      </c>
      <c r="AC2018" s="1">
        <f>A2018</f>
        <v/>
      </c>
      <c r="AD2018">
        <f>IF(ISNUMBER(V2018),V2018*($AB$1/V$2635),"")</f>
        <v/>
      </c>
      <c r="AE2018">
        <f>IF(ISNUMBER(Z2018),Z2018*($AB$1/Z$2635),"")</f>
        <v/>
      </c>
      <c r="AF2018" s="25">
        <f>IF(ISNUMBER(AD2018+AE2018),AD2018+AE2018,"")</f>
        <v/>
      </c>
      <c r="AH2018" s="1">
        <f>A2018</f>
        <v/>
      </c>
      <c r="AI2018">
        <f>IF(ISNUMBER((1+V2018)*AI2017),(1+V2018)*AI2017,AI2017)</f>
        <v/>
      </c>
      <c r="AJ2018">
        <f>IF(ISNUMBER((1+Z2018)*AJ2017),(1+Z2018)*AJ2017,AJ2017)</f>
        <v/>
      </c>
    </row>
    <row r="2019">
      <c r="A2019" s="1" t="n">
        <v>44931</v>
      </c>
      <c r="B2019" s="3">
        <f>IF(ORIG!B2019=0,"",ORIG!B2019)</f>
        <v/>
      </c>
      <c r="C2019" s="3">
        <f>IF(ORIG!C2019=0,"",ORIG!C2019)</f>
        <v/>
      </c>
      <c r="D2019" s="3">
        <f>IF(ORIG!D2019=0,"",ORIG!D2019)</f>
        <v/>
      </c>
      <c r="E2019" s="3">
        <f>IF(ORIG!E2019=0,"",ORIG!E2019)</f>
        <v/>
      </c>
      <c r="F2019" s="3">
        <f>IF(ORIG!F2019=0,"",ORIG!F2019)</f>
        <v/>
      </c>
      <c r="G2019" s="3">
        <f>IF(ORIG!G2019=0,"",ORIG!G2019)</f>
        <v/>
      </c>
      <c r="H2019" s="3">
        <f>IF(ORIG!H2019=0,"",ORIG!H2019)</f>
        <v/>
      </c>
      <c r="I2019" s="3">
        <f>IF(ORIG!I2019=0,"",ORIG!I2019)</f>
        <v/>
      </c>
      <c r="J2019" s="3">
        <f>IF(ORIG!J2019=0,"",ORIG!J2019)</f>
        <v/>
      </c>
      <c r="K2019" s="3">
        <f>IF(ORIG!K2019=0,"",ORIG!K2019)</f>
        <v/>
      </c>
      <c r="L2019" s="3">
        <f>IF(ORIG!L2019=0,"",ORIG!L2019)</f>
        <v/>
      </c>
      <c r="M2019" s="3">
        <f>IF(ORIG!M2019=0,"",ORIG!M2019)</f>
        <v/>
      </c>
      <c r="N2019" s="3">
        <f>IF(ORIG!N2019=0,"",ORIG!N2019)</f>
        <v/>
      </c>
      <c r="O2019" s="3">
        <f>IF(ORIG!O2019=0,"",ORIG!O2019)</f>
        <v/>
      </c>
      <c r="P2019" s="3">
        <f>IF(ORIG!P2019=0,"",ORIG!P2019)</f>
        <v/>
      </c>
      <c r="Q2019" s="3">
        <f>IF(ORIG!Q2019=0,"",ORIG!Q2019)</f>
        <v/>
      </c>
      <c r="R2019" s="3">
        <f>IF(ORIG!R2019=0,"",ORIG!R2019)</f>
        <v/>
      </c>
      <c r="S2019" s="3">
        <f>IF(ORIG!S2019=0,"",ORIG!S2019)</f>
        <v/>
      </c>
      <c r="T2019" s="3">
        <f>IF(ORIG!T2019=0,"",ORIG!T2019)</f>
        <v/>
      </c>
      <c r="U2019" s="3">
        <f>IF(ORIG!U2019=0,"",ORIG!U2019)</f>
        <v/>
      </c>
      <c r="V2019" s="9">
        <f>IF(ORIG!V2019=0,"",ORIG!V2019)</f>
        <v/>
      </c>
      <c r="W2019" s="9">
        <f>IF(ORIG!W2019=0,"",ORIG!W2019)</f>
        <v/>
      </c>
      <c r="X2019" s="9">
        <f>IF(ORIG!X2019=0,"",ORIG!X2019)</f>
        <v/>
      </c>
      <c r="Y2019" s="9">
        <f>IF(ORIG!Y2019=0,"",ORIG!Y2019)</f>
        <v/>
      </c>
      <c r="Z2019" s="3">
        <f>SUMPRODUCT($B2019:$Y2019,$B$2649:$Y$2649)</f>
        <v/>
      </c>
      <c r="AA2019" s="3">
        <f>SUMPRODUCT($B2019:$Y2019,$B$2655:$Y$2655)</f>
        <v/>
      </c>
      <c r="AC2019" s="1">
        <f>A2019</f>
        <v/>
      </c>
      <c r="AD2019">
        <f>IF(ISNUMBER(V2019),V2019*($AB$1/V$2635),"")</f>
        <v/>
      </c>
      <c r="AE2019">
        <f>IF(ISNUMBER(Z2019),Z2019*($AB$1/Z$2635),"")</f>
        <v/>
      </c>
      <c r="AF2019" s="25">
        <f>IF(ISNUMBER(AD2019+AE2019),AD2019+AE2019,"")</f>
        <v/>
      </c>
      <c r="AH2019" s="1">
        <f>A2019</f>
        <v/>
      </c>
      <c r="AI2019">
        <f>IF(ISNUMBER((1+V2019)*AI2018),(1+V2019)*AI2018,AI2018)</f>
        <v/>
      </c>
      <c r="AJ2019">
        <f>IF(ISNUMBER((1+Z2019)*AJ2018),(1+Z2019)*AJ2018,AJ2018)</f>
        <v/>
      </c>
    </row>
    <row r="2020">
      <c r="A2020" s="1" t="n">
        <v>44932</v>
      </c>
      <c r="B2020" s="3">
        <f>IF(ORIG!B2020=0,"",ORIG!B2020)</f>
        <v/>
      </c>
      <c r="C2020" s="3">
        <f>IF(ORIG!C2020=0,"",ORIG!C2020)</f>
        <v/>
      </c>
      <c r="D2020" s="3">
        <f>IF(ORIG!D2020=0,"",ORIG!D2020)</f>
        <v/>
      </c>
      <c r="E2020" s="3">
        <f>IF(ORIG!E2020=0,"",ORIG!E2020)</f>
        <v/>
      </c>
      <c r="F2020" s="3">
        <f>IF(ORIG!F2020=0,"",ORIG!F2020)</f>
        <v/>
      </c>
      <c r="G2020" s="3">
        <f>IF(ORIG!G2020=0,"",ORIG!G2020)</f>
        <v/>
      </c>
      <c r="H2020" s="3">
        <f>IF(ORIG!H2020=0,"",ORIG!H2020)</f>
        <v/>
      </c>
      <c r="I2020" s="3">
        <f>IF(ORIG!I2020=0,"",ORIG!I2020)</f>
        <v/>
      </c>
      <c r="J2020" s="3">
        <f>IF(ORIG!J2020=0,"",ORIG!J2020)</f>
        <v/>
      </c>
      <c r="K2020" s="3">
        <f>IF(ORIG!K2020=0,"",ORIG!K2020)</f>
        <v/>
      </c>
      <c r="L2020" s="3">
        <f>IF(ORIG!L2020=0,"",ORIG!L2020)</f>
        <v/>
      </c>
      <c r="M2020" s="3">
        <f>IF(ORIG!M2020=0,"",ORIG!M2020)</f>
        <v/>
      </c>
      <c r="N2020" s="3">
        <f>IF(ORIG!N2020=0,"",ORIG!N2020)</f>
        <v/>
      </c>
      <c r="O2020" s="3">
        <f>IF(ORIG!O2020=0,"",ORIG!O2020)</f>
        <v/>
      </c>
      <c r="P2020" s="3">
        <f>IF(ORIG!P2020=0,"",ORIG!P2020)</f>
        <v/>
      </c>
      <c r="Q2020" s="3">
        <f>IF(ORIG!Q2020=0,"",ORIG!Q2020)</f>
        <v/>
      </c>
      <c r="R2020" s="3">
        <f>IF(ORIG!R2020=0,"",ORIG!R2020)</f>
        <v/>
      </c>
      <c r="S2020" s="3">
        <f>IF(ORIG!S2020=0,"",ORIG!S2020)</f>
        <v/>
      </c>
      <c r="T2020" s="3">
        <f>IF(ORIG!T2020=0,"",ORIG!T2020)</f>
        <v/>
      </c>
      <c r="U2020" s="3">
        <f>IF(ORIG!U2020=0,"",ORIG!U2020)</f>
        <v/>
      </c>
      <c r="V2020" s="9">
        <f>IF(ORIG!V2020=0,"",ORIG!V2020)</f>
        <v/>
      </c>
      <c r="W2020" s="9">
        <f>IF(ORIG!W2020=0,"",ORIG!W2020)</f>
        <v/>
      </c>
      <c r="X2020" s="9">
        <f>IF(ORIG!X2020=0,"",ORIG!X2020)</f>
        <v/>
      </c>
      <c r="Y2020" s="9">
        <f>IF(ORIG!Y2020=0,"",ORIG!Y2020)</f>
        <v/>
      </c>
      <c r="Z2020" s="3">
        <f>SUMPRODUCT($B2020:$Y2020,$B$2649:$Y$2649)</f>
        <v/>
      </c>
      <c r="AA2020" s="3">
        <f>SUMPRODUCT($B2020:$Y2020,$B$2655:$Y$2655)</f>
        <v/>
      </c>
      <c r="AC2020" s="1">
        <f>A2020</f>
        <v/>
      </c>
      <c r="AD2020">
        <f>IF(ISNUMBER(V2020),V2020*($AB$1/V$2635),"")</f>
        <v/>
      </c>
      <c r="AE2020">
        <f>IF(ISNUMBER(Z2020),Z2020*($AB$1/Z$2635),"")</f>
        <v/>
      </c>
      <c r="AF2020" s="25">
        <f>IF(ISNUMBER(AD2020+AE2020),AD2020+AE2020,"")</f>
        <v/>
      </c>
      <c r="AH2020" s="1">
        <f>A2020</f>
        <v/>
      </c>
      <c r="AI2020">
        <f>IF(ISNUMBER((1+V2020)*AI2019),(1+V2020)*AI2019,AI2019)</f>
        <v/>
      </c>
      <c r="AJ2020">
        <f>IF(ISNUMBER((1+Z2020)*AJ2019),(1+Z2020)*AJ2019,AJ2019)</f>
        <v/>
      </c>
    </row>
    <row r="2021">
      <c r="A2021" s="1" t="n">
        <v>44935</v>
      </c>
      <c r="B2021" s="3">
        <f>IF(ORIG!B2021=0,"",ORIG!B2021)</f>
        <v/>
      </c>
      <c r="C2021" s="3">
        <f>IF(ORIG!C2021=0,"",ORIG!C2021)</f>
        <v/>
      </c>
      <c r="D2021" s="3">
        <f>IF(ORIG!D2021=0,"",ORIG!D2021)</f>
        <v/>
      </c>
      <c r="E2021" s="3">
        <f>IF(ORIG!E2021=0,"",ORIG!E2021)</f>
        <v/>
      </c>
      <c r="F2021" s="3">
        <f>IF(ORIG!F2021=0,"",ORIG!F2021)</f>
        <v/>
      </c>
      <c r="G2021" s="3">
        <f>IF(ORIG!G2021=0,"",ORIG!G2021)</f>
        <v/>
      </c>
      <c r="H2021" s="3">
        <f>IF(ORIG!H2021=0,"",ORIG!H2021)</f>
        <v/>
      </c>
      <c r="I2021" s="3">
        <f>IF(ORIG!I2021=0,"",ORIG!I2021)</f>
        <v/>
      </c>
      <c r="J2021" s="3">
        <f>IF(ORIG!J2021=0,"",ORIG!J2021)</f>
        <v/>
      </c>
      <c r="K2021" s="3">
        <f>IF(ORIG!K2021=0,"",ORIG!K2021)</f>
        <v/>
      </c>
      <c r="L2021" s="3">
        <f>IF(ORIG!L2021=0,"",ORIG!L2021)</f>
        <v/>
      </c>
      <c r="M2021" s="3">
        <f>IF(ORIG!M2021=0,"",ORIG!M2021)</f>
        <v/>
      </c>
      <c r="N2021" s="3">
        <f>IF(ORIG!N2021=0,"",ORIG!N2021)</f>
        <v/>
      </c>
      <c r="O2021" s="3">
        <f>IF(ORIG!O2021=0,"",ORIG!O2021)</f>
        <v/>
      </c>
      <c r="P2021" s="3">
        <f>IF(ORIG!P2021=0,"",ORIG!P2021)</f>
        <v/>
      </c>
      <c r="Q2021" s="3">
        <f>IF(ORIG!Q2021=0,"",ORIG!Q2021)</f>
        <v/>
      </c>
      <c r="R2021" s="3">
        <f>IF(ORIG!R2021=0,"",ORIG!R2021)</f>
        <v/>
      </c>
      <c r="S2021" s="3">
        <f>IF(ORIG!S2021=0,"",ORIG!S2021)</f>
        <v/>
      </c>
      <c r="T2021" s="3">
        <f>IF(ORIG!T2021=0,"",ORIG!T2021)</f>
        <v/>
      </c>
      <c r="U2021" s="3">
        <f>IF(ORIG!U2021=0,"",ORIG!U2021)</f>
        <v/>
      </c>
      <c r="V2021" s="9">
        <f>IF(ORIG!V2021=0,"",ORIG!V2021)</f>
        <v/>
      </c>
      <c r="W2021" s="9">
        <f>IF(ORIG!W2021=0,"",ORIG!W2021)</f>
        <v/>
      </c>
      <c r="X2021" s="9">
        <f>IF(ORIG!X2021=0,"",ORIG!X2021)</f>
        <v/>
      </c>
      <c r="Y2021" s="9">
        <f>IF(ORIG!Y2021=0,"",ORIG!Y2021)</f>
        <v/>
      </c>
      <c r="Z2021" s="3">
        <f>SUMPRODUCT($B2021:$Y2021,$B$2649:$Y$2649)</f>
        <v/>
      </c>
      <c r="AA2021" s="3">
        <f>SUMPRODUCT($B2021:$Y2021,$B$2655:$Y$2655)</f>
        <v/>
      </c>
      <c r="AC2021" s="1">
        <f>A2021</f>
        <v/>
      </c>
      <c r="AD2021">
        <f>IF(ISNUMBER(V2021),V2021*($AB$1/V$2635),"")</f>
        <v/>
      </c>
      <c r="AE2021">
        <f>IF(ISNUMBER(Z2021),Z2021*($AB$1/Z$2635),"")</f>
        <v/>
      </c>
      <c r="AF2021" s="25">
        <f>IF(ISNUMBER(AD2021+AE2021),AD2021+AE2021,"")</f>
        <v/>
      </c>
      <c r="AH2021" s="1">
        <f>A2021</f>
        <v/>
      </c>
      <c r="AI2021">
        <f>IF(ISNUMBER((1+V2021)*AI2020),(1+V2021)*AI2020,AI2020)</f>
        <v/>
      </c>
      <c r="AJ2021">
        <f>IF(ISNUMBER((1+Z2021)*AJ2020),(1+Z2021)*AJ2020,AJ2020)</f>
        <v/>
      </c>
    </row>
    <row r="2022">
      <c r="A2022" s="1" t="n">
        <v>44936</v>
      </c>
      <c r="B2022" s="3">
        <f>IF(ORIG!B2022=0,"",ORIG!B2022)</f>
        <v/>
      </c>
      <c r="C2022" s="3">
        <f>IF(ORIG!C2022=0,"",ORIG!C2022)</f>
        <v/>
      </c>
      <c r="D2022" s="3">
        <f>IF(ORIG!D2022=0,"",ORIG!D2022)</f>
        <v/>
      </c>
      <c r="E2022" s="3">
        <f>IF(ORIG!E2022=0,"",ORIG!E2022)</f>
        <v/>
      </c>
      <c r="F2022" s="3">
        <f>IF(ORIG!F2022=0,"",ORIG!F2022)</f>
        <v/>
      </c>
      <c r="G2022" s="3">
        <f>IF(ORIG!G2022=0,"",ORIG!G2022)</f>
        <v/>
      </c>
      <c r="H2022" s="3">
        <f>IF(ORIG!H2022=0,"",ORIG!H2022)</f>
        <v/>
      </c>
      <c r="I2022" s="3">
        <f>IF(ORIG!I2022=0,"",ORIG!I2022)</f>
        <v/>
      </c>
      <c r="J2022" s="3">
        <f>IF(ORIG!J2022=0,"",ORIG!J2022)</f>
        <v/>
      </c>
      <c r="K2022" s="3">
        <f>IF(ORIG!K2022=0,"",ORIG!K2022)</f>
        <v/>
      </c>
      <c r="L2022" s="3">
        <f>IF(ORIG!L2022=0,"",ORIG!L2022)</f>
        <v/>
      </c>
      <c r="M2022" s="3">
        <f>IF(ORIG!M2022=0,"",ORIG!M2022)</f>
        <v/>
      </c>
      <c r="N2022" s="3">
        <f>IF(ORIG!N2022=0,"",ORIG!N2022)</f>
        <v/>
      </c>
      <c r="O2022" s="3">
        <f>IF(ORIG!O2022=0,"",ORIG!O2022)</f>
        <v/>
      </c>
      <c r="P2022" s="3">
        <f>IF(ORIG!P2022=0,"",ORIG!P2022)</f>
        <v/>
      </c>
      <c r="Q2022" s="3">
        <f>IF(ORIG!Q2022=0,"",ORIG!Q2022)</f>
        <v/>
      </c>
      <c r="R2022" s="3">
        <f>IF(ORIG!R2022=0,"",ORIG!R2022)</f>
        <v/>
      </c>
      <c r="S2022" s="3">
        <f>IF(ORIG!S2022=0,"",ORIG!S2022)</f>
        <v/>
      </c>
      <c r="T2022" s="3">
        <f>IF(ORIG!T2022=0,"",ORIG!T2022)</f>
        <v/>
      </c>
      <c r="U2022" s="3">
        <f>IF(ORIG!U2022=0,"",ORIG!U2022)</f>
        <v/>
      </c>
      <c r="V2022" s="9">
        <f>IF(ORIG!V2022=0,"",ORIG!V2022)</f>
        <v/>
      </c>
      <c r="W2022" s="9">
        <f>IF(ORIG!W2022=0,"",ORIG!W2022)</f>
        <v/>
      </c>
      <c r="X2022" s="9">
        <f>IF(ORIG!X2022=0,"",ORIG!X2022)</f>
        <v/>
      </c>
      <c r="Y2022" s="9">
        <f>IF(ORIG!Y2022=0,"",ORIG!Y2022)</f>
        <v/>
      </c>
      <c r="Z2022" s="3">
        <f>SUMPRODUCT($B2022:$Y2022,$B$2649:$Y$2649)</f>
        <v/>
      </c>
      <c r="AA2022" s="3">
        <f>SUMPRODUCT($B2022:$Y2022,$B$2655:$Y$2655)</f>
        <v/>
      </c>
      <c r="AC2022" s="1">
        <f>A2022</f>
        <v/>
      </c>
      <c r="AD2022">
        <f>IF(ISNUMBER(V2022),V2022*($AB$1/V$2635),"")</f>
        <v/>
      </c>
      <c r="AE2022">
        <f>IF(ISNUMBER(Z2022),Z2022*($AB$1/Z$2635),"")</f>
        <v/>
      </c>
      <c r="AF2022" s="25">
        <f>IF(ISNUMBER(AD2022+AE2022),AD2022+AE2022,"")</f>
        <v/>
      </c>
      <c r="AH2022" s="1">
        <f>A2022</f>
        <v/>
      </c>
      <c r="AI2022">
        <f>IF(ISNUMBER((1+V2022)*AI2021),(1+V2022)*AI2021,AI2021)</f>
        <v/>
      </c>
      <c r="AJ2022">
        <f>IF(ISNUMBER((1+Z2022)*AJ2021),(1+Z2022)*AJ2021,AJ2021)</f>
        <v/>
      </c>
    </row>
    <row r="2023">
      <c r="A2023" s="1" t="n">
        <v>44937</v>
      </c>
      <c r="B2023" s="3">
        <f>IF(ORIG!B2023=0,"",ORIG!B2023)</f>
        <v/>
      </c>
      <c r="C2023" s="3">
        <f>IF(ORIG!C2023=0,"",ORIG!C2023)</f>
        <v/>
      </c>
      <c r="D2023" s="3">
        <f>IF(ORIG!D2023=0,"",ORIG!D2023)</f>
        <v/>
      </c>
      <c r="E2023" s="3">
        <f>IF(ORIG!E2023=0,"",ORIG!E2023)</f>
        <v/>
      </c>
      <c r="F2023" s="3">
        <f>IF(ORIG!F2023=0,"",ORIG!F2023)</f>
        <v/>
      </c>
      <c r="G2023" s="3">
        <f>IF(ORIG!G2023=0,"",ORIG!G2023)</f>
        <v/>
      </c>
      <c r="H2023" s="3">
        <f>IF(ORIG!H2023=0,"",ORIG!H2023)</f>
        <v/>
      </c>
      <c r="I2023" s="3">
        <f>IF(ORIG!I2023=0,"",ORIG!I2023)</f>
        <v/>
      </c>
      <c r="J2023" s="3">
        <f>IF(ORIG!J2023=0,"",ORIG!J2023)</f>
        <v/>
      </c>
      <c r="K2023" s="3">
        <f>IF(ORIG!K2023=0,"",ORIG!K2023)</f>
        <v/>
      </c>
      <c r="L2023" s="3">
        <f>IF(ORIG!L2023=0,"",ORIG!L2023)</f>
        <v/>
      </c>
      <c r="M2023" s="3">
        <f>IF(ORIG!M2023=0,"",ORIG!M2023)</f>
        <v/>
      </c>
      <c r="N2023" s="3">
        <f>IF(ORIG!N2023=0,"",ORIG!N2023)</f>
        <v/>
      </c>
      <c r="O2023" s="3">
        <f>IF(ORIG!O2023=0,"",ORIG!O2023)</f>
        <v/>
      </c>
      <c r="P2023" s="3">
        <f>IF(ORIG!P2023=0,"",ORIG!P2023)</f>
        <v/>
      </c>
      <c r="Q2023" s="3">
        <f>IF(ORIG!Q2023=0,"",ORIG!Q2023)</f>
        <v/>
      </c>
      <c r="R2023" s="3">
        <f>IF(ORIG!R2023=0,"",ORIG!R2023)</f>
        <v/>
      </c>
      <c r="S2023" s="3">
        <f>IF(ORIG!S2023=0,"",ORIG!S2023)</f>
        <v/>
      </c>
      <c r="T2023" s="3">
        <f>IF(ORIG!T2023=0,"",ORIG!T2023)</f>
        <v/>
      </c>
      <c r="U2023" s="3">
        <f>IF(ORIG!U2023=0,"",ORIG!U2023)</f>
        <v/>
      </c>
      <c r="V2023" s="9">
        <f>IF(ORIG!V2023=0,"",ORIG!V2023)</f>
        <v/>
      </c>
      <c r="W2023" s="9">
        <f>IF(ORIG!W2023=0,"",ORIG!W2023)</f>
        <v/>
      </c>
      <c r="X2023" s="9">
        <f>IF(ORIG!X2023=0,"",ORIG!X2023)</f>
        <v/>
      </c>
      <c r="Y2023" s="9">
        <f>IF(ORIG!Y2023=0,"",ORIG!Y2023)</f>
        <v/>
      </c>
      <c r="Z2023" s="3">
        <f>SUMPRODUCT($B2023:$Y2023,$B$2649:$Y$2649)</f>
        <v/>
      </c>
      <c r="AA2023" s="3">
        <f>SUMPRODUCT($B2023:$Y2023,$B$2655:$Y$2655)</f>
        <v/>
      </c>
      <c r="AC2023" s="1">
        <f>A2023</f>
        <v/>
      </c>
      <c r="AD2023">
        <f>IF(ISNUMBER(V2023),V2023*($AB$1/V$2635),"")</f>
        <v/>
      </c>
      <c r="AE2023">
        <f>IF(ISNUMBER(Z2023),Z2023*($AB$1/Z$2635),"")</f>
        <v/>
      </c>
      <c r="AF2023" s="25">
        <f>IF(ISNUMBER(AD2023+AE2023),AD2023+AE2023,"")</f>
        <v/>
      </c>
      <c r="AH2023" s="1">
        <f>A2023</f>
        <v/>
      </c>
      <c r="AI2023">
        <f>IF(ISNUMBER((1+V2023)*AI2022),(1+V2023)*AI2022,AI2022)</f>
        <v/>
      </c>
      <c r="AJ2023">
        <f>IF(ISNUMBER((1+Z2023)*AJ2022),(1+Z2023)*AJ2022,AJ2022)</f>
        <v/>
      </c>
    </row>
    <row r="2024">
      <c r="A2024" s="1" t="n">
        <v>44938</v>
      </c>
      <c r="B2024" s="3">
        <f>IF(ORIG!B2024=0,"",ORIG!B2024)</f>
        <v/>
      </c>
      <c r="C2024" s="3">
        <f>IF(ORIG!C2024=0,"",ORIG!C2024)</f>
        <v/>
      </c>
      <c r="D2024" s="3">
        <f>IF(ORIG!D2024=0,"",ORIG!D2024)</f>
        <v/>
      </c>
      <c r="E2024" s="3">
        <f>IF(ORIG!E2024=0,"",ORIG!E2024)</f>
        <v/>
      </c>
      <c r="F2024" s="3">
        <f>IF(ORIG!F2024=0,"",ORIG!F2024)</f>
        <v/>
      </c>
      <c r="G2024" s="3">
        <f>IF(ORIG!G2024=0,"",ORIG!G2024)</f>
        <v/>
      </c>
      <c r="H2024" s="3">
        <f>IF(ORIG!H2024=0,"",ORIG!H2024)</f>
        <v/>
      </c>
      <c r="I2024" s="3">
        <f>IF(ORIG!I2024=0,"",ORIG!I2024)</f>
        <v/>
      </c>
      <c r="J2024" s="3">
        <f>IF(ORIG!J2024=0,"",ORIG!J2024)</f>
        <v/>
      </c>
      <c r="K2024" s="3">
        <f>IF(ORIG!K2024=0,"",ORIG!K2024)</f>
        <v/>
      </c>
      <c r="L2024" s="3">
        <f>IF(ORIG!L2024=0,"",ORIG!L2024)</f>
        <v/>
      </c>
      <c r="M2024" s="3">
        <f>IF(ORIG!M2024=0,"",ORIG!M2024)</f>
        <v/>
      </c>
      <c r="N2024" s="3">
        <f>IF(ORIG!N2024=0,"",ORIG!N2024)</f>
        <v/>
      </c>
      <c r="O2024" s="3">
        <f>IF(ORIG!O2024=0,"",ORIG!O2024)</f>
        <v/>
      </c>
      <c r="P2024" s="3">
        <f>IF(ORIG!P2024=0,"",ORIG!P2024)</f>
        <v/>
      </c>
      <c r="Q2024" s="3">
        <f>IF(ORIG!Q2024=0,"",ORIG!Q2024)</f>
        <v/>
      </c>
      <c r="R2024" s="3">
        <f>IF(ORIG!R2024=0,"",ORIG!R2024)</f>
        <v/>
      </c>
      <c r="S2024" s="3">
        <f>IF(ORIG!S2024=0,"",ORIG!S2024)</f>
        <v/>
      </c>
      <c r="T2024" s="3">
        <f>IF(ORIG!T2024=0,"",ORIG!T2024)</f>
        <v/>
      </c>
      <c r="U2024" s="3">
        <f>IF(ORIG!U2024=0,"",ORIG!U2024)</f>
        <v/>
      </c>
      <c r="V2024" s="9">
        <f>IF(ORIG!V2024=0,"",ORIG!V2024)</f>
        <v/>
      </c>
      <c r="W2024" s="9">
        <f>IF(ORIG!W2024=0,"",ORIG!W2024)</f>
        <v/>
      </c>
      <c r="X2024" s="9">
        <f>IF(ORIG!X2024=0,"",ORIG!X2024)</f>
        <v/>
      </c>
      <c r="Y2024" s="9">
        <f>IF(ORIG!Y2024=0,"",ORIG!Y2024)</f>
        <v/>
      </c>
      <c r="Z2024" s="3">
        <f>SUMPRODUCT($B2024:$Y2024,$B$2649:$Y$2649)</f>
        <v/>
      </c>
      <c r="AA2024" s="3">
        <f>SUMPRODUCT($B2024:$Y2024,$B$2655:$Y$2655)</f>
        <v/>
      </c>
      <c r="AC2024" s="1">
        <f>A2024</f>
        <v/>
      </c>
      <c r="AD2024">
        <f>IF(ISNUMBER(V2024),V2024*($AB$1/V$2635),"")</f>
        <v/>
      </c>
      <c r="AE2024">
        <f>IF(ISNUMBER(Z2024),Z2024*($AB$1/Z$2635),"")</f>
        <v/>
      </c>
      <c r="AF2024" s="25">
        <f>IF(ISNUMBER(AD2024+AE2024),AD2024+AE2024,"")</f>
        <v/>
      </c>
      <c r="AH2024" s="1">
        <f>A2024</f>
        <v/>
      </c>
      <c r="AI2024">
        <f>IF(ISNUMBER((1+V2024)*AI2023),(1+V2024)*AI2023,AI2023)</f>
        <v/>
      </c>
      <c r="AJ2024">
        <f>IF(ISNUMBER((1+Z2024)*AJ2023),(1+Z2024)*AJ2023,AJ2023)</f>
        <v/>
      </c>
    </row>
    <row r="2025">
      <c r="A2025" s="1" t="n">
        <v>44939</v>
      </c>
      <c r="B2025" s="3">
        <f>IF(ORIG!B2025=0,"",ORIG!B2025)</f>
        <v/>
      </c>
      <c r="C2025" s="3">
        <f>IF(ORIG!C2025=0,"",ORIG!C2025)</f>
        <v/>
      </c>
      <c r="D2025" s="3">
        <f>IF(ORIG!D2025=0,"",ORIG!D2025)</f>
        <v/>
      </c>
      <c r="E2025" s="3">
        <f>IF(ORIG!E2025=0,"",ORIG!E2025)</f>
        <v/>
      </c>
      <c r="F2025" s="3">
        <f>IF(ORIG!F2025=0,"",ORIG!F2025)</f>
        <v/>
      </c>
      <c r="G2025" s="3">
        <f>IF(ORIG!G2025=0,"",ORIG!G2025)</f>
        <v/>
      </c>
      <c r="H2025" s="3">
        <f>IF(ORIG!H2025=0,"",ORIG!H2025)</f>
        <v/>
      </c>
      <c r="I2025" s="3">
        <f>IF(ORIG!I2025=0,"",ORIG!I2025)</f>
        <v/>
      </c>
      <c r="J2025" s="3">
        <f>IF(ORIG!J2025=0,"",ORIG!J2025)</f>
        <v/>
      </c>
      <c r="K2025" s="3">
        <f>IF(ORIG!K2025=0,"",ORIG!K2025)</f>
        <v/>
      </c>
      <c r="L2025" s="3">
        <f>IF(ORIG!L2025=0,"",ORIG!L2025)</f>
        <v/>
      </c>
      <c r="M2025" s="3">
        <f>IF(ORIG!M2025=0,"",ORIG!M2025)</f>
        <v/>
      </c>
      <c r="N2025" s="3">
        <f>IF(ORIG!N2025=0,"",ORIG!N2025)</f>
        <v/>
      </c>
      <c r="O2025" s="3">
        <f>IF(ORIG!O2025=0,"",ORIG!O2025)</f>
        <v/>
      </c>
      <c r="P2025" s="3">
        <f>IF(ORIG!P2025=0,"",ORIG!P2025)</f>
        <v/>
      </c>
      <c r="Q2025" s="3">
        <f>IF(ORIG!Q2025=0,"",ORIG!Q2025)</f>
        <v/>
      </c>
      <c r="R2025" s="3">
        <f>IF(ORIG!R2025=0,"",ORIG!R2025)</f>
        <v/>
      </c>
      <c r="S2025" s="3">
        <f>IF(ORIG!S2025=0,"",ORIG!S2025)</f>
        <v/>
      </c>
      <c r="T2025" s="3">
        <f>IF(ORIG!T2025=0,"",ORIG!T2025)</f>
        <v/>
      </c>
      <c r="U2025" s="3">
        <f>IF(ORIG!U2025=0,"",ORIG!U2025)</f>
        <v/>
      </c>
      <c r="V2025" s="9">
        <f>IF(ORIG!V2025=0,"",ORIG!V2025)</f>
        <v/>
      </c>
      <c r="W2025" s="9">
        <f>IF(ORIG!W2025=0,"",ORIG!W2025)</f>
        <v/>
      </c>
      <c r="X2025" s="9">
        <f>IF(ORIG!X2025=0,"",ORIG!X2025)</f>
        <v/>
      </c>
      <c r="Y2025" s="9">
        <f>IF(ORIG!Y2025=0,"",ORIG!Y2025)</f>
        <v/>
      </c>
      <c r="Z2025" s="3">
        <f>SUMPRODUCT($B2025:$Y2025,$B$2649:$Y$2649)</f>
        <v/>
      </c>
      <c r="AA2025" s="3">
        <f>SUMPRODUCT($B2025:$Y2025,$B$2655:$Y$2655)</f>
        <v/>
      </c>
      <c r="AC2025" s="1">
        <f>A2025</f>
        <v/>
      </c>
      <c r="AD2025">
        <f>IF(ISNUMBER(V2025),V2025*($AB$1/V$2635),"")</f>
        <v/>
      </c>
      <c r="AE2025">
        <f>IF(ISNUMBER(Z2025),Z2025*($AB$1/Z$2635),"")</f>
        <v/>
      </c>
      <c r="AF2025" s="25">
        <f>IF(ISNUMBER(AD2025+AE2025),AD2025+AE2025,"")</f>
        <v/>
      </c>
      <c r="AH2025" s="1">
        <f>A2025</f>
        <v/>
      </c>
      <c r="AI2025">
        <f>IF(ISNUMBER((1+V2025)*AI2024),(1+V2025)*AI2024,AI2024)</f>
        <v/>
      </c>
      <c r="AJ2025">
        <f>IF(ISNUMBER((1+Z2025)*AJ2024),(1+Z2025)*AJ2024,AJ2024)</f>
        <v/>
      </c>
    </row>
    <row r="2026">
      <c r="A2026" s="1" t="n">
        <v>44943</v>
      </c>
      <c r="B2026" s="3">
        <f>IF(ORIG!B2026=0,"",ORIG!B2026)</f>
        <v/>
      </c>
      <c r="C2026" s="3">
        <f>IF(ORIG!C2026=0,"",ORIG!C2026)</f>
        <v/>
      </c>
      <c r="D2026" s="3">
        <f>IF(ORIG!D2026=0,"",ORIG!D2026)</f>
        <v/>
      </c>
      <c r="E2026" s="3">
        <f>IF(ORIG!E2026=0,"",ORIG!E2026)</f>
        <v/>
      </c>
      <c r="F2026" s="3">
        <f>IF(ORIG!F2026=0,"",ORIG!F2026)</f>
        <v/>
      </c>
      <c r="G2026" s="3">
        <f>IF(ORIG!G2026=0,"",ORIG!G2026)</f>
        <v/>
      </c>
      <c r="H2026" s="3">
        <f>IF(ORIG!H2026=0,"",ORIG!H2026)</f>
        <v/>
      </c>
      <c r="I2026" s="3">
        <f>IF(ORIG!I2026=0,"",ORIG!I2026)</f>
        <v/>
      </c>
      <c r="J2026" s="3">
        <f>IF(ORIG!J2026=0,"",ORIG!J2026)</f>
        <v/>
      </c>
      <c r="K2026" s="3">
        <f>IF(ORIG!K2026=0,"",ORIG!K2026)</f>
        <v/>
      </c>
      <c r="L2026" s="3">
        <f>IF(ORIG!L2026=0,"",ORIG!L2026)</f>
        <v/>
      </c>
      <c r="M2026" s="3">
        <f>IF(ORIG!M2026=0,"",ORIG!M2026)</f>
        <v/>
      </c>
      <c r="N2026" s="3">
        <f>IF(ORIG!N2026=0,"",ORIG!N2026)</f>
        <v/>
      </c>
      <c r="O2026" s="3">
        <f>IF(ORIG!O2026=0,"",ORIG!O2026)</f>
        <v/>
      </c>
      <c r="P2026" s="3">
        <f>IF(ORIG!P2026=0,"",ORIG!P2026)</f>
        <v/>
      </c>
      <c r="Q2026" s="3">
        <f>IF(ORIG!Q2026=0,"",ORIG!Q2026)</f>
        <v/>
      </c>
      <c r="R2026" s="3">
        <f>IF(ORIG!R2026=0,"",ORIG!R2026)</f>
        <v/>
      </c>
      <c r="S2026" s="3">
        <f>IF(ORIG!S2026=0,"",ORIG!S2026)</f>
        <v/>
      </c>
      <c r="T2026" s="3">
        <f>IF(ORIG!T2026=0,"",ORIG!T2026)</f>
        <v/>
      </c>
      <c r="U2026" s="3">
        <f>IF(ORIG!U2026=0,"",ORIG!U2026)</f>
        <v/>
      </c>
      <c r="V2026" s="9">
        <f>IF(ORIG!V2026=0,"",ORIG!V2026)</f>
        <v/>
      </c>
      <c r="W2026" s="9">
        <f>IF(ORIG!W2026=0,"",ORIG!W2026)</f>
        <v/>
      </c>
      <c r="X2026" s="9">
        <f>IF(ORIG!X2026=0,"",ORIG!X2026)</f>
        <v/>
      </c>
      <c r="Y2026" s="9">
        <f>IF(ORIG!Y2026=0,"",ORIG!Y2026)</f>
        <v/>
      </c>
      <c r="Z2026" s="3">
        <f>SUMPRODUCT($B2026:$Y2026,$B$2649:$Y$2649)</f>
        <v/>
      </c>
      <c r="AA2026" s="3">
        <f>SUMPRODUCT($B2026:$Y2026,$B$2655:$Y$2655)</f>
        <v/>
      </c>
      <c r="AC2026" s="1">
        <f>A2026</f>
        <v/>
      </c>
      <c r="AD2026">
        <f>IF(ISNUMBER(V2026),V2026*($AB$1/V$2635),"")</f>
        <v/>
      </c>
      <c r="AE2026">
        <f>IF(ISNUMBER(Z2026),Z2026*($AB$1/Z$2635),"")</f>
        <v/>
      </c>
      <c r="AF2026" s="25">
        <f>IF(ISNUMBER(AD2026+AE2026),AD2026+AE2026,"")</f>
        <v/>
      </c>
      <c r="AH2026" s="1">
        <f>A2026</f>
        <v/>
      </c>
      <c r="AI2026">
        <f>IF(ISNUMBER((1+V2026)*AI2025),(1+V2026)*AI2025,AI2025)</f>
        <v/>
      </c>
      <c r="AJ2026">
        <f>IF(ISNUMBER((1+Z2026)*AJ2025),(1+Z2026)*AJ2025,AJ2025)</f>
        <v/>
      </c>
    </row>
    <row r="2027">
      <c r="A2027" s="1" t="n">
        <v>44944</v>
      </c>
      <c r="B2027" s="3">
        <f>IF(ORIG!B2027=0,"",ORIG!B2027)</f>
        <v/>
      </c>
      <c r="C2027" s="3">
        <f>IF(ORIG!C2027=0,"",ORIG!C2027)</f>
        <v/>
      </c>
      <c r="D2027" s="3">
        <f>IF(ORIG!D2027=0,"",ORIG!D2027)</f>
        <v/>
      </c>
      <c r="E2027" s="3">
        <f>IF(ORIG!E2027=0,"",ORIG!E2027)</f>
        <v/>
      </c>
      <c r="F2027" s="3">
        <f>IF(ORIG!F2027=0,"",ORIG!F2027)</f>
        <v/>
      </c>
      <c r="G2027" s="3">
        <f>IF(ORIG!G2027=0,"",ORIG!G2027)</f>
        <v/>
      </c>
      <c r="H2027" s="3">
        <f>IF(ORIG!H2027=0,"",ORIG!H2027)</f>
        <v/>
      </c>
      <c r="I2027" s="3">
        <f>IF(ORIG!I2027=0,"",ORIG!I2027)</f>
        <v/>
      </c>
      <c r="J2027" s="3">
        <f>IF(ORIG!J2027=0,"",ORIG!J2027)</f>
        <v/>
      </c>
      <c r="K2027" s="3">
        <f>IF(ORIG!K2027=0,"",ORIG!K2027)</f>
        <v/>
      </c>
      <c r="L2027" s="3">
        <f>IF(ORIG!L2027=0,"",ORIG!L2027)</f>
        <v/>
      </c>
      <c r="M2027" s="3">
        <f>IF(ORIG!M2027=0,"",ORIG!M2027)</f>
        <v/>
      </c>
      <c r="N2027" s="3">
        <f>IF(ORIG!N2027=0,"",ORIG!N2027)</f>
        <v/>
      </c>
      <c r="O2027" s="3">
        <f>IF(ORIG!O2027=0,"",ORIG!O2027)</f>
        <v/>
      </c>
      <c r="P2027" s="3">
        <f>IF(ORIG!P2027=0,"",ORIG!P2027)</f>
        <v/>
      </c>
      <c r="Q2027" s="3">
        <f>IF(ORIG!Q2027=0,"",ORIG!Q2027)</f>
        <v/>
      </c>
      <c r="R2027" s="3">
        <f>IF(ORIG!R2027=0,"",ORIG!R2027)</f>
        <v/>
      </c>
      <c r="S2027" s="3">
        <f>IF(ORIG!S2027=0,"",ORIG!S2027)</f>
        <v/>
      </c>
      <c r="T2027" s="3">
        <f>IF(ORIG!T2027=0,"",ORIG!T2027)</f>
        <v/>
      </c>
      <c r="U2027" s="3">
        <f>IF(ORIG!U2027=0,"",ORIG!U2027)</f>
        <v/>
      </c>
      <c r="V2027" s="9">
        <f>IF(ORIG!V2027=0,"",ORIG!V2027)</f>
        <v/>
      </c>
      <c r="W2027" s="9">
        <f>IF(ORIG!W2027=0,"",ORIG!W2027)</f>
        <v/>
      </c>
      <c r="X2027" s="9">
        <f>IF(ORIG!X2027=0,"",ORIG!X2027)</f>
        <v/>
      </c>
      <c r="Y2027" s="9">
        <f>IF(ORIG!Y2027=0,"",ORIG!Y2027)</f>
        <v/>
      </c>
      <c r="Z2027" s="3">
        <f>SUMPRODUCT($B2027:$Y2027,$B$2649:$Y$2649)</f>
        <v/>
      </c>
      <c r="AA2027" s="3">
        <f>SUMPRODUCT($B2027:$Y2027,$B$2655:$Y$2655)</f>
        <v/>
      </c>
      <c r="AC2027" s="1">
        <f>A2027</f>
        <v/>
      </c>
      <c r="AD2027">
        <f>IF(ISNUMBER(V2027),V2027*($AB$1/V$2635),"")</f>
        <v/>
      </c>
      <c r="AE2027">
        <f>IF(ISNUMBER(Z2027),Z2027*($AB$1/Z$2635),"")</f>
        <v/>
      </c>
      <c r="AF2027" s="25">
        <f>IF(ISNUMBER(AD2027+AE2027),AD2027+AE2027,"")</f>
        <v/>
      </c>
      <c r="AH2027" s="1">
        <f>A2027</f>
        <v/>
      </c>
      <c r="AI2027">
        <f>IF(ISNUMBER((1+V2027)*AI2026),(1+V2027)*AI2026,AI2026)</f>
        <v/>
      </c>
      <c r="AJ2027">
        <f>IF(ISNUMBER((1+Z2027)*AJ2026),(1+Z2027)*AJ2026,AJ2026)</f>
        <v/>
      </c>
    </row>
    <row r="2028">
      <c r="A2028" s="1" t="n">
        <v>44945</v>
      </c>
      <c r="B2028" s="3">
        <f>IF(ORIG!B2028=0,"",ORIG!B2028)</f>
        <v/>
      </c>
      <c r="C2028" s="3">
        <f>IF(ORIG!C2028=0,"",ORIG!C2028)</f>
        <v/>
      </c>
      <c r="D2028" s="3">
        <f>IF(ORIG!D2028=0,"",ORIG!D2028)</f>
        <v/>
      </c>
      <c r="E2028" s="3">
        <f>IF(ORIG!E2028=0,"",ORIG!E2028)</f>
        <v/>
      </c>
      <c r="F2028" s="3">
        <f>IF(ORIG!F2028=0,"",ORIG!F2028)</f>
        <v/>
      </c>
      <c r="G2028" s="3">
        <f>IF(ORIG!G2028=0,"",ORIG!G2028)</f>
        <v/>
      </c>
      <c r="H2028" s="3">
        <f>IF(ORIG!H2028=0,"",ORIG!H2028)</f>
        <v/>
      </c>
      <c r="I2028" s="3">
        <f>IF(ORIG!I2028=0,"",ORIG!I2028)</f>
        <v/>
      </c>
      <c r="J2028" s="3">
        <f>IF(ORIG!J2028=0,"",ORIG!J2028)</f>
        <v/>
      </c>
      <c r="K2028" s="3">
        <f>IF(ORIG!K2028=0,"",ORIG!K2028)</f>
        <v/>
      </c>
      <c r="L2028" s="3">
        <f>IF(ORIG!L2028=0,"",ORIG!L2028)</f>
        <v/>
      </c>
      <c r="M2028" s="3">
        <f>IF(ORIG!M2028=0,"",ORIG!M2028)</f>
        <v/>
      </c>
      <c r="N2028" s="3">
        <f>IF(ORIG!N2028=0,"",ORIG!N2028)</f>
        <v/>
      </c>
      <c r="O2028" s="3">
        <f>IF(ORIG!O2028=0,"",ORIG!O2028)</f>
        <v/>
      </c>
      <c r="P2028" s="3">
        <f>IF(ORIG!P2028=0,"",ORIG!P2028)</f>
        <v/>
      </c>
      <c r="Q2028" s="3">
        <f>IF(ORIG!Q2028=0,"",ORIG!Q2028)</f>
        <v/>
      </c>
      <c r="R2028" s="3">
        <f>IF(ORIG!R2028=0,"",ORIG!R2028)</f>
        <v/>
      </c>
      <c r="S2028" s="3">
        <f>IF(ORIG!S2028=0,"",ORIG!S2028)</f>
        <v/>
      </c>
      <c r="T2028" s="3">
        <f>IF(ORIG!T2028=0,"",ORIG!T2028)</f>
        <v/>
      </c>
      <c r="U2028" s="3">
        <f>IF(ORIG!U2028=0,"",ORIG!U2028)</f>
        <v/>
      </c>
      <c r="V2028" s="9">
        <f>IF(ORIG!V2028=0,"",ORIG!V2028)</f>
        <v/>
      </c>
      <c r="W2028" s="9">
        <f>IF(ORIG!W2028=0,"",ORIG!W2028)</f>
        <v/>
      </c>
      <c r="X2028" s="9">
        <f>IF(ORIG!X2028=0,"",ORIG!X2028)</f>
        <v/>
      </c>
      <c r="Y2028" s="9">
        <f>IF(ORIG!Y2028=0,"",ORIG!Y2028)</f>
        <v/>
      </c>
      <c r="Z2028" s="3">
        <f>SUMPRODUCT($B2028:$Y2028,$B$2649:$Y$2649)</f>
        <v/>
      </c>
      <c r="AA2028" s="3">
        <f>SUMPRODUCT($B2028:$Y2028,$B$2655:$Y$2655)</f>
        <v/>
      </c>
      <c r="AC2028" s="1">
        <f>A2028</f>
        <v/>
      </c>
      <c r="AD2028">
        <f>IF(ISNUMBER(V2028),V2028*($AB$1/V$2635),"")</f>
        <v/>
      </c>
      <c r="AE2028">
        <f>IF(ISNUMBER(Z2028),Z2028*($AB$1/Z$2635),"")</f>
        <v/>
      </c>
      <c r="AF2028" s="25">
        <f>IF(ISNUMBER(AD2028+AE2028),AD2028+AE2028,"")</f>
        <v/>
      </c>
      <c r="AH2028" s="1">
        <f>A2028</f>
        <v/>
      </c>
      <c r="AI2028">
        <f>IF(ISNUMBER((1+V2028)*AI2027),(1+V2028)*AI2027,AI2027)</f>
        <v/>
      </c>
      <c r="AJ2028">
        <f>IF(ISNUMBER((1+Z2028)*AJ2027),(1+Z2028)*AJ2027,AJ2027)</f>
        <v/>
      </c>
    </row>
    <row r="2029">
      <c r="A2029" s="1" t="n">
        <v>44946</v>
      </c>
      <c r="B2029" s="3">
        <f>IF(ORIG!B2029=0,"",ORIG!B2029)</f>
        <v/>
      </c>
      <c r="C2029" s="3">
        <f>IF(ORIG!C2029=0,"",ORIG!C2029)</f>
        <v/>
      </c>
      <c r="D2029" s="3">
        <f>IF(ORIG!D2029=0,"",ORIG!D2029)</f>
        <v/>
      </c>
      <c r="E2029" s="3">
        <f>IF(ORIG!E2029=0,"",ORIG!E2029)</f>
        <v/>
      </c>
      <c r="F2029" s="3">
        <f>IF(ORIG!F2029=0,"",ORIG!F2029)</f>
        <v/>
      </c>
      <c r="G2029" s="3">
        <f>IF(ORIG!G2029=0,"",ORIG!G2029)</f>
        <v/>
      </c>
      <c r="H2029" s="3">
        <f>IF(ORIG!H2029=0,"",ORIG!H2029)</f>
        <v/>
      </c>
      <c r="I2029" s="3">
        <f>IF(ORIG!I2029=0,"",ORIG!I2029)</f>
        <v/>
      </c>
      <c r="J2029" s="3">
        <f>IF(ORIG!J2029=0,"",ORIG!J2029)</f>
        <v/>
      </c>
      <c r="K2029" s="3">
        <f>IF(ORIG!K2029=0,"",ORIG!K2029)</f>
        <v/>
      </c>
      <c r="L2029" s="3">
        <f>IF(ORIG!L2029=0,"",ORIG!L2029)</f>
        <v/>
      </c>
      <c r="M2029" s="3">
        <f>IF(ORIG!M2029=0,"",ORIG!M2029)</f>
        <v/>
      </c>
      <c r="N2029" s="3">
        <f>IF(ORIG!N2029=0,"",ORIG!N2029)</f>
        <v/>
      </c>
      <c r="O2029" s="3">
        <f>IF(ORIG!O2029=0,"",ORIG!O2029)</f>
        <v/>
      </c>
      <c r="P2029" s="3">
        <f>IF(ORIG!P2029=0,"",ORIG!P2029)</f>
        <v/>
      </c>
      <c r="Q2029" s="3">
        <f>IF(ORIG!Q2029=0,"",ORIG!Q2029)</f>
        <v/>
      </c>
      <c r="R2029" s="3">
        <f>IF(ORIG!R2029=0,"",ORIG!R2029)</f>
        <v/>
      </c>
      <c r="S2029" s="3">
        <f>IF(ORIG!S2029=0,"",ORIG!S2029)</f>
        <v/>
      </c>
      <c r="T2029" s="3">
        <f>IF(ORIG!T2029=0,"",ORIG!T2029)</f>
        <v/>
      </c>
      <c r="U2029" s="3">
        <f>IF(ORIG!U2029=0,"",ORIG!U2029)</f>
        <v/>
      </c>
      <c r="V2029" s="9">
        <f>IF(ORIG!V2029=0,"",ORIG!V2029)</f>
        <v/>
      </c>
      <c r="W2029" s="9">
        <f>IF(ORIG!W2029=0,"",ORIG!W2029)</f>
        <v/>
      </c>
      <c r="X2029" s="9">
        <f>IF(ORIG!X2029=0,"",ORIG!X2029)</f>
        <v/>
      </c>
      <c r="Y2029" s="9">
        <f>IF(ORIG!Y2029=0,"",ORIG!Y2029)</f>
        <v/>
      </c>
      <c r="Z2029" s="3">
        <f>SUMPRODUCT($B2029:$Y2029,$B$2649:$Y$2649)</f>
        <v/>
      </c>
      <c r="AA2029" s="3">
        <f>SUMPRODUCT($B2029:$Y2029,$B$2655:$Y$2655)</f>
        <v/>
      </c>
      <c r="AC2029" s="1">
        <f>A2029</f>
        <v/>
      </c>
      <c r="AD2029">
        <f>IF(ISNUMBER(V2029),V2029*($AB$1/V$2635),"")</f>
        <v/>
      </c>
      <c r="AE2029">
        <f>IF(ISNUMBER(Z2029),Z2029*($AB$1/Z$2635),"")</f>
        <v/>
      </c>
      <c r="AF2029" s="25">
        <f>IF(ISNUMBER(AD2029+AE2029),AD2029+AE2029,"")</f>
        <v/>
      </c>
      <c r="AH2029" s="1">
        <f>A2029</f>
        <v/>
      </c>
      <c r="AI2029">
        <f>IF(ISNUMBER((1+V2029)*AI2028),(1+V2029)*AI2028,AI2028)</f>
        <v/>
      </c>
      <c r="AJ2029">
        <f>IF(ISNUMBER((1+Z2029)*AJ2028),(1+Z2029)*AJ2028,AJ2028)</f>
        <v/>
      </c>
    </row>
    <row r="2030">
      <c r="A2030" s="1" t="n">
        <v>44949</v>
      </c>
      <c r="B2030" s="3">
        <f>IF(ORIG!B2030=0,"",ORIG!B2030)</f>
        <v/>
      </c>
      <c r="C2030" s="3">
        <f>IF(ORIG!C2030=0,"",ORIG!C2030)</f>
        <v/>
      </c>
      <c r="D2030" s="3">
        <f>IF(ORIG!D2030=0,"",ORIG!D2030)</f>
        <v/>
      </c>
      <c r="E2030" s="3">
        <f>IF(ORIG!E2030=0,"",ORIG!E2030)</f>
        <v/>
      </c>
      <c r="F2030" s="3">
        <f>IF(ORIG!F2030=0,"",ORIG!F2030)</f>
        <v/>
      </c>
      <c r="G2030" s="3">
        <f>IF(ORIG!G2030=0,"",ORIG!G2030)</f>
        <v/>
      </c>
      <c r="H2030" s="3">
        <f>IF(ORIG!H2030=0,"",ORIG!H2030)</f>
        <v/>
      </c>
      <c r="I2030" s="3">
        <f>IF(ORIG!I2030=0,"",ORIG!I2030)</f>
        <v/>
      </c>
      <c r="J2030" s="3">
        <f>IF(ORIG!J2030=0,"",ORIG!J2030)</f>
        <v/>
      </c>
      <c r="K2030" s="3">
        <f>IF(ORIG!K2030=0,"",ORIG!K2030)</f>
        <v/>
      </c>
      <c r="L2030" s="3">
        <f>IF(ORIG!L2030=0,"",ORIG!L2030)</f>
        <v/>
      </c>
      <c r="M2030" s="3">
        <f>IF(ORIG!M2030=0,"",ORIG!M2030)</f>
        <v/>
      </c>
      <c r="N2030" s="3">
        <f>IF(ORIG!N2030=0,"",ORIG!N2030)</f>
        <v/>
      </c>
      <c r="O2030" s="3">
        <f>IF(ORIG!O2030=0,"",ORIG!O2030)</f>
        <v/>
      </c>
      <c r="P2030" s="3">
        <f>IF(ORIG!P2030=0,"",ORIG!P2030)</f>
        <v/>
      </c>
      <c r="Q2030" s="3">
        <f>IF(ORIG!Q2030=0,"",ORIG!Q2030)</f>
        <v/>
      </c>
      <c r="R2030" s="3">
        <f>IF(ORIG!R2030=0,"",ORIG!R2030)</f>
        <v/>
      </c>
      <c r="S2030" s="3">
        <f>IF(ORIG!S2030=0,"",ORIG!S2030)</f>
        <v/>
      </c>
      <c r="T2030" s="3">
        <f>IF(ORIG!T2030=0,"",ORIG!T2030)</f>
        <v/>
      </c>
      <c r="U2030" s="3">
        <f>IF(ORIG!U2030=0,"",ORIG!U2030)</f>
        <v/>
      </c>
      <c r="V2030" s="9">
        <f>IF(ORIG!V2030=0,"",ORIG!V2030)</f>
        <v/>
      </c>
      <c r="W2030" s="9">
        <f>IF(ORIG!W2030=0,"",ORIG!W2030)</f>
        <v/>
      </c>
      <c r="X2030" s="9">
        <f>IF(ORIG!X2030=0,"",ORIG!X2030)</f>
        <v/>
      </c>
      <c r="Y2030" s="9">
        <f>IF(ORIG!Y2030=0,"",ORIG!Y2030)</f>
        <v/>
      </c>
      <c r="Z2030" s="3">
        <f>SUMPRODUCT($B2030:$Y2030,$B$2649:$Y$2649)</f>
        <v/>
      </c>
      <c r="AA2030" s="3">
        <f>SUMPRODUCT($B2030:$Y2030,$B$2655:$Y$2655)</f>
        <v/>
      </c>
      <c r="AC2030" s="1">
        <f>A2030</f>
        <v/>
      </c>
      <c r="AD2030">
        <f>IF(ISNUMBER(V2030),V2030*($AB$1/V$2635),"")</f>
        <v/>
      </c>
      <c r="AE2030">
        <f>IF(ISNUMBER(Z2030),Z2030*($AB$1/Z$2635),"")</f>
        <v/>
      </c>
      <c r="AF2030" s="25">
        <f>IF(ISNUMBER(AD2030+AE2030),AD2030+AE2030,"")</f>
        <v/>
      </c>
      <c r="AH2030" s="1">
        <f>A2030</f>
        <v/>
      </c>
      <c r="AI2030">
        <f>IF(ISNUMBER((1+V2030)*AI2029),(1+V2030)*AI2029,AI2029)</f>
        <v/>
      </c>
      <c r="AJ2030">
        <f>IF(ISNUMBER((1+Z2030)*AJ2029),(1+Z2030)*AJ2029,AJ2029)</f>
        <v/>
      </c>
    </row>
    <row r="2031">
      <c r="A2031" s="1" t="n">
        <v>44950</v>
      </c>
      <c r="B2031" s="3">
        <f>IF(ORIG!B2031=0,"",ORIG!B2031)</f>
        <v/>
      </c>
      <c r="C2031" s="3">
        <f>IF(ORIG!C2031=0,"",ORIG!C2031)</f>
        <v/>
      </c>
      <c r="D2031" s="3">
        <f>IF(ORIG!D2031=0,"",ORIG!D2031)</f>
        <v/>
      </c>
      <c r="E2031" s="3">
        <f>IF(ORIG!E2031=0,"",ORIG!E2031)</f>
        <v/>
      </c>
      <c r="F2031" s="3">
        <f>IF(ORIG!F2031=0,"",ORIG!F2031)</f>
        <v/>
      </c>
      <c r="G2031" s="3">
        <f>IF(ORIG!G2031=0,"",ORIG!G2031)</f>
        <v/>
      </c>
      <c r="H2031" s="3">
        <f>IF(ORIG!H2031=0,"",ORIG!H2031)</f>
        <v/>
      </c>
      <c r="I2031" s="3">
        <f>IF(ORIG!I2031=0,"",ORIG!I2031)</f>
        <v/>
      </c>
      <c r="J2031" s="3">
        <f>IF(ORIG!J2031=0,"",ORIG!J2031)</f>
        <v/>
      </c>
      <c r="K2031" s="3">
        <f>IF(ORIG!K2031=0,"",ORIG!K2031)</f>
        <v/>
      </c>
      <c r="L2031" s="3">
        <f>IF(ORIG!L2031=0,"",ORIG!L2031)</f>
        <v/>
      </c>
      <c r="M2031" s="3">
        <f>IF(ORIG!M2031=0,"",ORIG!M2031)</f>
        <v/>
      </c>
      <c r="N2031" s="3">
        <f>IF(ORIG!N2031=0,"",ORIG!N2031)</f>
        <v/>
      </c>
      <c r="O2031" s="3">
        <f>IF(ORIG!O2031=0,"",ORIG!O2031)</f>
        <v/>
      </c>
      <c r="P2031" s="3">
        <f>IF(ORIG!P2031=0,"",ORIG!P2031)</f>
        <v/>
      </c>
      <c r="Q2031" s="3">
        <f>IF(ORIG!Q2031=0,"",ORIG!Q2031)</f>
        <v/>
      </c>
      <c r="R2031" s="3">
        <f>IF(ORIG!R2031=0,"",ORIG!R2031)</f>
        <v/>
      </c>
      <c r="S2031" s="3">
        <f>IF(ORIG!S2031=0,"",ORIG!S2031)</f>
        <v/>
      </c>
      <c r="T2031" s="3">
        <f>IF(ORIG!T2031=0,"",ORIG!T2031)</f>
        <v/>
      </c>
      <c r="U2031" s="3">
        <f>IF(ORIG!U2031=0,"",ORIG!U2031)</f>
        <v/>
      </c>
      <c r="V2031" s="9">
        <f>IF(ORIG!V2031=0,"",ORIG!V2031)</f>
        <v/>
      </c>
      <c r="W2031" s="9">
        <f>IF(ORIG!W2031=0,"",ORIG!W2031)</f>
        <v/>
      </c>
      <c r="X2031" s="9">
        <f>IF(ORIG!X2031=0,"",ORIG!X2031)</f>
        <v/>
      </c>
      <c r="Y2031" s="9">
        <f>IF(ORIG!Y2031=0,"",ORIG!Y2031)</f>
        <v/>
      </c>
      <c r="Z2031" s="3">
        <f>SUMPRODUCT($B2031:$Y2031,$B$2649:$Y$2649)</f>
        <v/>
      </c>
      <c r="AA2031" s="3">
        <f>SUMPRODUCT($B2031:$Y2031,$B$2655:$Y$2655)</f>
        <v/>
      </c>
      <c r="AC2031" s="1">
        <f>A2031</f>
        <v/>
      </c>
      <c r="AD2031">
        <f>IF(ISNUMBER(V2031),V2031*($AB$1/V$2635),"")</f>
        <v/>
      </c>
      <c r="AE2031">
        <f>IF(ISNUMBER(Z2031),Z2031*($AB$1/Z$2635),"")</f>
        <v/>
      </c>
      <c r="AF2031" s="25">
        <f>IF(ISNUMBER(AD2031+AE2031),AD2031+AE2031,"")</f>
        <v/>
      </c>
      <c r="AH2031" s="1">
        <f>A2031</f>
        <v/>
      </c>
      <c r="AI2031">
        <f>IF(ISNUMBER((1+V2031)*AI2030),(1+V2031)*AI2030,AI2030)</f>
        <v/>
      </c>
      <c r="AJ2031">
        <f>IF(ISNUMBER((1+Z2031)*AJ2030),(1+Z2031)*AJ2030,AJ2030)</f>
        <v/>
      </c>
    </row>
    <row r="2032">
      <c r="A2032" s="1" t="n">
        <v>44951</v>
      </c>
      <c r="B2032" s="3">
        <f>IF(ORIG!B2032=0,"",ORIG!B2032)</f>
        <v/>
      </c>
      <c r="C2032" s="3">
        <f>IF(ORIG!C2032=0,"",ORIG!C2032)</f>
        <v/>
      </c>
      <c r="D2032" s="3">
        <f>IF(ORIG!D2032=0,"",ORIG!D2032)</f>
        <v/>
      </c>
      <c r="E2032" s="3">
        <f>IF(ORIG!E2032=0,"",ORIG!E2032)</f>
        <v/>
      </c>
      <c r="F2032" s="3">
        <f>IF(ORIG!F2032=0,"",ORIG!F2032)</f>
        <v/>
      </c>
      <c r="G2032" s="3">
        <f>IF(ORIG!G2032=0,"",ORIG!G2032)</f>
        <v/>
      </c>
      <c r="H2032" s="3">
        <f>IF(ORIG!H2032=0,"",ORIG!H2032)</f>
        <v/>
      </c>
      <c r="I2032" s="3">
        <f>IF(ORIG!I2032=0,"",ORIG!I2032)</f>
        <v/>
      </c>
      <c r="J2032" s="3">
        <f>IF(ORIG!J2032=0,"",ORIG!J2032)</f>
        <v/>
      </c>
      <c r="K2032" s="3">
        <f>IF(ORIG!K2032=0,"",ORIG!K2032)</f>
        <v/>
      </c>
      <c r="L2032" s="3">
        <f>IF(ORIG!L2032=0,"",ORIG!L2032)</f>
        <v/>
      </c>
      <c r="M2032" s="3">
        <f>IF(ORIG!M2032=0,"",ORIG!M2032)</f>
        <v/>
      </c>
      <c r="N2032" s="3">
        <f>IF(ORIG!N2032=0,"",ORIG!N2032)</f>
        <v/>
      </c>
      <c r="O2032" s="3">
        <f>IF(ORIG!O2032=0,"",ORIG!O2032)</f>
        <v/>
      </c>
      <c r="P2032" s="3">
        <f>IF(ORIG!P2032=0,"",ORIG!P2032)</f>
        <v/>
      </c>
      <c r="Q2032" s="3">
        <f>IF(ORIG!Q2032=0,"",ORIG!Q2032)</f>
        <v/>
      </c>
      <c r="R2032" s="3">
        <f>IF(ORIG!R2032=0,"",ORIG!R2032)</f>
        <v/>
      </c>
      <c r="S2032" s="3">
        <f>IF(ORIG!S2032=0,"",ORIG!S2032)</f>
        <v/>
      </c>
      <c r="T2032" s="3">
        <f>IF(ORIG!T2032=0,"",ORIG!T2032)</f>
        <v/>
      </c>
      <c r="U2032" s="3">
        <f>IF(ORIG!U2032=0,"",ORIG!U2032)</f>
        <v/>
      </c>
      <c r="V2032" s="9">
        <f>IF(ORIG!V2032=0,"",ORIG!V2032)</f>
        <v/>
      </c>
      <c r="W2032" s="9">
        <f>IF(ORIG!W2032=0,"",ORIG!W2032)</f>
        <v/>
      </c>
      <c r="X2032" s="9">
        <f>IF(ORIG!X2032=0,"",ORIG!X2032)</f>
        <v/>
      </c>
      <c r="Y2032" s="9">
        <f>IF(ORIG!Y2032=0,"",ORIG!Y2032)</f>
        <v/>
      </c>
      <c r="Z2032" s="3">
        <f>SUMPRODUCT($B2032:$Y2032,$B$2649:$Y$2649)</f>
        <v/>
      </c>
      <c r="AA2032" s="3">
        <f>SUMPRODUCT($B2032:$Y2032,$B$2655:$Y$2655)</f>
        <v/>
      </c>
      <c r="AC2032" s="1">
        <f>A2032</f>
        <v/>
      </c>
      <c r="AD2032">
        <f>IF(ISNUMBER(V2032),V2032*($AB$1/V$2635),"")</f>
        <v/>
      </c>
      <c r="AE2032">
        <f>IF(ISNUMBER(Z2032),Z2032*($AB$1/Z$2635),"")</f>
        <v/>
      </c>
      <c r="AF2032" s="25">
        <f>IF(ISNUMBER(AD2032+AE2032),AD2032+AE2032,"")</f>
        <v/>
      </c>
      <c r="AH2032" s="1">
        <f>A2032</f>
        <v/>
      </c>
      <c r="AI2032">
        <f>IF(ISNUMBER((1+V2032)*AI2031),(1+V2032)*AI2031,AI2031)</f>
        <v/>
      </c>
      <c r="AJ2032">
        <f>IF(ISNUMBER((1+Z2032)*AJ2031),(1+Z2032)*AJ2031,AJ2031)</f>
        <v/>
      </c>
    </row>
    <row r="2033">
      <c r="A2033" s="1" t="n">
        <v>44952</v>
      </c>
      <c r="B2033" s="3">
        <f>IF(ORIG!B2033=0,"",ORIG!B2033)</f>
        <v/>
      </c>
      <c r="C2033" s="3">
        <f>IF(ORIG!C2033=0,"",ORIG!C2033)</f>
        <v/>
      </c>
      <c r="D2033" s="3">
        <f>IF(ORIG!D2033=0,"",ORIG!D2033)</f>
        <v/>
      </c>
      <c r="E2033" s="3">
        <f>IF(ORIG!E2033=0,"",ORIG!E2033)</f>
        <v/>
      </c>
      <c r="F2033" s="3">
        <f>IF(ORIG!F2033=0,"",ORIG!F2033)</f>
        <v/>
      </c>
      <c r="G2033" s="3">
        <f>IF(ORIG!G2033=0,"",ORIG!G2033)</f>
        <v/>
      </c>
      <c r="H2033" s="3">
        <f>IF(ORIG!H2033=0,"",ORIG!H2033)</f>
        <v/>
      </c>
      <c r="I2033" s="3">
        <f>IF(ORIG!I2033=0,"",ORIG!I2033)</f>
        <v/>
      </c>
      <c r="J2033" s="3">
        <f>IF(ORIG!J2033=0,"",ORIG!J2033)</f>
        <v/>
      </c>
      <c r="K2033" s="3">
        <f>IF(ORIG!K2033=0,"",ORIG!K2033)</f>
        <v/>
      </c>
      <c r="L2033" s="3">
        <f>IF(ORIG!L2033=0,"",ORIG!L2033)</f>
        <v/>
      </c>
      <c r="M2033" s="3">
        <f>IF(ORIG!M2033=0,"",ORIG!M2033)</f>
        <v/>
      </c>
      <c r="N2033" s="3">
        <f>IF(ORIG!N2033=0,"",ORIG!N2033)</f>
        <v/>
      </c>
      <c r="O2033" s="3">
        <f>IF(ORIG!O2033=0,"",ORIG!O2033)</f>
        <v/>
      </c>
      <c r="P2033" s="3">
        <f>IF(ORIG!P2033=0,"",ORIG!P2033)</f>
        <v/>
      </c>
      <c r="Q2033" s="3">
        <f>IF(ORIG!Q2033=0,"",ORIG!Q2033)</f>
        <v/>
      </c>
      <c r="R2033" s="3">
        <f>IF(ORIG!R2033=0,"",ORIG!R2033)</f>
        <v/>
      </c>
      <c r="S2033" s="3">
        <f>IF(ORIG!S2033=0,"",ORIG!S2033)</f>
        <v/>
      </c>
      <c r="T2033" s="3">
        <f>IF(ORIG!T2033=0,"",ORIG!T2033)</f>
        <v/>
      </c>
      <c r="U2033" s="3">
        <f>IF(ORIG!U2033=0,"",ORIG!U2033)</f>
        <v/>
      </c>
      <c r="V2033" s="9">
        <f>IF(ORIG!V2033=0,"",ORIG!V2033)</f>
        <v/>
      </c>
      <c r="W2033" s="9">
        <f>IF(ORIG!W2033=0,"",ORIG!W2033)</f>
        <v/>
      </c>
      <c r="X2033" s="9">
        <f>IF(ORIG!X2033=0,"",ORIG!X2033)</f>
        <v/>
      </c>
      <c r="Y2033" s="9">
        <f>IF(ORIG!Y2033=0,"",ORIG!Y2033)</f>
        <v/>
      </c>
      <c r="Z2033" s="3">
        <f>SUMPRODUCT($B2033:$Y2033,$B$2649:$Y$2649)</f>
        <v/>
      </c>
      <c r="AA2033" s="3">
        <f>SUMPRODUCT($B2033:$Y2033,$B$2655:$Y$2655)</f>
        <v/>
      </c>
      <c r="AC2033" s="1">
        <f>A2033</f>
        <v/>
      </c>
      <c r="AD2033">
        <f>IF(ISNUMBER(V2033),V2033*($AB$1/V$2635),"")</f>
        <v/>
      </c>
      <c r="AE2033">
        <f>IF(ISNUMBER(Z2033),Z2033*($AB$1/Z$2635),"")</f>
        <v/>
      </c>
      <c r="AF2033" s="25">
        <f>IF(ISNUMBER(AD2033+AE2033),AD2033+AE2033,"")</f>
        <v/>
      </c>
      <c r="AH2033" s="1">
        <f>A2033</f>
        <v/>
      </c>
      <c r="AI2033">
        <f>IF(ISNUMBER((1+V2033)*AI2032),(1+V2033)*AI2032,AI2032)</f>
        <v/>
      </c>
      <c r="AJ2033">
        <f>IF(ISNUMBER((1+Z2033)*AJ2032),(1+Z2033)*AJ2032,AJ2032)</f>
        <v/>
      </c>
    </row>
    <row r="2034">
      <c r="A2034" s="1" t="n">
        <v>44953</v>
      </c>
      <c r="B2034" s="3">
        <f>IF(ORIG!B2034=0,"",ORIG!B2034)</f>
        <v/>
      </c>
      <c r="C2034" s="3">
        <f>IF(ORIG!C2034=0,"",ORIG!C2034)</f>
        <v/>
      </c>
      <c r="D2034" s="3">
        <f>IF(ORIG!D2034=0,"",ORIG!D2034)</f>
        <v/>
      </c>
      <c r="E2034" s="3">
        <f>IF(ORIG!E2034=0,"",ORIG!E2034)</f>
        <v/>
      </c>
      <c r="F2034" s="3">
        <f>IF(ORIG!F2034=0,"",ORIG!F2034)</f>
        <v/>
      </c>
      <c r="G2034" s="3">
        <f>IF(ORIG!G2034=0,"",ORIG!G2034)</f>
        <v/>
      </c>
      <c r="H2034" s="3">
        <f>IF(ORIG!H2034=0,"",ORIG!H2034)</f>
        <v/>
      </c>
      <c r="I2034" s="3">
        <f>IF(ORIG!I2034=0,"",ORIG!I2034)</f>
        <v/>
      </c>
      <c r="J2034" s="3">
        <f>IF(ORIG!J2034=0,"",ORIG!J2034)</f>
        <v/>
      </c>
      <c r="K2034" s="3">
        <f>IF(ORIG!K2034=0,"",ORIG!K2034)</f>
        <v/>
      </c>
      <c r="L2034" s="3">
        <f>IF(ORIG!L2034=0,"",ORIG!L2034)</f>
        <v/>
      </c>
      <c r="M2034" s="3">
        <f>IF(ORIG!M2034=0,"",ORIG!M2034)</f>
        <v/>
      </c>
      <c r="N2034" s="3">
        <f>IF(ORIG!N2034=0,"",ORIG!N2034)</f>
        <v/>
      </c>
      <c r="O2034" s="3">
        <f>IF(ORIG!O2034=0,"",ORIG!O2034)</f>
        <v/>
      </c>
      <c r="P2034" s="3">
        <f>IF(ORIG!P2034=0,"",ORIG!P2034)</f>
        <v/>
      </c>
      <c r="Q2034" s="3">
        <f>IF(ORIG!Q2034=0,"",ORIG!Q2034)</f>
        <v/>
      </c>
      <c r="R2034" s="3">
        <f>IF(ORIG!R2034=0,"",ORIG!R2034)</f>
        <v/>
      </c>
      <c r="S2034" s="3">
        <f>IF(ORIG!S2034=0,"",ORIG!S2034)</f>
        <v/>
      </c>
      <c r="T2034" s="3">
        <f>IF(ORIG!T2034=0,"",ORIG!T2034)</f>
        <v/>
      </c>
      <c r="U2034" s="3">
        <f>IF(ORIG!U2034=0,"",ORIG!U2034)</f>
        <v/>
      </c>
      <c r="V2034" s="9">
        <f>IF(ORIG!V2034=0,"",ORIG!V2034)</f>
        <v/>
      </c>
      <c r="W2034" s="9">
        <f>IF(ORIG!W2034=0,"",ORIG!W2034)</f>
        <v/>
      </c>
      <c r="X2034" s="9">
        <f>IF(ORIG!X2034=0,"",ORIG!X2034)</f>
        <v/>
      </c>
      <c r="Y2034" s="9">
        <f>IF(ORIG!Y2034=0,"",ORIG!Y2034)</f>
        <v/>
      </c>
      <c r="Z2034" s="3">
        <f>SUMPRODUCT($B2034:$Y2034,$B$2649:$Y$2649)</f>
        <v/>
      </c>
      <c r="AA2034" s="3">
        <f>SUMPRODUCT($B2034:$Y2034,$B$2655:$Y$2655)</f>
        <v/>
      </c>
      <c r="AC2034" s="1">
        <f>A2034</f>
        <v/>
      </c>
      <c r="AD2034">
        <f>IF(ISNUMBER(V2034),V2034*($AB$1/V$2635),"")</f>
        <v/>
      </c>
      <c r="AE2034">
        <f>IF(ISNUMBER(Z2034),Z2034*($AB$1/Z$2635),"")</f>
        <v/>
      </c>
      <c r="AF2034" s="25">
        <f>IF(ISNUMBER(AD2034+AE2034),AD2034+AE2034,"")</f>
        <v/>
      </c>
      <c r="AH2034" s="1">
        <f>A2034</f>
        <v/>
      </c>
      <c r="AI2034">
        <f>IF(ISNUMBER((1+V2034)*AI2033),(1+V2034)*AI2033,AI2033)</f>
        <v/>
      </c>
      <c r="AJ2034">
        <f>IF(ISNUMBER((1+Z2034)*AJ2033),(1+Z2034)*AJ2033,AJ2033)</f>
        <v/>
      </c>
    </row>
    <row r="2035">
      <c r="A2035" s="1" t="n">
        <v>44956</v>
      </c>
      <c r="B2035" s="3">
        <f>IF(ORIG!B2035=0,"",ORIG!B2035)</f>
        <v/>
      </c>
      <c r="C2035" s="3">
        <f>IF(ORIG!C2035=0,"",ORIG!C2035)</f>
        <v/>
      </c>
      <c r="D2035" s="3">
        <f>IF(ORIG!D2035=0,"",ORIG!D2035)</f>
        <v/>
      </c>
      <c r="E2035" s="3">
        <f>IF(ORIG!E2035=0,"",ORIG!E2035)</f>
        <v/>
      </c>
      <c r="F2035" s="3">
        <f>IF(ORIG!F2035=0,"",ORIG!F2035)</f>
        <v/>
      </c>
      <c r="G2035" s="3">
        <f>IF(ORIG!G2035=0,"",ORIG!G2035)</f>
        <v/>
      </c>
      <c r="H2035" s="3">
        <f>IF(ORIG!H2035=0,"",ORIG!H2035)</f>
        <v/>
      </c>
      <c r="I2035" s="3">
        <f>IF(ORIG!I2035=0,"",ORIG!I2035)</f>
        <v/>
      </c>
      <c r="J2035" s="3">
        <f>IF(ORIG!J2035=0,"",ORIG!J2035)</f>
        <v/>
      </c>
      <c r="K2035" s="3">
        <f>IF(ORIG!K2035=0,"",ORIG!K2035)</f>
        <v/>
      </c>
      <c r="L2035" s="3">
        <f>IF(ORIG!L2035=0,"",ORIG!L2035)</f>
        <v/>
      </c>
      <c r="M2035" s="3">
        <f>IF(ORIG!M2035=0,"",ORIG!M2035)</f>
        <v/>
      </c>
      <c r="N2035" s="3">
        <f>IF(ORIG!N2035=0,"",ORIG!N2035)</f>
        <v/>
      </c>
      <c r="O2035" s="3">
        <f>IF(ORIG!O2035=0,"",ORIG!O2035)</f>
        <v/>
      </c>
      <c r="P2035" s="3">
        <f>IF(ORIG!P2035=0,"",ORIG!P2035)</f>
        <v/>
      </c>
      <c r="Q2035" s="3">
        <f>IF(ORIG!Q2035=0,"",ORIG!Q2035)</f>
        <v/>
      </c>
      <c r="R2035" s="3">
        <f>IF(ORIG!R2035=0,"",ORIG!R2035)</f>
        <v/>
      </c>
      <c r="S2035" s="3">
        <f>IF(ORIG!S2035=0,"",ORIG!S2035)</f>
        <v/>
      </c>
      <c r="T2035" s="3">
        <f>IF(ORIG!T2035=0,"",ORIG!T2035)</f>
        <v/>
      </c>
      <c r="U2035" s="3">
        <f>IF(ORIG!U2035=0,"",ORIG!U2035)</f>
        <v/>
      </c>
      <c r="V2035" s="9">
        <f>IF(ORIG!V2035=0,"",ORIG!V2035)</f>
        <v/>
      </c>
      <c r="W2035" s="9">
        <f>IF(ORIG!W2035=0,"",ORIG!W2035)</f>
        <v/>
      </c>
      <c r="X2035" s="9">
        <f>IF(ORIG!X2035=0,"",ORIG!X2035)</f>
        <v/>
      </c>
      <c r="Y2035" s="9">
        <f>IF(ORIG!Y2035=0,"",ORIG!Y2035)</f>
        <v/>
      </c>
      <c r="Z2035" s="3">
        <f>SUMPRODUCT($B2035:$Y2035,$B$2649:$Y$2649)</f>
        <v/>
      </c>
      <c r="AA2035" s="3">
        <f>SUMPRODUCT($B2035:$Y2035,$B$2655:$Y$2655)</f>
        <v/>
      </c>
      <c r="AC2035" s="1">
        <f>A2035</f>
        <v/>
      </c>
      <c r="AD2035">
        <f>IF(ISNUMBER(V2035),V2035*($AB$1/V$2635),"")</f>
        <v/>
      </c>
      <c r="AE2035">
        <f>IF(ISNUMBER(Z2035),Z2035*($AB$1/Z$2635),"")</f>
        <v/>
      </c>
      <c r="AF2035" s="25">
        <f>IF(ISNUMBER(AD2035+AE2035),AD2035+AE2035,"")</f>
        <v/>
      </c>
      <c r="AH2035" s="1">
        <f>A2035</f>
        <v/>
      </c>
      <c r="AI2035">
        <f>IF(ISNUMBER((1+V2035)*AI2034),(1+V2035)*AI2034,AI2034)</f>
        <v/>
      </c>
      <c r="AJ2035">
        <f>IF(ISNUMBER((1+Z2035)*AJ2034),(1+Z2035)*AJ2034,AJ2034)</f>
        <v/>
      </c>
    </row>
    <row r="2036">
      <c r="A2036" s="1" t="n">
        <v>44957</v>
      </c>
      <c r="B2036" s="3">
        <f>IF(ORIG!B2036=0,"",ORIG!B2036)</f>
        <v/>
      </c>
      <c r="C2036" s="3">
        <f>IF(ORIG!C2036=0,"",ORIG!C2036)</f>
        <v/>
      </c>
      <c r="D2036" s="3">
        <f>IF(ORIG!D2036=0,"",ORIG!D2036)</f>
        <v/>
      </c>
      <c r="E2036" s="3">
        <f>IF(ORIG!E2036=0,"",ORIG!E2036)</f>
        <v/>
      </c>
      <c r="F2036" s="3">
        <f>IF(ORIG!F2036=0,"",ORIG!F2036)</f>
        <v/>
      </c>
      <c r="G2036" s="3">
        <f>IF(ORIG!G2036=0,"",ORIG!G2036)</f>
        <v/>
      </c>
      <c r="H2036" s="3">
        <f>IF(ORIG!H2036=0,"",ORIG!H2036)</f>
        <v/>
      </c>
      <c r="I2036" s="3">
        <f>IF(ORIG!I2036=0,"",ORIG!I2036)</f>
        <v/>
      </c>
      <c r="J2036" s="3">
        <f>IF(ORIG!J2036=0,"",ORIG!J2036)</f>
        <v/>
      </c>
      <c r="K2036" s="3">
        <f>IF(ORIG!K2036=0,"",ORIG!K2036)</f>
        <v/>
      </c>
      <c r="L2036" s="3">
        <f>IF(ORIG!L2036=0,"",ORIG!L2036)</f>
        <v/>
      </c>
      <c r="M2036" s="3">
        <f>IF(ORIG!M2036=0,"",ORIG!M2036)</f>
        <v/>
      </c>
      <c r="N2036" s="3">
        <f>IF(ORIG!N2036=0,"",ORIG!N2036)</f>
        <v/>
      </c>
      <c r="O2036" s="3">
        <f>IF(ORIG!O2036=0,"",ORIG!O2036)</f>
        <v/>
      </c>
      <c r="P2036" s="3">
        <f>IF(ORIG!P2036=0,"",ORIG!P2036)</f>
        <v/>
      </c>
      <c r="Q2036" s="3">
        <f>IF(ORIG!Q2036=0,"",ORIG!Q2036)</f>
        <v/>
      </c>
      <c r="R2036" s="3">
        <f>IF(ORIG!R2036=0,"",ORIG!R2036)</f>
        <v/>
      </c>
      <c r="S2036" s="3">
        <f>IF(ORIG!S2036=0,"",ORIG!S2036)</f>
        <v/>
      </c>
      <c r="T2036" s="3">
        <f>IF(ORIG!T2036=0,"",ORIG!T2036)</f>
        <v/>
      </c>
      <c r="U2036" s="3">
        <f>IF(ORIG!U2036=0,"",ORIG!U2036)</f>
        <v/>
      </c>
      <c r="V2036" s="9">
        <f>IF(ORIG!V2036=0,"",ORIG!V2036)</f>
        <v/>
      </c>
      <c r="W2036" s="9">
        <f>IF(ORIG!W2036=0,"",ORIG!W2036)</f>
        <v/>
      </c>
      <c r="X2036" s="9">
        <f>IF(ORIG!X2036=0,"",ORIG!X2036)</f>
        <v/>
      </c>
      <c r="Y2036" s="9">
        <f>IF(ORIG!Y2036=0,"",ORIG!Y2036)</f>
        <v/>
      </c>
      <c r="Z2036" s="3">
        <f>SUMPRODUCT($B2036:$Y2036,$B$2649:$Y$2649)</f>
        <v/>
      </c>
      <c r="AA2036" s="3">
        <f>SUMPRODUCT($B2036:$Y2036,$B$2655:$Y$2655)</f>
        <v/>
      </c>
      <c r="AC2036" s="1">
        <f>A2036</f>
        <v/>
      </c>
      <c r="AD2036">
        <f>IF(ISNUMBER(V2036),V2036*($AB$1/V$2635),"")</f>
        <v/>
      </c>
      <c r="AE2036">
        <f>IF(ISNUMBER(Z2036),Z2036*($AB$1/Z$2635),"")</f>
        <v/>
      </c>
      <c r="AF2036" s="25">
        <f>IF(ISNUMBER(AD2036+AE2036),AD2036+AE2036,"")</f>
        <v/>
      </c>
      <c r="AH2036" s="1">
        <f>A2036</f>
        <v/>
      </c>
      <c r="AI2036">
        <f>IF(ISNUMBER((1+V2036)*AI2035),(1+V2036)*AI2035,AI2035)</f>
        <v/>
      </c>
      <c r="AJ2036">
        <f>IF(ISNUMBER((1+Z2036)*AJ2035),(1+Z2036)*AJ2035,AJ2035)</f>
        <v/>
      </c>
    </row>
    <row r="2037">
      <c r="A2037" s="1" t="n">
        <v>44958</v>
      </c>
      <c r="B2037" s="3">
        <f>IF(ORIG!B2037=0,"",ORIG!B2037)</f>
        <v/>
      </c>
      <c r="C2037" s="3">
        <f>IF(ORIG!C2037=0,"",ORIG!C2037)</f>
        <v/>
      </c>
      <c r="D2037" s="3">
        <f>IF(ORIG!D2037=0,"",ORIG!D2037)</f>
        <v/>
      </c>
      <c r="E2037" s="3">
        <f>IF(ORIG!E2037=0,"",ORIG!E2037)</f>
        <v/>
      </c>
      <c r="F2037" s="3">
        <f>IF(ORIG!F2037=0,"",ORIG!F2037)</f>
        <v/>
      </c>
      <c r="G2037" s="3">
        <f>IF(ORIG!G2037=0,"",ORIG!G2037)</f>
        <v/>
      </c>
      <c r="H2037" s="3">
        <f>IF(ORIG!H2037=0,"",ORIG!H2037)</f>
        <v/>
      </c>
      <c r="I2037" s="3">
        <f>IF(ORIG!I2037=0,"",ORIG!I2037)</f>
        <v/>
      </c>
      <c r="J2037" s="3">
        <f>IF(ORIG!J2037=0,"",ORIG!J2037)</f>
        <v/>
      </c>
      <c r="K2037" s="3">
        <f>IF(ORIG!K2037=0,"",ORIG!K2037)</f>
        <v/>
      </c>
      <c r="L2037" s="3">
        <f>IF(ORIG!L2037=0,"",ORIG!L2037)</f>
        <v/>
      </c>
      <c r="M2037" s="3">
        <f>IF(ORIG!M2037=0,"",ORIG!M2037)</f>
        <v/>
      </c>
      <c r="N2037" s="3">
        <f>IF(ORIG!N2037=0,"",ORIG!N2037)</f>
        <v/>
      </c>
      <c r="O2037" s="3">
        <f>IF(ORIG!O2037=0,"",ORIG!O2037)</f>
        <v/>
      </c>
      <c r="P2037" s="3">
        <f>IF(ORIG!P2037=0,"",ORIG!P2037)</f>
        <v/>
      </c>
      <c r="Q2037" s="3">
        <f>IF(ORIG!Q2037=0,"",ORIG!Q2037)</f>
        <v/>
      </c>
      <c r="R2037" s="3">
        <f>IF(ORIG!R2037=0,"",ORIG!R2037)</f>
        <v/>
      </c>
      <c r="S2037" s="3">
        <f>IF(ORIG!S2037=0,"",ORIG!S2037)</f>
        <v/>
      </c>
      <c r="T2037" s="3">
        <f>IF(ORIG!T2037=0,"",ORIG!T2037)</f>
        <v/>
      </c>
      <c r="U2037" s="3">
        <f>IF(ORIG!U2037=0,"",ORIG!U2037)</f>
        <v/>
      </c>
      <c r="V2037" s="9">
        <f>IF(ORIG!V2037=0,"",ORIG!V2037)</f>
        <v/>
      </c>
      <c r="W2037" s="9">
        <f>IF(ORIG!W2037=0,"",ORIG!W2037)</f>
        <v/>
      </c>
      <c r="X2037" s="9">
        <f>IF(ORIG!X2037=0,"",ORIG!X2037)</f>
        <v/>
      </c>
      <c r="Y2037" s="9">
        <f>IF(ORIG!Y2037=0,"",ORIG!Y2037)</f>
        <v/>
      </c>
      <c r="Z2037" s="3">
        <f>SUMPRODUCT($B2037:$Y2037,$B$2649:$Y$2649)</f>
        <v/>
      </c>
      <c r="AA2037" s="3">
        <f>SUMPRODUCT($B2037:$Y2037,$B$2655:$Y$2655)</f>
        <v/>
      </c>
      <c r="AC2037" s="1">
        <f>A2037</f>
        <v/>
      </c>
      <c r="AD2037">
        <f>IF(ISNUMBER(V2037),V2037*($AB$1/V$2635),"")</f>
        <v/>
      </c>
      <c r="AE2037">
        <f>IF(ISNUMBER(Z2037),Z2037*($AB$1/Z$2635),"")</f>
        <v/>
      </c>
      <c r="AF2037" s="25">
        <f>IF(ISNUMBER(AD2037+AE2037),AD2037+AE2037,"")</f>
        <v/>
      </c>
      <c r="AH2037" s="1">
        <f>A2037</f>
        <v/>
      </c>
      <c r="AI2037">
        <f>IF(ISNUMBER((1+V2037)*AI2036),(1+V2037)*AI2036,AI2036)</f>
        <v/>
      </c>
      <c r="AJ2037">
        <f>IF(ISNUMBER((1+Z2037)*AJ2036),(1+Z2037)*AJ2036,AJ2036)</f>
        <v/>
      </c>
    </row>
    <row r="2038">
      <c r="A2038" s="1" t="n">
        <v>44959</v>
      </c>
      <c r="B2038" s="3">
        <f>IF(ORIG!B2038=0,"",ORIG!B2038)</f>
        <v/>
      </c>
      <c r="C2038" s="3">
        <f>IF(ORIG!C2038=0,"",ORIG!C2038)</f>
        <v/>
      </c>
      <c r="D2038" s="3">
        <f>IF(ORIG!D2038=0,"",ORIG!D2038)</f>
        <v/>
      </c>
      <c r="E2038" s="3">
        <f>IF(ORIG!E2038=0,"",ORIG!E2038)</f>
        <v/>
      </c>
      <c r="F2038" s="3">
        <f>IF(ORIG!F2038=0,"",ORIG!F2038)</f>
        <v/>
      </c>
      <c r="G2038" s="3">
        <f>IF(ORIG!G2038=0,"",ORIG!G2038)</f>
        <v/>
      </c>
      <c r="H2038" s="3">
        <f>IF(ORIG!H2038=0,"",ORIG!H2038)</f>
        <v/>
      </c>
      <c r="I2038" s="3">
        <f>IF(ORIG!I2038=0,"",ORIG!I2038)</f>
        <v/>
      </c>
      <c r="J2038" s="3">
        <f>IF(ORIG!J2038=0,"",ORIG!J2038)</f>
        <v/>
      </c>
      <c r="K2038" s="3">
        <f>IF(ORIG!K2038=0,"",ORIG!K2038)</f>
        <v/>
      </c>
      <c r="L2038" s="3">
        <f>IF(ORIG!L2038=0,"",ORIG!L2038)</f>
        <v/>
      </c>
      <c r="M2038" s="3">
        <f>IF(ORIG!M2038=0,"",ORIG!M2038)</f>
        <v/>
      </c>
      <c r="N2038" s="3">
        <f>IF(ORIG!N2038=0,"",ORIG!N2038)</f>
        <v/>
      </c>
      <c r="O2038" s="3">
        <f>IF(ORIG!O2038=0,"",ORIG!O2038)</f>
        <v/>
      </c>
      <c r="P2038" s="3">
        <f>IF(ORIG!P2038=0,"",ORIG!P2038)</f>
        <v/>
      </c>
      <c r="Q2038" s="3">
        <f>IF(ORIG!Q2038=0,"",ORIG!Q2038)</f>
        <v/>
      </c>
      <c r="R2038" s="3">
        <f>IF(ORIG!R2038=0,"",ORIG!R2038)</f>
        <v/>
      </c>
      <c r="S2038" s="3">
        <f>IF(ORIG!S2038=0,"",ORIG!S2038)</f>
        <v/>
      </c>
      <c r="T2038" s="3">
        <f>IF(ORIG!T2038=0,"",ORIG!T2038)</f>
        <v/>
      </c>
      <c r="U2038" s="3">
        <f>IF(ORIG!U2038=0,"",ORIG!U2038)</f>
        <v/>
      </c>
      <c r="V2038" s="9">
        <f>IF(ORIG!V2038=0,"",ORIG!V2038)</f>
        <v/>
      </c>
      <c r="W2038" s="9">
        <f>IF(ORIG!W2038=0,"",ORIG!W2038)</f>
        <v/>
      </c>
      <c r="X2038" s="9">
        <f>IF(ORIG!X2038=0,"",ORIG!X2038)</f>
        <v/>
      </c>
      <c r="Y2038" s="9">
        <f>IF(ORIG!Y2038=0,"",ORIG!Y2038)</f>
        <v/>
      </c>
      <c r="Z2038" s="3">
        <f>SUMPRODUCT($B2038:$Y2038,$B$2649:$Y$2649)</f>
        <v/>
      </c>
      <c r="AA2038" s="3">
        <f>SUMPRODUCT($B2038:$Y2038,$B$2655:$Y$2655)</f>
        <v/>
      </c>
      <c r="AC2038" s="1">
        <f>A2038</f>
        <v/>
      </c>
      <c r="AD2038">
        <f>IF(ISNUMBER(V2038),V2038*($AB$1/V$2635),"")</f>
        <v/>
      </c>
      <c r="AE2038">
        <f>IF(ISNUMBER(Z2038),Z2038*($AB$1/Z$2635),"")</f>
        <v/>
      </c>
      <c r="AF2038" s="25">
        <f>IF(ISNUMBER(AD2038+AE2038),AD2038+AE2038,"")</f>
        <v/>
      </c>
      <c r="AH2038" s="1">
        <f>A2038</f>
        <v/>
      </c>
      <c r="AI2038">
        <f>IF(ISNUMBER((1+V2038)*AI2037),(1+V2038)*AI2037,AI2037)</f>
        <v/>
      </c>
      <c r="AJ2038">
        <f>IF(ISNUMBER((1+Z2038)*AJ2037),(1+Z2038)*AJ2037,AJ2037)</f>
        <v/>
      </c>
    </row>
    <row r="2039">
      <c r="A2039" s="1" t="n">
        <v>44960</v>
      </c>
      <c r="B2039" s="3">
        <f>IF(ORIG!B2039=0,"",ORIG!B2039)</f>
        <v/>
      </c>
      <c r="C2039" s="3">
        <f>IF(ORIG!C2039=0,"",ORIG!C2039)</f>
        <v/>
      </c>
      <c r="D2039" s="3">
        <f>IF(ORIG!D2039=0,"",ORIG!D2039)</f>
        <v/>
      </c>
      <c r="E2039" s="3">
        <f>IF(ORIG!E2039=0,"",ORIG!E2039)</f>
        <v/>
      </c>
      <c r="F2039" s="3">
        <f>IF(ORIG!F2039=0,"",ORIG!F2039)</f>
        <v/>
      </c>
      <c r="G2039" s="3">
        <f>IF(ORIG!G2039=0,"",ORIG!G2039)</f>
        <v/>
      </c>
      <c r="H2039" s="3">
        <f>IF(ORIG!H2039=0,"",ORIG!H2039)</f>
        <v/>
      </c>
      <c r="I2039" s="3">
        <f>IF(ORIG!I2039=0,"",ORIG!I2039)</f>
        <v/>
      </c>
      <c r="J2039" s="3">
        <f>IF(ORIG!J2039=0,"",ORIG!J2039)</f>
        <v/>
      </c>
      <c r="K2039" s="3">
        <f>IF(ORIG!K2039=0,"",ORIG!K2039)</f>
        <v/>
      </c>
      <c r="L2039" s="3">
        <f>IF(ORIG!L2039=0,"",ORIG!L2039)</f>
        <v/>
      </c>
      <c r="M2039" s="3">
        <f>IF(ORIG!M2039=0,"",ORIG!M2039)</f>
        <v/>
      </c>
      <c r="N2039" s="3">
        <f>IF(ORIG!N2039=0,"",ORIG!N2039)</f>
        <v/>
      </c>
      <c r="O2039" s="3">
        <f>IF(ORIG!O2039=0,"",ORIG!O2039)</f>
        <v/>
      </c>
      <c r="P2039" s="3">
        <f>IF(ORIG!P2039=0,"",ORIG!P2039)</f>
        <v/>
      </c>
      <c r="Q2039" s="3">
        <f>IF(ORIG!Q2039=0,"",ORIG!Q2039)</f>
        <v/>
      </c>
      <c r="R2039" s="3">
        <f>IF(ORIG!R2039=0,"",ORIG!R2039)</f>
        <v/>
      </c>
      <c r="S2039" s="3">
        <f>IF(ORIG!S2039=0,"",ORIG!S2039)</f>
        <v/>
      </c>
      <c r="T2039" s="3">
        <f>IF(ORIG!T2039=0,"",ORIG!T2039)</f>
        <v/>
      </c>
      <c r="U2039" s="3">
        <f>IF(ORIG!U2039=0,"",ORIG!U2039)</f>
        <v/>
      </c>
      <c r="V2039" s="9">
        <f>IF(ORIG!V2039=0,"",ORIG!V2039)</f>
        <v/>
      </c>
      <c r="W2039" s="9">
        <f>IF(ORIG!W2039=0,"",ORIG!W2039)</f>
        <v/>
      </c>
      <c r="X2039" s="9">
        <f>IF(ORIG!X2039=0,"",ORIG!X2039)</f>
        <v/>
      </c>
      <c r="Y2039" s="9">
        <f>IF(ORIG!Y2039=0,"",ORIG!Y2039)</f>
        <v/>
      </c>
      <c r="Z2039" s="3">
        <f>SUMPRODUCT($B2039:$Y2039,$B$2649:$Y$2649)</f>
        <v/>
      </c>
      <c r="AA2039" s="3">
        <f>SUMPRODUCT($B2039:$Y2039,$B$2655:$Y$2655)</f>
        <v/>
      </c>
      <c r="AC2039" s="1">
        <f>A2039</f>
        <v/>
      </c>
      <c r="AD2039">
        <f>IF(ISNUMBER(V2039),V2039*($AB$1/V$2635),"")</f>
        <v/>
      </c>
      <c r="AE2039">
        <f>IF(ISNUMBER(Z2039),Z2039*($AB$1/Z$2635),"")</f>
        <v/>
      </c>
      <c r="AF2039" s="25">
        <f>IF(ISNUMBER(AD2039+AE2039),AD2039+AE2039,"")</f>
        <v/>
      </c>
      <c r="AH2039" s="1">
        <f>A2039</f>
        <v/>
      </c>
      <c r="AI2039">
        <f>IF(ISNUMBER((1+V2039)*AI2038),(1+V2039)*AI2038,AI2038)</f>
        <v/>
      </c>
      <c r="AJ2039">
        <f>IF(ISNUMBER((1+Z2039)*AJ2038),(1+Z2039)*AJ2038,AJ2038)</f>
        <v/>
      </c>
    </row>
    <row r="2040">
      <c r="A2040" s="1" t="n">
        <v>44963</v>
      </c>
      <c r="B2040" s="3">
        <f>IF(ORIG!B2040=0,"",ORIG!B2040)</f>
        <v/>
      </c>
      <c r="C2040" s="3">
        <f>IF(ORIG!C2040=0,"",ORIG!C2040)</f>
        <v/>
      </c>
      <c r="D2040" s="3">
        <f>IF(ORIG!D2040=0,"",ORIG!D2040)</f>
        <v/>
      </c>
      <c r="E2040" s="3">
        <f>IF(ORIG!E2040=0,"",ORIG!E2040)</f>
        <v/>
      </c>
      <c r="F2040" s="3">
        <f>IF(ORIG!F2040=0,"",ORIG!F2040)</f>
        <v/>
      </c>
      <c r="G2040" s="3">
        <f>IF(ORIG!G2040=0,"",ORIG!G2040)</f>
        <v/>
      </c>
      <c r="H2040" s="3">
        <f>IF(ORIG!H2040=0,"",ORIG!H2040)</f>
        <v/>
      </c>
      <c r="I2040" s="3">
        <f>IF(ORIG!I2040=0,"",ORIG!I2040)</f>
        <v/>
      </c>
      <c r="J2040" s="3">
        <f>IF(ORIG!J2040=0,"",ORIG!J2040)</f>
        <v/>
      </c>
      <c r="K2040" s="3">
        <f>IF(ORIG!K2040=0,"",ORIG!K2040)</f>
        <v/>
      </c>
      <c r="L2040" s="3">
        <f>IF(ORIG!L2040=0,"",ORIG!L2040)</f>
        <v/>
      </c>
      <c r="M2040" s="3">
        <f>IF(ORIG!M2040=0,"",ORIG!M2040)</f>
        <v/>
      </c>
      <c r="N2040" s="3">
        <f>IF(ORIG!N2040=0,"",ORIG!N2040)</f>
        <v/>
      </c>
      <c r="O2040" s="3">
        <f>IF(ORIG!O2040=0,"",ORIG!O2040)</f>
        <v/>
      </c>
      <c r="P2040" s="3">
        <f>IF(ORIG!P2040=0,"",ORIG!P2040)</f>
        <v/>
      </c>
      <c r="Q2040" s="3">
        <f>IF(ORIG!Q2040=0,"",ORIG!Q2040)</f>
        <v/>
      </c>
      <c r="R2040" s="3">
        <f>IF(ORIG!R2040=0,"",ORIG!R2040)</f>
        <v/>
      </c>
      <c r="S2040" s="3">
        <f>IF(ORIG!S2040=0,"",ORIG!S2040)</f>
        <v/>
      </c>
      <c r="T2040" s="3">
        <f>IF(ORIG!T2040=0,"",ORIG!T2040)</f>
        <v/>
      </c>
      <c r="U2040" s="3">
        <f>IF(ORIG!U2040=0,"",ORIG!U2040)</f>
        <v/>
      </c>
      <c r="V2040" s="9">
        <f>IF(ORIG!V2040=0,"",ORIG!V2040)</f>
        <v/>
      </c>
      <c r="W2040" s="9">
        <f>IF(ORIG!W2040=0,"",ORIG!W2040)</f>
        <v/>
      </c>
      <c r="X2040" s="9">
        <f>IF(ORIG!X2040=0,"",ORIG!X2040)</f>
        <v/>
      </c>
      <c r="Y2040" s="9">
        <f>IF(ORIG!Y2040=0,"",ORIG!Y2040)</f>
        <v/>
      </c>
      <c r="Z2040" s="3">
        <f>SUMPRODUCT($B2040:$Y2040,$B$2649:$Y$2649)</f>
        <v/>
      </c>
      <c r="AA2040" s="3">
        <f>SUMPRODUCT($B2040:$Y2040,$B$2655:$Y$2655)</f>
        <v/>
      </c>
      <c r="AC2040" s="1">
        <f>A2040</f>
        <v/>
      </c>
      <c r="AD2040">
        <f>IF(ISNUMBER(V2040),V2040*($AB$1/V$2635),"")</f>
        <v/>
      </c>
      <c r="AE2040">
        <f>IF(ISNUMBER(Z2040),Z2040*($AB$1/Z$2635),"")</f>
        <v/>
      </c>
      <c r="AF2040" s="25">
        <f>IF(ISNUMBER(AD2040+AE2040),AD2040+AE2040,"")</f>
        <v/>
      </c>
      <c r="AH2040" s="1">
        <f>A2040</f>
        <v/>
      </c>
      <c r="AI2040">
        <f>IF(ISNUMBER((1+V2040)*AI2039),(1+V2040)*AI2039,AI2039)</f>
        <v/>
      </c>
      <c r="AJ2040">
        <f>IF(ISNUMBER((1+Z2040)*AJ2039),(1+Z2040)*AJ2039,AJ2039)</f>
        <v/>
      </c>
    </row>
    <row r="2041">
      <c r="A2041" s="1" t="n">
        <v>44964</v>
      </c>
      <c r="B2041" s="3">
        <f>IF(ORIG!B2041=0,"",ORIG!B2041)</f>
        <v/>
      </c>
      <c r="C2041" s="3">
        <f>IF(ORIG!C2041=0,"",ORIG!C2041)</f>
        <v/>
      </c>
      <c r="D2041" s="3">
        <f>IF(ORIG!D2041=0,"",ORIG!D2041)</f>
        <v/>
      </c>
      <c r="E2041" s="3">
        <f>IF(ORIG!E2041=0,"",ORIG!E2041)</f>
        <v/>
      </c>
      <c r="F2041" s="3">
        <f>IF(ORIG!F2041=0,"",ORIG!F2041)</f>
        <v/>
      </c>
      <c r="G2041" s="3">
        <f>IF(ORIG!G2041=0,"",ORIG!G2041)</f>
        <v/>
      </c>
      <c r="H2041" s="3">
        <f>IF(ORIG!H2041=0,"",ORIG!H2041)</f>
        <v/>
      </c>
      <c r="I2041" s="3">
        <f>IF(ORIG!I2041=0,"",ORIG!I2041)</f>
        <v/>
      </c>
      <c r="J2041" s="3">
        <f>IF(ORIG!J2041=0,"",ORIG!J2041)</f>
        <v/>
      </c>
      <c r="K2041" s="3">
        <f>IF(ORIG!K2041=0,"",ORIG!K2041)</f>
        <v/>
      </c>
      <c r="L2041" s="3">
        <f>IF(ORIG!L2041=0,"",ORIG!L2041)</f>
        <v/>
      </c>
      <c r="M2041" s="3">
        <f>IF(ORIG!M2041=0,"",ORIG!M2041)</f>
        <v/>
      </c>
      <c r="N2041" s="3">
        <f>IF(ORIG!N2041=0,"",ORIG!N2041)</f>
        <v/>
      </c>
      <c r="O2041" s="3">
        <f>IF(ORIG!O2041=0,"",ORIG!O2041)</f>
        <v/>
      </c>
      <c r="P2041" s="3">
        <f>IF(ORIG!P2041=0,"",ORIG!P2041)</f>
        <v/>
      </c>
      <c r="Q2041" s="3">
        <f>IF(ORIG!Q2041=0,"",ORIG!Q2041)</f>
        <v/>
      </c>
      <c r="R2041" s="3">
        <f>IF(ORIG!R2041=0,"",ORIG!R2041)</f>
        <v/>
      </c>
      <c r="S2041" s="3">
        <f>IF(ORIG!S2041=0,"",ORIG!S2041)</f>
        <v/>
      </c>
      <c r="T2041" s="3">
        <f>IF(ORIG!T2041=0,"",ORIG!T2041)</f>
        <v/>
      </c>
      <c r="U2041" s="3">
        <f>IF(ORIG!U2041=0,"",ORIG!U2041)</f>
        <v/>
      </c>
      <c r="V2041" s="9">
        <f>IF(ORIG!V2041=0,"",ORIG!V2041)</f>
        <v/>
      </c>
      <c r="W2041" s="9">
        <f>IF(ORIG!W2041=0,"",ORIG!W2041)</f>
        <v/>
      </c>
      <c r="X2041" s="9">
        <f>IF(ORIG!X2041=0,"",ORIG!X2041)</f>
        <v/>
      </c>
      <c r="Y2041" s="9">
        <f>IF(ORIG!Y2041=0,"",ORIG!Y2041)</f>
        <v/>
      </c>
      <c r="Z2041" s="3">
        <f>SUMPRODUCT($B2041:$Y2041,$B$2649:$Y$2649)</f>
        <v/>
      </c>
      <c r="AA2041" s="3">
        <f>SUMPRODUCT($B2041:$Y2041,$B$2655:$Y$2655)</f>
        <v/>
      </c>
      <c r="AC2041" s="1">
        <f>A2041</f>
        <v/>
      </c>
      <c r="AD2041">
        <f>IF(ISNUMBER(V2041),V2041*($AB$1/V$2635),"")</f>
        <v/>
      </c>
      <c r="AE2041">
        <f>IF(ISNUMBER(Z2041),Z2041*($AB$1/Z$2635),"")</f>
        <v/>
      </c>
      <c r="AF2041" s="25">
        <f>IF(ISNUMBER(AD2041+AE2041),AD2041+AE2041,"")</f>
        <v/>
      </c>
      <c r="AH2041" s="1">
        <f>A2041</f>
        <v/>
      </c>
      <c r="AI2041">
        <f>IF(ISNUMBER((1+V2041)*AI2040),(1+V2041)*AI2040,AI2040)</f>
        <v/>
      </c>
      <c r="AJ2041">
        <f>IF(ISNUMBER((1+Z2041)*AJ2040),(1+Z2041)*AJ2040,AJ2040)</f>
        <v/>
      </c>
    </row>
    <row r="2042">
      <c r="A2042" s="1" t="n">
        <v>44965</v>
      </c>
      <c r="B2042" s="3">
        <f>IF(ORIG!B2042=0,"",ORIG!B2042)</f>
        <v/>
      </c>
      <c r="C2042" s="3">
        <f>IF(ORIG!C2042=0,"",ORIG!C2042)</f>
        <v/>
      </c>
      <c r="D2042" s="3">
        <f>IF(ORIG!D2042=0,"",ORIG!D2042)</f>
        <v/>
      </c>
      <c r="E2042" s="3">
        <f>IF(ORIG!E2042=0,"",ORIG!E2042)</f>
        <v/>
      </c>
      <c r="F2042" s="3">
        <f>IF(ORIG!F2042=0,"",ORIG!F2042)</f>
        <v/>
      </c>
      <c r="G2042" s="3">
        <f>IF(ORIG!G2042=0,"",ORIG!G2042)</f>
        <v/>
      </c>
      <c r="H2042" s="3">
        <f>IF(ORIG!H2042=0,"",ORIG!H2042)</f>
        <v/>
      </c>
      <c r="I2042" s="3">
        <f>IF(ORIG!I2042=0,"",ORIG!I2042)</f>
        <v/>
      </c>
      <c r="J2042" s="3">
        <f>IF(ORIG!J2042=0,"",ORIG!J2042)</f>
        <v/>
      </c>
      <c r="K2042" s="3">
        <f>IF(ORIG!K2042=0,"",ORIG!K2042)</f>
        <v/>
      </c>
      <c r="L2042" s="3">
        <f>IF(ORIG!L2042=0,"",ORIG!L2042)</f>
        <v/>
      </c>
      <c r="M2042" s="3">
        <f>IF(ORIG!M2042=0,"",ORIG!M2042)</f>
        <v/>
      </c>
      <c r="N2042" s="3">
        <f>IF(ORIG!N2042=0,"",ORIG!N2042)</f>
        <v/>
      </c>
      <c r="O2042" s="3">
        <f>IF(ORIG!O2042=0,"",ORIG!O2042)</f>
        <v/>
      </c>
      <c r="P2042" s="3">
        <f>IF(ORIG!P2042=0,"",ORIG!P2042)</f>
        <v/>
      </c>
      <c r="Q2042" s="3">
        <f>IF(ORIG!Q2042=0,"",ORIG!Q2042)</f>
        <v/>
      </c>
      <c r="R2042" s="3">
        <f>IF(ORIG!R2042=0,"",ORIG!R2042)</f>
        <v/>
      </c>
      <c r="S2042" s="3">
        <f>IF(ORIG!S2042=0,"",ORIG!S2042)</f>
        <v/>
      </c>
      <c r="T2042" s="3">
        <f>IF(ORIG!T2042=0,"",ORIG!T2042)</f>
        <v/>
      </c>
      <c r="U2042" s="3">
        <f>IF(ORIG!U2042=0,"",ORIG!U2042)</f>
        <v/>
      </c>
      <c r="V2042" s="9">
        <f>IF(ORIG!V2042=0,"",ORIG!V2042)</f>
        <v/>
      </c>
      <c r="W2042" s="9">
        <f>IF(ORIG!W2042=0,"",ORIG!W2042)</f>
        <v/>
      </c>
      <c r="X2042" s="9">
        <f>IF(ORIG!X2042=0,"",ORIG!X2042)</f>
        <v/>
      </c>
      <c r="Y2042" s="9">
        <f>IF(ORIG!Y2042=0,"",ORIG!Y2042)</f>
        <v/>
      </c>
      <c r="Z2042" s="3">
        <f>SUMPRODUCT($B2042:$Y2042,$B$2649:$Y$2649)</f>
        <v/>
      </c>
      <c r="AA2042" s="3">
        <f>SUMPRODUCT($B2042:$Y2042,$B$2655:$Y$2655)</f>
        <v/>
      </c>
      <c r="AC2042" s="1">
        <f>A2042</f>
        <v/>
      </c>
      <c r="AD2042">
        <f>IF(ISNUMBER(V2042),V2042*($AB$1/V$2635),"")</f>
        <v/>
      </c>
      <c r="AE2042">
        <f>IF(ISNUMBER(Z2042),Z2042*($AB$1/Z$2635),"")</f>
        <v/>
      </c>
      <c r="AF2042" s="25">
        <f>IF(ISNUMBER(AD2042+AE2042),AD2042+AE2042,"")</f>
        <v/>
      </c>
      <c r="AH2042" s="1">
        <f>A2042</f>
        <v/>
      </c>
      <c r="AI2042">
        <f>IF(ISNUMBER((1+V2042)*AI2041),(1+V2042)*AI2041,AI2041)</f>
        <v/>
      </c>
      <c r="AJ2042">
        <f>IF(ISNUMBER((1+Z2042)*AJ2041),(1+Z2042)*AJ2041,AJ2041)</f>
        <v/>
      </c>
    </row>
    <row r="2043">
      <c r="A2043" s="1" t="n">
        <v>44966</v>
      </c>
      <c r="B2043" s="3">
        <f>IF(ORIG!B2043=0,"",ORIG!B2043)</f>
        <v/>
      </c>
      <c r="C2043" s="3">
        <f>IF(ORIG!C2043=0,"",ORIG!C2043)</f>
        <v/>
      </c>
      <c r="D2043" s="3">
        <f>IF(ORIG!D2043=0,"",ORIG!D2043)</f>
        <v/>
      </c>
      <c r="E2043" s="3">
        <f>IF(ORIG!E2043=0,"",ORIG!E2043)</f>
        <v/>
      </c>
      <c r="F2043" s="3">
        <f>IF(ORIG!F2043=0,"",ORIG!F2043)</f>
        <v/>
      </c>
      <c r="G2043" s="3">
        <f>IF(ORIG!G2043=0,"",ORIG!G2043)</f>
        <v/>
      </c>
      <c r="H2043" s="3">
        <f>IF(ORIG!H2043=0,"",ORIG!H2043)</f>
        <v/>
      </c>
      <c r="I2043" s="3">
        <f>IF(ORIG!I2043=0,"",ORIG!I2043)</f>
        <v/>
      </c>
      <c r="J2043" s="3">
        <f>IF(ORIG!J2043=0,"",ORIG!J2043)</f>
        <v/>
      </c>
      <c r="K2043" s="3">
        <f>IF(ORIG!K2043=0,"",ORIG!K2043)</f>
        <v/>
      </c>
      <c r="L2043" s="3">
        <f>IF(ORIG!L2043=0,"",ORIG!L2043)</f>
        <v/>
      </c>
      <c r="M2043" s="3">
        <f>IF(ORIG!M2043=0,"",ORIG!M2043)</f>
        <v/>
      </c>
      <c r="N2043" s="3">
        <f>IF(ORIG!N2043=0,"",ORIG!N2043)</f>
        <v/>
      </c>
      <c r="O2043" s="3">
        <f>IF(ORIG!O2043=0,"",ORIG!O2043)</f>
        <v/>
      </c>
      <c r="P2043" s="3">
        <f>IF(ORIG!P2043=0,"",ORIG!P2043)</f>
        <v/>
      </c>
      <c r="Q2043" s="3">
        <f>IF(ORIG!Q2043=0,"",ORIG!Q2043)</f>
        <v/>
      </c>
      <c r="R2043" s="3">
        <f>IF(ORIG!R2043=0,"",ORIG!R2043)</f>
        <v/>
      </c>
      <c r="S2043" s="3">
        <f>IF(ORIG!S2043=0,"",ORIG!S2043)</f>
        <v/>
      </c>
      <c r="T2043" s="3">
        <f>IF(ORIG!T2043=0,"",ORIG!T2043)</f>
        <v/>
      </c>
      <c r="U2043" s="3">
        <f>IF(ORIG!U2043=0,"",ORIG!U2043)</f>
        <v/>
      </c>
      <c r="V2043" s="9">
        <f>IF(ORIG!V2043=0,"",ORIG!V2043)</f>
        <v/>
      </c>
      <c r="W2043" s="9">
        <f>IF(ORIG!W2043=0,"",ORIG!W2043)</f>
        <v/>
      </c>
      <c r="X2043" s="9">
        <f>IF(ORIG!X2043=0,"",ORIG!X2043)</f>
        <v/>
      </c>
      <c r="Y2043" s="9">
        <f>IF(ORIG!Y2043=0,"",ORIG!Y2043)</f>
        <v/>
      </c>
      <c r="Z2043" s="3">
        <f>SUMPRODUCT($B2043:$Y2043,$B$2649:$Y$2649)</f>
        <v/>
      </c>
      <c r="AA2043" s="3">
        <f>SUMPRODUCT($B2043:$Y2043,$B$2655:$Y$2655)</f>
        <v/>
      </c>
      <c r="AC2043" s="1">
        <f>A2043</f>
        <v/>
      </c>
      <c r="AD2043">
        <f>IF(ISNUMBER(V2043),V2043*($AB$1/V$2635),"")</f>
        <v/>
      </c>
      <c r="AE2043">
        <f>IF(ISNUMBER(Z2043),Z2043*($AB$1/Z$2635),"")</f>
        <v/>
      </c>
      <c r="AF2043" s="25">
        <f>IF(ISNUMBER(AD2043+AE2043),AD2043+AE2043,"")</f>
        <v/>
      </c>
      <c r="AH2043" s="1">
        <f>A2043</f>
        <v/>
      </c>
      <c r="AI2043">
        <f>IF(ISNUMBER((1+V2043)*AI2042),(1+V2043)*AI2042,AI2042)</f>
        <v/>
      </c>
      <c r="AJ2043">
        <f>IF(ISNUMBER((1+Z2043)*AJ2042),(1+Z2043)*AJ2042,AJ2042)</f>
        <v/>
      </c>
    </row>
    <row r="2044">
      <c r="A2044" s="1" t="n">
        <v>44967</v>
      </c>
      <c r="B2044" s="3">
        <f>IF(ORIG!B2044=0,"",ORIG!B2044)</f>
        <v/>
      </c>
      <c r="C2044" s="3">
        <f>IF(ORIG!C2044=0,"",ORIG!C2044)</f>
        <v/>
      </c>
      <c r="D2044" s="3">
        <f>IF(ORIG!D2044=0,"",ORIG!D2044)</f>
        <v/>
      </c>
      <c r="E2044" s="3">
        <f>IF(ORIG!E2044=0,"",ORIG!E2044)</f>
        <v/>
      </c>
      <c r="F2044" s="3">
        <f>IF(ORIG!F2044=0,"",ORIG!F2044)</f>
        <v/>
      </c>
      <c r="G2044" s="3">
        <f>IF(ORIG!G2044=0,"",ORIG!G2044)</f>
        <v/>
      </c>
      <c r="H2044" s="3">
        <f>IF(ORIG!H2044=0,"",ORIG!H2044)</f>
        <v/>
      </c>
      <c r="I2044" s="3">
        <f>IF(ORIG!I2044=0,"",ORIG!I2044)</f>
        <v/>
      </c>
      <c r="J2044" s="3">
        <f>IF(ORIG!J2044=0,"",ORIG!J2044)</f>
        <v/>
      </c>
      <c r="K2044" s="3">
        <f>IF(ORIG!K2044=0,"",ORIG!K2044)</f>
        <v/>
      </c>
      <c r="L2044" s="3">
        <f>IF(ORIG!L2044=0,"",ORIG!L2044)</f>
        <v/>
      </c>
      <c r="M2044" s="3">
        <f>IF(ORIG!M2044=0,"",ORIG!M2044)</f>
        <v/>
      </c>
      <c r="N2044" s="3">
        <f>IF(ORIG!N2044=0,"",ORIG!N2044)</f>
        <v/>
      </c>
      <c r="O2044" s="3">
        <f>IF(ORIG!O2044=0,"",ORIG!O2044)</f>
        <v/>
      </c>
      <c r="P2044" s="3">
        <f>IF(ORIG!P2044=0,"",ORIG!P2044)</f>
        <v/>
      </c>
      <c r="Q2044" s="3">
        <f>IF(ORIG!Q2044=0,"",ORIG!Q2044)</f>
        <v/>
      </c>
      <c r="R2044" s="3">
        <f>IF(ORIG!R2044=0,"",ORIG!R2044)</f>
        <v/>
      </c>
      <c r="S2044" s="3">
        <f>IF(ORIG!S2044=0,"",ORIG!S2044)</f>
        <v/>
      </c>
      <c r="T2044" s="3">
        <f>IF(ORIG!T2044=0,"",ORIG!T2044)</f>
        <v/>
      </c>
      <c r="U2044" s="3">
        <f>IF(ORIG!U2044=0,"",ORIG!U2044)</f>
        <v/>
      </c>
      <c r="V2044" s="9">
        <f>IF(ORIG!V2044=0,"",ORIG!V2044)</f>
        <v/>
      </c>
      <c r="W2044" s="9">
        <f>IF(ORIG!W2044=0,"",ORIG!W2044)</f>
        <v/>
      </c>
      <c r="X2044" s="9">
        <f>IF(ORIG!X2044=0,"",ORIG!X2044)</f>
        <v/>
      </c>
      <c r="Y2044" s="9">
        <f>IF(ORIG!Y2044=0,"",ORIG!Y2044)</f>
        <v/>
      </c>
      <c r="Z2044" s="3">
        <f>SUMPRODUCT($B2044:$Y2044,$B$2649:$Y$2649)</f>
        <v/>
      </c>
      <c r="AA2044" s="3">
        <f>SUMPRODUCT($B2044:$Y2044,$B$2655:$Y$2655)</f>
        <v/>
      </c>
      <c r="AC2044" s="1">
        <f>A2044</f>
        <v/>
      </c>
      <c r="AD2044">
        <f>IF(ISNUMBER(V2044),V2044*($AB$1/V$2635),"")</f>
        <v/>
      </c>
      <c r="AE2044">
        <f>IF(ISNUMBER(Z2044),Z2044*($AB$1/Z$2635),"")</f>
        <v/>
      </c>
      <c r="AF2044" s="25">
        <f>IF(ISNUMBER(AD2044+AE2044),AD2044+AE2044,"")</f>
        <v/>
      </c>
      <c r="AH2044" s="1">
        <f>A2044</f>
        <v/>
      </c>
      <c r="AI2044">
        <f>IF(ISNUMBER((1+V2044)*AI2043),(1+V2044)*AI2043,AI2043)</f>
        <v/>
      </c>
      <c r="AJ2044">
        <f>IF(ISNUMBER((1+Z2044)*AJ2043),(1+Z2044)*AJ2043,AJ2043)</f>
        <v/>
      </c>
    </row>
    <row r="2045">
      <c r="A2045" s="1" t="n">
        <v>44970</v>
      </c>
      <c r="B2045" s="3">
        <f>IF(ORIG!B2045=0,"",ORIG!B2045)</f>
        <v/>
      </c>
      <c r="C2045" s="3">
        <f>IF(ORIG!C2045=0,"",ORIG!C2045)</f>
        <v/>
      </c>
      <c r="D2045" s="3">
        <f>IF(ORIG!D2045=0,"",ORIG!D2045)</f>
        <v/>
      </c>
      <c r="E2045" s="3">
        <f>IF(ORIG!E2045=0,"",ORIG!E2045)</f>
        <v/>
      </c>
      <c r="F2045" s="3">
        <f>IF(ORIG!F2045=0,"",ORIG!F2045)</f>
        <v/>
      </c>
      <c r="G2045" s="3">
        <f>IF(ORIG!G2045=0,"",ORIG!G2045)</f>
        <v/>
      </c>
      <c r="H2045" s="3">
        <f>IF(ORIG!H2045=0,"",ORIG!H2045)</f>
        <v/>
      </c>
      <c r="I2045" s="3">
        <f>IF(ORIG!I2045=0,"",ORIG!I2045)</f>
        <v/>
      </c>
      <c r="J2045" s="3">
        <f>IF(ORIG!J2045=0,"",ORIG!J2045)</f>
        <v/>
      </c>
      <c r="K2045" s="3">
        <f>IF(ORIG!K2045=0,"",ORIG!K2045)</f>
        <v/>
      </c>
      <c r="L2045" s="3">
        <f>IF(ORIG!L2045=0,"",ORIG!L2045)</f>
        <v/>
      </c>
      <c r="M2045" s="3">
        <f>IF(ORIG!M2045=0,"",ORIG!M2045)</f>
        <v/>
      </c>
      <c r="N2045" s="3">
        <f>IF(ORIG!N2045=0,"",ORIG!N2045)</f>
        <v/>
      </c>
      <c r="O2045" s="3">
        <f>IF(ORIG!O2045=0,"",ORIG!O2045)</f>
        <v/>
      </c>
      <c r="P2045" s="3">
        <f>IF(ORIG!P2045=0,"",ORIG!P2045)</f>
        <v/>
      </c>
      <c r="Q2045" s="3">
        <f>IF(ORIG!Q2045=0,"",ORIG!Q2045)</f>
        <v/>
      </c>
      <c r="R2045" s="3">
        <f>IF(ORIG!R2045=0,"",ORIG!R2045)</f>
        <v/>
      </c>
      <c r="S2045" s="3">
        <f>IF(ORIG!S2045=0,"",ORIG!S2045)</f>
        <v/>
      </c>
      <c r="T2045" s="3">
        <f>IF(ORIG!T2045=0,"",ORIG!T2045)</f>
        <v/>
      </c>
      <c r="U2045" s="3">
        <f>IF(ORIG!U2045=0,"",ORIG!U2045)</f>
        <v/>
      </c>
      <c r="V2045" s="9">
        <f>IF(ORIG!V2045=0,"",ORIG!V2045)</f>
        <v/>
      </c>
      <c r="W2045" s="9">
        <f>IF(ORIG!W2045=0,"",ORIG!W2045)</f>
        <v/>
      </c>
      <c r="X2045" s="9">
        <f>IF(ORIG!X2045=0,"",ORIG!X2045)</f>
        <v/>
      </c>
      <c r="Y2045" s="9">
        <f>IF(ORIG!Y2045=0,"",ORIG!Y2045)</f>
        <v/>
      </c>
      <c r="Z2045" s="3">
        <f>SUMPRODUCT($B2045:$Y2045,$B$2649:$Y$2649)</f>
        <v/>
      </c>
      <c r="AA2045" s="3">
        <f>SUMPRODUCT($B2045:$Y2045,$B$2655:$Y$2655)</f>
        <v/>
      </c>
      <c r="AC2045" s="1">
        <f>A2045</f>
        <v/>
      </c>
      <c r="AD2045">
        <f>IF(ISNUMBER(V2045),V2045*($AB$1/V$2635),"")</f>
        <v/>
      </c>
      <c r="AE2045">
        <f>IF(ISNUMBER(Z2045),Z2045*($AB$1/Z$2635),"")</f>
        <v/>
      </c>
      <c r="AF2045" s="25">
        <f>IF(ISNUMBER(AD2045+AE2045),AD2045+AE2045,"")</f>
        <v/>
      </c>
      <c r="AH2045" s="1">
        <f>A2045</f>
        <v/>
      </c>
      <c r="AI2045">
        <f>IF(ISNUMBER((1+V2045)*AI2044),(1+V2045)*AI2044,AI2044)</f>
        <v/>
      </c>
      <c r="AJ2045">
        <f>IF(ISNUMBER((1+Z2045)*AJ2044),(1+Z2045)*AJ2044,AJ2044)</f>
        <v/>
      </c>
    </row>
    <row r="2046">
      <c r="A2046" s="1" t="n">
        <v>44971</v>
      </c>
      <c r="B2046" s="3">
        <f>IF(ORIG!B2046=0,"",ORIG!B2046)</f>
        <v/>
      </c>
      <c r="C2046" s="3">
        <f>IF(ORIG!C2046=0,"",ORIG!C2046)</f>
        <v/>
      </c>
      <c r="D2046" s="3">
        <f>IF(ORIG!D2046=0,"",ORIG!D2046)</f>
        <v/>
      </c>
      <c r="E2046" s="3">
        <f>IF(ORIG!E2046=0,"",ORIG!E2046)</f>
        <v/>
      </c>
      <c r="F2046" s="3">
        <f>IF(ORIG!F2046=0,"",ORIG!F2046)</f>
        <v/>
      </c>
      <c r="G2046" s="3">
        <f>IF(ORIG!G2046=0,"",ORIG!G2046)</f>
        <v/>
      </c>
      <c r="H2046" s="3">
        <f>IF(ORIG!H2046=0,"",ORIG!H2046)</f>
        <v/>
      </c>
      <c r="I2046" s="3">
        <f>IF(ORIG!I2046=0,"",ORIG!I2046)</f>
        <v/>
      </c>
      <c r="J2046" s="3">
        <f>IF(ORIG!J2046=0,"",ORIG!J2046)</f>
        <v/>
      </c>
      <c r="K2046" s="3">
        <f>IF(ORIG!K2046=0,"",ORIG!K2046)</f>
        <v/>
      </c>
      <c r="L2046" s="3">
        <f>IF(ORIG!L2046=0,"",ORIG!L2046)</f>
        <v/>
      </c>
      <c r="M2046" s="3">
        <f>IF(ORIG!M2046=0,"",ORIG!M2046)</f>
        <v/>
      </c>
      <c r="N2046" s="3">
        <f>IF(ORIG!N2046=0,"",ORIG!N2046)</f>
        <v/>
      </c>
      <c r="O2046" s="3">
        <f>IF(ORIG!O2046=0,"",ORIG!O2046)</f>
        <v/>
      </c>
      <c r="P2046" s="3">
        <f>IF(ORIG!P2046=0,"",ORIG!P2046)</f>
        <v/>
      </c>
      <c r="Q2046" s="3">
        <f>IF(ORIG!Q2046=0,"",ORIG!Q2046)</f>
        <v/>
      </c>
      <c r="R2046" s="3">
        <f>IF(ORIG!R2046=0,"",ORIG!R2046)</f>
        <v/>
      </c>
      <c r="S2046" s="3">
        <f>IF(ORIG!S2046=0,"",ORIG!S2046)</f>
        <v/>
      </c>
      <c r="T2046" s="3">
        <f>IF(ORIG!T2046=0,"",ORIG!T2046)</f>
        <v/>
      </c>
      <c r="U2046" s="3">
        <f>IF(ORIG!U2046=0,"",ORIG!U2046)</f>
        <v/>
      </c>
      <c r="V2046" s="9">
        <f>IF(ORIG!V2046=0,"",ORIG!V2046)</f>
        <v/>
      </c>
      <c r="W2046" s="9">
        <f>IF(ORIG!W2046=0,"",ORIG!W2046)</f>
        <v/>
      </c>
      <c r="X2046" s="9">
        <f>IF(ORIG!X2046=0,"",ORIG!X2046)</f>
        <v/>
      </c>
      <c r="Y2046" s="9">
        <f>IF(ORIG!Y2046=0,"",ORIG!Y2046)</f>
        <v/>
      </c>
      <c r="Z2046" s="3">
        <f>SUMPRODUCT($B2046:$Y2046,$B$2649:$Y$2649)</f>
        <v/>
      </c>
      <c r="AA2046" s="3">
        <f>SUMPRODUCT($B2046:$Y2046,$B$2655:$Y$2655)</f>
        <v/>
      </c>
      <c r="AC2046" s="1">
        <f>A2046</f>
        <v/>
      </c>
      <c r="AD2046">
        <f>IF(ISNUMBER(V2046),V2046*($AB$1/V$2635),"")</f>
        <v/>
      </c>
      <c r="AE2046">
        <f>IF(ISNUMBER(Z2046),Z2046*($AB$1/Z$2635),"")</f>
        <v/>
      </c>
      <c r="AF2046" s="25">
        <f>IF(ISNUMBER(AD2046+AE2046),AD2046+AE2046,"")</f>
        <v/>
      </c>
      <c r="AH2046" s="1">
        <f>A2046</f>
        <v/>
      </c>
      <c r="AI2046">
        <f>IF(ISNUMBER((1+V2046)*AI2045),(1+V2046)*AI2045,AI2045)</f>
        <v/>
      </c>
      <c r="AJ2046">
        <f>IF(ISNUMBER((1+Z2046)*AJ2045),(1+Z2046)*AJ2045,AJ2045)</f>
        <v/>
      </c>
    </row>
    <row r="2047">
      <c r="A2047" s="1" t="n">
        <v>44972</v>
      </c>
      <c r="B2047" s="3">
        <f>IF(ORIG!B2047=0,"",ORIG!B2047)</f>
        <v/>
      </c>
      <c r="C2047" s="3">
        <f>IF(ORIG!C2047=0,"",ORIG!C2047)</f>
        <v/>
      </c>
      <c r="D2047" s="3">
        <f>IF(ORIG!D2047=0,"",ORIG!D2047)</f>
        <v/>
      </c>
      <c r="E2047" s="3">
        <f>IF(ORIG!E2047=0,"",ORIG!E2047)</f>
        <v/>
      </c>
      <c r="F2047" s="3">
        <f>IF(ORIG!F2047=0,"",ORIG!F2047)</f>
        <v/>
      </c>
      <c r="G2047" s="3">
        <f>IF(ORIG!G2047=0,"",ORIG!G2047)</f>
        <v/>
      </c>
      <c r="H2047" s="3">
        <f>IF(ORIG!H2047=0,"",ORIG!H2047)</f>
        <v/>
      </c>
      <c r="I2047" s="3">
        <f>IF(ORIG!I2047=0,"",ORIG!I2047)</f>
        <v/>
      </c>
      <c r="J2047" s="3">
        <f>IF(ORIG!J2047=0,"",ORIG!J2047)</f>
        <v/>
      </c>
      <c r="K2047" s="3">
        <f>IF(ORIG!K2047=0,"",ORIG!K2047)</f>
        <v/>
      </c>
      <c r="L2047" s="3">
        <f>IF(ORIG!L2047=0,"",ORIG!L2047)</f>
        <v/>
      </c>
      <c r="M2047" s="3">
        <f>IF(ORIG!M2047=0,"",ORIG!M2047)</f>
        <v/>
      </c>
      <c r="N2047" s="3">
        <f>IF(ORIG!N2047=0,"",ORIG!N2047)</f>
        <v/>
      </c>
      <c r="O2047" s="3">
        <f>IF(ORIG!O2047=0,"",ORIG!O2047)</f>
        <v/>
      </c>
      <c r="P2047" s="3">
        <f>IF(ORIG!P2047=0,"",ORIG!P2047)</f>
        <v/>
      </c>
      <c r="Q2047" s="3">
        <f>IF(ORIG!Q2047=0,"",ORIG!Q2047)</f>
        <v/>
      </c>
      <c r="R2047" s="3">
        <f>IF(ORIG!R2047=0,"",ORIG!R2047)</f>
        <v/>
      </c>
      <c r="S2047" s="3">
        <f>IF(ORIG!S2047=0,"",ORIG!S2047)</f>
        <v/>
      </c>
      <c r="T2047" s="3">
        <f>IF(ORIG!T2047=0,"",ORIG!T2047)</f>
        <v/>
      </c>
      <c r="U2047" s="3">
        <f>IF(ORIG!U2047=0,"",ORIG!U2047)</f>
        <v/>
      </c>
      <c r="V2047" s="9">
        <f>IF(ORIG!V2047=0,"",ORIG!V2047)</f>
        <v/>
      </c>
      <c r="W2047" s="9">
        <f>IF(ORIG!W2047=0,"",ORIG!W2047)</f>
        <v/>
      </c>
      <c r="X2047" s="9">
        <f>IF(ORIG!X2047=0,"",ORIG!X2047)</f>
        <v/>
      </c>
      <c r="Y2047" s="9">
        <f>IF(ORIG!Y2047=0,"",ORIG!Y2047)</f>
        <v/>
      </c>
      <c r="Z2047" s="3">
        <f>SUMPRODUCT($B2047:$Y2047,$B$2649:$Y$2649)</f>
        <v/>
      </c>
      <c r="AA2047" s="3">
        <f>SUMPRODUCT($B2047:$Y2047,$B$2655:$Y$2655)</f>
        <v/>
      </c>
      <c r="AC2047" s="1">
        <f>A2047</f>
        <v/>
      </c>
      <c r="AD2047">
        <f>IF(ISNUMBER(V2047),V2047*($AB$1/V$2635),"")</f>
        <v/>
      </c>
      <c r="AE2047">
        <f>IF(ISNUMBER(Z2047),Z2047*($AB$1/Z$2635),"")</f>
        <v/>
      </c>
      <c r="AF2047" s="25">
        <f>IF(ISNUMBER(AD2047+AE2047),AD2047+AE2047,"")</f>
        <v/>
      </c>
      <c r="AH2047" s="1">
        <f>A2047</f>
        <v/>
      </c>
      <c r="AI2047">
        <f>IF(ISNUMBER((1+V2047)*AI2046),(1+V2047)*AI2046,AI2046)</f>
        <v/>
      </c>
      <c r="AJ2047">
        <f>IF(ISNUMBER((1+Z2047)*AJ2046),(1+Z2047)*AJ2046,AJ2046)</f>
        <v/>
      </c>
    </row>
    <row r="2048">
      <c r="A2048" s="1" t="n">
        <v>44973</v>
      </c>
      <c r="B2048" s="3">
        <f>IF(ORIG!B2048=0,"",ORIG!B2048)</f>
        <v/>
      </c>
      <c r="C2048" s="3">
        <f>IF(ORIG!C2048=0,"",ORIG!C2048)</f>
        <v/>
      </c>
      <c r="D2048" s="3">
        <f>IF(ORIG!D2048=0,"",ORIG!D2048)</f>
        <v/>
      </c>
      <c r="E2048" s="3">
        <f>IF(ORIG!E2048=0,"",ORIG!E2048)</f>
        <v/>
      </c>
      <c r="F2048" s="3">
        <f>IF(ORIG!F2048=0,"",ORIG!F2048)</f>
        <v/>
      </c>
      <c r="G2048" s="3">
        <f>IF(ORIG!G2048=0,"",ORIG!G2048)</f>
        <v/>
      </c>
      <c r="H2048" s="3">
        <f>IF(ORIG!H2048=0,"",ORIG!H2048)</f>
        <v/>
      </c>
      <c r="I2048" s="3">
        <f>IF(ORIG!I2048=0,"",ORIG!I2048)</f>
        <v/>
      </c>
      <c r="J2048" s="3">
        <f>IF(ORIG!J2048=0,"",ORIG!J2048)</f>
        <v/>
      </c>
      <c r="K2048" s="3">
        <f>IF(ORIG!K2048=0,"",ORIG!K2048)</f>
        <v/>
      </c>
      <c r="L2048" s="3">
        <f>IF(ORIG!L2048=0,"",ORIG!L2048)</f>
        <v/>
      </c>
      <c r="M2048" s="3">
        <f>IF(ORIG!M2048=0,"",ORIG!M2048)</f>
        <v/>
      </c>
      <c r="N2048" s="3">
        <f>IF(ORIG!N2048=0,"",ORIG!N2048)</f>
        <v/>
      </c>
      <c r="O2048" s="3">
        <f>IF(ORIG!O2048=0,"",ORIG!O2048)</f>
        <v/>
      </c>
      <c r="P2048" s="3">
        <f>IF(ORIG!P2048=0,"",ORIG!P2048)</f>
        <v/>
      </c>
      <c r="Q2048" s="3">
        <f>IF(ORIG!Q2048=0,"",ORIG!Q2048)</f>
        <v/>
      </c>
      <c r="R2048" s="3">
        <f>IF(ORIG!R2048=0,"",ORIG!R2048)</f>
        <v/>
      </c>
      <c r="S2048" s="3">
        <f>IF(ORIG!S2048=0,"",ORIG!S2048)</f>
        <v/>
      </c>
      <c r="T2048" s="3">
        <f>IF(ORIG!T2048=0,"",ORIG!T2048)</f>
        <v/>
      </c>
      <c r="U2048" s="3">
        <f>IF(ORIG!U2048=0,"",ORIG!U2048)</f>
        <v/>
      </c>
      <c r="V2048" s="9">
        <f>IF(ORIG!V2048=0,"",ORIG!V2048)</f>
        <v/>
      </c>
      <c r="W2048" s="9">
        <f>IF(ORIG!W2048=0,"",ORIG!W2048)</f>
        <v/>
      </c>
      <c r="X2048" s="9">
        <f>IF(ORIG!X2048=0,"",ORIG!X2048)</f>
        <v/>
      </c>
      <c r="Y2048" s="9">
        <f>IF(ORIG!Y2048=0,"",ORIG!Y2048)</f>
        <v/>
      </c>
      <c r="Z2048" s="3">
        <f>SUMPRODUCT($B2048:$Y2048,$B$2649:$Y$2649)</f>
        <v/>
      </c>
      <c r="AA2048" s="3">
        <f>SUMPRODUCT($B2048:$Y2048,$B$2655:$Y$2655)</f>
        <v/>
      </c>
      <c r="AC2048" s="1">
        <f>A2048</f>
        <v/>
      </c>
      <c r="AD2048">
        <f>IF(ISNUMBER(V2048),V2048*($AB$1/V$2635),"")</f>
        <v/>
      </c>
      <c r="AE2048">
        <f>IF(ISNUMBER(Z2048),Z2048*($AB$1/Z$2635),"")</f>
        <v/>
      </c>
      <c r="AF2048" s="25">
        <f>IF(ISNUMBER(AD2048+AE2048),AD2048+AE2048,"")</f>
        <v/>
      </c>
      <c r="AH2048" s="1">
        <f>A2048</f>
        <v/>
      </c>
      <c r="AI2048">
        <f>IF(ISNUMBER((1+V2048)*AI2047),(1+V2048)*AI2047,AI2047)</f>
        <v/>
      </c>
      <c r="AJ2048">
        <f>IF(ISNUMBER((1+Z2048)*AJ2047),(1+Z2048)*AJ2047,AJ2047)</f>
        <v/>
      </c>
    </row>
    <row r="2049">
      <c r="A2049" s="1" t="n">
        <v>44974</v>
      </c>
      <c r="B2049" s="3">
        <f>IF(ORIG!B2049=0,"",ORIG!B2049)</f>
        <v/>
      </c>
      <c r="C2049" s="3">
        <f>IF(ORIG!C2049=0,"",ORIG!C2049)</f>
        <v/>
      </c>
      <c r="D2049" s="3">
        <f>IF(ORIG!D2049=0,"",ORIG!D2049)</f>
        <v/>
      </c>
      <c r="E2049" s="3">
        <f>IF(ORIG!E2049=0,"",ORIG!E2049)</f>
        <v/>
      </c>
      <c r="F2049" s="3">
        <f>IF(ORIG!F2049=0,"",ORIG!F2049)</f>
        <v/>
      </c>
      <c r="G2049" s="3">
        <f>IF(ORIG!G2049=0,"",ORIG!G2049)</f>
        <v/>
      </c>
      <c r="H2049" s="3">
        <f>IF(ORIG!H2049=0,"",ORIG!H2049)</f>
        <v/>
      </c>
      <c r="I2049" s="3">
        <f>IF(ORIG!I2049=0,"",ORIG!I2049)</f>
        <v/>
      </c>
      <c r="J2049" s="3">
        <f>IF(ORIG!J2049=0,"",ORIG!J2049)</f>
        <v/>
      </c>
      <c r="K2049" s="3">
        <f>IF(ORIG!K2049=0,"",ORIG!K2049)</f>
        <v/>
      </c>
      <c r="L2049" s="3">
        <f>IF(ORIG!L2049=0,"",ORIG!L2049)</f>
        <v/>
      </c>
      <c r="M2049" s="3">
        <f>IF(ORIG!M2049=0,"",ORIG!M2049)</f>
        <v/>
      </c>
      <c r="N2049" s="3">
        <f>IF(ORIG!N2049=0,"",ORIG!N2049)</f>
        <v/>
      </c>
      <c r="O2049" s="3">
        <f>IF(ORIG!O2049=0,"",ORIG!O2049)</f>
        <v/>
      </c>
      <c r="P2049" s="3">
        <f>IF(ORIG!P2049=0,"",ORIG!P2049)</f>
        <v/>
      </c>
      <c r="Q2049" s="3">
        <f>IF(ORIG!Q2049=0,"",ORIG!Q2049)</f>
        <v/>
      </c>
      <c r="R2049" s="3">
        <f>IF(ORIG!R2049=0,"",ORIG!R2049)</f>
        <v/>
      </c>
      <c r="S2049" s="3">
        <f>IF(ORIG!S2049=0,"",ORIG!S2049)</f>
        <v/>
      </c>
      <c r="T2049" s="3">
        <f>IF(ORIG!T2049=0,"",ORIG!T2049)</f>
        <v/>
      </c>
      <c r="U2049" s="3">
        <f>IF(ORIG!U2049=0,"",ORIG!U2049)</f>
        <v/>
      </c>
      <c r="V2049" s="9">
        <f>IF(ORIG!V2049=0,"",ORIG!V2049)</f>
        <v/>
      </c>
      <c r="W2049" s="9">
        <f>IF(ORIG!W2049=0,"",ORIG!W2049)</f>
        <v/>
      </c>
      <c r="X2049" s="9">
        <f>IF(ORIG!X2049=0,"",ORIG!X2049)</f>
        <v/>
      </c>
      <c r="Y2049" s="9">
        <f>IF(ORIG!Y2049=0,"",ORIG!Y2049)</f>
        <v/>
      </c>
      <c r="Z2049" s="3">
        <f>SUMPRODUCT($B2049:$Y2049,$B$2649:$Y$2649)</f>
        <v/>
      </c>
      <c r="AA2049" s="3">
        <f>SUMPRODUCT($B2049:$Y2049,$B$2655:$Y$2655)</f>
        <v/>
      </c>
      <c r="AC2049" s="1">
        <f>A2049</f>
        <v/>
      </c>
      <c r="AD2049">
        <f>IF(ISNUMBER(V2049),V2049*($AB$1/V$2635),"")</f>
        <v/>
      </c>
      <c r="AE2049">
        <f>IF(ISNUMBER(Z2049),Z2049*($AB$1/Z$2635),"")</f>
        <v/>
      </c>
      <c r="AF2049" s="25">
        <f>IF(ISNUMBER(AD2049+AE2049),AD2049+AE2049,"")</f>
        <v/>
      </c>
      <c r="AH2049" s="1">
        <f>A2049</f>
        <v/>
      </c>
      <c r="AI2049">
        <f>IF(ISNUMBER((1+V2049)*AI2048),(1+V2049)*AI2048,AI2048)</f>
        <v/>
      </c>
      <c r="AJ2049">
        <f>IF(ISNUMBER((1+Z2049)*AJ2048),(1+Z2049)*AJ2048,AJ2048)</f>
        <v/>
      </c>
    </row>
    <row r="2050">
      <c r="A2050" s="1" t="n">
        <v>44978</v>
      </c>
      <c r="B2050" s="3">
        <f>IF(ORIG!B2050=0,"",ORIG!B2050)</f>
        <v/>
      </c>
      <c r="C2050" s="3">
        <f>IF(ORIG!C2050=0,"",ORIG!C2050)</f>
        <v/>
      </c>
      <c r="D2050" s="3">
        <f>IF(ORIG!D2050=0,"",ORIG!D2050)</f>
        <v/>
      </c>
      <c r="E2050" s="3">
        <f>IF(ORIG!E2050=0,"",ORIG!E2050)</f>
        <v/>
      </c>
      <c r="F2050" s="3">
        <f>IF(ORIG!F2050=0,"",ORIG!F2050)</f>
        <v/>
      </c>
      <c r="G2050" s="3">
        <f>IF(ORIG!G2050=0,"",ORIG!G2050)</f>
        <v/>
      </c>
      <c r="H2050" s="3">
        <f>IF(ORIG!H2050=0,"",ORIG!H2050)</f>
        <v/>
      </c>
      <c r="I2050" s="3">
        <f>IF(ORIG!I2050=0,"",ORIG!I2050)</f>
        <v/>
      </c>
      <c r="J2050" s="3">
        <f>IF(ORIG!J2050=0,"",ORIG!J2050)</f>
        <v/>
      </c>
      <c r="K2050" s="3">
        <f>IF(ORIG!K2050=0,"",ORIG!K2050)</f>
        <v/>
      </c>
      <c r="L2050" s="3">
        <f>IF(ORIG!L2050=0,"",ORIG!L2050)</f>
        <v/>
      </c>
      <c r="M2050" s="3">
        <f>IF(ORIG!M2050=0,"",ORIG!M2050)</f>
        <v/>
      </c>
      <c r="N2050" s="3">
        <f>IF(ORIG!N2050=0,"",ORIG!N2050)</f>
        <v/>
      </c>
      <c r="O2050" s="3">
        <f>IF(ORIG!O2050=0,"",ORIG!O2050)</f>
        <v/>
      </c>
      <c r="P2050" s="3">
        <f>IF(ORIG!P2050=0,"",ORIG!P2050)</f>
        <v/>
      </c>
      <c r="Q2050" s="3">
        <f>IF(ORIG!Q2050=0,"",ORIG!Q2050)</f>
        <v/>
      </c>
      <c r="R2050" s="3">
        <f>IF(ORIG!R2050=0,"",ORIG!R2050)</f>
        <v/>
      </c>
      <c r="S2050" s="3">
        <f>IF(ORIG!S2050=0,"",ORIG!S2050)</f>
        <v/>
      </c>
      <c r="T2050" s="3">
        <f>IF(ORIG!T2050=0,"",ORIG!T2050)</f>
        <v/>
      </c>
      <c r="U2050" s="3">
        <f>IF(ORIG!U2050=0,"",ORIG!U2050)</f>
        <v/>
      </c>
      <c r="V2050" s="9">
        <f>IF(ORIG!V2050=0,"",ORIG!V2050)</f>
        <v/>
      </c>
      <c r="W2050" s="9">
        <f>IF(ORIG!W2050=0,"",ORIG!W2050)</f>
        <v/>
      </c>
      <c r="X2050" s="9">
        <f>IF(ORIG!X2050=0,"",ORIG!X2050)</f>
        <v/>
      </c>
      <c r="Y2050" s="9">
        <f>IF(ORIG!Y2050=0,"",ORIG!Y2050)</f>
        <v/>
      </c>
      <c r="Z2050" s="3">
        <f>SUMPRODUCT($B2050:$Y2050,$B$2649:$Y$2649)</f>
        <v/>
      </c>
      <c r="AA2050" s="3">
        <f>SUMPRODUCT($B2050:$Y2050,$B$2655:$Y$2655)</f>
        <v/>
      </c>
      <c r="AC2050" s="1">
        <f>A2050</f>
        <v/>
      </c>
      <c r="AD2050">
        <f>IF(ISNUMBER(V2050),V2050*($AB$1/V$2635),"")</f>
        <v/>
      </c>
      <c r="AE2050">
        <f>IF(ISNUMBER(Z2050),Z2050*($AB$1/Z$2635),"")</f>
        <v/>
      </c>
      <c r="AF2050" s="25">
        <f>IF(ISNUMBER(AD2050+AE2050),AD2050+AE2050,"")</f>
        <v/>
      </c>
      <c r="AH2050" s="1">
        <f>A2050</f>
        <v/>
      </c>
      <c r="AI2050">
        <f>IF(ISNUMBER((1+V2050)*AI2049),(1+V2050)*AI2049,AI2049)</f>
        <v/>
      </c>
      <c r="AJ2050">
        <f>IF(ISNUMBER((1+Z2050)*AJ2049),(1+Z2050)*AJ2049,AJ2049)</f>
        <v/>
      </c>
    </row>
    <row r="2051">
      <c r="A2051" s="1" t="n">
        <v>44979</v>
      </c>
      <c r="B2051" s="3">
        <f>IF(ORIG!B2051=0,"",ORIG!B2051)</f>
        <v/>
      </c>
      <c r="C2051" s="3">
        <f>IF(ORIG!C2051=0,"",ORIG!C2051)</f>
        <v/>
      </c>
      <c r="D2051" s="3">
        <f>IF(ORIG!D2051=0,"",ORIG!D2051)</f>
        <v/>
      </c>
      <c r="E2051" s="3">
        <f>IF(ORIG!E2051=0,"",ORIG!E2051)</f>
        <v/>
      </c>
      <c r="F2051" s="3">
        <f>IF(ORIG!F2051=0,"",ORIG!F2051)</f>
        <v/>
      </c>
      <c r="G2051" s="3">
        <f>IF(ORIG!G2051=0,"",ORIG!G2051)</f>
        <v/>
      </c>
      <c r="H2051" s="3">
        <f>IF(ORIG!H2051=0,"",ORIG!H2051)</f>
        <v/>
      </c>
      <c r="I2051" s="3">
        <f>IF(ORIG!I2051=0,"",ORIG!I2051)</f>
        <v/>
      </c>
      <c r="J2051" s="3">
        <f>IF(ORIG!J2051=0,"",ORIG!J2051)</f>
        <v/>
      </c>
      <c r="K2051" s="3">
        <f>IF(ORIG!K2051=0,"",ORIG!K2051)</f>
        <v/>
      </c>
      <c r="L2051" s="3">
        <f>IF(ORIG!L2051=0,"",ORIG!L2051)</f>
        <v/>
      </c>
      <c r="M2051" s="3">
        <f>IF(ORIG!M2051=0,"",ORIG!M2051)</f>
        <v/>
      </c>
      <c r="N2051" s="3">
        <f>IF(ORIG!N2051=0,"",ORIG!N2051)</f>
        <v/>
      </c>
      <c r="O2051" s="3">
        <f>IF(ORIG!O2051=0,"",ORIG!O2051)</f>
        <v/>
      </c>
      <c r="P2051" s="3">
        <f>IF(ORIG!P2051=0,"",ORIG!P2051)</f>
        <v/>
      </c>
      <c r="Q2051" s="3">
        <f>IF(ORIG!Q2051=0,"",ORIG!Q2051)</f>
        <v/>
      </c>
      <c r="R2051" s="3">
        <f>IF(ORIG!R2051=0,"",ORIG!R2051)</f>
        <v/>
      </c>
      <c r="S2051" s="3">
        <f>IF(ORIG!S2051=0,"",ORIG!S2051)</f>
        <v/>
      </c>
      <c r="T2051" s="3">
        <f>IF(ORIG!T2051=0,"",ORIG!T2051)</f>
        <v/>
      </c>
      <c r="U2051" s="3">
        <f>IF(ORIG!U2051=0,"",ORIG!U2051)</f>
        <v/>
      </c>
      <c r="V2051" s="9">
        <f>IF(ORIG!V2051=0,"",ORIG!V2051)</f>
        <v/>
      </c>
      <c r="W2051" s="9">
        <f>IF(ORIG!W2051=0,"",ORIG!W2051)</f>
        <v/>
      </c>
      <c r="X2051" s="9">
        <f>IF(ORIG!X2051=0,"",ORIG!X2051)</f>
        <v/>
      </c>
      <c r="Y2051" s="9">
        <f>IF(ORIG!Y2051=0,"",ORIG!Y2051)</f>
        <v/>
      </c>
      <c r="Z2051" s="3">
        <f>SUMPRODUCT($B2051:$Y2051,$B$2649:$Y$2649)</f>
        <v/>
      </c>
      <c r="AA2051" s="3">
        <f>SUMPRODUCT($B2051:$Y2051,$B$2655:$Y$2655)</f>
        <v/>
      </c>
      <c r="AC2051" s="1">
        <f>A2051</f>
        <v/>
      </c>
      <c r="AD2051">
        <f>IF(ISNUMBER(V2051),V2051*($AB$1/V$2635),"")</f>
        <v/>
      </c>
      <c r="AE2051">
        <f>IF(ISNUMBER(Z2051),Z2051*($AB$1/Z$2635),"")</f>
        <v/>
      </c>
      <c r="AF2051" s="25">
        <f>IF(ISNUMBER(AD2051+AE2051),AD2051+AE2051,"")</f>
        <v/>
      </c>
      <c r="AH2051" s="1">
        <f>A2051</f>
        <v/>
      </c>
      <c r="AI2051">
        <f>IF(ISNUMBER((1+V2051)*AI2050),(1+V2051)*AI2050,AI2050)</f>
        <v/>
      </c>
      <c r="AJ2051">
        <f>IF(ISNUMBER((1+Z2051)*AJ2050),(1+Z2051)*AJ2050,AJ2050)</f>
        <v/>
      </c>
    </row>
    <row r="2052">
      <c r="A2052" s="1" t="n">
        <v>44980</v>
      </c>
      <c r="B2052" s="3">
        <f>IF(ORIG!B2052=0,"",ORIG!B2052)</f>
        <v/>
      </c>
      <c r="C2052" s="3">
        <f>IF(ORIG!C2052=0,"",ORIG!C2052)</f>
        <v/>
      </c>
      <c r="D2052" s="3">
        <f>IF(ORIG!D2052=0,"",ORIG!D2052)</f>
        <v/>
      </c>
      <c r="E2052" s="3">
        <f>IF(ORIG!E2052=0,"",ORIG!E2052)</f>
        <v/>
      </c>
      <c r="F2052" s="3">
        <f>IF(ORIG!F2052=0,"",ORIG!F2052)</f>
        <v/>
      </c>
      <c r="G2052" s="3">
        <f>IF(ORIG!G2052=0,"",ORIG!G2052)</f>
        <v/>
      </c>
      <c r="H2052" s="3">
        <f>IF(ORIG!H2052=0,"",ORIG!H2052)</f>
        <v/>
      </c>
      <c r="I2052" s="3">
        <f>IF(ORIG!I2052=0,"",ORIG!I2052)</f>
        <v/>
      </c>
      <c r="J2052" s="3">
        <f>IF(ORIG!J2052=0,"",ORIG!J2052)</f>
        <v/>
      </c>
      <c r="K2052" s="3">
        <f>IF(ORIG!K2052=0,"",ORIG!K2052)</f>
        <v/>
      </c>
      <c r="L2052" s="3">
        <f>IF(ORIG!L2052=0,"",ORIG!L2052)</f>
        <v/>
      </c>
      <c r="M2052" s="3">
        <f>IF(ORIG!M2052=0,"",ORIG!M2052)</f>
        <v/>
      </c>
      <c r="N2052" s="3">
        <f>IF(ORIG!N2052=0,"",ORIG!N2052)</f>
        <v/>
      </c>
      <c r="O2052" s="3">
        <f>IF(ORIG!O2052=0,"",ORIG!O2052)</f>
        <v/>
      </c>
      <c r="P2052" s="3">
        <f>IF(ORIG!P2052=0,"",ORIG!P2052)</f>
        <v/>
      </c>
      <c r="Q2052" s="3">
        <f>IF(ORIG!Q2052=0,"",ORIG!Q2052)</f>
        <v/>
      </c>
      <c r="R2052" s="3">
        <f>IF(ORIG!R2052=0,"",ORIG!R2052)</f>
        <v/>
      </c>
      <c r="S2052" s="3">
        <f>IF(ORIG!S2052=0,"",ORIG!S2052)</f>
        <v/>
      </c>
      <c r="T2052" s="3">
        <f>IF(ORIG!T2052=0,"",ORIG!T2052)</f>
        <v/>
      </c>
      <c r="U2052" s="3">
        <f>IF(ORIG!U2052=0,"",ORIG!U2052)</f>
        <v/>
      </c>
      <c r="V2052" s="9">
        <f>IF(ORIG!V2052=0,"",ORIG!V2052)</f>
        <v/>
      </c>
      <c r="W2052" s="9">
        <f>IF(ORIG!W2052=0,"",ORIG!W2052)</f>
        <v/>
      </c>
      <c r="X2052" s="9">
        <f>IF(ORIG!X2052=0,"",ORIG!X2052)</f>
        <v/>
      </c>
      <c r="Y2052" s="9">
        <f>IF(ORIG!Y2052=0,"",ORIG!Y2052)</f>
        <v/>
      </c>
      <c r="Z2052" s="3">
        <f>SUMPRODUCT($B2052:$Y2052,$B$2649:$Y$2649)</f>
        <v/>
      </c>
      <c r="AA2052" s="3">
        <f>SUMPRODUCT($B2052:$Y2052,$B$2655:$Y$2655)</f>
        <v/>
      </c>
      <c r="AC2052" s="1">
        <f>A2052</f>
        <v/>
      </c>
      <c r="AD2052">
        <f>IF(ISNUMBER(V2052),V2052*($AB$1/V$2635),"")</f>
        <v/>
      </c>
      <c r="AE2052">
        <f>IF(ISNUMBER(Z2052),Z2052*($AB$1/Z$2635),"")</f>
        <v/>
      </c>
      <c r="AF2052" s="25">
        <f>IF(ISNUMBER(AD2052+AE2052),AD2052+AE2052,"")</f>
        <v/>
      </c>
      <c r="AH2052" s="1">
        <f>A2052</f>
        <v/>
      </c>
      <c r="AI2052">
        <f>IF(ISNUMBER((1+V2052)*AI2051),(1+V2052)*AI2051,AI2051)</f>
        <v/>
      </c>
      <c r="AJ2052">
        <f>IF(ISNUMBER((1+Z2052)*AJ2051),(1+Z2052)*AJ2051,AJ2051)</f>
        <v/>
      </c>
    </row>
    <row r="2053">
      <c r="A2053" s="1" t="n">
        <v>44981</v>
      </c>
      <c r="B2053" s="3">
        <f>IF(ORIG!B2053=0,"",ORIG!B2053)</f>
        <v/>
      </c>
      <c r="C2053" s="3">
        <f>IF(ORIG!C2053=0,"",ORIG!C2053)</f>
        <v/>
      </c>
      <c r="D2053" s="3">
        <f>IF(ORIG!D2053=0,"",ORIG!D2053)</f>
        <v/>
      </c>
      <c r="E2053" s="3">
        <f>IF(ORIG!E2053=0,"",ORIG!E2053)</f>
        <v/>
      </c>
      <c r="F2053" s="3">
        <f>IF(ORIG!F2053=0,"",ORIG!F2053)</f>
        <v/>
      </c>
      <c r="G2053" s="3">
        <f>IF(ORIG!G2053=0,"",ORIG!G2053)</f>
        <v/>
      </c>
      <c r="H2053" s="3">
        <f>IF(ORIG!H2053=0,"",ORIG!H2053)</f>
        <v/>
      </c>
      <c r="I2053" s="3">
        <f>IF(ORIG!I2053=0,"",ORIG!I2053)</f>
        <v/>
      </c>
      <c r="J2053" s="3">
        <f>IF(ORIG!J2053=0,"",ORIG!J2053)</f>
        <v/>
      </c>
      <c r="K2053" s="3">
        <f>IF(ORIG!K2053=0,"",ORIG!K2053)</f>
        <v/>
      </c>
      <c r="L2053" s="3">
        <f>IF(ORIG!L2053=0,"",ORIG!L2053)</f>
        <v/>
      </c>
      <c r="M2053" s="3">
        <f>IF(ORIG!M2053=0,"",ORIG!M2053)</f>
        <v/>
      </c>
      <c r="N2053" s="3">
        <f>IF(ORIG!N2053=0,"",ORIG!N2053)</f>
        <v/>
      </c>
      <c r="O2053" s="3">
        <f>IF(ORIG!O2053=0,"",ORIG!O2053)</f>
        <v/>
      </c>
      <c r="P2053" s="3">
        <f>IF(ORIG!P2053=0,"",ORIG!P2053)</f>
        <v/>
      </c>
      <c r="Q2053" s="3">
        <f>IF(ORIG!Q2053=0,"",ORIG!Q2053)</f>
        <v/>
      </c>
      <c r="R2053" s="3">
        <f>IF(ORIG!R2053=0,"",ORIG!R2053)</f>
        <v/>
      </c>
      <c r="S2053" s="3">
        <f>IF(ORIG!S2053=0,"",ORIG!S2053)</f>
        <v/>
      </c>
      <c r="T2053" s="3">
        <f>IF(ORIG!T2053=0,"",ORIG!T2053)</f>
        <v/>
      </c>
      <c r="U2053" s="3">
        <f>IF(ORIG!U2053=0,"",ORIG!U2053)</f>
        <v/>
      </c>
      <c r="V2053" s="9">
        <f>IF(ORIG!V2053=0,"",ORIG!V2053)</f>
        <v/>
      </c>
      <c r="W2053" s="9">
        <f>IF(ORIG!W2053=0,"",ORIG!W2053)</f>
        <v/>
      </c>
      <c r="X2053" s="9">
        <f>IF(ORIG!X2053=0,"",ORIG!X2053)</f>
        <v/>
      </c>
      <c r="Y2053" s="9">
        <f>IF(ORIG!Y2053=0,"",ORIG!Y2053)</f>
        <v/>
      </c>
      <c r="Z2053" s="3">
        <f>SUMPRODUCT($B2053:$Y2053,$B$2649:$Y$2649)</f>
        <v/>
      </c>
      <c r="AA2053" s="3">
        <f>SUMPRODUCT($B2053:$Y2053,$B$2655:$Y$2655)</f>
        <v/>
      </c>
      <c r="AC2053" s="1">
        <f>A2053</f>
        <v/>
      </c>
      <c r="AD2053">
        <f>IF(ISNUMBER(V2053),V2053*($AB$1/V$2635),"")</f>
        <v/>
      </c>
      <c r="AE2053">
        <f>IF(ISNUMBER(Z2053),Z2053*($AB$1/Z$2635),"")</f>
        <v/>
      </c>
      <c r="AF2053" s="25">
        <f>IF(ISNUMBER(AD2053+AE2053),AD2053+AE2053,"")</f>
        <v/>
      </c>
      <c r="AH2053" s="1">
        <f>A2053</f>
        <v/>
      </c>
      <c r="AI2053">
        <f>IF(ISNUMBER((1+V2053)*AI2052),(1+V2053)*AI2052,AI2052)</f>
        <v/>
      </c>
      <c r="AJ2053">
        <f>IF(ISNUMBER((1+Z2053)*AJ2052),(1+Z2053)*AJ2052,AJ2052)</f>
        <v/>
      </c>
    </row>
    <row r="2054">
      <c r="A2054" s="1" t="n">
        <v>44984</v>
      </c>
      <c r="B2054" s="3">
        <f>IF(ORIG!B2054=0,"",ORIG!B2054)</f>
        <v/>
      </c>
      <c r="C2054" s="3">
        <f>IF(ORIG!C2054=0,"",ORIG!C2054)</f>
        <v/>
      </c>
      <c r="D2054" s="3">
        <f>IF(ORIG!D2054=0,"",ORIG!D2054)</f>
        <v/>
      </c>
      <c r="E2054" s="3">
        <f>IF(ORIG!E2054=0,"",ORIG!E2054)</f>
        <v/>
      </c>
      <c r="F2054" s="3">
        <f>IF(ORIG!F2054=0,"",ORIG!F2054)</f>
        <v/>
      </c>
      <c r="G2054" s="3">
        <f>IF(ORIG!G2054=0,"",ORIG!G2054)</f>
        <v/>
      </c>
      <c r="H2054" s="3">
        <f>IF(ORIG!H2054=0,"",ORIG!H2054)</f>
        <v/>
      </c>
      <c r="I2054" s="3">
        <f>IF(ORIG!I2054=0,"",ORIG!I2054)</f>
        <v/>
      </c>
      <c r="J2054" s="3">
        <f>IF(ORIG!J2054=0,"",ORIG!J2054)</f>
        <v/>
      </c>
      <c r="K2054" s="3">
        <f>IF(ORIG!K2054=0,"",ORIG!K2054)</f>
        <v/>
      </c>
      <c r="L2054" s="3">
        <f>IF(ORIG!L2054=0,"",ORIG!L2054)</f>
        <v/>
      </c>
      <c r="M2054" s="3">
        <f>IF(ORIG!M2054=0,"",ORIG!M2054)</f>
        <v/>
      </c>
      <c r="N2054" s="3">
        <f>IF(ORIG!N2054=0,"",ORIG!N2054)</f>
        <v/>
      </c>
      <c r="O2054" s="3">
        <f>IF(ORIG!O2054=0,"",ORIG!O2054)</f>
        <v/>
      </c>
      <c r="P2054" s="3">
        <f>IF(ORIG!P2054=0,"",ORIG!P2054)</f>
        <v/>
      </c>
      <c r="Q2054" s="3">
        <f>IF(ORIG!Q2054=0,"",ORIG!Q2054)</f>
        <v/>
      </c>
      <c r="R2054" s="3">
        <f>IF(ORIG!R2054=0,"",ORIG!R2054)</f>
        <v/>
      </c>
      <c r="S2054" s="3">
        <f>IF(ORIG!S2054=0,"",ORIG!S2054)</f>
        <v/>
      </c>
      <c r="T2054" s="3">
        <f>IF(ORIG!T2054=0,"",ORIG!T2054)</f>
        <v/>
      </c>
      <c r="U2054" s="3">
        <f>IF(ORIG!U2054=0,"",ORIG!U2054)</f>
        <v/>
      </c>
      <c r="V2054" s="9">
        <f>IF(ORIG!V2054=0,"",ORIG!V2054)</f>
        <v/>
      </c>
      <c r="W2054" s="9">
        <f>IF(ORIG!W2054=0,"",ORIG!W2054)</f>
        <v/>
      </c>
      <c r="X2054" s="9">
        <f>IF(ORIG!X2054=0,"",ORIG!X2054)</f>
        <v/>
      </c>
      <c r="Y2054" s="9">
        <f>IF(ORIG!Y2054=0,"",ORIG!Y2054)</f>
        <v/>
      </c>
      <c r="Z2054" s="3">
        <f>SUMPRODUCT($B2054:$Y2054,$B$2649:$Y$2649)</f>
        <v/>
      </c>
      <c r="AA2054" s="3">
        <f>SUMPRODUCT($B2054:$Y2054,$B$2655:$Y$2655)</f>
        <v/>
      </c>
      <c r="AC2054" s="1">
        <f>A2054</f>
        <v/>
      </c>
      <c r="AD2054">
        <f>IF(ISNUMBER(V2054),V2054*($AB$1/V$2635),"")</f>
        <v/>
      </c>
      <c r="AE2054">
        <f>IF(ISNUMBER(Z2054),Z2054*($AB$1/Z$2635),"")</f>
        <v/>
      </c>
      <c r="AF2054" s="25">
        <f>IF(ISNUMBER(AD2054+AE2054),AD2054+AE2054,"")</f>
        <v/>
      </c>
      <c r="AH2054" s="1">
        <f>A2054</f>
        <v/>
      </c>
      <c r="AI2054">
        <f>IF(ISNUMBER((1+V2054)*AI2053),(1+V2054)*AI2053,AI2053)</f>
        <v/>
      </c>
      <c r="AJ2054">
        <f>IF(ISNUMBER((1+Z2054)*AJ2053),(1+Z2054)*AJ2053,AJ2053)</f>
        <v/>
      </c>
    </row>
    <row r="2055">
      <c r="A2055" s="1" t="n">
        <v>44985</v>
      </c>
      <c r="B2055" s="3">
        <f>IF(ORIG!B2055=0,"",ORIG!B2055)</f>
        <v/>
      </c>
      <c r="C2055" s="3">
        <f>IF(ORIG!C2055=0,"",ORIG!C2055)</f>
        <v/>
      </c>
      <c r="D2055" s="3">
        <f>IF(ORIG!D2055=0,"",ORIG!D2055)</f>
        <v/>
      </c>
      <c r="E2055" s="3">
        <f>IF(ORIG!E2055=0,"",ORIG!E2055)</f>
        <v/>
      </c>
      <c r="F2055" s="3">
        <f>IF(ORIG!F2055=0,"",ORIG!F2055)</f>
        <v/>
      </c>
      <c r="G2055" s="3">
        <f>IF(ORIG!G2055=0,"",ORIG!G2055)</f>
        <v/>
      </c>
      <c r="H2055" s="3">
        <f>IF(ORIG!H2055=0,"",ORIG!H2055)</f>
        <v/>
      </c>
      <c r="I2055" s="3">
        <f>IF(ORIG!I2055=0,"",ORIG!I2055)</f>
        <v/>
      </c>
      <c r="J2055" s="3">
        <f>IF(ORIG!J2055=0,"",ORIG!J2055)</f>
        <v/>
      </c>
      <c r="K2055" s="3">
        <f>IF(ORIG!K2055=0,"",ORIG!K2055)</f>
        <v/>
      </c>
      <c r="L2055" s="3">
        <f>IF(ORIG!L2055=0,"",ORIG!L2055)</f>
        <v/>
      </c>
      <c r="M2055" s="3">
        <f>IF(ORIG!M2055=0,"",ORIG!M2055)</f>
        <v/>
      </c>
      <c r="N2055" s="3">
        <f>IF(ORIG!N2055=0,"",ORIG!N2055)</f>
        <v/>
      </c>
      <c r="O2055" s="3">
        <f>IF(ORIG!O2055=0,"",ORIG!O2055)</f>
        <v/>
      </c>
      <c r="P2055" s="3">
        <f>IF(ORIG!P2055=0,"",ORIG!P2055)</f>
        <v/>
      </c>
      <c r="Q2055" s="3">
        <f>IF(ORIG!Q2055=0,"",ORIG!Q2055)</f>
        <v/>
      </c>
      <c r="R2055" s="3">
        <f>IF(ORIG!R2055=0,"",ORIG!R2055)</f>
        <v/>
      </c>
      <c r="S2055" s="3">
        <f>IF(ORIG!S2055=0,"",ORIG!S2055)</f>
        <v/>
      </c>
      <c r="T2055" s="3">
        <f>IF(ORIG!T2055=0,"",ORIG!T2055)</f>
        <v/>
      </c>
      <c r="U2055" s="3">
        <f>IF(ORIG!U2055=0,"",ORIG!U2055)</f>
        <v/>
      </c>
      <c r="V2055" s="9">
        <f>IF(ORIG!V2055=0,"",ORIG!V2055)</f>
        <v/>
      </c>
      <c r="W2055" s="9">
        <f>IF(ORIG!W2055=0,"",ORIG!W2055)</f>
        <v/>
      </c>
      <c r="X2055" s="9">
        <f>IF(ORIG!X2055=0,"",ORIG!X2055)</f>
        <v/>
      </c>
      <c r="Y2055" s="9">
        <f>IF(ORIG!Y2055=0,"",ORIG!Y2055)</f>
        <v/>
      </c>
      <c r="Z2055" s="3">
        <f>SUMPRODUCT($B2055:$Y2055,$B$2649:$Y$2649)</f>
        <v/>
      </c>
      <c r="AA2055" s="3">
        <f>SUMPRODUCT($B2055:$Y2055,$B$2655:$Y$2655)</f>
        <v/>
      </c>
      <c r="AC2055" s="1">
        <f>A2055</f>
        <v/>
      </c>
      <c r="AD2055">
        <f>IF(ISNUMBER(V2055),V2055*($AB$1/V$2635),"")</f>
        <v/>
      </c>
      <c r="AE2055">
        <f>IF(ISNUMBER(Z2055),Z2055*($AB$1/Z$2635),"")</f>
        <v/>
      </c>
      <c r="AF2055" s="25">
        <f>IF(ISNUMBER(AD2055+AE2055),AD2055+AE2055,"")</f>
        <v/>
      </c>
      <c r="AH2055" s="1">
        <f>A2055</f>
        <v/>
      </c>
      <c r="AI2055">
        <f>IF(ISNUMBER((1+V2055)*AI2054),(1+V2055)*AI2054,AI2054)</f>
        <v/>
      </c>
      <c r="AJ2055">
        <f>IF(ISNUMBER((1+Z2055)*AJ2054),(1+Z2055)*AJ2054,AJ2054)</f>
        <v/>
      </c>
    </row>
    <row r="2056">
      <c r="A2056" s="1" t="n">
        <v>44986</v>
      </c>
      <c r="B2056" s="3">
        <f>IF(ORIG!B2056=0,"",ORIG!B2056)</f>
        <v/>
      </c>
      <c r="C2056" s="3">
        <f>IF(ORIG!C2056=0,"",ORIG!C2056)</f>
        <v/>
      </c>
      <c r="D2056" s="3">
        <f>IF(ORIG!D2056=0,"",ORIG!D2056)</f>
        <v/>
      </c>
      <c r="E2056" s="3">
        <f>IF(ORIG!E2056=0,"",ORIG!E2056)</f>
        <v/>
      </c>
      <c r="F2056" s="3">
        <f>IF(ORIG!F2056=0,"",ORIG!F2056)</f>
        <v/>
      </c>
      <c r="G2056" s="3">
        <f>IF(ORIG!G2056=0,"",ORIG!G2056)</f>
        <v/>
      </c>
      <c r="H2056" s="3">
        <f>IF(ORIG!H2056=0,"",ORIG!H2056)</f>
        <v/>
      </c>
      <c r="I2056" s="3">
        <f>IF(ORIG!I2056=0,"",ORIG!I2056)</f>
        <v/>
      </c>
      <c r="J2056" s="3">
        <f>IF(ORIG!J2056=0,"",ORIG!J2056)</f>
        <v/>
      </c>
      <c r="K2056" s="3">
        <f>IF(ORIG!K2056=0,"",ORIG!K2056)</f>
        <v/>
      </c>
      <c r="L2056" s="3">
        <f>IF(ORIG!L2056=0,"",ORIG!L2056)</f>
        <v/>
      </c>
      <c r="M2056" s="3">
        <f>IF(ORIG!M2056=0,"",ORIG!M2056)</f>
        <v/>
      </c>
      <c r="N2056" s="3">
        <f>IF(ORIG!N2056=0,"",ORIG!N2056)</f>
        <v/>
      </c>
      <c r="O2056" s="3">
        <f>IF(ORIG!O2056=0,"",ORIG!O2056)</f>
        <v/>
      </c>
      <c r="P2056" s="3">
        <f>IF(ORIG!P2056=0,"",ORIG!P2056)</f>
        <v/>
      </c>
      <c r="Q2056" s="3">
        <f>IF(ORIG!Q2056=0,"",ORIG!Q2056)</f>
        <v/>
      </c>
      <c r="R2056" s="3">
        <f>IF(ORIG!R2056=0,"",ORIG!R2056)</f>
        <v/>
      </c>
      <c r="S2056" s="3">
        <f>IF(ORIG!S2056=0,"",ORIG!S2056)</f>
        <v/>
      </c>
      <c r="T2056" s="3">
        <f>IF(ORIG!T2056=0,"",ORIG!T2056)</f>
        <v/>
      </c>
      <c r="U2056" s="3">
        <f>IF(ORIG!U2056=0,"",ORIG!U2056)</f>
        <v/>
      </c>
      <c r="V2056" s="9">
        <f>IF(ORIG!V2056=0,"",ORIG!V2056)</f>
        <v/>
      </c>
      <c r="W2056" s="9">
        <f>IF(ORIG!W2056=0,"",ORIG!W2056)</f>
        <v/>
      </c>
      <c r="X2056" s="9">
        <f>IF(ORIG!X2056=0,"",ORIG!X2056)</f>
        <v/>
      </c>
      <c r="Y2056" s="9">
        <f>IF(ORIG!Y2056=0,"",ORIG!Y2056)</f>
        <v/>
      </c>
      <c r="Z2056" s="3">
        <f>SUMPRODUCT($B2056:$Y2056,$B$2649:$Y$2649)</f>
        <v/>
      </c>
      <c r="AA2056" s="3">
        <f>SUMPRODUCT($B2056:$Y2056,$B$2655:$Y$2655)</f>
        <v/>
      </c>
      <c r="AC2056" s="1">
        <f>A2056</f>
        <v/>
      </c>
      <c r="AD2056">
        <f>IF(ISNUMBER(V2056),V2056*($AB$1/V$2635),"")</f>
        <v/>
      </c>
      <c r="AE2056">
        <f>IF(ISNUMBER(Z2056),Z2056*($AB$1/Z$2635),"")</f>
        <v/>
      </c>
      <c r="AF2056" s="25">
        <f>IF(ISNUMBER(AD2056+AE2056),AD2056+AE2056,"")</f>
        <v/>
      </c>
      <c r="AH2056" s="1">
        <f>A2056</f>
        <v/>
      </c>
      <c r="AI2056">
        <f>IF(ISNUMBER((1+V2056)*AI2055),(1+V2056)*AI2055,AI2055)</f>
        <v/>
      </c>
      <c r="AJ2056">
        <f>IF(ISNUMBER((1+Z2056)*AJ2055),(1+Z2056)*AJ2055,AJ2055)</f>
        <v/>
      </c>
    </row>
    <row r="2057">
      <c r="A2057" s="1" t="n">
        <v>44987</v>
      </c>
      <c r="B2057" s="3">
        <f>IF(ORIG!B2057=0,"",ORIG!B2057)</f>
        <v/>
      </c>
      <c r="C2057" s="3">
        <f>IF(ORIG!C2057=0,"",ORIG!C2057)</f>
        <v/>
      </c>
      <c r="D2057" s="3">
        <f>IF(ORIG!D2057=0,"",ORIG!D2057)</f>
        <v/>
      </c>
      <c r="E2057" s="3">
        <f>IF(ORIG!E2057=0,"",ORIG!E2057)</f>
        <v/>
      </c>
      <c r="F2057" s="3">
        <f>IF(ORIG!F2057=0,"",ORIG!F2057)</f>
        <v/>
      </c>
      <c r="G2057" s="3">
        <f>IF(ORIG!G2057=0,"",ORIG!G2057)</f>
        <v/>
      </c>
      <c r="H2057" s="3">
        <f>IF(ORIG!H2057=0,"",ORIG!H2057)</f>
        <v/>
      </c>
      <c r="I2057" s="3">
        <f>IF(ORIG!I2057=0,"",ORIG!I2057)</f>
        <v/>
      </c>
      <c r="J2057" s="3">
        <f>IF(ORIG!J2057=0,"",ORIG!J2057)</f>
        <v/>
      </c>
      <c r="K2057" s="3">
        <f>IF(ORIG!K2057=0,"",ORIG!K2057)</f>
        <v/>
      </c>
      <c r="L2057" s="3">
        <f>IF(ORIG!L2057=0,"",ORIG!L2057)</f>
        <v/>
      </c>
      <c r="M2057" s="3">
        <f>IF(ORIG!M2057=0,"",ORIG!M2057)</f>
        <v/>
      </c>
      <c r="N2057" s="3">
        <f>IF(ORIG!N2057=0,"",ORIG!N2057)</f>
        <v/>
      </c>
      <c r="O2057" s="3">
        <f>IF(ORIG!O2057=0,"",ORIG!O2057)</f>
        <v/>
      </c>
      <c r="P2057" s="3">
        <f>IF(ORIG!P2057=0,"",ORIG!P2057)</f>
        <v/>
      </c>
      <c r="Q2057" s="3">
        <f>IF(ORIG!Q2057=0,"",ORIG!Q2057)</f>
        <v/>
      </c>
      <c r="R2057" s="3">
        <f>IF(ORIG!R2057=0,"",ORIG!R2057)</f>
        <v/>
      </c>
      <c r="S2057" s="3">
        <f>IF(ORIG!S2057=0,"",ORIG!S2057)</f>
        <v/>
      </c>
      <c r="T2057" s="3">
        <f>IF(ORIG!T2057=0,"",ORIG!T2057)</f>
        <v/>
      </c>
      <c r="U2057" s="3">
        <f>IF(ORIG!U2057=0,"",ORIG!U2057)</f>
        <v/>
      </c>
      <c r="V2057" s="9">
        <f>IF(ORIG!V2057=0,"",ORIG!V2057)</f>
        <v/>
      </c>
      <c r="W2057" s="9">
        <f>IF(ORIG!W2057=0,"",ORIG!W2057)</f>
        <v/>
      </c>
      <c r="X2057" s="9">
        <f>IF(ORIG!X2057=0,"",ORIG!X2057)</f>
        <v/>
      </c>
      <c r="Y2057" s="9">
        <f>IF(ORIG!Y2057=0,"",ORIG!Y2057)</f>
        <v/>
      </c>
      <c r="Z2057" s="3">
        <f>SUMPRODUCT($B2057:$Y2057,$B$2649:$Y$2649)</f>
        <v/>
      </c>
      <c r="AA2057" s="3">
        <f>SUMPRODUCT($B2057:$Y2057,$B$2655:$Y$2655)</f>
        <v/>
      </c>
      <c r="AC2057" s="1">
        <f>A2057</f>
        <v/>
      </c>
      <c r="AD2057">
        <f>IF(ISNUMBER(V2057),V2057*($AB$1/V$2635),"")</f>
        <v/>
      </c>
      <c r="AE2057">
        <f>IF(ISNUMBER(Z2057),Z2057*($AB$1/Z$2635),"")</f>
        <v/>
      </c>
      <c r="AF2057" s="25">
        <f>IF(ISNUMBER(AD2057+AE2057),AD2057+AE2057,"")</f>
        <v/>
      </c>
      <c r="AH2057" s="1">
        <f>A2057</f>
        <v/>
      </c>
      <c r="AI2057">
        <f>IF(ISNUMBER((1+V2057)*AI2056),(1+V2057)*AI2056,AI2056)</f>
        <v/>
      </c>
      <c r="AJ2057">
        <f>IF(ISNUMBER((1+Z2057)*AJ2056),(1+Z2057)*AJ2056,AJ2056)</f>
        <v/>
      </c>
    </row>
    <row r="2058">
      <c r="A2058" s="1" t="n">
        <v>44988</v>
      </c>
      <c r="B2058" s="3">
        <f>IF(ORIG!B2058=0,"",ORIG!B2058)</f>
        <v/>
      </c>
      <c r="C2058" s="3">
        <f>IF(ORIG!C2058=0,"",ORIG!C2058)</f>
        <v/>
      </c>
      <c r="D2058" s="3">
        <f>IF(ORIG!D2058=0,"",ORIG!D2058)</f>
        <v/>
      </c>
      <c r="E2058" s="3">
        <f>IF(ORIG!E2058=0,"",ORIG!E2058)</f>
        <v/>
      </c>
      <c r="F2058" s="3">
        <f>IF(ORIG!F2058=0,"",ORIG!F2058)</f>
        <v/>
      </c>
      <c r="G2058" s="3">
        <f>IF(ORIG!G2058=0,"",ORIG!G2058)</f>
        <v/>
      </c>
      <c r="H2058" s="3">
        <f>IF(ORIG!H2058=0,"",ORIG!H2058)</f>
        <v/>
      </c>
      <c r="I2058" s="3">
        <f>IF(ORIG!I2058=0,"",ORIG!I2058)</f>
        <v/>
      </c>
      <c r="J2058" s="3">
        <f>IF(ORIG!J2058=0,"",ORIG!J2058)</f>
        <v/>
      </c>
      <c r="K2058" s="3">
        <f>IF(ORIG!K2058=0,"",ORIG!K2058)</f>
        <v/>
      </c>
      <c r="L2058" s="3">
        <f>IF(ORIG!L2058=0,"",ORIG!L2058)</f>
        <v/>
      </c>
      <c r="M2058" s="3">
        <f>IF(ORIG!M2058=0,"",ORIG!M2058)</f>
        <v/>
      </c>
      <c r="N2058" s="3">
        <f>IF(ORIG!N2058=0,"",ORIG!N2058)</f>
        <v/>
      </c>
      <c r="O2058" s="3">
        <f>IF(ORIG!O2058=0,"",ORIG!O2058)</f>
        <v/>
      </c>
      <c r="P2058" s="3">
        <f>IF(ORIG!P2058=0,"",ORIG!P2058)</f>
        <v/>
      </c>
      <c r="Q2058" s="3">
        <f>IF(ORIG!Q2058=0,"",ORIG!Q2058)</f>
        <v/>
      </c>
      <c r="R2058" s="3">
        <f>IF(ORIG!R2058=0,"",ORIG!R2058)</f>
        <v/>
      </c>
      <c r="S2058" s="3">
        <f>IF(ORIG!S2058=0,"",ORIG!S2058)</f>
        <v/>
      </c>
      <c r="T2058" s="3">
        <f>IF(ORIG!T2058=0,"",ORIG!T2058)</f>
        <v/>
      </c>
      <c r="U2058" s="3">
        <f>IF(ORIG!U2058=0,"",ORIG!U2058)</f>
        <v/>
      </c>
      <c r="V2058" s="9">
        <f>IF(ORIG!V2058=0,"",ORIG!V2058)</f>
        <v/>
      </c>
      <c r="W2058" s="9">
        <f>IF(ORIG!W2058=0,"",ORIG!W2058)</f>
        <v/>
      </c>
      <c r="X2058" s="9">
        <f>IF(ORIG!X2058=0,"",ORIG!X2058)</f>
        <v/>
      </c>
      <c r="Y2058" s="9">
        <f>IF(ORIG!Y2058=0,"",ORIG!Y2058)</f>
        <v/>
      </c>
      <c r="Z2058" s="3">
        <f>SUMPRODUCT($B2058:$Y2058,$B$2649:$Y$2649)</f>
        <v/>
      </c>
      <c r="AA2058" s="3">
        <f>SUMPRODUCT($B2058:$Y2058,$B$2655:$Y$2655)</f>
        <v/>
      </c>
      <c r="AC2058" s="1">
        <f>A2058</f>
        <v/>
      </c>
      <c r="AD2058">
        <f>IF(ISNUMBER(V2058),V2058*($AB$1/V$2635),"")</f>
        <v/>
      </c>
      <c r="AE2058">
        <f>IF(ISNUMBER(Z2058),Z2058*($AB$1/Z$2635),"")</f>
        <v/>
      </c>
      <c r="AF2058" s="25">
        <f>IF(ISNUMBER(AD2058+AE2058),AD2058+AE2058,"")</f>
        <v/>
      </c>
      <c r="AH2058" s="1">
        <f>A2058</f>
        <v/>
      </c>
      <c r="AI2058">
        <f>IF(ISNUMBER((1+V2058)*AI2057),(1+V2058)*AI2057,AI2057)</f>
        <v/>
      </c>
      <c r="AJ2058">
        <f>IF(ISNUMBER((1+Z2058)*AJ2057),(1+Z2058)*AJ2057,AJ2057)</f>
        <v/>
      </c>
    </row>
    <row r="2059">
      <c r="A2059" s="1" t="n">
        <v>44991</v>
      </c>
      <c r="B2059" s="3">
        <f>IF(ORIG!B2059=0,"",ORIG!B2059)</f>
        <v/>
      </c>
      <c r="C2059" s="3">
        <f>IF(ORIG!C2059=0,"",ORIG!C2059)</f>
        <v/>
      </c>
      <c r="D2059" s="3">
        <f>IF(ORIG!D2059=0,"",ORIG!D2059)</f>
        <v/>
      </c>
      <c r="E2059" s="3">
        <f>IF(ORIG!E2059=0,"",ORIG!E2059)</f>
        <v/>
      </c>
      <c r="F2059" s="3">
        <f>IF(ORIG!F2059=0,"",ORIG!F2059)</f>
        <v/>
      </c>
      <c r="G2059" s="3">
        <f>IF(ORIG!G2059=0,"",ORIG!G2059)</f>
        <v/>
      </c>
      <c r="H2059" s="3">
        <f>IF(ORIG!H2059=0,"",ORIG!H2059)</f>
        <v/>
      </c>
      <c r="I2059" s="3">
        <f>IF(ORIG!I2059=0,"",ORIG!I2059)</f>
        <v/>
      </c>
      <c r="J2059" s="3">
        <f>IF(ORIG!J2059=0,"",ORIG!J2059)</f>
        <v/>
      </c>
      <c r="K2059" s="3">
        <f>IF(ORIG!K2059=0,"",ORIG!K2059)</f>
        <v/>
      </c>
      <c r="L2059" s="3">
        <f>IF(ORIG!L2059=0,"",ORIG!L2059)</f>
        <v/>
      </c>
      <c r="M2059" s="3">
        <f>IF(ORIG!M2059=0,"",ORIG!M2059)</f>
        <v/>
      </c>
      <c r="N2059" s="3">
        <f>IF(ORIG!N2059=0,"",ORIG!N2059)</f>
        <v/>
      </c>
      <c r="O2059" s="3">
        <f>IF(ORIG!O2059=0,"",ORIG!O2059)</f>
        <v/>
      </c>
      <c r="P2059" s="3">
        <f>IF(ORIG!P2059=0,"",ORIG!P2059)</f>
        <v/>
      </c>
      <c r="Q2059" s="3">
        <f>IF(ORIG!Q2059=0,"",ORIG!Q2059)</f>
        <v/>
      </c>
      <c r="R2059" s="3">
        <f>IF(ORIG!R2059=0,"",ORIG!R2059)</f>
        <v/>
      </c>
      <c r="S2059" s="3">
        <f>IF(ORIG!S2059=0,"",ORIG!S2059)</f>
        <v/>
      </c>
      <c r="T2059" s="3">
        <f>IF(ORIG!T2059=0,"",ORIG!T2059)</f>
        <v/>
      </c>
      <c r="U2059" s="3">
        <f>IF(ORIG!U2059=0,"",ORIG!U2059)</f>
        <v/>
      </c>
      <c r="V2059" s="9">
        <f>IF(ORIG!V2059=0,"",ORIG!V2059)</f>
        <v/>
      </c>
      <c r="W2059" s="9">
        <f>IF(ORIG!W2059=0,"",ORIG!W2059)</f>
        <v/>
      </c>
      <c r="X2059" s="9">
        <f>IF(ORIG!X2059=0,"",ORIG!X2059)</f>
        <v/>
      </c>
      <c r="Y2059" s="9">
        <f>IF(ORIG!Y2059=0,"",ORIG!Y2059)</f>
        <v/>
      </c>
      <c r="Z2059" s="3">
        <f>SUMPRODUCT($B2059:$Y2059,$B$2649:$Y$2649)</f>
        <v/>
      </c>
      <c r="AA2059" s="3">
        <f>SUMPRODUCT($B2059:$Y2059,$B$2655:$Y$2655)</f>
        <v/>
      </c>
      <c r="AC2059" s="1">
        <f>A2059</f>
        <v/>
      </c>
      <c r="AD2059">
        <f>IF(ISNUMBER(V2059),V2059*($AB$1/V$2635),"")</f>
        <v/>
      </c>
      <c r="AE2059">
        <f>IF(ISNUMBER(Z2059),Z2059*($AB$1/Z$2635),"")</f>
        <v/>
      </c>
      <c r="AF2059" s="25">
        <f>IF(ISNUMBER(AD2059+AE2059),AD2059+AE2059,"")</f>
        <v/>
      </c>
      <c r="AH2059" s="1">
        <f>A2059</f>
        <v/>
      </c>
      <c r="AI2059">
        <f>IF(ISNUMBER((1+V2059)*AI2058),(1+V2059)*AI2058,AI2058)</f>
        <v/>
      </c>
      <c r="AJ2059">
        <f>IF(ISNUMBER((1+Z2059)*AJ2058),(1+Z2059)*AJ2058,AJ2058)</f>
        <v/>
      </c>
    </row>
    <row r="2060">
      <c r="A2060" s="1" t="n">
        <v>44992</v>
      </c>
      <c r="B2060" s="3">
        <f>IF(ORIG!B2060=0,"",ORIG!B2060)</f>
        <v/>
      </c>
      <c r="C2060" s="3">
        <f>IF(ORIG!C2060=0,"",ORIG!C2060)</f>
        <v/>
      </c>
      <c r="D2060" s="3">
        <f>IF(ORIG!D2060=0,"",ORIG!D2060)</f>
        <v/>
      </c>
      <c r="E2060" s="3">
        <f>IF(ORIG!E2060=0,"",ORIG!E2060)</f>
        <v/>
      </c>
      <c r="F2060" s="3">
        <f>IF(ORIG!F2060=0,"",ORIG!F2060)</f>
        <v/>
      </c>
      <c r="G2060" s="3">
        <f>IF(ORIG!G2060=0,"",ORIG!G2060)</f>
        <v/>
      </c>
      <c r="H2060" s="3">
        <f>IF(ORIG!H2060=0,"",ORIG!H2060)</f>
        <v/>
      </c>
      <c r="I2060" s="3">
        <f>IF(ORIG!I2060=0,"",ORIG!I2060)</f>
        <v/>
      </c>
      <c r="J2060" s="3">
        <f>IF(ORIG!J2060=0,"",ORIG!J2060)</f>
        <v/>
      </c>
      <c r="K2060" s="3">
        <f>IF(ORIG!K2060=0,"",ORIG!K2060)</f>
        <v/>
      </c>
      <c r="L2060" s="3">
        <f>IF(ORIG!L2060=0,"",ORIG!L2060)</f>
        <v/>
      </c>
      <c r="M2060" s="3">
        <f>IF(ORIG!M2060=0,"",ORIG!M2060)</f>
        <v/>
      </c>
      <c r="N2060" s="3">
        <f>IF(ORIG!N2060=0,"",ORIG!N2060)</f>
        <v/>
      </c>
      <c r="O2060" s="3">
        <f>IF(ORIG!O2060=0,"",ORIG!O2060)</f>
        <v/>
      </c>
      <c r="P2060" s="3">
        <f>IF(ORIG!P2060=0,"",ORIG!P2060)</f>
        <v/>
      </c>
      <c r="Q2060" s="3">
        <f>IF(ORIG!Q2060=0,"",ORIG!Q2060)</f>
        <v/>
      </c>
      <c r="R2060" s="3">
        <f>IF(ORIG!R2060=0,"",ORIG!R2060)</f>
        <v/>
      </c>
      <c r="S2060" s="3">
        <f>IF(ORIG!S2060=0,"",ORIG!S2060)</f>
        <v/>
      </c>
      <c r="T2060" s="3">
        <f>IF(ORIG!T2060=0,"",ORIG!T2060)</f>
        <v/>
      </c>
      <c r="U2060" s="3">
        <f>IF(ORIG!U2060=0,"",ORIG!U2060)</f>
        <v/>
      </c>
      <c r="V2060" s="9">
        <f>IF(ORIG!V2060=0,"",ORIG!V2060)</f>
        <v/>
      </c>
      <c r="W2060" s="9">
        <f>IF(ORIG!W2060=0,"",ORIG!W2060)</f>
        <v/>
      </c>
      <c r="X2060" s="9">
        <f>IF(ORIG!X2060=0,"",ORIG!X2060)</f>
        <v/>
      </c>
      <c r="Y2060" s="9">
        <f>IF(ORIG!Y2060=0,"",ORIG!Y2060)</f>
        <v/>
      </c>
      <c r="Z2060" s="3">
        <f>SUMPRODUCT($B2060:$Y2060,$B$2649:$Y$2649)</f>
        <v/>
      </c>
      <c r="AA2060" s="3">
        <f>SUMPRODUCT($B2060:$Y2060,$B$2655:$Y$2655)</f>
        <v/>
      </c>
      <c r="AC2060" s="1">
        <f>A2060</f>
        <v/>
      </c>
      <c r="AD2060">
        <f>IF(ISNUMBER(V2060),V2060*($AB$1/V$2635),"")</f>
        <v/>
      </c>
      <c r="AE2060">
        <f>IF(ISNUMBER(Z2060),Z2060*($AB$1/Z$2635),"")</f>
        <v/>
      </c>
      <c r="AF2060" s="25">
        <f>IF(ISNUMBER(AD2060+AE2060),AD2060+AE2060,"")</f>
        <v/>
      </c>
      <c r="AH2060" s="1">
        <f>A2060</f>
        <v/>
      </c>
      <c r="AI2060">
        <f>IF(ISNUMBER((1+V2060)*AI2059),(1+V2060)*AI2059,AI2059)</f>
        <v/>
      </c>
      <c r="AJ2060">
        <f>IF(ISNUMBER((1+Z2060)*AJ2059),(1+Z2060)*AJ2059,AJ2059)</f>
        <v/>
      </c>
    </row>
    <row r="2061">
      <c r="A2061" s="1" t="n">
        <v>44993</v>
      </c>
      <c r="B2061" s="3">
        <f>IF(ORIG!B2061=0,"",ORIG!B2061)</f>
        <v/>
      </c>
      <c r="C2061" s="3">
        <f>IF(ORIG!C2061=0,"",ORIG!C2061)</f>
        <v/>
      </c>
      <c r="D2061" s="3">
        <f>IF(ORIG!D2061=0,"",ORIG!D2061)</f>
        <v/>
      </c>
      <c r="E2061" s="3">
        <f>IF(ORIG!E2061=0,"",ORIG!E2061)</f>
        <v/>
      </c>
      <c r="F2061" s="3">
        <f>IF(ORIG!F2061=0,"",ORIG!F2061)</f>
        <v/>
      </c>
      <c r="G2061" s="3">
        <f>IF(ORIG!G2061=0,"",ORIG!G2061)</f>
        <v/>
      </c>
      <c r="H2061" s="3">
        <f>IF(ORIG!H2061=0,"",ORIG!H2061)</f>
        <v/>
      </c>
      <c r="I2061" s="3">
        <f>IF(ORIG!I2061=0,"",ORIG!I2061)</f>
        <v/>
      </c>
      <c r="J2061" s="3">
        <f>IF(ORIG!J2061=0,"",ORIG!J2061)</f>
        <v/>
      </c>
      <c r="K2061" s="3">
        <f>IF(ORIG!K2061=0,"",ORIG!K2061)</f>
        <v/>
      </c>
      <c r="L2061" s="3">
        <f>IF(ORIG!L2061=0,"",ORIG!L2061)</f>
        <v/>
      </c>
      <c r="M2061" s="3">
        <f>IF(ORIG!M2061=0,"",ORIG!M2061)</f>
        <v/>
      </c>
      <c r="N2061" s="3">
        <f>IF(ORIG!N2061=0,"",ORIG!N2061)</f>
        <v/>
      </c>
      <c r="O2061" s="3">
        <f>IF(ORIG!O2061=0,"",ORIG!O2061)</f>
        <v/>
      </c>
      <c r="P2061" s="3">
        <f>IF(ORIG!P2061=0,"",ORIG!P2061)</f>
        <v/>
      </c>
      <c r="Q2061" s="3">
        <f>IF(ORIG!Q2061=0,"",ORIG!Q2061)</f>
        <v/>
      </c>
      <c r="R2061" s="3">
        <f>IF(ORIG!R2061=0,"",ORIG!R2061)</f>
        <v/>
      </c>
      <c r="S2061" s="3">
        <f>IF(ORIG!S2061=0,"",ORIG!S2061)</f>
        <v/>
      </c>
      <c r="T2061" s="3">
        <f>IF(ORIG!T2061=0,"",ORIG!T2061)</f>
        <v/>
      </c>
      <c r="U2061" s="3">
        <f>IF(ORIG!U2061=0,"",ORIG!U2061)</f>
        <v/>
      </c>
      <c r="V2061" s="9">
        <f>IF(ORIG!V2061=0,"",ORIG!V2061)</f>
        <v/>
      </c>
      <c r="W2061" s="9">
        <f>IF(ORIG!W2061=0,"",ORIG!W2061)</f>
        <v/>
      </c>
      <c r="X2061" s="9">
        <f>IF(ORIG!X2061=0,"",ORIG!X2061)</f>
        <v/>
      </c>
      <c r="Y2061" s="9">
        <f>IF(ORIG!Y2061=0,"",ORIG!Y2061)</f>
        <v/>
      </c>
      <c r="Z2061" s="3">
        <f>SUMPRODUCT($B2061:$Y2061,$B$2649:$Y$2649)</f>
        <v/>
      </c>
      <c r="AA2061" s="3">
        <f>SUMPRODUCT($B2061:$Y2061,$B$2655:$Y$2655)</f>
        <v/>
      </c>
      <c r="AC2061" s="1">
        <f>A2061</f>
        <v/>
      </c>
      <c r="AD2061">
        <f>IF(ISNUMBER(V2061),V2061*($AB$1/V$2635),"")</f>
        <v/>
      </c>
      <c r="AE2061">
        <f>IF(ISNUMBER(Z2061),Z2061*($AB$1/Z$2635),"")</f>
        <v/>
      </c>
      <c r="AF2061" s="25">
        <f>IF(ISNUMBER(AD2061+AE2061),AD2061+AE2061,"")</f>
        <v/>
      </c>
      <c r="AH2061" s="1">
        <f>A2061</f>
        <v/>
      </c>
      <c r="AI2061">
        <f>IF(ISNUMBER((1+V2061)*AI2060),(1+V2061)*AI2060,AI2060)</f>
        <v/>
      </c>
      <c r="AJ2061">
        <f>IF(ISNUMBER((1+Z2061)*AJ2060),(1+Z2061)*AJ2060,AJ2060)</f>
        <v/>
      </c>
    </row>
    <row r="2062">
      <c r="A2062" s="1" t="n">
        <v>44994</v>
      </c>
      <c r="B2062" s="3">
        <f>IF(ORIG!B2062=0,"",ORIG!B2062)</f>
        <v/>
      </c>
      <c r="C2062" s="3">
        <f>IF(ORIG!C2062=0,"",ORIG!C2062)</f>
        <v/>
      </c>
      <c r="D2062" s="3">
        <f>IF(ORIG!D2062=0,"",ORIG!D2062)</f>
        <v/>
      </c>
      <c r="E2062" s="3">
        <f>IF(ORIG!E2062=0,"",ORIG!E2062)</f>
        <v/>
      </c>
      <c r="F2062" s="3">
        <f>IF(ORIG!F2062=0,"",ORIG!F2062)</f>
        <v/>
      </c>
      <c r="G2062" s="3">
        <f>IF(ORIG!G2062=0,"",ORIG!G2062)</f>
        <v/>
      </c>
      <c r="H2062" s="3">
        <f>IF(ORIG!H2062=0,"",ORIG!H2062)</f>
        <v/>
      </c>
      <c r="I2062" s="3">
        <f>IF(ORIG!I2062=0,"",ORIG!I2062)</f>
        <v/>
      </c>
      <c r="J2062" s="3">
        <f>IF(ORIG!J2062=0,"",ORIG!J2062)</f>
        <v/>
      </c>
      <c r="K2062" s="3">
        <f>IF(ORIG!K2062=0,"",ORIG!K2062)</f>
        <v/>
      </c>
      <c r="L2062" s="3">
        <f>IF(ORIG!L2062=0,"",ORIG!L2062)</f>
        <v/>
      </c>
      <c r="M2062" s="3">
        <f>IF(ORIG!M2062=0,"",ORIG!M2062)</f>
        <v/>
      </c>
      <c r="N2062" s="3">
        <f>IF(ORIG!N2062=0,"",ORIG!N2062)</f>
        <v/>
      </c>
      <c r="O2062" s="3">
        <f>IF(ORIG!O2062=0,"",ORIG!O2062)</f>
        <v/>
      </c>
      <c r="P2062" s="3">
        <f>IF(ORIG!P2062=0,"",ORIG!P2062)</f>
        <v/>
      </c>
      <c r="Q2062" s="3">
        <f>IF(ORIG!Q2062=0,"",ORIG!Q2062)</f>
        <v/>
      </c>
      <c r="R2062" s="3">
        <f>IF(ORIG!R2062=0,"",ORIG!R2062)</f>
        <v/>
      </c>
      <c r="S2062" s="3">
        <f>IF(ORIG!S2062=0,"",ORIG!S2062)</f>
        <v/>
      </c>
      <c r="T2062" s="3">
        <f>IF(ORIG!T2062=0,"",ORIG!T2062)</f>
        <v/>
      </c>
      <c r="U2062" s="3">
        <f>IF(ORIG!U2062=0,"",ORIG!U2062)</f>
        <v/>
      </c>
      <c r="V2062" s="9">
        <f>IF(ORIG!V2062=0,"",ORIG!V2062)</f>
        <v/>
      </c>
      <c r="W2062" s="9">
        <f>IF(ORIG!W2062=0,"",ORIG!W2062)</f>
        <v/>
      </c>
      <c r="X2062" s="9">
        <f>IF(ORIG!X2062=0,"",ORIG!X2062)</f>
        <v/>
      </c>
      <c r="Y2062" s="9">
        <f>IF(ORIG!Y2062=0,"",ORIG!Y2062)</f>
        <v/>
      </c>
      <c r="Z2062" s="3">
        <f>SUMPRODUCT($B2062:$Y2062,$B$2649:$Y$2649)</f>
        <v/>
      </c>
      <c r="AA2062" s="3">
        <f>SUMPRODUCT($B2062:$Y2062,$B$2655:$Y$2655)</f>
        <v/>
      </c>
      <c r="AC2062" s="1">
        <f>A2062</f>
        <v/>
      </c>
      <c r="AD2062">
        <f>IF(ISNUMBER(V2062),V2062*($AB$1/V$2635),"")</f>
        <v/>
      </c>
      <c r="AE2062">
        <f>IF(ISNUMBER(Z2062),Z2062*($AB$1/Z$2635),"")</f>
        <v/>
      </c>
      <c r="AF2062" s="25">
        <f>IF(ISNUMBER(AD2062+AE2062),AD2062+AE2062,"")</f>
        <v/>
      </c>
      <c r="AH2062" s="1">
        <f>A2062</f>
        <v/>
      </c>
      <c r="AI2062">
        <f>IF(ISNUMBER((1+V2062)*AI2061),(1+V2062)*AI2061,AI2061)</f>
        <v/>
      </c>
      <c r="AJ2062">
        <f>IF(ISNUMBER((1+Z2062)*AJ2061),(1+Z2062)*AJ2061,AJ2061)</f>
        <v/>
      </c>
    </row>
    <row r="2063">
      <c r="A2063" s="1" t="n">
        <v>44995</v>
      </c>
      <c r="B2063" s="3">
        <f>IF(ORIG!B2063=0,"",ORIG!B2063)</f>
        <v/>
      </c>
      <c r="C2063" s="3">
        <f>IF(ORIG!C2063=0,"",ORIG!C2063)</f>
        <v/>
      </c>
      <c r="D2063" s="3">
        <f>IF(ORIG!D2063=0,"",ORIG!D2063)</f>
        <v/>
      </c>
      <c r="E2063" s="3">
        <f>IF(ORIG!E2063=0,"",ORIG!E2063)</f>
        <v/>
      </c>
      <c r="F2063" s="3">
        <f>IF(ORIG!F2063=0,"",ORIG!F2063)</f>
        <v/>
      </c>
      <c r="G2063" s="3">
        <f>IF(ORIG!G2063=0,"",ORIG!G2063)</f>
        <v/>
      </c>
      <c r="H2063" s="3">
        <f>IF(ORIG!H2063=0,"",ORIG!H2063)</f>
        <v/>
      </c>
      <c r="I2063" s="3">
        <f>IF(ORIG!I2063=0,"",ORIG!I2063)</f>
        <v/>
      </c>
      <c r="J2063" s="3">
        <f>IF(ORIG!J2063=0,"",ORIG!J2063)</f>
        <v/>
      </c>
      <c r="K2063" s="3">
        <f>IF(ORIG!K2063=0,"",ORIG!K2063)</f>
        <v/>
      </c>
      <c r="L2063" s="3">
        <f>IF(ORIG!L2063=0,"",ORIG!L2063)</f>
        <v/>
      </c>
      <c r="M2063" s="3">
        <f>IF(ORIG!M2063=0,"",ORIG!M2063)</f>
        <v/>
      </c>
      <c r="N2063" s="3">
        <f>IF(ORIG!N2063=0,"",ORIG!N2063)</f>
        <v/>
      </c>
      <c r="O2063" s="3">
        <f>IF(ORIG!O2063=0,"",ORIG!O2063)</f>
        <v/>
      </c>
      <c r="P2063" s="3">
        <f>IF(ORIG!P2063=0,"",ORIG!P2063)</f>
        <v/>
      </c>
      <c r="Q2063" s="3">
        <f>IF(ORIG!Q2063=0,"",ORIG!Q2063)</f>
        <v/>
      </c>
      <c r="R2063" s="3">
        <f>IF(ORIG!R2063=0,"",ORIG!R2063)</f>
        <v/>
      </c>
      <c r="S2063" s="3">
        <f>IF(ORIG!S2063=0,"",ORIG!S2063)</f>
        <v/>
      </c>
      <c r="T2063" s="3">
        <f>IF(ORIG!T2063=0,"",ORIG!T2063)</f>
        <v/>
      </c>
      <c r="U2063" s="3">
        <f>IF(ORIG!U2063=0,"",ORIG!U2063)</f>
        <v/>
      </c>
      <c r="V2063" s="9">
        <f>IF(ORIG!V2063=0,"",ORIG!V2063)</f>
        <v/>
      </c>
      <c r="W2063" s="9">
        <f>IF(ORIG!W2063=0,"",ORIG!W2063)</f>
        <v/>
      </c>
      <c r="X2063" s="9">
        <f>IF(ORIG!X2063=0,"",ORIG!X2063)</f>
        <v/>
      </c>
      <c r="Y2063" s="9">
        <f>IF(ORIG!Y2063=0,"",ORIG!Y2063)</f>
        <v/>
      </c>
      <c r="Z2063" s="3">
        <f>SUMPRODUCT($B2063:$Y2063,$B$2649:$Y$2649)</f>
        <v/>
      </c>
      <c r="AA2063" s="3">
        <f>SUMPRODUCT($B2063:$Y2063,$B$2655:$Y$2655)</f>
        <v/>
      </c>
      <c r="AC2063" s="1">
        <f>A2063</f>
        <v/>
      </c>
      <c r="AD2063">
        <f>IF(ISNUMBER(V2063),V2063*($AB$1/V$2635),"")</f>
        <v/>
      </c>
      <c r="AE2063">
        <f>IF(ISNUMBER(Z2063),Z2063*($AB$1/Z$2635),"")</f>
        <v/>
      </c>
      <c r="AF2063" s="25">
        <f>IF(ISNUMBER(AD2063+AE2063),AD2063+AE2063,"")</f>
        <v/>
      </c>
      <c r="AH2063" s="1">
        <f>A2063</f>
        <v/>
      </c>
      <c r="AI2063">
        <f>IF(ISNUMBER((1+V2063)*AI2062),(1+V2063)*AI2062,AI2062)</f>
        <v/>
      </c>
      <c r="AJ2063">
        <f>IF(ISNUMBER((1+Z2063)*AJ2062),(1+Z2063)*AJ2062,AJ2062)</f>
        <v/>
      </c>
    </row>
    <row r="2064">
      <c r="A2064" s="1" t="n">
        <v>44998</v>
      </c>
      <c r="B2064" s="3">
        <f>IF(ORIG!B2064=0,"",ORIG!B2064)</f>
        <v/>
      </c>
      <c r="C2064" s="3">
        <f>IF(ORIG!C2064=0,"",ORIG!C2064)</f>
        <v/>
      </c>
      <c r="D2064" s="3">
        <f>IF(ORIG!D2064=0,"",ORIG!D2064)</f>
        <v/>
      </c>
      <c r="E2064" s="3">
        <f>IF(ORIG!E2064=0,"",ORIG!E2064)</f>
        <v/>
      </c>
      <c r="F2064" s="3">
        <f>IF(ORIG!F2064=0,"",ORIG!F2064)</f>
        <v/>
      </c>
      <c r="G2064" s="3">
        <f>IF(ORIG!G2064=0,"",ORIG!G2064)</f>
        <v/>
      </c>
      <c r="H2064" s="3">
        <f>IF(ORIG!H2064=0,"",ORIG!H2064)</f>
        <v/>
      </c>
      <c r="I2064" s="3">
        <f>IF(ORIG!I2064=0,"",ORIG!I2064)</f>
        <v/>
      </c>
      <c r="J2064" s="3">
        <f>IF(ORIG!J2064=0,"",ORIG!J2064)</f>
        <v/>
      </c>
      <c r="K2064" s="3">
        <f>IF(ORIG!K2064=0,"",ORIG!K2064)</f>
        <v/>
      </c>
      <c r="L2064" s="3">
        <f>IF(ORIG!L2064=0,"",ORIG!L2064)</f>
        <v/>
      </c>
      <c r="M2064" s="3">
        <f>IF(ORIG!M2064=0,"",ORIG!M2064)</f>
        <v/>
      </c>
      <c r="N2064" s="3">
        <f>IF(ORIG!N2064=0,"",ORIG!N2064)</f>
        <v/>
      </c>
      <c r="O2064" s="3">
        <f>IF(ORIG!O2064=0,"",ORIG!O2064)</f>
        <v/>
      </c>
      <c r="P2064" s="3">
        <f>IF(ORIG!P2064=0,"",ORIG!P2064)</f>
        <v/>
      </c>
      <c r="Q2064" s="3">
        <f>IF(ORIG!Q2064=0,"",ORIG!Q2064)</f>
        <v/>
      </c>
      <c r="R2064" s="3">
        <f>IF(ORIG!R2064=0,"",ORIG!R2064)</f>
        <v/>
      </c>
      <c r="S2064" s="3">
        <f>IF(ORIG!S2064=0,"",ORIG!S2064)</f>
        <v/>
      </c>
      <c r="T2064" s="3">
        <f>IF(ORIG!T2064=0,"",ORIG!T2064)</f>
        <v/>
      </c>
      <c r="U2064" s="3">
        <f>IF(ORIG!U2064=0,"",ORIG!U2064)</f>
        <v/>
      </c>
      <c r="V2064" s="9">
        <f>IF(ORIG!V2064=0,"",ORIG!V2064)</f>
        <v/>
      </c>
      <c r="W2064" s="9">
        <f>IF(ORIG!W2064=0,"",ORIG!W2064)</f>
        <v/>
      </c>
      <c r="X2064" s="9">
        <f>IF(ORIG!X2064=0,"",ORIG!X2064)</f>
        <v/>
      </c>
      <c r="Y2064" s="9">
        <f>IF(ORIG!Y2064=0,"",ORIG!Y2064)</f>
        <v/>
      </c>
      <c r="Z2064" s="3">
        <f>SUMPRODUCT($B2064:$Y2064,$B$2649:$Y$2649)</f>
        <v/>
      </c>
      <c r="AA2064" s="3">
        <f>SUMPRODUCT($B2064:$Y2064,$B$2655:$Y$2655)</f>
        <v/>
      </c>
      <c r="AC2064" s="1">
        <f>A2064</f>
        <v/>
      </c>
      <c r="AD2064">
        <f>IF(ISNUMBER(V2064),V2064*($AB$1/V$2635),"")</f>
        <v/>
      </c>
      <c r="AE2064">
        <f>IF(ISNUMBER(Z2064),Z2064*($AB$1/Z$2635),"")</f>
        <v/>
      </c>
      <c r="AF2064" s="25">
        <f>IF(ISNUMBER(AD2064+AE2064),AD2064+AE2064,"")</f>
        <v/>
      </c>
      <c r="AH2064" s="1">
        <f>A2064</f>
        <v/>
      </c>
      <c r="AI2064">
        <f>IF(ISNUMBER((1+V2064)*AI2063),(1+V2064)*AI2063,AI2063)</f>
        <v/>
      </c>
      <c r="AJ2064">
        <f>IF(ISNUMBER((1+Z2064)*AJ2063),(1+Z2064)*AJ2063,AJ2063)</f>
        <v/>
      </c>
    </row>
    <row r="2065">
      <c r="A2065" s="1" t="n">
        <v>44999</v>
      </c>
      <c r="B2065" s="3">
        <f>IF(ORIG!B2065=0,"",ORIG!B2065)</f>
        <v/>
      </c>
      <c r="C2065" s="3">
        <f>IF(ORIG!C2065=0,"",ORIG!C2065)</f>
        <v/>
      </c>
      <c r="D2065" s="3">
        <f>IF(ORIG!D2065=0,"",ORIG!D2065)</f>
        <v/>
      </c>
      <c r="E2065" s="3">
        <f>IF(ORIG!E2065=0,"",ORIG!E2065)</f>
        <v/>
      </c>
      <c r="F2065" s="3">
        <f>IF(ORIG!F2065=0,"",ORIG!F2065)</f>
        <v/>
      </c>
      <c r="G2065" s="3">
        <f>IF(ORIG!G2065=0,"",ORIG!G2065)</f>
        <v/>
      </c>
      <c r="H2065" s="3">
        <f>IF(ORIG!H2065=0,"",ORIG!H2065)</f>
        <v/>
      </c>
      <c r="I2065" s="3">
        <f>IF(ORIG!I2065=0,"",ORIG!I2065)</f>
        <v/>
      </c>
      <c r="J2065" s="3">
        <f>IF(ORIG!J2065=0,"",ORIG!J2065)</f>
        <v/>
      </c>
      <c r="K2065" s="3">
        <f>IF(ORIG!K2065=0,"",ORIG!K2065)</f>
        <v/>
      </c>
      <c r="L2065" s="3">
        <f>IF(ORIG!L2065=0,"",ORIG!L2065)</f>
        <v/>
      </c>
      <c r="M2065" s="3">
        <f>IF(ORIG!M2065=0,"",ORIG!M2065)</f>
        <v/>
      </c>
      <c r="N2065" s="3">
        <f>IF(ORIG!N2065=0,"",ORIG!N2065)</f>
        <v/>
      </c>
      <c r="O2065" s="3">
        <f>IF(ORIG!O2065=0,"",ORIG!O2065)</f>
        <v/>
      </c>
      <c r="P2065" s="3">
        <f>IF(ORIG!P2065=0,"",ORIG!P2065)</f>
        <v/>
      </c>
      <c r="Q2065" s="3">
        <f>IF(ORIG!Q2065=0,"",ORIG!Q2065)</f>
        <v/>
      </c>
      <c r="R2065" s="3">
        <f>IF(ORIG!R2065=0,"",ORIG!R2065)</f>
        <v/>
      </c>
      <c r="S2065" s="3">
        <f>IF(ORIG!S2065=0,"",ORIG!S2065)</f>
        <v/>
      </c>
      <c r="T2065" s="3">
        <f>IF(ORIG!T2065=0,"",ORIG!T2065)</f>
        <v/>
      </c>
      <c r="U2065" s="3">
        <f>IF(ORIG!U2065=0,"",ORIG!U2065)</f>
        <v/>
      </c>
      <c r="V2065" s="9">
        <f>IF(ORIG!V2065=0,"",ORIG!V2065)</f>
        <v/>
      </c>
      <c r="W2065" s="9">
        <f>IF(ORIG!W2065=0,"",ORIG!W2065)</f>
        <v/>
      </c>
      <c r="X2065" s="9">
        <f>IF(ORIG!X2065=0,"",ORIG!X2065)</f>
        <v/>
      </c>
      <c r="Y2065" s="9">
        <f>IF(ORIG!Y2065=0,"",ORIG!Y2065)</f>
        <v/>
      </c>
      <c r="Z2065" s="3">
        <f>SUMPRODUCT($B2065:$Y2065,$B$2649:$Y$2649)</f>
        <v/>
      </c>
      <c r="AA2065" s="3">
        <f>SUMPRODUCT($B2065:$Y2065,$B$2655:$Y$2655)</f>
        <v/>
      </c>
      <c r="AC2065" s="1">
        <f>A2065</f>
        <v/>
      </c>
      <c r="AD2065">
        <f>IF(ISNUMBER(V2065),V2065*($AB$1/V$2635),"")</f>
        <v/>
      </c>
      <c r="AE2065">
        <f>IF(ISNUMBER(Z2065),Z2065*($AB$1/Z$2635),"")</f>
        <v/>
      </c>
      <c r="AF2065" s="25">
        <f>IF(ISNUMBER(AD2065+AE2065),AD2065+AE2065,"")</f>
        <v/>
      </c>
      <c r="AH2065" s="1">
        <f>A2065</f>
        <v/>
      </c>
      <c r="AI2065">
        <f>IF(ISNUMBER((1+V2065)*AI2064),(1+V2065)*AI2064,AI2064)</f>
        <v/>
      </c>
      <c r="AJ2065">
        <f>IF(ISNUMBER((1+Z2065)*AJ2064),(1+Z2065)*AJ2064,AJ2064)</f>
        <v/>
      </c>
    </row>
    <row r="2066">
      <c r="A2066" s="1" t="n">
        <v>45000</v>
      </c>
      <c r="B2066" s="3">
        <f>IF(ORIG!B2066=0,"",ORIG!B2066)</f>
        <v/>
      </c>
      <c r="C2066" s="3">
        <f>IF(ORIG!C2066=0,"",ORIG!C2066)</f>
        <v/>
      </c>
      <c r="D2066" s="3">
        <f>IF(ORIG!D2066=0,"",ORIG!D2066)</f>
        <v/>
      </c>
      <c r="E2066" s="3">
        <f>IF(ORIG!E2066=0,"",ORIG!E2066)</f>
        <v/>
      </c>
      <c r="F2066" s="3">
        <f>IF(ORIG!F2066=0,"",ORIG!F2066)</f>
        <v/>
      </c>
      <c r="G2066" s="3">
        <f>IF(ORIG!G2066=0,"",ORIG!G2066)</f>
        <v/>
      </c>
      <c r="H2066" s="3">
        <f>IF(ORIG!H2066=0,"",ORIG!H2066)</f>
        <v/>
      </c>
      <c r="I2066" s="3">
        <f>IF(ORIG!I2066=0,"",ORIG!I2066)</f>
        <v/>
      </c>
      <c r="J2066" s="3">
        <f>IF(ORIG!J2066=0,"",ORIG!J2066)</f>
        <v/>
      </c>
      <c r="K2066" s="3">
        <f>IF(ORIG!K2066=0,"",ORIG!K2066)</f>
        <v/>
      </c>
      <c r="L2066" s="3">
        <f>IF(ORIG!L2066=0,"",ORIG!L2066)</f>
        <v/>
      </c>
      <c r="M2066" s="3">
        <f>IF(ORIG!M2066=0,"",ORIG!M2066)</f>
        <v/>
      </c>
      <c r="N2066" s="3">
        <f>IF(ORIG!N2066=0,"",ORIG!N2066)</f>
        <v/>
      </c>
      <c r="O2066" s="3">
        <f>IF(ORIG!O2066=0,"",ORIG!O2066)</f>
        <v/>
      </c>
      <c r="P2066" s="3">
        <f>IF(ORIG!P2066=0,"",ORIG!P2066)</f>
        <v/>
      </c>
      <c r="Q2066" s="3">
        <f>IF(ORIG!Q2066=0,"",ORIG!Q2066)</f>
        <v/>
      </c>
      <c r="R2066" s="3">
        <f>IF(ORIG!R2066=0,"",ORIG!R2066)</f>
        <v/>
      </c>
      <c r="S2066" s="3">
        <f>IF(ORIG!S2066=0,"",ORIG!S2066)</f>
        <v/>
      </c>
      <c r="T2066" s="3">
        <f>IF(ORIG!T2066=0,"",ORIG!T2066)</f>
        <v/>
      </c>
      <c r="U2066" s="3">
        <f>IF(ORIG!U2066=0,"",ORIG!U2066)</f>
        <v/>
      </c>
      <c r="V2066" s="9">
        <f>IF(ORIG!V2066=0,"",ORIG!V2066)</f>
        <v/>
      </c>
      <c r="W2066" s="9">
        <f>IF(ORIG!W2066=0,"",ORIG!W2066)</f>
        <v/>
      </c>
      <c r="X2066" s="9">
        <f>IF(ORIG!X2066=0,"",ORIG!X2066)</f>
        <v/>
      </c>
      <c r="Y2066" s="9">
        <f>IF(ORIG!Y2066=0,"",ORIG!Y2066)</f>
        <v/>
      </c>
      <c r="Z2066" s="3">
        <f>SUMPRODUCT($B2066:$Y2066,$B$2649:$Y$2649)</f>
        <v/>
      </c>
      <c r="AA2066" s="3">
        <f>SUMPRODUCT($B2066:$Y2066,$B$2655:$Y$2655)</f>
        <v/>
      </c>
      <c r="AC2066" s="1">
        <f>A2066</f>
        <v/>
      </c>
      <c r="AD2066">
        <f>IF(ISNUMBER(V2066),V2066*($AB$1/V$2635),"")</f>
        <v/>
      </c>
      <c r="AE2066">
        <f>IF(ISNUMBER(Z2066),Z2066*($AB$1/Z$2635),"")</f>
        <v/>
      </c>
      <c r="AF2066" s="25">
        <f>IF(ISNUMBER(AD2066+AE2066),AD2066+AE2066,"")</f>
        <v/>
      </c>
      <c r="AH2066" s="1">
        <f>A2066</f>
        <v/>
      </c>
      <c r="AI2066">
        <f>IF(ISNUMBER((1+V2066)*AI2065),(1+V2066)*AI2065,AI2065)</f>
        <v/>
      </c>
      <c r="AJ2066">
        <f>IF(ISNUMBER((1+Z2066)*AJ2065),(1+Z2066)*AJ2065,AJ2065)</f>
        <v/>
      </c>
    </row>
    <row r="2067">
      <c r="A2067" s="1" t="n">
        <v>45001</v>
      </c>
      <c r="B2067" s="3">
        <f>IF(ORIG!B2067=0,"",ORIG!B2067)</f>
        <v/>
      </c>
      <c r="C2067" s="3">
        <f>IF(ORIG!C2067=0,"",ORIG!C2067)</f>
        <v/>
      </c>
      <c r="D2067" s="3">
        <f>IF(ORIG!D2067=0,"",ORIG!D2067)</f>
        <v/>
      </c>
      <c r="E2067" s="3">
        <f>IF(ORIG!E2067=0,"",ORIG!E2067)</f>
        <v/>
      </c>
      <c r="F2067" s="3">
        <f>IF(ORIG!F2067=0,"",ORIG!F2067)</f>
        <v/>
      </c>
      <c r="G2067" s="3">
        <f>IF(ORIG!G2067=0,"",ORIG!G2067)</f>
        <v/>
      </c>
      <c r="H2067" s="3">
        <f>IF(ORIG!H2067=0,"",ORIG!H2067)</f>
        <v/>
      </c>
      <c r="I2067" s="3">
        <f>IF(ORIG!I2067=0,"",ORIG!I2067)</f>
        <v/>
      </c>
      <c r="J2067" s="3">
        <f>IF(ORIG!J2067=0,"",ORIG!J2067)</f>
        <v/>
      </c>
      <c r="K2067" s="3">
        <f>IF(ORIG!K2067=0,"",ORIG!K2067)</f>
        <v/>
      </c>
      <c r="L2067" s="3">
        <f>IF(ORIG!L2067=0,"",ORIG!L2067)</f>
        <v/>
      </c>
      <c r="M2067" s="3">
        <f>IF(ORIG!M2067=0,"",ORIG!M2067)</f>
        <v/>
      </c>
      <c r="N2067" s="3">
        <f>IF(ORIG!N2067=0,"",ORIG!N2067)</f>
        <v/>
      </c>
      <c r="O2067" s="3">
        <f>IF(ORIG!O2067=0,"",ORIG!O2067)</f>
        <v/>
      </c>
      <c r="P2067" s="3">
        <f>IF(ORIG!P2067=0,"",ORIG!P2067)</f>
        <v/>
      </c>
      <c r="Q2067" s="3">
        <f>IF(ORIG!Q2067=0,"",ORIG!Q2067)</f>
        <v/>
      </c>
      <c r="R2067" s="3">
        <f>IF(ORIG!R2067=0,"",ORIG!R2067)</f>
        <v/>
      </c>
      <c r="S2067" s="3">
        <f>IF(ORIG!S2067=0,"",ORIG!S2067)</f>
        <v/>
      </c>
      <c r="T2067" s="3">
        <f>IF(ORIG!T2067=0,"",ORIG!T2067)</f>
        <v/>
      </c>
      <c r="U2067" s="3">
        <f>IF(ORIG!U2067=0,"",ORIG!U2067)</f>
        <v/>
      </c>
      <c r="V2067" s="9">
        <f>IF(ORIG!V2067=0,"",ORIG!V2067)</f>
        <v/>
      </c>
      <c r="W2067" s="9">
        <f>IF(ORIG!W2067=0,"",ORIG!W2067)</f>
        <v/>
      </c>
      <c r="X2067" s="9">
        <f>IF(ORIG!X2067=0,"",ORIG!X2067)</f>
        <v/>
      </c>
      <c r="Y2067" s="9">
        <f>IF(ORIG!Y2067=0,"",ORIG!Y2067)</f>
        <v/>
      </c>
      <c r="Z2067" s="3">
        <f>SUMPRODUCT($B2067:$Y2067,$B$2649:$Y$2649)</f>
        <v/>
      </c>
      <c r="AA2067" s="3">
        <f>SUMPRODUCT($B2067:$Y2067,$B$2655:$Y$2655)</f>
        <v/>
      </c>
      <c r="AC2067" s="1">
        <f>A2067</f>
        <v/>
      </c>
      <c r="AD2067">
        <f>IF(ISNUMBER(V2067),V2067*($AB$1/V$2635),"")</f>
        <v/>
      </c>
      <c r="AE2067">
        <f>IF(ISNUMBER(Z2067),Z2067*($AB$1/Z$2635),"")</f>
        <v/>
      </c>
      <c r="AF2067" s="25">
        <f>IF(ISNUMBER(AD2067+AE2067),AD2067+AE2067,"")</f>
        <v/>
      </c>
      <c r="AH2067" s="1">
        <f>A2067</f>
        <v/>
      </c>
      <c r="AI2067">
        <f>IF(ISNUMBER((1+V2067)*AI2066),(1+V2067)*AI2066,AI2066)</f>
        <v/>
      </c>
      <c r="AJ2067">
        <f>IF(ISNUMBER((1+Z2067)*AJ2066),(1+Z2067)*AJ2066,AJ2066)</f>
        <v/>
      </c>
    </row>
    <row r="2068">
      <c r="A2068" s="1" t="n">
        <v>45002</v>
      </c>
      <c r="B2068" s="3">
        <f>IF(ORIG!B2068=0,"",ORIG!B2068)</f>
        <v/>
      </c>
      <c r="C2068" s="3">
        <f>IF(ORIG!C2068=0,"",ORIG!C2068)</f>
        <v/>
      </c>
      <c r="D2068" s="3">
        <f>IF(ORIG!D2068=0,"",ORIG!D2068)</f>
        <v/>
      </c>
      <c r="E2068" s="3">
        <f>IF(ORIG!E2068=0,"",ORIG!E2068)</f>
        <v/>
      </c>
      <c r="F2068" s="3">
        <f>IF(ORIG!F2068=0,"",ORIG!F2068)</f>
        <v/>
      </c>
      <c r="G2068" s="3">
        <f>IF(ORIG!G2068=0,"",ORIG!G2068)</f>
        <v/>
      </c>
      <c r="H2068" s="3">
        <f>IF(ORIG!H2068=0,"",ORIG!H2068)</f>
        <v/>
      </c>
      <c r="I2068" s="3">
        <f>IF(ORIG!I2068=0,"",ORIG!I2068)</f>
        <v/>
      </c>
      <c r="J2068" s="3">
        <f>IF(ORIG!J2068=0,"",ORIG!J2068)</f>
        <v/>
      </c>
      <c r="K2068" s="3">
        <f>IF(ORIG!K2068=0,"",ORIG!K2068)</f>
        <v/>
      </c>
      <c r="L2068" s="3">
        <f>IF(ORIG!L2068=0,"",ORIG!L2068)</f>
        <v/>
      </c>
      <c r="M2068" s="3">
        <f>IF(ORIG!M2068=0,"",ORIG!M2068)</f>
        <v/>
      </c>
      <c r="N2068" s="3">
        <f>IF(ORIG!N2068=0,"",ORIG!N2068)</f>
        <v/>
      </c>
      <c r="O2068" s="3">
        <f>IF(ORIG!O2068=0,"",ORIG!O2068)</f>
        <v/>
      </c>
      <c r="P2068" s="3">
        <f>IF(ORIG!P2068=0,"",ORIG!P2068)</f>
        <v/>
      </c>
      <c r="Q2068" s="3">
        <f>IF(ORIG!Q2068=0,"",ORIG!Q2068)</f>
        <v/>
      </c>
      <c r="R2068" s="3">
        <f>IF(ORIG!R2068=0,"",ORIG!R2068)</f>
        <v/>
      </c>
      <c r="S2068" s="3">
        <f>IF(ORIG!S2068=0,"",ORIG!S2068)</f>
        <v/>
      </c>
      <c r="T2068" s="3">
        <f>IF(ORIG!T2068=0,"",ORIG!T2068)</f>
        <v/>
      </c>
      <c r="U2068" s="3">
        <f>IF(ORIG!U2068=0,"",ORIG!U2068)</f>
        <v/>
      </c>
      <c r="V2068" s="9">
        <f>IF(ORIG!V2068=0,"",ORIG!V2068)</f>
        <v/>
      </c>
      <c r="W2068" s="9">
        <f>IF(ORIG!W2068=0,"",ORIG!W2068)</f>
        <v/>
      </c>
      <c r="X2068" s="9">
        <f>IF(ORIG!X2068=0,"",ORIG!X2068)</f>
        <v/>
      </c>
      <c r="Y2068" s="9">
        <f>IF(ORIG!Y2068=0,"",ORIG!Y2068)</f>
        <v/>
      </c>
      <c r="Z2068" s="3">
        <f>SUMPRODUCT($B2068:$Y2068,$B$2649:$Y$2649)</f>
        <v/>
      </c>
      <c r="AA2068" s="3">
        <f>SUMPRODUCT($B2068:$Y2068,$B$2655:$Y$2655)</f>
        <v/>
      </c>
      <c r="AC2068" s="1">
        <f>A2068</f>
        <v/>
      </c>
      <c r="AD2068">
        <f>IF(ISNUMBER(V2068),V2068*($AB$1/V$2635),"")</f>
        <v/>
      </c>
      <c r="AE2068">
        <f>IF(ISNUMBER(Z2068),Z2068*($AB$1/Z$2635),"")</f>
        <v/>
      </c>
      <c r="AF2068" s="25">
        <f>IF(ISNUMBER(AD2068+AE2068),AD2068+AE2068,"")</f>
        <v/>
      </c>
      <c r="AH2068" s="1">
        <f>A2068</f>
        <v/>
      </c>
      <c r="AI2068">
        <f>IF(ISNUMBER((1+V2068)*AI2067),(1+V2068)*AI2067,AI2067)</f>
        <v/>
      </c>
      <c r="AJ2068">
        <f>IF(ISNUMBER((1+Z2068)*AJ2067),(1+Z2068)*AJ2067,AJ2067)</f>
        <v/>
      </c>
    </row>
    <row r="2069">
      <c r="A2069" s="1" t="n">
        <v>45005</v>
      </c>
      <c r="B2069" s="3">
        <f>IF(ORIG!B2069=0,"",ORIG!B2069)</f>
        <v/>
      </c>
      <c r="C2069" s="3">
        <f>IF(ORIG!C2069=0,"",ORIG!C2069)</f>
        <v/>
      </c>
      <c r="D2069" s="3">
        <f>IF(ORIG!D2069=0,"",ORIG!D2069)</f>
        <v/>
      </c>
      <c r="E2069" s="3">
        <f>IF(ORIG!E2069=0,"",ORIG!E2069)</f>
        <v/>
      </c>
      <c r="F2069" s="3">
        <f>IF(ORIG!F2069=0,"",ORIG!F2069)</f>
        <v/>
      </c>
      <c r="G2069" s="3">
        <f>IF(ORIG!G2069=0,"",ORIG!G2069)</f>
        <v/>
      </c>
      <c r="H2069" s="3">
        <f>IF(ORIG!H2069=0,"",ORIG!H2069)</f>
        <v/>
      </c>
      <c r="I2069" s="3">
        <f>IF(ORIG!I2069=0,"",ORIG!I2069)</f>
        <v/>
      </c>
      <c r="J2069" s="3">
        <f>IF(ORIG!J2069=0,"",ORIG!J2069)</f>
        <v/>
      </c>
      <c r="K2069" s="3">
        <f>IF(ORIG!K2069=0,"",ORIG!K2069)</f>
        <v/>
      </c>
      <c r="L2069" s="3">
        <f>IF(ORIG!L2069=0,"",ORIG!L2069)</f>
        <v/>
      </c>
      <c r="M2069" s="3">
        <f>IF(ORIG!M2069=0,"",ORIG!M2069)</f>
        <v/>
      </c>
      <c r="N2069" s="3">
        <f>IF(ORIG!N2069=0,"",ORIG!N2069)</f>
        <v/>
      </c>
      <c r="O2069" s="3">
        <f>IF(ORIG!O2069=0,"",ORIG!O2069)</f>
        <v/>
      </c>
      <c r="P2069" s="3">
        <f>IF(ORIG!P2069=0,"",ORIG!P2069)</f>
        <v/>
      </c>
      <c r="Q2069" s="3">
        <f>IF(ORIG!Q2069=0,"",ORIG!Q2069)</f>
        <v/>
      </c>
      <c r="R2069" s="3">
        <f>IF(ORIG!R2069=0,"",ORIG!R2069)</f>
        <v/>
      </c>
      <c r="S2069" s="3">
        <f>IF(ORIG!S2069=0,"",ORIG!S2069)</f>
        <v/>
      </c>
      <c r="T2069" s="3">
        <f>IF(ORIG!T2069=0,"",ORIG!T2069)</f>
        <v/>
      </c>
      <c r="U2069" s="3">
        <f>IF(ORIG!U2069=0,"",ORIG!U2069)</f>
        <v/>
      </c>
      <c r="V2069" s="9">
        <f>IF(ORIG!V2069=0,"",ORIG!V2069)</f>
        <v/>
      </c>
      <c r="W2069" s="9">
        <f>IF(ORIG!W2069=0,"",ORIG!W2069)</f>
        <v/>
      </c>
      <c r="X2069" s="9">
        <f>IF(ORIG!X2069=0,"",ORIG!X2069)</f>
        <v/>
      </c>
      <c r="Y2069" s="9">
        <f>IF(ORIG!Y2069=0,"",ORIG!Y2069)</f>
        <v/>
      </c>
      <c r="Z2069" s="3">
        <f>SUMPRODUCT($B2069:$Y2069,$B$2649:$Y$2649)</f>
        <v/>
      </c>
      <c r="AA2069" s="3">
        <f>SUMPRODUCT($B2069:$Y2069,$B$2655:$Y$2655)</f>
        <v/>
      </c>
      <c r="AC2069" s="1">
        <f>A2069</f>
        <v/>
      </c>
      <c r="AD2069">
        <f>IF(ISNUMBER(V2069),V2069*($AB$1/V$2635),"")</f>
        <v/>
      </c>
      <c r="AE2069">
        <f>IF(ISNUMBER(Z2069),Z2069*($AB$1/Z$2635),"")</f>
        <v/>
      </c>
      <c r="AF2069" s="25">
        <f>IF(ISNUMBER(AD2069+AE2069),AD2069+AE2069,"")</f>
        <v/>
      </c>
      <c r="AH2069" s="1">
        <f>A2069</f>
        <v/>
      </c>
      <c r="AI2069">
        <f>IF(ISNUMBER((1+V2069)*AI2068),(1+V2069)*AI2068,AI2068)</f>
        <v/>
      </c>
      <c r="AJ2069">
        <f>IF(ISNUMBER((1+Z2069)*AJ2068),(1+Z2069)*AJ2068,AJ2068)</f>
        <v/>
      </c>
    </row>
    <row r="2070">
      <c r="A2070" s="1" t="n">
        <v>45006</v>
      </c>
      <c r="B2070" s="3">
        <f>IF(ORIG!B2070=0,"",ORIG!B2070)</f>
        <v/>
      </c>
      <c r="C2070" s="3">
        <f>IF(ORIG!C2070=0,"",ORIG!C2070)</f>
        <v/>
      </c>
      <c r="D2070" s="3">
        <f>IF(ORIG!D2070=0,"",ORIG!D2070)</f>
        <v/>
      </c>
      <c r="E2070" s="3">
        <f>IF(ORIG!E2070=0,"",ORIG!E2070)</f>
        <v/>
      </c>
      <c r="F2070" s="3">
        <f>IF(ORIG!F2070=0,"",ORIG!F2070)</f>
        <v/>
      </c>
      <c r="G2070" s="3">
        <f>IF(ORIG!G2070=0,"",ORIG!G2070)</f>
        <v/>
      </c>
      <c r="H2070" s="3">
        <f>IF(ORIG!H2070=0,"",ORIG!H2070)</f>
        <v/>
      </c>
      <c r="I2070" s="3">
        <f>IF(ORIG!I2070=0,"",ORIG!I2070)</f>
        <v/>
      </c>
      <c r="J2070" s="3">
        <f>IF(ORIG!J2070=0,"",ORIG!J2070)</f>
        <v/>
      </c>
      <c r="K2070" s="3">
        <f>IF(ORIG!K2070=0,"",ORIG!K2070)</f>
        <v/>
      </c>
      <c r="L2070" s="3">
        <f>IF(ORIG!L2070=0,"",ORIG!L2070)</f>
        <v/>
      </c>
      <c r="M2070" s="3">
        <f>IF(ORIG!M2070=0,"",ORIG!M2070)</f>
        <v/>
      </c>
      <c r="N2070" s="3">
        <f>IF(ORIG!N2070=0,"",ORIG!N2070)</f>
        <v/>
      </c>
      <c r="O2070" s="3">
        <f>IF(ORIG!O2070=0,"",ORIG!O2070)</f>
        <v/>
      </c>
      <c r="P2070" s="3">
        <f>IF(ORIG!P2070=0,"",ORIG!P2070)</f>
        <v/>
      </c>
      <c r="Q2070" s="3">
        <f>IF(ORIG!Q2070=0,"",ORIG!Q2070)</f>
        <v/>
      </c>
      <c r="R2070" s="3">
        <f>IF(ORIG!R2070=0,"",ORIG!R2070)</f>
        <v/>
      </c>
      <c r="S2070" s="3">
        <f>IF(ORIG!S2070=0,"",ORIG!S2070)</f>
        <v/>
      </c>
      <c r="T2070" s="3">
        <f>IF(ORIG!T2070=0,"",ORIG!T2070)</f>
        <v/>
      </c>
      <c r="U2070" s="3">
        <f>IF(ORIG!U2070=0,"",ORIG!U2070)</f>
        <v/>
      </c>
      <c r="V2070" s="9">
        <f>IF(ORIG!V2070=0,"",ORIG!V2070)</f>
        <v/>
      </c>
      <c r="W2070" s="9">
        <f>IF(ORIG!W2070=0,"",ORIG!W2070)</f>
        <v/>
      </c>
      <c r="X2070" s="9">
        <f>IF(ORIG!X2070=0,"",ORIG!X2070)</f>
        <v/>
      </c>
      <c r="Y2070" s="9">
        <f>IF(ORIG!Y2070=0,"",ORIG!Y2070)</f>
        <v/>
      </c>
      <c r="Z2070" s="3">
        <f>SUMPRODUCT($B2070:$Y2070,$B$2649:$Y$2649)</f>
        <v/>
      </c>
      <c r="AA2070" s="3">
        <f>SUMPRODUCT($B2070:$Y2070,$B$2655:$Y$2655)</f>
        <v/>
      </c>
      <c r="AC2070" s="1">
        <f>A2070</f>
        <v/>
      </c>
      <c r="AD2070">
        <f>IF(ISNUMBER(V2070),V2070*($AB$1/V$2635),"")</f>
        <v/>
      </c>
      <c r="AE2070">
        <f>IF(ISNUMBER(Z2070),Z2070*($AB$1/Z$2635),"")</f>
        <v/>
      </c>
      <c r="AF2070" s="25">
        <f>IF(ISNUMBER(AD2070+AE2070),AD2070+AE2070,"")</f>
        <v/>
      </c>
      <c r="AH2070" s="1">
        <f>A2070</f>
        <v/>
      </c>
      <c r="AI2070">
        <f>IF(ISNUMBER((1+V2070)*AI2069),(1+V2070)*AI2069,AI2069)</f>
        <v/>
      </c>
      <c r="AJ2070">
        <f>IF(ISNUMBER((1+Z2070)*AJ2069),(1+Z2070)*AJ2069,AJ2069)</f>
        <v/>
      </c>
    </row>
    <row r="2071">
      <c r="A2071" s="1" t="n">
        <v>45007</v>
      </c>
      <c r="B2071" s="3">
        <f>IF(ORIG!B2071=0,"",ORIG!B2071)</f>
        <v/>
      </c>
      <c r="C2071" s="3">
        <f>IF(ORIG!C2071=0,"",ORIG!C2071)</f>
        <v/>
      </c>
      <c r="D2071" s="3">
        <f>IF(ORIG!D2071=0,"",ORIG!D2071)</f>
        <v/>
      </c>
      <c r="E2071" s="3">
        <f>IF(ORIG!E2071=0,"",ORIG!E2071)</f>
        <v/>
      </c>
      <c r="F2071" s="3">
        <f>IF(ORIG!F2071=0,"",ORIG!F2071)</f>
        <v/>
      </c>
      <c r="G2071" s="3">
        <f>IF(ORIG!G2071=0,"",ORIG!G2071)</f>
        <v/>
      </c>
      <c r="H2071" s="3">
        <f>IF(ORIG!H2071=0,"",ORIG!H2071)</f>
        <v/>
      </c>
      <c r="I2071" s="3">
        <f>IF(ORIG!I2071=0,"",ORIG!I2071)</f>
        <v/>
      </c>
      <c r="J2071" s="3">
        <f>IF(ORIG!J2071=0,"",ORIG!J2071)</f>
        <v/>
      </c>
      <c r="K2071" s="3">
        <f>IF(ORIG!K2071=0,"",ORIG!K2071)</f>
        <v/>
      </c>
      <c r="L2071" s="3">
        <f>IF(ORIG!L2071=0,"",ORIG!L2071)</f>
        <v/>
      </c>
      <c r="M2071" s="3">
        <f>IF(ORIG!M2071=0,"",ORIG!M2071)</f>
        <v/>
      </c>
      <c r="N2071" s="3">
        <f>IF(ORIG!N2071=0,"",ORIG!N2071)</f>
        <v/>
      </c>
      <c r="O2071" s="3">
        <f>IF(ORIG!O2071=0,"",ORIG!O2071)</f>
        <v/>
      </c>
      <c r="P2071" s="3">
        <f>IF(ORIG!P2071=0,"",ORIG!P2071)</f>
        <v/>
      </c>
      <c r="Q2071" s="3">
        <f>IF(ORIG!Q2071=0,"",ORIG!Q2071)</f>
        <v/>
      </c>
      <c r="R2071" s="3">
        <f>IF(ORIG!R2071=0,"",ORIG!R2071)</f>
        <v/>
      </c>
      <c r="S2071" s="3">
        <f>IF(ORIG!S2071=0,"",ORIG!S2071)</f>
        <v/>
      </c>
      <c r="T2071" s="3">
        <f>IF(ORIG!T2071=0,"",ORIG!T2071)</f>
        <v/>
      </c>
      <c r="U2071" s="3">
        <f>IF(ORIG!U2071=0,"",ORIG!U2071)</f>
        <v/>
      </c>
      <c r="V2071" s="9">
        <f>IF(ORIG!V2071=0,"",ORIG!V2071)</f>
        <v/>
      </c>
      <c r="W2071" s="9">
        <f>IF(ORIG!W2071=0,"",ORIG!W2071)</f>
        <v/>
      </c>
      <c r="X2071" s="9">
        <f>IF(ORIG!X2071=0,"",ORIG!X2071)</f>
        <v/>
      </c>
      <c r="Y2071" s="9">
        <f>IF(ORIG!Y2071=0,"",ORIG!Y2071)</f>
        <v/>
      </c>
      <c r="Z2071" s="3">
        <f>SUMPRODUCT($B2071:$Y2071,$B$2649:$Y$2649)</f>
        <v/>
      </c>
      <c r="AA2071" s="3">
        <f>SUMPRODUCT($B2071:$Y2071,$B$2655:$Y$2655)</f>
        <v/>
      </c>
      <c r="AC2071" s="1">
        <f>A2071</f>
        <v/>
      </c>
      <c r="AD2071">
        <f>IF(ISNUMBER(V2071),V2071*($AB$1/V$2635),"")</f>
        <v/>
      </c>
      <c r="AE2071">
        <f>IF(ISNUMBER(Z2071),Z2071*($AB$1/Z$2635),"")</f>
        <v/>
      </c>
      <c r="AF2071" s="25">
        <f>IF(ISNUMBER(AD2071+AE2071),AD2071+AE2071,"")</f>
        <v/>
      </c>
      <c r="AH2071" s="1">
        <f>A2071</f>
        <v/>
      </c>
      <c r="AI2071">
        <f>IF(ISNUMBER((1+V2071)*AI2070),(1+V2071)*AI2070,AI2070)</f>
        <v/>
      </c>
      <c r="AJ2071">
        <f>IF(ISNUMBER((1+Z2071)*AJ2070),(1+Z2071)*AJ2070,AJ2070)</f>
        <v/>
      </c>
    </row>
    <row r="2072">
      <c r="A2072" s="1" t="n">
        <v>45008</v>
      </c>
      <c r="B2072" s="3">
        <f>IF(ORIG!B2072=0,"",ORIG!B2072)</f>
        <v/>
      </c>
      <c r="C2072" s="3">
        <f>IF(ORIG!C2072=0,"",ORIG!C2072)</f>
        <v/>
      </c>
      <c r="D2072" s="3">
        <f>IF(ORIG!D2072=0,"",ORIG!D2072)</f>
        <v/>
      </c>
      <c r="E2072" s="3">
        <f>IF(ORIG!E2072=0,"",ORIG!E2072)</f>
        <v/>
      </c>
      <c r="F2072" s="3">
        <f>IF(ORIG!F2072=0,"",ORIG!F2072)</f>
        <v/>
      </c>
      <c r="G2072" s="3">
        <f>IF(ORIG!G2072=0,"",ORIG!G2072)</f>
        <v/>
      </c>
      <c r="H2072" s="3">
        <f>IF(ORIG!H2072=0,"",ORIG!H2072)</f>
        <v/>
      </c>
      <c r="I2072" s="3">
        <f>IF(ORIG!I2072=0,"",ORIG!I2072)</f>
        <v/>
      </c>
      <c r="J2072" s="3">
        <f>IF(ORIG!J2072=0,"",ORIG!J2072)</f>
        <v/>
      </c>
      <c r="K2072" s="3">
        <f>IF(ORIG!K2072=0,"",ORIG!K2072)</f>
        <v/>
      </c>
      <c r="L2072" s="3">
        <f>IF(ORIG!L2072=0,"",ORIG!L2072)</f>
        <v/>
      </c>
      <c r="M2072" s="3">
        <f>IF(ORIG!M2072=0,"",ORIG!M2072)</f>
        <v/>
      </c>
      <c r="N2072" s="3">
        <f>IF(ORIG!N2072=0,"",ORIG!N2072)</f>
        <v/>
      </c>
      <c r="O2072" s="3">
        <f>IF(ORIG!O2072=0,"",ORIG!O2072)</f>
        <v/>
      </c>
      <c r="P2072" s="3">
        <f>IF(ORIG!P2072=0,"",ORIG!P2072)</f>
        <v/>
      </c>
      <c r="Q2072" s="3">
        <f>IF(ORIG!Q2072=0,"",ORIG!Q2072)</f>
        <v/>
      </c>
      <c r="R2072" s="3">
        <f>IF(ORIG!R2072=0,"",ORIG!R2072)</f>
        <v/>
      </c>
      <c r="S2072" s="3">
        <f>IF(ORIG!S2072=0,"",ORIG!S2072)</f>
        <v/>
      </c>
      <c r="T2072" s="3">
        <f>IF(ORIG!T2072=0,"",ORIG!T2072)</f>
        <v/>
      </c>
      <c r="U2072" s="3">
        <f>IF(ORIG!U2072=0,"",ORIG!U2072)</f>
        <v/>
      </c>
      <c r="V2072" s="9">
        <f>IF(ORIG!V2072=0,"",ORIG!V2072)</f>
        <v/>
      </c>
      <c r="W2072" s="9">
        <f>IF(ORIG!W2072=0,"",ORIG!W2072)</f>
        <v/>
      </c>
      <c r="X2072" s="9">
        <f>IF(ORIG!X2072=0,"",ORIG!X2072)</f>
        <v/>
      </c>
      <c r="Y2072" s="9">
        <f>IF(ORIG!Y2072=0,"",ORIG!Y2072)</f>
        <v/>
      </c>
      <c r="Z2072" s="3">
        <f>SUMPRODUCT($B2072:$Y2072,$B$2649:$Y$2649)</f>
        <v/>
      </c>
      <c r="AA2072" s="3">
        <f>SUMPRODUCT($B2072:$Y2072,$B$2655:$Y$2655)</f>
        <v/>
      </c>
      <c r="AC2072" s="1">
        <f>A2072</f>
        <v/>
      </c>
      <c r="AD2072">
        <f>IF(ISNUMBER(V2072),V2072*($AB$1/V$2635),"")</f>
        <v/>
      </c>
      <c r="AE2072">
        <f>IF(ISNUMBER(Z2072),Z2072*($AB$1/Z$2635),"")</f>
        <v/>
      </c>
      <c r="AF2072" s="25">
        <f>IF(ISNUMBER(AD2072+AE2072),AD2072+AE2072,"")</f>
        <v/>
      </c>
      <c r="AH2072" s="1">
        <f>A2072</f>
        <v/>
      </c>
      <c r="AI2072">
        <f>IF(ISNUMBER((1+V2072)*AI2071),(1+V2072)*AI2071,AI2071)</f>
        <v/>
      </c>
      <c r="AJ2072">
        <f>IF(ISNUMBER((1+Z2072)*AJ2071),(1+Z2072)*AJ2071,AJ2071)</f>
        <v/>
      </c>
    </row>
    <row r="2073">
      <c r="A2073" s="1" t="n">
        <v>45009</v>
      </c>
      <c r="B2073" s="3">
        <f>IF(ORIG!B2073=0,"",ORIG!B2073)</f>
        <v/>
      </c>
      <c r="C2073" s="3">
        <f>IF(ORIG!C2073=0,"",ORIG!C2073)</f>
        <v/>
      </c>
      <c r="D2073" s="3">
        <f>IF(ORIG!D2073=0,"",ORIG!D2073)</f>
        <v/>
      </c>
      <c r="E2073" s="3">
        <f>IF(ORIG!E2073=0,"",ORIG!E2073)</f>
        <v/>
      </c>
      <c r="F2073" s="3">
        <f>IF(ORIG!F2073=0,"",ORIG!F2073)</f>
        <v/>
      </c>
      <c r="G2073" s="3">
        <f>IF(ORIG!G2073=0,"",ORIG!G2073)</f>
        <v/>
      </c>
      <c r="H2073" s="3">
        <f>IF(ORIG!H2073=0,"",ORIG!H2073)</f>
        <v/>
      </c>
      <c r="I2073" s="3">
        <f>IF(ORIG!I2073=0,"",ORIG!I2073)</f>
        <v/>
      </c>
      <c r="J2073" s="3">
        <f>IF(ORIG!J2073=0,"",ORIG!J2073)</f>
        <v/>
      </c>
      <c r="K2073" s="3">
        <f>IF(ORIG!K2073=0,"",ORIG!K2073)</f>
        <v/>
      </c>
      <c r="L2073" s="3">
        <f>IF(ORIG!L2073=0,"",ORIG!L2073)</f>
        <v/>
      </c>
      <c r="M2073" s="3">
        <f>IF(ORIG!M2073=0,"",ORIG!M2073)</f>
        <v/>
      </c>
      <c r="N2073" s="3">
        <f>IF(ORIG!N2073=0,"",ORIG!N2073)</f>
        <v/>
      </c>
      <c r="O2073" s="3">
        <f>IF(ORIG!O2073=0,"",ORIG!O2073)</f>
        <v/>
      </c>
      <c r="P2073" s="3">
        <f>IF(ORIG!P2073=0,"",ORIG!P2073)</f>
        <v/>
      </c>
      <c r="Q2073" s="3">
        <f>IF(ORIG!Q2073=0,"",ORIG!Q2073)</f>
        <v/>
      </c>
      <c r="R2073" s="3">
        <f>IF(ORIG!R2073=0,"",ORIG!R2073)</f>
        <v/>
      </c>
      <c r="S2073" s="3">
        <f>IF(ORIG!S2073=0,"",ORIG!S2073)</f>
        <v/>
      </c>
      <c r="T2073" s="3">
        <f>IF(ORIG!T2073=0,"",ORIG!T2073)</f>
        <v/>
      </c>
      <c r="U2073" s="3">
        <f>IF(ORIG!U2073=0,"",ORIG!U2073)</f>
        <v/>
      </c>
      <c r="V2073" s="9">
        <f>IF(ORIG!V2073=0,"",ORIG!V2073)</f>
        <v/>
      </c>
      <c r="W2073" s="9">
        <f>IF(ORIG!W2073=0,"",ORIG!W2073)</f>
        <v/>
      </c>
      <c r="X2073" s="9">
        <f>IF(ORIG!X2073=0,"",ORIG!X2073)</f>
        <v/>
      </c>
      <c r="Y2073" s="9">
        <f>IF(ORIG!Y2073=0,"",ORIG!Y2073)</f>
        <v/>
      </c>
      <c r="Z2073" s="3">
        <f>SUMPRODUCT($B2073:$Y2073,$B$2649:$Y$2649)</f>
        <v/>
      </c>
      <c r="AA2073" s="3">
        <f>SUMPRODUCT($B2073:$Y2073,$B$2655:$Y$2655)</f>
        <v/>
      </c>
      <c r="AC2073" s="1">
        <f>A2073</f>
        <v/>
      </c>
      <c r="AD2073">
        <f>IF(ISNUMBER(V2073),V2073*($AB$1/V$2635),"")</f>
        <v/>
      </c>
      <c r="AE2073">
        <f>IF(ISNUMBER(Z2073),Z2073*($AB$1/Z$2635),"")</f>
        <v/>
      </c>
      <c r="AF2073" s="25">
        <f>IF(ISNUMBER(AD2073+AE2073),AD2073+AE2073,"")</f>
        <v/>
      </c>
      <c r="AH2073" s="1">
        <f>A2073</f>
        <v/>
      </c>
      <c r="AI2073">
        <f>IF(ISNUMBER((1+V2073)*AI2072),(1+V2073)*AI2072,AI2072)</f>
        <v/>
      </c>
      <c r="AJ2073">
        <f>IF(ISNUMBER((1+Z2073)*AJ2072),(1+Z2073)*AJ2072,AJ2072)</f>
        <v/>
      </c>
    </row>
    <row r="2074">
      <c r="A2074" s="1" t="n">
        <v>45012</v>
      </c>
      <c r="B2074" s="3">
        <f>IF(ORIG!B2074=0,"",ORIG!B2074)</f>
        <v/>
      </c>
      <c r="C2074" s="3">
        <f>IF(ORIG!C2074=0,"",ORIG!C2074)</f>
        <v/>
      </c>
      <c r="D2074" s="3">
        <f>IF(ORIG!D2074=0,"",ORIG!D2074)</f>
        <v/>
      </c>
      <c r="E2074" s="3">
        <f>IF(ORIG!E2074=0,"",ORIG!E2074)</f>
        <v/>
      </c>
      <c r="F2074" s="3">
        <f>IF(ORIG!F2074=0,"",ORIG!F2074)</f>
        <v/>
      </c>
      <c r="G2074" s="3">
        <f>IF(ORIG!G2074=0,"",ORIG!G2074)</f>
        <v/>
      </c>
      <c r="H2074" s="3">
        <f>IF(ORIG!H2074=0,"",ORIG!H2074)</f>
        <v/>
      </c>
      <c r="I2074" s="3">
        <f>IF(ORIG!I2074=0,"",ORIG!I2074)</f>
        <v/>
      </c>
      <c r="J2074" s="3">
        <f>IF(ORIG!J2074=0,"",ORIG!J2074)</f>
        <v/>
      </c>
      <c r="K2074" s="3">
        <f>IF(ORIG!K2074=0,"",ORIG!K2074)</f>
        <v/>
      </c>
      <c r="L2074" s="3">
        <f>IF(ORIG!L2074=0,"",ORIG!L2074)</f>
        <v/>
      </c>
      <c r="M2074" s="3">
        <f>IF(ORIG!M2074=0,"",ORIG!M2074)</f>
        <v/>
      </c>
      <c r="N2074" s="3">
        <f>IF(ORIG!N2074=0,"",ORIG!N2074)</f>
        <v/>
      </c>
      <c r="O2074" s="3">
        <f>IF(ORIG!O2074=0,"",ORIG!O2074)</f>
        <v/>
      </c>
      <c r="P2074" s="3">
        <f>IF(ORIG!P2074=0,"",ORIG!P2074)</f>
        <v/>
      </c>
      <c r="Q2074" s="3">
        <f>IF(ORIG!Q2074=0,"",ORIG!Q2074)</f>
        <v/>
      </c>
      <c r="R2074" s="3">
        <f>IF(ORIG!R2074=0,"",ORIG!R2074)</f>
        <v/>
      </c>
      <c r="S2074" s="3">
        <f>IF(ORIG!S2074=0,"",ORIG!S2074)</f>
        <v/>
      </c>
      <c r="T2074" s="3">
        <f>IF(ORIG!T2074=0,"",ORIG!T2074)</f>
        <v/>
      </c>
      <c r="U2074" s="3">
        <f>IF(ORIG!U2074=0,"",ORIG!U2074)</f>
        <v/>
      </c>
      <c r="V2074" s="9">
        <f>IF(ORIG!V2074=0,"",ORIG!V2074)</f>
        <v/>
      </c>
      <c r="W2074" s="9">
        <f>IF(ORIG!W2074=0,"",ORIG!W2074)</f>
        <v/>
      </c>
      <c r="X2074" s="9">
        <f>IF(ORIG!X2074=0,"",ORIG!X2074)</f>
        <v/>
      </c>
      <c r="Y2074" s="9">
        <f>IF(ORIG!Y2074=0,"",ORIG!Y2074)</f>
        <v/>
      </c>
      <c r="Z2074" s="3">
        <f>SUMPRODUCT($B2074:$Y2074,$B$2649:$Y$2649)</f>
        <v/>
      </c>
      <c r="AA2074" s="3">
        <f>SUMPRODUCT($B2074:$Y2074,$B$2655:$Y$2655)</f>
        <v/>
      </c>
      <c r="AC2074" s="1">
        <f>A2074</f>
        <v/>
      </c>
      <c r="AD2074">
        <f>IF(ISNUMBER(V2074),V2074*($AB$1/V$2635),"")</f>
        <v/>
      </c>
      <c r="AE2074">
        <f>IF(ISNUMBER(Z2074),Z2074*($AB$1/Z$2635),"")</f>
        <v/>
      </c>
      <c r="AF2074" s="25">
        <f>IF(ISNUMBER(AD2074+AE2074),AD2074+AE2074,"")</f>
        <v/>
      </c>
      <c r="AH2074" s="1">
        <f>A2074</f>
        <v/>
      </c>
      <c r="AI2074">
        <f>IF(ISNUMBER((1+V2074)*AI2073),(1+V2074)*AI2073,AI2073)</f>
        <v/>
      </c>
      <c r="AJ2074">
        <f>IF(ISNUMBER((1+Z2074)*AJ2073),(1+Z2074)*AJ2073,AJ2073)</f>
        <v/>
      </c>
    </row>
    <row r="2075">
      <c r="A2075" s="1" t="n">
        <v>45013</v>
      </c>
      <c r="B2075" s="3">
        <f>IF(ORIG!B2075=0,"",ORIG!B2075)</f>
        <v/>
      </c>
      <c r="C2075" s="3">
        <f>IF(ORIG!C2075=0,"",ORIG!C2075)</f>
        <v/>
      </c>
      <c r="D2075" s="3">
        <f>IF(ORIG!D2075=0,"",ORIG!D2075)</f>
        <v/>
      </c>
      <c r="E2075" s="3">
        <f>IF(ORIG!E2075=0,"",ORIG!E2075)</f>
        <v/>
      </c>
      <c r="F2075" s="3">
        <f>IF(ORIG!F2075=0,"",ORIG!F2075)</f>
        <v/>
      </c>
      <c r="G2075" s="3">
        <f>IF(ORIG!G2075=0,"",ORIG!G2075)</f>
        <v/>
      </c>
      <c r="H2075" s="3">
        <f>IF(ORIG!H2075=0,"",ORIG!H2075)</f>
        <v/>
      </c>
      <c r="I2075" s="3">
        <f>IF(ORIG!I2075=0,"",ORIG!I2075)</f>
        <v/>
      </c>
      <c r="J2075" s="3">
        <f>IF(ORIG!J2075=0,"",ORIG!J2075)</f>
        <v/>
      </c>
      <c r="K2075" s="3">
        <f>IF(ORIG!K2075=0,"",ORIG!K2075)</f>
        <v/>
      </c>
      <c r="L2075" s="3">
        <f>IF(ORIG!L2075=0,"",ORIG!L2075)</f>
        <v/>
      </c>
      <c r="M2075" s="3">
        <f>IF(ORIG!M2075=0,"",ORIG!M2075)</f>
        <v/>
      </c>
      <c r="N2075" s="3">
        <f>IF(ORIG!N2075=0,"",ORIG!N2075)</f>
        <v/>
      </c>
      <c r="O2075" s="3">
        <f>IF(ORIG!O2075=0,"",ORIG!O2075)</f>
        <v/>
      </c>
      <c r="P2075" s="3">
        <f>IF(ORIG!P2075=0,"",ORIG!P2075)</f>
        <v/>
      </c>
      <c r="Q2075" s="3">
        <f>IF(ORIG!Q2075=0,"",ORIG!Q2075)</f>
        <v/>
      </c>
      <c r="R2075" s="3">
        <f>IF(ORIG!R2075=0,"",ORIG!R2075)</f>
        <v/>
      </c>
      <c r="S2075" s="3">
        <f>IF(ORIG!S2075=0,"",ORIG!S2075)</f>
        <v/>
      </c>
      <c r="T2075" s="3">
        <f>IF(ORIG!T2075=0,"",ORIG!T2075)</f>
        <v/>
      </c>
      <c r="U2075" s="3">
        <f>IF(ORIG!U2075=0,"",ORIG!U2075)</f>
        <v/>
      </c>
      <c r="V2075" s="9">
        <f>IF(ORIG!V2075=0,"",ORIG!V2075)</f>
        <v/>
      </c>
      <c r="W2075" s="9">
        <f>IF(ORIG!W2075=0,"",ORIG!W2075)</f>
        <v/>
      </c>
      <c r="X2075" s="9">
        <f>IF(ORIG!X2075=0,"",ORIG!X2075)</f>
        <v/>
      </c>
      <c r="Y2075" s="9">
        <f>IF(ORIG!Y2075=0,"",ORIG!Y2075)</f>
        <v/>
      </c>
      <c r="Z2075" s="3">
        <f>SUMPRODUCT($B2075:$Y2075,$B$2649:$Y$2649)</f>
        <v/>
      </c>
      <c r="AA2075" s="3">
        <f>SUMPRODUCT($B2075:$Y2075,$B$2655:$Y$2655)</f>
        <v/>
      </c>
      <c r="AC2075" s="1">
        <f>A2075</f>
        <v/>
      </c>
      <c r="AD2075">
        <f>IF(ISNUMBER(V2075),V2075*($AB$1/V$2635),"")</f>
        <v/>
      </c>
      <c r="AE2075">
        <f>IF(ISNUMBER(Z2075),Z2075*($AB$1/Z$2635),"")</f>
        <v/>
      </c>
      <c r="AF2075" s="25">
        <f>IF(ISNUMBER(AD2075+AE2075),AD2075+AE2075,"")</f>
        <v/>
      </c>
      <c r="AH2075" s="1">
        <f>A2075</f>
        <v/>
      </c>
      <c r="AI2075">
        <f>IF(ISNUMBER((1+V2075)*AI2074),(1+V2075)*AI2074,AI2074)</f>
        <v/>
      </c>
      <c r="AJ2075">
        <f>IF(ISNUMBER((1+Z2075)*AJ2074),(1+Z2075)*AJ2074,AJ2074)</f>
        <v/>
      </c>
    </row>
    <row r="2076">
      <c r="A2076" s="1" t="n">
        <v>45014</v>
      </c>
      <c r="B2076" s="3">
        <f>IF(ORIG!B2076=0,"",ORIG!B2076)</f>
        <v/>
      </c>
      <c r="C2076" s="3">
        <f>IF(ORIG!C2076=0,"",ORIG!C2076)</f>
        <v/>
      </c>
      <c r="D2076" s="3">
        <f>IF(ORIG!D2076=0,"",ORIG!D2076)</f>
        <v/>
      </c>
      <c r="E2076" s="3">
        <f>IF(ORIG!E2076=0,"",ORIG!E2076)</f>
        <v/>
      </c>
      <c r="F2076" s="3">
        <f>IF(ORIG!F2076=0,"",ORIG!F2076)</f>
        <v/>
      </c>
      <c r="G2076" s="3">
        <f>IF(ORIG!G2076=0,"",ORIG!G2076)</f>
        <v/>
      </c>
      <c r="H2076" s="3">
        <f>IF(ORIG!H2076=0,"",ORIG!H2076)</f>
        <v/>
      </c>
      <c r="I2076" s="3">
        <f>IF(ORIG!I2076=0,"",ORIG!I2076)</f>
        <v/>
      </c>
      <c r="J2076" s="3">
        <f>IF(ORIG!J2076=0,"",ORIG!J2076)</f>
        <v/>
      </c>
      <c r="K2076" s="3">
        <f>IF(ORIG!K2076=0,"",ORIG!K2076)</f>
        <v/>
      </c>
      <c r="L2076" s="3">
        <f>IF(ORIG!L2076=0,"",ORIG!L2076)</f>
        <v/>
      </c>
      <c r="M2076" s="3">
        <f>IF(ORIG!M2076=0,"",ORIG!M2076)</f>
        <v/>
      </c>
      <c r="N2076" s="3">
        <f>IF(ORIG!N2076=0,"",ORIG!N2076)</f>
        <v/>
      </c>
      <c r="O2076" s="3">
        <f>IF(ORIG!O2076=0,"",ORIG!O2076)</f>
        <v/>
      </c>
      <c r="P2076" s="3">
        <f>IF(ORIG!P2076=0,"",ORIG!P2076)</f>
        <v/>
      </c>
      <c r="Q2076" s="3">
        <f>IF(ORIG!Q2076=0,"",ORIG!Q2076)</f>
        <v/>
      </c>
      <c r="R2076" s="3">
        <f>IF(ORIG!R2076=0,"",ORIG!R2076)</f>
        <v/>
      </c>
      <c r="S2076" s="3">
        <f>IF(ORIG!S2076=0,"",ORIG!S2076)</f>
        <v/>
      </c>
      <c r="T2076" s="3">
        <f>IF(ORIG!T2076=0,"",ORIG!T2076)</f>
        <v/>
      </c>
      <c r="U2076" s="3">
        <f>IF(ORIG!U2076=0,"",ORIG!U2076)</f>
        <v/>
      </c>
      <c r="V2076" s="9">
        <f>IF(ORIG!V2076=0,"",ORIG!V2076)</f>
        <v/>
      </c>
      <c r="W2076" s="9">
        <f>IF(ORIG!W2076=0,"",ORIG!W2076)</f>
        <v/>
      </c>
      <c r="X2076" s="9">
        <f>IF(ORIG!X2076=0,"",ORIG!X2076)</f>
        <v/>
      </c>
      <c r="Y2076" s="9">
        <f>IF(ORIG!Y2076=0,"",ORIG!Y2076)</f>
        <v/>
      </c>
      <c r="Z2076" s="3">
        <f>SUMPRODUCT($B2076:$Y2076,$B$2649:$Y$2649)</f>
        <v/>
      </c>
      <c r="AA2076" s="3">
        <f>SUMPRODUCT($B2076:$Y2076,$B$2655:$Y$2655)</f>
        <v/>
      </c>
      <c r="AC2076" s="1">
        <f>A2076</f>
        <v/>
      </c>
      <c r="AD2076">
        <f>IF(ISNUMBER(V2076),V2076*($AB$1/V$2635),"")</f>
        <v/>
      </c>
      <c r="AE2076">
        <f>IF(ISNUMBER(Z2076),Z2076*($AB$1/Z$2635),"")</f>
        <v/>
      </c>
      <c r="AF2076" s="25">
        <f>IF(ISNUMBER(AD2076+AE2076),AD2076+AE2076,"")</f>
        <v/>
      </c>
      <c r="AH2076" s="1">
        <f>A2076</f>
        <v/>
      </c>
      <c r="AI2076">
        <f>IF(ISNUMBER((1+V2076)*AI2075),(1+V2076)*AI2075,AI2075)</f>
        <v/>
      </c>
      <c r="AJ2076">
        <f>IF(ISNUMBER((1+Z2076)*AJ2075),(1+Z2076)*AJ2075,AJ2075)</f>
        <v/>
      </c>
    </row>
    <row r="2077">
      <c r="A2077" s="1" t="n">
        <v>45015</v>
      </c>
      <c r="B2077" s="3">
        <f>IF(ORIG!B2077=0,"",ORIG!B2077)</f>
        <v/>
      </c>
      <c r="C2077" s="3">
        <f>IF(ORIG!C2077=0,"",ORIG!C2077)</f>
        <v/>
      </c>
      <c r="D2077" s="3">
        <f>IF(ORIG!D2077=0,"",ORIG!D2077)</f>
        <v/>
      </c>
      <c r="E2077" s="3">
        <f>IF(ORIG!E2077=0,"",ORIG!E2077)</f>
        <v/>
      </c>
      <c r="F2077" s="3">
        <f>IF(ORIG!F2077=0,"",ORIG!F2077)</f>
        <v/>
      </c>
      <c r="G2077" s="3">
        <f>IF(ORIG!G2077=0,"",ORIG!G2077)</f>
        <v/>
      </c>
      <c r="H2077" s="3">
        <f>IF(ORIG!H2077=0,"",ORIG!H2077)</f>
        <v/>
      </c>
      <c r="I2077" s="3">
        <f>IF(ORIG!I2077=0,"",ORIG!I2077)</f>
        <v/>
      </c>
      <c r="J2077" s="3">
        <f>IF(ORIG!J2077=0,"",ORIG!J2077)</f>
        <v/>
      </c>
      <c r="K2077" s="3">
        <f>IF(ORIG!K2077=0,"",ORIG!K2077)</f>
        <v/>
      </c>
      <c r="L2077" s="3">
        <f>IF(ORIG!L2077=0,"",ORIG!L2077)</f>
        <v/>
      </c>
      <c r="M2077" s="3">
        <f>IF(ORIG!M2077=0,"",ORIG!M2077)</f>
        <v/>
      </c>
      <c r="N2077" s="3">
        <f>IF(ORIG!N2077=0,"",ORIG!N2077)</f>
        <v/>
      </c>
      <c r="O2077" s="3">
        <f>IF(ORIG!O2077=0,"",ORIG!O2077)</f>
        <v/>
      </c>
      <c r="P2077" s="3">
        <f>IF(ORIG!P2077=0,"",ORIG!P2077)</f>
        <v/>
      </c>
      <c r="Q2077" s="3">
        <f>IF(ORIG!Q2077=0,"",ORIG!Q2077)</f>
        <v/>
      </c>
      <c r="R2077" s="3">
        <f>IF(ORIG!R2077=0,"",ORIG!R2077)</f>
        <v/>
      </c>
      <c r="S2077" s="3">
        <f>IF(ORIG!S2077=0,"",ORIG!S2077)</f>
        <v/>
      </c>
      <c r="T2077" s="3">
        <f>IF(ORIG!T2077=0,"",ORIG!T2077)</f>
        <v/>
      </c>
      <c r="U2077" s="3">
        <f>IF(ORIG!U2077=0,"",ORIG!U2077)</f>
        <v/>
      </c>
      <c r="V2077" s="9">
        <f>IF(ORIG!V2077=0,"",ORIG!V2077)</f>
        <v/>
      </c>
      <c r="W2077" s="9">
        <f>IF(ORIG!W2077=0,"",ORIG!W2077)</f>
        <v/>
      </c>
      <c r="X2077" s="9">
        <f>IF(ORIG!X2077=0,"",ORIG!X2077)</f>
        <v/>
      </c>
      <c r="Y2077" s="9">
        <f>IF(ORIG!Y2077=0,"",ORIG!Y2077)</f>
        <v/>
      </c>
      <c r="Z2077" s="3">
        <f>SUMPRODUCT($B2077:$Y2077,$B$2649:$Y$2649)</f>
        <v/>
      </c>
      <c r="AA2077" s="3">
        <f>SUMPRODUCT($B2077:$Y2077,$B$2655:$Y$2655)</f>
        <v/>
      </c>
      <c r="AC2077" s="1">
        <f>A2077</f>
        <v/>
      </c>
      <c r="AD2077">
        <f>IF(ISNUMBER(V2077),V2077*($AB$1/V$2635),"")</f>
        <v/>
      </c>
      <c r="AE2077">
        <f>IF(ISNUMBER(Z2077),Z2077*($AB$1/Z$2635),"")</f>
        <v/>
      </c>
      <c r="AF2077" s="25">
        <f>IF(ISNUMBER(AD2077+AE2077),AD2077+AE2077,"")</f>
        <v/>
      </c>
      <c r="AH2077" s="1">
        <f>A2077</f>
        <v/>
      </c>
      <c r="AI2077">
        <f>IF(ISNUMBER((1+V2077)*AI2076),(1+V2077)*AI2076,AI2076)</f>
        <v/>
      </c>
      <c r="AJ2077">
        <f>IF(ISNUMBER((1+Z2077)*AJ2076),(1+Z2077)*AJ2076,AJ2076)</f>
        <v/>
      </c>
    </row>
    <row r="2078">
      <c r="A2078" s="1" t="n">
        <v>45016</v>
      </c>
      <c r="B2078" s="3">
        <f>IF(ORIG!B2078=0,"",ORIG!B2078)</f>
        <v/>
      </c>
      <c r="C2078" s="3">
        <f>IF(ORIG!C2078=0,"",ORIG!C2078)</f>
        <v/>
      </c>
      <c r="D2078" s="3">
        <f>IF(ORIG!D2078=0,"",ORIG!D2078)</f>
        <v/>
      </c>
      <c r="E2078" s="3">
        <f>IF(ORIG!E2078=0,"",ORIG!E2078)</f>
        <v/>
      </c>
      <c r="F2078" s="3">
        <f>IF(ORIG!F2078=0,"",ORIG!F2078)</f>
        <v/>
      </c>
      <c r="G2078" s="3">
        <f>IF(ORIG!G2078=0,"",ORIG!G2078)</f>
        <v/>
      </c>
      <c r="H2078" s="3">
        <f>IF(ORIG!H2078=0,"",ORIG!H2078)</f>
        <v/>
      </c>
      <c r="I2078" s="3">
        <f>IF(ORIG!I2078=0,"",ORIG!I2078)</f>
        <v/>
      </c>
      <c r="J2078" s="3">
        <f>IF(ORIG!J2078=0,"",ORIG!J2078)</f>
        <v/>
      </c>
      <c r="K2078" s="3">
        <f>IF(ORIG!K2078=0,"",ORIG!K2078)</f>
        <v/>
      </c>
      <c r="L2078" s="3">
        <f>IF(ORIG!L2078=0,"",ORIG!L2078)</f>
        <v/>
      </c>
      <c r="M2078" s="3">
        <f>IF(ORIG!M2078=0,"",ORIG!M2078)</f>
        <v/>
      </c>
      <c r="N2078" s="3">
        <f>IF(ORIG!N2078=0,"",ORIG!N2078)</f>
        <v/>
      </c>
      <c r="O2078" s="3">
        <f>IF(ORIG!O2078=0,"",ORIG!O2078)</f>
        <v/>
      </c>
      <c r="P2078" s="3">
        <f>IF(ORIG!P2078=0,"",ORIG!P2078)</f>
        <v/>
      </c>
      <c r="Q2078" s="3">
        <f>IF(ORIG!Q2078=0,"",ORIG!Q2078)</f>
        <v/>
      </c>
      <c r="R2078" s="3">
        <f>IF(ORIG!R2078=0,"",ORIG!R2078)</f>
        <v/>
      </c>
      <c r="S2078" s="3">
        <f>IF(ORIG!S2078=0,"",ORIG!S2078)</f>
        <v/>
      </c>
      <c r="T2078" s="3">
        <f>IF(ORIG!T2078=0,"",ORIG!T2078)</f>
        <v/>
      </c>
      <c r="U2078" s="3">
        <f>IF(ORIG!U2078=0,"",ORIG!U2078)</f>
        <v/>
      </c>
      <c r="V2078" s="9">
        <f>IF(ORIG!V2078=0,"",ORIG!V2078)</f>
        <v/>
      </c>
      <c r="W2078" s="9">
        <f>IF(ORIG!W2078=0,"",ORIG!W2078)</f>
        <v/>
      </c>
      <c r="X2078" s="9">
        <f>IF(ORIG!X2078=0,"",ORIG!X2078)</f>
        <v/>
      </c>
      <c r="Y2078" s="9">
        <f>IF(ORIG!Y2078=0,"",ORIG!Y2078)</f>
        <v/>
      </c>
      <c r="Z2078" s="3">
        <f>SUMPRODUCT($B2078:$Y2078,$B$2649:$Y$2649)</f>
        <v/>
      </c>
      <c r="AA2078" s="3">
        <f>SUMPRODUCT($B2078:$Y2078,$B$2655:$Y$2655)</f>
        <v/>
      </c>
      <c r="AC2078" s="1">
        <f>A2078</f>
        <v/>
      </c>
      <c r="AD2078">
        <f>IF(ISNUMBER(V2078),V2078*($AB$1/V$2635),"")</f>
        <v/>
      </c>
      <c r="AE2078">
        <f>IF(ISNUMBER(Z2078),Z2078*($AB$1/Z$2635),"")</f>
        <v/>
      </c>
      <c r="AF2078" s="25">
        <f>IF(ISNUMBER(AD2078+AE2078),AD2078+AE2078,"")</f>
        <v/>
      </c>
      <c r="AH2078" s="1">
        <f>A2078</f>
        <v/>
      </c>
      <c r="AI2078">
        <f>IF(ISNUMBER((1+V2078)*AI2077),(1+V2078)*AI2077,AI2077)</f>
        <v/>
      </c>
      <c r="AJ2078">
        <f>IF(ISNUMBER((1+Z2078)*AJ2077),(1+Z2078)*AJ2077,AJ2077)</f>
        <v/>
      </c>
    </row>
    <row r="2079">
      <c r="A2079" s="1" t="n">
        <v>45019</v>
      </c>
      <c r="B2079" s="3">
        <f>IF(ORIG!B2079=0,"",ORIG!B2079)</f>
        <v/>
      </c>
      <c r="C2079" s="3">
        <f>IF(ORIG!C2079=0,"",ORIG!C2079)</f>
        <v/>
      </c>
      <c r="D2079" s="3">
        <f>IF(ORIG!D2079=0,"",ORIG!D2079)</f>
        <v/>
      </c>
      <c r="E2079" s="3">
        <f>IF(ORIG!E2079=0,"",ORIG!E2079)</f>
        <v/>
      </c>
      <c r="F2079" s="3">
        <f>IF(ORIG!F2079=0,"",ORIG!F2079)</f>
        <v/>
      </c>
      <c r="G2079" s="3">
        <f>IF(ORIG!G2079=0,"",ORIG!G2079)</f>
        <v/>
      </c>
      <c r="H2079" s="3">
        <f>IF(ORIG!H2079=0,"",ORIG!H2079)</f>
        <v/>
      </c>
      <c r="I2079" s="3">
        <f>IF(ORIG!I2079=0,"",ORIG!I2079)</f>
        <v/>
      </c>
      <c r="J2079" s="3">
        <f>IF(ORIG!J2079=0,"",ORIG!J2079)</f>
        <v/>
      </c>
      <c r="K2079" s="3">
        <f>IF(ORIG!K2079=0,"",ORIG!K2079)</f>
        <v/>
      </c>
      <c r="L2079" s="3">
        <f>IF(ORIG!L2079=0,"",ORIG!L2079)</f>
        <v/>
      </c>
      <c r="M2079" s="3">
        <f>IF(ORIG!M2079=0,"",ORIG!M2079)</f>
        <v/>
      </c>
      <c r="N2079" s="3">
        <f>IF(ORIG!N2079=0,"",ORIG!N2079)</f>
        <v/>
      </c>
      <c r="O2079" s="3">
        <f>IF(ORIG!O2079=0,"",ORIG!O2079)</f>
        <v/>
      </c>
      <c r="P2079" s="3">
        <f>IF(ORIG!P2079=0,"",ORIG!P2079)</f>
        <v/>
      </c>
      <c r="Q2079" s="3">
        <f>IF(ORIG!Q2079=0,"",ORIG!Q2079)</f>
        <v/>
      </c>
      <c r="R2079" s="3">
        <f>IF(ORIG!R2079=0,"",ORIG!R2079)</f>
        <v/>
      </c>
      <c r="S2079" s="3">
        <f>IF(ORIG!S2079=0,"",ORIG!S2079)</f>
        <v/>
      </c>
      <c r="T2079" s="3">
        <f>IF(ORIG!T2079=0,"",ORIG!T2079)</f>
        <v/>
      </c>
      <c r="U2079" s="3">
        <f>IF(ORIG!U2079=0,"",ORIG!U2079)</f>
        <v/>
      </c>
      <c r="V2079" s="9">
        <f>IF(ORIG!V2079=0,"",ORIG!V2079)</f>
        <v/>
      </c>
      <c r="W2079" s="9">
        <f>IF(ORIG!W2079=0,"",ORIG!W2079)</f>
        <v/>
      </c>
      <c r="X2079" s="9">
        <f>IF(ORIG!X2079=0,"",ORIG!X2079)</f>
        <v/>
      </c>
      <c r="Y2079" s="9">
        <f>IF(ORIG!Y2079=0,"",ORIG!Y2079)</f>
        <v/>
      </c>
      <c r="Z2079" s="3">
        <f>SUMPRODUCT($B2079:$Y2079,$B$2649:$Y$2649)</f>
        <v/>
      </c>
      <c r="AA2079" s="3">
        <f>SUMPRODUCT($B2079:$Y2079,$B$2655:$Y$2655)</f>
        <v/>
      </c>
      <c r="AC2079" s="1">
        <f>A2079</f>
        <v/>
      </c>
      <c r="AD2079">
        <f>IF(ISNUMBER(V2079),V2079*($AB$1/V$2635),"")</f>
        <v/>
      </c>
      <c r="AE2079">
        <f>IF(ISNUMBER(Z2079),Z2079*($AB$1/Z$2635),"")</f>
        <v/>
      </c>
      <c r="AF2079" s="25">
        <f>IF(ISNUMBER(AD2079+AE2079),AD2079+AE2079,"")</f>
        <v/>
      </c>
      <c r="AH2079" s="1">
        <f>A2079</f>
        <v/>
      </c>
      <c r="AI2079">
        <f>IF(ISNUMBER((1+V2079)*AI2078),(1+V2079)*AI2078,AI2078)</f>
        <v/>
      </c>
      <c r="AJ2079">
        <f>IF(ISNUMBER((1+Z2079)*AJ2078),(1+Z2079)*AJ2078,AJ2078)</f>
        <v/>
      </c>
    </row>
    <row r="2080">
      <c r="A2080" s="1" t="n">
        <v>45020</v>
      </c>
      <c r="B2080" s="3">
        <f>IF(ORIG!B2080=0,"",ORIG!B2080)</f>
        <v/>
      </c>
      <c r="C2080" s="3">
        <f>IF(ORIG!C2080=0,"",ORIG!C2080)</f>
        <v/>
      </c>
      <c r="D2080" s="3">
        <f>IF(ORIG!D2080=0,"",ORIG!D2080)</f>
        <v/>
      </c>
      <c r="E2080" s="3">
        <f>IF(ORIG!E2080=0,"",ORIG!E2080)</f>
        <v/>
      </c>
      <c r="F2080" s="3">
        <f>IF(ORIG!F2080=0,"",ORIG!F2080)</f>
        <v/>
      </c>
      <c r="G2080" s="3">
        <f>IF(ORIG!G2080=0,"",ORIG!G2080)</f>
        <v/>
      </c>
      <c r="H2080" s="3">
        <f>IF(ORIG!H2080=0,"",ORIG!H2080)</f>
        <v/>
      </c>
      <c r="I2080" s="3">
        <f>IF(ORIG!I2080=0,"",ORIG!I2080)</f>
        <v/>
      </c>
      <c r="J2080" s="3">
        <f>IF(ORIG!J2080=0,"",ORIG!J2080)</f>
        <v/>
      </c>
      <c r="K2080" s="3">
        <f>IF(ORIG!K2080=0,"",ORIG!K2080)</f>
        <v/>
      </c>
      <c r="L2080" s="3">
        <f>IF(ORIG!L2080=0,"",ORIG!L2080)</f>
        <v/>
      </c>
      <c r="M2080" s="3">
        <f>IF(ORIG!M2080=0,"",ORIG!M2080)</f>
        <v/>
      </c>
      <c r="N2080" s="3">
        <f>IF(ORIG!N2080=0,"",ORIG!N2080)</f>
        <v/>
      </c>
      <c r="O2080" s="3">
        <f>IF(ORIG!O2080=0,"",ORIG!O2080)</f>
        <v/>
      </c>
      <c r="P2080" s="3">
        <f>IF(ORIG!P2080=0,"",ORIG!P2080)</f>
        <v/>
      </c>
      <c r="Q2080" s="3">
        <f>IF(ORIG!Q2080=0,"",ORIG!Q2080)</f>
        <v/>
      </c>
      <c r="R2080" s="3">
        <f>IF(ORIG!R2080=0,"",ORIG!R2080)</f>
        <v/>
      </c>
      <c r="S2080" s="3">
        <f>IF(ORIG!S2080=0,"",ORIG!S2080)</f>
        <v/>
      </c>
      <c r="T2080" s="3">
        <f>IF(ORIG!T2080=0,"",ORIG!T2080)</f>
        <v/>
      </c>
      <c r="U2080" s="3">
        <f>IF(ORIG!U2080=0,"",ORIG!U2080)</f>
        <v/>
      </c>
      <c r="V2080" s="9">
        <f>IF(ORIG!V2080=0,"",ORIG!V2080)</f>
        <v/>
      </c>
      <c r="W2080" s="9">
        <f>IF(ORIG!W2080=0,"",ORIG!W2080)</f>
        <v/>
      </c>
      <c r="X2080" s="9">
        <f>IF(ORIG!X2080=0,"",ORIG!X2080)</f>
        <v/>
      </c>
      <c r="Y2080" s="9">
        <f>IF(ORIG!Y2080=0,"",ORIG!Y2080)</f>
        <v/>
      </c>
      <c r="Z2080" s="3">
        <f>SUMPRODUCT($B2080:$Y2080,$B$2649:$Y$2649)</f>
        <v/>
      </c>
      <c r="AA2080" s="3">
        <f>SUMPRODUCT($B2080:$Y2080,$B$2655:$Y$2655)</f>
        <v/>
      </c>
      <c r="AC2080" s="1">
        <f>A2080</f>
        <v/>
      </c>
      <c r="AD2080">
        <f>IF(ISNUMBER(V2080),V2080*($AB$1/V$2635),"")</f>
        <v/>
      </c>
      <c r="AE2080">
        <f>IF(ISNUMBER(Z2080),Z2080*($AB$1/Z$2635),"")</f>
        <v/>
      </c>
      <c r="AF2080" s="25">
        <f>IF(ISNUMBER(AD2080+AE2080),AD2080+AE2080,"")</f>
        <v/>
      </c>
      <c r="AH2080" s="1">
        <f>A2080</f>
        <v/>
      </c>
      <c r="AI2080">
        <f>IF(ISNUMBER((1+V2080)*AI2079),(1+V2080)*AI2079,AI2079)</f>
        <v/>
      </c>
      <c r="AJ2080">
        <f>IF(ISNUMBER((1+Z2080)*AJ2079),(1+Z2080)*AJ2079,AJ2079)</f>
        <v/>
      </c>
    </row>
    <row r="2081">
      <c r="A2081" s="1" t="n">
        <v>45021</v>
      </c>
      <c r="B2081" s="3">
        <f>IF(ORIG!B2081=0,"",ORIG!B2081)</f>
        <v/>
      </c>
      <c r="C2081" s="3">
        <f>IF(ORIG!C2081=0,"",ORIG!C2081)</f>
        <v/>
      </c>
      <c r="D2081" s="3">
        <f>IF(ORIG!D2081=0,"",ORIG!D2081)</f>
        <v/>
      </c>
      <c r="E2081" s="3">
        <f>IF(ORIG!E2081=0,"",ORIG!E2081)</f>
        <v/>
      </c>
      <c r="F2081" s="3">
        <f>IF(ORIG!F2081=0,"",ORIG!F2081)</f>
        <v/>
      </c>
      <c r="G2081" s="3">
        <f>IF(ORIG!G2081=0,"",ORIG!G2081)</f>
        <v/>
      </c>
      <c r="H2081" s="3">
        <f>IF(ORIG!H2081=0,"",ORIG!H2081)</f>
        <v/>
      </c>
      <c r="I2081" s="3">
        <f>IF(ORIG!I2081=0,"",ORIG!I2081)</f>
        <v/>
      </c>
      <c r="J2081" s="3">
        <f>IF(ORIG!J2081=0,"",ORIG!J2081)</f>
        <v/>
      </c>
      <c r="K2081" s="3">
        <f>IF(ORIG!K2081=0,"",ORIG!K2081)</f>
        <v/>
      </c>
      <c r="L2081" s="3">
        <f>IF(ORIG!L2081=0,"",ORIG!L2081)</f>
        <v/>
      </c>
      <c r="M2081" s="3">
        <f>IF(ORIG!M2081=0,"",ORIG!M2081)</f>
        <v/>
      </c>
      <c r="N2081" s="3">
        <f>IF(ORIG!N2081=0,"",ORIG!N2081)</f>
        <v/>
      </c>
      <c r="O2081" s="3">
        <f>IF(ORIG!O2081=0,"",ORIG!O2081)</f>
        <v/>
      </c>
      <c r="P2081" s="3">
        <f>IF(ORIG!P2081=0,"",ORIG!P2081)</f>
        <v/>
      </c>
      <c r="Q2081" s="3">
        <f>IF(ORIG!Q2081=0,"",ORIG!Q2081)</f>
        <v/>
      </c>
      <c r="R2081" s="3">
        <f>IF(ORIG!R2081=0,"",ORIG!R2081)</f>
        <v/>
      </c>
      <c r="S2081" s="3">
        <f>IF(ORIG!S2081=0,"",ORIG!S2081)</f>
        <v/>
      </c>
      <c r="T2081" s="3">
        <f>IF(ORIG!T2081=0,"",ORIG!T2081)</f>
        <v/>
      </c>
      <c r="U2081" s="3">
        <f>IF(ORIG!U2081=0,"",ORIG!U2081)</f>
        <v/>
      </c>
      <c r="V2081" s="9">
        <f>IF(ORIG!V2081=0,"",ORIG!V2081)</f>
        <v/>
      </c>
      <c r="W2081" s="9">
        <f>IF(ORIG!W2081=0,"",ORIG!W2081)</f>
        <v/>
      </c>
      <c r="X2081" s="9">
        <f>IF(ORIG!X2081=0,"",ORIG!X2081)</f>
        <v/>
      </c>
      <c r="Y2081" s="9">
        <f>IF(ORIG!Y2081=0,"",ORIG!Y2081)</f>
        <v/>
      </c>
      <c r="Z2081" s="3">
        <f>SUMPRODUCT($B2081:$Y2081,$B$2649:$Y$2649)</f>
        <v/>
      </c>
      <c r="AA2081" s="3">
        <f>SUMPRODUCT($B2081:$Y2081,$B$2655:$Y$2655)</f>
        <v/>
      </c>
      <c r="AC2081" s="1">
        <f>A2081</f>
        <v/>
      </c>
      <c r="AD2081">
        <f>IF(ISNUMBER(V2081),V2081*($AB$1/V$2635),"")</f>
        <v/>
      </c>
      <c r="AE2081">
        <f>IF(ISNUMBER(Z2081),Z2081*($AB$1/Z$2635),"")</f>
        <v/>
      </c>
      <c r="AF2081" s="25">
        <f>IF(ISNUMBER(AD2081+AE2081),AD2081+AE2081,"")</f>
        <v/>
      </c>
      <c r="AH2081" s="1">
        <f>A2081</f>
        <v/>
      </c>
      <c r="AI2081">
        <f>IF(ISNUMBER((1+V2081)*AI2080),(1+V2081)*AI2080,AI2080)</f>
        <v/>
      </c>
      <c r="AJ2081">
        <f>IF(ISNUMBER((1+Z2081)*AJ2080),(1+Z2081)*AJ2080,AJ2080)</f>
        <v/>
      </c>
    </row>
    <row r="2082">
      <c r="A2082" s="1" t="n">
        <v>45022</v>
      </c>
      <c r="B2082" s="3">
        <f>IF(ORIG!B2082=0,"",ORIG!B2082)</f>
        <v/>
      </c>
      <c r="C2082" s="3">
        <f>IF(ORIG!C2082=0,"",ORIG!C2082)</f>
        <v/>
      </c>
      <c r="D2082" s="3">
        <f>IF(ORIG!D2082=0,"",ORIG!D2082)</f>
        <v/>
      </c>
      <c r="E2082" s="3">
        <f>IF(ORIG!E2082=0,"",ORIG!E2082)</f>
        <v/>
      </c>
      <c r="F2082" s="3">
        <f>IF(ORIG!F2082=0,"",ORIG!F2082)</f>
        <v/>
      </c>
      <c r="G2082" s="3">
        <f>IF(ORIG!G2082=0,"",ORIG!G2082)</f>
        <v/>
      </c>
      <c r="H2082" s="3">
        <f>IF(ORIG!H2082=0,"",ORIG!H2082)</f>
        <v/>
      </c>
      <c r="I2082" s="3">
        <f>IF(ORIG!I2082=0,"",ORIG!I2082)</f>
        <v/>
      </c>
      <c r="J2082" s="3">
        <f>IF(ORIG!J2082=0,"",ORIG!J2082)</f>
        <v/>
      </c>
      <c r="K2082" s="3">
        <f>IF(ORIG!K2082=0,"",ORIG!K2082)</f>
        <v/>
      </c>
      <c r="L2082" s="3">
        <f>IF(ORIG!L2082=0,"",ORIG!L2082)</f>
        <v/>
      </c>
      <c r="M2082" s="3">
        <f>IF(ORIG!M2082=0,"",ORIG!M2082)</f>
        <v/>
      </c>
      <c r="N2082" s="3">
        <f>IF(ORIG!N2082=0,"",ORIG!N2082)</f>
        <v/>
      </c>
      <c r="O2082" s="3">
        <f>IF(ORIG!O2082=0,"",ORIG!O2082)</f>
        <v/>
      </c>
      <c r="P2082" s="3">
        <f>IF(ORIG!P2082=0,"",ORIG!P2082)</f>
        <v/>
      </c>
      <c r="Q2082" s="3">
        <f>IF(ORIG!Q2082=0,"",ORIG!Q2082)</f>
        <v/>
      </c>
      <c r="R2082" s="3">
        <f>IF(ORIG!R2082=0,"",ORIG!R2082)</f>
        <v/>
      </c>
      <c r="S2082" s="3">
        <f>IF(ORIG!S2082=0,"",ORIG!S2082)</f>
        <v/>
      </c>
      <c r="T2082" s="3">
        <f>IF(ORIG!T2082=0,"",ORIG!T2082)</f>
        <v/>
      </c>
      <c r="U2082" s="3">
        <f>IF(ORIG!U2082=0,"",ORIG!U2082)</f>
        <v/>
      </c>
      <c r="V2082" s="9">
        <f>IF(ORIG!V2082=0,"",ORIG!V2082)</f>
        <v/>
      </c>
      <c r="W2082" s="9">
        <f>IF(ORIG!W2082=0,"",ORIG!W2082)</f>
        <v/>
      </c>
      <c r="X2082" s="9">
        <f>IF(ORIG!X2082=0,"",ORIG!X2082)</f>
        <v/>
      </c>
      <c r="Y2082" s="9">
        <f>IF(ORIG!Y2082=0,"",ORIG!Y2082)</f>
        <v/>
      </c>
      <c r="Z2082" s="3">
        <f>SUMPRODUCT($B2082:$Y2082,$B$2649:$Y$2649)</f>
        <v/>
      </c>
      <c r="AA2082" s="3">
        <f>SUMPRODUCT($B2082:$Y2082,$B$2655:$Y$2655)</f>
        <v/>
      </c>
      <c r="AC2082" s="1">
        <f>A2082</f>
        <v/>
      </c>
      <c r="AD2082">
        <f>IF(ISNUMBER(V2082),V2082*($AB$1/V$2635),"")</f>
        <v/>
      </c>
      <c r="AE2082">
        <f>IF(ISNUMBER(Z2082),Z2082*($AB$1/Z$2635),"")</f>
        <v/>
      </c>
      <c r="AF2082" s="25">
        <f>IF(ISNUMBER(AD2082+AE2082),AD2082+AE2082,"")</f>
        <v/>
      </c>
      <c r="AH2082" s="1">
        <f>A2082</f>
        <v/>
      </c>
      <c r="AI2082">
        <f>IF(ISNUMBER((1+V2082)*AI2081),(1+V2082)*AI2081,AI2081)</f>
        <v/>
      </c>
      <c r="AJ2082">
        <f>IF(ISNUMBER((1+Z2082)*AJ2081),(1+Z2082)*AJ2081,AJ2081)</f>
        <v/>
      </c>
    </row>
    <row r="2083">
      <c r="A2083" s="1" t="n">
        <v>45026</v>
      </c>
      <c r="B2083" s="3">
        <f>IF(ORIG!B2083=0,"",ORIG!B2083)</f>
        <v/>
      </c>
      <c r="C2083" s="3">
        <f>IF(ORIG!C2083=0,"",ORIG!C2083)</f>
        <v/>
      </c>
      <c r="D2083" s="3">
        <f>IF(ORIG!D2083=0,"",ORIG!D2083)</f>
        <v/>
      </c>
      <c r="E2083" s="3">
        <f>IF(ORIG!E2083=0,"",ORIG!E2083)</f>
        <v/>
      </c>
      <c r="F2083" s="3">
        <f>IF(ORIG!F2083=0,"",ORIG!F2083)</f>
        <v/>
      </c>
      <c r="G2083" s="3">
        <f>IF(ORIG!G2083=0,"",ORIG!G2083)</f>
        <v/>
      </c>
      <c r="H2083" s="3">
        <f>IF(ORIG!H2083=0,"",ORIG!H2083)</f>
        <v/>
      </c>
      <c r="I2083" s="3">
        <f>IF(ORIG!I2083=0,"",ORIG!I2083)</f>
        <v/>
      </c>
      <c r="J2083" s="3">
        <f>IF(ORIG!J2083=0,"",ORIG!J2083)</f>
        <v/>
      </c>
      <c r="K2083" s="3">
        <f>IF(ORIG!K2083=0,"",ORIG!K2083)</f>
        <v/>
      </c>
      <c r="L2083" s="3">
        <f>IF(ORIG!L2083=0,"",ORIG!L2083)</f>
        <v/>
      </c>
      <c r="M2083" s="3">
        <f>IF(ORIG!M2083=0,"",ORIG!M2083)</f>
        <v/>
      </c>
      <c r="N2083" s="3">
        <f>IF(ORIG!N2083=0,"",ORIG!N2083)</f>
        <v/>
      </c>
      <c r="O2083" s="3">
        <f>IF(ORIG!O2083=0,"",ORIG!O2083)</f>
        <v/>
      </c>
      <c r="P2083" s="3">
        <f>IF(ORIG!P2083=0,"",ORIG!P2083)</f>
        <v/>
      </c>
      <c r="Q2083" s="3">
        <f>IF(ORIG!Q2083=0,"",ORIG!Q2083)</f>
        <v/>
      </c>
      <c r="R2083" s="3">
        <f>IF(ORIG!R2083=0,"",ORIG!R2083)</f>
        <v/>
      </c>
      <c r="S2083" s="3">
        <f>IF(ORIG!S2083=0,"",ORIG!S2083)</f>
        <v/>
      </c>
      <c r="T2083" s="3">
        <f>IF(ORIG!T2083=0,"",ORIG!T2083)</f>
        <v/>
      </c>
      <c r="U2083" s="3">
        <f>IF(ORIG!U2083=0,"",ORIG!U2083)</f>
        <v/>
      </c>
      <c r="V2083" s="9">
        <f>IF(ORIG!V2083=0,"",ORIG!V2083)</f>
        <v/>
      </c>
      <c r="W2083" s="9">
        <f>IF(ORIG!W2083=0,"",ORIG!W2083)</f>
        <v/>
      </c>
      <c r="X2083" s="9">
        <f>IF(ORIG!X2083=0,"",ORIG!X2083)</f>
        <v/>
      </c>
      <c r="Y2083" s="9">
        <f>IF(ORIG!Y2083=0,"",ORIG!Y2083)</f>
        <v/>
      </c>
      <c r="Z2083" s="3">
        <f>SUMPRODUCT($B2083:$Y2083,$B$2649:$Y$2649)</f>
        <v/>
      </c>
      <c r="AA2083" s="3">
        <f>SUMPRODUCT($B2083:$Y2083,$B$2655:$Y$2655)</f>
        <v/>
      </c>
      <c r="AC2083" s="1">
        <f>A2083</f>
        <v/>
      </c>
      <c r="AD2083">
        <f>IF(ISNUMBER(V2083),V2083*($AB$1/V$2635),"")</f>
        <v/>
      </c>
      <c r="AE2083">
        <f>IF(ISNUMBER(Z2083),Z2083*($AB$1/Z$2635),"")</f>
        <v/>
      </c>
      <c r="AF2083" s="25">
        <f>IF(ISNUMBER(AD2083+AE2083),AD2083+AE2083,"")</f>
        <v/>
      </c>
      <c r="AH2083" s="1">
        <f>A2083</f>
        <v/>
      </c>
      <c r="AI2083">
        <f>IF(ISNUMBER((1+V2083)*AI2082),(1+V2083)*AI2082,AI2082)</f>
        <v/>
      </c>
      <c r="AJ2083">
        <f>IF(ISNUMBER((1+Z2083)*AJ2082),(1+Z2083)*AJ2082,AJ2082)</f>
        <v/>
      </c>
    </row>
    <row r="2084">
      <c r="A2084" s="1" t="n">
        <v>45027</v>
      </c>
      <c r="B2084" s="3">
        <f>IF(ORIG!B2084=0,"",ORIG!B2084)</f>
        <v/>
      </c>
      <c r="C2084" s="3">
        <f>IF(ORIG!C2084=0,"",ORIG!C2084)</f>
        <v/>
      </c>
      <c r="D2084" s="3">
        <f>IF(ORIG!D2084=0,"",ORIG!D2084)</f>
        <v/>
      </c>
      <c r="E2084" s="3">
        <f>IF(ORIG!E2084=0,"",ORIG!E2084)</f>
        <v/>
      </c>
      <c r="F2084" s="3">
        <f>IF(ORIG!F2084=0,"",ORIG!F2084)</f>
        <v/>
      </c>
      <c r="G2084" s="3">
        <f>IF(ORIG!G2084=0,"",ORIG!G2084)</f>
        <v/>
      </c>
      <c r="H2084" s="3">
        <f>IF(ORIG!H2084=0,"",ORIG!H2084)</f>
        <v/>
      </c>
      <c r="I2084" s="3">
        <f>IF(ORIG!I2084=0,"",ORIG!I2084)</f>
        <v/>
      </c>
      <c r="J2084" s="3">
        <f>IF(ORIG!J2084=0,"",ORIG!J2084)</f>
        <v/>
      </c>
      <c r="K2084" s="3">
        <f>IF(ORIG!K2084=0,"",ORIG!K2084)</f>
        <v/>
      </c>
      <c r="L2084" s="3">
        <f>IF(ORIG!L2084=0,"",ORIG!L2084)</f>
        <v/>
      </c>
      <c r="M2084" s="3">
        <f>IF(ORIG!M2084=0,"",ORIG!M2084)</f>
        <v/>
      </c>
      <c r="N2084" s="3">
        <f>IF(ORIG!N2084=0,"",ORIG!N2084)</f>
        <v/>
      </c>
      <c r="O2084" s="3">
        <f>IF(ORIG!O2084=0,"",ORIG!O2084)</f>
        <v/>
      </c>
      <c r="P2084" s="3">
        <f>IF(ORIG!P2084=0,"",ORIG!P2084)</f>
        <v/>
      </c>
      <c r="Q2084" s="3">
        <f>IF(ORIG!Q2084=0,"",ORIG!Q2084)</f>
        <v/>
      </c>
      <c r="R2084" s="3">
        <f>IF(ORIG!R2084=0,"",ORIG!R2084)</f>
        <v/>
      </c>
      <c r="S2084" s="3">
        <f>IF(ORIG!S2084=0,"",ORIG!S2084)</f>
        <v/>
      </c>
      <c r="T2084" s="3">
        <f>IF(ORIG!T2084=0,"",ORIG!T2084)</f>
        <v/>
      </c>
      <c r="U2084" s="3">
        <f>IF(ORIG!U2084=0,"",ORIG!U2084)</f>
        <v/>
      </c>
      <c r="V2084" s="9">
        <f>IF(ORIG!V2084=0,"",ORIG!V2084)</f>
        <v/>
      </c>
      <c r="W2084" s="9">
        <f>IF(ORIG!W2084=0,"",ORIG!W2084)</f>
        <v/>
      </c>
      <c r="X2084" s="9">
        <f>IF(ORIG!X2084=0,"",ORIG!X2084)</f>
        <v/>
      </c>
      <c r="Y2084" s="9">
        <f>IF(ORIG!Y2084=0,"",ORIG!Y2084)</f>
        <v/>
      </c>
      <c r="Z2084" s="3">
        <f>SUMPRODUCT($B2084:$Y2084,$B$2649:$Y$2649)</f>
        <v/>
      </c>
      <c r="AA2084" s="3">
        <f>SUMPRODUCT($B2084:$Y2084,$B$2655:$Y$2655)</f>
        <v/>
      </c>
      <c r="AC2084" s="1">
        <f>A2084</f>
        <v/>
      </c>
      <c r="AD2084">
        <f>IF(ISNUMBER(V2084),V2084*($AB$1/V$2635),"")</f>
        <v/>
      </c>
      <c r="AE2084">
        <f>IF(ISNUMBER(Z2084),Z2084*($AB$1/Z$2635),"")</f>
        <v/>
      </c>
      <c r="AF2084" s="25">
        <f>IF(ISNUMBER(AD2084+AE2084),AD2084+AE2084,"")</f>
        <v/>
      </c>
      <c r="AH2084" s="1">
        <f>A2084</f>
        <v/>
      </c>
      <c r="AI2084">
        <f>IF(ISNUMBER((1+V2084)*AI2083),(1+V2084)*AI2083,AI2083)</f>
        <v/>
      </c>
      <c r="AJ2084">
        <f>IF(ISNUMBER((1+Z2084)*AJ2083),(1+Z2084)*AJ2083,AJ2083)</f>
        <v/>
      </c>
    </row>
    <row r="2085">
      <c r="A2085" s="1" t="n">
        <v>45028</v>
      </c>
      <c r="B2085" s="3">
        <f>IF(ORIG!B2085=0,"",ORIG!B2085)</f>
        <v/>
      </c>
      <c r="C2085" s="3">
        <f>IF(ORIG!C2085=0,"",ORIG!C2085)</f>
        <v/>
      </c>
      <c r="D2085" s="3">
        <f>IF(ORIG!D2085=0,"",ORIG!D2085)</f>
        <v/>
      </c>
      <c r="E2085" s="3">
        <f>IF(ORIG!E2085=0,"",ORIG!E2085)</f>
        <v/>
      </c>
      <c r="F2085" s="3">
        <f>IF(ORIG!F2085=0,"",ORIG!F2085)</f>
        <v/>
      </c>
      <c r="G2085" s="3">
        <f>IF(ORIG!G2085=0,"",ORIG!G2085)</f>
        <v/>
      </c>
      <c r="H2085" s="3">
        <f>IF(ORIG!H2085=0,"",ORIG!H2085)</f>
        <v/>
      </c>
      <c r="I2085" s="3">
        <f>IF(ORIG!I2085=0,"",ORIG!I2085)</f>
        <v/>
      </c>
      <c r="J2085" s="3">
        <f>IF(ORIG!J2085=0,"",ORIG!J2085)</f>
        <v/>
      </c>
      <c r="K2085" s="3">
        <f>IF(ORIG!K2085=0,"",ORIG!K2085)</f>
        <v/>
      </c>
      <c r="L2085" s="3">
        <f>IF(ORIG!L2085=0,"",ORIG!L2085)</f>
        <v/>
      </c>
      <c r="M2085" s="3">
        <f>IF(ORIG!M2085=0,"",ORIG!M2085)</f>
        <v/>
      </c>
      <c r="N2085" s="3">
        <f>IF(ORIG!N2085=0,"",ORIG!N2085)</f>
        <v/>
      </c>
      <c r="O2085" s="3">
        <f>IF(ORIG!O2085=0,"",ORIG!O2085)</f>
        <v/>
      </c>
      <c r="P2085" s="3">
        <f>IF(ORIG!P2085=0,"",ORIG!P2085)</f>
        <v/>
      </c>
      <c r="Q2085" s="3">
        <f>IF(ORIG!Q2085=0,"",ORIG!Q2085)</f>
        <v/>
      </c>
      <c r="R2085" s="3">
        <f>IF(ORIG!R2085=0,"",ORIG!R2085)</f>
        <v/>
      </c>
      <c r="S2085" s="3">
        <f>IF(ORIG!S2085=0,"",ORIG!S2085)</f>
        <v/>
      </c>
      <c r="T2085" s="3">
        <f>IF(ORIG!T2085=0,"",ORIG!T2085)</f>
        <v/>
      </c>
      <c r="U2085" s="3">
        <f>IF(ORIG!U2085=0,"",ORIG!U2085)</f>
        <v/>
      </c>
      <c r="V2085" s="9">
        <f>IF(ORIG!V2085=0,"",ORIG!V2085)</f>
        <v/>
      </c>
      <c r="W2085" s="9">
        <f>IF(ORIG!W2085=0,"",ORIG!W2085)</f>
        <v/>
      </c>
      <c r="X2085" s="9">
        <f>IF(ORIG!X2085=0,"",ORIG!X2085)</f>
        <v/>
      </c>
      <c r="Y2085" s="9">
        <f>IF(ORIG!Y2085=0,"",ORIG!Y2085)</f>
        <v/>
      </c>
      <c r="Z2085" s="3">
        <f>SUMPRODUCT($B2085:$Y2085,$B$2649:$Y$2649)</f>
        <v/>
      </c>
      <c r="AA2085" s="3">
        <f>SUMPRODUCT($B2085:$Y2085,$B$2655:$Y$2655)</f>
        <v/>
      </c>
      <c r="AC2085" s="1">
        <f>A2085</f>
        <v/>
      </c>
      <c r="AD2085">
        <f>IF(ISNUMBER(V2085),V2085*($AB$1/V$2635),"")</f>
        <v/>
      </c>
      <c r="AE2085">
        <f>IF(ISNUMBER(Z2085),Z2085*($AB$1/Z$2635),"")</f>
        <v/>
      </c>
      <c r="AF2085" s="25">
        <f>IF(ISNUMBER(AD2085+AE2085),AD2085+AE2085,"")</f>
        <v/>
      </c>
      <c r="AH2085" s="1">
        <f>A2085</f>
        <v/>
      </c>
      <c r="AI2085">
        <f>IF(ISNUMBER((1+V2085)*AI2084),(1+V2085)*AI2084,AI2084)</f>
        <v/>
      </c>
      <c r="AJ2085">
        <f>IF(ISNUMBER((1+Z2085)*AJ2084),(1+Z2085)*AJ2084,AJ2084)</f>
        <v/>
      </c>
    </row>
    <row r="2086">
      <c r="A2086" s="1" t="n">
        <v>45029</v>
      </c>
      <c r="B2086" s="3">
        <f>IF(ORIG!B2086=0,"",ORIG!B2086)</f>
        <v/>
      </c>
      <c r="C2086" s="3">
        <f>IF(ORIG!C2086=0,"",ORIG!C2086)</f>
        <v/>
      </c>
      <c r="D2086" s="3">
        <f>IF(ORIG!D2086=0,"",ORIG!D2086)</f>
        <v/>
      </c>
      <c r="E2086" s="3">
        <f>IF(ORIG!E2086=0,"",ORIG!E2086)</f>
        <v/>
      </c>
      <c r="F2086" s="3">
        <f>IF(ORIG!F2086=0,"",ORIG!F2086)</f>
        <v/>
      </c>
      <c r="G2086" s="3">
        <f>IF(ORIG!G2086=0,"",ORIG!G2086)</f>
        <v/>
      </c>
      <c r="H2086" s="3">
        <f>IF(ORIG!H2086=0,"",ORIG!H2086)</f>
        <v/>
      </c>
      <c r="I2086" s="3">
        <f>IF(ORIG!I2086=0,"",ORIG!I2086)</f>
        <v/>
      </c>
      <c r="J2086" s="3">
        <f>IF(ORIG!J2086=0,"",ORIG!J2086)</f>
        <v/>
      </c>
      <c r="K2086" s="3">
        <f>IF(ORIG!K2086=0,"",ORIG!K2086)</f>
        <v/>
      </c>
      <c r="L2086" s="3">
        <f>IF(ORIG!L2086=0,"",ORIG!L2086)</f>
        <v/>
      </c>
      <c r="M2086" s="3">
        <f>IF(ORIG!M2086=0,"",ORIG!M2086)</f>
        <v/>
      </c>
      <c r="N2086" s="3">
        <f>IF(ORIG!N2086=0,"",ORIG!N2086)</f>
        <v/>
      </c>
      <c r="O2086" s="3">
        <f>IF(ORIG!O2086=0,"",ORIG!O2086)</f>
        <v/>
      </c>
      <c r="P2086" s="3">
        <f>IF(ORIG!P2086=0,"",ORIG!P2086)</f>
        <v/>
      </c>
      <c r="Q2086" s="3">
        <f>IF(ORIG!Q2086=0,"",ORIG!Q2086)</f>
        <v/>
      </c>
      <c r="R2086" s="3">
        <f>IF(ORIG!R2086=0,"",ORIG!R2086)</f>
        <v/>
      </c>
      <c r="S2086" s="3">
        <f>IF(ORIG!S2086=0,"",ORIG!S2086)</f>
        <v/>
      </c>
      <c r="T2086" s="3">
        <f>IF(ORIG!T2086=0,"",ORIG!T2086)</f>
        <v/>
      </c>
      <c r="U2086" s="3">
        <f>IF(ORIG!U2086=0,"",ORIG!U2086)</f>
        <v/>
      </c>
      <c r="V2086" s="9">
        <f>IF(ORIG!V2086=0,"",ORIG!V2086)</f>
        <v/>
      </c>
      <c r="W2086" s="9">
        <f>IF(ORIG!W2086=0,"",ORIG!W2086)</f>
        <v/>
      </c>
      <c r="X2086" s="9">
        <f>IF(ORIG!X2086=0,"",ORIG!X2086)</f>
        <v/>
      </c>
      <c r="Y2086" s="9">
        <f>IF(ORIG!Y2086=0,"",ORIG!Y2086)</f>
        <v/>
      </c>
      <c r="Z2086" s="3">
        <f>SUMPRODUCT($B2086:$Y2086,$B$2649:$Y$2649)</f>
        <v/>
      </c>
      <c r="AA2086" s="3">
        <f>SUMPRODUCT($B2086:$Y2086,$B$2655:$Y$2655)</f>
        <v/>
      </c>
      <c r="AC2086" s="1">
        <f>A2086</f>
        <v/>
      </c>
      <c r="AD2086">
        <f>IF(ISNUMBER(V2086),V2086*($AB$1/V$2635),"")</f>
        <v/>
      </c>
      <c r="AE2086">
        <f>IF(ISNUMBER(Z2086),Z2086*($AB$1/Z$2635),"")</f>
        <v/>
      </c>
      <c r="AF2086" s="25">
        <f>IF(ISNUMBER(AD2086+AE2086),AD2086+AE2086,"")</f>
        <v/>
      </c>
      <c r="AH2086" s="1">
        <f>A2086</f>
        <v/>
      </c>
      <c r="AI2086">
        <f>IF(ISNUMBER((1+V2086)*AI2085),(1+V2086)*AI2085,AI2085)</f>
        <v/>
      </c>
      <c r="AJ2086">
        <f>IF(ISNUMBER((1+Z2086)*AJ2085),(1+Z2086)*AJ2085,AJ2085)</f>
        <v/>
      </c>
    </row>
    <row r="2087">
      <c r="A2087" s="1" t="n">
        <v>45030</v>
      </c>
      <c r="B2087" s="3">
        <f>IF(ORIG!B2087=0,"",ORIG!B2087)</f>
        <v/>
      </c>
      <c r="C2087" s="3">
        <f>IF(ORIG!C2087=0,"",ORIG!C2087)</f>
        <v/>
      </c>
      <c r="D2087" s="3">
        <f>IF(ORIG!D2087=0,"",ORIG!D2087)</f>
        <v/>
      </c>
      <c r="E2087" s="3">
        <f>IF(ORIG!E2087=0,"",ORIG!E2087)</f>
        <v/>
      </c>
      <c r="F2087" s="3">
        <f>IF(ORIG!F2087=0,"",ORIG!F2087)</f>
        <v/>
      </c>
      <c r="G2087" s="3">
        <f>IF(ORIG!G2087=0,"",ORIG!G2087)</f>
        <v/>
      </c>
      <c r="H2087" s="3">
        <f>IF(ORIG!H2087=0,"",ORIG!H2087)</f>
        <v/>
      </c>
      <c r="I2087" s="3">
        <f>IF(ORIG!I2087=0,"",ORIG!I2087)</f>
        <v/>
      </c>
      <c r="J2087" s="3">
        <f>IF(ORIG!J2087=0,"",ORIG!J2087)</f>
        <v/>
      </c>
      <c r="K2087" s="3">
        <f>IF(ORIG!K2087=0,"",ORIG!K2087)</f>
        <v/>
      </c>
      <c r="L2087" s="3">
        <f>IF(ORIG!L2087=0,"",ORIG!L2087)</f>
        <v/>
      </c>
      <c r="M2087" s="3">
        <f>IF(ORIG!M2087=0,"",ORIG!M2087)</f>
        <v/>
      </c>
      <c r="N2087" s="3">
        <f>IF(ORIG!N2087=0,"",ORIG!N2087)</f>
        <v/>
      </c>
      <c r="O2087" s="3">
        <f>IF(ORIG!O2087=0,"",ORIG!O2087)</f>
        <v/>
      </c>
      <c r="P2087" s="3">
        <f>IF(ORIG!P2087=0,"",ORIG!P2087)</f>
        <v/>
      </c>
      <c r="Q2087" s="3">
        <f>IF(ORIG!Q2087=0,"",ORIG!Q2087)</f>
        <v/>
      </c>
      <c r="R2087" s="3">
        <f>IF(ORIG!R2087=0,"",ORIG!R2087)</f>
        <v/>
      </c>
      <c r="S2087" s="3">
        <f>IF(ORIG!S2087=0,"",ORIG!S2087)</f>
        <v/>
      </c>
      <c r="T2087" s="3">
        <f>IF(ORIG!T2087=0,"",ORIG!T2087)</f>
        <v/>
      </c>
      <c r="U2087" s="3">
        <f>IF(ORIG!U2087=0,"",ORIG!U2087)</f>
        <v/>
      </c>
      <c r="V2087" s="9">
        <f>IF(ORIG!V2087=0,"",ORIG!V2087)</f>
        <v/>
      </c>
      <c r="W2087" s="9">
        <f>IF(ORIG!W2087=0,"",ORIG!W2087)</f>
        <v/>
      </c>
      <c r="X2087" s="9">
        <f>IF(ORIG!X2087=0,"",ORIG!X2087)</f>
        <v/>
      </c>
      <c r="Y2087" s="9">
        <f>IF(ORIG!Y2087=0,"",ORIG!Y2087)</f>
        <v/>
      </c>
      <c r="Z2087" s="3">
        <f>SUMPRODUCT($B2087:$Y2087,$B$2649:$Y$2649)</f>
        <v/>
      </c>
      <c r="AA2087" s="3">
        <f>SUMPRODUCT($B2087:$Y2087,$B$2655:$Y$2655)</f>
        <v/>
      </c>
      <c r="AC2087" s="1">
        <f>A2087</f>
        <v/>
      </c>
      <c r="AD2087">
        <f>IF(ISNUMBER(V2087),V2087*($AB$1/V$2635),"")</f>
        <v/>
      </c>
      <c r="AE2087">
        <f>IF(ISNUMBER(Z2087),Z2087*($AB$1/Z$2635),"")</f>
        <v/>
      </c>
      <c r="AF2087" s="25">
        <f>IF(ISNUMBER(AD2087+AE2087),AD2087+AE2087,"")</f>
        <v/>
      </c>
      <c r="AH2087" s="1">
        <f>A2087</f>
        <v/>
      </c>
      <c r="AI2087">
        <f>IF(ISNUMBER((1+V2087)*AI2086),(1+V2087)*AI2086,AI2086)</f>
        <v/>
      </c>
      <c r="AJ2087">
        <f>IF(ISNUMBER((1+Z2087)*AJ2086),(1+Z2087)*AJ2086,AJ2086)</f>
        <v/>
      </c>
    </row>
    <row r="2088">
      <c r="A2088" s="1" t="n">
        <v>45033</v>
      </c>
      <c r="B2088" s="3">
        <f>IF(ORIG!B2088=0,"",ORIG!B2088)</f>
        <v/>
      </c>
      <c r="C2088" s="3">
        <f>IF(ORIG!C2088=0,"",ORIG!C2088)</f>
        <v/>
      </c>
      <c r="D2088" s="3">
        <f>IF(ORIG!D2088=0,"",ORIG!D2088)</f>
        <v/>
      </c>
      <c r="E2088" s="3">
        <f>IF(ORIG!E2088=0,"",ORIG!E2088)</f>
        <v/>
      </c>
      <c r="F2088" s="3">
        <f>IF(ORIG!F2088=0,"",ORIG!F2088)</f>
        <v/>
      </c>
      <c r="G2088" s="3">
        <f>IF(ORIG!G2088=0,"",ORIG!G2088)</f>
        <v/>
      </c>
      <c r="H2088" s="3">
        <f>IF(ORIG!H2088=0,"",ORIG!H2088)</f>
        <v/>
      </c>
      <c r="I2088" s="3">
        <f>IF(ORIG!I2088=0,"",ORIG!I2088)</f>
        <v/>
      </c>
      <c r="J2088" s="3">
        <f>IF(ORIG!J2088=0,"",ORIG!J2088)</f>
        <v/>
      </c>
      <c r="K2088" s="3">
        <f>IF(ORIG!K2088=0,"",ORIG!K2088)</f>
        <v/>
      </c>
      <c r="L2088" s="3">
        <f>IF(ORIG!L2088=0,"",ORIG!L2088)</f>
        <v/>
      </c>
      <c r="M2088" s="3">
        <f>IF(ORIG!M2088=0,"",ORIG!M2088)</f>
        <v/>
      </c>
      <c r="N2088" s="3">
        <f>IF(ORIG!N2088=0,"",ORIG!N2088)</f>
        <v/>
      </c>
      <c r="O2088" s="3">
        <f>IF(ORIG!O2088=0,"",ORIG!O2088)</f>
        <v/>
      </c>
      <c r="P2088" s="3">
        <f>IF(ORIG!P2088=0,"",ORIG!P2088)</f>
        <v/>
      </c>
      <c r="Q2088" s="3">
        <f>IF(ORIG!Q2088=0,"",ORIG!Q2088)</f>
        <v/>
      </c>
      <c r="R2088" s="3">
        <f>IF(ORIG!R2088=0,"",ORIG!R2088)</f>
        <v/>
      </c>
      <c r="S2088" s="3">
        <f>IF(ORIG!S2088=0,"",ORIG!S2088)</f>
        <v/>
      </c>
      <c r="T2088" s="3">
        <f>IF(ORIG!T2088=0,"",ORIG!T2088)</f>
        <v/>
      </c>
      <c r="U2088" s="3">
        <f>IF(ORIG!U2088=0,"",ORIG!U2088)</f>
        <v/>
      </c>
      <c r="V2088" s="9">
        <f>IF(ORIG!V2088=0,"",ORIG!V2088)</f>
        <v/>
      </c>
      <c r="W2088" s="9">
        <f>IF(ORIG!W2088=0,"",ORIG!W2088)</f>
        <v/>
      </c>
      <c r="X2088" s="9">
        <f>IF(ORIG!X2088=0,"",ORIG!X2088)</f>
        <v/>
      </c>
      <c r="Y2088" s="9">
        <f>IF(ORIG!Y2088=0,"",ORIG!Y2088)</f>
        <v/>
      </c>
      <c r="Z2088" s="3">
        <f>SUMPRODUCT($B2088:$Y2088,$B$2649:$Y$2649)</f>
        <v/>
      </c>
      <c r="AA2088" s="3">
        <f>SUMPRODUCT($B2088:$Y2088,$B$2655:$Y$2655)</f>
        <v/>
      </c>
      <c r="AC2088" s="1">
        <f>A2088</f>
        <v/>
      </c>
      <c r="AD2088">
        <f>IF(ISNUMBER(V2088),V2088*($AB$1/V$2635),"")</f>
        <v/>
      </c>
      <c r="AE2088">
        <f>IF(ISNUMBER(Z2088),Z2088*($AB$1/Z$2635),"")</f>
        <v/>
      </c>
      <c r="AF2088" s="25">
        <f>IF(ISNUMBER(AD2088+AE2088),AD2088+AE2088,"")</f>
        <v/>
      </c>
      <c r="AH2088" s="1">
        <f>A2088</f>
        <v/>
      </c>
      <c r="AI2088">
        <f>IF(ISNUMBER((1+V2088)*AI2087),(1+V2088)*AI2087,AI2087)</f>
        <v/>
      </c>
      <c r="AJ2088">
        <f>IF(ISNUMBER((1+Z2088)*AJ2087),(1+Z2088)*AJ2087,AJ2087)</f>
        <v/>
      </c>
    </row>
    <row r="2089">
      <c r="A2089" s="1" t="n">
        <v>45034</v>
      </c>
      <c r="B2089" s="3">
        <f>IF(ORIG!B2089=0,"",ORIG!B2089)</f>
        <v/>
      </c>
      <c r="C2089" s="3">
        <f>IF(ORIG!C2089=0,"",ORIG!C2089)</f>
        <v/>
      </c>
      <c r="D2089" s="3">
        <f>IF(ORIG!D2089=0,"",ORIG!D2089)</f>
        <v/>
      </c>
      <c r="E2089" s="3">
        <f>IF(ORIG!E2089=0,"",ORIG!E2089)</f>
        <v/>
      </c>
      <c r="F2089" s="3">
        <f>IF(ORIG!F2089=0,"",ORIG!F2089)</f>
        <v/>
      </c>
      <c r="G2089" s="3">
        <f>IF(ORIG!G2089=0,"",ORIG!G2089)</f>
        <v/>
      </c>
      <c r="H2089" s="3">
        <f>IF(ORIG!H2089=0,"",ORIG!H2089)</f>
        <v/>
      </c>
      <c r="I2089" s="3">
        <f>IF(ORIG!I2089=0,"",ORIG!I2089)</f>
        <v/>
      </c>
      <c r="J2089" s="3">
        <f>IF(ORIG!J2089=0,"",ORIG!J2089)</f>
        <v/>
      </c>
      <c r="K2089" s="3">
        <f>IF(ORIG!K2089=0,"",ORIG!K2089)</f>
        <v/>
      </c>
      <c r="L2089" s="3">
        <f>IF(ORIG!L2089=0,"",ORIG!L2089)</f>
        <v/>
      </c>
      <c r="M2089" s="3">
        <f>IF(ORIG!M2089=0,"",ORIG!M2089)</f>
        <v/>
      </c>
      <c r="N2089" s="3">
        <f>IF(ORIG!N2089=0,"",ORIG!N2089)</f>
        <v/>
      </c>
      <c r="O2089" s="3">
        <f>IF(ORIG!O2089=0,"",ORIG!O2089)</f>
        <v/>
      </c>
      <c r="P2089" s="3">
        <f>IF(ORIG!P2089=0,"",ORIG!P2089)</f>
        <v/>
      </c>
      <c r="Q2089" s="3">
        <f>IF(ORIG!Q2089=0,"",ORIG!Q2089)</f>
        <v/>
      </c>
      <c r="R2089" s="3">
        <f>IF(ORIG!R2089=0,"",ORIG!R2089)</f>
        <v/>
      </c>
      <c r="S2089" s="3">
        <f>IF(ORIG!S2089=0,"",ORIG!S2089)</f>
        <v/>
      </c>
      <c r="T2089" s="3">
        <f>IF(ORIG!T2089=0,"",ORIG!T2089)</f>
        <v/>
      </c>
      <c r="U2089" s="3">
        <f>IF(ORIG!U2089=0,"",ORIG!U2089)</f>
        <v/>
      </c>
      <c r="V2089" s="9">
        <f>IF(ORIG!V2089=0,"",ORIG!V2089)</f>
        <v/>
      </c>
      <c r="W2089" s="9">
        <f>IF(ORIG!W2089=0,"",ORIG!W2089)</f>
        <v/>
      </c>
      <c r="X2089" s="9">
        <f>IF(ORIG!X2089=0,"",ORIG!X2089)</f>
        <v/>
      </c>
      <c r="Y2089" s="9">
        <f>IF(ORIG!Y2089=0,"",ORIG!Y2089)</f>
        <v/>
      </c>
      <c r="Z2089" s="3">
        <f>SUMPRODUCT($B2089:$Y2089,$B$2649:$Y$2649)</f>
        <v/>
      </c>
      <c r="AA2089" s="3">
        <f>SUMPRODUCT($B2089:$Y2089,$B$2655:$Y$2655)</f>
        <v/>
      </c>
      <c r="AC2089" s="1">
        <f>A2089</f>
        <v/>
      </c>
      <c r="AD2089">
        <f>IF(ISNUMBER(V2089),V2089*($AB$1/V$2635),"")</f>
        <v/>
      </c>
      <c r="AE2089">
        <f>IF(ISNUMBER(Z2089),Z2089*($AB$1/Z$2635),"")</f>
        <v/>
      </c>
      <c r="AF2089" s="25">
        <f>IF(ISNUMBER(AD2089+AE2089),AD2089+AE2089,"")</f>
        <v/>
      </c>
      <c r="AH2089" s="1">
        <f>A2089</f>
        <v/>
      </c>
      <c r="AI2089">
        <f>IF(ISNUMBER((1+V2089)*AI2088),(1+V2089)*AI2088,AI2088)</f>
        <v/>
      </c>
      <c r="AJ2089">
        <f>IF(ISNUMBER((1+Z2089)*AJ2088),(1+Z2089)*AJ2088,AJ2088)</f>
        <v/>
      </c>
    </row>
    <row r="2090">
      <c r="A2090" s="1" t="n">
        <v>45035</v>
      </c>
      <c r="B2090" s="3">
        <f>IF(ORIG!B2090=0,"",ORIG!B2090)</f>
        <v/>
      </c>
      <c r="C2090" s="3">
        <f>IF(ORIG!C2090=0,"",ORIG!C2090)</f>
        <v/>
      </c>
      <c r="D2090" s="3">
        <f>IF(ORIG!D2090=0,"",ORIG!D2090)</f>
        <v/>
      </c>
      <c r="E2090" s="3">
        <f>IF(ORIG!E2090=0,"",ORIG!E2090)</f>
        <v/>
      </c>
      <c r="F2090" s="3">
        <f>IF(ORIG!F2090=0,"",ORIG!F2090)</f>
        <v/>
      </c>
      <c r="G2090" s="3">
        <f>IF(ORIG!G2090=0,"",ORIG!G2090)</f>
        <v/>
      </c>
      <c r="H2090" s="3">
        <f>IF(ORIG!H2090=0,"",ORIG!H2090)</f>
        <v/>
      </c>
      <c r="I2090" s="3">
        <f>IF(ORIG!I2090=0,"",ORIG!I2090)</f>
        <v/>
      </c>
      <c r="J2090" s="3">
        <f>IF(ORIG!J2090=0,"",ORIG!J2090)</f>
        <v/>
      </c>
      <c r="K2090" s="3">
        <f>IF(ORIG!K2090=0,"",ORIG!K2090)</f>
        <v/>
      </c>
      <c r="L2090" s="3">
        <f>IF(ORIG!L2090=0,"",ORIG!L2090)</f>
        <v/>
      </c>
      <c r="M2090" s="3">
        <f>IF(ORIG!M2090=0,"",ORIG!M2090)</f>
        <v/>
      </c>
      <c r="N2090" s="3">
        <f>IF(ORIG!N2090=0,"",ORIG!N2090)</f>
        <v/>
      </c>
      <c r="O2090" s="3">
        <f>IF(ORIG!O2090=0,"",ORIG!O2090)</f>
        <v/>
      </c>
      <c r="P2090" s="3">
        <f>IF(ORIG!P2090=0,"",ORIG!P2090)</f>
        <v/>
      </c>
      <c r="Q2090" s="3">
        <f>IF(ORIG!Q2090=0,"",ORIG!Q2090)</f>
        <v/>
      </c>
      <c r="R2090" s="3">
        <f>IF(ORIG!R2090=0,"",ORIG!R2090)</f>
        <v/>
      </c>
      <c r="S2090" s="3">
        <f>IF(ORIG!S2090=0,"",ORIG!S2090)</f>
        <v/>
      </c>
      <c r="T2090" s="3">
        <f>IF(ORIG!T2090=0,"",ORIG!T2090)</f>
        <v/>
      </c>
      <c r="U2090" s="3">
        <f>IF(ORIG!U2090=0,"",ORIG!U2090)</f>
        <v/>
      </c>
      <c r="V2090" s="9">
        <f>IF(ORIG!V2090=0,"",ORIG!V2090)</f>
        <v/>
      </c>
      <c r="W2090" s="9">
        <f>IF(ORIG!W2090=0,"",ORIG!W2090)</f>
        <v/>
      </c>
      <c r="X2090" s="9">
        <f>IF(ORIG!X2090=0,"",ORIG!X2090)</f>
        <v/>
      </c>
      <c r="Y2090" s="9">
        <f>IF(ORIG!Y2090=0,"",ORIG!Y2090)</f>
        <v/>
      </c>
      <c r="Z2090" s="3">
        <f>SUMPRODUCT($B2090:$Y2090,$B$2649:$Y$2649)</f>
        <v/>
      </c>
      <c r="AA2090" s="3">
        <f>SUMPRODUCT($B2090:$Y2090,$B$2655:$Y$2655)</f>
        <v/>
      </c>
      <c r="AC2090" s="1">
        <f>A2090</f>
        <v/>
      </c>
      <c r="AD2090">
        <f>IF(ISNUMBER(V2090),V2090*($AB$1/V$2635),"")</f>
        <v/>
      </c>
      <c r="AE2090">
        <f>IF(ISNUMBER(Z2090),Z2090*($AB$1/Z$2635),"")</f>
        <v/>
      </c>
      <c r="AF2090" s="25">
        <f>IF(ISNUMBER(AD2090+AE2090),AD2090+AE2090,"")</f>
        <v/>
      </c>
      <c r="AH2090" s="1">
        <f>A2090</f>
        <v/>
      </c>
      <c r="AI2090">
        <f>IF(ISNUMBER((1+V2090)*AI2089),(1+V2090)*AI2089,AI2089)</f>
        <v/>
      </c>
      <c r="AJ2090">
        <f>IF(ISNUMBER((1+Z2090)*AJ2089),(1+Z2090)*AJ2089,AJ2089)</f>
        <v/>
      </c>
    </row>
    <row r="2091">
      <c r="A2091" s="1" t="n">
        <v>45036</v>
      </c>
      <c r="B2091" s="3">
        <f>IF(ORIG!B2091=0,"",ORIG!B2091)</f>
        <v/>
      </c>
      <c r="C2091" s="3">
        <f>IF(ORIG!C2091=0,"",ORIG!C2091)</f>
        <v/>
      </c>
      <c r="D2091" s="3">
        <f>IF(ORIG!D2091=0,"",ORIG!D2091)</f>
        <v/>
      </c>
      <c r="E2091" s="3">
        <f>IF(ORIG!E2091=0,"",ORIG!E2091)</f>
        <v/>
      </c>
      <c r="F2091" s="3">
        <f>IF(ORIG!F2091=0,"",ORIG!F2091)</f>
        <v/>
      </c>
      <c r="G2091" s="3">
        <f>IF(ORIG!G2091=0,"",ORIG!G2091)</f>
        <v/>
      </c>
      <c r="H2091" s="3">
        <f>IF(ORIG!H2091=0,"",ORIG!H2091)</f>
        <v/>
      </c>
      <c r="I2091" s="3">
        <f>IF(ORIG!I2091=0,"",ORIG!I2091)</f>
        <v/>
      </c>
      <c r="J2091" s="3">
        <f>IF(ORIG!J2091=0,"",ORIG!J2091)</f>
        <v/>
      </c>
      <c r="K2091" s="3">
        <f>IF(ORIG!K2091=0,"",ORIG!K2091)</f>
        <v/>
      </c>
      <c r="L2091" s="3">
        <f>IF(ORIG!L2091=0,"",ORIG!L2091)</f>
        <v/>
      </c>
      <c r="M2091" s="3">
        <f>IF(ORIG!M2091=0,"",ORIG!M2091)</f>
        <v/>
      </c>
      <c r="N2091" s="3">
        <f>IF(ORIG!N2091=0,"",ORIG!N2091)</f>
        <v/>
      </c>
      <c r="O2091" s="3">
        <f>IF(ORIG!O2091=0,"",ORIG!O2091)</f>
        <v/>
      </c>
      <c r="P2091" s="3">
        <f>IF(ORIG!P2091=0,"",ORIG!P2091)</f>
        <v/>
      </c>
      <c r="Q2091" s="3">
        <f>IF(ORIG!Q2091=0,"",ORIG!Q2091)</f>
        <v/>
      </c>
      <c r="R2091" s="3">
        <f>IF(ORIG!R2091=0,"",ORIG!R2091)</f>
        <v/>
      </c>
      <c r="S2091" s="3">
        <f>IF(ORIG!S2091=0,"",ORIG!S2091)</f>
        <v/>
      </c>
      <c r="T2091" s="3">
        <f>IF(ORIG!T2091=0,"",ORIG!T2091)</f>
        <v/>
      </c>
      <c r="U2091" s="3">
        <f>IF(ORIG!U2091=0,"",ORIG!U2091)</f>
        <v/>
      </c>
      <c r="V2091" s="9">
        <f>IF(ORIG!V2091=0,"",ORIG!V2091)</f>
        <v/>
      </c>
      <c r="W2091" s="9">
        <f>IF(ORIG!W2091=0,"",ORIG!W2091)</f>
        <v/>
      </c>
      <c r="X2091" s="9">
        <f>IF(ORIG!X2091=0,"",ORIG!X2091)</f>
        <v/>
      </c>
      <c r="Y2091" s="9">
        <f>IF(ORIG!Y2091=0,"",ORIG!Y2091)</f>
        <v/>
      </c>
      <c r="Z2091" s="3">
        <f>SUMPRODUCT($B2091:$Y2091,$B$2649:$Y$2649)</f>
        <v/>
      </c>
      <c r="AA2091" s="3">
        <f>SUMPRODUCT($B2091:$Y2091,$B$2655:$Y$2655)</f>
        <v/>
      </c>
      <c r="AC2091" s="1">
        <f>A2091</f>
        <v/>
      </c>
      <c r="AD2091">
        <f>IF(ISNUMBER(V2091),V2091*($AB$1/V$2635),"")</f>
        <v/>
      </c>
      <c r="AE2091">
        <f>IF(ISNUMBER(Z2091),Z2091*($AB$1/Z$2635),"")</f>
        <v/>
      </c>
      <c r="AF2091" s="25">
        <f>IF(ISNUMBER(AD2091+AE2091),AD2091+AE2091,"")</f>
        <v/>
      </c>
      <c r="AH2091" s="1">
        <f>A2091</f>
        <v/>
      </c>
      <c r="AI2091">
        <f>IF(ISNUMBER((1+V2091)*AI2090),(1+V2091)*AI2090,AI2090)</f>
        <v/>
      </c>
      <c r="AJ2091">
        <f>IF(ISNUMBER((1+Z2091)*AJ2090),(1+Z2091)*AJ2090,AJ2090)</f>
        <v/>
      </c>
    </row>
    <row r="2092">
      <c r="A2092" s="1" t="n">
        <v>45037</v>
      </c>
      <c r="B2092" s="3">
        <f>IF(ORIG!B2092=0,"",ORIG!B2092)</f>
        <v/>
      </c>
      <c r="C2092" s="3">
        <f>IF(ORIG!C2092=0,"",ORIG!C2092)</f>
        <v/>
      </c>
      <c r="D2092" s="3">
        <f>IF(ORIG!D2092=0,"",ORIG!D2092)</f>
        <v/>
      </c>
      <c r="E2092" s="3">
        <f>IF(ORIG!E2092=0,"",ORIG!E2092)</f>
        <v/>
      </c>
      <c r="F2092" s="3">
        <f>IF(ORIG!F2092=0,"",ORIG!F2092)</f>
        <v/>
      </c>
      <c r="G2092" s="3">
        <f>IF(ORIG!G2092=0,"",ORIG!G2092)</f>
        <v/>
      </c>
      <c r="H2092" s="3">
        <f>IF(ORIG!H2092=0,"",ORIG!H2092)</f>
        <v/>
      </c>
      <c r="I2092" s="3">
        <f>IF(ORIG!I2092=0,"",ORIG!I2092)</f>
        <v/>
      </c>
      <c r="J2092" s="3">
        <f>IF(ORIG!J2092=0,"",ORIG!J2092)</f>
        <v/>
      </c>
      <c r="K2092" s="3">
        <f>IF(ORIG!K2092=0,"",ORIG!K2092)</f>
        <v/>
      </c>
      <c r="L2092" s="3">
        <f>IF(ORIG!L2092=0,"",ORIG!L2092)</f>
        <v/>
      </c>
      <c r="M2092" s="3">
        <f>IF(ORIG!M2092=0,"",ORIG!M2092)</f>
        <v/>
      </c>
      <c r="N2092" s="3">
        <f>IF(ORIG!N2092=0,"",ORIG!N2092)</f>
        <v/>
      </c>
      <c r="O2092" s="3">
        <f>IF(ORIG!O2092=0,"",ORIG!O2092)</f>
        <v/>
      </c>
      <c r="P2092" s="3">
        <f>IF(ORIG!P2092=0,"",ORIG!P2092)</f>
        <v/>
      </c>
      <c r="Q2092" s="3">
        <f>IF(ORIG!Q2092=0,"",ORIG!Q2092)</f>
        <v/>
      </c>
      <c r="R2092" s="3">
        <f>IF(ORIG!R2092=0,"",ORIG!R2092)</f>
        <v/>
      </c>
      <c r="S2092" s="3">
        <f>IF(ORIG!S2092=0,"",ORIG!S2092)</f>
        <v/>
      </c>
      <c r="T2092" s="3">
        <f>IF(ORIG!T2092=0,"",ORIG!T2092)</f>
        <v/>
      </c>
      <c r="U2092" s="3">
        <f>IF(ORIG!U2092=0,"",ORIG!U2092)</f>
        <v/>
      </c>
      <c r="V2092" s="9">
        <f>IF(ORIG!V2092=0,"",ORIG!V2092)</f>
        <v/>
      </c>
      <c r="W2092" s="9">
        <f>IF(ORIG!W2092=0,"",ORIG!W2092)</f>
        <v/>
      </c>
      <c r="X2092" s="9">
        <f>IF(ORIG!X2092=0,"",ORIG!X2092)</f>
        <v/>
      </c>
      <c r="Y2092" s="9">
        <f>IF(ORIG!Y2092=0,"",ORIG!Y2092)</f>
        <v/>
      </c>
      <c r="Z2092" s="3">
        <f>SUMPRODUCT($B2092:$Y2092,$B$2649:$Y$2649)</f>
        <v/>
      </c>
      <c r="AA2092" s="3">
        <f>SUMPRODUCT($B2092:$Y2092,$B$2655:$Y$2655)</f>
        <v/>
      </c>
      <c r="AC2092" s="1">
        <f>A2092</f>
        <v/>
      </c>
      <c r="AD2092">
        <f>IF(ISNUMBER(V2092),V2092*($AB$1/V$2635),"")</f>
        <v/>
      </c>
      <c r="AE2092">
        <f>IF(ISNUMBER(Z2092),Z2092*($AB$1/Z$2635),"")</f>
        <v/>
      </c>
      <c r="AF2092" s="25">
        <f>IF(ISNUMBER(AD2092+AE2092),AD2092+AE2092,"")</f>
        <v/>
      </c>
      <c r="AH2092" s="1">
        <f>A2092</f>
        <v/>
      </c>
      <c r="AI2092">
        <f>IF(ISNUMBER((1+V2092)*AI2091),(1+V2092)*AI2091,AI2091)</f>
        <v/>
      </c>
      <c r="AJ2092">
        <f>IF(ISNUMBER((1+Z2092)*AJ2091),(1+Z2092)*AJ2091,AJ2091)</f>
        <v/>
      </c>
    </row>
    <row r="2093">
      <c r="A2093" s="1" t="n">
        <v>45040</v>
      </c>
      <c r="B2093" s="3">
        <f>IF(ORIG!B2093=0,"",ORIG!B2093)</f>
        <v/>
      </c>
      <c r="C2093" s="3">
        <f>IF(ORIG!C2093=0,"",ORIG!C2093)</f>
        <v/>
      </c>
      <c r="D2093" s="3">
        <f>IF(ORIG!D2093=0,"",ORIG!D2093)</f>
        <v/>
      </c>
      <c r="E2093" s="3">
        <f>IF(ORIG!E2093=0,"",ORIG!E2093)</f>
        <v/>
      </c>
      <c r="F2093" s="3">
        <f>IF(ORIG!F2093=0,"",ORIG!F2093)</f>
        <v/>
      </c>
      <c r="G2093" s="3">
        <f>IF(ORIG!G2093=0,"",ORIG!G2093)</f>
        <v/>
      </c>
      <c r="H2093" s="3">
        <f>IF(ORIG!H2093=0,"",ORIG!H2093)</f>
        <v/>
      </c>
      <c r="I2093" s="3">
        <f>IF(ORIG!I2093=0,"",ORIG!I2093)</f>
        <v/>
      </c>
      <c r="J2093" s="3">
        <f>IF(ORIG!J2093=0,"",ORIG!J2093)</f>
        <v/>
      </c>
      <c r="K2093" s="3">
        <f>IF(ORIG!K2093=0,"",ORIG!K2093)</f>
        <v/>
      </c>
      <c r="L2093" s="3">
        <f>IF(ORIG!L2093=0,"",ORIG!L2093)</f>
        <v/>
      </c>
      <c r="M2093" s="3">
        <f>IF(ORIG!M2093=0,"",ORIG!M2093)</f>
        <v/>
      </c>
      <c r="N2093" s="3">
        <f>IF(ORIG!N2093=0,"",ORIG!N2093)</f>
        <v/>
      </c>
      <c r="O2093" s="3">
        <f>IF(ORIG!O2093=0,"",ORIG!O2093)</f>
        <v/>
      </c>
      <c r="P2093" s="3">
        <f>IF(ORIG!P2093=0,"",ORIG!P2093)</f>
        <v/>
      </c>
      <c r="Q2093" s="3">
        <f>IF(ORIG!Q2093=0,"",ORIG!Q2093)</f>
        <v/>
      </c>
      <c r="R2093" s="3">
        <f>IF(ORIG!R2093=0,"",ORIG!R2093)</f>
        <v/>
      </c>
      <c r="S2093" s="3">
        <f>IF(ORIG!S2093=0,"",ORIG!S2093)</f>
        <v/>
      </c>
      <c r="T2093" s="3">
        <f>IF(ORIG!T2093=0,"",ORIG!T2093)</f>
        <v/>
      </c>
      <c r="U2093" s="3">
        <f>IF(ORIG!U2093=0,"",ORIG!U2093)</f>
        <v/>
      </c>
      <c r="V2093" s="9">
        <f>IF(ORIG!V2093=0,"",ORIG!V2093)</f>
        <v/>
      </c>
      <c r="W2093" s="9">
        <f>IF(ORIG!W2093=0,"",ORIG!W2093)</f>
        <v/>
      </c>
      <c r="X2093" s="9">
        <f>IF(ORIG!X2093=0,"",ORIG!X2093)</f>
        <v/>
      </c>
      <c r="Y2093" s="9">
        <f>IF(ORIG!Y2093=0,"",ORIG!Y2093)</f>
        <v/>
      </c>
      <c r="Z2093" s="3">
        <f>SUMPRODUCT($B2093:$Y2093,$B$2649:$Y$2649)</f>
        <v/>
      </c>
      <c r="AA2093" s="3">
        <f>SUMPRODUCT($B2093:$Y2093,$B$2655:$Y$2655)</f>
        <v/>
      </c>
      <c r="AC2093" s="1">
        <f>A2093</f>
        <v/>
      </c>
      <c r="AD2093">
        <f>IF(ISNUMBER(V2093),V2093*($AB$1/V$2635),"")</f>
        <v/>
      </c>
      <c r="AE2093">
        <f>IF(ISNUMBER(Z2093),Z2093*($AB$1/Z$2635),"")</f>
        <v/>
      </c>
      <c r="AF2093" s="25">
        <f>IF(ISNUMBER(AD2093+AE2093),AD2093+AE2093,"")</f>
        <v/>
      </c>
      <c r="AH2093" s="1">
        <f>A2093</f>
        <v/>
      </c>
      <c r="AI2093">
        <f>IF(ISNUMBER((1+V2093)*AI2092),(1+V2093)*AI2092,AI2092)</f>
        <v/>
      </c>
      <c r="AJ2093">
        <f>IF(ISNUMBER((1+Z2093)*AJ2092),(1+Z2093)*AJ2092,AJ2092)</f>
        <v/>
      </c>
    </row>
    <row r="2094">
      <c r="A2094" s="1" t="n">
        <v>45041</v>
      </c>
      <c r="B2094" s="3">
        <f>IF(ORIG!B2094=0,"",ORIG!B2094)</f>
        <v/>
      </c>
      <c r="C2094" s="3">
        <f>IF(ORIG!C2094=0,"",ORIG!C2094)</f>
        <v/>
      </c>
      <c r="D2094" s="3">
        <f>IF(ORIG!D2094=0,"",ORIG!D2094)</f>
        <v/>
      </c>
      <c r="E2094" s="3">
        <f>IF(ORIG!E2094=0,"",ORIG!E2094)</f>
        <v/>
      </c>
      <c r="F2094" s="3">
        <f>IF(ORIG!F2094=0,"",ORIG!F2094)</f>
        <v/>
      </c>
      <c r="G2094" s="3">
        <f>IF(ORIG!G2094=0,"",ORIG!G2094)</f>
        <v/>
      </c>
      <c r="H2094" s="3">
        <f>IF(ORIG!H2094=0,"",ORIG!H2094)</f>
        <v/>
      </c>
      <c r="I2094" s="3">
        <f>IF(ORIG!I2094=0,"",ORIG!I2094)</f>
        <v/>
      </c>
      <c r="J2094" s="3">
        <f>IF(ORIG!J2094=0,"",ORIG!J2094)</f>
        <v/>
      </c>
      <c r="K2094" s="3">
        <f>IF(ORIG!K2094=0,"",ORIG!K2094)</f>
        <v/>
      </c>
      <c r="L2094" s="3">
        <f>IF(ORIG!L2094=0,"",ORIG!L2094)</f>
        <v/>
      </c>
      <c r="M2094" s="3">
        <f>IF(ORIG!M2094=0,"",ORIG!M2094)</f>
        <v/>
      </c>
      <c r="N2094" s="3">
        <f>IF(ORIG!N2094=0,"",ORIG!N2094)</f>
        <v/>
      </c>
      <c r="O2094" s="3">
        <f>IF(ORIG!O2094=0,"",ORIG!O2094)</f>
        <v/>
      </c>
      <c r="P2094" s="3">
        <f>IF(ORIG!P2094=0,"",ORIG!P2094)</f>
        <v/>
      </c>
      <c r="Q2094" s="3">
        <f>IF(ORIG!Q2094=0,"",ORIG!Q2094)</f>
        <v/>
      </c>
      <c r="R2094" s="3">
        <f>IF(ORIG!R2094=0,"",ORIG!R2094)</f>
        <v/>
      </c>
      <c r="S2094" s="3">
        <f>IF(ORIG!S2094=0,"",ORIG!S2094)</f>
        <v/>
      </c>
      <c r="T2094" s="3">
        <f>IF(ORIG!T2094=0,"",ORIG!T2094)</f>
        <v/>
      </c>
      <c r="U2094" s="3">
        <f>IF(ORIG!U2094=0,"",ORIG!U2094)</f>
        <v/>
      </c>
      <c r="V2094" s="9">
        <f>IF(ORIG!V2094=0,"",ORIG!V2094)</f>
        <v/>
      </c>
      <c r="W2094" s="9">
        <f>IF(ORIG!W2094=0,"",ORIG!W2094)</f>
        <v/>
      </c>
      <c r="X2094" s="9">
        <f>IF(ORIG!X2094=0,"",ORIG!X2094)</f>
        <v/>
      </c>
      <c r="Y2094" s="9">
        <f>IF(ORIG!Y2094=0,"",ORIG!Y2094)</f>
        <v/>
      </c>
      <c r="Z2094" s="3">
        <f>SUMPRODUCT($B2094:$Y2094,$B$2649:$Y$2649)</f>
        <v/>
      </c>
      <c r="AA2094" s="3">
        <f>SUMPRODUCT($B2094:$Y2094,$B$2655:$Y$2655)</f>
        <v/>
      </c>
      <c r="AC2094" s="1">
        <f>A2094</f>
        <v/>
      </c>
      <c r="AD2094">
        <f>IF(ISNUMBER(V2094),V2094*($AB$1/V$2635),"")</f>
        <v/>
      </c>
      <c r="AE2094">
        <f>IF(ISNUMBER(Z2094),Z2094*($AB$1/Z$2635),"")</f>
        <v/>
      </c>
      <c r="AF2094" s="25">
        <f>IF(ISNUMBER(AD2094+AE2094),AD2094+AE2094,"")</f>
        <v/>
      </c>
      <c r="AH2094" s="1">
        <f>A2094</f>
        <v/>
      </c>
      <c r="AI2094">
        <f>IF(ISNUMBER((1+V2094)*AI2093),(1+V2094)*AI2093,AI2093)</f>
        <v/>
      </c>
      <c r="AJ2094">
        <f>IF(ISNUMBER((1+Z2094)*AJ2093),(1+Z2094)*AJ2093,AJ2093)</f>
        <v/>
      </c>
    </row>
    <row r="2095">
      <c r="A2095" s="1" t="n">
        <v>45042</v>
      </c>
      <c r="B2095" s="3">
        <f>IF(ORIG!B2095=0,"",ORIG!B2095)</f>
        <v/>
      </c>
      <c r="C2095" s="3">
        <f>IF(ORIG!C2095=0,"",ORIG!C2095)</f>
        <v/>
      </c>
      <c r="D2095" s="3">
        <f>IF(ORIG!D2095=0,"",ORIG!D2095)</f>
        <v/>
      </c>
      <c r="E2095" s="3">
        <f>IF(ORIG!E2095=0,"",ORIG!E2095)</f>
        <v/>
      </c>
      <c r="F2095" s="3">
        <f>IF(ORIG!F2095=0,"",ORIG!F2095)</f>
        <v/>
      </c>
      <c r="G2095" s="3">
        <f>IF(ORIG!G2095=0,"",ORIG!G2095)</f>
        <v/>
      </c>
      <c r="H2095" s="3">
        <f>IF(ORIG!H2095=0,"",ORIG!H2095)</f>
        <v/>
      </c>
      <c r="I2095" s="3">
        <f>IF(ORIG!I2095=0,"",ORIG!I2095)</f>
        <v/>
      </c>
      <c r="J2095" s="3">
        <f>IF(ORIG!J2095=0,"",ORIG!J2095)</f>
        <v/>
      </c>
      <c r="K2095" s="3">
        <f>IF(ORIG!K2095=0,"",ORIG!K2095)</f>
        <v/>
      </c>
      <c r="L2095" s="3">
        <f>IF(ORIG!L2095=0,"",ORIG!L2095)</f>
        <v/>
      </c>
      <c r="M2095" s="3">
        <f>IF(ORIG!M2095=0,"",ORIG!M2095)</f>
        <v/>
      </c>
      <c r="N2095" s="3">
        <f>IF(ORIG!N2095=0,"",ORIG!N2095)</f>
        <v/>
      </c>
      <c r="O2095" s="3">
        <f>IF(ORIG!O2095=0,"",ORIG!O2095)</f>
        <v/>
      </c>
      <c r="P2095" s="3">
        <f>IF(ORIG!P2095=0,"",ORIG!P2095)</f>
        <v/>
      </c>
      <c r="Q2095" s="3">
        <f>IF(ORIG!Q2095=0,"",ORIG!Q2095)</f>
        <v/>
      </c>
      <c r="R2095" s="3">
        <f>IF(ORIG!R2095=0,"",ORIG!R2095)</f>
        <v/>
      </c>
      <c r="S2095" s="3">
        <f>IF(ORIG!S2095=0,"",ORIG!S2095)</f>
        <v/>
      </c>
      <c r="T2095" s="3">
        <f>IF(ORIG!T2095=0,"",ORIG!T2095)</f>
        <v/>
      </c>
      <c r="U2095" s="3">
        <f>IF(ORIG!U2095=0,"",ORIG!U2095)</f>
        <v/>
      </c>
      <c r="V2095" s="9">
        <f>IF(ORIG!V2095=0,"",ORIG!V2095)</f>
        <v/>
      </c>
      <c r="W2095" s="9">
        <f>IF(ORIG!W2095=0,"",ORIG!W2095)</f>
        <v/>
      </c>
      <c r="X2095" s="9">
        <f>IF(ORIG!X2095=0,"",ORIG!X2095)</f>
        <v/>
      </c>
      <c r="Y2095" s="9">
        <f>IF(ORIG!Y2095=0,"",ORIG!Y2095)</f>
        <v/>
      </c>
      <c r="Z2095" s="3">
        <f>SUMPRODUCT($B2095:$Y2095,$B$2649:$Y$2649)</f>
        <v/>
      </c>
      <c r="AA2095" s="3">
        <f>SUMPRODUCT($B2095:$Y2095,$B$2655:$Y$2655)</f>
        <v/>
      </c>
      <c r="AC2095" s="1">
        <f>A2095</f>
        <v/>
      </c>
      <c r="AD2095">
        <f>IF(ISNUMBER(V2095),V2095*($AB$1/V$2635),"")</f>
        <v/>
      </c>
      <c r="AE2095">
        <f>IF(ISNUMBER(Z2095),Z2095*($AB$1/Z$2635),"")</f>
        <v/>
      </c>
      <c r="AF2095" s="25">
        <f>IF(ISNUMBER(AD2095+AE2095),AD2095+AE2095,"")</f>
        <v/>
      </c>
      <c r="AH2095" s="1">
        <f>A2095</f>
        <v/>
      </c>
      <c r="AI2095">
        <f>IF(ISNUMBER((1+V2095)*AI2094),(1+V2095)*AI2094,AI2094)</f>
        <v/>
      </c>
      <c r="AJ2095">
        <f>IF(ISNUMBER((1+Z2095)*AJ2094),(1+Z2095)*AJ2094,AJ2094)</f>
        <v/>
      </c>
    </row>
    <row r="2096">
      <c r="A2096" s="1" t="n">
        <v>45043</v>
      </c>
      <c r="B2096" s="3">
        <f>IF(ORIG!B2096=0,"",ORIG!B2096)</f>
        <v/>
      </c>
      <c r="C2096" s="3">
        <f>IF(ORIG!C2096=0,"",ORIG!C2096)</f>
        <v/>
      </c>
      <c r="D2096" s="3">
        <f>IF(ORIG!D2096=0,"",ORIG!D2096)</f>
        <v/>
      </c>
      <c r="E2096" s="3">
        <f>IF(ORIG!E2096=0,"",ORIG!E2096)</f>
        <v/>
      </c>
      <c r="F2096" s="3">
        <f>IF(ORIG!F2096=0,"",ORIG!F2096)</f>
        <v/>
      </c>
      <c r="G2096" s="3">
        <f>IF(ORIG!G2096=0,"",ORIG!G2096)</f>
        <v/>
      </c>
      <c r="H2096" s="3">
        <f>IF(ORIG!H2096=0,"",ORIG!H2096)</f>
        <v/>
      </c>
      <c r="I2096" s="3">
        <f>IF(ORIG!I2096=0,"",ORIG!I2096)</f>
        <v/>
      </c>
      <c r="J2096" s="3">
        <f>IF(ORIG!J2096=0,"",ORIG!J2096)</f>
        <v/>
      </c>
      <c r="K2096" s="3">
        <f>IF(ORIG!K2096=0,"",ORIG!K2096)</f>
        <v/>
      </c>
      <c r="L2096" s="3">
        <f>IF(ORIG!L2096=0,"",ORIG!L2096)</f>
        <v/>
      </c>
      <c r="M2096" s="3">
        <f>IF(ORIG!M2096=0,"",ORIG!M2096)</f>
        <v/>
      </c>
      <c r="N2096" s="3">
        <f>IF(ORIG!N2096=0,"",ORIG!N2096)</f>
        <v/>
      </c>
      <c r="O2096" s="3">
        <f>IF(ORIG!O2096=0,"",ORIG!O2096)</f>
        <v/>
      </c>
      <c r="P2096" s="3">
        <f>IF(ORIG!P2096=0,"",ORIG!P2096)</f>
        <v/>
      </c>
      <c r="Q2096" s="3">
        <f>IF(ORIG!Q2096=0,"",ORIG!Q2096)</f>
        <v/>
      </c>
      <c r="R2096" s="3">
        <f>IF(ORIG!R2096=0,"",ORIG!R2096)</f>
        <v/>
      </c>
      <c r="S2096" s="3">
        <f>IF(ORIG!S2096=0,"",ORIG!S2096)</f>
        <v/>
      </c>
      <c r="T2096" s="3">
        <f>IF(ORIG!T2096=0,"",ORIG!T2096)</f>
        <v/>
      </c>
      <c r="U2096" s="3">
        <f>IF(ORIG!U2096=0,"",ORIG!U2096)</f>
        <v/>
      </c>
      <c r="V2096" s="9">
        <f>IF(ORIG!V2096=0,"",ORIG!V2096)</f>
        <v/>
      </c>
      <c r="W2096" s="9">
        <f>IF(ORIG!W2096=0,"",ORIG!W2096)</f>
        <v/>
      </c>
      <c r="X2096" s="9">
        <f>IF(ORIG!X2096=0,"",ORIG!X2096)</f>
        <v/>
      </c>
      <c r="Y2096" s="9">
        <f>IF(ORIG!Y2096=0,"",ORIG!Y2096)</f>
        <v/>
      </c>
      <c r="Z2096" s="3">
        <f>SUMPRODUCT($B2096:$Y2096,$B$2649:$Y$2649)</f>
        <v/>
      </c>
      <c r="AA2096" s="3">
        <f>SUMPRODUCT($B2096:$Y2096,$B$2655:$Y$2655)</f>
        <v/>
      </c>
      <c r="AC2096" s="1">
        <f>A2096</f>
        <v/>
      </c>
      <c r="AD2096">
        <f>IF(ISNUMBER(V2096),V2096*($AB$1/V$2635),"")</f>
        <v/>
      </c>
      <c r="AE2096">
        <f>IF(ISNUMBER(Z2096),Z2096*($AB$1/Z$2635),"")</f>
        <v/>
      </c>
      <c r="AF2096" s="25">
        <f>IF(ISNUMBER(AD2096+AE2096),AD2096+AE2096,"")</f>
        <v/>
      </c>
      <c r="AH2096" s="1">
        <f>A2096</f>
        <v/>
      </c>
      <c r="AI2096">
        <f>IF(ISNUMBER((1+V2096)*AI2095),(1+V2096)*AI2095,AI2095)</f>
        <v/>
      </c>
      <c r="AJ2096">
        <f>IF(ISNUMBER((1+Z2096)*AJ2095),(1+Z2096)*AJ2095,AJ2095)</f>
        <v/>
      </c>
    </row>
    <row r="2097">
      <c r="A2097" s="1" t="n">
        <v>45044</v>
      </c>
      <c r="B2097" s="3">
        <f>IF(ORIG!B2097=0,"",ORIG!B2097)</f>
        <v/>
      </c>
      <c r="C2097" s="3">
        <f>IF(ORIG!C2097=0,"",ORIG!C2097)</f>
        <v/>
      </c>
      <c r="D2097" s="3">
        <f>IF(ORIG!D2097=0,"",ORIG!D2097)</f>
        <v/>
      </c>
      <c r="E2097" s="3">
        <f>IF(ORIG!E2097=0,"",ORIG!E2097)</f>
        <v/>
      </c>
      <c r="F2097" s="3">
        <f>IF(ORIG!F2097=0,"",ORIG!F2097)</f>
        <v/>
      </c>
      <c r="G2097" s="3">
        <f>IF(ORIG!G2097=0,"",ORIG!G2097)</f>
        <v/>
      </c>
      <c r="H2097" s="3">
        <f>IF(ORIG!H2097=0,"",ORIG!H2097)</f>
        <v/>
      </c>
      <c r="I2097" s="3">
        <f>IF(ORIG!I2097=0,"",ORIG!I2097)</f>
        <v/>
      </c>
      <c r="J2097" s="3">
        <f>IF(ORIG!J2097=0,"",ORIG!J2097)</f>
        <v/>
      </c>
      <c r="K2097" s="3">
        <f>IF(ORIG!K2097=0,"",ORIG!K2097)</f>
        <v/>
      </c>
      <c r="L2097" s="3">
        <f>IF(ORIG!L2097=0,"",ORIG!L2097)</f>
        <v/>
      </c>
      <c r="M2097" s="3">
        <f>IF(ORIG!M2097=0,"",ORIG!M2097)</f>
        <v/>
      </c>
      <c r="N2097" s="3">
        <f>IF(ORIG!N2097=0,"",ORIG!N2097)</f>
        <v/>
      </c>
      <c r="O2097" s="3">
        <f>IF(ORIG!O2097=0,"",ORIG!O2097)</f>
        <v/>
      </c>
      <c r="P2097" s="3">
        <f>IF(ORIG!P2097=0,"",ORIG!P2097)</f>
        <v/>
      </c>
      <c r="Q2097" s="3">
        <f>IF(ORIG!Q2097=0,"",ORIG!Q2097)</f>
        <v/>
      </c>
      <c r="R2097" s="3">
        <f>IF(ORIG!R2097=0,"",ORIG!R2097)</f>
        <v/>
      </c>
      <c r="S2097" s="3">
        <f>IF(ORIG!S2097=0,"",ORIG!S2097)</f>
        <v/>
      </c>
      <c r="T2097" s="3">
        <f>IF(ORIG!T2097=0,"",ORIG!T2097)</f>
        <v/>
      </c>
      <c r="U2097" s="3">
        <f>IF(ORIG!U2097=0,"",ORIG!U2097)</f>
        <v/>
      </c>
      <c r="V2097" s="9">
        <f>IF(ORIG!V2097=0,"",ORIG!V2097)</f>
        <v/>
      </c>
      <c r="W2097" s="9">
        <f>IF(ORIG!W2097=0,"",ORIG!W2097)</f>
        <v/>
      </c>
      <c r="X2097" s="9">
        <f>IF(ORIG!X2097=0,"",ORIG!X2097)</f>
        <v/>
      </c>
      <c r="Y2097" s="9">
        <f>IF(ORIG!Y2097=0,"",ORIG!Y2097)</f>
        <v/>
      </c>
      <c r="Z2097" s="3">
        <f>SUMPRODUCT($B2097:$Y2097,$B$2649:$Y$2649)</f>
        <v/>
      </c>
      <c r="AA2097" s="3">
        <f>SUMPRODUCT($B2097:$Y2097,$B$2655:$Y$2655)</f>
        <v/>
      </c>
      <c r="AC2097" s="1">
        <f>A2097</f>
        <v/>
      </c>
      <c r="AD2097">
        <f>IF(ISNUMBER(V2097),V2097*($AB$1/V$2635),"")</f>
        <v/>
      </c>
      <c r="AE2097">
        <f>IF(ISNUMBER(Z2097),Z2097*($AB$1/Z$2635),"")</f>
        <v/>
      </c>
      <c r="AF2097" s="25">
        <f>IF(ISNUMBER(AD2097+AE2097),AD2097+AE2097,"")</f>
        <v/>
      </c>
      <c r="AH2097" s="1">
        <f>A2097</f>
        <v/>
      </c>
      <c r="AI2097">
        <f>IF(ISNUMBER((1+V2097)*AI2096),(1+V2097)*AI2096,AI2096)</f>
        <v/>
      </c>
      <c r="AJ2097">
        <f>IF(ISNUMBER((1+Z2097)*AJ2096),(1+Z2097)*AJ2096,AJ2096)</f>
        <v/>
      </c>
    </row>
    <row r="2098">
      <c r="A2098" s="1" t="n">
        <v>45047</v>
      </c>
      <c r="B2098" s="3">
        <f>IF(ORIG!B2098=0,"",ORIG!B2098)</f>
        <v/>
      </c>
      <c r="C2098" s="3">
        <f>IF(ORIG!C2098=0,"",ORIG!C2098)</f>
        <v/>
      </c>
      <c r="D2098" s="3">
        <f>IF(ORIG!D2098=0,"",ORIG!D2098)</f>
        <v/>
      </c>
      <c r="E2098" s="3">
        <f>IF(ORIG!E2098=0,"",ORIG!E2098)</f>
        <v/>
      </c>
      <c r="F2098" s="3">
        <f>IF(ORIG!F2098=0,"",ORIG!F2098)</f>
        <v/>
      </c>
      <c r="G2098" s="3">
        <f>IF(ORIG!G2098=0,"",ORIG!G2098)</f>
        <v/>
      </c>
      <c r="H2098" s="3">
        <f>IF(ORIG!H2098=0,"",ORIG!H2098)</f>
        <v/>
      </c>
      <c r="I2098" s="3">
        <f>IF(ORIG!I2098=0,"",ORIG!I2098)</f>
        <v/>
      </c>
      <c r="J2098" s="3">
        <f>IF(ORIG!J2098=0,"",ORIG!J2098)</f>
        <v/>
      </c>
      <c r="K2098" s="3">
        <f>IF(ORIG!K2098=0,"",ORIG!K2098)</f>
        <v/>
      </c>
      <c r="L2098" s="3">
        <f>IF(ORIG!L2098=0,"",ORIG!L2098)</f>
        <v/>
      </c>
      <c r="M2098" s="3">
        <f>IF(ORIG!M2098=0,"",ORIG!M2098)</f>
        <v/>
      </c>
      <c r="N2098" s="3">
        <f>IF(ORIG!N2098=0,"",ORIG!N2098)</f>
        <v/>
      </c>
      <c r="O2098" s="3">
        <f>IF(ORIG!O2098=0,"",ORIG!O2098)</f>
        <v/>
      </c>
      <c r="P2098" s="3">
        <f>IF(ORIG!P2098=0,"",ORIG!P2098)</f>
        <v/>
      </c>
      <c r="Q2098" s="3">
        <f>IF(ORIG!Q2098=0,"",ORIG!Q2098)</f>
        <v/>
      </c>
      <c r="R2098" s="3">
        <f>IF(ORIG!R2098=0,"",ORIG!R2098)</f>
        <v/>
      </c>
      <c r="S2098" s="3">
        <f>IF(ORIG!S2098=0,"",ORIG!S2098)</f>
        <v/>
      </c>
      <c r="T2098" s="3">
        <f>IF(ORIG!T2098=0,"",ORIG!T2098)</f>
        <v/>
      </c>
      <c r="U2098" s="3">
        <f>IF(ORIG!U2098=0,"",ORIG!U2098)</f>
        <v/>
      </c>
      <c r="V2098" s="9">
        <f>IF(ORIG!V2098=0,"",ORIG!V2098)</f>
        <v/>
      </c>
      <c r="W2098" s="9">
        <f>IF(ORIG!W2098=0,"",ORIG!W2098)</f>
        <v/>
      </c>
      <c r="X2098" s="9">
        <f>IF(ORIG!X2098=0,"",ORIG!X2098)</f>
        <v/>
      </c>
      <c r="Y2098" s="9">
        <f>IF(ORIG!Y2098=0,"",ORIG!Y2098)</f>
        <v/>
      </c>
      <c r="Z2098" s="3">
        <f>SUMPRODUCT($B2098:$Y2098,$B$2649:$Y$2649)</f>
        <v/>
      </c>
      <c r="AA2098" s="3">
        <f>SUMPRODUCT($B2098:$Y2098,$B$2655:$Y$2655)</f>
        <v/>
      </c>
      <c r="AC2098" s="1">
        <f>A2098</f>
        <v/>
      </c>
      <c r="AD2098">
        <f>IF(ISNUMBER(V2098),V2098*($AB$1/V$2635),"")</f>
        <v/>
      </c>
      <c r="AE2098">
        <f>IF(ISNUMBER(Z2098),Z2098*($AB$1/Z$2635),"")</f>
        <v/>
      </c>
      <c r="AF2098" s="25">
        <f>IF(ISNUMBER(AD2098+AE2098),AD2098+AE2098,"")</f>
        <v/>
      </c>
      <c r="AH2098" s="1">
        <f>A2098</f>
        <v/>
      </c>
      <c r="AI2098">
        <f>IF(ISNUMBER((1+V2098)*AI2097),(1+V2098)*AI2097,AI2097)</f>
        <v/>
      </c>
      <c r="AJ2098">
        <f>IF(ISNUMBER((1+Z2098)*AJ2097),(1+Z2098)*AJ2097,AJ2097)</f>
        <v/>
      </c>
    </row>
    <row r="2099">
      <c r="A2099" s="1" t="n">
        <v>45048</v>
      </c>
      <c r="B2099" s="3">
        <f>IF(ORIG!B2099=0,"",ORIG!B2099)</f>
        <v/>
      </c>
      <c r="C2099" s="3">
        <f>IF(ORIG!C2099=0,"",ORIG!C2099)</f>
        <v/>
      </c>
      <c r="D2099" s="3">
        <f>IF(ORIG!D2099=0,"",ORIG!D2099)</f>
        <v/>
      </c>
      <c r="E2099" s="3">
        <f>IF(ORIG!E2099=0,"",ORIG!E2099)</f>
        <v/>
      </c>
      <c r="F2099" s="3">
        <f>IF(ORIG!F2099=0,"",ORIG!F2099)</f>
        <v/>
      </c>
      <c r="G2099" s="3">
        <f>IF(ORIG!G2099=0,"",ORIG!G2099)</f>
        <v/>
      </c>
      <c r="H2099" s="3">
        <f>IF(ORIG!H2099=0,"",ORIG!H2099)</f>
        <v/>
      </c>
      <c r="I2099" s="3">
        <f>IF(ORIG!I2099=0,"",ORIG!I2099)</f>
        <v/>
      </c>
      <c r="J2099" s="3">
        <f>IF(ORIG!J2099=0,"",ORIG!J2099)</f>
        <v/>
      </c>
      <c r="K2099" s="3">
        <f>IF(ORIG!K2099=0,"",ORIG!K2099)</f>
        <v/>
      </c>
      <c r="L2099" s="3">
        <f>IF(ORIG!L2099=0,"",ORIG!L2099)</f>
        <v/>
      </c>
      <c r="M2099" s="3">
        <f>IF(ORIG!M2099=0,"",ORIG!M2099)</f>
        <v/>
      </c>
      <c r="N2099" s="3">
        <f>IF(ORIG!N2099=0,"",ORIG!N2099)</f>
        <v/>
      </c>
      <c r="O2099" s="3">
        <f>IF(ORIG!O2099=0,"",ORIG!O2099)</f>
        <v/>
      </c>
      <c r="P2099" s="3">
        <f>IF(ORIG!P2099=0,"",ORIG!P2099)</f>
        <v/>
      </c>
      <c r="Q2099" s="3">
        <f>IF(ORIG!Q2099=0,"",ORIG!Q2099)</f>
        <v/>
      </c>
      <c r="R2099" s="3">
        <f>IF(ORIG!R2099=0,"",ORIG!R2099)</f>
        <v/>
      </c>
      <c r="S2099" s="3">
        <f>IF(ORIG!S2099=0,"",ORIG!S2099)</f>
        <v/>
      </c>
      <c r="T2099" s="3">
        <f>IF(ORIG!T2099=0,"",ORIG!T2099)</f>
        <v/>
      </c>
      <c r="U2099" s="3">
        <f>IF(ORIG!U2099=0,"",ORIG!U2099)</f>
        <v/>
      </c>
      <c r="V2099" s="9">
        <f>IF(ORIG!V2099=0,"",ORIG!V2099)</f>
        <v/>
      </c>
      <c r="W2099" s="9">
        <f>IF(ORIG!W2099=0,"",ORIG!W2099)</f>
        <v/>
      </c>
      <c r="X2099" s="9">
        <f>IF(ORIG!X2099=0,"",ORIG!X2099)</f>
        <v/>
      </c>
      <c r="Y2099" s="9">
        <f>IF(ORIG!Y2099=0,"",ORIG!Y2099)</f>
        <v/>
      </c>
      <c r="Z2099" s="3">
        <f>SUMPRODUCT($B2099:$Y2099,$B$2649:$Y$2649)</f>
        <v/>
      </c>
      <c r="AA2099" s="3">
        <f>SUMPRODUCT($B2099:$Y2099,$B$2655:$Y$2655)</f>
        <v/>
      </c>
      <c r="AC2099" s="1">
        <f>A2099</f>
        <v/>
      </c>
      <c r="AD2099">
        <f>IF(ISNUMBER(V2099),V2099*($AB$1/V$2635),"")</f>
        <v/>
      </c>
      <c r="AE2099">
        <f>IF(ISNUMBER(Z2099),Z2099*($AB$1/Z$2635),"")</f>
        <v/>
      </c>
      <c r="AF2099" s="25">
        <f>IF(ISNUMBER(AD2099+AE2099),AD2099+AE2099,"")</f>
        <v/>
      </c>
      <c r="AH2099" s="1">
        <f>A2099</f>
        <v/>
      </c>
      <c r="AI2099">
        <f>IF(ISNUMBER((1+V2099)*AI2098),(1+V2099)*AI2098,AI2098)</f>
        <v/>
      </c>
      <c r="AJ2099">
        <f>IF(ISNUMBER((1+Z2099)*AJ2098),(1+Z2099)*AJ2098,AJ2098)</f>
        <v/>
      </c>
    </row>
    <row r="2100">
      <c r="A2100" s="1" t="n">
        <v>45049</v>
      </c>
      <c r="B2100" s="3">
        <f>IF(ORIG!B2100=0,"",ORIG!B2100)</f>
        <v/>
      </c>
      <c r="C2100" s="3">
        <f>IF(ORIG!C2100=0,"",ORIG!C2100)</f>
        <v/>
      </c>
      <c r="D2100" s="3">
        <f>IF(ORIG!D2100=0,"",ORIG!D2100)</f>
        <v/>
      </c>
      <c r="E2100" s="3">
        <f>IF(ORIG!E2100=0,"",ORIG!E2100)</f>
        <v/>
      </c>
      <c r="F2100" s="3">
        <f>IF(ORIG!F2100=0,"",ORIG!F2100)</f>
        <v/>
      </c>
      <c r="G2100" s="3">
        <f>IF(ORIG!G2100=0,"",ORIG!G2100)</f>
        <v/>
      </c>
      <c r="H2100" s="3">
        <f>IF(ORIG!H2100=0,"",ORIG!H2100)</f>
        <v/>
      </c>
      <c r="I2100" s="3">
        <f>IF(ORIG!I2100=0,"",ORIG!I2100)</f>
        <v/>
      </c>
      <c r="J2100" s="3">
        <f>IF(ORIG!J2100=0,"",ORIG!J2100)</f>
        <v/>
      </c>
      <c r="K2100" s="3">
        <f>IF(ORIG!K2100=0,"",ORIG!K2100)</f>
        <v/>
      </c>
      <c r="L2100" s="3">
        <f>IF(ORIG!L2100=0,"",ORIG!L2100)</f>
        <v/>
      </c>
      <c r="M2100" s="3">
        <f>IF(ORIG!M2100=0,"",ORIG!M2100)</f>
        <v/>
      </c>
      <c r="N2100" s="3">
        <f>IF(ORIG!N2100=0,"",ORIG!N2100)</f>
        <v/>
      </c>
      <c r="O2100" s="3">
        <f>IF(ORIG!O2100=0,"",ORIG!O2100)</f>
        <v/>
      </c>
      <c r="P2100" s="3">
        <f>IF(ORIG!P2100=0,"",ORIG!P2100)</f>
        <v/>
      </c>
      <c r="Q2100" s="3">
        <f>IF(ORIG!Q2100=0,"",ORIG!Q2100)</f>
        <v/>
      </c>
      <c r="R2100" s="3">
        <f>IF(ORIG!R2100=0,"",ORIG!R2100)</f>
        <v/>
      </c>
      <c r="S2100" s="3">
        <f>IF(ORIG!S2100=0,"",ORIG!S2100)</f>
        <v/>
      </c>
      <c r="T2100" s="3">
        <f>IF(ORIG!T2100=0,"",ORIG!T2100)</f>
        <v/>
      </c>
      <c r="U2100" s="3">
        <f>IF(ORIG!U2100=0,"",ORIG!U2100)</f>
        <v/>
      </c>
      <c r="V2100" s="9">
        <f>IF(ORIG!V2100=0,"",ORIG!V2100)</f>
        <v/>
      </c>
      <c r="W2100" s="9">
        <f>IF(ORIG!W2100=0,"",ORIG!W2100)</f>
        <v/>
      </c>
      <c r="X2100" s="9">
        <f>IF(ORIG!X2100=0,"",ORIG!X2100)</f>
        <v/>
      </c>
      <c r="Y2100" s="9">
        <f>IF(ORIG!Y2100=0,"",ORIG!Y2100)</f>
        <v/>
      </c>
      <c r="Z2100" s="3">
        <f>SUMPRODUCT($B2100:$Y2100,$B$2649:$Y$2649)</f>
        <v/>
      </c>
      <c r="AA2100" s="3">
        <f>SUMPRODUCT($B2100:$Y2100,$B$2655:$Y$2655)</f>
        <v/>
      </c>
      <c r="AC2100" s="1">
        <f>A2100</f>
        <v/>
      </c>
      <c r="AD2100">
        <f>IF(ISNUMBER(V2100),V2100*($AB$1/V$2635),"")</f>
        <v/>
      </c>
      <c r="AE2100">
        <f>IF(ISNUMBER(Z2100),Z2100*($AB$1/Z$2635),"")</f>
        <v/>
      </c>
      <c r="AF2100" s="25">
        <f>IF(ISNUMBER(AD2100+AE2100),AD2100+AE2100,"")</f>
        <v/>
      </c>
      <c r="AH2100" s="1">
        <f>A2100</f>
        <v/>
      </c>
      <c r="AI2100">
        <f>IF(ISNUMBER((1+V2100)*AI2099),(1+V2100)*AI2099,AI2099)</f>
        <v/>
      </c>
      <c r="AJ2100">
        <f>IF(ISNUMBER((1+Z2100)*AJ2099),(1+Z2100)*AJ2099,AJ2099)</f>
        <v/>
      </c>
    </row>
    <row r="2101">
      <c r="A2101" s="1" t="n">
        <v>45050</v>
      </c>
      <c r="B2101" s="3">
        <f>IF(ORIG!B2101=0,"",ORIG!B2101)</f>
        <v/>
      </c>
      <c r="C2101" s="3">
        <f>IF(ORIG!C2101=0,"",ORIG!C2101)</f>
        <v/>
      </c>
      <c r="D2101" s="3">
        <f>IF(ORIG!D2101=0,"",ORIG!D2101)</f>
        <v/>
      </c>
      <c r="E2101" s="3">
        <f>IF(ORIG!E2101=0,"",ORIG!E2101)</f>
        <v/>
      </c>
      <c r="F2101" s="3">
        <f>IF(ORIG!F2101=0,"",ORIG!F2101)</f>
        <v/>
      </c>
      <c r="G2101" s="3">
        <f>IF(ORIG!G2101=0,"",ORIG!G2101)</f>
        <v/>
      </c>
      <c r="H2101" s="3">
        <f>IF(ORIG!H2101=0,"",ORIG!H2101)</f>
        <v/>
      </c>
      <c r="I2101" s="3">
        <f>IF(ORIG!I2101=0,"",ORIG!I2101)</f>
        <v/>
      </c>
      <c r="J2101" s="3">
        <f>IF(ORIG!J2101=0,"",ORIG!J2101)</f>
        <v/>
      </c>
      <c r="K2101" s="3">
        <f>IF(ORIG!K2101=0,"",ORIG!K2101)</f>
        <v/>
      </c>
      <c r="L2101" s="3">
        <f>IF(ORIG!L2101=0,"",ORIG!L2101)</f>
        <v/>
      </c>
      <c r="M2101" s="3">
        <f>IF(ORIG!M2101=0,"",ORIG!M2101)</f>
        <v/>
      </c>
      <c r="N2101" s="3">
        <f>IF(ORIG!N2101=0,"",ORIG!N2101)</f>
        <v/>
      </c>
      <c r="O2101" s="3">
        <f>IF(ORIG!O2101=0,"",ORIG!O2101)</f>
        <v/>
      </c>
      <c r="P2101" s="3">
        <f>IF(ORIG!P2101=0,"",ORIG!P2101)</f>
        <v/>
      </c>
      <c r="Q2101" s="3">
        <f>IF(ORIG!Q2101=0,"",ORIG!Q2101)</f>
        <v/>
      </c>
      <c r="R2101" s="3">
        <f>IF(ORIG!R2101=0,"",ORIG!R2101)</f>
        <v/>
      </c>
      <c r="S2101" s="3">
        <f>IF(ORIG!S2101=0,"",ORIG!S2101)</f>
        <v/>
      </c>
      <c r="T2101" s="3">
        <f>IF(ORIG!T2101=0,"",ORIG!T2101)</f>
        <v/>
      </c>
      <c r="U2101" s="3">
        <f>IF(ORIG!U2101=0,"",ORIG!U2101)</f>
        <v/>
      </c>
      <c r="V2101" s="9">
        <f>IF(ORIG!V2101=0,"",ORIG!V2101)</f>
        <v/>
      </c>
      <c r="W2101" s="9">
        <f>IF(ORIG!W2101=0,"",ORIG!W2101)</f>
        <v/>
      </c>
      <c r="X2101" s="9">
        <f>IF(ORIG!X2101=0,"",ORIG!X2101)</f>
        <v/>
      </c>
      <c r="Y2101" s="9">
        <f>IF(ORIG!Y2101=0,"",ORIG!Y2101)</f>
        <v/>
      </c>
      <c r="Z2101" s="3">
        <f>SUMPRODUCT($B2101:$Y2101,$B$2649:$Y$2649)</f>
        <v/>
      </c>
      <c r="AA2101" s="3">
        <f>SUMPRODUCT($B2101:$Y2101,$B$2655:$Y$2655)</f>
        <v/>
      </c>
      <c r="AC2101" s="1">
        <f>A2101</f>
        <v/>
      </c>
      <c r="AD2101">
        <f>IF(ISNUMBER(V2101),V2101*($AB$1/V$2635),"")</f>
        <v/>
      </c>
      <c r="AE2101">
        <f>IF(ISNUMBER(Z2101),Z2101*($AB$1/Z$2635),"")</f>
        <v/>
      </c>
      <c r="AF2101" s="25">
        <f>IF(ISNUMBER(AD2101+AE2101),AD2101+AE2101,"")</f>
        <v/>
      </c>
      <c r="AH2101" s="1">
        <f>A2101</f>
        <v/>
      </c>
      <c r="AI2101">
        <f>IF(ISNUMBER((1+V2101)*AI2100),(1+V2101)*AI2100,AI2100)</f>
        <v/>
      </c>
      <c r="AJ2101">
        <f>IF(ISNUMBER((1+Z2101)*AJ2100),(1+Z2101)*AJ2100,AJ2100)</f>
        <v/>
      </c>
    </row>
    <row r="2102">
      <c r="A2102" s="1" t="n">
        <v>45051</v>
      </c>
      <c r="B2102" s="3">
        <f>IF(ORIG!B2102=0,"",ORIG!B2102)</f>
        <v/>
      </c>
      <c r="C2102" s="3">
        <f>IF(ORIG!C2102=0,"",ORIG!C2102)</f>
        <v/>
      </c>
      <c r="D2102" s="3">
        <f>IF(ORIG!D2102=0,"",ORIG!D2102)</f>
        <v/>
      </c>
      <c r="E2102" s="3">
        <f>IF(ORIG!E2102=0,"",ORIG!E2102)</f>
        <v/>
      </c>
      <c r="F2102" s="3">
        <f>IF(ORIG!F2102=0,"",ORIG!F2102)</f>
        <v/>
      </c>
      <c r="G2102" s="3">
        <f>IF(ORIG!G2102=0,"",ORIG!G2102)</f>
        <v/>
      </c>
      <c r="H2102" s="3">
        <f>IF(ORIG!H2102=0,"",ORIG!H2102)</f>
        <v/>
      </c>
      <c r="I2102" s="3">
        <f>IF(ORIG!I2102=0,"",ORIG!I2102)</f>
        <v/>
      </c>
      <c r="J2102" s="3">
        <f>IF(ORIG!J2102=0,"",ORIG!J2102)</f>
        <v/>
      </c>
      <c r="K2102" s="3">
        <f>IF(ORIG!K2102=0,"",ORIG!K2102)</f>
        <v/>
      </c>
      <c r="L2102" s="3">
        <f>IF(ORIG!L2102=0,"",ORIG!L2102)</f>
        <v/>
      </c>
      <c r="M2102" s="3">
        <f>IF(ORIG!M2102=0,"",ORIG!M2102)</f>
        <v/>
      </c>
      <c r="N2102" s="3">
        <f>IF(ORIG!N2102=0,"",ORIG!N2102)</f>
        <v/>
      </c>
      <c r="O2102" s="3">
        <f>IF(ORIG!O2102=0,"",ORIG!O2102)</f>
        <v/>
      </c>
      <c r="P2102" s="3">
        <f>IF(ORIG!P2102=0,"",ORIG!P2102)</f>
        <v/>
      </c>
      <c r="Q2102" s="3">
        <f>IF(ORIG!Q2102=0,"",ORIG!Q2102)</f>
        <v/>
      </c>
      <c r="R2102" s="3">
        <f>IF(ORIG!R2102=0,"",ORIG!R2102)</f>
        <v/>
      </c>
      <c r="S2102" s="3">
        <f>IF(ORIG!S2102=0,"",ORIG!S2102)</f>
        <v/>
      </c>
      <c r="T2102" s="3">
        <f>IF(ORIG!T2102=0,"",ORIG!T2102)</f>
        <v/>
      </c>
      <c r="U2102" s="3">
        <f>IF(ORIG!U2102=0,"",ORIG!U2102)</f>
        <v/>
      </c>
      <c r="V2102" s="9">
        <f>IF(ORIG!V2102=0,"",ORIG!V2102)</f>
        <v/>
      </c>
      <c r="W2102" s="9">
        <f>IF(ORIG!W2102=0,"",ORIG!W2102)</f>
        <v/>
      </c>
      <c r="X2102" s="9">
        <f>IF(ORIG!X2102=0,"",ORIG!X2102)</f>
        <v/>
      </c>
      <c r="Y2102" s="9">
        <f>IF(ORIG!Y2102=0,"",ORIG!Y2102)</f>
        <v/>
      </c>
      <c r="Z2102" s="3">
        <f>SUMPRODUCT($B2102:$Y2102,$B$2649:$Y$2649)</f>
        <v/>
      </c>
      <c r="AA2102" s="3">
        <f>SUMPRODUCT($B2102:$Y2102,$B$2655:$Y$2655)</f>
        <v/>
      </c>
      <c r="AC2102" s="1">
        <f>A2102</f>
        <v/>
      </c>
      <c r="AD2102">
        <f>IF(ISNUMBER(V2102),V2102*($AB$1/V$2635),"")</f>
        <v/>
      </c>
      <c r="AE2102">
        <f>IF(ISNUMBER(Z2102),Z2102*($AB$1/Z$2635),"")</f>
        <v/>
      </c>
      <c r="AF2102" s="25">
        <f>IF(ISNUMBER(AD2102+AE2102),AD2102+AE2102,"")</f>
        <v/>
      </c>
      <c r="AH2102" s="1">
        <f>A2102</f>
        <v/>
      </c>
      <c r="AI2102">
        <f>IF(ISNUMBER((1+V2102)*AI2101),(1+V2102)*AI2101,AI2101)</f>
        <v/>
      </c>
      <c r="AJ2102">
        <f>IF(ISNUMBER((1+Z2102)*AJ2101),(1+Z2102)*AJ2101,AJ2101)</f>
        <v/>
      </c>
    </row>
    <row r="2103">
      <c r="A2103" s="1" t="n">
        <v>45054</v>
      </c>
      <c r="B2103" s="3">
        <f>IF(ORIG!B2103=0,"",ORIG!B2103)</f>
        <v/>
      </c>
      <c r="C2103" s="3">
        <f>IF(ORIG!C2103=0,"",ORIG!C2103)</f>
        <v/>
      </c>
      <c r="D2103" s="3">
        <f>IF(ORIG!D2103=0,"",ORIG!D2103)</f>
        <v/>
      </c>
      <c r="E2103" s="3">
        <f>IF(ORIG!E2103=0,"",ORIG!E2103)</f>
        <v/>
      </c>
      <c r="F2103" s="3">
        <f>IF(ORIG!F2103=0,"",ORIG!F2103)</f>
        <v/>
      </c>
      <c r="G2103" s="3">
        <f>IF(ORIG!G2103=0,"",ORIG!G2103)</f>
        <v/>
      </c>
      <c r="H2103" s="3">
        <f>IF(ORIG!H2103=0,"",ORIG!H2103)</f>
        <v/>
      </c>
      <c r="I2103" s="3">
        <f>IF(ORIG!I2103=0,"",ORIG!I2103)</f>
        <v/>
      </c>
      <c r="J2103" s="3">
        <f>IF(ORIG!J2103=0,"",ORIG!J2103)</f>
        <v/>
      </c>
      <c r="K2103" s="3">
        <f>IF(ORIG!K2103=0,"",ORIG!K2103)</f>
        <v/>
      </c>
      <c r="L2103" s="3">
        <f>IF(ORIG!L2103=0,"",ORIG!L2103)</f>
        <v/>
      </c>
      <c r="M2103" s="3">
        <f>IF(ORIG!M2103=0,"",ORIG!M2103)</f>
        <v/>
      </c>
      <c r="N2103" s="3">
        <f>IF(ORIG!N2103=0,"",ORIG!N2103)</f>
        <v/>
      </c>
      <c r="O2103" s="3">
        <f>IF(ORIG!O2103=0,"",ORIG!O2103)</f>
        <v/>
      </c>
      <c r="P2103" s="3">
        <f>IF(ORIG!P2103=0,"",ORIG!P2103)</f>
        <v/>
      </c>
      <c r="Q2103" s="3">
        <f>IF(ORIG!Q2103=0,"",ORIG!Q2103)</f>
        <v/>
      </c>
      <c r="R2103" s="3">
        <f>IF(ORIG!R2103=0,"",ORIG!R2103)</f>
        <v/>
      </c>
      <c r="S2103" s="3">
        <f>IF(ORIG!S2103=0,"",ORIG!S2103)</f>
        <v/>
      </c>
      <c r="T2103" s="3">
        <f>IF(ORIG!T2103=0,"",ORIG!T2103)</f>
        <v/>
      </c>
      <c r="U2103" s="3">
        <f>IF(ORIG!U2103=0,"",ORIG!U2103)</f>
        <v/>
      </c>
      <c r="V2103" s="9">
        <f>IF(ORIG!V2103=0,"",ORIG!V2103)</f>
        <v/>
      </c>
      <c r="W2103" s="9">
        <f>IF(ORIG!W2103=0,"",ORIG!W2103)</f>
        <v/>
      </c>
      <c r="X2103" s="9">
        <f>IF(ORIG!X2103=0,"",ORIG!X2103)</f>
        <v/>
      </c>
      <c r="Y2103" s="9">
        <f>IF(ORIG!Y2103=0,"",ORIG!Y2103)</f>
        <v/>
      </c>
      <c r="Z2103" s="3">
        <f>SUMPRODUCT($B2103:$Y2103,$B$2649:$Y$2649)</f>
        <v/>
      </c>
      <c r="AA2103" s="3">
        <f>SUMPRODUCT($B2103:$Y2103,$B$2655:$Y$2655)</f>
        <v/>
      </c>
      <c r="AC2103" s="1">
        <f>A2103</f>
        <v/>
      </c>
      <c r="AD2103">
        <f>IF(ISNUMBER(V2103),V2103*($AB$1/V$2635),"")</f>
        <v/>
      </c>
      <c r="AE2103">
        <f>IF(ISNUMBER(Z2103),Z2103*($AB$1/Z$2635),"")</f>
        <v/>
      </c>
      <c r="AF2103" s="25">
        <f>IF(ISNUMBER(AD2103+AE2103),AD2103+AE2103,"")</f>
        <v/>
      </c>
      <c r="AH2103" s="1">
        <f>A2103</f>
        <v/>
      </c>
      <c r="AI2103">
        <f>IF(ISNUMBER((1+V2103)*AI2102),(1+V2103)*AI2102,AI2102)</f>
        <v/>
      </c>
      <c r="AJ2103">
        <f>IF(ISNUMBER((1+Z2103)*AJ2102),(1+Z2103)*AJ2102,AJ2102)</f>
        <v/>
      </c>
    </row>
    <row r="2104">
      <c r="A2104" s="1" t="n">
        <v>45055</v>
      </c>
      <c r="B2104" s="3">
        <f>IF(ORIG!B2104=0,"",ORIG!B2104)</f>
        <v/>
      </c>
      <c r="C2104" s="3">
        <f>IF(ORIG!C2104=0,"",ORIG!C2104)</f>
        <v/>
      </c>
      <c r="D2104" s="3">
        <f>IF(ORIG!D2104=0,"",ORIG!D2104)</f>
        <v/>
      </c>
      <c r="E2104" s="3">
        <f>IF(ORIG!E2104=0,"",ORIG!E2104)</f>
        <v/>
      </c>
      <c r="F2104" s="3">
        <f>IF(ORIG!F2104=0,"",ORIG!F2104)</f>
        <v/>
      </c>
      <c r="G2104" s="3">
        <f>IF(ORIG!G2104=0,"",ORIG!G2104)</f>
        <v/>
      </c>
      <c r="H2104" s="3">
        <f>IF(ORIG!H2104=0,"",ORIG!H2104)</f>
        <v/>
      </c>
      <c r="I2104" s="3">
        <f>IF(ORIG!I2104=0,"",ORIG!I2104)</f>
        <v/>
      </c>
      <c r="J2104" s="3">
        <f>IF(ORIG!J2104=0,"",ORIG!J2104)</f>
        <v/>
      </c>
      <c r="K2104" s="3">
        <f>IF(ORIG!K2104=0,"",ORIG!K2104)</f>
        <v/>
      </c>
      <c r="L2104" s="3">
        <f>IF(ORIG!L2104=0,"",ORIG!L2104)</f>
        <v/>
      </c>
      <c r="M2104" s="3">
        <f>IF(ORIG!M2104=0,"",ORIG!M2104)</f>
        <v/>
      </c>
      <c r="N2104" s="3">
        <f>IF(ORIG!N2104=0,"",ORIG!N2104)</f>
        <v/>
      </c>
      <c r="O2104" s="3">
        <f>IF(ORIG!O2104=0,"",ORIG!O2104)</f>
        <v/>
      </c>
      <c r="P2104" s="3">
        <f>IF(ORIG!P2104=0,"",ORIG!P2104)</f>
        <v/>
      </c>
      <c r="Q2104" s="3">
        <f>IF(ORIG!Q2104=0,"",ORIG!Q2104)</f>
        <v/>
      </c>
      <c r="R2104" s="3">
        <f>IF(ORIG!R2104=0,"",ORIG!R2104)</f>
        <v/>
      </c>
      <c r="S2104" s="3">
        <f>IF(ORIG!S2104=0,"",ORIG!S2104)</f>
        <v/>
      </c>
      <c r="T2104" s="3">
        <f>IF(ORIG!T2104=0,"",ORIG!T2104)</f>
        <v/>
      </c>
      <c r="U2104" s="3">
        <f>IF(ORIG!U2104=0,"",ORIG!U2104)</f>
        <v/>
      </c>
      <c r="V2104" s="9">
        <f>IF(ORIG!V2104=0,"",ORIG!V2104)</f>
        <v/>
      </c>
      <c r="W2104" s="9">
        <f>IF(ORIG!W2104=0,"",ORIG!W2104)</f>
        <v/>
      </c>
      <c r="X2104" s="9">
        <f>IF(ORIG!X2104=0,"",ORIG!X2104)</f>
        <v/>
      </c>
      <c r="Y2104" s="9">
        <f>IF(ORIG!Y2104=0,"",ORIG!Y2104)</f>
        <v/>
      </c>
      <c r="Z2104" s="3">
        <f>SUMPRODUCT($B2104:$Y2104,$B$2649:$Y$2649)</f>
        <v/>
      </c>
      <c r="AA2104" s="3">
        <f>SUMPRODUCT($B2104:$Y2104,$B$2655:$Y$2655)</f>
        <v/>
      </c>
      <c r="AC2104" s="1">
        <f>A2104</f>
        <v/>
      </c>
      <c r="AD2104">
        <f>IF(ISNUMBER(V2104),V2104*($AB$1/V$2635),"")</f>
        <v/>
      </c>
      <c r="AE2104">
        <f>IF(ISNUMBER(Z2104),Z2104*($AB$1/Z$2635),"")</f>
        <v/>
      </c>
      <c r="AF2104" s="25">
        <f>IF(ISNUMBER(AD2104+AE2104),AD2104+AE2104,"")</f>
        <v/>
      </c>
      <c r="AH2104" s="1">
        <f>A2104</f>
        <v/>
      </c>
      <c r="AI2104">
        <f>IF(ISNUMBER((1+V2104)*AI2103),(1+V2104)*AI2103,AI2103)</f>
        <v/>
      </c>
      <c r="AJ2104">
        <f>IF(ISNUMBER((1+Z2104)*AJ2103),(1+Z2104)*AJ2103,AJ2103)</f>
        <v/>
      </c>
    </row>
    <row r="2105">
      <c r="A2105" s="1" t="n">
        <v>45056</v>
      </c>
      <c r="B2105" s="3">
        <f>IF(ORIG!B2105=0,"",ORIG!B2105)</f>
        <v/>
      </c>
      <c r="C2105" s="3">
        <f>IF(ORIG!C2105=0,"",ORIG!C2105)</f>
        <v/>
      </c>
      <c r="D2105" s="3">
        <f>IF(ORIG!D2105=0,"",ORIG!D2105)</f>
        <v/>
      </c>
      <c r="E2105" s="3">
        <f>IF(ORIG!E2105=0,"",ORIG!E2105)</f>
        <v/>
      </c>
      <c r="F2105" s="3">
        <f>IF(ORIG!F2105=0,"",ORIG!F2105)</f>
        <v/>
      </c>
      <c r="G2105" s="3">
        <f>IF(ORIG!G2105=0,"",ORIG!G2105)</f>
        <v/>
      </c>
      <c r="H2105" s="3">
        <f>IF(ORIG!H2105=0,"",ORIG!H2105)</f>
        <v/>
      </c>
      <c r="I2105" s="3">
        <f>IF(ORIG!I2105=0,"",ORIG!I2105)</f>
        <v/>
      </c>
      <c r="J2105" s="3">
        <f>IF(ORIG!J2105=0,"",ORIG!J2105)</f>
        <v/>
      </c>
      <c r="K2105" s="3">
        <f>IF(ORIG!K2105=0,"",ORIG!K2105)</f>
        <v/>
      </c>
      <c r="L2105" s="3">
        <f>IF(ORIG!L2105=0,"",ORIG!L2105)</f>
        <v/>
      </c>
      <c r="M2105" s="3">
        <f>IF(ORIG!M2105=0,"",ORIG!M2105)</f>
        <v/>
      </c>
      <c r="N2105" s="3">
        <f>IF(ORIG!N2105=0,"",ORIG!N2105)</f>
        <v/>
      </c>
      <c r="O2105" s="3">
        <f>IF(ORIG!O2105=0,"",ORIG!O2105)</f>
        <v/>
      </c>
      <c r="P2105" s="3">
        <f>IF(ORIG!P2105=0,"",ORIG!P2105)</f>
        <v/>
      </c>
      <c r="Q2105" s="3">
        <f>IF(ORIG!Q2105=0,"",ORIG!Q2105)</f>
        <v/>
      </c>
      <c r="R2105" s="3">
        <f>IF(ORIG!R2105=0,"",ORIG!R2105)</f>
        <v/>
      </c>
      <c r="S2105" s="3">
        <f>IF(ORIG!S2105=0,"",ORIG!S2105)</f>
        <v/>
      </c>
      <c r="T2105" s="3">
        <f>IF(ORIG!T2105=0,"",ORIG!T2105)</f>
        <v/>
      </c>
      <c r="U2105" s="3">
        <f>IF(ORIG!U2105=0,"",ORIG!U2105)</f>
        <v/>
      </c>
      <c r="V2105" s="9">
        <f>IF(ORIG!V2105=0,"",ORIG!V2105)</f>
        <v/>
      </c>
      <c r="W2105" s="9">
        <f>IF(ORIG!W2105=0,"",ORIG!W2105)</f>
        <v/>
      </c>
      <c r="X2105" s="9">
        <f>IF(ORIG!X2105=0,"",ORIG!X2105)</f>
        <v/>
      </c>
      <c r="Y2105" s="9">
        <f>IF(ORIG!Y2105=0,"",ORIG!Y2105)</f>
        <v/>
      </c>
      <c r="Z2105" s="3">
        <f>SUMPRODUCT($B2105:$Y2105,$B$2649:$Y$2649)</f>
        <v/>
      </c>
      <c r="AA2105" s="3">
        <f>SUMPRODUCT($B2105:$Y2105,$B$2655:$Y$2655)</f>
        <v/>
      </c>
      <c r="AC2105" s="1">
        <f>A2105</f>
        <v/>
      </c>
      <c r="AD2105">
        <f>IF(ISNUMBER(V2105),V2105*($AB$1/V$2635),"")</f>
        <v/>
      </c>
      <c r="AE2105">
        <f>IF(ISNUMBER(Z2105),Z2105*($AB$1/Z$2635),"")</f>
        <v/>
      </c>
      <c r="AF2105" s="25">
        <f>IF(ISNUMBER(AD2105+AE2105),AD2105+AE2105,"")</f>
        <v/>
      </c>
      <c r="AH2105" s="1">
        <f>A2105</f>
        <v/>
      </c>
      <c r="AI2105">
        <f>IF(ISNUMBER((1+V2105)*AI2104),(1+V2105)*AI2104,AI2104)</f>
        <v/>
      </c>
      <c r="AJ2105">
        <f>IF(ISNUMBER((1+Z2105)*AJ2104),(1+Z2105)*AJ2104,AJ2104)</f>
        <v/>
      </c>
    </row>
    <row r="2106">
      <c r="A2106" s="1" t="n">
        <v>45057</v>
      </c>
      <c r="B2106" s="3">
        <f>IF(ORIG!B2106=0,"",ORIG!B2106)</f>
        <v/>
      </c>
      <c r="C2106" s="3">
        <f>IF(ORIG!C2106=0,"",ORIG!C2106)</f>
        <v/>
      </c>
      <c r="D2106" s="3">
        <f>IF(ORIG!D2106=0,"",ORIG!D2106)</f>
        <v/>
      </c>
      <c r="E2106" s="3">
        <f>IF(ORIG!E2106=0,"",ORIG!E2106)</f>
        <v/>
      </c>
      <c r="F2106" s="3">
        <f>IF(ORIG!F2106=0,"",ORIG!F2106)</f>
        <v/>
      </c>
      <c r="G2106" s="3">
        <f>IF(ORIG!G2106=0,"",ORIG!G2106)</f>
        <v/>
      </c>
      <c r="H2106" s="3">
        <f>IF(ORIG!H2106=0,"",ORIG!H2106)</f>
        <v/>
      </c>
      <c r="I2106" s="3">
        <f>IF(ORIG!I2106=0,"",ORIG!I2106)</f>
        <v/>
      </c>
      <c r="J2106" s="3">
        <f>IF(ORIG!J2106=0,"",ORIG!J2106)</f>
        <v/>
      </c>
      <c r="K2106" s="3">
        <f>IF(ORIG!K2106=0,"",ORIG!K2106)</f>
        <v/>
      </c>
      <c r="L2106" s="3">
        <f>IF(ORIG!L2106=0,"",ORIG!L2106)</f>
        <v/>
      </c>
      <c r="M2106" s="3">
        <f>IF(ORIG!M2106=0,"",ORIG!M2106)</f>
        <v/>
      </c>
      <c r="N2106" s="3">
        <f>IF(ORIG!N2106=0,"",ORIG!N2106)</f>
        <v/>
      </c>
      <c r="O2106" s="3">
        <f>IF(ORIG!O2106=0,"",ORIG!O2106)</f>
        <v/>
      </c>
      <c r="P2106" s="3">
        <f>IF(ORIG!P2106=0,"",ORIG!P2106)</f>
        <v/>
      </c>
      <c r="Q2106" s="3">
        <f>IF(ORIG!Q2106=0,"",ORIG!Q2106)</f>
        <v/>
      </c>
      <c r="R2106" s="3">
        <f>IF(ORIG!R2106=0,"",ORIG!R2106)</f>
        <v/>
      </c>
      <c r="S2106" s="3">
        <f>IF(ORIG!S2106=0,"",ORIG!S2106)</f>
        <v/>
      </c>
      <c r="T2106" s="3">
        <f>IF(ORIG!T2106=0,"",ORIG!T2106)</f>
        <v/>
      </c>
      <c r="U2106" s="3">
        <f>IF(ORIG!U2106=0,"",ORIG!U2106)</f>
        <v/>
      </c>
      <c r="V2106" s="9">
        <f>IF(ORIG!V2106=0,"",ORIG!V2106)</f>
        <v/>
      </c>
      <c r="W2106" s="9">
        <f>IF(ORIG!W2106=0,"",ORIG!W2106)</f>
        <v/>
      </c>
      <c r="X2106" s="9">
        <f>IF(ORIG!X2106=0,"",ORIG!X2106)</f>
        <v/>
      </c>
      <c r="Y2106" s="9">
        <f>IF(ORIG!Y2106=0,"",ORIG!Y2106)</f>
        <v/>
      </c>
      <c r="Z2106" s="3">
        <f>SUMPRODUCT($B2106:$Y2106,$B$2649:$Y$2649)</f>
        <v/>
      </c>
      <c r="AA2106" s="3">
        <f>SUMPRODUCT($B2106:$Y2106,$B$2655:$Y$2655)</f>
        <v/>
      </c>
      <c r="AC2106" s="1">
        <f>A2106</f>
        <v/>
      </c>
      <c r="AD2106">
        <f>IF(ISNUMBER(V2106),V2106*($AB$1/V$2635),"")</f>
        <v/>
      </c>
      <c r="AE2106">
        <f>IF(ISNUMBER(Z2106),Z2106*($AB$1/Z$2635),"")</f>
        <v/>
      </c>
      <c r="AF2106" s="25">
        <f>IF(ISNUMBER(AD2106+AE2106),AD2106+AE2106,"")</f>
        <v/>
      </c>
      <c r="AH2106" s="1">
        <f>A2106</f>
        <v/>
      </c>
      <c r="AI2106">
        <f>IF(ISNUMBER((1+V2106)*AI2105),(1+V2106)*AI2105,AI2105)</f>
        <v/>
      </c>
      <c r="AJ2106">
        <f>IF(ISNUMBER((1+Z2106)*AJ2105),(1+Z2106)*AJ2105,AJ2105)</f>
        <v/>
      </c>
    </row>
    <row r="2107">
      <c r="A2107" s="1" t="n">
        <v>45058</v>
      </c>
      <c r="B2107" s="3">
        <f>IF(ORIG!B2107=0,"",ORIG!B2107)</f>
        <v/>
      </c>
      <c r="C2107" s="3">
        <f>IF(ORIG!C2107=0,"",ORIG!C2107)</f>
        <v/>
      </c>
      <c r="D2107" s="3">
        <f>IF(ORIG!D2107=0,"",ORIG!D2107)</f>
        <v/>
      </c>
      <c r="E2107" s="3">
        <f>IF(ORIG!E2107=0,"",ORIG!E2107)</f>
        <v/>
      </c>
      <c r="F2107" s="3">
        <f>IF(ORIG!F2107=0,"",ORIG!F2107)</f>
        <v/>
      </c>
      <c r="G2107" s="3">
        <f>IF(ORIG!G2107=0,"",ORIG!G2107)</f>
        <v/>
      </c>
      <c r="H2107" s="3">
        <f>IF(ORIG!H2107=0,"",ORIG!H2107)</f>
        <v/>
      </c>
      <c r="I2107" s="3">
        <f>IF(ORIG!I2107=0,"",ORIG!I2107)</f>
        <v/>
      </c>
      <c r="J2107" s="3">
        <f>IF(ORIG!J2107=0,"",ORIG!J2107)</f>
        <v/>
      </c>
      <c r="K2107" s="3">
        <f>IF(ORIG!K2107=0,"",ORIG!K2107)</f>
        <v/>
      </c>
      <c r="L2107" s="3">
        <f>IF(ORIG!L2107=0,"",ORIG!L2107)</f>
        <v/>
      </c>
      <c r="M2107" s="3">
        <f>IF(ORIG!M2107=0,"",ORIG!M2107)</f>
        <v/>
      </c>
      <c r="N2107" s="3">
        <f>IF(ORIG!N2107=0,"",ORIG!N2107)</f>
        <v/>
      </c>
      <c r="O2107" s="3">
        <f>IF(ORIG!O2107=0,"",ORIG!O2107)</f>
        <v/>
      </c>
      <c r="P2107" s="3">
        <f>IF(ORIG!P2107=0,"",ORIG!P2107)</f>
        <v/>
      </c>
      <c r="Q2107" s="3">
        <f>IF(ORIG!Q2107=0,"",ORIG!Q2107)</f>
        <v/>
      </c>
      <c r="R2107" s="3">
        <f>IF(ORIG!R2107=0,"",ORIG!R2107)</f>
        <v/>
      </c>
      <c r="S2107" s="3">
        <f>IF(ORIG!S2107=0,"",ORIG!S2107)</f>
        <v/>
      </c>
      <c r="T2107" s="3">
        <f>IF(ORIG!T2107=0,"",ORIG!T2107)</f>
        <v/>
      </c>
      <c r="U2107" s="3">
        <f>IF(ORIG!U2107=0,"",ORIG!U2107)</f>
        <v/>
      </c>
      <c r="V2107" s="9">
        <f>IF(ORIG!V2107=0,"",ORIG!V2107)</f>
        <v/>
      </c>
      <c r="W2107" s="9">
        <f>IF(ORIG!W2107=0,"",ORIG!W2107)</f>
        <v/>
      </c>
      <c r="X2107" s="9">
        <f>IF(ORIG!X2107=0,"",ORIG!X2107)</f>
        <v/>
      </c>
      <c r="Y2107" s="9">
        <f>IF(ORIG!Y2107=0,"",ORIG!Y2107)</f>
        <v/>
      </c>
      <c r="Z2107" s="3">
        <f>SUMPRODUCT($B2107:$Y2107,$B$2649:$Y$2649)</f>
        <v/>
      </c>
      <c r="AA2107" s="3">
        <f>SUMPRODUCT($B2107:$Y2107,$B$2655:$Y$2655)</f>
        <v/>
      </c>
      <c r="AC2107" s="1">
        <f>A2107</f>
        <v/>
      </c>
      <c r="AD2107">
        <f>IF(ISNUMBER(V2107),V2107*($AB$1/V$2635),"")</f>
        <v/>
      </c>
      <c r="AE2107">
        <f>IF(ISNUMBER(Z2107),Z2107*($AB$1/Z$2635),"")</f>
        <v/>
      </c>
      <c r="AF2107" s="25">
        <f>IF(ISNUMBER(AD2107+AE2107),AD2107+AE2107,"")</f>
        <v/>
      </c>
      <c r="AH2107" s="1">
        <f>A2107</f>
        <v/>
      </c>
      <c r="AI2107">
        <f>IF(ISNUMBER((1+V2107)*AI2106),(1+V2107)*AI2106,AI2106)</f>
        <v/>
      </c>
      <c r="AJ2107">
        <f>IF(ISNUMBER((1+Z2107)*AJ2106),(1+Z2107)*AJ2106,AJ2106)</f>
        <v/>
      </c>
    </row>
    <row r="2108">
      <c r="A2108" s="1" t="n">
        <v>45061</v>
      </c>
      <c r="B2108" s="3">
        <f>IF(ORIG!B2108=0,"",ORIG!B2108)</f>
        <v/>
      </c>
      <c r="C2108" s="3">
        <f>IF(ORIG!C2108=0,"",ORIG!C2108)</f>
        <v/>
      </c>
      <c r="D2108" s="3">
        <f>IF(ORIG!D2108=0,"",ORIG!D2108)</f>
        <v/>
      </c>
      <c r="E2108" s="3">
        <f>IF(ORIG!E2108=0,"",ORIG!E2108)</f>
        <v/>
      </c>
      <c r="F2108" s="3">
        <f>IF(ORIG!F2108=0,"",ORIG!F2108)</f>
        <v/>
      </c>
      <c r="G2108" s="3">
        <f>IF(ORIG!G2108=0,"",ORIG!G2108)</f>
        <v/>
      </c>
      <c r="H2108" s="3">
        <f>IF(ORIG!H2108=0,"",ORIG!H2108)</f>
        <v/>
      </c>
      <c r="I2108" s="3">
        <f>IF(ORIG!I2108=0,"",ORIG!I2108)</f>
        <v/>
      </c>
      <c r="J2108" s="3">
        <f>IF(ORIG!J2108=0,"",ORIG!J2108)</f>
        <v/>
      </c>
      <c r="K2108" s="3">
        <f>IF(ORIG!K2108=0,"",ORIG!K2108)</f>
        <v/>
      </c>
      <c r="L2108" s="3">
        <f>IF(ORIG!L2108=0,"",ORIG!L2108)</f>
        <v/>
      </c>
      <c r="M2108" s="3">
        <f>IF(ORIG!M2108=0,"",ORIG!M2108)</f>
        <v/>
      </c>
      <c r="N2108" s="3">
        <f>IF(ORIG!N2108=0,"",ORIG!N2108)</f>
        <v/>
      </c>
      <c r="O2108" s="3">
        <f>IF(ORIG!O2108=0,"",ORIG!O2108)</f>
        <v/>
      </c>
      <c r="P2108" s="3">
        <f>IF(ORIG!P2108=0,"",ORIG!P2108)</f>
        <v/>
      </c>
      <c r="Q2108" s="3">
        <f>IF(ORIG!Q2108=0,"",ORIG!Q2108)</f>
        <v/>
      </c>
      <c r="R2108" s="3">
        <f>IF(ORIG!R2108=0,"",ORIG!R2108)</f>
        <v/>
      </c>
      <c r="S2108" s="3">
        <f>IF(ORIG!S2108=0,"",ORIG!S2108)</f>
        <v/>
      </c>
      <c r="T2108" s="3">
        <f>IF(ORIG!T2108=0,"",ORIG!T2108)</f>
        <v/>
      </c>
      <c r="U2108" s="3">
        <f>IF(ORIG!U2108=0,"",ORIG!U2108)</f>
        <v/>
      </c>
      <c r="V2108" s="9">
        <f>IF(ORIG!V2108=0,"",ORIG!V2108)</f>
        <v/>
      </c>
      <c r="W2108" s="9">
        <f>IF(ORIG!W2108=0,"",ORIG!W2108)</f>
        <v/>
      </c>
      <c r="X2108" s="9">
        <f>IF(ORIG!X2108=0,"",ORIG!X2108)</f>
        <v/>
      </c>
      <c r="Y2108" s="9">
        <f>IF(ORIG!Y2108=0,"",ORIG!Y2108)</f>
        <v/>
      </c>
      <c r="Z2108" s="3">
        <f>SUMPRODUCT($B2108:$Y2108,$B$2649:$Y$2649)</f>
        <v/>
      </c>
      <c r="AA2108" s="3">
        <f>SUMPRODUCT($B2108:$Y2108,$B$2655:$Y$2655)</f>
        <v/>
      </c>
      <c r="AC2108" s="1">
        <f>A2108</f>
        <v/>
      </c>
      <c r="AD2108">
        <f>IF(ISNUMBER(V2108),V2108*($AB$1/V$2635),"")</f>
        <v/>
      </c>
      <c r="AE2108">
        <f>IF(ISNUMBER(Z2108),Z2108*($AB$1/Z$2635),"")</f>
        <v/>
      </c>
      <c r="AF2108" s="25">
        <f>IF(ISNUMBER(AD2108+AE2108),AD2108+AE2108,"")</f>
        <v/>
      </c>
      <c r="AH2108" s="1">
        <f>A2108</f>
        <v/>
      </c>
      <c r="AI2108">
        <f>IF(ISNUMBER((1+V2108)*AI2107),(1+V2108)*AI2107,AI2107)</f>
        <v/>
      </c>
      <c r="AJ2108">
        <f>IF(ISNUMBER((1+Z2108)*AJ2107),(1+Z2108)*AJ2107,AJ2107)</f>
        <v/>
      </c>
    </row>
    <row r="2109">
      <c r="A2109" s="1" t="n">
        <v>45062</v>
      </c>
      <c r="B2109" s="3">
        <f>IF(ORIG!B2109=0,"",ORIG!B2109)</f>
        <v/>
      </c>
      <c r="C2109" s="3">
        <f>IF(ORIG!C2109=0,"",ORIG!C2109)</f>
        <v/>
      </c>
      <c r="D2109" s="3">
        <f>IF(ORIG!D2109=0,"",ORIG!D2109)</f>
        <v/>
      </c>
      <c r="E2109" s="3">
        <f>IF(ORIG!E2109=0,"",ORIG!E2109)</f>
        <v/>
      </c>
      <c r="F2109" s="3">
        <f>IF(ORIG!F2109=0,"",ORIG!F2109)</f>
        <v/>
      </c>
      <c r="G2109" s="3">
        <f>IF(ORIG!G2109=0,"",ORIG!G2109)</f>
        <v/>
      </c>
      <c r="H2109" s="3">
        <f>IF(ORIG!H2109=0,"",ORIG!H2109)</f>
        <v/>
      </c>
      <c r="I2109" s="3">
        <f>IF(ORIG!I2109=0,"",ORIG!I2109)</f>
        <v/>
      </c>
      <c r="J2109" s="3">
        <f>IF(ORIG!J2109=0,"",ORIG!J2109)</f>
        <v/>
      </c>
      <c r="K2109" s="3">
        <f>IF(ORIG!K2109=0,"",ORIG!K2109)</f>
        <v/>
      </c>
      <c r="L2109" s="3">
        <f>IF(ORIG!L2109=0,"",ORIG!L2109)</f>
        <v/>
      </c>
      <c r="M2109" s="3">
        <f>IF(ORIG!M2109=0,"",ORIG!M2109)</f>
        <v/>
      </c>
      <c r="N2109" s="3">
        <f>IF(ORIG!N2109=0,"",ORIG!N2109)</f>
        <v/>
      </c>
      <c r="O2109" s="3">
        <f>IF(ORIG!O2109=0,"",ORIG!O2109)</f>
        <v/>
      </c>
      <c r="P2109" s="3">
        <f>IF(ORIG!P2109=0,"",ORIG!P2109)</f>
        <v/>
      </c>
      <c r="Q2109" s="3">
        <f>IF(ORIG!Q2109=0,"",ORIG!Q2109)</f>
        <v/>
      </c>
      <c r="R2109" s="3">
        <f>IF(ORIG!R2109=0,"",ORIG!R2109)</f>
        <v/>
      </c>
      <c r="S2109" s="3">
        <f>IF(ORIG!S2109=0,"",ORIG!S2109)</f>
        <v/>
      </c>
      <c r="T2109" s="3">
        <f>IF(ORIG!T2109=0,"",ORIG!T2109)</f>
        <v/>
      </c>
      <c r="U2109" s="3">
        <f>IF(ORIG!U2109=0,"",ORIG!U2109)</f>
        <v/>
      </c>
      <c r="V2109" s="9">
        <f>IF(ORIG!V2109=0,"",ORIG!V2109)</f>
        <v/>
      </c>
      <c r="W2109" s="9">
        <f>IF(ORIG!W2109=0,"",ORIG!W2109)</f>
        <v/>
      </c>
      <c r="X2109" s="9">
        <f>IF(ORIG!X2109=0,"",ORIG!X2109)</f>
        <v/>
      </c>
      <c r="Y2109" s="9">
        <f>IF(ORIG!Y2109=0,"",ORIG!Y2109)</f>
        <v/>
      </c>
      <c r="Z2109" s="3">
        <f>SUMPRODUCT($B2109:$Y2109,$B$2649:$Y$2649)</f>
        <v/>
      </c>
      <c r="AA2109" s="3">
        <f>SUMPRODUCT($B2109:$Y2109,$B$2655:$Y$2655)</f>
        <v/>
      </c>
      <c r="AC2109" s="1">
        <f>A2109</f>
        <v/>
      </c>
      <c r="AD2109">
        <f>IF(ISNUMBER(V2109),V2109*($AB$1/V$2635),"")</f>
        <v/>
      </c>
      <c r="AE2109">
        <f>IF(ISNUMBER(Z2109),Z2109*($AB$1/Z$2635),"")</f>
        <v/>
      </c>
      <c r="AF2109" s="25">
        <f>IF(ISNUMBER(AD2109+AE2109),AD2109+AE2109,"")</f>
        <v/>
      </c>
      <c r="AH2109" s="1">
        <f>A2109</f>
        <v/>
      </c>
      <c r="AI2109">
        <f>IF(ISNUMBER((1+V2109)*AI2108),(1+V2109)*AI2108,AI2108)</f>
        <v/>
      </c>
      <c r="AJ2109">
        <f>IF(ISNUMBER((1+Z2109)*AJ2108),(1+Z2109)*AJ2108,AJ2108)</f>
        <v/>
      </c>
    </row>
    <row r="2110">
      <c r="A2110" s="1" t="n">
        <v>45063</v>
      </c>
      <c r="B2110" s="3">
        <f>IF(ORIG!B2110=0,"",ORIG!B2110)</f>
        <v/>
      </c>
      <c r="C2110" s="3">
        <f>IF(ORIG!C2110=0,"",ORIG!C2110)</f>
        <v/>
      </c>
      <c r="D2110" s="3">
        <f>IF(ORIG!D2110=0,"",ORIG!D2110)</f>
        <v/>
      </c>
      <c r="E2110" s="3">
        <f>IF(ORIG!E2110=0,"",ORIG!E2110)</f>
        <v/>
      </c>
      <c r="F2110" s="3">
        <f>IF(ORIG!F2110=0,"",ORIG!F2110)</f>
        <v/>
      </c>
      <c r="G2110" s="3">
        <f>IF(ORIG!G2110=0,"",ORIG!G2110)</f>
        <v/>
      </c>
      <c r="H2110" s="3">
        <f>IF(ORIG!H2110=0,"",ORIG!H2110)</f>
        <v/>
      </c>
      <c r="I2110" s="3">
        <f>IF(ORIG!I2110=0,"",ORIG!I2110)</f>
        <v/>
      </c>
      <c r="J2110" s="3">
        <f>IF(ORIG!J2110=0,"",ORIG!J2110)</f>
        <v/>
      </c>
      <c r="K2110" s="3">
        <f>IF(ORIG!K2110=0,"",ORIG!K2110)</f>
        <v/>
      </c>
      <c r="L2110" s="3">
        <f>IF(ORIG!L2110=0,"",ORIG!L2110)</f>
        <v/>
      </c>
      <c r="M2110" s="3">
        <f>IF(ORIG!M2110=0,"",ORIG!M2110)</f>
        <v/>
      </c>
      <c r="N2110" s="3">
        <f>IF(ORIG!N2110=0,"",ORIG!N2110)</f>
        <v/>
      </c>
      <c r="O2110" s="3">
        <f>IF(ORIG!O2110=0,"",ORIG!O2110)</f>
        <v/>
      </c>
      <c r="P2110" s="3">
        <f>IF(ORIG!P2110=0,"",ORIG!P2110)</f>
        <v/>
      </c>
      <c r="Q2110" s="3">
        <f>IF(ORIG!Q2110=0,"",ORIG!Q2110)</f>
        <v/>
      </c>
      <c r="R2110" s="3">
        <f>IF(ORIG!R2110=0,"",ORIG!R2110)</f>
        <v/>
      </c>
      <c r="S2110" s="3">
        <f>IF(ORIG!S2110=0,"",ORIG!S2110)</f>
        <v/>
      </c>
      <c r="T2110" s="3">
        <f>IF(ORIG!T2110=0,"",ORIG!T2110)</f>
        <v/>
      </c>
      <c r="U2110" s="3">
        <f>IF(ORIG!U2110=0,"",ORIG!U2110)</f>
        <v/>
      </c>
      <c r="V2110" s="9">
        <f>IF(ORIG!V2110=0,"",ORIG!V2110)</f>
        <v/>
      </c>
      <c r="W2110" s="9">
        <f>IF(ORIG!W2110=0,"",ORIG!W2110)</f>
        <v/>
      </c>
      <c r="X2110" s="9">
        <f>IF(ORIG!X2110=0,"",ORIG!X2110)</f>
        <v/>
      </c>
      <c r="Y2110" s="9">
        <f>IF(ORIG!Y2110=0,"",ORIG!Y2110)</f>
        <v/>
      </c>
      <c r="Z2110" s="3">
        <f>SUMPRODUCT($B2110:$Y2110,$B$2649:$Y$2649)</f>
        <v/>
      </c>
      <c r="AA2110" s="3">
        <f>SUMPRODUCT($B2110:$Y2110,$B$2655:$Y$2655)</f>
        <v/>
      </c>
      <c r="AC2110" s="1">
        <f>A2110</f>
        <v/>
      </c>
      <c r="AD2110">
        <f>IF(ISNUMBER(V2110),V2110*($AB$1/V$2635),"")</f>
        <v/>
      </c>
      <c r="AE2110">
        <f>IF(ISNUMBER(Z2110),Z2110*($AB$1/Z$2635),"")</f>
        <v/>
      </c>
      <c r="AF2110" s="25">
        <f>IF(ISNUMBER(AD2110+AE2110),AD2110+AE2110,"")</f>
        <v/>
      </c>
      <c r="AH2110" s="1">
        <f>A2110</f>
        <v/>
      </c>
      <c r="AI2110">
        <f>IF(ISNUMBER((1+V2110)*AI2109),(1+V2110)*AI2109,AI2109)</f>
        <v/>
      </c>
      <c r="AJ2110">
        <f>IF(ISNUMBER((1+Z2110)*AJ2109),(1+Z2110)*AJ2109,AJ2109)</f>
        <v/>
      </c>
    </row>
    <row r="2111">
      <c r="A2111" s="1" t="n">
        <v>45064</v>
      </c>
      <c r="B2111" s="3">
        <f>IF(ORIG!B2111=0,"",ORIG!B2111)</f>
        <v/>
      </c>
      <c r="C2111" s="3">
        <f>IF(ORIG!C2111=0,"",ORIG!C2111)</f>
        <v/>
      </c>
      <c r="D2111" s="3">
        <f>IF(ORIG!D2111=0,"",ORIG!D2111)</f>
        <v/>
      </c>
      <c r="E2111" s="3">
        <f>IF(ORIG!E2111=0,"",ORIG!E2111)</f>
        <v/>
      </c>
      <c r="F2111" s="3">
        <f>IF(ORIG!F2111=0,"",ORIG!F2111)</f>
        <v/>
      </c>
      <c r="G2111" s="3">
        <f>IF(ORIG!G2111=0,"",ORIG!G2111)</f>
        <v/>
      </c>
      <c r="H2111" s="3">
        <f>IF(ORIG!H2111=0,"",ORIG!H2111)</f>
        <v/>
      </c>
      <c r="I2111" s="3">
        <f>IF(ORIG!I2111=0,"",ORIG!I2111)</f>
        <v/>
      </c>
      <c r="J2111" s="3">
        <f>IF(ORIG!J2111=0,"",ORIG!J2111)</f>
        <v/>
      </c>
      <c r="K2111" s="3">
        <f>IF(ORIG!K2111=0,"",ORIG!K2111)</f>
        <v/>
      </c>
      <c r="L2111" s="3">
        <f>IF(ORIG!L2111=0,"",ORIG!L2111)</f>
        <v/>
      </c>
      <c r="M2111" s="3">
        <f>IF(ORIG!M2111=0,"",ORIG!M2111)</f>
        <v/>
      </c>
      <c r="N2111" s="3">
        <f>IF(ORIG!N2111=0,"",ORIG!N2111)</f>
        <v/>
      </c>
      <c r="O2111" s="3">
        <f>IF(ORIG!O2111=0,"",ORIG!O2111)</f>
        <v/>
      </c>
      <c r="P2111" s="3">
        <f>IF(ORIG!P2111=0,"",ORIG!P2111)</f>
        <v/>
      </c>
      <c r="Q2111" s="3">
        <f>IF(ORIG!Q2111=0,"",ORIG!Q2111)</f>
        <v/>
      </c>
      <c r="R2111" s="3">
        <f>IF(ORIG!R2111=0,"",ORIG!R2111)</f>
        <v/>
      </c>
      <c r="S2111" s="3">
        <f>IF(ORIG!S2111=0,"",ORIG!S2111)</f>
        <v/>
      </c>
      <c r="T2111" s="3">
        <f>IF(ORIG!T2111=0,"",ORIG!T2111)</f>
        <v/>
      </c>
      <c r="U2111" s="3">
        <f>IF(ORIG!U2111=0,"",ORIG!U2111)</f>
        <v/>
      </c>
      <c r="V2111" s="9">
        <f>IF(ORIG!V2111=0,"",ORIG!V2111)</f>
        <v/>
      </c>
      <c r="W2111" s="9">
        <f>IF(ORIG!W2111=0,"",ORIG!W2111)</f>
        <v/>
      </c>
      <c r="X2111" s="9">
        <f>IF(ORIG!X2111=0,"",ORIG!X2111)</f>
        <v/>
      </c>
      <c r="Y2111" s="9">
        <f>IF(ORIG!Y2111=0,"",ORIG!Y2111)</f>
        <v/>
      </c>
      <c r="Z2111" s="3">
        <f>SUMPRODUCT($B2111:$Y2111,$B$2649:$Y$2649)</f>
        <v/>
      </c>
      <c r="AA2111" s="3">
        <f>SUMPRODUCT($B2111:$Y2111,$B$2655:$Y$2655)</f>
        <v/>
      </c>
      <c r="AC2111" s="1">
        <f>A2111</f>
        <v/>
      </c>
      <c r="AD2111">
        <f>IF(ISNUMBER(V2111),V2111*($AB$1/V$2635),"")</f>
        <v/>
      </c>
      <c r="AE2111">
        <f>IF(ISNUMBER(Z2111),Z2111*($AB$1/Z$2635),"")</f>
        <v/>
      </c>
      <c r="AF2111" s="25">
        <f>IF(ISNUMBER(AD2111+AE2111),AD2111+AE2111,"")</f>
        <v/>
      </c>
      <c r="AH2111" s="1">
        <f>A2111</f>
        <v/>
      </c>
      <c r="AI2111">
        <f>IF(ISNUMBER((1+V2111)*AI2110),(1+V2111)*AI2110,AI2110)</f>
        <v/>
      </c>
      <c r="AJ2111">
        <f>IF(ISNUMBER((1+Z2111)*AJ2110),(1+Z2111)*AJ2110,AJ2110)</f>
        <v/>
      </c>
    </row>
    <row r="2112">
      <c r="A2112" s="1" t="n">
        <v>45065</v>
      </c>
      <c r="B2112" s="3">
        <f>IF(ORIG!B2112=0,"",ORIG!B2112)</f>
        <v/>
      </c>
      <c r="C2112" s="3">
        <f>IF(ORIG!C2112=0,"",ORIG!C2112)</f>
        <v/>
      </c>
      <c r="D2112" s="3">
        <f>IF(ORIG!D2112=0,"",ORIG!D2112)</f>
        <v/>
      </c>
      <c r="E2112" s="3">
        <f>IF(ORIG!E2112=0,"",ORIG!E2112)</f>
        <v/>
      </c>
      <c r="F2112" s="3">
        <f>IF(ORIG!F2112=0,"",ORIG!F2112)</f>
        <v/>
      </c>
      <c r="G2112" s="3">
        <f>IF(ORIG!G2112=0,"",ORIG!G2112)</f>
        <v/>
      </c>
      <c r="H2112" s="3">
        <f>IF(ORIG!H2112=0,"",ORIG!H2112)</f>
        <v/>
      </c>
      <c r="I2112" s="3">
        <f>IF(ORIG!I2112=0,"",ORIG!I2112)</f>
        <v/>
      </c>
      <c r="J2112" s="3">
        <f>IF(ORIG!J2112=0,"",ORIG!J2112)</f>
        <v/>
      </c>
      <c r="K2112" s="3">
        <f>IF(ORIG!K2112=0,"",ORIG!K2112)</f>
        <v/>
      </c>
      <c r="L2112" s="3">
        <f>IF(ORIG!L2112=0,"",ORIG!L2112)</f>
        <v/>
      </c>
      <c r="M2112" s="3">
        <f>IF(ORIG!M2112=0,"",ORIG!M2112)</f>
        <v/>
      </c>
      <c r="N2112" s="3">
        <f>IF(ORIG!N2112=0,"",ORIG!N2112)</f>
        <v/>
      </c>
      <c r="O2112" s="3">
        <f>IF(ORIG!O2112=0,"",ORIG!O2112)</f>
        <v/>
      </c>
      <c r="P2112" s="3">
        <f>IF(ORIG!P2112=0,"",ORIG!P2112)</f>
        <v/>
      </c>
      <c r="Q2112" s="3">
        <f>IF(ORIG!Q2112=0,"",ORIG!Q2112)</f>
        <v/>
      </c>
      <c r="R2112" s="3">
        <f>IF(ORIG!R2112=0,"",ORIG!R2112)</f>
        <v/>
      </c>
      <c r="S2112" s="3">
        <f>IF(ORIG!S2112=0,"",ORIG!S2112)</f>
        <v/>
      </c>
      <c r="T2112" s="3">
        <f>IF(ORIG!T2112=0,"",ORIG!T2112)</f>
        <v/>
      </c>
      <c r="U2112" s="3">
        <f>IF(ORIG!U2112=0,"",ORIG!U2112)</f>
        <v/>
      </c>
      <c r="V2112" s="9">
        <f>IF(ORIG!V2112=0,"",ORIG!V2112)</f>
        <v/>
      </c>
      <c r="W2112" s="9">
        <f>IF(ORIG!W2112=0,"",ORIG!W2112)</f>
        <v/>
      </c>
      <c r="X2112" s="9">
        <f>IF(ORIG!X2112=0,"",ORIG!X2112)</f>
        <v/>
      </c>
      <c r="Y2112" s="9">
        <f>IF(ORIG!Y2112=0,"",ORIG!Y2112)</f>
        <v/>
      </c>
      <c r="Z2112" s="3">
        <f>SUMPRODUCT($B2112:$Y2112,$B$2649:$Y$2649)</f>
        <v/>
      </c>
      <c r="AA2112" s="3">
        <f>SUMPRODUCT($B2112:$Y2112,$B$2655:$Y$2655)</f>
        <v/>
      </c>
      <c r="AC2112" s="1">
        <f>A2112</f>
        <v/>
      </c>
      <c r="AD2112">
        <f>IF(ISNUMBER(V2112),V2112*($AB$1/V$2635),"")</f>
        <v/>
      </c>
      <c r="AE2112">
        <f>IF(ISNUMBER(Z2112),Z2112*($AB$1/Z$2635),"")</f>
        <v/>
      </c>
      <c r="AF2112" s="25">
        <f>IF(ISNUMBER(AD2112+AE2112),AD2112+AE2112,"")</f>
        <v/>
      </c>
      <c r="AH2112" s="1">
        <f>A2112</f>
        <v/>
      </c>
      <c r="AI2112">
        <f>IF(ISNUMBER((1+V2112)*AI2111),(1+V2112)*AI2111,AI2111)</f>
        <v/>
      </c>
      <c r="AJ2112">
        <f>IF(ISNUMBER((1+Z2112)*AJ2111),(1+Z2112)*AJ2111,AJ2111)</f>
        <v/>
      </c>
    </row>
    <row r="2113">
      <c r="A2113" s="1" t="n">
        <v>45068</v>
      </c>
      <c r="B2113" s="3">
        <f>IF(ORIG!B2113=0,"",ORIG!B2113)</f>
        <v/>
      </c>
      <c r="C2113" s="3">
        <f>IF(ORIG!C2113=0,"",ORIG!C2113)</f>
        <v/>
      </c>
      <c r="D2113" s="3">
        <f>IF(ORIG!D2113=0,"",ORIG!D2113)</f>
        <v/>
      </c>
      <c r="E2113" s="3">
        <f>IF(ORIG!E2113=0,"",ORIG!E2113)</f>
        <v/>
      </c>
      <c r="F2113" s="3">
        <f>IF(ORIG!F2113=0,"",ORIG!F2113)</f>
        <v/>
      </c>
      <c r="G2113" s="3">
        <f>IF(ORIG!G2113=0,"",ORIG!G2113)</f>
        <v/>
      </c>
      <c r="H2113" s="3">
        <f>IF(ORIG!H2113=0,"",ORIG!H2113)</f>
        <v/>
      </c>
      <c r="I2113" s="3">
        <f>IF(ORIG!I2113=0,"",ORIG!I2113)</f>
        <v/>
      </c>
      <c r="J2113" s="3">
        <f>IF(ORIG!J2113=0,"",ORIG!J2113)</f>
        <v/>
      </c>
      <c r="K2113" s="3">
        <f>IF(ORIG!K2113=0,"",ORIG!K2113)</f>
        <v/>
      </c>
      <c r="L2113" s="3">
        <f>IF(ORIG!L2113=0,"",ORIG!L2113)</f>
        <v/>
      </c>
      <c r="M2113" s="3">
        <f>IF(ORIG!M2113=0,"",ORIG!M2113)</f>
        <v/>
      </c>
      <c r="N2113" s="3">
        <f>IF(ORIG!N2113=0,"",ORIG!N2113)</f>
        <v/>
      </c>
      <c r="O2113" s="3">
        <f>IF(ORIG!O2113=0,"",ORIG!O2113)</f>
        <v/>
      </c>
      <c r="P2113" s="3">
        <f>IF(ORIG!P2113=0,"",ORIG!P2113)</f>
        <v/>
      </c>
      <c r="Q2113" s="3">
        <f>IF(ORIG!Q2113=0,"",ORIG!Q2113)</f>
        <v/>
      </c>
      <c r="R2113" s="3">
        <f>IF(ORIG!R2113=0,"",ORIG!R2113)</f>
        <v/>
      </c>
      <c r="S2113" s="3">
        <f>IF(ORIG!S2113=0,"",ORIG!S2113)</f>
        <v/>
      </c>
      <c r="T2113" s="3">
        <f>IF(ORIG!T2113=0,"",ORIG!T2113)</f>
        <v/>
      </c>
      <c r="U2113" s="3">
        <f>IF(ORIG!U2113=0,"",ORIG!U2113)</f>
        <v/>
      </c>
      <c r="V2113" s="9">
        <f>IF(ORIG!V2113=0,"",ORIG!V2113)</f>
        <v/>
      </c>
      <c r="W2113" s="9">
        <f>IF(ORIG!W2113=0,"",ORIG!W2113)</f>
        <v/>
      </c>
      <c r="X2113" s="9">
        <f>IF(ORIG!X2113=0,"",ORIG!X2113)</f>
        <v/>
      </c>
      <c r="Y2113" s="9">
        <f>IF(ORIG!Y2113=0,"",ORIG!Y2113)</f>
        <v/>
      </c>
      <c r="Z2113" s="3">
        <f>SUMPRODUCT($B2113:$Y2113,$B$2649:$Y$2649)</f>
        <v/>
      </c>
      <c r="AA2113" s="3">
        <f>SUMPRODUCT($B2113:$Y2113,$B$2655:$Y$2655)</f>
        <v/>
      </c>
      <c r="AC2113" s="1">
        <f>A2113</f>
        <v/>
      </c>
      <c r="AD2113">
        <f>IF(ISNUMBER(V2113),V2113*($AB$1/V$2635),"")</f>
        <v/>
      </c>
      <c r="AE2113">
        <f>IF(ISNUMBER(Z2113),Z2113*($AB$1/Z$2635),"")</f>
        <v/>
      </c>
      <c r="AF2113" s="25">
        <f>IF(ISNUMBER(AD2113+AE2113),AD2113+AE2113,"")</f>
        <v/>
      </c>
      <c r="AH2113" s="1">
        <f>A2113</f>
        <v/>
      </c>
      <c r="AI2113">
        <f>IF(ISNUMBER((1+V2113)*AI2112),(1+V2113)*AI2112,AI2112)</f>
        <v/>
      </c>
      <c r="AJ2113">
        <f>IF(ISNUMBER((1+Z2113)*AJ2112),(1+Z2113)*AJ2112,AJ2112)</f>
        <v/>
      </c>
    </row>
    <row r="2114">
      <c r="A2114" s="1" t="n">
        <v>45069</v>
      </c>
      <c r="B2114" s="3">
        <f>IF(ORIG!B2114=0,"",ORIG!B2114)</f>
        <v/>
      </c>
      <c r="C2114" s="3">
        <f>IF(ORIG!C2114=0,"",ORIG!C2114)</f>
        <v/>
      </c>
      <c r="D2114" s="3">
        <f>IF(ORIG!D2114=0,"",ORIG!D2114)</f>
        <v/>
      </c>
      <c r="E2114" s="3">
        <f>IF(ORIG!E2114=0,"",ORIG!E2114)</f>
        <v/>
      </c>
      <c r="F2114" s="3">
        <f>IF(ORIG!F2114=0,"",ORIG!F2114)</f>
        <v/>
      </c>
      <c r="G2114" s="3">
        <f>IF(ORIG!G2114=0,"",ORIG!G2114)</f>
        <v/>
      </c>
      <c r="H2114" s="3">
        <f>IF(ORIG!H2114=0,"",ORIG!H2114)</f>
        <v/>
      </c>
      <c r="I2114" s="3">
        <f>IF(ORIG!I2114=0,"",ORIG!I2114)</f>
        <v/>
      </c>
      <c r="J2114" s="3">
        <f>IF(ORIG!J2114=0,"",ORIG!J2114)</f>
        <v/>
      </c>
      <c r="K2114" s="3">
        <f>IF(ORIG!K2114=0,"",ORIG!K2114)</f>
        <v/>
      </c>
      <c r="L2114" s="3">
        <f>IF(ORIG!L2114=0,"",ORIG!L2114)</f>
        <v/>
      </c>
      <c r="M2114" s="3">
        <f>IF(ORIG!M2114=0,"",ORIG!M2114)</f>
        <v/>
      </c>
      <c r="N2114" s="3">
        <f>IF(ORIG!N2114=0,"",ORIG!N2114)</f>
        <v/>
      </c>
      <c r="O2114" s="3">
        <f>IF(ORIG!O2114=0,"",ORIG!O2114)</f>
        <v/>
      </c>
      <c r="P2114" s="3">
        <f>IF(ORIG!P2114=0,"",ORIG!P2114)</f>
        <v/>
      </c>
      <c r="Q2114" s="3">
        <f>IF(ORIG!Q2114=0,"",ORIG!Q2114)</f>
        <v/>
      </c>
      <c r="R2114" s="3">
        <f>IF(ORIG!R2114=0,"",ORIG!R2114)</f>
        <v/>
      </c>
      <c r="S2114" s="3">
        <f>IF(ORIG!S2114=0,"",ORIG!S2114)</f>
        <v/>
      </c>
      <c r="T2114" s="3">
        <f>IF(ORIG!T2114=0,"",ORIG!T2114)</f>
        <v/>
      </c>
      <c r="U2114" s="3">
        <f>IF(ORIG!U2114=0,"",ORIG!U2114)</f>
        <v/>
      </c>
      <c r="V2114" s="9">
        <f>IF(ORIG!V2114=0,"",ORIG!V2114)</f>
        <v/>
      </c>
      <c r="W2114" s="9">
        <f>IF(ORIG!W2114=0,"",ORIG!W2114)</f>
        <v/>
      </c>
      <c r="X2114" s="9">
        <f>IF(ORIG!X2114=0,"",ORIG!X2114)</f>
        <v/>
      </c>
      <c r="Y2114" s="9">
        <f>IF(ORIG!Y2114=0,"",ORIG!Y2114)</f>
        <v/>
      </c>
      <c r="Z2114" s="3">
        <f>SUMPRODUCT($B2114:$Y2114,$B$2649:$Y$2649)</f>
        <v/>
      </c>
      <c r="AA2114" s="3">
        <f>SUMPRODUCT($B2114:$Y2114,$B$2655:$Y$2655)</f>
        <v/>
      </c>
      <c r="AC2114" s="1">
        <f>A2114</f>
        <v/>
      </c>
      <c r="AD2114">
        <f>IF(ISNUMBER(V2114),V2114*($AB$1/V$2635),"")</f>
        <v/>
      </c>
      <c r="AE2114">
        <f>IF(ISNUMBER(Z2114),Z2114*($AB$1/Z$2635),"")</f>
        <v/>
      </c>
      <c r="AF2114" s="25">
        <f>IF(ISNUMBER(AD2114+AE2114),AD2114+AE2114,"")</f>
        <v/>
      </c>
      <c r="AH2114" s="1">
        <f>A2114</f>
        <v/>
      </c>
      <c r="AI2114">
        <f>IF(ISNUMBER((1+V2114)*AI2113),(1+V2114)*AI2113,AI2113)</f>
        <v/>
      </c>
      <c r="AJ2114">
        <f>IF(ISNUMBER((1+Z2114)*AJ2113),(1+Z2114)*AJ2113,AJ2113)</f>
        <v/>
      </c>
    </row>
    <row r="2115">
      <c r="A2115" s="1" t="n">
        <v>45070</v>
      </c>
      <c r="B2115" s="3">
        <f>IF(ORIG!B2115=0,"",ORIG!B2115)</f>
        <v/>
      </c>
      <c r="C2115" s="3">
        <f>IF(ORIG!C2115=0,"",ORIG!C2115)</f>
        <v/>
      </c>
      <c r="D2115" s="3">
        <f>IF(ORIG!D2115=0,"",ORIG!D2115)</f>
        <v/>
      </c>
      <c r="E2115" s="3">
        <f>IF(ORIG!E2115=0,"",ORIG!E2115)</f>
        <v/>
      </c>
      <c r="F2115" s="3">
        <f>IF(ORIG!F2115=0,"",ORIG!F2115)</f>
        <v/>
      </c>
      <c r="G2115" s="3">
        <f>IF(ORIG!G2115=0,"",ORIG!G2115)</f>
        <v/>
      </c>
      <c r="H2115" s="3">
        <f>IF(ORIG!H2115=0,"",ORIG!H2115)</f>
        <v/>
      </c>
      <c r="I2115" s="3">
        <f>IF(ORIG!I2115=0,"",ORIG!I2115)</f>
        <v/>
      </c>
      <c r="J2115" s="3">
        <f>IF(ORIG!J2115=0,"",ORIG!J2115)</f>
        <v/>
      </c>
      <c r="K2115" s="3">
        <f>IF(ORIG!K2115=0,"",ORIG!K2115)</f>
        <v/>
      </c>
      <c r="L2115" s="3">
        <f>IF(ORIG!L2115=0,"",ORIG!L2115)</f>
        <v/>
      </c>
      <c r="M2115" s="3">
        <f>IF(ORIG!M2115=0,"",ORIG!M2115)</f>
        <v/>
      </c>
      <c r="N2115" s="3">
        <f>IF(ORIG!N2115=0,"",ORIG!N2115)</f>
        <v/>
      </c>
      <c r="O2115" s="3">
        <f>IF(ORIG!O2115=0,"",ORIG!O2115)</f>
        <v/>
      </c>
      <c r="P2115" s="3">
        <f>IF(ORIG!P2115=0,"",ORIG!P2115)</f>
        <v/>
      </c>
      <c r="Q2115" s="3">
        <f>IF(ORIG!Q2115=0,"",ORIG!Q2115)</f>
        <v/>
      </c>
      <c r="R2115" s="3">
        <f>IF(ORIG!R2115=0,"",ORIG!R2115)</f>
        <v/>
      </c>
      <c r="S2115" s="3">
        <f>IF(ORIG!S2115=0,"",ORIG!S2115)</f>
        <v/>
      </c>
      <c r="T2115" s="3">
        <f>IF(ORIG!T2115=0,"",ORIG!T2115)</f>
        <v/>
      </c>
      <c r="U2115" s="3">
        <f>IF(ORIG!U2115=0,"",ORIG!U2115)</f>
        <v/>
      </c>
      <c r="V2115" s="9">
        <f>IF(ORIG!V2115=0,"",ORIG!V2115)</f>
        <v/>
      </c>
      <c r="W2115" s="9">
        <f>IF(ORIG!W2115=0,"",ORIG!W2115)</f>
        <v/>
      </c>
      <c r="X2115" s="9">
        <f>IF(ORIG!X2115=0,"",ORIG!X2115)</f>
        <v/>
      </c>
      <c r="Y2115" s="9">
        <f>IF(ORIG!Y2115=0,"",ORIG!Y2115)</f>
        <v/>
      </c>
      <c r="Z2115" s="3">
        <f>SUMPRODUCT($B2115:$Y2115,$B$2649:$Y$2649)</f>
        <v/>
      </c>
      <c r="AA2115" s="3">
        <f>SUMPRODUCT($B2115:$Y2115,$B$2655:$Y$2655)</f>
        <v/>
      </c>
      <c r="AC2115" s="1">
        <f>A2115</f>
        <v/>
      </c>
      <c r="AD2115">
        <f>IF(ISNUMBER(V2115),V2115*($AB$1/V$2635),"")</f>
        <v/>
      </c>
      <c r="AE2115">
        <f>IF(ISNUMBER(Z2115),Z2115*($AB$1/Z$2635),"")</f>
        <v/>
      </c>
      <c r="AF2115" s="25">
        <f>IF(ISNUMBER(AD2115+AE2115),AD2115+AE2115,"")</f>
        <v/>
      </c>
      <c r="AH2115" s="1">
        <f>A2115</f>
        <v/>
      </c>
      <c r="AI2115">
        <f>IF(ISNUMBER((1+V2115)*AI2114),(1+V2115)*AI2114,AI2114)</f>
        <v/>
      </c>
      <c r="AJ2115">
        <f>IF(ISNUMBER((1+Z2115)*AJ2114),(1+Z2115)*AJ2114,AJ2114)</f>
        <v/>
      </c>
    </row>
    <row r="2116">
      <c r="A2116" s="1" t="n">
        <v>45071</v>
      </c>
      <c r="B2116" s="3">
        <f>IF(ORIG!B2116=0,"",ORIG!B2116)</f>
        <v/>
      </c>
      <c r="C2116" s="3">
        <f>IF(ORIG!C2116=0,"",ORIG!C2116)</f>
        <v/>
      </c>
      <c r="D2116" s="3">
        <f>IF(ORIG!D2116=0,"",ORIG!D2116)</f>
        <v/>
      </c>
      <c r="E2116" s="3">
        <f>IF(ORIG!E2116=0,"",ORIG!E2116)</f>
        <v/>
      </c>
      <c r="F2116" s="3">
        <f>IF(ORIG!F2116=0,"",ORIG!F2116)</f>
        <v/>
      </c>
      <c r="G2116" s="3">
        <f>IF(ORIG!G2116=0,"",ORIG!G2116)</f>
        <v/>
      </c>
      <c r="H2116" s="3">
        <f>IF(ORIG!H2116=0,"",ORIG!H2116)</f>
        <v/>
      </c>
      <c r="I2116" s="3">
        <f>IF(ORIG!I2116=0,"",ORIG!I2116)</f>
        <v/>
      </c>
      <c r="J2116" s="3">
        <f>IF(ORIG!J2116=0,"",ORIG!J2116)</f>
        <v/>
      </c>
      <c r="K2116" s="3">
        <f>IF(ORIG!K2116=0,"",ORIG!K2116)</f>
        <v/>
      </c>
      <c r="L2116" s="3">
        <f>IF(ORIG!L2116=0,"",ORIG!L2116)</f>
        <v/>
      </c>
      <c r="M2116" s="3">
        <f>IF(ORIG!M2116=0,"",ORIG!M2116)</f>
        <v/>
      </c>
      <c r="N2116" s="3">
        <f>IF(ORIG!N2116=0,"",ORIG!N2116)</f>
        <v/>
      </c>
      <c r="O2116" s="3">
        <f>IF(ORIG!O2116=0,"",ORIG!O2116)</f>
        <v/>
      </c>
      <c r="P2116" s="3">
        <f>IF(ORIG!P2116=0,"",ORIG!P2116)</f>
        <v/>
      </c>
      <c r="Q2116" s="3">
        <f>IF(ORIG!Q2116=0,"",ORIG!Q2116)</f>
        <v/>
      </c>
      <c r="R2116" s="3">
        <f>IF(ORIG!R2116=0,"",ORIG!R2116)</f>
        <v/>
      </c>
      <c r="S2116" s="3">
        <f>IF(ORIG!S2116=0,"",ORIG!S2116)</f>
        <v/>
      </c>
      <c r="T2116" s="3">
        <f>IF(ORIG!T2116=0,"",ORIG!T2116)</f>
        <v/>
      </c>
      <c r="U2116" s="3">
        <f>IF(ORIG!U2116=0,"",ORIG!U2116)</f>
        <v/>
      </c>
      <c r="V2116" s="9">
        <f>IF(ORIG!V2116=0,"",ORIG!V2116)</f>
        <v/>
      </c>
      <c r="W2116" s="9">
        <f>IF(ORIG!W2116=0,"",ORIG!W2116)</f>
        <v/>
      </c>
      <c r="X2116" s="9">
        <f>IF(ORIG!X2116=0,"",ORIG!X2116)</f>
        <v/>
      </c>
      <c r="Y2116" s="9">
        <f>IF(ORIG!Y2116=0,"",ORIG!Y2116)</f>
        <v/>
      </c>
      <c r="Z2116" s="3">
        <f>SUMPRODUCT($B2116:$Y2116,$B$2649:$Y$2649)</f>
        <v/>
      </c>
      <c r="AA2116" s="3">
        <f>SUMPRODUCT($B2116:$Y2116,$B$2655:$Y$2655)</f>
        <v/>
      </c>
      <c r="AC2116" s="1">
        <f>A2116</f>
        <v/>
      </c>
      <c r="AD2116">
        <f>IF(ISNUMBER(V2116),V2116*($AB$1/V$2635),"")</f>
        <v/>
      </c>
      <c r="AE2116">
        <f>IF(ISNUMBER(Z2116),Z2116*($AB$1/Z$2635),"")</f>
        <v/>
      </c>
      <c r="AF2116" s="25">
        <f>IF(ISNUMBER(AD2116+AE2116),AD2116+AE2116,"")</f>
        <v/>
      </c>
      <c r="AH2116" s="1">
        <f>A2116</f>
        <v/>
      </c>
      <c r="AI2116">
        <f>IF(ISNUMBER((1+V2116)*AI2115),(1+V2116)*AI2115,AI2115)</f>
        <v/>
      </c>
      <c r="AJ2116">
        <f>IF(ISNUMBER((1+Z2116)*AJ2115),(1+Z2116)*AJ2115,AJ2115)</f>
        <v/>
      </c>
    </row>
    <row r="2117">
      <c r="A2117" s="1" t="n">
        <v>45072</v>
      </c>
      <c r="B2117" s="3">
        <f>IF(ORIG!B2117=0,"",ORIG!B2117)</f>
        <v/>
      </c>
      <c r="C2117" s="3">
        <f>IF(ORIG!C2117=0,"",ORIG!C2117)</f>
        <v/>
      </c>
      <c r="D2117" s="3">
        <f>IF(ORIG!D2117=0,"",ORIG!D2117)</f>
        <v/>
      </c>
      <c r="E2117" s="3">
        <f>IF(ORIG!E2117=0,"",ORIG!E2117)</f>
        <v/>
      </c>
      <c r="F2117" s="3">
        <f>IF(ORIG!F2117=0,"",ORIG!F2117)</f>
        <v/>
      </c>
      <c r="G2117" s="3">
        <f>IF(ORIG!G2117=0,"",ORIG!G2117)</f>
        <v/>
      </c>
      <c r="H2117" s="3">
        <f>IF(ORIG!H2117=0,"",ORIG!H2117)</f>
        <v/>
      </c>
      <c r="I2117" s="3">
        <f>IF(ORIG!I2117=0,"",ORIG!I2117)</f>
        <v/>
      </c>
      <c r="J2117" s="3">
        <f>IF(ORIG!J2117=0,"",ORIG!J2117)</f>
        <v/>
      </c>
      <c r="K2117" s="3">
        <f>IF(ORIG!K2117=0,"",ORIG!K2117)</f>
        <v/>
      </c>
      <c r="L2117" s="3">
        <f>IF(ORIG!L2117=0,"",ORIG!L2117)</f>
        <v/>
      </c>
      <c r="M2117" s="3">
        <f>IF(ORIG!M2117=0,"",ORIG!M2117)</f>
        <v/>
      </c>
      <c r="N2117" s="3">
        <f>IF(ORIG!N2117=0,"",ORIG!N2117)</f>
        <v/>
      </c>
      <c r="O2117" s="3">
        <f>IF(ORIG!O2117=0,"",ORIG!O2117)</f>
        <v/>
      </c>
      <c r="P2117" s="3">
        <f>IF(ORIG!P2117=0,"",ORIG!P2117)</f>
        <v/>
      </c>
      <c r="Q2117" s="3">
        <f>IF(ORIG!Q2117=0,"",ORIG!Q2117)</f>
        <v/>
      </c>
      <c r="R2117" s="3">
        <f>IF(ORIG!R2117=0,"",ORIG!R2117)</f>
        <v/>
      </c>
      <c r="S2117" s="3">
        <f>IF(ORIG!S2117=0,"",ORIG!S2117)</f>
        <v/>
      </c>
      <c r="T2117" s="3">
        <f>IF(ORIG!T2117=0,"",ORIG!T2117)</f>
        <v/>
      </c>
      <c r="U2117" s="3">
        <f>IF(ORIG!U2117=0,"",ORIG!U2117)</f>
        <v/>
      </c>
      <c r="V2117" s="9">
        <f>IF(ORIG!V2117=0,"",ORIG!V2117)</f>
        <v/>
      </c>
      <c r="W2117" s="9">
        <f>IF(ORIG!W2117=0,"",ORIG!W2117)</f>
        <v/>
      </c>
      <c r="X2117" s="9">
        <f>IF(ORIG!X2117=0,"",ORIG!X2117)</f>
        <v/>
      </c>
      <c r="Y2117" s="9">
        <f>IF(ORIG!Y2117=0,"",ORIG!Y2117)</f>
        <v/>
      </c>
      <c r="Z2117" s="3">
        <f>SUMPRODUCT($B2117:$Y2117,$B$2649:$Y$2649)</f>
        <v/>
      </c>
      <c r="AA2117" s="3">
        <f>SUMPRODUCT($B2117:$Y2117,$B$2655:$Y$2655)</f>
        <v/>
      </c>
      <c r="AC2117" s="1">
        <f>A2117</f>
        <v/>
      </c>
      <c r="AD2117">
        <f>IF(ISNUMBER(V2117),V2117*($AB$1/V$2635),"")</f>
        <v/>
      </c>
      <c r="AE2117">
        <f>IF(ISNUMBER(Z2117),Z2117*($AB$1/Z$2635),"")</f>
        <v/>
      </c>
      <c r="AF2117" s="25">
        <f>IF(ISNUMBER(AD2117+AE2117),AD2117+AE2117,"")</f>
        <v/>
      </c>
      <c r="AH2117" s="1">
        <f>A2117</f>
        <v/>
      </c>
      <c r="AI2117">
        <f>IF(ISNUMBER((1+V2117)*AI2116),(1+V2117)*AI2116,AI2116)</f>
        <v/>
      </c>
      <c r="AJ2117">
        <f>IF(ISNUMBER((1+Z2117)*AJ2116),(1+Z2117)*AJ2116,AJ2116)</f>
        <v/>
      </c>
    </row>
    <row r="2118">
      <c r="A2118" s="1" t="n">
        <v>45076</v>
      </c>
      <c r="B2118" s="3">
        <f>IF(ORIG!B2118=0,"",ORIG!B2118)</f>
        <v/>
      </c>
      <c r="C2118" s="3">
        <f>IF(ORIG!C2118=0,"",ORIG!C2118)</f>
        <v/>
      </c>
      <c r="D2118" s="3">
        <f>IF(ORIG!D2118=0,"",ORIG!D2118)</f>
        <v/>
      </c>
      <c r="E2118" s="3">
        <f>IF(ORIG!E2118=0,"",ORIG!E2118)</f>
        <v/>
      </c>
      <c r="F2118" s="3">
        <f>IF(ORIG!F2118=0,"",ORIG!F2118)</f>
        <v/>
      </c>
      <c r="G2118" s="3">
        <f>IF(ORIG!G2118=0,"",ORIG!G2118)</f>
        <v/>
      </c>
      <c r="H2118" s="3">
        <f>IF(ORIG!H2118=0,"",ORIG!H2118)</f>
        <v/>
      </c>
      <c r="I2118" s="3">
        <f>IF(ORIG!I2118=0,"",ORIG!I2118)</f>
        <v/>
      </c>
      <c r="J2118" s="3">
        <f>IF(ORIG!J2118=0,"",ORIG!J2118)</f>
        <v/>
      </c>
      <c r="K2118" s="3">
        <f>IF(ORIG!K2118=0,"",ORIG!K2118)</f>
        <v/>
      </c>
      <c r="L2118" s="3">
        <f>IF(ORIG!L2118=0,"",ORIG!L2118)</f>
        <v/>
      </c>
      <c r="M2118" s="3">
        <f>IF(ORIG!M2118=0,"",ORIG!M2118)</f>
        <v/>
      </c>
      <c r="N2118" s="3">
        <f>IF(ORIG!N2118=0,"",ORIG!N2118)</f>
        <v/>
      </c>
      <c r="O2118" s="3">
        <f>IF(ORIG!O2118=0,"",ORIG!O2118)</f>
        <v/>
      </c>
      <c r="P2118" s="3">
        <f>IF(ORIG!P2118=0,"",ORIG!P2118)</f>
        <v/>
      </c>
      <c r="Q2118" s="3">
        <f>IF(ORIG!Q2118=0,"",ORIG!Q2118)</f>
        <v/>
      </c>
      <c r="R2118" s="3">
        <f>IF(ORIG!R2118=0,"",ORIG!R2118)</f>
        <v/>
      </c>
      <c r="S2118" s="3">
        <f>IF(ORIG!S2118=0,"",ORIG!S2118)</f>
        <v/>
      </c>
      <c r="T2118" s="3">
        <f>IF(ORIG!T2118=0,"",ORIG!T2118)</f>
        <v/>
      </c>
      <c r="U2118" s="3">
        <f>IF(ORIG!U2118=0,"",ORIG!U2118)</f>
        <v/>
      </c>
      <c r="V2118" s="9">
        <f>IF(ORIG!V2118=0,"",ORIG!V2118)</f>
        <v/>
      </c>
      <c r="W2118" s="9">
        <f>IF(ORIG!W2118=0,"",ORIG!W2118)</f>
        <v/>
      </c>
      <c r="X2118" s="9">
        <f>IF(ORIG!X2118=0,"",ORIG!X2118)</f>
        <v/>
      </c>
      <c r="Y2118" s="9">
        <f>IF(ORIG!Y2118=0,"",ORIG!Y2118)</f>
        <v/>
      </c>
      <c r="Z2118" s="3">
        <f>SUMPRODUCT($B2118:$Y2118,$B$2649:$Y$2649)</f>
        <v/>
      </c>
      <c r="AA2118" s="3">
        <f>SUMPRODUCT($B2118:$Y2118,$B$2655:$Y$2655)</f>
        <v/>
      </c>
      <c r="AC2118" s="1">
        <f>A2118</f>
        <v/>
      </c>
      <c r="AD2118">
        <f>IF(ISNUMBER(V2118),V2118*($AB$1/V$2635),"")</f>
        <v/>
      </c>
      <c r="AE2118">
        <f>IF(ISNUMBER(Z2118),Z2118*($AB$1/Z$2635),"")</f>
        <v/>
      </c>
      <c r="AF2118" s="25">
        <f>IF(ISNUMBER(AD2118+AE2118),AD2118+AE2118,"")</f>
        <v/>
      </c>
      <c r="AH2118" s="1">
        <f>A2118</f>
        <v/>
      </c>
      <c r="AI2118">
        <f>IF(ISNUMBER((1+V2118)*AI2117),(1+V2118)*AI2117,AI2117)</f>
        <v/>
      </c>
      <c r="AJ2118">
        <f>IF(ISNUMBER((1+Z2118)*AJ2117),(1+Z2118)*AJ2117,AJ2117)</f>
        <v/>
      </c>
    </row>
    <row r="2119">
      <c r="A2119" s="1" t="n">
        <v>45077</v>
      </c>
      <c r="B2119" s="3">
        <f>IF(ORIG!B2119=0,"",ORIG!B2119)</f>
        <v/>
      </c>
      <c r="C2119" s="3">
        <f>IF(ORIG!C2119=0,"",ORIG!C2119)</f>
        <v/>
      </c>
      <c r="D2119" s="3">
        <f>IF(ORIG!D2119=0,"",ORIG!D2119)</f>
        <v/>
      </c>
      <c r="E2119" s="3">
        <f>IF(ORIG!E2119=0,"",ORIG!E2119)</f>
        <v/>
      </c>
      <c r="F2119" s="3">
        <f>IF(ORIG!F2119=0,"",ORIG!F2119)</f>
        <v/>
      </c>
      <c r="G2119" s="3">
        <f>IF(ORIG!G2119=0,"",ORIG!G2119)</f>
        <v/>
      </c>
      <c r="H2119" s="3">
        <f>IF(ORIG!H2119=0,"",ORIG!H2119)</f>
        <v/>
      </c>
      <c r="I2119" s="3">
        <f>IF(ORIG!I2119=0,"",ORIG!I2119)</f>
        <v/>
      </c>
      <c r="J2119" s="3">
        <f>IF(ORIG!J2119=0,"",ORIG!J2119)</f>
        <v/>
      </c>
      <c r="K2119" s="3">
        <f>IF(ORIG!K2119=0,"",ORIG!K2119)</f>
        <v/>
      </c>
      <c r="L2119" s="3">
        <f>IF(ORIG!L2119=0,"",ORIG!L2119)</f>
        <v/>
      </c>
      <c r="M2119" s="3">
        <f>IF(ORIG!M2119=0,"",ORIG!M2119)</f>
        <v/>
      </c>
      <c r="N2119" s="3">
        <f>IF(ORIG!N2119=0,"",ORIG!N2119)</f>
        <v/>
      </c>
      <c r="O2119" s="3">
        <f>IF(ORIG!O2119=0,"",ORIG!O2119)</f>
        <v/>
      </c>
      <c r="P2119" s="3">
        <f>IF(ORIG!P2119=0,"",ORIG!P2119)</f>
        <v/>
      </c>
      <c r="Q2119" s="3">
        <f>IF(ORIG!Q2119=0,"",ORIG!Q2119)</f>
        <v/>
      </c>
      <c r="R2119" s="3">
        <f>IF(ORIG!R2119=0,"",ORIG!R2119)</f>
        <v/>
      </c>
      <c r="S2119" s="3">
        <f>IF(ORIG!S2119=0,"",ORIG!S2119)</f>
        <v/>
      </c>
      <c r="T2119" s="3">
        <f>IF(ORIG!T2119=0,"",ORIG!T2119)</f>
        <v/>
      </c>
      <c r="U2119" s="3">
        <f>IF(ORIG!U2119=0,"",ORIG!U2119)</f>
        <v/>
      </c>
      <c r="V2119" s="9">
        <f>IF(ORIG!V2119=0,"",ORIG!V2119)</f>
        <v/>
      </c>
      <c r="W2119" s="9">
        <f>IF(ORIG!W2119=0,"",ORIG!W2119)</f>
        <v/>
      </c>
      <c r="X2119" s="9">
        <f>IF(ORIG!X2119=0,"",ORIG!X2119)</f>
        <v/>
      </c>
      <c r="Y2119" s="9">
        <f>IF(ORIG!Y2119=0,"",ORIG!Y2119)</f>
        <v/>
      </c>
      <c r="Z2119" s="3">
        <f>SUMPRODUCT($B2119:$Y2119,$B$2649:$Y$2649)</f>
        <v/>
      </c>
      <c r="AA2119" s="3">
        <f>SUMPRODUCT($B2119:$Y2119,$B$2655:$Y$2655)</f>
        <v/>
      </c>
      <c r="AC2119" s="1">
        <f>A2119</f>
        <v/>
      </c>
      <c r="AD2119">
        <f>IF(ISNUMBER(V2119),V2119*($AB$1/V$2635),"")</f>
        <v/>
      </c>
      <c r="AE2119">
        <f>IF(ISNUMBER(Z2119),Z2119*($AB$1/Z$2635),"")</f>
        <v/>
      </c>
      <c r="AF2119" s="25">
        <f>IF(ISNUMBER(AD2119+AE2119),AD2119+AE2119,"")</f>
        <v/>
      </c>
      <c r="AH2119" s="1">
        <f>A2119</f>
        <v/>
      </c>
      <c r="AI2119">
        <f>IF(ISNUMBER((1+V2119)*AI2118),(1+V2119)*AI2118,AI2118)</f>
        <v/>
      </c>
      <c r="AJ2119">
        <f>IF(ISNUMBER((1+Z2119)*AJ2118),(1+Z2119)*AJ2118,AJ2118)</f>
        <v/>
      </c>
    </row>
    <row r="2120">
      <c r="A2120" s="1" t="n">
        <v>45078</v>
      </c>
      <c r="B2120" s="3">
        <f>IF(ORIG!B2120=0,"",ORIG!B2120)</f>
        <v/>
      </c>
      <c r="C2120" s="3">
        <f>IF(ORIG!C2120=0,"",ORIG!C2120)</f>
        <v/>
      </c>
      <c r="D2120" s="3">
        <f>IF(ORIG!D2120=0,"",ORIG!D2120)</f>
        <v/>
      </c>
      <c r="E2120" s="3">
        <f>IF(ORIG!E2120=0,"",ORIG!E2120)</f>
        <v/>
      </c>
      <c r="F2120" s="3">
        <f>IF(ORIG!F2120=0,"",ORIG!F2120)</f>
        <v/>
      </c>
      <c r="G2120" s="3">
        <f>IF(ORIG!G2120=0,"",ORIG!G2120)</f>
        <v/>
      </c>
      <c r="H2120" s="3">
        <f>IF(ORIG!H2120=0,"",ORIG!H2120)</f>
        <v/>
      </c>
      <c r="I2120" s="3">
        <f>IF(ORIG!I2120=0,"",ORIG!I2120)</f>
        <v/>
      </c>
      <c r="J2120" s="3">
        <f>IF(ORIG!J2120=0,"",ORIG!J2120)</f>
        <v/>
      </c>
      <c r="K2120" s="3">
        <f>IF(ORIG!K2120=0,"",ORIG!K2120)</f>
        <v/>
      </c>
      <c r="L2120" s="3">
        <f>IF(ORIG!L2120=0,"",ORIG!L2120)</f>
        <v/>
      </c>
      <c r="M2120" s="3">
        <f>IF(ORIG!M2120=0,"",ORIG!M2120)</f>
        <v/>
      </c>
      <c r="N2120" s="3">
        <f>IF(ORIG!N2120=0,"",ORIG!N2120)</f>
        <v/>
      </c>
      <c r="O2120" s="3">
        <f>IF(ORIG!O2120=0,"",ORIG!O2120)</f>
        <v/>
      </c>
      <c r="P2120" s="3">
        <f>IF(ORIG!P2120=0,"",ORIG!P2120)</f>
        <v/>
      </c>
      <c r="Q2120" s="3">
        <f>IF(ORIG!Q2120=0,"",ORIG!Q2120)</f>
        <v/>
      </c>
      <c r="R2120" s="3">
        <f>IF(ORIG!R2120=0,"",ORIG!R2120)</f>
        <v/>
      </c>
      <c r="S2120" s="3">
        <f>IF(ORIG!S2120=0,"",ORIG!S2120)</f>
        <v/>
      </c>
      <c r="T2120" s="3">
        <f>IF(ORIG!T2120=0,"",ORIG!T2120)</f>
        <v/>
      </c>
      <c r="U2120" s="3">
        <f>IF(ORIG!U2120=0,"",ORIG!U2120)</f>
        <v/>
      </c>
      <c r="V2120" s="9">
        <f>IF(ORIG!V2120=0,"",ORIG!V2120)</f>
        <v/>
      </c>
      <c r="W2120" s="9">
        <f>IF(ORIG!W2120=0,"",ORIG!W2120)</f>
        <v/>
      </c>
      <c r="X2120" s="9">
        <f>IF(ORIG!X2120=0,"",ORIG!X2120)</f>
        <v/>
      </c>
      <c r="Y2120" s="9">
        <f>IF(ORIG!Y2120=0,"",ORIG!Y2120)</f>
        <v/>
      </c>
      <c r="Z2120" s="3">
        <f>SUMPRODUCT($B2120:$Y2120,$B$2649:$Y$2649)</f>
        <v/>
      </c>
      <c r="AA2120" s="3">
        <f>SUMPRODUCT($B2120:$Y2120,$B$2655:$Y$2655)</f>
        <v/>
      </c>
      <c r="AC2120" s="1">
        <f>A2120</f>
        <v/>
      </c>
      <c r="AD2120">
        <f>IF(ISNUMBER(V2120),V2120*($AB$1/V$2635),"")</f>
        <v/>
      </c>
      <c r="AE2120">
        <f>IF(ISNUMBER(Z2120),Z2120*($AB$1/Z$2635),"")</f>
        <v/>
      </c>
      <c r="AF2120" s="25">
        <f>IF(ISNUMBER(AD2120+AE2120),AD2120+AE2120,"")</f>
        <v/>
      </c>
      <c r="AH2120" s="1">
        <f>A2120</f>
        <v/>
      </c>
      <c r="AI2120">
        <f>IF(ISNUMBER((1+V2120)*AI2119),(1+V2120)*AI2119,AI2119)</f>
        <v/>
      </c>
      <c r="AJ2120">
        <f>IF(ISNUMBER((1+Z2120)*AJ2119),(1+Z2120)*AJ2119,AJ2119)</f>
        <v/>
      </c>
    </row>
    <row r="2121">
      <c r="A2121" s="1" t="n">
        <v>45079</v>
      </c>
      <c r="B2121" s="3">
        <f>IF(ORIG!B2121=0,"",ORIG!B2121)</f>
        <v/>
      </c>
      <c r="C2121" s="3">
        <f>IF(ORIG!C2121=0,"",ORIG!C2121)</f>
        <v/>
      </c>
      <c r="D2121" s="3">
        <f>IF(ORIG!D2121=0,"",ORIG!D2121)</f>
        <v/>
      </c>
      <c r="E2121" s="3">
        <f>IF(ORIG!E2121=0,"",ORIG!E2121)</f>
        <v/>
      </c>
      <c r="F2121" s="3">
        <f>IF(ORIG!F2121=0,"",ORIG!F2121)</f>
        <v/>
      </c>
      <c r="G2121" s="3">
        <f>IF(ORIG!G2121=0,"",ORIG!G2121)</f>
        <v/>
      </c>
      <c r="H2121" s="3">
        <f>IF(ORIG!H2121=0,"",ORIG!H2121)</f>
        <v/>
      </c>
      <c r="I2121" s="3">
        <f>IF(ORIG!I2121=0,"",ORIG!I2121)</f>
        <v/>
      </c>
      <c r="J2121" s="3">
        <f>IF(ORIG!J2121=0,"",ORIG!J2121)</f>
        <v/>
      </c>
      <c r="K2121" s="3">
        <f>IF(ORIG!K2121=0,"",ORIG!K2121)</f>
        <v/>
      </c>
      <c r="L2121" s="3">
        <f>IF(ORIG!L2121=0,"",ORIG!L2121)</f>
        <v/>
      </c>
      <c r="M2121" s="3">
        <f>IF(ORIG!M2121=0,"",ORIG!M2121)</f>
        <v/>
      </c>
      <c r="N2121" s="3">
        <f>IF(ORIG!N2121=0,"",ORIG!N2121)</f>
        <v/>
      </c>
      <c r="O2121" s="3">
        <f>IF(ORIG!O2121=0,"",ORIG!O2121)</f>
        <v/>
      </c>
      <c r="P2121" s="3">
        <f>IF(ORIG!P2121=0,"",ORIG!P2121)</f>
        <v/>
      </c>
      <c r="Q2121" s="3">
        <f>IF(ORIG!Q2121=0,"",ORIG!Q2121)</f>
        <v/>
      </c>
      <c r="R2121" s="3">
        <f>IF(ORIG!R2121=0,"",ORIG!R2121)</f>
        <v/>
      </c>
      <c r="S2121" s="3">
        <f>IF(ORIG!S2121=0,"",ORIG!S2121)</f>
        <v/>
      </c>
      <c r="T2121" s="3">
        <f>IF(ORIG!T2121=0,"",ORIG!T2121)</f>
        <v/>
      </c>
      <c r="U2121" s="3">
        <f>IF(ORIG!U2121=0,"",ORIG!U2121)</f>
        <v/>
      </c>
      <c r="V2121" s="9">
        <f>IF(ORIG!V2121=0,"",ORIG!V2121)</f>
        <v/>
      </c>
      <c r="W2121" s="9">
        <f>IF(ORIG!W2121=0,"",ORIG!W2121)</f>
        <v/>
      </c>
      <c r="X2121" s="9">
        <f>IF(ORIG!X2121=0,"",ORIG!X2121)</f>
        <v/>
      </c>
      <c r="Y2121" s="9">
        <f>IF(ORIG!Y2121=0,"",ORIG!Y2121)</f>
        <v/>
      </c>
      <c r="Z2121" s="3">
        <f>SUMPRODUCT($B2121:$Y2121,$B$2649:$Y$2649)</f>
        <v/>
      </c>
      <c r="AA2121" s="3">
        <f>SUMPRODUCT($B2121:$Y2121,$B$2655:$Y$2655)</f>
        <v/>
      </c>
      <c r="AC2121" s="1">
        <f>A2121</f>
        <v/>
      </c>
      <c r="AD2121">
        <f>IF(ISNUMBER(V2121),V2121*($AB$1/V$2635),"")</f>
        <v/>
      </c>
      <c r="AE2121">
        <f>IF(ISNUMBER(Z2121),Z2121*($AB$1/Z$2635),"")</f>
        <v/>
      </c>
      <c r="AF2121" s="25">
        <f>IF(ISNUMBER(AD2121+AE2121),AD2121+AE2121,"")</f>
        <v/>
      </c>
      <c r="AH2121" s="1">
        <f>A2121</f>
        <v/>
      </c>
      <c r="AI2121">
        <f>IF(ISNUMBER((1+V2121)*AI2120),(1+V2121)*AI2120,AI2120)</f>
        <v/>
      </c>
      <c r="AJ2121">
        <f>IF(ISNUMBER((1+Z2121)*AJ2120),(1+Z2121)*AJ2120,AJ2120)</f>
        <v/>
      </c>
    </row>
    <row r="2122">
      <c r="A2122" s="1" t="n">
        <v>45082</v>
      </c>
      <c r="B2122" s="3">
        <f>IF(ORIG!B2122=0,"",ORIG!B2122)</f>
        <v/>
      </c>
      <c r="C2122" s="3">
        <f>IF(ORIG!C2122=0,"",ORIG!C2122)</f>
        <v/>
      </c>
      <c r="D2122" s="3">
        <f>IF(ORIG!D2122=0,"",ORIG!D2122)</f>
        <v/>
      </c>
      <c r="E2122" s="3">
        <f>IF(ORIG!E2122=0,"",ORIG!E2122)</f>
        <v/>
      </c>
      <c r="F2122" s="3">
        <f>IF(ORIG!F2122=0,"",ORIG!F2122)</f>
        <v/>
      </c>
      <c r="G2122" s="3">
        <f>IF(ORIG!G2122=0,"",ORIG!G2122)</f>
        <v/>
      </c>
      <c r="H2122" s="3">
        <f>IF(ORIG!H2122=0,"",ORIG!H2122)</f>
        <v/>
      </c>
      <c r="I2122" s="3">
        <f>IF(ORIG!I2122=0,"",ORIG!I2122)</f>
        <v/>
      </c>
      <c r="J2122" s="3">
        <f>IF(ORIG!J2122=0,"",ORIG!J2122)</f>
        <v/>
      </c>
      <c r="K2122" s="3">
        <f>IF(ORIG!K2122=0,"",ORIG!K2122)</f>
        <v/>
      </c>
      <c r="L2122" s="3">
        <f>IF(ORIG!L2122=0,"",ORIG!L2122)</f>
        <v/>
      </c>
      <c r="M2122" s="3">
        <f>IF(ORIG!M2122=0,"",ORIG!M2122)</f>
        <v/>
      </c>
      <c r="N2122" s="3">
        <f>IF(ORIG!N2122=0,"",ORIG!N2122)</f>
        <v/>
      </c>
      <c r="O2122" s="3">
        <f>IF(ORIG!O2122=0,"",ORIG!O2122)</f>
        <v/>
      </c>
      <c r="P2122" s="3">
        <f>IF(ORIG!P2122=0,"",ORIG!P2122)</f>
        <v/>
      </c>
      <c r="Q2122" s="3">
        <f>IF(ORIG!Q2122=0,"",ORIG!Q2122)</f>
        <v/>
      </c>
      <c r="R2122" s="3">
        <f>IF(ORIG!R2122=0,"",ORIG!R2122)</f>
        <v/>
      </c>
      <c r="S2122" s="3">
        <f>IF(ORIG!S2122=0,"",ORIG!S2122)</f>
        <v/>
      </c>
      <c r="T2122" s="3">
        <f>IF(ORIG!T2122=0,"",ORIG!T2122)</f>
        <v/>
      </c>
      <c r="U2122" s="3">
        <f>IF(ORIG!U2122=0,"",ORIG!U2122)</f>
        <v/>
      </c>
      <c r="V2122" s="9">
        <f>IF(ORIG!V2122=0,"",ORIG!V2122)</f>
        <v/>
      </c>
      <c r="W2122" s="9">
        <f>IF(ORIG!W2122=0,"",ORIG!W2122)</f>
        <v/>
      </c>
      <c r="X2122" s="9">
        <f>IF(ORIG!X2122=0,"",ORIG!X2122)</f>
        <v/>
      </c>
      <c r="Y2122" s="9">
        <f>IF(ORIG!Y2122=0,"",ORIG!Y2122)</f>
        <v/>
      </c>
      <c r="Z2122" s="3">
        <f>SUMPRODUCT($B2122:$Y2122,$B$2649:$Y$2649)</f>
        <v/>
      </c>
      <c r="AA2122" s="3">
        <f>SUMPRODUCT($B2122:$Y2122,$B$2655:$Y$2655)</f>
        <v/>
      </c>
      <c r="AC2122" s="1">
        <f>A2122</f>
        <v/>
      </c>
      <c r="AD2122">
        <f>IF(ISNUMBER(V2122),V2122*($AB$1/V$2635),"")</f>
        <v/>
      </c>
      <c r="AE2122">
        <f>IF(ISNUMBER(Z2122),Z2122*($AB$1/Z$2635),"")</f>
        <v/>
      </c>
      <c r="AF2122" s="25">
        <f>IF(ISNUMBER(AD2122+AE2122),AD2122+AE2122,"")</f>
        <v/>
      </c>
      <c r="AH2122" s="1">
        <f>A2122</f>
        <v/>
      </c>
      <c r="AI2122">
        <f>IF(ISNUMBER((1+V2122)*AI2121),(1+V2122)*AI2121,AI2121)</f>
        <v/>
      </c>
      <c r="AJ2122">
        <f>IF(ISNUMBER((1+Z2122)*AJ2121),(1+Z2122)*AJ2121,AJ2121)</f>
        <v/>
      </c>
    </row>
    <row r="2123">
      <c r="A2123" s="1" t="n">
        <v>45083</v>
      </c>
      <c r="B2123" s="3">
        <f>IF(ORIG!B2123=0,"",ORIG!B2123)</f>
        <v/>
      </c>
      <c r="C2123" s="3">
        <f>IF(ORIG!C2123=0,"",ORIG!C2123)</f>
        <v/>
      </c>
      <c r="D2123" s="3">
        <f>IF(ORIG!D2123=0,"",ORIG!D2123)</f>
        <v/>
      </c>
      <c r="E2123" s="3">
        <f>IF(ORIG!E2123=0,"",ORIG!E2123)</f>
        <v/>
      </c>
      <c r="F2123" s="3">
        <f>IF(ORIG!F2123=0,"",ORIG!F2123)</f>
        <v/>
      </c>
      <c r="G2123" s="3">
        <f>IF(ORIG!G2123=0,"",ORIG!G2123)</f>
        <v/>
      </c>
      <c r="H2123" s="3">
        <f>IF(ORIG!H2123=0,"",ORIG!H2123)</f>
        <v/>
      </c>
      <c r="I2123" s="3">
        <f>IF(ORIG!I2123=0,"",ORIG!I2123)</f>
        <v/>
      </c>
      <c r="J2123" s="3">
        <f>IF(ORIG!J2123=0,"",ORIG!J2123)</f>
        <v/>
      </c>
      <c r="K2123" s="3">
        <f>IF(ORIG!K2123=0,"",ORIG!K2123)</f>
        <v/>
      </c>
      <c r="L2123" s="3">
        <f>IF(ORIG!L2123=0,"",ORIG!L2123)</f>
        <v/>
      </c>
      <c r="M2123" s="3">
        <f>IF(ORIG!M2123=0,"",ORIG!M2123)</f>
        <v/>
      </c>
      <c r="N2123" s="3">
        <f>IF(ORIG!N2123=0,"",ORIG!N2123)</f>
        <v/>
      </c>
      <c r="O2123" s="3">
        <f>IF(ORIG!O2123=0,"",ORIG!O2123)</f>
        <v/>
      </c>
      <c r="P2123" s="3">
        <f>IF(ORIG!P2123=0,"",ORIG!P2123)</f>
        <v/>
      </c>
      <c r="Q2123" s="3">
        <f>IF(ORIG!Q2123=0,"",ORIG!Q2123)</f>
        <v/>
      </c>
      <c r="R2123" s="3">
        <f>IF(ORIG!R2123=0,"",ORIG!R2123)</f>
        <v/>
      </c>
      <c r="S2123" s="3">
        <f>IF(ORIG!S2123=0,"",ORIG!S2123)</f>
        <v/>
      </c>
      <c r="T2123" s="3">
        <f>IF(ORIG!T2123=0,"",ORIG!T2123)</f>
        <v/>
      </c>
      <c r="U2123" s="3">
        <f>IF(ORIG!U2123=0,"",ORIG!U2123)</f>
        <v/>
      </c>
      <c r="V2123" s="9">
        <f>IF(ORIG!V2123=0,"",ORIG!V2123)</f>
        <v/>
      </c>
      <c r="W2123" s="9">
        <f>IF(ORIG!W2123=0,"",ORIG!W2123)</f>
        <v/>
      </c>
      <c r="X2123" s="9">
        <f>IF(ORIG!X2123=0,"",ORIG!X2123)</f>
        <v/>
      </c>
      <c r="Y2123" s="9">
        <f>IF(ORIG!Y2123=0,"",ORIG!Y2123)</f>
        <v/>
      </c>
      <c r="Z2123" s="3">
        <f>SUMPRODUCT($B2123:$Y2123,$B$2649:$Y$2649)</f>
        <v/>
      </c>
      <c r="AA2123" s="3">
        <f>SUMPRODUCT($B2123:$Y2123,$B$2655:$Y$2655)</f>
        <v/>
      </c>
      <c r="AC2123" s="1">
        <f>A2123</f>
        <v/>
      </c>
      <c r="AD2123">
        <f>IF(ISNUMBER(V2123),V2123*($AB$1/V$2635),"")</f>
        <v/>
      </c>
      <c r="AE2123">
        <f>IF(ISNUMBER(Z2123),Z2123*($AB$1/Z$2635),"")</f>
        <v/>
      </c>
      <c r="AF2123" s="25">
        <f>IF(ISNUMBER(AD2123+AE2123),AD2123+AE2123,"")</f>
        <v/>
      </c>
      <c r="AH2123" s="1">
        <f>A2123</f>
        <v/>
      </c>
      <c r="AI2123">
        <f>IF(ISNUMBER((1+V2123)*AI2122),(1+V2123)*AI2122,AI2122)</f>
        <v/>
      </c>
      <c r="AJ2123">
        <f>IF(ISNUMBER((1+Z2123)*AJ2122),(1+Z2123)*AJ2122,AJ2122)</f>
        <v/>
      </c>
    </row>
    <row r="2124">
      <c r="A2124" s="1" t="n">
        <v>45084</v>
      </c>
      <c r="B2124" s="3">
        <f>IF(ORIG!B2124=0,"",ORIG!B2124)</f>
        <v/>
      </c>
      <c r="C2124" s="3">
        <f>IF(ORIG!C2124=0,"",ORIG!C2124)</f>
        <v/>
      </c>
      <c r="D2124" s="3">
        <f>IF(ORIG!D2124=0,"",ORIG!D2124)</f>
        <v/>
      </c>
      <c r="E2124" s="3">
        <f>IF(ORIG!E2124=0,"",ORIG!E2124)</f>
        <v/>
      </c>
      <c r="F2124" s="3">
        <f>IF(ORIG!F2124=0,"",ORIG!F2124)</f>
        <v/>
      </c>
      <c r="G2124" s="3">
        <f>IF(ORIG!G2124=0,"",ORIG!G2124)</f>
        <v/>
      </c>
      <c r="H2124" s="3">
        <f>IF(ORIG!H2124=0,"",ORIG!H2124)</f>
        <v/>
      </c>
      <c r="I2124" s="3">
        <f>IF(ORIG!I2124=0,"",ORIG!I2124)</f>
        <v/>
      </c>
      <c r="J2124" s="3">
        <f>IF(ORIG!J2124=0,"",ORIG!J2124)</f>
        <v/>
      </c>
      <c r="K2124" s="3">
        <f>IF(ORIG!K2124=0,"",ORIG!K2124)</f>
        <v/>
      </c>
      <c r="L2124" s="3">
        <f>IF(ORIG!L2124=0,"",ORIG!L2124)</f>
        <v/>
      </c>
      <c r="M2124" s="3">
        <f>IF(ORIG!M2124=0,"",ORIG!M2124)</f>
        <v/>
      </c>
      <c r="N2124" s="3">
        <f>IF(ORIG!N2124=0,"",ORIG!N2124)</f>
        <v/>
      </c>
      <c r="O2124" s="3">
        <f>IF(ORIG!O2124=0,"",ORIG!O2124)</f>
        <v/>
      </c>
      <c r="P2124" s="3">
        <f>IF(ORIG!P2124=0,"",ORIG!P2124)</f>
        <v/>
      </c>
      <c r="Q2124" s="3">
        <f>IF(ORIG!Q2124=0,"",ORIG!Q2124)</f>
        <v/>
      </c>
      <c r="R2124" s="3">
        <f>IF(ORIG!R2124=0,"",ORIG!R2124)</f>
        <v/>
      </c>
      <c r="S2124" s="3">
        <f>IF(ORIG!S2124=0,"",ORIG!S2124)</f>
        <v/>
      </c>
      <c r="T2124" s="3">
        <f>IF(ORIG!T2124=0,"",ORIG!T2124)</f>
        <v/>
      </c>
      <c r="U2124" s="3">
        <f>IF(ORIG!U2124=0,"",ORIG!U2124)</f>
        <v/>
      </c>
      <c r="V2124" s="9">
        <f>IF(ORIG!V2124=0,"",ORIG!V2124)</f>
        <v/>
      </c>
      <c r="W2124" s="9">
        <f>IF(ORIG!W2124=0,"",ORIG!W2124)</f>
        <v/>
      </c>
      <c r="X2124" s="9">
        <f>IF(ORIG!X2124=0,"",ORIG!X2124)</f>
        <v/>
      </c>
      <c r="Y2124" s="9">
        <f>IF(ORIG!Y2124=0,"",ORIG!Y2124)</f>
        <v/>
      </c>
      <c r="Z2124" s="3">
        <f>SUMPRODUCT($B2124:$Y2124,$B$2649:$Y$2649)</f>
        <v/>
      </c>
      <c r="AA2124" s="3">
        <f>SUMPRODUCT($B2124:$Y2124,$B$2655:$Y$2655)</f>
        <v/>
      </c>
      <c r="AC2124" s="1">
        <f>A2124</f>
        <v/>
      </c>
      <c r="AD2124">
        <f>IF(ISNUMBER(V2124),V2124*($AB$1/V$2635),"")</f>
        <v/>
      </c>
      <c r="AE2124">
        <f>IF(ISNUMBER(Z2124),Z2124*($AB$1/Z$2635),"")</f>
        <v/>
      </c>
      <c r="AF2124" s="25">
        <f>IF(ISNUMBER(AD2124+AE2124),AD2124+AE2124,"")</f>
        <v/>
      </c>
      <c r="AH2124" s="1">
        <f>A2124</f>
        <v/>
      </c>
      <c r="AI2124">
        <f>IF(ISNUMBER((1+V2124)*AI2123),(1+V2124)*AI2123,AI2123)</f>
        <v/>
      </c>
      <c r="AJ2124">
        <f>IF(ISNUMBER((1+Z2124)*AJ2123),(1+Z2124)*AJ2123,AJ2123)</f>
        <v/>
      </c>
    </row>
    <row r="2125">
      <c r="A2125" s="1" t="n">
        <v>45085</v>
      </c>
      <c r="B2125" s="3">
        <f>IF(ORIG!B2125=0,"",ORIG!B2125)</f>
        <v/>
      </c>
      <c r="C2125" s="3">
        <f>IF(ORIG!C2125=0,"",ORIG!C2125)</f>
        <v/>
      </c>
      <c r="D2125" s="3">
        <f>IF(ORIG!D2125=0,"",ORIG!D2125)</f>
        <v/>
      </c>
      <c r="E2125" s="3">
        <f>IF(ORIG!E2125=0,"",ORIG!E2125)</f>
        <v/>
      </c>
      <c r="F2125" s="3">
        <f>IF(ORIG!F2125=0,"",ORIG!F2125)</f>
        <v/>
      </c>
      <c r="G2125" s="3">
        <f>IF(ORIG!G2125=0,"",ORIG!G2125)</f>
        <v/>
      </c>
      <c r="H2125" s="3">
        <f>IF(ORIG!H2125=0,"",ORIG!H2125)</f>
        <v/>
      </c>
      <c r="I2125" s="3">
        <f>IF(ORIG!I2125=0,"",ORIG!I2125)</f>
        <v/>
      </c>
      <c r="J2125" s="3">
        <f>IF(ORIG!J2125=0,"",ORIG!J2125)</f>
        <v/>
      </c>
      <c r="K2125" s="3">
        <f>IF(ORIG!K2125=0,"",ORIG!K2125)</f>
        <v/>
      </c>
      <c r="L2125" s="3">
        <f>IF(ORIG!L2125=0,"",ORIG!L2125)</f>
        <v/>
      </c>
      <c r="M2125" s="3">
        <f>IF(ORIG!M2125=0,"",ORIG!M2125)</f>
        <v/>
      </c>
      <c r="N2125" s="3">
        <f>IF(ORIG!N2125=0,"",ORIG!N2125)</f>
        <v/>
      </c>
      <c r="O2125" s="3">
        <f>IF(ORIG!O2125=0,"",ORIG!O2125)</f>
        <v/>
      </c>
      <c r="P2125" s="3">
        <f>IF(ORIG!P2125=0,"",ORIG!P2125)</f>
        <v/>
      </c>
      <c r="Q2125" s="3">
        <f>IF(ORIG!Q2125=0,"",ORIG!Q2125)</f>
        <v/>
      </c>
      <c r="R2125" s="3">
        <f>IF(ORIG!R2125=0,"",ORIG!R2125)</f>
        <v/>
      </c>
      <c r="S2125" s="3">
        <f>IF(ORIG!S2125=0,"",ORIG!S2125)</f>
        <v/>
      </c>
      <c r="T2125" s="3">
        <f>IF(ORIG!T2125=0,"",ORIG!T2125)</f>
        <v/>
      </c>
      <c r="U2125" s="3">
        <f>IF(ORIG!U2125=0,"",ORIG!U2125)</f>
        <v/>
      </c>
      <c r="V2125" s="9">
        <f>IF(ORIG!V2125=0,"",ORIG!V2125)</f>
        <v/>
      </c>
      <c r="W2125" s="9">
        <f>IF(ORIG!W2125=0,"",ORIG!W2125)</f>
        <v/>
      </c>
      <c r="X2125" s="9">
        <f>IF(ORIG!X2125=0,"",ORIG!X2125)</f>
        <v/>
      </c>
      <c r="Y2125" s="9">
        <f>IF(ORIG!Y2125=0,"",ORIG!Y2125)</f>
        <v/>
      </c>
      <c r="Z2125" s="3">
        <f>SUMPRODUCT($B2125:$Y2125,$B$2649:$Y$2649)</f>
        <v/>
      </c>
      <c r="AA2125" s="3">
        <f>SUMPRODUCT($B2125:$Y2125,$B$2655:$Y$2655)</f>
        <v/>
      </c>
      <c r="AC2125" s="1">
        <f>A2125</f>
        <v/>
      </c>
      <c r="AD2125">
        <f>IF(ISNUMBER(V2125),V2125*($AB$1/V$2635),"")</f>
        <v/>
      </c>
      <c r="AE2125">
        <f>IF(ISNUMBER(Z2125),Z2125*($AB$1/Z$2635),"")</f>
        <v/>
      </c>
      <c r="AF2125" s="25">
        <f>IF(ISNUMBER(AD2125+AE2125),AD2125+AE2125,"")</f>
        <v/>
      </c>
      <c r="AH2125" s="1">
        <f>A2125</f>
        <v/>
      </c>
      <c r="AI2125">
        <f>IF(ISNUMBER((1+V2125)*AI2124),(1+V2125)*AI2124,AI2124)</f>
        <v/>
      </c>
      <c r="AJ2125">
        <f>IF(ISNUMBER((1+Z2125)*AJ2124),(1+Z2125)*AJ2124,AJ2124)</f>
        <v/>
      </c>
    </row>
    <row r="2126">
      <c r="A2126" s="1" t="n">
        <v>45086</v>
      </c>
      <c r="B2126" s="3">
        <f>IF(ORIG!B2126=0,"",ORIG!B2126)</f>
        <v/>
      </c>
      <c r="C2126" s="3">
        <f>IF(ORIG!C2126=0,"",ORIG!C2126)</f>
        <v/>
      </c>
      <c r="D2126" s="3">
        <f>IF(ORIG!D2126=0,"",ORIG!D2126)</f>
        <v/>
      </c>
      <c r="E2126" s="3">
        <f>IF(ORIG!E2126=0,"",ORIG!E2126)</f>
        <v/>
      </c>
      <c r="F2126" s="3">
        <f>IF(ORIG!F2126=0,"",ORIG!F2126)</f>
        <v/>
      </c>
      <c r="G2126" s="3">
        <f>IF(ORIG!G2126=0,"",ORIG!G2126)</f>
        <v/>
      </c>
      <c r="H2126" s="3">
        <f>IF(ORIG!H2126=0,"",ORIG!H2126)</f>
        <v/>
      </c>
      <c r="I2126" s="3">
        <f>IF(ORIG!I2126=0,"",ORIG!I2126)</f>
        <v/>
      </c>
      <c r="J2126" s="3">
        <f>IF(ORIG!J2126=0,"",ORIG!J2126)</f>
        <v/>
      </c>
      <c r="K2126" s="3">
        <f>IF(ORIG!K2126=0,"",ORIG!K2126)</f>
        <v/>
      </c>
      <c r="L2126" s="3">
        <f>IF(ORIG!L2126=0,"",ORIG!L2126)</f>
        <v/>
      </c>
      <c r="M2126" s="3">
        <f>IF(ORIG!M2126=0,"",ORIG!M2126)</f>
        <v/>
      </c>
      <c r="N2126" s="3">
        <f>IF(ORIG!N2126=0,"",ORIG!N2126)</f>
        <v/>
      </c>
      <c r="O2126" s="3">
        <f>IF(ORIG!O2126=0,"",ORIG!O2126)</f>
        <v/>
      </c>
      <c r="P2126" s="3">
        <f>IF(ORIG!P2126=0,"",ORIG!P2126)</f>
        <v/>
      </c>
      <c r="Q2126" s="3">
        <f>IF(ORIG!Q2126=0,"",ORIG!Q2126)</f>
        <v/>
      </c>
      <c r="R2126" s="3">
        <f>IF(ORIG!R2126=0,"",ORIG!R2126)</f>
        <v/>
      </c>
      <c r="S2126" s="3">
        <f>IF(ORIG!S2126=0,"",ORIG!S2126)</f>
        <v/>
      </c>
      <c r="T2126" s="3">
        <f>IF(ORIG!T2126=0,"",ORIG!T2126)</f>
        <v/>
      </c>
      <c r="U2126" s="3">
        <f>IF(ORIG!U2126=0,"",ORIG!U2126)</f>
        <v/>
      </c>
      <c r="V2126" s="9">
        <f>IF(ORIG!V2126=0,"",ORIG!V2126)</f>
        <v/>
      </c>
      <c r="W2126" s="9">
        <f>IF(ORIG!W2126=0,"",ORIG!W2126)</f>
        <v/>
      </c>
      <c r="X2126" s="9">
        <f>IF(ORIG!X2126=0,"",ORIG!X2126)</f>
        <v/>
      </c>
      <c r="Y2126" s="9">
        <f>IF(ORIG!Y2126=0,"",ORIG!Y2126)</f>
        <v/>
      </c>
      <c r="Z2126" s="3">
        <f>SUMPRODUCT($B2126:$Y2126,$B$2649:$Y$2649)</f>
        <v/>
      </c>
      <c r="AA2126" s="3">
        <f>SUMPRODUCT($B2126:$Y2126,$B$2655:$Y$2655)</f>
        <v/>
      </c>
      <c r="AC2126" s="1">
        <f>A2126</f>
        <v/>
      </c>
      <c r="AD2126">
        <f>IF(ISNUMBER(V2126),V2126*($AB$1/V$2635),"")</f>
        <v/>
      </c>
      <c r="AE2126">
        <f>IF(ISNUMBER(Z2126),Z2126*($AB$1/Z$2635),"")</f>
        <v/>
      </c>
      <c r="AF2126" s="25">
        <f>IF(ISNUMBER(AD2126+AE2126),AD2126+AE2126,"")</f>
        <v/>
      </c>
      <c r="AH2126" s="1">
        <f>A2126</f>
        <v/>
      </c>
      <c r="AI2126">
        <f>IF(ISNUMBER((1+V2126)*AI2125),(1+V2126)*AI2125,AI2125)</f>
        <v/>
      </c>
      <c r="AJ2126">
        <f>IF(ISNUMBER((1+Z2126)*AJ2125),(1+Z2126)*AJ2125,AJ2125)</f>
        <v/>
      </c>
    </row>
    <row r="2127">
      <c r="A2127" s="1" t="n">
        <v>45089</v>
      </c>
      <c r="B2127" s="3">
        <f>IF(ORIG!B2127=0,"",ORIG!B2127)</f>
        <v/>
      </c>
      <c r="C2127" s="3">
        <f>IF(ORIG!C2127=0,"",ORIG!C2127)</f>
        <v/>
      </c>
      <c r="D2127" s="3">
        <f>IF(ORIG!D2127=0,"",ORIG!D2127)</f>
        <v/>
      </c>
      <c r="E2127" s="3">
        <f>IF(ORIG!E2127=0,"",ORIG!E2127)</f>
        <v/>
      </c>
      <c r="F2127" s="3">
        <f>IF(ORIG!F2127=0,"",ORIG!F2127)</f>
        <v/>
      </c>
      <c r="G2127" s="3">
        <f>IF(ORIG!G2127=0,"",ORIG!G2127)</f>
        <v/>
      </c>
      <c r="H2127" s="3">
        <f>IF(ORIG!H2127=0,"",ORIG!H2127)</f>
        <v/>
      </c>
      <c r="I2127" s="3">
        <f>IF(ORIG!I2127=0,"",ORIG!I2127)</f>
        <v/>
      </c>
      <c r="J2127" s="3">
        <f>IF(ORIG!J2127=0,"",ORIG!J2127)</f>
        <v/>
      </c>
      <c r="K2127" s="3">
        <f>IF(ORIG!K2127=0,"",ORIG!K2127)</f>
        <v/>
      </c>
      <c r="L2127" s="3">
        <f>IF(ORIG!L2127=0,"",ORIG!L2127)</f>
        <v/>
      </c>
      <c r="M2127" s="3">
        <f>IF(ORIG!M2127=0,"",ORIG!M2127)</f>
        <v/>
      </c>
      <c r="N2127" s="3">
        <f>IF(ORIG!N2127=0,"",ORIG!N2127)</f>
        <v/>
      </c>
      <c r="O2127" s="3">
        <f>IF(ORIG!O2127=0,"",ORIG!O2127)</f>
        <v/>
      </c>
      <c r="P2127" s="3">
        <f>IF(ORIG!P2127=0,"",ORIG!P2127)</f>
        <v/>
      </c>
      <c r="Q2127" s="3">
        <f>IF(ORIG!Q2127=0,"",ORIG!Q2127)</f>
        <v/>
      </c>
      <c r="R2127" s="3">
        <f>IF(ORIG!R2127=0,"",ORIG!R2127)</f>
        <v/>
      </c>
      <c r="S2127" s="3">
        <f>IF(ORIG!S2127=0,"",ORIG!S2127)</f>
        <v/>
      </c>
      <c r="T2127" s="3">
        <f>IF(ORIG!T2127=0,"",ORIG!T2127)</f>
        <v/>
      </c>
      <c r="U2127" s="3">
        <f>IF(ORIG!U2127=0,"",ORIG!U2127)</f>
        <v/>
      </c>
      <c r="V2127" s="9">
        <f>IF(ORIG!V2127=0,"",ORIG!V2127)</f>
        <v/>
      </c>
      <c r="W2127" s="9">
        <f>IF(ORIG!W2127=0,"",ORIG!W2127)</f>
        <v/>
      </c>
      <c r="X2127" s="9">
        <f>IF(ORIG!X2127=0,"",ORIG!X2127)</f>
        <v/>
      </c>
      <c r="Y2127" s="9">
        <f>IF(ORIG!Y2127=0,"",ORIG!Y2127)</f>
        <v/>
      </c>
      <c r="Z2127" s="3">
        <f>SUMPRODUCT($B2127:$Y2127,$B$2649:$Y$2649)</f>
        <v/>
      </c>
      <c r="AA2127" s="3">
        <f>SUMPRODUCT($B2127:$Y2127,$B$2655:$Y$2655)</f>
        <v/>
      </c>
      <c r="AC2127" s="1">
        <f>A2127</f>
        <v/>
      </c>
      <c r="AD2127">
        <f>IF(ISNUMBER(V2127),V2127*($AB$1/V$2635),"")</f>
        <v/>
      </c>
      <c r="AE2127">
        <f>IF(ISNUMBER(Z2127),Z2127*($AB$1/Z$2635),"")</f>
        <v/>
      </c>
      <c r="AF2127" s="25">
        <f>IF(ISNUMBER(AD2127+AE2127),AD2127+AE2127,"")</f>
        <v/>
      </c>
      <c r="AH2127" s="1">
        <f>A2127</f>
        <v/>
      </c>
      <c r="AI2127">
        <f>IF(ISNUMBER((1+V2127)*AI2126),(1+V2127)*AI2126,AI2126)</f>
        <v/>
      </c>
      <c r="AJ2127">
        <f>IF(ISNUMBER((1+Z2127)*AJ2126),(1+Z2127)*AJ2126,AJ2126)</f>
        <v/>
      </c>
    </row>
    <row r="2128">
      <c r="A2128" s="1" t="n">
        <v>45090</v>
      </c>
      <c r="B2128" s="3">
        <f>IF(ORIG!B2128=0,"",ORIG!B2128)</f>
        <v/>
      </c>
      <c r="C2128" s="3">
        <f>IF(ORIG!C2128=0,"",ORIG!C2128)</f>
        <v/>
      </c>
      <c r="D2128" s="3">
        <f>IF(ORIG!D2128=0,"",ORIG!D2128)</f>
        <v/>
      </c>
      <c r="E2128" s="3">
        <f>IF(ORIG!E2128=0,"",ORIG!E2128)</f>
        <v/>
      </c>
      <c r="F2128" s="3">
        <f>IF(ORIG!F2128=0,"",ORIG!F2128)</f>
        <v/>
      </c>
      <c r="G2128" s="3">
        <f>IF(ORIG!G2128=0,"",ORIG!G2128)</f>
        <v/>
      </c>
      <c r="H2128" s="3">
        <f>IF(ORIG!H2128=0,"",ORIG!H2128)</f>
        <v/>
      </c>
      <c r="I2128" s="3">
        <f>IF(ORIG!I2128=0,"",ORIG!I2128)</f>
        <v/>
      </c>
      <c r="J2128" s="3">
        <f>IF(ORIG!J2128=0,"",ORIG!J2128)</f>
        <v/>
      </c>
      <c r="K2128" s="3">
        <f>IF(ORIG!K2128=0,"",ORIG!K2128)</f>
        <v/>
      </c>
      <c r="L2128" s="3">
        <f>IF(ORIG!L2128=0,"",ORIG!L2128)</f>
        <v/>
      </c>
      <c r="M2128" s="3">
        <f>IF(ORIG!M2128=0,"",ORIG!M2128)</f>
        <v/>
      </c>
      <c r="N2128" s="3">
        <f>IF(ORIG!N2128=0,"",ORIG!N2128)</f>
        <v/>
      </c>
      <c r="O2128" s="3">
        <f>IF(ORIG!O2128=0,"",ORIG!O2128)</f>
        <v/>
      </c>
      <c r="P2128" s="3">
        <f>IF(ORIG!P2128=0,"",ORIG!P2128)</f>
        <v/>
      </c>
      <c r="Q2128" s="3">
        <f>IF(ORIG!Q2128=0,"",ORIG!Q2128)</f>
        <v/>
      </c>
      <c r="R2128" s="3">
        <f>IF(ORIG!R2128=0,"",ORIG!R2128)</f>
        <v/>
      </c>
      <c r="S2128" s="3">
        <f>IF(ORIG!S2128=0,"",ORIG!S2128)</f>
        <v/>
      </c>
      <c r="T2128" s="3">
        <f>IF(ORIG!T2128=0,"",ORIG!T2128)</f>
        <v/>
      </c>
      <c r="U2128" s="3">
        <f>IF(ORIG!U2128=0,"",ORIG!U2128)</f>
        <v/>
      </c>
      <c r="V2128" s="9">
        <f>IF(ORIG!V2128=0,"",ORIG!V2128)</f>
        <v/>
      </c>
      <c r="W2128" s="9">
        <f>IF(ORIG!W2128=0,"",ORIG!W2128)</f>
        <v/>
      </c>
      <c r="X2128" s="9">
        <f>IF(ORIG!X2128=0,"",ORIG!X2128)</f>
        <v/>
      </c>
      <c r="Y2128" s="9">
        <f>IF(ORIG!Y2128=0,"",ORIG!Y2128)</f>
        <v/>
      </c>
      <c r="Z2128" s="3">
        <f>SUMPRODUCT($B2128:$Y2128,$B$2649:$Y$2649)</f>
        <v/>
      </c>
      <c r="AA2128" s="3">
        <f>SUMPRODUCT($B2128:$Y2128,$B$2655:$Y$2655)</f>
        <v/>
      </c>
      <c r="AC2128" s="1">
        <f>A2128</f>
        <v/>
      </c>
      <c r="AD2128">
        <f>IF(ISNUMBER(V2128),V2128*($AB$1/V$2635),"")</f>
        <v/>
      </c>
      <c r="AE2128">
        <f>IF(ISNUMBER(Z2128),Z2128*($AB$1/Z$2635),"")</f>
        <v/>
      </c>
      <c r="AF2128" s="25">
        <f>IF(ISNUMBER(AD2128+AE2128),AD2128+AE2128,"")</f>
        <v/>
      </c>
      <c r="AH2128" s="1">
        <f>A2128</f>
        <v/>
      </c>
      <c r="AI2128">
        <f>IF(ISNUMBER((1+V2128)*AI2127),(1+V2128)*AI2127,AI2127)</f>
        <v/>
      </c>
      <c r="AJ2128">
        <f>IF(ISNUMBER((1+Z2128)*AJ2127),(1+Z2128)*AJ2127,AJ2127)</f>
        <v/>
      </c>
    </row>
    <row r="2129">
      <c r="A2129" s="1" t="n">
        <v>45091</v>
      </c>
      <c r="B2129" s="3">
        <f>IF(ORIG!B2129=0,"",ORIG!B2129)</f>
        <v/>
      </c>
      <c r="C2129" s="3">
        <f>IF(ORIG!C2129=0,"",ORIG!C2129)</f>
        <v/>
      </c>
      <c r="D2129" s="3">
        <f>IF(ORIG!D2129=0,"",ORIG!D2129)</f>
        <v/>
      </c>
      <c r="E2129" s="3">
        <f>IF(ORIG!E2129=0,"",ORIG!E2129)</f>
        <v/>
      </c>
      <c r="F2129" s="3">
        <f>IF(ORIG!F2129=0,"",ORIG!F2129)</f>
        <v/>
      </c>
      <c r="G2129" s="3">
        <f>IF(ORIG!G2129=0,"",ORIG!G2129)</f>
        <v/>
      </c>
      <c r="H2129" s="3">
        <f>IF(ORIG!H2129=0,"",ORIG!H2129)</f>
        <v/>
      </c>
      <c r="I2129" s="3">
        <f>IF(ORIG!I2129=0,"",ORIG!I2129)</f>
        <v/>
      </c>
      <c r="J2129" s="3">
        <f>IF(ORIG!J2129=0,"",ORIG!J2129)</f>
        <v/>
      </c>
      <c r="K2129" s="3">
        <f>IF(ORIG!K2129=0,"",ORIG!K2129)</f>
        <v/>
      </c>
      <c r="L2129" s="3">
        <f>IF(ORIG!L2129=0,"",ORIG!L2129)</f>
        <v/>
      </c>
      <c r="M2129" s="3">
        <f>IF(ORIG!M2129=0,"",ORIG!M2129)</f>
        <v/>
      </c>
      <c r="N2129" s="3">
        <f>IF(ORIG!N2129=0,"",ORIG!N2129)</f>
        <v/>
      </c>
      <c r="O2129" s="3">
        <f>IF(ORIG!O2129=0,"",ORIG!O2129)</f>
        <v/>
      </c>
      <c r="P2129" s="3">
        <f>IF(ORIG!P2129=0,"",ORIG!P2129)</f>
        <v/>
      </c>
      <c r="Q2129" s="3">
        <f>IF(ORIG!Q2129=0,"",ORIG!Q2129)</f>
        <v/>
      </c>
      <c r="R2129" s="3">
        <f>IF(ORIG!R2129=0,"",ORIG!R2129)</f>
        <v/>
      </c>
      <c r="S2129" s="3">
        <f>IF(ORIG!S2129=0,"",ORIG!S2129)</f>
        <v/>
      </c>
      <c r="T2129" s="3">
        <f>IF(ORIG!T2129=0,"",ORIG!T2129)</f>
        <v/>
      </c>
      <c r="U2129" s="3">
        <f>IF(ORIG!U2129=0,"",ORIG!U2129)</f>
        <v/>
      </c>
      <c r="V2129" s="9">
        <f>IF(ORIG!V2129=0,"",ORIG!V2129)</f>
        <v/>
      </c>
      <c r="W2129" s="9">
        <f>IF(ORIG!W2129=0,"",ORIG!W2129)</f>
        <v/>
      </c>
      <c r="X2129" s="9">
        <f>IF(ORIG!X2129=0,"",ORIG!X2129)</f>
        <v/>
      </c>
      <c r="Y2129" s="9">
        <f>IF(ORIG!Y2129=0,"",ORIG!Y2129)</f>
        <v/>
      </c>
      <c r="Z2129" s="3">
        <f>SUMPRODUCT($B2129:$Y2129,$B$2649:$Y$2649)</f>
        <v/>
      </c>
      <c r="AA2129" s="3">
        <f>SUMPRODUCT($B2129:$Y2129,$B$2655:$Y$2655)</f>
        <v/>
      </c>
      <c r="AC2129" s="1">
        <f>A2129</f>
        <v/>
      </c>
      <c r="AD2129">
        <f>IF(ISNUMBER(V2129),V2129*($AB$1/V$2635),"")</f>
        <v/>
      </c>
      <c r="AE2129">
        <f>IF(ISNUMBER(Z2129),Z2129*($AB$1/Z$2635),"")</f>
        <v/>
      </c>
      <c r="AF2129" s="25">
        <f>IF(ISNUMBER(AD2129+AE2129),AD2129+AE2129,"")</f>
        <v/>
      </c>
      <c r="AH2129" s="1">
        <f>A2129</f>
        <v/>
      </c>
      <c r="AI2129">
        <f>IF(ISNUMBER((1+V2129)*AI2128),(1+V2129)*AI2128,AI2128)</f>
        <v/>
      </c>
      <c r="AJ2129">
        <f>IF(ISNUMBER((1+Z2129)*AJ2128),(1+Z2129)*AJ2128,AJ2128)</f>
        <v/>
      </c>
    </row>
    <row r="2130">
      <c r="A2130" s="1" t="n">
        <v>45092</v>
      </c>
      <c r="B2130" s="3">
        <f>IF(ORIG!B2130=0,"",ORIG!B2130)</f>
        <v/>
      </c>
      <c r="C2130" s="3">
        <f>IF(ORIG!C2130=0,"",ORIG!C2130)</f>
        <v/>
      </c>
      <c r="D2130" s="3">
        <f>IF(ORIG!D2130=0,"",ORIG!D2130)</f>
        <v/>
      </c>
      <c r="E2130" s="3">
        <f>IF(ORIG!E2130=0,"",ORIG!E2130)</f>
        <v/>
      </c>
      <c r="F2130" s="3">
        <f>IF(ORIG!F2130=0,"",ORIG!F2130)</f>
        <v/>
      </c>
      <c r="G2130" s="3">
        <f>IF(ORIG!G2130=0,"",ORIG!G2130)</f>
        <v/>
      </c>
      <c r="H2130" s="3">
        <f>IF(ORIG!H2130=0,"",ORIG!H2130)</f>
        <v/>
      </c>
      <c r="I2130" s="3">
        <f>IF(ORIG!I2130=0,"",ORIG!I2130)</f>
        <v/>
      </c>
      <c r="J2130" s="3">
        <f>IF(ORIG!J2130=0,"",ORIG!J2130)</f>
        <v/>
      </c>
      <c r="K2130" s="3">
        <f>IF(ORIG!K2130=0,"",ORIG!K2130)</f>
        <v/>
      </c>
      <c r="L2130" s="3">
        <f>IF(ORIG!L2130=0,"",ORIG!L2130)</f>
        <v/>
      </c>
      <c r="M2130" s="3">
        <f>IF(ORIG!M2130=0,"",ORIG!M2130)</f>
        <v/>
      </c>
      <c r="N2130" s="3">
        <f>IF(ORIG!N2130=0,"",ORIG!N2130)</f>
        <v/>
      </c>
      <c r="O2130" s="3">
        <f>IF(ORIG!O2130=0,"",ORIG!O2130)</f>
        <v/>
      </c>
      <c r="P2130" s="3">
        <f>IF(ORIG!P2130=0,"",ORIG!P2130)</f>
        <v/>
      </c>
      <c r="Q2130" s="3">
        <f>IF(ORIG!Q2130=0,"",ORIG!Q2130)</f>
        <v/>
      </c>
      <c r="R2130" s="3">
        <f>IF(ORIG!R2130=0,"",ORIG!R2130)</f>
        <v/>
      </c>
      <c r="S2130" s="3">
        <f>IF(ORIG!S2130=0,"",ORIG!S2130)</f>
        <v/>
      </c>
      <c r="T2130" s="3">
        <f>IF(ORIG!T2130=0,"",ORIG!T2130)</f>
        <v/>
      </c>
      <c r="U2130" s="3">
        <f>IF(ORIG!U2130=0,"",ORIG!U2130)</f>
        <v/>
      </c>
      <c r="V2130" s="9">
        <f>IF(ORIG!V2130=0,"",ORIG!V2130)</f>
        <v/>
      </c>
      <c r="W2130" s="9">
        <f>IF(ORIG!W2130=0,"",ORIG!W2130)</f>
        <v/>
      </c>
      <c r="X2130" s="9">
        <f>IF(ORIG!X2130=0,"",ORIG!X2130)</f>
        <v/>
      </c>
      <c r="Y2130" s="9">
        <f>IF(ORIG!Y2130=0,"",ORIG!Y2130)</f>
        <v/>
      </c>
      <c r="Z2130" s="3">
        <f>SUMPRODUCT($B2130:$Y2130,$B$2649:$Y$2649)</f>
        <v/>
      </c>
      <c r="AA2130" s="3">
        <f>SUMPRODUCT($B2130:$Y2130,$B$2655:$Y$2655)</f>
        <v/>
      </c>
      <c r="AC2130" s="1">
        <f>A2130</f>
        <v/>
      </c>
      <c r="AD2130">
        <f>IF(ISNUMBER(V2130),V2130*($AB$1/V$2635),"")</f>
        <v/>
      </c>
      <c r="AE2130">
        <f>IF(ISNUMBER(Z2130),Z2130*($AB$1/Z$2635),"")</f>
        <v/>
      </c>
      <c r="AF2130" s="25">
        <f>IF(ISNUMBER(AD2130+AE2130),AD2130+AE2130,"")</f>
        <v/>
      </c>
      <c r="AH2130" s="1">
        <f>A2130</f>
        <v/>
      </c>
      <c r="AI2130">
        <f>IF(ISNUMBER((1+V2130)*AI2129),(1+V2130)*AI2129,AI2129)</f>
        <v/>
      </c>
      <c r="AJ2130">
        <f>IF(ISNUMBER((1+Z2130)*AJ2129),(1+Z2130)*AJ2129,AJ2129)</f>
        <v/>
      </c>
    </row>
    <row r="2131">
      <c r="A2131" s="1" t="n">
        <v>45093</v>
      </c>
      <c r="B2131" s="3">
        <f>IF(ORIG!B2131=0,"",ORIG!B2131)</f>
        <v/>
      </c>
      <c r="C2131" s="3">
        <f>IF(ORIG!C2131=0,"",ORIG!C2131)</f>
        <v/>
      </c>
      <c r="D2131" s="3">
        <f>IF(ORIG!D2131=0,"",ORIG!D2131)</f>
        <v/>
      </c>
      <c r="E2131" s="3">
        <f>IF(ORIG!E2131=0,"",ORIG!E2131)</f>
        <v/>
      </c>
      <c r="F2131" s="3">
        <f>IF(ORIG!F2131=0,"",ORIG!F2131)</f>
        <v/>
      </c>
      <c r="G2131" s="3">
        <f>IF(ORIG!G2131=0,"",ORIG!G2131)</f>
        <v/>
      </c>
      <c r="H2131" s="3">
        <f>IF(ORIG!H2131=0,"",ORIG!H2131)</f>
        <v/>
      </c>
      <c r="I2131" s="3">
        <f>IF(ORIG!I2131=0,"",ORIG!I2131)</f>
        <v/>
      </c>
      <c r="J2131" s="3">
        <f>IF(ORIG!J2131=0,"",ORIG!J2131)</f>
        <v/>
      </c>
      <c r="K2131" s="3">
        <f>IF(ORIG!K2131=0,"",ORIG!K2131)</f>
        <v/>
      </c>
      <c r="L2131" s="3">
        <f>IF(ORIG!L2131=0,"",ORIG!L2131)</f>
        <v/>
      </c>
      <c r="M2131" s="3">
        <f>IF(ORIG!M2131=0,"",ORIG!M2131)</f>
        <v/>
      </c>
      <c r="N2131" s="3">
        <f>IF(ORIG!N2131=0,"",ORIG!N2131)</f>
        <v/>
      </c>
      <c r="O2131" s="3">
        <f>IF(ORIG!O2131=0,"",ORIG!O2131)</f>
        <v/>
      </c>
      <c r="P2131" s="3">
        <f>IF(ORIG!P2131=0,"",ORIG!P2131)</f>
        <v/>
      </c>
      <c r="Q2131" s="3">
        <f>IF(ORIG!Q2131=0,"",ORIG!Q2131)</f>
        <v/>
      </c>
      <c r="R2131" s="3">
        <f>IF(ORIG!R2131=0,"",ORIG!R2131)</f>
        <v/>
      </c>
      <c r="S2131" s="3">
        <f>IF(ORIG!S2131=0,"",ORIG!S2131)</f>
        <v/>
      </c>
      <c r="T2131" s="3">
        <f>IF(ORIG!T2131=0,"",ORIG!T2131)</f>
        <v/>
      </c>
      <c r="U2131" s="3">
        <f>IF(ORIG!U2131=0,"",ORIG!U2131)</f>
        <v/>
      </c>
      <c r="V2131" s="9">
        <f>IF(ORIG!V2131=0,"",ORIG!V2131)</f>
        <v/>
      </c>
      <c r="W2131" s="9">
        <f>IF(ORIG!W2131=0,"",ORIG!W2131)</f>
        <v/>
      </c>
      <c r="X2131" s="9">
        <f>IF(ORIG!X2131=0,"",ORIG!X2131)</f>
        <v/>
      </c>
      <c r="Y2131" s="9">
        <f>IF(ORIG!Y2131=0,"",ORIG!Y2131)</f>
        <v/>
      </c>
      <c r="Z2131" s="3">
        <f>SUMPRODUCT($B2131:$Y2131,$B$2649:$Y$2649)</f>
        <v/>
      </c>
      <c r="AA2131" s="3">
        <f>SUMPRODUCT($B2131:$Y2131,$B$2655:$Y$2655)</f>
        <v/>
      </c>
      <c r="AC2131" s="1">
        <f>A2131</f>
        <v/>
      </c>
      <c r="AD2131">
        <f>IF(ISNUMBER(V2131),V2131*($AB$1/V$2635),"")</f>
        <v/>
      </c>
      <c r="AE2131">
        <f>IF(ISNUMBER(Z2131),Z2131*($AB$1/Z$2635),"")</f>
        <v/>
      </c>
      <c r="AF2131" s="25">
        <f>IF(ISNUMBER(AD2131+AE2131),AD2131+AE2131,"")</f>
        <v/>
      </c>
      <c r="AH2131" s="1">
        <f>A2131</f>
        <v/>
      </c>
      <c r="AI2131">
        <f>IF(ISNUMBER((1+V2131)*AI2130),(1+V2131)*AI2130,AI2130)</f>
        <v/>
      </c>
      <c r="AJ2131">
        <f>IF(ISNUMBER((1+Z2131)*AJ2130),(1+Z2131)*AJ2130,AJ2130)</f>
        <v/>
      </c>
    </row>
    <row r="2132">
      <c r="A2132" s="1" t="n">
        <v>45097</v>
      </c>
      <c r="B2132" s="3">
        <f>IF(ORIG!B2132=0,"",ORIG!B2132)</f>
        <v/>
      </c>
      <c r="C2132" s="3">
        <f>IF(ORIG!C2132=0,"",ORIG!C2132)</f>
        <v/>
      </c>
      <c r="D2132" s="3">
        <f>IF(ORIG!D2132=0,"",ORIG!D2132)</f>
        <v/>
      </c>
      <c r="E2132" s="3">
        <f>IF(ORIG!E2132=0,"",ORIG!E2132)</f>
        <v/>
      </c>
      <c r="F2132" s="3">
        <f>IF(ORIG!F2132=0,"",ORIG!F2132)</f>
        <v/>
      </c>
      <c r="G2132" s="3">
        <f>IF(ORIG!G2132=0,"",ORIG!G2132)</f>
        <v/>
      </c>
      <c r="H2132" s="3">
        <f>IF(ORIG!H2132=0,"",ORIG!H2132)</f>
        <v/>
      </c>
      <c r="I2132" s="3">
        <f>IF(ORIG!I2132=0,"",ORIG!I2132)</f>
        <v/>
      </c>
      <c r="J2132" s="3">
        <f>IF(ORIG!J2132=0,"",ORIG!J2132)</f>
        <v/>
      </c>
      <c r="K2132" s="3">
        <f>IF(ORIG!K2132=0,"",ORIG!K2132)</f>
        <v/>
      </c>
      <c r="L2132" s="3">
        <f>IF(ORIG!L2132=0,"",ORIG!L2132)</f>
        <v/>
      </c>
      <c r="M2132" s="3">
        <f>IF(ORIG!M2132=0,"",ORIG!M2132)</f>
        <v/>
      </c>
      <c r="N2132" s="3">
        <f>IF(ORIG!N2132=0,"",ORIG!N2132)</f>
        <v/>
      </c>
      <c r="O2132" s="3">
        <f>IF(ORIG!O2132=0,"",ORIG!O2132)</f>
        <v/>
      </c>
      <c r="P2132" s="3">
        <f>IF(ORIG!P2132=0,"",ORIG!P2132)</f>
        <v/>
      </c>
      <c r="Q2132" s="3">
        <f>IF(ORIG!Q2132=0,"",ORIG!Q2132)</f>
        <v/>
      </c>
      <c r="R2132" s="3">
        <f>IF(ORIG!R2132=0,"",ORIG!R2132)</f>
        <v/>
      </c>
      <c r="S2132" s="3">
        <f>IF(ORIG!S2132=0,"",ORIG!S2132)</f>
        <v/>
      </c>
      <c r="T2132" s="3">
        <f>IF(ORIG!T2132=0,"",ORIG!T2132)</f>
        <v/>
      </c>
      <c r="U2132" s="3">
        <f>IF(ORIG!U2132=0,"",ORIG!U2132)</f>
        <v/>
      </c>
      <c r="V2132" s="9">
        <f>IF(ORIG!V2132=0,"",ORIG!V2132)</f>
        <v/>
      </c>
      <c r="W2132" s="9">
        <f>IF(ORIG!W2132=0,"",ORIG!W2132)</f>
        <v/>
      </c>
      <c r="X2132" s="9">
        <f>IF(ORIG!X2132=0,"",ORIG!X2132)</f>
        <v/>
      </c>
      <c r="Y2132" s="9">
        <f>IF(ORIG!Y2132=0,"",ORIG!Y2132)</f>
        <v/>
      </c>
      <c r="Z2132" s="3">
        <f>SUMPRODUCT($B2132:$Y2132,$B$2649:$Y$2649)</f>
        <v/>
      </c>
      <c r="AA2132" s="3">
        <f>SUMPRODUCT($B2132:$Y2132,$B$2655:$Y$2655)</f>
        <v/>
      </c>
      <c r="AC2132" s="1">
        <f>A2132</f>
        <v/>
      </c>
      <c r="AD2132">
        <f>IF(ISNUMBER(V2132),V2132*($AB$1/V$2635),"")</f>
        <v/>
      </c>
      <c r="AE2132">
        <f>IF(ISNUMBER(Z2132),Z2132*($AB$1/Z$2635),"")</f>
        <v/>
      </c>
      <c r="AF2132" s="25">
        <f>IF(ISNUMBER(AD2132+AE2132),AD2132+AE2132,"")</f>
        <v/>
      </c>
      <c r="AH2132" s="1">
        <f>A2132</f>
        <v/>
      </c>
      <c r="AI2132">
        <f>IF(ISNUMBER((1+V2132)*AI2131),(1+V2132)*AI2131,AI2131)</f>
        <v/>
      </c>
      <c r="AJ2132">
        <f>IF(ISNUMBER((1+Z2132)*AJ2131),(1+Z2132)*AJ2131,AJ2131)</f>
        <v/>
      </c>
    </row>
    <row r="2133">
      <c r="A2133" s="1" t="n">
        <v>45098</v>
      </c>
      <c r="B2133" s="3">
        <f>IF(ORIG!B2133=0,"",ORIG!B2133)</f>
        <v/>
      </c>
      <c r="C2133" s="3">
        <f>IF(ORIG!C2133=0,"",ORIG!C2133)</f>
        <v/>
      </c>
      <c r="D2133" s="3">
        <f>IF(ORIG!D2133=0,"",ORIG!D2133)</f>
        <v/>
      </c>
      <c r="E2133" s="3">
        <f>IF(ORIG!E2133=0,"",ORIG!E2133)</f>
        <v/>
      </c>
      <c r="F2133" s="3">
        <f>IF(ORIG!F2133=0,"",ORIG!F2133)</f>
        <v/>
      </c>
      <c r="G2133" s="3">
        <f>IF(ORIG!G2133=0,"",ORIG!G2133)</f>
        <v/>
      </c>
      <c r="H2133" s="3">
        <f>IF(ORIG!H2133=0,"",ORIG!H2133)</f>
        <v/>
      </c>
      <c r="I2133" s="3">
        <f>IF(ORIG!I2133=0,"",ORIG!I2133)</f>
        <v/>
      </c>
      <c r="J2133" s="3">
        <f>IF(ORIG!J2133=0,"",ORIG!J2133)</f>
        <v/>
      </c>
      <c r="K2133" s="3">
        <f>IF(ORIG!K2133=0,"",ORIG!K2133)</f>
        <v/>
      </c>
      <c r="L2133" s="3">
        <f>IF(ORIG!L2133=0,"",ORIG!L2133)</f>
        <v/>
      </c>
      <c r="M2133" s="3">
        <f>IF(ORIG!M2133=0,"",ORIG!M2133)</f>
        <v/>
      </c>
      <c r="N2133" s="3">
        <f>IF(ORIG!N2133=0,"",ORIG!N2133)</f>
        <v/>
      </c>
      <c r="O2133" s="3">
        <f>IF(ORIG!O2133=0,"",ORIG!O2133)</f>
        <v/>
      </c>
      <c r="P2133" s="3">
        <f>IF(ORIG!P2133=0,"",ORIG!P2133)</f>
        <v/>
      </c>
      <c r="Q2133" s="3">
        <f>IF(ORIG!Q2133=0,"",ORIG!Q2133)</f>
        <v/>
      </c>
      <c r="R2133" s="3">
        <f>IF(ORIG!R2133=0,"",ORIG!R2133)</f>
        <v/>
      </c>
      <c r="S2133" s="3">
        <f>IF(ORIG!S2133=0,"",ORIG!S2133)</f>
        <v/>
      </c>
      <c r="T2133" s="3">
        <f>IF(ORIG!T2133=0,"",ORIG!T2133)</f>
        <v/>
      </c>
      <c r="U2133" s="3">
        <f>IF(ORIG!U2133=0,"",ORIG!U2133)</f>
        <v/>
      </c>
      <c r="V2133" s="9">
        <f>IF(ORIG!V2133=0,"",ORIG!V2133)</f>
        <v/>
      </c>
      <c r="W2133" s="9">
        <f>IF(ORIG!W2133=0,"",ORIG!W2133)</f>
        <v/>
      </c>
      <c r="X2133" s="9">
        <f>IF(ORIG!X2133=0,"",ORIG!X2133)</f>
        <v/>
      </c>
      <c r="Y2133" s="9">
        <f>IF(ORIG!Y2133=0,"",ORIG!Y2133)</f>
        <v/>
      </c>
      <c r="Z2133" s="3">
        <f>SUMPRODUCT($B2133:$Y2133,$B$2649:$Y$2649)</f>
        <v/>
      </c>
      <c r="AA2133" s="3">
        <f>SUMPRODUCT($B2133:$Y2133,$B$2655:$Y$2655)</f>
        <v/>
      </c>
      <c r="AC2133" s="1">
        <f>A2133</f>
        <v/>
      </c>
      <c r="AD2133">
        <f>IF(ISNUMBER(V2133),V2133*($AB$1/V$2635),"")</f>
        <v/>
      </c>
      <c r="AE2133">
        <f>IF(ISNUMBER(Z2133),Z2133*($AB$1/Z$2635),"")</f>
        <v/>
      </c>
      <c r="AF2133" s="25">
        <f>IF(ISNUMBER(AD2133+AE2133),AD2133+AE2133,"")</f>
        <v/>
      </c>
      <c r="AH2133" s="1">
        <f>A2133</f>
        <v/>
      </c>
      <c r="AI2133">
        <f>IF(ISNUMBER((1+V2133)*AI2132),(1+V2133)*AI2132,AI2132)</f>
        <v/>
      </c>
      <c r="AJ2133">
        <f>IF(ISNUMBER((1+Z2133)*AJ2132),(1+Z2133)*AJ2132,AJ2132)</f>
        <v/>
      </c>
    </row>
    <row r="2134">
      <c r="A2134" s="1" t="n">
        <v>45099</v>
      </c>
      <c r="B2134" s="3">
        <f>IF(ORIG!B2134=0,"",ORIG!B2134)</f>
        <v/>
      </c>
      <c r="C2134" s="3">
        <f>IF(ORIG!C2134=0,"",ORIG!C2134)</f>
        <v/>
      </c>
      <c r="D2134" s="3">
        <f>IF(ORIG!D2134=0,"",ORIG!D2134)</f>
        <v/>
      </c>
      <c r="E2134" s="3">
        <f>IF(ORIG!E2134=0,"",ORIG!E2134)</f>
        <v/>
      </c>
      <c r="F2134" s="3">
        <f>IF(ORIG!F2134=0,"",ORIG!F2134)</f>
        <v/>
      </c>
      <c r="G2134" s="3">
        <f>IF(ORIG!G2134=0,"",ORIG!G2134)</f>
        <v/>
      </c>
      <c r="H2134" s="3">
        <f>IF(ORIG!H2134=0,"",ORIG!H2134)</f>
        <v/>
      </c>
      <c r="I2134" s="3">
        <f>IF(ORIG!I2134=0,"",ORIG!I2134)</f>
        <v/>
      </c>
      <c r="J2134" s="3">
        <f>IF(ORIG!J2134=0,"",ORIG!J2134)</f>
        <v/>
      </c>
      <c r="K2134" s="3">
        <f>IF(ORIG!K2134=0,"",ORIG!K2134)</f>
        <v/>
      </c>
      <c r="L2134" s="3">
        <f>IF(ORIG!L2134=0,"",ORIG!L2134)</f>
        <v/>
      </c>
      <c r="M2134" s="3">
        <f>IF(ORIG!M2134=0,"",ORIG!M2134)</f>
        <v/>
      </c>
      <c r="N2134" s="3">
        <f>IF(ORIG!N2134=0,"",ORIG!N2134)</f>
        <v/>
      </c>
      <c r="O2134" s="3">
        <f>IF(ORIG!O2134=0,"",ORIG!O2134)</f>
        <v/>
      </c>
      <c r="P2134" s="3">
        <f>IF(ORIG!P2134=0,"",ORIG!P2134)</f>
        <v/>
      </c>
      <c r="Q2134" s="3">
        <f>IF(ORIG!Q2134=0,"",ORIG!Q2134)</f>
        <v/>
      </c>
      <c r="R2134" s="3">
        <f>IF(ORIG!R2134=0,"",ORIG!R2134)</f>
        <v/>
      </c>
      <c r="S2134" s="3">
        <f>IF(ORIG!S2134=0,"",ORIG!S2134)</f>
        <v/>
      </c>
      <c r="T2134" s="3">
        <f>IF(ORIG!T2134=0,"",ORIG!T2134)</f>
        <v/>
      </c>
      <c r="U2134" s="3">
        <f>IF(ORIG!U2134=0,"",ORIG!U2134)</f>
        <v/>
      </c>
      <c r="V2134" s="9">
        <f>IF(ORIG!V2134=0,"",ORIG!V2134)</f>
        <v/>
      </c>
      <c r="W2134" s="9">
        <f>IF(ORIG!W2134=0,"",ORIG!W2134)</f>
        <v/>
      </c>
      <c r="X2134" s="9">
        <f>IF(ORIG!X2134=0,"",ORIG!X2134)</f>
        <v/>
      </c>
      <c r="Y2134" s="9">
        <f>IF(ORIG!Y2134=0,"",ORIG!Y2134)</f>
        <v/>
      </c>
      <c r="Z2134" s="3">
        <f>SUMPRODUCT($B2134:$Y2134,$B$2649:$Y$2649)</f>
        <v/>
      </c>
      <c r="AA2134" s="3">
        <f>SUMPRODUCT($B2134:$Y2134,$B$2655:$Y$2655)</f>
        <v/>
      </c>
      <c r="AC2134" s="1">
        <f>A2134</f>
        <v/>
      </c>
      <c r="AD2134">
        <f>IF(ISNUMBER(V2134),V2134*($AB$1/V$2635),"")</f>
        <v/>
      </c>
      <c r="AE2134">
        <f>IF(ISNUMBER(Z2134),Z2134*($AB$1/Z$2635),"")</f>
        <v/>
      </c>
      <c r="AF2134" s="25">
        <f>IF(ISNUMBER(AD2134+AE2134),AD2134+AE2134,"")</f>
        <v/>
      </c>
      <c r="AH2134" s="1">
        <f>A2134</f>
        <v/>
      </c>
      <c r="AI2134">
        <f>IF(ISNUMBER((1+V2134)*AI2133),(1+V2134)*AI2133,AI2133)</f>
        <v/>
      </c>
      <c r="AJ2134">
        <f>IF(ISNUMBER((1+Z2134)*AJ2133),(1+Z2134)*AJ2133,AJ2133)</f>
        <v/>
      </c>
    </row>
    <row r="2135">
      <c r="A2135" s="1" t="n">
        <v>45100</v>
      </c>
      <c r="B2135" s="3">
        <f>IF(ORIG!B2135=0,"",ORIG!B2135)</f>
        <v/>
      </c>
      <c r="C2135" s="3">
        <f>IF(ORIG!C2135=0,"",ORIG!C2135)</f>
        <v/>
      </c>
      <c r="D2135" s="3">
        <f>IF(ORIG!D2135=0,"",ORIG!D2135)</f>
        <v/>
      </c>
      <c r="E2135" s="3">
        <f>IF(ORIG!E2135=0,"",ORIG!E2135)</f>
        <v/>
      </c>
      <c r="F2135" s="3">
        <f>IF(ORIG!F2135=0,"",ORIG!F2135)</f>
        <v/>
      </c>
      <c r="G2135" s="3">
        <f>IF(ORIG!G2135=0,"",ORIG!G2135)</f>
        <v/>
      </c>
      <c r="H2135" s="3">
        <f>IF(ORIG!H2135=0,"",ORIG!H2135)</f>
        <v/>
      </c>
      <c r="I2135" s="3">
        <f>IF(ORIG!I2135=0,"",ORIG!I2135)</f>
        <v/>
      </c>
      <c r="J2135" s="3">
        <f>IF(ORIG!J2135=0,"",ORIG!J2135)</f>
        <v/>
      </c>
      <c r="K2135" s="3">
        <f>IF(ORIG!K2135=0,"",ORIG!K2135)</f>
        <v/>
      </c>
      <c r="L2135" s="3">
        <f>IF(ORIG!L2135=0,"",ORIG!L2135)</f>
        <v/>
      </c>
      <c r="M2135" s="3">
        <f>IF(ORIG!M2135=0,"",ORIG!M2135)</f>
        <v/>
      </c>
      <c r="N2135" s="3">
        <f>IF(ORIG!N2135=0,"",ORIG!N2135)</f>
        <v/>
      </c>
      <c r="O2135" s="3">
        <f>IF(ORIG!O2135=0,"",ORIG!O2135)</f>
        <v/>
      </c>
      <c r="P2135" s="3">
        <f>IF(ORIG!P2135=0,"",ORIG!P2135)</f>
        <v/>
      </c>
      <c r="Q2135" s="3">
        <f>IF(ORIG!Q2135=0,"",ORIG!Q2135)</f>
        <v/>
      </c>
      <c r="R2135" s="3">
        <f>IF(ORIG!R2135=0,"",ORIG!R2135)</f>
        <v/>
      </c>
      <c r="S2135" s="3">
        <f>IF(ORIG!S2135=0,"",ORIG!S2135)</f>
        <v/>
      </c>
      <c r="T2135" s="3">
        <f>IF(ORIG!T2135=0,"",ORIG!T2135)</f>
        <v/>
      </c>
      <c r="U2135" s="3">
        <f>IF(ORIG!U2135=0,"",ORIG!U2135)</f>
        <v/>
      </c>
      <c r="V2135" s="9">
        <f>IF(ORIG!V2135=0,"",ORIG!V2135)</f>
        <v/>
      </c>
      <c r="W2135" s="9">
        <f>IF(ORIG!W2135=0,"",ORIG!W2135)</f>
        <v/>
      </c>
      <c r="X2135" s="9">
        <f>IF(ORIG!X2135=0,"",ORIG!X2135)</f>
        <v/>
      </c>
      <c r="Y2135" s="9">
        <f>IF(ORIG!Y2135=0,"",ORIG!Y2135)</f>
        <v/>
      </c>
      <c r="Z2135" s="3">
        <f>SUMPRODUCT($B2135:$Y2135,$B$2649:$Y$2649)</f>
        <v/>
      </c>
      <c r="AA2135" s="3">
        <f>SUMPRODUCT($B2135:$Y2135,$B$2655:$Y$2655)</f>
        <v/>
      </c>
      <c r="AC2135" s="1">
        <f>A2135</f>
        <v/>
      </c>
      <c r="AD2135">
        <f>IF(ISNUMBER(V2135),V2135*($AB$1/V$2635),"")</f>
        <v/>
      </c>
      <c r="AE2135">
        <f>IF(ISNUMBER(Z2135),Z2135*($AB$1/Z$2635),"")</f>
        <v/>
      </c>
      <c r="AF2135" s="25">
        <f>IF(ISNUMBER(AD2135+AE2135),AD2135+AE2135,"")</f>
        <v/>
      </c>
      <c r="AH2135" s="1">
        <f>A2135</f>
        <v/>
      </c>
      <c r="AI2135">
        <f>IF(ISNUMBER((1+V2135)*AI2134),(1+V2135)*AI2134,AI2134)</f>
        <v/>
      </c>
      <c r="AJ2135">
        <f>IF(ISNUMBER((1+Z2135)*AJ2134),(1+Z2135)*AJ2134,AJ2134)</f>
        <v/>
      </c>
    </row>
    <row r="2136">
      <c r="A2136" s="1" t="n">
        <v>45103</v>
      </c>
      <c r="B2136" s="3">
        <f>IF(ORIG!B2136=0,"",ORIG!B2136)</f>
        <v/>
      </c>
      <c r="C2136" s="3">
        <f>IF(ORIG!C2136=0,"",ORIG!C2136)</f>
        <v/>
      </c>
      <c r="D2136" s="3">
        <f>IF(ORIG!D2136=0,"",ORIG!D2136)</f>
        <v/>
      </c>
      <c r="E2136" s="3">
        <f>IF(ORIG!E2136=0,"",ORIG!E2136)</f>
        <v/>
      </c>
      <c r="F2136" s="3">
        <f>IF(ORIG!F2136=0,"",ORIG!F2136)</f>
        <v/>
      </c>
      <c r="G2136" s="3">
        <f>IF(ORIG!G2136=0,"",ORIG!G2136)</f>
        <v/>
      </c>
      <c r="H2136" s="3">
        <f>IF(ORIG!H2136=0,"",ORIG!H2136)</f>
        <v/>
      </c>
      <c r="I2136" s="3">
        <f>IF(ORIG!I2136=0,"",ORIG!I2136)</f>
        <v/>
      </c>
      <c r="J2136" s="3">
        <f>IF(ORIG!J2136=0,"",ORIG!J2136)</f>
        <v/>
      </c>
      <c r="K2136" s="3">
        <f>IF(ORIG!K2136=0,"",ORIG!K2136)</f>
        <v/>
      </c>
      <c r="L2136" s="3">
        <f>IF(ORIG!L2136=0,"",ORIG!L2136)</f>
        <v/>
      </c>
      <c r="M2136" s="3">
        <f>IF(ORIG!M2136=0,"",ORIG!M2136)</f>
        <v/>
      </c>
      <c r="N2136" s="3">
        <f>IF(ORIG!N2136=0,"",ORIG!N2136)</f>
        <v/>
      </c>
      <c r="O2136" s="3">
        <f>IF(ORIG!O2136=0,"",ORIG!O2136)</f>
        <v/>
      </c>
      <c r="P2136" s="3">
        <f>IF(ORIG!P2136=0,"",ORIG!P2136)</f>
        <v/>
      </c>
      <c r="Q2136" s="3">
        <f>IF(ORIG!Q2136=0,"",ORIG!Q2136)</f>
        <v/>
      </c>
      <c r="R2136" s="3">
        <f>IF(ORIG!R2136=0,"",ORIG!R2136)</f>
        <v/>
      </c>
      <c r="S2136" s="3">
        <f>IF(ORIG!S2136=0,"",ORIG!S2136)</f>
        <v/>
      </c>
      <c r="T2136" s="3">
        <f>IF(ORIG!T2136=0,"",ORIG!T2136)</f>
        <v/>
      </c>
      <c r="U2136" s="3">
        <f>IF(ORIG!U2136=0,"",ORIG!U2136)</f>
        <v/>
      </c>
      <c r="V2136" s="9">
        <f>IF(ORIG!V2136=0,"",ORIG!V2136)</f>
        <v/>
      </c>
      <c r="W2136" s="9">
        <f>IF(ORIG!W2136=0,"",ORIG!W2136)</f>
        <v/>
      </c>
      <c r="X2136" s="9">
        <f>IF(ORIG!X2136=0,"",ORIG!X2136)</f>
        <v/>
      </c>
      <c r="Y2136" s="9">
        <f>IF(ORIG!Y2136=0,"",ORIG!Y2136)</f>
        <v/>
      </c>
      <c r="Z2136" s="3">
        <f>SUMPRODUCT($B2136:$Y2136,$B$2649:$Y$2649)</f>
        <v/>
      </c>
      <c r="AA2136" s="3">
        <f>SUMPRODUCT($B2136:$Y2136,$B$2655:$Y$2655)</f>
        <v/>
      </c>
      <c r="AC2136" s="1">
        <f>A2136</f>
        <v/>
      </c>
      <c r="AD2136">
        <f>IF(ISNUMBER(V2136),V2136*($AB$1/V$2635),"")</f>
        <v/>
      </c>
      <c r="AE2136">
        <f>IF(ISNUMBER(Z2136),Z2136*($AB$1/Z$2635),"")</f>
        <v/>
      </c>
      <c r="AF2136" s="25">
        <f>IF(ISNUMBER(AD2136+AE2136),AD2136+AE2136,"")</f>
        <v/>
      </c>
      <c r="AH2136" s="1">
        <f>A2136</f>
        <v/>
      </c>
      <c r="AI2136">
        <f>IF(ISNUMBER((1+V2136)*AI2135),(1+V2136)*AI2135,AI2135)</f>
        <v/>
      </c>
      <c r="AJ2136">
        <f>IF(ISNUMBER((1+Z2136)*AJ2135),(1+Z2136)*AJ2135,AJ2135)</f>
        <v/>
      </c>
    </row>
    <row r="2137">
      <c r="A2137" s="1" t="n">
        <v>45104</v>
      </c>
      <c r="B2137" s="3">
        <f>IF(ORIG!B2137=0,"",ORIG!B2137)</f>
        <v/>
      </c>
      <c r="C2137" s="3">
        <f>IF(ORIG!C2137=0,"",ORIG!C2137)</f>
        <v/>
      </c>
      <c r="D2137" s="3">
        <f>IF(ORIG!D2137=0,"",ORIG!D2137)</f>
        <v/>
      </c>
      <c r="E2137" s="3">
        <f>IF(ORIG!E2137=0,"",ORIG!E2137)</f>
        <v/>
      </c>
      <c r="F2137" s="3">
        <f>IF(ORIG!F2137=0,"",ORIG!F2137)</f>
        <v/>
      </c>
      <c r="G2137" s="3">
        <f>IF(ORIG!G2137=0,"",ORIG!G2137)</f>
        <v/>
      </c>
      <c r="H2137" s="3">
        <f>IF(ORIG!H2137=0,"",ORIG!H2137)</f>
        <v/>
      </c>
      <c r="I2137" s="3">
        <f>IF(ORIG!I2137=0,"",ORIG!I2137)</f>
        <v/>
      </c>
      <c r="J2137" s="3">
        <f>IF(ORIG!J2137=0,"",ORIG!J2137)</f>
        <v/>
      </c>
      <c r="K2137" s="3">
        <f>IF(ORIG!K2137=0,"",ORIG!K2137)</f>
        <v/>
      </c>
      <c r="L2137" s="3">
        <f>IF(ORIG!L2137=0,"",ORIG!L2137)</f>
        <v/>
      </c>
      <c r="M2137" s="3">
        <f>IF(ORIG!M2137=0,"",ORIG!M2137)</f>
        <v/>
      </c>
      <c r="N2137" s="3">
        <f>IF(ORIG!N2137=0,"",ORIG!N2137)</f>
        <v/>
      </c>
      <c r="O2137" s="3">
        <f>IF(ORIG!O2137=0,"",ORIG!O2137)</f>
        <v/>
      </c>
      <c r="P2137" s="3">
        <f>IF(ORIG!P2137=0,"",ORIG!P2137)</f>
        <v/>
      </c>
      <c r="Q2137" s="3">
        <f>IF(ORIG!Q2137=0,"",ORIG!Q2137)</f>
        <v/>
      </c>
      <c r="R2137" s="3">
        <f>IF(ORIG!R2137=0,"",ORIG!R2137)</f>
        <v/>
      </c>
      <c r="S2137" s="3">
        <f>IF(ORIG!S2137=0,"",ORIG!S2137)</f>
        <v/>
      </c>
      <c r="T2137" s="3">
        <f>IF(ORIG!T2137=0,"",ORIG!T2137)</f>
        <v/>
      </c>
      <c r="U2137" s="3">
        <f>IF(ORIG!U2137=0,"",ORIG!U2137)</f>
        <v/>
      </c>
      <c r="V2137" s="9">
        <f>IF(ORIG!V2137=0,"",ORIG!V2137)</f>
        <v/>
      </c>
      <c r="W2137" s="9">
        <f>IF(ORIG!W2137=0,"",ORIG!W2137)</f>
        <v/>
      </c>
      <c r="X2137" s="9">
        <f>IF(ORIG!X2137=0,"",ORIG!X2137)</f>
        <v/>
      </c>
      <c r="Y2137" s="9">
        <f>IF(ORIG!Y2137=0,"",ORIG!Y2137)</f>
        <v/>
      </c>
      <c r="Z2137" s="3">
        <f>SUMPRODUCT($B2137:$Y2137,$B$2649:$Y$2649)</f>
        <v/>
      </c>
      <c r="AA2137" s="3">
        <f>SUMPRODUCT($B2137:$Y2137,$B$2655:$Y$2655)</f>
        <v/>
      </c>
      <c r="AC2137" s="1">
        <f>A2137</f>
        <v/>
      </c>
      <c r="AD2137">
        <f>IF(ISNUMBER(V2137),V2137*($AB$1/V$2635),"")</f>
        <v/>
      </c>
      <c r="AE2137">
        <f>IF(ISNUMBER(Z2137),Z2137*($AB$1/Z$2635),"")</f>
        <v/>
      </c>
      <c r="AF2137" s="25">
        <f>IF(ISNUMBER(AD2137+AE2137),AD2137+AE2137,"")</f>
        <v/>
      </c>
      <c r="AH2137" s="1">
        <f>A2137</f>
        <v/>
      </c>
      <c r="AI2137">
        <f>IF(ISNUMBER((1+V2137)*AI2136),(1+V2137)*AI2136,AI2136)</f>
        <v/>
      </c>
      <c r="AJ2137">
        <f>IF(ISNUMBER((1+Z2137)*AJ2136),(1+Z2137)*AJ2136,AJ2136)</f>
        <v/>
      </c>
    </row>
    <row r="2138">
      <c r="A2138" s="1" t="n">
        <v>45105</v>
      </c>
      <c r="B2138" s="3">
        <f>IF(ORIG!B2138=0,"",ORIG!B2138)</f>
        <v/>
      </c>
      <c r="C2138" s="3">
        <f>IF(ORIG!C2138=0,"",ORIG!C2138)</f>
        <v/>
      </c>
      <c r="D2138" s="3">
        <f>IF(ORIG!D2138=0,"",ORIG!D2138)</f>
        <v/>
      </c>
      <c r="E2138" s="3">
        <f>IF(ORIG!E2138=0,"",ORIG!E2138)</f>
        <v/>
      </c>
      <c r="F2138" s="3">
        <f>IF(ORIG!F2138=0,"",ORIG!F2138)</f>
        <v/>
      </c>
      <c r="G2138" s="3">
        <f>IF(ORIG!G2138=0,"",ORIG!G2138)</f>
        <v/>
      </c>
      <c r="H2138" s="3">
        <f>IF(ORIG!H2138=0,"",ORIG!H2138)</f>
        <v/>
      </c>
      <c r="I2138" s="3">
        <f>IF(ORIG!I2138=0,"",ORIG!I2138)</f>
        <v/>
      </c>
      <c r="J2138" s="3">
        <f>IF(ORIG!J2138=0,"",ORIG!J2138)</f>
        <v/>
      </c>
      <c r="K2138" s="3">
        <f>IF(ORIG!K2138=0,"",ORIG!K2138)</f>
        <v/>
      </c>
      <c r="L2138" s="3">
        <f>IF(ORIG!L2138=0,"",ORIG!L2138)</f>
        <v/>
      </c>
      <c r="M2138" s="3">
        <f>IF(ORIG!M2138=0,"",ORIG!M2138)</f>
        <v/>
      </c>
      <c r="N2138" s="3">
        <f>IF(ORIG!N2138=0,"",ORIG!N2138)</f>
        <v/>
      </c>
      <c r="O2138" s="3">
        <f>IF(ORIG!O2138=0,"",ORIG!O2138)</f>
        <v/>
      </c>
      <c r="P2138" s="3">
        <f>IF(ORIG!P2138=0,"",ORIG!P2138)</f>
        <v/>
      </c>
      <c r="Q2138" s="3">
        <f>IF(ORIG!Q2138=0,"",ORIG!Q2138)</f>
        <v/>
      </c>
      <c r="R2138" s="3">
        <f>IF(ORIG!R2138=0,"",ORIG!R2138)</f>
        <v/>
      </c>
      <c r="S2138" s="3">
        <f>IF(ORIG!S2138=0,"",ORIG!S2138)</f>
        <v/>
      </c>
      <c r="T2138" s="3">
        <f>IF(ORIG!T2138=0,"",ORIG!T2138)</f>
        <v/>
      </c>
      <c r="U2138" s="3">
        <f>IF(ORIG!U2138=0,"",ORIG!U2138)</f>
        <v/>
      </c>
      <c r="V2138" s="9">
        <f>IF(ORIG!V2138=0,"",ORIG!V2138)</f>
        <v/>
      </c>
      <c r="W2138" s="9">
        <f>IF(ORIG!W2138=0,"",ORIG!W2138)</f>
        <v/>
      </c>
      <c r="X2138" s="9">
        <f>IF(ORIG!X2138=0,"",ORIG!X2138)</f>
        <v/>
      </c>
      <c r="Y2138" s="9">
        <f>IF(ORIG!Y2138=0,"",ORIG!Y2138)</f>
        <v/>
      </c>
      <c r="Z2138" s="3">
        <f>SUMPRODUCT($B2138:$Y2138,$B$2649:$Y$2649)</f>
        <v/>
      </c>
      <c r="AA2138" s="3">
        <f>SUMPRODUCT($B2138:$Y2138,$B$2655:$Y$2655)</f>
        <v/>
      </c>
      <c r="AC2138" s="1">
        <f>A2138</f>
        <v/>
      </c>
      <c r="AD2138">
        <f>IF(ISNUMBER(V2138),V2138*($AB$1/V$2635),"")</f>
        <v/>
      </c>
      <c r="AE2138">
        <f>IF(ISNUMBER(Z2138),Z2138*($AB$1/Z$2635),"")</f>
        <v/>
      </c>
      <c r="AF2138" s="25">
        <f>IF(ISNUMBER(AD2138+AE2138),AD2138+AE2138,"")</f>
        <v/>
      </c>
      <c r="AH2138" s="1">
        <f>A2138</f>
        <v/>
      </c>
      <c r="AI2138">
        <f>IF(ISNUMBER((1+V2138)*AI2137),(1+V2138)*AI2137,AI2137)</f>
        <v/>
      </c>
      <c r="AJ2138">
        <f>IF(ISNUMBER((1+Z2138)*AJ2137),(1+Z2138)*AJ2137,AJ2137)</f>
        <v/>
      </c>
    </row>
    <row r="2139">
      <c r="A2139" s="1" t="n">
        <v>45106</v>
      </c>
      <c r="B2139" s="3">
        <f>IF(ORIG!B2139=0,"",ORIG!B2139)</f>
        <v/>
      </c>
      <c r="C2139" s="3">
        <f>IF(ORIG!C2139=0,"",ORIG!C2139)</f>
        <v/>
      </c>
      <c r="D2139" s="3">
        <f>IF(ORIG!D2139=0,"",ORIG!D2139)</f>
        <v/>
      </c>
      <c r="E2139" s="3">
        <f>IF(ORIG!E2139=0,"",ORIG!E2139)</f>
        <v/>
      </c>
      <c r="F2139" s="3">
        <f>IF(ORIG!F2139=0,"",ORIG!F2139)</f>
        <v/>
      </c>
      <c r="G2139" s="3">
        <f>IF(ORIG!G2139=0,"",ORIG!G2139)</f>
        <v/>
      </c>
      <c r="H2139" s="3">
        <f>IF(ORIG!H2139=0,"",ORIG!H2139)</f>
        <v/>
      </c>
      <c r="I2139" s="3">
        <f>IF(ORIG!I2139=0,"",ORIG!I2139)</f>
        <v/>
      </c>
      <c r="J2139" s="3">
        <f>IF(ORIG!J2139=0,"",ORIG!J2139)</f>
        <v/>
      </c>
      <c r="K2139" s="3">
        <f>IF(ORIG!K2139=0,"",ORIG!K2139)</f>
        <v/>
      </c>
      <c r="L2139" s="3">
        <f>IF(ORIG!L2139=0,"",ORIG!L2139)</f>
        <v/>
      </c>
      <c r="M2139" s="3">
        <f>IF(ORIG!M2139=0,"",ORIG!M2139)</f>
        <v/>
      </c>
      <c r="N2139" s="3">
        <f>IF(ORIG!N2139=0,"",ORIG!N2139)</f>
        <v/>
      </c>
      <c r="O2139" s="3">
        <f>IF(ORIG!O2139=0,"",ORIG!O2139)</f>
        <v/>
      </c>
      <c r="P2139" s="3">
        <f>IF(ORIG!P2139=0,"",ORIG!P2139)</f>
        <v/>
      </c>
      <c r="Q2139" s="3">
        <f>IF(ORIG!Q2139=0,"",ORIG!Q2139)</f>
        <v/>
      </c>
      <c r="R2139" s="3">
        <f>IF(ORIG!R2139=0,"",ORIG!R2139)</f>
        <v/>
      </c>
      <c r="S2139" s="3">
        <f>IF(ORIG!S2139=0,"",ORIG!S2139)</f>
        <v/>
      </c>
      <c r="T2139" s="3">
        <f>IF(ORIG!T2139=0,"",ORIG!T2139)</f>
        <v/>
      </c>
      <c r="U2139" s="3">
        <f>IF(ORIG!U2139=0,"",ORIG!U2139)</f>
        <v/>
      </c>
      <c r="V2139" s="9">
        <f>IF(ORIG!V2139=0,"",ORIG!V2139)</f>
        <v/>
      </c>
      <c r="W2139" s="9">
        <f>IF(ORIG!W2139=0,"",ORIG!W2139)</f>
        <v/>
      </c>
      <c r="X2139" s="9">
        <f>IF(ORIG!X2139=0,"",ORIG!X2139)</f>
        <v/>
      </c>
      <c r="Y2139" s="9">
        <f>IF(ORIG!Y2139=0,"",ORIG!Y2139)</f>
        <v/>
      </c>
      <c r="Z2139" s="3">
        <f>SUMPRODUCT($B2139:$Y2139,$B$2649:$Y$2649)</f>
        <v/>
      </c>
      <c r="AA2139" s="3">
        <f>SUMPRODUCT($B2139:$Y2139,$B$2655:$Y$2655)</f>
        <v/>
      </c>
      <c r="AC2139" s="1">
        <f>A2139</f>
        <v/>
      </c>
      <c r="AD2139">
        <f>IF(ISNUMBER(V2139),V2139*($AB$1/V$2635),"")</f>
        <v/>
      </c>
      <c r="AE2139">
        <f>IF(ISNUMBER(Z2139),Z2139*($AB$1/Z$2635),"")</f>
        <v/>
      </c>
      <c r="AF2139" s="25">
        <f>IF(ISNUMBER(AD2139+AE2139),AD2139+AE2139,"")</f>
        <v/>
      </c>
      <c r="AH2139" s="1">
        <f>A2139</f>
        <v/>
      </c>
      <c r="AI2139">
        <f>IF(ISNUMBER((1+V2139)*AI2138),(1+V2139)*AI2138,AI2138)</f>
        <v/>
      </c>
      <c r="AJ2139">
        <f>IF(ISNUMBER((1+Z2139)*AJ2138),(1+Z2139)*AJ2138,AJ2138)</f>
        <v/>
      </c>
    </row>
    <row r="2140">
      <c r="A2140" s="1" t="n">
        <v>45107</v>
      </c>
      <c r="B2140" s="3">
        <f>IF(ORIG!B2140=0,"",ORIG!B2140)</f>
        <v/>
      </c>
      <c r="C2140" s="3">
        <f>IF(ORIG!C2140=0,"",ORIG!C2140)</f>
        <v/>
      </c>
      <c r="D2140" s="3">
        <f>IF(ORIG!D2140=0,"",ORIG!D2140)</f>
        <v/>
      </c>
      <c r="E2140" s="3">
        <f>IF(ORIG!E2140=0,"",ORIG!E2140)</f>
        <v/>
      </c>
      <c r="F2140" s="3">
        <f>IF(ORIG!F2140=0,"",ORIG!F2140)</f>
        <v/>
      </c>
      <c r="G2140" s="3">
        <f>IF(ORIG!G2140=0,"",ORIG!G2140)</f>
        <v/>
      </c>
      <c r="H2140" s="3">
        <f>IF(ORIG!H2140=0,"",ORIG!H2140)</f>
        <v/>
      </c>
      <c r="I2140" s="3">
        <f>IF(ORIG!I2140=0,"",ORIG!I2140)</f>
        <v/>
      </c>
      <c r="J2140" s="3">
        <f>IF(ORIG!J2140=0,"",ORIG!J2140)</f>
        <v/>
      </c>
      <c r="K2140" s="3">
        <f>IF(ORIG!K2140=0,"",ORIG!K2140)</f>
        <v/>
      </c>
      <c r="L2140" s="3">
        <f>IF(ORIG!L2140=0,"",ORIG!L2140)</f>
        <v/>
      </c>
      <c r="M2140" s="3">
        <f>IF(ORIG!M2140=0,"",ORIG!M2140)</f>
        <v/>
      </c>
      <c r="N2140" s="3">
        <f>IF(ORIG!N2140=0,"",ORIG!N2140)</f>
        <v/>
      </c>
      <c r="O2140" s="3">
        <f>IF(ORIG!O2140=0,"",ORIG!O2140)</f>
        <v/>
      </c>
      <c r="P2140" s="3">
        <f>IF(ORIG!P2140=0,"",ORIG!P2140)</f>
        <v/>
      </c>
      <c r="Q2140" s="3">
        <f>IF(ORIG!Q2140=0,"",ORIG!Q2140)</f>
        <v/>
      </c>
      <c r="R2140" s="3">
        <f>IF(ORIG!R2140=0,"",ORIG!R2140)</f>
        <v/>
      </c>
      <c r="S2140" s="3">
        <f>IF(ORIG!S2140=0,"",ORIG!S2140)</f>
        <v/>
      </c>
      <c r="T2140" s="3">
        <f>IF(ORIG!T2140=0,"",ORIG!T2140)</f>
        <v/>
      </c>
      <c r="U2140" s="3">
        <f>IF(ORIG!U2140=0,"",ORIG!U2140)</f>
        <v/>
      </c>
      <c r="V2140" s="9">
        <f>IF(ORIG!V2140=0,"",ORIG!V2140)</f>
        <v/>
      </c>
      <c r="W2140" s="9">
        <f>IF(ORIG!W2140=0,"",ORIG!W2140)</f>
        <v/>
      </c>
      <c r="X2140" s="9">
        <f>IF(ORIG!X2140=0,"",ORIG!X2140)</f>
        <v/>
      </c>
      <c r="Y2140" s="9">
        <f>IF(ORIG!Y2140=0,"",ORIG!Y2140)</f>
        <v/>
      </c>
      <c r="Z2140" s="3">
        <f>SUMPRODUCT($B2140:$Y2140,$B$2649:$Y$2649)</f>
        <v/>
      </c>
      <c r="AA2140" s="3">
        <f>SUMPRODUCT($B2140:$Y2140,$B$2655:$Y$2655)</f>
        <v/>
      </c>
      <c r="AC2140" s="1">
        <f>A2140</f>
        <v/>
      </c>
      <c r="AD2140">
        <f>IF(ISNUMBER(V2140),V2140*($AB$1/V$2635),"")</f>
        <v/>
      </c>
      <c r="AE2140">
        <f>IF(ISNUMBER(Z2140),Z2140*($AB$1/Z$2635),"")</f>
        <v/>
      </c>
      <c r="AF2140" s="25">
        <f>IF(ISNUMBER(AD2140+AE2140),AD2140+AE2140,"")</f>
        <v/>
      </c>
      <c r="AH2140" s="1">
        <f>A2140</f>
        <v/>
      </c>
      <c r="AI2140">
        <f>IF(ISNUMBER((1+V2140)*AI2139),(1+V2140)*AI2139,AI2139)</f>
        <v/>
      </c>
      <c r="AJ2140">
        <f>IF(ISNUMBER((1+Z2140)*AJ2139),(1+Z2140)*AJ2139,AJ2139)</f>
        <v/>
      </c>
    </row>
    <row r="2141">
      <c r="A2141" s="1" t="n">
        <v>45110</v>
      </c>
      <c r="B2141" s="3">
        <f>IF(ORIG!B2141=0,"",ORIG!B2141)</f>
        <v/>
      </c>
      <c r="C2141" s="3">
        <f>IF(ORIG!C2141=0,"",ORIG!C2141)</f>
        <v/>
      </c>
      <c r="D2141" s="3">
        <f>IF(ORIG!D2141=0,"",ORIG!D2141)</f>
        <v/>
      </c>
      <c r="E2141" s="3">
        <f>IF(ORIG!E2141=0,"",ORIG!E2141)</f>
        <v/>
      </c>
      <c r="F2141" s="3">
        <f>IF(ORIG!F2141=0,"",ORIG!F2141)</f>
        <v/>
      </c>
      <c r="G2141" s="3">
        <f>IF(ORIG!G2141=0,"",ORIG!G2141)</f>
        <v/>
      </c>
      <c r="H2141" s="3">
        <f>IF(ORIG!H2141=0,"",ORIG!H2141)</f>
        <v/>
      </c>
      <c r="I2141" s="3">
        <f>IF(ORIG!I2141=0,"",ORIG!I2141)</f>
        <v/>
      </c>
      <c r="J2141" s="3">
        <f>IF(ORIG!J2141=0,"",ORIG!J2141)</f>
        <v/>
      </c>
      <c r="K2141" s="3">
        <f>IF(ORIG!K2141=0,"",ORIG!K2141)</f>
        <v/>
      </c>
      <c r="L2141" s="3">
        <f>IF(ORIG!L2141=0,"",ORIG!L2141)</f>
        <v/>
      </c>
      <c r="M2141" s="3">
        <f>IF(ORIG!M2141=0,"",ORIG!M2141)</f>
        <v/>
      </c>
      <c r="N2141" s="3">
        <f>IF(ORIG!N2141=0,"",ORIG!N2141)</f>
        <v/>
      </c>
      <c r="O2141" s="3">
        <f>IF(ORIG!O2141=0,"",ORIG!O2141)</f>
        <v/>
      </c>
      <c r="P2141" s="3">
        <f>IF(ORIG!P2141=0,"",ORIG!P2141)</f>
        <v/>
      </c>
      <c r="Q2141" s="3">
        <f>IF(ORIG!Q2141=0,"",ORIG!Q2141)</f>
        <v/>
      </c>
      <c r="R2141" s="3">
        <f>IF(ORIG!R2141=0,"",ORIG!R2141)</f>
        <v/>
      </c>
      <c r="S2141" s="3">
        <f>IF(ORIG!S2141=0,"",ORIG!S2141)</f>
        <v/>
      </c>
      <c r="T2141" s="3">
        <f>IF(ORIG!T2141=0,"",ORIG!T2141)</f>
        <v/>
      </c>
      <c r="U2141" s="3">
        <f>IF(ORIG!U2141=0,"",ORIG!U2141)</f>
        <v/>
      </c>
      <c r="V2141" s="9">
        <f>IF(ORIG!V2141=0,"",ORIG!V2141)</f>
        <v/>
      </c>
      <c r="W2141" s="9">
        <f>IF(ORIG!W2141=0,"",ORIG!W2141)</f>
        <v/>
      </c>
      <c r="X2141" s="9">
        <f>IF(ORIG!X2141=0,"",ORIG!X2141)</f>
        <v/>
      </c>
      <c r="Y2141" s="9">
        <f>IF(ORIG!Y2141=0,"",ORIG!Y2141)</f>
        <v/>
      </c>
      <c r="Z2141" s="3">
        <f>SUMPRODUCT($B2141:$Y2141,$B$2649:$Y$2649)</f>
        <v/>
      </c>
      <c r="AA2141" s="3">
        <f>SUMPRODUCT($B2141:$Y2141,$B$2655:$Y$2655)</f>
        <v/>
      </c>
      <c r="AC2141" s="1">
        <f>A2141</f>
        <v/>
      </c>
      <c r="AD2141">
        <f>IF(ISNUMBER(V2141),V2141*($AB$1/V$2635),"")</f>
        <v/>
      </c>
      <c r="AE2141">
        <f>IF(ISNUMBER(Z2141),Z2141*($AB$1/Z$2635),"")</f>
        <v/>
      </c>
      <c r="AF2141" s="25">
        <f>IF(ISNUMBER(AD2141+AE2141),AD2141+AE2141,"")</f>
        <v/>
      </c>
      <c r="AH2141" s="1">
        <f>A2141</f>
        <v/>
      </c>
      <c r="AI2141">
        <f>IF(ISNUMBER((1+V2141)*AI2140),(1+V2141)*AI2140,AI2140)</f>
        <v/>
      </c>
      <c r="AJ2141">
        <f>IF(ISNUMBER((1+Z2141)*AJ2140),(1+Z2141)*AJ2140,AJ2140)</f>
        <v/>
      </c>
    </row>
    <row r="2142">
      <c r="A2142" s="1" t="n">
        <v>45112</v>
      </c>
      <c r="B2142" s="3">
        <f>IF(ORIG!B2142=0,"",ORIG!B2142)</f>
        <v/>
      </c>
      <c r="C2142" s="3">
        <f>IF(ORIG!C2142=0,"",ORIG!C2142)</f>
        <v/>
      </c>
      <c r="D2142" s="3">
        <f>IF(ORIG!D2142=0,"",ORIG!D2142)</f>
        <v/>
      </c>
      <c r="E2142" s="3">
        <f>IF(ORIG!E2142=0,"",ORIG!E2142)</f>
        <v/>
      </c>
      <c r="F2142" s="3">
        <f>IF(ORIG!F2142=0,"",ORIG!F2142)</f>
        <v/>
      </c>
      <c r="G2142" s="3">
        <f>IF(ORIG!G2142=0,"",ORIG!G2142)</f>
        <v/>
      </c>
      <c r="H2142" s="3">
        <f>IF(ORIG!H2142=0,"",ORIG!H2142)</f>
        <v/>
      </c>
      <c r="I2142" s="3">
        <f>IF(ORIG!I2142=0,"",ORIG!I2142)</f>
        <v/>
      </c>
      <c r="J2142" s="3">
        <f>IF(ORIG!J2142=0,"",ORIG!J2142)</f>
        <v/>
      </c>
      <c r="K2142" s="3">
        <f>IF(ORIG!K2142=0,"",ORIG!K2142)</f>
        <v/>
      </c>
      <c r="L2142" s="3">
        <f>IF(ORIG!L2142=0,"",ORIG!L2142)</f>
        <v/>
      </c>
      <c r="M2142" s="3">
        <f>IF(ORIG!M2142=0,"",ORIG!M2142)</f>
        <v/>
      </c>
      <c r="N2142" s="3">
        <f>IF(ORIG!N2142=0,"",ORIG!N2142)</f>
        <v/>
      </c>
      <c r="O2142" s="3">
        <f>IF(ORIG!O2142=0,"",ORIG!O2142)</f>
        <v/>
      </c>
      <c r="P2142" s="3">
        <f>IF(ORIG!P2142=0,"",ORIG!P2142)</f>
        <v/>
      </c>
      <c r="Q2142" s="3">
        <f>IF(ORIG!Q2142=0,"",ORIG!Q2142)</f>
        <v/>
      </c>
      <c r="R2142" s="3">
        <f>IF(ORIG!R2142=0,"",ORIG!R2142)</f>
        <v/>
      </c>
      <c r="S2142" s="3">
        <f>IF(ORIG!S2142=0,"",ORIG!S2142)</f>
        <v/>
      </c>
      <c r="T2142" s="3">
        <f>IF(ORIG!T2142=0,"",ORIG!T2142)</f>
        <v/>
      </c>
      <c r="U2142" s="3">
        <f>IF(ORIG!U2142=0,"",ORIG!U2142)</f>
        <v/>
      </c>
      <c r="V2142" s="9">
        <f>IF(ORIG!V2142=0,"",ORIG!V2142)</f>
        <v/>
      </c>
      <c r="W2142" s="9">
        <f>IF(ORIG!W2142=0,"",ORIG!W2142)</f>
        <v/>
      </c>
      <c r="X2142" s="9">
        <f>IF(ORIG!X2142=0,"",ORIG!X2142)</f>
        <v/>
      </c>
      <c r="Y2142" s="9">
        <f>IF(ORIG!Y2142=0,"",ORIG!Y2142)</f>
        <v/>
      </c>
      <c r="Z2142" s="3">
        <f>SUMPRODUCT($B2142:$Y2142,$B$2649:$Y$2649)</f>
        <v/>
      </c>
      <c r="AA2142" s="3">
        <f>SUMPRODUCT($B2142:$Y2142,$B$2655:$Y$2655)</f>
        <v/>
      </c>
      <c r="AC2142" s="1">
        <f>A2142</f>
        <v/>
      </c>
      <c r="AD2142">
        <f>IF(ISNUMBER(V2142),V2142*($AB$1/V$2635),"")</f>
        <v/>
      </c>
      <c r="AE2142">
        <f>IF(ISNUMBER(Z2142),Z2142*($AB$1/Z$2635),"")</f>
        <v/>
      </c>
      <c r="AF2142" s="25">
        <f>IF(ISNUMBER(AD2142+AE2142),AD2142+AE2142,"")</f>
        <v/>
      </c>
      <c r="AH2142" s="1">
        <f>A2142</f>
        <v/>
      </c>
      <c r="AI2142">
        <f>IF(ISNUMBER((1+V2142)*AI2141),(1+V2142)*AI2141,AI2141)</f>
        <v/>
      </c>
      <c r="AJ2142">
        <f>IF(ISNUMBER((1+Z2142)*AJ2141),(1+Z2142)*AJ2141,AJ2141)</f>
        <v/>
      </c>
    </row>
    <row r="2143">
      <c r="A2143" s="1" t="n">
        <v>45113</v>
      </c>
      <c r="B2143" s="3">
        <f>IF(ORIG!B2143=0,"",ORIG!B2143)</f>
        <v/>
      </c>
      <c r="C2143" s="3">
        <f>IF(ORIG!C2143=0,"",ORIG!C2143)</f>
        <v/>
      </c>
      <c r="D2143" s="3">
        <f>IF(ORIG!D2143=0,"",ORIG!D2143)</f>
        <v/>
      </c>
      <c r="E2143" s="3">
        <f>IF(ORIG!E2143=0,"",ORIG!E2143)</f>
        <v/>
      </c>
      <c r="F2143" s="3">
        <f>IF(ORIG!F2143=0,"",ORIG!F2143)</f>
        <v/>
      </c>
      <c r="G2143" s="3">
        <f>IF(ORIG!G2143=0,"",ORIG!G2143)</f>
        <v/>
      </c>
      <c r="H2143" s="3">
        <f>IF(ORIG!H2143=0,"",ORIG!H2143)</f>
        <v/>
      </c>
      <c r="I2143" s="3">
        <f>IF(ORIG!I2143=0,"",ORIG!I2143)</f>
        <v/>
      </c>
      <c r="J2143" s="3">
        <f>IF(ORIG!J2143=0,"",ORIG!J2143)</f>
        <v/>
      </c>
      <c r="K2143" s="3">
        <f>IF(ORIG!K2143=0,"",ORIG!K2143)</f>
        <v/>
      </c>
      <c r="L2143" s="3">
        <f>IF(ORIG!L2143=0,"",ORIG!L2143)</f>
        <v/>
      </c>
      <c r="M2143" s="3">
        <f>IF(ORIG!M2143=0,"",ORIG!M2143)</f>
        <v/>
      </c>
      <c r="N2143" s="3">
        <f>IF(ORIG!N2143=0,"",ORIG!N2143)</f>
        <v/>
      </c>
      <c r="O2143" s="3">
        <f>IF(ORIG!O2143=0,"",ORIG!O2143)</f>
        <v/>
      </c>
      <c r="P2143" s="3">
        <f>IF(ORIG!P2143=0,"",ORIG!P2143)</f>
        <v/>
      </c>
      <c r="Q2143" s="3">
        <f>IF(ORIG!Q2143=0,"",ORIG!Q2143)</f>
        <v/>
      </c>
      <c r="R2143" s="3">
        <f>IF(ORIG!R2143=0,"",ORIG!R2143)</f>
        <v/>
      </c>
      <c r="S2143" s="3">
        <f>IF(ORIG!S2143=0,"",ORIG!S2143)</f>
        <v/>
      </c>
      <c r="T2143" s="3">
        <f>IF(ORIG!T2143=0,"",ORIG!T2143)</f>
        <v/>
      </c>
      <c r="U2143" s="3">
        <f>IF(ORIG!U2143=0,"",ORIG!U2143)</f>
        <v/>
      </c>
      <c r="V2143" s="9">
        <f>IF(ORIG!V2143=0,"",ORIG!V2143)</f>
        <v/>
      </c>
      <c r="W2143" s="9">
        <f>IF(ORIG!W2143=0,"",ORIG!W2143)</f>
        <v/>
      </c>
      <c r="X2143" s="9">
        <f>IF(ORIG!X2143=0,"",ORIG!X2143)</f>
        <v/>
      </c>
      <c r="Y2143" s="9">
        <f>IF(ORIG!Y2143=0,"",ORIG!Y2143)</f>
        <v/>
      </c>
      <c r="Z2143" s="3">
        <f>SUMPRODUCT($B2143:$Y2143,$B$2649:$Y$2649)</f>
        <v/>
      </c>
      <c r="AA2143" s="3">
        <f>SUMPRODUCT($B2143:$Y2143,$B$2655:$Y$2655)</f>
        <v/>
      </c>
      <c r="AC2143" s="1">
        <f>A2143</f>
        <v/>
      </c>
      <c r="AD2143">
        <f>IF(ISNUMBER(V2143),V2143*($AB$1/V$2635),"")</f>
        <v/>
      </c>
      <c r="AE2143">
        <f>IF(ISNUMBER(Z2143),Z2143*($AB$1/Z$2635),"")</f>
        <v/>
      </c>
      <c r="AF2143" s="25">
        <f>IF(ISNUMBER(AD2143+AE2143),AD2143+AE2143,"")</f>
        <v/>
      </c>
      <c r="AH2143" s="1">
        <f>A2143</f>
        <v/>
      </c>
      <c r="AI2143">
        <f>IF(ISNUMBER((1+V2143)*AI2142),(1+V2143)*AI2142,AI2142)</f>
        <v/>
      </c>
      <c r="AJ2143">
        <f>IF(ISNUMBER((1+Z2143)*AJ2142),(1+Z2143)*AJ2142,AJ2142)</f>
        <v/>
      </c>
    </row>
    <row r="2144">
      <c r="A2144" s="1" t="n">
        <v>45114</v>
      </c>
      <c r="B2144" s="3">
        <f>IF(ORIG!B2144=0,"",ORIG!B2144)</f>
        <v/>
      </c>
      <c r="C2144" s="3">
        <f>IF(ORIG!C2144=0,"",ORIG!C2144)</f>
        <v/>
      </c>
      <c r="D2144" s="3">
        <f>IF(ORIG!D2144=0,"",ORIG!D2144)</f>
        <v/>
      </c>
      <c r="E2144" s="3">
        <f>IF(ORIG!E2144=0,"",ORIG!E2144)</f>
        <v/>
      </c>
      <c r="F2144" s="3">
        <f>IF(ORIG!F2144=0,"",ORIG!F2144)</f>
        <v/>
      </c>
      <c r="G2144" s="3">
        <f>IF(ORIG!G2144=0,"",ORIG!G2144)</f>
        <v/>
      </c>
      <c r="H2144" s="3">
        <f>IF(ORIG!H2144=0,"",ORIG!H2144)</f>
        <v/>
      </c>
      <c r="I2144" s="3">
        <f>IF(ORIG!I2144=0,"",ORIG!I2144)</f>
        <v/>
      </c>
      <c r="J2144" s="3">
        <f>IF(ORIG!J2144=0,"",ORIG!J2144)</f>
        <v/>
      </c>
      <c r="K2144" s="3">
        <f>IF(ORIG!K2144=0,"",ORIG!K2144)</f>
        <v/>
      </c>
      <c r="L2144" s="3">
        <f>IF(ORIG!L2144=0,"",ORIG!L2144)</f>
        <v/>
      </c>
      <c r="M2144" s="3">
        <f>IF(ORIG!M2144=0,"",ORIG!M2144)</f>
        <v/>
      </c>
      <c r="N2144" s="3">
        <f>IF(ORIG!N2144=0,"",ORIG!N2144)</f>
        <v/>
      </c>
      <c r="O2144" s="3">
        <f>IF(ORIG!O2144=0,"",ORIG!O2144)</f>
        <v/>
      </c>
      <c r="P2144" s="3">
        <f>IF(ORIG!P2144=0,"",ORIG!P2144)</f>
        <v/>
      </c>
      <c r="Q2144" s="3">
        <f>IF(ORIG!Q2144=0,"",ORIG!Q2144)</f>
        <v/>
      </c>
      <c r="R2144" s="3">
        <f>IF(ORIG!R2144=0,"",ORIG!R2144)</f>
        <v/>
      </c>
      <c r="S2144" s="3">
        <f>IF(ORIG!S2144=0,"",ORIG!S2144)</f>
        <v/>
      </c>
      <c r="T2144" s="3">
        <f>IF(ORIG!T2144=0,"",ORIG!T2144)</f>
        <v/>
      </c>
      <c r="U2144" s="3">
        <f>IF(ORIG!U2144=0,"",ORIG!U2144)</f>
        <v/>
      </c>
      <c r="V2144" s="9">
        <f>IF(ORIG!V2144=0,"",ORIG!V2144)</f>
        <v/>
      </c>
      <c r="W2144" s="9">
        <f>IF(ORIG!W2144=0,"",ORIG!W2144)</f>
        <v/>
      </c>
      <c r="X2144" s="9">
        <f>IF(ORIG!X2144=0,"",ORIG!X2144)</f>
        <v/>
      </c>
      <c r="Y2144" s="9">
        <f>IF(ORIG!Y2144=0,"",ORIG!Y2144)</f>
        <v/>
      </c>
      <c r="Z2144" s="3">
        <f>SUMPRODUCT($B2144:$Y2144,$B$2649:$Y$2649)</f>
        <v/>
      </c>
      <c r="AA2144" s="3">
        <f>SUMPRODUCT($B2144:$Y2144,$B$2655:$Y$2655)</f>
        <v/>
      </c>
      <c r="AC2144" s="1">
        <f>A2144</f>
        <v/>
      </c>
      <c r="AD2144">
        <f>IF(ISNUMBER(V2144),V2144*($AB$1/V$2635),"")</f>
        <v/>
      </c>
      <c r="AE2144">
        <f>IF(ISNUMBER(Z2144),Z2144*($AB$1/Z$2635),"")</f>
        <v/>
      </c>
      <c r="AF2144" s="25">
        <f>IF(ISNUMBER(AD2144+AE2144),AD2144+AE2144,"")</f>
        <v/>
      </c>
      <c r="AH2144" s="1">
        <f>A2144</f>
        <v/>
      </c>
      <c r="AI2144">
        <f>IF(ISNUMBER((1+V2144)*AI2143),(1+V2144)*AI2143,AI2143)</f>
        <v/>
      </c>
      <c r="AJ2144">
        <f>IF(ISNUMBER((1+Z2144)*AJ2143),(1+Z2144)*AJ2143,AJ2143)</f>
        <v/>
      </c>
    </row>
    <row r="2145">
      <c r="A2145" s="1" t="n">
        <v>45117</v>
      </c>
      <c r="B2145" s="3">
        <f>IF(ORIG!B2145=0,"",ORIG!B2145)</f>
        <v/>
      </c>
      <c r="C2145" s="3">
        <f>IF(ORIG!C2145=0,"",ORIG!C2145)</f>
        <v/>
      </c>
      <c r="D2145" s="3">
        <f>IF(ORIG!D2145=0,"",ORIG!D2145)</f>
        <v/>
      </c>
      <c r="E2145" s="3">
        <f>IF(ORIG!E2145=0,"",ORIG!E2145)</f>
        <v/>
      </c>
      <c r="F2145" s="3">
        <f>IF(ORIG!F2145=0,"",ORIG!F2145)</f>
        <v/>
      </c>
      <c r="G2145" s="3">
        <f>IF(ORIG!G2145=0,"",ORIG!G2145)</f>
        <v/>
      </c>
      <c r="H2145" s="3">
        <f>IF(ORIG!H2145=0,"",ORIG!H2145)</f>
        <v/>
      </c>
      <c r="I2145" s="3">
        <f>IF(ORIG!I2145=0,"",ORIG!I2145)</f>
        <v/>
      </c>
      <c r="J2145" s="3">
        <f>IF(ORIG!J2145=0,"",ORIG!J2145)</f>
        <v/>
      </c>
      <c r="K2145" s="3">
        <f>IF(ORIG!K2145=0,"",ORIG!K2145)</f>
        <v/>
      </c>
      <c r="L2145" s="3">
        <f>IF(ORIG!L2145=0,"",ORIG!L2145)</f>
        <v/>
      </c>
      <c r="M2145" s="3">
        <f>IF(ORIG!M2145=0,"",ORIG!M2145)</f>
        <v/>
      </c>
      <c r="N2145" s="3">
        <f>IF(ORIG!N2145=0,"",ORIG!N2145)</f>
        <v/>
      </c>
      <c r="O2145" s="3">
        <f>IF(ORIG!O2145=0,"",ORIG!O2145)</f>
        <v/>
      </c>
      <c r="P2145" s="3">
        <f>IF(ORIG!P2145=0,"",ORIG!P2145)</f>
        <v/>
      </c>
      <c r="Q2145" s="3">
        <f>IF(ORIG!Q2145=0,"",ORIG!Q2145)</f>
        <v/>
      </c>
      <c r="R2145" s="3">
        <f>IF(ORIG!R2145=0,"",ORIG!R2145)</f>
        <v/>
      </c>
      <c r="S2145" s="3">
        <f>IF(ORIG!S2145=0,"",ORIG!S2145)</f>
        <v/>
      </c>
      <c r="T2145" s="3">
        <f>IF(ORIG!T2145=0,"",ORIG!T2145)</f>
        <v/>
      </c>
      <c r="U2145" s="3">
        <f>IF(ORIG!U2145=0,"",ORIG!U2145)</f>
        <v/>
      </c>
      <c r="V2145" s="9">
        <f>IF(ORIG!V2145=0,"",ORIG!V2145)</f>
        <v/>
      </c>
      <c r="W2145" s="9">
        <f>IF(ORIG!W2145=0,"",ORIG!W2145)</f>
        <v/>
      </c>
      <c r="X2145" s="9">
        <f>IF(ORIG!X2145=0,"",ORIG!X2145)</f>
        <v/>
      </c>
      <c r="Y2145" s="9">
        <f>IF(ORIG!Y2145=0,"",ORIG!Y2145)</f>
        <v/>
      </c>
      <c r="Z2145" s="3">
        <f>SUMPRODUCT($B2145:$Y2145,$B$2649:$Y$2649)</f>
        <v/>
      </c>
      <c r="AA2145" s="3">
        <f>SUMPRODUCT($B2145:$Y2145,$B$2655:$Y$2655)</f>
        <v/>
      </c>
      <c r="AC2145" s="1">
        <f>A2145</f>
        <v/>
      </c>
      <c r="AD2145">
        <f>IF(ISNUMBER(V2145),V2145*($AB$1/V$2635),"")</f>
        <v/>
      </c>
      <c r="AE2145">
        <f>IF(ISNUMBER(Z2145),Z2145*($AB$1/Z$2635),"")</f>
        <v/>
      </c>
      <c r="AF2145" s="25">
        <f>IF(ISNUMBER(AD2145+AE2145),AD2145+AE2145,"")</f>
        <v/>
      </c>
      <c r="AH2145" s="1">
        <f>A2145</f>
        <v/>
      </c>
      <c r="AI2145">
        <f>IF(ISNUMBER((1+V2145)*AI2144),(1+V2145)*AI2144,AI2144)</f>
        <v/>
      </c>
      <c r="AJ2145">
        <f>IF(ISNUMBER((1+Z2145)*AJ2144),(1+Z2145)*AJ2144,AJ2144)</f>
        <v/>
      </c>
    </row>
    <row r="2146">
      <c r="A2146" s="1" t="n">
        <v>45118</v>
      </c>
      <c r="B2146" s="3">
        <f>IF(ORIG!B2146=0,"",ORIG!B2146)</f>
        <v/>
      </c>
      <c r="C2146" s="3">
        <f>IF(ORIG!C2146=0,"",ORIG!C2146)</f>
        <v/>
      </c>
      <c r="D2146" s="3">
        <f>IF(ORIG!D2146=0,"",ORIG!D2146)</f>
        <v/>
      </c>
      <c r="E2146" s="3">
        <f>IF(ORIG!E2146=0,"",ORIG!E2146)</f>
        <v/>
      </c>
      <c r="F2146" s="3">
        <f>IF(ORIG!F2146=0,"",ORIG!F2146)</f>
        <v/>
      </c>
      <c r="G2146" s="3">
        <f>IF(ORIG!G2146=0,"",ORIG!G2146)</f>
        <v/>
      </c>
      <c r="H2146" s="3">
        <f>IF(ORIG!H2146=0,"",ORIG!H2146)</f>
        <v/>
      </c>
      <c r="I2146" s="3">
        <f>IF(ORIG!I2146=0,"",ORIG!I2146)</f>
        <v/>
      </c>
      <c r="J2146" s="3">
        <f>IF(ORIG!J2146=0,"",ORIG!J2146)</f>
        <v/>
      </c>
      <c r="K2146" s="3">
        <f>IF(ORIG!K2146=0,"",ORIG!K2146)</f>
        <v/>
      </c>
      <c r="L2146" s="3">
        <f>IF(ORIG!L2146=0,"",ORIG!L2146)</f>
        <v/>
      </c>
      <c r="M2146" s="3">
        <f>IF(ORIG!M2146=0,"",ORIG!M2146)</f>
        <v/>
      </c>
      <c r="N2146" s="3">
        <f>IF(ORIG!N2146=0,"",ORIG!N2146)</f>
        <v/>
      </c>
      <c r="O2146" s="3">
        <f>IF(ORIG!O2146=0,"",ORIG!O2146)</f>
        <v/>
      </c>
      <c r="P2146" s="3">
        <f>IF(ORIG!P2146=0,"",ORIG!P2146)</f>
        <v/>
      </c>
      <c r="Q2146" s="3">
        <f>IF(ORIG!Q2146=0,"",ORIG!Q2146)</f>
        <v/>
      </c>
      <c r="R2146" s="3">
        <f>IF(ORIG!R2146=0,"",ORIG!R2146)</f>
        <v/>
      </c>
      <c r="S2146" s="3">
        <f>IF(ORIG!S2146=0,"",ORIG!S2146)</f>
        <v/>
      </c>
      <c r="T2146" s="3">
        <f>IF(ORIG!T2146=0,"",ORIG!T2146)</f>
        <v/>
      </c>
      <c r="U2146" s="3">
        <f>IF(ORIG!U2146=0,"",ORIG!U2146)</f>
        <v/>
      </c>
      <c r="V2146" s="9">
        <f>IF(ORIG!V2146=0,"",ORIG!V2146)</f>
        <v/>
      </c>
      <c r="W2146" s="9">
        <f>IF(ORIG!W2146=0,"",ORIG!W2146)</f>
        <v/>
      </c>
      <c r="X2146" s="9">
        <f>IF(ORIG!X2146=0,"",ORIG!X2146)</f>
        <v/>
      </c>
      <c r="Y2146" s="9">
        <f>IF(ORIG!Y2146=0,"",ORIG!Y2146)</f>
        <v/>
      </c>
      <c r="Z2146" s="3">
        <f>SUMPRODUCT($B2146:$Y2146,$B$2649:$Y$2649)</f>
        <v/>
      </c>
      <c r="AA2146" s="3">
        <f>SUMPRODUCT($B2146:$Y2146,$B$2655:$Y$2655)</f>
        <v/>
      </c>
      <c r="AC2146" s="1">
        <f>A2146</f>
        <v/>
      </c>
      <c r="AD2146">
        <f>IF(ISNUMBER(V2146),V2146*($AB$1/V$2635),"")</f>
        <v/>
      </c>
      <c r="AE2146">
        <f>IF(ISNUMBER(Z2146),Z2146*($AB$1/Z$2635),"")</f>
        <v/>
      </c>
      <c r="AF2146" s="25">
        <f>IF(ISNUMBER(AD2146+AE2146),AD2146+AE2146,"")</f>
        <v/>
      </c>
      <c r="AH2146" s="1">
        <f>A2146</f>
        <v/>
      </c>
      <c r="AI2146">
        <f>IF(ISNUMBER((1+V2146)*AI2145),(1+V2146)*AI2145,AI2145)</f>
        <v/>
      </c>
      <c r="AJ2146">
        <f>IF(ISNUMBER((1+Z2146)*AJ2145),(1+Z2146)*AJ2145,AJ2145)</f>
        <v/>
      </c>
    </row>
    <row r="2147">
      <c r="A2147" s="1" t="n">
        <v>45119</v>
      </c>
      <c r="B2147" s="3">
        <f>IF(ORIG!B2147=0,"",ORIG!B2147)</f>
        <v/>
      </c>
      <c r="C2147" s="3">
        <f>IF(ORIG!C2147=0,"",ORIG!C2147)</f>
        <v/>
      </c>
      <c r="D2147" s="3">
        <f>IF(ORIG!D2147=0,"",ORIG!D2147)</f>
        <v/>
      </c>
      <c r="E2147" s="3">
        <f>IF(ORIG!E2147=0,"",ORIG!E2147)</f>
        <v/>
      </c>
      <c r="F2147" s="3">
        <f>IF(ORIG!F2147=0,"",ORIG!F2147)</f>
        <v/>
      </c>
      <c r="G2147" s="3">
        <f>IF(ORIG!G2147=0,"",ORIG!G2147)</f>
        <v/>
      </c>
      <c r="H2147" s="3">
        <f>IF(ORIG!H2147=0,"",ORIG!H2147)</f>
        <v/>
      </c>
      <c r="I2147" s="3">
        <f>IF(ORIG!I2147=0,"",ORIG!I2147)</f>
        <v/>
      </c>
      <c r="J2147" s="3">
        <f>IF(ORIG!J2147=0,"",ORIG!J2147)</f>
        <v/>
      </c>
      <c r="K2147" s="3">
        <f>IF(ORIG!K2147=0,"",ORIG!K2147)</f>
        <v/>
      </c>
      <c r="L2147" s="3">
        <f>IF(ORIG!L2147=0,"",ORIG!L2147)</f>
        <v/>
      </c>
      <c r="M2147" s="3">
        <f>IF(ORIG!M2147=0,"",ORIG!M2147)</f>
        <v/>
      </c>
      <c r="N2147" s="3">
        <f>IF(ORIG!N2147=0,"",ORIG!N2147)</f>
        <v/>
      </c>
      <c r="O2147" s="3">
        <f>IF(ORIG!O2147=0,"",ORIG!O2147)</f>
        <v/>
      </c>
      <c r="P2147" s="3">
        <f>IF(ORIG!P2147=0,"",ORIG!P2147)</f>
        <v/>
      </c>
      <c r="Q2147" s="3">
        <f>IF(ORIG!Q2147=0,"",ORIG!Q2147)</f>
        <v/>
      </c>
      <c r="R2147" s="3">
        <f>IF(ORIG!R2147=0,"",ORIG!R2147)</f>
        <v/>
      </c>
      <c r="S2147" s="3">
        <f>IF(ORIG!S2147=0,"",ORIG!S2147)</f>
        <v/>
      </c>
      <c r="T2147" s="3">
        <f>IF(ORIG!T2147=0,"",ORIG!T2147)</f>
        <v/>
      </c>
      <c r="U2147" s="3">
        <f>IF(ORIG!U2147=0,"",ORIG!U2147)</f>
        <v/>
      </c>
      <c r="V2147" s="9">
        <f>IF(ORIG!V2147=0,"",ORIG!V2147)</f>
        <v/>
      </c>
      <c r="W2147" s="9">
        <f>IF(ORIG!W2147=0,"",ORIG!W2147)</f>
        <v/>
      </c>
      <c r="X2147" s="9">
        <f>IF(ORIG!X2147=0,"",ORIG!X2147)</f>
        <v/>
      </c>
      <c r="Y2147" s="9">
        <f>IF(ORIG!Y2147=0,"",ORIG!Y2147)</f>
        <v/>
      </c>
      <c r="Z2147" s="3">
        <f>SUMPRODUCT($B2147:$Y2147,$B$2649:$Y$2649)</f>
        <v/>
      </c>
      <c r="AA2147" s="3">
        <f>SUMPRODUCT($B2147:$Y2147,$B$2655:$Y$2655)</f>
        <v/>
      </c>
      <c r="AC2147" s="1">
        <f>A2147</f>
        <v/>
      </c>
      <c r="AD2147">
        <f>IF(ISNUMBER(V2147),V2147*($AB$1/V$2635),"")</f>
        <v/>
      </c>
      <c r="AE2147">
        <f>IF(ISNUMBER(Z2147),Z2147*($AB$1/Z$2635),"")</f>
        <v/>
      </c>
      <c r="AF2147" s="25">
        <f>IF(ISNUMBER(AD2147+AE2147),AD2147+AE2147,"")</f>
        <v/>
      </c>
      <c r="AH2147" s="1">
        <f>A2147</f>
        <v/>
      </c>
      <c r="AI2147">
        <f>IF(ISNUMBER((1+V2147)*AI2146),(1+V2147)*AI2146,AI2146)</f>
        <v/>
      </c>
      <c r="AJ2147">
        <f>IF(ISNUMBER((1+Z2147)*AJ2146),(1+Z2147)*AJ2146,AJ2146)</f>
        <v/>
      </c>
    </row>
    <row r="2148">
      <c r="A2148" s="1" t="n">
        <v>45120</v>
      </c>
      <c r="B2148" s="3">
        <f>IF(ORIG!B2148=0,"",ORIG!B2148)</f>
        <v/>
      </c>
      <c r="C2148" s="3">
        <f>IF(ORIG!C2148=0,"",ORIG!C2148)</f>
        <v/>
      </c>
      <c r="D2148" s="3">
        <f>IF(ORIG!D2148=0,"",ORIG!D2148)</f>
        <v/>
      </c>
      <c r="E2148" s="3">
        <f>IF(ORIG!E2148=0,"",ORIG!E2148)</f>
        <v/>
      </c>
      <c r="F2148" s="3">
        <f>IF(ORIG!F2148=0,"",ORIG!F2148)</f>
        <v/>
      </c>
      <c r="G2148" s="3">
        <f>IF(ORIG!G2148=0,"",ORIG!G2148)</f>
        <v/>
      </c>
      <c r="H2148" s="3">
        <f>IF(ORIG!H2148=0,"",ORIG!H2148)</f>
        <v/>
      </c>
      <c r="I2148" s="3">
        <f>IF(ORIG!I2148=0,"",ORIG!I2148)</f>
        <v/>
      </c>
      <c r="J2148" s="3">
        <f>IF(ORIG!J2148=0,"",ORIG!J2148)</f>
        <v/>
      </c>
      <c r="K2148" s="3">
        <f>IF(ORIG!K2148=0,"",ORIG!K2148)</f>
        <v/>
      </c>
      <c r="L2148" s="3">
        <f>IF(ORIG!L2148=0,"",ORIG!L2148)</f>
        <v/>
      </c>
      <c r="M2148" s="3">
        <f>IF(ORIG!M2148=0,"",ORIG!M2148)</f>
        <v/>
      </c>
      <c r="N2148" s="3">
        <f>IF(ORIG!N2148=0,"",ORIG!N2148)</f>
        <v/>
      </c>
      <c r="O2148" s="3">
        <f>IF(ORIG!O2148=0,"",ORIG!O2148)</f>
        <v/>
      </c>
      <c r="P2148" s="3">
        <f>IF(ORIG!P2148=0,"",ORIG!P2148)</f>
        <v/>
      </c>
      <c r="Q2148" s="3">
        <f>IF(ORIG!Q2148=0,"",ORIG!Q2148)</f>
        <v/>
      </c>
      <c r="R2148" s="3">
        <f>IF(ORIG!R2148=0,"",ORIG!R2148)</f>
        <v/>
      </c>
      <c r="S2148" s="3">
        <f>IF(ORIG!S2148=0,"",ORIG!S2148)</f>
        <v/>
      </c>
      <c r="T2148" s="3">
        <f>IF(ORIG!T2148=0,"",ORIG!T2148)</f>
        <v/>
      </c>
      <c r="U2148" s="3">
        <f>IF(ORIG!U2148=0,"",ORIG!U2148)</f>
        <v/>
      </c>
      <c r="V2148" s="9">
        <f>IF(ORIG!V2148=0,"",ORIG!V2148)</f>
        <v/>
      </c>
      <c r="W2148" s="9">
        <f>IF(ORIG!W2148=0,"",ORIG!W2148)</f>
        <v/>
      </c>
      <c r="X2148" s="9">
        <f>IF(ORIG!X2148=0,"",ORIG!X2148)</f>
        <v/>
      </c>
      <c r="Y2148" s="9">
        <f>IF(ORIG!Y2148=0,"",ORIG!Y2148)</f>
        <v/>
      </c>
      <c r="Z2148" s="3">
        <f>SUMPRODUCT($B2148:$Y2148,$B$2649:$Y$2649)</f>
        <v/>
      </c>
      <c r="AA2148" s="3">
        <f>SUMPRODUCT($B2148:$Y2148,$B$2655:$Y$2655)</f>
        <v/>
      </c>
      <c r="AC2148" s="1">
        <f>A2148</f>
        <v/>
      </c>
      <c r="AD2148">
        <f>IF(ISNUMBER(V2148),V2148*($AB$1/V$2635),"")</f>
        <v/>
      </c>
      <c r="AE2148">
        <f>IF(ISNUMBER(Z2148),Z2148*($AB$1/Z$2635),"")</f>
        <v/>
      </c>
      <c r="AF2148" s="25">
        <f>IF(ISNUMBER(AD2148+AE2148),AD2148+AE2148,"")</f>
        <v/>
      </c>
      <c r="AH2148" s="1">
        <f>A2148</f>
        <v/>
      </c>
      <c r="AI2148">
        <f>IF(ISNUMBER((1+V2148)*AI2147),(1+V2148)*AI2147,AI2147)</f>
        <v/>
      </c>
      <c r="AJ2148">
        <f>IF(ISNUMBER((1+Z2148)*AJ2147),(1+Z2148)*AJ2147,AJ2147)</f>
        <v/>
      </c>
    </row>
    <row r="2149">
      <c r="A2149" s="1" t="n">
        <v>45121</v>
      </c>
      <c r="B2149" s="3">
        <f>IF(ORIG!B2149=0,"",ORIG!B2149)</f>
        <v/>
      </c>
      <c r="C2149" s="3">
        <f>IF(ORIG!C2149=0,"",ORIG!C2149)</f>
        <v/>
      </c>
      <c r="D2149" s="3">
        <f>IF(ORIG!D2149=0,"",ORIG!D2149)</f>
        <v/>
      </c>
      <c r="E2149" s="3">
        <f>IF(ORIG!E2149=0,"",ORIG!E2149)</f>
        <v/>
      </c>
      <c r="F2149" s="3">
        <f>IF(ORIG!F2149=0,"",ORIG!F2149)</f>
        <v/>
      </c>
      <c r="G2149" s="3">
        <f>IF(ORIG!G2149=0,"",ORIG!G2149)</f>
        <v/>
      </c>
      <c r="H2149" s="3">
        <f>IF(ORIG!H2149=0,"",ORIG!H2149)</f>
        <v/>
      </c>
      <c r="I2149" s="3">
        <f>IF(ORIG!I2149=0,"",ORIG!I2149)</f>
        <v/>
      </c>
      <c r="J2149" s="3">
        <f>IF(ORIG!J2149=0,"",ORIG!J2149)</f>
        <v/>
      </c>
      <c r="K2149" s="3">
        <f>IF(ORIG!K2149=0,"",ORIG!K2149)</f>
        <v/>
      </c>
      <c r="L2149" s="3">
        <f>IF(ORIG!L2149=0,"",ORIG!L2149)</f>
        <v/>
      </c>
      <c r="M2149" s="3">
        <f>IF(ORIG!M2149=0,"",ORIG!M2149)</f>
        <v/>
      </c>
      <c r="N2149" s="3">
        <f>IF(ORIG!N2149=0,"",ORIG!N2149)</f>
        <v/>
      </c>
      <c r="O2149" s="3">
        <f>IF(ORIG!O2149=0,"",ORIG!O2149)</f>
        <v/>
      </c>
      <c r="P2149" s="3">
        <f>IF(ORIG!P2149=0,"",ORIG!P2149)</f>
        <v/>
      </c>
      <c r="Q2149" s="3">
        <f>IF(ORIG!Q2149=0,"",ORIG!Q2149)</f>
        <v/>
      </c>
      <c r="R2149" s="3">
        <f>IF(ORIG!R2149=0,"",ORIG!R2149)</f>
        <v/>
      </c>
      <c r="S2149" s="3">
        <f>IF(ORIG!S2149=0,"",ORIG!S2149)</f>
        <v/>
      </c>
      <c r="T2149" s="3">
        <f>IF(ORIG!T2149=0,"",ORIG!T2149)</f>
        <v/>
      </c>
      <c r="U2149" s="3">
        <f>IF(ORIG!U2149=0,"",ORIG!U2149)</f>
        <v/>
      </c>
      <c r="V2149" s="9">
        <f>IF(ORIG!V2149=0,"",ORIG!V2149)</f>
        <v/>
      </c>
      <c r="W2149" s="9">
        <f>IF(ORIG!W2149=0,"",ORIG!W2149)</f>
        <v/>
      </c>
      <c r="X2149" s="9">
        <f>IF(ORIG!X2149=0,"",ORIG!X2149)</f>
        <v/>
      </c>
      <c r="Y2149" s="9">
        <f>IF(ORIG!Y2149=0,"",ORIG!Y2149)</f>
        <v/>
      </c>
      <c r="Z2149" s="3">
        <f>SUMPRODUCT($B2149:$Y2149,$B$2649:$Y$2649)</f>
        <v/>
      </c>
      <c r="AA2149" s="3">
        <f>SUMPRODUCT($B2149:$Y2149,$B$2655:$Y$2655)</f>
        <v/>
      </c>
      <c r="AC2149" s="1">
        <f>A2149</f>
        <v/>
      </c>
      <c r="AD2149">
        <f>IF(ISNUMBER(V2149),V2149*($AB$1/V$2635),"")</f>
        <v/>
      </c>
      <c r="AE2149">
        <f>IF(ISNUMBER(Z2149),Z2149*($AB$1/Z$2635),"")</f>
        <v/>
      </c>
      <c r="AF2149" s="25">
        <f>IF(ISNUMBER(AD2149+AE2149),AD2149+AE2149,"")</f>
        <v/>
      </c>
      <c r="AH2149" s="1">
        <f>A2149</f>
        <v/>
      </c>
      <c r="AI2149">
        <f>IF(ISNUMBER((1+V2149)*AI2148),(1+V2149)*AI2148,AI2148)</f>
        <v/>
      </c>
      <c r="AJ2149">
        <f>IF(ISNUMBER((1+Z2149)*AJ2148),(1+Z2149)*AJ2148,AJ2148)</f>
        <v/>
      </c>
    </row>
    <row r="2150">
      <c r="A2150" s="1" t="n">
        <v>45124</v>
      </c>
      <c r="B2150" s="3">
        <f>IF(ORIG!B2150=0,"",ORIG!B2150)</f>
        <v/>
      </c>
      <c r="C2150" s="3">
        <f>IF(ORIG!C2150=0,"",ORIG!C2150)</f>
        <v/>
      </c>
      <c r="D2150" s="3">
        <f>IF(ORIG!D2150=0,"",ORIG!D2150)</f>
        <v/>
      </c>
      <c r="E2150" s="3">
        <f>IF(ORIG!E2150=0,"",ORIG!E2150)</f>
        <v/>
      </c>
      <c r="F2150" s="3">
        <f>IF(ORIG!F2150=0,"",ORIG!F2150)</f>
        <v/>
      </c>
      <c r="G2150" s="3">
        <f>IF(ORIG!G2150=0,"",ORIG!G2150)</f>
        <v/>
      </c>
      <c r="H2150" s="3">
        <f>IF(ORIG!H2150=0,"",ORIG!H2150)</f>
        <v/>
      </c>
      <c r="I2150" s="3">
        <f>IF(ORIG!I2150=0,"",ORIG!I2150)</f>
        <v/>
      </c>
      <c r="J2150" s="3">
        <f>IF(ORIG!J2150=0,"",ORIG!J2150)</f>
        <v/>
      </c>
      <c r="K2150" s="3">
        <f>IF(ORIG!K2150=0,"",ORIG!K2150)</f>
        <v/>
      </c>
      <c r="L2150" s="3">
        <f>IF(ORIG!L2150=0,"",ORIG!L2150)</f>
        <v/>
      </c>
      <c r="M2150" s="3">
        <f>IF(ORIG!M2150=0,"",ORIG!M2150)</f>
        <v/>
      </c>
      <c r="N2150" s="3">
        <f>IF(ORIG!N2150=0,"",ORIG!N2150)</f>
        <v/>
      </c>
      <c r="O2150" s="3">
        <f>IF(ORIG!O2150=0,"",ORIG!O2150)</f>
        <v/>
      </c>
      <c r="P2150" s="3">
        <f>IF(ORIG!P2150=0,"",ORIG!P2150)</f>
        <v/>
      </c>
      <c r="Q2150" s="3">
        <f>IF(ORIG!Q2150=0,"",ORIG!Q2150)</f>
        <v/>
      </c>
      <c r="R2150" s="3">
        <f>IF(ORIG!R2150=0,"",ORIG!R2150)</f>
        <v/>
      </c>
      <c r="S2150" s="3">
        <f>IF(ORIG!S2150=0,"",ORIG!S2150)</f>
        <v/>
      </c>
      <c r="T2150" s="3">
        <f>IF(ORIG!T2150=0,"",ORIG!T2150)</f>
        <v/>
      </c>
      <c r="U2150" s="3">
        <f>IF(ORIG!U2150=0,"",ORIG!U2150)</f>
        <v/>
      </c>
      <c r="V2150" s="9">
        <f>IF(ORIG!V2150=0,"",ORIG!V2150)</f>
        <v/>
      </c>
      <c r="W2150" s="9">
        <f>IF(ORIG!W2150=0,"",ORIG!W2150)</f>
        <v/>
      </c>
      <c r="X2150" s="9">
        <f>IF(ORIG!X2150=0,"",ORIG!X2150)</f>
        <v/>
      </c>
      <c r="Y2150" s="9">
        <f>IF(ORIG!Y2150=0,"",ORIG!Y2150)</f>
        <v/>
      </c>
      <c r="Z2150" s="3">
        <f>SUMPRODUCT($B2150:$Y2150,$B$2649:$Y$2649)</f>
        <v/>
      </c>
      <c r="AA2150" s="3">
        <f>SUMPRODUCT($B2150:$Y2150,$B$2655:$Y$2655)</f>
        <v/>
      </c>
      <c r="AC2150" s="1">
        <f>A2150</f>
        <v/>
      </c>
      <c r="AD2150">
        <f>IF(ISNUMBER(V2150),V2150*($AB$1/V$2635),"")</f>
        <v/>
      </c>
      <c r="AE2150">
        <f>IF(ISNUMBER(Z2150),Z2150*($AB$1/Z$2635),"")</f>
        <v/>
      </c>
      <c r="AF2150" s="25">
        <f>IF(ISNUMBER(AD2150+AE2150),AD2150+AE2150,"")</f>
        <v/>
      </c>
      <c r="AH2150" s="1">
        <f>A2150</f>
        <v/>
      </c>
      <c r="AI2150">
        <f>IF(ISNUMBER((1+V2150)*AI2149),(1+V2150)*AI2149,AI2149)</f>
        <v/>
      </c>
      <c r="AJ2150">
        <f>IF(ISNUMBER((1+Z2150)*AJ2149),(1+Z2150)*AJ2149,AJ2149)</f>
        <v/>
      </c>
    </row>
    <row r="2151">
      <c r="A2151" s="1" t="n">
        <v>45125</v>
      </c>
      <c r="B2151" s="3">
        <f>IF(ORIG!B2151=0,"",ORIG!B2151)</f>
        <v/>
      </c>
      <c r="C2151" s="3">
        <f>IF(ORIG!C2151=0,"",ORIG!C2151)</f>
        <v/>
      </c>
      <c r="D2151" s="3">
        <f>IF(ORIG!D2151=0,"",ORIG!D2151)</f>
        <v/>
      </c>
      <c r="E2151" s="3">
        <f>IF(ORIG!E2151=0,"",ORIG!E2151)</f>
        <v/>
      </c>
      <c r="F2151" s="3">
        <f>IF(ORIG!F2151=0,"",ORIG!F2151)</f>
        <v/>
      </c>
      <c r="G2151" s="3">
        <f>IF(ORIG!G2151=0,"",ORIG!G2151)</f>
        <v/>
      </c>
      <c r="H2151" s="3">
        <f>IF(ORIG!H2151=0,"",ORIG!H2151)</f>
        <v/>
      </c>
      <c r="I2151" s="3">
        <f>IF(ORIG!I2151=0,"",ORIG!I2151)</f>
        <v/>
      </c>
      <c r="J2151" s="3">
        <f>IF(ORIG!J2151=0,"",ORIG!J2151)</f>
        <v/>
      </c>
      <c r="K2151" s="3">
        <f>IF(ORIG!K2151=0,"",ORIG!K2151)</f>
        <v/>
      </c>
      <c r="L2151" s="3">
        <f>IF(ORIG!L2151=0,"",ORIG!L2151)</f>
        <v/>
      </c>
      <c r="M2151" s="3">
        <f>IF(ORIG!M2151=0,"",ORIG!M2151)</f>
        <v/>
      </c>
      <c r="N2151" s="3">
        <f>IF(ORIG!N2151=0,"",ORIG!N2151)</f>
        <v/>
      </c>
      <c r="O2151" s="3">
        <f>IF(ORIG!O2151=0,"",ORIG!O2151)</f>
        <v/>
      </c>
      <c r="P2151" s="3">
        <f>IF(ORIG!P2151=0,"",ORIG!P2151)</f>
        <v/>
      </c>
      <c r="Q2151" s="3">
        <f>IF(ORIG!Q2151=0,"",ORIG!Q2151)</f>
        <v/>
      </c>
      <c r="R2151" s="3">
        <f>IF(ORIG!R2151=0,"",ORIG!R2151)</f>
        <v/>
      </c>
      <c r="S2151" s="3">
        <f>IF(ORIG!S2151=0,"",ORIG!S2151)</f>
        <v/>
      </c>
      <c r="T2151" s="3">
        <f>IF(ORIG!T2151=0,"",ORIG!T2151)</f>
        <v/>
      </c>
      <c r="U2151" s="3">
        <f>IF(ORIG!U2151=0,"",ORIG!U2151)</f>
        <v/>
      </c>
      <c r="V2151" s="9">
        <f>IF(ORIG!V2151=0,"",ORIG!V2151)</f>
        <v/>
      </c>
      <c r="W2151" s="9">
        <f>IF(ORIG!W2151=0,"",ORIG!W2151)</f>
        <v/>
      </c>
      <c r="X2151" s="9">
        <f>IF(ORIG!X2151=0,"",ORIG!X2151)</f>
        <v/>
      </c>
      <c r="Y2151" s="9">
        <f>IF(ORIG!Y2151=0,"",ORIG!Y2151)</f>
        <v/>
      </c>
      <c r="Z2151" s="3">
        <f>SUMPRODUCT($B2151:$Y2151,$B$2649:$Y$2649)</f>
        <v/>
      </c>
      <c r="AA2151" s="3">
        <f>SUMPRODUCT($B2151:$Y2151,$B$2655:$Y$2655)</f>
        <v/>
      </c>
      <c r="AC2151" s="1">
        <f>A2151</f>
        <v/>
      </c>
      <c r="AD2151">
        <f>IF(ISNUMBER(V2151),V2151*($AB$1/V$2635),"")</f>
        <v/>
      </c>
      <c r="AE2151">
        <f>IF(ISNUMBER(Z2151),Z2151*($AB$1/Z$2635),"")</f>
        <v/>
      </c>
      <c r="AF2151" s="25">
        <f>IF(ISNUMBER(AD2151+AE2151),AD2151+AE2151,"")</f>
        <v/>
      </c>
      <c r="AH2151" s="1">
        <f>A2151</f>
        <v/>
      </c>
      <c r="AI2151">
        <f>IF(ISNUMBER((1+V2151)*AI2150),(1+V2151)*AI2150,AI2150)</f>
        <v/>
      </c>
      <c r="AJ2151">
        <f>IF(ISNUMBER((1+Z2151)*AJ2150),(1+Z2151)*AJ2150,AJ2150)</f>
        <v/>
      </c>
    </row>
    <row r="2152">
      <c r="A2152" s="1" t="n">
        <v>45126</v>
      </c>
      <c r="B2152" s="3">
        <f>IF(ORIG!B2152=0,"",ORIG!B2152)</f>
        <v/>
      </c>
      <c r="C2152" s="3">
        <f>IF(ORIG!C2152=0,"",ORIG!C2152)</f>
        <v/>
      </c>
      <c r="D2152" s="3">
        <f>IF(ORIG!D2152=0,"",ORIG!D2152)</f>
        <v/>
      </c>
      <c r="E2152" s="3">
        <f>IF(ORIG!E2152=0,"",ORIG!E2152)</f>
        <v/>
      </c>
      <c r="F2152" s="3">
        <f>IF(ORIG!F2152=0,"",ORIG!F2152)</f>
        <v/>
      </c>
      <c r="G2152" s="3">
        <f>IF(ORIG!G2152=0,"",ORIG!G2152)</f>
        <v/>
      </c>
      <c r="H2152" s="3">
        <f>IF(ORIG!H2152=0,"",ORIG!H2152)</f>
        <v/>
      </c>
      <c r="I2152" s="3">
        <f>IF(ORIG!I2152=0,"",ORIG!I2152)</f>
        <v/>
      </c>
      <c r="J2152" s="3">
        <f>IF(ORIG!J2152=0,"",ORIG!J2152)</f>
        <v/>
      </c>
      <c r="K2152" s="3">
        <f>IF(ORIG!K2152=0,"",ORIG!K2152)</f>
        <v/>
      </c>
      <c r="L2152" s="3">
        <f>IF(ORIG!L2152=0,"",ORIG!L2152)</f>
        <v/>
      </c>
      <c r="M2152" s="3">
        <f>IF(ORIG!M2152=0,"",ORIG!M2152)</f>
        <v/>
      </c>
      <c r="N2152" s="3">
        <f>IF(ORIG!N2152=0,"",ORIG!N2152)</f>
        <v/>
      </c>
      <c r="O2152" s="3">
        <f>IF(ORIG!O2152=0,"",ORIG!O2152)</f>
        <v/>
      </c>
      <c r="P2152" s="3">
        <f>IF(ORIG!P2152=0,"",ORIG!P2152)</f>
        <v/>
      </c>
      <c r="Q2152" s="3">
        <f>IF(ORIG!Q2152=0,"",ORIG!Q2152)</f>
        <v/>
      </c>
      <c r="R2152" s="3">
        <f>IF(ORIG!R2152=0,"",ORIG!R2152)</f>
        <v/>
      </c>
      <c r="S2152" s="3">
        <f>IF(ORIG!S2152=0,"",ORIG!S2152)</f>
        <v/>
      </c>
      <c r="T2152" s="3">
        <f>IF(ORIG!T2152=0,"",ORIG!T2152)</f>
        <v/>
      </c>
      <c r="U2152" s="3">
        <f>IF(ORIG!U2152=0,"",ORIG!U2152)</f>
        <v/>
      </c>
      <c r="V2152" s="9">
        <f>IF(ORIG!V2152=0,"",ORIG!V2152)</f>
        <v/>
      </c>
      <c r="W2152" s="9">
        <f>IF(ORIG!W2152=0,"",ORIG!W2152)</f>
        <v/>
      </c>
      <c r="X2152" s="9">
        <f>IF(ORIG!X2152=0,"",ORIG!X2152)</f>
        <v/>
      </c>
      <c r="Y2152" s="9">
        <f>IF(ORIG!Y2152=0,"",ORIG!Y2152)</f>
        <v/>
      </c>
      <c r="Z2152" s="3">
        <f>SUMPRODUCT($B2152:$Y2152,$B$2649:$Y$2649)</f>
        <v/>
      </c>
      <c r="AA2152" s="3">
        <f>SUMPRODUCT($B2152:$Y2152,$B$2655:$Y$2655)</f>
        <v/>
      </c>
      <c r="AC2152" s="1">
        <f>A2152</f>
        <v/>
      </c>
      <c r="AD2152">
        <f>IF(ISNUMBER(V2152),V2152*($AB$1/V$2635),"")</f>
        <v/>
      </c>
      <c r="AE2152">
        <f>IF(ISNUMBER(Z2152),Z2152*($AB$1/Z$2635),"")</f>
        <v/>
      </c>
      <c r="AF2152" s="25">
        <f>IF(ISNUMBER(AD2152+AE2152),AD2152+AE2152,"")</f>
        <v/>
      </c>
      <c r="AH2152" s="1">
        <f>A2152</f>
        <v/>
      </c>
      <c r="AI2152">
        <f>IF(ISNUMBER((1+V2152)*AI2151),(1+V2152)*AI2151,AI2151)</f>
        <v/>
      </c>
      <c r="AJ2152">
        <f>IF(ISNUMBER((1+Z2152)*AJ2151),(1+Z2152)*AJ2151,AJ2151)</f>
        <v/>
      </c>
    </row>
    <row r="2153">
      <c r="A2153" s="1" t="n">
        <v>45127</v>
      </c>
      <c r="B2153" s="3">
        <f>IF(ORIG!B2153=0,"",ORIG!B2153)</f>
        <v/>
      </c>
      <c r="C2153" s="3">
        <f>IF(ORIG!C2153=0,"",ORIG!C2153)</f>
        <v/>
      </c>
      <c r="D2153" s="3">
        <f>IF(ORIG!D2153=0,"",ORIG!D2153)</f>
        <v/>
      </c>
      <c r="E2153" s="3">
        <f>IF(ORIG!E2153=0,"",ORIG!E2153)</f>
        <v/>
      </c>
      <c r="F2153" s="3">
        <f>IF(ORIG!F2153=0,"",ORIG!F2153)</f>
        <v/>
      </c>
      <c r="G2153" s="3">
        <f>IF(ORIG!G2153=0,"",ORIG!G2153)</f>
        <v/>
      </c>
      <c r="H2153" s="3">
        <f>IF(ORIG!H2153=0,"",ORIG!H2153)</f>
        <v/>
      </c>
      <c r="I2153" s="3">
        <f>IF(ORIG!I2153=0,"",ORIG!I2153)</f>
        <v/>
      </c>
      <c r="J2153" s="3">
        <f>IF(ORIG!J2153=0,"",ORIG!J2153)</f>
        <v/>
      </c>
      <c r="K2153" s="3">
        <f>IF(ORIG!K2153=0,"",ORIG!K2153)</f>
        <v/>
      </c>
      <c r="L2153" s="3">
        <f>IF(ORIG!L2153=0,"",ORIG!L2153)</f>
        <v/>
      </c>
      <c r="M2153" s="3">
        <f>IF(ORIG!M2153=0,"",ORIG!M2153)</f>
        <v/>
      </c>
      <c r="N2153" s="3">
        <f>IF(ORIG!N2153=0,"",ORIG!N2153)</f>
        <v/>
      </c>
      <c r="O2153" s="3">
        <f>IF(ORIG!O2153=0,"",ORIG!O2153)</f>
        <v/>
      </c>
      <c r="P2153" s="3">
        <f>IF(ORIG!P2153=0,"",ORIG!P2153)</f>
        <v/>
      </c>
      <c r="Q2153" s="3">
        <f>IF(ORIG!Q2153=0,"",ORIG!Q2153)</f>
        <v/>
      </c>
      <c r="R2153" s="3">
        <f>IF(ORIG!R2153=0,"",ORIG!R2153)</f>
        <v/>
      </c>
      <c r="S2153" s="3">
        <f>IF(ORIG!S2153=0,"",ORIG!S2153)</f>
        <v/>
      </c>
      <c r="T2153" s="3">
        <f>IF(ORIG!T2153=0,"",ORIG!T2153)</f>
        <v/>
      </c>
      <c r="U2153" s="3">
        <f>IF(ORIG!U2153=0,"",ORIG!U2153)</f>
        <v/>
      </c>
      <c r="V2153" s="9">
        <f>IF(ORIG!V2153=0,"",ORIG!V2153)</f>
        <v/>
      </c>
      <c r="W2153" s="9">
        <f>IF(ORIG!W2153=0,"",ORIG!W2153)</f>
        <v/>
      </c>
      <c r="X2153" s="9">
        <f>IF(ORIG!X2153=0,"",ORIG!X2153)</f>
        <v/>
      </c>
      <c r="Y2153" s="9">
        <f>IF(ORIG!Y2153=0,"",ORIG!Y2153)</f>
        <v/>
      </c>
      <c r="Z2153" s="3">
        <f>SUMPRODUCT($B2153:$Y2153,$B$2649:$Y$2649)</f>
        <v/>
      </c>
      <c r="AA2153" s="3">
        <f>SUMPRODUCT($B2153:$Y2153,$B$2655:$Y$2655)</f>
        <v/>
      </c>
      <c r="AC2153" s="1">
        <f>A2153</f>
        <v/>
      </c>
      <c r="AD2153">
        <f>IF(ISNUMBER(V2153),V2153*($AB$1/V$2635),"")</f>
        <v/>
      </c>
      <c r="AE2153">
        <f>IF(ISNUMBER(Z2153),Z2153*($AB$1/Z$2635),"")</f>
        <v/>
      </c>
      <c r="AF2153" s="25">
        <f>IF(ISNUMBER(AD2153+AE2153),AD2153+AE2153,"")</f>
        <v/>
      </c>
      <c r="AH2153" s="1">
        <f>A2153</f>
        <v/>
      </c>
      <c r="AI2153">
        <f>IF(ISNUMBER((1+V2153)*AI2152),(1+V2153)*AI2152,AI2152)</f>
        <v/>
      </c>
      <c r="AJ2153">
        <f>IF(ISNUMBER((1+Z2153)*AJ2152),(1+Z2153)*AJ2152,AJ2152)</f>
        <v/>
      </c>
    </row>
    <row r="2154">
      <c r="A2154" s="1" t="n">
        <v>45128</v>
      </c>
      <c r="B2154" s="3">
        <f>IF(ORIG!B2154=0,"",ORIG!B2154)</f>
        <v/>
      </c>
      <c r="C2154" s="3">
        <f>IF(ORIG!C2154=0,"",ORIG!C2154)</f>
        <v/>
      </c>
      <c r="D2154" s="3">
        <f>IF(ORIG!D2154=0,"",ORIG!D2154)</f>
        <v/>
      </c>
      <c r="E2154" s="3">
        <f>IF(ORIG!E2154=0,"",ORIG!E2154)</f>
        <v/>
      </c>
      <c r="F2154" s="3">
        <f>IF(ORIG!F2154=0,"",ORIG!F2154)</f>
        <v/>
      </c>
      <c r="G2154" s="3">
        <f>IF(ORIG!G2154=0,"",ORIG!G2154)</f>
        <v/>
      </c>
      <c r="H2154" s="3">
        <f>IF(ORIG!H2154=0,"",ORIG!H2154)</f>
        <v/>
      </c>
      <c r="I2154" s="3">
        <f>IF(ORIG!I2154=0,"",ORIG!I2154)</f>
        <v/>
      </c>
      <c r="J2154" s="3">
        <f>IF(ORIG!J2154=0,"",ORIG!J2154)</f>
        <v/>
      </c>
      <c r="K2154" s="3">
        <f>IF(ORIG!K2154=0,"",ORIG!K2154)</f>
        <v/>
      </c>
      <c r="L2154" s="3">
        <f>IF(ORIG!L2154=0,"",ORIG!L2154)</f>
        <v/>
      </c>
      <c r="M2154" s="3">
        <f>IF(ORIG!M2154=0,"",ORIG!M2154)</f>
        <v/>
      </c>
      <c r="N2154" s="3">
        <f>IF(ORIG!N2154=0,"",ORIG!N2154)</f>
        <v/>
      </c>
      <c r="O2154" s="3">
        <f>IF(ORIG!O2154=0,"",ORIG!O2154)</f>
        <v/>
      </c>
      <c r="P2154" s="3">
        <f>IF(ORIG!P2154=0,"",ORIG!P2154)</f>
        <v/>
      </c>
      <c r="Q2154" s="3">
        <f>IF(ORIG!Q2154=0,"",ORIG!Q2154)</f>
        <v/>
      </c>
      <c r="R2154" s="3">
        <f>IF(ORIG!R2154=0,"",ORIG!R2154)</f>
        <v/>
      </c>
      <c r="S2154" s="3">
        <f>IF(ORIG!S2154=0,"",ORIG!S2154)</f>
        <v/>
      </c>
      <c r="T2154" s="3">
        <f>IF(ORIG!T2154=0,"",ORIG!T2154)</f>
        <v/>
      </c>
      <c r="U2154" s="3">
        <f>IF(ORIG!U2154=0,"",ORIG!U2154)</f>
        <v/>
      </c>
      <c r="V2154" s="9">
        <f>IF(ORIG!V2154=0,"",ORIG!V2154)</f>
        <v/>
      </c>
      <c r="W2154" s="9">
        <f>IF(ORIG!W2154=0,"",ORIG!W2154)</f>
        <v/>
      </c>
      <c r="X2154" s="9">
        <f>IF(ORIG!X2154=0,"",ORIG!X2154)</f>
        <v/>
      </c>
      <c r="Y2154" s="9">
        <f>IF(ORIG!Y2154=0,"",ORIG!Y2154)</f>
        <v/>
      </c>
      <c r="Z2154" s="3">
        <f>SUMPRODUCT($B2154:$Y2154,$B$2649:$Y$2649)</f>
        <v/>
      </c>
      <c r="AA2154" s="3">
        <f>SUMPRODUCT($B2154:$Y2154,$B$2655:$Y$2655)</f>
        <v/>
      </c>
      <c r="AC2154" s="1">
        <f>A2154</f>
        <v/>
      </c>
      <c r="AD2154">
        <f>IF(ISNUMBER(V2154),V2154*($AB$1/V$2635),"")</f>
        <v/>
      </c>
      <c r="AE2154">
        <f>IF(ISNUMBER(Z2154),Z2154*($AB$1/Z$2635),"")</f>
        <v/>
      </c>
      <c r="AF2154" s="25">
        <f>IF(ISNUMBER(AD2154+AE2154),AD2154+AE2154,"")</f>
        <v/>
      </c>
      <c r="AH2154" s="1">
        <f>A2154</f>
        <v/>
      </c>
      <c r="AI2154">
        <f>IF(ISNUMBER((1+V2154)*AI2153),(1+V2154)*AI2153,AI2153)</f>
        <v/>
      </c>
      <c r="AJ2154">
        <f>IF(ISNUMBER((1+Z2154)*AJ2153),(1+Z2154)*AJ2153,AJ2153)</f>
        <v/>
      </c>
    </row>
    <row r="2155">
      <c r="A2155" s="1" t="n">
        <v>45131</v>
      </c>
      <c r="B2155" s="3">
        <f>IF(ORIG!B2155=0,"",ORIG!B2155)</f>
        <v/>
      </c>
      <c r="C2155" s="3">
        <f>IF(ORIG!C2155=0,"",ORIG!C2155)</f>
        <v/>
      </c>
      <c r="D2155" s="3">
        <f>IF(ORIG!D2155=0,"",ORIG!D2155)</f>
        <v/>
      </c>
      <c r="E2155" s="3">
        <f>IF(ORIG!E2155=0,"",ORIG!E2155)</f>
        <v/>
      </c>
      <c r="F2155" s="3">
        <f>IF(ORIG!F2155=0,"",ORIG!F2155)</f>
        <v/>
      </c>
      <c r="G2155" s="3">
        <f>IF(ORIG!G2155=0,"",ORIG!G2155)</f>
        <v/>
      </c>
      <c r="H2155" s="3">
        <f>IF(ORIG!H2155=0,"",ORIG!H2155)</f>
        <v/>
      </c>
      <c r="I2155" s="3">
        <f>IF(ORIG!I2155=0,"",ORIG!I2155)</f>
        <v/>
      </c>
      <c r="J2155" s="3">
        <f>IF(ORIG!J2155=0,"",ORIG!J2155)</f>
        <v/>
      </c>
      <c r="K2155" s="3">
        <f>IF(ORIG!K2155=0,"",ORIG!K2155)</f>
        <v/>
      </c>
      <c r="L2155" s="3">
        <f>IF(ORIG!L2155=0,"",ORIG!L2155)</f>
        <v/>
      </c>
      <c r="M2155" s="3">
        <f>IF(ORIG!M2155=0,"",ORIG!M2155)</f>
        <v/>
      </c>
      <c r="N2155" s="3">
        <f>IF(ORIG!N2155=0,"",ORIG!N2155)</f>
        <v/>
      </c>
      <c r="O2155" s="3">
        <f>IF(ORIG!O2155=0,"",ORIG!O2155)</f>
        <v/>
      </c>
      <c r="P2155" s="3">
        <f>IF(ORIG!P2155=0,"",ORIG!P2155)</f>
        <v/>
      </c>
      <c r="Q2155" s="3">
        <f>IF(ORIG!Q2155=0,"",ORIG!Q2155)</f>
        <v/>
      </c>
      <c r="R2155" s="3">
        <f>IF(ORIG!R2155=0,"",ORIG!R2155)</f>
        <v/>
      </c>
      <c r="S2155" s="3">
        <f>IF(ORIG!S2155=0,"",ORIG!S2155)</f>
        <v/>
      </c>
      <c r="T2155" s="3">
        <f>IF(ORIG!T2155=0,"",ORIG!T2155)</f>
        <v/>
      </c>
      <c r="U2155" s="3">
        <f>IF(ORIG!U2155=0,"",ORIG!U2155)</f>
        <v/>
      </c>
      <c r="V2155" s="9">
        <f>IF(ORIG!V2155=0,"",ORIG!V2155)</f>
        <v/>
      </c>
      <c r="W2155" s="9">
        <f>IF(ORIG!W2155=0,"",ORIG!W2155)</f>
        <v/>
      </c>
      <c r="X2155" s="9">
        <f>IF(ORIG!X2155=0,"",ORIG!X2155)</f>
        <v/>
      </c>
      <c r="Y2155" s="9">
        <f>IF(ORIG!Y2155=0,"",ORIG!Y2155)</f>
        <v/>
      </c>
      <c r="Z2155" s="3">
        <f>SUMPRODUCT($B2155:$Y2155,$B$2649:$Y$2649)</f>
        <v/>
      </c>
      <c r="AA2155" s="3">
        <f>SUMPRODUCT($B2155:$Y2155,$B$2655:$Y$2655)</f>
        <v/>
      </c>
      <c r="AC2155" s="1">
        <f>A2155</f>
        <v/>
      </c>
      <c r="AD2155">
        <f>IF(ISNUMBER(V2155),V2155*($AB$1/V$2635),"")</f>
        <v/>
      </c>
      <c r="AE2155">
        <f>IF(ISNUMBER(Z2155),Z2155*($AB$1/Z$2635),"")</f>
        <v/>
      </c>
      <c r="AF2155" s="25">
        <f>IF(ISNUMBER(AD2155+AE2155),AD2155+AE2155,"")</f>
        <v/>
      </c>
      <c r="AH2155" s="1">
        <f>A2155</f>
        <v/>
      </c>
      <c r="AI2155">
        <f>IF(ISNUMBER((1+V2155)*AI2154),(1+V2155)*AI2154,AI2154)</f>
        <v/>
      </c>
      <c r="AJ2155">
        <f>IF(ISNUMBER((1+Z2155)*AJ2154),(1+Z2155)*AJ2154,AJ2154)</f>
        <v/>
      </c>
    </row>
    <row r="2156">
      <c r="A2156" s="1" t="n">
        <v>45132</v>
      </c>
      <c r="B2156" s="3">
        <f>IF(ORIG!B2156=0,"",ORIG!B2156)</f>
        <v/>
      </c>
      <c r="C2156" s="3">
        <f>IF(ORIG!C2156=0,"",ORIG!C2156)</f>
        <v/>
      </c>
      <c r="D2156" s="3">
        <f>IF(ORIG!D2156=0,"",ORIG!D2156)</f>
        <v/>
      </c>
      <c r="E2156" s="3">
        <f>IF(ORIG!E2156=0,"",ORIG!E2156)</f>
        <v/>
      </c>
      <c r="F2156" s="3">
        <f>IF(ORIG!F2156=0,"",ORIG!F2156)</f>
        <v/>
      </c>
      <c r="G2156" s="3">
        <f>IF(ORIG!G2156=0,"",ORIG!G2156)</f>
        <v/>
      </c>
      <c r="H2156" s="3">
        <f>IF(ORIG!H2156=0,"",ORIG!H2156)</f>
        <v/>
      </c>
      <c r="I2156" s="3">
        <f>IF(ORIG!I2156=0,"",ORIG!I2156)</f>
        <v/>
      </c>
      <c r="J2156" s="3">
        <f>IF(ORIG!J2156=0,"",ORIG!J2156)</f>
        <v/>
      </c>
      <c r="K2156" s="3">
        <f>IF(ORIG!K2156=0,"",ORIG!K2156)</f>
        <v/>
      </c>
      <c r="L2156" s="3">
        <f>IF(ORIG!L2156=0,"",ORIG!L2156)</f>
        <v/>
      </c>
      <c r="M2156" s="3">
        <f>IF(ORIG!M2156=0,"",ORIG!M2156)</f>
        <v/>
      </c>
      <c r="N2156" s="3">
        <f>IF(ORIG!N2156=0,"",ORIG!N2156)</f>
        <v/>
      </c>
      <c r="O2156" s="3">
        <f>IF(ORIG!O2156=0,"",ORIG!O2156)</f>
        <v/>
      </c>
      <c r="P2156" s="3">
        <f>IF(ORIG!P2156=0,"",ORIG!P2156)</f>
        <v/>
      </c>
      <c r="Q2156" s="3">
        <f>IF(ORIG!Q2156=0,"",ORIG!Q2156)</f>
        <v/>
      </c>
      <c r="R2156" s="3">
        <f>IF(ORIG!R2156=0,"",ORIG!R2156)</f>
        <v/>
      </c>
      <c r="S2156" s="3">
        <f>IF(ORIG!S2156=0,"",ORIG!S2156)</f>
        <v/>
      </c>
      <c r="T2156" s="3">
        <f>IF(ORIG!T2156=0,"",ORIG!T2156)</f>
        <v/>
      </c>
      <c r="U2156" s="3">
        <f>IF(ORIG!U2156=0,"",ORIG!U2156)</f>
        <v/>
      </c>
      <c r="V2156" s="9">
        <f>IF(ORIG!V2156=0,"",ORIG!V2156)</f>
        <v/>
      </c>
      <c r="W2156" s="9">
        <f>IF(ORIG!W2156=0,"",ORIG!W2156)</f>
        <v/>
      </c>
      <c r="X2156" s="9">
        <f>IF(ORIG!X2156=0,"",ORIG!X2156)</f>
        <v/>
      </c>
      <c r="Y2156" s="9">
        <f>IF(ORIG!Y2156=0,"",ORIG!Y2156)</f>
        <v/>
      </c>
      <c r="Z2156" s="3">
        <f>SUMPRODUCT($B2156:$Y2156,$B$2649:$Y$2649)</f>
        <v/>
      </c>
      <c r="AA2156" s="3">
        <f>SUMPRODUCT($B2156:$Y2156,$B$2655:$Y$2655)</f>
        <v/>
      </c>
      <c r="AC2156" s="1">
        <f>A2156</f>
        <v/>
      </c>
      <c r="AD2156">
        <f>IF(ISNUMBER(V2156),V2156*($AB$1/V$2635),"")</f>
        <v/>
      </c>
      <c r="AE2156">
        <f>IF(ISNUMBER(Z2156),Z2156*($AB$1/Z$2635),"")</f>
        <v/>
      </c>
      <c r="AF2156" s="25">
        <f>IF(ISNUMBER(AD2156+AE2156),AD2156+AE2156,"")</f>
        <v/>
      </c>
      <c r="AH2156" s="1">
        <f>A2156</f>
        <v/>
      </c>
      <c r="AI2156">
        <f>IF(ISNUMBER((1+V2156)*AI2155),(1+V2156)*AI2155,AI2155)</f>
        <v/>
      </c>
      <c r="AJ2156">
        <f>IF(ISNUMBER((1+Z2156)*AJ2155),(1+Z2156)*AJ2155,AJ2155)</f>
        <v/>
      </c>
    </row>
    <row r="2157">
      <c r="A2157" s="1" t="n">
        <v>45133</v>
      </c>
      <c r="B2157" s="3">
        <f>IF(ORIG!B2157=0,"",ORIG!B2157)</f>
        <v/>
      </c>
      <c r="C2157" s="3">
        <f>IF(ORIG!C2157=0,"",ORIG!C2157)</f>
        <v/>
      </c>
      <c r="D2157" s="3">
        <f>IF(ORIG!D2157=0,"",ORIG!D2157)</f>
        <v/>
      </c>
      <c r="E2157" s="3">
        <f>IF(ORIG!E2157=0,"",ORIG!E2157)</f>
        <v/>
      </c>
      <c r="F2157" s="3">
        <f>IF(ORIG!F2157=0,"",ORIG!F2157)</f>
        <v/>
      </c>
      <c r="G2157" s="3">
        <f>IF(ORIG!G2157=0,"",ORIG!G2157)</f>
        <v/>
      </c>
      <c r="H2157" s="3">
        <f>IF(ORIG!H2157=0,"",ORIG!H2157)</f>
        <v/>
      </c>
      <c r="I2157" s="3">
        <f>IF(ORIG!I2157=0,"",ORIG!I2157)</f>
        <v/>
      </c>
      <c r="J2157" s="3">
        <f>IF(ORIG!J2157=0,"",ORIG!J2157)</f>
        <v/>
      </c>
      <c r="K2157" s="3">
        <f>IF(ORIG!K2157=0,"",ORIG!K2157)</f>
        <v/>
      </c>
      <c r="L2157" s="3">
        <f>IF(ORIG!L2157=0,"",ORIG!L2157)</f>
        <v/>
      </c>
      <c r="M2157" s="3">
        <f>IF(ORIG!M2157=0,"",ORIG!M2157)</f>
        <v/>
      </c>
      <c r="N2157" s="3">
        <f>IF(ORIG!N2157=0,"",ORIG!N2157)</f>
        <v/>
      </c>
      <c r="O2157" s="3">
        <f>IF(ORIG!O2157=0,"",ORIG!O2157)</f>
        <v/>
      </c>
      <c r="P2157" s="3">
        <f>IF(ORIG!P2157=0,"",ORIG!P2157)</f>
        <v/>
      </c>
      <c r="Q2157" s="3">
        <f>IF(ORIG!Q2157=0,"",ORIG!Q2157)</f>
        <v/>
      </c>
      <c r="R2157" s="3">
        <f>IF(ORIG!R2157=0,"",ORIG!R2157)</f>
        <v/>
      </c>
      <c r="S2157" s="3">
        <f>IF(ORIG!S2157=0,"",ORIG!S2157)</f>
        <v/>
      </c>
      <c r="T2157" s="3">
        <f>IF(ORIG!T2157=0,"",ORIG!T2157)</f>
        <v/>
      </c>
      <c r="U2157" s="3">
        <f>IF(ORIG!U2157=0,"",ORIG!U2157)</f>
        <v/>
      </c>
      <c r="V2157" s="9">
        <f>IF(ORIG!V2157=0,"",ORIG!V2157)</f>
        <v/>
      </c>
      <c r="W2157" s="9">
        <f>IF(ORIG!W2157=0,"",ORIG!W2157)</f>
        <v/>
      </c>
      <c r="X2157" s="9">
        <f>IF(ORIG!X2157=0,"",ORIG!X2157)</f>
        <v/>
      </c>
      <c r="Y2157" s="9">
        <f>IF(ORIG!Y2157=0,"",ORIG!Y2157)</f>
        <v/>
      </c>
      <c r="Z2157" s="3">
        <f>SUMPRODUCT($B2157:$Y2157,$B$2649:$Y$2649)</f>
        <v/>
      </c>
      <c r="AA2157" s="3">
        <f>SUMPRODUCT($B2157:$Y2157,$B$2655:$Y$2655)</f>
        <v/>
      </c>
      <c r="AC2157" s="1">
        <f>A2157</f>
        <v/>
      </c>
      <c r="AD2157">
        <f>IF(ISNUMBER(V2157),V2157*($AB$1/V$2635),"")</f>
        <v/>
      </c>
      <c r="AE2157">
        <f>IF(ISNUMBER(Z2157),Z2157*($AB$1/Z$2635),"")</f>
        <v/>
      </c>
      <c r="AF2157" s="25">
        <f>IF(ISNUMBER(AD2157+AE2157),AD2157+AE2157,"")</f>
        <v/>
      </c>
      <c r="AH2157" s="1">
        <f>A2157</f>
        <v/>
      </c>
      <c r="AI2157">
        <f>IF(ISNUMBER((1+V2157)*AI2156),(1+V2157)*AI2156,AI2156)</f>
        <v/>
      </c>
      <c r="AJ2157">
        <f>IF(ISNUMBER((1+Z2157)*AJ2156),(1+Z2157)*AJ2156,AJ2156)</f>
        <v/>
      </c>
    </row>
    <row r="2158">
      <c r="A2158" s="1" t="n">
        <v>45134</v>
      </c>
      <c r="B2158" s="3">
        <f>IF(ORIG!B2158=0,"",ORIG!B2158)</f>
        <v/>
      </c>
      <c r="C2158" s="3">
        <f>IF(ORIG!C2158=0,"",ORIG!C2158)</f>
        <v/>
      </c>
      <c r="D2158" s="3">
        <f>IF(ORIG!D2158=0,"",ORIG!D2158)</f>
        <v/>
      </c>
      <c r="E2158" s="3">
        <f>IF(ORIG!E2158=0,"",ORIG!E2158)</f>
        <v/>
      </c>
      <c r="F2158" s="3">
        <f>IF(ORIG!F2158=0,"",ORIG!F2158)</f>
        <v/>
      </c>
      <c r="G2158" s="3">
        <f>IF(ORIG!G2158=0,"",ORIG!G2158)</f>
        <v/>
      </c>
      <c r="H2158" s="3">
        <f>IF(ORIG!H2158=0,"",ORIG!H2158)</f>
        <v/>
      </c>
      <c r="I2158" s="3">
        <f>IF(ORIG!I2158=0,"",ORIG!I2158)</f>
        <v/>
      </c>
      <c r="J2158" s="3">
        <f>IF(ORIG!J2158=0,"",ORIG!J2158)</f>
        <v/>
      </c>
      <c r="K2158" s="3">
        <f>IF(ORIG!K2158=0,"",ORIG!K2158)</f>
        <v/>
      </c>
      <c r="L2158" s="3">
        <f>IF(ORIG!L2158=0,"",ORIG!L2158)</f>
        <v/>
      </c>
      <c r="M2158" s="3">
        <f>IF(ORIG!M2158=0,"",ORIG!M2158)</f>
        <v/>
      </c>
      <c r="N2158" s="3">
        <f>IF(ORIG!N2158=0,"",ORIG!N2158)</f>
        <v/>
      </c>
      <c r="O2158" s="3">
        <f>IF(ORIG!O2158=0,"",ORIG!O2158)</f>
        <v/>
      </c>
      <c r="P2158" s="3">
        <f>IF(ORIG!P2158=0,"",ORIG!P2158)</f>
        <v/>
      </c>
      <c r="Q2158" s="3">
        <f>IF(ORIG!Q2158=0,"",ORIG!Q2158)</f>
        <v/>
      </c>
      <c r="R2158" s="3">
        <f>IF(ORIG!R2158=0,"",ORIG!R2158)</f>
        <v/>
      </c>
      <c r="S2158" s="3">
        <f>IF(ORIG!S2158=0,"",ORIG!S2158)</f>
        <v/>
      </c>
      <c r="T2158" s="3">
        <f>IF(ORIG!T2158=0,"",ORIG!T2158)</f>
        <v/>
      </c>
      <c r="U2158" s="3">
        <f>IF(ORIG!U2158=0,"",ORIG!U2158)</f>
        <v/>
      </c>
      <c r="V2158" s="9">
        <f>IF(ORIG!V2158=0,"",ORIG!V2158)</f>
        <v/>
      </c>
      <c r="W2158" s="9">
        <f>IF(ORIG!W2158=0,"",ORIG!W2158)</f>
        <v/>
      </c>
      <c r="X2158" s="9">
        <f>IF(ORIG!X2158=0,"",ORIG!X2158)</f>
        <v/>
      </c>
      <c r="Y2158" s="9">
        <f>IF(ORIG!Y2158=0,"",ORIG!Y2158)</f>
        <v/>
      </c>
      <c r="Z2158" s="3">
        <f>SUMPRODUCT($B2158:$Y2158,$B$2649:$Y$2649)</f>
        <v/>
      </c>
      <c r="AA2158" s="3">
        <f>SUMPRODUCT($B2158:$Y2158,$B$2655:$Y$2655)</f>
        <v/>
      </c>
      <c r="AC2158" s="1">
        <f>A2158</f>
        <v/>
      </c>
      <c r="AD2158">
        <f>IF(ISNUMBER(V2158),V2158*($AB$1/V$2635),"")</f>
        <v/>
      </c>
      <c r="AE2158">
        <f>IF(ISNUMBER(Z2158),Z2158*($AB$1/Z$2635),"")</f>
        <v/>
      </c>
      <c r="AF2158" s="25">
        <f>IF(ISNUMBER(AD2158+AE2158),AD2158+AE2158,"")</f>
        <v/>
      </c>
      <c r="AH2158" s="1">
        <f>A2158</f>
        <v/>
      </c>
      <c r="AI2158">
        <f>IF(ISNUMBER((1+V2158)*AI2157),(1+V2158)*AI2157,AI2157)</f>
        <v/>
      </c>
      <c r="AJ2158">
        <f>IF(ISNUMBER((1+Z2158)*AJ2157),(1+Z2158)*AJ2157,AJ2157)</f>
        <v/>
      </c>
    </row>
    <row r="2159">
      <c r="A2159" s="1" t="n">
        <v>45135</v>
      </c>
      <c r="B2159" s="3">
        <f>IF(ORIG!B2159=0,"",ORIG!B2159)</f>
        <v/>
      </c>
      <c r="C2159" s="3">
        <f>IF(ORIG!C2159=0,"",ORIG!C2159)</f>
        <v/>
      </c>
      <c r="D2159" s="3">
        <f>IF(ORIG!D2159=0,"",ORIG!D2159)</f>
        <v/>
      </c>
      <c r="E2159" s="3">
        <f>IF(ORIG!E2159=0,"",ORIG!E2159)</f>
        <v/>
      </c>
      <c r="F2159" s="3">
        <f>IF(ORIG!F2159=0,"",ORIG!F2159)</f>
        <v/>
      </c>
      <c r="G2159" s="3">
        <f>IF(ORIG!G2159=0,"",ORIG!G2159)</f>
        <v/>
      </c>
      <c r="H2159" s="3">
        <f>IF(ORIG!H2159=0,"",ORIG!H2159)</f>
        <v/>
      </c>
      <c r="I2159" s="3">
        <f>IF(ORIG!I2159=0,"",ORIG!I2159)</f>
        <v/>
      </c>
      <c r="J2159" s="3">
        <f>IF(ORIG!J2159=0,"",ORIG!J2159)</f>
        <v/>
      </c>
      <c r="K2159" s="3">
        <f>IF(ORIG!K2159=0,"",ORIG!K2159)</f>
        <v/>
      </c>
      <c r="L2159" s="3">
        <f>IF(ORIG!L2159=0,"",ORIG!L2159)</f>
        <v/>
      </c>
      <c r="M2159" s="3">
        <f>IF(ORIG!M2159=0,"",ORIG!M2159)</f>
        <v/>
      </c>
      <c r="N2159" s="3">
        <f>IF(ORIG!N2159=0,"",ORIG!N2159)</f>
        <v/>
      </c>
      <c r="O2159" s="3">
        <f>IF(ORIG!O2159=0,"",ORIG!O2159)</f>
        <v/>
      </c>
      <c r="P2159" s="3">
        <f>IF(ORIG!P2159=0,"",ORIG!P2159)</f>
        <v/>
      </c>
      <c r="Q2159" s="3">
        <f>IF(ORIG!Q2159=0,"",ORIG!Q2159)</f>
        <v/>
      </c>
      <c r="R2159" s="3">
        <f>IF(ORIG!R2159=0,"",ORIG!R2159)</f>
        <v/>
      </c>
      <c r="S2159" s="3">
        <f>IF(ORIG!S2159=0,"",ORIG!S2159)</f>
        <v/>
      </c>
      <c r="T2159" s="3">
        <f>IF(ORIG!T2159=0,"",ORIG!T2159)</f>
        <v/>
      </c>
      <c r="U2159" s="3">
        <f>IF(ORIG!U2159=0,"",ORIG!U2159)</f>
        <v/>
      </c>
      <c r="V2159" s="9">
        <f>IF(ORIG!V2159=0,"",ORIG!V2159)</f>
        <v/>
      </c>
      <c r="W2159" s="9">
        <f>IF(ORIG!W2159=0,"",ORIG!W2159)</f>
        <v/>
      </c>
      <c r="X2159" s="9">
        <f>IF(ORIG!X2159=0,"",ORIG!X2159)</f>
        <v/>
      </c>
      <c r="Y2159" s="9">
        <f>IF(ORIG!Y2159=0,"",ORIG!Y2159)</f>
        <v/>
      </c>
      <c r="Z2159" s="3">
        <f>SUMPRODUCT($B2159:$Y2159,$B$2649:$Y$2649)</f>
        <v/>
      </c>
      <c r="AA2159" s="3">
        <f>SUMPRODUCT($B2159:$Y2159,$B$2655:$Y$2655)</f>
        <v/>
      </c>
      <c r="AC2159" s="1">
        <f>A2159</f>
        <v/>
      </c>
      <c r="AD2159">
        <f>IF(ISNUMBER(V2159),V2159*($AB$1/V$2635),"")</f>
        <v/>
      </c>
      <c r="AE2159">
        <f>IF(ISNUMBER(Z2159),Z2159*($AB$1/Z$2635),"")</f>
        <v/>
      </c>
      <c r="AF2159" s="25">
        <f>IF(ISNUMBER(AD2159+AE2159),AD2159+AE2159,"")</f>
        <v/>
      </c>
      <c r="AH2159" s="1">
        <f>A2159</f>
        <v/>
      </c>
      <c r="AI2159">
        <f>IF(ISNUMBER((1+V2159)*AI2158),(1+V2159)*AI2158,AI2158)</f>
        <v/>
      </c>
      <c r="AJ2159">
        <f>IF(ISNUMBER((1+Z2159)*AJ2158),(1+Z2159)*AJ2158,AJ2158)</f>
        <v/>
      </c>
    </row>
    <row r="2160">
      <c r="A2160" s="1" t="n">
        <v>45138</v>
      </c>
      <c r="B2160" s="3">
        <f>IF(ORIG!B2160=0,"",ORIG!B2160)</f>
        <v/>
      </c>
      <c r="C2160" s="3">
        <f>IF(ORIG!C2160=0,"",ORIG!C2160)</f>
        <v/>
      </c>
      <c r="D2160" s="3">
        <f>IF(ORIG!D2160=0,"",ORIG!D2160)</f>
        <v/>
      </c>
      <c r="E2160" s="3">
        <f>IF(ORIG!E2160=0,"",ORIG!E2160)</f>
        <v/>
      </c>
      <c r="F2160" s="3">
        <f>IF(ORIG!F2160=0,"",ORIG!F2160)</f>
        <v/>
      </c>
      <c r="G2160" s="3">
        <f>IF(ORIG!G2160=0,"",ORIG!G2160)</f>
        <v/>
      </c>
      <c r="H2160" s="3">
        <f>IF(ORIG!H2160=0,"",ORIG!H2160)</f>
        <v/>
      </c>
      <c r="I2160" s="3">
        <f>IF(ORIG!I2160=0,"",ORIG!I2160)</f>
        <v/>
      </c>
      <c r="J2160" s="3">
        <f>IF(ORIG!J2160=0,"",ORIG!J2160)</f>
        <v/>
      </c>
      <c r="K2160" s="3">
        <f>IF(ORIG!K2160=0,"",ORIG!K2160)</f>
        <v/>
      </c>
      <c r="L2160" s="3">
        <f>IF(ORIG!L2160=0,"",ORIG!L2160)</f>
        <v/>
      </c>
      <c r="M2160" s="3">
        <f>IF(ORIG!M2160=0,"",ORIG!M2160)</f>
        <v/>
      </c>
      <c r="N2160" s="3">
        <f>IF(ORIG!N2160=0,"",ORIG!N2160)</f>
        <v/>
      </c>
      <c r="O2160" s="3">
        <f>IF(ORIG!O2160=0,"",ORIG!O2160)</f>
        <v/>
      </c>
      <c r="P2160" s="3">
        <f>IF(ORIG!P2160=0,"",ORIG!P2160)</f>
        <v/>
      </c>
      <c r="Q2160" s="3">
        <f>IF(ORIG!Q2160=0,"",ORIG!Q2160)</f>
        <v/>
      </c>
      <c r="R2160" s="3">
        <f>IF(ORIG!R2160=0,"",ORIG!R2160)</f>
        <v/>
      </c>
      <c r="S2160" s="3">
        <f>IF(ORIG!S2160=0,"",ORIG!S2160)</f>
        <v/>
      </c>
      <c r="T2160" s="3">
        <f>IF(ORIG!T2160=0,"",ORIG!T2160)</f>
        <v/>
      </c>
      <c r="U2160" s="3">
        <f>IF(ORIG!U2160=0,"",ORIG!U2160)</f>
        <v/>
      </c>
      <c r="V2160" s="9">
        <f>IF(ORIG!V2160=0,"",ORIG!V2160)</f>
        <v/>
      </c>
      <c r="W2160" s="9">
        <f>IF(ORIG!W2160=0,"",ORIG!W2160)</f>
        <v/>
      </c>
      <c r="X2160" s="9">
        <f>IF(ORIG!X2160=0,"",ORIG!X2160)</f>
        <v/>
      </c>
      <c r="Y2160" s="9">
        <f>IF(ORIG!Y2160=0,"",ORIG!Y2160)</f>
        <v/>
      </c>
      <c r="Z2160" s="3">
        <f>SUMPRODUCT($B2160:$Y2160,$B$2649:$Y$2649)</f>
        <v/>
      </c>
      <c r="AA2160" s="3">
        <f>SUMPRODUCT($B2160:$Y2160,$B$2655:$Y$2655)</f>
        <v/>
      </c>
      <c r="AC2160" s="1">
        <f>A2160</f>
        <v/>
      </c>
      <c r="AD2160">
        <f>IF(ISNUMBER(V2160),V2160*($AB$1/V$2635),"")</f>
        <v/>
      </c>
      <c r="AE2160">
        <f>IF(ISNUMBER(Z2160),Z2160*($AB$1/Z$2635),"")</f>
        <v/>
      </c>
      <c r="AF2160" s="25">
        <f>IF(ISNUMBER(AD2160+AE2160),AD2160+AE2160,"")</f>
        <v/>
      </c>
      <c r="AH2160" s="1">
        <f>A2160</f>
        <v/>
      </c>
      <c r="AI2160">
        <f>IF(ISNUMBER((1+V2160)*AI2159),(1+V2160)*AI2159,AI2159)</f>
        <v/>
      </c>
      <c r="AJ2160">
        <f>IF(ISNUMBER((1+Z2160)*AJ2159),(1+Z2160)*AJ2159,AJ2159)</f>
        <v/>
      </c>
    </row>
    <row r="2161">
      <c r="A2161" s="1" t="n">
        <v>45139</v>
      </c>
      <c r="B2161" s="3">
        <f>IF(ORIG!B2161=0,"",ORIG!B2161)</f>
        <v/>
      </c>
      <c r="C2161" s="3">
        <f>IF(ORIG!C2161=0,"",ORIG!C2161)</f>
        <v/>
      </c>
      <c r="D2161" s="3">
        <f>IF(ORIG!D2161=0,"",ORIG!D2161)</f>
        <v/>
      </c>
      <c r="E2161" s="3">
        <f>IF(ORIG!E2161=0,"",ORIG!E2161)</f>
        <v/>
      </c>
      <c r="F2161" s="3">
        <f>IF(ORIG!F2161=0,"",ORIG!F2161)</f>
        <v/>
      </c>
      <c r="G2161" s="3">
        <f>IF(ORIG!G2161=0,"",ORIG!G2161)</f>
        <v/>
      </c>
      <c r="H2161" s="3">
        <f>IF(ORIG!H2161=0,"",ORIG!H2161)</f>
        <v/>
      </c>
      <c r="I2161" s="3">
        <f>IF(ORIG!I2161=0,"",ORIG!I2161)</f>
        <v/>
      </c>
      <c r="J2161" s="3">
        <f>IF(ORIG!J2161=0,"",ORIG!J2161)</f>
        <v/>
      </c>
      <c r="K2161" s="3">
        <f>IF(ORIG!K2161=0,"",ORIG!K2161)</f>
        <v/>
      </c>
      <c r="L2161" s="3">
        <f>IF(ORIG!L2161=0,"",ORIG!L2161)</f>
        <v/>
      </c>
      <c r="M2161" s="3">
        <f>IF(ORIG!M2161=0,"",ORIG!M2161)</f>
        <v/>
      </c>
      <c r="N2161" s="3">
        <f>IF(ORIG!N2161=0,"",ORIG!N2161)</f>
        <v/>
      </c>
      <c r="O2161" s="3">
        <f>IF(ORIG!O2161=0,"",ORIG!O2161)</f>
        <v/>
      </c>
      <c r="P2161" s="3">
        <f>IF(ORIG!P2161=0,"",ORIG!P2161)</f>
        <v/>
      </c>
      <c r="Q2161" s="3">
        <f>IF(ORIG!Q2161=0,"",ORIG!Q2161)</f>
        <v/>
      </c>
      <c r="R2161" s="3">
        <f>IF(ORIG!R2161=0,"",ORIG!R2161)</f>
        <v/>
      </c>
      <c r="S2161" s="3">
        <f>IF(ORIG!S2161=0,"",ORIG!S2161)</f>
        <v/>
      </c>
      <c r="T2161" s="3">
        <f>IF(ORIG!T2161=0,"",ORIG!T2161)</f>
        <v/>
      </c>
      <c r="U2161" s="3">
        <f>IF(ORIG!U2161=0,"",ORIG!U2161)</f>
        <v/>
      </c>
      <c r="V2161" s="9">
        <f>IF(ORIG!V2161=0,"",ORIG!V2161)</f>
        <v/>
      </c>
      <c r="W2161" s="9">
        <f>IF(ORIG!W2161=0,"",ORIG!W2161)</f>
        <v/>
      </c>
      <c r="X2161" s="9">
        <f>IF(ORIG!X2161=0,"",ORIG!X2161)</f>
        <v/>
      </c>
      <c r="Y2161" s="9">
        <f>IF(ORIG!Y2161=0,"",ORIG!Y2161)</f>
        <v/>
      </c>
      <c r="Z2161" s="3">
        <f>SUMPRODUCT($B2161:$Y2161,$B$2649:$Y$2649)</f>
        <v/>
      </c>
      <c r="AA2161" s="3">
        <f>SUMPRODUCT($B2161:$Y2161,$B$2655:$Y$2655)</f>
        <v/>
      </c>
      <c r="AC2161" s="1">
        <f>A2161</f>
        <v/>
      </c>
      <c r="AD2161">
        <f>IF(ISNUMBER(V2161),V2161*($AB$1/V$2635),"")</f>
        <v/>
      </c>
      <c r="AE2161">
        <f>IF(ISNUMBER(Z2161),Z2161*($AB$1/Z$2635),"")</f>
        <v/>
      </c>
      <c r="AF2161" s="25">
        <f>IF(ISNUMBER(AD2161+AE2161),AD2161+AE2161,"")</f>
        <v/>
      </c>
      <c r="AH2161" s="1">
        <f>A2161</f>
        <v/>
      </c>
      <c r="AI2161">
        <f>IF(ISNUMBER((1+V2161)*AI2160),(1+V2161)*AI2160,AI2160)</f>
        <v/>
      </c>
      <c r="AJ2161">
        <f>IF(ISNUMBER((1+Z2161)*AJ2160),(1+Z2161)*AJ2160,AJ2160)</f>
        <v/>
      </c>
    </row>
    <row r="2162">
      <c r="A2162" s="1" t="n">
        <v>45140</v>
      </c>
      <c r="B2162" s="3">
        <f>IF(ORIG!B2162=0,"",ORIG!B2162)</f>
        <v/>
      </c>
      <c r="C2162" s="3">
        <f>IF(ORIG!C2162=0,"",ORIG!C2162)</f>
        <v/>
      </c>
      <c r="D2162" s="3">
        <f>IF(ORIG!D2162=0,"",ORIG!D2162)</f>
        <v/>
      </c>
      <c r="E2162" s="3">
        <f>IF(ORIG!E2162=0,"",ORIG!E2162)</f>
        <v/>
      </c>
      <c r="F2162" s="3">
        <f>IF(ORIG!F2162=0,"",ORIG!F2162)</f>
        <v/>
      </c>
      <c r="G2162" s="3">
        <f>IF(ORIG!G2162=0,"",ORIG!G2162)</f>
        <v/>
      </c>
      <c r="H2162" s="3">
        <f>IF(ORIG!H2162=0,"",ORIG!H2162)</f>
        <v/>
      </c>
      <c r="I2162" s="3">
        <f>IF(ORIG!I2162=0,"",ORIG!I2162)</f>
        <v/>
      </c>
      <c r="J2162" s="3">
        <f>IF(ORIG!J2162=0,"",ORIG!J2162)</f>
        <v/>
      </c>
      <c r="K2162" s="3">
        <f>IF(ORIG!K2162=0,"",ORIG!K2162)</f>
        <v/>
      </c>
      <c r="L2162" s="3">
        <f>IF(ORIG!L2162=0,"",ORIG!L2162)</f>
        <v/>
      </c>
      <c r="M2162" s="3">
        <f>IF(ORIG!M2162=0,"",ORIG!M2162)</f>
        <v/>
      </c>
      <c r="N2162" s="3">
        <f>IF(ORIG!N2162=0,"",ORIG!N2162)</f>
        <v/>
      </c>
      <c r="O2162" s="3">
        <f>IF(ORIG!O2162=0,"",ORIG!O2162)</f>
        <v/>
      </c>
      <c r="P2162" s="3">
        <f>IF(ORIG!P2162=0,"",ORIG!P2162)</f>
        <v/>
      </c>
      <c r="Q2162" s="3">
        <f>IF(ORIG!Q2162=0,"",ORIG!Q2162)</f>
        <v/>
      </c>
      <c r="R2162" s="3">
        <f>IF(ORIG!R2162=0,"",ORIG!R2162)</f>
        <v/>
      </c>
      <c r="S2162" s="3">
        <f>IF(ORIG!S2162=0,"",ORIG!S2162)</f>
        <v/>
      </c>
      <c r="T2162" s="3">
        <f>IF(ORIG!T2162=0,"",ORIG!T2162)</f>
        <v/>
      </c>
      <c r="U2162" s="3">
        <f>IF(ORIG!U2162=0,"",ORIG!U2162)</f>
        <v/>
      </c>
      <c r="V2162" s="9">
        <f>IF(ORIG!V2162=0,"",ORIG!V2162)</f>
        <v/>
      </c>
      <c r="W2162" s="9">
        <f>IF(ORIG!W2162=0,"",ORIG!W2162)</f>
        <v/>
      </c>
      <c r="X2162" s="9">
        <f>IF(ORIG!X2162=0,"",ORIG!X2162)</f>
        <v/>
      </c>
      <c r="Y2162" s="9">
        <f>IF(ORIG!Y2162=0,"",ORIG!Y2162)</f>
        <v/>
      </c>
      <c r="Z2162" s="3">
        <f>SUMPRODUCT($B2162:$Y2162,$B$2649:$Y$2649)</f>
        <v/>
      </c>
      <c r="AA2162" s="3">
        <f>SUMPRODUCT($B2162:$Y2162,$B$2655:$Y$2655)</f>
        <v/>
      </c>
      <c r="AC2162" s="1">
        <f>A2162</f>
        <v/>
      </c>
      <c r="AD2162">
        <f>IF(ISNUMBER(V2162),V2162*($AB$1/V$2635),"")</f>
        <v/>
      </c>
      <c r="AE2162">
        <f>IF(ISNUMBER(Z2162),Z2162*($AB$1/Z$2635),"")</f>
        <v/>
      </c>
      <c r="AF2162" s="25">
        <f>IF(ISNUMBER(AD2162+AE2162),AD2162+AE2162,"")</f>
        <v/>
      </c>
      <c r="AH2162" s="1">
        <f>A2162</f>
        <v/>
      </c>
      <c r="AI2162">
        <f>IF(ISNUMBER((1+V2162)*AI2161),(1+V2162)*AI2161,AI2161)</f>
        <v/>
      </c>
      <c r="AJ2162">
        <f>IF(ISNUMBER((1+Z2162)*AJ2161),(1+Z2162)*AJ2161,AJ2161)</f>
        <v/>
      </c>
    </row>
    <row r="2163">
      <c r="A2163" s="1" t="n">
        <v>45141</v>
      </c>
      <c r="B2163" s="3">
        <f>IF(ORIG!B2163=0,"",ORIG!B2163)</f>
        <v/>
      </c>
      <c r="C2163" s="3">
        <f>IF(ORIG!C2163=0,"",ORIG!C2163)</f>
        <v/>
      </c>
      <c r="D2163" s="3">
        <f>IF(ORIG!D2163=0,"",ORIG!D2163)</f>
        <v/>
      </c>
      <c r="E2163" s="3">
        <f>IF(ORIG!E2163=0,"",ORIG!E2163)</f>
        <v/>
      </c>
      <c r="F2163" s="3">
        <f>IF(ORIG!F2163=0,"",ORIG!F2163)</f>
        <v/>
      </c>
      <c r="G2163" s="3">
        <f>IF(ORIG!G2163=0,"",ORIG!G2163)</f>
        <v/>
      </c>
      <c r="H2163" s="3">
        <f>IF(ORIG!H2163=0,"",ORIG!H2163)</f>
        <v/>
      </c>
      <c r="I2163" s="3">
        <f>IF(ORIG!I2163=0,"",ORIG!I2163)</f>
        <v/>
      </c>
      <c r="J2163" s="3">
        <f>IF(ORIG!J2163=0,"",ORIG!J2163)</f>
        <v/>
      </c>
      <c r="K2163" s="3">
        <f>IF(ORIG!K2163=0,"",ORIG!K2163)</f>
        <v/>
      </c>
      <c r="L2163" s="3">
        <f>IF(ORIG!L2163=0,"",ORIG!L2163)</f>
        <v/>
      </c>
      <c r="M2163" s="3">
        <f>IF(ORIG!M2163=0,"",ORIG!M2163)</f>
        <v/>
      </c>
      <c r="N2163" s="3">
        <f>IF(ORIG!N2163=0,"",ORIG!N2163)</f>
        <v/>
      </c>
      <c r="O2163" s="3">
        <f>IF(ORIG!O2163=0,"",ORIG!O2163)</f>
        <v/>
      </c>
      <c r="P2163" s="3">
        <f>IF(ORIG!P2163=0,"",ORIG!P2163)</f>
        <v/>
      </c>
      <c r="Q2163" s="3">
        <f>IF(ORIG!Q2163=0,"",ORIG!Q2163)</f>
        <v/>
      </c>
      <c r="R2163" s="3">
        <f>IF(ORIG!R2163=0,"",ORIG!R2163)</f>
        <v/>
      </c>
      <c r="S2163" s="3">
        <f>IF(ORIG!S2163=0,"",ORIG!S2163)</f>
        <v/>
      </c>
      <c r="T2163" s="3">
        <f>IF(ORIG!T2163=0,"",ORIG!T2163)</f>
        <v/>
      </c>
      <c r="U2163" s="3">
        <f>IF(ORIG!U2163=0,"",ORIG!U2163)</f>
        <v/>
      </c>
      <c r="V2163" s="9">
        <f>IF(ORIG!V2163=0,"",ORIG!V2163)</f>
        <v/>
      </c>
      <c r="W2163" s="9">
        <f>IF(ORIG!W2163=0,"",ORIG!W2163)</f>
        <v/>
      </c>
      <c r="X2163" s="9">
        <f>IF(ORIG!X2163=0,"",ORIG!X2163)</f>
        <v/>
      </c>
      <c r="Y2163" s="9">
        <f>IF(ORIG!Y2163=0,"",ORIG!Y2163)</f>
        <v/>
      </c>
      <c r="Z2163" s="3">
        <f>SUMPRODUCT($B2163:$Y2163,$B$2649:$Y$2649)</f>
        <v/>
      </c>
      <c r="AA2163" s="3">
        <f>SUMPRODUCT($B2163:$Y2163,$B$2655:$Y$2655)</f>
        <v/>
      </c>
      <c r="AC2163" s="1">
        <f>A2163</f>
        <v/>
      </c>
      <c r="AD2163">
        <f>IF(ISNUMBER(V2163),V2163*($AB$1/V$2635),"")</f>
        <v/>
      </c>
      <c r="AE2163">
        <f>IF(ISNUMBER(Z2163),Z2163*($AB$1/Z$2635),"")</f>
        <v/>
      </c>
      <c r="AF2163" s="25">
        <f>IF(ISNUMBER(AD2163+AE2163),AD2163+AE2163,"")</f>
        <v/>
      </c>
      <c r="AH2163" s="1">
        <f>A2163</f>
        <v/>
      </c>
      <c r="AI2163">
        <f>IF(ISNUMBER((1+V2163)*AI2162),(1+V2163)*AI2162,AI2162)</f>
        <v/>
      </c>
      <c r="AJ2163">
        <f>IF(ISNUMBER((1+Z2163)*AJ2162),(1+Z2163)*AJ2162,AJ2162)</f>
        <v/>
      </c>
    </row>
    <row r="2164">
      <c r="A2164" s="1" t="n">
        <v>45142</v>
      </c>
      <c r="B2164" s="3">
        <f>IF(ORIG!B2164=0,"",ORIG!B2164)</f>
        <v/>
      </c>
      <c r="C2164" s="3">
        <f>IF(ORIG!C2164=0,"",ORIG!C2164)</f>
        <v/>
      </c>
      <c r="D2164" s="3">
        <f>IF(ORIG!D2164=0,"",ORIG!D2164)</f>
        <v/>
      </c>
      <c r="E2164" s="3">
        <f>IF(ORIG!E2164=0,"",ORIG!E2164)</f>
        <v/>
      </c>
      <c r="F2164" s="3">
        <f>IF(ORIG!F2164=0,"",ORIG!F2164)</f>
        <v/>
      </c>
      <c r="G2164" s="3">
        <f>IF(ORIG!G2164=0,"",ORIG!G2164)</f>
        <v/>
      </c>
      <c r="H2164" s="3">
        <f>IF(ORIG!H2164=0,"",ORIG!H2164)</f>
        <v/>
      </c>
      <c r="I2164" s="3">
        <f>IF(ORIG!I2164=0,"",ORIG!I2164)</f>
        <v/>
      </c>
      <c r="J2164" s="3">
        <f>IF(ORIG!J2164=0,"",ORIG!J2164)</f>
        <v/>
      </c>
      <c r="K2164" s="3">
        <f>IF(ORIG!K2164=0,"",ORIG!K2164)</f>
        <v/>
      </c>
      <c r="L2164" s="3">
        <f>IF(ORIG!L2164=0,"",ORIG!L2164)</f>
        <v/>
      </c>
      <c r="M2164" s="3">
        <f>IF(ORIG!M2164=0,"",ORIG!M2164)</f>
        <v/>
      </c>
      <c r="N2164" s="3">
        <f>IF(ORIG!N2164=0,"",ORIG!N2164)</f>
        <v/>
      </c>
      <c r="O2164" s="3">
        <f>IF(ORIG!O2164=0,"",ORIG!O2164)</f>
        <v/>
      </c>
      <c r="P2164" s="3">
        <f>IF(ORIG!P2164=0,"",ORIG!P2164)</f>
        <v/>
      </c>
      <c r="Q2164" s="3">
        <f>IF(ORIG!Q2164=0,"",ORIG!Q2164)</f>
        <v/>
      </c>
      <c r="R2164" s="3">
        <f>IF(ORIG!R2164=0,"",ORIG!R2164)</f>
        <v/>
      </c>
      <c r="S2164" s="3">
        <f>IF(ORIG!S2164=0,"",ORIG!S2164)</f>
        <v/>
      </c>
      <c r="T2164" s="3">
        <f>IF(ORIG!T2164=0,"",ORIG!T2164)</f>
        <v/>
      </c>
      <c r="U2164" s="3">
        <f>IF(ORIG!U2164=0,"",ORIG!U2164)</f>
        <v/>
      </c>
      <c r="V2164" s="9">
        <f>IF(ORIG!V2164=0,"",ORIG!V2164)</f>
        <v/>
      </c>
      <c r="W2164" s="9">
        <f>IF(ORIG!W2164=0,"",ORIG!W2164)</f>
        <v/>
      </c>
      <c r="X2164" s="9">
        <f>IF(ORIG!X2164=0,"",ORIG!X2164)</f>
        <v/>
      </c>
      <c r="Y2164" s="9">
        <f>IF(ORIG!Y2164=0,"",ORIG!Y2164)</f>
        <v/>
      </c>
      <c r="Z2164" s="3">
        <f>SUMPRODUCT($B2164:$Y2164,$B$2649:$Y$2649)</f>
        <v/>
      </c>
      <c r="AA2164" s="3">
        <f>SUMPRODUCT($B2164:$Y2164,$B$2655:$Y$2655)</f>
        <v/>
      </c>
      <c r="AC2164" s="1">
        <f>A2164</f>
        <v/>
      </c>
      <c r="AD2164">
        <f>IF(ISNUMBER(V2164),V2164*($AB$1/V$2635),"")</f>
        <v/>
      </c>
      <c r="AE2164">
        <f>IF(ISNUMBER(Z2164),Z2164*($AB$1/Z$2635),"")</f>
        <v/>
      </c>
      <c r="AF2164" s="25">
        <f>IF(ISNUMBER(AD2164+AE2164),AD2164+AE2164,"")</f>
        <v/>
      </c>
      <c r="AH2164" s="1">
        <f>A2164</f>
        <v/>
      </c>
      <c r="AI2164">
        <f>IF(ISNUMBER((1+V2164)*AI2163),(1+V2164)*AI2163,AI2163)</f>
        <v/>
      </c>
      <c r="AJ2164">
        <f>IF(ISNUMBER((1+Z2164)*AJ2163),(1+Z2164)*AJ2163,AJ2163)</f>
        <v/>
      </c>
    </row>
    <row r="2165">
      <c r="A2165" s="1" t="n">
        <v>45145</v>
      </c>
      <c r="B2165" s="3">
        <f>IF(ORIG!B2165=0,"",ORIG!B2165)</f>
        <v/>
      </c>
      <c r="C2165" s="3">
        <f>IF(ORIG!C2165=0,"",ORIG!C2165)</f>
        <v/>
      </c>
      <c r="D2165" s="3">
        <f>IF(ORIG!D2165=0,"",ORIG!D2165)</f>
        <v/>
      </c>
      <c r="E2165" s="3">
        <f>IF(ORIG!E2165=0,"",ORIG!E2165)</f>
        <v/>
      </c>
      <c r="F2165" s="3">
        <f>IF(ORIG!F2165=0,"",ORIG!F2165)</f>
        <v/>
      </c>
      <c r="G2165" s="3">
        <f>IF(ORIG!G2165=0,"",ORIG!G2165)</f>
        <v/>
      </c>
      <c r="H2165" s="3">
        <f>IF(ORIG!H2165=0,"",ORIG!H2165)</f>
        <v/>
      </c>
      <c r="I2165" s="3">
        <f>IF(ORIG!I2165=0,"",ORIG!I2165)</f>
        <v/>
      </c>
      <c r="J2165" s="3">
        <f>IF(ORIG!J2165=0,"",ORIG!J2165)</f>
        <v/>
      </c>
      <c r="K2165" s="3">
        <f>IF(ORIG!K2165=0,"",ORIG!K2165)</f>
        <v/>
      </c>
      <c r="L2165" s="3">
        <f>IF(ORIG!L2165=0,"",ORIG!L2165)</f>
        <v/>
      </c>
      <c r="M2165" s="3">
        <f>IF(ORIG!M2165=0,"",ORIG!M2165)</f>
        <v/>
      </c>
      <c r="N2165" s="3">
        <f>IF(ORIG!N2165=0,"",ORIG!N2165)</f>
        <v/>
      </c>
      <c r="O2165" s="3">
        <f>IF(ORIG!O2165=0,"",ORIG!O2165)</f>
        <v/>
      </c>
      <c r="P2165" s="3">
        <f>IF(ORIG!P2165=0,"",ORIG!P2165)</f>
        <v/>
      </c>
      <c r="Q2165" s="3">
        <f>IF(ORIG!Q2165=0,"",ORIG!Q2165)</f>
        <v/>
      </c>
      <c r="R2165" s="3">
        <f>IF(ORIG!R2165=0,"",ORIG!R2165)</f>
        <v/>
      </c>
      <c r="S2165" s="3">
        <f>IF(ORIG!S2165=0,"",ORIG!S2165)</f>
        <v/>
      </c>
      <c r="T2165" s="3">
        <f>IF(ORIG!T2165=0,"",ORIG!T2165)</f>
        <v/>
      </c>
      <c r="U2165" s="3">
        <f>IF(ORIG!U2165=0,"",ORIG!U2165)</f>
        <v/>
      </c>
      <c r="V2165" s="9">
        <f>IF(ORIG!V2165=0,"",ORIG!V2165)</f>
        <v/>
      </c>
      <c r="W2165" s="9">
        <f>IF(ORIG!W2165=0,"",ORIG!W2165)</f>
        <v/>
      </c>
      <c r="X2165" s="9">
        <f>IF(ORIG!X2165=0,"",ORIG!X2165)</f>
        <v/>
      </c>
      <c r="Y2165" s="9">
        <f>IF(ORIG!Y2165=0,"",ORIG!Y2165)</f>
        <v/>
      </c>
      <c r="Z2165" s="3">
        <f>SUMPRODUCT($B2165:$Y2165,$B$2649:$Y$2649)</f>
        <v/>
      </c>
      <c r="AA2165" s="3">
        <f>SUMPRODUCT($B2165:$Y2165,$B$2655:$Y$2655)</f>
        <v/>
      </c>
      <c r="AC2165" s="1">
        <f>A2165</f>
        <v/>
      </c>
      <c r="AD2165">
        <f>IF(ISNUMBER(V2165),V2165*($AB$1/V$2635),"")</f>
        <v/>
      </c>
      <c r="AE2165">
        <f>IF(ISNUMBER(Z2165),Z2165*($AB$1/Z$2635),"")</f>
        <v/>
      </c>
      <c r="AF2165" s="25">
        <f>IF(ISNUMBER(AD2165+AE2165),AD2165+AE2165,"")</f>
        <v/>
      </c>
      <c r="AH2165" s="1">
        <f>A2165</f>
        <v/>
      </c>
      <c r="AI2165">
        <f>IF(ISNUMBER((1+V2165)*AI2164),(1+V2165)*AI2164,AI2164)</f>
        <v/>
      </c>
      <c r="AJ2165">
        <f>IF(ISNUMBER((1+Z2165)*AJ2164),(1+Z2165)*AJ2164,AJ2164)</f>
        <v/>
      </c>
    </row>
    <row r="2166">
      <c r="A2166" s="1" t="n">
        <v>45146</v>
      </c>
      <c r="B2166" s="3">
        <f>IF(ORIG!B2166=0,"",ORIG!B2166)</f>
        <v/>
      </c>
      <c r="C2166" s="3">
        <f>IF(ORIG!C2166=0,"",ORIG!C2166)</f>
        <v/>
      </c>
      <c r="D2166" s="3">
        <f>IF(ORIG!D2166=0,"",ORIG!D2166)</f>
        <v/>
      </c>
      <c r="E2166" s="3">
        <f>IF(ORIG!E2166=0,"",ORIG!E2166)</f>
        <v/>
      </c>
      <c r="F2166" s="3">
        <f>IF(ORIG!F2166=0,"",ORIG!F2166)</f>
        <v/>
      </c>
      <c r="G2166" s="3">
        <f>IF(ORIG!G2166=0,"",ORIG!G2166)</f>
        <v/>
      </c>
      <c r="H2166" s="3">
        <f>IF(ORIG!H2166=0,"",ORIG!H2166)</f>
        <v/>
      </c>
      <c r="I2166" s="3">
        <f>IF(ORIG!I2166=0,"",ORIG!I2166)</f>
        <v/>
      </c>
      <c r="J2166" s="3">
        <f>IF(ORIG!J2166=0,"",ORIG!J2166)</f>
        <v/>
      </c>
      <c r="K2166" s="3">
        <f>IF(ORIG!K2166=0,"",ORIG!K2166)</f>
        <v/>
      </c>
      <c r="L2166" s="3">
        <f>IF(ORIG!L2166=0,"",ORIG!L2166)</f>
        <v/>
      </c>
      <c r="M2166" s="3">
        <f>IF(ORIG!M2166=0,"",ORIG!M2166)</f>
        <v/>
      </c>
      <c r="N2166" s="3">
        <f>IF(ORIG!N2166=0,"",ORIG!N2166)</f>
        <v/>
      </c>
      <c r="O2166" s="3">
        <f>IF(ORIG!O2166=0,"",ORIG!O2166)</f>
        <v/>
      </c>
      <c r="P2166" s="3">
        <f>IF(ORIG!P2166=0,"",ORIG!P2166)</f>
        <v/>
      </c>
      <c r="Q2166" s="3">
        <f>IF(ORIG!Q2166=0,"",ORIG!Q2166)</f>
        <v/>
      </c>
      <c r="R2166" s="3">
        <f>IF(ORIG!R2166=0,"",ORIG!R2166)</f>
        <v/>
      </c>
      <c r="S2166" s="3">
        <f>IF(ORIG!S2166=0,"",ORIG!S2166)</f>
        <v/>
      </c>
      <c r="T2166" s="3">
        <f>IF(ORIG!T2166=0,"",ORIG!T2166)</f>
        <v/>
      </c>
      <c r="U2166" s="3">
        <f>IF(ORIG!U2166=0,"",ORIG!U2166)</f>
        <v/>
      </c>
      <c r="V2166" s="9">
        <f>IF(ORIG!V2166=0,"",ORIG!V2166)</f>
        <v/>
      </c>
      <c r="W2166" s="9">
        <f>IF(ORIG!W2166=0,"",ORIG!W2166)</f>
        <v/>
      </c>
      <c r="X2166" s="9">
        <f>IF(ORIG!X2166=0,"",ORIG!X2166)</f>
        <v/>
      </c>
      <c r="Y2166" s="9">
        <f>IF(ORIG!Y2166=0,"",ORIG!Y2166)</f>
        <v/>
      </c>
      <c r="Z2166" s="3">
        <f>SUMPRODUCT($B2166:$Y2166,$B$2649:$Y$2649)</f>
        <v/>
      </c>
      <c r="AA2166" s="3">
        <f>SUMPRODUCT($B2166:$Y2166,$B$2655:$Y$2655)</f>
        <v/>
      </c>
      <c r="AC2166" s="1">
        <f>A2166</f>
        <v/>
      </c>
      <c r="AD2166">
        <f>IF(ISNUMBER(V2166),V2166*($AB$1/V$2635),"")</f>
        <v/>
      </c>
      <c r="AE2166">
        <f>IF(ISNUMBER(Z2166),Z2166*($AB$1/Z$2635),"")</f>
        <v/>
      </c>
      <c r="AF2166" s="25">
        <f>IF(ISNUMBER(AD2166+AE2166),AD2166+AE2166,"")</f>
        <v/>
      </c>
      <c r="AH2166" s="1">
        <f>A2166</f>
        <v/>
      </c>
      <c r="AI2166">
        <f>IF(ISNUMBER((1+V2166)*AI2165),(1+V2166)*AI2165,AI2165)</f>
        <v/>
      </c>
      <c r="AJ2166">
        <f>IF(ISNUMBER((1+Z2166)*AJ2165),(1+Z2166)*AJ2165,AJ2165)</f>
        <v/>
      </c>
    </row>
    <row r="2167">
      <c r="A2167" s="1" t="n">
        <v>45147</v>
      </c>
      <c r="B2167" s="3">
        <f>IF(ORIG!B2167=0,"",ORIG!B2167)</f>
        <v/>
      </c>
      <c r="C2167" s="3">
        <f>IF(ORIG!C2167=0,"",ORIG!C2167)</f>
        <v/>
      </c>
      <c r="D2167" s="3">
        <f>IF(ORIG!D2167=0,"",ORIG!D2167)</f>
        <v/>
      </c>
      <c r="E2167" s="3">
        <f>IF(ORIG!E2167=0,"",ORIG!E2167)</f>
        <v/>
      </c>
      <c r="F2167" s="3">
        <f>IF(ORIG!F2167=0,"",ORIG!F2167)</f>
        <v/>
      </c>
      <c r="G2167" s="3">
        <f>IF(ORIG!G2167=0,"",ORIG!G2167)</f>
        <v/>
      </c>
      <c r="H2167" s="3">
        <f>IF(ORIG!H2167=0,"",ORIG!H2167)</f>
        <v/>
      </c>
      <c r="I2167" s="3">
        <f>IF(ORIG!I2167=0,"",ORIG!I2167)</f>
        <v/>
      </c>
      <c r="J2167" s="3">
        <f>IF(ORIG!J2167=0,"",ORIG!J2167)</f>
        <v/>
      </c>
      <c r="K2167" s="3">
        <f>IF(ORIG!K2167=0,"",ORIG!K2167)</f>
        <v/>
      </c>
      <c r="L2167" s="3">
        <f>IF(ORIG!L2167=0,"",ORIG!L2167)</f>
        <v/>
      </c>
      <c r="M2167" s="3">
        <f>IF(ORIG!M2167=0,"",ORIG!M2167)</f>
        <v/>
      </c>
      <c r="N2167" s="3">
        <f>IF(ORIG!N2167=0,"",ORIG!N2167)</f>
        <v/>
      </c>
      <c r="O2167" s="3">
        <f>IF(ORIG!O2167=0,"",ORIG!O2167)</f>
        <v/>
      </c>
      <c r="P2167" s="3">
        <f>IF(ORIG!P2167=0,"",ORIG!P2167)</f>
        <v/>
      </c>
      <c r="Q2167" s="3">
        <f>IF(ORIG!Q2167=0,"",ORIG!Q2167)</f>
        <v/>
      </c>
      <c r="R2167" s="3">
        <f>IF(ORIG!R2167=0,"",ORIG!R2167)</f>
        <v/>
      </c>
      <c r="S2167" s="3">
        <f>IF(ORIG!S2167=0,"",ORIG!S2167)</f>
        <v/>
      </c>
      <c r="T2167" s="3">
        <f>IF(ORIG!T2167=0,"",ORIG!T2167)</f>
        <v/>
      </c>
      <c r="U2167" s="3">
        <f>IF(ORIG!U2167=0,"",ORIG!U2167)</f>
        <v/>
      </c>
      <c r="V2167" s="9">
        <f>IF(ORIG!V2167=0,"",ORIG!V2167)</f>
        <v/>
      </c>
      <c r="W2167" s="9">
        <f>IF(ORIG!W2167=0,"",ORIG!W2167)</f>
        <v/>
      </c>
      <c r="X2167" s="9">
        <f>IF(ORIG!X2167=0,"",ORIG!X2167)</f>
        <v/>
      </c>
      <c r="Y2167" s="9">
        <f>IF(ORIG!Y2167=0,"",ORIG!Y2167)</f>
        <v/>
      </c>
      <c r="Z2167" s="3">
        <f>SUMPRODUCT($B2167:$Y2167,$B$2649:$Y$2649)</f>
        <v/>
      </c>
      <c r="AA2167" s="3">
        <f>SUMPRODUCT($B2167:$Y2167,$B$2655:$Y$2655)</f>
        <v/>
      </c>
      <c r="AC2167" s="1">
        <f>A2167</f>
        <v/>
      </c>
      <c r="AD2167">
        <f>IF(ISNUMBER(V2167),V2167*($AB$1/V$2635),"")</f>
        <v/>
      </c>
      <c r="AE2167">
        <f>IF(ISNUMBER(Z2167),Z2167*($AB$1/Z$2635),"")</f>
        <v/>
      </c>
      <c r="AF2167" s="25">
        <f>IF(ISNUMBER(AD2167+AE2167),AD2167+AE2167,"")</f>
        <v/>
      </c>
      <c r="AH2167" s="1">
        <f>A2167</f>
        <v/>
      </c>
      <c r="AI2167">
        <f>IF(ISNUMBER((1+V2167)*AI2166),(1+V2167)*AI2166,AI2166)</f>
        <v/>
      </c>
      <c r="AJ2167">
        <f>IF(ISNUMBER((1+Z2167)*AJ2166),(1+Z2167)*AJ2166,AJ2166)</f>
        <v/>
      </c>
    </row>
    <row r="2168">
      <c r="A2168" s="1" t="n">
        <v>45148</v>
      </c>
      <c r="B2168" s="3">
        <f>IF(ORIG!B2168=0,"",ORIG!B2168)</f>
        <v/>
      </c>
      <c r="C2168" s="3">
        <f>IF(ORIG!C2168=0,"",ORIG!C2168)</f>
        <v/>
      </c>
      <c r="D2168" s="3">
        <f>IF(ORIG!D2168=0,"",ORIG!D2168)</f>
        <v/>
      </c>
      <c r="E2168" s="3">
        <f>IF(ORIG!E2168=0,"",ORIG!E2168)</f>
        <v/>
      </c>
      <c r="F2168" s="3">
        <f>IF(ORIG!F2168=0,"",ORIG!F2168)</f>
        <v/>
      </c>
      <c r="G2168" s="3">
        <f>IF(ORIG!G2168=0,"",ORIG!G2168)</f>
        <v/>
      </c>
      <c r="H2168" s="3">
        <f>IF(ORIG!H2168=0,"",ORIG!H2168)</f>
        <v/>
      </c>
      <c r="I2168" s="3">
        <f>IF(ORIG!I2168=0,"",ORIG!I2168)</f>
        <v/>
      </c>
      <c r="J2168" s="3">
        <f>IF(ORIG!J2168=0,"",ORIG!J2168)</f>
        <v/>
      </c>
      <c r="K2168" s="3">
        <f>IF(ORIG!K2168=0,"",ORIG!K2168)</f>
        <v/>
      </c>
      <c r="L2168" s="3">
        <f>IF(ORIG!L2168=0,"",ORIG!L2168)</f>
        <v/>
      </c>
      <c r="M2168" s="3">
        <f>IF(ORIG!M2168=0,"",ORIG!M2168)</f>
        <v/>
      </c>
      <c r="N2168" s="3">
        <f>IF(ORIG!N2168=0,"",ORIG!N2168)</f>
        <v/>
      </c>
      <c r="O2168" s="3">
        <f>IF(ORIG!O2168=0,"",ORIG!O2168)</f>
        <v/>
      </c>
      <c r="P2168" s="3">
        <f>IF(ORIG!P2168=0,"",ORIG!P2168)</f>
        <v/>
      </c>
      <c r="Q2168" s="3">
        <f>IF(ORIG!Q2168=0,"",ORIG!Q2168)</f>
        <v/>
      </c>
      <c r="R2168" s="3">
        <f>IF(ORIG!R2168=0,"",ORIG!R2168)</f>
        <v/>
      </c>
      <c r="S2168" s="3">
        <f>IF(ORIG!S2168=0,"",ORIG!S2168)</f>
        <v/>
      </c>
      <c r="T2168" s="3">
        <f>IF(ORIG!T2168=0,"",ORIG!T2168)</f>
        <v/>
      </c>
      <c r="U2168" s="3">
        <f>IF(ORIG!U2168=0,"",ORIG!U2168)</f>
        <v/>
      </c>
      <c r="V2168" s="9">
        <f>IF(ORIG!V2168=0,"",ORIG!V2168)</f>
        <v/>
      </c>
      <c r="W2168" s="9">
        <f>IF(ORIG!W2168=0,"",ORIG!W2168)</f>
        <v/>
      </c>
      <c r="X2168" s="9">
        <f>IF(ORIG!X2168=0,"",ORIG!X2168)</f>
        <v/>
      </c>
      <c r="Y2168" s="9">
        <f>IF(ORIG!Y2168=0,"",ORIG!Y2168)</f>
        <v/>
      </c>
      <c r="Z2168" s="3">
        <f>SUMPRODUCT($B2168:$Y2168,$B$2649:$Y$2649)</f>
        <v/>
      </c>
      <c r="AA2168" s="3">
        <f>SUMPRODUCT($B2168:$Y2168,$B$2655:$Y$2655)</f>
        <v/>
      </c>
      <c r="AC2168" s="1">
        <f>A2168</f>
        <v/>
      </c>
      <c r="AD2168">
        <f>IF(ISNUMBER(V2168),V2168*($AB$1/V$2635),"")</f>
        <v/>
      </c>
      <c r="AE2168">
        <f>IF(ISNUMBER(Z2168),Z2168*($AB$1/Z$2635),"")</f>
        <v/>
      </c>
      <c r="AF2168" s="25">
        <f>IF(ISNUMBER(AD2168+AE2168),AD2168+AE2168,"")</f>
        <v/>
      </c>
      <c r="AH2168" s="1">
        <f>A2168</f>
        <v/>
      </c>
      <c r="AI2168">
        <f>IF(ISNUMBER((1+V2168)*AI2167),(1+V2168)*AI2167,AI2167)</f>
        <v/>
      </c>
      <c r="AJ2168">
        <f>IF(ISNUMBER((1+Z2168)*AJ2167),(1+Z2168)*AJ2167,AJ2167)</f>
        <v/>
      </c>
    </row>
    <row r="2169">
      <c r="A2169" s="1" t="n">
        <v>45149</v>
      </c>
      <c r="B2169" s="3">
        <f>IF(ORIG!B2169=0,"",ORIG!B2169)</f>
        <v/>
      </c>
      <c r="C2169" s="3">
        <f>IF(ORIG!C2169=0,"",ORIG!C2169)</f>
        <v/>
      </c>
      <c r="D2169" s="3">
        <f>IF(ORIG!D2169=0,"",ORIG!D2169)</f>
        <v/>
      </c>
      <c r="E2169" s="3">
        <f>IF(ORIG!E2169=0,"",ORIG!E2169)</f>
        <v/>
      </c>
      <c r="F2169" s="3">
        <f>IF(ORIG!F2169=0,"",ORIG!F2169)</f>
        <v/>
      </c>
      <c r="G2169" s="3">
        <f>IF(ORIG!G2169=0,"",ORIG!G2169)</f>
        <v/>
      </c>
      <c r="H2169" s="3">
        <f>IF(ORIG!H2169=0,"",ORIG!H2169)</f>
        <v/>
      </c>
      <c r="I2169" s="3">
        <f>IF(ORIG!I2169=0,"",ORIG!I2169)</f>
        <v/>
      </c>
      <c r="J2169" s="3">
        <f>IF(ORIG!J2169=0,"",ORIG!J2169)</f>
        <v/>
      </c>
      <c r="K2169" s="3">
        <f>IF(ORIG!K2169=0,"",ORIG!K2169)</f>
        <v/>
      </c>
      <c r="L2169" s="3">
        <f>IF(ORIG!L2169=0,"",ORIG!L2169)</f>
        <v/>
      </c>
      <c r="M2169" s="3">
        <f>IF(ORIG!M2169=0,"",ORIG!M2169)</f>
        <v/>
      </c>
      <c r="N2169" s="3">
        <f>IF(ORIG!N2169=0,"",ORIG!N2169)</f>
        <v/>
      </c>
      <c r="O2169" s="3">
        <f>IF(ORIG!O2169=0,"",ORIG!O2169)</f>
        <v/>
      </c>
      <c r="P2169" s="3">
        <f>IF(ORIG!P2169=0,"",ORIG!P2169)</f>
        <v/>
      </c>
      <c r="Q2169" s="3">
        <f>IF(ORIG!Q2169=0,"",ORIG!Q2169)</f>
        <v/>
      </c>
      <c r="R2169" s="3">
        <f>IF(ORIG!R2169=0,"",ORIG!R2169)</f>
        <v/>
      </c>
      <c r="S2169" s="3">
        <f>IF(ORIG!S2169=0,"",ORIG!S2169)</f>
        <v/>
      </c>
      <c r="T2169" s="3">
        <f>IF(ORIG!T2169=0,"",ORIG!T2169)</f>
        <v/>
      </c>
      <c r="U2169" s="3">
        <f>IF(ORIG!U2169=0,"",ORIG!U2169)</f>
        <v/>
      </c>
      <c r="V2169" s="9">
        <f>IF(ORIG!V2169=0,"",ORIG!V2169)</f>
        <v/>
      </c>
      <c r="W2169" s="9">
        <f>IF(ORIG!W2169=0,"",ORIG!W2169)</f>
        <v/>
      </c>
      <c r="X2169" s="9">
        <f>IF(ORIG!X2169=0,"",ORIG!X2169)</f>
        <v/>
      </c>
      <c r="Y2169" s="9">
        <f>IF(ORIG!Y2169=0,"",ORIG!Y2169)</f>
        <v/>
      </c>
      <c r="Z2169" s="3">
        <f>SUMPRODUCT($B2169:$Y2169,$B$2649:$Y$2649)</f>
        <v/>
      </c>
      <c r="AA2169" s="3">
        <f>SUMPRODUCT($B2169:$Y2169,$B$2655:$Y$2655)</f>
        <v/>
      </c>
      <c r="AC2169" s="1">
        <f>A2169</f>
        <v/>
      </c>
      <c r="AD2169">
        <f>IF(ISNUMBER(V2169),V2169*($AB$1/V$2635),"")</f>
        <v/>
      </c>
      <c r="AE2169">
        <f>IF(ISNUMBER(Z2169),Z2169*($AB$1/Z$2635),"")</f>
        <v/>
      </c>
      <c r="AF2169" s="25">
        <f>IF(ISNUMBER(AD2169+AE2169),AD2169+AE2169,"")</f>
        <v/>
      </c>
      <c r="AH2169" s="1">
        <f>A2169</f>
        <v/>
      </c>
      <c r="AI2169">
        <f>IF(ISNUMBER((1+V2169)*AI2168),(1+V2169)*AI2168,AI2168)</f>
        <v/>
      </c>
      <c r="AJ2169">
        <f>IF(ISNUMBER((1+Z2169)*AJ2168),(1+Z2169)*AJ2168,AJ2168)</f>
        <v/>
      </c>
    </row>
    <row r="2170">
      <c r="A2170" s="1" t="n">
        <v>45152</v>
      </c>
      <c r="B2170" s="3">
        <f>IF(ORIG!B2170=0,"",ORIG!B2170)</f>
        <v/>
      </c>
      <c r="C2170" s="3">
        <f>IF(ORIG!C2170=0,"",ORIG!C2170)</f>
        <v/>
      </c>
      <c r="D2170" s="3">
        <f>IF(ORIG!D2170=0,"",ORIG!D2170)</f>
        <v/>
      </c>
      <c r="E2170" s="3">
        <f>IF(ORIG!E2170=0,"",ORIG!E2170)</f>
        <v/>
      </c>
      <c r="F2170" s="3">
        <f>IF(ORIG!F2170=0,"",ORIG!F2170)</f>
        <v/>
      </c>
      <c r="G2170" s="3">
        <f>IF(ORIG!G2170=0,"",ORIG!G2170)</f>
        <v/>
      </c>
      <c r="H2170" s="3">
        <f>IF(ORIG!H2170=0,"",ORIG!H2170)</f>
        <v/>
      </c>
      <c r="I2170" s="3">
        <f>IF(ORIG!I2170=0,"",ORIG!I2170)</f>
        <v/>
      </c>
      <c r="J2170" s="3">
        <f>IF(ORIG!J2170=0,"",ORIG!J2170)</f>
        <v/>
      </c>
      <c r="K2170" s="3">
        <f>IF(ORIG!K2170=0,"",ORIG!K2170)</f>
        <v/>
      </c>
      <c r="L2170" s="3">
        <f>IF(ORIG!L2170=0,"",ORIG!L2170)</f>
        <v/>
      </c>
      <c r="M2170" s="3">
        <f>IF(ORIG!M2170=0,"",ORIG!M2170)</f>
        <v/>
      </c>
      <c r="N2170" s="3">
        <f>IF(ORIG!N2170=0,"",ORIG!N2170)</f>
        <v/>
      </c>
      <c r="O2170" s="3">
        <f>IF(ORIG!O2170=0,"",ORIG!O2170)</f>
        <v/>
      </c>
      <c r="P2170" s="3">
        <f>IF(ORIG!P2170=0,"",ORIG!P2170)</f>
        <v/>
      </c>
      <c r="Q2170" s="3">
        <f>IF(ORIG!Q2170=0,"",ORIG!Q2170)</f>
        <v/>
      </c>
      <c r="R2170" s="3">
        <f>IF(ORIG!R2170=0,"",ORIG!R2170)</f>
        <v/>
      </c>
      <c r="S2170" s="3">
        <f>IF(ORIG!S2170=0,"",ORIG!S2170)</f>
        <v/>
      </c>
      <c r="T2170" s="3">
        <f>IF(ORIG!T2170=0,"",ORIG!T2170)</f>
        <v/>
      </c>
      <c r="U2170" s="3">
        <f>IF(ORIG!U2170=0,"",ORIG!U2170)</f>
        <v/>
      </c>
      <c r="V2170" s="9">
        <f>IF(ORIG!V2170=0,"",ORIG!V2170)</f>
        <v/>
      </c>
      <c r="W2170" s="9">
        <f>IF(ORIG!W2170=0,"",ORIG!W2170)</f>
        <v/>
      </c>
      <c r="X2170" s="9">
        <f>IF(ORIG!X2170=0,"",ORIG!X2170)</f>
        <v/>
      </c>
      <c r="Y2170" s="9">
        <f>IF(ORIG!Y2170=0,"",ORIG!Y2170)</f>
        <v/>
      </c>
      <c r="Z2170" s="3">
        <f>SUMPRODUCT($B2170:$Y2170,$B$2649:$Y$2649)</f>
        <v/>
      </c>
      <c r="AA2170" s="3">
        <f>SUMPRODUCT($B2170:$Y2170,$B$2655:$Y$2655)</f>
        <v/>
      </c>
      <c r="AC2170" s="1">
        <f>A2170</f>
        <v/>
      </c>
      <c r="AD2170">
        <f>IF(ISNUMBER(V2170),V2170*($AB$1/V$2635),"")</f>
        <v/>
      </c>
      <c r="AE2170">
        <f>IF(ISNUMBER(Z2170),Z2170*($AB$1/Z$2635),"")</f>
        <v/>
      </c>
      <c r="AF2170" s="25">
        <f>IF(ISNUMBER(AD2170+AE2170),AD2170+AE2170,"")</f>
        <v/>
      </c>
      <c r="AH2170" s="1">
        <f>A2170</f>
        <v/>
      </c>
      <c r="AI2170">
        <f>IF(ISNUMBER((1+V2170)*AI2169),(1+V2170)*AI2169,AI2169)</f>
        <v/>
      </c>
      <c r="AJ2170">
        <f>IF(ISNUMBER((1+Z2170)*AJ2169),(1+Z2170)*AJ2169,AJ2169)</f>
        <v/>
      </c>
    </row>
    <row r="2171">
      <c r="A2171" s="1" t="n">
        <v>45153</v>
      </c>
      <c r="B2171" s="3">
        <f>IF(ORIG!B2171=0,"",ORIG!B2171)</f>
        <v/>
      </c>
      <c r="C2171" s="3">
        <f>IF(ORIG!C2171=0,"",ORIG!C2171)</f>
        <v/>
      </c>
      <c r="D2171" s="3">
        <f>IF(ORIG!D2171=0,"",ORIG!D2171)</f>
        <v/>
      </c>
      <c r="E2171" s="3">
        <f>IF(ORIG!E2171=0,"",ORIG!E2171)</f>
        <v/>
      </c>
      <c r="F2171" s="3">
        <f>IF(ORIG!F2171=0,"",ORIG!F2171)</f>
        <v/>
      </c>
      <c r="G2171" s="3">
        <f>IF(ORIG!G2171=0,"",ORIG!G2171)</f>
        <v/>
      </c>
      <c r="H2171" s="3">
        <f>IF(ORIG!H2171=0,"",ORIG!H2171)</f>
        <v/>
      </c>
      <c r="I2171" s="3">
        <f>IF(ORIG!I2171=0,"",ORIG!I2171)</f>
        <v/>
      </c>
      <c r="J2171" s="3">
        <f>IF(ORIG!J2171=0,"",ORIG!J2171)</f>
        <v/>
      </c>
      <c r="K2171" s="3">
        <f>IF(ORIG!K2171=0,"",ORIG!K2171)</f>
        <v/>
      </c>
      <c r="L2171" s="3">
        <f>IF(ORIG!L2171=0,"",ORIG!L2171)</f>
        <v/>
      </c>
      <c r="M2171" s="3">
        <f>IF(ORIG!M2171=0,"",ORIG!M2171)</f>
        <v/>
      </c>
      <c r="N2171" s="3">
        <f>IF(ORIG!N2171=0,"",ORIG!N2171)</f>
        <v/>
      </c>
      <c r="O2171" s="3">
        <f>IF(ORIG!O2171=0,"",ORIG!O2171)</f>
        <v/>
      </c>
      <c r="P2171" s="3">
        <f>IF(ORIG!P2171=0,"",ORIG!P2171)</f>
        <v/>
      </c>
      <c r="Q2171" s="3">
        <f>IF(ORIG!Q2171=0,"",ORIG!Q2171)</f>
        <v/>
      </c>
      <c r="R2171" s="3">
        <f>IF(ORIG!R2171=0,"",ORIG!R2171)</f>
        <v/>
      </c>
      <c r="S2171" s="3">
        <f>IF(ORIG!S2171=0,"",ORIG!S2171)</f>
        <v/>
      </c>
      <c r="T2171" s="3">
        <f>IF(ORIG!T2171=0,"",ORIG!T2171)</f>
        <v/>
      </c>
      <c r="U2171" s="3">
        <f>IF(ORIG!U2171=0,"",ORIG!U2171)</f>
        <v/>
      </c>
      <c r="V2171" s="9">
        <f>IF(ORIG!V2171=0,"",ORIG!V2171)</f>
        <v/>
      </c>
      <c r="W2171" s="9">
        <f>IF(ORIG!W2171=0,"",ORIG!W2171)</f>
        <v/>
      </c>
      <c r="X2171" s="9">
        <f>IF(ORIG!X2171=0,"",ORIG!X2171)</f>
        <v/>
      </c>
      <c r="Y2171" s="9">
        <f>IF(ORIG!Y2171=0,"",ORIG!Y2171)</f>
        <v/>
      </c>
      <c r="Z2171" s="3">
        <f>SUMPRODUCT($B2171:$Y2171,$B$2649:$Y$2649)</f>
        <v/>
      </c>
      <c r="AA2171" s="3">
        <f>SUMPRODUCT($B2171:$Y2171,$B$2655:$Y$2655)</f>
        <v/>
      </c>
      <c r="AC2171" s="1">
        <f>A2171</f>
        <v/>
      </c>
      <c r="AD2171">
        <f>IF(ISNUMBER(V2171),V2171*($AB$1/V$2635),"")</f>
        <v/>
      </c>
      <c r="AE2171">
        <f>IF(ISNUMBER(Z2171),Z2171*($AB$1/Z$2635),"")</f>
        <v/>
      </c>
      <c r="AF2171" s="25">
        <f>IF(ISNUMBER(AD2171+AE2171),AD2171+AE2171,"")</f>
        <v/>
      </c>
      <c r="AH2171" s="1">
        <f>A2171</f>
        <v/>
      </c>
      <c r="AI2171">
        <f>IF(ISNUMBER((1+V2171)*AI2170),(1+V2171)*AI2170,AI2170)</f>
        <v/>
      </c>
      <c r="AJ2171">
        <f>IF(ISNUMBER((1+Z2171)*AJ2170),(1+Z2171)*AJ2170,AJ2170)</f>
        <v/>
      </c>
    </row>
    <row r="2172">
      <c r="A2172" s="1" t="n">
        <v>45154</v>
      </c>
      <c r="B2172" s="3">
        <f>IF(ORIG!B2172=0,"",ORIG!B2172)</f>
        <v/>
      </c>
      <c r="C2172" s="3">
        <f>IF(ORIG!C2172=0,"",ORIG!C2172)</f>
        <v/>
      </c>
      <c r="D2172" s="3">
        <f>IF(ORIG!D2172=0,"",ORIG!D2172)</f>
        <v/>
      </c>
      <c r="E2172" s="3">
        <f>IF(ORIG!E2172=0,"",ORIG!E2172)</f>
        <v/>
      </c>
      <c r="F2172" s="3">
        <f>IF(ORIG!F2172=0,"",ORIG!F2172)</f>
        <v/>
      </c>
      <c r="G2172" s="3">
        <f>IF(ORIG!G2172=0,"",ORIG!G2172)</f>
        <v/>
      </c>
      <c r="H2172" s="3">
        <f>IF(ORIG!H2172=0,"",ORIG!H2172)</f>
        <v/>
      </c>
      <c r="I2172" s="3">
        <f>IF(ORIG!I2172=0,"",ORIG!I2172)</f>
        <v/>
      </c>
      <c r="J2172" s="3">
        <f>IF(ORIG!J2172=0,"",ORIG!J2172)</f>
        <v/>
      </c>
      <c r="K2172" s="3">
        <f>IF(ORIG!K2172=0,"",ORIG!K2172)</f>
        <v/>
      </c>
      <c r="L2172" s="3">
        <f>IF(ORIG!L2172=0,"",ORIG!L2172)</f>
        <v/>
      </c>
      <c r="M2172" s="3">
        <f>IF(ORIG!M2172=0,"",ORIG!M2172)</f>
        <v/>
      </c>
      <c r="N2172" s="3">
        <f>IF(ORIG!N2172=0,"",ORIG!N2172)</f>
        <v/>
      </c>
      <c r="O2172" s="3">
        <f>IF(ORIG!O2172=0,"",ORIG!O2172)</f>
        <v/>
      </c>
      <c r="P2172" s="3">
        <f>IF(ORIG!P2172=0,"",ORIG!P2172)</f>
        <v/>
      </c>
      <c r="Q2172" s="3">
        <f>IF(ORIG!Q2172=0,"",ORIG!Q2172)</f>
        <v/>
      </c>
      <c r="R2172" s="3">
        <f>IF(ORIG!R2172=0,"",ORIG!R2172)</f>
        <v/>
      </c>
      <c r="S2172" s="3">
        <f>IF(ORIG!S2172=0,"",ORIG!S2172)</f>
        <v/>
      </c>
      <c r="T2172" s="3">
        <f>IF(ORIG!T2172=0,"",ORIG!T2172)</f>
        <v/>
      </c>
      <c r="U2172" s="3">
        <f>IF(ORIG!U2172=0,"",ORIG!U2172)</f>
        <v/>
      </c>
      <c r="V2172" s="9">
        <f>IF(ORIG!V2172=0,"",ORIG!V2172)</f>
        <v/>
      </c>
      <c r="W2172" s="9">
        <f>IF(ORIG!W2172=0,"",ORIG!W2172)</f>
        <v/>
      </c>
      <c r="X2172" s="9">
        <f>IF(ORIG!X2172=0,"",ORIG!X2172)</f>
        <v/>
      </c>
      <c r="Y2172" s="9">
        <f>IF(ORIG!Y2172=0,"",ORIG!Y2172)</f>
        <v/>
      </c>
      <c r="Z2172" s="3">
        <f>SUMPRODUCT($B2172:$Y2172,$B$2649:$Y$2649)</f>
        <v/>
      </c>
      <c r="AA2172" s="3">
        <f>SUMPRODUCT($B2172:$Y2172,$B$2655:$Y$2655)</f>
        <v/>
      </c>
      <c r="AC2172" s="1">
        <f>A2172</f>
        <v/>
      </c>
      <c r="AD2172">
        <f>IF(ISNUMBER(V2172),V2172*($AB$1/V$2635),"")</f>
        <v/>
      </c>
      <c r="AE2172">
        <f>IF(ISNUMBER(Z2172),Z2172*($AB$1/Z$2635),"")</f>
        <v/>
      </c>
      <c r="AF2172" s="25">
        <f>IF(ISNUMBER(AD2172+AE2172),AD2172+AE2172,"")</f>
        <v/>
      </c>
      <c r="AH2172" s="1">
        <f>A2172</f>
        <v/>
      </c>
      <c r="AI2172">
        <f>IF(ISNUMBER((1+V2172)*AI2171),(1+V2172)*AI2171,AI2171)</f>
        <v/>
      </c>
      <c r="AJ2172">
        <f>IF(ISNUMBER((1+Z2172)*AJ2171),(1+Z2172)*AJ2171,AJ2171)</f>
        <v/>
      </c>
    </row>
    <row r="2173">
      <c r="A2173" s="1" t="n">
        <v>45155</v>
      </c>
      <c r="B2173" s="3">
        <f>IF(ORIG!B2173=0,"",ORIG!B2173)</f>
        <v/>
      </c>
      <c r="C2173" s="3">
        <f>IF(ORIG!C2173=0,"",ORIG!C2173)</f>
        <v/>
      </c>
      <c r="D2173" s="3">
        <f>IF(ORIG!D2173=0,"",ORIG!D2173)</f>
        <v/>
      </c>
      <c r="E2173" s="3">
        <f>IF(ORIG!E2173=0,"",ORIG!E2173)</f>
        <v/>
      </c>
      <c r="F2173" s="3">
        <f>IF(ORIG!F2173=0,"",ORIG!F2173)</f>
        <v/>
      </c>
      <c r="G2173" s="3">
        <f>IF(ORIG!G2173=0,"",ORIG!G2173)</f>
        <v/>
      </c>
      <c r="H2173" s="3">
        <f>IF(ORIG!H2173=0,"",ORIG!H2173)</f>
        <v/>
      </c>
      <c r="I2173" s="3">
        <f>IF(ORIG!I2173=0,"",ORIG!I2173)</f>
        <v/>
      </c>
      <c r="J2173" s="3">
        <f>IF(ORIG!J2173=0,"",ORIG!J2173)</f>
        <v/>
      </c>
      <c r="K2173" s="3">
        <f>IF(ORIG!K2173=0,"",ORIG!K2173)</f>
        <v/>
      </c>
      <c r="L2173" s="3">
        <f>IF(ORIG!L2173=0,"",ORIG!L2173)</f>
        <v/>
      </c>
      <c r="M2173" s="3">
        <f>IF(ORIG!M2173=0,"",ORIG!M2173)</f>
        <v/>
      </c>
      <c r="N2173" s="3">
        <f>IF(ORIG!N2173=0,"",ORIG!N2173)</f>
        <v/>
      </c>
      <c r="O2173" s="3">
        <f>IF(ORIG!O2173=0,"",ORIG!O2173)</f>
        <v/>
      </c>
      <c r="P2173" s="3">
        <f>IF(ORIG!P2173=0,"",ORIG!P2173)</f>
        <v/>
      </c>
      <c r="Q2173" s="3">
        <f>IF(ORIG!Q2173=0,"",ORIG!Q2173)</f>
        <v/>
      </c>
      <c r="R2173" s="3">
        <f>IF(ORIG!R2173=0,"",ORIG!R2173)</f>
        <v/>
      </c>
      <c r="S2173" s="3">
        <f>IF(ORIG!S2173=0,"",ORIG!S2173)</f>
        <v/>
      </c>
      <c r="T2173" s="3">
        <f>IF(ORIG!T2173=0,"",ORIG!T2173)</f>
        <v/>
      </c>
      <c r="U2173" s="3">
        <f>IF(ORIG!U2173=0,"",ORIG!U2173)</f>
        <v/>
      </c>
      <c r="V2173" s="9">
        <f>IF(ORIG!V2173=0,"",ORIG!V2173)</f>
        <v/>
      </c>
      <c r="W2173" s="9">
        <f>IF(ORIG!W2173=0,"",ORIG!W2173)</f>
        <v/>
      </c>
      <c r="X2173" s="9">
        <f>IF(ORIG!X2173=0,"",ORIG!X2173)</f>
        <v/>
      </c>
      <c r="Y2173" s="9">
        <f>IF(ORIG!Y2173=0,"",ORIG!Y2173)</f>
        <v/>
      </c>
      <c r="Z2173" s="3">
        <f>SUMPRODUCT($B2173:$Y2173,$B$2649:$Y$2649)</f>
        <v/>
      </c>
      <c r="AA2173" s="3">
        <f>SUMPRODUCT($B2173:$Y2173,$B$2655:$Y$2655)</f>
        <v/>
      </c>
      <c r="AC2173" s="1">
        <f>A2173</f>
        <v/>
      </c>
      <c r="AD2173">
        <f>IF(ISNUMBER(V2173),V2173*($AB$1/V$2635),"")</f>
        <v/>
      </c>
      <c r="AE2173">
        <f>IF(ISNUMBER(Z2173),Z2173*($AB$1/Z$2635),"")</f>
        <v/>
      </c>
      <c r="AF2173" s="25">
        <f>IF(ISNUMBER(AD2173+AE2173),AD2173+AE2173,"")</f>
        <v/>
      </c>
      <c r="AH2173" s="1">
        <f>A2173</f>
        <v/>
      </c>
      <c r="AI2173">
        <f>IF(ISNUMBER((1+V2173)*AI2172),(1+V2173)*AI2172,AI2172)</f>
        <v/>
      </c>
      <c r="AJ2173">
        <f>IF(ISNUMBER((1+Z2173)*AJ2172),(1+Z2173)*AJ2172,AJ2172)</f>
        <v/>
      </c>
    </row>
    <row r="2174">
      <c r="A2174" s="1" t="n">
        <v>45156</v>
      </c>
      <c r="B2174" s="3">
        <f>IF(ORIG!B2174=0,"",ORIG!B2174)</f>
        <v/>
      </c>
      <c r="C2174" s="3">
        <f>IF(ORIG!C2174=0,"",ORIG!C2174)</f>
        <v/>
      </c>
      <c r="D2174" s="3">
        <f>IF(ORIG!D2174=0,"",ORIG!D2174)</f>
        <v/>
      </c>
      <c r="E2174" s="3">
        <f>IF(ORIG!E2174=0,"",ORIG!E2174)</f>
        <v/>
      </c>
      <c r="F2174" s="3">
        <f>IF(ORIG!F2174=0,"",ORIG!F2174)</f>
        <v/>
      </c>
      <c r="G2174" s="3">
        <f>IF(ORIG!G2174=0,"",ORIG!G2174)</f>
        <v/>
      </c>
      <c r="H2174" s="3">
        <f>IF(ORIG!H2174=0,"",ORIG!H2174)</f>
        <v/>
      </c>
      <c r="I2174" s="3">
        <f>IF(ORIG!I2174=0,"",ORIG!I2174)</f>
        <v/>
      </c>
      <c r="J2174" s="3">
        <f>IF(ORIG!J2174=0,"",ORIG!J2174)</f>
        <v/>
      </c>
      <c r="K2174" s="3">
        <f>IF(ORIG!K2174=0,"",ORIG!K2174)</f>
        <v/>
      </c>
      <c r="L2174" s="3">
        <f>IF(ORIG!L2174=0,"",ORIG!L2174)</f>
        <v/>
      </c>
      <c r="M2174" s="3">
        <f>IF(ORIG!M2174=0,"",ORIG!M2174)</f>
        <v/>
      </c>
      <c r="N2174" s="3">
        <f>IF(ORIG!N2174=0,"",ORIG!N2174)</f>
        <v/>
      </c>
      <c r="O2174" s="3">
        <f>IF(ORIG!O2174=0,"",ORIG!O2174)</f>
        <v/>
      </c>
      <c r="P2174" s="3">
        <f>IF(ORIG!P2174=0,"",ORIG!P2174)</f>
        <v/>
      </c>
      <c r="Q2174" s="3">
        <f>IF(ORIG!Q2174=0,"",ORIG!Q2174)</f>
        <v/>
      </c>
      <c r="R2174" s="3">
        <f>IF(ORIG!R2174=0,"",ORIG!R2174)</f>
        <v/>
      </c>
      <c r="S2174" s="3">
        <f>IF(ORIG!S2174=0,"",ORIG!S2174)</f>
        <v/>
      </c>
      <c r="T2174" s="3">
        <f>IF(ORIG!T2174=0,"",ORIG!T2174)</f>
        <v/>
      </c>
      <c r="U2174" s="3">
        <f>IF(ORIG!U2174=0,"",ORIG!U2174)</f>
        <v/>
      </c>
      <c r="V2174" s="9">
        <f>IF(ORIG!V2174=0,"",ORIG!V2174)</f>
        <v/>
      </c>
      <c r="W2174" s="9">
        <f>IF(ORIG!W2174=0,"",ORIG!W2174)</f>
        <v/>
      </c>
      <c r="X2174" s="9">
        <f>IF(ORIG!X2174=0,"",ORIG!X2174)</f>
        <v/>
      </c>
      <c r="Y2174" s="9">
        <f>IF(ORIG!Y2174=0,"",ORIG!Y2174)</f>
        <v/>
      </c>
      <c r="Z2174" s="3">
        <f>SUMPRODUCT($B2174:$Y2174,$B$2649:$Y$2649)</f>
        <v/>
      </c>
      <c r="AA2174" s="3">
        <f>SUMPRODUCT($B2174:$Y2174,$B$2655:$Y$2655)</f>
        <v/>
      </c>
      <c r="AC2174" s="1">
        <f>A2174</f>
        <v/>
      </c>
      <c r="AD2174">
        <f>IF(ISNUMBER(V2174),V2174*($AB$1/V$2635),"")</f>
        <v/>
      </c>
      <c r="AE2174">
        <f>IF(ISNUMBER(Z2174),Z2174*($AB$1/Z$2635),"")</f>
        <v/>
      </c>
      <c r="AF2174" s="25">
        <f>IF(ISNUMBER(AD2174+AE2174),AD2174+AE2174,"")</f>
        <v/>
      </c>
      <c r="AH2174" s="1">
        <f>A2174</f>
        <v/>
      </c>
      <c r="AI2174">
        <f>IF(ISNUMBER((1+V2174)*AI2173),(1+V2174)*AI2173,AI2173)</f>
        <v/>
      </c>
      <c r="AJ2174">
        <f>IF(ISNUMBER((1+Z2174)*AJ2173),(1+Z2174)*AJ2173,AJ2173)</f>
        <v/>
      </c>
    </row>
    <row r="2175">
      <c r="A2175" s="1" t="n">
        <v>45159</v>
      </c>
      <c r="B2175" s="3">
        <f>IF(ORIG!B2175=0,"",ORIG!B2175)</f>
        <v/>
      </c>
      <c r="C2175" s="3">
        <f>IF(ORIG!C2175=0,"",ORIG!C2175)</f>
        <v/>
      </c>
      <c r="D2175" s="3">
        <f>IF(ORIG!D2175=0,"",ORIG!D2175)</f>
        <v/>
      </c>
      <c r="E2175" s="3">
        <f>IF(ORIG!E2175=0,"",ORIG!E2175)</f>
        <v/>
      </c>
      <c r="F2175" s="3">
        <f>IF(ORIG!F2175=0,"",ORIG!F2175)</f>
        <v/>
      </c>
      <c r="G2175" s="3">
        <f>IF(ORIG!G2175=0,"",ORIG!G2175)</f>
        <v/>
      </c>
      <c r="H2175" s="3">
        <f>IF(ORIG!H2175=0,"",ORIG!H2175)</f>
        <v/>
      </c>
      <c r="I2175" s="3">
        <f>IF(ORIG!I2175=0,"",ORIG!I2175)</f>
        <v/>
      </c>
      <c r="J2175" s="3">
        <f>IF(ORIG!J2175=0,"",ORIG!J2175)</f>
        <v/>
      </c>
      <c r="K2175" s="3">
        <f>IF(ORIG!K2175=0,"",ORIG!K2175)</f>
        <v/>
      </c>
      <c r="L2175" s="3">
        <f>IF(ORIG!L2175=0,"",ORIG!L2175)</f>
        <v/>
      </c>
      <c r="M2175" s="3">
        <f>IF(ORIG!M2175=0,"",ORIG!M2175)</f>
        <v/>
      </c>
      <c r="N2175" s="3">
        <f>IF(ORIG!N2175=0,"",ORIG!N2175)</f>
        <v/>
      </c>
      <c r="O2175" s="3">
        <f>IF(ORIG!O2175=0,"",ORIG!O2175)</f>
        <v/>
      </c>
      <c r="P2175" s="3">
        <f>IF(ORIG!P2175=0,"",ORIG!P2175)</f>
        <v/>
      </c>
      <c r="Q2175" s="3">
        <f>IF(ORIG!Q2175=0,"",ORIG!Q2175)</f>
        <v/>
      </c>
      <c r="R2175" s="3">
        <f>IF(ORIG!R2175=0,"",ORIG!R2175)</f>
        <v/>
      </c>
      <c r="S2175" s="3">
        <f>IF(ORIG!S2175=0,"",ORIG!S2175)</f>
        <v/>
      </c>
      <c r="T2175" s="3">
        <f>IF(ORIG!T2175=0,"",ORIG!T2175)</f>
        <v/>
      </c>
      <c r="U2175" s="3">
        <f>IF(ORIG!U2175=0,"",ORIG!U2175)</f>
        <v/>
      </c>
      <c r="V2175" s="9">
        <f>IF(ORIG!V2175=0,"",ORIG!V2175)</f>
        <v/>
      </c>
      <c r="W2175" s="9">
        <f>IF(ORIG!W2175=0,"",ORIG!W2175)</f>
        <v/>
      </c>
      <c r="X2175" s="9">
        <f>IF(ORIG!X2175=0,"",ORIG!X2175)</f>
        <v/>
      </c>
      <c r="Y2175" s="9">
        <f>IF(ORIG!Y2175=0,"",ORIG!Y2175)</f>
        <v/>
      </c>
      <c r="Z2175" s="3">
        <f>SUMPRODUCT($B2175:$Y2175,$B$2649:$Y$2649)</f>
        <v/>
      </c>
      <c r="AA2175" s="3">
        <f>SUMPRODUCT($B2175:$Y2175,$B$2655:$Y$2655)</f>
        <v/>
      </c>
      <c r="AC2175" s="1">
        <f>A2175</f>
        <v/>
      </c>
      <c r="AD2175">
        <f>IF(ISNUMBER(V2175),V2175*($AB$1/V$2635),"")</f>
        <v/>
      </c>
      <c r="AE2175">
        <f>IF(ISNUMBER(Z2175),Z2175*($AB$1/Z$2635),"")</f>
        <v/>
      </c>
      <c r="AF2175" s="25">
        <f>IF(ISNUMBER(AD2175+AE2175),AD2175+AE2175,"")</f>
        <v/>
      </c>
      <c r="AH2175" s="1">
        <f>A2175</f>
        <v/>
      </c>
      <c r="AI2175">
        <f>IF(ISNUMBER((1+V2175)*AI2174),(1+V2175)*AI2174,AI2174)</f>
        <v/>
      </c>
      <c r="AJ2175">
        <f>IF(ISNUMBER((1+Z2175)*AJ2174),(1+Z2175)*AJ2174,AJ2174)</f>
        <v/>
      </c>
    </row>
    <row r="2176">
      <c r="A2176" s="1" t="n">
        <v>45160</v>
      </c>
      <c r="B2176" s="3">
        <f>IF(ORIG!B2176=0,"",ORIG!B2176)</f>
        <v/>
      </c>
      <c r="C2176" s="3">
        <f>IF(ORIG!C2176=0,"",ORIG!C2176)</f>
        <v/>
      </c>
      <c r="D2176" s="3">
        <f>IF(ORIG!D2176=0,"",ORIG!D2176)</f>
        <v/>
      </c>
      <c r="E2176" s="3">
        <f>IF(ORIG!E2176=0,"",ORIG!E2176)</f>
        <v/>
      </c>
      <c r="F2176" s="3">
        <f>IF(ORIG!F2176=0,"",ORIG!F2176)</f>
        <v/>
      </c>
      <c r="G2176" s="3">
        <f>IF(ORIG!G2176=0,"",ORIG!G2176)</f>
        <v/>
      </c>
      <c r="H2176" s="3">
        <f>IF(ORIG!H2176=0,"",ORIG!H2176)</f>
        <v/>
      </c>
      <c r="I2176" s="3">
        <f>IF(ORIG!I2176=0,"",ORIG!I2176)</f>
        <v/>
      </c>
      <c r="J2176" s="3">
        <f>IF(ORIG!J2176=0,"",ORIG!J2176)</f>
        <v/>
      </c>
      <c r="K2176" s="3">
        <f>IF(ORIG!K2176=0,"",ORIG!K2176)</f>
        <v/>
      </c>
      <c r="L2176" s="3">
        <f>IF(ORIG!L2176=0,"",ORIG!L2176)</f>
        <v/>
      </c>
      <c r="M2176" s="3">
        <f>IF(ORIG!M2176=0,"",ORIG!M2176)</f>
        <v/>
      </c>
      <c r="N2176" s="3">
        <f>IF(ORIG!N2176=0,"",ORIG!N2176)</f>
        <v/>
      </c>
      <c r="O2176" s="3">
        <f>IF(ORIG!O2176=0,"",ORIG!O2176)</f>
        <v/>
      </c>
      <c r="P2176" s="3">
        <f>IF(ORIG!P2176=0,"",ORIG!P2176)</f>
        <v/>
      </c>
      <c r="Q2176" s="3">
        <f>IF(ORIG!Q2176=0,"",ORIG!Q2176)</f>
        <v/>
      </c>
      <c r="R2176" s="3">
        <f>IF(ORIG!R2176=0,"",ORIG!R2176)</f>
        <v/>
      </c>
      <c r="S2176" s="3">
        <f>IF(ORIG!S2176=0,"",ORIG!S2176)</f>
        <v/>
      </c>
      <c r="T2176" s="3">
        <f>IF(ORIG!T2176=0,"",ORIG!T2176)</f>
        <v/>
      </c>
      <c r="U2176" s="3">
        <f>IF(ORIG!U2176=0,"",ORIG!U2176)</f>
        <v/>
      </c>
      <c r="V2176" s="9">
        <f>IF(ORIG!V2176=0,"",ORIG!V2176)</f>
        <v/>
      </c>
      <c r="W2176" s="9">
        <f>IF(ORIG!W2176=0,"",ORIG!W2176)</f>
        <v/>
      </c>
      <c r="X2176" s="9">
        <f>IF(ORIG!X2176=0,"",ORIG!X2176)</f>
        <v/>
      </c>
      <c r="Y2176" s="9">
        <f>IF(ORIG!Y2176=0,"",ORIG!Y2176)</f>
        <v/>
      </c>
      <c r="Z2176" s="3">
        <f>SUMPRODUCT($B2176:$Y2176,$B$2649:$Y$2649)</f>
        <v/>
      </c>
      <c r="AA2176" s="3">
        <f>SUMPRODUCT($B2176:$Y2176,$B$2655:$Y$2655)</f>
        <v/>
      </c>
      <c r="AC2176" s="1">
        <f>A2176</f>
        <v/>
      </c>
      <c r="AD2176">
        <f>IF(ISNUMBER(V2176),V2176*($AB$1/V$2635),"")</f>
        <v/>
      </c>
      <c r="AE2176">
        <f>IF(ISNUMBER(Z2176),Z2176*($AB$1/Z$2635),"")</f>
        <v/>
      </c>
      <c r="AF2176" s="25">
        <f>IF(ISNUMBER(AD2176+AE2176),AD2176+AE2176,"")</f>
        <v/>
      </c>
      <c r="AH2176" s="1">
        <f>A2176</f>
        <v/>
      </c>
      <c r="AI2176">
        <f>IF(ISNUMBER((1+V2176)*AI2175),(1+V2176)*AI2175,AI2175)</f>
        <v/>
      </c>
      <c r="AJ2176">
        <f>IF(ISNUMBER((1+Z2176)*AJ2175),(1+Z2176)*AJ2175,AJ2175)</f>
        <v/>
      </c>
    </row>
    <row r="2177">
      <c r="A2177" s="1" t="n">
        <v>45161</v>
      </c>
      <c r="B2177" s="3">
        <f>IF(ORIG!B2177=0,"",ORIG!B2177)</f>
        <v/>
      </c>
      <c r="C2177" s="3">
        <f>IF(ORIG!C2177=0,"",ORIG!C2177)</f>
        <v/>
      </c>
      <c r="D2177" s="3">
        <f>IF(ORIG!D2177=0,"",ORIG!D2177)</f>
        <v/>
      </c>
      <c r="E2177" s="3">
        <f>IF(ORIG!E2177=0,"",ORIG!E2177)</f>
        <v/>
      </c>
      <c r="F2177" s="3">
        <f>IF(ORIG!F2177=0,"",ORIG!F2177)</f>
        <v/>
      </c>
      <c r="G2177" s="3">
        <f>IF(ORIG!G2177=0,"",ORIG!G2177)</f>
        <v/>
      </c>
      <c r="H2177" s="3">
        <f>IF(ORIG!H2177=0,"",ORIG!H2177)</f>
        <v/>
      </c>
      <c r="I2177" s="3">
        <f>IF(ORIG!I2177=0,"",ORIG!I2177)</f>
        <v/>
      </c>
      <c r="J2177" s="3">
        <f>IF(ORIG!J2177=0,"",ORIG!J2177)</f>
        <v/>
      </c>
      <c r="K2177" s="3">
        <f>IF(ORIG!K2177=0,"",ORIG!K2177)</f>
        <v/>
      </c>
      <c r="L2177" s="3">
        <f>IF(ORIG!L2177=0,"",ORIG!L2177)</f>
        <v/>
      </c>
      <c r="M2177" s="3">
        <f>IF(ORIG!M2177=0,"",ORIG!M2177)</f>
        <v/>
      </c>
      <c r="N2177" s="3">
        <f>IF(ORIG!N2177=0,"",ORIG!N2177)</f>
        <v/>
      </c>
      <c r="O2177" s="3">
        <f>IF(ORIG!O2177=0,"",ORIG!O2177)</f>
        <v/>
      </c>
      <c r="P2177" s="3">
        <f>IF(ORIG!P2177=0,"",ORIG!P2177)</f>
        <v/>
      </c>
      <c r="Q2177" s="3">
        <f>IF(ORIG!Q2177=0,"",ORIG!Q2177)</f>
        <v/>
      </c>
      <c r="R2177" s="3">
        <f>IF(ORIG!R2177=0,"",ORIG!R2177)</f>
        <v/>
      </c>
      <c r="S2177" s="3">
        <f>IF(ORIG!S2177=0,"",ORIG!S2177)</f>
        <v/>
      </c>
      <c r="T2177" s="3">
        <f>IF(ORIG!T2177=0,"",ORIG!T2177)</f>
        <v/>
      </c>
      <c r="U2177" s="3">
        <f>IF(ORIG!U2177=0,"",ORIG!U2177)</f>
        <v/>
      </c>
      <c r="V2177" s="9">
        <f>IF(ORIG!V2177=0,"",ORIG!V2177)</f>
        <v/>
      </c>
      <c r="W2177" s="9">
        <f>IF(ORIG!W2177=0,"",ORIG!W2177)</f>
        <v/>
      </c>
      <c r="X2177" s="9">
        <f>IF(ORIG!X2177=0,"",ORIG!X2177)</f>
        <v/>
      </c>
      <c r="Y2177" s="9">
        <f>IF(ORIG!Y2177=0,"",ORIG!Y2177)</f>
        <v/>
      </c>
      <c r="Z2177" s="3">
        <f>SUMPRODUCT($B2177:$Y2177,$B$2649:$Y$2649)</f>
        <v/>
      </c>
      <c r="AA2177" s="3">
        <f>SUMPRODUCT($B2177:$Y2177,$B$2655:$Y$2655)</f>
        <v/>
      </c>
      <c r="AC2177" s="1">
        <f>A2177</f>
        <v/>
      </c>
      <c r="AD2177">
        <f>IF(ISNUMBER(V2177),V2177*($AB$1/V$2635),"")</f>
        <v/>
      </c>
      <c r="AE2177">
        <f>IF(ISNUMBER(Z2177),Z2177*($AB$1/Z$2635),"")</f>
        <v/>
      </c>
      <c r="AF2177" s="25">
        <f>IF(ISNUMBER(AD2177+AE2177),AD2177+AE2177,"")</f>
        <v/>
      </c>
      <c r="AH2177" s="1">
        <f>A2177</f>
        <v/>
      </c>
      <c r="AI2177">
        <f>IF(ISNUMBER((1+V2177)*AI2176),(1+V2177)*AI2176,AI2176)</f>
        <v/>
      </c>
      <c r="AJ2177">
        <f>IF(ISNUMBER((1+Z2177)*AJ2176),(1+Z2177)*AJ2176,AJ2176)</f>
        <v/>
      </c>
    </row>
    <row r="2178">
      <c r="A2178" s="1" t="n">
        <v>45162</v>
      </c>
      <c r="B2178" s="3">
        <f>IF(ORIG!B2178=0,"",ORIG!B2178)</f>
        <v/>
      </c>
      <c r="C2178" s="3">
        <f>IF(ORIG!C2178=0,"",ORIG!C2178)</f>
        <v/>
      </c>
      <c r="D2178" s="3">
        <f>IF(ORIG!D2178=0,"",ORIG!D2178)</f>
        <v/>
      </c>
      <c r="E2178" s="3">
        <f>IF(ORIG!E2178=0,"",ORIG!E2178)</f>
        <v/>
      </c>
      <c r="F2178" s="3">
        <f>IF(ORIG!F2178=0,"",ORIG!F2178)</f>
        <v/>
      </c>
      <c r="G2178" s="3">
        <f>IF(ORIG!G2178=0,"",ORIG!G2178)</f>
        <v/>
      </c>
      <c r="H2178" s="3">
        <f>IF(ORIG!H2178=0,"",ORIG!H2178)</f>
        <v/>
      </c>
      <c r="I2178" s="3">
        <f>IF(ORIG!I2178=0,"",ORIG!I2178)</f>
        <v/>
      </c>
      <c r="J2178" s="3">
        <f>IF(ORIG!J2178=0,"",ORIG!J2178)</f>
        <v/>
      </c>
      <c r="K2178" s="3">
        <f>IF(ORIG!K2178=0,"",ORIG!K2178)</f>
        <v/>
      </c>
      <c r="L2178" s="3">
        <f>IF(ORIG!L2178=0,"",ORIG!L2178)</f>
        <v/>
      </c>
      <c r="M2178" s="3">
        <f>IF(ORIG!M2178=0,"",ORIG!M2178)</f>
        <v/>
      </c>
      <c r="N2178" s="3">
        <f>IF(ORIG!N2178=0,"",ORIG!N2178)</f>
        <v/>
      </c>
      <c r="O2178" s="3">
        <f>IF(ORIG!O2178=0,"",ORIG!O2178)</f>
        <v/>
      </c>
      <c r="P2178" s="3">
        <f>IF(ORIG!P2178=0,"",ORIG!P2178)</f>
        <v/>
      </c>
      <c r="Q2178" s="3">
        <f>IF(ORIG!Q2178=0,"",ORIG!Q2178)</f>
        <v/>
      </c>
      <c r="R2178" s="3">
        <f>IF(ORIG!R2178=0,"",ORIG!R2178)</f>
        <v/>
      </c>
      <c r="S2178" s="3">
        <f>IF(ORIG!S2178=0,"",ORIG!S2178)</f>
        <v/>
      </c>
      <c r="T2178" s="3">
        <f>IF(ORIG!T2178=0,"",ORIG!T2178)</f>
        <v/>
      </c>
      <c r="U2178" s="3">
        <f>IF(ORIG!U2178=0,"",ORIG!U2178)</f>
        <v/>
      </c>
      <c r="V2178" s="9">
        <f>IF(ORIG!V2178=0,"",ORIG!V2178)</f>
        <v/>
      </c>
      <c r="W2178" s="9">
        <f>IF(ORIG!W2178=0,"",ORIG!W2178)</f>
        <v/>
      </c>
      <c r="X2178" s="9">
        <f>IF(ORIG!X2178=0,"",ORIG!X2178)</f>
        <v/>
      </c>
      <c r="Y2178" s="9">
        <f>IF(ORIG!Y2178=0,"",ORIG!Y2178)</f>
        <v/>
      </c>
      <c r="Z2178" s="3">
        <f>SUMPRODUCT($B2178:$Y2178,$B$2649:$Y$2649)</f>
        <v/>
      </c>
      <c r="AA2178" s="3">
        <f>SUMPRODUCT($B2178:$Y2178,$B$2655:$Y$2655)</f>
        <v/>
      </c>
      <c r="AC2178" s="1">
        <f>A2178</f>
        <v/>
      </c>
      <c r="AD2178">
        <f>IF(ISNUMBER(V2178),V2178*($AB$1/V$2635),"")</f>
        <v/>
      </c>
      <c r="AE2178">
        <f>IF(ISNUMBER(Z2178),Z2178*($AB$1/Z$2635),"")</f>
        <v/>
      </c>
      <c r="AF2178" s="25">
        <f>IF(ISNUMBER(AD2178+AE2178),AD2178+AE2178,"")</f>
        <v/>
      </c>
      <c r="AH2178" s="1">
        <f>A2178</f>
        <v/>
      </c>
      <c r="AI2178">
        <f>IF(ISNUMBER((1+V2178)*AI2177),(1+V2178)*AI2177,AI2177)</f>
        <v/>
      </c>
      <c r="AJ2178">
        <f>IF(ISNUMBER((1+Z2178)*AJ2177),(1+Z2178)*AJ2177,AJ2177)</f>
        <v/>
      </c>
    </row>
    <row r="2179">
      <c r="A2179" s="1" t="n">
        <v>45163</v>
      </c>
      <c r="B2179" s="3">
        <f>IF(ORIG!B2179=0,"",ORIG!B2179)</f>
        <v/>
      </c>
      <c r="C2179" s="3">
        <f>IF(ORIG!C2179=0,"",ORIG!C2179)</f>
        <v/>
      </c>
      <c r="D2179" s="3">
        <f>IF(ORIG!D2179=0,"",ORIG!D2179)</f>
        <v/>
      </c>
      <c r="E2179" s="3">
        <f>IF(ORIG!E2179=0,"",ORIG!E2179)</f>
        <v/>
      </c>
      <c r="F2179" s="3">
        <f>IF(ORIG!F2179=0,"",ORIG!F2179)</f>
        <v/>
      </c>
      <c r="G2179" s="3">
        <f>IF(ORIG!G2179=0,"",ORIG!G2179)</f>
        <v/>
      </c>
      <c r="H2179" s="3">
        <f>IF(ORIG!H2179=0,"",ORIG!H2179)</f>
        <v/>
      </c>
      <c r="I2179" s="3">
        <f>IF(ORIG!I2179=0,"",ORIG!I2179)</f>
        <v/>
      </c>
      <c r="J2179" s="3">
        <f>IF(ORIG!J2179=0,"",ORIG!J2179)</f>
        <v/>
      </c>
      <c r="K2179" s="3">
        <f>IF(ORIG!K2179=0,"",ORIG!K2179)</f>
        <v/>
      </c>
      <c r="L2179" s="3">
        <f>IF(ORIG!L2179=0,"",ORIG!L2179)</f>
        <v/>
      </c>
      <c r="M2179" s="3">
        <f>IF(ORIG!M2179=0,"",ORIG!M2179)</f>
        <v/>
      </c>
      <c r="N2179" s="3">
        <f>IF(ORIG!N2179=0,"",ORIG!N2179)</f>
        <v/>
      </c>
      <c r="O2179" s="3">
        <f>IF(ORIG!O2179=0,"",ORIG!O2179)</f>
        <v/>
      </c>
      <c r="P2179" s="3">
        <f>IF(ORIG!P2179=0,"",ORIG!P2179)</f>
        <v/>
      </c>
      <c r="Q2179" s="3">
        <f>IF(ORIG!Q2179=0,"",ORIG!Q2179)</f>
        <v/>
      </c>
      <c r="R2179" s="3">
        <f>IF(ORIG!R2179=0,"",ORIG!R2179)</f>
        <v/>
      </c>
      <c r="S2179" s="3">
        <f>IF(ORIG!S2179=0,"",ORIG!S2179)</f>
        <v/>
      </c>
      <c r="T2179" s="3">
        <f>IF(ORIG!T2179=0,"",ORIG!T2179)</f>
        <v/>
      </c>
      <c r="U2179" s="3">
        <f>IF(ORIG!U2179=0,"",ORIG!U2179)</f>
        <v/>
      </c>
      <c r="V2179" s="9">
        <f>IF(ORIG!V2179=0,"",ORIG!V2179)</f>
        <v/>
      </c>
      <c r="W2179" s="9">
        <f>IF(ORIG!W2179=0,"",ORIG!W2179)</f>
        <v/>
      </c>
      <c r="X2179" s="9">
        <f>IF(ORIG!X2179=0,"",ORIG!X2179)</f>
        <v/>
      </c>
      <c r="Y2179" s="9">
        <f>IF(ORIG!Y2179=0,"",ORIG!Y2179)</f>
        <v/>
      </c>
      <c r="Z2179" s="3">
        <f>SUMPRODUCT($B2179:$Y2179,$B$2649:$Y$2649)</f>
        <v/>
      </c>
      <c r="AA2179" s="3">
        <f>SUMPRODUCT($B2179:$Y2179,$B$2655:$Y$2655)</f>
        <v/>
      </c>
      <c r="AC2179" s="1">
        <f>A2179</f>
        <v/>
      </c>
      <c r="AD2179">
        <f>IF(ISNUMBER(V2179),V2179*($AB$1/V$2635),"")</f>
        <v/>
      </c>
      <c r="AE2179">
        <f>IF(ISNUMBER(Z2179),Z2179*($AB$1/Z$2635),"")</f>
        <v/>
      </c>
      <c r="AF2179" s="25">
        <f>IF(ISNUMBER(AD2179+AE2179),AD2179+AE2179,"")</f>
        <v/>
      </c>
      <c r="AH2179" s="1">
        <f>A2179</f>
        <v/>
      </c>
      <c r="AI2179">
        <f>IF(ISNUMBER((1+V2179)*AI2178),(1+V2179)*AI2178,AI2178)</f>
        <v/>
      </c>
      <c r="AJ2179">
        <f>IF(ISNUMBER((1+Z2179)*AJ2178),(1+Z2179)*AJ2178,AJ2178)</f>
        <v/>
      </c>
    </row>
    <row r="2180">
      <c r="A2180" s="1" t="n">
        <v>45166</v>
      </c>
      <c r="B2180" s="3">
        <f>IF(ORIG!B2180=0,"",ORIG!B2180)</f>
        <v/>
      </c>
      <c r="C2180" s="3">
        <f>IF(ORIG!C2180=0,"",ORIG!C2180)</f>
        <v/>
      </c>
      <c r="D2180" s="3">
        <f>IF(ORIG!D2180=0,"",ORIG!D2180)</f>
        <v/>
      </c>
      <c r="E2180" s="3">
        <f>IF(ORIG!E2180=0,"",ORIG!E2180)</f>
        <v/>
      </c>
      <c r="F2180" s="3">
        <f>IF(ORIG!F2180=0,"",ORIG!F2180)</f>
        <v/>
      </c>
      <c r="G2180" s="3">
        <f>IF(ORIG!G2180=0,"",ORIG!G2180)</f>
        <v/>
      </c>
      <c r="H2180" s="3">
        <f>IF(ORIG!H2180=0,"",ORIG!H2180)</f>
        <v/>
      </c>
      <c r="I2180" s="3">
        <f>IF(ORIG!I2180=0,"",ORIG!I2180)</f>
        <v/>
      </c>
      <c r="J2180" s="3">
        <f>IF(ORIG!J2180=0,"",ORIG!J2180)</f>
        <v/>
      </c>
      <c r="K2180" s="3">
        <f>IF(ORIG!K2180=0,"",ORIG!K2180)</f>
        <v/>
      </c>
      <c r="L2180" s="3">
        <f>IF(ORIG!L2180=0,"",ORIG!L2180)</f>
        <v/>
      </c>
      <c r="M2180" s="3">
        <f>IF(ORIG!M2180=0,"",ORIG!M2180)</f>
        <v/>
      </c>
      <c r="N2180" s="3">
        <f>IF(ORIG!N2180=0,"",ORIG!N2180)</f>
        <v/>
      </c>
      <c r="O2180" s="3">
        <f>IF(ORIG!O2180=0,"",ORIG!O2180)</f>
        <v/>
      </c>
      <c r="P2180" s="3">
        <f>IF(ORIG!P2180=0,"",ORIG!P2180)</f>
        <v/>
      </c>
      <c r="Q2180" s="3">
        <f>IF(ORIG!Q2180=0,"",ORIG!Q2180)</f>
        <v/>
      </c>
      <c r="R2180" s="3">
        <f>IF(ORIG!R2180=0,"",ORIG!R2180)</f>
        <v/>
      </c>
      <c r="S2180" s="3">
        <f>IF(ORIG!S2180=0,"",ORIG!S2180)</f>
        <v/>
      </c>
      <c r="T2180" s="3">
        <f>IF(ORIG!T2180=0,"",ORIG!T2180)</f>
        <v/>
      </c>
      <c r="U2180" s="3">
        <f>IF(ORIG!U2180=0,"",ORIG!U2180)</f>
        <v/>
      </c>
      <c r="V2180" s="9">
        <f>IF(ORIG!V2180=0,"",ORIG!V2180)</f>
        <v/>
      </c>
      <c r="W2180" s="9">
        <f>IF(ORIG!W2180=0,"",ORIG!W2180)</f>
        <v/>
      </c>
      <c r="X2180" s="9">
        <f>IF(ORIG!X2180=0,"",ORIG!X2180)</f>
        <v/>
      </c>
      <c r="Y2180" s="9">
        <f>IF(ORIG!Y2180=0,"",ORIG!Y2180)</f>
        <v/>
      </c>
      <c r="Z2180" s="3">
        <f>SUMPRODUCT($B2180:$Y2180,$B$2649:$Y$2649)</f>
        <v/>
      </c>
      <c r="AA2180" s="3">
        <f>SUMPRODUCT($B2180:$Y2180,$B$2655:$Y$2655)</f>
        <v/>
      </c>
      <c r="AC2180" s="1">
        <f>A2180</f>
        <v/>
      </c>
      <c r="AD2180">
        <f>IF(ISNUMBER(V2180),V2180*($AB$1/V$2635),"")</f>
        <v/>
      </c>
      <c r="AE2180">
        <f>IF(ISNUMBER(Z2180),Z2180*($AB$1/Z$2635),"")</f>
        <v/>
      </c>
      <c r="AF2180" s="25">
        <f>IF(ISNUMBER(AD2180+AE2180),AD2180+AE2180,"")</f>
        <v/>
      </c>
      <c r="AH2180" s="1">
        <f>A2180</f>
        <v/>
      </c>
      <c r="AI2180">
        <f>IF(ISNUMBER((1+V2180)*AI2179),(1+V2180)*AI2179,AI2179)</f>
        <v/>
      </c>
      <c r="AJ2180">
        <f>IF(ISNUMBER((1+Z2180)*AJ2179),(1+Z2180)*AJ2179,AJ2179)</f>
        <v/>
      </c>
    </row>
    <row r="2181">
      <c r="A2181" s="1" t="n">
        <v>45167</v>
      </c>
      <c r="B2181" s="3">
        <f>IF(ORIG!B2181=0,"",ORIG!B2181)</f>
        <v/>
      </c>
      <c r="C2181" s="3">
        <f>IF(ORIG!C2181=0,"",ORIG!C2181)</f>
        <v/>
      </c>
      <c r="D2181" s="3">
        <f>IF(ORIG!D2181=0,"",ORIG!D2181)</f>
        <v/>
      </c>
      <c r="E2181" s="3">
        <f>IF(ORIG!E2181=0,"",ORIG!E2181)</f>
        <v/>
      </c>
      <c r="F2181" s="3">
        <f>IF(ORIG!F2181=0,"",ORIG!F2181)</f>
        <v/>
      </c>
      <c r="G2181" s="3">
        <f>IF(ORIG!G2181=0,"",ORIG!G2181)</f>
        <v/>
      </c>
      <c r="H2181" s="3">
        <f>IF(ORIG!H2181=0,"",ORIG!H2181)</f>
        <v/>
      </c>
      <c r="I2181" s="3">
        <f>IF(ORIG!I2181=0,"",ORIG!I2181)</f>
        <v/>
      </c>
      <c r="J2181" s="3">
        <f>IF(ORIG!J2181=0,"",ORIG!J2181)</f>
        <v/>
      </c>
      <c r="K2181" s="3">
        <f>IF(ORIG!K2181=0,"",ORIG!K2181)</f>
        <v/>
      </c>
      <c r="L2181" s="3">
        <f>IF(ORIG!L2181=0,"",ORIG!L2181)</f>
        <v/>
      </c>
      <c r="M2181" s="3">
        <f>IF(ORIG!M2181=0,"",ORIG!M2181)</f>
        <v/>
      </c>
      <c r="N2181" s="3">
        <f>IF(ORIG!N2181=0,"",ORIG!N2181)</f>
        <v/>
      </c>
      <c r="O2181" s="3">
        <f>IF(ORIG!O2181=0,"",ORIG!O2181)</f>
        <v/>
      </c>
      <c r="P2181" s="3">
        <f>IF(ORIG!P2181=0,"",ORIG!P2181)</f>
        <v/>
      </c>
      <c r="Q2181" s="3">
        <f>IF(ORIG!Q2181=0,"",ORIG!Q2181)</f>
        <v/>
      </c>
      <c r="R2181" s="3">
        <f>IF(ORIG!R2181=0,"",ORIG!R2181)</f>
        <v/>
      </c>
      <c r="S2181" s="3">
        <f>IF(ORIG!S2181=0,"",ORIG!S2181)</f>
        <v/>
      </c>
      <c r="T2181" s="3">
        <f>IF(ORIG!T2181=0,"",ORIG!T2181)</f>
        <v/>
      </c>
      <c r="U2181" s="3">
        <f>IF(ORIG!U2181=0,"",ORIG!U2181)</f>
        <v/>
      </c>
      <c r="V2181" s="9">
        <f>IF(ORIG!V2181=0,"",ORIG!V2181)</f>
        <v/>
      </c>
      <c r="W2181" s="9">
        <f>IF(ORIG!W2181=0,"",ORIG!W2181)</f>
        <v/>
      </c>
      <c r="X2181" s="9">
        <f>IF(ORIG!X2181=0,"",ORIG!X2181)</f>
        <v/>
      </c>
      <c r="Y2181" s="9">
        <f>IF(ORIG!Y2181=0,"",ORIG!Y2181)</f>
        <v/>
      </c>
      <c r="Z2181" s="3">
        <f>SUMPRODUCT($B2181:$Y2181,$B$2649:$Y$2649)</f>
        <v/>
      </c>
      <c r="AA2181" s="3">
        <f>SUMPRODUCT($B2181:$Y2181,$B$2655:$Y$2655)</f>
        <v/>
      </c>
      <c r="AC2181" s="1">
        <f>A2181</f>
        <v/>
      </c>
      <c r="AD2181">
        <f>IF(ISNUMBER(V2181),V2181*($AB$1/V$2635),"")</f>
        <v/>
      </c>
      <c r="AE2181">
        <f>IF(ISNUMBER(Z2181),Z2181*($AB$1/Z$2635),"")</f>
        <v/>
      </c>
      <c r="AF2181" s="25">
        <f>IF(ISNUMBER(AD2181+AE2181),AD2181+AE2181,"")</f>
        <v/>
      </c>
      <c r="AH2181" s="1">
        <f>A2181</f>
        <v/>
      </c>
      <c r="AI2181">
        <f>IF(ISNUMBER((1+V2181)*AI2180),(1+V2181)*AI2180,AI2180)</f>
        <v/>
      </c>
      <c r="AJ2181">
        <f>IF(ISNUMBER((1+Z2181)*AJ2180),(1+Z2181)*AJ2180,AJ2180)</f>
        <v/>
      </c>
    </row>
    <row r="2182">
      <c r="A2182" s="1" t="n">
        <v>45168</v>
      </c>
      <c r="B2182" s="3">
        <f>IF(ORIG!B2182=0,"",ORIG!B2182)</f>
        <v/>
      </c>
      <c r="C2182" s="3">
        <f>IF(ORIG!C2182=0,"",ORIG!C2182)</f>
        <v/>
      </c>
      <c r="D2182" s="3">
        <f>IF(ORIG!D2182=0,"",ORIG!D2182)</f>
        <v/>
      </c>
      <c r="E2182" s="3">
        <f>IF(ORIG!E2182=0,"",ORIG!E2182)</f>
        <v/>
      </c>
      <c r="F2182" s="3">
        <f>IF(ORIG!F2182=0,"",ORIG!F2182)</f>
        <v/>
      </c>
      <c r="G2182" s="3">
        <f>IF(ORIG!G2182=0,"",ORIG!G2182)</f>
        <v/>
      </c>
      <c r="H2182" s="3">
        <f>IF(ORIG!H2182=0,"",ORIG!H2182)</f>
        <v/>
      </c>
      <c r="I2182" s="3">
        <f>IF(ORIG!I2182=0,"",ORIG!I2182)</f>
        <v/>
      </c>
      <c r="J2182" s="3">
        <f>IF(ORIG!J2182=0,"",ORIG!J2182)</f>
        <v/>
      </c>
      <c r="K2182" s="3">
        <f>IF(ORIG!K2182=0,"",ORIG!K2182)</f>
        <v/>
      </c>
      <c r="L2182" s="3">
        <f>IF(ORIG!L2182=0,"",ORIG!L2182)</f>
        <v/>
      </c>
      <c r="M2182" s="3">
        <f>IF(ORIG!M2182=0,"",ORIG!M2182)</f>
        <v/>
      </c>
      <c r="N2182" s="3">
        <f>IF(ORIG!N2182=0,"",ORIG!N2182)</f>
        <v/>
      </c>
      <c r="O2182" s="3">
        <f>IF(ORIG!O2182=0,"",ORIG!O2182)</f>
        <v/>
      </c>
      <c r="P2182" s="3">
        <f>IF(ORIG!P2182=0,"",ORIG!P2182)</f>
        <v/>
      </c>
      <c r="Q2182" s="3">
        <f>IF(ORIG!Q2182=0,"",ORIG!Q2182)</f>
        <v/>
      </c>
      <c r="R2182" s="3">
        <f>IF(ORIG!R2182=0,"",ORIG!R2182)</f>
        <v/>
      </c>
      <c r="S2182" s="3">
        <f>IF(ORIG!S2182=0,"",ORIG!S2182)</f>
        <v/>
      </c>
      <c r="T2182" s="3">
        <f>IF(ORIG!T2182=0,"",ORIG!T2182)</f>
        <v/>
      </c>
      <c r="U2182" s="3">
        <f>IF(ORIG!U2182=0,"",ORIG!U2182)</f>
        <v/>
      </c>
      <c r="V2182" s="9">
        <f>IF(ORIG!V2182=0,"",ORIG!V2182)</f>
        <v/>
      </c>
      <c r="W2182" s="9">
        <f>IF(ORIG!W2182=0,"",ORIG!W2182)</f>
        <v/>
      </c>
      <c r="X2182" s="9">
        <f>IF(ORIG!X2182=0,"",ORIG!X2182)</f>
        <v/>
      </c>
      <c r="Y2182" s="9">
        <f>IF(ORIG!Y2182=0,"",ORIG!Y2182)</f>
        <v/>
      </c>
      <c r="Z2182" s="3">
        <f>SUMPRODUCT($B2182:$Y2182,$B$2649:$Y$2649)</f>
        <v/>
      </c>
      <c r="AA2182" s="3">
        <f>SUMPRODUCT($B2182:$Y2182,$B$2655:$Y$2655)</f>
        <v/>
      </c>
      <c r="AC2182" s="1">
        <f>A2182</f>
        <v/>
      </c>
      <c r="AD2182">
        <f>IF(ISNUMBER(V2182),V2182*($AB$1/V$2635),"")</f>
        <v/>
      </c>
      <c r="AE2182">
        <f>IF(ISNUMBER(Z2182),Z2182*($AB$1/Z$2635),"")</f>
        <v/>
      </c>
      <c r="AF2182" s="25">
        <f>IF(ISNUMBER(AD2182+AE2182),AD2182+AE2182,"")</f>
        <v/>
      </c>
      <c r="AH2182" s="1">
        <f>A2182</f>
        <v/>
      </c>
      <c r="AI2182">
        <f>IF(ISNUMBER((1+V2182)*AI2181),(1+V2182)*AI2181,AI2181)</f>
        <v/>
      </c>
      <c r="AJ2182">
        <f>IF(ISNUMBER((1+Z2182)*AJ2181),(1+Z2182)*AJ2181,AJ2181)</f>
        <v/>
      </c>
    </row>
    <row r="2183">
      <c r="A2183" s="1" t="n">
        <v>45169</v>
      </c>
      <c r="B2183" s="3">
        <f>IF(ORIG!B2183=0,"",ORIG!B2183)</f>
        <v/>
      </c>
      <c r="C2183" s="3">
        <f>IF(ORIG!C2183=0,"",ORIG!C2183)</f>
        <v/>
      </c>
      <c r="D2183" s="3">
        <f>IF(ORIG!D2183=0,"",ORIG!D2183)</f>
        <v/>
      </c>
      <c r="E2183" s="3">
        <f>IF(ORIG!E2183=0,"",ORIG!E2183)</f>
        <v/>
      </c>
      <c r="F2183" s="3">
        <f>IF(ORIG!F2183=0,"",ORIG!F2183)</f>
        <v/>
      </c>
      <c r="G2183" s="3">
        <f>IF(ORIG!G2183=0,"",ORIG!G2183)</f>
        <v/>
      </c>
      <c r="H2183" s="3">
        <f>IF(ORIG!H2183=0,"",ORIG!H2183)</f>
        <v/>
      </c>
      <c r="I2183" s="3">
        <f>IF(ORIG!I2183=0,"",ORIG!I2183)</f>
        <v/>
      </c>
      <c r="J2183" s="3">
        <f>IF(ORIG!J2183=0,"",ORIG!J2183)</f>
        <v/>
      </c>
      <c r="K2183" s="3">
        <f>IF(ORIG!K2183=0,"",ORIG!K2183)</f>
        <v/>
      </c>
      <c r="L2183" s="3">
        <f>IF(ORIG!L2183=0,"",ORIG!L2183)</f>
        <v/>
      </c>
      <c r="M2183" s="3">
        <f>IF(ORIG!M2183=0,"",ORIG!M2183)</f>
        <v/>
      </c>
      <c r="N2183" s="3">
        <f>IF(ORIG!N2183=0,"",ORIG!N2183)</f>
        <v/>
      </c>
      <c r="O2183" s="3">
        <f>IF(ORIG!O2183=0,"",ORIG!O2183)</f>
        <v/>
      </c>
      <c r="P2183" s="3">
        <f>IF(ORIG!P2183=0,"",ORIG!P2183)</f>
        <v/>
      </c>
      <c r="Q2183" s="3">
        <f>IF(ORIG!Q2183=0,"",ORIG!Q2183)</f>
        <v/>
      </c>
      <c r="R2183" s="3">
        <f>IF(ORIG!R2183=0,"",ORIG!R2183)</f>
        <v/>
      </c>
      <c r="S2183" s="3">
        <f>IF(ORIG!S2183=0,"",ORIG!S2183)</f>
        <v/>
      </c>
      <c r="T2183" s="3">
        <f>IF(ORIG!T2183=0,"",ORIG!T2183)</f>
        <v/>
      </c>
      <c r="U2183" s="3">
        <f>IF(ORIG!U2183=0,"",ORIG!U2183)</f>
        <v/>
      </c>
      <c r="V2183" s="9">
        <f>IF(ORIG!V2183=0,"",ORIG!V2183)</f>
        <v/>
      </c>
      <c r="W2183" s="9">
        <f>IF(ORIG!W2183=0,"",ORIG!W2183)</f>
        <v/>
      </c>
      <c r="X2183" s="9">
        <f>IF(ORIG!X2183=0,"",ORIG!X2183)</f>
        <v/>
      </c>
      <c r="Y2183" s="9">
        <f>IF(ORIG!Y2183=0,"",ORIG!Y2183)</f>
        <v/>
      </c>
      <c r="Z2183" s="3">
        <f>SUMPRODUCT($B2183:$Y2183,$B$2649:$Y$2649)</f>
        <v/>
      </c>
      <c r="AA2183" s="3">
        <f>SUMPRODUCT($B2183:$Y2183,$B$2655:$Y$2655)</f>
        <v/>
      </c>
      <c r="AC2183" s="1">
        <f>A2183</f>
        <v/>
      </c>
      <c r="AD2183">
        <f>IF(ISNUMBER(V2183),V2183*($AB$1/V$2635),"")</f>
        <v/>
      </c>
      <c r="AE2183">
        <f>IF(ISNUMBER(Z2183),Z2183*($AB$1/Z$2635),"")</f>
        <v/>
      </c>
      <c r="AF2183" s="25">
        <f>IF(ISNUMBER(AD2183+AE2183),AD2183+AE2183,"")</f>
        <v/>
      </c>
      <c r="AH2183" s="1">
        <f>A2183</f>
        <v/>
      </c>
      <c r="AI2183">
        <f>IF(ISNUMBER((1+V2183)*AI2182),(1+V2183)*AI2182,AI2182)</f>
        <v/>
      </c>
      <c r="AJ2183">
        <f>IF(ISNUMBER((1+Z2183)*AJ2182),(1+Z2183)*AJ2182,AJ2182)</f>
        <v/>
      </c>
    </row>
    <row r="2184">
      <c r="A2184" s="1" t="n">
        <v>45170</v>
      </c>
      <c r="B2184" s="3">
        <f>IF(ORIG!B2184=0,"",ORIG!B2184)</f>
        <v/>
      </c>
      <c r="C2184" s="3">
        <f>IF(ORIG!C2184=0,"",ORIG!C2184)</f>
        <v/>
      </c>
      <c r="D2184" s="3">
        <f>IF(ORIG!D2184=0,"",ORIG!D2184)</f>
        <v/>
      </c>
      <c r="E2184" s="3">
        <f>IF(ORIG!E2184=0,"",ORIG!E2184)</f>
        <v/>
      </c>
      <c r="F2184" s="3">
        <f>IF(ORIG!F2184=0,"",ORIG!F2184)</f>
        <v/>
      </c>
      <c r="G2184" s="3">
        <f>IF(ORIG!G2184=0,"",ORIG!G2184)</f>
        <v/>
      </c>
      <c r="H2184" s="3">
        <f>IF(ORIG!H2184=0,"",ORIG!H2184)</f>
        <v/>
      </c>
      <c r="I2184" s="3">
        <f>IF(ORIG!I2184=0,"",ORIG!I2184)</f>
        <v/>
      </c>
      <c r="J2184" s="3">
        <f>IF(ORIG!J2184=0,"",ORIG!J2184)</f>
        <v/>
      </c>
      <c r="K2184" s="3">
        <f>IF(ORIG!K2184=0,"",ORIG!K2184)</f>
        <v/>
      </c>
      <c r="L2184" s="3">
        <f>IF(ORIG!L2184=0,"",ORIG!L2184)</f>
        <v/>
      </c>
      <c r="M2184" s="3">
        <f>IF(ORIG!M2184=0,"",ORIG!M2184)</f>
        <v/>
      </c>
      <c r="N2184" s="3">
        <f>IF(ORIG!N2184=0,"",ORIG!N2184)</f>
        <v/>
      </c>
      <c r="O2184" s="3">
        <f>IF(ORIG!O2184=0,"",ORIG!O2184)</f>
        <v/>
      </c>
      <c r="P2184" s="3">
        <f>IF(ORIG!P2184=0,"",ORIG!P2184)</f>
        <v/>
      </c>
      <c r="Q2184" s="3">
        <f>IF(ORIG!Q2184=0,"",ORIG!Q2184)</f>
        <v/>
      </c>
      <c r="R2184" s="3">
        <f>IF(ORIG!R2184=0,"",ORIG!R2184)</f>
        <v/>
      </c>
      <c r="S2184" s="3">
        <f>IF(ORIG!S2184=0,"",ORIG!S2184)</f>
        <v/>
      </c>
      <c r="T2184" s="3">
        <f>IF(ORIG!T2184=0,"",ORIG!T2184)</f>
        <v/>
      </c>
      <c r="U2184" s="3">
        <f>IF(ORIG!U2184=0,"",ORIG!U2184)</f>
        <v/>
      </c>
      <c r="V2184" s="9">
        <f>IF(ORIG!V2184=0,"",ORIG!V2184)</f>
        <v/>
      </c>
      <c r="W2184" s="9">
        <f>IF(ORIG!W2184=0,"",ORIG!W2184)</f>
        <v/>
      </c>
      <c r="X2184" s="9">
        <f>IF(ORIG!X2184=0,"",ORIG!X2184)</f>
        <v/>
      </c>
      <c r="Y2184" s="9">
        <f>IF(ORIG!Y2184=0,"",ORIG!Y2184)</f>
        <v/>
      </c>
      <c r="Z2184" s="3">
        <f>SUMPRODUCT($B2184:$Y2184,$B$2649:$Y$2649)</f>
        <v/>
      </c>
      <c r="AA2184" s="3">
        <f>SUMPRODUCT($B2184:$Y2184,$B$2655:$Y$2655)</f>
        <v/>
      </c>
      <c r="AC2184" s="1">
        <f>A2184</f>
        <v/>
      </c>
      <c r="AD2184">
        <f>IF(ISNUMBER(V2184),V2184*($AB$1/V$2635),"")</f>
        <v/>
      </c>
      <c r="AE2184">
        <f>IF(ISNUMBER(Z2184),Z2184*($AB$1/Z$2635),"")</f>
        <v/>
      </c>
      <c r="AF2184" s="25">
        <f>IF(ISNUMBER(AD2184+AE2184),AD2184+AE2184,"")</f>
        <v/>
      </c>
      <c r="AH2184" s="1">
        <f>A2184</f>
        <v/>
      </c>
      <c r="AI2184">
        <f>IF(ISNUMBER((1+V2184)*AI2183),(1+V2184)*AI2183,AI2183)</f>
        <v/>
      </c>
      <c r="AJ2184">
        <f>IF(ISNUMBER((1+Z2184)*AJ2183),(1+Z2184)*AJ2183,AJ2183)</f>
        <v/>
      </c>
    </row>
    <row r="2185">
      <c r="A2185" s="1" t="n">
        <v>45174</v>
      </c>
      <c r="B2185" s="3">
        <f>IF(ORIG!B2185=0,"",ORIG!B2185)</f>
        <v/>
      </c>
      <c r="C2185" s="3">
        <f>IF(ORIG!C2185=0,"",ORIG!C2185)</f>
        <v/>
      </c>
      <c r="D2185" s="3">
        <f>IF(ORIG!D2185=0,"",ORIG!D2185)</f>
        <v/>
      </c>
      <c r="E2185" s="3">
        <f>IF(ORIG!E2185=0,"",ORIG!E2185)</f>
        <v/>
      </c>
      <c r="F2185" s="3">
        <f>IF(ORIG!F2185=0,"",ORIG!F2185)</f>
        <v/>
      </c>
      <c r="G2185" s="3">
        <f>IF(ORIG!G2185=0,"",ORIG!G2185)</f>
        <v/>
      </c>
      <c r="H2185" s="3">
        <f>IF(ORIG!H2185=0,"",ORIG!H2185)</f>
        <v/>
      </c>
      <c r="I2185" s="3">
        <f>IF(ORIG!I2185=0,"",ORIG!I2185)</f>
        <v/>
      </c>
      <c r="J2185" s="3">
        <f>IF(ORIG!J2185=0,"",ORIG!J2185)</f>
        <v/>
      </c>
      <c r="K2185" s="3">
        <f>IF(ORIG!K2185=0,"",ORIG!K2185)</f>
        <v/>
      </c>
      <c r="L2185" s="3">
        <f>IF(ORIG!L2185=0,"",ORIG!L2185)</f>
        <v/>
      </c>
      <c r="M2185" s="3">
        <f>IF(ORIG!M2185=0,"",ORIG!M2185)</f>
        <v/>
      </c>
      <c r="N2185" s="3">
        <f>IF(ORIG!N2185=0,"",ORIG!N2185)</f>
        <v/>
      </c>
      <c r="O2185" s="3">
        <f>IF(ORIG!O2185=0,"",ORIG!O2185)</f>
        <v/>
      </c>
      <c r="P2185" s="3">
        <f>IF(ORIG!P2185=0,"",ORIG!P2185)</f>
        <v/>
      </c>
      <c r="Q2185" s="3">
        <f>IF(ORIG!Q2185=0,"",ORIG!Q2185)</f>
        <v/>
      </c>
      <c r="R2185" s="3">
        <f>IF(ORIG!R2185=0,"",ORIG!R2185)</f>
        <v/>
      </c>
      <c r="S2185" s="3">
        <f>IF(ORIG!S2185=0,"",ORIG!S2185)</f>
        <v/>
      </c>
      <c r="T2185" s="3">
        <f>IF(ORIG!T2185=0,"",ORIG!T2185)</f>
        <v/>
      </c>
      <c r="U2185" s="3">
        <f>IF(ORIG!U2185=0,"",ORIG!U2185)</f>
        <v/>
      </c>
      <c r="V2185" s="9">
        <f>IF(ORIG!V2185=0,"",ORIG!V2185)</f>
        <v/>
      </c>
      <c r="W2185" s="9">
        <f>IF(ORIG!W2185=0,"",ORIG!W2185)</f>
        <v/>
      </c>
      <c r="X2185" s="9">
        <f>IF(ORIG!X2185=0,"",ORIG!X2185)</f>
        <v/>
      </c>
      <c r="Y2185" s="9">
        <f>IF(ORIG!Y2185=0,"",ORIG!Y2185)</f>
        <v/>
      </c>
      <c r="Z2185" s="3">
        <f>SUMPRODUCT($B2185:$Y2185,$B$2649:$Y$2649)</f>
        <v/>
      </c>
      <c r="AA2185" s="3">
        <f>SUMPRODUCT($B2185:$Y2185,$B$2655:$Y$2655)</f>
        <v/>
      </c>
      <c r="AC2185" s="1">
        <f>A2185</f>
        <v/>
      </c>
      <c r="AD2185">
        <f>IF(ISNUMBER(V2185),V2185*($AB$1/V$2635),"")</f>
        <v/>
      </c>
      <c r="AE2185">
        <f>IF(ISNUMBER(Z2185),Z2185*($AB$1/Z$2635),"")</f>
        <v/>
      </c>
      <c r="AF2185" s="25">
        <f>IF(ISNUMBER(AD2185+AE2185),AD2185+AE2185,"")</f>
        <v/>
      </c>
      <c r="AH2185" s="1">
        <f>A2185</f>
        <v/>
      </c>
      <c r="AI2185">
        <f>IF(ISNUMBER((1+V2185)*AI2184),(1+V2185)*AI2184,AI2184)</f>
        <v/>
      </c>
      <c r="AJ2185">
        <f>IF(ISNUMBER((1+Z2185)*AJ2184),(1+Z2185)*AJ2184,AJ2184)</f>
        <v/>
      </c>
    </row>
    <row r="2186">
      <c r="A2186" s="1" t="n">
        <v>45175</v>
      </c>
      <c r="B2186" s="3">
        <f>IF(ORIG!B2186=0,"",ORIG!B2186)</f>
        <v/>
      </c>
      <c r="C2186" s="3">
        <f>IF(ORIG!C2186=0,"",ORIG!C2186)</f>
        <v/>
      </c>
      <c r="D2186" s="3">
        <f>IF(ORIG!D2186=0,"",ORIG!D2186)</f>
        <v/>
      </c>
      <c r="E2186" s="3">
        <f>IF(ORIG!E2186=0,"",ORIG!E2186)</f>
        <v/>
      </c>
      <c r="F2186" s="3">
        <f>IF(ORIG!F2186=0,"",ORIG!F2186)</f>
        <v/>
      </c>
      <c r="G2186" s="3">
        <f>IF(ORIG!G2186=0,"",ORIG!G2186)</f>
        <v/>
      </c>
      <c r="H2186" s="3">
        <f>IF(ORIG!H2186=0,"",ORIG!H2186)</f>
        <v/>
      </c>
      <c r="I2186" s="3">
        <f>IF(ORIG!I2186=0,"",ORIG!I2186)</f>
        <v/>
      </c>
      <c r="J2186" s="3">
        <f>IF(ORIG!J2186=0,"",ORIG!J2186)</f>
        <v/>
      </c>
      <c r="K2186" s="3">
        <f>IF(ORIG!K2186=0,"",ORIG!K2186)</f>
        <v/>
      </c>
      <c r="L2186" s="3">
        <f>IF(ORIG!L2186=0,"",ORIG!L2186)</f>
        <v/>
      </c>
      <c r="M2186" s="3">
        <f>IF(ORIG!M2186=0,"",ORIG!M2186)</f>
        <v/>
      </c>
      <c r="N2186" s="3">
        <f>IF(ORIG!N2186=0,"",ORIG!N2186)</f>
        <v/>
      </c>
      <c r="O2186" s="3">
        <f>IF(ORIG!O2186=0,"",ORIG!O2186)</f>
        <v/>
      </c>
      <c r="P2186" s="3">
        <f>IF(ORIG!P2186=0,"",ORIG!P2186)</f>
        <v/>
      </c>
      <c r="Q2186" s="3">
        <f>IF(ORIG!Q2186=0,"",ORIG!Q2186)</f>
        <v/>
      </c>
      <c r="R2186" s="3">
        <f>IF(ORIG!R2186=0,"",ORIG!R2186)</f>
        <v/>
      </c>
      <c r="S2186" s="3">
        <f>IF(ORIG!S2186=0,"",ORIG!S2186)</f>
        <v/>
      </c>
      <c r="T2186" s="3">
        <f>IF(ORIG!T2186=0,"",ORIG!T2186)</f>
        <v/>
      </c>
      <c r="U2186" s="3">
        <f>IF(ORIG!U2186=0,"",ORIG!U2186)</f>
        <v/>
      </c>
      <c r="V2186" s="9">
        <f>IF(ORIG!V2186=0,"",ORIG!V2186)</f>
        <v/>
      </c>
      <c r="W2186" s="9">
        <f>IF(ORIG!W2186=0,"",ORIG!W2186)</f>
        <v/>
      </c>
      <c r="X2186" s="9">
        <f>IF(ORIG!X2186=0,"",ORIG!X2186)</f>
        <v/>
      </c>
      <c r="Y2186" s="9">
        <f>IF(ORIG!Y2186=0,"",ORIG!Y2186)</f>
        <v/>
      </c>
      <c r="Z2186" s="3">
        <f>SUMPRODUCT($B2186:$Y2186,$B$2649:$Y$2649)</f>
        <v/>
      </c>
      <c r="AA2186" s="3">
        <f>SUMPRODUCT($B2186:$Y2186,$B$2655:$Y$2655)</f>
        <v/>
      </c>
      <c r="AC2186" s="1">
        <f>A2186</f>
        <v/>
      </c>
      <c r="AD2186">
        <f>IF(ISNUMBER(V2186),V2186*($AB$1/V$2635),"")</f>
        <v/>
      </c>
      <c r="AE2186">
        <f>IF(ISNUMBER(Z2186),Z2186*($AB$1/Z$2635),"")</f>
        <v/>
      </c>
      <c r="AF2186" s="25">
        <f>IF(ISNUMBER(AD2186+AE2186),AD2186+AE2186,"")</f>
        <v/>
      </c>
      <c r="AH2186" s="1">
        <f>A2186</f>
        <v/>
      </c>
      <c r="AI2186">
        <f>IF(ISNUMBER((1+V2186)*AI2185),(1+V2186)*AI2185,AI2185)</f>
        <v/>
      </c>
      <c r="AJ2186">
        <f>IF(ISNUMBER((1+Z2186)*AJ2185),(1+Z2186)*AJ2185,AJ2185)</f>
        <v/>
      </c>
    </row>
    <row r="2187">
      <c r="A2187" s="1" t="n">
        <v>45176</v>
      </c>
      <c r="B2187" s="3">
        <f>IF(ORIG!B2187=0,"",ORIG!B2187)</f>
        <v/>
      </c>
      <c r="C2187" s="3">
        <f>IF(ORIG!C2187=0,"",ORIG!C2187)</f>
        <v/>
      </c>
      <c r="D2187" s="3">
        <f>IF(ORIG!D2187=0,"",ORIG!D2187)</f>
        <v/>
      </c>
      <c r="E2187" s="3">
        <f>IF(ORIG!E2187=0,"",ORIG!E2187)</f>
        <v/>
      </c>
      <c r="F2187" s="3">
        <f>IF(ORIG!F2187=0,"",ORIG!F2187)</f>
        <v/>
      </c>
      <c r="G2187" s="3">
        <f>IF(ORIG!G2187=0,"",ORIG!G2187)</f>
        <v/>
      </c>
      <c r="H2187" s="3">
        <f>IF(ORIG!H2187=0,"",ORIG!H2187)</f>
        <v/>
      </c>
      <c r="I2187" s="3">
        <f>IF(ORIG!I2187=0,"",ORIG!I2187)</f>
        <v/>
      </c>
      <c r="J2187" s="3">
        <f>IF(ORIG!J2187=0,"",ORIG!J2187)</f>
        <v/>
      </c>
      <c r="K2187" s="3">
        <f>IF(ORIG!K2187=0,"",ORIG!K2187)</f>
        <v/>
      </c>
      <c r="L2187" s="3">
        <f>IF(ORIG!L2187=0,"",ORIG!L2187)</f>
        <v/>
      </c>
      <c r="M2187" s="3">
        <f>IF(ORIG!M2187=0,"",ORIG!M2187)</f>
        <v/>
      </c>
      <c r="N2187" s="3">
        <f>IF(ORIG!N2187=0,"",ORIG!N2187)</f>
        <v/>
      </c>
      <c r="O2187" s="3">
        <f>IF(ORIG!O2187=0,"",ORIG!O2187)</f>
        <v/>
      </c>
      <c r="P2187" s="3">
        <f>IF(ORIG!P2187=0,"",ORIG!P2187)</f>
        <v/>
      </c>
      <c r="Q2187" s="3">
        <f>IF(ORIG!Q2187=0,"",ORIG!Q2187)</f>
        <v/>
      </c>
      <c r="R2187" s="3">
        <f>IF(ORIG!R2187=0,"",ORIG!R2187)</f>
        <v/>
      </c>
      <c r="S2187" s="3">
        <f>IF(ORIG!S2187=0,"",ORIG!S2187)</f>
        <v/>
      </c>
      <c r="T2187" s="3">
        <f>IF(ORIG!T2187=0,"",ORIG!T2187)</f>
        <v/>
      </c>
      <c r="U2187" s="3">
        <f>IF(ORIG!U2187=0,"",ORIG!U2187)</f>
        <v/>
      </c>
      <c r="V2187" s="9">
        <f>IF(ORIG!V2187=0,"",ORIG!V2187)</f>
        <v/>
      </c>
      <c r="W2187" s="9">
        <f>IF(ORIG!W2187=0,"",ORIG!W2187)</f>
        <v/>
      </c>
      <c r="X2187" s="9">
        <f>IF(ORIG!X2187=0,"",ORIG!X2187)</f>
        <v/>
      </c>
      <c r="Y2187" s="9">
        <f>IF(ORIG!Y2187=0,"",ORIG!Y2187)</f>
        <v/>
      </c>
      <c r="Z2187" s="3">
        <f>SUMPRODUCT($B2187:$Y2187,$B$2649:$Y$2649)</f>
        <v/>
      </c>
      <c r="AA2187" s="3">
        <f>SUMPRODUCT($B2187:$Y2187,$B$2655:$Y$2655)</f>
        <v/>
      </c>
      <c r="AC2187" s="1">
        <f>A2187</f>
        <v/>
      </c>
      <c r="AD2187">
        <f>IF(ISNUMBER(V2187),V2187*($AB$1/V$2635),"")</f>
        <v/>
      </c>
      <c r="AE2187">
        <f>IF(ISNUMBER(Z2187),Z2187*($AB$1/Z$2635),"")</f>
        <v/>
      </c>
      <c r="AF2187" s="25">
        <f>IF(ISNUMBER(AD2187+AE2187),AD2187+AE2187,"")</f>
        <v/>
      </c>
      <c r="AH2187" s="1">
        <f>A2187</f>
        <v/>
      </c>
      <c r="AI2187">
        <f>IF(ISNUMBER((1+V2187)*AI2186),(1+V2187)*AI2186,AI2186)</f>
        <v/>
      </c>
      <c r="AJ2187">
        <f>IF(ISNUMBER((1+Z2187)*AJ2186),(1+Z2187)*AJ2186,AJ2186)</f>
        <v/>
      </c>
    </row>
    <row r="2188">
      <c r="A2188" s="1" t="n">
        <v>45177</v>
      </c>
      <c r="B2188" s="3">
        <f>IF(ORIG!B2188=0,"",ORIG!B2188)</f>
        <v/>
      </c>
      <c r="C2188" s="3">
        <f>IF(ORIG!C2188=0,"",ORIG!C2188)</f>
        <v/>
      </c>
      <c r="D2188" s="3">
        <f>IF(ORIG!D2188=0,"",ORIG!D2188)</f>
        <v/>
      </c>
      <c r="E2188" s="3">
        <f>IF(ORIG!E2188=0,"",ORIG!E2188)</f>
        <v/>
      </c>
      <c r="F2188" s="3">
        <f>IF(ORIG!F2188=0,"",ORIG!F2188)</f>
        <v/>
      </c>
      <c r="G2188" s="3">
        <f>IF(ORIG!G2188=0,"",ORIG!G2188)</f>
        <v/>
      </c>
      <c r="H2188" s="3">
        <f>IF(ORIG!H2188=0,"",ORIG!H2188)</f>
        <v/>
      </c>
      <c r="I2188" s="3">
        <f>IF(ORIG!I2188=0,"",ORIG!I2188)</f>
        <v/>
      </c>
      <c r="J2188" s="3">
        <f>IF(ORIG!J2188=0,"",ORIG!J2188)</f>
        <v/>
      </c>
      <c r="K2188" s="3">
        <f>IF(ORIG!K2188=0,"",ORIG!K2188)</f>
        <v/>
      </c>
      <c r="L2188" s="3">
        <f>IF(ORIG!L2188=0,"",ORIG!L2188)</f>
        <v/>
      </c>
      <c r="M2188" s="3">
        <f>IF(ORIG!M2188=0,"",ORIG!M2188)</f>
        <v/>
      </c>
      <c r="N2188" s="3">
        <f>IF(ORIG!N2188=0,"",ORIG!N2188)</f>
        <v/>
      </c>
      <c r="O2188" s="3">
        <f>IF(ORIG!O2188=0,"",ORIG!O2188)</f>
        <v/>
      </c>
      <c r="P2188" s="3">
        <f>IF(ORIG!P2188=0,"",ORIG!P2188)</f>
        <v/>
      </c>
      <c r="Q2188" s="3">
        <f>IF(ORIG!Q2188=0,"",ORIG!Q2188)</f>
        <v/>
      </c>
      <c r="R2188" s="3">
        <f>IF(ORIG!R2188=0,"",ORIG!R2188)</f>
        <v/>
      </c>
      <c r="S2188" s="3">
        <f>IF(ORIG!S2188=0,"",ORIG!S2188)</f>
        <v/>
      </c>
      <c r="T2188" s="3">
        <f>IF(ORIG!T2188=0,"",ORIG!T2188)</f>
        <v/>
      </c>
      <c r="U2188" s="3">
        <f>IF(ORIG!U2188=0,"",ORIG!U2188)</f>
        <v/>
      </c>
      <c r="V2188" s="9">
        <f>IF(ORIG!V2188=0,"",ORIG!V2188)</f>
        <v/>
      </c>
      <c r="W2188" s="9">
        <f>IF(ORIG!W2188=0,"",ORIG!W2188)</f>
        <v/>
      </c>
      <c r="X2188" s="9">
        <f>IF(ORIG!X2188=0,"",ORIG!X2188)</f>
        <v/>
      </c>
      <c r="Y2188" s="9">
        <f>IF(ORIG!Y2188=0,"",ORIG!Y2188)</f>
        <v/>
      </c>
      <c r="Z2188" s="3">
        <f>SUMPRODUCT($B2188:$Y2188,$B$2649:$Y$2649)</f>
        <v/>
      </c>
      <c r="AA2188" s="3">
        <f>SUMPRODUCT($B2188:$Y2188,$B$2655:$Y$2655)</f>
        <v/>
      </c>
      <c r="AC2188" s="1">
        <f>A2188</f>
        <v/>
      </c>
      <c r="AD2188">
        <f>IF(ISNUMBER(V2188),V2188*($AB$1/V$2635),"")</f>
        <v/>
      </c>
      <c r="AE2188">
        <f>IF(ISNUMBER(Z2188),Z2188*($AB$1/Z$2635),"")</f>
        <v/>
      </c>
      <c r="AF2188" s="25">
        <f>IF(ISNUMBER(AD2188+AE2188),AD2188+AE2188,"")</f>
        <v/>
      </c>
      <c r="AH2188" s="1">
        <f>A2188</f>
        <v/>
      </c>
      <c r="AI2188">
        <f>IF(ISNUMBER((1+V2188)*AI2187),(1+V2188)*AI2187,AI2187)</f>
        <v/>
      </c>
      <c r="AJ2188">
        <f>IF(ISNUMBER((1+Z2188)*AJ2187),(1+Z2188)*AJ2187,AJ2187)</f>
        <v/>
      </c>
    </row>
    <row r="2189">
      <c r="A2189" s="1" t="n">
        <v>45180</v>
      </c>
      <c r="B2189" s="3">
        <f>IF(ORIG!B2189=0,"",ORIG!B2189)</f>
        <v/>
      </c>
      <c r="C2189" s="3">
        <f>IF(ORIG!C2189=0,"",ORIG!C2189)</f>
        <v/>
      </c>
      <c r="D2189" s="3">
        <f>IF(ORIG!D2189=0,"",ORIG!D2189)</f>
        <v/>
      </c>
      <c r="E2189" s="3">
        <f>IF(ORIG!E2189=0,"",ORIG!E2189)</f>
        <v/>
      </c>
      <c r="F2189" s="3">
        <f>IF(ORIG!F2189=0,"",ORIG!F2189)</f>
        <v/>
      </c>
      <c r="G2189" s="3">
        <f>IF(ORIG!G2189=0,"",ORIG!G2189)</f>
        <v/>
      </c>
      <c r="H2189" s="3">
        <f>IF(ORIG!H2189=0,"",ORIG!H2189)</f>
        <v/>
      </c>
      <c r="I2189" s="3">
        <f>IF(ORIG!I2189=0,"",ORIG!I2189)</f>
        <v/>
      </c>
      <c r="J2189" s="3">
        <f>IF(ORIG!J2189=0,"",ORIG!J2189)</f>
        <v/>
      </c>
      <c r="K2189" s="3">
        <f>IF(ORIG!K2189=0,"",ORIG!K2189)</f>
        <v/>
      </c>
      <c r="L2189" s="3">
        <f>IF(ORIG!L2189=0,"",ORIG!L2189)</f>
        <v/>
      </c>
      <c r="M2189" s="3">
        <f>IF(ORIG!M2189=0,"",ORIG!M2189)</f>
        <v/>
      </c>
      <c r="N2189" s="3">
        <f>IF(ORIG!N2189=0,"",ORIG!N2189)</f>
        <v/>
      </c>
      <c r="O2189" s="3">
        <f>IF(ORIG!O2189=0,"",ORIG!O2189)</f>
        <v/>
      </c>
      <c r="P2189" s="3">
        <f>IF(ORIG!P2189=0,"",ORIG!P2189)</f>
        <v/>
      </c>
      <c r="Q2189" s="3">
        <f>IF(ORIG!Q2189=0,"",ORIG!Q2189)</f>
        <v/>
      </c>
      <c r="R2189" s="3">
        <f>IF(ORIG!R2189=0,"",ORIG!R2189)</f>
        <v/>
      </c>
      <c r="S2189" s="3">
        <f>IF(ORIG!S2189=0,"",ORIG!S2189)</f>
        <v/>
      </c>
      <c r="T2189" s="3">
        <f>IF(ORIG!T2189=0,"",ORIG!T2189)</f>
        <v/>
      </c>
      <c r="U2189" s="3">
        <f>IF(ORIG!U2189=0,"",ORIG!U2189)</f>
        <v/>
      </c>
      <c r="V2189" s="9">
        <f>IF(ORIG!V2189=0,"",ORIG!V2189)</f>
        <v/>
      </c>
      <c r="W2189" s="9">
        <f>IF(ORIG!W2189=0,"",ORIG!W2189)</f>
        <v/>
      </c>
      <c r="X2189" s="9">
        <f>IF(ORIG!X2189=0,"",ORIG!X2189)</f>
        <v/>
      </c>
      <c r="Y2189" s="9">
        <f>IF(ORIG!Y2189=0,"",ORIG!Y2189)</f>
        <v/>
      </c>
      <c r="Z2189" s="3">
        <f>SUMPRODUCT($B2189:$Y2189,$B$2649:$Y$2649)</f>
        <v/>
      </c>
      <c r="AA2189" s="3">
        <f>SUMPRODUCT($B2189:$Y2189,$B$2655:$Y$2655)</f>
        <v/>
      </c>
      <c r="AC2189" s="1">
        <f>A2189</f>
        <v/>
      </c>
      <c r="AD2189">
        <f>IF(ISNUMBER(V2189),V2189*($AB$1/V$2635),"")</f>
        <v/>
      </c>
      <c r="AE2189">
        <f>IF(ISNUMBER(Z2189),Z2189*($AB$1/Z$2635),"")</f>
        <v/>
      </c>
      <c r="AF2189" s="25">
        <f>IF(ISNUMBER(AD2189+AE2189),AD2189+AE2189,"")</f>
        <v/>
      </c>
      <c r="AH2189" s="1">
        <f>A2189</f>
        <v/>
      </c>
      <c r="AI2189">
        <f>IF(ISNUMBER((1+V2189)*AI2188),(1+V2189)*AI2188,AI2188)</f>
        <v/>
      </c>
      <c r="AJ2189">
        <f>IF(ISNUMBER((1+Z2189)*AJ2188),(1+Z2189)*AJ2188,AJ2188)</f>
        <v/>
      </c>
    </row>
    <row r="2190">
      <c r="A2190" s="1" t="n">
        <v>45181</v>
      </c>
      <c r="B2190" s="3">
        <f>IF(ORIG!B2190=0,"",ORIG!B2190)</f>
        <v/>
      </c>
      <c r="C2190" s="3">
        <f>IF(ORIG!C2190=0,"",ORIG!C2190)</f>
        <v/>
      </c>
      <c r="D2190" s="3">
        <f>IF(ORIG!D2190=0,"",ORIG!D2190)</f>
        <v/>
      </c>
      <c r="E2190" s="3">
        <f>IF(ORIG!E2190=0,"",ORIG!E2190)</f>
        <v/>
      </c>
      <c r="F2190" s="3">
        <f>IF(ORIG!F2190=0,"",ORIG!F2190)</f>
        <v/>
      </c>
      <c r="G2190" s="3">
        <f>IF(ORIG!G2190=0,"",ORIG!G2190)</f>
        <v/>
      </c>
      <c r="H2190" s="3">
        <f>IF(ORIG!H2190=0,"",ORIG!H2190)</f>
        <v/>
      </c>
      <c r="I2190" s="3">
        <f>IF(ORIG!I2190=0,"",ORIG!I2190)</f>
        <v/>
      </c>
      <c r="J2190" s="3">
        <f>IF(ORIG!J2190=0,"",ORIG!J2190)</f>
        <v/>
      </c>
      <c r="K2190" s="3">
        <f>IF(ORIG!K2190=0,"",ORIG!K2190)</f>
        <v/>
      </c>
      <c r="L2190" s="3">
        <f>IF(ORIG!L2190=0,"",ORIG!L2190)</f>
        <v/>
      </c>
      <c r="M2190" s="3">
        <f>IF(ORIG!M2190=0,"",ORIG!M2190)</f>
        <v/>
      </c>
      <c r="N2190" s="3">
        <f>IF(ORIG!N2190=0,"",ORIG!N2190)</f>
        <v/>
      </c>
      <c r="O2190" s="3">
        <f>IF(ORIG!O2190=0,"",ORIG!O2190)</f>
        <v/>
      </c>
      <c r="P2190" s="3">
        <f>IF(ORIG!P2190=0,"",ORIG!P2190)</f>
        <v/>
      </c>
      <c r="Q2190" s="3">
        <f>IF(ORIG!Q2190=0,"",ORIG!Q2190)</f>
        <v/>
      </c>
      <c r="R2190" s="3">
        <f>IF(ORIG!R2190=0,"",ORIG!R2190)</f>
        <v/>
      </c>
      <c r="S2190" s="3">
        <f>IF(ORIG!S2190=0,"",ORIG!S2190)</f>
        <v/>
      </c>
      <c r="T2190" s="3">
        <f>IF(ORIG!T2190=0,"",ORIG!T2190)</f>
        <v/>
      </c>
      <c r="U2190" s="3">
        <f>IF(ORIG!U2190=0,"",ORIG!U2190)</f>
        <v/>
      </c>
      <c r="V2190" s="9">
        <f>IF(ORIG!V2190=0,"",ORIG!V2190)</f>
        <v/>
      </c>
      <c r="W2190" s="9">
        <f>IF(ORIG!W2190=0,"",ORIG!W2190)</f>
        <v/>
      </c>
      <c r="X2190" s="9">
        <f>IF(ORIG!X2190=0,"",ORIG!X2190)</f>
        <v/>
      </c>
      <c r="Y2190" s="9">
        <f>IF(ORIG!Y2190=0,"",ORIG!Y2190)</f>
        <v/>
      </c>
      <c r="Z2190" s="3">
        <f>SUMPRODUCT($B2190:$Y2190,$B$2649:$Y$2649)</f>
        <v/>
      </c>
      <c r="AA2190" s="3">
        <f>SUMPRODUCT($B2190:$Y2190,$B$2655:$Y$2655)</f>
        <v/>
      </c>
      <c r="AC2190" s="1">
        <f>A2190</f>
        <v/>
      </c>
      <c r="AD2190">
        <f>IF(ISNUMBER(V2190),V2190*($AB$1/V$2635),"")</f>
        <v/>
      </c>
      <c r="AE2190">
        <f>IF(ISNUMBER(Z2190),Z2190*($AB$1/Z$2635),"")</f>
        <v/>
      </c>
      <c r="AF2190" s="25">
        <f>IF(ISNUMBER(AD2190+AE2190),AD2190+AE2190,"")</f>
        <v/>
      </c>
      <c r="AH2190" s="1">
        <f>A2190</f>
        <v/>
      </c>
      <c r="AI2190">
        <f>IF(ISNUMBER((1+V2190)*AI2189),(1+V2190)*AI2189,AI2189)</f>
        <v/>
      </c>
      <c r="AJ2190">
        <f>IF(ISNUMBER((1+Z2190)*AJ2189),(1+Z2190)*AJ2189,AJ2189)</f>
        <v/>
      </c>
    </row>
    <row r="2191">
      <c r="A2191" s="1" t="n">
        <v>45182</v>
      </c>
      <c r="B2191" s="3">
        <f>IF(ORIG!B2191=0,"",ORIG!B2191)</f>
        <v/>
      </c>
      <c r="C2191" s="3">
        <f>IF(ORIG!C2191=0,"",ORIG!C2191)</f>
        <v/>
      </c>
      <c r="D2191" s="3">
        <f>IF(ORIG!D2191=0,"",ORIG!D2191)</f>
        <v/>
      </c>
      <c r="E2191" s="3">
        <f>IF(ORIG!E2191=0,"",ORIG!E2191)</f>
        <v/>
      </c>
      <c r="F2191" s="3">
        <f>IF(ORIG!F2191=0,"",ORIG!F2191)</f>
        <v/>
      </c>
      <c r="G2191" s="3">
        <f>IF(ORIG!G2191=0,"",ORIG!G2191)</f>
        <v/>
      </c>
      <c r="H2191" s="3">
        <f>IF(ORIG!H2191=0,"",ORIG!H2191)</f>
        <v/>
      </c>
      <c r="I2191" s="3">
        <f>IF(ORIG!I2191=0,"",ORIG!I2191)</f>
        <v/>
      </c>
      <c r="J2191" s="3">
        <f>IF(ORIG!J2191=0,"",ORIG!J2191)</f>
        <v/>
      </c>
      <c r="K2191" s="3">
        <f>IF(ORIG!K2191=0,"",ORIG!K2191)</f>
        <v/>
      </c>
      <c r="L2191" s="3">
        <f>IF(ORIG!L2191=0,"",ORIG!L2191)</f>
        <v/>
      </c>
      <c r="M2191" s="3">
        <f>IF(ORIG!M2191=0,"",ORIG!M2191)</f>
        <v/>
      </c>
      <c r="N2191" s="3">
        <f>IF(ORIG!N2191=0,"",ORIG!N2191)</f>
        <v/>
      </c>
      <c r="O2191" s="3">
        <f>IF(ORIG!O2191=0,"",ORIG!O2191)</f>
        <v/>
      </c>
      <c r="P2191" s="3">
        <f>IF(ORIG!P2191=0,"",ORIG!P2191)</f>
        <v/>
      </c>
      <c r="Q2191" s="3">
        <f>IF(ORIG!Q2191=0,"",ORIG!Q2191)</f>
        <v/>
      </c>
      <c r="R2191" s="3">
        <f>IF(ORIG!R2191=0,"",ORIG!R2191)</f>
        <v/>
      </c>
      <c r="S2191" s="3">
        <f>IF(ORIG!S2191=0,"",ORIG!S2191)</f>
        <v/>
      </c>
      <c r="T2191" s="3">
        <f>IF(ORIG!T2191=0,"",ORIG!T2191)</f>
        <v/>
      </c>
      <c r="U2191" s="3">
        <f>IF(ORIG!U2191=0,"",ORIG!U2191)</f>
        <v/>
      </c>
      <c r="V2191" s="9">
        <f>IF(ORIG!V2191=0,"",ORIG!V2191)</f>
        <v/>
      </c>
      <c r="W2191" s="9">
        <f>IF(ORIG!W2191=0,"",ORIG!W2191)</f>
        <v/>
      </c>
      <c r="X2191" s="9">
        <f>IF(ORIG!X2191=0,"",ORIG!X2191)</f>
        <v/>
      </c>
      <c r="Y2191" s="9">
        <f>IF(ORIG!Y2191=0,"",ORIG!Y2191)</f>
        <v/>
      </c>
      <c r="Z2191" s="3">
        <f>SUMPRODUCT($B2191:$Y2191,$B$2649:$Y$2649)</f>
        <v/>
      </c>
      <c r="AA2191" s="3">
        <f>SUMPRODUCT($B2191:$Y2191,$B$2655:$Y$2655)</f>
        <v/>
      </c>
      <c r="AC2191" s="1">
        <f>A2191</f>
        <v/>
      </c>
      <c r="AD2191">
        <f>IF(ISNUMBER(V2191),V2191*($AB$1/V$2635),"")</f>
        <v/>
      </c>
      <c r="AE2191">
        <f>IF(ISNUMBER(Z2191),Z2191*($AB$1/Z$2635),"")</f>
        <v/>
      </c>
      <c r="AF2191" s="25">
        <f>IF(ISNUMBER(AD2191+AE2191),AD2191+AE2191,"")</f>
        <v/>
      </c>
      <c r="AH2191" s="1">
        <f>A2191</f>
        <v/>
      </c>
      <c r="AI2191">
        <f>IF(ISNUMBER((1+V2191)*AI2190),(1+V2191)*AI2190,AI2190)</f>
        <v/>
      </c>
      <c r="AJ2191">
        <f>IF(ISNUMBER((1+Z2191)*AJ2190),(1+Z2191)*AJ2190,AJ2190)</f>
        <v/>
      </c>
    </row>
    <row r="2192">
      <c r="A2192" s="1" t="n">
        <v>45183</v>
      </c>
      <c r="B2192" s="3">
        <f>IF(ORIG!B2192=0,"",ORIG!B2192)</f>
        <v/>
      </c>
      <c r="C2192" s="3">
        <f>IF(ORIG!C2192=0,"",ORIG!C2192)</f>
        <v/>
      </c>
      <c r="D2192" s="3">
        <f>IF(ORIG!D2192=0,"",ORIG!D2192)</f>
        <v/>
      </c>
      <c r="E2192" s="3">
        <f>IF(ORIG!E2192=0,"",ORIG!E2192)</f>
        <v/>
      </c>
      <c r="F2192" s="3">
        <f>IF(ORIG!F2192=0,"",ORIG!F2192)</f>
        <v/>
      </c>
      <c r="G2192" s="3">
        <f>IF(ORIG!G2192=0,"",ORIG!G2192)</f>
        <v/>
      </c>
      <c r="H2192" s="3">
        <f>IF(ORIG!H2192=0,"",ORIG!H2192)</f>
        <v/>
      </c>
      <c r="I2192" s="3">
        <f>IF(ORIG!I2192=0,"",ORIG!I2192)</f>
        <v/>
      </c>
      <c r="J2192" s="3">
        <f>IF(ORIG!J2192=0,"",ORIG!J2192)</f>
        <v/>
      </c>
      <c r="K2192" s="3">
        <f>IF(ORIG!K2192=0,"",ORIG!K2192)</f>
        <v/>
      </c>
      <c r="L2192" s="3">
        <f>IF(ORIG!L2192=0,"",ORIG!L2192)</f>
        <v/>
      </c>
      <c r="M2192" s="3">
        <f>IF(ORIG!M2192=0,"",ORIG!M2192)</f>
        <v/>
      </c>
      <c r="N2192" s="3">
        <f>IF(ORIG!N2192=0,"",ORIG!N2192)</f>
        <v/>
      </c>
      <c r="O2192" s="3">
        <f>IF(ORIG!O2192=0,"",ORIG!O2192)</f>
        <v/>
      </c>
      <c r="P2192" s="3">
        <f>IF(ORIG!P2192=0,"",ORIG!P2192)</f>
        <v/>
      </c>
      <c r="Q2192" s="3">
        <f>IF(ORIG!Q2192=0,"",ORIG!Q2192)</f>
        <v/>
      </c>
      <c r="R2192" s="3">
        <f>IF(ORIG!R2192=0,"",ORIG!R2192)</f>
        <v/>
      </c>
      <c r="S2192" s="3">
        <f>IF(ORIG!S2192=0,"",ORIG!S2192)</f>
        <v/>
      </c>
      <c r="T2192" s="3">
        <f>IF(ORIG!T2192=0,"",ORIG!T2192)</f>
        <v/>
      </c>
      <c r="U2192" s="3">
        <f>IF(ORIG!U2192=0,"",ORIG!U2192)</f>
        <v/>
      </c>
      <c r="V2192" s="9">
        <f>IF(ORIG!V2192=0,"",ORIG!V2192)</f>
        <v/>
      </c>
      <c r="W2192" s="9">
        <f>IF(ORIG!W2192=0,"",ORIG!W2192)</f>
        <v/>
      </c>
      <c r="X2192" s="9">
        <f>IF(ORIG!X2192=0,"",ORIG!X2192)</f>
        <v/>
      </c>
      <c r="Y2192" s="9">
        <f>IF(ORIG!Y2192=0,"",ORIG!Y2192)</f>
        <v/>
      </c>
      <c r="Z2192" s="3">
        <f>SUMPRODUCT($B2192:$Y2192,$B$2649:$Y$2649)</f>
        <v/>
      </c>
      <c r="AA2192" s="3">
        <f>SUMPRODUCT($B2192:$Y2192,$B$2655:$Y$2655)</f>
        <v/>
      </c>
      <c r="AC2192" s="1">
        <f>A2192</f>
        <v/>
      </c>
      <c r="AD2192">
        <f>IF(ISNUMBER(V2192),V2192*($AB$1/V$2635),"")</f>
        <v/>
      </c>
      <c r="AE2192">
        <f>IF(ISNUMBER(Z2192),Z2192*($AB$1/Z$2635),"")</f>
        <v/>
      </c>
      <c r="AF2192" s="25">
        <f>IF(ISNUMBER(AD2192+AE2192),AD2192+AE2192,"")</f>
        <v/>
      </c>
      <c r="AH2192" s="1">
        <f>A2192</f>
        <v/>
      </c>
      <c r="AI2192">
        <f>IF(ISNUMBER((1+V2192)*AI2191),(1+V2192)*AI2191,AI2191)</f>
        <v/>
      </c>
      <c r="AJ2192">
        <f>IF(ISNUMBER((1+Z2192)*AJ2191),(1+Z2192)*AJ2191,AJ2191)</f>
        <v/>
      </c>
    </row>
    <row r="2193">
      <c r="A2193" s="1" t="n">
        <v>45184</v>
      </c>
      <c r="B2193" s="3">
        <f>IF(ORIG!B2193=0,"",ORIG!B2193)</f>
        <v/>
      </c>
      <c r="C2193" s="3">
        <f>IF(ORIG!C2193=0,"",ORIG!C2193)</f>
        <v/>
      </c>
      <c r="D2193" s="3">
        <f>IF(ORIG!D2193=0,"",ORIG!D2193)</f>
        <v/>
      </c>
      <c r="E2193" s="3">
        <f>IF(ORIG!E2193=0,"",ORIG!E2193)</f>
        <v/>
      </c>
      <c r="F2193" s="3">
        <f>IF(ORIG!F2193=0,"",ORIG!F2193)</f>
        <v/>
      </c>
      <c r="G2193" s="3">
        <f>IF(ORIG!G2193=0,"",ORIG!G2193)</f>
        <v/>
      </c>
      <c r="H2193" s="3">
        <f>IF(ORIG!H2193=0,"",ORIG!H2193)</f>
        <v/>
      </c>
      <c r="I2193" s="3">
        <f>IF(ORIG!I2193=0,"",ORIG!I2193)</f>
        <v/>
      </c>
      <c r="J2193" s="3">
        <f>IF(ORIG!J2193=0,"",ORIG!J2193)</f>
        <v/>
      </c>
      <c r="K2193" s="3">
        <f>IF(ORIG!K2193=0,"",ORIG!K2193)</f>
        <v/>
      </c>
      <c r="L2193" s="3">
        <f>IF(ORIG!L2193=0,"",ORIG!L2193)</f>
        <v/>
      </c>
      <c r="M2193" s="3">
        <f>IF(ORIG!M2193=0,"",ORIG!M2193)</f>
        <v/>
      </c>
      <c r="N2193" s="3">
        <f>IF(ORIG!N2193=0,"",ORIG!N2193)</f>
        <v/>
      </c>
      <c r="O2193" s="3">
        <f>IF(ORIG!O2193=0,"",ORIG!O2193)</f>
        <v/>
      </c>
      <c r="P2193" s="3">
        <f>IF(ORIG!P2193=0,"",ORIG!P2193)</f>
        <v/>
      </c>
      <c r="Q2193" s="3">
        <f>IF(ORIG!Q2193=0,"",ORIG!Q2193)</f>
        <v/>
      </c>
      <c r="R2193" s="3">
        <f>IF(ORIG!R2193=0,"",ORIG!R2193)</f>
        <v/>
      </c>
      <c r="S2193" s="3">
        <f>IF(ORIG!S2193=0,"",ORIG!S2193)</f>
        <v/>
      </c>
      <c r="T2193" s="3">
        <f>IF(ORIG!T2193=0,"",ORIG!T2193)</f>
        <v/>
      </c>
      <c r="U2193" s="3">
        <f>IF(ORIG!U2193=0,"",ORIG!U2193)</f>
        <v/>
      </c>
      <c r="V2193" s="9">
        <f>IF(ORIG!V2193=0,"",ORIG!V2193)</f>
        <v/>
      </c>
      <c r="W2193" s="9">
        <f>IF(ORIG!W2193=0,"",ORIG!W2193)</f>
        <v/>
      </c>
      <c r="X2193" s="9">
        <f>IF(ORIG!X2193=0,"",ORIG!X2193)</f>
        <v/>
      </c>
      <c r="Y2193" s="9">
        <f>IF(ORIG!Y2193=0,"",ORIG!Y2193)</f>
        <v/>
      </c>
      <c r="Z2193" s="3">
        <f>SUMPRODUCT($B2193:$Y2193,$B$2649:$Y$2649)</f>
        <v/>
      </c>
      <c r="AA2193" s="3">
        <f>SUMPRODUCT($B2193:$Y2193,$B$2655:$Y$2655)</f>
        <v/>
      </c>
      <c r="AC2193" s="1">
        <f>A2193</f>
        <v/>
      </c>
      <c r="AD2193">
        <f>IF(ISNUMBER(V2193),V2193*($AB$1/V$2635),"")</f>
        <v/>
      </c>
      <c r="AE2193">
        <f>IF(ISNUMBER(Z2193),Z2193*($AB$1/Z$2635),"")</f>
        <v/>
      </c>
      <c r="AF2193" s="25">
        <f>IF(ISNUMBER(AD2193+AE2193),AD2193+AE2193,"")</f>
        <v/>
      </c>
      <c r="AH2193" s="1">
        <f>A2193</f>
        <v/>
      </c>
      <c r="AI2193">
        <f>IF(ISNUMBER((1+V2193)*AI2192),(1+V2193)*AI2192,AI2192)</f>
        <v/>
      </c>
      <c r="AJ2193">
        <f>IF(ISNUMBER((1+Z2193)*AJ2192),(1+Z2193)*AJ2192,AJ2192)</f>
        <v/>
      </c>
    </row>
    <row r="2194">
      <c r="A2194" s="1" t="n">
        <v>45187</v>
      </c>
      <c r="B2194" s="3">
        <f>IF(ORIG!B2194=0,"",ORIG!B2194)</f>
        <v/>
      </c>
      <c r="C2194" s="3">
        <f>IF(ORIG!C2194=0,"",ORIG!C2194)</f>
        <v/>
      </c>
      <c r="D2194" s="3">
        <f>IF(ORIG!D2194=0,"",ORIG!D2194)</f>
        <v/>
      </c>
      <c r="E2194" s="3">
        <f>IF(ORIG!E2194=0,"",ORIG!E2194)</f>
        <v/>
      </c>
      <c r="F2194" s="3">
        <f>IF(ORIG!F2194=0,"",ORIG!F2194)</f>
        <v/>
      </c>
      <c r="G2194" s="3">
        <f>IF(ORIG!G2194=0,"",ORIG!G2194)</f>
        <v/>
      </c>
      <c r="H2194" s="3">
        <f>IF(ORIG!H2194=0,"",ORIG!H2194)</f>
        <v/>
      </c>
      <c r="I2194" s="3">
        <f>IF(ORIG!I2194=0,"",ORIG!I2194)</f>
        <v/>
      </c>
      <c r="J2194" s="3">
        <f>IF(ORIG!J2194=0,"",ORIG!J2194)</f>
        <v/>
      </c>
      <c r="K2194" s="3">
        <f>IF(ORIG!K2194=0,"",ORIG!K2194)</f>
        <v/>
      </c>
      <c r="L2194" s="3">
        <f>IF(ORIG!L2194=0,"",ORIG!L2194)</f>
        <v/>
      </c>
      <c r="M2194" s="3">
        <f>IF(ORIG!M2194=0,"",ORIG!M2194)</f>
        <v/>
      </c>
      <c r="N2194" s="3">
        <f>IF(ORIG!N2194=0,"",ORIG!N2194)</f>
        <v/>
      </c>
      <c r="O2194" s="3">
        <f>IF(ORIG!O2194=0,"",ORIG!O2194)</f>
        <v/>
      </c>
      <c r="P2194" s="3">
        <f>IF(ORIG!P2194=0,"",ORIG!P2194)</f>
        <v/>
      </c>
      <c r="Q2194" s="3">
        <f>IF(ORIG!Q2194=0,"",ORIG!Q2194)</f>
        <v/>
      </c>
      <c r="R2194" s="3">
        <f>IF(ORIG!R2194=0,"",ORIG!R2194)</f>
        <v/>
      </c>
      <c r="S2194" s="3">
        <f>IF(ORIG!S2194=0,"",ORIG!S2194)</f>
        <v/>
      </c>
      <c r="T2194" s="3">
        <f>IF(ORIG!T2194=0,"",ORIG!T2194)</f>
        <v/>
      </c>
      <c r="U2194" s="3">
        <f>IF(ORIG!U2194=0,"",ORIG!U2194)</f>
        <v/>
      </c>
      <c r="V2194" s="9">
        <f>IF(ORIG!V2194=0,"",ORIG!V2194)</f>
        <v/>
      </c>
      <c r="W2194" s="9">
        <f>IF(ORIG!W2194=0,"",ORIG!W2194)</f>
        <v/>
      </c>
      <c r="X2194" s="9">
        <f>IF(ORIG!X2194=0,"",ORIG!X2194)</f>
        <v/>
      </c>
      <c r="Y2194" s="9">
        <f>IF(ORIG!Y2194=0,"",ORIG!Y2194)</f>
        <v/>
      </c>
      <c r="Z2194" s="3">
        <f>SUMPRODUCT($B2194:$Y2194,$B$2649:$Y$2649)</f>
        <v/>
      </c>
      <c r="AA2194" s="3">
        <f>SUMPRODUCT($B2194:$Y2194,$B$2655:$Y$2655)</f>
        <v/>
      </c>
      <c r="AC2194" s="1">
        <f>A2194</f>
        <v/>
      </c>
      <c r="AD2194">
        <f>IF(ISNUMBER(V2194),V2194*($AB$1/V$2635),"")</f>
        <v/>
      </c>
      <c r="AE2194">
        <f>IF(ISNUMBER(Z2194),Z2194*($AB$1/Z$2635),"")</f>
        <v/>
      </c>
      <c r="AF2194" s="25">
        <f>IF(ISNUMBER(AD2194+AE2194),AD2194+AE2194,"")</f>
        <v/>
      </c>
      <c r="AH2194" s="1">
        <f>A2194</f>
        <v/>
      </c>
      <c r="AI2194">
        <f>IF(ISNUMBER((1+V2194)*AI2193),(1+V2194)*AI2193,AI2193)</f>
        <v/>
      </c>
      <c r="AJ2194">
        <f>IF(ISNUMBER((1+Z2194)*AJ2193),(1+Z2194)*AJ2193,AJ2193)</f>
        <v/>
      </c>
    </row>
    <row r="2195">
      <c r="A2195" s="1" t="n">
        <v>45188</v>
      </c>
      <c r="B2195" s="3">
        <f>IF(ORIG!B2195=0,"",ORIG!B2195)</f>
        <v/>
      </c>
      <c r="C2195" s="3">
        <f>IF(ORIG!C2195=0,"",ORIG!C2195)</f>
        <v/>
      </c>
      <c r="D2195" s="3">
        <f>IF(ORIG!D2195=0,"",ORIG!D2195)</f>
        <v/>
      </c>
      <c r="E2195" s="3">
        <f>IF(ORIG!E2195=0,"",ORIG!E2195)</f>
        <v/>
      </c>
      <c r="F2195" s="3">
        <f>IF(ORIG!F2195=0,"",ORIG!F2195)</f>
        <v/>
      </c>
      <c r="G2195" s="3">
        <f>IF(ORIG!G2195=0,"",ORIG!G2195)</f>
        <v/>
      </c>
      <c r="H2195" s="3">
        <f>IF(ORIG!H2195=0,"",ORIG!H2195)</f>
        <v/>
      </c>
      <c r="I2195" s="3">
        <f>IF(ORIG!I2195=0,"",ORIG!I2195)</f>
        <v/>
      </c>
      <c r="J2195" s="3">
        <f>IF(ORIG!J2195=0,"",ORIG!J2195)</f>
        <v/>
      </c>
      <c r="K2195" s="3">
        <f>IF(ORIG!K2195=0,"",ORIG!K2195)</f>
        <v/>
      </c>
      <c r="L2195" s="3">
        <f>IF(ORIG!L2195=0,"",ORIG!L2195)</f>
        <v/>
      </c>
      <c r="M2195" s="3">
        <f>IF(ORIG!M2195=0,"",ORIG!M2195)</f>
        <v/>
      </c>
      <c r="N2195" s="3">
        <f>IF(ORIG!N2195=0,"",ORIG!N2195)</f>
        <v/>
      </c>
      <c r="O2195" s="3">
        <f>IF(ORIG!O2195=0,"",ORIG!O2195)</f>
        <v/>
      </c>
      <c r="P2195" s="3">
        <f>IF(ORIG!P2195=0,"",ORIG!P2195)</f>
        <v/>
      </c>
      <c r="Q2195" s="3">
        <f>IF(ORIG!Q2195=0,"",ORIG!Q2195)</f>
        <v/>
      </c>
      <c r="R2195" s="3">
        <f>IF(ORIG!R2195=0,"",ORIG!R2195)</f>
        <v/>
      </c>
      <c r="S2195" s="3">
        <f>IF(ORIG!S2195=0,"",ORIG!S2195)</f>
        <v/>
      </c>
      <c r="T2195" s="3">
        <f>IF(ORIG!T2195=0,"",ORIG!T2195)</f>
        <v/>
      </c>
      <c r="U2195" s="3">
        <f>IF(ORIG!U2195=0,"",ORIG!U2195)</f>
        <v/>
      </c>
      <c r="V2195" s="9">
        <f>IF(ORIG!V2195=0,"",ORIG!V2195)</f>
        <v/>
      </c>
      <c r="W2195" s="9">
        <f>IF(ORIG!W2195=0,"",ORIG!W2195)</f>
        <v/>
      </c>
      <c r="X2195" s="9">
        <f>IF(ORIG!X2195=0,"",ORIG!X2195)</f>
        <v/>
      </c>
      <c r="Y2195" s="9">
        <f>IF(ORIG!Y2195=0,"",ORIG!Y2195)</f>
        <v/>
      </c>
      <c r="Z2195" s="3">
        <f>SUMPRODUCT($B2195:$Y2195,$B$2649:$Y$2649)</f>
        <v/>
      </c>
      <c r="AA2195" s="3">
        <f>SUMPRODUCT($B2195:$Y2195,$B$2655:$Y$2655)</f>
        <v/>
      </c>
      <c r="AC2195" s="1">
        <f>A2195</f>
        <v/>
      </c>
      <c r="AD2195">
        <f>IF(ISNUMBER(V2195),V2195*($AB$1/V$2635),"")</f>
        <v/>
      </c>
      <c r="AE2195">
        <f>IF(ISNUMBER(Z2195),Z2195*($AB$1/Z$2635),"")</f>
        <v/>
      </c>
      <c r="AF2195" s="25">
        <f>IF(ISNUMBER(AD2195+AE2195),AD2195+AE2195,"")</f>
        <v/>
      </c>
      <c r="AH2195" s="1">
        <f>A2195</f>
        <v/>
      </c>
      <c r="AI2195">
        <f>IF(ISNUMBER((1+V2195)*AI2194),(1+V2195)*AI2194,AI2194)</f>
        <v/>
      </c>
      <c r="AJ2195">
        <f>IF(ISNUMBER((1+Z2195)*AJ2194),(1+Z2195)*AJ2194,AJ2194)</f>
        <v/>
      </c>
    </row>
    <row r="2196">
      <c r="A2196" s="1" t="n">
        <v>45189</v>
      </c>
      <c r="B2196" s="3">
        <f>IF(ORIG!B2196=0,"",ORIG!B2196)</f>
        <v/>
      </c>
      <c r="C2196" s="3">
        <f>IF(ORIG!C2196=0,"",ORIG!C2196)</f>
        <v/>
      </c>
      <c r="D2196" s="3">
        <f>IF(ORIG!D2196=0,"",ORIG!D2196)</f>
        <v/>
      </c>
      <c r="E2196" s="3">
        <f>IF(ORIG!E2196=0,"",ORIG!E2196)</f>
        <v/>
      </c>
      <c r="F2196" s="3">
        <f>IF(ORIG!F2196=0,"",ORIG!F2196)</f>
        <v/>
      </c>
      <c r="G2196" s="3">
        <f>IF(ORIG!G2196=0,"",ORIG!G2196)</f>
        <v/>
      </c>
      <c r="H2196" s="3">
        <f>IF(ORIG!H2196=0,"",ORIG!H2196)</f>
        <v/>
      </c>
      <c r="I2196" s="3">
        <f>IF(ORIG!I2196=0,"",ORIG!I2196)</f>
        <v/>
      </c>
      <c r="J2196" s="3">
        <f>IF(ORIG!J2196=0,"",ORIG!J2196)</f>
        <v/>
      </c>
      <c r="K2196" s="3">
        <f>IF(ORIG!K2196=0,"",ORIG!K2196)</f>
        <v/>
      </c>
      <c r="L2196" s="3">
        <f>IF(ORIG!L2196=0,"",ORIG!L2196)</f>
        <v/>
      </c>
      <c r="M2196" s="3">
        <f>IF(ORIG!M2196=0,"",ORIG!M2196)</f>
        <v/>
      </c>
      <c r="N2196" s="3">
        <f>IF(ORIG!N2196=0,"",ORIG!N2196)</f>
        <v/>
      </c>
      <c r="O2196" s="3">
        <f>IF(ORIG!O2196=0,"",ORIG!O2196)</f>
        <v/>
      </c>
      <c r="P2196" s="3">
        <f>IF(ORIG!P2196=0,"",ORIG!P2196)</f>
        <v/>
      </c>
      <c r="Q2196" s="3">
        <f>IF(ORIG!Q2196=0,"",ORIG!Q2196)</f>
        <v/>
      </c>
      <c r="R2196" s="3">
        <f>IF(ORIG!R2196=0,"",ORIG!R2196)</f>
        <v/>
      </c>
      <c r="S2196" s="3">
        <f>IF(ORIG!S2196=0,"",ORIG!S2196)</f>
        <v/>
      </c>
      <c r="T2196" s="3">
        <f>IF(ORIG!T2196=0,"",ORIG!T2196)</f>
        <v/>
      </c>
      <c r="U2196" s="3">
        <f>IF(ORIG!U2196=0,"",ORIG!U2196)</f>
        <v/>
      </c>
      <c r="V2196" s="9">
        <f>IF(ORIG!V2196=0,"",ORIG!V2196)</f>
        <v/>
      </c>
      <c r="W2196" s="9">
        <f>IF(ORIG!W2196=0,"",ORIG!W2196)</f>
        <v/>
      </c>
      <c r="X2196" s="9">
        <f>IF(ORIG!X2196=0,"",ORIG!X2196)</f>
        <v/>
      </c>
      <c r="Y2196" s="9">
        <f>IF(ORIG!Y2196=0,"",ORIG!Y2196)</f>
        <v/>
      </c>
      <c r="Z2196" s="3">
        <f>SUMPRODUCT($B2196:$Y2196,$B$2649:$Y$2649)</f>
        <v/>
      </c>
      <c r="AA2196" s="3">
        <f>SUMPRODUCT($B2196:$Y2196,$B$2655:$Y$2655)</f>
        <v/>
      </c>
      <c r="AC2196" s="1">
        <f>A2196</f>
        <v/>
      </c>
      <c r="AD2196">
        <f>IF(ISNUMBER(V2196),V2196*($AB$1/V$2635),"")</f>
        <v/>
      </c>
      <c r="AE2196">
        <f>IF(ISNUMBER(Z2196),Z2196*($AB$1/Z$2635),"")</f>
        <v/>
      </c>
      <c r="AF2196" s="25">
        <f>IF(ISNUMBER(AD2196+AE2196),AD2196+AE2196,"")</f>
        <v/>
      </c>
      <c r="AH2196" s="1">
        <f>A2196</f>
        <v/>
      </c>
      <c r="AI2196">
        <f>IF(ISNUMBER((1+V2196)*AI2195),(1+V2196)*AI2195,AI2195)</f>
        <v/>
      </c>
      <c r="AJ2196">
        <f>IF(ISNUMBER((1+Z2196)*AJ2195),(1+Z2196)*AJ2195,AJ2195)</f>
        <v/>
      </c>
    </row>
    <row r="2197">
      <c r="A2197" s="1" t="n">
        <v>45190</v>
      </c>
      <c r="B2197" s="3">
        <f>IF(ORIG!B2197=0,"",ORIG!B2197)</f>
        <v/>
      </c>
      <c r="C2197" s="3">
        <f>IF(ORIG!C2197=0,"",ORIG!C2197)</f>
        <v/>
      </c>
      <c r="D2197" s="3">
        <f>IF(ORIG!D2197=0,"",ORIG!D2197)</f>
        <v/>
      </c>
      <c r="E2197" s="3">
        <f>IF(ORIG!E2197=0,"",ORIG!E2197)</f>
        <v/>
      </c>
      <c r="F2197" s="3">
        <f>IF(ORIG!F2197=0,"",ORIG!F2197)</f>
        <v/>
      </c>
      <c r="G2197" s="3">
        <f>IF(ORIG!G2197=0,"",ORIG!G2197)</f>
        <v/>
      </c>
      <c r="H2197" s="3">
        <f>IF(ORIG!H2197=0,"",ORIG!H2197)</f>
        <v/>
      </c>
      <c r="I2197" s="3">
        <f>IF(ORIG!I2197=0,"",ORIG!I2197)</f>
        <v/>
      </c>
      <c r="J2197" s="3">
        <f>IF(ORIG!J2197=0,"",ORIG!J2197)</f>
        <v/>
      </c>
      <c r="K2197" s="3">
        <f>IF(ORIG!K2197=0,"",ORIG!K2197)</f>
        <v/>
      </c>
      <c r="L2197" s="3">
        <f>IF(ORIG!L2197=0,"",ORIG!L2197)</f>
        <v/>
      </c>
      <c r="M2197" s="3">
        <f>IF(ORIG!M2197=0,"",ORIG!M2197)</f>
        <v/>
      </c>
      <c r="N2197" s="3">
        <f>IF(ORIG!N2197=0,"",ORIG!N2197)</f>
        <v/>
      </c>
      <c r="O2197" s="3">
        <f>IF(ORIG!O2197=0,"",ORIG!O2197)</f>
        <v/>
      </c>
      <c r="P2197" s="3">
        <f>IF(ORIG!P2197=0,"",ORIG!P2197)</f>
        <v/>
      </c>
      <c r="Q2197" s="3">
        <f>IF(ORIG!Q2197=0,"",ORIG!Q2197)</f>
        <v/>
      </c>
      <c r="R2197" s="3">
        <f>IF(ORIG!R2197=0,"",ORIG!R2197)</f>
        <v/>
      </c>
      <c r="S2197" s="3">
        <f>IF(ORIG!S2197=0,"",ORIG!S2197)</f>
        <v/>
      </c>
      <c r="T2197" s="3">
        <f>IF(ORIG!T2197=0,"",ORIG!T2197)</f>
        <v/>
      </c>
      <c r="U2197" s="3">
        <f>IF(ORIG!U2197=0,"",ORIG!U2197)</f>
        <v/>
      </c>
      <c r="V2197" s="9">
        <f>IF(ORIG!V2197=0,"",ORIG!V2197)</f>
        <v/>
      </c>
      <c r="W2197" s="9">
        <f>IF(ORIG!W2197=0,"",ORIG!W2197)</f>
        <v/>
      </c>
      <c r="X2197" s="9">
        <f>IF(ORIG!X2197=0,"",ORIG!X2197)</f>
        <v/>
      </c>
      <c r="Y2197" s="9">
        <f>IF(ORIG!Y2197=0,"",ORIG!Y2197)</f>
        <v/>
      </c>
      <c r="Z2197" s="3">
        <f>SUMPRODUCT($B2197:$Y2197,$B$2649:$Y$2649)</f>
        <v/>
      </c>
      <c r="AA2197" s="3">
        <f>SUMPRODUCT($B2197:$Y2197,$B$2655:$Y$2655)</f>
        <v/>
      </c>
      <c r="AC2197" s="1">
        <f>A2197</f>
        <v/>
      </c>
      <c r="AD2197">
        <f>IF(ISNUMBER(V2197),V2197*($AB$1/V$2635),"")</f>
        <v/>
      </c>
      <c r="AE2197">
        <f>IF(ISNUMBER(Z2197),Z2197*($AB$1/Z$2635),"")</f>
        <v/>
      </c>
      <c r="AF2197" s="25">
        <f>IF(ISNUMBER(AD2197+AE2197),AD2197+AE2197,"")</f>
        <v/>
      </c>
      <c r="AH2197" s="1">
        <f>A2197</f>
        <v/>
      </c>
      <c r="AI2197">
        <f>IF(ISNUMBER((1+V2197)*AI2196),(1+V2197)*AI2196,AI2196)</f>
        <v/>
      </c>
      <c r="AJ2197">
        <f>IF(ISNUMBER((1+Z2197)*AJ2196),(1+Z2197)*AJ2196,AJ2196)</f>
        <v/>
      </c>
    </row>
    <row r="2198">
      <c r="A2198" s="1" t="n">
        <v>45191</v>
      </c>
      <c r="B2198" s="3">
        <f>IF(ORIG!B2198=0,"",ORIG!B2198)</f>
        <v/>
      </c>
      <c r="C2198" s="3">
        <f>IF(ORIG!C2198=0,"",ORIG!C2198)</f>
        <v/>
      </c>
      <c r="D2198" s="3">
        <f>IF(ORIG!D2198=0,"",ORIG!D2198)</f>
        <v/>
      </c>
      <c r="E2198" s="3">
        <f>IF(ORIG!E2198=0,"",ORIG!E2198)</f>
        <v/>
      </c>
      <c r="F2198" s="3">
        <f>IF(ORIG!F2198=0,"",ORIG!F2198)</f>
        <v/>
      </c>
      <c r="G2198" s="3">
        <f>IF(ORIG!G2198=0,"",ORIG!G2198)</f>
        <v/>
      </c>
      <c r="H2198" s="3">
        <f>IF(ORIG!H2198=0,"",ORIG!H2198)</f>
        <v/>
      </c>
      <c r="I2198" s="3">
        <f>IF(ORIG!I2198=0,"",ORIG!I2198)</f>
        <v/>
      </c>
      <c r="J2198" s="3">
        <f>IF(ORIG!J2198=0,"",ORIG!J2198)</f>
        <v/>
      </c>
      <c r="K2198" s="3">
        <f>IF(ORIG!K2198=0,"",ORIG!K2198)</f>
        <v/>
      </c>
      <c r="L2198" s="3">
        <f>IF(ORIG!L2198=0,"",ORIG!L2198)</f>
        <v/>
      </c>
      <c r="M2198" s="3">
        <f>IF(ORIG!M2198=0,"",ORIG!M2198)</f>
        <v/>
      </c>
      <c r="N2198" s="3">
        <f>IF(ORIG!N2198=0,"",ORIG!N2198)</f>
        <v/>
      </c>
      <c r="O2198" s="3">
        <f>IF(ORIG!O2198=0,"",ORIG!O2198)</f>
        <v/>
      </c>
      <c r="P2198" s="3">
        <f>IF(ORIG!P2198=0,"",ORIG!P2198)</f>
        <v/>
      </c>
      <c r="Q2198" s="3">
        <f>IF(ORIG!Q2198=0,"",ORIG!Q2198)</f>
        <v/>
      </c>
      <c r="R2198" s="3">
        <f>IF(ORIG!R2198=0,"",ORIG!R2198)</f>
        <v/>
      </c>
      <c r="S2198" s="3">
        <f>IF(ORIG!S2198=0,"",ORIG!S2198)</f>
        <v/>
      </c>
      <c r="T2198" s="3">
        <f>IF(ORIG!T2198=0,"",ORIG!T2198)</f>
        <v/>
      </c>
      <c r="U2198" s="3">
        <f>IF(ORIG!U2198=0,"",ORIG!U2198)</f>
        <v/>
      </c>
      <c r="V2198" s="9">
        <f>IF(ORIG!V2198=0,"",ORIG!V2198)</f>
        <v/>
      </c>
      <c r="W2198" s="9">
        <f>IF(ORIG!W2198=0,"",ORIG!W2198)</f>
        <v/>
      </c>
      <c r="X2198" s="9">
        <f>IF(ORIG!X2198=0,"",ORIG!X2198)</f>
        <v/>
      </c>
      <c r="Y2198" s="9">
        <f>IF(ORIG!Y2198=0,"",ORIG!Y2198)</f>
        <v/>
      </c>
      <c r="Z2198" s="3">
        <f>SUMPRODUCT($B2198:$Y2198,$B$2649:$Y$2649)</f>
        <v/>
      </c>
      <c r="AA2198" s="3">
        <f>SUMPRODUCT($B2198:$Y2198,$B$2655:$Y$2655)</f>
        <v/>
      </c>
      <c r="AC2198" s="1">
        <f>A2198</f>
        <v/>
      </c>
      <c r="AD2198">
        <f>IF(ISNUMBER(V2198),V2198*($AB$1/V$2635),"")</f>
        <v/>
      </c>
      <c r="AE2198">
        <f>IF(ISNUMBER(Z2198),Z2198*($AB$1/Z$2635),"")</f>
        <v/>
      </c>
      <c r="AF2198" s="25">
        <f>IF(ISNUMBER(AD2198+AE2198),AD2198+AE2198,"")</f>
        <v/>
      </c>
      <c r="AH2198" s="1">
        <f>A2198</f>
        <v/>
      </c>
      <c r="AI2198">
        <f>IF(ISNUMBER((1+V2198)*AI2197),(1+V2198)*AI2197,AI2197)</f>
        <v/>
      </c>
      <c r="AJ2198">
        <f>IF(ISNUMBER((1+Z2198)*AJ2197),(1+Z2198)*AJ2197,AJ2197)</f>
        <v/>
      </c>
    </row>
    <row r="2199">
      <c r="A2199" s="1" t="n">
        <v>45194</v>
      </c>
      <c r="B2199" s="3">
        <f>IF(ORIG!B2199=0,"",ORIG!B2199)</f>
        <v/>
      </c>
      <c r="C2199" s="3">
        <f>IF(ORIG!C2199=0,"",ORIG!C2199)</f>
        <v/>
      </c>
      <c r="D2199" s="3">
        <f>IF(ORIG!D2199=0,"",ORIG!D2199)</f>
        <v/>
      </c>
      <c r="E2199" s="3">
        <f>IF(ORIG!E2199=0,"",ORIG!E2199)</f>
        <v/>
      </c>
      <c r="F2199" s="3">
        <f>IF(ORIG!F2199=0,"",ORIG!F2199)</f>
        <v/>
      </c>
      <c r="G2199" s="3">
        <f>IF(ORIG!G2199=0,"",ORIG!G2199)</f>
        <v/>
      </c>
      <c r="H2199" s="3">
        <f>IF(ORIG!H2199=0,"",ORIG!H2199)</f>
        <v/>
      </c>
      <c r="I2199" s="3">
        <f>IF(ORIG!I2199=0,"",ORIG!I2199)</f>
        <v/>
      </c>
      <c r="J2199" s="3">
        <f>IF(ORIG!J2199=0,"",ORIG!J2199)</f>
        <v/>
      </c>
      <c r="K2199" s="3">
        <f>IF(ORIG!K2199=0,"",ORIG!K2199)</f>
        <v/>
      </c>
      <c r="L2199" s="3">
        <f>IF(ORIG!L2199=0,"",ORIG!L2199)</f>
        <v/>
      </c>
      <c r="M2199" s="3">
        <f>IF(ORIG!M2199=0,"",ORIG!M2199)</f>
        <v/>
      </c>
      <c r="N2199" s="3">
        <f>IF(ORIG!N2199=0,"",ORIG!N2199)</f>
        <v/>
      </c>
      <c r="O2199" s="3">
        <f>IF(ORIG!O2199=0,"",ORIG!O2199)</f>
        <v/>
      </c>
      <c r="P2199" s="3">
        <f>IF(ORIG!P2199=0,"",ORIG!P2199)</f>
        <v/>
      </c>
      <c r="Q2199" s="3">
        <f>IF(ORIG!Q2199=0,"",ORIG!Q2199)</f>
        <v/>
      </c>
      <c r="R2199" s="3">
        <f>IF(ORIG!R2199=0,"",ORIG!R2199)</f>
        <v/>
      </c>
      <c r="S2199" s="3">
        <f>IF(ORIG!S2199=0,"",ORIG!S2199)</f>
        <v/>
      </c>
      <c r="T2199" s="3">
        <f>IF(ORIG!T2199=0,"",ORIG!T2199)</f>
        <v/>
      </c>
      <c r="U2199" s="3">
        <f>IF(ORIG!U2199=0,"",ORIG!U2199)</f>
        <v/>
      </c>
      <c r="V2199" s="9">
        <f>IF(ORIG!V2199=0,"",ORIG!V2199)</f>
        <v/>
      </c>
      <c r="W2199" s="9">
        <f>IF(ORIG!W2199=0,"",ORIG!W2199)</f>
        <v/>
      </c>
      <c r="X2199" s="9">
        <f>IF(ORIG!X2199=0,"",ORIG!X2199)</f>
        <v/>
      </c>
      <c r="Y2199" s="9">
        <f>IF(ORIG!Y2199=0,"",ORIG!Y2199)</f>
        <v/>
      </c>
      <c r="Z2199" s="3">
        <f>SUMPRODUCT($B2199:$Y2199,$B$2649:$Y$2649)</f>
        <v/>
      </c>
      <c r="AA2199" s="3">
        <f>SUMPRODUCT($B2199:$Y2199,$B$2655:$Y$2655)</f>
        <v/>
      </c>
      <c r="AC2199" s="1">
        <f>A2199</f>
        <v/>
      </c>
      <c r="AD2199">
        <f>IF(ISNUMBER(V2199),V2199*($AB$1/V$2635),"")</f>
        <v/>
      </c>
      <c r="AE2199">
        <f>IF(ISNUMBER(Z2199),Z2199*($AB$1/Z$2635),"")</f>
        <v/>
      </c>
      <c r="AF2199" s="25">
        <f>IF(ISNUMBER(AD2199+AE2199),AD2199+AE2199,"")</f>
        <v/>
      </c>
      <c r="AH2199" s="1">
        <f>A2199</f>
        <v/>
      </c>
      <c r="AI2199">
        <f>IF(ISNUMBER((1+V2199)*AI2198),(1+V2199)*AI2198,AI2198)</f>
        <v/>
      </c>
      <c r="AJ2199">
        <f>IF(ISNUMBER((1+Z2199)*AJ2198),(1+Z2199)*AJ2198,AJ2198)</f>
        <v/>
      </c>
    </row>
    <row r="2200">
      <c r="A2200" s="1" t="n">
        <v>45195</v>
      </c>
      <c r="B2200" s="3">
        <f>IF(ORIG!B2200=0,"",ORIG!B2200)</f>
        <v/>
      </c>
      <c r="C2200" s="3">
        <f>IF(ORIG!C2200=0,"",ORIG!C2200)</f>
        <v/>
      </c>
      <c r="D2200" s="3">
        <f>IF(ORIG!D2200=0,"",ORIG!D2200)</f>
        <v/>
      </c>
      <c r="E2200" s="3">
        <f>IF(ORIG!E2200=0,"",ORIG!E2200)</f>
        <v/>
      </c>
      <c r="F2200" s="3">
        <f>IF(ORIG!F2200=0,"",ORIG!F2200)</f>
        <v/>
      </c>
      <c r="G2200" s="3">
        <f>IF(ORIG!G2200=0,"",ORIG!G2200)</f>
        <v/>
      </c>
      <c r="H2200" s="3">
        <f>IF(ORIG!H2200=0,"",ORIG!H2200)</f>
        <v/>
      </c>
      <c r="I2200" s="3">
        <f>IF(ORIG!I2200=0,"",ORIG!I2200)</f>
        <v/>
      </c>
      <c r="J2200" s="3">
        <f>IF(ORIG!J2200=0,"",ORIG!J2200)</f>
        <v/>
      </c>
      <c r="K2200" s="3">
        <f>IF(ORIG!K2200=0,"",ORIG!K2200)</f>
        <v/>
      </c>
      <c r="L2200" s="3">
        <f>IF(ORIG!L2200=0,"",ORIG!L2200)</f>
        <v/>
      </c>
      <c r="M2200" s="3">
        <f>IF(ORIG!M2200=0,"",ORIG!M2200)</f>
        <v/>
      </c>
      <c r="N2200" s="3">
        <f>IF(ORIG!N2200=0,"",ORIG!N2200)</f>
        <v/>
      </c>
      <c r="O2200" s="3">
        <f>IF(ORIG!O2200=0,"",ORIG!O2200)</f>
        <v/>
      </c>
      <c r="P2200" s="3">
        <f>IF(ORIG!P2200=0,"",ORIG!P2200)</f>
        <v/>
      </c>
      <c r="Q2200" s="3">
        <f>IF(ORIG!Q2200=0,"",ORIG!Q2200)</f>
        <v/>
      </c>
      <c r="R2200" s="3">
        <f>IF(ORIG!R2200=0,"",ORIG!R2200)</f>
        <v/>
      </c>
      <c r="S2200" s="3">
        <f>IF(ORIG!S2200=0,"",ORIG!S2200)</f>
        <v/>
      </c>
      <c r="T2200" s="3">
        <f>IF(ORIG!T2200=0,"",ORIG!T2200)</f>
        <v/>
      </c>
      <c r="U2200" s="3">
        <f>IF(ORIG!U2200=0,"",ORIG!U2200)</f>
        <v/>
      </c>
      <c r="V2200" s="9">
        <f>IF(ORIG!V2200=0,"",ORIG!V2200)</f>
        <v/>
      </c>
      <c r="W2200" s="9">
        <f>IF(ORIG!W2200=0,"",ORIG!W2200)</f>
        <v/>
      </c>
      <c r="X2200" s="9">
        <f>IF(ORIG!X2200=0,"",ORIG!X2200)</f>
        <v/>
      </c>
      <c r="Y2200" s="9">
        <f>IF(ORIG!Y2200=0,"",ORIG!Y2200)</f>
        <v/>
      </c>
      <c r="Z2200" s="3">
        <f>SUMPRODUCT($B2200:$Y2200,$B$2649:$Y$2649)</f>
        <v/>
      </c>
      <c r="AA2200" s="3">
        <f>SUMPRODUCT($B2200:$Y2200,$B$2655:$Y$2655)</f>
        <v/>
      </c>
      <c r="AC2200" s="1">
        <f>A2200</f>
        <v/>
      </c>
      <c r="AD2200">
        <f>IF(ISNUMBER(V2200),V2200*($AB$1/V$2635),"")</f>
        <v/>
      </c>
      <c r="AE2200">
        <f>IF(ISNUMBER(Z2200),Z2200*($AB$1/Z$2635),"")</f>
        <v/>
      </c>
      <c r="AF2200" s="25">
        <f>IF(ISNUMBER(AD2200+AE2200),AD2200+AE2200,"")</f>
        <v/>
      </c>
      <c r="AH2200" s="1">
        <f>A2200</f>
        <v/>
      </c>
      <c r="AI2200">
        <f>IF(ISNUMBER((1+V2200)*AI2199),(1+V2200)*AI2199,AI2199)</f>
        <v/>
      </c>
      <c r="AJ2200">
        <f>IF(ISNUMBER((1+Z2200)*AJ2199),(1+Z2200)*AJ2199,AJ2199)</f>
        <v/>
      </c>
    </row>
    <row r="2201">
      <c r="A2201" s="1" t="n">
        <v>45196</v>
      </c>
      <c r="B2201" s="3">
        <f>IF(ORIG!B2201=0,"",ORIG!B2201)</f>
        <v/>
      </c>
      <c r="C2201" s="3">
        <f>IF(ORIG!C2201=0,"",ORIG!C2201)</f>
        <v/>
      </c>
      <c r="D2201" s="3">
        <f>IF(ORIG!D2201=0,"",ORIG!D2201)</f>
        <v/>
      </c>
      <c r="E2201" s="3">
        <f>IF(ORIG!E2201=0,"",ORIG!E2201)</f>
        <v/>
      </c>
      <c r="F2201" s="3">
        <f>IF(ORIG!F2201=0,"",ORIG!F2201)</f>
        <v/>
      </c>
      <c r="G2201" s="3">
        <f>IF(ORIG!G2201=0,"",ORIG!G2201)</f>
        <v/>
      </c>
      <c r="H2201" s="3">
        <f>IF(ORIG!H2201=0,"",ORIG!H2201)</f>
        <v/>
      </c>
      <c r="I2201" s="3">
        <f>IF(ORIG!I2201=0,"",ORIG!I2201)</f>
        <v/>
      </c>
      <c r="J2201" s="3">
        <f>IF(ORIG!J2201=0,"",ORIG!J2201)</f>
        <v/>
      </c>
      <c r="K2201" s="3">
        <f>IF(ORIG!K2201=0,"",ORIG!K2201)</f>
        <v/>
      </c>
      <c r="L2201" s="3">
        <f>IF(ORIG!L2201=0,"",ORIG!L2201)</f>
        <v/>
      </c>
      <c r="M2201" s="3">
        <f>IF(ORIG!M2201=0,"",ORIG!M2201)</f>
        <v/>
      </c>
      <c r="N2201" s="3">
        <f>IF(ORIG!N2201=0,"",ORIG!N2201)</f>
        <v/>
      </c>
      <c r="O2201" s="3">
        <f>IF(ORIG!O2201=0,"",ORIG!O2201)</f>
        <v/>
      </c>
      <c r="P2201" s="3">
        <f>IF(ORIG!P2201=0,"",ORIG!P2201)</f>
        <v/>
      </c>
      <c r="Q2201" s="3">
        <f>IF(ORIG!Q2201=0,"",ORIG!Q2201)</f>
        <v/>
      </c>
      <c r="R2201" s="3">
        <f>IF(ORIG!R2201=0,"",ORIG!R2201)</f>
        <v/>
      </c>
      <c r="S2201" s="3">
        <f>IF(ORIG!S2201=0,"",ORIG!S2201)</f>
        <v/>
      </c>
      <c r="T2201" s="3">
        <f>IF(ORIG!T2201=0,"",ORIG!T2201)</f>
        <v/>
      </c>
      <c r="U2201" s="3">
        <f>IF(ORIG!U2201=0,"",ORIG!U2201)</f>
        <v/>
      </c>
      <c r="V2201" s="9">
        <f>IF(ORIG!V2201=0,"",ORIG!V2201)</f>
        <v/>
      </c>
      <c r="W2201" s="9">
        <f>IF(ORIG!W2201=0,"",ORIG!W2201)</f>
        <v/>
      </c>
      <c r="X2201" s="9">
        <f>IF(ORIG!X2201=0,"",ORIG!X2201)</f>
        <v/>
      </c>
      <c r="Y2201" s="9">
        <f>IF(ORIG!Y2201=0,"",ORIG!Y2201)</f>
        <v/>
      </c>
      <c r="Z2201" s="3">
        <f>SUMPRODUCT($B2201:$Y2201,$B$2649:$Y$2649)</f>
        <v/>
      </c>
      <c r="AA2201" s="3">
        <f>SUMPRODUCT($B2201:$Y2201,$B$2655:$Y$2655)</f>
        <v/>
      </c>
      <c r="AC2201" s="1">
        <f>A2201</f>
        <v/>
      </c>
      <c r="AD2201">
        <f>IF(ISNUMBER(V2201),V2201*($AB$1/V$2635),"")</f>
        <v/>
      </c>
      <c r="AE2201">
        <f>IF(ISNUMBER(Z2201),Z2201*($AB$1/Z$2635),"")</f>
        <v/>
      </c>
      <c r="AF2201" s="25">
        <f>IF(ISNUMBER(AD2201+AE2201),AD2201+AE2201,"")</f>
        <v/>
      </c>
      <c r="AH2201" s="1">
        <f>A2201</f>
        <v/>
      </c>
      <c r="AI2201">
        <f>IF(ISNUMBER((1+V2201)*AI2200),(1+V2201)*AI2200,AI2200)</f>
        <v/>
      </c>
      <c r="AJ2201">
        <f>IF(ISNUMBER((1+Z2201)*AJ2200),(1+Z2201)*AJ2200,AJ2200)</f>
        <v/>
      </c>
    </row>
    <row r="2202">
      <c r="A2202" s="1" t="n">
        <v>45197</v>
      </c>
      <c r="B2202" s="3">
        <f>IF(ORIG!B2202=0,"",ORIG!B2202)</f>
        <v/>
      </c>
      <c r="C2202" s="3">
        <f>IF(ORIG!C2202=0,"",ORIG!C2202)</f>
        <v/>
      </c>
      <c r="D2202" s="3">
        <f>IF(ORIG!D2202=0,"",ORIG!D2202)</f>
        <v/>
      </c>
      <c r="E2202" s="3">
        <f>IF(ORIG!E2202=0,"",ORIG!E2202)</f>
        <v/>
      </c>
      <c r="F2202" s="3">
        <f>IF(ORIG!F2202=0,"",ORIG!F2202)</f>
        <v/>
      </c>
      <c r="G2202" s="3">
        <f>IF(ORIG!G2202=0,"",ORIG!G2202)</f>
        <v/>
      </c>
      <c r="H2202" s="3">
        <f>IF(ORIG!H2202=0,"",ORIG!H2202)</f>
        <v/>
      </c>
      <c r="I2202" s="3">
        <f>IF(ORIG!I2202=0,"",ORIG!I2202)</f>
        <v/>
      </c>
      <c r="J2202" s="3">
        <f>IF(ORIG!J2202=0,"",ORIG!J2202)</f>
        <v/>
      </c>
      <c r="K2202" s="3">
        <f>IF(ORIG!K2202=0,"",ORIG!K2202)</f>
        <v/>
      </c>
      <c r="L2202" s="3">
        <f>IF(ORIG!L2202=0,"",ORIG!L2202)</f>
        <v/>
      </c>
      <c r="M2202" s="3">
        <f>IF(ORIG!M2202=0,"",ORIG!M2202)</f>
        <v/>
      </c>
      <c r="N2202" s="3">
        <f>IF(ORIG!N2202=0,"",ORIG!N2202)</f>
        <v/>
      </c>
      <c r="O2202" s="3">
        <f>IF(ORIG!O2202=0,"",ORIG!O2202)</f>
        <v/>
      </c>
      <c r="P2202" s="3">
        <f>IF(ORIG!P2202=0,"",ORIG!P2202)</f>
        <v/>
      </c>
      <c r="Q2202" s="3">
        <f>IF(ORIG!Q2202=0,"",ORIG!Q2202)</f>
        <v/>
      </c>
      <c r="R2202" s="3">
        <f>IF(ORIG!R2202=0,"",ORIG!R2202)</f>
        <v/>
      </c>
      <c r="S2202" s="3">
        <f>IF(ORIG!S2202=0,"",ORIG!S2202)</f>
        <v/>
      </c>
      <c r="T2202" s="3">
        <f>IF(ORIG!T2202=0,"",ORIG!T2202)</f>
        <v/>
      </c>
      <c r="U2202" s="3">
        <f>IF(ORIG!U2202=0,"",ORIG!U2202)</f>
        <v/>
      </c>
      <c r="V2202" s="9">
        <f>IF(ORIG!V2202=0,"",ORIG!V2202)</f>
        <v/>
      </c>
      <c r="W2202" s="9">
        <f>IF(ORIG!W2202=0,"",ORIG!W2202)</f>
        <v/>
      </c>
      <c r="X2202" s="9">
        <f>IF(ORIG!X2202=0,"",ORIG!X2202)</f>
        <v/>
      </c>
      <c r="Y2202" s="9">
        <f>IF(ORIG!Y2202=0,"",ORIG!Y2202)</f>
        <v/>
      </c>
      <c r="Z2202" s="3">
        <f>SUMPRODUCT($B2202:$Y2202,$B$2649:$Y$2649)</f>
        <v/>
      </c>
      <c r="AA2202" s="3">
        <f>SUMPRODUCT($B2202:$Y2202,$B$2655:$Y$2655)</f>
        <v/>
      </c>
      <c r="AC2202" s="1">
        <f>A2202</f>
        <v/>
      </c>
      <c r="AD2202">
        <f>IF(ISNUMBER(V2202),V2202*($AB$1/V$2635),"")</f>
        <v/>
      </c>
      <c r="AE2202">
        <f>IF(ISNUMBER(Z2202),Z2202*($AB$1/Z$2635),"")</f>
        <v/>
      </c>
      <c r="AF2202" s="25">
        <f>IF(ISNUMBER(AD2202+AE2202),AD2202+AE2202,"")</f>
        <v/>
      </c>
      <c r="AH2202" s="1">
        <f>A2202</f>
        <v/>
      </c>
      <c r="AI2202">
        <f>IF(ISNUMBER((1+V2202)*AI2201),(1+V2202)*AI2201,AI2201)</f>
        <v/>
      </c>
      <c r="AJ2202">
        <f>IF(ISNUMBER((1+Z2202)*AJ2201),(1+Z2202)*AJ2201,AJ2201)</f>
        <v/>
      </c>
    </row>
    <row r="2203">
      <c r="A2203" s="1" t="n">
        <v>45198</v>
      </c>
      <c r="B2203" s="3">
        <f>IF(ORIG!B2203=0,"",ORIG!B2203)</f>
        <v/>
      </c>
      <c r="C2203" s="3">
        <f>IF(ORIG!C2203=0,"",ORIG!C2203)</f>
        <v/>
      </c>
      <c r="D2203" s="3">
        <f>IF(ORIG!D2203=0,"",ORIG!D2203)</f>
        <v/>
      </c>
      <c r="E2203" s="3">
        <f>IF(ORIG!E2203=0,"",ORIG!E2203)</f>
        <v/>
      </c>
      <c r="F2203" s="3">
        <f>IF(ORIG!F2203=0,"",ORIG!F2203)</f>
        <v/>
      </c>
      <c r="G2203" s="3">
        <f>IF(ORIG!G2203=0,"",ORIG!G2203)</f>
        <v/>
      </c>
      <c r="H2203" s="3">
        <f>IF(ORIG!H2203=0,"",ORIG!H2203)</f>
        <v/>
      </c>
      <c r="I2203" s="3">
        <f>IF(ORIG!I2203=0,"",ORIG!I2203)</f>
        <v/>
      </c>
      <c r="J2203" s="3">
        <f>IF(ORIG!J2203=0,"",ORIG!J2203)</f>
        <v/>
      </c>
      <c r="K2203" s="3">
        <f>IF(ORIG!K2203=0,"",ORIG!K2203)</f>
        <v/>
      </c>
      <c r="L2203" s="3">
        <f>IF(ORIG!L2203=0,"",ORIG!L2203)</f>
        <v/>
      </c>
      <c r="M2203" s="3">
        <f>IF(ORIG!M2203=0,"",ORIG!M2203)</f>
        <v/>
      </c>
      <c r="N2203" s="3">
        <f>IF(ORIG!N2203=0,"",ORIG!N2203)</f>
        <v/>
      </c>
      <c r="O2203" s="3">
        <f>IF(ORIG!O2203=0,"",ORIG!O2203)</f>
        <v/>
      </c>
      <c r="P2203" s="3">
        <f>IF(ORIG!P2203=0,"",ORIG!P2203)</f>
        <v/>
      </c>
      <c r="Q2203" s="3">
        <f>IF(ORIG!Q2203=0,"",ORIG!Q2203)</f>
        <v/>
      </c>
      <c r="R2203" s="3">
        <f>IF(ORIG!R2203=0,"",ORIG!R2203)</f>
        <v/>
      </c>
      <c r="S2203" s="3">
        <f>IF(ORIG!S2203=0,"",ORIG!S2203)</f>
        <v/>
      </c>
      <c r="T2203" s="3">
        <f>IF(ORIG!T2203=0,"",ORIG!T2203)</f>
        <v/>
      </c>
      <c r="U2203" s="3">
        <f>IF(ORIG!U2203=0,"",ORIG!U2203)</f>
        <v/>
      </c>
      <c r="V2203" s="9">
        <f>IF(ORIG!V2203=0,"",ORIG!V2203)</f>
        <v/>
      </c>
      <c r="W2203" s="9">
        <f>IF(ORIG!W2203=0,"",ORIG!W2203)</f>
        <v/>
      </c>
      <c r="X2203" s="9">
        <f>IF(ORIG!X2203=0,"",ORIG!X2203)</f>
        <v/>
      </c>
      <c r="Y2203" s="9">
        <f>IF(ORIG!Y2203=0,"",ORIG!Y2203)</f>
        <v/>
      </c>
      <c r="Z2203" s="3">
        <f>SUMPRODUCT($B2203:$Y2203,$B$2649:$Y$2649)</f>
        <v/>
      </c>
      <c r="AA2203" s="3">
        <f>SUMPRODUCT($B2203:$Y2203,$B$2655:$Y$2655)</f>
        <v/>
      </c>
      <c r="AC2203" s="1">
        <f>A2203</f>
        <v/>
      </c>
      <c r="AD2203">
        <f>IF(ISNUMBER(V2203),V2203*($AB$1/V$2635),"")</f>
        <v/>
      </c>
      <c r="AE2203">
        <f>IF(ISNUMBER(Z2203),Z2203*($AB$1/Z$2635),"")</f>
        <v/>
      </c>
      <c r="AF2203" s="25">
        <f>IF(ISNUMBER(AD2203+AE2203),AD2203+AE2203,"")</f>
        <v/>
      </c>
      <c r="AH2203" s="1">
        <f>A2203</f>
        <v/>
      </c>
      <c r="AI2203">
        <f>IF(ISNUMBER((1+V2203)*AI2202),(1+V2203)*AI2202,AI2202)</f>
        <v/>
      </c>
      <c r="AJ2203">
        <f>IF(ISNUMBER((1+Z2203)*AJ2202),(1+Z2203)*AJ2202,AJ2202)</f>
        <v/>
      </c>
    </row>
    <row r="2204">
      <c r="A2204" s="1" t="n">
        <v>45201</v>
      </c>
      <c r="B2204" s="3">
        <f>IF(ORIG!B2204=0,"",ORIG!B2204)</f>
        <v/>
      </c>
      <c r="C2204" s="3">
        <f>IF(ORIG!C2204=0,"",ORIG!C2204)</f>
        <v/>
      </c>
      <c r="D2204" s="3">
        <f>IF(ORIG!D2204=0,"",ORIG!D2204)</f>
        <v/>
      </c>
      <c r="E2204" s="3">
        <f>IF(ORIG!E2204=0,"",ORIG!E2204)</f>
        <v/>
      </c>
      <c r="F2204" s="3">
        <f>IF(ORIG!F2204=0,"",ORIG!F2204)</f>
        <v/>
      </c>
      <c r="G2204" s="3">
        <f>IF(ORIG!G2204=0,"",ORIG!G2204)</f>
        <v/>
      </c>
      <c r="H2204" s="3">
        <f>IF(ORIG!H2204=0,"",ORIG!H2204)</f>
        <v/>
      </c>
      <c r="I2204" s="3">
        <f>IF(ORIG!I2204=0,"",ORIG!I2204)</f>
        <v/>
      </c>
      <c r="J2204" s="3">
        <f>IF(ORIG!J2204=0,"",ORIG!J2204)</f>
        <v/>
      </c>
      <c r="K2204" s="3">
        <f>IF(ORIG!K2204=0,"",ORIG!K2204)</f>
        <v/>
      </c>
      <c r="L2204" s="3">
        <f>IF(ORIG!L2204=0,"",ORIG!L2204)</f>
        <v/>
      </c>
      <c r="M2204" s="3">
        <f>IF(ORIG!M2204=0,"",ORIG!M2204)</f>
        <v/>
      </c>
      <c r="N2204" s="3">
        <f>IF(ORIG!N2204=0,"",ORIG!N2204)</f>
        <v/>
      </c>
      <c r="O2204" s="3">
        <f>IF(ORIG!O2204=0,"",ORIG!O2204)</f>
        <v/>
      </c>
      <c r="P2204" s="3">
        <f>IF(ORIG!P2204=0,"",ORIG!P2204)</f>
        <v/>
      </c>
      <c r="Q2204" s="3">
        <f>IF(ORIG!Q2204=0,"",ORIG!Q2204)</f>
        <v/>
      </c>
      <c r="R2204" s="3">
        <f>IF(ORIG!R2204=0,"",ORIG!R2204)</f>
        <v/>
      </c>
      <c r="S2204" s="3">
        <f>IF(ORIG!S2204=0,"",ORIG!S2204)</f>
        <v/>
      </c>
      <c r="T2204" s="3">
        <f>IF(ORIG!T2204=0,"",ORIG!T2204)</f>
        <v/>
      </c>
      <c r="U2204" s="3">
        <f>IF(ORIG!U2204=0,"",ORIG!U2204)</f>
        <v/>
      </c>
      <c r="V2204" s="9">
        <f>IF(ORIG!V2204=0,"",ORIG!V2204)</f>
        <v/>
      </c>
      <c r="W2204" s="9">
        <f>IF(ORIG!W2204=0,"",ORIG!W2204)</f>
        <v/>
      </c>
      <c r="X2204" s="9">
        <f>IF(ORIG!X2204=0,"",ORIG!X2204)</f>
        <v/>
      </c>
      <c r="Y2204" s="9">
        <f>IF(ORIG!Y2204=0,"",ORIG!Y2204)</f>
        <v/>
      </c>
      <c r="Z2204" s="3">
        <f>SUMPRODUCT($B2204:$Y2204,$B$2649:$Y$2649)</f>
        <v/>
      </c>
      <c r="AA2204" s="3">
        <f>SUMPRODUCT($B2204:$Y2204,$B$2655:$Y$2655)</f>
        <v/>
      </c>
      <c r="AC2204" s="1">
        <f>A2204</f>
        <v/>
      </c>
      <c r="AD2204">
        <f>IF(ISNUMBER(V2204),V2204*($AB$1/V$2635),"")</f>
        <v/>
      </c>
      <c r="AE2204">
        <f>IF(ISNUMBER(Z2204),Z2204*($AB$1/Z$2635),"")</f>
        <v/>
      </c>
      <c r="AF2204" s="25">
        <f>IF(ISNUMBER(AD2204+AE2204),AD2204+AE2204,"")</f>
        <v/>
      </c>
      <c r="AH2204" s="1">
        <f>A2204</f>
        <v/>
      </c>
      <c r="AI2204">
        <f>IF(ISNUMBER((1+V2204)*AI2203),(1+V2204)*AI2203,AI2203)</f>
        <v/>
      </c>
      <c r="AJ2204">
        <f>IF(ISNUMBER((1+Z2204)*AJ2203),(1+Z2204)*AJ2203,AJ2203)</f>
        <v/>
      </c>
    </row>
    <row r="2205">
      <c r="A2205" s="1" t="n">
        <v>45202</v>
      </c>
      <c r="B2205" s="3">
        <f>IF(ORIG!B2205=0,"",ORIG!B2205)</f>
        <v/>
      </c>
      <c r="C2205" s="3">
        <f>IF(ORIG!C2205=0,"",ORIG!C2205)</f>
        <v/>
      </c>
      <c r="D2205" s="3">
        <f>IF(ORIG!D2205=0,"",ORIG!D2205)</f>
        <v/>
      </c>
      <c r="E2205" s="3">
        <f>IF(ORIG!E2205=0,"",ORIG!E2205)</f>
        <v/>
      </c>
      <c r="F2205" s="3">
        <f>IF(ORIG!F2205=0,"",ORIG!F2205)</f>
        <v/>
      </c>
      <c r="G2205" s="3">
        <f>IF(ORIG!G2205=0,"",ORIG!G2205)</f>
        <v/>
      </c>
      <c r="H2205" s="3">
        <f>IF(ORIG!H2205=0,"",ORIG!H2205)</f>
        <v/>
      </c>
      <c r="I2205" s="3">
        <f>IF(ORIG!I2205=0,"",ORIG!I2205)</f>
        <v/>
      </c>
      <c r="J2205" s="3">
        <f>IF(ORIG!J2205=0,"",ORIG!J2205)</f>
        <v/>
      </c>
      <c r="K2205" s="3">
        <f>IF(ORIG!K2205=0,"",ORIG!K2205)</f>
        <v/>
      </c>
      <c r="L2205" s="3">
        <f>IF(ORIG!L2205=0,"",ORIG!L2205)</f>
        <v/>
      </c>
      <c r="M2205" s="3">
        <f>IF(ORIG!M2205=0,"",ORIG!M2205)</f>
        <v/>
      </c>
      <c r="N2205" s="3">
        <f>IF(ORIG!N2205=0,"",ORIG!N2205)</f>
        <v/>
      </c>
      <c r="O2205" s="3">
        <f>IF(ORIG!O2205=0,"",ORIG!O2205)</f>
        <v/>
      </c>
      <c r="P2205" s="3">
        <f>IF(ORIG!P2205=0,"",ORIG!P2205)</f>
        <v/>
      </c>
      <c r="Q2205" s="3">
        <f>IF(ORIG!Q2205=0,"",ORIG!Q2205)</f>
        <v/>
      </c>
      <c r="R2205" s="3">
        <f>IF(ORIG!R2205=0,"",ORIG!R2205)</f>
        <v/>
      </c>
      <c r="S2205" s="3">
        <f>IF(ORIG!S2205=0,"",ORIG!S2205)</f>
        <v/>
      </c>
      <c r="T2205" s="3">
        <f>IF(ORIG!T2205=0,"",ORIG!T2205)</f>
        <v/>
      </c>
      <c r="U2205" s="3">
        <f>IF(ORIG!U2205=0,"",ORIG!U2205)</f>
        <v/>
      </c>
      <c r="V2205" s="9">
        <f>IF(ORIG!V2205=0,"",ORIG!V2205)</f>
        <v/>
      </c>
      <c r="W2205" s="9">
        <f>IF(ORIG!W2205=0,"",ORIG!W2205)</f>
        <v/>
      </c>
      <c r="X2205" s="9">
        <f>IF(ORIG!X2205=0,"",ORIG!X2205)</f>
        <v/>
      </c>
      <c r="Y2205" s="9">
        <f>IF(ORIG!Y2205=0,"",ORIG!Y2205)</f>
        <v/>
      </c>
      <c r="Z2205" s="3">
        <f>SUMPRODUCT($B2205:$Y2205,$B$2649:$Y$2649)</f>
        <v/>
      </c>
      <c r="AA2205" s="3">
        <f>SUMPRODUCT($B2205:$Y2205,$B$2655:$Y$2655)</f>
        <v/>
      </c>
      <c r="AC2205" s="1">
        <f>A2205</f>
        <v/>
      </c>
      <c r="AD2205">
        <f>IF(ISNUMBER(V2205),V2205*($AB$1/V$2635),"")</f>
        <v/>
      </c>
      <c r="AE2205">
        <f>IF(ISNUMBER(Z2205),Z2205*($AB$1/Z$2635),"")</f>
        <v/>
      </c>
      <c r="AF2205" s="25">
        <f>IF(ISNUMBER(AD2205+AE2205),AD2205+AE2205,"")</f>
        <v/>
      </c>
      <c r="AH2205" s="1">
        <f>A2205</f>
        <v/>
      </c>
      <c r="AI2205">
        <f>IF(ISNUMBER((1+V2205)*AI2204),(1+V2205)*AI2204,AI2204)</f>
        <v/>
      </c>
      <c r="AJ2205">
        <f>IF(ISNUMBER((1+Z2205)*AJ2204),(1+Z2205)*AJ2204,AJ2204)</f>
        <v/>
      </c>
    </row>
    <row r="2206">
      <c r="A2206" s="1" t="n">
        <v>45203</v>
      </c>
      <c r="B2206" s="3">
        <f>IF(ORIG!B2206=0,"",ORIG!B2206)</f>
        <v/>
      </c>
      <c r="C2206" s="3">
        <f>IF(ORIG!C2206=0,"",ORIG!C2206)</f>
        <v/>
      </c>
      <c r="D2206" s="3">
        <f>IF(ORIG!D2206=0,"",ORIG!D2206)</f>
        <v/>
      </c>
      <c r="E2206" s="3">
        <f>IF(ORIG!E2206=0,"",ORIG!E2206)</f>
        <v/>
      </c>
      <c r="F2206" s="3">
        <f>IF(ORIG!F2206=0,"",ORIG!F2206)</f>
        <v/>
      </c>
      <c r="G2206" s="3">
        <f>IF(ORIG!G2206=0,"",ORIG!G2206)</f>
        <v/>
      </c>
      <c r="H2206" s="3">
        <f>IF(ORIG!H2206=0,"",ORIG!H2206)</f>
        <v/>
      </c>
      <c r="I2206" s="3">
        <f>IF(ORIG!I2206=0,"",ORIG!I2206)</f>
        <v/>
      </c>
      <c r="J2206" s="3">
        <f>IF(ORIG!J2206=0,"",ORIG!J2206)</f>
        <v/>
      </c>
      <c r="K2206" s="3">
        <f>IF(ORIG!K2206=0,"",ORIG!K2206)</f>
        <v/>
      </c>
      <c r="L2206" s="3">
        <f>IF(ORIG!L2206=0,"",ORIG!L2206)</f>
        <v/>
      </c>
      <c r="M2206" s="3">
        <f>IF(ORIG!M2206=0,"",ORIG!M2206)</f>
        <v/>
      </c>
      <c r="N2206" s="3">
        <f>IF(ORIG!N2206=0,"",ORIG!N2206)</f>
        <v/>
      </c>
      <c r="O2206" s="3">
        <f>IF(ORIG!O2206=0,"",ORIG!O2206)</f>
        <v/>
      </c>
      <c r="P2206" s="3">
        <f>IF(ORIG!P2206=0,"",ORIG!P2206)</f>
        <v/>
      </c>
      <c r="Q2206" s="3">
        <f>IF(ORIG!Q2206=0,"",ORIG!Q2206)</f>
        <v/>
      </c>
      <c r="R2206" s="3">
        <f>IF(ORIG!R2206=0,"",ORIG!R2206)</f>
        <v/>
      </c>
      <c r="S2206" s="3">
        <f>IF(ORIG!S2206=0,"",ORIG!S2206)</f>
        <v/>
      </c>
      <c r="T2206" s="3">
        <f>IF(ORIG!T2206=0,"",ORIG!T2206)</f>
        <v/>
      </c>
      <c r="U2206" s="3">
        <f>IF(ORIG!U2206=0,"",ORIG!U2206)</f>
        <v/>
      </c>
      <c r="V2206" s="9">
        <f>IF(ORIG!V2206=0,"",ORIG!V2206)</f>
        <v/>
      </c>
      <c r="W2206" s="9">
        <f>IF(ORIG!W2206=0,"",ORIG!W2206)</f>
        <v/>
      </c>
      <c r="X2206" s="9">
        <f>IF(ORIG!X2206=0,"",ORIG!X2206)</f>
        <v/>
      </c>
      <c r="Y2206" s="9">
        <f>IF(ORIG!Y2206=0,"",ORIG!Y2206)</f>
        <v/>
      </c>
      <c r="Z2206" s="3">
        <f>SUMPRODUCT($B2206:$Y2206,$B$2649:$Y$2649)</f>
        <v/>
      </c>
      <c r="AA2206" s="3">
        <f>SUMPRODUCT($B2206:$Y2206,$B$2655:$Y$2655)</f>
        <v/>
      </c>
      <c r="AC2206" s="1">
        <f>A2206</f>
        <v/>
      </c>
      <c r="AD2206">
        <f>IF(ISNUMBER(V2206),V2206*($AB$1/V$2635),"")</f>
        <v/>
      </c>
      <c r="AE2206">
        <f>IF(ISNUMBER(Z2206),Z2206*($AB$1/Z$2635),"")</f>
        <v/>
      </c>
      <c r="AF2206" s="25">
        <f>IF(ISNUMBER(AD2206+AE2206),AD2206+AE2206,"")</f>
        <v/>
      </c>
      <c r="AH2206" s="1">
        <f>A2206</f>
        <v/>
      </c>
      <c r="AI2206">
        <f>IF(ISNUMBER((1+V2206)*AI2205),(1+V2206)*AI2205,AI2205)</f>
        <v/>
      </c>
      <c r="AJ2206">
        <f>IF(ISNUMBER((1+Z2206)*AJ2205),(1+Z2206)*AJ2205,AJ2205)</f>
        <v/>
      </c>
    </row>
    <row r="2207">
      <c r="A2207" s="1" t="n">
        <v>45204</v>
      </c>
      <c r="B2207" s="3">
        <f>IF(ORIG!B2207=0,"",ORIG!B2207)</f>
        <v/>
      </c>
      <c r="C2207" s="3">
        <f>IF(ORIG!C2207=0,"",ORIG!C2207)</f>
        <v/>
      </c>
      <c r="D2207" s="3">
        <f>IF(ORIG!D2207=0,"",ORIG!D2207)</f>
        <v/>
      </c>
      <c r="E2207" s="3">
        <f>IF(ORIG!E2207=0,"",ORIG!E2207)</f>
        <v/>
      </c>
      <c r="F2207" s="3">
        <f>IF(ORIG!F2207=0,"",ORIG!F2207)</f>
        <v/>
      </c>
      <c r="G2207" s="3">
        <f>IF(ORIG!G2207=0,"",ORIG!G2207)</f>
        <v/>
      </c>
      <c r="H2207" s="3">
        <f>IF(ORIG!H2207=0,"",ORIG!H2207)</f>
        <v/>
      </c>
      <c r="I2207" s="3">
        <f>IF(ORIG!I2207=0,"",ORIG!I2207)</f>
        <v/>
      </c>
      <c r="J2207" s="3">
        <f>IF(ORIG!J2207=0,"",ORIG!J2207)</f>
        <v/>
      </c>
      <c r="K2207" s="3">
        <f>IF(ORIG!K2207=0,"",ORIG!K2207)</f>
        <v/>
      </c>
      <c r="L2207" s="3">
        <f>IF(ORIG!L2207=0,"",ORIG!L2207)</f>
        <v/>
      </c>
      <c r="M2207" s="3">
        <f>IF(ORIG!M2207=0,"",ORIG!M2207)</f>
        <v/>
      </c>
      <c r="N2207" s="3">
        <f>IF(ORIG!N2207=0,"",ORIG!N2207)</f>
        <v/>
      </c>
      <c r="O2207" s="3">
        <f>IF(ORIG!O2207=0,"",ORIG!O2207)</f>
        <v/>
      </c>
      <c r="P2207" s="3">
        <f>IF(ORIG!P2207=0,"",ORIG!P2207)</f>
        <v/>
      </c>
      <c r="Q2207" s="3">
        <f>IF(ORIG!Q2207=0,"",ORIG!Q2207)</f>
        <v/>
      </c>
      <c r="R2207" s="3">
        <f>IF(ORIG!R2207=0,"",ORIG!R2207)</f>
        <v/>
      </c>
      <c r="S2207" s="3">
        <f>IF(ORIG!S2207=0,"",ORIG!S2207)</f>
        <v/>
      </c>
      <c r="T2207" s="3">
        <f>IF(ORIG!T2207=0,"",ORIG!T2207)</f>
        <v/>
      </c>
      <c r="U2207" s="3">
        <f>IF(ORIG!U2207=0,"",ORIG!U2207)</f>
        <v/>
      </c>
      <c r="V2207" s="9">
        <f>IF(ORIG!V2207=0,"",ORIG!V2207)</f>
        <v/>
      </c>
      <c r="W2207" s="9">
        <f>IF(ORIG!W2207=0,"",ORIG!W2207)</f>
        <v/>
      </c>
      <c r="X2207" s="9">
        <f>IF(ORIG!X2207=0,"",ORIG!X2207)</f>
        <v/>
      </c>
      <c r="Y2207" s="9">
        <f>IF(ORIG!Y2207=0,"",ORIG!Y2207)</f>
        <v/>
      </c>
      <c r="Z2207" s="3">
        <f>SUMPRODUCT($B2207:$Y2207,$B$2649:$Y$2649)</f>
        <v/>
      </c>
      <c r="AA2207" s="3">
        <f>SUMPRODUCT($B2207:$Y2207,$B$2655:$Y$2655)</f>
        <v/>
      </c>
      <c r="AC2207" s="1">
        <f>A2207</f>
        <v/>
      </c>
      <c r="AD2207">
        <f>IF(ISNUMBER(V2207),V2207*($AB$1/V$2635),"")</f>
        <v/>
      </c>
      <c r="AE2207">
        <f>IF(ISNUMBER(Z2207),Z2207*($AB$1/Z$2635),"")</f>
        <v/>
      </c>
      <c r="AF2207" s="25">
        <f>IF(ISNUMBER(AD2207+AE2207),AD2207+AE2207,"")</f>
        <v/>
      </c>
      <c r="AH2207" s="1">
        <f>A2207</f>
        <v/>
      </c>
      <c r="AI2207">
        <f>IF(ISNUMBER((1+V2207)*AI2206),(1+V2207)*AI2206,AI2206)</f>
        <v/>
      </c>
      <c r="AJ2207">
        <f>IF(ISNUMBER((1+Z2207)*AJ2206),(1+Z2207)*AJ2206,AJ2206)</f>
        <v/>
      </c>
    </row>
    <row r="2208">
      <c r="A2208" s="1" t="n">
        <v>45205</v>
      </c>
      <c r="B2208" s="3">
        <f>IF(ORIG!B2208=0,"",ORIG!B2208)</f>
        <v/>
      </c>
      <c r="C2208" s="3">
        <f>IF(ORIG!C2208=0,"",ORIG!C2208)</f>
        <v/>
      </c>
      <c r="D2208" s="3">
        <f>IF(ORIG!D2208=0,"",ORIG!D2208)</f>
        <v/>
      </c>
      <c r="E2208" s="3">
        <f>IF(ORIG!E2208=0,"",ORIG!E2208)</f>
        <v/>
      </c>
      <c r="F2208" s="3">
        <f>IF(ORIG!F2208=0,"",ORIG!F2208)</f>
        <v/>
      </c>
      <c r="G2208" s="3">
        <f>IF(ORIG!G2208=0,"",ORIG!G2208)</f>
        <v/>
      </c>
      <c r="H2208" s="3">
        <f>IF(ORIG!H2208=0,"",ORIG!H2208)</f>
        <v/>
      </c>
      <c r="I2208" s="3">
        <f>IF(ORIG!I2208=0,"",ORIG!I2208)</f>
        <v/>
      </c>
      <c r="J2208" s="3">
        <f>IF(ORIG!J2208=0,"",ORIG!J2208)</f>
        <v/>
      </c>
      <c r="K2208" s="3">
        <f>IF(ORIG!K2208=0,"",ORIG!K2208)</f>
        <v/>
      </c>
      <c r="L2208" s="3">
        <f>IF(ORIG!L2208=0,"",ORIG!L2208)</f>
        <v/>
      </c>
      <c r="M2208" s="3">
        <f>IF(ORIG!M2208=0,"",ORIG!M2208)</f>
        <v/>
      </c>
      <c r="N2208" s="3">
        <f>IF(ORIG!N2208=0,"",ORIG!N2208)</f>
        <v/>
      </c>
      <c r="O2208" s="3">
        <f>IF(ORIG!O2208=0,"",ORIG!O2208)</f>
        <v/>
      </c>
      <c r="P2208" s="3">
        <f>IF(ORIG!P2208=0,"",ORIG!P2208)</f>
        <v/>
      </c>
      <c r="Q2208" s="3">
        <f>IF(ORIG!Q2208=0,"",ORIG!Q2208)</f>
        <v/>
      </c>
      <c r="R2208" s="3">
        <f>IF(ORIG!R2208=0,"",ORIG!R2208)</f>
        <v/>
      </c>
      <c r="S2208" s="3">
        <f>IF(ORIG!S2208=0,"",ORIG!S2208)</f>
        <v/>
      </c>
      <c r="T2208" s="3">
        <f>IF(ORIG!T2208=0,"",ORIG!T2208)</f>
        <v/>
      </c>
      <c r="U2208" s="3">
        <f>IF(ORIG!U2208=0,"",ORIG!U2208)</f>
        <v/>
      </c>
      <c r="V2208" s="9">
        <f>IF(ORIG!V2208=0,"",ORIG!V2208)</f>
        <v/>
      </c>
      <c r="W2208" s="9">
        <f>IF(ORIG!W2208=0,"",ORIG!W2208)</f>
        <v/>
      </c>
      <c r="X2208" s="9">
        <f>IF(ORIG!X2208=0,"",ORIG!X2208)</f>
        <v/>
      </c>
      <c r="Y2208" s="9">
        <f>IF(ORIG!Y2208=0,"",ORIG!Y2208)</f>
        <v/>
      </c>
      <c r="Z2208" s="3">
        <f>SUMPRODUCT($B2208:$Y2208,$B$2649:$Y$2649)</f>
        <v/>
      </c>
      <c r="AA2208" s="3">
        <f>SUMPRODUCT($B2208:$Y2208,$B$2655:$Y$2655)</f>
        <v/>
      </c>
      <c r="AC2208" s="1">
        <f>A2208</f>
        <v/>
      </c>
      <c r="AD2208">
        <f>IF(ISNUMBER(V2208),V2208*($AB$1/V$2635),"")</f>
        <v/>
      </c>
      <c r="AE2208">
        <f>IF(ISNUMBER(Z2208),Z2208*($AB$1/Z$2635),"")</f>
        <v/>
      </c>
      <c r="AF2208" s="25">
        <f>IF(ISNUMBER(AD2208+AE2208),AD2208+AE2208,"")</f>
        <v/>
      </c>
      <c r="AH2208" s="1">
        <f>A2208</f>
        <v/>
      </c>
      <c r="AI2208">
        <f>IF(ISNUMBER((1+V2208)*AI2207),(1+V2208)*AI2207,AI2207)</f>
        <v/>
      </c>
      <c r="AJ2208">
        <f>IF(ISNUMBER((1+Z2208)*AJ2207),(1+Z2208)*AJ2207,AJ2207)</f>
        <v/>
      </c>
    </row>
    <row r="2209">
      <c r="A2209" s="1" t="n">
        <v>45208</v>
      </c>
      <c r="B2209" s="3">
        <f>IF(ORIG!B2209=0,"",ORIG!B2209)</f>
        <v/>
      </c>
      <c r="C2209" s="3">
        <f>IF(ORIG!C2209=0,"",ORIG!C2209)</f>
        <v/>
      </c>
      <c r="D2209" s="3">
        <f>IF(ORIG!D2209=0,"",ORIG!D2209)</f>
        <v/>
      </c>
      <c r="E2209" s="3">
        <f>IF(ORIG!E2209=0,"",ORIG!E2209)</f>
        <v/>
      </c>
      <c r="F2209" s="3">
        <f>IF(ORIG!F2209=0,"",ORIG!F2209)</f>
        <v/>
      </c>
      <c r="G2209" s="3">
        <f>IF(ORIG!G2209=0,"",ORIG!G2209)</f>
        <v/>
      </c>
      <c r="H2209" s="3">
        <f>IF(ORIG!H2209=0,"",ORIG!H2209)</f>
        <v/>
      </c>
      <c r="I2209" s="3">
        <f>IF(ORIG!I2209=0,"",ORIG!I2209)</f>
        <v/>
      </c>
      <c r="J2209" s="3">
        <f>IF(ORIG!J2209=0,"",ORIG!J2209)</f>
        <v/>
      </c>
      <c r="K2209" s="3">
        <f>IF(ORIG!K2209=0,"",ORIG!K2209)</f>
        <v/>
      </c>
      <c r="L2209" s="3">
        <f>IF(ORIG!L2209=0,"",ORIG!L2209)</f>
        <v/>
      </c>
      <c r="M2209" s="3">
        <f>IF(ORIG!M2209=0,"",ORIG!M2209)</f>
        <v/>
      </c>
      <c r="N2209" s="3">
        <f>IF(ORIG!N2209=0,"",ORIG!N2209)</f>
        <v/>
      </c>
      <c r="O2209" s="3">
        <f>IF(ORIG!O2209=0,"",ORIG!O2209)</f>
        <v/>
      </c>
      <c r="P2209" s="3">
        <f>IF(ORIG!P2209=0,"",ORIG!P2209)</f>
        <v/>
      </c>
      <c r="Q2209" s="3">
        <f>IF(ORIG!Q2209=0,"",ORIG!Q2209)</f>
        <v/>
      </c>
      <c r="R2209" s="3">
        <f>IF(ORIG!R2209=0,"",ORIG!R2209)</f>
        <v/>
      </c>
      <c r="S2209" s="3">
        <f>IF(ORIG!S2209=0,"",ORIG!S2209)</f>
        <v/>
      </c>
      <c r="T2209" s="3">
        <f>IF(ORIG!T2209=0,"",ORIG!T2209)</f>
        <v/>
      </c>
      <c r="U2209" s="3">
        <f>IF(ORIG!U2209=0,"",ORIG!U2209)</f>
        <v/>
      </c>
      <c r="V2209" s="9">
        <f>IF(ORIG!V2209=0,"",ORIG!V2209)</f>
        <v/>
      </c>
      <c r="W2209" s="9">
        <f>IF(ORIG!W2209=0,"",ORIG!W2209)</f>
        <v/>
      </c>
      <c r="X2209" s="9">
        <f>IF(ORIG!X2209=0,"",ORIG!X2209)</f>
        <v/>
      </c>
      <c r="Y2209" s="9">
        <f>IF(ORIG!Y2209=0,"",ORIG!Y2209)</f>
        <v/>
      </c>
      <c r="Z2209" s="3">
        <f>SUMPRODUCT($B2209:$Y2209,$B$2649:$Y$2649)</f>
        <v/>
      </c>
      <c r="AA2209" s="3">
        <f>SUMPRODUCT($B2209:$Y2209,$B$2655:$Y$2655)</f>
        <v/>
      </c>
      <c r="AC2209" s="1">
        <f>A2209</f>
        <v/>
      </c>
      <c r="AD2209">
        <f>IF(ISNUMBER(V2209),V2209*($AB$1/V$2635),"")</f>
        <v/>
      </c>
      <c r="AE2209">
        <f>IF(ISNUMBER(Z2209),Z2209*($AB$1/Z$2635),"")</f>
        <v/>
      </c>
      <c r="AF2209" s="25">
        <f>IF(ISNUMBER(AD2209+AE2209),AD2209+AE2209,"")</f>
        <v/>
      </c>
      <c r="AH2209" s="1">
        <f>A2209</f>
        <v/>
      </c>
      <c r="AI2209">
        <f>IF(ISNUMBER((1+V2209)*AI2208),(1+V2209)*AI2208,AI2208)</f>
        <v/>
      </c>
      <c r="AJ2209">
        <f>IF(ISNUMBER((1+Z2209)*AJ2208),(1+Z2209)*AJ2208,AJ2208)</f>
        <v/>
      </c>
    </row>
    <row r="2210">
      <c r="A2210" s="1" t="n">
        <v>45209</v>
      </c>
      <c r="B2210" s="3">
        <f>IF(ORIG!B2210=0,"",ORIG!B2210)</f>
        <v/>
      </c>
      <c r="C2210" s="3">
        <f>IF(ORIG!C2210=0,"",ORIG!C2210)</f>
        <v/>
      </c>
      <c r="D2210" s="3">
        <f>IF(ORIG!D2210=0,"",ORIG!D2210)</f>
        <v/>
      </c>
      <c r="E2210" s="3">
        <f>IF(ORIG!E2210=0,"",ORIG!E2210)</f>
        <v/>
      </c>
      <c r="F2210" s="3">
        <f>IF(ORIG!F2210=0,"",ORIG!F2210)</f>
        <v/>
      </c>
      <c r="G2210" s="3">
        <f>IF(ORIG!G2210=0,"",ORIG!G2210)</f>
        <v/>
      </c>
      <c r="H2210" s="3">
        <f>IF(ORIG!H2210=0,"",ORIG!H2210)</f>
        <v/>
      </c>
      <c r="I2210" s="3">
        <f>IF(ORIG!I2210=0,"",ORIG!I2210)</f>
        <v/>
      </c>
      <c r="J2210" s="3">
        <f>IF(ORIG!J2210=0,"",ORIG!J2210)</f>
        <v/>
      </c>
      <c r="K2210" s="3">
        <f>IF(ORIG!K2210=0,"",ORIG!K2210)</f>
        <v/>
      </c>
      <c r="L2210" s="3">
        <f>IF(ORIG!L2210=0,"",ORIG!L2210)</f>
        <v/>
      </c>
      <c r="M2210" s="3">
        <f>IF(ORIG!M2210=0,"",ORIG!M2210)</f>
        <v/>
      </c>
      <c r="N2210" s="3">
        <f>IF(ORIG!N2210=0,"",ORIG!N2210)</f>
        <v/>
      </c>
      <c r="O2210" s="3">
        <f>IF(ORIG!O2210=0,"",ORIG!O2210)</f>
        <v/>
      </c>
      <c r="P2210" s="3">
        <f>IF(ORIG!P2210=0,"",ORIG!P2210)</f>
        <v/>
      </c>
      <c r="Q2210" s="3">
        <f>IF(ORIG!Q2210=0,"",ORIG!Q2210)</f>
        <v/>
      </c>
      <c r="R2210" s="3">
        <f>IF(ORIG!R2210=0,"",ORIG!R2210)</f>
        <v/>
      </c>
      <c r="S2210" s="3">
        <f>IF(ORIG!S2210=0,"",ORIG!S2210)</f>
        <v/>
      </c>
      <c r="T2210" s="3">
        <f>IF(ORIG!T2210=0,"",ORIG!T2210)</f>
        <v/>
      </c>
      <c r="U2210" s="3">
        <f>IF(ORIG!U2210=0,"",ORIG!U2210)</f>
        <v/>
      </c>
      <c r="V2210" s="9">
        <f>IF(ORIG!V2210=0,"",ORIG!V2210)</f>
        <v/>
      </c>
      <c r="W2210" s="9">
        <f>IF(ORIG!W2210=0,"",ORIG!W2210)</f>
        <v/>
      </c>
      <c r="X2210" s="9">
        <f>IF(ORIG!X2210=0,"",ORIG!X2210)</f>
        <v/>
      </c>
      <c r="Y2210" s="9">
        <f>IF(ORIG!Y2210=0,"",ORIG!Y2210)</f>
        <v/>
      </c>
      <c r="Z2210" s="3">
        <f>SUMPRODUCT($B2210:$Y2210,$B$2649:$Y$2649)</f>
        <v/>
      </c>
      <c r="AA2210" s="3">
        <f>SUMPRODUCT($B2210:$Y2210,$B$2655:$Y$2655)</f>
        <v/>
      </c>
      <c r="AC2210" s="1">
        <f>A2210</f>
        <v/>
      </c>
      <c r="AD2210">
        <f>IF(ISNUMBER(V2210),V2210*($AB$1/V$2635),"")</f>
        <v/>
      </c>
      <c r="AE2210">
        <f>IF(ISNUMBER(Z2210),Z2210*($AB$1/Z$2635),"")</f>
        <v/>
      </c>
      <c r="AF2210" s="25">
        <f>IF(ISNUMBER(AD2210+AE2210),AD2210+AE2210,"")</f>
        <v/>
      </c>
      <c r="AH2210" s="1">
        <f>A2210</f>
        <v/>
      </c>
      <c r="AI2210">
        <f>IF(ISNUMBER((1+V2210)*AI2209),(1+V2210)*AI2209,AI2209)</f>
        <v/>
      </c>
      <c r="AJ2210">
        <f>IF(ISNUMBER((1+Z2210)*AJ2209),(1+Z2210)*AJ2209,AJ2209)</f>
        <v/>
      </c>
    </row>
    <row r="2211">
      <c r="A2211" s="1" t="n">
        <v>45210</v>
      </c>
      <c r="B2211" s="3">
        <f>IF(ORIG!B2211=0,"",ORIG!B2211)</f>
        <v/>
      </c>
      <c r="C2211" s="3">
        <f>IF(ORIG!C2211=0,"",ORIG!C2211)</f>
        <v/>
      </c>
      <c r="D2211" s="3">
        <f>IF(ORIG!D2211=0,"",ORIG!D2211)</f>
        <v/>
      </c>
      <c r="E2211" s="3">
        <f>IF(ORIG!E2211=0,"",ORIG!E2211)</f>
        <v/>
      </c>
      <c r="F2211" s="3">
        <f>IF(ORIG!F2211=0,"",ORIG!F2211)</f>
        <v/>
      </c>
      <c r="G2211" s="3">
        <f>IF(ORIG!G2211=0,"",ORIG!G2211)</f>
        <v/>
      </c>
      <c r="H2211" s="3">
        <f>IF(ORIG!H2211=0,"",ORIG!H2211)</f>
        <v/>
      </c>
      <c r="I2211" s="3">
        <f>IF(ORIG!I2211=0,"",ORIG!I2211)</f>
        <v/>
      </c>
      <c r="J2211" s="3">
        <f>IF(ORIG!J2211=0,"",ORIG!J2211)</f>
        <v/>
      </c>
      <c r="K2211" s="3">
        <f>IF(ORIG!K2211=0,"",ORIG!K2211)</f>
        <v/>
      </c>
      <c r="L2211" s="3">
        <f>IF(ORIG!L2211=0,"",ORIG!L2211)</f>
        <v/>
      </c>
      <c r="M2211" s="3">
        <f>IF(ORIG!M2211=0,"",ORIG!M2211)</f>
        <v/>
      </c>
      <c r="N2211" s="3">
        <f>IF(ORIG!N2211=0,"",ORIG!N2211)</f>
        <v/>
      </c>
      <c r="O2211" s="3">
        <f>IF(ORIG!O2211=0,"",ORIG!O2211)</f>
        <v/>
      </c>
      <c r="P2211" s="3">
        <f>IF(ORIG!P2211=0,"",ORIG!P2211)</f>
        <v/>
      </c>
      <c r="Q2211" s="3">
        <f>IF(ORIG!Q2211=0,"",ORIG!Q2211)</f>
        <v/>
      </c>
      <c r="R2211" s="3">
        <f>IF(ORIG!R2211=0,"",ORIG!R2211)</f>
        <v/>
      </c>
      <c r="S2211" s="3">
        <f>IF(ORIG!S2211=0,"",ORIG!S2211)</f>
        <v/>
      </c>
      <c r="T2211" s="3">
        <f>IF(ORIG!T2211=0,"",ORIG!T2211)</f>
        <v/>
      </c>
      <c r="U2211" s="3">
        <f>IF(ORIG!U2211=0,"",ORIG!U2211)</f>
        <v/>
      </c>
      <c r="V2211" s="9">
        <f>IF(ORIG!V2211=0,"",ORIG!V2211)</f>
        <v/>
      </c>
      <c r="W2211" s="9">
        <f>IF(ORIG!W2211=0,"",ORIG!W2211)</f>
        <v/>
      </c>
      <c r="X2211" s="9">
        <f>IF(ORIG!X2211=0,"",ORIG!X2211)</f>
        <v/>
      </c>
      <c r="Y2211" s="9">
        <f>IF(ORIG!Y2211=0,"",ORIG!Y2211)</f>
        <v/>
      </c>
      <c r="Z2211" s="3">
        <f>SUMPRODUCT($B2211:$Y2211,$B$2649:$Y$2649)</f>
        <v/>
      </c>
      <c r="AA2211" s="3">
        <f>SUMPRODUCT($B2211:$Y2211,$B$2655:$Y$2655)</f>
        <v/>
      </c>
      <c r="AC2211" s="1">
        <f>A2211</f>
        <v/>
      </c>
      <c r="AD2211">
        <f>IF(ISNUMBER(V2211),V2211*($AB$1/V$2635),"")</f>
        <v/>
      </c>
      <c r="AE2211">
        <f>IF(ISNUMBER(Z2211),Z2211*($AB$1/Z$2635),"")</f>
        <v/>
      </c>
      <c r="AF2211" s="25">
        <f>IF(ISNUMBER(AD2211+AE2211),AD2211+AE2211,"")</f>
        <v/>
      </c>
      <c r="AH2211" s="1">
        <f>A2211</f>
        <v/>
      </c>
      <c r="AI2211">
        <f>IF(ISNUMBER((1+V2211)*AI2210),(1+V2211)*AI2210,AI2210)</f>
        <v/>
      </c>
      <c r="AJ2211">
        <f>IF(ISNUMBER((1+Z2211)*AJ2210),(1+Z2211)*AJ2210,AJ2210)</f>
        <v/>
      </c>
    </row>
    <row r="2212">
      <c r="A2212" s="1" t="n">
        <v>45211</v>
      </c>
      <c r="B2212" s="3">
        <f>IF(ORIG!B2212=0,"",ORIG!B2212)</f>
        <v/>
      </c>
      <c r="C2212" s="3">
        <f>IF(ORIG!C2212=0,"",ORIG!C2212)</f>
        <v/>
      </c>
      <c r="D2212" s="3">
        <f>IF(ORIG!D2212=0,"",ORIG!D2212)</f>
        <v/>
      </c>
      <c r="E2212" s="3">
        <f>IF(ORIG!E2212=0,"",ORIG!E2212)</f>
        <v/>
      </c>
      <c r="F2212" s="3">
        <f>IF(ORIG!F2212=0,"",ORIG!F2212)</f>
        <v/>
      </c>
      <c r="G2212" s="3">
        <f>IF(ORIG!G2212=0,"",ORIG!G2212)</f>
        <v/>
      </c>
      <c r="H2212" s="3">
        <f>IF(ORIG!H2212=0,"",ORIG!H2212)</f>
        <v/>
      </c>
      <c r="I2212" s="3">
        <f>IF(ORIG!I2212=0,"",ORIG!I2212)</f>
        <v/>
      </c>
      <c r="J2212" s="3">
        <f>IF(ORIG!J2212=0,"",ORIG!J2212)</f>
        <v/>
      </c>
      <c r="K2212" s="3">
        <f>IF(ORIG!K2212=0,"",ORIG!K2212)</f>
        <v/>
      </c>
      <c r="L2212" s="3">
        <f>IF(ORIG!L2212=0,"",ORIG!L2212)</f>
        <v/>
      </c>
      <c r="M2212" s="3">
        <f>IF(ORIG!M2212=0,"",ORIG!M2212)</f>
        <v/>
      </c>
      <c r="N2212" s="3">
        <f>IF(ORIG!N2212=0,"",ORIG!N2212)</f>
        <v/>
      </c>
      <c r="O2212" s="3">
        <f>IF(ORIG!O2212=0,"",ORIG!O2212)</f>
        <v/>
      </c>
      <c r="P2212" s="3">
        <f>IF(ORIG!P2212=0,"",ORIG!P2212)</f>
        <v/>
      </c>
      <c r="Q2212" s="3">
        <f>IF(ORIG!Q2212=0,"",ORIG!Q2212)</f>
        <v/>
      </c>
      <c r="R2212" s="3">
        <f>IF(ORIG!R2212=0,"",ORIG!R2212)</f>
        <v/>
      </c>
      <c r="S2212" s="3">
        <f>IF(ORIG!S2212=0,"",ORIG!S2212)</f>
        <v/>
      </c>
      <c r="T2212" s="3">
        <f>IF(ORIG!T2212=0,"",ORIG!T2212)</f>
        <v/>
      </c>
      <c r="U2212" s="3">
        <f>IF(ORIG!U2212=0,"",ORIG!U2212)</f>
        <v/>
      </c>
      <c r="V2212" s="9">
        <f>IF(ORIG!V2212=0,"",ORIG!V2212)</f>
        <v/>
      </c>
      <c r="W2212" s="9">
        <f>IF(ORIG!W2212=0,"",ORIG!W2212)</f>
        <v/>
      </c>
      <c r="X2212" s="9">
        <f>IF(ORIG!X2212=0,"",ORIG!X2212)</f>
        <v/>
      </c>
      <c r="Y2212" s="9">
        <f>IF(ORIG!Y2212=0,"",ORIG!Y2212)</f>
        <v/>
      </c>
      <c r="Z2212" s="3">
        <f>SUMPRODUCT($B2212:$Y2212,$B$2649:$Y$2649)</f>
        <v/>
      </c>
      <c r="AA2212" s="3">
        <f>SUMPRODUCT($B2212:$Y2212,$B$2655:$Y$2655)</f>
        <v/>
      </c>
      <c r="AC2212" s="1">
        <f>A2212</f>
        <v/>
      </c>
      <c r="AD2212">
        <f>IF(ISNUMBER(V2212),V2212*($AB$1/V$2635),"")</f>
        <v/>
      </c>
      <c r="AE2212">
        <f>IF(ISNUMBER(Z2212),Z2212*($AB$1/Z$2635),"")</f>
        <v/>
      </c>
      <c r="AF2212" s="25">
        <f>IF(ISNUMBER(AD2212+AE2212),AD2212+AE2212,"")</f>
        <v/>
      </c>
      <c r="AH2212" s="1">
        <f>A2212</f>
        <v/>
      </c>
      <c r="AI2212">
        <f>IF(ISNUMBER((1+V2212)*AI2211),(1+V2212)*AI2211,AI2211)</f>
        <v/>
      </c>
      <c r="AJ2212">
        <f>IF(ISNUMBER((1+Z2212)*AJ2211),(1+Z2212)*AJ2211,AJ2211)</f>
        <v/>
      </c>
    </row>
    <row r="2213">
      <c r="A2213" s="1" t="n">
        <v>45212</v>
      </c>
      <c r="B2213" s="3">
        <f>IF(ORIG!B2213=0,"",ORIG!B2213)</f>
        <v/>
      </c>
      <c r="C2213" s="3">
        <f>IF(ORIG!C2213=0,"",ORIG!C2213)</f>
        <v/>
      </c>
      <c r="D2213" s="3">
        <f>IF(ORIG!D2213=0,"",ORIG!D2213)</f>
        <v/>
      </c>
      <c r="E2213" s="3">
        <f>IF(ORIG!E2213=0,"",ORIG!E2213)</f>
        <v/>
      </c>
      <c r="F2213" s="3">
        <f>IF(ORIG!F2213=0,"",ORIG!F2213)</f>
        <v/>
      </c>
      <c r="G2213" s="3">
        <f>IF(ORIG!G2213=0,"",ORIG!G2213)</f>
        <v/>
      </c>
      <c r="H2213" s="3">
        <f>IF(ORIG!H2213=0,"",ORIG!H2213)</f>
        <v/>
      </c>
      <c r="I2213" s="3">
        <f>IF(ORIG!I2213=0,"",ORIG!I2213)</f>
        <v/>
      </c>
      <c r="J2213" s="3">
        <f>IF(ORIG!J2213=0,"",ORIG!J2213)</f>
        <v/>
      </c>
      <c r="K2213" s="3">
        <f>IF(ORIG!K2213=0,"",ORIG!K2213)</f>
        <v/>
      </c>
      <c r="L2213" s="3">
        <f>IF(ORIG!L2213=0,"",ORIG!L2213)</f>
        <v/>
      </c>
      <c r="M2213" s="3">
        <f>IF(ORIG!M2213=0,"",ORIG!M2213)</f>
        <v/>
      </c>
      <c r="N2213" s="3">
        <f>IF(ORIG!N2213=0,"",ORIG!N2213)</f>
        <v/>
      </c>
      <c r="O2213" s="3">
        <f>IF(ORIG!O2213=0,"",ORIG!O2213)</f>
        <v/>
      </c>
      <c r="P2213" s="3">
        <f>IF(ORIG!P2213=0,"",ORIG!P2213)</f>
        <v/>
      </c>
      <c r="Q2213" s="3">
        <f>IF(ORIG!Q2213=0,"",ORIG!Q2213)</f>
        <v/>
      </c>
      <c r="R2213" s="3">
        <f>IF(ORIG!R2213=0,"",ORIG!R2213)</f>
        <v/>
      </c>
      <c r="S2213" s="3">
        <f>IF(ORIG!S2213=0,"",ORIG!S2213)</f>
        <v/>
      </c>
      <c r="T2213" s="3">
        <f>IF(ORIG!T2213=0,"",ORIG!T2213)</f>
        <v/>
      </c>
      <c r="U2213" s="3">
        <f>IF(ORIG!U2213=0,"",ORIG!U2213)</f>
        <v/>
      </c>
      <c r="V2213" s="9">
        <f>IF(ORIG!V2213=0,"",ORIG!V2213)</f>
        <v/>
      </c>
      <c r="W2213" s="9">
        <f>IF(ORIG!W2213=0,"",ORIG!W2213)</f>
        <v/>
      </c>
      <c r="X2213" s="9">
        <f>IF(ORIG!X2213=0,"",ORIG!X2213)</f>
        <v/>
      </c>
      <c r="Y2213" s="9">
        <f>IF(ORIG!Y2213=0,"",ORIG!Y2213)</f>
        <v/>
      </c>
      <c r="Z2213" s="3">
        <f>SUMPRODUCT($B2213:$Y2213,$B$2649:$Y$2649)</f>
        <v/>
      </c>
      <c r="AA2213" s="3">
        <f>SUMPRODUCT($B2213:$Y2213,$B$2655:$Y$2655)</f>
        <v/>
      </c>
      <c r="AC2213" s="1">
        <f>A2213</f>
        <v/>
      </c>
      <c r="AD2213">
        <f>IF(ISNUMBER(V2213),V2213*($AB$1/V$2635),"")</f>
        <v/>
      </c>
      <c r="AE2213">
        <f>IF(ISNUMBER(Z2213),Z2213*($AB$1/Z$2635),"")</f>
        <v/>
      </c>
      <c r="AF2213" s="25">
        <f>IF(ISNUMBER(AD2213+AE2213),AD2213+AE2213,"")</f>
        <v/>
      </c>
      <c r="AH2213" s="1">
        <f>A2213</f>
        <v/>
      </c>
      <c r="AI2213">
        <f>IF(ISNUMBER((1+V2213)*AI2212),(1+V2213)*AI2212,AI2212)</f>
        <v/>
      </c>
      <c r="AJ2213">
        <f>IF(ISNUMBER((1+Z2213)*AJ2212),(1+Z2213)*AJ2212,AJ2212)</f>
        <v/>
      </c>
    </row>
    <row r="2214">
      <c r="A2214" s="1" t="n">
        <v>45215</v>
      </c>
      <c r="B2214" s="3">
        <f>IF(ORIG!B2214=0,"",ORIG!B2214)</f>
        <v/>
      </c>
      <c r="C2214" s="3">
        <f>IF(ORIG!C2214=0,"",ORIG!C2214)</f>
        <v/>
      </c>
      <c r="D2214" s="3">
        <f>IF(ORIG!D2214=0,"",ORIG!D2214)</f>
        <v/>
      </c>
      <c r="E2214" s="3">
        <f>IF(ORIG!E2214=0,"",ORIG!E2214)</f>
        <v/>
      </c>
      <c r="F2214" s="3">
        <f>IF(ORIG!F2214=0,"",ORIG!F2214)</f>
        <v/>
      </c>
      <c r="G2214" s="3">
        <f>IF(ORIG!G2214=0,"",ORIG!G2214)</f>
        <v/>
      </c>
      <c r="H2214" s="3">
        <f>IF(ORIG!H2214=0,"",ORIG!H2214)</f>
        <v/>
      </c>
      <c r="I2214" s="3">
        <f>IF(ORIG!I2214=0,"",ORIG!I2214)</f>
        <v/>
      </c>
      <c r="J2214" s="3">
        <f>IF(ORIG!J2214=0,"",ORIG!J2214)</f>
        <v/>
      </c>
      <c r="K2214" s="3">
        <f>IF(ORIG!K2214=0,"",ORIG!K2214)</f>
        <v/>
      </c>
      <c r="L2214" s="3">
        <f>IF(ORIG!L2214=0,"",ORIG!L2214)</f>
        <v/>
      </c>
      <c r="M2214" s="3">
        <f>IF(ORIG!M2214=0,"",ORIG!M2214)</f>
        <v/>
      </c>
      <c r="N2214" s="3">
        <f>IF(ORIG!N2214=0,"",ORIG!N2214)</f>
        <v/>
      </c>
      <c r="O2214" s="3">
        <f>IF(ORIG!O2214=0,"",ORIG!O2214)</f>
        <v/>
      </c>
      <c r="P2214" s="3">
        <f>IF(ORIG!P2214=0,"",ORIG!P2214)</f>
        <v/>
      </c>
      <c r="Q2214" s="3">
        <f>IF(ORIG!Q2214=0,"",ORIG!Q2214)</f>
        <v/>
      </c>
      <c r="R2214" s="3">
        <f>IF(ORIG!R2214=0,"",ORIG!R2214)</f>
        <v/>
      </c>
      <c r="S2214" s="3">
        <f>IF(ORIG!S2214=0,"",ORIG!S2214)</f>
        <v/>
      </c>
      <c r="T2214" s="3">
        <f>IF(ORIG!T2214=0,"",ORIG!T2214)</f>
        <v/>
      </c>
      <c r="U2214" s="3">
        <f>IF(ORIG!U2214=0,"",ORIG!U2214)</f>
        <v/>
      </c>
      <c r="V2214" s="9">
        <f>IF(ORIG!V2214=0,"",ORIG!V2214)</f>
        <v/>
      </c>
      <c r="W2214" s="9">
        <f>IF(ORIG!W2214=0,"",ORIG!W2214)</f>
        <v/>
      </c>
      <c r="X2214" s="9">
        <f>IF(ORIG!X2214=0,"",ORIG!X2214)</f>
        <v/>
      </c>
      <c r="Y2214" s="9">
        <f>IF(ORIG!Y2214=0,"",ORIG!Y2214)</f>
        <v/>
      </c>
      <c r="Z2214" s="3">
        <f>SUMPRODUCT($B2214:$Y2214,$B$2649:$Y$2649)</f>
        <v/>
      </c>
      <c r="AA2214" s="3">
        <f>SUMPRODUCT($B2214:$Y2214,$B$2655:$Y$2655)</f>
        <v/>
      </c>
      <c r="AC2214" s="1">
        <f>A2214</f>
        <v/>
      </c>
      <c r="AD2214">
        <f>IF(ISNUMBER(V2214),V2214*($AB$1/V$2635),"")</f>
        <v/>
      </c>
      <c r="AE2214">
        <f>IF(ISNUMBER(Z2214),Z2214*($AB$1/Z$2635),"")</f>
        <v/>
      </c>
      <c r="AF2214" s="25">
        <f>IF(ISNUMBER(AD2214+AE2214),AD2214+AE2214,"")</f>
        <v/>
      </c>
      <c r="AH2214" s="1">
        <f>A2214</f>
        <v/>
      </c>
      <c r="AI2214">
        <f>IF(ISNUMBER((1+V2214)*AI2213),(1+V2214)*AI2213,AI2213)</f>
        <v/>
      </c>
      <c r="AJ2214">
        <f>IF(ISNUMBER((1+Z2214)*AJ2213),(1+Z2214)*AJ2213,AJ2213)</f>
        <v/>
      </c>
    </row>
    <row r="2215">
      <c r="A2215" s="1" t="n">
        <v>45216</v>
      </c>
      <c r="B2215" s="3">
        <f>IF(ORIG!B2215=0,"",ORIG!B2215)</f>
        <v/>
      </c>
      <c r="C2215" s="3">
        <f>IF(ORIG!C2215=0,"",ORIG!C2215)</f>
        <v/>
      </c>
      <c r="D2215" s="3">
        <f>IF(ORIG!D2215=0,"",ORIG!D2215)</f>
        <v/>
      </c>
      <c r="E2215" s="3">
        <f>IF(ORIG!E2215=0,"",ORIG!E2215)</f>
        <v/>
      </c>
      <c r="F2215" s="3">
        <f>IF(ORIG!F2215=0,"",ORIG!F2215)</f>
        <v/>
      </c>
      <c r="G2215" s="3">
        <f>IF(ORIG!G2215=0,"",ORIG!G2215)</f>
        <v/>
      </c>
      <c r="H2215" s="3">
        <f>IF(ORIG!H2215=0,"",ORIG!H2215)</f>
        <v/>
      </c>
      <c r="I2215" s="3">
        <f>IF(ORIG!I2215=0,"",ORIG!I2215)</f>
        <v/>
      </c>
      <c r="J2215" s="3">
        <f>IF(ORIG!J2215=0,"",ORIG!J2215)</f>
        <v/>
      </c>
      <c r="K2215" s="3">
        <f>IF(ORIG!K2215=0,"",ORIG!K2215)</f>
        <v/>
      </c>
      <c r="L2215" s="3">
        <f>IF(ORIG!L2215=0,"",ORIG!L2215)</f>
        <v/>
      </c>
      <c r="M2215" s="3">
        <f>IF(ORIG!M2215=0,"",ORIG!M2215)</f>
        <v/>
      </c>
      <c r="N2215" s="3">
        <f>IF(ORIG!N2215=0,"",ORIG!N2215)</f>
        <v/>
      </c>
      <c r="O2215" s="3">
        <f>IF(ORIG!O2215=0,"",ORIG!O2215)</f>
        <v/>
      </c>
      <c r="P2215" s="3">
        <f>IF(ORIG!P2215=0,"",ORIG!P2215)</f>
        <v/>
      </c>
      <c r="Q2215" s="3">
        <f>IF(ORIG!Q2215=0,"",ORIG!Q2215)</f>
        <v/>
      </c>
      <c r="R2215" s="3">
        <f>IF(ORIG!R2215=0,"",ORIG!R2215)</f>
        <v/>
      </c>
      <c r="S2215" s="3">
        <f>IF(ORIG!S2215=0,"",ORIG!S2215)</f>
        <v/>
      </c>
      <c r="T2215" s="3">
        <f>IF(ORIG!T2215=0,"",ORIG!T2215)</f>
        <v/>
      </c>
      <c r="U2215" s="3">
        <f>IF(ORIG!U2215=0,"",ORIG!U2215)</f>
        <v/>
      </c>
      <c r="V2215" s="9">
        <f>IF(ORIG!V2215=0,"",ORIG!V2215)</f>
        <v/>
      </c>
      <c r="W2215" s="9">
        <f>IF(ORIG!W2215=0,"",ORIG!W2215)</f>
        <v/>
      </c>
      <c r="X2215" s="9">
        <f>IF(ORIG!X2215=0,"",ORIG!X2215)</f>
        <v/>
      </c>
      <c r="Y2215" s="9">
        <f>IF(ORIG!Y2215=0,"",ORIG!Y2215)</f>
        <v/>
      </c>
      <c r="Z2215" s="3">
        <f>SUMPRODUCT($B2215:$Y2215,$B$2649:$Y$2649)</f>
        <v/>
      </c>
      <c r="AA2215" s="3">
        <f>SUMPRODUCT($B2215:$Y2215,$B$2655:$Y$2655)</f>
        <v/>
      </c>
      <c r="AC2215" s="1">
        <f>A2215</f>
        <v/>
      </c>
      <c r="AD2215">
        <f>IF(ISNUMBER(V2215),V2215*($AB$1/V$2635),"")</f>
        <v/>
      </c>
      <c r="AE2215">
        <f>IF(ISNUMBER(Z2215),Z2215*($AB$1/Z$2635),"")</f>
        <v/>
      </c>
      <c r="AF2215" s="25">
        <f>IF(ISNUMBER(AD2215+AE2215),AD2215+AE2215,"")</f>
        <v/>
      </c>
      <c r="AH2215" s="1">
        <f>A2215</f>
        <v/>
      </c>
      <c r="AI2215">
        <f>IF(ISNUMBER((1+V2215)*AI2214),(1+V2215)*AI2214,AI2214)</f>
        <v/>
      </c>
      <c r="AJ2215">
        <f>IF(ISNUMBER((1+Z2215)*AJ2214),(1+Z2215)*AJ2214,AJ2214)</f>
        <v/>
      </c>
    </row>
    <row r="2216">
      <c r="A2216" s="1" t="n">
        <v>45217</v>
      </c>
      <c r="B2216" s="3">
        <f>IF(ORIG!B2216=0,"",ORIG!B2216)</f>
        <v/>
      </c>
      <c r="C2216" s="3">
        <f>IF(ORIG!C2216=0,"",ORIG!C2216)</f>
        <v/>
      </c>
      <c r="D2216" s="3">
        <f>IF(ORIG!D2216=0,"",ORIG!D2216)</f>
        <v/>
      </c>
      <c r="E2216" s="3">
        <f>IF(ORIG!E2216=0,"",ORIG!E2216)</f>
        <v/>
      </c>
      <c r="F2216" s="3">
        <f>IF(ORIG!F2216=0,"",ORIG!F2216)</f>
        <v/>
      </c>
      <c r="G2216" s="3">
        <f>IF(ORIG!G2216=0,"",ORIG!G2216)</f>
        <v/>
      </c>
      <c r="H2216" s="3">
        <f>IF(ORIG!H2216=0,"",ORIG!H2216)</f>
        <v/>
      </c>
      <c r="I2216" s="3">
        <f>IF(ORIG!I2216=0,"",ORIG!I2216)</f>
        <v/>
      </c>
      <c r="J2216" s="3">
        <f>IF(ORIG!J2216=0,"",ORIG!J2216)</f>
        <v/>
      </c>
      <c r="K2216" s="3">
        <f>IF(ORIG!K2216=0,"",ORIG!K2216)</f>
        <v/>
      </c>
      <c r="L2216" s="3">
        <f>IF(ORIG!L2216=0,"",ORIG!L2216)</f>
        <v/>
      </c>
      <c r="M2216" s="3">
        <f>IF(ORIG!M2216=0,"",ORIG!M2216)</f>
        <v/>
      </c>
      <c r="N2216" s="3">
        <f>IF(ORIG!N2216=0,"",ORIG!N2216)</f>
        <v/>
      </c>
      <c r="O2216" s="3">
        <f>IF(ORIG!O2216=0,"",ORIG!O2216)</f>
        <v/>
      </c>
      <c r="P2216" s="3">
        <f>IF(ORIG!P2216=0,"",ORIG!P2216)</f>
        <v/>
      </c>
      <c r="Q2216" s="3">
        <f>IF(ORIG!Q2216=0,"",ORIG!Q2216)</f>
        <v/>
      </c>
      <c r="R2216" s="3">
        <f>IF(ORIG!R2216=0,"",ORIG!R2216)</f>
        <v/>
      </c>
      <c r="S2216" s="3">
        <f>IF(ORIG!S2216=0,"",ORIG!S2216)</f>
        <v/>
      </c>
      <c r="T2216" s="3">
        <f>IF(ORIG!T2216=0,"",ORIG!T2216)</f>
        <v/>
      </c>
      <c r="U2216" s="3">
        <f>IF(ORIG!U2216=0,"",ORIG!U2216)</f>
        <v/>
      </c>
      <c r="V2216" s="9">
        <f>IF(ORIG!V2216=0,"",ORIG!V2216)</f>
        <v/>
      </c>
      <c r="W2216" s="9">
        <f>IF(ORIG!W2216=0,"",ORIG!W2216)</f>
        <v/>
      </c>
      <c r="X2216" s="9">
        <f>IF(ORIG!X2216=0,"",ORIG!X2216)</f>
        <v/>
      </c>
      <c r="Y2216" s="9">
        <f>IF(ORIG!Y2216=0,"",ORIG!Y2216)</f>
        <v/>
      </c>
      <c r="Z2216" s="3">
        <f>SUMPRODUCT($B2216:$Y2216,$B$2649:$Y$2649)</f>
        <v/>
      </c>
      <c r="AA2216" s="3">
        <f>SUMPRODUCT($B2216:$Y2216,$B$2655:$Y$2655)</f>
        <v/>
      </c>
      <c r="AC2216" s="1">
        <f>A2216</f>
        <v/>
      </c>
      <c r="AD2216">
        <f>IF(ISNUMBER(V2216),V2216*($AB$1/V$2635),"")</f>
        <v/>
      </c>
      <c r="AE2216">
        <f>IF(ISNUMBER(Z2216),Z2216*($AB$1/Z$2635),"")</f>
        <v/>
      </c>
      <c r="AF2216" s="25">
        <f>IF(ISNUMBER(AD2216+AE2216),AD2216+AE2216,"")</f>
        <v/>
      </c>
      <c r="AH2216" s="1">
        <f>A2216</f>
        <v/>
      </c>
      <c r="AI2216">
        <f>IF(ISNUMBER((1+V2216)*AI2215),(1+V2216)*AI2215,AI2215)</f>
        <v/>
      </c>
      <c r="AJ2216">
        <f>IF(ISNUMBER((1+Z2216)*AJ2215),(1+Z2216)*AJ2215,AJ2215)</f>
        <v/>
      </c>
    </row>
    <row r="2217">
      <c r="A2217" s="1" t="n">
        <v>45218</v>
      </c>
      <c r="B2217" s="3">
        <f>IF(ORIG!B2217=0,"",ORIG!B2217)</f>
        <v/>
      </c>
      <c r="C2217" s="3">
        <f>IF(ORIG!C2217=0,"",ORIG!C2217)</f>
        <v/>
      </c>
      <c r="D2217" s="3">
        <f>IF(ORIG!D2217=0,"",ORIG!D2217)</f>
        <v/>
      </c>
      <c r="E2217" s="3">
        <f>IF(ORIG!E2217=0,"",ORIG!E2217)</f>
        <v/>
      </c>
      <c r="F2217" s="3">
        <f>IF(ORIG!F2217=0,"",ORIG!F2217)</f>
        <v/>
      </c>
      <c r="G2217" s="3">
        <f>IF(ORIG!G2217=0,"",ORIG!G2217)</f>
        <v/>
      </c>
      <c r="H2217" s="3">
        <f>IF(ORIG!H2217=0,"",ORIG!H2217)</f>
        <v/>
      </c>
      <c r="I2217" s="3">
        <f>IF(ORIG!I2217=0,"",ORIG!I2217)</f>
        <v/>
      </c>
      <c r="J2217" s="3">
        <f>IF(ORIG!J2217=0,"",ORIG!J2217)</f>
        <v/>
      </c>
      <c r="K2217" s="3">
        <f>IF(ORIG!K2217=0,"",ORIG!K2217)</f>
        <v/>
      </c>
      <c r="L2217" s="3">
        <f>IF(ORIG!L2217=0,"",ORIG!L2217)</f>
        <v/>
      </c>
      <c r="M2217" s="3">
        <f>IF(ORIG!M2217=0,"",ORIG!M2217)</f>
        <v/>
      </c>
      <c r="N2217" s="3">
        <f>IF(ORIG!N2217=0,"",ORIG!N2217)</f>
        <v/>
      </c>
      <c r="O2217" s="3">
        <f>IF(ORIG!O2217=0,"",ORIG!O2217)</f>
        <v/>
      </c>
      <c r="P2217" s="3">
        <f>IF(ORIG!P2217=0,"",ORIG!P2217)</f>
        <v/>
      </c>
      <c r="Q2217" s="3">
        <f>IF(ORIG!Q2217=0,"",ORIG!Q2217)</f>
        <v/>
      </c>
      <c r="R2217" s="3">
        <f>IF(ORIG!R2217=0,"",ORIG!R2217)</f>
        <v/>
      </c>
      <c r="S2217" s="3">
        <f>IF(ORIG!S2217=0,"",ORIG!S2217)</f>
        <v/>
      </c>
      <c r="T2217" s="3">
        <f>IF(ORIG!T2217=0,"",ORIG!T2217)</f>
        <v/>
      </c>
      <c r="U2217" s="3">
        <f>IF(ORIG!U2217=0,"",ORIG!U2217)</f>
        <v/>
      </c>
      <c r="V2217" s="9">
        <f>IF(ORIG!V2217=0,"",ORIG!V2217)</f>
        <v/>
      </c>
      <c r="W2217" s="9">
        <f>IF(ORIG!W2217=0,"",ORIG!W2217)</f>
        <v/>
      </c>
      <c r="X2217" s="9">
        <f>IF(ORIG!X2217=0,"",ORIG!X2217)</f>
        <v/>
      </c>
      <c r="Y2217" s="9">
        <f>IF(ORIG!Y2217=0,"",ORIG!Y2217)</f>
        <v/>
      </c>
      <c r="Z2217" s="3">
        <f>SUMPRODUCT($B2217:$Y2217,$B$2649:$Y$2649)</f>
        <v/>
      </c>
      <c r="AA2217" s="3">
        <f>SUMPRODUCT($B2217:$Y2217,$B$2655:$Y$2655)</f>
        <v/>
      </c>
      <c r="AC2217" s="1">
        <f>A2217</f>
        <v/>
      </c>
      <c r="AD2217">
        <f>IF(ISNUMBER(V2217),V2217*($AB$1/V$2635),"")</f>
        <v/>
      </c>
      <c r="AE2217">
        <f>IF(ISNUMBER(Z2217),Z2217*($AB$1/Z$2635),"")</f>
        <v/>
      </c>
      <c r="AF2217" s="25">
        <f>IF(ISNUMBER(AD2217+AE2217),AD2217+AE2217,"")</f>
        <v/>
      </c>
      <c r="AH2217" s="1">
        <f>A2217</f>
        <v/>
      </c>
      <c r="AI2217">
        <f>IF(ISNUMBER((1+V2217)*AI2216),(1+V2217)*AI2216,AI2216)</f>
        <v/>
      </c>
      <c r="AJ2217">
        <f>IF(ISNUMBER((1+Z2217)*AJ2216),(1+Z2217)*AJ2216,AJ2216)</f>
        <v/>
      </c>
    </row>
    <row r="2218">
      <c r="A2218" s="1" t="n">
        <v>45219</v>
      </c>
      <c r="B2218" s="3">
        <f>IF(ORIG!B2218=0,"",ORIG!B2218)</f>
        <v/>
      </c>
      <c r="C2218" s="3">
        <f>IF(ORIG!C2218=0,"",ORIG!C2218)</f>
        <v/>
      </c>
      <c r="D2218" s="3">
        <f>IF(ORIG!D2218=0,"",ORIG!D2218)</f>
        <v/>
      </c>
      <c r="E2218" s="3">
        <f>IF(ORIG!E2218=0,"",ORIG!E2218)</f>
        <v/>
      </c>
      <c r="F2218" s="3">
        <f>IF(ORIG!F2218=0,"",ORIG!F2218)</f>
        <v/>
      </c>
      <c r="G2218" s="3">
        <f>IF(ORIG!G2218=0,"",ORIG!G2218)</f>
        <v/>
      </c>
      <c r="H2218" s="3">
        <f>IF(ORIG!H2218=0,"",ORIG!H2218)</f>
        <v/>
      </c>
      <c r="I2218" s="3">
        <f>IF(ORIG!I2218=0,"",ORIG!I2218)</f>
        <v/>
      </c>
      <c r="J2218" s="3">
        <f>IF(ORIG!J2218=0,"",ORIG!J2218)</f>
        <v/>
      </c>
      <c r="K2218" s="3">
        <f>IF(ORIG!K2218=0,"",ORIG!K2218)</f>
        <v/>
      </c>
      <c r="L2218" s="3">
        <f>IF(ORIG!L2218=0,"",ORIG!L2218)</f>
        <v/>
      </c>
      <c r="M2218" s="3">
        <f>IF(ORIG!M2218=0,"",ORIG!M2218)</f>
        <v/>
      </c>
      <c r="N2218" s="3">
        <f>IF(ORIG!N2218=0,"",ORIG!N2218)</f>
        <v/>
      </c>
      <c r="O2218" s="3">
        <f>IF(ORIG!O2218=0,"",ORIG!O2218)</f>
        <v/>
      </c>
      <c r="P2218" s="3">
        <f>IF(ORIG!P2218=0,"",ORIG!P2218)</f>
        <v/>
      </c>
      <c r="Q2218" s="3">
        <f>IF(ORIG!Q2218=0,"",ORIG!Q2218)</f>
        <v/>
      </c>
      <c r="R2218" s="3">
        <f>IF(ORIG!R2218=0,"",ORIG!R2218)</f>
        <v/>
      </c>
      <c r="S2218" s="3">
        <f>IF(ORIG!S2218=0,"",ORIG!S2218)</f>
        <v/>
      </c>
      <c r="T2218" s="3">
        <f>IF(ORIG!T2218=0,"",ORIG!T2218)</f>
        <v/>
      </c>
      <c r="U2218" s="3">
        <f>IF(ORIG!U2218=0,"",ORIG!U2218)</f>
        <v/>
      </c>
      <c r="V2218" s="9">
        <f>IF(ORIG!V2218=0,"",ORIG!V2218)</f>
        <v/>
      </c>
      <c r="W2218" s="9">
        <f>IF(ORIG!W2218=0,"",ORIG!W2218)</f>
        <v/>
      </c>
      <c r="X2218" s="9">
        <f>IF(ORIG!X2218=0,"",ORIG!X2218)</f>
        <v/>
      </c>
      <c r="Y2218" s="9">
        <f>IF(ORIG!Y2218=0,"",ORIG!Y2218)</f>
        <v/>
      </c>
      <c r="Z2218" s="3">
        <f>SUMPRODUCT($B2218:$Y2218,$B$2649:$Y$2649)</f>
        <v/>
      </c>
      <c r="AA2218" s="3">
        <f>SUMPRODUCT($B2218:$Y2218,$B$2655:$Y$2655)</f>
        <v/>
      </c>
      <c r="AC2218" s="1">
        <f>A2218</f>
        <v/>
      </c>
      <c r="AD2218">
        <f>IF(ISNUMBER(V2218),V2218*($AB$1/V$2635),"")</f>
        <v/>
      </c>
      <c r="AE2218">
        <f>IF(ISNUMBER(Z2218),Z2218*($AB$1/Z$2635),"")</f>
        <v/>
      </c>
      <c r="AF2218" s="25">
        <f>IF(ISNUMBER(AD2218+AE2218),AD2218+AE2218,"")</f>
        <v/>
      </c>
      <c r="AH2218" s="1">
        <f>A2218</f>
        <v/>
      </c>
      <c r="AI2218">
        <f>IF(ISNUMBER((1+V2218)*AI2217),(1+V2218)*AI2217,AI2217)</f>
        <v/>
      </c>
      <c r="AJ2218">
        <f>IF(ISNUMBER((1+Z2218)*AJ2217),(1+Z2218)*AJ2217,AJ2217)</f>
        <v/>
      </c>
    </row>
    <row r="2219">
      <c r="A2219" s="1" t="n">
        <v>45222</v>
      </c>
      <c r="B2219" s="3">
        <f>IF(ORIG!B2219=0,"",ORIG!B2219)</f>
        <v/>
      </c>
      <c r="C2219" s="3">
        <f>IF(ORIG!C2219=0,"",ORIG!C2219)</f>
        <v/>
      </c>
      <c r="D2219" s="3">
        <f>IF(ORIG!D2219=0,"",ORIG!D2219)</f>
        <v/>
      </c>
      <c r="E2219" s="3">
        <f>IF(ORIG!E2219=0,"",ORIG!E2219)</f>
        <v/>
      </c>
      <c r="F2219" s="3">
        <f>IF(ORIG!F2219=0,"",ORIG!F2219)</f>
        <v/>
      </c>
      <c r="G2219" s="3">
        <f>IF(ORIG!G2219=0,"",ORIG!G2219)</f>
        <v/>
      </c>
      <c r="H2219" s="3">
        <f>IF(ORIG!H2219=0,"",ORIG!H2219)</f>
        <v/>
      </c>
      <c r="I2219" s="3">
        <f>IF(ORIG!I2219=0,"",ORIG!I2219)</f>
        <v/>
      </c>
      <c r="J2219" s="3">
        <f>IF(ORIG!J2219=0,"",ORIG!J2219)</f>
        <v/>
      </c>
      <c r="K2219" s="3">
        <f>IF(ORIG!K2219=0,"",ORIG!K2219)</f>
        <v/>
      </c>
      <c r="L2219" s="3">
        <f>IF(ORIG!L2219=0,"",ORIG!L2219)</f>
        <v/>
      </c>
      <c r="M2219" s="3">
        <f>IF(ORIG!M2219=0,"",ORIG!M2219)</f>
        <v/>
      </c>
      <c r="N2219" s="3">
        <f>IF(ORIG!N2219=0,"",ORIG!N2219)</f>
        <v/>
      </c>
      <c r="O2219" s="3">
        <f>IF(ORIG!O2219=0,"",ORIG!O2219)</f>
        <v/>
      </c>
      <c r="P2219" s="3">
        <f>IF(ORIG!P2219=0,"",ORIG!P2219)</f>
        <v/>
      </c>
      <c r="Q2219" s="3">
        <f>IF(ORIG!Q2219=0,"",ORIG!Q2219)</f>
        <v/>
      </c>
      <c r="R2219" s="3">
        <f>IF(ORIG!R2219=0,"",ORIG!R2219)</f>
        <v/>
      </c>
      <c r="S2219" s="3">
        <f>IF(ORIG!S2219=0,"",ORIG!S2219)</f>
        <v/>
      </c>
      <c r="T2219" s="3">
        <f>IF(ORIG!T2219=0,"",ORIG!T2219)</f>
        <v/>
      </c>
      <c r="U2219" s="3">
        <f>IF(ORIG!U2219=0,"",ORIG!U2219)</f>
        <v/>
      </c>
      <c r="V2219" s="9">
        <f>IF(ORIG!V2219=0,"",ORIG!V2219)</f>
        <v/>
      </c>
      <c r="W2219" s="9">
        <f>IF(ORIG!W2219=0,"",ORIG!W2219)</f>
        <v/>
      </c>
      <c r="X2219" s="9">
        <f>IF(ORIG!X2219=0,"",ORIG!X2219)</f>
        <v/>
      </c>
      <c r="Y2219" s="9">
        <f>IF(ORIG!Y2219=0,"",ORIG!Y2219)</f>
        <v/>
      </c>
      <c r="Z2219" s="3">
        <f>SUMPRODUCT($B2219:$Y2219,$B$2649:$Y$2649)</f>
        <v/>
      </c>
      <c r="AA2219" s="3">
        <f>SUMPRODUCT($B2219:$Y2219,$B$2655:$Y$2655)</f>
        <v/>
      </c>
      <c r="AC2219" s="1">
        <f>A2219</f>
        <v/>
      </c>
      <c r="AD2219">
        <f>IF(ISNUMBER(V2219),V2219*($AB$1/V$2635),"")</f>
        <v/>
      </c>
      <c r="AE2219">
        <f>IF(ISNUMBER(Z2219),Z2219*($AB$1/Z$2635),"")</f>
        <v/>
      </c>
      <c r="AF2219" s="25">
        <f>IF(ISNUMBER(AD2219+AE2219),AD2219+AE2219,"")</f>
        <v/>
      </c>
      <c r="AH2219" s="1">
        <f>A2219</f>
        <v/>
      </c>
      <c r="AI2219">
        <f>IF(ISNUMBER((1+V2219)*AI2218),(1+V2219)*AI2218,AI2218)</f>
        <v/>
      </c>
      <c r="AJ2219">
        <f>IF(ISNUMBER((1+Z2219)*AJ2218),(1+Z2219)*AJ2218,AJ2218)</f>
        <v/>
      </c>
    </row>
    <row r="2220">
      <c r="A2220" s="1" t="n">
        <v>45223</v>
      </c>
      <c r="B2220" s="3">
        <f>IF(ORIG!B2220=0,"",ORIG!B2220)</f>
        <v/>
      </c>
      <c r="C2220" s="3">
        <f>IF(ORIG!C2220=0,"",ORIG!C2220)</f>
        <v/>
      </c>
      <c r="D2220" s="3">
        <f>IF(ORIG!D2220=0,"",ORIG!D2220)</f>
        <v/>
      </c>
      <c r="E2220" s="3">
        <f>IF(ORIG!E2220=0,"",ORIG!E2220)</f>
        <v/>
      </c>
      <c r="F2220" s="3">
        <f>IF(ORIG!F2220=0,"",ORIG!F2220)</f>
        <v/>
      </c>
      <c r="G2220" s="3">
        <f>IF(ORIG!G2220=0,"",ORIG!G2220)</f>
        <v/>
      </c>
      <c r="H2220" s="3">
        <f>IF(ORIG!H2220=0,"",ORIG!H2220)</f>
        <v/>
      </c>
      <c r="I2220" s="3">
        <f>IF(ORIG!I2220=0,"",ORIG!I2220)</f>
        <v/>
      </c>
      <c r="J2220" s="3">
        <f>IF(ORIG!J2220=0,"",ORIG!J2220)</f>
        <v/>
      </c>
      <c r="K2220" s="3">
        <f>IF(ORIG!K2220=0,"",ORIG!K2220)</f>
        <v/>
      </c>
      <c r="L2220" s="3">
        <f>IF(ORIG!L2220=0,"",ORIG!L2220)</f>
        <v/>
      </c>
      <c r="M2220" s="3">
        <f>IF(ORIG!M2220=0,"",ORIG!M2220)</f>
        <v/>
      </c>
      <c r="N2220" s="3">
        <f>IF(ORIG!N2220=0,"",ORIG!N2220)</f>
        <v/>
      </c>
      <c r="O2220" s="3">
        <f>IF(ORIG!O2220=0,"",ORIG!O2220)</f>
        <v/>
      </c>
      <c r="P2220" s="3">
        <f>IF(ORIG!P2220=0,"",ORIG!P2220)</f>
        <v/>
      </c>
      <c r="Q2220" s="3">
        <f>IF(ORIG!Q2220=0,"",ORIG!Q2220)</f>
        <v/>
      </c>
      <c r="R2220" s="3">
        <f>IF(ORIG!R2220=0,"",ORIG!R2220)</f>
        <v/>
      </c>
      <c r="S2220" s="3">
        <f>IF(ORIG!S2220=0,"",ORIG!S2220)</f>
        <v/>
      </c>
      <c r="T2220" s="3">
        <f>IF(ORIG!T2220=0,"",ORIG!T2220)</f>
        <v/>
      </c>
      <c r="U2220" s="3">
        <f>IF(ORIG!U2220=0,"",ORIG!U2220)</f>
        <v/>
      </c>
      <c r="V2220" s="9">
        <f>IF(ORIG!V2220=0,"",ORIG!V2220)</f>
        <v/>
      </c>
      <c r="W2220" s="9">
        <f>IF(ORIG!W2220=0,"",ORIG!W2220)</f>
        <v/>
      </c>
      <c r="X2220" s="9">
        <f>IF(ORIG!X2220=0,"",ORIG!X2220)</f>
        <v/>
      </c>
      <c r="Y2220" s="9">
        <f>IF(ORIG!Y2220=0,"",ORIG!Y2220)</f>
        <v/>
      </c>
      <c r="Z2220" s="3">
        <f>SUMPRODUCT($B2220:$Y2220,$B$2649:$Y$2649)</f>
        <v/>
      </c>
      <c r="AA2220" s="3">
        <f>SUMPRODUCT($B2220:$Y2220,$B$2655:$Y$2655)</f>
        <v/>
      </c>
      <c r="AC2220" s="1">
        <f>A2220</f>
        <v/>
      </c>
      <c r="AD2220">
        <f>IF(ISNUMBER(V2220),V2220*($AB$1/V$2635),"")</f>
        <v/>
      </c>
      <c r="AE2220">
        <f>IF(ISNUMBER(Z2220),Z2220*($AB$1/Z$2635),"")</f>
        <v/>
      </c>
      <c r="AF2220" s="25">
        <f>IF(ISNUMBER(AD2220+AE2220),AD2220+AE2220,"")</f>
        <v/>
      </c>
      <c r="AH2220" s="1">
        <f>A2220</f>
        <v/>
      </c>
      <c r="AI2220">
        <f>IF(ISNUMBER((1+V2220)*AI2219),(1+V2220)*AI2219,AI2219)</f>
        <v/>
      </c>
      <c r="AJ2220">
        <f>IF(ISNUMBER((1+Z2220)*AJ2219),(1+Z2220)*AJ2219,AJ2219)</f>
        <v/>
      </c>
    </row>
    <row r="2221">
      <c r="A2221" s="1" t="n">
        <v>45224</v>
      </c>
      <c r="B2221" s="3">
        <f>IF(ORIG!B2221=0,"",ORIG!B2221)</f>
        <v/>
      </c>
      <c r="C2221" s="3">
        <f>IF(ORIG!C2221=0,"",ORIG!C2221)</f>
        <v/>
      </c>
      <c r="D2221" s="3">
        <f>IF(ORIG!D2221=0,"",ORIG!D2221)</f>
        <v/>
      </c>
      <c r="E2221" s="3">
        <f>IF(ORIG!E2221=0,"",ORIG!E2221)</f>
        <v/>
      </c>
      <c r="F2221" s="3">
        <f>IF(ORIG!F2221=0,"",ORIG!F2221)</f>
        <v/>
      </c>
      <c r="G2221" s="3">
        <f>IF(ORIG!G2221=0,"",ORIG!G2221)</f>
        <v/>
      </c>
      <c r="H2221" s="3">
        <f>IF(ORIG!H2221=0,"",ORIG!H2221)</f>
        <v/>
      </c>
      <c r="I2221" s="3">
        <f>IF(ORIG!I2221=0,"",ORIG!I2221)</f>
        <v/>
      </c>
      <c r="J2221" s="3">
        <f>IF(ORIG!J2221=0,"",ORIG!J2221)</f>
        <v/>
      </c>
      <c r="K2221" s="3">
        <f>IF(ORIG!K2221=0,"",ORIG!K2221)</f>
        <v/>
      </c>
      <c r="L2221" s="3">
        <f>IF(ORIG!L2221=0,"",ORIG!L2221)</f>
        <v/>
      </c>
      <c r="M2221" s="3">
        <f>IF(ORIG!M2221=0,"",ORIG!M2221)</f>
        <v/>
      </c>
      <c r="N2221" s="3">
        <f>IF(ORIG!N2221=0,"",ORIG!N2221)</f>
        <v/>
      </c>
      <c r="O2221" s="3">
        <f>IF(ORIG!O2221=0,"",ORIG!O2221)</f>
        <v/>
      </c>
      <c r="P2221" s="3">
        <f>IF(ORIG!P2221=0,"",ORIG!P2221)</f>
        <v/>
      </c>
      <c r="Q2221" s="3">
        <f>IF(ORIG!Q2221=0,"",ORIG!Q2221)</f>
        <v/>
      </c>
      <c r="R2221" s="3">
        <f>IF(ORIG!R2221=0,"",ORIG!R2221)</f>
        <v/>
      </c>
      <c r="S2221" s="3">
        <f>IF(ORIG!S2221=0,"",ORIG!S2221)</f>
        <v/>
      </c>
      <c r="T2221" s="3">
        <f>IF(ORIG!T2221=0,"",ORIG!T2221)</f>
        <v/>
      </c>
      <c r="U2221" s="3">
        <f>IF(ORIG!U2221=0,"",ORIG!U2221)</f>
        <v/>
      </c>
      <c r="V2221" s="9">
        <f>IF(ORIG!V2221=0,"",ORIG!V2221)</f>
        <v/>
      </c>
      <c r="W2221" s="9">
        <f>IF(ORIG!W2221=0,"",ORIG!W2221)</f>
        <v/>
      </c>
      <c r="X2221" s="9">
        <f>IF(ORIG!X2221=0,"",ORIG!X2221)</f>
        <v/>
      </c>
      <c r="Y2221" s="9">
        <f>IF(ORIG!Y2221=0,"",ORIG!Y2221)</f>
        <v/>
      </c>
      <c r="Z2221" s="3">
        <f>SUMPRODUCT($B2221:$Y2221,$B$2649:$Y$2649)</f>
        <v/>
      </c>
      <c r="AA2221" s="3">
        <f>SUMPRODUCT($B2221:$Y2221,$B$2655:$Y$2655)</f>
        <v/>
      </c>
      <c r="AC2221" s="1">
        <f>A2221</f>
        <v/>
      </c>
      <c r="AD2221">
        <f>IF(ISNUMBER(V2221),V2221*($AB$1/V$2635),"")</f>
        <v/>
      </c>
      <c r="AE2221">
        <f>IF(ISNUMBER(Z2221),Z2221*($AB$1/Z$2635),"")</f>
        <v/>
      </c>
      <c r="AF2221" s="25">
        <f>IF(ISNUMBER(AD2221+AE2221),AD2221+AE2221,"")</f>
        <v/>
      </c>
      <c r="AH2221" s="1">
        <f>A2221</f>
        <v/>
      </c>
      <c r="AI2221">
        <f>IF(ISNUMBER((1+V2221)*AI2220),(1+V2221)*AI2220,AI2220)</f>
        <v/>
      </c>
      <c r="AJ2221">
        <f>IF(ISNUMBER((1+Z2221)*AJ2220),(1+Z2221)*AJ2220,AJ2220)</f>
        <v/>
      </c>
    </row>
    <row r="2222">
      <c r="A2222" s="1" t="n">
        <v>45225</v>
      </c>
      <c r="B2222" s="3">
        <f>IF(ORIG!B2222=0,"",ORIG!B2222)</f>
        <v/>
      </c>
      <c r="C2222" s="3">
        <f>IF(ORIG!C2222=0,"",ORIG!C2222)</f>
        <v/>
      </c>
      <c r="D2222" s="3">
        <f>IF(ORIG!D2222=0,"",ORIG!D2222)</f>
        <v/>
      </c>
      <c r="E2222" s="3">
        <f>IF(ORIG!E2222=0,"",ORIG!E2222)</f>
        <v/>
      </c>
      <c r="F2222" s="3">
        <f>IF(ORIG!F2222=0,"",ORIG!F2222)</f>
        <v/>
      </c>
      <c r="G2222" s="3">
        <f>IF(ORIG!G2222=0,"",ORIG!G2222)</f>
        <v/>
      </c>
      <c r="H2222" s="3">
        <f>IF(ORIG!H2222=0,"",ORIG!H2222)</f>
        <v/>
      </c>
      <c r="I2222" s="3">
        <f>IF(ORIG!I2222=0,"",ORIG!I2222)</f>
        <v/>
      </c>
      <c r="J2222" s="3">
        <f>IF(ORIG!J2222=0,"",ORIG!J2222)</f>
        <v/>
      </c>
      <c r="K2222" s="3">
        <f>IF(ORIG!K2222=0,"",ORIG!K2222)</f>
        <v/>
      </c>
      <c r="L2222" s="3">
        <f>IF(ORIG!L2222=0,"",ORIG!L2222)</f>
        <v/>
      </c>
      <c r="M2222" s="3">
        <f>IF(ORIG!M2222=0,"",ORIG!M2222)</f>
        <v/>
      </c>
      <c r="N2222" s="3">
        <f>IF(ORIG!N2222=0,"",ORIG!N2222)</f>
        <v/>
      </c>
      <c r="O2222" s="3">
        <f>IF(ORIG!O2222=0,"",ORIG!O2222)</f>
        <v/>
      </c>
      <c r="P2222" s="3">
        <f>IF(ORIG!P2222=0,"",ORIG!P2222)</f>
        <v/>
      </c>
      <c r="Q2222" s="3">
        <f>IF(ORIG!Q2222=0,"",ORIG!Q2222)</f>
        <v/>
      </c>
      <c r="R2222" s="3">
        <f>IF(ORIG!R2222=0,"",ORIG!R2222)</f>
        <v/>
      </c>
      <c r="S2222" s="3">
        <f>IF(ORIG!S2222=0,"",ORIG!S2222)</f>
        <v/>
      </c>
      <c r="T2222" s="3">
        <f>IF(ORIG!T2222=0,"",ORIG!T2222)</f>
        <v/>
      </c>
      <c r="U2222" s="3">
        <f>IF(ORIG!U2222=0,"",ORIG!U2222)</f>
        <v/>
      </c>
      <c r="V2222" s="9">
        <f>IF(ORIG!V2222=0,"",ORIG!V2222)</f>
        <v/>
      </c>
      <c r="W2222" s="9">
        <f>IF(ORIG!W2222=0,"",ORIG!W2222)</f>
        <v/>
      </c>
      <c r="X2222" s="9">
        <f>IF(ORIG!X2222=0,"",ORIG!X2222)</f>
        <v/>
      </c>
      <c r="Y2222" s="9">
        <f>IF(ORIG!Y2222=0,"",ORIG!Y2222)</f>
        <v/>
      </c>
      <c r="Z2222" s="3">
        <f>SUMPRODUCT($B2222:$Y2222,$B$2649:$Y$2649)</f>
        <v/>
      </c>
      <c r="AA2222" s="3">
        <f>SUMPRODUCT($B2222:$Y2222,$B$2655:$Y$2655)</f>
        <v/>
      </c>
      <c r="AC2222" s="1">
        <f>A2222</f>
        <v/>
      </c>
      <c r="AD2222">
        <f>IF(ISNUMBER(V2222),V2222*($AB$1/V$2635),"")</f>
        <v/>
      </c>
      <c r="AE2222">
        <f>IF(ISNUMBER(Z2222),Z2222*($AB$1/Z$2635),"")</f>
        <v/>
      </c>
      <c r="AF2222" s="25">
        <f>IF(ISNUMBER(AD2222+AE2222),AD2222+AE2222,"")</f>
        <v/>
      </c>
      <c r="AH2222" s="1">
        <f>A2222</f>
        <v/>
      </c>
      <c r="AI2222">
        <f>IF(ISNUMBER((1+V2222)*AI2221),(1+V2222)*AI2221,AI2221)</f>
        <v/>
      </c>
      <c r="AJ2222">
        <f>IF(ISNUMBER((1+Z2222)*AJ2221),(1+Z2222)*AJ2221,AJ2221)</f>
        <v/>
      </c>
    </row>
    <row r="2223">
      <c r="A2223" s="1" t="n">
        <v>45226</v>
      </c>
      <c r="B2223" s="3">
        <f>IF(ORIG!B2223=0,"",ORIG!B2223)</f>
        <v/>
      </c>
      <c r="C2223" s="3">
        <f>IF(ORIG!C2223=0,"",ORIG!C2223)</f>
        <v/>
      </c>
      <c r="D2223" s="3">
        <f>IF(ORIG!D2223=0,"",ORIG!D2223)</f>
        <v/>
      </c>
      <c r="E2223" s="3">
        <f>IF(ORIG!E2223=0,"",ORIG!E2223)</f>
        <v/>
      </c>
      <c r="F2223" s="3">
        <f>IF(ORIG!F2223=0,"",ORIG!F2223)</f>
        <v/>
      </c>
      <c r="G2223" s="3">
        <f>IF(ORIG!G2223=0,"",ORIG!G2223)</f>
        <v/>
      </c>
      <c r="H2223" s="3">
        <f>IF(ORIG!H2223=0,"",ORIG!H2223)</f>
        <v/>
      </c>
      <c r="I2223" s="3">
        <f>IF(ORIG!I2223=0,"",ORIG!I2223)</f>
        <v/>
      </c>
      <c r="J2223" s="3">
        <f>IF(ORIG!J2223=0,"",ORIG!J2223)</f>
        <v/>
      </c>
      <c r="K2223" s="3">
        <f>IF(ORIG!K2223=0,"",ORIG!K2223)</f>
        <v/>
      </c>
      <c r="L2223" s="3">
        <f>IF(ORIG!L2223=0,"",ORIG!L2223)</f>
        <v/>
      </c>
      <c r="M2223" s="3">
        <f>IF(ORIG!M2223=0,"",ORIG!M2223)</f>
        <v/>
      </c>
      <c r="N2223" s="3">
        <f>IF(ORIG!N2223=0,"",ORIG!N2223)</f>
        <v/>
      </c>
      <c r="O2223" s="3">
        <f>IF(ORIG!O2223=0,"",ORIG!O2223)</f>
        <v/>
      </c>
      <c r="P2223" s="3">
        <f>IF(ORIG!P2223=0,"",ORIG!P2223)</f>
        <v/>
      </c>
      <c r="Q2223" s="3">
        <f>IF(ORIG!Q2223=0,"",ORIG!Q2223)</f>
        <v/>
      </c>
      <c r="R2223" s="3">
        <f>IF(ORIG!R2223=0,"",ORIG!R2223)</f>
        <v/>
      </c>
      <c r="S2223" s="3">
        <f>IF(ORIG!S2223=0,"",ORIG!S2223)</f>
        <v/>
      </c>
      <c r="T2223" s="3">
        <f>IF(ORIG!T2223=0,"",ORIG!T2223)</f>
        <v/>
      </c>
      <c r="U2223" s="3">
        <f>IF(ORIG!U2223=0,"",ORIG!U2223)</f>
        <v/>
      </c>
      <c r="V2223" s="9">
        <f>IF(ORIG!V2223=0,"",ORIG!V2223)</f>
        <v/>
      </c>
      <c r="W2223" s="9">
        <f>IF(ORIG!W2223=0,"",ORIG!W2223)</f>
        <v/>
      </c>
      <c r="X2223" s="9">
        <f>IF(ORIG!X2223=0,"",ORIG!X2223)</f>
        <v/>
      </c>
      <c r="Y2223" s="9">
        <f>IF(ORIG!Y2223=0,"",ORIG!Y2223)</f>
        <v/>
      </c>
      <c r="Z2223" s="3">
        <f>SUMPRODUCT($B2223:$Y2223,$B$2649:$Y$2649)</f>
        <v/>
      </c>
      <c r="AA2223" s="3">
        <f>SUMPRODUCT($B2223:$Y2223,$B$2655:$Y$2655)</f>
        <v/>
      </c>
      <c r="AC2223" s="1">
        <f>A2223</f>
        <v/>
      </c>
      <c r="AD2223">
        <f>IF(ISNUMBER(V2223),V2223*($AB$1/V$2635),"")</f>
        <v/>
      </c>
      <c r="AE2223">
        <f>IF(ISNUMBER(Z2223),Z2223*($AB$1/Z$2635),"")</f>
        <v/>
      </c>
      <c r="AF2223" s="25">
        <f>IF(ISNUMBER(AD2223+AE2223),AD2223+AE2223,"")</f>
        <v/>
      </c>
      <c r="AH2223" s="1">
        <f>A2223</f>
        <v/>
      </c>
      <c r="AI2223">
        <f>IF(ISNUMBER((1+V2223)*AI2222),(1+V2223)*AI2222,AI2222)</f>
        <v/>
      </c>
      <c r="AJ2223">
        <f>IF(ISNUMBER((1+Z2223)*AJ2222),(1+Z2223)*AJ2222,AJ2222)</f>
        <v/>
      </c>
    </row>
    <row r="2224">
      <c r="A2224" s="1" t="n">
        <v>45229</v>
      </c>
      <c r="B2224" s="3">
        <f>IF(ORIG!B2224=0,"",ORIG!B2224)</f>
        <v/>
      </c>
      <c r="C2224" s="3">
        <f>IF(ORIG!C2224=0,"",ORIG!C2224)</f>
        <v/>
      </c>
      <c r="D2224" s="3">
        <f>IF(ORIG!D2224=0,"",ORIG!D2224)</f>
        <v/>
      </c>
      <c r="E2224" s="3">
        <f>IF(ORIG!E2224=0,"",ORIG!E2224)</f>
        <v/>
      </c>
      <c r="F2224" s="3">
        <f>IF(ORIG!F2224=0,"",ORIG!F2224)</f>
        <v/>
      </c>
      <c r="G2224" s="3">
        <f>IF(ORIG!G2224=0,"",ORIG!G2224)</f>
        <v/>
      </c>
      <c r="H2224" s="3">
        <f>IF(ORIG!H2224=0,"",ORIG!H2224)</f>
        <v/>
      </c>
      <c r="I2224" s="3">
        <f>IF(ORIG!I2224=0,"",ORIG!I2224)</f>
        <v/>
      </c>
      <c r="J2224" s="3">
        <f>IF(ORIG!J2224=0,"",ORIG!J2224)</f>
        <v/>
      </c>
      <c r="K2224" s="3">
        <f>IF(ORIG!K2224=0,"",ORIG!K2224)</f>
        <v/>
      </c>
      <c r="L2224" s="3">
        <f>IF(ORIG!L2224=0,"",ORIG!L2224)</f>
        <v/>
      </c>
      <c r="M2224" s="3">
        <f>IF(ORIG!M2224=0,"",ORIG!M2224)</f>
        <v/>
      </c>
      <c r="N2224" s="3">
        <f>IF(ORIG!N2224=0,"",ORIG!N2224)</f>
        <v/>
      </c>
      <c r="O2224" s="3">
        <f>IF(ORIG!O2224=0,"",ORIG!O2224)</f>
        <v/>
      </c>
      <c r="P2224" s="3">
        <f>IF(ORIG!P2224=0,"",ORIG!P2224)</f>
        <v/>
      </c>
      <c r="Q2224" s="3">
        <f>IF(ORIG!Q2224=0,"",ORIG!Q2224)</f>
        <v/>
      </c>
      <c r="R2224" s="3">
        <f>IF(ORIG!R2224=0,"",ORIG!R2224)</f>
        <v/>
      </c>
      <c r="S2224" s="3">
        <f>IF(ORIG!S2224=0,"",ORIG!S2224)</f>
        <v/>
      </c>
      <c r="T2224" s="3">
        <f>IF(ORIG!T2224=0,"",ORIG!T2224)</f>
        <v/>
      </c>
      <c r="U2224" s="3">
        <f>IF(ORIG!U2224=0,"",ORIG!U2224)</f>
        <v/>
      </c>
      <c r="V2224" s="9">
        <f>IF(ORIG!V2224=0,"",ORIG!V2224)</f>
        <v/>
      </c>
      <c r="W2224" s="9">
        <f>IF(ORIG!W2224=0,"",ORIG!W2224)</f>
        <v/>
      </c>
      <c r="X2224" s="9">
        <f>IF(ORIG!X2224=0,"",ORIG!X2224)</f>
        <v/>
      </c>
      <c r="Y2224" s="9">
        <f>IF(ORIG!Y2224=0,"",ORIG!Y2224)</f>
        <v/>
      </c>
      <c r="Z2224" s="3">
        <f>SUMPRODUCT($B2224:$Y2224,$B$2649:$Y$2649)</f>
        <v/>
      </c>
      <c r="AA2224" s="3">
        <f>SUMPRODUCT($B2224:$Y2224,$B$2655:$Y$2655)</f>
        <v/>
      </c>
      <c r="AC2224" s="1">
        <f>A2224</f>
        <v/>
      </c>
      <c r="AD2224">
        <f>IF(ISNUMBER(V2224),V2224*($AB$1/V$2635),"")</f>
        <v/>
      </c>
      <c r="AE2224">
        <f>IF(ISNUMBER(Z2224),Z2224*($AB$1/Z$2635),"")</f>
        <v/>
      </c>
      <c r="AF2224" s="25">
        <f>IF(ISNUMBER(AD2224+AE2224),AD2224+AE2224,"")</f>
        <v/>
      </c>
      <c r="AH2224" s="1">
        <f>A2224</f>
        <v/>
      </c>
      <c r="AI2224">
        <f>IF(ISNUMBER((1+V2224)*AI2223),(1+V2224)*AI2223,AI2223)</f>
        <v/>
      </c>
      <c r="AJ2224">
        <f>IF(ISNUMBER((1+Z2224)*AJ2223),(1+Z2224)*AJ2223,AJ2223)</f>
        <v/>
      </c>
    </row>
    <row r="2225">
      <c r="A2225" s="1" t="n">
        <v>45230</v>
      </c>
      <c r="B2225" s="3">
        <f>IF(ORIG!B2225=0,"",ORIG!B2225)</f>
        <v/>
      </c>
      <c r="C2225" s="3">
        <f>IF(ORIG!C2225=0,"",ORIG!C2225)</f>
        <v/>
      </c>
      <c r="D2225" s="3">
        <f>IF(ORIG!D2225=0,"",ORIG!D2225)</f>
        <v/>
      </c>
      <c r="E2225" s="3">
        <f>IF(ORIG!E2225=0,"",ORIG!E2225)</f>
        <v/>
      </c>
      <c r="F2225" s="3">
        <f>IF(ORIG!F2225=0,"",ORIG!F2225)</f>
        <v/>
      </c>
      <c r="G2225" s="3">
        <f>IF(ORIG!G2225=0,"",ORIG!G2225)</f>
        <v/>
      </c>
      <c r="H2225" s="3">
        <f>IF(ORIG!H2225=0,"",ORIG!H2225)</f>
        <v/>
      </c>
      <c r="I2225" s="3">
        <f>IF(ORIG!I2225=0,"",ORIG!I2225)</f>
        <v/>
      </c>
      <c r="J2225" s="3">
        <f>IF(ORIG!J2225=0,"",ORIG!J2225)</f>
        <v/>
      </c>
      <c r="K2225" s="3">
        <f>IF(ORIG!K2225=0,"",ORIG!K2225)</f>
        <v/>
      </c>
      <c r="L2225" s="3">
        <f>IF(ORIG!L2225=0,"",ORIG!L2225)</f>
        <v/>
      </c>
      <c r="M2225" s="3">
        <f>IF(ORIG!M2225=0,"",ORIG!M2225)</f>
        <v/>
      </c>
      <c r="N2225" s="3">
        <f>IF(ORIG!N2225=0,"",ORIG!N2225)</f>
        <v/>
      </c>
      <c r="O2225" s="3">
        <f>IF(ORIG!O2225=0,"",ORIG!O2225)</f>
        <v/>
      </c>
      <c r="P2225" s="3">
        <f>IF(ORIG!P2225=0,"",ORIG!P2225)</f>
        <v/>
      </c>
      <c r="Q2225" s="3">
        <f>IF(ORIG!Q2225=0,"",ORIG!Q2225)</f>
        <v/>
      </c>
      <c r="R2225" s="3">
        <f>IF(ORIG!R2225=0,"",ORIG!R2225)</f>
        <v/>
      </c>
      <c r="S2225" s="3">
        <f>IF(ORIG!S2225=0,"",ORIG!S2225)</f>
        <v/>
      </c>
      <c r="T2225" s="3">
        <f>IF(ORIG!T2225=0,"",ORIG!T2225)</f>
        <v/>
      </c>
      <c r="U2225" s="3">
        <f>IF(ORIG!U2225=0,"",ORIG!U2225)</f>
        <v/>
      </c>
      <c r="V2225" s="9">
        <f>IF(ORIG!V2225=0,"",ORIG!V2225)</f>
        <v/>
      </c>
      <c r="W2225" s="9">
        <f>IF(ORIG!W2225=0,"",ORIG!W2225)</f>
        <v/>
      </c>
      <c r="X2225" s="9">
        <f>IF(ORIG!X2225=0,"",ORIG!X2225)</f>
        <v/>
      </c>
      <c r="Y2225" s="9">
        <f>IF(ORIG!Y2225=0,"",ORIG!Y2225)</f>
        <v/>
      </c>
      <c r="Z2225" s="3">
        <f>SUMPRODUCT($B2225:$Y2225,$B$2649:$Y$2649)</f>
        <v/>
      </c>
      <c r="AA2225" s="3">
        <f>SUMPRODUCT($B2225:$Y2225,$B$2655:$Y$2655)</f>
        <v/>
      </c>
      <c r="AC2225" s="1">
        <f>A2225</f>
        <v/>
      </c>
      <c r="AD2225">
        <f>IF(ISNUMBER(V2225),V2225*($AB$1/V$2635),"")</f>
        <v/>
      </c>
      <c r="AE2225">
        <f>IF(ISNUMBER(Z2225),Z2225*($AB$1/Z$2635),"")</f>
        <v/>
      </c>
      <c r="AF2225" s="25">
        <f>IF(ISNUMBER(AD2225+AE2225),AD2225+AE2225,"")</f>
        <v/>
      </c>
      <c r="AH2225" s="1">
        <f>A2225</f>
        <v/>
      </c>
      <c r="AI2225">
        <f>IF(ISNUMBER((1+V2225)*AI2224),(1+V2225)*AI2224,AI2224)</f>
        <v/>
      </c>
      <c r="AJ2225">
        <f>IF(ISNUMBER((1+Z2225)*AJ2224),(1+Z2225)*AJ2224,AJ2224)</f>
        <v/>
      </c>
    </row>
    <row r="2226">
      <c r="A2226" s="1" t="n">
        <v>45231</v>
      </c>
      <c r="B2226" s="3">
        <f>IF(ORIG!B2226=0,"",ORIG!B2226)</f>
        <v/>
      </c>
      <c r="C2226" s="3">
        <f>IF(ORIG!C2226=0,"",ORIG!C2226)</f>
        <v/>
      </c>
      <c r="D2226" s="3">
        <f>IF(ORIG!D2226=0,"",ORIG!D2226)</f>
        <v/>
      </c>
      <c r="E2226" s="3">
        <f>IF(ORIG!E2226=0,"",ORIG!E2226)</f>
        <v/>
      </c>
      <c r="F2226" s="3">
        <f>IF(ORIG!F2226=0,"",ORIG!F2226)</f>
        <v/>
      </c>
      <c r="G2226" s="3">
        <f>IF(ORIG!G2226=0,"",ORIG!G2226)</f>
        <v/>
      </c>
      <c r="H2226" s="3">
        <f>IF(ORIG!H2226=0,"",ORIG!H2226)</f>
        <v/>
      </c>
      <c r="I2226" s="3">
        <f>IF(ORIG!I2226=0,"",ORIG!I2226)</f>
        <v/>
      </c>
      <c r="J2226" s="3">
        <f>IF(ORIG!J2226=0,"",ORIG!J2226)</f>
        <v/>
      </c>
      <c r="K2226" s="3">
        <f>IF(ORIG!K2226=0,"",ORIG!K2226)</f>
        <v/>
      </c>
      <c r="L2226" s="3">
        <f>IF(ORIG!L2226=0,"",ORIG!L2226)</f>
        <v/>
      </c>
      <c r="M2226" s="3">
        <f>IF(ORIG!M2226=0,"",ORIG!M2226)</f>
        <v/>
      </c>
      <c r="N2226" s="3">
        <f>IF(ORIG!N2226=0,"",ORIG!N2226)</f>
        <v/>
      </c>
      <c r="O2226" s="3">
        <f>IF(ORIG!O2226=0,"",ORIG!O2226)</f>
        <v/>
      </c>
      <c r="P2226" s="3">
        <f>IF(ORIG!P2226=0,"",ORIG!P2226)</f>
        <v/>
      </c>
      <c r="Q2226" s="3">
        <f>IF(ORIG!Q2226=0,"",ORIG!Q2226)</f>
        <v/>
      </c>
      <c r="R2226" s="3">
        <f>IF(ORIG!R2226=0,"",ORIG!R2226)</f>
        <v/>
      </c>
      <c r="S2226" s="3">
        <f>IF(ORIG!S2226=0,"",ORIG!S2226)</f>
        <v/>
      </c>
      <c r="T2226" s="3">
        <f>IF(ORIG!T2226=0,"",ORIG!T2226)</f>
        <v/>
      </c>
      <c r="U2226" s="3">
        <f>IF(ORIG!U2226=0,"",ORIG!U2226)</f>
        <v/>
      </c>
      <c r="V2226" s="9">
        <f>IF(ORIG!V2226=0,"",ORIG!V2226)</f>
        <v/>
      </c>
      <c r="W2226" s="9">
        <f>IF(ORIG!W2226=0,"",ORIG!W2226)</f>
        <v/>
      </c>
      <c r="X2226" s="9">
        <f>IF(ORIG!X2226=0,"",ORIG!X2226)</f>
        <v/>
      </c>
      <c r="Y2226" s="9">
        <f>IF(ORIG!Y2226=0,"",ORIG!Y2226)</f>
        <v/>
      </c>
      <c r="Z2226" s="3">
        <f>SUMPRODUCT($B2226:$Y2226,$B$2649:$Y$2649)</f>
        <v/>
      </c>
      <c r="AA2226" s="3">
        <f>SUMPRODUCT($B2226:$Y2226,$B$2655:$Y$2655)</f>
        <v/>
      </c>
      <c r="AC2226" s="1">
        <f>A2226</f>
        <v/>
      </c>
      <c r="AD2226">
        <f>IF(ISNUMBER(V2226),V2226*($AB$1/V$2635),"")</f>
        <v/>
      </c>
      <c r="AE2226">
        <f>IF(ISNUMBER(Z2226),Z2226*($AB$1/Z$2635),"")</f>
        <v/>
      </c>
      <c r="AF2226" s="25">
        <f>IF(ISNUMBER(AD2226+AE2226),AD2226+AE2226,"")</f>
        <v/>
      </c>
      <c r="AH2226" s="1">
        <f>A2226</f>
        <v/>
      </c>
      <c r="AI2226">
        <f>IF(ISNUMBER((1+V2226)*AI2225),(1+V2226)*AI2225,AI2225)</f>
        <v/>
      </c>
      <c r="AJ2226">
        <f>IF(ISNUMBER((1+Z2226)*AJ2225),(1+Z2226)*AJ2225,AJ2225)</f>
        <v/>
      </c>
    </row>
    <row r="2227">
      <c r="A2227" s="1" t="n">
        <v>45232</v>
      </c>
      <c r="B2227" s="3">
        <f>IF(ORIG!B2227=0,"",ORIG!B2227)</f>
        <v/>
      </c>
      <c r="C2227" s="3">
        <f>IF(ORIG!C2227=0,"",ORIG!C2227)</f>
        <v/>
      </c>
      <c r="D2227" s="3">
        <f>IF(ORIG!D2227=0,"",ORIG!D2227)</f>
        <v/>
      </c>
      <c r="E2227" s="3">
        <f>IF(ORIG!E2227=0,"",ORIG!E2227)</f>
        <v/>
      </c>
      <c r="F2227" s="3">
        <f>IF(ORIG!F2227=0,"",ORIG!F2227)</f>
        <v/>
      </c>
      <c r="G2227" s="3">
        <f>IF(ORIG!G2227=0,"",ORIG!G2227)</f>
        <v/>
      </c>
      <c r="H2227" s="3">
        <f>IF(ORIG!H2227=0,"",ORIG!H2227)</f>
        <v/>
      </c>
      <c r="I2227" s="3">
        <f>IF(ORIG!I2227=0,"",ORIG!I2227)</f>
        <v/>
      </c>
      <c r="J2227" s="3">
        <f>IF(ORIG!J2227=0,"",ORIG!J2227)</f>
        <v/>
      </c>
      <c r="K2227" s="3">
        <f>IF(ORIG!K2227=0,"",ORIG!K2227)</f>
        <v/>
      </c>
      <c r="L2227" s="3">
        <f>IF(ORIG!L2227=0,"",ORIG!L2227)</f>
        <v/>
      </c>
      <c r="M2227" s="3">
        <f>IF(ORIG!M2227=0,"",ORIG!M2227)</f>
        <v/>
      </c>
      <c r="N2227" s="3">
        <f>IF(ORIG!N2227=0,"",ORIG!N2227)</f>
        <v/>
      </c>
      <c r="O2227" s="3">
        <f>IF(ORIG!O2227=0,"",ORIG!O2227)</f>
        <v/>
      </c>
      <c r="P2227" s="3">
        <f>IF(ORIG!P2227=0,"",ORIG!P2227)</f>
        <v/>
      </c>
      <c r="Q2227" s="3">
        <f>IF(ORIG!Q2227=0,"",ORIG!Q2227)</f>
        <v/>
      </c>
      <c r="R2227" s="3">
        <f>IF(ORIG!R2227=0,"",ORIG!R2227)</f>
        <v/>
      </c>
      <c r="S2227" s="3">
        <f>IF(ORIG!S2227=0,"",ORIG!S2227)</f>
        <v/>
      </c>
      <c r="T2227" s="3">
        <f>IF(ORIG!T2227=0,"",ORIG!T2227)</f>
        <v/>
      </c>
      <c r="U2227" s="3">
        <f>IF(ORIG!U2227=0,"",ORIG!U2227)</f>
        <v/>
      </c>
      <c r="V2227" s="9">
        <f>IF(ORIG!V2227=0,"",ORIG!V2227)</f>
        <v/>
      </c>
      <c r="W2227" s="9">
        <f>IF(ORIG!W2227=0,"",ORIG!W2227)</f>
        <v/>
      </c>
      <c r="X2227" s="9">
        <f>IF(ORIG!X2227=0,"",ORIG!X2227)</f>
        <v/>
      </c>
      <c r="Y2227" s="9">
        <f>IF(ORIG!Y2227=0,"",ORIG!Y2227)</f>
        <v/>
      </c>
      <c r="Z2227" s="3">
        <f>SUMPRODUCT($B2227:$Y2227,$B$2649:$Y$2649)</f>
        <v/>
      </c>
      <c r="AA2227" s="3">
        <f>SUMPRODUCT($B2227:$Y2227,$B$2655:$Y$2655)</f>
        <v/>
      </c>
      <c r="AC2227" s="1">
        <f>A2227</f>
        <v/>
      </c>
      <c r="AD2227">
        <f>IF(ISNUMBER(V2227),V2227*($AB$1/V$2635),"")</f>
        <v/>
      </c>
      <c r="AE2227">
        <f>IF(ISNUMBER(Z2227),Z2227*($AB$1/Z$2635),"")</f>
        <v/>
      </c>
      <c r="AF2227" s="25">
        <f>IF(ISNUMBER(AD2227+AE2227),AD2227+AE2227,"")</f>
        <v/>
      </c>
      <c r="AH2227" s="1">
        <f>A2227</f>
        <v/>
      </c>
      <c r="AI2227">
        <f>IF(ISNUMBER((1+V2227)*AI2226),(1+V2227)*AI2226,AI2226)</f>
        <v/>
      </c>
      <c r="AJ2227">
        <f>IF(ISNUMBER((1+Z2227)*AJ2226),(1+Z2227)*AJ2226,AJ2226)</f>
        <v/>
      </c>
    </row>
    <row r="2228">
      <c r="A2228" s="1" t="n">
        <v>45233</v>
      </c>
      <c r="B2228" s="3">
        <f>IF(ORIG!B2228=0,"",ORIG!B2228)</f>
        <v/>
      </c>
      <c r="C2228" s="3">
        <f>IF(ORIG!C2228=0,"",ORIG!C2228)</f>
        <v/>
      </c>
      <c r="D2228" s="3">
        <f>IF(ORIG!D2228=0,"",ORIG!D2228)</f>
        <v/>
      </c>
      <c r="E2228" s="3">
        <f>IF(ORIG!E2228=0,"",ORIG!E2228)</f>
        <v/>
      </c>
      <c r="F2228" s="3">
        <f>IF(ORIG!F2228=0,"",ORIG!F2228)</f>
        <v/>
      </c>
      <c r="G2228" s="3">
        <f>IF(ORIG!G2228=0,"",ORIG!G2228)</f>
        <v/>
      </c>
      <c r="H2228" s="3">
        <f>IF(ORIG!H2228=0,"",ORIG!H2228)</f>
        <v/>
      </c>
      <c r="I2228" s="3">
        <f>IF(ORIG!I2228=0,"",ORIG!I2228)</f>
        <v/>
      </c>
      <c r="J2228" s="3">
        <f>IF(ORIG!J2228=0,"",ORIG!J2228)</f>
        <v/>
      </c>
      <c r="K2228" s="3">
        <f>IF(ORIG!K2228=0,"",ORIG!K2228)</f>
        <v/>
      </c>
      <c r="L2228" s="3">
        <f>IF(ORIG!L2228=0,"",ORIG!L2228)</f>
        <v/>
      </c>
      <c r="M2228" s="3">
        <f>IF(ORIG!M2228=0,"",ORIG!M2228)</f>
        <v/>
      </c>
      <c r="N2228" s="3">
        <f>IF(ORIG!N2228=0,"",ORIG!N2228)</f>
        <v/>
      </c>
      <c r="O2228" s="3">
        <f>IF(ORIG!O2228=0,"",ORIG!O2228)</f>
        <v/>
      </c>
      <c r="P2228" s="3">
        <f>IF(ORIG!P2228=0,"",ORIG!P2228)</f>
        <v/>
      </c>
      <c r="Q2228" s="3">
        <f>IF(ORIG!Q2228=0,"",ORIG!Q2228)</f>
        <v/>
      </c>
      <c r="R2228" s="3">
        <f>IF(ORIG!R2228=0,"",ORIG!R2228)</f>
        <v/>
      </c>
      <c r="S2228" s="3">
        <f>IF(ORIG!S2228=0,"",ORIG!S2228)</f>
        <v/>
      </c>
      <c r="T2228" s="3">
        <f>IF(ORIG!T2228=0,"",ORIG!T2228)</f>
        <v/>
      </c>
      <c r="U2228" s="3">
        <f>IF(ORIG!U2228=0,"",ORIG!U2228)</f>
        <v/>
      </c>
      <c r="V2228" s="9">
        <f>IF(ORIG!V2228=0,"",ORIG!V2228)</f>
        <v/>
      </c>
      <c r="W2228" s="9">
        <f>IF(ORIG!W2228=0,"",ORIG!W2228)</f>
        <v/>
      </c>
      <c r="X2228" s="9">
        <f>IF(ORIG!X2228=0,"",ORIG!X2228)</f>
        <v/>
      </c>
      <c r="Y2228" s="9">
        <f>IF(ORIG!Y2228=0,"",ORIG!Y2228)</f>
        <v/>
      </c>
      <c r="Z2228" s="3">
        <f>SUMPRODUCT($B2228:$Y2228,$B$2649:$Y$2649)</f>
        <v/>
      </c>
      <c r="AA2228" s="3">
        <f>SUMPRODUCT($B2228:$Y2228,$B$2655:$Y$2655)</f>
        <v/>
      </c>
      <c r="AC2228" s="1">
        <f>A2228</f>
        <v/>
      </c>
      <c r="AD2228">
        <f>IF(ISNUMBER(V2228),V2228*($AB$1/V$2635),"")</f>
        <v/>
      </c>
      <c r="AE2228">
        <f>IF(ISNUMBER(Z2228),Z2228*($AB$1/Z$2635),"")</f>
        <v/>
      </c>
      <c r="AF2228" s="25">
        <f>IF(ISNUMBER(AD2228+AE2228),AD2228+AE2228,"")</f>
        <v/>
      </c>
      <c r="AH2228" s="1">
        <f>A2228</f>
        <v/>
      </c>
      <c r="AI2228">
        <f>IF(ISNUMBER((1+V2228)*AI2227),(1+V2228)*AI2227,AI2227)</f>
        <v/>
      </c>
      <c r="AJ2228">
        <f>IF(ISNUMBER((1+Z2228)*AJ2227),(1+Z2228)*AJ2227,AJ2227)</f>
        <v/>
      </c>
    </row>
    <row r="2229">
      <c r="A2229" s="1" t="n">
        <v>45236</v>
      </c>
      <c r="B2229" s="3">
        <f>IF(ORIG!B2229=0,"",ORIG!B2229)</f>
        <v/>
      </c>
      <c r="C2229" s="3">
        <f>IF(ORIG!C2229=0,"",ORIG!C2229)</f>
        <v/>
      </c>
      <c r="D2229" s="3">
        <f>IF(ORIG!D2229=0,"",ORIG!D2229)</f>
        <v/>
      </c>
      <c r="E2229" s="3">
        <f>IF(ORIG!E2229=0,"",ORIG!E2229)</f>
        <v/>
      </c>
      <c r="F2229" s="3">
        <f>IF(ORIG!F2229=0,"",ORIG!F2229)</f>
        <v/>
      </c>
      <c r="G2229" s="3">
        <f>IF(ORIG!G2229=0,"",ORIG!G2229)</f>
        <v/>
      </c>
      <c r="H2229" s="3">
        <f>IF(ORIG!H2229=0,"",ORIG!H2229)</f>
        <v/>
      </c>
      <c r="I2229" s="3">
        <f>IF(ORIG!I2229=0,"",ORIG!I2229)</f>
        <v/>
      </c>
      <c r="J2229" s="3">
        <f>IF(ORIG!J2229=0,"",ORIG!J2229)</f>
        <v/>
      </c>
      <c r="K2229" s="3">
        <f>IF(ORIG!K2229=0,"",ORIG!K2229)</f>
        <v/>
      </c>
      <c r="L2229" s="3">
        <f>IF(ORIG!L2229=0,"",ORIG!L2229)</f>
        <v/>
      </c>
      <c r="M2229" s="3">
        <f>IF(ORIG!M2229=0,"",ORIG!M2229)</f>
        <v/>
      </c>
      <c r="N2229" s="3">
        <f>IF(ORIG!N2229=0,"",ORIG!N2229)</f>
        <v/>
      </c>
      <c r="O2229" s="3">
        <f>IF(ORIG!O2229=0,"",ORIG!O2229)</f>
        <v/>
      </c>
      <c r="P2229" s="3">
        <f>IF(ORIG!P2229=0,"",ORIG!P2229)</f>
        <v/>
      </c>
      <c r="Q2229" s="3">
        <f>IF(ORIG!Q2229=0,"",ORIG!Q2229)</f>
        <v/>
      </c>
      <c r="R2229" s="3">
        <f>IF(ORIG!R2229=0,"",ORIG!R2229)</f>
        <v/>
      </c>
      <c r="S2229" s="3">
        <f>IF(ORIG!S2229=0,"",ORIG!S2229)</f>
        <v/>
      </c>
      <c r="T2229" s="3">
        <f>IF(ORIG!T2229=0,"",ORIG!T2229)</f>
        <v/>
      </c>
      <c r="U2229" s="3">
        <f>IF(ORIG!U2229=0,"",ORIG!U2229)</f>
        <v/>
      </c>
      <c r="V2229" s="9">
        <f>IF(ORIG!V2229=0,"",ORIG!V2229)</f>
        <v/>
      </c>
      <c r="W2229" s="9">
        <f>IF(ORIG!W2229=0,"",ORIG!W2229)</f>
        <v/>
      </c>
      <c r="X2229" s="9">
        <f>IF(ORIG!X2229=0,"",ORIG!X2229)</f>
        <v/>
      </c>
      <c r="Y2229" s="9">
        <f>IF(ORIG!Y2229=0,"",ORIG!Y2229)</f>
        <v/>
      </c>
      <c r="Z2229" s="3">
        <f>SUMPRODUCT($B2229:$Y2229,$B$2649:$Y$2649)</f>
        <v/>
      </c>
      <c r="AA2229" s="3">
        <f>SUMPRODUCT($B2229:$Y2229,$B$2655:$Y$2655)</f>
        <v/>
      </c>
      <c r="AC2229" s="1">
        <f>A2229</f>
        <v/>
      </c>
      <c r="AD2229">
        <f>IF(ISNUMBER(V2229),V2229*($AB$1/V$2635),"")</f>
        <v/>
      </c>
      <c r="AE2229">
        <f>IF(ISNUMBER(Z2229),Z2229*($AB$1/Z$2635),"")</f>
        <v/>
      </c>
      <c r="AF2229" s="25">
        <f>IF(ISNUMBER(AD2229+AE2229),AD2229+AE2229,"")</f>
        <v/>
      </c>
      <c r="AH2229" s="1">
        <f>A2229</f>
        <v/>
      </c>
      <c r="AI2229">
        <f>IF(ISNUMBER((1+V2229)*AI2228),(1+V2229)*AI2228,AI2228)</f>
        <v/>
      </c>
      <c r="AJ2229">
        <f>IF(ISNUMBER((1+Z2229)*AJ2228),(1+Z2229)*AJ2228,AJ2228)</f>
        <v/>
      </c>
    </row>
    <row r="2230">
      <c r="A2230" s="1" t="n">
        <v>45237</v>
      </c>
      <c r="B2230" s="3">
        <f>IF(ORIG!B2230=0,"",ORIG!B2230)</f>
        <v/>
      </c>
      <c r="C2230" s="3">
        <f>IF(ORIG!C2230=0,"",ORIG!C2230)</f>
        <v/>
      </c>
      <c r="D2230" s="3">
        <f>IF(ORIG!D2230=0,"",ORIG!D2230)</f>
        <v/>
      </c>
      <c r="E2230" s="3">
        <f>IF(ORIG!E2230=0,"",ORIG!E2230)</f>
        <v/>
      </c>
      <c r="F2230" s="3">
        <f>IF(ORIG!F2230=0,"",ORIG!F2230)</f>
        <v/>
      </c>
      <c r="G2230" s="3">
        <f>IF(ORIG!G2230=0,"",ORIG!G2230)</f>
        <v/>
      </c>
      <c r="H2230" s="3">
        <f>IF(ORIG!H2230=0,"",ORIG!H2230)</f>
        <v/>
      </c>
      <c r="I2230" s="3">
        <f>IF(ORIG!I2230=0,"",ORIG!I2230)</f>
        <v/>
      </c>
      <c r="J2230" s="3">
        <f>IF(ORIG!J2230=0,"",ORIG!J2230)</f>
        <v/>
      </c>
      <c r="K2230" s="3">
        <f>IF(ORIG!K2230=0,"",ORIG!K2230)</f>
        <v/>
      </c>
      <c r="L2230" s="3">
        <f>IF(ORIG!L2230=0,"",ORIG!L2230)</f>
        <v/>
      </c>
      <c r="M2230" s="3">
        <f>IF(ORIG!M2230=0,"",ORIG!M2230)</f>
        <v/>
      </c>
      <c r="N2230" s="3">
        <f>IF(ORIG!N2230=0,"",ORIG!N2230)</f>
        <v/>
      </c>
      <c r="O2230" s="3">
        <f>IF(ORIG!O2230=0,"",ORIG!O2230)</f>
        <v/>
      </c>
      <c r="P2230" s="3">
        <f>IF(ORIG!P2230=0,"",ORIG!P2230)</f>
        <v/>
      </c>
      <c r="Q2230" s="3">
        <f>IF(ORIG!Q2230=0,"",ORIG!Q2230)</f>
        <v/>
      </c>
      <c r="R2230" s="3">
        <f>IF(ORIG!R2230=0,"",ORIG!R2230)</f>
        <v/>
      </c>
      <c r="S2230" s="3">
        <f>IF(ORIG!S2230=0,"",ORIG!S2230)</f>
        <v/>
      </c>
      <c r="T2230" s="3">
        <f>IF(ORIG!T2230=0,"",ORIG!T2230)</f>
        <v/>
      </c>
      <c r="U2230" s="3">
        <f>IF(ORIG!U2230=0,"",ORIG!U2230)</f>
        <v/>
      </c>
      <c r="V2230" s="9">
        <f>IF(ORIG!V2230=0,"",ORIG!V2230)</f>
        <v/>
      </c>
      <c r="W2230" s="9">
        <f>IF(ORIG!W2230=0,"",ORIG!W2230)</f>
        <v/>
      </c>
      <c r="X2230" s="9">
        <f>IF(ORIG!X2230=0,"",ORIG!X2230)</f>
        <v/>
      </c>
      <c r="Y2230" s="9">
        <f>IF(ORIG!Y2230=0,"",ORIG!Y2230)</f>
        <v/>
      </c>
      <c r="Z2230" s="3">
        <f>SUMPRODUCT($B2230:$Y2230,$B$2649:$Y$2649)</f>
        <v/>
      </c>
      <c r="AA2230" s="3">
        <f>SUMPRODUCT($B2230:$Y2230,$B$2655:$Y$2655)</f>
        <v/>
      </c>
      <c r="AC2230" s="1">
        <f>A2230</f>
        <v/>
      </c>
      <c r="AD2230">
        <f>IF(ISNUMBER(V2230),V2230*($AB$1/V$2635),"")</f>
        <v/>
      </c>
      <c r="AE2230">
        <f>IF(ISNUMBER(Z2230),Z2230*($AB$1/Z$2635),"")</f>
        <v/>
      </c>
      <c r="AF2230" s="25">
        <f>IF(ISNUMBER(AD2230+AE2230),AD2230+AE2230,"")</f>
        <v/>
      </c>
      <c r="AH2230" s="1">
        <f>A2230</f>
        <v/>
      </c>
      <c r="AI2230">
        <f>IF(ISNUMBER((1+V2230)*AI2229),(1+V2230)*AI2229,AI2229)</f>
        <v/>
      </c>
      <c r="AJ2230">
        <f>IF(ISNUMBER((1+Z2230)*AJ2229),(1+Z2230)*AJ2229,AJ2229)</f>
        <v/>
      </c>
    </row>
    <row r="2231">
      <c r="A2231" s="1" t="n">
        <v>45238</v>
      </c>
      <c r="B2231" s="3">
        <f>IF(ORIG!B2231=0,"",ORIG!B2231)</f>
        <v/>
      </c>
      <c r="C2231" s="3">
        <f>IF(ORIG!C2231=0,"",ORIG!C2231)</f>
        <v/>
      </c>
      <c r="D2231" s="3">
        <f>IF(ORIG!D2231=0,"",ORIG!D2231)</f>
        <v/>
      </c>
      <c r="E2231" s="3">
        <f>IF(ORIG!E2231=0,"",ORIG!E2231)</f>
        <v/>
      </c>
      <c r="F2231" s="3">
        <f>IF(ORIG!F2231=0,"",ORIG!F2231)</f>
        <v/>
      </c>
      <c r="G2231" s="3">
        <f>IF(ORIG!G2231=0,"",ORIG!G2231)</f>
        <v/>
      </c>
      <c r="H2231" s="3">
        <f>IF(ORIG!H2231=0,"",ORIG!H2231)</f>
        <v/>
      </c>
      <c r="I2231" s="3">
        <f>IF(ORIG!I2231=0,"",ORIG!I2231)</f>
        <v/>
      </c>
      <c r="J2231" s="3">
        <f>IF(ORIG!J2231=0,"",ORIG!J2231)</f>
        <v/>
      </c>
      <c r="K2231" s="3">
        <f>IF(ORIG!K2231=0,"",ORIG!K2231)</f>
        <v/>
      </c>
      <c r="L2231" s="3">
        <f>IF(ORIG!L2231=0,"",ORIG!L2231)</f>
        <v/>
      </c>
      <c r="M2231" s="3">
        <f>IF(ORIG!M2231=0,"",ORIG!M2231)</f>
        <v/>
      </c>
      <c r="N2231" s="3">
        <f>IF(ORIG!N2231=0,"",ORIG!N2231)</f>
        <v/>
      </c>
      <c r="O2231" s="3">
        <f>IF(ORIG!O2231=0,"",ORIG!O2231)</f>
        <v/>
      </c>
      <c r="P2231" s="3">
        <f>IF(ORIG!P2231=0,"",ORIG!P2231)</f>
        <v/>
      </c>
      <c r="Q2231" s="3">
        <f>IF(ORIG!Q2231=0,"",ORIG!Q2231)</f>
        <v/>
      </c>
      <c r="R2231" s="3">
        <f>IF(ORIG!R2231=0,"",ORIG!R2231)</f>
        <v/>
      </c>
      <c r="S2231" s="3">
        <f>IF(ORIG!S2231=0,"",ORIG!S2231)</f>
        <v/>
      </c>
      <c r="T2231" s="3">
        <f>IF(ORIG!T2231=0,"",ORIG!T2231)</f>
        <v/>
      </c>
      <c r="U2231" s="3">
        <f>IF(ORIG!U2231=0,"",ORIG!U2231)</f>
        <v/>
      </c>
      <c r="V2231" s="9">
        <f>IF(ORIG!V2231=0,"",ORIG!V2231)</f>
        <v/>
      </c>
      <c r="W2231" s="9">
        <f>IF(ORIG!W2231=0,"",ORIG!W2231)</f>
        <v/>
      </c>
      <c r="X2231" s="9">
        <f>IF(ORIG!X2231=0,"",ORIG!X2231)</f>
        <v/>
      </c>
      <c r="Y2231" s="9">
        <f>IF(ORIG!Y2231=0,"",ORIG!Y2231)</f>
        <v/>
      </c>
      <c r="Z2231" s="3">
        <f>SUMPRODUCT($B2231:$Y2231,$B$2649:$Y$2649)</f>
        <v/>
      </c>
      <c r="AA2231" s="3">
        <f>SUMPRODUCT($B2231:$Y2231,$B$2655:$Y$2655)</f>
        <v/>
      </c>
      <c r="AC2231" s="1">
        <f>A2231</f>
        <v/>
      </c>
      <c r="AD2231">
        <f>IF(ISNUMBER(V2231),V2231*($AB$1/V$2635),"")</f>
        <v/>
      </c>
      <c r="AE2231">
        <f>IF(ISNUMBER(Z2231),Z2231*($AB$1/Z$2635),"")</f>
        <v/>
      </c>
      <c r="AF2231" s="25">
        <f>IF(ISNUMBER(AD2231+AE2231),AD2231+AE2231,"")</f>
        <v/>
      </c>
      <c r="AH2231" s="1">
        <f>A2231</f>
        <v/>
      </c>
      <c r="AI2231">
        <f>IF(ISNUMBER((1+V2231)*AI2230),(1+V2231)*AI2230,AI2230)</f>
        <v/>
      </c>
      <c r="AJ2231">
        <f>IF(ISNUMBER((1+Z2231)*AJ2230),(1+Z2231)*AJ2230,AJ2230)</f>
        <v/>
      </c>
    </row>
    <row r="2232">
      <c r="A2232" s="1" t="n">
        <v>45239</v>
      </c>
      <c r="B2232" s="3">
        <f>IF(ORIG!B2232=0,"",ORIG!B2232)</f>
        <v/>
      </c>
      <c r="C2232" s="3">
        <f>IF(ORIG!C2232=0,"",ORIG!C2232)</f>
        <v/>
      </c>
      <c r="D2232" s="3">
        <f>IF(ORIG!D2232=0,"",ORIG!D2232)</f>
        <v/>
      </c>
      <c r="E2232" s="3">
        <f>IF(ORIG!E2232=0,"",ORIG!E2232)</f>
        <v/>
      </c>
      <c r="F2232" s="3">
        <f>IF(ORIG!F2232=0,"",ORIG!F2232)</f>
        <v/>
      </c>
      <c r="G2232" s="3">
        <f>IF(ORIG!G2232=0,"",ORIG!G2232)</f>
        <v/>
      </c>
      <c r="H2232" s="3">
        <f>IF(ORIG!H2232=0,"",ORIG!H2232)</f>
        <v/>
      </c>
      <c r="I2232" s="3">
        <f>IF(ORIG!I2232=0,"",ORIG!I2232)</f>
        <v/>
      </c>
      <c r="J2232" s="3">
        <f>IF(ORIG!J2232=0,"",ORIG!J2232)</f>
        <v/>
      </c>
      <c r="K2232" s="3">
        <f>IF(ORIG!K2232=0,"",ORIG!K2232)</f>
        <v/>
      </c>
      <c r="L2232" s="3">
        <f>IF(ORIG!L2232=0,"",ORIG!L2232)</f>
        <v/>
      </c>
      <c r="M2232" s="3">
        <f>IF(ORIG!M2232=0,"",ORIG!M2232)</f>
        <v/>
      </c>
      <c r="N2232" s="3">
        <f>IF(ORIG!N2232=0,"",ORIG!N2232)</f>
        <v/>
      </c>
      <c r="O2232" s="3">
        <f>IF(ORIG!O2232=0,"",ORIG!O2232)</f>
        <v/>
      </c>
      <c r="P2232" s="3">
        <f>IF(ORIG!P2232=0,"",ORIG!P2232)</f>
        <v/>
      </c>
      <c r="Q2232" s="3">
        <f>IF(ORIG!Q2232=0,"",ORIG!Q2232)</f>
        <v/>
      </c>
      <c r="R2232" s="3">
        <f>IF(ORIG!R2232=0,"",ORIG!R2232)</f>
        <v/>
      </c>
      <c r="S2232" s="3">
        <f>IF(ORIG!S2232=0,"",ORIG!S2232)</f>
        <v/>
      </c>
      <c r="T2232" s="3">
        <f>IF(ORIG!T2232=0,"",ORIG!T2232)</f>
        <v/>
      </c>
      <c r="U2232" s="3">
        <f>IF(ORIG!U2232=0,"",ORIG!U2232)</f>
        <v/>
      </c>
      <c r="V2232" s="9">
        <f>IF(ORIG!V2232=0,"",ORIG!V2232)</f>
        <v/>
      </c>
      <c r="W2232" s="9">
        <f>IF(ORIG!W2232=0,"",ORIG!W2232)</f>
        <v/>
      </c>
      <c r="X2232" s="9">
        <f>IF(ORIG!X2232=0,"",ORIG!X2232)</f>
        <v/>
      </c>
      <c r="Y2232" s="9">
        <f>IF(ORIG!Y2232=0,"",ORIG!Y2232)</f>
        <v/>
      </c>
      <c r="Z2232" s="3">
        <f>SUMPRODUCT($B2232:$Y2232,$B$2649:$Y$2649)</f>
        <v/>
      </c>
      <c r="AA2232" s="3">
        <f>SUMPRODUCT($B2232:$Y2232,$B$2655:$Y$2655)</f>
        <v/>
      </c>
      <c r="AC2232" s="1">
        <f>A2232</f>
        <v/>
      </c>
      <c r="AD2232">
        <f>IF(ISNUMBER(V2232),V2232*($AB$1/V$2635),"")</f>
        <v/>
      </c>
      <c r="AE2232">
        <f>IF(ISNUMBER(Z2232),Z2232*($AB$1/Z$2635),"")</f>
        <v/>
      </c>
      <c r="AF2232" s="25">
        <f>IF(ISNUMBER(AD2232+AE2232),AD2232+AE2232,"")</f>
        <v/>
      </c>
      <c r="AH2232" s="1">
        <f>A2232</f>
        <v/>
      </c>
      <c r="AI2232">
        <f>IF(ISNUMBER((1+V2232)*AI2231),(1+V2232)*AI2231,AI2231)</f>
        <v/>
      </c>
      <c r="AJ2232">
        <f>IF(ISNUMBER((1+Z2232)*AJ2231),(1+Z2232)*AJ2231,AJ2231)</f>
        <v/>
      </c>
    </row>
    <row r="2233">
      <c r="A2233" s="1" t="n">
        <v>45240</v>
      </c>
      <c r="B2233" s="3">
        <f>IF(ORIG!B2233=0,"",ORIG!B2233)</f>
        <v/>
      </c>
      <c r="C2233" s="3">
        <f>IF(ORIG!C2233=0,"",ORIG!C2233)</f>
        <v/>
      </c>
      <c r="D2233" s="3">
        <f>IF(ORIG!D2233=0,"",ORIG!D2233)</f>
        <v/>
      </c>
      <c r="E2233" s="3">
        <f>IF(ORIG!E2233=0,"",ORIG!E2233)</f>
        <v/>
      </c>
      <c r="F2233" s="3">
        <f>IF(ORIG!F2233=0,"",ORIG!F2233)</f>
        <v/>
      </c>
      <c r="G2233" s="3">
        <f>IF(ORIG!G2233=0,"",ORIG!G2233)</f>
        <v/>
      </c>
      <c r="H2233" s="3">
        <f>IF(ORIG!H2233=0,"",ORIG!H2233)</f>
        <v/>
      </c>
      <c r="I2233" s="3">
        <f>IF(ORIG!I2233=0,"",ORIG!I2233)</f>
        <v/>
      </c>
      <c r="J2233" s="3">
        <f>IF(ORIG!J2233=0,"",ORIG!J2233)</f>
        <v/>
      </c>
      <c r="K2233" s="3">
        <f>IF(ORIG!K2233=0,"",ORIG!K2233)</f>
        <v/>
      </c>
      <c r="L2233" s="3">
        <f>IF(ORIG!L2233=0,"",ORIG!L2233)</f>
        <v/>
      </c>
      <c r="M2233" s="3">
        <f>IF(ORIG!M2233=0,"",ORIG!M2233)</f>
        <v/>
      </c>
      <c r="N2233" s="3">
        <f>IF(ORIG!N2233=0,"",ORIG!N2233)</f>
        <v/>
      </c>
      <c r="O2233" s="3">
        <f>IF(ORIG!O2233=0,"",ORIG!O2233)</f>
        <v/>
      </c>
      <c r="P2233" s="3">
        <f>IF(ORIG!P2233=0,"",ORIG!P2233)</f>
        <v/>
      </c>
      <c r="Q2233" s="3">
        <f>IF(ORIG!Q2233=0,"",ORIG!Q2233)</f>
        <v/>
      </c>
      <c r="R2233" s="3">
        <f>IF(ORIG!R2233=0,"",ORIG!R2233)</f>
        <v/>
      </c>
      <c r="S2233" s="3">
        <f>IF(ORIG!S2233=0,"",ORIG!S2233)</f>
        <v/>
      </c>
      <c r="T2233" s="3">
        <f>IF(ORIG!T2233=0,"",ORIG!T2233)</f>
        <v/>
      </c>
      <c r="U2233" s="3">
        <f>IF(ORIG!U2233=0,"",ORIG!U2233)</f>
        <v/>
      </c>
      <c r="V2233" s="9">
        <f>IF(ORIG!V2233=0,"",ORIG!V2233)</f>
        <v/>
      </c>
      <c r="W2233" s="9">
        <f>IF(ORIG!W2233=0,"",ORIG!W2233)</f>
        <v/>
      </c>
      <c r="X2233" s="9">
        <f>IF(ORIG!X2233=0,"",ORIG!X2233)</f>
        <v/>
      </c>
      <c r="Y2233" s="9">
        <f>IF(ORIG!Y2233=0,"",ORIG!Y2233)</f>
        <v/>
      </c>
      <c r="Z2233" s="3">
        <f>SUMPRODUCT($B2233:$Y2233,$B$2649:$Y$2649)</f>
        <v/>
      </c>
      <c r="AA2233" s="3">
        <f>SUMPRODUCT($B2233:$Y2233,$B$2655:$Y$2655)</f>
        <v/>
      </c>
      <c r="AC2233" s="1">
        <f>A2233</f>
        <v/>
      </c>
      <c r="AD2233">
        <f>IF(ISNUMBER(V2233),V2233*($AB$1/V$2635),"")</f>
        <v/>
      </c>
      <c r="AE2233">
        <f>IF(ISNUMBER(Z2233),Z2233*($AB$1/Z$2635),"")</f>
        <v/>
      </c>
      <c r="AF2233" s="25">
        <f>IF(ISNUMBER(AD2233+AE2233),AD2233+AE2233,"")</f>
        <v/>
      </c>
      <c r="AH2233" s="1">
        <f>A2233</f>
        <v/>
      </c>
      <c r="AI2233">
        <f>IF(ISNUMBER((1+V2233)*AI2232),(1+V2233)*AI2232,AI2232)</f>
        <v/>
      </c>
      <c r="AJ2233">
        <f>IF(ISNUMBER((1+Z2233)*AJ2232),(1+Z2233)*AJ2232,AJ2232)</f>
        <v/>
      </c>
    </row>
    <row r="2234">
      <c r="A2234" s="1" t="n">
        <v>45243</v>
      </c>
      <c r="B2234" s="3">
        <f>IF(ORIG!B2234=0,"",ORIG!B2234)</f>
        <v/>
      </c>
      <c r="C2234" s="3">
        <f>IF(ORIG!C2234=0,"",ORIG!C2234)</f>
        <v/>
      </c>
      <c r="D2234" s="3">
        <f>IF(ORIG!D2234=0,"",ORIG!D2234)</f>
        <v/>
      </c>
      <c r="E2234" s="3">
        <f>IF(ORIG!E2234=0,"",ORIG!E2234)</f>
        <v/>
      </c>
      <c r="F2234" s="3">
        <f>IF(ORIG!F2234=0,"",ORIG!F2234)</f>
        <v/>
      </c>
      <c r="G2234" s="3">
        <f>IF(ORIG!G2234=0,"",ORIG!G2234)</f>
        <v/>
      </c>
      <c r="H2234" s="3">
        <f>IF(ORIG!H2234=0,"",ORIG!H2234)</f>
        <v/>
      </c>
      <c r="I2234" s="3">
        <f>IF(ORIG!I2234=0,"",ORIG!I2234)</f>
        <v/>
      </c>
      <c r="J2234" s="3">
        <f>IF(ORIG!J2234=0,"",ORIG!J2234)</f>
        <v/>
      </c>
      <c r="K2234" s="3">
        <f>IF(ORIG!K2234=0,"",ORIG!K2234)</f>
        <v/>
      </c>
      <c r="L2234" s="3">
        <f>IF(ORIG!L2234=0,"",ORIG!L2234)</f>
        <v/>
      </c>
      <c r="M2234" s="3">
        <f>IF(ORIG!M2234=0,"",ORIG!M2234)</f>
        <v/>
      </c>
      <c r="N2234" s="3">
        <f>IF(ORIG!N2234=0,"",ORIG!N2234)</f>
        <v/>
      </c>
      <c r="O2234" s="3">
        <f>IF(ORIG!O2234=0,"",ORIG!O2234)</f>
        <v/>
      </c>
      <c r="P2234" s="3">
        <f>IF(ORIG!P2234=0,"",ORIG!P2234)</f>
        <v/>
      </c>
      <c r="Q2234" s="3">
        <f>IF(ORIG!Q2234=0,"",ORIG!Q2234)</f>
        <v/>
      </c>
      <c r="R2234" s="3">
        <f>IF(ORIG!R2234=0,"",ORIG!R2234)</f>
        <v/>
      </c>
      <c r="S2234" s="3">
        <f>IF(ORIG!S2234=0,"",ORIG!S2234)</f>
        <v/>
      </c>
      <c r="T2234" s="3">
        <f>IF(ORIG!T2234=0,"",ORIG!T2234)</f>
        <v/>
      </c>
      <c r="U2234" s="3">
        <f>IF(ORIG!U2234=0,"",ORIG!U2234)</f>
        <v/>
      </c>
      <c r="V2234" s="9">
        <f>IF(ORIG!V2234=0,"",ORIG!V2234)</f>
        <v/>
      </c>
      <c r="W2234" s="9">
        <f>IF(ORIG!W2234=0,"",ORIG!W2234)</f>
        <v/>
      </c>
      <c r="X2234" s="9">
        <f>IF(ORIG!X2234=0,"",ORIG!X2234)</f>
        <v/>
      </c>
      <c r="Y2234" s="9">
        <f>IF(ORIG!Y2234=0,"",ORIG!Y2234)</f>
        <v/>
      </c>
      <c r="Z2234" s="3">
        <f>SUMPRODUCT($B2234:$Y2234,$B$2649:$Y$2649)</f>
        <v/>
      </c>
      <c r="AA2234" s="3">
        <f>SUMPRODUCT($B2234:$Y2234,$B$2655:$Y$2655)</f>
        <v/>
      </c>
      <c r="AC2234" s="1">
        <f>A2234</f>
        <v/>
      </c>
      <c r="AD2234">
        <f>IF(ISNUMBER(V2234),V2234*($AB$1/V$2635),"")</f>
        <v/>
      </c>
      <c r="AE2234">
        <f>IF(ISNUMBER(Z2234),Z2234*($AB$1/Z$2635),"")</f>
        <v/>
      </c>
      <c r="AF2234" s="25">
        <f>IF(ISNUMBER(AD2234+AE2234),AD2234+AE2234,"")</f>
        <v/>
      </c>
      <c r="AH2234" s="1">
        <f>A2234</f>
        <v/>
      </c>
      <c r="AI2234">
        <f>IF(ISNUMBER((1+V2234)*AI2233),(1+V2234)*AI2233,AI2233)</f>
        <v/>
      </c>
      <c r="AJ2234">
        <f>IF(ISNUMBER((1+Z2234)*AJ2233),(1+Z2234)*AJ2233,AJ2233)</f>
        <v/>
      </c>
    </row>
    <row r="2235">
      <c r="A2235" s="1" t="n">
        <v>45244</v>
      </c>
      <c r="B2235" s="3">
        <f>IF(ORIG!B2235=0,"",ORIG!B2235)</f>
        <v/>
      </c>
      <c r="C2235" s="3">
        <f>IF(ORIG!C2235=0,"",ORIG!C2235)</f>
        <v/>
      </c>
      <c r="D2235" s="3">
        <f>IF(ORIG!D2235=0,"",ORIG!D2235)</f>
        <v/>
      </c>
      <c r="E2235" s="3">
        <f>IF(ORIG!E2235=0,"",ORIG!E2235)</f>
        <v/>
      </c>
      <c r="F2235" s="3">
        <f>IF(ORIG!F2235=0,"",ORIG!F2235)</f>
        <v/>
      </c>
      <c r="G2235" s="3">
        <f>IF(ORIG!G2235=0,"",ORIG!G2235)</f>
        <v/>
      </c>
      <c r="H2235" s="3">
        <f>IF(ORIG!H2235=0,"",ORIG!H2235)</f>
        <v/>
      </c>
      <c r="I2235" s="3">
        <f>IF(ORIG!I2235=0,"",ORIG!I2235)</f>
        <v/>
      </c>
      <c r="J2235" s="3">
        <f>IF(ORIG!J2235=0,"",ORIG!J2235)</f>
        <v/>
      </c>
      <c r="K2235" s="3">
        <f>IF(ORIG!K2235=0,"",ORIG!K2235)</f>
        <v/>
      </c>
      <c r="L2235" s="3">
        <f>IF(ORIG!L2235=0,"",ORIG!L2235)</f>
        <v/>
      </c>
      <c r="M2235" s="3">
        <f>IF(ORIG!M2235=0,"",ORIG!M2235)</f>
        <v/>
      </c>
      <c r="N2235" s="3">
        <f>IF(ORIG!N2235=0,"",ORIG!N2235)</f>
        <v/>
      </c>
      <c r="O2235" s="3">
        <f>IF(ORIG!O2235=0,"",ORIG!O2235)</f>
        <v/>
      </c>
      <c r="P2235" s="3">
        <f>IF(ORIG!P2235=0,"",ORIG!P2235)</f>
        <v/>
      </c>
      <c r="Q2235" s="3">
        <f>IF(ORIG!Q2235=0,"",ORIG!Q2235)</f>
        <v/>
      </c>
      <c r="R2235" s="3">
        <f>IF(ORIG!R2235=0,"",ORIG!R2235)</f>
        <v/>
      </c>
      <c r="S2235" s="3">
        <f>IF(ORIG!S2235=0,"",ORIG!S2235)</f>
        <v/>
      </c>
      <c r="T2235" s="3">
        <f>IF(ORIG!T2235=0,"",ORIG!T2235)</f>
        <v/>
      </c>
      <c r="U2235" s="3">
        <f>IF(ORIG!U2235=0,"",ORIG!U2235)</f>
        <v/>
      </c>
      <c r="V2235" s="9">
        <f>IF(ORIG!V2235=0,"",ORIG!V2235)</f>
        <v/>
      </c>
      <c r="W2235" s="9">
        <f>IF(ORIG!W2235=0,"",ORIG!W2235)</f>
        <v/>
      </c>
      <c r="X2235" s="9">
        <f>IF(ORIG!X2235=0,"",ORIG!X2235)</f>
        <v/>
      </c>
      <c r="Y2235" s="9">
        <f>IF(ORIG!Y2235=0,"",ORIG!Y2235)</f>
        <v/>
      </c>
      <c r="Z2235" s="3">
        <f>SUMPRODUCT($B2235:$Y2235,$B$2649:$Y$2649)</f>
        <v/>
      </c>
      <c r="AA2235" s="3">
        <f>SUMPRODUCT($B2235:$Y2235,$B$2655:$Y$2655)</f>
        <v/>
      </c>
      <c r="AC2235" s="1">
        <f>A2235</f>
        <v/>
      </c>
      <c r="AD2235">
        <f>IF(ISNUMBER(V2235),V2235*($AB$1/V$2635),"")</f>
        <v/>
      </c>
      <c r="AE2235">
        <f>IF(ISNUMBER(Z2235),Z2235*($AB$1/Z$2635),"")</f>
        <v/>
      </c>
      <c r="AF2235" s="25">
        <f>IF(ISNUMBER(AD2235+AE2235),AD2235+AE2235,"")</f>
        <v/>
      </c>
      <c r="AH2235" s="1">
        <f>A2235</f>
        <v/>
      </c>
      <c r="AI2235">
        <f>IF(ISNUMBER((1+V2235)*AI2234),(1+V2235)*AI2234,AI2234)</f>
        <v/>
      </c>
      <c r="AJ2235">
        <f>IF(ISNUMBER((1+Z2235)*AJ2234),(1+Z2235)*AJ2234,AJ2234)</f>
        <v/>
      </c>
    </row>
    <row r="2236">
      <c r="A2236" s="1" t="n">
        <v>45245</v>
      </c>
      <c r="B2236" s="3">
        <f>IF(ORIG!B2236=0,"",ORIG!B2236)</f>
        <v/>
      </c>
      <c r="C2236" s="3">
        <f>IF(ORIG!C2236=0,"",ORIG!C2236)</f>
        <v/>
      </c>
      <c r="D2236" s="3">
        <f>IF(ORIG!D2236=0,"",ORIG!D2236)</f>
        <v/>
      </c>
      <c r="E2236" s="3">
        <f>IF(ORIG!E2236=0,"",ORIG!E2236)</f>
        <v/>
      </c>
      <c r="F2236" s="3">
        <f>IF(ORIG!F2236=0,"",ORIG!F2236)</f>
        <v/>
      </c>
      <c r="G2236" s="3">
        <f>IF(ORIG!G2236=0,"",ORIG!G2236)</f>
        <v/>
      </c>
      <c r="H2236" s="3">
        <f>IF(ORIG!H2236=0,"",ORIG!H2236)</f>
        <v/>
      </c>
      <c r="I2236" s="3">
        <f>IF(ORIG!I2236=0,"",ORIG!I2236)</f>
        <v/>
      </c>
      <c r="J2236" s="3">
        <f>IF(ORIG!J2236=0,"",ORIG!J2236)</f>
        <v/>
      </c>
      <c r="K2236" s="3">
        <f>IF(ORIG!K2236=0,"",ORIG!K2236)</f>
        <v/>
      </c>
      <c r="L2236" s="3">
        <f>IF(ORIG!L2236=0,"",ORIG!L2236)</f>
        <v/>
      </c>
      <c r="M2236" s="3">
        <f>IF(ORIG!M2236=0,"",ORIG!M2236)</f>
        <v/>
      </c>
      <c r="N2236" s="3">
        <f>IF(ORIG!N2236=0,"",ORIG!N2236)</f>
        <v/>
      </c>
      <c r="O2236" s="3">
        <f>IF(ORIG!O2236=0,"",ORIG!O2236)</f>
        <v/>
      </c>
      <c r="P2236" s="3">
        <f>IF(ORIG!P2236=0,"",ORIG!P2236)</f>
        <v/>
      </c>
      <c r="Q2236" s="3">
        <f>IF(ORIG!Q2236=0,"",ORIG!Q2236)</f>
        <v/>
      </c>
      <c r="R2236" s="3">
        <f>IF(ORIG!R2236=0,"",ORIG!R2236)</f>
        <v/>
      </c>
      <c r="S2236" s="3">
        <f>IF(ORIG!S2236=0,"",ORIG!S2236)</f>
        <v/>
      </c>
      <c r="T2236" s="3">
        <f>IF(ORIG!T2236=0,"",ORIG!T2236)</f>
        <v/>
      </c>
      <c r="U2236" s="3">
        <f>IF(ORIG!U2236=0,"",ORIG!U2236)</f>
        <v/>
      </c>
      <c r="V2236" s="9">
        <f>IF(ORIG!V2236=0,"",ORIG!V2236)</f>
        <v/>
      </c>
      <c r="W2236" s="9">
        <f>IF(ORIG!W2236=0,"",ORIG!W2236)</f>
        <v/>
      </c>
      <c r="X2236" s="9">
        <f>IF(ORIG!X2236=0,"",ORIG!X2236)</f>
        <v/>
      </c>
      <c r="Y2236" s="9">
        <f>IF(ORIG!Y2236=0,"",ORIG!Y2236)</f>
        <v/>
      </c>
      <c r="Z2236" s="3">
        <f>SUMPRODUCT($B2236:$Y2236,$B$2649:$Y$2649)</f>
        <v/>
      </c>
      <c r="AA2236" s="3">
        <f>SUMPRODUCT($B2236:$Y2236,$B$2655:$Y$2655)</f>
        <v/>
      </c>
      <c r="AC2236" s="1">
        <f>A2236</f>
        <v/>
      </c>
      <c r="AD2236">
        <f>IF(ISNUMBER(V2236),V2236*($AB$1/V$2635),"")</f>
        <v/>
      </c>
      <c r="AE2236">
        <f>IF(ISNUMBER(Z2236),Z2236*($AB$1/Z$2635),"")</f>
        <v/>
      </c>
      <c r="AF2236" s="25">
        <f>IF(ISNUMBER(AD2236+AE2236),AD2236+AE2236,"")</f>
        <v/>
      </c>
      <c r="AH2236" s="1">
        <f>A2236</f>
        <v/>
      </c>
      <c r="AI2236">
        <f>IF(ISNUMBER((1+V2236)*AI2235),(1+V2236)*AI2235,AI2235)</f>
        <v/>
      </c>
      <c r="AJ2236">
        <f>IF(ISNUMBER((1+Z2236)*AJ2235),(1+Z2236)*AJ2235,AJ2235)</f>
        <v/>
      </c>
    </row>
    <row r="2237">
      <c r="A2237" s="1" t="n">
        <v>45246</v>
      </c>
      <c r="B2237" s="3">
        <f>IF(ORIG!B2237=0,"",ORIG!B2237)</f>
        <v/>
      </c>
      <c r="C2237" s="3">
        <f>IF(ORIG!C2237=0,"",ORIG!C2237)</f>
        <v/>
      </c>
      <c r="D2237" s="3">
        <f>IF(ORIG!D2237=0,"",ORIG!D2237)</f>
        <v/>
      </c>
      <c r="E2237" s="3">
        <f>IF(ORIG!E2237=0,"",ORIG!E2237)</f>
        <v/>
      </c>
      <c r="F2237" s="3">
        <f>IF(ORIG!F2237=0,"",ORIG!F2237)</f>
        <v/>
      </c>
      <c r="G2237" s="3">
        <f>IF(ORIG!G2237=0,"",ORIG!G2237)</f>
        <v/>
      </c>
      <c r="H2237" s="3">
        <f>IF(ORIG!H2237=0,"",ORIG!H2237)</f>
        <v/>
      </c>
      <c r="I2237" s="3">
        <f>IF(ORIG!I2237=0,"",ORIG!I2237)</f>
        <v/>
      </c>
      <c r="J2237" s="3">
        <f>IF(ORIG!J2237=0,"",ORIG!J2237)</f>
        <v/>
      </c>
      <c r="K2237" s="3">
        <f>IF(ORIG!K2237=0,"",ORIG!K2237)</f>
        <v/>
      </c>
      <c r="L2237" s="3">
        <f>IF(ORIG!L2237=0,"",ORIG!L2237)</f>
        <v/>
      </c>
      <c r="M2237" s="3">
        <f>IF(ORIG!M2237=0,"",ORIG!M2237)</f>
        <v/>
      </c>
      <c r="N2237" s="3">
        <f>IF(ORIG!N2237=0,"",ORIG!N2237)</f>
        <v/>
      </c>
      <c r="O2237" s="3">
        <f>IF(ORIG!O2237=0,"",ORIG!O2237)</f>
        <v/>
      </c>
      <c r="P2237" s="3">
        <f>IF(ORIG!P2237=0,"",ORIG!P2237)</f>
        <v/>
      </c>
      <c r="Q2237" s="3">
        <f>IF(ORIG!Q2237=0,"",ORIG!Q2237)</f>
        <v/>
      </c>
      <c r="R2237" s="3">
        <f>IF(ORIG!R2237=0,"",ORIG!R2237)</f>
        <v/>
      </c>
      <c r="S2237" s="3">
        <f>IF(ORIG!S2237=0,"",ORIG!S2237)</f>
        <v/>
      </c>
      <c r="T2237" s="3">
        <f>IF(ORIG!T2237=0,"",ORIG!T2237)</f>
        <v/>
      </c>
      <c r="U2237" s="3">
        <f>IF(ORIG!U2237=0,"",ORIG!U2237)</f>
        <v/>
      </c>
      <c r="V2237" s="9">
        <f>IF(ORIG!V2237=0,"",ORIG!V2237)</f>
        <v/>
      </c>
      <c r="W2237" s="9">
        <f>IF(ORIG!W2237=0,"",ORIG!W2237)</f>
        <v/>
      </c>
      <c r="X2237" s="9">
        <f>IF(ORIG!X2237=0,"",ORIG!X2237)</f>
        <v/>
      </c>
      <c r="Y2237" s="9">
        <f>IF(ORIG!Y2237=0,"",ORIG!Y2237)</f>
        <v/>
      </c>
      <c r="Z2237" s="3">
        <f>SUMPRODUCT($B2237:$Y2237,$B$2649:$Y$2649)</f>
        <v/>
      </c>
      <c r="AA2237" s="3">
        <f>SUMPRODUCT($B2237:$Y2237,$B$2655:$Y$2655)</f>
        <v/>
      </c>
      <c r="AC2237" s="1">
        <f>A2237</f>
        <v/>
      </c>
      <c r="AD2237">
        <f>IF(ISNUMBER(V2237),V2237*($AB$1/V$2635),"")</f>
        <v/>
      </c>
      <c r="AE2237">
        <f>IF(ISNUMBER(Z2237),Z2237*($AB$1/Z$2635),"")</f>
        <v/>
      </c>
      <c r="AF2237" s="25">
        <f>IF(ISNUMBER(AD2237+AE2237),AD2237+AE2237,"")</f>
        <v/>
      </c>
      <c r="AH2237" s="1">
        <f>A2237</f>
        <v/>
      </c>
      <c r="AI2237">
        <f>IF(ISNUMBER((1+V2237)*AI2236),(1+V2237)*AI2236,AI2236)</f>
        <v/>
      </c>
      <c r="AJ2237">
        <f>IF(ISNUMBER((1+Z2237)*AJ2236),(1+Z2237)*AJ2236,AJ2236)</f>
        <v/>
      </c>
    </row>
    <row r="2238">
      <c r="A2238" s="1" t="n">
        <v>45247</v>
      </c>
      <c r="B2238" s="3">
        <f>IF(ORIG!B2238=0,"",ORIG!B2238)</f>
        <v/>
      </c>
      <c r="C2238" s="3">
        <f>IF(ORIG!C2238=0,"",ORIG!C2238)</f>
        <v/>
      </c>
      <c r="D2238" s="3">
        <f>IF(ORIG!D2238=0,"",ORIG!D2238)</f>
        <v/>
      </c>
      <c r="E2238" s="3">
        <f>IF(ORIG!E2238=0,"",ORIG!E2238)</f>
        <v/>
      </c>
      <c r="F2238" s="3">
        <f>IF(ORIG!F2238=0,"",ORIG!F2238)</f>
        <v/>
      </c>
      <c r="G2238" s="3">
        <f>IF(ORIG!G2238=0,"",ORIG!G2238)</f>
        <v/>
      </c>
      <c r="H2238" s="3">
        <f>IF(ORIG!H2238=0,"",ORIG!H2238)</f>
        <v/>
      </c>
      <c r="I2238" s="3">
        <f>IF(ORIG!I2238=0,"",ORIG!I2238)</f>
        <v/>
      </c>
      <c r="J2238" s="3">
        <f>IF(ORIG!J2238=0,"",ORIG!J2238)</f>
        <v/>
      </c>
      <c r="K2238" s="3">
        <f>IF(ORIG!K2238=0,"",ORIG!K2238)</f>
        <v/>
      </c>
      <c r="L2238" s="3">
        <f>IF(ORIG!L2238=0,"",ORIG!L2238)</f>
        <v/>
      </c>
      <c r="M2238" s="3">
        <f>IF(ORIG!M2238=0,"",ORIG!M2238)</f>
        <v/>
      </c>
      <c r="N2238" s="3">
        <f>IF(ORIG!N2238=0,"",ORIG!N2238)</f>
        <v/>
      </c>
      <c r="O2238" s="3">
        <f>IF(ORIG!O2238=0,"",ORIG!O2238)</f>
        <v/>
      </c>
      <c r="P2238" s="3">
        <f>IF(ORIG!P2238=0,"",ORIG!P2238)</f>
        <v/>
      </c>
      <c r="Q2238" s="3">
        <f>IF(ORIG!Q2238=0,"",ORIG!Q2238)</f>
        <v/>
      </c>
      <c r="R2238" s="3">
        <f>IF(ORIG!R2238=0,"",ORIG!R2238)</f>
        <v/>
      </c>
      <c r="S2238" s="3">
        <f>IF(ORIG!S2238=0,"",ORIG!S2238)</f>
        <v/>
      </c>
      <c r="T2238" s="3">
        <f>IF(ORIG!T2238=0,"",ORIG!T2238)</f>
        <v/>
      </c>
      <c r="U2238" s="3">
        <f>IF(ORIG!U2238=0,"",ORIG!U2238)</f>
        <v/>
      </c>
      <c r="V2238" s="9">
        <f>IF(ORIG!V2238=0,"",ORIG!V2238)</f>
        <v/>
      </c>
      <c r="W2238" s="9">
        <f>IF(ORIG!W2238=0,"",ORIG!W2238)</f>
        <v/>
      </c>
      <c r="X2238" s="9">
        <f>IF(ORIG!X2238=0,"",ORIG!X2238)</f>
        <v/>
      </c>
      <c r="Y2238" s="9">
        <f>IF(ORIG!Y2238=0,"",ORIG!Y2238)</f>
        <v/>
      </c>
      <c r="Z2238" s="3">
        <f>SUMPRODUCT($B2238:$Y2238,$B$2649:$Y$2649)</f>
        <v/>
      </c>
      <c r="AA2238" s="3">
        <f>SUMPRODUCT($B2238:$Y2238,$B$2655:$Y$2655)</f>
        <v/>
      </c>
      <c r="AC2238" s="1">
        <f>A2238</f>
        <v/>
      </c>
      <c r="AD2238">
        <f>IF(ISNUMBER(V2238),V2238*($AB$1/V$2635),"")</f>
        <v/>
      </c>
      <c r="AE2238">
        <f>IF(ISNUMBER(Z2238),Z2238*($AB$1/Z$2635),"")</f>
        <v/>
      </c>
      <c r="AF2238" s="25">
        <f>IF(ISNUMBER(AD2238+AE2238),AD2238+AE2238,"")</f>
        <v/>
      </c>
      <c r="AH2238" s="1">
        <f>A2238</f>
        <v/>
      </c>
      <c r="AI2238">
        <f>IF(ISNUMBER((1+V2238)*AI2237),(1+V2238)*AI2237,AI2237)</f>
        <v/>
      </c>
      <c r="AJ2238">
        <f>IF(ISNUMBER((1+Z2238)*AJ2237),(1+Z2238)*AJ2237,AJ2237)</f>
        <v/>
      </c>
    </row>
    <row r="2239">
      <c r="A2239" s="1" t="n">
        <v>45250</v>
      </c>
      <c r="B2239" s="3">
        <f>IF(ORIG!B2239=0,"",ORIG!B2239)</f>
        <v/>
      </c>
      <c r="C2239" s="3">
        <f>IF(ORIG!C2239=0,"",ORIG!C2239)</f>
        <v/>
      </c>
      <c r="D2239" s="3">
        <f>IF(ORIG!D2239=0,"",ORIG!D2239)</f>
        <v/>
      </c>
      <c r="E2239" s="3">
        <f>IF(ORIG!E2239=0,"",ORIG!E2239)</f>
        <v/>
      </c>
      <c r="F2239" s="3">
        <f>IF(ORIG!F2239=0,"",ORIG!F2239)</f>
        <v/>
      </c>
      <c r="G2239" s="3">
        <f>IF(ORIG!G2239=0,"",ORIG!G2239)</f>
        <v/>
      </c>
      <c r="H2239" s="3">
        <f>IF(ORIG!H2239=0,"",ORIG!H2239)</f>
        <v/>
      </c>
      <c r="I2239" s="3">
        <f>IF(ORIG!I2239=0,"",ORIG!I2239)</f>
        <v/>
      </c>
      <c r="J2239" s="3">
        <f>IF(ORIG!J2239=0,"",ORIG!J2239)</f>
        <v/>
      </c>
      <c r="K2239" s="3">
        <f>IF(ORIG!K2239=0,"",ORIG!K2239)</f>
        <v/>
      </c>
      <c r="L2239" s="3">
        <f>IF(ORIG!L2239=0,"",ORIG!L2239)</f>
        <v/>
      </c>
      <c r="M2239" s="3">
        <f>IF(ORIG!M2239=0,"",ORIG!M2239)</f>
        <v/>
      </c>
      <c r="N2239" s="3">
        <f>IF(ORIG!N2239=0,"",ORIG!N2239)</f>
        <v/>
      </c>
      <c r="O2239" s="3">
        <f>IF(ORIG!O2239=0,"",ORIG!O2239)</f>
        <v/>
      </c>
      <c r="P2239" s="3">
        <f>IF(ORIG!P2239=0,"",ORIG!P2239)</f>
        <v/>
      </c>
      <c r="Q2239" s="3">
        <f>IF(ORIG!Q2239=0,"",ORIG!Q2239)</f>
        <v/>
      </c>
      <c r="R2239" s="3">
        <f>IF(ORIG!R2239=0,"",ORIG!R2239)</f>
        <v/>
      </c>
      <c r="S2239" s="3">
        <f>IF(ORIG!S2239=0,"",ORIG!S2239)</f>
        <v/>
      </c>
      <c r="T2239" s="3">
        <f>IF(ORIG!T2239=0,"",ORIG!T2239)</f>
        <v/>
      </c>
      <c r="U2239" s="3">
        <f>IF(ORIG!U2239=0,"",ORIG!U2239)</f>
        <v/>
      </c>
      <c r="V2239" s="9">
        <f>IF(ORIG!V2239=0,"",ORIG!V2239)</f>
        <v/>
      </c>
      <c r="W2239" s="9">
        <f>IF(ORIG!W2239=0,"",ORIG!W2239)</f>
        <v/>
      </c>
      <c r="X2239" s="9">
        <f>IF(ORIG!X2239=0,"",ORIG!X2239)</f>
        <v/>
      </c>
      <c r="Y2239" s="9">
        <f>IF(ORIG!Y2239=0,"",ORIG!Y2239)</f>
        <v/>
      </c>
      <c r="Z2239" s="3">
        <f>SUMPRODUCT($B2239:$Y2239,$B$2649:$Y$2649)</f>
        <v/>
      </c>
      <c r="AA2239" s="3">
        <f>SUMPRODUCT($B2239:$Y2239,$B$2655:$Y$2655)</f>
        <v/>
      </c>
      <c r="AC2239" s="1">
        <f>A2239</f>
        <v/>
      </c>
      <c r="AD2239">
        <f>IF(ISNUMBER(V2239),V2239*($AB$1/V$2635),"")</f>
        <v/>
      </c>
      <c r="AE2239">
        <f>IF(ISNUMBER(Z2239),Z2239*($AB$1/Z$2635),"")</f>
        <v/>
      </c>
      <c r="AF2239" s="25">
        <f>IF(ISNUMBER(AD2239+AE2239),AD2239+AE2239,"")</f>
        <v/>
      </c>
      <c r="AH2239" s="1">
        <f>A2239</f>
        <v/>
      </c>
      <c r="AI2239">
        <f>IF(ISNUMBER((1+V2239)*AI2238),(1+V2239)*AI2238,AI2238)</f>
        <v/>
      </c>
      <c r="AJ2239">
        <f>IF(ISNUMBER((1+Z2239)*AJ2238),(1+Z2239)*AJ2238,AJ2238)</f>
        <v/>
      </c>
    </row>
    <row r="2240">
      <c r="A2240" s="1" t="n">
        <v>45251</v>
      </c>
      <c r="B2240" s="3">
        <f>IF(ORIG!B2240=0,"",ORIG!B2240)</f>
        <v/>
      </c>
      <c r="C2240" s="3">
        <f>IF(ORIG!C2240=0,"",ORIG!C2240)</f>
        <v/>
      </c>
      <c r="D2240" s="3">
        <f>IF(ORIG!D2240=0,"",ORIG!D2240)</f>
        <v/>
      </c>
      <c r="E2240" s="3">
        <f>IF(ORIG!E2240=0,"",ORIG!E2240)</f>
        <v/>
      </c>
      <c r="F2240" s="3">
        <f>IF(ORIG!F2240=0,"",ORIG!F2240)</f>
        <v/>
      </c>
      <c r="G2240" s="3">
        <f>IF(ORIG!G2240=0,"",ORIG!G2240)</f>
        <v/>
      </c>
      <c r="H2240" s="3">
        <f>IF(ORIG!H2240=0,"",ORIG!H2240)</f>
        <v/>
      </c>
      <c r="I2240" s="3">
        <f>IF(ORIG!I2240=0,"",ORIG!I2240)</f>
        <v/>
      </c>
      <c r="J2240" s="3">
        <f>IF(ORIG!J2240=0,"",ORIG!J2240)</f>
        <v/>
      </c>
      <c r="K2240" s="3">
        <f>IF(ORIG!K2240=0,"",ORIG!K2240)</f>
        <v/>
      </c>
      <c r="L2240" s="3">
        <f>IF(ORIG!L2240=0,"",ORIG!L2240)</f>
        <v/>
      </c>
      <c r="M2240" s="3">
        <f>IF(ORIG!M2240=0,"",ORIG!M2240)</f>
        <v/>
      </c>
      <c r="N2240" s="3">
        <f>IF(ORIG!N2240=0,"",ORIG!N2240)</f>
        <v/>
      </c>
      <c r="O2240" s="3">
        <f>IF(ORIG!O2240=0,"",ORIG!O2240)</f>
        <v/>
      </c>
      <c r="P2240" s="3">
        <f>IF(ORIG!P2240=0,"",ORIG!P2240)</f>
        <v/>
      </c>
      <c r="Q2240" s="3">
        <f>IF(ORIG!Q2240=0,"",ORIG!Q2240)</f>
        <v/>
      </c>
      <c r="R2240" s="3">
        <f>IF(ORIG!R2240=0,"",ORIG!R2240)</f>
        <v/>
      </c>
      <c r="S2240" s="3">
        <f>IF(ORIG!S2240=0,"",ORIG!S2240)</f>
        <v/>
      </c>
      <c r="T2240" s="3">
        <f>IF(ORIG!T2240=0,"",ORIG!T2240)</f>
        <v/>
      </c>
      <c r="U2240" s="3">
        <f>IF(ORIG!U2240=0,"",ORIG!U2240)</f>
        <v/>
      </c>
      <c r="V2240" s="9">
        <f>IF(ORIG!V2240=0,"",ORIG!V2240)</f>
        <v/>
      </c>
      <c r="W2240" s="9">
        <f>IF(ORIG!W2240=0,"",ORIG!W2240)</f>
        <v/>
      </c>
      <c r="X2240" s="9">
        <f>IF(ORIG!X2240=0,"",ORIG!X2240)</f>
        <v/>
      </c>
      <c r="Y2240" s="9">
        <f>IF(ORIG!Y2240=0,"",ORIG!Y2240)</f>
        <v/>
      </c>
      <c r="Z2240" s="3">
        <f>SUMPRODUCT($B2240:$Y2240,$B$2649:$Y$2649)</f>
        <v/>
      </c>
      <c r="AA2240" s="3">
        <f>SUMPRODUCT($B2240:$Y2240,$B$2655:$Y$2655)</f>
        <v/>
      </c>
      <c r="AC2240" s="1">
        <f>A2240</f>
        <v/>
      </c>
      <c r="AD2240">
        <f>IF(ISNUMBER(V2240),V2240*($AB$1/V$2635),"")</f>
        <v/>
      </c>
      <c r="AE2240">
        <f>IF(ISNUMBER(Z2240),Z2240*($AB$1/Z$2635),"")</f>
        <v/>
      </c>
      <c r="AF2240" s="25">
        <f>IF(ISNUMBER(AD2240+AE2240),AD2240+AE2240,"")</f>
        <v/>
      </c>
      <c r="AH2240" s="1">
        <f>A2240</f>
        <v/>
      </c>
      <c r="AI2240">
        <f>IF(ISNUMBER((1+V2240)*AI2239),(1+V2240)*AI2239,AI2239)</f>
        <v/>
      </c>
      <c r="AJ2240">
        <f>IF(ISNUMBER((1+Z2240)*AJ2239),(1+Z2240)*AJ2239,AJ2239)</f>
        <v/>
      </c>
    </row>
    <row r="2241">
      <c r="A2241" s="1" t="n">
        <v>45252</v>
      </c>
      <c r="B2241" s="3">
        <f>IF(ORIG!B2241=0,"",ORIG!B2241)</f>
        <v/>
      </c>
      <c r="C2241" s="3">
        <f>IF(ORIG!C2241=0,"",ORIG!C2241)</f>
        <v/>
      </c>
      <c r="D2241" s="3">
        <f>IF(ORIG!D2241=0,"",ORIG!D2241)</f>
        <v/>
      </c>
      <c r="E2241" s="3">
        <f>IF(ORIG!E2241=0,"",ORIG!E2241)</f>
        <v/>
      </c>
      <c r="F2241" s="3">
        <f>IF(ORIG!F2241=0,"",ORIG!F2241)</f>
        <v/>
      </c>
      <c r="G2241" s="3">
        <f>IF(ORIG!G2241=0,"",ORIG!G2241)</f>
        <v/>
      </c>
      <c r="H2241" s="3">
        <f>IF(ORIG!H2241=0,"",ORIG!H2241)</f>
        <v/>
      </c>
      <c r="I2241" s="3">
        <f>IF(ORIG!I2241=0,"",ORIG!I2241)</f>
        <v/>
      </c>
      <c r="J2241" s="3">
        <f>IF(ORIG!J2241=0,"",ORIG!J2241)</f>
        <v/>
      </c>
      <c r="K2241" s="3">
        <f>IF(ORIG!K2241=0,"",ORIG!K2241)</f>
        <v/>
      </c>
      <c r="L2241" s="3">
        <f>IF(ORIG!L2241=0,"",ORIG!L2241)</f>
        <v/>
      </c>
      <c r="M2241" s="3">
        <f>IF(ORIG!M2241=0,"",ORIG!M2241)</f>
        <v/>
      </c>
      <c r="N2241" s="3">
        <f>IF(ORIG!N2241=0,"",ORIG!N2241)</f>
        <v/>
      </c>
      <c r="O2241" s="3">
        <f>IF(ORIG!O2241=0,"",ORIG!O2241)</f>
        <v/>
      </c>
      <c r="P2241" s="3">
        <f>IF(ORIG!P2241=0,"",ORIG!P2241)</f>
        <v/>
      </c>
      <c r="Q2241" s="3">
        <f>IF(ORIG!Q2241=0,"",ORIG!Q2241)</f>
        <v/>
      </c>
      <c r="R2241" s="3">
        <f>IF(ORIG!R2241=0,"",ORIG!R2241)</f>
        <v/>
      </c>
      <c r="S2241" s="3">
        <f>IF(ORIG!S2241=0,"",ORIG!S2241)</f>
        <v/>
      </c>
      <c r="T2241" s="3">
        <f>IF(ORIG!T2241=0,"",ORIG!T2241)</f>
        <v/>
      </c>
      <c r="U2241" s="3">
        <f>IF(ORIG!U2241=0,"",ORIG!U2241)</f>
        <v/>
      </c>
      <c r="V2241" s="9">
        <f>IF(ORIG!V2241=0,"",ORIG!V2241)</f>
        <v/>
      </c>
      <c r="W2241" s="9">
        <f>IF(ORIG!W2241=0,"",ORIG!W2241)</f>
        <v/>
      </c>
      <c r="X2241" s="9">
        <f>IF(ORIG!X2241=0,"",ORIG!X2241)</f>
        <v/>
      </c>
      <c r="Y2241" s="9">
        <f>IF(ORIG!Y2241=0,"",ORIG!Y2241)</f>
        <v/>
      </c>
      <c r="Z2241" s="3">
        <f>SUMPRODUCT($B2241:$Y2241,$B$2649:$Y$2649)</f>
        <v/>
      </c>
      <c r="AA2241" s="3">
        <f>SUMPRODUCT($B2241:$Y2241,$B$2655:$Y$2655)</f>
        <v/>
      </c>
      <c r="AC2241" s="1">
        <f>A2241</f>
        <v/>
      </c>
      <c r="AD2241">
        <f>IF(ISNUMBER(V2241),V2241*($AB$1/V$2635),"")</f>
        <v/>
      </c>
      <c r="AE2241">
        <f>IF(ISNUMBER(Z2241),Z2241*($AB$1/Z$2635),"")</f>
        <v/>
      </c>
      <c r="AF2241" s="25">
        <f>IF(ISNUMBER(AD2241+AE2241),AD2241+AE2241,"")</f>
        <v/>
      </c>
      <c r="AH2241" s="1">
        <f>A2241</f>
        <v/>
      </c>
      <c r="AI2241">
        <f>IF(ISNUMBER((1+V2241)*AI2240),(1+V2241)*AI2240,AI2240)</f>
        <v/>
      </c>
      <c r="AJ2241">
        <f>IF(ISNUMBER((1+Z2241)*AJ2240),(1+Z2241)*AJ2240,AJ2240)</f>
        <v/>
      </c>
    </row>
    <row r="2242">
      <c r="A2242" s="1" t="n">
        <v>45254</v>
      </c>
      <c r="B2242" s="3">
        <f>IF(ORIG!B2242=0,"",ORIG!B2242)</f>
        <v/>
      </c>
      <c r="C2242" s="3">
        <f>IF(ORIG!C2242=0,"",ORIG!C2242)</f>
        <v/>
      </c>
      <c r="D2242" s="3">
        <f>IF(ORIG!D2242=0,"",ORIG!D2242)</f>
        <v/>
      </c>
      <c r="E2242" s="3">
        <f>IF(ORIG!E2242=0,"",ORIG!E2242)</f>
        <v/>
      </c>
      <c r="F2242" s="3">
        <f>IF(ORIG!F2242=0,"",ORIG!F2242)</f>
        <v/>
      </c>
      <c r="G2242" s="3">
        <f>IF(ORIG!G2242=0,"",ORIG!G2242)</f>
        <v/>
      </c>
      <c r="H2242" s="3">
        <f>IF(ORIG!H2242=0,"",ORIG!H2242)</f>
        <v/>
      </c>
      <c r="I2242" s="3">
        <f>IF(ORIG!I2242=0,"",ORIG!I2242)</f>
        <v/>
      </c>
      <c r="J2242" s="3">
        <f>IF(ORIG!J2242=0,"",ORIG!J2242)</f>
        <v/>
      </c>
      <c r="K2242" s="3">
        <f>IF(ORIG!K2242=0,"",ORIG!K2242)</f>
        <v/>
      </c>
      <c r="L2242" s="3">
        <f>IF(ORIG!L2242=0,"",ORIG!L2242)</f>
        <v/>
      </c>
      <c r="M2242" s="3">
        <f>IF(ORIG!M2242=0,"",ORIG!M2242)</f>
        <v/>
      </c>
      <c r="N2242" s="3">
        <f>IF(ORIG!N2242=0,"",ORIG!N2242)</f>
        <v/>
      </c>
      <c r="O2242" s="3">
        <f>IF(ORIG!O2242=0,"",ORIG!O2242)</f>
        <v/>
      </c>
      <c r="P2242" s="3">
        <f>IF(ORIG!P2242=0,"",ORIG!P2242)</f>
        <v/>
      </c>
      <c r="Q2242" s="3">
        <f>IF(ORIG!Q2242=0,"",ORIG!Q2242)</f>
        <v/>
      </c>
      <c r="R2242" s="3">
        <f>IF(ORIG!R2242=0,"",ORIG!R2242)</f>
        <v/>
      </c>
      <c r="S2242" s="3">
        <f>IF(ORIG!S2242=0,"",ORIG!S2242)</f>
        <v/>
      </c>
      <c r="T2242" s="3">
        <f>IF(ORIG!T2242=0,"",ORIG!T2242)</f>
        <v/>
      </c>
      <c r="U2242" s="3">
        <f>IF(ORIG!U2242=0,"",ORIG!U2242)</f>
        <v/>
      </c>
      <c r="V2242" s="9">
        <f>IF(ORIG!V2242=0,"",ORIG!V2242)</f>
        <v/>
      </c>
      <c r="W2242" s="9">
        <f>IF(ORIG!W2242=0,"",ORIG!W2242)</f>
        <v/>
      </c>
      <c r="X2242" s="9">
        <f>IF(ORIG!X2242=0,"",ORIG!X2242)</f>
        <v/>
      </c>
      <c r="Y2242" s="9">
        <f>IF(ORIG!Y2242=0,"",ORIG!Y2242)</f>
        <v/>
      </c>
      <c r="Z2242" s="3">
        <f>SUMPRODUCT($B2242:$Y2242,$B$2649:$Y$2649)</f>
        <v/>
      </c>
      <c r="AA2242" s="3">
        <f>SUMPRODUCT($B2242:$Y2242,$B$2655:$Y$2655)</f>
        <v/>
      </c>
      <c r="AC2242" s="1">
        <f>A2242</f>
        <v/>
      </c>
      <c r="AD2242">
        <f>IF(ISNUMBER(V2242),V2242*($AB$1/V$2635),"")</f>
        <v/>
      </c>
      <c r="AE2242">
        <f>IF(ISNUMBER(Z2242),Z2242*($AB$1/Z$2635),"")</f>
        <v/>
      </c>
      <c r="AF2242" s="25">
        <f>IF(ISNUMBER(AD2242+AE2242),AD2242+AE2242,"")</f>
        <v/>
      </c>
      <c r="AH2242" s="1">
        <f>A2242</f>
        <v/>
      </c>
      <c r="AI2242">
        <f>IF(ISNUMBER((1+V2242)*AI2241),(1+V2242)*AI2241,AI2241)</f>
        <v/>
      </c>
      <c r="AJ2242">
        <f>IF(ISNUMBER((1+Z2242)*AJ2241),(1+Z2242)*AJ2241,AJ2241)</f>
        <v/>
      </c>
    </row>
    <row r="2243">
      <c r="A2243" s="1" t="n">
        <v>45257</v>
      </c>
      <c r="B2243" s="3">
        <f>IF(ORIG!B2243=0,"",ORIG!B2243)</f>
        <v/>
      </c>
      <c r="C2243" s="3">
        <f>IF(ORIG!C2243=0,"",ORIG!C2243)</f>
        <v/>
      </c>
      <c r="D2243" s="3">
        <f>IF(ORIG!D2243=0,"",ORIG!D2243)</f>
        <v/>
      </c>
      <c r="E2243" s="3">
        <f>IF(ORIG!E2243=0,"",ORIG!E2243)</f>
        <v/>
      </c>
      <c r="F2243" s="3">
        <f>IF(ORIG!F2243=0,"",ORIG!F2243)</f>
        <v/>
      </c>
      <c r="G2243" s="3">
        <f>IF(ORIG!G2243=0,"",ORIG!G2243)</f>
        <v/>
      </c>
      <c r="H2243" s="3">
        <f>IF(ORIG!H2243=0,"",ORIG!H2243)</f>
        <v/>
      </c>
      <c r="I2243" s="3">
        <f>IF(ORIG!I2243=0,"",ORIG!I2243)</f>
        <v/>
      </c>
      <c r="J2243" s="3">
        <f>IF(ORIG!J2243=0,"",ORIG!J2243)</f>
        <v/>
      </c>
      <c r="K2243" s="3">
        <f>IF(ORIG!K2243=0,"",ORIG!K2243)</f>
        <v/>
      </c>
      <c r="L2243" s="3">
        <f>IF(ORIG!L2243=0,"",ORIG!L2243)</f>
        <v/>
      </c>
      <c r="M2243" s="3">
        <f>IF(ORIG!M2243=0,"",ORIG!M2243)</f>
        <v/>
      </c>
      <c r="N2243" s="3">
        <f>IF(ORIG!N2243=0,"",ORIG!N2243)</f>
        <v/>
      </c>
      <c r="O2243" s="3">
        <f>IF(ORIG!O2243=0,"",ORIG!O2243)</f>
        <v/>
      </c>
      <c r="P2243" s="3">
        <f>IF(ORIG!P2243=0,"",ORIG!P2243)</f>
        <v/>
      </c>
      <c r="Q2243" s="3">
        <f>IF(ORIG!Q2243=0,"",ORIG!Q2243)</f>
        <v/>
      </c>
      <c r="R2243" s="3">
        <f>IF(ORIG!R2243=0,"",ORIG!R2243)</f>
        <v/>
      </c>
      <c r="S2243" s="3">
        <f>IF(ORIG!S2243=0,"",ORIG!S2243)</f>
        <v/>
      </c>
      <c r="T2243" s="3">
        <f>IF(ORIG!T2243=0,"",ORIG!T2243)</f>
        <v/>
      </c>
      <c r="U2243" s="3">
        <f>IF(ORIG!U2243=0,"",ORIG!U2243)</f>
        <v/>
      </c>
      <c r="V2243" s="9">
        <f>IF(ORIG!V2243=0,"",ORIG!V2243)</f>
        <v/>
      </c>
      <c r="W2243" s="9">
        <f>IF(ORIG!W2243=0,"",ORIG!W2243)</f>
        <v/>
      </c>
      <c r="X2243" s="9">
        <f>IF(ORIG!X2243=0,"",ORIG!X2243)</f>
        <v/>
      </c>
      <c r="Y2243" s="9">
        <f>IF(ORIG!Y2243=0,"",ORIG!Y2243)</f>
        <v/>
      </c>
      <c r="Z2243" s="3">
        <f>SUMPRODUCT($B2243:$Y2243,$B$2649:$Y$2649)</f>
        <v/>
      </c>
      <c r="AA2243" s="3">
        <f>SUMPRODUCT($B2243:$Y2243,$B$2655:$Y$2655)</f>
        <v/>
      </c>
      <c r="AC2243" s="1">
        <f>A2243</f>
        <v/>
      </c>
      <c r="AD2243">
        <f>IF(ISNUMBER(V2243),V2243*($AB$1/V$2635),"")</f>
        <v/>
      </c>
      <c r="AE2243">
        <f>IF(ISNUMBER(Z2243),Z2243*($AB$1/Z$2635),"")</f>
        <v/>
      </c>
      <c r="AF2243" s="25">
        <f>IF(ISNUMBER(AD2243+AE2243),AD2243+AE2243,"")</f>
        <v/>
      </c>
      <c r="AH2243" s="1">
        <f>A2243</f>
        <v/>
      </c>
      <c r="AI2243">
        <f>IF(ISNUMBER((1+V2243)*AI2242),(1+V2243)*AI2242,AI2242)</f>
        <v/>
      </c>
      <c r="AJ2243">
        <f>IF(ISNUMBER((1+Z2243)*AJ2242),(1+Z2243)*AJ2242,AJ2242)</f>
        <v/>
      </c>
    </row>
    <row r="2244">
      <c r="A2244" s="1" t="n">
        <v>45258</v>
      </c>
      <c r="B2244" s="3">
        <f>IF(ORIG!B2244=0,"",ORIG!B2244)</f>
        <v/>
      </c>
      <c r="C2244" s="3">
        <f>IF(ORIG!C2244=0,"",ORIG!C2244)</f>
        <v/>
      </c>
      <c r="D2244" s="3">
        <f>IF(ORIG!D2244=0,"",ORIG!D2244)</f>
        <v/>
      </c>
      <c r="E2244" s="3">
        <f>IF(ORIG!E2244=0,"",ORIG!E2244)</f>
        <v/>
      </c>
      <c r="F2244" s="3">
        <f>IF(ORIG!F2244=0,"",ORIG!F2244)</f>
        <v/>
      </c>
      <c r="G2244" s="3">
        <f>IF(ORIG!G2244=0,"",ORIG!G2244)</f>
        <v/>
      </c>
      <c r="H2244" s="3">
        <f>IF(ORIG!H2244=0,"",ORIG!H2244)</f>
        <v/>
      </c>
      <c r="I2244" s="3">
        <f>IF(ORIG!I2244=0,"",ORIG!I2244)</f>
        <v/>
      </c>
      <c r="J2244" s="3">
        <f>IF(ORIG!J2244=0,"",ORIG!J2244)</f>
        <v/>
      </c>
      <c r="K2244" s="3">
        <f>IF(ORIG!K2244=0,"",ORIG!K2244)</f>
        <v/>
      </c>
      <c r="L2244" s="3">
        <f>IF(ORIG!L2244=0,"",ORIG!L2244)</f>
        <v/>
      </c>
      <c r="M2244" s="3">
        <f>IF(ORIG!M2244=0,"",ORIG!M2244)</f>
        <v/>
      </c>
      <c r="N2244" s="3">
        <f>IF(ORIG!N2244=0,"",ORIG!N2244)</f>
        <v/>
      </c>
      <c r="O2244" s="3">
        <f>IF(ORIG!O2244=0,"",ORIG!O2244)</f>
        <v/>
      </c>
      <c r="P2244" s="3">
        <f>IF(ORIG!P2244=0,"",ORIG!P2244)</f>
        <v/>
      </c>
      <c r="Q2244" s="3">
        <f>IF(ORIG!Q2244=0,"",ORIG!Q2244)</f>
        <v/>
      </c>
      <c r="R2244" s="3">
        <f>IF(ORIG!R2244=0,"",ORIG!R2244)</f>
        <v/>
      </c>
      <c r="S2244" s="3">
        <f>IF(ORIG!S2244=0,"",ORIG!S2244)</f>
        <v/>
      </c>
      <c r="T2244" s="3">
        <f>IF(ORIG!T2244=0,"",ORIG!T2244)</f>
        <v/>
      </c>
      <c r="U2244" s="3">
        <f>IF(ORIG!U2244=0,"",ORIG!U2244)</f>
        <v/>
      </c>
      <c r="V2244" s="9">
        <f>IF(ORIG!V2244=0,"",ORIG!V2244)</f>
        <v/>
      </c>
      <c r="W2244" s="9">
        <f>IF(ORIG!W2244=0,"",ORIG!W2244)</f>
        <v/>
      </c>
      <c r="X2244" s="9">
        <f>IF(ORIG!X2244=0,"",ORIG!X2244)</f>
        <v/>
      </c>
      <c r="Y2244" s="9">
        <f>IF(ORIG!Y2244=0,"",ORIG!Y2244)</f>
        <v/>
      </c>
      <c r="Z2244" s="3">
        <f>SUMPRODUCT($B2244:$Y2244,$B$2649:$Y$2649)</f>
        <v/>
      </c>
      <c r="AA2244" s="3">
        <f>SUMPRODUCT($B2244:$Y2244,$B$2655:$Y$2655)</f>
        <v/>
      </c>
      <c r="AC2244" s="1">
        <f>A2244</f>
        <v/>
      </c>
      <c r="AD2244">
        <f>IF(ISNUMBER(V2244),V2244*($AB$1/V$2635),"")</f>
        <v/>
      </c>
      <c r="AE2244">
        <f>IF(ISNUMBER(Z2244),Z2244*($AB$1/Z$2635),"")</f>
        <v/>
      </c>
      <c r="AF2244" s="25">
        <f>IF(ISNUMBER(AD2244+AE2244),AD2244+AE2244,"")</f>
        <v/>
      </c>
      <c r="AH2244" s="1">
        <f>A2244</f>
        <v/>
      </c>
      <c r="AI2244">
        <f>IF(ISNUMBER((1+V2244)*AI2243),(1+V2244)*AI2243,AI2243)</f>
        <v/>
      </c>
      <c r="AJ2244">
        <f>IF(ISNUMBER((1+Z2244)*AJ2243),(1+Z2244)*AJ2243,AJ2243)</f>
        <v/>
      </c>
    </row>
    <row r="2245">
      <c r="A2245" s="1" t="n">
        <v>45259</v>
      </c>
      <c r="B2245" s="3">
        <f>IF(ORIG!B2245=0,"",ORIG!B2245)</f>
        <v/>
      </c>
      <c r="C2245" s="3">
        <f>IF(ORIG!C2245=0,"",ORIG!C2245)</f>
        <v/>
      </c>
      <c r="D2245" s="3">
        <f>IF(ORIG!D2245=0,"",ORIG!D2245)</f>
        <v/>
      </c>
      <c r="E2245" s="3">
        <f>IF(ORIG!E2245=0,"",ORIG!E2245)</f>
        <v/>
      </c>
      <c r="F2245" s="3">
        <f>IF(ORIG!F2245=0,"",ORIG!F2245)</f>
        <v/>
      </c>
      <c r="G2245" s="3">
        <f>IF(ORIG!G2245=0,"",ORIG!G2245)</f>
        <v/>
      </c>
      <c r="H2245" s="3">
        <f>IF(ORIG!H2245=0,"",ORIG!H2245)</f>
        <v/>
      </c>
      <c r="I2245" s="3">
        <f>IF(ORIG!I2245=0,"",ORIG!I2245)</f>
        <v/>
      </c>
      <c r="J2245" s="3">
        <f>IF(ORIG!J2245=0,"",ORIG!J2245)</f>
        <v/>
      </c>
      <c r="K2245" s="3">
        <f>IF(ORIG!K2245=0,"",ORIG!K2245)</f>
        <v/>
      </c>
      <c r="L2245" s="3">
        <f>IF(ORIG!L2245=0,"",ORIG!L2245)</f>
        <v/>
      </c>
      <c r="M2245" s="3">
        <f>IF(ORIG!M2245=0,"",ORIG!M2245)</f>
        <v/>
      </c>
      <c r="N2245" s="3">
        <f>IF(ORIG!N2245=0,"",ORIG!N2245)</f>
        <v/>
      </c>
      <c r="O2245" s="3">
        <f>IF(ORIG!O2245=0,"",ORIG!O2245)</f>
        <v/>
      </c>
      <c r="P2245" s="3">
        <f>IF(ORIG!P2245=0,"",ORIG!P2245)</f>
        <v/>
      </c>
      <c r="Q2245" s="3">
        <f>IF(ORIG!Q2245=0,"",ORIG!Q2245)</f>
        <v/>
      </c>
      <c r="R2245" s="3">
        <f>IF(ORIG!R2245=0,"",ORIG!R2245)</f>
        <v/>
      </c>
      <c r="S2245" s="3">
        <f>IF(ORIG!S2245=0,"",ORIG!S2245)</f>
        <v/>
      </c>
      <c r="T2245" s="3">
        <f>IF(ORIG!T2245=0,"",ORIG!T2245)</f>
        <v/>
      </c>
      <c r="U2245" s="3">
        <f>IF(ORIG!U2245=0,"",ORIG!U2245)</f>
        <v/>
      </c>
      <c r="V2245" s="9">
        <f>IF(ORIG!V2245=0,"",ORIG!V2245)</f>
        <v/>
      </c>
      <c r="W2245" s="9">
        <f>IF(ORIG!W2245=0,"",ORIG!W2245)</f>
        <v/>
      </c>
      <c r="X2245" s="9">
        <f>IF(ORIG!X2245=0,"",ORIG!X2245)</f>
        <v/>
      </c>
      <c r="Y2245" s="9">
        <f>IF(ORIG!Y2245=0,"",ORIG!Y2245)</f>
        <v/>
      </c>
      <c r="Z2245" s="3">
        <f>SUMPRODUCT($B2245:$Y2245,$B$2649:$Y$2649)</f>
        <v/>
      </c>
      <c r="AA2245" s="3">
        <f>SUMPRODUCT($B2245:$Y2245,$B$2655:$Y$2655)</f>
        <v/>
      </c>
      <c r="AC2245" s="1">
        <f>A2245</f>
        <v/>
      </c>
      <c r="AD2245">
        <f>IF(ISNUMBER(V2245),V2245*($AB$1/V$2635),"")</f>
        <v/>
      </c>
      <c r="AE2245">
        <f>IF(ISNUMBER(Z2245),Z2245*($AB$1/Z$2635),"")</f>
        <v/>
      </c>
      <c r="AF2245" s="25">
        <f>IF(ISNUMBER(AD2245+AE2245),AD2245+AE2245,"")</f>
        <v/>
      </c>
      <c r="AH2245" s="1">
        <f>A2245</f>
        <v/>
      </c>
      <c r="AI2245">
        <f>IF(ISNUMBER((1+V2245)*AI2244),(1+V2245)*AI2244,AI2244)</f>
        <v/>
      </c>
      <c r="AJ2245">
        <f>IF(ISNUMBER((1+Z2245)*AJ2244),(1+Z2245)*AJ2244,AJ2244)</f>
        <v/>
      </c>
    </row>
    <row r="2246">
      <c r="A2246" s="1" t="n">
        <v>45260</v>
      </c>
      <c r="B2246" s="3">
        <f>IF(ORIG!B2246=0,"",ORIG!B2246)</f>
        <v/>
      </c>
      <c r="C2246" s="3">
        <f>IF(ORIG!C2246=0,"",ORIG!C2246)</f>
        <v/>
      </c>
      <c r="D2246" s="3">
        <f>IF(ORIG!D2246=0,"",ORIG!D2246)</f>
        <v/>
      </c>
      <c r="E2246" s="3">
        <f>IF(ORIG!E2246=0,"",ORIG!E2246)</f>
        <v/>
      </c>
      <c r="F2246" s="3">
        <f>IF(ORIG!F2246=0,"",ORIG!F2246)</f>
        <v/>
      </c>
      <c r="G2246" s="3">
        <f>IF(ORIG!G2246=0,"",ORIG!G2246)</f>
        <v/>
      </c>
      <c r="H2246" s="3">
        <f>IF(ORIG!H2246=0,"",ORIG!H2246)</f>
        <v/>
      </c>
      <c r="I2246" s="3">
        <f>IF(ORIG!I2246=0,"",ORIG!I2246)</f>
        <v/>
      </c>
      <c r="J2246" s="3">
        <f>IF(ORIG!J2246=0,"",ORIG!J2246)</f>
        <v/>
      </c>
      <c r="K2246" s="3">
        <f>IF(ORIG!K2246=0,"",ORIG!K2246)</f>
        <v/>
      </c>
      <c r="L2246" s="3">
        <f>IF(ORIG!L2246=0,"",ORIG!L2246)</f>
        <v/>
      </c>
      <c r="M2246" s="3">
        <f>IF(ORIG!M2246=0,"",ORIG!M2246)</f>
        <v/>
      </c>
      <c r="N2246" s="3">
        <f>IF(ORIG!N2246=0,"",ORIG!N2246)</f>
        <v/>
      </c>
      <c r="O2246" s="3">
        <f>IF(ORIG!O2246=0,"",ORIG!O2246)</f>
        <v/>
      </c>
      <c r="P2246" s="3">
        <f>IF(ORIG!P2246=0,"",ORIG!P2246)</f>
        <v/>
      </c>
      <c r="Q2246" s="3">
        <f>IF(ORIG!Q2246=0,"",ORIG!Q2246)</f>
        <v/>
      </c>
      <c r="R2246" s="3">
        <f>IF(ORIG!R2246=0,"",ORIG!R2246)</f>
        <v/>
      </c>
      <c r="S2246" s="3">
        <f>IF(ORIG!S2246=0,"",ORIG!S2246)</f>
        <v/>
      </c>
      <c r="T2246" s="3">
        <f>IF(ORIG!T2246=0,"",ORIG!T2246)</f>
        <v/>
      </c>
      <c r="U2246" s="3">
        <f>IF(ORIG!U2246=0,"",ORIG!U2246)</f>
        <v/>
      </c>
      <c r="V2246" s="9">
        <f>IF(ORIG!V2246=0,"",ORIG!V2246)</f>
        <v/>
      </c>
      <c r="W2246" s="9">
        <f>IF(ORIG!W2246=0,"",ORIG!W2246)</f>
        <v/>
      </c>
      <c r="X2246" s="9">
        <f>IF(ORIG!X2246=0,"",ORIG!X2246)</f>
        <v/>
      </c>
      <c r="Y2246" s="9">
        <f>IF(ORIG!Y2246=0,"",ORIG!Y2246)</f>
        <v/>
      </c>
      <c r="Z2246" s="3">
        <f>SUMPRODUCT($B2246:$Y2246,$B$2649:$Y$2649)</f>
        <v/>
      </c>
      <c r="AA2246" s="3">
        <f>SUMPRODUCT($B2246:$Y2246,$B$2655:$Y$2655)</f>
        <v/>
      </c>
      <c r="AC2246" s="1">
        <f>A2246</f>
        <v/>
      </c>
      <c r="AD2246">
        <f>IF(ISNUMBER(V2246),V2246*($AB$1/V$2635),"")</f>
        <v/>
      </c>
      <c r="AE2246">
        <f>IF(ISNUMBER(Z2246),Z2246*($AB$1/Z$2635),"")</f>
        <v/>
      </c>
      <c r="AF2246" s="25">
        <f>IF(ISNUMBER(AD2246+AE2246),AD2246+AE2246,"")</f>
        <v/>
      </c>
      <c r="AH2246" s="1">
        <f>A2246</f>
        <v/>
      </c>
      <c r="AI2246">
        <f>IF(ISNUMBER((1+V2246)*AI2245),(1+V2246)*AI2245,AI2245)</f>
        <v/>
      </c>
      <c r="AJ2246">
        <f>IF(ISNUMBER((1+Z2246)*AJ2245),(1+Z2246)*AJ2245,AJ2245)</f>
        <v/>
      </c>
    </row>
    <row r="2247">
      <c r="A2247" s="1" t="n">
        <v>45261</v>
      </c>
      <c r="B2247" s="3">
        <f>IF(ORIG!B2247=0,"",ORIG!B2247)</f>
        <v/>
      </c>
      <c r="C2247" s="3">
        <f>IF(ORIG!C2247=0,"",ORIG!C2247)</f>
        <v/>
      </c>
      <c r="D2247" s="3">
        <f>IF(ORIG!D2247=0,"",ORIG!D2247)</f>
        <v/>
      </c>
      <c r="E2247" s="3">
        <f>IF(ORIG!E2247=0,"",ORIG!E2247)</f>
        <v/>
      </c>
      <c r="F2247" s="3">
        <f>IF(ORIG!F2247=0,"",ORIG!F2247)</f>
        <v/>
      </c>
      <c r="G2247" s="3">
        <f>IF(ORIG!G2247=0,"",ORIG!G2247)</f>
        <v/>
      </c>
      <c r="H2247" s="3">
        <f>IF(ORIG!H2247=0,"",ORIG!H2247)</f>
        <v/>
      </c>
      <c r="I2247" s="3">
        <f>IF(ORIG!I2247=0,"",ORIG!I2247)</f>
        <v/>
      </c>
      <c r="J2247" s="3">
        <f>IF(ORIG!J2247=0,"",ORIG!J2247)</f>
        <v/>
      </c>
      <c r="K2247" s="3">
        <f>IF(ORIG!K2247=0,"",ORIG!K2247)</f>
        <v/>
      </c>
      <c r="L2247" s="3">
        <f>IF(ORIG!L2247=0,"",ORIG!L2247)</f>
        <v/>
      </c>
      <c r="M2247" s="3">
        <f>IF(ORIG!M2247=0,"",ORIG!M2247)</f>
        <v/>
      </c>
      <c r="N2247" s="3">
        <f>IF(ORIG!N2247=0,"",ORIG!N2247)</f>
        <v/>
      </c>
      <c r="O2247" s="3">
        <f>IF(ORIG!O2247=0,"",ORIG!O2247)</f>
        <v/>
      </c>
      <c r="P2247" s="3">
        <f>IF(ORIG!P2247=0,"",ORIG!P2247)</f>
        <v/>
      </c>
      <c r="Q2247" s="3">
        <f>IF(ORIG!Q2247=0,"",ORIG!Q2247)</f>
        <v/>
      </c>
      <c r="R2247" s="3">
        <f>IF(ORIG!R2247=0,"",ORIG!R2247)</f>
        <v/>
      </c>
      <c r="S2247" s="3">
        <f>IF(ORIG!S2247=0,"",ORIG!S2247)</f>
        <v/>
      </c>
      <c r="T2247" s="3">
        <f>IF(ORIG!T2247=0,"",ORIG!T2247)</f>
        <v/>
      </c>
      <c r="U2247" s="3">
        <f>IF(ORIG!U2247=0,"",ORIG!U2247)</f>
        <v/>
      </c>
      <c r="V2247" s="9">
        <f>IF(ORIG!V2247=0,"",ORIG!V2247)</f>
        <v/>
      </c>
      <c r="W2247" s="9">
        <f>IF(ORIG!W2247=0,"",ORIG!W2247)</f>
        <v/>
      </c>
      <c r="X2247" s="9">
        <f>IF(ORIG!X2247=0,"",ORIG!X2247)</f>
        <v/>
      </c>
      <c r="Y2247" s="9">
        <f>IF(ORIG!Y2247=0,"",ORIG!Y2247)</f>
        <v/>
      </c>
      <c r="Z2247" s="3">
        <f>SUMPRODUCT($B2247:$Y2247,$B$2649:$Y$2649)</f>
        <v/>
      </c>
      <c r="AA2247" s="3">
        <f>SUMPRODUCT($B2247:$Y2247,$B$2655:$Y$2655)</f>
        <v/>
      </c>
      <c r="AC2247" s="1">
        <f>A2247</f>
        <v/>
      </c>
      <c r="AD2247">
        <f>IF(ISNUMBER(V2247),V2247*($AB$1/V$2635),"")</f>
        <v/>
      </c>
      <c r="AE2247">
        <f>IF(ISNUMBER(Z2247),Z2247*($AB$1/Z$2635),"")</f>
        <v/>
      </c>
      <c r="AF2247" s="25">
        <f>IF(ISNUMBER(AD2247+AE2247),AD2247+AE2247,"")</f>
        <v/>
      </c>
      <c r="AH2247" s="1">
        <f>A2247</f>
        <v/>
      </c>
      <c r="AI2247">
        <f>IF(ISNUMBER((1+V2247)*AI2246),(1+V2247)*AI2246,AI2246)</f>
        <v/>
      </c>
      <c r="AJ2247">
        <f>IF(ISNUMBER((1+Z2247)*AJ2246),(1+Z2247)*AJ2246,AJ2246)</f>
        <v/>
      </c>
    </row>
    <row r="2248">
      <c r="A2248" s="1" t="n">
        <v>45264</v>
      </c>
      <c r="B2248" s="3">
        <f>IF(ORIG!B2248=0,"",ORIG!B2248)</f>
        <v/>
      </c>
      <c r="C2248" s="3">
        <f>IF(ORIG!C2248=0,"",ORIG!C2248)</f>
        <v/>
      </c>
      <c r="D2248" s="3">
        <f>IF(ORIG!D2248=0,"",ORIG!D2248)</f>
        <v/>
      </c>
      <c r="E2248" s="3">
        <f>IF(ORIG!E2248=0,"",ORIG!E2248)</f>
        <v/>
      </c>
      <c r="F2248" s="3">
        <f>IF(ORIG!F2248=0,"",ORIG!F2248)</f>
        <v/>
      </c>
      <c r="G2248" s="3">
        <f>IF(ORIG!G2248=0,"",ORIG!G2248)</f>
        <v/>
      </c>
      <c r="H2248" s="3">
        <f>IF(ORIG!H2248=0,"",ORIG!H2248)</f>
        <v/>
      </c>
      <c r="I2248" s="3">
        <f>IF(ORIG!I2248=0,"",ORIG!I2248)</f>
        <v/>
      </c>
      <c r="J2248" s="3">
        <f>IF(ORIG!J2248=0,"",ORIG!J2248)</f>
        <v/>
      </c>
      <c r="K2248" s="3">
        <f>IF(ORIG!K2248=0,"",ORIG!K2248)</f>
        <v/>
      </c>
      <c r="L2248" s="3">
        <f>IF(ORIG!L2248=0,"",ORIG!L2248)</f>
        <v/>
      </c>
      <c r="M2248" s="3">
        <f>IF(ORIG!M2248=0,"",ORIG!M2248)</f>
        <v/>
      </c>
      <c r="N2248" s="3">
        <f>IF(ORIG!N2248=0,"",ORIG!N2248)</f>
        <v/>
      </c>
      <c r="O2248" s="3">
        <f>IF(ORIG!O2248=0,"",ORIG!O2248)</f>
        <v/>
      </c>
      <c r="P2248" s="3">
        <f>IF(ORIG!P2248=0,"",ORIG!P2248)</f>
        <v/>
      </c>
      <c r="Q2248" s="3">
        <f>IF(ORIG!Q2248=0,"",ORIG!Q2248)</f>
        <v/>
      </c>
      <c r="R2248" s="3">
        <f>IF(ORIG!R2248=0,"",ORIG!R2248)</f>
        <v/>
      </c>
      <c r="S2248" s="3">
        <f>IF(ORIG!S2248=0,"",ORIG!S2248)</f>
        <v/>
      </c>
      <c r="T2248" s="3">
        <f>IF(ORIG!T2248=0,"",ORIG!T2248)</f>
        <v/>
      </c>
      <c r="U2248" s="3">
        <f>IF(ORIG!U2248=0,"",ORIG!U2248)</f>
        <v/>
      </c>
      <c r="V2248" s="9">
        <f>IF(ORIG!V2248=0,"",ORIG!V2248)</f>
        <v/>
      </c>
      <c r="W2248" s="9">
        <f>IF(ORIG!W2248=0,"",ORIG!W2248)</f>
        <v/>
      </c>
      <c r="X2248" s="9">
        <f>IF(ORIG!X2248=0,"",ORIG!X2248)</f>
        <v/>
      </c>
      <c r="Y2248" s="9">
        <f>IF(ORIG!Y2248=0,"",ORIG!Y2248)</f>
        <v/>
      </c>
      <c r="Z2248" s="3">
        <f>SUMPRODUCT($B2248:$Y2248,$B$2649:$Y$2649)</f>
        <v/>
      </c>
      <c r="AA2248" s="3">
        <f>SUMPRODUCT($B2248:$Y2248,$B$2655:$Y$2655)</f>
        <v/>
      </c>
      <c r="AC2248" s="1">
        <f>A2248</f>
        <v/>
      </c>
      <c r="AD2248">
        <f>IF(ISNUMBER(V2248),V2248*($AB$1/V$2635),"")</f>
        <v/>
      </c>
      <c r="AE2248">
        <f>IF(ISNUMBER(Z2248),Z2248*($AB$1/Z$2635),"")</f>
        <v/>
      </c>
      <c r="AF2248" s="25">
        <f>IF(ISNUMBER(AD2248+AE2248),AD2248+AE2248,"")</f>
        <v/>
      </c>
      <c r="AH2248" s="1">
        <f>A2248</f>
        <v/>
      </c>
      <c r="AI2248">
        <f>IF(ISNUMBER((1+V2248)*AI2247),(1+V2248)*AI2247,AI2247)</f>
        <v/>
      </c>
      <c r="AJ2248">
        <f>IF(ISNUMBER((1+Z2248)*AJ2247),(1+Z2248)*AJ2247,AJ2247)</f>
        <v/>
      </c>
    </row>
    <row r="2249">
      <c r="A2249" s="1" t="n">
        <v>45265</v>
      </c>
      <c r="B2249" s="3">
        <f>IF(ORIG!B2249=0,"",ORIG!B2249)</f>
        <v/>
      </c>
      <c r="C2249" s="3">
        <f>IF(ORIG!C2249=0,"",ORIG!C2249)</f>
        <v/>
      </c>
      <c r="D2249" s="3">
        <f>IF(ORIG!D2249=0,"",ORIG!D2249)</f>
        <v/>
      </c>
      <c r="E2249" s="3">
        <f>IF(ORIG!E2249=0,"",ORIG!E2249)</f>
        <v/>
      </c>
      <c r="F2249" s="3">
        <f>IF(ORIG!F2249=0,"",ORIG!F2249)</f>
        <v/>
      </c>
      <c r="G2249" s="3">
        <f>IF(ORIG!G2249=0,"",ORIG!G2249)</f>
        <v/>
      </c>
      <c r="H2249" s="3">
        <f>IF(ORIG!H2249=0,"",ORIG!H2249)</f>
        <v/>
      </c>
      <c r="I2249" s="3">
        <f>IF(ORIG!I2249=0,"",ORIG!I2249)</f>
        <v/>
      </c>
      <c r="J2249" s="3">
        <f>IF(ORIG!J2249=0,"",ORIG!J2249)</f>
        <v/>
      </c>
      <c r="K2249" s="3">
        <f>IF(ORIG!K2249=0,"",ORIG!K2249)</f>
        <v/>
      </c>
      <c r="L2249" s="3">
        <f>IF(ORIG!L2249=0,"",ORIG!L2249)</f>
        <v/>
      </c>
      <c r="M2249" s="3">
        <f>IF(ORIG!M2249=0,"",ORIG!M2249)</f>
        <v/>
      </c>
      <c r="N2249" s="3">
        <f>IF(ORIG!N2249=0,"",ORIG!N2249)</f>
        <v/>
      </c>
      <c r="O2249" s="3">
        <f>IF(ORIG!O2249=0,"",ORIG!O2249)</f>
        <v/>
      </c>
      <c r="P2249" s="3">
        <f>IF(ORIG!P2249=0,"",ORIG!P2249)</f>
        <v/>
      </c>
      <c r="Q2249" s="3">
        <f>IF(ORIG!Q2249=0,"",ORIG!Q2249)</f>
        <v/>
      </c>
      <c r="R2249" s="3">
        <f>IF(ORIG!R2249=0,"",ORIG!R2249)</f>
        <v/>
      </c>
      <c r="S2249" s="3">
        <f>IF(ORIG!S2249=0,"",ORIG!S2249)</f>
        <v/>
      </c>
      <c r="T2249" s="3">
        <f>IF(ORIG!T2249=0,"",ORIG!T2249)</f>
        <v/>
      </c>
      <c r="U2249" s="3">
        <f>IF(ORIG!U2249=0,"",ORIG!U2249)</f>
        <v/>
      </c>
      <c r="V2249" s="9">
        <f>IF(ORIG!V2249=0,"",ORIG!V2249)</f>
        <v/>
      </c>
      <c r="W2249" s="9">
        <f>IF(ORIG!W2249=0,"",ORIG!W2249)</f>
        <v/>
      </c>
      <c r="X2249" s="9">
        <f>IF(ORIG!X2249=0,"",ORIG!X2249)</f>
        <v/>
      </c>
      <c r="Y2249" s="9">
        <f>IF(ORIG!Y2249=0,"",ORIG!Y2249)</f>
        <v/>
      </c>
      <c r="Z2249" s="3">
        <f>SUMPRODUCT($B2249:$Y2249,$B$2649:$Y$2649)</f>
        <v/>
      </c>
      <c r="AA2249" s="3">
        <f>SUMPRODUCT($B2249:$Y2249,$B$2655:$Y$2655)</f>
        <v/>
      </c>
      <c r="AC2249" s="1">
        <f>A2249</f>
        <v/>
      </c>
      <c r="AD2249">
        <f>IF(ISNUMBER(V2249),V2249*($AB$1/V$2635),"")</f>
        <v/>
      </c>
      <c r="AE2249">
        <f>IF(ISNUMBER(Z2249),Z2249*($AB$1/Z$2635),"")</f>
        <v/>
      </c>
      <c r="AF2249" s="25">
        <f>IF(ISNUMBER(AD2249+AE2249),AD2249+AE2249,"")</f>
        <v/>
      </c>
      <c r="AH2249" s="1">
        <f>A2249</f>
        <v/>
      </c>
      <c r="AI2249">
        <f>IF(ISNUMBER((1+V2249)*AI2248),(1+V2249)*AI2248,AI2248)</f>
        <v/>
      </c>
      <c r="AJ2249">
        <f>IF(ISNUMBER((1+Z2249)*AJ2248),(1+Z2249)*AJ2248,AJ2248)</f>
        <v/>
      </c>
    </row>
    <row r="2250">
      <c r="A2250" s="1" t="n">
        <v>45266</v>
      </c>
      <c r="B2250" s="3">
        <f>IF(ORIG!B2250=0,"",ORIG!B2250)</f>
        <v/>
      </c>
      <c r="C2250" s="3">
        <f>IF(ORIG!C2250=0,"",ORIG!C2250)</f>
        <v/>
      </c>
      <c r="D2250" s="3">
        <f>IF(ORIG!D2250=0,"",ORIG!D2250)</f>
        <v/>
      </c>
      <c r="E2250" s="3">
        <f>IF(ORIG!E2250=0,"",ORIG!E2250)</f>
        <v/>
      </c>
      <c r="F2250" s="3">
        <f>IF(ORIG!F2250=0,"",ORIG!F2250)</f>
        <v/>
      </c>
      <c r="G2250" s="3">
        <f>IF(ORIG!G2250=0,"",ORIG!G2250)</f>
        <v/>
      </c>
      <c r="H2250" s="3">
        <f>IF(ORIG!H2250=0,"",ORIG!H2250)</f>
        <v/>
      </c>
      <c r="I2250" s="3">
        <f>IF(ORIG!I2250=0,"",ORIG!I2250)</f>
        <v/>
      </c>
      <c r="J2250" s="3">
        <f>IF(ORIG!J2250=0,"",ORIG!J2250)</f>
        <v/>
      </c>
      <c r="K2250" s="3">
        <f>IF(ORIG!K2250=0,"",ORIG!K2250)</f>
        <v/>
      </c>
      <c r="L2250" s="3">
        <f>IF(ORIG!L2250=0,"",ORIG!L2250)</f>
        <v/>
      </c>
      <c r="M2250" s="3">
        <f>IF(ORIG!M2250=0,"",ORIG!M2250)</f>
        <v/>
      </c>
      <c r="N2250" s="3">
        <f>IF(ORIG!N2250=0,"",ORIG!N2250)</f>
        <v/>
      </c>
      <c r="O2250" s="3">
        <f>IF(ORIG!O2250=0,"",ORIG!O2250)</f>
        <v/>
      </c>
      <c r="P2250" s="3">
        <f>IF(ORIG!P2250=0,"",ORIG!P2250)</f>
        <v/>
      </c>
      <c r="Q2250" s="3">
        <f>IF(ORIG!Q2250=0,"",ORIG!Q2250)</f>
        <v/>
      </c>
      <c r="R2250" s="3">
        <f>IF(ORIG!R2250=0,"",ORIG!R2250)</f>
        <v/>
      </c>
      <c r="S2250" s="3">
        <f>IF(ORIG!S2250=0,"",ORIG!S2250)</f>
        <v/>
      </c>
      <c r="T2250" s="3">
        <f>IF(ORIG!T2250=0,"",ORIG!T2250)</f>
        <v/>
      </c>
      <c r="U2250" s="3">
        <f>IF(ORIG!U2250=0,"",ORIG!U2250)</f>
        <v/>
      </c>
      <c r="V2250" s="9">
        <f>IF(ORIG!V2250=0,"",ORIG!V2250)</f>
        <v/>
      </c>
      <c r="W2250" s="9">
        <f>IF(ORIG!W2250=0,"",ORIG!W2250)</f>
        <v/>
      </c>
      <c r="X2250" s="9">
        <f>IF(ORIG!X2250=0,"",ORIG!X2250)</f>
        <v/>
      </c>
      <c r="Y2250" s="9">
        <f>IF(ORIG!Y2250=0,"",ORIG!Y2250)</f>
        <v/>
      </c>
      <c r="Z2250" s="3">
        <f>SUMPRODUCT($B2250:$Y2250,$B$2649:$Y$2649)</f>
        <v/>
      </c>
      <c r="AA2250" s="3">
        <f>SUMPRODUCT($B2250:$Y2250,$B$2655:$Y$2655)</f>
        <v/>
      </c>
      <c r="AC2250" s="1">
        <f>A2250</f>
        <v/>
      </c>
      <c r="AD2250">
        <f>IF(ISNUMBER(V2250),V2250*($AB$1/V$2635),"")</f>
        <v/>
      </c>
      <c r="AE2250">
        <f>IF(ISNUMBER(Z2250),Z2250*($AB$1/Z$2635),"")</f>
        <v/>
      </c>
      <c r="AF2250" s="25">
        <f>IF(ISNUMBER(AD2250+AE2250),AD2250+AE2250,"")</f>
        <v/>
      </c>
      <c r="AH2250" s="1">
        <f>A2250</f>
        <v/>
      </c>
      <c r="AI2250">
        <f>IF(ISNUMBER((1+V2250)*AI2249),(1+V2250)*AI2249,AI2249)</f>
        <v/>
      </c>
      <c r="AJ2250">
        <f>IF(ISNUMBER((1+Z2250)*AJ2249),(1+Z2250)*AJ2249,AJ2249)</f>
        <v/>
      </c>
    </row>
    <row r="2251">
      <c r="A2251" s="1" t="n">
        <v>45267</v>
      </c>
      <c r="B2251" s="3">
        <f>IF(ORIG!B2251=0,"",ORIG!B2251)</f>
        <v/>
      </c>
      <c r="C2251" s="3">
        <f>IF(ORIG!C2251=0,"",ORIG!C2251)</f>
        <v/>
      </c>
      <c r="D2251" s="3">
        <f>IF(ORIG!D2251=0,"",ORIG!D2251)</f>
        <v/>
      </c>
      <c r="E2251" s="3">
        <f>IF(ORIG!E2251=0,"",ORIG!E2251)</f>
        <v/>
      </c>
      <c r="F2251" s="3">
        <f>IF(ORIG!F2251=0,"",ORIG!F2251)</f>
        <v/>
      </c>
      <c r="G2251" s="3">
        <f>IF(ORIG!G2251=0,"",ORIG!G2251)</f>
        <v/>
      </c>
      <c r="H2251" s="3">
        <f>IF(ORIG!H2251=0,"",ORIG!H2251)</f>
        <v/>
      </c>
      <c r="I2251" s="3">
        <f>IF(ORIG!I2251=0,"",ORIG!I2251)</f>
        <v/>
      </c>
      <c r="J2251" s="3">
        <f>IF(ORIG!J2251=0,"",ORIG!J2251)</f>
        <v/>
      </c>
      <c r="K2251" s="3">
        <f>IF(ORIG!K2251=0,"",ORIG!K2251)</f>
        <v/>
      </c>
      <c r="L2251" s="3">
        <f>IF(ORIG!L2251=0,"",ORIG!L2251)</f>
        <v/>
      </c>
      <c r="M2251" s="3">
        <f>IF(ORIG!M2251=0,"",ORIG!M2251)</f>
        <v/>
      </c>
      <c r="N2251" s="3">
        <f>IF(ORIG!N2251=0,"",ORIG!N2251)</f>
        <v/>
      </c>
      <c r="O2251" s="3">
        <f>IF(ORIG!O2251=0,"",ORIG!O2251)</f>
        <v/>
      </c>
      <c r="P2251" s="3">
        <f>IF(ORIG!P2251=0,"",ORIG!P2251)</f>
        <v/>
      </c>
      <c r="Q2251" s="3">
        <f>IF(ORIG!Q2251=0,"",ORIG!Q2251)</f>
        <v/>
      </c>
      <c r="R2251" s="3">
        <f>IF(ORIG!R2251=0,"",ORIG!R2251)</f>
        <v/>
      </c>
      <c r="S2251" s="3">
        <f>IF(ORIG!S2251=0,"",ORIG!S2251)</f>
        <v/>
      </c>
      <c r="T2251" s="3">
        <f>IF(ORIG!T2251=0,"",ORIG!T2251)</f>
        <v/>
      </c>
      <c r="U2251" s="3">
        <f>IF(ORIG!U2251=0,"",ORIG!U2251)</f>
        <v/>
      </c>
      <c r="V2251" s="9">
        <f>IF(ORIG!V2251=0,"",ORIG!V2251)</f>
        <v/>
      </c>
      <c r="W2251" s="9">
        <f>IF(ORIG!W2251=0,"",ORIG!W2251)</f>
        <v/>
      </c>
      <c r="X2251" s="9">
        <f>IF(ORIG!X2251=0,"",ORIG!X2251)</f>
        <v/>
      </c>
      <c r="Y2251" s="9">
        <f>IF(ORIG!Y2251=0,"",ORIG!Y2251)</f>
        <v/>
      </c>
      <c r="Z2251" s="3">
        <f>SUMPRODUCT($B2251:$Y2251,$B$2649:$Y$2649)</f>
        <v/>
      </c>
      <c r="AA2251" s="3">
        <f>SUMPRODUCT($B2251:$Y2251,$B$2655:$Y$2655)</f>
        <v/>
      </c>
      <c r="AC2251" s="1">
        <f>A2251</f>
        <v/>
      </c>
      <c r="AD2251">
        <f>IF(ISNUMBER(V2251),V2251*($AB$1/V$2635),"")</f>
        <v/>
      </c>
      <c r="AE2251">
        <f>IF(ISNUMBER(Z2251),Z2251*($AB$1/Z$2635),"")</f>
        <v/>
      </c>
      <c r="AF2251" s="25">
        <f>IF(ISNUMBER(AD2251+AE2251),AD2251+AE2251,"")</f>
        <v/>
      </c>
      <c r="AH2251" s="1">
        <f>A2251</f>
        <v/>
      </c>
      <c r="AI2251">
        <f>IF(ISNUMBER((1+V2251)*AI2250),(1+V2251)*AI2250,AI2250)</f>
        <v/>
      </c>
      <c r="AJ2251">
        <f>IF(ISNUMBER((1+Z2251)*AJ2250),(1+Z2251)*AJ2250,AJ2250)</f>
        <v/>
      </c>
    </row>
    <row r="2252">
      <c r="A2252" s="1" t="n">
        <v>45268</v>
      </c>
      <c r="B2252" s="3">
        <f>IF(ORIG!B2252=0,"",ORIG!B2252)</f>
        <v/>
      </c>
      <c r="C2252" s="3">
        <f>IF(ORIG!C2252=0,"",ORIG!C2252)</f>
        <v/>
      </c>
      <c r="D2252" s="3">
        <f>IF(ORIG!D2252=0,"",ORIG!D2252)</f>
        <v/>
      </c>
      <c r="E2252" s="3">
        <f>IF(ORIG!E2252=0,"",ORIG!E2252)</f>
        <v/>
      </c>
      <c r="F2252" s="3">
        <f>IF(ORIG!F2252=0,"",ORIG!F2252)</f>
        <v/>
      </c>
      <c r="G2252" s="3">
        <f>IF(ORIG!G2252=0,"",ORIG!G2252)</f>
        <v/>
      </c>
      <c r="H2252" s="3">
        <f>IF(ORIG!H2252=0,"",ORIG!H2252)</f>
        <v/>
      </c>
      <c r="I2252" s="3">
        <f>IF(ORIG!I2252=0,"",ORIG!I2252)</f>
        <v/>
      </c>
      <c r="J2252" s="3">
        <f>IF(ORIG!J2252=0,"",ORIG!J2252)</f>
        <v/>
      </c>
      <c r="K2252" s="3">
        <f>IF(ORIG!K2252=0,"",ORIG!K2252)</f>
        <v/>
      </c>
      <c r="L2252" s="3">
        <f>IF(ORIG!L2252=0,"",ORIG!L2252)</f>
        <v/>
      </c>
      <c r="M2252" s="3">
        <f>IF(ORIG!M2252=0,"",ORIG!M2252)</f>
        <v/>
      </c>
      <c r="N2252" s="3">
        <f>IF(ORIG!N2252=0,"",ORIG!N2252)</f>
        <v/>
      </c>
      <c r="O2252" s="3">
        <f>IF(ORIG!O2252=0,"",ORIG!O2252)</f>
        <v/>
      </c>
      <c r="P2252" s="3">
        <f>IF(ORIG!P2252=0,"",ORIG!P2252)</f>
        <v/>
      </c>
      <c r="Q2252" s="3">
        <f>IF(ORIG!Q2252=0,"",ORIG!Q2252)</f>
        <v/>
      </c>
      <c r="R2252" s="3">
        <f>IF(ORIG!R2252=0,"",ORIG!R2252)</f>
        <v/>
      </c>
      <c r="S2252" s="3">
        <f>IF(ORIG!S2252=0,"",ORIG!S2252)</f>
        <v/>
      </c>
      <c r="T2252" s="3">
        <f>IF(ORIG!T2252=0,"",ORIG!T2252)</f>
        <v/>
      </c>
      <c r="U2252" s="3">
        <f>IF(ORIG!U2252=0,"",ORIG!U2252)</f>
        <v/>
      </c>
      <c r="V2252" s="9">
        <f>IF(ORIG!V2252=0,"",ORIG!V2252)</f>
        <v/>
      </c>
      <c r="W2252" s="9">
        <f>IF(ORIG!W2252=0,"",ORIG!W2252)</f>
        <v/>
      </c>
      <c r="X2252" s="9">
        <f>IF(ORIG!X2252=0,"",ORIG!X2252)</f>
        <v/>
      </c>
      <c r="Y2252" s="9">
        <f>IF(ORIG!Y2252=0,"",ORIG!Y2252)</f>
        <v/>
      </c>
      <c r="Z2252" s="3">
        <f>SUMPRODUCT($B2252:$Y2252,$B$2649:$Y$2649)</f>
        <v/>
      </c>
      <c r="AA2252" s="3">
        <f>SUMPRODUCT($B2252:$Y2252,$B$2655:$Y$2655)</f>
        <v/>
      </c>
      <c r="AC2252" s="1">
        <f>A2252</f>
        <v/>
      </c>
      <c r="AD2252">
        <f>IF(ISNUMBER(V2252),V2252*($AB$1/V$2635),"")</f>
        <v/>
      </c>
      <c r="AE2252">
        <f>IF(ISNUMBER(Z2252),Z2252*($AB$1/Z$2635),"")</f>
        <v/>
      </c>
      <c r="AF2252" s="25">
        <f>IF(ISNUMBER(AD2252+AE2252),AD2252+AE2252,"")</f>
        <v/>
      </c>
      <c r="AH2252" s="1">
        <f>A2252</f>
        <v/>
      </c>
      <c r="AI2252">
        <f>IF(ISNUMBER((1+V2252)*AI2251),(1+V2252)*AI2251,AI2251)</f>
        <v/>
      </c>
      <c r="AJ2252">
        <f>IF(ISNUMBER((1+Z2252)*AJ2251),(1+Z2252)*AJ2251,AJ2251)</f>
        <v/>
      </c>
    </row>
    <row r="2253">
      <c r="A2253" s="1" t="n">
        <v>45271</v>
      </c>
      <c r="B2253" s="3">
        <f>IF(ORIG!B2253=0,"",ORIG!B2253)</f>
        <v/>
      </c>
      <c r="C2253" s="3">
        <f>IF(ORIG!C2253=0,"",ORIG!C2253)</f>
        <v/>
      </c>
      <c r="D2253" s="3">
        <f>IF(ORIG!D2253=0,"",ORIG!D2253)</f>
        <v/>
      </c>
      <c r="E2253" s="3">
        <f>IF(ORIG!E2253=0,"",ORIG!E2253)</f>
        <v/>
      </c>
      <c r="F2253" s="3">
        <f>IF(ORIG!F2253=0,"",ORIG!F2253)</f>
        <v/>
      </c>
      <c r="G2253" s="3">
        <f>IF(ORIG!G2253=0,"",ORIG!G2253)</f>
        <v/>
      </c>
      <c r="H2253" s="3">
        <f>IF(ORIG!H2253=0,"",ORIG!H2253)</f>
        <v/>
      </c>
      <c r="I2253" s="3">
        <f>IF(ORIG!I2253=0,"",ORIG!I2253)</f>
        <v/>
      </c>
      <c r="J2253" s="3">
        <f>IF(ORIG!J2253=0,"",ORIG!J2253)</f>
        <v/>
      </c>
      <c r="K2253" s="3">
        <f>IF(ORIG!K2253=0,"",ORIG!K2253)</f>
        <v/>
      </c>
      <c r="L2253" s="3">
        <f>IF(ORIG!L2253=0,"",ORIG!L2253)</f>
        <v/>
      </c>
      <c r="M2253" s="3">
        <f>IF(ORIG!M2253=0,"",ORIG!M2253)</f>
        <v/>
      </c>
      <c r="N2253" s="3">
        <f>IF(ORIG!N2253=0,"",ORIG!N2253)</f>
        <v/>
      </c>
      <c r="O2253" s="3">
        <f>IF(ORIG!O2253=0,"",ORIG!O2253)</f>
        <v/>
      </c>
      <c r="P2253" s="3">
        <f>IF(ORIG!P2253=0,"",ORIG!P2253)</f>
        <v/>
      </c>
      <c r="Q2253" s="3">
        <f>IF(ORIG!Q2253=0,"",ORIG!Q2253)</f>
        <v/>
      </c>
      <c r="R2253" s="3">
        <f>IF(ORIG!R2253=0,"",ORIG!R2253)</f>
        <v/>
      </c>
      <c r="S2253" s="3">
        <f>IF(ORIG!S2253=0,"",ORIG!S2253)</f>
        <v/>
      </c>
      <c r="T2253" s="3">
        <f>IF(ORIG!T2253=0,"",ORIG!T2253)</f>
        <v/>
      </c>
      <c r="U2253" s="3">
        <f>IF(ORIG!U2253=0,"",ORIG!U2253)</f>
        <v/>
      </c>
      <c r="V2253" s="9">
        <f>IF(ORIG!V2253=0,"",ORIG!V2253)</f>
        <v/>
      </c>
      <c r="W2253" s="9">
        <f>IF(ORIG!W2253=0,"",ORIG!W2253)</f>
        <v/>
      </c>
      <c r="X2253" s="9">
        <f>IF(ORIG!X2253=0,"",ORIG!X2253)</f>
        <v/>
      </c>
      <c r="Y2253" s="9">
        <f>IF(ORIG!Y2253=0,"",ORIG!Y2253)</f>
        <v/>
      </c>
      <c r="Z2253" s="3">
        <f>SUMPRODUCT($B2253:$Y2253,$B$2649:$Y$2649)</f>
        <v/>
      </c>
      <c r="AA2253" s="3">
        <f>SUMPRODUCT($B2253:$Y2253,$B$2655:$Y$2655)</f>
        <v/>
      </c>
      <c r="AC2253" s="1">
        <f>A2253</f>
        <v/>
      </c>
      <c r="AD2253">
        <f>IF(ISNUMBER(V2253),V2253*($AB$1/V$2635),"")</f>
        <v/>
      </c>
      <c r="AE2253">
        <f>IF(ISNUMBER(Z2253),Z2253*($AB$1/Z$2635),"")</f>
        <v/>
      </c>
      <c r="AF2253" s="25">
        <f>IF(ISNUMBER(AD2253+AE2253),AD2253+AE2253,"")</f>
        <v/>
      </c>
      <c r="AH2253" s="1">
        <f>A2253</f>
        <v/>
      </c>
      <c r="AI2253">
        <f>IF(ISNUMBER((1+V2253)*AI2252),(1+V2253)*AI2252,AI2252)</f>
        <v/>
      </c>
      <c r="AJ2253">
        <f>IF(ISNUMBER((1+Z2253)*AJ2252),(1+Z2253)*AJ2252,AJ2252)</f>
        <v/>
      </c>
    </row>
    <row r="2254">
      <c r="A2254" s="1" t="n">
        <v>45272</v>
      </c>
      <c r="B2254" s="3">
        <f>IF(ORIG!B2254=0,"",ORIG!B2254)</f>
        <v/>
      </c>
      <c r="C2254" s="3">
        <f>IF(ORIG!C2254=0,"",ORIG!C2254)</f>
        <v/>
      </c>
      <c r="D2254" s="3">
        <f>IF(ORIG!D2254=0,"",ORIG!D2254)</f>
        <v/>
      </c>
      <c r="E2254" s="3">
        <f>IF(ORIG!E2254=0,"",ORIG!E2254)</f>
        <v/>
      </c>
      <c r="F2254" s="3">
        <f>IF(ORIG!F2254=0,"",ORIG!F2254)</f>
        <v/>
      </c>
      <c r="G2254" s="3">
        <f>IF(ORIG!G2254=0,"",ORIG!G2254)</f>
        <v/>
      </c>
      <c r="H2254" s="3">
        <f>IF(ORIG!H2254=0,"",ORIG!H2254)</f>
        <v/>
      </c>
      <c r="I2254" s="3">
        <f>IF(ORIG!I2254=0,"",ORIG!I2254)</f>
        <v/>
      </c>
      <c r="J2254" s="3">
        <f>IF(ORIG!J2254=0,"",ORIG!J2254)</f>
        <v/>
      </c>
      <c r="K2254" s="3">
        <f>IF(ORIG!K2254=0,"",ORIG!K2254)</f>
        <v/>
      </c>
      <c r="L2254" s="3">
        <f>IF(ORIG!L2254=0,"",ORIG!L2254)</f>
        <v/>
      </c>
      <c r="M2254" s="3">
        <f>IF(ORIG!M2254=0,"",ORIG!M2254)</f>
        <v/>
      </c>
      <c r="N2254" s="3">
        <f>IF(ORIG!N2254=0,"",ORIG!N2254)</f>
        <v/>
      </c>
      <c r="O2254" s="3">
        <f>IF(ORIG!O2254=0,"",ORIG!O2254)</f>
        <v/>
      </c>
      <c r="P2254" s="3">
        <f>IF(ORIG!P2254=0,"",ORIG!P2254)</f>
        <v/>
      </c>
      <c r="Q2254" s="3">
        <f>IF(ORIG!Q2254=0,"",ORIG!Q2254)</f>
        <v/>
      </c>
      <c r="R2254" s="3">
        <f>IF(ORIG!R2254=0,"",ORIG!R2254)</f>
        <v/>
      </c>
      <c r="S2254" s="3">
        <f>IF(ORIG!S2254=0,"",ORIG!S2254)</f>
        <v/>
      </c>
      <c r="T2254" s="3">
        <f>IF(ORIG!T2254=0,"",ORIG!T2254)</f>
        <v/>
      </c>
      <c r="U2254" s="3">
        <f>IF(ORIG!U2254=0,"",ORIG!U2254)</f>
        <v/>
      </c>
      <c r="V2254" s="9">
        <f>IF(ORIG!V2254=0,"",ORIG!V2254)</f>
        <v/>
      </c>
      <c r="W2254" s="9">
        <f>IF(ORIG!W2254=0,"",ORIG!W2254)</f>
        <v/>
      </c>
      <c r="X2254" s="9">
        <f>IF(ORIG!X2254=0,"",ORIG!X2254)</f>
        <v/>
      </c>
      <c r="Y2254" s="9">
        <f>IF(ORIG!Y2254=0,"",ORIG!Y2254)</f>
        <v/>
      </c>
      <c r="Z2254" s="3">
        <f>SUMPRODUCT($B2254:$Y2254,$B$2649:$Y$2649)</f>
        <v/>
      </c>
      <c r="AA2254" s="3">
        <f>SUMPRODUCT($B2254:$Y2254,$B$2655:$Y$2655)</f>
        <v/>
      </c>
      <c r="AC2254" s="1">
        <f>A2254</f>
        <v/>
      </c>
      <c r="AD2254">
        <f>IF(ISNUMBER(V2254),V2254*($AB$1/V$2635),"")</f>
        <v/>
      </c>
      <c r="AE2254">
        <f>IF(ISNUMBER(Z2254),Z2254*($AB$1/Z$2635),"")</f>
        <v/>
      </c>
      <c r="AF2254" s="25">
        <f>IF(ISNUMBER(AD2254+AE2254),AD2254+AE2254,"")</f>
        <v/>
      </c>
      <c r="AH2254" s="1">
        <f>A2254</f>
        <v/>
      </c>
      <c r="AI2254">
        <f>IF(ISNUMBER((1+V2254)*AI2253),(1+V2254)*AI2253,AI2253)</f>
        <v/>
      </c>
      <c r="AJ2254">
        <f>IF(ISNUMBER((1+Z2254)*AJ2253),(1+Z2254)*AJ2253,AJ2253)</f>
        <v/>
      </c>
    </row>
    <row r="2255">
      <c r="A2255" s="1" t="n">
        <v>45273</v>
      </c>
      <c r="B2255" s="3">
        <f>IF(ORIG!B2255=0,"",ORIG!B2255)</f>
        <v/>
      </c>
      <c r="C2255" s="3">
        <f>IF(ORIG!C2255=0,"",ORIG!C2255)</f>
        <v/>
      </c>
      <c r="D2255" s="3">
        <f>IF(ORIG!D2255=0,"",ORIG!D2255)</f>
        <v/>
      </c>
      <c r="E2255" s="3">
        <f>IF(ORIG!E2255=0,"",ORIG!E2255)</f>
        <v/>
      </c>
      <c r="F2255" s="3">
        <f>IF(ORIG!F2255=0,"",ORIG!F2255)</f>
        <v/>
      </c>
      <c r="G2255" s="3">
        <f>IF(ORIG!G2255=0,"",ORIG!G2255)</f>
        <v/>
      </c>
      <c r="H2255" s="3">
        <f>IF(ORIG!H2255=0,"",ORIG!H2255)</f>
        <v/>
      </c>
      <c r="I2255" s="3">
        <f>IF(ORIG!I2255=0,"",ORIG!I2255)</f>
        <v/>
      </c>
      <c r="J2255" s="3">
        <f>IF(ORIG!J2255=0,"",ORIG!J2255)</f>
        <v/>
      </c>
      <c r="K2255" s="3">
        <f>IF(ORIG!K2255=0,"",ORIG!K2255)</f>
        <v/>
      </c>
      <c r="L2255" s="3">
        <f>IF(ORIG!L2255=0,"",ORIG!L2255)</f>
        <v/>
      </c>
      <c r="M2255" s="3">
        <f>IF(ORIG!M2255=0,"",ORIG!M2255)</f>
        <v/>
      </c>
      <c r="N2255" s="3">
        <f>IF(ORIG!N2255=0,"",ORIG!N2255)</f>
        <v/>
      </c>
      <c r="O2255" s="3">
        <f>IF(ORIG!O2255=0,"",ORIG!O2255)</f>
        <v/>
      </c>
      <c r="P2255" s="3">
        <f>IF(ORIG!P2255=0,"",ORIG!P2255)</f>
        <v/>
      </c>
      <c r="Q2255" s="3">
        <f>IF(ORIG!Q2255=0,"",ORIG!Q2255)</f>
        <v/>
      </c>
      <c r="R2255" s="3">
        <f>IF(ORIG!R2255=0,"",ORIG!R2255)</f>
        <v/>
      </c>
      <c r="S2255" s="3">
        <f>IF(ORIG!S2255=0,"",ORIG!S2255)</f>
        <v/>
      </c>
      <c r="T2255" s="3">
        <f>IF(ORIG!T2255=0,"",ORIG!T2255)</f>
        <v/>
      </c>
      <c r="U2255" s="3">
        <f>IF(ORIG!U2255=0,"",ORIG!U2255)</f>
        <v/>
      </c>
      <c r="V2255" s="9">
        <f>IF(ORIG!V2255=0,"",ORIG!V2255)</f>
        <v/>
      </c>
      <c r="W2255" s="9">
        <f>IF(ORIG!W2255=0,"",ORIG!W2255)</f>
        <v/>
      </c>
      <c r="X2255" s="9">
        <f>IF(ORIG!X2255=0,"",ORIG!X2255)</f>
        <v/>
      </c>
      <c r="Y2255" s="9">
        <f>IF(ORIG!Y2255=0,"",ORIG!Y2255)</f>
        <v/>
      </c>
      <c r="Z2255" s="3">
        <f>SUMPRODUCT($B2255:$Y2255,$B$2649:$Y$2649)</f>
        <v/>
      </c>
      <c r="AA2255" s="3">
        <f>SUMPRODUCT($B2255:$Y2255,$B$2655:$Y$2655)</f>
        <v/>
      </c>
      <c r="AC2255" s="1">
        <f>A2255</f>
        <v/>
      </c>
      <c r="AD2255">
        <f>IF(ISNUMBER(V2255),V2255*($AB$1/V$2635),"")</f>
        <v/>
      </c>
      <c r="AE2255">
        <f>IF(ISNUMBER(Z2255),Z2255*($AB$1/Z$2635),"")</f>
        <v/>
      </c>
      <c r="AF2255" s="25">
        <f>IF(ISNUMBER(AD2255+AE2255),AD2255+AE2255,"")</f>
        <v/>
      </c>
      <c r="AH2255" s="1">
        <f>A2255</f>
        <v/>
      </c>
      <c r="AI2255">
        <f>IF(ISNUMBER((1+V2255)*AI2254),(1+V2255)*AI2254,AI2254)</f>
        <v/>
      </c>
      <c r="AJ2255">
        <f>IF(ISNUMBER((1+Z2255)*AJ2254),(1+Z2255)*AJ2254,AJ2254)</f>
        <v/>
      </c>
    </row>
    <row r="2256">
      <c r="A2256" s="1" t="n">
        <v>45274</v>
      </c>
      <c r="B2256" s="3">
        <f>IF(ORIG!B2256=0,"",ORIG!B2256)</f>
        <v/>
      </c>
      <c r="C2256" s="3">
        <f>IF(ORIG!C2256=0,"",ORIG!C2256)</f>
        <v/>
      </c>
      <c r="D2256" s="3">
        <f>IF(ORIG!D2256=0,"",ORIG!D2256)</f>
        <v/>
      </c>
      <c r="E2256" s="3">
        <f>IF(ORIG!E2256=0,"",ORIG!E2256)</f>
        <v/>
      </c>
      <c r="F2256" s="3">
        <f>IF(ORIG!F2256=0,"",ORIG!F2256)</f>
        <v/>
      </c>
      <c r="G2256" s="3">
        <f>IF(ORIG!G2256=0,"",ORIG!G2256)</f>
        <v/>
      </c>
      <c r="H2256" s="3">
        <f>IF(ORIG!H2256=0,"",ORIG!H2256)</f>
        <v/>
      </c>
      <c r="I2256" s="3">
        <f>IF(ORIG!I2256=0,"",ORIG!I2256)</f>
        <v/>
      </c>
      <c r="J2256" s="3">
        <f>IF(ORIG!J2256=0,"",ORIG!J2256)</f>
        <v/>
      </c>
      <c r="K2256" s="3">
        <f>IF(ORIG!K2256=0,"",ORIG!K2256)</f>
        <v/>
      </c>
      <c r="L2256" s="3">
        <f>IF(ORIG!L2256=0,"",ORIG!L2256)</f>
        <v/>
      </c>
      <c r="M2256" s="3">
        <f>IF(ORIG!M2256=0,"",ORIG!M2256)</f>
        <v/>
      </c>
      <c r="N2256" s="3">
        <f>IF(ORIG!N2256=0,"",ORIG!N2256)</f>
        <v/>
      </c>
      <c r="O2256" s="3">
        <f>IF(ORIG!O2256=0,"",ORIG!O2256)</f>
        <v/>
      </c>
      <c r="P2256" s="3">
        <f>IF(ORIG!P2256=0,"",ORIG!P2256)</f>
        <v/>
      </c>
      <c r="Q2256" s="3">
        <f>IF(ORIG!Q2256=0,"",ORIG!Q2256)</f>
        <v/>
      </c>
      <c r="R2256" s="3">
        <f>IF(ORIG!R2256=0,"",ORIG!R2256)</f>
        <v/>
      </c>
      <c r="S2256" s="3">
        <f>IF(ORIG!S2256=0,"",ORIG!S2256)</f>
        <v/>
      </c>
      <c r="T2256" s="3">
        <f>IF(ORIG!T2256=0,"",ORIG!T2256)</f>
        <v/>
      </c>
      <c r="U2256" s="3">
        <f>IF(ORIG!U2256=0,"",ORIG!U2256)</f>
        <v/>
      </c>
      <c r="V2256" s="9">
        <f>IF(ORIG!V2256=0,"",ORIG!V2256)</f>
        <v/>
      </c>
      <c r="W2256" s="9">
        <f>IF(ORIG!W2256=0,"",ORIG!W2256)</f>
        <v/>
      </c>
      <c r="X2256" s="9">
        <f>IF(ORIG!X2256=0,"",ORIG!X2256)</f>
        <v/>
      </c>
      <c r="Y2256" s="9">
        <f>IF(ORIG!Y2256=0,"",ORIG!Y2256)</f>
        <v/>
      </c>
      <c r="Z2256" s="3">
        <f>SUMPRODUCT($B2256:$Y2256,$B$2649:$Y$2649)</f>
        <v/>
      </c>
      <c r="AA2256" s="3">
        <f>SUMPRODUCT($B2256:$Y2256,$B$2655:$Y$2655)</f>
        <v/>
      </c>
      <c r="AC2256" s="1">
        <f>A2256</f>
        <v/>
      </c>
      <c r="AD2256">
        <f>IF(ISNUMBER(V2256),V2256*($AB$1/V$2635),"")</f>
        <v/>
      </c>
      <c r="AE2256">
        <f>IF(ISNUMBER(Z2256),Z2256*($AB$1/Z$2635),"")</f>
        <v/>
      </c>
      <c r="AF2256" s="25">
        <f>IF(ISNUMBER(AD2256+AE2256),AD2256+AE2256,"")</f>
        <v/>
      </c>
      <c r="AH2256" s="1">
        <f>A2256</f>
        <v/>
      </c>
      <c r="AI2256">
        <f>IF(ISNUMBER((1+V2256)*AI2255),(1+V2256)*AI2255,AI2255)</f>
        <v/>
      </c>
      <c r="AJ2256">
        <f>IF(ISNUMBER((1+Z2256)*AJ2255),(1+Z2256)*AJ2255,AJ2255)</f>
        <v/>
      </c>
    </row>
    <row r="2257">
      <c r="A2257" s="1" t="n">
        <v>45275</v>
      </c>
      <c r="B2257" s="3">
        <f>IF(ORIG!B2257=0,"",ORIG!B2257)</f>
        <v/>
      </c>
      <c r="C2257" s="3">
        <f>IF(ORIG!C2257=0,"",ORIG!C2257)</f>
        <v/>
      </c>
      <c r="D2257" s="3">
        <f>IF(ORIG!D2257=0,"",ORIG!D2257)</f>
        <v/>
      </c>
      <c r="E2257" s="3">
        <f>IF(ORIG!E2257=0,"",ORIG!E2257)</f>
        <v/>
      </c>
      <c r="F2257" s="3">
        <f>IF(ORIG!F2257=0,"",ORIG!F2257)</f>
        <v/>
      </c>
      <c r="G2257" s="3">
        <f>IF(ORIG!G2257=0,"",ORIG!G2257)</f>
        <v/>
      </c>
      <c r="H2257" s="3">
        <f>IF(ORIG!H2257=0,"",ORIG!H2257)</f>
        <v/>
      </c>
      <c r="I2257" s="3">
        <f>IF(ORIG!I2257=0,"",ORIG!I2257)</f>
        <v/>
      </c>
      <c r="J2257" s="3">
        <f>IF(ORIG!J2257=0,"",ORIG!J2257)</f>
        <v/>
      </c>
      <c r="K2257" s="3">
        <f>IF(ORIG!K2257=0,"",ORIG!K2257)</f>
        <v/>
      </c>
      <c r="L2257" s="3">
        <f>IF(ORIG!L2257=0,"",ORIG!L2257)</f>
        <v/>
      </c>
      <c r="M2257" s="3">
        <f>IF(ORIG!M2257=0,"",ORIG!M2257)</f>
        <v/>
      </c>
      <c r="N2257" s="3">
        <f>IF(ORIG!N2257=0,"",ORIG!N2257)</f>
        <v/>
      </c>
      <c r="O2257" s="3">
        <f>IF(ORIG!O2257=0,"",ORIG!O2257)</f>
        <v/>
      </c>
      <c r="P2257" s="3">
        <f>IF(ORIG!P2257=0,"",ORIG!P2257)</f>
        <v/>
      </c>
      <c r="Q2257" s="3">
        <f>IF(ORIG!Q2257=0,"",ORIG!Q2257)</f>
        <v/>
      </c>
      <c r="R2257" s="3">
        <f>IF(ORIG!R2257=0,"",ORIG!R2257)</f>
        <v/>
      </c>
      <c r="S2257" s="3">
        <f>IF(ORIG!S2257=0,"",ORIG!S2257)</f>
        <v/>
      </c>
      <c r="T2257" s="3">
        <f>IF(ORIG!T2257=0,"",ORIG!T2257)</f>
        <v/>
      </c>
      <c r="U2257" s="3">
        <f>IF(ORIG!U2257=0,"",ORIG!U2257)</f>
        <v/>
      </c>
      <c r="V2257" s="9">
        <f>IF(ORIG!V2257=0,"",ORIG!V2257)</f>
        <v/>
      </c>
      <c r="W2257" s="9">
        <f>IF(ORIG!W2257=0,"",ORIG!W2257)</f>
        <v/>
      </c>
      <c r="X2257" s="9">
        <f>IF(ORIG!X2257=0,"",ORIG!X2257)</f>
        <v/>
      </c>
      <c r="Y2257" s="9">
        <f>IF(ORIG!Y2257=0,"",ORIG!Y2257)</f>
        <v/>
      </c>
      <c r="Z2257" s="3">
        <f>SUMPRODUCT($B2257:$Y2257,$B$2649:$Y$2649)</f>
        <v/>
      </c>
      <c r="AA2257" s="3">
        <f>SUMPRODUCT($B2257:$Y2257,$B$2655:$Y$2655)</f>
        <v/>
      </c>
      <c r="AC2257" s="1">
        <f>A2257</f>
        <v/>
      </c>
      <c r="AD2257">
        <f>IF(ISNUMBER(V2257),V2257*($AB$1/V$2635),"")</f>
        <v/>
      </c>
      <c r="AE2257">
        <f>IF(ISNUMBER(Z2257),Z2257*($AB$1/Z$2635),"")</f>
        <v/>
      </c>
      <c r="AF2257" s="25">
        <f>IF(ISNUMBER(AD2257+AE2257),AD2257+AE2257,"")</f>
        <v/>
      </c>
      <c r="AH2257" s="1">
        <f>A2257</f>
        <v/>
      </c>
      <c r="AI2257">
        <f>IF(ISNUMBER((1+V2257)*AI2256),(1+V2257)*AI2256,AI2256)</f>
        <v/>
      </c>
      <c r="AJ2257">
        <f>IF(ISNUMBER((1+Z2257)*AJ2256),(1+Z2257)*AJ2256,AJ2256)</f>
        <v/>
      </c>
    </row>
    <row r="2258">
      <c r="A2258" s="1" t="n">
        <v>45278</v>
      </c>
      <c r="B2258" s="3">
        <f>IF(ORIG!B2258=0,"",ORIG!B2258)</f>
        <v/>
      </c>
      <c r="C2258" s="3">
        <f>IF(ORIG!C2258=0,"",ORIG!C2258)</f>
        <v/>
      </c>
      <c r="D2258" s="3">
        <f>IF(ORIG!D2258=0,"",ORIG!D2258)</f>
        <v/>
      </c>
      <c r="E2258" s="3">
        <f>IF(ORIG!E2258=0,"",ORIG!E2258)</f>
        <v/>
      </c>
      <c r="F2258" s="3">
        <f>IF(ORIG!F2258=0,"",ORIG!F2258)</f>
        <v/>
      </c>
      <c r="G2258" s="3">
        <f>IF(ORIG!G2258=0,"",ORIG!G2258)</f>
        <v/>
      </c>
      <c r="H2258" s="3">
        <f>IF(ORIG!H2258=0,"",ORIG!H2258)</f>
        <v/>
      </c>
      <c r="I2258" s="3">
        <f>IF(ORIG!I2258=0,"",ORIG!I2258)</f>
        <v/>
      </c>
      <c r="J2258" s="3">
        <f>IF(ORIG!J2258=0,"",ORIG!J2258)</f>
        <v/>
      </c>
      <c r="K2258" s="3">
        <f>IF(ORIG!K2258=0,"",ORIG!K2258)</f>
        <v/>
      </c>
      <c r="L2258" s="3">
        <f>IF(ORIG!L2258=0,"",ORIG!L2258)</f>
        <v/>
      </c>
      <c r="M2258" s="3">
        <f>IF(ORIG!M2258=0,"",ORIG!M2258)</f>
        <v/>
      </c>
      <c r="N2258" s="3">
        <f>IF(ORIG!N2258=0,"",ORIG!N2258)</f>
        <v/>
      </c>
      <c r="O2258" s="3">
        <f>IF(ORIG!O2258=0,"",ORIG!O2258)</f>
        <v/>
      </c>
      <c r="P2258" s="3">
        <f>IF(ORIG!P2258=0,"",ORIG!P2258)</f>
        <v/>
      </c>
      <c r="Q2258" s="3">
        <f>IF(ORIG!Q2258=0,"",ORIG!Q2258)</f>
        <v/>
      </c>
      <c r="R2258" s="3">
        <f>IF(ORIG!R2258=0,"",ORIG!R2258)</f>
        <v/>
      </c>
      <c r="S2258" s="3">
        <f>IF(ORIG!S2258=0,"",ORIG!S2258)</f>
        <v/>
      </c>
      <c r="T2258" s="3">
        <f>IF(ORIG!T2258=0,"",ORIG!T2258)</f>
        <v/>
      </c>
      <c r="U2258" s="3">
        <f>IF(ORIG!U2258=0,"",ORIG!U2258)</f>
        <v/>
      </c>
      <c r="V2258" s="9">
        <f>IF(ORIG!V2258=0,"",ORIG!V2258)</f>
        <v/>
      </c>
      <c r="W2258" s="9">
        <f>IF(ORIG!W2258=0,"",ORIG!W2258)</f>
        <v/>
      </c>
      <c r="X2258" s="9">
        <f>IF(ORIG!X2258=0,"",ORIG!X2258)</f>
        <v/>
      </c>
      <c r="Y2258" s="9">
        <f>IF(ORIG!Y2258=0,"",ORIG!Y2258)</f>
        <v/>
      </c>
      <c r="Z2258" s="3">
        <f>SUMPRODUCT($B2258:$Y2258,$B$2649:$Y$2649)</f>
        <v/>
      </c>
      <c r="AA2258" s="3">
        <f>SUMPRODUCT($B2258:$Y2258,$B$2655:$Y$2655)</f>
        <v/>
      </c>
      <c r="AC2258" s="1">
        <f>A2258</f>
        <v/>
      </c>
      <c r="AD2258">
        <f>IF(ISNUMBER(V2258),V2258*($AB$1/V$2635),"")</f>
        <v/>
      </c>
      <c r="AE2258">
        <f>IF(ISNUMBER(Z2258),Z2258*($AB$1/Z$2635),"")</f>
        <v/>
      </c>
      <c r="AF2258" s="25">
        <f>IF(ISNUMBER(AD2258+AE2258),AD2258+AE2258,"")</f>
        <v/>
      </c>
      <c r="AH2258" s="1">
        <f>A2258</f>
        <v/>
      </c>
      <c r="AI2258">
        <f>IF(ISNUMBER((1+V2258)*AI2257),(1+V2258)*AI2257,AI2257)</f>
        <v/>
      </c>
      <c r="AJ2258">
        <f>IF(ISNUMBER((1+Z2258)*AJ2257),(1+Z2258)*AJ2257,AJ2257)</f>
        <v/>
      </c>
    </row>
    <row r="2259">
      <c r="A2259" s="1" t="n">
        <v>45279</v>
      </c>
      <c r="B2259" s="3">
        <f>IF(ORIG!B2259=0,"",ORIG!B2259)</f>
        <v/>
      </c>
      <c r="C2259" s="3">
        <f>IF(ORIG!C2259=0,"",ORIG!C2259)</f>
        <v/>
      </c>
      <c r="D2259" s="3">
        <f>IF(ORIG!D2259=0,"",ORIG!D2259)</f>
        <v/>
      </c>
      <c r="E2259" s="3">
        <f>IF(ORIG!E2259=0,"",ORIG!E2259)</f>
        <v/>
      </c>
      <c r="F2259" s="3">
        <f>IF(ORIG!F2259=0,"",ORIG!F2259)</f>
        <v/>
      </c>
      <c r="G2259" s="3">
        <f>IF(ORIG!G2259=0,"",ORIG!G2259)</f>
        <v/>
      </c>
      <c r="H2259" s="3">
        <f>IF(ORIG!H2259=0,"",ORIG!H2259)</f>
        <v/>
      </c>
      <c r="I2259" s="3">
        <f>IF(ORIG!I2259=0,"",ORIG!I2259)</f>
        <v/>
      </c>
      <c r="J2259" s="3">
        <f>IF(ORIG!J2259=0,"",ORIG!J2259)</f>
        <v/>
      </c>
      <c r="K2259" s="3">
        <f>IF(ORIG!K2259=0,"",ORIG!K2259)</f>
        <v/>
      </c>
      <c r="L2259" s="3">
        <f>IF(ORIG!L2259=0,"",ORIG!L2259)</f>
        <v/>
      </c>
      <c r="M2259" s="3">
        <f>IF(ORIG!M2259=0,"",ORIG!M2259)</f>
        <v/>
      </c>
      <c r="N2259" s="3">
        <f>IF(ORIG!N2259=0,"",ORIG!N2259)</f>
        <v/>
      </c>
      <c r="O2259" s="3">
        <f>IF(ORIG!O2259=0,"",ORIG!O2259)</f>
        <v/>
      </c>
      <c r="P2259" s="3">
        <f>IF(ORIG!P2259=0,"",ORIG!P2259)</f>
        <v/>
      </c>
      <c r="Q2259" s="3">
        <f>IF(ORIG!Q2259=0,"",ORIG!Q2259)</f>
        <v/>
      </c>
      <c r="R2259" s="3">
        <f>IF(ORIG!R2259=0,"",ORIG!R2259)</f>
        <v/>
      </c>
      <c r="S2259" s="3">
        <f>IF(ORIG!S2259=0,"",ORIG!S2259)</f>
        <v/>
      </c>
      <c r="T2259" s="3">
        <f>IF(ORIG!T2259=0,"",ORIG!T2259)</f>
        <v/>
      </c>
      <c r="U2259" s="3">
        <f>IF(ORIG!U2259=0,"",ORIG!U2259)</f>
        <v/>
      </c>
      <c r="V2259" s="9">
        <f>IF(ORIG!V2259=0,"",ORIG!V2259)</f>
        <v/>
      </c>
      <c r="W2259" s="9">
        <f>IF(ORIG!W2259=0,"",ORIG!W2259)</f>
        <v/>
      </c>
      <c r="X2259" s="9">
        <f>IF(ORIG!X2259=0,"",ORIG!X2259)</f>
        <v/>
      </c>
      <c r="Y2259" s="9">
        <f>IF(ORIG!Y2259=0,"",ORIG!Y2259)</f>
        <v/>
      </c>
      <c r="Z2259" s="3">
        <f>SUMPRODUCT($B2259:$Y2259,$B$2649:$Y$2649)</f>
        <v/>
      </c>
      <c r="AA2259" s="3">
        <f>SUMPRODUCT($B2259:$Y2259,$B$2655:$Y$2655)</f>
        <v/>
      </c>
      <c r="AC2259" s="1">
        <f>A2259</f>
        <v/>
      </c>
      <c r="AD2259">
        <f>IF(ISNUMBER(V2259),V2259*($AB$1/V$2635),"")</f>
        <v/>
      </c>
      <c r="AE2259">
        <f>IF(ISNUMBER(Z2259),Z2259*($AB$1/Z$2635),"")</f>
        <v/>
      </c>
      <c r="AF2259" s="25">
        <f>IF(ISNUMBER(AD2259+AE2259),AD2259+AE2259,"")</f>
        <v/>
      </c>
      <c r="AH2259" s="1">
        <f>A2259</f>
        <v/>
      </c>
      <c r="AI2259">
        <f>IF(ISNUMBER((1+V2259)*AI2258),(1+V2259)*AI2258,AI2258)</f>
        <v/>
      </c>
      <c r="AJ2259">
        <f>IF(ISNUMBER((1+Z2259)*AJ2258),(1+Z2259)*AJ2258,AJ2258)</f>
        <v/>
      </c>
    </row>
    <row r="2260">
      <c r="A2260" s="1" t="n">
        <v>45280</v>
      </c>
      <c r="B2260" s="3">
        <f>IF(ORIG!B2260=0,"",ORIG!B2260)</f>
        <v/>
      </c>
      <c r="C2260" s="3">
        <f>IF(ORIG!C2260=0,"",ORIG!C2260)</f>
        <v/>
      </c>
      <c r="D2260" s="3">
        <f>IF(ORIG!D2260=0,"",ORIG!D2260)</f>
        <v/>
      </c>
      <c r="E2260" s="3">
        <f>IF(ORIG!E2260=0,"",ORIG!E2260)</f>
        <v/>
      </c>
      <c r="F2260" s="3">
        <f>IF(ORIG!F2260=0,"",ORIG!F2260)</f>
        <v/>
      </c>
      <c r="G2260" s="3">
        <f>IF(ORIG!G2260=0,"",ORIG!G2260)</f>
        <v/>
      </c>
      <c r="H2260" s="3">
        <f>IF(ORIG!H2260=0,"",ORIG!H2260)</f>
        <v/>
      </c>
      <c r="I2260" s="3">
        <f>IF(ORIG!I2260=0,"",ORIG!I2260)</f>
        <v/>
      </c>
      <c r="J2260" s="3">
        <f>IF(ORIG!J2260=0,"",ORIG!J2260)</f>
        <v/>
      </c>
      <c r="K2260" s="3">
        <f>IF(ORIG!K2260=0,"",ORIG!K2260)</f>
        <v/>
      </c>
      <c r="L2260" s="3">
        <f>IF(ORIG!L2260=0,"",ORIG!L2260)</f>
        <v/>
      </c>
      <c r="M2260" s="3">
        <f>IF(ORIG!M2260=0,"",ORIG!M2260)</f>
        <v/>
      </c>
      <c r="N2260" s="3">
        <f>IF(ORIG!N2260=0,"",ORIG!N2260)</f>
        <v/>
      </c>
      <c r="O2260" s="3">
        <f>IF(ORIG!O2260=0,"",ORIG!O2260)</f>
        <v/>
      </c>
      <c r="P2260" s="3">
        <f>IF(ORIG!P2260=0,"",ORIG!P2260)</f>
        <v/>
      </c>
      <c r="Q2260" s="3">
        <f>IF(ORIG!Q2260=0,"",ORIG!Q2260)</f>
        <v/>
      </c>
      <c r="R2260" s="3">
        <f>IF(ORIG!R2260=0,"",ORIG!R2260)</f>
        <v/>
      </c>
      <c r="S2260" s="3">
        <f>IF(ORIG!S2260=0,"",ORIG!S2260)</f>
        <v/>
      </c>
      <c r="T2260" s="3">
        <f>IF(ORIG!T2260=0,"",ORIG!T2260)</f>
        <v/>
      </c>
      <c r="U2260" s="3">
        <f>IF(ORIG!U2260=0,"",ORIG!U2260)</f>
        <v/>
      </c>
      <c r="V2260" s="9">
        <f>IF(ORIG!V2260=0,"",ORIG!V2260)</f>
        <v/>
      </c>
      <c r="W2260" s="9">
        <f>IF(ORIG!W2260=0,"",ORIG!W2260)</f>
        <v/>
      </c>
      <c r="X2260" s="9">
        <f>IF(ORIG!X2260=0,"",ORIG!X2260)</f>
        <v/>
      </c>
      <c r="Y2260" s="9">
        <f>IF(ORIG!Y2260=0,"",ORIG!Y2260)</f>
        <v/>
      </c>
      <c r="Z2260" s="3">
        <f>SUMPRODUCT($B2260:$Y2260,$B$2649:$Y$2649)</f>
        <v/>
      </c>
      <c r="AA2260" s="3">
        <f>SUMPRODUCT($B2260:$Y2260,$B$2655:$Y$2655)</f>
        <v/>
      </c>
      <c r="AC2260" s="1">
        <f>A2260</f>
        <v/>
      </c>
      <c r="AD2260">
        <f>IF(ISNUMBER(V2260),V2260*($AB$1/V$2635),"")</f>
        <v/>
      </c>
      <c r="AE2260">
        <f>IF(ISNUMBER(Z2260),Z2260*($AB$1/Z$2635),"")</f>
        <v/>
      </c>
      <c r="AF2260" s="25">
        <f>IF(ISNUMBER(AD2260+AE2260),AD2260+AE2260,"")</f>
        <v/>
      </c>
      <c r="AH2260" s="1">
        <f>A2260</f>
        <v/>
      </c>
      <c r="AI2260">
        <f>IF(ISNUMBER((1+V2260)*AI2259),(1+V2260)*AI2259,AI2259)</f>
        <v/>
      </c>
      <c r="AJ2260">
        <f>IF(ISNUMBER((1+Z2260)*AJ2259),(1+Z2260)*AJ2259,AJ2259)</f>
        <v/>
      </c>
    </row>
    <row r="2261">
      <c r="A2261" s="1" t="n">
        <v>45281</v>
      </c>
      <c r="B2261" s="3">
        <f>IF(ORIG!B2261=0,"",ORIG!B2261)</f>
        <v/>
      </c>
      <c r="C2261" s="3">
        <f>IF(ORIG!C2261=0,"",ORIG!C2261)</f>
        <v/>
      </c>
      <c r="D2261" s="3">
        <f>IF(ORIG!D2261=0,"",ORIG!D2261)</f>
        <v/>
      </c>
      <c r="E2261" s="3">
        <f>IF(ORIG!E2261=0,"",ORIG!E2261)</f>
        <v/>
      </c>
      <c r="F2261" s="3">
        <f>IF(ORIG!F2261=0,"",ORIG!F2261)</f>
        <v/>
      </c>
      <c r="G2261" s="3">
        <f>IF(ORIG!G2261=0,"",ORIG!G2261)</f>
        <v/>
      </c>
      <c r="H2261" s="3">
        <f>IF(ORIG!H2261=0,"",ORIG!H2261)</f>
        <v/>
      </c>
      <c r="I2261" s="3">
        <f>IF(ORIG!I2261=0,"",ORIG!I2261)</f>
        <v/>
      </c>
      <c r="J2261" s="3">
        <f>IF(ORIG!J2261=0,"",ORIG!J2261)</f>
        <v/>
      </c>
      <c r="K2261" s="3">
        <f>IF(ORIG!K2261=0,"",ORIG!K2261)</f>
        <v/>
      </c>
      <c r="L2261" s="3">
        <f>IF(ORIG!L2261=0,"",ORIG!L2261)</f>
        <v/>
      </c>
      <c r="M2261" s="3">
        <f>IF(ORIG!M2261=0,"",ORIG!M2261)</f>
        <v/>
      </c>
      <c r="N2261" s="3">
        <f>IF(ORIG!N2261=0,"",ORIG!N2261)</f>
        <v/>
      </c>
      <c r="O2261" s="3">
        <f>IF(ORIG!O2261=0,"",ORIG!O2261)</f>
        <v/>
      </c>
      <c r="P2261" s="3">
        <f>IF(ORIG!P2261=0,"",ORIG!P2261)</f>
        <v/>
      </c>
      <c r="Q2261" s="3">
        <f>IF(ORIG!Q2261=0,"",ORIG!Q2261)</f>
        <v/>
      </c>
      <c r="R2261" s="3">
        <f>IF(ORIG!R2261=0,"",ORIG!R2261)</f>
        <v/>
      </c>
      <c r="S2261" s="3">
        <f>IF(ORIG!S2261=0,"",ORIG!S2261)</f>
        <v/>
      </c>
      <c r="T2261" s="3">
        <f>IF(ORIG!T2261=0,"",ORIG!T2261)</f>
        <v/>
      </c>
      <c r="U2261" s="3">
        <f>IF(ORIG!U2261=0,"",ORIG!U2261)</f>
        <v/>
      </c>
      <c r="V2261" s="9">
        <f>IF(ORIG!V2261=0,"",ORIG!V2261)</f>
        <v/>
      </c>
      <c r="W2261" s="9">
        <f>IF(ORIG!W2261=0,"",ORIG!W2261)</f>
        <v/>
      </c>
      <c r="X2261" s="9">
        <f>IF(ORIG!X2261=0,"",ORIG!X2261)</f>
        <v/>
      </c>
      <c r="Y2261" s="9">
        <f>IF(ORIG!Y2261=0,"",ORIG!Y2261)</f>
        <v/>
      </c>
      <c r="Z2261" s="3">
        <f>SUMPRODUCT($B2261:$Y2261,$B$2649:$Y$2649)</f>
        <v/>
      </c>
      <c r="AA2261" s="3">
        <f>SUMPRODUCT($B2261:$Y2261,$B$2655:$Y$2655)</f>
        <v/>
      </c>
      <c r="AC2261" s="1">
        <f>A2261</f>
        <v/>
      </c>
      <c r="AD2261">
        <f>IF(ISNUMBER(V2261),V2261*($AB$1/V$2635),"")</f>
        <v/>
      </c>
      <c r="AE2261">
        <f>IF(ISNUMBER(Z2261),Z2261*($AB$1/Z$2635),"")</f>
        <v/>
      </c>
      <c r="AF2261" s="25">
        <f>IF(ISNUMBER(AD2261+AE2261),AD2261+AE2261,"")</f>
        <v/>
      </c>
      <c r="AH2261" s="1">
        <f>A2261</f>
        <v/>
      </c>
      <c r="AI2261">
        <f>IF(ISNUMBER((1+V2261)*AI2260),(1+V2261)*AI2260,AI2260)</f>
        <v/>
      </c>
      <c r="AJ2261">
        <f>IF(ISNUMBER((1+Z2261)*AJ2260),(1+Z2261)*AJ2260,AJ2260)</f>
        <v/>
      </c>
    </row>
    <row r="2262">
      <c r="A2262" s="1" t="n">
        <v>45282</v>
      </c>
      <c r="B2262" s="3">
        <f>IF(ORIG!B2262=0,"",ORIG!B2262)</f>
        <v/>
      </c>
      <c r="C2262" s="3">
        <f>IF(ORIG!C2262=0,"",ORIG!C2262)</f>
        <v/>
      </c>
      <c r="D2262" s="3">
        <f>IF(ORIG!D2262=0,"",ORIG!D2262)</f>
        <v/>
      </c>
      <c r="E2262" s="3">
        <f>IF(ORIG!E2262=0,"",ORIG!E2262)</f>
        <v/>
      </c>
      <c r="F2262" s="3">
        <f>IF(ORIG!F2262=0,"",ORIG!F2262)</f>
        <v/>
      </c>
      <c r="G2262" s="3">
        <f>IF(ORIG!G2262=0,"",ORIG!G2262)</f>
        <v/>
      </c>
      <c r="H2262" s="3">
        <f>IF(ORIG!H2262=0,"",ORIG!H2262)</f>
        <v/>
      </c>
      <c r="I2262" s="3">
        <f>IF(ORIG!I2262=0,"",ORIG!I2262)</f>
        <v/>
      </c>
      <c r="J2262" s="3">
        <f>IF(ORIG!J2262=0,"",ORIG!J2262)</f>
        <v/>
      </c>
      <c r="K2262" s="3">
        <f>IF(ORIG!K2262=0,"",ORIG!K2262)</f>
        <v/>
      </c>
      <c r="L2262" s="3">
        <f>IF(ORIG!L2262=0,"",ORIG!L2262)</f>
        <v/>
      </c>
      <c r="M2262" s="3">
        <f>IF(ORIG!M2262=0,"",ORIG!M2262)</f>
        <v/>
      </c>
      <c r="N2262" s="3">
        <f>IF(ORIG!N2262=0,"",ORIG!N2262)</f>
        <v/>
      </c>
      <c r="O2262" s="3">
        <f>IF(ORIG!O2262=0,"",ORIG!O2262)</f>
        <v/>
      </c>
      <c r="P2262" s="3">
        <f>IF(ORIG!P2262=0,"",ORIG!P2262)</f>
        <v/>
      </c>
      <c r="Q2262" s="3">
        <f>IF(ORIG!Q2262=0,"",ORIG!Q2262)</f>
        <v/>
      </c>
      <c r="R2262" s="3">
        <f>IF(ORIG!R2262=0,"",ORIG!R2262)</f>
        <v/>
      </c>
      <c r="S2262" s="3">
        <f>IF(ORIG!S2262=0,"",ORIG!S2262)</f>
        <v/>
      </c>
      <c r="T2262" s="3">
        <f>IF(ORIG!T2262=0,"",ORIG!T2262)</f>
        <v/>
      </c>
      <c r="U2262" s="3">
        <f>IF(ORIG!U2262=0,"",ORIG!U2262)</f>
        <v/>
      </c>
      <c r="V2262" s="9">
        <f>IF(ORIG!V2262=0,"",ORIG!V2262)</f>
        <v/>
      </c>
      <c r="W2262" s="9">
        <f>IF(ORIG!W2262=0,"",ORIG!W2262)</f>
        <v/>
      </c>
      <c r="X2262" s="9">
        <f>IF(ORIG!X2262=0,"",ORIG!X2262)</f>
        <v/>
      </c>
      <c r="Y2262" s="9">
        <f>IF(ORIG!Y2262=0,"",ORIG!Y2262)</f>
        <v/>
      </c>
      <c r="Z2262" s="3">
        <f>SUMPRODUCT($B2262:$Y2262,$B$2649:$Y$2649)</f>
        <v/>
      </c>
      <c r="AA2262" s="3">
        <f>SUMPRODUCT($B2262:$Y2262,$B$2655:$Y$2655)</f>
        <v/>
      </c>
      <c r="AC2262" s="1">
        <f>A2262</f>
        <v/>
      </c>
      <c r="AD2262">
        <f>IF(ISNUMBER(V2262),V2262*($AB$1/V$2635),"")</f>
        <v/>
      </c>
      <c r="AE2262">
        <f>IF(ISNUMBER(Z2262),Z2262*($AB$1/Z$2635),"")</f>
        <v/>
      </c>
      <c r="AF2262" s="25">
        <f>IF(ISNUMBER(AD2262+AE2262),AD2262+AE2262,"")</f>
        <v/>
      </c>
      <c r="AH2262" s="1">
        <f>A2262</f>
        <v/>
      </c>
      <c r="AI2262">
        <f>IF(ISNUMBER((1+V2262)*AI2261),(1+V2262)*AI2261,AI2261)</f>
        <v/>
      </c>
      <c r="AJ2262">
        <f>IF(ISNUMBER((1+Z2262)*AJ2261),(1+Z2262)*AJ2261,AJ2261)</f>
        <v/>
      </c>
    </row>
    <row r="2263">
      <c r="A2263" s="1" t="n">
        <v>45286</v>
      </c>
      <c r="B2263" s="3">
        <f>IF(ORIG!B2263=0,"",ORIG!B2263)</f>
        <v/>
      </c>
      <c r="C2263" s="3">
        <f>IF(ORIG!C2263=0,"",ORIG!C2263)</f>
        <v/>
      </c>
      <c r="D2263" s="3">
        <f>IF(ORIG!D2263=0,"",ORIG!D2263)</f>
        <v/>
      </c>
      <c r="E2263" s="3">
        <f>IF(ORIG!E2263=0,"",ORIG!E2263)</f>
        <v/>
      </c>
      <c r="F2263" s="3">
        <f>IF(ORIG!F2263=0,"",ORIG!F2263)</f>
        <v/>
      </c>
      <c r="G2263" s="3">
        <f>IF(ORIG!G2263=0,"",ORIG!G2263)</f>
        <v/>
      </c>
      <c r="H2263" s="3">
        <f>IF(ORIG!H2263=0,"",ORIG!H2263)</f>
        <v/>
      </c>
      <c r="I2263" s="3">
        <f>IF(ORIG!I2263=0,"",ORIG!I2263)</f>
        <v/>
      </c>
      <c r="J2263" s="3">
        <f>IF(ORIG!J2263=0,"",ORIG!J2263)</f>
        <v/>
      </c>
      <c r="K2263" s="3">
        <f>IF(ORIG!K2263=0,"",ORIG!K2263)</f>
        <v/>
      </c>
      <c r="L2263" s="3">
        <f>IF(ORIG!L2263=0,"",ORIG!L2263)</f>
        <v/>
      </c>
      <c r="M2263" s="3">
        <f>IF(ORIG!M2263=0,"",ORIG!M2263)</f>
        <v/>
      </c>
      <c r="N2263" s="3">
        <f>IF(ORIG!N2263=0,"",ORIG!N2263)</f>
        <v/>
      </c>
      <c r="O2263" s="3">
        <f>IF(ORIG!O2263=0,"",ORIG!O2263)</f>
        <v/>
      </c>
      <c r="P2263" s="3">
        <f>IF(ORIG!P2263=0,"",ORIG!P2263)</f>
        <v/>
      </c>
      <c r="Q2263" s="3">
        <f>IF(ORIG!Q2263=0,"",ORIG!Q2263)</f>
        <v/>
      </c>
      <c r="R2263" s="3">
        <f>IF(ORIG!R2263=0,"",ORIG!R2263)</f>
        <v/>
      </c>
      <c r="S2263" s="3">
        <f>IF(ORIG!S2263=0,"",ORIG!S2263)</f>
        <v/>
      </c>
      <c r="T2263" s="3">
        <f>IF(ORIG!T2263=0,"",ORIG!T2263)</f>
        <v/>
      </c>
      <c r="U2263" s="3">
        <f>IF(ORIG!U2263=0,"",ORIG!U2263)</f>
        <v/>
      </c>
      <c r="V2263" s="9">
        <f>IF(ORIG!V2263=0,"",ORIG!V2263)</f>
        <v/>
      </c>
      <c r="W2263" s="9">
        <f>IF(ORIG!W2263=0,"",ORIG!W2263)</f>
        <v/>
      </c>
      <c r="X2263" s="9">
        <f>IF(ORIG!X2263=0,"",ORIG!X2263)</f>
        <v/>
      </c>
      <c r="Y2263" s="9">
        <f>IF(ORIG!Y2263=0,"",ORIG!Y2263)</f>
        <v/>
      </c>
      <c r="Z2263" s="3">
        <f>SUMPRODUCT($B2263:$Y2263,$B$2649:$Y$2649)</f>
        <v/>
      </c>
      <c r="AA2263" s="3">
        <f>SUMPRODUCT($B2263:$Y2263,$B$2655:$Y$2655)</f>
        <v/>
      </c>
      <c r="AC2263" s="1">
        <f>A2263</f>
        <v/>
      </c>
      <c r="AD2263">
        <f>IF(ISNUMBER(V2263),V2263*($AB$1/V$2635),"")</f>
        <v/>
      </c>
      <c r="AE2263">
        <f>IF(ISNUMBER(Z2263),Z2263*($AB$1/Z$2635),"")</f>
        <v/>
      </c>
      <c r="AF2263" s="25">
        <f>IF(ISNUMBER(AD2263+AE2263),AD2263+AE2263,"")</f>
        <v/>
      </c>
      <c r="AH2263" s="1">
        <f>A2263</f>
        <v/>
      </c>
      <c r="AI2263">
        <f>IF(ISNUMBER((1+V2263)*AI2262),(1+V2263)*AI2262,AI2262)</f>
        <v/>
      </c>
      <c r="AJ2263">
        <f>IF(ISNUMBER((1+Z2263)*AJ2262),(1+Z2263)*AJ2262,AJ2262)</f>
        <v/>
      </c>
    </row>
    <row r="2264">
      <c r="A2264" s="1" t="n">
        <v>45287</v>
      </c>
      <c r="B2264" s="3">
        <f>IF(ORIG!B2264=0,"",ORIG!B2264)</f>
        <v/>
      </c>
      <c r="C2264" s="3">
        <f>IF(ORIG!C2264=0,"",ORIG!C2264)</f>
        <v/>
      </c>
      <c r="D2264" s="3">
        <f>IF(ORIG!D2264=0,"",ORIG!D2264)</f>
        <v/>
      </c>
      <c r="E2264" s="3">
        <f>IF(ORIG!E2264=0,"",ORIG!E2264)</f>
        <v/>
      </c>
      <c r="F2264" s="3">
        <f>IF(ORIG!F2264=0,"",ORIG!F2264)</f>
        <v/>
      </c>
      <c r="G2264" s="3">
        <f>IF(ORIG!G2264=0,"",ORIG!G2264)</f>
        <v/>
      </c>
      <c r="H2264" s="3">
        <f>IF(ORIG!H2264=0,"",ORIG!H2264)</f>
        <v/>
      </c>
      <c r="I2264" s="3">
        <f>IF(ORIG!I2264=0,"",ORIG!I2264)</f>
        <v/>
      </c>
      <c r="J2264" s="3">
        <f>IF(ORIG!J2264=0,"",ORIG!J2264)</f>
        <v/>
      </c>
      <c r="K2264" s="3">
        <f>IF(ORIG!K2264=0,"",ORIG!K2264)</f>
        <v/>
      </c>
      <c r="L2264" s="3">
        <f>IF(ORIG!L2264=0,"",ORIG!L2264)</f>
        <v/>
      </c>
      <c r="M2264" s="3">
        <f>IF(ORIG!M2264=0,"",ORIG!M2264)</f>
        <v/>
      </c>
      <c r="N2264" s="3">
        <f>IF(ORIG!N2264=0,"",ORIG!N2264)</f>
        <v/>
      </c>
      <c r="O2264" s="3">
        <f>IF(ORIG!O2264=0,"",ORIG!O2264)</f>
        <v/>
      </c>
      <c r="P2264" s="3">
        <f>IF(ORIG!P2264=0,"",ORIG!P2264)</f>
        <v/>
      </c>
      <c r="Q2264" s="3">
        <f>IF(ORIG!Q2264=0,"",ORIG!Q2264)</f>
        <v/>
      </c>
      <c r="R2264" s="3">
        <f>IF(ORIG!R2264=0,"",ORIG!R2264)</f>
        <v/>
      </c>
      <c r="S2264" s="3">
        <f>IF(ORIG!S2264=0,"",ORIG!S2264)</f>
        <v/>
      </c>
      <c r="T2264" s="3">
        <f>IF(ORIG!T2264=0,"",ORIG!T2264)</f>
        <v/>
      </c>
      <c r="U2264" s="3">
        <f>IF(ORIG!U2264=0,"",ORIG!U2264)</f>
        <v/>
      </c>
      <c r="V2264" s="9">
        <f>IF(ORIG!V2264=0,"",ORIG!V2264)</f>
        <v/>
      </c>
      <c r="W2264" s="9">
        <f>IF(ORIG!W2264=0,"",ORIG!W2264)</f>
        <v/>
      </c>
      <c r="X2264" s="9">
        <f>IF(ORIG!X2264=0,"",ORIG!X2264)</f>
        <v/>
      </c>
      <c r="Y2264" s="9">
        <f>IF(ORIG!Y2264=0,"",ORIG!Y2264)</f>
        <v/>
      </c>
      <c r="Z2264" s="3">
        <f>SUMPRODUCT($B2264:$Y2264,$B$2649:$Y$2649)</f>
        <v/>
      </c>
      <c r="AA2264" s="3">
        <f>SUMPRODUCT($B2264:$Y2264,$B$2655:$Y$2655)</f>
        <v/>
      </c>
      <c r="AC2264" s="1">
        <f>A2264</f>
        <v/>
      </c>
      <c r="AD2264">
        <f>IF(ISNUMBER(V2264),V2264*($AB$1/V$2635),"")</f>
        <v/>
      </c>
      <c r="AE2264">
        <f>IF(ISNUMBER(Z2264),Z2264*($AB$1/Z$2635),"")</f>
        <v/>
      </c>
      <c r="AF2264" s="25">
        <f>IF(ISNUMBER(AD2264+AE2264),AD2264+AE2264,"")</f>
        <v/>
      </c>
      <c r="AH2264" s="1">
        <f>A2264</f>
        <v/>
      </c>
      <c r="AI2264">
        <f>IF(ISNUMBER((1+V2264)*AI2263),(1+V2264)*AI2263,AI2263)</f>
        <v/>
      </c>
      <c r="AJ2264">
        <f>IF(ISNUMBER((1+Z2264)*AJ2263),(1+Z2264)*AJ2263,AJ2263)</f>
        <v/>
      </c>
    </row>
    <row r="2265">
      <c r="A2265" s="1" t="n">
        <v>45288</v>
      </c>
      <c r="B2265" s="3">
        <f>IF(ORIG!B2265=0,"",ORIG!B2265)</f>
        <v/>
      </c>
      <c r="C2265" s="3">
        <f>IF(ORIG!C2265=0,"",ORIG!C2265)</f>
        <v/>
      </c>
      <c r="D2265" s="3">
        <f>IF(ORIG!D2265=0,"",ORIG!D2265)</f>
        <v/>
      </c>
      <c r="E2265" s="3">
        <f>IF(ORIG!E2265=0,"",ORIG!E2265)</f>
        <v/>
      </c>
      <c r="F2265" s="3">
        <f>IF(ORIG!F2265=0,"",ORIG!F2265)</f>
        <v/>
      </c>
      <c r="G2265" s="3">
        <f>IF(ORIG!G2265=0,"",ORIG!G2265)</f>
        <v/>
      </c>
      <c r="H2265" s="3">
        <f>IF(ORIG!H2265=0,"",ORIG!H2265)</f>
        <v/>
      </c>
      <c r="I2265" s="3">
        <f>IF(ORIG!I2265=0,"",ORIG!I2265)</f>
        <v/>
      </c>
      <c r="J2265" s="3">
        <f>IF(ORIG!J2265=0,"",ORIG!J2265)</f>
        <v/>
      </c>
      <c r="K2265" s="3">
        <f>IF(ORIG!K2265=0,"",ORIG!K2265)</f>
        <v/>
      </c>
      <c r="L2265" s="3">
        <f>IF(ORIG!L2265=0,"",ORIG!L2265)</f>
        <v/>
      </c>
      <c r="M2265" s="3">
        <f>IF(ORIG!M2265=0,"",ORIG!M2265)</f>
        <v/>
      </c>
      <c r="N2265" s="3">
        <f>IF(ORIG!N2265=0,"",ORIG!N2265)</f>
        <v/>
      </c>
      <c r="O2265" s="3">
        <f>IF(ORIG!O2265=0,"",ORIG!O2265)</f>
        <v/>
      </c>
      <c r="P2265" s="3">
        <f>IF(ORIG!P2265=0,"",ORIG!P2265)</f>
        <v/>
      </c>
      <c r="Q2265" s="3">
        <f>IF(ORIG!Q2265=0,"",ORIG!Q2265)</f>
        <v/>
      </c>
      <c r="R2265" s="3">
        <f>IF(ORIG!R2265=0,"",ORIG!R2265)</f>
        <v/>
      </c>
      <c r="S2265" s="3">
        <f>IF(ORIG!S2265=0,"",ORIG!S2265)</f>
        <v/>
      </c>
      <c r="T2265" s="3">
        <f>IF(ORIG!T2265=0,"",ORIG!T2265)</f>
        <v/>
      </c>
      <c r="U2265" s="3">
        <f>IF(ORIG!U2265=0,"",ORIG!U2265)</f>
        <v/>
      </c>
      <c r="V2265" s="9">
        <f>IF(ORIG!V2265=0,"",ORIG!V2265)</f>
        <v/>
      </c>
      <c r="W2265" s="9">
        <f>IF(ORIG!W2265=0,"",ORIG!W2265)</f>
        <v/>
      </c>
      <c r="X2265" s="9">
        <f>IF(ORIG!X2265=0,"",ORIG!X2265)</f>
        <v/>
      </c>
      <c r="Y2265" s="9">
        <f>IF(ORIG!Y2265=0,"",ORIG!Y2265)</f>
        <v/>
      </c>
      <c r="Z2265" s="3">
        <f>SUMPRODUCT($B2265:$Y2265,$B$2649:$Y$2649)</f>
        <v/>
      </c>
      <c r="AA2265" s="3">
        <f>SUMPRODUCT($B2265:$Y2265,$B$2655:$Y$2655)</f>
        <v/>
      </c>
      <c r="AC2265" s="1">
        <f>A2265</f>
        <v/>
      </c>
      <c r="AD2265">
        <f>IF(ISNUMBER(V2265),V2265*($AB$1/V$2635),"")</f>
        <v/>
      </c>
      <c r="AE2265">
        <f>IF(ISNUMBER(Z2265),Z2265*($AB$1/Z$2635),"")</f>
        <v/>
      </c>
      <c r="AF2265" s="25">
        <f>IF(ISNUMBER(AD2265+AE2265),AD2265+AE2265,"")</f>
        <v/>
      </c>
      <c r="AH2265" s="1">
        <f>A2265</f>
        <v/>
      </c>
      <c r="AI2265">
        <f>IF(ISNUMBER((1+V2265)*AI2264),(1+V2265)*AI2264,AI2264)</f>
        <v/>
      </c>
      <c r="AJ2265">
        <f>IF(ISNUMBER((1+Z2265)*AJ2264),(1+Z2265)*AJ2264,AJ2264)</f>
        <v/>
      </c>
    </row>
    <row r="2266">
      <c r="A2266" s="1" t="n">
        <v>45289</v>
      </c>
      <c r="B2266" s="3">
        <f>IF(ORIG!B2266=0,"",ORIG!B2266)</f>
        <v/>
      </c>
      <c r="C2266" s="3">
        <f>IF(ORIG!C2266=0,"",ORIG!C2266)</f>
        <v/>
      </c>
      <c r="D2266" s="3">
        <f>IF(ORIG!D2266=0,"",ORIG!D2266)</f>
        <v/>
      </c>
      <c r="E2266" s="3">
        <f>IF(ORIG!E2266=0,"",ORIG!E2266)</f>
        <v/>
      </c>
      <c r="F2266" s="3">
        <f>IF(ORIG!F2266=0,"",ORIG!F2266)</f>
        <v/>
      </c>
      <c r="G2266" s="3">
        <f>IF(ORIG!G2266=0,"",ORIG!G2266)</f>
        <v/>
      </c>
      <c r="H2266" s="3">
        <f>IF(ORIG!H2266=0,"",ORIG!H2266)</f>
        <v/>
      </c>
      <c r="I2266" s="3">
        <f>IF(ORIG!I2266=0,"",ORIG!I2266)</f>
        <v/>
      </c>
      <c r="J2266" s="3">
        <f>IF(ORIG!J2266=0,"",ORIG!J2266)</f>
        <v/>
      </c>
      <c r="K2266" s="3">
        <f>IF(ORIG!K2266=0,"",ORIG!K2266)</f>
        <v/>
      </c>
      <c r="L2266" s="3">
        <f>IF(ORIG!L2266=0,"",ORIG!L2266)</f>
        <v/>
      </c>
      <c r="M2266" s="3">
        <f>IF(ORIG!M2266=0,"",ORIG!M2266)</f>
        <v/>
      </c>
      <c r="N2266" s="3">
        <f>IF(ORIG!N2266=0,"",ORIG!N2266)</f>
        <v/>
      </c>
      <c r="O2266" s="3">
        <f>IF(ORIG!O2266=0,"",ORIG!O2266)</f>
        <v/>
      </c>
      <c r="P2266" s="3">
        <f>IF(ORIG!P2266=0,"",ORIG!P2266)</f>
        <v/>
      </c>
      <c r="Q2266" s="3">
        <f>IF(ORIG!Q2266=0,"",ORIG!Q2266)</f>
        <v/>
      </c>
      <c r="R2266" s="3">
        <f>IF(ORIG!R2266=0,"",ORIG!R2266)</f>
        <v/>
      </c>
      <c r="S2266" s="3">
        <f>IF(ORIG!S2266=0,"",ORIG!S2266)</f>
        <v/>
      </c>
      <c r="T2266" s="3">
        <f>IF(ORIG!T2266=0,"",ORIG!T2266)</f>
        <v/>
      </c>
      <c r="U2266" s="3">
        <f>IF(ORIG!U2266=0,"",ORIG!U2266)</f>
        <v/>
      </c>
      <c r="V2266" s="9">
        <f>IF(ORIG!V2266=0,"",ORIG!V2266)</f>
        <v/>
      </c>
      <c r="W2266" s="9">
        <f>IF(ORIG!W2266=0,"",ORIG!W2266)</f>
        <v/>
      </c>
      <c r="X2266" s="9">
        <f>IF(ORIG!X2266=0,"",ORIG!X2266)</f>
        <v/>
      </c>
      <c r="Y2266" s="9">
        <f>IF(ORIG!Y2266=0,"",ORIG!Y2266)</f>
        <v/>
      </c>
      <c r="Z2266" s="3">
        <f>SUMPRODUCT($B2266:$Y2266,$B$2649:$Y$2649)</f>
        <v/>
      </c>
      <c r="AA2266" s="3">
        <f>SUMPRODUCT($B2266:$Y2266,$B$2655:$Y$2655)</f>
        <v/>
      </c>
      <c r="AC2266" s="1">
        <f>A2266</f>
        <v/>
      </c>
      <c r="AD2266">
        <f>IF(ISNUMBER(V2266),V2266*($AB$1/V$2635),"")</f>
        <v/>
      </c>
      <c r="AE2266">
        <f>IF(ISNUMBER(Z2266),Z2266*($AB$1/Z$2635),"")</f>
        <v/>
      </c>
      <c r="AF2266" s="25">
        <f>IF(ISNUMBER(AD2266+AE2266),AD2266+AE2266,"")</f>
        <v/>
      </c>
      <c r="AH2266" s="1">
        <f>A2266</f>
        <v/>
      </c>
      <c r="AI2266">
        <f>IF(ISNUMBER((1+V2266)*AI2265),(1+V2266)*AI2265,AI2265)</f>
        <v/>
      </c>
      <c r="AJ2266">
        <f>IF(ISNUMBER((1+Z2266)*AJ2265),(1+Z2266)*AJ2265,AJ2265)</f>
        <v/>
      </c>
    </row>
    <row r="2267">
      <c r="A2267" s="1" t="n">
        <v>45293</v>
      </c>
      <c r="B2267" s="3">
        <f>IF(ORIG!B2267=0,"",ORIG!B2267)</f>
        <v/>
      </c>
      <c r="C2267" s="3">
        <f>IF(ORIG!C2267=0,"",ORIG!C2267)</f>
        <v/>
      </c>
      <c r="D2267" s="3">
        <f>IF(ORIG!D2267=0,"",ORIG!D2267)</f>
        <v/>
      </c>
      <c r="E2267" s="3">
        <f>IF(ORIG!E2267=0,"",ORIG!E2267)</f>
        <v/>
      </c>
      <c r="F2267" s="3">
        <f>IF(ORIG!F2267=0,"",ORIG!F2267)</f>
        <v/>
      </c>
      <c r="G2267" s="3">
        <f>IF(ORIG!G2267=0,"",ORIG!G2267)</f>
        <v/>
      </c>
      <c r="H2267" s="3">
        <f>IF(ORIG!H2267=0,"",ORIG!H2267)</f>
        <v/>
      </c>
      <c r="I2267" s="3">
        <f>IF(ORIG!I2267=0,"",ORIG!I2267)</f>
        <v/>
      </c>
      <c r="J2267" s="3">
        <f>IF(ORIG!J2267=0,"",ORIG!J2267)</f>
        <v/>
      </c>
      <c r="K2267" s="3">
        <f>IF(ORIG!K2267=0,"",ORIG!K2267)</f>
        <v/>
      </c>
      <c r="L2267" s="3">
        <f>IF(ORIG!L2267=0,"",ORIG!L2267)</f>
        <v/>
      </c>
      <c r="M2267" s="3">
        <f>IF(ORIG!M2267=0,"",ORIG!M2267)</f>
        <v/>
      </c>
      <c r="N2267" s="3">
        <f>IF(ORIG!N2267=0,"",ORIG!N2267)</f>
        <v/>
      </c>
      <c r="O2267" s="3">
        <f>IF(ORIG!O2267=0,"",ORIG!O2267)</f>
        <v/>
      </c>
      <c r="P2267" s="3">
        <f>IF(ORIG!P2267=0,"",ORIG!P2267)</f>
        <v/>
      </c>
      <c r="Q2267" s="3">
        <f>IF(ORIG!Q2267=0,"",ORIG!Q2267)</f>
        <v/>
      </c>
      <c r="R2267" s="3">
        <f>IF(ORIG!R2267=0,"",ORIG!R2267)</f>
        <v/>
      </c>
      <c r="S2267" s="3">
        <f>IF(ORIG!S2267=0,"",ORIG!S2267)</f>
        <v/>
      </c>
      <c r="T2267" s="3">
        <f>IF(ORIG!T2267=0,"",ORIG!T2267)</f>
        <v/>
      </c>
      <c r="U2267" s="3">
        <f>IF(ORIG!U2267=0,"",ORIG!U2267)</f>
        <v/>
      </c>
      <c r="V2267" s="9">
        <f>IF(ORIG!V2267=0,"",ORIG!V2267)</f>
        <v/>
      </c>
      <c r="W2267" s="9">
        <f>IF(ORIG!W2267=0,"",ORIG!W2267)</f>
        <v/>
      </c>
      <c r="X2267" s="9">
        <f>IF(ORIG!X2267=0,"",ORIG!X2267)</f>
        <v/>
      </c>
      <c r="Y2267" s="9">
        <f>IF(ORIG!Y2267=0,"",ORIG!Y2267)</f>
        <v/>
      </c>
      <c r="Z2267" s="3">
        <f>SUMPRODUCT($B2267:$Y2267,$B$2649:$Y$2649)</f>
        <v/>
      </c>
      <c r="AA2267" s="3">
        <f>SUMPRODUCT($B2267:$Y2267,$B$2655:$Y$2655)</f>
        <v/>
      </c>
      <c r="AC2267" s="1">
        <f>A2267</f>
        <v/>
      </c>
      <c r="AD2267">
        <f>IF(ISNUMBER(V2267),V2267*($AB$1/V$2635),"")</f>
        <v/>
      </c>
      <c r="AE2267">
        <f>IF(ISNUMBER(Z2267),Z2267*($AB$1/Z$2635),"")</f>
        <v/>
      </c>
      <c r="AF2267" s="25">
        <f>IF(ISNUMBER(AD2267+AE2267),AD2267+AE2267,"")</f>
        <v/>
      </c>
      <c r="AH2267" s="1">
        <f>A2267</f>
        <v/>
      </c>
      <c r="AI2267">
        <f>IF(ISNUMBER((1+V2267)*AI2266),(1+V2267)*AI2266,AI2266)</f>
        <v/>
      </c>
      <c r="AJ2267">
        <f>IF(ISNUMBER((1+Z2267)*AJ2266),(1+Z2267)*AJ2266,AJ2266)</f>
        <v/>
      </c>
    </row>
    <row r="2268">
      <c r="A2268" s="1" t="n">
        <v>45294</v>
      </c>
      <c r="B2268" s="3">
        <f>IF(ORIG!B2268=0,"",ORIG!B2268)</f>
        <v/>
      </c>
      <c r="C2268" s="3">
        <f>IF(ORIG!C2268=0,"",ORIG!C2268)</f>
        <v/>
      </c>
      <c r="D2268" s="3">
        <f>IF(ORIG!D2268=0,"",ORIG!D2268)</f>
        <v/>
      </c>
      <c r="E2268" s="3">
        <f>IF(ORIG!E2268=0,"",ORIG!E2268)</f>
        <v/>
      </c>
      <c r="F2268" s="3">
        <f>IF(ORIG!F2268=0,"",ORIG!F2268)</f>
        <v/>
      </c>
      <c r="G2268" s="3">
        <f>IF(ORIG!G2268=0,"",ORIG!G2268)</f>
        <v/>
      </c>
      <c r="H2268" s="3">
        <f>IF(ORIG!H2268=0,"",ORIG!H2268)</f>
        <v/>
      </c>
      <c r="I2268" s="3">
        <f>IF(ORIG!I2268=0,"",ORIG!I2268)</f>
        <v/>
      </c>
      <c r="J2268" s="3">
        <f>IF(ORIG!J2268=0,"",ORIG!J2268)</f>
        <v/>
      </c>
      <c r="K2268" s="3">
        <f>IF(ORIG!K2268=0,"",ORIG!K2268)</f>
        <v/>
      </c>
      <c r="L2268" s="3">
        <f>IF(ORIG!L2268=0,"",ORIG!L2268)</f>
        <v/>
      </c>
      <c r="M2268" s="3">
        <f>IF(ORIG!M2268=0,"",ORIG!M2268)</f>
        <v/>
      </c>
      <c r="N2268" s="3">
        <f>IF(ORIG!N2268=0,"",ORIG!N2268)</f>
        <v/>
      </c>
      <c r="O2268" s="3">
        <f>IF(ORIG!O2268=0,"",ORIG!O2268)</f>
        <v/>
      </c>
      <c r="P2268" s="3">
        <f>IF(ORIG!P2268=0,"",ORIG!P2268)</f>
        <v/>
      </c>
      <c r="Q2268" s="3">
        <f>IF(ORIG!Q2268=0,"",ORIG!Q2268)</f>
        <v/>
      </c>
      <c r="R2268" s="3">
        <f>IF(ORIG!R2268=0,"",ORIG!R2268)</f>
        <v/>
      </c>
      <c r="S2268" s="3">
        <f>IF(ORIG!S2268=0,"",ORIG!S2268)</f>
        <v/>
      </c>
      <c r="T2268" s="3">
        <f>IF(ORIG!T2268=0,"",ORIG!T2268)</f>
        <v/>
      </c>
      <c r="U2268" s="3">
        <f>IF(ORIG!U2268=0,"",ORIG!U2268)</f>
        <v/>
      </c>
      <c r="V2268" s="9">
        <f>IF(ORIG!V2268=0,"",ORIG!V2268)</f>
        <v/>
      </c>
      <c r="W2268" s="9">
        <f>IF(ORIG!W2268=0,"",ORIG!W2268)</f>
        <v/>
      </c>
      <c r="X2268" s="9">
        <f>IF(ORIG!X2268=0,"",ORIG!X2268)</f>
        <v/>
      </c>
      <c r="Y2268" s="9">
        <f>IF(ORIG!Y2268=0,"",ORIG!Y2268)</f>
        <v/>
      </c>
      <c r="Z2268" s="3">
        <f>SUMPRODUCT($B2268:$Y2268,$B$2649:$Y$2649)</f>
        <v/>
      </c>
      <c r="AA2268" s="3">
        <f>SUMPRODUCT($B2268:$Y2268,$B$2655:$Y$2655)</f>
        <v/>
      </c>
      <c r="AC2268" s="1">
        <f>A2268</f>
        <v/>
      </c>
      <c r="AD2268">
        <f>IF(ISNUMBER(V2268),V2268*($AB$1/V$2635),"")</f>
        <v/>
      </c>
      <c r="AE2268">
        <f>IF(ISNUMBER(Z2268),Z2268*($AB$1/Z$2635),"")</f>
        <v/>
      </c>
      <c r="AF2268" s="25">
        <f>IF(ISNUMBER(AD2268+AE2268),AD2268+AE2268,"")</f>
        <v/>
      </c>
      <c r="AH2268" s="1">
        <f>A2268</f>
        <v/>
      </c>
      <c r="AI2268">
        <f>IF(ISNUMBER((1+V2268)*AI2267),(1+V2268)*AI2267,AI2267)</f>
        <v/>
      </c>
      <c r="AJ2268">
        <f>IF(ISNUMBER((1+Z2268)*AJ2267),(1+Z2268)*AJ2267,AJ2267)</f>
        <v/>
      </c>
    </row>
    <row r="2269">
      <c r="A2269" s="1" t="n">
        <v>45295</v>
      </c>
      <c r="B2269" s="3">
        <f>IF(ORIG!B2269=0,"",ORIG!B2269)</f>
        <v/>
      </c>
      <c r="C2269" s="3">
        <f>IF(ORIG!C2269=0,"",ORIG!C2269)</f>
        <v/>
      </c>
      <c r="D2269" s="3">
        <f>IF(ORIG!D2269=0,"",ORIG!D2269)</f>
        <v/>
      </c>
      <c r="E2269" s="3">
        <f>IF(ORIG!E2269=0,"",ORIG!E2269)</f>
        <v/>
      </c>
      <c r="F2269" s="3">
        <f>IF(ORIG!F2269=0,"",ORIG!F2269)</f>
        <v/>
      </c>
      <c r="G2269" s="3">
        <f>IF(ORIG!G2269=0,"",ORIG!G2269)</f>
        <v/>
      </c>
      <c r="H2269" s="3">
        <f>IF(ORIG!H2269=0,"",ORIG!H2269)</f>
        <v/>
      </c>
      <c r="I2269" s="3">
        <f>IF(ORIG!I2269=0,"",ORIG!I2269)</f>
        <v/>
      </c>
      <c r="J2269" s="3">
        <f>IF(ORIG!J2269=0,"",ORIG!J2269)</f>
        <v/>
      </c>
      <c r="K2269" s="3">
        <f>IF(ORIG!K2269=0,"",ORIG!K2269)</f>
        <v/>
      </c>
      <c r="L2269" s="3">
        <f>IF(ORIG!L2269=0,"",ORIG!L2269)</f>
        <v/>
      </c>
      <c r="M2269" s="3">
        <f>IF(ORIG!M2269=0,"",ORIG!M2269)</f>
        <v/>
      </c>
      <c r="N2269" s="3">
        <f>IF(ORIG!N2269=0,"",ORIG!N2269)</f>
        <v/>
      </c>
      <c r="O2269" s="3">
        <f>IF(ORIG!O2269=0,"",ORIG!O2269)</f>
        <v/>
      </c>
      <c r="P2269" s="3">
        <f>IF(ORIG!P2269=0,"",ORIG!P2269)</f>
        <v/>
      </c>
      <c r="Q2269" s="3">
        <f>IF(ORIG!Q2269=0,"",ORIG!Q2269)</f>
        <v/>
      </c>
      <c r="R2269" s="3">
        <f>IF(ORIG!R2269=0,"",ORIG!R2269)</f>
        <v/>
      </c>
      <c r="S2269" s="3">
        <f>IF(ORIG!S2269=0,"",ORIG!S2269)</f>
        <v/>
      </c>
      <c r="T2269" s="3">
        <f>IF(ORIG!T2269=0,"",ORIG!T2269)</f>
        <v/>
      </c>
      <c r="U2269" s="3">
        <f>IF(ORIG!U2269=0,"",ORIG!U2269)</f>
        <v/>
      </c>
      <c r="V2269" s="9">
        <f>IF(ORIG!V2269=0,"",ORIG!V2269)</f>
        <v/>
      </c>
      <c r="W2269" s="9">
        <f>IF(ORIG!W2269=0,"",ORIG!W2269)</f>
        <v/>
      </c>
      <c r="X2269" s="9">
        <f>IF(ORIG!X2269=0,"",ORIG!X2269)</f>
        <v/>
      </c>
      <c r="Y2269" s="9">
        <f>IF(ORIG!Y2269=0,"",ORIG!Y2269)</f>
        <v/>
      </c>
      <c r="Z2269" s="3">
        <f>SUMPRODUCT($B2269:$Y2269,$B$2649:$Y$2649)</f>
        <v/>
      </c>
      <c r="AA2269" s="3">
        <f>SUMPRODUCT($B2269:$Y2269,$B$2655:$Y$2655)</f>
        <v/>
      </c>
      <c r="AC2269" s="1">
        <f>A2269</f>
        <v/>
      </c>
      <c r="AD2269">
        <f>IF(ISNUMBER(V2269),V2269*($AB$1/V$2635),"")</f>
        <v/>
      </c>
      <c r="AE2269">
        <f>IF(ISNUMBER(Z2269),Z2269*($AB$1/Z$2635),"")</f>
        <v/>
      </c>
      <c r="AF2269" s="25">
        <f>IF(ISNUMBER(AD2269+AE2269),AD2269+AE2269,"")</f>
        <v/>
      </c>
      <c r="AH2269" s="1">
        <f>A2269</f>
        <v/>
      </c>
      <c r="AI2269">
        <f>IF(ISNUMBER((1+V2269)*AI2268),(1+V2269)*AI2268,AI2268)</f>
        <v/>
      </c>
      <c r="AJ2269">
        <f>IF(ISNUMBER((1+Z2269)*AJ2268),(1+Z2269)*AJ2268,AJ2268)</f>
        <v/>
      </c>
    </row>
    <row r="2270">
      <c r="A2270" s="1" t="n">
        <v>45296</v>
      </c>
      <c r="B2270" s="3">
        <f>IF(ORIG!B2270=0,"",ORIG!B2270)</f>
        <v/>
      </c>
      <c r="C2270" s="3">
        <f>IF(ORIG!C2270=0,"",ORIG!C2270)</f>
        <v/>
      </c>
      <c r="D2270" s="3">
        <f>IF(ORIG!D2270=0,"",ORIG!D2270)</f>
        <v/>
      </c>
      <c r="E2270" s="3">
        <f>IF(ORIG!E2270=0,"",ORIG!E2270)</f>
        <v/>
      </c>
      <c r="F2270" s="3">
        <f>IF(ORIG!F2270=0,"",ORIG!F2270)</f>
        <v/>
      </c>
      <c r="G2270" s="3">
        <f>IF(ORIG!G2270=0,"",ORIG!G2270)</f>
        <v/>
      </c>
      <c r="H2270" s="3">
        <f>IF(ORIG!H2270=0,"",ORIG!H2270)</f>
        <v/>
      </c>
      <c r="I2270" s="3">
        <f>IF(ORIG!I2270=0,"",ORIG!I2270)</f>
        <v/>
      </c>
      <c r="J2270" s="3">
        <f>IF(ORIG!J2270=0,"",ORIG!J2270)</f>
        <v/>
      </c>
      <c r="K2270" s="3">
        <f>IF(ORIG!K2270=0,"",ORIG!K2270)</f>
        <v/>
      </c>
      <c r="L2270" s="3">
        <f>IF(ORIG!L2270=0,"",ORIG!L2270)</f>
        <v/>
      </c>
      <c r="M2270" s="3">
        <f>IF(ORIG!M2270=0,"",ORIG!M2270)</f>
        <v/>
      </c>
      <c r="N2270" s="3">
        <f>IF(ORIG!N2270=0,"",ORIG!N2270)</f>
        <v/>
      </c>
      <c r="O2270" s="3">
        <f>IF(ORIG!O2270=0,"",ORIG!O2270)</f>
        <v/>
      </c>
      <c r="P2270" s="3">
        <f>IF(ORIG!P2270=0,"",ORIG!P2270)</f>
        <v/>
      </c>
      <c r="Q2270" s="3">
        <f>IF(ORIG!Q2270=0,"",ORIG!Q2270)</f>
        <v/>
      </c>
      <c r="R2270" s="3">
        <f>IF(ORIG!R2270=0,"",ORIG!R2270)</f>
        <v/>
      </c>
      <c r="S2270" s="3">
        <f>IF(ORIG!S2270=0,"",ORIG!S2270)</f>
        <v/>
      </c>
      <c r="T2270" s="3">
        <f>IF(ORIG!T2270=0,"",ORIG!T2270)</f>
        <v/>
      </c>
      <c r="U2270" s="3">
        <f>IF(ORIG!U2270=0,"",ORIG!U2270)</f>
        <v/>
      </c>
      <c r="V2270" s="9">
        <f>IF(ORIG!V2270=0,"",ORIG!V2270)</f>
        <v/>
      </c>
      <c r="W2270" s="9">
        <f>IF(ORIG!W2270=0,"",ORIG!W2270)</f>
        <v/>
      </c>
      <c r="X2270" s="9">
        <f>IF(ORIG!X2270=0,"",ORIG!X2270)</f>
        <v/>
      </c>
      <c r="Y2270" s="9">
        <f>IF(ORIG!Y2270=0,"",ORIG!Y2270)</f>
        <v/>
      </c>
      <c r="Z2270" s="3">
        <f>SUMPRODUCT($B2270:$Y2270,$B$2649:$Y$2649)</f>
        <v/>
      </c>
      <c r="AA2270" s="3">
        <f>SUMPRODUCT($B2270:$Y2270,$B$2655:$Y$2655)</f>
        <v/>
      </c>
      <c r="AC2270" s="1">
        <f>A2270</f>
        <v/>
      </c>
      <c r="AD2270">
        <f>IF(ISNUMBER(V2270),V2270*($AB$1/V$2635),"")</f>
        <v/>
      </c>
      <c r="AE2270">
        <f>IF(ISNUMBER(Z2270),Z2270*($AB$1/Z$2635),"")</f>
        <v/>
      </c>
      <c r="AF2270" s="25">
        <f>IF(ISNUMBER(AD2270+AE2270),AD2270+AE2270,"")</f>
        <v/>
      </c>
      <c r="AH2270" s="1">
        <f>A2270</f>
        <v/>
      </c>
      <c r="AI2270">
        <f>IF(ISNUMBER((1+V2270)*AI2269),(1+V2270)*AI2269,AI2269)</f>
        <v/>
      </c>
      <c r="AJ2270">
        <f>IF(ISNUMBER((1+Z2270)*AJ2269),(1+Z2270)*AJ2269,AJ2269)</f>
        <v/>
      </c>
    </row>
    <row r="2271">
      <c r="A2271" s="1" t="n">
        <v>45299</v>
      </c>
      <c r="B2271" s="3">
        <f>IF(ORIG!B2271=0,"",ORIG!B2271)</f>
        <v/>
      </c>
      <c r="C2271" s="3">
        <f>IF(ORIG!C2271=0,"",ORIG!C2271)</f>
        <v/>
      </c>
      <c r="D2271" s="3">
        <f>IF(ORIG!D2271=0,"",ORIG!D2271)</f>
        <v/>
      </c>
      <c r="E2271" s="3">
        <f>IF(ORIG!E2271=0,"",ORIG!E2271)</f>
        <v/>
      </c>
      <c r="F2271" s="3">
        <f>IF(ORIG!F2271=0,"",ORIG!F2271)</f>
        <v/>
      </c>
      <c r="G2271" s="3">
        <f>IF(ORIG!G2271=0,"",ORIG!G2271)</f>
        <v/>
      </c>
      <c r="H2271" s="3">
        <f>IF(ORIG!H2271=0,"",ORIG!H2271)</f>
        <v/>
      </c>
      <c r="I2271" s="3">
        <f>IF(ORIG!I2271=0,"",ORIG!I2271)</f>
        <v/>
      </c>
      <c r="J2271" s="3">
        <f>IF(ORIG!J2271=0,"",ORIG!J2271)</f>
        <v/>
      </c>
      <c r="K2271" s="3">
        <f>IF(ORIG!K2271=0,"",ORIG!K2271)</f>
        <v/>
      </c>
      <c r="L2271" s="3">
        <f>IF(ORIG!L2271=0,"",ORIG!L2271)</f>
        <v/>
      </c>
      <c r="M2271" s="3">
        <f>IF(ORIG!M2271=0,"",ORIG!M2271)</f>
        <v/>
      </c>
      <c r="N2271" s="3">
        <f>IF(ORIG!N2271=0,"",ORIG!N2271)</f>
        <v/>
      </c>
      <c r="O2271" s="3">
        <f>IF(ORIG!O2271=0,"",ORIG!O2271)</f>
        <v/>
      </c>
      <c r="P2271" s="3">
        <f>IF(ORIG!P2271=0,"",ORIG!P2271)</f>
        <v/>
      </c>
      <c r="Q2271" s="3">
        <f>IF(ORIG!Q2271=0,"",ORIG!Q2271)</f>
        <v/>
      </c>
      <c r="R2271" s="3">
        <f>IF(ORIG!R2271=0,"",ORIG!R2271)</f>
        <v/>
      </c>
      <c r="S2271" s="3">
        <f>IF(ORIG!S2271=0,"",ORIG!S2271)</f>
        <v/>
      </c>
      <c r="T2271" s="3">
        <f>IF(ORIG!T2271=0,"",ORIG!T2271)</f>
        <v/>
      </c>
      <c r="U2271" s="3">
        <f>IF(ORIG!U2271=0,"",ORIG!U2271)</f>
        <v/>
      </c>
      <c r="V2271" s="9">
        <f>IF(ORIG!V2271=0,"",ORIG!V2271)</f>
        <v/>
      </c>
      <c r="W2271" s="9">
        <f>IF(ORIG!W2271=0,"",ORIG!W2271)</f>
        <v/>
      </c>
      <c r="X2271" s="9">
        <f>IF(ORIG!X2271=0,"",ORIG!X2271)</f>
        <v/>
      </c>
      <c r="Y2271" s="9">
        <f>IF(ORIG!Y2271=0,"",ORIG!Y2271)</f>
        <v/>
      </c>
      <c r="Z2271" s="3">
        <f>SUMPRODUCT($B2271:$Y2271,$B$2649:$Y$2649)</f>
        <v/>
      </c>
      <c r="AA2271" s="3">
        <f>SUMPRODUCT($B2271:$Y2271,$B$2655:$Y$2655)</f>
        <v/>
      </c>
      <c r="AC2271" s="1">
        <f>A2271</f>
        <v/>
      </c>
      <c r="AD2271">
        <f>IF(ISNUMBER(V2271),V2271*($AB$1/V$2635),"")</f>
        <v/>
      </c>
      <c r="AE2271">
        <f>IF(ISNUMBER(Z2271),Z2271*($AB$1/Z$2635),"")</f>
        <v/>
      </c>
      <c r="AF2271" s="25">
        <f>IF(ISNUMBER(AD2271+AE2271),AD2271+AE2271,"")</f>
        <v/>
      </c>
      <c r="AH2271" s="1">
        <f>A2271</f>
        <v/>
      </c>
      <c r="AI2271">
        <f>IF(ISNUMBER((1+V2271)*AI2270),(1+V2271)*AI2270,AI2270)</f>
        <v/>
      </c>
      <c r="AJ2271">
        <f>IF(ISNUMBER((1+Z2271)*AJ2270),(1+Z2271)*AJ2270,AJ2270)</f>
        <v/>
      </c>
    </row>
    <row r="2272">
      <c r="A2272" s="1" t="n">
        <v>45300</v>
      </c>
      <c r="B2272" s="3">
        <f>IF(ORIG!B2272=0,"",ORIG!B2272)</f>
        <v/>
      </c>
      <c r="C2272" s="3">
        <f>IF(ORIG!C2272=0,"",ORIG!C2272)</f>
        <v/>
      </c>
      <c r="D2272" s="3">
        <f>IF(ORIG!D2272=0,"",ORIG!D2272)</f>
        <v/>
      </c>
      <c r="E2272" s="3">
        <f>IF(ORIG!E2272=0,"",ORIG!E2272)</f>
        <v/>
      </c>
      <c r="F2272" s="3">
        <f>IF(ORIG!F2272=0,"",ORIG!F2272)</f>
        <v/>
      </c>
      <c r="G2272" s="3">
        <f>IF(ORIG!G2272=0,"",ORIG!G2272)</f>
        <v/>
      </c>
      <c r="H2272" s="3">
        <f>IF(ORIG!H2272=0,"",ORIG!H2272)</f>
        <v/>
      </c>
      <c r="I2272" s="3">
        <f>IF(ORIG!I2272=0,"",ORIG!I2272)</f>
        <v/>
      </c>
      <c r="J2272" s="3">
        <f>IF(ORIG!J2272=0,"",ORIG!J2272)</f>
        <v/>
      </c>
      <c r="K2272" s="3">
        <f>IF(ORIG!K2272=0,"",ORIG!K2272)</f>
        <v/>
      </c>
      <c r="L2272" s="3">
        <f>IF(ORIG!L2272=0,"",ORIG!L2272)</f>
        <v/>
      </c>
      <c r="M2272" s="3">
        <f>IF(ORIG!M2272=0,"",ORIG!M2272)</f>
        <v/>
      </c>
      <c r="N2272" s="3">
        <f>IF(ORIG!N2272=0,"",ORIG!N2272)</f>
        <v/>
      </c>
      <c r="O2272" s="3">
        <f>IF(ORIG!O2272=0,"",ORIG!O2272)</f>
        <v/>
      </c>
      <c r="P2272" s="3">
        <f>IF(ORIG!P2272=0,"",ORIG!P2272)</f>
        <v/>
      </c>
      <c r="Q2272" s="3">
        <f>IF(ORIG!Q2272=0,"",ORIG!Q2272)</f>
        <v/>
      </c>
      <c r="R2272" s="3">
        <f>IF(ORIG!R2272=0,"",ORIG!R2272)</f>
        <v/>
      </c>
      <c r="S2272" s="3">
        <f>IF(ORIG!S2272=0,"",ORIG!S2272)</f>
        <v/>
      </c>
      <c r="T2272" s="3">
        <f>IF(ORIG!T2272=0,"",ORIG!T2272)</f>
        <v/>
      </c>
      <c r="U2272" s="3">
        <f>IF(ORIG!U2272=0,"",ORIG!U2272)</f>
        <v/>
      </c>
      <c r="V2272" s="9">
        <f>IF(ORIG!V2272=0,"",ORIG!V2272)</f>
        <v/>
      </c>
      <c r="W2272" s="9">
        <f>IF(ORIG!W2272=0,"",ORIG!W2272)</f>
        <v/>
      </c>
      <c r="X2272" s="9">
        <f>IF(ORIG!X2272=0,"",ORIG!X2272)</f>
        <v/>
      </c>
      <c r="Y2272" s="9">
        <f>IF(ORIG!Y2272=0,"",ORIG!Y2272)</f>
        <v/>
      </c>
      <c r="Z2272" s="3">
        <f>SUMPRODUCT($B2272:$Y2272,$B$2649:$Y$2649)</f>
        <v/>
      </c>
      <c r="AA2272" s="3">
        <f>SUMPRODUCT($B2272:$Y2272,$B$2655:$Y$2655)</f>
        <v/>
      </c>
      <c r="AC2272" s="1">
        <f>A2272</f>
        <v/>
      </c>
      <c r="AD2272">
        <f>IF(ISNUMBER(V2272),V2272*($AB$1/V$2635),"")</f>
        <v/>
      </c>
      <c r="AE2272">
        <f>IF(ISNUMBER(Z2272),Z2272*($AB$1/Z$2635),"")</f>
        <v/>
      </c>
      <c r="AF2272" s="25">
        <f>IF(ISNUMBER(AD2272+AE2272),AD2272+AE2272,"")</f>
        <v/>
      </c>
      <c r="AH2272" s="1">
        <f>A2272</f>
        <v/>
      </c>
      <c r="AI2272">
        <f>IF(ISNUMBER((1+V2272)*AI2271),(1+V2272)*AI2271,AI2271)</f>
        <v/>
      </c>
      <c r="AJ2272">
        <f>IF(ISNUMBER((1+Z2272)*AJ2271),(1+Z2272)*AJ2271,AJ2271)</f>
        <v/>
      </c>
    </row>
    <row r="2273">
      <c r="A2273" s="1" t="n">
        <v>45301</v>
      </c>
      <c r="B2273" s="3">
        <f>IF(ORIG!B2273=0,"",ORIG!B2273)</f>
        <v/>
      </c>
      <c r="C2273" s="3">
        <f>IF(ORIG!C2273=0,"",ORIG!C2273)</f>
        <v/>
      </c>
      <c r="D2273" s="3">
        <f>IF(ORIG!D2273=0,"",ORIG!D2273)</f>
        <v/>
      </c>
      <c r="E2273" s="3">
        <f>IF(ORIG!E2273=0,"",ORIG!E2273)</f>
        <v/>
      </c>
      <c r="F2273" s="3">
        <f>IF(ORIG!F2273=0,"",ORIG!F2273)</f>
        <v/>
      </c>
      <c r="G2273" s="3">
        <f>IF(ORIG!G2273=0,"",ORIG!G2273)</f>
        <v/>
      </c>
      <c r="H2273" s="3">
        <f>IF(ORIG!H2273=0,"",ORIG!H2273)</f>
        <v/>
      </c>
      <c r="I2273" s="3">
        <f>IF(ORIG!I2273=0,"",ORIG!I2273)</f>
        <v/>
      </c>
      <c r="J2273" s="3">
        <f>IF(ORIG!J2273=0,"",ORIG!J2273)</f>
        <v/>
      </c>
      <c r="K2273" s="3">
        <f>IF(ORIG!K2273=0,"",ORIG!K2273)</f>
        <v/>
      </c>
      <c r="L2273" s="3">
        <f>IF(ORIG!L2273=0,"",ORIG!L2273)</f>
        <v/>
      </c>
      <c r="M2273" s="3">
        <f>IF(ORIG!M2273=0,"",ORIG!M2273)</f>
        <v/>
      </c>
      <c r="N2273" s="3">
        <f>IF(ORIG!N2273=0,"",ORIG!N2273)</f>
        <v/>
      </c>
      <c r="O2273" s="3">
        <f>IF(ORIG!O2273=0,"",ORIG!O2273)</f>
        <v/>
      </c>
      <c r="P2273" s="3">
        <f>IF(ORIG!P2273=0,"",ORIG!P2273)</f>
        <v/>
      </c>
      <c r="Q2273" s="3">
        <f>IF(ORIG!Q2273=0,"",ORIG!Q2273)</f>
        <v/>
      </c>
      <c r="R2273" s="3">
        <f>IF(ORIG!R2273=0,"",ORIG!R2273)</f>
        <v/>
      </c>
      <c r="S2273" s="3">
        <f>IF(ORIG!S2273=0,"",ORIG!S2273)</f>
        <v/>
      </c>
      <c r="T2273" s="3">
        <f>IF(ORIG!T2273=0,"",ORIG!T2273)</f>
        <v/>
      </c>
      <c r="U2273" s="3">
        <f>IF(ORIG!U2273=0,"",ORIG!U2273)</f>
        <v/>
      </c>
      <c r="V2273" s="9">
        <f>IF(ORIG!V2273=0,"",ORIG!V2273)</f>
        <v/>
      </c>
      <c r="W2273" s="9">
        <f>IF(ORIG!W2273=0,"",ORIG!W2273)</f>
        <v/>
      </c>
      <c r="X2273" s="9">
        <f>IF(ORIG!X2273=0,"",ORIG!X2273)</f>
        <v/>
      </c>
      <c r="Y2273" s="9">
        <f>IF(ORIG!Y2273=0,"",ORIG!Y2273)</f>
        <v/>
      </c>
      <c r="Z2273" s="3">
        <f>SUMPRODUCT($B2273:$Y2273,$B$2649:$Y$2649)</f>
        <v/>
      </c>
      <c r="AA2273" s="3">
        <f>SUMPRODUCT($B2273:$Y2273,$B$2655:$Y$2655)</f>
        <v/>
      </c>
      <c r="AC2273" s="1">
        <f>A2273</f>
        <v/>
      </c>
      <c r="AD2273">
        <f>IF(ISNUMBER(V2273),V2273*($AB$1/V$2635),"")</f>
        <v/>
      </c>
      <c r="AE2273">
        <f>IF(ISNUMBER(Z2273),Z2273*($AB$1/Z$2635),"")</f>
        <v/>
      </c>
      <c r="AF2273" s="25">
        <f>IF(ISNUMBER(AD2273+AE2273),AD2273+AE2273,"")</f>
        <v/>
      </c>
      <c r="AH2273" s="1">
        <f>A2273</f>
        <v/>
      </c>
      <c r="AI2273">
        <f>IF(ISNUMBER((1+V2273)*AI2272),(1+V2273)*AI2272,AI2272)</f>
        <v/>
      </c>
      <c r="AJ2273">
        <f>IF(ISNUMBER((1+Z2273)*AJ2272),(1+Z2273)*AJ2272,AJ2272)</f>
        <v/>
      </c>
    </row>
    <row r="2274">
      <c r="A2274" s="1" t="n">
        <v>45302</v>
      </c>
      <c r="B2274" s="3">
        <f>IF(ORIG!B2274=0,"",ORIG!B2274)</f>
        <v/>
      </c>
      <c r="C2274" s="3">
        <f>IF(ORIG!C2274=0,"",ORIG!C2274)</f>
        <v/>
      </c>
      <c r="D2274" s="3">
        <f>IF(ORIG!D2274=0,"",ORIG!D2274)</f>
        <v/>
      </c>
      <c r="E2274" s="3">
        <f>IF(ORIG!E2274=0,"",ORIG!E2274)</f>
        <v/>
      </c>
      <c r="F2274" s="3">
        <f>IF(ORIG!F2274=0,"",ORIG!F2274)</f>
        <v/>
      </c>
      <c r="G2274" s="3">
        <f>IF(ORIG!G2274=0,"",ORIG!G2274)</f>
        <v/>
      </c>
      <c r="H2274" s="3">
        <f>IF(ORIG!H2274=0,"",ORIG!H2274)</f>
        <v/>
      </c>
      <c r="I2274" s="3">
        <f>IF(ORIG!I2274=0,"",ORIG!I2274)</f>
        <v/>
      </c>
      <c r="J2274" s="3">
        <f>IF(ORIG!J2274=0,"",ORIG!J2274)</f>
        <v/>
      </c>
      <c r="K2274" s="3">
        <f>IF(ORIG!K2274=0,"",ORIG!K2274)</f>
        <v/>
      </c>
      <c r="L2274" s="3">
        <f>IF(ORIG!L2274=0,"",ORIG!L2274)</f>
        <v/>
      </c>
      <c r="M2274" s="3">
        <f>IF(ORIG!M2274=0,"",ORIG!M2274)</f>
        <v/>
      </c>
      <c r="N2274" s="3">
        <f>IF(ORIG!N2274=0,"",ORIG!N2274)</f>
        <v/>
      </c>
      <c r="O2274" s="3">
        <f>IF(ORIG!O2274=0,"",ORIG!O2274)</f>
        <v/>
      </c>
      <c r="P2274" s="3">
        <f>IF(ORIG!P2274=0,"",ORIG!P2274)</f>
        <v/>
      </c>
      <c r="Q2274" s="3">
        <f>IF(ORIG!Q2274=0,"",ORIG!Q2274)</f>
        <v/>
      </c>
      <c r="R2274" s="3">
        <f>IF(ORIG!R2274=0,"",ORIG!R2274)</f>
        <v/>
      </c>
      <c r="S2274" s="3">
        <f>IF(ORIG!S2274=0,"",ORIG!S2274)</f>
        <v/>
      </c>
      <c r="T2274" s="3">
        <f>IF(ORIG!T2274=0,"",ORIG!T2274)</f>
        <v/>
      </c>
      <c r="U2274" s="3">
        <f>IF(ORIG!U2274=0,"",ORIG!U2274)</f>
        <v/>
      </c>
      <c r="V2274" s="9">
        <f>IF(ORIG!V2274=0,"",ORIG!V2274)</f>
        <v/>
      </c>
      <c r="W2274" s="9">
        <f>IF(ORIG!W2274=0,"",ORIG!W2274)</f>
        <v/>
      </c>
      <c r="X2274" s="9">
        <f>IF(ORIG!X2274=0,"",ORIG!X2274)</f>
        <v/>
      </c>
      <c r="Y2274" s="9">
        <f>IF(ORIG!Y2274=0,"",ORIG!Y2274)</f>
        <v/>
      </c>
      <c r="Z2274" s="3">
        <f>SUMPRODUCT($B2274:$Y2274,$B$2649:$Y$2649)</f>
        <v/>
      </c>
      <c r="AA2274" s="3">
        <f>SUMPRODUCT($B2274:$Y2274,$B$2655:$Y$2655)</f>
        <v/>
      </c>
      <c r="AC2274" s="1">
        <f>A2274</f>
        <v/>
      </c>
      <c r="AD2274">
        <f>IF(ISNUMBER(V2274),V2274*($AB$1/V$2635),"")</f>
        <v/>
      </c>
      <c r="AE2274">
        <f>IF(ISNUMBER(Z2274),Z2274*($AB$1/Z$2635),"")</f>
        <v/>
      </c>
      <c r="AF2274" s="25">
        <f>IF(ISNUMBER(AD2274+AE2274),AD2274+AE2274,"")</f>
        <v/>
      </c>
      <c r="AH2274" s="1">
        <f>A2274</f>
        <v/>
      </c>
      <c r="AI2274">
        <f>IF(ISNUMBER((1+V2274)*AI2273),(1+V2274)*AI2273,AI2273)</f>
        <v/>
      </c>
      <c r="AJ2274">
        <f>IF(ISNUMBER((1+Z2274)*AJ2273),(1+Z2274)*AJ2273,AJ2273)</f>
        <v/>
      </c>
    </row>
    <row r="2275">
      <c r="A2275" s="1" t="n">
        <v>45303</v>
      </c>
      <c r="B2275" s="3">
        <f>IF(ORIG!B2275=0,"",ORIG!B2275)</f>
        <v/>
      </c>
      <c r="C2275" s="3">
        <f>IF(ORIG!C2275=0,"",ORIG!C2275)</f>
        <v/>
      </c>
      <c r="D2275" s="3">
        <f>IF(ORIG!D2275=0,"",ORIG!D2275)</f>
        <v/>
      </c>
      <c r="E2275" s="3">
        <f>IF(ORIG!E2275=0,"",ORIG!E2275)</f>
        <v/>
      </c>
      <c r="F2275" s="3">
        <f>IF(ORIG!F2275=0,"",ORIG!F2275)</f>
        <v/>
      </c>
      <c r="G2275" s="3">
        <f>IF(ORIG!G2275=0,"",ORIG!G2275)</f>
        <v/>
      </c>
      <c r="H2275" s="3">
        <f>IF(ORIG!H2275=0,"",ORIG!H2275)</f>
        <v/>
      </c>
      <c r="I2275" s="3">
        <f>IF(ORIG!I2275=0,"",ORIG!I2275)</f>
        <v/>
      </c>
      <c r="J2275" s="3">
        <f>IF(ORIG!J2275=0,"",ORIG!J2275)</f>
        <v/>
      </c>
      <c r="K2275" s="3">
        <f>IF(ORIG!K2275=0,"",ORIG!K2275)</f>
        <v/>
      </c>
      <c r="L2275" s="3">
        <f>IF(ORIG!L2275=0,"",ORIG!L2275)</f>
        <v/>
      </c>
      <c r="M2275" s="3">
        <f>IF(ORIG!M2275=0,"",ORIG!M2275)</f>
        <v/>
      </c>
      <c r="N2275" s="3">
        <f>IF(ORIG!N2275=0,"",ORIG!N2275)</f>
        <v/>
      </c>
      <c r="O2275" s="3">
        <f>IF(ORIG!O2275=0,"",ORIG!O2275)</f>
        <v/>
      </c>
      <c r="P2275" s="3">
        <f>IF(ORIG!P2275=0,"",ORIG!P2275)</f>
        <v/>
      </c>
      <c r="Q2275" s="3">
        <f>IF(ORIG!Q2275=0,"",ORIG!Q2275)</f>
        <v/>
      </c>
      <c r="R2275" s="3">
        <f>IF(ORIG!R2275=0,"",ORIG!R2275)</f>
        <v/>
      </c>
      <c r="S2275" s="3">
        <f>IF(ORIG!S2275=0,"",ORIG!S2275)</f>
        <v/>
      </c>
      <c r="T2275" s="3">
        <f>IF(ORIG!T2275=0,"",ORIG!T2275)</f>
        <v/>
      </c>
      <c r="U2275" s="3">
        <f>IF(ORIG!U2275=0,"",ORIG!U2275)</f>
        <v/>
      </c>
      <c r="V2275" s="9">
        <f>IF(ORIG!V2275=0,"",ORIG!V2275)</f>
        <v/>
      </c>
      <c r="W2275" s="9">
        <f>IF(ORIG!W2275=0,"",ORIG!W2275)</f>
        <v/>
      </c>
      <c r="X2275" s="9">
        <f>IF(ORIG!X2275=0,"",ORIG!X2275)</f>
        <v/>
      </c>
      <c r="Y2275" s="9">
        <f>IF(ORIG!Y2275=0,"",ORIG!Y2275)</f>
        <v/>
      </c>
      <c r="Z2275" s="3">
        <f>SUMPRODUCT($B2275:$Y2275,$B$2649:$Y$2649)</f>
        <v/>
      </c>
      <c r="AA2275" s="3">
        <f>SUMPRODUCT($B2275:$Y2275,$B$2655:$Y$2655)</f>
        <v/>
      </c>
      <c r="AC2275" s="1">
        <f>A2275</f>
        <v/>
      </c>
      <c r="AD2275">
        <f>IF(ISNUMBER(V2275),V2275*($AB$1/V$2635),"")</f>
        <v/>
      </c>
      <c r="AE2275">
        <f>IF(ISNUMBER(Z2275),Z2275*($AB$1/Z$2635),"")</f>
        <v/>
      </c>
      <c r="AF2275" s="25">
        <f>IF(ISNUMBER(AD2275+AE2275),AD2275+AE2275,"")</f>
        <v/>
      </c>
      <c r="AH2275" s="1">
        <f>A2275</f>
        <v/>
      </c>
      <c r="AI2275">
        <f>IF(ISNUMBER((1+V2275)*AI2274),(1+V2275)*AI2274,AI2274)</f>
        <v/>
      </c>
      <c r="AJ2275">
        <f>IF(ISNUMBER((1+Z2275)*AJ2274),(1+Z2275)*AJ2274,AJ2274)</f>
        <v/>
      </c>
    </row>
    <row r="2276">
      <c r="A2276" s="1" t="n">
        <v>45307</v>
      </c>
      <c r="B2276" s="3">
        <f>IF(ORIG!B2276=0,"",ORIG!B2276)</f>
        <v/>
      </c>
      <c r="C2276" s="3">
        <f>IF(ORIG!C2276=0,"",ORIG!C2276)</f>
        <v/>
      </c>
      <c r="D2276" s="3">
        <f>IF(ORIG!D2276=0,"",ORIG!D2276)</f>
        <v/>
      </c>
      <c r="E2276" s="3">
        <f>IF(ORIG!E2276=0,"",ORIG!E2276)</f>
        <v/>
      </c>
      <c r="F2276" s="3">
        <f>IF(ORIG!F2276=0,"",ORIG!F2276)</f>
        <v/>
      </c>
      <c r="G2276" s="3">
        <f>IF(ORIG!G2276=0,"",ORIG!G2276)</f>
        <v/>
      </c>
      <c r="H2276" s="3">
        <f>IF(ORIG!H2276=0,"",ORIG!H2276)</f>
        <v/>
      </c>
      <c r="I2276" s="3">
        <f>IF(ORIG!I2276=0,"",ORIG!I2276)</f>
        <v/>
      </c>
      <c r="J2276" s="3">
        <f>IF(ORIG!J2276=0,"",ORIG!J2276)</f>
        <v/>
      </c>
      <c r="K2276" s="3">
        <f>IF(ORIG!K2276=0,"",ORIG!K2276)</f>
        <v/>
      </c>
      <c r="L2276" s="3">
        <f>IF(ORIG!L2276=0,"",ORIG!L2276)</f>
        <v/>
      </c>
      <c r="M2276" s="3">
        <f>IF(ORIG!M2276=0,"",ORIG!M2276)</f>
        <v/>
      </c>
      <c r="N2276" s="3">
        <f>IF(ORIG!N2276=0,"",ORIG!N2276)</f>
        <v/>
      </c>
      <c r="O2276" s="3">
        <f>IF(ORIG!O2276=0,"",ORIG!O2276)</f>
        <v/>
      </c>
      <c r="P2276" s="3">
        <f>IF(ORIG!P2276=0,"",ORIG!P2276)</f>
        <v/>
      </c>
      <c r="Q2276" s="3">
        <f>IF(ORIG!Q2276=0,"",ORIG!Q2276)</f>
        <v/>
      </c>
      <c r="R2276" s="3">
        <f>IF(ORIG!R2276=0,"",ORIG!R2276)</f>
        <v/>
      </c>
      <c r="S2276" s="3">
        <f>IF(ORIG!S2276=0,"",ORIG!S2276)</f>
        <v/>
      </c>
      <c r="T2276" s="3">
        <f>IF(ORIG!T2276=0,"",ORIG!T2276)</f>
        <v/>
      </c>
      <c r="U2276" s="3">
        <f>IF(ORIG!U2276=0,"",ORIG!U2276)</f>
        <v/>
      </c>
      <c r="V2276" s="9">
        <f>IF(ORIG!V2276=0,"",ORIG!V2276)</f>
        <v/>
      </c>
      <c r="W2276" s="9">
        <f>IF(ORIG!W2276=0,"",ORIG!W2276)</f>
        <v/>
      </c>
      <c r="X2276" s="9">
        <f>IF(ORIG!X2276=0,"",ORIG!X2276)</f>
        <v/>
      </c>
      <c r="Y2276" s="9">
        <f>IF(ORIG!Y2276=0,"",ORIG!Y2276)</f>
        <v/>
      </c>
      <c r="Z2276" s="3">
        <f>SUMPRODUCT($B2276:$Y2276,$B$2649:$Y$2649)</f>
        <v/>
      </c>
      <c r="AA2276" s="3">
        <f>SUMPRODUCT($B2276:$Y2276,$B$2655:$Y$2655)</f>
        <v/>
      </c>
      <c r="AC2276" s="1">
        <f>A2276</f>
        <v/>
      </c>
      <c r="AD2276">
        <f>IF(ISNUMBER(V2276),V2276*($AB$1/V$2635),"")</f>
        <v/>
      </c>
      <c r="AE2276">
        <f>IF(ISNUMBER(Z2276),Z2276*($AB$1/Z$2635),"")</f>
        <v/>
      </c>
      <c r="AF2276" s="25">
        <f>IF(ISNUMBER(AD2276+AE2276),AD2276+AE2276,"")</f>
        <v/>
      </c>
      <c r="AH2276" s="1">
        <f>A2276</f>
        <v/>
      </c>
      <c r="AI2276">
        <f>IF(ISNUMBER((1+V2276)*AI2275),(1+V2276)*AI2275,AI2275)</f>
        <v/>
      </c>
      <c r="AJ2276">
        <f>IF(ISNUMBER((1+Z2276)*AJ2275),(1+Z2276)*AJ2275,AJ2275)</f>
        <v/>
      </c>
    </row>
    <row r="2277">
      <c r="A2277" s="1" t="n">
        <v>45308</v>
      </c>
      <c r="B2277" s="3">
        <f>IF(ORIG!B2277=0,"",ORIG!B2277)</f>
        <v/>
      </c>
      <c r="C2277" s="3">
        <f>IF(ORIG!C2277=0,"",ORIG!C2277)</f>
        <v/>
      </c>
      <c r="D2277" s="3">
        <f>IF(ORIG!D2277=0,"",ORIG!D2277)</f>
        <v/>
      </c>
      <c r="E2277" s="3">
        <f>IF(ORIG!E2277=0,"",ORIG!E2277)</f>
        <v/>
      </c>
      <c r="F2277" s="3">
        <f>IF(ORIG!F2277=0,"",ORIG!F2277)</f>
        <v/>
      </c>
      <c r="G2277" s="3">
        <f>IF(ORIG!G2277=0,"",ORIG!G2277)</f>
        <v/>
      </c>
      <c r="H2277" s="3">
        <f>IF(ORIG!H2277=0,"",ORIG!H2277)</f>
        <v/>
      </c>
      <c r="I2277" s="3">
        <f>IF(ORIG!I2277=0,"",ORIG!I2277)</f>
        <v/>
      </c>
      <c r="J2277" s="3">
        <f>IF(ORIG!J2277=0,"",ORIG!J2277)</f>
        <v/>
      </c>
      <c r="K2277" s="3">
        <f>IF(ORIG!K2277=0,"",ORIG!K2277)</f>
        <v/>
      </c>
      <c r="L2277" s="3">
        <f>IF(ORIG!L2277=0,"",ORIG!L2277)</f>
        <v/>
      </c>
      <c r="M2277" s="3">
        <f>IF(ORIG!M2277=0,"",ORIG!M2277)</f>
        <v/>
      </c>
      <c r="N2277" s="3">
        <f>IF(ORIG!N2277=0,"",ORIG!N2277)</f>
        <v/>
      </c>
      <c r="O2277" s="3">
        <f>IF(ORIG!O2277=0,"",ORIG!O2277)</f>
        <v/>
      </c>
      <c r="P2277" s="3">
        <f>IF(ORIG!P2277=0,"",ORIG!P2277)</f>
        <v/>
      </c>
      <c r="Q2277" s="3">
        <f>IF(ORIG!Q2277=0,"",ORIG!Q2277)</f>
        <v/>
      </c>
      <c r="R2277" s="3">
        <f>IF(ORIG!R2277=0,"",ORIG!R2277)</f>
        <v/>
      </c>
      <c r="S2277" s="3">
        <f>IF(ORIG!S2277=0,"",ORIG!S2277)</f>
        <v/>
      </c>
      <c r="T2277" s="3">
        <f>IF(ORIG!T2277=0,"",ORIG!T2277)</f>
        <v/>
      </c>
      <c r="U2277" s="3">
        <f>IF(ORIG!U2277=0,"",ORIG!U2277)</f>
        <v/>
      </c>
      <c r="V2277" s="9">
        <f>IF(ORIG!V2277=0,"",ORIG!V2277)</f>
        <v/>
      </c>
      <c r="W2277" s="9">
        <f>IF(ORIG!W2277=0,"",ORIG!W2277)</f>
        <v/>
      </c>
      <c r="X2277" s="9">
        <f>IF(ORIG!X2277=0,"",ORIG!X2277)</f>
        <v/>
      </c>
      <c r="Y2277" s="9">
        <f>IF(ORIG!Y2277=0,"",ORIG!Y2277)</f>
        <v/>
      </c>
      <c r="Z2277" s="3">
        <f>SUMPRODUCT($B2277:$Y2277,$B$2649:$Y$2649)</f>
        <v/>
      </c>
      <c r="AA2277" s="3">
        <f>SUMPRODUCT($B2277:$Y2277,$B$2655:$Y$2655)</f>
        <v/>
      </c>
      <c r="AC2277" s="1">
        <f>A2277</f>
        <v/>
      </c>
      <c r="AD2277">
        <f>IF(ISNUMBER(V2277),V2277*($AB$1/V$2635),"")</f>
        <v/>
      </c>
      <c r="AE2277">
        <f>IF(ISNUMBER(Z2277),Z2277*($AB$1/Z$2635),"")</f>
        <v/>
      </c>
      <c r="AF2277" s="25">
        <f>IF(ISNUMBER(AD2277+AE2277),AD2277+AE2277,"")</f>
        <v/>
      </c>
      <c r="AH2277" s="1">
        <f>A2277</f>
        <v/>
      </c>
      <c r="AI2277">
        <f>IF(ISNUMBER((1+V2277)*AI2276),(1+V2277)*AI2276,AI2276)</f>
        <v/>
      </c>
      <c r="AJ2277">
        <f>IF(ISNUMBER((1+Z2277)*AJ2276),(1+Z2277)*AJ2276,AJ2276)</f>
        <v/>
      </c>
    </row>
    <row r="2278">
      <c r="A2278" s="1" t="n">
        <v>45309</v>
      </c>
      <c r="B2278" s="3">
        <f>IF(ORIG!B2278=0,"",ORIG!B2278)</f>
        <v/>
      </c>
      <c r="C2278" s="3">
        <f>IF(ORIG!C2278=0,"",ORIG!C2278)</f>
        <v/>
      </c>
      <c r="D2278" s="3">
        <f>IF(ORIG!D2278=0,"",ORIG!D2278)</f>
        <v/>
      </c>
      <c r="E2278" s="3">
        <f>IF(ORIG!E2278=0,"",ORIG!E2278)</f>
        <v/>
      </c>
      <c r="F2278" s="3">
        <f>IF(ORIG!F2278=0,"",ORIG!F2278)</f>
        <v/>
      </c>
      <c r="G2278" s="3">
        <f>IF(ORIG!G2278=0,"",ORIG!G2278)</f>
        <v/>
      </c>
      <c r="H2278" s="3">
        <f>IF(ORIG!H2278=0,"",ORIG!H2278)</f>
        <v/>
      </c>
      <c r="I2278" s="3">
        <f>IF(ORIG!I2278=0,"",ORIG!I2278)</f>
        <v/>
      </c>
      <c r="J2278" s="3">
        <f>IF(ORIG!J2278=0,"",ORIG!J2278)</f>
        <v/>
      </c>
      <c r="K2278" s="3">
        <f>IF(ORIG!K2278=0,"",ORIG!K2278)</f>
        <v/>
      </c>
      <c r="L2278" s="3">
        <f>IF(ORIG!L2278=0,"",ORIG!L2278)</f>
        <v/>
      </c>
      <c r="M2278" s="3">
        <f>IF(ORIG!M2278=0,"",ORIG!M2278)</f>
        <v/>
      </c>
      <c r="N2278" s="3">
        <f>IF(ORIG!N2278=0,"",ORIG!N2278)</f>
        <v/>
      </c>
      <c r="O2278" s="3">
        <f>IF(ORIG!O2278=0,"",ORIG!O2278)</f>
        <v/>
      </c>
      <c r="P2278" s="3">
        <f>IF(ORIG!P2278=0,"",ORIG!P2278)</f>
        <v/>
      </c>
      <c r="Q2278" s="3">
        <f>IF(ORIG!Q2278=0,"",ORIG!Q2278)</f>
        <v/>
      </c>
      <c r="R2278" s="3">
        <f>IF(ORIG!R2278=0,"",ORIG!R2278)</f>
        <v/>
      </c>
      <c r="S2278" s="3">
        <f>IF(ORIG!S2278=0,"",ORIG!S2278)</f>
        <v/>
      </c>
      <c r="T2278" s="3">
        <f>IF(ORIG!T2278=0,"",ORIG!T2278)</f>
        <v/>
      </c>
      <c r="U2278" s="3">
        <f>IF(ORIG!U2278=0,"",ORIG!U2278)</f>
        <v/>
      </c>
      <c r="V2278" s="9">
        <f>IF(ORIG!V2278=0,"",ORIG!V2278)</f>
        <v/>
      </c>
      <c r="W2278" s="9">
        <f>IF(ORIG!W2278=0,"",ORIG!W2278)</f>
        <v/>
      </c>
      <c r="X2278" s="9">
        <f>IF(ORIG!X2278=0,"",ORIG!X2278)</f>
        <v/>
      </c>
      <c r="Y2278" s="9">
        <f>IF(ORIG!Y2278=0,"",ORIG!Y2278)</f>
        <v/>
      </c>
      <c r="Z2278" s="3">
        <f>SUMPRODUCT($B2278:$Y2278,$B$2649:$Y$2649)</f>
        <v/>
      </c>
      <c r="AA2278" s="3">
        <f>SUMPRODUCT($B2278:$Y2278,$B$2655:$Y$2655)</f>
        <v/>
      </c>
      <c r="AC2278" s="1">
        <f>A2278</f>
        <v/>
      </c>
      <c r="AD2278">
        <f>IF(ISNUMBER(V2278),V2278*($AB$1/V$2635),"")</f>
        <v/>
      </c>
      <c r="AE2278">
        <f>IF(ISNUMBER(Z2278),Z2278*($AB$1/Z$2635),"")</f>
        <v/>
      </c>
      <c r="AF2278" s="25">
        <f>IF(ISNUMBER(AD2278+AE2278),AD2278+AE2278,"")</f>
        <v/>
      </c>
      <c r="AH2278" s="1">
        <f>A2278</f>
        <v/>
      </c>
      <c r="AI2278">
        <f>IF(ISNUMBER((1+V2278)*AI2277),(1+V2278)*AI2277,AI2277)</f>
        <v/>
      </c>
      <c r="AJ2278">
        <f>IF(ISNUMBER((1+Z2278)*AJ2277),(1+Z2278)*AJ2277,AJ2277)</f>
        <v/>
      </c>
    </row>
    <row r="2279">
      <c r="A2279" s="1" t="n">
        <v>45310</v>
      </c>
      <c r="B2279" s="3">
        <f>IF(ORIG!B2279=0,"",ORIG!B2279)</f>
        <v/>
      </c>
      <c r="C2279" s="3">
        <f>IF(ORIG!C2279=0,"",ORIG!C2279)</f>
        <v/>
      </c>
      <c r="D2279" s="3">
        <f>IF(ORIG!D2279=0,"",ORIG!D2279)</f>
        <v/>
      </c>
      <c r="E2279" s="3">
        <f>IF(ORIG!E2279=0,"",ORIG!E2279)</f>
        <v/>
      </c>
      <c r="F2279" s="3">
        <f>IF(ORIG!F2279=0,"",ORIG!F2279)</f>
        <v/>
      </c>
      <c r="G2279" s="3">
        <f>IF(ORIG!G2279=0,"",ORIG!G2279)</f>
        <v/>
      </c>
      <c r="H2279" s="3">
        <f>IF(ORIG!H2279=0,"",ORIG!H2279)</f>
        <v/>
      </c>
      <c r="I2279" s="3">
        <f>IF(ORIG!I2279=0,"",ORIG!I2279)</f>
        <v/>
      </c>
      <c r="J2279" s="3">
        <f>IF(ORIG!J2279=0,"",ORIG!J2279)</f>
        <v/>
      </c>
      <c r="K2279" s="3">
        <f>IF(ORIG!K2279=0,"",ORIG!K2279)</f>
        <v/>
      </c>
      <c r="L2279" s="3">
        <f>IF(ORIG!L2279=0,"",ORIG!L2279)</f>
        <v/>
      </c>
      <c r="M2279" s="3">
        <f>IF(ORIG!M2279=0,"",ORIG!M2279)</f>
        <v/>
      </c>
      <c r="N2279" s="3">
        <f>IF(ORIG!N2279=0,"",ORIG!N2279)</f>
        <v/>
      </c>
      <c r="O2279" s="3">
        <f>IF(ORIG!O2279=0,"",ORIG!O2279)</f>
        <v/>
      </c>
      <c r="P2279" s="3">
        <f>IF(ORIG!P2279=0,"",ORIG!P2279)</f>
        <v/>
      </c>
      <c r="Q2279" s="3">
        <f>IF(ORIG!Q2279=0,"",ORIG!Q2279)</f>
        <v/>
      </c>
      <c r="R2279" s="3">
        <f>IF(ORIG!R2279=0,"",ORIG!R2279)</f>
        <v/>
      </c>
      <c r="S2279" s="3">
        <f>IF(ORIG!S2279=0,"",ORIG!S2279)</f>
        <v/>
      </c>
      <c r="T2279" s="3">
        <f>IF(ORIG!T2279=0,"",ORIG!T2279)</f>
        <v/>
      </c>
      <c r="U2279" s="3">
        <f>IF(ORIG!U2279=0,"",ORIG!U2279)</f>
        <v/>
      </c>
      <c r="V2279" s="9">
        <f>IF(ORIG!V2279=0,"",ORIG!V2279)</f>
        <v/>
      </c>
      <c r="W2279" s="9">
        <f>IF(ORIG!W2279=0,"",ORIG!W2279)</f>
        <v/>
      </c>
      <c r="X2279" s="9">
        <f>IF(ORIG!X2279=0,"",ORIG!X2279)</f>
        <v/>
      </c>
      <c r="Y2279" s="9">
        <f>IF(ORIG!Y2279=0,"",ORIG!Y2279)</f>
        <v/>
      </c>
      <c r="Z2279" s="3">
        <f>SUMPRODUCT($B2279:$Y2279,$B$2649:$Y$2649)</f>
        <v/>
      </c>
      <c r="AA2279" s="3">
        <f>SUMPRODUCT($B2279:$Y2279,$B$2655:$Y$2655)</f>
        <v/>
      </c>
      <c r="AC2279" s="1">
        <f>A2279</f>
        <v/>
      </c>
      <c r="AD2279">
        <f>IF(ISNUMBER(V2279),V2279*($AB$1/V$2635),"")</f>
        <v/>
      </c>
      <c r="AE2279">
        <f>IF(ISNUMBER(Z2279),Z2279*($AB$1/Z$2635),"")</f>
        <v/>
      </c>
      <c r="AF2279" s="25">
        <f>IF(ISNUMBER(AD2279+AE2279),AD2279+AE2279,"")</f>
        <v/>
      </c>
      <c r="AH2279" s="1">
        <f>A2279</f>
        <v/>
      </c>
      <c r="AI2279">
        <f>IF(ISNUMBER((1+V2279)*AI2278),(1+V2279)*AI2278,AI2278)</f>
        <v/>
      </c>
      <c r="AJ2279">
        <f>IF(ISNUMBER((1+Z2279)*AJ2278),(1+Z2279)*AJ2278,AJ2278)</f>
        <v/>
      </c>
    </row>
    <row r="2280">
      <c r="A2280" s="1" t="n">
        <v>45313</v>
      </c>
      <c r="B2280" s="3">
        <f>IF(ORIG!B2280=0,"",ORIG!B2280)</f>
        <v/>
      </c>
      <c r="C2280" s="3">
        <f>IF(ORIG!C2280=0,"",ORIG!C2280)</f>
        <v/>
      </c>
      <c r="D2280" s="3">
        <f>IF(ORIG!D2280=0,"",ORIG!D2280)</f>
        <v/>
      </c>
      <c r="E2280" s="3">
        <f>IF(ORIG!E2280=0,"",ORIG!E2280)</f>
        <v/>
      </c>
      <c r="F2280" s="3">
        <f>IF(ORIG!F2280=0,"",ORIG!F2280)</f>
        <v/>
      </c>
      <c r="G2280" s="3">
        <f>IF(ORIG!G2280=0,"",ORIG!G2280)</f>
        <v/>
      </c>
      <c r="H2280" s="3">
        <f>IF(ORIG!H2280=0,"",ORIG!H2280)</f>
        <v/>
      </c>
      <c r="I2280" s="3">
        <f>IF(ORIG!I2280=0,"",ORIG!I2280)</f>
        <v/>
      </c>
      <c r="J2280" s="3">
        <f>IF(ORIG!J2280=0,"",ORIG!J2280)</f>
        <v/>
      </c>
      <c r="K2280" s="3">
        <f>IF(ORIG!K2280=0,"",ORIG!K2280)</f>
        <v/>
      </c>
      <c r="L2280" s="3">
        <f>IF(ORIG!L2280=0,"",ORIG!L2280)</f>
        <v/>
      </c>
      <c r="M2280" s="3">
        <f>IF(ORIG!M2280=0,"",ORIG!M2280)</f>
        <v/>
      </c>
      <c r="N2280" s="3">
        <f>IF(ORIG!N2280=0,"",ORIG!N2280)</f>
        <v/>
      </c>
      <c r="O2280" s="3">
        <f>IF(ORIG!O2280=0,"",ORIG!O2280)</f>
        <v/>
      </c>
      <c r="P2280" s="3">
        <f>IF(ORIG!P2280=0,"",ORIG!P2280)</f>
        <v/>
      </c>
      <c r="Q2280" s="3">
        <f>IF(ORIG!Q2280=0,"",ORIG!Q2280)</f>
        <v/>
      </c>
      <c r="R2280" s="3">
        <f>IF(ORIG!R2280=0,"",ORIG!R2280)</f>
        <v/>
      </c>
      <c r="S2280" s="3">
        <f>IF(ORIG!S2280=0,"",ORIG!S2280)</f>
        <v/>
      </c>
      <c r="T2280" s="3">
        <f>IF(ORIG!T2280=0,"",ORIG!T2280)</f>
        <v/>
      </c>
      <c r="U2280" s="3">
        <f>IF(ORIG!U2280=0,"",ORIG!U2280)</f>
        <v/>
      </c>
      <c r="V2280" s="9">
        <f>IF(ORIG!V2280=0,"",ORIG!V2280)</f>
        <v/>
      </c>
      <c r="W2280" s="9">
        <f>IF(ORIG!W2280=0,"",ORIG!W2280)</f>
        <v/>
      </c>
      <c r="X2280" s="9">
        <f>IF(ORIG!X2280=0,"",ORIG!X2280)</f>
        <v/>
      </c>
      <c r="Y2280" s="9">
        <f>IF(ORIG!Y2280=0,"",ORIG!Y2280)</f>
        <v/>
      </c>
      <c r="Z2280" s="3">
        <f>SUMPRODUCT($B2280:$Y2280,$B$2649:$Y$2649)</f>
        <v/>
      </c>
      <c r="AA2280" s="3">
        <f>SUMPRODUCT($B2280:$Y2280,$B$2655:$Y$2655)</f>
        <v/>
      </c>
      <c r="AC2280" s="1">
        <f>A2280</f>
        <v/>
      </c>
      <c r="AD2280">
        <f>IF(ISNUMBER(V2280),V2280*($AB$1/V$2635),"")</f>
        <v/>
      </c>
      <c r="AE2280">
        <f>IF(ISNUMBER(Z2280),Z2280*($AB$1/Z$2635),"")</f>
        <v/>
      </c>
      <c r="AF2280" s="25">
        <f>IF(ISNUMBER(AD2280+AE2280),AD2280+AE2280,"")</f>
        <v/>
      </c>
      <c r="AH2280" s="1">
        <f>A2280</f>
        <v/>
      </c>
      <c r="AI2280">
        <f>IF(ISNUMBER((1+V2280)*AI2279),(1+V2280)*AI2279,AI2279)</f>
        <v/>
      </c>
      <c r="AJ2280">
        <f>IF(ISNUMBER((1+Z2280)*AJ2279),(1+Z2280)*AJ2279,AJ2279)</f>
        <v/>
      </c>
    </row>
    <row r="2281">
      <c r="A2281" s="1" t="n">
        <v>45314</v>
      </c>
      <c r="B2281" s="3">
        <f>IF(ORIG!B2281=0,"",ORIG!B2281)</f>
        <v/>
      </c>
      <c r="C2281" s="3">
        <f>IF(ORIG!C2281=0,"",ORIG!C2281)</f>
        <v/>
      </c>
      <c r="D2281" s="3">
        <f>IF(ORIG!D2281=0,"",ORIG!D2281)</f>
        <v/>
      </c>
      <c r="E2281" s="3">
        <f>IF(ORIG!E2281=0,"",ORIG!E2281)</f>
        <v/>
      </c>
      <c r="F2281" s="3">
        <f>IF(ORIG!F2281=0,"",ORIG!F2281)</f>
        <v/>
      </c>
      <c r="G2281" s="3">
        <f>IF(ORIG!G2281=0,"",ORIG!G2281)</f>
        <v/>
      </c>
      <c r="H2281" s="3">
        <f>IF(ORIG!H2281=0,"",ORIG!H2281)</f>
        <v/>
      </c>
      <c r="I2281" s="3">
        <f>IF(ORIG!I2281=0,"",ORIG!I2281)</f>
        <v/>
      </c>
      <c r="J2281" s="3">
        <f>IF(ORIG!J2281=0,"",ORIG!J2281)</f>
        <v/>
      </c>
      <c r="K2281" s="3">
        <f>IF(ORIG!K2281=0,"",ORIG!K2281)</f>
        <v/>
      </c>
      <c r="L2281" s="3">
        <f>IF(ORIG!L2281=0,"",ORIG!L2281)</f>
        <v/>
      </c>
      <c r="M2281" s="3">
        <f>IF(ORIG!M2281=0,"",ORIG!M2281)</f>
        <v/>
      </c>
      <c r="N2281" s="3">
        <f>IF(ORIG!N2281=0,"",ORIG!N2281)</f>
        <v/>
      </c>
      <c r="O2281" s="3">
        <f>IF(ORIG!O2281=0,"",ORIG!O2281)</f>
        <v/>
      </c>
      <c r="P2281" s="3">
        <f>IF(ORIG!P2281=0,"",ORIG!P2281)</f>
        <v/>
      </c>
      <c r="Q2281" s="3">
        <f>IF(ORIG!Q2281=0,"",ORIG!Q2281)</f>
        <v/>
      </c>
      <c r="R2281" s="3">
        <f>IF(ORIG!R2281=0,"",ORIG!R2281)</f>
        <v/>
      </c>
      <c r="S2281" s="3">
        <f>IF(ORIG!S2281=0,"",ORIG!S2281)</f>
        <v/>
      </c>
      <c r="T2281" s="3">
        <f>IF(ORIG!T2281=0,"",ORIG!T2281)</f>
        <v/>
      </c>
      <c r="U2281" s="3">
        <f>IF(ORIG!U2281=0,"",ORIG!U2281)</f>
        <v/>
      </c>
      <c r="V2281" s="9">
        <f>IF(ORIG!V2281=0,"",ORIG!V2281)</f>
        <v/>
      </c>
      <c r="W2281" s="9">
        <f>IF(ORIG!W2281=0,"",ORIG!W2281)</f>
        <v/>
      </c>
      <c r="X2281" s="9">
        <f>IF(ORIG!X2281=0,"",ORIG!X2281)</f>
        <v/>
      </c>
      <c r="Y2281" s="9">
        <f>IF(ORIG!Y2281=0,"",ORIG!Y2281)</f>
        <v/>
      </c>
      <c r="Z2281" s="3">
        <f>SUMPRODUCT($B2281:$Y2281,$B$2649:$Y$2649)</f>
        <v/>
      </c>
      <c r="AA2281" s="3">
        <f>SUMPRODUCT($B2281:$Y2281,$B$2655:$Y$2655)</f>
        <v/>
      </c>
      <c r="AC2281" s="1">
        <f>A2281</f>
        <v/>
      </c>
      <c r="AD2281">
        <f>IF(ISNUMBER(V2281),V2281*($AB$1/V$2635),"")</f>
        <v/>
      </c>
      <c r="AE2281">
        <f>IF(ISNUMBER(Z2281),Z2281*($AB$1/Z$2635),"")</f>
        <v/>
      </c>
      <c r="AF2281" s="25">
        <f>IF(ISNUMBER(AD2281+AE2281),AD2281+AE2281,"")</f>
        <v/>
      </c>
      <c r="AH2281" s="1">
        <f>A2281</f>
        <v/>
      </c>
      <c r="AI2281">
        <f>IF(ISNUMBER((1+V2281)*AI2280),(1+V2281)*AI2280,AI2280)</f>
        <v/>
      </c>
      <c r="AJ2281">
        <f>IF(ISNUMBER((1+Z2281)*AJ2280),(1+Z2281)*AJ2280,AJ2280)</f>
        <v/>
      </c>
    </row>
    <row r="2282">
      <c r="A2282" s="1" t="n">
        <v>45315</v>
      </c>
      <c r="B2282" s="3">
        <f>IF(ORIG!B2282=0,"",ORIG!B2282)</f>
        <v/>
      </c>
      <c r="C2282" s="3">
        <f>IF(ORIG!C2282=0,"",ORIG!C2282)</f>
        <v/>
      </c>
      <c r="D2282" s="3">
        <f>IF(ORIG!D2282=0,"",ORIG!D2282)</f>
        <v/>
      </c>
      <c r="E2282" s="3">
        <f>IF(ORIG!E2282=0,"",ORIG!E2282)</f>
        <v/>
      </c>
      <c r="F2282" s="3">
        <f>IF(ORIG!F2282=0,"",ORIG!F2282)</f>
        <v/>
      </c>
      <c r="G2282" s="3">
        <f>IF(ORIG!G2282=0,"",ORIG!G2282)</f>
        <v/>
      </c>
      <c r="H2282" s="3">
        <f>IF(ORIG!H2282=0,"",ORIG!H2282)</f>
        <v/>
      </c>
      <c r="I2282" s="3">
        <f>IF(ORIG!I2282=0,"",ORIG!I2282)</f>
        <v/>
      </c>
      <c r="J2282" s="3">
        <f>IF(ORIG!J2282=0,"",ORIG!J2282)</f>
        <v/>
      </c>
      <c r="K2282" s="3">
        <f>IF(ORIG!K2282=0,"",ORIG!K2282)</f>
        <v/>
      </c>
      <c r="L2282" s="3">
        <f>IF(ORIG!L2282=0,"",ORIG!L2282)</f>
        <v/>
      </c>
      <c r="M2282" s="3">
        <f>IF(ORIG!M2282=0,"",ORIG!M2282)</f>
        <v/>
      </c>
      <c r="N2282" s="3">
        <f>IF(ORIG!N2282=0,"",ORIG!N2282)</f>
        <v/>
      </c>
      <c r="O2282" s="3">
        <f>IF(ORIG!O2282=0,"",ORIG!O2282)</f>
        <v/>
      </c>
      <c r="P2282" s="3">
        <f>IF(ORIG!P2282=0,"",ORIG!P2282)</f>
        <v/>
      </c>
      <c r="Q2282" s="3">
        <f>IF(ORIG!Q2282=0,"",ORIG!Q2282)</f>
        <v/>
      </c>
      <c r="R2282" s="3">
        <f>IF(ORIG!R2282=0,"",ORIG!R2282)</f>
        <v/>
      </c>
      <c r="S2282" s="3">
        <f>IF(ORIG!S2282=0,"",ORIG!S2282)</f>
        <v/>
      </c>
      <c r="T2282" s="3">
        <f>IF(ORIG!T2282=0,"",ORIG!T2282)</f>
        <v/>
      </c>
      <c r="U2282" s="3">
        <f>IF(ORIG!U2282=0,"",ORIG!U2282)</f>
        <v/>
      </c>
      <c r="V2282" s="9">
        <f>IF(ORIG!V2282=0,"",ORIG!V2282)</f>
        <v/>
      </c>
      <c r="W2282" s="9">
        <f>IF(ORIG!W2282=0,"",ORIG!W2282)</f>
        <v/>
      </c>
      <c r="X2282" s="9">
        <f>IF(ORIG!X2282=0,"",ORIG!X2282)</f>
        <v/>
      </c>
      <c r="Y2282" s="9">
        <f>IF(ORIG!Y2282=0,"",ORIG!Y2282)</f>
        <v/>
      </c>
      <c r="Z2282" s="3">
        <f>SUMPRODUCT($B2282:$Y2282,$B$2649:$Y$2649)</f>
        <v/>
      </c>
      <c r="AA2282" s="3">
        <f>SUMPRODUCT($B2282:$Y2282,$B$2655:$Y$2655)</f>
        <v/>
      </c>
      <c r="AC2282" s="1">
        <f>A2282</f>
        <v/>
      </c>
      <c r="AD2282">
        <f>IF(ISNUMBER(V2282),V2282*($AB$1/V$2635),"")</f>
        <v/>
      </c>
      <c r="AE2282">
        <f>IF(ISNUMBER(Z2282),Z2282*($AB$1/Z$2635),"")</f>
        <v/>
      </c>
      <c r="AF2282" s="25">
        <f>IF(ISNUMBER(AD2282+AE2282),AD2282+AE2282,"")</f>
        <v/>
      </c>
      <c r="AH2282" s="1">
        <f>A2282</f>
        <v/>
      </c>
      <c r="AI2282">
        <f>IF(ISNUMBER((1+V2282)*AI2281),(1+V2282)*AI2281,AI2281)</f>
        <v/>
      </c>
      <c r="AJ2282">
        <f>IF(ISNUMBER((1+Z2282)*AJ2281),(1+Z2282)*AJ2281,AJ2281)</f>
        <v/>
      </c>
    </row>
    <row r="2283">
      <c r="A2283" s="1" t="n">
        <v>45316</v>
      </c>
      <c r="B2283" s="3">
        <f>IF(ORIG!B2283=0,"",ORIG!B2283)</f>
        <v/>
      </c>
      <c r="C2283" s="3">
        <f>IF(ORIG!C2283=0,"",ORIG!C2283)</f>
        <v/>
      </c>
      <c r="D2283" s="3">
        <f>IF(ORIG!D2283=0,"",ORIG!D2283)</f>
        <v/>
      </c>
      <c r="E2283" s="3">
        <f>IF(ORIG!E2283=0,"",ORIG!E2283)</f>
        <v/>
      </c>
      <c r="F2283" s="3">
        <f>IF(ORIG!F2283=0,"",ORIG!F2283)</f>
        <v/>
      </c>
      <c r="G2283" s="3">
        <f>IF(ORIG!G2283=0,"",ORIG!G2283)</f>
        <v/>
      </c>
      <c r="H2283" s="3">
        <f>IF(ORIG!H2283=0,"",ORIG!H2283)</f>
        <v/>
      </c>
      <c r="I2283" s="3">
        <f>IF(ORIG!I2283=0,"",ORIG!I2283)</f>
        <v/>
      </c>
      <c r="J2283" s="3">
        <f>IF(ORIG!J2283=0,"",ORIG!J2283)</f>
        <v/>
      </c>
      <c r="K2283" s="3">
        <f>IF(ORIG!K2283=0,"",ORIG!K2283)</f>
        <v/>
      </c>
      <c r="L2283" s="3">
        <f>IF(ORIG!L2283=0,"",ORIG!L2283)</f>
        <v/>
      </c>
      <c r="M2283" s="3">
        <f>IF(ORIG!M2283=0,"",ORIG!M2283)</f>
        <v/>
      </c>
      <c r="N2283" s="3">
        <f>IF(ORIG!N2283=0,"",ORIG!N2283)</f>
        <v/>
      </c>
      <c r="O2283" s="3">
        <f>IF(ORIG!O2283=0,"",ORIG!O2283)</f>
        <v/>
      </c>
      <c r="P2283" s="3">
        <f>IF(ORIG!P2283=0,"",ORIG!P2283)</f>
        <v/>
      </c>
      <c r="Q2283" s="3">
        <f>IF(ORIG!Q2283=0,"",ORIG!Q2283)</f>
        <v/>
      </c>
      <c r="R2283" s="3">
        <f>IF(ORIG!R2283=0,"",ORIG!R2283)</f>
        <v/>
      </c>
      <c r="S2283" s="3">
        <f>IF(ORIG!S2283=0,"",ORIG!S2283)</f>
        <v/>
      </c>
      <c r="T2283" s="3">
        <f>IF(ORIG!T2283=0,"",ORIG!T2283)</f>
        <v/>
      </c>
      <c r="U2283" s="3">
        <f>IF(ORIG!U2283=0,"",ORIG!U2283)</f>
        <v/>
      </c>
      <c r="V2283" s="9">
        <f>IF(ORIG!V2283=0,"",ORIG!V2283)</f>
        <v/>
      </c>
      <c r="W2283" s="9">
        <f>IF(ORIG!W2283=0,"",ORIG!W2283)</f>
        <v/>
      </c>
      <c r="X2283" s="9">
        <f>IF(ORIG!X2283=0,"",ORIG!X2283)</f>
        <v/>
      </c>
      <c r="Y2283" s="9">
        <f>IF(ORIG!Y2283=0,"",ORIG!Y2283)</f>
        <v/>
      </c>
      <c r="Z2283" s="3">
        <f>SUMPRODUCT($B2283:$Y2283,$B$2649:$Y$2649)</f>
        <v/>
      </c>
      <c r="AA2283" s="3">
        <f>SUMPRODUCT($B2283:$Y2283,$B$2655:$Y$2655)</f>
        <v/>
      </c>
      <c r="AC2283" s="1">
        <f>A2283</f>
        <v/>
      </c>
      <c r="AD2283">
        <f>IF(ISNUMBER(V2283),V2283*($AB$1/V$2635),"")</f>
        <v/>
      </c>
      <c r="AE2283">
        <f>IF(ISNUMBER(Z2283),Z2283*($AB$1/Z$2635),"")</f>
        <v/>
      </c>
      <c r="AF2283" s="25">
        <f>IF(ISNUMBER(AD2283+AE2283),AD2283+AE2283,"")</f>
        <v/>
      </c>
      <c r="AH2283" s="1">
        <f>A2283</f>
        <v/>
      </c>
      <c r="AI2283">
        <f>IF(ISNUMBER((1+V2283)*AI2282),(1+V2283)*AI2282,AI2282)</f>
        <v/>
      </c>
      <c r="AJ2283">
        <f>IF(ISNUMBER((1+Z2283)*AJ2282),(1+Z2283)*AJ2282,AJ2282)</f>
        <v/>
      </c>
    </row>
    <row r="2284">
      <c r="A2284" s="1" t="n">
        <v>45317</v>
      </c>
      <c r="B2284" s="3">
        <f>IF(ORIG!B2284=0,"",ORIG!B2284)</f>
        <v/>
      </c>
      <c r="C2284" s="3">
        <f>IF(ORIG!C2284=0,"",ORIG!C2284)</f>
        <v/>
      </c>
      <c r="D2284" s="3">
        <f>IF(ORIG!D2284=0,"",ORIG!D2284)</f>
        <v/>
      </c>
      <c r="E2284" s="3">
        <f>IF(ORIG!E2284=0,"",ORIG!E2284)</f>
        <v/>
      </c>
      <c r="F2284" s="3">
        <f>IF(ORIG!F2284=0,"",ORIG!F2284)</f>
        <v/>
      </c>
      <c r="G2284" s="3">
        <f>IF(ORIG!G2284=0,"",ORIG!G2284)</f>
        <v/>
      </c>
      <c r="H2284" s="3">
        <f>IF(ORIG!H2284=0,"",ORIG!H2284)</f>
        <v/>
      </c>
      <c r="I2284" s="3">
        <f>IF(ORIG!I2284=0,"",ORIG!I2284)</f>
        <v/>
      </c>
      <c r="J2284" s="3">
        <f>IF(ORIG!J2284=0,"",ORIG!J2284)</f>
        <v/>
      </c>
      <c r="K2284" s="3">
        <f>IF(ORIG!K2284=0,"",ORIG!K2284)</f>
        <v/>
      </c>
      <c r="L2284" s="3">
        <f>IF(ORIG!L2284=0,"",ORIG!L2284)</f>
        <v/>
      </c>
      <c r="M2284" s="3">
        <f>IF(ORIG!M2284=0,"",ORIG!M2284)</f>
        <v/>
      </c>
      <c r="N2284" s="3">
        <f>IF(ORIG!N2284=0,"",ORIG!N2284)</f>
        <v/>
      </c>
      <c r="O2284" s="3">
        <f>IF(ORIG!O2284=0,"",ORIG!O2284)</f>
        <v/>
      </c>
      <c r="P2284" s="3">
        <f>IF(ORIG!P2284=0,"",ORIG!P2284)</f>
        <v/>
      </c>
      <c r="Q2284" s="3">
        <f>IF(ORIG!Q2284=0,"",ORIG!Q2284)</f>
        <v/>
      </c>
      <c r="R2284" s="3">
        <f>IF(ORIG!R2284=0,"",ORIG!R2284)</f>
        <v/>
      </c>
      <c r="S2284" s="3">
        <f>IF(ORIG!S2284=0,"",ORIG!S2284)</f>
        <v/>
      </c>
      <c r="T2284" s="3">
        <f>IF(ORIG!T2284=0,"",ORIG!T2284)</f>
        <v/>
      </c>
      <c r="U2284" s="3">
        <f>IF(ORIG!U2284=0,"",ORIG!U2284)</f>
        <v/>
      </c>
      <c r="V2284" s="9">
        <f>IF(ORIG!V2284=0,"",ORIG!V2284)</f>
        <v/>
      </c>
      <c r="W2284" s="9">
        <f>IF(ORIG!W2284=0,"",ORIG!W2284)</f>
        <v/>
      </c>
      <c r="X2284" s="9">
        <f>IF(ORIG!X2284=0,"",ORIG!X2284)</f>
        <v/>
      </c>
      <c r="Y2284" s="9">
        <f>IF(ORIG!Y2284=0,"",ORIG!Y2284)</f>
        <v/>
      </c>
      <c r="Z2284" s="3">
        <f>SUMPRODUCT($B2284:$Y2284,$B$2649:$Y$2649)</f>
        <v/>
      </c>
      <c r="AA2284" s="3">
        <f>SUMPRODUCT($B2284:$Y2284,$B$2655:$Y$2655)</f>
        <v/>
      </c>
      <c r="AC2284" s="1">
        <f>A2284</f>
        <v/>
      </c>
      <c r="AD2284">
        <f>IF(ISNUMBER(V2284),V2284*($AB$1/V$2635),"")</f>
        <v/>
      </c>
      <c r="AE2284">
        <f>IF(ISNUMBER(Z2284),Z2284*($AB$1/Z$2635),"")</f>
        <v/>
      </c>
      <c r="AF2284" s="25">
        <f>IF(ISNUMBER(AD2284+AE2284),AD2284+AE2284,"")</f>
        <v/>
      </c>
      <c r="AH2284" s="1">
        <f>A2284</f>
        <v/>
      </c>
      <c r="AI2284">
        <f>IF(ISNUMBER((1+V2284)*AI2283),(1+V2284)*AI2283,AI2283)</f>
        <v/>
      </c>
      <c r="AJ2284">
        <f>IF(ISNUMBER((1+Z2284)*AJ2283),(1+Z2284)*AJ2283,AJ2283)</f>
        <v/>
      </c>
    </row>
    <row r="2285">
      <c r="A2285" s="1" t="n">
        <v>45320</v>
      </c>
      <c r="B2285" s="3">
        <f>IF(ORIG!B2285=0,"",ORIG!B2285)</f>
        <v/>
      </c>
      <c r="C2285" s="3">
        <f>IF(ORIG!C2285=0,"",ORIG!C2285)</f>
        <v/>
      </c>
      <c r="D2285" s="3">
        <f>IF(ORIG!D2285=0,"",ORIG!D2285)</f>
        <v/>
      </c>
      <c r="E2285" s="3">
        <f>IF(ORIG!E2285=0,"",ORIG!E2285)</f>
        <v/>
      </c>
      <c r="F2285" s="3">
        <f>IF(ORIG!F2285=0,"",ORIG!F2285)</f>
        <v/>
      </c>
      <c r="G2285" s="3">
        <f>IF(ORIG!G2285=0,"",ORIG!G2285)</f>
        <v/>
      </c>
      <c r="H2285" s="3">
        <f>IF(ORIG!H2285=0,"",ORIG!H2285)</f>
        <v/>
      </c>
      <c r="I2285" s="3">
        <f>IF(ORIG!I2285=0,"",ORIG!I2285)</f>
        <v/>
      </c>
      <c r="J2285" s="3">
        <f>IF(ORIG!J2285=0,"",ORIG!J2285)</f>
        <v/>
      </c>
      <c r="K2285" s="3">
        <f>IF(ORIG!K2285=0,"",ORIG!K2285)</f>
        <v/>
      </c>
      <c r="L2285" s="3">
        <f>IF(ORIG!L2285=0,"",ORIG!L2285)</f>
        <v/>
      </c>
      <c r="M2285" s="3">
        <f>IF(ORIG!M2285=0,"",ORIG!M2285)</f>
        <v/>
      </c>
      <c r="N2285" s="3">
        <f>IF(ORIG!N2285=0,"",ORIG!N2285)</f>
        <v/>
      </c>
      <c r="O2285" s="3">
        <f>IF(ORIG!O2285=0,"",ORIG!O2285)</f>
        <v/>
      </c>
      <c r="P2285" s="3">
        <f>IF(ORIG!P2285=0,"",ORIG!P2285)</f>
        <v/>
      </c>
      <c r="Q2285" s="3">
        <f>IF(ORIG!Q2285=0,"",ORIG!Q2285)</f>
        <v/>
      </c>
      <c r="R2285" s="3">
        <f>IF(ORIG!R2285=0,"",ORIG!R2285)</f>
        <v/>
      </c>
      <c r="S2285" s="3">
        <f>IF(ORIG!S2285=0,"",ORIG!S2285)</f>
        <v/>
      </c>
      <c r="T2285" s="3">
        <f>IF(ORIG!T2285=0,"",ORIG!T2285)</f>
        <v/>
      </c>
      <c r="U2285" s="3">
        <f>IF(ORIG!U2285=0,"",ORIG!U2285)</f>
        <v/>
      </c>
      <c r="V2285" s="9">
        <f>IF(ORIG!V2285=0,"",ORIG!V2285)</f>
        <v/>
      </c>
      <c r="W2285" s="9">
        <f>IF(ORIG!W2285=0,"",ORIG!W2285)</f>
        <v/>
      </c>
      <c r="X2285" s="9">
        <f>IF(ORIG!X2285=0,"",ORIG!X2285)</f>
        <v/>
      </c>
      <c r="Y2285" s="9">
        <f>IF(ORIG!Y2285=0,"",ORIG!Y2285)</f>
        <v/>
      </c>
      <c r="Z2285" s="3">
        <f>SUMPRODUCT($B2285:$Y2285,$B$2649:$Y$2649)</f>
        <v/>
      </c>
      <c r="AA2285" s="3">
        <f>SUMPRODUCT($B2285:$Y2285,$B$2655:$Y$2655)</f>
        <v/>
      </c>
      <c r="AC2285" s="1">
        <f>A2285</f>
        <v/>
      </c>
      <c r="AD2285">
        <f>IF(ISNUMBER(V2285),V2285*($AB$1/V$2635),"")</f>
        <v/>
      </c>
      <c r="AE2285">
        <f>IF(ISNUMBER(Z2285),Z2285*($AB$1/Z$2635),"")</f>
        <v/>
      </c>
      <c r="AF2285" s="25">
        <f>IF(ISNUMBER(AD2285+AE2285),AD2285+AE2285,"")</f>
        <v/>
      </c>
      <c r="AH2285" s="1">
        <f>A2285</f>
        <v/>
      </c>
      <c r="AI2285">
        <f>IF(ISNUMBER((1+V2285)*AI2284),(1+V2285)*AI2284,AI2284)</f>
        <v/>
      </c>
      <c r="AJ2285">
        <f>IF(ISNUMBER((1+Z2285)*AJ2284),(1+Z2285)*AJ2284,AJ2284)</f>
        <v/>
      </c>
    </row>
    <row r="2286">
      <c r="A2286" s="1" t="n">
        <v>45321</v>
      </c>
      <c r="B2286" s="3">
        <f>IF(ORIG!B2286=0,"",ORIG!B2286)</f>
        <v/>
      </c>
      <c r="C2286" s="3">
        <f>IF(ORIG!C2286=0,"",ORIG!C2286)</f>
        <v/>
      </c>
      <c r="D2286" s="3">
        <f>IF(ORIG!D2286=0,"",ORIG!D2286)</f>
        <v/>
      </c>
      <c r="E2286" s="3">
        <f>IF(ORIG!E2286=0,"",ORIG!E2286)</f>
        <v/>
      </c>
      <c r="F2286" s="3">
        <f>IF(ORIG!F2286=0,"",ORIG!F2286)</f>
        <v/>
      </c>
      <c r="G2286" s="3">
        <f>IF(ORIG!G2286=0,"",ORIG!G2286)</f>
        <v/>
      </c>
      <c r="H2286" s="3">
        <f>IF(ORIG!H2286=0,"",ORIG!H2286)</f>
        <v/>
      </c>
      <c r="I2286" s="3">
        <f>IF(ORIG!I2286=0,"",ORIG!I2286)</f>
        <v/>
      </c>
      <c r="J2286" s="3">
        <f>IF(ORIG!J2286=0,"",ORIG!J2286)</f>
        <v/>
      </c>
      <c r="K2286" s="3">
        <f>IF(ORIG!K2286=0,"",ORIG!K2286)</f>
        <v/>
      </c>
      <c r="L2286" s="3">
        <f>IF(ORIG!L2286=0,"",ORIG!L2286)</f>
        <v/>
      </c>
      <c r="M2286" s="3">
        <f>IF(ORIG!M2286=0,"",ORIG!M2286)</f>
        <v/>
      </c>
      <c r="N2286" s="3">
        <f>IF(ORIG!N2286=0,"",ORIG!N2286)</f>
        <v/>
      </c>
      <c r="O2286" s="3">
        <f>IF(ORIG!O2286=0,"",ORIG!O2286)</f>
        <v/>
      </c>
      <c r="P2286" s="3">
        <f>IF(ORIG!P2286=0,"",ORIG!P2286)</f>
        <v/>
      </c>
      <c r="Q2286" s="3">
        <f>IF(ORIG!Q2286=0,"",ORIG!Q2286)</f>
        <v/>
      </c>
      <c r="R2286" s="3">
        <f>IF(ORIG!R2286=0,"",ORIG!R2286)</f>
        <v/>
      </c>
      <c r="S2286" s="3">
        <f>IF(ORIG!S2286=0,"",ORIG!S2286)</f>
        <v/>
      </c>
      <c r="T2286" s="3">
        <f>IF(ORIG!T2286=0,"",ORIG!T2286)</f>
        <v/>
      </c>
      <c r="U2286" s="3">
        <f>IF(ORIG!U2286=0,"",ORIG!U2286)</f>
        <v/>
      </c>
      <c r="V2286" s="9">
        <f>IF(ORIG!V2286=0,"",ORIG!V2286)</f>
        <v/>
      </c>
      <c r="W2286" s="9">
        <f>IF(ORIG!W2286=0,"",ORIG!W2286)</f>
        <v/>
      </c>
      <c r="X2286" s="9">
        <f>IF(ORIG!X2286=0,"",ORIG!X2286)</f>
        <v/>
      </c>
      <c r="Y2286" s="9">
        <f>IF(ORIG!Y2286=0,"",ORIG!Y2286)</f>
        <v/>
      </c>
      <c r="Z2286" s="3">
        <f>SUMPRODUCT($B2286:$Y2286,$B$2649:$Y$2649)</f>
        <v/>
      </c>
      <c r="AA2286" s="3">
        <f>SUMPRODUCT($B2286:$Y2286,$B$2655:$Y$2655)</f>
        <v/>
      </c>
      <c r="AC2286" s="1">
        <f>A2286</f>
        <v/>
      </c>
      <c r="AD2286">
        <f>IF(ISNUMBER(V2286),V2286*($AB$1/V$2635),"")</f>
        <v/>
      </c>
      <c r="AE2286">
        <f>IF(ISNUMBER(Z2286),Z2286*($AB$1/Z$2635),"")</f>
        <v/>
      </c>
      <c r="AF2286" s="25">
        <f>IF(ISNUMBER(AD2286+AE2286),AD2286+AE2286,"")</f>
        <v/>
      </c>
      <c r="AH2286" s="1">
        <f>A2286</f>
        <v/>
      </c>
      <c r="AI2286">
        <f>IF(ISNUMBER((1+V2286)*AI2285),(1+V2286)*AI2285,AI2285)</f>
        <v/>
      </c>
      <c r="AJ2286">
        <f>IF(ISNUMBER((1+Z2286)*AJ2285),(1+Z2286)*AJ2285,AJ2285)</f>
        <v/>
      </c>
    </row>
    <row r="2287">
      <c r="A2287" s="1" t="n">
        <v>45322</v>
      </c>
      <c r="B2287" s="3">
        <f>IF(ORIG!B2287=0,"",ORIG!B2287)</f>
        <v/>
      </c>
      <c r="C2287" s="3">
        <f>IF(ORIG!C2287=0,"",ORIG!C2287)</f>
        <v/>
      </c>
      <c r="D2287" s="3">
        <f>IF(ORIG!D2287=0,"",ORIG!D2287)</f>
        <v/>
      </c>
      <c r="E2287" s="3">
        <f>IF(ORIG!E2287=0,"",ORIG!E2287)</f>
        <v/>
      </c>
      <c r="F2287" s="3">
        <f>IF(ORIG!F2287=0,"",ORIG!F2287)</f>
        <v/>
      </c>
      <c r="G2287" s="3">
        <f>IF(ORIG!G2287=0,"",ORIG!G2287)</f>
        <v/>
      </c>
      <c r="H2287" s="3">
        <f>IF(ORIG!H2287=0,"",ORIG!H2287)</f>
        <v/>
      </c>
      <c r="I2287" s="3">
        <f>IF(ORIG!I2287=0,"",ORIG!I2287)</f>
        <v/>
      </c>
      <c r="J2287" s="3">
        <f>IF(ORIG!J2287=0,"",ORIG!J2287)</f>
        <v/>
      </c>
      <c r="K2287" s="3">
        <f>IF(ORIG!K2287=0,"",ORIG!K2287)</f>
        <v/>
      </c>
      <c r="L2287" s="3">
        <f>IF(ORIG!L2287=0,"",ORIG!L2287)</f>
        <v/>
      </c>
      <c r="M2287" s="3">
        <f>IF(ORIG!M2287=0,"",ORIG!M2287)</f>
        <v/>
      </c>
      <c r="N2287" s="3">
        <f>IF(ORIG!N2287=0,"",ORIG!N2287)</f>
        <v/>
      </c>
      <c r="O2287" s="3">
        <f>IF(ORIG!O2287=0,"",ORIG!O2287)</f>
        <v/>
      </c>
      <c r="P2287" s="3">
        <f>IF(ORIG!P2287=0,"",ORIG!P2287)</f>
        <v/>
      </c>
      <c r="Q2287" s="3">
        <f>IF(ORIG!Q2287=0,"",ORIG!Q2287)</f>
        <v/>
      </c>
      <c r="R2287" s="3">
        <f>IF(ORIG!R2287=0,"",ORIG!R2287)</f>
        <v/>
      </c>
      <c r="S2287" s="3">
        <f>IF(ORIG!S2287=0,"",ORIG!S2287)</f>
        <v/>
      </c>
      <c r="T2287" s="3">
        <f>IF(ORIG!T2287=0,"",ORIG!T2287)</f>
        <v/>
      </c>
      <c r="U2287" s="3">
        <f>IF(ORIG!U2287=0,"",ORIG!U2287)</f>
        <v/>
      </c>
      <c r="V2287" s="9">
        <f>IF(ORIG!V2287=0,"",ORIG!V2287)</f>
        <v/>
      </c>
      <c r="W2287" s="9">
        <f>IF(ORIG!W2287=0,"",ORIG!W2287)</f>
        <v/>
      </c>
      <c r="X2287" s="9">
        <f>IF(ORIG!X2287=0,"",ORIG!X2287)</f>
        <v/>
      </c>
      <c r="Y2287" s="9">
        <f>IF(ORIG!Y2287=0,"",ORIG!Y2287)</f>
        <v/>
      </c>
      <c r="Z2287" s="3">
        <f>SUMPRODUCT($B2287:$Y2287,$B$2649:$Y$2649)</f>
        <v/>
      </c>
      <c r="AA2287" s="3">
        <f>SUMPRODUCT($B2287:$Y2287,$B$2655:$Y$2655)</f>
        <v/>
      </c>
      <c r="AC2287" s="1">
        <f>A2287</f>
        <v/>
      </c>
      <c r="AD2287">
        <f>IF(ISNUMBER(V2287),V2287*($AB$1/V$2635),"")</f>
        <v/>
      </c>
      <c r="AE2287">
        <f>IF(ISNUMBER(Z2287),Z2287*($AB$1/Z$2635),"")</f>
        <v/>
      </c>
      <c r="AF2287" s="25">
        <f>IF(ISNUMBER(AD2287+AE2287),AD2287+AE2287,"")</f>
        <v/>
      </c>
      <c r="AH2287" s="1">
        <f>A2287</f>
        <v/>
      </c>
      <c r="AI2287">
        <f>IF(ISNUMBER((1+V2287)*AI2286),(1+V2287)*AI2286,AI2286)</f>
        <v/>
      </c>
      <c r="AJ2287">
        <f>IF(ISNUMBER((1+Z2287)*AJ2286),(1+Z2287)*AJ2286,AJ2286)</f>
        <v/>
      </c>
    </row>
    <row r="2288">
      <c r="A2288" s="1" t="n">
        <v>45323</v>
      </c>
      <c r="B2288" s="3">
        <f>IF(ORIG!B2288=0,"",ORIG!B2288)</f>
        <v/>
      </c>
      <c r="C2288" s="3">
        <f>IF(ORIG!C2288=0,"",ORIG!C2288)</f>
        <v/>
      </c>
      <c r="D2288" s="3">
        <f>IF(ORIG!D2288=0,"",ORIG!D2288)</f>
        <v/>
      </c>
      <c r="E2288" s="3">
        <f>IF(ORIG!E2288=0,"",ORIG!E2288)</f>
        <v/>
      </c>
      <c r="F2288" s="3">
        <f>IF(ORIG!F2288=0,"",ORIG!F2288)</f>
        <v/>
      </c>
      <c r="G2288" s="3">
        <f>IF(ORIG!G2288=0,"",ORIG!G2288)</f>
        <v/>
      </c>
      <c r="H2288" s="3">
        <f>IF(ORIG!H2288=0,"",ORIG!H2288)</f>
        <v/>
      </c>
      <c r="I2288" s="3">
        <f>IF(ORIG!I2288=0,"",ORIG!I2288)</f>
        <v/>
      </c>
      <c r="J2288" s="3">
        <f>IF(ORIG!J2288=0,"",ORIG!J2288)</f>
        <v/>
      </c>
      <c r="K2288" s="3">
        <f>IF(ORIG!K2288=0,"",ORIG!K2288)</f>
        <v/>
      </c>
      <c r="L2288" s="3">
        <f>IF(ORIG!L2288=0,"",ORIG!L2288)</f>
        <v/>
      </c>
      <c r="M2288" s="3">
        <f>IF(ORIG!M2288=0,"",ORIG!M2288)</f>
        <v/>
      </c>
      <c r="N2288" s="3">
        <f>IF(ORIG!N2288=0,"",ORIG!N2288)</f>
        <v/>
      </c>
      <c r="O2288" s="3">
        <f>IF(ORIG!O2288=0,"",ORIG!O2288)</f>
        <v/>
      </c>
      <c r="P2288" s="3">
        <f>IF(ORIG!P2288=0,"",ORIG!P2288)</f>
        <v/>
      </c>
      <c r="Q2288" s="3">
        <f>IF(ORIG!Q2288=0,"",ORIG!Q2288)</f>
        <v/>
      </c>
      <c r="R2288" s="3">
        <f>IF(ORIG!R2288=0,"",ORIG!R2288)</f>
        <v/>
      </c>
      <c r="S2288" s="3">
        <f>IF(ORIG!S2288=0,"",ORIG!S2288)</f>
        <v/>
      </c>
      <c r="T2288" s="3">
        <f>IF(ORIG!T2288=0,"",ORIG!T2288)</f>
        <v/>
      </c>
      <c r="U2288" s="3">
        <f>IF(ORIG!U2288=0,"",ORIG!U2288)</f>
        <v/>
      </c>
      <c r="V2288" s="9">
        <f>IF(ORIG!V2288=0,"",ORIG!V2288)</f>
        <v/>
      </c>
      <c r="W2288" s="9">
        <f>IF(ORIG!W2288=0,"",ORIG!W2288)</f>
        <v/>
      </c>
      <c r="X2288" s="9">
        <f>IF(ORIG!X2288=0,"",ORIG!X2288)</f>
        <v/>
      </c>
      <c r="Y2288" s="9">
        <f>IF(ORIG!Y2288=0,"",ORIG!Y2288)</f>
        <v/>
      </c>
      <c r="Z2288" s="3">
        <f>SUMPRODUCT($B2288:$Y2288,$B$2649:$Y$2649)</f>
        <v/>
      </c>
      <c r="AA2288" s="3">
        <f>SUMPRODUCT($B2288:$Y2288,$B$2655:$Y$2655)</f>
        <v/>
      </c>
      <c r="AC2288" s="1">
        <f>A2288</f>
        <v/>
      </c>
      <c r="AD2288">
        <f>IF(ISNUMBER(V2288),V2288*($AB$1/V$2635),"")</f>
        <v/>
      </c>
      <c r="AE2288">
        <f>IF(ISNUMBER(Z2288),Z2288*($AB$1/Z$2635),"")</f>
        <v/>
      </c>
      <c r="AF2288" s="25">
        <f>IF(ISNUMBER(AD2288+AE2288),AD2288+AE2288,"")</f>
        <v/>
      </c>
      <c r="AH2288" s="1">
        <f>A2288</f>
        <v/>
      </c>
      <c r="AI2288">
        <f>IF(ISNUMBER((1+V2288)*AI2287),(1+V2288)*AI2287,AI2287)</f>
        <v/>
      </c>
      <c r="AJ2288">
        <f>IF(ISNUMBER((1+Z2288)*AJ2287),(1+Z2288)*AJ2287,AJ2287)</f>
        <v/>
      </c>
    </row>
    <row r="2289">
      <c r="A2289" s="1" t="n">
        <v>45324</v>
      </c>
      <c r="B2289" s="3">
        <f>IF(ORIG!B2289=0,"",ORIG!B2289)</f>
        <v/>
      </c>
      <c r="C2289" s="3">
        <f>IF(ORIG!C2289=0,"",ORIG!C2289)</f>
        <v/>
      </c>
      <c r="D2289" s="3">
        <f>IF(ORIG!D2289=0,"",ORIG!D2289)</f>
        <v/>
      </c>
      <c r="E2289" s="3">
        <f>IF(ORIG!E2289=0,"",ORIG!E2289)</f>
        <v/>
      </c>
      <c r="F2289" s="3">
        <f>IF(ORIG!F2289=0,"",ORIG!F2289)</f>
        <v/>
      </c>
      <c r="G2289" s="3">
        <f>IF(ORIG!G2289=0,"",ORIG!G2289)</f>
        <v/>
      </c>
      <c r="H2289" s="3">
        <f>IF(ORIG!H2289=0,"",ORIG!H2289)</f>
        <v/>
      </c>
      <c r="I2289" s="3">
        <f>IF(ORIG!I2289=0,"",ORIG!I2289)</f>
        <v/>
      </c>
      <c r="J2289" s="3">
        <f>IF(ORIG!J2289=0,"",ORIG!J2289)</f>
        <v/>
      </c>
      <c r="K2289" s="3">
        <f>IF(ORIG!K2289=0,"",ORIG!K2289)</f>
        <v/>
      </c>
      <c r="L2289" s="3">
        <f>IF(ORIG!L2289=0,"",ORIG!L2289)</f>
        <v/>
      </c>
      <c r="M2289" s="3">
        <f>IF(ORIG!M2289=0,"",ORIG!M2289)</f>
        <v/>
      </c>
      <c r="N2289" s="3">
        <f>IF(ORIG!N2289=0,"",ORIG!N2289)</f>
        <v/>
      </c>
      <c r="O2289" s="3">
        <f>IF(ORIG!O2289=0,"",ORIG!O2289)</f>
        <v/>
      </c>
      <c r="P2289" s="3">
        <f>IF(ORIG!P2289=0,"",ORIG!P2289)</f>
        <v/>
      </c>
      <c r="Q2289" s="3">
        <f>IF(ORIG!Q2289=0,"",ORIG!Q2289)</f>
        <v/>
      </c>
      <c r="R2289" s="3">
        <f>IF(ORIG!R2289=0,"",ORIG!R2289)</f>
        <v/>
      </c>
      <c r="S2289" s="3">
        <f>IF(ORIG!S2289=0,"",ORIG!S2289)</f>
        <v/>
      </c>
      <c r="T2289" s="3">
        <f>IF(ORIG!T2289=0,"",ORIG!T2289)</f>
        <v/>
      </c>
      <c r="U2289" s="3">
        <f>IF(ORIG!U2289=0,"",ORIG!U2289)</f>
        <v/>
      </c>
      <c r="V2289" s="9">
        <f>IF(ORIG!V2289=0,"",ORIG!V2289)</f>
        <v/>
      </c>
      <c r="W2289" s="9">
        <f>IF(ORIG!W2289=0,"",ORIG!W2289)</f>
        <v/>
      </c>
      <c r="X2289" s="9">
        <f>IF(ORIG!X2289=0,"",ORIG!X2289)</f>
        <v/>
      </c>
      <c r="Y2289" s="9">
        <f>IF(ORIG!Y2289=0,"",ORIG!Y2289)</f>
        <v/>
      </c>
      <c r="Z2289" s="3">
        <f>SUMPRODUCT($B2289:$Y2289,$B$2649:$Y$2649)</f>
        <v/>
      </c>
      <c r="AA2289" s="3">
        <f>SUMPRODUCT($B2289:$Y2289,$B$2655:$Y$2655)</f>
        <v/>
      </c>
      <c r="AC2289" s="1">
        <f>A2289</f>
        <v/>
      </c>
      <c r="AD2289">
        <f>IF(ISNUMBER(V2289),V2289*($AB$1/V$2635),"")</f>
        <v/>
      </c>
      <c r="AE2289">
        <f>IF(ISNUMBER(Z2289),Z2289*($AB$1/Z$2635),"")</f>
        <v/>
      </c>
      <c r="AF2289" s="25">
        <f>IF(ISNUMBER(AD2289+AE2289),AD2289+AE2289,"")</f>
        <v/>
      </c>
      <c r="AH2289" s="1">
        <f>A2289</f>
        <v/>
      </c>
      <c r="AI2289">
        <f>IF(ISNUMBER((1+V2289)*AI2288),(1+V2289)*AI2288,AI2288)</f>
        <v/>
      </c>
      <c r="AJ2289">
        <f>IF(ISNUMBER((1+Z2289)*AJ2288),(1+Z2289)*AJ2288,AJ2288)</f>
        <v/>
      </c>
    </row>
    <row r="2290">
      <c r="A2290" s="1" t="n">
        <v>45327</v>
      </c>
      <c r="B2290" s="3">
        <f>IF(ORIG!B2290=0,"",ORIG!B2290)</f>
        <v/>
      </c>
      <c r="C2290" s="3">
        <f>IF(ORIG!C2290=0,"",ORIG!C2290)</f>
        <v/>
      </c>
      <c r="D2290" s="3">
        <f>IF(ORIG!D2290=0,"",ORIG!D2290)</f>
        <v/>
      </c>
      <c r="E2290" s="3">
        <f>IF(ORIG!E2290=0,"",ORIG!E2290)</f>
        <v/>
      </c>
      <c r="F2290" s="3">
        <f>IF(ORIG!F2290=0,"",ORIG!F2290)</f>
        <v/>
      </c>
      <c r="G2290" s="3">
        <f>IF(ORIG!G2290=0,"",ORIG!G2290)</f>
        <v/>
      </c>
      <c r="H2290" s="3">
        <f>IF(ORIG!H2290=0,"",ORIG!H2290)</f>
        <v/>
      </c>
      <c r="I2290" s="3">
        <f>IF(ORIG!I2290=0,"",ORIG!I2290)</f>
        <v/>
      </c>
      <c r="J2290" s="3">
        <f>IF(ORIG!J2290=0,"",ORIG!J2290)</f>
        <v/>
      </c>
      <c r="K2290" s="3">
        <f>IF(ORIG!K2290=0,"",ORIG!K2290)</f>
        <v/>
      </c>
      <c r="L2290" s="3">
        <f>IF(ORIG!L2290=0,"",ORIG!L2290)</f>
        <v/>
      </c>
      <c r="M2290" s="3">
        <f>IF(ORIG!M2290=0,"",ORIG!M2290)</f>
        <v/>
      </c>
      <c r="N2290" s="3">
        <f>IF(ORIG!N2290=0,"",ORIG!N2290)</f>
        <v/>
      </c>
      <c r="O2290" s="3">
        <f>IF(ORIG!O2290=0,"",ORIG!O2290)</f>
        <v/>
      </c>
      <c r="P2290" s="3">
        <f>IF(ORIG!P2290=0,"",ORIG!P2290)</f>
        <v/>
      </c>
      <c r="Q2290" s="3">
        <f>IF(ORIG!Q2290=0,"",ORIG!Q2290)</f>
        <v/>
      </c>
      <c r="R2290" s="3">
        <f>IF(ORIG!R2290=0,"",ORIG!R2290)</f>
        <v/>
      </c>
      <c r="S2290" s="3">
        <f>IF(ORIG!S2290=0,"",ORIG!S2290)</f>
        <v/>
      </c>
      <c r="T2290" s="3">
        <f>IF(ORIG!T2290=0,"",ORIG!T2290)</f>
        <v/>
      </c>
      <c r="U2290" s="3">
        <f>IF(ORIG!U2290=0,"",ORIG!U2290)</f>
        <v/>
      </c>
      <c r="V2290" s="9">
        <f>IF(ORIG!V2290=0,"",ORIG!V2290)</f>
        <v/>
      </c>
      <c r="W2290" s="9">
        <f>IF(ORIG!W2290=0,"",ORIG!W2290)</f>
        <v/>
      </c>
      <c r="X2290" s="9">
        <f>IF(ORIG!X2290=0,"",ORIG!X2290)</f>
        <v/>
      </c>
      <c r="Y2290" s="9">
        <f>IF(ORIG!Y2290=0,"",ORIG!Y2290)</f>
        <v/>
      </c>
      <c r="Z2290" s="3">
        <f>SUMPRODUCT($B2290:$Y2290,$B$2649:$Y$2649)</f>
        <v/>
      </c>
      <c r="AA2290" s="3">
        <f>SUMPRODUCT($B2290:$Y2290,$B$2655:$Y$2655)</f>
        <v/>
      </c>
      <c r="AC2290" s="1">
        <f>A2290</f>
        <v/>
      </c>
      <c r="AD2290">
        <f>IF(ISNUMBER(V2290),V2290*($AB$1/V$2635),"")</f>
        <v/>
      </c>
      <c r="AE2290">
        <f>IF(ISNUMBER(Z2290),Z2290*($AB$1/Z$2635),"")</f>
        <v/>
      </c>
      <c r="AF2290" s="25">
        <f>IF(ISNUMBER(AD2290+AE2290),AD2290+AE2290,"")</f>
        <v/>
      </c>
      <c r="AH2290" s="1">
        <f>A2290</f>
        <v/>
      </c>
      <c r="AI2290">
        <f>IF(ISNUMBER((1+V2290)*AI2289),(1+V2290)*AI2289,AI2289)</f>
        <v/>
      </c>
      <c r="AJ2290">
        <f>IF(ISNUMBER((1+Z2290)*AJ2289),(1+Z2290)*AJ2289,AJ2289)</f>
        <v/>
      </c>
    </row>
    <row r="2291">
      <c r="A2291" s="1" t="n">
        <v>45328</v>
      </c>
      <c r="B2291" s="3">
        <f>IF(ORIG!B2291=0,"",ORIG!B2291)</f>
        <v/>
      </c>
      <c r="C2291" s="3">
        <f>IF(ORIG!C2291=0,"",ORIG!C2291)</f>
        <v/>
      </c>
      <c r="D2291" s="3">
        <f>IF(ORIG!D2291=0,"",ORIG!D2291)</f>
        <v/>
      </c>
      <c r="E2291" s="3">
        <f>IF(ORIG!E2291=0,"",ORIG!E2291)</f>
        <v/>
      </c>
      <c r="F2291" s="3">
        <f>IF(ORIG!F2291=0,"",ORIG!F2291)</f>
        <v/>
      </c>
      <c r="G2291" s="3">
        <f>IF(ORIG!G2291=0,"",ORIG!G2291)</f>
        <v/>
      </c>
      <c r="H2291" s="3">
        <f>IF(ORIG!H2291=0,"",ORIG!H2291)</f>
        <v/>
      </c>
      <c r="I2291" s="3">
        <f>IF(ORIG!I2291=0,"",ORIG!I2291)</f>
        <v/>
      </c>
      <c r="J2291" s="3">
        <f>IF(ORIG!J2291=0,"",ORIG!J2291)</f>
        <v/>
      </c>
      <c r="K2291" s="3">
        <f>IF(ORIG!K2291=0,"",ORIG!K2291)</f>
        <v/>
      </c>
      <c r="L2291" s="3">
        <f>IF(ORIG!L2291=0,"",ORIG!L2291)</f>
        <v/>
      </c>
      <c r="M2291" s="3">
        <f>IF(ORIG!M2291=0,"",ORIG!M2291)</f>
        <v/>
      </c>
      <c r="N2291" s="3">
        <f>IF(ORIG!N2291=0,"",ORIG!N2291)</f>
        <v/>
      </c>
      <c r="O2291" s="3">
        <f>IF(ORIG!O2291=0,"",ORIG!O2291)</f>
        <v/>
      </c>
      <c r="P2291" s="3">
        <f>IF(ORIG!P2291=0,"",ORIG!P2291)</f>
        <v/>
      </c>
      <c r="Q2291" s="3">
        <f>IF(ORIG!Q2291=0,"",ORIG!Q2291)</f>
        <v/>
      </c>
      <c r="R2291" s="3">
        <f>IF(ORIG!R2291=0,"",ORIG!R2291)</f>
        <v/>
      </c>
      <c r="S2291" s="3">
        <f>IF(ORIG!S2291=0,"",ORIG!S2291)</f>
        <v/>
      </c>
      <c r="T2291" s="3">
        <f>IF(ORIG!T2291=0,"",ORIG!T2291)</f>
        <v/>
      </c>
      <c r="U2291" s="3">
        <f>IF(ORIG!U2291=0,"",ORIG!U2291)</f>
        <v/>
      </c>
      <c r="V2291" s="9">
        <f>IF(ORIG!V2291=0,"",ORIG!V2291)</f>
        <v/>
      </c>
      <c r="W2291" s="9">
        <f>IF(ORIG!W2291=0,"",ORIG!W2291)</f>
        <v/>
      </c>
      <c r="X2291" s="9">
        <f>IF(ORIG!X2291=0,"",ORIG!X2291)</f>
        <v/>
      </c>
      <c r="Y2291" s="9">
        <f>IF(ORIG!Y2291=0,"",ORIG!Y2291)</f>
        <v/>
      </c>
      <c r="Z2291" s="3">
        <f>SUMPRODUCT($B2291:$Y2291,$B$2649:$Y$2649)</f>
        <v/>
      </c>
      <c r="AA2291" s="3">
        <f>SUMPRODUCT($B2291:$Y2291,$B$2655:$Y$2655)</f>
        <v/>
      </c>
      <c r="AC2291" s="1">
        <f>A2291</f>
        <v/>
      </c>
      <c r="AD2291">
        <f>IF(ISNUMBER(V2291),V2291*($AB$1/V$2635),"")</f>
        <v/>
      </c>
      <c r="AE2291">
        <f>IF(ISNUMBER(Z2291),Z2291*($AB$1/Z$2635),"")</f>
        <v/>
      </c>
      <c r="AF2291" s="25">
        <f>IF(ISNUMBER(AD2291+AE2291),AD2291+AE2291,"")</f>
        <v/>
      </c>
      <c r="AH2291" s="1">
        <f>A2291</f>
        <v/>
      </c>
      <c r="AI2291">
        <f>IF(ISNUMBER((1+V2291)*AI2290),(1+V2291)*AI2290,AI2290)</f>
        <v/>
      </c>
      <c r="AJ2291">
        <f>IF(ISNUMBER((1+Z2291)*AJ2290),(1+Z2291)*AJ2290,AJ2290)</f>
        <v/>
      </c>
    </row>
    <row r="2292">
      <c r="A2292" s="1" t="n">
        <v>45329</v>
      </c>
      <c r="B2292" s="3">
        <f>IF(ORIG!B2292=0,"",ORIG!B2292)</f>
        <v/>
      </c>
      <c r="C2292" s="3">
        <f>IF(ORIG!C2292=0,"",ORIG!C2292)</f>
        <v/>
      </c>
      <c r="D2292" s="3">
        <f>IF(ORIG!D2292=0,"",ORIG!D2292)</f>
        <v/>
      </c>
      <c r="E2292" s="3">
        <f>IF(ORIG!E2292=0,"",ORIG!E2292)</f>
        <v/>
      </c>
      <c r="F2292" s="3">
        <f>IF(ORIG!F2292=0,"",ORIG!F2292)</f>
        <v/>
      </c>
      <c r="G2292" s="3">
        <f>IF(ORIG!G2292=0,"",ORIG!G2292)</f>
        <v/>
      </c>
      <c r="H2292" s="3">
        <f>IF(ORIG!H2292=0,"",ORIG!H2292)</f>
        <v/>
      </c>
      <c r="I2292" s="3">
        <f>IF(ORIG!I2292=0,"",ORIG!I2292)</f>
        <v/>
      </c>
      <c r="J2292" s="3">
        <f>IF(ORIG!J2292=0,"",ORIG!J2292)</f>
        <v/>
      </c>
      <c r="K2292" s="3">
        <f>IF(ORIG!K2292=0,"",ORIG!K2292)</f>
        <v/>
      </c>
      <c r="L2292" s="3">
        <f>IF(ORIG!L2292=0,"",ORIG!L2292)</f>
        <v/>
      </c>
      <c r="M2292" s="3">
        <f>IF(ORIG!M2292=0,"",ORIG!M2292)</f>
        <v/>
      </c>
      <c r="N2292" s="3">
        <f>IF(ORIG!N2292=0,"",ORIG!N2292)</f>
        <v/>
      </c>
      <c r="O2292" s="3">
        <f>IF(ORIG!O2292=0,"",ORIG!O2292)</f>
        <v/>
      </c>
      <c r="P2292" s="3">
        <f>IF(ORIG!P2292=0,"",ORIG!P2292)</f>
        <v/>
      </c>
      <c r="Q2292" s="3">
        <f>IF(ORIG!Q2292=0,"",ORIG!Q2292)</f>
        <v/>
      </c>
      <c r="R2292" s="3">
        <f>IF(ORIG!R2292=0,"",ORIG!R2292)</f>
        <v/>
      </c>
      <c r="S2292" s="3">
        <f>IF(ORIG!S2292=0,"",ORIG!S2292)</f>
        <v/>
      </c>
      <c r="T2292" s="3">
        <f>IF(ORIG!T2292=0,"",ORIG!T2292)</f>
        <v/>
      </c>
      <c r="U2292" s="3">
        <f>IF(ORIG!U2292=0,"",ORIG!U2292)</f>
        <v/>
      </c>
      <c r="V2292" s="9">
        <f>IF(ORIG!V2292=0,"",ORIG!V2292)</f>
        <v/>
      </c>
      <c r="W2292" s="9">
        <f>IF(ORIG!W2292=0,"",ORIG!W2292)</f>
        <v/>
      </c>
      <c r="X2292" s="9">
        <f>IF(ORIG!X2292=0,"",ORIG!X2292)</f>
        <v/>
      </c>
      <c r="Y2292" s="9">
        <f>IF(ORIG!Y2292=0,"",ORIG!Y2292)</f>
        <v/>
      </c>
      <c r="Z2292" s="3">
        <f>SUMPRODUCT($B2292:$Y2292,$B$2649:$Y$2649)</f>
        <v/>
      </c>
      <c r="AA2292" s="3">
        <f>SUMPRODUCT($B2292:$Y2292,$B$2655:$Y$2655)</f>
        <v/>
      </c>
      <c r="AC2292" s="1">
        <f>A2292</f>
        <v/>
      </c>
      <c r="AD2292">
        <f>IF(ISNUMBER(V2292),V2292*($AB$1/V$2635),"")</f>
        <v/>
      </c>
      <c r="AE2292">
        <f>IF(ISNUMBER(Z2292),Z2292*($AB$1/Z$2635),"")</f>
        <v/>
      </c>
      <c r="AF2292" s="25">
        <f>IF(ISNUMBER(AD2292+AE2292),AD2292+AE2292,"")</f>
        <v/>
      </c>
      <c r="AH2292" s="1">
        <f>A2292</f>
        <v/>
      </c>
      <c r="AI2292">
        <f>IF(ISNUMBER((1+V2292)*AI2291),(1+V2292)*AI2291,AI2291)</f>
        <v/>
      </c>
      <c r="AJ2292">
        <f>IF(ISNUMBER((1+Z2292)*AJ2291),(1+Z2292)*AJ2291,AJ2291)</f>
        <v/>
      </c>
    </row>
    <row r="2293">
      <c r="A2293" s="1" t="n">
        <v>45330</v>
      </c>
      <c r="B2293" s="3">
        <f>IF(ORIG!B2293=0,"",ORIG!B2293)</f>
        <v/>
      </c>
      <c r="C2293" s="3">
        <f>IF(ORIG!C2293=0,"",ORIG!C2293)</f>
        <v/>
      </c>
      <c r="D2293" s="3">
        <f>IF(ORIG!D2293=0,"",ORIG!D2293)</f>
        <v/>
      </c>
      <c r="E2293" s="3">
        <f>IF(ORIG!E2293=0,"",ORIG!E2293)</f>
        <v/>
      </c>
      <c r="F2293" s="3">
        <f>IF(ORIG!F2293=0,"",ORIG!F2293)</f>
        <v/>
      </c>
      <c r="G2293" s="3">
        <f>IF(ORIG!G2293=0,"",ORIG!G2293)</f>
        <v/>
      </c>
      <c r="H2293" s="3">
        <f>IF(ORIG!H2293=0,"",ORIG!H2293)</f>
        <v/>
      </c>
      <c r="I2293" s="3">
        <f>IF(ORIG!I2293=0,"",ORIG!I2293)</f>
        <v/>
      </c>
      <c r="J2293" s="3">
        <f>IF(ORIG!J2293=0,"",ORIG!J2293)</f>
        <v/>
      </c>
      <c r="K2293" s="3">
        <f>IF(ORIG!K2293=0,"",ORIG!K2293)</f>
        <v/>
      </c>
      <c r="L2293" s="3">
        <f>IF(ORIG!L2293=0,"",ORIG!L2293)</f>
        <v/>
      </c>
      <c r="M2293" s="3">
        <f>IF(ORIG!M2293=0,"",ORIG!M2293)</f>
        <v/>
      </c>
      <c r="N2293" s="3">
        <f>IF(ORIG!N2293=0,"",ORIG!N2293)</f>
        <v/>
      </c>
      <c r="O2293" s="3">
        <f>IF(ORIG!O2293=0,"",ORIG!O2293)</f>
        <v/>
      </c>
      <c r="P2293" s="3">
        <f>IF(ORIG!P2293=0,"",ORIG!P2293)</f>
        <v/>
      </c>
      <c r="Q2293" s="3">
        <f>IF(ORIG!Q2293=0,"",ORIG!Q2293)</f>
        <v/>
      </c>
      <c r="R2293" s="3">
        <f>IF(ORIG!R2293=0,"",ORIG!R2293)</f>
        <v/>
      </c>
      <c r="S2293" s="3">
        <f>IF(ORIG!S2293=0,"",ORIG!S2293)</f>
        <v/>
      </c>
      <c r="T2293" s="3">
        <f>IF(ORIG!T2293=0,"",ORIG!T2293)</f>
        <v/>
      </c>
      <c r="U2293" s="3">
        <f>IF(ORIG!U2293=0,"",ORIG!U2293)</f>
        <v/>
      </c>
      <c r="V2293" s="9">
        <f>IF(ORIG!V2293=0,"",ORIG!V2293)</f>
        <v/>
      </c>
      <c r="W2293" s="9">
        <f>IF(ORIG!W2293=0,"",ORIG!W2293)</f>
        <v/>
      </c>
      <c r="X2293" s="9">
        <f>IF(ORIG!X2293=0,"",ORIG!X2293)</f>
        <v/>
      </c>
      <c r="Y2293" s="9">
        <f>IF(ORIG!Y2293=0,"",ORIG!Y2293)</f>
        <v/>
      </c>
      <c r="Z2293" s="3">
        <f>SUMPRODUCT($B2293:$Y2293,$B$2649:$Y$2649)</f>
        <v/>
      </c>
      <c r="AA2293" s="3">
        <f>SUMPRODUCT($B2293:$Y2293,$B$2655:$Y$2655)</f>
        <v/>
      </c>
      <c r="AC2293" s="1">
        <f>A2293</f>
        <v/>
      </c>
      <c r="AD2293">
        <f>IF(ISNUMBER(V2293),V2293*($AB$1/V$2635),"")</f>
        <v/>
      </c>
      <c r="AE2293">
        <f>IF(ISNUMBER(Z2293),Z2293*($AB$1/Z$2635),"")</f>
        <v/>
      </c>
      <c r="AF2293" s="25">
        <f>IF(ISNUMBER(AD2293+AE2293),AD2293+AE2293,"")</f>
        <v/>
      </c>
      <c r="AH2293" s="1">
        <f>A2293</f>
        <v/>
      </c>
      <c r="AI2293">
        <f>IF(ISNUMBER((1+V2293)*AI2292),(1+V2293)*AI2292,AI2292)</f>
        <v/>
      </c>
      <c r="AJ2293">
        <f>IF(ISNUMBER((1+Z2293)*AJ2292),(1+Z2293)*AJ2292,AJ2292)</f>
        <v/>
      </c>
    </row>
    <row r="2294">
      <c r="A2294" s="1" t="n">
        <v>45331</v>
      </c>
      <c r="B2294" s="3">
        <f>IF(ORIG!B2294=0,"",ORIG!B2294)</f>
        <v/>
      </c>
      <c r="C2294" s="3">
        <f>IF(ORIG!C2294=0,"",ORIG!C2294)</f>
        <v/>
      </c>
      <c r="D2294" s="3">
        <f>IF(ORIG!D2294=0,"",ORIG!D2294)</f>
        <v/>
      </c>
      <c r="E2294" s="3">
        <f>IF(ORIG!E2294=0,"",ORIG!E2294)</f>
        <v/>
      </c>
      <c r="F2294" s="3">
        <f>IF(ORIG!F2294=0,"",ORIG!F2294)</f>
        <v/>
      </c>
      <c r="G2294" s="3">
        <f>IF(ORIG!G2294=0,"",ORIG!G2294)</f>
        <v/>
      </c>
      <c r="H2294" s="3">
        <f>IF(ORIG!H2294=0,"",ORIG!H2294)</f>
        <v/>
      </c>
      <c r="I2294" s="3">
        <f>IF(ORIG!I2294=0,"",ORIG!I2294)</f>
        <v/>
      </c>
      <c r="J2294" s="3">
        <f>IF(ORIG!J2294=0,"",ORIG!J2294)</f>
        <v/>
      </c>
      <c r="K2294" s="3">
        <f>IF(ORIG!K2294=0,"",ORIG!K2294)</f>
        <v/>
      </c>
      <c r="L2294" s="3">
        <f>IF(ORIG!L2294=0,"",ORIG!L2294)</f>
        <v/>
      </c>
      <c r="M2294" s="3">
        <f>IF(ORIG!M2294=0,"",ORIG!M2294)</f>
        <v/>
      </c>
      <c r="N2294" s="3">
        <f>IF(ORIG!N2294=0,"",ORIG!N2294)</f>
        <v/>
      </c>
      <c r="O2294" s="3">
        <f>IF(ORIG!O2294=0,"",ORIG!O2294)</f>
        <v/>
      </c>
      <c r="P2294" s="3">
        <f>IF(ORIG!P2294=0,"",ORIG!P2294)</f>
        <v/>
      </c>
      <c r="Q2294" s="3">
        <f>IF(ORIG!Q2294=0,"",ORIG!Q2294)</f>
        <v/>
      </c>
      <c r="R2294" s="3">
        <f>IF(ORIG!R2294=0,"",ORIG!R2294)</f>
        <v/>
      </c>
      <c r="S2294" s="3">
        <f>IF(ORIG!S2294=0,"",ORIG!S2294)</f>
        <v/>
      </c>
      <c r="T2294" s="3">
        <f>IF(ORIG!T2294=0,"",ORIG!T2294)</f>
        <v/>
      </c>
      <c r="U2294" s="3">
        <f>IF(ORIG!U2294=0,"",ORIG!U2294)</f>
        <v/>
      </c>
      <c r="V2294" s="9">
        <f>IF(ORIG!V2294=0,"",ORIG!V2294)</f>
        <v/>
      </c>
      <c r="W2294" s="9">
        <f>IF(ORIG!W2294=0,"",ORIG!W2294)</f>
        <v/>
      </c>
      <c r="X2294" s="9">
        <f>IF(ORIG!X2294=0,"",ORIG!X2294)</f>
        <v/>
      </c>
      <c r="Y2294" s="9">
        <f>IF(ORIG!Y2294=0,"",ORIG!Y2294)</f>
        <v/>
      </c>
      <c r="Z2294" s="3">
        <f>SUMPRODUCT($B2294:$Y2294,$B$2649:$Y$2649)</f>
        <v/>
      </c>
      <c r="AA2294" s="3">
        <f>SUMPRODUCT($B2294:$Y2294,$B$2655:$Y$2655)</f>
        <v/>
      </c>
      <c r="AC2294" s="1">
        <f>A2294</f>
        <v/>
      </c>
      <c r="AD2294">
        <f>IF(ISNUMBER(V2294),V2294*($AB$1/V$2635),"")</f>
        <v/>
      </c>
      <c r="AE2294">
        <f>IF(ISNUMBER(Z2294),Z2294*($AB$1/Z$2635),"")</f>
        <v/>
      </c>
      <c r="AF2294" s="25">
        <f>IF(ISNUMBER(AD2294+AE2294),AD2294+AE2294,"")</f>
        <v/>
      </c>
      <c r="AH2294" s="1">
        <f>A2294</f>
        <v/>
      </c>
      <c r="AI2294">
        <f>IF(ISNUMBER((1+V2294)*AI2293),(1+V2294)*AI2293,AI2293)</f>
        <v/>
      </c>
      <c r="AJ2294">
        <f>IF(ISNUMBER((1+Z2294)*AJ2293),(1+Z2294)*AJ2293,AJ2293)</f>
        <v/>
      </c>
    </row>
    <row r="2295">
      <c r="A2295" s="1" t="n">
        <v>45334</v>
      </c>
      <c r="B2295" s="3">
        <f>IF(ORIG!B2295=0,"",ORIG!B2295)</f>
        <v/>
      </c>
      <c r="C2295" s="3">
        <f>IF(ORIG!C2295=0,"",ORIG!C2295)</f>
        <v/>
      </c>
      <c r="D2295" s="3">
        <f>IF(ORIG!D2295=0,"",ORIG!D2295)</f>
        <v/>
      </c>
      <c r="E2295" s="3">
        <f>IF(ORIG!E2295=0,"",ORIG!E2295)</f>
        <v/>
      </c>
      <c r="F2295" s="3">
        <f>IF(ORIG!F2295=0,"",ORIG!F2295)</f>
        <v/>
      </c>
      <c r="G2295" s="3">
        <f>IF(ORIG!G2295=0,"",ORIG!G2295)</f>
        <v/>
      </c>
      <c r="H2295" s="3">
        <f>IF(ORIG!H2295=0,"",ORIG!H2295)</f>
        <v/>
      </c>
      <c r="I2295" s="3">
        <f>IF(ORIG!I2295=0,"",ORIG!I2295)</f>
        <v/>
      </c>
      <c r="J2295" s="3">
        <f>IF(ORIG!J2295=0,"",ORIG!J2295)</f>
        <v/>
      </c>
      <c r="K2295" s="3">
        <f>IF(ORIG!K2295=0,"",ORIG!K2295)</f>
        <v/>
      </c>
      <c r="L2295" s="3">
        <f>IF(ORIG!L2295=0,"",ORIG!L2295)</f>
        <v/>
      </c>
      <c r="M2295" s="3">
        <f>IF(ORIG!M2295=0,"",ORIG!M2295)</f>
        <v/>
      </c>
      <c r="N2295" s="3">
        <f>IF(ORIG!N2295=0,"",ORIG!N2295)</f>
        <v/>
      </c>
      <c r="O2295" s="3">
        <f>IF(ORIG!O2295=0,"",ORIG!O2295)</f>
        <v/>
      </c>
      <c r="P2295" s="3">
        <f>IF(ORIG!P2295=0,"",ORIG!P2295)</f>
        <v/>
      </c>
      <c r="Q2295" s="3">
        <f>IF(ORIG!Q2295=0,"",ORIG!Q2295)</f>
        <v/>
      </c>
      <c r="R2295" s="3">
        <f>IF(ORIG!R2295=0,"",ORIG!R2295)</f>
        <v/>
      </c>
      <c r="S2295" s="3">
        <f>IF(ORIG!S2295=0,"",ORIG!S2295)</f>
        <v/>
      </c>
      <c r="T2295" s="3">
        <f>IF(ORIG!T2295=0,"",ORIG!T2295)</f>
        <v/>
      </c>
      <c r="U2295" s="3">
        <f>IF(ORIG!U2295=0,"",ORIG!U2295)</f>
        <v/>
      </c>
      <c r="V2295" s="9">
        <f>IF(ORIG!V2295=0,"",ORIG!V2295)</f>
        <v/>
      </c>
      <c r="W2295" s="9">
        <f>IF(ORIG!W2295=0,"",ORIG!W2295)</f>
        <v/>
      </c>
      <c r="X2295" s="9">
        <f>IF(ORIG!X2295=0,"",ORIG!X2295)</f>
        <v/>
      </c>
      <c r="Y2295" s="9">
        <f>IF(ORIG!Y2295=0,"",ORIG!Y2295)</f>
        <v/>
      </c>
      <c r="Z2295" s="3">
        <f>SUMPRODUCT($B2295:$Y2295,$B$2649:$Y$2649)</f>
        <v/>
      </c>
      <c r="AA2295" s="3">
        <f>SUMPRODUCT($B2295:$Y2295,$B$2655:$Y$2655)</f>
        <v/>
      </c>
      <c r="AC2295" s="1">
        <f>A2295</f>
        <v/>
      </c>
      <c r="AD2295">
        <f>IF(ISNUMBER(V2295),V2295*($AB$1/V$2635),"")</f>
        <v/>
      </c>
      <c r="AE2295">
        <f>IF(ISNUMBER(Z2295),Z2295*($AB$1/Z$2635),"")</f>
        <v/>
      </c>
      <c r="AF2295" s="25">
        <f>IF(ISNUMBER(AD2295+AE2295),AD2295+AE2295,"")</f>
        <v/>
      </c>
      <c r="AH2295" s="1">
        <f>A2295</f>
        <v/>
      </c>
      <c r="AI2295">
        <f>IF(ISNUMBER((1+V2295)*AI2294),(1+V2295)*AI2294,AI2294)</f>
        <v/>
      </c>
      <c r="AJ2295">
        <f>IF(ISNUMBER((1+Z2295)*AJ2294),(1+Z2295)*AJ2294,AJ2294)</f>
        <v/>
      </c>
    </row>
    <row r="2296">
      <c r="A2296" s="1" t="n">
        <v>45335</v>
      </c>
      <c r="B2296" s="3">
        <f>IF(ORIG!B2296=0,"",ORIG!B2296)</f>
        <v/>
      </c>
      <c r="C2296" s="3">
        <f>IF(ORIG!C2296=0,"",ORIG!C2296)</f>
        <v/>
      </c>
      <c r="D2296" s="3">
        <f>IF(ORIG!D2296=0,"",ORIG!D2296)</f>
        <v/>
      </c>
      <c r="E2296" s="3">
        <f>IF(ORIG!E2296=0,"",ORIG!E2296)</f>
        <v/>
      </c>
      <c r="F2296" s="3">
        <f>IF(ORIG!F2296=0,"",ORIG!F2296)</f>
        <v/>
      </c>
      <c r="G2296" s="3">
        <f>IF(ORIG!G2296=0,"",ORIG!G2296)</f>
        <v/>
      </c>
      <c r="H2296" s="3">
        <f>IF(ORIG!H2296=0,"",ORIG!H2296)</f>
        <v/>
      </c>
      <c r="I2296" s="3">
        <f>IF(ORIG!I2296=0,"",ORIG!I2296)</f>
        <v/>
      </c>
      <c r="J2296" s="3">
        <f>IF(ORIG!J2296=0,"",ORIG!J2296)</f>
        <v/>
      </c>
      <c r="K2296" s="3">
        <f>IF(ORIG!K2296=0,"",ORIG!K2296)</f>
        <v/>
      </c>
      <c r="L2296" s="3">
        <f>IF(ORIG!L2296=0,"",ORIG!L2296)</f>
        <v/>
      </c>
      <c r="M2296" s="3">
        <f>IF(ORIG!M2296=0,"",ORIG!M2296)</f>
        <v/>
      </c>
      <c r="N2296" s="3">
        <f>IF(ORIG!N2296=0,"",ORIG!N2296)</f>
        <v/>
      </c>
      <c r="O2296" s="3">
        <f>IF(ORIG!O2296=0,"",ORIG!O2296)</f>
        <v/>
      </c>
      <c r="P2296" s="3">
        <f>IF(ORIG!P2296=0,"",ORIG!P2296)</f>
        <v/>
      </c>
      <c r="Q2296" s="3">
        <f>IF(ORIG!Q2296=0,"",ORIG!Q2296)</f>
        <v/>
      </c>
      <c r="R2296" s="3">
        <f>IF(ORIG!R2296=0,"",ORIG!R2296)</f>
        <v/>
      </c>
      <c r="S2296" s="3">
        <f>IF(ORIG!S2296=0,"",ORIG!S2296)</f>
        <v/>
      </c>
      <c r="T2296" s="3">
        <f>IF(ORIG!T2296=0,"",ORIG!T2296)</f>
        <v/>
      </c>
      <c r="U2296" s="3">
        <f>IF(ORIG!U2296=0,"",ORIG!U2296)</f>
        <v/>
      </c>
      <c r="V2296" s="9">
        <f>IF(ORIG!V2296=0,"",ORIG!V2296)</f>
        <v/>
      </c>
      <c r="W2296" s="9">
        <f>IF(ORIG!W2296=0,"",ORIG!W2296)</f>
        <v/>
      </c>
      <c r="X2296" s="9">
        <f>IF(ORIG!X2296=0,"",ORIG!X2296)</f>
        <v/>
      </c>
      <c r="Y2296" s="9">
        <f>IF(ORIG!Y2296=0,"",ORIG!Y2296)</f>
        <v/>
      </c>
      <c r="Z2296" s="3">
        <f>SUMPRODUCT($B2296:$Y2296,$B$2649:$Y$2649)</f>
        <v/>
      </c>
      <c r="AA2296" s="3">
        <f>SUMPRODUCT($B2296:$Y2296,$B$2655:$Y$2655)</f>
        <v/>
      </c>
      <c r="AC2296" s="1">
        <f>A2296</f>
        <v/>
      </c>
      <c r="AD2296">
        <f>IF(ISNUMBER(V2296),V2296*($AB$1/V$2635),"")</f>
        <v/>
      </c>
      <c r="AE2296">
        <f>IF(ISNUMBER(Z2296),Z2296*($AB$1/Z$2635),"")</f>
        <v/>
      </c>
      <c r="AF2296" s="25">
        <f>IF(ISNUMBER(AD2296+AE2296),AD2296+AE2296,"")</f>
        <v/>
      </c>
      <c r="AH2296" s="1">
        <f>A2296</f>
        <v/>
      </c>
      <c r="AI2296">
        <f>IF(ISNUMBER((1+V2296)*AI2295),(1+V2296)*AI2295,AI2295)</f>
        <v/>
      </c>
      <c r="AJ2296">
        <f>IF(ISNUMBER((1+Z2296)*AJ2295),(1+Z2296)*AJ2295,AJ2295)</f>
        <v/>
      </c>
    </row>
    <row r="2297">
      <c r="A2297" s="1" t="n">
        <v>45336</v>
      </c>
      <c r="B2297" s="3">
        <f>IF(ORIG!B2297=0,"",ORIG!B2297)</f>
        <v/>
      </c>
      <c r="C2297" s="3">
        <f>IF(ORIG!C2297=0,"",ORIG!C2297)</f>
        <v/>
      </c>
      <c r="D2297" s="3">
        <f>IF(ORIG!D2297=0,"",ORIG!D2297)</f>
        <v/>
      </c>
      <c r="E2297" s="3">
        <f>IF(ORIG!E2297=0,"",ORIG!E2297)</f>
        <v/>
      </c>
      <c r="F2297" s="3">
        <f>IF(ORIG!F2297=0,"",ORIG!F2297)</f>
        <v/>
      </c>
      <c r="G2297" s="3">
        <f>IF(ORIG!G2297=0,"",ORIG!G2297)</f>
        <v/>
      </c>
      <c r="H2297" s="3">
        <f>IF(ORIG!H2297=0,"",ORIG!H2297)</f>
        <v/>
      </c>
      <c r="I2297" s="3">
        <f>IF(ORIG!I2297=0,"",ORIG!I2297)</f>
        <v/>
      </c>
      <c r="J2297" s="3">
        <f>IF(ORIG!J2297=0,"",ORIG!J2297)</f>
        <v/>
      </c>
      <c r="K2297" s="3">
        <f>IF(ORIG!K2297=0,"",ORIG!K2297)</f>
        <v/>
      </c>
      <c r="L2297" s="3">
        <f>IF(ORIG!L2297=0,"",ORIG!L2297)</f>
        <v/>
      </c>
      <c r="M2297" s="3">
        <f>IF(ORIG!M2297=0,"",ORIG!M2297)</f>
        <v/>
      </c>
      <c r="N2297" s="3">
        <f>IF(ORIG!N2297=0,"",ORIG!N2297)</f>
        <v/>
      </c>
      <c r="O2297" s="3">
        <f>IF(ORIG!O2297=0,"",ORIG!O2297)</f>
        <v/>
      </c>
      <c r="P2297" s="3">
        <f>IF(ORIG!P2297=0,"",ORIG!P2297)</f>
        <v/>
      </c>
      <c r="Q2297" s="3">
        <f>IF(ORIG!Q2297=0,"",ORIG!Q2297)</f>
        <v/>
      </c>
      <c r="R2297" s="3">
        <f>IF(ORIG!R2297=0,"",ORIG!R2297)</f>
        <v/>
      </c>
      <c r="S2297" s="3">
        <f>IF(ORIG!S2297=0,"",ORIG!S2297)</f>
        <v/>
      </c>
      <c r="T2297" s="3">
        <f>IF(ORIG!T2297=0,"",ORIG!T2297)</f>
        <v/>
      </c>
      <c r="U2297" s="3">
        <f>IF(ORIG!U2297=0,"",ORIG!U2297)</f>
        <v/>
      </c>
      <c r="V2297" s="9">
        <f>IF(ORIG!V2297=0,"",ORIG!V2297)</f>
        <v/>
      </c>
      <c r="W2297" s="9">
        <f>IF(ORIG!W2297=0,"",ORIG!W2297)</f>
        <v/>
      </c>
      <c r="X2297" s="9">
        <f>IF(ORIG!X2297=0,"",ORIG!X2297)</f>
        <v/>
      </c>
      <c r="Y2297" s="9">
        <f>IF(ORIG!Y2297=0,"",ORIG!Y2297)</f>
        <v/>
      </c>
      <c r="Z2297" s="3">
        <f>SUMPRODUCT($B2297:$Y2297,$B$2649:$Y$2649)</f>
        <v/>
      </c>
      <c r="AA2297" s="3">
        <f>SUMPRODUCT($B2297:$Y2297,$B$2655:$Y$2655)</f>
        <v/>
      </c>
      <c r="AC2297" s="1">
        <f>A2297</f>
        <v/>
      </c>
      <c r="AD2297">
        <f>IF(ISNUMBER(V2297),V2297*($AB$1/V$2635),"")</f>
        <v/>
      </c>
      <c r="AE2297">
        <f>IF(ISNUMBER(Z2297),Z2297*($AB$1/Z$2635),"")</f>
        <v/>
      </c>
      <c r="AF2297" s="25">
        <f>IF(ISNUMBER(AD2297+AE2297),AD2297+AE2297,"")</f>
        <v/>
      </c>
      <c r="AH2297" s="1">
        <f>A2297</f>
        <v/>
      </c>
      <c r="AI2297">
        <f>IF(ISNUMBER((1+V2297)*AI2296),(1+V2297)*AI2296,AI2296)</f>
        <v/>
      </c>
      <c r="AJ2297">
        <f>IF(ISNUMBER((1+Z2297)*AJ2296),(1+Z2297)*AJ2296,AJ2296)</f>
        <v/>
      </c>
    </row>
    <row r="2298">
      <c r="A2298" s="1" t="n">
        <v>45337</v>
      </c>
      <c r="B2298" s="3">
        <f>IF(ORIG!B2298=0,"",ORIG!B2298)</f>
        <v/>
      </c>
      <c r="C2298" s="3">
        <f>IF(ORIG!C2298=0,"",ORIG!C2298)</f>
        <v/>
      </c>
      <c r="D2298" s="3">
        <f>IF(ORIG!D2298=0,"",ORIG!D2298)</f>
        <v/>
      </c>
      <c r="E2298" s="3">
        <f>IF(ORIG!E2298=0,"",ORIG!E2298)</f>
        <v/>
      </c>
      <c r="F2298" s="3">
        <f>IF(ORIG!F2298=0,"",ORIG!F2298)</f>
        <v/>
      </c>
      <c r="G2298" s="3">
        <f>IF(ORIG!G2298=0,"",ORIG!G2298)</f>
        <v/>
      </c>
      <c r="H2298" s="3">
        <f>IF(ORIG!H2298=0,"",ORIG!H2298)</f>
        <v/>
      </c>
      <c r="I2298" s="3">
        <f>IF(ORIG!I2298=0,"",ORIG!I2298)</f>
        <v/>
      </c>
      <c r="J2298" s="3">
        <f>IF(ORIG!J2298=0,"",ORIG!J2298)</f>
        <v/>
      </c>
      <c r="K2298" s="3">
        <f>IF(ORIG!K2298=0,"",ORIG!K2298)</f>
        <v/>
      </c>
      <c r="L2298" s="3">
        <f>IF(ORIG!L2298=0,"",ORIG!L2298)</f>
        <v/>
      </c>
      <c r="M2298" s="3">
        <f>IF(ORIG!M2298=0,"",ORIG!M2298)</f>
        <v/>
      </c>
      <c r="N2298" s="3">
        <f>IF(ORIG!N2298=0,"",ORIG!N2298)</f>
        <v/>
      </c>
      <c r="O2298" s="3">
        <f>IF(ORIG!O2298=0,"",ORIG!O2298)</f>
        <v/>
      </c>
      <c r="P2298" s="3">
        <f>IF(ORIG!P2298=0,"",ORIG!P2298)</f>
        <v/>
      </c>
      <c r="Q2298" s="3">
        <f>IF(ORIG!Q2298=0,"",ORIG!Q2298)</f>
        <v/>
      </c>
      <c r="R2298" s="3">
        <f>IF(ORIG!R2298=0,"",ORIG!R2298)</f>
        <v/>
      </c>
      <c r="S2298" s="3">
        <f>IF(ORIG!S2298=0,"",ORIG!S2298)</f>
        <v/>
      </c>
      <c r="T2298" s="3">
        <f>IF(ORIG!T2298=0,"",ORIG!T2298)</f>
        <v/>
      </c>
      <c r="U2298" s="3">
        <f>IF(ORIG!U2298=0,"",ORIG!U2298)</f>
        <v/>
      </c>
      <c r="V2298" s="9">
        <f>IF(ORIG!V2298=0,"",ORIG!V2298)</f>
        <v/>
      </c>
      <c r="W2298" s="9">
        <f>IF(ORIG!W2298=0,"",ORIG!W2298)</f>
        <v/>
      </c>
      <c r="X2298" s="9">
        <f>IF(ORIG!X2298=0,"",ORIG!X2298)</f>
        <v/>
      </c>
      <c r="Y2298" s="9">
        <f>IF(ORIG!Y2298=0,"",ORIG!Y2298)</f>
        <v/>
      </c>
      <c r="Z2298" s="3">
        <f>SUMPRODUCT($B2298:$Y2298,$B$2649:$Y$2649)</f>
        <v/>
      </c>
      <c r="AA2298" s="3">
        <f>SUMPRODUCT($B2298:$Y2298,$B$2655:$Y$2655)</f>
        <v/>
      </c>
      <c r="AC2298" s="1">
        <f>A2298</f>
        <v/>
      </c>
      <c r="AD2298">
        <f>IF(ISNUMBER(V2298),V2298*($AB$1/V$2635),"")</f>
        <v/>
      </c>
      <c r="AE2298">
        <f>IF(ISNUMBER(Z2298),Z2298*($AB$1/Z$2635),"")</f>
        <v/>
      </c>
      <c r="AF2298" s="25">
        <f>IF(ISNUMBER(AD2298+AE2298),AD2298+AE2298,"")</f>
        <v/>
      </c>
      <c r="AH2298" s="1">
        <f>A2298</f>
        <v/>
      </c>
      <c r="AI2298">
        <f>IF(ISNUMBER((1+V2298)*AI2297),(1+V2298)*AI2297,AI2297)</f>
        <v/>
      </c>
      <c r="AJ2298">
        <f>IF(ISNUMBER((1+Z2298)*AJ2297),(1+Z2298)*AJ2297,AJ2297)</f>
        <v/>
      </c>
    </row>
    <row r="2299">
      <c r="A2299" s="1" t="n">
        <v>45338</v>
      </c>
      <c r="B2299" s="3">
        <f>IF(ORIG!B2299=0,"",ORIG!B2299)</f>
        <v/>
      </c>
      <c r="C2299" s="3">
        <f>IF(ORIG!C2299=0,"",ORIG!C2299)</f>
        <v/>
      </c>
      <c r="D2299" s="3">
        <f>IF(ORIG!D2299=0,"",ORIG!D2299)</f>
        <v/>
      </c>
      <c r="E2299" s="3">
        <f>IF(ORIG!E2299=0,"",ORIG!E2299)</f>
        <v/>
      </c>
      <c r="F2299" s="3">
        <f>IF(ORIG!F2299=0,"",ORIG!F2299)</f>
        <v/>
      </c>
      <c r="G2299" s="3">
        <f>IF(ORIG!G2299=0,"",ORIG!G2299)</f>
        <v/>
      </c>
      <c r="H2299" s="3">
        <f>IF(ORIG!H2299=0,"",ORIG!H2299)</f>
        <v/>
      </c>
      <c r="I2299" s="3">
        <f>IF(ORIG!I2299=0,"",ORIG!I2299)</f>
        <v/>
      </c>
      <c r="J2299" s="3">
        <f>IF(ORIG!J2299=0,"",ORIG!J2299)</f>
        <v/>
      </c>
      <c r="K2299" s="3">
        <f>IF(ORIG!K2299=0,"",ORIG!K2299)</f>
        <v/>
      </c>
      <c r="L2299" s="3">
        <f>IF(ORIG!L2299=0,"",ORIG!L2299)</f>
        <v/>
      </c>
      <c r="M2299" s="3">
        <f>IF(ORIG!M2299=0,"",ORIG!M2299)</f>
        <v/>
      </c>
      <c r="N2299" s="3">
        <f>IF(ORIG!N2299=0,"",ORIG!N2299)</f>
        <v/>
      </c>
      <c r="O2299" s="3">
        <f>IF(ORIG!O2299=0,"",ORIG!O2299)</f>
        <v/>
      </c>
      <c r="P2299" s="3">
        <f>IF(ORIG!P2299=0,"",ORIG!P2299)</f>
        <v/>
      </c>
      <c r="Q2299" s="3">
        <f>IF(ORIG!Q2299=0,"",ORIG!Q2299)</f>
        <v/>
      </c>
      <c r="R2299" s="3">
        <f>IF(ORIG!R2299=0,"",ORIG!R2299)</f>
        <v/>
      </c>
      <c r="S2299" s="3">
        <f>IF(ORIG!S2299=0,"",ORIG!S2299)</f>
        <v/>
      </c>
      <c r="T2299" s="3">
        <f>IF(ORIG!T2299=0,"",ORIG!T2299)</f>
        <v/>
      </c>
      <c r="U2299" s="3">
        <f>IF(ORIG!U2299=0,"",ORIG!U2299)</f>
        <v/>
      </c>
      <c r="V2299" s="9">
        <f>IF(ORIG!V2299=0,"",ORIG!V2299)</f>
        <v/>
      </c>
      <c r="W2299" s="9">
        <f>IF(ORIG!W2299=0,"",ORIG!W2299)</f>
        <v/>
      </c>
      <c r="X2299" s="9">
        <f>IF(ORIG!X2299=0,"",ORIG!X2299)</f>
        <v/>
      </c>
      <c r="Y2299" s="9">
        <f>IF(ORIG!Y2299=0,"",ORIG!Y2299)</f>
        <v/>
      </c>
      <c r="Z2299" s="3">
        <f>SUMPRODUCT($B2299:$Y2299,$B$2649:$Y$2649)</f>
        <v/>
      </c>
      <c r="AA2299" s="3">
        <f>SUMPRODUCT($B2299:$Y2299,$B$2655:$Y$2655)</f>
        <v/>
      </c>
      <c r="AC2299" s="1">
        <f>A2299</f>
        <v/>
      </c>
      <c r="AD2299">
        <f>IF(ISNUMBER(V2299),V2299*($AB$1/V$2635),"")</f>
        <v/>
      </c>
      <c r="AE2299">
        <f>IF(ISNUMBER(Z2299),Z2299*($AB$1/Z$2635),"")</f>
        <v/>
      </c>
      <c r="AF2299" s="25">
        <f>IF(ISNUMBER(AD2299+AE2299),AD2299+AE2299,"")</f>
        <v/>
      </c>
      <c r="AH2299" s="1">
        <f>A2299</f>
        <v/>
      </c>
      <c r="AI2299">
        <f>IF(ISNUMBER((1+V2299)*AI2298),(1+V2299)*AI2298,AI2298)</f>
        <v/>
      </c>
      <c r="AJ2299">
        <f>IF(ISNUMBER((1+Z2299)*AJ2298),(1+Z2299)*AJ2298,AJ2298)</f>
        <v/>
      </c>
    </row>
    <row r="2300">
      <c r="A2300" s="1" t="n">
        <v>45342</v>
      </c>
      <c r="B2300" s="3">
        <f>IF(ORIG!B2300=0,"",ORIG!B2300)</f>
        <v/>
      </c>
      <c r="C2300" s="3">
        <f>IF(ORIG!C2300=0,"",ORIG!C2300)</f>
        <v/>
      </c>
      <c r="D2300" s="3">
        <f>IF(ORIG!D2300=0,"",ORIG!D2300)</f>
        <v/>
      </c>
      <c r="E2300" s="3">
        <f>IF(ORIG!E2300=0,"",ORIG!E2300)</f>
        <v/>
      </c>
      <c r="F2300" s="3">
        <f>IF(ORIG!F2300=0,"",ORIG!F2300)</f>
        <v/>
      </c>
      <c r="G2300" s="3">
        <f>IF(ORIG!G2300=0,"",ORIG!G2300)</f>
        <v/>
      </c>
      <c r="H2300" s="3">
        <f>IF(ORIG!H2300=0,"",ORIG!H2300)</f>
        <v/>
      </c>
      <c r="I2300" s="3">
        <f>IF(ORIG!I2300=0,"",ORIG!I2300)</f>
        <v/>
      </c>
      <c r="J2300" s="3">
        <f>IF(ORIG!J2300=0,"",ORIG!J2300)</f>
        <v/>
      </c>
      <c r="K2300" s="3">
        <f>IF(ORIG!K2300=0,"",ORIG!K2300)</f>
        <v/>
      </c>
      <c r="L2300" s="3">
        <f>IF(ORIG!L2300=0,"",ORIG!L2300)</f>
        <v/>
      </c>
      <c r="M2300" s="3">
        <f>IF(ORIG!M2300=0,"",ORIG!M2300)</f>
        <v/>
      </c>
      <c r="N2300" s="3">
        <f>IF(ORIG!N2300=0,"",ORIG!N2300)</f>
        <v/>
      </c>
      <c r="O2300" s="3">
        <f>IF(ORIG!O2300=0,"",ORIG!O2300)</f>
        <v/>
      </c>
      <c r="P2300" s="3">
        <f>IF(ORIG!P2300=0,"",ORIG!P2300)</f>
        <v/>
      </c>
      <c r="Q2300" s="3">
        <f>IF(ORIG!Q2300=0,"",ORIG!Q2300)</f>
        <v/>
      </c>
      <c r="R2300" s="3">
        <f>IF(ORIG!R2300=0,"",ORIG!R2300)</f>
        <v/>
      </c>
      <c r="S2300" s="3">
        <f>IF(ORIG!S2300=0,"",ORIG!S2300)</f>
        <v/>
      </c>
      <c r="T2300" s="3">
        <f>IF(ORIG!T2300=0,"",ORIG!T2300)</f>
        <v/>
      </c>
      <c r="U2300" s="3">
        <f>IF(ORIG!U2300=0,"",ORIG!U2300)</f>
        <v/>
      </c>
      <c r="V2300" s="9">
        <f>IF(ORIG!V2300=0,"",ORIG!V2300)</f>
        <v/>
      </c>
      <c r="W2300" s="9">
        <f>IF(ORIG!W2300=0,"",ORIG!W2300)</f>
        <v/>
      </c>
      <c r="X2300" s="9">
        <f>IF(ORIG!X2300=0,"",ORIG!X2300)</f>
        <v/>
      </c>
      <c r="Y2300" s="9">
        <f>IF(ORIG!Y2300=0,"",ORIG!Y2300)</f>
        <v/>
      </c>
      <c r="Z2300" s="3">
        <f>SUMPRODUCT($B2300:$Y2300,$B$2649:$Y$2649)</f>
        <v/>
      </c>
      <c r="AA2300" s="3">
        <f>SUMPRODUCT($B2300:$Y2300,$B$2655:$Y$2655)</f>
        <v/>
      </c>
      <c r="AC2300" s="1">
        <f>A2300</f>
        <v/>
      </c>
      <c r="AD2300">
        <f>IF(ISNUMBER(V2300),V2300*($AB$1/V$2635),"")</f>
        <v/>
      </c>
      <c r="AE2300">
        <f>IF(ISNUMBER(Z2300),Z2300*($AB$1/Z$2635),"")</f>
        <v/>
      </c>
      <c r="AF2300" s="25">
        <f>IF(ISNUMBER(AD2300+AE2300),AD2300+AE2300,"")</f>
        <v/>
      </c>
      <c r="AH2300" s="1">
        <f>A2300</f>
        <v/>
      </c>
      <c r="AI2300">
        <f>IF(ISNUMBER((1+V2300)*AI2299),(1+V2300)*AI2299,AI2299)</f>
        <v/>
      </c>
      <c r="AJ2300">
        <f>IF(ISNUMBER((1+Z2300)*AJ2299),(1+Z2300)*AJ2299,AJ2299)</f>
        <v/>
      </c>
    </row>
    <row r="2301">
      <c r="A2301" s="1" t="n">
        <v>45343</v>
      </c>
      <c r="B2301" s="3">
        <f>IF(ORIG!B2301=0,"",ORIG!B2301)</f>
        <v/>
      </c>
      <c r="C2301" s="3">
        <f>IF(ORIG!C2301=0,"",ORIG!C2301)</f>
        <v/>
      </c>
      <c r="D2301" s="3">
        <f>IF(ORIG!D2301=0,"",ORIG!D2301)</f>
        <v/>
      </c>
      <c r="E2301" s="3">
        <f>IF(ORIG!E2301=0,"",ORIG!E2301)</f>
        <v/>
      </c>
      <c r="F2301" s="3">
        <f>IF(ORIG!F2301=0,"",ORIG!F2301)</f>
        <v/>
      </c>
      <c r="G2301" s="3">
        <f>IF(ORIG!G2301=0,"",ORIG!G2301)</f>
        <v/>
      </c>
      <c r="H2301" s="3">
        <f>IF(ORIG!H2301=0,"",ORIG!H2301)</f>
        <v/>
      </c>
      <c r="I2301" s="3">
        <f>IF(ORIG!I2301=0,"",ORIG!I2301)</f>
        <v/>
      </c>
      <c r="J2301" s="3">
        <f>IF(ORIG!J2301=0,"",ORIG!J2301)</f>
        <v/>
      </c>
      <c r="K2301" s="3">
        <f>IF(ORIG!K2301=0,"",ORIG!K2301)</f>
        <v/>
      </c>
      <c r="L2301" s="3">
        <f>IF(ORIG!L2301=0,"",ORIG!L2301)</f>
        <v/>
      </c>
      <c r="M2301" s="3">
        <f>IF(ORIG!M2301=0,"",ORIG!M2301)</f>
        <v/>
      </c>
      <c r="N2301" s="3">
        <f>IF(ORIG!N2301=0,"",ORIG!N2301)</f>
        <v/>
      </c>
      <c r="O2301" s="3">
        <f>IF(ORIG!O2301=0,"",ORIG!O2301)</f>
        <v/>
      </c>
      <c r="P2301" s="3">
        <f>IF(ORIG!P2301=0,"",ORIG!P2301)</f>
        <v/>
      </c>
      <c r="Q2301" s="3">
        <f>IF(ORIG!Q2301=0,"",ORIG!Q2301)</f>
        <v/>
      </c>
      <c r="R2301" s="3">
        <f>IF(ORIG!R2301=0,"",ORIG!R2301)</f>
        <v/>
      </c>
      <c r="S2301" s="3">
        <f>IF(ORIG!S2301=0,"",ORIG!S2301)</f>
        <v/>
      </c>
      <c r="T2301" s="3">
        <f>IF(ORIG!T2301=0,"",ORIG!T2301)</f>
        <v/>
      </c>
      <c r="U2301" s="3">
        <f>IF(ORIG!U2301=0,"",ORIG!U2301)</f>
        <v/>
      </c>
      <c r="V2301" s="9">
        <f>IF(ORIG!V2301=0,"",ORIG!V2301)</f>
        <v/>
      </c>
      <c r="W2301" s="9">
        <f>IF(ORIG!W2301=0,"",ORIG!W2301)</f>
        <v/>
      </c>
      <c r="X2301" s="9">
        <f>IF(ORIG!X2301=0,"",ORIG!X2301)</f>
        <v/>
      </c>
      <c r="Y2301" s="9">
        <f>IF(ORIG!Y2301=0,"",ORIG!Y2301)</f>
        <v/>
      </c>
      <c r="Z2301" s="3">
        <f>SUMPRODUCT($B2301:$Y2301,$B$2649:$Y$2649)</f>
        <v/>
      </c>
      <c r="AA2301" s="3">
        <f>SUMPRODUCT($B2301:$Y2301,$B$2655:$Y$2655)</f>
        <v/>
      </c>
      <c r="AC2301" s="1">
        <f>A2301</f>
        <v/>
      </c>
      <c r="AD2301">
        <f>IF(ISNUMBER(V2301),V2301*($AB$1/V$2635),"")</f>
        <v/>
      </c>
      <c r="AE2301">
        <f>IF(ISNUMBER(Z2301),Z2301*($AB$1/Z$2635),"")</f>
        <v/>
      </c>
      <c r="AF2301" s="25">
        <f>IF(ISNUMBER(AD2301+AE2301),AD2301+AE2301,"")</f>
        <v/>
      </c>
      <c r="AH2301" s="1">
        <f>A2301</f>
        <v/>
      </c>
      <c r="AI2301">
        <f>IF(ISNUMBER((1+V2301)*AI2300),(1+V2301)*AI2300,AI2300)</f>
        <v/>
      </c>
      <c r="AJ2301">
        <f>IF(ISNUMBER((1+Z2301)*AJ2300),(1+Z2301)*AJ2300,AJ2300)</f>
        <v/>
      </c>
    </row>
    <row r="2302">
      <c r="A2302" s="1" t="n">
        <v>45344</v>
      </c>
      <c r="B2302" s="3">
        <f>IF(ORIG!B2302=0,"",ORIG!B2302)</f>
        <v/>
      </c>
      <c r="C2302" s="3">
        <f>IF(ORIG!C2302=0,"",ORIG!C2302)</f>
        <v/>
      </c>
      <c r="D2302" s="3">
        <f>IF(ORIG!D2302=0,"",ORIG!D2302)</f>
        <v/>
      </c>
      <c r="E2302" s="3">
        <f>IF(ORIG!E2302=0,"",ORIG!E2302)</f>
        <v/>
      </c>
      <c r="F2302" s="3">
        <f>IF(ORIG!F2302=0,"",ORIG!F2302)</f>
        <v/>
      </c>
      <c r="G2302" s="3">
        <f>IF(ORIG!G2302=0,"",ORIG!G2302)</f>
        <v/>
      </c>
      <c r="H2302" s="3">
        <f>IF(ORIG!H2302=0,"",ORIG!H2302)</f>
        <v/>
      </c>
      <c r="I2302" s="3">
        <f>IF(ORIG!I2302=0,"",ORIG!I2302)</f>
        <v/>
      </c>
      <c r="J2302" s="3">
        <f>IF(ORIG!J2302=0,"",ORIG!J2302)</f>
        <v/>
      </c>
      <c r="K2302" s="3">
        <f>IF(ORIG!K2302=0,"",ORIG!K2302)</f>
        <v/>
      </c>
      <c r="L2302" s="3">
        <f>IF(ORIG!L2302=0,"",ORIG!L2302)</f>
        <v/>
      </c>
      <c r="M2302" s="3">
        <f>IF(ORIG!M2302=0,"",ORIG!M2302)</f>
        <v/>
      </c>
      <c r="N2302" s="3">
        <f>IF(ORIG!N2302=0,"",ORIG!N2302)</f>
        <v/>
      </c>
      <c r="O2302" s="3">
        <f>IF(ORIG!O2302=0,"",ORIG!O2302)</f>
        <v/>
      </c>
      <c r="P2302" s="3">
        <f>IF(ORIG!P2302=0,"",ORIG!P2302)</f>
        <v/>
      </c>
      <c r="Q2302" s="3">
        <f>IF(ORIG!Q2302=0,"",ORIG!Q2302)</f>
        <v/>
      </c>
      <c r="R2302" s="3">
        <f>IF(ORIG!R2302=0,"",ORIG!R2302)</f>
        <v/>
      </c>
      <c r="S2302" s="3">
        <f>IF(ORIG!S2302=0,"",ORIG!S2302)</f>
        <v/>
      </c>
      <c r="T2302" s="3">
        <f>IF(ORIG!T2302=0,"",ORIG!T2302)</f>
        <v/>
      </c>
      <c r="U2302" s="3">
        <f>IF(ORIG!U2302=0,"",ORIG!U2302)</f>
        <v/>
      </c>
      <c r="V2302" s="9">
        <f>IF(ORIG!V2302=0,"",ORIG!V2302)</f>
        <v/>
      </c>
      <c r="W2302" s="9">
        <f>IF(ORIG!W2302=0,"",ORIG!W2302)</f>
        <v/>
      </c>
      <c r="X2302" s="9">
        <f>IF(ORIG!X2302=0,"",ORIG!X2302)</f>
        <v/>
      </c>
      <c r="Y2302" s="9">
        <f>IF(ORIG!Y2302=0,"",ORIG!Y2302)</f>
        <v/>
      </c>
      <c r="Z2302" s="3">
        <f>SUMPRODUCT($B2302:$Y2302,$B$2649:$Y$2649)</f>
        <v/>
      </c>
      <c r="AA2302" s="3">
        <f>SUMPRODUCT($B2302:$Y2302,$B$2655:$Y$2655)</f>
        <v/>
      </c>
      <c r="AC2302" s="1">
        <f>A2302</f>
        <v/>
      </c>
      <c r="AD2302">
        <f>IF(ISNUMBER(V2302),V2302*($AB$1/V$2635),"")</f>
        <v/>
      </c>
      <c r="AE2302">
        <f>IF(ISNUMBER(Z2302),Z2302*($AB$1/Z$2635),"")</f>
        <v/>
      </c>
      <c r="AF2302" s="25">
        <f>IF(ISNUMBER(AD2302+AE2302),AD2302+AE2302,"")</f>
        <v/>
      </c>
      <c r="AH2302" s="1">
        <f>A2302</f>
        <v/>
      </c>
      <c r="AI2302">
        <f>IF(ISNUMBER((1+V2302)*AI2301),(1+V2302)*AI2301,AI2301)</f>
        <v/>
      </c>
      <c r="AJ2302">
        <f>IF(ISNUMBER((1+Z2302)*AJ2301),(1+Z2302)*AJ2301,AJ2301)</f>
        <v/>
      </c>
    </row>
    <row r="2303">
      <c r="A2303" s="1" t="n">
        <v>45345</v>
      </c>
      <c r="B2303" s="3">
        <f>IF(ORIG!B2303=0,"",ORIG!B2303)</f>
        <v/>
      </c>
      <c r="C2303" s="3">
        <f>IF(ORIG!C2303=0,"",ORIG!C2303)</f>
        <v/>
      </c>
      <c r="D2303" s="3">
        <f>IF(ORIG!D2303=0,"",ORIG!D2303)</f>
        <v/>
      </c>
      <c r="E2303" s="3">
        <f>IF(ORIG!E2303=0,"",ORIG!E2303)</f>
        <v/>
      </c>
      <c r="F2303" s="3">
        <f>IF(ORIG!F2303=0,"",ORIG!F2303)</f>
        <v/>
      </c>
      <c r="G2303" s="3">
        <f>IF(ORIG!G2303=0,"",ORIG!G2303)</f>
        <v/>
      </c>
      <c r="H2303" s="3">
        <f>IF(ORIG!H2303=0,"",ORIG!H2303)</f>
        <v/>
      </c>
      <c r="I2303" s="3">
        <f>IF(ORIG!I2303=0,"",ORIG!I2303)</f>
        <v/>
      </c>
      <c r="J2303" s="3">
        <f>IF(ORIG!J2303=0,"",ORIG!J2303)</f>
        <v/>
      </c>
      <c r="K2303" s="3">
        <f>IF(ORIG!K2303=0,"",ORIG!K2303)</f>
        <v/>
      </c>
      <c r="L2303" s="3">
        <f>IF(ORIG!L2303=0,"",ORIG!L2303)</f>
        <v/>
      </c>
      <c r="M2303" s="3">
        <f>IF(ORIG!M2303=0,"",ORIG!M2303)</f>
        <v/>
      </c>
      <c r="N2303" s="3">
        <f>IF(ORIG!N2303=0,"",ORIG!N2303)</f>
        <v/>
      </c>
      <c r="O2303" s="3">
        <f>IF(ORIG!O2303=0,"",ORIG!O2303)</f>
        <v/>
      </c>
      <c r="P2303" s="3">
        <f>IF(ORIG!P2303=0,"",ORIG!P2303)</f>
        <v/>
      </c>
      <c r="Q2303" s="3">
        <f>IF(ORIG!Q2303=0,"",ORIG!Q2303)</f>
        <v/>
      </c>
      <c r="R2303" s="3">
        <f>IF(ORIG!R2303=0,"",ORIG!R2303)</f>
        <v/>
      </c>
      <c r="S2303" s="3">
        <f>IF(ORIG!S2303=0,"",ORIG!S2303)</f>
        <v/>
      </c>
      <c r="T2303" s="3">
        <f>IF(ORIG!T2303=0,"",ORIG!T2303)</f>
        <v/>
      </c>
      <c r="U2303" s="3">
        <f>IF(ORIG!U2303=0,"",ORIG!U2303)</f>
        <v/>
      </c>
      <c r="V2303" s="9">
        <f>IF(ORIG!V2303=0,"",ORIG!V2303)</f>
        <v/>
      </c>
      <c r="W2303" s="9">
        <f>IF(ORIG!W2303=0,"",ORIG!W2303)</f>
        <v/>
      </c>
      <c r="X2303" s="9">
        <f>IF(ORIG!X2303=0,"",ORIG!X2303)</f>
        <v/>
      </c>
      <c r="Y2303" s="9">
        <f>IF(ORIG!Y2303=0,"",ORIG!Y2303)</f>
        <v/>
      </c>
      <c r="Z2303" s="3">
        <f>SUMPRODUCT($B2303:$Y2303,$B$2649:$Y$2649)</f>
        <v/>
      </c>
      <c r="AA2303" s="3">
        <f>SUMPRODUCT($B2303:$Y2303,$B$2655:$Y$2655)</f>
        <v/>
      </c>
      <c r="AC2303" s="1">
        <f>A2303</f>
        <v/>
      </c>
      <c r="AD2303">
        <f>IF(ISNUMBER(V2303),V2303*($AB$1/V$2635),"")</f>
        <v/>
      </c>
      <c r="AE2303">
        <f>IF(ISNUMBER(Z2303),Z2303*($AB$1/Z$2635),"")</f>
        <v/>
      </c>
      <c r="AF2303" s="25">
        <f>IF(ISNUMBER(AD2303+AE2303),AD2303+AE2303,"")</f>
        <v/>
      </c>
      <c r="AH2303" s="1">
        <f>A2303</f>
        <v/>
      </c>
      <c r="AI2303">
        <f>IF(ISNUMBER((1+V2303)*AI2302),(1+V2303)*AI2302,AI2302)</f>
        <v/>
      </c>
      <c r="AJ2303">
        <f>IF(ISNUMBER((1+Z2303)*AJ2302),(1+Z2303)*AJ2302,AJ2302)</f>
        <v/>
      </c>
    </row>
    <row r="2304">
      <c r="A2304" s="1" t="n">
        <v>45348</v>
      </c>
      <c r="B2304" s="3">
        <f>IF(ORIG!B2304=0,"",ORIG!B2304)</f>
        <v/>
      </c>
      <c r="C2304" s="3">
        <f>IF(ORIG!C2304=0,"",ORIG!C2304)</f>
        <v/>
      </c>
      <c r="D2304" s="3">
        <f>IF(ORIG!D2304=0,"",ORIG!D2304)</f>
        <v/>
      </c>
      <c r="E2304" s="3">
        <f>IF(ORIG!E2304=0,"",ORIG!E2304)</f>
        <v/>
      </c>
      <c r="F2304" s="3">
        <f>IF(ORIG!F2304=0,"",ORIG!F2304)</f>
        <v/>
      </c>
      <c r="G2304" s="3">
        <f>IF(ORIG!G2304=0,"",ORIG!G2304)</f>
        <v/>
      </c>
      <c r="H2304" s="3">
        <f>IF(ORIG!H2304=0,"",ORIG!H2304)</f>
        <v/>
      </c>
      <c r="I2304" s="3">
        <f>IF(ORIG!I2304=0,"",ORIG!I2304)</f>
        <v/>
      </c>
      <c r="J2304" s="3">
        <f>IF(ORIG!J2304=0,"",ORIG!J2304)</f>
        <v/>
      </c>
      <c r="K2304" s="3">
        <f>IF(ORIG!K2304=0,"",ORIG!K2304)</f>
        <v/>
      </c>
      <c r="L2304" s="3">
        <f>IF(ORIG!L2304=0,"",ORIG!L2304)</f>
        <v/>
      </c>
      <c r="M2304" s="3">
        <f>IF(ORIG!M2304=0,"",ORIG!M2304)</f>
        <v/>
      </c>
      <c r="N2304" s="3">
        <f>IF(ORIG!N2304=0,"",ORIG!N2304)</f>
        <v/>
      </c>
      <c r="O2304" s="3">
        <f>IF(ORIG!O2304=0,"",ORIG!O2304)</f>
        <v/>
      </c>
      <c r="P2304" s="3">
        <f>IF(ORIG!P2304=0,"",ORIG!P2304)</f>
        <v/>
      </c>
      <c r="Q2304" s="3">
        <f>IF(ORIG!Q2304=0,"",ORIG!Q2304)</f>
        <v/>
      </c>
      <c r="R2304" s="3">
        <f>IF(ORIG!R2304=0,"",ORIG!R2304)</f>
        <v/>
      </c>
      <c r="S2304" s="3">
        <f>IF(ORIG!S2304=0,"",ORIG!S2304)</f>
        <v/>
      </c>
      <c r="T2304" s="3">
        <f>IF(ORIG!T2304=0,"",ORIG!T2304)</f>
        <v/>
      </c>
      <c r="U2304" s="3">
        <f>IF(ORIG!U2304=0,"",ORIG!U2304)</f>
        <v/>
      </c>
      <c r="V2304" s="9">
        <f>IF(ORIG!V2304=0,"",ORIG!V2304)</f>
        <v/>
      </c>
      <c r="W2304" s="9">
        <f>IF(ORIG!W2304=0,"",ORIG!W2304)</f>
        <v/>
      </c>
      <c r="X2304" s="9">
        <f>IF(ORIG!X2304=0,"",ORIG!X2304)</f>
        <v/>
      </c>
      <c r="Y2304" s="9">
        <f>IF(ORIG!Y2304=0,"",ORIG!Y2304)</f>
        <v/>
      </c>
      <c r="Z2304" s="3">
        <f>SUMPRODUCT($B2304:$Y2304,$B$2649:$Y$2649)</f>
        <v/>
      </c>
      <c r="AA2304" s="3">
        <f>SUMPRODUCT($B2304:$Y2304,$B$2655:$Y$2655)</f>
        <v/>
      </c>
      <c r="AC2304" s="1">
        <f>A2304</f>
        <v/>
      </c>
      <c r="AD2304">
        <f>IF(ISNUMBER(V2304),V2304*($AB$1/V$2635),"")</f>
        <v/>
      </c>
      <c r="AE2304">
        <f>IF(ISNUMBER(Z2304),Z2304*($AB$1/Z$2635),"")</f>
        <v/>
      </c>
      <c r="AF2304" s="25">
        <f>IF(ISNUMBER(AD2304+AE2304),AD2304+AE2304,"")</f>
        <v/>
      </c>
      <c r="AH2304" s="1">
        <f>A2304</f>
        <v/>
      </c>
      <c r="AI2304">
        <f>IF(ISNUMBER((1+V2304)*AI2303),(1+V2304)*AI2303,AI2303)</f>
        <v/>
      </c>
      <c r="AJ2304">
        <f>IF(ISNUMBER((1+Z2304)*AJ2303),(1+Z2304)*AJ2303,AJ2303)</f>
        <v/>
      </c>
    </row>
    <row r="2305">
      <c r="A2305" s="1" t="n">
        <v>45349</v>
      </c>
      <c r="B2305" s="3">
        <f>IF(ORIG!B2305=0,"",ORIG!B2305)</f>
        <v/>
      </c>
      <c r="C2305" s="3">
        <f>IF(ORIG!C2305=0,"",ORIG!C2305)</f>
        <v/>
      </c>
      <c r="D2305" s="3">
        <f>IF(ORIG!D2305=0,"",ORIG!D2305)</f>
        <v/>
      </c>
      <c r="E2305" s="3">
        <f>IF(ORIG!E2305=0,"",ORIG!E2305)</f>
        <v/>
      </c>
      <c r="F2305" s="3">
        <f>IF(ORIG!F2305=0,"",ORIG!F2305)</f>
        <v/>
      </c>
      <c r="G2305" s="3">
        <f>IF(ORIG!G2305=0,"",ORIG!G2305)</f>
        <v/>
      </c>
      <c r="H2305" s="3">
        <f>IF(ORIG!H2305=0,"",ORIG!H2305)</f>
        <v/>
      </c>
      <c r="I2305" s="3">
        <f>IF(ORIG!I2305=0,"",ORIG!I2305)</f>
        <v/>
      </c>
      <c r="J2305" s="3">
        <f>IF(ORIG!J2305=0,"",ORIG!J2305)</f>
        <v/>
      </c>
      <c r="K2305" s="3">
        <f>IF(ORIG!K2305=0,"",ORIG!K2305)</f>
        <v/>
      </c>
      <c r="L2305" s="3">
        <f>IF(ORIG!L2305=0,"",ORIG!L2305)</f>
        <v/>
      </c>
      <c r="M2305" s="3">
        <f>IF(ORIG!M2305=0,"",ORIG!M2305)</f>
        <v/>
      </c>
      <c r="N2305" s="3">
        <f>IF(ORIG!N2305=0,"",ORIG!N2305)</f>
        <v/>
      </c>
      <c r="O2305" s="3">
        <f>IF(ORIG!O2305=0,"",ORIG!O2305)</f>
        <v/>
      </c>
      <c r="P2305" s="3">
        <f>IF(ORIG!P2305=0,"",ORIG!P2305)</f>
        <v/>
      </c>
      <c r="Q2305" s="3">
        <f>IF(ORIG!Q2305=0,"",ORIG!Q2305)</f>
        <v/>
      </c>
      <c r="R2305" s="3">
        <f>IF(ORIG!R2305=0,"",ORIG!R2305)</f>
        <v/>
      </c>
      <c r="S2305" s="3">
        <f>IF(ORIG!S2305=0,"",ORIG!S2305)</f>
        <v/>
      </c>
      <c r="T2305" s="3">
        <f>IF(ORIG!T2305=0,"",ORIG!T2305)</f>
        <v/>
      </c>
      <c r="U2305" s="3">
        <f>IF(ORIG!U2305=0,"",ORIG!U2305)</f>
        <v/>
      </c>
      <c r="V2305" s="9">
        <f>IF(ORIG!V2305=0,"",ORIG!V2305)</f>
        <v/>
      </c>
      <c r="W2305" s="9">
        <f>IF(ORIG!W2305=0,"",ORIG!W2305)</f>
        <v/>
      </c>
      <c r="X2305" s="9">
        <f>IF(ORIG!X2305=0,"",ORIG!X2305)</f>
        <v/>
      </c>
      <c r="Y2305" s="9">
        <f>IF(ORIG!Y2305=0,"",ORIG!Y2305)</f>
        <v/>
      </c>
      <c r="Z2305" s="3">
        <f>SUMPRODUCT($B2305:$Y2305,$B$2649:$Y$2649)</f>
        <v/>
      </c>
      <c r="AA2305" s="3">
        <f>SUMPRODUCT($B2305:$Y2305,$B$2655:$Y$2655)</f>
        <v/>
      </c>
      <c r="AC2305" s="1">
        <f>A2305</f>
        <v/>
      </c>
      <c r="AD2305">
        <f>IF(ISNUMBER(V2305),V2305*($AB$1/V$2635),"")</f>
        <v/>
      </c>
      <c r="AE2305">
        <f>IF(ISNUMBER(Z2305),Z2305*($AB$1/Z$2635),"")</f>
        <v/>
      </c>
      <c r="AF2305" s="25">
        <f>IF(ISNUMBER(AD2305+AE2305),AD2305+AE2305,"")</f>
        <v/>
      </c>
      <c r="AH2305" s="1">
        <f>A2305</f>
        <v/>
      </c>
      <c r="AI2305">
        <f>IF(ISNUMBER((1+V2305)*AI2304),(1+V2305)*AI2304,AI2304)</f>
        <v/>
      </c>
      <c r="AJ2305">
        <f>IF(ISNUMBER((1+Z2305)*AJ2304),(1+Z2305)*AJ2304,AJ2304)</f>
        <v/>
      </c>
    </row>
    <row r="2306">
      <c r="A2306" s="1" t="n">
        <v>45350</v>
      </c>
      <c r="B2306" s="3">
        <f>IF(ORIG!B2306=0,"",ORIG!B2306)</f>
        <v/>
      </c>
      <c r="C2306" s="3">
        <f>IF(ORIG!C2306=0,"",ORIG!C2306)</f>
        <v/>
      </c>
      <c r="D2306" s="3">
        <f>IF(ORIG!D2306=0,"",ORIG!D2306)</f>
        <v/>
      </c>
      <c r="E2306" s="3">
        <f>IF(ORIG!E2306=0,"",ORIG!E2306)</f>
        <v/>
      </c>
      <c r="F2306" s="3">
        <f>IF(ORIG!F2306=0,"",ORIG!F2306)</f>
        <v/>
      </c>
      <c r="G2306" s="3">
        <f>IF(ORIG!G2306=0,"",ORIG!G2306)</f>
        <v/>
      </c>
      <c r="H2306" s="3">
        <f>IF(ORIG!H2306=0,"",ORIG!H2306)</f>
        <v/>
      </c>
      <c r="I2306" s="3">
        <f>IF(ORIG!I2306=0,"",ORIG!I2306)</f>
        <v/>
      </c>
      <c r="J2306" s="3">
        <f>IF(ORIG!J2306=0,"",ORIG!J2306)</f>
        <v/>
      </c>
      <c r="K2306" s="3">
        <f>IF(ORIG!K2306=0,"",ORIG!K2306)</f>
        <v/>
      </c>
      <c r="L2306" s="3">
        <f>IF(ORIG!L2306=0,"",ORIG!L2306)</f>
        <v/>
      </c>
      <c r="M2306" s="3">
        <f>IF(ORIG!M2306=0,"",ORIG!M2306)</f>
        <v/>
      </c>
      <c r="N2306" s="3">
        <f>IF(ORIG!N2306=0,"",ORIG!N2306)</f>
        <v/>
      </c>
      <c r="O2306" s="3">
        <f>IF(ORIG!O2306=0,"",ORIG!O2306)</f>
        <v/>
      </c>
      <c r="P2306" s="3">
        <f>IF(ORIG!P2306=0,"",ORIG!P2306)</f>
        <v/>
      </c>
      <c r="Q2306" s="3">
        <f>IF(ORIG!Q2306=0,"",ORIG!Q2306)</f>
        <v/>
      </c>
      <c r="R2306" s="3">
        <f>IF(ORIG!R2306=0,"",ORIG!R2306)</f>
        <v/>
      </c>
      <c r="S2306" s="3">
        <f>IF(ORIG!S2306=0,"",ORIG!S2306)</f>
        <v/>
      </c>
      <c r="T2306" s="3">
        <f>IF(ORIG!T2306=0,"",ORIG!T2306)</f>
        <v/>
      </c>
      <c r="U2306" s="3">
        <f>IF(ORIG!U2306=0,"",ORIG!U2306)</f>
        <v/>
      </c>
      <c r="V2306" s="9">
        <f>IF(ORIG!V2306=0,"",ORIG!V2306)</f>
        <v/>
      </c>
      <c r="W2306" s="9">
        <f>IF(ORIG!W2306=0,"",ORIG!W2306)</f>
        <v/>
      </c>
      <c r="X2306" s="9">
        <f>IF(ORIG!X2306=0,"",ORIG!X2306)</f>
        <v/>
      </c>
      <c r="Y2306" s="9">
        <f>IF(ORIG!Y2306=0,"",ORIG!Y2306)</f>
        <v/>
      </c>
      <c r="Z2306" s="3">
        <f>SUMPRODUCT($B2306:$Y2306,$B$2649:$Y$2649)</f>
        <v/>
      </c>
      <c r="AA2306" s="3">
        <f>SUMPRODUCT($B2306:$Y2306,$B$2655:$Y$2655)</f>
        <v/>
      </c>
      <c r="AC2306" s="1">
        <f>A2306</f>
        <v/>
      </c>
      <c r="AD2306">
        <f>IF(ISNUMBER(V2306),V2306*($AB$1/V$2635),"")</f>
        <v/>
      </c>
      <c r="AE2306">
        <f>IF(ISNUMBER(Z2306),Z2306*($AB$1/Z$2635),"")</f>
        <v/>
      </c>
      <c r="AF2306" s="25">
        <f>IF(ISNUMBER(AD2306+AE2306),AD2306+AE2306,"")</f>
        <v/>
      </c>
      <c r="AH2306" s="1">
        <f>A2306</f>
        <v/>
      </c>
      <c r="AI2306">
        <f>IF(ISNUMBER((1+V2306)*AI2305),(1+V2306)*AI2305,AI2305)</f>
        <v/>
      </c>
      <c r="AJ2306">
        <f>IF(ISNUMBER((1+Z2306)*AJ2305),(1+Z2306)*AJ2305,AJ2305)</f>
        <v/>
      </c>
    </row>
    <row r="2307">
      <c r="A2307" s="1" t="n">
        <v>45351</v>
      </c>
      <c r="B2307" s="3">
        <f>IF(ORIG!B2307=0,"",ORIG!B2307)</f>
        <v/>
      </c>
      <c r="C2307" s="3">
        <f>IF(ORIG!C2307=0,"",ORIG!C2307)</f>
        <v/>
      </c>
      <c r="D2307" s="3">
        <f>IF(ORIG!D2307=0,"",ORIG!D2307)</f>
        <v/>
      </c>
      <c r="E2307" s="3">
        <f>IF(ORIG!E2307=0,"",ORIG!E2307)</f>
        <v/>
      </c>
      <c r="F2307" s="3">
        <f>IF(ORIG!F2307=0,"",ORIG!F2307)</f>
        <v/>
      </c>
      <c r="G2307" s="3">
        <f>IF(ORIG!G2307=0,"",ORIG!G2307)</f>
        <v/>
      </c>
      <c r="H2307" s="3">
        <f>IF(ORIG!H2307=0,"",ORIG!H2307)</f>
        <v/>
      </c>
      <c r="I2307" s="3">
        <f>IF(ORIG!I2307=0,"",ORIG!I2307)</f>
        <v/>
      </c>
      <c r="J2307" s="3">
        <f>IF(ORIG!J2307=0,"",ORIG!J2307)</f>
        <v/>
      </c>
      <c r="K2307" s="3">
        <f>IF(ORIG!K2307=0,"",ORIG!K2307)</f>
        <v/>
      </c>
      <c r="L2307" s="3">
        <f>IF(ORIG!L2307=0,"",ORIG!L2307)</f>
        <v/>
      </c>
      <c r="M2307" s="3">
        <f>IF(ORIG!M2307=0,"",ORIG!M2307)</f>
        <v/>
      </c>
      <c r="N2307" s="3">
        <f>IF(ORIG!N2307=0,"",ORIG!N2307)</f>
        <v/>
      </c>
      <c r="O2307" s="3">
        <f>IF(ORIG!O2307=0,"",ORIG!O2307)</f>
        <v/>
      </c>
      <c r="P2307" s="3">
        <f>IF(ORIG!P2307=0,"",ORIG!P2307)</f>
        <v/>
      </c>
      <c r="Q2307" s="3">
        <f>IF(ORIG!Q2307=0,"",ORIG!Q2307)</f>
        <v/>
      </c>
      <c r="R2307" s="3">
        <f>IF(ORIG!R2307=0,"",ORIG!R2307)</f>
        <v/>
      </c>
      <c r="S2307" s="3">
        <f>IF(ORIG!S2307=0,"",ORIG!S2307)</f>
        <v/>
      </c>
      <c r="T2307" s="3">
        <f>IF(ORIG!T2307=0,"",ORIG!T2307)</f>
        <v/>
      </c>
      <c r="U2307" s="3">
        <f>IF(ORIG!U2307=0,"",ORIG!U2307)</f>
        <v/>
      </c>
      <c r="V2307" s="9">
        <f>IF(ORIG!V2307=0,"",ORIG!V2307)</f>
        <v/>
      </c>
      <c r="W2307" s="9">
        <f>IF(ORIG!W2307=0,"",ORIG!W2307)</f>
        <v/>
      </c>
      <c r="X2307" s="9">
        <f>IF(ORIG!X2307=0,"",ORIG!X2307)</f>
        <v/>
      </c>
      <c r="Y2307" s="9">
        <f>IF(ORIG!Y2307=0,"",ORIG!Y2307)</f>
        <v/>
      </c>
      <c r="Z2307" s="3">
        <f>SUMPRODUCT($B2307:$Y2307,$B$2649:$Y$2649)</f>
        <v/>
      </c>
      <c r="AA2307" s="3">
        <f>SUMPRODUCT($B2307:$Y2307,$B$2655:$Y$2655)</f>
        <v/>
      </c>
      <c r="AC2307" s="1">
        <f>A2307</f>
        <v/>
      </c>
      <c r="AD2307">
        <f>IF(ISNUMBER(V2307),V2307*($AB$1/V$2635),"")</f>
        <v/>
      </c>
      <c r="AE2307">
        <f>IF(ISNUMBER(Z2307),Z2307*($AB$1/Z$2635),"")</f>
        <v/>
      </c>
      <c r="AF2307" s="25">
        <f>IF(ISNUMBER(AD2307+AE2307),AD2307+AE2307,"")</f>
        <v/>
      </c>
      <c r="AH2307" s="1">
        <f>A2307</f>
        <v/>
      </c>
      <c r="AI2307">
        <f>IF(ISNUMBER((1+V2307)*AI2306),(1+V2307)*AI2306,AI2306)</f>
        <v/>
      </c>
      <c r="AJ2307">
        <f>IF(ISNUMBER((1+Z2307)*AJ2306),(1+Z2307)*AJ2306,AJ2306)</f>
        <v/>
      </c>
    </row>
    <row r="2308">
      <c r="A2308" s="1" t="n">
        <v>45352</v>
      </c>
      <c r="B2308" s="3">
        <f>IF(ORIG!B2308=0,"",ORIG!B2308)</f>
        <v/>
      </c>
      <c r="C2308" s="3">
        <f>IF(ORIG!C2308=0,"",ORIG!C2308)</f>
        <v/>
      </c>
      <c r="D2308" s="3">
        <f>IF(ORIG!D2308=0,"",ORIG!D2308)</f>
        <v/>
      </c>
      <c r="E2308" s="3">
        <f>IF(ORIG!E2308=0,"",ORIG!E2308)</f>
        <v/>
      </c>
      <c r="F2308" s="3">
        <f>IF(ORIG!F2308=0,"",ORIG!F2308)</f>
        <v/>
      </c>
      <c r="G2308" s="3">
        <f>IF(ORIG!G2308=0,"",ORIG!G2308)</f>
        <v/>
      </c>
      <c r="H2308" s="3">
        <f>IF(ORIG!H2308=0,"",ORIG!H2308)</f>
        <v/>
      </c>
      <c r="I2308" s="3">
        <f>IF(ORIG!I2308=0,"",ORIG!I2308)</f>
        <v/>
      </c>
      <c r="J2308" s="3">
        <f>IF(ORIG!J2308=0,"",ORIG!J2308)</f>
        <v/>
      </c>
      <c r="K2308" s="3">
        <f>IF(ORIG!K2308=0,"",ORIG!K2308)</f>
        <v/>
      </c>
      <c r="L2308" s="3">
        <f>IF(ORIG!L2308=0,"",ORIG!L2308)</f>
        <v/>
      </c>
      <c r="M2308" s="3">
        <f>IF(ORIG!M2308=0,"",ORIG!M2308)</f>
        <v/>
      </c>
      <c r="N2308" s="3">
        <f>IF(ORIG!N2308=0,"",ORIG!N2308)</f>
        <v/>
      </c>
      <c r="O2308" s="3">
        <f>IF(ORIG!O2308=0,"",ORIG!O2308)</f>
        <v/>
      </c>
      <c r="P2308" s="3">
        <f>IF(ORIG!P2308=0,"",ORIG!P2308)</f>
        <v/>
      </c>
      <c r="Q2308" s="3">
        <f>IF(ORIG!Q2308=0,"",ORIG!Q2308)</f>
        <v/>
      </c>
      <c r="R2308" s="3">
        <f>IF(ORIG!R2308=0,"",ORIG!R2308)</f>
        <v/>
      </c>
      <c r="S2308" s="3">
        <f>IF(ORIG!S2308=0,"",ORIG!S2308)</f>
        <v/>
      </c>
      <c r="T2308" s="3">
        <f>IF(ORIG!T2308=0,"",ORIG!T2308)</f>
        <v/>
      </c>
      <c r="U2308" s="3">
        <f>IF(ORIG!U2308=0,"",ORIG!U2308)</f>
        <v/>
      </c>
      <c r="V2308" s="9">
        <f>IF(ORIG!V2308=0,"",ORIG!V2308)</f>
        <v/>
      </c>
      <c r="W2308" s="9">
        <f>IF(ORIG!W2308=0,"",ORIG!W2308)</f>
        <v/>
      </c>
      <c r="X2308" s="9">
        <f>IF(ORIG!X2308=0,"",ORIG!X2308)</f>
        <v/>
      </c>
      <c r="Y2308" s="9">
        <f>IF(ORIG!Y2308=0,"",ORIG!Y2308)</f>
        <v/>
      </c>
      <c r="Z2308" s="3">
        <f>SUMPRODUCT($B2308:$Y2308,$B$2649:$Y$2649)</f>
        <v/>
      </c>
      <c r="AA2308" s="3">
        <f>SUMPRODUCT($B2308:$Y2308,$B$2655:$Y$2655)</f>
        <v/>
      </c>
      <c r="AC2308" s="1">
        <f>A2308</f>
        <v/>
      </c>
      <c r="AD2308">
        <f>IF(ISNUMBER(V2308),V2308*($AB$1/V$2635),"")</f>
        <v/>
      </c>
      <c r="AE2308">
        <f>IF(ISNUMBER(Z2308),Z2308*($AB$1/Z$2635),"")</f>
        <v/>
      </c>
      <c r="AF2308" s="25">
        <f>IF(ISNUMBER(AD2308+AE2308),AD2308+AE2308,"")</f>
        <v/>
      </c>
      <c r="AH2308" s="1">
        <f>A2308</f>
        <v/>
      </c>
      <c r="AI2308">
        <f>IF(ISNUMBER((1+V2308)*AI2307),(1+V2308)*AI2307,AI2307)</f>
        <v/>
      </c>
      <c r="AJ2308">
        <f>IF(ISNUMBER((1+Z2308)*AJ2307),(1+Z2308)*AJ2307,AJ2307)</f>
        <v/>
      </c>
    </row>
    <row r="2309">
      <c r="A2309" s="1" t="n">
        <v>45355</v>
      </c>
      <c r="B2309" s="3">
        <f>IF(ORIG!B2309=0,"",ORIG!B2309)</f>
        <v/>
      </c>
      <c r="C2309" s="3">
        <f>IF(ORIG!C2309=0,"",ORIG!C2309)</f>
        <v/>
      </c>
      <c r="D2309" s="3">
        <f>IF(ORIG!D2309=0,"",ORIG!D2309)</f>
        <v/>
      </c>
      <c r="E2309" s="3">
        <f>IF(ORIG!E2309=0,"",ORIG!E2309)</f>
        <v/>
      </c>
      <c r="F2309" s="3">
        <f>IF(ORIG!F2309=0,"",ORIG!F2309)</f>
        <v/>
      </c>
      <c r="G2309" s="3">
        <f>IF(ORIG!G2309=0,"",ORIG!G2309)</f>
        <v/>
      </c>
      <c r="H2309" s="3">
        <f>IF(ORIG!H2309=0,"",ORIG!H2309)</f>
        <v/>
      </c>
      <c r="I2309" s="3">
        <f>IF(ORIG!I2309=0,"",ORIG!I2309)</f>
        <v/>
      </c>
      <c r="J2309" s="3">
        <f>IF(ORIG!J2309=0,"",ORIG!J2309)</f>
        <v/>
      </c>
      <c r="K2309" s="3">
        <f>IF(ORIG!K2309=0,"",ORIG!K2309)</f>
        <v/>
      </c>
      <c r="L2309" s="3">
        <f>IF(ORIG!L2309=0,"",ORIG!L2309)</f>
        <v/>
      </c>
      <c r="M2309" s="3">
        <f>IF(ORIG!M2309=0,"",ORIG!M2309)</f>
        <v/>
      </c>
      <c r="N2309" s="3">
        <f>IF(ORIG!N2309=0,"",ORIG!N2309)</f>
        <v/>
      </c>
      <c r="O2309" s="3">
        <f>IF(ORIG!O2309=0,"",ORIG!O2309)</f>
        <v/>
      </c>
      <c r="P2309" s="3">
        <f>IF(ORIG!P2309=0,"",ORIG!P2309)</f>
        <v/>
      </c>
      <c r="Q2309" s="3">
        <f>IF(ORIG!Q2309=0,"",ORIG!Q2309)</f>
        <v/>
      </c>
      <c r="R2309" s="3">
        <f>IF(ORIG!R2309=0,"",ORIG!R2309)</f>
        <v/>
      </c>
      <c r="S2309" s="3">
        <f>IF(ORIG!S2309=0,"",ORIG!S2309)</f>
        <v/>
      </c>
      <c r="T2309" s="3">
        <f>IF(ORIG!T2309=0,"",ORIG!T2309)</f>
        <v/>
      </c>
      <c r="U2309" s="3">
        <f>IF(ORIG!U2309=0,"",ORIG!U2309)</f>
        <v/>
      </c>
      <c r="V2309" s="9">
        <f>IF(ORIG!V2309=0,"",ORIG!V2309)</f>
        <v/>
      </c>
      <c r="W2309" s="9">
        <f>IF(ORIG!W2309=0,"",ORIG!W2309)</f>
        <v/>
      </c>
      <c r="X2309" s="9">
        <f>IF(ORIG!X2309=0,"",ORIG!X2309)</f>
        <v/>
      </c>
      <c r="Y2309" s="9">
        <f>IF(ORIG!Y2309=0,"",ORIG!Y2309)</f>
        <v/>
      </c>
      <c r="Z2309" s="3">
        <f>SUMPRODUCT($B2309:$Y2309,$B$2649:$Y$2649)</f>
        <v/>
      </c>
      <c r="AA2309" s="3">
        <f>SUMPRODUCT($B2309:$Y2309,$B$2655:$Y$2655)</f>
        <v/>
      </c>
      <c r="AC2309" s="1">
        <f>A2309</f>
        <v/>
      </c>
      <c r="AD2309">
        <f>IF(ISNUMBER(V2309),V2309*($AB$1/V$2635),"")</f>
        <v/>
      </c>
      <c r="AE2309">
        <f>IF(ISNUMBER(Z2309),Z2309*($AB$1/Z$2635),"")</f>
        <v/>
      </c>
      <c r="AF2309" s="25">
        <f>IF(ISNUMBER(AD2309+AE2309),AD2309+AE2309,"")</f>
        <v/>
      </c>
      <c r="AH2309" s="1">
        <f>A2309</f>
        <v/>
      </c>
      <c r="AI2309">
        <f>IF(ISNUMBER((1+V2309)*AI2308),(1+V2309)*AI2308,AI2308)</f>
        <v/>
      </c>
      <c r="AJ2309">
        <f>IF(ISNUMBER((1+Z2309)*AJ2308),(1+Z2309)*AJ2308,AJ2308)</f>
        <v/>
      </c>
    </row>
    <row r="2310">
      <c r="A2310" s="1" t="n">
        <v>45356</v>
      </c>
      <c r="B2310" s="3">
        <f>IF(ORIG!B2310=0,"",ORIG!B2310)</f>
        <v/>
      </c>
      <c r="C2310" s="3">
        <f>IF(ORIG!C2310=0,"",ORIG!C2310)</f>
        <v/>
      </c>
      <c r="D2310" s="3">
        <f>IF(ORIG!D2310=0,"",ORIG!D2310)</f>
        <v/>
      </c>
      <c r="E2310" s="3">
        <f>IF(ORIG!E2310=0,"",ORIG!E2310)</f>
        <v/>
      </c>
      <c r="F2310" s="3">
        <f>IF(ORIG!F2310=0,"",ORIG!F2310)</f>
        <v/>
      </c>
      <c r="G2310" s="3">
        <f>IF(ORIG!G2310=0,"",ORIG!G2310)</f>
        <v/>
      </c>
      <c r="H2310" s="3">
        <f>IF(ORIG!H2310=0,"",ORIG!H2310)</f>
        <v/>
      </c>
      <c r="I2310" s="3">
        <f>IF(ORIG!I2310=0,"",ORIG!I2310)</f>
        <v/>
      </c>
      <c r="J2310" s="3">
        <f>IF(ORIG!J2310=0,"",ORIG!J2310)</f>
        <v/>
      </c>
      <c r="K2310" s="3">
        <f>IF(ORIG!K2310=0,"",ORIG!K2310)</f>
        <v/>
      </c>
      <c r="L2310" s="3">
        <f>IF(ORIG!L2310=0,"",ORIG!L2310)</f>
        <v/>
      </c>
      <c r="M2310" s="3">
        <f>IF(ORIG!M2310=0,"",ORIG!M2310)</f>
        <v/>
      </c>
      <c r="N2310" s="3">
        <f>IF(ORIG!N2310=0,"",ORIG!N2310)</f>
        <v/>
      </c>
      <c r="O2310" s="3">
        <f>IF(ORIG!O2310=0,"",ORIG!O2310)</f>
        <v/>
      </c>
      <c r="P2310" s="3">
        <f>IF(ORIG!P2310=0,"",ORIG!P2310)</f>
        <v/>
      </c>
      <c r="Q2310" s="3">
        <f>IF(ORIG!Q2310=0,"",ORIG!Q2310)</f>
        <v/>
      </c>
      <c r="R2310" s="3">
        <f>IF(ORIG!R2310=0,"",ORIG!R2310)</f>
        <v/>
      </c>
      <c r="S2310" s="3">
        <f>IF(ORIG!S2310=0,"",ORIG!S2310)</f>
        <v/>
      </c>
      <c r="T2310" s="3">
        <f>IF(ORIG!T2310=0,"",ORIG!T2310)</f>
        <v/>
      </c>
      <c r="U2310" s="3">
        <f>IF(ORIG!U2310=0,"",ORIG!U2310)</f>
        <v/>
      </c>
      <c r="V2310" s="9">
        <f>IF(ORIG!V2310=0,"",ORIG!V2310)</f>
        <v/>
      </c>
      <c r="W2310" s="9">
        <f>IF(ORIG!W2310=0,"",ORIG!W2310)</f>
        <v/>
      </c>
      <c r="X2310" s="9">
        <f>IF(ORIG!X2310=0,"",ORIG!X2310)</f>
        <v/>
      </c>
      <c r="Y2310" s="9">
        <f>IF(ORIG!Y2310=0,"",ORIG!Y2310)</f>
        <v/>
      </c>
      <c r="Z2310" s="3">
        <f>SUMPRODUCT($B2310:$Y2310,$B$2649:$Y$2649)</f>
        <v/>
      </c>
      <c r="AA2310" s="3">
        <f>SUMPRODUCT($B2310:$Y2310,$B$2655:$Y$2655)</f>
        <v/>
      </c>
      <c r="AC2310" s="1">
        <f>A2310</f>
        <v/>
      </c>
      <c r="AD2310">
        <f>IF(ISNUMBER(V2310),V2310*($AB$1/V$2635),"")</f>
        <v/>
      </c>
      <c r="AE2310">
        <f>IF(ISNUMBER(Z2310),Z2310*($AB$1/Z$2635),"")</f>
        <v/>
      </c>
      <c r="AF2310" s="25">
        <f>IF(ISNUMBER(AD2310+AE2310),AD2310+AE2310,"")</f>
        <v/>
      </c>
      <c r="AH2310" s="1">
        <f>A2310</f>
        <v/>
      </c>
      <c r="AI2310">
        <f>IF(ISNUMBER((1+V2310)*AI2309),(1+V2310)*AI2309,AI2309)</f>
        <v/>
      </c>
      <c r="AJ2310">
        <f>IF(ISNUMBER((1+Z2310)*AJ2309),(1+Z2310)*AJ2309,AJ2309)</f>
        <v/>
      </c>
    </row>
    <row r="2311">
      <c r="A2311" s="1" t="n">
        <v>45357</v>
      </c>
      <c r="B2311" s="3">
        <f>IF(ORIG!B2311=0,"",ORIG!B2311)</f>
        <v/>
      </c>
      <c r="C2311" s="3">
        <f>IF(ORIG!C2311=0,"",ORIG!C2311)</f>
        <v/>
      </c>
      <c r="D2311" s="3">
        <f>IF(ORIG!D2311=0,"",ORIG!D2311)</f>
        <v/>
      </c>
      <c r="E2311" s="3">
        <f>IF(ORIG!E2311=0,"",ORIG!E2311)</f>
        <v/>
      </c>
      <c r="F2311" s="3">
        <f>IF(ORIG!F2311=0,"",ORIG!F2311)</f>
        <v/>
      </c>
      <c r="G2311" s="3">
        <f>IF(ORIG!G2311=0,"",ORIG!G2311)</f>
        <v/>
      </c>
      <c r="H2311" s="3">
        <f>IF(ORIG!H2311=0,"",ORIG!H2311)</f>
        <v/>
      </c>
      <c r="I2311" s="3">
        <f>IF(ORIG!I2311=0,"",ORIG!I2311)</f>
        <v/>
      </c>
      <c r="J2311" s="3">
        <f>IF(ORIG!J2311=0,"",ORIG!J2311)</f>
        <v/>
      </c>
      <c r="K2311" s="3">
        <f>IF(ORIG!K2311=0,"",ORIG!K2311)</f>
        <v/>
      </c>
      <c r="L2311" s="3">
        <f>IF(ORIG!L2311=0,"",ORIG!L2311)</f>
        <v/>
      </c>
      <c r="M2311" s="3">
        <f>IF(ORIG!M2311=0,"",ORIG!M2311)</f>
        <v/>
      </c>
      <c r="N2311" s="3">
        <f>IF(ORIG!N2311=0,"",ORIG!N2311)</f>
        <v/>
      </c>
      <c r="O2311" s="3">
        <f>IF(ORIG!O2311=0,"",ORIG!O2311)</f>
        <v/>
      </c>
      <c r="P2311" s="3">
        <f>IF(ORIG!P2311=0,"",ORIG!P2311)</f>
        <v/>
      </c>
      <c r="Q2311" s="3">
        <f>IF(ORIG!Q2311=0,"",ORIG!Q2311)</f>
        <v/>
      </c>
      <c r="R2311" s="3">
        <f>IF(ORIG!R2311=0,"",ORIG!R2311)</f>
        <v/>
      </c>
      <c r="S2311" s="3">
        <f>IF(ORIG!S2311=0,"",ORIG!S2311)</f>
        <v/>
      </c>
      <c r="T2311" s="3">
        <f>IF(ORIG!T2311=0,"",ORIG!T2311)</f>
        <v/>
      </c>
      <c r="U2311" s="3">
        <f>IF(ORIG!U2311=0,"",ORIG!U2311)</f>
        <v/>
      </c>
      <c r="V2311" s="9">
        <f>IF(ORIG!V2311=0,"",ORIG!V2311)</f>
        <v/>
      </c>
      <c r="W2311" s="9">
        <f>IF(ORIG!W2311=0,"",ORIG!W2311)</f>
        <v/>
      </c>
      <c r="X2311" s="9">
        <f>IF(ORIG!X2311=0,"",ORIG!X2311)</f>
        <v/>
      </c>
      <c r="Y2311" s="9">
        <f>IF(ORIG!Y2311=0,"",ORIG!Y2311)</f>
        <v/>
      </c>
      <c r="Z2311" s="3">
        <f>SUMPRODUCT($B2311:$Y2311,$B$2649:$Y$2649)</f>
        <v/>
      </c>
      <c r="AA2311" s="3">
        <f>SUMPRODUCT($B2311:$Y2311,$B$2655:$Y$2655)</f>
        <v/>
      </c>
      <c r="AC2311" s="1">
        <f>A2311</f>
        <v/>
      </c>
      <c r="AD2311">
        <f>IF(ISNUMBER(V2311),V2311*($AB$1/V$2635),"")</f>
        <v/>
      </c>
      <c r="AE2311">
        <f>IF(ISNUMBER(Z2311),Z2311*($AB$1/Z$2635),"")</f>
        <v/>
      </c>
      <c r="AF2311" s="25">
        <f>IF(ISNUMBER(AD2311+AE2311),AD2311+AE2311,"")</f>
        <v/>
      </c>
      <c r="AH2311" s="1">
        <f>A2311</f>
        <v/>
      </c>
      <c r="AI2311">
        <f>IF(ISNUMBER((1+V2311)*AI2310),(1+V2311)*AI2310,AI2310)</f>
        <v/>
      </c>
      <c r="AJ2311">
        <f>IF(ISNUMBER((1+Z2311)*AJ2310),(1+Z2311)*AJ2310,AJ2310)</f>
        <v/>
      </c>
    </row>
    <row r="2312">
      <c r="A2312" s="1" t="n">
        <v>45358</v>
      </c>
      <c r="B2312" s="3">
        <f>IF(ORIG!B2312=0,"",ORIG!B2312)</f>
        <v/>
      </c>
      <c r="C2312" s="3">
        <f>IF(ORIG!C2312=0,"",ORIG!C2312)</f>
        <v/>
      </c>
      <c r="D2312" s="3">
        <f>IF(ORIG!D2312=0,"",ORIG!D2312)</f>
        <v/>
      </c>
      <c r="E2312" s="3">
        <f>IF(ORIG!E2312=0,"",ORIG!E2312)</f>
        <v/>
      </c>
      <c r="F2312" s="3">
        <f>IF(ORIG!F2312=0,"",ORIG!F2312)</f>
        <v/>
      </c>
      <c r="G2312" s="3">
        <f>IF(ORIG!G2312=0,"",ORIG!G2312)</f>
        <v/>
      </c>
      <c r="H2312" s="3">
        <f>IF(ORIG!H2312=0,"",ORIG!H2312)</f>
        <v/>
      </c>
      <c r="I2312" s="3">
        <f>IF(ORIG!I2312=0,"",ORIG!I2312)</f>
        <v/>
      </c>
      <c r="J2312" s="3">
        <f>IF(ORIG!J2312=0,"",ORIG!J2312)</f>
        <v/>
      </c>
      <c r="K2312" s="3">
        <f>IF(ORIG!K2312=0,"",ORIG!K2312)</f>
        <v/>
      </c>
      <c r="L2312" s="3">
        <f>IF(ORIG!L2312=0,"",ORIG!L2312)</f>
        <v/>
      </c>
      <c r="M2312" s="3">
        <f>IF(ORIG!M2312=0,"",ORIG!M2312)</f>
        <v/>
      </c>
      <c r="N2312" s="3">
        <f>IF(ORIG!N2312=0,"",ORIG!N2312)</f>
        <v/>
      </c>
      <c r="O2312" s="3">
        <f>IF(ORIG!O2312=0,"",ORIG!O2312)</f>
        <v/>
      </c>
      <c r="P2312" s="3">
        <f>IF(ORIG!P2312=0,"",ORIG!P2312)</f>
        <v/>
      </c>
      <c r="Q2312" s="3">
        <f>IF(ORIG!Q2312=0,"",ORIG!Q2312)</f>
        <v/>
      </c>
      <c r="R2312" s="3">
        <f>IF(ORIG!R2312=0,"",ORIG!R2312)</f>
        <v/>
      </c>
      <c r="S2312" s="3">
        <f>IF(ORIG!S2312=0,"",ORIG!S2312)</f>
        <v/>
      </c>
      <c r="T2312" s="3">
        <f>IF(ORIG!T2312=0,"",ORIG!T2312)</f>
        <v/>
      </c>
      <c r="U2312" s="3">
        <f>IF(ORIG!U2312=0,"",ORIG!U2312)</f>
        <v/>
      </c>
      <c r="V2312" s="9">
        <f>IF(ORIG!V2312=0,"",ORIG!V2312)</f>
        <v/>
      </c>
      <c r="W2312" s="9">
        <f>IF(ORIG!W2312=0,"",ORIG!W2312)</f>
        <v/>
      </c>
      <c r="X2312" s="9">
        <f>IF(ORIG!X2312=0,"",ORIG!X2312)</f>
        <v/>
      </c>
      <c r="Y2312" s="9">
        <f>IF(ORIG!Y2312=0,"",ORIG!Y2312)</f>
        <v/>
      </c>
      <c r="Z2312" s="3">
        <f>SUMPRODUCT($B2312:$Y2312,$B$2649:$Y$2649)</f>
        <v/>
      </c>
      <c r="AA2312" s="3">
        <f>SUMPRODUCT($B2312:$Y2312,$B$2655:$Y$2655)</f>
        <v/>
      </c>
      <c r="AC2312" s="1">
        <f>A2312</f>
        <v/>
      </c>
      <c r="AD2312">
        <f>IF(ISNUMBER(V2312),V2312*($AB$1/V$2635),"")</f>
        <v/>
      </c>
      <c r="AE2312">
        <f>IF(ISNUMBER(Z2312),Z2312*($AB$1/Z$2635),"")</f>
        <v/>
      </c>
      <c r="AF2312" s="25">
        <f>IF(ISNUMBER(AD2312+AE2312),AD2312+AE2312,"")</f>
        <v/>
      </c>
      <c r="AH2312" s="1">
        <f>A2312</f>
        <v/>
      </c>
      <c r="AI2312">
        <f>IF(ISNUMBER((1+V2312)*AI2311),(1+V2312)*AI2311,AI2311)</f>
        <v/>
      </c>
      <c r="AJ2312">
        <f>IF(ISNUMBER((1+Z2312)*AJ2311),(1+Z2312)*AJ2311,AJ2311)</f>
        <v/>
      </c>
    </row>
    <row r="2313">
      <c r="A2313" s="1" t="n">
        <v>45359</v>
      </c>
      <c r="B2313" s="3">
        <f>IF(ORIG!B2313=0,"",ORIG!B2313)</f>
        <v/>
      </c>
      <c r="C2313" s="3">
        <f>IF(ORIG!C2313=0,"",ORIG!C2313)</f>
        <v/>
      </c>
      <c r="D2313" s="3">
        <f>IF(ORIG!D2313=0,"",ORIG!D2313)</f>
        <v/>
      </c>
      <c r="E2313" s="3">
        <f>IF(ORIG!E2313=0,"",ORIG!E2313)</f>
        <v/>
      </c>
      <c r="F2313" s="3">
        <f>IF(ORIG!F2313=0,"",ORIG!F2313)</f>
        <v/>
      </c>
      <c r="G2313" s="3">
        <f>IF(ORIG!G2313=0,"",ORIG!G2313)</f>
        <v/>
      </c>
      <c r="H2313" s="3">
        <f>IF(ORIG!H2313=0,"",ORIG!H2313)</f>
        <v/>
      </c>
      <c r="I2313" s="3">
        <f>IF(ORIG!I2313=0,"",ORIG!I2313)</f>
        <v/>
      </c>
      <c r="J2313" s="3">
        <f>IF(ORIG!J2313=0,"",ORIG!J2313)</f>
        <v/>
      </c>
      <c r="K2313" s="3">
        <f>IF(ORIG!K2313=0,"",ORIG!K2313)</f>
        <v/>
      </c>
      <c r="L2313" s="3">
        <f>IF(ORIG!L2313=0,"",ORIG!L2313)</f>
        <v/>
      </c>
      <c r="M2313" s="3">
        <f>IF(ORIG!M2313=0,"",ORIG!M2313)</f>
        <v/>
      </c>
      <c r="N2313" s="3">
        <f>IF(ORIG!N2313=0,"",ORIG!N2313)</f>
        <v/>
      </c>
      <c r="O2313" s="3">
        <f>IF(ORIG!O2313=0,"",ORIG!O2313)</f>
        <v/>
      </c>
      <c r="P2313" s="3">
        <f>IF(ORIG!P2313=0,"",ORIG!P2313)</f>
        <v/>
      </c>
      <c r="Q2313" s="3">
        <f>IF(ORIG!Q2313=0,"",ORIG!Q2313)</f>
        <v/>
      </c>
      <c r="R2313" s="3">
        <f>IF(ORIG!R2313=0,"",ORIG!R2313)</f>
        <v/>
      </c>
      <c r="S2313" s="3">
        <f>IF(ORIG!S2313=0,"",ORIG!S2313)</f>
        <v/>
      </c>
      <c r="T2313" s="3">
        <f>IF(ORIG!T2313=0,"",ORIG!T2313)</f>
        <v/>
      </c>
      <c r="U2313" s="3">
        <f>IF(ORIG!U2313=0,"",ORIG!U2313)</f>
        <v/>
      </c>
      <c r="V2313" s="9">
        <f>IF(ORIG!V2313=0,"",ORIG!V2313)</f>
        <v/>
      </c>
      <c r="W2313" s="9">
        <f>IF(ORIG!W2313=0,"",ORIG!W2313)</f>
        <v/>
      </c>
      <c r="X2313" s="9">
        <f>IF(ORIG!X2313=0,"",ORIG!X2313)</f>
        <v/>
      </c>
      <c r="Y2313" s="9">
        <f>IF(ORIG!Y2313=0,"",ORIG!Y2313)</f>
        <v/>
      </c>
      <c r="Z2313" s="3">
        <f>SUMPRODUCT($B2313:$Y2313,$B$2649:$Y$2649)</f>
        <v/>
      </c>
      <c r="AA2313" s="3">
        <f>SUMPRODUCT($B2313:$Y2313,$B$2655:$Y$2655)</f>
        <v/>
      </c>
      <c r="AC2313" s="1">
        <f>A2313</f>
        <v/>
      </c>
      <c r="AD2313">
        <f>IF(ISNUMBER(V2313),V2313*($AB$1/V$2635),"")</f>
        <v/>
      </c>
      <c r="AE2313">
        <f>IF(ISNUMBER(Z2313),Z2313*($AB$1/Z$2635),"")</f>
        <v/>
      </c>
      <c r="AF2313" s="25">
        <f>IF(ISNUMBER(AD2313+AE2313),AD2313+AE2313,"")</f>
        <v/>
      </c>
      <c r="AH2313" s="1">
        <f>A2313</f>
        <v/>
      </c>
      <c r="AI2313">
        <f>IF(ISNUMBER((1+V2313)*AI2312),(1+V2313)*AI2312,AI2312)</f>
        <v/>
      </c>
      <c r="AJ2313">
        <f>IF(ISNUMBER((1+Z2313)*AJ2312),(1+Z2313)*AJ2312,AJ2312)</f>
        <v/>
      </c>
    </row>
    <row r="2314">
      <c r="A2314" s="1" t="n">
        <v>45362</v>
      </c>
      <c r="B2314" s="3">
        <f>IF(ORIG!B2314=0,"",ORIG!B2314)</f>
        <v/>
      </c>
      <c r="C2314" s="3">
        <f>IF(ORIG!C2314=0,"",ORIG!C2314)</f>
        <v/>
      </c>
      <c r="D2314" s="3">
        <f>IF(ORIG!D2314=0,"",ORIG!D2314)</f>
        <v/>
      </c>
      <c r="E2314" s="3">
        <f>IF(ORIG!E2314=0,"",ORIG!E2314)</f>
        <v/>
      </c>
      <c r="F2314" s="3">
        <f>IF(ORIG!F2314=0,"",ORIG!F2314)</f>
        <v/>
      </c>
      <c r="G2314" s="3">
        <f>IF(ORIG!G2314=0,"",ORIG!G2314)</f>
        <v/>
      </c>
      <c r="H2314" s="3">
        <f>IF(ORIG!H2314=0,"",ORIG!H2314)</f>
        <v/>
      </c>
      <c r="I2314" s="3">
        <f>IF(ORIG!I2314=0,"",ORIG!I2314)</f>
        <v/>
      </c>
      <c r="J2314" s="3">
        <f>IF(ORIG!J2314=0,"",ORIG!J2314)</f>
        <v/>
      </c>
      <c r="K2314" s="3">
        <f>IF(ORIG!K2314=0,"",ORIG!K2314)</f>
        <v/>
      </c>
      <c r="L2314" s="3">
        <f>IF(ORIG!L2314=0,"",ORIG!L2314)</f>
        <v/>
      </c>
      <c r="M2314" s="3">
        <f>IF(ORIG!M2314=0,"",ORIG!M2314)</f>
        <v/>
      </c>
      <c r="N2314" s="3">
        <f>IF(ORIG!N2314=0,"",ORIG!N2314)</f>
        <v/>
      </c>
      <c r="O2314" s="3">
        <f>IF(ORIG!O2314=0,"",ORIG!O2314)</f>
        <v/>
      </c>
      <c r="P2314" s="3">
        <f>IF(ORIG!P2314=0,"",ORIG!P2314)</f>
        <v/>
      </c>
      <c r="Q2314" s="3">
        <f>IF(ORIG!Q2314=0,"",ORIG!Q2314)</f>
        <v/>
      </c>
      <c r="R2314" s="3">
        <f>IF(ORIG!R2314=0,"",ORIG!R2314)</f>
        <v/>
      </c>
      <c r="S2314" s="3">
        <f>IF(ORIG!S2314=0,"",ORIG!S2314)</f>
        <v/>
      </c>
      <c r="T2314" s="3">
        <f>IF(ORIG!T2314=0,"",ORIG!T2314)</f>
        <v/>
      </c>
      <c r="U2314" s="3">
        <f>IF(ORIG!U2314=0,"",ORIG!U2314)</f>
        <v/>
      </c>
      <c r="V2314" s="9">
        <f>IF(ORIG!V2314=0,"",ORIG!V2314)</f>
        <v/>
      </c>
      <c r="W2314" s="9">
        <f>IF(ORIG!W2314=0,"",ORIG!W2314)</f>
        <v/>
      </c>
      <c r="X2314" s="9">
        <f>IF(ORIG!X2314=0,"",ORIG!X2314)</f>
        <v/>
      </c>
      <c r="Y2314" s="9">
        <f>IF(ORIG!Y2314=0,"",ORIG!Y2314)</f>
        <v/>
      </c>
      <c r="Z2314" s="3">
        <f>SUMPRODUCT($B2314:$Y2314,$B$2649:$Y$2649)</f>
        <v/>
      </c>
      <c r="AA2314" s="3">
        <f>SUMPRODUCT($B2314:$Y2314,$B$2655:$Y$2655)</f>
        <v/>
      </c>
      <c r="AC2314" s="1">
        <f>A2314</f>
        <v/>
      </c>
      <c r="AD2314">
        <f>IF(ISNUMBER(V2314),V2314*($AB$1/V$2635),"")</f>
        <v/>
      </c>
      <c r="AE2314">
        <f>IF(ISNUMBER(Z2314),Z2314*($AB$1/Z$2635),"")</f>
        <v/>
      </c>
      <c r="AF2314" s="25">
        <f>IF(ISNUMBER(AD2314+AE2314),AD2314+AE2314,"")</f>
        <v/>
      </c>
      <c r="AH2314" s="1">
        <f>A2314</f>
        <v/>
      </c>
      <c r="AI2314">
        <f>IF(ISNUMBER((1+V2314)*AI2313),(1+V2314)*AI2313,AI2313)</f>
        <v/>
      </c>
      <c r="AJ2314">
        <f>IF(ISNUMBER((1+Z2314)*AJ2313),(1+Z2314)*AJ2313,AJ2313)</f>
        <v/>
      </c>
    </row>
    <row r="2315">
      <c r="A2315" s="1" t="n">
        <v>45363</v>
      </c>
      <c r="B2315" s="3">
        <f>IF(ORIG!B2315=0,"",ORIG!B2315)</f>
        <v/>
      </c>
      <c r="C2315" s="3">
        <f>IF(ORIG!C2315=0,"",ORIG!C2315)</f>
        <v/>
      </c>
      <c r="D2315" s="3">
        <f>IF(ORIG!D2315=0,"",ORIG!D2315)</f>
        <v/>
      </c>
      <c r="E2315" s="3">
        <f>IF(ORIG!E2315=0,"",ORIG!E2315)</f>
        <v/>
      </c>
      <c r="F2315" s="3">
        <f>IF(ORIG!F2315=0,"",ORIG!F2315)</f>
        <v/>
      </c>
      <c r="G2315" s="3">
        <f>IF(ORIG!G2315=0,"",ORIG!G2315)</f>
        <v/>
      </c>
      <c r="H2315" s="3">
        <f>IF(ORIG!H2315=0,"",ORIG!H2315)</f>
        <v/>
      </c>
      <c r="I2315" s="3">
        <f>IF(ORIG!I2315=0,"",ORIG!I2315)</f>
        <v/>
      </c>
      <c r="J2315" s="3">
        <f>IF(ORIG!J2315=0,"",ORIG!J2315)</f>
        <v/>
      </c>
      <c r="K2315" s="3">
        <f>IF(ORIG!K2315=0,"",ORIG!K2315)</f>
        <v/>
      </c>
      <c r="L2315" s="3">
        <f>IF(ORIG!L2315=0,"",ORIG!L2315)</f>
        <v/>
      </c>
      <c r="M2315" s="3">
        <f>IF(ORIG!M2315=0,"",ORIG!M2315)</f>
        <v/>
      </c>
      <c r="N2315" s="3">
        <f>IF(ORIG!N2315=0,"",ORIG!N2315)</f>
        <v/>
      </c>
      <c r="O2315" s="3">
        <f>IF(ORIG!O2315=0,"",ORIG!O2315)</f>
        <v/>
      </c>
      <c r="P2315" s="3">
        <f>IF(ORIG!P2315=0,"",ORIG!P2315)</f>
        <v/>
      </c>
      <c r="Q2315" s="3">
        <f>IF(ORIG!Q2315=0,"",ORIG!Q2315)</f>
        <v/>
      </c>
      <c r="R2315" s="3">
        <f>IF(ORIG!R2315=0,"",ORIG!R2315)</f>
        <v/>
      </c>
      <c r="S2315" s="3">
        <f>IF(ORIG!S2315=0,"",ORIG!S2315)</f>
        <v/>
      </c>
      <c r="T2315" s="3">
        <f>IF(ORIG!T2315=0,"",ORIG!T2315)</f>
        <v/>
      </c>
      <c r="U2315" s="3">
        <f>IF(ORIG!U2315=0,"",ORIG!U2315)</f>
        <v/>
      </c>
      <c r="V2315" s="9">
        <f>IF(ORIG!V2315=0,"",ORIG!V2315)</f>
        <v/>
      </c>
      <c r="W2315" s="9">
        <f>IF(ORIG!W2315=0,"",ORIG!W2315)</f>
        <v/>
      </c>
      <c r="X2315" s="9">
        <f>IF(ORIG!X2315=0,"",ORIG!X2315)</f>
        <v/>
      </c>
      <c r="Y2315" s="9">
        <f>IF(ORIG!Y2315=0,"",ORIG!Y2315)</f>
        <v/>
      </c>
      <c r="Z2315" s="3">
        <f>SUMPRODUCT($B2315:$Y2315,$B$2649:$Y$2649)</f>
        <v/>
      </c>
      <c r="AA2315" s="3">
        <f>SUMPRODUCT($B2315:$Y2315,$B$2655:$Y$2655)</f>
        <v/>
      </c>
      <c r="AC2315" s="1">
        <f>A2315</f>
        <v/>
      </c>
      <c r="AD2315">
        <f>IF(ISNUMBER(V2315),V2315*($AB$1/V$2635),"")</f>
        <v/>
      </c>
      <c r="AE2315">
        <f>IF(ISNUMBER(Z2315),Z2315*($AB$1/Z$2635),"")</f>
        <v/>
      </c>
      <c r="AF2315" s="25">
        <f>IF(ISNUMBER(AD2315+AE2315),AD2315+AE2315,"")</f>
        <v/>
      </c>
      <c r="AH2315" s="1">
        <f>A2315</f>
        <v/>
      </c>
      <c r="AI2315">
        <f>IF(ISNUMBER((1+V2315)*AI2314),(1+V2315)*AI2314,AI2314)</f>
        <v/>
      </c>
      <c r="AJ2315">
        <f>IF(ISNUMBER((1+Z2315)*AJ2314),(1+Z2315)*AJ2314,AJ2314)</f>
        <v/>
      </c>
    </row>
    <row r="2316">
      <c r="A2316" s="1" t="n">
        <v>45364</v>
      </c>
      <c r="B2316" s="3">
        <f>IF(ORIG!B2316=0,"",ORIG!B2316)</f>
        <v/>
      </c>
      <c r="C2316" s="3">
        <f>IF(ORIG!C2316=0,"",ORIG!C2316)</f>
        <v/>
      </c>
      <c r="D2316" s="3">
        <f>IF(ORIG!D2316=0,"",ORIG!D2316)</f>
        <v/>
      </c>
      <c r="E2316" s="3">
        <f>IF(ORIG!E2316=0,"",ORIG!E2316)</f>
        <v/>
      </c>
      <c r="F2316" s="3">
        <f>IF(ORIG!F2316=0,"",ORIG!F2316)</f>
        <v/>
      </c>
      <c r="G2316" s="3">
        <f>IF(ORIG!G2316=0,"",ORIG!G2316)</f>
        <v/>
      </c>
      <c r="H2316" s="3">
        <f>IF(ORIG!H2316=0,"",ORIG!H2316)</f>
        <v/>
      </c>
      <c r="I2316" s="3">
        <f>IF(ORIG!I2316=0,"",ORIG!I2316)</f>
        <v/>
      </c>
      <c r="J2316" s="3">
        <f>IF(ORIG!J2316=0,"",ORIG!J2316)</f>
        <v/>
      </c>
      <c r="K2316" s="3">
        <f>IF(ORIG!K2316=0,"",ORIG!K2316)</f>
        <v/>
      </c>
      <c r="L2316" s="3">
        <f>IF(ORIG!L2316=0,"",ORIG!L2316)</f>
        <v/>
      </c>
      <c r="M2316" s="3">
        <f>IF(ORIG!M2316=0,"",ORIG!M2316)</f>
        <v/>
      </c>
      <c r="N2316" s="3">
        <f>IF(ORIG!N2316=0,"",ORIG!N2316)</f>
        <v/>
      </c>
      <c r="O2316" s="3">
        <f>IF(ORIG!O2316=0,"",ORIG!O2316)</f>
        <v/>
      </c>
      <c r="P2316" s="3">
        <f>IF(ORIG!P2316=0,"",ORIG!P2316)</f>
        <v/>
      </c>
      <c r="Q2316" s="3">
        <f>IF(ORIG!Q2316=0,"",ORIG!Q2316)</f>
        <v/>
      </c>
      <c r="R2316" s="3">
        <f>IF(ORIG!R2316=0,"",ORIG!R2316)</f>
        <v/>
      </c>
      <c r="S2316" s="3">
        <f>IF(ORIG!S2316=0,"",ORIG!S2316)</f>
        <v/>
      </c>
      <c r="T2316" s="3">
        <f>IF(ORIG!T2316=0,"",ORIG!T2316)</f>
        <v/>
      </c>
      <c r="U2316" s="3">
        <f>IF(ORIG!U2316=0,"",ORIG!U2316)</f>
        <v/>
      </c>
      <c r="V2316" s="9">
        <f>IF(ORIG!V2316=0,"",ORIG!V2316)</f>
        <v/>
      </c>
      <c r="W2316" s="9">
        <f>IF(ORIG!W2316=0,"",ORIG!W2316)</f>
        <v/>
      </c>
      <c r="X2316" s="9">
        <f>IF(ORIG!X2316=0,"",ORIG!X2316)</f>
        <v/>
      </c>
      <c r="Y2316" s="9">
        <f>IF(ORIG!Y2316=0,"",ORIG!Y2316)</f>
        <v/>
      </c>
      <c r="Z2316" s="3">
        <f>SUMPRODUCT($B2316:$Y2316,$B$2649:$Y$2649)</f>
        <v/>
      </c>
      <c r="AA2316" s="3">
        <f>SUMPRODUCT($B2316:$Y2316,$B$2655:$Y$2655)</f>
        <v/>
      </c>
      <c r="AC2316" s="1">
        <f>A2316</f>
        <v/>
      </c>
      <c r="AD2316">
        <f>IF(ISNUMBER(V2316),V2316*($AB$1/V$2635),"")</f>
        <v/>
      </c>
      <c r="AE2316">
        <f>IF(ISNUMBER(Z2316),Z2316*($AB$1/Z$2635),"")</f>
        <v/>
      </c>
      <c r="AF2316" s="25">
        <f>IF(ISNUMBER(AD2316+AE2316),AD2316+AE2316,"")</f>
        <v/>
      </c>
      <c r="AH2316" s="1">
        <f>A2316</f>
        <v/>
      </c>
      <c r="AI2316">
        <f>IF(ISNUMBER((1+V2316)*AI2315),(1+V2316)*AI2315,AI2315)</f>
        <v/>
      </c>
      <c r="AJ2316">
        <f>IF(ISNUMBER((1+Z2316)*AJ2315),(1+Z2316)*AJ2315,AJ2315)</f>
        <v/>
      </c>
    </row>
    <row r="2317">
      <c r="A2317" s="1" t="n">
        <v>45365</v>
      </c>
      <c r="B2317" s="3">
        <f>IF(ORIG!B2317=0,"",ORIG!B2317)</f>
        <v/>
      </c>
      <c r="C2317" s="3">
        <f>IF(ORIG!C2317=0,"",ORIG!C2317)</f>
        <v/>
      </c>
      <c r="D2317" s="3">
        <f>IF(ORIG!D2317=0,"",ORIG!D2317)</f>
        <v/>
      </c>
      <c r="E2317" s="3">
        <f>IF(ORIG!E2317=0,"",ORIG!E2317)</f>
        <v/>
      </c>
      <c r="F2317" s="3">
        <f>IF(ORIG!F2317=0,"",ORIG!F2317)</f>
        <v/>
      </c>
      <c r="G2317" s="3">
        <f>IF(ORIG!G2317=0,"",ORIG!G2317)</f>
        <v/>
      </c>
      <c r="H2317" s="3">
        <f>IF(ORIG!H2317=0,"",ORIG!H2317)</f>
        <v/>
      </c>
      <c r="I2317" s="3">
        <f>IF(ORIG!I2317=0,"",ORIG!I2317)</f>
        <v/>
      </c>
      <c r="J2317" s="3">
        <f>IF(ORIG!J2317=0,"",ORIG!J2317)</f>
        <v/>
      </c>
      <c r="K2317" s="3">
        <f>IF(ORIG!K2317=0,"",ORIG!K2317)</f>
        <v/>
      </c>
      <c r="L2317" s="3">
        <f>IF(ORIG!L2317=0,"",ORIG!L2317)</f>
        <v/>
      </c>
      <c r="M2317" s="3">
        <f>IF(ORIG!M2317=0,"",ORIG!M2317)</f>
        <v/>
      </c>
      <c r="N2317" s="3">
        <f>IF(ORIG!N2317=0,"",ORIG!N2317)</f>
        <v/>
      </c>
      <c r="O2317" s="3">
        <f>IF(ORIG!O2317=0,"",ORIG!O2317)</f>
        <v/>
      </c>
      <c r="P2317" s="3">
        <f>IF(ORIG!P2317=0,"",ORIG!P2317)</f>
        <v/>
      </c>
      <c r="Q2317" s="3">
        <f>IF(ORIG!Q2317=0,"",ORIG!Q2317)</f>
        <v/>
      </c>
      <c r="R2317" s="3">
        <f>IF(ORIG!R2317=0,"",ORIG!R2317)</f>
        <v/>
      </c>
      <c r="S2317" s="3">
        <f>IF(ORIG!S2317=0,"",ORIG!S2317)</f>
        <v/>
      </c>
      <c r="T2317" s="3">
        <f>IF(ORIG!T2317=0,"",ORIG!T2317)</f>
        <v/>
      </c>
      <c r="U2317" s="3">
        <f>IF(ORIG!U2317=0,"",ORIG!U2317)</f>
        <v/>
      </c>
      <c r="V2317" s="9">
        <f>IF(ORIG!V2317=0,"",ORIG!V2317)</f>
        <v/>
      </c>
      <c r="W2317" s="9">
        <f>IF(ORIG!W2317=0,"",ORIG!W2317)</f>
        <v/>
      </c>
      <c r="X2317" s="9">
        <f>IF(ORIG!X2317=0,"",ORIG!X2317)</f>
        <v/>
      </c>
      <c r="Y2317" s="9">
        <f>IF(ORIG!Y2317=0,"",ORIG!Y2317)</f>
        <v/>
      </c>
      <c r="Z2317" s="3">
        <f>SUMPRODUCT($B2317:$Y2317,$B$2649:$Y$2649)</f>
        <v/>
      </c>
      <c r="AA2317" s="3">
        <f>SUMPRODUCT($B2317:$Y2317,$B$2655:$Y$2655)</f>
        <v/>
      </c>
      <c r="AC2317" s="1">
        <f>A2317</f>
        <v/>
      </c>
      <c r="AD2317">
        <f>IF(ISNUMBER(V2317),V2317*($AB$1/V$2635),"")</f>
        <v/>
      </c>
      <c r="AE2317">
        <f>IF(ISNUMBER(Z2317),Z2317*($AB$1/Z$2635),"")</f>
        <v/>
      </c>
      <c r="AF2317" s="25">
        <f>IF(ISNUMBER(AD2317+AE2317),AD2317+AE2317,"")</f>
        <v/>
      </c>
      <c r="AH2317" s="1">
        <f>A2317</f>
        <v/>
      </c>
      <c r="AI2317">
        <f>IF(ISNUMBER((1+V2317)*AI2316),(1+V2317)*AI2316,AI2316)</f>
        <v/>
      </c>
      <c r="AJ2317">
        <f>IF(ISNUMBER((1+Z2317)*AJ2316),(1+Z2317)*AJ2316,AJ2316)</f>
        <v/>
      </c>
    </row>
    <row r="2318">
      <c r="A2318" s="1" t="n">
        <v>45366</v>
      </c>
      <c r="B2318" s="3">
        <f>IF(ORIG!B2318=0,"",ORIG!B2318)</f>
        <v/>
      </c>
      <c r="C2318" s="3">
        <f>IF(ORIG!C2318=0,"",ORIG!C2318)</f>
        <v/>
      </c>
      <c r="D2318" s="3">
        <f>IF(ORIG!D2318=0,"",ORIG!D2318)</f>
        <v/>
      </c>
      <c r="E2318" s="3">
        <f>IF(ORIG!E2318=0,"",ORIG!E2318)</f>
        <v/>
      </c>
      <c r="F2318" s="3">
        <f>IF(ORIG!F2318=0,"",ORIG!F2318)</f>
        <v/>
      </c>
      <c r="G2318" s="3">
        <f>IF(ORIG!G2318=0,"",ORIG!G2318)</f>
        <v/>
      </c>
      <c r="H2318" s="3">
        <f>IF(ORIG!H2318=0,"",ORIG!H2318)</f>
        <v/>
      </c>
      <c r="I2318" s="3">
        <f>IF(ORIG!I2318=0,"",ORIG!I2318)</f>
        <v/>
      </c>
      <c r="J2318" s="3">
        <f>IF(ORIG!J2318=0,"",ORIG!J2318)</f>
        <v/>
      </c>
      <c r="K2318" s="3">
        <f>IF(ORIG!K2318=0,"",ORIG!K2318)</f>
        <v/>
      </c>
      <c r="L2318" s="3">
        <f>IF(ORIG!L2318=0,"",ORIG!L2318)</f>
        <v/>
      </c>
      <c r="M2318" s="3">
        <f>IF(ORIG!M2318=0,"",ORIG!M2318)</f>
        <v/>
      </c>
      <c r="N2318" s="3">
        <f>IF(ORIG!N2318=0,"",ORIG!N2318)</f>
        <v/>
      </c>
      <c r="O2318" s="3">
        <f>IF(ORIG!O2318=0,"",ORIG!O2318)</f>
        <v/>
      </c>
      <c r="P2318" s="3">
        <f>IF(ORIG!P2318=0,"",ORIG!P2318)</f>
        <v/>
      </c>
      <c r="Q2318" s="3">
        <f>IF(ORIG!Q2318=0,"",ORIG!Q2318)</f>
        <v/>
      </c>
      <c r="R2318" s="3">
        <f>IF(ORIG!R2318=0,"",ORIG!R2318)</f>
        <v/>
      </c>
      <c r="S2318" s="3">
        <f>IF(ORIG!S2318=0,"",ORIG!S2318)</f>
        <v/>
      </c>
      <c r="T2318" s="3">
        <f>IF(ORIG!T2318=0,"",ORIG!T2318)</f>
        <v/>
      </c>
      <c r="U2318" s="3">
        <f>IF(ORIG!U2318=0,"",ORIG!U2318)</f>
        <v/>
      </c>
      <c r="V2318" s="9">
        <f>IF(ORIG!V2318=0,"",ORIG!V2318)</f>
        <v/>
      </c>
      <c r="W2318" s="9">
        <f>IF(ORIG!W2318=0,"",ORIG!W2318)</f>
        <v/>
      </c>
      <c r="X2318" s="9">
        <f>IF(ORIG!X2318=0,"",ORIG!X2318)</f>
        <v/>
      </c>
      <c r="Y2318" s="9">
        <f>IF(ORIG!Y2318=0,"",ORIG!Y2318)</f>
        <v/>
      </c>
      <c r="Z2318" s="3">
        <f>SUMPRODUCT($B2318:$Y2318,$B$2649:$Y$2649)</f>
        <v/>
      </c>
      <c r="AA2318" s="3">
        <f>SUMPRODUCT($B2318:$Y2318,$B$2655:$Y$2655)</f>
        <v/>
      </c>
      <c r="AC2318" s="1">
        <f>A2318</f>
        <v/>
      </c>
      <c r="AD2318">
        <f>IF(ISNUMBER(V2318),V2318*($AB$1/V$2635),"")</f>
        <v/>
      </c>
      <c r="AE2318">
        <f>IF(ISNUMBER(Z2318),Z2318*($AB$1/Z$2635),"")</f>
        <v/>
      </c>
      <c r="AF2318" s="25">
        <f>IF(ISNUMBER(AD2318+AE2318),AD2318+AE2318,"")</f>
        <v/>
      </c>
      <c r="AH2318" s="1">
        <f>A2318</f>
        <v/>
      </c>
      <c r="AI2318">
        <f>IF(ISNUMBER((1+V2318)*AI2317),(1+V2318)*AI2317,AI2317)</f>
        <v/>
      </c>
      <c r="AJ2318">
        <f>IF(ISNUMBER((1+Z2318)*AJ2317),(1+Z2318)*AJ2317,AJ2317)</f>
        <v/>
      </c>
    </row>
    <row r="2319">
      <c r="A2319" s="1" t="n">
        <v>45369</v>
      </c>
      <c r="B2319" s="3">
        <f>IF(ORIG!B2319=0,"",ORIG!B2319)</f>
        <v/>
      </c>
      <c r="C2319" s="3">
        <f>IF(ORIG!C2319=0,"",ORIG!C2319)</f>
        <v/>
      </c>
      <c r="D2319" s="3">
        <f>IF(ORIG!D2319=0,"",ORIG!D2319)</f>
        <v/>
      </c>
      <c r="E2319" s="3">
        <f>IF(ORIG!E2319=0,"",ORIG!E2319)</f>
        <v/>
      </c>
      <c r="F2319" s="3">
        <f>IF(ORIG!F2319=0,"",ORIG!F2319)</f>
        <v/>
      </c>
      <c r="G2319" s="3">
        <f>IF(ORIG!G2319=0,"",ORIG!G2319)</f>
        <v/>
      </c>
      <c r="H2319" s="3">
        <f>IF(ORIG!H2319=0,"",ORIG!H2319)</f>
        <v/>
      </c>
      <c r="I2319" s="3">
        <f>IF(ORIG!I2319=0,"",ORIG!I2319)</f>
        <v/>
      </c>
      <c r="J2319" s="3">
        <f>IF(ORIG!J2319=0,"",ORIG!J2319)</f>
        <v/>
      </c>
      <c r="K2319" s="3">
        <f>IF(ORIG!K2319=0,"",ORIG!K2319)</f>
        <v/>
      </c>
      <c r="L2319" s="3">
        <f>IF(ORIG!L2319=0,"",ORIG!L2319)</f>
        <v/>
      </c>
      <c r="M2319" s="3">
        <f>IF(ORIG!M2319=0,"",ORIG!M2319)</f>
        <v/>
      </c>
      <c r="N2319" s="3">
        <f>IF(ORIG!N2319=0,"",ORIG!N2319)</f>
        <v/>
      </c>
      <c r="O2319" s="3">
        <f>IF(ORIG!O2319=0,"",ORIG!O2319)</f>
        <v/>
      </c>
      <c r="P2319" s="3">
        <f>IF(ORIG!P2319=0,"",ORIG!P2319)</f>
        <v/>
      </c>
      <c r="Q2319" s="3">
        <f>IF(ORIG!Q2319=0,"",ORIG!Q2319)</f>
        <v/>
      </c>
      <c r="R2319" s="3">
        <f>IF(ORIG!R2319=0,"",ORIG!R2319)</f>
        <v/>
      </c>
      <c r="S2319" s="3">
        <f>IF(ORIG!S2319=0,"",ORIG!S2319)</f>
        <v/>
      </c>
      <c r="T2319" s="3">
        <f>IF(ORIG!T2319=0,"",ORIG!T2319)</f>
        <v/>
      </c>
      <c r="U2319" s="3">
        <f>IF(ORIG!U2319=0,"",ORIG!U2319)</f>
        <v/>
      </c>
      <c r="V2319" s="9">
        <f>IF(ORIG!V2319=0,"",ORIG!V2319)</f>
        <v/>
      </c>
      <c r="W2319" s="9">
        <f>IF(ORIG!W2319=0,"",ORIG!W2319)</f>
        <v/>
      </c>
      <c r="X2319" s="9">
        <f>IF(ORIG!X2319=0,"",ORIG!X2319)</f>
        <v/>
      </c>
      <c r="Y2319" s="9">
        <f>IF(ORIG!Y2319=0,"",ORIG!Y2319)</f>
        <v/>
      </c>
      <c r="Z2319" s="3">
        <f>SUMPRODUCT($B2319:$Y2319,$B$2649:$Y$2649)</f>
        <v/>
      </c>
      <c r="AA2319" s="3">
        <f>SUMPRODUCT($B2319:$Y2319,$B$2655:$Y$2655)</f>
        <v/>
      </c>
      <c r="AC2319" s="1">
        <f>A2319</f>
        <v/>
      </c>
      <c r="AD2319">
        <f>IF(ISNUMBER(V2319),V2319*($AB$1/V$2635),"")</f>
        <v/>
      </c>
      <c r="AE2319">
        <f>IF(ISNUMBER(Z2319),Z2319*($AB$1/Z$2635),"")</f>
        <v/>
      </c>
      <c r="AF2319" s="25">
        <f>IF(ISNUMBER(AD2319+AE2319),AD2319+AE2319,"")</f>
        <v/>
      </c>
      <c r="AH2319" s="1">
        <f>A2319</f>
        <v/>
      </c>
      <c r="AI2319">
        <f>IF(ISNUMBER((1+V2319)*AI2318),(1+V2319)*AI2318,AI2318)</f>
        <v/>
      </c>
      <c r="AJ2319">
        <f>IF(ISNUMBER((1+Z2319)*AJ2318),(1+Z2319)*AJ2318,AJ2318)</f>
        <v/>
      </c>
    </row>
    <row r="2320">
      <c r="A2320" s="1" t="n">
        <v>45370</v>
      </c>
      <c r="B2320" s="3">
        <f>IF(ORIG!B2320=0,"",ORIG!B2320)</f>
        <v/>
      </c>
      <c r="C2320" s="3">
        <f>IF(ORIG!C2320=0,"",ORIG!C2320)</f>
        <v/>
      </c>
      <c r="D2320" s="3">
        <f>IF(ORIG!D2320=0,"",ORIG!D2320)</f>
        <v/>
      </c>
      <c r="E2320" s="3">
        <f>IF(ORIG!E2320=0,"",ORIG!E2320)</f>
        <v/>
      </c>
      <c r="F2320" s="3">
        <f>IF(ORIG!F2320=0,"",ORIG!F2320)</f>
        <v/>
      </c>
      <c r="G2320" s="3">
        <f>IF(ORIG!G2320=0,"",ORIG!G2320)</f>
        <v/>
      </c>
      <c r="H2320" s="3">
        <f>IF(ORIG!H2320=0,"",ORIG!H2320)</f>
        <v/>
      </c>
      <c r="I2320" s="3">
        <f>IF(ORIG!I2320=0,"",ORIG!I2320)</f>
        <v/>
      </c>
      <c r="J2320" s="3">
        <f>IF(ORIG!J2320=0,"",ORIG!J2320)</f>
        <v/>
      </c>
      <c r="K2320" s="3">
        <f>IF(ORIG!K2320=0,"",ORIG!K2320)</f>
        <v/>
      </c>
      <c r="L2320" s="3">
        <f>IF(ORIG!L2320=0,"",ORIG!L2320)</f>
        <v/>
      </c>
      <c r="M2320" s="3">
        <f>IF(ORIG!M2320=0,"",ORIG!M2320)</f>
        <v/>
      </c>
      <c r="N2320" s="3">
        <f>IF(ORIG!N2320=0,"",ORIG!N2320)</f>
        <v/>
      </c>
      <c r="O2320" s="3">
        <f>IF(ORIG!O2320=0,"",ORIG!O2320)</f>
        <v/>
      </c>
      <c r="P2320" s="3">
        <f>IF(ORIG!P2320=0,"",ORIG!P2320)</f>
        <v/>
      </c>
      <c r="Q2320" s="3">
        <f>IF(ORIG!Q2320=0,"",ORIG!Q2320)</f>
        <v/>
      </c>
      <c r="R2320" s="3">
        <f>IF(ORIG!R2320=0,"",ORIG!R2320)</f>
        <v/>
      </c>
      <c r="S2320" s="3">
        <f>IF(ORIG!S2320=0,"",ORIG!S2320)</f>
        <v/>
      </c>
      <c r="T2320" s="3">
        <f>IF(ORIG!T2320=0,"",ORIG!T2320)</f>
        <v/>
      </c>
      <c r="U2320" s="3">
        <f>IF(ORIG!U2320=0,"",ORIG!U2320)</f>
        <v/>
      </c>
      <c r="V2320" s="9">
        <f>IF(ORIG!V2320=0,"",ORIG!V2320)</f>
        <v/>
      </c>
      <c r="W2320" s="9">
        <f>IF(ORIG!W2320=0,"",ORIG!W2320)</f>
        <v/>
      </c>
      <c r="X2320" s="9">
        <f>IF(ORIG!X2320=0,"",ORIG!X2320)</f>
        <v/>
      </c>
      <c r="Y2320" s="9">
        <f>IF(ORIG!Y2320=0,"",ORIG!Y2320)</f>
        <v/>
      </c>
      <c r="Z2320" s="3">
        <f>SUMPRODUCT($B2320:$Y2320,$B$2649:$Y$2649)</f>
        <v/>
      </c>
      <c r="AA2320" s="3">
        <f>SUMPRODUCT($B2320:$Y2320,$B$2655:$Y$2655)</f>
        <v/>
      </c>
      <c r="AC2320" s="1">
        <f>A2320</f>
        <v/>
      </c>
      <c r="AD2320">
        <f>IF(ISNUMBER(V2320),V2320*($AB$1/V$2635),"")</f>
        <v/>
      </c>
      <c r="AE2320">
        <f>IF(ISNUMBER(Z2320),Z2320*($AB$1/Z$2635),"")</f>
        <v/>
      </c>
      <c r="AF2320" s="25">
        <f>IF(ISNUMBER(AD2320+AE2320),AD2320+AE2320,"")</f>
        <v/>
      </c>
      <c r="AH2320" s="1">
        <f>A2320</f>
        <v/>
      </c>
      <c r="AI2320">
        <f>IF(ISNUMBER((1+V2320)*AI2319),(1+V2320)*AI2319,AI2319)</f>
        <v/>
      </c>
      <c r="AJ2320">
        <f>IF(ISNUMBER((1+Z2320)*AJ2319),(1+Z2320)*AJ2319,AJ2319)</f>
        <v/>
      </c>
    </row>
    <row r="2321">
      <c r="A2321" s="1" t="n">
        <v>45371</v>
      </c>
      <c r="B2321" s="3">
        <f>IF(ORIG!B2321=0,"",ORIG!B2321)</f>
        <v/>
      </c>
      <c r="C2321" s="3">
        <f>IF(ORIG!C2321=0,"",ORIG!C2321)</f>
        <v/>
      </c>
      <c r="D2321" s="3">
        <f>IF(ORIG!D2321=0,"",ORIG!D2321)</f>
        <v/>
      </c>
      <c r="E2321" s="3">
        <f>IF(ORIG!E2321=0,"",ORIG!E2321)</f>
        <v/>
      </c>
      <c r="F2321" s="3">
        <f>IF(ORIG!F2321=0,"",ORIG!F2321)</f>
        <v/>
      </c>
      <c r="G2321" s="3">
        <f>IF(ORIG!G2321=0,"",ORIG!G2321)</f>
        <v/>
      </c>
      <c r="H2321" s="3">
        <f>IF(ORIG!H2321=0,"",ORIG!H2321)</f>
        <v/>
      </c>
      <c r="I2321" s="3">
        <f>IF(ORIG!I2321=0,"",ORIG!I2321)</f>
        <v/>
      </c>
      <c r="J2321" s="3">
        <f>IF(ORIG!J2321=0,"",ORIG!J2321)</f>
        <v/>
      </c>
      <c r="K2321" s="3">
        <f>IF(ORIG!K2321=0,"",ORIG!K2321)</f>
        <v/>
      </c>
      <c r="L2321" s="3">
        <f>IF(ORIG!L2321=0,"",ORIG!L2321)</f>
        <v/>
      </c>
      <c r="M2321" s="3">
        <f>IF(ORIG!M2321=0,"",ORIG!M2321)</f>
        <v/>
      </c>
      <c r="N2321" s="3">
        <f>IF(ORIG!N2321=0,"",ORIG!N2321)</f>
        <v/>
      </c>
      <c r="O2321" s="3">
        <f>IF(ORIG!O2321=0,"",ORIG!O2321)</f>
        <v/>
      </c>
      <c r="P2321" s="3">
        <f>IF(ORIG!P2321=0,"",ORIG!P2321)</f>
        <v/>
      </c>
      <c r="Q2321" s="3">
        <f>IF(ORIG!Q2321=0,"",ORIG!Q2321)</f>
        <v/>
      </c>
      <c r="R2321" s="3">
        <f>IF(ORIG!R2321=0,"",ORIG!R2321)</f>
        <v/>
      </c>
      <c r="S2321" s="3">
        <f>IF(ORIG!S2321=0,"",ORIG!S2321)</f>
        <v/>
      </c>
      <c r="T2321" s="3">
        <f>IF(ORIG!T2321=0,"",ORIG!T2321)</f>
        <v/>
      </c>
      <c r="U2321" s="3">
        <f>IF(ORIG!U2321=0,"",ORIG!U2321)</f>
        <v/>
      </c>
      <c r="V2321" s="9">
        <f>IF(ORIG!V2321=0,"",ORIG!V2321)</f>
        <v/>
      </c>
      <c r="W2321" s="9">
        <f>IF(ORIG!W2321=0,"",ORIG!W2321)</f>
        <v/>
      </c>
      <c r="X2321" s="9">
        <f>IF(ORIG!X2321=0,"",ORIG!X2321)</f>
        <v/>
      </c>
      <c r="Y2321" s="9">
        <f>IF(ORIG!Y2321=0,"",ORIG!Y2321)</f>
        <v/>
      </c>
      <c r="Z2321" s="3">
        <f>SUMPRODUCT($B2321:$Y2321,$B$2649:$Y$2649)</f>
        <v/>
      </c>
      <c r="AA2321" s="3">
        <f>SUMPRODUCT($B2321:$Y2321,$B$2655:$Y$2655)</f>
        <v/>
      </c>
      <c r="AC2321" s="1">
        <f>A2321</f>
        <v/>
      </c>
      <c r="AD2321">
        <f>IF(ISNUMBER(V2321),V2321*($AB$1/V$2635),"")</f>
        <v/>
      </c>
      <c r="AE2321">
        <f>IF(ISNUMBER(Z2321),Z2321*($AB$1/Z$2635),"")</f>
        <v/>
      </c>
      <c r="AF2321" s="25">
        <f>IF(ISNUMBER(AD2321+AE2321),AD2321+AE2321,"")</f>
        <v/>
      </c>
      <c r="AH2321" s="1">
        <f>A2321</f>
        <v/>
      </c>
      <c r="AI2321">
        <f>IF(ISNUMBER((1+V2321)*AI2320),(1+V2321)*AI2320,AI2320)</f>
        <v/>
      </c>
      <c r="AJ2321">
        <f>IF(ISNUMBER((1+Z2321)*AJ2320),(1+Z2321)*AJ2320,AJ2320)</f>
        <v/>
      </c>
    </row>
    <row r="2322">
      <c r="A2322" s="1" t="n">
        <v>45372</v>
      </c>
      <c r="B2322" s="3">
        <f>IF(ORIG!B2322=0,"",ORIG!B2322)</f>
        <v/>
      </c>
      <c r="C2322" s="3">
        <f>IF(ORIG!C2322=0,"",ORIG!C2322)</f>
        <v/>
      </c>
      <c r="D2322" s="3">
        <f>IF(ORIG!D2322=0,"",ORIG!D2322)</f>
        <v/>
      </c>
      <c r="E2322" s="3">
        <f>IF(ORIG!E2322=0,"",ORIG!E2322)</f>
        <v/>
      </c>
      <c r="F2322" s="3">
        <f>IF(ORIG!F2322=0,"",ORIG!F2322)</f>
        <v/>
      </c>
      <c r="G2322" s="3">
        <f>IF(ORIG!G2322=0,"",ORIG!G2322)</f>
        <v/>
      </c>
      <c r="H2322" s="3">
        <f>IF(ORIG!H2322=0,"",ORIG!H2322)</f>
        <v/>
      </c>
      <c r="I2322" s="3">
        <f>IF(ORIG!I2322=0,"",ORIG!I2322)</f>
        <v/>
      </c>
      <c r="J2322" s="3">
        <f>IF(ORIG!J2322=0,"",ORIG!J2322)</f>
        <v/>
      </c>
      <c r="K2322" s="3">
        <f>IF(ORIG!K2322=0,"",ORIG!K2322)</f>
        <v/>
      </c>
      <c r="L2322" s="3">
        <f>IF(ORIG!L2322=0,"",ORIG!L2322)</f>
        <v/>
      </c>
      <c r="M2322" s="3">
        <f>IF(ORIG!M2322=0,"",ORIG!M2322)</f>
        <v/>
      </c>
      <c r="N2322" s="3">
        <f>IF(ORIG!N2322=0,"",ORIG!N2322)</f>
        <v/>
      </c>
      <c r="O2322" s="3">
        <f>IF(ORIG!O2322=0,"",ORIG!O2322)</f>
        <v/>
      </c>
      <c r="P2322" s="3">
        <f>IF(ORIG!P2322=0,"",ORIG!P2322)</f>
        <v/>
      </c>
      <c r="Q2322" s="3">
        <f>IF(ORIG!Q2322=0,"",ORIG!Q2322)</f>
        <v/>
      </c>
      <c r="R2322" s="3">
        <f>IF(ORIG!R2322=0,"",ORIG!R2322)</f>
        <v/>
      </c>
      <c r="S2322" s="3">
        <f>IF(ORIG!S2322=0,"",ORIG!S2322)</f>
        <v/>
      </c>
      <c r="T2322" s="3">
        <f>IF(ORIG!T2322=0,"",ORIG!T2322)</f>
        <v/>
      </c>
      <c r="U2322" s="3">
        <f>IF(ORIG!U2322=0,"",ORIG!U2322)</f>
        <v/>
      </c>
      <c r="V2322" s="9">
        <f>IF(ORIG!V2322=0,"",ORIG!V2322)</f>
        <v/>
      </c>
      <c r="W2322" s="9">
        <f>IF(ORIG!W2322=0,"",ORIG!W2322)</f>
        <v/>
      </c>
      <c r="X2322" s="9">
        <f>IF(ORIG!X2322=0,"",ORIG!X2322)</f>
        <v/>
      </c>
      <c r="Y2322" s="9">
        <f>IF(ORIG!Y2322=0,"",ORIG!Y2322)</f>
        <v/>
      </c>
      <c r="Z2322" s="3">
        <f>SUMPRODUCT($B2322:$Y2322,$B$2649:$Y$2649)</f>
        <v/>
      </c>
      <c r="AA2322" s="3">
        <f>SUMPRODUCT($B2322:$Y2322,$B$2655:$Y$2655)</f>
        <v/>
      </c>
      <c r="AC2322" s="1">
        <f>A2322</f>
        <v/>
      </c>
      <c r="AD2322">
        <f>IF(ISNUMBER(V2322),V2322*($AB$1/V$2635),"")</f>
        <v/>
      </c>
      <c r="AE2322">
        <f>IF(ISNUMBER(Z2322),Z2322*($AB$1/Z$2635),"")</f>
        <v/>
      </c>
      <c r="AF2322" s="25">
        <f>IF(ISNUMBER(AD2322+AE2322),AD2322+AE2322,"")</f>
        <v/>
      </c>
      <c r="AH2322" s="1">
        <f>A2322</f>
        <v/>
      </c>
      <c r="AI2322">
        <f>IF(ISNUMBER((1+V2322)*AI2321),(1+V2322)*AI2321,AI2321)</f>
        <v/>
      </c>
      <c r="AJ2322">
        <f>IF(ISNUMBER((1+Z2322)*AJ2321),(1+Z2322)*AJ2321,AJ2321)</f>
        <v/>
      </c>
    </row>
    <row r="2323">
      <c r="A2323" s="1" t="n">
        <v>45373</v>
      </c>
      <c r="B2323" s="3">
        <f>IF(ORIG!B2323=0,"",ORIG!B2323)</f>
        <v/>
      </c>
      <c r="C2323" s="3">
        <f>IF(ORIG!C2323=0,"",ORIG!C2323)</f>
        <v/>
      </c>
      <c r="D2323" s="3">
        <f>IF(ORIG!D2323=0,"",ORIG!D2323)</f>
        <v/>
      </c>
      <c r="E2323" s="3">
        <f>IF(ORIG!E2323=0,"",ORIG!E2323)</f>
        <v/>
      </c>
      <c r="F2323" s="3">
        <f>IF(ORIG!F2323=0,"",ORIG!F2323)</f>
        <v/>
      </c>
      <c r="G2323" s="3">
        <f>IF(ORIG!G2323=0,"",ORIG!G2323)</f>
        <v/>
      </c>
      <c r="H2323" s="3">
        <f>IF(ORIG!H2323=0,"",ORIG!H2323)</f>
        <v/>
      </c>
      <c r="I2323" s="3">
        <f>IF(ORIG!I2323=0,"",ORIG!I2323)</f>
        <v/>
      </c>
      <c r="J2323" s="3">
        <f>IF(ORIG!J2323=0,"",ORIG!J2323)</f>
        <v/>
      </c>
      <c r="K2323" s="3">
        <f>IF(ORIG!K2323=0,"",ORIG!K2323)</f>
        <v/>
      </c>
      <c r="L2323" s="3">
        <f>IF(ORIG!L2323=0,"",ORIG!L2323)</f>
        <v/>
      </c>
      <c r="M2323" s="3">
        <f>IF(ORIG!M2323=0,"",ORIG!M2323)</f>
        <v/>
      </c>
      <c r="N2323" s="3">
        <f>IF(ORIG!N2323=0,"",ORIG!N2323)</f>
        <v/>
      </c>
      <c r="O2323" s="3">
        <f>IF(ORIG!O2323=0,"",ORIG!O2323)</f>
        <v/>
      </c>
      <c r="P2323" s="3">
        <f>IF(ORIG!P2323=0,"",ORIG!P2323)</f>
        <v/>
      </c>
      <c r="Q2323" s="3">
        <f>IF(ORIG!Q2323=0,"",ORIG!Q2323)</f>
        <v/>
      </c>
      <c r="R2323" s="3">
        <f>IF(ORIG!R2323=0,"",ORIG!R2323)</f>
        <v/>
      </c>
      <c r="S2323" s="3">
        <f>IF(ORIG!S2323=0,"",ORIG!S2323)</f>
        <v/>
      </c>
      <c r="T2323" s="3">
        <f>IF(ORIG!T2323=0,"",ORIG!T2323)</f>
        <v/>
      </c>
      <c r="U2323" s="3">
        <f>IF(ORIG!U2323=0,"",ORIG!U2323)</f>
        <v/>
      </c>
      <c r="V2323" s="9">
        <f>IF(ORIG!V2323=0,"",ORIG!V2323)</f>
        <v/>
      </c>
      <c r="W2323" s="9">
        <f>IF(ORIG!W2323=0,"",ORIG!W2323)</f>
        <v/>
      </c>
      <c r="X2323" s="9">
        <f>IF(ORIG!X2323=0,"",ORIG!X2323)</f>
        <v/>
      </c>
      <c r="Y2323" s="9">
        <f>IF(ORIG!Y2323=0,"",ORIG!Y2323)</f>
        <v/>
      </c>
      <c r="Z2323" s="3">
        <f>SUMPRODUCT($B2323:$Y2323,$B$2649:$Y$2649)</f>
        <v/>
      </c>
      <c r="AA2323" s="3">
        <f>SUMPRODUCT($B2323:$Y2323,$B$2655:$Y$2655)</f>
        <v/>
      </c>
      <c r="AC2323" s="1">
        <f>A2323</f>
        <v/>
      </c>
      <c r="AD2323">
        <f>IF(ISNUMBER(V2323),V2323*($AB$1/V$2635),"")</f>
        <v/>
      </c>
      <c r="AE2323">
        <f>IF(ISNUMBER(Z2323),Z2323*($AB$1/Z$2635),"")</f>
        <v/>
      </c>
      <c r="AF2323" s="25">
        <f>IF(ISNUMBER(AD2323+AE2323),AD2323+AE2323,"")</f>
        <v/>
      </c>
      <c r="AH2323" s="1">
        <f>A2323</f>
        <v/>
      </c>
      <c r="AI2323">
        <f>IF(ISNUMBER((1+V2323)*AI2322),(1+V2323)*AI2322,AI2322)</f>
        <v/>
      </c>
      <c r="AJ2323">
        <f>IF(ISNUMBER((1+Z2323)*AJ2322),(1+Z2323)*AJ2322,AJ2322)</f>
        <v/>
      </c>
    </row>
    <row r="2324">
      <c r="A2324" s="1" t="n">
        <v>45376</v>
      </c>
      <c r="B2324" s="3">
        <f>IF(ORIG!B2324=0,"",ORIG!B2324)</f>
        <v/>
      </c>
      <c r="C2324" s="3">
        <f>IF(ORIG!C2324=0,"",ORIG!C2324)</f>
        <v/>
      </c>
      <c r="D2324" s="3">
        <f>IF(ORIG!D2324=0,"",ORIG!D2324)</f>
        <v/>
      </c>
      <c r="E2324" s="3">
        <f>IF(ORIG!E2324=0,"",ORIG!E2324)</f>
        <v/>
      </c>
      <c r="F2324" s="3">
        <f>IF(ORIG!F2324=0,"",ORIG!F2324)</f>
        <v/>
      </c>
      <c r="G2324" s="3">
        <f>IF(ORIG!G2324=0,"",ORIG!G2324)</f>
        <v/>
      </c>
      <c r="H2324" s="3">
        <f>IF(ORIG!H2324=0,"",ORIG!H2324)</f>
        <v/>
      </c>
      <c r="I2324" s="3">
        <f>IF(ORIG!I2324=0,"",ORIG!I2324)</f>
        <v/>
      </c>
      <c r="J2324" s="3">
        <f>IF(ORIG!J2324=0,"",ORIG!J2324)</f>
        <v/>
      </c>
      <c r="K2324" s="3">
        <f>IF(ORIG!K2324=0,"",ORIG!K2324)</f>
        <v/>
      </c>
      <c r="L2324" s="3">
        <f>IF(ORIG!L2324=0,"",ORIG!L2324)</f>
        <v/>
      </c>
      <c r="M2324" s="3">
        <f>IF(ORIG!M2324=0,"",ORIG!M2324)</f>
        <v/>
      </c>
      <c r="N2324" s="3">
        <f>IF(ORIG!N2324=0,"",ORIG!N2324)</f>
        <v/>
      </c>
      <c r="O2324" s="3">
        <f>IF(ORIG!O2324=0,"",ORIG!O2324)</f>
        <v/>
      </c>
      <c r="P2324" s="3">
        <f>IF(ORIG!P2324=0,"",ORIG!P2324)</f>
        <v/>
      </c>
      <c r="Q2324" s="3">
        <f>IF(ORIG!Q2324=0,"",ORIG!Q2324)</f>
        <v/>
      </c>
      <c r="R2324" s="3">
        <f>IF(ORIG!R2324=0,"",ORIG!R2324)</f>
        <v/>
      </c>
      <c r="S2324" s="3">
        <f>IF(ORIG!S2324=0,"",ORIG!S2324)</f>
        <v/>
      </c>
      <c r="T2324" s="3">
        <f>IF(ORIG!T2324=0,"",ORIG!T2324)</f>
        <v/>
      </c>
      <c r="U2324" s="3">
        <f>IF(ORIG!U2324=0,"",ORIG!U2324)</f>
        <v/>
      </c>
      <c r="V2324" s="9">
        <f>IF(ORIG!V2324=0,"",ORIG!V2324)</f>
        <v/>
      </c>
      <c r="W2324" s="9">
        <f>IF(ORIG!W2324=0,"",ORIG!W2324)</f>
        <v/>
      </c>
      <c r="X2324" s="9">
        <f>IF(ORIG!X2324=0,"",ORIG!X2324)</f>
        <v/>
      </c>
      <c r="Y2324" s="9">
        <f>IF(ORIG!Y2324=0,"",ORIG!Y2324)</f>
        <v/>
      </c>
      <c r="Z2324" s="3">
        <f>SUMPRODUCT($B2324:$Y2324,$B$2649:$Y$2649)</f>
        <v/>
      </c>
      <c r="AA2324" s="3">
        <f>SUMPRODUCT($B2324:$Y2324,$B$2655:$Y$2655)</f>
        <v/>
      </c>
      <c r="AC2324" s="1">
        <f>A2324</f>
        <v/>
      </c>
      <c r="AD2324">
        <f>IF(ISNUMBER(V2324),V2324*($AB$1/V$2635),"")</f>
        <v/>
      </c>
      <c r="AE2324">
        <f>IF(ISNUMBER(Z2324),Z2324*($AB$1/Z$2635),"")</f>
        <v/>
      </c>
      <c r="AF2324" s="25">
        <f>IF(ISNUMBER(AD2324+AE2324),AD2324+AE2324,"")</f>
        <v/>
      </c>
      <c r="AH2324" s="1">
        <f>A2324</f>
        <v/>
      </c>
      <c r="AI2324">
        <f>IF(ISNUMBER((1+V2324)*AI2323),(1+V2324)*AI2323,AI2323)</f>
        <v/>
      </c>
      <c r="AJ2324">
        <f>IF(ISNUMBER((1+Z2324)*AJ2323),(1+Z2324)*AJ2323,AJ2323)</f>
        <v/>
      </c>
    </row>
    <row r="2325">
      <c r="A2325" s="1" t="n">
        <v>45377</v>
      </c>
      <c r="B2325" s="3">
        <f>IF(ORIG!B2325=0,"",ORIG!B2325)</f>
        <v/>
      </c>
      <c r="C2325" s="3">
        <f>IF(ORIG!C2325=0,"",ORIG!C2325)</f>
        <v/>
      </c>
      <c r="D2325" s="3">
        <f>IF(ORIG!D2325=0,"",ORIG!D2325)</f>
        <v/>
      </c>
      <c r="E2325" s="3">
        <f>IF(ORIG!E2325=0,"",ORIG!E2325)</f>
        <v/>
      </c>
      <c r="F2325" s="3">
        <f>IF(ORIG!F2325=0,"",ORIG!F2325)</f>
        <v/>
      </c>
      <c r="G2325" s="3">
        <f>IF(ORIG!G2325=0,"",ORIG!G2325)</f>
        <v/>
      </c>
      <c r="H2325" s="3">
        <f>IF(ORIG!H2325=0,"",ORIG!H2325)</f>
        <v/>
      </c>
      <c r="I2325" s="3">
        <f>IF(ORIG!I2325=0,"",ORIG!I2325)</f>
        <v/>
      </c>
      <c r="J2325" s="3">
        <f>IF(ORIG!J2325=0,"",ORIG!J2325)</f>
        <v/>
      </c>
      <c r="K2325" s="3">
        <f>IF(ORIG!K2325=0,"",ORIG!K2325)</f>
        <v/>
      </c>
      <c r="L2325" s="3">
        <f>IF(ORIG!L2325=0,"",ORIG!L2325)</f>
        <v/>
      </c>
      <c r="M2325" s="3">
        <f>IF(ORIG!M2325=0,"",ORIG!M2325)</f>
        <v/>
      </c>
      <c r="N2325" s="3">
        <f>IF(ORIG!N2325=0,"",ORIG!N2325)</f>
        <v/>
      </c>
      <c r="O2325" s="3">
        <f>IF(ORIG!O2325=0,"",ORIG!O2325)</f>
        <v/>
      </c>
      <c r="P2325" s="3">
        <f>IF(ORIG!P2325=0,"",ORIG!P2325)</f>
        <v/>
      </c>
      <c r="Q2325" s="3">
        <f>IF(ORIG!Q2325=0,"",ORIG!Q2325)</f>
        <v/>
      </c>
      <c r="R2325" s="3">
        <f>IF(ORIG!R2325=0,"",ORIG!R2325)</f>
        <v/>
      </c>
      <c r="S2325" s="3">
        <f>IF(ORIG!S2325=0,"",ORIG!S2325)</f>
        <v/>
      </c>
      <c r="T2325" s="3">
        <f>IF(ORIG!T2325=0,"",ORIG!T2325)</f>
        <v/>
      </c>
      <c r="U2325" s="3">
        <f>IF(ORIG!U2325=0,"",ORIG!U2325)</f>
        <v/>
      </c>
      <c r="V2325" s="9">
        <f>IF(ORIG!V2325=0,"",ORIG!V2325)</f>
        <v/>
      </c>
      <c r="W2325" s="9">
        <f>IF(ORIG!W2325=0,"",ORIG!W2325)</f>
        <v/>
      </c>
      <c r="X2325" s="9">
        <f>IF(ORIG!X2325=0,"",ORIG!X2325)</f>
        <v/>
      </c>
      <c r="Y2325" s="9">
        <f>IF(ORIG!Y2325=0,"",ORIG!Y2325)</f>
        <v/>
      </c>
      <c r="Z2325" s="3">
        <f>SUMPRODUCT($B2325:$Y2325,$B$2649:$Y$2649)</f>
        <v/>
      </c>
      <c r="AA2325" s="3">
        <f>SUMPRODUCT($B2325:$Y2325,$B$2655:$Y$2655)</f>
        <v/>
      </c>
      <c r="AC2325" s="1">
        <f>A2325</f>
        <v/>
      </c>
      <c r="AD2325">
        <f>IF(ISNUMBER(V2325),V2325*($AB$1/V$2635),"")</f>
        <v/>
      </c>
      <c r="AE2325">
        <f>IF(ISNUMBER(Z2325),Z2325*($AB$1/Z$2635),"")</f>
        <v/>
      </c>
      <c r="AF2325" s="25">
        <f>IF(ISNUMBER(AD2325+AE2325),AD2325+AE2325,"")</f>
        <v/>
      </c>
      <c r="AH2325" s="1">
        <f>A2325</f>
        <v/>
      </c>
      <c r="AI2325">
        <f>IF(ISNUMBER((1+V2325)*AI2324),(1+V2325)*AI2324,AI2324)</f>
        <v/>
      </c>
      <c r="AJ2325">
        <f>IF(ISNUMBER((1+Z2325)*AJ2324),(1+Z2325)*AJ2324,AJ2324)</f>
        <v/>
      </c>
    </row>
    <row r="2326">
      <c r="A2326" s="1" t="n">
        <v>45378</v>
      </c>
      <c r="B2326" s="3">
        <f>IF(ORIG!B2326=0,"",ORIG!B2326)</f>
        <v/>
      </c>
      <c r="C2326" s="3">
        <f>IF(ORIG!C2326=0,"",ORIG!C2326)</f>
        <v/>
      </c>
      <c r="D2326" s="3">
        <f>IF(ORIG!D2326=0,"",ORIG!D2326)</f>
        <v/>
      </c>
      <c r="E2326" s="3">
        <f>IF(ORIG!E2326=0,"",ORIG!E2326)</f>
        <v/>
      </c>
      <c r="F2326" s="3">
        <f>IF(ORIG!F2326=0,"",ORIG!F2326)</f>
        <v/>
      </c>
      <c r="G2326" s="3">
        <f>IF(ORIG!G2326=0,"",ORIG!G2326)</f>
        <v/>
      </c>
      <c r="H2326" s="3">
        <f>IF(ORIG!H2326=0,"",ORIG!H2326)</f>
        <v/>
      </c>
      <c r="I2326" s="3">
        <f>IF(ORIG!I2326=0,"",ORIG!I2326)</f>
        <v/>
      </c>
      <c r="J2326" s="3">
        <f>IF(ORIG!J2326=0,"",ORIG!J2326)</f>
        <v/>
      </c>
      <c r="K2326" s="3">
        <f>IF(ORIG!K2326=0,"",ORIG!K2326)</f>
        <v/>
      </c>
      <c r="L2326" s="3">
        <f>IF(ORIG!L2326=0,"",ORIG!L2326)</f>
        <v/>
      </c>
      <c r="M2326" s="3">
        <f>IF(ORIG!M2326=0,"",ORIG!M2326)</f>
        <v/>
      </c>
      <c r="N2326" s="3">
        <f>IF(ORIG!N2326=0,"",ORIG!N2326)</f>
        <v/>
      </c>
      <c r="O2326" s="3">
        <f>IF(ORIG!O2326=0,"",ORIG!O2326)</f>
        <v/>
      </c>
      <c r="P2326" s="3">
        <f>IF(ORIG!P2326=0,"",ORIG!P2326)</f>
        <v/>
      </c>
      <c r="Q2326" s="3">
        <f>IF(ORIG!Q2326=0,"",ORIG!Q2326)</f>
        <v/>
      </c>
      <c r="R2326" s="3">
        <f>IF(ORIG!R2326=0,"",ORIG!R2326)</f>
        <v/>
      </c>
      <c r="S2326" s="3">
        <f>IF(ORIG!S2326=0,"",ORIG!S2326)</f>
        <v/>
      </c>
      <c r="T2326" s="3">
        <f>IF(ORIG!T2326=0,"",ORIG!T2326)</f>
        <v/>
      </c>
      <c r="U2326" s="3">
        <f>IF(ORIG!U2326=0,"",ORIG!U2326)</f>
        <v/>
      </c>
      <c r="V2326" s="9">
        <f>IF(ORIG!V2326=0,"",ORIG!V2326)</f>
        <v/>
      </c>
      <c r="W2326" s="9">
        <f>IF(ORIG!W2326=0,"",ORIG!W2326)</f>
        <v/>
      </c>
      <c r="X2326" s="9">
        <f>IF(ORIG!X2326=0,"",ORIG!X2326)</f>
        <v/>
      </c>
      <c r="Y2326" s="9">
        <f>IF(ORIG!Y2326=0,"",ORIG!Y2326)</f>
        <v/>
      </c>
      <c r="Z2326" s="3">
        <f>SUMPRODUCT($B2326:$Y2326,$B$2649:$Y$2649)</f>
        <v/>
      </c>
      <c r="AA2326" s="3">
        <f>SUMPRODUCT($B2326:$Y2326,$B$2655:$Y$2655)</f>
        <v/>
      </c>
      <c r="AC2326" s="1">
        <f>A2326</f>
        <v/>
      </c>
      <c r="AD2326">
        <f>IF(ISNUMBER(V2326),V2326*($AB$1/V$2635),"")</f>
        <v/>
      </c>
      <c r="AE2326">
        <f>IF(ISNUMBER(Z2326),Z2326*($AB$1/Z$2635),"")</f>
        <v/>
      </c>
      <c r="AF2326" s="25">
        <f>IF(ISNUMBER(AD2326+AE2326),AD2326+AE2326,"")</f>
        <v/>
      </c>
      <c r="AH2326" s="1">
        <f>A2326</f>
        <v/>
      </c>
      <c r="AI2326">
        <f>IF(ISNUMBER((1+V2326)*AI2325),(1+V2326)*AI2325,AI2325)</f>
        <v/>
      </c>
      <c r="AJ2326">
        <f>IF(ISNUMBER((1+Z2326)*AJ2325),(1+Z2326)*AJ2325,AJ2325)</f>
        <v/>
      </c>
    </row>
    <row r="2327">
      <c r="A2327" s="1" t="n">
        <v>45379</v>
      </c>
      <c r="B2327" s="3">
        <f>IF(ORIG!B2327=0,"",ORIG!B2327)</f>
        <v/>
      </c>
      <c r="C2327" s="3">
        <f>IF(ORIG!C2327=0,"",ORIG!C2327)</f>
        <v/>
      </c>
      <c r="D2327" s="3">
        <f>IF(ORIG!D2327=0,"",ORIG!D2327)</f>
        <v/>
      </c>
      <c r="E2327" s="3">
        <f>IF(ORIG!E2327=0,"",ORIG!E2327)</f>
        <v/>
      </c>
      <c r="F2327" s="3">
        <f>IF(ORIG!F2327=0,"",ORIG!F2327)</f>
        <v/>
      </c>
      <c r="G2327" s="3">
        <f>IF(ORIG!G2327=0,"",ORIG!G2327)</f>
        <v/>
      </c>
      <c r="H2327" s="3">
        <f>IF(ORIG!H2327=0,"",ORIG!H2327)</f>
        <v/>
      </c>
      <c r="I2327" s="3">
        <f>IF(ORIG!I2327=0,"",ORIG!I2327)</f>
        <v/>
      </c>
      <c r="J2327" s="3">
        <f>IF(ORIG!J2327=0,"",ORIG!J2327)</f>
        <v/>
      </c>
      <c r="K2327" s="3">
        <f>IF(ORIG!K2327=0,"",ORIG!K2327)</f>
        <v/>
      </c>
      <c r="L2327" s="3">
        <f>IF(ORIG!L2327=0,"",ORIG!L2327)</f>
        <v/>
      </c>
      <c r="M2327" s="3">
        <f>IF(ORIG!M2327=0,"",ORIG!M2327)</f>
        <v/>
      </c>
      <c r="N2327" s="3">
        <f>IF(ORIG!N2327=0,"",ORIG!N2327)</f>
        <v/>
      </c>
      <c r="O2327" s="3">
        <f>IF(ORIG!O2327=0,"",ORIG!O2327)</f>
        <v/>
      </c>
      <c r="P2327" s="3">
        <f>IF(ORIG!P2327=0,"",ORIG!P2327)</f>
        <v/>
      </c>
      <c r="Q2327" s="3">
        <f>IF(ORIG!Q2327=0,"",ORIG!Q2327)</f>
        <v/>
      </c>
      <c r="R2327" s="3">
        <f>IF(ORIG!R2327=0,"",ORIG!R2327)</f>
        <v/>
      </c>
      <c r="S2327" s="3">
        <f>IF(ORIG!S2327=0,"",ORIG!S2327)</f>
        <v/>
      </c>
      <c r="T2327" s="3">
        <f>IF(ORIG!T2327=0,"",ORIG!T2327)</f>
        <v/>
      </c>
      <c r="U2327" s="3">
        <f>IF(ORIG!U2327=0,"",ORIG!U2327)</f>
        <v/>
      </c>
      <c r="V2327" s="9">
        <f>IF(ORIG!V2327=0,"",ORIG!V2327)</f>
        <v/>
      </c>
      <c r="W2327" s="9">
        <f>IF(ORIG!W2327=0,"",ORIG!W2327)</f>
        <v/>
      </c>
      <c r="X2327" s="9">
        <f>IF(ORIG!X2327=0,"",ORIG!X2327)</f>
        <v/>
      </c>
      <c r="Y2327" s="9">
        <f>IF(ORIG!Y2327=0,"",ORIG!Y2327)</f>
        <v/>
      </c>
      <c r="Z2327" s="3">
        <f>SUMPRODUCT($B2327:$Y2327,$B$2649:$Y$2649)</f>
        <v/>
      </c>
      <c r="AA2327" s="3">
        <f>SUMPRODUCT($B2327:$Y2327,$B$2655:$Y$2655)</f>
        <v/>
      </c>
      <c r="AC2327" s="1">
        <f>A2327</f>
        <v/>
      </c>
      <c r="AD2327">
        <f>IF(ISNUMBER(V2327),V2327*($AB$1/V$2635),"")</f>
        <v/>
      </c>
      <c r="AE2327">
        <f>IF(ISNUMBER(Z2327),Z2327*($AB$1/Z$2635),"")</f>
        <v/>
      </c>
      <c r="AF2327" s="25">
        <f>IF(ISNUMBER(AD2327+AE2327),AD2327+AE2327,"")</f>
        <v/>
      </c>
      <c r="AH2327" s="1">
        <f>A2327</f>
        <v/>
      </c>
      <c r="AI2327">
        <f>IF(ISNUMBER((1+V2327)*AI2326),(1+V2327)*AI2326,AI2326)</f>
        <v/>
      </c>
      <c r="AJ2327">
        <f>IF(ISNUMBER((1+Z2327)*AJ2326),(1+Z2327)*AJ2326,AJ2326)</f>
        <v/>
      </c>
    </row>
    <row r="2328">
      <c r="A2328" s="1" t="n">
        <v>45383</v>
      </c>
      <c r="B2328" s="3">
        <f>IF(ORIG!B2328=0,"",ORIG!B2328)</f>
        <v/>
      </c>
      <c r="C2328" s="3">
        <f>IF(ORIG!C2328=0,"",ORIG!C2328)</f>
        <v/>
      </c>
      <c r="D2328" s="3">
        <f>IF(ORIG!D2328=0,"",ORIG!D2328)</f>
        <v/>
      </c>
      <c r="E2328" s="3">
        <f>IF(ORIG!E2328=0,"",ORIG!E2328)</f>
        <v/>
      </c>
      <c r="F2328" s="3">
        <f>IF(ORIG!F2328=0,"",ORIG!F2328)</f>
        <v/>
      </c>
      <c r="G2328" s="3">
        <f>IF(ORIG!G2328=0,"",ORIG!G2328)</f>
        <v/>
      </c>
      <c r="H2328" s="3">
        <f>IF(ORIG!H2328=0,"",ORIG!H2328)</f>
        <v/>
      </c>
      <c r="I2328" s="3">
        <f>IF(ORIG!I2328=0,"",ORIG!I2328)</f>
        <v/>
      </c>
      <c r="J2328" s="3">
        <f>IF(ORIG!J2328=0,"",ORIG!J2328)</f>
        <v/>
      </c>
      <c r="K2328" s="3">
        <f>IF(ORIG!K2328=0,"",ORIG!K2328)</f>
        <v/>
      </c>
      <c r="L2328" s="3">
        <f>IF(ORIG!L2328=0,"",ORIG!L2328)</f>
        <v/>
      </c>
      <c r="M2328" s="3">
        <f>IF(ORIG!M2328=0,"",ORIG!M2328)</f>
        <v/>
      </c>
      <c r="N2328" s="3">
        <f>IF(ORIG!N2328=0,"",ORIG!N2328)</f>
        <v/>
      </c>
      <c r="O2328" s="3">
        <f>IF(ORIG!O2328=0,"",ORIG!O2328)</f>
        <v/>
      </c>
      <c r="P2328" s="3">
        <f>IF(ORIG!P2328=0,"",ORIG!P2328)</f>
        <v/>
      </c>
      <c r="Q2328" s="3">
        <f>IF(ORIG!Q2328=0,"",ORIG!Q2328)</f>
        <v/>
      </c>
      <c r="R2328" s="3">
        <f>IF(ORIG!R2328=0,"",ORIG!R2328)</f>
        <v/>
      </c>
      <c r="S2328" s="3">
        <f>IF(ORIG!S2328=0,"",ORIG!S2328)</f>
        <v/>
      </c>
      <c r="T2328" s="3">
        <f>IF(ORIG!T2328=0,"",ORIG!T2328)</f>
        <v/>
      </c>
      <c r="U2328" s="3">
        <f>IF(ORIG!U2328=0,"",ORIG!U2328)</f>
        <v/>
      </c>
      <c r="V2328" s="9">
        <f>IF(ORIG!V2328=0,"",ORIG!V2328)</f>
        <v/>
      </c>
      <c r="W2328" s="9">
        <f>IF(ORIG!W2328=0,"",ORIG!W2328)</f>
        <v/>
      </c>
      <c r="X2328" s="9">
        <f>IF(ORIG!X2328=0,"",ORIG!X2328)</f>
        <v/>
      </c>
      <c r="Y2328" s="9">
        <f>IF(ORIG!Y2328=0,"",ORIG!Y2328)</f>
        <v/>
      </c>
      <c r="Z2328" s="3">
        <f>SUMPRODUCT($B2328:$Y2328,$B$2649:$Y$2649)</f>
        <v/>
      </c>
      <c r="AA2328" s="3">
        <f>SUMPRODUCT($B2328:$Y2328,$B$2655:$Y$2655)</f>
        <v/>
      </c>
      <c r="AC2328" s="1">
        <f>A2328</f>
        <v/>
      </c>
      <c r="AD2328">
        <f>IF(ISNUMBER(V2328),V2328*($AB$1/V$2635),"")</f>
        <v/>
      </c>
      <c r="AE2328">
        <f>IF(ISNUMBER(Z2328),Z2328*($AB$1/Z$2635),"")</f>
        <v/>
      </c>
      <c r="AF2328" s="25">
        <f>IF(ISNUMBER(AD2328+AE2328),AD2328+AE2328,"")</f>
        <v/>
      </c>
      <c r="AH2328" s="1">
        <f>A2328</f>
        <v/>
      </c>
      <c r="AI2328">
        <f>IF(ISNUMBER((1+V2328)*AI2327),(1+V2328)*AI2327,AI2327)</f>
        <v/>
      </c>
      <c r="AJ2328">
        <f>IF(ISNUMBER((1+Z2328)*AJ2327),(1+Z2328)*AJ2327,AJ2327)</f>
        <v/>
      </c>
    </row>
    <row r="2329">
      <c r="A2329" s="1" t="n">
        <v>45384</v>
      </c>
      <c r="B2329" s="3">
        <f>IF(ORIG!B2329=0,"",ORIG!B2329)</f>
        <v/>
      </c>
      <c r="C2329" s="3">
        <f>IF(ORIG!C2329=0,"",ORIG!C2329)</f>
        <v/>
      </c>
      <c r="D2329" s="3">
        <f>IF(ORIG!D2329=0,"",ORIG!D2329)</f>
        <v/>
      </c>
      <c r="E2329" s="3">
        <f>IF(ORIG!E2329=0,"",ORIG!E2329)</f>
        <v/>
      </c>
      <c r="F2329" s="3">
        <f>IF(ORIG!F2329=0,"",ORIG!F2329)</f>
        <v/>
      </c>
      <c r="G2329" s="3">
        <f>IF(ORIG!G2329=0,"",ORIG!G2329)</f>
        <v/>
      </c>
      <c r="H2329" s="3">
        <f>IF(ORIG!H2329=0,"",ORIG!H2329)</f>
        <v/>
      </c>
      <c r="I2329" s="3">
        <f>IF(ORIG!I2329=0,"",ORIG!I2329)</f>
        <v/>
      </c>
      <c r="J2329" s="3">
        <f>IF(ORIG!J2329=0,"",ORIG!J2329)</f>
        <v/>
      </c>
      <c r="K2329" s="3">
        <f>IF(ORIG!K2329=0,"",ORIG!K2329)</f>
        <v/>
      </c>
      <c r="L2329" s="3">
        <f>IF(ORIG!L2329=0,"",ORIG!L2329)</f>
        <v/>
      </c>
      <c r="M2329" s="3">
        <f>IF(ORIG!M2329=0,"",ORIG!M2329)</f>
        <v/>
      </c>
      <c r="N2329" s="3">
        <f>IF(ORIG!N2329=0,"",ORIG!N2329)</f>
        <v/>
      </c>
      <c r="O2329" s="3">
        <f>IF(ORIG!O2329=0,"",ORIG!O2329)</f>
        <v/>
      </c>
      <c r="P2329" s="3">
        <f>IF(ORIG!P2329=0,"",ORIG!P2329)</f>
        <v/>
      </c>
      <c r="Q2329" s="3">
        <f>IF(ORIG!Q2329=0,"",ORIG!Q2329)</f>
        <v/>
      </c>
      <c r="R2329" s="3">
        <f>IF(ORIG!R2329=0,"",ORIG!R2329)</f>
        <v/>
      </c>
      <c r="S2329" s="3">
        <f>IF(ORIG!S2329=0,"",ORIG!S2329)</f>
        <v/>
      </c>
      <c r="T2329" s="3">
        <f>IF(ORIG!T2329=0,"",ORIG!T2329)</f>
        <v/>
      </c>
      <c r="U2329" s="3">
        <f>IF(ORIG!U2329=0,"",ORIG!U2329)</f>
        <v/>
      </c>
      <c r="V2329" s="9">
        <f>IF(ORIG!V2329=0,"",ORIG!V2329)</f>
        <v/>
      </c>
      <c r="W2329" s="9">
        <f>IF(ORIG!W2329=0,"",ORIG!W2329)</f>
        <v/>
      </c>
      <c r="X2329" s="9">
        <f>IF(ORIG!X2329=0,"",ORIG!X2329)</f>
        <v/>
      </c>
      <c r="Y2329" s="9">
        <f>IF(ORIG!Y2329=0,"",ORIG!Y2329)</f>
        <v/>
      </c>
      <c r="Z2329" s="3">
        <f>SUMPRODUCT($B2329:$Y2329,$B$2649:$Y$2649)</f>
        <v/>
      </c>
      <c r="AA2329" s="3">
        <f>SUMPRODUCT($B2329:$Y2329,$B$2655:$Y$2655)</f>
        <v/>
      </c>
      <c r="AC2329" s="1">
        <f>A2329</f>
        <v/>
      </c>
      <c r="AD2329">
        <f>IF(ISNUMBER(V2329),V2329*($AB$1/V$2635),"")</f>
        <v/>
      </c>
      <c r="AE2329">
        <f>IF(ISNUMBER(Z2329),Z2329*($AB$1/Z$2635),"")</f>
        <v/>
      </c>
      <c r="AF2329" s="25">
        <f>IF(ISNUMBER(AD2329+AE2329),AD2329+AE2329,"")</f>
        <v/>
      </c>
      <c r="AH2329" s="1">
        <f>A2329</f>
        <v/>
      </c>
      <c r="AI2329">
        <f>IF(ISNUMBER((1+V2329)*AI2328),(1+V2329)*AI2328,AI2328)</f>
        <v/>
      </c>
      <c r="AJ2329">
        <f>IF(ISNUMBER((1+Z2329)*AJ2328),(1+Z2329)*AJ2328,AJ2328)</f>
        <v/>
      </c>
    </row>
    <row r="2330">
      <c r="A2330" s="1" t="n">
        <v>45385</v>
      </c>
      <c r="B2330" s="3">
        <f>IF(ORIG!B2330=0,"",ORIG!B2330)</f>
        <v/>
      </c>
      <c r="C2330" s="3">
        <f>IF(ORIG!C2330=0,"",ORIG!C2330)</f>
        <v/>
      </c>
      <c r="D2330" s="3">
        <f>IF(ORIG!D2330=0,"",ORIG!D2330)</f>
        <v/>
      </c>
      <c r="E2330" s="3">
        <f>IF(ORIG!E2330=0,"",ORIG!E2330)</f>
        <v/>
      </c>
      <c r="F2330" s="3">
        <f>IF(ORIG!F2330=0,"",ORIG!F2330)</f>
        <v/>
      </c>
      <c r="G2330" s="3">
        <f>IF(ORIG!G2330=0,"",ORIG!G2330)</f>
        <v/>
      </c>
      <c r="H2330" s="3">
        <f>IF(ORIG!H2330=0,"",ORIG!H2330)</f>
        <v/>
      </c>
      <c r="I2330" s="3">
        <f>IF(ORIG!I2330=0,"",ORIG!I2330)</f>
        <v/>
      </c>
      <c r="J2330" s="3">
        <f>IF(ORIG!J2330=0,"",ORIG!J2330)</f>
        <v/>
      </c>
      <c r="K2330" s="3">
        <f>IF(ORIG!K2330=0,"",ORIG!K2330)</f>
        <v/>
      </c>
      <c r="L2330" s="3">
        <f>IF(ORIG!L2330=0,"",ORIG!L2330)</f>
        <v/>
      </c>
      <c r="M2330" s="3">
        <f>IF(ORIG!M2330=0,"",ORIG!M2330)</f>
        <v/>
      </c>
      <c r="N2330" s="3">
        <f>IF(ORIG!N2330=0,"",ORIG!N2330)</f>
        <v/>
      </c>
      <c r="O2330" s="3">
        <f>IF(ORIG!O2330=0,"",ORIG!O2330)</f>
        <v/>
      </c>
      <c r="P2330" s="3">
        <f>IF(ORIG!P2330=0,"",ORIG!P2330)</f>
        <v/>
      </c>
      <c r="Q2330" s="3">
        <f>IF(ORIG!Q2330=0,"",ORIG!Q2330)</f>
        <v/>
      </c>
      <c r="R2330" s="3">
        <f>IF(ORIG!R2330=0,"",ORIG!R2330)</f>
        <v/>
      </c>
      <c r="S2330" s="3">
        <f>IF(ORIG!S2330=0,"",ORIG!S2330)</f>
        <v/>
      </c>
      <c r="T2330" s="3">
        <f>IF(ORIG!T2330=0,"",ORIG!T2330)</f>
        <v/>
      </c>
      <c r="U2330" s="3">
        <f>IF(ORIG!U2330=0,"",ORIG!U2330)</f>
        <v/>
      </c>
      <c r="V2330" s="9">
        <f>IF(ORIG!V2330=0,"",ORIG!V2330)</f>
        <v/>
      </c>
      <c r="W2330" s="9">
        <f>IF(ORIG!W2330=0,"",ORIG!W2330)</f>
        <v/>
      </c>
      <c r="X2330" s="9">
        <f>IF(ORIG!X2330=0,"",ORIG!X2330)</f>
        <v/>
      </c>
      <c r="Y2330" s="9">
        <f>IF(ORIG!Y2330=0,"",ORIG!Y2330)</f>
        <v/>
      </c>
      <c r="Z2330" s="3">
        <f>SUMPRODUCT($B2330:$Y2330,$B$2649:$Y$2649)</f>
        <v/>
      </c>
      <c r="AA2330" s="3">
        <f>SUMPRODUCT($B2330:$Y2330,$B$2655:$Y$2655)</f>
        <v/>
      </c>
      <c r="AC2330" s="1">
        <f>A2330</f>
        <v/>
      </c>
      <c r="AD2330">
        <f>IF(ISNUMBER(V2330),V2330*($AB$1/V$2635),"")</f>
        <v/>
      </c>
      <c r="AE2330">
        <f>IF(ISNUMBER(Z2330),Z2330*($AB$1/Z$2635),"")</f>
        <v/>
      </c>
      <c r="AF2330" s="25">
        <f>IF(ISNUMBER(AD2330+AE2330),AD2330+AE2330,"")</f>
        <v/>
      </c>
      <c r="AH2330" s="1">
        <f>A2330</f>
        <v/>
      </c>
      <c r="AI2330">
        <f>IF(ISNUMBER((1+V2330)*AI2329),(1+V2330)*AI2329,AI2329)</f>
        <v/>
      </c>
      <c r="AJ2330">
        <f>IF(ISNUMBER((1+Z2330)*AJ2329),(1+Z2330)*AJ2329,AJ2329)</f>
        <v/>
      </c>
    </row>
    <row r="2331">
      <c r="A2331" s="1" t="n">
        <v>45386</v>
      </c>
      <c r="B2331" s="3">
        <f>IF(ORIG!B2331=0,"",ORIG!B2331)</f>
        <v/>
      </c>
      <c r="C2331" s="3">
        <f>IF(ORIG!C2331=0,"",ORIG!C2331)</f>
        <v/>
      </c>
      <c r="D2331" s="3">
        <f>IF(ORIG!D2331=0,"",ORIG!D2331)</f>
        <v/>
      </c>
      <c r="E2331" s="3">
        <f>IF(ORIG!E2331=0,"",ORIG!E2331)</f>
        <v/>
      </c>
      <c r="F2331" s="3">
        <f>IF(ORIG!F2331=0,"",ORIG!F2331)</f>
        <v/>
      </c>
      <c r="G2331" s="3">
        <f>IF(ORIG!G2331=0,"",ORIG!G2331)</f>
        <v/>
      </c>
      <c r="H2331" s="3">
        <f>IF(ORIG!H2331=0,"",ORIG!H2331)</f>
        <v/>
      </c>
      <c r="I2331" s="3">
        <f>IF(ORIG!I2331=0,"",ORIG!I2331)</f>
        <v/>
      </c>
      <c r="J2331" s="3">
        <f>IF(ORIG!J2331=0,"",ORIG!J2331)</f>
        <v/>
      </c>
      <c r="K2331" s="3">
        <f>IF(ORIG!K2331=0,"",ORIG!K2331)</f>
        <v/>
      </c>
      <c r="L2331" s="3">
        <f>IF(ORIG!L2331=0,"",ORIG!L2331)</f>
        <v/>
      </c>
      <c r="M2331" s="3">
        <f>IF(ORIG!M2331=0,"",ORIG!M2331)</f>
        <v/>
      </c>
      <c r="N2331" s="3">
        <f>IF(ORIG!N2331=0,"",ORIG!N2331)</f>
        <v/>
      </c>
      <c r="O2331" s="3">
        <f>IF(ORIG!O2331=0,"",ORIG!O2331)</f>
        <v/>
      </c>
      <c r="P2331" s="3">
        <f>IF(ORIG!P2331=0,"",ORIG!P2331)</f>
        <v/>
      </c>
      <c r="Q2331" s="3">
        <f>IF(ORIG!Q2331=0,"",ORIG!Q2331)</f>
        <v/>
      </c>
      <c r="R2331" s="3">
        <f>IF(ORIG!R2331=0,"",ORIG!R2331)</f>
        <v/>
      </c>
      <c r="S2331" s="3">
        <f>IF(ORIG!S2331=0,"",ORIG!S2331)</f>
        <v/>
      </c>
      <c r="T2331" s="3">
        <f>IF(ORIG!T2331=0,"",ORIG!T2331)</f>
        <v/>
      </c>
      <c r="U2331" s="3">
        <f>IF(ORIG!U2331=0,"",ORIG!U2331)</f>
        <v/>
      </c>
      <c r="V2331" s="9">
        <f>IF(ORIG!V2331=0,"",ORIG!V2331)</f>
        <v/>
      </c>
      <c r="W2331" s="9">
        <f>IF(ORIG!W2331=0,"",ORIG!W2331)</f>
        <v/>
      </c>
      <c r="X2331" s="9">
        <f>IF(ORIG!X2331=0,"",ORIG!X2331)</f>
        <v/>
      </c>
      <c r="Y2331" s="9">
        <f>IF(ORIG!Y2331=0,"",ORIG!Y2331)</f>
        <v/>
      </c>
      <c r="Z2331" s="3">
        <f>SUMPRODUCT($B2331:$Y2331,$B$2649:$Y$2649)</f>
        <v/>
      </c>
      <c r="AA2331" s="3">
        <f>SUMPRODUCT($B2331:$Y2331,$B$2655:$Y$2655)</f>
        <v/>
      </c>
      <c r="AC2331" s="1">
        <f>A2331</f>
        <v/>
      </c>
      <c r="AD2331">
        <f>IF(ISNUMBER(V2331),V2331*($AB$1/V$2635),"")</f>
        <v/>
      </c>
      <c r="AE2331">
        <f>IF(ISNUMBER(Z2331),Z2331*($AB$1/Z$2635),"")</f>
        <v/>
      </c>
      <c r="AF2331" s="25">
        <f>IF(ISNUMBER(AD2331+AE2331),AD2331+AE2331,"")</f>
        <v/>
      </c>
      <c r="AH2331" s="1">
        <f>A2331</f>
        <v/>
      </c>
      <c r="AI2331">
        <f>IF(ISNUMBER((1+V2331)*AI2330),(1+V2331)*AI2330,AI2330)</f>
        <v/>
      </c>
      <c r="AJ2331">
        <f>IF(ISNUMBER((1+Z2331)*AJ2330),(1+Z2331)*AJ2330,AJ2330)</f>
        <v/>
      </c>
    </row>
    <row r="2332">
      <c r="A2332" s="1" t="n">
        <v>45387</v>
      </c>
      <c r="B2332" s="3">
        <f>IF(ORIG!B2332=0,"",ORIG!B2332)</f>
        <v/>
      </c>
      <c r="C2332" s="3">
        <f>IF(ORIG!C2332=0,"",ORIG!C2332)</f>
        <v/>
      </c>
      <c r="D2332" s="3">
        <f>IF(ORIG!D2332=0,"",ORIG!D2332)</f>
        <v/>
      </c>
      <c r="E2332" s="3">
        <f>IF(ORIG!E2332=0,"",ORIG!E2332)</f>
        <v/>
      </c>
      <c r="F2332" s="3">
        <f>IF(ORIG!F2332=0,"",ORIG!F2332)</f>
        <v/>
      </c>
      <c r="G2332" s="3">
        <f>IF(ORIG!G2332=0,"",ORIG!G2332)</f>
        <v/>
      </c>
      <c r="H2332" s="3">
        <f>IF(ORIG!H2332=0,"",ORIG!H2332)</f>
        <v/>
      </c>
      <c r="I2332" s="3">
        <f>IF(ORIG!I2332=0,"",ORIG!I2332)</f>
        <v/>
      </c>
      <c r="J2332" s="3">
        <f>IF(ORIG!J2332=0,"",ORIG!J2332)</f>
        <v/>
      </c>
      <c r="K2332" s="3">
        <f>IF(ORIG!K2332=0,"",ORIG!K2332)</f>
        <v/>
      </c>
      <c r="L2332" s="3">
        <f>IF(ORIG!L2332=0,"",ORIG!L2332)</f>
        <v/>
      </c>
      <c r="M2332" s="3">
        <f>IF(ORIG!M2332=0,"",ORIG!M2332)</f>
        <v/>
      </c>
      <c r="N2332" s="3">
        <f>IF(ORIG!N2332=0,"",ORIG!N2332)</f>
        <v/>
      </c>
      <c r="O2332" s="3">
        <f>IF(ORIG!O2332=0,"",ORIG!O2332)</f>
        <v/>
      </c>
      <c r="P2332" s="3">
        <f>IF(ORIG!P2332=0,"",ORIG!P2332)</f>
        <v/>
      </c>
      <c r="Q2332" s="3">
        <f>IF(ORIG!Q2332=0,"",ORIG!Q2332)</f>
        <v/>
      </c>
      <c r="R2332" s="3">
        <f>IF(ORIG!R2332=0,"",ORIG!R2332)</f>
        <v/>
      </c>
      <c r="S2332" s="3">
        <f>IF(ORIG!S2332=0,"",ORIG!S2332)</f>
        <v/>
      </c>
      <c r="T2332" s="3">
        <f>IF(ORIG!T2332=0,"",ORIG!T2332)</f>
        <v/>
      </c>
      <c r="U2332" s="3">
        <f>IF(ORIG!U2332=0,"",ORIG!U2332)</f>
        <v/>
      </c>
      <c r="V2332" s="9">
        <f>IF(ORIG!V2332=0,"",ORIG!V2332)</f>
        <v/>
      </c>
      <c r="W2332" s="9">
        <f>IF(ORIG!W2332=0,"",ORIG!W2332)</f>
        <v/>
      </c>
      <c r="X2332" s="9">
        <f>IF(ORIG!X2332=0,"",ORIG!X2332)</f>
        <v/>
      </c>
      <c r="Y2332" s="9">
        <f>IF(ORIG!Y2332=0,"",ORIG!Y2332)</f>
        <v/>
      </c>
      <c r="Z2332" s="3">
        <f>SUMPRODUCT($B2332:$Y2332,$B$2649:$Y$2649)</f>
        <v/>
      </c>
      <c r="AA2332" s="3">
        <f>SUMPRODUCT($B2332:$Y2332,$B$2655:$Y$2655)</f>
        <v/>
      </c>
      <c r="AC2332" s="1">
        <f>A2332</f>
        <v/>
      </c>
      <c r="AD2332">
        <f>IF(ISNUMBER(V2332),V2332*($AB$1/V$2635),"")</f>
        <v/>
      </c>
      <c r="AE2332">
        <f>IF(ISNUMBER(Z2332),Z2332*($AB$1/Z$2635),"")</f>
        <v/>
      </c>
      <c r="AF2332" s="25">
        <f>IF(ISNUMBER(AD2332+AE2332),AD2332+AE2332,"")</f>
        <v/>
      </c>
      <c r="AH2332" s="1">
        <f>A2332</f>
        <v/>
      </c>
      <c r="AI2332">
        <f>IF(ISNUMBER((1+V2332)*AI2331),(1+V2332)*AI2331,AI2331)</f>
        <v/>
      </c>
      <c r="AJ2332">
        <f>IF(ISNUMBER((1+Z2332)*AJ2331),(1+Z2332)*AJ2331,AJ2331)</f>
        <v/>
      </c>
    </row>
    <row r="2333">
      <c r="A2333" s="1" t="n">
        <v>45390</v>
      </c>
      <c r="B2333" s="3">
        <f>IF(ORIG!B2333=0,"",ORIG!B2333)</f>
        <v/>
      </c>
      <c r="C2333" s="3">
        <f>IF(ORIG!C2333=0,"",ORIG!C2333)</f>
        <v/>
      </c>
      <c r="D2333" s="3">
        <f>IF(ORIG!D2333=0,"",ORIG!D2333)</f>
        <v/>
      </c>
      <c r="E2333" s="3">
        <f>IF(ORIG!E2333=0,"",ORIG!E2333)</f>
        <v/>
      </c>
      <c r="F2333" s="3">
        <f>IF(ORIG!F2333=0,"",ORIG!F2333)</f>
        <v/>
      </c>
      <c r="G2333" s="3">
        <f>IF(ORIG!G2333=0,"",ORIG!G2333)</f>
        <v/>
      </c>
      <c r="H2333" s="3">
        <f>IF(ORIG!H2333=0,"",ORIG!H2333)</f>
        <v/>
      </c>
      <c r="I2333" s="3">
        <f>IF(ORIG!I2333=0,"",ORIG!I2333)</f>
        <v/>
      </c>
      <c r="J2333" s="3">
        <f>IF(ORIG!J2333=0,"",ORIG!J2333)</f>
        <v/>
      </c>
      <c r="K2333" s="3">
        <f>IF(ORIG!K2333=0,"",ORIG!K2333)</f>
        <v/>
      </c>
      <c r="L2333" s="3">
        <f>IF(ORIG!L2333=0,"",ORIG!L2333)</f>
        <v/>
      </c>
      <c r="M2333" s="3">
        <f>IF(ORIG!M2333=0,"",ORIG!M2333)</f>
        <v/>
      </c>
      <c r="N2333" s="3">
        <f>IF(ORIG!N2333=0,"",ORIG!N2333)</f>
        <v/>
      </c>
      <c r="O2333" s="3">
        <f>IF(ORIG!O2333=0,"",ORIG!O2333)</f>
        <v/>
      </c>
      <c r="P2333" s="3">
        <f>IF(ORIG!P2333=0,"",ORIG!P2333)</f>
        <v/>
      </c>
      <c r="Q2333" s="3">
        <f>IF(ORIG!Q2333=0,"",ORIG!Q2333)</f>
        <v/>
      </c>
      <c r="R2333" s="3">
        <f>IF(ORIG!R2333=0,"",ORIG!R2333)</f>
        <v/>
      </c>
      <c r="S2333" s="3">
        <f>IF(ORIG!S2333=0,"",ORIG!S2333)</f>
        <v/>
      </c>
      <c r="T2333" s="3">
        <f>IF(ORIG!T2333=0,"",ORIG!T2333)</f>
        <v/>
      </c>
      <c r="U2333" s="3">
        <f>IF(ORIG!U2333=0,"",ORIG!U2333)</f>
        <v/>
      </c>
      <c r="V2333" s="9">
        <f>IF(ORIG!V2333=0,"",ORIG!V2333)</f>
        <v/>
      </c>
      <c r="W2333" s="9">
        <f>IF(ORIG!W2333=0,"",ORIG!W2333)</f>
        <v/>
      </c>
      <c r="X2333" s="9">
        <f>IF(ORIG!X2333=0,"",ORIG!X2333)</f>
        <v/>
      </c>
      <c r="Y2333" s="9">
        <f>IF(ORIG!Y2333=0,"",ORIG!Y2333)</f>
        <v/>
      </c>
      <c r="Z2333" s="3">
        <f>SUMPRODUCT($B2333:$Y2333,$B$2649:$Y$2649)</f>
        <v/>
      </c>
      <c r="AA2333" s="3">
        <f>SUMPRODUCT($B2333:$Y2333,$B$2655:$Y$2655)</f>
        <v/>
      </c>
      <c r="AC2333" s="1">
        <f>A2333</f>
        <v/>
      </c>
      <c r="AD2333">
        <f>IF(ISNUMBER(V2333),V2333*($AB$1/V$2635),"")</f>
        <v/>
      </c>
      <c r="AE2333">
        <f>IF(ISNUMBER(Z2333),Z2333*($AB$1/Z$2635),"")</f>
        <v/>
      </c>
      <c r="AF2333" s="25">
        <f>IF(ISNUMBER(AD2333+AE2333),AD2333+AE2333,"")</f>
        <v/>
      </c>
      <c r="AH2333" s="1">
        <f>A2333</f>
        <v/>
      </c>
      <c r="AI2333">
        <f>IF(ISNUMBER((1+V2333)*AI2332),(1+V2333)*AI2332,AI2332)</f>
        <v/>
      </c>
      <c r="AJ2333">
        <f>IF(ISNUMBER((1+Z2333)*AJ2332),(1+Z2333)*AJ2332,AJ2332)</f>
        <v/>
      </c>
    </row>
    <row r="2334">
      <c r="A2334" s="1" t="n">
        <v>45391</v>
      </c>
      <c r="B2334" s="3">
        <f>IF(ORIG!B2334=0,"",ORIG!B2334)</f>
        <v/>
      </c>
      <c r="C2334" s="3">
        <f>IF(ORIG!C2334=0,"",ORIG!C2334)</f>
        <v/>
      </c>
      <c r="D2334" s="3">
        <f>IF(ORIG!D2334=0,"",ORIG!D2334)</f>
        <v/>
      </c>
      <c r="E2334" s="3">
        <f>IF(ORIG!E2334=0,"",ORIG!E2334)</f>
        <v/>
      </c>
      <c r="F2334" s="3">
        <f>IF(ORIG!F2334=0,"",ORIG!F2334)</f>
        <v/>
      </c>
      <c r="G2334" s="3">
        <f>IF(ORIG!G2334=0,"",ORIG!G2334)</f>
        <v/>
      </c>
      <c r="H2334" s="3">
        <f>IF(ORIG!H2334=0,"",ORIG!H2334)</f>
        <v/>
      </c>
      <c r="I2334" s="3">
        <f>IF(ORIG!I2334=0,"",ORIG!I2334)</f>
        <v/>
      </c>
      <c r="J2334" s="3">
        <f>IF(ORIG!J2334=0,"",ORIG!J2334)</f>
        <v/>
      </c>
      <c r="K2334" s="3">
        <f>IF(ORIG!K2334=0,"",ORIG!K2334)</f>
        <v/>
      </c>
      <c r="L2334" s="3">
        <f>IF(ORIG!L2334=0,"",ORIG!L2334)</f>
        <v/>
      </c>
      <c r="M2334" s="3">
        <f>IF(ORIG!M2334=0,"",ORIG!M2334)</f>
        <v/>
      </c>
      <c r="N2334" s="3">
        <f>IF(ORIG!N2334=0,"",ORIG!N2334)</f>
        <v/>
      </c>
      <c r="O2334" s="3">
        <f>IF(ORIG!O2334=0,"",ORIG!O2334)</f>
        <v/>
      </c>
      <c r="P2334" s="3">
        <f>IF(ORIG!P2334=0,"",ORIG!P2334)</f>
        <v/>
      </c>
      <c r="Q2334" s="3">
        <f>IF(ORIG!Q2334=0,"",ORIG!Q2334)</f>
        <v/>
      </c>
      <c r="R2334" s="3">
        <f>IF(ORIG!R2334=0,"",ORIG!R2334)</f>
        <v/>
      </c>
      <c r="S2334" s="3">
        <f>IF(ORIG!S2334=0,"",ORIG!S2334)</f>
        <v/>
      </c>
      <c r="T2334" s="3">
        <f>IF(ORIG!T2334=0,"",ORIG!T2334)</f>
        <v/>
      </c>
      <c r="U2334" s="3">
        <f>IF(ORIG!U2334=0,"",ORIG!U2334)</f>
        <v/>
      </c>
      <c r="V2334" s="9">
        <f>IF(ORIG!V2334=0,"",ORIG!V2334)</f>
        <v/>
      </c>
      <c r="W2334" s="9">
        <f>IF(ORIG!W2334=0,"",ORIG!W2334)</f>
        <v/>
      </c>
      <c r="X2334" s="9">
        <f>IF(ORIG!X2334=0,"",ORIG!X2334)</f>
        <v/>
      </c>
      <c r="Y2334" s="9">
        <f>IF(ORIG!Y2334=0,"",ORIG!Y2334)</f>
        <v/>
      </c>
      <c r="Z2334" s="3">
        <f>SUMPRODUCT($B2334:$Y2334,$B$2649:$Y$2649)</f>
        <v/>
      </c>
      <c r="AA2334" s="3">
        <f>SUMPRODUCT($B2334:$Y2334,$B$2655:$Y$2655)</f>
        <v/>
      </c>
      <c r="AC2334" s="1">
        <f>A2334</f>
        <v/>
      </c>
      <c r="AD2334">
        <f>IF(ISNUMBER(V2334),V2334*($AB$1/V$2635),"")</f>
        <v/>
      </c>
      <c r="AE2334">
        <f>IF(ISNUMBER(Z2334),Z2334*($AB$1/Z$2635),"")</f>
        <v/>
      </c>
      <c r="AF2334" s="25">
        <f>IF(ISNUMBER(AD2334+AE2334),AD2334+AE2334,"")</f>
        <v/>
      </c>
      <c r="AH2334" s="1">
        <f>A2334</f>
        <v/>
      </c>
      <c r="AI2334">
        <f>IF(ISNUMBER((1+V2334)*AI2333),(1+V2334)*AI2333,AI2333)</f>
        <v/>
      </c>
      <c r="AJ2334">
        <f>IF(ISNUMBER((1+Z2334)*AJ2333),(1+Z2334)*AJ2333,AJ2333)</f>
        <v/>
      </c>
    </row>
    <row r="2335">
      <c r="A2335" s="1" t="n">
        <v>45392</v>
      </c>
      <c r="B2335" s="3">
        <f>IF(ORIG!B2335=0,"",ORIG!B2335)</f>
        <v/>
      </c>
      <c r="C2335" s="3">
        <f>IF(ORIG!C2335=0,"",ORIG!C2335)</f>
        <v/>
      </c>
      <c r="D2335" s="3">
        <f>IF(ORIG!D2335=0,"",ORIG!D2335)</f>
        <v/>
      </c>
      <c r="E2335" s="3">
        <f>IF(ORIG!E2335=0,"",ORIG!E2335)</f>
        <v/>
      </c>
      <c r="F2335" s="3">
        <f>IF(ORIG!F2335=0,"",ORIG!F2335)</f>
        <v/>
      </c>
      <c r="G2335" s="3">
        <f>IF(ORIG!G2335=0,"",ORIG!G2335)</f>
        <v/>
      </c>
      <c r="H2335" s="3">
        <f>IF(ORIG!H2335=0,"",ORIG!H2335)</f>
        <v/>
      </c>
      <c r="I2335" s="3">
        <f>IF(ORIG!I2335=0,"",ORIG!I2335)</f>
        <v/>
      </c>
      <c r="J2335" s="3">
        <f>IF(ORIG!J2335=0,"",ORIG!J2335)</f>
        <v/>
      </c>
      <c r="K2335" s="3">
        <f>IF(ORIG!K2335=0,"",ORIG!K2335)</f>
        <v/>
      </c>
      <c r="L2335" s="3">
        <f>IF(ORIG!L2335=0,"",ORIG!L2335)</f>
        <v/>
      </c>
      <c r="M2335" s="3">
        <f>IF(ORIG!M2335=0,"",ORIG!M2335)</f>
        <v/>
      </c>
      <c r="N2335" s="3">
        <f>IF(ORIG!N2335=0,"",ORIG!N2335)</f>
        <v/>
      </c>
      <c r="O2335" s="3">
        <f>IF(ORIG!O2335=0,"",ORIG!O2335)</f>
        <v/>
      </c>
      <c r="P2335" s="3">
        <f>IF(ORIG!P2335=0,"",ORIG!P2335)</f>
        <v/>
      </c>
      <c r="Q2335" s="3">
        <f>IF(ORIG!Q2335=0,"",ORIG!Q2335)</f>
        <v/>
      </c>
      <c r="R2335" s="3">
        <f>IF(ORIG!R2335=0,"",ORIG!R2335)</f>
        <v/>
      </c>
      <c r="S2335" s="3">
        <f>IF(ORIG!S2335=0,"",ORIG!S2335)</f>
        <v/>
      </c>
      <c r="T2335" s="3">
        <f>IF(ORIG!T2335=0,"",ORIG!T2335)</f>
        <v/>
      </c>
      <c r="U2335" s="3">
        <f>IF(ORIG!U2335=0,"",ORIG!U2335)</f>
        <v/>
      </c>
      <c r="V2335" s="9">
        <f>IF(ORIG!V2335=0,"",ORIG!V2335)</f>
        <v/>
      </c>
      <c r="W2335" s="9">
        <f>IF(ORIG!W2335=0,"",ORIG!W2335)</f>
        <v/>
      </c>
      <c r="X2335" s="9">
        <f>IF(ORIG!X2335=0,"",ORIG!X2335)</f>
        <v/>
      </c>
      <c r="Y2335" s="9">
        <f>IF(ORIG!Y2335=0,"",ORIG!Y2335)</f>
        <v/>
      </c>
      <c r="Z2335" s="3">
        <f>SUMPRODUCT($B2335:$Y2335,$B$2649:$Y$2649)</f>
        <v/>
      </c>
      <c r="AA2335" s="3">
        <f>SUMPRODUCT($B2335:$Y2335,$B$2655:$Y$2655)</f>
        <v/>
      </c>
      <c r="AC2335" s="1">
        <f>A2335</f>
        <v/>
      </c>
      <c r="AD2335">
        <f>IF(ISNUMBER(V2335),V2335*($AB$1/V$2635),"")</f>
        <v/>
      </c>
      <c r="AE2335">
        <f>IF(ISNUMBER(Z2335),Z2335*($AB$1/Z$2635),"")</f>
        <v/>
      </c>
      <c r="AF2335" s="25">
        <f>IF(ISNUMBER(AD2335+AE2335),AD2335+AE2335,"")</f>
        <v/>
      </c>
      <c r="AH2335" s="1">
        <f>A2335</f>
        <v/>
      </c>
      <c r="AI2335">
        <f>IF(ISNUMBER((1+V2335)*AI2334),(1+V2335)*AI2334,AI2334)</f>
        <v/>
      </c>
      <c r="AJ2335">
        <f>IF(ISNUMBER((1+Z2335)*AJ2334),(1+Z2335)*AJ2334,AJ2334)</f>
        <v/>
      </c>
    </row>
    <row r="2336">
      <c r="A2336" s="1" t="n">
        <v>45393</v>
      </c>
      <c r="B2336" s="3">
        <f>IF(ORIG!B2336=0,"",ORIG!B2336)</f>
        <v/>
      </c>
      <c r="C2336" s="3">
        <f>IF(ORIG!C2336=0,"",ORIG!C2336)</f>
        <v/>
      </c>
      <c r="D2336" s="3">
        <f>IF(ORIG!D2336=0,"",ORIG!D2336)</f>
        <v/>
      </c>
      <c r="E2336" s="3">
        <f>IF(ORIG!E2336=0,"",ORIG!E2336)</f>
        <v/>
      </c>
      <c r="F2336" s="3">
        <f>IF(ORIG!F2336=0,"",ORIG!F2336)</f>
        <v/>
      </c>
      <c r="G2336" s="3">
        <f>IF(ORIG!G2336=0,"",ORIG!G2336)</f>
        <v/>
      </c>
      <c r="H2336" s="3">
        <f>IF(ORIG!H2336=0,"",ORIG!H2336)</f>
        <v/>
      </c>
      <c r="I2336" s="3">
        <f>IF(ORIG!I2336=0,"",ORIG!I2336)</f>
        <v/>
      </c>
      <c r="J2336" s="3">
        <f>IF(ORIG!J2336=0,"",ORIG!J2336)</f>
        <v/>
      </c>
      <c r="K2336" s="3">
        <f>IF(ORIG!K2336=0,"",ORIG!K2336)</f>
        <v/>
      </c>
      <c r="L2336" s="3">
        <f>IF(ORIG!L2336=0,"",ORIG!L2336)</f>
        <v/>
      </c>
      <c r="M2336" s="3">
        <f>IF(ORIG!M2336=0,"",ORIG!M2336)</f>
        <v/>
      </c>
      <c r="N2336" s="3">
        <f>IF(ORIG!N2336=0,"",ORIG!N2336)</f>
        <v/>
      </c>
      <c r="O2336" s="3">
        <f>IF(ORIG!O2336=0,"",ORIG!O2336)</f>
        <v/>
      </c>
      <c r="P2336" s="3">
        <f>IF(ORIG!P2336=0,"",ORIG!P2336)</f>
        <v/>
      </c>
      <c r="Q2336" s="3">
        <f>IF(ORIG!Q2336=0,"",ORIG!Q2336)</f>
        <v/>
      </c>
      <c r="R2336" s="3">
        <f>IF(ORIG!R2336=0,"",ORIG!R2336)</f>
        <v/>
      </c>
      <c r="S2336" s="3">
        <f>IF(ORIG!S2336=0,"",ORIG!S2336)</f>
        <v/>
      </c>
      <c r="T2336" s="3">
        <f>IF(ORIG!T2336=0,"",ORIG!T2336)</f>
        <v/>
      </c>
      <c r="U2336" s="3">
        <f>IF(ORIG!U2336=0,"",ORIG!U2336)</f>
        <v/>
      </c>
      <c r="V2336" s="9">
        <f>IF(ORIG!V2336=0,"",ORIG!V2336)</f>
        <v/>
      </c>
      <c r="W2336" s="9">
        <f>IF(ORIG!W2336=0,"",ORIG!W2336)</f>
        <v/>
      </c>
      <c r="X2336" s="9">
        <f>IF(ORIG!X2336=0,"",ORIG!X2336)</f>
        <v/>
      </c>
      <c r="Y2336" s="9">
        <f>IF(ORIG!Y2336=0,"",ORIG!Y2336)</f>
        <v/>
      </c>
      <c r="Z2336" s="3">
        <f>SUMPRODUCT($B2336:$Y2336,$B$2649:$Y$2649)</f>
        <v/>
      </c>
      <c r="AA2336" s="3">
        <f>SUMPRODUCT($B2336:$Y2336,$B$2655:$Y$2655)</f>
        <v/>
      </c>
      <c r="AC2336" s="1">
        <f>A2336</f>
        <v/>
      </c>
      <c r="AD2336">
        <f>IF(ISNUMBER(V2336),V2336*($AB$1/V$2635),"")</f>
        <v/>
      </c>
      <c r="AE2336">
        <f>IF(ISNUMBER(Z2336),Z2336*($AB$1/Z$2635),"")</f>
        <v/>
      </c>
      <c r="AF2336" s="25">
        <f>IF(ISNUMBER(AD2336+AE2336),AD2336+AE2336,"")</f>
        <v/>
      </c>
      <c r="AH2336" s="1">
        <f>A2336</f>
        <v/>
      </c>
      <c r="AI2336">
        <f>IF(ISNUMBER((1+V2336)*AI2335),(1+V2336)*AI2335,AI2335)</f>
        <v/>
      </c>
      <c r="AJ2336">
        <f>IF(ISNUMBER((1+Z2336)*AJ2335),(1+Z2336)*AJ2335,AJ2335)</f>
        <v/>
      </c>
    </row>
    <row r="2337">
      <c r="A2337" s="1" t="n">
        <v>45394</v>
      </c>
      <c r="B2337" s="3">
        <f>IF(ORIG!B2337=0,"",ORIG!B2337)</f>
        <v/>
      </c>
      <c r="C2337" s="3">
        <f>IF(ORIG!C2337=0,"",ORIG!C2337)</f>
        <v/>
      </c>
      <c r="D2337" s="3">
        <f>IF(ORIG!D2337=0,"",ORIG!D2337)</f>
        <v/>
      </c>
      <c r="E2337" s="3">
        <f>IF(ORIG!E2337=0,"",ORIG!E2337)</f>
        <v/>
      </c>
      <c r="F2337" s="3">
        <f>IF(ORIG!F2337=0,"",ORIG!F2337)</f>
        <v/>
      </c>
      <c r="G2337" s="3">
        <f>IF(ORIG!G2337=0,"",ORIG!G2337)</f>
        <v/>
      </c>
      <c r="H2337" s="3">
        <f>IF(ORIG!H2337=0,"",ORIG!H2337)</f>
        <v/>
      </c>
      <c r="I2337" s="3">
        <f>IF(ORIG!I2337=0,"",ORIG!I2337)</f>
        <v/>
      </c>
      <c r="J2337" s="3">
        <f>IF(ORIG!J2337=0,"",ORIG!J2337)</f>
        <v/>
      </c>
      <c r="K2337" s="3">
        <f>IF(ORIG!K2337=0,"",ORIG!K2337)</f>
        <v/>
      </c>
      <c r="L2337" s="3">
        <f>IF(ORIG!L2337=0,"",ORIG!L2337)</f>
        <v/>
      </c>
      <c r="M2337" s="3">
        <f>IF(ORIG!M2337=0,"",ORIG!M2337)</f>
        <v/>
      </c>
      <c r="N2337" s="3">
        <f>IF(ORIG!N2337=0,"",ORIG!N2337)</f>
        <v/>
      </c>
      <c r="O2337" s="3">
        <f>IF(ORIG!O2337=0,"",ORIG!O2337)</f>
        <v/>
      </c>
      <c r="P2337" s="3">
        <f>IF(ORIG!P2337=0,"",ORIG!P2337)</f>
        <v/>
      </c>
      <c r="Q2337" s="3">
        <f>IF(ORIG!Q2337=0,"",ORIG!Q2337)</f>
        <v/>
      </c>
      <c r="R2337" s="3">
        <f>IF(ORIG!R2337=0,"",ORIG!R2337)</f>
        <v/>
      </c>
      <c r="S2337" s="3">
        <f>IF(ORIG!S2337=0,"",ORIG!S2337)</f>
        <v/>
      </c>
      <c r="T2337" s="3">
        <f>IF(ORIG!T2337=0,"",ORIG!T2337)</f>
        <v/>
      </c>
      <c r="U2337" s="3">
        <f>IF(ORIG!U2337=0,"",ORIG!U2337)</f>
        <v/>
      </c>
      <c r="V2337" s="9">
        <f>IF(ORIG!V2337=0,"",ORIG!V2337)</f>
        <v/>
      </c>
      <c r="W2337" s="9">
        <f>IF(ORIG!W2337=0,"",ORIG!W2337)</f>
        <v/>
      </c>
      <c r="X2337" s="9">
        <f>IF(ORIG!X2337=0,"",ORIG!X2337)</f>
        <v/>
      </c>
      <c r="Y2337" s="9">
        <f>IF(ORIG!Y2337=0,"",ORIG!Y2337)</f>
        <v/>
      </c>
      <c r="Z2337" s="3">
        <f>SUMPRODUCT($B2337:$Y2337,$B$2649:$Y$2649)</f>
        <v/>
      </c>
      <c r="AA2337" s="3">
        <f>SUMPRODUCT($B2337:$Y2337,$B$2655:$Y$2655)</f>
        <v/>
      </c>
      <c r="AC2337" s="1">
        <f>A2337</f>
        <v/>
      </c>
      <c r="AD2337">
        <f>IF(ISNUMBER(V2337),V2337*($AB$1/V$2635),"")</f>
        <v/>
      </c>
      <c r="AE2337">
        <f>IF(ISNUMBER(Z2337),Z2337*($AB$1/Z$2635),"")</f>
        <v/>
      </c>
      <c r="AF2337" s="25">
        <f>IF(ISNUMBER(AD2337+AE2337),AD2337+AE2337,"")</f>
        <v/>
      </c>
      <c r="AH2337" s="1">
        <f>A2337</f>
        <v/>
      </c>
      <c r="AI2337">
        <f>IF(ISNUMBER((1+V2337)*AI2336),(1+V2337)*AI2336,AI2336)</f>
        <v/>
      </c>
      <c r="AJ2337">
        <f>IF(ISNUMBER((1+Z2337)*AJ2336),(1+Z2337)*AJ2336,AJ2336)</f>
        <v/>
      </c>
    </row>
    <row r="2338">
      <c r="A2338" s="1" t="n">
        <v>45397</v>
      </c>
      <c r="B2338" s="3">
        <f>IF(ORIG!B2338=0,"",ORIG!B2338)</f>
        <v/>
      </c>
      <c r="C2338" s="3">
        <f>IF(ORIG!C2338=0,"",ORIG!C2338)</f>
        <v/>
      </c>
      <c r="D2338" s="3">
        <f>IF(ORIG!D2338=0,"",ORIG!D2338)</f>
        <v/>
      </c>
      <c r="E2338" s="3">
        <f>IF(ORIG!E2338=0,"",ORIG!E2338)</f>
        <v/>
      </c>
      <c r="F2338" s="3">
        <f>IF(ORIG!F2338=0,"",ORIG!F2338)</f>
        <v/>
      </c>
      <c r="G2338" s="3">
        <f>IF(ORIG!G2338=0,"",ORIG!G2338)</f>
        <v/>
      </c>
      <c r="H2338" s="3">
        <f>IF(ORIG!H2338=0,"",ORIG!H2338)</f>
        <v/>
      </c>
      <c r="I2338" s="3">
        <f>IF(ORIG!I2338=0,"",ORIG!I2338)</f>
        <v/>
      </c>
      <c r="J2338" s="3">
        <f>IF(ORIG!J2338=0,"",ORIG!J2338)</f>
        <v/>
      </c>
      <c r="K2338" s="3">
        <f>IF(ORIG!K2338=0,"",ORIG!K2338)</f>
        <v/>
      </c>
      <c r="L2338" s="3">
        <f>IF(ORIG!L2338=0,"",ORIG!L2338)</f>
        <v/>
      </c>
      <c r="M2338" s="3">
        <f>IF(ORIG!M2338=0,"",ORIG!M2338)</f>
        <v/>
      </c>
      <c r="N2338" s="3">
        <f>IF(ORIG!N2338=0,"",ORIG!N2338)</f>
        <v/>
      </c>
      <c r="O2338" s="3">
        <f>IF(ORIG!O2338=0,"",ORIG!O2338)</f>
        <v/>
      </c>
      <c r="P2338" s="3">
        <f>IF(ORIG!P2338=0,"",ORIG!P2338)</f>
        <v/>
      </c>
      <c r="Q2338" s="3">
        <f>IF(ORIG!Q2338=0,"",ORIG!Q2338)</f>
        <v/>
      </c>
      <c r="R2338" s="3">
        <f>IF(ORIG!R2338=0,"",ORIG!R2338)</f>
        <v/>
      </c>
      <c r="S2338" s="3">
        <f>IF(ORIG!S2338=0,"",ORIG!S2338)</f>
        <v/>
      </c>
      <c r="T2338" s="3">
        <f>IF(ORIG!T2338=0,"",ORIG!T2338)</f>
        <v/>
      </c>
      <c r="U2338" s="3">
        <f>IF(ORIG!U2338=0,"",ORIG!U2338)</f>
        <v/>
      </c>
      <c r="V2338" s="9">
        <f>IF(ORIG!V2338=0,"",ORIG!V2338)</f>
        <v/>
      </c>
      <c r="W2338" s="9">
        <f>IF(ORIG!W2338=0,"",ORIG!W2338)</f>
        <v/>
      </c>
      <c r="X2338" s="9">
        <f>IF(ORIG!X2338=0,"",ORIG!X2338)</f>
        <v/>
      </c>
      <c r="Y2338" s="9">
        <f>IF(ORIG!Y2338=0,"",ORIG!Y2338)</f>
        <v/>
      </c>
      <c r="Z2338" s="3">
        <f>SUMPRODUCT($B2338:$Y2338,$B$2649:$Y$2649)</f>
        <v/>
      </c>
      <c r="AA2338" s="3">
        <f>SUMPRODUCT($B2338:$Y2338,$B$2655:$Y$2655)</f>
        <v/>
      </c>
      <c r="AC2338" s="1">
        <f>A2338</f>
        <v/>
      </c>
      <c r="AD2338">
        <f>IF(ISNUMBER(V2338),V2338*($AB$1/V$2635),"")</f>
        <v/>
      </c>
      <c r="AE2338">
        <f>IF(ISNUMBER(Z2338),Z2338*($AB$1/Z$2635),"")</f>
        <v/>
      </c>
      <c r="AF2338" s="25">
        <f>IF(ISNUMBER(AD2338+AE2338),AD2338+AE2338,"")</f>
        <v/>
      </c>
      <c r="AH2338" s="1">
        <f>A2338</f>
        <v/>
      </c>
      <c r="AI2338">
        <f>IF(ISNUMBER((1+V2338)*AI2337),(1+V2338)*AI2337,AI2337)</f>
        <v/>
      </c>
      <c r="AJ2338">
        <f>IF(ISNUMBER((1+Z2338)*AJ2337),(1+Z2338)*AJ2337,AJ2337)</f>
        <v/>
      </c>
    </row>
    <row r="2339">
      <c r="A2339" s="1" t="n">
        <v>45398</v>
      </c>
      <c r="B2339" s="3">
        <f>IF(ORIG!B2339=0,"",ORIG!B2339)</f>
        <v/>
      </c>
      <c r="C2339" s="3">
        <f>IF(ORIG!C2339=0,"",ORIG!C2339)</f>
        <v/>
      </c>
      <c r="D2339" s="3">
        <f>IF(ORIG!D2339=0,"",ORIG!D2339)</f>
        <v/>
      </c>
      <c r="E2339" s="3">
        <f>IF(ORIG!E2339=0,"",ORIG!E2339)</f>
        <v/>
      </c>
      <c r="F2339" s="3">
        <f>IF(ORIG!F2339=0,"",ORIG!F2339)</f>
        <v/>
      </c>
      <c r="G2339" s="3">
        <f>IF(ORIG!G2339=0,"",ORIG!G2339)</f>
        <v/>
      </c>
      <c r="H2339" s="3">
        <f>IF(ORIG!H2339=0,"",ORIG!H2339)</f>
        <v/>
      </c>
      <c r="I2339" s="3">
        <f>IF(ORIG!I2339=0,"",ORIG!I2339)</f>
        <v/>
      </c>
      <c r="J2339" s="3">
        <f>IF(ORIG!J2339=0,"",ORIG!J2339)</f>
        <v/>
      </c>
      <c r="K2339" s="3">
        <f>IF(ORIG!K2339=0,"",ORIG!K2339)</f>
        <v/>
      </c>
      <c r="L2339" s="3">
        <f>IF(ORIG!L2339=0,"",ORIG!L2339)</f>
        <v/>
      </c>
      <c r="M2339" s="3">
        <f>IF(ORIG!M2339=0,"",ORIG!M2339)</f>
        <v/>
      </c>
      <c r="N2339" s="3">
        <f>IF(ORIG!N2339=0,"",ORIG!N2339)</f>
        <v/>
      </c>
      <c r="O2339" s="3">
        <f>IF(ORIG!O2339=0,"",ORIG!O2339)</f>
        <v/>
      </c>
      <c r="P2339" s="3">
        <f>IF(ORIG!P2339=0,"",ORIG!P2339)</f>
        <v/>
      </c>
      <c r="Q2339" s="3">
        <f>IF(ORIG!Q2339=0,"",ORIG!Q2339)</f>
        <v/>
      </c>
      <c r="R2339" s="3">
        <f>IF(ORIG!R2339=0,"",ORIG!R2339)</f>
        <v/>
      </c>
      <c r="S2339" s="3">
        <f>IF(ORIG!S2339=0,"",ORIG!S2339)</f>
        <v/>
      </c>
      <c r="T2339" s="3">
        <f>IF(ORIG!T2339=0,"",ORIG!T2339)</f>
        <v/>
      </c>
      <c r="U2339" s="3">
        <f>IF(ORIG!U2339=0,"",ORIG!U2339)</f>
        <v/>
      </c>
      <c r="V2339" s="9">
        <f>IF(ORIG!V2339=0,"",ORIG!V2339)</f>
        <v/>
      </c>
      <c r="W2339" s="9">
        <f>IF(ORIG!W2339=0,"",ORIG!W2339)</f>
        <v/>
      </c>
      <c r="X2339" s="9">
        <f>IF(ORIG!X2339=0,"",ORIG!X2339)</f>
        <v/>
      </c>
      <c r="Y2339" s="9">
        <f>IF(ORIG!Y2339=0,"",ORIG!Y2339)</f>
        <v/>
      </c>
      <c r="Z2339" s="3">
        <f>SUMPRODUCT($B2339:$Y2339,$B$2649:$Y$2649)</f>
        <v/>
      </c>
      <c r="AA2339" s="3">
        <f>SUMPRODUCT($B2339:$Y2339,$B$2655:$Y$2655)</f>
        <v/>
      </c>
      <c r="AC2339" s="1">
        <f>A2339</f>
        <v/>
      </c>
      <c r="AD2339">
        <f>IF(ISNUMBER(V2339),V2339*($AB$1/V$2635),"")</f>
        <v/>
      </c>
      <c r="AE2339">
        <f>IF(ISNUMBER(Z2339),Z2339*($AB$1/Z$2635),"")</f>
        <v/>
      </c>
      <c r="AF2339" s="25">
        <f>IF(ISNUMBER(AD2339+AE2339),AD2339+AE2339,"")</f>
        <v/>
      </c>
      <c r="AH2339" s="1">
        <f>A2339</f>
        <v/>
      </c>
      <c r="AI2339">
        <f>IF(ISNUMBER((1+V2339)*AI2338),(1+V2339)*AI2338,AI2338)</f>
        <v/>
      </c>
      <c r="AJ2339">
        <f>IF(ISNUMBER((1+Z2339)*AJ2338),(1+Z2339)*AJ2338,AJ2338)</f>
        <v/>
      </c>
    </row>
    <row r="2340">
      <c r="A2340" s="1" t="n">
        <v>45399</v>
      </c>
      <c r="B2340" s="3">
        <f>IF(ORIG!B2340=0,"",ORIG!B2340)</f>
        <v/>
      </c>
      <c r="C2340" s="3">
        <f>IF(ORIG!C2340=0,"",ORIG!C2340)</f>
        <v/>
      </c>
      <c r="D2340" s="3">
        <f>IF(ORIG!D2340=0,"",ORIG!D2340)</f>
        <v/>
      </c>
      <c r="E2340" s="3">
        <f>IF(ORIG!E2340=0,"",ORIG!E2340)</f>
        <v/>
      </c>
      <c r="F2340" s="3">
        <f>IF(ORIG!F2340=0,"",ORIG!F2340)</f>
        <v/>
      </c>
      <c r="G2340" s="3">
        <f>IF(ORIG!G2340=0,"",ORIG!G2340)</f>
        <v/>
      </c>
      <c r="H2340" s="3">
        <f>IF(ORIG!H2340=0,"",ORIG!H2340)</f>
        <v/>
      </c>
      <c r="I2340" s="3">
        <f>IF(ORIG!I2340=0,"",ORIG!I2340)</f>
        <v/>
      </c>
      <c r="J2340" s="3">
        <f>IF(ORIG!J2340=0,"",ORIG!J2340)</f>
        <v/>
      </c>
      <c r="K2340" s="3">
        <f>IF(ORIG!K2340=0,"",ORIG!K2340)</f>
        <v/>
      </c>
      <c r="L2340" s="3">
        <f>IF(ORIG!L2340=0,"",ORIG!L2340)</f>
        <v/>
      </c>
      <c r="M2340" s="3">
        <f>IF(ORIG!M2340=0,"",ORIG!M2340)</f>
        <v/>
      </c>
      <c r="N2340" s="3">
        <f>IF(ORIG!N2340=0,"",ORIG!N2340)</f>
        <v/>
      </c>
      <c r="O2340" s="3">
        <f>IF(ORIG!O2340=0,"",ORIG!O2340)</f>
        <v/>
      </c>
      <c r="P2340" s="3">
        <f>IF(ORIG!P2340=0,"",ORIG!P2340)</f>
        <v/>
      </c>
      <c r="Q2340" s="3">
        <f>IF(ORIG!Q2340=0,"",ORIG!Q2340)</f>
        <v/>
      </c>
      <c r="R2340" s="3">
        <f>IF(ORIG!R2340=0,"",ORIG!R2340)</f>
        <v/>
      </c>
      <c r="S2340" s="3">
        <f>IF(ORIG!S2340=0,"",ORIG!S2340)</f>
        <v/>
      </c>
      <c r="T2340" s="3">
        <f>IF(ORIG!T2340=0,"",ORIG!T2340)</f>
        <v/>
      </c>
      <c r="U2340" s="3">
        <f>IF(ORIG!U2340=0,"",ORIG!U2340)</f>
        <v/>
      </c>
      <c r="V2340" s="9">
        <f>IF(ORIG!V2340=0,"",ORIG!V2340)</f>
        <v/>
      </c>
      <c r="W2340" s="9">
        <f>IF(ORIG!W2340=0,"",ORIG!W2340)</f>
        <v/>
      </c>
      <c r="X2340" s="9">
        <f>IF(ORIG!X2340=0,"",ORIG!X2340)</f>
        <v/>
      </c>
      <c r="Y2340" s="9">
        <f>IF(ORIG!Y2340=0,"",ORIG!Y2340)</f>
        <v/>
      </c>
      <c r="Z2340" s="3">
        <f>SUMPRODUCT($B2340:$Y2340,$B$2649:$Y$2649)</f>
        <v/>
      </c>
      <c r="AA2340" s="3">
        <f>SUMPRODUCT($B2340:$Y2340,$B$2655:$Y$2655)</f>
        <v/>
      </c>
      <c r="AC2340" s="1">
        <f>A2340</f>
        <v/>
      </c>
      <c r="AD2340">
        <f>IF(ISNUMBER(V2340),V2340*($AB$1/V$2635),"")</f>
        <v/>
      </c>
      <c r="AE2340">
        <f>IF(ISNUMBER(Z2340),Z2340*($AB$1/Z$2635),"")</f>
        <v/>
      </c>
      <c r="AF2340" s="25">
        <f>IF(ISNUMBER(AD2340+AE2340),AD2340+AE2340,"")</f>
        <v/>
      </c>
      <c r="AH2340" s="1">
        <f>A2340</f>
        <v/>
      </c>
      <c r="AI2340">
        <f>IF(ISNUMBER((1+V2340)*AI2339),(1+V2340)*AI2339,AI2339)</f>
        <v/>
      </c>
      <c r="AJ2340">
        <f>IF(ISNUMBER((1+Z2340)*AJ2339),(1+Z2340)*AJ2339,AJ2339)</f>
        <v/>
      </c>
    </row>
    <row r="2341">
      <c r="A2341" s="1" t="n">
        <v>45400</v>
      </c>
      <c r="B2341" s="3">
        <f>IF(ORIG!B2341=0,"",ORIG!B2341)</f>
        <v/>
      </c>
      <c r="C2341" s="3">
        <f>IF(ORIG!C2341=0,"",ORIG!C2341)</f>
        <v/>
      </c>
      <c r="D2341" s="3">
        <f>IF(ORIG!D2341=0,"",ORIG!D2341)</f>
        <v/>
      </c>
      <c r="E2341" s="3">
        <f>IF(ORIG!E2341=0,"",ORIG!E2341)</f>
        <v/>
      </c>
      <c r="F2341" s="3">
        <f>IF(ORIG!F2341=0,"",ORIG!F2341)</f>
        <v/>
      </c>
      <c r="G2341" s="3">
        <f>IF(ORIG!G2341=0,"",ORIG!G2341)</f>
        <v/>
      </c>
      <c r="H2341" s="3">
        <f>IF(ORIG!H2341=0,"",ORIG!H2341)</f>
        <v/>
      </c>
      <c r="I2341" s="3">
        <f>IF(ORIG!I2341=0,"",ORIG!I2341)</f>
        <v/>
      </c>
      <c r="J2341" s="3">
        <f>IF(ORIG!J2341=0,"",ORIG!J2341)</f>
        <v/>
      </c>
      <c r="K2341" s="3">
        <f>IF(ORIG!K2341=0,"",ORIG!K2341)</f>
        <v/>
      </c>
      <c r="L2341" s="3">
        <f>IF(ORIG!L2341=0,"",ORIG!L2341)</f>
        <v/>
      </c>
      <c r="M2341" s="3">
        <f>IF(ORIG!M2341=0,"",ORIG!M2341)</f>
        <v/>
      </c>
      <c r="N2341" s="3">
        <f>IF(ORIG!N2341=0,"",ORIG!N2341)</f>
        <v/>
      </c>
      <c r="O2341" s="3">
        <f>IF(ORIG!O2341=0,"",ORIG!O2341)</f>
        <v/>
      </c>
      <c r="P2341" s="3">
        <f>IF(ORIG!P2341=0,"",ORIG!P2341)</f>
        <v/>
      </c>
      <c r="Q2341" s="3">
        <f>IF(ORIG!Q2341=0,"",ORIG!Q2341)</f>
        <v/>
      </c>
      <c r="R2341" s="3">
        <f>IF(ORIG!R2341=0,"",ORIG!R2341)</f>
        <v/>
      </c>
      <c r="S2341" s="3">
        <f>IF(ORIG!S2341=0,"",ORIG!S2341)</f>
        <v/>
      </c>
      <c r="T2341" s="3">
        <f>IF(ORIG!T2341=0,"",ORIG!T2341)</f>
        <v/>
      </c>
      <c r="U2341" s="3">
        <f>IF(ORIG!U2341=0,"",ORIG!U2341)</f>
        <v/>
      </c>
      <c r="V2341" s="9">
        <f>IF(ORIG!V2341=0,"",ORIG!V2341)</f>
        <v/>
      </c>
      <c r="W2341" s="9">
        <f>IF(ORIG!W2341=0,"",ORIG!W2341)</f>
        <v/>
      </c>
      <c r="X2341" s="9">
        <f>IF(ORIG!X2341=0,"",ORIG!X2341)</f>
        <v/>
      </c>
      <c r="Y2341" s="9">
        <f>IF(ORIG!Y2341=0,"",ORIG!Y2341)</f>
        <v/>
      </c>
      <c r="Z2341" s="3">
        <f>SUMPRODUCT($B2341:$Y2341,$B$2649:$Y$2649)</f>
        <v/>
      </c>
      <c r="AA2341" s="3">
        <f>SUMPRODUCT($B2341:$Y2341,$B$2655:$Y$2655)</f>
        <v/>
      </c>
      <c r="AC2341" s="1">
        <f>A2341</f>
        <v/>
      </c>
      <c r="AD2341">
        <f>IF(ISNUMBER(V2341),V2341*($AB$1/V$2635),"")</f>
        <v/>
      </c>
      <c r="AE2341">
        <f>IF(ISNUMBER(Z2341),Z2341*($AB$1/Z$2635),"")</f>
        <v/>
      </c>
      <c r="AF2341" s="25">
        <f>IF(ISNUMBER(AD2341+AE2341),AD2341+AE2341,"")</f>
        <v/>
      </c>
      <c r="AH2341" s="1">
        <f>A2341</f>
        <v/>
      </c>
      <c r="AI2341">
        <f>IF(ISNUMBER((1+V2341)*AI2340),(1+V2341)*AI2340,AI2340)</f>
        <v/>
      </c>
      <c r="AJ2341">
        <f>IF(ISNUMBER((1+Z2341)*AJ2340),(1+Z2341)*AJ2340,AJ2340)</f>
        <v/>
      </c>
    </row>
    <row r="2342">
      <c r="A2342" s="1" t="n">
        <v>45401</v>
      </c>
      <c r="B2342" s="3">
        <f>IF(ORIG!B2342=0,"",ORIG!B2342)</f>
        <v/>
      </c>
      <c r="C2342" s="3">
        <f>IF(ORIG!C2342=0,"",ORIG!C2342)</f>
        <v/>
      </c>
      <c r="D2342" s="3">
        <f>IF(ORIG!D2342=0,"",ORIG!D2342)</f>
        <v/>
      </c>
      <c r="E2342" s="3">
        <f>IF(ORIG!E2342=0,"",ORIG!E2342)</f>
        <v/>
      </c>
      <c r="F2342" s="3">
        <f>IF(ORIG!F2342=0,"",ORIG!F2342)</f>
        <v/>
      </c>
      <c r="G2342" s="3">
        <f>IF(ORIG!G2342=0,"",ORIG!G2342)</f>
        <v/>
      </c>
      <c r="H2342" s="3">
        <f>IF(ORIG!H2342=0,"",ORIG!H2342)</f>
        <v/>
      </c>
      <c r="I2342" s="3">
        <f>IF(ORIG!I2342=0,"",ORIG!I2342)</f>
        <v/>
      </c>
      <c r="J2342" s="3">
        <f>IF(ORIG!J2342=0,"",ORIG!J2342)</f>
        <v/>
      </c>
      <c r="K2342" s="3">
        <f>IF(ORIG!K2342=0,"",ORIG!K2342)</f>
        <v/>
      </c>
      <c r="L2342" s="3">
        <f>IF(ORIG!L2342=0,"",ORIG!L2342)</f>
        <v/>
      </c>
      <c r="M2342" s="3">
        <f>IF(ORIG!M2342=0,"",ORIG!M2342)</f>
        <v/>
      </c>
      <c r="N2342" s="3">
        <f>IF(ORIG!N2342=0,"",ORIG!N2342)</f>
        <v/>
      </c>
      <c r="O2342" s="3">
        <f>IF(ORIG!O2342=0,"",ORIG!O2342)</f>
        <v/>
      </c>
      <c r="P2342" s="3">
        <f>IF(ORIG!P2342=0,"",ORIG!P2342)</f>
        <v/>
      </c>
      <c r="Q2342" s="3">
        <f>IF(ORIG!Q2342=0,"",ORIG!Q2342)</f>
        <v/>
      </c>
      <c r="R2342" s="3">
        <f>IF(ORIG!R2342=0,"",ORIG!R2342)</f>
        <v/>
      </c>
      <c r="S2342" s="3">
        <f>IF(ORIG!S2342=0,"",ORIG!S2342)</f>
        <v/>
      </c>
      <c r="T2342" s="3">
        <f>IF(ORIG!T2342=0,"",ORIG!T2342)</f>
        <v/>
      </c>
      <c r="U2342" s="3">
        <f>IF(ORIG!U2342=0,"",ORIG!U2342)</f>
        <v/>
      </c>
      <c r="V2342" s="9">
        <f>IF(ORIG!V2342=0,"",ORIG!V2342)</f>
        <v/>
      </c>
      <c r="W2342" s="9">
        <f>IF(ORIG!W2342=0,"",ORIG!W2342)</f>
        <v/>
      </c>
      <c r="X2342" s="9">
        <f>IF(ORIG!X2342=0,"",ORIG!X2342)</f>
        <v/>
      </c>
      <c r="Y2342" s="9">
        <f>IF(ORIG!Y2342=0,"",ORIG!Y2342)</f>
        <v/>
      </c>
      <c r="Z2342" s="3">
        <f>SUMPRODUCT($B2342:$Y2342,$B$2649:$Y$2649)</f>
        <v/>
      </c>
      <c r="AA2342" s="3">
        <f>SUMPRODUCT($B2342:$Y2342,$B$2655:$Y$2655)</f>
        <v/>
      </c>
      <c r="AC2342" s="1">
        <f>A2342</f>
        <v/>
      </c>
      <c r="AD2342">
        <f>IF(ISNUMBER(V2342),V2342*($AB$1/V$2635),"")</f>
        <v/>
      </c>
      <c r="AE2342">
        <f>IF(ISNUMBER(Z2342),Z2342*($AB$1/Z$2635),"")</f>
        <v/>
      </c>
      <c r="AF2342" s="25">
        <f>IF(ISNUMBER(AD2342+AE2342),AD2342+AE2342,"")</f>
        <v/>
      </c>
      <c r="AH2342" s="1">
        <f>A2342</f>
        <v/>
      </c>
      <c r="AI2342">
        <f>IF(ISNUMBER((1+V2342)*AI2341),(1+V2342)*AI2341,AI2341)</f>
        <v/>
      </c>
      <c r="AJ2342">
        <f>IF(ISNUMBER((1+Z2342)*AJ2341),(1+Z2342)*AJ2341,AJ2341)</f>
        <v/>
      </c>
    </row>
    <row r="2343">
      <c r="A2343" s="1" t="n">
        <v>45404</v>
      </c>
      <c r="B2343" s="3">
        <f>IF(ORIG!B2343=0,"",ORIG!B2343)</f>
        <v/>
      </c>
      <c r="C2343" s="3">
        <f>IF(ORIG!C2343=0,"",ORIG!C2343)</f>
        <v/>
      </c>
      <c r="D2343" s="3">
        <f>IF(ORIG!D2343=0,"",ORIG!D2343)</f>
        <v/>
      </c>
      <c r="E2343" s="3">
        <f>IF(ORIG!E2343=0,"",ORIG!E2343)</f>
        <v/>
      </c>
      <c r="F2343" s="3">
        <f>IF(ORIG!F2343=0,"",ORIG!F2343)</f>
        <v/>
      </c>
      <c r="G2343" s="3">
        <f>IF(ORIG!G2343=0,"",ORIG!G2343)</f>
        <v/>
      </c>
      <c r="H2343" s="3">
        <f>IF(ORIG!H2343=0,"",ORIG!H2343)</f>
        <v/>
      </c>
      <c r="I2343" s="3">
        <f>IF(ORIG!I2343=0,"",ORIG!I2343)</f>
        <v/>
      </c>
      <c r="J2343" s="3">
        <f>IF(ORIG!J2343=0,"",ORIG!J2343)</f>
        <v/>
      </c>
      <c r="K2343" s="3">
        <f>IF(ORIG!K2343=0,"",ORIG!K2343)</f>
        <v/>
      </c>
      <c r="L2343" s="3">
        <f>IF(ORIG!L2343=0,"",ORIG!L2343)</f>
        <v/>
      </c>
      <c r="M2343" s="3">
        <f>IF(ORIG!M2343=0,"",ORIG!M2343)</f>
        <v/>
      </c>
      <c r="N2343" s="3">
        <f>IF(ORIG!N2343=0,"",ORIG!N2343)</f>
        <v/>
      </c>
      <c r="O2343" s="3">
        <f>IF(ORIG!O2343=0,"",ORIG!O2343)</f>
        <v/>
      </c>
      <c r="P2343" s="3">
        <f>IF(ORIG!P2343=0,"",ORIG!P2343)</f>
        <v/>
      </c>
      <c r="Q2343" s="3">
        <f>IF(ORIG!Q2343=0,"",ORIG!Q2343)</f>
        <v/>
      </c>
      <c r="R2343" s="3">
        <f>IF(ORIG!R2343=0,"",ORIG!R2343)</f>
        <v/>
      </c>
      <c r="S2343" s="3">
        <f>IF(ORIG!S2343=0,"",ORIG!S2343)</f>
        <v/>
      </c>
      <c r="T2343" s="3">
        <f>IF(ORIG!T2343=0,"",ORIG!T2343)</f>
        <v/>
      </c>
      <c r="U2343" s="3">
        <f>IF(ORIG!U2343=0,"",ORIG!U2343)</f>
        <v/>
      </c>
      <c r="V2343" s="9">
        <f>IF(ORIG!V2343=0,"",ORIG!V2343)</f>
        <v/>
      </c>
      <c r="W2343" s="9">
        <f>IF(ORIG!W2343=0,"",ORIG!W2343)</f>
        <v/>
      </c>
      <c r="X2343" s="9">
        <f>IF(ORIG!X2343=0,"",ORIG!X2343)</f>
        <v/>
      </c>
      <c r="Y2343" s="9">
        <f>IF(ORIG!Y2343=0,"",ORIG!Y2343)</f>
        <v/>
      </c>
      <c r="Z2343" s="3">
        <f>SUMPRODUCT($B2343:$Y2343,$B$2649:$Y$2649)</f>
        <v/>
      </c>
      <c r="AA2343" s="3">
        <f>SUMPRODUCT($B2343:$Y2343,$B$2655:$Y$2655)</f>
        <v/>
      </c>
      <c r="AC2343" s="1">
        <f>A2343</f>
        <v/>
      </c>
      <c r="AD2343">
        <f>IF(ISNUMBER(V2343),V2343*($AB$1/V$2635),"")</f>
        <v/>
      </c>
      <c r="AE2343">
        <f>IF(ISNUMBER(Z2343),Z2343*($AB$1/Z$2635),"")</f>
        <v/>
      </c>
      <c r="AF2343" s="25">
        <f>IF(ISNUMBER(AD2343+AE2343),AD2343+AE2343,"")</f>
        <v/>
      </c>
      <c r="AH2343" s="1">
        <f>A2343</f>
        <v/>
      </c>
      <c r="AI2343">
        <f>IF(ISNUMBER((1+V2343)*AI2342),(1+V2343)*AI2342,AI2342)</f>
        <v/>
      </c>
      <c r="AJ2343">
        <f>IF(ISNUMBER((1+Z2343)*AJ2342),(1+Z2343)*AJ2342,AJ2342)</f>
        <v/>
      </c>
    </row>
    <row r="2344">
      <c r="A2344" s="1" t="n">
        <v>45405</v>
      </c>
      <c r="B2344" s="3">
        <f>IF(ORIG!B2344=0,"",ORIG!B2344)</f>
        <v/>
      </c>
      <c r="C2344" s="3">
        <f>IF(ORIG!C2344=0,"",ORIG!C2344)</f>
        <v/>
      </c>
      <c r="D2344" s="3">
        <f>IF(ORIG!D2344=0,"",ORIG!D2344)</f>
        <v/>
      </c>
      <c r="E2344" s="3">
        <f>IF(ORIG!E2344=0,"",ORIG!E2344)</f>
        <v/>
      </c>
      <c r="F2344" s="3">
        <f>IF(ORIG!F2344=0,"",ORIG!F2344)</f>
        <v/>
      </c>
      <c r="G2344" s="3">
        <f>IF(ORIG!G2344=0,"",ORIG!G2344)</f>
        <v/>
      </c>
      <c r="H2344" s="3">
        <f>IF(ORIG!H2344=0,"",ORIG!H2344)</f>
        <v/>
      </c>
      <c r="I2344" s="3">
        <f>IF(ORIG!I2344=0,"",ORIG!I2344)</f>
        <v/>
      </c>
      <c r="J2344" s="3">
        <f>IF(ORIG!J2344=0,"",ORIG!J2344)</f>
        <v/>
      </c>
      <c r="K2344" s="3">
        <f>IF(ORIG!K2344=0,"",ORIG!K2344)</f>
        <v/>
      </c>
      <c r="L2344" s="3">
        <f>IF(ORIG!L2344=0,"",ORIG!L2344)</f>
        <v/>
      </c>
      <c r="M2344" s="3">
        <f>IF(ORIG!M2344=0,"",ORIG!M2344)</f>
        <v/>
      </c>
      <c r="N2344" s="3">
        <f>IF(ORIG!N2344=0,"",ORIG!N2344)</f>
        <v/>
      </c>
      <c r="O2344" s="3">
        <f>IF(ORIG!O2344=0,"",ORIG!O2344)</f>
        <v/>
      </c>
      <c r="P2344" s="3">
        <f>IF(ORIG!P2344=0,"",ORIG!P2344)</f>
        <v/>
      </c>
      <c r="Q2344" s="3">
        <f>IF(ORIG!Q2344=0,"",ORIG!Q2344)</f>
        <v/>
      </c>
      <c r="R2344" s="3">
        <f>IF(ORIG!R2344=0,"",ORIG!R2344)</f>
        <v/>
      </c>
      <c r="S2344" s="3">
        <f>IF(ORIG!S2344=0,"",ORIG!S2344)</f>
        <v/>
      </c>
      <c r="T2344" s="3">
        <f>IF(ORIG!T2344=0,"",ORIG!T2344)</f>
        <v/>
      </c>
      <c r="U2344" s="3">
        <f>IF(ORIG!U2344=0,"",ORIG!U2344)</f>
        <v/>
      </c>
      <c r="V2344" s="9">
        <f>IF(ORIG!V2344=0,"",ORIG!V2344)</f>
        <v/>
      </c>
      <c r="W2344" s="9">
        <f>IF(ORIG!W2344=0,"",ORIG!W2344)</f>
        <v/>
      </c>
      <c r="X2344" s="9">
        <f>IF(ORIG!X2344=0,"",ORIG!X2344)</f>
        <v/>
      </c>
      <c r="Y2344" s="9">
        <f>IF(ORIG!Y2344=0,"",ORIG!Y2344)</f>
        <v/>
      </c>
      <c r="Z2344" s="3">
        <f>SUMPRODUCT($B2344:$Y2344,$B$2649:$Y$2649)</f>
        <v/>
      </c>
      <c r="AA2344" s="3">
        <f>SUMPRODUCT($B2344:$Y2344,$B$2655:$Y$2655)</f>
        <v/>
      </c>
      <c r="AC2344" s="1">
        <f>A2344</f>
        <v/>
      </c>
      <c r="AD2344">
        <f>IF(ISNUMBER(V2344),V2344*($AB$1/V$2635),"")</f>
        <v/>
      </c>
      <c r="AE2344">
        <f>IF(ISNUMBER(Z2344),Z2344*($AB$1/Z$2635),"")</f>
        <v/>
      </c>
      <c r="AF2344" s="25">
        <f>IF(ISNUMBER(AD2344+AE2344),AD2344+AE2344,"")</f>
        <v/>
      </c>
      <c r="AH2344" s="1">
        <f>A2344</f>
        <v/>
      </c>
      <c r="AI2344">
        <f>IF(ISNUMBER((1+V2344)*AI2343),(1+V2344)*AI2343,AI2343)</f>
        <v/>
      </c>
      <c r="AJ2344">
        <f>IF(ISNUMBER((1+Z2344)*AJ2343),(1+Z2344)*AJ2343,AJ2343)</f>
        <v/>
      </c>
    </row>
    <row r="2345">
      <c r="A2345" s="1" t="n">
        <v>45406</v>
      </c>
      <c r="B2345" s="3">
        <f>IF(ORIG!B2345=0,"",ORIG!B2345)</f>
        <v/>
      </c>
      <c r="C2345" s="3">
        <f>IF(ORIG!C2345=0,"",ORIG!C2345)</f>
        <v/>
      </c>
      <c r="D2345" s="3">
        <f>IF(ORIG!D2345=0,"",ORIG!D2345)</f>
        <v/>
      </c>
      <c r="E2345" s="3">
        <f>IF(ORIG!E2345=0,"",ORIG!E2345)</f>
        <v/>
      </c>
      <c r="F2345" s="3">
        <f>IF(ORIG!F2345=0,"",ORIG!F2345)</f>
        <v/>
      </c>
      <c r="G2345" s="3">
        <f>IF(ORIG!G2345=0,"",ORIG!G2345)</f>
        <v/>
      </c>
      <c r="H2345" s="3">
        <f>IF(ORIG!H2345=0,"",ORIG!H2345)</f>
        <v/>
      </c>
      <c r="I2345" s="3">
        <f>IF(ORIG!I2345=0,"",ORIG!I2345)</f>
        <v/>
      </c>
      <c r="J2345" s="3">
        <f>IF(ORIG!J2345=0,"",ORIG!J2345)</f>
        <v/>
      </c>
      <c r="K2345" s="3">
        <f>IF(ORIG!K2345=0,"",ORIG!K2345)</f>
        <v/>
      </c>
      <c r="L2345" s="3">
        <f>IF(ORIG!L2345=0,"",ORIG!L2345)</f>
        <v/>
      </c>
      <c r="M2345" s="3">
        <f>IF(ORIG!M2345=0,"",ORIG!M2345)</f>
        <v/>
      </c>
      <c r="N2345" s="3">
        <f>IF(ORIG!N2345=0,"",ORIG!N2345)</f>
        <v/>
      </c>
      <c r="O2345" s="3">
        <f>IF(ORIG!O2345=0,"",ORIG!O2345)</f>
        <v/>
      </c>
      <c r="P2345" s="3">
        <f>IF(ORIG!P2345=0,"",ORIG!P2345)</f>
        <v/>
      </c>
      <c r="Q2345" s="3">
        <f>IF(ORIG!Q2345=0,"",ORIG!Q2345)</f>
        <v/>
      </c>
      <c r="R2345" s="3">
        <f>IF(ORIG!R2345=0,"",ORIG!R2345)</f>
        <v/>
      </c>
      <c r="S2345" s="3">
        <f>IF(ORIG!S2345=0,"",ORIG!S2345)</f>
        <v/>
      </c>
      <c r="T2345" s="3">
        <f>IF(ORIG!T2345=0,"",ORIG!T2345)</f>
        <v/>
      </c>
      <c r="U2345" s="3">
        <f>IF(ORIG!U2345=0,"",ORIG!U2345)</f>
        <v/>
      </c>
      <c r="V2345" s="9">
        <f>IF(ORIG!V2345=0,"",ORIG!V2345)</f>
        <v/>
      </c>
      <c r="W2345" s="9">
        <f>IF(ORIG!W2345=0,"",ORIG!W2345)</f>
        <v/>
      </c>
      <c r="X2345" s="9">
        <f>IF(ORIG!X2345=0,"",ORIG!X2345)</f>
        <v/>
      </c>
      <c r="Y2345" s="9">
        <f>IF(ORIG!Y2345=0,"",ORIG!Y2345)</f>
        <v/>
      </c>
      <c r="Z2345" s="3">
        <f>SUMPRODUCT($B2345:$Y2345,$B$2649:$Y$2649)</f>
        <v/>
      </c>
      <c r="AA2345" s="3">
        <f>SUMPRODUCT($B2345:$Y2345,$B$2655:$Y$2655)</f>
        <v/>
      </c>
      <c r="AC2345" s="1">
        <f>A2345</f>
        <v/>
      </c>
      <c r="AD2345">
        <f>IF(ISNUMBER(V2345),V2345*($AB$1/V$2635),"")</f>
        <v/>
      </c>
      <c r="AE2345">
        <f>IF(ISNUMBER(Z2345),Z2345*($AB$1/Z$2635),"")</f>
        <v/>
      </c>
      <c r="AF2345" s="25">
        <f>IF(ISNUMBER(AD2345+AE2345),AD2345+AE2345,"")</f>
        <v/>
      </c>
      <c r="AH2345" s="1">
        <f>A2345</f>
        <v/>
      </c>
      <c r="AI2345">
        <f>IF(ISNUMBER((1+V2345)*AI2344),(1+V2345)*AI2344,AI2344)</f>
        <v/>
      </c>
      <c r="AJ2345">
        <f>IF(ISNUMBER((1+Z2345)*AJ2344),(1+Z2345)*AJ2344,AJ2344)</f>
        <v/>
      </c>
    </row>
    <row r="2346">
      <c r="A2346" s="1" t="n">
        <v>45407</v>
      </c>
      <c r="B2346" s="3">
        <f>IF(ORIG!B2346=0,"",ORIG!B2346)</f>
        <v/>
      </c>
      <c r="C2346" s="3">
        <f>IF(ORIG!C2346=0,"",ORIG!C2346)</f>
        <v/>
      </c>
      <c r="D2346" s="3">
        <f>IF(ORIG!D2346=0,"",ORIG!D2346)</f>
        <v/>
      </c>
      <c r="E2346" s="3">
        <f>IF(ORIG!E2346=0,"",ORIG!E2346)</f>
        <v/>
      </c>
      <c r="F2346" s="3">
        <f>IF(ORIG!F2346=0,"",ORIG!F2346)</f>
        <v/>
      </c>
      <c r="G2346" s="3">
        <f>IF(ORIG!G2346=0,"",ORIG!G2346)</f>
        <v/>
      </c>
      <c r="H2346" s="3">
        <f>IF(ORIG!H2346=0,"",ORIG!H2346)</f>
        <v/>
      </c>
      <c r="I2346" s="3">
        <f>IF(ORIG!I2346=0,"",ORIG!I2346)</f>
        <v/>
      </c>
      <c r="J2346" s="3">
        <f>IF(ORIG!J2346=0,"",ORIG!J2346)</f>
        <v/>
      </c>
      <c r="K2346" s="3">
        <f>IF(ORIG!K2346=0,"",ORIG!K2346)</f>
        <v/>
      </c>
      <c r="L2346" s="3">
        <f>IF(ORIG!L2346=0,"",ORIG!L2346)</f>
        <v/>
      </c>
      <c r="M2346" s="3">
        <f>IF(ORIG!M2346=0,"",ORIG!M2346)</f>
        <v/>
      </c>
      <c r="N2346" s="3">
        <f>IF(ORIG!N2346=0,"",ORIG!N2346)</f>
        <v/>
      </c>
      <c r="O2346" s="3">
        <f>IF(ORIG!O2346=0,"",ORIG!O2346)</f>
        <v/>
      </c>
      <c r="P2346" s="3">
        <f>IF(ORIG!P2346=0,"",ORIG!P2346)</f>
        <v/>
      </c>
      <c r="Q2346" s="3">
        <f>IF(ORIG!Q2346=0,"",ORIG!Q2346)</f>
        <v/>
      </c>
      <c r="R2346" s="3">
        <f>IF(ORIG!R2346=0,"",ORIG!R2346)</f>
        <v/>
      </c>
      <c r="S2346" s="3">
        <f>IF(ORIG!S2346=0,"",ORIG!S2346)</f>
        <v/>
      </c>
      <c r="T2346" s="3">
        <f>IF(ORIG!T2346=0,"",ORIG!T2346)</f>
        <v/>
      </c>
      <c r="U2346" s="3">
        <f>IF(ORIG!U2346=0,"",ORIG!U2346)</f>
        <v/>
      </c>
      <c r="V2346" s="9">
        <f>IF(ORIG!V2346=0,"",ORIG!V2346)</f>
        <v/>
      </c>
      <c r="W2346" s="9">
        <f>IF(ORIG!W2346=0,"",ORIG!W2346)</f>
        <v/>
      </c>
      <c r="X2346" s="9">
        <f>IF(ORIG!X2346=0,"",ORIG!X2346)</f>
        <v/>
      </c>
      <c r="Y2346" s="9">
        <f>IF(ORIG!Y2346=0,"",ORIG!Y2346)</f>
        <v/>
      </c>
      <c r="Z2346" s="3">
        <f>SUMPRODUCT($B2346:$Y2346,$B$2649:$Y$2649)</f>
        <v/>
      </c>
      <c r="AA2346" s="3">
        <f>SUMPRODUCT($B2346:$Y2346,$B$2655:$Y$2655)</f>
        <v/>
      </c>
      <c r="AC2346" s="1">
        <f>A2346</f>
        <v/>
      </c>
      <c r="AD2346">
        <f>IF(ISNUMBER(V2346),V2346*($AB$1/V$2635),"")</f>
        <v/>
      </c>
      <c r="AE2346">
        <f>IF(ISNUMBER(Z2346),Z2346*($AB$1/Z$2635),"")</f>
        <v/>
      </c>
      <c r="AF2346" s="25">
        <f>IF(ISNUMBER(AD2346+AE2346),AD2346+AE2346,"")</f>
        <v/>
      </c>
      <c r="AH2346" s="1">
        <f>A2346</f>
        <v/>
      </c>
      <c r="AI2346">
        <f>IF(ISNUMBER((1+V2346)*AI2345),(1+V2346)*AI2345,AI2345)</f>
        <v/>
      </c>
      <c r="AJ2346">
        <f>IF(ISNUMBER((1+Z2346)*AJ2345),(1+Z2346)*AJ2345,AJ2345)</f>
        <v/>
      </c>
    </row>
    <row r="2347">
      <c r="A2347" s="1" t="n">
        <v>45408</v>
      </c>
      <c r="B2347" s="3">
        <f>IF(ORIG!B2347=0,"",ORIG!B2347)</f>
        <v/>
      </c>
      <c r="C2347" s="3">
        <f>IF(ORIG!C2347=0,"",ORIG!C2347)</f>
        <v/>
      </c>
      <c r="D2347" s="3">
        <f>IF(ORIG!D2347=0,"",ORIG!D2347)</f>
        <v/>
      </c>
      <c r="E2347" s="3">
        <f>IF(ORIG!E2347=0,"",ORIG!E2347)</f>
        <v/>
      </c>
      <c r="F2347" s="3">
        <f>IF(ORIG!F2347=0,"",ORIG!F2347)</f>
        <v/>
      </c>
      <c r="G2347" s="3">
        <f>IF(ORIG!G2347=0,"",ORIG!G2347)</f>
        <v/>
      </c>
      <c r="H2347" s="3">
        <f>IF(ORIG!H2347=0,"",ORIG!H2347)</f>
        <v/>
      </c>
      <c r="I2347" s="3">
        <f>IF(ORIG!I2347=0,"",ORIG!I2347)</f>
        <v/>
      </c>
      <c r="J2347" s="3">
        <f>IF(ORIG!J2347=0,"",ORIG!J2347)</f>
        <v/>
      </c>
      <c r="K2347" s="3">
        <f>IF(ORIG!K2347=0,"",ORIG!K2347)</f>
        <v/>
      </c>
      <c r="L2347" s="3">
        <f>IF(ORIG!L2347=0,"",ORIG!L2347)</f>
        <v/>
      </c>
      <c r="M2347" s="3">
        <f>IF(ORIG!M2347=0,"",ORIG!M2347)</f>
        <v/>
      </c>
      <c r="N2347" s="3">
        <f>IF(ORIG!N2347=0,"",ORIG!N2347)</f>
        <v/>
      </c>
      <c r="O2347" s="3">
        <f>IF(ORIG!O2347=0,"",ORIG!O2347)</f>
        <v/>
      </c>
      <c r="P2347" s="3">
        <f>IF(ORIG!P2347=0,"",ORIG!P2347)</f>
        <v/>
      </c>
      <c r="Q2347" s="3">
        <f>IF(ORIG!Q2347=0,"",ORIG!Q2347)</f>
        <v/>
      </c>
      <c r="R2347" s="3">
        <f>IF(ORIG!R2347=0,"",ORIG!R2347)</f>
        <v/>
      </c>
      <c r="S2347" s="3">
        <f>IF(ORIG!S2347=0,"",ORIG!S2347)</f>
        <v/>
      </c>
      <c r="T2347" s="3">
        <f>IF(ORIG!T2347=0,"",ORIG!T2347)</f>
        <v/>
      </c>
      <c r="U2347" s="3">
        <f>IF(ORIG!U2347=0,"",ORIG!U2347)</f>
        <v/>
      </c>
      <c r="V2347" s="9">
        <f>IF(ORIG!V2347=0,"",ORIG!V2347)</f>
        <v/>
      </c>
      <c r="W2347" s="9">
        <f>IF(ORIG!W2347=0,"",ORIG!W2347)</f>
        <v/>
      </c>
      <c r="X2347" s="9">
        <f>IF(ORIG!X2347=0,"",ORIG!X2347)</f>
        <v/>
      </c>
      <c r="Y2347" s="9">
        <f>IF(ORIG!Y2347=0,"",ORIG!Y2347)</f>
        <v/>
      </c>
      <c r="Z2347" s="3">
        <f>SUMPRODUCT($B2347:$Y2347,$B$2649:$Y$2649)</f>
        <v/>
      </c>
      <c r="AA2347" s="3">
        <f>SUMPRODUCT($B2347:$Y2347,$B$2655:$Y$2655)</f>
        <v/>
      </c>
      <c r="AC2347" s="1">
        <f>A2347</f>
        <v/>
      </c>
      <c r="AD2347">
        <f>IF(ISNUMBER(V2347),V2347*($AB$1/V$2635),"")</f>
        <v/>
      </c>
      <c r="AE2347">
        <f>IF(ISNUMBER(Z2347),Z2347*($AB$1/Z$2635),"")</f>
        <v/>
      </c>
      <c r="AF2347" s="25">
        <f>IF(ISNUMBER(AD2347+AE2347),AD2347+AE2347,"")</f>
        <v/>
      </c>
      <c r="AH2347" s="1">
        <f>A2347</f>
        <v/>
      </c>
      <c r="AI2347">
        <f>IF(ISNUMBER((1+V2347)*AI2346),(1+V2347)*AI2346,AI2346)</f>
        <v/>
      </c>
      <c r="AJ2347">
        <f>IF(ISNUMBER((1+Z2347)*AJ2346),(1+Z2347)*AJ2346,AJ2346)</f>
        <v/>
      </c>
    </row>
    <row r="2348">
      <c r="A2348" s="1" t="n">
        <v>45411</v>
      </c>
      <c r="B2348" s="3">
        <f>IF(ORIG!B2348=0,"",ORIG!B2348)</f>
        <v/>
      </c>
      <c r="C2348" s="3">
        <f>IF(ORIG!C2348=0,"",ORIG!C2348)</f>
        <v/>
      </c>
      <c r="D2348" s="3">
        <f>IF(ORIG!D2348=0,"",ORIG!D2348)</f>
        <v/>
      </c>
      <c r="E2348" s="3">
        <f>IF(ORIG!E2348=0,"",ORIG!E2348)</f>
        <v/>
      </c>
      <c r="F2348" s="3">
        <f>IF(ORIG!F2348=0,"",ORIG!F2348)</f>
        <v/>
      </c>
      <c r="G2348" s="3">
        <f>IF(ORIG!G2348=0,"",ORIG!G2348)</f>
        <v/>
      </c>
      <c r="H2348" s="3">
        <f>IF(ORIG!H2348=0,"",ORIG!H2348)</f>
        <v/>
      </c>
      <c r="I2348" s="3">
        <f>IF(ORIG!I2348=0,"",ORIG!I2348)</f>
        <v/>
      </c>
      <c r="J2348" s="3">
        <f>IF(ORIG!J2348=0,"",ORIG!J2348)</f>
        <v/>
      </c>
      <c r="K2348" s="3">
        <f>IF(ORIG!K2348=0,"",ORIG!K2348)</f>
        <v/>
      </c>
      <c r="L2348" s="3">
        <f>IF(ORIG!L2348=0,"",ORIG!L2348)</f>
        <v/>
      </c>
      <c r="M2348" s="3">
        <f>IF(ORIG!M2348=0,"",ORIG!M2348)</f>
        <v/>
      </c>
      <c r="N2348" s="3">
        <f>IF(ORIG!N2348=0,"",ORIG!N2348)</f>
        <v/>
      </c>
      <c r="O2348" s="3">
        <f>IF(ORIG!O2348=0,"",ORIG!O2348)</f>
        <v/>
      </c>
      <c r="P2348" s="3">
        <f>IF(ORIG!P2348=0,"",ORIG!P2348)</f>
        <v/>
      </c>
      <c r="Q2348" s="3">
        <f>IF(ORIG!Q2348=0,"",ORIG!Q2348)</f>
        <v/>
      </c>
      <c r="R2348" s="3">
        <f>IF(ORIG!R2348=0,"",ORIG!R2348)</f>
        <v/>
      </c>
      <c r="S2348" s="3">
        <f>IF(ORIG!S2348=0,"",ORIG!S2348)</f>
        <v/>
      </c>
      <c r="T2348" s="3">
        <f>IF(ORIG!T2348=0,"",ORIG!T2348)</f>
        <v/>
      </c>
      <c r="U2348" s="3">
        <f>IF(ORIG!U2348=0,"",ORIG!U2348)</f>
        <v/>
      </c>
      <c r="V2348" s="9">
        <f>IF(ORIG!V2348=0,"",ORIG!V2348)</f>
        <v/>
      </c>
      <c r="W2348" s="9">
        <f>IF(ORIG!W2348=0,"",ORIG!W2348)</f>
        <v/>
      </c>
      <c r="X2348" s="9">
        <f>IF(ORIG!X2348=0,"",ORIG!X2348)</f>
        <v/>
      </c>
      <c r="Y2348" s="9">
        <f>IF(ORIG!Y2348=0,"",ORIG!Y2348)</f>
        <v/>
      </c>
      <c r="Z2348" s="3">
        <f>SUMPRODUCT($B2348:$Y2348,$B$2649:$Y$2649)</f>
        <v/>
      </c>
      <c r="AA2348" s="3">
        <f>SUMPRODUCT($B2348:$Y2348,$B$2655:$Y$2655)</f>
        <v/>
      </c>
      <c r="AC2348" s="1">
        <f>A2348</f>
        <v/>
      </c>
      <c r="AD2348">
        <f>IF(ISNUMBER(V2348),V2348*($AB$1/V$2635),"")</f>
        <v/>
      </c>
      <c r="AE2348">
        <f>IF(ISNUMBER(Z2348),Z2348*($AB$1/Z$2635),"")</f>
        <v/>
      </c>
      <c r="AF2348" s="25">
        <f>IF(ISNUMBER(AD2348+AE2348),AD2348+AE2348,"")</f>
        <v/>
      </c>
      <c r="AH2348" s="1">
        <f>A2348</f>
        <v/>
      </c>
      <c r="AI2348">
        <f>IF(ISNUMBER((1+V2348)*AI2347),(1+V2348)*AI2347,AI2347)</f>
        <v/>
      </c>
      <c r="AJ2348">
        <f>IF(ISNUMBER((1+Z2348)*AJ2347),(1+Z2348)*AJ2347,AJ2347)</f>
        <v/>
      </c>
    </row>
    <row r="2349">
      <c r="A2349" s="1" t="n">
        <v>45412</v>
      </c>
      <c r="B2349" s="3">
        <f>IF(ORIG!B2349=0,"",ORIG!B2349)</f>
        <v/>
      </c>
      <c r="C2349" s="3">
        <f>IF(ORIG!C2349=0,"",ORIG!C2349)</f>
        <v/>
      </c>
      <c r="D2349" s="3">
        <f>IF(ORIG!D2349=0,"",ORIG!D2349)</f>
        <v/>
      </c>
      <c r="E2349" s="3">
        <f>IF(ORIG!E2349=0,"",ORIG!E2349)</f>
        <v/>
      </c>
      <c r="F2349" s="3">
        <f>IF(ORIG!F2349=0,"",ORIG!F2349)</f>
        <v/>
      </c>
      <c r="G2349" s="3">
        <f>IF(ORIG!G2349=0,"",ORIG!G2349)</f>
        <v/>
      </c>
      <c r="H2349" s="3">
        <f>IF(ORIG!H2349=0,"",ORIG!H2349)</f>
        <v/>
      </c>
      <c r="I2349" s="3">
        <f>IF(ORIG!I2349=0,"",ORIG!I2349)</f>
        <v/>
      </c>
      <c r="J2349" s="3">
        <f>IF(ORIG!J2349=0,"",ORIG!J2349)</f>
        <v/>
      </c>
      <c r="K2349" s="3">
        <f>IF(ORIG!K2349=0,"",ORIG!K2349)</f>
        <v/>
      </c>
      <c r="L2349" s="3">
        <f>IF(ORIG!L2349=0,"",ORIG!L2349)</f>
        <v/>
      </c>
      <c r="M2349" s="3">
        <f>IF(ORIG!M2349=0,"",ORIG!M2349)</f>
        <v/>
      </c>
      <c r="N2349" s="3">
        <f>IF(ORIG!N2349=0,"",ORIG!N2349)</f>
        <v/>
      </c>
      <c r="O2349" s="3">
        <f>IF(ORIG!O2349=0,"",ORIG!O2349)</f>
        <v/>
      </c>
      <c r="P2349" s="3">
        <f>IF(ORIG!P2349=0,"",ORIG!P2349)</f>
        <v/>
      </c>
      <c r="Q2349" s="3">
        <f>IF(ORIG!Q2349=0,"",ORIG!Q2349)</f>
        <v/>
      </c>
      <c r="R2349" s="3">
        <f>IF(ORIG!R2349=0,"",ORIG!R2349)</f>
        <v/>
      </c>
      <c r="S2349" s="3">
        <f>IF(ORIG!S2349=0,"",ORIG!S2349)</f>
        <v/>
      </c>
      <c r="T2349" s="3">
        <f>IF(ORIG!T2349=0,"",ORIG!T2349)</f>
        <v/>
      </c>
      <c r="U2349" s="3">
        <f>IF(ORIG!U2349=0,"",ORIG!U2349)</f>
        <v/>
      </c>
      <c r="V2349" s="9">
        <f>IF(ORIG!V2349=0,"",ORIG!V2349)</f>
        <v/>
      </c>
      <c r="W2349" s="9">
        <f>IF(ORIG!W2349=0,"",ORIG!W2349)</f>
        <v/>
      </c>
      <c r="X2349" s="9">
        <f>IF(ORIG!X2349=0,"",ORIG!X2349)</f>
        <v/>
      </c>
      <c r="Y2349" s="9">
        <f>IF(ORIG!Y2349=0,"",ORIG!Y2349)</f>
        <v/>
      </c>
      <c r="Z2349" s="3">
        <f>SUMPRODUCT($B2349:$Y2349,$B$2649:$Y$2649)</f>
        <v/>
      </c>
      <c r="AA2349" s="3">
        <f>SUMPRODUCT($B2349:$Y2349,$B$2655:$Y$2655)</f>
        <v/>
      </c>
      <c r="AC2349" s="1">
        <f>A2349</f>
        <v/>
      </c>
      <c r="AD2349">
        <f>IF(ISNUMBER(V2349),V2349*($AB$1/V$2635),"")</f>
        <v/>
      </c>
      <c r="AE2349">
        <f>IF(ISNUMBER(Z2349),Z2349*($AB$1/Z$2635),"")</f>
        <v/>
      </c>
      <c r="AF2349" s="25">
        <f>IF(ISNUMBER(AD2349+AE2349),AD2349+AE2349,"")</f>
        <v/>
      </c>
      <c r="AH2349" s="1">
        <f>A2349</f>
        <v/>
      </c>
      <c r="AI2349">
        <f>IF(ISNUMBER((1+V2349)*AI2348),(1+V2349)*AI2348,AI2348)</f>
        <v/>
      </c>
      <c r="AJ2349">
        <f>IF(ISNUMBER((1+Z2349)*AJ2348),(1+Z2349)*AJ2348,AJ2348)</f>
        <v/>
      </c>
    </row>
    <row r="2350">
      <c r="A2350" s="1" t="n">
        <v>45413</v>
      </c>
      <c r="B2350" s="3">
        <f>IF(ORIG!B2350=0,"",ORIG!B2350)</f>
        <v/>
      </c>
      <c r="C2350" s="3">
        <f>IF(ORIG!C2350=0,"",ORIG!C2350)</f>
        <v/>
      </c>
      <c r="D2350" s="3">
        <f>IF(ORIG!D2350=0,"",ORIG!D2350)</f>
        <v/>
      </c>
      <c r="E2350" s="3">
        <f>IF(ORIG!E2350=0,"",ORIG!E2350)</f>
        <v/>
      </c>
      <c r="F2350" s="3">
        <f>IF(ORIG!F2350=0,"",ORIG!F2350)</f>
        <v/>
      </c>
      <c r="G2350" s="3">
        <f>IF(ORIG!G2350=0,"",ORIG!G2350)</f>
        <v/>
      </c>
      <c r="H2350" s="3">
        <f>IF(ORIG!H2350=0,"",ORIG!H2350)</f>
        <v/>
      </c>
      <c r="I2350" s="3">
        <f>IF(ORIG!I2350=0,"",ORIG!I2350)</f>
        <v/>
      </c>
      <c r="J2350" s="3">
        <f>IF(ORIG!J2350=0,"",ORIG!J2350)</f>
        <v/>
      </c>
      <c r="K2350" s="3">
        <f>IF(ORIG!K2350=0,"",ORIG!K2350)</f>
        <v/>
      </c>
      <c r="L2350" s="3">
        <f>IF(ORIG!L2350=0,"",ORIG!L2350)</f>
        <v/>
      </c>
      <c r="M2350" s="3">
        <f>IF(ORIG!M2350=0,"",ORIG!M2350)</f>
        <v/>
      </c>
      <c r="N2350" s="3">
        <f>IF(ORIG!N2350=0,"",ORIG!N2350)</f>
        <v/>
      </c>
      <c r="O2350" s="3">
        <f>IF(ORIG!O2350=0,"",ORIG!O2350)</f>
        <v/>
      </c>
      <c r="P2350" s="3">
        <f>IF(ORIG!P2350=0,"",ORIG!P2350)</f>
        <v/>
      </c>
      <c r="Q2350" s="3">
        <f>IF(ORIG!Q2350=0,"",ORIG!Q2350)</f>
        <v/>
      </c>
      <c r="R2350" s="3">
        <f>IF(ORIG!R2350=0,"",ORIG!R2350)</f>
        <v/>
      </c>
      <c r="S2350" s="3">
        <f>IF(ORIG!S2350=0,"",ORIG!S2350)</f>
        <v/>
      </c>
      <c r="T2350" s="3">
        <f>IF(ORIG!T2350=0,"",ORIG!T2350)</f>
        <v/>
      </c>
      <c r="U2350" s="3">
        <f>IF(ORIG!U2350=0,"",ORIG!U2350)</f>
        <v/>
      </c>
      <c r="V2350" s="9">
        <f>IF(ORIG!V2350=0,"",ORIG!V2350)</f>
        <v/>
      </c>
      <c r="W2350" s="9">
        <f>IF(ORIG!W2350=0,"",ORIG!W2350)</f>
        <v/>
      </c>
      <c r="X2350" s="9">
        <f>IF(ORIG!X2350=0,"",ORIG!X2350)</f>
        <v/>
      </c>
      <c r="Y2350" s="9">
        <f>IF(ORIG!Y2350=0,"",ORIG!Y2350)</f>
        <v/>
      </c>
      <c r="Z2350" s="3">
        <f>SUMPRODUCT($B2350:$Y2350,$B$2649:$Y$2649)</f>
        <v/>
      </c>
      <c r="AA2350" s="3">
        <f>SUMPRODUCT($B2350:$Y2350,$B$2655:$Y$2655)</f>
        <v/>
      </c>
      <c r="AC2350" s="1">
        <f>A2350</f>
        <v/>
      </c>
      <c r="AD2350">
        <f>IF(ISNUMBER(V2350),V2350*($AB$1/V$2635),"")</f>
        <v/>
      </c>
      <c r="AE2350">
        <f>IF(ISNUMBER(Z2350),Z2350*($AB$1/Z$2635),"")</f>
        <v/>
      </c>
      <c r="AF2350" s="25">
        <f>IF(ISNUMBER(AD2350+AE2350),AD2350+AE2350,"")</f>
        <v/>
      </c>
      <c r="AH2350" s="1">
        <f>A2350</f>
        <v/>
      </c>
      <c r="AI2350">
        <f>IF(ISNUMBER((1+V2350)*AI2349),(1+V2350)*AI2349,AI2349)</f>
        <v/>
      </c>
      <c r="AJ2350">
        <f>IF(ISNUMBER((1+Z2350)*AJ2349),(1+Z2350)*AJ2349,AJ2349)</f>
        <v/>
      </c>
    </row>
    <row r="2351">
      <c r="A2351" s="1" t="n">
        <v>45414</v>
      </c>
      <c r="B2351" s="3">
        <f>IF(ORIG!B2351=0,"",ORIG!B2351)</f>
        <v/>
      </c>
      <c r="C2351" s="3">
        <f>IF(ORIG!C2351=0,"",ORIG!C2351)</f>
        <v/>
      </c>
      <c r="D2351" s="3">
        <f>IF(ORIG!D2351=0,"",ORIG!D2351)</f>
        <v/>
      </c>
      <c r="E2351" s="3">
        <f>IF(ORIG!E2351=0,"",ORIG!E2351)</f>
        <v/>
      </c>
      <c r="F2351" s="3">
        <f>IF(ORIG!F2351=0,"",ORIG!F2351)</f>
        <v/>
      </c>
      <c r="G2351" s="3">
        <f>IF(ORIG!G2351=0,"",ORIG!G2351)</f>
        <v/>
      </c>
      <c r="H2351" s="3">
        <f>IF(ORIG!H2351=0,"",ORIG!H2351)</f>
        <v/>
      </c>
      <c r="I2351" s="3">
        <f>IF(ORIG!I2351=0,"",ORIG!I2351)</f>
        <v/>
      </c>
      <c r="J2351" s="3">
        <f>IF(ORIG!J2351=0,"",ORIG!J2351)</f>
        <v/>
      </c>
      <c r="K2351" s="3">
        <f>IF(ORIG!K2351=0,"",ORIG!K2351)</f>
        <v/>
      </c>
      <c r="L2351" s="3">
        <f>IF(ORIG!L2351=0,"",ORIG!L2351)</f>
        <v/>
      </c>
      <c r="M2351" s="3">
        <f>IF(ORIG!M2351=0,"",ORIG!M2351)</f>
        <v/>
      </c>
      <c r="N2351" s="3">
        <f>IF(ORIG!N2351=0,"",ORIG!N2351)</f>
        <v/>
      </c>
      <c r="O2351" s="3">
        <f>IF(ORIG!O2351=0,"",ORIG!O2351)</f>
        <v/>
      </c>
      <c r="P2351" s="3">
        <f>IF(ORIG!P2351=0,"",ORIG!P2351)</f>
        <v/>
      </c>
      <c r="Q2351" s="3">
        <f>IF(ORIG!Q2351=0,"",ORIG!Q2351)</f>
        <v/>
      </c>
      <c r="R2351" s="3">
        <f>IF(ORIG!R2351=0,"",ORIG!R2351)</f>
        <v/>
      </c>
      <c r="S2351" s="3">
        <f>IF(ORIG!S2351=0,"",ORIG!S2351)</f>
        <v/>
      </c>
      <c r="T2351" s="3">
        <f>IF(ORIG!T2351=0,"",ORIG!T2351)</f>
        <v/>
      </c>
      <c r="U2351" s="3">
        <f>IF(ORIG!U2351=0,"",ORIG!U2351)</f>
        <v/>
      </c>
      <c r="V2351" s="9">
        <f>IF(ORIG!V2351=0,"",ORIG!V2351)</f>
        <v/>
      </c>
      <c r="W2351" s="9">
        <f>IF(ORIG!W2351=0,"",ORIG!W2351)</f>
        <v/>
      </c>
      <c r="X2351" s="9">
        <f>IF(ORIG!X2351=0,"",ORIG!X2351)</f>
        <v/>
      </c>
      <c r="Y2351" s="9">
        <f>IF(ORIG!Y2351=0,"",ORIG!Y2351)</f>
        <v/>
      </c>
      <c r="Z2351" s="3">
        <f>SUMPRODUCT($B2351:$Y2351,$B$2649:$Y$2649)</f>
        <v/>
      </c>
      <c r="AA2351" s="3">
        <f>SUMPRODUCT($B2351:$Y2351,$B$2655:$Y$2655)</f>
        <v/>
      </c>
      <c r="AC2351" s="1">
        <f>A2351</f>
        <v/>
      </c>
      <c r="AD2351">
        <f>IF(ISNUMBER(V2351),V2351*($AB$1/V$2635),"")</f>
        <v/>
      </c>
      <c r="AE2351">
        <f>IF(ISNUMBER(Z2351),Z2351*($AB$1/Z$2635),"")</f>
        <v/>
      </c>
      <c r="AF2351" s="25">
        <f>IF(ISNUMBER(AD2351+AE2351),AD2351+AE2351,"")</f>
        <v/>
      </c>
      <c r="AH2351" s="1">
        <f>A2351</f>
        <v/>
      </c>
      <c r="AI2351">
        <f>IF(ISNUMBER((1+V2351)*AI2350),(1+V2351)*AI2350,AI2350)</f>
        <v/>
      </c>
      <c r="AJ2351">
        <f>IF(ISNUMBER((1+Z2351)*AJ2350),(1+Z2351)*AJ2350,AJ2350)</f>
        <v/>
      </c>
    </row>
    <row r="2352">
      <c r="A2352" s="1" t="n">
        <v>45415</v>
      </c>
      <c r="B2352" s="3">
        <f>IF(ORIG!B2352=0,"",ORIG!B2352)</f>
        <v/>
      </c>
      <c r="C2352" s="3">
        <f>IF(ORIG!C2352=0,"",ORIG!C2352)</f>
        <v/>
      </c>
      <c r="D2352" s="3">
        <f>IF(ORIG!D2352=0,"",ORIG!D2352)</f>
        <v/>
      </c>
      <c r="E2352" s="3">
        <f>IF(ORIG!E2352=0,"",ORIG!E2352)</f>
        <v/>
      </c>
      <c r="F2352" s="3">
        <f>IF(ORIG!F2352=0,"",ORIG!F2352)</f>
        <v/>
      </c>
      <c r="G2352" s="3">
        <f>IF(ORIG!G2352=0,"",ORIG!G2352)</f>
        <v/>
      </c>
      <c r="H2352" s="3">
        <f>IF(ORIG!H2352=0,"",ORIG!H2352)</f>
        <v/>
      </c>
      <c r="I2352" s="3">
        <f>IF(ORIG!I2352=0,"",ORIG!I2352)</f>
        <v/>
      </c>
      <c r="J2352" s="3">
        <f>IF(ORIG!J2352=0,"",ORIG!J2352)</f>
        <v/>
      </c>
      <c r="K2352" s="3">
        <f>IF(ORIG!K2352=0,"",ORIG!K2352)</f>
        <v/>
      </c>
      <c r="L2352" s="3">
        <f>IF(ORIG!L2352=0,"",ORIG!L2352)</f>
        <v/>
      </c>
      <c r="M2352" s="3">
        <f>IF(ORIG!M2352=0,"",ORIG!M2352)</f>
        <v/>
      </c>
      <c r="N2352" s="3">
        <f>IF(ORIG!N2352=0,"",ORIG!N2352)</f>
        <v/>
      </c>
      <c r="O2352" s="3">
        <f>IF(ORIG!O2352=0,"",ORIG!O2352)</f>
        <v/>
      </c>
      <c r="P2352" s="3">
        <f>IF(ORIG!P2352=0,"",ORIG!P2352)</f>
        <v/>
      </c>
      <c r="Q2352" s="3">
        <f>IF(ORIG!Q2352=0,"",ORIG!Q2352)</f>
        <v/>
      </c>
      <c r="R2352" s="3">
        <f>IF(ORIG!R2352=0,"",ORIG!R2352)</f>
        <v/>
      </c>
      <c r="S2352" s="3">
        <f>IF(ORIG!S2352=0,"",ORIG!S2352)</f>
        <v/>
      </c>
      <c r="T2352" s="3">
        <f>IF(ORIG!T2352=0,"",ORIG!T2352)</f>
        <v/>
      </c>
      <c r="U2352" s="3">
        <f>IF(ORIG!U2352=0,"",ORIG!U2352)</f>
        <v/>
      </c>
      <c r="V2352" s="9">
        <f>IF(ORIG!V2352=0,"",ORIG!V2352)</f>
        <v/>
      </c>
      <c r="W2352" s="9">
        <f>IF(ORIG!W2352=0,"",ORIG!W2352)</f>
        <v/>
      </c>
      <c r="X2352" s="9">
        <f>IF(ORIG!X2352=0,"",ORIG!X2352)</f>
        <v/>
      </c>
      <c r="Y2352" s="9">
        <f>IF(ORIG!Y2352=0,"",ORIG!Y2352)</f>
        <v/>
      </c>
      <c r="Z2352" s="3">
        <f>SUMPRODUCT($B2352:$Y2352,$B$2649:$Y$2649)</f>
        <v/>
      </c>
      <c r="AA2352" s="3">
        <f>SUMPRODUCT($B2352:$Y2352,$B$2655:$Y$2655)</f>
        <v/>
      </c>
      <c r="AC2352" s="1">
        <f>A2352</f>
        <v/>
      </c>
      <c r="AD2352">
        <f>IF(ISNUMBER(V2352),V2352*($AB$1/V$2635),"")</f>
        <v/>
      </c>
      <c r="AE2352">
        <f>IF(ISNUMBER(Z2352),Z2352*($AB$1/Z$2635),"")</f>
        <v/>
      </c>
      <c r="AF2352" s="25">
        <f>IF(ISNUMBER(AD2352+AE2352),AD2352+AE2352,"")</f>
        <v/>
      </c>
      <c r="AH2352" s="1">
        <f>A2352</f>
        <v/>
      </c>
      <c r="AI2352">
        <f>IF(ISNUMBER((1+V2352)*AI2351),(1+V2352)*AI2351,AI2351)</f>
        <v/>
      </c>
      <c r="AJ2352">
        <f>IF(ISNUMBER((1+Z2352)*AJ2351),(1+Z2352)*AJ2351,AJ2351)</f>
        <v/>
      </c>
    </row>
    <row r="2353">
      <c r="A2353" s="1" t="n">
        <v>45418</v>
      </c>
      <c r="B2353" s="3">
        <f>IF(ORIG!B2353=0,"",ORIG!B2353)</f>
        <v/>
      </c>
      <c r="C2353" s="3">
        <f>IF(ORIG!C2353=0,"",ORIG!C2353)</f>
        <v/>
      </c>
      <c r="D2353" s="3">
        <f>IF(ORIG!D2353=0,"",ORIG!D2353)</f>
        <v/>
      </c>
      <c r="E2353" s="3">
        <f>IF(ORIG!E2353=0,"",ORIG!E2353)</f>
        <v/>
      </c>
      <c r="F2353" s="3">
        <f>IF(ORIG!F2353=0,"",ORIG!F2353)</f>
        <v/>
      </c>
      <c r="G2353" s="3">
        <f>IF(ORIG!G2353=0,"",ORIG!G2353)</f>
        <v/>
      </c>
      <c r="H2353" s="3">
        <f>IF(ORIG!H2353=0,"",ORIG!H2353)</f>
        <v/>
      </c>
      <c r="I2353" s="3">
        <f>IF(ORIG!I2353=0,"",ORIG!I2353)</f>
        <v/>
      </c>
      <c r="J2353" s="3">
        <f>IF(ORIG!J2353=0,"",ORIG!J2353)</f>
        <v/>
      </c>
      <c r="K2353" s="3">
        <f>IF(ORIG!K2353=0,"",ORIG!K2353)</f>
        <v/>
      </c>
      <c r="L2353" s="3">
        <f>IF(ORIG!L2353=0,"",ORIG!L2353)</f>
        <v/>
      </c>
      <c r="M2353" s="3">
        <f>IF(ORIG!M2353=0,"",ORIG!M2353)</f>
        <v/>
      </c>
      <c r="N2353" s="3">
        <f>IF(ORIG!N2353=0,"",ORIG!N2353)</f>
        <v/>
      </c>
      <c r="O2353" s="3">
        <f>IF(ORIG!O2353=0,"",ORIG!O2353)</f>
        <v/>
      </c>
      <c r="P2353" s="3">
        <f>IF(ORIG!P2353=0,"",ORIG!P2353)</f>
        <v/>
      </c>
      <c r="Q2353" s="3">
        <f>IF(ORIG!Q2353=0,"",ORIG!Q2353)</f>
        <v/>
      </c>
      <c r="R2353" s="3">
        <f>IF(ORIG!R2353=0,"",ORIG!R2353)</f>
        <v/>
      </c>
      <c r="S2353" s="3">
        <f>IF(ORIG!S2353=0,"",ORIG!S2353)</f>
        <v/>
      </c>
      <c r="T2353" s="3">
        <f>IF(ORIG!T2353=0,"",ORIG!T2353)</f>
        <v/>
      </c>
      <c r="U2353" s="3">
        <f>IF(ORIG!U2353=0,"",ORIG!U2353)</f>
        <v/>
      </c>
      <c r="V2353" s="9">
        <f>IF(ORIG!V2353=0,"",ORIG!V2353)</f>
        <v/>
      </c>
      <c r="W2353" s="9">
        <f>IF(ORIG!W2353=0,"",ORIG!W2353)</f>
        <v/>
      </c>
      <c r="X2353" s="9">
        <f>IF(ORIG!X2353=0,"",ORIG!X2353)</f>
        <v/>
      </c>
      <c r="Y2353" s="9">
        <f>IF(ORIG!Y2353=0,"",ORIG!Y2353)</f>
        <v/>
      </c>
      <c r="Z2353" s="3">
        <f>SUMPRODUCT($B2353:$Y2353,$B$2649:$Y$2649)</f>
        <v/>
      </c>
      <c r="AA2353" s="3">
        <f>SUMPRODUCT($B2353:$Y2353,$B$2655:$Y$2655)</f>
        <v/>
      </c>
      <c r="AC2353" s="1">
        <f>A2353</f>
        <v/>
      </c>
      <c r="AD2353">
        <f>IF(ISNUMBER(V2353),V2353*($AB$1/V$2635),"")</f>
        <v/>
      </c>
      <c r="AE2353">
        <f>IF(ISNUMBER(Z2353),Z2353*($AB$1/Z$2635),"")</f>
        <v/>
      </c>
      <c r="AF2353" s="25">
        <f>IF(ISNUMBER(AD2353+AE2353),AD2353+AE2353,"")</f>
        <v/>
      </c>
      <c r="AH2353" s="1">
        <f>A2353</f>
        <v/>
      </c>
      <c r="AI2353">
        <f>IF(ISNUMBER((1+V2353)*AI2352),(1+V2353)*AI2352,AI2352)</f>
        <v/>
      </c>
      <c r="AJ2353">
        <f>IF(ISNUMBER((1+Z2353)*AJ2352),(1+Z2353)*AJ2352,AJ2352)</f>
        <v/>
      </c>
    </row>
    <row r="2354">
      <c r="A2354" s="1" t="n">
        <v>45419</v>
      </c>
      <c r="B2354" s="3">
        <f>IF(ORIG!B2354=0,"",ORIG!B2354)</f>
        <v/>
      </c>
      <c r="C2354" s="3">
        <f>IF(ORIG!C2354=0,"",ORIG!C2354)</f>
        <v/>
      </c>
      <c r="D2354" s="3">
        <f>IF(ORIG!D2354=0,"",ORIG!D2354)</f>
        <v/>
      </c>
      <c r="E2354" s="3">
        <f>IF(ORIG!E2354=0,"",ORIG!E2354)</f>
        <v/>
      </c>
      <c r="F2354" s="3">
        <f>IF(ORIG!F2354=0,"",ORIG!F2354)</f>
        <v/>
      </c>
      <c r="G2354" s="3">
        <f>IF(ORIG!G2354=0,"",ORIG!G2354)</f>
        <v/>
      </c>
      <c r="H2354" s="3">
        <f>IF(ORIG!H2354=0,"",ORIG!H2354)</f>
        <v/>
      </c>
      <c r="I2354" s="3">
        <f>IF(ORIG!I2354=0,"",ORIG!I2354)</f>
        <v/>
      </c>
      <c r="J2354" s="3">
        <f>IF(ORIG!J2354=0,"",ORIG!J2354)</f>
        <v/>
      </c>
      <c r="K2354" s="3">
        <f>IF(ORIG!K2354=0,"",ORIG!K2354)</f>
        <v/>
      </c>
      <c r="L2354" s="3">
        <f>IF(ORIG!L2354=0,"",ORIG!L2354)</f>
        <v/>
      </c>
      <c r="M2354" s="3">
        <f>IF(ORIG!M2354=0,"",ORIG!M2354)</f>
        <v/>
      </c>
      <c r="N2354" s="3">
        <f>IF(ORIG!N2354=0,"",ORIG!N2354)</f>
        <v/>
      </c>
      <c r="O2354" s="3">
        <f>IF(ORIG!O2354=0,"",ORIG!O2354)</f>
        <v/>
      </c>
      <c r="P2354" s="3">
        <f>IF(ORIG!P2354=0,"",ORIG!P2354)</f>
        <v/>
      </c>
      <c r="Q2354" s="3">
        <f>IF(ORIG!Q2354=0,"",ORIG!Q2354)</f>
        <v/>
      </c>
      <c r="R2354" s="3">
        <f>IF(ORIG!R2354=0,"",ORIG!R2354)</f>
        <v/>
      </c>
      <c r="S2354" s="3">
        <f>IF(ORIG!S2354=0,"",ORIG!S2354)</f>
        <v/>
      </c>
      <c r="T2354" s="3">
        <f>IF(ORIG!T2354=0,"",ORIG!T2354)</f>
        <v/>
      </c>
      <c r="U2354" s="3">
        <f>IF(ORIG!U2354=0,"",ORIG!U2354)</f>
        <v/>
      </c>
      <c r="V2354" s="9">
        <f>IF(ORIG!V2354=0,"",ORIG!V2354)</f>
        <v/>
      </c>
      <c r="W2354" s="9">
        <f>IF(ORIG!W2354=0,"",ORIG!W2354)</f>
        <v/>
      </c>
      <c r="X2354" s="9">
        <f>IF(ORIG!X2354=0,"",ORIG!X2354)</f>
        <v/>
      </c>
      <c r="Y2354" s="9">
        <f>IF(ORIG!Y2354=0,"",ORIG!Y2354)</f>
        <v/>
      </c>
      <c r="Z2354" s="3">
        <f>SUMPRODUCT($B2354:$Y2354,$B$2649:$Y$2649)</f>
        <v/>
      </c>
      <c r="AA2354" s="3">
        <f>SUMPRODUCT($B2354:$Y2354,$B$2655:$Y$2655)</f>
        <v/>
      </c>
      <c r="AC2354" s="1">
        <f>A2354</f>
        <v/>
      </c>
      <c r="AD2354">
        <f>IF(ISNUMBER(V2354),V2354*($AB$1/V$2635),"")</f>
        <v/>
      </c>
      <c r="AE2354">
        <f>IF(ISNUMBER(Z2354),Z2354*($AB$1/Z$2635),"")</f>
        <v/>
      </c>
      <c r="AF2354" s="25">
        <f>IF(ISNUMBER(AD2354+AE2354),AD2354+AE2354,"")</f>
        <v/>
      </c>
      <c r="AH2354" s="1">
        <f>A2354</f>
        <v/>
      </c>
      <c r="AI2354">
        <f>IF(ISNUMBER((1+V2354)*AI2353),(1+V2354)*AI2353,AI2353)</f>
        <v/>
      </c>
      <c r="AJ2354">
        <f>IF(ISNUMBER((1+Z2354)*AJ2353),(1+Z2354)*AJ2353,AJ2353)</f>
        <v/>
      </c>
    </row>
    <row r="2355">
      <c r="A2355" s="1" t="n">
        <v>45420</v>
      </c>
      <c r="B2355" s="3">
        <f>IF(ORIG!B2355=0,"",ORIG!B2355)</f>
        <v/>
      </c>
      <c r="C2355" s="3">
        <f>IF(ORIG!C2355=0,"",ORIG!C2355)</f>
        <v/>
      </c>
      <c r="D2355" s="3">
        <f>IF(ORIG!D2355=0,"",ORIG!D2355)</f>
        <v/>
      </c>
      <c r="E2355" s="3">
        <f>IF(ORIG!E2355=0,"",ORIG!E2355)</f>
        <v/>
      </c>
      <c r="F2355" s="3">
        <f>IF(ORIG!F2355=0,"",ORIG!F2355)</f>
        <v/>
      </c>
      <c r="G2355" s="3">
        <f>IF(ORIG!G2355=0,"",ORIG!G2355)</f>
        <v/>
      </c>
      <c r="H2355" s="3">
        <f>IF(ORIG!H2355=0,"",ORIG!H2355)</f>
        <v/>
      </c>
      <c r="I2355" s="3">
        <f>IF(ORIG!I2355=0,"",ORIG!I2355)</f>
        <v/>
      </c>
      <c r="J2355" s="3">
        <f>IF(ORIG!J2355=0,"",ORIG!J2355)</f>
        <v/>
      </c>
      <c r="K2355" s="3">
        <f>IF(ORIG!K2355=0,"",ORIG!K2355)</f>
        <v/>
      </c>
      <c r="L2355" s="3">
        <f>IF(ORIG!L2355=0,"",ORIG!L2355)</f>
        <v/>
      </c>
      <c r="M2355" s="3">
        <f>IF(ORIG!M2355=0,"",ORIG!M2355)</f>
        <v/>
      </c>
      <c r="N2355" s="3">
        <f>IF(ORIG!N2355=0,"",ORIG!N2355)</f>
        <v/>
      </c>
      <c r="O2355" s="3">
        <f>IF(ORIG!O2355=0,"",ORIG!O2355)</f>
        <v/>
      </c>
      <c r="P2355" s="3">
        <f>IF(ORIG!P2355=0,"",ORIG!P2355)</f>
        <v/>
      </c>
      <c r="Q2355" s="3">
        <f>IF(ORIG!Q2355=0,"",ORIG!Q2355)</f>
        <v/>
      </c>
      <c r="R2355" s="3">
        <f>IF(ORIG!R2355=0,"",ORIG!R2355)</f>
        <v/>
      </c>
      <c r="S2355" s="3">
        <f>IF(ORIG!S2355=0,"",ORIG!S2355)</f>
        <v/>
      </c>
      <c r="T2355" s="3">
        <f>IF(ORIG!T2355=0,"",ORIG!T2355)</f>
        <v/>
      </c>
      <c r="U2355" s="3">
        <f>IF(ORIG!U2355=0,"",ORIG!U2355)</f>
        <v/>
      </c>
      <c r="V2355" s="9">
        <f>IF(ORIG!V2355=0,"",ORIG!V2355)</f>
        <v/>
      </c>
      <c r="W2355" s="9">
        <f>IF(ORIG!W2355=0,"",ORIG!W2355)</f>
        <v/>
      </c>
      <c r="X2355" s="9">
        <f>IF(ORIG!X2355=0,"",ORIG!X2355)</f>
        <v/>
      </c>
      <c r="Y2355" s="9">
        <f>IF(ORIG!Y2355=0,"",ORIG!Y2355)</f>
        <v/>
      </c>
      <c r="Z2355" s="3">
        <f>SUMPRODUCT($B2355:$Y2355,$B$2649:$Y$2649)</f>
        <v/>
      </c>
      <c r="AA2355" s="3">
        <f>SUMPRODUCT($B2355:$Y2355,$B$2655:$Y$2655)</f>
        <v/>
      </c>
      <c r="AC2355" s="1">
        <f>A2355</f>
        <v/>
      </c>
      <c r="AD2355">
        <f>IF(ISNUMBER(V2355),V2355*($AB$1/V$2635),"")</f>
        <v/>
      </c>
      <c r="AE2355">
        <f>IF(ISNUMBER(Z2355),Z2355*($AB$1/Z$2635),"")</f>
        <v/>
      </c>
      <c r="AF2355" s="25">
        <f>IF(ISNUMBER(AD2355+AE2355),AD2355+AE2355,"")</f>
        <v/>
      </c>
      <c r="AH2355" s="1">
        <f>A2355</f>
        <v/>
      </c>
      <c r="AI2355">
        <f>IF(ISNUMBER((1+V2355)*AI2354),(1+V2355)*AI2354,AI2354)</f>
        <v/>
      </c>
      <c r="AJ2355">
        <f>IF(ISNUMBER((1+Z2355)*AJ2354),(1+Z2355)*AJ2354,AJ2354)</f>
        <v/>
      </c>
    </row>
    <row r="2356">
      <c r="A2356" s="1" t="n">
        <v>45421</v>
      </c>
      <c r="B2356" s="3">
        <f>IF(ORIG!B2356=0,"",ORIG!B2356)</f>
        <v/>
      </c>
      <c r="C2356" s="3">
        <f>IF(ORIG!C2356=0,"",ORIG!C2356)</f>
        <v/>
      </c>
      <c r="D2356" s="3">
        <f>IF(ORIG!D2356=0,"",ORIG!D2356)</f>
        <v/>
      </c>
      <c r="E2356" s="3">
        <f>IF(ORIG!E2356=0,"",ORIG!E2356)</f>
        <v/>
      </c>
      <c r="F2356" s="3">
        <f>IF(ORIG!F2356=0,"",ORIG!F2356)</f>
        <v/>
      </c>
      <c r="G2356" s="3">
        <f>IF(ORIG!G2356=0,"",ORIG!G2356)</f>
        <v/>
      </c>
      <c r="H2356" s="3">
        <f>IF(ORIG!H2356=0,"",ORIG!H2356)</f>
        <v/>
      </c>
      <c r="I2356" s="3">
        <f>IF(ORIG!I2356=0,"",ORIG!I2356)</f>
        <v/>
      </c>
      <c r="J2356" s="3">
        <f>IF(ORIG!J2356=0,"",ORIG!J2356)</f>
        <v/>
      </c>
      <c r="K2356" s="3">
        <f>IF(ORIG!K2356=0,"",ORIG!K2356)</f>
        <v/>
      </c>
      <c r="L2356" s="3">
        <f>IF(ORIG!L2356=0,"",ORIG!L2356)</f>
        <v/>
      </c>
      <c r="M2356" s="3">
        <f>IF(ORIG!M2356=0,"",ORIG!M2356)</f>
        <v/>
      </c>
      <c r="N2356" s="3">
        <f>IF(ORIG!N2356=0,"",ORIG!N2356)</f>
        <v/>
      </c>
      <c r="O2356" s="3">
        <f>IF(ORIG!O2356=0,"",ORIG!O2356)</f>
        <v/>
      </c>
      <c r="P2356" s="3">
        <f>IF(ORIG!P2356=0,"",ORIG!P2356)</f>
        <v/>
      </c>
      <c r="Q2356" s="3">
        <f>IF(ORIG!Q2356=0,"",ORIG!Q2356)</f>
        <v/>
      </c>
      <c r="R2356" s="3">
        <f>IF(ORIG!R2356=0,"",ORIG!R2356)</f>
        <v/>
      </c>
      <c r="S2356" s="3">
        <f>IF(ORIG!S2356=0,"",ORIG!S2356)</f>
        <v/>
      </c>
      <c r="T2356" s="3">
        <f>IF(ORIG!T2356=0,"",ORIG!T2356)</f>
        <v/>
      </c>
      <c r="U2356" s="3">
        <f>IF(ORIG!U2356=0,"",ORIG!U2356)</f>
        <v/>
      </c>
      <c r="V2356" s="9">
        <f>IF(ORIG!V2356=0,"",ORIG!V2356)</f>
        <v/>
      </c>
      <c r="W2356" s="9">
        <f>IF(ORIG!W2356=0,"",ORIG!W2356)</f>
        <v/>
      </c>
      <c r="X2356" s="9">
        <f>IF(ORIG!X2356=0,"",ORIG!X2356)</f>
        <v/>
      </c>
      <c r="Y2356" s="9">
        <f>IF(ORIG!Y2356=0,"",ORIG!Y2356)</f>
        <v/>
      </c>
      <c r="Z2356" s="3">
        <f>SUMPRODUCT($B2356:$Y2356,$B$2649:$Y$2649)</f>
        <v/>
      </c>
      <c r="AA2356" s="3">
        <f>SUMPRODUCT($B2356:$Y2356,$B$2655:$Y$2655)</f>
        <v/>
      </c>
      <c r="AC2356" s="1">
        <f>A2356</f>
        <v/>
      </c>
      <c r="AD2356">
        <f>IF(ISNUMBER(V2356),V2356*($AB$1/V$2635),"")</f>
        <v/>
      </c>
      <c r="AE2356">
        <f>IF(ISNUMBER(Z2356),Z2356*($AB$1/Z$2635),"")</f>
        <v/>
      </c>
      <c r="AF2356" s="25">
        <f>IF(ISNUMBER(AD2356+AE2356),AD2356+AE2356,"")</f>
        <v/>
      </c>
      <c r="AH2356" s="1">
        <f>A2356</f>
        <v/>
      </c>
      <c r="AI2356">
        <f>IF(ISNUMBER((1+V2356)*AI2355),(1+V2356)*AI2355,AI2355)</f>
        <v/>
      </c>
      <c r="AJ2356">
        <f>IF(ISNUMBER((1+Z2356)*AJ2355),(1+Z2356)*AJ2355,AJ2355)</f>
        <v/>
      </c>
    </row>
    <row r="2357">
      <c r="A2357" s="1" t="n">
        <v>45422</v>
      </c>
      <c r="B2357" s="3">
        <f>IF(ORIG!B2357=0,"",ORIG!B2357)</f>
        <v/>
      </c>
      <c r="C2357" s="3">
        <f>IF(ORIG!C2357=0,"",ORIG!C2357)</f>
        <v/>
      </c>
      <c r="D2357" s="3">
        <f>IF(ORIG!D2357=0,"",ORIG!D2357)</f>
        <v/>
      </c>
      <c r="E2357" s="3">
        <f>IF(ORIG!E2357=0,"",ORIG!E2357)</f>
        <v/>
      </c>
      <c r="F2357" s="3">
        <f>IF(ORIG!F2357=0,"",ORIG!F2357)</f>
        <v/>
      </c>
      <c r="G2357" s="3">
        <f>IF(ORIG!G2357=0,"",ORIG!G2357)</f>
        <v/>
      </c>
      <c r="H2357" s="3">
        <f>IF(ORIG!H2357=0,"",ORIG!H2357)</f>
        <v/>
      </c>
      <c r="I2357" s="3">
        <f>IF(ORIG!I2357=0,"",ORIG!I2357)</f>
        <v/>
      </c>
      <c r="J2357" s="3">
        <f>IF(ORIG!J2357=0,"",ORIG!J2357)</f>
        <v/>
      </c>
      <c r="K2357" s="3">
        <f>IF(ORIG!K2357=0,"",ORIG!K2357)</f>
        <v/>
      </c>
      <c r="L2357" s="3">
        <f>IF(ORIG!L2357=0,"",ORIG!L2357)</f>
        <v/>
      </c>
      <c r="M2357" s="3">
        <f>IF(ORIG!M2357=0,"",ORIG!M2357)</f>
        <v/>
      </c>
      <c r="N2357" s="3">
        <f>IF(ORIG!N2357=0,"",ORIG!N2357)</f>
        <v/>
      </c>
      <c r="O2357" s="3">
        <f>IF(ORIG!O2357=0,"",ORIG!O2357)</f>
        <v/>
      </c>
      <c r="P2357" s="3">
        <f>IF(ORIG!P2357=0,"",ORIG!P2357)</f>
        <v/>
      </c>
      <c r="Q2357" s="3">
        <f>IF(ORIG!Q2357=0,"",ORIG!Q2357)</f>
        <v/>
      </c>
      <c r="R2357" s="3">
        <f>IF(ORIG!R2357=0,"",ORIG!R2357)</f>
        <v/>
      </c>
      <c r="S2357" s="3">
        <f>IF(ORIG!S2357=0,"",ORIG!S2357)</f>
        <v/>
      </c>
      <c r="T2357" s="3">
        <f>IF(ORIG!T2357=0,"",ORIG!T2357)</f>
        <v/>
      </c>
      <c r="U2357" s="3">
        <f>IF(ORIG!U2357=0,"",ORIG!U2357)</f>
        <v/>
      </c>
      <c r="V2357" s="9">
        <f>IF(ORIG!V2357=0,"",ORIG!V2357)</f>
        <v/>
      </c>
      <c r="W2357" s="9">
        <f>IF(ORIG!W2357=0,"",ORIG!W2357)</f>
        <v/>
      </c>
      <c r="X2357" s="9">
        <f>IF(ORIG!X2357=0,"",ORIG!X2357)</f>
        <v/>
      </c>
      <c r="Y2357" s="9">
        <f>IF(ORIG!Y2357=0,"",ORIG!Y2357)</f>
        <v/>
      </c>
      <c r="Z2357" s="3">
        <f>SUMPRODUCT($B2357:$Y2357,$B$2649:$Y$2649)</f>
        <v/>
      </c>
      <c r="AA2357" s="3">
        <f>SUMPRODUCT($B2357:$Y2357,$B$2655:$Y$2655)</f>
        <v/>
      </c>
      <c r="AC2357" s="1">
        <f>A2357</f>
        <v/>
      </c>
      <c r="AD2357">
        <f>IF(ISNUMBER(V2357),V2357*($AB$1/V$2635),"")</f>
        <v/>
      </c>
      <c r="AE2357">
        <f>IF(ISNUMBER(Z2357),Z2357*($AB$1/Z$2635),"")</f>
        <v/>
      </c>
      <c r="AF2357" s="25">
        <f>IF(ISNUMBER(AD2357+AE2357),AD2357+AE2357,"")</f>
        <v/>
      </c>
      <c r="AH2357" s="1">
        <f>A2357</f>
        <v/>
      </c>
      <c r="AI2357">
        <f>IF(ISNUMBER((1+V2357)*AI2356),(1+V2357)*AI2356,AI2356)</f>
        <v/>
      </c>
      <c r="AJ2357">
        <f>IF(ISNUMBER((1+Z2357)*AJ2356),(1+Z2357)*AJ2356,AJ2356)</f>
        <v/>
      </c>
    </row>
    <row r="2358">
      <c r="A2358" s="1" t="n">
        <v>45425</v>
      </c>
      <c r="B2358" s="3">
        <f>IF(ORIG!B2358=0,"",ORIG!B2358)</f>
        <v/>
      </c>
      <c r="C2358" s="3">
        <f>IF(ORIG!C2358=0,"",ORIG!C2358)</f>
        <v/>
      </c>
      <c r="D2358" s="3">
        <f>IF(ORIG!D2358=0,"",ORIG!D2358)</f>
        <v/>
      </c>
      <c r="E2358" s="3">
        <f>IF(ORIG!E2358=0,"",ORIG!E2358)</f>
        <v/>
      </c>
      <c r="F2358" s="3">
        <f>IF(ORIG!F2358=0,"",ORIG!F2358)</f>
        <v/>
      </c>
      <c r="G2358" s="3">
        <f>IF(ORIG!G2358=0,"",ORIG!G2358)</f>
        <v/>
      </c>
      <c r="H2358" s="3">
        <f>IF(ORIG!H2358=0,"",ORIG!H2358)</f>
        <v/>
      </c>
      <c r="I2358" s="3">
        <f>IF(ORIG!I2358=0,"",ORIG!I2358)</f>
        <v/>
      </c>
      <c r="J2358" s="3">
        <f>IF(ORIG!J2358=0,"",ORIG!J2358)</f>
        <v/>
      </c>
      <c r="K2358" s="3">
        <f>IF(ORIG!K2358=0,"",ORIG!K2358)</f>
        <v/>
      </c>
      <c r="L2358" s="3">
        <f>IF(ORIG!L2358=0,"",ORIG!L2358)</f>
        <v/>
      </c>
      <c r="M2358" s="3">
        <f>IF(ORIG!M2358=0,"",ORIG!M2358)</f>
        <v/>
      </c>
      <c r="N2358" s="3">
        <f>IF(ORIG!N2358=0,"",ORIG!N2358)</f>
        <v/>
      </c>
      <c r="O2358" s="3">
        <f>IF(ORIG!O2358=0,"",ORIG!O2358)</f>
        <v/>
      </c>
      <c r="P2358" s="3">
        <f>IF(ORIG!P2358=0,"",ORIG!P2358)</f>
        <v/>
      </c>
      <c r="Q2358" s="3">
        <f>IF(ORIG!Q2358=0,"",ORIG!Q2358)</f>
        <v/>
      </c>
      <c r="R2358" s="3">
        <f>IF(ORIG!R2358=0,"",ORIG!R2358)</f>
        <v/>
      </c>
      <c r="S2358" s="3">
        <f>IF(ORIG!S2358=0,"",ORIG!S2358)</f>
        <v/>
      </c>
      <c r="T2358" s="3">
        <f>IF(ORIG!T2358=0,"",ORIG!T2358)</f>
        <v/>
      </c>
      <c r="U2358" s="3">
        <f>IF(ORIG!U2358=0,"",ORIG!U2358)</f>
        <v/>
      </c>
      <c r="V2358" s="9">
        <f>IF(ORIG!V2358=0,"",ORIG!V2358)</f>
        <v/>
      </c>
      <c r="W2358" s="9">
        <f>IF(ORIG!W2358=0,"",ORIG!W2358)</f>
        <v/>
      </c>
      <c r="X2358" s="9">
        <f>IF(ORIG!X2358=0,"",ORIG!X2358)</f>
        <v/>
      </c>
      <c r="Y2358" s="9">
        <f>IF(ORIG!Y2358=0,"",ORIG!Y2358)</f>
        <v/>
      </c>
      <c r="Z2358" s="3">
        <f>SUMPRODUCT($B2358:$Y2358,$B$2649:$Y$2649)</f>
        <v/>
      </c>
      <c r="AA2358" s="3">
        <f>SUMPRODUCT($B2358:$Y2358,$B$2655:$Y$2655)</f>
        <v/>
      </c>
      <c r="AC2358" s="1">
        <f>A2358</f>
        <v/>
      </c>
      <c r="AD2358">
        <f>IF(ISNUMBER(V2358),V2358*($AB$1/V$2635),"")</f>
        <v/>
      </c>
      <c r="AE2358">
        <f>IF(ISNUMBER(Z2358),Z2358*($AB$1/Z$2635),"")</f>
        <v/>
      </c>
      <c r="AF2358" s="25">
        <f>IF(ISNUMBER(AD2358+AE2358),AD2358+AE2358,"")</f>
        <v/>
      </c>
      <c r="AH2358" s="1">
        <f>A2358</f>
        <v/>
      </c>
      <c r="AI2358">
        <f>IF(ISNUMBER((1+V2358)*AI2357),(1+V2358)*AI2357,AI2357)</f>
        <v/>
      </c>
      <c r="AJ2358">
        <f>IF(ISNUMBER((1+Z2358)*AJ2357),(1+Z2358)*AJ2357,AJ2357)</f>
        <v/>
      </c>
    </row>
    <row r="2359">
      <c r="A2359" s="1" t="n">
        <v>45426</v>
      </c>
      <c r="B2359" s="3">
        <f>IF(ORIG!B2359=0,"",ORIG!B2359)</f>
        <v/>
      </c>
      <c r="C2359" s="3">
        <f>IF(ORIG!C2359=0,"",ORIG!C2359)</f>
        <v/>
      </c>
      <c r="D2359" s="3">
        <f>IF(ORIG!D2359=0,"",ORIG!D2359)</f>
        <v/>
      </c>
      <c r="E2359" s="3">
        <f>IF(ORIG!E2359=0,"",ORIG!E2359)</f>
        <v/>
      </c>
      <c r="F2359" s="3">
        <f>IF(ORIG!F2359=0,"",ORIG!F2359)</f>
        <v/>
      </c>
      <c r="G2359" s="3">
        <f>IF(ORIG!G2359=0,"",ORIG!G2359)</f>
        <v/>
      </c>
      <c r="H2359" s="3">
        <f>IF(ORIG!H2359=0,"",ORIG!H2359)</f>
        <v/>
      </c>
      <c r="I2359" s="3">
        <f>IF(ORIG!I2359=0,"",ORIG!I2359)</f>
        <v/>
      </c>
      <c r="J2359" s="3">
        <f>IF(ORIG!J2359=0,"",ORIG!J2359)</f>
        <v/>
      </c>
      <c r="K2359" s="3">
        <f>IF(ORIG!K2359=0,"",ORIG!K2359)</f>
        <v/>
      </c>
      <c r="L2359" s="3">
        <f>IF(ORIG!L2359=0,"",ORIG!L2359)</f>
        <v/>
      </c>
      <c r="M2359" s="3">
        <f>IF(ORIG!M2359=0,"",ORIG!M2359)</f>
        <v/>
      </c>
      <c r="N2359" s="3">
        <f>IF(ORIG!N2359=0,"",ORIG!N2359)</f>
        <v/>
      </c>
      <c r="O2359" s="3">
        <f>IF(ORIG!O2359=0,"",ORIG!O2359)</f>
        <v/>
      </c>
      <c r="P2359" s="3">
        <f>IF(ORIG!P2359=0,"",ORIG!P2359)</f>
        <v/>
      </c>
      <c r="Q2359" s="3">
        <f>IF(ORIG!Q2359=0,"",ORIG!Q2359)</f>
        <v/>
      </c>
      <c r="R2359" s="3">
        <f>IF(ORIG!R2359=0,"",ORIG!R2359)</f>
        <v/>
      </c>
      <c r="S2359" s="3">
        <f>IF(ORIG!S2359=0,"",ORIG!S2359)</f>
        <v/>
      </c>
      <c r="T2359" s="3">
        <f>IF(ORIG!T2359=0,"",ORIG!T2359)</f>
        <v/>
      </c>
      <c r="U2359" s="3">
        <f>IF(ORIG!U2359=0,"",ORIG!U2359)</f>
        <v/>
      </c>
      <c r="V2359" s="9">
        <f>IF(ORIG!V2359=0,"",ORIG!V2359)</f>
        <v/>
      </c>
      <c r="W2359" s="9">
        <f>IF(ORIG!W2359=0,"",ORIG!W2359)</f>
        <v/>
      </c>
      <c r="X2359" s="9">
        <f>IF(ORIG!X2359=0,"",ORIG!X2359)</f>
        <v/>
      </c>
      <c r="Y2359" s="9">
        <f>IF(ORIG!Y2359=0,"",ORIG!Y2359)</f>
        <v/>
      </c>
      <c r="Z2359" s="3">
        <f>SUMPRODUCT($B2359:$Y2359,$B$2649:$Y$2649)</f>
        <v/>
      </c>
      <c r="AA2359" s="3">
        <f>SUMPRODUCT($B2359:$Y2359,$B$2655:$Y$2655)</f>
        <v/>
      </c>
      <c r="AC2359" s="1">
        <f>A2359</f>
        <v/>
      </c>
      <c r="AD2359">
        <f>IF(ISNUMBER(V2359),V2359*($AB$1/V$2635),"")</f>
        <v/>
      </c>
      <c r="AE2359">
        <f>IF(ISNUMBER(Z2359),Z2359*($AB$1/Z$2635),"")</f>
        <v/>
      </c>
      <c r="AF2359" s="25">
        <f>IF(ISNUMBER(AD2359+AE2359),AD2359+AE2359,"")</f>
        <v/>
      </c>
      <c r="AH2359" s="1">
        <f>A2359</f>
        <v/>
      </c>
      <c r="AI2359">
        <f>IF(ISNUMBER((1+V2359)*AI2358),(1+V2359)*AI2358,AI2358)</f>
        <v/>
      </c>
      <c r="AJ2359">
        <f>IF(ISNUMBER((1+Z2359)*AJ2358),(1+Z2359)*AJ2358,AJ2358)</f>
        <v/>
      </c>
    </row>
    <row r="2360">
      <c r="A2360" s="1" t="n">
        <v>45427</v>
      </c>
      <c r="B2360" s="3">
        <f>IF(ORIG!B2360=0,"",ORIG!B2360)</f>
        <v/>
      </c>
      <c r="C2360" s="3">
        <f>IF(ORIG!C2360=0,"",ORIG!C2360)</f>
        <v/>
      </c>
      <c r="D2360" s="3">
        <f>IF(ORIG!D2360=0,"",ORIG!D2360)</f>
        <v/>
      </c>
      <c r="E2360" s="3">
        <f>IF(ORIG!E2360=0,"",ORIG!E2360)</f>
        <v/>
      </c>
      <c r="F2360" s="3">
        <f>IF(ORIG!F2360=0,"",ORIG!F2360)</f>
        <v/>
      </c>
      <c r="G2360" s="3">
        <f>IF(ORIG!G2360=0,"",ORIG!G2360)</f>
        <v/>
      </c>
      <c r="H2360" s="3">
        <f>IF(ORIG!H2360=0,"",ORIG!H2360)</f>
        <v/>
      </c>
      <c r="I2360" s="3">
        <f>IF(ORIG!I2360=0,"",ORIG!I2360)</f>
        <v/>
      </c>
      <c r="J2360" s="3">
        <f>IF(ORIG!J2360=0,"",ORIG!J2360)</f>
        <v/>
      </c>
      <c r="K2360" s="3">
        <f>IF(ORIG!K2360=0,"",ORIG!K2360)</f>
        <v/>
      </c>
      <c r="L2360" s="3">
        <f>IF(ORIG!L2360=0,"",ORIG!L2360)</f>
        <v/>
      </c>
      <c r="M2360" s="3">
        <f>IF(ORIG!M2360=0,"",ORIG!M2360)</f>
        <v/>
      </c>
      <c r="N2360" s="3">
        <f>IF(ORIG!N2360=0,"",ORIG!N2360)</f>
        <v/>
      </c>
      <c r="O2360" s="3">
        <f>IF(ORIG!O2360=0,"",ORIG!O2360)</f>
        <v/>
      </c>
      <c r="P2360" s="3">
        <f>IF(ORIG!P2360=0,"",ORIG!P2360)</f>
        <v/>
      </c>
      <c r="Q2360" s="3">
        <f>IF(ORIG!Q2360=0,"",ORIG!Q2360)</f>
        <v/>
      </c>
      <c r="R2360" s="3">
        <f>IF(ORIG!R2360=0,"",ORIG!R2360)</f>
        <v/>
      </c>
      <c r="S2360" s="3">
        <f>IF(ORIG!S2360=0,"",ORIG!S2360)</f>
        <v/>
      </c>
      <c r="T2360" s="3">
        <f>IF(ORIG!T2360=0,"",ORIG!T2360)</f>
        <v/>
      </c>
      <c r="U2360" s="3">
        <f>IF(ORIG!U2360=0,"",ORIG!U2360)</f>
        <v/>
      </c>
      <c r="V2360" s="9">
        <f>IF(ORIG!V2360=0,"",ORIG!V2360)</f>
        <v/>
      </c>
      <c r="W2360" s="9">
        <f>IF(ORIG!W2360=0,"",ORIG!W2360)</f>
        <v/>
      </c>
      <c r="X2360" s="9">
        <f>IF(ORIG!X2360=0,"",ORIG!X2360)</f>
        <v/>
      </c>
      <c r="Y2360" s="9">
        <f>IF(ORIG!Y2360=0,"",ORIG!Y2360)</f>
        <v/>
      </c>
      <c r="Z2360" s="3">
        <f>SUMPRODUCT($B2360:$Y2360,$B$2649:$Y$2649)</f>
        <v/>
      </c>
      <c r="AA2360" s="3">
        <f>SUMPRODUCT($B2360:$Y2360,$B$2655:$Y$2655)</f>
        <v/>
      </c>
      <c r="AC2360" s="1">
        <f>A2360</f>
        <v/>
      </c>
      <c r="AD2360">
        <f>IF(ISNUMBER(V2360),V2360*($AB$1/V$2635),"")</f>
        <v/>
      </c>
      <c r="AE2360">
        <f>IF(ISNUMBER(Z2360),Z2360*($AB$1/Z$2635),"")</f>
        <v/>
      </c>
      <c r="AF2360" s="25">
        <f>IF(ISNUMBER(AD2360+AE2360),AD2360+AE2360,"")</f>
        <v/>
      </c>
      <c r="AH2360" s="1">
        <f>A2360</f>
        <v/>
      </c>
      <c r="AI2360">
        <f>IF(ISNUMBER((1+V2360)*AI2359),(1+V2360)*AI2359,AI2359)</f>
        <v/>
      </c>
      <c r="AJ2360">
        <f>IF(ISNUMBER((1+Z2360)*AJ2359),(1+Z2360)*AJ2359,AJ2359)</f>
        <v/>
      </c>
    </row>
    <row r="2361">
      <c r="A2361" s="1" t="n">
        <v>45428</v>
      </c>
      <c r="B2361" s="3">
        <f>IF(ORIG!B2361=0,"",ORIG!B2361)</f>
        <v/>
      </c>
      <c r="C2361" s="3">
        <f>IF(ORIG!C2361=0,"",ORIG!C2361)</f>
        <v/>
      </c>
      <c r="D2361" s="3">
        <f>IF(ORIG!D2361=0,"",ORIG!D2361)</f>
        <v/>
      </c>
      <c r="E2361" s="3">
        <f>IF(ORIG!E2361=0,"",ORIG!E2361)</f>
        <v/>
      </c>
      <c r="F2361" s="3">
        <f>IF(ORIG!F2361=0,"",ORIG!F2361)</f>
        <v/>
      </c>
      <c r="G2361" s="3">
        <f>IF(ORIG!G2361=0,"",ORIG!G2361)</f>
        <v/>
      </c>
      <c r="H2361" s="3">
        <f>IF(ORIG!H2361=0,"",ORIG!H2361)</f>
        <v/>
      </c>
      <c r="I2361" s="3">
        <f>IF(ORIG!I2361=0,"",ORIG!I2361)</f>
        <v/>
      </c>
      <c r="J2361" s="3">
        <f>IF(ORIG!J2361=0,"",ORIG!J2361)</f>
        <v/>
      </c>
      <c r="K2361" s="3">
        <f>IF(ORIG!K2361=0,"",ORIG!K2361)</f>
        <v/>
      </c>
      <c r="L2361" s="3">
        <f>IF(ORIG!L2361=0,"",ORIG!L2361)</f>
        <v/>
      </c>
      <c r="M2361" s="3">
        <f>IF(ORIG!M2361=0,"",ORIG!M2361)</f>
        <v/>
      </c>
      <c r="N2361" s="3">
        <f>IF(ORIG!N2361=0,"",ORIG!N2361)</f>
        <v/>
      </c>
      <c r="O2361" s="3">
        <f>IF(ORIG!O2361=0,"",ORIG!O2361)</f>
        <v/>
      </c>
      <c r="P2361" s="3">
        <f>IF(ORIG!P2361=0,"",ORIG!P2361)</f>
        <v/>
      </c>
      <c r="Q2361" s="3">
        <f>IF(ORIG!Q2361=0,"",ORIG!Q2361)</f>
        <v/>
      </c>
      <c r="R2361" s="3">
        <f>IF(ORIG!R2361=0,"",ORIG!R2361)</f>
        <v/>
      </c>
      <c r="S2361" s="3">
        <f>IF(ORIG!S2361=0,"",ORIG!S2361)</f>
        <v/>
      </c>
      <c r="T2361" s="3">
        <f>IF(ORIG!T2361=0,"",ORIG!T2361)</f>
        <v/>
      </c>
      <c r="U2361" s="3">
        <f>IF(ORIG!U2361=0,"",ORIG!U2361)</f>
        <v/>
      </c>
      <c r="V2361" s="9">
        <f>IF(ORIG!V2361=0,"",ORIG!V2361)</f>
        <v/>
      </c>
      <c r="W2361" s="9">
        <f>IF(ORIG!W2361=0,"",ORIG!W2361)</f>
        <v/>
      </c>
      <c r="X2361" s="9">
        <f>IF(ORIG!X2361=0,"",ORIG!X2361)</f>
        <v/>
      </c>
      <c r="Y2361" s="9">
        <f>IF(ORIG!Y2361=0,"",ORIG!Y2361)</f>
        <v/>
      </c>
      <c r="Z2361" s="3">
        <f>SUMPRODUCT($B2361:$Y2361,$B$2649:$Y$2649)</f>
        <v/>
      </c>
      <c r="AA2361" s="3">
        <f>SUMPRODUCT($B2361:$Y2361,$B$2655:$Y$2655)</f>
        <v/>
      </c>
      <c r="AC2361" s="1">
        <f>A2361</f>
        <v/>
      </c>
      <c r="AD2361">
        <f>IF(ISNUMBER(V2361),V2361*($AB$1/V$2635),"")</f>
        <v/>
      </c>
      <c r="AE2361">
        <f>IF(ISNUMBER(Z2361),Z2361*($AB$1/Z$2635),"")</f>
        <v/>
      </c>
      <c r="AF2361" s="25">
        <f>IF(ISNUMBER(AD2361+AE2361),AD2361+AE2361,"")</f>
        <v/>
      </c>
      <c r="AH2361" s="1">
        <f>A2361</f>
        <v/>
      </c>
      <c r="AI2361">
        <f>IF(ISNUMBER((1+V2361)*AI2360),(1+V2361)*AI2360,AI2360)</f>
        <v/>
      </c>
      <c r="AJ2361">
        <f>IF(ISNUMBER((1+Z2361)*AJ2360),(1+Z2361)*AJ2360,AJ2360)</f>
        <v/>
      </c>
    </row>
    <row r="2362">
      <c r="A2362" s="1" t="n">
        <v>45429</v>
      </c>
      <c r="B2362" s="3">
        <f>IF(ORIG!B2362=0,"",ORIG!B2362)</f>
        <v/>
      </c>
      <c r="C2362" s="3">
        <f>IF(ORIG!C2362=0,"",ORIG!C2362)</f>
        <v/>
      </c>
      <c r="D2362" s="3">
        <f>IF(ORIG!D2362=0,"",ORIG!D2362)</f>
        <v/>
      </c>
      <c r="E2362" s="3">
        <f>IF(ORIG!E2362=0,"",ORIG!E2362)</f>
        <v/>
      </c>
      <c r="F2362" s="3">
        <f>IF(ORIG!F2362=0,"",ORIG!F2362)</f>
        <v/>
      </c>
      <c r="G2362" s="3">
        <f>IF(ORIG!G2362=0,"",ORIG!G2362)</f>
        <v/>
      </c>
      <c r="H2362" s="3">
        <f>IF(ORIG!H2362=0,"",ORIG!H2362)</f>
        <v/>
      </c>
      <c r="I2362" s="3">
        <f>IF(ORIG!I2362=0,"",ORIG!I2362)</f>
        <v/>
      </c>
      <c r="J2362" s="3">
        <f>IF(ORIG!J2362=0,"",ORIG!J2362)</f>
        <v/>
      </c>
      <c r="K2362" s="3">
        <f>IF(ORIG!K2362=0,"",ORIG!K2362)</f>
        <v/>
      </c>
      <c r="L2362" s="3">
        <f>IF(ORIG!L2362=0,"",ORIG!L2362)</f>
        <v/>
      </c>
      <c r="M2362" s="3">
        <f>IF(ORIG!M2362=0,"",ORIG!M2362)</f>
        <v/>
      </c>
      <c r="N2362" s="3">
        <f>IF(ORIG!N2362=0,"",ORIG!N2362)</f>
        <v/>
      </c>
      <c r="O2362" s="3">
        <f>IF(ORIG!O2362=0,"",ORIG!O2362)</f>
        <v/>
      </c>
      <c r="P2362" s="3">
        <f>IF(ORIG!P2362=0,"",ORIG!P2362)</f>
        <v/>
      </c>
      <c r="Q2362" s="3">
        <f>IF(ORIG!Q2362=0,"",ORIG!Q2362)</f>
        <v/>
      </c>
      <c r="R2362" s="3">
        <f>IF(ORIG!R2362=0,"",ORIG!R2362)</f>
        <v/>
      </c>
      <c r="S2362" s="3">
        <f>IF(ORIG!S2362=0,"",ORIG!S2362)</f>
        <v/>
      </c>
      <c r="T2362" s="3">
        <f>IF(ORIG!T2362=0,"",ORIG!T2362)</f>
        <v/>
      </c>
      <c r="U2362" s="3">
        <f>IF(ORIG!U2362=0,"",ORIG!U2362)</f>
        <v/>
      </c>
      <c r="V2362" s="9">
        <f>IF(ORIG!V2362=0,"",ORIG!V2362)</f>
        <v/>
      </c>
      <c r="W2362" s="9">
        <f>IF(ORIG!W2362=0,"",ORIG!W2362)</f>
        <v/>
      </c>
      <c r="X2362" s="9">
        <f>IF(ORIG!X2362=0,"",ORIG!X2362)</f>
        <v/>
      </c>
      <c r="Y2362" s="9">
        <f>IF(ORIG!Y2362=0,"",ORIG!Y2362)</f>
        <v/>
      </c>
      <c r="Z2362" s="3">
        <f>SUMPRODUCT($B2362:$Y2362,$B$2649:$Y$2649)</f>
        <v/>
      </c>
      <c r="AA2362" s="3">
        <f>SUMPRODUCT($B2362:$Y2362,$B$2655:$Y$2655)</f>
        <v/>
      </c>
      <c r="AC2362" s="1">
        <f>A2362</f>
        <v/>
      </c>
      <c r="AD2362">
        <f>IF(ISNUMBER(V2362),V2362*($AB$1/V$2635),"")</f>
        <v/>
      </c>
      <c r="AE2362">
        <f>IF(ISNUMBER(Z2362),Z2362*($AB$1/Z$2635),"")</f>
        <v/>
      </c>
      <c r="AF2362" s="25">
        <f>IF(ISNUMBER(AD2362+AE2362),AD2362+AE2362,"")</f>
        <v/>
      </c>
      <c r="AH2362" s="1">
        <f>A2362</f>
        <v/>
      </c>
      <c r="AI2362">
        <f>IF(ISNUMBER((1+V2362)*AI2361),(1+V2362)*AI2361,AI2361)</f>
        <v/>
      </c>
      <c r="AJ2362">
        <f>IF(ISNUMBER((1+Z2362)*AJ2361),(1+Z2362)*AJ2361,AJ2361)</f>
        <v/>
      </c>
    </row>
    <row r="2363">
      <c r="A2363" s="1" t="n">
        <v>45432</v>
      </c>
      <c r="B2363" s="3">
        <f>IF(ORIG!B2363=0,"",ORIG!B2363)</f>
        <v/>
      </c>
      <c r="C2363" s="3">
        <f>IF(ORIG!C2363=0,"",ORIG!C2363)</f>
        <v/>
      </c>
      <c r="D2363" s="3">
        <f>IF(ORIG!D2363=0,"",ORIG!D2363)</f>
        <v/>
      </c>
      <c r="E2363" s="3">
        <f>IF(ORIG!E2363=0,"",ORIG!E2363)</f>
        <v/>
      </c>
      <c r="F2363" s="3">
        <f>IF(ORIG!F2363=0,"",ORIG!F2363)</f>
        <v/>
      </c>
      <c r="G2363" s="3">
        <f>IF(ORIG!G2363=0,"",ORIG!G2363)</f>
        <v/>
      </c>
      <c r="H2363" s="3">
        <f>IF(ORIG!H2363=0,"",ORIG!H2363)</f>
        <v/>
      </c>
      <c r="I2363" s="3">
        <f>IF(ORIG!I2363=0,"",ORIG!I2363)</f>
        <v/>
      </c>
      <c r="J2363" s="3">
        <f>IF(ORIG!J2363=0,"",ORIG!J2363)</f>
        <v/>
      </c>
      <c r="K2363" s="3">
        <f>IF(ORIG!K2363=0,"",ORIG!K2363)</f>
        <v/>
      </c>
      <c r="L2363" s="3">
        <f>IF(ORIG!L2363=0,"",ORIG!L2363)</f>
        <v/>
      </c>
      <c r="M2363" s="3">
        <f>IF(ORIG!M2363=0,"",ORIG!M2363)</f>
        <v/>
      </c>
      <c r="N2363" s="3">
        <f>IF(ORIG!N2363=0,"",ORIG!N2363)</f>
        <v/>
      </c>
      <c r="O2363" s="3">
        <f>IF(ORIG!O2363=0,"",ORIG!O2363)</f>
        <v/>
      </c>
      <c r="P2363" s="3">
        <f>IF(ORIG!P2363=0,"",ORIG!P2363)</f>
        <v/>
      </c>
      <c r="Q2363" s="3">
        <f>IF(ORIG!Q2363=0,"",ORIG!Q2363)</f>
        <v/>
      </c>
      <c r="R2363" s="3">
        <f>IF(ORIG!R2363=0,"",ORIG!R2363)</f>
        <v/>
      </c>
      <c r="S2363" s="3">
        <f>IF(ORIG!S2363=0,"",ORIG!S2363)</f>
        <v/>
      </c>
      <c r="T2363" s="3">
        <f>IF(ORIG!T2363=0,"",ORIG!T2363)</f>
        <v/>
      </c>
      <c r="U2363" s="3">
        <f>IF(ORIG!U2363=0,"",ORIG!U2363)</f>
        <v/>
      </c>
      <c r="V2363" s="9">
        <f>IF(ORIG!V2363=0,"",ORIG!V2363)</f>
        <v/>
      </c>
      <c r="W2363" s="9">
        <f>IF(ORIG!W2363=0,"",ORIG!W2363)</f>
        <v/>
      </c>
      <c r="X2363" s="9">
        <f>IF(ORIG!X2363=0,"",ORIG!X2363)</f>
        <v/>
      </c>
      <c r="Y2363" s="9">
        <f>IF(ORIG!Y2363=0,"",ORIG!Y2363)</f>
        <v/>
      </c>
      <c r="Z2363" s="3">
        <f>SUMPRODUCT($B2363:$Y2363,$B$2649:$Y$2649)</f>
        <v/>
      </c>
      <c r="AA2363" s="3">
        <f>SUMPRODUCT($B2363:$Y2363,$B$2655:$Y$2655)</f>
        <v/>
      </c>
      <c r="AC2363" s="1">
        <f>A2363</f>
        <v/>
      </c>
      <c r="AD2363">
        <f>IF(ISNUMBER(V2363),V2363*($AB$1/V$2635),"")</f>
        <v/>
      </c>
      <c r="AE2363">
        <f>IF(ISNUMBER(Z2363),Z2363*($AB$1/Z$2635),"")</f>
        <v/>
      </c>
      <c r="AF2363" s="25">
        <f>IF(ISNUMBER(AD2363+AE2363),AD2363+AE2363,"")</f>
        <v/>
      </c>
      <c r="AH2363" s="1">
        <f>A2363</f>
        <v/>
      </c>
      <c r="AI2363">
        <f>IF(ISNUMBER((1+V2363)*AI2362),(1+V2363)*AI2362,AI2362)</f>
        <v/>
      </c>
      <c r="AJ2363">
        <f>IF(ISNUMBER((1+Z2363)*AJ2362),(1+Z2363)*AJ2362,AJ2362)</f>
        <v/>
      </c>
    </row>
    <row r="2364">
      <c r="A2364" s="1" t="n">
        <v>45433</v>
      </c>
      <c r="B2364" s="3">
        <f>IF(ORIG!B2364=0,"",ORIG!B2364)</f>
        <v/>
      </c>
      <c r="C2364" s="3">
        <f>IF(ORIG!C2364=0,"",ORIG!C2364)</f>
        <v/>
      </c>
      <c r="D2364" s="3">
        <f>IF(ORIG!D2364=0,"",ORIG!D2364)</f>
        <v/>
      </c>
      <c r="E2364" s="3">
        <f>IF(ORIG!E2364=0,"",ORIG!E2364)</f>
        <v/>
      </c>
      <c r="F2364" s="3">
        <f>IF(ORIG!F2364=0,"",ORIG!F2364)</f>
        <v/>
      </c>
      <c r="G2364" s="3">
        <f>IF(ORIG!G2364=0,"",ORIG!G2364)</f>
        <v/>
      </c>
      <c r="H2364" s="3">
        <f>IF(ORIG!H2364=0,"",ORIG!H2364)</f>
        <v/>
      </c>
      <c r="I2364" s="3">
        <f>IF(ORIG!I2364=0,"",ORIG!I2364)</f>
        <v/>
      </c>
      <c r="J2364" s="3">
        <f>IF(ORIG!J2364=0,"",ORIG!J2364)</f>
        <v/>
      </c>
      <c r="K2364" s="3">
        <f>IF(ORIG!K2364=0,"",ORIG!K2364)</f>
        <v/>
      </c>
      <c r="L2364" s="3">
        <f>IF(ORIG!L2364=0,"",ORIG!L2364)</f>
        <v/>
      </c>
      <c r="M2364" s="3">
        <f>IF(ORIG!M2364=0,"",ORIG!M2364)</f>
        <v/>
      </c>
      <c r="N2364" s="3">
        <f>IF(ORIG!N2364=0,"",ORIG!N2364)</f>
        <v/>
      </c>
      <c r="O2364" s="3">
        <f>IF(ORIG!O2364=0,"",ORIG!O2364)</f>
        <v/>
      </c>
      <c r="P2364" s="3">
        <f>IF(ORIG!P2364=0,"",ORIG!P2364)</f>
        <v/>
      </c>
      <c r="Q2364" s="3">
        <f>IF(ORIG!Q2364=0,"",ORIG!Q2364)</f>
        <v/>
      </c>
      <c r="R2364" s="3">
        <f>IF(ORIG!R2364=0,"",ORIG!R2364)</f>
        <v/>
      </c>
      <c r="S2364" s="3">
        <f>IF(ORIG!S2364=0,"",ORIG!S2364)</f>
        <v/>
      </c>
      <c r="T2364" s="3">
        <f>IF(ORIG!T2364=0,"",ORIG!T2364)</f>
        <v/>
      </c>
      <c r="U2364" s="3">
        <f>IF(ORIG!U2364=0,"",ORIG!U2364)</f>
        <v/>
      </c>
      <c r="V2364" s="9">
        <f>IF(ORIG!V2364=0,"",ORIG!V2364)</f>
        <v/>
      </c>
      <c r="W2364" s="9">
        <f>IF(ORIG!W2364=0,"",ORIG!W2364)</f>
        <v/>
      </c>
      <c r="X2364" s="9">
        <f>IF(ORIG!X2364=0,"",ORIG!X2364)</f>
        <v/>
      </c>
      <c r="Y2364" s="9">
        <f>IF(ORIG!Y2364=0,"",ORIG!Y2364)</f>
        <v/>
      </c>
      <c r="Z2364" s="3">
        <f>SUMPRODUCT($B2364:$Y2364,$B$2649:$Y$2649)</f>
        <v/>
      </c>
      <c r="AA2364" s="3">
        <f>SUMPRODUCT($B2364:$Y2364,$B$2655:$Y$2655)</f>
        <v/>
      </c>
      <c r="AC2364" s="1">
        <f>A2364</f>
        <v/>
      </c>
      <c r="AD2364">
        <f>IF(ISNUMBER(V2364),V2364*($AB$1/V$2635),"")</f>
        <v/>
      </c>
      <c r="AE2364">
        <f>IF(ISNUMBER(Z2364),Z2364*($AB$1/Z$2635),"")</f>
        <v/>
      </c>
      <c r="AF2364" s="25">
        <f>IF(ISNUMBER(AD2364+AE2364),AD2364+AE2364,"")</f>
        <v/>
      </c>
      <c r="AH2364" s="1">
        <f>A2364</f>
        <v/>
      </c>
      <c r="AI2364">
        <f>IF(ISNUMBER((1+V2364)*AI2363),(1+V2364)*AI2363,AI2363)</f>
        <v/>
      </c>
      <c r="AJ2364">
        <f>IF(ISNUMBER((1+Z2364)*AJ2363),(1+Z2364)*AJ2363,AJ2363)</f>
        <v/>
      </c>
    </row>
    <row r="2365">
      <c r="A2365" s="1" t="n">
        <v>45434</v>
      </c>
      <c r="B2365" s="3">
        <f>IF(ORIG!B2365=0,"",ORIG!B2365)</f>
        <v/>
      </c>
      <c r="C2365" s="3">
        <f>IF(ORIG!C2365=0,"",ORIG!C2365)</f>
        <v/>
      </c>
      <c r="D2365" s="3">
        <f>IF(ORIG!D2365=0,"",ORIG!D2365)</f>
        <v/>
      </c>
      <c r="E2365" s="3">
        <f>IF(ORIG!E2365=0,"",ORIG!E2365)</f>
        <v/>
      </c>
      <c r="F2365" s="3">
        <f>IF(ORIG!F2365=0,"",ORIG!F2365)</f>
        <v/>
      </c>
      <c r="G2365" s="3">
        <f>IF(ORIG!G2365=0,"",ORIG!G2365)</f>
        <v/>
      </c>
      <c r="H2365" s="3">
        <f>IF(ORIG!H2365=0,"",ORIG!H2365)</f>
        <v/>
      </c>
      <c r="I2365" s="3">
        <f>IF(ORIG!I2365=0,"",ORIG!I2365)</f>
        <v/>
      </c>
      <c r="J2365" s="3">
        <f>IF(ORIG!J2365=0,"",ORIG!J2365)</f>
        <v/>
      </c>
      <c r="K2365" s="3">
        <f>IF(ORIG!K2365=0,"",ORIG!K2365)</f>
        <v/>
      </c>
      <c r="L2365" s="3">
        <f>IF(ORIG!L2365=0,"",ORIG!L2365)</f>
        <v/>
      </c>
      <c r="M2365" s="3">
        <f>IF(ORIG!M2365=0,"",ORIG!M2365)</f>
        <v/>
      </c>
      <c r="N2365" s="3">
        <f>IF(ORIG!N2365=0,"",ORIG!N2365)</f>
        <v/>
      </c>
      <c r="O2365" s="3">
        <f>IF(ORIG!O2365=0,"",ORIG!O2365)</f>
        <v/>
      </c>
      <c r="P2365" s="3">
        <f>IF(ORIG!P2365=0,"",ORIG!P2365)</f>
        <v/>
      </c>
      <c r="Q2365" s="3">
        <f>IF(ORIG!Q2365=0,"",ORIG!Q2365)</f>
        <v/>
      </c>
      <c r="R2365" s="3">
        <f>IF(ORIG!R2365=0,"",ORIG!R2365)</f>
        <v/>
      </c>
      <c r="S2365" s="3">
        <f>IF(ORIG!S2365=0,"",ORIG!S2365)</f>
        <v/>
      </c>
      <c r="T2365" s="3">
        <f>IF(ORIG!T2365=0,"",ORIG!T2365)</f>
        <v/>
      </c>
      <c r="U2365" s="3">
        <f>IF(ORIG!U2365=0,"",ORIG!U2365)</f>
        <v/>
      </c>
      <c r="V2365" s="9">
        <f>IF(ORIG!V2365=0,"",ORIG!V2365)</f>
        <v/>
      </c>
      <c r="W2365" s="9">
        <f>IF(ORIG!W2365=0,"",ORIG!W2365)</f>
        <v/>
      </c>
      <c r="X2365" s="9">
        <f>IF(ORIG!X2365=0,"",ORIG!X2365)</f>
        <v/>
      </c>
      <c r="Y2365" s="9">
        <f>IF(ORIG!Y2365=0,"",ORIG!Y2365)</f>
        <v/>
      </c>
      <c r="Z2365" s="3">
        <f>SUMPRODUCT($B2365:$Y2365,$B$2649:$Y$2649)</f>
        <v/>
      </c>
      <c r="AA2365" s="3">
        <f>SUMPRODUCT($B2365:$Y2365,$B$2655:$Y$2655)</f>
        <v/>
      </c>
      <c r="AC2365" s="1">
        <f>A2365</f>
        <v/>
      </c>
      <c r="AD2365">
        <f>IF(ISNUMBER(V2365),V2365*($AB$1/V$2635),"")</f>
        <v/>
      </c>
      <c r="AE2365">
        <f>IF(ISNUMBER(Z2365),Z2365*($AB$1/Z$2635),"")</f>
        <v/>
      </c>
      <c r="AF2365" s="25">
        <f>IF(ISNUMBER(AD2365+AE2365),AD2365+AE2365,"")</f>
        <v/>
      </c>
      <c r="AH2365" s="1">
        <f>A2365</f>
        <v/>
      </c>
      <c r="AI2365">
        <f>IF(ISNUMBER((1+V2365)*AI2364),(1+V2365)*AI2364,AI2364)</f>
        <v/>
      </c>
      <c r="AJ2365">
        <f>IF(ISNUMBER((1+Z2365)*AJ2364),(1+Z2365)*AJ2364,AJ2364)</f>
        <v/>
      </c>
    </row>
    <row r="2366">
      <c r="A2366" s="1" t="n">
        <v>45435</v>
      </c>
      <c r="B2366" s="3">
        <f>IF(ORIG!B2366=0,"",ORIG!B2366)</f>
        <v/>
      </c>
      <c r="C2366" s="3">
        <f>IF(ORIG!C2366=0,"",ORIG!C2366)</f>
        <v/>
      </c>
      <c r="D2366" s="3">
        <f>IF(ORIG!D2366=0,"",ORIG!D2366)</f>
        <v/>
      </c>
      <c r="E2366" s="3">
        <f>IF(ORIG!E2366=0,"",ORIG!E2366)</f>
        <v/>
      </c>
      <c r="F2366" s="3">
        <f>IF(ORIG!F2366=0,"",ORIG!F2366)</f>
        <v/>
      </c>
      <c r="G2366" s="3">
        <f>IF(ORIG!G2366=0,"",ORIG!G2366)</f>
        <v/>
      </c>
      <c r="H2366" s="3">
        <f>IF(ORIG!H2366=0,"",ORIG!H2366)</f>
        <v/>
      </c>
      <c r="I2366" s="3">
        <f>IF(ORIG!I2366=0,"",ORIG!I2366)</f>
        <v/>
      </c>
      <c r="J2366" s="3">
        <f>IF(ORIG!J2366=0,"",ORIG!J2366)</f>
        <v/>
      </c>
      <c r="K2366" s="3">
        <f>IF(ORIG!K2366=0,"",ORIG!K2366)</f>
        <v/>
      </c>
      <c r="L2366" s="3">
        <f>IF(ORIG!L2366=0,"",ORIG!L2366)</f>
        <v/>
      </c>
      <c r="M2366" s="3">
        <f>IF(ORIG!M2366=0,"",ORIG!M2366)</f>
        <v/>
      </c>
      <c r="N2366" s="3">
        <f>IF(ORIG!N2366=0,"",ORIG!N2366)</f>
        <v/>
      </c>
      <c r="O2366" s="3">
        <f>IF(ORIG!O2366=0,"",ORIG!O2366)</f>
        <v/>
      </c>
      <c r="P2366" s="3">
        <f>IF(ORIG!P2366=0,"",ORIG!P2366)</f>
        <v/>
      </c>
      <c r="Q2366" s="3">
        <f>IF(ORIG!Q2366=0,"",ORIG!Q2366)</f>
        <v/>
      </c>
      <c r="R2366" s="3">
        <f>IF(ORIG!R2366=0,"",ORIG!R2366)</f>
        <v/>
      </c>
      <c r="S2366" s="3">
        <f>IF(ORIG!S2366=0,"",ORIG!S2366)</f>
        <v/>
      </c>
      <c r="T2366" s="3">
        <f>IF(ORIG!T2366=0,"",ORIG!T2366)</f>
        <v/>
      </c>
      <c r="U2366" s="3">
        <f>IF(ORIG!U2366=0,"",ORIG!U2366)</f>
        <v/>
      </c>
      <c r="V2366" s="9">
        <f>IF(ORIG!V2366=0,"",ORIG!V2366)</f>
        <v/>
      </c>
      <c r="W2366" s="9">
        <f>IF(ORIG!W2366=0,"",ORIG!W2366)</f>
        <v/>
      </c>
      <c r="X2366" s="9">
        <f>IF(ORIG!X2366=0,"",ORIG!X2366)</f>
        <v/>
      </c>
      <c r="Y2366" s="9">
        <f>IF(ORIG!Y2366=0,"",ORIG!Y2366)</f>
        <v/>
      </c>
      <c r="Z2366" s="3">
        <f>SUMPRODUCT($B2366:$Y2366,$B$2649:$Y$2649)</f>
        <v/>
      </c>
      <c r="AA2366" s="3">
        <f>SUMPRODUCT($B2366:$Y2366,$B$2655:$Y$2655)</f>
        <v/>
      </c>
      <c r="AC2366" s="1">
        <f>A2366</f>
        <v/>
      </c>
      <c r="AD2366">
        <f>IF(ISNUMBER(V2366),V2366*($AB$1/V$2635),"")</f>
        <v/>
      </c>
      <c r="AE2366">
        <f>IF(ISNUMBER(Z2366),Z2366*($AB$1/Z$2635),"")</f>
        <v/>
      </c>
      <c r="AF2366" s="25">
        <f>IF(ISNUMBER(AD2366+AE2366),AD2366+AE2366,"")</f>
        <v/>
      </c>
      <c r="AH2366" s="1">
        <f>A2366</f>
        <v/>
      </c>
      <c r="AI2366">
        <f>IF(ISNUMBER((1+V2366)*AI2365),(1+V2366)*AI2365,AI2365)</f>
        <v/>
      </c>
      <c r="AJ2366">
        <f>IF(ISNUMBER((1+Z2366)*AJ2365),(1+Z2366)*AJ2365,AJ2365)</f>
        <v/>
      </c>
    </row>
    <row r="2367">
      <c r="A2367" s="1" t="n">
        <v>45436</v>
      </c>
      <c r="B2367" s="3">
        <f>IF(ORIG!B2367=0,"",ORIG!B2367)</f>
        <v/>
      </c>
      <c r="C2367" s="3">
        <f>IF(ORIG!C2367=0,"",ORIG!C2367)</f>
        <v/>
      </c>
      <c r="D2367" s="3">
        <f>IF(ORIG!D2367=0,"",ORIG!D2367)</f>
        <v/>
      </c>
      <c r="E2367" s="3">
        <f>IF(ORIG!E2367=0,"",ORIG!E2367)</f>
        <v/>
      </c>
      <c r="F2367" s="3">
        <f>IF(ORIG!F2367=0,"",ORIG!F2367)</f>
        <v/>
      </c>
      <c r="G2367" s="3">
        <f>IF(ORIG!G2367=0,"",ORIG!G2367)</f>
        <v/>
      </c>
      <c r="H2367" s="3">
        <f>IF(ORIG!H2367=0,"",ORIG!H2367)</f>
        <v/>
      </c>
      <c r="I2367" s="3">
        <f>IF(ORIG!I2367=0,"",ORIG!I2367)</f>
        <v/>
      </c>
      <c r="J2367" s="3">
        <f>IF(ORIG!J2367=0,"",ORIG!J2367)</f>
        <v/>
      </c>
      <c r="K2367" s="3">
        <f>IF(ORIG!K2367=0,"",ORIG!K2367)</f>
        <v/>
      </c>
      <c r="L2367" s="3">
        <f>IF(ORIG!L2367=0,"",ORIG!L2367)</f>
        <v/>
      </c>
      <c r="M2367" s="3">
        <f>IF(ORIG!M2367=0,"",ORIG!M2367)</f>
        <v/>
      </c>
      <c r="N2367" s="3">
        <f>IF(ORIG!N2367=0,"",ORIG!N2367)</f>
        <v/>
      </c>
      <c r="O2367" s="3">
        <f>IF(ORIG!O2367=0,"",ORIG!O2367)</f>
        <v/>
      </c>
      <c r="P2367" s="3">
        <f>IF(ORIG!P2367=0,"",ORIG!P2367)</f>
        <v/>
      </c>
      <c r="Q2367" s="3">
        <f>IF(ORIG!Q2367=0,"",ORIG!Q2367)</f>
        <v/>
      </c>
      <c r="R2367" s="3">
        <f>IF(ORIG!R2367=0,"",ORIG!R2367)</f>
        <v/>
      </c>
      <c r="S2367" s="3">
        <f>IF(ORIG!S2367=0,"",ORIG!S2367)</f>
        <v/>
      </c>
      <c r="T2367" s="3">
        <f>IF(ORIG!T2367=0,"",ORIG!T2367)</f>
        <v/>
      </c>
      <c r="U2367" s="3">
        <f>IF(ORIG!U2367=0,"",ORIG!U2367)</f>
        <v/>
      </c>
      <c r="V2367" s="9">
        <f>IF(ORIG!V2367=0,"",ORIG!V2367)</f>
        <v/>
      </c>
      <c r="W2367" s="9">
        <f>IF(ORIG!W2367=0,"",ORIG!W2367)</f>
        <v/>
      </c>
      <c r="X2367" s="9">
        <f>IF(ORIG!X2367=0,"",ORIG!X2367)</f>
        <v/>
      </c>
      <c r="Y2367" s="9">
        <f>IF(ORIG!Y2367=0,"",ORIG!Y2367)</f>
        <v/>
      </c>
      <c r="Z2367" s="3">
        <f>SUMPRODUCT($B2367:$Y2367,$B$2649:$Y$2649)</f>
        <v/>
      </c>
      <c r="AA2367" s="3">
        <f>SUMPRODUCT($B2367:$Y2367,$B$2655:$Y$2655)</f>
        <v/>
      </c>
      <c r="AC2367" s="1">
        <f>A2367</f>
        <v/>
      </c>
      <c r="AD2367">
        <f>IF(ISNUMBER(V2367),V2367*($AB$1/V$2635),"")</f>
        <v/>
      </c>
      <c r="AE2367">
        <f>IF(ISNUMBER(Z2367),Z2367*($AB$1/Z$2635),"")</f>
        <v/>
      </c>
      <c r="AF2367" s="25">
        <f>IF(ISNUMBER(AD2367+AE2367),AD2367+AE2367,"")</f>
        <v/>
      </c>
      <c r="AH2367" s="1">
        <f>A2367</f>
        <v/>
      </c>
      <c r="AI2367">
        <f>IF(ISNUMBER((1+V2367)*AI2366),(1+V2367)*AI2366,AI2366)</f>
        <v/>
      </c>
      <c r="AJ2367">
        <f>IF(ISNUMBER((1+Z2367)*AJ2366),(1+Z2367)*AJ2366,AJ2366)</f>
        <v/>
      </c>
    </row>
    <row r="2368">
      <c r="A2368" s="1" t="n">
        <v>45440</v>
      </c>
      <c r="B2368" s="3">
        <f>IF(ORIG!B2368=0,"",ORIG!B2368)</f>
        <v/>
      </c>
      <c r="C2368" s="3">
        <f>IF(ORIG!C2368=0,"",ORIG!C2368)</f>
        <v/>
      </c>
      <c r="D2368" s="3">
        <f>IF(ORIG!D2368=0,"",ORIG!D2368)</f>
        <v/>
      </c>
      <c r="E2368" s="3">
        <f>IF(ORIG!E2368=0,"",ORIG!E2368)</f>
        <v/>
      </c>
      <c r="F2368" s="3">
        <f>IF(ORIG!F2368=0,"",ORIG!F2368)</f>
        <v/>
      </c>
      <c r="G2368" s="3">
        <f>IF(ORIG!G2368=0,"",ORIG!G2368)</f>
        <v/>
      </c>
      <c r="H2368" s="3">
        <f>IF(ORIG!H2368=0,"",ORIG!H2368)</f>
        <v/>
      </c>
      <c r="I2368" s="3">
        <f>IF(ORIG!I2368=0,"",ORIG!I2368)</f>
        <v/>
      </c>
      <c r="J2368" s="3">
        <f>IF(ORIG!J2368=0,"",ORIG!J2368)</f>
        <v/>
      </c>
      <c r="K2368" s="3">
        <f>IF(ORIG!K2368=0,"",ORIG!K2368)</f>
        <v/>
      </c>
      <c r="L2368" s="3">
        <f>IF(ORIG!L2368=0,"",ORIG!L2368)</f>
        <v/>
      </c>
      <c r="M2368" s="3">
        <f>IF(ORIG!M2368=0,"",ORIG!M2368)</f>
        <v/>
      </c>
      <c r="N2368" s="3">
        <f>IF(ORIG!N2368=0,"",ORIG!N2368)</f>
        <v/>
      </c>
      <c r="O2368" s="3">
        <f>IF(ORIG!O2368=0,"",ORIG!O2368)</f>
        <v/>
      </c>
      <c r="P2368" s="3">
        <f>IF(ORIG!P2368=0,"",ORIG!P2368)</f>
        <v/>
      </c>
      <c r="Q2368" s="3">
        <f>IF(ORIG!Q2368=0,"",ORIG!Q2368)</f>
        <v/>
      </c>
      <c r="R2368" s="3">
        <f>IF(ORIG!R2368=0,"",ORIG!R2368)</f>
        <v/>
      </c>
      <c r="S2368" s="3">
        <f>IF(ORIG!S2368=0,"",ORIG!S2368)</f>
        <v/>
      </c>
      <c r="T2368" s="3">
        <f>IF(ORIG!T2368=0,"",ORIG!T2368)</f>
        <v/>
      </c>
      <c r="U2368" s="3">
        <f>IF(ORIG!U2368=0,"",ORIG!U2368)</f>
        <v/>
      </c>
      <c r="V2368" s="9">
        <f>IF(ORIG!V2368=0,"",ORIG!V2368)</f>
        <v/>
      </c>
      <c r="W2368" s="9">
        <f>IF(ORIG!W2368=0,"",ORIG!W2368)</f>
        <v/>
      </c>
      <c r="X2368" s="9">
        <f>IF(ORIG!X2368=0,"",ORIG!X2368)</f>
        <v/>
      </c>
      <c r="Y2368" s="9">
        <f>IF(ORIG!Y2368=0,"",ORIG!Y2368)</f>
        <v/>
      </c>
      <c r="Z2368" s="3">
        <f>SUMPRODUCT($B2368:$Y2368,$B$2649:$Y$2649)</f>
        <v/>
      </c>
      <c r="AA2368" s="3">
        <f>SUMPRODUCT($B2368:$Y2368,$B$2655:$Y$2655)</f>
        <v/>
      </c>
      <c r="AC2368" s="1">
        <f>A2368</f>
        <v/>
      </c>
      <c r="AD2368">
        <f>IF(ISNUMBER(V2368),V2368*($AB$1/V$2635),"")</f>
        <v/>
      </c>
      <c r="AE2368">
        <f>IF(ISNUMBER(Z2368),Z2368*($AB$1/Z$2635),"")</f>
        <v/>
      </c>
      <c r="AF2368" s="25">
        <f>IF(ISNUMBER(AD2368+AE2368),AD2368+AE2368,"")</f>
        <v/>
      </c>
      <c r="AH2368" s="1">
        <f>A2368</f>
        <v/>
      </c>
      <c r="AI2368">
        <f>IF(ISNUMBER((1+V2368)*AI2367),(1+V2368)*AI2367,AI2367)</f>
        <v/>
      </c>
      <c r="AJ2368">
        <f>IF(ISNUMBER((1+Z2368)*AJ2367),(1+Z2368)*AJ2367,AJ2367)</f>
        <v/>
      </c>
    </row>
    <row r="2369">
      <c r="A2369" s="1" t="n">
        <v>45441</v>
      </c>
      <c r="B2369" s="3">
        <f>IF(ORIG!B2369=0,"",ORIG!B2369)</f>
        <v/>
      </c>
      <c r="C2369" s="3">
        <f>IF(ORIG!C2369=0,"",ORIG!C2369)</f>
        <v/>
      </c>
      <c r="D2369" s="3">
        <f>IF(ORIG!D2369=0,"",ORIG!D2369)</f>
        <v/>
      </c>
      <c r="E2369" s="3">
        <f>IF(ORIG!E2369=0,"",ORIG!E2369)</f>
        <v/>
      </c>
      <c r="F2369" s="3">
        <f>IF(ORIG!F2369=0,"",ORIG!F2369)</f>
        <v/>
      </c>
      <c r="G2369" s="3">
        <f>IF(ORIG!G2369=0,"",ORIG!G2369)</f>
        <v/>
      </c>
      <c r="H2369" s="3">
        <f>IF(ORIG!H2369=0,"",ORIG!H2369)</f>
        <v/>
      </c>
      <c r="I2369" s="3">
        <f>IF(ORIG!I2369=0,"",ORIG!I2369)</f>
        <v/>
      </c>
      <c r="J2369" s="3">
        <f>IF(ORIG!J2369=0,"",ORIG!J2369)</f>
        <v/>
      </c>
      <c r="K2369" s="3">
        <f>IF(ORIG!K2369=0,"",ORIG!K2369)</f>
        <v/>
      </c>
      <c r="L2369" s="3">
        <f>IF(ORIG!L2369=0,"",ORIG!L2369)</f>
        <v/>
      </c>
      <c r="M2369" s="3">
        <f>IF(ORIG!M2369=0,"",ORIG!M2369)</f>
        <v/>
      </c>
      <c r="N2369" s="3">
        <f>IF(ORIG!N2369=0,"",ORIG!N2369)</f>
        <v/>
      </c>
      <c r="O2369" s="3">
        <f>IF(ORIG!O2369=0,"",ORIG!O2369)</f>
        <v/>
      </c>
      <c r="P2369" s="3">
        <f>IF(ORIG!P2369=0,"",ORIG!P2369)</f>
        <v/>
      </c>
      <c r="Q2369" s="3">
        <f>IF(ORIG!Q2369=0,"",ORIG!Q2369)</f>
        <v/>
      </c>
      <c r="R2369" s="3">
        <f>IF(ORIG!R2369=0,"",ORIG!R2369)</f>
        <v/>
      </c>
      <c r="S2369" s="3">
        <f>IF(ORIG!S2369=0,"",ORIG!S2369)</f>
        <v/>
      </c>
      <c r="T2369" s="3">
        <f>IF(ORIG!T2369=0,"",ORIG!T2369)</f>
        <v/>
      </c>
      <c r="U2369" s="3">
        <f>IF(ORIG!U2369=0,"",ORIG!U2369)</f>
        <v/>
      </c>
      <c r="V2369" s="9">
        <f>IF(ORIG!V2369=0,"",ORIG!V2369)</f>
        <v/>
      </c>
      <c r="W2369" s="9">
        <f>IF(ORIG!W2369=0,"",ORIG!W2369)</f>
        <v/>
      </c>
      <c r="X2369" s="9">
        <f>IF(ORIG!X2369=0,"",ORIG!X2369)</f>
        <v/>
      </c>
      <c r="Y2369" s="9">
        <f>IF(ORIG!Y2369=0,"",ORIG!Y2369)</f>
        <v/>
      </c>
      <c r="Z2369" s="3">
        <f>SUMPRODUCT($B2369:$Y2369,$B$2649:$Y$2649)</f>
        <v/>
      </c>
      <c r="AA2369" s="3">
        <f>SUMPRODUCT($B2369:$Y2369,$B$2655:$Y$2655)</f>
        <v/>
      </c>
      <c r="AC2369" s="1">
        <f>A2369</f>
        <v/>
      </c>
      <c r="AD2369">
        <f>IF(ISNUMBER(V2369),V2369*($AB$1/V$2635),"")</f>
        <v/>
      </c>
      <c r="AE2369">
        <f>IF(ISNUMBER(Z2369),Z2369*($AB$1/Z$2635),"")</f>
        <v/>
      </c>
      <c r="AF2369" s="25">
        <f>IF(ISNUMBER(AD2369+AE2369),AD2369+AE2369,"")</f>
        <v/>
      </c>
      <c r="AH2369" s="1">
        <f>A2369</f>
        <v/>
      </c>
      <c r="AI2369">
        <f>IF(ISNUMBER((1+V2369)*AI2368),(1+V2369)*AI2368,AI2368)</f>
        <v/>
      </c>
      <c r="AJ2369">
        <f>IF(ISNUMBER((1+Z2369)*AJ2368),(1+Z2369)*AJ2368,AJ2368)</f>
        <v/>
      </c>
    </row>
    <row r="2370">
      <c r="A2370" s="1" t="n">
        <v>45442</v>
      </c>
      <c r="B2370" s="3">
        <f>IF(ORIG!B2370=0,"",ORIG!B2370)</f>
        <v/>
      </c>
      <c r="C2370" s="3">
        <f>IF(ORIG!C2370=0,"",ORIG!C2370)</f>
        <v/>
      </c>
      <c r="D2370" s="3">
        <f>IF(ORIG!D2370=0,"",ORIG!D2370)</f>
        <v/>
      </c>
      <c r="E2370" s="3">
        <f>IF(ORIG!E2370=0,"",ORIG!E2370)</f>
        <v/>
      </c>
      <c r="F2370" s="3">
        <f>IF(ORIG!F2370=0,"",ORIG!F2370)</f>
        <v/>
      </c>
      <c r="G2370" s="3">
        <f>IF(ORIG!G2370=0,"",ORIG!G2370)</f>
        <v/>
      </c>
      <c r="H2370" s="3">
        <f>IF(ORIG!H2370=0,"",ORIG!H2370)</f>
        <v/>
      </c>
      <c r="I2370" s="3">
        <f>IF(ORIG!I2370=0,"",ORIG!I2370)</f>
        <v/>
      </c>
      <c r="J2370" s="3">
        <f>IF(ORIG!J2370=0,"",ORIG!J2370)</f>
        <v/>
      </c>
      <c r="K2370" s="3">
        <f>IF(ORIG!K2370=0,"",ORIG!K2370)</f>
        <v/>
      </c>
      <c r="L2370" s="3">
        <f>IF(ORIG!L2370=0,"",ORIG!L2370)</f>
        <v/>
      </c>
      <c r="M2370" s="3">
        <f>IF(ORIG!M2370=0,"",ORIG!M2370)</f>
        <v/>
      </c>
      <c r="N2370" s="3">
        <f>IF(ORIG!N2370=0,"",ORIG!N2370)</f>
        <v/>
      </c>
      <c r="O2370" s="3">
        <f>IF(ORIG!O2370=0,"",ORIG!O2370)</f>
        <v/>
      </c>
      <c r="P2370" s="3">
        <f>IF(ORIG!P2370=0,"",ORIG!P2370)</f>
        <v/>
      </c>
      <c r="Q2370" s="3">
        <f>IF(ORIG!Q2370=0,"",ORIG!Q2370)</f>
        <v/>
      </c>
      <c r="R2370" s="3">
        <f>IF(ORIG!R2370=0,"",ORIG!R2370)</f>
        <v/>
      </c>
      <c r="S2370" s="3">
        <f>IF(ORIG!S2370=0,"",ORIG!S2370)</f>
        <v/>
      </c>
      <c r="T2370" s="3">
        <f>IF(ORIG!T2370=0,"",ORIG!T2370)</f>
        <v/>
      </c>
      <c r="U2370" s="3">
        <f>IF(ORIG!U2370=0,"",ORIG!U2370)</f>
        <v/>
      </c>
      <c r="V2370" s="9">
        <f>IF(ORIG!V2370=0,"",ORIG!V2370)</f>
        <v/>
      </c>
      <c r="W2370" s="9">
        <f>IF(ORIG!W2370=0,"",ORIG!W2370)</f>
        <v/>
      </c>
      <c r="X2370" s="9">
        <f>IF(ORIG!X2370=0,"",ORIG!X2370)</f>
        <v/>
      </c>
      <c r="Y2370" s="9">
        <f>IF(ORIG!Y2370=0,"",ORIG!Y2370)</f>
        <v/>
      </c>
      <c r="Z2370" s="3">
        <f>SUMPRODUCT($B2370:$Y2370,$B$2649:$Y$2649)</f>
        <v/>
      </c>
      <c r="AA2370" s="3">
        <f>SUMPRODUCT($B2370:$Y2370,$B$2655:$Y$2655)</f>
        <v/>
      </c>
      <c r="AC2370" s="1">
        <f>A2370</f>
        <v/>
      </c>
      <c r="AD2370">
        <f>IF(ISNUMBER(V2370),V2370*($AB$1/V$2635),"")</f>
        <v/>
      </c>
      <c r="AE2370">
        <f>IF(ISNUMBER(Z2370),Z2370*($AB$1/Z$2635),"")</f>
        <v/>
      </c>
      <c r="AF2370" s="25">
        <f>IF(ISNUMBER(AD2370+AE2370),AD2370+AE2370,"")</f>
        <v/>
      </c>
      <c r="AH2370" s="1">
        <f>A2370</f>
        <v/>
      </c>
      <c r="AI2370">
        <f>IF(ISNUMBER((1+V2370)*AI2369),(1+V2370)*AI2369,AI2369)</f>
        <v/>
      </c>
      <c r="AJ2370">
        <f>IF(ISNUMBER((1+Z2370)*AJ2369),(1+Z2370)*AJ2369,AJ2369)</f>
        <v/>
      </c>
    </row>
    <row r="2371">
      <c r="A2371" s="1" t="n">
        <v>45443</v>
      </c>
      <c r="B2371" s="3">
        <f>IF(ORIG!B2371=0,"",ORIG!B2371)</f>
        <v/>
      </c>
      <c r="C2371" s="3">
        <f>IF(ORIG!C2371=0,"",ORIG!C2371)</f>
        <v/>
      </c>
      <c r="D2371" s="3">
        <f>IF(ORIG!D2371=0,"",ORIG!D2371)</f>
        <v/>
      </c>
      <c r="E2371" s="3">
        <f>IF(ORIG!E2371=0,"",ORIG!E2371)</f>
        <v/>
      </c>
      <c r="F2371" s="3">
        <f>IF(ORIG!F2371=0,"",ORIG!F2371)</f>
        <v/>
      </c>
      <c r="G2371" s="3">
        <f>IF(ORIG!G2371=0,"",ORIG!G2371)</f>
        <v/>
      </c>
      <c r="H2371" s="3">
        <f>IF(ORIG!H2371=0,"",ORIG!H2371)</f>
        <v/>
      </c>
      <c r="I2371" s="3">
        <f>IF(ORIG!I2371=0,"",ORIG!I2371)</f>
        <v/>
      </c>
      <c r="J2371" s="3">
        <f>IF(ORIG!J2371=0,"",ORIG!J2371)</f>
        <v/>
      </c>
      <c r="K2371" s="3">
        <f>IF(ORIG!K2371=0,"",ORIG!K2371)</f>
        <v/>
      </c>
      <c r="L2371" s="3">
        <f>IF(ORIG!L2371=0,"",ORIG!L2371)</f>
        <v/>
      </c>
      <c r="M2371" s="3">
        <f>IF(ORIG!M2371=0,"",ORIG!M2371)</f>
        <v/>
      </c>
      <c r="N2371" s="3">
        <f>IF(ORIG!N2371=0,"",ORIG!N2371)</f>
        <v/>
      </c>
      <c r="O2371" s="3">
        <f>IF(ORIG!O2371=0,"",ORIG!O2371)</f>
        <v/>
      </c>
      <c r="P2371" s="3">
        <f>IF(ORIG!P2371=0,"",ORIG!P2371)</f>
        <v/>
      </c>
      <c r="Q2371" s="3">
        <f>IF(ORIG!Q2371=0,"",ORIG!Q2371)</f>
        <v/>
      </c>
      <c r="R2371" s="3">
        <f>IF(ORIG!R2371=0,"",ORIG!R2371)</f>
        <v/>
      </c>
      <c r="S2371" s="3">
        <f>IF(ORIG!S2371=0,"",ORIG!S2371)</f>
        <v/>
      </c>
      <c r="T2371" s="3">
        <f>IF(ORIG!T2371=0,"",ORIG!T2371)</f>
        <v/>
      </c>
      <c r="U2371" s="3">
        <f>IF(ORIG!U2371=0,"",ORIG!U2371)</f>
        <v/>
      </c>
      <c r="V2371" s="9">
        <f>IF(ORIG!V2371=0,"",ORIG!V2371)</f>
        <v/>
      </c>
      <c r="W2371" s="9">
        <f>IF(ORIG!W2371=0,"",ORIG!W2371)</f>
        <v/>
      </c>
      <c r="X2371" s="9">
        <f>IF(ORIG!X2371=0,"",ORIG!X2371)</f>
        <v/>
      </c>
      <c r="Y2371" s="9">
        <f>IF(ORIG!Y2371=0,"",ORIG!Y2371)</f>
        <v/>
      </c>
      <c r="Z2371" s="3">
        <f>SUMPRODUCT($B2371:$Y2371,$B$2649:$Y$2649)</f>
        <v/>
      </c>
      <c r="AA2371" s="3">
        <f>SUMPRODUCT($B2371:$Y2371,$B$2655:$Y$2655)</f>
        <v/>
      </c>
      <c r="AC2371" s="1">
        <f>A2371</f>
        <v/>
      </c>
      <c r="AD2371">
        <f>IF(ISNUMBER(V2371),V2371*($AB$1/V$2635),"")</f>
        <v/>
      </c>
      <c r="AE2371">
        <f>IF(ISNUMBER(Z2371),Z2371*($AB$1/Z$2635),"")</f>
        <v/>
      </c>
      <c r="AF2371" s="25">
        <f>IF(ISNUMBER(AD2371+AE2371),AD2371+AE2371,"")</f>
        <v/>
      </c>
      <c r="AH2371" s="1">
        <f>A2371</f>
        <v/>
      </c>
      <c r="AI2371">
        <f>IF(ISNUMBER((1+V2371)*AI2370),(1+V2371)*AI2370,AI2370)</f>
        <v/>
      </c>
      <c r="AJ2371">
        <f>IF(ISNUMBER((1+Z2371)*AJ2370),(1+Z2371)*AJ2370,AJ2370)</f>
        <v/>
      </c>
    </row>
    <row r="2372">
      <c r="A2372" s="1" t="n">
        <v>45446</v>
      </c>
      <c r="B2372" s="3">
        <f>IF(ORIG!B2372=0,"",ORIG!B2372)</f>
        <v/>
      </c>
      <c r="C2372" s="3">
        <f>IF(ORIG!C2372=0,"",ORIG!C2372)</f>
        <v/>
      </c>
      <c r="D2372" s="3">
        <f>IF(ORIG!D2372=0,"",ORIG!D2372)</f>
        <v/>
      </c>
      <c r="E2372" s="3">
        <f>IF(ORIG!E2372=0,"",ORIG!E2372)</f>
        <v/>
      </c>
      <c r="F2372" s="3">
        <f>IF(ORIG!F2372=0,"",ORIG!F2372)</f>
        <v/>
      </c>
      <c r="G2372" s="3">
        <f>IF(ORIG!G2372=0,"",ORIG!G2372)</f>
        <v/>
      </c>
      <c r="H2372" s="3">
        <f>IF(ORIG!H2372=0,"",ORIG!H2372)</f>
        <v/>
      </c>
      <c r="I2372" s="3">
        <f>IF(ORIG!I2372=0,"",ORIG!I2372)</f>
        <v/>
      </c>
      <c r="J2372" s="3">
        <f>IF(ORIG!J2372=0,"",ORIG!J2372)</f>
        <v/>
      </c>
      <c r="K2372" s="3">
        <f>IF(ORIG!K2372=0,"",ORIG!K2372)</f>
        <v/>
      </c>
      <c r="L2372" s="3">
        <f>IF(ORIG!L2372=0,"",ORIG!L2372)</f>
        <v/>
      </c>
      <c r="M2372" s="3">
        <f>IF(ORIG!M2372=0,"",ORIG!M2372)</f>
        <v/>
      </c>
      <c r="N2372" s="3">
        <f>IF(ORIG!N2372=0,"",ORIG!N2372)</f>
        <v/>
      </c>
      <c r="O2372" s="3">
        <f>IF(ORIG!O2372=0,"",ORIG!O2372)</f>
        <v/>
      </c>
      <c r="P2372" s="3">
        <f>IF(ORIG!P2372=0,"",ORIG!P2372)</f>
        <v/>
      </c>
      <c r="Q2372" s="3">
        <f>IF(ORIG!Q2372=0,"",ORIG!Q2372)</f>
        <v/>
      </c>
      <c r="R2372" s="3">
        <f>IF(ORIG!R2372=0,"",ORIG!R2372)</f>
        <v/>
      </c>
      <c r="S2372" s="3">
        <f>IF(ORIG!S2372=0,"",ORIG!S2372)</f>
        <v/>
      </c>
      <c r="T2372" s="3">
        <f>IF(ORIG!T2372=0,"",ORIG!T2372)</f>
        <v/>
      </c>
      <c r="U2372" s="3">
        <f>IF(ORIG!U2372=0,"",ORIG!U2372)</f>
        <v/>
      </c>
      <c r="V2372" s="9">
        <f>IF(ORIG!V2372=0,"",ORIG!V2372)</f>
        <v/>
      </c>
      <c r="W2372" s="9">
        <f>IF(ORIG!W2372=0,"",ORIG!W2372)</f>
        <v/>
      </c>
      <c r="X2372" s="9">
        <f>IF(ORIG!X2372=0,"",ORIG!X2372)</f>
        <v/>
      </c>
      <c r="Y2372" s="9">
        <f>IF(ORIG!Y2372=0,"",ORIG!Y2372)</f>
        <v/>
      </c>
      <c r="Z2372" s="3">
        <f>SUMPRODUCT($B2372:$Y2372,$B$2649:$Y$2649)</f>
        <v/>
      </c>
      <c r="AA2372" s="3">
        <f>SUMPRODUCT($B2372:$Y2372,$B$2655:$Y$2655)</f>
        <v/>
      </c>
      <c r="AC2372" s="1">
        <f>A2372</f>
        <v/>
      </c>
      <c r="AD2372">
        <f>IF(ISNUMBER(V2372),V2372*($AB$1/V$2635),"")</f>
        <v/>
      </c>
      <c r="AE2372">
        <f>IF(ISNUMBER(Z2372),Z2372*($AB$1/Z$2635),"")</f>
        <v/>
      </c>
      <c r="AF2372" s="25">
        <f>IF(ISNUMBER(AD2372+AE2372),AD2372+AE2372,"")</f>
        <v/>
      </c>
      <c r="AH2372" s="1">
        <f>A2372</f>
        <v/>
      </c>
      <c r="AI2372">
        <f>IF(ISNUMBER((1+V2372)*AI2371),(1+V2372)*AI2371,AI2371)</f>
        <v/>
      </c>
      <c r="AJ2372">
        <f>IF(ISNUMBER((1+Z2372)*AJ2371),(1+Z2372)*AJ2371,AJ2371)</f>
        <v/>
      </c>
    </row>
    <row r="2373">
      <c r="A2373" s="1" t="n">
        <v>45447</v>
      </c>
      <c r="B2373" s="3">
        <f>IF(ORIG!B2373=0,"",ORIG!B2373)</f>
        <v/>
      </c>
      <c r="C2373" s="3">
        <f>IF(ORIG!C2373=0,"",ORIG!C2373)</f>
        <v/>
      </c>
      <c r="D2373" s="3">
        <f>IF(ORIG!D2373=0,"",ORIG!D2373)</f>
        <v/>
      </c>
      <c r="E2373" s="3">
        <f>IF(ORIG!E2373=0,"",ORIG!E2373)</f>
        <v/>
      </c>
      <c r="F2373" s="3">
        <f>IF(ORIG!F2373=0,"",ORIG!F2373)</f>
        <v/>
      </c>
      <c r="G2373" s="3">
        <f>IF(ORIG!G2373=0,"",ORIG!G2373)</f>
        <v/>
      </c>
      <c r="H2373" s="3">
        <f>IF(ORIG!H2373=0,"",ORIG!H2373)</f>
        <v/>
      </c>
      <c r="I2373" s="3">
        <f>IF(ORIG!I2373=0,"",ORIG!I2373)</f>
        <v/>
      </c>
      <c r="J2373" s="3">
        <f>IF(ORIG!J2373=0,"",ORIG!J2373)</f>
        <v/>
      </c>
      <c r="K2373" s="3">
        <f>IF(ORIG!K2373=0,"",ORIG!K2373)</f>
        <v/>
      </c>
      <c r="L2373" s="3">
        <f>IF(ORIG!L2373=0,"",ORIG!L2373)</f>
        <v/>
      </c>
      <c r="M2373" s="3">
        <f>IF(ORIG!M2373=0,"",ORIG!M2373)</f>
        <v/>
      </c>
      <c r="N2373" s="3">
        <f>IF(ORIG!N2373=0,"",ORIG!N2373)</f>
        <v/>
      </c>
      <c r="O2373" s="3">
        <f>IF(ORIG!O2373=0,"",ORIG!O2373)</f>
        <v/>
      </c>
      <c r="P2373" s="3">
        <f>IF(ORIG!P2373=0,"",ORIG!P2373)</f>
        <v/>
      </c>
      <c r="Q2373" s="3">
        <f>IF(ORIG!Q2373=0,"",ORIG!Q2373)</f>
        <v/>
      </c>
      <c r="R2373" s="3">
        <f>IF(ORIG!R2373=0,"",ORIG!R2373)</f>
        <v/>
      </c>
      <c r="S2373" s="3">
        <f>IF(ORIG!S2373=0,"",ORIG!S2373)</f>
        <v/>
      </c>
      <c r="T2373" s="3">
        <f>IF(ORIG!T2373=0,"",ORIG!T2373)</f>
        <v/>
      </c>
      <c r="U2373" s="3">
        <f>IF(ORIG!U2373=0,"",ORIG!U2373)</f>
        <v/>
      </c>
      <c r="V2373" s="9">
        <f>IF(ORIG!V2373=0,"",ORIG!V2373)</f>
        <v/>
      </c>
      <c r="W2373" s="9">
        <f>IF(ORIG!W2373=0,"",ORIG!W2373)</f>
        <v/>
      </c>
      <c r="X2373" s="9">
        <f>IF(ORIG!X2373=0,"",ORIG!X2373)</f>
        <v/>
      </c>
      <c r="Y2373" s="9">
        <f>IF(ORIG!Y2373=0,"",ORIG!Y2373)</f>
        <v/>
      </c>
      <c r="Z2373" s="3">
        <f>SUMPRODUCT($B2373:$Y2373,$B$2649:$Y$2649)</f>
        <v/>
      </c>
      <c r="AA2373" s="3">
        <f>SUMPRODUCT($B2373:$Y2373,$B$2655:$Y$2655)</f>
        <v/>
      </c>
      <c r="AC2373" s="1">
        <f>A2373</f>
        <v/>
      </c>
      <c r="AD2373">
        <f>IF(ISNUMBER(V2373),V2373*($AB$1/V$2635),"")</f>
        <v/>
      </c>
      <c r="AE2373">
        <f>IF(ISNUMBER(Z2373),Z2373*($AB$1/Z$2635),"")</f>
        <v/>
      </c>
      <c r="AF2373" s="25">
        <f>IF(ISNUMBER(AD2373+AE2373),AD2373+AE2373,"")</f>
        <v/>
      </c>
      <c r="AH2373" s="1">
        <f>A2373</f>
        <v/>
      </c>
      <c r="AI2373">
        <f>IF(ISNUMBER((1+V2373)*AI2372),(1+V2373)*AI2372,AI2372)</f>
        <v/>
      </c>
      <c r="AJ2373">
        <f>IF(ISNUMBER((1+Z2373)*AJ2372),(1+Z2373)*AJ2372,AJ2372)</f>
        <v/>
      </c>
    </row>
    <row r="2374">
      <c r="A2374" s="1" t="n">
        <v>45448</v>
      </c>
      <c r="B2374" s="3">
        <f>IF(ORIG!B2374=0,"",ORIG!B2374)</f>
        <v/>
      </c>
      <c r="C2374" s="3">
        <f>IF(ORIG!C2374=0,"",ORIG!C2374)</f>
        <v/>
      </c>
      <c r="D2374" s="3">
        <f>IF(ORIG!D2374=0,"",ORIG!D2374)</f>
        <v/>
      </c>
      <c r="E2374" s="3">
        <f>IF(ORIG!E2374=0,"",ORIG!E2374)</f>
        <v/>
      </c>
      <c r="F2374" s="3">
        <f>IF(ORIG!F2374=0,"",ORIG!F2374)</f>
        <v/>
      </c>
      <c r="G2374" s="3">
        <f>IF(ORIG!G2374=0,"",ORIG!G2374)</f>
        <v/>
      </c>
      <c r="H2374" s="3">
        <f>IF(ORIG!H2374=0,"",ORIG!H2374)</f>
        <v/>
      </c>
      <c r="I2374" s="3">
        <f>IF(ORIG!I2374=0,"",ORIG!I2374)</f>
        <v/>
      </c>
      <c r="J2374" s="3">
        <f>IF(ORIG!J2374=0,"",ORIG!J2374)</f>
        <v/>
      </c>
      <c r="K2374" s="3">
        <f>IF(ORIG!K2374=0,"",ORIG!K2374)</f>
        <v/>
      </c>
      <c r="L2374" s="3">
        <f>IF(ORIG!L2374=0,"",ORIG!L2374)</f>
        <v/>
      </c>
      <c r="M2374" s="3">
        <f>IF(ORIG!M2374=0,"",ORIG!M2374)</f>
        <v/>
      </c>
      <c r="N2374" s="3">
        <f>IF(ORIG!N2374=0,"",ORIG!N2374)</f>
        <v/>
      </c>
      <c r="O2374" s="3">
        <f>IF(ORIG!O2374=0,"",ORIG!O2374)</f>
        <v/>
      </c>
      <c r="P2374" s="3">
        <f>IF(ORIG!P2374=0,"",ORIG!P2374)</f>
        <v/>
      </c>
      <c r="Q2374" s="3">
        <f>IF(ORIG!Q2374=0,"",ORIG!Q2374)</f>
        <v/>
      </c>
      <c r="R2374" s="3">
        <f>IF(ORIG!R2374=0,"",ORIG!R2374)</f>
        <v/>
      </c>
      <c r="S2374" s="3">
        <f>IF(ORIG!S2374=0,"",ORIG!S2374)</f>
        <v/>
      </c>
      <c r="T2374" s="3">
        <f>IF(ORIG!T2374=0,"",ORIG!T2374)</f>
        <v/>
      </c>
      <c r="U2374" s="3">
        <f>IF(ORIG!U2374=0,"",ORIG!U2374)</f>
        <v/>
      </c>
      <c r="V2374" s="9">
        <f>IF(ORIG!V2374=0,"",ORIG!V2374)</f>
        <v/>
      </c>
      <c r="W2374" s="9">
        <f>IF(ORIG!W2374=0,"",ORIG!W2374)</f>
        <v/>
      </c>
      <c r="X2374" s="9">
        <f>IF(ORIG!X2374=0,"",ORIG!X2374)</f>
        <v/>
      </c>
      <c r="Y2374" s="9">
        <f>IF(ORIG!Y2374=0,"",ORIG!Y2374)</f>
        <v/>
      </c>
      <c r="Z2374" s="3">
        <f>SUMPRODUCT($B2374:$Y2374,$B$2649:$Y$2649)</f>
        <v/>
      </c>
      <c r="AA2374" s="3">
        <f>SUMPRODUCT($B2374:$Y2374,$B$2655:$Y$2655)</f>
        <v/>
      </c>
      <c r="AC2374" s="1">
        <f>A2374</f>
        <v/>
      </c>
      <c r="AD2374">
        <f>IF(ISNUMBER(V2374),V2374*($AB$1/V$2635),"")</f>
        <v/>
      </c>
      <c r="AE2374">
        <f>IF(ISNUMBER(Z2374),Z2374*($AB$1/Z$2635),"")</f>
        <v/>
      </c>
      <c r="AF2374" s="25">
        <f>IF(ISNUMBER(AD2374+AE2374),AD2374+AE2374,"")</f>
        <v/>
      </c>
      <c r="AH2374" s="1">
        <f>A2374</f>
        <v/>
      </c>
      <c r="AI2374">
        <f>IF(ISNUMBER((1+V2374)*AI2373),(1+V2374)*AI2373,AI2373)</f>
        <v/>
      </c>
      <c r="AJ2374">
        <f>IF(ISNUMBER((1+Z2374)*AJ2373),(1+Z2374)*AJ2373,AJ2373)</f>
        <v/>
      </c>
    </row>
    <row r="2375">
      <c r="A2375" s="1" t="n">
        <v>45449</v>
      </c>
      <c r="B2375" s="3">
        <f>IF(ORIG!B2375=0,"",ORIG!B2375)</f>
        <v/>
      </c>
      <c r="C2375" s="3">
        <f>IF(ORIG!C2375=0,"",ORIG!C2375)</f>
        <v/>
      </c>
      <c r="D2375" s="3">
        <f>IF(ORIG!D2375=0,"",ORIG!D2375)</f>
        <v/>
      </c>
      <c r="E2375" s="3">
        <f>IF(ORIG!E2375=0,"",ORIG!E2375)</f>
        <v/>
      </c>
      <c r="F2375" s="3">
        <f>IF(ORIG!F2375=0,"",ORIG!F2375)</f>
        <v/>
      </c>
      <c r="G2375" s="3">
        <f>IF(ORIG!G2375=0,"",ORIG!G2375)</f>
        <v/>
      </c>
      <c r="H2375" s="3">
        <f>IF(ORIG!H2375=0,"",ORIG!H2375)</f>
        <v/>
      </c>
      <c r="I2375" s="3">
        <f>IF(ORIG!I2375=0,"",ORIG!I2375)</f>
        <v/>
      </c>
      <c r="J2375" s="3">
        <f>IF(ORIG!J2375=0,"",ORIG!J2375)</f>
        <v/>
      </c>
      <c r="K2375" s="3">
        <f>IF(ORIG!K2375=0,"",ORIG!K2375)</f>
        <v/>
      </c>
      <c r="L2375" s="3">
        <f>IF(ORIG!L2375=0,"",ORIG!L2375)</f>
        <v/>
      </c>
      <c r="M2375" s="3">
        <f>IF(ORIG!M2375=0,"",ORIG!M2375)</f>
        <v/>
      </c>
      <c r="N2375" s="3">
        <f>IF(ORIG!N2375=0,"",ORIG!N2375)</f>
        <v/>
      </c>
      <c r="O2375" s="3">
        <f>IF(ORIG!O2375=0,"",ORIG!O2375)</f>
        <v/>
      </c>
      <c r="P2375" s="3">
        <f>IF(ORIG!P2375=0,"",ORIG!P2375)</f>
        <v/>
      </c>
      <c r="Q2375" s="3">
        <f>IF(ORIG!Q2375=0,"",ORIG!Q2375)</f>
        <v/>
      </c>
      <c r="R2375" s="3">
        <f>IF(ORIG!R2375=0,"",ORIG!R2375)</f>
        <v/>
      </c>
      <c r="S2375" s="3">
        <f>IF(ORIG!S2375=0,"",ORIG!S2375)</f>
        <v/>
      </c>
      <c r="T2375" s="3">
        <f>IF(ORIG!T2375=0,"",ORIG!T2375)</f>
        <v/>
      </c>
      <c r="U2375" s="3">
        <f>IF(ORIG!U2375=0,"",ORIG!U2375)</f>
        <v/>
      </c>
      <c r="V2375" s="9">
        <f>IF(ORIG!V2375=0,"",ORIG!V2375)</f>
        <v/>
      </c>
      <c r="W2375" s="9">
        <f>IF(ORIG!W2375=0,"",ORIG!W2375)</f>
        <v/>
      </c>
      <c r="X2375" s="9">
        <f>IF(ORIG!X2375=0,"",ORIG!X2375)</f>
        <v/>
      </c>
      <c r="Y2375" s="9">
        <f>IF(ORIG!Y2375=0,"",ORIG!Y2375)</f>
        <v/>
      </c>
      <c r="Z2375" s="3">
        <f>SUMPRODUCT($B2375:$Y2375,$B$2649:$Y$2649)</f>
        <v/>
      </c>
      <c r="AA2375" s="3">
        <f>SUMPRODUCT($B2375:$Y2375,$B$2655:$Y$2655)</f>
        <v/>
      </c>
      <c r="AC2375" s="1">
        <f>A2375</f>
        <v/>
      </c>
      <c r="AD2375">
        <f>IF(ISNUMBER(V2375),V2375*($AB$1/V$2635),"")</f>
        <v/>
      </c>
      <c r="AE2375">
        <f>IF(ISNUMBER(Z2375),Z2375*($AB$1/Z$2635),"")</f>
        <v/>
      </c>
      <c r="AF2375" s="25">
        <f>IF(ISNUMBER(AD2375+AE2375),AD2375+AE2375,"")</f>
        <v/>
      </c>
      <c r="AH2375" s="1">
        <f>A2375</f>
        <v/>
      </c>
      <c r="AI2375">
        <f>IF(ISNUMBER((1+V2375)*AI2374),(1+V2375)*AI2374,AI2374)</f>
        <v/>
      </c>
      <c r="AJ2375">
        <f>IF(ISNUMBER((1+Z2375)*AJ2374),(1+Z2375)*AJ2374,AJ2374)</f>
        <v/>
      </c>
    </row>
    <row r="2376">
      <c r="A2376" s="1" t="n">
        <v>45450</v>
      </c>
      <c r="B2376" s="3">
        <f>IF(ORIG!B2376=0,"",ORIG!B2376)</f>
        <v/>
      </c>
      <c r="C2376" s="3">
        <f>IF(ORIG!C2376=0,"",ORIG!C2376)</f>
        <v/>
      </c>
      <c r="D2376" s="3">
        <f>IF(ORIG!D2376=0,"",ORIG!D2376)</f>
        <v/>
      </c>
      <c r="E2376" s="3">
        <f>IF(ORIG!E2376=0,"",ORIG!E2376)</f>
        <v/>
      </c>
      <c r="F2376" s="3">
        <f>IF(ORIG!F2376=0,"",ORIG!F2376)</f>
        <v/>
      </c>
      <c r="G2376" s="3">
        <f>IF(ORIG!G2376=0,"",ORIG!G2376)</f>
        <v/>
      </c>
      <c r="H2376" s="3">
        <f>IF(ORIG!H2376=0,"",ORIG!H2376)</f>
        <v/>
      </c>
      <c r="I2376" s="3">
        <f>IF(ORIG!I2376=0,"",ORIG!I2376)</f>
        <v/>
      </c>
      <c r="J2376" s="3">
        <f>IF(ORIG!J2376=0,"",ORIG!J2376)</f>
        <v/>
      </c>
      <c r="K2376" s="3">
        <f>IF(ORIG!K2376=0,"",ORIG!K2376)</f>
        <v/>
      </c>
      <c r="L2376" s="3">
        <f>IF(ORIG!L2376=0,"",ORIG!L2376)</f>
        <v/>
      </c>
      <c r="M2376" s="3">
        <f>IF(ORIG!M2376=0,"",ORIG!M2376)</f>
        <v/>
      </c>
      <c r="N2376" s="3">
        <f>IF(ORIG!N2376=0,"",ORIG!N2376)</f>
        <v/>
      </c>
      <c r="O2376" s="3">
        <f>IF(ORIG!O2376=0,"",ORIG!O2376)</f>
        <v/>
      </c>
      <c r="P2376" s="3">
        <f>IF(ORIG!P2376=0,"",ORIG!P2376)</f>
        <v/>
      </c>
      <c r="Q2376" s="3">
        <f>IF(ORIG!Q2376=0,"",ORIG!Q2376)</f>
        <v/>
      </c>
      <c r="R2376" s="3">
        <f>IF(ORIG!R2376=0,"",ORIG!R2376)</f>
        <v/>
      </c>
      <c r="S2376" s="3">
        <f>IF(ORIG!S2376=0,"",ORIG!S2376)</f>
        <v/>
      </c>
      <c r="T2376" s="3">
        <f>IF(ORIG!T2376=0,"",ORIG!T2376)</f>
        <v/>
      </c>
      <c r="U2376" s="3">
        <f>IF(ORIG!U2376=0,"",ORIG!U2376)</f>
        <v/>
      </c>
      <c r="V2376" s="9">
        <f>IF(ORIG!V2376=0,"",ORIG!V2376)</f>
        <v/>
      </c>
      <c r="W2376" s="9">
        <f>IF(ORIG!W2376=0,"",ORIG!W2376)</f>
        <v/>
      </c>
      <c r="X2376" s="9">
        <f>IF(ORIG!X2376=0,"",ORIG!X2376)</f>
        <v/>
      </c>
      <c r="Y2376" s="9">
        <f>IF(ORIG!Y2376=0,"",ORIG!Y2376)</f>
        <v/>
      </c>
      <c r="Z2376" s="3">
        <f>SUMPRODUCT($B2376:$Y2376,$B$2649:$Y$2649)</f>
        <v/>
      </c>
      <c r="AA2376" s="3">
        <f>SUMPRODUCT($B2376:$Y2376,$B$2655:$Y$2655)</f>
        <v/>
      </c>
      <c r="AC2376" s="1">
        <f>A2376</f>
        <v/>
      </c>
      <c r="AD2376">
        <f>IF(ISNUMBER(V2376),V2376*($AB$1/V$2635),"")</f>
        <v/>
      </c>
      <c r="AE2376">
        <f>IF(ISNUMBER(Z2376),Z2376*($AB$1/Z$2635),"")</f>
        <v/>
      </c>
      <c r="AF2376" s="25">
        <f>IF(ISNUMBER(AD2376+AE2376),AD2376+AE2376,"")</f>
        <v/>
      </c>
      <c r="AH2376" s="1">
        <f>A2376</f>
        <v/>
      </c>
      <c r="AI2376">
        <f>IF(ISNUMBER((1+V2376)*AI2375),(1+V2376)*AI2375,AI2375)</f>
        <v/>
      </c>
      <c r="AJ2376">
        <f>IF(ISNUMBER((1+Z2376)*AJ2375),(1+Z2376)*AJ2375,AJ2375)</f>
        <v/>
      </c>
    </row>
    <row r="2377">
      <c r="A2377" s="1" t="n">
        <v>45453</v>
      </c>
      <c r="B2377" s="3">
        <f>IF(ORIG!B2377=0,"",ORIG!B2377)</f>
        <v/>
      </c>
      <c r="C2377" s="3">
        <f>IF(ORIG!C2377=0,"",ORIG!C2377)</f>
        <v/>
      </c>
      <c r="D2377" s="3">
        <f>IF(ORIG!D2377=0,"",ORIG!D2377)</f>
        <v/>
      </c>
      <c r="E2377" s="3">
        <f>IF(ORIG!E2377=0,"",ORIG!E2377)</f>
        <v/>
      </c>
      <c r="F2377" s="3">
        <f>IF(ORIG!F2377=0,"",ORIG!F2377)</f>
        <v/>
      </c>
      <c r="G2377" s="3">
        <f>IF(ORIG!G2377=0,"",ORIG!G2377)</f>
        <v/>
      </c>
      <c r="H2377" s="3">
        <f>IF(ORIG!H2377=0,"",ORIG!H2377)</f>
        <v/>
      </c>
      <c r="I2377" s="3">
        <f>IF(ORIG!I2377=0,"",ORIG!I2377)</f>
        <v/>
      </c>
      <c r="J2377" s="3">
        <f>IF(ORIG!J2377=0,"",ORIG!J2377)</f>
        <v/>
      </c>
      <c r="K2377" s="3">
        <f>IF(ORIG!K2377=0,"",ORIG!K2377)</f>
        <v/>
      </c>
      <c r="L2377" s="3">
        <f>IF(ORIG!L2377=0,"",ORIG!L2377)</f>
        <v/>
      </c>
      <c r="M2377" s="3">
        <f>IF(ORIG!M2377=0,"",ORIG!M2377)</f>
        <v/>
      </c>
      <c r="N2377" s="3">
        <f>IF(ORIG!N2377=0,"",ORIG!N2377)</f>
        <v/>
      </c>
      <c r="O2377" s="3">
        <f>IF(ORIG!O2377=0,"",ORIG!O2377)</f>
        <v/>
      </c>
      <c r="P2377" s="3">
        <f>IF(ORIG!P2377=0,"",ORIG!P2377)</f>
        <v/>
      </c>
      <c r="Q2377" s="3">
        <f>IF(ORIG!Q2377=0,"",ORIG!Q2377)</f>
        <v/>
      </c>
      <c r="R2377" s="3">
        <f>IF(ORIG!R2377=0,"",ORIG!R2377)</f>
        <v/>
      </c>
      <c r="S2377" s="3">
        <f>IF(ORIG!S2377=0,"",ORIG!S2377)</f>
        <v/>
      </c>
      <c r="T2377" s="3">
        <f>IF(ORIG!T2377=0,"",ORIG!T2377)</f>
        <v/>
      </c>
      <c r="U2377" s="3">
        <f>IF(ORIG!U2377=0,"",ORIG!U2377)</f>
        <v/>
      </c>
      <c r="V2377" s="9">
        <f>IF(ORIG!V2377=0,"",ORIG!V2377)</f>
        <v/>
      </c>
      <c r="W2377" s="9">
        <f>IF(ORIG!W2377=0,"",ORIG!W2377)</f>
        <v/>
      </c>
      <c r="X2377" s="9">
        <f>IF(ORIG!X2377=0,"",ORIG!X2377)</f>
        <v/>
      </c>
      <c r="Y2377" s="9">
        <f>IF(ORIG!Y2377=0,"",ORIG!Y2377)</f>
        <v/>
      </c>
      <c r="Z2377" s="3">
        <f>SUMPRODUCT($B2377:$Y2377,$B$2649:$Y$2649)</f>
        <v/>
      </c>
      <c r="AA2377" s="3">
        <f>SUMPRODUCT($B2377:$Y2377,$B$2655:$Y$2655)</f>
        <v/>
      </c>
      <c r="AC2377" s="1">
        <f>A2377</f>
        <v/>
      </c>
      <c r="AD2377">
        <f>IF(ISNUMBER(V2377),V2377*($AB$1/V$2635),"")</f>
        <v/>
      </c>
      <c r="AE2377">
        <f>IF(ISNUMBER(Z2377),Z2377*($AB$1/Z$2635),"")</f>
        <v/>
      </c>
      <c r="AF2377" s="25">
        <f>IF(ISNUMBER(AD2377+AE2377),AD2377+AE2377,"")</f>
        <v/>
      </c>
      <c r="AH2377" s="1">
        <f>A2377</f>
        <v/>
      </c>
      <c r="AI2377">
        <f>IF(ISNUMBER((1+V2377)*AI2376),(1+V2377)*AI2376,AI2376)</f>
        <v/>
      </c>
      <c r="AJ2377">
        <f>IF(ISNUMBER((1+Z2377)*AJ2376),(1+Z2377)*AJ2376,AJ2376)</f>
        <v/>
      </c>
    </row>
    <row r="2378">
      <c r="A2378" s="1" t="n">
        <v>45454</v>
      </c>
      <c r="B2378" s="3">
        <f>IF(ORIG!B2378=0,"",ORIG!B2378)</f>
        <v/>
      </c>
      <c r="C2378" s="3">
        <f>IF(ORIG!C2378=0,"",ORIG!C2378)</f>
        <v/>
      </c>
      <c r="D2378" s="3">
        <f>IF(ORIG!D2378=0,"",ORIG!D2378)</f>
        <v/>
      </c>
      <c r="E2378" s="3">
        <f>IF(ORIG!E2378=0,"",ORIG!E2378)</f>
        <v/>
      </c>
      <c r="F2378" s="3">
        <f>IF(ORIG!F2378=0,"",ORIG!F2378)</f>
        <v/>
      </c>
      <c r="G2378" s="3">
        <f>IF(ORIG!G2378=0,"",ORIG!G2378)</f>
        <v/>
      </c>
      <c r="H2378" s="3">
        <f>IF(ORIG!H2378=0,"",ORIG!H2378)</f>
        <v/>
      </c>
      <c r="I2378" s="3">
        <f>IF(ORIG!I2378=0,"",ORIG!I2378)</f>
        <v/>
      </c>
      <c r="J2378" s="3">
        <f>IF(ORIG!J2378=0,"",ORIG!J2378)</f>
        <v/>
      </c>
      <c r="K2378" s="3">
        <f>IF(ORIG!K2378=0,"",ORIG!K2378)</f>
        <v/>
      </c>
      <c r="L2378" s="3">
        <f>IF(ORIG!L2378=0,"",ORIG!L2378)</f>
        <v/>
      </c>
      <c r="M2378" s="3">
        <f>IF(ORIG!M2378=0,"",ORIG!M2378)</f>
        <v/>
      </c>
      <c r="N2378" s="3">
        <f>IF(ORIG!N2378=0,"",ORIG!N2378)</f>
        <v/>
      </c>
      <c r="O2378" s="3">
        <f>IF(ORIG!O2378=0,"",ORIG!O2378)</f>
        <v/>
      </c>
      <c r="P2378" s="3">
        <f>IF(ORIG!P2378=0,"",ORIG!P2378)</f>
        <v/>
      </c>
      <c r="Q2378" s="3">
        <f>IF(ORIG!Q2378=0,"",ORIG!Q2378)</f>
        <v/>
      </c>
      <c r="R2378" s="3">
        <f>IF(ORIG!R2378=0,"",ORIG!R2378)</f>
        <v/>
      </c>
      <c r="S2378" s="3">
        <f>IF(ORIG!S2378=0,"",ORIG!S2378)</f>
        <v/>
      </c>
      <c r="T2378" s="3">
        <f>IF(ORIG!T2378=0,"",ORIG!T2378)</f>
        <v/>
      </c>
      <c r="U2378" s="3">
        <f>IF(ORIG!U2378=0,"",ORIG!U2378)</f>
        <v/>
      </c>
      <c r="V2378" s="9">
        <f>IF(ORIG!V2378=0,"",ORIG!V2378)</f>
        <v/>
      </c>
      <c r="W2378" s="9">
        <f>IF(ORIG!W2378=0,"",ORIG!W2378)</f>
        <v/>
      </c>
      <c r="X2378" s="9">
        <f>IF(ORIG!X2378=0,"",ORIG!X2378)</f>
        <v/>
      </c>
      <c r="Y2378" s="9">
        <f>IF(ORIG!Y2378=0,"",ORIG!Y2378)</f>
        <v/>
      </c>
      <c r="Z2378" s="3">
        <f>SUMPRODUCT($B2378:$Y2378,$B$2649:$Y$2649)</f>
        <v/>
      </c>
      <c r="AA2378" s="3">
        <f>SUMPRODUCT($B2378:$Y2378,$B$2655:$Y$2655)</f>
        <v/>
      </c>
      <c r="AC2378" s="1">
        <f>A2378</f>
        <v/>
      </c>
      <c r="AD2378">
        <f>IF(ISNUMBER(V2378),V2378*($AB$1/V$2635),"")</f>
        <v/>
      </c>
      <c r="AE2378">
        <f>IF(ISNUMBER(Z2378),Z2378*($AB$1/Z$2635),"")</f>
        <v/>
      </c>
      <c r="AF2378" s="25">
        <f>IF(ISNUMBER(AD2378+AE2378),AD2378+AE2378,"")</f>
        <v/>
      </c>
      <c r="AH2378" s="1">
        <f>A2378</f>
        <v/>
      </c>
      <c r="AI2378">
        <f>IF(ISNUMBER((1+V2378)*AI2377),(1+V2378)*AI2377,AI2377)</f>
        <v/>
      </c>
      <c r="AJ2378">
        <f>IF(ISNUMBER((1+Z2378)*AJ2377),(1+Z2378)*AJ2377,AJ2377)</f>
        <v/>
      </c>
    </row>
    <row r="2379">
      <c r="A2379" s="1" t="n">
        <v>45455</v>
      </c>
      <c r="B2379" s="3">
        <f>IF(ORIG!B2379=0,"",ORIG!B2379)</f>
        <v/>
      </c>
      <c r="C2379" s="3">
        <f>IF(ORIG!C2379=0,"",ORIG!C2379)</f>
        <v/>
      </c>
      <c r="D2379" s="3">
        <f>IF(ORIG!D2379=0,"",ORIG!D2379)</f>
        <v/>
      </c>
      <c r="E2379" s="3">
        <f>IF(ORIG!E2379=0,"",ORIG!E2379)</f>
        <v/>
      </c>
      <c r="F2379" s="3">
        <f>IF(ORIG!F2379=0,"",ORIG!F2379)</f>
        <v/>
      </c>
      <c r="G2379" s="3">
        <f>IF(ORIG!G2379=0,"",ORIG!G2379)</f>
        <v/>
      </c>
      <c r="H2379" s="3">
        <f>IF(ORIG!H2379=0,"",ORIG!H2379)</f>
        <v/>
      </c>
      <c r="I2379" s="3">
        <f>IF(ORIG!I2379=0,"",ORIG!I2379)</f>
        <v/>
      </c>
      <c r="J2379" s="3">
        <f>IF(ORIG!J2379=0,"",ORIG!J2379)</f>
        <v/>
      </c>
      <c r="K2379" s="3">
        <f>IF(ORIG!K2379=0,"",ORIG!K2379)</f>
        <v/>
      </c>
      <c r="L2379" s="3">
        <f>IF(ORIG!L2379=0,"",ORIG!L2379)</f>
        <v/>
      </c>
      <c r="M2379" s="3">
        <f>IF(ORIG!M2379=0,"",ORIG!M2379)</f>
        <v/>
      </c>
      <c r="N2379" s="3">
        <f>IF(ORIG!N2379=0,"",ORIG!N2379)</f>
        <v/>
      </c>
      <c r="O2379" s="3">
        <f>IF(ORIG!O2379=0,"",ORIG!O2379)</f>
        <v/>
      </c>
      <c r="P2379" s="3">
        <f>IF(ORIG!P2379=0,"",ORIG!P2379)</f>
        <v/>
      </c>
      <c r="Q2379" s="3">
        <f>IF(ORIG!Q2379=0,"",ORIG!Q2379)</f>
        <v/>
      </c>
      <c r="R2379" s="3">
        <f>IF(ORIG!R2379=0,"",ORIG!R2379)</f>
        <v/>
      </c>
      <c r="S2379" s="3">
        <f>IF(ORIG!S2379=0,"",ORIG!S2379)</f>
        <v/>
      </c>
      <c r="T2379" s="3">
        <f>IF(ORIG!T2379=0,"",ORIG!T2379)</f>
        <v/>
      </c>
      <c r="U2379" s="3">
        <f>IF(ORIG!U2379=0,"",ORIG!U2379)</f>
        <v/>
      </c>
      <c r="V2379" s="9">
        <f>IF(ORIG!V2379=0,"",ORIG!V2379)</f>
        <v/>
      </c>
      <c r="W2379" s="9">
        <f>IF(ORIG!W2379=0,"",ORIG!W2379)</f>
        <v/>
      </c>
      <c r="X2379" s="9">
        <f>IF(ORIG!X2379=0,"",ORIG!X2379)</f>
        <v/>
      </c>
      <c r="Y2379" s="9">
        <f>IF(ORIG!Y2379=0,"",ORIG!Y2379)</f>
        <v/>
      </c>
      <c r="Z2379" s="3">
        <f>SUMPRODUCT($B2379:$Y2379,$B$2649:$Y$2649)</f>
        <v/>
      </c>
      <c r="AA2379" s="3">
        <f>SUMPRODUCT($B2379:$Y2379,$B$2655:$Y$2655)</f>
        <v/>
      </c>
      <c r="AC2379" s="1">
        <f>A2379</f>
        <v/>
      </c>
      <c r="AD2379">
        <f>IF(ISNUMBER(V2379),V2379*($AB$1/V$2635),"")</f>
        <v/>
      </c>
      <c r="AE2379">
        <f>IF(ISNUMBER(Z2379),Z2379*($AB$1/Z$2635),"")</f>
        <v/>
      </c>
      <c r="AF2379" s="25">
        <f>IF(ISNUMBER(AD2379+AE2379),AD2379+AE2379,"")</f>
        <v/>
      </c>
      <c r="AH2379" s="1">
        <f>A2379</f>
        <v/>
      </c>
      <c r="AI2379">
        <f>IF(ISNUMBER((1+V2379)*AI2378),(1+V2379)*AI2378,AI2378)</f>
        <v/>
      </c>
      <c r="AJ2379">
        <f>IF(ISNUMBER((1+Z2379)*AJ2378),(1+Z2379)*AJ2378,AJ2378)</f>
        <v/>
      </c>
    </row>
    <row r="2380">
      <c r="A2380" s="1" t="n">
        <v>45456</v>
      </c>
      <c r="B2380" s="3">
        <f>IF(ORIG!B2380=0,"",ORIG!B2380)</f>
        <v/>
      </c>
      <c r="C2380" s="3">
        <f>IF(ORIG!C2380=0,"",ORIG!C2380)</f>
        <v/>
      </c>
      <c r="D2380" s="3">
        <f>IF(ORIG!D2380=0,"",ORIG!D2380)</f>
        <v/>
      </c>
      <c r="E2380" s="3">
        <f>IF(ORIG!E2380=0,"",ORIG!E2380)</f>
        <v/>
      </c>
      <c r="F2380" s="3">
        <f>IF(ORIG!F2380=0,"",ORIG!F2380)</f>
        <v/>
      </c>
      <c r="G2380" s="3">
        <f>IF(ORIG!G2380=0,"",ORIG!G2380)</f>
        <v/>
      </c>
      <c r="H2380" s="3">
        <f>IF(ORIG!H2380=0,"",ORIG!H2380)</f>
        <v/>
      </c>
      <c r="I2380" s="3">
        <f>IF(ORIG!I2380=0,"",ORIG!I2380)</f>
        <v/>
      </c>
      <c r="J2380" s="3">
        <f>IF(ORIG!J2380=0,"",ORIG!J2380)</f>
        <v/>
      </c>
      <c r="K2380" s="3">
        <f>IF(ORIG!K2380=0,"",ORIG!K2380)</f>
        <v/>
      </c>
      <c r="L2380" s="3">
        <f>IF(ORIG!L2380=0,"",ORIG!L2380)</f>
        <v/>
      </c>
      <c r="M2380" s="3">
        <f>IF(ORIG!M2380=0,"",ORIG!M2380)</f>
        <v/>
      </c>
      <c r="N2380" s="3">
        <f>IF(ORIG!N2380=0,"",ORIG!N2380)</f>
        <v/>
      </c>
      <c r="O2380" s="3">
        <f>IF(ORIG!O2380=0,"",ORIG!O2380)</f>
        <v/>
      </c>
      <c r="P2380" s="3">
        <f>IF(ORIG!P2380=0,"",ORIG!P2380)</f>
        <v/>
      </c>
      <c r="Q2380" s="3">
        <f>IF(ORIG!Q2380=0,"",ORIG!Q2380)</f>
        <v/>
      </c>
      <c r="R2380" s="3">
        <f>IF(ORIG!R2380=0,"",ORIG!R2380)</f>
        <v/>
      </c>
      <c r="S2380" s="3">
        <f>IF(ORIG!S2380=0,"",ORIG!S2380)</f>
        <v/>
      </c>
      <c r="T2380" s="3">
        <f>IF(ORIG!T2380=0,"",ORIG!T2380)</f>
        <v/>
      </c>
      <c r="U2380" s="3">
        <f>IF(ORIG!U2380=0,"",ORIG!U2380)</f>
        <v/>
      </c>
      <c r="V2380" s="9">
        <f>IF(ORIG!V2380=0,"",ORIG!V2380)</f>
        <v/>
      </c>
      <c r="W2380" s="9">
        <f>IF(ORIG!W2380=0,"",ORIG!W2380)</f>
        <v/>
      </c>
      <c r="X2380" s="9">
        <f>IF(ORIG!X2380=0,"",ORIG!X2380)</f>
        <v/>
      </c>
      <c r="Y2380" s="9">
        <f>IF(ORIG!Y2380=0,"",ORIG!Y2380)</f>
        <v/>
      </c>
      <c r="Z2380" s="3">
        <f>SUMPRODUCT($B2380:$Y2380,$B$2649:$Y$2649)</f>
        <v/>
      </c>
      <c r="AA2380" s="3">
        <f>SUMPRODUCT($B2380:$Y2380,$B$2655:$Y$2655)</f>
        <v/>
      </c>
      <c r="AC2380" s="1">
        <f>A2380</f>
        <v/>
      </c>
      <c r="AD2380">
        <f>IF(ISNUMBER(V2380),V2380*($AB$1/V$2635),"")</f>
        <v/>
      </c>
      <c r="AE2380">
        <f>IF(ISNUMBER(Z2380),Z2380*($AB$1/Z$2635),"")</f>
        <v/>
      </c>
      <c r="AF2380" s="25">
        <f>IF(ISNUMBER(AD2380+AE2380),AD2380+AE2380,"")</f>
        <v/>
      </c>
      <c r="AH2380" s="1">
        <f>A2380</f>
        <v/>
      </c>
      <c r="AI2380">
        <f>IF(ISNUMBER((1+V2380)*AI2379),(1+V2380)*AI2379,AI2379)</f>
        <v/>
      </c>
      <c r="AJ2380">
        <f>IF(ISNUMBER((1+Z2380)*AJ2379),(1+Z2380)*AJ2379,AJ2379)</f>
        <v/>
      </c>
    </row>
    <row r="2381">
      <c r="A2381" s="1" t="n">
        <v>45457</v>
      </c>
      <c r="B2381" s="3">
        <f>IF(ORIG!B2381=0,"",ORIG!B2381)</f>
        <v/>
      </c>
      <c r="C2381" s="3">
        <f>IF(ORIG!C2381=0,"",ORIG!C2381)</f>
        <v/>
      </c>
      <c r="D2381" s="3">
        <f>IF(ORIG!D2381=0,"",ORIG!D2381)</f>
        <v/>
      </c>
      <c r="E2381" s="3">
        <f>IF(ORIG!E2381=0,"",ORIG!E2381)</f>
        <v/>
      </c>
      <c r="F2381" s="3">
        <f>IF(ORIG!F2381=0,"",ORIG!F2381)</f>
        <v/>
      </c>
      <c r="G2381" s="3">
        <f>IF(ORIG!G2381=0,"",ORIG!G2381)</f>
        <v/>
      </c>
      <c r="H2381" s="3">
        <f>IF(ORIG!H2381=0,"",ORIG!H2381)</f>
        <v/>
      </c>
      <c r="I2381" s="3">
        <f>IF(ORIG!I2381=0,"",ORIG!I2381)</f>
        <v/>
      </c>
      <c r="J2381" s="3">
        <f>IF(ORIG!J2381=0,"",ORIG!J2381)</f>
        <v/>
      </c>
      <c r="K2381" s="3">
        <f>IF(ORIG!K2381=0,"",ORIG!K2381)</f>
        <v/>
      </c>
      <c r="L2381" s="3">
        <f>IF(ORIG!L2381=0,"",ORIG!L2381)</f>
        <v/>
      </c>
      <c r="M2381" s="3">
        <f>IF(ORIG!M2381=0,"",ORIG!M2381)</f>
        <v/>
      </c>
      <c r="N2381" s="3">
        <f>IF(ORIG!N2381=0,"",ORIG!N2381)</f>
        <v/>
      </c>
      <c r="O2381" s="3">
        <f>IF(ORIG!O2381=0,"",ORIG!O2381)</f>
        <v/>
      </c>
      <c r="P2381" s="3">
        <f>IF(ORIG!P2381=0,"",ORIG!P2381)</f>
        <v/>
      </c>
      <c r="Q2381" s="3">
        <f>IF(ORIG!Q2381=0,"",ORIG!Q2381)</f>
        <v/>
      </c>
      <c r="R2381" s="3">
        <f>IF(ORIG!R2381=0,"",ORIG!R2381)</f>
        <v/>
      </c>
      <c r="S2381" s="3">
        <f>IF(ORIG!S2381=0,"",ORIG!S2381)</f>
        <v/>
      </c>
      <c r="T2381" s="3">
        <f>IF(ORIG!T2381=0,"",ORIG!T2381)</f>
        <v/>
      </c>
      <c r="U2381" s="3">
        <f>IF(ORIG!U2381=0,"",ORIG!U2381)</f>
        <v/>
      </c>
      <c r="V2381" s="9">
        <f>IF(ORIG!V2381=0,"",ORIG!V2381)</f>
        <v/>
      </c>
      <c r="W2381" s="9">
        <f>IF(ORIG!W2381=0,"",ORIG!W2381)</f>
        <v/>
      </c>
      <c r="X2381" s="9">
        <f>IF(ORIG!X2381=0,"",ORIG!X2381)</f>
        <v/>
      </c>
      <c r="Y2381" s="9">
        <f>IF(ORIG!Y2381=0,"",ORIG!Y2381)</f>
        <v/>
      </c>
      <c r="Z2381" s="3">
        <f>SUMPRODUCT($B2381:$Y2381,$B$2649:$Y$2649)</f>
        <v/>
      </c>
      <c r="AA2381" s="3">
        <f>SUMPRODUCT($B2381:$Y2381,$B$2655:$Y$2655)</f>
        <v/>
      </c>
      <c r="AC2381" s="1">
        <f>A2381</f>
        <v/>
      </c>
      <c r="AD2381">
        <f>IF(ISNUMBER(V2381),V2381*($AB$1/V$2635),"")</f>
        <v/>
      </c>
      <c r="AE2381">
        <f>IF(ISNUMBER(Z2381),Z2381*($AB$1/Z$2635),"")</f>
        <v/>
      </c>
      <c r="AF2381" s="25">
        <f>IF(ISNUMBER(AD2381+AE2381),AD2381+AE2381,"")</f>
        <v/>
      </c>
      <c r="AH2381" s="1">
        <f>A2381</f>
        <v/>
      </c>
      <c r="AI2381">
        <f>IF(ISNUMBER((1+V2381)*AI2380),(1+V2381)*AI2380,AI2380)</f>
        <v/>
      </c>
      <c r="AJ2381">
        <f>IF(ISNUMBER((1+Z2381)*AJ2380),(1+Z2381)*AJ2380,AJ2380)</f>
        <v/>
      </c>
    </row>
    <row r="2382">
      <c r="A2382" s="1" t="n">
        <v>45460</v>
      </c>
      <c r="B2382" s="3">
        <f>IF(ORIG!B2382=0,"",ORIG!B2382)</f>
        <v/>
      </c>
      <c r="C2382" s="3">
        <f>IF(ORIG!C2382=0,"",ORIG!C2382)</f>
        <v/>
      </c>
      <c r="D2382" s="3">
        <f>IF(ORIG!D2382=0,"",ORIG!D2382)</f>
        <v/>
      </c>
      <c r="E2382" s="3">
        <f>IF(ORIG!E2382=0,"",ORIG!E2382)</f>
        <v/>
      </c>
      <c r="F2382" s="3">
        <f>IF(ORIG!F2382=0,"",ORIG!F2382)</f>
        <v/>
      </c>
      <c r="G2382" s="3">
        <f>IF(ORIG!G2382=0,"",ORIG!G2382)</f>
        <v/>
      </c>
      <c r="H2382" s="3">
        <f>IF(ORIG!H2382=0,"",ORIG!H2382)</f>
        <v/>
      </c>
      <c r="I2382" s="3">
        <f>IF(ORIG!I2382=0,"",ORIG!I2382)</f>
        <v/>
      </c>
      <c r="J2382" s="3">
        <f>IF(ORIG!J2382=0,"",ORIG!J2382)</f>
        <v/>
      </c>
      <c r="K2382" s="3">
        <f>IF(ORIG!K2382=0,"",ORIG!K2382)</f>
        <v/>
      </c>
      <c r="L2382" s="3">
        <f>IF(ORIG!L2382=0,"",ORIG!L2382)</f>
        <v/>
      </c>
      <c r="M2382" s="3">
        <f>IF(ORIG!M2382=0,"",ORIG!M2382)</f>
        <v/>
      </c>
      <c r="N2382" s="3">
        <f>IF(ORIG!N2382=0,"",ORIG!N2382)</f>
        <v/>
      </c>
      <c r="O2382" s="3">
        <f>IF(ORIG!O2382=0,"",ORIG!O2382)</f>
        <v/>
      </c>
      <c r="P2382" s="3">
        <f>IF(ORIG!P2382=0,"",ORIG!P2382)</f>
        <v/>
      </c>
      <c r="Q2382" s="3">
        <f>IF(ORIG!Q2382=0,"",ORIG!Q2382)</f>
        <v/>
      </c>
      <c r="R2382" s="3">
        <f>IF(ORIG!R2382=0,"",ORIG!R2382)</f>
        <v/>
      </c>
      <c r="S2382" s="3">
        <f>IF(ORIG!S2382=0,"",ORIG!S2382)</f>
        <v/>
      </c>
      <c r="T2382" s="3">
        <f>IF(ORIG!T2382=0,"",ORIG!T2382)</f>
        <v/>
      </c>
      <c r="U2382" s="3">
        <f>IF(ORIG!U2382=0,"",ORIG!U2382)</f>
        <v/>
      </c>
      <c r="V2382" s="9">
        <f>IF(ORIG!V2382=0,"",ORIG!V2382)</f>
        <v/>
      </c>
      <c r="W2382" s="9">
        <f>IF(ORIG!W2382=0,"",ORIG!W2382)</f>
        <v/>
      </c>
      <c r="X2382" s="9">
        <f>IF(ORIG!X2382=0,"",ORIG!X2382)</f>
        <v/>
      </c>
      <c r="Y2382" s="9">
        <f>IF(ORIG!Y2382=0,"",ORIG!Y2382)</f>
        <v/>
      </c>
      <c r="Z2382" s="3">
        <f>SUMPRODUCT($B2382:$Y2382,$B$2649:$Y$2649)</f>
        <v/>
      </c>
      <c r="AA2382" s="3">
        <f>SUMPRODUCT($B2382:$Y2382,$B$2655:$Y$2655)</f>
        <v/>
      </c>
      <c r="AC2382" s="1">
        <f>A2382</f>
        <v/>
      </c>
      <c r="AD2382">
        <f>IF(ISNUMBER(V2382),V2382*($AB$1/V$2635),"")</f>
        <v/>
      </c>
      <c r="AE2382">
        <f>IF(ISNUMBER(Z2382),Z2382*($AB$1/Z$2635),"")</f>
        <v/>
      </c>
      <c r="AF2382" s="25">
        <f>IF(ISNUMBER(AD2382+AE2382),AD2382+AE2382,"")</f>
        <v/>
      </c>
      <c r="AH2382" s="1">
        <f>A2382</f>
        <v/>
      </c>
      <c r="AI2382">
        <f>IF(ISNUMBER((1+V2382)*AI2381),(1+V2382)*AI2381,AI2381)</f>
        <v/>
      </c>
      <c r="AJ2382">
        <f>IF(ISNUMBER((1+Z2382)*AJ2381),(1+Z2382)*AJ2381,AJ2381)</f>
        <v/>
      </c>
    </row>
    <row r="2383">
      <c r="A2383" s="1" t="n">
        <v>45461</v>
      </c>
      <c r="B2383" s="3">
        <f>IF(ORIG!B2383=0,"",ORIG!B2383)</f>
        <v/>
      </c>
      <c r="C2383" s="3">
        <f>IF(ORIG!C2383=0,"",ORIG!C2383)</f>
        <v/>
      </c>
      <c r="D2383" s="3">
        <f>IF(ORIG!D2383=0,"",ORIG!D2383)</f>
        <v/>
      </c>
      <c r="E2383" s="3">
        <f>IF(ORIG!E2383=0,"",ORIG!E2383)</f>
        <v/>
      </c>
      <c r="F2383" s="3">
        <f>IF(ORIG!F2383=0,"",ORIG!F2383)</f>
        <v/>
      </c>
      <c r="G2383" s="3">
        <f>IF(ORIG!G2383=0,"",ORIG!G2383)</f>
        <v/>
      </c>
      <c r="H2383" s="3">
        <f>IF(ORIG!H2383=0,"",ORIG!H2383)</f>
        <v/>
      </c>
      <c r="I2383" s="3">
        <f>IF(ORIG!I2383=0,"",ORIG!I2383)</f>
        <v/>
      </c>
      <c r="J2383" s="3">
        <f>IF(ORIG!J2383=0,"",ORIG!J2383)</f>
        <v/>
      </c>
      <c r="K2383" s="3">
        <f>IF(ORIG!K2383=0,"",ORIG!K2383)</f>
        <v/>
      </c>
      <c r="L2383" s="3">
        <f>IF(ORIG!L2383=0,"",ORIG!L2383)</f>
        <v/>
      </c>
      <c r="M2383" s="3">
        <f>IF(ORIG!M2383=0,"",ORIG!M2383)</f>
        <v/>
      </c>
      <c r="N2383" s="3">
        <f>IF(ORIG!N2383=0,"",ORIG!N2383)</f>
        <v/>
      </c>
      <c r="O2383" s="3">
        <f>IF(ORIG!O2383=0,"",ORIG!O2383)</f>
        <v/>
      </c>
      <c r="P2383" s="3">
        <f>IF(ORIG!P2383=0,"",ORIG!P2383)</f>
        <v/>
      </c>
      <c r="Q2383" s="3">
        <f>IF(ORIG!Q2383=0,"",ORIG!Q2383)</f>
        <v/>
      </c>
      <c r="R2383" s="3">
        <f>IF(ORIG!R2383=0,"",ORIG!R2383)</f>
        <v/>
      </c>
      <c r="S2383" s="3">
        <f>IF(ORIG!S2383=0,"",ORIG!S2383)</f>
        <v/>
      </c>
      <c r="T2383" s="3">
        <f>IF(ORIG!T2383=0,"",ORIG!T2383)</f>
        <v/>
      </c>
      <c r="U2383" s="3">
        <f>IF(ORIG!U2383=0,"",ORIG!U2383)</f>
        <v/>
      </c>
      <c r="V2383" s="9">
        <f>IF(ORIG!V2383=0,"",ORIG!V2383)</f>
        <v/>
      </c>
      <c r="W2383" s="9">
        <f>IF(ORIG!W2383=0,"",ORIG!W2383)</f>
        <v/>
      </c>
      <c r="X2383" s="9">
        <f>IF(ORIG!X2383=0,"",ORIG!X2383)</f>
        <v/>
      </c>
      <c r="Y2383" s="9">
        <f>IF(ORIG!Y2383=0,"",ORIG!Y2383)</f>
        <v/>
      </c>
      <c r="Z2383" s="3">
        <f>SUMPRODUCT($B2383:$Y2383,$B$2649:$Y$2649)</f>
        <v/>
      </c>
      <c r="AA2383" s="3">
        <f>SUMPRODUCT($B2383:$Y2383,$B$2655:$Y$2655)</f>
        <v/>
      </c>
      <c r="AC2383" s="1">
        <f>A2383</f>
        <v/>
      </c>
      <c r="AD2383">
        <f>IF(ISNUMBER(V2383),V2383*($AB$1/V$2635),"")</f>
        <v/>
      </c>
      <c r="AE2383">
        <f>IF(ISNUMBER(Z2383),Z2383*($AB$1/Z$2635),"")</f>
        <v/>
      </c>
      <c r="AF2383" s="25">
        <f>IF(ISNUMBER(AD2383+AE2383),AD2383+AE2383,"")</f>
        <v/>
      </c>
      <c r="AH2383" s="1">
        <f>A2383</f>
        <v/>
      </c>
      <c r="AI2383">
        <f>IF(ISNUMBER((1+V2383)*AI2382),(1+V2383)*AI2382,AI2382)</f>
        <v/>
      </c>
      <c r="AJ2383">
        <f>IF(ISNUMBER((1+Z2383)*AJ2382),(1+Z2383)*AJ2382,AJ2382)</f>
        <v/>
      </c>
    </row>
    <row r="2384">
      <c r="A2384" s="1" t="n">
        <v>45463</v>
      </c>
      <c r="B2384" s="3">
        <f>IF(ORIG!B2384=0,"",ORIG!B2384)</f>
        <v/>
      </c>
      <c r="C2384" s="3">
        <f>IF(ORIG!C2384=0,"",ORIG!C2384)</f>
        <v/>
      </c>
      <c r="D2384" s="3">
        <f>IF(ORIG!D2384=0,"",ORIG!D2384)</f>
        <v/>
      </c>
      <c r="E2384" s="3">
        <f>IF(ORIG!E2384=0,"",ORIG!E2384)</f>
        <v/>
      </c>
      <c r="F2384" s="3">
        <f>IF(ORIG!F2384=0,"",ORIG!F2384)</f>
        <v/>
      </c>
      <c r="G2384" s="3">
        <f>IF(ORIG!G2384=0,"",ORIG!G2384)</f>
        <v/>
      </c>
      <c r="H2384" s="3">
        <f>IF(ORIG!H2384=0,"",ORIG!H2384)</f>
        <v/>
      </c>
      <c r="I2384" s="3">
        <f>IF(ORIG!I2384=0,"",ORIG!I2384)</f>
        <v/>
      </c>
      <c r="J2384" s="3">
        <f>IF(ORIG!J2384=0,"",ORIG!J2384)</f>
        <v/>
      </c>
      <c r="K2384" s="3">
        <f>IF(ORIG!K2384=0,"",ORIG!K2384)</f>
        <v/>
      </c>
      <c r="L2384" s="3">
        <f>IF(ORIG!L2384=0,"",ORIG!L2384)</f>
        <v/>
      </c>
      <c r="M2384" s="3">
        <f>IF(ORIG!M2384=0,"",ORIG!M2384)</f>
        <v/>
      </c>
      <c r="N2384" s="3">
        <f>IF(ORIG!N2384=0,"",ORIG!N2384)</f>
        <v/>
      </c>
      <c r="O2384" s="3">
        <f>IF(ORIG!O2384=0,"",ORIG!O2384)</f>
        <v/>
      </c>
      <c r="P2384" s="3">
        <f>IF(ORIG!P2384=0,"",ORIG!P2384)</f>
        <v/>
      </c>
      <c r="Q2384" s="3">
        <f>IF(ORIG!Q2384=0,"",ORIG!Q2384)</f>
        <v/>
      </c>
      <c r="R2384" s="3">
        <f>IF(ORIG!R2384=0,"",ORIG!R2384)</f>
        <v/>
      </c>
      <c r="S2384" s="3">
        <f>IF(ORIG!S2384=0,"",ORIG!S2384)</f>
        <v/>
      </c>
      <c r="T2384" s="3">
        <f>IF(ORIG!T2384=0,"",ORIG!T2384)</f>
        <v/>
      </c>
      <c r="U2384" s="3">
        <f>IF(ORIG!U2384=0,"",ORIG!U2384)</f>
        <v/>
      </c>
      <c r="V2384" s="9">
        <f>IF(ORIG!V2384=0,"",ORIG!V2384)</f>
        <v/>
      </c>
      <c r="W2384" s="9">
        <f>IF(ORIG!W2384=0,"",ORIG!W2384)</f>
        <v/>
      </c>
      <c r="X2384" s="9">
        <f>IF(ORIG!X2384=0,"",ORIG!X2384)</f>
        <v/>
      </c>
      <c r="Y2384" s="9">
        <f>IF(ORIG!Y2384=0,"",ORIG!Y2384)</f>
        <v/>
      </c>
      <c r="Z2384" s="3">
        <f>SUMPRODUCT($B2384:$Y2384,$B$2649:$Y$2649)</f>
        <v/>
      </c>
      <c r="AA2384" s="3">
        <f>SUMPRODUCT($B2384:$Y2384,$B$2655:$Y$2655)</f>
        <v/>
      </c>
      <c r="AC2384" s="1">
        <f>A2384</f>
        <v/>
      </c>
      <c r="AD2384">
        <f>IF(ISNUMBER(V2384),V2384*($AB$1/V$2635),"")</f>
        <v/>
      </c>
      <c r="AE2384">
        <f>IF(ISNUMBER(Z2384),Z2384*($AB$1/Z$2635),"")</f>
        <v/>
      </c>
      <c r="AF2384" s="25">
        <f>IF(ISNUMBER(AD2384+AE2384),AD2384+AE2384,"")</f>
        <v/>
      </c>
      <c r="AH2384" s="1">
        <f>A2384</f>
        <v/>
      </c>
      <c r="AI2384">
        <f>IF(ISNUMBER((1+V2384)*AI2383),(1+V2384)*AI2383,AI2383)</f>
        <v/>
      </c>
      <c r="AJ2384">
        <f>IF(ISNUMBER((1+Z2384)*AJ2383),(1+Z2384)*AJ2383,AJ2383)</f>
        <v/>
      </c>
    </row>
    <row r="2385">
      <c r="A2385" s="1" t="n">
        <v>45464</v>
      </c>
      <c r="B2385" s="3">
        <f>IF(ORIG!B2385=0,"",ORIG!B2385)</f>
        <v/>
      </c>
      <c r="C2385" s="3">
        <f>IF(ORIG!C2385=0,"",ORIG!C2385)</f>
        <v/>
      </c>
      <c r="D2385" s="3">
        <f>IF(ORIG!D2385=0,"",ORIG!D2385)</f>
        <v/>
      </c>
      <c r="E2385" s="3">
        <f>IF(ORIG!E2385=0,"",ORIG!E2385)</f>
        <v/>
      </c>
      <c r="F2385" s="3">
        <f>IF(ORIG!F2385=0,"",ORIG!F2385)</f>
        <v/>
      </c>
      <c r="G2385" s="3">
        <f>IF(ORIG!G2385=0,"",ORIG!G2385)</f>
        <v/>
      </c>
      <c r="H2385" s="3">
        <f>IF(ORIG!H2385=0,"",ORIG!H2385)</f>
        <v/>
      </c>
      <c r="I2385" s="3">
        <f>IF(ORIG!I2385=0,"",ORIG!I2385)</f>
        <v/>
      </c>
      <c r="J2385" s="3">
        <f>IF(ORIG!J2385=0,"",ORIG!J2385)</f>
        <v/>
      </c>
      <c r="K2385" s="3">
        <f>IF(ORIG!K2385=0,"",ORIG!K2385)</f>
        <v/>
      </c>
      <c r="L2385" s="3">
        <f>IF(ORIG!L2385=0,"",ORIG!L2385)</f>
        <v/>
      </c>
      <c r="M2385" s="3">
        <f>IF(ORIG!M2385=0,"",ORIG!M2385)</f>
        <v/>
      </c>
      <c r="N2385" s="3">
        <f>IF(ORIG!N2385=0,"",ORIG!N2385)</f>
        <v/>
      </c>
      <c r="O2385" s="3">
        <f>IF(ORIG!O2385=0,"",ORIG!O2385)</f>
        <v/>
      </c>
      <c r="P2385" s="3">
        <f>IF(ORIG!P2385=0,"",ORIG!P2385)</f>
        <v/>
      </c>
      <c r="Q2385" s="3">
        <f>IF(ORIG!Q2385=0,"",ORIG!Q2385)</f>
        <v/>
      </c>
      <c r="R2385" s="3">
        <f>IF(ORIG!R2385=0,"",ORIG!R2385)</f>
        <v/>
      </c>
      <c r="S2385" s="3">
        <f>IF(ORIG!S2385=0,"",ORIG!S2385)</f>
        <v/>
      </c>
      <c r="T2385" s="3">
        <f>IF(ORIG!T2385=0,"",ORIG!T2385)</f>
        <v/>
      </c>
      <c r="U2385" s="3">
        <f>IF(ORIG!U2385=0,"",ORIG!U2385)</f>
        <v/>
      </c>
      <c r="V2385" s="9">
        <f>IF(ORIG!V2385=0,"",ORIG!V2385)</f>
        <v/>
      </c>
      <c r="W2385" s="9">
        <f>IF(ORIG!W2385=0,"",ORIG!W2385)</f>
        <v/>
      </c>
      <c r="X2385" s="9">
        <f>IF(ORIG!X2385=0,"",ORIG!X2385)</f>
        <v/>
      </c>
      <c r="Y2385" s="9">
        <f>IF(ORIG!Y2385=0,"",ORIG!Y2385)</f>
        <v/>
      </c>
      <c r="Z2385" s="3">
        <f>SUMPRODUCT($B2385:$Y2385,$B$2649:$Y$2649)</f>
        <v/>
      </c>
      <c r="AA2385" s="3">
        <f>SUMPRODUCT($B2385:$Y2385,$B$2655:$Y$2655)</f>
        <v/>
      </c>
      <c r="AC2385" s="1">
        <f>A2385</f>
        <v/>
      </c>
      <c r="AD2385">
        <f>IF(ISNUMBER(V2385),V2385*($AB$1/V$2635),"")</f>
        <v/>
      </c>
      <c r="AE2385">
        <f>IF(ISNUMBER(Z2385),Z2385*($AB$1/Z$2635),"")</f>
        <v/>
      </c>
      <c r="AF2385" s="25">
        <f>IF(ISNUMBER(AD2385+AE2385),AD2385+AE2385,"")</f>
        <v/>
      </c>
      <c r="AH2385" s="1">
        <f>A2385</f>
        <v/>
      </c>
      <c r="AI2385">
        <f>IF(ISNUMBER((1+V2385)*AI2384),(1+V2385)*AI2384,AI2384)</f>
        <v/>
      </c>
      <c r="AJ2385">
        <f>IF(ISNUMBER((1+Z2385)*AJ2384),(1+Z2385)*AJ2384,AJ2384)</f>
        <v/>
      </c>
    </row>
    <row r="2386">
      <c r="A2386" s="1" t="n">
        <v>45467</v>
      </c>
      <c r="B2386" s="3">
        <f>IF(ORIG!B2386=0,"",ORIG!B2386)</f>
        <v/>
      </c>
      <c r="C2386" s="3">
        <f>IF(ORIG!C2386=0,"",ORIG!C2386)</f>
        <v/>
      </c>
      <c r="D2386" s="3">
        <f>IF(ORIG!D2386=0,"",ORIG!D2386)</f>
        <v/>
      </c>
      <c r="E2386" s="3">
        <f>IF(ORIG!E2386=0,"",ORIG!E2386)</f>
        <v/>
      </c>
      <c r="F2386" s="3">
        <f>IF(ORIG!F2386=0,"",ORIG!F2386)</f>
        <v/>
      </c>
      <c r="G2386" s="3">
        <f>IF(ORIG!G2386=0,"",ORIG!G2386)</f>
        <v/>
      </c>
      <c r="H2386" s="3">
        <f>IF(ORIG!H2386=0,"",ORIG!H2386)</f>
        <v/>
      </c>
      <c r="I2386" s="3">
        <f>IF(ORIG!I2386=0,"",ORIG!I2386)</f>
        <v/>
      </c>
      <c r="J2386" s="3">
        <f>IF(ORIG!J2386=0,"",ORIG!J2386)</f>
        <v/>
      </c>
      <c r="K2386" s="3">
        <f>IF(ORIG!K2386=0,"",ORIG!K2386)</f>
        <v/>
      </c>
      <c r="L2386" s="3">
        <f>IF(ORIG!L2386=0,"",ORIG!L2386)</f>
        <v/>
      </c>
      <c r="M2386" s="3">
        <f>IF(ORIG!M2386=0,"",ORIG!M2386)</f>
        <v/>
      </c>
      <c r="N2386" s="3">
        <f>IF(ORIG!N2386=0,"",ORIG!N2386)</f>
        <v/>
      </c>
      <c r="O2386" s="3">
        <f>IF(ORIG!O2386=0,"",ORIG!O2386)</f>
        <v/>
      </c>
      <c r="P2386" s="3">
        <f>IF(ORIG!P2386=0,"",ORIG!P2386)</f>
        <v/>
      </c>
      <c r="Q2386" s="3">
        <f>IF(ORIG!Q2386=0,"",ORIG!Q2386)</f>
        <v/>
      </c>
      <c r="R2386" s="3">
        <f>IF(ORIG!R2386=0,"",ORIG!R2386)</f>
        <v/>
      </c>
      <c r="S2386" s="3">
        <f>IF(ORIG!S2386=0,"",ORIG!S2386)</f>
        <v/>
      </c>
      <c r="T2386" s="3">
        <f>IF(ORIG!T2386=0,"",ORIG!T2386)</f>
        <v/>
      </c>
      <c r="U2386" s="3">
        <f>IF(ORIG!U2386=0,"",ORIG!U2386)</f>
        <v/>
      </c>
      <c r="V2386" s="9">
        <f>IF(ORIG!V2386=0,"",ORIG!V2386)</f>
        <v/>
      </c>
      <c r="W2386" s="9">
        <f>IF(ORIG!W2386=0,"",ORIG!W2386)</f>
        <v/>
      </c>
      <c r="X2386" s="9">
        <f>IF(ORIG!X2386=0,"",ORIG!X2386)</f>
        <v/>
      </c>
      <c r="Y2386" s="9">
        <f>IF(ORIG!Y2386=0,"",ORIG!Y2386)</f>
        <v/>
      </c>
      <c r="Z2386" s="3">
        <f>SUMPRODUCT($B2386:$Y2386,$B$2649:$Y$2649)</f>
        <v/>
      </c>
      <c r="AA2386" s="3">
        <f>SUMPRODUCT($B2386:$Y2386,$B$2655:$Y$2655)</f>
        <v/>
      </c>
      <c r="AC2386" s="1">
        <f>A2386</f>
        <v/>
      </c>
      <c r="AD2386">
        <f>IF(ISNUMBER(V2386),V2386*($AB$1/V$2635),"")</f>
        <v/>
      </c>
      <c r="AE2386">
        <f>IF(ISNUMBER(Z2386),Z2386*($AB$1/Z$2635),"")</f>
        <v/>
      </c>
      <c r="AF2386" s="25">
        <f>IF(ISNUMBER(AD2386+AE2386),AD2386+AE2386,"")</f>
        <v/>
      </c>
      <c r="AH2386" s="1">
        <f>A2386</f>
        <v/>
      </c>
      <c r="AI2386">
        <f>IF(ISNUMBER((1+V2386)*AI2385),(1+V2386)*AI2385,AI2385)</f>
        <v/>
      </c>
      <c r="AJ2386">
        <f>IF(ISNUMBER((1+Z2386)*AJ2385),(1+Z2386)*AJ2385,AJ2385)</f>
        <v/>
      </c>
    </row>
    <row r="2387">
      <c r="A2387" s="1" t="n">
        <v>45468</v>
      </c>
      <c r="B2387" s="3">
        <f>IF(ORIG!B2387=0,"",ORIG!B2387)</f>
        <v/>
      </c>
      <c r="C2387" s="3">
        <f>IF(ORIG!C2387=0,"",ORIG!C2387)</f>
        <v/>
      </c>
      <c r="D2387" s="3">
        <f>IF(ORIG!D2387=0,"",ORIG!D2387)</f>
        <v/>
      </c>
      <c r="E2387" s="3">
        <f>IF(ORIG!E2387=0,"",ORIG!E2387)</f>
        <v/>
      </c>
      <c r="F2387" s="3">
        <f>IF(ORIG!F2387=0,"",ORIG!F2387)</f>
        <v/>
      </c>
      <c r="G2387" s="3">
        <f>IF(ORIG!G2387=0,"",ORIG!G2387)</f>
        <v/>
      </c>
      <c r="H2387" s="3">
        <f>IF(ORIG!H2387=0,"",ORIG!H2387)</f>
        <v/>
      </c>
      <c r="I2387" s="3">
        <f>IF(ORIG!I2387=0,"",ORIG!I2387)</f>
        <v/>
      </c>
      <c r="J2387" s="3">
        <f>IF(ORIG!J2387=0,"",ORIG!J2387)</f>
        <v/>
      </c>
      <c r="K2387" s="3">
        <f>IF(ORIG!K2387=0,"",ORIG!K2387)</f>
        <v/>
      </c>
      <c r="L2387" s="3">
        <f>IF(ORIG!L2387=0,"",ORIG!L2387)</f>
        <v/>
      </c>
      <c r="M2387" s="3">
        <f>IF(ORIG!M2387=0,"",ORIG!M2387)</f>
        <v/>
      </c>
      <c r="N2387" s="3">
        <f>IF(ORIG!N2387=0,"",ORIG!N2387)</f>
        <v/>
      </c>
      <c r="O2387" s="3">
        <f>IF(ORIG!O2387=0,"",ORIG!O2387)</f>
        <v/>
      </c>
      <c r="P2387" s="3">
        <f>IF(ORIG!P2387=0,"",ORIG!P2387)</f>
        <v/>
      </c>
      <c r="Q2387" s="3">
        <f>IF(ORIG!Q2387=0,"",ORIG!Q2387)</f>
        <v/>
      </c>
      <c r="R2387" s="3">
        <f>IF(ORIG!R2387=0,"",ORIG!R2387)</f>
        <v/>
      </c>
      <c r="S2387" s="3">
        <f>IF(ORIG!S2387=0,"",ORIG!S2387)</f>
        <v/>
      </c>
      <c r="T2387" s="3">
        <f>IF(ORIG!T2387=0,"",ORIG!T2387)</f>
        <v/>
      </c>
      <c r="U2387" s="3">
        <f>IF(ORIG!U2387=0,"",ORIG!U2387)</f>
        <v/>
      </c>
      <c r="V2387" s="9">
        <f>IF(ORIG!V2387=0,"",ORIG!V2387)</f>
        <v/>
      </c>
      <c r="W2387" s="9">
        <f>IF(ORIG!W2387=0,"",ORIG!W2387)</f>
        <v/>
      </c>
      <c r="X2387" s="9">
        <f>IF(ORIG!X2387=0,"",ORIG!X2387)</f>
        <v/>
      </c>
      <c r="Y2387" s="9">
        <f>IF(ORIG!Y2387=0,"",ORIG!Y2387)</f>
        <v/>
      </c>
      <c r="Z2387" s="3">
        <f>SUMPRODUCT($B2387:$Y2387,$B$2649:$Y$2649)</f>
        <v/>
      </c>
      <c r="AA2387" s="3">
        <f>SUMPRODUCT($B2387:$Y2387,$B$2655:$Y$2655)</f>
        <v/>
      </c>
      <c r="AC2387" s="1">
        <f>A2387</f>
        <v/>
      </c>
      <c r="AD2387">
        <f>IF(ISNUMBER(V2387),V2387*($AB$1/V$2635),"")</f>
        <v/>
      </c>
      <c r="AE2387">
        <f>IF(ISNUMBER(Z2387),Z2387*($AB$1/Z$2635),"")</f>
        <v/>
      </c>
      <c r="AF2387" s="25">
        <f>IF(ISNUMBER(AD2387+AE2387),AD2387+AE2387,"")</f>
        <v/>
      </c>
      <c r="AH2387" s="1">
        <f>A2387</f>
        <v/>
      </c>
      <c r="AI2387">
        <f>IF(ISNUMBER((1+V2387)*AI2386),(1+V2387)*AI2386,AI2386)</f>
        <v/>
      </c>
      <c r="AJ2387">
        <f>IF(ISNUMBER((1+Z2387)*AJ2386),(1+Z2387)*AJ2386,AJ2386)</f>
        <v/>
      </c>
    </row>
    <row r="2388">
      <c r="A2388" s="1" t="n">
        <v>45469</v>
      </c>
      <c r="B2388" s="3">
        <f>IF(ORIG!B2388=0,"",ORIG!B2388)</f>
        <v/>
      </c>
      <c r="C2388" s="3">
        <f>IF(ORIG!C2388=0,"",ORIG!C2388)</f>
        <v/>
      </c>
      <c r="D2388" s="3">
        <f>IF(ORIG!D2388=0,"",ORIG!D2388)</f>
        <v/>
      </c>
      <c r="E2388" s="3">
        <f>IF(ORIG!E2388=0,"",ORIG!E2388)</f>
        <v/>
      </c>
      <c r="F2388" s="3">
        <f>IF(ORIG!F2388=0,"",ORIG!F2388)</f>
        <v/>
      </c>
      <c r="G2388" s="3">
        <f>IF(ORIG!G2388=0,"",ORIG!G2388)</f>
        <v/>
      </c>
      <c r="H2388" s="3">
        <f>IF(ORIG!H2388=0,"",ORIG!H2388)</f>
        <v/>
      </c>
      <c r="I2388" s="3">
        <f>IF(ORIG!I2388=0,"",ORIG!I2388)</f>
        <v/>
      </c>
      <c r="J2388" s="3">
        <f>IF(ORIG!J2388=0,"",ORIG!J2388)</f>
        <v/>
      </c>
      <c r="K2388" s="3">
        <f>IF(ORIG!K2388=0,"",ORIG!K2388)</f>
        <v/>
      </c>
      <c r="L2388" s="3">
        <f>IF(ORIG!L2388=0,"",ORIG!L2388)</f>
        <v/>
      </c>
      <c r="M2388" s="3">
        <f>IF(ORIG!M2388=0,"",ORIG!M2388)</f>
        <v/>
      </c>
      <c r="N2388" s="3">
        <f>IF(ORIG!N2388=0,"",ORIG!N2388)</f>
        <v/>
      </c>
      <c r="O2388" s="3">
        <f>IF(ORIG!O2388=0,"",ORIG!O2388)</f>
        <v/>
      </c>
      <c r="P2388" s="3">
        <f>IF(ORIG!P2388=0,"",ORIG!P2388)</f>
        <v/>
      </c>
      <c r="Q2388" s="3">
        <f>IF(ORIG!Q2388=0,"",ORIG!Q2388)</f>
        <v/>
      </c>
      <c r="R2388" s="3">
        <f>IF(ORIG!R2388=0,"",ORIG!R2388)</f>
        <v/>
      </c>
      <c r="S2388" s="3">
        <f>IF(ORIG!S2388=0,"",ORIG!S2388)</f>
        <v/>
      </c>
      <c r="T2388" s="3">
        <f>IF(ORIG!T2388=0,"",ORIG!T2388)</f>
        <v/>
      </c>
      <c r="U2388" s="3">
        <f>IF(ORIG!U2388=0,"",ORIG!U2388)</f>
        <v/>
      </c>
      <c r="V2388" s="9">
        <f>IF(ORIG!V2388=0,"",ORIG!V2388)</f>
        <v/>
      </c>
      <c r="W2388" s="9">
        <f>IF(ORIG!W2388=0,"",ORIG!W2388)</f>
        <v/>
      </c>
      <c r="X2388" s="9">
        <f>IF(ORIG!X2388=0,"",ORIG!X2388)</f>
        <v/>
      </c>
      <c r="Y2388" s="9">
        <f>IF(ORIG!Y2388=0,"",ORIG!Y2388)</f>
        <v/>
      </c>
      <c r="Z2388" s="3">
        <f>SUMPRODUCT($B2388:$Y2388,$B$2649:$Y$2649)</f>
        <v/>
      </c>
      <c r="AA2388" s="3">
        <f>SUMPRODUCT($B2388:$Y2388,$B$2655:$Y$2655)</f>
        <v/>
      </c>
      <c r="AC2388" s="1">
        <f>A2388</f>
        <v/>
      </c>
      <c r="AD2388">
        <f>IF(ISNUMBER(V2388),V2388*($AB$1/V$2635),"")</f>
        <v/>
      </c>
      <c r="AE2388">
        <f>IF(ISNUMBER(Z2388),Z2388*($AB$1/Z$2635),"")</f>
        <v/>
      </c>
      <c r="AF2388" s="25">
        <f>IF(ISNUMBER(AD2388+AE2388),AD2388+AE2388,"")</f>
        <v/>
      </c>
      <c r="AH2388" s="1">
        <f>A2388</f>
        <v/>
      </c>
      <c r="AI2388">
        <f>IF(ISNUMBER((1+V2388)*AI2387),(1+V2388)*AI2387,AI2387)</f>
        <v/>
      </c>
      <c r="AJ2388">
        <f>IF(ISNUMBER((1+Z2388)*AJ2387),(1+Z2388)*AJ2387,AJ2387)</f>
        <v/>
      </c>
    </row>
    <row r="2389">
      <c r="A2389" s="1" t="n">
        <v>45470</v>
      </c>
      <c r="B2389" s="3">
        <f>IF(ORIG!B2389=0,"",ORIG!B2389)</f>
        <v/>
      </c>
      <c r="C2389" s="3">
        <f>IF(ORIG!C2389=0,"",ORIG!C2389)</f>
        <v/>
      </c>
      <c r="D2389" s="3">
        <f>IF(ORIG!D2389=0,"",ORIG!D2389)</f>
        <v/>
      </c>
      <c r="E2389" s="3">
        <f>IF(ORIG!E2389=0,"",ORIG!E2389)</f>
        <v/>
      </c>
      <c r="F2389" s="3">
        <f>IF(ORIG!F2389=0,"",ORIG!F2389)</f>
        <v/>
      </c>
      <c r="G2389" s="3">
        <f>IF(ORIG!G2389=0,"",ORIG!G2389)</f>
        <v/>
      </c>
      <c r="H2389" s="3">
        <f>IF(ORIG!H2389=0,"",ORIG!H2389)</f>
        <v/>
      </c>
      <c r="I2389" s="3">
        <f>IF(ORIG!I2389=0,"",ORIG!I2389)</f>
        <v/>
      </c>
      <c r="J2389" s="3">
        <f>IF(ORIG!J2389=0,"",ORIG!J2389)</f>
        <v/>
      </c>
      <c r="K2389" s="3">
        <f>IF(ORIG!K2389=0,"",ORIG!K2389)</f>
        <v/>
      </c>
      <c r="L2389" s="3">
        <f>IF(ORIG!L2389=0,"",ORIG!L2389)</f>
        <v/>
      </c>
      <c r="M2389" s="3">
        <f>IF(ORIG!M2389=0,"",ORIG!M2389)</f>
        <v/>
      </c>
      <c r="N2389" s="3">
        <f>IF(ORIG!N2389=0,"",ORIG!N2389)</f>
        <v/>
      </c>
      <c r="O2389" s="3">
        <f>IF(ORIG!O2389=0,"",ORIG!O2389)</f>
        <v/>
      </c>
      <c r="P2389" s="3">
        <f>IF(ORIG!P2389=0,"",ORIG!P2389)</f>
        <v/>
      </c>
      <c r="Q2389" s="3">
        <f>IF(ORIG!Q2389=0,"",ORIG!Q2389)</f>
        <v/>
      </c>
      <c r="R2389" s="3">
        <f>IF(ORIG!R2389=0,"",ORIG!R2389)</f>
        <v/>
      </c>
      <c r="S2389" s="3">
        <f>IF(ORIG!S2389=0,"",ORIG!S2389)</f>
        <v/>
      </c>
      <c r="T2389" s="3">
        <f>IF(ORIG!T2389=0,"",ORIG!T2389)</f>
        <v/>
      </c>
      <c r="U2389" s="3">
        <f>IF(ORIG!U2389=0,"",ORIG!U2389)</f>
        <v/>
      </c>
      <c r="V2389" s="9">
        <f>IF(ORIG!V2389=0,"",ORIG!V2389)</f>
        <v/>
      </c>
      <c r="W2389" s="9">
        <f>IF(ORIG!W2389=0,"",ORIG!W2389)</f>
        <v/>
      </c>
      <c r="X2389" s="9">
        <f>IF(ORIG!X2389=0,"",ORIG!X2389)</f>
        <v/>
      </c>
      <c r="Y2389" s="9">
        <f>IF(ORIG!Y2389=0,"",ORIG!Y2389)</f>
        <v/>
      </c>
      <c r="Z2389" s="3">
        <f>SUMPRODUCT($B2389:$Y2389,$B$2649:$Y$2649)</f>
        <v/>
      </c>
      <c r="AA2389" s="3">
        <f>SUMPRODUCT($B2389:$Y2389,$B$2655:$Y$2655)</f>
        <v/>
      </c>
      <c r="AC2389" s="1">
        <f>A2389</f>
        <v/>
      </c>
      <c r="AD2389">
        <f>IF(ISNUMBER(V2389),V2389*($AB$1/V$2635),"")</f>
        <v/>
      </c>
      <c r="AE2389">
        <f>IF(ISNUMBER(Z2389),Z2389*($AB$1/Z$2635),"")</f>
        <v/>
      </c>
      <c r="AF2389" s="25">
        <f>IF(ISNUMBER(AD2389+AE2389),AD2389+AE2389,"")</f>
        <v/>
      </c>
      <c r="AH2389" s="1">
        <f>A2389</f>
        <v/>
      </c>
      <c r="AI2389">
        <f>IF(ISNUMBER((1+V2389)*AI2388),(1+V2389)*AI2388,AI2388)</f>
        <v/>
      </c>
      <c r="AJ2389">
        <f>IF(ISNUMBER((1+Z2389)*AJ2388),(1+Z2389)*AJ2388,AJ2388)</f>
        <v/>
      </c>
    </row>
    <row r="2390">
      <c r="A2390" s="1" t="n">
        <v>45471</v>
      </c>
      <c r="B2390" s="3">
        <f>IF(ORIG!B2390=0,"",ORIG!B2390)</f>
        <v/>
      </c>
      <c r="C2390" s="3">
        <f>IF(ORIG!C2390=0,"",ORIG!C2390)</f>
        <v/>
      </c>
      <c r="D2390" s="3">
        <f>IF(ORIG!D2390=0,"",ORIG!D2390)</f>
        <v/>
      </c>
      <c r="E2390" s="3">
        <f>IF(ORIG!E2390=0,"",ORIG!E2390)</f>
        <v/>
      </c>
      <c r="F2390" s="3">
        <f>IF(ORIG!F2390=0,"",ORIG!F2390)</f>
        <v/>
      </c>
      <c r="G2390" s="3">
        <f>IF(ORIG!G2390=0,"",ORIG!G2390)</f>
        <v/>
      </c>
      <c r="H2390" s="3">
        <f>IF(ORIG!H2390=0,"",ORIG!H2390)</f>
        <v/>
      </c>
      <c r="I2390" s="3">
        <f>IF(ORIG!I2390=0,"",ORIG!I2390)</f>
        <v/>
      </c>
      <c r="J2390" s="3">
        <f>IF(ORIG!J2390=0,"",ORIG!J2390)</f>
        <v/>
      </c>
      <c r="K2390" s="3">
        <f>IF(ORIG!K2390=0,"",ORIG!K2390)</f>
        <v/>
      </c>
      <c r="L2390" s="3">
        <f>IF(ORIG!L2390=0,"",ORIG!L2390)</f>
        <v/>
      </c>
      <c r="M2390" s="3">
        <f>IF(ORIG!M2390=0,"",ORIG!M2390)</f>
        <v/>
      </c>
      <c r="N2390" s="3">
        <f>IF(ORIG!N2390=0,"",ORIG!N2390)</f>
        <v/>
      </c>
      <c r="O2390" s="3">
        <f>IF(ORIG!O2390=0,"",ORIG!O2390)</f>
        <v/>
      </c>
      <c r="P2390" s="3">
        <f>IF(ORIG!P2390=0,"",ORIG!P2390)</f>
        <v/>
      </c>
      <c r="Q2390" s="3">
        <f>IF(ORIG!Q2390=0,"",ORIG!Q2390)</f>
        <v/>
      </c>
      <c r="R2390" s="3">
        <f>IF(ORIG!R2390=0,"",ORIG!R2390)</f>
        <v/>
      </c>
      <c r="S2390" s="3">
        <f>IF(ORIG!S2390=0,"",ORIG!S2390)</f>
        <v/>
      </c>
      <c r="T2390" s="3">
        <f>IF(ORIG!T2390=0,"",ORIG!T2390)</f>
        <v/>
      </c>
      <c r="U2390" s="3">
        <f>IF(ORIG!U2390=0,"",ORIG!U2390)</f>
        <v/>
      </c>
      <c r="V2390" s="9">
        <f>IF(ORIG!V2390=0,"",ORIG!V2390)</f>
        <v/>
      </c>
      <c r="W2390" s="9">
        <f>IF(ORIG!W2390=0,"",ORIG!W2390)</f>
        <v/>
      </c>
      <c r="X2390" s="9">
        <f>IF(ORIG!X2390=0,"",ORIG!X2390)</f>
        <v/>
      </c>
      <c r="Y2390" s="9">
        <f>IF(ORIG!Y2390=0,"",ORIG!Y2390)</f>
        <v/>
      </c>
      <c r="Z2390" s="3">
        <f>SUMPRODUCT($B2390:$Y2390,$B$2649:$Y$2649)</f>
        <v/>
      </c>
      <c r="AA2390" s="3">
        <f>SUMPRODUCT($B2390:$Y2390,$B$2655:$Y$2655)</f>
        <v/>
      </c>
      <c r="AC2390" s="1">
        <f>A2390</f>
        <v/>
      </c>
      <c r="AD2390">
        <f>IF(ISNUMBER(V2390),V2390*($AB$1/V$2635),"")</f>
        <v/>
      </c>
      <c r="AE2390">
        <f>IF(ISNUMBER(Z2390),Z2390*($AB$1/Z$2635),"")</f>
        <v/>
      </c>
      <c r="AF2390" s="25">
        <f>IF(ISNUMBER(AD2390+AE2390),AD2390+AE2390,"")</f>
        <v/>
      </c>
      <c r="AH2390" s="1">
        <f>A2390</f>
        <v/>
      </c>
      <c r="AI2390">
        <f>IF(ISNUMBER((1+V2390)*AI2389),(1+V2390)*AI2389,AI2389)</f>
        <v/>
      </c>
      <c r="AJ2390">
        <f>IF(ISNUMBER((1+Z2390)*AJ2389),(1+Z2390)*AJ2389,AJ2389)</f>
        <v/>
      </c>
    </row>
    <row r="2391">
      <c r="A2391" s="1" t="n">
        <v>45474</v>
      </c>
      <c r="B2391" s="3">
        <f>IF(ORIG!B2391=0,"",ORIG!B2391)</f>
        <v/>
      </c>
      <c r="C2391" s="3">
        <f>IF(ORIG!C2391=0,"",ORIG!C2391)</f>
        <v/>
      </c>
      <c r="D2391" s="3">
        <f>IF(ORIG!D2391=0,"",ORIG!D2391)</f>
        <v/>
      </c>
      <c r="E2391" s="3">
        <f>IF(ORIG!E2391=0,"",ORIG!E2391)</f>
        <v/>
      </c>
      <c r="F2391" s="3">
        <f>IF(ORIG!F2391=0,"",ORIG!F2391)</f>
        <v/>
      </c>
      <c r="G2391" s="3">
        <f>IF(ORIG!G2391=0,"",ORIG!G2391)</f>
        <v/>
      </c>
      <c r="H2391" s="3">
        <f>IF(ORIG!H2391=0,"",ORIG!H2391)</f>
        <v/>
      </c>
      <c r="I2391" s="3">
        <f>IF(ORIG!I2391=0,"",ORIG!I2391)</f>
        <v/>
      </c>
      <c r="J2391" s="3">
        <f>IF(ORIG!J2391=0,"",ORIG!J2391)</f>
        <v/>
      </c>
      <c r="K2391" s="3">
        <f>IF(ORIG!K2391=0,"",ORIG!K2391)</f>
        <v/>
      </c>
      <c r="L2391" s="3">
        <f>IF(ORIG!L2391=0,"",ORIG!L2391)</f>
        <v/>
      </c>
      <c r="M2391" s="3">
        <f>IF(ORIG!M2391=0,"",ORIG!M2391)</f>
        <v/>
      </c>
      <c r="N2391" s="3">
        <f>IF(ORIG!N2391=0,"",ORIG!N2391)</f>
        <v/>
      </c>
      <c r="O2391" s="3">
        <f>IF(ORIG!O2391=0,"",ORIG!O2391)</f>
        <v/>
      </c>
      <c r="P2391" s="3">
        <f>IF(ORIG!P2391=0,"",ORIG!P2391)</f>
        <v/>
      </c>
      <c r="Q2391" s="3">
        <f>IF(ORIG!Q2391=0,"",ORIG!Q2391)</f>
        <v/>
      </c>
      <c r="R2391" s="3">
        <f>IF(ORIG!R2391=0,"",ORIG!R2391)</f>
        <v/>
      </c>
      <c r="S2391" s="3">
        <f>IF(ORIG!S2391=0,"",ORIG!S2391)</f>
        <v/>
      </c>
      <c r="T2391" s="3">
        <f>IF(ORIG!T2391=0,"",ORIG!T2391)</f>
        <v/>
      </c>
      <c r="U2391" s="3">
        <f>IF(ORIG!U2391=0,"",ORIG!U2391)</f>
        <v/>
      </c>
      <c r="V2391" s="9">
        <f>IF(ORIG!V2391=0,"",ORIG!V2391)</f>
        <v/>
      </c>
      <c r="W2391" s="9">
        <f>IF(ORIG!W2391=0,"",ORIG!W2391)</f>
        <v/>
      </c>
      <c r="X2391" s="9">
        <f>IF(ORIG!X2391=0,"",ORIG!X2391)</f>
        <v/>
      </c>
      <c r="Y2391" s="9">
        <f>IF(ORIG!Y2391=0,"",ORIG!Y2391)</f>
        <v/>
      </c>
      <c r="Z2391" s="3">
        <f>SUMPRODUCT($B2391:$Y2391,$B$2649:$Y$2649)</f>
        <v/>
      </c>
      <c r="AA2391" s="3">
        <f>SUMPRODUCT($B2391:$Y2391,$B$2655:$Y$2655)</f>
        <v/>
      </c>
      <c r="AC2391" s="1">
        <f>A2391</f>
        <v/>
      </c>
      <c r="AD2391">
        <f>IF(ISNUMBER(V2391),V2391*($AB$1/V$2635),"")</f>
        <v/>
      </c>
      <c r="AE2391">
        <f>IF(ISNUMBER(Z2391),Z2391*($AB$1/Z$2635),"")</f>
        <v/>
      </c>
      <c r="AF2391" s="25">
        <f>IF(ISNUMBER(AD2391+AE2391),AD2391+AE2391,"")</f>
        <v/>
      </c>
      <c r="AH2391" s="1">
        <f>A2391</f>
        <v/>
      </c>
      <c r="AI2391">
        <f>IF(ISNUMBER((1+V2391)*AI2390),(1+V2391)*AI2390,AI2390)</f>
        <v/>
      </c>
      <c r="AJ2391">
        <f>IF(ISNUMBER((1+Z2391)*AJ2390),(1+Z2391)*AJ2390,AJ2390)</f>
        <v/>
      </c>
    </row>
    <row r="2392">
      <c r="A2392" s="1" t="n">
        <v>45475</v>
      </c>
      <c r="B2392" s="3">
        <f>IF(ORIG!B2392=0,"",ORIG!B2392)</f>
        <v/>
      </c>
      <c r="C2392" s="3">
        <f>IF(ORIG!C2392=0,"",ORIG!C2392)</f>
        <v/>
      </c>
      <c r="D2392" s="3">
        <f>IF(ORIG!D2392=0,"",ORIG!D2392)</f>
        <v/>
      </c>
      <c r="E2392" s="3">
        <f>IF(ORIG!E2392=0,"",ORIG!E2392)</f>
        <v/>
      </c>
      <c r="F2392" s="3">
        <f>IF(ORIG!F2392=0,"",ORIG!F2392)</f>
        <v/>
      </c>
      <c r="G2392" s="3">
        <f>IF(ORIG!G2392=0,"",ORIG!G2392)</f>
        <v/>
      </c>
      <c r="H2392" s="3">
        <f>IF(ORIG!H2392=0,"",ORIG!H2392)</f>
        <v/>
      </c>
      <c r="I2392" s="3">
        <f>IF(ORIG!I2392=0,"",ORIG!I2392)</f>
        <v/>
      </c>
      <c r="J2392" s="3">
        <f>IF(ORIG!J2392=0,"",ORIG!J2392)</f>
        <v/>
      </c>
      <c r="K2392" s="3">
        <f>IF(ORIG!K2392=0,"",ORIG!K2392)</f>
        <v/>
      </c>
      <c r="L2392" s="3">
        <f>IF(ORIG!L2392=0,"",ORIG!L2392)</f>
        <v/>
      </c>
      <c r="M2392" s="3">
        <f>IF(ORIG!M2392=0,"",ORIG!M2392)</f>
        <v/>
      </c>
      <c r="N2392" s="3">
        <f>IF(ORIG!N2392=0,"",ORIG!N2392)</f>
        <v/>
      </c>
      <c r="O2392" s="3">
        <f>IF(ORIG!O2392=0,"",ORIG!O2392)</f>
        <v/>
      </c>
      <c r="P2392" s="3">
        <f>IF(ORIG!P2392=0,"",ORIG!P2392)</f>
        <v/>
      </c>
      <c r="Q2392" s="3">
        <f>IF(ORIG!Q2392=0,"",ORIG!Q2392)</f>
        <v/>
      </c>
      <c r="R2392" s="3">
        <f>IF(ORIG!R2392=0,"",ORIG!R2392)</f>
        <v/>
      </c>
      <c r="S2392" s="3">
        <f>IF(ORIG!S2392=0,"",ORIG!S2392)</f>
        <v/>
      </c>
      <c r="T2392" s="3">
        <f>IF(ORIG!T2392=0,"",ORIG!T2392)</f>
        <v/>
      </c>
      <c r="U2392" s="3">
        <f>IF(ORIG!U2392=0,"",ORIG!U2392)</f>
        <v/>
      </c>
      <c r="V2392" s="9">
        <f>IF(ORIG!V2392=0,"",ORIG!V2392)</f>
        <v/>
      </c>
      <c r="W2392" s="9">
        <f>IF(ORIG!W2392=0,"",ORIG!W2392)</f>
        <v/>
      </c>
      <c r="X2392" s="9">
        <f>IF(ORIG!X2392=0,"",ORIG!X2392)</f>
        <v/>
      </c>
      <c r="Y2392" s="9">
        <f>IF(ORIG!Y2392=0,"",ORIG!Y2392)</f>
        <v/>
      </c>
      <c r="Z2392" s="3">
        <f>SUMPRODUCT($B2392:$Y2392,$B$2649:$Y$2649)</f>
        <v/>
      </c>
      <c r="AA2392" s="3">
        <f>SUMPRODUCT($B2392:$Y2392,$B$2655:$Y$2655)</f>
        <v/>
      </c>
      <c r="AC2392" s="1">
        <f>A2392</f>
        <v/>
      </c>
      <c r="AD2392">
        <f>IF(ISNUMBER(V2392),V2392*($AB$1/V$2635),"")</f>
        <v/>
      </c>
      <c r="AE2392">
        <f>IF(ISNUMBER(Z2392),Z2392*($AB$1/Z$2635),"")</f>
        <v/>
      </c>
      <c r="AF2392" s="25">
        <f>IF(ISNUMBER(AD2392+AE2392),AD2392+AE2392,"")</f>
        <v/>
      </c>
      <c r="AH2392" s="1">
        <f>A2392</f>
        <v/>
      </c>
      <c r="AI2392">
        <f>IF(ISNUMBER((1+V2392)*AI2391),(1+V2392)*AI2391,AI2391)</f>
        <v/>
      </c>
      <c r="AJ2392">
        <f>IF(ISNUMBER((1+Z2392)*AJ2391),(1+Z2392)*AJ2391,AJ2391)</f>
        <v/>
      </c>
    </row>
    <row r="2393">
      <c r="A2393" s="1" t="n">
        <v>45476</v>
      </c>
      <c r="B2393" s="3">
        <f>IF(ORIG!B2393=0,"",ORIG!B2393)</f>
        <v/>
      </c>
      <c r="C2393" s="3">
        <f>IF(ORIG!C2393=0,"",ORIG!C2393)</f>
        <v/>
      </c>
      <c r="D2393" s="3">
        <f>IF(ORIG!D2393=0,"",ORIG!D2393)</f>
        <v/>
      </c>
      <c r="E2393" s="3">
        <f>IF(ORIG!E2393=0,"",ORIG!E2393)</f>
        <v/>
      </c>
      <c r="F2393" s="3">
        <f>IF(ORIG!F2393=0,"",ORIG!F2393)</f>
        <v/>
      </c>
      <c r="G2393" s="3">
        <f>IF(ORIG!G2393=0,"",ORIG!G2393)</f>
        <v/>
      </c>
      <c r="H2393" s="3">
        <f>IF(ORIG!H2393=0,"",ORIG!H2393)</f>
        <v/>
      </c>
      <c r="I2393" s="3">
        <f>IF(ORIG!I2393=0,"",ORIG!I2393)</f>
        <v/>
      </c>
      <c r="J2393" s="3">
        <f>IF(ORIG!J2393=0,"",ORIG!J2393)</f>
        <v/>
      </c>
      <c r="K2393" s="3">
        <f>IF(ORIG!K2393=0,"",ORIG!K2393)</f>
        <v/>
      </c>
      <c r="L2393" s="3">
        <f>IF(ORIG!L2393=0,"",ORIG!L2393)</f>
        <v/>
      </c>
      <c r="M2393" s="3">
        <f>IF(ORIG!M2393=0,"",ORIG!M2393)</f>
        <v/>
      </c>
      <c r="N2393" s="3">
        <f>IF(ORIG!N2393=0,"",ORIG!N2393)</f>
        <v/>
      </c>
      <c r="O2393" s="3">
        <f>IF(ORIG!O2393=0,"",ORIG!O2393)</f>
        <v/>
      </c>
      <c r="P2393" s="3">
        <f>IF(ORIG!P2393=0,"",ORIG!P2393)</f>
        <v/>
      </c>
      <c r="Q2393" s="3">
        <f>IF(ORIG!Q2393=0,"",ORIG!Q2393)</f>
        <v/>
      </c>
      <c r="R2393" s="3">
        <f>IF(ORIG!R2393=0,"",ORIG!R2393)</f>
        <v/>
      </c>
      <c r="S2393" s="3">
        <f>IF(ORIG!S2393=0,"",ORIG!S2393)</f>
        <v/>
      </c>
      <c r="T2393" s="3">
        <f>IF(ORIG!T2393=0,"",ORIG!T2393)</f>
        <v/>
      </c>
      <c r="U2393" s="3">
        <f>IF(ORIG!U2393=0,"",ORIG!U2393)</f>
        <v/>
      </c>
      <c r="V2393" s="9">
        <f>IF(ORIG!V2393=0,"",ORIG!V2393)</f>
        <v/>
      </c>
      <c r="W2393" s="9">
        <f>IF(ORIG!W2393=0,"",ORIG!W2393)</f>
        <v/>
      </c>
      <c r="X2393" s="9">
        <f>IF(ORIG!X2393=0,"",ORIG!X2393)</f>
        <v/>
      </c>
      <c r="Y2393" s="9">
        <f>IF(ORIG!Y2393=0,"",ORIG!Y2393)</f>
        <v/>
      </c>
      <c r="Z2393" s="3">
        <f>SUMPRODUCT($B2393:$Y2393,$B$2649:$Y$2649)</f>
        <v/>
      </c>
      <c r="AA2393" s="3">
        <f>SUMPRODUCT($B2393:$Y2393,$B$2655:$Y$2655)</f>
        <v/>
      </c>
      <c r="AC2393" s="1">
        <f>A2393</f>
        <v/>
      </c>
      <c r="AD2393">
        <f>IF(ISNUMBER(V2393),V2393*($AB$1/V$2635),"")</f>
        <v/>
      </c>
      <c r="AE2393">
        <f>IF(ISNUMBER(Z2393),Z2393*($AB$1/Z$2635),"")</f>
        <v/>
      </c>
      <c r="AF2393" s="25">
        <f>IF(ISNUMBER(AD2393+AE2393),AD2393+AE2393,"")</f>
        <v/>
      </c>
      <c r="AH2393" s="1">
        <f>A2393</f>
        <v/>
      </c>
      <c r="AI2393">
        <f>IF(ISNUMBER((1+V2393)*AI2392),(1+V2393)*AI2392,AI2392)</f>
        <v/>
      </c>
      <c r="AJ2393">
        <f>IF(ISNUMBER((1+Z2393)*AJ2392),(1+Z2393)*AJ2392,AJ2392)</f>
        <v/>
      </c>
    </row>
    <row r="2394">
      <c r="A2394" s="1" t="n">
        <v>45478</v>
      </c>
      <c r="B2394" s="3">
        <f>IF(ORIG!B2394=0,"",ORIG!B2394)</f>
        <v/>
      </c>
      <c r="C2394" s="3">
        <f>IF(ORIG!C2394=0,"",ORIG!C2394)</f>
        <v/>
      </c>
      <c r="D2394" s="3">
        <f>IF(ORIG!D2394=0,"",ORIG!D2394)</f>
        <v/>
      </c>
      <c r="E2394" s="3">
        <f>IF(ORIG!E2394=0,"",ORIG!E2394)</f>
        <v/>
      </c>
      <c r="F2394" s="3">
        <f>IF(ORIG!F2394=0,"",ORIG!F2394)</f>
        <v/>
      </c>
      <c r="G2394" s="3">
        <f>IF(ORIG!G2394=0,"",ORIG!G2394)</f>
        <v/>
      </c>
      <c r="H2394" s="3">
        <f>IF(ORIG!H2394=0,"",ORIG!H2394)</f>
        <v/>
      </c>
      <c r="I2394" s="3">
        <f>IF(ORIG!I2394=0,"",ORIG!I2394)</f>
        <v/>
      </c>
      <c r="J2394" s="3">
        <f>IF(ORIG!J2394=0,"",ORIG!J2394)</f>
        <v/>
      </c>
      <c r="K2394" s="3">
        <f>IF(ORIG!K2394=0,"",ORIG!K2394)</f>
        <v/>
      </c>
      <c r="L2394" s="3">
        <f>IF(ORIG!L2394=0,"",ORIG!L2394)</f>
        <v/>
      </c>
      <c r="M2394" s="3">
        <f>IF(ORIG!M2394=0,"",ORIG!M2394)</f>
        <v/>
      </c>
      <c r="N2394" s="3">
        <f>IF(ORIG!N2394=0,"",ORIG!N2394)</f>
        <v/>
      </c>
      <c r="O2394" s="3">
        <f>IF(ORIG!O2394=0,"",ORIG!O2394)</f>
        <v/>
      </c>
      <c r="P2394" s="3">
        <f>IF(ORIG!P2394=0,"",ORIG!P2394)</f>
        <v/>
      </c>
      <c r="Q2394" s="3">
        <f>IF(ORIG!Q2394=0,"",ORIG!Q2394)</f>
        <v/>
      </c>
      <c r="R2394" s="3">
        <f>IF(ORIG!R2394=0,"",ORIG!R2394)</f>
        <v/>
      </c>
      <c r="S2394" s="3">
        <f>IF(ORIG!S2394=0,"",ORIG!S2394)</f>
        <v/>
      </c>
      <c r="T2394" s="3">
        <f>IF(ORIG!T2394=0,"",ORIG!T2394)</f>
        <v/>
      </c>
      <c r="U2394" s="3">
        <f>IF(ORIG!U2394=0,"",ORIG!U2394)</f>
        <v/>
      </c>
      <c r="V2394" s="9">
        <f>IF(ORIG!V2394=0,"",ORIG!V2394)</f>
        <v/>
      </c>
      <c r="W2394" s="9">
        <f>IF(ORIG!W2394=0,"",ORIG!W2394)</f>
        <v/>
      </c>
      <c r="X2394" s="9">
        <f>IF(ORIG!X2394=0,"",ORIG!X2394)</f>
        <v/>
      </c>
      <c r="Y2394" s="9">
        <f>IF(ORIG!Y2394=0,"",ORIG!Y2394)</f>
        <v/>
      </c>
      <c r="Z2394" s="3">
        <f>SUMPRODUCT($B2394:$Y2394,$B$2649:$Y$2649)</f>
        <v/>
      </c>
      <c r="AA2394" s="3">
        <f>SUMPRODUCT($B2394:$Y2394,$B$2655:$Y$2655)</f>
        <v/>
      </c>
      <c r="AC2394" s="1">
        <f>A2394</f>
        <v/>
      </c>
      <c r="AD2394">
        <f>IF(ISNUMBER(V2394),V2394*($AB$1/V$2635),"")</f>
        <v/>
      </c>
      <c r="AE2394">
        <f>IF(ISNUMBER(Z2394),Z2394*($AB$1/Z$2635),"")</f>
        <v/>
      </c>
      <c r="AF2394" s="25">
        <f>IF(ISNUMBER(AD2394+AE2394),AD2394+AE2394,"")</f>
        <v/>
      </c>
      <c r="AH2394" s="1">
        <f>A2394</f>
        <v/>
      </c>
      <c r="AI2394">
        <f>IF(ISNUMBER((1+V2394)*AI2393),(1+V2394)*AI2393,AI2393)</f>
        <v/>
      </c>
      <c r="AJ2394">
        <f>IF(ISNUMBER((1+Z2394)*AJ2393),(1+Z2394)*AJ2393,AJ2393)</f>
        <v/>
      </c>
    </row>
    <row r="2395">
      <c r="A2395" s="1" t="n">
        <v>45481</v>
      </c>
      <c r="B2395" s="3">
        <f>IF(ORIG!B2395=0,"",ORIG!B2395)</f>
        <v/>
      </c>
      <c r="C2395" s="3">
        <f>IF(ORIG!C2395=0,"",ORIG!C2395)</f>
        <v/>
      </c>
      <c r="D2395" s="3">
        <f>IF(ORIG!D2395=0,"",ORIG!D2395)</f>
        <v/>
      </c>
      <c r="E2395" s="3">
        <f>IF(ORIG!E2395=0,"",ORIG!E2395)</f>
        <v/>
      </c>
      <c r="F2395" s="3">
        <f>IF(ORIG!F2395=0,"",ORIG!F2395)</f>
        <v/>
      </c>
      <c r="G2395" s="3">
        <f>IF(ORIG!G2395=0,"",ORIG!G2395)</f>
        <v/>
      </c>
      <c r="H2395" s="3">
        <f>IF(ORIG!H2395=0,"",ORIG!H2395)</f>
        <v/>
      </c>
      <c r="I2395" s="3">
        <f>IF(ORIG!I2395=0,"",ORIG!I2395)</f>
        <v/>
      </c>
      <c r="J2395" s="3">
        <f>IF(ORIG!J2395=0,"",ORIG!J2395)</f>
        <v/>
      </c>
      <c r="K2395" s="3">
        <f>IF(ORIG!K2395=0,"",ORIG!K2395)</f>
        <v/>
      </c>
      <c r="L2395" s="3">
        <f>IF(ORIG!L2395=0,"",ORIG!L2395)</f>
        <v/>
      </c>
      <c r="M2395" s="3">
        <f>IF(ORIG!M2395=0,"",ORIG!M2395)</f>
        <v/>
      </c>
      <c r="N2395" s="3">
        <f>IF(ORIG!N2395=0,"",ORIG!N2395)</f>
        <v/>
      </c>
      <c r="O2395" s="3">
        <f>IF(ORIG!O2395=0,"",ORIG!O2395)</f>
        <v/>
      </c>
      <c r="P2395" s="3">
        <f>IF(ORIG!P2395=0,"",ORIG!P2395)</f>
        <v/>
      </c>
      <c r="Q2395" s="3">
        <f>IF(ORIG!Q2395=0,"",ORIG!Q2395)</f>
        <v/>
      </c>
      <c r="R2395" s="3">
        <f>IF(ORIG!R2395=0,"",ORIG!R2395)</f>
        <v/>
      </c>
      <c r="S2395" s="3">
        <f>IF(ORIG!S2395=0,"",ORIG!S2395)</f>
        <v/>
      </c>
      <c r="T2395" s="3">
        <f>IF(ORIG!T2395=0,"",ORIG!T2395)</f>
        <v/>
      </c>
      <c r="U2395" s="3">
        <f>IF(ORIG!U2395=0,"",ORIG!U2395)</f>
        <v/>
      </c>
      <c r="V2395" s="9">
        <f>IF(ORIG!V2395=0,"",ORIG!V2395)</f>
        <v/>
      </c>
      <c r="W2395" s="9">
        <f>IF(ORIG!W2395=0,"",ORIG!W2395)</f>
        <v/>
      </c>
      <c r="X2395" s="9">
        <f>IF(ORIG!X2395=0,"",ORIG!X2395)</f>
        <v/>
      </c>
      <c r="Y2395" s="9">
        <f>IF(ORIG!Y2395=0,"",ORIG!Y2395)</f>
        <v/>
      </c>
      <c r="Z2395" s="3">
        <f>SUMPRODUCT($B2395:$Y2395,$B$2649:$Y$2649)</f>
        <v/>
      </c>
      <c r="AA2395" s="3">
        <f>SUMPRODUCT($B2395:$Y2395,$B$2655:$Y$2655)</f>
        <v/>
      </c>
      <c r="AC2395" s="1">
        <f>A2395</f>
        <v/>
      </c>
      <c r="AD2395">
        <f>IF(ISNUMBER(V2395),V2395*($AB$1/V$2635),"")</f>
        <v/>
      </c>
      <c r="AE2395">
        <f>IF(ISNUMBER(Z2395),Z2395*($AB$1/Z$2635),"")</f>
        <v/>
      </c>
      <c r="AF2395" s="25">
        <f>IF(ISNUMBER(AD2395+AE2395),AD2395+AE2395,"")</f>
        <v/>
      </c>
      <c r="AH2395" s="1">
        <f>A2395</f>
        <v/>
      </c>
      <c r="AI2395">
        <f>IF(ISNUMBER((1+V2395)*AI2394),(1+V2395)*AI2394,AI2394)</f>
        <v/>
      </c>
      <c r="AJ2395">
        <f>IF(ISNUMBER((1+Z2395)*AJ2394),(1+Z2395)*AJ2394,AJ2394)</f>
        <v/>
      </c>
    </row>
    <row r="2396">
      <c r="A2396" s="1" t="n">
        <v>45482</v>
      </c>
      <c r="B2396" s="3">
        <f>IF(ORIG!B2396=0,"",ORIG!B2396)</f>
        <v/>
      </c>
      <c r="C2396" s="3">
        <f>IF(ORIG!C2396=0,"",ORIG!C2396)</f>
        <v/>
      </c>
      <c r="D2396" s="3">
        <f>IF(ORIG!D2396=0,"",ORIG!D2396)</f>
        <v/>
      </c>
      <c r="E2396" s="3">
        <f>IF(ORIG!E2396=0,"",ORIG!E2396)</f>
        <v/>
      </c>
      <c r="F2396" s="3">
        <f>IF(ORIG!F2396=0,"",ORIG!F2396)</f>
        <v/>
      </c>
      <c r="G2396" s="3">
        <f>IF(ORIG!G2396=0,"",ORIG!G2396)</f>
        <v/>
      </c>
      <c r="H2396" s="3">
        <f>IF(ORIG!H2396=0,"",ORIG!H2396)</f>
        <v/>
      </c>
      <c r="I2396" s="3">
        <f>IF(ORIG!I2396=0,"",ORIG!I2396)</f>
        <v/>
      </c>
      <c r="J2396" s="3">
        <f>IF(ORIG!J2396=0,"",ORIG!J2396)</f>
        <v/>
      </c>
      <c r="K2396" s="3">
        <f>IF(ORIG!K2396=0,"",ORIG!K2396)</f>
        <v/>
      </c>
      <c r="L2396" s="3">
        <f>IF(ORIG!L2396=0,"",ORIG!L2396)</f>
        <v/>
      </c>
      <c r="M2396" s="3">
        <f>IF(ORIG!M2396=0,"",ORIG!M2396)</f>
        <v/>
      </c>
      <c r="N2396" s="3">
        <f>IF(ORIG!N2396=0,"",ORIG!N2396)</f>
        <v/>
      </c>
      <c r="O2396" s="3">
        <f>IF(ORIG!O2396=0,"",ORIG!O2396)</f>
        <v/>
      </c>
      <c r="P2396" s="3">
        <f>IF(ORIG!P2396=0,"",ORIG!P2396)</f>
        <v/>
      </c>
      <c r="Q2396" s="3">
        <f>IF(ORIG!Q2396=0,"",ORIG!Q2396)</f>
        <v/>
      </c>
      <c r="R2396" s="3">
        <f>IF(ORIG!R2396=0,"",ORIG!R2396)</f>
        <v/>
      </c>
      <c r="S2396" s="3">
        <f>IF(ORIG!S2396=0,"",ORIG!S2396)</f>
        <v/>
      </c>
      <c r="T2396" s="3">
        <f>IF(ORIG!T2396=0,"",ORIG!T2396)</f>
        <v/>
      </c>
      <c r="U2396" s="3">
        <f>IF(ORIG!U2396=0,"",ORIG!U2396)</f>
        <v/>
      </c>
      <c r="V2396" s="9">
        <f>IF(ORIG!V2396=0,"",ORIG!V2396)</f>
        <v/>
      </c>
      <c r="W2396" s="9">
        <f>IF(ORIG!W2396=0,"",ORIG!W2396)</f>
        <v/>
      </c>
      <c r="X2396" s="9">
        <f>IF(ORIG!X2396=0,"",ORIG!X2396)</f>
        <v/>
      </c>
      <c r="Y2396" s="9">
        <f>IF(ORIG!Y2396=0,"",ORIG!Y2396)</f>
        <v/>
      </c>
      <c r="Z2396" s="3">
        <f>SUMPRODUCT($B2396:$Y2396,$B$2649:$Y$2649)</f>
        <v/>
      </c>
      <c r="AA2396" s="3">
        <f>SUMPRODUCT($B2396:$Y2396,$B$2655:$Y$2655)</f>
        <v/>
      </c>
      <c r="AC2396" s="1">
        <f>A2396</f>
        <v/>
      </c>
      <c r="AD2396">
        <f>IF(ISNUMBER(V2396),V2396*($AB$1/V$2635),"")</f>
        <v/>
      </c>
      <c r="AE2396">
        <f>IF(ISNUMBER(Z2396),Z2396*($AB$1/Z$2635),"")</f>
        <v/>
      </c>
      <c r="AF2396" s="25">
        <f>IF(ISNUMBER(AD2396+AE2396),AD2396+AE2396,"")</f>
        <v/>
      </c>
      <c r="AH2396" s="1">
        <f>A2396</f>
        <v/>
      </c>
      <c r="AI2396">
        <f>IF(ISNUMBER((1+V2396)*AI2395),(1+V2396)*AI2395,AI2395)</f>
        <v/>
      </c>
      <c r="AJ2396">
        <f>IF(ISNUMBER((1+Z2396)*AJ2395),(1+Z2396)*AJ2395,AJ2395)</f>
        <v/>
      </c>
    </row>
    <row r="2397">
      <c r="A2397" s="1" t="n">
        <v>45483</v>
      </c>
      <c r="B2397" s="3">
        <f>IF(ORIG!B2397=0,"",ORIG!B2397)</f>
        <v/>
      </c>
      <c r="C2397" s="3">
        <f>IF(ORIG!C2397=0,"",ORIG!C2397)</f>
        <v/>
      </c>
      <c r="D2397" s="3">
        <f>IF(ORIG!D2397=0,"",ORIG!D2397)</f>
        <v/>
      </c>
      <c r="E2397" s="3">
        <f>IF(ORIG!E2397=0,"",ORIG!E2397)</f>
        <v/>
      </c>
      <c r="F2397" s="3">
        <f>IF(ORIG!F2397=0,"",ORIG!F2397)</f>
        <v/>
      </c>
      <c r="G2397" s="3">
        <f>IF(ORIG!G2397=0,"",ORIG!G2397)</f>
        <v/>
      </c>
      <c r="H2397" s="3">
        <f>IF(ORIG!H2397=0,"",ORIG!H2397)</f>
        <v/>
      </c>
      <c r="I2397" s="3">
        <f>IF(ORIG!I2397=0,"",ORIG!I2397)</f>
        <v/>
      </c>
      <c r="J2397" s="3">
        <f>IF(ORIG!J2397=0,"",ORIG!J2397)</f>
        <v/>
      </c>
      <c r="K2397" s="3">
        <f>IF(ORIG!K2397=0,"",ORIG!K2397)</f>
        <v/>
      </c>
      <c r="L2397" s="3">
        <f>IF(ORIG!L2397=0,"",ORIG!L2397)</f>
        <v/>
      </c>
      <c r="M2397" s="3">
        <f>IF(ORIG!M2397=0,"",ORIG!M2397)</f>
        <v/>
      </c>
      <c r="N2397" s="3">
        <f>IF(ORIG!N2397=0,"",ORIG!N2397)</f>
        <v/>
      </c>
      <c r="O2397" s="3">
        <f>IF(ORIG!O2397=0,"",ORIG!O2397)</f>
        <v/>
      </c>
      <c r="P2397" s="3">
        <f>IF(ORIG!P2397=0,"",ORIG!P2397)</f>
        <v/>
      </c>
      <c r="Q2397" s="3">
        <f>IF(ORIG!Q2397=0,"",ORIG!Q2397)</f>
        <v/>
      </c>
      <c r="R2397" s="3">
        <f>IF(ORIG!R2397=0,"",ORIG!R2397)</f>
        <v/>
      </c>
      <c r="S2397" s="3">
        <f>IF(ORIG!S2397=0,"",ORIG!S2397)</f>
        <v/>
      </c>
      <c r="T2397" s="3">
        <f>IF(ORIG!T2397=0,"",ORIG!T2397)</f>
        <v/>
      </c>
      <c r="U2397" s="3">
        <f>IF(ORIG!U2397=0,"",ORIG!U2397)</f>
        <v/>
      </c>
      <c r="V2397" s="9">
        <f>IF(ORIG!V2397=0,"",ORIG!V2397)</f>
        <v/>
      </c>
      <c r="W2397" s="9">
        <f>IF(ORIG!W2397=0,"",ORIG!W2397)</f>
        <v/>
      </c>
      <c r="X2397" s="9">
        <f>IF(ORIG!X2397=0,"",ORIG!X2397)</f>
        <v/>
      </c>
      <c r="Y2397" s="9">
        <f>IF(ORIG!Y2397=0,"",ORIG!Y2397)</f>
        <v/>
      </c>
      <c r="Z2397" s="3">
        <f>SUMPRODUCT($B2397:$Y2397,$B$2649:$Y$2649)</f>
        <v/>
      </c>
      <c r="AA2397" s="3">
        <f>SUMPRODUCT($B2397:$Y2397,$B$2655:$Y$2655)</f>
        <v/>
      </c>
      <c r="AC2397" s="1">
        <f>A2397</f>
        <v/>
      </c>
      <c r="AD2397">
        <f>IF(ISNUMBER(V2397),V2397*($AB$1/V$2635),"")</f>
        <v/>
      </c>
      <c r="AE2397">
        <f>IF(ISNUMBER(Z2397),Z2397*($AB$1/Z$2635),"")</f>
        <v/>
      </c>
      <c r="AF2397" s="25">
        <f>IF(ISNUMBER(AD2397+AE2397),AD2397+AE2397,"")</f>
        <v/>
      </c>
      <c r="AH2397" s="1">
        <f>A2397</f>
        <v/>
      </c>
      <c r="AI2397">
        <f>IF(ISNUMBER((1+V2397)*AI2396),(1+V2397)*AI2396,AI2396)</f>
        <v/>
      </c>
      <c r="AJ2397">
        <f>IF(ISNUMBER((1+Z2397)*AJ2396),(1+Z2397)*AJ2396,AJ2396)</f>
        <v/>
      </c>
    </row>
    <row r="2398">
      <c r="A2398" s="1" t="n">
        <v>45484</v>
      </c>
      <c r="B2398" s="3">
        <f>IF(ORIG!B2398=0,"",ORIG!B2398)</f>
        <v/>
      </c>
      <c r="C2398" s="3">
        <f>IF(ORIG!C2398=0,"",ORIG!C2398)</f>
        <v/>
      </c>
      <c r="D2398" s="3">
        <f>IF(ORIG!D2398=0,"",ORIG!D2398)</f>
        <v/>
      </c>
      <c r="E2398" s="3">
        <f>IF(ORIG!E2398=0,"",ORIG!E2398)</f>
        <v/>
      </c>
      <c r="F2398" s="3">
        <f>IF(ORIG!F2398=0,"",ORIG!F2398)</f>
        <v/>
      </c>
      <c r="G2398" s="3">
        <f>IF(ORIG!G2398=0,"",ORIG!G2398)</f>
        <v/>
      </c>
      <c r="H2398" s="3">
        <f>IF(ORIG!H2398=0,"",ORIG!H2398)</f>
        <v/>
      </c>
      <c r="I2398" s="3">
        <f>IF(ORIG!I2398=0,"",ORIG!I2398)</f>
        <v/>
      </c>
      <c r="J2398" s="3">
        <f>IF(ORIG!J2398=0,"",ORIG!J2398)</f>
        <v/>
      </c>
      <c r="K2398" s="3">
        <f>IF(ORIG!K2398=0,"",ORIG!K2398)</f>
        <v/>
      </c>
      <c r="L2398" s="3">
        <f>IF(ORIG!L2398=0,"",ORIG!L2398)</f>
        <v/>
      </c>
      <c r="M2398" s="3">
        <f>IF(ORIG!M2398=0,"",ORIG!M2398)</f>
        <v/>
      </c>
      <c r="N2398" s="3">
        <f>IF(ORIG!N2398=0,"",ORIG!N2398)</f>
        <v/>
      </c>
      <c r="O2398" s="3">
        <f>IF(ORIG!O2398=0,"",ORIG!O2398)</f>
        <v/>
      </c>
      <c r="P2398" s="3">
        <f>IF(ORIG!P2398=0,"",ORIG!P2398)</f>
        <v/>
      </c>
      <c r="Q2398" s="3">
        <f>IF(ORIG!Q2398=0,"",ORIG!Q2398)</f>
        <v/>
      </c>
      <c r="R2398" s="3">
        <f>IF(ORIG!R2398=0,"",ORIG!R2398)</f>
        <v/>
      </c>
      <c r="S2398" s="3">
        <f>IF(ORIG!S2398=0,"",ORIG!S2398)</f>
        <v/>
      </c>
      <c r="T2398" s="3">
        <f>IF(ORIG!T2398=0,"",ORIG!T2398)</f>
        <v/>
      </c>
      <c r="U2398" s="3">
        <f>IF(ORIG!U2398=0,"",ORIG!U2398)</f>
        <v/>
      </c>
      <c r="V2398" s="9">
        <f>IF(ORIG!V2398=0,"",ORIG!V2398)</f>
        <v/>
      </c>
      <c r="W2398" s="9">
        <f>IF(ORIG!W2398=0,"",ORIG!W2398)</f>
        <v/>
      </c>
      <c r="X2398" s="9">
        <f>IF(ORIG!X2398=0,"",ORIG!X2398)</f>
        <v/>
      </c>
      <c r="Y2398" s="9">
        <f>IF(ORIG!Y2398=0,"",ORIG!Y2398)</f>
        <v/>
      </c>
      <c r="Z2398" s="3">
        <f>SUMPRODUCT($B2398:$Y2398,$B$2649:$Y$2649)</f>
        <v/>
      </c>
      <c r="AA2398" s="3">
        <f>SUMPRODUCT($B2398:$Y2398,$B$2655:$Y$2655)</f>
        <v/>
      </c>
      <c r="AC2398" s="1">
        <f>A2398</f>
        <v/>
      </c>
      <c r="AD2398">
        <f>IF(ISNUMBER(V2398),V2398*($AB$1/V$2635),"")</f>
        <v/>
      </c>
      <c r="AE2398">
        <f>IF(ISNUMBER(Z2398),Z2398*($AB$1/Z$2635),"")</f>
        <v/>
      </c>
      <c r="AF2398" s="25">
        <f>IF(ISNUMBER(AD2398+AE2398),AD2398+AE2398,"")</f>
        <v/>
      </c>
      <c r="AH2398" s="1">
        <f>A2398</f>
        <v/>
      </c>
      <c r="AI2398">
        <f>IF(ISNUMBER((1+V2398)*AI2397),(1+V2398)*AI2397,AI2397)</f>
        <v/>
      </c>
      <c r="AJ2398">
        <f>IF(ISNUMBER((1+Z2398)*AJ2397),(1+Z2398)*AJ2397,AJ2397)</f>
        <v/>
      </c>
    </row>
    <row r="2399">
      <c r="A2399" s="1" t="n">
        <v>45485</v>
      </c>
      <c r="B2399" s="3">
        <f>IF(ORIG!B2399=0,"",ORIG!B2399)</f>
        <v/>
      </c>
      <c r="C2399" s="3">
        <f>IF(ORIG!C2399=0,"",ORIG!C2399)</f>
        <v/>
      </c>
      <c r="D2399" s="3">
        <f>IF(ORIG!D2399=0,"",ORIG!D2399)</f>
        <v/>
      </c>
      <c r="E2399" s="3">
        <f>IF(ORIG!E2399=0,"",ORIG!E2399)</f>
        <v/>
      </c>
      <c r="F2399" s="3">
        <f>IF(ORIG!F2399=0,"",ORIG!F2399)</f>
        <v/>
      </c>
      <c r="G2399" s="3">
        <f>IF(ORIG!G2399=0,"",ORIG!G2399)</f>
        <v/>
      </c>
      <c r="H2399" s="3">
        <f>IF(ORIG!H2399=0,"",ORIG!H2399)</f>
        <v/>
      </c>
      <c r="I2399" s="3">
        <f>IF(ORIG!I2399=0,"",ORIG!I2399)</f>
        <v/>
      </c>
      <c r="J2399" s="3">
        <f>IF(ORIG!J2399=0,"",ORIG!J2399)</f>
        <v/>
      </c>
      <c r="K2399" s="3">
        <f>IF(ORIG!K2399=0,"",ORIG!K2399)</f>
        <v/>
      </c>
      <c r="L2399" s="3">
        <f>IF(ORIG!L2399=0,"",ORIG!L2399)</f>
        <v/>
      </c>
      <c r="M2399" s="3">
        <f>IF(ORIG!M2399=0,"",ORIG!M2399)</f>
        <v/>
      </c>
      <c r="N2399" s="3">
        <f>IF(ORIG!N2399=0,"",ORIG!N2399)</f>
        <v/>
      </c>
      <c r="O2399" s="3">
        <f>IF(ORIG!O2399=0,"",ORIG!O2399)</f>
        <v/>
      </c>
      <c r="P2399" s="3">
        <f>IF(ORIG!P2399=0,"",ORIG!P2399)</f>
        <v/>
      </c>
      <c r="Q2399" s="3">
        <f>IF(ORIG!Q2399=0,"",ORIG!Q2399)</f>
        <v/>
      </c>
      <c r="R2399" s="3">
        <f>IF(ORIG!R2399=0,"",ORIG!R2399)</f>
        <v/>
      </c>
      <c r="S2399" s="3">
        <f>IF(ORIG!S2399=0,"",ORIG!S2399)</f>
        <v/>
      </c>
      <c r="T2399" s="3">
        <f>IF(ORIG!T2399=0,"",ORIG!T2399)</f>
        <v/>
      </c>
      <c r="U2399" s="3">
        <f>IF(ORIG!U2399=0,"",ORIG!U2399)</f>
        <v/>
      </c>
      <c r="V2399" s="9">
        <f>IF(ORIG!V2399=0,"",ORIG!V2399)</f>
        <v/>
      </c>
      <c r="W2399" s="9">
        <f>IF(ORIG!W2399=0,"",ORIG!W2399)</f>
        <v/>
      </c>
      <c r="X2399" s="9">
        <f>IF(ORIG!X2399=0,"",ORIG!X2399)</f>
        <v/>
      </c>
      <c r="Y2399" s="9">
        <f>IF(ORIG!Y2399=0,"",ORIG!Y2399)</f>
        <v/>
      </c>
      <c r="Z2399" s="3">
        <f>SUMPRODUCT($B2399:$Y2399,$B$2649:$Y$2649)</f>
        <v/>
      </c>
      <c r="AA2399" s="3">
        <f>SUMPRODUCT($B2399:$Y2399,$B$2655:$Y$2655)</f>
        <v/>
      </c>
      <c r="AC2399" s="1">
        <f>A2399</f>
        <v/>
      </c>
      <c r="AD2399">
        <f>IF(ISNUMBER(V2399),V2399*($AB$1/V$2635),"")</f>
        <v/>
      </c>
      <c r="AE2399">
        <f>IF(ISNUMBER(Z2399),Z2399*($AB$1/Z$2635),"")</f>
        <v/>
      </c>
      <c r="AF2399" s="25">
        <f>IF(ISNUMBER(AD2399+AE2399),AD2399+AE2399,"")</f>
        <v/>
      </c>
      <c r="AH2399" s="1">
        <f>A2399</f>
        <v/>
      </c>
      <c r="AI2399">
        <f>IF(ISNUMBER((1+V2399)*AI2398),(1+V2399)*AI2398,AI2398)</f>
        <v/>
      </c>
      <c r="AJ2399">
        <f>IF(ISNUMBER((1+Z2399)*AJ2398),(1+Z2399)*AJ2398,AJ2398)</f>
        <v/>
      </c>
    </row>
    <row r="2400">
      <c r="A2400" s="1" t="n">
        <v>45488</v>
      </c>
      <c r="B2400" s="3">
        <f>IF(ORIG!B2400=0,"",ORIG!B2400)</f>
        <v/>
      </c>
      <c r="C2400" s="3">
        <f>IF(ORIG!C2400=0,"",ORIG!C2400)</f>
        <v/>
      </c>
      <c r="D2400" s="3">
        <f>IF(ORIG!D2400=0,"",ORIG!D2400)</f>
        <v/>
      </c>
      <c r="E2400" s="3">
        <f>IF(ORIG!E2400=0,"",ORIG!E2400)</f>
        <v/>
      </c>
      <c r="F2400" s="3">
        <f>IF(ORIG!F2400=0,"",ORIG!F2400)</f>
        <v/>
      </c>
      <c r="G2400" s="3">
        <f>IF(ORIG!G2400=0,"",ORIG!G2400)</f>
        <v/>
      </c>
      <c r="H2400" s="3">
        <f>IF(ORIG!H2400=0,"",ORIG!H2400)</f>
        <v/>
      </c>
      <c r="I2400" s="3">
        <f>IF(ORIG!I2400=0,"",ORIG!I2400)</f>
        <v/>
      </c>
      <c r="J2400" s="3">
        <f>IF(ORIG!J2400=0,"",ORIG!J2400)</f>
        <v/>
      </c>
      <c r="K2400" s="3">
        <f>IF(ORIG!K2400=0,"",ORIG!K2400)</f>
        <v/>
      </c>
      <c r="L2400" s="3">
        <f>IF(ORIG!L2400=0,"",ORIG!L2400)</f>
        <v/>
      </c>
      <c r="M2400" s="3">
        <f>IF(ORIG!M2400=0,"",ORIG!M2400)</f>
        <v/>
      </c>
      <c r="N2400" s="3">
        <f>IF(ORIG!N2400=0,"",ORIG!N2400)</f>
        <v/>
      </c>
      <c r="O2400" s="3">
        <f>IF(ORIG!O2400=0,"",ORIG!O2400)</f>
        <v/>
      </c>
      <c r="P2400" s="3">
        <f>IF(ORIG!P2400=0,"",ORIG!P2400)</f>
        <v/>
      </c>
      <c r="Q2400" s="3">
        <f>IF(ORIG!Q2400=0,"",ORIG!Q2400)</f>
        <v/>
      </c>
      <c r="R2400" s="3">
        <f>IF(ORIG!R2400=0,"",ORIG!R2400)</f>
        <v/>
      </c>
      <c r="S2400" s="3">
        <f>IF(ORIG!S2400=0,"",ORIG!S2400)</f>
        <v/>
      </c>
      <c r="T2400" s="3">
        <f>IF(ORIG!T2400=0,"",ORIG!T2400)</f>
        <v/>
      </c>
      <c r="U2400" s="3">
        <f>IF(ORIG!U2400=0,"",ORIG!U2400)</f>
        <v/>
      </c>
      <c r="V2400" s="9">
        <f>IF(ORIG!V2400=0,"",ORIG!V2400)</f>
        <v/>
      </c>
      <c r="W2400" s="9">
        <f>IF(ORIG!W2400=0,"",ORIG!W2400)</f>
        <v/>
      </c>
      <c r="X2400" s="9">
        <f>IF(ORIG!X2400=0,"",ORIG!X2400)</f>
        <v/>
      </c>
      <c r="Y2400" s="9">
        <f>IF(ORIG!Y2400=0,"",ORIG!Y2400)</f>
        <v/>
      </c>
      <c r="Z2400" s="3">
        <f>SUMPRODUCT($B2400:$Y2400,$B$2649:$Y$2649)</f>
        <v/>
      </c>
      <c r="AA2400" s="3">
        <f>SUMPRODUCT($B2400:$Y2400,$B$2655:$Y$2655)</f>
        <v/>
      </c>
      <c r="AC2400" s="1">
        <f>A2400</f>
        <v/>
      </c>
      <c r="AD2400">
        <f>IF(ISNUMBER(V2400),V2400*($AB$1/V$2635),"")</f>
        <v/>
      </c>
      <c r="AE2400">
        <f>IF(ISNUMBER(Z2400),Z2400*($AB$1/Z$2635),"")</f>
        <v/>
      </c>
      <c r="AF2400" s="25">
        <f>IF(ISNUMBER(AD2400+AE2400),AD2400+AE2400,"")</f>
        <v/>
      </c>
      <c r="AH2400" s="1">
        <f>A2400</f>
        <v/>
      </c>
      <c r="AI2400">
        <f>IF(ISNUMBER((1+V2400)*AI2399),(1+V2400)*AI2399,AI2399)</f>
        <v/>
      </c>
      <c r="AJ2400">
        <f>IF(ISNUMBER((1+Z2400)*AJ2399),(1+Z2400)*AJ2399,AJ2399)</f>
        <v/>
      </c>
    </row>
    <row r="2401">
      <c r="A2401" s="1" t="n">
        <v>45489</v>
      </c>
      <c r="B2401" s="3">
        <f>IF(ORIG!B2401=0,"",ORIG!B2401)</f>
        <v/>
      </c>
      <c r="C2401" s="3">
        <f>IF(ORIG!C2401=0,"",ORIG!C2401)</f>
        <v/>
      </c>
      <c r="D2401" s="3">
        <f>IF(ORIG!D2401=0,"",ORIG!D2401)</f>
        <v/>
      </c>
      <c r="E2401" s="3">
        <f>IF(ORIG!E2401=0,"",ORIG!E2401)</f>
        <v/>
      </c>
      <c r="F2401" s="3">
        <f>IF(ORIG!F2401=0,"",ORIG!F2401)</f>
        <v/>
      </c>
      <c r="G2401" s="3">
        <f>IF(ORIG!G2401=0,"",ORIG!G2401)</f>
        <v/>
      </c>
      <c r="H2401" s="3">
        <f>IF(ORIG!H2401=0,"",ORIG!H2401)</f>
        <v/>
      </c>
      <c r="I2401" s="3">
        <f>IF(ORIG!I2401=0,"",ORIG!I2401)</f>
        <v/>
      </c>
      <c r="J2401" s="3">
        <f>IF(ORIG!J2401=0,"",ORIG!J2401)</f>
        <v/>
      </c>
      <c r="K2401" s="3">
        <f>IF(ORIG!K2401=0,"",ORIG!K2401)</f>
        <v/>
      </c>
      <c r="L2401" s="3">
        <f>IF(ORIG!L2401=0,"",ORIG!L2401)</f>
        <v/>
      </c>
      <c r="M2401" s="3">
        <f>IF(ORIG!M2401=0,"",ORIG!M2401)</f>
        <v/>
      </c>
      <c r="N2401" s="3">
        <f>IF(ORIG!N2401=0,"",ORIG!N2401)</f>
        <v/>
      </c>
      <c r="O2401" s="3">
        <f>IF(ORIG!O2401=0,"",ORIG!O2401)</f>
        <v/>
      </c>
      <c r="P2401" s="3">
        <f>IF(ORIG!P2401=0,"",ORIG!P2401)</f>
        <v/>
      </c>
      <c r="Q2401" s="3">
        <f>IF(ORIG!Q2401=0,"",ORIG!Q2401)</f>
        <v/>
      </c>
      <c r="R2401" s="3">
        <f>IF(ORIG!R2401=0,"",ORIG!R2401)</f>
        <v/>
      </c>
      <c r="S2401" s="3">
        <f>IF(ORIG!S2401=0,"",ORIG!S2401)</f>
        <v/>
      </c>
      <c r="T2401" s="3">
        <f>IF(ORIG!T2401=0,"",ORIG!T2401)</f>
        <v/>
      </c>
      <c r="U2401" s="3">
        <f>IF(ORIG!U2401=0,"",ORIG!U2401)</f>
        <v/>
      </c>
      <c r="V2401" s="9">
        <f>IF(ORIG!V2401=0,"",ORIG!V2401)</f>
        <v/>
      </c>
      <c r="W2401" s="9">
        <f>IF(ORIG!W2401=0,"",ORIG!W2401)</f>
        <v/>
      </c>
      <c r="X2401" s="9">
        <f>IF(ORIG!X2401=0,"",ORIG!X2401)</f>
        <v/>
      </c>
      <c r="Y2401" s="9">
        <f>IF(ORIG!Y2401=0,"",ORIG!Y2401)</f>
        <v/>
      </c>
      <c r="Z2401" s="3">
        <f>SUMPRODUCT($B2401:$Y2401,$B$2649:$Y$2649)</f>
        <v/>
      </c>
      <c r="AA2401" s="3">
        <f>SUMPRODUCT($B2401:$Y2401,$B$2655:$Y$2655)</f>
        <v/>
      </c>
      <c r="AC2401" s="1">
        <f>A2401</f>
        <v/>
      </c>
      <c r="AD2401">
        <f>IF(ISNUMBER(V2401),V2401*($AB$1/V$2635),"")</f>
        <v/>
      </c>
      <c r="AE2401">
        <f>IF(ISNUMBER(Z2401),Z2401*($AB$1/Z$2635),"")</f>
        <v/>
      </c>
      <c r="AF2401" s="25">
        <f>IF(ISNUMBER(AD2401+AE2401),AD2401+AE2401,"")</f>
        <v/>
      </c>
      <c r="AH2401" s="1">
        <f>A2401</f>
        <v/>
      </c>
      <c r="AI2401">
        <f>IF(ISNUMBER((1+V2401)*AI2400),(1+V2401)*AI2400,AI2400)</f>
        <v/>
      </c>
      <c r="AJ2401">
        <f>IF(ISNUMBER((1+Z2401)*AJ2400),(1+Z2401)*AJ2400,AJ2400)</f>
        <v/>
      </c>
    </row>
    <row r="2402">
      <c r="A2402" s="1" t="n">
        <v>45490</v>
      </c>
      <c r="B2402" s="3">
        <f>IF(ORIG!B2402=0,"",ORIG!B2402)</f>
        <v/>
      </c>
      <c r="C2402" s="3">
        <f>IF(ORIG!C2402=0,"",ORIG!C2402)</f>
        <v/>
      </c>
      <c r="D2402" s="3">
        <f>IF(ORIG!D2402=0,"",ORIG!D2402)</f>
        <v/>
      </c>
      <c r="E2402" s="3">
        <f>IF(ORIG!E2402=0,"",ORIG!E2402)</f>
        <v/>
      </c>
      <c r="F2402" s="3">
        <f>IF(ORIG!F2402=0,"",ORIG!F2402)</f>
        <v/>
      </c>
      <c r="G2402" s="3">
        <f>IF(ORIG!G2402=0,"",ORIG!G2402)</f>
        <v/>
      </c>
      <c r="H2402" s="3">
        <f>IF(ORIG!H2402=0,"",ORIG!H2402)</f>
        <v/>
      </c>
      <c r="I2402" s="3">
        <f>IF(ORIG!I2402=0,"",ORIG!I2402)</f>
        <v/>
      </c>
      <c r="J2402" s="3">
        <f>IF(ORIG!J2402=0,"",ORIG!J2402)</f>
        <v/>
      </c>
      <c r="K2402" s="3">
        <f>IF(ORIG!K2402=0,"",ORIG!K2402)</f>
        <v/>
      </c>
      <c r="L2402" s="3">
        <f>IF(ORIG!L2402=0,"",ORIG!L2402)</f>
        <v/>
      </c>
      <c r="M2402" s="3">
        <f>IF(ORIG!M2402=0,"",ORIG!M2402)</f>
        <v/>
      </c>
      <c r="N2402" s="3">
        <f>IF(ORIG!N2402=0,"",ORIG!N2402)</f>
        <v/>
      </c>
      <c r="O2402" s="3">
        <f>IF(ORIG!O2402=0,"",ORIG!O2402)</f>
        <v/>
      </c>
      <c r="P2402" s="3">
        <f>IF(ORIG!P2402=0,"",ORIG!P2402)</f>
        <v/>
      </c>
      <c r="Q2402" s="3">
        <f>IF(ORIG!Q2402=0,"",ORIG!Q2402)</f>
        <v/>
      </c>
      <c r="R2402" s="3">
        <f>IF(ORIG!R2402=0,"",ORIG!R2402)</f>
        <v/>
      </c>
      <c r="S2402" s="3">
        <f>IF(ORIG!S2402=0,"",ORIG!S2402)</f>
        <v/>
      </c>
      <c r="T2402" s="3">
        <f>IF(ORIG!T2402=0,"",ORIG!T2402)</f>
        <v/>
      </c>
      <c r="U2402" s="3">
        <f>IF(ORIG!U2402=0,"",ORIG!U2402)</f>
        <v/>
      </c>
      <c r="V2402" s="9">
        <f>IF(ORIG!V2402=0,"",ORIG!V2402)</f>
        <v/>
      </c>
      <c r="W2402" s="9">
        <f>IF(ORIG!W2402=0,"",ORIG!W2402)</f>
        <v/>
      </c>
      <c r="X2402" s="9">
        <f>IF(ORIG!X2402=0,"",ORIG!X2402)</f>
        <v/>
      </c>
      <c r="Y2402" s="9">
        <f>IF(ORIG!Y2402=0,"",ORIG!Y2402)</f>
        <v/>
      </c>
      <c r="Z2402" s="3">
        <f>SUMPRODUCT($B2402:$Y2402,$B$2649:$Y$2649)</f>
        <v/>
      </c>
      <c r="AA2402" s="3">
        <f>SUMPRODUCT($B2402:$Y2402,$B$2655:$Y$2655)</f>
        <v/>
      </c>
      <c r="AC2402" s="1">
        <f>A2402</f>
        <v/>
      </c>
      <c r="AD2402">
        <f>IF(ISNUMBER(V2402),V2402*($AB$1/V$2635),"")</f>
        <v/>
      </c>
      <c r="AE2402">
        <f>IF(ISNUMBER(Z2402),Z2402*($AB$1/Z$2635),"")</f>
        <v/>
      </c>
      <c r="AF2402" s="25">
        <f>IF(ISNUMBER(AD2402+AE2402),AD2402+AE2402,"")</f>
        <v/>
      </c>
      <c r="AH2402" s="1">
        <f>A2402</f>
        <v/>
      </c>
      <c r="AI2402">
        <f>IF(ISNUMBER((1+V2402)*AI2401),(1+V2402)*AI2401,AI2401)</f>
        <v/>
      </c>
      <c r="AJ2402">
        <f>IF(ISNUMBER((1+Z2402)*AJ2401),(1+Z2402)*AJ2401,AJ2401)</f>
        <v/>
      </c>
    </row>
    <row r="2403">
      <c r="A2403" s="1" t="n">
        <v>45491</v>
      </c>
      <c r="B2403" s="3">
        <f>IF(ORIG!B2403=0,"",ORIG!B2403)</f>
        <v/>
      </c>
      <c r="C2403" s="3">
        <f>IF(ORIG!C2403=0,"",ORIG!C2403)</f>
        <v/>
      </c>
      <c r="D2403" s="3">
        <f>IF(ORIG!D2403=0,"",ORIG!D2403)</f>
        <v/>
      </c>
      <c r="E2403" s="3">
        <f>IF(ORIG!E2403=0,"",ORIG!E2403)</f>
        <v/>
      </c>
      <c r="F2403" s="3">
        <f>IF(ORIG!F2403=0,"",ORIG!F2403)</f>
        <v/>
      </c>
      <c r="G2403" s="3">
        <f>IF(ORIG!G2403=0,"",ORIG!G2403)</f>
        <v/>
      </c>
      <c r="H2403" s="3">
        <f>IF(ORIG!H2403=0,"",ORIG!H2403)</f>
        <v/>
      </c>
      <c r="I2403" s="3">
        <f>IF(ORIG!I2403=0,"",ORIG!I2403)</f>
        <v/>
      </c>
      <c r="J2403" s="3">
        <f>IF(ORIG!J2403=0,"",ORIG!J2403)</f>
        <v/>
      </c>
      <c r="K2403" s="3">
        <f>IF(ORIG!K2403=0,"",ORIG!K2403)</f>
        <v/>
      </c>
      <c r="L2403" s="3">
        <f>IF(ORIG!L2403=0,"",ORIG!L2403)</f>
        <v/>
      </c>
      <c r="M2403" s="3">
        <f>IF(ORIG!M2403=0,"",ORIG!M2403)</f>
        <v/>
      </c>
      <c r="N2403" s="3">
        <f>IF(ORIG!N2403=0,"",ORIG!N2403)</f>
        <v/>
      </c>
      <c r="O2403" s="3">
        <f>IF(ORIG!O2403=0,"",ORIG!O2403)</f>
        <v/>
      </c>
      <c r="P2403" s="3">
        <f>IF(ORIG!P2403=0,"",ORIG!P2403)</f>
        <v/>
      </c>
      <c r="Q2403" s="3">
        <f>IF(ORIG!Q2403=0,"",ORIG!Q2403)</f>
        <v/>
      </c>
      <c r="R2403" s="3">
        <f>IF(ORIG!R2403=0,"",ORIG!R2403)</f>
        <v/>
      </c>
      <c r="S2403" s="3">
        <f>IF(ORIG!S2403=0,"",ORIG!S2403)</f>
        <v/>
      </c>
      <c r="T2403" s="3">
        <f>IF(ORIG!T2403=0,"",ORIG!T2403)</f>
        <v/>
      </c>
      <c r="U2403" s="3">
        <f>IF(ORIG!U2403=0,"",ORIG!U2403)</f>
        <v/>
      </c>
      <c r="V2403" s="9">
        <f>IF(ORIG!V2403=0,"",ORIG!V2403)</f>
        <v/>
      </c>
      <c r="W2403" s="9">
        <f>IF(ORIG!W2403=0,"",ORIG!W2403)</f>
        <v/>
      </c>
      <c r="X2403" s="9">
        <f>IF(ORIG!X2403=0,"",ORIG!X2403)</f>
        <v/>
      </c>
      <c r="Y2403" s="9">
        <f>IF(ORIG!Y2403=0,"",ORIG!Y2403)</f>
        <v/>
      </c>
      <c r="Z2403" s="3">
        <f>SUMPRODUCT($B2403:$Y2403,$B$2649:$Y$2649)</f>
        <v/>
      </c>
      <c r="AA2403" s="3">
        <f>SUMPRODUCT($B2403:$Y2403,$B$2655:$Y$2655)</f>
        <v/>
      </c>
      <c r="AC2403" s="1">
        <f>A2403</f>
        <v/>
      </c>
      <c r="AD2403">
        <f>IF(ISNUMBER(V2403),V2403*($AB$1/V$2635),"")</f>
        <v/>
      </c>
      <c r="AE2403">
        <f>IF(ISNUMBER(Z2403),Z2403*($AB$1/Z$2635),"")</f>
        <v/>
      </c>
      <c r="AF2403" s="25">
        <f>IF(ISNUMBER(AD2403+AE2403),AD2403+AE2403,"")</f>
        <v/>
      </c>
      <c r="AH2403" s="1">
        <f>A2403</f>
        <v/>
      </c>
      <c r="AI2403">
        <f>IF(ISNUMBER((1+V2403)*AI2402),(1+V2403)*AI2402,AI2402)</f>
        <v/>
      </c>
      <c r="AJ2403">
        <f>IF(ISNUMBER((1+Z2403)*AJ2402),(1+Z2403)*AJ2402,AJ2402)</f>
        <v/>
      </c>
    </row>
    <row r="2404">
      <c r="A2404" s="1" t="n">
        <v>45492</v>
      </c>
      <c r="B2404" s="3">
        <f>IF(ORIG!B2404=0,"",ORIG!B2404)</f>
        <v/>
      </c>
      <c r="C2404" s="3">
        <f>IF(ORIG!C2404=0,"",ORIG!C2404)</f>
        <v/>
      </c>
      <c r="D2404" s="3">
        <f>IF(ORIG!D2404=0,"",ORIG!D2404)</f>
        <v/>
      </c>
      <c r="E2404" s="3">
        <f>IF(ORIG!E2404=0,"",ORIG!E2404)</f>
        <v/>
      </c>
      <c r="F2404" s="3">
        <f>IF(ORIG!F2404=0,"",ORIG!F2404)</f>
        <v/>
      </c>
      <c r="G2404" s="3">
        <f>IF(ORIG!G2404=0,"",ORIG!G2404)</f>
        <v/>
      </c>
      <c r="H2404" s="3">
        <f>IF(ORIG!H2404=0,"",ORIG!H2404)</f>
        <v/>
      </c>
      <c r="I2404" s="3">
        <f>IF(ORIG!I2404=0,"",ORIG!I2404)</f>
        <v/>
      </c>
      <c r="J2404" s="3">
        <f>IF(ORIG!J2404=0,"",ORIG!J2404)</f>
        <v/>
      </c>
      <c r="K2404" s="3">
        <f>IF(ORIG!K2404=0,"",ORIG!K2404)</f>
        <v/>
      </c>
      <c r="L2404" s="3">
        <f>IF(ORIG!L2404=0,"",ORIG!L2404)</f>
        <v/>
      </c>
      <c r="M2404" s="3">
        <f>IF(ORIG!M2404=0,"",ORIG!M2404)</f>
        <v/>
      </c>
      <c r="N2404" s="3">
        <f>IF(ORIG!N2404=0,"",ORIG!N2404)</f>
        <v/>
      </c>
      <c r="O2404" s="3">
        <f>IF(ORIG!O2404=0,"",ORIG!O2404)</f>
        <v/>
      </c>
      <c r="P2404" s="3">
        <f>IF(ORIG!P2404=0,"",ORIG!P2404)</f>
        <v/>
      </c>
      <c r="Q2404" s="3">
        <f>IF(ORIG!Q2404=0,"",ORIG!Q2404)</f>
        <v/>
      </c>
      <c r="R2404" s="3">
        <f>IF(ORIG!R2404=0,"",ORIG!R2404)</f>
        <v/>
      </c>
      <c r="S2404" s="3">
        <f>IF(ORIG!S2404=0,"",ORIG!S2404)</f>
        <v/>
      </c>
      <c r="T2404" s="3">
        <f>IF(ORIG!T2404=0,"",ORIG!T2404)</f>
        <v/>
      </c>
      <c r="U2404" s="3">
        <f>IF(ORIG!U2404=0,"",ORIG!U2404)</f>
        <v/>
      </c>
      <c r="V2404" s="9">
        <f>IF(ORIG!V2404=0,"",ORIG!V2404)</f>
        <v/>
      </c>
      <c r="W2404" s="9">
        <f>IF(ORIG!W2404=0,"",ORIG!W2404)</f>
        <v/>
      </c>
      <c r="X2404" s="9">
        <f>IF(ORIG!X2404=0,"",ORIG!X2404)</f>
        <v/>
      </c>
      <c r="Y2404" s="9">
        <f>IF(ORIG!Y2404=0,"",ORIG!Y2404)</f>
        <v/>
      </c>
      <c r="Z2404" s="3">
        <f>SUMPRODUCT($B2404:$Y2404,$B$2649:$Y$2649)</f>
        <v/>
      </c>
      <c r="AA2404" s="3">
        <f>SUMPRODUCT($B2404:$Y2404,$B$2655:$Y$2655)</f>
        <v/>
      </c>
      <c r="AC2404" s="1">
        <f>A2404</f>
        <v/>
      </c>
      <c r="AD2404">
        <f>IF(ISNUMBER(V2404),V2404*($AB$1/V$2635),"")</f>
        <v/>
      </c>
      <c r="AE2404">
        <f>IF(ISNUMBER(Z2404),Z2404*($AB$1/Z$2635),"")</f>
        <v/>
      </c>
      <c r="AF2404" s="25">
        <f>IF(ISNUMBER(AD2404+AE2404),AD2404+AE2404,"")</f>
        <v/>
      </c>
      <c r="AH2404" s="1">
        <f>A2404</f>
        <v/>
      </c>
      <c r="AI2404">
        <f>IF(ISNUMBER((1+V2404)*AI2403),(1+V2404)*AI2403,AI2403)</f>
        <v/>
      </c>
      <c r="AJ2404">
        <f>IF(ISNUMBER((1+Z2404)*AJ2403),(1+Z2404)*AJ2403,AJ2403)</f>
        <v/>
      </c>
    </row>
    <row r="2405">
      <c r="A2405" s="1" t="n">
        <v>45495</v>
      </c>
      <c r="B2405" s="3">
        <f>IF(ORIG!B2405=0,"",ORIG!B2405)</f>
        <v/>
      </c>
      <c r="C2405" s="3">
        <f>IF(ORIG!C2405=0,"",ORIG!C2405)</f>
        <v/>
      </c>
      <c r="D2405" s="3">
        <f>IF(ORIG!D2405=0,"",ORIG!D2405)</f>
        <v/>
      </c>
      <c r="E2405" s="3">
        <f>IF(ORIG!E2405=0,"",ORIG!E2405)</f>
        <v/>
      </c>
      <c r="F2405" s="3">
        <f>IF(ORIG!F2405=0,"",ORIG!F2405)</f>
        <v/>
      </c>
      <c r="G2405" s="3">
        <f>IF(ORIG!G2405=0,"",ORIG!G2405)</f>
        <v/>
      </c>
      <c r="H2405" s="3">
        <f>IF(ORIG!H2405=0,"",ORIG!H2405)</f>
        <v/>
      </c>
      <c r="I2405" s="3">
        <f>IF(ORIG!I2405=0,"",ORIG!I2405)</f>
        <v/>
      </c>
      <c r="J2405" s="3">
        <f>IF(ORIG!J2405=0,"",ORIG!J2405)</f>
        <v/>
      </c>
      <c r="K2405" s="3">
        <f>IF(ORIG!K2405=0,"",ORIG!K2405)</f>
        <v/>
      </c>
      <c r="L2405" s="3">
        <f>IF(ORIG!L2405=0,"",ORIG!L2405)</f>
        <v/>
      </c>
      <c r="M2405" s="3">
        <f>IF(ORIG!M2405=0,"",ORIG!M2405)</f>
        <v/>
      </c>
      <c r="N2405" s="3">
        <f>IF(ORIG!N2405=0,"",ORIG!N2405)</f>
        <v/>
      </c>
      <c r="O2405" s="3">
        <f>IF(ORIG!O2405=0,"",ORIG!O2405)</f>
        <v/>
      </c>
      <c r="P2405" s="3">
        <f>IF(ORIG!P2405=0,"",ORIG!P2405)</f>
        <v/>
      </c>
      <c r="Q2405" s="3">
        <f>IF(ORIG!Q2405=0,"",ORIG!Q2405)</f>
        <v/>
      </c>
      <c r="R2405" s="3">
        <f>IF(ORIG!R2405=0,"",ORIG!R2405)</f>
        <v/>
      </c>
      <c r="S2405" s="3">
        <f>IF(ORIG!S2405=0,"",ORIG!S2405)</f>
        <v/>
      </c>
      <c r="T2405" s="3">
        <f>IF(ORIG!T2405=0,"",ORIG!T2405)</f>
        <v/>
      </c>
      <c r="U2405" s="3">
        <f>IF(ORIG!U2405=0,"",ORIG!U2405)</f>
        <v/>
      </c>
      <c r="V2405" s="9">
        <f>IF(ORIG!V2405=0,"",ORIG!V2405)</f>
        <v/>
      </c>
      <c r="W2405" s="9">
        <f>IF(ORIG!W2405=0,"",ORIG!W2405)</f>
        <v/>
      </c>
      <c r="X2405" s="9">
        <f>IF(ORIG!X2405=0,"",ORIG!X2405)</f>
        <v/>
      </c>
      <c r="Y2405" s="9">
        <f>IF(ORIG!Y2405=0,"",ORIG!Y2405)</f>
        <v/>
      </c>
      <c r="Z2405" s="3">
        <f>SUMPRODUCT($B2405:$Y2405,$B$2649:$Y$2649)</f>
        <v/>
      </c>
      <c r="AA2405" s="3">
        <f>SUMPRODUCT($B2405:$Y2405,$B$2655:$Y$2655)</f>
        <v/>
      </c>
      <c r="AC2405" s="1">
        <f>A2405</f>
        <v/>
      </c>
      <c r="AD2405">
        <f>IF(ISNUMBER(V2405),V2405*($AB$1/V$2635),"")</f>
        <v/>
      </c>
      <c r="AE2405">
        <f>IF(ISNUMBER(Z2405),Z2405*($AB$1/Z$2635),"")</f>
        <v/>
      </c>
      <c r="AF2405" s="25">
        <f>IF(ISNUMBER(AD2405+AE2405),AD2405+AE2405,"")</f>
        <v/>
      </c>
      <c r="AH2405" s="1">
        <f>A2405</f>
        <v/>
      </c>
      <c r="AI2405">
        <f>IF(ISNUMBER((1+V2405)*AI2404),(1+V2405)*AI2404,AI2404)</f>
        <v/>
      </c>
      <c r="AJ2405">
        <f>IF(ISNUMBER((1+Z2405)*AJ2404),(1+Z2405)*AJ2404,AJ2404)</f>
        <v/>
      </c>
    </row>
    <row r="2406">
      <c r="A2406" s="1" t="n">
        <v>45496</v>
      </c>
      <c r="B2406" s="3">
        <f>IF(ORIG!B2406=0,"",ORIG!B2406)</f>
        <v/>
      </c>
      <c r="C2406" s="3">
        <f>IF(ORIG!C2406=0,"",ORIG!C2406)</f>
        <v/>
      </c>
      <c r="D2406" s="3">
        <f>IF(ORIG!D2406=0,"",ORIG!D2406)</f>
        <v/>
      </c>
      <c r="E2406" s="3">
        <f>IF(ORIG!E2406=0,"",ORIG!E2406)</f>
        <v/>
      </c>
      <c r="F2406" s="3">
        <f>IF(ORIG!F2406=0,"",ORIG!F2406)</f>
        <v/>
      </c>
      <c r="G2406" s="3">
        <f>IF(ORIG!G2406=0,"",ORIG!G2406)</f>
        <v/>
      </c>
      <c r="H2406" s="3">
        <f>IF(ORIG!H2406=0,"",ORIG!H2406)</f>
        <v/>
      </c>
      <c r="I2406" s="3">
        <f>IF(ORIG!I2406=0,"",ORIG!I2406)</f>
        <v/>
      </c>
      <c r="J2406" s="3">
        <f>IF(ORIG!J2406=0,"",ORIG!J2406)</f>
        <v/>
      </c>
      <c r="K2406" s="3">
        <f>IF(ORIG!K2406=0,"",ORIG!K2406)</f>
        <v/>
      </c>
      <c r="L2406" s="3">
        <f>IF(ORIG!L2406=0,"",ORIG!L2406)</f>
        <v/>
      </c>
      <c r="M2406" s="3">
        <f>IF(ORIG!M2406=0,"",ORIG!M2406)</f>
        <v/>
      </c>
      <c r="N2406" s="3">
        <f>IF(ORIG!N2406=0,"",ORIG!N2406)</f>
        <v/>
      </c>
      <c r="O2406" s="3">
        <f>IF(ORIG!O2406=0,"",ORIG!O2406)</f>
        <v/>
      </c>
      <c r="P2406" s="3">
        <f>IF(ORIG!P2406=0,"",ORIG!P2406)</f>
        <v/>
      </c>
      <c r="Q2406" s="3">
        <f>IF(ORIG!Q2406=0,"",ORIG!Q2406)</f>
        <v/>
      </c>
      <c r="R2406" s="3">
        <f>IF(ORIG!R2406=0,"",ORIG!R2406)</f>
        <v/>
      </c>
      <c r="S2406" s="3">
        <f>IF(ORIG!S2406=0,"",ORIG!S2406)</f>
        <v/>
      </c>
      <c r="T2406" s="3">
        <f>IF(ORIG!T2406=0,"",ORIG!T2406)</f>
        <v/>
      </c>
      <c r="U2406" s="3">
        <f>IF(ORIG!U2406=0,"",ORIG!U2406)</f>
        <v/>
      </c>
      <c r="V2406" s="9">
        <f>IF(ORIG!V2406=0,"",ORIG!V2406)</f>
        <v/>
      </c>
      <c r="W2406" s="9">
        <f>IF(ORIG!W2406=0,"",ORIG!W2406)</f>
        <v/>
      </c>
      <c r="X2406" s="9">
        <f>IF(ORIG!X2406=0,"",ORIG!X2406)</f>
        <v/>
      </c>
      <c r="Y2406" s="9">
        <f>IF(ORIG!Y2406=0,"",ORIG!Y2406)</f>
        <v/>
      </c>
      <c r="Z2406" s="3">
        <f>SUMPRODUCT($B2406:$Y2406,$B$2649:$Y$2649)</f>
        <v/>
      </c>
      <c r="AA2406" s="3">
        <f>SUMPRODUCT($B2406:$Y2406,$B$2655:$Y$2655)</f>
        <v/>
      </c>
      <c r="AC2406" s="1">
        <f>A2406</f>
        <v/>
      </c>
      <c r="AD2406">
        <f>IF(ISNUMBER(V2406),V2406*($AB$1/V$2635),"")</f>
        <v/>
      </c>
      <c r="AE2406">
        <f>IF(ISNUMBER(Z2406),Z2406*($AB$1/Z$2635),"")</f>
        <v/>
      </c>
      <c r="AF2406" s="25">
        <f>IF(ISNUMBER(AD2406+AE2406),AD2406+AE2406,"")</f>
        <v/>
      </c>
      <c r="AH2406" s="1">
        <f>A2406</f>
        <v/>
      </c>
      <c r="AI2406">
        <f>IF(ISNUMBER((1+V2406)*AI2405),(1+V2406)*AI2405,AI2405)</f>
        <v/>
      </c>
      <c r="AJ2406">
        <f>IF(ISNUMBER((1+Z2406)*AJ2405),(1+Z2406)*AJ2405,AJ2405)</f>
        <v/>
      </c>
    </row>
    <row r="2407">
      <c r="A2407" s="1" t="n">
        <v>45497</v>
      </c>
      <c r="B2407" s="3">
        <f>IF(ORIG!B2407=0,"",ORIG!B2407)</f>
        <v/>
      </c>
      <c r="C2407" s="3">
        <f>IF(ORIG!C2407=0,"",ORIG!C2407)</f>
        <v/>
      </c>
      <c r="D2407" s="3">
        <f>IF(ORIG!D2407=0,"",ORIG!D2407)</f>
        <v/>
      </c>
      <c r="E2407" s="3">
        <f>IF(ORIG!E2407=0,"",ORIG!E2407)</f>
        <v/>
      </c>
      <c r="F2407" s="3">
        <f>IF(ORIG!F2407=0,"",ORIG!F2407)</f>
        <v/>
      </c>
      <c r="G2407" s="3">
        <f>IF(ORIG!G2407=0,"",ORIG!G2407)</f>
        <v/>
      </c>
      <c r="H2407" s="3">
        <f>IF(ORIG!H2407=0,"",ORIG!H2407)</f>
        <v/>
      </c>
      <c r="I2407" s="3">
        <f>IF(ORIG!I2407=0,"",ORIG!I2407)</f>
        <v/>
      </c>
      <c r="J2407" s="3">
        <f>IF(ORIG!J2407=0,"",ORIG!J2407)</f>
        <v/>
      </c>
      <c r="K2407" s="3">
        <f>IF(ORIG!K2407=0,"",ORIG!K2407)</f>
        <v/>
      </c>
      <c r="L2407" s="3">
        <f>IF(ORIG!L2407=0,"",ORIG!L2407)</f>
        <v/>
      </c>
      <c r="M2407" s="3">
        <f>IF(ORIG!M2407=0,"",ORIG!M2407)</f>
        <v/>
      </c>
      <c r="N2407" s="3">
        <f>IF(ORIG!N2407=0,"",ORIG!N2407)</f>
        <v/>
      </c>
      <c r="O2407" s="3">
        <f>IF(ORIG!O2407=0,"",ORIG!O2407)</f>
        <v/>
      </c>
      <c r="P2407" s="3">
        <f>IF(ORIG!P2407=0,"",ORIG!P2407)</f>
        <v/>
      </c>
      <c r="Q2407" s="3">
        <f>IF(ORIG!Q2407=0,"",ORIG!Q2407)</f>
        <v/>
      </c>
      <c r="R2407" s="3">
        <f>IF(ORIG!R2407=0,"",ORIG!R2407)</f>
        <v/>
      </c>
      <c r="S2407" s="3">
        <f>IF(ORIG!S2407=0,"",ORIG!S2407)</f>
        <v/>
      </c>
      <c r="T2407" s="3">
        <f>IF(ORIG!T2407=0,"",ORIG!T2407)</f>
        <v/>
      </c>
      <c r="U2407" s="3">
        <f>IF(ORIG!U2407=0,"",ORIG!U2407)</f>
        <v/>
      </c>
      <c r="V2407" s="9">
        <f>IF(ORIG!V2407=0,"",ORIG!V2407)</f>
        <v/>
      </c>
      <c r="W2407" s="9">
        <f>IF(ORIG!W2407=0,"",ORIG!W2407)</f>
        <v/>
      </c>
      <c r="X2407" s="9">
        <f>IF(ORIG!X2407=0,"",ORIG!X2407)</f>
        <v/>
      </c>
      <c r="Y2407" s="9">
        <f>IF(ORIG!Y2407=0,"",ORIG!Y2407)</f>
        <v/>
      </c>
      <c r="Z2407" s="3">
        <f>SUMPRODUCT($B2407:$Y2407,$B$2649:$Y$2649)</f>
        <v/>
      </c>
      <c r="AA2407" s="3">
        <f>SUMPRODUCT($B2407:$Y2407,$B$2655:$Y$2655)</f>
        <v/>
      </c>
      <c r="AC2407" s="1">
        <f>A2407</f>
        <v/>
      </c>
      <c r="AD2407">
        <f>IF(ISNUMBER(V2407),V2407*($AB$1/V$2635),"")</f>
        <v/>
      </c>
      <c r="AE2407">
        <f>IF(ISNUMBER(Z2407),Z2407*($AB$1/Z$2635),"")</f>
        <v/>
      </c>
      <c r="AF2407" s="25">
        <f>IF(ISNUMBER(AD2407+AE2407),AD2407+AE2407,"")</f>
        <v/>
      </c>
      <c r="AH2407" s="1">
        <f>A2407</f>
        <v/>
      </c>
      <c r="AI2407">
        <f>IF(ISNUMBER((1+V2407)*AI2406),(1+V2407)*AI2406,AI2406)</f>
        <v/>
      </c>
      <c r="AJ2407">
        <f>IF(ISNUMBER((1+Z2407)*AJ2406),(1+Z2407)*AJ2406,AJ2406)</f>
        <v/>
      </c>
    </row>
    <row r="2408">
      <c r="A2408" s="1" t="n">
        <v>45498</v>
      </c>
      <c r="B2408" s="3">
        <f>IF(ORIG!B2408=0,"",ORIG!B2408)</f>
        <v/>
      </c>
      <c r="C2408" s="3">
        <f>IF(ORIG!C2408=0,"",ORIG!C2408)</f>
        <v/>
      </c>
      <c r="D2408" s="3">
        <f>IF(ORIG!D2408=0,"",ORIG!D2408)</f>
        <v/>
      </c>
      <c r="E2408" s="3">
        <f>IF(ORIG!E2408=0,"",ORIG!E2408)</f>
        <v/>
      </c>
      <c r="F2408" s="3">
        <f>IF(ORIG!F2408=0,"",ORIG!F2408)</f>
        <v/>
      </c>
      <c r="G2408" s="3">
        <f>IF(ORIG!G2408=0,"",ORIG!G2408)</f>
        <v/>
      </c>
      <c r="H2408" s="3">
        <f>IF(ORIG!H2408=0,"",ORIG!H2408)</f>
        <v/>
      </c>
      <c r="I2408" s="3">
        <f>IF(ORIG!I2408=0,"",ORIG!I2408)</f>
        <v/>
      </c>
      <c r="J2408" s="3">
        <f>IF(ORIG!J2408=0,"",ORIG!J2408)</f>
        <v/>
      </c>
      <c r="K2408" s="3">
        <f>IF(ORIG!K2408=0,"",ORIG!K2408)</f>
        <v/>
      </c>
      <c r="L2408" s="3">
        <f>IF(ORIG!L2408=0,"",ORIG!L2408)</f>
        <v/>
      </c>
      <c r="M2408" s="3">
        <f>IF(ORIG!M2408=0,"",ORIG!M2408)</f>
        <v/>
      </c>
      <c r="N2408" s="3">
        <f>IF(ORIG!N2408=0,"",ORIG!N2408)</f>
        <v/>
      </c>
      <c r="O2408" s="3">
        <f>IF(ORIG!O2408=0,"",ORIG!O2408)</f>
        <v/>
      </c>
      <c r="P2408" s="3">
        <f>IF(ORIG!P2408=0,"",ORIG!P2408)</f>
        <v/>
      </c>
      <c r="Q2408" s="3">
        <f>IF(ORIG!Q2408=0,"",ORIG!Q2408)</f>
        <v/>
      </c>
      <c r="R2408" s="3">
        <f>IF(ORIG!R2408=0,"",ORIG!R2408)</f>
        <v/>
      </c>
      <c r="S2408" s="3">
        <f>IF(ORIG!S2408=0,"",ORIG!S2408)</f>
        <v/>
      </c>
      <c r="T2408" s="3">
        <f>IF(ORIG!T2408=0,"",ORIG!T2408)</f>
        <v/>
      </c>
      <c r="U2408" s="3">
        <f>IF(ORIG!U2408=0,"",ORIG!U2408)</f>
        <v/>
      </c>
      <c r="V2408" s="9">
        <f>IF(ORIG!V2408=0,"",ORIG!V2408)</f>
        <v/>
      </c>
      <c r="W2408" s="9">
        <f>IF(ORIG!W2408=0,"",ORIG!W2408)</f>
        <v/>
      </c>
      <c r="X2408" s="9">
        <f>IF(ORIG!X2408=0,"",ORIG!X2408)</f>
        <v/>
      </c>
      <c r="Y2408" s="9">
        <f>IF(ORIG!Y2408=0,"",ORIG!Y2408)</f>
        <v/>
      </c>
      <c r="Z2408" s="3">
        <f>SUMPRODUCT($B2408:$Y2408,$B$2649:$Y$2649)</f>
        <v/>
      </c>
      <c r="AA2408" s="3">
        <f>SUMPRODUCT($B2408:$Y2408,$B$2655:$Y$2655)</f>
        <v/>
      </c>
      <c r="AC2408" s="1">
        <f>A2408</f>
        <v/>
      </c>
      <c r="AD2408">
        <f>IF(ISNUMBER(V2408),V2408*($AB$1/V$2635),"")</f>
        <v/>
      </c>
      <c r="AE2408">
        <f>IF(ISNUMBER(Z2408),Z2408*($AB$1/Z$2635),"")</f>
        <v/>
      </c>
      <c r="AF2408" s="25">
        <f>IF(ISNUMBER(AD2408+AE2408),AD2408+AE2408,"")</f>
        <v/>
      </c>
      <c r="AH2408" s="1">
        <f>A2408</f>
        <v/>
      </c>
      <c r="AI2408">
        <f>IF(ISNUMBER((1+V2408)*AI2407),(1+V2408)*AI2407,AI2407)</f>
        <v/>
      </c>
      <c r="AJ2408">
        <f>IF(ISNUMBER((1+Z2408)*AJ2407),(1+Z2408)*AJ2407,AJ2407)</f>
        <v/>
      </c>
    </row>
    <row r="2409">
      <c r="A2409" s="1" t="n">
        <v>45499</v>
      </c>
      <c r="B2409" s="3">
        <f>IF(ORIG!B2409=0,"",ORIG!B2409)</f>
        <v/>
      </c>
      <c r="C2409" s="3">
        <f>IF(ORIG!C2409=0,"",ORIG!C2409)</f>
        <v/>
      </c>
      <c r="D2409" s="3">
        <f>IF(ORIG!D2409=0,"",ORIG!D2409)</f>
        <v/>
      </c>
      <c r="E2409" s="3">
        <f>IF(ORIG!E2409=0,"",ORIG!E2409)</f>
        <v/>
      </c>
      <c r="F2409" s="3">
        <f>IF(ORIG!F2409=0,"",ORIG!F2409)</f>
        <v/>
      </c>
      <c r="G2409" s="3">
        <f>IF(ORIG!G2409=0,"",ORIG!G2409)</f>
        <v/>
      </c>
      <c r="H2409" s="3">
        <f>IF(ORIG!H2409=0,"",ORIG!H2409)</f>
        <v/>
      </c>
      <c r="I2409" s="3">
        <f>IF(ORIG!I2409=0,"",ORIG!I2409)</f>
        <v/>
      </c>
      <c r="J2409" s="3">
        <f>IF(ORIG!J2409=0,"",ORIG!J2409)</f>
        <v/>
      </c>
      <c r="K2409" s="3">
        <f>IF(ORIG!K2409=0,"",ORIG!K2409)</f>
        <v/>
      </c>
      <c r="L2409" s="3">
        <f>IF(ORIG!L2409=0,"",ORIG!L2409)</f>
        <v/>
      </c>
      <c r="M2409" s="3">
        <f>IF(ORIG!M2409=0,"",ORIG!M2409)</f>
        <v/>
      </c>
      <c r="N2409" s="3">
        <f>IF(ORIG!N2409=0,"",ORIG!N2409)</f>
        <v/>
      </c>
      <c r="O2409" s="3">
        <f>IF(ORIG!O2409=0,"",ORIG!O2409)</f>
        <v/>
      </c>
      <c r="P2409" s="3">
        <f>IF(ORIG!P2409=0,"",ORIG!P2409)</f>
        <v/>
      </c>
      <c r="Q2409" s="3">
        <f>IF(ORIG!Q2409=0,"",ORIG!Q2409)</f>
        <v/>
      </c>
      <c r="R2409" s="3">
        <f>IF(ORIG!R2409=0,"",ORIG!R2409)</f>
        <v/>
      </c>
      <c r="S2409" s="3">
        <f>IF(ORIG!S2409=0,"",ORIG!S2409)</f>
        <v/>
      </c>
      <c r="T2409" s="3">
        <f>IF(ORIG!T2409=0,"",ORIG!T2409)</f>
        <v/>
      </c>
      <c r="U2409" s="3">
        <f>IF(ORIG!U2409=0,"",ORIG!U2409)</f>
        <v/>
      </c>
      <c r="V2409" s="9">
        <f>IF(ORIG!V2409=0,"",ORIG!V2409)</f>
        <v/>
      </c>
      <c r="W2409" s="9">
        <f>IF(ORIG!W2409=0,"",ORIG!W2409)</f>
        <v/>
      </c>
      <c r="X2409" s="9">
        <f>IF(ORIG!X2409=0,"",ORIG!X2409)</f>
        <v/>
      </c>
      <c r="Y2409" s="9">
        <f>IF(ORIG!Y2409=0,"",ORIG!Y2409)</f>
        <v/>
      </c>
      <c r="Z2409" s="3">
        <f>SUMPRODUCT($B2409:$Y2409,$B$2649:$Y$2649)</f>
        <v/>
      </c>
      <c r="AA2409" s="3">
        <f>SUMPRODUCT($B2409:$Y2409,$B$2655:$Y$2655)</f>
        <v/>
      </c>
      <c r="AC2409" s="1">
        <f>A2409</f>
        <v/>
      </c>
      <c r="AD2409">
        <f>IF(ISNUMBER(V2409),V2409*($AB$1/V$2635),"")</f>
        <v/>
      </c>
      <c r="AE2409">
        <f>IF(ISNUMBER(Z2409),Z2409*($AB$1/Z$2635),"")</f>
        <v/>
      </c>
      <c r="AF2409" s="25">
        <f>IF(ISNUMBER(AD2409+AE2409),AD2409+AE2409,"")</f>
        <v/>
      </c>
      <c r="AH2409" s="1">
        <f>A2409</f>
        <v/>
      </c>
      <c r="AI2409">
        <f>IF(ISNUMBER((1+V2409)*AI2408),(1+V2409)*AI2408,AI2408)</f>
        <v/>
      </c>
      <c r="AJ2409">
        <f>IF(ISNUMBER((1+Z2409)*AJ2408),(1+Z2409)*AJ2408,AJ2408)</f>
        <v/>
      </c>
    </row>
    <row r="2410">
      <c r="A2410" s="1" t="n">
        <v>45502</v>
      </c>
      <c r="B2410" s="3">
        <f>IF(ORIG!B2410=0,"",ORIG!B2410)</f>
        <v/>
      </c>
      <c r="C2410" s="3">
        <f>IF(ORIG!C2410=0,"",ORIG!C2410)</f>
        <v/>
      </c>
      <c r="D2410" s="3">
        <f>IF(ORIG!D2410=0,"",ORIG!D2410)</f>
        <v/>
      </c>
      <c r="E2410" s="3">
        <f>IF(ORIG!E2410=0,"",ORIG!E2410)</f>
        <v/>
      </c>
      <c r="F2410" s="3">
        <f>IF(ORIG!F2410=0,"",ORIG!F2410)</f>
        <v/>
      </c>
      <c r="G2410" s="3">
        <f>IF(ORIG!G2410=0,"",ORIG!G2410)</f>
        <v/>
      </c>
      <c r="H2410" s="3">
        <f>IF(ORIG!H2410=0,"",ORIG!H2410)</f>
        <v/>
      </c>
      <c r="I2410" s="3">
        <f>IF(ORIG!I2410=0,"",ORIG!I2410)</f>
        <v/>
      </c>
      <c r="J2410" s="3">
        <f>IF(ORIG!J2410=0,"",ORIG!J2410)</f>
        <v/>
      </c>
      <c r="K2410" s="3">
        <f>IF(ORIG!K2410=0,"",ORIG!K2410)</f>
        <v/>
      </c>
      <c r="L2410" s="3">
        <f>IF(ORIG!L2410=0,"",ORIG!L2410)</f>
        <v/>
      </c>
      <c r="M2410" s="3">
        <f>IF(ORIG!M2410=0,"",ORIG!M2410)</f>
        <v/>
      </c>
      <c r="N2410" s="3">
        <f>IF(ORIG!N2410=0,"",ORIG!N2410)</f>
        <v/>
      </c>
      <c r="O2410" s="3">
        <f>IF(ORIG!O2410=0,"",ORIG!O2410)</f>
        <v/>
      </c>
      <c r="P2410" s="3">
        <f>IF(ORIG!P2410=0,"",ORIG!P2410)</f>
        <v/>
      </c>
      <c r="Q2410" s="3">
        <f>IF(ORIG!Q2410=0,"",ORIG!Q2410)</f>
        <v/>
      </c>
      <c r="R2410" s="3">
        <f>IF(ORIG!R2410=0,"",ORIG!R2410)</f>
        <v/>
      </c>
      <c r="S2410" s="3">
        <f>IF(ORIG!S2410=0,"",ORIG!S2410)</f>
        <v/>
      </c>
      <c r="T2410" s="3">
        <f>IF(ORIG!T2410=0,"",ORIG!T2410)</f>
        <v/>
      </c>
      <c r="U2410" s="3">
        <f>IF(ORIG!U2410=0,"",ORIG!U2410)</f>
        <v/>
      </c>
      <c r="V2410" s="9">
        <f>IF(ORIG!V2410=0,"",ORIG!V2410)</f>
        <v/>
      </c>
      <c r="W2410" s="9">
        <f>IF(ORIG!W2410=0,"",ORIG!W2410)</f>
        <v/>
      </c>
      <c r="X2410" s="9">
        <f>IF(ORIG!X2410=0,"",ORIG!X2410)</f>
        <v/>
      </c>
      <c r="Y2410" s="9">
        <f>IF(ORIG!Y2410=0,"",ORIG!Y2410)</f>
        <v/>
      </c>
      <c r="Z2410" s="3">
        <f>SUMPRODUCT($B2410:$Y2410,$B$2649:$Y$2649)</f>
        <v/>
      </c>
      <c r="AA2410" s="3">
        <f>SUMPRODUCT($B2410:$Y2410,$B$2655:$Y$2655)</f>
        <v/>
      </c>
      <c r="AC2410" s="1">
        <f>A2410</f>
        <v/>
      </c>
      <c r="AD2410">
        <f>IF(ISNUMBER(V2410),V2410*($AB$1/V$2635),"")</f>
        <v/>
      </c>
      <c r="AE2410">
        <f>IF(ISNUMBER(Z2410),Z2410*($AB$1/Z$2635),"")</f>
        <v/>
      </c>
      <c r="AF2410" s="25">
        <f>IF(ISNUMBER(AD2410+AE2410),AD2410+AE2410,"")</f>
        <v/>
      </c>
      <c r="AH2410" s="1">
        <f>A2410</f>
        <v/>
      </c>
      <c r="AI2410">
        <f>IF(ISNUMBER((1+V2410)*AI2409),(1+V2410)*AI2409,AI2409)</f>
        <v/>
      </c>
      <c r="AJ2410">
        <f>IF(ISNUMBER((1+Z2410)*AJ2409),(1+Z2410)*AJ2409,AJ2409)</f>
        <v/>
      </c>
    </row>
    <row r="2411">
      <c r="A2411" s="1" t="n">
        <v>45503</v>
      </c>
      <c r="B2411" s="3">
        <f>IF(ORIG!B2411=0,"",ORIG!B2411)</f>
        <v/>
      </c>
      <c r="C2411" s="3">
        <f>IF(ORIG!C2411=0,"",ORIG!C2411)</f>
        <v/>
      </c>
      <c r="D2411" s="3">
        <f>IF(ORIG!D2411=0,"",ORIG!D2411)</f>
        <v/>
      </c>
      <c r="E2411" s="3">
        <f>IF(ORIG!E2411=0,"",ORIG!E2411)</f>
        <v/>
      </c>
      <c r="F2411" s="3">
        <f>IF(ORIG!F2411=0,"",ORIG!F2411)</f>
        <v/>
      </c>
      <c r="G2411" s="3">
        <f>IF(ORIG!G2411=0,"",ORIG!G2411)</f>
        <v/>
      </c>
      <c r="H2411" s="3">
        <f>IF(ORIG!H2411=0,"",ORIG!H2411)</f>
        <v/>
      </c>
      <c r="I2411" s="3">
        <f>IF(ORIG!I2411=0,"",ORIG!I2411)</f>
        <v/>
      </c>
      <c r="J2411" s="3">
        <f>IF(ORIG!J2411=0,"",ORIG!J2411)</f>
        <v/>
      </c>
      <c r="K2411" s="3">
        <f>IF(ORIG!K2411=0,"",ORIG!K2411)</f>
        <v/>
      </c>
      <c r="L2411" s="3">
        <f>IF(ORIG!L2411=0,"",ORIG!L2411)</f>
        <v/>
      </c>
      <c r="M2411" s="3">
        <f>IF(ORIG!M2411=0,"",ORIG!M2411)</f>
        <v/>
      </c>
      <c r="N2411" s="3">
        <f>IF(ORIG!N2411=0,"",ORIG!N2411)</f>
        <v/>
      </c>
      <c r="O2411" s="3">
        <f>IF(ORIG!O2411=0,"",ORIG!O2411)</f>
        <v/>
      </c>
      <c r="P2411" s="3">
        <f>IF(ORIG!P2411=0,"",ORIG!P2411)</f>
        <v/>
      </c>
      <c r="Q2411" s="3">
        <f>IF(ORIG!Q2411=0,"",ORIG!Q2411)</f>
        <v/>
      </c>
      <c r="R2411" s="3">
        <f>IF(ORIG!R2411=0,"",ORIG!R2411)</f>
        <v/>
      </c>
      <c r="S2411" s="3">
        <f>IF(ORIG!S2411=0,"",ORIG!S2411)</f>
        <v/>
      </c>
      <c r="T2411" s="3">
        <f>IF(ORIG!T2411=0,"",ORIG!T2411)</f>
        <v/>
      </c>
      <c r="U2411" s="3">
        <f>IF(ORIG!U2411=0,"",ORIG!U2411)</f>
        <v/>
      </c>
      <c r="V2411" s="9">
        <f>IF(ORIG!V2411=0,"",ORIG!V2411)</f>
        <v/>
      </c>
      <c r="W2411" s="9">
        <f>IF(ORIG!W2411=0,"",ORIG!W2411)</f>
        <v/>
      </c>
      <c r="X2411" s="9">
        <f>IF(ORIG!X2411=0,"",ORIG!X2411)</f>
        <v/>
      </c>
      <c r="Y2411" s="9">
        <f>IF(ORIG!Y2411=0,"",ORIG!Y2411)</f>
        <v/>
      </c>
      <c r="Z2411" s="3">
        <f>SUMPRODUCT($B2411:$Y2411,$B$2649:$Y$2649)</f>
        <v/>
      </c>
      <c r="AA2411" s="3">
        <f>SUMPRODUCT($B2411:$Y2411,$B$2655:$Y$2655)</f>
        <v/>
      </c>
      <c r="AC2411" s="1">
        <f>A2411</f>
        <v/>
      </c>
      <c r="AD2411">
        <f>IF(ISNUMBER(V2411),V2411*($AB$1/V$2635),"")</f>
        <v/>
      </c>
      <c r="AE2411">
        <f>IF(ISNUMBER(Z2411),Z2411*($AB$1/Z$2635),"")</f>
        <v/>
      </c>
      <c r="AF2411" s="25">
        <f>IF(ISNUMBER(AD2411+AE2411),AD2411+AE2411,"")</f>
        <v/>
      </c>
      <c r="AH2411" s="1">
        <f>A2411</f>
        <v/>
      </c>
      <c r="AI2411">
        <f>IF(ISNUMBER((1+V2411)*AI2410),(1+V2411)*AI2410,AI2410)</f>
        <v/>
      </c>
      <c r="AJ2411">
        <f>IF(ISNUMBER((1+Z2411)*AJ2410),(1+Z2411)*AJ2410,AJ2410)</f>
        <v/>
      </c>
    </row>
    <row r="2412">
      <c r="A2412" s="1" t="n">
        <v>45504</v>
      </c>
      <c r="B2412" s="3">
        <f>IF(ORIG!B2412=0,"",ORIG!B2412)</f>
        <v/>
      </c>
      <c r="C2412" s="3">
        <f>IF(ORIG!C2412=0,"",ORIG!C2412)</f>
        <v/>
      </c>
      <c r="D2412" s="3">
        <f>IF(ORIG!D2412=0,"",ORIG!D2412)</f>
        <v/>
      </c>
      <c r="E2412" s="3">
        <f>IF(ORIG!E2412=0,"",ORIG!E2412)</f>
        <v/>
      </c>
      <c r="F2412" s="3">
        <f>IF(ORIG!F2412=0,"",ORIG!F2412)</f>
        <v/>
      </c>
      <c r="G2412" s="3">
        <f>IF(ORIG!G2412=0,"",ORIG!G2412)</f>
        <v/>
      </c>
      <c r="H2412" s="3">
        <f>IF(ORIG!H2412=0,"",ORIG!H2412)</f>
        <v/>
      </c>
      <c r="I2412" s="3">
        <f>IF(ORIG!I2412=0,"",ORIG!I2412)</f>
        <v/>
      </c>
      <c r="J2412" s="3">
        <f>IF(ORIG!J2412=0,"",ORIG!J2412)</f>
        <v/>
      </c>
      <c r="K2412" s="3">
        <f>IF(ORIG!K2412=0,"",ORIG!K2412)</f>
        <v/>
      </c>
      <c r="L2412" s="3">
        <f>IF(ORIG!L2412=0,"",ORIG!L2412)</f>
        <v/>
      </c>
      <c r="M2412" s="3">
        <f>IF(ORIG!M2412=0,"",ORIG!M2412)</f>
        <v/>
      </c>
      <c r="N2412" s="3">
        <f>IF(ORIG!N2412=0,"",ORIG!N2412)</f>
        <v/>
      </c>
      <c r="O2412" s="3">
        <f>IF(ORIG!O2412=0,"",ORIG!O2412)</f>
        <v/>
      </c>
      <c r="P2412" s="3">
        <f>IF(ORIG!P2412=0,"",ORIG!P2412)</f>
        <v/>
      </c>
      <c r="Q2412" s="3">
        <f>IF(ORIG!Q2412=0,"",ORIG!Q2412)</f>
        <v/>
      </c>
      <c r="R2412" s="3">
        <f>IF(ORIG!R2412=0,"",ORIG!R2412)</f>
        <v/>
      </c>
      <c r="S2412" s="3">
        <f>IF(ORIG!S2412=0,"",ORIG!S2412)</f>
        <v/>
      </c>
      <c r="T2412" s="3">
        <f>IF(ORIG!T2412=0,"",ORIG!T2412)</f>
        <v/>
      </c>
      <c r="U2412" s="3">
        <f>IF(ORIG!U2412=0,"",ORIG!U2412)</f>
        <v/>
      </c>
      <c r="V2412" s="9">
        <f>IF(ORIG!V2412=0,"",ORIG!V2412)</f>
        <v/>
      </c>
      <c r="W2412" s="9">
        <f>IF(ORIG!W2412=0,"",ORIG!W2412)</f>
        <v/>
      </c>
      <c r="X2412" s="9">
        <f>IF(ORIG!X2412=0,"",ORIG!X2412)</f>
        <v/>
      </c>
      <c r="Y2412" s="9">
        <f>IF(ORIG!Y2412=0,"",ORIG!Y2412)</f>
        <v/>
      </c>
      <c r="Z2412" s="3">
        <f>SUMPRODUCT($B2412:$Y2412,$B$2649:$Y$2649)</f>
        <v/>
      </c>
      <c r="AA2412" s="3">
        <f>SUMPRODUCT($B2412:$Y2412,$B$2655:$Y$2655)</f>
        <v/>
      </c>
      <c r="AC2412" s="1">
        <f>A2412</f>
        <v/>
      </c>
      <c r="AD2412">
        <f>IF(ISNUMBER(V2412),V2412*($AB$1/V$2635),"")</f>
        <v/>
      </c>
      <c r="AE2412">
        <f>IF(ISNUMBER(Z2412),Z2412*($AB$1/Z$2635),"")</f>
        <v/>
      </c>
      <c r="AF2412" s="25">
        <f>IF(ISNUMBER(AD2412+AE2412),AD2412+AE2412,"")</f>
        <v/>
      </c>
      <c r="AH2412" s="1">
        <f>A2412</f>
        <v/>
      </c>
      <c r="AI2412">
        <f>IF(ISNUMBER((1+V2412)*AI2411),(1+V2412)*AI2411,AI2411)</f>
        <v/>
      </c>
      <c r="AJ2412">
        <f>IF(ISNUMBER((1+Z2412)*AJ2411),(1+Z2412)*AJ2411,AJ2411)</f>
        <v/>
      </c>
    </row>
    <row r="2413">
      <c r="A2413" s="1" t="n">
        <v>45505</v>
      </c>
      <c r="B2413" s="3">
        <f>IF(ORIG!B2413=0,"",ORIG!B2413)</f>
        <v/>
      </c>
      <c r="C2413" s="3">
        <f>IF(ORIG!C2413=0,"",ORIG!C2413)</f>
        <v/>
      </c>
      <c r="D2413" s="3">
        <f>IF(ORIG!D2413=0,"",ORIG!D2413)</f>
        <v/>
      </c>
      <c r="E2413" s="3">
        <f>IF(ORIG!E2413=0,"",ORIG!E2413)</f>
        <v/>
      </c>
      <c r="F2413" s="3">
        <f>IF(ORIG!F2413=0,"",ORIG!F2413)</f>
        <v/>
      </c>
      <c r="G2413" s="3">
        <f>IF(ORIG!G2413=0,"",ORIG!G2413)</f>
        <v/>
      </c>
      <c r="H2413" s="3">
        <f>IF(ORIG!H2413=0,"",ORIG!H2413)</f>
        <v/>
      </c>
      <c r="I2413" s="3">
        <f>IF(ORIG!I2413=0,"",ORIG!I2413)</f>
        <v/>
      </c>
      <c r="J2413" s="3">
        <f>IF(ORIG!J2413=0,"",ORIG!J2413)</f>
        <v/>
      </c>
      <c r="K2413" s="3">
        <f>IF(ORIG!K2413=0,"",ORIG!K2413)</f>
        <v/>
      </c>
      <c r="L2413" s="3">
        <f>IF(ORIG!L2413=0,"",ORIG!L2413)</f>
        <v/>
      </c>
      <c r="M2413" s="3">
        <f>IF(ORIG!M2413=0,"",ORIG!M2413)</f>
        <v/>
      </c>
      <c r="N2413" s="3">
        <f>IF(ORIG!N2413=0,"",ORIG!N2413)</f>
        <v/>
      </c>
      <c r="O2413" s="3">
        <f>IF(ORIG!O2413=0,"",ORIG!O2413)</f>
        <v/>
      </c>
      <c r="P2413" s="3">
        <f>IF(ORIG!P2413=0,"",ORIG!P2413)</f>
        <v/>
      </c>
      <c r="Q2413" s="3">
        <f>IF(ORIG!Q2413=0,"",ORIG!Q2413)</f>
        <v/>
      </c>
      <c r="R2413" s="3">
        <f>IF(ORIG!R2413=0,"",ORIG!R2413)</f>
        <v/>
      </c>
      <c r="S2413" s="3">
        <f>IF(ORIG!S2413=0,"",ORIG!S2413)</f>
        <v/>
      </c>
      <c r="T2413" s="3">
        <f>IF(ORIG!T2413=0,"",ORIG!T2413)</f>
        <v/>
      </c>
      <c r="U2413" s="3">
        <f>IF(ORIG!U2413=0,"",ORIG!U2413)</f>
        <v/>
      </c>
      <c r="V2413" s="9">
        <f>IF(ORIG!V2413=0,"",ORIG!V2413)</f>
        <v/>
      </c>
      <c r="W2413" s="9">
        <f>IF(ORIG!W2413=0,"",ORIG!W2413)</f>
        <v/>
      </c>
      <c r="X2413" s="9">
        <f>IF(ORIG!X2413=0,"",ORIG!X2413)</f>
        <v/>
      </c>
      <c r="Y2413" s="9">
        <f>IF(ORIG!Y2413=0,"",ORIG!Y2413)</f>
        <v/>
      </c>
      <c r="Z2413" s="3">
        <f>SUMPRODUCT($B2413:$Y2413,$B$2649:$Y$2649)</f>
        <v/>
      </c>
      <c r="AA2413" s="3">
        <f>SUMPRODUCT($B2413:$Y2413,$B$2655:$Y$2655)</f>
        <v/>
      </c>
      <c r="AC2413" s="1">
        <f>A2413</f>
        <v/>
      </c>
      <c r="AD2413">
        <f>IF(ISNUMBER(V2413),V2413*($AB$1/V$2635),"")</f>
        <v/>
      </c>
      <c r="AE2413">
        <f>IF(ISNUMBER(Z2413),Z2413*($AB$1/Z$2635),"")</f>
        <v/>
      </c>
      <c r="AF2413" s="25">
        <f>IF(ISNUMBER(AD2413+AE2413),AD2413+AE2413,"")</f>
        <v/>
      </c>
      <c r="AH2413" s="1">
        <f>A2413</f>
        <v/>
      </c>
      <c r="AI2413">
        <f>IF(ISNUMBER((1+V2413)*AI2412),(1+V2413)*AI2412,AI2412)</f>
        <v/>
      </c>
      <c r="AJ2413">
        <f>IF(ISNUMBER((1+Z2413)*AJ2412),(1+Z2413)*AJ2412,AJ2412)</f>
        <v/>
      </c>
    </row>
    <row r="2414">
      <c r="A2414" s="1" t="n">
        <v>45506</v>
      </c>
      <c r="B2414" s="3">
        <f>IF(ORIG!B2414=0,"",ORIG!B2414)</f>
        <v/>
      </c>
      <c r="C2414" s="3">
        <f>IF(ORIG!C2414=0,"",ORIG!C2414)</f>
        <v/>
      </c>
      <c r="D2414" s="3">
        <f>IF(ORIG!D2414=0,"",ORIG!D2414)</f>
        <v/>
      </c>
      <c r="E2414" s="3">
        <f>IF(ORIG!E2414=0,"",ORIG!E2414)</f>
        <v/>
      </c>
      <c r="F2414" s="3">
        <f>IF(ORIG!F2414=0,"",ORIG!F2414)</f>
        <v/>
      </c>
      <c r="G2414" s="3">
        <f>IF(ORIG!G2414=0,"",ORIG!G2414)</f>
        <v/>
      </c>
      <c r="H2414" s="3">
        <f>IF(ORIG!H2414=0,"",ORIG!H2414)</f>
        <v/>
      </c>
      <c r="I2414" s="3">
        <f>IF(ORIG!I2414=0,"",ORIG!I2414)</f>
        <v/>
      </c>
      <c r="J2414" s="3">
        <f>IF(ORIG!J2414=0,"",ORIG!J2414)</f>
        <v/>
      </c>
      <c r="K2414" s="3">
        <f>IF(ORIG!K2414=0,"",ORIG!K2414)</f>
        <v/>
      </c>
      <c r="L2414" s="3">
        <f>IF(ORIG!L2414=0,"",ORIG!L2414)</f>
        <v/>
      </c>
      <c r="M2414" s="3">
        <f>IF(ORIG!M2414=0,"",ORIG!M2414)</f>
        <v/>
      </c>
      <c r="N2414" s="3">
        <f>IF(ORIG!N2414=0,"",ORIG!N2414)</f>
        <v/>
      </c>
      <c r="O2414" s="3">
        <f>IF(ORIG!O2414=0,"",ORIG!O2414)</f>
        <v/>
      </c>
      <c r="P2414" s="3">
        <f>IF(ORIG!P2414=0,"",ORIG!P2414)</f>
        <v/>
      </c>
      <c r="Q2414" s="3">
        <f>IF(ORIG!Q2414=0,"",ORIG!Q2414)</f>
        <v/>
      </c>
      <c r="R2414" s="3">
        <f>IF(ORIG!R2414=0,"",ORIG!R2414)</f>
        <v/>
      </c>
      <c r="S2414" s="3">
        <f>IF(ORIG!S2414=0,"",ORIG!S2414)</f>
        <v/>
      </c>
      <c r="T2414" s="3">
        <f>IF(ORIG!T2414=0,"",ORIG!T2414)</f>
        <v/>
      </c>
      <c r="U2414" s="3">
        <f>IF(ORIG!U2414=0,"",ORIG!U2414)</f>
        <v/>
      </c>
      <c r="V2414" s="9">
        <f>IF(ORIG!V2414=0,"",ORIG!V2414)</f>
        <v/>
      </c>
      <c r="W2414" s="9">
        <f>IF(ORIG!W2414=0,"",ORIG!W2414)</f>
        <v/>
      </c>
      <c r="X2414" s="9">
        <f>IF(ORIG!X2414=0,"",ORIG!X2414)</f>
        <v/>
      </c>
      <c r="Y2414" s="9">
        <f>IF(ORIG!Y2414=0,"",ORIG!Y2414)</f>
        <v/>
      </c>
      <c r="Z2414" s="3">
        <f>SUMPRODUCT($B2414:$Y2414,$B$2649:$Y$2649)</f>
        <v/>
      </c>
      <c r="AA2414" s="3">
        <f>SUMPRODUCT($B2414:$Y2414,$B$2655:$Y$2655)</f>
        <v/>
      </c>
      <c r="AC2414" s="1">
        <f>A2414</f>
        <v/>
      </c>
      <c r="AD2414">
        <f>IF(ISNUMBER(V2414),V2414*($AB$1/V$2635),"")</f>
        <v/>
      </c>
      <c r="AE2414">
        <f>IF(ISNUMBER(Z2414),Z2414*($AB$1/Z$2635),"")</f>
        <v/>
      </c>
      <c r="AF2414" s="25">
        <f>IF(ISNUMBER(AD2414+AE2414),AD2414+AE2414,"")</f>
        <v/>
      </c>
      <c r="AH2414" s="1">
        <f>A2414</f>
        <v/>
      </c>
      <c r="AI2414">
        <f>IF(ISNUMBER((1+V2414)*AI2413),(1+V2414)*AI2413,AI2413)</f>
        <v/>
      </c>
      <c r="AJ2414">
        <f>IF(ISNUMBER((1+Z2414)*AJ2413),(1+Z2414)*AJ2413,AJ2413)</f>
        <v/>
      </c>
    </row>
    <row r="2415">
      <c r="A2415" s="1" t="n">
        <v>45509</v>
      </c>
      <c r="B2415" s="3">
        <f>IF(ORIG!B2415=0,"",ORIG!B2415)</f>
        <v/>
      </c>
      <c r="C2415" s="3">
        <f>IF(ORIG!C2415=0,"",ORIG!C2415)</f>
        <v/>
      </c>
      <c r="D2415" s="3">
        <f>IF(ORIG!D2415=0,"",ORIG!D2415)</f>
        <v/>
      </c>
      <c r="E2415" s="3">
        <f>IF(ORIG!E2415=0,"",ORIG!E2415)</f>
        <v/>
      </c>
      <c r="F2415" s="3">
        <f>IF(ORIG!F2415=0,"",ORIG!F2415)</f>
        <v/>
      </c>
      <c r="G2415" s="3">
        <f>IF(ORIG!G2415=0,"",ORIG!G2415)</f>
        <v/>
      </c>
      <c r="H2415" s="3">
        <f>IF(ORIG!H2415=0,"",ORIG!H2415)</f>
        <v/>
      </c>
      <c r="I2415" s="3">
        <f>IF(ORIG!I2415=0,"",ORIG!I2415)</f>
        <v/>
      </c>
      <c r="J2415" s="3">
        <f>IF(ORIG!J2415=0,"",ORIG!J2415)</f>
        <v/>
      </c>
      <c r="K2415" s="3">
        <f>IF(ORIG!K2415=0,"",ORIG!K2415)</f>
        <v/>
      </c>
      <c r="L2415" s="3">
        <f>IF(ORIG!L2415=0,"",ORIG!L2415)</f>
        <v/>
      </c>
      <c r="M2415" s="3">
        <f>IF(ORIG!M2415=0,"",ORIG!M2415)</f>
        <v/>
      </c>
      <c r="N2415" s="3">
        <f>IF(ORIG!N2415=0,"",ORIG!N2415)</f>
        <v/>
      </c>
      <c r="O2415" s="3">
        <f>IF(ORIG!O2415=0,"",ORIG!O2415)</f>
        <v/>
      </c>
      <c r="P2415" s="3">
        <f>IF(ORIG!P2415=0,"",ORIG!P2415)</f>
        <v/>
      </c>
      <c r="Q2415" s="3">
        <f>IF(ORIG!Q2415=0,"",ORIG!Q2415)</f>
        <v/>
      </c>
      <c r="R2415" s="3">
        <f>IF(ORIG!R2415=0,"",ORIG!R2415)</f>
        <v/>
      </c>
      <c r="S2415" s="3">
        <f>IF(ORIG!S2415=0,"",ORIG!S2415)</f>
        <v/>
      </c>
      <c r="T2415" s="3">
        <f>IF(ORIG!T2415=0,"",ORIG!T2415)</f>
        <v/>
      </c>
      <c r="U2415" s="3">
        <f>IF(ORIG!U2415=0,"",ORIG!U2415)</f>
        <v/>
      </c>
      <c r="V2415" s="9">
        <f>IF(ORIG!V2415=0,"",ORIG!V2415)</f>
        <v/>
      </c>
      <c r="W2415" s="9">
        <f>IF(ORIG!W2415=0,"",ORIG!W2415)</f>
        <v/>
      </c>
      <c r="X2415" s="9">
        <f>IF(ORIG!X2415=0,"",ORIG!X2415)</f>
        <v/>
      </c>
      <c r="Y2415" s="9">
        <f>IF(ORIG!Y2415=0,"",ORIG!Y2415)</f>
        <v/>
      </c>
      <c r="Z2415" s="3">
        <f>SUMPRODUCT($B2415:$Y2415,$B$2649:$Y$2649)</f>
        <v/>
      </c>
      <c r="AA2415" s="3">
        <f>SUMPRODUCT($B2415:$Y2415,$B$2655:$Y$2655)</f>
        <v/>
      </c>
      <c r="AC2415" s="1">
        <f>A2415</f>
        <v/>
      </c>
      <c r="AD2415">
        <f>IF(ISNUMBER(V2415),V2415*($AB$1/V$2635),"")</f>
        <v/>
      </c>
      <c r="AE2415">
        <f>IF(ISNUMBER(Z2415),Z2415*($AB$1/Z$2635),"")</f>
        <v/>
      </c>
      <c r="AF2415" s="25">
        <f>IF(ISNUMBER(AD2415+AE2415),AD2415+AE2415,"")</f>
        <v/>
      </c>
      <c r="AH2415" s="1">
        <f>A2415</f>
        <v/>
      </c>
      <c r="AI2415">
        <f>IF(ISNUMBER((1+V2415)*AI2414),(1+V2415)*AI2414,AI2414)</f>
        <v/>
      </c>
      <c r="AJ2415">
        <f>IF(ISNUMBER((1+Z2415)*AJ2414),(1+Z2415)*AJ2414,AJ2414)</f>
        <v/>
      </c>
    </row>
    <row r="2416">
      <c r="A2416" s="1" t="n">
        <v>45510</v>
      </c>
      <c r="B2416" s="3">
        <f>IF(ORIG!B2416=0,"",ORIG!B2416)</f>
        <v/>
      </c>
      <c r="C2416" s="3">
        <f>IF(ORIG!C2416=0,"",ORIG!C2416)</f>
        <v/>
      </c>
      <c r="D2416" s="3">
        <f>IF(ORIG!D2416=0,"",ORIG!D2416)</f>
        <v/>
      </c>
      <c r="E2416" s="3">
        <f>IF(ORIG!E2416=0,"",ORIG!E2416)</f>
        <v/>
      </c>
      <c r="F2416" s="3">
        <f>IF(ORIG!F2416=0,"",ORIG!F2416)</f>
        <v/>
      </c>
      <c r="G2416" s="3">
        <f>IF(ORIG!G2416=0,"",ORIG!G2416)</f>
        <v/>
      </c>
      <c r="H2416" s="3">
        <f>IF(ORIG!H2416=0,"",ORIG!H2416)</f>
        <v/>
      </c>
      <c r="I2416" s="3">
        <f>IF(ORIG!I2416=0,"",ORIG!I2416)</f>
        <v/>
      </c>
      <c r="J2416" s="3">
        <f>IF(ORIG!J2416=0,"",ORIG!J2416)</f>
        <v/>
      </c>
      <c r="K2416" s="3">
        <f>IF(ORIG!K2416=0,"",ORIG!K2416)</f>
        <v/>
      </c>
      <c r="L2416" s="3">
        <f>IF(ORIG!L2416=0,"",ORIG!L2416)</f>
        <v/>
      </c>
      <c r="M2416" s="3">
        <f>IF(ORIG!M2416=0,"",ORIG!M2416)</f>
        <v/>
      </c>
      <c r="N2416" s="3">
        <f>IF(ORIG!N2416=0,"",ORIG!N2416)</f>
        <v/>
      </c>
      <c r="O2416" s="3">
        <f>IF(ORIG!O2416=0,"",ORIG!O2416)</f>
        <v/>
      </c>
      <c r="P2416" s="3">
        <f>IF(ORIG!P2416=0,"",ORIG!P2416)</f>
        <v/>
      </c>
      <c r="Q2416" s="3">
        <f>IF(ORIG!Q2416=0,"",ORIG!Q2416)</f>
        <v/>
      </c>
      <c r="R2416" s="3">
        <f>IF(ORIG!R2416=0,"",ORIG!R2416)</f>
        <v/>
      </c>
      <c r="S2416" s="3">
        <f>IF(ORIG!S2416=0,"",ORIG!S2416)</f>
        <v/>
      </c>
      <c r="T2416" s="3">
        <f>IF(ORIG!T2416=0,"",ORIG!T2416)</f>
        <v/>
      </c>
      <c r="U2416" s="3">
        <f>IF(ORIG!U2416=0,"",ORIG!U2416)</f>
        <v/>
      </c>
      <c r="V2416" s="9">
        <f>IF(ORIG!V2416=0,"",ORIG!V2416)</f>
        <v/>
      </c>
      <c r="W2416" s="9">
        <f>IF(ORIG!W2416=0,"",ORIG!W2416)</f>
        <v/>
      </c>
      <c r="X2416" s="9">
        <f>IF(ORIG!X2416=0,"",ORIG!X2416)</f>
        <v/>
      </c>
      <c r="Y2416" s="9">
        <f>IF(ORIG!Y2416=0,"",ORIG!Y2416)</f>
        <v/>
      </c>
      <c r="Z2416" s="3">
        <f>SUMPRODUCT($B2416:$Y2416,$B$2649:$Y$2649)</f>
        <v/>
      </c>
      <c r="AA2416" s="3">
        <f>SUMPRODUCT($B2416:$Y2416,$B$2655:$Y$2655)</f>
        <v/>
      </c>
      <c r="AC2416" s="1">
        <f>A2416</f>
        <v/>
      </c>
      <c r="AD2416">
        <f>IF(ISNUMBER(V2416),V2416*($AB$1/V$2635),"")</f>
        <v/>
      </c>
      <c r="AE2416">
        <f>IF(ISNUMBER(Z2416),Z2416*($AB$1/Z$2635),"")</f>
        <v/>
      </c>
      <c r="AF2416" s="25">
        <f>IF(ISNUMBER(AD2416+AE2416),AD2416+AE2416,"")</f>
        <v/>
      </c>
      <c r="AH2416" s="1">
        <f>A2416</f>
        <v/>
      </c>
      <c r="AI2416">
        <f>IF(ISNUMBER((1+V2416)*AI2415),(1+V2416)*AI2415,AI2415)</f>
        <v/>
      </c>
      <c r="AJ2416">
        <f>IF(ISNUMBER((1+Z2416)*AJ2415),(1+Z2416)*AJ2415,AJ2415)</f>
        <v/>
      </c>
    </row>
    <row r="2417">
      <c r="A2417" s="1" t="n">
        <v>45511</v>
      </c>
      <c r="B2417" s="3">
        <f>IF(ORIG!B2417=0,"",ORIG!B2417)</f>
        <v/>
      </c>
      <c r="C2417" s="3">
        <f>IF(ORIG!C2417=0,"",ORIG!C2417)</f>
        <v/>
      </c>
      <c r="D2417" s="3">
        <f>IF(ORIG!D2417=0,"",ORIG!D2417)</f>
        <v/>
      </c>
      <c r="E2417" s="3">
        <f>IF(ORIG!E2417=0,"",ORIG!E2417)</f>
        <v/>
      </c>
      <c r="F2417" s="3">
        <f>IF(ORIG!F2417=0,"",ORIG!F2417)</f>
        <v/>
      </c>
      <c r="G2417" s="3">
        <f>IF(ORIG!G2417=0,"",ORIG!G2417)</f>
        <v/>
      </c>
      <c r="H2417" s="3">
        <f>IF(ORIG!H2417=0,"",ORIG!H2417)</f>
        <v/>
      </c>
      <c r="I2417" s="3">
        <f>IF(ORIG!I2417=0,"",ORIG!I2417)</f>
        <v/>
      </c>
      <c r="J2417" s="3">
        <f>IF(ORIG!J2417=0,"",ORIG!J2417)</f>
        <v/>
      </c>
      <c r="K2417" s="3">
        <f>IF(ORIG!K2417=0,"",ORIG!K2417)</f>
        <v/>
      </c>
      <c r="L2417" s="3">
        <f>IF(ORIG!L2417=0,"",ORIG!L2417)</f>
        <v/>
      </c>
      <c r="M2417" s="3">
        <f>IF(ORIG!M2417=0,"",ORIG!M2417)</f>
        <v/>
      </c>
      <c r="N2417" s="3">
        <f>IF(ORIG!N2417=0,"",ORIG!N2417)</f>
        <v/>
      </c>
      <c r="O2417" s="3">
        <f>IF(ORIG!O2417=0,"",ORIG!O2417)</f>
        <v/>
      </c>
      <c r="P2417" s="3">
        <f>IF(ORIG!P2417=0,"",ORIG!P2417)</f>
        <v/>
      </c>
      <c r="Q2417" s="3">
        <f>IF(ORIG!Q2417=0,"",ORIG!Q2417)</f>
        <v/>
      </c>
      <c r="R2417" s="3">
        <f>IF(ORIG!R2417=0,"",ORIG!R2417)</f>
        <v/>
      </c>
      <c r="S2417" s="3">
        <f>IF(ORIG!S2417=0,"",ORIG!S2417)</f>
        <v/>
      </c>
      <c r="T2417" s="3">
        <f>IF(ORIG!T2417=0,"",ORIG!T2417)</f>
        <v/>
      </c>
      <c r="U2417" s="3">
        <f>IF(ORIG!U2417=0,"",ORIG!U2417)</f>
        <v/>
      </c>
      <c r="V2417" s="9">
        <f>IF(ORIG!V2417=0,"",ORIG!V2417)</f>
        <v/>
      </c>
      <c r="W2417" s="9">
        <f>IF(ORIG!W2417=0,"",ORIG!W2417)</f>
        <v/>
      </c>
      <c r="X2417" s="9">
        <f>IF(ORIG!X2417=0,"",ORIG!X2417)</f>
        <v/>
      </c>
      <c r="Y2417" s="9">
        <f>IF(ORIG!Y2417=0,"",ORIG!Y2417)</f>
        <v/>
      </c>
      <c r="Z2417" s="3">
        <f>SUMPRODUCT($B2417:$Y2417,$B$2649:$Y$2649)</f>
        <v/>
      </c>
      <c r="AA2417" s="3">
        <f>SUMPRODUCT($B2417:$Y2417,$B$2655:$Y$2655)</f>
        <v/>
      </c>
      <c r="AC2417" s="1">
        <f>A2417</f>
        <v/>
      </c>
      <c r="AD2417">
        <f>IF(ISNUMBER(V2417),V2417*($AB$1/V$2635),"")</f>
        <v/>
      </c>
      <c r="AE2417">
        <f>IF(ISNUMBER(Z2417),Z2417*($AB$1/Z$2635),"")</f>
        <v/>
      </c>
      <c r="AF2417" s="25">
        <f>IF(ISNUMBER(AD2417+AE2417),AD2417+AE2417,"")</f>
        <v/>
      </c>
      <c r="AH2417" s="1">
        <f>A2417</f>
        <v/>
      </c>
      <c r="AI2417">
        <f>IF(ISNUMBER((1+V2417)*AI2416),(1+V2417)*AI2416,AI2416)</f>
        <v/>
      </c>
      <c r="AJ2417">
        <f>IF(ISNUMBER((1+Z2417)*AJ2416),(1+Z2417)*AJ2416,AJ2416)</f>
        <v/>
      </c>
    </row>
    <row r="2418">
      <c r="A2418" s="1" t="n">
        <v>45512</v>
      </c>
      <c r="B2418" s="3">
        <f>IF(ORIG!B2418=0,"",ORIG!B2418)</f>
        <v/>
      </c>
      <c r="C2418" s="3">
        <f>IF(ORIG!C2418=0,"",ORIG!C2418)</f>
        <v/>
      </c>
      <c r="D2418" s="3">
        <f>IF(ORIG!D2418=0,"",ORIG!D2418)</f>
        <v/>
      </c>
      <c r="E2418" s="3">
        <f>IF(ORIG!E2418=0,"",ORIG!E2418)</f>
        <v/>
      </c>
      <c r="F2418" s="3">
        <f>IF(ORIG!F2418=0,"",ORIG!F2418)</f>
        <v/>
      </c>
      <c r="G2418" s="3">
        <f>IF(ORIG!G2418=0,"",ORIG!G2418)</f>
        <v/>
      </c>
      <c r="H2418" s="3">
        <f>IF(ORIG!H2418=0,"",ORIG!H2418)</f>
        <v/>
      </c>
      <c r="I2418" s="3">
        <f>IF(ORIG!I2418=0,"",ORIG!I2418)</f>
        <v/>
      </c>
      <c r="J2418" s="3">
        <f>IF(ORIG!J2418=0,"",ORIG!J2418)</f>
        <v/>
      </c>
      <c r="K2418" s="3">
        <f>IF(ORIG!K2418=0,"",ORIG!K2418)</f>
        <v/>
      </c>
      <c r="L2418" s="3">
        <f>IF(ORIG!L2418=0,"",ORIG!L2418)</f>
        <v/>
      </c>
      <c r="M2418" s="3">
        <f>IF(ORIG!M2418=0,"",ORIG!M2418)</f>
        <v/>
      </c>
      <c r="N2418" s="3">
        <f>IF(ORIG!N2418=0,"",ORIG!N2418)</f>
        <v/>
      </c>
      <c r="O2418" s="3">
        <f>IF(ORIG!O2418=0,"",ORIG!O2418)</f>
        <v/>
      </c>
      <c r="P2418" s="3">
        <f>IF(ORIG!P2418=0,"",ORIG!P2418)</f>
        <v/>
      </c>
      <c r="Q2418" s="3">
        <f>IF(ORIG!Q2418=0,"",ORIG!Q2418)</f>
        <v/>
      </c>
      <c r="R2418" s="3">
        <f>IF(ORIG!R2418=0,"",ORIG!R2418)</f>
        <v/>
      </c>
      <c r="S2418" s="3">
        <f>IF(ORIG!S2418=0,"",ORIG!S2418)</f>
        <v/>
      </c>
      <c r="T2418" s="3">
        <f>IF(ORIG!T2418=0,"",ORIG!T2418)</f>
        <v/>
      </c>
      <c r="U2418" s="3">
        <f>IF(ORIG!U2418=0,"",ORIG!U2418)</f>
        <v/>
      </c>
      <c r="V2418" s="9">
        <f>IF(ORIG!V2418=0,"",ORIG!V2418)</f>
        <v/>
      </c>
      <c r="W2418" s="9">
        <f>IF(ORIG!W2418=0,"",ORIG!W2418)</f>
        <v/>
      </c>
      <c r="X2418" s="9">
        <f>IF(ORIG!X2418=0,"",ORIG!X2418)</f>
        <v/>
      </c>
      <c r="Y2418" s="9">
        <f>IF(ORIG!Y2418=0,"",ORIG!Y2418)</f>
        <v/>
      </c>
      <c r="Z2418" s="3">
        <f>SUMPRODUCT($B2418:$Y2418,$B$2649:$Y$2649)</f>
        <v/>
      </c>
      <c r="AA2418" s="3">
        <f>SUMPRODUCT($B2418:$Y2418,$B$2655:$Y$2655)</f>
        <v/>
      </c>
      <c r="AC2418" s="1">
        <f>A2418</f>
        <v/>
      </c>
      <c r="AD2418">
        <f>IF(ISNUMBER(V2418),V2418*($AB$1/V$2635),"")</f>
        <v/>
      </c>
      <c r="AE2418">
        <f>IF(ISNUMBER(Z2418),Z2418*($AB$1/Z$2635),"")</f>
        <v/>
      </c>
      <c r="AF2418" s="25">
        <f>IF(ISNUMBER(AD2418+AE2418),AD2418+AE2418,"")</f>
        <v/>
      </c>
      <c r="AH2418" s="1">
        <f>A2418</f>
        <v/>
      </c>
      <c r="AI2418">
        <f>IF(ISNUMBER((1+V2418)*AI2417),(1+V2418)*AI2417,AI2417)</f>
        <v/>
      </c>
      <c r="AJ2418">
        <f>IF(ISNUMBER((1+Z2418)*AJ2417),(1+Z2418)*AJ2417,AJ2417)</f>
        <v/>
      </c>
    </row>
    <row r="2419">
      <c r="A2419" s="1" t="n">
        <v>45513</v>
      </c>
      <c r="B2419" s="3">
        <f>IF(ORIG!B2419=0,"",ORIG!B2419)</f>
        <v/>
      </c>
      <c r="C2419" s="3">
        <f>IF(ORIG!C2419=0,"",ORIG!C2419)</f>
        <v/>
      </c>
      <c r="D2419" s="3">
        <f>IF(ORIG!D2419=0,"",ORIG!D2419)</f>
        <v/>
      </c>
      <c r="E2419" s="3">
        <f>IF(ORIG!E2419=0,"",ORIG!E2419)</f>
        <v/>
      </c>
      <c r="F2419" s="3">
        <f>IF(ORIG!F2419=0,"",ORIG!F2419)</f>
        <v/>
      </c>
      <c r="G2419" s="3">
        <f>IF(ORIG!G2419=0,"",ORIG!G2419)</f>
        <v/>
      </c>
      <c r="H2419" s="3">
        <f>IF(ORIG!H2419=0,"",ORIG!H2419)</f>
        <v/>
      </c>
      <c r="I2419" s="3">
        <f>IF(ORIG!I2419=0,"",ORIG!I2419)</f>
        <v/>
      </c>
      <c r="J2419" s="3">
        <f>IF(ORIG!J2419=0,"",ORIG!J2419)</f>
        <v/>
      </c>
      <c r="K2419" s="3">
        <f>IF(ORIG!K2419=0,"",ORIG!K2419)</f>
        <v/>
      </c>
      <c r="L2419" s="3">
        <f>IF(ORIG!L2419=0,"",ORIG!L2419)</f>
        <v/>
      </c>
      <c r="M2419" s="3">
        <f>IF(ORIG!M2419=0,"",ORIG!M2419)</f>
        <v/>
      </c>
      <c r="N2419" s="3">
        <f>IF(ORIG!N2419=0,"",ORIG!N2419)</f>
        <v/>
      </c>
      <c r="O2419" s="3">
        <f>IF(ORIG!O2419=0,"",ORIG!O2419)</f>
        <v/>
      </c>
      <c r="P2419" s="3">
        <f>IF(ORIG!P2419=0,"",ORIG!P2419)</f>
        <v/>
      </c>
      <c r="Q2419" s="3">
        <f>IF(ORIG!Q2419=0,"",ORIG!Q2419)</f>
        <v/>
      </c>
      <c r="R2419" s="3">
        <f>IF(ORIG!R2419=0,"",ORIG!R2419)</f>
        <v/>
      </c>
      <c r="S2419" s="3">
        <f>IF(ORIG!S2419=0,"",ORIG!S2419)</f>
        <v/>
      </c>
      <c r="T2419" s="3">
        <f>IF(ORIG!T2419=0,"",ORIG!T2419)</f>
        <v/>
      </c>
      <c r="U2419" s="3">
        <f>IF(ORIG!U2419=0,"",ORIG!U2419)</f>
        <v/>
      </c>
      <c r="V2419" s="9">
        <f>IF(ORIG!V2419=0,"",ORIG!V2419)</f>
        <v/>
      </c>
      <c r="W2419" s="9">
        <f>IF(ORIG!W2419=0,"",ORIG!W2419)</f>
        <v/>
      </c>
      <c r="X2419" s="9">
        <f>IF(ORIG!X2419=0,"",ORIG!X2419)</f>
        <v/>
      </c>
      <c r="Y2419" s="9">
        <f>IF(ORIG!Y2419=0,"",ORIG!Y2419)</f>
        <v/>
      </c>
      <c r="Z2419" s="3">
        <f>SUMPRODUCT($B2419:$Y2419,$B$2649:$Y$2649)</f>
        <v/>
      </c>
      <c r="AA2419" s="3">
        <f>SUMPRODUCT($B2419:$Y2419,$B$2655:$Y$2655)</f>
        <v/>
      </c>
      <c r="AC2419" s="1">
        <f>A2419</f>
        <v/>
      </c>
      <c r="AD2419">
        <f>IF(ISNUMBER(V2419),V2419*($AB$1/V$2635),"")</f>
        <v/>
      </c>
      <c r="AE2419">
        <f>IF(ISNUMBER(Z2419),Z2419*($AB$1/Z$2635),"")</f>
        <v/>
      </c>
      <c r="AF2419" s="25">
        <f>IF(ISNUMBER(AD2419+AE2419),AD2419+AE2419,"")</f>
        <v/>
      </c>
      <c r="AH2419" s="1">
        <f>A2419</f>
        <v/>
      </c>
      <c r="AI2419">
        <f>IF(ISNUMBER((1+V2419)*AI2418),(1+V2419)*AI2418,AI2418)</f>
        <v/>
      </c>
      <c r="AJ2419">
        <f>IF(ISNUMBER((1+Z2419)*AJ2418),(1+Z2419)*AJ2418,AJ2418)</f>
        <v/>
      </c>
    </row>
    <row r="2420">
      <c r="A2420" s="1" t="n">
        <v>45516</v>
      </c>
      <c r="B2420" s="3">
        <f>IF(ORIG!B2420=0,"",ORIG!B2420)</f>
        <v/>
      </c>
      <c r="C2420" s="3">
        <f>IF(ORIG!C2420=0,"",ORIG!C2420)</f>
        <v/>
      </c>
      <c r="D2420" s="3">
        <f>IF(ORIG!D2420=0,"",ORIG!D2420)</f>
        <v/>
      </c>
      <c r="E2420" s="3">
        <f>IF(ORIG!E2420=0,"",ORIG!E2420)</f>
        <v/>
      </c>
      <c r="F2420" s="3">
        <f>IF(ORIG!F2420=0,"",ORIG!F2420)</f>
        <v/>
      </c>
      <c r="G2420" s="3">
        <f>IF(ORIG!G2420=0,"",ORIG!G2420)</f>
        <v/>
      </c>
      <c r="H2420" s="3">
        <f>IF(ORIG!H2420=0,"",ORIG!H2420)</f>
        <v/>
      </c>
      <c r="I2420" s="3">
        <f>IF(ORIG!I2420=0,"",ORIG!I2420)</f>
        <v/>
      </c>
      <c r="J2420" s="3">
        <f>IF(ORIG!J2420=0,"",ORIG!J2420)</f>
        <v/>
      </c>
      <c r="K2420" s="3">
        <f>IF(ORIG!K2420=0,"",ORIG!K2420)</f>
        <v/>
      </c>
      <c r="L2420" s="3">
        <f>IF(ORIG!L2420=0,"",ORIG!L2420)</f>
        <v/>
      </c>
      <c r="M2420" s="3">
        <f>IF(ORIG!M2420=0,"",ORIG!M2420)</f>
        <v/>
      </c>
      <c r="N2420" s="3">
        <f>IF(ORIG!N2420=0,"",ORIG!N2420)</f>
        <v/>
      </c>
      <c r="O2420" s="3">
        <f>IF(ORIG!O2420=0,"",ORIG!O2420)</f>
        <v/>
      </c>
      <c r="P2420" s="3">
        <f>IF(ORIG!P2420=0,"",ORIG!P2420)</f>
        <v/>
      </c>
      <c r="Q2420" s="3">
        <f>IF(ORIG!Q2420=0,"",ORIG!Q2420)</f>
        <v/>
      </c>
      <c r="R2420" s="3">
        <f>IF(ORIG!R2420=0,"",ORIG!R2420)</f>
        <v/>
      </c>
      <c r="S2420" s="3">
        <f>IF(ORIG!S2420=0,"",ORIG!S2420)</f>
        <v/>
      </c>
      <c r="T2420" s="3">
        <f>IF(ORIG!T2420=0,"",ORIG!T2420)</f>
        <v/>
      </c>
      <c r="U2420" s="3">
        <f>IF(ORIG!U2420=0,"",ORIG!U2420)</f>
        <v/>
      </c>
      <c r="V2420" s="9">
        <f>IF(ORIG!V2420=0,"",ORIG!V2420)</f>
        <v/>
      </c>
      <c r="W2420" s="9">
        <f>IF(ORIG!W2420=0,"",ORIG!W2420)</f>
        <v/>
      </c>
      <c r="X2420" s="9">
        <f>IF(ORIG!X2420=0,"",ORIG!X2420)</f>
        <v/>
      </c>
      <c r="Y2420" s="9">
        <f>IF(ORIG!Y2420=0,"",ORIG!Y2420)</f>
        <v/>
      </c>
      <c r="Z2420" s="3">
        <f>SUMPRODUCT($B2420:$Y2420,$B$2649:$Y$2649)</f>
        <v/>
      </c>
      <c r="AA2420" s="3">
        <f>SUMPRODUCT($B2420:$Y2420,$B$2655:$Y$2655)</f>
        <v/>
      </c>
      <c r="AC2420" s="1">
        <f>A2420</f>
        <v/>
      </c>
      <c r="AD2420">
        <f>IF(ISNUMBER(V2420),V2420*($AB$1/V$2635),"")</f>
        <v/>
      </c>
      <c r="AE2420">
        <f>IF(ISNUMBER(Z2420),Z2420*($AB$1/Z$2635),"")</f>
        <v/>
      </c>
      <c r="AF2420" s="25">
        <f>IF(ISNUMBER(AD2420+AE2420),AD2420+AE2420,"")</f>
        <v/>
      </c>
      <c r="AH2420" s="1">
        <f>A2420</f>
        <v/>
      </c>
      <c r="AI2420">
        <f>IF(ISNUMBER((1+V2420)*AI2419),(1+V2420)*AI2419,AI2419)</f>
        <v/>
      </c>
      <c r="AJ2420">
        <f>IF(ISNUMBER((1+Z2420)*AJ2419),(1+Z2420)*AJ2419,AJ2419)</f>
        <v/>
      </c>
    </row>
    <row r="2421">
      <c r="A2421" s="1" t="n">
        <v>45517</v>
      </c>
      <c r="B2421" s="3">
        <f>IF(ORIG!B2421=0,"",ORIG!B2421)</f>
        <v/>
      </c>
      <c r="C2421" s="3">
        <f>IF(ORIG!C2421=0,"",ORIG!C2421)</f>
        <v/>
      </c>
      <c r="D2421" s="3">
        <f>IF(ORIG!D2421=0,"",ORIG!D2421)</f>
        <v/>
      </c>
      <c r="E2421" s="3">
        <f>IF(ORIG!E2421=0,"",ORIG!E2421)</f>
        <v/>
      </c>
      <c r="F2421" s="3">
        <f>IF(ORIG!F2421=0,"",ORIG!F2421)</f>
        <v/>
      </c>
      <c r="G2421" s="3">
        <f>IF(ORIG!G2421=0,"",ORIG!G2421)</f>
        <v/>
      </c>
      <c r="H2421" s="3">
        <f>IF(ORIG!H2421=0,"",ORIG!H2421)</f>
        <v/>
      </c>
      <c r="I2421" s="3">
        <f>IF(ORIG!I2421=0,"",ORIG!I2421)</f>
        <v/>
      </c>
      <c r="J2421" s="3">
        <f>IF(ORIG!J2421=0,"",ORIG!J2421)</f>
        <v/>
      </c>
      <c r="K2421" s="3">
        <f>IF(ORIG!K2421=0,"",ORIG!K2421)</f>
        <v/>
      </c>
      <c r="L2421" s="3">
        <f>IF(ORIG!L2421=0,"",ORIG!L2421)</f>
        <v/>
      </c>
      <c r="M2421" s="3">
        <f>IF(ORIG!M2421=0,"",ORIG!M2421)</f>
        <v/>
      </c>
      <c r="N2421" s="3">
        <f>IF(ORIG!N2421=0,"",ORIG!N2421)</f>
        <v/>
      </c>
      <c r="O2421" s="3">
        <f>IF(ORIG!O2421=0,"",ORIG!O2421)</f>
        <v/>
      </c>
      <c r="P2421" s="3">
        <f>IF(ORIG!P2421=0,"",ORIG!P2421)</f>
        <v/>
      </c>
      <c r="Q2421" s="3">
        <f>IF(ORIG!Q2421=0,"",ORIG!Q2421)</f>
        <v/>
      </c>
      <c r="R2421" s="3">
        <f>IF(ORIG!R2421=0,"",ORIG!R2421)</f>
        <v/>
      </c>
      <c r="S2421" s="3">
        <f>IF(ORIG!S2421=0,"",ORIG!S2421)</f>
        <v/>
      </c>
      <c r="T2421" s="3">
        <f>IF(ORIG!T2421=0,"",ORIG!T2421)</f>
        <v/>
      </c>
      <c r="U2421" s="3">
        <f>IF(ORIG!U2421=0,"",ORIG!U2421)</f>
        <v/>
      </c>
      <c r="V2421" s="9">
        <f>IF(ORIG!V2421=0,"",ORIG!V2421)</f>
        <v/>
      </c>
      <c r="W2421" s="9">
        <f>IF(ORIG!W2421=0,"",ORIG!W2421)</f>
        <v/>
      </c>
      <c r="X2421" s="9">
        <f>IF(ORIG!X2421=0,"",ORIG!X2421)</f>
        <v/>
      </c>
      <c r="Y2421" s="9">
        <f>IF(ORIG!Y2421=0,"",ORIG!Y2421)</f>
        <v/>
      </c>
      <c r="Z2421" s="3">
        <f>SUMPRODUCT($B2421:$Y2421,$B$2649:$Y$2649)</f>
        <v/>
      </c>
      <c r="AA2421" s="3">
        <f>SUMPRODUCT($B2421:$Y2421,$B$2655:$Y$2655)</f>
        <v/>
      </c>
      <c r="AC2421" s="1">
        <f>A2421</f>
        <v/>
      </c>
      <c r="AD2421">
        <f>IF(ISNUMBER(V2421),V2421*($AB$1/V$2635),"")</f>
        <v/>
      </c>
      <c r="AE2421">
        <f>IF(ISNUMBER(Z2421),Z2421*($AB$1/Z$2635),"")</f>
        <v/>
      </c>
      <c r="AF2421" s="25">
        <f>IF(ISNUMBER(AD2421+AE2421),AD2421+AE2421,"")</f>
        <v/>
      </c>
      <c r="AH2421" s="1">
        <f>A2421</f>
        <v/>
      </c>
      <c r="AI2421">
        <f>IF(ISNUMBER((1+V2421)*AI2420),(1+V2421)*AI2420,AI2420)</f>
        <v/>
      </c>
      <c r="AJ2421">
        <f>IF(ISNUMBER((1+Z2421)*AJ2420),(1+Z2421)*AJ2420,AJ2420)</f>
        <v/>
      </c>
    </row>
    <row r="2422">
      <c r="A2422" s="1" t="n">
        <v>45518</v>
      </c>
      <c r="B2422" s="3">
        <f>IF(ORIG!B2422=0,"",ORIG!B2422)</f>
        <v/>
      </c>
      <c r="C2422" s="3">
        <f>IF(ORIG!C2422=0,"",ORIG!C2422)</f>
        <v/>
      </c>
      <c r="D2422" s="3">
        <f>IF(ORIG!D2422=0,"",ORIG!D2422)</f>
        <v/>
      </c>
      <c r="E2422" s="3">
        <f>IF(ORIG!E2422=0,"",ORIG!E2422)</f>
        <v/>
      </c>
      <c r="F2422" s="3">
        <f>IF(ORIG!F2422=0,"",ORIG!F2422)</f>
        <v/>
      </c>
      <c r="G2422" s="3">
        <f>IF(ORIG!G2422=0,"",ORIG!G2422)</f>
        <v/>
      </c>
      <c r="H2422" s="3">
        <f>IF(ORIG!H2422=0,"",ORIG!H2422)</f>
        <v/>
      </c>
      <c r="I2422" s="3">
        <f>IF(ORIG!I2422=0,"",ORIG!I2422)</f>
        <v/>
      </c>
      <c r="J2422" s="3">
        <f>IF(ORIG!J2422=0,"",ORIG!J2422)</f>
        <v/>
      </c>
      <c r="K2422" s="3">
        <f>IF(ORIG!K2422=0,"",ORIG!K2422)</f>
        <v/>
      </c>
      <c r="L2422" s="3">
        <f>IF(ORIG!L2422=0,"",ORIG!L2422)</f>
        <v/>
      </c>
      <c r="M2422" s="3">
        <f>IF(ORIG!M2422=0,"",ORIG!M2422)</f>
        <v/>
      </c>
      <c r="N2422" s="3">
        <f>IF(ORIG!N2422=0,"",ORIG!N2422)</f>
        <v/>
      </c>
      <c r="O2422" s="3">
        <f>IF(ORIG!O2422=0,"",ORIG!O2422)</f>
        <v/>
      </c>
      <c r="P2422" s="3">
        <f>IF(ORIG!P2422=0,"",ORIG!P2422)</f>
        <v/>
      </c>
      <c r="Q2422" s="3">
        <f>IF(ORIG!Q2422=0,"",ORIG!Q2422)</f>
        <v/>
      </c>
      <c r="R2422" s="3">
        <f>IF(ORIG!R2422=0,"",ORIG!R2422)</f>
        <v/>
      </c>
      <c r="S2422" s="3">
        <f>IF(ORIG!S2422=0,"",ORIG!S2422)</f>
        <v/>
      </c>
      <c r="T2422" s="3">
        <f>IF(ORIG!T2422=0,"",ORIG!T2422)</f>
        <v/>
      </c>
      <c r="U2422" s="3">
        <f>IF(ORIG!U2422=0,"",ORIG!U2422)</f>
        <v/>
      </c>
      <c r="V2422" s="9">
        <f>IF(ORIG!V2422=0,"",ORIG!V2422)</f>
        <v/>
      </c>
      <c r="W2422" s="9">
        <f>IF(ORIG!W2422=0,"",ORIG!W2422)</f>
        <v/>
      </c>
      <c r="X2422" s="9">
        <f>IF(ORIG!X2422=0,"",ORIG!X2422)</f>
        <v/>
      </c>
      <c r="Y2422" s="9">
        <f>IF(ORIG!Y2422=0,"",ORIG!Y2422)</f>
        <v/>
      </c>
      <c r="Z2422" s="3">
        <f>SUMPRODUCT($B2422:$Y2422,$B$2649:$Y$2649)</f>
        <v/>
      </c>
      <c r="AA2422" s="3">
        <f>SUMPRODUCT($B2422:$Y2422,$B$2655:$Y$2655)</f>
        <v/>
      </c>
      <c r="AC2422" s="1">
        <f>A2422</f>
        <v/>
      </c>
      <c r="AD2422">
        <f>IF(ISNUMBER(V2422),V2422*($AB$1/V$2635),"")</f>
        <v/>
      </c>
      <c r="AE2422">
        <f>IF(ISNUMBER(Z2422),Z2422*($AB$1/Z$2635),"")</f>
        <v/>
      </c>
      <c r="AF2422" s="25">
        <f>IF(ISNUMBER(AD2422+AE2422),AD2422+AE2422,"")</f>
        <v/>
      </c>
      <c r="AH2422" s="1">
        <f>A2422</f>
        <v/>
      </c>
      <c r="AI2422">
        <f>IF(ISNUMBER((1+V2422)*AI2421),(1+V2422)*AI2421,AI2421)</f>
        <v/>
      </c>
      <c r="AJ2422">
        <f>IF(ISNUMBER((1+Z2422)*AJ2421),(1+Z2422)*AJ2421,AJ2421)</f>
        <v/>
      </c>
    </row>
    <row r="2423">
      <c r="A2423" s="1" t="n">
        <v>45519</v>
      </c>
      <c r="B2423" s="3">
        <f>IF(ORIG!B2423=0,"",ORIG!B2423)</f>
        <v/>
      </c>
      <c r="C2423" s="3">
        <f>IF(ORIG!C2423=0,"",ORIG!C2423)</f>
        <v/>
      </c>
      <c r="D2423" s="3">
        <f>IF(ORIG!D2423=0,"",ORIG!D2423)</f>
        <v/>
      </c>
      <c r="E2423" s="3">
        <f>IF(ORIG!E2423=0,"",ORIG!E2423)</f>
        <v/>
      </c>
      <c r="F2423" s="3">
        <f>IF(ORIG!F2423=0,"",ORIG!F2423)</f>
        <v/>
      </c>
      <c r="G2423" s="3">
        <f>IF(ORIG!G2423=0,"",ORIG!G2423)</f>
        <v/>
      </c>
      <c r="H2423" s="3">
        <f>IF(ORIG!H2423=0,"",ORIG!H2423)</f>
        <v/>
      </c>
      <c r="I2423" s="3">
        <f>IF(ORIG!I2423=0,"",ORIG!I2423)</f>
        <v/>
      </c>
      <c r="J2423" s="3">
        <f>IF(ORIG!J2423=0,"",ORIG!J2423)</f>
        <v/>
      </c>
      <c r="K2423" s="3">
        <f>IF(ORIG!K2423=0,"",ORIG!K2423)</f>
        <v/>
      </c>
      <c r="L2423" s="3">
        <f>IF(ORIG!L2423=0,"",ORIG!L2423)</f>
        <v/>
      </c>
      <c r="M2423" s="3">
        <f>IF(ORIG!M2423=0,"",ORIG!M2423)</f>
        <v/>
      </c>
      <c r="N2423" s="3">
        <f>IF(ORIG!N2423=0,"",ORIG!N2423)</f>
        <v/>
      </c>
      <c r="O2423" s="3">
        <f>IF(ORIG!O2423=0,"",ORIG!O2423)</f>
        <v/>
      </c>
      <c r="P2423" s="3">
        <f>IF(ORIG!P2423=0,"",ORIG!P2423)</f>
        <v/>
      </c>
      <c r="Q2423" s="3">
        <f>IF(ORIG!Q2423=0,"",ORIG!Q2423)</f>
        <v/>
      </c>
      <c r="R2423" s="3">
        <f>IF(ORIG!R2423=0,"",ORIG!R2423)</f>
        <v/>
      </c>
      <c r="S2423" s="3">
        <f>IF(ORIG!S2423=0,"",ORIG!S2423)</f>
        <v/>
      </c>
      <c r="T2423" s="3">
        <f>IF(ORIG!T2423=0,"",ORIG!T2423)</f>
        <v/>
      </c>
      <c r="U2423" s="3">
        <f>IF(ORIG!U2423=0,"",ORIG!U2423)</f>
        <v/>
      </c>
      <c r="V2423" s="9">
        <f>IF(ORIG!V2423=0,"",ORIG!V2423)</f>
        <v/>
      </c>
      <c r="W2423" s="9">
        <f>IF(ORIG!W2423=0,"",ORIG!W2423)</f>
        <v/>
      </c>
      <c r="X2423" s="9">
        <f>IF(ORIG!X2423=0,"",ORIG!X2423)</f>
        <v/>
      </c>
      <c r="Y2423" s="9">
        <f>IF(ORIG!Y2423=0,"",ORIG!Y2423)</f>
        <v/>
      </c>
      <c r="Z2423" s="3">
        <f>SUMPRODUCT($B2423:$Y2423,$B$2649:$Y$2649)</f>
        <v/>
      </c>
      <c r="AA2423" s="3">
        <f>SUMPRODUCT($B2423:$Y2423,$B$2655:$Y$2655)</f>
        <v/>
      </c>
      <c r="AC2423" s="1">
        <f>A2423</f>
        <v/>
      </c>
      <c r="AD2423">
        <f>IF(ISNUMBER(V2423),V2423*($AB$1/V$2635),"")</f>
        <v/>
      </c>
      <c r="AE2423">
        <f>IF(ISNUMBER(Z2423),Z2423*($AB$1/Z$2635),"")</f>
        <v/>
      </c>
      <c r="AF2423" s="25">
        <f>IF(ISNUMBER(AD2423+AE2423),AD2423+AE2423,"")</f>
        <v/>
      </c>
      <c r="AH2423" s="1">
        <f>A2423</f>
        <v/>
      </c>
      <c r="AI2423">
        <f>IF(ISNUMBER((1+V2423)*AI2422),(1+V2423)*AI2422,AI2422)</f>
        <v/>
      </c>
      <c r="AJ2423">
        <f>IF(ISNUMBER((1+Z2423)*AJ2422),(1+Z2423)*AJ2422,AJ2422)</f>
        <v/>
      </c>
    </row>
    <row r="2424">
      <c r="A2424" s="1" t="n">
        <v>45520</v>
      </c>
      <c r="B2424" s="3">
        <f>IF(ORIG!B2424=0,"",ORIG!B2424)</f>
        <v/>
      </c>
      <c r="C2424" s="3">
        <f>IF(ORIG!C2424=0,"",ORIG!C2424)</f>
        <v/>
      </c>
      <c r="D2424" s="3">
        <f>IF(ORIG!D2424=0,"",ORIG!D2424)</f>
        <v/>
      </c>
      <c r="E2424" s="3">
        <f>IF(ORIG!E2424=0,"",ORIG!E2424)</f>
        <v/>
      </c>
      <c r="F2424" s="3">
        <f>IF(ORIG!F2424=0,"",ORIG!F2424)</f>
        <v/>
      </c>
      <c r="G2424" s="3">
        <f>IF(ORIG!G2424=0,"",ORIG!G2424)</f>
        <v/>
      </c>
      <c r="H2424" s="3">
        <f>IF(ORIG!H2424=0,"",ORIG!H2424)</f>
        <v/>
      </c>
      <c r="I2424" s="3">
        <f>IF(ORIG!I2424=0,"",ORIG!I2424)</f>
        <v/>
      </c>
      <c r="J2424" s="3">
        <f>IF(ORIG!J2424=0,"",ORIG!J2424)</f>
        <v/>
      </c>
      <c r="K2424" s="3">
        <f>IF(ORIG!K2424=0,"",ORIG!K2424)</f>
        <v/>
      </c>
      <c r="L2424" s="3">
        <f>IF(ORIG!L2424=0,"",ORIG!L2424)</f>
        <v/>
      </c>
      <c r="M2424" s="3">
        <f>IF(ORIG!M2424=0,"",ORIG!M2424)</f>
        <v/>
      </c>
      <c r="N2424" s="3">
        <f>IF(ORIG!N2424=0,"",ORIG!N2424)</f>
        <v/>
      </c>
      <c r="O2424" s="3">
        <f>IF(ORIG!O2424=0,"",ORIG!O2424)</f>
        <v/>
      </c>
      <c r="P2424" s="3">
        <f>IF(ORIG!P2424=0,"",ORIG!P2424)</f>
        <v/>
      </c>
      <c r="Q2424" s="3">
        <f>IF(ORIG!Q2424=0,"",ORIG!Q2424)</f>
        <v/>
      </c>
      <c r="R2424" s="3">
        <f>IF(ORIG!R2424=0,"",ORIG!R2424)</f>
        <v/>
      </c>
      <c r="S2424" s="3">
        <f>IF(ORIG!S2424=0,"",ORIG!S2424)</f>
        <v/>
      </c>
      <c r="T2424" s="3">
        <f>IF(ORIG!T2424=0,"",ORIG!T2424)</f>
        <v/>
      </c>
      <c r="U2424" s="3">
        <f>IF(ORIG!U2424=0,"",ORIG!U2424)</f>
        <v/>
      </c>
      <c r="V2424" s="9">
        <f>IF(ORIG!V2424=0,"",ORIG!V2424)</f>
        <v/>
      </c>
      <c r="W2424" s="9">
        <f>IF(ORIG!W2424=0,"",ORIG!W2424)</f>
        <v/>
      </c>
      <c r="X2424" s="9">
        <f>IF(ORIG!X2424=0,"",ORIG!X2424)</f>
        <v/>
      </c>
      <c r="Y2424" s="9">
        <f>IF(ORIG!Y2424=0,"",ORIG!Y2424)</f>
        <v/>
      </c>
      <c r="Z2424" s="3">
        <f>SUMPRODUCT($B2424:$Y2424,$B$2649:$Y$2649)</f>
        <v/>
      </c>
      <c r="AA2424" s="3">
        <f>SUMPRODUCT($B2424:$Y2424,$B$2655:$Y$2655)</f>
        <v/>
      </c>
      <c r="AC2424" s="1">
        <f>A2424</f>
        <v/>
      </c>
      <c r="AD2424">
        <f>IF(ISNUMBER(V2424),V2424*($AB$1/V$2635),"")</f>
        <v/>
      </c>
      <c r="AE2424">
        <f>IF(ISNUMBER(Z2424),Z2424*($AB$1/Z$2635),"")</f>
        <v/>
      </c>
      <c r="AF2424" s="25">
        <f>IF(ISNUMBER(AD2424+AE2424),AD2424+AE2424,"")</f>
        <v/>
      </c>
      <c r="AH2424" s="1">
        <f>A2424</f>
        <v/>
      </c>
      <c r="AI2424">
        <f>IF(ISNUMBER((1+V2424)*AI2423),(1+V2424)*AI2423,AI2423)</f>
        <v/>
      </c>
      <c r="AJ2424">
        <f>IF(ISNUMBER((1+Z2424)*AJ2423),(1+Z2424)*AJ2423,AJ2423)</f>
        <v/>
      </c>
    </row>
    <row r="2425">
      <c r="A2425" s="1" t="n">
        <v>45523</v>
      </c>
      <c r="B2425" s="3">
        <f>IF(ORIG!B2425=0,"",ORIG!B2425)</f>
        <v/>
      </c>
      <c r="C2425" s="3">
        <f>IF(ORIG!C2425=0,"",ORIG!C2425)</f>
        <v/>
      </c>
      <c r="D2425" s="3">
        <f>IF(ORIG!D2425=0,"",ORIG!D2425)</f>
        <v/>
      </c>
      <c r="E2425" s="3">
        <f>IF(ORIG!E2425=0,"",ORIG!E2425)</f>
        <v/>
      </c>
      <c r="F2425" s="3">
        <f>IF(ORIG!F2425=0,"",ORIG!F2425)</f>
        <v/>
      </c>
      <c r="G2425" s="3">
        <f>IF(ORIG!G2425=0,"",ORIG!G2425)</f>
        <v/>
      </c>
      <c r="H2425" s="3">
        <f>IF(ORIG!H2425=0,"",ORIG!H2425)</f>
        <v/>
      </c>
      <c r="I2425" s="3">
        <f>IF(ORIG!I2425=0,"",ORIG!I2425)</f>
        <v/>
      </c>
      <c r="J2425" s="3">
        <f>IF(ORIG!J2425=0,"",ORIG!J2425)</f>
        <v/>
      </c>
      <c r="K2425" s="3">
        <f>IF(ORIG!K2425=0,"",ORIG!K2425)</f>
        <v/>
      </c>
      <c r="L2425" s="3">
        <f>IF(ORIG!L2425=0,"",ORIG!L2425)</f>
        <v/>
      </c>
      <c r="M2425" s="3">
        <f>IF(ORIG!M2425=0,"",ORIG!M2425)</f>
        <v/>
      </c>
      <c r="N2425" s="3">
        <f>IF(ORIG!N2425=0,"",ORIG!N2425)</f>
        <v/>
      </c>
      <c r="O2425" s="3">
        <f>IF(ORIG!O2425=0,"",ORIG!O2425)</f>
        <v/>
      </c>
      <c r="P2425" s="3">
        <f>IF(ORIG!P2425=0,"",ORIG!P2425)</f>
        <v/>
      </c>
      <c r="Q2425" s="3">
        <f>IF(ORIG!Q2425=0,"",ORIG!Q2425)</f>
        <v/>
      </c>
      <c r="R2425" s="3">
        <f>IF(ORIG!R2425=0,"",ORIG!R2425)</f>
        <v/>
      </c>
      <c r="S2425" s="3">
        <f>IF(ORIG!S2425=0,"",ORIG!S2425)</f>
        <v/>
      </c>
      <c r="T2425" s="3">
        <f>IF(ORIG!T2425=0,"",ORIG!T2425)</f>
        <v/>
      </c>
      <c r="U2425" s="3">
        <f>IF(ORIG!U2425=0,"",ORIG!U2425)</f>
        <v/>
      </c>
      <c r="V2425" s="9">
        <f>IF(ORIG!V2425=0,"",ORIG!V2425)</f>
        <v/>
      </c>
      <c r="W2425" s="9">
        <f>IF(ORIG!W2425=0,"",ORIG!W2425)</f>
        <v/>
      </c>
      <c r="X2425" s="9">
        <f>IF(ORIG!X2425=0,"",ORIG!X2425)</f>
        <v/>
      </c>
      <c r="Y2425" s="9">
        <f>IF(ORIG!Y2425=0,"",ORIG!Y2425)</f>
        <v/>
      </c>
      <c r="Z2425" s="3">
        <f>SUMPRODUCT($B2425:$Y2425,$B$2649:$Y$2649)</f>
        <v/>
      </c>
      <c r="AA2425" s="3">
        <f>SUMPRODUCT($B2425:$Y2425,$B$2655:$Y$2655)</f>
        <v/>
      </c>
      <c r="AC2425" s="1">
        <f>A2425</f>
        <v/>
      </c>
      <c r="AD2425">
        <f>IF(ISNUMBER(V2425),V2425*($AB$1/V$2635),"")</f>
        <v/>
      </c>
      <c r="AE2425">
        <f>IF(ISNUMBER(Z2425),Z2425*($AB$1/Z$2635),"")</f>
        <v/>
      </c>
      <c r="AF2425" s="25">
        <f>IF(ISNUMBER(AD2425+AE2425),AD2425+AE2425,"")</f>
        <v/>
      </c>
      <c r="AH2425" s="1">
        <f>A2425</f>
        <v/>
      </c>
      <c r="AI2425">
        <f>IF(ISNUMBER((1+V2425)*AI2424),(1+V2425)*AI2424,AI2424)</f>
        <v/>
      </c>
      <c r="AJ2425">
        <f>IF(ISNUMBER((1+Z2425)*AJ2424),(1+Z2425)*AJ2424,AJ2424)</f>
        <v/>
      </c>
    </row>
    <row r="2426">
      <c r="A2426" s="1" t="n">
        <v>45524</v>
      </c>
      <c r="B2426" s="3">
        <f>IF(ORIG!B2426=0,"",ORIG!B2426)</f>
        <v/>
      </c>
      <c r="C2426" s="3">
        <f>IF(ORIG!C2426=0,"",ORIG!C2426)</f>
        <v/>
      </c>
      <c r="D2426" s="3">
        <f>IF(ORIG!D2426=0,"",ORIG!D2426)</f>
        <v/>
      </c>
      <c r="E2426" s="3">
        <f>IF(ORIG!E2426=0,"",ORIG!E2426)</f>
        <v/>
      </c>
      <c r="F2426" s="3">
        <f>IF(ORIG!F2426=0,"",ORIG!F2426)</f>
        <v/>
      </c>
      <c r="G2426" s="3">
        <f>IF(ORIG!G2426=0,"",ORIG!G2426)</f>
        <v/>
      </c>
      <c r="H2426" s="3">
        <f>IF(ORIG!H2426=0,"",ORIG!H2426)</f>
        <v/>
      </c>
      <c r="I2426" s="3">
        <f>IF(ORIG!I2426=0,"",ORIG!I2426)</f>
        <v/>
      </c>
      <c r="J2426" s="3">
        <f>IF(ORIG!J2426=0,"",ORIG!J2426)</f>
        <v/>
      </c>
      <c r="K2426" s="3">
        <f>IF(ORIG!K2426=0,"",ORIG!K2426)</f>
        <v/>
      </c>
      <c r="L2426" s="3">
        <f>IF(ORIG!L2426=0,"",ORIG!L2426)</f>
        <v/>
      </c>
      <c r="M2426" s="3">
        <f>IF(ORIG!M2426=0,"",ORIG!M2426)</f>
        <v/>
      </c>
      <c r="N2426" s="3">
        <f>IF(ORIG!N2426=0,"",ORIG!N2426)</f>
        <v/>
      </c>
      <c r="O2426" s="3">
        <f>IF(ORIG!O2426=0,"",ORIG!O2426)</f>
        <v/>
      </c>
      <c r="P2426" s="3">
        <f>IF(ORIG!P2426=0,"",ORIG!P2426)</f>
        <v/>
      </c>
      <c r="Q2426" s="3">
        <f>IF(ORIG!Q2426=0,"",ORIG!Q2426)</f>
        <v/>
      </c>
      <c r="R2426" s="3">
        <f>IF(ORIG!R2426=0,"",ORIG!R2426)</f>
        <v/>
      </c>
      <c r="S2426" s="3">
        <f>IF(ORIG!S2426=0,"",ORIG!S2426)</f>
        <v/>
      </c>
      <c r="T2426" s="3">
        <f>IF(ORIG!T2426=0,"",ORIG!T2426)</f>
        <v/>
      </c>
      <c r="U2426" s="3">
        <f>IF(ORIG!U2426=0,"",ORIG!U2426)</f>
        <v/>
      </c>
      <c r="V2426" s="9">
        <f>IF(ORIG!V2426=0,"",ORIG!V2426)</f>
        <v/>
      </c>
      <c r="W2426" s="9">
        <f>IF(ORIG!W2426=0,"",ORIG!W2426)</f>
        <v/>
      </c>
      <c r="X2426" s="9">
        <f>IF(ORIG!X2426=0,"",ORIG!X2426)</f>
        <v/>
      </c>
      <c r="Y2426" s="9">
        <f>IF(ORIG!Y2426=0,"",ORIG!Y2426)</f>
        <v/>
      </c>
      <c r="Z2426" s="3">
        <f>SUMPRODUCT($B2426:$Y2426,$B$2649:$Y$2649)</f>
        <v/>
      </c>
      <c r="AA2426" s="3">
        <f>SUMPRODUCT($B2426:$Y2426,$B$2655:$Y$2655)</f>
        <v/>
      </c>
      <c r="AC2426" s="1">
        <f>A2426</f>
        <v/>
      </c>
      <c r="AD2426">
        <f>IF(ISNUMBER(V2426),V2426*($AB$1/V$2635),"")</f>
        <v/>
      </c>
      <c r="AE2426">
        <f>IF(ISNUMBER(Z2426),Z2426*($AB$1/Z$2635),"")</f>
        <v/>
      </c>
      <c r="AF2426" s="25">
        <f>IF(ISNUMBER(AD2426+AE2426),AD2426+AE2426,"")</f>
        <v/>
      </c>
      <c r="AH2426" s="1">
        <f>A2426</f>
        <v/>
      </c>
      <c r="AI2426">
        <f>IF(ISNUMBER((1+V2426)*AI2425),(1+V2426)*AI2425,AI2425)</f>
        <v/>
      </c>
      <c r="AJ2426">
        <f>IF(ISNUMBER((1+Z2426)*AJ2425),(1+Z2426)*AJ2425,AJ2425)</f>
        <v/>
      </c>
    </row>
    <row r="2427">
      <c r="A2427" s="1" t="n">
        <v>45525</v>
      </c>
      <c r="B2427" s="3">
        <f>IF(ORIG!B2427=0,"",ORIG!B2427)</f>
        <v/>
      </c>
      <c r="C2427" s="3">
        <f>IF(ORIG!C2427=0,"",ORIG!C2427)</f>
        <v/>
      </c>
      <c r="D2427" s="3">
        <f>IF(ORIG!D2427=0,"",ORIG!D2427)</f>
        <v/>
      </c>
      <c r="E2427" s="3">
        <f>IF(ORIG!E2427=0,"",ORIG!E2427)</f>
        <v/>
      </c>
      <c r="F2427" s="3">
        <f>IF(ORIG!F2427=0,"",ORIG!F2427)</f>
        <v/>
      </c>
      <c r="G2427" s="3">
        <f>IF(ORIG!G2427=0,"",ORIG!G2427)</f>
        <v/>
      </c>
      <c r="H2427" s="3">
        <f>IF(ORIG!H2427=0,"",ORIG!H2427)</f>
        <v/>
      </c>
      <c r="I2427" s="3">
        <f>IF(ORIG!I2427=0,"",ORIG!I2427)</f>
        <v/>
      </c>
      <c r="J2427" s="3">
        <f>IF(ORIG!J2427=0,"",ORIG!J2427)</f>
        <v/>
      </c>
      <c r="K2427" s="3">
        <f>IF(ORIG!K2427=0,"",ORIG!K2427)</f>
        <v/>
      </c>
      <c r="L2427" s="3">
        <f>IF(ORIG!L2427=0,"",ORIG!L2427)</f>
        <v/>
      </c>
      <c r="M2427" s="3">
        <f>IF(ORIG!M2427=0,"",ORIG!M2427)</f>
        <v/>
      </c>
      <c r="N2427" s="3">
        <f>IF(ORIG!N2427=0,"",ORIG!N2427)</f>
        <v/>
      </c>
      <c r="O2427" s="3">
        <f>IF(ORIG!O2427=0,"",ORIG!O2427)</f>
        <v/>
      </c>
      <c r="P2427" s="3">
        <f>IF(ORIG!P2427=0,"",ORIG!P2427)</f>
        <v/>
      </c>
      <c r="Q2427" s="3">
        <f>IF(ORIG!Q2427=0,"",ORIG!Q2427)</f>
        <v/>
      </c>
      <c r="R2427" s="3">
        <f>IF(ORIG!R2427=0,"",ORIG!R2427)</f>
        <v/>
      </c>
      <c r="S2427" s="3">
        <f>IF(ORIG!S2427=0,"",ORIG!S2427)</f>
        <v/>
      </c>
      <c r="T2427" s="3">
        <f>IF(ORIG!T2427=0,"",ORIG!T2427)</f>
        <v/>
      </c>
      <c r="U2427" s="3">
        <f>IF(ORIG!U2427=0,"",ORIG!U2427)</f>
        <v/>
      </c>
      <c r="V2427" s="9">
        <f>IF(ORIG!V2427=0,"",ORIG!V2427)</f>
        <v/>
      </c>
      <c r="W2427" s="9">
        <f>IF(ORIG!W2427=0,"",ORIG!W2427)</f>
        <v/>
      </c>
      <c r="X2427" s="9">
        <f>IF(ORIG!X2427=0,"",ORIG!X2427)</f>
        <v/>
      </c>
      <c r="Y2427" s="9">
        <f>IF(ORIG!Y2427=0,"",ORIG!Y2427)</f>
        <v/>
      </c>
      <c r="Z2427" s="3">
        <f>SUMPRODUCT($B2427:$Y2427,$B$2649:$Y$2649)</f>
        <v/>
      </c>
      <c r="AA2427" s="3">
        <f>SUMPRODUCT($B2427:$Y2427,$B$2655:$Y$2655)</f>
        <v/>
      </c>
      <c r="AC2427" s="1">
        <f>A2427</f>
        <v/>
      </c>
      <c r="AD2427">
        <f>IF(ISNUMBER(V2427),V2427*($AB$1/V$2635),"")</f>
        <v/>
      </c>
      <c r="AE2427">
        <f>IF(ISNUMBER(Z2427),Z2427*($AB$1/Z$2635),"")</f>
        <v/>
      </c>
      <c r="AF2427" s="25">
        <f>IF(ISNUMBER(AD2427+AE2427),AD2427+AE2427,"")</f>
        <v/>
      </c>
      <c r="AH2427" s="1">
        <f>A2427</f>
        <v/>
      </c>
      <c r="AI2427">
        <f>IF(ISNUMBER((1+V2427)*AI2426),(1+V2427)*AI2426,AI2426)</f>
        <v/>
      </c>
      <c r="AJ2427">
        <f>IF(ISNUMBER((1+Z2427)*AJ2426),(1+Z2427)*AJ2426,AJ2426)</f>
        <v/>
      </c>
    </row>
    <row r="2428">
      <c r="A2428" s="1" t="n">
        <v>45526</v>
      </c>
      <c r="B2428" s="3">
        <f>IF(ORIG!B2428=0,"",ORIG!B2428)</f>
        <v/>
      </c>
      <c r="C2428" s="3">
        <f>IF(ORIG!C2428=0,"",ORIG!C2428)</f>
        <v/>
      </c>
      <c r="D2428" s="3">
        <f>IF(ORIG!D2428=0,"",ORIG!D2428)</f>
        <v/>
      </c>
      <c r="E2428" s="3">
        <f>IF(ORIG!E2428=0,"",ORIG!E2428)</f>
        <v/>
      </c>
      <c r="F2428" s="3">
        <f>IF(ORIG!F2428=0,"",ORIG!F2428)</f>
        <v/>
      </c>
      <c r="G2428" s="3">
        <f>IF(ORIG!G2428=0,"",ORIG!G2428)</f>
        <v/>
      </c>
      <c r="H2428" s="3">
        <f>IF(ORIG!H2428=0,"",ORIG!H2428)</f>
        <v/>
      </c>
      <c r="I2428" s="3">
        <f>IF(ORIG!I2428=0,"",ORIG!I2428)</f>
        <v/>
      </c>
      <c r="J2428" s="3">
        <f>IF(ORIG!J2428=0,"",ORIG!J2428)</f>
        <v/>
      </c>
      <c r="K2428" s="3">
        <f>IF(ORIG!K2428=0,"",ORIG!K2428)</f>
        <v/>
      </c>
      <c r="L2428" s="3">
        <f>IF(ORIG!L2428=0,"",ORIG!L2428)</f>
        <v/>
      </c>
      <c r="M2428" s="3">
        <f>IF(ORIG!M2428=0,"",ORIG!M2428)</f>
        <v/>
      </c>
      <c r="N2428" s="3">
        <f>IF(ORIG!N2428=0,"",ORIG!N2428)</f>
        <v/>
      </c>
      <c r="O2428" s="3">
        <f>IF(ORIG!O2428=0,"",ORIG!O2428)</f>
        <v/>
      </c>
      <c r="P2428" s="3">
        <f>IF(ORIG!P2428=0,"",ORIG!P2428)</f>
        <v/>
      </c>
      <c r="Q2428" s="3">
        <f>IF(ORIG!Q2428=0,"",ORIG!Q2428)</f>
        <v/>
      </c>
      <c r="R2428" s="3">
        <f>IF(ORIG!R2428=0,"",ORIG!R2428)</f>
        <v/>
      </c>
      <c r="S2428" s="3">
        <f>IF(ORIG!S2428=0,"",ORIG!S2428)</f>
        <v/>
      </c>
      <c r="T2428" s="3">
        <f>IF(ORIG!T2428=0,"",ORIG!T2428)</f>
        <v/>
      </c>
      <c r="U2428" s="3">
        <f>IF(ORIG!U2428=0,"",ORIG!U2428)</f>
        <v/>
      </c>
      <c r="V2428" s="9">
        <f>IF(ORIG!V2428=0,"",ORIG!V2428)</f>
        <v/>
      </c>
      <c r="W2428" s="9">
        <f>IF(ORIG!W2428=0,"",ORIG!W2428)</f>
        <v/>
      </c>
      <c r="X2428" s="9">
        <f>IF(ORIG!X2428=0,"",ORIG!X2428)</f>
        <v/>
      </c>
      <c r="Y2428" s="9">
        <f>IF(ORIG!Y2428=0,"",ORIG!Y2428)</f>
        <v/>
      </c>
      <c r="Z2428" s="3">
        <f>SUMPRODUCT($B2428:$Y2428,$B$2649:$Y$2649)</f>
        <v/>
      </c>
      <c r="AA2428" s="3">
        <f>SUMPRODUCT($B2428:$Y2428,$B$2655:$Y$2655)</f>
        <v/>
      </c>
      <c r="AC2428" s="1">
        <f>A2428</f>
        <v/>
      </c>
      <c r="AD2428">
        <f>IF(ISNUMBER(V2428),V2428*($AB$1/V$2635),"")</f>
        <v/>
      </c>
      <c r="AE2428">
        <f>IF(ISNUMBER(Z2428),Z2428*($AB$1/Z$2635),"")</f>
        <v/>
      </c>
      <c r="AF2428" s="25">
        <f>IF(ISNUMBER(AD2428+AE2428),AD2428+AE2428,"")</f>
        <v/>
      </c>
      <c r="AH2428" s="1">
        <f>A2428</f>
        <v/>
      </c>
      <c r="AI2428">
        <f>IF(ISNUMBER((1+V2428)*AI2427),(1+V2428)*AI2427,AI2427)</f>
        <v/>
      </c>
      <c r="AJ2428">
        <f>IF(ISNUMBER((1+Z2428)*AJ2427),(1+Z2428)*AJ2427,AJ2427)</f>
        <v/>
      </c>
    </row>
    <row r="2429">
      <c r="A2429" s="1" t="n">
        <v>45527</v>
      </c>
      <c r="B2429" s="3">
        <f>IF(ORIG!B2429=0,"",ORIG!B2429)</f>
        <v/>
      </c>
      <c r="C2429" s="3">
        <f>IF(ORIG!C2429=0,"",ORIG!C2429)</f>
        <v/>
      </c>
      <c r="D2429" s="3">
        <f>IF(ORIG!D2429=0,"",ORIG!D2429)</f>
        <v/>
      </c>
      <c r="E2429" s="3">
        <f>IF(ORIG!E2429=0,"",ORIG!E2429)</f>
        <v/>
      </c>
      <c r="F2429" s="3">
        <f>IF(ORIG!F2429=0,"",ORIG!F2429)</f>
        <v/>
      </c>
      <c r="G2429" s="3">
        <f>IF(ORIG!G2429=0,"",ORIG!G2429)</f>
        <v/>
      </c>
      <c r="H2429" s="3">
        <f>IF(ORIG!H2429=0,"",ORIG!H2429)</f>
        <v/>
      </c>
      <c r="I2429" s="3">
        <f>IF(ORIG!I2429=0,"",ORIG!I2429)</f>
        <v/>
      </c>
      <c r="J2429" s="3">
        <f>IF(ORIG!J2429=0,"",ORIG!J2429)</f>
        <v/>
      </c>
      <c r="K2429" s="3">
        <f>IF(ORIG!K2429=0,"",ORIG!K2429)</f>
        <v/>
      </c>
      <c r="L2429" s="3">
        <f>IF(ORIG!L2429=0,"",ORIG!L2429)</f>
        <v/>
      </c>
      <c r="M2429" s="3">
        <f>IF(ORIG!M2429=0,"",ORIG!M2429)</f>
        <v/>
      </c>
      <c r="N2429" s="3">
        <f>IF(ORIG!N2429=0,"",ORIG!N2429)</f>
        <v/>
      </c>
      <c r="O2429" s="3">
        <f>IF(ORIG!O2429=0,"",ORIG!O2429)</f>
        <v/>
      </c>
      <c r="P2429" s="3">
        <f>IF(ORIG!P2429=0,"",ORIG!P2429)</f>
        <v/>
      </c>
      <c r="Q2429" s="3">
        <f>IF(ORIG!Q2429=0,"",ORIG!Q2429)</f>
        <v/>
      </c>
      <c r="R2429" s="3">
        <f>IF(ORIG!R2429=0,"",ORIG!R2429)</f>
        <v/>
      </c>
      <c r="S2429" s="3">
        <f>IF(ORIG!S2429=0,"",ORIG!S2429)</f>
        <v/>
      </c>
      <c r="T2429" s="3">
        <f>IF(ORIG!T2429=0,"",ORIG!T2429)</f>
        <v/>
      </c>
      <c r="U2429" s="3">
        <f>IF(ORIG!U2429=0,"",ORIG!U2429)</f>
        <v/>
      </c>
      <c r="V2429" s="9">
        <f>IF(ORIG!V2429=0,"",ORIG!V2429)</f>
        <v/>
      </c>
      <c r="W2429" s="9">
        <f>IF(ORIG!W2429=0,"",ORIG!W2429)</f>
        <v/>
      </c>
      <c r="X2429" s="9">
        <f>IF(ORIG!X2429=0,"",ORIG!X2429)</f>
        <v/>
      </c>
      <c r="Y2429" s="9">
        <f>IF(ORIG!Y2429=0,"",ORIG!Y2429)</f>
        <v/>
      </c>
      <c r="Z2429" s="3">
        <f>SUMPRODUCT($B2429:$Y2429,$B$2649:$Y$2649)</f>
        <v/>
      </c>
      <c r="AA2429" s="3">
        <f>SUMPRODUCT($B2429:$Y2429,$B$2655:$Y$2655)</f>
        <v/>
      </c>
      <c r="AC2429" s="1">
        <f>A2429</f>
        <v/>
      </c>
      <c r="AD2429">
        <f>IF(ISNUMBER(V2429),V2429*($AB$1/V$2635),"")</f>
        <v/>
      </c>
      <c r="AE2429">
        <f>IF(ISNUMBER(Z2429),Z2429*($AB$1/Z$2635),"")</f>
        <v/>
      </c>
      <c r="AF2429" s="25">
        <f>IF(ISNUMBER(AD2429+AE2429),AD2429+AE2429,"")</f>
        <v/>
      </c>
      <c r="AH2429" s="1">
        <f>A2429</f>
        <v/>
      </c>
      <c r="AI2429">
        <f>IF(ISNUMBER((1+V2429)*AI2428),(1+V2429)*AI2428,AI2428)</f>
        <v/>
      </c>
      <c r="AJ2429">
        <f>IF(ISNUMBER((1+Z2429)*AJ2428),(1+Z2429)*AJ2428,AJ2428)</f>
        <v/>
      </c>
    </row>
    <row r="2430">
      <c r="A2430" s="1" t="n">
        <v>45530</v>
      </c>
      <c r="B2430" s="3">
        <f>IF(ORIG!B2430=0,"",ORIG!B2430)</f>
        <v/>
      </c>
      <c r="C2430" s="3">
        <f>IF(ORIG!C2430=0,"",ORIG!C2430)</f>
        <v/>
      </c>
      <c r="D2430" s="3">
        <f>IF(ORIG!D2430=0,"",ORIG!D2430)</f>
        <v/>
      </c>
      <c r="E2430" s="3">
        <f>IF(ORIG!E2430=0,"",ORIG!E2430)</f>
        <v/>
      </c>
      <c r="F2430" s="3">
        <f>IF(ORIG!F2430=0,"",ORIG!F2430)</f>
        <v/>
      </c>
      <c r="G2430" s="3">
        <f>IF(ORIG!G2430=0,"",ORIG!G2430)</f>
        <v/>
      </c>
      <c r="H2430" s="3">
        <f>IF(ORIG!H2430=0,"",ORIG!H2430)</f>
        <v/>
      </c>
      <c r="I2430" s="3">
        <f>IF(ORIG!I2430=0,"",ORIG!I2430)</f>
        <v/>
      </c>
      <c r="J2430" s="3">
        <f>IF(ORIG!J2430=0,"",ORIG!J2430)</f>
        <v/>
      </c>
      <c r="K2430" s="3">
        <f>IF(ORIG!K2430=0,"",ORIG!K2430)</f>
        <v/>
      </c>
      <c r="L2430" s="3">
        <f>IF(ORIG!L2430=0,"",ORIG!L2430)</f>
        <v/>
      </c>
      <c r="M2430" s="3">
        <f>IF(ORIG!M2430=0,"",ORIG!M2430)</f>
        <v/>
      </c>
      <c r="N2430" s="3">
        <f>IF(ORIG!N2430=0,"",ORIG!N2430)</f>
        <v/>
      </c>
      <c r="O2430" s="3">
        <f>IF(ORIG!O2430=0,"",ORIG!O2430)</f>
        <v/>
      </c>
      <c r="P2430" s="3">
        <f>IF(ORIG!P2430=0,"",ORIG!P2430)</f>
        <v/>
      </c>
      <c r="Q2430" s="3">
        <f>IF(ORIG!Q2430=0,"",ORIG!Q2430)</f>
        <v/>
      </c>
      <c r="R2430" s="3">
        <f>IF(ORIG!R2430=0,"",ORIG!R2430)</f>
        <v/>
      </c>
      <c r="S2430" s="3">
        <f>IF(ORIG!S2430=0,"",ORIG!S2430)</f>
        <v/>
      </c>
      <c r="T2430" s="3">
        <f>IF(ORIG!T2430=0,"",ORIG!T2430)</f>
        <v/>
      </c>
      <c r="U2430" s="3">
        <f>IF(ORIG!U2430=0,"",ORIG!U2430)</f>
        <v/>
      </c>
      <c r="V2430" s="9">
        <f>IF(ORIG!V2430=0,"",ORIG!V2430)</f>
        <v/>
      </c>
      <c r="W2430" s="9">
        <f>IF(ORIG!W2430=0,"",ORIG!W2430)</f>
        <v/>
      </c>
      <c r="X2430" s="9">
        <f>IF(ORIG!X2430=0,"",ORIG!X2430)</f>
        <v/>
      </c>
      <c r="Y2430" s="9">
        <f>IF(ORIG!Y2430=0,"",ORIG!Y2430)</f>
        <v/>
      </c>
      <c r="Z2430" s="3">
        <f>SUMPRODUCT($B2430:$Y2430,$B$2649:$Y$2649)</f>
        <v/>
      </c>
      <c r="AA2430" s="3">
        <f>SUMPRODUCT($B2430:$Y2430,$B$2655:$Y$2655)</f>
        <v/>
      </c>
      <c r="AC2430" s="1">
        <f>A2430</f>
        <v/>
      </c>
      <c r="AD2430">
        <f>IF(ISNUMBER(V2430),V2430*($AB$1/V$2635),"")</f>
        <v/>
      </c>
      <c r="AE2430">
        <f>IF(ISNUMBER(Z2430),Z2430*($AB$1/Z$2635),"")</f>
        <v/>
      </c>
      <c r="AF2430" s="25">
        <f>IF(ISNUMBER(AD2430+AE2430),AD2430+AE2430,"")</f>
        <v/>
      </c>
      <c r="AH2430" s="1">
        <f>A2430</f>
        <v/>
      </c>
      <c r="AI2430">
        <f>IF(ISNUMBER((1+V2430)*AI2429),(1+V2430)*AI2429,AI2429)</f>
        <v/>
      </c>
      <c r="AJ2430">
        <f>IF(ISNUMBER((1+Z2430)*AJ2429),(1+Z2430)*AJ2429,AJ2429)</f>
        <v/>
      </c>
    </row>
    <row r="2431">
      <c r="A2431" s="1" t="n">
        <v>45531</v>
      </c>
      <c r="B2431" s="3">
        <f>IF(ORIG!B2431=0,"",ORIG!B2431)</f>
        <v/>
      </c>
      <c r="C2431" s="3">
        <f>IF(ORIG!C2431=0,"",ORIG!C2431)</f>
        <v/>
      </c>
      <c r="D2431" s="3">
        <f>IF(ORIG!D2431=0,"",ORIG!D2431)</f>
        <v/>
      </c>
      <c r="E2431" s="3">
        <f>IF(ORIG!E2431=0,"",ORIG!E2431)</f>
        <v/>
      </c>
      <c r="F2431" s="3">
        <f>IF(ORIG!F2431=0,"",ORIG!F2431)</f>
        <v/>
      </c>
      <c r="G2431" s="3">
        <f>IF(ORIG!G2431=0,"",ORIG!G2431)</f>
        <v/>
      </c>
      <c r="H2431" s="3">
        <f>IF(ORIG!H2431=0,"",ORIG!H2431)</f>
        <v/>
      </c>
      <c r="I2431" s="3">
        <f>IF(ORIG!I2431=0,"",ORIG!I2431)</f>
        <v/>
      </c>
      <c r="J2431" s="3">
        <f>IF(ORIG!J2431=0,"",ORIG!J2431)</f>
        <v/>
      </c>
      <c r="K2431" s="3">
        <f>IF(ORIG!K2431=0,"",ORIG!K2431)</f>
        <v/>
      </c>
      <c r="L2431" s="3">
        <f>IF(ORIG!L2431=0,"",ORIG!L2431)</f>
        <v/>
      </c>
      <c r="M2431" s="3">
        <f>IF(ORIG!M2431=0,"",ORIG!M2431)</f>
        <v/>
      </c>
      <c r="N2431" s="3">
        <f>IF(ORIG!N2431=0,"",ORIG!N2431)</f>
        <v/>
      </c>
      <c r="O2431" s="3">
        <f>IF(ORIG!O2431=0,"",ORIG!O2431)</f>
        <v/>
      </c>
      <c r="P2431" s="3">
        <f>IF(ORIG!P2431=0,"",ORIG!P2431)</f>
        <v/>
      </c>
      <c r="Q2431" s="3">
        <f>IF(ORIG!Q2431=0,"",ORIG!Q2431)</f>
        <v/>
      </c>
      <c r="R2431" s="3">
        <f>IF(ORIG!R2431=0,"",ORIG!R2431)</f>
        <v/>
      </c>
      <c r="S2431" s="3">
        <f>IF(ORIG!S2431=0,"",ORIG!S2431)</f>
        <v/>
      </c>
      <c r="T2431" s="3">
        <f>IF(ORIG!T2431=0,"",ORIG!T2431)</f>
        <v/>
      </c>
      <c r="U2431" s="3">
        <f>IF(ORIG!U2431=0,"",ORIG!U2431)</f>
        <v/>
      </c>
      <c r="V2431" s="9">
        <f>IF(ORIG!V2431=0,"",ORIG!V2431)</f>
        <v/>
      </c>
      <c r="W2431" s="9">
        <f>IF(ORIG!W2431=0,"",ORIG!W2431)</f>
        <v/>
      </c>
      <c r="X2431" s="9">
        <f>IF(ORIG!X2431=0,"",ORIG!X2431)</f>
        <v/>
      </c>
      <c r="Y2431" s="9">
        <f>IF(ORIG!Y2431=0,"",ORIG!Y2431)</f>
        <v/>
      </c>
      <c r="Z2431" s="3">
        <f>SUMPRODUCT($B2431:$Y2431,$B$2649:$Y$2649)</f>
        <v/>
      </c>
      <c r="AA2431" s="3">
        <f>SUMPRODUCT($B2431:$Y2431,$B$2655:$Y$2655)</f>
        <v/>
      </c>
      <c r="AC2431" s="1">
        <f>A2431</f>
        <v/>
      </c>
      <c r="AD2431">
        <f>IF(ISNUMBER(V2431),V2431*($AB$1/V$2635),"")</f>
        <v/>
      </c>
      <c r="AE2431">
        <f>IF(ISNUMBER(Z2431),Z2431*($AB$1/Z$2635),"")</f>
        <v/>
      </c>
      <c r="AF2431" s="25">
        <f>IF(ISNUMBER(AD2431+AE2431),AD2431+AE2431,"")</f>
        <v/>
      </c>
      <c r="AH2431" s="1">
        <f>A2431</f>
        <v/>
      </c>
      <c r="AI2431">
        <f>IF(ISNUMBER((1+V2431)*AI2430),(1+V2431)*AI2430,AI2430)</f>
        <v/>
      </c>
      <c r="AJ2431">
        <f>IF(ISNUMBER((1+Z2431)*AJ2430),(1+Z2431)*AJ2430,AJ2430)</f>
        <v/>
      </c>
    </row>
    <row r="2432">
      <c r="A2432" s="1" t="n">
        <v>45532</v>
      </c>
      <c r="B2432" s="3">
        <f>IF(ORIG!B2432=0,"",ORIG!B2432)</f>
        <v/>
      </c>
      <c r="C2432" s="3">
        <f>IF(ORIG!C2432=0,"",ORIG!C2432)</f>
        <v/>
      </c>
      <c r="D2432" s="3">
        <f>IF(ORIG!D2432=0,"",ORIG!D2432)</f>
        <v/>
      </c>
      <c r="E2432" s="3">
        <f>IF(ORIG!E2432=0,"",ORIG!E2432)</f>
        <v/>
      </c>
      <c r="F2432" s="3">
        <f>IF(ORIG!F2432=0,"",ORIG!F2432)</f>
        <v/>
      </c>
      <c r="G2432" s="3">
        <f>IF(ORIG!G2432=0,"",ORIG!G2432)</f>
        <v/>
      </c>
      <c r="H2432" s="3">
        <f>IF(ORIG!H2432=0,"",ORIG!H2432)</f>
        <v/>
      </c>
      <c r="I2432" s="3">
        <f>IF(ORIG!I2432=0,"",ORIG!I2432)</f>
        <v/>
      </c>
      <c r="J2432" s="3">
        <f>IF(ORIG!J2432=0,"",ORIG!J2432)</f>
        <v/>
      </c>
      <c r="K2432" s="3">
        <f>IF(ORIG!K2432=0,"",ORIG!K2432)</f>
        <v/>
      </c>
      <c r="L2432" s="3">
        <f>IF(ORIG!L2432=0,"",ORIG!L2432)</f>
        <v/>
      </c>
      <c r="M2432" s="3">
        <f>IF(ORIG!M2432=0,"",ORIG!M2432)</f>
        <v/>
      </c>
      <c r="N2432" s="3">
        <f>IF(ORIG!N2432=0,"",ORIG!N2432)</f>
        <v/>
      </c>
      <c r="O2432" s="3">
        <f>IF(ORIG!O2432=0,"",ORIG!O2432)</f>
        <v/>
      </c>
      <c r="P2432" s="3">
        <f>IF(ORIG!P2432=0,"",ORIG!P2432)</f>
        <v/>
      </c>
      <c r="Q2432" s="3">
        <f>IF(ORIG!Q2432=0,"",ORIG!Q2432)</f>
        <v/>
      </c>
      <c r="R2432" s="3">
        <f>IF(ORIG!R2432=0,"",ORIG!R2432)</f>
        <v/>
      </c>
      <c r="S2432" s="3">
        <f>IF(ORIG!S2432=0,"",ORIG!S2432)</f>
        <v/>
      </c>
      <c r="T2432" s="3">
        <f>IF(ORIG!T2432=0,"",ORIG!T2432)</f>
        <v/>
      </c>
      <c r="U2432" s="3">
        <f>IF(ORIG!U2432=0,"",ORIG!U2432)</f>
        <v/>
      </c>
      <c r="V2432" s="9">
        <f>IF(ORIG!V2432=0,"",ORIG!V2432)</f>
        <v/>
      </c>
      <c r="W2432" s="9">
        <f>IF(ORIG!W2432=0,"",ORIG!W2432)</f>
        <v/>
      </c>
      <c r="X2432" s="9">
        <f>IF(ORIG!X2432=0,"",ORIG!X2432)</f>
        <v/>
      </c>
      <c r="Y2432" s="9">
        <f>IF(ORIG!Y2432=0,"",ORIG!Y2432)</f>
        <v/>
      </c>
      <c r="Z2432" s="3">
        <f>SUMPRODUCT($B2432:$Y2432,$B$2649:$Y$2649)</f>
        <v/>
      </c>
      <c r="AA2432" s="3">
        <f>SUMPRODUCT($B2432:$Y2432,$B$2655:$Y$2655)</f>
        <v/>
      </c>
      <c r="AC2432" s="1">
        <f>A2432</f>
        <v/>
      </c>
      <c r="AD2432">
        <f>IF(ISNUMBER(V2432),V2432*($AB$1/V$2635),"")</f>
        <v/>
      </c>
      <c r="AE2432">
        <f>IF(ISNUMBER(Z2432),Z2432*($AB$1/Z$2635),"")</f>
        <v/>
      </c>
      <c r="AF2432" s="25">
        <f>IF(ISNUMBER(AD2432+AE2432),AD2432+AE2432,"")</f>
        <v/>
      </c>
      <c r="AH2432" s="1">
        <f>A2432</f>
        <v/>
      </c>
      <c r="AI2432">
        <f>IF(ISNUMBER((1+V2432)*AI2431),(1+V2432)*AI2431,AI2431)</f>
        <v/>
      </c>
      <c r="AJ2432">
        <f>IF(ISNUMBER((1+Z2432)*AJ2431),(1+Z2432)*AJ2431,AJ2431)</f>
        <v/>
      </c>
    </row>
    <row r="2433">
      <c r="A2433" s="1" t="n">
        <v>45533</v>
      </c>
      <c r="B2433" s="3">
        <f>IF(ORIG!B2433=0,"",ORIG!B2433)</f>
        <v/>
      </c>
      <c r="C2433" s="3">
        <f>IF(ORIG!C2433=0,"",ORIG!C2433)</f>
        <v/>
      </c>
      <c r="D2433" s="3">
        <f>IF(ORIG!D2433=0,"",ORIG!D2433)</f>
        <v/>
      </c>
      <c r="E2433" s="3">
        <f>IF(ORIG!E2433=0,"",ORIG!E2433)</f>
        <v/>
      </c>
      <c r="F2433" s="3">
        <f>IF(ORIG!F2433=0,"",ORIG!F2433)</f>
        <v/>
      </c>
      <c r="G2433" s="3">
        <f>IF(ORIG!G2433=0,"",ORIG!G2433)</f>
        <v/>
      </c>
      <c r="H2433" s="3">
        <f>IF(ORIG!H2433=0,"",ORIG!H2433)</f>
        <v/>
      </c>
      <c r="I2433" s="3">
        <f>IF(ORIG!I2433=0,"",ORIG!I2433)</f>
        <v/>
      </c>
      <c r="J2433" s="3">
        <f>IF(ORIG!J2433=0,"",ORIG!J2433)</f>
        <v/>
      </c>
      <c r="K2433" s="3">
        <f>IF(ORIG!K2433=0,"",ORIG!K2433)</f>
        <v/>
      </c>
      <c r="L2433" s="3">
        <f>IF(ORIG!L2433=0,"",ORIG!L2433)</f>
        <v/>
      </c>
      <c r="M2433" s="3">
        <f>IF(ORIG!M2433=0,"",ORIG!M2433)</f>
        <v/>
      </c>
      <c r="N2433" s="3">
        <f>IF(ORIG!N2433=0,"",ORIG!N2433)</f>
        <v/>
      </c>
      <c r="O2433" s="3">
        <f>IF(ORIG!O2433=0,"",ORIG!O2433)</f>
        <v/>
      </c>
      <c r="P2433" s="3">
        <f>IF(ORIG!P2433=0,"",ORIG!P2433)</f>
        <v/>
      </c>
      <c r="Q2433" s="3">
        <f>IF(ORIG!Q2433=0,"",ORIG!Q2433)</f>
        <v/>
      </c>
      <c r="R2433" s="3">
        <f>IF(ORIG!R2433=0,"",ORIG!R2433)</f>
        <v/>
      </c>
      <c r="S2433" s="3">
        <f>IF(ORIG!S2433=0,"",ORIG!S2433)</f>
        <v/>
      </c>
      <c r="T2433" s="3">
        <f>IF(ORIG!T2433=0,"",ORIG!T2433)</f>
        <v/>
      </c>
      <c r="U2433" s="3">
        <f>IF(ORIG!U2433=0,"",ORIG!U2433)</f>
        <v/>
      </c>
      <c r="V2433" s="9">
        <f>IF(ORIG!V2433=0,"",ORIG!V2433)</f>
        <v/>
      </c>
      <c r="W2433" s="9">
        <f>IF(ORIG!W2433=0,"",ORIG!W2433)</f>
        <v/>
      </c>
      <c r="X2433" s="9">
        <f>IF(ORIG!X2433=0,"",ORIG!X2433)</f>
        <v/>
      </c>
      <c r="Y2433" s="9">
        <f>IF(ORIG!Y2433=0,"",ORIG!Y2433)</f>
        <v/>
      </c>
      <c r="Z2433" s="3">
        <f>SUMPRODUCT($B2433:$Y2433,$B$2649:$Y$2649)</f>
        <v/>
      </c>
      <c r="AA2433" s="3">
        <f>SUMPRODUCT($B2433:$Y2433,$B$2655:$Y$2655)</f>
        <v/>
      </c>
      <c r="AC2433" s="1">
        <f>A2433</f>
        <v/>
      </c>
      <c r="AD2433">
        <f>IF(ISNUMBER(V2433),V2433*($AB$1/V$2635),"")</f>
        <v/>
      </c>
      <c r="AE2433">
        <f>IF(ISNUMBER(Z2433),Z2433*($AB$1/Z$2635),"")</f>
        <v/>
      </c>
      <c r="AF2433" s="25">
        <f>IF(ISNUMBER(AD2433+AE2433),AD2433+AE2433,"")</f>
        <v/>
      </c>
      <c r="AH2433" s="1">
        <f>A2433</f>
        <v/>
      </c>
      <c r="AI2433">
        <f>IF(ISNUMBER((1+V2433)*AI2432),(1+V2433)*AI2432,AI2432)</f>
        <v/>
      </c>
      <c r="AJ2433">
        <f>IF(ISNUMBER((1+Z2433)*AJ2432),(1+Z2433)*AJ2432,AJ2432)</f>
        <v/>
      </c>
    </row>
    <row r="2434">
      <c r="A2434" s="1" t="n">
        <v>45534</v>
      </c>
      <c r="B2434" s="3">
        <f>IF(ORIG!B2434=0,"",ORIG!B2434)</f>
        <v/>
      </c>
      <c r="C2434" s="3">
        <f>IF(ORIG!C2434=0,"",ORIG!C2434)</f>
        <v/>
      </c>
      <c r="D2434" s="3">
        <f>IF(ORIG!D2434=0,"",ORIG!D2434)</f>
        <v/>
      </c>
      <c r="E2434" s="3">
        <f>IF(ORIG!E2434=0,"",ORIG!E2434)</f>
        <v/>
      </c>
      <c r="F2434" s="3">
        <f>IF(ORIG!F2434=0,"",ORIG!F2434)</f>
        <v/>
      </c>
      <c r="G2434" s="3">
        <f>IF(ORIG!G2434=0,"",ORIG!G2434)</f>
        <v/>
      </c>
      <c r="H2434" s="3">
        <f>IF(ORIG!H2434=0,"",ORIG!H2434)</f>
        <v/>
      </c>
      <c r="I2434" s="3">
        <f>IF(ORIG!I2434=0,"",ORIG!I2434)</f>
        <v/>
      </c>
      <c r="J2434" s="3">
        <f>IF(ORIG!J2434=0,"",ORIG!J2434)</f>
        <v/>
      </c>
      <c r="K2434" s="3">
        <f>IF(ORIG!K2434=0,"",ORIG!K2434)</f>
        <v/>
      </c>
      <c r="L2434" s="3">
        <f>IF(ORIG!L2434=0,"",ORIG!L2434)</f>
        <v/>
      </c>
      <c r="M2434" s="3">
        <f>IF(ORIG!M2434=0,"",ORIG!M2434)</f>
        <v/>
      </c>
      <c r="N2434" s="3">
        <f>IF(ORIG!N2434=0,"",ORIG!N2434)</f>
        <v/>
      </c>
      <c r="O2434" s="3">
        <f>IF(ORIG!O2434=0,"",ORIG!O2434)</f>
        <v/>
      </c>
      <c r="P2434" s="3">
        <f>IF(ORIG!P2434=0,"",ORIG!P2434)</f>
        <v/>
      </c>
      <c r="Q2434" s="3">
        <f>IF(ORIG!Q2434=0,"",ORIG!Q2434)</f>
        <v/>
      </c>
      <c r="R2434" s="3">
        <f>IF(ORIG!R2434=0,"",ORIG!R2434)</f>
        <v/>
      </c>
      <c r="S2434" s="3">
        <f>IF(ORIG!S2434=0,"",ORIG!S2434)</f>
        <v/>
      </c>
      <c r="T2434" s="3">
        <f>IF(ORIG!T2434=0,"",ORIG!T2434)</f>
        <v/>
      </c>
      <c r="U2434" s="3">
        <f>IF(ORIG!U2434=0,"",ORIG!U2434)</f>
        <v/>
      </c>
      <c r="V2434" s="9">
        <f>IF(ORIG!V2434=0,"",ORIG!V2434)</f>
        <v/>
      </c>
      <c r="W2434" s="9">
        <f>IF(ORIG!W2434=0,"",ORIG!W2434)</f>
        <v/>
      </c>
      <c r="X2434" s="9">
        <f>IF(ORIG!X2434=0,"",ORIG!X2434)</f>
        <v/>
      </c>
      <c r="Y2434" s="9">
        <f>IF(ORIG!Y2434=0,"",ORIG!Y2434)</f>
        <v/>
      </c>
      <c r="Z2434" s="3">
        <f>SUMPRODUCT($B2434:$Y2434,$B$2649:$Y$2649)</f>
        <v/>
      </c>
      <c r="AA2434" s="3">
        <f>SUMPRODUCT($B2434:$Y2434,$B$2655:$Y$2655)</f>
        <v/>
      </c>
      <c r="AC2434" s="1">
        <f>A2434</f>
        <v/>
      </c>
      <c r="AD2434">
        <f>IF(ISNUMBER(V2434),V2434*($AB$1/V$2635),"")</f>
        <v/>
      </c>
      <c r="AE2434">
        <f>IF(ISNUMBER(Z2434),Z2434*($AB$1/Z$2635),"")</f>
        <v/>
      </c>
      <c r="AF2434" s="25">
        <f>IF(ISNUMBER(AD2434+AE2434),AD2434+AE2434,"")</f>
        <v/>
      </c>
      <c r="AH2434" s="1">
        <f>A2434</f>
        <v/>
      </c>
      <c r="AI2434">
        <f>IF(ISNUMBER((1+V2434)*AI2433),(1+V2434)*AI2433,AI2433)</f>
        <v/>
      </c>
      <c r="AJ2434">
        <f>IF(ISNUMBER((1+Z2434)*AJ2433),(1+Z2434)*AJ2433,AJ2433)</f>
        <v/>
      </c>
    </row>
    <row r="2435">
      <c r="A2435" s="1" t="n">
        <v>45538</v>
      </c>
      <c r="B2435" s="3">
        <f>IF(ORIG!B2435=0,"",ORIG!B2435)</f>
        <v/>
      </c>
      <c r="C2435" s="3">
        <f>IF(ORIG!C2435=0,"",ORIG!C2435)</f>
        <v/>
      </c>
      <c r="D2435" s="3">
        <f>IF(ORIG!D2435=0,"",ORIG!D2435)</f>
        <v/>
      </c>
      <c r="E2435" s="3">
        <f>IF(ORIG!E2435=0,"",ORIG!E2435)</f>
        <v/>
      </c>
      <c r="F2435" s="3">
        <f>IF(ORIG!F2435=0,"",ORIG!F2435)</f>
        <v/>
      </c>
      <c r="G2435" s="3">
        <f>IF(ORIG!G2435=0,"",ORIG!G2435)</f>
        <v/>
      </c>
      <c r="H2435" s="3">
        <f>IF(ORIG!H2435=0,"",ORIG!H2435)</f>
        <v/>
      </c>
      <c r="I2435" s="3">
        <f>IF(ORIG!I2435=0,"",ORIG!I2435)</f>
        <v/>
      </c>
      <c r="J2435" s="3">
        <f>IF(ORIG!J2435=0,"",ORIG!J2435)</f>
        <v/>
      </c>
      <c r="K2435" s="3">
        <f>IF(ORIG!K2435=0,"",ORIG!K2435)</f>
        <v/>
      </c>
      <c r="L2435" s="3">
        <f>IF(ORIG!L2435=0,"",ORIG!L2435)</f>
        <v/>
      </c>
      <c r="M2435" s="3">
        <f>IF(ORIG!M2435=0,"",ORIG!M2435)</f>
        <v/>
      </c>
      <c r="N2435" s="3">
        <f>IF(ORIG!N2435=0,"",ORIG!N2435)</f>
        <v/>
      </c>
      <c r="O2435" s="3">
        <f>IF(ORIG!O2435=0,"",ORIG!O2435)</f>
        <v/>
      </c>
      <c r="P2435" s="3">
        <f>IF(ORIG!P2435=0,"",ORIG!P2435)</f>
        <v/>
      </c>
      <c r="Q2435" s="3">
        <f>IF(ORIG!Q2435=0,"",ORIG!Q2435)</f>
        <v/>
      </c>
      <c r="R2435" s="3">
        <f>IF(ORIG!R2435=0,"",ORIG!R2435)</f>
        <v/>
      </c>
      <c r="S2435" s="3">
        <f>IF(ORIG!S2435=0,"",ORIG!S2435)</f>
        <v/>
      </c>
      <c r="T2435" s="3">
        <f>IF(ORIG!T2435=0,"",ORIG!T2435)</f>
        <v/>
      </c>
      <c r="U2435" s="3">
        <f>IF(ORIG!U2435=0,"",ORIG!U2435)</f>
        <v/>
      </c>
      <c r="V2435" s="9">
        <f>IF(ORIG!V2435=0,"",ORIG!V2435)</f>
        <v/>
      </c>
      <c r="W2435" s="9">
        <f>IF(ORIG!W2435=0,"",ORIG!W2435)</f>
        <v/>
      </c>
      <c r="X2435" s="9">
        <f>IF(ORIG!X2435=0,"",ORIG!X2435)</f>
        <v/>
      </c>
      <c r="Y2435" s="9">
        <f>IF(ORIG!Y2435=0,"",ORIG!Y2435)</f>
        <v/>
      </c>
      <c r="Z2435" s="3">
        <f>SUMPRODUCT($B2435:$Y2435,$B$2649:$Y$2649)</f>
        <v/>
      </c>
      <c r="AA2435" s="3">
        <f>SUMPRODUCT($B2435:$Y2435,$B$2655:$Y$2655)</f>
        <v/>
      </c>
      <c r="AC2435" s="1">
        <f>A2435</f>
        <v/>
      </c>
      <c r="AD2435">
        <f>IF(ISNUMBER(V2435),V2435*($AB$1/V$2635),"")</f>
        <v/>
      </c>
      <c r="AE2435">
        <f>IF(ISNUMBER(Z2435),Z2435*($AB$1/Z$2635),"")</f>
        <v/>
      </c>
      <c r="AF2435" s="25">
        <f>IF(ISNUMBER(AD2435+AE2435),AD2435+AE2435,"")</f>
        <v/>
      </c>
      <c r="AH2435" s="1">
        <f>A2435</f>
        <v/>
      </c>
      <c r="AI2435">
        <f>IF(ISNUMBER((1+V2435)*AI2434),(1+V2435)*AI2434,AI2434)</f>
        <v/>
      </c>
      <c r="AJ2435">
        <f>IF(ISNUMBER((1+Z2435)*AJ2434),(1+Z2435)*AJ2434,AJ2434)</f>
        <v/>
      </c>
    </row>
    <row r="2436">
      <c r="A2436" s="1" t="n">
        <v>45539</v>
      </c>
      <c r="B2436" s="3">
        <f>IF(ORIG!B2436=0,"",ORIG!B2436)</f>
        <v/>
      </c>
      <c r="C2436" s="3">
        <f>IF(ORIG!C2436=0,"",ORIG!C2436)</f>
        <v/>
      </c>
      <c r="D2436" s="3">
        <f>IF(ORIG!D2436=0,"",ORIG!D2436)</f>
        <v/>
      </c>
      <c r="E2436" s="3">
        <f>IF(ORIG!E2436=0,"",ORIG!E2436)</f>
        <v/>
      </c>
      <c r="F2436" s="3">
        <f>IF(ORIG!F2436=0,"",ORIG!F2436)</f>
        <v/>
      </c>
      <c r="G2436" s="3">
        <f>IF(ORIG!G2436=0,"",ORIG!G2436)</f>
        <v/>
      </c>
      <c r="H2436" s="3">
        <f>IF(ORIG!H2436=0,"",ORIG!H2436)</f>
        <v/>
      </c>
      <c r="I2436" s="3">
        <f>IF(ORIG!I2436=0,"",ORIG!I2436)</f>
        <v/>
      </c>
      <c r="J2436" s="3">
        <f>IF(ORIG!J2436=0,"",ORIG!J2436)</f>
        <v/>
      </c>
      <c r="K2436" s="3">
        <f>IF(ORIG!K2436=0,"",ORIG!K2436)</f>
        <v/>
      </c>
      <c r="L2436" s="3">
        <f>IF(ORIG!L2436=0,"",ORIG!L2436)</f>
        <v/>
      </c>
      <c r="M2436" s="3">
        <f>IF(ORIG!M2436=0,"",ORIG!M2436)</f>
        <v/>
      </c>
      <c r="N2436" s="3">
        <f>IF(ORIG!N2436=0,"",ORIG!N2436)</f>
        <v/>
      </c>
      <c r="O2436" s="3">
        <f>IF(ORIG!O2436=0,"",ORIG!O2436)</f>
        <v/>
      </c>
      <c r="P2436" s="3">
        <f>IF(ORIG!P2436=0,"",ORIG!P2436)</f>
        <v/>
      </c>
      <c r="Q2436" s="3">
        <f>IF(ORIG!Q2436=0,"",ORIG!Q2436)</f>
        <v/>
      </c>
      <c r="R2436" s="3">
        <f>IF(ORIG!R2436=0,"",ORIG!R2436)</f>
        <v/>
      </c>
      <c r="S2436" s="3">
        <f>IF(ORIG!S2436=0,"",ORIG!S2436)</f>
        <v/>
      </c>
      <c r="T2436" s="3">
        <f>IF(ORIG!T2436=0,"",ORIG!T2436)</f>
        <v/>
      </c>
      <c r="U2436" s="3">
        <f>IF(ORIG!U2436=0,"",ORIG!U2436)</f>
        <v/>
      </c>
      <c r="V2436" s="9">
        <f>IF(ORIG!V2436=0,"",ORIG!V2436)</f>
        <v/>
      </c>
      <c r="W2436" s="9">
        <f>IF(ORIG!W2436=0,"",ORIG!W2436)</f>
        <v/>
      </c>
      <c r="X2436" s="9">
        <f>IF(ORIG!X2436=0,"",ORIG!X2436)</f>
        <v/>
      </c>
      <c r="Y2436" s="9">
        <f>IF(ORIG!Y2436=0,"",ORIG!Y2436)</f>
        <v/>
      </c>
      <c r="Z2436" s="3">
        <f>SUMPRODUCT($B2436:$Y2436,$B$2649:$Y$2649)</f>
        <v/>
      </c>
      <c r="AA2436" s="3">
        <f>SUMPRODUCT($B2436:$Y2436,$B$2655:$Y$2655)</f>
        <v/>
      </c>
      <c r="AC2436" s="1">
        <f>A2436</f>
        <v/>
      </c>
      <c r="AD2436">
        <f>IF(ISNUMBER(V2436),V2436*($AB$1/V$2635),"")</f>
        <v/>
      </c>
      <c r="AE2436">
        <f>IF(ISNUMBER(Z2436),Z2436*($AB$1/Z$2635),"")</f>
        <v/>
      </c>
      <c r="AF2436" s="25">
        <f>IF(ISNUMBER(AD2436+AE2436),AD2436+AE2436,"")</f>
        <v/>
      </c>
      <c r="AH2436" s="1">
        <f>A2436</f>
        <v/>
      </c>
      <c r="AI2436">
        <f>IF(ISNUMBER((1+V2436)*AI2435),(1+V2436)*AI2435,AI2435)</f>
        <v/>
      </c>
      <c r="AJ2436">
        <f>IF(ISNUMBER((1+Z2436)*AJ2435),(1+Z2436)*AJ2435,AJ2435)</f>
        <v/>
      </c>
    </row>
    <row r="2437">
      <c r="A2437" s="1" t="n">
        <v>45540</v>
      </c>
      <c r="B2437" s="3">
        <f>IF(ORIG!B2437=0,"",ORIG!B2437)</f>
        <v/>
      </c>
      <c r="C2437" s="3">
        <f>IF(ORIG!C2437=0,"",ORIG!C2437)</f>
        <v/>
      </c>
      <c r="D2437" s="3">
        <f>IF(ORIG!D2437=0,"",ORIG!D2437)</f>
        <v/>
      </c>
      <c r="E2437" s="3">
        <f>IF(ORIG!E2437=0,"",ORIG!E2437)</f>
        <v/>
      </c>
      <c r="F2437" s="3">
        <f>IF(ORIG!F2437=0,"",ORIG!F2437)</f>
        <v/>
      </c>
      <c r="G2437" s="3">
        <f>IF(ORIG!G2437=0,"",ORIG!G2437)</f>
        <v/>
      </c>
      <c r="H2437" s="3">
        <f>IF(ORIG!H2437=0,"",ORIG!H2437)</f>
        <v/>
      </c>
      <c r="I2437" s="3">
        <f>IF(ORIG!I2437=0,"",ORIG!I2437)</f>
        <v/>
      </c>
      <c r="J2437" s="3">
        <f>IF(ORIG!J2437=0,"",ORIG!J2437)</f>
        <v/>
      </c>
      <c r="K2437" s="3">
        <f>IF(ORIG!K2437=0,"",ORIG!K2437)</f>
        <v/>
      </c>
      <c r="L2437" s="3">
        <f>IF(ORIG!L2437=0,"",ORIG!L2437)</f>
        <v/>
      </c>
      <c r="M2437" s="3">
        <f>IF(ORIG!M2437=0,"",ORIG!M2437)</f>
        <v/>
      </c>
      <c r="N2437" s="3">
        <f>IF(ORIG!N2437=0,"",ORIG!N2437)</f>
        <v/>
      </c>
      <c r="O2437" s="3">
        <f>IF(ORIG!O2437=0,"",ORIG!O2437)</f>
        <v/>
      </c>
      <c r="P2437" s="3">
        <f>IF(ORIG!P2437=0,"",ORIG!P2437)</f>
        <v/>
      </c>
      <c r="Q2437" s="3">
        <f>IF(ORIG!Q2437=0,"",ORIG!Q2437)</f>
        <v/>
      </c>
      <c r="R2437" s="3">
        <f>IF(ORIG!R2437=0,"",ORIG!R2437)</f>
        <v/>
      </c>
      <c r="S2437" s="3">
        <f>IF(ORIG!S2437=0,"",ORIG!S2437)</f>
        <v/>
      </c>
      <c r="T2437" s="3">
        <f>IF(ORIG!T2437=0,"",ORIG!T2437)</f>
        <v/>
      </c>
      <c r="U2437" s="3">
        <f>IF(ORIG!U2437=0,"",ORIG!U2437)</f>
        <v/>
      </c>
      <c r="V2437" s="9">
        <f>IF(ORIG!V2437=0,"",ORIG!V2437)</f>
        <v/>
      </c>
      <c r="W2437" s="9">
        <f>IF(ORIG!W2437=0,"",ORIG!W2437)</f>
        <v/>
      </c>
      <c r="X2437" s="9">
        <f>IF(ORIG!X2437=0,"",ORIG!X2437)</f>
        <v/>
      </c>
      <c r="Y2437" s="9">
        <f>IF(ORIG!Y2437=0,"",ORIG!Y2437)</f>
        <v/>
      </c>
      <c r="Z2437" s="3">
        <f>SUMPRODUCT($B2437:$Y2437,$B$2649:$Y$2649)</f>
        <v/>
      </c>
      <c r="AA2437" s="3">
        <f>SUMPRODUCT($B2437:$Y2437,$B$2655:$Y$2655)</f>
        <v/>
      </c>
      <c r="AC2437" s="1">
        <f>A2437</f>
        <v/>
      </c>
      <c r="AD2437">
        <f>IF(ISNUMBER(V2437),V2437*($AB$1/V$2635),"")</f>
        <v/>
      </c>
      <c r="AE2437">
        <f>IF(ISNUMBER(Z2437),Z2437*($AB$1/Z$2635),"")</f>
        <v/>
      </c>
      <c r="AF2437" s="25">
        <f>IF(ISNUMBER(AD2437+AE2437),AD2437+AE2437,"")</f>
        <v/>
      </c>
      <c r="AH2437" s="1">
        <f>A2437</f>
        <v/>
      </c>
      <c r="AI2437">
        <f>IF(ISNUMBER((1+V2437)*AI2436),(1+V2437)*AI2436,AI2436)</f>
        <v/>
      </c>
      <c r="AJ2437">
        <f>IF(ISNUMBER((1+Z2437)*AJ2436),(1+Z2437)*AJ2436,AJ2436)</f>
        <v/>
      </c>
    </row>
    <row r="2438">
      <c r="A2438" s="1" t="n">
        <v>45541</v>
      </c>
      <c r="B2438" s="3">
        <f>IF(ORIG!B2438=0,"",ORIG!B2438)</f>
        <v/>
      </c>
      <c r="C2438" s="3">
        <f>IF(ORIG!C2438=0,"",ORIG!C2438)</f>
        <v/>
      </c>
      <c r="D2438" s="3">
        <f>IF(ORIG!D2438=0,"",ORIG!D2438)</f>
        <v/>
      </c>
      <c r="E2438" s="3">
        <f>IF(ORIG!E2438=0,"",ORIG!E2438)</f>
        <v/>
      </c>
      <c r="F2438" s="3">
        <f>IF(ORIG!F2438=0,"",ORIG!F2438)</f>
        <v/>
      </c>
      <c r="G2438" s="3">
        <f>IF(ORIG!G2438=0,"",ORIG!G2438)</f>
        <v/>
      </c>
      <c r="H2438" s="3">
        <f>IF(ORIG!H2438=0,"",ORIG!H2438)</f>
        <v/>
      </c>
      <c r="I2438" s="3">
        <f>IF(ORIG!I2438=0,"",ORIG!I2438)</f>
        <v/>
      </c>
      <c r="J2438" s="3">
        <f>IF(ORIG!J2438=0,"",ORIG!J2438)</f>
        <v/>
      </c>
      <c r="K2438" s="3">
        <f>IF(ORIG!K2438=0,"",ORIG!K2438)</f>
        <v/>
      </c>
      <c r="L2438" s="3">
        <f>IF(ORIG!L2438=0,"",ORIG!L2438)</f>
        <v/>
      </c>
      <c r="M2438" s="3">
        <f>IF(ORIG!M2438=0,"",ORIG!M2438)</f>
        <v/>
      </c>
      <c r="N2438" s="3">
        <f>IF(ORIG!N2438=0,"",ORIG!N2438)</f>
        <v/>
      </c>
      <c r="O2438" s="3">
        <f>IF(ORIG!O2438=0,"",ORIG!O2438)</f>
        <v/>
      </c>
      <c r="P2438" s="3">
        <f>IF(ORIG!P2438=0,"",ORIG!P2438)</f>
        <v/>
      </c>
      <c r="Q2438" s="3">
        <f>IF(ORIG!Q2438=0,"",ORIG!Q2438)</f>
        <v/>
      </c>
      <c r="R2438" s="3">
        <f>IF(ORIG!R2438=0,"",ORIG!R2438)</f>
        <v/>
      </c>
      <c r="S2438" s="3">
        <f>IF(ORIG!S2438=0,"",ORIG!S2438)</f>
        <v/>
      </c>
      <c r="T2438" s="3">
        <f>IF(ORIG!T2438=0,"",ORIG!T2438)</f>
        <v/>
      </c>
      <c r="U2438" s="3">
        <f>IF(ORIG!U2438=0,"",ORIG!U2438)</f>
        <v/>
      </c>
      <c r="V2438" s="9">
        <f>IF(ORIG!V2438=0,"",ORIG!V2438)</f>
        <v/>
      </c>
      <c r="W2438" s="9">
        <f>IF(ORIG!W2438=0,"",ORIG!W2438)</f>
        <v/>
      </c>
      <c r="X2438" s="9">
        <f>IF(ORIG!X2438=0,"",ORIG!X2438)</f>
        <v/>
      </c>
      <c r="Y2438" s="9">
        <f>IF(ORIG!Y2438=0,"",ORIG!Y2438)</f>
        <v/>
      </c>
      <c r="Z2438" s="3">
        <f>SUMPRODUCT($B2438:$Y2438,$B$2649:$Y$2649)</f>
        <v/>
      </c>
      <c r="AA2438" s="3">
        <f>SUMPRODUCT($B2438:$Y2438,$B$2655:$Y$2655)</f>
        <v/>
      </c>
      <c r="AC2438" s="1">
        <f>A2438</f>
        <v/>
      </c>
      <c r="AD2438">
        <f>IF(ISNUMBER(V2438),V2438*($AB$1/V$2635),"")</f>
        <v/>
      </c>
      <c r="AE2438">
        <f>IF(ISNUMBER(Z2438),Z2438*($AB$1/Z$2635),"")</f>
        <v/>
      </c>
      <c r="AF2438" s="25">
        <f>IF(ISNUMBER(AD2438+AE2438),AD2438+AE2438,"")</f>
        <v/>
      </c>
      <c r="AH2438" s="1">
        <f>A2438</f>
        <v/>
      </c>
      <c r="AI2438">
        <f>IF(ISNUMBER((1+V2438)*AI2437),(1+V2438)*AI2437,AI2437)</f>
        <v/>
      </c>
      <c r="AJ2438">
        <f>IF(ISNUMBER((1+Z2438)*AJ2437),(1+Z2438)*AJ2437,AJ2437)</f>
        <v/>
      </c>
    </row>
    <row r="2439">
      <c r="A2439" s="1" t="n">
        <v>45544</v>
      </c>
      <c r="B2439" s="3">
        <f>IF(ORIG!B2439=0,"",ORIG!B2439)</f>
        <v/>
      </c>
      <c r="C2439" s="3">
        <f>IF(ORIG!C2439=0,"",ORIG!C2439)</f>
        <v/>
      </c>
      <c r="D2439" s="3">
        <f>IF(ORIG!D2439=0,"",ORIG!D2439)</f>
        <v/>
      </c>
      <c r="E2439" s="3">
        <f>IF(ORIG!E2439=0,"",ORIG!E2439)</f>
        <v/>
      </c>
      <c r="F2439" s="3">
        <f>IF(ORIG!F2439=0,"",ORIG!F2439)</f>
        <v/>
      </c>
      <c r="G2439" s="3">
        <f>IF(ORIG!G2439=0,"",ORIG!G2439)</f>
        <v/>
      </c>
      <c r="H2439" s="3">
        <f>IF(ORIG!H2439=0,"",ORIG!H2439)</f>
        <v/>
      </c>
      <c r="I2439" s="3">
        <f>IF(ORIG!I2439=0,"",ORIG!I2439)</f>
        <v/>
      </c>
      <c r="J2439" s="3">
        <f>IF(ORIG!J2439=0,"",ORIG!J2439)</f>
        <v/>
      </c>
      <c r="K2439" s="3">
        <f>IF(ORIG!K2439=0,"",ORIG!K2439)</f>
        <v/>
      </c>
      <c r="L2439" s="3">
        <f>IF(ORIG!L2439=0,"",ORIG!L2439)</f>
        <v/>
      </c>
      <c r="M2439" s="3">
        <f>IF(ORIG!M2439=0,"",ORIG!M2439)</f>
        <v/>
      </c>
      <c r="N2439" s="3">
        <f>IF(ORIG!N2439=0,"",ORIG!N2439)</f>
        <v/>
      </c>
      <c r="O2439" s="3">
        <f>IF(ORIG!O2439=0,"",ORIG!O2439)</f>
        <v/>
      </c>
      <c r="P2439" s="3">
        <f>IF(ORIG!P2439=0,"",ORIG!P2439)</f>
        <v/>
      </c>
      <c r="Q2439" s="3">
        <f>IF(ORIG!Q2439=0,"",ORIG!Q2439)</f>
        <v/>
      </c>
      <c r="R2439" s="3">
        <f>IF(ORIG!R2439=0,"",ORIG!R2439)</f>
        <v/>
      </c>
      <c r="S2439" s="3">
        <f>IF(ORIG!S2439=0,"",ORIG!S2439)</f>
        <v/>
      </c>
      <c r="T2439" s="3">
        <f>IF(ORIG!T2439=0,"",ORIG!T2439)</f>
        <v/>
      </c>
      <c r="U2439" s="3">
        <f>IF(ORIG!U2439=0,"",ORIG!U2439)</f>
        <v/>
      </c>
      <c r="V2439" s="9">
        <f>IF(ORIG!V2439=0,"",ORIG!V2439)</f>
        <v/>
      </c>
      <c r="W2439" s="9">
        <f>IF(ORIG!W2439=0,"",ORIG!W2439)</f>
        <v/>
      </c>
      <c r="X2439" s="9">
        <f>IF(ORIG!X2439=0,"",ORIG!X2439)</f>
        <v/>
      </c>
      <c r="Y2439" s="9">
        <f>IF(ORIG!Y2439=0,"",ORIG!Y2439)</f>
        <v/>
      </c>
      <c r="Z2439" s="3">
        <f>SUMPRODUCT($B2439:$Y2439,$B$2649:$Y$2649)</f>
        <v/>
      </c>
      <c r="AA2439" s="3">
        <f>SUMPRODUCT($B2439:$Y2439,$B$2655:$Y$2655)</f>
        <v/>
      </c>
      <c r="AC2439" s="1">
        <f>A2439</f>
        <v/>
      </c>
      <c r="AD2439">
        <f>IF(ISNUMBER(V2439),V2439*($AB$1/V$2635),"")</f>
        <v/>
      </c>
      <c r="AE2439">
        <f>IF(ISNUMBER(Z2439),Z2439*($AB$1/Z$2635),"")</f>
        <v/>
      </c>
      <c r="AF2439" s="25">
        <f>IF(ISNUMBER(AD2439+AE2439),AD2439+AE2439,"")</f>
        <v/>
      </c>
      <c r="AH2439" s="1">
        <f>A2439</f>
        <v/>
      </c>
      <c r="AI2439">
        <f>IF(ISNUMBER((1+V2439)*AI2438),(1+V2439)*AI2438,AI2438)</f>
        <v/>
      </c>
      <c r="AJ2439">
        <f>IF(ISNUMBER((1+Z2439)*AJ2438),(1+Z2439)*AJ2438,AJ2438)</f>
        <v/>
      </c>
    </row>
    <row r="2440">
      <c r="A2440" s="1" t="n">
        <v>45545</v>
      </c>
      <c r="B2440" s="3">
        <f>IF(ORIG!B2440=0,"",ORIG!B2440)</f>
        <v/>
      </c>
      <c r="C2440" s="3">
        <f>IF(ORIG!C2440=0,"",ORIG!C2440)</f>
        <v/>
      </c>
      <c r="D2440" s="3">
        <f>IF(ORIG!D2440=0,"",ORIG!D2440)</f>
        <v/>
      </c>
      <c r="E2440" s="3">
        <f>IF(ORIG!E2440=0,"",ORIG!E2440)</f>
        <v/>
      </c>
      <c r="F2440" s="3">
        <f>IF(ORIG!F2440=0,"",ORIG!F2440)</f>
        <v/>
      </c>
      <c r="G2440" s="3">
        <f>IF(ORIG!G2440=0,"",ORIG!G2440)</f>
        <v/>
      </c>
      <c r="H2440" s="3">
        <f>IF(ORIG!H2440=0,"",ORIG!H2440)</f>
        <v/>
      </c>
      <c r="I2440" s="3">
        <f>IF(ORIG!I2440=0,"",ORIG!I2440)</f>
        <v/>
      </c>
      <c r="J2440" s="3">
        <f>IF(ORIG!J2440=0,"",ORIG!J2440)</f>
        <v/>
      </c>
      <c r="K2440" s="3">
        <f>IF(ORIG!K2440=0,"",ORIG!K2440)</f>
        <v/>
      </c>
      <c r="L2440" s="3">
        <f>IF(ORIG!L2440=0,"",ORIG!L2440)</f>
        <v/>
      </c>
      <c r="M2440" s="3">
        <f>IF(ORIG!M2440=0,"",ORIG!M2440)</f>
        <v/>
      </c>
      <c r="N2440" s="3">
        <f>IF(ORIG!N2440=0,"",ORIG!N2440)</f>
        <v/>
      </c>
      <c r="O2440" s="3">
        <f>IF(ORIG!O2440=0,"",ORIG!O2440)</f>
        <v/>
      </c>
      <c r="P2440" s="3">
        <f>IF(ORIG!P2440=0,"",ORIG!P2440)</f>
        <v/>
      </c>
      <c r="Q2440" s="3">
        <f>IF(ORIG!Q2440=0,"",ORIG!Q2440)</f>
        <v/>
      </c>
      <c r="R2440" s="3">
        <f>IF(ORIG!R2440=0,"",ORIG!R2440)</f>
        <v/>
      </c>
      <c r="S2440" s="3">
        <f>IF(ORIG!S2440=0,"",ORIG!S2440)</f>
        <v/>
      </c>
      <c r="T2440" s="3">
        <f>IF(ORIG!T2440=0,"",ORIG!T2440)</f>
        <v/>
      </c>
      <c r="U2440" s="3">
        <f>IF(ORIG!U2440=0,"",ORIG!U2440)</f>
        <v/>
      </c>
      <c r="V2440" s="9">
        <f>IF(ORIG!V2440=0,"",ORIG!V2440)</f>
        <v/>
      </c>
      <c r="W2440" s="9">
        <f>IF(ORIG!W2440=0,"",ORIG!W2440)</f>
        <v/>
      </c>
      <c r="X2440" s="9">
        <f>IF(ORIG!X2440=0,"",ORIG!X2440)</f>
        <v/>
      </c>
      <c r="Y2440" s="9">
        <f>IF(ORIG!Y2440=0,"",ORIG!Y2440)</f>
        <v/>
      </c>
      <c r="Z2440" s="3">
        <f>SUMPRODUCT($B2440:$Y2440,$B$2649:$Y$2649)</f>
        <v/>
      </c>
      <c r="AA2440" s="3">
        <f>SUMPRODUCT($B2440:$Y2440,$B$2655:$Y$2655)</f>
        <v/>
      </c>
      <c r="AC2440" s="1">
        <f>A2440</f>
        <v/>
      </c>
      <c r="AD2440">
        <f>IF(ISNUMBER(V2440),V2440*($AB$1/V$2635),"")</f>
        <v/>
      </c>
      <c r="AE2440">
        <f>IF(ISNUMBER(Z2440),Z2440*($AB$1/Z$2635),"")</f>
        <v/>
      </c>
      <c r="AF2440" s="25">
        <f>IF(ISNUMBER(AD2440+AE2440),AD2440+AE2440,"")</f>
        <v/>
      </c>
      <c r="AH2440" s="1">
        <f>A2440</f>
        <v/>
      </c>
      <c r="AI2440">
        <f>IF(ISNUMBER((1+V2440)*AI2439),(1+V2440)*AI2439,AI2439)</f>
        <v/>
      </c>
      <c r="AJ2440">
        <f>IF(ISNUMBER((1+Z2440)*AJ2439),(1+Z2440)*AJ2439,AJ2439)</f>
        <v/>
      </c>
    </row>
    <row r="2441">
      <c r="A2441" s="1" t="n">
        <v>45546</v>
      </c>
      <c r="B2441" s="3">
        <f>IF(ORIG!B2441=0,"",ORIG!B2441)</f>
        <v/>
      </c>
      <c r="C2441" s="3">
        <f>IF(ORIG!C2441=0,"",ORIG!C2441)</f>
        <v/>
      </c>
      <c r="D2441" s="3">
        <f>IF(ORIG!D2441=0,"",ORIG!D2441)</f>
        <v/>
      </c>
      <c r="E2441" s="3">
        <f>IF(ORIG!E2441=0,"",ORIG!E2441)</f>
        <v/>
      </c>
      <c r="F2441" s="3">
        <f>IF(ORIG!F2441=0,"",ORIG!F2441)</f>
        <v/>
      </c>
      <c r="G2441" s="3">
        <f>IF(ORIG!G2441=0,"",ORIG!G2441)</f>
        <v/>
      </c>
      <c r="H2441" s="3">
        <f>IF(ORIG!H2441=0,"",ORIG!H2441)</f>
        <v/>
      </c>
      <c r="I2441" s="3">
        <f>IF(ORIG!I2441=0,"",ORIG!I2441)</f>
        <v/>
      </c>
      <c r="J2441" s="3">
        <f>IF(ORIG!J2441=0,"",ORIG!J2441)</f>
        <v/>
      </c>
      <c r="K2441" s="3">
        <f>IF(ORIG!K2441=0,"",ORIG!K2441)</f>
        <v/>
      </c>
      <c r="L2441" s="3">
        <f>IF(ORIG!L2441=0,"",ORIG!L2441)</f>
        <v/>
      </c>
      <c r="M2441" s="3">
        <f>IF(ORIG!M2441=0,"",ORIG!M2441)</f>
        <v/>
      </c>
      <c r="N2441" s="3">
        <f>IF(ORIG!N2441=0,"",ORIG!N2441)</f>
        <v/>
      </c>
      <c r="O2441" s="3">
        <f>IF(ORIG!O2441=0,"",ORIG!O2441)</f>
        <v/>
      </c>
      <c r="P2441" s="3">
        <f>IF(ORIG!P2441=0,"",ORIG!P2441)</f>
        <v/>
      </c>
      <c r="Q2441" s="3">
        <f>IF(ORIG!Q2441=0,"",ORIG!Q2441)</f>
        <v/>
      </c>
      <c r="R2441" s="3">
        <f>IF(ORIG!R2441=0,"",ORIG!R2441)</f>
        <v/>
      </c>
      <c r="S2441" s="3">
        <f>IF(ORIG!S2441=0,"",ORIG!S2441)</f>
        <v/>
      </c>
      <c r="T2441" s="3">
        <f>IF(ORIG!T2441=0,"",ORIG!T2441)</f>
        <v/>
      </c>
      <c r="U2441" s="3">
        <f>IF(ORIG!U2441=0,"",ORIG!U2441)</f>
        <v/>
      </c>
      <c r="V2441" s="9">
        <f>IF(ORIG!V2441=0,"",ORIG!V2441)</f>
        <v/>
      </c>
      <c r="W2441" s="9">
        <f>IF(ORIG!W2441=0,"",ORIG!W2441)</f>
        <v/>
      </c>
      <c r="X2441" s="9">
        <f>IF(ORIG!X2441=0,"",ORIG!X2441)</f>
        <v/>
      </c>
      <c r="Y2441" s="9">
        <f>IF(ORIG!Y2441=0,"",ORIG!Y2441)</f>
        <v/>
      </c>
      <c r="Z2441" s="3">
        <f>SUMPRODUCT($B2441:$Y2441,$B$2649:$Y$2649)</f>
        <v/>
      </c>
      <c r="AA2441" s="3">
        <f>SUMPRODUCT($B2441:$Y2441,$B$2655:$Y$2655)</f>
        <v/>
      </c>
      <c r="AC2441" s="1">
        <f>A2441</f>
        <v/>
      </c>
      <c r="AD2441">
        <f>IF(ISNUMBER(V2441),V2441*($AB$1/V$2635),"")</f>
        <v/>
      </c>
      <c r="AE2441">
        <f>IF(ISNUMBER(Z2441),Z2441*($AB$1/Z$2635),"")</f>
        <v/>
      </c>
      <c r="AF2441" s="25">
        <f>IF(ISNUMBER(AD2441+AE2441),AD2441+AE2441,"")</f>
        <v/>
      </c>
      <c r="AH2441" s="1">
        <f>A2441</f>
        <v/>
      </c>
      <c r="AI2441">
        <f>IF(ISNUMBER((1+V2441)*AI2440),(1+V2441)*AI2440,AI2440)</f>
        <v/>
      </c>
      <c r="AJ2441">
        <f>IF(ISNUMBER((1+Z2441)*AJ2440),(1+Z2441)*AJ2440,AJ2440)</f>
        <v/>
      </c>
    </row>
    <row r="2442">
      <c r="A2442" s="1" t="n">
        <v>45547</v>
      </c>
      <c r="B2442" s="3">
        <f>IF(ORIG!B2442=0,"",ORIG!B2442)</f>
        <v/>
      </c>
      <c r="C2442" s="3">
        <f>IF(ORIG!C2442=0,"",ORIG!C2442)</f>
        <v/>
      </c>
      <c r="D2442" s="3">
        <f>IF(ORIG!D2442=0,"",ORIG!D2442)</f>
        <v/>
      </c>
      <c r="E2442" s="3">
        <f>IF(ORIG!E2442=0,"",ORIG!E2442)</f>
        <v/>
      </c>
      <c r="F2442" s="3">
        <f>IF(ORIG!F2442=0,"",ORIG!F2442)</f>
        <v/>
      </c>
      <c r="G2442" s="3">
        <f>IF(ORIG!G2442=0,"",ORIG!G2442)</f>
        <v/>
      </c>
      <c r="H2442" s="3">
        <f>IF(ORIG!H2442=0,"",ORIG!H2442)</f>
        <v/>
      </c>
      <c r="I2442" s="3">
        <f>IF(ORIG!I2442=0,"",ORIG!I2442)</f>
        <v/>
      </c>
      <c r="J2442" s="3">
        <f>IF(ORIG!J2442=0,"",ORIG!J2442)</f>
        <v/>
      </c>
      <c r="K2442" s="3">
        <f>IF(ORIG!K2442=0,"",ORIG!K2442)</f>
        <v/>
      </c>
      <c r="L2442" s="3">
        <f>IF(ORIG!L2442=0,"",ORIG!L2442)</f>
        <v/>
      </c>
      <c r="M2442" s="3">
        <f>IF(ORIG!M2442=0,"",ORIG!M2442)</f>
        <v/>
      </c>
      <c r="N2442" s="3">
        <f>IF(ORIG!N2442=0,"",ORIG!N2442)</f>
        <v/>
      </c>
      <c r="O2442" s="3">
        <f>IF(ORIG!O2442=0,"",ORIG!O2442)</f>
        <v/>
      </c>
      <c r="P2442" s="3">
        <f>IF(ORIG!P2442=0,"",ORIG!P2442)</f>
        <v/>
      </c>
      <c r="Q2442" s="3">
        <f>IF(ORIG!Q2442=0,"",ORIG!Q2442)</f>
        <v/>
      </c>
      <c r="R2442" s="3">
        <f>IF(ORIG!R2442=0,"",ORIG!R2442)</f>
        <v/>
      </c>
      <c r="S2442" s="3">
        <f>IF(ORIG!S2442=0,"",ORIG!S2442)</f>
        <v/>
      </c>
      <c r="T2442" s="3">
        <f>IF(ORIG!T2442=0,"",ORIG!T2442)</f>
        <v/>
      </c>
      <c r="U2442" s="3">
        <f>IF(ORIG!U2442=0,"",ORIG!U2442)</f>
        <v/>
      </c>
      <c r="V2442" s="9">
        <f>IF(ORIG!V2442=0,"",ORIG!V2442)</f>
        <v/>
      </c>
      <c r="W2442" s="9">
        <f>IF(ORIG!W2442=0,"",ORIG!W2442)</f>
        <v/>
      </c>
      <c r="X2442" s="9">
        <f>IF(ORIG!X2442=0,"",ORIG!X2442)</f>
        <v/>
      </c>
      <c r="Y2442" s="9">
        <f>IF(ORIG!Y2442=0,"",ORIG!Y2442)</f>
        <v/>
      </c>
      <c r="Z2442" s="3">
        <f>SUMPRODUCT($B2442:$Y2442,$B$2649:$Y$2649)</f>
        <v/>
      </c>
      <c r="AA2442" s="3">
        <f>SUMPRODUCT($B2442:$Y2442,$B$2655:$Y$2655)</f>
        <v/>
      </c>
      <c r="AC2442" s="1">
        <f>A2442</f>
        <v/>
      </c>
      <c r="AD2442">
        <f>IF(ISNUMBER(V2442),V2442*($AB$1/V$2635),"")</f>
        <v/>
      </c>
      <c r="AE2442">
        <f>IF(ISNUMBER(Z2442),Z2442*($AB$1/Z$2635),"")</f>
        <v/>
      </c>
      <c r="AF2442" s="25">
        <f>IF(ISNUMBER(AD2442+AE2442),AD2442+AE2442,"")</f>
        <v/>
      </c>
      <c r="AH2442" s="1">
        <f>A2442</f>
        <v/>
      </c>
      <c r="AI2442">
        <f>IF(ISNUMBER((1+V2442)*AI2441),(1+V2442)*AI2441,AI2441)</f>
        <v/>
      </c>
      <c r="AJ2442">
        <f>IF(ISNUMBER((1+Z2442)*AJ2441),(1+Z2442)*AJ2441,AJ2441)</f>
        <v/>
      </c>
    </row>
    <row r="2443">
      <c r="A2443" s="1" t="n">
        <v>45548</v>
      </c>
      <c r="B2443" s="3">
        <f>IF(ORIG!B2443=0,"",ORIG!B2443)</f>
        <v/>
      </c>
      <c r="C2443" s="3">
        <f>IF(ORIG!C2443=0,"",ORIG!C2443)</f>
        <v/>
      </c>
      <c r="D2443" s="3">
        <f>IF(ORIG!D2443=0,"",ORIG!D2443)</f>
        <v/>
      </c>
      <c r="E2443" s="3">
        <f>IF(ORIG!E2443=0,"",ORIG!E2443)</f>
        <v/>
      </c>
      <c r="F2443" s="3">
        <f>IF(ORIG!F2443=0,"",ORIG!F2443)</f>
        <v/>
      </c>
      <c r="G2443" s="3">
        <f>IF(ORIG!G2443=0,"",ORIG!G2443)</f>
        <v/>
      </c>
      <c r="H2443" s="3">
        <f>IF(ORIG!H2443=0,"",ORIG!H2443)</f>
        <v/>
      </c>
      <c r="I2443" s="3">
        <f>IF(ORIG!I2443=0,"",ORIG!I2443)</f>
        <v/>
      </c>
      <c r="J2443" s="3">
        <f>IF(ORIG!J2443=0,"",ORIG!J2443)</f>
        <v/>
      </c>
      <c r="K2443" s="3">
        <f>IF(ORIG!K2443=0,"",ORIG!K2443)</f>
        <v/>
      </c>
      <c r="L2443" s="3">
        <f>IF(ORIG!L2443=0,"",ORIG!L2443)</f>
        <v/>
      </c>
      <c r="M2443" s="3">
        <f>IF(ORIG!M2443=0,"",ORIG!M2443)</f>
        <v/>
      </c>
      <c r="N2443" s="3">
        <f>IF(ORIG!N2443=0,"",ORIG!N2443)</f>
        <v/>
      </c>
      <c r="O2443" s="3">
        <f>IF(ORIG!O2443=0,"",ORIG!O2443)</f>
        <v/>
      </c>
      <c r="P2443" s="3">
        <f>IF(ORIG!P2443=0,"",ORIG!P2443)</f>
        <v/>
      </c>
      <c r="Q2443" s="3">
        <f>IF(ORIG!Q2443=0,"",ORIG!Q2443)</f>
        <v/>
      </c>
      <c r="R2443" s="3">
        <f>IF(ORIG!R2443=0,"",ORIG!R2443)</f>
        <v/>
      </c>
      <c r="S2443" s="3">
        <f>IF(ORIG!S2443=0,"",ORIG!S2443)</f>
        <v/>
      </c>
      <c r="T2443" s="3">
        <f>IF(ORIG!T2443=0,"",ORIG!T2443)</f>
        <v/>
      </c>
      <c r="U2443" s="3">
        <f>IF(ORIG!U2443=0,"",ORIG!U2443)</f>
        <v/>
      </c>
      <c r="V2443" s="9">
        <f>IF(ORIG!V2443=0,"",ORIG!V2443)</f>
        <v/>
      </c>
      <c r="W2443" s="9">
        <f>IF(ORIG!W2443=0,"",ORIG!W2443)</f>
        <v/>
      </c>
      <c r="X2443" s="9">
        <f>IF(ORIG!X2443=0,"",ORIG!X2443)</f>
        <v/>
      </c>
      <c r="Y2443" s="9">
        <f>IF(ORIG!Y2443=0,"",ORIG!Y2443)</f>
        <v/>
      </c>
      <c r="Z2443" s="3">
        <f>SUMPRODUCT($B2443:$Y2443,$B$2649:$Y$2649)</f>
        <v/>
      </c>
      <c r="AA2443" s="3">
        <f>SUMPRODUCT($B2443:$Y2443,$B$2655:$Y$2655)</f>
        <v/>
      </c>
      <c r="AC2443" s="1">
        <f>A2443</f>
        <v/>
      </c>
      <c r="AD2443">
        <f>IF(ISNUMBER(V2443),V2443*($AB$1/V$2635),"")</f>
        <v/>
      </c>
      <c r="AE2443">
        <f>IF(ISNUMBER(Z2443),Z2443*($AB$1/Z$2635),"")</f>
        <v/>
      </c>
      <c r="AF2443" s="25">
        <f>IF(ISNUMBER(AD2443+AE2443),AD2443+AE2443,"")</f>
        <v/>
      </c>
      <c r="AH2443" s="1">
        <f>A2443</f>
        <v/>
      </c>
      <c r="AI2443">
        <f>IF(ISNUMBER((1+V2443)*AI2442),(1+V2443)*AI2442,AI2442)</f>
        <v/>
      </c>
      <c r="AJ2443">
        <f>IF(ISNUMBER((1+Z2443)*AJ2442),(1+Z2443)*AJ2442,AJ2442)</f>
        <v/>
      </c>
    </row>
    <row r="2444">
      <c r="A2444" s="1" t="n">
        <v>45551</v>
      </c>
      <c r="B2444" s="3">
        <f>IF(ORIG!B2444=0,"",ORIG!B2444)</f>
        <v/>
      </c>
      <c r="C2444" s="3">
        <f>IF(ORIG!C2444=0,"",ORIG!C2444)</f>
        <v/>
      </c>
      <c r="D2444" s="3">
        <f>IF(ORIG!D2444=0,"",ORIG!D2444)</f>
        <v/>
      </c>
      <c r="E2444" s="3">
        <f>IF(ORIG!E2444=0,"",ORIG!E2444)</f>
        <v/>
      </c>
      <c r="F2444" s="3">
        <f>IF(ORIG!F2444=0,"",ORIG!F2444)</f>
        <v/>
      </c>
      <c r="G2444" s="3">
        <f>IF(ORIG!G2444=0,"",ORIG!G2444)</f>
        <v/>
      </c>
      <c r="H2444" s="3">
        <f>IF(ORIG!H2444=0,"",ORIG!H2444)</f>
        <v/>
      </c>
      <c r="I2444" s="3">
        <f>IF(ORIG!I2444=0,"",ORIG!I2444)</f>
        <v/>
      </c>
      <c r="J2444" s="3">
        <f>IF(ORIG!J2444=0,"",ORIG!J2444)</f>
        <v/>
      </c>
      <c r="K2444" s="3">
        <f>IF(ORIG!K2444=0,"",ORIG!K2444)</f>
        <v/>
      </c>
      <c r="L2444" s="3">
        <f>IF(ORIG!L2444=0,"",ORIG!L2444)</f>
        <v/>
      </c>
      <c r="M2444" s="3">
        <f>IF(ORIG!M2444=0,"",ORIG!M2444)</f>
        <v/>
      </c>
      <c r="N2444" s="3">
        <f>IF(ORIG!N2444=0,"",ORIG!N2444)</f>
        <v/>
      </c>
      <c r="O2444" s="3">
        <f>IF(ORIG!O2444=0,"",ORIG!O2444)</f>
        <v/>
      </c>
      <c r="P2444" s="3">
        <f>IF(ORIG!P2444=0,"",ORIG!P2444)</f>
        <v/>
      </c>
      <c r="Q2444" s="3">
        <f>IF(ORIG!Q2444=0,"",ORIG!Q2444)</f>
        <v/>
      </c>
      <c r="R2444" s="3">
        <f>IF(ORIG!R2444=0,"",ORIG!R2444)</f>
        <v/>
      </c>
      <c r="S2444" s="3">
        <f>IF(ORIG!S2444=0,"",ORIG!S2444)</f>
        <v/>
      </c>
      <c r="T2444" s="3">
        <f>IF(ORIG!T2444=0,"",ORIG!T2444)</f>
        <v/>
      </c>
      <c r="U2444" s="3">
        <f>IF(ORIG!U2444=0,"",ORIG!U2444)</f>
        <v/>
      </c>
      <c r="V2444" s="9">
        <f>IF(ORIG!V2444=0,"",ORIG!V2444)</f>
        <v/>
      </c>
      <c r="W2444" s="9">
        <f>IF(ORIG!W2444=0,"",ORIG!W2444)</f>
        <v/>
      </c>
      <c r="X2444" s="9">
        <f>IF(ORIG!X2444=0,"",ORIG!X2444)</f>
        <v/>
      </c>
      <c r="Y2444" s="9">
        <f>IF(ORIG!Y2444=0,"",ORIG!Y2444)</f>
        <v/>
      </c>
      <c r="Z2444" s="3">
        <f>SUMPRODUCT($B2444:$Y2444,$B$2649:$Y$2649)</f>
        <v/>
      </c>
      <c r="AA2444" s="3">
        <f>SUMPRODUCT($B2444:$Y2444,$B$2655:$Y$2655)</f>
        <v/>
      </c>
      <c r="AC2444" s="1">
        <f>A2444</f>
        <v/>
      </c>
      <c r="AD2444">
        <f>IF(ISNUMBER(V2444),V2444*($AB$1/V$2635),"")</f>
        <v/>
      </c>
      <c r="AE2444">
        <f>IF(ISNUMBER(Z2444),Z2444*($AB$1/Z$2635),"")</f>
        <v/>
      </c>
      <c r="AF2444" s="25">
        <f>IF(ISNUMBER(AD2444+AE2444),AD2444+AE2444,"")</f>
        <v/>
      </c>
      <c r="AH2444" s="1">
        <f>A2444</f>
        <v/>
      </c>
      <c r="AI2444">
        <f>IF(ISNUMBER((1+V2444)*AI2443),(1+V2444)*AI2443,AI2443)</f>
        <v/>
      </c>
      <c r="AJ2444">
        <f>IF(ISNUMBER((1+Z2444)*AJ2443),(1+Z2444)*AJ2443,AJ2443)</f>
        <v/>
      </c>
    </row>
    <row r="2445">
      <c r="A2445" s="1" t="n">
        <v>45552</v>
      </c>
      <c r="B2445" s="3">
        <f>IF(ORIG!B2445=0,"",ORIG!B2445)</f>
        <v/>
      </c>
      <c r="C2445" s="3">
        <f>IF(ORIG!C2445=0,"",ORIG!C2445)</f>
        <v/>
      </c>
      <c r="D2445" s="3">
        <f>IF(ORIG!D2445=0,"",ORIG!D2445)</f>
        <v/>
      </c>
      <c r="E2445" s="3">
        <f>IF(ORIG!E2445=0,"",ORIG!E2445)</f>
        <v/>
      </c>
      <c r="F2445" s="3">
        <f>IF(ORIG!F2445=0,"",ORIG!F2445)</f>
        <v/>
      </c>
      <c r="G2445" s="3">
        <f>IF(ORIG!G2445=0,"",ORIG!G2445)</f>
        <v/>
      </c>
      <c r="H2445" s="3">
        <f>IF(ORIG!H2445=0,"",ORIG!H2445)</f>
        <v/>
      </c>
      <c r="I2445" s="3">
        <f>IF(ORIG!I2445=0,"",ORIG!I2445)</f>
        <v/>
      </c>
      <c r="J2445" s="3">
        <f>IF(ORIG!J2445=0,"",ORIG!J2445)</f>
        <v/>
      </c>
      <c r="K2445" s="3">
        <f>IF(ORIG!K2445=0,"",ORIG!K2445)</f>
        <v/>
      </c>
      <c r="L2445" s="3">
        <f>IF(ORIG!L2445=0,"",ORIG!L2445)</f>
        <v/>
      </c>
      <c r="M2445" s="3">
        <f>IF(ORIG!M2445=0,"",ORIG!M2445)</f>
        <v/>
      </c>
      <c r="N2445" s="3">
        <f>IF(ORIG!N2445=0,"",ORIG!N2445)</f>
        <v/>
      </c>
      <c r="O2445" s="3">
        <f>IF(ORIG!O2445=0,"",ORIG!O2445)</f>
        <v/>
      </c>
      <c r="P2445" s="3">
        <f>IF(ORIG!P2445=0,"",ORIG!P2445)</f>
        <v/>
      </c>
      <c r="Q2445" s="3">
        <f>IF(ORIG!Q2445=0,"",ORIG!Q2445)</f>
        <v/>
      </c>
      <c r="R2445" s="3">
        <f>IF(ORIG!R2445=0,"",ORIG!R2445)</f>
        <v/>
      </c>
      <c r="S2445" s="3">
        <f>IF(ORIG!S2445=0,"",ORIG!S2445)</f>
        <v/>
      </c>
      <c r="T2445" s="3">
        <f>IF(ORIG!T2445=0,"",ORIG!T2445)</f>
        <v/>
      </c>
      <c r="U2445" s="3">
        <f>IF(ORIG!U2445=0,"",ORIG!U2445)</f>
        <v/>
      </c>
      <c r="V2445" s="9">
        <f>IF(ORIG!V2445=0,"",ORIG!V2445)</f>
        <v/>
      </c>
      <c r="W2445" s="9">
        <f>IF(ORIG!W2445=0,"",ORIG!W2445)</f>
        <v/>
      </c>
      <c r="X2445" s="9">
        <f>IF(ORIG!X2445=0,"",ORIG!X2445)</f>
        <v/>
      </c>
      <c r="Y2445" s="9">
        <f>IF(ORIG!Y2445=0,"",ORIG!Y2445)</f>
        <v/>
      </c>
      <c r="Z2445" s="3">
        <f>SUMPRODUCT($B2445:$Y2445,$B$2649:$Y$2649)</f>
        <v/>
      </c>
      <c r="AA2445" s="3">
        <f>SUMPRODUCT($B2445:$Y2445,$B$2655:$Y$2655)</f>
        <v/>
      </c>
      <c r="AC2445" s="1">
        <f>A2445</f>
        <v/>
      </c>
      <c r="AD2445">
        <f>IF(ISNUMBER(V2445),V2445*($AB$1/V$2635),"")</f>
        <v/>
      </c>
      <c r="AE2445">
        <f>IF(ISNUMBER(Z2445),Z2445*($AB$1/Z$2635),"")</f>
        <v/>
      </c>
      <c r="AF2445" s="25">
        <f>IF(ISNUMBER(AD2445+AE2445),AD2445+AE2445,"")</f>
        <v/>
      </c>
      <c r="AH2445" s="1">
        <f>A2445</f>
        <v/>
      </c>
      <c r="AI2445">
        <f>IF(ISNUMBER((1+V2445)*AI2444),(1+V2445)*AI2444,AI2444)</f>
        <v/>
      </c>
      <c r="AJ2445">
        <f>IF(ISNUMBER((1+Z2445)*AJ2444),(1+Z2445)*AJ2444,AJ2444)</f>
        <v/>
      </c>
    </row>
    <row r="2446">
      <c r="A2446" s="1" t="n">
        <v>45553</v>
      </c>
      <c r="B2446" s="3">
        <f>IF(ORIG!B2446=0,"",ORIG!B2446)</f>
        <v/>
      </c>
      <c r="C2446" s="3">
        <f>IF(ORIG!C2446=0,"",ORIG!C2446)</f>
        <v/>
      </c>
      <c r="D2446" s="3">
        <f>IF(ORIG!D2446=0,"",ORIG!D2446)</f>
        <v/>
      </c>
      <c r="E2446" s="3">
        <f>IF(ORIG!E2446=0,"",ORIG!E2446)</f>
        <v/>
      </c>
      <c r="F2446" s="3">
        <f>IF(ORIG!F2446=0,"",ORIG!F2446)</f>
        <v/>
      </c>
      <c r="G2446" s="3">
        <f>IF(ORIG!G2446=0,"",ORIG!G2446)</f>
        <v/>
      </c>
      <c r="H2446" s="3">
        <f>IF(ORIG!H2446=0,"",ORIG!H2446)</f>
        <v/>
      </c>
      <c r="I2446" s="3">
        <f>IF(ORIG!I2446=0,"",ORIG!I2446)</f>
        <v/>
      </c>
      <c r="J2446" s="3">
        <f>IF(ORIG!J2446=0,"",ORIG!J2446)</f>
        <v/>
      </c>
      <c r="K2446" s="3">
        <f>IF(ORIG!K2446=0,"",ORIG!K2446)</f>
        <v/>
      </c>
      <c r="L2446" s="3">
        <f>IF(ORIG!L2446=0,"",ORIG!L2446)</f>
        <v/>
      </c>
      <c r="M2446" s="3">
        <f>IF(ORIG!M2446=0,"",ORIG!M2446)</f>
        <v/>
      </c>
      <c r="N2446" s="3">
        <f>IF(ORIG!N2446=0,"",ORIG!N2446)</f>
        <v/>
      </c>
      <c r="O2446" s="3">
        <f>IF(ORIG!O2446=0,"",ORIG!O2446)</f>
        <v/>
      </c>
      <c r="P2446" s="3">
        <f>IF(ORIG!P2446=0,"",ORIG!P2446)</f>
        <v/>
      </c>
      <c r="Q2446" s="3">
        <f>IF(ORIG!Q2446=0,"",ORIG!Q2446)</f>
        <v/>
      </c>
      <c r="R2446" s="3">
        <f>IF(ORIG!R2446=0,"",ORIG!R2446)</f>
        <v/>
      </c>
      <c r="S2446" s="3">
        <f>IF(ORIG!S2446=0,"",ORIG!S2446)</f>
        <v/>
      </c>
      <c r="T2446" s="3">
        <f>IF(ORIG!T2446=0,"",ORIG!T2446)</f>
        <v/>
      </c>
      <c r="U2446" s="3">
        <f>IF(ORIG!U2446=0,"",ORIG!U2446)</f>
        <v/>
      </c>
      <c r="V2446" s="9">
        <f>IF(ORIG!V2446=0,"",ORIG!V2446)</f>
        <v/>
      </c>
      <c r="W2446" s="9">
        <f>IF(ORIG!W2446=0,"",ORIG!W2446)</f>
        <v/>
      </c>
      <c r="X2446" s="9">
        <f>IF(ORIG!X2446=0,"",ORIG!X2446)</f>
        <v/>
      </c>
      <c r="Y2446" s="9">
        <f>IF(ORIG!Y2446=0,"",ORIG!Y2446)</f>
        <v/>
      </c>
      <c r="Z2446" s="3">
        <f>SUMPRODUCT($B2446:$Y2446,$B$2649:$Y$2649)</f>
        <v/>
      </c>
      <c r="AA2446" s="3">
        <f>SUMPRODUCT($B2446:$Y2446,$B$2655:$Y$2655)</f>
        <v/>
      </c>
      <c r="AC2446" s="1">
        <f>A2446</f>
        <v/>
      </c>
      <c r="AD2446">
        <f>IF(ISNUMBER(V2446),V2446*($AB$1/V$2635),"")</f>
        <v/>
      </c>
      <c r="AE2446">
        <f>IF(ISNUMBER(Z2446),Z2446*($AB$1/Z$2635),"")</f>
        <v/>
      </c>
      <c r="AF2446" s="25">
        <f>IF(ISNUMBER(AD2446+AE2446),AD2446+AE2446,"")</f>
        <v/>
      </c>
      <c r="AH2446" s="1">
        <f>A2446</f>
        <v/>
      </c>
      <c r="AI2446">
        <f>IF(ISNUMBER((1+V2446)*AI2445),(1+V2446)*AI2445,AI2445)</f>
        <v/>
      </c>
      <c r="AJ2446">
        <f>IF(ISNUMBER((1+Z2446)*AJ2445),(1+Z2446)*AJ2445,AJ2445)</f>
        <v/>
      </c>
    </row>
    <row r="2447">
      <c r="A2447" s="1" t="n">
        <v>45554</v>
      </c>
      <c r="B2447" s="3">
        <f>IF(ORIG!B2447=0,"",ORIG!B2447)</f>
        <v/>
      </c>
      <c r="C2447" s="3">
        <f>IF(ORIG!C2447=0,"",ORIG!C2447)</f>
        <v/>
      </c>
      <c r="D2447" s="3">
        <f>IF(ORIG!D2447=0,"",ORIG!D2447)</f>
        <v/>
      </c>
      <c r="E2447" s="3">
        <f>IF(ORIG!E2447=0,"",ORIG!E2447)</f>
        <v/>
      </c>
      <c r="F2447" s="3">
        <f>IF(ORIG!F2447=0,"",ORIG!F2447)</f>
        <v/>
      </c>
      <c r="G2447" s="3">
        <f>IF(ORIG!G2447=0,"",ORIG!G2447)</f>
        <v/>
      </c>
      <c r="H2447" s="3">
        <f>IF(ORIG!H2447=0,"",ORIG!H2447)</f>
        <v/>
      </c>
      <c r="I2447" s="3">
        <f>IF(ORIG!I2447=0,"",ORIG!I2447)</f>
        <v/>
      </c>
      <c r="J2447" s="3">
        <f>IF(ORIG!J2447=0,"",ORIG!J2447)</f>
        <v/>
      </c>
      <c r="K2447" s="3">
        <f>IF(ORIG!K2447=0,"",ORIG!K2447)</f>
        <v/>
      </c>
      <c r="L2447" s="3">
        <f>IF(ORIG!L2447=0,"",ORIG!L2447)</f>
        <v/>
      </c>
      <c r="M2447" s="3">
        <f>IF(ORIG!M2447=0,"",ORIG!M2447)</f>
        <v/>
      </c>
      <c r="N2447" s="3">
        <f>IF(ORIG!N2447=0,"",ORIG!N2447)</f>
        <v/>
      </c>
      <c r="O2447" s="3">
        <f>IF(ORIG!O2447=0,"",ORIG!O2447)</f>
        <v/>
      </c>
      <c r="P2447" s="3">
        <f>IF(ORIG!P2447=0,"",ORIG!P2447)</f>
        <v/>
      </c>
      <c r="Q2447" s="3">
        <f>IF(ORIG!Q2447=0,"",ORIG!Q2447)</f>
        <v/>
      </c>
      <c r="R2447" s="3">
        <f>IF(ORIG!R2447=0,"",ORIG!R2447)</f>
        <v/>
      </c>
      <c r="S2447" s="3">
        <f>IF(ORIG!S2447=0,"",ORIG!S2447)</f>
        <v/>
      </c>
      <c r="T2447" s="3">
        <f>IF(ORIG!T2447=0,"",ORIG!T2447)</f>
        <v/>
      </c>
      <c r="U2447" s="3">
        <f>IF(ORIG!U2447=0,"",ORIG!U2447)</f>
        <v/>
      </c>
      <c r="V2447" s="9">
        <f>IF(ORIG!V2447=0,"",ORIG!V2447)</f>
        <v/>
      </c>
      <c r="W2447" s="9">
        <f>IF(ORIG!W2447=0,"",ORIG!W2447)</f>
        <v/>
      </c>
      <c r="X2447" s="9">
        <f>IF(ORIG!X2447=0,"",ORIG!X2447)</f>
        <v/>
      </c>
      <c r="Y2447" s="9">
        <f>IF(ORIG!Y2447=0,"",ORIG!Y2447)</f>
        <v/>
      </c>
      <c r="Z2447" s="3">
        <f>SUMPRODUCT($B2447:$Y2447,$B$2649:$Y$2649)</f>
        <v/>
      </c>
      <c r="AA2447" s="3">
        <f>SUMPRODUCT($B2447:$Y2447,$B$2655:$Y$2655)</f>
        <v/>
      </c>
      <c r="AC2447" s="1">
        <f>A2447</f>
        <v/>
      </c>
      <c r="AD2447">
        <f>IF(ISNUMBER(V2447),V2447*($AB$1/V$2635),"")</f>
        <v/>
      </c>
      <c r="AE2447">
        <f>IF(ISNUMBER(Z2447),Z2447*($AB$1/Z$2635),"")</f>
        <v/>
      </c>
      <c r="AF2447" s="25">
        <f>IF(ISNUMBER(AD2447+AE2447),AD2447+AE2447,"")</f>
        <v/>
      </c>
      <c r="AH2447" s="1">
        <f>A2447</f>
        <v/>
      </c>
      <c r="AI2447">
        <f>IF(ISNUMBER((1+V2447)*AI2446),(1+V2447)*AI2446,AI2446)</f>
        <v/>
      </c>
      <c r="AJ2447">
        <f>IF(ISNUMBER((1+Z2447)*AJ2446),(1+Z2447)*AJ2446,AJ2446)</f>
        <v/>
      </c>
    </row>
    <row r="2448">
      <c r="A2448" s="1" t="n">
        <v>45555</v>
      </c>
      <c r="B2448" s="3">
        <f>IF(ORIG!B2448=0,"",ORIG!B2448)</f>
        <v/>
      </c>
      <c r="C2448" s="3">
        <f>IF(ORIG!C2448=0,"",ORIG!C2448)</f>
        <v/>
      </c>
      <c r="D2448" s="3">
        <f>IF(ORIG!D2448=0,"",ORIG!D2448)</f>
        <v/>
      </c>
      <c r="E2448" s="3">
        <f>IF(ORIG!E2448=0,"",ORIG!E2448)</f>
        <v/>
      </c>
      <c r="F2448" s="3">
        <f>IF(ORIG!F2448=0,"",ORIG!F2448)</f>
        <v/>
      </c>
      <c r="G2448" s="3">
        <f>IF(ORIG!G2448=0,"",ORIG!G2448)</f>
        <v/>
      </c>
      <c r="H2448" s="3">
        <f>IF(ORIG!H2448=0,"",ORIG!H2448)</f>
        <v/>
      </c>
      <c r="I2448" s="3">
        <f>IF(ORIG!I2448=0,"",ORIG!I2448)</f>
        <v/>
      </c>
      <c r="J2448" s="3">
        <f>IF(ORIG!J2448=0,"",ORIG!J2448)</f>
        <v/>
      </c>
      <c r="K2448" s="3">
        <f>IF(ORIG!K2448=0,"",ORIG!K2448)</f>
        <v/>
      </c>
      <c r="L2448" s="3">
        <f>IF(ORIG!L2448=0,"",ORIG!L2448)</f>
        <v/>
      </c>
      <c r="M2448" s="3">
        <f>IF(ORIG!M2448=0,"",ORIG!M2448)</f>
        <v/>
      </c>
      <c r="N2448" s="3">
        <f>IF(ORIG!N2448=0,"",ORIG!N2448)</f>
        <v/>
      </c>
      <c r="O2448" s="3">
        <f>IF(ORIG!O2448=0,"",ORIG!O2448)</f>
        <v/>
      </c>
      <c r="P2448" s="3">
        <f>IF(ORIG!P2448=0,"",ORIG!P2448)</f>
        <v/>
      </c>
      <c r="Q2448" s="3">
        <f>IF(ORIG!Q2448=0,"",ORIG!Q2448)</f>
        <v/>
      </c>
      <c r="R2448" s="3">
        <f>IF(ORIG!R2448=0,"",ORIG!R2448)</f>
        <v/>
      </c>
      <c r="S2448" s="3">
        <f>IF(ORIG!S2448=0,"",ORIG!S2448)</f>
        <v/>
      </c>
      <c r="T2448" s="3">
        <f>IF(ORIG!T2448=0,"",ORIG!T2448)</f>
        <v/>
      </c>
      <c r="U2448" s="3">
        <f>IF(ORIG!U2448=0,"",ORIG!U2448)</f>
        <v/>
      </c>
      <c r="V2448" s="9">
        <f>IF(ORIG!V2448=0,"",ORIG!V2448)</f>
        <v/>
      </c>
      <c r="W2448" s="9">
        <f>IF(ORIG!W2448=0,"",ORIG!W2448)</f>
        <v/>
      </c>
      <c r="X2448" s="9">
        <f>IF(ORIG!X2448=0,"",ORIG!X2448)</f>
        <v/>
      </c>
      <c r="Y2448" s="9">
        <f>IF(ORIG!Y2448=0,"",ORIG!Y2448)</f>
        <v/>
      </c>
      <c r="Z2448" s="3">
        <f>SUMPRODUCT($B2448:$Y2448,$B$2649:$Y$2649)</f>
        <v/>
      </c>
      <c r="AA2448" s="3">
        <f>SUMPRODUCT($B2448:$Y2448,$B$2655:$Y$2655)</f>
        <v/>
      </c>
      <c r="AC2448" s="1">
        <f>A2448</f>
        <v/>
      </c>
      <c r="AD2448">
        <f>IF(ISNUMBER(V2448),V2448*($AB$1/V$2635),"")</f>
        <v/>
      </c>
      <c r="AE2448">
        <f>IF(ISNUMBER(Z2448),Z2448*($AB$1/Z$2635),"")</f>
        <v/>
      </c>
      <c r="AF2448" s="25">
        <f>IF(ISNUMBER(AD2448+AE2448),AD2448+AE2448,"")</f>
        <v/>
      </c>
      <c r="AH2448" s="1">
        <f>A2448</f>
        <v/>
      </c>
      <c r="AI2448">
        <f>IF(ISNUMBER((1+V2448)*AI2447),(1+V2448)*AI2447,AI2447)</f>
        <v/>
      </c>
      <c r="AJ2448">
        <f>IF(ISNUMBER((1+Z2448)*AJ2447),(1+Z2448)*AJ2447,AJ2447)</f>
        <v/>
      </c>
    </row>
    <row r="2449">
      <c r="A2449" s="1" t="n">
        <v>45558</v>
      </c>
      <c r="B2449" s="3">
        <f>IF(ORIG!B2449=0,"",ORIG!B2449)</f>
        <v/>
      </c>
      <c r="C2449" s="3">
        <f>IF(ORIG!C2449=0,"",ORIG!C2449)</f>
        <v/>
      </c>
      <c r="D2449" s="3">
        <f>IF(ORIG!D2449=0,"",ORIG!D2449)</f>
        <v/>
      </c>
      <c r="E2449" s="3">
        <f>IF(ORIG!E2449=0,"",ORIG!E2449)</f>
        <v/>
      </c>
      <c r="F2449" s="3">
        <f>IF(ORIG!F2449=0,"",ORIG!F2449)</f>
        <v/>
      </c>
      <c r="G2449" s="3">
        <f>IF(ORIG!G2449=0,"",ORIG!G2449)</f>
        <v/>
      </c>
      <c r="H2449" s="3">
        <f>IF(ORIG!H2449=0,"",ORIG!H2449)</f>
        <v/>
      </c>
      <c r="I2449" s="3">
        <f>IF(ORIG!I2449=0,"",ORIG!I2449)</f>
        <v/>
      </c>
      <c r="J2449" s="3">
        <f>IF(ORIG!J2449=0,"",ORIG!J2449)</f>
        <v/>
      </c>
      <c r="K2449" s="3">
        <f>IF(ORIG!K2449=0,"",ORIG!K2449)</f>
        <v/>
      </c>
      <c r="L2449" s="3">
        <f>IF(ORIG!L2449=0,"",ORIG!L2449)</f>
        <v/>
      </c>
      <c r="M2449" s="3">
        <f>IF(ORIG!M2449=0,"",ORIG!M2449)</f>
        <v/>
      </c>
      <c r="N2449" s="3">
        <f>IF(ORIG!N2449=0,"",ORIG!N2449)</f>
        <v/>
      </c>
      <c r="O2449" s="3">
        <f>IF(ORIG!O2449=0,"",ORIG!O2449)</f>
        <v/>
      </c>
      <c r="P2449" s="3">
        <f>IF(ORIG!P2449=0,"",ORIG!P2449)</f>
        <v/>
      </c>
      <c r="Q2449" s="3">
        <f>IF(ORIG!Q2449=0,"",ORIG!Q2449)</f>
        <v/>
      </c>
      <c r="R2449" s="3">
        <f>IF(ORIG!R2449=0,"",ORIG!R2449)</f>
        <v/>
      </c>
      <c r="S2449" s="3">
        <f>IF(ORIG!S2449=0,"",ORIG!S2449)</f>
        <v/>
      </c>
      <c r="T2449" s="3">
        <f>IF(ORIG!T2449=0,"",ORIG!T2449)</f>
        <v/>
      </c>
      <c r="U2449" s="3">
        <f>IF(ORIG!U2449=0,"",ORIG!U2449)</f>
        <v/>
      </c>
      <c r="V2449" s="9">
        <f>IF(ORIG!V2449=0,"",ORIG!V2449)</f>
        <v/>
      </c>
      <c r="W2449" s="9">
        <f>IF(ORIG!W2449=0,"",ORIG!W2449)</f>
        <v/>
      </c>
      <c r="X2449" s="9">
        <f>IF(ORIG!X2449=0,"",ORIG!X2449)</f>
        <v/>
      </c>
      <c r="Y2449" s="9">
        <f>IF(ORIG!Y2449=0,"",ORIG!Y2449)</f>
        <v/>
      </c>
      <c r="Z2449" s="3">
        <f>SUMPRODUCT($B2449:$Y2449,$B$2649:$Y$2649)</f>
        <v/>
      </c>
      <c r="AA2449" s="3">
        <f>SUMPRODUCT($B2449:$Y2449,$B$2655:$Y$2655)</f>
        <v/>
      </c>
      <c r="AC2449" s="1">
        <f>A2449</f>
        <v/>
      </c>
      <c r="AD2449">
        <f>IF(ISNUMBER(V2449),V2449*($AB$1/V$2635),"")</f>
        <v/>
      </c>
      <c r="AE2449">
        <f>IF(ISNUMBER(Z2449),Z2449*($AB$1/Z$2635),"")</f>
        <v/>
      </c>
      <c r="AF2449" s="25">
        <f>IF(ISNUMBER(AD2449+AE2449),AD2449+AE2449,"")</f>
        <v/>
      </c>
      <c r="AH2449" s="1">
        <f>A2449</f>
        <v/>
      </c>
      <c r="AI2449">
        <f>IF(ISNUMBER((1+V2449)*AI2448),(1+V2449)*AI2448,AI2448)</f>
        <v/>
      </c>
      <c r="AJ2449">
        <f>IF(ISNUMBER((1+Z2449)*AJ2448),(1+Z2449)*AJ2448,AJ2448)</f>
        <v/>
      </c>
    </row>
    <row r="2450">
      <c r="A2450" s="1" t="n">
        <v>45559</v>
      </c>
      <c r="B2450" s="3">
        <f>IF(ORIG!B2450=0,"",ORIG!B2450)</f>
        <v/>
      </c>
      <c r="C2450" s="3">
        <f>IF(ORIG!C2450=0,"",ORIG!C2450)</f>
        <v/>
      </c>
      <c r="D2450" s="3">
        <f>IF(ORIG!D2450=0,"",ORIG!D2450)</f>
        <v/>
      </c>
      <c r="E2450" s="3">
        <f>IF(ORIG!E2450=0,"",ORIG!E2450)</f>
        <v/>
      </c>
      <c r="F2450" s="3">
        <f>IF(ORIG!F2450=0,"",ORIG!F2450)</f>
        <v/>
      </c>
      <c r="G2450" s="3">
        <f>IF(ORIG!G2450=0,"",ORIG!G2450)</f>
        <v/>
      </c>
      <c r="H2450" s="3">
        <f>IF(ORIG!H2450=0,"",ORIG!H2450)</f>
        <v/>
      </c>
      <c r="I2450" s="3">
        <f>IF(ORIG!I2450=0,"",ORIG!I2450)</f>
        <v/>
      </c>
      <c r="J2450" s="3">
        <f>IF(ORIG!J2450=0,"",ORIG!J2450)</f>
        <v/>
      </c>
      <c r="K2450" s="3">
        <f>IF(ORIG!K2450=0,"",ORIG!K2450)</f>
        <v/>
      </c>
      <c r="L2450" s="3">
        <f>IF(ORIG!L2450=0,"",ORIG!L2450)</f>
        <v/>
      </c>
      <c r="M2450" s="3">
        <f>IF(ORIG!M2450=0,"",ORIG!M2450)</f>
        <v/>
      </c>
      <c r="N2450" s="3">
        <f>IF(ORIG!N2450=0,"",ORIG!N2450)</f>
        <v/>
      </c>
      <c r="O2450" s="3">
        <f>IF(ORIG!O2450=0,"",ORIG!O2450)</f>
        <v/>
      </c>
      <c r="P2450" s="3">
        <f>IF(ORIG!P2450=0,"",ORIG!P2450)</f>
        <v/>
      </c>
      <c r="Q2450" s="3">
        <f>IF(ORIG!Q2450=0,"",ORIG!Q2450)</f>
        <v/>
      </c>
      <c r="R2450" s="3">
        <f>IF(ORIG!R2450=0,"",ORIG!R2450)</f>
        <v/>
      </c>
      <c r="S2450" s="3">
        <f>IF(ORIG!S2450=0,"",ORIG!S2450)</f>
        <v/>
      </c>
      <c r="T2450" s="3">
        <f>IF(ORIG!T2450=0,"",ORIG!T2450)</f>
        <v/>
      </c>
      <c r="U2450" s="3">
        <f>IF(ORIG!U2450=0,"",ORIG!U2450)</f>
        <v/>
      </c>
      <c r="V2450" s="9">
        <f>IF(ORIG!V2450=0,"",ORIG!V2450)</f>
        <v/>
      </c>
      <c r="W2450" s="9">
        <f>IF(ORIG!W2450=0,"",ORIG!W2450)</f>
        <v/>
      </c>
      <c r="X2450" s="9">
        <f>IF(ORIG!X2450=0,"",ORIG!X2450)</f>
        <v/>
      </c>
      <c r="Y2450" s="9">
        <f>IF(ORIG!Y2450=0,"",ORIG!Y2450)</f>
        <v/>
      </c>
      <c r="Z2450" s="3">
        <f>SUMPRODUCT($B2450:$Y2450,$B$2649:$Y$2649)</f>
        <v/>
      </c>
      <c r="AA2450" s="3">
        <f>SUMPRODUCT($B2450:$Y2450,$B$2655:$Y$2655)</f>
        <v/>
      </c>
      <c r="AC2450" s="1">
        <f>A2450</f>
        <v/>
      </c>
      <c r="AD2450">
        <f>IF(ISNUMBER(V2450),V2450*($AB$1/V$2635),"")</f>
        <v/>
      </c>
      <c r="AE2450">
        <f>IF(ISNUMBER(Z2450),Z2450*($AB$1/Z$2635),"")</f>
        <v/>
      </c>
      <c r="AF2450" s="25">
        <f>IF(ISNUMBER(AD2450+AE2450),AD2450+AE2450,"")</f>
        <v/>
      </c>
      <c r="AH2450" s="1">
        <f>A2450</f>
        <v/>
      </c>
      <c r="AI2450">
        <f>IF(ISNUMBER((1+V2450)*AI2449),(1+V2450)*AI2449,AI2449)</f>
        <v/>
      </c>
      <c r="AJ2450">
        <f>IF(ISNUMBER((1+Z2450)*AJ2449),(1+Z2450)*AJ2449,AJ2449)</f>
        <v/>
      </c>
    </row>
    <row r="2451">
      <c r="A2451" s="1" t="n">
        <v>45560</v>
      </c>
      <c r="B2451" s="3">
        <f>IF(ORIG!B2451=0,"",ORIG!B2451)</f>
        <v/>
      </c>
      <c r="C2451" s="3">
        <f>IF(ORIG!C2451=0,"",ORIG!C2451)</f>
        <v/>
      </c>
      <c r="D2451" s="3">
        <f>IF(ORIG!D2451=0,"",ORIG!D2451)</f>
        <v/>
      </c>
      <c r="E2451" s="3">
        <f>IF(ORIG!E2451=0,"",ORIG!E2451)</f>
        <v/>
      </c>
      <c r="F2451" s="3">
        <f>IF(ORIG!F2451=0,"",ORIG!F2451)</f>
        <v/>
      </c>
      <c r="G2451" s="3">
        <f>IF(ORIG!G2451=0,"",ORIG!G2451)</f>
        <v/>
      </c>
      <c r="H2451" s="3">
        <f>IF(ORIG!H2451=0,"",ORIG!H2451)</f>
        <v/>
      </c>
      <c r="I2451" s="3">
        <f>IF(ORIG!I2451=0,"",ORIG!I2451)</f>
        <v/>
      </c>
      <c r="J2451" s="3">
        <f>IF(ORIG!J2451=0,"",ORIG!J2451)</f>
        <v/>
      </c>
      <c r="K2451" s="3">
        <f>IF(ORIG!K2451=0,"",ORIG!K2451)</f>
        <v/>
      </c>
      <c r="L2451" s="3">
        <f>IF(ORIG!L2451=0,"",ORIG!L2451)</f>
        <v/>
      </c>
      <c r="M2451" s="3">
        <f>IF(ORIG!M2451=0,"",ORIG!M2451)</f>
        <v/>
      </c>
      <c r="N2451" s="3">
        <f>IF(ORIG!N2451=0,"",ORIG!N2451)</f>
        <v/>
      </c>
      <c r="O2451" s="3">
        <f>IF(ORIG!O2451=0,"",ORIG!O2451)</f>
        <v/>
      </c>
      <c r="P2451" s="3">
        <f>IF(ORIG!P2451=0,"",ORIG!P2451)</f>
        <v/>
      </c>
      <c r="Q2451" s="3">
        <f>IF(ORIG!Q2451=0,"",ORIG!Q2451)</f>
        <v/>
      </c>
      <c r="R2451" s="3">
        <f>IF(ORIG!R2451=0,"",ORIG!R2451)</f>
        <v/>
      </c>
      <c r="S2451" s="3">
        <f>IF(ORIG!S2451=0,"",ORIG!S2451)</f>
        <v/>
      </c>
      <c r="T2451" s="3">
        <f>IF(ORIG!T2451=0,"",ORIG!T2451)</f>
        <v/>
      </c>
      <c r="U2451" s="3">
        <f>IF(ORIG!U2451=0,"",ORIG!U2451)</f>
        <v/>
      </c>
      <c r="V2451" s="9">
        <f>IF(ORIG!V2451=0,"",ORIG!V2451)</f>
        <v/>
      </c>
      <c r="W2451" s="9">
        <f>IF(ORIG!W2451=0,"",ORIG!W2451)</f>
        <v/>
      </c>
      <c r="X2451" s="9">
        <f>IF(ORIG!X2451=0,"",ORIG!X2451)</f>
        <v/>
      </c>
      <c r="Y2451" s="9">
        <f>IF(ORIG!Y2451=0,"",ORIG!Y2451)</f>
        <v/>
      </c>
      <c r="Z2451" s="3">
        <f>SUMPRODUCT($B2451:$Y2451,$B$2649:$Y$2649)</f>
        <v/>
      </c>
      <c r="AA2451" s="3">
        <f>SUMPRODUCT($B2451:$Y2451,$B$2655:$Y$2655)</f>
        <v/>
      </c>
      <c r="AC2451" s="1">
        <f>A2451</f>
        <v/>
      </c>
      <c r="AD2451">
        <f>IF(ISNUMBER(V2451),V2451*($AB$1/V$2635),"")</f>
        <v/>
      </c>
      <c r="AE2451">
        <f>IF(ISNUMBER(Z2451),Z2451*($AB$1/Z$2635),"")</f>
        <v/>
      </c>
      <c r="AF2451" s="25">
        <f>IF(ISNUMBER(AD2451+AE2451),AD2451+AE2451,"")</f>
        <v/>
      </c>
      <c r="AH2451" s="1">
        <f>A2451</f>
        <v/>
      </c>
      <c r="AI2451">
        <f>IF(ISNUMBER((1+V2451)*AI2450),(1+V2451)*AI2450,AI2450)</f>
        <v/>
      </c>
      <c r="AJ2451">
        <f>IF(ISNUMBER((1+Z2451)*AJ2450),(1+Z2451)*AJ2450,AJ2450)</f>
        <v/>
      </c>
    </row>
    <row r="2452">
      <c r="A2452" s="1" t="n">
        <v>45561</v>
      </c>
      <c r="B2452" s="3">
        <f>IF(ORIG!B2452=0,"",ORIG!B2452)</f>
        <v/>
      </c>
      <c r="C2452" s="3">
        <f>IF(ORIG!C2452=0,"",ORIG!C2452)</f>
        <v/>
      </c>
      <c r="D2452" s="3">
        <f>IF(ORIG!D2452=0,"",ORIG!D2452)</f>
        <v/>
      </c>
      <c r="E2452" s="3">
        <f>IF(ORIG!E2452=0,"",ORIG!E2452)</f>
        <v/>
      </c>
      <c r="F2452" s="3">
        <f>IF(ORIG!F2452=0,"",ORIG!F2452)</f>
        <v/>
      </c>
      <c r="G2452" s="3">
        <f>IF(ORIG!G2452=0,"",ORIG!G2452)</f>
        <v/>
      </c>
      <c r="H2452" s="3">
        <f>IF(ORIG!H2452=0,"",ORIG!H2452)</f>
        <v/>
      </c>
      <c r="I2452" s="3">
        <f>IF(ORIG!I2452=0,"",ORIG!I2452)</f>
        <v/>
      </c>
      <c r="J2452" s="3">
        <f>IF(ORIG!J2452=0,"",ORIG!J2452)</f>
        <v/>
      </c>
      <c r="K2452" s="3">
        <f>IF(ORIG!K2452=0,"",ORIG!K2452)</f>
        <v/>
      </c>
      <c r="L2452" s="3">
        <f>IF(ORIG!L2452=0,"",ORIG!L2452)</f>
        <v/>
      </c>
      <c r="M2452" s="3">
        <f>IF(ORIG!M2452=0,"",ORIG!M2452)</f>
        <v/>
      </c>
      <c r="N2452" s="3">
        <f>IF(ORIG!N2452=0,"",ORIG!N2452)</f>
        <v/>
      </c>
      <c r="O2452" s="3">
        <f>IF(ORIG!O2452=0,"",ORIG!O2452)</f>
        <v/>
      </c>
      <c r="P2452" s="3">
        <f>IF(ORIG!P2452=0,"",ORIG!P2452)</f>
        <v/>
      </c>
      <c r="Q2452" s="3">
        <f>IF(ORIG!Q2452=0,"",ORIG!Q2452)</f>
        <v/>
      </c>
      <c r="R2452" s="3">
        <f>IF(ORIG!R2452=0,"",ORIG!R2452)</f>
        <v/>
      </c>
      <c r="S2452" s="3">
        <f>IF(ORIG!S2452=0,"",ORIG!S2452)</f>
        <v/>
      </c>
      <c r="T2452" s="3">
        <f>IF(ORIG!T2452=0,"",ORIG!T2452)</f>
        <v/>
      </c>
      <c r="U2452" s="3">
        <f>IF(ORIG!U2452=0,"",ORIG!U2452)</f>
        <v/>
      </c>
      <c r="V2452" s="9">
        <f>IF(ORIG!V2452=0,"",ORIG!V2452)</f>
        <v/>
      </c>
      <c r="W2452" s="9">
        <f>IF(ORIG!W2452=0,"",ORIG!W2452)</f>
        <v/>
      </c>
      <c r="X2452" s="9">
        <f>IF(ORIG!X2452=0,"",ORIG!X2452)</f>
        <v/>
      </c>
      <c r="Y2452" s="9">
        <f>IF(ORIG!Y2452=0,"",ORIG!Y2452)</f>
        <v/>
      </c>
      <c r="Z2452" s="3">
        <f>SUMPRODUCT($B2452:$Y2452,$B$2649:$Y$2649)</f>
        <v/>
      </c>
      <c r="AA2452" s="3">
        <f>SUMPRODUCT($B2452:$Y2452,$B$2655:$Y$2655)</f>
        <v/>
      </c>
      <c r="AC2452" s="1">
        <f>A2452</f>
        <v/>
      </c>
      <c r="AD2452">
        <f>IF(ISNUMBER(V2452),V2452*($AB$1/V$2635),"")</f>
        <v/>
      </c>
      <c r="AE2452">
        <f>IF(ISNUMBER(Z2452),Z2452*($AB$1/Z$2635),"")</f>
        <v/>
      </c>
      <c r="AF2452" s="25">
        <f>IF(ISNUMBER(AD2452+AE2452),AD2452+AE2452,"")</f>
        <v/>
      </c>
      <c r="AH2452" s="1">
        <f>A2452</f>
        <v/>
      </c>
      <c r="AI2452">
        <f>IF(ISNUMBER((1+V2452)*AI2451),(1+V2452)*AI2451,AI2451)</f>
        <v/>
      </c>
      <c r="AJ2452">
        <f>IF(ISNUMBER((1+Z2452)*AJ2451),(1+Z2452)*AJ2451,AJ2451)</f>
        <v/>
      </c>
    </row>
    <row r="2453">
      <c r="A2453" s="1" t="n">
        <v>45562</v>
      </c>
      <c r="B2453" s="3">
        <f>IF(ORIG!B2453=0,"",ORIG!B2453)</f>
        <v/>
      </c>
      <c r="C2453" s="3">
        <f>IF(ORIG!C2453=0,"",ORIG!C2453)</f>
        <v/>
      </c>
      <c r="D2453" s="3">
        <f>IF(ORIG!D2453=0,"",ORIG!D2453)</f>
        <v/>
      </c>
      <c r="E2453" s="3">
        <f>IF(ORIG!E2453=0,"",ORIG!E2453)</f>
        <v/>
      </c>
      <c r="F2453" s="3">
        <f>IF(ORIG!F2453=0,"",ORIG!F2453)</f>
        <v/>
      </c>
      <c r="G2453" s="3">
        <f>IF(ORIG!G2453=0,"",ORIG!G2453)</f>
        <v/>
      </c>
      <c r="H2453" s="3">
        <f>IF(ORIG!H2453=0,"",ORIG!H2453)</f>
        <v/>
      </c>
      <c r="I2453" s="3">
        <f>IF(ORIG!I2453=0,"",ORIG!I2453)</f>
        <v/>
      </c>
      <c r="J2453" s="3">
        <f>IF(ORIG!J2453=0,"",ORIG!J2453)</f>
        <v/>
      </c>
      <c r="K2453" s="3">
        <f>IF(ORIG!K2453=0,"",ORIG!K2453)</f>
        <v/>
      </c>
      <c r="L2453" s="3">
        <f>IF(ORIG!L2453=0,"",ORIG!L2453)</f>
        <v/>
      </c>
      <c r="M2453" s="3">
        <f>IF(ORIG!M2453=0,"",ORIG!M2453)</f>
        <v/>
      </c>
      <c r="N2453" s="3">
        <f>IF(ORIG!N2453=0,"",ORIG!N2453)</f>
        <v/>
      </c>
      <c r="O2453" s="3">
        <f>IF(ORIG!O2453=0,"",ORIG!O2453)</f>
        <v/>
      </c>
      <c r="P2453" s="3">
        <f>IF(ORIG!P2453=0,"",ORIG!P2453)</f>
        <v/>
      </c>
      <c r="Q2453" s="3">
        <f>IF(ORIG!Q2453=0,"",ORIG!Q2453)</f>
        <v/>
      </c>
      <c r="R2453" s="3">
        <f>IF(ORIG!R2453=0,"",ORIG!R2453)</f>
        <v/>
      </c>
      <c r="S2453" s="3">
        <f>IF(ORIG!S2453=0,"",ORIG!S2453)</f>
        <v/>
      </c>
      <c r="T2453" s="3">
        <f>IF(ORIG!T2453=0,"",ORIG!T2453)</f>
        <v/>
      </c>
      <c r="U2453" s="3">
        <f>IF(ORIG!U2453=0,"",ORIG!U2453)</f>
        <v/>
      </c>
      <c r="V2453" s="9">
        <f>IF(ORIG!V2453=0,"",ORIG!V2453)</f>
        <v/>
      </c>
      <c r="W2453" s="9">
        <f>IF(ORIG!W2453=0,"",ORIG!W2453)</f>
        <v/>
      </c>
      <c r="X2453" s="9">
        <f>IF(ORIG!X2453=0,"",ORIG!X2453)</f>
        <v/>
      </c>
      <c r="Y2453" s="9">
        <f>IF(ORIG!Y2453=0,"",ORIG!Y2453)</f>
        <v/>
      </c>
      <c r="Z2453" s="3">
        <f>SUMPRODUCT($B2453:$Y2453,$B$2649:$Y$2649)</f>
        <v/>
      </c>
      <c r="AA2453" s="3">
        <f>SUMPRODUCT($B2453:$Y2453,$B$2655:$Y$2655)</f>
        <v/>
      </c>
      <c r="AC2453" s="1">
        <f>A2453</f>
        <v/>
      </c>
      <c r="AD2453">
        <f>IF(ISNUMBER(V2453),V2453*($AB$1/V$2635),"")</f>
        <v/>
      </c>
      <c r="AE2453">
        <f>IF(ISNUMBER(Z2453),Z2453*($AB$1/Z$2635),"")</f>
        <v/>
      </c>
      <c r="AF2453" s="25">
        <f>IF(ISNUMBER(AD2453+AE2453),AD2453+AE2453,"")</f>
        <v/>
      </c>
      <c r="AH2453" s="1">
        <f>A2453</f>
        <v/>
      </c>
      <c r="AI2453">
        <f>IF(ISNUMBER((1+V2453)*AI2452),(1+V2453)*AI2452,AI2452)</f>
        <v/>
      </c>
      <c r="AJ2453">
        <f>IF(ISNUMBER((1+Z2453)*AJ2452),(1+Z2453)*AJ2452,AJ2452)</f>
        <v/>
      </c>
    </row>
    <row r="2454">
      <c r="A2454" s="1" t="n">
        <v>45565</v>
      </c>
      <c r="B2454" s="3">
        <f>IF(ORIG!B2454=0,"",ORIG!B2454)</f>
        <v/>
      </c>
      <c r="C2454" s="3">
        <f>IF(ORIG!C2454=0,"",ORIG!C2454)</f>
        <v/>
      </c>
      <c r="D2454" s="3">
        <f>IF(ORIG!D2454=0,"",ORIG!D2454)</f>
        <v/>
      </c>
      <c r="E2454" s="3">
        <f>IF(ORIG!E2454=0,"",ORIG!E2454)</f>
        <v/>
      </c>
      <c r="F2454" s="3">
        <f>IF(ORIG!F2454=0,"",ORIG!F2454)</f>
        <v/>
      </c>
      <c r="G2454" s="3">
        <f>IF(ORIG!G2454=0,"",ORIG!G2454)</f>
        <v/>
      </c>
      <c r="H2454" s="3">
        <f>IF(ORIG!H2454=0,"",ORIG!H2454)</f>
        <v/>
      </c>
      <c r="I2454" s="3">
        <f>IF(ORIG!I2454=0,"",ORIG!I2454)</f>
        <v/>
      </c>
      <c r="J2454" s="3">
        <f>IF(ORIG!J2454=0,"",ORIG!J2454)</f>
        <v/>
      </c>
      <c r="K2454" s="3">
        <f>IF(ORIG!K2454=0,"",ORIG!K2454)</f>
        <v/>
      </c>
      <c r="L2454" s="3">
        <f>IF(ORIG!L2454=0,"",ORIG!L2454)</f>
        <v/>
      </c>
      <c r="M2454" s="3">
        <f>IF(ORIG!M2454=0,"",ORIG!M2454)</f>
        <v/>
      </c>
      <c r="N2454" s="3">
        <f>IF(ORIG!N2454=0,"",ORIG!N2454)</f>
        <v/>
      </c>
      <c r="O2454" s="3">
        <f>IF(ORIG!O2454=0,"",ORIG!O2454)</f>
        <v/>
      </c>
      <c r="P2454" s="3">
        <f>IF(ORIG!P2454=0,"",ORIG!P2454)</f>
        <v/>
      </c>
      <c r="Q2454" s="3">
        <f>IF(ORIG!Q2454=0,"",ORIG!Q2454)</f>
        <v/>
      </c>
      <c r="R2454" s="3">
        <f>IF(ORIG!R2454=0,"",ORIG!R2454)</f>
        <v/>
      </c>
      <c r="S2454" s="3">
        <f>IF(ORIG!S2454=0,"",ORIG!S2454)</f>
        <v/>
      </c>
      <c r="T2454" s="3">
        <f>IF(ORIG!T2454=0,"",ORIG!T2454)</f>
        <v/>
      </c>
      <c r="U2454" s="3">
        <f>IF(ORIG!U2454=0,"",ORIG!U2454)</f>
        <v/>
      </c>
      <c r="V2454" s="9">
        <f>IF(ORIG!V2454=0,"",ORIG!V2454)</f>
        <v/>
      </c>
      <c r="W2454" s="9">
        <f>IF(ORIG!W2454=0,"",ORIG!W2454)</f>
        <v/>
      </c>
      <c r="X2454" s="9">
        <f>IF(ORIG!X2454=0,"",ORIG!X2454)</f>
        <v/>
      </c>
      <c r="Y2454" s="9">
        <f>IF(ORIG!Y2454=0,"",ORIG!Y2454)</f>
        <v/>
      </c>
      <c r="Z2454" s="3">
        <f>SUMPRODUCT($B2454:$Y2454,$B$2649:$Y$2649)</f>
        <v/>
      </c>
      <c r="AA2454" s="3">
        <f>SUMPRODUCT($B2454:$Y2454,$B$2655:$Y$2655)</f>
        <v/>
      </c>
      <c r="AC2454" s="1">
        <f>A2454</f>
        <v/>
      </c>
      <c r="AD2454">
        <f>IF(ISNUMBER(V2454),V2454*($AB$1/V$2635),"")</f>
        <v/>
      </c>
      <c r="AE2454">
        <f>IF(ISNUMBER(Z2454),Z2454*($AB$1/Z$2635),"")</f>
        <v/>
      </c>
      <c r="AF2454" s="25">
        <f>IF(ISNUMBER(AD2454+AE2454),AD2454+AE2454,"")</f>
        <v/>
      </c>
      <c r="AH2454" s="1">
        <f>A2454</f>
        <v/>
      </c>
      <c r="AI2454">
        <f>IF(ISNUMBER((1+V2454)*AI2453),(1+V2454)*AI2453,AI2453)</f>
        <v/>
      </c>
      <c r="AJ2454">
        <f>IF(ISNUMBER((1+Z2454)*AJ2453),(1+Z2454)*AJ2453,AJ2453)</f>
        <v/>
      </c>
    </row>
    <row r="2455">
      <c r="A2455" s="1" t="n">
        <v>45566</v>
      </c>
      <c r="B2455" s="3">
        <f>IF(ORIG!B2455=0,"",ORIG!B2455)</f>
        <v/>
      </c>
      <c r="C2455" s="3">
        <f>IF(ORIG!C2455=0,"",ORIG!C2455)</f>
        <v/>
      </c>
      <c r="D2455" s="3">
        <f>IF(ORIG!D2455=0,"",ORIG!D2455)</f>
        <v/>
      </c>
      <c r="E2455" s="3">
        <f>IF(ORIG!E2455=0,"",ORIG!E2455)</f>
        <v/>
      </c>
      <c r="F2455" s="3">
        <f>IF(ORIG!F2455=0,"",ORIG!F2455)</f>
        <v/>
      </c>
      <c r="G2455" s="3">
        <f>IF(ORIG!G2455=0,"",ORIG!G2455)</f>
        <v/>
      </c>
      <c r="H2455" s="3">
        <f>IF(ORIG!H2455=0,"",ORIG!H2455)</f>
        <v/>
      </c>
      <c r="I2455" s="3">
        <f>IF(ORIG!I2455=0,"",ORIG!I2455)</f>
        <v/>
      </c>
      <c r="J2455" s="3">
        <f>IF(ORIG!J2455=0,"",ORIG!J2455)</f>
        <v/>
      </c>
      <c r="K2455" s="3">
        <f>IF(ORIG!K2455=0,"",ORIG!K2455)</f>
        <v/>
      </c>
      <c r="L2455" s="3">
        <f>IF(ORIG!L2455=0,"",ORIG!L2455)</f>
        <v/>
      </c>
      <c r="M2455" s="3">
        <f>IF(ORIG!M2455=0,"",ORIG!M2455)</f>
        <v/>
      </c>
      <c r="N2455" s="3">
        <f>IF(ORIG!N2455=0,"",ORIG!N2455)</f>
        <v/>
      </c>
      <c r="O2455" s="3">
        <f>IF(ORIG!O2455=0,"",ORIG!O2455)</f>
        <v/>
      </c>
      <c r="P2455" s="3">
        <f>IF(ORIG!P2455=0,"",ORIG!P2455)</f>
        <v/>
      </c>
      <c r="Q2455" s="3">
        <f>IF(ORIG!Q2455=0,"",ORIG!Q2455)</f>
        <v/>
      </c>
      <c r="R2455" s="3">
        <f>IF(ORIG!R2455=0,"",ORIG!R2455)</f>
        <v/>
      </c>
      <c r="S2455" s="3">
        <f>IF(ORIG!S2455=0,"",ORIG!S2455)</f>
        <v/>
      </c>
      <c r="T2455" s="3">
        <f>IF(ORIG!T2455=0,"",ORIG!T2455)</f>
        <v/>
      </c>
      <c r="U2455" s="3">
        <f>IF(ORIG!U2455=0,"",ORIG!U2455)</f>
        <v/>
      </c>
      <c r="V2455" s="9">
        <f>IF(ORIG!V2455=0,"",ORIG!V2455)</f>
        <v/>
      </c>
      <c r="W2455" s="9">
        <f>IF(ORIG!W2455=0,"",ORIG!W2455)</f>
        <v/>
      </c>
      <c r="X2455" s="9">
        <f>IF(ORIG!X2455=0,"",ORIG!X2455)</f>
        <v/>
      </c>
      <c r="Y2455" s="9">
        <f>IF(ORIG!Y2455=0,"",ORIG!Y2455)</f>
        <v/>
      </c>
      <c r="Z2455" s="3">
        <f>SUMPRODUCT($B2455:$Y2455,$B$2649:$Y$2649)</f>
        <v/>
      </c>
      <c r="AA2455" s="3">
        <f>SUMPRODUCT($B2455:$Y2455,$B$2655:$Y$2655)</f>
        <v/>
      </c>
      <c r="AC2455" s="1">
        <f>A2455</f>
        <v/>
      </c>
      <c r="AD2455">
        <f>IF(ISNUMBER(V2455),V2455*($AB$1/V$2635),"")</f>
        <v/>
      </c>
      <c r="AE2455">
        <f>IF(ISNUMBER(Z2455),Z2455*($AB$1/Z$2635),"")</f>
        <v/>
      </c>
      <c r="AF2455" s="25">
        <f>IF(ISNUMBER(AD2455+AE2455),AD2455+AE2455,"")</f>
        <v/>
      </c>
      <c r="AH2455" s="1">
        <f>A2455</f>
        <v/>
      </c>
      <c r="AI2455">
        <f>IF(ISNUMBER((1+V2455)*AI2454),(1+V2455)*AI2454,AI2454)</f>
        <v/>
      </c>
      <c r="AJ2455">
        <f>IF(ISNUMBER((1+Z2455)*AJ2454),(1+Z2455)*AJ2454,AJ2454)</f>
        <v/>
      </c>
    </row>
    <row r="2456">
      <c r="A2456" s="1" t="n">
        <v>45567</v>
      </c>
      <c r="B2456" s="3">
        <f>IF(ORIG!B2456=0,"",ORIG!B2456)</f>
        <v/>
      </c>
      <c r="C2456" s="3">
        <f>IF(ORIG!C2456=0,"",ORIG!C2456)</f>
        <v/>
      </c>
      <c r="D2456" s="3">
        <f>IF(ORIG!D2456=0,"",ORIG!D2456)</f>
        <v/>
      </c>
      <c r="E2456" s="3">
        <f>IF(ORIG!E2456=0,"",ORIG!E2456)</f>
        <v/>
      </c>
      <c r="F2456" s="3">
        <f>IF(ORIG!F2456=0,"",ORIG!F2456)</f>
        <v/>
      </c>
      <c r="G2456" s="3">
        <f>IF(ORIG!G2456=0,"",ORIG!G2456)</f>
        <v/>
      </c>
      <c r="H2456" s="3">
        <f>IF(ORIG!H2456=0,"",ORIG!H2456)</f>
        <v/>
      </c>
      <c r="I2456" s="3">
        <f>IF(ORIG!I2456=0,"",ORIG!I2456)</f>
        <v/>
      </c>
      <c r="J2456" s="3">
        <f>IF(ORIG!J2456=0,"",ORIG!J2456)</f>
        <v/>
      </c>
      <c r="K2456" s="3">
        <f>IF(ORIG!K2456=0,"",ORIG!K2456)</f>
        <v/>
      </c>
      <c r="L2456" s="3">
        <f>IF(ORIG!L2456=0,"",ORIG!L2456)</f>
        <v/>
      </c>
      <c r="M2456" s="3">
        <f>IF(ORIG!M2456=0,"",ORIG!M2456)</f>
        <v/>
      </c>
      <c r="N2456" s="3">
        <f>IF(ORIG!N2456=0,"",ORIG!N2456)</f>
        <v/>
      </c>
      <c r="O2456" s="3">
        <f>IF(ORIG!O2456=0,"",ORIG!O2456)</f>
        <v/>
      </c>
      <c r="P2456" s="3">
        <f>IF(ORIG!P2456=0,"",ORIG!P2456)</f>
        <v/>
      </c>
      <c r="Q2456" s="3">
        <f>IF(ORIG!Q2456=0,"",ORIG!Q2456)</f>
        <v/>
      </c>
      <c r="R2456" s="3">
        <f>IF(ORIG!R2456=0,"",ORIG!R2456)</f>
        <v/>
      </c>
      <c r="S2456" s="3">
        <f>IF(ORIG!S2456=0,"",ORIG!S2456)</f>
        <v/>
      </c>
      <c r="T2456" s="3">
        <f>IF(ORIG!T2456=0,"",ORIG!T2456)</f>
        <v/>
      </c>
      <c r="U2456" s="3">
        <f>IF(ORIG!U2456=0,"",ORIG!U2456)</f>
        <v/>
      </c>
      <c r="V2456" s="9">
        <f>IF(ORIG!V2456=0,"",ORIG!V2456)</f>
        <v/>
      </c>
      <c r="W2456" s="9">
        <f>IF(ORIG!W2456=0,"",ORIG!W2456)</f>
        <v/>
      </c>
      <c r="X2456" s="9">
        <f>IF(ORIG!X2456=0,"",ORIG!X2456)</f>
        <v/>
      </c>
      <c r="Y2456" s="9">
        <f>IF(ORIG!Y2456=0,"",ORIG!Y2456)</f>
        <v/>
      </c>
      <c r="Z2456" s="3">
        <f>SUMPRODUCT($B2456:$Y2456,$B$2649:$Y$2649)</f>
        <v/>
      </c>
      <c r="AA2456" s="3">
        <f>SUMPRODUCT($B2456:$Y2456,$B$2655:$Y$2655)</f>
        <v/>
      </c>
      <c r="AC2456" s="1">
        <f>A2456</f>
        <v/>
      </c>
      <c r="AD2456">
        <f>IF(ISNUMBER(V2456),V2456*($AB$1/V$2635),"")</f>
        <v/>
      </c>
      <c r="AE2456">
        <f>IF(ISNUMBER(Z2456),Z2456*($AB$1/Z$2635),"")</f>
        <v/>
      </c>
      <c r="AF2456" s="25">
        <f>IF(ISNUMBER(AD2456+AE2456),AD2456+AE2456,"")</f>
        <v/>
      </c>
      <c r="AH2456" s="1">
        <f>A2456</f>
        <v/>
      </c>
      <c r="AI2456">
        <f>IF(ISNUMBER((1+V2456)*AI2455),(1+V2456)*AI2455,AI2455)</f>
        <v/>
      </c>
      <c r="AJ2456">
        <f>IF(ISNUMBER((1+Z2456)*AJ2455),(1+Z2456)*AJ2455,AJ2455)</f>
        <v/>
      </c>
    </row>
    <row r="2457">
      <c r="A2457" s="1" t="n">
        <v>45568</v>
      </c>
      <c r="B2457" s="3">
        <f>IF(ORIG!B2457=0,"",ORIG!B2457)</f>
        <v/>
      </c>
      <c r="C2457" s="3">
        <f>IF(ORIG!C2457=0,"",ORIG!C2457)</f>
        <v/>
      </c>
      <c r="D2457" s="3">
        <f>IF(ORIG!D2457=0,"",ORIG!D2457)</f>
        <v/>
      </c>
      <c r="E2457" s="3">
        <f>IF(ORIG!E2457=0,"",ORIG!E2457)</f>
        <v/>
      </c>
      <c r="F2457" s="3">
        <f>IF(ORIG!F2457=0,"",ORIG!F2457)</f>
        <v/>
      </c>
      <c r="G2457" s="3">
        <f>IF(ORIG!G2457=0,"",ORIG!G2457)</f>
        <v/>
      </c>
      <c r="H2457" s="3">
        <f>IF(ORIG!H2457=0,"",ORIG!H2457)</f>
        <v/>
      </c>
      <c r="I2457" s="3">
        <f>IF(ORIG!I2457=0,"",ORIG!I2457)</f>
        <v/>
      </c>
      <c r="J2457" s="3">
        <f>IF(ORIG!J2457=0,"",ORIG!J2457)</f>
        <v/>
      </c>
      <c r="K2457" s="3">
        <f>IF(ORIG!K2457=0,"",ORIG!K2457)</f>
        <v/>
      </c>
      <c r="L2457" s="3">
        <f>IF(ORIG!L2457=0,"",ORIG!L2457)</f>
        <v/>
      </c>
      <c r="M2457" s="3">
        <f>IF(ORIG!M2457=0,"",ORIG!M2457)</f>
        <v/>
      </c>
      <c r="N2457" s="3">
        <f>IF(ORIG!N2457=0,"",ORIG!N2457)</f>
        <v/>
      </c>
      <c r="O2457" s="3">
        <f>IF(ORIG!O2457=0,"",ORIG!O2457)</f>
        <v/>
      </c>
      <c r="P2457" s="3">
        <f>IF(ORIG!P2457=0,"",ORIG!P2457)</f>
        <v/>
      </c>
      <c r="Q2457" s="3">
        <f>IF(ORIG!Q2457=0,"",ORIG!Q2457)</f>
        <v/>
      </c>
      <c r="R2457" s="3">
        <f>IF(ORIG!R2457=0,"",ORIG!R2457)</f>
        <v/>
      </c>
      <c r="S2457" s="3">
        <f>IF(ORIG!S2457=0,"",ORIG!S2457)</f>
        <v/>
      </c>
      <c r="T2457" s="3">
        <f>IF(ORIG!T2457=0,"",ORIG!T2457)</f>
        <v/>
      </c>
      <c r="U2457" s="3">
        <f>IF(ORIG!U2457=0,"",ORIG!U2457)</f>
        <v/>
      </c>
      <c r="V2457" s="9">
        <f>IF(ORIG!V2457=0,"",ORIG!V2457)</f>
        <v/>
      </c>
      <c r="W2457" s="9">
        <f>IF(ORIG!W2457=0,"",ORIG!W2457)</f>
        <v/>
      </c>
      <c r="X2457" s="9">
        <f>IF(ORIG!X2457=0,"",ORIG!X2457)</f>
        <v/>
      </c>
      <c r="Y2457" s="9">
        <f>IF(ORIG!Y2457=0,"",ORIG!Y2457)</f>
        <v/>
      </c>
      <c r="Z2457" s="3">
        <f>SUMPRODUCT($B2457:$Y2457,$B$2649:$Y$2649)</f>
        <v/>
      </c>
      <c r="AA2457" s="3">
        <f>SUMPRODUCT($B2457:$Y2457,$B$2655:$Y$2655)</f>
        <v/>
      </c>
      <c r="AC2457" s="1">
        <f>A2457</f>
        <v/>
      </c>
      <c r="AD2457">
        <f>IF(ISNUMBER(V2457),V2457*($AB$1/V$2635),"")</f>
        <v/>
      </c>
      <c r="AE2457">
        <f>IF(ISNUMBER(Z2457),Z2457*($AB$1/Z$2635),"")</f>
        <v/>
      </c>
      <c r="AF2457" s="25">
        <f>IF(ISNUMBER(AD2457+AE2457),AD2457+AE2457,"")</f>
        <v/>
      </c>
      <c r="AH2457" s="1">
        <f>A2457</f>
        <v/>
      </c>
      <c r="AI2457">
        <f>IF(ISNUMBER((1+V2457)*AI2456),(1+V2457)*AI2456,AI2456)</f>
        <v/>
      </c>
      <c r="AJ2457">
        <f>IF(ISNUMBER((1+Z2457)*AJ2456),(1+Z2457)*AJ2456,AJ2456)</f>
        <v/>
      </c>
    </row>
    <row r="2458">
      <c r="A2458" s="1" t="n">
        <v>45569</v>
      </c>
      <c r="B2458" s="3">
        <f>IF(ORIG!B2458=0,"",ORIG!B2458)</f>
        <v/>
      </c>
      <c r="C2458" s="3">
        <f>IF(ORIG!C2458=0,"",ORIG!C2458)</f>
        <v/>
      </c>
      <c r="D2458" s="3">
        <f>IF(ORIG!D2458=0,"",ORIG!D2458)</f>
        <v/>
      </c>
      <c r="E2458" s="3">
        <f>IF(ORIG!E2458=0,"",ORIG!E2458)</f>
        <v/>
      </c>
      <c r="F2458" s="3">
        <f>IF(ORIG!F2458=0,"",ORIG!F2458)</f>
        <v/>
      </c>
      <c r="G2458" s="3">
        <f>IF(ORIG!G2458=0,"",ORIG!G2458)</f>
        <v/>
      </c>
      <c r="H2458" s="3">
        <f>IF(ORIG!H2458=0,"",ORIG!H2458)</f>
        <v/>
      </c>
      <c r="I2458" s="3">
        <f>IF(ORIG!I2458=0,"",ORIG!I2458)</f>
        <v/>
      </c>
      <c r="J2458" s="3">
        <f>IF(ORIG!J2458=0,"",ORIG!J2458)</f>
        <v/>
      </c>
      <c r="K2458" s="3">
        <f>IF(ORIG!K2458=0,"",ORIG!K2458)</f>
        <v/>
      </c>
      <c r="L2458" s="3">
        <f>IF(ORIG!L2458=0,"",ORIG!L2458)</f>
        <v/>
      </c>
      <c r="M2458" s="3">
        <f>IF(ORIG!M2458=0,"",ORIG!M2458)</f>
        <v/>
      </c>
      <c r="N2458" s="3">
        <f>IF(ORIG!N2458=0,"",ORIG!N2458)</f>
        <v/>
      </c>
      <c r="O2458" s="3">
        <f>IF(ORIG!O2458=0,"",ORIG!O2458)</f>
        <v/>
      </c>
      <c r="P2458" s="3">
        <f>IF(ORIG!P2458=0,"",ORIG!P2458)</f>
        <v/>
      </c>
      <c r="Q2458" s="3">
        <f>IF(ORIG!Q2458=0,"",ORIG!Q2458)</f>
        <v/>
      </c>
      <c r="R2458" s="3">
        <f>IF(ORIG!R2458=0,"",ORIG!R2458)</f>
        <v/>
      </c>
      <c r="S2458" s="3">
        <f>IF(ORIG!S2458=0,"",ORIG!S2458)</f>
        <v/>
      </c>
      <c r="T2458" s="3">
        <f>IF(ORIG!T2458=0,"",ORIG!T2458)</f>
        <v/>
      </c>
      <c r="U2458" s="3">
        <f>IF(ORIG!U2458=0,"",ORIG!U2458)</f>
        <v/>
      </c>
      <c r="V2458" s="9">
        <f>IF(ORIG!V2458=0,"",ORIG!V2458)</f>
        <v/>
      </c>
      <c r="W2458" s="9">
        <f>IF(ORIG!W2458=0,"",ORIG!W2458)</f>
        <v/>
      </c>
      <c r="X2458" s="9">
        <f>IF(ORIG!X2458=0,"",ORIG!X2458)</f>
        <v/>
      </c>
      <c r="Y2458" s="9">
        <f>IF(ORIG!Y2458=0,"",ORIG!Y2458)</f>
        <v/>
      </c>
      <c r="Z2458" s="3">
        <f>SUMPRODUCT($B2458:$Y2458,$B$2649:$Y$2649)</f>
        <v/>
      </c>
      <c r="AA2458" s="3">
        <f>SUMPRODUCT($B2458:$Y2458,$B$2655:$Y$2655)</f>
        <v/>
      </c>
      <c r="AC2458" s="1">
        <f>A2458</f>
        <v/>
      </c>
      <c r="AD2458">
        <f>IF(ISNUMBER(V2458),V2458*($AB$1/V$2635),"")</f>
        <v/>
      </c>
      <c r="AE2458">
        <f>IF(ISNUMBER(Z2458),Z2458*($AB$1/Z$2635),"")</f>
        <v/>
      </c>
      <c r="AF2458" s="25">
        <f>IF(ISNUMBER(AD2458+AE2458),AD2458+AE2458,"")</f>
        <v/>
      </c>
      <c r="AH2458" s="1">
        <f>A2458</f>
        <v/>
      </c>
      <c r="AI2458">
        <f>IF(ISNUMBER((1+V2458)*AI2457),(1+V2458)*AI2457,AI2457)</f>
        <v/>
      </c>
      <c r="AJ2458">
        <f>IF(ISNUMBER((1+Z2458)*AJ2457),(1+Z2458)*AJ2457,AJ2457)</f>
        <v/>
      </c>
    </row>
    <row r="2459">
      <c r="A2459" s="1" t="n">
        <v>45572</v>
      </c>
      <c r="B2459" s="3">
        <f>IF(ORIG!B2459=0,"",ORIG!B2459)</f>
        <v/>
      </c>
      <c r="C2459" s="3">
        <f>IF(ORIG!C2459=0,"",ORIG!C2459)</f>
        <v/>
      </c>
      <c r="D2459" s="3">
        <f>IF(ORIG!D2459=0,"",ORIG!D2459)</f>
        <v/>
      </c>
      <c r="E2459" s="3">
        <f>IF(ORIG!E2459=0,"",ORIG!E2459)</f>
        <v/>
      </c>
      <c r="F2459" s="3">
        <f>IF(ORIG!F2459=0,"",ORIG!F2459)</f>
        <v/>
      </c>
      <c r="G2459" s="3">
        <f>IF(ORIG!G2459=0,"",ORIG!G2459)</f>
        <v/>
      </c>
      <c r="H2459" s="3">
        <f>IF(ORIG!H2459=0,"",ORIG!H2459)</f>
        <v/>
      </c>
      <c r="I2459" s="3">
        <f>IF(ORIG!I2459=0,"",ORIG!I2459)</f>
        <v/>
      </c>
      <c r="J2459" s="3">
        <f>IF(ORIG!J2459=0,"",ORIG!J2459)</f>
        <v/>
      </c>
      <c r="K2459" s="3">
        <f>IF(ORIG!K2459=0,"",ORIG!K2459)</f>
        <v/>
      </c>
      <c r="L2459" s="3">
        <f>IF(ORIG!L2459=0,"",ORIG!L2459)</f>
        <v/>
      </c>
      <c r="M2459" s="3">
        <f>IF(ORIG!M2459=0,"",ORIG!M2459)</f>
        <v/>
      </c>
      <c r="N2459" s="3">
        <f>IF(ORIG!N2459=0,"",ORIG!N2459)</f>
        <v/>
      </c>
      <c r="O2459" s="3">
        <f>IF(ORIG!O2459=0,"",ORIG!O2459)</f>
        <v/>
      </c>
      <c r="P2459" s="3">
        <f>IF(ORIG!P2459=0,"",ORIG!P2459)</f>
        <v/>
      </c>
      <c r="Q2459" s="3">
        <f>IF(ORIG!Q2459=0,"",ORIG!Q2459)</f>
        <v/>
      </c>
      <c r="R2459" s="3">
        <f>IF(ORIG!R2459=0,"",ORIG!R2459)</f>
        <v/>
      </c>
      <c r="S2459" s="3">
        <f>IF(ORIG!S2459=0,"",ORIG!S2459)</f>
        <v/>
      </c>
      <c r="T2459" s="3">
        <f>IF(ORIG!T2459=0,"",ORIG!T2459)</f>
        <v/>
      </c>
      <c r="U2459" s="3">
        <f>IF(ORIG!U2459=0,"",ORIG!U2459)</f>
        <v/>
      </c>
      <c r="V2459" s="9">
        <f>IF(ORIG!V2459=0,"",ORIG!V2459)</f>
        <v/>
      </c>
      <c r="W2459" s="9">
        <f>IF(ORIG!W2459=0,"",ORIG!W2459)</f>
        <v/>
      </c>
      <c r="X2459" s="9">
        <f>IF(ORIG!X2459=0,"",ORIG!X2459)</f>
        <v/>
      </c>
      <c r="Y2459" s="9">
        <f>IF(ORIG!Y2459=0,"",ORIG!Y2459)</f>
        <v/>
      </c>
      <c r="Z2459" s="3">
        <f>SUMPRODUCT($B2459:$Y2459,$B$2649:$Y$2649)</f>
        <v/>
      </c>
      <c r="AA2459" s="3">
        <f>SUMPRODUCT($B2459:$Y2459,$B$2655:$Y$2655)</f>
        <v/>
      </c>
      <c r="AC2459" s="1">
        <f>A2459</f>
        <v/>
      </c>
      <c r="AD2459">
        <f>IF(ISNUMBER(V2459),V2459*($AB$1/V$2635),"")</f>
        <v/>
      </c>
      <c r="AE2459">
        <f>IF(ISNUMBER(Z2459),Z2459*($AB$1/Z$2635),"")</f>
        <v/>
      </c>
      <c r="AF2459" s="25">
        <f>IF(ISNUMBER(AD2459+AE2459),AD2459+AE2459,"")</f>
        <v/>
      </c>
      <c r="AH2459" s="1">
        <f>A2459</f>
        <v/>
      </c>
      <c r="AI2459">
        <f>IF(ISNUMBER((1+V2459)*AI2458),(1+V2459)*AI2458,AI2458)</f>
        <v/>
      </c>
      <c r="AJ2459">
        <f>IF(ISNUMBER((1+Z2459)*AJ2458),(1+Z2459)*AJ2458,AJ2458)</f>
        <v/>
      </c>
    </row>
    <row r="2460">
      <c r="A2460" s="1" t="n">
        <v>45573</v>
      </c>
      <c r="B2460" s="3">
        <f>IF(ORIG!B2460=0,"",ORIG!B2460)</f>
        <v/>
      </c>
      <c r="C2460" s="3">
        <f>IF(ORIG!C2460=0,"",ORIG!C2460)</f>
        <v/>
      </c>
      <c r="D2460" s="3">
        <f>IF(ORIG!D2460=0,"",ORIG!D2460)</f>
        <v/>
      </c>
      <c r="E2460" s="3">
        <f>IF(ORIG!E2460=0,"",ORIG!E2460)</f>
        <v/>
      </c>
      <c r="F2460" s="3">
        <f>IF(ORIG!F2460=0,"",ORIG!F2460)</f>
        <v/>
      </c>
      <c r="G2460" s="3">
        <f>IF(ORIG!G2460=0,"",ORIG!G2460)</f>
        <v/>
      </c>
      <c r="H2460" s="3">
        <f>IF(ORIG!H2460=0,"",ORIG!H2460)</f>
        <v/>
      </c>
      <c r="I2460" s="3">
        <f>IF(ORIG!I2460=0,"",ORIG!I2460)</f>
        <v/>
      </c>
      <c r="J2460" s="3">
        <f>IF(ORIG!J2460=0,"",ORIG!J2460)</f>
        <v/>
      </c>
      <c r="K2460" s="3">
        <f>IF(ORIG!K2460=0,"",ORIG!K2460)</f>
        <v/>
      </c>
      <c r="L2460" s="3">
        <f>IF(ORIG!L2460=0,"",ORIG!L2460)</f>
        <v/>
      </c>
      <c r="M2460" s="3">
        <f>IF(ORIG!M2460=0,"",ORIG!M2460)</f>
        <v/>
      </c>
      <c r="N2460" s="3">
        <f>IF(ORIG!N2460=0,"",ORIG!N2460)</f>
        <v/>
      </c>
      <c r="O2460" s="3">
        <f>IF(ORIG!O2460=0,"",ORIG!O2460)</f>
        <v/>
      </c>
      <c r="P2460" s="3">
        <f>IF(ORIG!P2460=0,"",ORIG!P2460)</f>
        <v/>
      </c>
      <c r="Q2460" s="3">
        <f>IF(ORIG!Q2460=0,"",ORIG!Q2460)</f>
        <v/>
      </c>
      <c r="R2460" s="3">
        <f>IF(ORIG!R2460=0,"",ORIG!R2460)</f>
        <v/>
      </c>
      <c r="S2460" s="3">
        <f>IF(ORIG!S2460=0,"",ORIG!S2460)</f>
        <v/>
      </c>
      <c r="T2460" s="3">
        <f>IF(ORIG!T2460=0,"",ORIG!T2460)</f>
        <v/>
      </c>
      <c r="U2460" s="3">
        <f>IF(ORIG!U2460=0,"",ORIG!U2460)</f>
        <v/>
      </c>
      <c r="V2460" s="9">
        <f>IF(ORIG!V2460=0,"",ORIG!V2460)</f>
        <v/>
      </c>
      <c r="W2460" s="9">
        <f>IF(ORIG!W2460=0,"",ORIG!W2460)</f>
        <v/>
      </c>
      <c r="X2460" s="9">
        <f>IF(ORIG!X2460=0,"",ORIG!X2460)</f>
        <v/>
      </c>
      <c r="Y2460" s="9">
        <f>IF(ORIG!Y2460=0,"",ORIG!Y2460)</f>
        <v/>
      </c>
      <c r="Z2460" s="3">
        <f>SUMPRODUCT($B2460:$Y2460,$B$2649:$Y$2649)</f>
        <v/>
      </c>
      <c r="AA2460" s="3">
        <f>SUMPRODUCT($B2460:$Y2460,$B$2655:$Y$2655)</f>
        <v/>
      </c>
      <c r="AC2460" s="1">
        <f>A2460</f>
        <v/>
      </c>
      <c r="AD2460">
        <f>IF(ISNUMBER(V2460),V2460*($AB$1/V$2635),"")</f>
        <v/>
      </c>
      <c r="AE2460">
        <f>IF(ISNUMBER(Z2460),Z2460*($AB$1/Z$2635),"")</f>
        <v/>
      </c>
      <c r="AF2460" s="25">
        <f>IF(ISNUMBER(AD2460+AE2460),AD2460+AE2460,"")</f>
        <v/>
      </c>
      <c r="AH2460" s="1">
        <f>A2460</f>
        <v/>
      </c>
      <c r="AI2460">
        <f>IF(ISNUMBER((1+V2460)*AI2459),(1+V2460)*AI2459,AI2459)</f>
        <v/>
      </c>
      <c r="AJ2460">
        <f>IF(ISNUMBER((1+Z2460)*AJ2459),(1+Z2460)*AJ2459,AJ2459)</f>
        <v/>
      </c>
    </row>
    <row r="2461">
      <c r="A2461" s="1" t="n">
        <v>45574</v>
      </c>
      <c r="B2461" s="3">
        <f>IF(ORIG!B2461=0,"",ORIG!B2461)</f>
        <v/>
      </c>
      <c r="C2461" s="3">
        <f>IF(ORIG!C2461=0,"",ORIG!C2461)</f>
        <v/>
      </c>
      <c r="D2461" s="3">
        <f>IF(ORIG!D2461=0,"",ORIG!D2461)</f>
        <v/>
      </c>
      <c r="E2461" s="3">
        <f>IF(ORIG!E2461=0,"",ORIG!E2461)</f>
        <v/>
      </c>
      <c r="F2461" s="3">
        <f>IF(ORIG!F2461=0,"",ORIG!F2461)</f>
        <v/>
      </c>
      <c r="G2461" s="3">
        <f>IF(ORIG!G2461=0,"",ORIG!G2461)</f>
        <v/>
      </c>
      <c r="H2461" s="3">
        <f>IF(ORIG!H2461=0,"",ORIG!H2461)</f>
        <v/>
      </c>
      <c r="I2461" s="3">
        <f>IF(ORIG!I2461=0,"",ORIG!I2461)</f>
        <v/>
      </c>
      <c r="J2461" s="3">
        <f>IF(ORIG!J2461=0,"",ORIG!J2461)</f>
        <v/>
      </c>
      <c r="K2461" s="3">
        <f>IF(ORIG!K2461=0,"",ORIG!K2461)</f>
        <v/>
      </c>
      <c r="L2461" s="3">
        <f>IF(ORIG!L2461=0,"",ORIG!L2461)</f>
        <v/>
      </c>
      <c r="M2461" s="3">
        <f>IF(ORIG!M2461=0,"",ORIG!M2461)</f>
        <v/>
      </c>
      <c r="N2461" s="3">
        <f>IF(ORIG!N2461=0,"",ORIG!N2461)</f>
        <v/>
      </c>
      <c r="O2461" s="3">
        <f>IF(ORIG!O2461=0,"",ORIG!O2461)</f>
        <v/>
      </c>
      <c r="P2461" s="3">
        <f>IF(ORIG!P2461=0,"",ORIG!P2461)</f>
        <v/>
      </c>
      <c r="Q2461" s="3">
        <f>IF(ORIG!Q2461=0,"",ORIG!Q2461)</f>
        <v/>
      </c>
      <c r="R2461" s="3">
        <f>IF(ORIG!R2461=0,"",ORIG!R2461)</f>
        <v/>
      </c>
      <c r="S2461" s="3">
        <f>IF(ORIG!S2461=0,"",ORIG!S2461)</f>
        <v/>
      </c>
      <c r="T2461" s="3">
        <f>IF(ORIG!T2461=0,"",ORIG!T2461)</f>
        <v/>
      </c>
      <c r="U2461" s="3">
        <f>IF(ORIG!U2461=0,"",ORIG!U2461)</f>
        <v/>
      </c>
      <c r="V2461" s="9">
        <f>IF(ORIG!V2461=0,"",ORIG!V2461)</f>
        <v/>
      </c>
      <c r="W2461" s="9">
        <f>IF(ORIG!W2461=0,"",ORIG!W2461)</f>
        <v/>
      </c>
      <c r="X2461" s="9">
        <f>IF(ORIG!X2461=0,"",ORIG!X2461)</f>
        <v/>
      </c>
      <c r="Y2461" s="9">
        <f>IF(ORIG!Y2461=0,"",ORIG!Y2461)</f>
        <v/>
      </c>
      <c r="Z2461" s="3">
        <f>SUMPRODUCT($B2461:$Y2461,$B$2649:$Y$2649)</f>
        <v/>
      </c>
      <c r="AA2461" s="3">
        <f>SUMPRODUCT($B2461:$Y2461,$B$2655:$Y$2655)</f>
        <v/>
      </c>
      <c r="AC2461" s="1">
        <f>A2461</f>
        <v/>
      </c>
      <c r="AD2461">
        <f>IF(ISNUMBER(V2461),V2461*($AB$1/V$2635),"")</f>
        <v/>
      </c>
      <c r="AE2461">
        <f>IF(ISNUMBER(Z2461),Z2461*($AB$1/Z$2635),"")</f>
        <v/>
      </c>
      <c r="AF2461" s="25">
        <f>IF(ISNUMBER(AD2461+AE2461),AD2461+AE2461,"")</f>
        <v/>
      </c>
      <c r="AH2461" s="1">
        <f>A2461</f>
        <v/>
      </c>
      <c r="AI2461">
        <f>IF(ISNUMBER((1+V2461)*AI2460),(1+V2461)*AI2460,AI2460)</f>
        <v/>
      </c>
      <c r="AJ2461">
        <f>IF(ISNUMBER((1+Z2461)*AJ2460),(1+Z2461)*AJ2460,AJ2460)</f>
        <v/>
      </c>
    </row>
    <row r="2462">
      <c r="A2462" s="1" t="n">
        <v>45575</v>
      </c>
      <c r="B2462" s="3">
        <f>IF(ORIG!B2462=0,"",ORIG!B2462)</f>
        <v/>
      </c>
      <c r="C2462" s="3">
        <f>IF(ORIG!C2462=0,"",ORIG!C2462)</f>
        <v/>
      </c>
      <c r="D2462" s="3">
        <f>IF(ORIG!D2462=0,"",ORIG!D2462)</f>
        <v/>
      </c>
      <c r="E2462" s="3">
        <f>IF(ORIG!E2462=0,"",ORIG!E2462)</f>
        <v/>
      </c>
      <c r="F2462" s="3">
        <f>IF(ORIG!F2462=0,"",ORIG!F2462)</f>
        <v/>
      </c>
      <c r="G2462" s="3">
        <f>IF(ORIG!G2462=0,"",ORIG!G2462)</f>
        <v/>
      </c>
      <c r="H2462" s="3">
        <f>IF(ORIG!H2462=0,"",ORIG!H2462)</f>
        <v/>
      </c>
      <c r="I2462" s="3">
        <f>IF(ORIG!I2462=0,"",ORIG!I2462)</f>
        <v/>
      </c>
      <c r="J2462" s="3">
        <f>IF(ORIG!J2462=0,"",ORIG!J2462)</f>
        <v/>
      </c>
      <c r="K2462" s="3">
        <f>IF(ORIG!K2462=0,"",ORIG!K2462)</f>
        <v/>
      </c>
      <c r="L2462" s="3">
        <f>IF(ORIG!L2462=0,"",ORIG!L2462)</f>
        <v/>
      </c>
      <c r="M2462" s="3">
        <f>IF(ORIG!M2462=0,"",ORIG!M2462)</f>
        <v/>
      </c>
      <c r="N2462" s="3">
        <f>IF(ORIG!N2462=0,"",ORIG!N2462)</f>
        <v/>
      </c>
      <c r="O2462" s="3">
        <f>IF(ORIG!O2462=0,"",ORIG!O2462)</f>
        <v/>
      </c>
      <c r="P2462" s="3">
        <f>IF(ORIG!P2462=0,"",ORIG!P2462)</f>
        <v/>
      </c>
      <c r="Q2462" s="3">
        <f>IF(ORIG!Q2462=0,"",ORIG!Q2462)</f>
        <v/>
      </c>
      <c r="R2462" s="3">
        <f>IF(ORIG!R2462=0,"",ORIG!R2462)</f>
        <v/>
      </c>
      <c r="S2462" s="3">
        <f>IF(ORIG!S2462=0,"",ORIG!S2462)</f>
        <v/>
      </c>
      <c r="T2462" s="3">
        <f>IF(ORIG!T2462=0,"",ORIG!T2462)</f>
        <v/>
      </c>
      <c r="U2462" s="3">
        <f>IF(ORIG!U2462=0,"",ORIG!U2462)</f>
        <v/>
      </c>
      <c r="V2462" s="9">
        <f>IF(ORIG!V2462=0,"",ORIG!V2462)</f>
        <v/>
      </c>
      <c r="W2462" s="9">
        <f>IF(ORIG!W2462=0,"",ORIG!W2462)</f>
        <v/>
      </c>
      <c r="X2462" s="9">
        <f>IF(ORIG!X2462=0,"",ORIG!X2462)</f>
        <v/>
      </c>
      <c r="Y2462" s="9">
        <f>IF(ORIG!Y2462=0,"",ORIG!Y2462)</f>
        <v/>
      </c>
      <c r="Z2462" s="3">
        <f>SUMPRODUCT($B2462:$Y2462,$B$2649:$Y$2649)</f>
        <v/>
      </c>
      <c r="AA2462" s="3">
        <f>SUMPRODUCT($B2462:$Y2462,$B$2655:$Y$2655)</f>
        <v/>
      </c>
      <c r="AC2462" s="1">
        <f>A2462</f>
        <v/>
      </c>
      <c r="AD2462">
        <f>IF(ISNUMBER(V2462),V2462*($AB$1/V$2635),"")</f>
        <v/>
      </c>
      <c r="AE2462">
        <f>IF(ISNUMBER(Z2462),Z2462*($AB$1/Z$2635),"")</f>
        <v/>
      </c>
      <c r="AF2462" s="25">
        <f>IF(ISNUMBER(AD2462+AE2462),AD2462+AE2462,"")</f>
        <v/>
      </c>
      <c r="AH2462" s="1">
        <f>A2462</f>
        <v/>
      </c>
      <c r="AI2462">
        <f>IF(ISNUMBER((1+V2462)*AI2461),(1+V2462)*AI2461,AI2461)</f>
        <v/>
      </c>
      <c r="AJ2462">
        <f>IF(ISNUMBER((1+Z2462)*AJ2461),(1+Z2462)*AJ2461,AJ2461)</f>
        <v/>
      </c>
    </row>
    <row r="2463">
      <c r="A2463" s="1" t="n">
        <v>45576</v>
      </c>
      <c r="B2463" s="3">
        <f>IF(ORIG!B2463=0,"",ORIG!B2463)</f>
        <v/>
      </c>
      <c r="C2463" s="3">
        <f>IF(ORIG!C2463=0,"",ORIG!C2463)</f>
        <v/>
      </c>
      <c r="D2463" s="3">
        <f>IF(ORIG!D2463=0,"",ORIG!D2463)</f>
        <v/>
      </c>
      <c r="E2463" s="3">
        <f>IF(ORIG!E2463=0,"",ORIG!E2463)</f>
        <v/>
      </c>
      <c r="F2463" s="3">
        <f>IF(ORIG!F2463=0,"",ORIG!F2463)</f>
        <v/>
      </c>
      <c r="G2463" s="3">
        <f>IF(ORIG!G2463=0,"",ORIG!G2463)</f>
        <v/>
      </c>
      <c r="H2463" s="3">
        <f>IF(ORIG!H2463=0,"",ORIG!H2463)</f>
        <v/>
      </c>
      <c r="I2463" s="3">
        <f>IF(ORIG!I2463=0,"",ORIG!I2463)</f>
        <v/>
      </c>
      <c r="J2463" s="3">
        <f>IF(ORIG!J2463=0,"",ORIG!J2463)</f>
        <v/>
      </c>
      <c r="K2463" s="3">
        <f>IF(ORIG!K2463=0,"",ORIG!K2463)</f>
        <v/>
      </c>
      <c r="L2463" s="3">
        <f>IF(ORIG!L2463=0,"",ORIG!L2463)</f>
        <v/>
      </c>
      <c r="M2463" s="3">
        <f>IF(ORIG!M2463=0,"",ORIG!M2463)</f>
        <v/>
      </c>
      <c r="N2463" s="3">
        <f>IF(ORIG!N2463=0,"",ORIG!N2463)</f>
        <v/>
      </c>
      <c r="O2463" s="3">
        <f>IF(ORIG!O2463=0,"",ORIG!O2463)</f>
        <v/>
      </c>
      <c r="P2463" s="3">
        <f>IF(ORIG!P2463=0,"",ORIG!P2463)</f>
        <v/>
      </c>
      <c r="Q2463" s="3">
        <f>IF(ORIG!Q2463=0,"",ORIG!Q2463)</f>
        <v/>
      </c>
      <c r="R2463" s="3">
        <f>IF(ORIG!R2463=0,"",ORIG!R2463)</f>
        <v/>
      </c>
      <c r="S2463" s="3">
        <f>IF(ORIG!S2463=0,"",ORIG!S2463)</f>
        <v/>
      </c>
      <c r="T2463" s="3">
        <f>IF(ORIG!T2463=0,"",ORIG!T2463)</f>
        <v/>
      </c>
      <c r="U2463" s="3">
        <f>IF(ORIG!U2463=0,"",ORIG!U2463)</f>
        <v/>
      </c>
      <c r="V2463" s="9">
        <f>IF(ORIG!V2463=0,"",ORIG!V2463)</f>
        <v/>
      </c>
      <c r="W2463" s="9">
        <f>IF(ORIG!W2463=0,"",ORIG!W2463)</f>
        <v/>
      </c>
      <c r="X2463" s="9">
        <f>IF(ORIG!X2463=0,"",ORIG!X2463)</f>
        <v/>
      </c>
      <c r="Y2463" s="9">
        <f>IF(ORIG!Y2463=0,"",ORIG!Y2463)</f>
        <v/>
      </c>
      <c r="Z2463" s="3">
        <f>SUMPRODUCT($B2463:$Y2463,$B$2649:$Y$2649)</f>
        <v/>
      </c>
      <c r="AA2463" s="3">
        <f>SUMPRODUCT($B2463:$Y2463,$B$2655:$Y$2655)</f>
        <v/>
      </c>
      <c r="AC2463" s="1">
        <f>A2463</f>
        <v/>
      </c>
      <c r="AD2463">
        <f>IF(ISNUMBER(V2463),V2463*($AB$1/V$2635),"")</f>
        <v/>
      </c>
      <c r="AE2463">
        <f>IF(ISNUMBER(Z2463),Z2463*($AB$1/Z$2635),"")</f>
        <v/>
      </c>
      <c r="AF2463" s="25">
        <f>IF(ISNUMBER(AD2463+AE2463),AD2463+AE2463,"")</f>
        <v/>
      </c>
      <c r="AH2463" s="1">
        <f>A2463</f>
        <v/>
      </c>
      <c r="AI2463">
        <f>IF(ISNUMBER((1+V2463)*AI2462),(1+V2463)*AI2462,AI2462)</f>
        <v/>
      </c>
      <c r="AJ2463">
        <f>IF(ISNUMBER((1+Z2463)*AJ2462),(1+Z2463)*AJ2462,AJ2462)</f>
        <v/>
      </c>
    </row>
    <row r="2464">
      <c r="A2464" s="1" t="n">
        <v>45579</v>
      </c>
      <c r="B2464" s="3">
        <f>IF(ORIG!B2464=0,"",ORIG!B2464)</f>
        <v/>
      </c>
      <c r="C2464" s="3">
        <f>IF(ORIG!C2464=0,"",ORIG!C2464)</f>
        <v/>
      </c>
      <c r="D2464" s="3">
        <f>IF(ORIG!D2464=0,"",ORIG!D2464)</f>
        <v/>
      </c>
      <c r="E2464" s="3">
        <f>IF(ORIG!E2464=0,"",ORIG!E2464)</f>
        <v/>
      </c>
      <c r="F2464" s="3">
        <f>IF(ORIG!F2464=0,"",ORIG!F2464)</f>
        <v/>
      </c>
      <c r="G2464" s="3">
        <f>IF(ORIG!G2464=0,"",ORIG!G2464)</f>
        <v/>
      </c>
      <c r="H2464" s="3">
        <f>IF(ORIG!H2464=0,"",ORIG!H2464)</f>
        <v/>
      </c>
      <c r="I2464" s="3">
        <f>IF(ORIG!I2464=0,"",ORIG!I2464)</f>
        <v/>
      </c>
      <c r="J2464" s="3">
        <f>IF(ORIG!J2464=0,"",ORIG!J2464)</f>
        <v/>
      </c>
      <c r="K2464" s="3">
        <f>IF(ORIG!K2464=0,"",ORIG!K2464)</f>
        <v/>
      </c>
      <c r="L2464" s="3">
        <f>IF(ORIG!L2464=0,"",ORIG!L2464)</f>
        <v/>
      </c>
      <c r="M2464" s="3">
        <f>IF(ORIG!M2464=0,"",ORIG!M2464)</f>
        <v/>
      </c>
      <c r="N2464" s="3">
        <f>IF(ORIG!N2464=0,"",ORIG!N2464)</f>
        <v/>
      </c>
      <c r="O2464" s="3">
        <f>IF(ORIG!O2464=0,"",ORIG!O2464)</f>
        <v/>
      </c>
      <c r="P2464" s="3">
        <f>IF(ORIG!P2464=0,"",ORIG!P2464)</f>
        <v/>
      </c>
      <c r="Q2464" s="3">
        <f>IF(ORIG!Q2464=0,"",ORIG!Q2464)</f>
        <v/>
      </c>
      <c r="R2464" s="3">
        <f>IF(ORIG!R2464=0,"",ORIG!R2464)</f>
        <v/>
      </c>
      <c r="S2464" s="3">
        <f>IF(ORIG!S2464=0,"",ORIG!S2464)</f>
        <v/>
      </c>
      <c r="T2464" s="3">
        <f>IF(ORIG!T2464=0,"",ORIG!T2464)</f>
        <v/>
      </c>
      <c r="U2464" s="3">
        <f>IF(ORIG!U2464=0,"",ORIG!U2464)</f>
        <v/>
      </c>
      <c r="V2464" s="9">
        <f>IF(ORIG!V2464=0,"",ORIG!V2464)</f>
        <v/>
      </c>
      <c r="W2464" s="9">
        <f>IF(ORIG!W2464=0,"",ORIG!W2464)</f>
        <v/>
      </c>
      <c r="X2464" s="9">
        <f>IF(ORIG!X2464=0,"",ORIG!X2464)</f>
        <v/>
      </c>
      <c r="Y2464" s="9">
        <f>IF(ORIG!Y2464=0,"",ORIG!Y2464)</f>
        <v/>
      </c>
      <c r="Z2464" s="3">
        <f>SUMPRODUCT($B2464:$Y2464,$B$2649:$Y$2649)</f>
        <v/>
      </c>
      <c r="AA2464" s="3">
        <f>SUMPRODUCT($B2464:$Y2464,$B$2655:$Y$2655)</f>
        <v/>
      </c>
      <c r="AC2464" s="1">
        <f>A2464</f>
        <v/>
      </c>
      <c r="AD2464">
        <f>IF(ISNUMBER(V2464),V2464*($AB$1/V$2635),"")</f>
        <v/>
      </c>
      <c r="AE2464">
        <f>IF(ISNUMBER(Z2464),Z2464*($AB$1/Z$2635),"")</f>
        <v/>
      </c>
      <c r="AF2464" s="25">
        <f>IF(ISNUMBER(AD2464+AE2464),AD2464+AE2464,"")</f>
        <v/>
      </c>
      <c r="AH2464" s="1">
        <f>A2464</f>
        <v/>
      </c>
      <c r="AI2464">
        <f>IF(ISNUMBER((1+V2464)*AI2463),(1+V2464)*AI2463,AI2463)</f>
        <v/>
      </c>
      <c r="AJ2464">
        <f>IF(ISNUMBER((1+Z2464)*AJ2463),(1+Z2464)*AJ2463,AJ2463)</f>
        <v/>
      </c>
    </row>
    <row r="2465">
      <c r="A2465" s="1" t="n">
        <v>45580</v>
      </c>
      <c r="B2465" s="3">
        <f>IF(ORIG!B2465=0,"",ORIG!B2465)</f>
        <v/>
      </c>
      <c r="C2465" s="3">
        <f>IF(ORIG!C2465=0,"",ORIG!C2465)</f>
        <v/>
      </c>
      <c r="D2465" s="3">
        <f>IF(ORIG!D2465=0,"",ORIG!D2465)</f>
        <v/>
      </c>
      <c r="E2465" s="3">
        <f>IF(ORIG!E2465=0,"",ORIG!E2465)</f>
        <v/>
      </c>
      <c r="F2465" s="3">
        <f>IF(ORIG!F2465=0,"",ORIG!F2465)</f>
        <v/>
      </c>
      <c r="G2465" s="3">
        <f>IF(ORIG!G2465=0,"",ORIG!G2465)</f>
        <v/>
      </c>
      <c r="H2465" s="3">
        <f>IF(ORIG!H2465=0,"",ORIG!H2465)</f>
        <v/>
      </c>
      <c r="I2465" s="3">
        <f>IF(ORIG!I2465=0,"",ORIG!I2465)</f>
        <v/>
      </c>
      <c r="J2465" s="3">
        <f>IF(ORIG!J2465=0,"",ORIG!J2465)</f>
        <v/>
      </c>
      <c r="K2465" s="3">
        <f>IF(ORIG!K2465=0,"",ORIG!K2465)</f>
        <v/>
      </c>
      <c r="L2465" s="3">
        <f>IF(ORIG!L2465=0,"",ORIG!L2465)</f>
        <v/>
      </c>
      <c r="M2465" s="3">
        <f>IF(ORIG!M2465=0,"",ORIG!M2465)</f>
        <v/>
      </c>
      <c r="N2465" s="3">
        <f>IF(ORIG!N2465=0,"",ORIG!N2465)</f>
        <v/>
      </c>
      <c r="O2465" s="3">
        <f>IF(ORIG!O2465=0,"",ORIG!O2465)</f>
        <v/>
      </c>
      <c r="P2465" s="3">
        <f>IF(ORIG!P2465=0,"",ORIG!P2465)</f>
        <v/>
      </c>
      <c r="Q2465" s="3">
        <f>IF(ORIG!Q2465=0,"",ORIG!Q2465)</f>
        <v/>
      </c>
      <c r="R2465" s="3">
        <f>IF(ORIG!R2465=0,"",ORIG!R2465)</f>
        <v/>
      </c>
      <c r="S2465" s="3">
        <f>IF(ORIG!S2465=0,"",ORIG!S2465)</f>
        <v/>
      </c>
      <c r="T2465" s="3">
        <f>IF(ORIG!T2465=0,"",ORIG!T2465)</f>
        <v/>
      </c>
      <c r="U2465" s="3">
        <f>IF(ORIG!U2465=0,"",ORIG!U2465)</f>
        <v/>
      </c>
      <c r="V2465" s="9">
        <f>IF(ORIG!V2465=0,"",ORIG!V2465)</f>
        <v/>
      </c>
      <c r="W2465" s="9">
        <f>IF(ORIG!W2465=0,"",ORIG!W2465)</f>
        <v/>
      </c>
      <c r="X2465" s="9">
        <f>IF(ORIG!X2465=0,"",ORIG!X2465)</f>
        <v/>
      </c>
      <c r="Y2465" s="9">
        <f>IF(ORIG!Y2465=0,"",ORIG!Y2465)</f>
        <v/>
      </c>
      <c r="Z2465" s="3">
        <f>SUMPRODUCT($B2465:$Y2465,$B$2649:$Y$2649)</f>
        <v/>
      </c>
      <c r="AA2465" s="3">
        <f>SUMPRODUCT($B2465:$Y2465,$B$2655:$Y$2655)</f>
        <v/>
      </c>
      <c r="AC2465" s="1">
        <f>A2465</f>
        <v/>
      </c>
      <c r="AD2465">
        <f>IF(ISNUMBER(V2465),V2465*($AB$1/V$2635),"")</f>
        <v/>
      </c>
      <c r="AE2465">
        <f>IF(ISNUMBER(Z2465),Z2465*($AB$1/Z$2635),"")</f>
        <v/>
      </c>
      <c r="AF2465" s="25">
        <f>IF(ISNUMBER(AD2465+AE2465),AD2465+AE2465,"")</f>
        <v/>
      </c>
      <c r="AH2465" s="1">
        <f>A2465</f>
        <v/>
      </c>
      <c r="AI2465">
        <f>IF(ISNUMBER((1+V2465)*AI2464),(1+V2465)*AI2464,AI2464)</f>
        <v/>
      </c>
      <c r="AJ2465">
        <f>IF(ISNUMBER((1+Z2465)*AJ2464),(1+Z2465)*AJ2464,AJ2464)</f>
        <v/>
      </c>
    </row>
    <row r="2466">
      <c r="A2466" s="1" t="n">
        <v>45581</v>
      </c>
      <c r="B2466" s="3">
        <f>IF(ORIG!B2466=0,"",ORIG!B2466)</f>
        <v/>
      </c>
      <c r="C2466" s="3">
        <f>IF(ORIG!C2466=0,"",ORIG!C2466)</f>
        <v/>
      </c>
      <c r="D2466" s="3">
        <f>IF(ORIG!D2466=0,"",ORIG!D2466)</f>
        <v/>
      </c>
      <c r="E2466" s="3">
        <f>IF(ORIG!E2466=0,"",ORIG!E2466)</f>
        <v/>
      </c>
      <c r="F2466" s="3">
        <f>IF(ORIG!F2466=0,"",ORIG!F2466)</f>
        <v/>
      </c>
      <c r="G2466" s="3">
        <f>IF(ORIG!G2466=0,"",ORIG!G2466)</f>
        <v/>
      </c>
      <c r="H2466" s="3">
        <f>IF(ORIG!H2466=0,"",ORIG!H2466)</f>
        <v/>
      </c>
      <c r="I2466" s="3">
        <f>IF(ORIG!I2466=0,"",ORIG!I2466)</f>
        <v/>
      </c>
      <c r="J2466" s="3">
        <f>IF(ORIG!J2466=0,"",ORIG!J2466)</f>
        <v/>
      </c>
      <c r="K2466" s="3">
        <f>IF(ORIG!K2466=0,"",ORIG!K2466)</f>
        <v/>
      </c>
      <c r="L2466" s="3">
        <f>IF(ORIG!L2466=0,"",ORIG!L2466)</f>
        <v/>
      </c>
      <c r="M2466" s="3">
        <f>IF(ORIG!M2466=0,"",ORIG!M2466)</f>
        <v/>
      </c>
      <c r="N2466" s="3">
        <f>IF(ORIG!N2466=0,"",ORIG!N2466)</f>
        <v/>
      </c>
      <c r="O2466" s="3">
        <f>IF(ORIG!O2466=0,"",ORIG!O2466)</f>
        <v/>
      </c>
      <c r="P2466" s="3">
        <f>IF(ORIG!P2466=0,"",ORIG!P2466)</f>
        <v/>
      </c>
      <c r="Q2466" s="3">
        <f>IF(ORIG!Q2466=0,"",ORIG!Q2466)</f>
        <v/>
      </c>
      <c r="R2466" s="3">
        <f>IF(ORIG!R2466=0,"",ORIG!R2466)</f>
        <v/>
      </c>
      <c r="S2466" s="3">
        <f>IF(ORIG!S2466=0,"",ORIG!S2466)</f>
        <v/>
      </c>
      <c r="T2466" s="3">
        <f>IF(ORIG!T2466=0,"",ORIG!T2466)</f>
        <v/>
      </c>
      <c r="U2466" s="3">
        <f>IF(ORIG!U2466=0,"",ORIG!U2466)</f>
        <v/>
      </c>
      <c r="V2466" s="9">
        <f>IF(ORIG!V2466=0,"",ORIG!V2466)</f>
        <v/>
      </c>
      <c r="W2466" s="9">
        <f>IF(ORIG!W2466=0,"",ORIG!W2466)</f>
        <v/>
      </c>
      <c r="X2466" s="9">
        <f>IF(ORIG!X2466=0,"",ORIG!X2466)</f>
        <v/>
      </c>
      <c r="Y2466" s="9">
        <f>IF(ORIG!Y2466=0,"",ORIG!Y2466)</f>
        <v/>
      </c>
      <c r="Z2466" s="3">
        <f>SUMPRODUCT($B2466:$Y2466,$B$2649:$Y$2649)</f>
        <v/>
      </c>
      <c r="AA2466" s="3">
        <f>SUMPRODUCT($B2466:$Y2466,$B$2655:$Y$2655)</f>
        <v/>
      </c>
      <c r="AC2466" s="1">
        <f>A2466</f>
        <v/>
      </c>
      <c r="AD2466">
        <f>IF(ISNUMBER(V2466),V2466*($AB$1/V$2635),"")</f>
        <v/>
      </c>
      <c r="AE2466">
        <f>IF(ISNUMBER(Z2466),Z2466*($AB$1/Z$2635),"")</f>
        <v/>
      </c>
      <c r="AF2466" s="25">
        <f>IF(ISNUMBER(AD2466+AE2466),AD2466+AE2466,"")</f>
        <v/>
      </c>
      <c r="AH2466" s="1">
        <f>A2466</f>
        <v/>
      </c>
      <c r="AI2466">
        <f>IF(ISNUMBER((1+V2466)*AI2465),(1+V2466)*AI2465,AI2465)</f>
        <v/>
      </c>
      <c r="AJ2466">
        <f>IF(ISNUMBER((1+Z2466)*AJ2465),(1+Z2466)*AJ2465,AJ2465)</f>
        <v/>
      </c>
    </row>
    <row r="2467">
      <c r="A2467" s="1" t="n">
        <v>45582</v>
      </c>
      <c r="B2467" s="3">
        <f>IF(ORIG!B2467=0,"",ORIG!B2467)</f>
        <v/>
      </c>
      <c r="C2467" s="3">
        <f>IF(ORIG!C2467=0,"",ORIG!C2467)</f>
        <v/>
      </c>
      <c r="D2467" s="3">
        <f>IF(ORIG!D2467=0,"",ORIG!D2467)</f>
        <v/>
      </c>
      <c r="E2467" s="3">
        <f>IF(ORIG!E2467=0,"",ORIG!E2467)</f>
        <v/>
      </c>
      <c r="F2467" s="3">
        <f>IF(ORIG!F2467=0,"",ORIG!F2467)</f>
        <v/>
      </c>
      <c r="G2467" s="3">
        <f>IF(ORIG!G2467=0,"",ORIG!G2467)</f>
        <v/>
      </c>
      <c r="H2467" s="3">
        <f>IF(ORIG!H2467=0,"",ORIG!H2467)</f>
        <v/>
      </c>
      <c r="I2467" s="3">
        <f>IF(ORIG!I2467=0,"",ORIG!I2467)</f>
        <v/>
      </c>
      <c r="J2467" s="3">
        <f>IF(ORIG!J2467=0,"",ORIG!J2467)</f>
        <v/>
      </c>
      <c r="K2467" s="3">
        <f>IF(ORIG!K2467=0,"",ORIG!K2467)</f>
        <v/>
      </c>
      <c r="L2467" s="3">
        <f>IF(ORIG!L2467=0,"",ORIG!L2467)</f>
        <v/>
      </c>
      <c r="M2467" s="3">
        <f>IF(ORIG!M2467=0,"",ORIG!M2467)</f>
        <v/>
      </c>
      <c r="N2467" s="3">
        <f>IF(ORIG!N2467=0,"",ORIG!N2467)</f>
        <v/>
      </c>
      <c r="O2467" s="3">
        <f>IF(ORIG!O2467=0,"",ORIG!O2467)</f>
        <v/>
      </c>
      <c r="P2467" s="3">
        <f>IF(ORIG!P2467=0,"",ORIG!P2467)</f>
        <v/>
      </c>
      <c r="Q2467" s="3">
        <f>IF(ORIG!Q2467=0,"",ORIG!Q2467)</f>
        <v/>
      </c>
      <c r="R2467" s="3">
        <f>IF(ORIG!R2467=0,"",ORIG!R2467)</f>
        <v/>
      </c>
      <c r="S2467" s="3">
        <f>IF(ORIG!S2467=0,"",ORIG!S2467)</f>
        <v/>
      </c>
      <c r="T2467" s="3">
        <f>IF(ORIG!T2467=0,"",ORIG!T2467)</f>
        <v/>
      </c>
      <c r="U2467" s="3">
        <f>IF(ORIG!U2467=0,"",ORIG!U2467)</f>
        <v/>
      </c>
      <c r="V2467" s="9">
        <f>IF(ORIG!V2467=0,"",ORIG!V2467)</f>
        <v/>
      </c>
      <c r="W2467" s="9">
        <f>IF(ORIG!W2467=0,"",ORIG!W2467)</f>
        <v/>
      </c>
      <c r="X2467" s="9">
        <f>IF(ORIG!X2467=0,"",ORIG!X2467)</f>
        <v/>
      </c>
      <c r="Y2467" s="9">
        <f>IF(ORIG!Y2467=0,"",ORIG!Y2467)</f>
        <v/>
      </c>
      <c r="Z2467" s="3">
        <f>SUMPRODUCT($B2467:$Y2467,$B$2649:$Y$2649)</f>
        <v/>
      </c>
      <c r="AA2467" s="3">
        <f>SUMPRODUCT($B2467:$Y2467,$B$2655:$Y$2655)</f>
        <v/>
      </c>
      <c r="AC2467" s="1">
        <f>A2467</f>
        <v/>
      </c>
      <c r="AD2467">
        <f>IF(ISNUMBER(V2467),V2467*($AB$1/V$2635),"")</f>
        <v/>
      </c>
      <c r="AE2467">
        <f>IF(ISNUMBER(Z2467),Z2467*($AB$1/Z$2635),"")</f>
        <v/>
      </c>
      <c r="AF2467" s="25">
        <f>IF(ISNUMBER(AD2467+AE2467),AD2467+AE2467,"")</f>
        <v/>
      </c>
      <c r="AH2467" s="1">
        <f>A2467</f>
        <v/>
      </c>
      <c r="AI2467">
        <f>IF(ISNUMBER((1+V2467)*AI2466),(1+V2467)*AI2466,AI2466)</f>
        <v/>
      </c>
      <c r="AJ2467">
        <f>IF(ISNUMBER((1+Z2467)*AJ2466),(1+Z2467)*AJ2466,AJ2466)</f>
        <v/>
      </c>
    </row>
    <row r="2468">
      <c r="A2468" s="1" t="n">
        <v>45583</v>
      </c>
      <c r="B2468" s="3">
        <f>IF(ORIG!B2468=0,"",ORIG!B2468)</f>
        <v/>
      </c>
      <c r="C2468" s="3">
        <f>IF(ORIG!C2468=0,"",ORIG!C2468)</f>
        <v/>
      </c>
      <c r="D2468" s="3">
        <f>IF(ORIG!D2468=0,"",ORIG!D2468)</f>
        <v/>
      </c>
      <c r="E2468" s="3">
        <f>IF(ORIG!E2468=0,"",ORIG!E2468)</f>
        <v/>
      </c>
      <c r="F2468" s="3">
        <f>IF(ORIG!F2468=0,"",ORIG!F2468)</f>
        <v/>
      </c>
      <c r="G2468" s="3">
        <f>IF(ORIG!G2468=0,"",ORIG!G2468)</f>
        <v/>
      </c>
      <c r="H2468" s="3">
        <f>IF(ORIG!H2468=0,"",ORIG!H2468)</f>
        <v/>
      </c>
      <c r="I2468" s="3">
        <f>IF(ORIG!I2468=0,"",ORIG!I2468)</f>
        <v/>
      </c>
      <c r="J2468" s="3">
        <f>IF(ORIG!J2468=0,"",ORIG!J2468)</f>
        <v/>
      </c>
      <c r="K2468" s="3">
        <f>IF(ORIG!K2468=0,"",ORIG!K2468)</f>
        <v/>
      </c>
      <c r="L2468" s="3">
        <f>IF(ORIG!L2468=0,"",ORIG!L2468)</f>
        <v/>
      </c>
      <c r="M2468" s="3">
        <f>IF(ORIG!M2468=0,"",ORIG!M2468)</f>
        <v/>
      </c>
      <c r="N2468" s="3">
        <f>IF(ORIG!N2468=0,"",ORIG!N2468)</f>
        <v/>
      </c>
      <c r="O2468" s="3">
        <f>IF(ORIG!O2468=0,"",ORIG!O2468)</f>
        <v/>
      </c>
      <c r="P2468" s="3">
        <f>IF(ORIG!P2468=0,"",ORIG!P2468)</f>
        <v/>
      </c>
      <c r="Q2468" s="3">
        <f>IF(ORIG!Q2468=0,"",ORIG!Q2468)</f>
        <v/>
      </c>
      <c r="R2468" s="3">
        <f>IF(ORIG!R2468=0,"",ORIG!R2468)</f>
        <v/>
      </c>
      <c r="S2468" s="3">
        <f>IF(ORIG!S2468=0,"",ORIG!S2468)</f>
        <v/>
      </c>
      <c r="T2468" s="3">
        <f>IF(ORIG!T2468=0,"",ORIG!T2468)</f>
        <v/>
      </c>
      <c r="U2468" s="3">
        <f>IF(ORIG!U2468=0,"",ORIG!U2468)</f>
        <v/>
      </c>
      <c r="V2468" s="9">
        <f>IF(ORIG!V2468=0,"",ORIG!V2468)</f>
        <v/>
      </c>
      <c r="W2468" s="9">
        <f>IF(ORIG!W2468=0,"",ORIG!W2468)</f>
        <v/>
      </c>
      <c r="X2468" s="9">
        <f>IF(ORIG!X2468=0,"",ORIG!X2468)</f>
        <v/>
      </c>
      <c r="Y2468" s="9">
        <f>IF(ORIG!Y2468=0,"",ORIG!Y2468)</f>
        <v/>
      </c>
      <c r="Z2468" s="3">
        <f>SUMPRODUCT($B2468:$Y2468,$B$2649:$Y$2649)</f>
        <v/>
      </c>
      <c r="AA2468" s="3">
        <f>SUMPRODUCT($B2468:$Y2468,$B$2655:$Y$2655)</f>
        <v/>
      </c>
      <c r="AC2468" s="1">
        <f>A2468</f>
        <v/>
      </c>
      <c r="AD2468">
        <f>IF(ISNUMBER(V2468),V2468*($AB$1/V$2635),"")</f>
        <v/>
      </c>
      <c r="AE2468">
        <f>IF(ISNUMBER(Z2468),Z2468*($AB$1/Z$2635),"")</f>
        <v/>
      </c>
      <c r="AF2468" s="25">
        <f>IF(ISNUMBER(AD2468+AE2468),AD2468+AE2468,"")</f>
        <v/>
      </c>
      <c r="AH2468" s="1">
        <f>A2468</f>
        <v/>
      </c>
      <c r="AI2468">
        <f>IF(ISNUMBER((1+V2468)*AI2467),(1+V2468)*AI2467,AI2467)</f>
        <v/>
      </c>
      <c r="AJ2468">
        <f>IF(ISNUMBER((1+Z2468)*AJ2467),(1+Z2468)*AJ2467,AJ2467)</f>
        <v/>
      </c>
    </row>
    <row r="2469">
      <c r="A2469" s="1" t="n">
        <v>45586</v>
      </c>
      <c r="B2469" s="3">
        <f>IF(ORIG!B2469=0,"",ORIG!B2469)</f>
        <v/>
      </c>
      <c r="C2469" s="3">
        <f>IF(ORIG!C2469=0,"",ORIG!C2469)</f>
        <v/>
      </c>
      <c r="D2469" s="3">
        <f>IF(ORIG!D2469=0,"",ORIG!D2469)</f>
        <v/>
      </c>
      <c r="E2469" s="3">
        <f>IF(ORIG!E2469=0,"",ORIG!E2469)</f>
        <v/>
      </c>
      <c r="F2469" s="3">
        <f>IF(ORIG!F2469=0,"",ORIG!F2469)</f>
        <v/>
      </c>
      <c r="G2469" s="3">
        <f>IF(ORIG!G2469=0,"",ORIG!G2469)</f>
        <v/>
      </c>
      <c r="H2469" s="3">
        <f>IF(ORIG!H2469=0,"",ORIG!H2469)</f>
        <v/>
      </c>
      <c r="I2469" s="3">
        <f>IF(ORIG!I2469=0,"",ORIG!I2469)</f>
        <v/>
      </c>
      <c r="J2469" s="3">
        <f>IF(ORIG!J2469=0,"",ORIG!J2469)</f>
        <v/>
      </c>
      <c r="K2469" s="3">
        <f>IF(ORIG!K2469=0,"",ORIG!K2469)</f>
        <v/>
      </c>
      <c r="L2469" s="3">
        <f>IF(ORIG!L2469=0,"",ORIG!L2469)</f>
        <v/>
      </c>
      <c r="M2469" s="3">
        <f>IF(ORIG!M2469=0,"",ORIG!M2469)</f>
        <v/>
      </c>
      <c r="N2469" s="3">
        <f>IF(ORIG!N2469=0,"",ORIG!N2469)</f>
        <v/>
      </c>
      <c r="O2469" s="3">
        <f>IF(ORIG!O2469=0,"",ORIG!O2469)</f>
        <v/>
      </c>
      <c r="P2469" s="3">
        <f>IF(ORIG!P2469=0,"",ORIG!P2469)</f>
        <v/>
      </c>
      <c r="Q2469" s="3">
        <f>IF(ORIG!Q2469=0,"",ORIG!Q2469)</f>
        <v/>
      </c>
      <c r="R2469" s="3">
        <f>IF(ORIG!R2469=0,"",ORIG!R2469)</f>
        <v/>
      </c>
      <c r="S2469" s="3">
        <f>IF(ORIG!S2469=0,"",ORIG!S2469)</f>
        <v/>
      </c>
      <c r="T2469" s="3">
        <f>IF(ORIG!T2469=0,"",ORIG!T2469)</f>
        <v/>
      </c>
      <c r="U2469" s="3">
        <f>IF(ORIG!U2469=0,"",ORIG!U2469)</f>
        <v/>
      </c>
      <c r="V2469" s="9">
        <f>IF(ORIG!V2469=0,"",ORIG!V2469)</f>
        <v/>
      </c>
      <c r="W2469" s="9">
        <f>IF(ORIG!W2469=0,"",ORIG!W2469)</f>
        <v/>
      </c>
      <c r="X2469" s="9">
        <f>IF(ORIG!X2469=0,"",ORIG!X2469)</f>
        <v/>
      </c>
      <c r="Y2469" s="9">
        <f>IF(ORIG!Y2469=0,"",ORIG!Y2469)</f>
        <v/>
      </c>
      <c r="Z2469" s="3">
        <f>SUMPRODUCT($B2469:$Y2469,$B$2649:$Y$2649)</f>
        <v/>
      </c>
      <c r="AA2469" s="3">
        <f>SUMPRODUCT($B2469:$Y2469,$B$2655:$Y$2655)</f>
        <v/>
      </c>
      <c r="AC2469" s="1">
        <f>A2469</f>
        <v/>
      </c>
      <c r="AD2469">
        <f>IF(ISNUMBER(V2469),V2469*($AB$1/V$2635),"")</f>
        <v/>
      </c>
      <c r="AE2469">
        <f>IF(ISNUMBER(Z2469),Z2469*($AB$1/Z$2635),"")</f>
        <v/>
      </c>
      <c r="AF2469" s="25">
        <f>IF(ISNUMBER(AD2469+AE2469),AD2469+AE2469,"")</f>
        <v/>
      </c>
      <c r="AH2469" s="1">
        <f>A2469</f>
        <v/>
      </c>
      <c r="AI2469">
        <f>IF(ISNUMBER((1+V2469)*AI2468),(1+V2469)*AI2468,AI2468)</f>
        <v/>
      </c>
      <c r="AJ2469">
        <f>IF(ISNUMBER((1+Z2469)*AJ2468),(1+Z2469)*AJ2468,AJ2468)</f>
        <v/>
      </c>
    </row>
    <row r="2470">
      <c r="A2470" s="1" t="n">
        <v>45587</v>
      </c>
      <c r="B2470" s="3">
        <f>IF(ORIG!B2470=0,"",ORIG!B2470)</f>
        <v/>
      </c>
      <c r="C2470" s="3">
        <f>IF(ORIG!C2470=0,"",ORIG!C2470)</f>
        <v/>
      </c>
      <c r="D2470" s="3">
        <f>IF(ORIG!D2470=0,"",ORIG!D2470)</f>
        <v/>
      </c>
      <c r="E2470" s="3">
        <f>IF(ORIG!E2470=0,"",ORIG!E2470)</f>
        <v/>
      </c>
      <c r="F2470" s="3">
        <f>IF(ORIG!F2470=0,"",ORIG!F2470)</f>
        <v/>
      </c>
      <c r="G2470" s="3">
        <f>IF(ORIG!G2470=0,"",ORIG!G2470)</f>
        <v/>
      </c>
      <c r="H2470" s="3">
        <f>IF(ORIG!H2470=0,"",ORIG!H2470)</f>
        <v/>
      </c>
      <c r="I2470" s="3">
        <f>IF(ORIG!I2470=0,"",ORIG!I2470)</f>
        <v/>
      </c>
      <c r="J2470" s="3">
        <f>IF(ORIG!J2470=0,"",ORIG!J2470)</f>
        <v/>
      </c>
      <c r="K2470" s="3">
        <f>IF(ORIG!K2470=0,"",ORIG!K2470)</f>
        <v/>
      </c>
      <c r="L2470" s="3">
        <f>IF(ORIG!L2470=0,"",ORIG!L2470)</f>
        <v/>
      </c>
      <c r="M2470" s="3">
        <f>IF(ORIG!M2470=0,"",ORIG!M2470)</f>
        <v/>
      </c>
      <c r="N2470" s="3">
        <f>IF(ORIG!N2470=0,"",ORIG!N2470)</f>
        <v/>
      </c>
      <c r="O2470" s="3">
        <f>IF(ORIG!O2470=0,"",ORIG!O2470)</f>
        <v/>
      </c>
      <c r="P2470" s="3">
        <f>IF(ORIG!P2470=0,"",ORIG!P2470)</f>
        <v/>
      </c>
      <c r="Q2470" s="3">
        <f>IF(ORIG!Q2470=0,"",ORIG!Q2470)</f>
        <v/>
      </c>
      <c r="R2470" s="3">
        <f>IF(ORIG!R2470=0,"",ORIG!R2470)</f>
        <v/>
      </c>
      <c r="S2470" s="3">
        <f>IF(ORIG!S2470=0,"",ORIG!S2470)</f>
        <v/>
      </c>
      <c r="T2470" s="3">
        <f>IF(ORIG!T2470=0,"",ORIG!T2470)</f>
        <v/>
      </c>
      <c r="U2470" s="3">
        <f>IF(ORIG!U2470=0,"",ORIG!U2470)</f>
        <v/>
      </c>
      <c r="V2470" s="9">
        <f>IF(ORIG!V2470=0,"",ORIG!V2470)</f>
        <v/>
      </c>
      <c r="W2470" s="9">
        <f>IF(ORIG!W2470=0,"",ORIG!W2470)</f>
        <v/>
      </c>
      <c r="X2470" s="9">
        <f>IF(ORIG!X2470=0,"",ORIG!X2470)</f>
        <v/>
      </c>
      <c r="Y2470" s="9">
        <f>IF(ORIG!Y2470=0,"",ORIG!Y2470)</f>
        <v/>
      </c>
      <c r="Z2470" s="3">
        <f>SUMPRODUCT($B2470:$Y2470,$B$2649:$Y$2649)</f>
        <v/>
      </c>
      <c r="AA2470" s="3">
        <f>SUMPRODUCT($B2470:$Y2470,$B$2655:$Y$2655)</f>
        <v/>
      </c>
      <c r="AC2470" s="1">
        <f>A2470</f>
        <v/>
      </c>
      <c r="AD2470">
        <f>IF(ISNUMBER(V2470),V2470*($AB$1/V$2635),"")</f>
        <v/>
      </c>
      <c r="AE2470">
        <f>IF(ISNUMBER(Z2470),Z2470*($AB$1/Z$2635),"")</f>
        <v/>
      </c>
      <c r="AF2470" s="25">
        <f>IF(ISNUMBER(AD2470+AE2470),AD2470+AE2470,"")</f>
        <v/>
      </c>
      <c r="AH2470" s="1">
        <f>A2470</f>
        <v/>
      </c>
      <c r="AI2470">
        <f>IF(ISNUMBER((1+V2470)*AI2469),(1+V2470)*AI2469,AI2469)</f>
        <v/>
      </c>
      <c r="AJ2470">
        <f>IF(ISNUMBER((1+Z2470)*AJ2469),(1+Z2470)*AJ2469,AJ2469)</f>
        <v/>
      </c>
    </row>
    <row r="2471">
      <c r="A2471" s="1" t="n">
        <v>45588</v>
      </c>
      <c r="B2471" s="3">
        <f>IF(ORIG!B2471=0,"",ORIG!B2471)</f>
        <v/>
      </c>
      <c r="C2471" s="3">
        <f>IF(ORIG!C2471=0,"",ORIG!C2471)</f>
        <v/>
      </c>
      <c r="D2471" s="3">
        <f>IF(ORIG!D2471=0,"",ORIG!D2471)</f>
        <v/>
      </c>
      <c r="E2471" s="3">
        <f>IF(ORIG!E2471=0,"",ORIG!E2471)</f>
        <v/>
      </c>
      <c r="F2471" s="3">
        <f>IF(ORIG!F2471=0,"",ORIG!F2471)</f>
        <v/>
      </c>
      <c r="G2471" s="3">
        <f>IF(ORIG!G2471=0,"",ORIG!G2471)</f>
        <v/>
      </c>
      <c r="H2471" s="3">
        <f>IF(ORIG!H2471=0,"",ORIG!H2471)</f>
        <v/>
      </c>
      <c r="I2471" s="3">
        <f>IF(ORIG!I2471=0,"",ORIG!I2471)</f>
        <v/>
      </c>
      <c r="J2471" s="3">
        <f>IF(ORIG!J2471=0,"",ORIG!J2471)</f>
        <v/>
      </c>
      <c r="K2471" s="3">
        <f>IF(ORIG!K2471=0,"",ORIG!K2471)</f>
        <v/>
      </c>
      <c r="L2471" s="3">
        <f>IF(ORIG!L2471=0,"",ORIG!L2471)</f>
        <v/>
      </c>
      <c r="M2471" s="3">
        <f>IF(ORIG!M2471=0,"",ORIG!M2471)</f>
        <v/>
      </c>
      <c r="N2471" s="3">
        <f>IF(ORIG!N2471=0,"",ORIG!N2471)</f>
        <v/>
      </c>
      <c r="O2471" s="3">
        <f>IF(ORIG!O2471=0,"",ORIG!O2471)</f>
        <v/>
      </c>
      <c r="P2471" s="3">
        <f>IF(ORIG!P2471=0,"",ORIG!P2471)</f>
        <v/>
      </c>
      <c r="Q2471" s="3">
        <f>IF(ORIG!Q2471=0,"",ORIG!Q2471)</f>
        <v/>
      </c>
      <c r="R2471" s="3">
        <f>IF(ORIG!R2471=0,"",ORIG!R2471)</f>
        <v/>
      </c>
      <c r="S2471" s="3">
        <f>IF(ORIG!S2471=0,"",ORIG!S2471)</f>
        <v/>
      </c>
      <c r="T2471" s="3">
        <f>IF(ORIG!T2471=0,"",ORIG!T2471)</f>
        <v/>
      </c>
      <c r="U2471" s="3">
        <f>IF(ORIG!U2471=0,"",ORIG!U2471)</f>
        <v/>
      </c>
      <c r="V2471" s="9">
        <f>IF(ORIG!V2471=0,"",ORIG!V2471)</f>
        <v/>
      </c>
      <c r="W2471" s="9">
        <f>IF(ORIG!W2471=0,"",ORIG!W2471)</f>
        <v/>
      </c>
      <c r="X2471" s="9">
        <f>IF(ORIG!X2471=0,"",ORIG!X2471)</f>
        <v/>
      </c>
      <c r="Y2471" s="9">
        <f>IF(ORIG!Y2471=0,"",ORIG!Y2471)</f>
        <v/>
      </c>
      <c r="Z2471" s="3">
        <f>SUMPRODUCT($B2471:$Y2471,$B$2649:$Y$2649)</f>
        <v/>
      </c>
      <c r="AA2471" s="3">
        <f>SUMPRODUCT($B2471:$Y2471,$B$2655:$Y$2655)</f>
        <v/>
      </c>
      <c r="AC2471" s="1">
        <f>A2471</f>
        <v/>
      </c>
      <c r="AD2471">
        <f>IF(ISNUMBER(V2471),V2471*($AB$1/V$2635),"")</f>
        <v/>
      </c>
      <c r="AE2471">
        <f>IF(ISNUMBER(Z2471),Z2471*($AB$1/Z$2635),"")</f>
        <v/>
      </c>
      <c r="AF2471" s="25">
        <f>IF(ISNUMBER(AD2471+AE2471),AD2471+AE2471,"")</f>
        <v/>
      </c>
      <c r="AH2471" s="1">
        <f>A2471</f>
        <v/>
      </c>
      <c r="AI2471">
        <f>IF(ISNUMBER((1+V2471)*AI2470),(1+V2471)*AI2470,AI2470)</f>
        <v/>
      </c>
      <c r="AJ2471">
        <f>IF(ISNUMBER((1+Z2471)*AJ2470),(1+Z2471)*AJ2470,AJ2470)</f>
        <v/>
      </c>
    </row>
    <row r="2472">
      <c r="A2472" s="1" t="n">
        <v>45589</v>
      </c>
      <c r="B2472" s="3">
        <f>IF(ORIG!B2472=0,"",ORIG!B2472)</f>
        <v/>
      </c>
      <c r="C2472" s="3">
        <f>IF(ORIG!C2472=0,"",ORIG!C2472)</f>
        <v/>
      </c>
      <c r="D2472" s="3">
        <f>IF(ORIG!D2472=0,"",ORIG!D2472)</f>
        <v/>
      </c>
      <c r="E2472" s="3">
        <f>IF(ORIG!E2472=0,"",ORIG!E2472)</f>
        <v/>
      </c>
      <c r="F2472" s="3">
        <f>IF(ORIG!F2472=0,"",ORIG!F2472)</f>
        <v/>
      </c>
      <c r="G2472" s="3">
        <f>IF(ORIG!G2472=0,"",ORIG!G2472)</f>
        <v/>
      </c>
      <c r="H2472" s="3">
        <f>IF(ORIG!H2472=0,"",ORIG!H2472)</f>
        <v/>
      </c>
      <c r="I2472" s="3">
        <f>IF(ORIG!I2472=0,"",ORIG!I2472)</f>
        <v/>
      </c>
      <c r="J2472" s="3">
        <f>IF(ORIG!J2472=0,"",ORIG!J2472)</f>
        <v/>
      </c>
      <c r="K2472" s="3">
        <f>IF(ORIG!K2472=0,"",ORIG!K2472)</f>
        <v/>
      </c>
      <c r="L2472" s="3">
        <f>IF(ORIG!L2472=0,"",ORIG!L2472)</f>
        <v/>
      </c>
      <c r="M2472" s="3">
        <f>IF(ORIG!M2472=0,"",ORIG!M2472)</f>
        <v/>
      </c>
      <c r="N2472" s="3">
        <f>IF(ORIG!N2472=0,"",ORIG!N2472)</f>
        <v/>
      </c>
      <c r="O2472" s="3">
        <f>IF(ORIG!O2472=0,"",ORIG!O2472)</f>
        <v/>
      </c>
      <c r="P2472" s="3">
        <f>IF(ORIG!P2472=0,"",ORIG!P2472)</f>
        <v/>
      </c>
      <c r="Q2472" s="3">
        <f>IF(ORIG!Q2472=0,"",ORIG!Q2472)</f>
        <v/>
      </c>
      <c r="R2472" s="3">
        <f>IF(ORIG!R2472=0,"",ORIG!R2472)</f>
        <v/>
      </c>
      <c r="S2472" s="3">
        <f>IF(ORIG!S2472=0,"",ORIG!S2472)</f>
        <v/>
      </c>
      <c r="T2472" s="3">
        <f>IF(ORIG!T2472=0,"",ORIG!T2472)</f>
        <v/>
      </c>
      <c r="U2472" s="3">
        <f>IF(ORIG!U2472=0,"",ORIG!U2472)</f>
        <v/>
      </c>
      <c r="V2472" s="9">
        <f>IF(ORIG!V2472=0,"",ORIG!V2472)</f>
        <v/>
      </c>
      <c r="W2472" s="9">
        <f>IF(ORIG!W2472=0,"",ORIG!W2472)</f>
        <v/>
      </c>
      <c r="X2472" s="9">
        <f>IF(ORIG!X2472=0,"",ORIG!X2472)</f>
        <v/>
      </c>
      <c r="Y2472" s="9">
        <f>IF(ORIG!Y2472=0,"",ORIG!Y2472)</f>
        <v/>
      </c>
      <c r="Z2472" s="3">
        <f>SUMPRODUCT($B2472:$Y2472,$B$2649:$Y$2649)</f>
        <v/>
      </c>
      <c r="AA2472" s="3">
        <f>SUMPRODUCT($B2472:$Y2472,$B$2655:$Y$2655)</f>
        <v/>
      </c>
      <c r="AC2472" s="1">
        <f>A2472</f>
        <v/>
      </c>
      <c r="AD2472">
        <f>IF(ISNUMBER(V2472),V2472*($AB$1/V$2635),"")</f>
        <v/>
      </c>
      <c r="AE2472">
        <f>IF(ISNUMBER(Z2472),Z2472*($AB$1/Z$2635),"")</f>
        <v/>
      </c>
      <c r="AF2472" s="25">
        <f>IF(ISNUMBER(AD2472+AE2472),AD2472+AE2472,"")</f>
        <v/>
      </c>
      <c r="AH2472" s="1">
        <f>A2472</f>
        <v/>
      </c>
      <c r="AI2472">
        <f>IF(ISNUMBER((1+V2472)*AI2471),(1+V2472)*AI2471,AI2471)</f>
        <v/>
      </c>
      <c r="AJ2472">
        <f>IF(ISNUMBER((1+Z2472)*AJ2471),(1+Z2472)*AJ2471,AJ2471)</f>
        <v/>
      </c>
    </row>
    <row r="2473">
      <c r="A2473" s="1" t="n">
        <v>45590</v>
      </c>
      <c r="B2473" s="3">
        <f>IF(ORIG!B2473=0,"",ORIG!B2473)</f>
        <v/>
      </c>
      <c r="C2473" s="3">
        <f>IF(ORIG!C2473=0,"",ORIG!C2473)</f>
        <v/>
      </c>
      <c r="D2473" s="3">
        <f>IF(ORIG!D2473=0,"",ORIG!D2473)</f>
        <v/>
      </c>
      <c r="E2473" s="3">
        <f>IF(ORIG!E2473=0,"",ORIG!E2473)</f>
        <v/>
      </c>
      <c r="F2473" s="3">
        <f>IF(ORIG!F2473=0,"",ORIG!F2473)</f>
        <v/>
      </c>
      <c r="G2473" s="3">
        <f>IF(ORIG!G2473=0,"",ORIG!G2473)</f>
        <v/>
      </c>
      <c r="H2473" s="3">
        <f>IF(ORIG!H2473=0,"",ORIG!H2473)</f>
        <v/>
      </c>
      <c r="I2473" s="3">
        <f>IF(ORIG!I2473=0,"",ORIG!I2473)</f>
        <v/>
      </c>
      <c r="J2473" s="3">
        <f>IF(ORIG!J2473=0,"",ORIG!J2473)</f>
        <v/>
      </c>
      <c r="K2473" s="3">
        <f>IF(ORIG!K2473=0,"",ORIG!K2473)</f>
        <v/>
      </c>
      <c r="L2473" s="3">
        <f>IF(ORIG!L2473=0,"",ORIG!L2473)</f>
        <v/>
      </c>
      <c r="M2473" s="3">
        <f>IF(ORIG!M2473=0,"",ORIG!M2473)</f>
        <v/>
      </c>
      <c r="N2473" s="3">
        <f>IF(ORIG!N2473=0,"",ORIG!N2473)</f>
        <v/>
      </c>
      <c r="O2473" s="3">
        <f>IF(ORIG!O2473=0,"",ORIG!O2473)</f>
        <v/>
      </c>
      <c r="P2473" s="3">
        <f>IF(ORIG!P2473=0,"",ORIG!P2473)</f>
        <v/>
      </c>
      <c r="Q2473" s="3">
        <f>IF(ORIG!Q2473=0,"",ORIG!Q2473)</f>
        <v/>
      </c>
      <c r="R2473" s="3">
        <f>IF(ORIG!R2473=0,"",ORIG!R2473)</f>
        <v/>
      </c>
      <c r="S2473" s="3">
        <f>IF(ORIG!S2473=0,"",ORIG!S2473)</f>
        <v/>
      </c>
      <c r="T2473" s="3">
        <f>IF(ORIG!T2473=0,"",ORIG!T2473)</f>
        <v/>
      </c>
      <c r="U2473" s="3">
        <f>IF(ORIG!U2473=0,"",ORIG!U2473)</f>
        <v/>
      </c>
      <c r="V2473" s="9">
        <f>IF(ORIG!V2473=0,"",ORIG!V2473)</f>
        <v/>
      </c>
      <c r="W2473" s="9">
        <f>IF(ORIG!W2473=0,"",ORIG!W2473)</f>
        <v/>
      </c>
      <c r="X2473" s="9">
        <f>IF(ORIG!X2473=0,"",ORIG!X2473)</f>
        <v/>
      </c>
      <c r="Y2473" s="9">
        <f>IF(ORIG!Y2473=0,"",ORIG!Y2473)</f>
        <v/>
      </c>
      <c r="Z2473" s="3">
        <f>SUMPRODUCT($B2473:$Y2473,$B$2649:$Y$2649)</f>
        <v/>
      </c>
      <c r="AA2473" s="3">
        <f>SUMPRODUCT($B2473:$Y2473,$B$2655:$Y$2655)</f>
        <v/>
      </c>
      <c r="AC2473" s="1">
        <f>A2473</f>
        <v/>
      </c>
      <c r="AD2473">
        <f>IF(ISNUMBER(V2473),V2473*($AB$1/V$2635),"")</f>
        <v/>
      </c>
      <c r="AE2473">
        <f>IF(ISNUMBER(Z2473),Z2473*($AB$1/Z$2635),"")</f>
        <v/>
      </c>
      <c r="AF2473" s="25">
        <f>IF(ISNUMBER(AD2473+AE2473),AD2473+AE2473,"")</f>
        <v/>
      </c>
      <c r="AH2473" s="1">
        <f>A2473</f>
        <v/>
      </c>
      <c r="AI2473">
        <f>IF(ISNUMBER((1+V2473)*AI2472),(1+V2473)*AI2472,AI2472)</f>
        <v/>
      </c>
      <c r="AJ2473">
        <f>IF(ISNUMBER((1+Z2473)*AJ2472),(1+Z2473)*AJ2472,AJ2472)</f>
        <v/>
      </c>
    </row>
    <row r="2474">
      <c r="A2474" s="1" t="n">
        <v>45593</v>
      </c>
      <c r="B2474" s="3">
        <f>IF(ORIG!B2474=0,"",ORIG!B2474)</f>
        <v/>
      </c>
      <c r="C2474" s="3">
        <f>IF(ORIG!C2474=0,"",ORIG!C2474)</f>
        <v/>
      </c>
      <c r="D2474" s="3">
        <f>IF(ORIG!D2474=0,"",ORIG!D2474)</f>
        <v/>
      </c>
      <c r="E2474" s="3">
        <f>IF(ORIG!E2474=0,"",ORIG!E2474)</f>
        <v/>
      </c>
      <c r="F2474" s="3">
        <f>IF(ORIG!F2474=0,"",ORIG!F2474)</f>
        <v/>
      </c>
      <c r="G2474" s="3">
        <f>IF(ORIG!G2474=0,"",ORIG!G2474)</f>
        <v/>
      </c>
      <c r="H2474" s="3">
        <f>IF(ORIG!H2474=0,"",ORIG!H2474)</f>
        <v/>
      </c>
      <c r="I2474" s="3">
        <f>IF(ORIG!I2474=0,"",ORIG!I2474)</f>
        <v/>
      </c>
      <c r="J2474" s="3">
        <f>IF(ORIG!J2474=0,"",ORIG!J2474)</f>
        <v/>
      </c>
      <c r="K2474" s="3">
        <f>IF(ORIG!K2474=0,"",ORIG!K2474)</f>
        <v/>
      </c>
      <c r="L2474" s="3">
        <f>IF(ORIG!L2474=0,"",ORIG!L2474)</f>
        <v/>
      </c>
      <c r="M2474" s="3">
        <f>IF(ORIG!M2474=0,"",ORIG!M2474)</f>
        <v/>
      </c>
      <c r="N2474" s="3">
        <f>IF(ORIG!N2474=0,"",ORIG!N2474)</f>
        <v/>
      </c>
      <c r="O2474" s="3">
        <f>IF(ORIG!O2474=0,"",ORIG!O2474)</f>
        <v/>
      </c>
      <c r="P2474" s="3">
        <f>IF(ORIG!P2474=0,"",ORIG!P2474)</f>
        <v/>
      </c>
      <c r="Q2474" s="3">
        <f>IF(ORIG!Q2474=0,"",ORIG!Q2474)</f>
        <v/>
      </c>
      <c r="R2474" s="3">
        <f>IF(ORIG!R2474=0,"",ORIG!R2474)</f>
        <v/>
      </c>
      <c r="S2474" s="3">
        <f>IF(ORIG!S2474=0,"",ORIG!S2474)</f>
        <v/>
      </c>
      <c r="T2474" s="3">
        <f>IF(ORIG!T2474=0,"",ORIG!T2474)</f>
        <v/>
      </c>
      <c r="U2474" s="3">
        <f>IF(ORIG!U2474=0,"",ORIG!U2474)</f>
        <v/>
      </c>
      <c r="V2474" s="9">
        <f>IF(ORIG!V2474=0,"",ORIG!V2474)</f>
        <v/>
      </c>
      <c r="W2474" s="9">
        <f>IF(ORIG!W2474=0,"",ORIG!W2474)</f>
        <v/>
      </c>
      <c r="X2474" s="9">
        <f>IF(ORIG!X2474=0,"",ORIG!X2474)</f>
        <v/>
      </c>
      <c r="Y2474" s="9">
        <f>IF(ORIG!Y2474=0,"",ORIG!Y2474)</f>
        <v/>
      </c>
      <c r="Z2474" s="3">
        <f>SUMPRODUCT($B2474:$Y2474,$B$2649:$Y$2649)</f>
        <v/>
      </c>
      <c r="AA2474" s="3">
        <f>SUMPRODUCT($B2474:$Y2474,$B$2655:$Y$2655)</f>
        <v/>
      </c>
      <c r="AC2474" s="1">
        <f>A2474</f>
        <v/>
      </c>
      <c r="AD2474">
        <f>IF(ISNUMBER(V2474),V2474*($AB$1/V$2635),"")</f>
        <v/>
      </c>
      <c r="AE2474">
        <f>IF(ISNUMBER(Z2474),Z2474*($AB$1/Z$2635),"")</f>
        <v/>
      </c>
      <c r="AF2474" s="25">
        <f>IF(ISNUMBER(AD2474+AE2474),AD2474+AE2474,"")</f>
        <v/>
      </c>
      <c r="AH2474" s="1">
        <f>A2474</f>
        <v/>
      </c>
      <c r="AI2474">
        <f>IF(ISNUMBER((1+V2474)*AI2473),(1+V2474)*AI2473,AI2473)</f>
        <v/>
      </c>
      <c r="AJ2474">
        <f>IF(ISNUMBER((1+Z2474)*AJ2473),(1+Z2474)*AJ2473,AJ2473)</f>
        <v/>
      </c>
    </row>
    <row r="2475">
      <c r="A2475" s="1" t="n">
        <v>45594</v>
      </c>
      <c r="B2475" s="3">
        <f>IF(ORIG!B2475=0,"",ORIG!B2475)</f>
        <v/>
      </c>
      <c r="C2475" s="3">
        <f>IF(ORIG!C2475=0,"",ORIG!C2475)</f>
        <v/>
      </c>
      <c r="D2475" s="3">
        <f>IF(ORIG!D2475=0,"",ORIG!D2475)</f>
        <v/>
      </c>
      <c r="E2475" s="3">
        <f>IF(ORIG!E2475=0,"",ORIG!E2475)</f>
        <v/>
      </c>
      <c r="F2475" s="3">
        <f>IF(ORIG!F2475=0,"",ORIG!F2475)</f>
        <v/>
      </c>
      <c r="G2475" s="3">
        <f>IF(ORIG!G2475=0,"",ORIG!G2475)</f>
        <v/>
      </c>
      <c r="H2475" s="3">
        <f>IF(ORIG!H2475=0,"",ORIG!H2475)</f>
        <v/>
      </c>
      <c r="I2475" s="3">
        <f>IF(ORIG!I2475=0,"",ORIG!I2475)</f>
        <v/>
      </c>
      <c r="J2475" s="3">
        <f>IF(ORIG!J2475=0,"",ORIG!J2475)</f>
        <v/>
      </c>
      <c r="K2475" s="3">
        <f>IF(ORIG!K2475=0,"",ORIG!K2475)</f>
        <v/>
      </c>
      <c r="L2475" s="3">
        <f>IF(ORIG!L2475=0,"",ORIG!L2475)</f>
        <v/>
      </c>
      <c r="M2475" s="3">
        <f>IF(ORIG!M2475=0,"",ORIG!M2475)</f>
        <v/>
      </c>
      <c r="N2475" s="3">
        <f>IF(ORIG!N2475=0,"",ORIG!N2475)</f>
        <v/>
      </c>
      <c r="O2475" s="3">
        <f>IF(ORIG!O2475=0,"",ORIG!O2475)</f>
        <v/>
      </c>
      <c r="P2475" s="3">
        <f>IF(ORIG!P2475=0,"",ORIG!P2475)</f>
        <v/>
      </c>
      <c r="Q2475" s="3">
        <f>IF(ORIG!Q2475=0,"",ORIG!Q2475)</f>
        <v/>
      </c>
      <c r="R2475" s="3">
        <f>IF(ORIG!R2475=0,"",ORIG!R2475)</f>
        <v/>
      </c>
      <c r="S2475" s="3">
        <f>IF(ORIG!S2475=0,"",ORIG!S2475)</f>
        <v/>
      </c>
      <c r="T2475" s="3">
        <f>IF(ORIG!T2475=0,"",ORIG!T2475)</f>
        <v/>
      </c>
      <c r="U2475" s="3">
        <f>IF(ORIG!U2475=0,"",ORIG!U2475)</f>
        <v/>
      </c>
      <c r="V2475" s="9">
        <f>IF(ORIG!V2475=0,"",ORIG!V2475)</f>
        <v/>
      </c>
      <c r="W2475" s="9">
        <f>IF(ORIG!W2475=0,"",ORIG!W2475)</f>
        <v/>
      </c>
      <c r="X2475" s="9">
        <f>IF(ORIG!X2475=0,"",ORIG!X2475)</f>
        <v/>
      </c>
      <c r="Y2475" s="9">
        <f>IF(ORIG!Y2475=0,"",ORIG!Y2475)</f>
        <v/>
      </c>
      <c r="Z2475" s="3">
        <f>SUMPRODUCT($B2475:$Y2475,$B$2649:$Y$2649)</f>
        <v/>
      </c>
      <c r="AA2475" s="3">
        <f>SUMPRODUCT($B2475:$Y2475,$B$2655:$Y$2655)</f>
        <v/>
      </c>
      <c r="AC2475" s="1">
        <f>A2475</f>
        <v/>
      </c>
      <c r="AD2475">
        <f>IF(ISNUMBER(V2475),V2475*($AB$1/V$2635),"")</f>
        <v/>
      </c>
      <c r="AE2475">
        <f>IF(ISNUMBER(Z2475),Z2475*($AB$1/Z$2635),"")</f>
        <v/>
      </c>
      <c r="AF2475" s="25">
        <f>IF(ISNUMBER(AD2475+AE2475),AD2475+AE2475,"")</f>
        <v/>
      </c>
      <c r="AH2475" s="1">
        <f>A2475</f>
        <v/>
      </c>
      <c r="AI2475">
        <f>IF(ISNUMBER((1+V2475)*AI2474),(1+V2475)*AI2474,AI2474)</f>
        <v/>
      </c>
      <c r="AJ2475">
        <f>IF(ISNUMBER((1+Z2475)*AJ2474),(1+Z2475)*AJ2474,AJ2474)</f>
        <v/>
      </c>
    </row>
    <row r="2476">
      <c r="A2476" s="1" t="n">
        <v>45595</v>
      </c>
      <c r="B2476" s="3">
        <f>IF(ORIG!B2476=0,"",ORIG!B2476)</f>
        <v/>
      </c>
      <c r="C2476" s="3">
        <f>IF(ORIG!C2476=0,"",ORIG!C2476)</f>
        <v/>
      </c>
      <c r="D2476" s="3">
        <f>IF(ORIG!D2476=0,"",ORIG!D2476)</f>
        <v/>
      </c>
      <c r="E2476" s="3">
        <f>IF(ORIG!E2476=0,"",ORIG!E2476)</f>
        <v/>
      </c>
      <c r="F2476" s="3">
        <f>IF(ORIG!F2476=0,"",ORIG!F2476)</f>
        <v/>
      </c>
      <c r="G2476" s="3">
        <f>IF(ORIG!G2476=0,"",ORIG!G2476)</f>
        <v/>
      </c>
      <c r="H2476" s="3">
        <f>IF(ORIG!H2476=0,"",ORIG!H2476)</f>
        <v/>
      </c>
      <c r="I2476" s="3">
        <f>IF(ORIG!I2476=0,"",ORIG!I2476)</f>
        <v/>
      </c>
      <c r="J2476" s="3">
        <f>IF(ORIG!J2476=0,"",ORIG!J2476)</f>
        <v/>
      </c>
      <c r="K2476" s="3">
        <f>IF(ORIG!K2476=0,"",ORIG!K2476)</f>
        <v/>
      </c>
      <c r="L2476" s="3">
        <f>IF(ORIG!L2476=0,"",ORIG!L2476)</f>
        <v/>
      </c>
      <c r="M2476" s="3">
        <f>IF(ORIG!M2476=0,"",ORIG!M2476)</f>
        <v/>
      </c>
      <c r="N2476" s="3">
        <f>IF(ORIG!N2476=0,"",ORIG!N2476)</f>
        <v/>
      </c>
      <c r="O2476" s="3">
        <f>IF(ORIG!O2476=0,"",ORIG!O2476)</f>
        <v/>
      </c>
      <c r="P2476" s="3">
        <f>IF(ORIG!P2476=0,"",ORIG!P2476)</f>
        <v/>
      </c>
      <c r="Q2476" s="3">
        <f>IF(ORIG!Q2476=0,"",ORIG!Q2476)</f>
        <v/>
      </c>
      <c r="R2476" s="3">
        <f>IF(ORIG!R2476=0,"",ORIG!R2476)</f>
        <v/>
      </c>
      <c r="S2476" s="3">
        <f>IF(ORIG!S2476=0,"",ORIG!S2476)</f>
        <v/>
      </c>
      <c r="T2476" s="3">
        <f>IF(ORIG!T2476=0,"",ORIG!T2476)</f>
        <v/>
      </c>
      <c r="U2476" s="3">
        <f>IF(ORIG!U2476=0,"",ORIG!U2476)</f>
        <v/>
      </c>
      <c r="V2476" s="9">
        <f>IF(ORIG!V2476=0,"",ORIG!V2476)</f>
        <v/>
      </c>
      <c r="W2476" s="9">
        <f>IF(ORIG!W2476=0,"",ORIG!W2476)</f>
        <v/>
      </c>
      <c r="X2476" s="9">
        <f>IF(ORIG!X2476=0,"",ORIG!X2476)</f>
        <v/>
      </c>
      <c r="Y2476" s="9">
        <f>IF(ORIG!Y2476=0,"",ORIG!Y2476)</f>
        <v/>
      </c>
      <c r="Z2476" s="3">
        <f>SUMPRODUCT($B2476:$Y2476,$B$2649:$Y$2649)</f>
        <v/>
      </c>
      <c r="AA2476" s="3">
        <f>SUMPRODUCT($B2476:$Y2476,$B$2655:$Y$2655)</f>
        <v/>
      </c>
      <c r="AC2476" s="1">
        <f>A2476</f>
        <v/>
      </c>
      <c r="AD2476">
        <f>IF(ISNUMBER(V2476),V2476*($AB$1/V$2635),"")</f>
        <v/>
      </c>
      <c r="AE2476">
        <f>IF(ISNUMBER(Z2476),Z2476*($AB$1/Z$2635),"")</f>
        <v/>
      </c>
      <c r="AF2476" s="25">
        <f>IF(ISNUMBER(AD2476+AE2476),AD2476+AE2476,"")</f>
        <v/>
      </c>
      <c r="AH2476" s="1">
        <f>A2476</f>
        <v/>
      </c>
      <c r="AI2476">
        <f>IF(ISNUMBER((1+V2476)*AI2475),(1+V2476)*AI2475,AI2475)</f>
        <v/>
      </c>
      <c r="AJ2476">
        <f>IF(ISNUMBER((1+Z2476)*AJ2475),(1+Z2476)*AJ2475,AJ2475)</f>
        <v/>
      </c>
    </row>
    <row r="2477">
      <c r="A2477" s="1" t="n">
        <v>45596</v>
      </c>
      <c r="B2477" s="3">
        <f>IF(ORIG!B2477=0,"",ORIG!B2477)</f>
        <v/>
      </c>
      <c r="C2477" s="3">
        <f>IF(ORIG!C2477=0,"",ORIG!C2477)</f>
        <v/>
      </c>
      <c r="D2477" s="3">
        <f>IF(ORIG!D2477=0,"",ORIG!D2477)</f>
        <v/>
      </c>
      <c r="E2477" s="3">
        <f>IF(ORIG!E2477=0,"",ORIG!E2477)</f>
        <v/>
      </c>
      <c r="F2477" s="3">
        <f>IF(ORIG!F2477=0,"",ORIG!F2477)</f>
        <v/>
      </c>
      <c r="G2477" s="3">
        <f>IF(ORIG!G2477=0,"",ORIG!G2477)</f>
        <v/>
      </c>
      <c r="H2477" s="3">
        <f>IF(ORIG!H2477=0,"",ORIG!H2477)</f>
        <v/>
      </c>
      <c r="I2477" s="3">
        <f>IF(ORIG!I2477=0,"",ORIG!I2477)</f>
        <v/>
      </c>
      <c r="J2477" s="3">
        <f>IF(ORIG!J2477=0,"",ORIG!J2477)</f>
        <v/>
      </c>
      <c r="K2477" s="3">
        <f>IF(ORIG!K2477=0,"",ORIG!K2477)</f>
        <v/>
      </c>
      <c r="L2477" s="3">
        <f>IF(ORIG!L2477=0,"",ORIG!L2477)</f>
        <v/>
      </c>
      <c r="M2477" s="3">
        <f>IF(ORIG!M2477=0,"",ORIG!M2477)</f>
        <v/>
      </c>
      <c r="N2477" s="3">
        <f>IF(ORIG!N2477=0,"",ORIG!N2477)</f>
        <v/>
      </c>
      <c r="O2477" s="3">
        <f>IF(ORIG!O2477=0,"",ORIG!O2477)</f>
        <v/>
      </c>
      <c r="P2477" s="3">
        <f>IF(ORIG!P2477=0,"",ORIG!P2477)</f>
        <v/>
      </c>
      <c r="Q2477" s="3">
        <f>IF(ORIG!Q2477=0,"",ORIG!Q2477)</f>
        <v/>
      </c>
      <c r="R2477" s="3">
        <f>IF(ORIG!R2477=0,"",ORIG!R2477)</f>
        <v/>
      </c>
      <c r="S2477" s="3">
        <f>IF(ORIG!S2477=0,"",ORIG!S2477)</f>
        <v/>
      </c>
      <c r="T2477" s="3">
        <f>IF(ORIG!T2477=0,"",ORIG!T2477)</f>
        <v/>
      </c>
      <c r="U2477" s="3">
        <f>IF(ORIG!U2477=0,"",ORIG!U2477)</f>
        <v/>
      </c>
      <c r="V2477" s="9">
        <f>IF(ORIG!V2477=0,"",ORIG!V2477)</f>
        <v/>
      </c>
      <c r="W2477" s="9">
        <f>IF(ORIG!W2477=0,"",ORIG!W2477)</f>
        <v/>
      </c>
      <c r="X2477" s="9">
        <f>IF(ORIG!X2477=0,"",ORIG!X2477)</f>
        <v/>
      </c>
      <c r="Y2477" s="9">
        <f>IF(ORIG!Y2477=0,"",ORIG!Y2477)</f>
        <v/>
      </c>
      <c r="Z2477" s="3">
        <f>SUMPRODUCT($B2477:$Y2477,$B$2649:$Y$2649)</f>
        <v/>
      </c>
      <c r="AA2477" s="3">
        <f>SUMPRODUCT($B2477:$Y2477,$B$2655:$Y$2655)</f>
        <v/>
      </c>
      <c r="AC2477" s="1">
        <f>A2477</f>
        <v/>
      </c>
      <c r="AD2477">
        <f>IF(ISNUMBER(V2477),V2477*($AB$1/V$2635),"")</f>
        <v/>
      </c>
      <c r="AE2477">
        <f>IF(ISNUMBER(Z2477),Z2477*($AB$1/Z$2635),"")</f>
        <v/>
      </c>
      <c r="AF2477" s="25">
        <f>IF(ISNUMBER(AD2477+AE2477),AD2477+AE2477,"")</f>
        <v/>
      </c>
      <c r="AH2477" s="1">
        <f>A2477</f>
        <v/>
      </c>
      <c r="AI2477">
        <f>IF(ISNUMBER((1+V2477)*AI2476),(1+V2477)*AI2476,AI2476)</f>
        <v/>
      </c>
      <c r="AJ2477">
        <f>IF(ISNUMBER((1+Z2477)*AJ2476),(1+Z2477)*AJ2476,AJ2476)</f>
        <v/>
      </c>
    </row>
    <row r="2478">
      <c r="A2478" s="1" t="n">
        <v>45597</v>
      </c>
      <c r="B2478" s="3">
        <f>IF(ORIG!B2478=0,"",ORIG!B2478)</f>
        <v/>
      </c>
      <c r="C2478" s="3">
        <f>IF(ORIG!C2478=0,"",ORIG!C2478)</f>
        <v/>
      </c>
      <c r="D2478" s="3">
        <f>IF(ORIG!D2478=0,"",ORIG!D2478)</f>
        <v/>
      </c>
      <c r="E2478" s="3">
        <f>IF(ORIG!E2478=0,"",ORIG!E2478)</f>
        <v/>
      </c>
      <c r="F2478" s="3">
        <f>IF(ORIG!F2478=0,"",ORIG!F2478)</f>
        <v/>
      </c>
      <c r="G2478" s="3">
        <f>IF(ORIG!G2478=0,"",ORIG!G2478)</f>
        <v/>
      </c>
      <c r="H2478" s="3">
        <f>IF(ORIG!H2478=0,"",ORIG!H2478)</f>
        <v/>
      </c>
      <c r="I2478" s="3">
        <f>IF(ORIG!I2478=0,"",ORIG!I2478)</f>
        <v/>
      </c>
      <c r="J2478" s="3">
        <f>IF(ORIG!J2478=0,"",ORIG!J2478)</f>
        <v/>
      </c>
      <c r="K2478" s="3">
        <f>IF(ORIG!K2478=0,"",ORIG!K2478)</f>
        <v/>
      </c>
      <c r="L2478" s="3">
        <f>IF(ORIG!L2478=0,"",ORIG!L2478)</f>
        <v/>
      </c>
      <c r="M2478" s="3">
        <f>IF(ORIG!M2478=0,"",ORIG!M2478)</f>
        <v/>
      </c>
      <c r="N2478" s="3">
        <f>IF(ORIG!N2478=0,"",ORIG!N2478)</f>
        <v/>
      </c>
      <c r="O2478" s="3">
        <f>IF(ORIG!O2478=0,"",ORIG!O2478)</f>
        <v/>
      </c>
      <c r="P2478" s="3">
        <f>IF(ORIG!P2478=0,"",ORIG!P2478)</f>
        <v/>
      </c>
      <c r="Q2478" s="3">
        <f>IF(ORIG!Q2478=0,"",ORIG!Q2478)</f>
        <v/>
      </c>
      <c r="R2478" s="3">
        <f>IF(ORIG!R2478=0,"",ORIG!R2478)</f>
        <v/>
      </c>
      <c r="S2478" s="3">
        <f>IF(ORIG!S2478=0,"",ORIG!S2478)</f>
        <v/>
      </c>
      <c r="T2478" s="3">
        <f>IF(ORIG!T2478=0,"",ORIG!T2478)</f>
        <v/>
      </c>
      <c r="U2478" s="3">
        <f>IF(ORIG!U2478=0,"",ORIG!U2478)</f>
        <v/>
      </c>
      <c r="V2478" s="9">
        <f>IF(ORIG!V2478=0,"",ORIG!V2478)</f>
        <v/>
      </c>
      <c r="W2478" s="9">
        <f>IF(ORIG!W2478=0,"",ORIG!W2478)</f>
        <v/>
      </c>
      <c r="X2478" s="9">
        <f>IF(ORIG!X2478=0,"",ORIG!X2478)</f>
        <v/>
      </c>
      <c r="Y2478" s="9">
        <f>IF(ORIG!Y2478=0,"",ORIG!Y2478)</f>
        <v/>
      </c>
      <c r="Z2478" s="3">
        <f>SUMPRODUCT($B2478:$Y2478,$B$2649:$Y$2649)</f>
        <v/>
      </c>
      <c r="AA2478" s="3">
        <f>SUMPRODUCT($B2478:$Y2478,$B$2655:$Y$2655)</f>
        <v/>
      </c>
      <c r="AC2478" s="1">
        <f>A2478</f>
        <v/>
      </c>
      <c r="AD2478">
        <f>IF(ISNUMBER(V2478),V2478*($AB$1/V$2635),"")</f>
        <v/>
      </c>
      <c r="AE2478">
        <f>IF(ISNUMBER(Z2478),Z2478*($AB$1/Z$2635),"")</f>
        <v/>
      </c>
      <c r="AF2478" s="25">
        <f>IF(ISNUMBER(AD2478+AE2478),AD2478+AE2478,"")</f>
        <v/>
      </c>
      <c r="AH2478" s="1">
        <f>A2478</f>
        <v/>
      </c>
      <c r="AI2478">
        <f>IF(ISNUMBER((1+V2478)*AI2477),(1+V2478)*AI2477,AI2477)</f>
        <v/>
      </c>
      <c r="AJ2478">
        <f>IF(ISNUMBER((1+Z2478)*AJ2477),(1+Z2478)*AJ2477,AJ2477)</f>
        <v/>
      </c>
    </row>
    <row r="2479">
      <c r="A2479" s="1" t="n">
        <v>45600</v>
      </c>
      <c r="B2479" s="3">
        <f>IF(ORIG!B2479=0,"",ORIG!B2479)</f>
        <v/>
      </c>
      <c r="C2479" s="3">
        <f>IF(ORIG!C2479=0,"",ORIG!C2479)</f>
        <v/>
      </c>
      <c r="D2479" s="3">
        <f>IF(ORIG!D2479=0,"",ORIG!D2479)</f>
        <v/>
      </c>
      <c r="E2479" s="3">
        <f>IF(ORIG!E2479=0,"",ORIG!E2479)</f>
        <v/>
      </c>
      <c r="F2479" s="3">
        <f>IF(ORIG!F2479=0,"",ORIG!F2479)</f>
        <v/>
      </c>
      <c r="G2479" s="3">
        <f>IF(ORIG!G2479=0,"",ORIG!G2479)</f>
        <v/>
      </c>
      <c r="H2479" s="3">
        <f>IF(ORIG!H2479=0,"",ORIG!H2479)</f>
        <v/>
      </c>
      <c r="I2479" s="3">
        <f>IF(ORIG!I2479=0,"",ORIG!I2479)</f>
        <v/>
      </c>
      <c r="J2479" s="3">
        <f>IF(ORIG!J2479=0,"",ORIG!J2479)</f>
        <v/>
      </c>
      <c r="K2479" s="3">
        <f>IF(ORIG!K2479=0,"",ORIG!K2479)</f>
        <v/>
      </c>
      <c r="L2479" s="3">
        <f>IF(ORIG!L2479=0,"",ORIG!L2479)</f>
        <v/>
      </c>
      <c r="M2479" s="3">
        <f>IF(ORIG!M2479=0,"",ORIG!M2479)</f>
        <v/>
      </c>
      <c r="N2479" s="3">
        <f>IF(ORIG!N2479=0,"",ORIG!N2479)</f>
        <v/>
      </c>
      <c r="O2479" s="3">
        <f>IF(ORIG!O2479=0,"",ORIG!O2479)</f>
        <v/>
      </c>
      <c r="P2479" s="3">
        <f>IF(ORIG!P2479=0,"",ORIG!P2479)</f>
        <v/>
      </c>
      <c r="Q2479" s="3">
        <f>IF(ORIG!Q2479=0,"",ORIG!Q2479)</f>
        <v/>
      </c>
      <c r="R2479" s="3">
        <f>IF(ORIG!R2479=0,"",ORIG!R2479)</f>
        <v/>
      </c>
      <c r="S2479" s="3">
        <f>IF(ORIG!S2479=0,"",ORIG!S2479)</f>
        <v/>
      </c>
      <c r="T2479" s="3">
        <f>IF(ORIG!T2479=0,"",ORIG!T2479)</f>
        <v/>
      </c>
      <c r="U2479" s="3">
        <f>IF(ORIG!U2479=0,"",ORIG!U2479)</f>
        <v/>
      </c>
      <c r="V2479" s="9">
        <f>IF(ORIG!V2479=0,"",ORIG!V2479)</f>
        <v/>
      </c>
      <c r="W2479" s="9">
        <f>IF(ORIG!W2479=0,"",ORIG!W2479)</f>
        <v/>
      </c>
      <c r="X2479" s="9">
        <f>IF(ORIG!X2479=0,"",ORIG!X2479)</f>
        <v/>
      </c>
      <c r="Y2479" s="9">
        <f>IF(ORIG!Y2479=0,"",ORIG!Y2479)</f>
        <v/>
      </c>
      <c r="Z2479" s="3">
        <f>SUMPRODUCT($B2479:$Y2479,$B$2649:$Y$2649)</f>
        <v/>
      </c>
      <c r="AA2479" s="3">
        <f>SUMPRODUCT($B2479:$Y2479,$B$2655:$Y$2655)</f>
        <v/>
      </c>
      <c r="AC2479" s="1">
        <f>A2479</f>
        <v/>
      </c>
      <c r="AD2479">
        <f>IF(ISNUMBER(V2479),V2479*($AB$1/V$2635),"")</f>
        <v/>
      </c>
      <c r="AE2479">
        <f>IF(ISNUMBER(Z2479),Z2479*($AB$1/Z$2635),"")</f>
        <v/>
      </c>
      <c r="AF2479" s="25">
        <f>IF(ISNUMBER(AD2479+AE2479),AD2479+AE2479,"")</f>
        <v/>
      </c>
      <c r="AH2479" s="1">
        <f>A2479</f>
        <v/>
      </c>
      <c r="AI2479">
        <f>IF(ISNUMBER((1+V2479)*AI2478),(1+V2479)*AI2478,AI2478)</f>
        <v/>
      </c>
      <c r="AJ2479">
        <f>IF(ISNUMBER((1+Z2479)*AJ2478),(1+Z2479)*AJ2478,AJ2478)</f>
        <v/>
      </c>
    </row>
    <row r="2480">
      <c r="A2480" s="1" t="n">
        <v>45601</v>
      </c>
      <c r="B2480" s="3">
        <f>IF(ORIG!B2480=0,"",ORIG!B2480)</f>
        <v/>
      </c>
      <c r="C2480" s="3">
        <f>IF(ORIG!C2480=0,"",ORIG!C2480)</f>
        <v/>
      </c>
      <c r="D2480" s="3">
        <f>IF(ORIG!D2480=0,"",ORIG!D2480)</f>
        <v/>
      </c>
      <c r="E2480" s="3">
        <f>IF(ORIG!E2480=0,"",ORIG!E2480)</f>
        <v/>
      </c>
      <c r="F2480" s="3">
        <f>IF(ORIG!F2480=0,"",ORIG!F2480)</f>
        <v/>
      </c>
      <c r="G2480" s="3">
        <f>IF(ORIG!G2480=0,"",ORIG!G2480)</f>
        <v/>
      </c>
      <c r="H2480" s="3">
        <f>IF(ORIG!H2480=0,"",ORIG!H2480)</f>
        <v/>
      </c>
      <c r="I2480" s="3">
        <f>IF(ORIG!I2480=0,"",ORIG!I2480)</f>
        <v/>
      </c>
      <c r="J2480" s="3">
        <f>IF(ORIG!J2480=0,"",ORIG!J2480)</f>
        <v/>
      </c>
      <c r="K2480" s="3">
        <f>IF(ORIG!K2480=0,"",ORIG!K2480)</f>
        <v/>
      </c>
      <c r="L2480" s="3">
        <f>IF(ORIG!L2480=0,"",ORIG!L2480)</f>
        <v/>
      </c>
      <c r="M2480" s="3">
        <f>IF(ORIG!M2480=0,"",ORIG!M2480)</f>
        <v/>
      </c>
      <c r="N2480" s="3">
        <f>IF(ORIG!N2480=0,"",ORIG!N2480)</f>
        <v/>
      </c>
      <c r="O2480" s="3">
        <f>IF(ORIG!O2480=0,"",ORIG!O2480)</f>
        <v/>
      </c>
      <c r="P2480" s="3">
        <f>IF(ORIG!P2480=0,"",ORIG!P2480)</f>
        <v/>
      </c>
      <c r="Q2480" s="3">
        <f>IF(ORIG!Q2480=0,"",ORIG!Q2480)</f>
        <v/>
      </c>
      <c r="R2480" s="3">
        <f>IF(ORIG!R2480=0,"",ORIG!R2480)</f>
        <v/>
      </c>
      <c r="S2480" s="3">
        <f>IF(ORIG!S2480=0,"",ORIG!S2480)</f>
        <v/>
      </c>
      <c r="T2480" s="3">
        <f>IF(ORIG!T2480=0,"",ORIG!T2480)</f>
        <v/>
      </c>
      <c r="U2480" s="3">
        <f>IF(ORIG!U2480=0,"",ORIG!U2480)</f>
        <v/>
      </c>
      <c r="V2480" s="9">
        <f>IF(ORIG!V2480=0,"",ORIG!V2480)</f>
        <v/>
      </c>
      <c r="W2480" s="9">
        <f>IF(ORIG!W2480=0,"",ORIG!W2480)</f>
        <v/>
      </c>
      <c r="X2480" s="9">
        <f>IF(ORIG!X2480=0,"",ORIG!X2480)</f>
        <v/>
      </c>
      <c r="Y2480" s="9">
        <f>IF(ORIG!Y2480=0,"",ORIG!Y2480)</f>
        <v/>
      </c>
      <c r="Z2480" s="3">
        <f>SUMPRODUCT($B2480:$Y2480,$B$2649:$Y$2649)</f>
        <v/>
      </c>
      <c r="AA2480" s="3">
        <f>SUMPRODUCT($B2480:$Y2480,$B$2655:$Y$2655)</f>
        <v/>
      </c>
      <c r="AC2480" s="1">
        <f>A2480</f>
        <v/>
      </c>
      <c r="AD2480">
        <f>IF(ISNUMBER(V2480),V2480*($AB$1/V$2635),"")</f>
        <v/>
      </c>
      <c r="AE2480">
        <f>IF(ISNUMBER(Z2480),Z2480*($AB$1/Z$2635),"")</f>
        <v/>
      </c>
      <c r="AF2480" s="25">
        <f>IF(ISNUMBER(AD2480+AE2480),AD2480+AE2480,"")</f>
        <v/>
      </c>
      <c r="AH2480" s="1">
        <f>A2480</f>
        <v/>
      </c>
      <c r="AI2480">
        <f>IF(ISNUMBER((1+V2480)*AI2479),(1+V2480)*AI2479,AI2479)</f>
        <v/>
      </c>
      <c r="AJ2480">
        <f>IF(ISNUMBER((1+Z2480)*AJ2479),(1+Z2480)*AJ2479,AJ2479)</f>
        <v/>
      </c>
    </row>
    <row r="2481">
      <c r="A2481" s="1" t="n">
        <v>45602</v>
      </c>
      <c r="B2481" s="3">
        <f>IF(ORIG!B2481=0,"",ORIG!B2481)</f>
        <v/>
      </c>
      <c r="C2481" s="3">
        <f>IF(ORIG!C2481=0,"",ORIG!C2481)</f>
        <v/>
      </c>
      <c r="D2481" s="3">
        <f>IF(ORIG!D2481=0,"",ORIG!D2481)</f>
        <v/>
      </c>
      <c r="E2481" s="3">
        <f>IF(ORIG!E2481=0,"",ORIG!E2481)</f>
        <v/>
      </c>
      <c r="F2481" s="3">
        <f>IF(ORIG!F2481=0,"",ORIG!F2481)</f>
        <v/>
      </c>
      <c r="G2481" s="3">
        <f>IF(ORIG!G2481=0,"",ORIG!G2481)</f>
        <v/>
      </c>
      <c r="H2481" s="3">
        <f>IF(ORIG!H2481=0,"",ORIG!H2481)</f>
        <v/>
      </c>
      <c r="I2481" s="3">
        <f>IF(ORIG!I2481=0,"",ORIG!I2481)</f>
        <v/>
      </c>
      <c r="J2481" s="3">
        <f>IF(ORIG!J2481=0,"",ORIG!J2481)</f>
        <v/>
      </c>
      <c r="K2481" s="3">
        <f>IF(ORIG!K2481=0,"",ORIG!K2481)</f>
        <v/>
      </c>
      <c r="L2481" s="3">
        <f>IF(ORIG!L2481=0,"",ORIG!L2481)</f>
        <v/>
      </c>
      <c r="M2481" s="3">
        <f>IF(ORIG!M2481=0,"",ORIG!M2481)</f>
        <v/>
      </c>
      <c r="N2481" s="3">
        <f>IF(ORIG!N2481=0,"",ORIG!N2481)</f>
        <v/>
      </c>
      <c r="O2481" s="3">
        <f>IF(ORIG!O2481=0,"",ORIG!O2481)</f>
        <v/>
      </c>
      <c r="P2481" s="3">
        <f>IF(ORIG!P2481=0,"",ORIG!P2481)</f>
        <v/>
      </c>
      <c r="Q2481" s="3">
        <f>IF(ORIG!Q2481=0,"",ORIG!Q2481)</f>
        <v/>
      </c>
      <c r="R2481" s="3">
        <f>IF(ORIG!R2481=0,"",ORIG!R2481)</f>
        <v/>
      </c>
      <c r="S2481" s="3">
        <f>IF(ORIG!S2481=0,"",ORIG!S2481)</f>
        <v/>
      </c>
      <c r="T2481" s="3">
        <f>IF(ORIG!T2481=0,"",ORIG!T2481)</f>
        <v/>
      </c>
      <c r="U2481" s="3">
        <f>IF(ORIG!U2481=0,"",ORIG!U2481)</f>
        <v/>
      </c>
      <c r="V2481" s="9">
        <f>IF(ORIG!V2481=0,"",ORIG!V2481)</f>
        <v/>
      </c>
      <c r="W2481" s="9">
        <f>IF(ORIG!W2481=0,"",ORIG!W2481)</f>
        <v/>
      </c>
      <c r="X2481" s="9">
        <f>IF(ORIG!X2481=0,"",ORIG!X2481)</f>
        <v/>
      </c>
      <c r="Y2481" s="9">
        <f>IF(ORIG!Y2481=0,"",ORIG!Y2481)</f>
        <v/>
      </c>
      <c r="Z2481" s="3">
        <f>SUMPRODUCT($B2481:$Y2481,$B$2649:$Y$2649)</f>
        <v/>
      </c>
      <c r="AA2481" s="3">
        <f>SUMPRODUCT($B2481:$Y2481,$B$2655:$Y$2655)</f>
        <v/>
      </c>
      <c r="AC2481" s="1">
        <f>A2481</f>
        <v/>
      </c>
      <c r="AD2481">
        <f>IF(ISNUMBER(V2481),V2481*($AB$1/V$2635),"")</f>
        <v/>
      </c>
      <c r="AE2481">
        <f>IF(ISNUMBER(Z2481),Z2481*($AB$1/Z$2635),"")</f>
        <v/>
      </c>
      <c r="AF2481" s="25">
        <f>IF(ISNUMBER(AD2481+AE2481),AD2481+AE2481,"")</f>
        <v/>
      </c>
      <c r="AH2481" s="1">
        <f>A2481</f>
        <v/>
      </c>
      <c r="AI2481">
        <f>IF(ISNUMBER((1+V2481)*AI2480),(1+V2481)*AI2480,AI2480)</f>
        <v/>
      </c>
      <c r="AJ2481">
        <f>IF(ISNUMBER((1+Z2481)*AJ2480),(1+Z2481)*AJ2480,AJ2480)</f>
        <v/>
      </c>
    </row>
    <row r="2482">
      <c r="A2482" s="1" t="n">
        <v>45603</v>
      </c>
      <c r="B2482" s="3">
        <f>IF(ORIG!B2482=0,"",ORIG!B2482)</f>
        <v/>
      </c>
      <c r="C2482" s="3">
        <f>IF(ORIG!C2482=0,"",ORIG!C2482)</f>
        <v/>
      </c>
      <c r="D2482" s="3">
        <f>IF(ORIG!D2482=0,"",ORIG!D2482)</f>
        <v/>
      </c>
      <c r="E2482" s="3">
        <f>IF(ORIG!E2482=0,"",ORIG!E2482)</f>
        <v/>
      </c>
      <c r="F2482" s="3">
        <f>IF(ORIG!F2482=0,"",ORIG!F2482)</f>
        <v/>
      </c>
      <c r="G2482" s="3">
        <f>IF(ORIG!G2482=0,"",ORIG!G2482)</f>
        <v/>
      </c>
      <c r="H2482" s="3">
        <f>IF(ORIG!H2482=0,"",ORIG!H2482)</f>
        <v/>
      </c>
      <c r="I2482" s="3">
        <f>IF(ORIG!I2482=0,"",ORIG!I2482)</f>
        <v/>
      </c>
      <c r="J2482" s="3">
        <f>IF(ORIG!J2482=0,"",ORIG!J2482)</f>
        <v/>
      </c>
      <c r="K2482" s="3">
        <f>IF(ORIG!K2482=0,"",ORIG!K2482)</f>
        <v/>
      </c>
      <c r="L2482" s="3">
        <f>IF(ORIG!L2482=0,"",ORIG!L2482)</f>
        <v/>
      </c>
      <c r="M2482" s="3">
        <f>IF(ORIG!M2482=0,"",ORIG!M2482)</f>
        <v/>
      </c>
      <c r="N2482" s="3">
        <f>IF(ORIG!N2482=0,"",ORIG!N2482)</f>
        <v/>
      </c>
      <c r="O2482" s="3">
        <f>IF(ORIG!O2482=0,"",ORIG!O2482)</f>
        <v/>
      </c>
      <c r="P2482" s="3">
        <f>IF(ORIG!P2482=0,"",ORIG!P2482)</f>
        <v/>
      </c>
      <c r="Q2482" s="3">
        <f>IF(ORIG!Q2482=0,"",ORIG!Q2482)</f>
        <v/>
      </c>
      <c r="R2482" s="3">
        <f>IF(ORIG!R2482=0,"",ORIG!R2482)</f>
        <v/>
      </c>
      <c r="S2482" s="3">
        <f>IF(ORIG!S2482=0,"",ORIG!S2482)</f>
        <v/>
      </c>
      <c r="T2482" s="3">
        <f>IF(ORIG!T2482=0,"",ORIG!T2482)</f>
        <v/>
      </c>
      <c r="U2482" s="3">
        <f>IF(ORIG!U2482=0,"",ORIG!U2482)</f>
        <v/>
      </c>
      <c r="V2482" s="9">
        <f>IF(ORIG!V2482=0,"",ORIG!V2482)</f>
        <v/>
      </c>
      <c r="W2482" s="9">
        <f>IF(ORIG!W2482=0,"",ORIG!W2482)</f>
        <v/>
      </c>
      <c r="X2482" s="9">
        <f>IF(ORIG!X2482=0,"",ORIG!X2482)</f>
        <v/>
      </c>
      <c r="Y2482" s="9">
        <f>IF(ORIG!Y2482=0,"",ORIG!Y2482)</f>
        <v/>
      </c>
      <c r="Z2482" s="3">
        <f>SUMPRODUCT($B2482:$Y2482,$B$2649:$Y$2649)</f>
        <v/>
      </c>
      <c r="AA2482" s="3">
        <f>SUMPRODUCT($B2482:$Y2482,$B$2655:$Y$2655)</f>
        <v/>
      </c>
      <c r="AC2482" s="1">
        <f>A2482</f>
        <v/>
      </c>
      <c r="AD2482">
        <f>IF(ISNUMBER(V2482),V2482*($AB$1/V$2635),"")</f>
        <v/>
      </c>
      <c r="AE2482">
        <f>IF(ISNUMBER(Z2482),Z2482*($AB$1/Z$2635),"")</f>
        <v/>
      </c>
      <c r="AF2482" s="25">
        <f>IF(ISNUMBER(AD2482+AE2482),AD2482+AE2482,"")</f>
        <v/>
      </c>
      <c r="AH2482" s="1">
        <f>A2482</f>
        <v/>
      </c>
      <c r="AI2482">
        <f>IF(ISNUMBER((1+V2482)*AI2481),(1+V2482)*AI2481,AI2481)</f>
        <v/>
      </c>
      <c r="AJ2482">
        <f>IF(ISNUMBER((1+Z2482)*AJ2481),(1+Z2482)*AJ2481,AJ2481)</f>
        <v/>
      </c>
    </row>
    <row r="2483">
      <c r="A2483" s="1" t="n">
        <v>45604</v>
      </c>
      <c r="B2483" s="3">
        <f>IF(ORIG!B2483=0,"",ORIG!B2483)</f>
        <v/>
      </c>
      <c r="C2483" s="3">
        <f>IF(ORIG!C2483=0,"",ORIG!C2483)</f>
        <v/>
      </c>
      <c r="D2483" s="3">
        <f>IF(ORIG!D2483=0,"",ORIG!D2483)</f>
        <v/>
      </c>
      <c r="E2483" s="3">
        <f>IF(ORIG!E2483=0,"",ORIG!E2483)</f>
        <v/>
      </c>
      <c r="F2483" s="3">
        <f>IF(ORIG!F2483=0,"",ORIG!F2483)</f>
        <v/>
      </c>
      <c r="G2483" s="3">
        <f>IF(ORIG!G2483=0,"",ORIG!G2483)</f>
        <v/>
      </c>
      <c r="H2483" s="3">
        <f>IF(ORIG!H2483=0,"",ORIG!H2483)</f>
        <v/>
      </c>
      <c r="I2483" s="3">
        <f>IF(ORIG!I2483=0,"",ORIG!I2483)</f>
        <v/>
      </c>
      <c r="J2483" s="3">
        <f>IF(ORIG!J2483=0,"",ORIG!J2483)</f>
        <v/>
      </c>
      <c r="K2483" s="3">
        <f>IF(ORIG!K2483=0,"",ORIG!K2483)</f>
        <v/>
      </c>
      <c r="L2483" s="3">
        <f>IF(ORIG!L2483=0,"",ORIG!L2483)</f>
        <v/>
      </c>
      <c r="M2483" s="3">
        <f>IF(ORIG!M2483=0,"",ORIG!M2483)</f>
        <v/>
      </c>
      <c r="N2483" s="3">
        <f>IF(ORIG!N2483=0,"",ORIG!N2483)</f>
        <v/>
      </c>
      <c r="O2483" s="3">
        <f>IF(ORIG!O2483=0,"",ORIG!O2483)</f>
        <v/>
      </c>
      <c r="P2483" s="3">
        <f>IF(ORIG!P2483=0,"",ORIG!P2483)</f>
        <v/>
      </c>
      <c r="Q2483" s="3">
        <f>IF(ORIG!Q2483=0,"",ORIG!Q2483)</f>
        <v/>
      </c>
      <c r="R2483" s="3">
        <f>IF(ORIG!R2483=0,"",ORIG!R2483)</f>
        <v/>
      </c>
      <c r="S2483" s="3">
        <f>IF(ORIG!S2483=0,"",ORIG!S2483)</f>
        <v/>
      </c>
      <c r="T2483" s="3">
        <f>IF(ORIG!T2483=0,"",ORIG!T2483)</f>
        <v/>
      </c>
      <c r="U2483" s="3">
        <f>IF(ORIG!U2483=0,"",ORIG!U2483)</f>
        <v/>
      </c>
      <c r="V2483" s="9">
        <f>IF(ORIG!V2483=0,"",ORIG!V2483)</f>
        <v/>
      </c>
      <c r="W2483" s="9">
        <f>IF(ORIG!W2483=0,"",ORIG!W2483)</f>
        <v/>
      </c>
      <c r="X2483" s="9">
        <f>IF(ORIG!X2483=0,"",ORIG!X2483)</f>
        <v/>
      </c>
      <c r="Y2483" s="9">
        <f>IF(ORIG!Y2483=0,"",ORIG!Y2483)</f>
        <v/>
      </c>
      <c r="Z2483" s="3">
        <f>SUMPRODUCT($B2483:$Y2483,$B$2649:$Y$2649)</f>
        <v/>
      </c>
      <c r="AA2483" s="3">
        <f>SUMPRODUCT($B2483:$Y2483,$B$2655:$Y$2655)</f>
        <v/>
      </c>
      <c r="AC2483" s="1">
        <f>A2483</f>
        <v/>
      </c>
      <c r="AD2483">
        <f>IF(ISNUMBER(V2483),V2483*($AB$1/V$2635),"")</f>
        <v/>
      </c>
      <c r="AE2483">
        <f>IF(ISNUMBER(Z2483),Z2483*($AB$1/Z$2635),"")</f>
        <v/>
      </c>
      <c r="AF2483" s="25">
        <f>IF(ISNUMBER(AD2483+AE2483),AD2483+AE2483,"")</f>
        <v/>
      </c>
      <c r="AH2483" s="1">
        <f>A2483</f>
        <v/>
      </c>
      <c r="AI2483">
        <f>IF(ISNUMBER((1+V2483)*AI2482),(1+V2483)*AI2482,AI2482)</f>
        <v/>
      </c>
      <c r="AJ2483">
        <f>IF(ISNUMBER((1+Z2483)*AJ2482),(1+Z2483)*AJ2482,AJ2482)</f>
        <v/>
      </c>
    </row>
    <row r="2484">
      <c r="A2484" s="1" t="n">
        <v>45607</v>
      </c>
      <c r="B2484" s="3">
        <f>IF(ORIG!B2484=0,"",ORIG!B2484)</f>
        <v/>
      </c>
      <c r="C2484" s="3">
        <f>IF(ORIG!C2484=0,"",ORIG!C2484)</f>
        <v/>
      </c>
      <c r="D2484" s="3">
        <f>IF(ORIG!D2484=0,"",ORIG!D2484)</f>
        <v/>
      </c>
      <c r="E2484" s="3">
        <f>IF(ORIG!E2484=0,"",ORIG!E2484)</f>
        <v/>
      </c>
      <c r="F2484" s="3">
        <f>IF(ORIG!F2484=0,"",ORIG!F2484)</f>
        <v/>
      </c>
      <c r="G2484" s="3">
        <f>IF(ORIG!G2484=0,"",ORIG!G2484)</f>
        <v/>
      </c>
      <c r="H2484" s="3">
        <f>IF(ORIG!H2484=0,"",ORIG!H2484)</f>
        <v/>
      </c>
      <c r="I2484" s="3">
        <f>IF(ORIG!I2484=0,"",ORIG!I2484)</f>
        <v/>
      </c>
      <c r="J2484" s="3">
        <f>IF(ORIG!J2484=0,"",ORIG!J2484)</f>
        <v/>
      </c>
      <c r="K2484" s="3">
        <f>IF(ORIG!K2484=0,"",ORIG!K2484)</f>
        <v/>
      </c>
      <c r="L2484" s="3">
        <f>IF(ORIG!L2484=0,"",ORIG!L2484)</f>
        <v/>
      </c>
      <c r="M2484" s="3">
        <f>IF(ORIG!M2484=0,"",ORIG!M2484)</f>
        <v/>
      </c>
      <c r="N2484" s="3">
        <f>IF(ORIG!N2484=0,"",ORIG!N2484)</f>
        <v/>
      </c>
      <c r="O2484" s="3">
        <f>IF(ORIG!O2484=0,"",ORIG!O2484)</f>
        <v/>
      </c>
      <c r="P2484" s="3">
        <f>IF(ORIG!P2484=0,"",ORIG!P2484)</f>
        <v/>
      </c>
      <c r="Q2484" s="3">
        <f>IF(ORIG!Q2484=0,"",ORIG!Q2484)</f>
        <v/>
      </c>
      <c r="R2484" s="3">
        <f>IF(ORIG!R2484=0,"",ORIG!R2484)</f>
        <v/>
      </c>
      <c r="S2484" s="3">
        <f>IF(ORIG!S2484=0,"",ORIG!S2484)</f>
        <v/>
      </c>
      <c r="T2484" s="3">
        <f>IF(ORIG!T2484=0,"",ORIG!T2484)</f>
        <v/>
      </c>
      <c r="U2484" s="3">
        <f>IF(ORIG!U2484=0,"",ORIG!U2484)</f>
        <v/>
      </c>
      <c r="V2484" s="9">
        <f>IF(ORIG!V2484=0,"",ORIG!V2484)</f>
        <v/>
      </c>
      <c r="W2484" s="9">
        <f>IF(ORIG!W2484=0,"",ORIG!W2484)</f>
        <v/>
      </c>
      <c r="X2484" s="9">
        <f>IF(ORIG!X2484=0,"",ORIG!X2484)</f>
        <v/>
      </c>
      <c r="Y2484" s="9">
        <f>IF(ORIG!Y2484=0,"",ORIG!Y2484)</f>
        <v/>
      </c>
      <c r="Z2484" s="3">
        <f>SUMPRODUCT($B2484:$Y2484,$B$2649:$Y$2649)</f>
        <v/>
      </c>
      <c r="AA2484" s="3">
        <f>SUMPRODUCT($B2484:$Y2484,$B$2655:$Y$2655)</f>
        <v/>
      </c>
      <c r="AC2484" s="1">
        <f>A2484</f>
        <v/>
      </c>
      <c r="AD2484">
        <f>IF(ISNUMBER(V2484),V2484*($AB$1/V$2635),"")</f>
        <v/>
      </c>
      <c r="AE2484">
        <f>IF(ISNUMBER(Z2484),Z2484*($AB$1/Z$2635),"")</f>
        <v/>
      </c>
      <c r="AF2484" s="25">
        <f>IF(ISNUMBER(AD2484+AE2484),AD2484+AE2484,"")</f>
        <v/>
      </c>
      <c r="AH2484" s="1">
        <f>A2484</f>
        <v/>
      </c>
      <c r="AI2484">
        <f>IF(ISNUMBER((1+V2484)*AI2483),(1+V2484)*AI2483,AI2483)</f>
        <v/>
      </c>
      <c r="AJ2484">
        <f>IF(ISNUMBER((1+Z2484)*AJ2483),(1+Z2484)*AJ2483,AJ2483)</f>
        <v/>
      </c>
    </row>
    <row r="2485">
      <c r="A2485" s="1" t="n">
        <v>45608</v>
      </c>
      <c r="B2485" s="3">
        <f>IF(ORIG!B2485=0,"",ORIG!B2485)</f>
        <v/>
      </c>
      <c r="C2485" s="3">
        <f>IF(ORIG!C2485=0,"",ORIG!C2485)</f>
        <v/>
      </c>
      <c r="D2485" s="3">
        <f>IF(ORIG!D2485=0,"",ORIG!D2485)</f>
        <v/>
      </c>
      <c r="E2485" s="3">
        <f>IF(ORIG!E2485=0,"",ORIG!E2485)</f>
        <v/>
      </c>
      <c r="F2485" s="3">
        <f>IF(ORIG!F2485=0,"",ORIG!F2485)</f>
        <v/>
      </c>
      <c r="G2485" s="3">
        <f>IF(ORIG!G2485=0,"",ORIG!G2485)</f>
        <v/>
      </c>
      <c r="H2485" s="3">
        <f>IF(ORIG!H2485=0,"",ORIG!H2485)</f>
        <v/>
      </c>
      <c r="I2485" s="3">
        <f>IF(ORIG!I2485=0,"",ORIG!I2485)</f>
        <v/>
      </c>
      <c r="J2485" s="3">
        <f>IF(ORIG!J2485=0,"",ORIG!J2485)</f>
        <v/>
      </c>
      <c r="K2485" s="3">
        <f>IF(ORIG!K2485=0,"",ORIG!K2485)</f>
        <v/>
      </c>
      <c r="L2485" s="3">
        <f>IF(ORIG!L2485=0,"",ORIG!L2485)</f>
        <v/>
      </c>
      <c r="M2485" s="3">
        <f>IF(ORIG!M2485=0,"",ORIG!M2485)</f>
        <v/>
      </c>
      <c r="N2485" s="3">
        <f>IF(ORIG!N2485=0,"",ORIG!N2485)</f>
        <v/>
      </c>
      <c r="O2485" s="3">
        <f>IF(ORIG!O2485=0,"",ORIG!O2485)</f>
        <v/>
      </c>
      <c r="P2485" s="3">
        <f>IF(ORIG!P2485=0,"",ORIG!P2485)</f>
        <v/>
      </c>
      <c r="Q2485" s="3">
        <f>IF(ORIG!Q2485=0,"",ORIG!Q2485)</f>
        <v/>
      </c>
      <c r="R2485" s="3">
        <f>IF(ORIG!R2485=0,"",ORIG!R2485)</f>
        <v/>
      </c>
      <c r="S2485" s="3">
        <f>IF(ORIG!S2485=0,"",ORIG!S2485)</f>
        <v/>
      </c>
      <c r="T2485" s="3">
        <f>IF(ORIG!T2485=0,"",ORIG!T2485)</f>
        <v/>
      </c>
      <c r="U2485" s="3">
        <f>IF(ORIG!U2485=0,"",ORIG!U2485)</f>
        <v/>
      </c>
      <c r="V2485" s="9">
        <f>IF(ORIG!V2485=0,"",ORIG!V2485)</f>
        <v/>
      </c>
      <c r="W2485" s="9">
        <f>IF(ORIG!W2485=0,"",ORIG!W2485)</f>
        <v/>
      </c>
      <c r="X2485" s="9">
        <f>IF(ORIG!X2485=0,"",ORIG!X2485)</f>
        <v/>
      </c>
      <c r="Y2485" s="9">
        <f>IF(ORIG!Y2485=0,"",ORIG!Y2485)</f>
        <v/>
      </c>
      <c r="Z2485" s="3">
        <f>SUMPRODUCT($B2485:$Y2485,$B$2649:$Y$2649)</f>
        <v/>
      </c>
      <c r="AA2485" s="3">
        <f>SUMPRODUCT($B2485:$Y2485,$B$2655:$Y$2655)</f>
        <v/>
      </c>
      <c r="AC2485" s="1">
        <f>A2485</f>
        <v/>
      </c>
      <c r="AD2485">
        <f>IF(ISNUMBER(V2485),V2485*($AB$1/V$2635),"")</f>
        <v/>
      </c>
      <c r="AE2485">
        <f>IF(ISNUMBER(Z2485),Z2485*($AB$1/Z$2635),"")</f>
        <v/>
      </c>
      <c r="AF2485" s="25">
        <f>IF(ISNUMBER(AD2485+AE2485),AD2485+AE2485,"")</f>
        <v/>
      </c>
      <c r="AH2485" s="1">
        <f>A2485</f>
        <v/>
      </c>
      <c r="AI2485">
        <f>IF(ISNUMBER((1+V2485)*AI2484),(1+V2485)*AI2484,AI2484)</f>
        <v/>
      </c>
      <c r="AJ2485">
        <f>IF(ISNUMBER((1+Z2485)*AJ2484),(1+Z2485)*AJ2484,AJ2484)</f>
        <v/>
      </c>
    </row>
    <row r="2486">
      <c r="A2486" s="1" t="n">
        <v>45609</v>
      </c>
      <c r="B2486" s="3">
        <f>IF(ORIG!B2486=0,"",ORIG!B2486)</f>
        <v/>
      </c>
      <c r="C2486" s="3">
        <f>IF(ORIG!C2486=0,"",ORIG!C2486)</f>
        <v/>
      </c>
      <c r="D2486" s="3">
        <f>IF(ORIG!D2486=0,"",ORIG!D2486)</f>
        <v/>
      </c>
      <c r="E2486" s="3">
        <f>IF(ORIG!E2486=0,"",ORIG!E2486)</f>
        <v/>
      </c>
      <c r="F2486" s="3">
        <f>IF(ORIG!F2486=0,"",ORIG!F2486)</f>
        <v/>
      </c>
      <c r="G2486" s="3">
        <f>IF(ORIG!G2486=0,"",ORIG!G2486)</f>
        <v/>
      </c>
      <c r="H2486" s="3">
        <f>IF(ORIG!H2486=0,"",ORIG!H2486)</f>
        <v/>
      </c>
      <c r="I2486" s="3">
        <f>IF(ORIG!I2486=0,"",ORIG!I2486)</f>
        <v/>
      </c>
      <c r="J2486" s="3">
        <f>IF(ORIG!J2486=0,"",ORIG!J2486)</f>
        <v/>
      </c>
      <c r="K2486" s="3">
        <f>IF(ORIG!K2486=0,"",ORIG!K2486)</f>
        <v/>
      </c>
      <c r="L2486" s="3">
        <f>IF(ORIG!L2486=0,"",ORIG!L2486)</f>
        <v/>
      </c>
      <c r="M2486" s="3">
        <f>IF(ORIG!M2486=0,"",ORIG!M2486)</f>
        <v/>
      </c>
      <c r="N2486" s="3">
        <f>IF(ORIG!N2486=0,"",ORIG!N2486)</f>
        <v/>
      </c>
      <c r="O2486" s="3">
        <f>IF(ORIG!O2486=0,"",ORIG!O2486)</f>
        <v/>
      </c>
      <c r="P2486" s="3">
        <f>IF(ORIG!P2486=0,"",ORIG!P2486)</f>
        <v/>
      </c>
      <c r="Q2486" s="3">
        <f>IF(ORIG!Q2486=0,"",ORIG!Q2486)</f>
        <v/>
      </c>
      <c r="R2486" s="3">
        <f>IF(ORIG!R2486=0,"",ORIG!R2486)</f>
        <v/>
      </c>
      <c r="S2486" s="3">
        <f>IF(ORIG!S2486=0,"",ORIG!S2486)</f>
        <v/>
      </c>
      <c r="T2486" s="3">
        <f>IF(ORIG!T2486=0,"",ORIG!T2486)</f>
        <v/>
      </c>
      <c r="U2486" s="3">
        <f>IF(ORIG!U2486=0,"",ORIG!U2486)</f>
        <v/>
      </c>
      <c r="V2486" s="9">
        <f>IF(ORIG!V2486=0,"",ORIG!V2486)</f>
        <v/>
      </c>
      <c r="W2486" s="9">
        <f>IF(ORIG!W2486=0,"",ORIG!W2486)</f>
        <v/>
      </c>
      <c r="X2486" s="9">
        <f>IF(ORIG!X2486=0,"",ORIG!X2486)</f>
        <v/>
      </c>
      <c r="Y2486" s="9">
        <f>IF(ORIG!Y2486=0,"",ORIG!Y2486)</f>
        <v/>
      </c>
      <c r="Z2486" s="3">
        <f>SUMPRODUCT($B2486:$Y2486,$B$2649:$Y$2649)</f>
        <v/>
      </c>
      <c r="AA2486" s="3">
        <f>SUMPRODUCT($B2486:$Y2486,$B$2655:$Y$2655)</f>
        <v/>
      </c>
      <c r="AC2486" s="1">
        <f>A2486</f>
        <v/>
      </c>
      <c r="AD2486">
        <f>IF(ISNUMBER(V2486),V2486*($AB$1/V$2635),"")</f>
        <v/>
      </c>
      <c r="AE2486">
        <f>IF(ISNUMBER(Z2486),Z2486*($AB$1/Z$2635),"")</f>
        <v/>
      </c>
      <c r="AF2486" s="25">
        <f>IF(ISNUMBER(AD2486+AE2486),AD2486+AE2486,"")</f>
        <v/>
      </c>
      <c r="AH2486" s="1">
        <f>A2486</f>
        <v/>
      </c>
      <c r="AI2486">
        <f>IF(ISNUMBER((1+V2486)*AI2485),(1+V2486)*AI2485,AI2485)</f>
        <v/>
      </c>
      <c r="AJ2486">
        <f>IF(ISNUMBER((1+Z2486)*AJ2485),(1+Z2486)*AJ2485,AJ2485)</f>
        <v/>
      </c>
    </row>
    <row r="2487">
      <c r="A2487" s="1" t="n">
        <v>45610</v>
      </c>
      <c r="B2487" s="3">
        <f>IF(ORIG!B2487=0,"",ORIG!B2487)</f>
        <v/>
      </c>
      <c r="C2487" s="3">
        <f>IF(ORIG!C2487=0,"",ORIG!C2487)</f>
        <v/>
      </c>
      <c r="D2487" s="3">
        <f>IF(ORIG!D2487=0,"",ORIG!D2487)</f>
        <v/>
      </c>
      <c r="E2487" s="3">
        <f>IF(ORIG!E2487=0,"",ORIG!E2487)</f>
        <v/>
      </c>
      <c r="F2487" s="3">
        <f>IF(ORIG!F2487=0,"",ORIG!F2487)</f>
        <v/>
      </c>
      <c r="G2487" s="3">
        <f>IF(ORIG!G2487=0,"",ORIG!G2487)</f>
        <v/>
      </c>
      <c r="H2487" s="3">
        <f>IF(ORIG!H2487=0,"",ORIG!H2487)</f>
        <v/>
      </c>
      <c r="I2487" s="3">
        <f>IF(ORIG!I2487=0,"",ORIG!I2487)</f>
        <v/>
      </c>
      <c r="J2487" s="3">
        <f>IF(ORIG!J2487=0,"",ORIG!J2487)</f>
        <v/>
      </c>
      <c r="K2487" s="3">
        <f>IF(ORIG!K2487=0,"",ORIG!K2487)</f>
        <v/>
      </c>
      <c r="L2487" s="3">
        <f>IF(ORIG!L2487=0,"",ORIG!L2487)</f>
        <v/>
      </c>
      <c r="M2487" s="3">
        <f>IF(ORIG!M2487=0,"",ORIG!M2487)</f>
        <v/>
      </c>
      <c r="N2487" s="3">
        <f>IF(ORIG!N2487=0,"",ORIG!N2487)</f>
        <v/>
      </c>
      <c r="O2487" s="3">
        <f>IF(ORIG!O2487=0,"",ORIG!O2487)</f>
        <v/>
      </c>
      <c r="P2487" s="3">
        <f>IF(ORIG!P2487=0,"",ORIG!P2487)</f>
        <v/>
      </c>
      <c r="Q2487" s="3">
        <f>IF(ORIG!Q2487=0,"",ORIG!Q2487)</f>
        <v/>
      </c>
      <c r="R2487" s="3">
        <f>IF(ORIG!R2487=0,"",ORIG!R2487)</f>
        <v/>
      </c>
      <c r="S2487" s="3">
        <f>IF(ORIG!S2487=0,"",ORIG!S2487)</f>
        <v/>
      </c>
      <c r="T2487" s="3">
        <f>IF(ORIG!T2487=0,"",ORIG!T2487)</f>
        <v/>
      </c>
      <c r="U2487" s="3">
        <f>IF(ORIG!U2487=0,"",ORIG!U2487)</f>
        <v/>
      </c>
      <c r="V2487" s="9">
        <f>IF(ORIG!V2487=0,"",ORIG!V2487)</f>
        <v/>
      </c>
      <c r="W2487" s="9">
        <f>IF(ORIG!W2487=0,"",ORIG!W2487)</f>
        <v/>
      </c>
      <c r="X2487" s="9">
        <f>IF(ORIG!X2487=0,"",ORIG!X2487)</f>
        <v/>
      </c>
      <c r="Y2487" s="9">
        <f>IF(ORIG!Y2487=0,"",ORIG!Y2487)</f>
        <v/>
      </c>
      <c r="Z2487" s="3">
        <f>SUMPRODUCT($B2487:$Y2487,$B$2649:$Y$2649)</f>
        <v/>
      </c>
      <c r="AA2487" s="3">
        <f>SUMPRODUCT($B2487:$Y2487,$B$2655:$Y$2655)</f>
        <v/>
      </c>
      <c r="AC2487" s="1">
        <f>A2487</f>
        <v/>
      </c>
      <c r="AD2487">
        <f>IF(ISNUMBER(V2487),V2487*($AB$1/V$2635),"")</f>
        <v/>
      </c>
      <c r="AE2487">
        <f>IF(ISNUMBER(Z2487),Z2487*($AB$1/Z$2635),"")</f>
        <v/>
      </c>
      <c r="AF2487" s="25">
        <f>IF(ISNUMBER(AD2487+AE2487),AD2487+AE2487,"")</f>
        <v/>
      </c>
      <c r="AH2487" s="1">
        <f>A2487</f>
        <v/>
      </c>
      <c r="AI2487">
        <f>IF(ISNUMBER((1+V2487)*AI2486),(1+V2487)*AI2486,AI2486)</f>
        <v/>
      </c>
      <c r="AJ2487">
        <f>IF(ISNUMBER((1+Z2487)*AJ2486),(1+Z2487)*AJ2486,AJ2486)</f>
        <v/>
      </c>
    </row>
    <row r="2488">
      <c r="A2488" s="1" t="n">
        <v>45611</v>
      </c>
      <c r="B2488" s="3">
        <f>IF(ORIG!B2488=0,"",ORIG!B2488)</f>
        <v/>
      </c>
      <c r="C2488" s="3">
        <f>IF(ORIG!C2488=0,"",ORIG!C2488)</f>
        <v/>
      </c>
      <c r="D2488" s="3">
        <f>IF(ORIG!D2488=0,"",ORIG!D2488)</f>
        <v/>
      </c>
      <c r="E2488" s="3">
        <f>IF(ORIG!E2488=0,"",ORIG!E2488)</f>
        <v/>
      </c>
      <c r="F2488" s="3">
        <f>IF(ORIG!F2488=0,"",ORIG!F2488)</f>
        <v/>
      </c>
      <c r="G2488" s="3">
        <f>IF(ORIG!G2488=0,"",ORIG!G2488)</f>
        <v/>
      </c>
      <c r="H2488" s="3">
        <f>IF(ORIG!H2488=0,"",ORIG!H2488)</f>
        <v/>
      </c>
      <c r="I2488" s="3">
        <f>IF(ORIG!I2488=0,"",ORIG!I2488)</f>
        <v/>
      </c>
      <c r="J2488" s="3">
        <f>IF(ORIG!J2488=0,"",ORIG!J2488)</f>
        <v/>
      </c>
      <c r="K2488" s="3">
        <f>IF(ORIG!K2488=0,"",ORIG!K2488)</f>
        <v/>
      </c>
      <c r="L2488" s="3">
        <f>IF(ORIG!L2488=0,"",ORIG!L2488)</f>
        <v/>
      </c>
      <c r="M2488" s="3">
        <f>IF(ORIG!M2488=0,"",ORIG!M2488)</f>
        <v/>
      </c>
      <c r="N2488" s="3">
        <f>IF(ORIG!N2488=0,"",ORIG!N2488)</f>
        <v/>
      </c>
      <c r="O2488" s="3">
        <f>IF(ORIG!O2488=0,"",ORIG!O2488)</f>
        <v/>
      </c>
      <c r="P2488" s="3">
        <f>IF(ORIG!P2488=0,"",ORIG!P2488)</f>
        <v/>
      </c>
      <c r="Q2488" s="3">
        <f>IF(ORIG!Q2488=0,"",ORIG!Q2488)</f>
        <v/>
      </c>
      <c r="R2488" s="3">
        <f>IF(ORIG!R2488=0,"",ORIG!R2488)</f>
        <v/>
      </c>
      <c r="S2488" s="3">
        <f>IF(ORIG!S2488=0,"",ORIG!S2488)</f>
        <v/>
      </c>
      <c r="T2488" s="3">
        <f>IF(ORIG!T2488=0,"",ORIG!T2488)</f>
        <v/>
      </c>
      <c r="U2488" s="3">
        <f>IF(ORIG!U2488=0,"",ORIG!U2488)</f>
        <v/>
      </c>
      <c r="V2488" s="9">
        <f>IF(ORIG!V2488=0,"",ORIG!V2488)</f>
        <v/>
      </c>
      <c r="W2488" s="9">
        <f>IF(ORIG!W2488=0,"",ORIG!W2488)</f>
        <v/>
      </c>
      <c r="X2488" s="9">
        <f>IF(ORIG!X2488=0,"",ORIG!X2488)</f>
        <v/>
      </c>
      <c r="Y2488" s="9">
        <f>IF(ORIG!Y2488=0,"",ORIG!Y2488)</f>
        <v/>
      </c>
      <c r="Z2488" s="3">
        <f>SUMPRODUCT($B2488:$Y2488,$B$2649:$Y$2649)</f>
        <v/>
      </c>
      <c r="AA2488" s="3">
        <f>SUMPRODUCT($B2488:$Y2488,$B$2655:$Y$2655)</f>
        <v/>
      </c>
      <c r="AC2488" s="1">
        <f>A2488</f>
        <v/>
      </c>
      <c r="AD2488">
        <f>IF(ISNUMBER(V2488),V2488*($AB$1/V$2635),"")</f>
        <v/>
      </c>
      <c r="AE2488">
        <f>IF(ISNUMBER(Z2488),Z2488*($AB$1/Z$2635),"")</f>
        <v/>
      </c>
      <c r="AF2488" s="25">
        <f>IF(ISNUMBER(AD2488+AE2488),AD2488+AE2488,"")</f>
        <v/>
      </c>
      <c r="AH2488" s="1">
        <f>A2488</f>
        <v/>
      </c>
      <c r="AI2488">
        <f>IF(ISNUMBER((1+V2488)*AI2487),(1+V2488)*AI2487,AI2487)</f>
        <v/>
      </c>
      <c r="AJ2488">
        <f>IF(ISNUMBER((1+Z2488)*AJ2487),(1+Z2488)*AJ2487,AJ2487)</f>
        <v/>
      </c>
    </row>
    <row r="2489">
      <c r="A2489" s="1" t="n">
        <v>45614</v>
      </c>
      <c r="B2489" s="3">
        <f>IF(ORIG!B2489=0,"",ORIG!B2489)</f>
        <v/>
      </c>
      <c r="C2489" s="3">
        <f>IF(ORIG!C2489=0,"",ORIG!C2489)</f>
        <v/>
      </c>
      <c r="D2489" s="3">
        <f>IF(ORIG!D2489=0,"",ORIG!D2489)</f>
        <v/>
      </c>
      <c r="E2489" s="3">
        <f>IF(ORIG!E2489=0,"",ORIG!E2489)</f>
        <v/>
      </c>
      <c r="F2489" s="3">
        <f>IF(ORIG!F2489=0,"",ORIG!F2489)</f>
        <v/>
      </c>
      <c r="G2489" s="3">
        <f>IF(ORIG!G2489=0,"",ORIG!G2489)</f>
        <v/>
      </c>
      <c r="H2489" s="3">
        <f>IF(ORIG!H2489=0,"",ORIG!H2489)</f>
        <v/>
      </c>
      <c r="I2489" s="3">
        <f>IF(ORIG!I2489=0,"",ORIG!I2489)</f>
        <v/>
      </c>
      <c r="J2489" s="3">
        <f>IF(ORIG!J2489=0,"",ORIG!J2489)</f>
        <v/>
      </c>
      <c r="K2489" s="3">
        <f>IF(ORIG!K2489=0,"",ORIG!K2489)</f>
        <v/>
      </c>
      <c r="L2489" s="3">
        <f>IF(ORIG!L2489=0,"",ORIG!L2489)</f>
        <v/>
      </c>
      <c r="M2489" s="3">
        <f>IF(ORIG!M2489=0,"",ORIG!M2489)</f>
        <v/>
      </c>
      <c r="N2489" s="3">
        <f>IF(ORIG!N2489=0,"",ORIG!N2489)</f>
        <v/>
      </c>
      <c r="O2489" s="3">
        <f>IF(ORIG!O2489=0,"",ORIG!O2489)</f>
        <v/>
      </c>
      <c r="P2489" s="3">
        <f>IF(ORIG!P2489=0,"",ORIG!P2489)</f>
        <v/>
      </c>
      <c r="Q2489" s="3">
        <f>IF(ORIG!Q2489=0,"",ORIG!Q2489)</f>
        <v/>
      </c>
      <c r="R2489" s="3">
        <f>IF(ORIG!R2489=0,"",ORIG!R2489)</f>
        <v/>
      </c>
      <c r="S2489" s="3">
        <f>IF(ORIG!S2489=0,"",ORIG!S2489)</f>
        <v/>
      </c>
      <c r="T2489" s="3">
        <f>IF(ORIG!T2489=0,"",ORIG!T2489)</f>
        <v/>
      </c>
      <c r="U2489" s="3">
        <f>IF(ORIG!U2489=0,"",ORIG!U2489)</f>
        <v/>
      </c>
      <c r="V2489" s="9">
        <f>IF(ORIG!V2489=0,"",ORIG!V2489)</f>
        <v/>
      </c>
      <c r="W2489" s="9">
        <f>IF(ORIG!W2489=0,"",ORIG!W2489)</f>
        <v/>
      </c>
      <c r="X2489" s="9">
        <f>IF(ORIG!X2489=0,"",ORIG!X2489)</f>
        <v/>
      </c>
      <c r="Y2489" s="9">
        <f>IF(ORIG!Y2489=0,"",ORIG!Y2489)</f>
        <v/>
      </c>
      <c r="Z2489" s="3">
        <f>SUMPRODUCT($B2489:$Y2489,$B$2649:$Y$2649)</f>
        <v/>
      </c>
      <c r="AA2489" s="3">
        <f>SUMPRODUCT($B2489:$Y2489,$B$2655:$Y$2655)</f>
        <v/>
      </c>
      <c r="AC2489" s="1">
        <f>A2489</f>
        <v/>
      </c>
      <c r="AD2489">
        <f>IF(ISNUMBER(V2489),V2489*($AB$1/V$2635),"")</f>
        <v/>
      </c>
      <c r="AE2489">
        <f>IF(ISNUMBER(Z2489),Z2489*($AB$1/Z$2635),"")</f>
        <v/>
      </c>
      <c r="AF2489" s="25">
        <f>IF(ISNUMBER(AD2489+AE2489),AD2489+AE2489,"")</f>
        <v/>
      </c>
      <c r="AH2489" s="1">
        <f>A2489</f>
        <v/>
      </c>
      <c r="AI2489">
        <f>IF(ISNUMBER((1+V2489)*AI2488),(1+V2489)*AI2488,AI2488)</f>
        <v/>
      </c>
      <c r="AJ2489">
        <f>IF(ISNUMBER((1+Z2489)*AJ2488),(1+Z2489)*AJ2488,AJ2488)</f>
        <v/>
      </c>
    </row>
    <row r="2490">
      <c r="A2490" s="1" t="n">
        <v>45615</v>
      </c>
      <c r="B2490" s="3">
        <f>IF(ORIG!B2490=0,"",ORIG!B2490)</f>
        <v/>
      </c>
      <c r="C2490" s="3">
        <f>IF(ORIG!C2490=0,"",ORIG!C2490)</f>
        <v/>
      </c>
      <c r="D2490" s="3">
        <f>IF(ORIG!D2490=0,"",ORIG!D2490)</f>
        <v/>
      </c>
      <c r="E2490" s="3">
        <f>IF(ORIG!E2490=0,"",ORIG!E2490)</f>
        <v/>
      </c>
      <c r="F2490" s="3">
        <f>IF(ORIG!F2490=0,"",ORIG!F2490)</f>
        <v/>
      </c>
      <c r="G2490" s="3">
        <f>IF(ORIG!G2490=0,"",ORIG!G2490)</f>
        <v/>
      </c>
      <c r="H2490" s="3">
        <f>IF(ORIG!H2490=0,"",ORIG!H2490)</f>
        <v/>
      </c>
      <c r="I2490" s="3">
        <f>IF(ORIG!I2490=0,"",ORIG!I2490)</f>
        <v/>
      </c>
      <c r="J2490" s="3">
        <f>IF(ORIG!J2490=0,"",ORIG!J2490)</f>
        <v/>
      </c>
      <c r="K2490" s="3">
        <f>IF(ORIG!K2490=0,"",ORIG!K2490)</f>
        <v/>
      </c>
      <c r="L2490" s="3">
        <f>IF(ORIG!L2490=0,"",ORIG!L2490)</f>
        <v/>
      </c>
      <c r="M2490" s="3">
        <f>IF(ORIG!M2490=0,"",ORIG!M2490)</f>
        <v/>
      </c>
      <c r="N2490" s="3">
        <f>IF(ORIG!N2490=0,"",ORIG!N2490)</f>
        <v/>
      </c>
      <c r="O2490" s="3">
        <f>IF(ORIG!O2490=0,"",ORIG!O2490)</f>
        <v/>
      </c>
      <c r="P2490" s="3">
        <f>IF(ORIG!P2490=0,"",ORIG!P2490)</f>
        <v/>
      </c>
      <c r="Q2490" s="3">
        <f>IF(ORIG!Q2490=0,"",ORIG!Q2490)</f>
        <v/>
      </c>
      <c r="R2490" s="3">
        <f>IF(ORIG!R2490=0,"",ORIG!R2490)</f>
        <v/>
      </c>
      <c r="S2490" s="3">
        <f>IF(ORIG!S2490=0,"",ORIG!S2490)</f>
        <v/>
      </c>
      <c r="T2490" s="3">
        <f>IF(ORIG!T2490=0,"",ORIG!T2490)</f>
        <v/>
      </c>
      <c r="U2490" s="3">
        <f>IF(ORIG!U2490=0,"",ORIG!U2490)</f>
        <v/>
      </c>
      <c r="V2490" s="9">
        <f>IF(ORIG!V2490=0,"",ORIG!V2490)</f>
        <v/>
      </c>
      <c r="W2490" s="9">
        <f>IF(ORIG!W2490=0,"",ORIG!W2490)</f>
        <v/>
      </c>
      <c r="X2490" s="9">
        <f>IF(ORIG!X2490=0,"",ORIG!X2490)</f>
        <v/>
      </c>
      <c r="Y2490" s="9">
        <f>IF(ORIG!Y2490=0,"",ORIG!Y2490)</f>
        <v/>
      </c>
      <c r="Z2490" s="3">
        <f>SUMPRODUCT($B2490:$Y2490,$B$2649:$Y$2649)</f>
        <v/>
      </c>
      <c r="AA2490" s="3">
        <f>SUMPRODUCT($B2490:$Y2490,$B$2655:$Y$2655)</f>
        <v/>
      </c>
      <c r="AC2490" s="1">
        <f>A2490</f>
        <v/>
      </c>
      <c r="AD2490">
        <f>IF(ISNUMBER(V2490),V2490*($AB$1/V$2635),"")</f>
        <v/>
      </c>
      <c r="AE2490">
        <f>IF(ISNUMBER(Z2490),Z2490*($AB$1/Z$2635),"")</f>
        <v/>
      </c>
      <c r="AF2490" s="25">
        <f>IF(ISNUMBER(AD2490+AE2490),AD2490+AE2490,"")</f>
        <v/>
      </c>
      <c r="AH2490" s="1">
        <f>A2490</f>
        <v/>
      </c>
      <c r="AI2490">
        <f>IF(ISNUMBER((1+V2490)*AI2489),(1+V2490)*AI2489,AI2489)</f>
        <v/>
      </c>
      <c r="AJ2490">
        <f>IF(ISNUMBER((1+Z2490)*AJ2489),(1+Z2490)*AJ2489,AJ2489)</f>
        <v/>
      </c>
    </row>
    <row r="2491">
      <c r="A2491" s="1" t="n">
        <v>45616</v>
      </c>
      <c r="B2491" s="3">
        <f>IF(ORIG!B2491=0,"",ORIG!B2491)</f>
        <v/>
      </c>
      <c r="C2491" s="3">
        <f>IF(ORIG!C2491=0,"",ORIG!C2491)</f>
        <v/>
      </c>
      <c r="D2491" s="3">
        <f>IF(ORIG!D2491=0,"",ORIG!D2491)</f>
        <v/>
      </c>
      <c r="E2491" s="3">
        <f>IF(ORIG!E2491=0,"",ORIG!E2491)</f>
        <v/>
      </c>
      <c r="F2491" s="3">
        <f>IF(ORIG!F2491=0,"",ORIG!F2491)</f>
        <v/>
      </c>
      <c r="G2491" s="3">
        <f>IF(ORIG!G2491=0,"",ORIG!G2491)</f>
        <v/>
      </c>
      <c r="H2491" s="3">
        <f>IF(ORIG!H2491=0,"",ORIG!H2491)</f>
        <v/>
      </c>
      <c r="I2491" s="3">
        <f>IF(ORIG!I2491=0,"",ORIG!I2491)</f>
        <v/>
      </c>
      <c r="J2491" s="3">
        <f>IF(ORIG!J2491=0,"",ORIG!J2491)</f>
        <v/>
      </c>
      <c r="K2491" s="3">
        <f>IF(ORIG!K2491=0,"",ORIG!K2491)</f>
        <v/>
      </c>
      <c r="L2491" s="3">
        <f>IF(ORIG!L2491=0,"",ORIG!L2491)</f>
        <v/>
      </c>
      <c r="M2491" s="3">
        <f>IF(ORIG!M2491=0,"",ORIG!M2491)</f>
        <v/>
      </c>
      <c r="N2491" s="3">
        <f>IF(ORIG!N2491=0,"",ORIG!N2491)</f>
        <v/>
      </c>
      <c r="O2491" s="3">
        <f>IF(ORIG!O2491=0,"",ORIG!O2491)</f>
        <v/>
      </c>
      <c r="P2491" s="3">
        <f>IF(ORIG!P2491=0,"",ORIG!P2491)</f>
        <v/>
      </c>
      <c r="Q2491" s="3">
        <f>IF(ORIG!Q2491=0,"",ORIG!Q2491)</f>
        <v/>
      </c>
      <c r="R2491" s="3">
        <f>IF(ORIG!R2491=0,"",ORIG!R2491)</f>
        <v/>
      </c>
      <c r="S2491" s="3">
        <f>IF(ORIG!S2491=0,"",ORIG!S2491)</f>
        <v/>
      </c>
      <c r="T2491" s="3">
        <f>IF(ORIG!T2491=0,"",ORIG!T2491)</f>
        <v/>
      </c>
      <c r="U2491" s="3">
        <f>IF(ORIG!U2491=0,"",ORIG!U2491)</f>
        <v/>
      </c>
      <c r="V2491" s="9">
        <f>IF(ORIG!V2491=0,"",ORIG!V2491)</f>
        <v/>
      </c>
      <c r="W2491" s="9">
        <f>IF(ORIG!W2491=0,"",ORIG!W2491)</f>
        <v/>
      </c>
      <c r="X2491" s="9">
        <f>IF(ORIG!X2491=0,"",ORIG!X2491)</f>
        <v/>
      </c>
      <c r="Y2491" s="9">
        <f>IF(ORIG!Y2491=0,"",ORIG!Y2491)</f>
        <v/>
      </c>
      <c r="Z2491" s="3">
        <f>SUMPRODUCT($B2491:$Y2491,$B$2649:$Y$2649)</f>
        <v/>
      </c>
      <c r="AA2491" s="3">
        <f>SUMPRODUCT($B2491:$Y2491,$B$2655:$Y$2655)</f>
        <v/>
      </c>
      <c r="AC2491" s="1">
        <f>A2491</f>
        <v/>
      </c>
      <c r="AD2491">
        <f>IF(ISNUMBER(V2491),V2491*($AB$1/V$2635),"")</f>
        <v/>
      </c>
      <c r="AE2491">
        <f>IF(ISNUMBER(Z2491),Z2491*($AB$1/Z$2635),"")</f>
        <v/>
      </c>
      <c r="AF2491" s="25">
        <f>IF(ISNUMBER(AD2491+AE2491),AD2491+AE2491,"")</f>
        <v/>
      </c>
      <c r="AH2491" s="1">
        <f>A2491</f>
        <v/>
      </c>
      <c r="AI2491">
        <f>IF(ISNUMBER((1+V2491)*AI2490),(1+V2491)*AI2490,AI2490)</f>
        <v/>
      </c>
      <c r="AJ2491">
        <f>IF(ISNUMBER((1+Z2491)*AJ2490),(1+Z2491)*AJ2490,AJ2490)</f>
        <v/>
      </c>
    </row>
    <row r="2492">
      <c r="A2492" s="1" t="n">
        <v>45617</v>
      </c>
      <c r="B2492" s="3">
        <f>IF(ORIG!B2492=0,"",ORIG!B2492)</f>
        <v/>
      </c>
      <c r="C2492" s="3">
        <f>IF(ORIG!C2492=0,"",ORIG!C2492)</f>
        <v/>
      </c>
      <c r="D2492" s="3">
        <f>IF(ORIG!D2492=0,"",ORIG!D2492)</f>
        <v/>
      </c>
      <c r="E2492" s="3">
        <f>IF(ORIG!E2492=0,"",ORIG!E2492)</f>
        <v/>
      </c>
      <c r="F2492" s="3">
        <f>IF(ORIG!F2492=0,"",ORIG!F2492)</f>
        <v/>
      </c>
      <c r="G2492" s="3">
        <f>IF(ORIG!G2492=0,"",ORIG!G2492)</f>
        <v/>
      </c>
      <c r="H2492" s="3">
        <f>IF(ORIG!H2492=0,"",ORIG!H2492)</f>
        <v/>
      </c>
      <c r="I2492" s="3">
        <f>IF(ORIG!I2492=0,"",ORIG!I2492)</f>
        <v/>
      </c>
      <c r="J2492" s="3">
        <f>IF(ORIG!J2492=0,"",ORIG!J2492)</f>
        <v/>
      </c>
      <c r="K2492" s="3">
        <f>IF(ORIG!K2492=0,"",ORIG!K2492)</f>
        <v/>
      </c>
      <c r="L2492" s="3">
        <f>IF(ORIG!L2492=0,"",ORIG!L2492)</f>
        <v/>
      </c>
      <c r="M2492" s="3">
        <f>IF(ORIG!M2492=0,"",ORIG!M2492)</f>
        <v/>
      </c>
      <c r="N2492" s="3">
        <f>IF(ORIG!N2492=0,"",ORIG!N2492)</f>
        <v/>
      </c>
      <c r="O2492" s="3">
        <f>IF(ORIG!O2492=0,"",ORIG!O2492)</f>
        <v/>
      </c>
      <c r="P2492" s="3">
        <f>IF(ORIG!P2492=0,"",ORIG!P2492)</f>
        <v/>
      </c>
      <c r="Q2492" s="3">
        <f>IF(ORIG!Q2492=0,"",ORIG!Q2492)</f>
        <v/>
      </c>
      <c r="R2492" s="3">
        <f>IF(ORIG!R2492=0,"",ORIG!R2492)</f>
        <v/>
      </c>
      <c r="S2492" s="3">
        <f>IF(ORIG!S2492=0,"",ORIG!S2492)</f>
        <v/>
      </c>
      <c r="T2492" s="3">
        <f>IF(ORIG!T2492=0,"",ORIG!T2492)</f>
        <v/>
      </c>
      <c r="U2492" s="3">
        <f>IF(ORIG!U2492=0,"",ORIG!U2492)</f>
        <v/>
      </c>
      <c r="V2492" s="9">
        <f>IF(ORIG!V2492=0,"",ORIG!V2492)</f>
        <v/>
      </c>
      <c r="W2492" s="9">
        <f>IF(ORIG!W2492=0,"",ORIG!W2492)</f>
        <v/>
      </c>
      <c r="X2492" s="9">
        <f>IF(ORIG!X2492=0,"",ORIG!X2492)</f>
        <v/>
      </c>
      <c r="Y2492" s="9">
        <f>IF(ORIG!Y2492=0,"",ORIG!Y2492)</f>
        <v/>
      </c>
      <c r="Z2492" s="3">
        <f>SUMPRODUCT($B2492:$Y2492,$B$2649:$Y$2649)</f>
        <v/>
      </c>
      <c r="AA2492" s="3">
        <f>SUMPRODUCT($B2492:$Y2492,$B$2655:$Y$2655)</f>
        <v/>
      </c>
      <c r="AC2492" s="1">
        <f>A2492</f>
        <v/>
      </c>
      <c r="AD2492">
        <f>IF(ISNUMBER(V2492),V2492*($AB$1/V$2635),"")</f>
        <v/>
      </c>
      <c r="AE2492">
        <f>IF(ISNUMBER(Z2492),Z2492*($AB$1/Z$2635),"")</f>
        <v/>
      </c>
      <c r="AF2492" s="25">
        <f>IF(ISNUMBER(AD2492+AE2492),AD2492+AE2492,"")</f>
        <v/>
      </c>
      <c r="AH2492" s="1">
        <f>A2492</f>
        <v/>
      </c>
      <c r="AI2492">
        <f>IF(ISNUMBER((1+V2492)*AI2491),(1+V2492)*AI2491,AI2491)</f>
        <v/>
      </c>
      <c r="AJ2492">
        <f>IF(ISNUMBER((1+Z2492)*AJ2491),(1+Z2492)*AJ2491,AJ2491)</f>
        <v/>
      </c>
    </row>
    <row r="2493">
      <c r="A2493" s="1" t="n">
        <v>45618</v>
      </c>
      <c r="B2493" s="3">
        <f>IF(ORIG!B2493=0,"",ORIG!B2493)</f>
        <v/>
      </c>
      <c r="C2493" s="3">
        <f>IF(ORIG!C2493=0,"",ORIG!C2493)</f>
        <v/>
      </c>
      <c r="D2493" s="3">
        <f>IF(ORIG!D2493=0,"",ORIG!D2493)</f>
        <v/>
      </c>
      <c r="E2493" s="3">
        <f>IF(ORIG!E2493=0,"",ORIG!E2493)</f>
        <v/>
      </c>
      <c r="F2493" s="3">
        <f>IF(ORIG!F2493=0,"",ORIG!F2493)</f>
        <v/>
      </c>
      <c r="G2493" s="3">
        <f>IF(ORIG!G2493=0,"",ORIG!G2493)</f>
        <v/>
      </c>
      <c r="H2493" s="3">
        <f>IF(ORIG!H2493=0,"",ORIG!H2493)</f>
        <v/>
      </c>
      <c r="I2493" s="3">
        <f>IF(ORIG!I2493=0,"",ORIG!I2493)</f>
        <v/>
      </c>
      <c r="J2493" s="3">
        <f>IF(ORIG!J2493=0,"",ORIG!J2493)</f>
        <v/>
      </c>
      <c r="K2493" s="3">
        <f>IF(ORIG!K2493=0,"",ORIG!K2493)</f>
        <v/>
      </c>
      <c r="L2493" s="3">
        <f>IF(ORIG!L2493=0,"",ORIG!L2493)</f>
        <v/>
      </c>
      <c r="M2493" s="3">
        <f>IF(ORIG!M2493=0,"",ORIG!M2493)</f>
        <v/>
      </c>
      <c r="N2493" s="3">
        <f>IF(ORIG!N2493=0,"",ORIG!N2493)</f>
        <v/>
      </c>
      <c r="O2493" s="3">
        <f>IF(ORIG!O2493=0,"",ORIG!O2493)</f>
        <v/>
      </c>
      <c r="P2493" s="3">
        <f>IF(ORIG!P2493=0,"",ORIG!P2493)</f>
        <v/>
      </c>
      <c r="Q2493" s="3">
        <f>IF(ORIG!Q2493=0,"",ORIG!Q2493)</f>
        <v/>
      </c>
      <c r="R2493" s="3">
        <f>IF(ORIG!R2493=0,"",ORIG!R2493)</f>
        <v/>
      </c>
      <c r="S2493" s="3">
        <f>IF(ORIG!S2493=0,"",ORIG!S2493)</f>
        <v/>
      </c>
      <c r="T2493" s="3">
        <f>IF(ORIG!T2493=0,"",ORIG!T2493)</f>
        <v/>
      </c>
      <c r="U2493" s="3">
        <f>IF(ORIG!U2493=0,"",ORIG!U2493)</f>
        <v/>
      </c>
      <c r="V2493" s="9">
        <f>IF(ORIG!V2493=0,"",ORIG!V2493)</f>
        <v/>
      </c>
      <c r="W2493" s="9">
        <f>IF(ORIG!W2493=0,"",ORIG!W2493)</f>
        <v/>
      </c>
      <c r="X2493" s="9">
        <f>IF(ORIG!X2493=0,"",ORIG!X2493)</f>
        <v/>
      </c>
      <c r="Y2493" s="9">
        <f>IF(ORIG!Y2493=0,"",ORIG!Y2493)</f>
        <v/>
      </c>
      <c r="Z2493" s="3">
        <f>SUMPRODUCT($B2493:$Y2493,$B$2649:$Y$2649)</f>
        <v/>
      </c>
      <c r="AA2493" s="3">
        <f>SUMPRODUCT($B2493:$Y2493,$B$2655:$Y$2655)</f>
        <v/>
      </c>
      <c r="AC2493" s="1">
        <f>A2493</f>
        <v/>
      </c>
      <c r="AD2493">
        <f>IF(ISNUMBER(V2493),V2493*($AB$1/V$2635),"")</f>
        <v/>
      </c>
      <c r="AE2493">
        <f>IF(ISNUMBER(Z2493),Z2493*($AB$1/Z$2635),"")</f>
        <v/>
      </c>
      <c r="AF2493" s="25">
        <f>IF(ISNUMBER(AD2493+AE2493),AD2493+AE2493,"")</f>
        <v/>
      </c>
      <c r="AH2493" s="1">
        <f>A2493</f>
        <v/>
      </c>
      <c r="AI2493">
        <f>IF(ISNUMBER((1+V2493)*AI2492),(1+V2493)*AI2492,AI2492)</f>
        <v/>
      </c>
      <c r="AJ2493">
        <f>IF(ISNUMBER((1+Z2493)*AJ2492),(1+Z2493)*AJ2492,AJ2492)</f>
        <v/>
      </c>
    </row>
    <row r="2494">
      <c r="A2494" s="1" t="n">
        <v>45621</v>
      </c>
      <c r="B2494" s="3">
        <f>IF(ORIG!B2494=0,"",ORIG!B2494)</f>
        <v/>
      </c>
      <c r="C2494" s="3">
        <f>IF(ORIG!C2494=0,"",ORIG!C2494)</f>
        <v/>
      </c>
      <c r="D2494" s="3">
        <f>IF(ORIG!D2494=0,"",ORIG!D2494)</f>
        <v/>
      </c>
      <c r="E2494" s="3">
        <f>IF(ORIG!E2494=0,"",ORIG!E2494)</f>
        <v/>
      </c>
      <c r="F2494" s="3">
        <f>IF(ORIG!F2494=0,"",ORIG!F2494)</f>
        <v/>
      </c>
      <c r="G2494" s="3">
        <f>IF(ORIG!G2494=0,"",ORIG!G2494)</f>
        <v/>
      </c>
      <c r="H2494" s="3">
        <f>IF(ORIG!H2494=0,"",ORIG!H2494)</f>
        <v/>
      </c>
      <c r="I2494" s="3">
        <f>IF(ORIG!I2494=0,"",ORIG!I2494)</f>
        <v/>
      </c>
      <c r="J2494" s="3">
        <f>IF(ORIG!J2494=0,"",ORIG!J2494)</f>
        <v/>
      </c>
      <c r="K2494" s="3">
        <f>IF(ORIG!K2494=0,"",ORIG!K2494)</f>
        <v/>
      </c>
      <c r="L2494" s="3">
        <f>IF(ORIG!L2494=0,"",ORIG!L2494)</f>
        <v/>
      </c>
      <c r="M2494" s="3">
        <f>IF(ORIG!M2494=0,"",ORIG!M2494)</f>
        <v/>
      </c>
      <c r="N2494" s="3">
        <f>IF(ORIG!N2494=0,"",ORIG!N2494)</f>
        <v/>
      </c>
      <c r="O2494" s="3">
        <f>IF(ORIG!O2494=0,"",ORIG!O2494)</f>
        <v/>
      </c>
      <c r="P2494" s="3">
        <f>IF(ORIG!P2494=0,"",ORIG!P2494)</f>
        <v/>
      </c>
      <c r="Q2494" s="3">
        <f>IF(ORIG!Q2494=0,"",ORIG!Q2494)</f>
        <v/>
      </c>
      <c r="R2494" s="3">
        <f>IF(ORIG!R2494=0,"",ORIG!R2494)</f>
        <v/>
      </c>
      <c r="S2494" s="3">
        <f>IF(ORIG!S2494=0,"",ORIG!S2494)</f>
        <v/>
      </c>
      <c r="T2494" s="3">
        <f>IF(ORIG!T2494=0,"",ORIG!T2494)</f>
        <v/>
      </c>
      <c r="U2494" s="3">
        <f>IF(ORIG!U2494=0,"",ORIG!U2494)</f>
        <v/>
      </c>
      <c r="V2494" s="9">
        <f>IF(ORIG!V2494=0,"",ORIG!V2494)</f>
        <v/>
      </c>
      <c r="W2494" s="9">
        <f>IF(ORIG!W2494=0,"",ORIG!W2494)</f>
        <v/>
      </c>
      <c r="X2494" s="9">
        <f>IF(ORIG!X2494=0,"",ORIG!X2494)</f>
        <v/>
      </c>
      <c r="Y2494" s="9">
        <f>IF(ORIG!Y2494=0,"",ORIG!Y2494)</f>
        <v/>
      </c>
      <c r="Z2494" s="3">
        <f>SUMPRODUCT($B2494:$Y2494,$B$2649:$Y$2649)</f>
        <v/>
      </c>
      <c r="AA2494" s="3">
        <f>SUMPRODUCT($B2494:$Y2494,$B$2655:$Y$2655)</f>
        <v/>
      </c>
      <c r="AC2494" s="1">
        <f>A2494</f>
        <v/>
      </c>
      <c r="AD2494">
        <f>IF(ISNUMBER(V2494),V2494*($AB$1/V$2635),"")</f>
        <v/>
      </c>
      <c r="AE2494">
        <f>IF(ISNUMBER(Z2494),Z2494*($AB$1/Z$2635),"")</f>
        <v/>
      </c>
      <c r="AF2494" s="25">
        <f>IF(ISNUMBER(AD2494+AE2494),AD2494+AE2494,"")</f>
        <v/>
      </c>
      <c r="AH2494" s="1">
        <f>A2494</f>
        <v/>
      </c>
      <c r="AI2494">
        <f>IF(ISNUMBER((1+V2494)*AI2493),(1+V2494)*AI2493,AI2493)</f>
        <v/>
      </c>
      <c r="AJ2494">
        <f>IF(ISNUMBER((1+Z2494)*AJ2493),(1+Z2494)*AJ2493,AJ2493)</f>
        <v/>
      </c>
    </row>
    <row r="2495">
      <c r="A2495" s="1" t="n">
        <v>45622</v>
      </c>
      <c r="B2495" s="3">
        <f>IF(ORIG!B2495=0,"",ORIG!B2495)</f>
        <v/>
      </c>
      <c r="C2495" s="3">
        <f>IF(ORIG!C2495=0,"",ORIG!C2495)</f>
        <v/>
      </c>
      <c r="D2495" s="3">
        <f>IF(ORIG!D2495=0,"",ORIG!D2495)</f>
        <v/>
      </c>
      <c r="E2495" s="3">
        <f>IF(ORIG!E2495=0,"",ORIG!E2495)</f>
        <v/>
      </c>
      <c r="F2495" s="3">
        <f>IF(ORIG!F2495=0,"",ORIG!F2495)</f>
        <v/>
      </c>
      <c r="G2495" s="3">
        <f>IF(ORIG!G2495=0,"",ORIG!G2495)</f>
        <v/>
      </c>
      <c r="H2495" s="3">
        <f>IF(ORIG!H2495=0,"",ORIG!H2495)</f>
        <v/>
      </c>
      <c r="I2495" s="3">
        <f>IF(ORIG!I2495=0,"",ORIG!I2495)</f>
        <v/>
      </c>
      <c r="J2495" s="3">
        <f>IF(ORIG!J2495=0,"",ORIG!J2495)</f>
        <v/>
      </c>
      <c r="K2495" s="3">
        <f>IF(ORIG!K2495=0,"",ORIG!K2495)</f>
        <v/>
      </c>
      <c r="L2495" s="3">
        <f>IF(ORIG!L2495=0,"",ORIG!L2495)</f>
        <v/>
      </c>
      <c r="M2495" s="3">
        <f>IF(ORIG!M2495=0,"",ORIG!M2495)</f>
        <v/>
      </c>
      <c r="N2495" s="3">
        <f>IF(ORIG!N2495=0,"",ORIG!N2495)</f>
        <v/>
      </c>
      <c r="O2495" s="3">
        <f>IF(ORIG!O2495=0,"",ORIG!O2495)</f>
        <v/>
      </c>
      <c r="P2495" s="3">
        <f>IF(ORIG!P2495=0,"",ORIG!P2495)</f>
        <v/>
      </c>
      <c r="Q2495" s="3">
        <f>IF(ORIG!Q2495=0,"",ORIG!Q2495)</f>
        <v/>
      </c>
      <c r="R2495" s="3">
        <f>IF(ORIG!R2495=0,"",ORIG!R2495)</f>
        <v/>
      </c>
      <c r="S2495" s="3">
        <f>IF(ORIG!S2495=0,"",ORIG!S2495)</f>
        <v/>
      </c>
      <c r="T2495" s="3">
        <f>IF(ORIG!T2495=0,"",ORIG!T2495)</f>
        <v/>
      </c>
      <c r="U2495" s="3">
        <f>IF(ORIG!U2495=0,"",ORIG!U2495)</f>
        <v/>
      </c>
      <c r="V2495" s="9">
        <f>IF(ORIG!V2495=0,"",ORIG!V2495)</f>
        <v/>
      </c>
      <c r="W2495" s="9">
        <f>IF(ORIG!W2495=0,"",ORIG!W2495)</f>
        <v/>
      </c>
      <c r="X2495" s="9">
        <f>IF(ORIG!X2495=0,"",ORIG!X2495)</f>
        <v/>
      </c>
      <c r="Y2495" s="9">
        <f>IF(ORIG!Y2495=0,"",ORIG!Y2495)</f>
        <v/>
      </c>
      <c r="Z2495" s="3">
        <f>SUMPRODUCT($B2495:$Y2495,$B$2649:$Y$2649)</f>
        <v/>
      </c>
      <c r="AA2495" s="3">
        <f>SUMPRODUCT($B2495:$Y2495,$B$2655:$Y$2655)</f>
        <v/>
      </c>
      <c r="AC2495" s="1">
        <f>A2495</f>
        <v/>
      </c>
      <c r="AD2495">
        <f>IF(ISNUMBER(V2495),V2495*($AB$1/V$2635),"")</f>
        <v/>
      </c>
      <c r="AE2495">
        <f>IF(ISNUMBER(Z2495),Z2495*($AB$1/Z$2635),"")</f>
        <v/>
      </c>
      <c r="AF2495" s="25">
        <f>IF(ISNUMBER(AD2495+AE2495),AD2495+AE2495,"")</f>
        <v/>
      </c>
      <c r="AH2495" s="1">
        <f>A2495</f>
        <v/>
      </c>
      <c r="AI2495">
        <f>IF(ISNUMBER((1+V2495)*AI2494),(1+V2495)*AI2494,AI2494)</f>
        <v/>
      </c>
      <c r="AJ2495">
        <f>IF(ISNUMBER((1+Z2495)*AJ2494),(1+Z2495)*AJ2494,AJ2494)</f>
        <v/>
      </c>
    </row>
    <row r="2496">
      <c r="A2496" s="1" t="n">
        <v>45623</v>
      </c>
      <c r="B2496" s="3">
        <f>IF(ORIG!B2496=0,"",ORIG!B2496)</f>
        <v/>
      </c>
      <c r="C2496" s="3">
        <f>IF(ORIG!C2496=0,"",ORIG!C2496)</f>
        <v/>
      </c>
      <c r="D2496" s="3">
        <f>IF(ORIG!D2496=0,"",ORIG!D2496)</f>
        <v/>
      </c>
      <c r="E2496" s="3">
        <f>IF(ORIG!E2496=0,"",ORIG!E2496)</f>
        <v/>
      </c>
      <c r="F2496" s="3">
        <f>IF(ORIG!F2496=0,"",ORIG!F2496)</f>
        <v/>
      </c>
      <c r="G2496" s="3">
        <f>IF(ORIG!G2496=0,"",ORIG!G2496)</f>
        <v/>
      </c>
      <c r="H2496" s="3">
        <f>IF(ORIG!H2496=0,"",ORIG!H2496)</f>
        <v/>
      </c>
      <c r="I2496" s="3">
        <f>IF(ORIG!I2496=0,"",ORIG!I2496)</f>
        <v/>
      </c>
      <c r="J2496" s="3">
        <f>IF(ORIG!J2496=0,"",ORIG!J2496)</f>
        <v/>
      </c>
      <c r="K2496" s="3">
        <f>IF(ORIG!K2496=0,"",ORIG!K2496)</f>
        <v/>
      </c>
      <c r="L2496" s="3">
        <f>IF(ORIG!L2496=0,"",ORIG!L2496)</f>
        <v/>
      </c>
      <c r="M2496" s="3">
        <f>IF(ORIG!M2496=0,"",ORIG!M2496)</f>
        <v/>
      </c>
      <c r="N2496" s="3">
        <f>IF(ORIG!N2496=0,"",ORIG!N2496)</f>
        <v/>
      </c>
      <c r="O2496" s="3">
        <f>IF(ORIG!O2496=0,"",ORIG!O2496)</f>
        <v/>
      </c>
      <c r="P2496" s="3">
        <f>IF(ORIG!P2496=0,"",ORIG!P2496)</f>
        <v/>
      </c>
      <c r="Q2496" s="3">
        <f>IF(ORIG!Q2496=0,"",ORIG!Q2496)</f>
        <v/>
      </c>
      <c r="R2496" s="3">
        <f>IF(ORIG!R2496=0,"",ORIG!R2496)</f>
        <v/>
      </c>
      <c r="S2496" s="3">
        <f>IF(ORIG!S2496=0,"",ORIG!S2496)</f>
        <v/>
      </c>
      <c r="T2496" s="3">
        <f>IF(ORIG!T2496=0,"",ORIG!T2496)</f>
        <v/>
      </c>
      <c r="U2496" s="3">
        <f>IF(ORIG!U2496=0,"",ORIG!U2496)</f>
        <v/>
      </c>
      <c r="V2496" s="9">
        <f>IF(ORIG!V2496=0,"",ORIG!V2496)</f>
        <v/>
      </c>
      <c r="W2496" s="9">
        <f>IF(ORIG!W2496=0,"",ORIG!W2496)</f>
        <v/>
      </c>
      <c r="X2496" s="9">
        <f>IF(ORIG!X2496=0,"",ORIG!X2496)</f>
        <v/>
      </c>
      <c r="Y2496" s="9">
        <f>IF(ORIG!Y2496=0,"",ORIG!Y2496)</f>
        <v/>
      </c>
      <c r="Z2496" s="3">
        <f>SUMPRODUCT($B2496:$Y2496,$B$2649:$Y$2649)</f>
        <v/>
      </c>
      <c r="AA2496" s="3">
        <f>SUMPRODUCT($B2496:$Y2496,$B$2655:$Y$2655)</f>
        <v/>
      </c>
      <c r="AC2496" s="1">
        <f>A2496</f>
        <v/>
      </c>
      <c r="AD2496">
        <f>IF(ISNUMBER(V2496),V2496*($AB$1/V$2635),"")</f>
        <v/>
      </c>
      <c r="AE2496">
        <f>IF(ISNUMBER(Z2496),Z2496*($AB$1/Z$2635),"")</f>
        <v/>
      </c>
      <c r="AF2496" s="25">
        <f>IF(ISNUMBER(AD2496+AE2496),AD2496+AE2496,"")</f>
        <v/>
      </c>
      <c r="AH2496" s="1">
        <f>A2496</f>
        <v/>
      </c>
      <c r="AI2496">
        <f>IF(ISNUMBER((1+V2496)*AI2495),(1+V2496)*AI2495,AI2495)</f>
        <v/>
      </c>
      <c r="AJ2496">
        <f>IF(ISNUMBER((1+Z2496)*AJ2495),(1+Z2496)*AJ2495,AJ2495)</f>
        <v/>
      </c>
    </row>
    <row r="2497">
      <c r="A2497" s="1" t="n">
        <v>45625</v>
      </c>
      <c r="B2497" s="3">
        <f>IF(ORIG!B2497=0,"",ORIG!B2497)</f>
        <v/>
      </c>
      <c r="C2497" s="3">
        <f>IF(ORIG!C2497=0,"",ORIG!C2497)</f>
        <v/>
      </c>
      <c r="D2497" s="3">
        <f>IF(ORIG!D2497=0,"",ORIG!D2497)</f>
        <v/>
      </c>
      <c r="E2497" s="3">
        <f>IF(ORIG!E2497=0,"",ORIG!E2497)</f>
        <v/>
      </c>
      <c r="F2497" s="3">
        <f>IF(ORIG!F2497=0,"",ORIG!F2497)</f>
        <v/>
      </c>
      <c r="G2497" s="3">
        <f>IF(ORIG!G2497=0,"",ORIG!G2497)</f>
        <v/>
      </c>
      <c r="H2497" s="3">
        <f>IF(ORIG!H2497=0,"",ORIG!H2497)</f>
        <v/>
      </c>
      <c r="I2497" s="3">
        <f>IF(ORIG!I2497=0,"",ORIG!I2497)</f>
        <v/>
      </c>
      <c r="J2497" s="3">
        <f>IF(ORIG!J2497=0,"",ORIG!J2497)</f>
        <v/>
      </c>
      <c r="K2497" s="3">
        <f>IF(ORIG!K2497=0,"",ORIG!K2497)</f>
        <v/>
      </c>
      <c r="L2497" s="3">
        <f>IF(ORIG!L2497=0,"",ORIG!L2497)</f>
        <v/>
      </c>
      <c r="M2497" s="3">
        <f>IF(ORIG!M2497=0,"",ORIG!M2497)</f>
        <v/>
      </c>
      <c r="N2497" s="3">
        <f>IF(ORIG!N2497=0,"",ORIG!N2497)</f>
        <v/>
      </c>
      <c r="O2497" s="3">
        <f>IF(ORIG!O2497=0,"",ORIG!O2497)</f>
        <v/>
      </c>
      <c r="P2497" s="3">
        <f>IF(ORIG!P2497=0,"",ORIG!P2497)</f>
        <v/>
      </c>
      <c r="Q2497" s="3">
        <f>IF(ORIG!Q2497=0,"",ORIG!Q2497)</f>
        <v/>
      </c>
      <c r="R2497" s="3">
        <f>IF(ORIG!R2497=0,"",ORIG!R2497)</f>
        <v/>
      </c>
      <c r="S2497" s="3">
        <f>IF(ORIG!S2497=0,"",ORIG!S2497)</f>
        <v/>
      </c>
      <c r="T2497" s="3">
        <f>IF(ORIG!T2497=0,"",ORIG!T2497)</f>
        <v/>
      </c>
      <c r="U2497" s="3">
        <f>IF(ORIG!U2497=0,"",ORIG!U2497)</f>
        <v/>
      </c>
      <c r="V2497" s="9">
        <f>IF(ORIG!V2497=0,"",ORIG!V2497)</f>
        <v/>
      </c>
      <c r="W2497" s="9">
        <f>IF(ORIG!W2497=0,"",ORIG!W2497)</f>
        <v/>
      </c>
      <c r="X2497" s="9">
        <f>IF(ORIG!X2497=0,"",ORIG!X2497)</f>
        <v/>
      </c>
      <c r="Y2497" s="9">
        <f>IF(ORIG!Y2497=0,"",ORIG!Y2497)</f>
        <v/>
      </c>
      <c r="Z2497" s="3">
        <f>SUMPRODUCT($B2497:$Y2497,$B$2649:$Y$2649)</f>
        <v/>
      </c>
      <c r="AA2497" s="3">
        <f>SUMPRODUCT($B2497:$Y2497,$B$2655:$Y$2655)</f>
        <v/>
      </c>
      <c r="AC2497" s="1">
        <f>A2497</f>
        <v/>
      </c>
      <c r="AD2497">
        <f>IF(ISNUMBER(V2497),V2497*($AB$1/V$2635),"")</f>
        <v/>
      </c>
      <c r="AE2497">
        <f>IF(ISNUMBER(Z2497),Z2497*($AB$1/Z$2635),"")</f>
        <v/>
      </c>
      <c r="AF2497" s="25">
        <f>IF(ISNUMBER(AD2497+AE2497),AD2497+AE2497,"")</f>
        <v/>
      </c>
      <c r="AH2497" s="1">
        <f>A2497</f>
        <v/>
      </c>
      <c r="AI2497">
        <f>IF(ISNUMBER((1+V2497)*AI2496),(1+V2497)*AI2496,AI2496)</f>
        <v/>
      </c>
      <c r="AJ2497">
        <f>IF(ISNUMBER((1+Z2497)*AJ2496),(1+Z2497)*AJ2496,AJ2496)</f>
        <v/>
      </c>
    </row>
    <row r="2498">
      <c r="A2498" s="1" t="n">
        <v>45628</v>
      </c>
      <c r="B2498" s="3">
        <f>IF(ORIG!B2498=0,"",ORIG!B2498)</f>
        <v/>
      </c>
      <c r="C2498" s="3">
        <f>IF(ORIG!C2498=0,"",ORIG!C2498)</f>
        <v/>
      </c>
      <c r="D2498" s="3">
        <f>IF(ORIG!D2498=0,"",ORIG!D2498)</f>
        <v/>
      </c>
      <c r="E2498" s="3">
        <f>IF(ORIG!E2498=0,"",ORIG!E2498)</f>
        <v/>
      </c>
      <c r="F2498" s="3">
        <f>IF(ORIG!F2498=0,"",ORIG!F2498)</f>
        <v/>
      </c>
      <c r="G2498" s="3">
        <f>IF(ORIG!G2498=0,"",ORIG!G2498)</f>
        <v/>
      </c>
      <c r="H2498" s="3">
        <f>IF(ORIG!H2498=0,"",ORIG!H2498)</f>
        <v/>
      </c>
      <c r="I2498" s="3">
        <f>IF(ORIG!I2498=0,"",ORIG!I2498)</f>
        <v/>
      </c>
      <c r="J2498" s="3">
        <f>IF(ORIG!J2498=0,"",ORIG!J2498)</f>
        <v/>
      </c>
      <c r="K2498" s="3">
        <f>IF(ORIG!K2498=0,"",ORIG!K2498)</f>
        <v/>
      </c>
      <c r="L2498" s="3">
        <f>IF(ORIG!L2498=0,"",ORIG!L2498)</f>
        <v/>
      </c>
      <c r="M2498" s="3">
        <f>IF(ORIG!M2498=0,"",ORIG!M2498)</f>
        <v/>
      </c>
      <c r="N2498" s="3">
        <f>IF(ORIG!N2498=0,"",ORIG!N2498)</f>
        <v/>
      </c>
      <c r="O2498" s="3">
        <f>IF(ORIG!O2498=0,"",ORIG!O2498)</f>
        <v/>
      </c>
      <c r="P2498" s="3">
        <f>IF(ORIG!P2498=0,"",ORIG!P2498)</f>
        <v/>
      </c>
      <c r="Q2498" s="3">
        <f>IF(ORIG!Q2498=0,"",ORIG!Q2498)</f>
        <v/>
      </c>
      <c r="R2498" s="3">
        <f>IF(ORIG!R2498=0,"",ORIG!R2498)</f>
        <v/>
      </c>
      <c r="S2498" s="3">
        <f>IF(ORIG!S2498=0,"",ORIG!S2498)</f>
        <v/>
      </c>
      <c r="T2498" s="3">
        <f>IF(ORIG!T2498=0,"",ORIG!T2498)</f>
        <v/>
      </c>
      <c r="U2498" s="3">
        <f>IF(ORIG!U2498=0,"",ORIG!U2498)</f>
        <v/>
      </c>
      <c r="V2498" s="9">
        <f>IF(ORIG!V2498=0,"",ORIG!V2498)</f>
        <v/>
      </c>
      <c r="W2498" s="9">
        <f>IF(ORIG!W2498=0,"",ORIG!W2498)</f>
        <v/>
      </c>
      <c r="X2498" s="9">
        <f>IF(ORIG!X2498=0,"",ORIG!X2498)</f>
        <v/>
      </c>
      <c r="Y2498" s="9">
        <f>IF(ORIG!Y2498=0,"",ORIG!Y2498)</f>
        <v/>
      </c>
      <c r="Z2498" s="3">
        <f>SUMPRODUCT($B2498:$Y2498,$B$2649:$Y$2649)</f>
        <v/>
      </c>
      <c r="AA2498" s="3">
        <f>SUMPRODUCT($B2498:$Y2498,$B$2655:$Y$2655)</f>
        <v/>
      </c>
      <c r="AC2498" s="1">
        <f>A2498</f>
        <v/>
      </c>
      <c r="AD2498">
        <f>IF(ISNUMBER(V2498),V2498*($AB$1/V$2635),"")</f>
        <v/>
      </c>
      <c r="AE2498">
        <f>IF(ISNUMBER(Z2498),Z2498*($AB$1/Z$2635),"")</f>
        <v/>
      </c>
      <c r="AF2498" s="25">
        <f>IF(ISNUMBER(AD2498+AE2498),AD2498+AE2498,"")</f>
        <v/>
      </c>
      <c r="AH2498" s="1">
        <f>A2498</f>
        <v/>
      </c>
      <c r="AI2498">
        <f>IF(ISNUMBER((1+V2498)*AI2497),(1+V2498)*AI2497,AI2497)</f>
        <v/>
      </c>
      <c r="AJ2498">
        <f>IF(ISNUMBER((1+Z2498)*AJ2497),(1+Z2498)*AJ2497,AJ2497)</f>
        <v/>
      </c>
    </row>
    <row r="2499">
      <c r="A2499" s="1" t="n">
        <v>45629</v>
      </c>
      <c r="B2499" s="3">
        <f>IF(ORIG!B2499=0,"",ORIG!B2499)</f>
        <v/>
      </c>
      <c r="C2499" s="3">
        <f>IF(ORIG!C2499=0,"",ORIG!C2499)</f>
        <v/>
      </c>
      <c r="D2499" s="3">
        <f>IF(ORIG!D2499=0,"",ORIG!D2499)</f>
        <v/>
      </c>
      <c r="E2499" s="3">
        <f>IF(ORIG!E2499=0,"",ORIG!E2499)</f>
        <v/>
      </c>
      <c r="F2499" s="3">
        <f>IF(ORIG!F2499=0,"",ORIG!F2499)</f>
        <v/>
      </c>
      <c r="G2499" s="3">
        <f>IF(ORIG!G2499=0,"",ORIG!G2499)</f>
        <v/>
      </c>
      <c r="H2499" s="3">
        <f>IF(ORIG!H2499=0,"",ORIG!H2499)</f>
        <v/>
      </c>
      <c r="I2499" s="3">
        <f>IF(ORIG!I2499=0,"",ORIG!I2499)</f>
        <v/>
      </c>
      <c r="J2499" s="3">
        <f>IF(ORIG!J2499=0,"",ORIG!J2499)</f>
        <v/>
      </c>
      <c r="K2499" s="3">
        <f>IF(ORIG!K2499=0,"",ORIG!K2499)</f>
        <v/>
      </c>
      <c r="L2499" s="3">
        <f>IF(ORIG!L2499=0,"",ORIG!L2499)</f>
        <v/>
      </c>
      <c r="M2499" s="3">
        <f>IF(ORIG!M2499=0,"",ORIG!M2499)</f>
        <v/>
      </c>
      <c r="N2499" s="3">
        <f>IF(ORIG!N2499=0,"",ORIG!N2499)</f>
        <v/>
      </c>
      <c r="O2499" s="3">
        <f>IF(ORIG!O2499=0,"",ORIG!O2499)</f>
        <v/>
      </c>
      <c r="P2499" s="3">
        <f>IF(ORIG!P2499=0,"",ORIG!P2499)</f>
        <v/>
      </c>
      <c r="Q2499" s="3">
        <f>IF(ORIG!Q2499=0,"",ORIG!Q2499)</f>
        <v/>
      </c>
      <c r="R2499" s="3">
        <f>IF(ORIG!R2499=0,"",ORIG!R2499)</f>
        <v/>
      </c>
      <c r="S2499" s="3">
        <f>IF(ORIG!S2499=0,"",ORIG!S2499)</f>
        <v/>
      </c>
      <c r="T2499" s="3">
        <f>IF(ORIG!T2499=0,"",ORIG!T2499)</f>
        <v/>
      </c>
      <c r="U2499" s="3">
        <f>IF(ORIG!U2499=0,"",ORIG!U2499)</f>
        <v/>
      </c>
      <c r="V2499" s="9">
        <f>IF(ORIG!V2499=0,"",ORIG!V2499)</f>
        <v/>
      </c>
      <c r="W2499" s="9">
        <f>IF(ORIG!W2499=0,"",ORIG!W2499)</f>
        <v/>
      </c>
      <c r="X2499" s="9">
        <f>IF(ORIG!X2499=0,"",ORIG!X2499)</f>
        <v/>
      </c>
      <c r="Y2499" s="9">
        <f>IF(ORIG!Y2499=0,"",ORIG!Y2499)</f>
        <v/>
      </c>
      <c r="Z2499" s="3">
        <f>SUMPRODUCT($B2499:$Y2499,$B$2649:$Y$2649)</f>
        <v/>
      </c>
      <c r="AA2499" s="3">
        <f>SUMPRODUCT($B2499:$Y2499,$B$2655:$Y$2655)</f>
        <v/>
      </c>
      <c r="AC2499" s="1">
        <f>A2499</f>
        <v/>
      </c>
      <c r="AD2499">
        <f>IF(ISNUMBER(V2499),V2499*($AB$1/V$2635),"")</f>
        <v/>
      </c>
      <c r="AE2499">
        <f>IF(ISNUMBER(Z2499),Z2499*($AB$1/Z$2635),"")</f>
        <v/>
      </c>
      <c r="AF2499" s="25">
        <f>IF(ISNUMBER(AD2499+AE2499),AD2499+AE2499,"")</f>
        <v/>
      </c>
      <c r="AH2499" s="1">
        <f>A2499</f>
        <v/>
      </c>
      <c r="AI2499">
        <f>IF(ISNUMBER((1+V2499)*AI2498),(1+V2499)*AI2498,AI2498)</f>
        <v/>
      </c>
      <c r="AJ2499">
        <f>IF(ISNUMBER((1+Z2499)*AJ2498),(1+Z2499)*AJ2498,AJ2498)</f>
        <v/>
      </c>
    </row>
    <row r="2500">
      <c r="A2500" s="1" t="n">
        <v>45630</v>
      </c>
      <c r="B2500" s="3">
        <f>IF(ORIG!B2500=0,"",ORIG!B2500)</f>
        <v/>
      </c>
      <c r="C2500" s="3">
        <f>IF(ORIG!C2500=0,"",ORIG!C2500)</f>
        <v/>
      </c>
      <c r="D2500" s="3">
        <f>IF(ORIG!D2500=0,"",ORIG!D2500)</f>
        <v/>
      </c>
      <c r="E2500" s="3">
        <f>IF(ORIG!E2500=0,"",ORIG!E2500)</f>
        <v/>
      </c>
      <c r="F2500" s="3">
        <f>IF(ORIG!F2500=0,"",ORIG!F2500)</f>
        <v/>
      </c>
      <c r="G2500" s="3">
        <f>IF(ORIG!G2500=0,"",ORIG!G2500)</f>
        <v/>
      </c>
      <c r="H2500" s="3">
        <f>IF(ORIG!H2500=0,"",ORIG!H2500)</f>
        <v/>
      </c>
      <c r="I2500" s="3">
        <f>IF(ORIG!I2500=0,"",ORIG!I2500)</f>
        <v/>
      </c>
      <c r="J2500" s="3">
        <f>IF(ORIG!J2500=0,"",ORIG!J2500)</f>
        <v/>
      </c>
      <c r="K2500" s="3">
        <f>IF(ORIG!K2500=0,"",ORIG!K2500)</f>
        <v/>
      </c>
      <c r="L2500" s="3">
        <f>IF(ORIG!L2500=0,"",ORIG!L2500)</f>
        <v/>
      </c>
      <c r="M2500" s="3">
        <f>IF(ORIG!M2500=0,"",ORIG!M2500)</f>
        <v/>
      </c>
      <c r="N2500" s="3">
        <f>IF(ORIG!N2500=0,"",ORIG!N2500)</f>
        <v/>
      </c>
      <c r="O2500" s="3">
        <f>IF(ORIG!O2500=0,"",ORIG!O2500)</f>
        <v/>
      </c>
      <c r="P2500" s="3">
        <f>IF(ORIG!P2500=0,"",ORIG!P2500)</f>
        <v/>
      </c>
      <c r="Q2500" s="3">
        <f>IF(ORIG!Q2500=0,"",ORIG!Q2500)</f>
        <v/>
      </c>
      <c r="R2500" s="3">
        <f>IF(ORIG!R2500=0,"",ORIG!R2500)</f>
        <v/>
      </c>
      <c r="S2500" s="3">
        <f>IF(ORIG!S2500=0,"",ORIG!S2500)</f>
        <v/>
      </c>
      <c r="T2500" s="3">
        <f>IF(ORIG!T2500=0,"",ORIG!T2500)</f>
        <v/>
      </c>
      <c r="U2500" s="3">
        <f>IF(ORIG!U2500=0,"",ORIG!U2500)</f>
        <v/>
      </c>
      <c r="V2500" s="9">
        <f>IF(ORIG!V2500=0,"",ORIG!V2500)</f>
        <v/>
      </c>
      <c r="W2500" s="9">
        <f>IF(ORIG!W2500=0,"",ORIG!W2500)</f>
        <v/>
      </c>
      <c r="X2500" s="9">
        <f>IF(ORIG!X2500=0,"",ORIG!X2500)</f>
        <v/>
      </c>
      <c r="Y2500" s="9">
        <f>IF(ORIG!Y2500=0,"",ORIG!Y2500)</f>
        <v/>
      </c>
      <c r="Z2500" s="3">
        <f>SUMPRODUCT($B2500:$Y2500,$B$2649:$Y$2649)</f>
        <v/>
      </c>
      <c r="AA2500" s="3">
        <f>SUMPRODUCT($B2500:$Y2500,$B$2655:$Y$2655)</f>
        <v/>
      </c>
      <c r="AC2500" s="1">
        <f>A2500</f>
        <v/>
      </c>
      <c r="AD2500">
        <f>IF(ISNUMBER(V2500),V2500*($AB$1/V$2635),"")</f>
        <v/>
      </c>
      <c r="AE2500">
        <f>IF(ISNUMBER(Z2500),Z2500*($AB$1/Z$2635),"")</f>
        <v/>
      </c>
      <c r="AF2500" s="25">
        <f>IF(ISNUMBER(AD2500+AE2500),AD2500+AE2500,"")</f>
        <v/>
      </c>
      <c r="AH2500" s="1">
        <f>A2500</f>
        <v/>
      </c>
      <c r="AI2500">
        <f>IF(ISNUMBER((1+V2500)*AI2499),(1+V2500)*AI2499,AI2499)</f>
        <v/>
      </c>
      <c r="AJ2500">
        <f>IF(ISNUMBER((1+Z2500)*AJ2499),(1+Z2500)*AJ2499,AJ2499)</f>
        <v/>
      </c>
    </row>
    <row r="2501">
      <c r="A2501" s="1" t="n">
        <v>45631</v>
      </c>
      <c r="B2501" s="3">
        <f>IF(ORIG!B2501=0,"",ORIG!B2501)</f>
        <v/>
      </c>
      <c r="C2501" s="3">
        <f>IF(ORIG!C2501=0,"",ORIG!C2501)</f>
        <v/>
      </c>
      <c r="D2501" s="3">
        <f>IF(ORIG!D2501=0,"",ORIG!D2501)</f>
        <v/>
      </c>
      <c r="E2501" s="3">
        <f>IF(ORIG!E2501=0,"",ORIG!E2501)</f>
        <v/>
      </c>
      <c r="F2501" s="3">
        <f>IF(ORIG!F2501=0,"",ORIG!F2501)</f>
        <v/>
      </c>
      <c r="G2501" s="3">
        <f>IF(ORIG!G2501=0,"",ORIG!G2501)</f>
        <v/>
      </c>
      <c r="H2501" s="3">
        <f>IF(ORIG!H2501=0,"",ORIG!H2501)</f>
        <v/>
      </c>
      <c r="I2501" s="3">
        <f>IF(ORIG!I2501=0,"",ORIG!I2501)</f>
        <v/>
      </c>
      <c r="J2501" s="3">
        <f>IF(ORIG!J2501=0,"",ORIG!J2501)</f>
        <v/>
      </c>
      <c r="K2501" s="3">
        <f>IF(ORIG!K2501=0,"",ORIG!K2501)</f>
        <v/>
      </c>
      <c r="L2501" s="3">
        <f>IF(ORIG!L2501=0,"",ORIG!L2501)</f>
        <v/>
      </c>
      <c r="M2501" s="3">
        <f>IF(ORIG!M2501=0,"",ORIG!M2501)</f>
        <v/>
      </c>
      <c r="N2501" s="3">
        <f>IF(ORIG!N2501=0,"",ORIG!N2501)</f>
        <v/>
      </c>
      <c r="O2501" s="3">
        <f>IF(ORIG!O2501=0,"",ORIG!O2501)</f>
        <v/>
      </c>
      <c r="P2501" s="3">
        <f>IF(ORIG!P2501=0,"",ORIG!P2501)</f>
        <v/>
      </c>
      <c r="Q2501" s="3">
        <f>IF(ORIG!Q2501=0,"",ORIG!Q2501)</f>
        <v/>
      </c>
      <c r="R2501" s="3">
        <f>IF(ORIG!R2501=0,"",ORIG!R2501)</f>
        <v/>
      </c>
      <c r="S2501" s="3">
        <f>IF(ORIG!S2501=0,"",ORIG!S2501)</f>
        <v/>
      </c>
      <c r="T2501" s="3">
        <f>IF(ORIG!T2501=0,"",ORIG!T2501)</f>
        <v/>
      </c>
      <c r="U2501" s="3">
        <f>IF(ORIG!U2501=0,"",ORIG!U2501)</f>
        <v/>
      </c>
      <c r="V2501" s="9">
        <f>IF(ORIG!V2501=0,"",ORIG!V2501)</f>
        <v/>
      </c>
      <c r="W2501" s="9">
        <f>IF(ORIG!W2501=0,"",ORIG!W2501)</f>
        <v/>
      </c>
      <c r="X2501" s="9">
        <f>IF(ORIG!X2501=0,"",ORIG!X2501)</f>
        <v/>
      </c>
      <c r="Y2501" s="9">
        <f>IF(ORIG!Y2501=0,"",ORIG!Y2501)</f>
        <v/>
      </c>
      <c r="Z2501" s="3">
        <f>SUMPRODUCT($B2501:$Y2501,$B$2649:$Y$2649)</f>
        <v/>
      </c>
      <c r="AA2501" s="3">
        <f>SUMPRODUCT($B2501:$Y2501,$B$2655:$Y$2655)</f>
        <v/>
      </c>
      <c r="AC2501" s="1">
        <f>A2501</f>
        <v/>
      </c>
      <c r="AD2501">
        <f>IF(ISNUMBER(V2501),V2501*($AB$1/V$2635),"")</f>
        <v/>
      </c>
      <c r="AE2501">
        <f>IF(ISNUMBER(Z2501),Z2501*($AB$1/Z$2635),"")</f>
        <v/>
      </c>
      <c r="AF2501" s="25">
        <f>IF(ISNUMBER(AD2501+AE2501),AD2501+AE2501,"")</f>
        <v/>
      </c>
      <c r="AH2501" s="1">
        <f>A2501</f>
        <v/>
      </c>
      <c r="AI2501">
        <f>IF(ISNUMBER((1+V2501)*AI2500),(1+V2501)*AI2500,AI2500)</f>
        <v/>
      </c>
      <c r="AJ2501">
        <f>IF(ISNUMBER((1+Z2501)*AJ2500),(1+Z2501)*AJ2500,AJ2500)</f>
        <v/>
      </c>
    </row>
    <row r="2502">
      <c r="A2502" s="1" t="n">
        <v>45632</v>
      </c>
      <c r="B2502" s="3">
        <f>IF(ORIG!B2502=0,"",ORIG!B2502)</f>
        <v/>
      </c>
      <c r="C2502" s="3">
        <f>IF(ORIG!C2502=0,"",ORIG!C2502)</f>
        <v/>
      </c>
      <c r="D2502" s="3">
        <f>IF(ORIG!D2502=0,"",ORIG!D2502)</f>
        <v/>
      </c>
      <c r="E2502" s="3">
        <f>IF(ORIG!E2502=0,"",ORIG!E2502)</f>
        <v/>
      </c>
      <c r="F2502" s="3">
        <f>IF(ORIG!F2502=0,"",ORIG!F2502)</f>
        <v/>
      </c>
      <c r="G2502" s="3">
        <f>IF(ORIG!G2502=0,"",ORIG!G2502)</f>
        <v/>
      </c>
      <c r="H2502" s="3">
        <f>IF(ORIG!H2502=0,"",ORIG!H2502)</f>
        <v/>
      </c>
      <c r="I2502" s="3">
        <f>IF(ORIG!I2502=0,"",ORIG!I2502)</f>
        <v/>
      </c>
      <c r="J2502" s="3">
        <f>IF(ORIG!J2502=0,"",ORIG!J2502)</f>
        <v/>
      </c>
      <c r="K2502" s="3">
        <f>IF(ORIG!K2502=0,"",ORIG!K2502)</f>
        <v/>
      </c>
      <c r="L2502" s="3">
        <f>IF(ORIG!L2502=0,"",ORIG!L2502)</f>
        <v/>
      </c>
      <c r="M2502" s="3">
        <f>IF(ORIG!M2502=0,"",ORIG!M2502)</f>
        <v/>
      </c>
      <c r="N2502" s="3">
        <f>IF(ORIG!N2502=0,"",ORIG!N2502)</f>
        <v/>
      </c>
      <c r="O2502" s="3">
        <f>IF(ORIG!O2502=0,"",ORIG!O2502)</f>
        <v/>
      </c>
      <c r="P2502" s="3">
        <f>IF(ORIG!P2502=0,"",ORIG!P2502)</f>
        <v/>
      </c>
      <c r="Q2502" s="3">
        <f>IF(ORIG!Q2502=0,"",ORIG!Q2502)</f>
        <v/>
      </c>
      <c r="R2502" s="3">
        <f>IF(ORIG!R2502=0,"",ORIG!R2502)</f>
        <v/>
      </c>
      <c r="S2502" s="3">
        <f>IF(ORIG!S2502=0,"",ORIG!S2502)</f>
        <v/>
      </c>
      <c r="T2502" s="3">
        <f>IF(ORIG!T2502=0,"",ORIG!T2502)</f>
        <v/>
      </c>
      <c r="U2502" s="3">
        <f>IF(ORIG!U2502=0,"",ORIG!U2502)</f>
        <v/>
      </c>
      <c r="V2502" s="9">
        <f>IF(ORIG!V2502=0,"",ORIG!V2502)</f>
        <v/>
      </c>
      <c r="W2502" s="9">
        <f>IF(ORIG!W2502=0,"",ORIG!W2502)</f>
        <v/>
      </c>
      <c r="X2502" s="9">
        <f>IF(ORIG!X2502=0,"",ORIG!X2502)</f>
        <v/>
      </c>
      <c r="Y2502" s="9">
        <f>IF(ORIG!Y2502=0,"",ORIG!Y2502)</f>
        <v/>
      </c>
      <c r="Z2502" s="3">
        <f>SUMPRODUCT($B2502:$Y2502,$B$2649:$Y$2649)</f>
        <v/>
      </c>
      <c r="AA2502" s="3">
        <f>SUMPRODUCT($B2502:$Y2502,$B$2655:$Y$2655)</f>
        <v/>
      </c>
      <c r="AC2502" s="1">
        <f>A2502</f>
        <v/>
      </c>
      <c r="AD2502">
        <f>IF(ISNUMBER(V2502),V2502*($AB$1/V$2635),"")</f>
        <v/>
      </c>
      <c r="AE2502">
        <f>IF(ISNUMBER(Z2502),Z2502*($AB$1/Z$2635),"")</f>
        <v/>
      </c>
      <c r="AF2502" s="25">
        <f>IF(ISNUMBER(AD2502+AE2502),AD2502+AE2502,"")</f>
        <v/>
      </c>
      <c r="AH2502" s="1">
        <f>A2502</f>
        <v/>
      </c>
      <c r="AI2502">
        <f>IF(ISNUMBER((1+V2502)*AI2501),(1+V2502)*AI2501,AI2501)</f>
        <v/>
      </c>
      <c r="AJ2502">
        <f>IF(ISNUMBER((1+Z2502)*AJ2501),(1+Z2502)*AJ2501,AJ2501)</f>
        <v/>
      </c>
    </row>
    <row r="2503">
      <c r="A2503" s="1" t="n">
        <v>45635</v>
      </c>
      <c r="B2503" s="3">
        <f>IF(ORIG!B2503=0,"",ORIG!B2503)</f>
        <v/>
      </c>
      <c r="C2503" s="3">
        <f>IF(ORIG!C2503=0,"",ORIG!C2503)</f>
        <v/>
      </c>
      <c r="D2503" s="3">
        <f>IF(ORIG!D2503=0,"",ORIG!D2503)</f>
        <v/>
      </c>
      <c r="E2503" s="3">
        <f>IF(ORIG!E2503=0,"",ORIG!E2503)</f>
        <v/>
      </c>
      <c r="F2503" s="3">
        <f>IF(ORIG!F2503=0,"",ORIG!F2503)</f>
        <v/>
      </c>
      <c r="G2503" s="3">
        <f>IF(ORIG!G2503=0,"",ORIG!G2503)</f>
        <v/>
      </c>
      <c r="H2503" s="3">
        <f>IF(ORIG!H2503=0,"",ORIG!H2503)</f>
        <v/>
      </c>
      <c r="I2503" s="3">
        <f>IF(ORIG!I2503=0,"",ORIG!I2503)</f>
        <v/>
      </c>
      <c r="J2503" s="3">
        <f>IF(ORIG!J2503=0,"",ORIG!J2503)</f>
        <v/>
      </c>
      <c r="K2503" s="3">
        <f>IF(ORIG!K2503=0,"",ORIG!K2503)</f>
        <v/>
      </c>
      <c r="L2503" s="3">
        <f>IF(ORIG!L2503=0,"",ORIG!L2503)</f>
        <v/>
      </c>
      <c r="M2503" s="3">
        <f>IF(ORIG!M2503=0,"",ORIG!M2503)</f>
        <v/>
      </c>
      <c r="N2503" s="3">
        <f>IF(ORIG!N2503=0,"",ORIG!N2503)</f>
        <v/>
      </c>
      <c r="O2503" s="3">
        <f>IF(ORIG!O2503=0,"",ORIG!O2503)</f>
        <v/>
      </c>
      <c r="P2503" s="3">
        <f>IF(ORIG!P2503=0,"",ORIG!P2503)</f>
        <v/>
      </c>
      <c r="Q2503" s="3">
        <f>IF(ORIG!Q2503=0,"",ORIG!Q2503)</f>
        <v/>
      </c>
      <c r="R2503" s="3">
        <f>IF(ORIG!R2503=0,"",ORIG!R2503)</f>
        <v/>
      </c>
      <c r="S2503" s="3">
        <f>IF(ORIG!S2503=0,"",ORIG!S2503)</f>
        <v/>
      </c>
      <c r="T2503" s="3">
        <f>IF(ORIG!T2503=0,"",ORIG!T2503)</f>
        <v/>
      </c>
      <c r="U2503" s="3">
        <f>IF(ORIG!U2503=0,"",ORIG!U2503)</f>
        <v/>
      </c>
      <c r="V2503" s="9">
        <f>IF(ORIG!V2503=0,"",ORIG!V2503)</f>
        <v/>
      </c>
      <c r="W2503" s="9">
        <f>IF(ORIG!W2503=0,"",ORIG!W2503)</f>
        <v/>
      </c>
      <c r="X2503" s="9">
        <f>IF(ORIG!X2503=0,"",ORIG!X2503)</f>
        <v/>
      </c>
      <c r="Y2503" s="9">
        <f>IF(ORIG!Y2503=0,"",ORIG!Y2503)</f>
        <v/>
      </c>
      <c r="Z2503" s="3">
        <f>SUMPRODUCT($B2503:$Y2503,$B$2649:$Y$2649)</f>
        <v/>
      </c>
      <c r="AA2503" s="3">
        <f>SUMPRODUCT($B2503:$Y2503,$B$2655:$Y$2655)</f>
        <v/>
      </c>
      <c r="AC2503" s="1">
        <f>A2503</f>
        <v/>
      </c>
      <c r="AD2503">
        <f>IF(ISNUMBER(V2503),V2503*($AB$1/V$2635),"")</f>
        <v/>
      </c>
      <c r="AE2503">
        <f>IF(ISNUMBER(Z2503),Z2503*($AB$1/Z$2635),"")</f>
        <v/>
      </c>
      <c r="AF2503" s="25">
        <f>IF(ISNUMBER(AD2503+AE2503),AD2503+AE2503,"")</f>
        <v/>
      </c>
      <c r="AH2503" s="1">
        <f>A2503</f>
        <v/>
      </c>
      <c r="AI2503">
        <f>IF(ISNUMBER((1+V2503)*AI2502),(1+V2503)*AI2502,AI2502)</f>
        <v/>
      </c>
      <c r="AJ2503">
        <f>IF(ISNUMBER((1+Z2503)*AJ2502),(1+Z2503)*AJ2502,AJ2502)</f>
        <v/>
      </c>
    </row>
    <row r="2504">
      <c r="A2504" s="1" t="n">
        <v>45636</v>
      </c>
      <c r="B2504" s="3">
        <f>IF(ORIG!B2504=0,"",ORIG!B2504)</f>
        <v/>
      </c>
      <c r="C2504" s="3">
        <f>IF(ORIG!C2504=0,"",ORIG!C2504)</f>
        <v/>
      </c>
      <c r="D2504" s="3">
        <f>IF(ORIG!D2504=0,"",ORIG!D2504)</f>
        <v/>
      </c>
      <c r="E2504" s="3">
        <f>IF(ORIG!E2504=0,"",ORIG!E2504)</f>
        <v/>
      </c>
      <c r="F2504" s="3">
        <f>IF(ORIG!F2504=0,"",ORIG!F2504)</f>
        <v/>
      </c>
      <c r="G2504" s="3">
        <f>IF(ORIG!G2504=0,"",ORIG!G2504)</f>
        <v/>
      </c>
      <c r="H2504" s="3">
        <f>IF(ORIG!H2504=0,"",ORIG!H2504)</f>
        <v/>
      </c>
      <c r="I2504" s="3">
        <f>IF(ORIG!I2504=0,"",ORIG!I2504)</f>
        <v/>
      </c>
      <c r="J2504" s="3">
        <f>IF(ORIG!J2504=0,"",ORIG!J2504)</f>
        <v/>
      </c>
      <c r="K2504" s="3">
        <f>IF(ORIG!K2504=0,"",ORIG!K2504)</f>
        <v/>
      </c>
      <c r="L2504" s="3">
        <f>IF(ORIG!L2504=0,"",ORIG!L2504)</f>
        <v/>
      </c>
      <c r="M2504" s="3">
        <f>IF(ORIG!M2504=0,"",ORIG!M2504)</f>
        <v/>
      </c>
      <c r="N2504" s="3">
        <f>IF(ORIG!N2504=0,"",ORIG!N2504)</f>
        <v/>
      </c>
      <c r="O2504" s="3">
        <f>IF(ORIG!O2504=0,"",ORIG!O2504)</f>
        <v/>
      </c>
      <c r="P2504" s="3">
        <f>IF(ORIG!P2504=0,"",ORIG!P2504)</f>
        <v/>
      </c>
      <c r="Q2504" s="3">
        <f>IF(ORIG!Q2504=0,"",ORIG!Q2504)</f>
        <v/>
      </c>
      <c r="R2504" s="3">
        <f>IF(ORIG!R2504=0,"",ORIG!R2504)</f>
        <v/>
      </c>
      <c r="S2504" s="3">
        <f>IF(ORIG!S2504=0,"",ORIG!S2504)</f>
        <v/>
      </c>
      <c r="T2504" s="3">
        <f>IF(ORIG!T2504=0,"",ORIG!T2504)</f>
        <v/>
      </c>
      <c r="U2504" s="3">
        <f>IF(ORIG!U2504=0,"",ORIG!U2504)</f>
        <v/>
      </c>
      <c r="V2504" s="9">
        <f>IF(ORIG!V2504=0,"",ORIG!V2504)</f>
        <v/>
      </c>
      <c r="W2504" s="9">
        <f>IF(ORIG!W2504=0,"",ORIG!W2504)</f>
        <v/>
      </c>
      <c r="X2504" s="9">
        <f>IF(ORIG!X2504=0,"",ORIG!X2504)</f>
        <v/>
      </c>
      <c r="Y2504" s="9">
        <f>IF(ORIG!Y2504=0,"",ORIG!Y2504)</f>
        <v/>
      </c>
      <c r="Z2504" s="3">
        <f>SUMPRODUCT($B2504:$Y2504,$B$2649:$Y$2649)</f>
        <v/>
      </c>
      <c r="AA2504" s="3">
        <f>SUMPRODUCT($B2504:$Y2504,$B$2655:$Y$2655)</f>
        <v/>
      </c>
      <c r="AC2504" s="1">
        <f>A2504</f>
        <v/>
      </c>
      <c r="AD2504">
        <f>IF(ISNUMBER(V2504),V2504*($AB$1/V$2635),"")</f>
        <v/>
      </c>
      <c r="AE2504">
        <f>IF(ISNUMBER(Z2504),Z2504*($AB$1/Z$2635),"")</f>
        <v/>
      </c>
      <c r="AF2504" s="25">
        <f>IF(ISNUMBER(AD2504+AE2504),AD2504+AE2504,"")</f>
        <v/>
      </c>
      <c r="AH2504" s="1">
        <f>A2504</f>
        <v/>
      </c>
      <c r="AI2504">
        <f>IF(ISNUMBER((1+V2504)*AI2503),(1+V2504)*AI2503,AI2503)</f>
        <v/>
      </c>
      <c r="AJ2504">
        <f>IF(ISNUMBER((1+Z2504)*AJ2503),(1+Z2504)*AJ2503,AJ2503)</f>
        <v/>
      </c>
    </row>
    <row r="2505">
      <c r="A2505" s="1" t="n">
        <v>45637</v>
      </c>
      <c r="B2505" s="3">
        <f>IF(ORIG!B2505=0,"",ORIG!B2505)</f>
        <v/>
      </c>
      <c r="C2505" s="3">
        <f>IF(ORIG!C2505=0,"",ORIG!C2505)</f>
        <v/>
      </c>
      <c r="D2505" s="3">
        <f>IF(ORIG!D2505=0,"",ORIG!D2505)</f>
        <v/>
      </c>
      <c r="E2505" s="3">
        <f>IF(ORIG!E2505=0,"",ORIG!E2505)</f>
        <v/>
      </c>
      <c r="F2505" s="3">
        <f>IF(ORIG!F2505=0,"",ORIG!F2505)</f>
        <v/>
      </c>
      <c r="G2505" s="3">
        <f>IF(ORIG!G2505=0,"",ORIG!G2505)</f>
        <v/>
      </c>
      <c r="H2505" s="3">
        <f>IF(ORIG!H2505=0,"",ORIG!H2505)</f>
        <v/>
      </c>
      <c r="I2505" s="3">
        <f>IF(ORIG!I2505=0,"",ORIG!I2505)</f>
        <v/>
      </c>
      <c r="J2505" s="3">
        <f>IF(ORIG!J2505=0,"",ORIG!J2505)</f>
        <v/>
      </c>
      <c r="K2505" s="3">
        <f>IF(ORIG!K2505=0,"",ORIG!K2505)</f>
        <v/>
      </c>
      <c r="L2505" s="3">
        <f>IF(ORIG!L2505=0,"",ORIG!L2505)</f>
        <v/>
      </c>
      <c r="M2505" s="3">
        <f>IF(ORIG!M2505=0,"",ORIG!M2505)</f>
        <v/>
      </c>
      <c r="N2505" s="3">
        <f>IF(ORIG!N2505=0,"",ORIG!N2505)</f>
        <v/>
      </c>
      <c r="O2505" s="3">
        <f>IF(ORIG!O2505=0,"",ORIG!O2505)</f>
        <v/>
      </c>
      <c r="P2505" s="3">
        <f>IF(ORIG!P2505=0,"",ORIG!P2505)</f>
        <v/>
      </c>
      <c r="Q2505" s="3">
        <f>IF(ORIG!Q2505=0,"",ORIG!Q2505)</f>
        <v/>
      </c>
      <c r="R2505" s="3">
        <f>IF(ORIG!R2505=0,"",ORIG!R2505)</f>
        <v/>
      </c>
      <c r="S2505" s="3">
        <f>IF(ORIG!S2505=0,"",ORIG!S2505)</f>
        <v/>
      </c>
      <c r="T2505" s="3">
        <f>IF(ORIG!T2505=0,"",ORIG!T2505)</f>
        <v/>
      </c>
      <c r="U2505" s="3">
        <f>IF(ORIG!U2505=0,"",ORIG!U2505)</f>
        <v/>
      </c>
      <c r="V2505" s="9">
        <f>IF(ORIG!V2505=0,"",ORIG!V2505)</f>
        <v/>
      </c>
      <c r="W2505" s="9">
        <f>IF(ORIG!W2505=0,"",ORIG!W2505)</f>
        <v/>
      </c>
      <c r="X2505" s="9">
        <f>IF(ORIG!X2505=0,"",ORIG!X2505)</f>
        <v/>
      </c>
      <c r="Y2505" s="9">
        <f>IF(ORIG!Y2505=0,"",ORIG!Y2505)</f>
        <v/>
      </c>
      <c r="Z2505" s="3">
        <f>SUMPRODUCT($B2505:$Y2505,$B$2649:$Y$2649)</f>
        <v/>
      </c>
      <c r="AA2505" s="3">
        <f>SUMPRODUCT($B2505:$Y2505,$B$2655:$Y$2655)</f>
        <v/>
      </c>
      <c r="AC2505" s="1">
        <f>A2505</f>
        <v/>
      </c>
      <c r="AD2505">
        <f>IF(ISNUMBER(V2505),V2505*($AB$1/V$2635),"")</f>
        <v/>
      </c>
      <c r="AE2505">
        <f>IF(ISNUMBER(Z2505),Z2505*($AB$1/Z$2635),"")</f>
        <v/>
      </c>
      <c r="AF2505" s="25">
        <f>IF(ISNUMBER(AD2505+AE2505),AD2505+AE2505,"")</f>
        <v/>
      </c>
      <c r="AH2505" s="1">
        <f>A2505</f>
        <v/>
      </c>
      <c r="AI2505">
        <f>IF(ISNUMBER((1+V2505)*AI2504),(1+V2505)*AI2504,AI2504)</f>
        <v/>
      </c>
      <c r="AJ2505">
        <f>IF(ISNUMBER((1+Z2505)*AJ2504),(1+Z2505)*AJ2504,AJ2504)</f>
        <v/>
      </c>
    </row>
    <row r="2506">
      <c r="A2506" s="1" t="n">
        <v>45638</v>
      </c>
      <c r="B2506" s="3">
        <f>IF(ORIG!B2506=0,"",ORIG!B2506)</f>
        <v/>
      </c>
      <c r="C2506" s="3">
        <f>IF(ORIG!C2506=0,"",ORIG!C2506)</f>
        <v/>
      </c>
      <c r="D2506" s="3">
        <f>IF(ORIG!D2506=0,"",ORIG!D2506)</f>
        <v/>
      </c>
      <c r="E2506" s="3">
        <f>IF(ORIG!E2506=0,"",ORIG!E2506)</f>
        <v/>
      </c>
      <c r="F2506" s="3">
        <f>IF(ORIG!F2506=0,"",ORIG!F2506)</f>
        <v/>
      </c>
      <c r="G2506" s="3">
        <f>IF(ORIG!G2506=0,"",ORIG!G2506)</f>
        <v/>
      </c>
      <c r="H2506" s="3">
        <f>IF(ORIG!H2506=0,"",ORIG!H2506)</f>
        <v/>
      </c>
      <c r="I2506" s="3">
        <f>IF(ORIG!I2506=0,"",ORIG!I2506)</f>
        <v/>
      </c>
      <c r="J2506" s="3">
        <f>IF(ORIG!J2506=0,"",ORIG!J2506)</f>
        <v/>
      </c>
      <c r="K2506" s="3">
        <f>IF(ORIG!K2506=0,"",ORIG!K2506)</f>
        <v/>
      </c>
      <c r="L2506" s="3">
        <f>IF(ORIG!L2506=0,"",ORIG!L2506)</f>
        <v/>
      </c>
      <c r="M2506" s="3">
        <f>IF(ORIG!M2506=0,"",ORIG!M2506)</f>
        <v/>
      </c>
      <c r="N2506" s="3">
        <f>IF(ORIG!N2506=0,"",ORIG!N2506)</f>
        <v/>
      </c>
      <c r="O2506" s="3">
        <f>IF(ORIG!O2506=0,"",ORIG!O2506)</f>
        <v/>
      </c>
      <c r="P2506" s="3">
        <f>IF(ORIG!P2506=0,"",ORIG!P2506)</f>
        <v/>
      </c>
      <c r="Q2506" s="3">
        <f>IF(ORIG!Q2506=0,"",ORIG!Q2506)</f>
        <v/>
      </c>
      <c r="R2506" s="3">
        <f>IF(ORIG!R2506=0,"",ORIG!R2506)</f>
        <v/>
      </c>
      <c r="S2506" s="3">
        <f>IF(ORIG!S2506=0,"",ORIG!S2506)</f>
        <v/>
      </c>
      <c r="T2506" s="3">
        <f>IF(ORIG!T2506=0,"",ORIG!T2506)</f>
        <v/>
      </c>
      <c r="U2506" s="3">
        <f>IF(ORIG!U2506=0,"",ORIG!U2506)</f>
        <v/>
      </c>
      <c r="V2506" s="9">
        <f>IF(ORIG!V2506=0,"",ORIG!V2506)</f>
        <v/>
      </c>
      <c r="W2506" s="9">
        <f>IF(ORIG!W2506=0,"",ORIG!W2506)</f>
        <v/>
      </c>
      <c r="X2506" s="9">
        <f>IF(ORIG!X2506=0,"",ORIG!X2506)</f>
        <v/>
      </c>
      <c r="Y2506" s="9">
        <f>IF(ORIG!Y2506=0,"",ORIG!Y2506)</f>
        <v/>
      </c>
      <c r="Z2506" s="3">
        <f>SUMPRODUCT($B2506:$Y2506,$B$2649:$Y$2649)</f>
        <v/>
      </c>
      <c r="AA2506" s="3">
        <f>SUMPRODUCT($B2506:$Y2506,$B$2655:$Y$2655)</f>
        <v/>
      </c>
      <c r="AC2506" s="1">
        <f>A2506</f>
        <v/>
      </c>
      <c r="AD2506">
        <f>IF(ISNUMBER(V2506),V2506*($AB$1/V$2635),"")</f>
        <v/>
      </c>
      <c r="AE2506">
        <f>IF(ISNUMBER(Z2506),Z2506*($AB$1/Z$2635),"")</f>
        <v/>
      </c>
      <c r="AF2506" s="25">
        <f>IF(ISNUMBER(AD2506+AE2506),AD2506+AE2506,"")</f>
        <v/>
      </c>
      <c r="AH2506" s="1">
        <f>A2506</f>
        <v/>
      </c>
      <c r="AI2506">
        <f>IF(ISNUMBER((1+V2506)*AI2505),(1+V2506)*AI2505,AI2505)</f>
        <v/>
      </c>
      <c r="AJ2506">
        <f>IF(ISNUMBER((1+Z2506)*AJ2505),(1+Z2506)*AJ2505,AJ2505)</f>
        <v/>
      </c>
    </row>
    <row r="2507">
      <c r="A2507" s="1" t="n">
        <v>45639</v>
      </c>
      <c r="B2507" s="3">
        <f>IF(ORIG!B2507=0,"",ORIG!B2507)</f>
        <v/>
      </c>
      <c r="C2507" s="3">
        <f>IF(ORIG!C2507=0,"",ORIG!C2507)</f>
        <v/>
      </c>
      <c r="D2507" s="3">
        <f>IF(ORIG!D2507=0,"",ORIG!D2507)</f>
        <v/>
      </c>
      <c r="E2507" s="3">
        <f>IF(ORIG!E2507=0,"",ORIG!E2507)</f>
        <v/>
      </c>
      <c r="F2507" s="3">
        <f>IF(ORIG!F2507=0,"",ORIG!F2507)</f>
        <v/>
      </c>
      <c r="G2507" s="3">
        <f>IF(ORIG!G2507=0,"",ORIG!G2507)</f>
        <v/>
      </c>
      <c r="H2507" s="3">
        <f>IF(ORIG!H2507=0,"",ORIG!H2507)</f>
        <v/>
      </c>
      <c r="I2507" s="3">
        <f>IF(ORIG!I2507=0,"",ORIG!I2507)</f>
        <v/>
      </c>
      <c r="J2507" s="3">
        <f>IF(ORIG!J2507=0,"",ORIG!J2507)</f>
        <v/>
      </c>
      <c r="K2507" s="3">
        <f>IF(ORIG!K2507=0,"",ORIG!K2507)</f>
        <v/>
      </c>
      <c r="L2507" s="3">
        <f>IF(ORIG!L2507=0,"",ORIG!L2507)</f>
        <v/>
      </c>
      <c r="M2507" s="3">
        <f>IF(ORIG!M2507=0,"",ORIG!M2507)</f>
        <v/>
      </c>
      <c r="N2507" s="3">
        <f>IF(ORIG!N2507=0,"",ORIG!N2507)</f>
        <v/>
      </c>
      <c r="O2507" s="3">
        <f>IF(ORIG!O2507=0,"",ORIG!O2507)</f>
        <v/>
      </c>
      <c r="P2507" s="3">
        <f>IF(ORIG!P2507=0,"",ORIG!P2507)</f>
        <v/>
      </c>
      <c r="Q2507" s="3">
        <f>IF(ORIG!Q2507=0,"",ORIG!Q2507)</f>
        <v/>
      </c>
      <c r="R2507" s="3">
        <f>IF(ORIG!R2507=0,"",ORIG!R2507)</f>
        <v/>
      </c>
      <c r="S2507" s="3">
        <f>IF(ORIG!S2507=0,"",ORIG!S2507)</f>
        <v/>
      </c>
      <c r="T2507" s="3">
        <f>IF(ORIG!T2507=0,"",ORIG!T2507)</f>
        <v/>
      </c>
      <c r="U2507" s="3">
        <f>IF(ORIG!U2507=0,"",ORIG!U2507)</f>
        <v/>
      </c>
      <c r="V2507" s="9">
        <f>IF(ORIG!V2507=0,"",ORIG!V2507)</f>
        <v/>
      </c>
      <c r="W2507" s="9">
        <f>IF(ORIG!W2507=0,"",ORIG!W2507)</f>
        <v/>
      </c>
      <c r="X2507" s="9">
        <f>IF(ORIG!X2507=0,"",ORIG!X2507)</f>
        <v/>
      </c>
      <c r="Y2507" s="9">
        <f>IF(ORIG!Y2507=0,"",ORIG!Y2507)</f>
        <v/>
      </c>
      <c r="Z2507" s="3">
        <f>SUMPRODUCT($B2507:$Y2507,$B$2649:$Y$2649)</f>
        <v/>
      </c>
      <c r="AA2507" s="3">
        <f>SUMPRODUCT($B2507:$Y2507,$B$2655:$Y$2655)</f>
        <v/>
      </c>
      <c r="AC2507" s="1">
        <f>A2507</f>
        <v/>
      </c>
      <c r="AD2507">
        <f>IF(ISNUMBER(V2507),V2507*($AB$1/V$2635),"")</f>
        <v/>
      </c>
      <c r="AE2507">
        <f>IF(ISNUMBER(Z2507),Z2507*($AB$1/Z$2635),"")</f>
        <v/>
      </c>
      <c r="AF2507" s="25">
        <f>IF(ISNUMBER(AD2507+AE2507),AD2507+AE2507,"")</f>
        <v/>
      </c>
      <c r="AH2507" s="1">
        <f>A2507</f>
        <v/>
      </c>
      <c r="AI2507">
        <f>IF(ISNUMBER((1+V2507)*AI2506),(1+V2507)*AI2506,AI2506)</f>
        <v/>
      </c>
      <c r="AJ2507">
        <f>IF(ISNUMBER((1+Z2507)*AJ2506),(1+Z2507)*AJ2506,AJ2506)</f>
        <v/>
      </c>
    </row>
    <row r="2508">
      <c r="A2508" s="1" t="n">
        <v>45642</v>
      </c>
      <c r="B2508" s="3">
        <f>IF(ORIG!B2508=0,"",ORIG!B2508)</f>
        <v/>
      </c>
      <c r="C2508" s="3">
        <f>IF(ORIG!C2508=0,"",ORIG!C2508)</f>
        <v/>
      </c>
      <c r="D2508" s="3">
        <f>IF(ORIG!D2508=0,"",ORIG!D2508)</f>
        <v/>
      </c>
      <c r="E2508" s="3">
        <f>IF(ORIG!E2508=0,"",ORIG!E2508)</f>
        <v/>
      </c>
      <c r="F2508" s="3">
        <f>IF(ORIG!F2508=0,"",ORIG!F2508)</f>
        <v/>
      </c>
      <c r="G2508" s="3">
        <f>IF(ORIG!G2508=0,"",ORIG!G2508)</f>
        <v/>
      </c>
      <c r="H2508" s="3">
        <f>IF(ORIG!H2508=0,"",ORIG!H2508)</f>
        <v/>
      </c>
      <c r="I2508" s="3">
        <f>IF(ORIG!I2508=0,"",ORIG!I2508)</f>
        <v/>
      </c>
      <c r="J2508" s="3">
        <f>IF(ORIG!J2508=0,"",ORIG!J2508)</f>
        <v/>
      </c>
      <c r="K2508" s="3">
        <f>IF(ORIG!K2508=0,"",ORIG!K2508)</f>
        <v/>
      </c>
      <c r="L2508" s="3">
        <f>IF(ORIG!L2508=0,"",ORIG!L2508)</f>
        <v/>
      </c>
      <c r="M2508" s="3">
        <f>IF(ORIG!M2508=0,"",ORIG!M2508)</f>
        <v/>
      </c>
      <c r="N2508" s="3">
        <f>IF(ORIG!N2508=0,"",ORIG!N2508)</f>
        <v/>
      </c>
      <c r="O2508" s="3">
        <f>IF(ORIG!O2508=0,"",ORIG!O2508)</f>
        <v/>
      </c>
      <c r="P2508" s="3">
        <f>IF(ORIG!P2508=0,"",ORIG!P2508)</f>
        <v/>
      </c>
      <c r="Q2508" s="3">
        <f>IF(ORIG!Q2508=0,"",ORIG!Q2508)</f>
        <v/>
      </c>
      <c r="R2508" s="3">
        <f>IF(ORIG!R2508=0,"",ORIG!R2508)</f>
        <v/>
      </c>
      <c r="S2508" s="3">
        <f>IF(ORIG!S2508=0,"",ORIG!S2508)</f>
        <v/>
      </c>
      <c r="T2508" s="3">
        <f>IF(ORIG!T2508=0,"",ORIG!T2508)</f>
        <v/>
      </c>
      <c r="U2508" s="3">
        <f>IF(ORIG!U2508=0,"",ORIG!U2508)</f>
        <v/>
      </c>
      <c r="V2508" s="9">
        <f>IF(ORIG!V2508=0,"",ORIG!V2508)</f>
        <v/>
      </c>
      <c r="W2508" s="9">
        <f>IF(ORIG!W2508=0,"",ORIG!W2508)</f>
        <v/>
      </c>
      <c r="X2508" s="9">
        <f>IF(ORIG!X2508=0,"",ORIG!X2508)</f>
        <v/>
      </c>
      <c r="Y2508" s="9">
        <f>IF(ORIG!Y2508=0,"",ORIG!Y2508)</f>
        <v/>
      </c>
      <c r="Z2508" s="3">
        <f>SUMPRODUCT($B2508:$Y2508,$B$2649:$Y$2649)</f>
        <v/>
      </c>
      <c r="AA2508" s="3">
        <f>SUMPRODUCT($B2508:$Y2508,$B$2655:$Y$2655)</f>
        <v/>
      </c>
      <c r="AC2508" s="1">
        <f>A2508</f>
        <v/>
      </c>
      <c r="AD2508">
        <f>IF(ISNUMBER(V2508),V2508*($AB$1/V$2635),"")</f>
        <v/>
      </c>
      <c r="AE2508">
        <f>IF(ISNUMBER(Z2508),Z2508*($AB$1/Z$2635),"")</f>
        <v/>
      </c>
      <c r="AF2508" s="25">
        <f>IF(ISNUMBER(AD2508+AE2508),AD2508+AE2508,"")</f>
        <v/>
      </c>
      <c r="AH2508" s="1">
        <f>A2508</f>
        <v/>
      </c>
      <c r="AI2508">
        <f>IF(ISNUMBER((1+V2508)*AI2507),(1+V2508)*AI2507,AI2507)</f>
        <v/>
      </c>
      <c r="AJ2508">
        <f>IF(ISNUMBER((1+Z2508)*AJ2507),(1+Z2508)*AJ2507,AJ2507)</f>
        <v/>
      </c>
    </row>
    <row r="2509">
      <c r="A2509" s="1" t="n">
        <v>45643</v>
      </c>
      <c r="B2509" s="3">
        <f>IF(ORIG!B2509=0,"",ORIG!B2509)</f>
        <v/>
      </c>
      <c r="C2509" s="3">
        <f>IF(ORIG!C2509=0,"",ORIG!C2509)</f>
        <v/>
      </c>
      <c r="D2509" s="3">
        <f>IF(ORIG!D2509=0,"",ORIG!D2509)</f>
        <v/>
      </c>
      <c r="E2509" s="3">
        <f>IF(ORIG!E2509=0,"",ORIG!E2509)</f>
        <v/>
      </c>
      <c r="F2509" s="3">
        <f>IF(ORIG!F2509=0,"",ORIG!F2509)</f>
        <v/>
      </c>
      <c r="G2509" s="3">
        <f>IF(ORIG!G2509=0,"",ORIG!G2509)</f>
        <v/>
      </c>
      <c r="H2509" s="3">
        <f>IF(ORIG!H2509=0,"",ORIG!H2509)</f>
        <v/>
      </c>
      <c r="I2509" s="3">
        <f>IF(ORIG!I2509=0,"",ORIG!I2509)</f>
        <v/>
      </c>
      <c r="J2509" s="3">
        <f>IF(ORIG!J2509=0,"",ORIG!J2509)</f>
        <v/>
      </c>
      <c r="K2509" s="3">
        <f>IF(ORIG!K2509=0,"",ORIG!K2509)</f>
        <v/>
      </c>
      <c r="L2509" s="3">
        <f>IF(ORIG!L2509=0,"",ORIG!L2509)</f>
        <v/>
      </c>
      <c r="M2509" s="3">
        <f>IF(ORIG!M2509=0,"",ORIG!M2509)</f>
        <v/>
      </c>
      <c r="N2509" s="3">
        <f>IF(ORIG!N2509=0,"",ORIG!N2509)</f>
        <v/>
      </c>
      <c r="O2509" s="3">
        <f>IF(ORIG!O2509=0,"",ORIG!O2509)</f>
        <v/>
      </c>
      <c r="P2509" s="3">
        <f>IF(ORIG!P2509=0,"",ORIG!P2509)</f>
        <v/>
      </c>
      <c r="Q2509" s="3">
        <f>IF(ORIG!Q2509=0,"",ORIG!Q2509)</f>
        <v/>
      </c>
      <c r="R2509" s="3">
        <f>IF(ORIG!R2509=0,"",ORIG!R2509)</f>
        <v/>
      </c>
      <c r="S2509" s="3">
        <f>IF(ORIG!S2509=0,"",ORIG!S2509)</f>
        <v/>
      </c>
      <c r="T2509" s="3">
        <f>IF(ORIG!T2509=0,"",ORIG!T2509)</f>
        <v/>
      </c>
      <c r="U2509" s="3">
        <f>IF(ORIG!U2509=0,"",ORIG!U2509)</f>
        <v/>
      </c>
      <c r="V2509" s="9">
        <f>IF(ORIG!V2509=0,"",ORIG!V2509)</f>
        <v/>
      </c>
      <c r="W2509" s="9">
        <f>IF(ORIG!W2509=0,"",ORIG!W2509)</f>
        <v/>
      </c>
      <c r="X2509" s="9">
        <f>IF(ORIG!X2509=0,"",ORIG!X2509)</f>
        <v/>
      </c>
      <c r="Y2509" s="9">
        <f>IF(ORIG!Y2509=0,"",ORIG!Y2509)</f>
        <v/>
      </c>
      <c r="Z2509" s="3">
        <f>SUMPRODUCT($B2509:$Y2509,$B$2649:$Y$2649)</f>
        <v/>
      </c>
      <c r="AA2509" s="3">
        <f>SUMPRODUCT($B2509:$Y2509,$B$2655:$Y$2655)</f>
        <v/>
      </c>
      <c r="AC2509" s="1">
        <f>A2509</f>
        <v/>
      </c>
      <c r="AD2509">
        <f>IF(ISNUMBER(V2509),V2509*($AB$1/V$2635),"")</f>
        <v/>
      </c>
      <c r="AE2509">
        <f>IF(ISNUMBER(Z2509),Z2509*($AB$1/Z$2635),"")</f>
        <v/>
      </c>
      <c r="AF2509" s="25">
        <f>IF(ISNUMBER(AD2509+AE2509),AD2509+AE2509,"")</f>
        <v/>
      </c>
      <c r="AH2509" s="1">
        <f>A2509</f>
        <v/>
      </c>
      <c r="AI2509">
        <f>IF(ISNUMBER((1+V2509)*AI2508),(1+V2509)*AI2508,AI2508)</f>
        <v/>
      </c>
      <c r="AJ2509">
        <f>IF(ISNUMBER((1+Z2509)*AJ2508),(1+Z2509)*AJ2508,AJ2508)</f>
        <v/>
      </c>
    </row>
    <row r="2510">
      <c r="A2510" s="1" t="n">
        <v>45644</v>
      </c>
      <c r="B2510" s="3">
        <f>IF(ORIG!B2510=0,"",ORIG!B2510)</f>
        <v/>
      </c>
      <c r="C2510" s="3">
        <f>IF(ORIG!C2510=0,"",ORIG!C2510)</f>
        <v/>
      </c>
      <c r="D2510" s="3">
        <f>IF(ORIG!D2510=0,"",ORIG!D2510)</f>
        <v/>
      </c>
      <c r="E2510" s="3">
        <f>IF(ORIG!E2510=0,"",ORIG!E2510)</f>
        <v/>
      </c>
      <c r="F2510" s="3">
        <f>IF(ORIG!F2510=0,"",ORIG!F2510)</f>
        <v/>
      </c>
      <c r="G2510" s="3">
        <f>IF(ORIG!G2510=0,"",ORIG!G2510)</f>
        <v/>
      </c>
      <c r="H2510" s="3">
        <f>IF(ORIG!H2510=0,"",ORIG!H2510)</f>
        <v/>
      </c>
      <c r="I2510" s="3">
        <f>IF(ORIG!I2510=0,"",ORIG!I2510)</f>
        <v/>
      </c>
      <c r="J2510" s="3">
        <f>IF(ORIG!J2510=0,"",ORIG!J2510)</f>
        <v/>
      </c>
      <c r="K2510" s="3">
        <f>IF(ORIG!K2510=0,"",ORIG!K2510)</f>
        <v/>
      </c>
      <c r="L2510" s="3">
        <f>IF(ORIG!L2510=0,"",ORIG!L2510)</f>
        <v/>
      </c>
      <c r="M2510" s="3">
        <f>IF(ORIG!M2510=0,"",ORIG!M2510)</f>
        <v/>
      </c>
      <c r="N2510" s="3">
        <f>IF(ORIG!N2510=0,"",ORIG!N2510)</f>
        <v/>
      </c>
      <c r="O2510" s="3">
        <f>IF(ORIG!O2510=0,"",ORIG!O2510)</f>
        <v/>
      </c>
      <c r="P2510" s="3">
        <f>IF(ORIG!P2510=0,"",ORIG!P2510)</f>
        <v/>
      </c>
      <c r="Q2510" s="3">
        <f>IF(ORIG!Q2510=0,"",ORIG!Q2510)</f>
        <v/>
      </c>
      <c r="R2510" s="3">
        <f>IF(ORIG!R2510=0,"",ORIG!R2510)</f>
        <v/>
      </c>
      <c r="S2510" s="3">
        <f>IF(ORIG!S2510=0,"",ORIG!S2510)</f>
        <v/>
      </c>
      <c r="T2510" s="3">
        <f>IF(ORIG!T2510=0,"",ORIG!T2510)</f>
        <v/>
      </c>
      <c r="U2510" s="3">
        <f>IF(ORIG!U2510=0,"",ORIG!U2510)</f>
        <v/>
      </c>
      <c r="V2510" s="9">
        <f>IF(ORIG!V2510=0,"",ORIG!V2510)</f>
        <v/>
      </c>
      <c r="W2510" s="9">
        <f>IF(ORIG!W2510=0,"",ORIG!W2510)</f>
        <v/>
      </c>
      <c r="X2510" s="9">
        <f>IF(ORIG!X2510=0,"",ORIG!X2510)</f>
        <v/>
      </c>
      <c r="Y2510" s="9">
        <f>IF(ORIG!Y2510=0,"",ORIG!Y2510)</f>
        <v/>
      </c>
      <c r="Z2510" s="3">
        <f>SUMPRODUCT($B2510:$Y2510,$B$2649:$Y$2649)</f>
        <v/>
      </c>
      <c r="AA2510" s="3">
        <f>SUMPRODUCT($B2510:$Y2510,$B$2655:$Y$2655)</f>
        <v/>
      </c>
      <c r="AC2510" s="1">
        <f>A2510</f>
        <v/>
      </c>
      <c r="AD2510">
        <f>IF(ISNUMBER(V2510),V2510*($AB$1/V$2635),"")</f>
        <v/>
      </c>
      <c r="AE2510">
        <f>IF(ISNUMBER(Z2510),Z2510*($AB$1/Z$2635),"")</f>
        <v/>
      </c>
      <c r="AF2510" s="25">
        <f>IF(ISNUMBER(AD2510+AE2510),AD2510+AE2510,"")</f>
        <v/>
      </c>
      <c r="AH2510" s="1">
        <f>A2510</f>
        <v/>
      </c>
      <c r="AI2510">
        <f>IF(ISNUMBER((1+V2510)*AI2509),(1+V2510)*AI2509,AI2509)</f>
        <v/>
      </c>
      <c r="AJ2510">
        <f>IF(ISNUMBER((1+Z2510)*AJ2509),(1+Z2510)*AJ2509,AJ2509)</f>
        <v/>
      </c>
    </row>
    <row r="2511">
      <c r="A2511" s="1" t="n">
        <v>45645</v>
      </c>
      <c r="B2511" s="3">
        <f>IF(ORIG!B2511=0,"",ORIG!B2511)</f>
        <v/>
      </c>
      <c r="C2511" s="3">
        <f>IF(ORIG!C2511=0,"",ORIG!C2511)</f>
        <v/>
      </c>
      <c r="D2511" s="3">
        <f>IF(ORIG!D2511=0,"",ORIG!D2511)</f>
        <v/>
      </c>
      <c r="E2511" s="3">
        <f>IF(ORIG!E2511=0,"",ORIG!E2511)</f>
        <v/>
      </c>
      <c r="F2511" s="3">
        <f>IF(ORIG!F2511=0,"",ORIG!F2511)</f>
        <v/>
      </c>
      <c r="G2511" s="3">
        <f>IF(ORIG!G2511=0,"",ORIG!G2511)</f>
        <v/>
      </c>
      <c r="H2511" s="3">
        <f>IF(ORIG!H2511=0,"",ORIG!H2511)</f>
        <v/>
      </c>
      <c r="I2511" s="3">
        <f>IF(ORIG!I2511=0,"",ORIG!I2511)</f>
        <v/>
      </c>
      <c r="J2511" s="3">
        <f>IF(ORIG!J2511=0,"",ORIG!J2511)</f>
        <v/>
      </c>
      <c r="K2511" s="3">
        <f>IF(ORIG!K2511=0,"",ORIG!K2511)</f>
        <v/>
      </c>
      <c r="L2511" s="3">
        <f>IF(ORIG!L2511=0,"",ORIG!L2511)</f>
        <v/>
      </c>
      <c r="M2511" s="3">
        <f>IF(ORIG!M2511=0,"",ORIG!M2511)</f>
        <v/>
      </c>
      <c r="N2511" s="3">
        <f>IF(ORIG!N2511=0,"",ORIG!N2511)</f>
        <v/>
      </c>
      <c r="O2511" s="3">
        <f>IF(ORIG!O2511=0,"",ORIG!O2511)</f>
        <v/>
      </c>
      <c r="P2511" s="3">
        <f>IF(ORIG!P2511=0,"",ORIG!P2511)</f>
        <v/>
      </c>
      <c r="Q2511" s="3">
        <f>IF(ORIG!Q2511=0,"",ORIG!Q2511)</f>
        <v/>
      </c>
      <c r="R2511" s="3">
        <f>IF(ORIG!R2511=0,"",ORIG!R2511)</f>
        <v/>
      </c>
      <c r="S2511" s="3">
        <f>IF(ORIG!S2511=0,"",ORIG!S2511)</f>
        <v/>
      </c>
      <c r="T2511" s="3">
        <f>IF(ORIG!T2511=0,"",ORIG!T2511)</f>
        <v/>
      </c>
      <c r="U2511" s="3">
        <f>IF(ORIG!U2511=0,"",ORIG!U2511)</f>
        <v/>
      </c>
      <c r="V2511" s="9">
        <f>IF(ORIG!V2511=0,"",ORIG!V2511)</f>
        <v/>
      </c>
      <c r="W2511" s="9">
        <f>IF(ORIG!W2511=0,"",ORIG!W2511)</f>
        <v/>
      </c>
      <c r="X2511" s="9">
        <f>IF(ORIG!X2511=0,"",ORIG!X2511)</f>
        <v/>
      </c>
      <c r="Y2511" s="9">
        <f>IF(ORIG!Y2511=0,"",ORIG!Y2511)</f>
        <v/>
      </c>
      <c r="Z2511" s="3">
        <f>SUMPRODUCT($B2511:$Y2511,$B$2649:$Y$2649)</f>
        <v/>
      </c>
      <c r="AA2511" s="3">
        <f>SUMPRODUCT($B2511:$Y2511,$B$2655:$Y$2655)</f>
        <v/>
      </c>
      <c r="AC2511" s="1">
        <f>A2511</f>
        <v/>
      </c>
      <c r="AD2511">
        <f>IF(ISNUMBER(V2511),V2511*($AB$1/V$2635),"")</f>
        <v/>
      </c>
      <c r="AE2511">
        <f>IF(ISNUMBER(Z2511),Z2511*($AB$1/Z$2635),"")</f>
        <v/>
      </c>
      <c r="AF2511" s="25">
        <f>IF(ISNUMBER(AD2511+AE2511),AD2511+AE2511,"")</f>
        <v/>
      </c>
      <c r="AH2511" s="1">
        <f>A2511</f>
        <v/>
      </c>
      <c r="AI2511">
        <f>IF(ISNUMBER((1+V2511)*AI2510),(1+V2511)*AI2510,AI2510)</f>
        <v/>
      </c>
      <c r="AJ2511">
        <f>IF(ISNUMBER((1+Z2511)*AJ2510),(1+Z2511)*AJ2510,AJ2510)</f>
        <v/>
      </c>
    </row>
    <row r="2512">
      <c r="A2512" s="1" t="n">
        <v>45646</v>
      </c>
      <c r="B2512" s="3">
        <f>IF(ORIG!B2512=0,"",ORIG!B2512)</f>
        <v/>
      </c>
      <c r="C2512" s="3">
        <f>IF(ORIG!C2512=0,"",ORIG!C2512)</f>
        <v/>
      </c>
      <c r="D2512" s="3">
        <f>IF(ORIG!D2512=0,"",ORIG!D2512)</f>
        <v/>
      </c>
      <c r="E2512" s="3">
        <f>IF(ORIG!E2512=0,"",ORIG!E2512)</f>
        <v/>
      </c>
      <c r="F2512" s="3">
        <f>IF(ORIG!F2512=0,"",ORIG!F2512)</f>
        <v/>
      </c>
      <c r="G2512" s="3">
        <f>IF(ORIG!G2512=0,"",ORIG!G2512)</f>
        <v/>
      </c>
      <c r="H2512" s="3">
        <f>IF(ORIG!H2512=0,"",ORIG!H2512)</f>
        <v/>
      </c>
      <c r="I2512" s="3">
        <f>IF(ORIG!I2512=0,"",ORIG!I2512)</f>
        <v/>
      </c>
      <c r="J2512" s="3">
        <f>IF(ORIG!J2512=0,"",ORIG!J2512)</f>
        <v/>
      </c>
      <c r="K2512" s="3">
        <f>IF(ORIG!K2512=0,"",ORIG!K2512)</f>
        <v/>
      </c>
      <c r="L2512" s="3">
        <f>IF(ORIG!L2512=0,"",ORIG!L2512)</f>
        <v/>
      </c>
      <c r="M2512" s="3">
        <f>IF(ORIG!M2512=0,"",ORIG!M2512)</f>
        <v/>
      </c>
      <c r="N2512" s="3">
        <f>IF(ORIG!N2512=0,"",ORIG!N2512)</f>
        <v/>
      </c>
      <c r="O2512" s="3">
        <f>IF(ORIG!O2512=0,"",ORIG!O2512)</f>
        <v/>
      </c>
      <c r="P2512" s="3">
        <f>IF(ORIG!P2512=0,"",ORIG!P2512)</f>
        <v/>
      </c>
      <c r="Q2512" s="3">
        <f>IF(ORIG!Q2512=0,"",ORIG!Q2512)</f>
        <v/>
      </c>
      <c r="R2512" s="3">
        <f>IF(ORIG!R2512=0,"",ORIG!R2512)</f>
        <v/>
      </c>
      <c r="S2512" s="3">
        <f>IF(ORIG!S2512=0,"",ORIG!S2512)</f>
        <v/>
      </c>
      <c r="T2512" s="3">
        <f>IF(ORIG!T2512=0,"",ORIG!T2512)</f>
        <v/>
      </c>
      <c r="U2512" s="3">
        <f>IF(ORIG!U2512=0,"",ORIG!U2512)</f>
        <v/>
      </c>
      <c r="V2512" s="9">
        <f>IF(ORIG!V2512=0,"",ORIG!V2512)</f>
        <v/>
      </c>
      <c r="W2512" s="9">
        <f>IF(ORIG!W2512=0,"",ORIG!W2512)</f>
        <v/>
      </c>
      <c r="X2512" s="9">
        <f>IF(ORIG!X2512=0,"",ORIG!X2512)</f>
        <v/>
      </c>
      <c r="Y2512" s="9">
        <f>IF(ORIG!Y2512=0,"",ORIG!Y2512)</f>
        <v/>
      </c>
      <c r="Z2512" s="3">
        <f>SUMPRODUCT($B2512:$Y2512,$B$2649:$Y$2649)</f>
        <v/>
      </c>
      <c r="AA2512" s="3">
        <f>SUMPRODUCT($B2512:$Y2512,$B$2655:$Y$2655)</f>
        <v/>
      </c>
      <c r="AC2512" s="1">
        <f>A2512</f>
        <v/>
      </c>
      <c r="AD2512">
        <f>IF(ISNUMBER(V2512),V2512*($AB$1/V$2635),"")</f>
        <v/>
      </c>
      <c r="AE2512">
        <f>IF(ISNUMBER(Z2512),Z2512*($AB$1/Z$2635),"")</f>
        <v/>
      </c>
      <c r="AF2512" s="25">
        <f>IF(ISNUMBER(AD2512+AE2512),AD2512+AE2512,"")</f>
        <v/>
      </c>
      <c r="AH2512" s="1">
        <f>A2512</f>
        <v/>
      </c>
      <c r="AI2512">
        <f>IF(ISNUMBER((1+V2512)*AI2511),(1+V2512)*AI2511,AI2511)</f>
        <v/>
      </c>
      <c r="AJ2512">
        <f>IF(ISNUMBER((1+Z2512)*AJ2511),(1+Z2512)*AJ2511,AJ2511)</f>
        <v/>
      </c>
    </row>
    <row r="2513">
      <c r="A2513" s="1" t="n">
        <v>45649</v>
      </c>
      <c r="B2513" s="3">
        <f>IF(ORIG!B2513=0,"",ORIG!B2513)</f>
        <v/>
      </c>
      <c r="C2513" s="3">
        <f>IF(ORIG!C2513=0,"",ORIG!C2513)</f>
        <v/>
      </c>
      <c r="D2513" s="3">
        <f>IF(ORIG!D2513=0,"",ORIG!D2513)</f>
        <v/>
      </c>
      <c r="E2513" s="3">
        <f>IF(ORIG!E2513=0,"",ORIG!E2513)</f>
        <v/>
      </c>
      <c r="F2513" s="3">
        <f>IF(ORIG!F2513=0,"",ORIG!F2513)</f>
        <v/>
      </c>
      <c r="G2513" s="3">
        <f>IF(ORIG!G2513=0,"",ORIG!G2513)</f>
        <v/>
      </c>
      <c r="H2513" s="3">
        <f>IF(ORIG!H2513=0,"",ORIG!H2513)</f>
        <v/>
      </c>
      <c r="I2513" s="3">
        <f>IF(ORIG!I2513=0,"",ORIG!I2513)</f>
        <v/>
      </c>
      <c r="J2513" s="3">
        <f>IF(ORIG!J2513=0,"",ORIG!J2513)</f>
        <v/>
      </c>
      <c r="K2513" s="3">
        <f>IF(ORIG!K2513=0,"",ORIG!K2513)</f>
        <v/>
      </c>
      <c r="L2513" s="3">
        <f>IF(ORIG!L2513=0,"",ORIG!L2513)</f>
        <v/>
      </c>
      <c r="M2513" s="3">
        <f>IF(ORIG!M2513=0,"",ORIG!M2513)</f>
        <v/>
      </c>
      <c r="N2513" s="3">
        <f>IF(ORIG!N2513=0,"",ORIG!N2513)</f>
        <v/>
      </c>
      <c r="O2513" s="3">
        <f>IF(ORIG!O2513=0,"",ORIG!O2513)</f>
        <v/>
      </c>
      <c r="P2513" s="3">
        <f>IF(ORIG!P2513=0,"",ORIG!P2513)</f>
        <v/>
      </c>
      <c r="Q2513" s="3">
        <f>IF(ORIG!Q2513=0,"",ORIG!Q2513)</f>
        <v/>
      </c>
      <c r="R2513" s="3">
        <f>IF(ORIG!R2513=0,"",ORIG!R2513)</f>
        <v/>
      </c>
      <c r="S2513" s="3">
        <f>IF(ORIG!S2513=0,"",ORIG!S2513)</f>
        <v/>
      </c>
      <c r="T2513" s="3">
        <f>IF(ORIG!T2513=0,"",ORIG!T2513)</f>
        <v/>
      </c>
      <c r="U2513" s="3">
        <f>IF(ORIG!U2513=0,"",ORIG!U2513)</f>
        <v/>
      </c>
      <c r="V2513" s="9">
        <f>IF(ORIG!V2513=0,"",ORIG!V2513)</f>
        <v/>
      </c>
      <c r="W2513" s="9">
        <f>IF(ORIG!W2513=0,"",ORIG!W2513)</f>
        <v/>
      </c>
      <c r="X2513" s="9">
        <f>IF(ORIG!X2513=0,"",ORIG!X2513)</f>
        <v/>
      </c>
      <c r="Y2513" s="9">
        <f>IF(ORIG!Y2513=0,"",ORIG!Y2513)</f>
        <v/>
      </c>
      <c r="Z2513" s="3">
        <f>SUMPRODUCT($B2513:$Y2513,$B$2649:$Y$2649)</f>
        <v/>
      </c>
      <c r="AA2513" s="3">
        <f>SUMPRODUCT($B2513:$Y2513,$B$2655:$Y$2655)</f>
        <v/>
      </c>
      <c r="AC2513" s="1">
        <f>A2513</f>
        <v/>
      </c>
      <c r="AD2513">
        <f>IF(ISNUMBER(V2513),V2513*($AB$1/V$2635),"")</f>
        <v/>
      </c>
      <c r="AE2513">
        <f>IF(ISNUMBER(Z2513),Z2513*($AB$1/Z$2635),"")</f>
        <v/>
      </c>
      <c r="AF2513" s="25">
        <f>IF(ISNUMBER(AD2513+AE2513),AD2513+AE2513,"")</f>
        <v/>
      </c>
      <c r="AH2513" s="1">
        <f>A2513</f>
        <v/>
      </c>
      <c r="AI2513">
        <f>IF(ISNUMBER((1+V2513)*AI2512),(1+V2513)*AI2512,AI2512)</f>
        <v/>
      </c>
      <c r="AJ2513">
        <f>IF(ISNUMBER((1+Z2513)*AJ2512),(1+Z2513)*AJ2512,AJ2512)</f>
        <v/>
      </c>
    </row>
    <row r="2514">
      <c r="A2514" s="1" t="n">
        <v>45650</v>
      </c>
      <c r="B2514" s="3">
        <f>IF(ORIG!B2514=0,"",ORIG!B2514)</f>
        <v/>
      </c>
      <c r="C2514" s="3">
        <f>IF(ORIG!C2514=0,"",ORIG!C2514)</f>
        <v/>
      </c>
      <c r="D2514" s="3">
        <f>IF(ORIG!D2514=0,"",ORIG!D2514)</f>
        <v/>
      </c>
      <c r="E2514" s="3">
        <f>IF(ORIG!E2514=0,"",ORIG!E2514)</f>
        <v/>
      </c>
      <c r="F2514" s="3">
        <f>IF(ORIG!F2514=0,"",ORIG!F2514)</f>
        <v/>
      </c>
      <c r="G2514" s="3">
        <f>IF(ORIG!G2514=0,"",ORIG!G2514)</f>
        <v/>
      </c>
      <c r="H2514" s="3">
        <f>IF(ORIG!H2514=0,"",ORIG!H2514)</f>
        <v/>
      </c>
      <c r="I2514" s="3">
        <f>IF(ORIG!I2514=0,"",ORIG!I2514)</f>
        <v/>
      </c>
      <c r="J2514" s="3">
        <f>IF(ORIG!J2514=0,"",ORIG!J2514)</f>
        <v/>
      </c>
      <c r="K2514" s="3">
        <f>IF(ORIG!K2514=0,"",ORIG!K2514)</f>
        <v/>
      </c>
      <c r="L2514" s="3">
        <f>IF(ORIG!L2514=0,"",ORIG!L2514)</f>
        <v/>
      </c>
      <c r="M2514" s="3">
        <f>IF(ORIG!M2514=0,"",ORIG!M2514)</f>
        <v/>
      </c>
      <c r="N2514" s="3">
        <f>IF(ORIG!N2514=0,"",ORIG!N2514)</f>
        <v/>
      </c>
      <c r="O2514" s="3">
        <f>IF(ORIG!O2514=0,"",ORIG!O2514)</f>
        <v/>
      </c>
      <c r="P2514" s="3">
        <f>IF(ORIG!P2514=0,"",ORIG!P2514)</f>
        <v/>
      </c>
      <c r="Q2514" s="3">
        <f>IF(ORIG!Q2514=0,"",ORIG!Q2514)</f>
        <v/>
      </c>
      <c r="R2514" s="3">
        <f>IF(ORIG!R2514=0,"",ORIG!R2514)</f>
        <v/>
      </c>
      <c r="S2514" s="3">
        <f>IF(ORIG!S2514=0,"",ORIG!S2514)</f>
        <v/>
      </c>
      <c r="T2514" s="3">
        <f>IF(ORIG!T2514=0,"",ORIG!T2514)</f>
        <v/>
      </c>
      <c r="U2514" s="3">
        <f>IF(ORIG!U2514=0,"",ORIG!U2514)</f>
        <v/>
      </c>
      <c r="V2514" s="9">
        <f>IF(ORIG!V2514=0,"",ORIG!V2514)</f>
        <v/>
      </c>
      <c r="W2514" s="9">
        <f>IF(ORIG!W2514=0,"",ORIG!W2514)</f>
        <v/>
      </c>
      <c r="X2514" s="9">
        <f>IF(ORIG!X2514=0,"",ORIG!X2514)</f>
        <v/>
      </c>
      <c r="Y2514" s="9">
        <f>IF(ORIG!Y2514=0,"",ORIG!Y2514)</f>
        <v/>
      </c>
      <c r="Z2514" s="3">
        <f>SUMPRODUCT($B2514:$Y2514,$B$2649:$Y$2649)</f>
        <v/>
      </c>
      <c r="AA2514" s="3">
        <f>SUMPRODUCT($B2514:$Y2514,$B$2655:$Y$2655)</f>
        <v/>
      </c>
      <c r="AC2514" s="1">
        <f>A2514</f>
        <v/>
      </c>
      <c r="AD2514">
        <f>IF(ISNUMBER(V2514),V2514*($AB$1/V$2635),"")</f>
        <v/>
      </c>
      <c r="AE2514">
        <f>IF(ISNUMBER(Z2514),Z2514*($AB$1/Z$2635),"")</f>
        <v/>
      </c>
      <c r="AF2514" s="25">
        <f>IF(ISNUMBER(AD2514+AE2514),AD2514+AE2514,"")</f>
        <v/>
      </c>
      <c r="AH2514" s="1">
        <f>A2514</f>
        <v/>
      </c>
      <c r="AI2514">
        <f>IF(ISNUMBER((1+V2514)*AI2513),(1+V2514)*AI2513,AI2513)</f>
        <v/>
      </c>
      <c r="AJ2514">
        <f>IF(ISNUMBER((1+Z2514)*AJ2513),(1+Z2514)*AJ2513,AJ2513)</f>
        <v/>
      </c>
    </row>
    <row r="2515">
      <c r="A2515" s="1" t="n">
        <v>45652</v>
      </c>
      <c r="B2515" s="3">
        <f>IF(ORIG!B2515=0,"",ORIG!B2515)</f>
        <v/>
      </c>
      <c r="C2515" s="3">
        <f>IF(ORIG!C2515=0,"",ORIG!C2515)</f>
        <v/>
      </c>
      <c r="D2515" s="3">
        <f>IF(ORIG!D2515=0,"",ORIG!D2515)</f>
        <v/>
      </c>
      <c r="E2515" s="3">
        <f>IF(ORIG!E2515=0,"",ORIG!E2515)</f>
        <v/>
      </c>
      <c r="F2515" s="3">
        <f>IF(ORIG!F2515=0,"",ORIG!F2515)</f>
        <v/>
      </c>
      <c r="G2515" s="3">
        <f>IF(ORIG!G2515=0,"",ORIG!G2515)</f>
        <v/>
      </c>
      <c r="H2515" s="3">
        <f>IF(ORIG!H2515=0,"",ORIG!H2515)</f>
        <v/>
      </c>
      <c r="I2515" s="3">
        <f>IF(ORIG!I2515=0,"",ORIG!I2515)</f>
        <v/>
      </c>
      <c r="J2515" s="3">
        <f>IF(ORIG!J2515=0,"",ORIG!J2515)</f>
        <v/>
      </c>
      <c r="K2515" s="3">
        <f>IF(ORIG!K2515=0,"",ORIG!K2515)</f>
        <v/>
      </c>
      <c r="L2515" s="3">
        <f>IF(ORIG!L2515=0,"",ORIG!L2515)</f>
        <v/>
      </c>
      <c r="M2515" s="3">
        <f>IF(ORIG!M2515=0,"",ORIG!M2515)</f>
        <v/>
      </c>
      <c r="N2515" s="3">
        <f>IF(ORIG!N2515=0,"",ORIG!N2515)</f>
        <v/>
      </c>
      <c r="O2515" s="3">
        <f>IF(ORIG!O2515=0,"",ORIG!O2515)</f>
        <v/>
      </c>
      <c r="P2515" s="3">
        <f>IF(ORIG!P2515=0,"",ORIG!P2515)</f>
        <v/>
      </c>
      <c r="Q2515" s="3">
        <f>IF(ORIG!Q2515=0,"",ORIG!Q2515)</f>
        <v/>
      </c>
      <c r="R2515" s="3">
        <f>IF(ORIG!R2515=0,"",ORIG!R2515)</f>
        <v/>
      </c>
      <c r="S2515" s="3">
        <f>IF(ORIG!S2515=0,"",ORIG!S2515)</f>
        <v/>
      </c>
      <c r="T2515" s="3">
        <f>IF(ORIG!T2515=0,"",ORIG!T2515)</f>
        <v/>
      </c>
      <c r="U2515" s="3">
        <f>IF(ORIG!U2515=0,"",ORIG!U2515)</f>
        <v/>
      </c>
      <c r="V2515" s="9">
        <f>IF(ORIG!V2515=0,"",ORIG!V2515)</f>
        <v/>
      </c>
      <c r="W2515" s="9">
        <f>IF(ORIG!W2515=0,"",ORIG!W2515)</f>
        <v/>
      </c>
      <c r="X2515" s="9">
        <f>IF(ORIG!X2515=0,"",ORIG!X2515)</f>
        <v/>
      </c>
      <c r="Y2515" s="9">
        <f>IF(ORIG!Y2515=0,"",ORIG!Y2515)</f>
        <v/>
      </c>
      <c r="Z2515" s="3">
        <f>SUMPRODUCT($B2515:$Y2515,$B$2649:$Y$2649)</f>
        <v/>
      </c>
      <c r="AA2515" s="3">
        <f>SUMPRODUCT($B2515:$Y2515,$B$2655:$Y$2655)</f>
        <v/>
      </c>
      <c r="AC2515" s="1">
        <f>A2515</f>
        <v/>
      </c>
      <c r="AD2515">
        <f>IF(ISNUMBER(V2515),V2515*($AB$1/V$2635),"")</f>
        <v/>
      </c>
      <c r="AE2515">
        <f>IF(ISNUMBER(Z2515),Z2515*($AB$1/Z$2635),"")</f>
        <v/>
      </c>
      <c r="AF2515" s="25">
        <f>IF(ISNUMBER(AD2515+AE2515),AD2515+AE2515,"")</f>
        <v/>
      </c>
      <c r="AH2515" s="1">
        <f>A2515</f>
        <v/>
      </c>
      <c r="AI2515">
        <f>IF(ISNUMBER((1+V2515)*AI2514),(1+V2515)*AI2514,AI2514)</f>
        <v/>
      </c>
      <c r="AJ2515">
        <f>IF(ISNUMBER((1+Z2515)*AJ2514),(1+Z2515)*AJ2514,AJ2514)</f>
        <v/>
      </c>
    </row>
    <row r="2516">
      <c r="A2516" s="1" t="n">
        <v>45653</v>
      </c>
      <c r="B2516" s="3">
        <f>IF(ORIG!B2516=0,"",ORIG!B2516)</f>
        <v/>
      </c>
      <c r="C2516" s="3">
        <f>IF(ORIG!C2516=0,"",ORIG!C2516)</f>
        <v/>
      </c>
      <c r="D2516" s="3">
        <f>IF(ORIG!D2516=0,"",ORIG!D2516)</f>
        <v/>
      </c>
      <c r="E2516" s="3">
        <f>IF(ORIG!E2516=0,"",ORIG!E2516)</f>
        <v/>
      </c>
      <c r="F2516" s="3">
        <f>IF(ORIG!F2516=0,"",ORIG!F2516)</f>
        <v/>
      </c>
      <c r="G2516" s="3">
        <f>IF(ORIG!G2516=0,"",ORIG!G2516)</f>
        <v/>
      </c>
      <c r="H2516" s="3">
        <f>IF(ORIG!H2516=0,"",ORIG!H2516)</f>
        <v/>
      </c>
      <c r="I2516" s="3">
        <f>IF(ORIG!I2516=0,"",ORIG!I2516)</f>
        <v/>
      </c>
      <c r="J2516" s="3">
        <f>IF(ORIG!J2516=0,"",ORIG!J2516)</f>
        <v/>
      </c>
      <c r="K2516" s="3">
        <f>IF(ORIG!K2516=0,"",ORIG!K2516)</f>
        <v/>
      </c>
      <c r="L2516" s="3">
        <f>IF(ORIG!L2516=0,"",ORIG!L2516)</f>
        <v/>
      </c>
      <c r="M2516" s="3">
        <f>IF(ORIG!M2516=0,"",ORIG!M2516)</f>
        <v/>
      </c>
      <c r="N2516" s="3">
        <f>IF(ORIG!N2516=0,"",ORIG!N2516)</f>
        <v/>
      </c>
      <c r="O2516" s="3">
        <f>IF(ORIG!O2516=0,"",ORIG!O2516)</f>
        <v/>
      </c>
      <c r="P2516" s="3">
        <f>IF(ORIG!P2516=0,"",ORIG!P2516)</f>
        <v/>
      </c>
      <c r="Q2516" s="3">
        <f>IF(ORIG!Q2516=0,"",ORIG!Q2516)</f>
        <v/>
      </c>
      <c r="R2516" s="3">
        <f>IF(ORIG!R2516=0,"",ORIG!R2516)</f>
        <v/>
      </c>
      <c r="S2516" s="3">
        <f>IF(ORIG!S2516=0,"",ORIG!S2516)</f>
        <v/>
      </c>
      <c r="T2516" s="3">
        <f>IF(ORIG!T2516=0,"",ORIG!T2516)</f>
        <v/>
      </c>
      <c r="U2516" s="3">
        <f>IF(ORIG!U2516=0,"",ORIG!U2516)</f>
        <v/>
      </c>
      <c r="V2516" s="9">
        <f>IF(ORIG!V2516=0,"",ORIG!V2516)</f>
        <v/>
      </c>
      <c r="W2516" s="9">
        <f>IF(ORIG!W2516=0,"",ORIG!W2516)</f>
        <v/>
      </c>
      <c r="X2516" s="9">
        <f>IF(ORIG!X2516=0,"",ORIG!X2516)</f>
        <v/>
      </c>
      <c r="Y2516" s="9">
        <f>IF(ORIG!Y2516=0,"",ORIG!Y2516)</f>
        <v/>
      </c>
      <c r="Z2516" s="3">
        <f>SUMPRODUCT($B2516:$Y2516,$B$2649:$Y$2649)</f>
        <v/>
      </c>
      <c r="AA2516" s="3">
        <f>SUMPRODUCT($B2516:$Y2516,$B$2655:$Y$2655)</f>
        <v/>
      </c>
      <c r="AC2516" s="1">
        <f>A2516</f>
        <v/>
      </c>
      <c r="AD2516">
        <f>IF(ISNUMBER(V2516),V2516*($AB$1/V$2635),"")</f>
        <v/>
      </c>
      <c r="AE2516">
        <f>IF(ISNUMBER(Z2516),Z2516*($AB$1/Z$2635),"")</f>
        <v/>
      </c>
      <c r="AF2516" s="25">
        <f>IF(ISNUMBER(AD2516+AE2516),AD2516+AE2516,"")</f>
        <v/>
      </c>
      <c r="AH2516" s="1">
        <f>A2516</f>
        <v/>
      </c>
      <c r="AI2516">
        <f>IF(ISNUMBER((1+V2516)*AI2515),(1+V2516)*AI2515,AI2515)</f>
        <v/>
      </c>
      <c r="AJ2516">
        <f>IF(ISNUMBER((1+Z2516)*AJ2515),(1+Z2516)*AJ2515,AJ2515)</f>
        <v/>
      </c>
    </row>
    <row r="2517">
      <c r="A2517" s="1" t="n">
        <v>45656</v>
      </c>
      <c r="B2517" s="3">
        <f>IF(ORIG!B2517=0,"",ORIG!B2517)</f>
        <v/>
      </c>
      <c r="C2517" s="3">
        <f>IF(ORIG!C2517=0,"",ORIG!C2517)</f>
        <v/>
      </c>
      <c r="D2517" s="3">
        <f>IF(ORIG!D2517=0,"",ORIG!D2517)</f>
        <v/>
      </c>
      <c r="E2517" s="3">
        <f>IF(ORIG!E2517=0,"",ORIG!E2517)</f>
        <v/>
      </c>
      <c r="F2517" s="3">
        <f>IF(ORIG!F2517=0,"",ORIG!F2517)</f>
        <v/>
      </c>
      <c r="G2517" s="3">
        <f>IF(ORIG!G2517=0,"",ORIG!G2517)</f>
        <v/>
      </c>
      <c r="H2517" s="3">
        <f>IF(ORIG!H2517=0,"",ORIG!H2517)</f>
        <v/>
      </c>
      <c r="I2517" s="3">
        <f>IF(ORIG!I2517=0,"",ORIG!I2517)</f>
        <v/>
      </c>
      <c r="J2517" s="3">
        <f>IF(ORIG!J2517=0,"",ORIG!J2517)</f>
        <v/>
      </c>
      <c r="K2517" s="3">
        <f>IF(ORIG!K2517=0,"",ORIG!K2517)</f>
        <v/>
      </c>
      <c r="L2517" s="3">
        <f>IF(ORIG!L2517=0,"",ORIG!L2517)</f>
        <v/>
      </c>
      <c r="M2517" s="3">
        <f>IF(ORIG!M2517=0,"",ORIG!M2517)</f>
        <v/>
      </c>
      <c r="N2517" s="3">
        <f>IF(ORIG!N2517=0,"",ORIG!N2517)</f>
        <v/>
      </c>
      <c r="O2517" s="3">
        <f>IF(ORIG!O2517=0,"",ORIG!O2517)</f>
        <v/>
      </c>
      <c r="P2517" s="3">
        <f>IF(ORIG!P2517=0,"",ORIG!P2517)</f>
        <v/>
      </c>
      <c r="Q2517" s="3">
        <f>IF(ORIG!Q2517=0,"",ORIG!Q2517)</f>
        <v/>
      </c>
      <c r="R2517" s="3">
        <f>IF(ORIG!R2517=0,"",ORIG!R2517)</f>
        <v/>
      </c>
      <c r="S2517" s="3">
        <f>IF(ORIG!S2517=0,"",ORIG!S2517)</f>
        <v/>
      </c>
      <c r="T2517" s="3">
        <f>IF(ORIG!T2517=0,"",ORIG!T2517)</f>
        <v/>
      </c>
      <c r="U2517" s="3">
        <f>IF(ORIG!U2517=0,"",ORIG!U2517)</f>
        <v/>
      </c>
      <c r="V2517" s="9">
        <f>IF(ORIG!V2517=0,"",ORIG!V2517)</f>
        <v/>
      </c>
      <c r="W2517" s="9">
        <f>IF(ORIG!W2517=0,"",ORIG!W2517)</f>
        <v/>
      </c>
      <c r="X2517" s="9">
        <f>IF(ORIG!X2517=0,"",ORIG!X2517)</f>
        <v/>
      </c>
      <c r="Y2517" s="9">
        <f>IF(ORIG!Y2517=0,"",ORIG!Y2517)</f>
        <v/>
      </c>
      <c r="Z2517" s="3">
        <f>SUMPRODUCT($B2517:$Y2517,$B$2649:$Y$2649)</f>
        <v/>
      </c>
      <c r="AA2517" s="3">
        <f>SUMPRODUCT($B2517:$Y2517,$B$2655:$Y$2655)</f>
        <v/>
      </c>
      <c r="AC2517" s="1">
        <f>A2517</f>
        <v/>
      </c>
      <c r="AD2517">
        <f>IF(ISNUMBER(V2517),V2517*($AB$1/V$2635),"")</f>
        <v/>
      </c>
      <c r="AE2517">
        <f>IF(ISNUMBER(Z2517),Z2517*($AB$1/Z$2635),"")</f>
        <v/>
      </c>
      <c r="AF2517" s="25">
        <f>IF(ISNUMBER(AD2517+AE2517),AD2517+AE2517,"")</f>
        <v/>
      </c>
      <c r="AH2517" s="1">
        <f>A2517</f>
        <v/>
      </c>
      <c r="AI2517">
        <f>IF(ISNUMBER((1+V2517)*AI2516),(1+V2517)*AI2516,AI2516)</f>
        <v/>
      </c>
      <c r="AJ2517">
        <f>IF(ISNUMBER((1+Z2517)*AJ2516),(1+Z2517)*AJ2516,AJ2516)</f>
        <v/>
      </c>
    </row>
    <row r="2518">
      <c r="A2518" s="1" t="n">
        <v>45657</v>
      </c>
      <c r="B2518" s="3">
        <f>IF(ORIG!B2518=0,"",ORIG!B2518)</f>
        <v/>
      </c>
      <c r="C2518" s="3">
        <f>IF(ORIG!C2518=0,"",ORIG!C2518)</f>
        <v/>
      </c>
      <c r="D2518" s="3">
        <f>IF(ORIG!D2518=0,"",ORIG!D2518)</f>
        <v/>
      </c>
      <c r="E2518" s="3">
        <f>IF(ORIG!E2518=0,"",ORIG!E2518)</f>
        <v/>
      </c>
      <c r="F2518" s="3">
        <f>IF(ORIG!F2518=0,"",ORIG!F2518)</f>
        <v/>
      </c>
      <c r="G2518" s="3">
        <f>IF(ORIG!G2518=0,"",ORIG!G2518)</f>
        <v/>
      </c>
      <c r="H2518" s="3">
        <f>IF(ORIG!H2518=0,"",ORIG!H2518)</f>
        <v/>
      </c>
      <c r="I2518" s="3">
        <f>IF(ORIG!I2518=0,"",ORIG!I2518)</f>
        <v/>
      </c>
      <c r="J2518" s="3">
        <f>IF(ORIG!J2518=0,"",ORIG!J2518)</f>
        <v/>
      </c>
      <c r="K2518" s="3">
        <f>IF(ORIG!K2518=0,"",ORIG!K2518)</f>
        <v/>
      </c>
      <c r="L2518" s="3">
        <f>IF(ORIG!L2518=0,"",ORIG!L2518)</f>
        <v/>
      </c>
      <c r="M2518" s="3">
        <f>IF(ORIG!M2518=0,"",ORIG!M2518)</f>
        <v/>
      </c>
      <c r="N2518" s="3">
        <f>IF(ORIG!N2518=0,"",ORIG!N2518)</f>
        <v/>
      </c>
      <c r="O2518" s="3">
        <f>IF(ORIG!O2518=0,"",ORIG!O2518)</f>
        <v/>
      </c>
      <c r="P2518" s="3">
        <f>IF(ORIG!P2518=0,"",ORIG!P2518)</f>
        <v/>
      </c>
      <c r="Q2518" s="3">
        <f>IF(ORIG!Q2518=0,"",ORIG!Q2518)</f>
        <v/>
      </c>
      <c r="R2518" s="3">
        <f>IF(ORIG!R2518=0,"",ORIG!R2518)</f>
        <v/>
      </c>
      <c r="S2518" s="3">
        <f>IF(ORIG!S2518=0,"",ORIG!S2518)</f>
        <v/>
      </c>
      <c r="T2518" s="3">
        <f>IF(ORIG!T2518=0,"",ORIG!T2518)</f>
        <v/>
      </c>
      <c r="U2518" s="3">
        <f>IF(ORIG!U2518=0,"",ORIG!U2518)</f>
        <v/>
      </c>
      <c r="V2518" s="9">
        <f>IF(ORIG!V2518=0,"",ORIG!V2518)</f>
        <v/>
      </c>
      <c r="W2518" s="9">
        <f>IF(ORIG!W2518=0,"",ORIG!W2518)</f>
        <v/>
      </c>
      <c r="X2518" s="9">
        <f>IF(ORIG!X2518=0,"",ORIG!X2518)</f>
        <v/>
      </c>
      <c r="Y2518" s="9">
        <f>IF(ORIG!Y2518=0,"",ORIG!Y2518)</f>
        <v/>
      </c>
      <c r="Z2518" s="3">
        <f>SUMPRODUCT($B2518:$Y2518,$B$2649:$Y$2649)</f>
        <v/>
      </c>
      <c r="AA2518" s="3">
        <f>SUMPRODUCT($B2518:$Y2518,$B$2655:$Y$2655)</f>
        <v/>
      </c>
      <c r="AC2518" s="1">
        <f>A2518</f>
        <v/>
      </c>
      <c r="AD2518">
        <f>IF(ISNUMBER(V2518),V2518*($AB$1/V$2635),"")</f>
        <v/>
      </c>
      <c r="AE2518">
        <f>IF(ISNUMBER(Z2518),Z2518*($AB$1/Z$2635),"")</f>
        <v/>
      </c>
      <c r="AF2518" s="25">
        <f>IF(ISNUMBER(AD2518+AE2518),AD2518+AE2518,"")</f>
        <v/>
      </c>
      <c r="AH2518" s="1">
        <f>A2518</f>
        <v/>
      </c>
      <c r="AI2518">
        <f>IF(ISNUMBER((1+V2518)*AI2517),(1+V2518)*AI2517,AI2517)</f>
        <v/>
      </c>
      <c r="AJ2518">
        <f>IF(ISNUMBER((1+Z2518)*AJ2517),(1+Z2518)*AJ2517,AJ2517)</f>
        <v/>
      </c>
    </row>
    <row r="2519">
      <c r="A2519" s="1" t="n">
        <v>45659</v>
      </c>
      <c r="B2519" s="3">
        <f>IF(ORIG!B2519=0,"",ORIG!B2519)</f>
        <v/>
      </c>
      <c r="C2519" s="3">
        <f>IF(ORIG!C2519=0,"",ORIG!C2519)</f>
        <v/>
      </c>
      <c r="D2519" s="3">
        <f>IF(ORIG!D2519=0,"",ORIG!D2519)</f>
        <v/>
      </c>
      <c r="E2519" s="3">
        <f>IF(ORIG!E2519=0,"",ORIG!E2519)</f>
        <v/>
      </c>
      <c r="F2519" s="3">
        <f>IF(ORIG!F2519=0,"",ORIG!F2519)</f>
        <v/>
      </c>
      <c r="G2519" s="3">
        <f>IF(ORIG!G2519=0,"",ORIG!G2519)</f>
        <v/>
      </c>
      <c r="H2519" s="3">
        <f>IF(ORIG!H2519=0,"",ORIG!H2519)</f>
        <v/>
      </c>
      <c r="I2519" s="3">
        <f>IF(ORIG!I2519=0,"",ORIG!I2519)</f>
        <v/>
      </c>
      <c r="J2519" s="3">
        <f>IF(ORIG!J2519=0,"",ORIG!J2519)</f>
        <v/>
      </c>
      <c r="K2519" s="3">
        <f>IF(ORIG!K2519=0,"",ORIG!K2519)</f>
        <v/>
      </c>
      <c r="L2519" s="3">
        <f>IF(ORIG!L2519=0,"",ORIG!L2519)</f>
        <v/>
      </c>
      <c r="M2519" s="3">
        <f>IF(ORIG!M2519=0,"",ORIG!M2519)</f>
        <v/>
      </c>
      <c r="N2519" s="3">
        <f>IF(ORIG!N2519=0,"",ORIG!N2519)</f>
        <v/>
      </c>
      <c r="O2519" s="3">
        <f>IF(ORIG!O2519=0,"",ORIG!O2519)</f>
        <v/>
      </c>
      <c r="P2519" s="3">
        <f>IF(ORIG!P2519=0,"",ORIG!P2519)</f>
        <v/>
      </c>
      <c r="Q2519" s="3">
        <f>IF(ORIG!Q2519=0,"",ORIG!Q2519)</f>
        <v/>
      </c>
      <c r="R2519" s="3">
        <f>IF(ORIG!R2519=0,"",ORIG!R2519)</f>
        <v/>
      </c>
      <c r="S2519" s="3">
        <f>IF(ORIG!S2519=0,"",ORIG!S2519)</f>
        <v/>
      </c>
      <c r="T2519" s="3">
        <f>IF(ORIG!T2519=0,"",ORIG!T2519)</f>
        <v/>
      </c>
      <c r="U2519" s="3">
        <f>IF(ORIG!U2519=0,"",ORIG!U2519)</f>
        <v/>
      </c>
      <c r="V2519" s="9">
        <f>IF(ORIG!V2519=0,"",ORIG!V2519)</f>
        <v/>
      </c>
      <c r="W2519" s="9">
        <f>IF(ORIG!W2519=0,"",ORIG!W2519)</f>
        <v/>
      </c>
      <c r="X2519" s="9">
        <f>IF(ORIG!X2519=0,"",ORIG!X2519)</f>
        <v/>
      </c>
      <c r="Y2519" s="9">
        <f>IF(ORIG!Y2519=0,"",ORIG!Y2519)</f>
        <v/>
      </c>
      <c r="Z2519" s="3">
        <f>SUMPRODUCT($B2519:$Y2519,$B$2649:$Y$2649)</f>
        <v/>
      </c>
      <c r="AA2519" s="3">
        <f>SUMPRODUCT($B2519:$Y2519,$B$2655:$Y$2655)</f>
        <v/>
      </c>
      <c r="AC2519" s="1">
        <f>A2519</f>
        <v/>
      </c>
      <c r="AD2519">
        <f>IF(ISNUMBER(V2519),V2519*($AB$1/V$2635),"")</f>
        <v/>
      </c>
      <c r="AE2519">
        <f>IF(ISNUMBER(Z2519),Z2519*($AB$1/Z$2635),"")</f>
        <v/>
      </c>
      <c r="AF2519" s="25">
        <f>IF(ISNUMBER(AD2519+AE2519),AD2519+AE2519,"")</f>
        <v/>
      </c>
      <c r="AH2519" s="1">
        <f>A2519</f>
        <v/>
      </c>
      <c r="AI2519">
        <f>IF(ISNUMBER((1+V2519)*AI2518),(1+V2519)*AI2518,AI2518)</f>
        <v/>
      </c>
      <c r="AJ2519">
        <f>IF(ISNUMBER((1+Z2519)*AJ2518),(1+Z2519)*AJ2518,AJ2518)</f>
        <v/>
      </c>
    </row>
    <row r="2520">
      <c r="A2520" s="1" t="n">
        <v>45660</v>
      </c>
      <c r="B2520" s="3">
        <f>IF(ORIG!B2520=0,"",ORIG!B2520)</f>
        <v/>
      </c>
      <c r="C2520" s="3">
        <f>IF(ORIG!C2520=0,"",ORIG!C2520)</f>
        <v/>
      </c>
      <c r="D2520" s="3">
        <f>IF(ORIG!D2520=0,"",ORIG!D2520)</f>
        <v/>
      </c>
      <c r="E2520" s="3">
        <f>IF(ORIG!E2520=0,"",ORIG!E2520)</f>
        <v/>
      </c>
      <c r="F2520" s="3">
        <f>IF(ORIG!F2520=0,"",ORIG!F2520)</f>
        <v/>
      </c>
      <c r="G2520" s="3">
        <f>IF(ORIG!G2520=0,"",ORIG!G2520)</f>
        <v/>
      </c>
      <c r="H2520" s="3">
        <f>IF(ORIG!H2520=0,"",ORIG!H2520)</f>
        <v/>
      </c>
      <c r="I2520" s="3">
        <f>IF(ORIG!I2520=0,"",ORIG!I2520)</f>
        <v/>
      </c>
      <c r="J2520" s="3">
        <f>IF(ORIG!J2520=0,"",ORIG!J2520)</f>
        <v/>
      </c>
      <c r="K2520" s="3">
        <f>IF(ORIG!K2520=0,"",ORIG!K2520)</f>
        <v/>
      </c>
      <c r="L2520" s="3">
        <f>IF(ORIG!L2520=0,"",ORIG!L2520)</f>
        <v/>
      </c>
      <c r="M2520" s="3">
        <f>IF(ORIG!M2520=0,"",ORIG!M2520)</f>
        <v/>
      </c>
      <c r="N2520" s="3">
        <f>IF(ORIG!N2520=0,"",ORIG!N2520)</f>
        <v/>
      </c>
      <c r="O2520" s="3">
        <f>IF(ORIG!O2520=0,"",ORIG!O2520)</f>
        <v/>
      </c>
      <c r="P2520" s="3">
        <f>IF(ORIG!P2520=0,"",ORIG!P2520)</f>
        <v/>
      </c>
      <c r="Q2520" s="3">
        <f>IF(ORIG!Q2520=0,"",ORIG!Q2520)</f>
        <v/>
      </c>
      <c r="R2520" s="3">
        <f>IF(ORIG!R2520=0,"",ORIG!R2520)</f>
        <v/>
      </c>
      <c r="S2520" s="3">
        <f>IF(ORIG!S2520=0,"",ORIG!S2520)</f>
        <v/>
      </c>
      <c r="T2520" s="3">
        <f>IF(ORIG!T2520=0,"",ORIG!T2520)</f>
        <v/>
      </c>
      <c r="U2520" s="3">
        <f>IF(ORIG!U2520=0,"",ORIG!U2520)</f>
        <v/>
      </c>
      <c r="V2520" s="9">
        <f>IF(ORIG!V2520=0,"",ORIG!V2520)</f>
        <v/>
      </c>
      <c r="W2520" s="9">
        <f>IF(ORIG!W2520=0,"",ORIG!W2520)</f>
        <v/>
      </c>
      <c r="X2520" s="9">
        <f>IF(ORIG!X2520=0,"",ORIG!X2520)</f>
        <v/>
      </c>
      <c r="Y2520" s="9">
        <f>IF(ORIG!Y2520=0,"",ORIG!Y2520)</f>
        <v/>
      </c>
      <c r="Z2520" s="3">
        <f>SUMPRODUCT($B2520:$Y2520,$B$2649:$Y$2649)</f>
        <v/>
      </c>
      <c r="AA2520" s="3">
        <f>SUMPRODUCT($B2520:$Y2520,$B$2655:$Y$2655)</f>
        <v/>
      </c>
      <c r="AC2520" s="1">
        <f>A2520</f>
        <v/>
      </c>
      <c r="AD2520">
        <f>IF(ISNUMBER(V2520),V2520*($AB$1/V$2635),"")</f>
        <v/>
      </c>
      <c r="AE2520">
        <f>IF(ISNUMBER(Z2520),Z2520*($AB$1/Z$2635),"")</f>
        <v/>
      </c>
      <c r="AF2520" s="25">
        <f>IF(ISNUMBER(AD2520+AE2520),AD2520+AE2520,"")</f>
        <v/>
      </c>
      <c r="AH2520" s="1">
        <f>A2520</f>
        <v/>
      </c>
      <c r="AI2520">
        <f>IF(ISNUMBER((1+V2520)*AI2519),(1+V2520)*AI2519,AI2519)</f>
        <v/>
      </c>
      <c r="AJ2520">
        <f>IF(ISNUMBER((1+Z2520)*AJ2519),(1+Z2520)*AJ2519,AJ2519)</f>
        <v/>
      </c>
    </row>
    <row r="2521">
      <c r="A2521" s="1" t="n">
        <v>45663</v>
      </c>
      <c r="B2521" s="3">
        <f>IF(ORIG!B2521=0,"",ORIG!B2521)</f>
        <v/>
      </c>
      <c r="C2521" s="3">
        <f>IF(ORIG!C2521=0,"",ORIG!C2521)</f>
        <v/>
      </c>
      <c r="D2521" s="3">
        <f>IF(ORIG!D2521=0,"",ORIG!D2521)</f>
        <v/>
      </c>
      <c r="E2521" s="3">
        <f>IF(ORIG!E2521=0,"",ORIG!E2521)</f>
        <v/>
      </c>
      <c r="F2521" s="3">
        <f>IF(ORIG!F2521=0,"",ORIG!F2521)</f>
        <v/>
      </c>
      <c r="G2521" s="3">
        <f>IF(ORIG!G2521=0,"",ORIG!G2521)</f>
        <v/>
      </c>
      <c r="H2521" s="3">
        <f>IF(ORIG!H2521=0,"",ORIG!H2521)</f>
        <v/>
      </c>
      <c r="I2521" s="3">
        <f>IF(ORIG!I2521=0,"",ORIG!I2521)</f>
        <v/>
      </c>
      <c r="J2521" s="3">
        <f>IF(ORIG!J2521=0,"",ORIG!J2521)</f>
        <v/>
      </c>
      <c r="K2521" s="3">
        <f>IF(ORIG!K2521=0,"",ORIG!K2521)</f>
        <v/>
      </c>
      <c r="L2521" s="3">
        <f>IF(ORIG!L2521=0,"",ORIG!L2521)</f>
        <v/>
      </c>
      <c r="M2521" s="3">
        <f>IF(ORIG!M2521=0,"",ORIG!M2521)</f>
        <v/>
      </c>
      <c r="N2521" s="3">
        <f>IF(ORIG!N2521=0,"",ORIG!N2521)</f>
        <v/>
      </c>
      <c r="O2521" s="3">
        <f>IF(ORIG!O2521=0,"",ORIG!O2521)</f>
        <v/>
      </c>
      <c r="P2521" s="3">
        <f>IF(ORIG!P2521=0,"",ORIG!P2521)</f>
        <v/>
      </c>
      <c r="Q2521" s="3">
        <f>IF(ORIG!Q2521=0,"",ORIG!Q2521)</f>
        <v/>
      </c>
      <c r="R2521" s="3">
        <f>IF(ORIG!R2521=0,"",ORIG!R2521)</f>
        <v/>
      </c>
      <c r="S2521" s="3">
        <f>IF(ORIG!S2521=0,"",ORIG!S2521)</f>
        <v/>
      </c>
      <c r="T2521" s="3">
        <f>IF(ORIG!T2521=0,"",ORIG!T2521)</f>
        <v/>
      </c>
      <c r="U2521" s="3">
        <f>IF(ORIG!U2521=0,"",ORIG!U2521)</f>
        <v/>
      </c>
      <c r="V2521" s="9">
        <f>IF(ORIG!V2521=0,"",ORIG!V2521)</f>
        <v/>
      </c>
      <c r="W2521" s="9">
        <f>IF(ORIG!W2521=0,"",ORIG!W2521)</f>
        <v/>
      </c>
      <c r="X2521" s="9">
        <f>IF(ORIG!X2521=0,"",ORIG!X2521)</f>
        <v/>
      </c>
      <c r="Y2521" s="9">
        <f>IF(ORIG!Y2521=0,"",ORIG!Y2521)</f>
        <v/>
      </c>
      <c r="Z2521" s="3">
        <f>SUMPRODUCT($B2521:$Y2521,$B$2649:$Y$2649)</f>
        <v/>
      </c>
      <c r="AA2521" s="3">
        <f>SUMPRODUCT($B2521:$Y2521,$B$2655:$Y$2655)</f>
        <v/>
      </c>
      <c r="AC2521" s="1">
        <f>A2521</f>
        <v/>
      </c>
      <c r="AD2521">
        <f>IF(ISNUMBER(V2521),V2521*($AB$1/V$2635),"")</f>
        <v/>
      </c>
      <c r="AE2521">
        <f>IF(ISNUMBER(Z2521),Z2521*($AB$1/Z$2635),"")</f>
        <v/>
      </c>
      <c r="AF2521" s="25">
        <f>IF(ISNUMBER(AD2521+AE2521),AD2521+AE2521,"")</f>
        <v/>
      </c>
      <c r="AH2521" s="1">
        <f>A2521</f>
        <v/>
      </c>
      <c r="AI2521">
        <f>IF(ISNUMBER((1+V2521)*AI2520),(1+V2521)*AI2520,AI2520)</f>
        <v/>
      </c>
      <c r="AJ2521">
        <f>IF(ISNUMBER((1+Z2521)*AJ2520),(1+Z2521)*AJ2520,AJ2520)</f>
        <v/>
      </c>
    </row>
    <row r="2522">
      <c r="A2522" s="1" t="n">
        <v>45664</v>
      </c>
      <c r="B2522" s="3">
        <f>IF(ORIG!B2522=0,"",ORIG!B2522)</f>
        <v/>
      </c>
      <c r="C2522" s="3">
        <f>IF(ORIG!C2522=0,"",ORIG!C2522)</f>
        <v/>
      </c>
      <c r="D2522" s="3">
        <f>IF(ORIG!D2522=0,"",ORIG!D2522)</f>
        <v/>
      </c>
      <c r="E2522" s="3">
        <f>IF(ORIG!E2522=0,"",ORIG!E2522)</f>
        <v/>
      </c>
      <c r="F2522" s="3">
        <f>IF(ORIG!F2522=0,"",ORIG!F2522)</f>
        <v/>
      </c>
      <c r="G2522" s="3">
        <f>IF(ORIG!G2522=0,"",ORIG!G2522)</f>
        <v/>
      </c>
      <c r="H2522" s="3">
        <f>IF(ORIG!H2522=0,"",ORIG!H2522)</f>
        <v/>
      </c>
      <c r="I2522" s="3">
        <f>IF(ORIG!I2522=0,"",ORIG!I2522)</f>
        <v/>
      </c>
      <c r="J2522" s="3">
        <f>IF(ORIG!J2522=0,"",ORIG!J2522)</f>
        <v/>
      </c>
      <c r="K2522" s="3">
        <f>IF(ORIG!K2522=0,"",ORIG!K2522)</f>
        <v/>
      </c>
      <c r="L2522" s="3">
        <f>IF(ORIG!L2522=0,"",ORIG!L2522)</f>
        <v/>
      </c>
      <c r="M2522" s="3">
        <f>IF(ORIG!M2522=0,"",ORIG!M2522)</f>
        <v/>
      </c>
      <c r="N2522" s="3">
        <f>IF(ORIG!N2522=0,"",ORIG!N2522)</f>
        <v/>
      </c>
      <c r="O2522" s="3">
        <f>IF(ORIG!O2522=0,"",ORIG!O2522)</f>
        <v/>
      </c>
      <c r="P2522" s="3">
        <f>IF(ORIG!P2522=0,"",ORIG!P2522)</f>
        <v/>
      </c>
      <c r="Q2522" s="3">
        <f>IF(ORIG!Q2522=0,"",ORIG!Q2522)</f>
        <v/>
      </c>
      <c r="R2522" s="3">
        <f>IF(ORIG!R2522=0,"",ORIG!R2522)</f>
        <v/>
      </c>
      <c r="S2522" s="3">
        <f>IF(ORIG!S2522=0,"",ORIG!S2522)</f>
        <v/>
      </c>
      <c r="T2522" s="3">
        <f>IF(ORIG!T2522=0,"",ORIG!T2522)</f>
        <v/>
      </c>
      <c r="U2522" s="3">
        <f>IF(ORIG!U2522=0,"",ORIG!U2522)</f>
        <v/>
      </c>
      <c r="V2522" s="9">
        <f>IF(ORIG!V2522=0,"",ORIG!V2522)</f>
        <v/>
      </c>
      <c r="W2522" s="9">
        <f>IF(ORIG!W2522=0,"",ORIG!W2522)</f>
        <v/>
      </c>
      <c r="X2522" s="9">
        <f>IF(ORIG!X2522=0,"",ORIG!X2522)</f>
        <v/>
      </c>
      <c r="Y2522" s="9">
        <f>IF(ORIG!Y2522=0,"",ORIG!Y2522)</f>
        <v/>
      </c>
      <c r="Z2522" s="3">
        <f>SUMPRODUCT($B2522:$Y2522,$B$2649:$Y$2649)</f>
        <v/>
      </c>
      <c r="AA2522" s="3">
        <f>SUMPRODUCT($B2522:$Y2522,$B$2655:$Y$2655)</f>
        <v/>
      </c>
      <c r="AC2522" s="1">
        <f>A2522</f>
        <v/>
      </c>
      <c r="AD2522">
        <f>IF(ISNUMBER(V2522),V2522*($AB$1/V$2635),"")</f>
        <v/>
      </c>
      <c r="AE2522">
        <f>IF(ISNUMBER(Z2522),Z2522*($AB$1/Z$2635),"")</f>
        <v/>
      </c>
      <c r="AF2522" s="25">
        <f>IF(ISNUMBER(AD2522+AE2522),AD2522+AE2522,"")</f>
        <v/>
      </c>
      <c r="AH2522" s="1">
        <f>A2522</f>
        <v/>
      </c>
      <c r="AI2522">
        <f>IF(ISNUMBER((1+V2522)*AI2521),(1+V2522)*AI2521,AI2521)</f>
        <v/>
      </c>
      <c r="AJ2522">
        <f>IF(ISNUMBER((1+Z2522)*AJ2521),(1+Z2522)*AJ2521,AJ2521)</f>
        <v/>
      </c>
    </row>
    <row r="2523">
      <c r="A2523" s="1" t="n">
        <v>45665</v>
      </c>
      <c r="B2523" s="3">
        <f>IF(ORIG!B2523=0,"",ORIG!B2523)</f>
        <v/>
      </c>
      <c r="C2523" s="3">
        <f>IF(ORIG!C2523=0,"",ORIG!C2523)</f>
        <v/>
      </c>
      <c r="D2523" s="3">
        <f>IF(ORIG!D2523=0,"",ORIG!D2523)</f>
        <v/>
      </c>
      <c r="E2523" s="3">
        <f>IF(ORIG!E2523=0,"",ORIG!E2523)</f>
        <v/>
      </c>
      <c r="F2523" s="3">
        <f>IF(ORIG!F2523=0,"",ORIG!F2523)</f>
        <v/>
      </c>
      <c r="G2523" s="3">
        <f>IF(ORIG!G2523=0,"",ORIG!G2523)</f>
        <v/>
      </c>
      <c r="H2523" s="3">
        <f>IF(ORIG!H2523=0,"",ORIG!H2523)</f>
        <v/>
      </c>
      <c r="I2523" s="3">
        <f>IF(ORIG!I2523=0,"",ORIG!I2523)</f>
        <v/>
      </c>
      <c r="J2523" s="3">
        <f>IF(ORIG!J2523=0,"",ORIG!J2523)</f>
        <v/>
      </c>
      <c r="K2523" s="3">
        <f>IF(ORIG!K2523=0,"",ORIG!K2523)</f>
        <v/>
      </c>
      <c r="L2523" s="3">
        <f>IF(ORIG!L2523=0,"",ORIG!L2523)</f>
        <v/>
      </c>
      <c r="M2523" s="3">
        <f>IF(ORIG!M2523=0,"",ORIG!M2523)</f>
        <v/>
      </c>
      <c r="N2523" s="3">
        <f>IF(ORIG!N2523=0,"",ORIG!N2523)</f>
        <v/>
      </c>
      <c r="O2523" s="3">
        <f>IF(ORIG!O2523=0,"",ORIG!O2523)</f>
        <v/>
      </c>
      <c r="P2523" s="3">
        <f>IF(ORIG!P2523=0,"",ORIG!P2523)</f>
        <v/>
      </c>
      <c r="Q2523" s="3">
        <f>IF(ORIG!Q2523=0,"",ORIG!Q2523)</f>
        <v/>
      </c>
      <c r="R2523" s="3">
        <f>IF(ORIG!R2523=0,"",ORIG!R2523)</f>
        <v/>
      </c>
      <c r="S2523" s="3">
        <f>IF(ORIG!S2523=0,"",ORIG!S2523)</f>
        <v/>
      </c>
      <c r="T2523" s="3">
        <f>IF(ORIG!T2523=0,"",ORIG!T2523)</f>
        <v/>
      </c>
      <c r="U2523" s="3">
        <f>IF(ORIG!U2523=0,"",ORIG!U2523)</f>
        <v/>
      </c>
      <c r="V2523" s="9">
        <f>IF(ORIG!V2523=0,"",ORIG!V2523)</f>
        <v/>
      </c>
      <c r="W2523" s="9">
        <f>IF(ORIG!W2523=0,"",ORIG!W2523)</f>
        <v/>
      </c>
      <c r="X2523" s="9">
        <f>IF(ORIG!X2523=0,"",ORIG!X2523)</f>
        <v/>
      </c>
      <c r="Y2523" s="9">
        <f>IF(ORIG!Y2523=0,"",ORIG!Y2523)</f>
        <v/>
      </c>
      <c r="Z2523" s="3">
        <f>SUMPRODUCT($B2523:$Y2523,$B$2649:$Y$2649)</f>
        <v/>
      </c>
      <c r="AA2523" s="3">
        <f>SUMPRODUCT($B2523:$Y2523,$B$2655:$Y$2655)</f>
        <v/>
      </c>
      <c r="AC2523" s="1">
        <f>A2523</f>
        <v/>
      </c>
      <c r="AD2523">
        <f>IF(ISNUMBER(V2523),V2523*($AB$1/V$2635),"")</f>
        <v/>
      </c>
      <c r="AE2523">
        <f>IF(ISNUMBER(Z2523),Z2523*($AB$1/Z$2635),"")</f>
        <v/>
      </c>
      <c r="AF2523" s="25">
        <f>IF(ISNUMBER(AD2523+AE2523),AD2523+AE2523,"")</f>
        <v/>
      </c>
      <c r="AH2523" s="1">
        <f>A2523</f>
        <v/>
      </c>
      <c r="AI2523">
        <f>IF(ISNUMBER((1+V2523)*AI2522),(1+V2523)*AI2522,AI2522)</f>
        <v/>
      </c>
      <c r="AJ2523">
        <f>IF(ISNUMBER((1+Z2523)*AJ2522),(1+Z2523)*AJ2522,AJ2522)</f>
        <v/>
      </c>
    </row>
    <row r="2524">
      <c r="A2524" s="1" t="n">
        <v>45667</v>
      </c>
      <c r="B2524" s="3">
        <f>IF(ORIG!B2524=0,"",ORIG!B2524)</f>
        <v/>
      </c>
      <c r="C2524" s="3">
        <f>IF(ORIG!C2524=0,"",ORIG!C2524)</f>
        <v/>
      </c>
      <c r="D2524" s="3">
        <f>IF(ORIG!D2524=0,"",ORIG!D2524)</f>
        <v/>
      </c>
      <c r="E2524" s="3">
        <f>IF(ORIG!E2524=0,"",ORIG!E2524)</f>
        <v/>
      </c>
      <c r="F2524" s="3">
        <f>IF(ORIG!F2524=0,"",ORIG!F2524)</f>
        <v/>
      </c>
      <c r="G2524" s="3">
        <f>IF(ORIG!G2524=0,"",ORIG!G2524)</f>
        <v/>
      </c>
      <c r="H2524" s="3">
        <f>IF(ORIG!H2524=0,"",ORIG!H2524)</f>
        <v/>
      </c>
      <c r="I2524" s="3">
        <f>IF(ORIG!I2524=0,"",ORIG!I2524)</f>
        <v/>
      </c>
      <c r="J2524" s="3">
        <f>IF(ORIG!J2524=0,"",ORIG!J2524)</f>
        <v/>
      </c>
      <c r="K2524" s="3">
        <f>IF(ORIG!K2524=0,"",ORIG!K2524)</f>
        <v/>
      </c>
      <c r="L2524" s="3">
        <f>IF(ORIG!L2524=0,"",ORIG!L2524)</f>
        <v/>
      </c>
      <c r="M2524" s="3">
        <f>IF(ORIG!M2524=0,"",ORIG!M2524)</f>
        <v/>
      </c>
      <c r="N2524" s="3">
        <f>IF(ORIG!N2524=0,"",ORIG!N2524)</f>
        <v/>
      </c>
      <c r="O2524" s="3">
        <f>IF(ORIG!O2524=0,"",ORIG!O2524)</f>
        <v/>
      </c>
      <c r="P2524" s="3">
        <f>IF(ORIG!P2524=0,"",ORIG!P2524)</f>
        <v/>
      </c>
      <c r="Q2524" s="3">
        <f>IF(ORIG!Q2524=0,"",ORIG!Q2524)</f>
        <v/>
      </c>
      <c r="R2524" s="3">
        <f>IF(ORIG!R2524=0,"",ORIG!R2524)</f>
        <v/>
      </c>
      <c r="S2524" s="3">
        <f>IF(ORIG!S2524=0,"",ORIG!S2524)</f>
        <v/>
      </c>
      <c r="T2524" s="3">
        <f>IF(ORIG!T2524=0,"",ORIG!T2524)</f>
        <v/>
      </c>
      <c r="U2524" s="3">
        <f>IF(ORIG!U2524=0,"",ORIG!U2524)</f>
        <v/>
      </c>
      <c r="V2524" s="9">
        <f>IF(ORIG!V2524=0,"",ORIG!V2524)</f>
        <v/>
      </c>
      <c r="W2524" s="9">
        <f>IF(ORIG!W2524=0,"",ORIG!W2524)</f>
        <v/>
      </c>
      <c r="X2524" s="9">
        <f>IF(ORIG!X2524=0,"",ORIG!X2524)</f>
        <v/>
      </c>
      <c r="Y2524" s="9">
        <f>IF(ORIG!Y2524=0,"",ORIG!Y2524)</f>
        <v/>
      </c>
      <c r="Z2524" s="3">
        <f>SUMPRODUCT($B2524:$Y2524,$B$2649:$Y$2649)</f>
        <v/>
      </c>
      <c r="AA2524" s="3">
        <f>SUMPRODUCT($B2524:$Y2524,$B$2655:$Y$2655)</f>
        <v/>
      </c>
      <c r="AC2524" s="1">
        <f>A2524</f>
        <v/>
      </c>
      <c r="AD2524">
        <f>IF(ISNUMBER(V2524),V2524*($AB$1/V$2635),"")</f>
        <v/>
      </c>
      <c r="AE2524">
        <f>IF(ISNUMBER(Z2524),Z2524*($AB$1/Z$2635),"")</f>
        <v/>
      </c>
      <c r="AF2524" s="25">
        <f>IF(ISNUMBER(AD2524+AE2524),AD2524+AE2524,"")</f>
        <v/>
      </c>
      <c r="AH2524" s="1">
        <f>A2524</f>
        <v/>
      </c>
      <c r="AI2524">
        <f>IF(ISNUMBER((1+V2524)*AI2523),(1+V2524)*AI2523,AI2523)</f>
        <v/>
      </c>
      <c r="AJ2524">
        <f>IF(ISNUMBER((1+Z2524)*AJ2523),(1+Z2524)*AJ2523,AJ2523)</f>
        <v/>
      </c>
    </row>
    <row r="2525">
      <c r="A2525" s="1" t="n">
        <v>45670</v>
      </c>
      <c r="B2525" s="3">
        <f>IF(ORIG!B2525=0,"",ORIG!B2525)</f>
        <v/>
      </c>
      <c r="C2525" s="3">
        <f>IF(ORIG!C2525=0,"",ORIG!C2525)</f>
        <v/>
      </c>
      <c r="D2525" s="3">
        <f>IF(ORIG!D2525=0,"",ORIG!D2525)</f>
        <v/>
      </c>
      <c r="E2525" s="3">
        <f>IF(ORIG!E2525=0,"",ORIG!E2525)</f>
        <v/>
      </c>
      <c r="F2525" s="3">
        <f>IF(ORIG!F2525=0,"",ORIG!F2525)</f>
        <v/>
      </c>
      <c r="G2525" s="3">
        <f>IF(ORIG!G2525=0,"",ORIG!G2525)</f>
        <v/>
      </c>
      <c r="H2525" s="3">
        <f>IF(ORIG!H2525=0,"",ORIG!H2525)</f>
        <v/>
      </c>
      <c r="I2525" s="3">
        <f>IF(ORIG!I2525=0,"",ORIG!I2525)</f>
        <v/>
      </c>
      <c r="J2525" s="3">
        <f>IF(ORIG!J2525=0,"",ORIG!J2525)</f>
        <v/>
      </c>
      <c r="K2525" s="3">
        <f>IF(ORIG!K2525=0,"",ORIG!K2525)</f>
        <v/>
      </c>
      <c r="L2525" s="3">
        <f>IF(ORIG!L2525=0,"",ORIG!L2525)</f>
        <v/>
      </c>
      <c r="M2525" s="3">
        <f>IF(ORIG!M2525=0,"",ORIG!M2525)</f>
        <v/>
      </c>
      <c r="N2525" s="3">
        <f>IF(ORIG!N2525=0,"",ORIG!N2525)</f>
        <v/>
      </c>
      <c r="O2525" s="3">
        <f>IF(ORIG!O2525=0,"",ORIG!O2525)</f>
        <v/>
      </c>
      <c r="P2525" s="3">
        <f>IF(ORIG!P2525=0,"",ORIG!P2525)</f>
        <v/>
      </c>
      <c r="Q2525" s="3">
        <f>IF(ORIG!Q2525=0,"",ORIG!Q2525)</f>
        <v/>
      </c>
      <c r="R2525" s="3">
        <f>IF(ORIG!R2525=0,"",ORIG!R2525)</f>
        <v/>
      </c>
      <c r="S2525" s="3">
        <f>IF(ORIG!S2525=0,"",ORIG!S2525)</f>
        <v/>
      </c>
      <c r="T2525" s="3">
        <f>IF(ORIG!T2525=0,"",ORIG!T2525)</f>
        <v/>
      </c>
      <c r="U2525" s="3">
        <f>IF(ORIG!U2525=0,"",ORIG!U2525)</f>
        <v/>
      </c>
      <c r="V2525" s="9">
        <f>IF(ORIG!V2525=0,"",ORIG!V2525)</f>
        <v/>
      </c>
      <c r="W2525" s="9">
        <f>IF(ORIG!W2525=0,"",ORIG!W2525)</f>
        <v/>
      </c>
      <c r="X2525" s="9">
        <f>IF(ORIG!X2525=0,"",ORIG!X2525)</f>
        <v/>
      </c>
      <c r="Y2525" s="9">
        <f>IF(ORIG!Y2525=0,"",ORIG!Y2525)</f>
        <v/>
      </c>
      <c r="Z2525" s="3">
        <f>SUMPRODUCT($B2525:$Y2525,$B$2649:$Y$2649)</f>
        <v/>
      </c>
      <c r="AA2525" s="3">
        <f>SUMPRODUCT($B2525:$Y2525,$B$2655:$Y$2655)</f>
        <v/>
      </c>
      <c r="AC2525" s="1">
        <f>A2525</f>
        <v/>
      </c>
      <c r="AD2525">
        <f>IF(ISNUMBER(V2525),V2525*($AB$1/V$2635),"")</f>
        <v/>
      </c>
      <c r="AE2525">
        <f>IF(ISNUMBER(Z2525),Z2525*($AB$1/Z$2635),"")</f>
        <v/>
      </c>
      <c r="AF2525" s="25">
        <f>IF(ISNUMBER(AD2525+AE2525),AD2525+AE2525,"")</f>
        <v/>
      </c>
      <c r="AH2525" s="1">
        <f>A2525</f>
        <v/>
      </c>
      <c r="AI2525">
        <f>IF(ISNUMBER((1+V2525)*AI2524),(1+V2525)*AI2524,AI2524)</f>
        <v/>
      </c>
      <c r="AJ2525">
        <f>IF(ISNUMBER((1+Z2525)*AJ2524),(1+Z2525)*AJ2524,AJ2524)</f>
        <v/>
      </c>
    </row>
    <row r="2526">
      <c r="A2526" s="1" t="n">
        <v>45671</v>
      </c>
      <c r="B2526" s="3">
        <f>IF(ORIG!B2526=0,"",ORIG!B2526)</f>
        <v/>
      </c>
      <c r="C2526" s="3">
        <f>IF(ORIG!C2526=0,"",ORIG!C2526)</f>
        <v/>
      </c>
      <c r="D2526" s="3">
        <f>IF(ORIG!D2526=0,"",ORIG!D2526)</f>
        <v/>
      </c>
      <c r="E2526" s="3">
        <f>IF(ORIG!E2526=0,"",ORIG!E2526)</f>
        <v/>
      </c>
      <c r="F2526" s="3">
        <f>IF(ORIG!F2526=0,"",ORIG!F2526)</f>
        <v/>
      </c>
      <c r="G2526" s="3">
        <f>IF(ORIG!G2526=0,"",ORIG!G2526)</f>
        <v/>
      </c>
      <c r="H2526" s="3">
        <f>IF(ORIG!H2526=0,"",ORIG!H2526)</f>
        <v/>
      </c>
      <c r="I2526" s="3">
        <f>IF(ORIG!I2526=0,"",ORIG!I2526)</f>
        <v/>
      </c>
      <c r="J2526" s="3">
        <f>IF(ORIG!J2526=0,"",ORIG!J2526)</f>
        <v/>
      </c>
      <c r="K2526" s="3">
        <f>IF(ORIG!K2526=0,"",ORIG!K2526)</f>
        <v/>
      </c>
      <c r="L2526" s="3">
        <f>IF(ORIG!L2526=0,"",ORIG!L2526)</f>
        <v/>
      </c>
      <c r="M2526" s="3">
        <f>IF(ORIG!M2526=0,"",ORIG!M2526)</f>
        <v/>
      </c>
      <c r="N2526" s="3">
        <f>IF(ORIG!N2526=0,"",ORIG!N2526)</f>
        <v/>
      </c>
      <c r="O2526" s="3">
        <f>IF(ORIG!O2526=0,"",ORIG!O2526)</f>
        <v/>
      </c>
      <c r="P2526" s="3">
        <f>IF(ORIG!P2526=0,"",ORIG!P2526)</f>
        <v/>
      </c>
      <c r="Q2526" s="3">
        <f>IF(ORIG!Q2526=0,"",ORIG!Q2526)</f>
        <v/>
      </c>
      <c r="R2526" s="3">
        <f>IF(ORIG!R2526=0,"",ORIG!R2526)</f>
        <v/>
      </c>
      <c r="S2526" s="3">
        <f>IF(ORIG!S2526=0,"",ORIG!S2526)</f>
        <v/>
      </c>
      <c r="T2526" s="3">
        <f>IF(ORIG!T2526=0,"",ORIG!T2526)</f>
        <v/>
      </c>
      <c r="U2526" s="3">
        <f>IF(ORIG!U2526=0,"",ORIG!U2526)</f>
        <v/>
      </c>
      <c r="V2526" s="9">
        <f>IF(ORIG!V2526=0,"",ORIG!V2526)</f>
        <v/>
      </c>
      <c r="W2526" s="9">
        <f>IF(ORIG!W2526=0,"",ORIG!W2526)</f>
        <v/>
      </c>
      <c r="X2526" s="9">
        <f>IF(ORIG!X2526=0,"",ORIG!X2526)</f>
        <v/>
      </c>
      <c r="Y2526" s="9">
        <f>IF(ORIG!Y2526=0,"",ORIG!Y2526)</f>
        <v/>
      </c>
      <c r="Z2526" s="3">
        <f>SUMPRODUCT($B2526:$Y2526,$B$2649:$Y$2649)</f>
        <v/>
      </c>
      <c r="AA2526" s="3">
        <f>SUMPRODUCT($B2526:$Y2526,$B$2655:$Y$2655)</f>
        <v/>
      </c>
      <c r="AC2526" s="1">
        <f>A2526</f>
        <v/>
      </c>
      <c r="AD2526">
        <f>IF(ISNUMBER(V2526),V2526*($AB$1/V$2635),"")</f>
        <v/>
      </c>
      <c r="AE2526">
        <f>IF(ISNUMBER(Z2526),Z2526*($AB$1/Z$2635),"")</f>
        <v/>
      </c>
      <c r="AF2526" s="25">
        <f>IF(ISNUMBER(AD2526+AE2526),AD2526+AE2526,"")</f>
        <v/>
      </c>
      <c r="AH2526" s="1">
        <f>A2526</f>
        <v/>
      </c>
      <c r="AI2526">
        <f>IF(ISNUMBER((1+V2526)*AI2525),(1+V2526)*AI2525,AI2525)</f>
        <v/>
      </c>
      <c r="AJ2526">
        <f>IF(ISNUMBER((1+Z2526)*AJ2525),(1+Z2526)*AJ2525,AJ2525)</f>
        <v/>
      </c>
    </row>
    <row r="2527">
      <c r="A2527" s="1" t="n">
        <v>45672</v>
      </c>
      <c r="B2527" s="3">
        <f>IF(ORIG!B2527=0,"",ORIG!B2527)</f>
        <v/>
      </c>
      <c r="C2527" s="3">
        <f>IF(ORIG!C2527=0,"",ORIG!C2527)</f>
        <v/>
      </c>
      <c r="D2527" s="3">
        <f>IF(ORIG!D2527=0,"",ORIG!D2527)</f>
        <v/>
      </c>
      <c r="E2527" s="3">
        <f>IF(ORIG!E2527=0,"",ORIG!E2527)</f>
        <v/>
      </c>
      <c r="F2527" s="3">
        <f>IF(ORIG!F2527=0,"",ORIG!F2527)</f>
        <v/>
      </c>
      <c r="G2527" s="3">
        <f>IF(ORIG!G2527=0,"",ORIG!G2527)</f>
        <v/>
      </c>
      <c r="H2527" s="3">
        <f>IF(ORIG!H2527=0,"",ORIG!H2527)</f>
        <v/>
      </c>
      <c r="I2527" s="3">
        <f>IF(ORIG!I2527=0,"",ORIG!I2527)</f>
        <v/>
      </c>
      <c r="J2527" s="3">
        <f>IF(ORIG!J2527=0,"",ORIG!J2527)</f>
        <v/>
      </c>
      <c r="K2527" s="3">
        <f>IF(ORIG!K2527=0,"",ORIG!K2527)</f>
        <v/>
      </c>
      <c r="L2527" s="3">
        <f>IF(ORIG!L2527=0,"",ORIG!L2527)</f>
        <v/>
      </c>
      <c r="M2527" s="3">
        <f>IF(ORIG!M2527=0,"",ORIG!M2527)</f>
        <v/>
      </c>
      <c r="N2527" s="3">
        <f>IF(ORIG!N2527=0,"",ORIG!N2527)</f>
        <v/>
      </c>
      <c r="O2527" s="3">
        <f>IF(ORIG!O2527=0,"",ORIG!O2527)</f>
        <v/>
      </c>
      <c r="P2527" s="3">
        <f>IF(ORIG!P2527=0,"",ORIG!P2527)</f>
        <v/>
      </c>
      <c r="Q2527" s="3">
        <f>IF(ORIG!Q2527=0,"",ORIG!Q2527)</f>
        <v/>
      </c>
      <c r="R2527" s="3">
        <f>IF(ORIG!R2527=0,"",ORIG!R2527)</f>
        <v/>
      </c>
      <c r="S2527" s="3">
        <f>IF(ORIG!S2527=0,"",ORIG!S2527)</f>
        <v/>
      </c>
      <c r="T2527" s="3">
        <f>IF(ORIG!T2527=0,"",ORIG!T2527)</f>
        <v/>
      </c>
      <c r="U2527" s="3">
        <f>IF(ORIG!U2527=0,"",ORIG!U2527)</f>
        <v/>
      </c>
      <c r="V2527" s="9">
        <f>IF(ORIG!V2527=0,"",ORIG!V2527)</f>
        <v/>
      </c>
      <c r="W2527" s="9">
        <f>IF(ORIG!W2527=0,"",ORIG!W2527)</f>
        <v/>
      </c>
      <c r="X2527" s="9">
        <f>IF(ORIG!X2527=0,"",ORIG!X2527)</f>
        <v/>
      </c>
      <c r="Y2527" s="9">
        <f>IF(ORIG!Y2527=0,"",ORIG!Y2527)</f>
        <v/>
      </c>
      <c r="Z2527" s="3">
        <f>SUMPRODUCT($B2527:$Y2527,$B$2649:$Y$2649)</f>
        <v/>
      </c>
      <c r="AA2527" s="3">
        <f>SUMPRODUCT($B2527:$Y2527,$B$2655:$Y$2655)</f>
        <v/>
      </c>
      <c r="AC2527" s="1">
        <f>A2527</f>
        <v/>
      </c>
      <c r="AD2527">
        <f>IF(ISNUMBER(V2527),V2527*($AB$1/V$2635),"")</f>
        <v/>
      </c>
      <c r="AE2527">
        <f>IF(ISNUMBER(Z2527),Z2527*($AB$1/Z$2635),"")</f>
        <v/>
      </c>
      <c r="AF2527" s="25">
        <f>IF(ISNUMBER(AD2527+AE2527),AD2527+AE2527,"")</f>
        <v/>
      </c>
      <c r="AH2527" s="1">
        <f>A2527</f>
        <v/>
      </c>
      <c r="AI2527">
        <f>IF(ISNUMBER((1+V2527)*AI2526),(1+V2527)*AI2526,AI2526)</f>
        <v/>
      </c>
      <c r="AJ2527">
        <f>IF(ISNUMBER((1+Z2527)*AJ2526),(1+Z2527)*AJ2526,AJ2526)</f>
        <v/>
      </c>
    </row>
    <row r="2528">
      <c r="A2528" s="1" t="n">
        <v>45673</v>
      </c>
      <c r="B2528" s="3">
        <f>IF(ORIG!B2528=0,"",ORIG!B2528)</f>
        <v/>
      </c>
      <c r="C2528" s="3">
        <f>IF(ORIG!C2528=0,"",ORIG!C2528)</f>
        <v/>
      </c>
      <c r="D2528" s="3">
        <f>IF(ORIG!D2528=0,"",ORIG!D2528)</f>
        <v/>
      </c>
      <c r="E2528" s="3">
        <f>IF(ORIG!E2528=0,"",ORIG!E2528)</f>
        <v/>
      </c>
      <c r="F2528" s="3">
        <f>IF(ORIG!F2528=0,"",ORIG!F2528)</f>
        <v/>
      </c>
      <c r="G2528" s="3">
        <f>IF(ORIG!G2528=0,"",ORIG!G2528)</f>
        <v/>
      </c>
      <c r="H2528" s="3">
        <f>IF(ORIG!H2528=0,"",ORIG!H2528)</f>
        <v/>
      </c>
      <c r="I2528" s="3">
        <f>IF(ORIG!I2528=0,"",ORIG!I2528)</f>
        <v/>
      </c>
      <c r="J2528" s="3">
        <f>IF(ORIG!J2528=0,"",ORIG!J2528)</f>
        <v/>
      </c>
      <c r="K2528" s="3">
        <f>IF(ORIG!K2528=0,"",ORIG!K2528)</f>
        <v/>
      </c>
      <c r="L2528" s="3">
        <f>IF(ORIG!L2528=0,"",ORIG!L2528)</f>
        <v/>
      </c>
      <c r="M2528" s="3">
        <f>IF(ORIG!M2528=0,"",ORIG!M2528)</f>
        <v/>
      </c>
      <c r="N2528" s="3">
        <f>IF(ORIG!N2528=0,"",ORIG!N2528)</f>
        <v/>
      </c>
      <c r="O2528" s="3">
        <f>IF(ORIG!O2528=0,"",ORIG!O2528)</f>
        <v/>
      </c>
      <c r="P2528" s="3">
        <f>IF(ORIG!P2528=0,"",ORIG!P2528)</f>
        <v/>
      </c>
      <c r="Q2528" s="3">
        <f>IF(ORIG!Q2528=0,"",ORIG!Q2528)</f>
        <v/>
      </c>
      <c r="R2528" s="3">
        <f>IF(ORIG!R2528=0,"",ORIG!R2528)</f>
        <v/>
      </c>
      <c r="S2528" s="3">
        <f>IF(ORIG!S2528=0,"",ORIG!S2528)</f>
        <v/>
      </c>
      <c r="T2528" s="3">
        <f>IF(ORIG!T2528=0,"",ORIG!T2528)</f>
        <v/>
      </c>
      <c r="U2528" s="3">
        <f>IF(ORIG!U2528=0,"",ORIG!U2528)</f>
        <v/>
      </c>
      <c r="V2528" s="9">
        <f>IF(ORIG!V2528=0,"",ORIG!V2528)</f>
        <v/>
      </c>
      <c r="W2528" s="9">
        <f>IF(ORIG!W2528=0,"",ORIG!W2528)</f>
        <v/>
      </c>
      <c r="X2528" s="9">
        <f>IF(ORIG!X2528=0,"",ORIG!X2528)</f>
        <v/>
      </c>
      <c r="Y2528" s="9">
        <f>IF(ORIG!Y2528=0,"",ORIG!Y2528)</f>
        <v/>
      </c>
      <c r="Z2528" s="3">
        <f>SUMPRODUCT($B2528:$Y2528,$B$2649:$Y$2649)</f>
        <v/>
      </c>
      <c r="AA2528" s="3">
        <f>SUMPRODUCT($B2528:$Y2528,$B$2655:$Y$2655)</f>
        <v/>
      </c>
      <c r="AC2528" s="1">
        <f>A2528</f>
        <v/>
      </c>
      <c r="AD2528">
        <f>IF(ISNUMBER(V2528),V2528*($AB$1/V$2635),"")</f>
        <v/>
      </c>
      <c r="AE2528">
        <f>IF(ISNUMBER(Z2528),Z2528*($AB$1/Z$2635),"")</f>
        <v/>
      </c>
      <c r="AF2528" s="25">
        <f>IF(ISNUMBER(AD2528+AE2528),AD2528+AE2528,"")</f>
        <v/>
      </c>
      <c r="AH2528" s="1">
        <f>A2528</f>
        <v/>
      </c>
      <c r="AI2528">
        <f>IF(ISNUMBER((1+V2528)*AI2527),(1+V2528)*AI2527,AI2527)</f>
        <v/>
      </c>
      <c r="AJ2528">
        <f>IF(ISNUMBER((1+Z2528)*AJ2527),(1+Z2528)*AJ2527,AJ2527)</f>
        <v/>
      </c>
    </row>
    <row r="2529">
      <c r="A2529" s="1" t="n">
        <v>45674</v>
      </c>
      <c r="B2529" s="3">
        <f>IF(ORIG!B2529=0,"",ORIG!B2529)</f>
        <v/>
      </c>
      <c r="C2529" s="3">
        <f>IF(ORIG!C2529=0,"",ORIG!C2529)</f>
        <v/>
      </c>
      <c r="D2529" s="3">
        <f>IF(ORIG!D2529=0,"",ORIG!D2529)</f>
        <v/>
      </c>
      <c r="E2529" s="3">
        <f>IF(ORIG!E2529=0,"",ORIG!E2529)</f>
        <v/>
      </c>
      <c r="F2529" s="3">
        <f>IF(ORIG!F2529=0,"",ORIG!F2529)</f>
        <v/>
      </c>
      <c r="G2529" s="3">
        <f>IF(ORIG!G2529=0,"",ORIG!G2529)</f>
        <v/>
      </c>
      <c r="H2529" s="3">
        <f>IF(ORIG!H2529=0,"",ORIG!H2529)</f>
        <v/>
      </c>
      <c r="I2529" s="3">
        <f>IF(ORIG!I2529=0,"",ORIG!I2529)</f>
        <v/>
      </c>
      <c r="J2529" s="3">
        <f>IF(ORIG!J2529=0,"",ORIG!J2529)</f>
        <v/>
      </c>
      <c r="K2529" s="3">
        <f>IF(ORIG!K2529=0,"",ORIG!K2529)</f>
        <v/>
      </c>
      <c r="L2529" s="3">
        <f>IF(ORIG!L2529=0,"",ORIG!L2529)</f>
        <v/>
      </c>
      <c r="M2529" s="3">
        <f>IF(ORIG!M2529=0,"",ORIG!M2529)</f>
        <v/>
      </c>
      <c r="N2529" s="3">
        <f>IF(ORIG!N2529=0,"",ORIG!N2529)</f>
        <v/>
      </c>
      <c r="O2529" s="3">
        <f>IF(ORIG!O2529=0,"",ORIG!O2529)</f>
        <v/>
      </c>
      <c r="P2529" s="3">
        <f>IF(ORIG!P2529=0,"",ORIG!P2529)</f>
        <v/>
      </c>
      <c r="Q2529" s="3">
        <f>IF(ORIG!Q2529=0,"",ORIG!Q2529)</f>
        <v/>
      </c>
      <c r="R2529" s="3">
        <f>IF(ORIG!R2529=0,"",ORIG!R2529)</f>
        <v/>
      </c>
      <c r="S2529" s="3">
        <f>IF(ORIG!S2529=0,"",ORIG!S2529)</f>
        <v/>
      </c>
      <c r="T2529" s="3">
        <f>IF(ORIG!T2529=0,"",ORIG!T2529)</f>
        <v/>
      </c>
      <c r="U2529" s="3">
        <f>IF(ORIG!U2529=0,"",ORIG!U2529)</f>
        <v/>
      </c>
      <c r="V2529" s="9">
        <f>IF(ORIG!V2529=0,"",ORIG!V2529)</f>
        <v/>
      </c>
      <c r="W2529" s="9">
        <f>IF(ORIG!W2529=0,"",ORIG!W2529)</f>
        <v/>
      </c>
      <c r="X2529" s="9">
        <f>IF(ORIG!X2529=0,"",ORIG!X2529)</f>
        <v/>
      </c>
      <c r="Y2529" s="9">
        <f>IF(ORIG!Y2529=0,"",ORIG!Y2529)</f>
        <v/>
      </c>
      <c r="Z2529" s="3">
        <f>SUMPRODUCT($B2529:$Y2529,$B$2649:$Y$2649)</f>
        <v/>
      </c>
      <c r="AA2529" s="3">
        <f>SUMPRODUCT($B2529:$Y2529,$B$2655:$Y$2655)</f>
        <v/>
      </c>
      <c r="AC2529" s="1">
        <f>A2529</f>
        <v/>
      </c>
      <c r="AD2529">
        <f>IF(ISNUMBER(V2529),V2529*($AB$1/V$2635),"")</f>
        <v/>
      </c>
      <c r="AE2529">
        <f>IF(ISNUMBER(Z2529),Z2529*($AB$1/Z$2635),"")</f>
        <v/>
      </c>
      <c r="AF2529" s="25">
        <f>IF(ISNUMBER(AD2529+AE2529),AD2529+AE2529,"")</f>
        <v/>
      </c>
      <c r="AH2529" s="1">
        <f>A2529</f>
        <v/>
      </c>
      <c r="AI2529">
        <f>IF(ISNUMBER((1+V2529)*AI2528),(1+V2529)*AI2528,AI2528)</f>
        <v/>
      </c>
      <c r="AJ2529">
        <f>IF(ISNUMBER((1+Z2529)*AJ2528),(1+Z2529)*AJ2528,AJ2528)</f>
        <v/>
      </c>
    </row>
    <row r="2530">
      <c r="A2530" s="1" t="n">
        <v>45678</v>
      </c>
      <c r="B2530" s="3">
        <f>IF(ORIG!B2530=0,"",ORIG!B2530)</f>
        <v/>
      </c>
      <c r="C2530" s="3">
        <f>IF(ORIG!C2530=0,"",ORIG!C2530)</f>
        <v/>
      </c>
      <c r="D2530" s="3">
        <f>IF(ORIG!D2530=0,"",ORIG!D2530)</f>
        <v/>
      </c>
      <c r="E2530" s="3">
        <f>IF(ORIG!E2530=0,"",ORIG!E2530)</f>
        <v/>
      </c>
      <c r="F2530" s="3">
        <f>IF(ORIG!F2530=0,"",ORIG!F2530)</f>
        <v/>
      </c>
      <c r="G2530" s="3">
        <f>IF(ORIG!G2530=0,"",ORIG!G2530)</f>
        <v/>
      </c>
      <c r="H2530" s="3">
        <f>IF(ORIG!H2530=0,"",ORIG!H2530)</f>
        <v/>
      </c>
      <c r="I2530" s="3">
        <f>IF(ORIG!I2530=0,"",ORIG!I2530)</f>
        <v/>
      </c>
      <c r="J2530" s="3">
        <f>IF(ORIG!J2530=0,"",ORIG!J2530)</f>
        <v/>
      </c>
      <c r="K2530" s="3">
        <f>IF(ORIG!K2530=0,"",ORIG!K2530)</f>
        <v/>
      </c>
      <c r="L2530" s="3">
        <f>IF(ORIG!L2530=0,"",ORIG!L2530)</f>
        <v/>
      </c>
      <c r="M2530" s="3">
        <f>IF(ORIG!M2530=0,"",ORIG!M2530)</f>
        <v/>
      </c>
      <c r="N2530" s="3">
        <f>IF(ORIG!N2530=0,"",ORIG!N2530)</f>
        <v/>
      </c>
      <c r="O2530" s="3">
        <f>IF(ORIG!O2530=0,"",ORIG!O2530)</f>
        <v/>
      </c>
      <c r="P2530" s="3">
        <f>IF(ORIG!P2530=0,"",ORIG!P2530)</f>
        <v/>
      </c>
      <c r="Q2530" s="3">
        <f>IF(ORIG!Q2530=0,"",ORIG!Q2530)</f>
        <v/>
      </c>
      <c r="R2530" s="3">
        <f>IF(ORIG!R2530=0,"",ORIG!R2530)</f>
        <v/>
      </c>
      <c r="S2530" s="3">
        <f>IF(ORIG!S2530=0,"",ORIG!S2530)</f>
        <v/>
      </c>
      <c r="T2530" s="3">
        <f>IF(ORIG!T2530=0,"",ORIG!T2530)</f>
        <v/>
      </c>
      <c r="U2530" s="3">
        <f>IF(ORIG!U2530=0,"",ORIG!U2530)</f>
        <v/>
      </c>
      <c r="V2530" s="9">
        <f>IF(ORIG!V2530=0,"",ORIG!V2530)</f>
        <v/>
      </c>
      <c r="W2530" s="9">
        <f>IF(ORIG!W2530=0,"",ORIG!W2530)</f>
        <v/>
      </c>
      <c r="X2530" s="9">
        <f>IF(ORIG!X2530=0,"",ORIG!X2530)</f>
        <v/>
      </c>
      <c r="Y2530" s="9">
        <f>IF(ORIG!Y2530=0,"",ORIG!Y2530)</f>
        <v/>
      </c>
      <c r="Z2530" s="3">
        <f>SUMPRODUCT($B2530:$Y2530,$B$2649:$Y$2649)</f>
        <v/>
      </c>
      <c r="AA2530" s="3">
        <f>SUMPRODUCT($B2530:$Y2530,$B$2655:$Y$2655)</f>
        <v/>
      </c>
      <c r="AC2530" s="1">
        <f>A2530</f>
        <v/>
      </c>
      <c r="AD2530">
        <f>IF(ISNUMBER(V2530),V2530*($AB$1/V$2635),"")</f>
        <v/>
      </c>
      <c r="AE2530">
        <f>IF(ISNUMBER(Z2530),Z2530*($AB$1/Z$2635),"")</f>
        <v/>
      </c>
      <c r="AF2530" s="25">
        <f>IF(ISNUMBER(AD2530+AE2530),AD2530+AE2530,"")</f>
        <v/>
      </c>
      <c r="AH2530" s="1">
        <f>A2530</f>
        <v/>
      </c>
      <c r="AI2530">
        <f>IF(ISNUMBER((1+V2530)*AI2529),(1+V2530)*AI2529,AI2529)</f>
        <v/>
      </c>
      <c r="AJ2530">
        <f>IF(ISNUMBER((1+Z2530)*AJ2529),(1+Z2530)*AJ2529,AJ2529)</f>
        <v/>
      </c>
    </row>
    <row r="2531">
      <c r="A2531" s="1" t="n">
        <v>45679</v>
      </c>
      <c r="B2531" s="3">
        <f>IF(ORIG!B2531=0,"",ORIG!B2531)</f>
        <v/>
      </c>
      <c r="C2531" s="3">
        <f>IF(ORIG!C2531=0,"",ORIG!C2531)</f>
        <v/>
      </c>
      <c r="D2531" s="3">
        <f>IF(ORIG!D2531=0,"",ORIG!D2531)</f>
        <v/>
      </c>
      <c r="E2531" s="3">
        <f>IF(ORIG!E2531=0,"",ORIG!E2531)</f>
        <v/>
      </c>
      <c r="F2531" s="3">
        <f>IF(ORIG!F2531=0,"",ORIG!F2531)</f>
        <v/>
      </c>
      <c r="G2531" s="3">
        <f>IF(ORIG!G2531=0,"",ORIG!G2531)</f>
        <v/>
      </c>
      <c r="H2531" s="3">
        <f>IF(ORIG!H2531=0,"",ORIG!H2531)</f>
        <v/>
      </c>
      <c r="I2531" s="3">
        <f>IF(ORIG!I2531=0,"",ORIG!I2531)</f>
        <v/>
      </c>
      <c r="J2531" s="3">
        <f>IF(ORIG!J2531=0,"",ORIG!J2531)</f>
        <v/>
      </c>
      <c r="K2531" s="3">
        <f>IF(ORIG!K2531=0,"",ORIG!K2531)</f>
        <v/>
      </c>
      <c r="L2531" s="3">
        <f>IF(ORIG!L2531=0,"",ORIG!L2531)</f>
        <v/>
      </c>
      <c r="M2531" s="3">
        <f>IF(ORIG!M2531=0,"",ORIG!M2531)</f>
        <v/>
      </c>
      <c r="N2531" s="3">
        <f>IF(ORIG!N2531=0,"",ORIG!N2531)</f>
        <v/>
      </c>
      <c r="O2531" s="3">
        <f>IF(ORIG!O2531=0,"",ORIG!O2531)</f>
        <v/>
      </c>
      <c r="P2531" s="3">
        <f>IF(ORIG!P2531=0,"",ORIG!P2531)</f>
        <v/>
      </c>
      <c r="Q2531" s="3">
        <f>IF(ORIG!Q2531=0,"",ORIG!Q2531)</f>
        <v/>
      </c>
      <c r="R2531" s="3">
        <f>IF(ORIG!R2531=0,"",ORIG!R2531)</f>
        <v/>
      </c>
      <c r="S2531" s="3">
        <f>IF(ORIG!S2531=0,"",ORIG!S2531)</f>
        <v/>
      </c>
      <c r="T2531" s="3">
        <f>IF(ORIG!T2531=0,"",ORIG!T2531)</f>
        <v/>
      </c>
      <c r="U2531" s="3">
        <f>IF(ORIG!U2531=0,"",ORIG!U2531)</f>
        <v/>
      </c>
      <c r="V2531" s="9">
        <f>IF(ORIG!V2531=0,"",ORIG!V2531)</f>
        <v/>
      </c>
      <c r="W2531" s="9">
        <f>IF(ORIG!W2531=0,"",ORIG!W2531)</f>
        <v/>
      </c>
      <c r="X2531" s="9">
        <f>IF(ORIG!X2531=0,"",ORIG!X2531)</f>
        <v/>
      </c>
      <c r="Y2531" s="9">
        <f>IF(ORIG!Y2531=0,"",ORIG!Y2531)</f>
        <v/>
      </c>
      <c r="Z2531" s="3">
        <f>SUMPRODUCT($B2531:$Y2531,$B$2649:$Y$2649)</f>
        <v/>
      </c>
      <c r="AA2531" s="3">
        <f>SUMPRODUCT($B2531:$Y2531,$B$2655:$Y$2655)</f>
        <v/>
      </c>
      <c r="AC2531" s="1">
        <f>A2531</f>
        <v/>
      </c>
      <c r="AD2531">
        <f>IF(ISNUMBER(V2531),V2531*($AB$1/V$2635),"")</f>
        <v/>
      </c>
      <c r="AE2531">
        <f>IF(ISNUMBER(Z2531),Z2531*($AB$1/Z$2635),"")</f>
        <v/>
      </c>
      <c r="AF2531" s="25">
        <f>IF(ISNUMBER(AD2531+AE2531),AD2531+AE2531,"")</f>
        <v/>
      </c>
      <c r="AH2531" s="1">
        <f>A2531</f>
        <v/>
      </c>
      <c r="AI2531">
        <f>IF(ISNUMBER((1+V2531)*AI2530),(1+V2531)*AI2530,AI2530)</f>
        <v/>
      </c>
      <c r="AJ2531">
        <f>IF(ISNUMBER((1+Z2531)*AJ2530),(1+Z2531)*AJ2530,AJ2530)</f>
        <v/>
      </c>
    </row>
    <row r="2532">
      <c r="A2532" s="1" t="n">
        <v>45680</v>
      </c>
      <c r="B2532" s="3">
        <f>IF(ORIG!B2532=0,"",ORIG!B2532)</f>
        <v/>
      </c>
      <c r="C2532" s="3">
        <f>IF(ORIG!C2532=0,"",ORIG!C2532)</f>
        <v/>
      </c>
      <c r="D2532" s="3">
        <f>IF(ORIG!D2532=0,"",ORIG!D2532)</f>
        <v/>
      </c>
      <c r="E2532" s="3">
        <f>IF(ORIG!E2532=0,"",ORIG!E2532)</f>
        <v/>
      </c>
      <c r="F2532" s="3">
        <f>IF(ORIG!F2532=0,"",ORIG!F2532)</f>
        <v/>
      </c>
      <c r="G2532" s="3">
        <f>IF(ORIG!G2532=0,"",ORIG!G2532)</f>
        <v/>
      </c>
      <c r="H2532" s="3">
        <f>IF(ORIG!H2532=0,"",ORIG!H2532)</f>
        <v/>
      </c>
      <c r="I2532" s="3">
        <f>IF(ORIG!I2532=0,"",ORIG!I2532)</f>
        <v/>
      </c>
      <c r="J2532" s="3">
        <f>IF(ORIG!J2532=0,"",ORIG!J2532)</f>
        <v/>
      </c>
      <c r="K2532" s="3">
        <f>IF(ORIG!K2532=0,"",ORIG!K2532)</f>
        <v/>
      </c>
      <c r="L2532" s="3">
        <f>IF(ORIG!L2532=0,"",ORIG!L2532)</f>
        <v/>
      </c>
      <c r="M2532" s="3">
        <f>IF(ORIG!M2532=0,"",ORIG!M2532)</f>
        <v/>
      </c>
      <c r="N2532" s="3">
        <f>IF(ORIG!N2532=0,"",ORIG!N2532)</f>
        <v/>
      </c>
      <c r="O2532" s="3">
        <f>IF(ORIG!O2532=0,"",ORIG!O2532)</f>
        <v/>
      </c>
      <c r="P2532" s="3">
        <f>IF(ORIG!P2532=0,"",ORIG!P2532)</f>
        <v/>
      </c>
      <c r="Q2532" s="3">
        <f>IF(ORIG!Q2532=0,"",ORIG!Q2532)</f>
        <v/>
      </c>
      <c r="R2532" s="3">
        <f>IF(ORIG!R2532=0,"",ORIG!R2532)</f>
        <v/>
      </c>
      <c r="S2532" s="3">
        <f>IF(ORIG!S2532=0,"",ORIG!S2532)</f>
        <v/>
      </c>
      <c r="T2532" s="3">
        <f>IF(ORIG!T2532=0,"",ORIG!T2532)</f>
        <v/>
      </c>
      <c r="U2532" s="3">
        <f>IF(ORIG!U2532=0,"",ORIG!U2532)</f>
        <v/>
      </c>
      <c r="V2532" s="9">
        <f>IF(ORIG!V2532=0,"",ORIG!V2532)</f>
        <v/>
      </c>
      <c r="W2532" s="9">
        <f>IF(ORIG!W2532=0,"",ORIG!W2532)</f>
        <v/>
      </c>
      <c r="X2532" s="9">
        <f>IF(ORIG!X2532=0,"",ORIG!X2532)</f>
        <v/>
      </c>
      <c r="Y2532" s="9">
        <f>IF(ORIG!Y2532=0,"",ORIG!Y2532)</f>
        <v/>
      </c>
      <c r="Z2532" s="3">
        <f>SUMPRODUCT($B2532:$Y2532,$B$2649:$Y$2649)</f>
        <v/>
      </c>
      <c r="AA2532" s="3">
        <f>SUMPRODUCT($B2532:$Y2532,$B$2655:$Y$2655)</f>
        <v/>
      </c>
      <c r="AC2532" s="1">
        <f>A2532</f>
        <v/>
      </c>
      <c r="AD2532">
        <f>IF(ISNUMBER(V2532),V2532*($AB$1/V$2635),"")</f>
        <v/>
      </c>
      <c r="AE2532">
        <f>IF(ISNUMBER(Z2532),Z2532*($AB$1/Z$2635),"")</f>
        <v/>
      </c>
      <c r="AF2532" s="25">
        <f>IF(ISNUMBER(AD2532+AE2532),AD2532+AE2532,"")</f>
        <v/>
      </c>
      <c r="AH2532" s="1">
        <f>A2532</f>
        <v/>
      </c>
      <c r="AI2532">
        <f>IF(ISNUMBER((1+V2532)*AI2531),(1+V2532)*AI2531,AI2531)</f>
        <v/>
      </c>
      <c r="AJ2532">
        <f>IF(ISNUMBER((1+Z2532)*AJ2531),(1+Z2532)*AJ2531,AJ2531)</f>
        <v/>
      </c>
    </row>
    <row r="2533">
      <c r="A2533" s="1" t="n">
        <v>45681</v>
      </c>
      <c r="B2533" s="3">
        <f>IF(ORIG!B2533=0,"",ORIG!B2533)</f>
        <v/>
      </c>
      <c r="C2533" s="3">
        <f>IF(ORIG!C2533=0,"",ORIG!C2533)</f>
        <v/>
      </c>
      <c r="D2533" s="3">
        <f>IF(ORIG!D2533=0,"",ORIG!D2533)</f>
        <v/>
      </c>
      <c r="E2533" s="3">
        <f>IF(ORIG!E2533=0,"",ORIG!E2533)</f>
        <v/>
      </c>
      <c r="F2533" s="3">
        <f>IF(ORIG!F2533=0,"",ORIG!F2533)</f>
        <v/>
      </c>
      <c r="G2533" s="3">
        <f>IF(ORIG!G2533=0,"",ORIG!G2533)</f>
        <v/>
      </c>
      <c r="H2533" s="3">
        <f>IF(ORIG!H2533=0,"",ORIG!H2533)</f>
        <v/>
      </c>
      <c r="I2533" s="3">
        <f>IF(ORIG!I2533=0,"",ORIG!I2533)</f>
        <v/>
      </c>
      <c r="J2533" s="3">
        <f>IF(ORIG!J2533=0,"",ORIG!J2533)</f>
        <v/>
      </c>
      <c r="K2533" s="3">
        <f>IF(ORIG!K2533=0,"",ORIG!K2533)</f>
        <v/>
      </c>
      <c r="L2533" s="3">
        <f>IF(ORIG!L2533=0,"",ORIG!L2533)</f>
        <v/>
      </c>
      <c r="M2533" s="3">
        <f>IF(ORIG!M2533=0,"",ORIG!M2533)</f>
        <v/>
      </c>
      <c r="N2533" s="3">
        <f>IF(ORIG!N2533=0,"",ORIG!N2533)</f>
        <v/>
      </c>
      <c r="O2533" s="3">
        <f>IF(ORIG!O2533=0,"",ORIG!O2533)</f>
        <v/>
      </c>
      <c r="P2533" s="3">
        <f>IF(ORIG!P2533=0,"",ORIG!P2533)</f>
        <v/>
      </c>
      <c r="Q2533" s="3">
        <f>IF(ORIG!Q2533=0,"",ORIG!Q2533)</f>
        <v/>
      </c>
      <c r="R2533" s="3">
        <f>IF(ORIG!R2533=0,"",ORIG!R2533)</f>
        <v/>
      </c>
      <c r="S2533" s="3">
        <f>IF(ORIG!S2533=0,"",ORIG!S2533)</f>
        <v/>
      </c>
      <c r="T2533" s="3">
        <f>IF(ORIG!T2533=0,"",ORIG!T2533)</f>
        <v/>
      </c>
      <c r="U2533" s="3">
        <f>IF(ORIG!U2533=0,"",ORIG!U2533)</f>
        <v/>
      </c>
      <c r="V2533" s="9">
        <f>IF(ORIG!V2533=0,"",ORIG!V2533)</f>
        <v/>
      </c>
      <c r="W2533" s="9">
        <f>IF(ORIG!W2533=0,"",ORIG!W2533)</f>
        <v/>
      </c>
      <c r="X2533" s="9">
        <f>IF(ORIG!X2533=0,"",ORIG!X2533)</f>
        <v/>
      </c>
      <c r="Y2533" s="9">
        <f>IF(ORIG!Y2533=0,"",ORIG!Y2533)</f>
        <v/>
      </c>
      <c r="Z2533" s="3">
        <f>SUMPRODUCT($B2533:$Y2533,$B$2649:$Y$2649)</f>
        <v/>
      </c>
      <c r="AA2533" s="3">
        <f>SUMPRODUCT($B2533:$Y2533,$B$2655:$Y$2655)</f>
        <v/>
      </c>
      <c r="AC2533" s="1">
        <f>A2533</f>
        <v/>
      </c>
      <c r="AD2533">
        <f>IF(ISNUMBER(V2533),V2533*($AB$1/V$2635),"")</f>
        <v/>
      </c>
      <c r="AE2533">
        <f>IF(ISNUMBER(Z2533),Z2533*($AB$1/Z$2635),"")</f>
        <v/>
      </c>
      <c r="AF2533" s="25">
        <f>IF(ISNUMBER(AD2533+AE2533),AD2533+AE2533,"")</f>
        <v/>
      </c>
      <c r="AH2533" s="1">
        <f>A2533</f>
        <v/>
      </c>
      <c r="AI2533">
        <f>IF(ISNUMBER((1+V2533)*AI2532),(1+V2533)*AI2532,AI2532)</f>
        <v/>
      </c>
      <c r="AJ2533">
        <f>IF(ISNUMBER((1+Z2533)*AJ2532),(1+Z2533)*AJ2532,AJ2532)</f>
        <v/>
      </c>
    </row>
    <row r="2534">
      <c r="A2534" s="1" t="n">
        <v>45684</v>
      </c>
      <c r="B2534" s="3">
        <f>IF(ORIG!B2534=0,"",ORIG!B2534)</f>
        <v/>
      </c>
      <c r="C2534" s="3">
        <f>IF(ORIG!C2534=0,"",ORIG!C2534)</f>
        <v/>
      </c>
      <c r="D2534" s="3">
        <f>IF(ORIG!D2534=0,"",ORIG!D2534)</f>
        <v/>
      </c>
      <c r="E2534" s="3">
        <f>IF(ORIG!E2534=0,"",ORIG!E2534)</f>
        <v/>
      </c>
      <c r="F2534" s="3">
        <f>IF(ORIG!F2534=0,"",ORIG!F2534)</f>
        <v/>
      </c>
      <c r="G2534" s="3">
        <f>IF(ORIG!G2534=0,"",ORIG!G2534)</f>
        <v/>
      </c>
      <c r="H2534" s="3">
        <f>IF(ORIG!H2534=0,"",ORIG!H2534)</f>
        <v/>
      </c>
      <c r="I2534" s="3">
        <f>IF(ORIG!I2534=0,"",ORIG!I2534)</f>
        <v/>
      </c>
      <c r="J2534" s="3">
        <f>IF(ORIG!J2534=0,"",ORIG!J2534)</f>
        <v/>
      </c>
      <c r="K2534" s="3">
        <f>IF(ORIG!K2534=0,"",ORIG!K2534)</f>
        <v/>
      </c>
      <c r="L2534" s="3">
        <f>IF(ORIG!L2534=0,"",ORIG!L2534)</f>
        <v/>
      </c>
      <c r="M2534" s="3">
        <f>IF(ORIG!M2534=0,"",ORIG!M2534)</f>
        <v/>
      </c>
      <c r="N2534" s="3">
        <f>IF(ORIG!N2534=0,"",ORIG!N2534)</f>
        <v/>
      </c>
      <c r="O2534" s="3">
        <f>IF(ORIG!O2534=0,"",ORIG!O2534)</f>
        <v/>
      </c>
      <c r="P2534" s="3">
        <f>IF(ORIG!P2534=0,"",ORIG!P2534)</f>
        <v/>
      </c>
      <c r="Q2534" s="3">
        <f>IF(ORIG!Q2534=0,"",ORIG!Q2534)</f>
        <v/>
      </c>
      <c r="R2534" s="3">
        <f>IF(ORIG!R2534=0,"",ORIG!R2534)</f>
        <v/>
      </c>
      <c r="S2534" s="3">
        <f>IF(ORIG!S2534=0,"",ORIG!S2534)</f>
        <v/>
      </c>
      <c r="T2534" s="3">
        <f>IF(ORIG!T2534=0,"",ORIG!T2534)</f>
        <v/>
      </c>
      <c r="U2534" s="3">
        <f>IF(ORIG!U2534=0,"",ORIG!U2534)</f>
        <v/>
      </c>
      <c r="V2534" s="9">
        <f>IF(ORIG!V2534=0,"",ORIG!V2534)</f>
        <v/>
      </c>
      <c r="W2534" s="9">
        <f>IF(ORIG!W2534=0,"",ORIG!W2534)</f>
        <v/>
      </c>
      <c r="X2534" s="9">
        <f>IF(ORIG!X2534=0,"",ORIG!X2534)</f>
        <v/>
      </c>
      <c r="Y2534" s="9">
        <f>IF(ORIG!Y2534=0,"",ORIG!Y2534)</f>
        <v/>
      </c>
      <c r="Z2534" s="3">
        <f>SUMPRODUCT($B2534:$Y2534,$B$2649:$Y$2649)</f>
        <v/>
      </c>
      <c r="AA2534" s="3">
        <f>SUMPRODUCT($B2534:$Y2534,$B$2655:$Y$2655)</f>
        <v/>
      </c>
      <c r="AC2534" s="1">
        <f>A2534</f>
        <v/>
      </c>
      <c r="AD2534">
        <f>IF(ISNUMBER(V2534),V2534*($AB$1/V$2635),"")</f>
        <v/>
      </c>
      <c r="AE2534">
        <f>IF(ISNUMBER(Z2534),Z2534*($AB$1/Z$2635),"")</f>
        <v/>
      </c>
      <c r="AF2534" s="25">
        <f>IF(ISNUMBER(AD2534+AE2534),AD2534+AE2534,"")</f>
        <v/>
      </c>
      <c r="AH2534" s="1">
        <f>A2534</f>
        <v/>
      </c>
      <c r="AI2534">
        <f>IF(ISNUMBER((1+V2534)*AI2533),(1+V2534)*AI2533,AI2533)</f>
        <v/>
      </c>
      <c r="AJ2534">
        <f>IF(ISNUMBER((1+Z2534)*AJ2533),(1+Z2534)*AJ2533,AJ2533)</f>
        <v/>
      </c>
    </row>
    <row r="2535">
      <c r="A2535" s="1" t="n">
        <v>45685</v>
      </c>
      <c r="B2535" s="3">
        <f>IF(ORIG!B2535=0,"",ORIG!B2535)</f>
        <v/>
      </c>
      <c r="C2535" s="3">
        <f>IF(ORIG!C2535=0,"",ORIG!C2535)</f>
        <v/>
      </c>
      <c r="D2535" s="3">
        <f>IF(ORIG!D2535=0,"",ORIG!D2535)</f>
        <v/>
      </c>
      <c r="E2535" s="3">
        <f>IF(ORIG!E2535=0,"",ORIG!E2535)</f>
        <v/>
      </c>
      <c r="F2535" s="3">
        <f>IF(ORIG!F2535=0,"",ORIG!F2535)</f>
        <v/>
      </c>
      <c r="G2535" s="3">
        <f>IF(ORIG!G2535=0,"",ORIG!G2535)</f>
        <v/>
      </c>
      <c r="H2535" s="3">
        <f>IF(ORIG!H2535=0,"",ORIG!H2535)</f>
        <v/>
      </c>
      <c r="I2535" s="3">
        <f>IF(ORIG!I2535=0,"",ORIG!I2535)</f>
        <v/>
      </c>
      <c r="J2535" s="3">
        <f>IF(ORIG!J2535=0,"",ORIG!J2535)</f>
        <v/>
      </c>
      <c r="K2535" s="3">
        <f>IF(ORIG!K2535=0,"",ORIG!K2535)</f>
        <v/>
      </c>
      <c r="L2535" s="3">
        <f>IF(ORIG!L2535=0,"",ORIG!L2535)</f>
        <v/>
      </c>
      <c r="M2535" s="3">
        <f>IF(ORIG!M2535=0,"",ORIG!M2535)</f>
        <v/>
      </c>
      <c r="N2535" s="3">
        <f>IF(ORIG!N2535=0,"",ORIG!N2535)</f>
        <v/>
      </c>
      <c r="O2535" s="3">
        <f>IF(ORIG!O2535=0,"",ORIG!O2535)</f>
        <v/>
      </c>
      <c r="P2535" s="3">
        <f>IF(ORIG!P2535=0,"",ORIG!P2535)</f>
        <v/>
      </c>
      <c r="Q2535" s="3">
        <f>IF(ORIG!Q2535=0,"",ORIG!Q2535)</f>
        <v/>
      </c>
      <c r="R2535" s="3">
        <f>IF(ORIG!R2535=0,"",ORIG!R2535)</f>
        <v/>
      </c>
      <c r="S2535" s="3">
        <f>IF(ORIG!S2535=0,"",ORIG!S2535)</f>
        <v/>
      </c>
      <c r="T2535" s="3">
        <f>IF(ORIG!T2535=0,"",ORIG!T2535)</f>
        <v/>
      </c>
      <c r="U2535" s="3">
        <f>IF(ORIG!U2535=0,"",ORIG!U2535)</f>
        <v/>
      </c>
      <c r="V2535" s="9">
        <f>IF(ORIG!V2535=0,"",ORIG!V2535)</f>
        <v/>
      </c>
      <c r="W2535" s="9">
        <f>IF(ORIG!W2535=0,"",ORIG!W2535)</f>
        <v/>
      </c>
      <c r="X2535" s="9">
        <f>IF(ORIG!X2535=0,"",ORIG!X2535)</f>
        <v/>
      </c>
      <c r="Y2535" s="9">
        <f>IF(ORIG!Y2535=0,"",ORIG!Y2535)</f>
        <v/>
      </c>
      <c r="Z2535" s="3">
        <f>SUMPRODUCT($B2535:$Y2535,$B$2649:$Y$2649)</f>
        <v/>
      </c>
      <c r="AA2535" s="3">
        <f>SUMPRODUCT($B2535:$Y2535,$B$2655:$Y$2655)</f>
        <v/>
      </c>
      <c r="AC2535" s="1">
        <f>A2535</f>
        <v/>
      </c>
      <c r="AD2535">
        <f>IF(ISNUMBER(V2535),V2535*($AB$1/V$2635),"")</f>
        <v/>
      </c>
      <c r="AE2535">
        <f>IF(ISNUMBER(Z2535),Z2535*($AB$1/Z$2635),"")</f>
        <v/>
      </c>
      <c r="AF2535" s="25">
        <f>IF(ISNUMBER(AD2535+AE2535),AD2535+AE2535,"")</f>
        <v/>
      </c>
      <c r="AH2535" s="1">
        <f>A2535</f>
        <v/>
      </c>
      <c r="AI2535">
        <f>IF(ISNUMBER((1+V2535)*AI2534),(1+V2535)*AI2534,AI2534)</f>
        <v/>
      </c>
      <c r="AJ2535">
        <f>IF(ISNUMBER((1+Z2535)*AJ2534),(1+Z2535)*AJ2534,AJ2534)</f>
        <v/>
      </c>
    </row>
    <row r="2536">
      <c r="A2536" s="1" t="n">
        <v>45686</v>
      </c>
      <c r="B2536" s="3">
        <f>IF(ORIG!B2536=0,"",ORIG!B2536)</f>
        <v/>
      </c>
      <c r="C2536" s="3">
        <f>IF(ORIG!C2536=0,"",ORIG!C2536)</f>
        <v/>
      </c>
      <c r="D2536" s="3">
        <f>IF(ORIG!D2536=0,"",ORIG!D2536)</f>
        <v/>
      </c>
      <c r="E2536" s="3">
        <f>IF(ORIG!E2536=0,"",ORIG!E2536)</f>
        <v/>
      </c>
      <c r="F2536" s="3">
        <f>IF(ORIG!F2536=0,"",ORIG!F2536)</f>
        <v/>
      </c>
      <c r="G2536" s="3">
        <f>IF(ORIG!G2536=0,"",ORIG!G2536)</f>
        <v/>
      </c>
      <c r="H2536" s="3">
        <f>IF(ORIG!H2536=0,"",ORIG!H2536)</f>
        <v/>
      </c>
      <c r="I2536" s="3">
        <f>IF(ORIG!I2536=0,"",ORIG!I2536)</f>
        <v/>
      </c>
      <c r="J2536" s="3">
        <f>IF(ORIG!J2536=0,"",ORIG!J2536)</f>
        <v/>
      </c>
      <c r="K2536" s="3">
        <f>IF(ORIG!K2536=0,"",ORIG!K2536)</f>
        <v/>
      </c>
      <c r="L2536" s="3">
        <f>IF(ORIG!L2536=0,"",ORIG!L2536)</f>
        <v/>
      </c>
      <c r="M2536" s="3">
        <f>IF(ORIG!M2536=0,"",ORIG!M2536)</f>
        <v/>
      </c>
      <c r="N2536" s="3">
        <f>IF(ORIG!N2536=0,"",ORIG!N2536)</f>
        <v/>
      </c>
      <c r="O2536" s="3">
        <f>IF(ORIG!O2536=0,"",ORIG!O2536)</f>
        <v/>
      </c>
      <c r="P2536" s="3">
        <f>IF(ORIG!P2536=0,"",ORIG!P2536)</f>
        <v/>
      </c>
      <c r="Q2536" s="3">
        <f>IF(ORIG!Q2536=0,"",ORIG!Q2536)</f>
        <v/>
      </c>
      <c r="R2536" s="3">
        <f>IF(ORIG!R2536=0,"",ORIG!R2536)</f>
        <v/>
      </c>
      <c r="S2536" s="3">
        <f>IF(ORIG!S2536=0,"",ORIG!S2536)</f>
        <v/>
      </c>
      <c r="T2536" s="3">
        <f>IF(ORIG!T2536=0,"",ORIG!T2536)</f>
        <v/>
      </c>
      <c r="U2536" s="3">
        <f>IF(ORIG!U2536=0,"",ORIG!U2536)</f>
        <v/>
      </c>
      <c r="V2536" s="9">
        <f>IF(ORIG!V2536=0,"",ORIG!V2536)</f>
        <v/>
      </c>
      <c r="W2536" s="9">
        <f>IF(ORIG!W2536=0,"",ORIG!W2536)</f>
        <v/>
      </c>
      <c r="X2536" s="9">
        <f>IF(ORIG!X2536=0,"",ORIG!X2536)</f>
        <v/>
      </c>
      <c r="Y2536" s="9">
        <f>IF(ORIG!Y2536=0,"",ORIG!Y2536)</f>
        <v/>
      </c>
      <c r="Z2536" s="3">
        <f>SUMPRODUCT($B2536:$Y2536,$B$2649:$Y$2649)</f>
        <v/>
      </c>
      <c r="AA2536" s="3">
        <f>SUMPRODUCT($B2536:$Y2536,$B$2655:$Y$2655)</f>
        <v/>
      </c>
      <c r="AC2536" s="1">
        <f>A2536</f>
        <v/>
      </c>
      <c r="AD2536">
        <f>IF(ISNUMBER(V2536),V2536*($AB$1/V$2635),"")</f>
        <v/>
      </c>
      <c r="AE2536">
        <f>IF(ISNUMBER(Z2536),Z2536*($AB$1/Z$2635),"")</f>
        <v/>
      </c>
      <c r="AF2536" s="25">
        <f>IF(ISNUMBER(AD2536+AE2536),AD2536+AE2536,"")</f>
        <v/>
      </c>
      <c r="AH2536" s="1">
        <f>A2536</f>
        <v/>
      </c>
      <c r="AI2536">
        <f>IF(ISNUMBER((1+V2536)*AI2535),(1+V2536)*AI2535,AI2535)</f>
        <v/>
      </c>
      <c r="AJ2536">
        <f>IF(ISNUMBER((1+Z2536)*AJ2535),(1+Z2536)*AJ2535,AJ2535)</f>
        <v/>
      </c>
    </row>
    <row r="2537">
      <c r="A2537" s="1" t="n">
        <v>45687</v>
      </c>
      <c r="B2537" s="3">
        <f>IF(ORIG!B2537=0,"",ORIG!B2537)</f>
        <v/>
      </c>
      <c r="C2537" s="3">
        <f>IF(ORIG!C2537=0,"",ORIG!C2537)</f>
        <v/>
      </c>
      <c r="D2537" s="3">
        <f>IF(ORIG!D2537=0,"",ORIG!D2537)</f>
        <v/>
      </c>
      <c r="E2537" s="3">
        <f>IF(ORIG!E2537=0,"",ORIG!E2537)</f>
        <v/>
      </c>
      <c r="F2537" s="3">
        <f>IF(ORIG!F2537=0,"",ORIG!F2537)</f>
        <v/>
      </c>
      <c r="G2537" s="3">
        <f>IF(ORIG!G2537=0,"",ORIG!G2537)</f>
        <v/>
      </c>
      <c r="H2537" s="3">
        <f>IF(ORIG!H2537=0,"",ORIG!H2537)</f>
        <v/>
      </c>
      <c r="I2537" s="3">
        <f>IF(ORIG!I2537=0,"",ORIG!I2537)</f>
        <v/>
      </c>
      <c r="J2537" s="3">
        <f>IF(ORIG!J2537=0,"",ORIG!J2537)</f>
        <v/>
      </c>
      <c r="K2537" s="3">
        <f>IF(ORIG!K2537=0,"",ORIG!K2537)</f>
        <v/>
      </c>
      <c r="L2537" s="3">
        <f>IF(ORIG!L2537=0,"",ORIG!L2537)</f>
        <v/>
      </c>
      <c r="M2537" s="3">
        <f>IF(ORIG!M2537=0,"",ORIG!M2537)</f>
        <v/>
      </c>
      <c r="N2537" s="3">
        <f>IF(ORIG!N2537=0,"",ORIG!N2537)</f>
        <v/>
      </c>
      <c r="O2537" s="3">
        <f>IF(ORIG!O2537=0,"",ORIG!O2537)</f>
        <v/>
      </c>
      <c r="P2537" s="3">
        <f>IF(ORIG!P2537=0,"",ORIG!P2537)</f>
        <v/>
      </c>
      <c r="Q2537" s="3">
        <f>IF(ORIG!Q2537=0,"",ORIG!Q2537)</f>
        <v/>
      </c>
      <c r="R2537" s="3">
        <f>IF(ORIG!R2537=0,"",ORIG!R2537)</f>
        <v/>
      </c>
      <c r="S2537" s="3">
        <f>IF(ORIG!S2537=0,"",ORIG!S2537)</f>
        <v/>
      </c>
      <c r="T2537" s="3">
        <f>IF(ORIG!T2537=0,"",ORIG!T2537)</f>
        <v/>
      </c>
      <c r="U2537" s="3">
        <f>IF(ORIG!U2537=0,"",ORIG!U2537)</f>
        <v/>
      </c>
      <c r="V2537" s="9">
        <f>IF(ORIG!V2537=0,"",ORIG!V2537)</f>
        <v/>
      </c>
      <c r="W2537" s="9">
        <f>IF(ORIG!W2537=0,"",ORIG!W2537)</f>
        <v/>
      </c>
      <c r="X2537" s="9">
        <f>IF(ORIG!X2537=0,"",ORIG!X2537)</f>
        <v/>
      </c>
      <c r="Y2537" s="9">
        <f>IF(ORIG!Y2537=0,"",ORIG!Y2537)</f>
        <v/>
      </c>
      <c r="Z2537" s="3">
        <f>SUMPRODUCT($B2537:$Y2537,$B$2649:$Y$2649)</f>
        <v/>
      </c>
      <c r="AA2537" s="3">
        <f>SUMPRODUCT($B2537:$Y2537,$B$2655:$Y$2655)</f>
        <v/>
      </c>
      <c r="AC2537" s="1">
        <f>A2537</f>
        <v/>
      </c>
      <c r="AD2537">
        <f>IF(ISNUMBER(V2537),V2537*($AB$1/V$2635),"")</f>
        <v/>
      </c>
      <c r="AE2537">
        <f>IF(ISNUMBER(Z2537),Z2537*($AB$1/Z$2635),"")</f>
        <v/>
      </c>
      <c r="AF2537" s="25">
        <f>IF(ISNUMBER(AD2537+AE2537),AD2537+AE2537,"")</f>
        <v/>
      </c>
      <c r="AH2537" s="1">
        <f>A2537</f>
        <v/>
      </c>
      <c r="AI2537">
        <f>IF(ISNUMBER((1+V2537)*AI2536),(1+V2537)*AI2536,AI2536)</f>
        <v/>
      </c>
      <c r="AJ2537">
        <f>IF(ISNUMBER((1+Z2537)*AJ2536),(1+Z2537)*AJ2536,AJ2536)</f>
        <v/>
      </c>
    </row>
    <row r="2538">
      <c r="A2538" s="1" t="n">
        <v>45688</v>
      </c>
      <c r="B2538" s="3">
        <f>IF(ORIG!B2538=0,"",ORIG!B2538)</f>
        <v/>
      </c>
      <c r="C2538" s="3">
        <f>IF(ORIG!C2538=0,"",ORIG!C2538)</f>
        <v/>
      </c>
      <c r="D2538" s="3">
        <f>IF(ORIG!D2538=0,"",ORIG!D2538)</f>
        <v/>
      </c>
      <c r="E2538" s="3">
        <f>IF(ORIG!E2538=0,"",ORIG!E2538)</f>
        <v/>
      </c>
      <c r="F2538" s="3">
        <f>IF(ORIG!F2538=0,"",ORIG!F2538)</f>
        <v/>
      </c>
      <c r="G2538" s="3">
        <f>IF(ORIG!G2538=0,"",ORIG!G2538)</f>
        <v/>
      </c>
      <c r="H2538" s="3">
        <f>IF(ORIG!H2538=0,"",ORIG!H2538)</f>
        <v/>
      </c>
      <c r="I2538" s="3">
        <f>IF(ORIG!I2538=0,"",ORIG!I2538)</f>
        <v/>
      </c>
      <c r="J2538" s="3">
        <f>IF(ORIG!J2538=0,"",ORIG!J2538)</f>
        <v/>
      </c>
      <c r="K2538" s="3">
        <f>IF(ORIG!K2538=0,"",ORIG!K2538)</f>
        <v/>
      </c>
      <c r="L2538" s="3">
        <f>IF(ORIG!L2538=0,"",ORIG!L2538)</f>
        <v/>
      </c>
      <c r="M2538" s="3">
        <f>IF(ORIG!M2538=0,"",ORIG!M2538)</f>
        <v/>
      </c>
      <c r="N2538" s="3">
        <f>IF(ORIG!N2538=0,"",ORIG!N2538)</f>
        <v/>
      </c>
      <c r="O2538" s="3">
        <f>IF(ORIG!O2538=0,"",ORIG!O2538)</f>
        <v/>
      </c>
      <c r="P2538" s="3">
        <f>IF(ORIG!P2538=0,"",ORIG!P2538)</f>
        <v/>
      </c>
      <c r="Q2538" s="3">
        <f>IF(ORIG!Q2538=0,"",ORIG!Q2538)</f>
        <v/>
      </c>
      <c r="R2538" s="3">
        <f>IF(ORIG!R2538=0,"",ORIG!R2538)</f>
        <v/>
      </c>
      <c r="S2538" s="3">
        <f>IF(ORIG!S2538=0,"",ORIG!S2538)</f>
        <v/>
      </c>
      <c r="T2538" s="3">
        <f>IF(ORIG!T2538=0,"",ORIG!T2538)</f>
        <v/>
      </c>
      <c r="U2538" s="3">
        <f>IF(ORIG!U2538=0,"",ORIG!U2538)</f>
        <v/>
      </c>
      <c r="V2538" s="9">
        <f>IF(ORIG!V2538=0,"",ORIG!V2538)</f>
        <v/>
      </c>
      <c r="W2538" s="9">
        <f>IF(ORIG!W2538=0,"",ORIG!W2538)</f>
        <v/>
      </c>
      <c r="X2538" s="9">
        <f>IF(ORIG!X2538=0,"",ORIG!X2538)</f>
        <v/>
      </c>
      <c r="Y2538" s="9">
        <f>IF(ORIG!Y2538=0,"",ORIG!Y2538)</f>
        <v/>
      </c>
      <c r="Z2538" s="3">
        <f>SUMPRODUCT($B2538:$Y2538,$B$2649:$Y$2649)</f>
        <v/>
      </c>
      <c r="AA2538" s="3">
        <f>SUMPRODUCT($B2538:$Y2538,$B$2655:$Y$2655)</f>
        <v/>
      </c>
      <c r="AC2538" s="1">
        <f>A2538</f>
        <v/>
      </c>
      <c r="AD2538">
        <f>IF(ISNUMBER(V2538),V2538*($AB$1/V$2635),"")</f>
        <v/>
      </c>
      <c r="AE2538">
        <f>IF(ISNUMBER(Z2538),Z2538*($AB$1/Z$2635),"")</f>
        <v/>
      </c>
      <c r="AF2538" s="25">
        <f>IF(ISNUMBER(AD2538+AE2538),AD2538+AE2538,"")</f>
        <v/>
      </c>
      <c r="AH2538" s="1">
        <f>A2538</f>
        <v/>
      </c>
      <c r="AI2538">
        <f>IF(ISNUMBER((1+V2538)*AI2537),(1+V2538)*AI2537,AI2537)</f>
        <v/>
      </c>
      <c r="AJ2538">
        <f>IF(ISNUMBER((1+Z2538)*AJ2537),(1+Z2538)*AJ2537,AJ2537)</f>
        <v/>
      </c>
    </row>
    <row r="2539">
      <c r="A2539" s="1" t="n">
        <v>45691</v>
      </c>
      <c r="B2539" s="3">
        <f>IF(ORIG!B2539=0,"",ORIG!B2539)</f>
        <v/>
      </c>
      <c r="C2539" s="3">
        <f>IF(ORIG!C2539=0,"",ORIG!C2539)</f>
        <v/>
      </c>
      <c r="D2539" s="3">
        <f>IF(ORIG!D2539=0,"",ORIG!D2539)</f>
        <v/>
      </c>
      <c r="E2539" s="3">
        <f>IF(ORIG!E2539=0,"",ORIG!E2539)</f>
        <v/>
      </c>
      <c r="F2539" s="3">
        <f>IF(ORIG!F2539=0,"",ORIG!F2539)</f>
        <v/>
      </c>
      <c r="G2539" s="3">
        <f>IF(ORIG!G2539=0,"",ORIG!G2539)</f>
        <v/>
      </c>
      <c r="H2539" s="3">
        <f>IF(ORIG!H2539=0,"",ORIG!H2539)</f>
        <v/>
      </c>
      <c r="I2539" s="3">
        <f>IF(ORIG!I2539=0,"",ORIG!I2539)</f>
        <v/>
      </c>
      <c r="J2539" s="3">
        <f>IF(ORIG!J2539=0,"",ORIG!J2539)</f>
        <v/>
      </c>
      <c r="K2539" s="3">
        <f>IF(ORIG!K2539=0,"",ORIG!K2539)</f>
        <v/>
      </c>
      <c r="L2539" s="3">
        <f>IF(ORIG!L2539=0,"",ORIG!L2539)</f>
        <v/>
      </c>
      <c r="M2539" s="3">
        <f>IF(ORIG!M2539=0,"",ORIG!M2539)</f>
        <v/>
      </c>
      <c r="N2539" s="3">
        <f>IF(ORIG!N2539=0,"",ORIG!N2539)</f>
        <v/>
      </c>
      <c r="O2539" s="3">
        <f>IF(ORIG!O2539=0,"",ORIG!O2539)</f>
        <v/>
      </c>
      <c r="P2539" s="3">
        <f>IF(ORIG!P2539=0,"",ORIG!P2539)</f>
        <v/>
      </c>
      <c r="Q2539" s="3">
        <f>IF(ORIG!Q2539=0,"",ORIG!Q2539)</f>
        <v/>
      </c>
      <c r="R2539" s="3">
        <f>IF(ORIG!R2539=0,"",ORIG!R2539)</f>
        <v/>
      </c>
      <c r="S2539" s="3">
        <f>IF(ORIG!S2539=0,"",ORIG!S2539)</f>
        <v/>
      </c>
      <c r="T2539" s="3">
        <f>IF(ORIG!T2539=0,"",ORIG!T2539)</f>
        <v/>
      </c>
      <c r="U2539" s="3">
        <f>IF(ORIG!U2539=0,"",ORIG!U2539)</f>
        <v/>
      </c>
      <c r="V2539" s="9">
        <f>IF(ORIG!V2539=0,"",ORIG!V2539)</f>
        <v/>
      </c>
      <c r="W2539" s="9">
        <f>IF(ORIG!W2539=0,"",ORIG!W2539)</f>
        <v/>
      </c>
      <c r="X2539" s="9">
        <f>IF(ORIG!X2539=0,"",ORIG!X2539)</f>
        <v/>
      </c>
      <c r="Y2539" s="9">
        <f>IF(ORIG!Y2539=0,"",ORIG!Y2539)</f>
        <v/>
      </c>
      <c r="Z2539" s="3">
        <f>SUMPRODUCT($B2539:$Y2539,$B$2649:$Y$2649)</f>
        <v/>
      </c>
      <c r="AA2539" s="3">
        <f>SUMPRODUCT($B2539:$Y2539,$B$2655:$Y$2655)</f>
        <v/>
      </c>
      <c r="AC2539" s="1">
        <f>A2539</f>
        <v/>
      </c>
      <c r="AD2539">
        <f>IF(ISNUMBER(V2539),V2539*($AB$1/V$2635),"")</f>
        <v/>
      </c>
      <c r="AE2539">
        <f>IF(ISNUMBER(Z2539),Z2539*($AB$1/Z$2635),"")</f>
        <v/>
      </c>
      <c r="AF2539" s="25">
        <f>IF(ISNUMBER(AD2539+AE2539),AD2539+AE2539,"")</f>
        <v/>
      </c>
      <c r="AH2539" s="1">
        <f>A2539</f>
        <v/>
      </c>
      <c r="AI2539">
        <f>IF(ISNUMBER((1+V2539)*AI2538),(1+V2539)*AI2538,AI2538)</f>
        <v/>
      </c>
      <c r="AJ2539">
        <f>IF(ISNUMBER((1+Z2539)*AJ2538),(1+Z2539)*AJ2538,AJ2538)</f>
        <v/>
      </c>
    </row>
    <row r="2540">
      <c r="A2540" s="1" t="n">
        <v>45692</v>
      </c>
      <c r="B2540" s="3">
        <f>IF(ORIG!B2540=0,"",ORIG!B2540)</f>
        <v/>
      </c>
      <c r="C2540" s="3">
        <f>IF(ORIG!C2540=0,"",ORIG!C2540)</f>
        <v/>
      </c>
      <c r="D2540" s="3">
        <f>IF(ORIG!D2540=0,"",ORIG!D2540)</f>
        <v/>
      </c>
      <c r="E2540" s="3">
        <f>IF(ORIG!E2540=0,"",ORIG!E2540)</f>
        <v/>
      </c>
      <c r="F2540" s="3">
        <f>IF(ORIG!F2540=0,"",ORIG!F2540)</f>
        <v/>
      </c>
      <c r="G2540" s="3">
        <f>IF(ORIG!G2540=0,"",ORIG!G2540)</f>
        <v/>
      </c>
      <c r="H2540" s="3">
        <f>IF(ORIG!H2540=0,"",ORIG!H2540)</f>
        <v/>
      </c>
      <c r="I2540" s="3">
        <f>IF(ORIG!I2540=0,"",ORIG!I2540)</f>
        <v/>
      </c>
      <c r="J2540" s="3">
        <f>IF(ORIG!J2540=0,"",ORIG!J2540)</f>
        <v/>
      </c>
      <c r="K2540" s="3">
        <f>IF(ORIG!K2540=0,"",ORIG!K2540)</f>
        <v/>
      </c>
      <c r="L2540" s="3">
        <f>IF(ORIG!L2540=0,"",ORIG!L2540)</f>
        <v/>
      </c>
      <c r="M2540" s="3">
        <f>IF(ORIG!M2540=0,"",ORIG!M2540)</f>
        <v/>
      </c>
      <c r="N2540" s="3">
        <f>IF(ORIG!N2540=0,"",ORIG!N2540)</f>
        <v/>
      </c>
      <c r="O2540" s="3">
        <f>IF(ORIG!O2540=0,"",ORIG!O2540)</f>
        <v/>
      </c>
      <c r="P2540" s="3">
        <f>IF(ORIG!P2540=0,"",ORIG!P2540)</f>
        <v/>
      </c>
      <c r="Q2540" s="3">
        <f>IF(ORIG!Q2540=0,"",ORIG!Q2540)</f>
        <v/>
      </c>
      <c r="R2540" s="3">
        <f>IF(ORIG!R2540=0,"",ORIG!R2540)</f>
        <v/>
      </c>
      <c r="S2540" s="3">
        <f>IF(ORIG!S2540=0,"",ORIG!S2540)</f>
        <v/>
      </c>
      <c r="T2540" s="3">
        <f>IF(ORIG!T2540=0,"",ORIG!T2540)</f>
        <v/>
      </c>
      <c r="U2540" s="3">
        <f>IF(ORIG!U2540=0,"",ORIG!U2540)</f>
        <v/>
      </c>
      <c r="V2540" s="9">
        <f>IF(ORIG!V2540=0,"",ORIG!V2540)</f>
        <v/>
      </c>
      <c r="W2540" s="9">
        <f>IF(ORIG!W2540=0,"",ORIG!W2540)</f>
        <v/>
      </c>
      <c r="X2540" s="9">
        <f>IF(ORIG!X2540=0,"",ORIG!X2540)</f>
        <v/>
      </c>
      <c r="Y2540" s="9">
        <f>IF(ORIG!Y2540=0,"",ORIG!Y2540)</f>
        <v/>
      </c>
      <c r="Z2540" s="3">
        <f>SUMPRODUCT($B2540:$Y2540,$B$2649:$Y$2649)</f>
        <v/>
      </c>
      <c r="AA2540" s="3">
        <f>SUMPRODUCT($B2540:$Y2540,$B$2655:$Y$2655)</f>
        <v/>
      </c>
      <c r="AC2540" s="1">
        <f>A2540</f>
        <v/>
      </c>
      <c r="AD2540">
        <f>IF(ISNUMBER(V2540),V2540*($AB$1/V$2635),"")</f>
        <v/>
      </c>
      <c r="AE2540">
        <f>IF(ISNUMBER(Z2540),Z2540*($AB$1/Z$2635),"")</f>
        <v/>
      </c>
      <c r="AF2540" s="25">
        <f>IF(ISNUMBER(AD2540+AE2540),AD2540+AE2540,"")</f>
        <v/>
      </c>
      <c r="AH2540" s="1">
        <f>A2540</f>
        <v/>
      </c>
      <c r="AI2540">
        <f>IF(ISNUMBER((1+V2540)*AI2539),(1+V2540)*AI2539,AI2539)</f>
        <v/>
      </c>
      <c r="AJ2540">
        <f>IF(ISNUMBER((1+Z2540)*AJ2539),(1+Z2540)*AJ2539,AJ2539)</f>
        <v/>
      </c>
    </row>
    <row r="2541">
      <c r="A2541" s="1" t="n">
        <v>45693</v>
      </c>
      <c r="B2541" s="3">
        <f>IF(ORIG!B2541=0,"",ORIG!B2541)</f>
        <v/>
      </c>
      <c r="C2541" s="3">
        <f>IF(ORIG!C2541=0,"",ORIG!C2541)</f>
        <v/>
      </c>
      <c r="D2541" s="3">
        <f>IF(ORIG!D2541=0,"",ORIG!D2541)</f>
        <v/>
      </c>
      <c r="E2541" s="3">
        <f>IF(ORIG!E2541=0,"",ORIG!E2541)</f>
        <v/>
      </c>
      <c r="F2541" s="3">
        <f>IF(ORIG!F2541=0,"",ORIG!F2541)</f>
        <v/>
      </c>
      <c r="G2541" s="3">
        <f>IF(ORIG!G2541=0,"",ORIG!G2541)</f>
        <v/>
      </c>
      <c r="H2541" s="3">
        <f>IF(ORIG!H2541=0,"",ORIG!H2541)</f>
        <v/>
      </c>
      <c r="I2541" s="3">
        <f>IF(ORIG!I2541=0,"",ORIG!I2541)</f>
        <v/>
      </c>
      <c r="J2541" s="3">
        <f>IF(ORIG!J2541=0,"",ORIG!J2541)</f>
        <v/>
      </c>
      <c r="K2541" s="3">
        <f>IF(ORIG!K2541=0,"",ORIG!K2541)</f>
        <v/>
      </c>
      <c r="L2541" s="3">
        <f>IF(ORIG!L2541=0,"",ORIG!L2541)</f>
        <v/>
      </c>
      <c r="M2541" s="3">
        <f>IF(ORIG!M2541=0,"",ORIG!M2541)</f>
        <v/>
      </c>
      <c r="N2541" s="3">
        <f>IF(ORIG!N2541=0,"",ORIG!N2541)</f>
        <v/>
      </c>
      <c r="O2541" s="3">
        <f>IF(ORIG!O2541=0,"",ORIG!O2541)</f>
        <v/>
      </c>
      <c r="P2541" s="3">
        <f>IF(ORIG!P2541=0,"",ORIG!P2541)</f>
        <v/>
      </c>
      <c r="Q2541" s="3">
        <f>IF(ORIG!Q2541=0,"",ORIG!Q2541)</f>
        <v/>
      </c>
      <c r="R2541" s="3">
        <f>IF(ORIG!R2541=0,"",ORIG!R2541)</f>
        <v/>
      </c>
      <c r="S2541" s="3">
        <f>IF(ORIG!S2541=0,"",ORIG!S2541)</f>
        <v/>
      </c>
      <c r="T2541" s="3">
        <f>IF(ORIG!T2541=0,"",ORIG!T2541)</f>
        <v/>
      </c>
      <c r="U2541" s="3">
        <f>IF(ORIG!U2541=0,"",ORIG!U2541)</f>
        <v/>
      </c>
      <c r="V2541" s="9">
        <f>IF(ORIG!V2541=0,"",ORIG!V2541)</f>
        <v/>
      </c>
      <c r="W2541" s="9">
        <f>IF(ORIG!W2541=0,"",ORIG!W2541)</f>
        <v/>
      </c>
      <c r="X2541" s="9">
        <f>IF(ORIG!X2541=0,"",ORIG!X2541)</f>
        <v/>
      </c>
      <c r="Y2541" s="9">
        <f>IF(ORIG!Y2541=0,"",ORIG!Y2541)</f>
        <v/>
      </c>
      <c r="Z2541" s="3">
        <f>SUMPRODUCT($B2541:$Y2541,$B$2649:$Y$2649)</f>
        <v/>
      </c>
      <c r="AA2541" s="3">
        <f>SUMPRODUCT($B2541:$Y2541,$B$2655:$Y$2655)</f>
        <v/>
      </c>
      <c r="AC2541" s="1">
        <f>A2541</f>
        <v/>
      </c>
      <c r="AD2541">
        <f>IF(ISNUMBER(V2541),V2541*($AB$1/V$2635),"")</f>
        <v/>
      </c>
      <c r="AE2541">
        <f>IF(ISNUMBER(Z2541),Z2541*($AB$1/Z$2635),"")</f>
        <v/>
      </c>
      <c r="AF2541" s="25">
        <f>IF(ISNUMBER(AD2541+AE2541),AD2541+AE2541,"")</f>
        <v/>
      </c>
      <c r="AH2541" s="1">
        <f>A2541</f>
        <v/>
      </c>
      <c r="AI2541">
        <f>IF(ISNUMBER((1+V2541)*AI2540),(1+V2541)*AI2540,AI2540)</f>
        <v/>
      </c>
      <c r="AJ2541">
        <f>IF(ISNUMBER((1+Z2541)*AJ2540),(1+Z2541)*AJ2540,AJ2540)</f>
        <v/>
      </c>
    </row>
    <row r="2542">
      <c r="A2542" s="1" t="n">
        <v>45694</v>
      </c>
      <c r="B2542" s="3">
        <f>IF(ORIG!B2542=0,"",ORIG!B2542)</f>
        <v/>
      </c>
      <c r="C2542" s="3">
        <f>IF(ORIG!C2542=0,"",ORIG!C2542)</f>
        <v/>
      </c>
      <c r="D2542" s="3">
        <f>IF(ORIG!D2542=0,"",ORIG!D2542)</f>
        <v/>
      </c>
      <c r="E2542" s="3">
        <f>IF(ORIG!E2542=0,"",ORIG!E2542)</f>
        <v/>
      </c>
      <c r="F2542" s="3">
        <f>IF(ORIG!F2542=0,"",ORIG!F2542)</f>
        <v/>
      </c>
      <c r="G2542" s="3">
        <f>IF(ORIG!G2542=0,"",ORIG!G2542)</f>
        <v/>
      </c>
      <c r="H2542" s="3">
        <f>IF(ORIG!H2542=0,"",ORIG!H2542)</f>
        <v/>
      </c>
      <c r="I2542" s="3">
        <f>IF(ORIG!I2542=0,"",ORIG!I2542)</f>
        <v/>
      </c>
      <c r="J2542" s="3">
        <f>IF(ORIG!J2542=0,"",ORIG!J2542)</f>
        <v/>
      </c>
      <c r="K2542" s="3">
        <f>IF(ORIG!K2542=0,"",ORIG!K2542)</f>
        <v/>
      </c>
      <c r="L2542" s="3">
        <f>IF(ORIG!L2542=0,"",ORIG!L2542)</f>
        <v/>
      </c>
      <c r="M2542" s="3">
        <f>IF(ORIG!M2542=0,"",ORIG!M2542)</f>
        <v/>
      </c>
      <c r="N2542" s="3">
        <f>IF(ORIG!N2542=0,"",ORIG!N2542)</f>
        <v/>
      </c>
      <c r="O2542" s="3">
        <f>IF(ORIG!O2542=0,"",ORIG!O2542)</f>
        <v/>
      </c>
      <c r="P2542" s="3">
        <f>IF(ORIG!P2542=0,"",ORIG!P2542)</f>
        <v/>
      </c>
      <c r="Q2542" s="3">
        <f>IF(ORIG!Q2542=0,"",ORIG!Q2542)</f>
        <v/>
      </c>
      <c r="R2542" s="3">
        <f>IF(ORIG!R2542=0,"",ORIG!R2542)</f>
        <v/>
      </c>
      <c r="S2542" s="3">
        <f>IF(ORIG!S2542=0,"",ORIG!S2542)</f>
        <v/>
      </c>
      <c r="T2542" s="3">
        <f>IF(ORIG!T2542=0,"",ORIG!T2542)</f>
        <v/>
      </c>
      <c r="U2542" s="3">
        <f>IF(ORIG!U2542=0,"",ORIG!U2542)</f>
        <v/>
      </c>
      <c r="V2542" s="9">
        <f>IF(ORIG!V2542=0,"",ORIG!V2542)</f>
        <v/>
      </c>
      <c r="W2542" s="9">
        <f>IF(ORIG!W2542=0,"",ORIG!W2542)</f>
        <v/>
      </c>
      <c r="X2542" s="9">
        <f>IF(ORIG!X2542=0,"",ORIG!X2542)</f>
        <v/>
      </c>
      <c r="Y2542" s="9">
        <f>IF(ORIG!Y2542=0,"",ORIG!Y2542)</f>
        <v/>
      </c>
      <c r="Z2542" s="3">
        <f>SUMPRODUCT($B2542:$Y2542,$B$2649:$Y$2649)</f>
        <v/>
      </c>
      <c r="AA2542" s="3">
        <f>SUMPRODUCT($B2542:$Y2542,$B$2655:$Y$2655)</f>
        <v/>
      </c>
      <c r="AC2542" s="1">
        <f>A2542</f>
        <v/>
      </c>
      <c r="AD2542">
        <f>IF(ISNUMBER(V2542),V2542*($AB$1/V$2635),"")</f>
        <v/>
      </c>
      <c r="AE2542">
        <f>IF(ISNUMBER(Z2542),Z2542*($AB$1/Z$2635),"")</f>
        <v/>
      </c>
      <c r="AF2542" s="25">
        <f>IF(ISNUMBER(AD2542+AE2542),AD2542+AE2542,"")</f>
        <v/>
      </c>
      <c r="AH2542" s="1">
        <f>A2542</f>
        <v/>
      </c>
      <c r="AI2542">
        <f>IF(ISNUMBER((1+V2542)*AI2541),(1+V2542)*AI2541,AI2541)</f>
        <v/>
      </c>
      <c r="AJ2542">
        <f>IF(ISNUMBER((1+Z2542)*AJ2541),(1+Z2542)*AJ2541,AJ2541)</f>
        <v/>
      </c>
    </row>
    <row r="2543">
      <c r="A2543" s="1" t="n">
        <v>45695</v>
      </c>
      <c r="B2543" s="3">
        <f>IF(ORIG!B2543=0,"",ORIG!B2543)</f>
        <v/>
      </c>
      <c r="C2543" s="3">
        <f>IF(ORIG!C2543=0,"",ORIG!C2543)</f>
        <v/>
      </c>
      <c r="D2543" s="3">
        <f>IF(ORIG!D2543=0,"",ORIG!D2543)</f>
        <v/>
      </c>
      <c r="E2543" s="3">
        <f>IF(ORIG!E2543=0,"",ORIG!E2543)</f>
        <v/>
      </c>
      <c r="F2543" s="3">
        <f>IF(ORIG!F2543=0,"",ORIG!F2543)</f>
        <v/>
      </c>
      <c r="G2543" s="3">
        <f>IF(ORIG!G2543=0,"",ORIG!G2543)</f>
        <v/>
      </c>
      <c r="H2543" s="3">
        <f>IF(ORIG!H2543=0,"",ORIG!H2543)</f>
        <v/>
      </c>
      <c r="I2543" s="3">
        <f>IF(ORIG!I2543=0,"",ORIG!I2543)</f>
        <v/>
      </c>
      <c r="J2543" s="3">
        <f>IF(ORIG!J2543=0,"",ORIG!J2543)</f>
        <v/>
      </c>
      <c r="K2543" s="3">
        <f>IF(ORIG!K2543=0,"",ORIG!K2543)</f>
        <v/>
      </c>
      <c r="L2543" s="3">
        <f>IF(ORIG!L2543=0,"",ORIG!L2543)</f>
        <v/>
      </c>
      <c r="M2543" s="3">
        <f>IF(ORIG!M2543=0,"",ORIG!M2543)</f>
        <v/>
      </c>
      <c r="N2543" s="3">
        <f>IF(ORIG!N2543=0,"",ORIG!N2543)</f>
        <v/>
      </c>
      <c r="O2543" s="3">
        <f>IF(ORIG!O2543=0,"",ORIG!O2543)</f>
        <v/>
      </c>
      <c r="P2543" s="3">
        <f>IF(ORIG!P2543=0,"",ORIG!P2543)</f>
        <v/>
      </c>
      <c r="Q2543" s="3">
        <f>IF(ORIG!Q2543=0,"",ORIG!Q2543)</f>
        <v/>
      </c>
      <c r="R2543" s="3">
        <f>IF(ORIG!R2543=0,"",ORIG!R2543)</f>
        <v/>
      </c>
      <c r="S2543" s="3">
        <f>IF(ORIG!S2543=0,"",ORIG!S2543)</f>
        <v/>
      </c>
      <c r="T2543" s="3">
        <f>IF(ORIG!T2543=0,"",ORIG!T2543)</f>
        <v/>
      </c>
      <c r="U2543" s="3">
        <f>IF(ORIG!U2543=0,"",ORIG!U2543)</f>
        <v/>
      </c>
      <c r="V2543" s="9">
        <f>IF(ORIG!V2543=0,"",ORIG!V2543)</f>
        <v/>
      </c>
      <c r="W2543" s="9">
        <f>IF(ORIG!W2543=0,"",ORIG!W2543)</f>
        <v/>
      </c>
      <c r="X2543" s="9">
        <f>IF(ORIG!X2543=0,"",ORIG!X2543)</f>
        <v/>
      </c>
      <c r="Y2543" s="9">
        <f>IF(ORIG!Y2543=0,"",ORIG!Y2543)</f>
        <v/>
      </c>
      <c r="Z2543" s="3">
        <f>SUMPRODUCT($B2543:$Y2543,$B$2649:$Y$2649)</f>
        <v/>
      </c>
      <c r="AA2543" s="3">
        <f>SUMPRODUCT($B2543:$Y2543,$B$2655:$Y$2655)</f>
        <v/>
      </c>
      <c r="AC2543" s="1">
        <f>A2543</f>
        <v/>
      </c>
      <c r="AD2543">
        <f>IF(ISNUMBER(V2543),V2543*($AB$1/V$2635),"")</f>
        <v/>
      </c>
      <c r="AE2543">
        <f>IF(ISNUMBER(Z2543),Z2543*($AB$1/Z$2635),"")</f>
        <v/>
      </c>
      <c r="AF2543" s="25">
        <f>IF(ISNUMBER(AD2543+AE2543),AD2543+AE2543,"")</f>
        <v/>
      </c>
      <c r="AH2543" s="1">
        <f>A2543</f>
        <v/>
      </c>
      <c r="AI2543">
        <f>IF(ISNUMBER((1+V2543)*AI2542),(1+V2543)*AI2542,AI2542)</f>
        <v/>
      </c>
      <c r="AJ2543">
        <f>IF(ISNUMBER((1+Z2543)*AJ2542),(1+Z2543)*AJ2542,AJ2542)</f>
        <v/>
      </c>
    </row>
    <row r="2544">
      <c r="A2544" s="1" t="n">
        <v>45698</v>
      </c>
      <c r="B2544" s="3">
        <f>IF(ORIG!B2544=0,"",ORIG!B2544)</f>
        <v/>
      </c>
      <c r="C2544" s="3">
        <f>IF(ORIG!C2544=0,"",ORIG!C2544)</f>
        <v/>
      </c>
      <c r="D2544" s="3">
        <f>IF(ORIG!D2544=0,"",ORIG!D2544)</f>
        <v/>
      </c>
      <c r="E2544" s="3">
        <f>IF(ORIG!E2544=0,"",ORIG!E2544)</f>
        <v/>
      </c>
      <c r="F2544" s="3">
        <f>IF(ORIG!F2544=0,"",ORIG!F2544)</f>
        <v/>
      </c>
      <c r="G2544" s="3">
        <f>IF(ORIG!G2544=0,"",ORIG!G2544)</f>
        <v/>
      </c>
      <c r="H2544" s="3">
        <f>IF(ORIG!H2544=0,"",ORIG!H2544)</f>
        <v/>
      </c>
      <c r="I2544" s="3">
        <f>IF(ORIG!I2544=0,"",ORIG!I2544)</f>
        <v/>
      </c>
      <c r="J2544" s="3">
        <f>IF(ORIG!J2544=0,"",ORIG!J2544)</f>
        <v/>
      </c>
      <c r="K2544" s="3">
        <f>IF(ORIG!K2544=0,"",ORIG!K2544)</f>
        <v/>
      </c>
      <c r="L2544" s="3">
        <f>IF(ORIG!L2544=0,"",ORIG!L2544)</f>
        <v/>
      </c>
      <c r="M2544" s="3">
        <f>IF(ORIG!M2544=0,"",ORIG!M2544)</f>
        <v/>
      </c>
      <c r="N2544" s="3">
        <f>IF(ORIG!N2544=0,"",ORIG!N2544)</f>
        <v/>
      </c>
      <c r="O2544" s="3">
        <f>IF(ORIG!O2544=0,"",ORIG!O2544)</f>
        <v/>
      </c>
      <c r="P2544" s="3">
        <f>IF(ORIG!P2544=0,"",ORIG!P2544)</f>
        <v/>
      </c>
      <c r="Q2544" s="3">
        <f>IF(ORIG!Q2544=0,"",ORIG!Q2544)</f>
        <v/>
      </c>
      <c r="R2544" s="3">
        <f>IF(ORIG!R2544=0,"",ORIG!R2544)</f>
        <v/>
      </c>
      <c r="S2544" s="3">
        <f>IF(ORIG!S2544=0,"",ORIG!S2544)</f>
        <v/>
      </c>
      <c r="T2544" s="3">
        <f>IF(ORIG!T2544=0,"",ORIG!T2544)</f>
        <v/>
      </c>
      <c r="U2544" s="3">
        <f>IF(ORIG!U2544=0,"",ORIG!U2544)</f>
        <v/>
      </c>
      <c r="V2544" s="9">
        <f>IF(ORIG!V2544=0,"",ORIG!V2544)</f>
        <v/>
      </c>
      <c r="W2544" s="9">
        <f>IF(ORIG!W2544=0,"",ORIG!W2544)</f>
        <v/>
      </c>
      <c r="X2544" s="9">
        <f>IF(ORIG!X2544=0,"",ORIG!X2544)</f>
        <v/>
      </c>
      <c r="Y2544" s="9">
        <f>IF(ORIG!Y2544=0,"",ORIG!Y2544)</f>
        <v/>
      </c>
      <c r="Z2544" s="3">
        <f>SUMPRODUCT($B2544:$Y2544,$B$2649:$Y$2649)</f>
        <v/>
      </c>
      <c r="AA2544" s="3">
        <f>SUMPRODUCT($B2544:$Y2544,$B$2655:$Y$2655)</f>
        <v/>
      </c>
      <c r="AC2544" s="1">
        <f>A2544</f>
        <v/>
      </c>
      <c r="AD2544">
        <f>IF(ISNUMBER(V2544),V2544*($AB$1/V$2635),"")</f>
        <v/>
      </c>
      <c r="AE2544">
        <f>IF(ISNUMBER(Z2544),Z2544*($AB$1/Z$2635),"")</f>
        <v/>
      </c>
      <c r="AF2544" s="25">
        <f>IF(ISNUMBER(AD2544+AE2544),AD2544+AE2544,"")</f>
        <v/>
      </c>
      <c r="AH2544" s="1">
        <f>A2544</f>
        <v/>
      </c>
      <c r="AI2544">
        <f>IF(ISNUMBER((1+V2544)*AI2543),(1+V2544)*AI2543,AI2543)</f>
        <v/>
      </c>
      <c r="AJ2544">
        <f>IF(ISNUMBER((1+Z2544)*AJ2543),(1+Z2544)*AJ2543,AJ2543)</f>
        <v/>
      </c>
    </row>
    <row r="2545">
      <c r="A2545" s="1" t="n">
        <v>45699</v>
      </c>
      <c r="B2545" s="3">
        <f>IF(ORIG!B2545=0,"",ORIG!B2545)</f>
        <v/>
      </c>
      <c r="C2545" s="3">
        <f>IF(ORIG!C2545=0,"",ORIG!C2545)</f>
        <v/>
      </c>
      <c r="D2545" s="3">
        <f>IF(ORIG!D2545=0,"",ORIG!D2545)</f>
        <v/>
      </c>
      <c r="E2545" s="3">
        <f>IF(ORIG!E2545=0,"",ORIG!E2545)</f>
        <v/>
      </c>
      <c r="F2545" s="3">
        <f>IF(ORIG!F2545=0,"",ORIG!F2545)</f>
        <v/>
      </c>
      <c r="G2545" s="3">
        <f>IF(ORIG!G2545=0,"",ORIG!G2545)</f>
        <v/>
      </c>
      <c r="H2545" s="3">
        <f>IF(ORIG!H2545=0,"",ORIG!H2545)</f>
        <v/>
      </c>
      <c r="I2545" s="3">
        <f>IF(ORIG!I2545=0,"",ORIG!I2545)</f>
        <v/>
      </c>
      <c r="J2545" s="3">
        <f>IF(ORIG!J2545=0,"",ORIG!J2545)</f>
        <v/>
      </c>
      <c r="K2545" s="3">
        <f>IF(ORIG!K2545=0,"",ORIG!K2545)</f>
        <v/>
      </c>
      <c r="L2545" s="3">
        <f>IF(ORIG!L2545=0,"",ORIG!L2545)</f>
        <v/>
      </c>
      <c r="M2545" s="3">
        <f>IF(ORIG!M2545=0,"",ORIG!M2545)</f>
        <v/>
      </c>
      <c r="N2545" s="3">
        <f>IF(ORIG!N2545=0,"",ORIG!N2545)</f>
        <v/>
      </c>
      <c r="O2545" s="3">
        <f>IF(ORIG!O2545=0,"",ORIG!O2545)</f>
        <v/>
      </c>
      <c r="P2545" s="3">
        <f>IF(ORIG!P2545=0,"",ORIG!P2545)</f>
        <v/>
      </c>
      <c r="Q2545" s="3">
        <f>IF(ORIG!Q2545=0,"",ORIG!Q2545)</f>
        <v/>
      </c>
      <c r="R2545" s="3">
        <f>IF(ORIG!R2545=0,"",ORIG!R2545)</f>
        <v/>
      </c>
      <c r="S2545" s="3">
        <f>IF(ORIG!S2545=0,"",ORIG!S2545)</f>
        <v/>
      </c>
      <c r="T2545" s="3">
        <f>IF(ORIG!T2545=0,"",ORIG!T2545)</f>
        <v/>
      </c>
      <c r="U2545" s="3">
        <f>IF(ORIG!U2545=0,"",ORIG!U2545)</f>
        <v/>
      </c>
      <c r="V2545" s="9">
        <f>IF(ORIG!V2545=0,"",ORIG!V2545)</f>
        <v/>
      </c>
      <c r="W2545" s="9">
        <f>IF(ORIG!W2545=0,"",ORIG!W2545)</f>
        <v/>
      </c>
      <c r="X2545" s="9">
        <f>IF(ORIG!X2545=0,"",ORIG!X2545)</f>
        <v/>
      </c>
      <c r="Y2545" s="9">
        <f>IF(ORIG!Y2545=0,"",ORIG!Y2545)</f>
        <v/>
      </c>
      <c r="Z2545" s="3">
        <f>SUMPRODUCT($B2545:$Y2545,$B$2649:$Y$2649)</f>
        <v/>
      </c>
      <c r="AA2545" s="3">
        <f>SUMPRODUCT($B2545:$Y2545,$B$2655:$Y$2655)</f>
        <v/>
      </c>
      <c r="AC2545" s="1">
        <f>A2545</f>
        <v/>
      </c>
      <c r="AD2545">
        <f>IF(ISNUMBER(V2545),V2545*($AB$1/V$2635),"")</f>
        <v/>
      </c>
      <c r="AE2545">
        <f>IF(ISNUMBER(Z2545),Z2545*($AB$1/Z$2635),"")</f>
        <v/>
      </c>
      <c r="AF2545" s="25">
        <f>IF(ISNUMBER(AD2545+AE2545),AD2545+AE2545,"")</f>
        <v/>
      </c>
      <c r="AH2545" s="1">
        <f>A2545</f>
        <v/>
      </c>
      <c r="AI2545">
        <f>IF(ISNUMBER((1+V2545)*AI2544),(1+V2545)*AI2544,AI2544)</f>
        <v/>
      </c>
      <c r="AJ2545">
        <f>IF(ISNUMBER((1+Z2545)*AJ2544),(1+Z2545)*AJ2544,AJ2544)</f>
        <v/>
      </c>
    </row>
    <row r="2546">
      <c r="A2546" s="1" t="n">
        <v>45700</v>
      </c>
      <c r="B2546" s="3">
        <f>IF(ORIG!B2546=0,"",ORIG!B2546)</f>
        <v/>
      </c>
      <c r="C2546" s="3">
        <f>IF(ORIG!C2546=0,"",ORIG!C2546)</f>
        <v/>
      </c>
      <c r="D2546" s="3">
        <f>IF(ORIG!D2546=0,"",ORIG!D2546)</f>
        <v/>
      </c>
      <c r="E2546" s="3">
        <f>IF(ORIG!E2546=0,"",ORIG!E2546)</f>
        <v/>
      </c>
      <c r="F2546" s="3">
        <f>IF(ORIG!F2546=0,"",ORIG!F2546)</f>
        <v/>
      </c>
      <c r="G2546" s="3">
        <f>IF(ORIG!G2546=0,"",ORIG!G2546)</f>
        <v/>
      </c>
      <c r="H2546" s="3">
        <f>IF(ORIG!H2546=0,"",ORIG!H2546)</f>
        <v/>
      </c>
      <c r="I2546" s="3">
        <f>IF(ORIG!I2546=0,"",ORIG!I2546)</f>
        <v/>
      </c>
      <c r="J2546" s="3">
        <f>IF(ORIG!J2546=0,"",ORIG!J2546)</f>
        <v/>
      </c>
      <c r="K2546" s="3">
        <f>IF(ORIG!K2546=0,"",ORIG!K2546)</f>
        <v/>
      </c>
      <c r="L2546" s="3">
        <f>IF(ORIG!L2546=0,"",ORIG!L2546)</f>
        <v/>
      </c>
      <c r="M2546" s="3">
        <f>IF(ORIG!M2546=0,"",ORIG!M2546)</f>
        <v/>
      </c>
      <c r="N2546" s="3">
        <f>IF(ORIG!N2546=0,"",ORIG!N2546)</f>
        <v/>
      </c>
      <c r="O2546" s="3">
        <f>IF(ORIG!O2546=0,"",ORIG!O2546)</f>
        <v/>
      </c>
      <c r="P2546" s="3">
        <f>IF(ORIG!P2546=0,"",ORIG!P2546)</f>
        <v/>
      </c>
      <c r="Q2546" s="3">
        <f>IF(ORIG!Q2546=0,"",ORIG!Q2546)</f>
        <v/>
      </c>
      <c r="R2546" s="3">
        <f>IF(ORIG!R2546=0,"",ORIG!R2546)</f>
        <v/>
      </c>
      <c r="S2546" s="3">
        <f>IF(ORIG!S2546=0,"",ORIG!S2546)</f>
        <v/>
      </c>
      <c r="T2546" s="3">
        <f>IF(ORIG!T2546=0,"",ORIG!T2546)</f>
        <v/>
      </c>
      <c r="U2546" s="3">
        <f>IF(ORIG!U2546=0,"",ORIG!U2546)</f>
        <v/>
      </c>
      <c r="V2546" s="9">
        <f>IF(ORIG!V2546=0,"",ORIG!V2546)</f>
        <v/>
      </c>
      <c r="W2546" s="9">
        <f>IF(ORIG!W2546=0,"",ORIG!W2546)</f>
        <v/>
      </c>
      <c r="X2546" s="9">
        <f>IF(ORIG!X2546=0,"",ORIG!X2546)</f>
        <v/>
      </c>
      <c r="Y2546" s="9">
        <f>IF(ORIG!Y2546=0,"",ORIG!Y2546)</f>
        <v/>
      </c>
      <c r="Z2546" s="3">
        <f>SUMPRODUCT($B2546:$Y2546,$B$2649:$Y$2649)</f>
        <v/>
      </c>
      <c r="AA2546" s="3">
        <f>SUMPRODUCT($B2546:$Y2546,$B$2655:$Y$2655)</f>
        <v/>
      </c>
      <c r="AC2546" s="1">
        <f>A2546</f>
        <v/>
      </c>
      <c r="AD2546">
        <f>IF(ISNUMBER(V2546),V2546*($AB$1/V$2635),"")</f>
        <v/>
      </c>
      <c r="AE2546">
        <f>IF(ISNUMBER(Z2546),Z2546*($AB$1/Z$2635),"")</f>
        <v/>
      </c>
      <c r="AF2546" s="25">
        <f>IF(ISNUMBER(AD2546+AE2546),AD2546+AE2546,"")</f>
        <v/>
      </c>
      <c r="AH2546" s="1">
        <f>A2546</f>
        <v/>
      </c>
      <c r="AI2546">
        <f>IF(ISNUMBER((1+V2546)*AI2545),(1+V2546)*AI2545,AI2545)</f>
        <v/>
      </c>
      <c r="AJ2546">
        <f>IF(ISNUMBER((1+Z2546)*AJ2545),(1+Z2546)*AJ2545,AJ2545)</f>
        <v/>
      </c>
    </row>
    <row r="2547">
      <c r="A2547" s="1" t="n">
        <v>45701</v>
      </c>
      <c r="B2547" s="3">
        <f>IF(ORIG!B2547=0,"",ORIG!B2547)</f>
        <v/>
      </c>
      <c r="C2547" s="3">
        <f>IF(ORIG!C2547=0,"",ORIG!C2547)</f>
        <v/>
      </c>
      <c r="D2547" s="3">
        <f>IF(ORIG!D2547=0,"",ORIG!D2547)</f>
        <v/>
      </c>
      <c r="E2547" s="3">
        <f>IF(ORIG!E2547=0,"",ORIG!E2547)</f>
        <v/>
      </c>
      <c r="F2547" s="3">
        <f>IF(ORIG!F2547=0,"",ORIG!F2547)</f>
        <v/>
      </c>
      <c r="G2547" s="3">
        <f>IF(ORIG!G2547=0,"",ORIG!G2547)</f>
        <v/>
      </c>
      <c r="H2547" s="3">
        <f>IF(ORIG!H2547=0,"",ORIG!H2547)</f>
        <v/>
      </c>
      <c r="I2547" s="3">
        <f>IF(ORIG!I2547=0,"",ORIG!I2547)</f>
        <v/>
      </c>
      <c r="J2547" s="3">
        <f>IF(ORIG!J2547=0,"",ORIG!J2547)</f>
        <v/>
      </c>
      <c r="K2547" s="3">
        <f>IF(ORIG!K2547=0,"",ORIG!K2547)</f>
        <v/>
      </c>
      <c r="L2547" s="3">
        <f>IF(ORIG!L2547=0,"",ORIG!L2547)</f>
        <v/>
      </c>
      <c r="M2547" s="3">
        <f>IF(ORIG!M2547=0,"",ORIG!M2547)</f>
        <v/>
      </c>
      <c r="N2547" s="3">
        <f>IF(ORIG!N2547=0,"",ORIG!N2547)</f>
        <v/>
      </c>
      <c r="O2547" s="3">
        <f>IF(ORIG!O2547=0,"",ORIG!O2547)</f>
        <v/>
      </c>
      <c r="P2547" s="3">
        <f>IF(ORIG!P2547=0,"",ORIG!P2547)</f>
        <v/>
      </c>
      <c r="Q2547" s="3">
        <f>IF(ORIG!Q2547=0,"",ORIG!Q2547)</f>
        <v/>
      </c>
      <c r="R2547" s="3">
        <f>IF(ORIG!R2547=0,"",ORIG!R2547)</f>
        <v/>
      </c>
      <c r="S2547" s="3">
        <f>IF(ORIG!S2547=0,"",ORIG!S2547)</f>
        <v/>
      </c>
      <c r="T2547" s="3">
        <f>IF(ORIG!T2547=0,"",ORIG!T2547)</f>
        <v/>
      </c>
      <c r="U2547" s="3">
        <f>IF(ORIG!U2547=0,"",ORIG!U2547)</f>
        <v/>
      </c>
      <c r="V2547" s="9">
        <f>IF(ORIG!V2547=0,"",ORIG!V2547)</f>
        <v/>
      </c>
      <c r="W2547" s="9">
        <f>IF(ORIG!W2547=0,"",ORIG!W2547)</f>
        <v/>
      </c>
      <c r="X2547" s="9">
        <f>IF(ORIG!X2547=0,"",ORIG!X2547)</f>
        <v/>
      </c>
      <c r="Y2547" s="9">
        <f>IF(ORIG!Y2547=0,"",ORIG!Y2547)</f>
        <v/>
      </c>
      <c r="Z2547" s="3">
        <f>SUMPRODUCT($B2547:$Y2547,$B$2649:$Y$2649)</f>
        <v/>
      </c>
      <c r="AA2547" s="3">
        <f>SUMPRODUCT($B2547:$Y2547,$B$2655:$Y$2655)</f>
        <v/>
      </c>
      <c r="AC2547" s="1">
        <f>A2547</f>
        <v/>
      </c>
      <c r="AD2547">
        <f>IF(ISNUMBER(V2547),V2547*($AB$1/V$2635),"")</f>
        <v/>
      </c>
      <c r="AE2547">
        <f>IF(ISNUMBER(Z2547),Z2547*($AB$1/Z$2635),"")</f>
        <v/>
      </c>
      <c r="AF2547" s="25">
        <f>IF(ISNUMBER(AD2547+AE2547),AD2547+AE2547,"")</f>
        <v/>
      </c>
      <c r="AH2547" s="1">
        <f>A2547</f>
        <v/>
      </c>
      <c r="AI2547">
        <f>IF(ISNUMBER((1+V2547)*AI2546),(1+V2547)*AI2546,AI2546)</f>
        <v/>
      </c>
      <c r="AJ2547">
        <f>IF(ISNUMBER((1+Z2547)*AJ2546),(1+Z2547)*AJ2546,AJ2546)</f>
        <v/>
      </c>
    </row>
    <row r="2548">
      <c r="A2548" s="1" t="n">
        <v>45702</v>
      </c>
      <c r="B2548" s="3">
        <f>IF(ORIG!B2548=0,"",ORIG!B2548)</f>
        <v/>
      </c>
      <c r="C2548" s="3">
        <f>IF(ORIG!C2548=0,"",ORIG!C2548)</f>
        <v/>
      </c>
      <c r="D2548" s="3">
        <f>IF(ORIG!D2548=0,"",ORIG!D2548)</f>
        <v/>
      </c>
      <c r="E2548" s="3">
        <f>IF(ORIG!E2548=0,"",ORIG!E2548)</f>
        <v/>
      </c>
      <c r="F2548" s="3">
        <f>IF(ORIG!F2548=0,"",ORIG!F2548)</f>
        <v/>
      </c>
      <c r="G2548" s="3">
        <f>IF(ORIG!G2548=0,"",ORIG!G2548)</f>
        <v/>
      </c>
      <c r="H2548" s="3">
        <f>IF(ORIG!H2548=0,"",ORIG!H2548)</f>
        <v/>
      </c>
      <c r="I2548" s="3">
        <f>IF(ORIG!I2548=0,"",ORIG!I2548)</f>
        <v/>
      </c>
      <c r="J2548" s="3">
        <f>IF(ORIG!J2548=0,"",ORIG!J2548)</f>
        <v/>
      </c>
      <c r="K2548" s="3">
        <f>IF(ORIG!K2548=0,"",ORIG!K2548)</f>
        <v/>
      </c>
      <c r="L2548" s="3">
        <f>IF(ORIG!L2548=0,"",ORIG!L2548)</f>
        <v/>
      </c>
      <c r="M2548" s="3">
        <f>IF(ORIG!M2548=0,"",ORIG!M2548)</f>
        <v/>
      </c>
      <c r="N2548" s="3">
        <f>IF(ORIG!N2548=0,"",ORIG!N2548)</f>
        <v/>
      </c>
      <c r="O2548" s="3">
        <f>IF(ORIG!O2548=0,"",ORIG!O2548)</f>
        <v/>
      </c>
      <c r="P2548" s="3">
        <f>IF(ORIG!P2548=0,"",ORIG!P2548)</f>
        <v/>
      </c>
      <c r="Q2548" s="3">
        <f>IF(ORIG!Q2548=0,"",ORIG!Q2548)</f>
        <v/>
      </c>
      <c r="R2548" s="3">
        <f>IF(ORIG!R2548=0,"",ORIG!R2548)</f>
        <v/>
      </c>
      <c r="S2548" s="3">
        <f>IF(ORIG!S2548=0,"",ORIG!S2548)</f>
        <v/>
      </c>
      <c r="T2548" s="3">
        <f>IF(ORIG!T2548=0,"",ORIG!T2548)</f>
        <v/>
      </c>
      <c r="U2548" s="3">
        <f>IF(ORIG!U2548=0,"",ORIG!U2548)</f>
        <v/>
      </c>
      <c r="V2548" s="9">
        <f>IF(ORIG!V2548=0,"",ORIG!V2548)</f>
        <v/>
      </c>
      <c r="W2548" s="9">
        <f>IF(ORIG!W2548=0,"",ORIG!W2548)</f>
        <v/>
      </c>
      <c r="X2548" s="9">
        <f>IF(ORIG!X2548=0,"",ORIG!X2548)</f>
        <v/>
      </c>
      <c r="Y2548" s="9">
        <f>IF(ORIG!Y2548=0,"",ORIG!Y2548)</f>
        <v/>
      </c>
      <c r="Z2548" s="3">
        <f>SUMPRODUCT($B2548:$Y2548,$B$2649:$Y$2649)</f>
        <v/>
      </c>
      <c r="AA2548" s="3">
        <f>SUMPRODUCT($B2548:$Y2548,$B$2655:$Y$2655)</f>
        <v/>
      </c>
      <c r="AC2548" s="1">
        <f>A2548</f>
        <v/>
      </c>
      <c r="AD2548">
        <f>IF(ISNUMBER(V2548),V2548*($AB$1/V$2635),"")</f>
        <v/>
      </c>
      <c r="AE2548">
        <f>IF(ISNUMBER(Z2548),Z2548*($AB$1/Z$2635),"")</f>
        <v/>
      </c>
      <c r="AF2548" s="25">
        <f>IF(ISNUMBER(AD2548+AE2548),AD2548+AE2548,"")</f>
        <v/>
      </c>
      <c r="AH2548" s="1">
        <f>A2548</f>
        <v/>
      </c>
      <c r="AI2548">
        <f>IF(ISNUMBER((1+V2548)*AI2547),(1+V2548)*AI2547,AI2547)</f>
        <v/>
      </c>
      <c r="AJ2548">
        <f>IF(ISNUMBER((1+Z2548)*AJ2547),(1+Z2548)*AJ2547,AJ2547)</f>
        <v/>
      </c>
    </row>
    <row r="2549">
      <c r="A2549" s="1" t="n">
        <v>45706</v>
      </c>
      <c r="B2549" s="3">
        <f>IF(ORIG!B2549=0,"",ORIG!B2549)</f>
        <v/>
      </c>
      <c r="C2549" s="3">
        <f>IF(ORIG!C2549=0,"",ORIG!C2549)</f>
        <v/>
      </c>
      <c r="D2549" s="3">
        <f>IF(ORIG!D2549=0,"",ORIG!D2549)</f>
        <v/>
      </c>
      <c r="E2549" s="3">
        <f>IF(ORIG!E2549=0,"",ORIG!E2549)</f>
        <v/>
      </c>
      <c r="F2549" s="3">
        <f>IF(ORIG!F2549=0,"",ORIG!F2549)</f>
        <v/>
      </c>
      <c r="G2549" s="3">
        <f>IF(ORIG!G2549=0,"",ORIG!G2549)</f>
        <v/>
      </c>
      <c r="H2549" s="3">
        <f>IF(ORIG!H2549=0,"",ORIG!H2549)</f>
        <v/>
      </c>
      <c r="I2549" s="3">
        <f>IF(ORIG!I2549=0,"",ORIG!I2549)</f>
        <v/>
      </c>
      <c r="J2549" s="3">
        <f>IF(ORIG!J2549=0,"",ORIG!J2549)</f>
        <v/>
      </c>
      <c r="K2549" s="3">
        <f>IF(ORIG!K2549=0,"",ORIG!K2549)</f>
        <v/>
      </c>
      <c r="L2549" s="3">
        <f>IF(ORIG!L2549=0,"",ORIG!L2549)</f>
        <v/>
      </c>
      <c r="M2549" s="3">
        <f>IF(ORIG!M2549=0,"",ORIG!M2549)</f>
        <v/>
      </c>
      <c r="N2549" s="3">
        <f>IF(ORIG!N2549=0,"",ORIG!N2549)</f>
        <v/>
      </c>
      <c r="O2549" s="3">
        <f>IF(ORIG!O2549=0,"",ORIG!O2549)</f>
        <v/>
      </c>
      <c r="P2549" s="3">
        <f>IF(ORIG!P2549=0,"",ORIG!P2549)</f>
        <v/>
      </c>
      <c r="Q2549" s="3">
        <f>IF(ORIG!Q2549=0,"",ORIG!Q2549)</f>
        <v/>
      </c>
      <c r="R2549" s="3">
        <f>IF(ORIG!R2549=0,"",ORIG!R2549)</f>
        <v/>
      </c>
      <c r="S2549" s="3">
        <f>IF(ORIG!S2549=0,"",ORIG!S2549)</f>
        <v/>
      </c>
      <c r="T2549" s="3">
        <f>IF(ORIG!T2549=0,"",ORIG!T2549)</f>
        <v/>
      </c>
      <c r="U2549" s="3">
        <f>IF(ORIG!U2549=0,"",ORIG!U2549)</f>
        <v/>
      </c>
      <c r="V2549" s="9">
        <f>IF(ORIG!V2549=0,"",ORIG!V2549)</f>
        <v/>
      </c>
      <c r="W2549" s="9">
        <f>IF(ORIG!W2549=0,"",ORIG!W2549)</f>
        <v/>
      </c>
      <c r="X2549" s="9">
        <f>IF(ORIG!X2549=0,"",ORIG!X2549)</f>
        <v/>
      </c>
      <c r="Y2549" s="9">
        <f>IF(ORIG!Y2549=0,"",ORIG!Y2549)</f>
        <v/>
      </c>
      <c r="Z2549" s="3">
        <f>SUMPRODUCT($B2549:$Y2549,$B$2649:$Y$2649)</f>
        <v/>
      </c>
      <c r="AA2549" s="3">
        <f>SUMPRODUCT($B2549:$Y2549,$B$2655:$Y$2655)</f>
        <v/>
      </c>
      <c r="AC2549" s="1">
        <f>A2549</f>
        <v/>
      </c>
      <c r="AD2549">
        <f>IF(ISNUMBER(V2549),V2549*($AB$1/V$2635),"")</f>
        <v/>
      </c>
      <c r="AE2549">
        <f>IF(ISNUMBER(Z2549),Z2549*($AB$1/Z$2635),"")</f>
        <v/>
      </c>
      <c r="AF2549" s="25">
        <f>IF(ISNUMBER(AD2549+AE2549),AD2549+AE2549,"")</f>
        <v/>
      </c>
      <c r="AH2549" s="1">
        <f>A2549</f>
        <v/>
      </c>
      <c r="AI2549">
        <f>IF(ISNUMBER((1+V2549)*AI2548),(1+V2549)*AI2548,AI2548)</f>
        <v/>
      </c>
      <c r="AJ2549">
        <f>IF(ISNUMBER((1+Z2549)*AJ2548),(1+Z2549)*AJ2548,AJ2548)</f>
        <v/>
      </c>
    </row>
    <row r="2550">
      <c r="A2550" s="1" t="n">
        <v>45707</v>
      </c>
      <c r="B2550" s="3">
        <f>IF(ORIG!B2550=0,"",ORIG!B2550)</f>
        <v/>
      </c>
      <c r="C2550" s="3">
        <f>IF(ORIG!C2550=0,"",ORIG!C2550)</f>
        <v/>
      </c>
      <c r="D2550" s="3">
        <f>IF(ORIG!D2550=0,"",ORIG!D2550)</f>
        <v/>
      </c>
      <c r="E2550" s="3">
        <f>IF(ORIG!E2550=0,"",ORIG!E2550)</f>
        <v/>
      </c>
      <c r="F2550" s="3">
        <f>IF(ORIG!F2550=0,"",ORIG!F2550)</f>
        <v/>
      </c>
      <c r="G2550" s="3">
        <f>IF(ORIG!G2550=0,"",ORIG!G2550)</f>
        <v/>
      </c>
      <c r="H2550" s="3">
        <f>IF(ORIG!H2550=0,"",ORIG!H2550)</f>
        <v/>
      </c>
      <c r="I2550" s="3">
        <f>IF(ORIG!I2550=0,"",ORIG!I2550)</f>
        <v/>
      </c>
      <c r="J2550" s="3">
        <f>IF(ORIG!J2550=0,"",ORIG!J2550)</f>
        <v/>
      </c>
      <c r="K2550" s="3">
        <f>IF(ORIG!K2550=0,"",ORIG!K2550)</f>
        <v/>
      </c>
      <c r="L2550" s="3">
        <f>IF(ORIG!L2550=0,"",ORIG!L2550)</f>
        <v/>
      </c>
      <c r="M2550" s="3">
        <f>IF(ORIG!M2550=0,"",ORIG!M2550)</f>
        <v/>
      </c>
      <c r="N2550" s="3">
        <f>IF(ORIG!N2550=0,"",ORIG!N2550)</f>
        <v/>
      </c>
      <c r="O2550" s="3">
        <f>IF(ORIG!O2550=0,"",ORIG!O2550)</f>
        <v/>
      </c>
      <c r="P2550" s="3">
        <f>IF(ORIG!P2550=0,"",ORIG!P2550)</f>
        <v/>
      </c>
      <c r="Q2550" s="3">
        <f>IF(ORIG!Q2550=0,"",ORIG!Q2550)</f>
        <v/>
      </c>
      <c r="R2550" s="3">
        <f>IF(ORIG!R2550=0,"",ORIG!R2550)</f>
        <v/>
      </c>
      <c r="S2550" s="3">
        <f>IF(ORIG!S2550=0,"",ORIG!S2550)</f>
        <v/>
      </c>
      <c r="T2550" s="3">
        <f>IF(ORIG!T2550=0,"",ORIG!T2550)</f>
        <v/>
      </c>
      <c r="U2550" s="3">
        <f>IF(ORIG!U2550=0,"",ORIG!U2550)</f>
        <v/>
      </c>
      <c r="V2550" s="9">
        <f>IF(ORIG!V2550=0,"",ORIG!V2550)</f>
        <v/>
      </c>
      <c r="W2550" s="9">
        <f>IF(ORIG!W2550=0,"",ORIG!W2550)</f>
        <v/>
      </c>
      <c r="X2550" s="9">
        <f>IF(ORIG!X2550=0,"",ORIG!X2550)</f>
        <v/>
      </c>
      <c r="Y2550" s="9">
        <f>IF(ORIG!Y2550=0,"",ORIG!Y2550)</f>
        <v/>
      </c>
      <c r="Z2550" s="3">
        <f>SUMPRODUCT($B2550:$Y2550,$B$2649:$Y$2649)</f>
        <v/>
      </c>
      <c r="AA2550" s="3">
        <f>SUMPRODUCT($B2550:$Y2550,$B$2655:$Y$2655)</f>
        <v/>
      </c>
      <c r="AC2550" s="1">
        <f>A2550</f>
        <v/>
      </c>
      <c r="AD2550">
        <f>IF(ISNUMBER(V2550),V2550*($AB$1/V$2635),"")</f>
        <v/>
      </c>
      <c r="AE2550">
        <f>IF(ISNUMBER(Z2550),Z2550*($AB$1/Z$2635),"")</f>
        <v/>
      </c>
      <c r="AF2550" s="25">
        <f>IF(ISNUMBER(AD2550+AE2550),AD2550+AE2550,"")</f>
        <v/>
      </c>
      <c r="AH2550" s="1">
        <f>A2550</f>
        <v/>
      </c>
      <c r="AI2550">
        <f>IF(ISNUMBER((1+V2550)*AI2549),(1+V2550)*AI2549,AI2549)</f>
        <v/>
      </c>
      <c r="AJ2550">
        <f>IF(ISNUMBER((1+Z2550)*AJ2549),(1+Z2550)*AJ2549,AJ2549)</f>
        <v/>
      </c>
    </row>
    <row r="2551">
      <c r="A2551" s="1" t="n">
        <v>45708</v>
      </c>
      <c r="B2551" s="3">
        <f>IF(ORIG!B2551=0,"",ORIG!B2551)</f>
        <v/>
      </c>
      <c r="C2551" s="3">
        <f>IF(ORIG!C2551=0,"",ORIG!C2551)</f>
        <v/>
      </c>
      <c r="D2551" s="3">
        <f>IF(ORIG!D2551=0,"",ORIG!D2551)</f>
        <v/>
      </c>
      <c r="E2551" s="3">
        <f>IF(ORIG!E2551=0,"",ORIG!E2551)</f>
        <v/>
      </c>
      <c r="F2551" s="3">
        <f>IF(ORIG!F2551=0,"",ORIG!F2551)</f>
        <v/>
      </c>
      <c r="G2551" s="3">
        <f>IF(ORIG!G2551=0,"",ORIG!G2551)</f>
        <v/>
      </c>
      <c r="H2551" s="3">
        <f>IF(ORIG!H2551=0,"",ORIG!H2551)</f>
        <v/>
      </c>
      <c r="I2551" s="3">
        <f>IF(ORIG!I2551=0,"",ORIG!I2551)</f>
        <v/>
      </c>
      <c r="J2551" s="3">
        <f>IF(ORIG!J2551=0,"",ORIG!J2551)</f>
        <v/>
      </c>
      <c r="K2551" s="3">
        <f>IF(ORIG!K2551=0,"",ORIG!K2551)</f>
        <v/>
      </c>
      <c r="L2551" s="3">
        <f>IF(ORIG!L2551=0,"",ORIG!L2551)</f>
        <v/>
      </c>
      <c r="M2551" s="3">
        <f>IF(ORIG!M2551=0,"",ORIG!M2551)</f>
        <v/>
      </c>
      <c r="N2551" s="3">
        <f>IF(ORIG!N2551=0,"",ORIG!N2551)</f>
        <v/>
      </c>
      <c r="O2551" s="3">
        <f>IF(ORIG!O2551=0,"",ORIG!O2551)</f>
        <v/>
      </c>
      <c r="P2551" s="3">
        <f>IF(ORIG!P2551=0,"",ORIG!P2551)</f>
        <v/>
      </c>
      <c r="Q2551" s="3">
        <f>IF(ORIG!Q2551=0,"",ORIG!Q2551)</f>
        <v/>
      </c>
      <c r="R2551" s="3">
        <f>IF(ORIG!R2551=0,"",ORIG!R2551)</f>
        <v/>
      </c>
      <c r="S2551" s="3">
        <f>IF(ORIG!S2551=0,"",ORIG!S2551)</f>
        <v/>
      </c>
      <c r="T2551" s="3">
        <f>IF(ORIG!T2551=0,"",ORIG!T2551)</f>
        <v/>
      </c>
      <c r="U2551" s="3">
        <f>IF(ORIG!U2551=0,"",ORIG!U2551)</f>
        <v/>
      </c>
      <c r="V2551" s="9">
        <f>IF(ORIG!V2551=0,"",ORIG!V2551)</f>
        <v/>
      </c>
      <c r="W2551" s="9">
        <f>IF(ORIG!W2551=0,"",ORIG!W2551)</f>
        <v/>
      </c>
      <c r="X2551" s="9">
        <f>IF(ORIG!X2551=0,"",ORIG!X2551)</f>
        <v/>
      </c>
      <c r="Y2551" s="9">
        <f>IF(ORIG!Y2551=0,"",ORIG!Y2551)</f>
        <v/>
      </c>
      <c r="Z2551" s="3">
        <f>SUMPRODUCT($B2551:$Y2551,$B$2649:$Y$2649)</f>
        <v/>
      </c>
      <c r="AA2551" s="3">
        <f>SUMPRODUCT($B2551:$Y2551,$B$2655:$Y$2655)</f>
        <v/>
      </c>
      <c r="AC2551" s="1">
        <f>A2551</f>
        <v/>
      </c>
      <c r="AD2551">
        <f>IF(ISNUMBER(V2551),V2551*($AB$1/V$2635),"")</f>
        <v/>
      </c>
      <c r="AE2551">
        <f>IF(ISNUMBER(Z2551),Z2551*($AB$1/Z$2635),"")</f>
        <v/>
      </c>
      <c r="AF2551" s="25">
        <f>IF(ISNUMBER(AD2551+AE2551),AD2551+AE2551,"")</f>
        <v/>
      </c>
      <c r="AH2551" s="1">
        <f>A2551</f>
        <v/>
      </c>
      <c r="AI2551">
        <f>IF(ISNUMBER((1+V2551)*AI2550),(1+V2551)*AI2550,AI2550)</f>
        <v/>
      </c>
      <c r="AJ2551">
        <f>IF(ISNUMBER((1+Z2551)*AJ2550),(1+Z2551)*AJ2550,AJ2550)</f>
        <v/>
      </c>
    </row>
    <row r="2552">
      <c r="A2552" s="1" t="n">
        <v>45709</v>
      </c>
      <c r="B2552" s="3">
        <f>IF(ORIG!B2552=0,"",ORIG!B2552)</f>
        <v/>
      </c>
      <c r="C2552" s="3">
        <f>IF(ORIG!C2552=0,"",ORIG!C2552)</f>
        <v/>
      </c>
      <c r="D2552" s="3">
        <f>IF(ORIG!D2552=0,"",ORIG!D2552)</f>
        <v/>
      </c>
      <c r="E2552" s="3">
        <f>IF(ORIG!E2552=0,"",ORIG!E2552)</f>
        <v/>
      </c>
      <c r="F2552" s="3">
        <f>IF(ORIG!F2552=0,"",ORIG!F2552)</f>
        <v/>
      </c>
      <c r="G2552" s="3">
        <f>IF(ORIG!G2552=0,"",ORIG!G2552)</f>
        <v/>
      </c>
      <c r="H2552" s="3">
        <f>IF(ORIG!H2552=0,"",ORIG!H2552)</f>
        <v/>
      </c>
      <c r="I2552" s="3">
        <f>IF(ORIG!I2552=0,"",ORIG!I2552)</f>
        <v/>
      </c>
      <c r="J2552" s="3">
        <f>IF(ORIG!J2552=0,"",ORIG!J2552)</f>
        <v/>
      </c>
      <c r="K2552" s="3">
        <f>IF(ORIG!K2552=0,"",ORIG!K2552)</f>
        <v/>
      </c>
      <c r="L2552" s="3">
        <f>IF(ORIG!L2552=0,"",ORIG!L2552)</f>
        <v/>
      </c>
      <c r="M2552" s="3">
        <f>IF(ORIG!M2552=0,"",ORIG!M2552)</f>
        <v/>
      </c>
      <c r="N2552" s="3">
        <f>IF(ORIG!N2552=0,"",ORIG!N2552)</f>
        <v/>
      </c>
      <c r="O2552" s="3">
        <f>IF(ORIG!O2552=0,"",ORIG!O2552)</f>
        <v/>
      </c>
      <c r="P2552" s="3">
        <f>IF(ORIG!P2552=0,"",ORIG!P2552)</f>
        <v/>
      </c>
      <c r="Q2552" s="3">
        <f>IF(ORIG!Q2552=0,"",ORIG!Q2552)</f>
        <v/>
      </c>
      <c r="R2552" s="3">
        <f>IF(ORIG!R2552=0,"",ORIG!R2552)</f>
        <v/>
      </c>
      <c r="S2552" s="3">
        <f>IF(ORIG!S2552=0,"",ORIG!S2552)</f>
        <v/>
      </c>
      <c r="T2552" s="3">
        <f>IF(ORIG!T2552=0,"",ORIG!T2552)</f>
        <v/>
      </c>
      <c r="U2552" s="3">
        <f>IF(ORIG!U2552=0,"",ORIG!U2552)</f>
        <v/>
      </c>
      <c r="V2552" s="9">
        <f>IF(ORIG!V2552=0,"",ORIG!V2552)</f>
        <v/>
      </c>
      <c r="W2552" s="9">
        <f>IF(ORIG!W2552=0,"",ORIG!W2552)</f>
        <v/>
      </c>
      <c r="X2552" s="9">
        <f>IF(ORIG!X2552=0,"",ORIG!X2552)</f>
        <v/>
      </c>
      <c r="Y2552" s="9">
        <f>IF(ORIG!Y2552=0,"",ORIG!Y2552)</f>
        <v/>
      </c>
      <c r="Z2552" s="3">
        <f>SUMPRODUCT($B2552:$Y2552,$B$2649:$Y$2649)</f>
        <v/>
      </c>
      <c r="AA2552" s="3">
        <f>SUMPRODUCT($B2552:$Y2552,$B$2655:$Y$2655)</f>
        <v/>
      </c>
      <c r="AC2552" s="1">
        <f>A2552</f>
        <v/>
      </c>
      <c r="AD2552">
        <f>IF(ISNUMBER(V2552),V2552*($AB$1/V$2635),"")</f>
        <v/>
      </c>
      <c r="AE2552">
        <f>IF(ISNUMBER(Z2552),Z2552*($AB$1/Z$2635),"")</f>
        <v/>
      </c>
      <c r="AF2552" s="25">
        <f>IF(ISNUMBER(AD2552+AE2552),AD2552+AE2552,"")</f>
        <v/>
      </c>
      <c r="AH2552" s="1">
        <f>A2552</f>
        <v/>
      </c>
      <c r="AI2552">
        <f>IF(ISNUMBER((1+V2552)*AI2551),(1+V2552)*AI2551,AI2551)</f>
        <v/>
      </c>
      <c r="AJ2552">
        <f>IF(ISNUMBER((1+Z2552)*AJ2551),(1+Z2552)*AJ2551,AJ2551)</f>
        <v/>
      </c>
    </row>
    <row r="2553">
      <c r="A2553" s="1" t="n">
        <v>45712</v>
      </c>
      <c r="B2553" s="3">
        <f>IF(ORIG!B2553=0,"",ORIG!B2553)</f>
        <v/>
      </c>
      <c r="C2553" s="3">
        <f>IF(ORIG!C2553=0,"",ORIG!C2553)</f>
        <v/>
      </c>
      <c r="D2553" s="3">
        <f>IF(ORIG!D2553=0,"",ORIG!D2553)</f>
        <v/>
      </c>
      <c r="E2553" s="3">
        <f>IF(ORIG!E2553=0,"",ORIG!E2553)</f>
        <v/>
      </c>
      <c r="F2553" s="3">
        <f>IF(ORIG!F2553=0,"",ORIG!F2553)</f>
        <v/>
      </c>
      <c r="G2553" s="3">
        <f>IF(ORIG!G2553=0,"",ORIG!G2553)</f>
        <v/>
      </c>
      <c r="H2553" s="3">
        <f>IF(ORIG!H2553=0,"",ORIG!H2553)</f>
        <v/>
      </c>
      <c r="I2553" s="3">
        <f>IF(ORIG!I2553=0,"",ORIG!I2553)</f>
        <v/>
      </c>
      <c r="J2553" s="3">
        <f>IF(ORIG!J2553=0,"",ORIG!J2553)</f>
        <v/>
      </c>
      <c r="K2553" s="3">
        <f>IF(ORIG!K2553=0,"",ORIG!K2553)</f>
        <v/>
      </c>
      <c r="L2553" s="3">
        <f>IF(ORIG!L2553=0,"",ORIG!L2553)</f>
        <v/>
      </c>
      <c r="M2553" s="3">
        <f>IF(ORIG!M2553=0,"",ORIG!M2553)</f>
        <v/>
      </c>
      <c r="N2553" s="3">
        <f>IF(ORIG!N2553=0,"",ORIG!N2553)</f>
        <v/>
      </c>
      <c r="O2553" s="3">
        <f>IF(ORIG!O2553=0,"",ORIG!O2553)</f>
        <v/>
      </c>
      <c r="P2553" s="3">
        <f>IF(ORIG!P2553=0,"",ORIG!P2553)</f>
        <v/>
      </c>
      <c r="Q2553" s="3">
        <f>IF(ORIG!Q2553=0,"",ORIG!Q2553)</f>
        <v/>
      </c>
      <c r="R2553" s="3">
        <f>IF(ORIG!R2553=0,"",ORIG!R2553)</f>
        <v/>
      </c>
      <c r="S2553" s="3">
        <f>IF(ORIG!S2553=0,"",ORIG!S2553)</f>
        <v/>
      </c>
      <c r="T2553" s="3">
        <f>IF(ORIG!T2553=0,"",ORIG!T2553)</f>
        <v/>
      </c>
      <c r="U2553" s="3">
        <f>IF(ORIG!U2553=0,"",ORIG!U2553)</f>
        <v/>
      </c>
      <c r="V2553" s="9">
        <f>IF(ORIG!V2553=0,"",ORIG!V2553)</f>
        <v/>
      </c>
      <c r="W2553" s="9">
        <f>IF(ORIG!W2553=0,"",ORIG!W2553)</f>
        <v/>
      </c>
      <c r="X2553" s="9">
        <f>IF(ORIG!X2553=0,"",ORIG!X2553)</f>
        <v/>
      </c>
      <c r="Y2553" s="9">
        <f>IF(ORIG!Y2553=0,"",ORIG!Y2553)</f>
        <v/>
      </c>
      <c r="Z2553" s="3">
        <f>SUMPRODUCT($B2553:$Y2553,$B$2649:$Y$2649)</f>
        <v/>
      </c>
      <c r="AA2553" s="3">
        <f>SUMPRODUCT($B2553:$Y2553,$B$2655:$Y$2655)</f>
        <v/>
      </c>
      <c r="AC2553" s="1">
        <f>A2553</f>
        <v/>
      </c>
      <c r="AD2553">
        <f>IF(ISNUMBER(V2553),V2553*($AB$1/V$2635),"")</f>
        <v/>
      </c>
      <c r="AE2553">
        <f>IF(ISNUMBER(Z2553),Z2553*($AB$1/Z$2635),"")</f>
        <v/>
      </c>
      <c r="AF2553" s="25">
        <f>IF(ISNUMBER(AD2553+AE2553),AD2553+AE2553,"")</f>
        <v/>
      </c>
      <c r="AH2553" s="1">
        <f>A2553</f>
        <v/>
      </c>
      <c r="AI2553">
        <f>IF(ISNUMBER((1+V2553)*AI2552),(1+V2553)*AI2552,AI2552)</f>
        <v/>
      </c>
      <c r="AJ2553">
        <f>IF(ISNUMBER((1+Z2553)*AJ2552),(1+Z2553)*AJ2552,AJ2552)</f>
        <v/>
      </c>
    </row>
    <row r="2554">
      <c r="A2554" s="1" t="n">
        <v>45713</v>
      </c>
      <c r="B2554" s="3">
        <f>IF(ORIG!B2554=0,"",ORIG!B2554)</f>
        <v/>
      </c>
      <c r="C2554" s="3">
        <f>IF(ORIG!C2554=0,"",ORIG!C2554)</f>
        <v/>
      </c>
      <c r="D2554" s="3">
        <f>IF(ORIG!D2554=0,"",ORIG!D2554)</f>
        <v/>
      </c>
      <c r="E2554" s="3">
        <f>IF(ORIG!E2554=0,"",ORIG!E2554)</f>
        <v/>
      </c>
      <c r="F2554" s="3">
        <f>IF(ORIG!F2554=0,"",ORIG!F2554)</f>
        <v/>
      </c>
      <c r="G2554" s="3">
        <f>IF(ORIG!G2554=0,"",ORIG!G2554)</f>
        <v/>
      </c>
      <c r="H2554" s="3">
        <f>IF(ORIG!H2554=0,"",ORIG!H2554)</f>
        <v/>
      </c>
      <c r="I2554" s="3">
        <f>IF(ORIG!I2554=0,"",ORIG!I2554)</f>
        <v/>
      </c>
      <c r="J2554" s="3">
        <f>IF(ORIG!J2554=0,"",ORIG!J2554)</f>
        <v/>
      </c>
      <c r="K2554" s="3">
        <f>IF(ORIG!K2554=0,"",ORIG!K2554)</f>
        <v/>
      </c>
      <c r="L2554" s="3">
        <f>IF(ORIG!L2554=0,"",ORIG!L2554)</f>
        <v/>
      </c>
      <c r="M2554" s="3">
        <f>IF(ORIG!M2554=0,"",ORIG!M2554)</f>
        <v/>
      </c>
      <c r="N2554" s="3">
        <f>IF(ORIG!N2554=0,"",ORIG!N2554)</f>
        <v/>
      </c>
      <c r="O2554" s="3">
        <f>IF(ORIG!O2554=0,"",ORIG!O2554)</f>
        <v/>
      </c>
      <c r="P2554" s="3">
        <f>IF(ORIG!P2554=0,"",ORIG!P2554)</f>
        <v/>
      </c>
      <c r="Q2554" s="3">
        <f>IF(ORIG!Q2554=0,"",ORIG!Q2554)</f>
        <v/>
      </c>
      <c r="R2554" s="3">
        <f>IF(ORIG!R2554=0,"",ORIG!R2554)</f>
        <v/>
      </c>
      <c r="S2554" s="3">
        <f>IF(ORIG!S2554=0,"",ORIG!S2554)</f>
        <v/>
      </c>
      <c r="T2554" s="3">
        <f>IF(ORIG!T2554=0,"",ORIG!T2554)</f>
        <v/>
      </c>
      <c r="U2554" s="3">
        <f>IF(ORIG!U2554=0,"",ORIG!U2554)</f>
        <v/>
      </c>
      <c r="V2554" s="9">
        <f>IF(ORIG!V2554=0,"",ORIG!V2554)</f>
        <v/>
      </c>
      <c r="W2554" s="9">
        <f>IF(ORIG!W2554=0,"",ORIG!W2554)</f>
        <v/>
      </c>
      <c r="X2554" s="9">
        <f>IF(ORIG!X2554=0,"",ORIG!X2554)</f>
        <v/>
      </c>
      <c r="Y2554" s="9">
        <f>IF(ORIG!Y2554=0,"",ORIG!Y2554)</f>
        <v/>
      </c>
      <c r="Z2554" s="3">
        <f>SUMPRODUCT($B2554:$Y2554,$B$2649:$Y$2649)</f>
        <v/>
      </c>
      <c r="AA2554" s="3">
        <f>SUMPRODUCT($B2554:$Y2554,$B$2655:$Y$2655)</f>
        <v/>
      </c>
      <c r="AC2554" s="1">
        <f>A2554</f>
        <v/>
      </c>
      <c r="AD2554">
        <f>IF(ISNUMBER(V2554),V2554*($AB$1/V$2635),"")</f>
        <v/>
      </c>
      <c r="AE2554">
        <f>IF(ISNUMBER(Z2554),Z2554*($AB$1/Z$2635),"")</f>
        <v/>
      </c>
      <c r="AF2554" s="25">
        <f>IF(ISNUMBER(AD2554+AE2554),AD2554+AE2554,"")</f>
        <v/>
      </c>
      <c r="AH2554" s="1">
        <f>A2554</f>
        <v/>
      </c>
      <c r="AI2554">
        <f>IF(ISNUMBER((1+V2554)*AI2553),(1+V2554)*AI2553,AI2553)</f>
        <v/>
      </c>
      <c r="AJ2554">
        <f>IF(ISNUMBER((1+Z2554)*AJ2553),(1+Z2554)*AJ2553,AJ2553)</f>
        <v/>
      </c>
    </row>
    <row r="2555">
      <c r="A2555" s="1" t="n">
        <v>45714</v>
      </c>
      <c r="B2555" s="3">
        <f>IF(ORIG!B2555=0,"",ORIG!B2555)</f>
        <v/>
      </c>
      <c r="C2555" s="3">
        <f>IF(ORIG!C2555=0,"",ORIG!C2555)</f>
        <v/>
      </c>
      <c r="D2555" s="3">
        <f>IF(ORIG!D2555=0,"",ORIG!D2555)</f>
        <v/>
      </c>
      <c r="E2555" s="3">
        <f>IF(ORIG!E2555=0,"",ORIG!E2555)</f>
        <v/>
      </c>
      <c r="F2555" s="3">
        <f>IF(ORIG!F2555=0,"",ORIG!F2555)</f>
        <v/>
      </c>
      <c r="G2555" s="3">
        <f>IF(ORIG!G2555=0,"",ORIG!G2555)</f>
        <v/>
      </c>
      <c r="H2555" s="3">
        <f>IF(ORIG!H2555=0,"",ORIG!H2555)</f>
        <v/>
      </c>
      <c r="I2555" s="3">
        <f>IF(ORIG!I2555=0,"",ORIG!I2555)</f>
        <v/>
      </c>
      <c r="J2555" s="3">
        <f>IF(ORIG!J2555=0,"",ORIG!J2555)</f>
        <v/>
      </c>
      <c r="K2555" s="3">
        <f>IF(ORIG!K2555=0,"",ORIG!K2555)</f>
        <v/>
      </c>
      <c r="L2555" s="3">
        <f>IF(ORIG!L2555=0,"",ORIG!L2555)</f>
        <v/>
      </c>
      <c r="M2555" s="3">
        <f>IF(ORIG!M2555=0,"",ORIG!M2555)</f>
        <v/>
      </c>
      <c r="N2555" s="3">
        <f>IF(ORIG!N2555=0,"",ORIG!N2555)</f>
        <v/>
      </c>
      <c r="O2555" s="3">
        <f>IF(ORIG!O2555=0,"",ORIG!O2555)</f>
        <v/>
      </c>
      <c r="P2555" s="3">
        <f>IF(ORIG!P2555=0,"",ORIG!P2555)</f>
        <v/>
      </c>
      <c r="Q2555" s="3">
        <f>IF(ORIG!Q2555=0,"",ORIG!Q2555)</f>
        <v/>
      </c>
      <c r="R2555" s="3">
        <f>IF(ORIG!R2555=0,"",ORIG!R2555)</f>
        <v/>
      </c>
      <c r="S2555" s="3">
        <f>IF(ORIG!S2555=0,"",ORIG!S2555)</f>
        <v/>
      </c>
      <c r="T2555" s="3">
        <f>IF(ORIG!T2555=0,"",ORIG!T2555)</f>
        <v/>
      </c>
      <c r="U2555" s="3">
        <f>IF(ORIG!U2555=0,"",ORIG!U2555)</f>
        <v/>
      </c>
      <c r="V2555" s="9">
        <f>IF(ORIG!V2555=0,"",ORIG!V2555)</f>
        <v/>
      </c>
      <c r="W2555" s="9">
        <f>IF(ORIG!W2555=0,"",ORIG!W2555)</f>
        <v/>
      </c>
      <c r="X2555" s="9">
        <f>IF(ORIG!X2555=0,"",ORIG!X2555)</f>
        <v/>
      </c>
      <c r="Y2555" s="9">
        <f>IF(ORIG!Y2555=0,"",ORIG!Y2555)</f>
        <v/>
      </c>
      <c r="Z2555" s="3">
        <f>SUMPRODUCT($B2555:$Y2555,$B$2649:$Y$2649)</f>
        <v/>
      </c>
      <c r="AA2555" s="3">
        <f>SUMPRODUCT($B2555:$Y2555,$B$2655:$Y$2655)</f>
        <v/>
      </c>
      <c r="AC2555" s="1">
        <f>A2555</f>
        <v/>
      </c>
      <c r="AD2555">
        <f>IF(ISNUMBER(V2555),V2555*($AB$1/V$2635),"")</f>
        <v/>
      </c>
      <c r="AE2555">
        <f>IF(ISNUMBER(Z2555),Z2555*($AB$1/Z$2635),"")</f>
        <v/>
      </c>
      <c r="AF2555" s="25">
        <f>IF(ISNUMBER(AD2555+AE2555),AD2555+AE2555,"")</f>
        <v/>
      </c>
      <c r="AH2555" s="1">
        <f>A2555</f>
        <v/>
      </c>
      <c r="AI2555">
        <f>IF(ISNUMBER((1+V2555)*AI2554),(1+V2555)*AI2554,AI2554)</f>
        <v/>
      </c>
      <c r="AJ2555">
        <f>IF(ISNUMBER((1+Z2555)*AJ2554),(1+Z2555)*AJ2554,AJ2554)</f>
        <v/>
      </c>
    </row>
    <row r="2556">
      <c r="A2556" s="1" t="n">
        <v>45715</v>
      </c>
      <c r="B2556" s="3">
        <f>IF(ORIG!B2556=0,"",ORIG!B2556)</f>
        <v/>
      </c>
      <c r="C2556" s="3">
        <f>IF(ORIG!C2556=0,"",ORIG!C2556)</f>
        <v/>
      </c>
      <c r="D2556" s="3">
        <f>IF(ORIG!D2556=0,"",ORIG!D2556)</f>
        <v/>
      </c>
      <c r="E2556" s="3">
        <f>IF(ORIG!E2556=0,"",ORIG!E2556)</f>
        <v/>
      </c>
      <c r="F2556" s="3">
        <f>IF(ORIG!F2556=0,"",ORIG!F2556)</f>
        <v/>
      </c>
      <c r="G2556" s="3">
        <f>IF(ORIG!G2556=0,"",ORIG!G2556)</f>
        <v/>
      </c>
      <c r="H2556" s="3">
        <f>IF(ORIG!H2556=0,"",ORIG!H2556)</f>
        <v/>
      </c>
      <c r="I2556" s="3">
        <f>IF(ORIG!I2556=0,"",ORIG!I2556)</f>
        <v/>
      </c>
      <c r="J2556" s="3">
        <f>IF(ORIG!J2556=0,"",ORIG!J2556)</f>
        <v/>
      </c>
      <c r="K2556" s="3">
        <f>IF(ORIG!K2556=0,"",ORIG!K2556)</f>
        <v/>
      </c>
      <c r="L2556" s="3">
        <f>IF(ORIG!L2556=0,"",ORIG!L2556)</f>
        <v/>
      </c>
      <c r="M2556" s="3">
        <f>IF(ORIG!M2556=0,"",ORIG!M2556)</f>
        <v/>
      </c>
      <c r="N2556" s="3">
        <f>IF(ORIG!N2556=0,"",ORIG!N2556)</f>
        <v/>
      </c>
      <c r="O2556" s="3">
        <f>IF(ORIG!O2556=0,"",ORIG!O2556)</f>
        <v/>
      </c>
      <c r="P2556" s="3">
        <f>IF(ORIG!P2556=0,"",ORIG!P2556)</f>
        <v/>
      </c>
      <c r="Q2556" s="3">
        <f>IF(ORIG!Q2556=0,"",ORIG!Q2556)</f>
        <v/>
      </c>
      <c r="R2556" s="3">
        <f>IF(ORIG!R2556=0,"",ORIG!R2556)</f>
        <v/>
      </c>
      <c r="S2556" s="3">
        <f>IF(ORIG!S2556=0,"",ORIG!S2556)</f>
        <v/>
      </c>
      <c r="T2556" s="3">
        <f>IF(ORIG!T2556=0,"",ORIG!T2556)</f>
        <v/>
      </c>
      <c r="U2556" s="3">
        <f>IF(ORIG!U2556=0,"",ORIG!U2556)</f>
        <v/>
      </c>
      <c r="V2556" s="9">
        <f>IF(ORIG!V2556=0,"",ORIG!V2556)</f>
        <v/>
      </c>
      <c r="W2556" s="9">
        <f>IF(ORIG!W2556=0,"",ORIG!W2556)</f>
        <v/>
      </c>
      <c r="X2556" s="9">
        <f>IF(ORIG!X2556=0,"",ORIG!X2556)</f>
        <v/>
      </c>
      <c r="Y2556" s="9">
        <f>IF(ORIG!Y2556=0,"",ORIG!Y2556)</f>
        <v/>
      </c>
      <c r="Z2556" s="3">
        <f>SUMPRODUCT($B2556:$Y2556,$B$2649:$Y$2649)</f>
        <v/>
      </c>
      <c r="AA2556" s="3">
        <f>SUMPRODUCT($B2556:$Y2556,$B$2655:$Y$2655)</f>
        <v/>
      </c>
      <c r="AC2556" s="1">
        <f>A2556</f>
        <v/>
      </c>
      <c r="AD2556">
        <f>IF(ISNUMBER(V2556),V2556*($AB$1/V$2635),"")</f>
        <v/>
      </c>
      <c r="AE2556">
        <f>IF(ISNUMBER(Z2556),Z2556*($AB$1/Z$2635),"")</f>
        <v/>
      </c>
      <c r="AF2556" s="25">
        <f>IF(ISNUMBER(AD2556+AE2556),AD2556+AE2556,"")</f>
        <v/>
      </c>
      <c r="AH2556" s="1">
        <f>A2556</f>
        <v/>
      </c>
      <c r="AI2556">
        <f>IF(ISNUMBER((1+V2556)*AI2555),(1+V2556)*AI2555,AI2555)</f>
        <v/>
      </c>
      <c r="AJ2556">
        <f>IF(ISNUMBER((1+Z2556)*AJ2555),(1+Z2556)*AJ2555,AJ2555)</f>
        <v/>
      </c>
    </row>
    <row r="2557">
      <c r="A2557" s="1" t="n">
        <v>45716</v>
      </c>
      <c r="B2557" s="3">
        <f>IF(ORIG!B2557=0,"",ORIG!B2557)</f>
        <v/>
      </c>
      <c r="C2557" s="3">
        <f>IF(ORIG!C2557=0,"",ORIG!C2557)</f>
        <v/>
      </c>
      <c r="D2557" s="3">
        <f>IF(ORIG!D2557=0,"",ORIG!D2557)</f>
        <v/>
      </c>
      <c r="E2557" s="3">
        <f>IF(ORIG!E2557=0,"",ORIG!E2557)</f>
        <v/>
      </c>
      <c r="F2557" s="3">
        <f>IF(ORIG!F2557=0,"",ORIG!F2557)</f>
        <v/>
      </c>
      <c r="G2557" s="3">
        <f>IF(ORIG!G2557=0,"",ORIG!G2557)</f>
        <v/>
      </c>
      <c r="H2557" s="3">
        <f>IF(ORIG!H2557=0,"",ORIG!H2557)</f>
        <v/>
      </c>
      <c r="I2557" s="3">
        <f>IF(ORIG!I2557=0,"",ORIG!I2557)</f>
        <v/>
      </c>
      <c r="J2557" s="3">
        <f>IF(ORIG!J2557=0,"",ORIG!J2557)</f>
        <v/>
      </c>
      <c r="K2557" s="3">
        <f>IF(ORIG!K2557=0,"",ORIG!K2557)</f>
        <v/>
      </c>
      <c r="L2557" s="3">
        <f>IF(ORIG!L2557=0,"",ORIG!L2557)</f>
        <v/>
      </c>
      <c r="M2557" s="3">
        <f>IF(ORIG!M2557=0,"",ORIG!M2557)</f>
        <v/>
      </c>
      <c r="N2557" s="3">
        <f>IF(ORIG!N2557=0,"",ORIG!N2557)</f>
        <v/>
      </c>
      <c r="O2557" s="3">
        <f>IF(ORIG!O2557=0,"",ORIG!O2557)</f>
        <v/>
      </c>
      <c r="P2557" s="3">
        <f>IF(ORIG!P2557=0,"",ORIG!P2557)</f>
        <v/>
      </c>
      <c r="Q2557" s="3">
        <f>IF(ORIG!Q2557=0,"",ORIG!Q2557)</f>
        <v/>
      </c>
      <c r="R2557" s="3">
        <f>IF(ORIG!R2557=0,"",ORIG!R2557)</f>
        <v/>
      </c>
      <c r="S2557" s="3">
        <f>IF(ORIG!S2557=0,"",ORIG!S2557)</f>
        <v/>
      </c>
      <c r="T2557" s="3">
        <f>IF(ORIG!T2557=0,"",ORIG!T2557)</f>
        <v/>
      </c>
      <c r="U2557" s="3">
        <f>IF(ORIG!U2557=0,"",ORIG!U2557)</f>
        <v/>
      </c>
      <c r="V2557" s="9">
        <f>IF(ORIG!V2557=0,"",ORIG!V2557)</f>
        <v/>
      </c>
      <c r="W2557" s="9">
        <f>IF(ORIG!W2557=0,"",ORIG!W2557)</f>
        <v/>
      </c>
      <c r="X2557" s="9">
        <f>IF(ORIG!X2557=0,"",ORIG!X2557)</f>
        <v/>
      </c>
      <c r="Y2557" s="9">
        <f>IF(ORIG!Y2557=0,"",ORIG!Y2557)</f>
        <v/>
      </c>
      <c r="Z2557" s="3">
        <f>SUMPRODUCT($B2557:$Y2557,$B$2649:$Y$2649)</f>
        <v/>
      </c>
      <c r="AA2557" s="3">
        <f>SUMPRODUCT($B2557:$Y2557,$B$2655:$Y$2655)</f>
        <v/>
      </c>
      <c r="AC2557" s="1">
        <f>A2557</f>
        <v/>
      </c>
      <c r="AD2557">
        <f>IF(ISNUMBER(V2557),V2557*($AB$1/V$2635),"")</f>
        <v/>
      </c>
      <c r="AE2557">
        <f>IF(ISNUMBER(Z2557),Z2557*($AB$1/Z$2635),"")</f>
        <v/>
      </c>
      <c r="AF2557" s="25">
        <f>IF(ISNUMBER(AD2557+AE2557),AD2557+AE2557,"")</f>
        <v/>
      </c>
      <c r="AH2557" s="1">
        <f>A2557</f>
        <v/>
      </c>
      <c r="AI2557">
        <f>IF(ISNUMBER((1+V2557)*AI2556),(1+V2557)*AI2556,AI2556)</f>
        <v/>
      </c>
      <c r="AJ2557">
        <f>IF(ISNUMBER((1+Z2557)*AJ2556),(1+Z2557)*AJ2556,AJ2556)</f>
        <v/>
      </c>
    </row>
    <row r="2558">
      <c r="A2558" s="1" t="n">
        <v>45719</v>
      </c>
      <c r="B2558" s="3">
        <f>IF(ORIG!B2558=0,"",ORIG!B2558)</f>
        <v/>
      </c>
      <c r="C2558" s="3">
        <f>IF(ORIG!C2558=0,"",ORIG!C2558)</f>
        <v/>
      </c>
      <c r="D2558" s="3">
        <f>IF(ORIG!D2558=0,"",ORIG!D2558)</f>
        <v/>
      </c>
      <c r="E2558" s="3">
        <f>IF(ORIG!E2558=0,"",ORIG!E2558)</f>
        <v/>
      </c>
      <c r="F2558" s="3">
        <f>IF(ORIG!F2558=0,"",ORIG!F2558)</f>
        <v/>
      </c>
      <c r="G2558" s="3">
        <f>IF(ORIG!G2558=0,"",ORIG!G2558)</f>
        <v/>
      </c>
      <c r="H2558" s="3">
        <f>IF(ORIG!H2558=0,"",ORIG!H2558)</f>
        <v/>
      </c>
      <c r="I2558" s="3">
        <f>IF(ORIG!I2558=0,"",ORIG!I2558)</f>
        <v/>
      </c>
      <c r="J2558" s="3">
        <f>IF(ORIG!J2558=0,"",ORIG!J2558)</f>
        <v/>
      </c>
      <c r="K2558" s="3">
        <f>IF(ORIG!K2558=0,"",ORIG!K2558)</f>
        <v/>
      </c>
      <c r="L2558" s="3">
        <f>IF(ORIG!L2558=0,"",ORIG!L2558)</f>
        <v/>
      </c>
      <c r="M2558" s="3">
        <f>IF(ORIG!M2558=0,"",ORIG!M2558)</f>
        <v/>
      </c>
      <c r="N2558" s="3">
        <f>IF(ORIG!N2558=0,"",ORIG!N2558)</f>
        <v/>
      </c>
      <c r="O2558" s="3">
        <f>IF(ORIG!O2558=0,"",ORIG!O2558)</f>
        <v/>
      </c>
      <c r="P2558" s="3">
        <f>IF(ORIG!P2558=0,"",ORIG!P2558)</f>
        <v/>
      </c>
      <c r="Q2558" s="3">
        <f>IF(ORIG!Q2558=0,"",ORIG!Q2558)</f>
        <v/>
      </c>
      <c r="R2558" s="3">
        <f>IF(ORIG!R2558=0,"",ORIG!R2558)</f>
        <v/>
      </c>
      <c r="S2558" s="3">
        <f>IF(ORIG!S2558=0,"",ORIG!S2558)</f>
        <v/>
      </c>
      <c r="T2558" s="3">
        <f>IF(ORIG!T2558=0,"",ORIG!T2558)</f>
        <v/>
      </c>
      <c r="U2558" s="3">
        <f>IF(ORIG!U2558=0,"",ORIG!U2558)</f>
        <v/>
      </c>
      <c r="V2558" s="9">
        <f>IF(ORIG!V2558=0,"",ORIG!V2558)</f>
        <v/>
      </c>
      <c r="W2558" s="9">
        <f>IF(ORIG!W2558=0,"",ORIG!W2558)</f>
        <v/>
      </c>
      <c r="X2558" s="9">
        <f>IF(ORIG!X2558=0,"",ORIG!X2558)</f>
        <v/>
      </c>
      <c r="Y2558" s="9">
        <f>IF(ORIG!Y2558=0,"",ORIG!Y2558)</f>
        <v/>
      </c>
      <c r="Z2558" s="3">
        <f>SUMPRODUCT($B2558:$Y2558,$B$2649:$Y$2649)</f>
        <v/>
      </c>
      <c r="AA2558" s="3">
        <f>SUMPRODUCT($B2558:$Y2558,$B$2655:$Y$2655)</f>
        <v/>
      </c>
      <c r="AC2558" s="1">
        <f>A2558</f>
        <v/>
      </c>
      <c r="AD2558">
        <f>IF(ISNUMBER(V2558),V2558*($AB$1/V$2635),"")</f>
        <v/>
      </c>
      <c r="AE2558">
        <f>IF(ISNUMBER(Z2558),Z2558*($AB$1/Z$2635),"")</f>
        <v/>
      </c>
      <c r="AF2558" s="25">
        <f>IF(ISNUMBER(AD2558+AE2558),AD2558+AE2558,"")</f>
        <v/>
      </c>
      <c r="AH2558" s="1">
        <f>A2558</f>
        <v/>
      </c>
      <c r="AI2558">
        <f>IF(ISNUMBER((1+V2558)*AI2557),(1+V2558)*AI2557,AI2557)</f>
        <v/>
      </c>
      <c r="AJ2558">
        <f>IF(ISNUMBER((1+Z2558)*AJ2557),(1+Z2558)*AJ2557,AJ2557)</f>
        <v/>
      </c>
    </row>
    <row r="2559">
      <c r="A2559" s="1" t="n">
        <v>45720</v>
      </c>
      <c r="B2559" s="3">
        <f>IF(ORIG!B2559=0,"",ORIG!B2559)</f>
        <v/>
      </c>
      <c r="C2559" s="3">
        <f>IF(ORIG!C2559=0,"",ORIG!C2559)</f>
        <v/>
      </c>
      <c r="D2559" s="3">
        <f>IF(ORIG!D2559=0,"",ORIG!D2559)</f>
        <v/>
      </c>
      <c r="E2559" s="3">
        <f>IF(ORIG!E2559=0,"",ORIG!E2559)</f>
        <v/>
      </c>
      <c r="F2559" s="3">
        <f>IF(ORIG!F2559=0,"",ORIG!F2559)</f>
        <v/>
      </c>
      <c r="G2559" s="3">
        <f>IF(ORIG!G2559=0,"",ORIG!G2559)</f>
        <v/>
      </c>
      <c r="H2559" s="3">
        <f>IF(ORIG!H2559=0,"",ORIG!H2559)</f>
        <v/>
      </c>
      <c r="I2559" s="3">
        <f>IF(ORIG!I2559=0,"",ORIG!I2559)</f>
        <v/>
      </c>
      <c r="J2559" s="3">
        <f>IF(ORIG!J2559=0,"",ORIG!J2559)</f>
        <v/>
      </c>
      <c r="K2559" s="3">
        <f>IF(ORIG!K2559=0,"",ORIG!K2559)</f>
        <v/>
      </c>
      <c r="L2559" s="3">
        <f>IF(ORIG!L2559=0,"",ORIG!L2559)</f>
        <v/>
      </c>
      <c r="M2559" s="3">
        <f>IF(ORIG!M2559=0,"",ORIG!M2559)</f>
        <v/>
      </c>
      <c r="N2559" s="3">
        <f>IF(ORIG!N2559=0,"",ORIG!N2559)</f>
        <v/>
      </c>
      <c r="O2559" s="3">
        <f>IF(ORIG!O2559=0,"",ORIG!O2559)</f>
        <v/>
      </c>
      <c r="P2559" s="3">
        <f>IF(ORIG!P2559=0,"",ORIG!P2559)</f>
        <v/>
      </c>
      <c r="Q2559" s="3">
        <f>IF(ORIG!Q2559=0,"",ORIG!Q2559)</f>
        <v/>
      </c>
      <c r="R2559" s="3">
        <f>IF(ORIG!R2559=0,"",ORIG!R2559)</f>
        <v/>
      </c>
      <c r="S2559" s="3">
        <f>IF(ORIG!S2559=0,"",ORIG!S2559)</f>
        <v/>
      </c>
      <c r="T2559" s="3">
        <f>IF(ORIG!T2559=0,"",ORIG!T2559)</f>
        <v/>
      </c>
      <c r="U2559" s="3">
        <f>IF(ORIG!U2559=0,"",ORIG!U2559)</f>
        <v/>
      </c>
      <c r="V2559" s="9">
        <f>IF(ORIG!V2559=0,"",ORIG!V2559)</f>
        <v/>
      </c>
      <c r="W2559" s="9">
        <f>IF(ORIG!W2559=0,"",ORIG!W2559)</f>
        <v/>
      </c>
      <c r="X2559" s="9">
        <f>IF(ORIG!X2559=0,"",ORIG!X2559)</f>
        <v/>
      </c>
      <c r="Y2559" s="9">
        <f>IF(ORIG!Y2559=0,"",ORIG!Y2559)</f>
        <v/>
      </c>
      <c r="Z2559" s="3">
        <f>SUMPRODUCT($B2559:$Y2559,$B$2649:$Y$2649)</f>
        <v/>
      </c>
      <c r="AA2559" s="3">
        <f>SUMPRODUCT($B2559:$Y2559,$B$2655:$Y$2655)</f>
        <v/>
      </c>
      <c r="AC2559" s="1">
        <f>A2559</f>
        <v/>
      </c>
      <c r="AD2559">
        <f>IF(ISNUMBER(V2559),V2559*($AB$1/V$2635),"")</f>
        <v/>
      </c>
      <c r="AE2559">
        <f>IF(ISNUMBER(Z2559),Z2559*($AB$1/Z$2635),"")</f>
        <v/>
      </c>
      <c r="AF2559" s="25">
        <f>IF(ISNUMBER(AD2559+AE2559),AD2559+AE2559,"")</f>
        <v/>
      </c>
      <c r="AH2559" s="1">
        <f>A2559</f>
        <v/>
      </c>
      <c r="AI2559">
        <f>IF(ISNUMBER((1+V2559)*AI2558),(1+V2559)*AI2558,AI2558)</f>
        <v/>
      </c>
      <c r="AJ2559">
        <f>IF(ISNUMBER((1+Z2559)*AJ2558),(1+Z2559)*AJ2558,AJ2558)</f>
        <v/>
      </c>
    </row>
    <row r="2560">
      <c r="A2560" s="1" t="n">
        <v>45721</v>
      </c>
      <c r="B2560" s="3">
        <f>IF(ORIG!B2560=0,"",ORIG!B2560)</f>
        <v/>
      </c>
      <c r="C2560" s="3">
        <f>IF(ORIG!C2560=0,"",ORIG!C2560)</f>
        <v/>
      </c>
      <c r="D2560" s="3">
        <f>IF(ORIG!D2560=0,"",ORIG!D2560)</f>
        <v/>
      </c>
      <c r="E2560" s="3">
        <f>IF(ORIG!E2560=0,"",ORIG!E2560)</f>
        <v/>
      </c>
      <c r="F2560" s="3">
        <f>IF(ORIG!F2560=0,"",ORIG!F2560)</f>
        <v/>
      </c>
      <c r="G2560" s="3">
        <f>IF(ORIG!G2560=0,"",ORIG!G2560)</f>
        <v/>
      </c>
      <c r="H2560" s="3">
        <f>IF(ORIG!H2560=0,"",ORIG!H2560)</f>
        <v/>
      </c>
      <c r="I2560" s="3">
        <f>IF(ORIG!I2560=0,"",ORIG!I2560)</f>
        <v/>
      </c>
      <c r="J2560" s="3">
        <f>IF(ORIG!J2560=0,"",ORIG!J2560)</f>
        <v/>
      </c>
      <c r="K2560" s="3">
        <f>IF(ORIG!K2560=0,"",ORIG!K2560)</f>
        <v/>
      </c>
      <c r="L2560" s="3">
        <f>IF(ORIG!L2560=0,"",ORIG!L2560)</f>
        <v/>
      </c>
      <c r="M2560" s="3">
        <f>IF(ORIG!M2560=0,"",ORIG!M2560)</f>
        <v/>
      </c>
      <c r="N2560" s="3">
        <f>IF(ORIG!N2560=0,"",ORIG!N2560)</f>
        <v/>
      </c>
      <c r="O2560" s="3">
        <f>IF(ORIG!O2560=0,"",ORIG!O2560)</f>
        <v/>
      </c>
      <c r="P2560" s="3">
        <f>IF(ORIG!P2560=0,"",ORIG!P2560)</f>
        <v/>
      </c>
      <c r="Q2560" s="3">
        <f>IF(ORIG!Q2560=0,"",ORIG!Q2560)</f>
        <v/>
      </c>
      <c r="R2560" s="3">
        <f>IF(ORIG!R2560=0,"",ORIG!R2560)</f>
        <v/>
      </c>
      <c r="S2560" s="3">
        <f>IF(ORIG!S2560=0,"",ORIG!S2560)</f>
        <v/>
      </c>
      <c r="T2560" s="3">
        <f>IF(ORIG!T2560=0,"",ORIG!T2560)</f>
        <v/>
      </c>
      <c r="U2560" s="3">
        <f>IF(ORIG!U2560=0,"",ORIG!U2560)</f>
        <v/>
      </c>
      <c r="V2560" s="9">
        <f>IF(ORIG!V2560=0,"",ORIG!V2560)</f>
        <v/>
      </c>
      <c r="W2560" s="9">
        <f>IF(ORIG!W2560=0,"",ORIG!W2560)</f>
        <v/>
      </c>
      <c r="X2560" s="9">
        <f>IF(ORIG!X2560=0,"",ORIG!X2560)</f>
        <v/>
      </c>
      <c r="Y2560" s="9">
        <f>IF(ORIG!Y2560=0,"",ORIG!Y2560)</f>
        <v/>
      </c>
      <c r="Z2560" s="3">
        <f>SUMPRODUCT($B2560:$Y2560,$B$2649:$Y$2649)</f>
        <v/>
      </c>
      <c r="AA2560" s="3">
        <f>SUMPRODUCT($B2560:$Y2560,$B$2655:$Y$2655)</f>
        <v/>
      </c>
      <c r="AC2560" s="1">
        <f>A2560</f>
        <v/>
      </c>
      <c r="AD2560">
        <f>IF(ISNUMBER(V2560),V2560*($AB$1/V$2635),"")</f>
        <v/>
      </c>
      <c r="AE2560">
        <f>IF(ISNUMBER(Z2560),Z2560*($AB$1/Z$2635),"")</f>
        <v/>
      </c>
      <c r="AF2560" s="25">
        <f>IF(ISNUMBER(AD2560+AE2560),AD2560+AE2560,"")</f>
        <v/>
      </c>
      <c r="AH2560" s="1">
        <f>A2560</f>
        <v/>
      </c>
      <c r="AI2560">
        <f>IF(ISNUMBER((1+V2560)*AI2559),(1+V2560)*AI2559,AI2559)</f>
        <v/>
      </c>
      <c r="AJ2560">
        <f>IF(ISNUMBER((1+Z2560)*AJ2559),(1+Z2560)*AJ2559,AJ2559)</f>
        <v/>
      </c>
    </row>
    <row r="2561">
      <c r="A2561" s="1" t="n">
        <v>45722</v>
      </c>
      <c r="B2561" s="3">
        <f>IF(ORIG!B2561=0,"",ORIG!B2561)</f>
        <v/>
      </c>
      <c r="C2561" s="3">
        <f>IF(ORIG!C2561=0,"",ORIG!C2561)</f>
        <v/>
      </c>
      <c r="D2561" s="3">
        <f>IF(ORIG!D2561=0,"",ORIG!D2561)</f>
        <v/>
      </c>
      <c r="E2561" s="3">
        <f>IF(ORIG!E2561=0,"",ORIG!E2561)</f>
        <v/>
      </c>
      <c r="F2561" s="3">
        <f>IF(ORIG!F2561=0,"",ORIG!F2561)</f>
        <v/>
      </c>
      <c r="G2561" s="3">
        <f>IF(ORIG!G2561=0,"",ORIG!G2561)</f>
        <v/>
      </c>
      <c r="H2561" s="3">
        <f>IF(ORIG!H2561=0,"",ORIG!H2561)</f>
        <v/>
      </c>
      <c r="I2561" s="3">
        <f>IF(ORIG!I2561=0,"",ORIG!I2561)</f>
        <v/>
      </c>
      <c r="J2561" s="3">
        <f>IF(ORIG!J2561=0,"",ORIG!J2561)</f>
        <v/>
      </c>
      <c r="K2561" s="3">
        <f>IF(ORIG!K2561=0,"",ORIG!K2561)</f>
        <v/>
      </c>
      <c r="L2561" s="3">
        <f>IF(ORIG!L2561=0,"",ORIG!L2561)</f>
        <v/>
      </c>
      <c r="M2561" s="3">
        <f>IF(ORIG!M2561=0,"",ORIG!M2561)</f>
        <v/>
      </c>
      <c r="N2561" s="3">
        <f>IF(ORIG!N2561=0,"",ORIG!N2561)</f>
        <v/>
      </c>
      <c r="O2561" s="3">
        <f>IF(ORIG!O2561=0,"",ORIG!O2561)</f>
        <v/>
      </c>
      <c r="P2561" s="3">
        <f>IF(ORIG!P2561=0,"",ORIG!P2561)</f>
        <v/>
      </c>
      <c r="Q2561" s="3">
        <f>IF(ORIG!Q2561=0,"",ORIG!Q2561)</f>
        <v/>
      </c>
      <c r="R2561" s="3">
        <f>IF(ORIG!R2561=0,"",ORIG!R2561)</f>
        <v/>
      </c>
      <c r="S2561" s="3">
        <f>IF(ORIG!S2561=0,"",ORIG!S2561)</f>
        <v/>
      </c>
      <c r="T2561" s="3">
        <f>IF(ORIG!T2561=0,"",ORIG!T2561)</f>
        <v/>
      </c>
      <c r="U2561" s="3">
        <f>IF(ORIG!U2561=0,"",ORIG!U2561)</f>
        <v/>
      </c>
      <c r="V2561" s="9">
        <f>IF(ORIG!V2561=0,"",ORIG!V2561)</f>
        <v/>
      </c>
      <c r="W2561" s="9">
        <f>IF(ORIG!W2561=0,"",ORIG!W2561)</f>
        <v/>
      </c>
      <c r="X2561" s="9">
        <f>IF(ORIG!X2561=0,"",ORIG!X2561)</f>
        <v/>
      </c>
      <c r="Y2561" s="9">
        <f>IF(ORIG!Y2561=0,"",ORIG!Y2561)</f>
        <v/>
      </c>
      <c r="Z2561" s="3">
        <f>SUMPRODUCT($B2561:$Y2561,$B$2649:$Y$2649)</f>
        <v/>
      </c>
      <c r="AA2561" s="3">
        <f>SUMPRODUCT($B2561:$Y2561,$B$2655:$Y$2655)</f>
        <v/>
      </c>
      <c r="AC2561" s="1">
        <f>A2561</f>
        <v/>
      </c>
      <c r="AD2561">
        <f>IF(ISNUMBER(V2561),V2561*($AB$1/V$2635),"")</f>
        <v/>
      </c>
      <c r="AE2561">
        <f>IF(ISNUMBER(Z2561),Z2561*($AB$1/Z$2635),"")</f>
        <v/>
      </c>
      <c r="AF2561" s="25">
        <f>IF(ISNUMBER(AD2561+AE2561),AD2561+AE2561,"")</f>
        <v/>
      </c>
      <c r="AH2561" s="1">
        <f>A2561</f>
        <v/>
      </c>
      <c r="AI2561">
        <f>IF(ISNUMBER((1+V2561)*AI2560),(1+V2561)*AI2560,AI2560)</f>
        <v/>
      </c>
      <c r="AJ2561">
        <f>IF(ISNUMBER((1+Z2561)*AJ2560),(1+Z2561)*AJ2560,AJ2560)</f>
        <v/>
      </c>
    </row>
    <row r="2562">
      <c r="A2562" s="1" t="n">
        <v>45723</v>
      </c>
      <c r="B2562" s="3">
        <f>IF(ORIG!B2562=0,"",ORIG!B2562)</f>
        <v/>
      </c>
      <c r="C2562" s="3">
        <f>IF(ORIG!C2562=0,"",ORIG!C2562)</f>
        <v/>
      </c>
      <c r="D2562" s="3">
        <f>IF(ORIG!D2562=0,"",ORIG!D2562)</f>
        <v/>
      </c>
      <c r="E2562" s="3">
        <f>IF(ORIG!E2562=0,"",ORIG!E2562)</f>
        <v/>
      </c>
      <c r="F2562" s="3">
        <f>IF(ORIG!F2562=0,"",ORIG!F2562)</f>
        <v/>
      </c>
      <c r="G2562" s="3">
        <f>IF(ORIG!G2562=0,"",ORIG!G2562)</f>
        <v/>
      </c>
      <c r="H2562" s="3">
        <f>IF(ORIG!H2562=0,"",ORIG!H2562)</f>
        <v/>
      </c>
      <c r="I2562" s="3">
        <f>IF(ORIG!I2562=0,"",ORIG!I2562)</f>
        <v/>
      </c>
      <c r="J2562" s="3">
        <f>IF(ORIG!J2562=0,"",ORIG!J2562)</f>
        <v/>
      </c>
      <c r="K2562" s="3">
        <f>IF(ORIG!K2562=0,"",ORIG!K2562)</f>
        <v/>
      </c>
      <c r="L2562" s="3">
        <f>IF(ORIG!L2562=0,"",ORIG!L2562)</f>
        <v/>
      </c>
      <c r="M2562" s="3">
        <f>IF(ORIG!M2562=0,"",ORIG!M2562)</f>
        <v/>
      </c>
      <c r="N2562" s="3">
        <f>IF(ORIG!N2562=0,"",ORIG!N2562)</f>
        <v/>
      </c>
      <c r="O2562" s="3">
        <f>IF(ORIG!O2562=0,"",ORIG!O2562)</f>
        <v/>
      </c>
      <c r="P2562" s="3">
        <f>IF(ORIG!P2562=0,"",ORIG!P2562)</f>
        <v/>
      </c>
      <c r="Q2562" s="3">
        <f>IF(ORIG!Q2562=0,"",ORIG!Q2562)</f>
        <v/>
      </c>
      <c r="R2562" s="3">
        <f>IF(ORIG!R2562=0,"",ORIG!R2562)</f>
        <v/>
      </c>
      <c r="S2562" s="3">
        <f>IF(ORIG!S2562=0,"",ORIG!S2562)</f>
        <v/>
      </c>
      <c r="T2562" s="3">
        <f>IF(ORIG!T2562=0,"",ORIG!T2562)</f>
        <v/>
      </c>
      <c r="U2562" s="3">
        <f>IF(ORIG!U2562=0,"",ORIG!U2562)</f>
        <v/>
      </c>
      <c r="V2562" s="9">
        <f>IF(ORIG!V2562=0,"",ORIG!V2562)</f>
        <v/>
      </c>
      <c r="W2562" s="9">
        <f>IF(ORIG!W2562=0,"",ORIG!W2562)</f>
        <v/>
      </c>
      <c r="X2562" s="9">
        <f>IF(ORIG!X2562=0,"",ORIG!X2562)</f>
        <v/>
      </c>
      <c r="Y2562" s="9">
        <f>IF(ORIG!Y2562=0,"",ORIG!Y2562)</f>
        <v/>
      </c>
      <c r="Z2562" s="3">
        <f>SUMPRODUCT($B2562:$Y2562,$B$2649:$Y$2649)</f>
        <v/>
      </c>
      <c r="AA2562" s="3">
        <f>SUMPRODUCT($B2562:$Y2562,$B$2655:$Y$2655)</f>
        <v/>
      </c>
      <c r="AC2562" s="1">
        <f>A2562</f>
        <v/>
      </c>
      <c r="AD2562">
        <f>IF(ISNUMBER(V2562),V2562*($AB$1/V$2635),"")</f>
        <v/>
      </c>
      <c r="AE2562">
        <f>IF(ISNUMBER(Z2562),Z2562*($AB$1/Z$2635),"")</f>
        <v/>
      </c>
      <c r="AF2562" s="25">
        <f>IF(ISNUMBER(AD2562+AE2562),AD2562+AE2562,"")</f>
        <v/>
      </c>
      <c r="AH2562" s="1">
        <f>A2562</f>
        <v/>
      </c>
      <c r="AI2562">
        <f>IF(ISNUMBER((1+V2562)*AI2561),(1+V2562)*AI2561,AI2561)</f>
        <v/>
      </c>
      <c r="AJ2562">
        <f>IF(ISNUMBER((1+Z2562)*AJ2561),(1+Z2562)*AJ2561,AJ2561)</f>
        <v/>
      </c>
    </row>
    <row r="2563">
      <c r="A2563" s="1" t="n">
        <v>45726</v>
      </c>
      <c r="B2563" s="3">
        <f>IF(ORIG!B2563=0,"",ORIG!B2563)</f>
        <v/>
      </c>
      <c r="C2563" s="3">
        <f>IF(ORIG!C2563=0,"",ORIG!C2563)</f>
        <v/>
      </c>
      <c r="D2563" s="3">
        <f>IF(ORIG!D2563=0,"",ORIG!D2563)</f>
        <v/>
      </c>
      <c r="E2563" s="3">
        <f>IF(ORIG!E2563=0,"",ORIG!E2563)</f>
        <v/>
      </c>
      <c r="F2563" s="3">
        <f>IF(ORIG!F2563=0,"",ORIG!F2563)</f>
        <v/>
      </c>
      <c r="G2563" s="3">
        <f>IF(ORIG!G2563=0,"",ORIG!G2563)</f>
        <v/>
      </c>
      <c r="H2563" s="3">
        <f>IF(ORIG!H2563=0,"",ORIG!H2563)</f>
        <v/>
      </c>
      <c r="I2563" s="3">
        <f>IF(ORIG!I2563=0,"",ORIG!I2563)</f>
        <v/>
      </c>
      <c r="J2563" s="3">
        <f>IF(ORIG!J2563=0,"",ORIG!J2563)</f>
        <v/>
      </c>
      <c r="K2563" s="3">
        <f>IF(ORIG!K2563=0,"",ORIG!K2563)</f>
        <v/>
      </c>
      <c r="L2563" s="3">
        <f>IF(ORIG!L2563=0,"",ORIG!L2563)</f>
        <v/>
      </c>
      <c r="M2563" s="3">
        <f>IF(ORIG!M2563=0,"",ORIG!M2563)</f>
        <v/>
      </c>
      <c r="N2563" s="3">
        <f>IF(ORIG!N2563=0,"",ORIG!N2563)</f>
        <v/>
      </c>
      <c r="O2563" s="3">
        <f>IF(ORIG!O2563=0,"",ORIG!O2563)</f>
        <v/>
      </c>
      <c r="P2563" s="3">
        <f>IF(ORIG!P2563=0,"",ORIG!P2563)</f>
        <v/>
      </c>
      <c r="Q2563" s="3">
        <f>IF(ORIG!Q2563=0,"",ORIG!Q2563)</f>
        <v/>
      </c>
      <c r="R2563" s="3">
        <f>IF(ORIG!R2563=0,"",ORIG!R2563)</f>
        <v/>
      </c>
      <c r="S2563" s="3">
        <f>IF(ORIG!S2563=0,"",ORIG!S2563)</f>
        <v/>
      </c>
      <c r="T2563" s="3">
        <f>IF(ORIG!T2563=0,"",ORIG!T2563)</f>
        <v/>
      </c>
      <c r="U2563" s="3">
        <f>IF(ORIG!U2563=0,"",ORIG!U2563)</f>
        <v/>
      </c>
      <c r="V2563" s="9">
        <f>IF(ORIG!V2563=0,"",ORIG!V2563)</f>
        <v/>
      </c>
      <c r="W2563" s="9">
        <f>IF(ORIG!W2563=0,"",ORIG!W2563)</f>
        <v/>
      </c>
      <c r="X2563" s="9">
        <f>IF(ORIG!X2563=0,"",ORIG!X2563)</f>
        <v/>
      </c>
      <c r="Y2563" s="9">
        <f>IF(ORIG!Y2563=0,"",ORIG!Y2563)</f>
        <v/>
      </c>
      <c r="Z2563" s="3">
        <f>SUMPRODUCT($B2563:$Y2563,$B$2649:$Y$2649)</f>
        <v/>
      </c>
      <c r="AA2563" s="3">
        <f>SUMPRODUCT($B2563:$Y2563,$B$2655:$Y$2655)</f>
        <v/>
      </c>
      <c r="AC2563" s="1">
        <f>A2563</f>
        <v/>
      </c>
      <c r="AD2563">
        <f>IF(ISNUMBER(V2563),V2563*($AB$1/V$2635),"")</f>
        <v/>
      </c>
      <c r="AE2563">
        <f>IF(ISNUMBER(Z2563),Z2563*($AB$1/Z$2635),"")</f>
        <v/>
      </c>
      <c r="AF2563" s="25">
        <f>IF(ISNUMBER(AD2563+AE2563),AD2563+AE2563,"")</f>
        <v/>
      </c>
      <c r="AH2563" s="1">
        <f>A2563</f>
        <v/>
      </c>
      <c r="AI2563">
        <f>IF(ISNUMBER((1+V2563)*AI2562),(1+V2563)*AI2562,AI2562)</f>
        <v/>
      </c>
      <c r="AJ2563">
        <f>IF(ISNUMBER((1+Z2563)*AJ2562),(1+Z2563)*AJ2562,AJ2562)</f>
        <v/>
      </c>
    </row>
    <row r="2564">
      <c r="A2564" s="1" t="n">
        <v>45727</v>
      </c>
      <c r="B2564" s="3">
        <f>IF(ORIG!B2564=0,"",ORIG!B2564)</f>
        <v/>
      </c>
      <c r="C2564" s="3">
        <f>IF(ORIG!C2564=0,"",ORIG!C2564)</f>
        <v/>
      </c>
      <c r="D2564" s="3">
        <f>IF(ORIG!D2564=0,"",ORIG!D2564)</f>
        <v/>
      </c>
      <c r="E2564" s="3">
        <f>IF(ORIG!E2564=0,"",ORIG!E2564)</f>
        <v/>
      </c>
      <c r="F2564" s="3">
        <f>IF(ORIG!F2564=0,"",ORIG!F2564)</f>
        <v/>
      </c>
      <c r="G2564" s="3">
        <f>IF(ORIG!G2564=0,"",ORIG!G2564)</f>
        <v/>
      </c>
      <c r="H2564" s="3">
        <f>IF(ORIG!H2564=0,"",ORIG!H2564)</f>
        <v/>
      </c>
      <c r="I2564" s="3">
        <f>IF(ORIG!I2564=0,"",ORIG!I2564)</f>
        <v/>
      </c>
      <c r="J2564" s="3">
        <f>IF(ORIG!J2564=0,"",ORIG!J2564)</f>
        <v/>
      </c>
      <c r="K2564" s="3">
        <f>IF(ORIG!K2564=0,"",ORIG!K2564)</f>
        <v/>
      </c>
      <c r="L2564" s="3">
        <f>IF(ORIG!L2564=0,"",ORIG!L2564)</f>
        <v/>
      </c>
      <c r="M2564" s="3">
        <f>IF(ORIG!M2564=0,"",ORIG!M2564)</f>
        <v/>
      </c>
      <c r="N2564" s="3">
        <f>IF(ORIG!N2564=0,"",ORIG!N2564)</f>
        <v/>
      </c>
      <c r="O2564" s="3">
        <f>IF(ORIG!O2564=0,"",ORIG!O2564)</f>
        <v/>
      </c>
      <c r="P2564" s="3">
        <f>IF(ORIG!P2564=0,"",ORIG!P2564)</f>
        <v/>
      </c>
      <c r="Q2564" s="3">
        <f>IF(ORIG!Q2564=0,"",ORIG!Q2564)</f>
        <v/>
      </c>
      <c r="R2564" s="3">
        <f>IF(ORIG!R2564=0,"",ORIG!R2564)</f>
        <v/>
      </c>
      <c r="S2564" s="3">
        <f>IF(ORIG!S2564=0,"",ORIG!S2564)</f>
        <v/>
      </c>
      <c r="T2564" s="3">
        <f>IF(ORIG!T2564=0,"",ORIG!T2564)</f>
        <v/>
      </c>
      <c r="U2564" s="3">
        <f>IF(ORIG!U2564=0,"",ORIG!U2564)</f>
        <v/>
      </c>
      <c r="V2564" s="9">
        <f>IF(ORIG!V2564=0,"",ORIG!V2564)</f>
        <v/>
      </c>
      <c r="W2564" s="9">
        <f>IF(ORIG!W2564=0,"",ORIG!W2564)</f>
        <v/>
      </c>
      <c r="X2564" s="9">
        <f>IF(ORIG!X2564=0,"",ORIG!X2564)</f>
        <v/>
      </c>
      <c r="Y2564" s="9">
        <f>IF(ORIG!Y2564=0,"",ORIG!Y2564)</f>
        <v/>
      </c>
      <c r="Z2564" s="3">
        <f>SUMPRODUCT($B2564:$Y2564,$B$2649:$Y$2649)</f>
        <v/>
      </c>
      <c r="AA2564" s="3">
        <f>SUMPRODUCT($B2564:$Y2564,$B$2655:$Y$2655)</f>
        <v/>
      </c>
      <c r="AC2564" s="1">
        <f>A2564</f>
        <v/>
      </c>
      <c r="AD2564">
        <f>IF(ISNUMBER(V2564),V2564*($AB$1/V$2635),"")</f>
        <v/>
      </c>
      <c r="AE2564">
        <f>IF(ISNUMBER(Z2564),Z2564*($AB$1/Z$2635),"")</f>
        <v/>
      </c>
      <c r="AF2564" s="25">
        <f>IF(ISNUMBER(AD2564+AE2564),AD2564+AE2564,"")</f>
        <v/>
      </c>
      <c r="AH2564" s="1">
        <f>A2564</f>
        <v/>
      </c>
      <c r="AI2564">
        <f>IF(ISNUMBER((1+V2564)*AI2563),(1+V2564)*AI2563,AI2563)</f>
        <v/>
      </c>
      <c r="AJ2564">
        <f>IF(ISNUMBER((1+Z2564)*AJ2563),(1+Z2564)*AJ2563,AJ2563)</f>
        <v/>
      </c>
    </row>
    <row r="2565">
      <c r="A2565" s="1" t="n">
        <v>45728</v>
      </c>
      <c r="B2565" s="3">
        <f>IF(ORIG!B2565=0,"",ORIG!B2565)</f>
        <v/>
      </c>
      <c r="C2565" s="3">
        <f>IF(ORIG!C2565=0,"",ORIG!C2565)</f>
        <v/>
      </c>
      <c r="D2565" s="3">
        <f>IF(ORIG!D2565=0,"",ORIG!D2565)</f>
        <v/>
      </c>
      <c r="E2565" s="3">
        <f>IF(ORIG!E2565=0,"",ORIG!E2565)</f>
        <v/>
      </c>
      <c r="F2565" s="3">
        <f>IF(ORIG!F2565=0,"",ORIG!F2565)</f>
        <v/>
      </c>
      <c r="G2565" s="3">
        <f>IF(ORIG!G2565=0,"",ORIG!G2565)</f>
        <v/>
      </c>
      <c r="H2565" s="3">
        <f>IF(ORIG!H2565=0,"",ORIG!H2565)</f>
        <v/>
      </c>
      <c r="I2565" s="3">
        <f>IF(ORIG!I2565=0,"",ORIG!I2565)</f>
        <v/>
      </c>
      <c r="J2565" s="3">
        <f>IF(ORIG!J2565=0,"",ORIG!J2565)</f>
        <v/>
      </c>
      <c r="K2565" s="3">
        <f>IF(ORIG!K2565=0,"",ORIG!K2565)</f>
        <v/>
      </c>
      <c r="L2565" s="3">
        <f>IF(ORIG!L2565=0,"",ORIG!L2565)</f>
        <v/>
      </c>
      <c r="M2565" s="3">
        <f>IF(ORIG!M2565=0,"",ORIG!M2565)</f>
        <v/>
      </c>
      <c r="N2565" s="3">
        <f>IF(ORIG!N2565=0,"",ORIG!N2565)</f>
        <v/>
      </c>
      <c r="O2565" s="3">
        <f>IF(ORIG!O2565=0,"",ORIG!O2565)</f>
        <v/>
      </c>
      <c r="P2565" s="3">
        <f>IF(ORIG!P2565=0,"",ORIG!P2565)</f>
        <v/>
      </c>
      <c r="Q2565" s="3">
        <f>IF(ORIG!Q2565=0,"",ORIG!Q2565)</f>
        <v/>
      </c>
      <c r="R2565" s="3">
        <f>IF(ORIG!R2565=0,"",ORIG!R2565)</f>
        <v/>
      </c>
      <c r="S2565" s="3">
        <f>IF(ORIG!S2565=0,"",ORIG!S2565)</f>
        <v/>
      </c>
      <c r="T2565" s="3">
        <f>IF(ORIG!T2565=0,"",ORIG!T2565)</f>
        <v/>
      </c>
      <c r="U2565" s="3">
        <f>IF(ORIG!U2565=0,"",ORIG!U2565)</f>
        <v/>
      </c>
      <c r="V2565" s="9">
        <f>IF(ORIG!V2565=0,"",ORIG!V2565)</f>
        <v/>
      </c>
      <c r="W2565" s="9">
        <f>IF(ORIG!W2565=0,"",ORIG!W2565)</f>
        <v/>
      </c>
      <c r="X2565" s="9">
        <f>IF(ORIG!X2565=0,"",ORIG!X2565)</f>
        <v/>
      </c>
      <c r="Y2565" s="9">
        <f>IF(ORIG!Y2565=0,"",ORIG!Y2565)</f>
        <v/>
      </c>
      <c r="Z2565" s="3">
        <f>SUMPRODUCT($B2565:$Y2565,$B$2649:$Y$2649)</f>
        <v/>
      </c>
      <c r="AA2565" s="3">
        <f>SUMPRODUCT($B2565:$Y2565,$B$2655:$Y$2655)</f>
        <v/>
      </c>
      <c r="AC2565" s="1">
        <f>A2565</f>
        <v/>
      </c>
      <c r="AD2565">
        <f>IF(ISNUMBER(V2565),V2565*($AB$1/V$2635),"")</f>
        <v/>
      </c>
      <c r="AE2565">
        <f>IF(ISNUMBER(Z2565),Z2565*($AB$1/Z$2635),"")</f>
        <v/>
      </c>
      <c r="AF2565" s="25">
        <f>IF(ISNUMBER(AD2565+AE2565),AD2565+AE2565,"")</f>
        <v/>
      </c>
      <c r="AH2565" s="1">
        <f>A2565</f>
        <v/>
      </c>
      <c r="AI2565">
        <f>IF(ISNUMBER((1+V2565)*AI2564),(1+V2565)*AI2564,AI2564)</f>
        <v/>
      </c>
      <c r="AJ2565">
        <f>IF(ISNUMBER((1+Z2565)*AJ2564),(1+Z2565)*AJ2564,AJ2564)</f>
        <v/>
      </c>
    </row>
    <row r="2566">
      <c r="A2566" s="1" t="n">
        <v>45729</v>
      </c>
      <c r="B2566" s="3">
        <f>IF(ORIG!B2566=0,"",ORIG!B2566)</f>
        <v/>
      </c>
      <c r="C2566" s="3">
        <f>IF(ORIG!C2566=0,"",ORIG!C2566)</f>
        <v/>
      </c>
      <c r="D2566" s="3">
        <f>IF(ORIG!D2566=0,"",ORIG!D2566)</f>
        <v/>
      </c>
      <c r="E2566" s="3">
        <f>IF(ORIG!E2566=0,"",ORIG!E2566)</f>
        <v/>
      </c>
      <c r="F2566" s="3">
        <f>IF(ORIG!F2566=0,"",ORIG!F2566)</f>
        <v/>
      </c>
      <c r="G2566" s="3">
        <f>IF(ORIG!G2566=0,"",ORIG!G2566)</f>
        <v/>
      </c>
      <c r="H2566" s="3">
        <f>IF(ORIG!H2566=0,"",ORIG!H2566)</f>
        <v/>
      </c>
      <c r="I2566" s="3">
        <f>IF(ORIG!I2566=0,"",ORIG!I2566)</f>
        <v/>
      </c>
      <c r="J2566" s="3">
        <f>IF(ORIG!J2566=0,"",ORIG!J2566)</f>
        <v/>
      </c>
      <c r="K2566" s="3">
        <f>IF(ORIG!K2566=0,"",ORIG!K2566)</f>
        <v/>
      </c>
      <c r="L2566" s="3">
        <f>IF(ORIG!L2566=0,"",ORIG!L2566)</f>
        <v/>
      </c>
      <c r="M2566" s="3">
        <f>IF(ORIG!M2566=0,"",ORIG!M2566)</f>
        <v/>
      </c>
      <c r="N2566" s="3">
        <f>IF(ORIG!N2566=0,"",ORIG!N2566)</f>
        <v/>
      </c>
      <c r="O2566" s="3">
        <f>IF(ORIG!O2566=0,"",ORIG!O2566)</f>
        <v/>
      </c>
      <c r="P2566" s="3">
        <f>IF(ORIG!P2566=0,"",ORIG!P2566)</f>
        <v/>
      </c>
      <c r="Q2566" s="3">
        <f>IF(ORIG!Q2566=0,"",ORIG!Q2566)</f>
        <v/>
      </c>
      <c r="R2566" s="3">
        <f>IF(ORIG!R2566=0,"",ORIG!R2566)</f>
        <v/>
      </c>
      <c r="S2566" s="3">
        <f>IF(ORIG!S2566=0,"",ORIG!S2566)</f>
        <v/>
      </c>
      <c r="T2566" s="3">
        <f>IF(ORIG!T2566=0,"",ORIG!T2566)</f>
        <v/>
      </c>
      <c r="U2566" s="3">
        <f>IF(ORIG!U2566=0,"",ORIG!U2566)</f>
        <v/>
      </c>
      <c r="V2566" s="9">
        <f>IF(ORIG!V2566=0,"",ORIG!V2566)</f>
        <v/>
      </c>
      <c r="W2566" s="9">
        <f>IF(ORIG!W2566=0,"",ORIG!W2566)</f>
        <v/>
      </c>
      <c r="X2566" s="9">
        <f>IF(ORIG!X2566=0,"",ORIG!X2566)</f>
        <v/>
      </c>
      <c r="Y2566" s="9">
        <f>IF(ORIG!Y2566=0,"",ORIG!Y2566)</f>
        <v/>
      </c>
      <c r="Z2566" s="3">
        <f>SUMPRODUCT($B2566:$Y2566,$B$2649:$Y$2649)</f>
        <v/>
      </c>
      <c r="AA2566" s="3">
        <f>SUMPRODUCT($B2566:$Y2566,$B$2655:$Y$2655)</f>
        <v/>
      </c>
      <c r="AC2566" s="1">
        <f>A2566</f>
        <v/>
      </c>
      <c r="AD2566">
        <f>IF(ISNUMBER(V2566),V2566*($AB$1/V$2635),"")</f>
        <v/>
      </c>
      <c r="AE2566">
        <f>IF(ISNUMBER(Z2566),Z2566*($AB$1/Z$2635),"")</f>
        <v/>
      </c>
      <c r="AF2566" s="25">
        <f>IF(ISNUMBER(AD2566+AE2566),AD2566+AE2566,"")</f>
        <v/>
      </c>
      <c r="AH2566" s="1">
        <f>A2566</f>
        <v/>
      </c>
      <c r="AI2566">
        <f>IF(ISNUMBER((1+V2566)*AI2565),(1+V2566)*AI2565,AI2565)</f>
        <v/>
      </c>
      <c r="AJ2566">
        <f>IF(ISNUMBER((1+Z2566)*AJ2565),(1+Z2566)*AJ2565,AJ2565)</f>
        <v/>
      </c>
    </row>
    <row r="2567">
      <c r="A2567" s="1" t="n">
        <v>45730</v>
      </c>
      <c r="B2567" s="3">
        <f>IF(ORIG!B2567=0,"",ORIG!B2567)</f>
        <v/>
      </c>
      <c r="C2567" s="3">
        <f>IF(ORIG!C2567=0,"",ORIG!C2567)</f>
        <v/>
      </c>
      <c r="D2567" s="3">
        <f>IF(ORIG!D2567=0,"",ORIG!D2567)</f>
        <v/>
      </c>
      <c r="E2567" s="3">
        <f>IF(ORIG!E2567=0,"",ORIG!E2567)</f>
        <v/>
      </c>
      <c r="F2567" s="3">
        <f>IF(ORIG!F2567=0,"",ORIG!F2567)</f>
        <v/>
      </c>
      <c r="G2567" s="3">
        <f>IF(ORIG!G2567=0,"",ORIG!G2567)</f>
        <v/>
      </c>
      <c r="H2567" s="3">
        <f>IF(ORIG!H2567=0,"",ORIG!H2567)</f>
        <v/>
      </c>
      <c r="I2567" s="3">
        <f>IF(ORIG!I2567=0,"",ORIG!I2567)</f>
        <v/>
      </c>
      <c r="J2567" s="3">
        <f>IF(ORIG!J2567=0,"",ORIG!J2567)</f>
        <v/>
      </c>
      <c r="K2567" s="3">
        <f>IF(ORIG!K2567=0,"",ORIG!K2567)</f>
        <v/>
      </c>
      <c r="L2567" s="3">
        <f>IF(ORIG!L2567=0,"",ORIG!L2567)</f>
        <v/>
      </c>
      <c r="M2567" s="3">
        <f>IF(ORIG!M2567=0,"",ORIG!M2567)</f>
        <v/>
      </c>
      <c r="N2567" s="3">
        <f>IF(ORIG!N2567=0,"",ORIG!N2567)</f>
        <v/>
      </c>
      <c r="O2567" s="3">
        <f>IF(ORIG!O2567=0,"",ORIG!O2567)</f>
        <v/>
      </c>
      <c r="P2567" s="3">
        <f>IF(ORIG!P2567=0,"",ORIG!P2567)</f>
        <v/>
      </c>
      <c r="Q2567" s="3">
        <f>IF(ORIG!Q2567=0,"",ORIG!Q2567)</f>
        <v/>
      </c>
      <c r="R2567" s="3">
        <f>IF(ORIG!R2567=0,"",ORIG!R2567)</f>
        <v/>
      </c>
      <c r="S2567" s="3">
        <f>IF(ORIG!S2567=0,"",ORIG!S2567)</f>
        <v/>
      </c>
      <c r="T2567" s="3">
        <f>IF(ORIG!T2567=0,"",ORIG!T2567)</f>
        <v/>
      </c>
      <c r="U2567" s="3">
        <f>IF(ORIG!U2567=0,"",ORIG!U2567)</f>
        <v/>
      </c>
      <c r="V2567" s="9">
        <f>IF(ORIG!V2567=0,"",ORIG!V2567)</f>
        <v/>
      </c>
      <c r="W2567" s="9">
        <f>IF(ORIG!W2567=0,"",ORIG!W2567)</f>
        <v/>
      </c>
      <c r="X2567" s="9">
        <f>IF(ORIG!X2567=0,"",ORIG!X2567)</f>
        <v/>
      </c>
      <c r="Y2567" s="9">
        <f>IF(ORIG!Y2567=0,"",ORIG!Y2567)</f>
        <v/>
      </c>
      <c r="Z2567" s="3">
        <f>SUMPRODUCT($B2567:$Y2567,$B$2649:$Y$2649)</f>
        <v/>
      </c>
      <c r="AA2567" s="3">
        <f>SUMPRODUCT($B2567:$Y2567,$B$2655:$Y$2655)</f>
        <v/>
      </c>
      <c r="AC2567" s="1">
        <f>A2567</f>
        <v/>
      </c>
      <c r="AD2567">
        <f>IF(ISNUMBER(V2567),V2567*($AB$1/V$2635),"")</f>
        <v/>
      </c>
      <c r="AE2567">
        <f>IF(ISNUMBER(Z2567),Z2567*($AB$1/Z$2635),"")</f>
        <v/>
      </c>
      <c r="AF2567" s="25">
        <f>IF(ISNUMBER(AD2567+AE2567),AD2567+AE2567,"")</f>
        <v/>
      </c>
      <c r="AH2567" s="1">
        <f>A2567</f>
        <v/>
      </c>
      <c r="AI2567">
        <f>IF(ISNUMBER((1+V2567)*AI2566),(1+V2567)*AI2566,AI2566)</f>
        <v/>
      </c>
      <c r="AJ2567">
        <f>IF(ISNUMBER((1+Z2567)*AJ2566),(1+Z2567)*AJ2566,AJ2566)</f>
        <v/>
      </c>
    </row>
    <row r="2568">
      <c r="A2568" s="1" t="n">
        <v>45733</v>
      </c>
      <c r="B2568" s="3">
        <f>IF(ORIG!B2568=0,"",ORIG!B2568)</f>
        <v/>
      </c>
      <c r="C2568" s="3">
        <f>IF(ORIG!C2568=0,"",ORIG!C2568)</f>
        <v/>
      </c>
      <c r="D2568" s="3">
        <f>IF(ORIG!D2568=0,"",ORIG!D2568)</f>
        <v/>
      </c>
      <c r="E2568" s="3">
        <f>IF(ORIG!E2568=0,"",ORIG!E2568)</f>
        <v/>
      </c>
      <c r="F2568" s="3">
        <f>IF(ORIG!F2568=0,"",ORIG!F2568)</f>
        <v/>
      </c>
      <c r="G2568" s="3">
        <f>IF(ORIG!G2568=0,"",ORIG!G2568)</f>
        <v/>
      </c>
      <c r="H2568" s="3">
        <f>IF(ORIG!H2568=0,"",ORIG!H2568)</f>
        <v/>
      </c>
      <c r="I2568" s="3">
        <f>IF(ORIG!I2568=0,"",ORIG!I2568)</f>
        <v/>
      </c>
      <c r="J2568" s="3">
        <f>IF(ORIG!J2568=0,"",ORIG!J2568)</f>
        <v/>
      </c>
      <c r="K2568" s="3">
        <f>IF(ORIG!K2568=0,"",ORIG!K2568)</f>
        <v/>
      </c>
      <c r="L2568" s="3">
        <f>IF(ORIG!L2568=0,"",ORIG!L2568)</f>
        <v/>
      </c>
      <c r="M2568" s="3">
        <f>IF(ORIG!M2568=0,"",ORIG!M2568)</f>
        <v/>
      </c>
      <c r="N2568" s="3">
        <f>IF(ORIG!N2568=0,"",ORIG!N2568)</f>
        <v/>
      </c>
      <c r="O2568" s="3">
        <f>IF(ORIG!O2568=0,"",ORIG!O2568)</f>
        <v/>
      </c>
      <c r="P2568" s="3">
        <f>IF(ORIG!P2568=0,"",ORIG!P2568)</f>
        <v/>
      </c>
      <c r="Q2568" s="3">
        <f>IF(ORIG!Q2568=0,"",ORIG!Q2568)</f>
        <v/>
      </c>
      <c r="R2568" s="3">
        <f>IF(ORIG!R2568=0,"",ORIG!R2568)</f>
        <v/>
      </c>
      <c r="S2568" s="3">
        <f>IF(ORIG!S2568=0,"",ORIG!S2568)</f>
        <v/>
      </c>
      <c r="T2568" s="3">
        <f>IF(ORIG!T2568=0,"",ORIG!T2568)</f>
        <v/>
      </c>
      <c r="U2568" s="3">
        <f>IF(ORIG!U2568=0,"",ORIG!U2568)</f>
        <v/>
      </c>
      <c r="V2568" s="9">
        <f>IF(ORIG!V2568=0,"",ORIG!V2568)</f>
        <v/>
      </c>
      <c r="W2568" s="9">
        <f>IF(ORIG!W2568=0,"",ORIG!W2568)</f>
        <v/>
      </c>
      <c r="X2568" s="9">
        <f>IF(ORIG!X2568=0,"",ORIG!X2568)</f>
        <v/>
      </c>
      <c r="Y2568" s="9">
        <f>IF(ORIG!Y2568=0,"",ORIG!Y2568)</f>
        <v/>
      </c>
      <c r="Z2568" s="3">
        <f>SUMPRODUCT($B2568:$Y2568,$B$2649:$Y$2649)</f>
        <v/>
      </c>
      <c r="AA2568" s="3">
        <f>SUMPRODUCT($B2568:$Y2568,$B$2655:$Y$2655)</f>
        <v/>
      </c>
      <c r="AC2568" s="1">
        <f>A2568</f>
        <v/>
      </c>
      <c r="AD2568">
        <f>IF(ISNUMBER(V2568),V2568*($AB$1/V$2635),"")</f>
        <v/>
      </c>
      <c r="AE2568">
        <f>IF(ISNUMBER(Z2568),Z2568*($AB$1/Z$2635),"")</f>
        <v/>
      </c>
      <c r="AF2568" s="25">
        <f>IF(ISNUMBER(AD2568+AE2568),AD2568+AE2568,"")</f>
        <v/>
      </c>
      <c r="AH2568" s="1">
        <f>A2568</f>
        <v/>
      </c>
      <c r="AI2568">
        <f>IF(ISNUMBER((1+V2568)*AI2567),(1+V2568)*AI2567,AI2567)</f>
        <v/>
      </c>
      <c r="AJ2568">
        <f>IF(ISNUMBER((1+Z2568)*AJ2567),(1+Z2568)*AJ2567,AJ2567)</f>
        <v/>
      </c>
    </row>
    <row r="2569">
      <c r="A2569" s="1" t="n">
        <v>45734</v>
      </c>
      <c r="B2569" s="3">
        <f>IF(ORIG!B2569=0,"",ORIG!B2569)</f>
        <v/>
      </c>
      <c r="C2569" s="3">
        <f>IF(ORIG!C2569=0,"",ORIG!C2569)</f>
        <v/>
      </c>
      <c r="D2569" s="3">
        <f>IF(ORIG!D2569=0,"",ORIG!D2569)</f>
        <v/>
      </c>
      <c r="E2569" s="3">
        <f>IF(ORIG!E2569=0,"",ORIG!E2569)</f>
        <v/>
      </c>
      <c r="F2569" s="3">
        <f>IF(ORIG!F2569=0,"",ORIG!F2569)</f>
        <v/>
      </c>
      <c r="G2569" s="3">
        <f>IF(ORIG!G2569=0,"",ORIG!G2569)</f>
        <v/>
      </c>
      <c r="H2569" s="3">
        <f>IF(ORIG!H2569=0,"",ORIG!H2569)</f>
        <v/>
      </c>
      <c r="I2569" s="3">
        <f>IF(ORIG!I2569=0,"",ORIG!I2569)</f>
        <v/>
      </c>
      <c r="J2569" s="3">
        <f>IF(ORIG!J2569=0,"",ORIG!J2569)</f>
        <v/>
      </c>
      <c r="K2569" s="3">
        <f>IF(ORIG!K2569=0,"",ORIG!K2569)</f>
        <v/>
      </c>
      <c r="L2569" s="3">
        <f>IF(ORIG!L2569=0,"",ORIG!L2569)</f>
        <v/>
      </c>
      <c r="M2569" s="3">
        <f>IF(ORIG!M2569=0,"",ORIG!M2569)</f>
        <v/>
      </c>
      <c r="N2569" s="3">
        <f>IF(ORIG!N2569=0,"",ORIG!N2569)</f>
        <v/>
      </c>
      <c r="O2569" s="3">
        <f>IF(ORIG!O2569=0,"",ORIG!O2569)</f>
        <v/>
      </c>
      <c r="P2569" s="3">
        <f>IF(ORIG!P2569=0,"",ORIG!P2569)</f>
        <v/>
      </c>
      <c r="Q2569" s="3">
        <f>IF(ORIG!Q2569=0,"",ORIG!Q2569)</f>
        <v/>
      </c>
      <c r="R2569" s="3">
        <f>IF(ORIG!R2569=0,"",ORIG!R2569)</f>
        <v/>
      </c>
      <c r="S2569" s="3">
        <f>IF(ORIG!S2569=0,"",ORIG!S2569)</f>
        <v/>
      </c>
      <c r="T2569" s="3">
        <f>IF(ORIG!T2569=0,"",ORIG!T2569)</f>
        <v/>
      </c>
      <c r="U2569" s="3">
        <f>IF(ORIG!U2569=0,"",ORIG!U2569)</f>
        <v/>
      </c>
      <c r="V2569" s="9">
        <f>IF(ORIG!V2569=0,"",ORIG!V2569)</f>
        <v/>
      </c>
      <c r="W2569" s="9">
        <f>IF(ORIG!W2569=0,"",ORIG!W2569)</f>
        <v/>
      </c>
      <c r="X2569" s="9">
        <f>IF(ORIG!X2569=0,"",ORIG!X2569)</f>
        <v/>
      </c>
      <c r="Y2569" s="9">
        <f>IF(ORIG!Y2569=0,"",ORIG!Y2569)</f>
        <v/>
      </c>
      <c r="Z2569" s="3">
        <f>SUMPRODUCT($B2569:$Y2569,$B$2649:$Y$2649)</f>
        <v/>
      </c>
      <c r="AA2569" s="3">
        <f>SUMPRODUCT($B2569:$Y2569,$B$2655:$Y$2655)</f>
        <v/>
      </c>
      <c r="AC2569" s="1">
        <f>A2569</f>
        <v/>
      </c>
      <c r="AD2569">
        <f>IF(ISNUMBER(V2569),V2569*($AB$1/V$2635),"")</f>
        <v/>
      </c>
      <c r="AE2569">
        <f>IF(ISNUMBER(Z2569),Z2569*($AB$1/Z$2635),"")</f>
        <v/>
      </c>
      <c r="AF2569" s="25">
        <f>IF(ISNUMBER(AD2569+AE2569),AD2569+AE2569,"")</f>
        <v/>
      </c>
      <c r="AH2569" s="1">
        <f>A2569</f>
        <v/>
      </c>
      <c r="AI2569">
        <f>IF(ISNUMBER((1+V2569)*AI2568),(1+V2569)*AI2568,AI2568)</f>
        <v/>
      </c>
      <c r="AJ2569">
        <f>IF(ISNUMBER((1+Z2569)*AJ2568),(1+Z2569)*AJ2568,AJ2568)</f>
        <v/>
      </c>
    </row>
    <row r="2570">
      <c r="A2570" s="1" t="n">
        <v>45735</v>
      </c>
      <c r="B2570" s="3">
        <f>IF(ORIG!B2570=0,"",ORIG!B2570)</f>
        <v/>
      </c>
      <c r="C2570" s="3">
        <f>IF(ORIG!C2570=0,"",ORIG!C2570)</f>
        <v/>
      </c>
      <c r="D2570" s="3">
        <f>IF(ORIG!D2570=0,"",ORIG!D2570)</f>
        <v/>
      </c>
      <c r="E2570" s="3">
        <f>IF(ORIG!E2570=0,"",ORIG!E2570)</f>
        <v/>
      </c>
      <c r="F2570" s="3">
        <f>IF(ORIG!F2570=0,"",ORIG!F2570)</f>
        <v/>
      </c>
      <c r="G2570" s="3">
        <f>IF(ORIG!G2570=0,"",ORIG!G2570)</f>
        <v/>
      </c>
      <c r="H2570" s="3">
        <f>IF(ORIG!H2570=0,"",ORIG!H2570)</f>
        <v/>
      </c>
      <c r="I2570" s="3">
        <f>IF(ORIG!I2570=0,"",ORIG!I2570)</f>
        <v/>
      </c>
      <c r="J2570" s="3">
        <f>IF(ORIG!J2570=0,"",ORIG!J2570)</f>
        <v/>
      </c>
      <c r="K2570" s="3">
        <f>IF(ORIG!K2570=0,"",ORIG!K2570)</f>
        <v/>
      </c>
      <c r="L2570" s="3">
        <f>IF(ORIG!L2570=0,"",ORIG!L2570)</f>
        <v/>
      </c>
      <c r="M2570" s="3">
        <f>IF(ORIG!M2570=0,"",ORIG!M2570)</f>
        <v/>
      </c>
      <c r="N2570" s="3">
        <f>IF(ORIG!N2570=0,"",ORIG!N2570)</f>
        <v/>
      </c>
      <c r="O2570" s="3">
        <f>IF(ORIG!O2570=0,"",ORIG!O2570)</f>
        <v/>
      </c>
      <c r="P2570" s="3">
        <f>IF(ORIG!P2570=0,"",ORIG!P2570)</f>
        <v/>
      </c>
      <c r="Q2570" s="3">
        <f>IF(ORIG!Q2570=0,"",ORIG!Q2570)</f>
        <v/>
      </c>
      <c r="R2570" s="3">
        <f>IF(ORIG!R2570=0,"",ORIG!R2570)</f>
        <v/>
      </c>
      <c r="S2570" s="3">
        <f>IF(ORIG!S2570=0,"",ORIG!S2570)</f>
        <v/>
      </c>
      <c r="T2570" s="3">
        <f>IF(ORIG!T2570=0,"",ORIG!T2570)</f>
        <v/>
      </c>
      <c r="U2570" s="3">
        <f>IF(ORIG!U2570=0,"",ORIG!U2570)</f>
        <v/>
      </c>
      <c r="V2570" s="9">
        <f>IF(ORIG!V2570=0,"",ORIG!V2570)</f>
        <v/>
      </c>
      <c r="W2570" s="9">
        <f>IF(ORIG!W2570=0,"",ORIG!W2570)</f>
        <v/>
      </c>
      <c r="X2570" s="9">
        <f>IF(ORIG!X2570=0,"",ORIG!X2570)</f>
        <v/>
      </c>
      <c r="Y2570" s="9">
        <f>IF(ORIG!Y2570=0,"",ORIG!Y2570)</f>
        <v/>
      </c>
      <c r="Z2570" s="3">
        <f>SUMPRODUCT($B2570:$Y2570,$B$2649:$Y$2649)</f>
        <v/>
      </c>
      <c r="AA2570" s="3">
        <f>SUMPRODUCT($B2570:$Y2570,$B$2655:$Y$2655)</f>
        <v/>
      </c>
      <c r="AC2570" s="1">
        <f>A2570</f>
        <v/>
      </c>
      <c r="AD2570">
        <f>IF(ISNUMBER(V2570),V2570*($AB$1/V$2635),"")</f>
        <v/>
      </c>
      <c r="AE2570">
        <f>IF(ISNUMBER(Z2570),Z2570*($AB$1/Z$2635),"")</f>
        <v/>
      </c>
      <c r="AF2570" s="25">
        <f>IF(ISNUMBER(AD2570+AE2570),AD2570+AE2570,"")</f>
        <v/>
      </c>
      <c r="AH2570" s="1">
        <f>A2570</f>
        <v/>
      </c>
      <c r="AI2570">
        <f>IF(ISNUMBER((1+V2570)*AI2569),(1+V2570)*AI2569,AI2569)</f>
        <v/>
      </c>
      <c r="AJ2570">
        <f>IF(ISNUMBER((1+Z2570)*AJ2569),(1+Z2570)*AJ2569,AJ2569)</f>
        <v/>
      </c>
    </row>
    <row r="2571">
      <c r="A2571" s="1" t="n">
        <v>45736</v>
      </c>
      <c r="B2571" s="3">
        <f>IF(ORIG!B2571=0,"",ORIG!B2571)</f>
        <v/>
      </c>
      <c r="C2571" s="3">
        <f>IF(ORIG!C2571=0,"",ORIG!C2571)</f>
        <v/>
      </c>
      <c r="D2571" s="3">
        <f>IF(ORIG!D2571=0,"",ORIG!D2571)</f>
        <v/>
      </c>
      <c r="E2571" s="3">
        <f>IF(ORIG!E2571=0,"",ORIG!E2571)</f>
        <v/>
      </c>
      <c r="F2571" s="3">
        <f>IF(ORIG!F2571=0,"",ORIG!F2571)</f>
        <v/>
      </c>
      <c r="G2571" s="3">
        <f>IF(ORIG!G2571=0,"",ORIG!G2571)</f>
        <v/>
      </c>
      <c r="H2571" s="3">
        <f>IF(ORIG!H2571=0,"",ORIG!H2571)</f>
        <v/>
      </c>
      <c r="I2571" s="3">
        <f>IF(ORIG!I2571=0,"",ORIG!I2571)</f>
        <v/>
      </c>
      <c r="J2571" s="3">
        <f>IF(ORIG!J2571=0,"",ORIG!J2571)</f>
        <v/>
      </c>
      <c r="K2571" s="3">
        <f>IF(ORIG!K2571=0,"",ORIG!K2571)</f>
        <v/>
      </c>
      <c r="L2571" s="3">
        <f>IF(ORIG!L2571=0,"",ORIG!L2571)</f>
        <v/>
      </c>
      <c r="M2571" s="3">
        <f>IF(ORIG!M2571=0,"",ORIG!M2571)</f>
        <v/>
      </c>
      <c r="N2571" s="3">
        <f>IF(ORIG!N2571=0,"",ORIG!N2571)</f>
        <v/>
      </c>
      <c r="O2571" s="3">
        <f>IF(ORIG!O2571=0,"",ORIG!O2571)</f>
        <v/>
      </c>
      <c r="P2571" s="3">
        <f>IF(ORIG!P2571=0,"",ORIG!P2571)</f>
        <v/>
      </c>
      <c r="Q2571" s="3">
        <f>IF(ORIG!Q2571=0,"",ORIG!Q2571)</f>
        <v/>
      </c>
      <c r="R2571" s="3">
        <f>IF(ORIG!R2571=0,"",ORIG!R2571)</f>
        <v/>
      </c>
      <c r="S2571" s="3">
        <f>IF(ORIG!S2571=0,"",ORIG!S2571)</f>
        <v/>
      </c>
      <c r="T2571" s="3">
        <f>IF(ORIG!T2571=0,"",ORIG!T2571)</f>
        <v/>
      </c>
      <c r="U2571" s="3">
        <f>IF(ORIG!U2571=0,"",ORIG!U2571)</f>
        <v/>
      </c>
      <c r="V2571" s="9">
        <f>IF(ORIG!V2571=0,"",ORIG!V2571)</f>
        <v/>
      </c>
      <c r="W2571" s="9">
        <f>IF(ORIG!W2571=0,"",ORIG!W2571)</f>
        <v/>
      </c>
      <c r="X2571" s="9">
        <f>IF(ORIG!X2571=0,"",ORIG!X2571)</f>
        <v/>
      </c>
      <c r="Y2571" s="9">
        <f>IF(ORIG!Y2571=0,"",ORIG!Y2571)</f>
        <v/>
      </c>
      <c r="Z2571" s="3">
        <f>SUMPRODUCT($B2571:$Y2571,$B$2649:$Y$2649)</f>
        <v/>
      </c>
      <c r="AA2571" s="3">
        <f>SUMPRODUCT($B2571:$Y2571,$B$2655:$Y$2655)</f>
        <v/>
      </c>
      <c r="AC2571" s="1">
        <f>A2571</f>
        <v/>
      </c>
      <c r="AD2571">
        <f>IF(ISNUMBER(V2571),V2571*($AB$1/V$2635),"")</f>
        <v/>
      </c>
      <c r="AE2571">
        <f>IF(ISNUMBER(Z2571),Z2571*($AB$1/Z$2635),"")</f>
        <v/>
      </c>
      <c r="AF2571" s="25">
        <f>IF(ISNUMBER(AD2571+AE2571),AD2571+AE2571,"")</f>
        <v/>
      </c>
      <c r="AH2571" s="1">
        <f>A2571</f>
        <v/>
      </c>
      <c r="AI2571">
        <f>IF(ISNUMBER((1+V2571)*AI2570),(1+V2571)*AI2570,AI2570)</f>
        <v/>
      </c>
      <c r="AJ2571">
        <f>IF(ISNUMBER((1+Z2571)*AJ2570),(1+Z2571)*AJ2570,AJ2570)</f>
        <v/>
      </c>
    </row>
    <row r="2572">
      <c r="A2572" s="1" t="n">
        <v>45737</v>
      </c>
      <c r="B2572" s="3">
        <f>IF(ORIG!B2572=0,"",ORIG!B2572)</f>
        <v/>
      </c>
      <c r="C2572" s="3">
        <f>IF(ORIG!C2572=0,"",ORIG!C2572)</f>
        <v/>
      </c>
      <c r="D2572" s="3">
        <f>IF(ORIG!D2572=0,"",ORIG!D2572)</f>
        <v/>
      </c>
      <c r="E2572" s="3">
        <f>IF(ORIG!E2572=0,"",ORIG!E2572)</f>
        <v/>
      </c>
      <c r="F2572" s="3">
        <f>IF(ORIG!F2572=0,"",ORIG!F2572)</f>
        <v/>
      </c>
      <c r="G2572" s="3">
        <f>IF(ORIG!G2572=0,"",ORIG!G2572)</f>
        <v/>
      </c>
      <c r="H2572" s="3">
        <f>IF(ORIG!H2572=0,"",ORIG!H2572)</f>
        <v/>
      </c>
      <c r="I2572" s="3">
        <f>IF(ORIG!I2572=0,"",ORIG!I2572)</f>
        <v/>
      </c>
      <c r="J2572" s="3">
        <f>IF(ORIG!J2572=0,"",ORIG!J2572)</f>
        <v/>
      </c>
      <c r="K2572" s="3">
        <f>IF(ORIG!K2572=0,"",ORIG!K2572)</f>
        <v/>
      </c>
      <c r="L2572" s="3">
        <f>IF(ORIG!L2572=0,"",ORIG!L2572)</f>
        <v/>
      </c>
      <c r="M2572" s="3">
        <f>IF(ORIG!M2572=0,"",ORIG!M2572)</f>
        <v/>
      </c>
      <c r="N2572" s="3">
        <f>IF(ORIG!N2572=0,"",ORIG!N2572)</f>
        <v/>
      </c>
      <c r="O2572" s="3">
        <f>IF(ORIG!O2572=0,"",ORIG!O2572)</f>
        <v/>
      </c>
      <c r="P2572" s="3">
        <f>IF(ORIG!P2572=0,"",ORIG!P2572)</f>
        <v/>
      </c>
      <c r="Q2572" s="3">
        <f>IF(ORIG!Q2572=0,"",ORIG!Q2572)</f>
        <v/>
      </c>
      <c r="R2572" s="3">
        <f>IF(ORIG!R2572=0,"",ORIG!R2572)</f>
        <v/>
      </c>
      <c r="S2572" s="3">
        <f>IF(ORIG!S2572=0,"",ORIG!S2572)</f>
        <v/>
      </c>
      <c r="T2572" s="3">
        <f>IF(ORIG!T2572=0,"",ORIG!T2572)</f>
        <v/>
      </c>
      <c r="U2572" s="3">
        <f>IF(ORIG!U2572=0,"",ORIG!U2572)</f>
        <v/>
      </c>
      <c r="V2572" s="9">
        <f>IF(ORIG!V2572=0,"",ORIG!V2572)</f>
        <v/>
      </c>
      <c r="W2572" s="9">
        <f>IF(ORIG!W2572=0,"",ORIG!W2572)</f>
        <v/>
      </c>
      <c r="X2572" s="9">
        <f>IF(ORIG!X2572=0,"",ORIG!X2572)</f>
        <v/>
      </c>
      <c r="Y2572" s="9">
        <f>IF(ORIG!Y2572=0,"",ORIG!Y2572)</f>
        <v/>
      </c>
      <c r="Z2572" s="3">
        <f>SUMPRODUCT($B2572:$Y2572,$B$2649:$Y$2649)</f>
        <v/>
      </c>
      <c r="AA2572" s="3">
        <f>SUMPRODUCT($B2572:$Y2572,$B$2655:$Y$2655)</f>
        <v/>
      </c>
      <c r="AC2572" s="1">
        <f>A2572</f>
        <v/>
      </c>
      <c r="AD2572">
        <f>IF(ISNUMBER(V2572),V2572*($AB$1/V$2635),"")</f>
        <v/>
      </c>
      <c r="AE2572">
        <f>IF(ISNUMBER(Z2572),Z2572*($AB$1/Z$2635),"")</f>
        <v/>
      </c>
      <c r="AF2572" s="25">
        <f>IF(ISNUMBER(AD2572+AE2572),AD2572+AE2572,"")</f>
        <v/>
      </c>
      <c r="AH2572" s="1">
        <f>A2572</f>
        <v/>
      </c>
      <c r="AI2572">
        <f>IF(ISNUMBER((1+V2572)*AI2571),(1+V2572)*AI2571,AI2571)</f>
        <v/>
      </c>
      <c r="AJ2572">
        <f>IF(ISNUMBER((1+Z2572)*AJ2571),(1+Z2572)*AJ2571,AJ2571)</f>
        <v/>
      </c>
    </row>
    <row r="2573">
      <c r="A2573" s="1" t="n">
        <v>45740</v>
      </c>
      <c r="B2573" s="3">
        <f>IF(ORIG!B2573=0,"",ORIG!B2573)</f>
        <v/>
      </c>
      <c r="C2573" s="3">
        <f>IF(ORIG!C2573=0,"",ORIG!C2573)</f>
        <v/>
      </c>
      <c r="D2573" s="3">
        <f>IF(ORIG!D2573=0,"",ORIG!D2573)</f>
        <v/>
      </c>
      <c r="E2573" s="3">
        <f>IF(ORIG!E2573=0,"",ORIG!E2573)</f>
        <v/>
      </c>
      <c r="F2573" s="3">
        <f>IF(ORIG!F2573=0,"",ORIG!F2573)</f>
        <v/>
      </c>
      <c r="G2573" s="3">
        <f>IF(ORIG!G2573=0,"",ORIG!G2573)</f>
        <v/>
      </c>
      <c r="H2573" s="3">
        <f>IF(ORIG!H2573=0,"",ORIG!H2573)</f>
        <v/>
      </c>
      <c r="I2573" s="3">
        <f>IF(ORIG!I2573=0,"",ORIG!I2573)</f>
        <v/>
      </c>
      <c r="J2573" s="3">
        <f>IF(ORIG!J2573=0,"",ORIG!J2573)</f>
        <v/>
      </c>
      <c r="K2573" s="3">
        <f>IF(ORIG!K2573=0,"",ORIG!K2573)</f>
        <v/>
      </c>
      <c r="L2573" s="3">
        <f>IF(ORIG!L2573=0,"",ORIG!L2573)</f>
        <v/>
      </c>
      <c r="M2573" s="3">
        <f>IF(ORIG!M2573=0,"",ORIG!M2573)</f>
        <v/>
      </c>
      <c r="N2573" s="3">
        <f>IF(ORIG!N2573=0,"",ORIG!N2573)</f>
        <v/>
      </c>
      <c r="O2573" s="3">
        <f>IF(ORIG!O2573=0,"",ORIG!O2573)</f>
        <v/>
      </c>
      <c r="P2573" s="3">
        <f>IF(ORIG!P2573=0,"",ORIG!P2573)</f>
        <v/>
      </c>
      <c r="Q2573" s="3">
        <f>IF(ORIG!Q2573=0,"",ORIG!Q2573)</f>
        <v/>
      </c>
      <c r="R2573" s="3">
        <f>IF(ORIG!R2573=0,"",ORIG!R2573)</f>
        <v/>
      </c>
      <c r="S2573" s="3">
        <f>IF(ORIG!S2573=0,"",ORIG!S2573)</f>
        <v/>
      </c>
      <c r="T2573" s="3">
        <f>IF(ORIG!T2573=0,"",ORIG!T2573)</f>
        <v/>
      </c>
      <c r="U2573" s="3">
        <f>IF(ORIG!U2573=0,"",ORIG!U2573)</f>
        <v/>
      </c>
      <c r="V2573" s="9">
        <f>IF(ORIG!V2573=0,"",ORIG!V2573)</f>
        <v/>
      </c>
      <c r="W2573" s="9">
        <f>IF(ORIG!W2573=0,"",ORIG!W2573)</f>
        <v/>
      </c>
      <c r="X2573" s="9">
        <f>IF(ORIG!X2573=0,"",ORIG!X2573)</f>
        <v/>
      </c>
      <c r="Y2573" s="9">
        <f>IF(ORIG!Y2573=0,"",ORIG!Y2573)</f>
        <v/>
      </c>
      <c r="Z2573" s="3">
        <f>SUMPRODUCT($B2573:$Y2573,$B$2649:$Y$2649)</f>
        <v/>
      </c>
      <c r="AA2573" s="3">
        <f>SUMPRODUCT($B2573:$Y2573,$B$2655:$Y$2655)</f>
        <v/>
      </c>
      <c r="AC2573" s="1">
        <f>A2573</f>
        <v/>
      </c>
      <c r="AD2573">
        <f>IF(ISNUMBER(V2573),V2573*($AB$1/V$2635),"")</f>
        <v/>
      </c>
      <c r="AE2573">
        <f>IF(ISNUMBER(Z2573),Z2573*($AB$1/Z$2635),"")</f>
        <v/>
      </c>
      <c r="AF2573" s="25">
        <f>IF(ISNUMBER(AD2573+AE2573),AD2573+AE2573,"")</f>
        <v/>
      </c>
      <c r="AH2573" s="1">
        <f>A2573</f>
        <v/>
      </c>
      <c r="AI2573">
        <f>IF(ISNUMBER((1+V2573)*AI2572),(1+V2573)*AI2572,AI2572)</f>
        <v/>
      </c>
      <c r="AJ2573">
        <f>IF(ISNUMBER((1+Z2573)*AJ2572),(1+Z2573)*AJ2572,AJ2572)</f>
        <v/>
      </c>
    </row>
    <row r="2574">
      <c r="A2574" s="1" t="n">
        <v>45741</v>
      </c>
      <c r="B2574" s="3">
        <f>IF(ORIG!B2574=0,"",ORIG!B2574)</f>
        <v/>
      </c>
      <c r="C2574" s="3">
        <f>IF(ORIG!C2574=0,"",ORIG!C2574)</f>
        <v/>
      </c>
      <c r="D2574" s="3">
        <f>IF(ORIG!D2574=0,"",ORIG!D2574)</f>
        <v/>
      </c>
      <c r="E2574" s="3">
        <f>IF(ORIG!E2574=0,"",ORIG!E2574)</f>
        <v/>
      </c>
      <c r="F2574" s="3">
        <f>IF(ORIG!F2574=0,"",ORIG!F2574)</f>
        <v/>
      </c>
      <c r="G2574" s="3">
        <f>IF(ORIG!G2574=0,"",ORIG!G2574)</f>
        <v/>
      </c>
      <c r="H2574" s="3">
        <f>IF(ORIG!H2574=0,"",ORIG!H2574)</f>
        <v/>
      </c>
      <c r="I2574" s="3">
        <f>IF(ORIG!I2574=0,"",ORIG!I2574)</f>
        <v/>
      </c>
      <c r="J2574" s="3">
        <f>IF(ORIG!J2574=0,"",ORIG!J2574)</f>
        <v/>
      </c>
      <c r="K2574" s="3">
        <f>IF(ORIG!K2574=0,"",ORIG!K2574)</f>
        <v/>
      </c>
      <c r="L2574" s="3">
        <f>IF(ORIG!L2574=0,"",ORIG!L2574)</f>
        <v/>
      </c>
      <c r="M2574" s="3">
        <f>IF(ORIG!M2574=0,"",ORIG!M2574)</f>
        <v/>
      </c>
      <c r="N2574" s="3">
        <f>IF(ORIG!N2574=0,"",ORIG!N2574)</f>
        <v/>
      </c>
      <c r="O2574" s="3">
        <f>IF(ORIG!O2574=0,"",ORIG!O2574)</f>
        <v/>
      </c>
      <c r="P2574" s="3">
        <f>IF(ORIG!P2574=0,"",ORIG!P2574)</f>
        <v/>
      </c>
      <c r="Q2574" s="3">
        <f>IF(ORIG!Q2574=0,"",ORIG!Q2574)</f>
        <v/>
      </c>
      <c r="R2574" s="3">
        <f>IF(ORIG!R2574=0,"",ORIG!R2574)</f>
        <v/>
      </c>
      <c r="S2574" s="3">
        <f>IF(ORIG!S2574=0,"",ORIG!S2574)</f>
        <v/>
      </c>
      <c r="T2574" s="3">
        <f>IF(ORIG!T2574=0,"",ORIG!T2574)</f>
        <v/>
      </c>
      <c r="U2574" s="3">
        <f>IF(ORIG!U2574=0,"",ORIG!U2574)</f>
        <v/>
      </c>
      <c r="V2574" s="9">
        <f>IF(ORIG!V2574=0,"",ORIG!V2574)</f>
        <v/>
      </c>
      <c r="W2574" s="9">
        <f>IF(ORIG!W2574=0,"",ORIG!W2574)</f>
        <v/>
      </c>
      <c r="X2574" s="9">
        <f>IF(ORIG!X2574=0,"",ORIG!X2574)</f>
        <v/>
      </c>
      <c r="Y2574" s="9">
        <f>IF(ORIG!Y2574=0,"",ORIG!Y2574)</f>
        <v/>
      </c>
      <c r="Z2574" s="3">
        <f>SUMPRODUCT($B2574:$Y2574,$B$2649:$Y$2649)</f>
        <v/>
      </c>
      <c r="AA2574" s="3">
        <f>SUMPRODUCT($B2574:$Y2574,$B$2655:$Y$2655)</f>
        <v/>
      </c>
      <c r="AC2574" s="1">
        <f>A2574</f>
        <v/>
      </c>
      <c r="AD2574">
        <f>IF(ISNUMBER(V2574),V2574*($AB$1/V$2635),"")</f>
        <v/>
      </c>
      <c r="AE2574">
        <f>IF(ISNUMBER(Z2574),Z2574*($AB$1/Z$2635),"")</f>
        <v/>
      </c>
      <c r="AF2574" s="25">
        <f>IF(ISNUMBER(AD2574+AE2574),AD2574+AE2574,"")</f>
        <v/>
      </c>
      <c r="AH2574" s="1">
        <f>A2574</f>
        <v/>
      </c>
      <c r="AI2574">
        <f>IF(ISNUMBER((1+V2574)*AI2573),(1+V2574)*AI2573,AI2573)</f>
        <v/>
      </c>
      <c r="AJ2574">
        <f>IF(ISNUMBER((1+Z2574)*AJ2573),(1+Z2574)*AJ2573,AJ2573)</f>
        <v/>
      </c>
    </row>
    <row r="2575">
      <c r="A2575" s="1" t="n">
        <v>45742</v>
      </c>
      <c r="B2575" s="3">
        <f>IF(ORIG!B2575=0,"",ORIG!B2575)</f>
        <v/>
      </c>
      <c r="C2575" s="3">
        <f>IF(ORIG!C2575=0,"",ORIG!C2575)</f>
        <v/>
      </c>
      <c r="D2575" s="3">
        <f>IF(ORIG!D2575=0,"",ORIG!D2575)</f>
        <v/>
      </c>
      <c r="E2575" s="3">
        <f>IF(ORIG!E2575=0,"",ORIG!E2575)</f>
        <v/>
      </c>
      <c r="F2575" s="3">
        <f>IF(ORIG!F2575=0,"",ORIG!F2575)</f>
        <v/>
      </c>
      <c r="G2575" s="3">
        <f>IF(ORIG!G2575=0,"",ORIG!G2575)</f>
        <v/>
      </c>
      <c r="H2575" s="3">
        <f>IF(ORIG!H2575=0,"",ORIG!H2575)</f>
        <v/>
      </c>
      <c r="I2575" s="3">
        <f>IF(ORIG!I2575=0,"",ORIG!I2575)</f>
        <v/>
      </c>
      <c r="J2575" s="3">
        <f>IF(ORIG!J2575=0,"",ORIG!J2575)</f>
        <v/>
      </c>
      <c r="K2575" s="3">
        <f>IF(ORIG!K2575=0,"",ORIG!K2575)</f>
        <v/>
      </c>
      <c r="L2575" s="3">
        <f>IF(ORIG!L2575=0,"",ORIG!L2575)</f>
        <v/>
      </c>
      <c r="M2575" s="3">
        <f>IF(ORIG!M2575=0,"",ORIG!M2575)</f>
        <v/>
      </c>
      <c r="N2575" s="3">
        <f>IF(ORIG!N2575=0,"",ORIG!N2575)</f>
        <v/>
      </c>
      <c r="O2575" s="3">
        <f>IF(ORIG!O2575=0,"",ORIG!O2575)</f>
        <v/>
      </c>
      <c r="P2575" s="3">
        <f>IF(ORIG!P2575=0,"",ORIG!P2575)</f>
        <v/>
      </c>
      <c r="Q2575" s="3">
        <f>IF(ORIG!Q2575=0,"",ORIG!Q2575)</f>
        <v/>
      </c>
      <c r="R2575" s="3">
        <f>IF(ORIG!R2575=0,"",ORIG!R2575)</f>
        <v/>
      </c>
      <c r="S2575" s="3">
        <f>IF(ORIG!S2575=0,"",ORIG!S2575)</f>
        <v/>
      </c>
      <c r="T2575" s="3">
        <f>IF(ORIG!T2575=0,"",ORIG!T2575)</f>
        <v/>
      </c>
      <c r="U2575" s="3">
        <f>IF(ORIG!U2575=0,"",ORIG!U2575)</f>
        <v/>
      </c>
      <c r="V2575" s="9">
        <f>IF(ORIG!V2575=0,"",ORIG!V2575)</f>
        <v/>
      </c>
      <c r="W2575" s="9">
        <f>IF(ORIG!W2575=0,"",ORIG!W2575)</f>
        <v/>
      </c>
      <c r="X2575" s="9">
        <f>IF(ORIG!X2575=0,"",ORIG!X2575)</f>
        <v/>
      </c>
      <c r="Y2575" s="9">
        <f>IF(ORIG!Y2575=0,"",ORIG!Y2575)</f>
        <v/>
      </c>
      <c r="Z2575" s="3">
        <f>SUMPRODUCT($B2575:$Y2575,$B$2649:$Y$2649)</f>
        <v/>
      </c>
      <c r="AA2575" s="3">
        <f>SUMPRODUCT($B2575:$Y2575,$B$2655:$Y$2655)</f>
        <v/>
      </c>
      <c r="AC2575" s="1">
        <f>A2575</f>
        <v/>
      </c>
      <c r="AD2575">
        <f>IF(ISNUMBER(V2575),V2575*($AB$1/V$2635),"")</f>
        <v/>
      </c>
      <c r="AE2575">
        <f>IF(ISNUMBER(Z2575),Z2575*($AB$1/Z$2635),"")</f>
        <v/>
      </c>
      <c r="AF2575" s="25">
        <f>IF(ISNUMBER(AD2575+AE2575),AD2575+AE2575,"")</f>
        <v/>
      </c>
      <c r="AH2575" s="1">
        <f>A2575</f>
        <v/>
      </c>
      <c r="AI2575">
        <f>IF(ISNUMBER((1+V2575)*AI2574),(1+V2575)*AI2574,AI2574)</f>
        <v/>
      </c>
      <c r="AJ2575">
        <f>IF(ISNUMBER((1+Z2575)*AJ2574),(1+Z2575)*AJ2574,AJ2574)</f>
        <v/>
      </c>
    </row>
    <row r="2576">
      <c r="A2576" s="1" t="n">
        <v>45743</v>
      </c>
      <c r="B2576" s="3">
        <f>IF(ORIG!B2576=0,"",ORIG!B2576)</f>
        <v/>
      </c>
      <c r="C2576" s="3">
        <f>IF(ORIG!C2576=0,"",ORIG!C2576)</f>
        <v/>
      </c>
      <c r="D2576" s="3">
        <f>IF(ORIG!D2576=0,"",ORIG!D2576)</f>
        <v/>
      </c>
      <c r="E2576" s="3">
        <f>IF(ORIG!E2576=0,"",ORIG!E2576)</f>
        <v/>
      </c>
      <c r="F2576" s="3">
        <f>IF(ORIG!F2576=0,"",ORIG!F2576)</f>
        <v/>
      </c>
      <c r="G2576" s="3">
        <f>IF(ORIG!G2576=0,"",ORIG!G2576)</f>
        <v/>
      </c>
      <c r="H2576" s="3">
        <f>IF(ORIG!H2576=0,"",ORIG!H2576)</f>
        <v/>
      </c>
      <c r="I2576" s="3">
        <f>IF(ORIG!I2576=0,"",ORIG!I2576)</f>
        <v/>
      </c>
      <c r="J2576" s="3">
        <f>IF(ORIG!J2576=0,"",ORIG!J2576)</f>
        <v/>
      </c>
      <c r="K2576" s="3">
        <f>IF(ORIG!K2576=0,"",ORIG!K2576)</f>
        <v/>
      </c>
      <c r="L2576" s="3">
        <f>IF(ORIG!L2576=0,"",ORIG!L2576)</f>
        <v/>
      </c>
      <c r="M2576" s="3">
        <f>IF(ORIG!M2576=0,"",ORIG!M2576)</f>
        <v/>
      </c>
      <c r="N2576" s="3">
        <f>IF(ORIG!N2576=0,"",ORIG!N2576)</f>
        <v/>
      </c>
      <c r="O2576" s="3">
        <f>IF(ORIG!O2576=0,"",ORIG!O2576)</f>
        <v/>
      </c>
      <c r="P2576" s="3">
        <f>IF(ORIG!P2576=0,"",ORIG!P2576)</f>
        <v/>
      </c>
      <c r="Q2576" s="3">
        <f>IF(ORIG!Q2576=0,"",ORIG!Q2576)</f>
        <v/>
      </c>
      <c r="R2576" s="3">
        <f>IF(ORIG!R2576=0,"",ORIG!R2576)</f>
        <v/>
      </c>
      <c r="S2576" s="3">
        <f>IF(ORIG!S2576=0,"",ORIG!S2576)</f>
        <v/>
      </c>
      <c r="T2576" s="3">
        <f>IF(ORIG!T2576=0,"",ORIG!T2576)</f>
        <v/>
      </c>
      <c r="U2576" s="3">
        <f>IF(ORIG!U2576=0,"",ORIG!U2576)</f>
        <v/>
      </c>
      <c r="V2576" s="9">
        <f>IF(ORIG!V2576=0,"",ORIG!V2576)</f>
        <v/>
      </c>
      <c r="W2576" s="9">
        <f>IF(ORIG!W2576=0,"",ORIG!W2576)</f>
        <v/>
      </c>
      <c r="X2576" s="9">
        <f>IF(ORIG!X2576=0,"",ORIG!X2576)</f>
        <v/>
      </c>
      <c r="Y2576" s="9">
        <f>IF(ORIG!Y2576=0,"",ORIG!Y2576)</f>
        <v/>
      </c>
      <c r="Z2576" s="3">
        <f>SUMPRODUCT($B2576:$Y2576,$B$2649:$Y$2649)</f>
        <v/>
      </c>
      <c r="AA2576" s="3">
        <f>SUMPRODUCT($B2576:$Y2576,$B$2655:$Y$2655)</f>
        <v/>
      </c>
      <c r="AC2576" s="1">
        <f>A2576</f>
        <v/>
      </c>
      <c r="AD2576">
        <f>IF(ISNUMBER(V2576),V2576*($AB$1/V$2635),"")</f>
        <v/>
      </c>
      <c r="AE2576">
        <f>IF(ISNUMBER(Z2576),Z2576*($AB$1/Z$2635),"")</f>
        <v/>
      </c>
      <c r="AF2576" s="25">
        <f>IF(ISNUMBER(AD2576+AE2576),AD2576+AE2576,"")</f>
        <v/>
      </c>
      <c r="AH2576" s="1">
        <f>A2576</f>
        <v/>
      </c>
      <c r="AI2576">
        <f>IF(ISNUMBER((1+V2576)*AI2575),(1+V2576)*AI2575,AI2575)</f>
        <v/>
      </c>
      <c r="AJ2576">
        <f>IF(ISNUMBER((1+Z2576)*AJ2575),(1+Z2576)*AJ2575,AJ2575)</f>
        <v/>
      </c>
    </row>
    <row r="2577">
      <c r="A2577" s="1" t="n">
        <v>45744</v>
      </c>
      <c r="B2577" s="3">
        <f>IF(ORIG!B2577=0,"",ORIG!B2577)</f>
        <v/>
      </c>
      <c r="C2577" s="3">
        <f>IF(ORIG!C2577=0,"",ORIG!C2577)</f>
        <v/>
      </c>
      <c r="D2577" s="3">
        <f>IF(ORIG!D2577=0,"",ORIG!D2577)</f>
        <v/>
      </c>
      <c r="E2577" s="3">
        <f>IF(ORIG!E2577=0,"",ORIG!E2577)</f>
        <v/>
      </c>
      <c r="F2577" s="3">
        <f>IF(ORIG!F2577=0,"",ORIG!F2577)</f>
        <v/>
      </c>
      <c r="G2577" s="3">
        <f>IF(ORIG!G2577=0,"",ORIG!G2577)</f>
        <v/>
      </c>
      <c r="H2577" s="3">
        <f>IF(ORIG!H2577=0,"",ORIG!H2577)</f>
        <v/>
      </c>
      <c r="I2577" s="3">
        <f>IF(ORIG!I2577=0,"",ORIG!I2577)</f>
        <v/>
      </c>
      <c r="J2577" s="3">
        <f>IF(ORIG!J2577=0,"",ORIG!J2577)</f>
        <v/>
      </c>
      <c r="K2577" s="3">
        <f>IF(ORIG!K2577=0,"",ORIG!K2577)</f>
        <v/>
      </c>
      <c r="L2577" s="3">
        <f>IF(ORIG!L2577=0,"",ORIG!L2577)</f>
        <v/>
      </c>
      <c r="M2577" s="3">
        <f>IF(ORIG!M2577=0,"",ORIG!M2577)</f>
        <v/>
      </c>
      <c r="N2577" s="3">
        <f>IF(ORIG!N2577=0,"",ORIG!N2577)</f>
        <v/>
      </c>
      <c r="O2577" s="3">
        <f>IF(ORIG!O2577=0,"",ORIG!O2577)</f>
        <v/>
      </c>
      <c r="P2577" s="3">
        <f>IF(ORIG!P2577=0,"",ORIG!P2577)</f>
        <v/>
      </c>
      <c r="Q2577" s="3">
        <f>IF(ORIG!Q2577=0,"",ORIG!Q2577)</f>
        <v/>
      </c>
      <c r="R2577" s="3">
        <f>IF(ORIG!R2577=0,"",ORIG!R2577)</f>
        <v/>
      </c>
      <c r="S2577" s="3">
        <f>IF(ORIG!S2577=0,"",ORIG!S2577)</f>
        <v/>
      </c>
      <c r="T2577" s="3">
        <f>IF(ORIG!T2577=0,"",ORIG!T2577)</f>
        <v/>
      </c>
      <c r="U2577" s="3">
        <f>IF(ORIG!U2577=0,"",ORIG!U2577)</f>
        <v/>
      </c>
      <c r="V2577" s="9">
        <f>IF(ORIG!V2577=0,"",ORIG!V2577)</f>
        <v/>
      </c>
      <c r="W2577" s="9">
        <f>IF(ORIG!W2577=0,"",ORIG!W2577)</f>
        <v/>
      </c>
      <c r="X2577" s="9">
        <f>IF(ORIG!X2577=0,"",ORIG!X2577)</f>
        <v/>
      </c>
      <c r="Y2577" s="9">
        <f>IF(ORIG!Y2577=0,"",ORIG!Y2577)</f>
        <v/>
      </c>
      <c r="Z2577" s="3">
        <f>SUMPRODUCT($B2577:$Y2577,$B$2649:$Y$2649)</f>
        <v/>
      </c>
      <c r="AA2577" s="3">
        <f>SUMPRODUCT($B2577:$Y2577,$B$2655:$Y$2655)</f>
        <v/>
      </c>
      <c r="AC2577" s="1">
        <f>A2577</f>
        <v/>
      </c>
      <c r="AD2577">
        <f>IF(ISNUMBER(V2577),V2577*($AB$1/V$2635),"")</f>
        <v/>
      </c>
      <c r="AE2577">
        <f>IF(ISNUMBER(Z2577),Z2577*($AB$1/Z$2635),"")</f>
        <v/>
      </c>
      <c r="AF2577" s="25">
        <f>IF(ISNUMBER(AD2577+AE2577),AD2577+AE2577,"")</f>
        <v/>
      </c>
      <c r="AH2577" s="1">
        <f>A2577</f>
        <v/>
      </c>
      <c r="AI2577">
        <f>IF(ISNUMBER((1+V2577)*AI2576),(1+V2577)*AI2576,AI2576)</f>
        <v/>
      </c>
      <c r="AJ2577">
        <f>IF(ISNUMBER((1+Z2577)*AJ2576),(1+Z2577)*AJ2576,AJ2576)</f>
        <v/>
      </c>
    </row>
    <row r="2578">
      <c r="A2578" s="1" t="n">
        <v>45747</v>
      </c>
      <c r="B2578" s="3">
        <f>IF(ORIG!B2578=0,"",ORIG!B2578)</f>
        <v/>
      </c>
      <c r="C2578" s="3">
        <f>IF(ORIG!C2578=0,"",ORIG!C2578)</f>
        <v/>
      </c>
      <c r="D2578" s="3">
        <f>IF(ORIG!D2578=0,"",ORIG!D2578)</f>
        <v/>
      </c>
      <c r="E2578" s="3">
        <f>IF(ORIG!E2578=0,"",ORIG!E2578)</f>
        <v/>
      </c>
      <c r="F2578" s="3">
        <f>IF(ORIG!F2578=0,"",ORIG!F2578)</f>
        <v/>
      </c>
      <c r="G2578" s="3">
        <f>IF(ORIG!G2578=0,"",ORIG!G2578)</f>
        <v/>
      </c>
      <c r="H2578" s="3">
        <f>IF(ORIG!H2578=0,"",ORIG!H2578)</f>
        <v/>
      </c>
      <c r="I2578" s="3">
        <f>IF(ORIG!I2578=0,"",ORIG!I2578)</f>
        <v/>
      </c>
      <c r="J2578" s="3">
        <f>IF(ORIG!J2578=0,"",ORIG!J2578)</f>
        <v/>
      </c>
      <c r="K2578" s="3">
        <f>IF(ORIG!K2578=0,"",ORIG!K2578)</f>
        <v/>
      </c>
      <c r="L2578" s="3">
        <f>IF(ORIG!L2578=0,"",ORIG!L2578)</f>
        <v/>
      </c>
      <c r="M2578" s="3">
        <f>IF(ORIG!M2578=0,"",ORIG!M2578)</f>
        <v/>
      </c>
      <c r="N2578" s="3">
        <f>IF(ORIG!N2578=0,"",ORIG!N2578)</f>
        <v/>
      </c>
      <c r="O2578" s="3">
        <f>IF(ORIG!O2578=0,"",ORIG!O2578)</f>
        <v/>
      </c>
      <c r="P2578" s="3">
        <f>IF(ORIG!P2578=0,"",ORIG!P2578)</f>
        <v/>
      </c>
      <c r="Q2578" s="3">
        <f>IF(ORIG!Q2578=0,"",ORIG!Q2578)</f>
        <v/>
      </c>
      <c r="R2578" s="3">
        <f>IF(ORIG!R2578=0,"",ORIG!R2578)</f>
        <v/>
      </c>
      <c r="S2578" s="3">
        <f>IF(ORIG!S2578=0,"",ORIG!S2578)</f>
        <v/>
      </c>
      <c r="T2578" s="3">
        <f>IF(ORIG!T2578=0,"",ORIG!T2578)</f>
        <v/>
      </c>
      <c r="U2578" s="3">
        <f>IF(ORIG!U2578=0,"",ORIG!U2578)</f>
        <v/>
      </c>
      <c r="V2578" s="9">
        <f>IF(ORIG!V2578=0,"",ORIG!V2578)</f>
        <v/>
      </c>
      <c r="W2578" s="9">
        <f>IF(ORIG!W2578=0,"",ORIG!W2578)</f>
        <v/>
      </c>
      <c r="X2578" s="9">
        <f>IF(ORIG!X2578=0,"",ORIG!X2578)</f>
        <v/>
      </c>
      <c r="Y2578" s="9">
        <f>IF(ORIG!Y2578=0,"",ORIG!Y2578)</f>
        <v/>
      </c>
      <c r="Z2578" s="3">
        <f>SUMPRODUCT($B2578:$Y2578,$B$2649:$Y$2649)</f>
        <v/>
      </c>
      <c r="AA2578" s="3">
        <f>SUMPRODUCT($B2578:$Y2578,$B$2655:$Y$2655)</f>
        <v/>
      </c>
      <c r="AC2578" s="1">
        <f>A2578</f>
        <v/>
      </c>
      <c r="AD2578">
        <f>IF(ISNUMBER(V2578),V2578*($AB$1/V$2635),"")</f>
        <v/>
      </c>
      <c r="AE2578">
        <f>IF(ISNUMBER(Z2578),Z2578*($AB$1/Z$2635),"")</f>
        <v/>
      </c>
      <c r="AF2578" s="25">
        <f>IF(ISNUMBER(AD2578+AE2578),AD2578+AE2578,"")</f>
        <v/>
      </c>
      <c r="AH2578" s="1">
        <f>A2578</f>
        <v/>
      </c>
      <c r="AI2578">
        <f>IF(ISNUMBER((1+V2578)*AI2577),(1+V2578)*AI2577,AI2577)</f>
        <v/>
      </c>
      <c r="AJ2578">
        <f>IF(ISNUMBER((1+Z2578)*AJ2577),(1+Z2578)*AJ2577,AJ2577)</f>
        <v/>
      </c>
    </row>
    <row r="2579">
      <c r="A2579" s="1" t="n">
        <v>45748</v>
      </c>
      <c r="B2579" s="3">
        <f>IF(ORIG!B2579=0,"",ORIG!B2579)</f>
        <v/>
      </c>
      <c r="C2579" s="3">
        <f>IF(ORIG!C2579=0,"",ORIG!C2579)</f>
        <v/>
      </c>
      <c r="D2579" s="3">
        <f>IF(ORIG!D2579=0,"",ORIG!D2579)</f>
        <v/>
      </c>
      <c r="E2579" s="3">
        <f>IF(ORIG!E2579=0,"",ORIG!E2579)</f>
        <v/>
      </c>
      <c r="F2579" s="3">
        <f>IF(ORIG!F2579=0,"",ORIG!F2579)</f>
        <v/>
      </c>
      <c r="G2579" s="3">
        <f>IF(ORIG!G2579=0,"",ORIG!G2579)</f>
        <v/>
      </c>
      <c r="H2579" s="3">
        <f>IF(ORIG!H2579=0,"",ORIG!H2579)</f>
        <v/>
      </c>
      <c r="I2579" s="3">
        <f>IF(ORIG!I2579=0,"",ORIG!I2579)</f>
        <v/>
      </c>
      <c r="J2579" s="3">
        <f>IF(ORIG!J2579=0,"",ORIG!J2579)</f>
        <v/>
      </c>
      <c r="K2579" s="3">
        <f>IF(ORIG!K2579=0,"",ORIG!K2579)</f>
        <v/>
      </c>
      <c r="L2579" s="3">
        <f>IF(ORIG!L2579=0,"",ORIG!L2579)</f>
        <v/>
      </c>
      <c r="M2579" s="3">
        <f>IF(ORIG!M2579=0,"",ORIG!M2579)</f>
        <v/>
      </c>
      <c r="N2579" s="3">
        <f>IF(ORIG!N2579=0,"",ORIG!N2579)</f>
        <v/>
      </c>
      <c r="O2579" s="3">
        <f>IF(ORIG!O2579=0,"",ORIG!O2579)</f>
        <v/>
      </c>
      <c r="P2579" s="3">
        <f>IF(ORIG!P2579=0,"",ORIG!P2579)</f>
        <v/>
      </c>
      <c r="Q2579" s="3">
        <f>IF(ORIG!Q2579=0,"",ORIG!Q2579)</f>
        <v/>
      </c>
      <c r="R2579" s="3">
        <f>IF(ORIG!R2579=0,"",ORIG!R2579)</f>
        <v/>
      </c>
      <c r="S2579" s="3">
        <f>IF(ORIG!S2579=0,"",ORIG!S2579)</f>
        <v/>
      </c>
      <c r="T2579" s="3">
        <f>IF(ORIG!T2579=0,"",ORIG!T2579)</f>
        <v/>
      </c>
      <c r="U2579" s="3">
        <f>IF(ORIG!U2579=0,"",ORIG!U2579)</f>
        <v/>
      </c>
      <c r="V2579" s="9">
        <f>IF(ORIG!V2579=0,"",ORIG!V2579)</f>
        <v/>
      </c>
      <c r="W2579" s="9">
        <f>IF(ORIG!W2579=0,"",ORIG!W2579)</f>
        <v/>
      </c>
      <c r="X2579" s="9">
        <f>IF(ORIG!X2579=0,"",ORIG!X2579)</f>
        <v/>
      </c>
      <c r="Y2579" s="9">
        <f>IF(ORIG!Y2579=0,"",ORIG!Y2579)</f>
        <v/>
      </c>
      <c r="Z2579" s="3">
        <f>SUMPRODUCT($B2579:$Y2579,$B$2649:$Y$2649)</f>
        <v/>
      </c>
      <c r="AA2579" s="3">
        <f>SUMPRODUCT($B2579:$Y2579,$B$2655:$Y$2655)</f>
        <v/>
      </c>
      <c r="AC2579" s="1">
        <f>A2579</f>
        <v/>
      </c>
      <c r="AD2579">
        <f>IF(ISNUMBER(V2579),V2579*($AB$1/V$2635),"")</f>
        <v/>
      </c>
      <c r="AE2579">
        <f>IF(ISNUMBER(Z2579),Z2579*($AB$1/Z$2635),"")</f>
        <v/>
      </c>
      <c r="AF2579" s="25">
        <f>IF(ISNUMBER(AD2579+AE2579),AD2579+AE2579,"")</f>
        <v/>
      </c>
      <c r="AH2579" s="1">
        <f>A2579</f>
        <v/>
      </c>
      <c r="AI2579">
        <f>IF(ISNUMBER((1+V2579)*AI2578),(1+V2579)*AI2578,AI2578)</f>
        <v/>
      </c>
      <c r="AJ2579">
        <f>IF(ISNUMBER((1+Z2579)*AJ2578),(1+Z2579)*AJ2578,AJ2578)</f>
        <v/>
      </c>
    </row>
    <row r="2580">
      <c r="A2580" s="1" t="n">
        <v>45749</v>
      </c>
      <c r="B2580" s="3">
        <f>IF(ORIG!B2580=0,"",ORIG!B2580)</f>
        <v/>
      </c>
      <c r="C2580" s="3">
        <f>IF(ORIG!C2580=0,"",ORIG!C2580)</f>
        <v/>
      </c>
      <c r="D2580" s="3">
        <f>IF(ORIG!D2580=0,"",ORIG!D2580)</f>
        <v/>
      </c>
      <c r="E2580" s="3">
        <f>IF(ORIG!E2580=0,"",ORIG!E2580)</f>
        <v/>
      </c>
      <c r="F2580" s="3">
        <f>IF(ORIG!F2580=0,"",ORIG!F2580)</f>
        <v/>
      </c>
      <c r="G2580" s="3">
        <f>IF(ORIG!G2580=0,"",ORIG!G2580)</f>
        <v/>
      </c>
      <c r="H2580" s="3">
        <f>IF(ORIG!H2580=0,"",ORIG!H2580)</f>
        <v/>
      </c>
      <c r="I2580" s="3">
        <f>IF(ORIG!I2580=0,"",ORIG!I2580)</f>
        <v/>
      </c>
      <c r="J2580" s="3">
        <f>IF(ORIG!J2580=0,"",ORIG!J2580)</f>
        <v/>
      </c>
      <c r="K2580" s="3">
        <f>IF(ORIG!K2580=0,"",ORIG!K2580)</f>
        <v/>
      </c>
      <c r="L2580" s="3">
        <f>IF(ORIG!L2580=0,"",ORIG!L2580)</f>
        <v/>
      </c>
      <c r="M2580" s="3">
        <f>IF(ORIG!M2580=0,"",ORIG!M2580)</f>
        <v/>
      </c>
      <c r="N2580" s="3">
        <f>IF(ORIG!N2580=0,"",ORIG!N2580)</f>
        <v/>
      </c>
      <c r="O2580" s="3">
        <f>IF(ORIG!O2580=0,"",ORIG!O2580)</f>
        <v/>
      </c>
      <c r="P2580" s="3">
        <f>IF(ORIG!P2580=0,"",ORIG!P2580)</f>
        <v/>
      </c>
      <c r="Q2580" s="3">
        <f>IF(ORIG!Q2580=0,"",ORIG!Q2580)</f>
        <v/>
      </c>
      <c r="R2580" s="3">
        <f>IF(ORIG!R2580=0,"",ORIG!R2580)</f>
        <v/>
      </c>
      <c r="S2580" s="3">
        <f>IF(ORIG!S2580=0,"",ORIG!S2580)</f>
        <v/>
      </c>
      <c r="T2580" s="3">
        <f>IF(ORIG!T2580=0,"",ORIG!T2580)</f>
        <v/>
      </c>
      <c r="U2580" s="3">
        <f>IF(ORIG!U2580=0,"",ORIG!U2580)</f>
        <v/>
      </c>
      <c r="V2580" s="9">
        <f>IF(ORIG!V2580=0,"",ORIG!V2580)</f>
        <v/>
      </c>
      <c r="W2580" s="9">
        <f>IF(ORIG!W2580=0,"",ORIG!W2580)</f>
        <v/>
      </c>
      <c r="X2580" s="9">
        <f>IF(ORIG!X2580=0,"",ORIG!X2580)</f>
        <v/>
      </c>
      <c r="Y2580" s="9">
        <f>IF(ORIG!Y2580=0,"",ORIG!Y2580)</f>
        <v/>
      </c>
      <c r="Z2580" s="3">
        <f>SUMPRODUCT($B2580:$Y2580,$B$2649:$Y$2649)</f>
        <v/>
      </c>
      <c r="AA2580" s="3">
        <f>SUMPRODUCT($B2580:$Y2580,$B$2655:$Y$2655)</f>
        <v/>
      </c>
      <c r="AC2580" s="1">
        <f>A2580</f>
        <v/>
      </c>
      <c r="AD2580">
        <f>IF(ISNUMBER(V2580),V2580*($AB$1/V$2635),"")</f>
        <v/>
      </c>
      <c r="AE2580">
        <f>IF(ISNUMBER(Z2580),Z2580*($AB$1/Z$2635),"")</f>
        <v/>
      </c>
      <c r="AF2580" s="25">
        <f>IF(ISNUMBER(AD2580+AE2580),AD2580+AE2580,"")</f>
        <v/>
      </c>
      <c r="AH2580" s="1">
        <f>A2580</f>
        <v/>
      </c>
      <c r="AI2580">
        <f>IF(ISNUMBER((1+V2580)*AI2579),(1+V2580)*AI2579,AI2579)</f>
        <v/>
      </c>
      <c r="AJ2580">
        <f>IF(ISNUMBER((1+Z2580)*AJ2579),(1+Z2580)*AJ2579,AJ2579)</f>
        <v/>
      </c>
    </row>
    <row r="2581">
      <c r="A2581" s="1" t="n">
        <v>45750</v>
      </c>
      <c r="B2581" s="3">
        <f>IF(ORIG!B2581=0,"",ORIG!B2581)</f>
        <v/>
      </c>
      <c r="C2581" s="3">
        <f>IF(ORIG!C2581=0,"",ORIG!C2581)</f>
        <v/>
      </c>
      <c r="D2581" s="3">
        <f>IF(ORIG!D2581=0,"",ORIG!D2581)</f>
        <v/>
      </c>
      <c r="E2581" s="3">
        <f>IF(ORIG!E2581=0,"",ORIG!E2581)</f>
        <v/>
      </c>
      <c r="F2581" s="3">
        <f>IF(ORIG!F2581=0,"",ORIG!F2581)</f>
        <v/>
      </c>
      <c r="G2581" s="3">
        <f>IF(ORIG!G2581=0,"",ORIG!G2581)</f>
        <v/>
      </c>
      <c r="H2581" s="3">
        <f>IF(ORIG!H2581=0,"",ORIG!H2581)</f>
        <v/>
      </c>
      <c r="I2581" s="3">
        <f>IF(ORIG!I2581=0,"",ORIG!I2581)</f>
        <v/>
      </c>
      <c r="J2581" s="3">
        <f>IF(ORIG!J2581=0,"",ORIG!J2581)</f>
        <v/>
      </c>
      <c r="K2581" s="3">
        <f>IF(ORIG!K2581=0,"",ORIG!K2581)</f>
        <v/>
      </c>
      <c r="L2581" s="3">
        <f>IF(ORIG!L2581=0,"",ORIG!L2581)</f>
        <v/>
      </c>
      <c r="M2581" s="3">
        <f>IF(ORIG!M2581=0,"",ORIG!M2581)</f>
        <v/>
      </c>
      <c r="N2581" s="3">
        <f>IF(ORIG!N2581=0,"",ORIG!N2581)</f>
        <v/>
      </c>
      <c r="O2581" s="3">
        <f>IF(ORIG!O2581=0,"",ORIG!O2581)</f>
        <v/>
      </c>
      <c r="P2581" s="3">
        <f>IF(ORIG!P2581=0,"",ORIG!P2581)</f>
        <v/>
      </c>
      <c r="Q2581" s="3">
        <f>IF(ORIG!Q2581=0,"",ORIG!Q2581)</f>
        <v/>
      </c>
      <c r="R2581" s="3">
        <f>IF(ORIG!R2581=0,"",ORIG!R2581)</f>
        <v/>
      </c>
      <c r="S2581" s="3">
        <f>IF(ORIG!S2581=0,"",ORIG!S2581)</f>
        <v/>
      </c>
      <c r="T2581" s="3">
        <f>IF(ORIG!T2581=0,"",ORIG!T2581)</f>
        <v/>
      </c>
      <c r="U2581" s="3">
        <f>IF(ORIG!U2581=0,"",ORIG!U2581)</f>
        <v/>
      </c>
      <c r="V2581" s="9">
        <f>IF(ORIG!V2581=0,"",ORIG!V2581)</f>
        <v/>
      </c>
      <c r="W2581" s="9">
        <f>IF(ORIG!W2581=0,"",ORIG!W2581)</f>
        <v/>
      </c>
      <c r="X2581" s="9">
        <f>IF(ORIG!X2581=0,"",ORIG!X2581)</f>
        <v/>
      </c>
      <c r="Y2581" s="9">
        <f>IF(ORIG!Y2581=0,"",ORIG!Y2581)</f>
        <v/>
      </c>
      <c r="Z2581" s="3">
        <f>SUMPRODUCT($B2581:$Y2581,$B$2649:$Y$2649)</f>
        <v/>
      </c>
      <c r="AA2581" s="3">
        <f>SUMPRODUCT($B2581:$Y2581,$B$2655:$Y$2655)</f>
        <v/>
      </c>
      <c r="AC2581" s="1">
        <f>A2581</f>
        <v/>
      </c>
      <c r="AD2581">
        <f>IF(ISNUMBER(V2581),V2581*($AB$1/V$2635),"")</f>
        <v/>
      </c>
      <c r="AE2581">
        <f>IF(ISNUMBER(Z2581),Z2581*($AB$1/Z$2635),"")</f>
        <v/>
      </c>
      <c r="AF2581" s="25">
        <f>IF(ISNUMBER(AD2581+AE2581),AD2581+AE2581,"")</f>
        <v/>
      </c>
      <c r="AH2581" s="1">
        <f>A2581</f>
        <v/>
      </c>
      <c r="AI2581">
        <f>IF(ISNUMBER((1+V2581)*AI2580),(1+V2581)*AI2580,AI2580)</f>
        <v/>
      </c>
      <c r="AJ2581">
        <f>IF(ISNUMBER((1+Z2581)*AJ2580),(1+Z2581)*AJ2580,AJ2580)</f>
        <v/>
      </c>
    </row>
    <row r="2582">
      <c r="A2582" s="1" t="n">
        <v>45751</v>
      </c>
      <c r="B2582" s="3">
        <f>IF(ORIG!B2582=0,"",ORIG!B2582)</f>
        <v/>
      </c>
      <c r="C2582" s="3">
        <f>IF(ORIG!C2582=0,"",ORIG!C2582)</f>
        <v/>
      </c>
      <c r="D2582" s="3">
        <f>IF(ORIG!D2582=0,"",ORIG!D2582)</f>
        <v/>
      </c>
      <c r="E2582" s="3">
        <f>IF(ORIG!E2582=0,"",ORIG!E2582)</f>
        <v/>
      </c>
      <c r="F2582" s="3">
        <f>IF(ORIG!F2582=0,"",ORIG!F2582)</f>
        <v/>
      </c>
      <c r="G2582" s="3">
        <f>IF(ORIG!G2582=0,"",ORIG!G2582)</f>
        <v/>
      </c>
      <c r="H2582" s="3">
        <f>IF(ORIG!H2582=0,"",ORIG!H2582)</f>
        <v/>
      </c>
      <c r="I2582" s="3">
        <f>IF(ORIG!I2582=0,"",ORIG!I2582)</f>
        <v/>
      </c>
      <c r="J2582" s="3">
        <f>IF(ORIG!J2582=0,"",ORIG!J2582)</f>
        <v/>
      </c>
      <c r="K2582" s="3">
        <f>IF(ORIG!K2582=0,"",ORIG!K2582)</f>
        <v/>
      </c>
      <c r="L2582" s="3">
        <f>IF(ORIG!L2582=0,"",ORIG!L2582)</f>
        <v/>
      </c>
      <c r="M2582" s="3">
        <f>IF(ORIG!M2582=0,"",ORIG!M2582)</f>
        <v/>
      </c>
      <c r="N2582" s="3">
        <f>IF(ORIG!N2582=0,"",ORIG!N2582)</f>
        <v/>
      </c>
      <c r="O2582" s="3">
        <f>IF(ORIG!O2582=0,"",ORIG!O2582)</f>
        <v/>
      </c>
      <c r="P2582" s="3">
        <f>IF(ORIG!P2582=0,"",ORIG!P2582)</f>
        <v/>
      </c>
      <c r="Q2582" s="3">
        <f>IF(ORIG!Q2582=0,"",ORIG!Q2582)</f>
        <v/>
      </c>
      <c r="R2582" s="3">
        <f>IF(ORIG!R2582=0,"",ORIG!R2582)</f>
        <v/>
      </c>
      <c r="S2582" s="3">
        <f>IF(ORIG!S2582=0,"",ORIG!S2582)</f>
        <v/>
      </c>
      <c r="T2582" s="3">
        <f>IF(ORIG!T2582=0,"",ORIG!T2582)</f>
        <v/>
      </c>
      <c r="U2582" s="3">
        <f>IF(ORIG!U2582=0,"",ORIG!U2582)</f>
        <v/>
      </c>
      <c r="V2582" s="9">
        <f>IF(ORIG!V2582=0,"",ORIG!V2582)</f>
        <v/>
      </c>
      <c r="W2582" s="9">
        <f>IF(ORIG!W2582=0,"",ORIG!W2582)</f>
        <v/>
      </c>
      <c r="X2582" s="9">
        <f>IF(ORIG!X2582=0,"",ORIG!X2582)</f>
        <v/>
      </c>
      <c r="Y2582" s="9">
        <f>IF(ORIG!Y2582=0,"",ORIG!Y2582)</f>
        <v/>
      </c>
      <c r="Z2582" s="3">
        <f>SUMPRODUCT($B2582:$Y2582,$B$2649:$Y$2649)</f>
        <v/>
      </c>
      <c r="AA2582" s="3">
        <f>SUMPRODUCT($B2582:$Y2582,$B$2655:$Y$2655)</f>
        <v/>
      </c>
      <c r="AC2582" s="1">
        <f>A2582</f>
        <v/>
      </c>
      <c r="AD2582">
        <f>IF(ISNUMBER(V2582),V2582*($AB$1/V$2635),"")</f>
        <v/>
      </c>
      <c r="AE2582">
        <f>IF(ISNUMBER(Z2582),Z2582*($AB$1/Z$2635),"")</f>
        <v/>
      </c>
      <c r="AF2582" s="25">
        <f>IF(ISNUMBER(AD2582+AE2582),AD2582+AE2582,"")</f>
        <v/>
      </c>
      <c r="AH2582" s="1">
        <f>A2582</f>
        <v/>
      </c>
      <c r="AI2582">
        <f>IF(ISNUMBER((1+V2582)*AI2581),(1+V2582)*AI2581,AI2581)</f>
        <v/>
      </c>
      <c r="AJ2582">
        <f>IF(ISNUMBER((1+Z2582)*AJ2581),(1+Z2582)*AJ2581,AJ2581)</f>
        <v/>
      </c>
    </row>
    <row r="2583">
      <c r="A2583" s="1" t="n">
        <v>45754</v>
      </c>
      <c r="B2583" s="3">
        <f>IF(ORIG!B2583=0,"",ORIG!B2583)</f>
        <v/>
      </c>
      <c r="C2583" s="3">
        <f>IF(ORIG!C2583=0,"",ORIG!C2583)</f>
        <v/>
      </c>
      <c r="D2583" s="3">
        <f>IF(ORIG!D2583=0,"",ORIG!D2583)</f>
        <v/>
      </c>
      <c r="E2583" s="3">
        <f>IF(ORIG!E2583=0,"",ORIG!E2583)</f>
        <v/>
      </c>
      <c r="F2583" s="3">
        <f>IF(ORIG!F2583=0,"",ORIG!F2583)</f>
        <v/>
      </c>
      <c r="G2583" s="3">
        <f>IF(ORIG!G2583=0,"",ORIG!G2583)</f>
        <v/>
      </c>
      <c r="H2583" s="3">
        <f>IF(ORIG!H2583=0,"",ORIG!H2583)</f>
        <v/>
      </c>
      <c r="I2583" s="3">
        <f>IF(ORIG!I2583=0,"",ORIG!I2583)</f>
        <v/>
      </c>
      <c r="J2583" s="3">
        <f>IF(ORIG!J2583=0,"",ORIG!J2583)</f>
        <v/>
      </c>
      <c r="K2583" s="3">
        <f>IF(ORIG!K2583=0,"",ORIG!K2583)</f>
        <v/>
      </c>
      <c r="L2583" s="3">
        <f>IF(ORIG!L2583=0,"",ORIG!L2583)</f>
        <v/>
      </c>
      <c r="M2583" s="3">
        <f>IF(ORIG!M2583=0,"",ORIG!M2583)</f>
        <v/>
      </c>
      <c r="N2583" s="3">
        <f>IF(ORIG!N2583=0,"",ORIG!N2583)</f>
        <v/>
      </c>
      <c r="O2583" s="3">
        <f>IF(ORIG!O2583=0,"",ORIG!O2583)</f>
        <v/>
      </c>
      <c r="P2583" s="3">
        <f>IF(ORIG!P2583=0,"",ORIG!P2583)</f>
        <v/>
      </c>
      <c r="Q2583" s="3">
        <f>IF(ORIG!Q2583=0,"",ORIG!Q2583)</f>
        <v/>
      </c>
      <c r="R2583" s="3">
        <f>IF(ORIG!R2583=0,"",ORIG!R2583)</f>
        <v/>
      </c>
      <c r="S2583" s="3">
        <f>IF(ORIG!S2583=0,"",ORIG!S2583)</f>
        <v/>
      </c>
      <c r="T2583" s="3">
        <f>IF(ORIG!T2583=0,"",ORIG!T2583)</f>
        <v/>
      </c>
      <c r="U2583" s="3">
        <f>IF(ORIG!U2583=0,"",ORIG!U2583)</f>
        <v/>
      </c>
      <c r="V2583" s="9">
        <f>IF(ORIG!V2583=0,"",ORIG!V2583)</f>
        <v/>
      </c>
      <c r="W2583" s="9">
        <f>IF(ORIG!W2583=0,"",ORIG!W2583)</f>
        <v/>
      </c>
      <c r="X2583" s="9">
        <f>IF(ORIG!X2583=0,"",ORIG!X2583)</f>
        <v/>
      </c>
      <c r="Y2583" s="9">
        <f>IF(ORIG!Y2583=0,"",ORIG!Y2583)</f>
        <v/>
      </c>
      <c r="Z2583" s="3">
        <f>SUMPRODUCT($B2583:$Y2583,$B$2649:$Y$2649)</f>
        <v/>
      </c>
      <c r="AA2583" s="3">
        <f>SUMPRODUCT($B2583:$Y2583,$B$2655:$Y$2655)</f>
        <v/>
      </c>
      <c r="AC2583" s="1">
        <f>A2583</f>
        <v/>
      </c>
      <c r="AD2583">
        <f>IF(ISNUMBER(V2583),V2583*($AB$1/V$2635),"")</f>
        <v/>
      </c>
      <c r="AE2583">
        <f>IF(ISNUMBER(Z2583),Z2583*($AB$1/Z$2635),"")</f>
        <v/>
      </c>
      <c r="AF2583" s="25">
        <f>IF(ISNUMBER(AD2583+AE2583),AD2583+AE2583,"")</f>
        <v/>
      </c>
      <c r="AH2583" s="1">
        <f>A2583</f>
        <v/>
      </c>
      <c r="AI2583">
        <f>IF(ISNUMBER((1+V2583)*AI2582),(1+V2583)*AI2582,AI2582)</f>
        <v/>
      </c>
      <c r="AJ2583">
        <f>IF(ISNUMBER((1+Z2583)*AJ2582),(1+Z2583)*AJ2582,AJ2582)</f>
        <v/>
      </c>
    </row>
    <row r="2584">
      <c r="A2584" s="1" t="n">
        <v>45755</v>
      </c>
      <c r="B2584" s="3">
        <f>IF(ORIG!B2584=0,"",ORIG!B2584)</f>
        <v/>
      </c>
      <c r="C2584" s="3">
        <f>IF(ORIG!C2584=0,"",ORIG!C2584)</f>
        <v/>
      </c>
      <c r="D2584" s="3">
        <f>IF(ORIG!D2584=0,"",ORIG!D2584)</f>
        <v/>
      </c>
      <c r="E2584" s="3">
        <f>IF(ORIG!E2584=0,"",ORIG!E2584)</f>
        <v/>
      </c>
      <c r="F2584" s="3">
        <f>IF(ORIG!F2584=0,"",ORIG!F2584)</f>
        <v/>
      </c>
      <c r="G2584" s="3">
        <f>IF(ORIG!G2584=0,"",ORIG!G2584)</f>
        <v/>
      </c>
      <c r="H2584" s="3">
        <f>IF(ORIG!H2584=0,"",ORIG!H2584)</f>
        <v/>
      </c>
      <c r="I2584" s="3">
        <f>IF(ORIG!I2584=0,"",ORIG!I2584)</f>
        <v/>
      </c>
      <c r="J2584" s="3">
        <f>IF(ORIG!J2584=0,"",ORIG!J2584)</f>
        <v/>
      </c>
      <c r="K2584" s="3">
        <f>IF(ORIG!K2584=0,"",ORIG!K2584)</f>
        <v/>
      </c>
      <c r="L2584" s="3">
        <f>IF(ORIG!L2584=0,"",ORIG!L2584)</f>
        <v/>
      </c>
      <c r="M2584" s="3">
        <f>IF(ORIG!M2584=0,"",ORIG!M2584)</f>
        <v/>
      </c>
      <c r="N2584" s="3">
        <f>IF(ORIG!N2584=0,"",ORIG!N2584)</f>
        <v/>
      </c>
      <c r="O2584" s="3">
        <f>IF(ORIG!O2584=0,"",ORIG!O2584)</f>
        <v/>
      </c>
      <c r="P2584" s="3">
        <f>IF(ORIG!P2584=0,"",ORIG!P2584)</f>
        <v/>
      </c>
      <c r="Q2584" s="3">
        <f>IF(ORIG!Q2584=0,"",ORIG!Q2584)</f>
        <v/>
      </c>
      <c r="R2584" s="3">
        <f>IF(ORIG!R2584=0,"",ORIG!R2584)</f>
        <v/>
      </c>
      <c r="S2584" s="3">
        <f>IF(ORIG!S2584=0,"",ORIG!S2584)</f>
        <v/>
      </c>
      <c r="T2584" s="3">
        <f>IF(ORIG!T2584=0,"",ORIG!T2584)</f>
        <v/>
      </c>
      <c r="U2584" s="3">
        <f>IF(ORIG!U2584=0,"",ORIG!U2584)</f>
        <v/>
      </c>
      <c r="V2584" s="9">
        <f>IF(ORIG!V2584=0,"",ORIG!V2584)</f>
        <v/>
      </c>
      <c r="W2584" s="9">
        <f>IF(ORIG!W2584=0,"",ORIG!W2584)</f>
        <v/>
      </c>
      <c r="X2584" s="9">
        <f>IF(ORIG!X2584=0,"",ORIG!X2584)</f>
        <v/>
      </c>
      <c r="Y2584" s="9">
        <f>IF(ORIG!Y2584=0,"",ORIG!Y2584)</f>
        <v/>
      </c>
      <c r="Z2584" s="3">
        <f>SUMPRODUCT($B2584:$Y2584,$B$2649:$Y$2649)</f>
        <v/>
      </c>
      <c r="AA2584" s="3">
        <f>SUMPRODUCT($B2584:$Y2584,$B$2655:$Y$2655)</f>
        <v/>
      </c>
      <c r="AC2584" s="1">
        <f>A2584</f>
        <v/>
      </c>
      <c r="AD2584">
        <f>IF(ISNUMBER(V2584),V2584*($AB$1/V$2635),"")</f>
        <v/>
      </c>
      <c r="AE2584">
        <f>IF(ISNUMBER(Z2584),Z2584*($AB$1/Z$2635),"")</f>
        <v/>
      </c>
      <c r="AF2584" s="25">
        <f>IF(ISNUMBER(AD2584+AE2584),AD2584+AE2584,"")</f>
        <v/>
      </c>
      <c r="AH2584" s="1">
        <f>A2584</f>
        <v/>
      </c>
      <c r="AI2584">
        <f>IF(ISNUMBER((1+V2584)*AI2583),(1+V2584)*AI2583,AI2583)</f>
        <v/>
      </c>
      <c r="AJ2584">
        <f>IF(ISNUMBER((1+Z2584)*AJ2583),(1+Z2584)*AJ2583,AJ2583)</f>
        <v/>
      </c>
    </row>
    <row r="2585">
      <c r="A2585" s="1" t="n">
        <v>45756</v>
      </c>
      <c r="B2585" s="3">
        <f>IF(ORIG!B2585=0,"",ORIG!B2585)</f>
        <v/>
      </c>
      <c r="C2585" s="3">
        <f>IF(ORIG!C2585=0,"",ORIG!C2585)</f>
        <v/>
      </c>
      <c r="D2585" s="3">
        <f>IF(ORIG!D2585=0,"",ORIG!D2585)</f>
        <v/>
      </c>
      <c r="E2585" s="3">
        <f>IF(ORIG!E2585=0,"",ORIG!E2585)</f>
        <v/>
      </c>
      <c r="F2585" s="3">
        <f>IF(ORIG!F2585=0,"",ORIG!F2585)</f>
        <v/>
      </c>
      <c r="G2585" s="3">
        <f>IF(ORIG!G2585=0,"",ORIG!G2585)</f>
        <v/>
      </c>
      <c r="H2585" s="3">
        <f>IF(ORIG!H2585=0,"",ORIG!H2585)</f>
        <v/>
      </c>
      <c r="I2585" s="3">
        <f>IF(ORIG!I2585=0,"",ORIG!I2585)</f>
        <v/>
      </c>
      <c r="J2585" s="3">
        <f>IF(ORIG!J2585=0,"",ORIG!J2585)</f>
        <v/>
      </c>
      <c r="K2585" s="3">
        <f>IF(ORIG!K2585=0,"",ORIG!K2585)</f>
        <v/>
      </c>
      <c r="L2585" s="3">
        <f>IF(ORIG!L2585=0,"",ORIG!L2585)</f>
        <v/>
      </c>
      <c r="M2585" s="3">
        <f>IF(ORIG!M2585=0,"",ORIG!M2585)</f>
        <v/>
      </c>
      <c r="N2585" s="3">
        <f>IF(ORIG!N2585=0,"",ORIG!N2585)</f>
        <v/>
      </c>
      <c r="O2585" s="3">
        <f>IF(ORIG!O2585=0,"",ORIG!O2585)</f>
        <v/>
      </c>
      <c r="P2585" s="3">
        <f>IF(ORIG!P2585=0,"",ORIG!P2585)</f>
        <v/>
      </c>
      <c r="Q2585" s="3">
        <f>IF(ORIG!Q2585=0,"",ORIG!Q2585)</f>
        <v/>
      </c>
      <c r="R2585" s="3">
        <f>IF(ORIG!R2585=0,"",ORIG!R2585)</f>
        <v/>
      </c>
      <c r="S2585" s="3">
        <f>IF(ORIG!S2585=0,"",ORIG!S2585)</f>
        <v/>
      </c>
      <c r="T2585" s="3">
        <f>IF(ORIG!T2585=0,"",ORIG!T2585)</f>
        <v/>
      </c>
      <c r="U2585" s="3">
        <f>IF(ORIG!U2585=0,"",ORIG!U2585)</f>
        <v/>
      </c>
      <c r="V2585" s="9">
        <f>IF(ORIG!V2585=0,"",ORIG!V2585)</f>
        <v/>
      </c>
      <c r="W2585" s="9">
        <f>IF(ORIG!W2585=0,"",ORIG!W2585)</f>
        <v/>
      </c>
      <c r="X2585" s="9">
        <f>IF(ORIG!X2585=0,"",ORIG!X2585)</f>
        <v/>
      </c>
      <c r="Y2585" s="9">
        <f>IF(ORIG!Y2585=0,"",ORIG!Y2585)</f>
        <v/>
      </c>
      <c r="Z2585" s="3">
        <f>SUMPRODUCT($B2585:$Y2585,$B$2649:$Y$2649)</f>
        <v/>
      </c>
      <c r="AA2585" s="3">
        <f>SUMPRODUCT($B2585:$Y2585,$B$2655:$Y$2655)</f>
        <v/>
      </c>
      <c r="AC2585" s="1">
        <f>A2585</f>
        <v/>
      </c>
      <c r="AD2585">
        <f>IF(ISNUMBER(V2585),V2585*($AB$1/V$2635),"")</f>
        <v/>
      </c>
      <c r="AE2585">
        <f>IF(ISNUMBER(Z2585),Z2585*($AB$1/Z$2635),"")</f>
        <v/>
      </c>
      <c r="AF2585" s="25">
        <f>IF(ISNUMBER(AD2585+AE2585),AD2585+AE2585,"")</f>
        <v/>
      </c>
      <c r="AH2585" s="1">
        <f>A2585</f>
        <v/>
      </c>
      <c r="AI2585">
        <f>IF(ISNUMBER((1+V2585)*AI2584),(1+V2585)*AI2584,AI2584)</f>
        <v/>
      </c>
      <c r="AJ2585">
        <f>IF(ISNUMBER((1+Z2585)*AJ2584),(1+Z2585)*AJ2584,AJ2584)</f>
        <v/>
      </c>
    </row>
    <row r="2586">
      <c r="A2586" s="1" t="n">
        <v>45757</v>
      </c>
      <c r="B2586" s="3">
        <f>IF(ORIG!B2586=0,"",ORIG!B2586)</f>
        <v/>
      </c>
      <c r="C2586" s="3">
        <f>IF(ORIG!C2586=0,"",ORIG!C2586)</f>
        <v/>
      </c>
      <c r="D2586" s="3">
        <f>IF(ORIG!D2586=0,"",ORIG!D2586)</f>
        <v/>
      </c>
      <c r="E2586" s="3">
        <f>IF(ORIG!E2586=0,"",ORIG!E2586)</f>
        <v/>
      </c>
      <c r="F2586" s="3">
        <f>IF(ORIG!F2586=0,"",ORIG!F2586)</f>
        <v/>
      </c>
      <c r="G2586" s="3">
        <f>IF(ORIG!G2586=0,"",ORIG!G2586)</f>
        <v/>
      </c>
      <c r="H2586" s="3">
        <f>IF(ORIG!H2586=0,"",ORIG!H2586)</f>
        <v/>
      </c>
      <c r="I2586" s="3">
        <f>IF(ORIG!I2586=0,"",ORIG!I2586)</f>
        <v/>
      </c>
      <c r="J2586" s="3">
        <f>IF(ORIG!J2586=0,"",ORIG!J2586)</f>
        <v/>
      </c>
      <c r="K2586" s="3">
        <f>IF(ORIG!K2586=0,"",ORIG!K2586)</f>
        <v/>
      </c>
      <c r="L2586" s="3">
        <f>IF(ORIG!L2586=0,"",ORIG!L2586)</f>
        <v/>
      </c>
      <c r="M2586" s="3">
        <f>IF(ORIG!M2586=0,"",ORIG!M2586)</f>
        <v/>
      </c>
      <c r="N2586" s="3">
        <f>IF(ORIG!N2586=0,"",ORIG!N2586)</f>
        <v/>
      </c>
      <c r="O2586" s="3">
        <f>IF(ORIG!O2586=0,"",ORIG!O2586)</f>
        <v/>
      </c>
      <c r="P2586" s="3">
        <f>IF(ORIG!P2586=0,"",ORIG!P2586)</f>
        <v/>
      </c>
      <c r="Q2586" s="3">
        <f>IF(ORIG!Q2586=0,"",ORIG!Q2586)</f>
        <v/>
      </c>
      <c r="R2586" s="3">
        <f>IF(ORIG!R2586=0,"",ORIG!R2586)</f>
        <v/>
      </c>
      <c r="S2586" s="3">
        <f>IF(ORIG!S2586=0,"",ORIG!S2586)</f>
        <v/>
      </c>
      <c r="T2586" s="3">
        <f>IF(ORIG!T2586=0,"",ORIG!T2586)</f>
        <v/>
      </c>
      <c r="U2586" s="3">
        <f>IF(ORIG!U2586=0,"",ORIG!U2586)</f>
        <v/>
      </c>
      <c r="V2586" s="9">
        <f>IF(ORIG!V2586=0,"",ORIG!V2586)</f>
        <v/>
      </c>
      <c r="W2586" s="9">
        <f>IF(ORIG!W2586=0,"",ORIG!W2586)</f>
        <v/>
      </c>
      <c r="X2586" s="9">
        <f>IF(ORIG!X2586=0,"",ORIG!X2586)</f>
        <v/>
      </c>
      <c r="Y2586" s="9">
        <f>IF(ORIG!Y2586=0,"",ORIG!Y2586)</f>
        <v/>
      </c>
      <c r="Z2586" s="3">
        <f>SUMPRODUCT($B2586:$Y2586,$B$2649:$Y$2649)</f>
        <v/>
      </c>
      <c r="AA2586" s="3">
        <f>SUMPRODUCT($B2586:$Y2586,$B$2655:$Y$2655)</f>
        <v/>
      </c>
      <c r="AC2586" s="1">
        <f>A2586</f>
        <v/>
      </c>
      <c r="AD2586">
        <f>IF(ISNUMBER(V2586),V2586*($AB$1/V$2635),"")</f>
        <v/>
      </c>
      <c r="AE2586">
        <f>IF(ISNUMBER(Z2586),Z2586*($AB$1/Z$2635),"")</f>
        <v/>
      </c>
      <c r="AF2586" s="25">
        <f>IF(ISNUMBER(AD2586+AE2586),AD2586+AE2586,"")</f>
        <v/>
      </c>
      <c r="AH2586" s="1">
        <f>A2586</f>
        <v/>
      </c>
      <c r="AI2586">
        <f>IF(ISNUMBER((1+V2586)*AI2585),(1+V2586)*AI2585,AI2585)</f>
        <v/>
      </c>
      <c r="AJ2586">
        <f>IF(ISNUMBER((1+Z2586)*AJ2585),(1+Z2586)*AJ2585,AJ2585)</f>
        <v/>
      </c>
    </row>
    <row r="2587">
      <c r="A2587" s="1" t="n">
        <v>45758</v>
      </c>
      <c r="B2587" s="3">
        <f>IF(ORIG!B2587=0,"",ORIG!B2587)</f>
        <v/>
      </c>
      <c r="C2587" s="3">
        <f>IF(ORIG!C2587=0,"",ORIG!C2587)</f>
        <v/>
      </c>
      <c r="D2587" s="3">
        <f>IF(ORIG!D2587=0,"",ORIG!D2587)</f>
        <v/>
      </c>
      <c r="E2587" s="3">
        <f>IF(ORIG!E2587=0,"",ORIG!E2587)</f>
        <v/>
      </c>
      <c r="F2587" s="3">
        <f>IF(ORIG!F2587=0,"",ORIG!F2587)</f>
        <v/>
      </c>
      <c r="G2587" s="3">
        <f>IF(ORIG!G2587=0,"",ORIG!G2587)</f>
        <v/>
      </c>
      <c r="H2587" s="3">
        <f>IF(ORIG!H2587=0,"",ORIG!H2587)</f>
        <v/>
      </c>
      <c r="I2587" s="3">
        <f>IF(ORIG!I2587=0,"",ORIG!I2587)</f>
        <v/>
      </c>
      <c r="J2587" s="3">
        <f>IF(ORIG!J2587=0,"",ORIG!J2587)</f>
        <v/>
      </c>
      <c r="K2587" s="3">
        <f>IF(ORIG!K2587=0,"",ORIG!K2587)</f>
        <v/>
      </c>
      <c r="L2587" s="3">
        <f>IF(ORIG!L2587=0,"",ORIG!L2587)</f>
        <v/>
      </c>
      <c r="M2587" s="3">
        <f>IF(ORIG!M2587=0,"",ORIG!M2587)</f>
        <v/>
      </c>
      <c r="N2587" s="3">
        <f>IF(ORIG!N2587=0,"",ORIG!N2587)</f>
        <v/>
      </c>
      <c r="O2587" s="3">
        <f>IF(ORIG!O2587=0,"",ORIG!O2587)</f>
        <v/>
      </c>
      <c r="P2587" s="3">
        <f>IF(ORIG!P2587=0,"",ORIG!P2587)</f>
        <v/>
      </c>
      <c r="Q2587" s="3">
        <f>IF(ORIG!Q2587=0,"",ORIG!Q2587)</f>
        <v/>
      </c>
      <c r="R2587" s="3">
        <f>IF(ORIG!R2587=0,"",ORIG!R2587)</f>
        <v/>
      </c>
      <c r="S2587" s="3">
        <f>IF(ORIG!S2587=0,"",ORIG!S2587)</f>
        <v/>
      </c>
      <c r="T2587" s="3">
        <f>IF(ORIG!T2587=0,"",ORIG!T2587)</f>
        <v/>
      </c>
      <c r="U2587" s="3">
        <f>IF(ORIG!U2587=0,"",ORIG!U2587)</f>
        <v/>
      </c>
      <c r="V2587" s="9">
        <f>IF(ORIG!V2587=0,"",ORIG!V2587)</f>
        <v/>
      </c>
      <c r="W2587" s="9">
        <f>IF(ORIG!W2587=0,"",ORIG!W2587)</f>
        <v/>
      </c>
      <c r="X2587" s="9">
        <f>IF(ORIG!X2587=0,"",ORIG!X2587)</f>
        <v/>
      </c>
      <c r="Y2587" s="9">
        <f>IF(ORIG!Y2587=0,"",ORIG!Y2587)</f>
        <v/>
      </c>
      <c r="Z2587" s="3">
        <f>SUMPRODUCT($B2587:$Y2587,$B$2649:$Y$2649)</f>
        <v/>
      </c>
      <c r="AA2587" s="3">
        <f>SUMPRODUCT($B2587:$Y2587,$B$2655:$Y$2655)</f>
        <v/>
      </c>
      <c r="AC2587" s="1">
        <f>A2587</f>
        <v/>
      </c>
      <c r="AD2587">
        <f>IF(ISNUMBER(V2587),V2587*($AB$1/V$2635),"")</f>
        <v/>
      </c>
      <c r="AE2587">
        <f>IF(ISNUMBER(Z2587),Z2587*($AB$1/Z$2635),"")</f>
        <v/>
      </c>
      <c r="AF2587" s="25">
        <f>IF(ISNUMBER(AD2587+AE2587),AD2587+AE2587,"")</f>
        <v/>
      </c>
      <c r="AH2587" s="1">
        <f>A2587</f>
        <v/>
      </c>
      <c r="AI2587">
        <f>IF(ISNUMBER((1+V2587)*AI2586),(1+V2587)*AI2586,AI2586)</f>
        <v/>
      </c>
      <c r="AJ2587">
        <f>IF(ISNUMBER((1+Z2587)*AJ2586),(1+Z2587)*AJ2586,AJ2586)</f>
        <v/>
      </c>
    </row>
    <row r="2588">
      <c r="A2588" s="1" t="n">
        <v>45761</v>
      </c>
      <c r="B2588" s="3">
        <f>IF(ORIG!B2588=0,"",ORIG!B2588)</f>
        <v/>
      </c>
      <c r="C2588" s="3">
        <f>IF(ORIG!C2588=0,"",ORIG!C2588)</f>
        <v/>
      </c>
      <c r="D2588" s="3">
        <f>IF(ORIG!D2588=0,"",ORIG!D2588)</f>
        <v/>
      </c>
      <c r="E2588" s="3">
        <f>IF(ORIG!E2588=0,"",ORIG!E2588)</f>
        <v/>
      </c>
      <c r="F2588" s="3">
        <f>IF(ORIG!F2588=0,"",ORIG!F2588)</f>
        <v/>
      </c>
      <c r="G2588" s="3">
        <f>IF(ORIG!G2588=0,"",ORIG!G2588)</f>
        <v/>
      </c>
      <c r="H2588" s="3">
        <f>IF(ORIG!H2588=0,"",ORIG!H2588)</f>
        <v/>
      </c>
      <c r="I2588" s="3">
        <f>IF(ORIG!I2588=0,"",ORIG!I2588)</f>
        <v/>
      </c>
      <c r="J2588" s="3">
        <f>IF(ORIG!J2588=0,"",ORIG!J2588)</f>
        <v/>
      </c>
      <c r="K2588" s="3">
        <f>IF(ORIG!K2588=0,"",ORIG!K2588)</f>
        <v/>
      </c>
      <c r="L2588" s="3">
        <f>IF(ORIG!L2588=0,"",ORIG!L2588)</f>
        <v/>
      </c>
      <c r="M2588" s="3">
        <f>IF(ORIG!M2588=0,"",ORIG!M2588)</f>
        <v/>
      </c>
      <c r="N2588" s="3">
        <f>IF(ORIG!N2588=0,"",ORIG!N2588)</f>
        <v/>
      </c>
      <c r="O2588" s="3">
        <f>IF(ORIG!O2588=0,"",ORIG!O2588)</f>
        <v/>
      </c>
      <c r="P2588" s="3">
        <f>IF(ORIG!P2588=0,"",ORIG!P2588)</f>
        <v/>
      </c>
      <c r="Q2588" s="3">
        <f>IF(ORIG!Q2588=0,"",ORIG!Q2588)</f>
        <v/>
      </c>
      <c r="R2588" s="3">
        <f>IF(ORIG!R2588=0,"",ORIG!R2588)</f>
        <v/>
      </c>
      <c r="S2588" s="3">
        <f>IF(ORIG!S2588=0,"",ORIG!S2588)</f>
        <v/>
      </c>
      <c r="T2588" s="3">
        <f>IF(ORIG!T2588=0,"",ORIG!T2588)</f>
        <v/>
      </c>
      <c r="U2588" s="3">
        <f>IF(ORIG!U2588=0,"",ORIG!U2588)</f>
        <v/>
      </c>
      <c r="V2588" s="9">
        <f>IF(ORIG!V2588=0,"",ORIG!V2588)</f>
        <v/>
      </c>
      <c r="W2588" s="9">
        <f>IF(ORIG!W2588=0,"",ORIG!W2588)</f>
        <v/>
      </c>
      <c r="X2588" s="9">
        <f>IF(ORIG!X2588=0,"",ORIG!X2588)</f>
        <v/>
      </c>
      <c r="Y2588" s="9">
        <f>IF(ORIG!Y2588=0,"",ORIG!Y2588)</f>
        <v/>
      </c>
      <c r="Z2588" s="3">
        <f>SUMPRODUCT($B2588:$Y2588,$B$2649:$Y$2649)</f>
        <v/>
      </c>
      <c r="AA2588" s="3">
        <f>SUMPRODUCT($B2588:$Y2588,$B$2655:$Y$2655)</f>
        <v/>
      </c>
      <c r="AC2588" s="1">
        <f>A2588</f>
        <v/>
      </c>
      <c r="AD2588">
        <f>IF(ISNUMBER(V2588),V2588*($AB$1/V$2635),"")</f>
        <v/>
      </c>
      <c r="AE2588">
        <f>IF(ISNUMBER(Z2588),Z2588*($AB$1/Z$2635),"")</f>
        <v/>
      </c>
      <c r="AF2588" s="25">
        <f>IF(ISNUMBER(AD2588+AE2588),AD2588+AE2588,"")</f>
        <v/>
      </c>
      <c r="AH2588" s="1">
        <f>A2588</f>
        <v/>
      </c>
      <c r="AI2588">
        <f>IF(ISNUMBER((1+V2588)*AI2587),(1+V2588)*AI2587,AI2587)</f>
        <v/>
      </c>
      <c r="AJ2588">
        <f>IF(ISNUMBER((1+Z2588)*AJ2587),(1+Z2588)*AJ2587,AJ2587)</f>
        <v/>
      </c>
    </row>
    <row r="2589">
      <c r="A2589" s="1" t="n">
        <v>45762</v>
      </c>
      <c r="B2589" s="3">
        <f>IF(ORIG!B2589=0,"",ORIG!B2589)</f>
        <v/>
      </c>
      <c r="C2589" s="3">
        <f>IF(ORIG!C2589=0,"",ORIG!C2589)</f>
        <v/>
      </c>
      <c r="D2589" s="3">
        <f>IF(ORIG!D2589=0,"",ORIG!D2589)</f>
        <v/>
      </c>
      <c r="E2589" s="3">
        <f>IF(ORIG!E2589=0,"",ORIG!E2589)</f>
        <v/>
      </c>
      <c r="F2589" s="3">
        <f>IF(ORIG!F2589=0,"",ORIG!F2589)</f>
        <v/>
      </c>
      <c r="G2589" s="3">
        <f>IF(ORIG!G2589=0,"",ORIG!G2589)</f>
        <v/>
      </c>
      <c r="H2589" s="3">
        <f>IF(ORIG!H2589=0,"",ORIG!H2589)</f>
        <v/>
      </c>
      <c r="I2589" s="3">
        <f>IF(ORIG!I2589=0,"",ORIG!I2589)</f>
        <v/>
      </c>
      <c r="J2589" s="3">
        <f>IF(ORIG!J2589=0,"",ORIG!J2589)</f>
        <v/>
      </c>
      <c r="K2589" s="3">
        <f>IF(ORIG!K2589=0,"",ORIG!K2589)</f>
        <v/>
      </c>
      <c r="L2589" s="3">
        <f>IF(ORIG!L2589=0,"",ORIG!L2589)</f>
        <v/>
      </c>
      <c r="M2589" s="3">
        <f>IF(ORIG!M2589=0,"",ORIG!M2589)</f>
        <v/>
      </c>
      <c r="N2589" s="3">
        <f>IF(ORIG!N2589=0,"",ORIG!N2589)</f>
        <v/>
      </c>
      <c r="O2589" s="3">
        <f>IF(ORIG!O2589=0,"",ORIG!O2589)</f>
        <v/>
      </c>
      <c r="P2589" s="3">
        <f>IF(ORIG!P2589=0,"",ORIG!P2589)</f>
        <v/>
      </c>
      <c r="Q2589" s="3">
        <f>IF(ORIG!Q2589=0,"",ORIG!Q2589)</f>
        <v/>
      </c>
      <c r="R2589" s="3">
        <f>IF(ORIG!R2589=0,"",ORIG!R2589)</f>
        <v/>
      </c>
      <c r="S2589" s="3">
        <f>IF(ORIG!S2589=0,"",ORIG!S2589)</f>
        <v/>
      </c>
      <c r="T2589" s="3">
        <f>IF(ORIG!T2589=0,"",ORIG!T2589)</f>
        <v/>
      </c>
      <c r="U2589" s="3">
        <f>IF(ORIG!U2589=0,"",ORIG!U2589)</f>
        <v/>
      </c>
      <c r="V2589" s="9">
        <f>IF(ORIG!V2589=0,"",ORIG!V2589)</f>
        <v/>
      </c>
      <c r="W2589" s="9">
        <f>IF(ORIG!W2589=0,"",ORIG!W2589)</f>
        <v/>
      </c>
      <c r="X2589" s="9">
        <f>IF(ORIG!X2589=0,"",ORIG!X2589)</f>
        <v/>
      </c>
      <c r="Y2589" s="9">
        <f>IF(ORIG!Y2589=0,"",ORIG!Y2589)</f>
        <v/>
      </c>
      <c r="Z2589" s="3">
        <f>SUMPRODUCT($B2589:$Y2589,$B$2649:$Y$2649)</f>
        <v/>
      </c>
      <c r="AA2589" s="3">
        <f>SUMPRODUCT($B2589:$Y2589,$B$2655:$Y$2655)</f>
        <v/>
      </c>
      <c r="AC2589" s="1">
        <f>A2589</f>
        <v/>
      </c>
      <c r="AD2589">
        <f>IF(ISNUMBER(V2589),V2589*($AB$1/V$2635),"")</f>
        <v/>
      </c>
      <c r="AE2589">
        <f>IF(ISNUMBER(Z2589),Z2589*($AB$1/Z$2635),"")</f>
        <v/>
      </c>
      <c r="AF2589" s="25">
        <f>IF(ISNUMBER(AD2589+AE2589),AD2589+AE2589,"")</f>
        <v/>
      </c>
      <c r="AH2589" s="1">
        <f>A2589</f>
        <v/>
      </c>
      <c r="AI2589">
        <f>IF(ISNUMBER((1+V2589)*AI2588),(1+V2589)*AI2588,AI2588)</f>
        <v/>
      </c>
      <c r="AJ2589">
        <f>IF(ISNUMBER((1+Z2589)*AJ2588),(1+Z2589)*AJ2588,AJ2588)</f>
        <v/>
      </c>
    </row>
    <row r="2590">
      <c r="A2590" s="1" t="n">
        <v>45763</v>
      </c>
      <c r="B2590" s="3">
        <f>IF(ORIG!B2590=0,"",ORIG!B2590)</f>
        <v/>
      </c>
      <c r="C2590" s="3">
        <f>IF(ORIG!C2590=0,"",ORIG!C2590)</f>
        <v/>
      </c>
      <c r="D2590" s="3">
        <f>IF(ORIG!D2590=0,"",ORIG!D2590)</f>
        <v/>
      </c>
      <c r="E2590" s="3">
        <f>IF(ORIG!E2590=0,"",ORIG!E2590)</f>
        <v/>
      </c>
      <c r="F2590" s="3">
        <f>IF(ORIG!F2590=0,"",ORIG!F2590)</f>
        <v/>
      </c>
      <c r="G2590" s="3">
        <f>IF(ORIG!G2590=0,"",ORIG!G2590)</f>
        <v/>
      </c>
      <c r="H2590" s="3">
        <f>IF(ORIG!H2590=0,"",ORIG!H2590)</f>
        <v/>
      </c>
      <c r="I2590" s="3">
        <f>IF(ORIG!I2590=0,"",ORIG!I2590)</f>
        <v/>
      </c>
      <c r="J2590" s="3">
        <f>IF(ORIG!J2590=0,"",ORIG!J2590)</f>
        <v/>
      </c>
      <c r="K2590" s="3">
        <f>IF(ORIG!K2590=0,"",ORIG!K2590)</f>
        <v/>
      </c>
      <c r="L2590" s="3">
        <f>IF(ORIG!L2590=0,"",ORIG!L2590)</f>
        <v/>
      </c>
      <c r="M2590" s="3">
        <f>IF(ORIG!M2590=0,"",ORIG!M2590)</f>
        <v/>
      </c>
      <c r="N2590" s="3">
        <f>IF(ORIG!N2590=0,"",ORIG!N2590)</f>
        <v/>
      </c>
      <c r="O2590" s="3">
        <f>IF(ORIG!O2590=0,"",ORIG!O2590)</f>
        <v/>
      </c>
      <c r="P2590" s="3">
        <f>IF(ORIG!P2590=0,"",ORIG!P2590)</f>
        <v/>
      </c>
      <c r="Q2590" s="3">
        <f>IF(ORIG!Q2590=0,"",ORIG!Q2590)</f>
        <v/>
      </c>
      <c r="R2590" s="3">
        <f>IF(ORIG!R2590=0,"",ORIG!R2590)</f>
        <v/>
      </c>
      <c r="S2590" s="3">
        <f>IF(ORIG!S2590=0,"",ORIG!S2590)</f>
        <v/>
      </c>
      <c r="T2590" s="3">
        <f>IF(ORIG!T2590=0,"",ORIG!T2590)</f>
        <v/>
      </c>
      <c r="U2590" s="3">
        <f>IF(ORIG!U2590=0,"",ORIG!U2590)</f>
        <v/>
      </c>
      <c r="V2590" s="9">
        <f>IF(ORIG!V2590=0,"",ORIG!V2590)</f>
        <v/>
      </c>
      <c r="W2590" s="9">
        <f>IF(ORIG!W2590=0,"",ORIG!W2590)</f>
        <v/>
      </c>
      <c r="X2590" s="9">
        <f>IF(ORIG!X2590=0,"",ORIG!X2590)</f>
        <v/>
      </c>
      <c r="Y2590" s="9">
        <f>IF(ORIG!Y2590=0,"",ORIG!Y2590)</f>
        <v/>
      </c>
      <c r="Z2590" s="3">
        <f>SUMPRODUCT($B2590:$Y2590,$B$2649:$Y$2649)</f>
        <v/>
      </c>
      <c r="AA2590" s="3">
        <f>SUMPRODUCT($B2590:$Y2590,$B$2655:$Y$2655)</f>
        <v/>
      </c>
      <c r="AC2590" s="1">
        <f>A2590</f>
        <v/>
      </c>
      <c r="AD2590">
        <f>IF(ISNUMBER(V2590),V2590*($AB$1/V$2635),"")</f>
        <v/>
      </c>
      <c r="AE2590">
        <f>IF(ISNUMBER(Z2590),Z2590*($AB$1/Z$2635),"")</f>
        <v/>
      </c>
      <c r="AF2590" s="25">
        <f>IF(ISNUMBER(AD2590+AE2590),AD2590+AE2590,"")</f>
        <v/>
      </c>
      <c r="AH2590" s="1">
        <f>A2590</f>
        <v/>
      </c>
      <c r="AI2590">
        <f>IF(ISNUMBER((1+V2590)*AI2589),(1+V2590)*AI2589,AI2589)</f>
        <v/>
      </c>
      <c r="AJ2590">
        <f>IF(ISNUMBER((1+Z2590)*AJ2589),(1+Z2590)*AJ2589,AJ2589)</f>
        <v/>
      </c>
    </row>
    <row r="2591">
      <c r="A2591" s="1" t="n">
        <v>45764</v>
      </c>
      <c r="B2591" s="3">
        <f>IF(ORIG!B2591=0,"",ORIG!B2591)</f>
        <v/>
      </c>
      <c r="C2591" s="3">
        <f>IF(ORIG!C2591=0,"",ORIG!C2591)</f>
        <v/>
      </c>
      <c r="D2591" s="3">
        <f>IF(ORIG!D2591=0,"",ORIG!D2591)</f>
        <v/>
      </c>
      <c r="E2591" s="3">
        <f>IF(ORIG!E2591=0,"",ORIG!E2591)</f>
        <v/>
      </c>
      <c r="F2591" s="3">
        <f>IF(ORIG!F2591=0,"",ORIG!F2591)</f>
        <v/>
      </c>
      <c r="G2591" s="3">
        <f>IF(ORIG!G2591=0,"",ORIG!G2591)</f>
        <v/>
      </c>
      <c r="H2591" s="3">
        <f>IF(ORIG!H2591=0,"",ORIG!H2591)</f>
        <v/>
      </c>
      <c r="I2591" s="3">
        <f>IF(ORIG!I2591=0,"",ORIG!I2591)</f>
        <v/>
      </c>
      <c r="J2591" s="3">
        <f>IF(ORIG!J2591=0,"",ORIG!J2591)</f>
        <v/>
      </c>
      <c r="K2591" s="3">
        <f>IF(ORIG!K2591=0,"",ORIG!K2591)</f>
        <v/>
      </c>
      <c r="L2591" s="3">
        <f>IF(ORIG!L2591=0,"",ORIG!L2591)</f>
        <v/>
      </c>
      <c r="M2591" s="3">
        <f>IF(ORIG!M2591=0,"",ORIG!M2591)</f>
        <v/>
      </c>
      <c r="N2591" s="3">
        <f>IF(ORIG!N2591=0,"",ORIG!N2591)</f>
        <v/>
      </c>
      <c r="O2591" s="3">
        <f>IF(ORIG!O2591=0,"",ORIG!O2591)</f>
        <v/>
      </c>
      <c r="P2591" s="3">
        <f>IF(ORIG!P2591=0,"",ORIG!P2591)</f>
        <v/>
      </c>
      <c r="Q2591" s="3">
        <f>IF(ORIG!Q2591=0,"",ORIG!Q2591)</f>
        <v/>
      </c>
      <c r="R2591" s="3">
        <f>IF(ORIG!R2591=0,"",ORIG!R2591)</f>
        <v/>
      </c>
      <c r="S2591" s="3">
        <f>IF(ORIG!S2591=0,"",ORIG!S2591)</f>
        <v/>
      </c>
      <c r="T2591" s="3">
        <f>IF(ORIG!T2591=0,"",ORIG!T2591)</f>
        <v/>
      </c>
      <c r="U2591" s="3">
        <f>IF(ORIG!U2591=0,"",ORIG!U2591)</f>
        <v/>
      </c>
      <c r="V2591" s="9">
        <f>IF(ORIG!V2591=0,"",ORIG!V2591)</f>
        <v/>
      </c>
      <c r="W2591" s="9">
        <f>IF(ORIG!W2591=0,"",ORIG!W2591)</f>
        <v/>
      </c>
      <c r="X2591" s="9">
        <f>IF(ORIG!X2591=0,"",ORIG!X2591)</f>
        <v/>
      </c>
      <c r="Y2591" s="9">
        <f>IF(ORIG!Y2591=0,"",ORIG!Y2591)</f>
        <v/>
      </c>
      <c r="Z2591" s="3">
        <f>SUMPRODUCT($B2591:$Y2591,$B$2649:$Y$2649)</f>
        <v/>
      </c>
      <c r="AA2591" s="3">
        <f>SUMPRODUCT($B2591:$Y2591,$B$2655:$Y$2655)</f>
        <v/>
      </c>
      <c r="AC2591" s="1">
        <f>A2591</f>
        <v/>
      </c>
      <c r="AD2591">
        <f>IF(ISNUMBER(V2591),V2591*($AB$1/V$2635),"")</f>
        <v/>
      </c>
      <c r="AE2591">
        <f>IF(ISNUMBER(Z2591),Z2591*($AB$1/Z$2635),"")</f>
        <v/>
      </c>
      <c r="AF2591" s="25">
        <f>IF(ISNUMBER(AD2591+AE2591),AD2591+AE2591,"")</f>
        <v/>
      </c>
      <c r="AH2591" s="1">
        <f>A2591</f>
        <v/>
      </c>
      <c r="AI2591">
        <f>IF(ISNUMBER((1+V2591)*AI2590),(1+V2591)*AI2590,AI2590)</f>
        <v/>
      </c>
      <c r="AJ2591">
        <f>IF(ISNUMBER((1+Z2591)*AJ2590),(1+Z2591)*AJ2590,AJ2590)</f>
        <v/>
      </c>
    </row>
    <row r="2592">
      <c r="A2592" s="1" t="n">
        <v>45768</v>
      </c>
      <c r="B2592" s="3">
        <f>IF(ORIG!B2592=0,"",ORIG!B2592)</f>
        <v/>
      </c>
      <c r="C2592" s="3">
        <f>IF(ORIG!C2592=0,"",ORIG!C2592)</f>
        <v/>
      </c>
      <c r="D2592" s="3">
        <f>IF(ORIG!D2592=0,"",ORIG!D2592)</f>
        <v/>
      </c>
      <c r="E2592" s="3">
        <f>IF(ORIG!E2592=0,"",ORIG!E2592)</f>
        <v/>
      </c>
      <c r="F2592" s="3">
        <f>IF(ORIG!F2592=0,"",ORIG!F2592)</f>
        <v/>
      </c>
      <c r="G2592" s="3">
        <f>IF(ORIG!G2592=0,"",ORIG!G2592)</f>
        <v/>
      </c>
      <c r="H2592" s="3">
        <f>IF(ORIG!H2592=0,"",ORIG!H2592)</f>
        <v/>
      </c>
      <c r="I2592" s="3">
        <f>IF(ORIG!I2592=0,"",ORIG!I2592)</f>
        <v/>
      </c>
      <c r="J2592" s="3">
        <f>IF(ORIG!J2592=0,"",ORIG!J2592)</f>
        <v/>
      </c>
      <c r="K2592" s="3">
        <f>IF(ORIG!K2592=0,"",ORIG!K2592)</f>
        <v/>
      </c>
      <c r="L2592" s="3">
        <f>IF(ORIG!L2592=0,"",ORIG!L2592)</f>
        <v/>
      </c>
      <c r="M2592" s="3">
        <f>IF(ORIG!M2592=0,"",ORIG!M2592)</f>
        <v/>
      </c>
      <c r="N2592" s="3">
        <f>IF(ORIG!N2592=0,"",ORIG!N2592)</f>
        <v/>
      </c>
      <c r="O2592" s="3">
        <f>IF(ORIG!O2592=0,"",ORIG!O2592)</f>
        <v/>
      </c>
      <c r="P2592" s="3">
        <f>IF(ORIG!P2592=0,"",ORIG!P2592)</f>
        <v/>
      </c>
      <c r="Q2592" s="3">
        <f>IF(ORIG!Q2592=0,"",ORIG!Q2592)</f>
        <v/>
      </c>
      <c r="R2592" s="3">
        <f>IF(ORIG!R2592=0,"",ORIG!R2592)</f>
        <v/>
      </c>
      <c r="S2592" s="3">
        <f>IF(ORIG!S2592=0,"",ORIG!S2592)</f>
        <v/>
      </c>
      <c r="T2592" s="3">
        <f>IF(ORIG!T2592=0,"",ORIG!T2592)</f>
        <v/>
      </c>
      <c r="U2592" s="3">
        <f>IF(ORIG!U2592=0,"",ORIG!U2592)</f>
        <v/>
      </c>
      <c r="V2592" s="9">
        <f>IF(ORIG!V2592=0,"",ORIG!V2592)</f>
        <v/>
      </c>
      <c r="W2592" s="9">
        <f>IF(ORIG!W2592=0,"",ORIG!W2592)</f>
        <v/>
      </c>
      <c r="X2592" s="9">
        <f>IF(ORIG!X2592=0,"",ORIG!X2592)</f>
        <v/>
      </c>
      <c r="Y2592" s="9">
        <f>IF(ORIG!Y2592=0,"",ORIG!Y2592)</f>
        <v/>
      </c>
      <c r="Z2592" s="3">
        <f>SUMPRODUCT($B2592:$Y2592,$B$2649:$Y$2649)</f>
        <v/>
      </c>
      <c r="AA2592" s="3">
        <f>SUMPRODUCT($B2592:$Y2592,$B$2655:$Y$2655)</f>
        <v/>
      </c>
      <c r="AC2592" s="1">
        <f>A2592</f>
        <v/>
      </c>
      <c r="AD2592">
        <f>IF(ISNUMBER(V2592),V2592*($AB$1/V$2635),"")</f>
        <v/>
      </c>
      <c r="AE2592">
        <f>IF(ISNUMBER(Z2592),Z2592*($AB$1/Z$2635),"")</f>
        <v/>
      </c>
      <c r="AF2592" s="25">
        <f>IF(ISNUMBER(AD2592+AE2592),AD2592+AE2592,"")</f>
        <v/>
      </c>
      <c r="AH2592" s="1">
        <f>A2592</f>
        <v/>
      </c>
      <c r="AI2592">
        <f>IF(ISNUMBER((1+V2592)*AI2591),(1+V2592)*AI2591,AI2591)</f>
        <v/>
      </c>
      <c r="AJ2592">
        <f>IF(ISNUMBER((1+Z2592)*AJ2591),(1+Z2592)*AJ2591,AJ2591)</f>
        <v/>
      </c>
    </row>
    <row r="2593">
      <c r="A2593" s="1" t="n">
        <v>45769</v>
      </c>
      <c r="B2593" s="3">
        <f>IF(ORIG!B2593=0,"",ORIG!B2593)</f>
        <v/>
      </c>
      <c r="C2593" s="3">
        <f>IF(ORIG!C2593=0,"",ORIG!C2593)</f>
        <v/>
      </c>
      <c r="D2593" s="3">
        <f>IF(ORIG!D2593=0,"",ORIG!D2593)</f>
        <v/>
      </c>
      <c r="E2593" s="3">
        <f>IF(ORIG!E2593=0,"",ORIG!E2593)</f>
        <v/>
      </c>
      <c r="F2593" s="3">
        <f>IF(ORIG!F2593=0,"",ORIG!F2593)</f>
        <v/>
      </c>
      <c r="G2593" s="3">
        <f>IF(ORIG!G2593=0,"",ORIG!G2593)</f>
        <v/>
      </c>
      <c r="H2593" s="3">
        <f>IF(ORIG!H2593=0,"",ORIG!H2593)</f>
        <v/>
      </c>
      <c r="I2593" s="3">
        <f>IF(ORIG!I2593=0,"",ORIG!I2593)</f>
        <v/>
      </c>
      <c r="J2593" s="3">
        <f>IF(ORIG!J2593=0,"",ORIG!J2593)</f>
        <v/>
      </c>
      <c r="K2593" s="3">
        <f>IF(ORIG!K2593=0,"",ORIG!K2593)</f>
        <v/>
      </c>
      <c r="L2593" s="3">
        <f>IF(ORIG!L2593=0,"",ORIG!L2593)</f>
        <v/>
      </c>
      <c r="M2593" s="3">
        <f>IF(ORIG!M2593=0,"",ORIG!M2593)</f>
        <v/>
      </c>
      <c r="N2593" s="3">
        <f>IF(ORIG!N2593=0,"",ORIG!N2593)</f>
        <v/>
      </c>
      <c r="O2593" s="3">
        <f>IF(ORIG!O2593=0,"",ORIG!O2593)</f>
        <v/>
      </c>
      <c r="P2593" s="3">
        <f>IF(ORIG!P2593=0,"",ORIG!P2593)</f>
        <v/>
      </c>
      <c r="Q2593" s="3">
        <f>IF(ORIG!Q2593=0,"",ORIG!Q2593)</f>
        <v/>
      </c>
      <c r="R2593" s="3">
        <f>IF(ORIG!R2593=0,"",ORIG!R2593)</f>
        <v/>
      </c>
      <c r="S2593" s="3">
        <f>IF(ORIG!S2593=0,"",ORIG!S2593)</f>
        <v/>
      </c>
      <c r="T2593" s="3">
        <f>IF(ORIG!T2593=0,"",ORIG!T2593)</f>
        <v/>
      </c>
      <c r="U2593" s="3">
        <f>IF(ORIG!U2593=0,"",ORIG!U2593)</f>
        <v/>
      </c>
      <c r="V2593" s="9">
        <f>IF(ORIG!V2593=0,"",ORIG!V2593)</f>
        <v/>
      </c>
      <c r="W2593" s="9">
        <f>IF(ORIG!W2593=0,"",ORIG!W2593)</f>
        <v/>
      </c>
      <c r="X2593" s="9">
        <f>IF(ORIG!X2593=0,"",ORIG!X2593)</f>
        <v/>
      </c>
      <c r="Y2593" s="9">
        <f>IF(ORIG!Y2593=0,"",ORIG!Y2593)</f>
        <v/>
      </c>
      <c r="Z2593" s="3">
        <f>SUMPRODUCT($B2593:$Y2593,$B$2649:$Y$2649)</f>
        <v/>
      </c>
      <c r="AA2593" s="3">
        <f>SUMPRODUCT($B2593:$Y2593,$B$2655:$Y$2655)</f>
        <v/>
      </c>
      <c r="AC2593" s="1">
        <f>A2593</f>
        <v/>
      </c>
      <c r="AD2593">
        <f>IF(ISNUMBER(V2593),V2593*($AB$1/V$2635),"")</f>
        <v/>
      </c>
      <c r="AE2593">
        <f>IF(ISNUMBER(Z2593),Z2593*($AB$1/Z$2635),"")</f>
        <v/>
      </c>
      <c r="AF2593" s="25">
        <f>IF(ISNUMBER(AD2593+AE2593),AD2593+AE2593,"")</f>
        <v/>
      </c>
      <c r="AH2593" s="1">
        <f>A2593</f>
        <v/>
      </c>
      <c r="AI2593">
        <f>IF(ISNUMBER((1+V2593)*AI2592),(1+V2593)*AI2592,AI2592)</f>
        <v/>
      </c>
      <c r="AJ2593">
        <f>IF(ISNUMBER((1+Z2593)*AJ2592),(1+Z2593)*AJ2592,AJ2592)</f>
        <v/>
      </c>
    </row>
    <row r="2594">
      <c r="A2594" s="1" t="n">
        <v>45770</v>
      </c>
      <c r="B2594" s="3">
        <f>IF(ORIG!B2594=0,"",ORIG!B2594)</f>
        <v/>
      </c>
      <c r="C2594" s="3">
        <f>IF(ORIG!C2594=0,"",ORIG!C2594)</f>
        <v/>
      </c>
      <c r="D2594" s="3">
        <f>IF(ORIG!D2594=0,"",ORIG!D2594)</f>
        <v/>
      </c>
      <c r="E2594" s="3">
        <f>IF(ORIG!E2594=0,"",ORIG!E2594)</f>
        <v/>
      </c>
      <c r="F2594" s="3">
        <f>IF(ORIG!F2594=0,"",ORIG!F2594)</f>
        <v/>
      </c>
      <c r="G2594" s="3">
        <f>IF(ORIG!G2594=0,"",ORIG!G2594)</f>
        <v/>
      </c>
      <c r="H2594" s="3">
        <f>IF(ORIG!H2594=0,"",ORIG!H2594)</f>
        <v/>
      </c>
      <c r="I2594" s="3">
        <f>IF(ORIG!I2594=0,"",ORIG!I2594)</f>
        <v/>
      </c>
      <c r="J2594" s="3">
        <f>IF(ORIG!J2594=0,"",ORIG!J2594)</f>
        <v/>
      </c>
      <c r="K2594" s="3">
        <f>IF(ORIG!K2594=0,"",ORIG!K2594)</f>
        <v/>
      </c>
      <c r="L2594" s="3">
        <f>IF(ORIG!L2594=0,"",ORIG!L2594)</f>
        <v/>
      </c>
      <c r="M2594" s="3">
        <f>IF(ORIG!M2594=0,"",ORIG!M2594)</f>
        <v/>
      </c>
      <c r="N2594" s="3">
        <f>IF(ORIG!N2594=0,"",ORIG!N2594)</f>
        <v/>
      </c>
      <c r="O2594" s="3">
        <f>IF(ORIG!O2594=0,"",ORIG!O2594)</f>
        <v/>
      </c>
      <c r="P2594" s="3">
        <f>IF(ORIG!P2594=0,"",ORIG!P2594)</f>
        <v/>
      </c>
      <c r="Q2594" s="3">
        <f>IF(ORIG!Q2594=0,"",ORIG!Q2594)</f>
        <v/>
      </c>
      <c r="R2594" s="3">
        <f>IF(ORIG!R2594=0,"",ORIG!R2594)</f>
        <v/>
      </c>
      <c r="S2594" s="3">
        <f>IF(ORIG!S2594=0,"",ORIG!S2594)</f>
        <v/>
      </c>
      <c r="T2594" s="3">
        <f>IF(ORIG!T2594=0,"",ORIG!T2594)</f>
        <v/>
      </c>
      <c r="U2594" s="3">
        <f>IF(ORIG!U2594=0,"",ORIG!U2594)</f>
        <v/>
      </c>
      <c r="V2594" s="9">
        <f>IF(ORIG!V2594=0,"",ORIG!V2594)</f>
        <v/>
      </c>
      <c r="W2594" s="9">
        <f>IF(ORIG!W2594=0,"",ORIG!W2594)</f>
        <v/>
      </c>
      <c r="X2594" s="9">
        <f>IF(ORIG!X2594=0,"",ORIG!X2594)</f>
        <v/>
      </c>
      <c r="Y2594" s="9">
        <f>IF(ORIG!Y2594=0,"",ORIG!Y2594)</f>
        <v/>
      </c>
      <c r="Z2594" s="3">
        <f>SUMPRODUCT($B2594:$Y2594,$B$2649:$Y$2649)</f>
        <v/>
      </c>
      <c r="AA2594" s="3">
        <f>SUMPRODUCT($B2594:$Y2594,$B$2655:$Y$2655)</f>
        <v/>
      </c>
      <c r="AC2594" s="1">
        <f>A2594</f>
        <v/>
      </c>
      <c r="AD2594">
        <f>IF(ISNUMBER(V2594),V2594*($AB$1/V$2635),"")</f>
        <v/>
      </c>
      <c r="AE2594">
        <f>IF(ISNUMBER(Z2594),Z2594*($AB$1/Z$2635),"")</f>
        <v/>
      </c>
      <c r="AF2594" s="25">
        <f>IF(ISNUMBER(AD2594+AE2594),AD2594+AE2594,"")</f>
        <v/>
      </c>
      <c r="AH2594" s="1">
        <f>A2594</f>
        <v/>
      </c>
      <c r="AI2594">
        <f>IF(ISNUMBER((1+V2594)*AI2593),(1+V2594)*AI2593,AI2593)</f>
        <v/>
      </c>
      <c r="AJ2594">
        <f>IF(ISNUMBER((1+Z2594)*AJ2593),(1+Z2594)*AJ2593,AJ2593)</f>
        <v/>
      </c>
    </row>
    <row r="2595">
      <c r="A2595" s="1" t="n">
        <v>45771</v>
      </c>
      <c r="B2595" s="3">
        <f>IF(ORIG!B2595=0,"",ORIG!B2595)</f>
        <v/>
      </c>
      <c r="C2595" s="3">
        <f>IF(ORIG!C2595=0,"",ORIG!C2595)</f>
        <v/>
      </c>
      <c r="D2595" s="3">
        <f>IF(ORIG!D2595=0,"",ORIG!D2595)</f>
        <v/>
      </c>
      <c r="E2595" s="3">
        <f>IF(ORIG!E2595=0,"",ORIG!E2595)</f>
        <v/>
      </c>
      <c r="F2595" s="3">
        <f>IF(ORIG!F2595=0,"",ORIG!F2595)</f>
        <v/>
      </c>
      <c r="G2595" s="3">
        <f>IF(ORIG!G2595=0,"",ORIG!G2595)</f>
        <v/>
      </c>
      <c r="H2595" s="3">
        <f>IF(ORIG!H2595=0,"",ORIG!H2595)</f>
        <v/>
      </c>
      <c r="I2595" s="3">
        <f>IF(ORIG!I2595=0,"",ORIG!I2595)</f>
        <v/>
      </c>
      <c r="J2595" s="3">
        <f>IF(ORIG!J2595=0,"",ORIG!J2595)</f>
        <v/>
      </c>
      <c r="K2595" s="3">
        <f>IF(ORIG!K2595=0,"",ORIG!K2595)</f>
        <v/>
      </c>
      <c r="L2595" s="3">
        <f>IF(ORIG!L2595=0,"",ORIG!L2595)</f>
        <v/>
      </c>
      <c r="M2595" s="3">
        <f>IF(ORIG!M2595=0,"",ORIG!M2595)</f>
        <v/>
      </c>
      <c r="N2595" s="3">
        <f>IF(ORIG!N2595=0,"",ORIG!N2595)</f>
        <v/>
      </c>
      <c r="O2595" s="3">
        <f>IF(ORIG!O2595=0,"",ORIG!O2595)</f>
        <v/>
      </c>
      <c r="P2595" s="3">
        <f>IF(ORIG!P2595=0,"",ORIG!P2595)</f>
        <v/>
      </c>
      <c r="Q2595" s="3">
        <f>IF(ORIG!Q2595=0,"",ORIG!Q2595)</f>
        <v/>
      </c>
      <c r="R2595" s="3">
        <f>IF(ORIG!R2595=0,"",ORIG!R2595)</f>
        <v/>
      </c>
      <c r="S2595" s="3">
        <f>IF(ORIG!S2595=0,"",ORIG!S2595)</f>
        <v/>
      </c>
      <c r="T2595" s="3">
        <f>IF(ORIG!T2595=0,"",ORIG!T2595)</f>
        <v/>
      </c>
      <c r="U2595" s="3">
        <f>IF(ORIG!U2595=0,"",ORIG!U2595)</f>
        <v/>
      </c>
      <c r="V2595" s="9">
        <f>IF(ORIG!V2595=0,"",ORIG!V2595)</f>
        <v/>
      </c>
      <c r="W2595" s="9">
        <f>IF(ORIG!W2595=0,"",ORIG!W2595)</f>
        <v/>
      </c>
      <c r="X2595" s="9">
        <f>IF(ORIG!X2595=0,"",ORIG!X2595)</f>
        <v/>
      </c>
      <c r="Y2595" s="9">
        <f>IF(ORIG!Y2595=0,"",ORIG!Y2595)</f>
        <v/>
      </c>
      <c r="Z2595" s="3">
        <f>SUMPRODUCT($B2595:$Y2595,$B$2649:$Y$2649)</f>
        <v/>
      </c>
      <c r="AA2595" s="3">
        <f>SUMPRODUCT($B2595:$Y2595,$B$2655:$Y$2655)</f>
        <v/>
      </c>
      <c r="AC2595" s="1">
        <f>A2595</f>
        <v/>
      </c>
      <c r="AD2595">
        <f>IF(ISNUMBER(V2595),V2595*($AB$1/V$2635),"")</f>
        <v/>
      </c>
      <c r="AE2595">
        <f>IF(ISNUMBER(Z2595),Z2595*($AB$1/Z$2635),"")</f>
        <v/>
      </c>
      <c r="AF2595" s="25">
        <f>IF(ISNUMBER(AD2595+AE2595),AD2595+AE2595,"")</f>
        <v/>
      </c>
      <c r="AH2595" s="1">
        <f>A2595</f>
        <v/>
      </c>
      <c r="AI2595">
        <f>IF(ISNUMBER((1+V2595)*AI2594),(1+V2595)*AI2594,AI2594)</f>
        <v/>
      </c>
      <c r="AJ2595">
        <f>IF(ISNUMBER((1+Z2595)*AJ2594),(1+Z2595)*AJ2594,AJ2594)</f>
        <v/>
      </c>
    </row>
    <row r="2596">
      <c r="A2596" s="1" t="n">
        <v>45772</v>
      </c>
      <c r="B2596" s="3">
        <f>IF(ORIG!B2596=0,"",ORIG!B2596)</f>
        <v/>
      </c>
      <c r="C2596" s="3">
        <f>IF(ORIG!C2596=0,"",ORIG!C2596)</f>
        <v/>
      </c>
      <c r="D2596" s="3">
        <f>IF(ORIG!D2596=0,"",ORIG!D2596)</f>
        <v/>
      </c>
      <c r="E2596" s="3">
        <f>IF(ORIG!E2596=0,"",ORIG!E2596)</f>
        <v/>
      </c>
      <c r="F2596" s="3">
        <f>IF(ORIG!F2596=0,"",ORIG!F2596)</f>
        <v/>
      </c>
      <c r="G2596" s="3">
        <f>IF(ORIG!G2596=0,"",ORIG!G2596)</f>
        <v/>
      </c>
      <c r="H2596" s="3">
        <f>IF(ORIG!H2596=0,"",ORIG!H2596)</f>
        <v/>
      </c>
      <c r="I2596" s="3">
        <f>IF(ORIG!I2596=0,"",ORIG!I2596)</f>
        <v/>
      </c>
      <c r="J2596" s="3">
        <f>IF(ORIG!J2596=0,"",ORIG!J2596)</f>
        <v/>
      </c>
      <c r="K2596" s="3">
        <f>IF(ORIG!K2596=0,"",ORIG!K2596)</f>
        <v/>
      </c>
      <c r="L2596" s="3">
        <f>IF(ORIG!L2596=0,"",ORIG!L2596)</f>
        <v/>
      </c>
      <c r="M2596" s="3">
        <f>IF(ORIG!M2596=0,"",ORIG!M2596)</f>
        <v/>
      </c>
      <c r="N2596" s="3">
        <f>IF(ORIG!N2596=0,"",ORIG!N2596)</f>
        <v/>
      </c>
      <c r="O2596" s="3">
        <f>IF(ORIG!O2596=0,"",ORIG!O2596)</f>
        <v/>
      </c>
      <c r="P2596" s="3">
        <f>IF(ORIG!P2596=0,"",ORIG!P2596)</f>
        <v/>
      </c>
      <c r="Q2596" s="3">
        <f>IF(ORIG!Q2596=0,"",ORIG!Q2596)</f>
        <v/>
      </c>
      <c r="R2596" s="3">
        <f>IF(ORIG!R2596=0,"",ORIG!R2596)</f>
        <v/>
      </c>
      <c r="S2596" s="3">
        <f>IF(ORIG!S2596=0,"",ORIG!S2596)</f>
        <v/>
      </c>
      <c r="T2596" s="3">
        <f>IF(ORIG!T2596=0,"",ORIG!T2596)</f>
        <v/>
      </c>
      <c r="U2596" s="3">
        <f>IF(ORIG!U2596=0,"",ORIG!U2596)</f>
        <v/>
      </c>
      <c r="V2596" s="9">
        <f>IF(ORIG!V2596=0,"",ORIG!V2596)</f>
        <v/>
      </c>
      <c r="W2596" s="9">
        <f>IF(ORIG!W2596=0,"",ORIG!W2596)</f>
        <v/>
      </c>
      <c r="X2596" s="9">
        <f>IF(ORIG!X2596=0,"",ORIG!X2596)</f>
        <v/>
      </c>
      <c r="Y2596" s="9">
        <f>IF(ORIG!Y2596=0,"",ORIG!Y2596)</f>
        <v/>
      </c>
      <c r="Z2596" s="3">
        <f>SUMPRODUCT($B2596:$Y2596,$B$2649:$Y$2649)</f>
        <v/>
      </c>
      <c r="AA2596" s="3">
        <f>SUMPRODUCT($B2596:$Y2596,$B$2655:$Y$2655)</f>
        <v/>
      </c>
      <c r="AC2596" s="1">
        <f>A2596</f>
        <v/>
      </c>
      <c r="AD2596">
        <f>IF(ISNUMBER(V2596),V2596*($AB$1/V$2635),"")</f>
        <v/>
      </c>
      <c r="AE2596">
        <f>IF(ISNUMBER(Z2596),Z2596*($AB$1/Z$2635),"")</f>
        <v/>
      </c>
      <c r="AF2596" s="25">
        <f>IF(ISNUMBER(AD2596+AE2596),AD2596+AE2596,"")</f>
        <v/>
      </c>
      <c r="AH2596" s="1">
        <f>A2596</f>
        <v/>
      </c>
      <c r="AI2596">
        <f>IF(ISNUMBER((1+V2596)*AI2595),(1+V2596)*AI2595,AI2595)</f>
        <v/>
      </c>
      <c r="AJ2596">
        <f>IF(ISNUMBER((1+Z2596)*AJ2595),(1+Z2596)*AJ2595,AJ2595)</f>
        <v/>
      </c>
    </row>
    <row r="2597">
      <c r="A2597" s="1" t="n">
        <v>45775</v>
      </c>
      <c r="B2597" s="3">
        <f>IF(ORIG!B2597=0,"",ORIG!B2597)</f>
        <v/>
      </c>
      <c r="C2597" s="3">
        <f>IF(ORIG!C2597=0,"",ORIG!C2597)</f>
        <v/>
      </c>
      <c r="D2597" s="3">
        <f>IF(ORIG!D2597=0,"",ORIG!D2597)</f>
        <v/>
      </c>
      <c r="E2597" s="3">
        <f>IF(ORIG!E2597=0,"",ORIG!E2597)</f>
        <v/>
      </c>
      <c r="F2597" s="3">
        <f>IF(ORIG!F2597=0,"",ORIG!F2597)</f>
        <v/>
      </c>
      <c r="G2597" s="3">
        <f>IF(ORIG!G2597=0,"",ORIG!G2597)</f>
        <v/>
      </c>
      <c r="H2597" s="3">
        <f>IF(ORIG!H2597=0,"",ORIG!H2597)</f>
        <v/>
      </c>
      <c r="I2597" s="3">
        <f>IF(ORIG!I2597=0,"",ORIG!I2597)</f>
        <v/>
      </c>
      <c r="J2597" s="3">
        <f>IF(ORIG!J2597=0,"",ORIG!J2597)</f>
        <v/>
      </c>
      <c r="K2597" s="3">
        <f>IF(ORIG!K2597=0,"",ORIG!K2597)</f>
        <v/>
      </c>
      <c r="L2597" s="3">
        <f>IF(ORIG!L2597=0,"",ORIG!L2597)</f>
        <v/>
      </c>
      <c r="M2597" s="3">
        <f>IF(ORIG!M2597=0,"",ORIG!M2597)</f>
        <v/>
      </c>
      <c r="N2597" s="3">
        <f>IF(ORIG!N2597=0,"",ORIG!N2597)</f>
        <v/>
      </c>
      <c r="O2597" s="3">
        <f>IF(ORIG!O2597=0,"",ORIG!O2597)</f>
        <v/>
      </c>
      <c r="P2597" s="3">
        <f>IF(ORIG!P2597=0,"",ORIG!P2597)</f>
        <v/>
      </c>
      <c r="Q2597" s="3">
        <f>IF(ORIG!Q2597=0,"",ORIG!Q2597)</f>
        <v/>
      </c>
      <c r="R2597" s="3">
        <f>IF(ORIG!R2597=0,"",ORIG!R2597)</f>
        <v/>
      </c>
      <c r="S2597" s="3">
        <f>IF(ORIG!S2597=0,"",ORIG!S2597)</f>
        <v/>
      </c>
      <c r="T2597" s="3">
        <f>IF(ORIG!T2597=0,"",ORIG!T2597)</f>
        <v/>
      </c>
      <c r="U2597" s="3">
        <f>IF(ORIG!U2597=0,"",ORIG!U2597)</f>
        <v/>
      </c>
      <c r="V2597" s="9">
        <f>IF(ORIG!V2597=0,"",ORIG!V2597)</f>
        <v/>
      </c>
      <c r="W2597" s="9">
        <f>IF(ORIG!W2597=0,"",ORIG!W2597)</f>
        <v/>
      </c>
      <c r="X2597" s="9">
        <f>IF(ORIG!X2597=0,"",ORIG!X2597)</f>
        <v/>
      </c>
      <c r="Y2597" s="9">
        <f>IF(ORIG!Y2597=0,"",ORIG!Y2597)</f>
        <v/>
      </c>
      <c r="Z2597" s="3">
        <f>SUMPRODUCT($B2597:$Y2597,$B$2649:$Y$2649)</f>
        <v/>
      </c>
      <c r="AA2597" s="3">
        <f>SUMPRODUCT($B2597:$Y2597,$B$2655:$Y$2655)</f>
        <v/>
      </c>
      <c r="AC2597" s="1">
        <f>A2597</f>
        <v/>
      </c>
      <c r="AD2597">
        <f>IF(ISNUMBER(V2597),V2597*($AB$1/V$2635),"")</f>
        <v/>
      </c>
      <c r="AE2597">
        <f>IF(ISNUMBER(Z2597),Z2597*($AB$1/Z$2635),"")</f>
        <v/>
      </c>
      <c r="AF2597" s="25">
        <f>IF(ISNUMBER(AD2597+AE2597),AD2597+AE2597,"")</f>
        <v/>
      </c>
      <c r="AH2597" s="1">
        <f>A2597</f>
        <v/>
      </c>
      <c r="AI2597">
        <f>IF(ISNUMBER((1+V2597)*AI2596),(1+V2597)*AI2596,AI2596)</f>
        <v/>
      </c>
      <c r="AJ2597">
        <f>IF(ISNUMBER((1+Z2597)*AJ2596),(1+Z2597)*AJ2596,AJ2596)</f>
        <v/>
      </c>
    </row>
    <row r="2598">
      <c r="A2598" s="1" t="n">
        <v>45776</v>
      </c>
      <c r="B2598" s="3">
        <f>IF(ORIG!B2598=0,"",ORIG!B2598)</f>
        <v/>
      </c>
      <c r="C2598" s="3">
        <f>IF(ORIG!C2598=0,"",ORIG!C2598)</f>
        <v/>
      </c>
      <c r="D2598" s="3">
        <f>IF(ORIG!D2598=0,"",ORIG!D2598)</f>
        <v/>
      </c>
      <c r="E2598" s="3">
        <f>IF(ORIG!E2598=0,"",ORIG!E2598)</f>
        <v/>
      </c>
      <c r="F2598" s="3">
        <f>IF(ORIG!F2598=0,"",ORIG!F2598)</f>
        <v/>
      </c>
      <c r="G2598" s="3">
        <f>IF(ORIG!G2598=0,"",ORIG!G2598)</f>
        <v/>
      </c>
      <c r="H2598" s="3">
        <f>IF(ORIG!H2598=0,"",ORIG!H2598)</f>
        <v/>
      </c>
      <c r="I2598" s="3">
        <f>IF(ORIG!I2598=0,"",ORIG!I2598)</f>
        <v/>
      </c>
      <c r="J2598" s="3">
        <f>IF(ORIG!J2598=0,"",ORIG!J2598)</f>
        <v/>
      </c>
      <c r="K2598" s="3">
        <f>IF(ORIG!K2598=0,"",ORIG!K2598)</f>
        <v/>
      </c>
      <c r="L2598" s="3">
        <f>IF(ORIG!L2598=0,"",ORIG!L2598)</f>
        <v/>
      </c>
      <c r="M2598" s="3">
        <f>IF(ORIG!M2598=0,"",ORIG!M2598)</f>
        <v/>
      </c>
      <c r="N2598" s="3">
        <f>IF(ORIG!N2598=0,"",ORIG!N2598)</f>
        <v/>
      </c>
      <c r="O2598" s="3">
        <f>IF(ORIG!O2598=0,"",ORIG!O2598)</f>
        <v/>
      </c>
      <c r="P2598" s="3">
        <f>IF(ORIG!P2598=0,"",ORIG!P2598)</f>
        <v/>
      </c>
      <c r="Q2598" s="3">
        <f>IF(ORIG!Q2598=0,"",ORIG!Q2598)</f>
        <v/>
      </c>
      <c r="R2598" s="3">
        <f>IF(ORIG!R2598=0,"",ORIG!R2598)</f>
        <v/>
      </c>
      <c r="S2598" s="3">
        <f>IF(ORIG!S2598=0,"",ORIG!S2598)</f>
        <v/>
      </c>
      <c r="T2598" s="3">
        <f>IF(ORIG!T2598=0,"",ORIG!T2598)</f>
        <v/>
      </c>
      <c r="U2598" s="3">
        <f>IF(ORIG!U2598=0,"",ORIG!U2598)</f>
        <v/>
      </c>
      <c r="V2598" s="9">
        <f>IF(ORIG!V2598=0,"",ORIG!V2598)</f>
        <v/>
      </c>
      <c r="W2598" s="9">
        <f>IF(ORIG!W2598=0,"",ORIG!W2598)</f>
        <v/>
      </c>
      <c r="X2598" s="9">
        <f>IF(ORIG!X2598=0,"",ORIG!X2598)</f>
        <v/>
      </c>
      <c r="Y2598" s="9">
        <f>IF(ORIG!Y2598=0,"",ORIG!Y2598)</f>
        <v/>
      </c>
      <c r="Z2598" s="3">
        <f>SUMPRODUCT($B2598:$Y2598,$B$2649:$Y$2649)</f>
        <v/>
      </c>
      <c r="AA2598" s="3">
        <f>SUMPRODUCT($B2598:$Y2598,$B$2655:$Y$2655)</f>
        <v/>
      </c>
      <c r="AC2598" s="1">
        <f>A2598</f>
        <v/>
      </c>
      <c r="AD2598">
        <f>IF(ISNUMBER(V2598),V2598*($AB$1/V$2635),"")</f>
        <v/>
      </c>
      <c r="AE2598">
        <f>IF(ISNUMBER(Z2598),Z2598*($AB$1/Z$2635),"")</f>
        <v/>
      </c>
      <c r="AF2598" s="25">
        <f>IF(ISNUMBER(AD2598+AE2598),AD2598+AE2598,"")</f>
        <v/>
      </c>
      <c r="AH2598" s="1">
        <f>A2598</f>
        <v/>
      </c>
      <c r="AI2598">
        <f>IF(ISNUMBER((1+V2598)*AI2597),(1+V2598)*AI2597,AI2597)</f>
        <v/>
      </c>
      <c r="AJ2598">
        <f>IF(ISNUMBER((1+Z2598)*AJ2597),(1+Z2598)*AJ2597,AJ2597)</f>
        <v/>
      </c>
    </row>
    <row r="2599">
      <c r="A2599" s="1" t="n">
        <v>45777</v>
      </c>
      <c r="B2599" s="3">
        <f>IF(ORIG!B2599=0,"",ORIG!B2599)</f>
        <v/>
      </c>
      <c r="C2599" s="3">
        <f>IF(ORIG!C2599=0,"",ORIG!C2599)</f>
        <v/>
      </c>
      <c r="D2599" s="3">
        <f>IF(ORIG!D2599=0,"",ORIG!D2599)</f>
        <v/>
      </c>
      <c r="E2599" s="3">
        <f>IF(ORIG!E2599=0,"",ORIG!E2599)</f>
        <v/>
      </c>
      <c r="F2599" s="3">
        <f>IF(ORIG!F2599=0,"",ORIG!F2599)</f>
        <v/>
      </c>
      <c r="G2599" s="3">
        <f>IF(ORIG!G2599=0,"",ORIG!G2599)</f>
        <v/>
      </c>
      <c r="H2599" s="3">
        <f>IF(ORIG!H2599=0,"",ORIG!H2599)</f>
        <v/>
      </c>
      <c r="I2599" s="3">
        <f>IF(ORIG!I2599=0,"",ORIG!I2599)</f>
        <v/>
      </c>
      <c r="J2599" s="3">
        <f>IF(ORIG!J2599=0,"",ORIG!J2599)</f>
        <v/>
      </c>
      <c r="K2599" s="3">
        <f>IF(ORIG!K2599=0,"",ORIG!K2599)</f>
        <v/>
      </c>
      <c r="L2599" s="3">
        <f>IF(ORIG!L2599=0,"",ORIG!L2599)</f>
        <v/>
      </c>
      <c r="M2599" s="3">
        <f>IF(ORIG!M2599=0,"",ORIG!M2599)</f>
        <v/>
      </c>
      <c r="N2599" s="3">
        <f>IF(ORIG!N2599=0,"",ORIG!N2599)</f>
        <v/>
      </c>
      <c r="O2599" s="3">
        <f>IF(ORIG!O2599=0,"",ORIG!O2599)</f>
        <v/>
      </c>
      <c r="P2599" s="3">
        <f>IF(ORIG!P2599=0,"",ORIG!P2599)</f>
        <v/>
      </c>
      <c r="Q2599" s="3">
        <f>IF(ORIG!Q2599=0,"",ORIG!Q2599)</f>
        <v/>
      </c>
      <c r="R2599" s="3">
        <f>IF(ORIG!R2599=0,"",ORIG!R2599)</f>
        <v/>
      </c>
      <c r="S2599" s="3">
        <f>IF(ORIG!S2599=0,"",ORIG!S2599)</f>
        <v/>
      </c>
      <c r="T2599" s="3">
        <f>IF(ORIG!T2599=0,"",ORIG!T2599)</f>
        <v/>
      </c>
      <c r="U2599" s="3">
        <f>IF(ORIG!U2599=0,"",ORIG!U2599)</f>
        <v/>
      </c>
      <c r="V2599" s="9">
        <f>IF(ORIG!V2599=0,"",ORIG!V2599)</f>
        <v/>
      </c>
      <c r="W2599" s="9">
        <f>IF(ORIG!W2599=0,"",ORIG!W2599)</f>
        <v/>
      </c>
      <c r="X2599" s="9">
        <f>IF(ORIG!X2599=0,"",ORIG!X2599)</f>
        <v/>
      </c>
      <c r="Y2599" s="9">
        <f>IF(ORIG!Y2599=0,"",ORIG!Y2599)</f>
        <v/>
      </c>
      <c r="Z2599" s="3">
        <f>SUMPRODUCT($B2599:$Y2599,$B$2649:$Y$2649)</f>
        <v/>
      </c>
      <c r="AA2599" s="3">
        <f>SUMPRODUCT($B2599:$Y2599,$B$2655:$Y$2655)</f>
        <v/>
      </c>
      <c r="AC2599" s="1">
        <f>A2599</f>
        <v/>
      </c>
      <c r="AD2599">
        <f>IF(ISNUMBER(V2599),V2599*($AB$1/V$2635),"")</f>
        <v/>
      </c>
      <c r="AE2599">
        <f>IF(ISNUMBER(Z2599),Z2599*($AB$1/Z$2635),"")</f>
        <v/>
      </c>
      <c r="AF2599" s="25">
        <f>IF(ISNUMBER(AD2599+AE2599),AD2599+AE2599,"")</f>
        <v/>
      </c>
      <c r="AH2599" s="1">
        <f>A2599</f>
        <v/>
      </c>
      <c r="AI2599">
        <f>IF(ISNUMBER((1+V2599)*AI2598),(1+V2599)*AI2598,AI2598)</f>
        <v/>
      </c>
      <c r="AJ2599">
        <f>IF(ISNUMBER((1+Z2599)*AJ2598),(1+Z2599)*AJ2598,AJ2598)</f>
        <v/>
      </c>
    </row>
    <row r="2600">
      <c r="A2600" s="1" t="n">
        <v>45778</v>
      </c>
      <c r="B2600" s="3">
        <f>IF(ORIG!B2600=0,"",ORIG!B2600)</f>
        <v/>
      </c>
      <c r="C2600" s="3">
        <f>IF(ORIG!C2600=0,"",ORIG!C2600)</f>
        <v/>
      </c>
      <c r="D2600" s="3">
        <f>IF(ORIG!D2600=0,"",ORIG!D2600)</f>
        <v/>
      </c>
      <c r="E2600" s="3">
        <f>IF(ORIG!E2600=0,"",ORIG!E2600)</f>
        <v/>
      </c>
      <c r="F2600" s="3">
        <f>IF(ORIG!F2600=0,"",ORIG!F2600)</f>
        <v/>
      </c>
      <c r="G2600" s="3">
        <f>IF(ORIG!G2600=0,"",ORIG!G2600)</f>
        <v/>
      </c>
      <c r="H2600" s="3">
        <f>IF(ORIG!H2600=0,"",ORIG!H2600)</f>
        <v/>
      </c>
      <c r="I2600" s="3">
        <f>IF(ORIG!I2600=0,"",ORIG!I2600)</f>
        <v/>
      </c>
      <c r="J2600" s="3">
        <f>IF(ORIG!J2600=0,"",ORIG!J2600)</f>
        <v/>
      </c>
      <c r="K2600" s="3">
        <f>IF(ORIG!K2600=0,"",ORIG!K2600)</f>
        <v/>
      </c>
      <c r="L2600" s="3">
        <f>IF(ORIG!L2600=0,"",ORIG!L2600)</f>
        <v/>
      </c>
      <c r="M2600" s="3">
        <f>IF(ORIG!M2600=0,"",ORIG!M2600)</f>
        <v/>
      </c>
      <c r="N2600" s="3">
        <f>IF(ORIG!N2600=0,"",ORIG!N2600)</f>
        <v/>
      </c>
      <c r="O2600" s="3">
        <f>IF(ORIG!O2600=0,"",ORIG!O2600)</f>
        <v/>
      </c>
      <c r="P2600" s="3">
        <f>IF(ORIG!P2600=0,"",ORIG!P2600)</f>
        <v/>
      </c>
      <c r="Q2600" s="3">
        <f>IF(ORIG!Q2600=0,"",ORIG!Q2600)</f>
        <v/>
      </c>
      <c r="R2600" s="3">
        <f>IF(ORIG!R2600=0,"",ORIG!R2600)</f>
        <v/>
      </c>
      <c r="S2600" s="3">
        <f>IF(ORIG!S2600=0,"",ORIG!S2600)</f>
        <v/>
      </c>
      <c r="T2600" s="3">
        <f>IF(ORIG!T2600=0,"",ORIG!T2600)</f>
        <v/>
      </c>
      <c r="U2600" s="3">
        <f>IF(ORIG!U2600=0,"",ORIG!U2600)</f>
        <v/>
      </c>
      <c r="V2600" s="9">
        <f>IF(ORIG!V2600=0,"",ORIG!V2600)</f>
        <v/>
      </c>
      <c r="W2600" s="9">
        <f>IF(ORIG!W2600=0,"",ORIG!W2600)</f>
        <v/>
      </c>
      <c r="X2600" s="9">
        <f>IF(ORIG!X2600=0,"",ORIG!X2600)</f>
        <v/>
      </c>
      <c r="Y2600" s="9">
        <f>IF(ORIG!Y2600=0,"",ORIG!Y2600)</f>
        <v/>
      </c>
      <c r="Z2600" s="3">
        <f>SUMPRODUCT($B2600:$Y2600,$B$2649:$Y$2649)</f>
        <v/>
      </c>
      <c r="AA2600" s="3">
        <f>SUMPRODUCT($B2600:$Y2600,$B$2655:$Y$2655)</f>
        <v/>
      </c>
      <c r="AC2600" s="1">
        <f>A2600</f>
        <v/>
      </c>
      <c r="AD2600">
        <f>IF(ISNUMBER(V2600),V2600*($AB$1/V$2635),"")</f>
        <v/>
      </c>
      <c r="AE2600">
        <f>IF(ISNUMBER(Z2600),Z2600*($AB$1/Z$2635),"")</f>
        <v/>
      </c>
      <c r="AF2600" s="25">
        <f>IF(ISNUMBER(AD2600+AE2600),AD2600+AE2600,"")</f>
        <v/>
      </c>
      <c r="AH2600" s="1">
        <f>A2600</f>
        <v/>
      </c>
      <c r="AI2600">
        <f>IF(ISNUMBER((1+V2600)*AI2599),(1+V2600)*AI2599,AI2599)</f>
        <v/>
      </c>
      <c r="AJ2600">
        <f>IF(ISNUMBER((1+Z2600)*AJ2599),(1+Z2600)*AJ2599,AJ2599)</f>
        <v/>
      </c>
    </row>
    <row r="2601">
      <c r="A2601" s="1" t="n">
        <v>45779</v>
      </c>
      <c r="B2601" s="3">
        <f>IF(ORIG!B2601=0,"",ORIG!B2601)</f>
        <v/>
      </c>
      <c r="C2601" s="3">
        <f>IF(ORIG!C2601=0,"",ORIG!C2601)</f>
        <v/>
      </c>
      <c r="D2601" s="3">
        <f>IF(ORIG!D2601=0,"",ORIG!D2601)</f>
        <v/>
      </c>
      <c r="E2601" s="3">
        <f>IF(ORIG!E2601=0,"",ORIG!E2601)</f>
        <v/>
      </c>
      <c r="F2601" s="3">
        <f>IF(ORIG!F2601=0,"",ORIG!F2601)</f>
        <v/>
      </c>
      <c r="G2601" s="3">
        <f>IF(ORIG!G2601=0,"",ORIG!G2601)</f>
        <v/>
      </c>
      <c r="H2601" s="3">
        <f>IF(ORIG!H2601=0,"",ORIG!H2601)</f>
        <v/>
      </c>
      <c r="I2601" s="3">
        <f>IF(ORIG!I2601=0,"",ORIG!I2601)</f>
        <v/>
      </c>
      <c r="J2601" s="3">
        <f>IF(ORIG!J2601=0,"",ORIG!J2601)</f>
        <v/>
      </c>
      <c r="K2601" s="3">
        <f>IF(ORIG!K2601=0,"",ORIG!K2601)</f>
        <v/>
      </c>
      <c r="L2601" s="3">
        <f>IF(ORIG!L2601=0,"",ORIG!L2601)</f>
        <v/>
      </c>
      <c r="M2601" s="3">
        <f>IF(ORIG!M2601=0,"",ORIG!M2601)</f>
        <v/>
      </c>
      <c r="N2601" s="3">
        <f>IF(ORIG!N2601=0,"",ORIG!N2601)</f>
        <v/>
      </c>
      <c r="O2601" s="3">
        <f>IF(ORIG!O2601=0,"",ORIG!O2601)</f>
        <v/>
      </c>
      <c r="P2601" s="3">
        <f>IF(ORIG!P2601=0,"",ORIG!P2601)</f>
        <v/>
      </c>
      <c r="Q2601" s="3">
        <f>IF(ORIG!Q2601=0,"",ORIG!Q2601)</f>
        <v/>
      </c>
      <c r="R2601" s="3">
        <f>IF(ORIG!R2601=0,"",ORIG!R2601)</f>
        <v/>
      </c>
      <c r="S2601" s="3">
        <f>IF(ORIG!S2601=0,"",ORIG!S2601)</f>
        <v/>
      </c>
      <c r="T2601" s="3">
        <f>IF(ORIG!T2601=0,"",ORIG!T2601)</f>
        <v/>
      </c>
      <c r="U2601" s="3">
        <f>IF(ORIG!U2601=0,"",ORIG!U2601)</f>
        <v/>
      </c>
      <c r="V2601" s="9">
        <f>IF(ORIG!V2601=0,"",ORIG!V2601)</f>
        <v/>
      </c>
      <c r="W2601" s="9">
        <f>IF(ORIG!W2601=0,"",ORIG!W2601)</f>
        <v/>
      </c>
      <c r="X2601" s="9">
        <f>IF(ORIG!X2601=0,"",ORIG!X2601)</f>
        <v/>
      </c>
      <c r="Y2601" s="9">
        <f>IF(ORIG!Y2601=0,"",ORIG!Y2601)</f>
        <v/>
      </c>
      <c r="Z2601" s="3">
        <f>SUMPRODUCT($B2601:$Y2601,$B$2649:$Y$2649)</f>
        <v/>
      </c>
      <c r="AA2601" s="3">
        <f>SUMPRODUCT($B2601:$Y2601,$B$2655:$Y$2655)</f>
        <v/>
      </c>
      <c r="AC2601" s="1">
        <f>A2601</f>
        <v/>
      </c>
      <c r="AD2601">
        <f>IF(ISNUMBER(V2601),V2601*($AB$1/V$2635),"")</f>
        <v/>
      </c>
      <c r="AE2601">
        <f>IF(ISNUMBER(Z2601),Z2601*($AB$1/Z$2635),"")</f>
        <v/>
      </c>
      <c r="AF2601" s="25">
        <f>IF(ISNUMBER(AD2601+AE2601),AD2601+AE2601,"")</f>
        <v/>
      </c>
      <c r="AH2601" s="1">
        <f>A2601</f>
        <v/>
      </c>
      <c r="AI2601">
        <f>IF(ISNUMBER((1+V2601)*AI2600),(1+V2601)*AI2600,AI2600)</f>
        <v/>
      </c>
      <c r="AJ2601">
        <f>IF(ISNUMBER((1+Z2601)*AJ2600),(1+Z2601)*AJ2600,AJ2600)</f>
        <v/>
      </c>
    </row>
    <row r="2602">
      <c r="A2602" s="1" t="n">
        <v>45782</v>
      </c>
      <c r="B2602" s="3">
        <f>IF(ORIG!B2602=0,"",ORIG!B2602)</f>
        <v/>
      </c>
      <c r="C2602" s="3">
        <f>IF(ORIG!C2602=0,"",ORIG!C2602)</f>
        <v/>
      </c>
      <c r="D2602" s="3">
        <f>IF(ORIG!D2602=0,"",ORIG!D2602)</f>
        <v/>
      </c>
      <c r="E2602" s="3">
        <f>IF(ORIG!E2602=0,"",ORIG!E2602)</f>
        <v/>
      </c>
      <c r="F2602" s="3">
        <f>IF(ORIG!F2602=0,"",ORIG!F2602)</f>
        <v/>
      </c>
      <c r="G2602" s="3">
        <f>IF(ORIG!G2602=0,"",ORIG!G2602)</f>
        <v/>
      </c>
      <c r="H2602" s="3">
        <f>IF(ORIG!H2602=0,"",ORIG!H2602)</f>
        <v/>
      </c>
      <c r="I2602" s="3">
        <f>IF(ORIG!I2602=0,"",ORIG!I2602)</f>
        <v/>
      </c>
      <c r="J2602" s="3">
        <f>IF(ORIG!J2602=0,"",ORIG!J2602)</f>
        <v/>
      </c>
      <c r="K2602" s="3">
        <f>IF(ORIG!K2602=0,"",ORIG!K2602)</f>
        <v/>
      </c>
      <c r="L2602" s="3">
        <f>IF(ORIG!L2602=0,"",ORIG!L2602)</f>
        <v/>
      </c>
      <c r="M2602" s="3">
        <f>IF(ORIG!M2602=0,"",ORIG!M2602)</f>
        <v/>
      </c>
      <c r="N2602" s="3">
        <f>IF(ORIG!N2602=0,"",ORIG!N2602)</f>
        <v/>
      </c>
      <c r="O2602" s="3">
        <f>IF(ORIG!O2602=0,"",ORIG!O2602)</f>
        <v/>
      </c>
      <c r="P2602" s="3">
        <f>IF(ORIG!P2602=0,"",ORIG!P2602)</f>
        <v/>
      </c>
      <c r="Q2602" s="3">
        <f>IF(ORIG!Q2602=0,"",ORIG!Q2602)</f>
        <v/>
      </c>
      <c r="R2602" s="3">
        <f>IF(ORIG!R2602=0,"",ORIG!R2602)</f>
        <v/>
      </c>
      <c r="S2602" s="3">
        <f>IF(ORIG!S2602=0,"",ORIG!S2602)</f>
        <v/>
      </c>
      <c r="T2602" s="3">
        <f>IF(ORIG!T2602=0,"",ORIG!T2602)</f>
        <v/>
      </c>
      <c r="U2602" s="3">
        <f>IF(ORIG!U2602=0,"",ORIG!U2602)</f>
        <v/>
      </c>
      <c r="V2602" s="9">
        <f>IF(ORIG!V2602=0,"",ORIG!V2602)</f>
        <v/>
      </c>
      <c r="W2602" s="9">
        <f>IF(ORIG!W2602=0,"",ORIG!W2602)</f>
        <v/>
      </c>
      <c r="X2602" s="9">
        <f>IF(ORIG!X2602=0,"",ORIG!X2602)</f>
        <v/>
      </c>
      <c r="Y2602" s="9">
        <f>IF(ORIG!Y2602=0,"",ORIG!Y2602)</f>
        <v/>
      </c>
      <c r="Z2602" s="3">
        <f>SUMPRODUCT($B2602:$Y2602,$B$2649:$Y$2649)</f>
        <v/>
      </c>
      <c r="AA2602" s="3">
        <f>SUMPRODUCT($B2602:$Y2602,$B$2655:$Y$2655)</f>
        <v/>
      </c>
      <c r="AC2602" s="1">
        <f>A2602</f>
        <v/>
      </c>
      <c r="AD2602">
        <f>IF(ISNUMBER(V2602),V2602*($AB$1/V$2635),"")</f>
        <v/>
      </c>
      <c r="AE2602">
        <f>IF(ISNUMBER(Z2602),Z2602*($AB$1/Z$2635),"")</f>
        <v/>
      </c>
      <c r="AF2602" s="25">
        <f>IF(ISNUMBER(AD2602+AE2602),AD2602+AE2602,"")</f>
        <v/>
      </c>
      <c r="AH2602" s="1">
        <f>A2602</f>
        <v/>
      </c>
      <c r="AI2602">
        <f>IF(ISNUMBER((1+V2602)*AI2601),(1+V2602)*AI2601,AI2601)</f>
        <v/>
      </c>
      <c r="AJ2602">
        <f>IF(ISNUMBER((1+Z2602)*AJ2601),(1+Z2602)*AJ2601,AJ2601)</f>
        <v/>
      </c>
    </row>
    <row r="2603">
      <c r="A2603" s="1" t="n">
        <v>45783</v>
      </c>
      <c r="B2603" s="3">
        <f>IF(ORIG!B2603=0,"",ORIG!B2603)</f>
        <v/>
      </c>
      <c r="C2603" s="3">
        <f>IF(ORIG!C2603=0,"",ORIG!C2603)</f>
        <v/>
      </c>
      <c r="D2603" s="3">
        <f>IF(ORIG!D2603=0,"",ORIG!D2603)</f>
        <v/>
      </c>
      <c r="E2603" s="3">
        <f>IF(ORIG!E2603=0,"",ORIG!E2603)</f>
        <v/>
      </c>
      <c r="F2603" s="3">
        <f>IF(ORIG!F2603=0,"",ORIG!F2603)</f>
        <v/>
      </c>
      <c r="G2603" s="3">
        <f>IF(ORIG!G2603=0,"",ORIG!G2603)</f>
        <v/>
      </c>
      <c r="H2603" s="3">
        <f>IF(ORIG!H2603=0,"",ORIG!H2603)</f>
        <v/>
      </c>
      <c r="I2603" s="3">
        <f>IF(ORIG!I2603=0,"",ORIG!I2603)</f>
        <v/>
      </c>
      <c r="J2603" s="3">
        <f>IF(ORIG!J2603=0,"",ORIG!J2603)</f>
        <v/>
      </c>
      <c r="K2603" s="3">
        <f>IF(ORIG!K2603=0,"",ORIG!K2603)</f>
        <v/>
      </c>
      <c r="L2603" s="3">
        <f>IF(ORIG!L2603=0,"",ORIG!L2603)</f>
        <v/>
      </c>
      <c r="M2603" s="3">
        <f>IF(ORIG!M2603=0,"",ORIG!M2603)</f>
        <v/>
      </c>
      <c r="N2603" s="3">
        <f>IF(ORIG!N2603=0,"",ORIG!N2603)</f>
        <v/>
      </c>
      <c r="O2603" s="3">
        <f>IF(ORIG!O2603=0,"",ORIG!O2603)</f>
        <v/>
      </c>
      <c r="P2603" s="3">
        <f>IF(ORIG!P2603=0,"",ORIG!P2603)</f>
        <v/>
      </c>
      <c r="Q2603" s="3">
        <f>IF(ORIG!Q2603=0,"",ORIG!Q2603)</f>
        <v/>
      </c>
      <c r="R2603" s="3">
        <f>IF(ORIG!R2603=0,"",ORIG!R2603)</f>
        <v/>
      </c>
      <c r="S2603" s="3">
        <f>IF(ORIG!S2603=0,"",ORIG!S2603)</f>
        <v/>
      </c>
      <c r="T2603" s="3">
        <f>IF(ORIG!T2603=0,"",ORIG!T2603)</f>
        <v/>
      </c>
      <c r="U2603" s="3">
        <f>IF(ORIG!U2603=0,"",ORIG!U2603)</f>
        <v/>
      </c>
      <c r="V2603" s="9">
        <f>IF(ORIG!V2603=0,"",ORIG!V2603)</f>
        <v/>
      </c>
      <c r="W2603" s="9">
        <f>IF(ORIG!W2603=0,"",ORIG!W2603)</f>
        <v/>
      </c>
      <c r="X2603" s="9">
        <f>IF(ORIG!X2603=0,"",ORIG!X2603)</f>
        <v/>
      </c>
      <c r="Y2603" s="9">
        <f>IF(ORIG!Y2603=0,"",ORIG!Y2603)</f>
        <v/>
      </c>
      <c r="Z2603" s="3">
        <f>SUMPRODUCT($B2603:$Y2603,$B$2649:$Y$2649)</f>
        <v/>
      </c>
      <c r="AA2603" s="3">
        <f>SUMPRODUCT($B2603:$Y2603,$B$2655:$Y$2655)</f>
        <v/>
      </c>
      <c r="AC2603" s="1">
        <f>A2603</f>
        <v/>
      </c>
      <c r="AD2603">
        <f>IF(ISNUMBER(V2603),V2603*($AB$1/V$2635),"")</f>
        <v/>
      </c>
      <c r="AE2603">
        <f>IF(ISNUMBER(Z2603),Z2603*($AB$1/Z$2635),"")</f>
        <v/>
      </c>
      <c r="AF2603" s="25">
        <f>IF(ISNUMBER(AD2603+AE2603),AD2603+AE2603,"")</f>
        <v/>
      </c>
      <c r="AH2603" s="1">
        <f>A2603</f>
        <v/>
      </c>
      <c r="AI2603">
        <f>IF(ISNUMBER((1+V2603)*AI2602),(1+V2603)*AI2602,AI2602)</f>
        <v/>
      </c>
      <c r="AJ2603">
        <f>IF(ISNUMBER((1+Z2603)*AJ2602),(1+Z2603)*AJ2602,AJ2602)</f>
        <v/>
      </c>
    </row>
    <row r="2604">
      <c r="A2604" s="1" t="n">
        <v>45784</v>
      </c>
      <c r="B2604" s="3">
        <f>IF(ORIG!B2604=0,"",ORIG!B2604)</f>
        <v/>
      </c>
      <c r="C2604" s="3">
        <f>IF(ORIG!C2604=0,"",ORIG!C2604)</f>
        <v/>
      </c>
      <c r="D2604" s="3">
        <f>IF(ORIG!D2604=0,"",ORIG!D2604)</f>
        <v/>
      </c>
      <c r="E2604" s="3">
        <f>IF(ORIG!E2604=0,"",ORIG!E2604)</f>
        <v/>
      </c>
      <c r="F2604" s="3">
        <f>IF(ORIG!F2604=0,"",ORIG!F2604)</f>
        <v/>
      </c>
      <c r="G2604" s="3">
        <f>IF(ORIG!G2604=0,"",ORIG!G2604)</f>
        <v/>
      </c>
      <c r="H2604" s="3">
        <f>IF(ORIG!H2604=0,"",ORIG!H2604)</f>
        <v/>
      </c>
      <c r="I2604" s="3">
        <f>IF(ORIG!I2604=0,"",ORIG!I2604)</f>
        <v/>
      </c>
      <c r="J2604" s="3">
        <f>IF(ORIG!J2604=0,"",ORIG!J2604)</f>
        <v/>
      </c>
      <c r="K2604" s="3">
        <f>IF(ORIG!K2604=0,"",ORIG!K2604)</f>
        <v/>
      </c>
      <c r="L2604" s="3">
        <f>IF(ORIG!L2604=0,"",ORIG!L2604)</f>
        <v/>
      </c>
      <c r="M2604" s="3">
        <f>IF(ORIG!M2604=0,"",ORIG!M2604)</f>
        <v/>
      </c>
      <c r="N2604" s="3">
        <f>IF(ORIG!N2604=0,"",ORIG!N2604)</f>
        <v/>
      </c>
      <c r="O2604" s="3">
        <f>IF(ORIG!O2604=0,"",ORIG!O2604)</f>
        <v/>
      </c>
      <c r="P2604" s="3">
        <f>IF(ORIG!P2604=0,"",ORIG!P2604)</f>
        <v/>
      </c>
      <c r="Q2604" s="3">
        <f>IF(ORIG!Q2604=0,"",ORIG!Q2604)</f>
        <v/>
      </c>
      <c r="R2604" s="3">
        <f>IF(ORIG!R2604=0,"",ORIG!R2604)</f>
        <v/>
      </c>
      <c r="S2604" s="3">
        <f>IF(ORIG!S2604=0,"",ORIG!S2604)</f>
        <v/>
      </c>
      <c r="T2604" s="3">
        <f>IF(ORIG!T2604=0,"",ORIG!T2604)</f>
        <v/>
      </c>
      <c r="U2604" s="3">
        <f>IF(ORIG!U2604=0,"",ORIG!U2604)</f>
        <v/>
      </c>
      <c r="V2604" s="9">
        <f>IF(ORIG!V2604=0,"",ORIG!V2604)</f>
        <v/>
      </c>
      <c r="W2604" s="9">
        <f>IF(ORIG!W2604=0,"",ORIG!W2604)</f>
        <v/>
      </c>
      <c r="X2604" s="9">
        <f>IF(ORIG!X2604=0,"",ORIG!X2604)</f>
        <v/>
      </c>
      <c r="Y2604" s="9">
        <f>IF(ORIG!Y2604=0,"",ORIG!Y2604)</f>
        <v/>
      </c>
      <c r="Z2604" s="3">
        <f>SUMPRODUCT($B2604:$Y2604,$B$2649:$Y$2649)</f>
        <v/>
      </c>
      <c r="AA2604" s="3">
        <f>SUMPRODUCT($B2604:$Y2604,$B$2655:$Y$2655)</f>
        <v/>
      </c>
      <c r="AC2604" s="1">
        <f>A2604</f>
        <v/>
      </c>
      <c r="AD2604">
        <f>IF(ISNUMBER(V2604),V2604*($AB$1/V$2635),"")</f>
        <v/>
      </c>
      <c r="AE2604">
        <f>IF(ISNUMBER(Z2604),Z2604*($AB$1/Z$2635),"")</f>
        <v/>
      </c>
      <c r="AF2604" s="25">
        <f>IF(ISNUMBER(AD2604+AE2604),AD2604+AE2604,"")</f>
        <v/>
      </c>
      <c r="AH2604" s="1">
        <f>A2604</f>
        <v/>
      </c>
      <c r="AI2604">
        <f>IF(ISNUMBER((1+V2604)*AI2603),(1+V2604)*AI2603,AI2603)</f>
        <v/>
      </c>
      <c r="AJ2604">
        <f>IF(ISNUMBER((1+Z2604)*AJ2603),(1+Z2604)*AJ2603,AJ2603)</f>
        <v/>
      </c>
    </row>
    <row r="2605">
      <c r="A2605" s="1" t="n">
        <v>45785</v>
      </c>
      <c r="B2605" s="3">
        <f>IF(ORIG!B2605=0,"",ORIG!B2605)</f>
        <v/>
      </c>
      <c r="C2605" s="3">
        <f>IF(ORIG!C2605=0,"",ORIG!C2605)</f>
        <v/>
      </c>
      <c r="D2605" s="3">
        <f>IF(ORIG!D2605=0,"",ORIG!D2605)</f>
        <v/>
      </c>
      <c r="E2605" s="3">
        <f>IF(ORIG!E2605=0,"",ORIG!E2605)</f>
        <v/>
      </c>
      <c r="F2605" s="3">
        <f>IF(ORIG!F2605=0,"",ORIG!F2605)</f>
        <v/>
      </c>
      <c r="G2605" s="3">
        <f>IF(ORIG!G2605=0,"",ORIG!G2605)</f>
        <v/>
      </c>
      <c r="H2605" s="3">
        <f>IF(ORIG!H2605=0,"",ORIG!H2605)</f>
        <v/>
      </c>
      <c r="I2605" s="3">
        <f>IF(ORIG!I2605=0,"",ORIG!I2605)</f>
        <v/>
      </c>
      <c r="J2605" s="3">
        <f>IF(ORIG!J2605=0,"",ORIG!J2605)</f>
        <v/>
      </c>
      <c r="K2605" s="3">
        <f>IF(ORIG!K2605=0,"",ORIG!K2605)</f>
        <v/>
      </c>
      <c r="L2605" s="3">
        <f>IF(ORIG!L2605=0,"",ORIG!L2605)</f>
        <v/>
      </c>
      <c r="M2605" s="3">
        <f>IF(ORIG!M2605=0,"",ORIG!M2605)</f>
        <v/>
      </c>
      <c r="N2605" s="3">
        <f>IF(ORIG!N2605=0,"",ORIG!N2605)</f>
        <v/>
      </c>
      <c r="O2605" s="3">
        <f>IF(ORIG!O2605=0,"",ORIG!O2605)</f>
        <v/>
      </c>
      <c r="P2605" s="3">
        <f>IF(ORIG!P2605=0,"",ORIG!P2605)</f>
        <v/>
      </c>
      <c r="Q2605" s="3">
        <f>IF(ORIG!Q2605=0,"",ORIG!Q2605)</f>
        <v/>
      </c>
      <c r="R2605" s="3">
        <f>IF(ORIG!R2605=0,"",ORIG!R2605)</f>
        <v/>
      </c>
      <c r="S2605" s="3">
        <f>IF(ORIG!S2605=0,"",ORIG!S2605)</f>
        <v/>
      </c>
      <c r="T2605" s="3">
        <f>IF(ORIG!T2605=0,"",ORIG!T2605)</f>
        <v/>
      </c>
      <c r="U2605" s="3">
        <f>IF(ORIG!U2605=0,"",ORIG!U2605)</f>
        <v/>
      </c>
      <c r="V2605" s="9">
        <f>IF(ORIG!V2605=0,"",ORIG!V2605)</f>
        <v/>
      </c>
      <c r="W2605" s="9">
        <f>IF(ORIG!W2605=0,"",ORIG!W2605)</f>
        <v/>
      </c>
      <c r="X2605" s="9">
        <f>IF(ORIG!X2605=0,"",ORIG!X2605)</f>
        <v/>
      </c>
      <c r="Y2605" s="9">
        <f>IF(ORIG!Y2605=0,"",ORIG!Y2605)</f>
        <v/>
      </c>
      <c r="Z2605" s="3">
        <f>SUMPRODUCT($B2605:$Y2605,$B$2649:$Y$2649)</f>
        <v/>
      </c>
      <c r="AA2605" s="3">
        <f>SUMPRODUCT($B2605:$Y2605,$B$2655:$Y$2655)</f>
        <v/>
      </c>
      <c r="AC2605" s="1">
        <f>A2605</f>
        <v/>
      </c>
      <c r="AD2605">
        <f>IF(ISNUMBER(V2605),V2605*($AB$1/V$2635),"")</f>
        <v/>
      </c>
      <c r="AE2605">
        <f>IF(ISNUMBER(Z2605),Z2605*($AB$1/Z$2635),"")</f>
        <v/>
      </c>
      <c r="AF2605" s="25">
        <f>IF(ISNUMBER(AD2605+AE2605),AD2605+AE2605,"")</f>
        <v/>
      </c>
      <c r="AH2605" s="1">
        <f>A2605</f>
        <v/>
      </c>
      <c r="AI2605">
        <f>IF(ISNUMBER((1+V2605)*AI2604),(1+V2605)*AI2604,AI2604)</f>
        <v/>
      </c>
      <c r="AJ2605">
        <f>IF(ISNUMBER((1+Z2605)*AJ2604),(1+Z2605)*AJ2604,AJ2604)</f>
        <v/>
      </c>
    </row>
    <row r="2606">
      <c r="A2606" s="1" t="n">
        <v>45786</v>
      </c>
      <c r="B2606" s="3">
        <f>IF(ORIG!B2606=0,"",ORIG!B2606)</f>
        <v/>
      </c>
      <c r="C2606" s="3">
        <f>IF(ORIG!C2606=0,"",ORIG!C2606)</f>
        <v/>
      </c>
      <c r="D2606" s="3">
        <f>IF(ORIG!D2606=0,"",ORIG!D2606)</f>
        <v/>
      </c>
      <c r="E2606" s="3">
        <f>IF(ORIG!E2606=0,"",ORIG!E2606)</f>
        <v/>
      </c>
      <c r="F2606" s="3">
        <f>IF(ORIG!F2606=0,"",ORIG!F2606)</f>
        <v/>
      </c>
      <c r="G2606" s="3">
        <f>IF(ORIG!G2606=0,"",ORIG!G2606)</f>
        <v/>
      </c>
      <c r="H2606" s="3">
        <f>IF(ORIG!H2606=0,"",ORIG!H2606)</f>
        <v/>
      </c>
      <c r="I2606" s="3">
        <f>IF(ORIG!I2606=0,"",ORIG!I2606)</f>
        <v/>
      </c>
      <c r="J2606" s="3">
        <f>IF(ORIG!J2606=0,"",ORIG!J2606)</f>
        <v/>
      </c>
      <c r="K2606" s="3">
        <f>IF(ORIG!K2606=0,"",ORIG!K2606)</f>
        <v/>
      </c>
      <c r="L2606" s="3">
        <f>IF(ORIG!L2606=0,"",ORIG!L2606)</f>
        <v/>
      </c>
      <c r="M2606" s="3">
        <f>IF(ORIG!M2606=0,"",ORIG!M2606)</f>
        <v/>
      </c>
      <c r="N2606" s="3">
        <f>IF(ORIG!N2606=0,"",ORIG!N2606)</f>
        <v/>
      </c>
      <c r="O2606" s="3">
        <f>IF(ORIG!O2606=0,"",ORIG!O2606)</f>
        <v/>
      </c>
      <c r="P2606" s="3">
        <f>IF(ORIG!P2606=0,"",ORIG!P2606)</f>
        <v/>
      </c>
      <c r="Q2606" s="3">
        <f>IF(ORIG!Q2606=0,"",ORIG!Q2606)</f>
        <v/>
      </c>
      <c r="R2606" s="3">
        <f>IF(ORIG!R2606=0,"",ORIG!R2606)</f>
        <v/>
      </c>
      <c r="S2606" s="3">
        <f>IF(ORIG!S2606=0,"",ORIG!S2606)</f>
        <v/>
      </c>
      <c r="T2606" s="3">
        <f>IF(ORIG!T2606=0,"",ORIG!T2606)</f>
        <v/>
      </c>
      <c r="U2606" s="3">
        <f>IF(ORIG!U2606=0,"",ORIG!U2606)</f>
        <v/>
      </c>
      <c r="V2606" s="9">
        <f>IF(ORIG!V2606=0,"",ORIG!V2606)</f>
        <v/>
      </c>
      <c r="W2606" s="9">
        <f>IF(ORIG!W2606=0,"",ORIG!W2606)</f>
        <v/>
      </c>
      <c r="X2606" s="9">
        <f>IF(ORIG!X2606=0,"",ORIG!X2606)</f>
        <v/>
      </c>
      <c r="Y2606" s="9">
        <f>IF(ORIG!Y2606=0,"",ORIG!Y2606)</f>
        <v/>
      </c>
      <c r="Z2606" s="3">
        <f>SUMPRODUCT($B2606:$Y2606,$B$2649:$Y$2649)</f>
        <v/>
      </c>
      <c r="AA2606" s="3">
        <f>SUMPRODUCT($B2606:$Y2606,$B$2655:$Y$2655)</f>
        <v/>
      </c>
      <c r="AC2606" s="1">
        <f>A2606</f>
        <v/>
      </c>
      <c r="AD2606">
        <f>IF(ISNUMBER(V2606),V2606*($AB$1/V$2635),"")</f>
        <v/>
      </c>
      <c r="AE2606">
        <f>IF(ISNUMBER(Z2606),Z2606*($AB$1/Z$2635),"")</f>
        <v/>
      </c>
      <c r="AF2606" s="25">
        <f>IF(ISNUMBER(AD2606+AE2606),AD2606+AE2606,"")</f>
        <v/>
      </c>
      <c r="AH2606" s="1">
        <f>A2606</f>
        <v/>
      </c>
      <c r="AI2606">
        <f>IF(ISNUMBER((1+V2606)*AI2605),(1+V2606)*AI2605,AI2605)</f>
        <v/>
      </c>
      <c r="AJ2606">
        <f>IF(ISNUMBER((1+Z2606)*AJ2605),(1+Z2606)*AJ2605,AJ2605)</f>
        <v/>
      </c>
    </row>
    <row r="2607">
      <c r="A2607" s="1" t="n">
        <v>45789</v>
      </c>
      <c r="B2607" s="3">
        <f>IF(ORIG!B2607=0,"",ORIG!B2607)</f>
        <v/>
      </c>
      <c r="C2607" s="3">
        <f>IF(ORIG!C2607=0,"",ORIG!C2607)</f>
        <v/>
      </c>
      <c r="D2607" s="3">
        <f>IF(ORIG!D2607=0,"",ORIG!D2607)</f>
        <v/>
      </c>
      <c r="E2607" s="3">
        <f>IF(ORIG!E2607=0,"",ORIG!E2607)</f>
        <v/>
      </c>
      <c r="F2607" s="3">
        <f>IF(ORIG!F2607=0,"",ORIG!F2607)</f>
        <v/>
      </c>
      <c r="G2607" s="3">
        <f>IF(ORIG!G2607=0,"",ORIG!G2607)</f>
        <v/>
      </c>
      <c r="H2607" s="3">
        <f>IF(ORIG!H2607=0,"",ORIG!H2607)</f>
        <v/>
      </c>
      <c r="I2607" s="3">
        <f>IF(ORIG!I2607=0,"",ORIG!I2607)</f>
        <v/>
      </c>
      <c r="J2607" s="3">
        <f>IF(ORIG!J2607=0,"",ORIG!J2607)</f>
        <v/>
      </c>
      <c r="K2607" s="3">
        <f>IF(ORIG!K2607=0,"",ORIG!K2607)</f>
        <v/>
      </c>
      <c r="L2607" s="3">
        <f>IF(ORIG!L2607=0,"",ORIG!L2607)</f>
        <v/>
      </c>
      <c r="M2607" s="3">
        <f>IF(ORIG!M2607=0,"",ORIG!M2607)</f>
        <v/>
      </c>
      <c r="N2607" s="3">
        <f>IF(ORIG!N2607=0,"",ORIG!N2607)</f>
        <v/>
      </c>
      <c r="O2607" s="3">
        <f>IF(ORIG!O2607=0,"",ORIG!O2607)</f>
        <v/>
      </c>
      <c r="P2607" s="3">
        <f>IF(ORIG!P2607=0,"",ORIG!P2607)</f>
        <v/>
      </c>
      <c r="Q2607" s="3">
        <f>IF(ORIG!Q2607=0,"",ORIG!Q2607)</f>
        <v/>
      </c>
      <c r="R2607" s="3">
        <f>IF(ORIG!R2607=0,"",ORIG!R2607)</f>
        <v/>
      </c>
      <c r="S2607" s="3">
        <f>IF(ORIG!S2607=0,"",ORIG!S2607)</f>
        <v/>
      </c>
      <c r="T2607" s="3">
        <f>IF(ORIG!T2607=0,"",ORIG!T2607)</f>
        <v/>
      </c>
      <c r="U2607" s="3">
        <f>IF(ORIG!U2607=0,"",ORIG!U2607)</f>
        <v/>
      </c>
      <c r="V2607" s="9">
        <f>IF(ORIG!V2607=0,"",ORIG!V2607)</f>
        <v/>
      </c>
      <c r="W2607" s="9">
        <f>IF(ORIG!W2607=0,"",ORIG!W2607)</f>
        <v/>
      </c>
      <c r="X2607" s="9">
        <f>IF(ORIG!X2607=0,"",ORIG!X2607)</f>
        <v/>
      </c>
      <c r="Y2607" s="9">
        <f>IF(ORIG!Y2607=0,"",ORIG!Y2607)</f>
        <v/>
      </c>
      <c r="Z2607" s="3">
        <f>SUMPRODUCT($B2607:$Y2607,$B$2649:$Y$2649)</f>
        <v/>
      </c>
      <c r="AA2607" s="3">
        <f>SUMPRODUCT($B2607:$Y2607,$B$2655:$Y$2655)</f>
        <v/>
      </c>
      <c r="AC2607" s="1">
        <f>A2607</f>
        <v/>
      </c>
      <c r="AD2607">
        <f>IF(ISNUMBER(V2607),V2607*($AB$1/V$2635),"")</f>
        <v/>
      </c>
      <c r="AE2607">
        <f>IF(ISNUMBER(Z2607),Z2607*($AB$1/Z$2635),"")</f>
        <v/>
      </c>
      <c r="AF2607" s="25">
        <f>IF(ISNUMBER(AD2607+AE2607),AD2607+AE2607,"")</f>
        <v/>
      </c>
      <c r="AH2607" s="1">
        <f>A2607</f>
        <v/>
      </c>
      <c r="AI2607">
        <f>IF(ISNUMBER((1+V2607)*AI2606),(1+V2607)*AI2606,AI2606)</f>
        <v/>
      </c>
      <c r="AJ2607">
        <f>IF(ISNUMBER((1+Z2607)*AJ2606),(1+Z2607)*AJ2606,AJ2606)</f>
        <v/>
      </c>
    </row>
    <row r="2608">
      <c r="A2608" s="1" t="n">
        <v>45790</v>
      </c>
      <c r="B2608" s="3">
        <f>IF(ORIG!B2608=0,"",ORIG!B2608)</f>
        <v/>
      </c>
      <c r="C2608" s="3">
        <f>IF(ORIG!C2608=0,"",ORIG!C2608)</f>
        <v/>
      </c>
      <c r="D2608" s="3">
        <f>IF(ORIG!D2608=0,"",ORIG!D2608)</f>
        <v/>
      </c>
      <c r="E2608" s="3">
        <f>IF(ORIG!E2608=0,"",ORIG!E2608)</f>
        <v/>
      </c>
      <c r="F2608" s="3">
        <f>IF(ORIG!F2608=0,"",ORIG!F2608)</f>
        <v/>
      </c>
      <c r="G2608" s="3">
        <f>IF(ORIG!G2608=0,"",ORIG!G2608)</f>
        <v/>
      </c>
      <c r="H2608" s="3">
        <f>IF(ORIG!H2608=0,"",ORIG!H2608)</f>
        <v/>
      </c>
      <c r="I2608" s="3">
        <f>IF(ORIG!I2608=0,"",ORIG!I2608)</f>
        <v/>
      </c>
      <c r="J2608" s="3">
        <f>IF(ORIG!J2608=0,"",ORIG!J2608)</f>
        <v/>
      </c>
      <c r="K2608" s="3">
        <f>IF(ORIG!K2608=0,"",ORIG!K2608)</f>
        <v/>
      </c>
      <c r="L2608" s="3">
        <f>IF(ORIG!L2608=0,"",ORIG!L2608)</f>
        <v/>
      </c>
      <c r="M2608" s="3">
        <f>IF(ORIG!M2608=0,"",ORIG!M2608)</f>
        <v/>
      </c>
      <c r="N2608" s="3">
        <f>IF(ORIG!N2608=0,"",ORIG!N2608)</f>
        <v/>
      </c>
      <c r="O2608" s="3">
        <f>IF(ORIG!O2608=0,"",ORIG!O2608)</f>
        <v/>
      </c>
      <c r="P2608" s="3">
        <f>IF(ORIG!P2608=0,"",ORIG!P2608)</f>
        <v/>
      </c>
      <c r="Q2608" s="3">
        <f>IF(ORIG!Q2608=0,"",ORIG!Q2608)</f>
        <v/>
      </c>
      <c r="R2608" s="3">
        <f>IF(ORIG!R2608=0,"",ORIG!R2608)</f>
        <v/>
      </c>
      <c r="S2608" s="3">
        <f>IF(ORIG!S2608=0,"",ORIG!S2608)</f>
        <v/>
      </c>
      <c r="T2608" s="3">
        <f>IF(ORIG!T2608=0,"",ORIG!T2608)</f>
        <v/>
      </c>
      <c r="U2608" s="3">
        <f>IF(ORIG!U2608=0,"",ORIG!U2608)</f>
        <v/>
      </c>
      <c r="V2608" s="9">
        <f>IF(ORIG!V2608=0,"",ORIG!V2608)</f>
        <v/>
      </c>
      <c r="W2608" s="9">
        <f>IF(ORIG!W2608=0,"",ORIG!W2608)</f>
        <v/>
      </c>
      <c r="X2608" s="9">
        <f>IF(ORIG!X2608=0,"",ORIG!X2608)</f>
        <v/>
      </c>
      <c r="Y2608" s="9">
        <f>IF(ORIG!Y2608=0,"",ORIG!Y2608)</f>
        <v/>
      </c>
      <c r="Z2608" s="3">
        <f>SUMPRODUCT($B2608:$Y2608,$B$2649:$Y$2649)</f>
        <v/>
      </c>
      <c r="AA2608" s="3">
        <f>SUMPRODUCT($B2608:$Y2608,$B$2655:$Y$2655)</f>
        <v/>
      </c>
      <c r="AC2608" s="1">
        <f>A2608</f>
        <v/>
      </c>
      <c r="AD2608">
        <f>IF(ISNUMBER(V2608),V2608*($AB$1/V$2635),"")</f>
        <v/>
      </c>
      <c r="AE2608">
        <f>IF(ISNUMBER(Z2608),Z2608*($AB$1/Z$2635),"")</f>
        <v/>
      </c>
      <c r="AF2608" s="25">
        <f>IF(ISNUMBER(AD2608+AE2608),AD2608+AE2608,"")</f>
        <v/>
      </c>
      <c r="AH2608" s="1">
        <f>A2608</f>
        <v/>
      </c>
      <c r="AI2608">
        <f>IF(ISNUMBER((1+V2608)*AI2607),(1+V2608)*AI2607,AI2607)</f>
        <v/>
      </c>
      <c r="AJ2608">
        <f>IF(ISNUMBER((1+Z2608)*AJ2607),(1+Z2608)*AJ2607,AJ2607)</f>
        <v/>
      </c>
    </row>
    <row r="2609">
      <c r="A2609" s="1" t="n">
        <v>45791</v>
      </c>
      <c r="B2609" s="3">
        <f>IF(ORIG!B2609=0,"",ORIG!B2609)</f>
        <v/>
      </c>
      <c r="C2609" s="3">
        <f>IF(ORIG!C2609=0,"",ORIG!C2609)</f>
        <v/>
      </c>
      <c r="D2609" s="3">
        <f>IF(ORIG!D2609=0,"",ORIG!D2609)</f>
        <v/>
      </c>
      <c r="E2609" s="3">
        <f>IF(ORIG!E2609=0,"",ORIG!E2609)</f>
        <v/>
      </c>
      <c r="F2609" s="3">
        <f>IF(ORIG!F2609=0,"",ORIG!F2609)</f>
        <v/>
      </c>
      <c r="G2609" s="3">
        <f>IF(ORIG!G2609=0,"",ORIG!G2609)</f>
        <v/>
      </c>
      <c r="H2609" s="3">
        <f>IF(ORIG!H2609=0,"",ORIG!H2609)</f>
        <v/>
      </c>
      <c r="I2609" s="3">
        <f>IF(ORIG!I2609=0,"",ORIG!I2609)</f>
        <v/>
      </c>
      <c r="J2609" s="3">
        <f>IF(ORIG!J2609=0,"",ORIG!J2609)</f>
        <v/>
      </c>
      <c r="K2609" s="3">
        <f>IF(ORIG!K2609=0,"",ORIG!K2609)</f>
        <v/>
      </c>
      <c r="L2609" s="3">
        <f>IF(ORIG!L2609=0,"",ORIG!L2609)</f>
        <v/>
      </c>
      <c r="M2609" s="3">
        <f>IF(ORIG!M2609=0,"",ORIG!M2609)</f>
        <v/>
      </c>
      <c r="N2609" s="3">
        <f>IF(ORIG!N2609=0,"",ORIG!N2609)</f>
        <v/>
      </c>
      <c r="O2609" s="3">
        <f>IF(ORIG!O2609=0,"",ORIG!O2609)</f>
        <v/>
      </c>
      <c r="P2609" s="3">
        <f>IF(ORIG!P2609=0,"",ORIG!P2609)</f>
        <v/>
      </c>
      <c r="Q2609" s="3">
        <f>IF(ORIG!Q2609=0,"",ORIG!Q2609)</f>
        <v/>
      </c>
      <c r="R2609" s="3">
        <f>IF(ORIG!R2609=0,"",ORIG!R2609)</f>
        <v/>
      </c>
      <c r="S2609" s="3">
        <f>IF(ORIG!S2609=0,"",ORIG!S2609)</f>
        <v/>
      </c>
      <c r="T2609" s="3">
        <f>IF(ORIG!T2609=0,"",ORIG!T2609)</f>
        <v/>
      </c>
      <c r="U2609" s="3">
        <f>IF(ORIG!U2609=0,"",ORIG!U2609)</f>
        <v/>
      </c>
      <c r="V2609" s="9">
        <f>IF(ORIG!V2609=0,"",ORIG!V2609)</f>
        <v/>
      </c>
      <c r="W2609" s="9">
        <f>IF(ORIG!W2609=0,"",ORIG!W2609)</f>
        <v/>
      </c>
      <c r="X2609" s="9">
        <f>IF(ORIG!X2609=0,"",ORIG!X2609)</f>
        <v/>
      </c>
      <c r="Y2609" s="9">
        <f>IF(ORIG!Y2609=0,"",ORIG!Y2609)</f>
        <v/>
      </c>
      <c r="Z2609" s="3">
        <f>SUMPRODUCT($B2609:$Y2609,$B$2649:$Y$2649)</f>
        <v/>
      </c>
      <c r="AA2609" s="3">
        <f>SUMPRODUCT($B2609:$Y2609,$B$2655:$Y$2655)</f>
        <v/>
      </c>
      <c r="AC2609" s="1">
        <f>A2609</f>
        <v/>
      </c>
      <c r="AD2609">
        <f>IF(ISNUMBER(V2609),V2609*($AB$1/V$2635),"")</f>
        <v/>
      </c>
      <c r="AE2609">
        <f>IF(ISNUMBER(Z2609),Z2609*($AB$1/Z$2635),"")</f>
        <v/>
      </c>
      <c r="AF2609" s="25">
        <f>IF(ISNUMBER(AD2609+AE2609),AD2609+AE2609,"")</f>
        <v/>
      </c>
      <c r="AH2609" s="1">
        <f>A2609</f>
        <v/>
      </c>
      <c r="AI2609">
        <f>IF(ISNUMBER((1+V2609)*AI2608),(1+V2609)*AI2608,AI2608)</f>
        <v/>
      </c>
      <c r="AJ2609">
        <f>IF(ISNUMBER((1+Z2609)*AJ2608),(1+Z2609)*AJ2608,AJ2608)</f>
        <v/>
      </c>
    </row>
    <row r="2610">
      <c r="A2610" s="1" t="n">
        <v>45792</v>
      </c>
      <c r="B2610" s="3">
        <f>IF(ORIG!B2610=0,"",ORIG!B2610)</f>
        <v/>
      </c>
      <c r="C2610" s="3">
        <f>IF(ORIG!C2610=0,"",ORIG!C2610)</f>
        <v/>
      </c>
      <c r="D2610" s="3">
        <f>IF(ORIG!D2610=0,"",ORIG!D2610)</f>
        <v/>
      </c>
      <c r="E2610" s="3">
        <f>IF(ORIG!E2610=0,"",ORIG!E2610)</f>
        <v/>
      </c>
      <c r="F2610" s="3">
        <f>IF(ORIG!F2610=0,"",ORIG!F2610)</f>
        <v/>
      </c>
      <c r="G2610" s="3">
        <f>IF(ORIG!G2610=0,"",ORIG!G2610)</f>
        <v/>
      </c>
      <c r="H2610" s="3">
        <f>IF(ORIG!H2610=0,"",ORIG!H2610)</f>
        <v/>
      </c>
      <c r="I2610" s="3">
        <f>IF(ORIG!I2610=0,"",ORIG!I2610)</f>
        <v/>
      </c>
      <c r="J2610" s="3">
        <f>IF(ORIG!J2610=0,"",ORIG!J2610)</f>
        <v/>
      </c>
      <c r="K2610" s="3">
        <f>IF(ORIG!K2610=0,"",ORIG!K2610)</f>
        <v/>
      </c>
      <c r="L2610" s="3">
        <f>IF(ORIG!L2610=0,"",ORIG!L2610)</f>
        <v/>
      </c>
      <c r="M2610" s="3">
        <f>IF(ORIG!M2610=0,"",ORIG!M2610)</f>
        <v/>
      </c>
      <c r="N2610" s="3">
        <f>IF(ORIG!N2610=0,"",ORIG!N2610)</f>
        <v/>
      </c>
      <c r="O2610" s="3">
        <f>IF(ORIG!O2610=0,"",ORIG!O2610)</f>
        <v/>
      </c>
      <c r="P2610" s="3">
        <f>IF(ORIG!P2610=0,"",ORIG!P2610)</f>
        <v/>
      </c>
      <c r="Q2610" s="3">
        <f>IF(ORIG!Q2610=0,"",ORIG!Q2610)</f>
        <v/>
      </c>
      <c r="R2610" s="3">
        <f>IF(ORIG!R2610=0,"",ORIG!R2610)</f>
        <v/>
      </c>
      <c r="S2610" s="3">
        <f>IF(ORIG!S2610=0,"",ORIG!S2610)</f>
        <v/>
      </c>
      <c r="T2610" s="3">
        <f>IF(ORIG!T2610=0,"",ORIG!T2610)</f>
        <v/>
      </c>
      <c r="U2610" s="3">
        <f>IF(ORIG!U2610=0,"",ORIG!U2610)</f>
        <v/>
      </c>
      <c r="V2610" s="9">
        <f>IF(ORIG!V2610=0,"",ORIG!V2610)</f>
        <v/>
      </c>
      <c r="W2610" s="9">
        <f>IF(ORIG!W2610=0,"",ORIG!W2610)</f>
        <v/>
      </c>
      <c r="X2610" s="9">
        <f>IF(ORIG!X2610=0,"",ORIG!X2610)</f>
        <v/>
      </c>
      <c r="Y2610" s="9">
        <f>IF(ORIG!Y2610=0,"",ORIG!Y2610)</f>
        <v/>
      </c>
      <c r="Z2610" s="3">
        <f>SUMPRODUCT($B2610:$Y2610,$B$2649:$Y$2649)</f>
        <v/>
      </c>
      <c r="AA2610" s="3">
        <f>SUMPRODUCT($B2610:$Y2610,$B$2655:$Y$2655)</f>
        <v/>
      </c>
      <c r="AC2610" s="1">
        <f>A2610</f>
        <v/>
      </c>
      <c r="AD2610">
        <f>IF(ISNUMBER(V2610),V2610*($AB$1/V$2635),"")</f>
        <v/>
      </c>
      <c r="AE2610">
        <f>IF(ISNUMBER(Z2610),Z2610*($AB$1/Z$2635),"")</f>
        <v/>
      </c>
      <c r="AF2610" s="25">
        <f>IF(ISNUMBER(AD2610+AE2610),AD2610+AE2610,"")</f>
        <v/>
      </c>
      <c r="AH2610" s="1">
        <f>A2610</f>
        <v/>
      </c>
      <c r="AI2610">
        <f>IF(ISNUMBER((1+V2610)*AI2609),(1+V2610)*AI2609,AI2609)</f>
        <v/>
      </c>
      <c r="AJ2610">
        <f>IF(ISNUMBER((1+Z2610)*AJ2609),(1+Z2610)*AJ2609,AJ2609)</f>
        <v/>
      </c>
    </row>
    <row r="2611">
      <c r="A2611" s="1" t="n">
        <v>45793</v>
      </c>
      <c r="B2611" s="3">
        <f>IF(ORIG!B2611=0,"",ORIG!B2611)</f>
        <v/>
      </c>
      <c r="C2611" s="3">
        <f>IF(ORIG!C2611=0,"",ORIG!C2611)</f>
        <v/>
      </c>
      <c r="D2611" s="3">
        <f>IF(ORIG!D2611=0,"",ORIG!D2611)</f>
        <v/>
      </c>
      <c r="E2611" s="3">
        <f>IF(ORIG!E2611=0,"",ORIG!E2611)</f>
        <v/>
      </c>
      <c r="F2611" s="3">
        <f>IF(ORIG!F2611=0,"",ORIG!F2611)</f>
        <v/>
      </c>
      <c r="G2611" s="3">
        <f>IF(ORIG!G2611=0,"",ORIG!G2611)</f>
        <v/>
      </c>
      <c r="H2611" s="3">
        <f>IF(ORIG!H2611=0,"",ORIG!H2611)</f>
        <v/>
      </c>
      <c r="I2611" s="3">
        <f>IF(ORIG!I2611=0,"",ORIG!I2611)</f>
        <v/>
      </c>
      <c r="J2611" s="3">
        <f>IF(ORIG!J2611=0,"",ORIG!J2611)</f>
        <v/>
      </c>
      <c r="K2611" s="3">
        <f>IF(ORIG!K2611=0,"",ORIG!K2611)</f>
        <v/>
      </c>
      <c r="L2611" s="3">
        <f>IF(ORIG!L2611=0,"",ORIG!L2611)</f>
        <v/>
      </c>
      <c r="M2611" s="3">
        <f>IF(ORIG!M2611=0,"",ORIG!M2611)</f>
        <v/>
      </c>
      <c r="N2611" s="3">
        <f>IF(ORIG!N2611=0,"",ORIG!N2611)</f>
        <v/>
      </c>
      <c r="O2611" s="3">
        <f>IF(ORIG!O2611=0,"",ORIG!O2611)</f>
        <v/>
      </c>
      <c r="P2611" s="3">
        <f>IF(ORIG!P2611=0,"",ORIG!P2611)</f>
        <v/>
      </c>
      <c r="Q2611" s="3">
        <f>IF(ORIG!Q2611=0,"",ORIG!Q2611)</f>
        <v/>
      </c>
      <c r="R2611" s="3">
        <f>IF(ORIG!R2611=0,"",ORIG!R2611)</f>
        <v/>
      </c>
      <c r="S2611" s="3">
        <f>IF(ORIG!S2611=0,"",ORIG!S2611)</f>
        <v/>
      </c>
      <c r="T2611" s="3">
        <f>IF(ORIG!T2611=0,"",ORIG!T2611)</f>
        <v/>
      </c>
      <c r="U2611" s="3">
        <f>IF(ORIG!U2611=0,"",ORIG!U2611)</f>
        <v/>
      </c>
      <c r="V2611" s="9">
        <f>IF(ORIG!V2611=0,"",ORIG!V2611)</f>
        <v/>
      </c>
      <c r="W2611" s="9">
        <f>IF(ORIG!W2611=0,"",ORIG!W2611)</f>
        <v/>
      </c>
      <c r="X2611" s="9">
        <f>IF(ORIG!X2611=0,"",ORIG!X2611)</f>
        <v/>
      </c>
      <c r="Y2611" s="9">
        <f>IF(ORIG!Y2611=0,"",ORIG!Y2611)</f>
        <v/>
      </c>
      <c r="Z2611" s="3">
        <f>SUMPRODUCT($B2611:$Y2611,$B$2649:$Y$2649)</f>
        <v/>
      </c>
      <c r="AA2611" s="3">
        <f>SUMPRODUCT($B2611:$Y2611,$B$2655:$Y$2655)</f>
        <v/>
      </c>
      <c r="AC2611" s="1">
        <f>A2611</f>
        <v/>
      </c>
      <c r="AD2611">
        <f>IF(ISNUMBER(V2611),V2611*($AB$1/V$2635),"")</f>
        <v/>
      </c>
      <c r="AE2611">
        <f>IF(ISNUMBER(Z2611),Z2611*($AB$1/Z$2635),"")</f>
        <v/>
      </c>
      <c r="AF2611" s="25">
        <f>IF(ISNUMBER(AD2611+AE2611),AD2611+AE2611,"")</f>
        <v/>
      </c>
      <c r="AH2611" s="1">
        <f>A2611</f>
        <v/>
      </c>
      <c r="AI2611">
        <f>IF(ISNUMBER((1+V2611)*AI2610),(1+V2611)*AI2610,AI2610)</f>
        <v/>
      </c>
      <c r="AJ2611">
        <f>IF(ISNUMBER((1+Z2611)*AJ2610),(1+Z2611)*AJ2610,AJ2610)</f>
        <v/>
      </c>
    </row>
    <row r="2612">
      <c r="A2612" s="1" t="n">
        <v>45796</v>
      </c>
      <c r="B2612" s="3">
        <f>IF(ORIG!B2612=0,"",ORIG!B2612)</f>
        <v/>
      </c>
      <c r="C2612" s="3">
        <f>IF(ORIG!C2612=0,"",ORIG!C2612)</f>
        <v/>
      </c>
      <c r="D2612" s="3">
        <f>IF(ORIG!D2612=0,"",ORIG!D2612)</f>
        <v/>
      </c>
      <c r="E2612" s="3">
        <f>IF(ORIG!E2612=0,"",ORIG!E2612)</f>
        <v/>
      </c>
      <c r="F2612" s="3">
        <f>IF(ORIG!F2612=0,"",ORIG!F2612)</f>
        <v/>
      </c>
      <c r="G2612" s="3">
        <f>IF(ORIG!G2612=0,"",ORIG!G2612)</f>
        <v/>
      </c>
      <c r="H2612" s="3">
        <f>IF(ORIG!H2612=0,"",ORIG!H2612)</f>
        <v/>
      </c>
      <c r="I2612" s="3">
        <f>IF(ORIG!I2612=0,"",ORIG!I2612)</f>
        <v/>
      </c>
      <c r="J2612" s="3">
        <f>IF(ORIG!J2612=0,"",ORIG!J2612)</f>
        <v/>
      </c>
      <c r="K2612" s="3">
        <f>IF(ORIG!K2612=0,"",ORIG!K2612)</f>
        <v/>
      </c>
      <c r="L2612" s="3">
        <f>IF(ORIG!L2612=0,"",ORIG!L2612)</f>
        <v/>
      </c>
      <c r="M2612" s="3">
        <f>IF(ORIG!M2612=0,"",ORIG!M2612)</f>
        <v/>
      </c>
      <c r="N2612" s="3">
        <f>IF(ORIG!N2612=0,"",ORIG!N2612)</f>
        <v/>
      </c>
      <c r="O2612" s="3">
        <f>IF(ORIG!O2612=0,"",ORIG!O2612)</f>
        <v/>
      </c>
      <c r="P2612" s="3">
        <f>IF(ORIG!P2612=0,"",ORIG!P2612)</f>
        <v/>
      </c>
      <c r="Q2612" s="3">
        <f>IF(ORIG!Q2612=0,"",ORIG!Q2612)</f>
        <v/>
      </c>
      <c r="R2612" s="3">
        <f>IF(ORIG!R2612=0,"",ORIG!R2612)</f>
        <v/>
      </c>
      <c r="S2612" s="3">
        <f>IF(ORIG!S2612=0,"",ORIG!S2612)</f>
        <v/>
      </c>
      <c r="T2612" s="3">
        <f>IF(ORIG!T2612=0,"",ORIG!T2612)</f>
        <v/>
      </c>
      <c r="U2612" s="3">
        <f>IF(ORIG!U2612=0,"",ORIG!U2612)</f>
        <v/>
      </c>
      <c r="V2612" s="9">
        <f>IF(ORIG!V2612=0,"",ORIG!V2612)</f>
        <v/>
      </c>
      <c r="W2612" s="9">
        <f>IF(ORIG!W2612=0,"",ORIG!W2612)</f>
        <v/>
      </c>
      <c r="X2612" s="9">
        <f>IF(ORIG!X2612=0,"",ORIG!X2612)</f>
        <v/>
      </c>
      <c r="Y2612" s="9">
        <f>IF(ORIG!Y2612=0,"",ORIG!Y2612)</f>
        <v/>
      </c>
      <c r="Z2612" s="3">
        <f>SUMPRODUCT($B2612:$Y2612,$B$2649:$Y$2649)</f>
        <v/>
      </c>
      <c r="AA2612" s="3">
        <f>SUMPRODUCT($B2612:$Y2612,$B$2655:$Y$2655)</f>
        <v/>
      </c>
      <c r="AC2612" s="1">
        <f>A2612</f>
        <v/>
      </c>
      <c r="AD2612">
        <f>IF(ISNUMBER(V2612),V2612*($AB$1/V$2635),"")</f>
        <v/>
      </c>
      <c r="AE2612">
        <f>IF(ISNUMBER(Z2612),Z2612*($AB$1/Z$2635),"")</f>
        <v/>
      </c>
      <c r="AF2612" s="25">
        <f>IF(ISNUMBER(AD2612+AE2612),AD2612+AE2612,"")</f>
        <v/>
      </c>
      <c r="AH2612" s="1">
        <f>A2612</f>
        <v/>
      </c>
      <c r="AI2612">
        <f>IF(ISNUMBER((1+V2612)*AI2611),(1+V2612)*AI2611,AI2611)</f>
        <v/>
      </c>
      <c r="AJ2612">
        <f>IF(ISNUMBER((1+Z2612)*AJ2611),(1+Z2612)*AJ2611,AJ2611)</f>
        <v/>
      </c>
    </row>
    <row r="2613">
      <c r="A2613" s="1" t="n">
        <v>45797</v>
      </c>
      <c r="B2613" s="3">
        <f>IF(ORIG!B2613=0,"",ORIG!B2613)</f>
        <v/>
      </c>
      <c r="C2613" s="3">
        <f>IF(ORIG!C2613=0,"",ORIG!C2613)</f>
        <v/>
      </c>
      <c r="D2613" s="3">
        <f>IF(ORIG!D2613=0,"",ORIG!D2613)</f>
        <v/>
      </c>
      <c r="E2613" s="3">
        <f>IF(ORIG!E2613=0,"",ORIG!E2613)</f>
        <v/>
      </c>
      <c r="F2613" s="3">
        <f>IF(ORIG!F2613=0,"",ORIG!F2613)</f>
        <v/>
      </c>
      <c r="G2613" s="3">
        <f>IF(ORIG!G2613=0,"",ORIG!G2613)</f>
        <v/>
      </c>
      <c r="H2613" s="3">
        <f>IF(ORIG!H2613=0,"",ORIG!H2613)</f>
        <v/>
      </c>
      <c r="I2613" s="3">
        <f>IF(ORIG!I2613=0,"",ORIG!I2613)</f>
        <v/>
      </c>
      <c r="J2613" s="3">
        <f>IF(ORIG!J2613=0,"",ORIG!J2613)</f>
        <v/>
      </c>
      <c r="K2613" s="3">
        <f>IF(ORIG!K2613=0,"",ORIG!K2613)</f>
        <v/>
      </c>
      <c r="L2613" s="3">
        <f>IF(ORIG!L2613=0,"",ORIG!L2613)</f>
        <v/>
      </c>
      <c r="M2613" s="3">
        <f>IF(ORIG!M2613=0,"",ORIG!M2613)</f>
        <v/>
      </c>
      <c r="N2613" s="3">
        <f>IF(ORIG!N2613=0,"",ORIG!N2613)</f>
        <v/>
      </c>
      <c r="O2613" s="3">
        <f>IF(ORIG!O2613=0,"",ORIG!O2613)</f>
        <v/>
      </c>
      <c r="P2613" s="3">
        <f>IF(ORIG!P2613=0,"",ORIG!P2613)</f>
        <v/>
      </c>
      <c r="Q2613" s="3">
        <f>IF(ORIG!Q2613=0,"",ORIG!Q2613)</f>
        <v/>
      </c>
      <c r="R2613" s="3">
        <f>IF(ORIG!R2613=0,"",ORIG!R2613)</f>
        <v/>
      </c>
      <c r="S2613" s="3">
        <f>IF(ORIG!S2613=0,"",ORIG!S2613)</f>
        <v/>
      </c>
      <c r="T2613" s="3">
        <f>IF(ORIG!T2613=0,"",ORIG!T2613)</f>
        <v/>
      </c>
      <c r="U2613" s="3">
        <f>IF(ORIG!U2613=0,"",ORIG!U2613)</f>
        <v/>
      </c>
      <c r="V2613" s="9">
        <f>IF(ORIG!V2613=0,"",ORIG!V2613)</f>
        <v/>
      </c>
      <c r="W2613" s="9">
        <f>IF(ORIG!W2613=0,"",ORIG!W2613)</f>
        <v/>
      </c>
      <c r="X2613" s="9">
        <f>IF(ORIG!X2613=0,"",ORIG!X2613)</f>
        <v/>
      </c>
      <c r="Y2613" s="9">
        <f>IF(ORIG!Y2613=0,"",ORIG!Y2613)</f>
        <v/>
      </c>
      <c r="Z2613" s="3">
        <f>SUMPRODUCT($B2613:$Y2613,$B$2649:$Y$2649)</f>
        <v/>
      </c>
      <c r="AA2613" s="3">
        <f>SUMPRODUCT($B2613:$Y2613,$B$2655:$Y$2655)</f>
        <v/>
      </c>
      <c r="AC2613" s="1">
        <f>A2613</f>
        <v/>
      </c>
      <c r="AD2613">
        <f>IF(ISNUMBER(V2613),V2613*($AB$1/V$2635),"")</f>
        <v/>
      </c>
      <c r="AE2613">
        <f>IF(ISNUMBER(Z2613),Z2613*($AB$1/Z$2635),"")</f>
        <v/>
      </c>
      <c r="AF2613" s="25">
        <f>IF(ISNUMBER(AD2613+AE2613),AD2613+AE2613,"")</f>
        <v/>
      </c>
      <c r="AH2613" s="1">
        <f>A2613</f>
        <v/>
      </c>
      <c r="AI2613">
        <f>IF(ISNUMBER((1+V2613)*AI2612),(1+V2613)*AI2612,AI2612)</f>
        <v/>
      </c>
      <c r="AJ2613">
        <f>IF(ISNUMBER((1+Z2613)*AJ2612),(1+Z2613)*AJ2612,AJ2612)</f>
        <v/>
      </c>
    </row>
    <row r="2614">
      <c r="A2614" s="1" t="n">
        <v>45798</v>
      </c>
      <c r="B2614" s="3">
        <f>IF(ORIG!B2614=0,"",ORIG!B2614)</f>
        <v/>
      </c>
      <c r="C2614" s="3">
        <f>IF(ORIG!C2614=0,"",ORIG!C2614)</f>
        <v/>
      </c>
      <c r="D2614" s="3">
        <f>IF(ORIG!D2614=0,"",ORIG!D2614)</f>
        <v/>
      </c>
      <c r="E2614" s="3">
        <f>IF(ORIG!E2614=0,"",ORIG!E2614)</f>
        <v/>
      </c>
      <c r="F2614" s="3">
        <f>IF(ORIG!F2614=0,"",ORIG!F2614)</f>
        <v/>
      </c>
      <c r="G2614" s="3">
        <f>IF(ORIG!G2614=0,"",ORIG!G2614)</f>
        <v/>
      </c>
      <c r="H2614" s="3">
        <f>IF(ORIG!H2614=0,"",ORIG!H2614)</f>
        <v/>
      </c>
      <c r="I2614" s="3">
        <f>IF(ORIG!I2614=0,"",ORIG!I2614)</f>
        <v/>
      </c>
      <c r="J2614" s="3">
        <f>IF(ORIG!J2614=0,"",ORIG!J2614)</f>
        <v/>
      </c>
      <c r="K2614" s="3">
        <f>IF(ORIG!K2614=0,"",ORIG!K2614)</f>
        <v/>
      </c>
      <c r="L2614" s="3">
        <f>IF(ORIG!L2614=0,"",ORIG!L2614)</f>
        <v/>
      </c>
      <c r="M2614" s="3">
        <f>IF(ORIG!M2614=0,"",ORIG!M2614)</f>
        <v/>
      </c>
      <c r="N2614" s="3">
        <f>IF(ORIG!N2614=0,"",ORIG!N2614)</f>
        <v/>
      </c>
      <c r="O2614" s="3">
        <f>IF(ORIG!O2614=0,"",ORIG!O2614)</f>
        <v/>
      </c>
      <c r="P2614" s="3">
        <f>IF(ORIG!P2614=0,"",ORIG!P2614)</f>
        <v/>
      </c>
      <c r="Q2614" s="3">
        <f>IF(ORIG!Q2614=0,"",ORIG!Q2614)</f>
        <v/>
      </c>
      <c r="R2614" s="3">
        <f>IF(ORIG!R2614=0,"",ORIG!R2614)</f>
        <v/>
      </c>
      <c r="S2614" s="3">
        <f>IF(ORIG!S2614=0,"",ORIG!S2614)</f>
        <v/>
      </c>
      <c r="T2614" s="3">
        <f>IF(ORIG!T2614=0,"",ORIG!T2614)</f>
        <v/>
      </c>
      <c r="U2614" s="3">
        <f>IF(ORIG!U2614=0,"",ORIG!U2614)</f>
        <v/>
      </c>
      <c r="V2614" s="9">
        <f>IF(ORIG!V2614=0,"",ORIG!V2614)</f>
        <v/>
      </c>
      <c r="W2614" s="9">
        <f>IF(ORIG!W2614=0,"",ORIG!W2614)</f>
        <v/>
      </c>
      <c r="X2614" s="9">
        <f>IF(ORIG!X2614=0,"",ORIG!X2614)</f>
        <v/>
      </c>
      <c r="Y2614" s="9">
        <f>IF(ORIG!Y2614=0,"",ORIG!Y2614)</f>
        <v/>
      </c>
      <c r="Z2614" s="3">
        <f>SUMPRODUCT($B2614:$Y2614,$B$2649:$Y$2649)</f>
        <v/>
      </c>
      <c r="AA2614" s="3">
        <f>SUMPRODUCT($B2614:$Y2614,$B$2655:$Y$2655)</f>
        <v/>
      </c>
      <c r="AC2614" s="1">
        <f>A2614</f>
        <v/>
      </c>
      <c r="AD2614">
        <f>IF(ISNUMBER(V2614),V2614*($AB$1/V$2635),"")</f>
        <v/>
      </c>
      <c r="AE2614">
        <f>IF(ISNUMBER(Z2614),Z2614*($AB$1/Z$2635),"")</f>
        <v/>
      </c>
      <c r="AF2614" s="25">
        <f>IF(ISNUMBER(AD2614+AE2614),AD2614+AE2614,"")</f>
        <v/>
      </c>
      <c r="AH2614" s="1">
        <f>A2614</f>
        <v/>
      </c>
      <c r="AI2614">
        <f>IF(ISNUMBER((1+V2614)*AI2613),(1+V2614)*AI2613,AI2613)</f>
        <v/>
      </c>
      <c r="AJ2614">
        <f>IF(ISNUMBER((1+Z2614)*AJ2613),(1+Z2614)*AJ2613,AJ2613)</f>
        <v/>
      </c>
    </row>
    <row r="2615">
      <c r="A2615" s="1" t="n">
        <v>45799</v>
      </c>
      <c r="B2615" s="3">
        <f>IF(ORIG!B2615=0,"",ORIG!B2615)</f>
        <v/>
      </c>
      <c r="C2615" s="3">
        <f>IF(ORIG!C2615=0,"",ORIG!C2615)</f>
        <v/>
      </c>
      <c r="D2615" s="3">
        <f>IF(ORIG!D2615=0,"",ORIG!D2615)</f>
        <v/>
      </c>
      <c r="E2615" s="3">
        <f>IF(ORIG!E2615=0,"",ORIG!E2615)</f>
        <v/>
      </c>
      <c r="F2615" s="3">
        <f>IF(ORIG!F2615=0,"",ORIG!F2615)</f>
        <v/>
      </c>
      <c r="G2615" s="3">
        <f>IF(ORIG!G2615=0,"",ORIG!G2615)</f>
        <v/>
      </c>
      <c r="H2615" s="3">
        <f>IF(ORIG!H2615=0,"",ORIG!H2615)</f>
        <v/>
      </c>
      <c r="I2615" s="3">
        <f>IF(ORIG!I2615=0,"",ORIG!I2615)</f>
        <v/>
      </c>
      <c r="J2615" s="3">
        <f>IF(ORIG!J2615=0,"",ORIG!J2615)</f>
        <v/>
      </c>
      <c r="K2615" s="3">
        <f>IF(ORIG!K2615=0,"",ORIG!K2615)</f>
        <v/>
      </c>
      <c r="L2615" s="3">
        <f>IF(ORIG!L2615=0,"",ORIG!L2615)</f>
        <v/>
      </c>
      <c r="M2615" s="3">
        <f>IF(ORIG!M2615=0,"",ORIG!M2615)</f>
        <v/>
      </c>
      <c r="N2615" s="3">
        <f>IF(ORIG!N2615=0,"",ORIG!N2615)</f>
        <v/>
      </c>
      <c r="O2615" s="3">
        <f>IF(ORIG!O2615=0,"",ORIG!O2615)</f>
        <v/>
      </c>
      <c r="P2615" s="3">
        <f>IF(ORIG!P2615=0,"",ORIG!P2615)</f>
        <v/>
      </c>
      <c r="Q2615" s="3">
        <f>IF(ORIG!Q2615=0,"",ORIG!Q2615)</f>
        <v/>
      </c>
      <c r="R2615" s="3">
        <f>IF(ORIG!R2615=0,"",ORIG!R2615)</f>
        <v/>
      </c>
      <c r="S2615" s="3">
        <f>IF(ORIG!S2615=0,"",ORIG!S2615)</f>
        <v/>
      </c>
      <c r="T2615" s="3">
        <f>IF(ORIG!T2615=0,"",ORIG!T2615)</f>
        <v/>
      </c>
      <c r="U2615" s="3">
        <f>IF(ORIG!U2615=0,"",ORIG!U2615)</f>
        <v/>
      </c>
      <c r="V2615" s="9">
        <f>IF(ORIG!V2615=0,"",ORIG!V2615)</f>
        <v/>
      </c>
      <c r="W2615" s="9">
        <f>IF(ORIG!W2615=0,"",ORIG!W2615)</f>
        <v/>
      </c>
      <c r="X2615" s="9">
        <f>IF(ORIG!X2615=0,"",ORIG!X2615)</f>
        <v/>
      </c>
      <c r="Y2615" s="9">
        <f>IF(ORIG!Y2615=0,"",ORIG!Y2615)</f>
        <v/>
      </c>
      <c r="Z2615" s="3">
        <f>SUMPRODUCT($B2615:$Y2615,$B$2649:$Y$2649)</f>
        <v/>
      </c>
      <c r="AA2615" s="3">
        <f>SUMPRODUCT($B2615:$Y2615,$B$2655:$Y$2655)</f>
        <v/>
      </c>
      <c r="AC2615" s="1">
        <f>A2615</f>
        <v/>
      </c>
      <c r="AD2615">
        <f>IF(ISNUMBER(V2615),V2615*($AB$1/V$2635),"")</f>
        <v/>
      </c>
      <c r="AE2615">
        <f>IF(ISNUMBER(Z2615),Z2615*($AB$1/Z$2635),"")</f>
        <v/>
      </c>
      <c r="AF2615" s="25">
        <f>IF(ISNUMBER(AD2615+AE2615),AD2615+AE2615,"")</f>
        <v/>
      </c>
      <c r="AH2615" s="1">
        <f>A2615</f>
        <v/>
      </c>
      <c r="AI2615">
        <f>IF(ISNUMBER((1+V2615)*AI2614),(1+V2615)*AI2614,AI2614)</f>
        <v/>
      </c>
      <c r="AJ2615">
        <f>IF(ISNUMBER((1+Z2615)*AJ2614),(1+Z2615)*AJ2614,AJ2614)</f>
        <v/>
      </c>
    </row>
    <row r="2616">
      <c r="A2616" s="1" t="n">
        <v>45800</v>
      </c>
      <c r="B2616" s="3">
        <f>IF(ORIG!B2616=0,"",ORIG!B2616)</f>
        <v/>
      </c>
      <c r="C2616" s="3">
        <f>IF(ORIG!C2616=0,"",ORIG!C2616)</f>
        <v/>
      </c>
      <c r="D2616" s="3">
        <f>IF(ORIG!D2616=0,"",ORIG!D2616)</f>
        <v/>
      </c>
      <c r="E2616" s="3">
        <f>IF(ORIG!E2616=0,"",ORIG!E2616)</f>
        <v/>
      </c>
      <c r="F2616" s="3">
        <f>IF(ORIG!F2616=0,"",ORIG!F2616)</f>
        <v/>
      </c>
      <c r="G2616" s="3">
        <f>IF(ORIG!G2616=0,"",ORIG!G2616)</f>
        <v/>
      </c>
      <c r="H2616" s="3">
        <f>IF(ORIG!H2616=0,"",ORIG!H2616)</f>
        <v/>
      </c>
      <c r="I2616" s="3">
        <f>IF(ORIG!I2616=0,"",ORIG!I2616)</f>
        <v/>
      </c>
      <c r="J2616" s="3">
        <f>IF(ORIG!J2616=0,"",ORIG!J2616)</f>
        <v/>
      </c>
      <c r="K2616" s="3">
        <f>IF(ORIG!K2616=0,"",ORIG!K2616)</f>
        <v/>
      </c>
      <c r="L2616" s="3">
        <f>IF(ORIG!L2616=0,"",ORIG!L2616)</f>
        <v/>
      </c>
      <c r="M2616" s="3">
        <f>IF(ORIG!M2616=0,"",ORIG!M2616)</f>
        <v/>
      </c>
      <c r="N2616" s="3">
        <f>IF(ORIG!N2616=0,"",ORIG!N2616)</f>
        <v/>
      </c>
      <c r="O2616" s="3">
        <f>IF(ORIG!O2616=0,"",ORIG!O2616)</f>
        <v/>
      </c>
      <c r="P2616" s="3">
        <f>IF(ORIG!P2616=0,"",ORIG!P2616)</f>
        <v/>
      </c>
      <c r="Q2616" s="3">
        <f>IF(ORIG!Q2616=0,"",ORIG!Q2616)</f>
        <v/>
      </c>
      <c r="R2616" s="3">
        <f>IF(ORIG!R2616=0,"",ORIG!R2616)</f>
        <v/>
      </c>
      <c r="S2616" s="3">
        <f>IF(ORIG!S2616=0,"",ORIG!S2616)</f>
        <v/>
      </c>
      <c r="T2616" s="3">
        <f>IF(ORIG!T2616=0,"",ORIG!T2616)</f>
        <v/>
      </c>
      <c r="U2616" s="3">
        <f>IF(ORIG!U2616=0,"",ORIG!U2616)</f>
        <v/>
      </c>
      <c r="V2616" s="9">
        <f>IF(ORIG!V2616=0,"",ORIG!V2616)</f>
        <v/>
      </c>
      <c r="W2616" s="9">
        <f>IF(ORIG!W2616=0,"",ORIG!W2616)</f>
        <v/>
      </c>
      <c r="X2616" s="9">
        <f>IF(ORIG!X2616=0,"",ORIG!X2616)</f>
        <v/>
      </c>
      <c r="Y2616" s="9">
        <f>IF(ORIG!Y2616=0,"",ORIG!Y2616)</f>
        <v/>
      </c>
      <c r="Z2616" s="3">
        <f>SUMPRODUCT($B2616:$Y2616,$B$2649:$Y$2649)</f>
        <v/>
      </c>
      <c r="AA2616" s="3">
        <f>SUMPRODUCT($B2616:$Y2616,$B$2655:$Y$2655)</f>
        <v/>
      </c>
      <c r="AC2616" s="1">
        <f>A2616</f>
        <v/>
      </c>
      <c r="AD2616">
        <f>IF(ISNUMBER(V2616),V2616*($AB$1/V$2635),"")</f>
        <v/>
      </c>
      <c r="AE2616">
        <f>IF(ISNUMBER(Z2616),Z2616*($AB$1/Z$2635),"")</f>
        <v/>
      </c>
      <c r="AF2616" s="25">
        <f>IF(ISNUMBER(AD2616+AE2616),AD2616+AE2616,"")</f>
        <v/>
      </c>
      <c r="AH2616" s="1">
        <f>A2616</f>
        <v/>
      </c>
      <c r="AI2616">
        <f>IF(ISNUMBER((1+V2616)*AI2615),(1+V2616)*AI2615,AI2615)</f>
        <v/>
      </c>
      <c r="AJ2616">
        <f>IF(ISNUMBER((1+Z2616)*AJ2615),(1+Z2616)*AJ2615,AJ2615)</f>
        <v/>
      </c>
    </row>
    <row r="2617">
      <c r="A2617" s="1" t="n">
        <v>45804</v>
      </c>
      <c r="B2617" s="3">
        <f>IF(ORIG!B2617=0,"",ORIG!B2617)</f>
        <v/>
      </c>
      <c r="C2617" s="3">
        <f>IF(ORIG!C2617=0,"",ORIG!C2617)</f>
        <v/>
      </c>
      <c r="D2617" s="3">
        <f>IF(ORIG!D2617=0,"",ORIG!D2617)</f>
        <v/>
      </c>
      <c r="E2617" s="3">
        <f>IF(ORIG!E2617=0,"",ORIG!E2617)</f>
        <v/>
      </c>
      <c r="F2617" s="3">
        <f>IF(ORIG!F2617=0,"",ORIG!F2617)</f>
        <v/>
      </c>
      <c r="G2617" s="3">
        <f>IF(ORIG!G2617=0,"",ORIG!G2617)</f>
        <v/>
      </c>
      <c r="H2617" s="3">
        <f>IF(ORIG!H2617=0,"",ORIG!H2617)</f>
        <v/>
      </c>
      <c r="I2617" s="3">
        <f>IF(ORIG!I2617=0,"",ORIG!I2617)</f>
        <v/>
      </c>
      <c r="J2617" s="3">
        <f>IF(ORIG!J2617=0,"",ORIG!J2617)</f>
        <v/>
      </c>
      <c r="K2617" s="3">
        <f>IF(ORIG!K2617=0,"",ORIG!K2617)</f>
        <v/>
      </c>
      <c r="L2617" s="3">
        <f>IF(ORIG!L2617=0,"",ORIG!L2617)</f>
        <v/>
      </c>
      <c r="M2617" s="3">
        <f>IF(ORIG!M2617=0,"",ORIG!M2617)</f>
        <v/>
      </c>
      <c r="N2617" s="3">
        <f>IF(ORIG!N2617=0,"",ORIG!N2617)</f>
        <v/>
      </c>
      <c r="O2617" s="3">
        <f>IF(ORIG!O2617=0,"",ORIG!O2617)</f>
        <v/>
      </c>
      <c r="P2617" s="3">
        <f>IF(ORIG!P2617=0,"",ORIG!P2617)</f>
        <v/>
      </c>
      <c r="Q2617" s="3">
        <f>IF(ORIG!Q2617=0,"",ORIG!Q2617)</f>
        <v/>
      </c>
      <c r="R2617" s="3">
        <f>IF(ORIG!R2617=0,"",ORIG!R2617)</f>
        <v/>
      </c>
      <c r="S2617" s="3">
        <f>IF(ORIG!S2617=0,"",ORIG!S2617)</f>
        <v/>
      </c>
      <c r="T2617" s="3">
        <f>IF(ORIG!T2617=0,"",ORIG!T2617)</f>
        <v/>
      </c>
      <c r="U2617" s="3">
        <f>IF(ORIG!U2617=0,"",ORIG!U2617)</f>
        <v/>
      </c>
      <c r="V2617" s="9">
        <f>IF(ORIG!V2617=0,"",ORIG!V2617)</f>
        <v/>
      </c>
      <c r="W2617" s="9">
        <f>IF(ORIG!W2617=0,"",ORIG!W2617)</f>
        <v/>
      </c>
      <c r="X2617" s="9">
        <f>IF(ORIG!X2617=0,"",ORIG!X2617)</f>
        <v/>
      </c>
      <c r="Y2617" s="9">
        <f>IF(ORIG!Y2617=0,"",ORIG!Y2617)</f>
        <v/>
      </c>
      <c r="Z2617" s="3">
        <f>SUMPRODUCT($B2617:$Y2617,$B$2649:$Y$2649)</f>
        <v/>
      </c>
      <c r="AA2617" s="3">
        <f>SUMPRODUCT($B2617:$Y2617,$B$2655:$Y$2655)</f>
        <v/>
      </c>
      <c r="AC2617" s="1">
        <f>A2617</f>
        <v/>
      </c>
      <c r="AD2617">
        <f>IF(ISNUMBER(V2617),V2617*($AB$1/V$2635),"")</f>
        <v/>
      </c>
      <c r="AE2617">
        <f>IF(ISNUMBER(Z2617),Z2617*($AB$1/Z$2635),"")</f>
        <v/>
      </c>
      <c r="AF2617" s="25">
        <f>IF(ISNUMBER(AD2617+AE2617),AD2617+AE2617,"")</f>
        <v/>
      </c>
      <c r="AH2617" s="1">
        <f>A2617</f>
        <v/>
      </c>
      <c r="AI2617">
        <f>IF(ISNUMBER((1+V2617)*AI2616),(1+V2617)*AI2616,AI2616)</f>
        <v/>
      </c>
      <c r="AJ2617">
        <f>IF(ISNUMBER((1+Z2617)*AJ2616),(1+Z2617)*AJ2616,AJ2616)</f>
        <v/>
      </c>
    </row>
    <row r="2618">
      <c r="A2618" s="1" t="n">
        <v>45805</v>
      </c>
      <c r="B2618" s="3">
        <f>IF(ORIG!B2618=0,"",ORIG!B2618)</f>
        <v/>
      </c>
      <c r="C2618" s="3">
        <f>IF(ORIG!C2618=0,"",ORIG!C2618)</f>
        <v/>
      </c>
      <c r="D2618" s="3">
        <f>IF(ORIG!D2618=0,"",ORIG!D2618)</f>
        <v/>
      </c>
      <c r="E2618" s="3">
        <f>IF(ORIG!E2618=0,"",ORIG!E2618)</f>
        <v/>
      </c>
      <c r="F2618" s="3">
        <f>IF(ORIG!F2618=0,"",ORIG!F2618)</f>
        <v/>
      </c>
      <c r="G2618" s="3">
        <f>IF(ORIG!G2618=0,"",ORIG!G2618)</f>
        <v/>
      </c>
      <c r="H2618" s="3">
        <f>IF(ORIG!H2618=0,"",ORIG!H2618)</f>
        <v/>
      </c>
      <c r="I2618" s="3">
        <f>IF(ORIG!I2618=0,"",ORIG!I2618)</f>
        <v/>
      </c>
      <c r="J2618" s="3">
        <f>IF(ORIG!J2618=0,"",ORIG!J2618)</f>
        <v/>
      </c>
      <c r="K2618" s="3">
        <f>IF(ORIG!K2618=0,"",ORIG!K2618)</f>
        <v/>
      </c>
      <c r="L2618" s="3">
        <f>IF(ORIG!L2618=0,"",ORIG!L2618)</f>
        <v/>
      </c>
      <c r="M2618" s="3">
        <f>IF(ORIG!M2618=0,"",ORIG!M2618)</f>
        <v/>
      </c>
      <c r="N2618" s="3">
        <f>IF(ORIG!N2618=0,"",ORIG!N2618)</f>
        <v/>
      </c>
      <c r="O2618" s="3">
        <f>IF(ORIG!O2618=0,"",ORIG!O2618)</f>
        <v/>
      </c>
      <c r="P2618" s="3">
        <f>IF(ORIG!P2618=0,"",ORIG!P2618)</f>
        <v/>
      </c>
      <c r="Q2618" s="3">
        <f>IF(ORIG!Q2618=0,"",ORIG!Q2618)</f>
        <v/>
      </c>
      <c r="R2618" s="3">
        <f>IF(ORIG!R2618=0,"",ORIG!R2618)</f>
        <v/>
      </c>
      <c r="S2618" s="3">
        <f>IF(ORIG!S2618=0,"",ORIG!S2618)</f>
        <v/>
      </c>
      <c r="T2618" s="3">
        <f>IF(ORIG!T2618=0,"",ORIG!T2618)</f>
        <v/>
      </c>
      <c r="U2618" s="3">
        <f>IF(ORIG!U2618=0,"",ORIG!U2618)</f>
        <v/>
      </c>
      <c r="V2618" s="9">
        <f>IF(ORIG!V2618=0,"",ORIG!V2618)</f>
        <v/>
      </c>
      <c r="W2618" s="9">
        <f>IF(ORIG!W2618=0,"",ORIG!W2618)</f>
        <v/>
      </c>
      <c r="X2618" s="9">
        <f>IF(ORIG!X2618=0,"",ORIG!X2618)</f>
        <v/>
      </c>
      <c r="Y2618" s="9">
        <f>IF(ORIG!Y2618=0,"",ORIG!Y2618)</f>
        <v/>
      </c>
      <c r="Z2618" s="3">
        <f>SUMPRODUCT($B2618:$Y2618,$B$2649:$Y$2649)</f>
        <v/>
      </c>
      <c r="AA2618" s="3">
        <f>SUMPRODUCT($B2618:$Y2618,$B$2655:$Y$2655)</f>
        <v/>
      </c>
      <c r="AC2618" s="1">
        <f>A2618</f>
        <v/>
      </c>
      <c r="AD2618">
        <f>IF(ISNUMBER(V2618),V2618*($AB$1/V$2635),"")</f>
        <v/>
      </c>
      <c r="AE2618">
        <f>IF(ISNUMBER(Z2618),Z2618*($AB$1/Z$2635),"")</f>
        <v/>
      </c>
      <c r="AF2618" s="25">
        <f>IF(ISNUMBER(AD2618+AE2618),AD2618+AE2618,"")</f>
        <v/>
      </c>
      <c r="AH2618" s="1">
        <f>A2618</f>
        <v/>
      </c>
      <c r="AI2618">
        <f>IF(ISNUMBER((1+V2618)*AI2617),(1+V2618)*AI2617,AI2617)</f>
        <v/>
      </c>
      <c r="AJ2618">
        <f>IF(ISNUMBER((1+Z2618)*AJ2617),(1+Z2618)*AJ2617,AJ2617)</f>
        <v/>
      </c>
    </row>
    <row r="2619">
      <c r="A2619" s="1" t="n">
        <v>45806</v>
      </c>
      <c r="B2619" s="3">
        <f>IF(ORIG!B2619=0,"",ORIG!B2619)</f>
        <v/>
      </c>
      <c r="C2619" s="3">
        <f>IF(ORIG!C2619=0,"",ORIG!C2619)</f>
        <v/>
      </c>
      <c r="D2619" s="3">
        <f>IF(ORIG!D2619=0,"",ORIG!D2619)</f>
        <v/>
      </c>
      <c r="E2619" s="3">
        <f>IF(ORIG!E2619=0,"",ORIG!E2619)</f>
        <v/>
      </c>
      <c r="F2619" s="3">
        <f>IF(ORIG!F2619=0,"",ORIG!F2619)</f>
        <v/>
      </c>
      <c r="G2619" s="3">
        <f>IF(ORIG!G2619=0,"",ORIG!G2619)</f>
        <v/>
      </c>
      <c r="H2619" s="3">
        <f>IF(ORIG!H2619=0,"",ORIG!H2619)</f>
        <v/>
      </c>
      <c r="I2619" s="3">
        <f>IF(ORIG!I2619=0,"",ORIG!I2619)</f>
        <v/>
      </c>
      <c r="J2619" s="3">
        <f>IF(ORIG!J2619=0,"",ORIG!J2619)</f>
        <v/>
      </c>
      <c r="K2619" s="3">
        <f>IF(ORIG!K2619=0,"",ORIG!K2619)</f>
        <v/>
      </c>
      <c r="L2619" s="3">
        <f>IF(ORIG!L2619=0,"",ORIG!L2619)</f>
        <v/>
      </c>
      <c r="M2619" s="3">
        <f>IF(ORIG!M2619=0,"",ORIG!M2619)</f>
        <v/>
      </c>
      <c r="N2619" s="3">
        <f>IF(ORIG!N2619=0,"",ORIG!N2619)</f>
        <v/>
      </c>
      <c r="O2619" s="3">
        <f>IF(ORIG!O2619=0,"",ORIG!O2619)</f>
        <v/>
      </c>
      <c r="P2619" s="3">
        <f>IF(ORIG!P2619=0,"",ORIG!P2619)</f>
        <v/>
      </c>
      <c r="Q2619" s="3">
        <f>IF(ORIG!Q2619=0,"",ORIG!Q2619)</f>
        <v/>
      </c>
      <c r="R2619" s="3">
        <f>IF(ORIG!R2619=0,"",ORIG!R2619)</f>
        <v/>
      </c>
      <c r="S2619" s="3">
        <f>IF(ORIG!S2619=0,"",ORIG!S2619)</f>
        <v/>
      </c>
      <c r="T2619" s="3">
        <f>IF(ORIG!T2619=0,"",ORIG!T2619)</f>
        <v/>
      </c>
      <c r="U2619" s="3">
        <f>IF(ORIG!U2619=0,"",ORIG!U2619)</f>
        <v/>
      </c>
      <c r="V2619" s="9">
        <f>IF(ORIG!V2619=0,"",ORIG!V2619)</f>
        <v/>
      </c>
      <c r="W2619" s="9">
        <f>IF(ORIG!W2619=0,"",ORIG!W2619)</f>
        <v/>
      </c>
      <c r="X2619" s="9">
        <f>IF(ORIG!X2619=0,"",ORIG!X2619)</f>
        <v/>
      </c>
      <c r="Y2619" s="9">
        <f>IF(ORIG!Y2619=0,"",ORIG!Y2619)</f>
        <v/>
      </c>
      <c r="Z2619" s="3">
        <f>SUMPRODUCT($B2619:$Y2619,$B$2649:$Y$2649)</f>
        <v/>
      </c>
      <c r="AA2619" s="3">
        <f>SUMPRODUCT($B2619:$Y2619,$B$2655:$Y$2655)</f>
        <v/>
      </c>
      <c r="AC2619" s="1">
        <f>A2619</f>
        <v/>
      </c>
      <c r="AD2619">
        <f>IF(ISNUMBER(V2619),V2619*($AB$1/V$2635),"")</f>
        <v/>
      </c>
      <c r="AE2619">
        <f>IF(ISNUMBER(Z2619),Z2619*($AB$1/Z$2635),"")</f>
        <v/>
      </c>
      <c r="AF2619" s="25">
        <f>IF(ISNUMBER(AD2619+AE2619),AD2619+AE2619,"")</f>
        <v/>
      </c>
      <c r="AH2619" s="1">
        <f>A2619</f>
        <v/>
      </c>
      <c r="AI2619">
        <f>IF(ISNUMBER((1+V2619)*AI2618),(1+V2619)*AI2618,AI2618)</f>
        <v/>
      </c>
      <c r="AJ2619">
        <f>IF(ISNUMBER((1+Z2619)*AJ2618),(1+Z2619)*AJ2618,AJ2618)</f>
        <v/>
      </c>
    </row>
    <row r="2620">
      <c r="A2620" s="1" t="n">
        <v>45807</v>
      </c>
      <c r="B2620" s="3">
        <f>IF(ORIG!B2620=0,"",ORIG!B2620)</f>
        <v/>
      </c>
      <c r="C2620" s="3">
        <f>IF(ORIG!C2620=0,"",ORIG!C2620)</f>
        <v/>
      </c>
      <c r="D2620" s="3">
        <f>IF(ORIG!D2620=0,"",ORIG!D2620)</f>
        <v/>
      </c>
      <c r="E2620" s="3">
        <f>IF(ORIG!E2620=0,"",ORIG!E2620)</f>
        <v/>
      </c>
      <c r="F2620" s="3">
        <f>IF(ORIG!F2620=0,"",ORIG!F2620)</f>
        <v/>
      </c>
      <c r="G2620" s="3">
        <f>IF(ORIG!G2620=0,"",ORIG!G2620)</f>
        <v/>
      </c>
      <c r="H2620" s="3">
        <f>IF(ORIG!H2620=0,"",ORIG!H2620)</f>
        <v/>
      </c>
      <c r="I2620" s="3">
        <f>IF(ORIG!I2620=0,"",ORIG!I2620)</f>
        <v/>
      </c>
      <c r="J2620" s="3">
        <f>IF(ORIG!J2620=0,"",ORIG!J2620)</f>
        <v/>
      </c>
      <c r="K2620" s="3">
        <f>IF(ORIG!K2620=0,"",ORIG!K2620)</f>
        <v/>
      </c>
      <c r="L2620" s="3">
        <f>IF(ORIG!L2620=0,"",ORIG!L2620)</f>
        <v/>
      </c>
      <c r="M2620" s="3">
        <f>IF(ORIG!M2620=0,"",ORIG!M2620)</f>
        <v/>
      </c>
      <c r="N2620" s="3">
        <f>IF(ORIG!N2620=0,"",ORIG!N2620)</f>
        <v/>
      </c>
      <c r="O2620" s="3">
        <f>IF(ORIG!O2620=0,"",ORIG!O2620)</f>
        <v/>
      </c>
      <c r="P2620" s="3">
        <f>IF(ORIG!P2620=0,"",ORIG!P2620)</f>
        <v/>
      </c>
      <c r="Q2620" s="3">
        <f>IF(ORIG!Q2620=0,"",ORIG!Q2620)</f>
        <v/>
      </c>
      <c r="R2620" s="3">
        <f>IF(ORIG!R2620=0,"",ORIG!R2620)</f>
        <v/>
      </c>
      <c r="S2620" s="3">
        <f>IF(ORIG!S2620=0,"",ORIG!S2620)</f>
        <v/>
      </c>
      <c r="T2620" s="3">
        <f>IF(ORIG!T2620=0,"",ORIG!T2620)</f>
        <v/>
      </c>
      <c r="U2620" s="3">
        <f>IF(ORIG!U2620=0,"",ORIG!U2620)</f>
        <v/>
      </c>
      <c r="V2620" s="9">
        <f>IF(ORIG!V2620=0,"",ORIG!V2620)</f>
        <v/>
      </c>
      <c r="W2620" s="9">
        <f>IF(ORIG!W2620=0,"",ORIG!W2620)</f>
        <v/>
      </c>
      <c r="X2620" s="9">
        <f>IF(ORIG!X2620=0,"",ORIG!X2620)</f>
        <v/>
      </c>
      <c r="Y2620" s="9">
        <f>IF(ORIG!Y2620=0,"",ORIG!Y2620)</f>
        <v/>
      </c>
      <c r="Z2620" s="3">
        <f>SUMPRODUCT($B2620:$Y2620,$B$2649:$Y$2649)</f>
        <v/>
      </c>
      <c r="AA2620" s="3">
        <f>SUMPRODUCT($B2620:$Y2620,$B$2655:$Y$2655)</f>
        <v/>
      </c>
      <c r="AC2620" s="1">
        <f>A2620</f>
        <v/>
      </c>
      <c r="AD2620">
        <f>IF(ISNUMBER(V2620),V2620*($AB$1/V$2635),"")</f>
        <v/>
      </c>
      <c r="AE2620">
        <f>IF(ISNUMBER(Z2620),Z2620*($AB$1/Z$2635),"")</f>
        <v/>
      </c>
      <c r="AF2620" s="25">
        <f>IF(ISNUMBER(AD2620+AE2620),AD2620+AE2620,"")</f>
        <v/>
      </c>
      <c r="AH2620" s="1">
        <f>A2620</f>
        <v/>
      </c>
      <c r="AI2620">
        <f>IF(ISNUMBER((1+V2620)*AI2619),(1+V2620)*AI2619,AI2619)</f>
        <v/>
      </c>
      <c r="AJ2620">
        <f>IF(ISNUMBER((1+Z2620)*AJ2619),(1+Z2620)*AJ2619,AJ2619)</f>
        <v/>
      </c>
    </row>
    <row r="2621">
      <c r="A2621" s="1" t="n">
        <v>45810</v>
      </c>
      <c r="B2621" s="3">
        <f>IF(ORIG!B2621=0,"",ORIG!B2621)</f>
        <v/>
      </c>
      <c r="C2621" s="3">
        <f>IF(ORIG!C2621=0,"",ORIG!C2621)</f>
        <v/>
      </c>
      <c r="D2621" s="3">
        <f>IF(ORIG!D2621=0,"",ORIG!D2621)</f>
        <v/>
      </c>
      <c r="E2621" s="3">
        <f>IF(ORIG!E2621=0,"",ORIG!E2621)</f>
        <v/>
      </c>
      <c r="F2621" s="3">
        <f>IF(ORIG!F2621=0,"",ORIG!F2621)</f>
        <v/>
      </c>
      <c r="G2621" s="3">
        <f>IF(ORIG!G2621=0,"",ORIG!G2621)</f>
        <v/>
      </c>
      <c r="H2621" s="3">
        <f>IF(ORIG!H2621=0,"",ORIG!H2621)</f>
        <v/>
      </c>
      <c r="I2621" s="3">
        <f>IF(ORIG!I2621=0,"",ORIG!I2621)</f>
        <v/>
      </c>
      <c r="J2621" s="3">
        <f>IF(ORIG!J2621=0,"",ORIG!J2621)</f>
        <v/>
      </c>
      <c r="K2621" s="3">
        <f>IF(ORIG!K2621=0,"",ORIG!K2621)</f>
        <v/>
      </c>
      <c r="L2621" s="3">
        <f>IF(ORIG!L2621=0,"",ORIG!L2621)</f>
        <v/>
      </c>
      <c r="M2621" s="3">
        <f>IF(ORIG!M2621=0,"",ORIG!M2621)</f>
        <v/>
      </c>
      <c r="N2621" s="3">
        <f>IF(ORIG!N2621=0,"",ORIG!N2621)</f>
        <v/>
      </c>
      <c r="O2621" s="3">
        <f>IF(ORIG!O2621=0,"",ORIG!O2621)</f>
        <v/>
      </c>
      <c r="P2621" s="3">
        <f>IF(ORIG!P2621=0,"",ORIG!P2621)</f>
        <v/>
      </c>
      <c r="Q2621" s="3">
        <f>IF(ORIG!Q2621=0,"",ORIG!Q2621)</f>
        <v/>
      </c>
      <c r="R2621" s="3">
        <f>IF(ORIG!R2621=0,"",ORIG!R2621)</f>
        <v/>
      </c>
      <c r="S2621" s="3">
        <f>IF(ORIG!S2621=0,"",ORIG!S2621)</f>
        <v/>
      </c>
      <c r="T2621" s="3">
        <f>IF(ORIG!T2621=0,"",ORIG!T2621)</f>
        <v/>
      </c>
      <c r="U2621" s="3">
        <f>IF(ORIG!U2621=0,"",ORIG!U2621)</f>
        <v/>
      </c>
      <c r="V2621" s="9">
        <f>IF(ORIG!V2621=0,"",ORIG!V2621)</f>
        <v/>
      </c>
      <c r="W2621" s="9">
        <f>IF(ORIG!W2621=0,"",ORIG!W2621)</f>
        <v/>
      </c>
      <c r="X2621" s="9">
        <f>IF(ORIG!X2621=0,"",ORIG!X2621)</f>
        <v/>
      </c>
      <c r="Y2621" s="9">
        <f>IF(ORIG!Y2621=0,"",ORIG!Y2621)</f>
        <v/>
      </c>
      <c r="Z2621" s="3">
        <f>SUMPRODUCT($B2621:$Y2621,$B$2649:$Y$2649)</f>
        <v/>
      </c>
      <c r="AA2621" s="3">
        <f>SUMPRODUCT($B2621:$Y2621,$B$2655:$Y$2655)</f>
        <v/>
      </c>
      <c r="AC2621" s="1">
        <f>A2621</f>
        <v/>
      </c>
      <c r="AD2621">
        <f>IF(ISNUMBER(V2621),V2621*($AB$1/V$2635),"")</f>
        <v/>
      </c>
      <c r="AE2621">
        <f>IF(ISNUMBER(Z2621),Z2621*($AB$1/Z$2635),"")</f>
        <v/>
      </c>
      <c r="AF2621" s="25">
        <f>IF(ISNUMBER(AD2621+AE2621),AD2621+AE2621,"")</f>
        <v/>
      </c>
      <c r="AH2621" s="1">
        <f>A2621</f>
        <v/>
      </c>
      <c r="AI2621">
        <f>IF(ISNUMBER((1+V2621)*AI2620),(1+V2621)*AI2620,AI2620)</f>
        <v/>
      </c>
      <c r="AJ2621">
        <f>IF(ISNUMBER((1+Z2621)*AJ2620),(1+Z2621)*AJ2620,AJ2620)</f>
        <v/>
      </c>
    </row>
    <row r="2622">
      <c r="A2622" s="1" t="n">
        <v>45811</v>
      </c>
      <c r="B2622" s="3">
        <f>IF(ORIG!B2622=0,"",ORIG!B2622)</f>
        <v/>
      </c>
      <c r="C2622" s="3">
        <f>IF(ORIG!C2622=0,"",ORIG!C2622)</f>
        <v/>
      </c>
      <c r="D2622" s="3">
        <f>IF(ORIG!D2622=0,"",ORIG!D2622)</f>
        <v/>
      </c>
      <c r="E2622" s="3">
        <f>IF(ORIG!E2622=0,"",ORIG!E2622)</f>
        <v/>
      </c>
      <c r="F2622" s="3">
        <f>IF(ORIG!F2622=0,"",ORIG!F2622)</f>
        <v/>
      </c>
      <c r="G2622" s="3">
        <f>IF(ORIG!G2622=0,"",ORIG!G2622)</f>
        <v/>
      </c>
      <c r="H2622" s="3">
        <f>IF(ORIG!H2622=0,"",ORIG!H2622)</f>
        <v/>
      </c>
      <c r="I2622" s="3">
        <f>IF(ORIG!I2622=0,"",ORIG!I2622)</f>
        <v/>
      </c>
      <c r="J2622" s="3">
        <f>IF(ORIG!J2622=0,"",ORIG!J2622)</f>
        <v/>
      </c>
      <c r="K2622" s="3">
        <f>IF(ORIG!K2622=0,"",ORIG!K2622)</f>
        <v/>
      </c>
      <c r="L2622" s="3">
        <f>IF(ORIG!L2622=0,"",ORIG!L2622)</f>
        <v/>
      </c>
      <c r="M2622" s="3">
        <f>IF(ORIG!M2622=0,"",ORIG!M2622)</f>
        <v/>
      </c>
      <c r="N2622" s="3">
        <f>IF(ORIG!N2622=0,"",ORIG!N2622)</f>
        <v/>
      </c>
      <c r="O2622" s="3">
        <f>IF(ORIG!O2622=0,"",ORIG!O2622)</f>
        <v/>
      </c>
      <c r="P2622" s="3">
        <f>IF(ORIG!P2622=0,"",ORIG!P2622)</f>
        <v/>
      </c>
      <c r="Q2622" s="3">
        <f>IF(ORIG!Q2622=0,"",ORIG!Q2622)</f>
        <v/>
      </c>
      <c r="R2622" s="3">
        <f>IF(ORIG!R2622=0,"",ORIG!R2622)</f>
        <v/>
      </c>
      <c r="S2622" s="3">
        <f>IF(ORIG!S2622=0,"",ORIG!S2622)</f>
        <v/>
      </c>
      <c r="T2622" s="3">
        <f>IF(ORIG!T2622=0,"",ORIG!T2622)</f>
        <v/>
      </c>
      <c r="U2622" s="3">
        <f>IF(ORIG!U2622=0,"",ORIG!U2622)</f>
        <v/>
      </c>
      <c r="V2622" s="9">
        <f>IF(ORIG!V2622=0,"",ORIG!V2622)</f>
        <v/>
      </c>
      <c r="W2622" s="9">
        <f>IF(ORIG!W2622=0,"",ORIG!W2622)</f>
        <v/>
      </c>
      <c r="X2622" s="9">
        <f>IF(ORIG!X2622=0,"",ORIG!X2622)</f>
        <v/>
      </c>
      <c r="Y2622" s="9">
        <f>IF(ORIG!Y2622=0,"",ORIG!Y2622)</f>
        <v/>
      </c>
      <c r="Z2622" s="3">
        <f>SUMPRODUCT($B2622:$Y2622,$B$2649:$Y$2649)</f>
        <v/>
      </c>
      <c r="AA2622" s="3">
        <f>SUMPRODUCT($B2622:$Y2622,$B$2655:$Y$2655)</f>
        <v/>
      </c>
      <c r="AC2622" s="1">
        <f>A2622</f>
        <v/>
      </c>
      <c r="AD2622">
        <f>IF(ISNUMBER(V2622),V2622*($AB$1/V$2635),"")</f>
        <v/>
      </c>
      <c r="AE2622">
        <f>IF(ISNUMBER(Z2622),Z2622*($AB$1/Z$2635),"")</f>
        <v/>
      </c>
      <c r="AF2622" s="25">
        <f>IF(ISNUMBER(AD2622+AE2622),AD2622+AE2622,"")</f>
        <v/>
      </c>
      <c r="AH2622" s="1">
        <f>A2622</f>
        <v/>
      </c>
      <c r="AI2622">
        <f>IF(ISNUMBER((1+V2622)*AI2621),(1+V2622)*AI2621,AI2621)</f>
        <v/>
      </c>
      <c r="AJ2622">
        <f>IF(ISNUMBER((1+Z2622)*AJ2621),(1+Z2622)*AJ2621,AJ2621)</f>
        <v/>
      </c>
    </row>
    <row r="2623">
      <c r="A2623" s="1" t="n">
        <v>45812</v>
      </c>
      <c r="B2623" s="3">
        <f>IF(ORIG!B2623=0,"",ORIG!B2623)</f>
        <v/>
      </c>
      <c r="C2623" s="3">
        <f>IF(ORIG!C2623=0,"",ORIG!C2623)</f>
        <v/>
      </c>
      <c r="D2623" s="3">
        <f>IF(ORIG!D2623=0,"",ORIG!D2623)</f>
        <v/>
      </c>
      <c r="E2623" s="3">
        <f>IF(ORIG!E2623=0,"",ORIG!E2623)</f>
        <v/>
      </c>
      <c r="F2623" s="3">
        <f>IF(ORIG!F2623=0,"",ORIG!F2623)</f>
        <v/>
      </c>
      <c r="G2623" s="3">
        <f>IF(ORIG!G2623=0,"",ORIG!G2623)</f>
        <v/>
      </c>
      <c r="H2623" s="3">
        <f>IF(ORIG!H2623=0,"",ORIG!H2623)</f>
        <v/>
      </c>
      <c r="I2623" s="3">
        <f>IF(ORIG!I2623=0,"",ORIG!I2623)</f>
        <v/>
      </c>
      <c r="J2623" s="3">
        <f>IF(ORIG!J2623=0,"",ORIG!J2623)</f>
        <v/>
      </c>
      <c r="K2623" s="3">
        <f>IF(ORIG!K2623=0,"",ORIG!K2623)</f>
        <v/>
      </c>
      <c r="L2623" s="3">
        <f>IF(ORIG!L2623=0,"",ORIG!L2623)</f>
        <v/>
      </c>
      <c r="M2623" s="3">
        <f>IF(ORIG!M2623=0,"",ORIG!M2623)</f>
        <v/>
      </c>
      <c r="N2623" s="3">
        <f>IF(ORIG!N2623=0,"",ORIG!N2623)</f>
        <v/>
      </c>
      <c r="O2623" s="3">
        <f>IF(ORIG!O2623=0,"",ORIG!O2623)</f>
        <v/>
      </c>
      <c r="P2623" s="3">
        <f>IF(ORIG!P2623=0,"",ORIG!P2623)</f>
        <v/>
      </c>
      <c r="Q2623" s="3">
        <f>IF(ORIG!Q2623=0,"",ORIG!Q2623)</f>
        <v/>
      </c>
      <c r="R2623" s="3">
        <f>IF(ORIG!R2623=0,"",ORIG!R2623)</f>
        <v/>
      </c>
      <c r="S2623" s="3">
        <f>IF(ORIG!S2623=0,"",ORIG!S2623)</f>
        <v/>
      </c>
      <c r="T2623" s="3">
        <f>IF(ORIG!T2623=0,"",ORIG!T2623)</f>
        <v/>
      </c>
      <c r="U2623" s="3">
        <f>IF(ORIG!U2623=0,"",ORIG!U2623)</f>
        <v/>
      </c>
      <c r="V2623" s="9">
        <f>IF(ORIG!V2623=0,"",ORIG!V2623)</f>
        <v/>
      </c>
      <c r="W2623" s="9">
        <f>IF(ORIG!W2623=0,"",ORIG!W2623)</f>
        <v/>
      </c>
      <c r="X2623" s="9">
        <f>IF(ORIG!X2623=0,"",ORIG!X2623)</f>
        <v/>
      </c>
      <c r="Y2623" s="9">
        <f>IF(ORIG!Y2623=0,"",ORIG!Y2623)</f>
        <v/>
      </c>
      <c r="Z2623" s="3">
        <f>SUMPRODUCT($B2623:$Y2623,$B$2649:$Y$2649)</f>
        <v/>
      </c>
      <c r="AA2623" s="3">
        <f>SUMPRODUCT($B2623:$Y2623,$B$2655:$Y$2655)</f>
        <v/>
      </c>
      <c r="AC2623" s="1">
        <f>A2623</f>
        <v/>
      </c>
      <c r="AD2623">
        <f>IF(ISNUMBER(V2623),V2623*($AB$1/V$2635),"")</f>
        <v/>
      </c>
      <c r="AE2623">
        <f>IF(ISNUMBER(Z2623),Z2623*($AB$1/Z$2635),"")</f>
        <v/>
      </c>
      <c r="AF2623" s="25">
        <f>IF(ISNUMBER(AD2623+AE2623),AD2623+AE2623,"")</f>
        <v/>
      </c>
      <c r="AH2623" s="1">
        <f>A2623</f>
        <v/>
      </c>
      <c r="AI2623">
        <f>IF(ISNUMBER((1+V2623)*AI2622),(1+V2623)*AI2622,AI2622)</f>
        <v/>
      </c>
      <c r="AJ2623">
        <f>IF(ISNUMBER((1+Z2623)*AJ2622),(1+Z2623)*AJ2622,AJ2622)</f>
        <v/>
      </c>
    </row>
    <row r="2624">
      <c r="A2624" s="1" t="n">
        <v>45813</v>
      </c>
      <c r="B2624" s="3">
        <f>IF(ORIG!B2624=0,"",ORIG!B2624)</f>
        <v/>
      </c>
      <c r="C2624" s="3">
        <f>IF(ORIG!C2624=0,"",ORIG!C2624)</f>
        <v/>
      </c>
      <c r="D2624" s="3">
        <f>IF(ORIG!D2624=0,"",ORIG!D2624)</f>
        <v/>
      </c>
      <c r="E2624" s="3">
        <f>IF(ORIG!E2624=0,"",ORIG!E2624)</f>
        <v/>
      </c>
      <c r="F2624" s="3">
        <f>IF(ORIG!F2624=0,"",ORIG!F2624)</f>
        <v/>
      </c>
      <c r="G2624" s="3">
        <f>IF(ORIG!G2624=0,"",ORIG!G2624)</f>
        <v/>
      </c>
      <c r="H2624" s="3">
        <f>IF(ORIG!H2624=0,"",ORIG!H2624)</f>
        <v/>
      </c>
      <c r="I2624" s="3">
        <f>IF(ORIG!I2624=0,"",ORIG!I2624)</f>
        <v/>
      </c>
      <c r="J2624" s="3">
        <f>IF(ORIG!J2624=0,"",ORIG!J2624)</f>
        <v/>
      </c>
      <c r="K2624" s="3">
        <f>IF(ORIG!K2624=0,"",ORIG!K2624)</f>
        <v/>
      </c>
      <c r="L2624" s="3">
        <f>IF(ORIG!L2624=0,"",ORIG!L2624)</f>
        <v/>
      </c>
      <c r="M2624" s="3">
        <f>IF(ORIG!M2624=0,"",ORIG!M2624)</f>
        <v/>
      </c>
      <c r="N2624" s="3">
        <f>IF(ORIG!N2624=0,"",ORIG!N2624)</f>
        <v/>
      </c>
      <c r="O2624" s="3">
        <f>IF(ORIG!O2624=0,"",ORIG!O2624)</f>
        <v/>
      </c>
      <c r="P2624" s="3">
        <f>IF(ORIG!P2624=0,"",ORIG!P2624)</f>
        <v/>
      </c>
      <c r="Q2624" s="3">
        <f>IF(ORIG!Q2624=0,"",ORIG!Q2624)</f>
        <v/>
      </c>
      <c r="R2624" s="3">
        <f>IF(ORIG!R2624=0,"",ORIG!R2624)</f>
        <v/>
      </c>
      <c r="S2624" s="3">
        <f>IF(ORIG!S2624=0,"",ORIG!S2624)</f>
        <v/>
      </c>
      <c r="T2624" s="3">
        <f>IF(ORIG!T2624=0,"",ORIG!T2624)</f>
        <v/>
      </c>
      <c r="U2624" s="3">
        <f>IF(ORIG!U2624=0,"",ORIG!U2624)</f>
        <v/>
      </c>
      <c r="V2624" s="9">
        <f>IF(ORIG!V2624=0,"",ORIG!V2624)</f>
        <v/>
      </c>
      <c r="W2624" s="9">
        <f>IF(ORIG!W2624=0,"",ORIG!W2624)</f>
        <v/>
      </c>
      <c r="X2624" s="9">
        <f>IF(ORIG!X2624=0,"",ORIG!X2624)</f>
        <v/>
      </c>
      <c r="Y2624" s="9">
        <f>IF(ORIG!Y2624=0,"",ORIG!Y2624)</f>
        <v/>
      </c>
      <c r="Z2624" s="3">
        <f>SUMPRODUCT($B2624:$Y2624,$B$2649:$Y$2649)</f>
        <v/>
      </c>
      <c r="AA2624" s="3">
        <f>SUMPRODUCT($B2624:$Y2624,$B$2655:$Y$2655)</f>
        <v/>
      </c>
      <c r="AC2624" s="1">
        <f>A2624</f>
        <v/>
      </c>
      <c r="AD2624">
        <f>IF(ISNUMBER(V2624),V2624*($AB$1/V$2635),"")</f>
        <v/>
      </c>
      <c r="AE2624">
        <f>IF(ISNUMBER(Z2624),Z2624*($AB$1/Z$2635),"")</f>
        <v/>
      </c>
      <c r="AF2624" s="25">
        <f>IF(ISNUMBER(AD2624+AE2624),AD2624+AE2624,"")</f>
        <v/>
      </c>
      <c r="AH2624" s="1">
        <f>A2624</f>
        <v/>
      </c>
      <c r="AI2624">
        <f>IF(ISNUMBER((1+V2624)*AI2623),(1+V2624)*AI2623,AI2623)</f>
        <v/>
      </c>
      <c r="AJ2624">
        <f>IF(ISNUMBER((1+Z2624)*AJ2623),(1+Z2624)*AJ2623,AJ2623)</f>
        <v/>
      </c>
    </row>
    <row r="2625">
      <c r="A2625" s="1" t="n">
        <v>45814</v>
      </c>
      <c r="B2625" s="3">
        <f>IF(ORIG!B2625=0,"",ORIG!B2625)</f>
        <v/>
      </c>
      <c r="C2625" s="3">
        <f>IF(ORIG!C2625=0,"",ORIG!C2625)</f>
        <v/>
      </c>
      <c r="D2625" s="3">
        <f>IF(ORIG!D2625=0,"",ORIG!D2625)</f>
        <v/>
      </c>
      <c r="E2625" s="3">
        <f>IF(ORIG!E2625=0,"",ORIG!E2625)</f>
        <v/>
      </c>
      <c r="F2625" s="3">
        <f>IF(ORIG!F2625=0,"",ORIG!F2625)</f>
        <v/>
      </c>
      <c r="G2625" s="3">
        <f>IF(ORIG!G2625=0,"",ORIG!G2625)</f>
        <v/>
      </c>
      <c r="H2625" s="3">
        <f>IF(ORIG!H2625=0,"",ORIG!H2625)</f>
        <v/>
      </c>
      <c r="I2625" s="3">
        <f>IF(ORIG!I2625=0,"",ORIG!I2625)</f>
        <v/>
      </c>
      <c r="J2625" s="3">
        <f>IF(ORIG!J2625=0,"",ORIG!J2625)</f>
        <v/>
      </c>
      <c r="K2625" s="3">
        <f>IF(ORIG!K2625=0,"",ORIG!K2625)</f>
        <v/>
      </c>
      <c r="L2625" s="3">
        <f>IF(ORIG!L2625=0,"",ORIG!L2625)</f>
        <v/>
      </c>
      <c r="M2625" s="3">
        <f>IF(ORIG!M2625=0,"",ORIG!M2625)</f>
        <v/>
      </c>
      <c r="N2625" s="3">
        <f>IF(ORIG!N2625=0,"",ORIG!N2625)</f>
        <v/>
      </c>
      <c r="O2625" s="3">
        <f>IF(ORIG!O2625=0,"",ORIG!O2625)</f>
        <v/>
      </c>
      <c r="P2625" s="3">
        <f>IF(ORIG!P2625=0,"",ORIG!P2625)</f>
        <v/>
      </c>
      <c r="Q2625" s="3">
        <f>IF(ORIG!Q2625=0,"",ORIG!Q2625)</f>
        <v/>
      </c>
      <c r="R2625" s="3">
        <f>IF(ORIG!R2625=0,"",ORIG!R2625)</f>
        <v/>
      </c>
      <c r="S2625" s="3">
        <f>IF(ORIG!S2625=0,"",ORIG!S2625)</f>
        <v/>
      </c>
      <c r="T2625" s="3">
        <f>IF(ORIG!T2625=0,"",ORIG!T2625)</f>
        <v/>
      </c>
      <c r="U2625" s="3">
        <f>IF(ORIG!U2625=0,"",ORIG!U2625)</f>
        <v/>
      </c>
      <c r="V2625" s="9">
        <f>IF(ORIG!V2625=0,"",ORIG!V2625)</f>
        <v/>
      </c>
      <c r="W2625" s="9">
        <f>IF(ORIG!W2625=0,"",ORIG!W2625)</f>
        <v/>
      </c>
      <c r="X2625" s="9">
        <f>IF(ORIG!X2625=0,"",ORIG!X2625)</f>
        <v/>
      </c>
      <c r="Y2625" s="9">
        <f>IF(ORIG!Y2625=0,"",ORIG!Y2625)</f>
        <v/>
      </c>
      <c r="Z2625" s="3">
        <f>SUMPRODUCT($B2625:$Y2625,$B$2649:$Y$2649)</f>
        <v/>
      </c>
      <c r="AA2625" s="3">
        <f>SUMPRODUCT($B2625:$Y2625,$B$2655:$Y$2655)</f>
        <v/>
      </c>
      <c r="AC2625" s="1">
        <f>A2625</f>
        <v/>
      </c>
      <c r="AD2625">
        <f>IF(ISNUMBER(V2625),V2625*($AB$1/V$2635),"")</f>
        <v/>
      </c>
      <c r="AE2625">
        <f>IF(ISNUMBER(Z2625),Z2625*($AB$1/Z$2635),"")</f>
        <v/>
      </c>
      <c r="AF2625" s="25">
        <f>IF(ISNUMBER(AD2625+AE2625),AD2625+AE2625,"")</f>
        <v/>
      </c>
      <c r="AH2625" s="1">
        <f>A2625</f>
        <v/>
      </c>
      <c r="AI2625">
        <f>IF(ISNUMBER((1+V2625)*AI2624),(1+V2625)*AI2624,AI2624)</f>
        <v/>
      </c>
      <c r="AJ2625">
        <f>IF(ISNUMBER((1+Z2625)*AJ2624),(1+Z2625)*AJ2624,AJ2624)</f>
        <v/>
      </c>
    </row>
    <row r="2626">
      <c r="A2626" s="1" t="n">
        <v>45817</v>
      </c>
      <c r="B2626" s="3">
        <f>IF(ORIG!B2626=0,"",ORIG!B2626)</f>
        <v/>
      </c>
      <c r="C2626" s="3">
        <f>IF(ORIG!C2626=0,"",ORIG!C2626)</f>
        <v/>
      </c>
      <c r="D2626" s="3">
        <f>IF(ORIG!D2626=0,"",ORIG!D2626)</f>
        <v/>
      </c>
      <c r="E2626" s="3">
        <f>IF(ORIG!E2626=0,"",ORIG!E2626)</f>
        <v/>
      </c>
      <c r="F2626" s="3">
        <f>IF(ORIG!F2626=0,"",ORIG!F2626)</f>
        <v/>
      </c>
      <c r="G2626" s="3">
        <f>IF(ORIG!G2626=0,"",ORIG!G2626)</f>
        <v/>
      </c>
      <c r="H2626" s="3">
        <f>IF(ORIG!H2626=0,"",ORIG!H2626)</f>
        <v/>
      </c>
      <c r="I2626" s="3">
        <f>IF(ORIG!I2626=0,"",ORIG!I2626)</f>
        <v/>
      </c>
      <c r="J2626" s="3">
        <f>IF(ORIG!J2626=0,"",ORIG!J2626)</f>
        <v/>
      </c>
      <c r="K2626" s="3">
        <f>IF(ORIG!K2626=0,"",ORIG!K2626)</f>
        <v/>
      </c>
      <c r="L2626" s="3">
        <f>IF(ORIG!L2626=0,"",ORIG!L2626)</f>
        <v/>
      </c>
      <c r="M2626" s="3">
        <f>IF(ORIG!M2626=0,"",ORIG!M2626)</f>
        <v/>
      </c>
      <c r="N2626" s="3">
        <f>IF(ORIG!N2626=0,"",ORIG!N2626)</f>
        <v/>
      </c>
      <c r="O2626" s="3">
        <f>IF(ORIG!O2626=0,"",ORIG!O2626)</f>
        <v/>
      </c>
      <c r="P2626" s="3">
        <f>IF(ORIG!P2626=0,"",ORIG!P2626)</f>
        <v/>
      </c>
      <c r="Q2626" s="3">
        <f>IF(ORIG!Q2626=0,"",ORIG!Q2626)</f>
        <v/>
      </c>
      <c r="R2626" s="3">
        <f>IF(ORIG!R2626=0,"",ORIG!R2626)</f>
        <v/>
      </c>
      <c r="S2626" s="3">
        <f>IF(ORIG!S2626=0,"",ORIG!S2626)</f>
        <v/>
      </c>
      <c r="T2626" s="3">
        <f>IF(ORIG!T2626=0,"",ORIG!T2626)</f>
        <v/>
      </c>
      <c r="U2626" s="3">
        <f>IF(ORIG!U2626=0,"",ORIG!U2626)</f>
        <v/>
      </c>
      <c r="V2626" s="9">
        <f>IF(ORIG!V2626=0,"",ORIG!V2626)</f>
        <v/>
      </c>
      <c r="W2626" s="9">
        <f>IF(ORIG!W2626=0,"",ORIG!W2626)</f>
        <v/>
      </c>
      <c r="X2626" s="9">
        <f>IF(ORIG!X2626=0,"",ORIG!X2626)</f>
        <v/>
      </c>
      <c r="Y2626" s="9">
        <f>IF(ORIG!Y2626=0,"",ORIG!Y2626)</f>
        <v/>
      </c>
      <c r="Z2626" s="3">
        <f>SUMPRODUCT($B2626:$Y2626,$B$2649:$Y$2649)</f>
        <v/>
      </c>
      <c r="AA2626" s="3">
        <f>SUMPRODUCT($B2626:$Y2626,$B$2655:$Y$2655)</f>
        <v/>
      </c>
      <c r="AC2626" s="1">
        <f>A2626</f>
        <v/>
      </c>
      <c r="AD2626">
        <f>IF(ISNUMBER(V2626),V2626*($AB$1/V$2635),"")</f>
        <v/>
      </c>
      <c r="AE2626">
        <f>IF(ISNUMBER(Z2626),Z2626*($AB$1/Z$2635),"")</f>
        <v/>
      </c>
      <c r="AF2626" s="25">
        <f>IF(ISNUMBER(AD2626+AE2626),AD2626+AE2626,"")</f>
        <v/>
      </c>
      <c r="AH2626" s="1">
        <f>A2626</f>
        <v/>
      </c>
      <c r="AI2626">
        <f>IF(ISNUMBER((1+V2626)*AI2625),(1+V2626)*AI2625,AI2625)</f>
        <v/>
      </c>
      <c r="AJ2626">
        <f>IF(ISNUMBER((1+Z2626)*AJ2625),(1+Z2626)*AJ2625,AJ2625)</f>
        <v/>
      </c>
    </row>
    <row r="2627" ht="28" customHeight="1">
      <c r="A2627" s="1" t="n">
        <v>45818</v>
      </c>
      <c r="B2627" s="3">
        <f>IF(ORIG!B2627=0,"",ORIG!B2627)</f>
        <v/>
      </c>
      <c r="C2627" s="3">
        <f>IF(ORIG!C2627=0,"",ORIG!C2627)</f>
        <v/>
      </c>
      <c r="D2627" s="3">
        <f>IF(ORIG!D2627=0,"",ORIG!D2627)</f>
        <v/>
      </c>
      <c r="E2627" s="3">
        <f>IF(ORIG!E2627=0,"",ORIG!E2627)</f>
        <v/>
      </c>
      <c r="F2627" s="3">
        <f>IF(ORIG!F2627=0,"",ORIG!F2627)</f>
        <v/>
      </c>
      <c r="G2627" s="3">
        <f>IF(ORIG!G2627=0,"",ORIG!G2627)</f>
        <v/>
      </c>
      <c r="H2627" s="3">
        <f>IF(ORIG!H2627=0,"",ORIG!H2627)</f>
        <v/>
      </c>
      <c r="I2627" s="3">
        <f>IF(ORIG!I2627=0,"",ORIG!I2627)</f>
        <v/>
      </c>
      <c r="J2627" s="3">
        <f>IF(ORIG!J2627=0,"",ORIG!J2627)</f>
        <v/>
      </c>
      <c r="K2627" s="3">
        <f>IF(ORIG!K2627=0,"",ORIG!K2627)</f>
        <v/>
      </c>
      <c r="L2627" s="3">
        <f>IF(ORIG!L2627=0,"",ORIG!L2627)</f>
        <v/>
      </c>
      <c r="M2627" s="3">
        <f>IF(ORIG!M2627=0,"",ORIG!M2627)</f>
        <v/>
      </c>
      <c r="N2627" s="3">
        <f>IF(ORIG!N2627=0,"",ORIG!N2627)</f>
        <v/>
      </c>
      <c r="O2627" s="3">
        <f>IF(ORIG!O2627=0,"",ORIG!O2627)</f>
        <v/>
      </c>
      <c r="P2627" s="3">
        <f>IF(ORIG!P2627=0,"",ORIG!P2627)</f>
        <v/>
      </c>
      <c r="Q2627" s="3">
        <f>IF(ORIG!Q2627=0,"",ORIG!Q2627)</f>
        <v/>
      </c>
      <c r="R2627" s="3">
        <f>IF(ORIG!R2627=0,"",ORIG!R2627)</f>
        <v/>
      </c>
      <c r="S2627" s="3">
        <f>IF(ORIG!S2627=0,"",ORIG!S2627)</f>
        <v/>
      </c>
      <c r="T2627" s="3">
        <f>IF(ORIG!T2627=0,"",ORIG!T2627)</f>
        <v/>
      </c>
      <c r="U2627" s="3">
        <f>IF(ORIG!U2627=0,"",ORIG!U2627)</f>
        <v/>
      </c>
      <c r="V2627" s="9">
        <f>IF(ORIG!V2627=0,"",ORIG!V2627)</f>
        <v/>
      </c>
      <c r="W2627" s="9">
        <f>IF(ORIG!W2627=0,"",ORIG!W2627)</f>
        <v/>
      </c>
      <c r="X2627" s="9">
        <f>IF(ORIG!X2627=0,"",ORIG!X2627)</f>
        <v/>
      </c>
      <c r="Y2627" s="9">
        <f>IF(ORIG!Y2627=0,"",ORIG!Y2627)</f>
        <v/>
      </c>
      <c r="Z2627" s="3">
        <f>SUMPRODUCT($B2627:$Y2627,$B$2649:$Y$2649)</f>
        <v/>
      </c>
      <c r="AA2627" s="3">
        <f>SUMPRODUCT($B2627:$Y2627,$B$2655:$Y$2655)</f>
        <v/>
      </c>
      <c r="AC2627" s="1">
        <f>A2627</f>
        <v/>
      </c>
      <c r="AD2627">
        <f>IF(ISNUMBER(V2627),V2627*($AB$1/V$2635),"")</f>
        <v/>
      </c>
      <c r="AE2627">
        <f>IF(ISNUMBER(Z2627),Z2627*($AB$1/Z$2635),"")</f>
        <v/>
      </c>
      <c r="AF2627" s="25">
        <f>IF(ISNUMBER(AD2627+AE2627),AD2627+AE2627,"")</f>
        <v/>
      </c>
      <c r="AH2627" s="1">
        <f>A2627</f>
        <v/>
      </c>
      <c r="AI2627">
        <f>IF(ISNUMBER((1+V2627)*AI2626),(1+V2627)*AI2626,AI2626)</f>
        <v/>
      </c>
      <c r="AJ2627">
        <f>IF(ISNUMBER((1+Z2627)*AJ2626),(1+Z2627)*AJ2626,AJ2626)</f>
        <v/>
      </c>
    </row>
    <row r="2628" ht="28" customHeight="1">
      <c r="A2628" s="1" t="n"/>
      <c r="B2628" s="3" t="n"/>
      <c r="C2628" s="3" t="n"/>
      <c r="D2628" s="3" t="n"/>
      <c r="E2628" s="3" t="n"/>
      <c r="F2628" s="3" t="n"/>
      <c r="G2628" s="3" t="n"/>
      <c r="H2628" s="3" t="n"/>
      <c r="I2628" s="3" t="n"/>
      <c r="J2628" s="3" t="n"/>
      <c r="K2628" s="3" t="n"/>
      <c r="L2628" s="3" t="n"/>
      <c r="M2628" s="3" t="n"/>
      <c r="N2628" s="3" t="n"/>
      <c r="O2628" s="3" t="n"/>
      <c r="P2628" s="3" t="n"/>
      <c r="Q2628" s="3" t="n"/>
      <c r="R2628" s="3" t="n"/>
      <c r="S2628" s="3" t="n"/>
      <c r="T2628" s="3" t="n"/>
      <c r="U2628" s="3" t="n"/>
      <c r="V2628" s="9" t="n"/>
      <c r="W2628" s="9" t="n"/>
      <c r="X2628" s="9" t="n"/>
      <c r="Y2628" s="9" t="n"/>
      <c r="Z2628" s="3" t="n"/>
      <c r="AA2628" s="3" t="n"/>
    </row>
    <row r="2629" ht="28" customHeight="1">
      <c r="A2629" s="1" t="n"/>
      <c r="B2629" s="3" t="n"/>
      <c r="C2629" s="3" t="n"/>
      <c r="D2629" s="3" t="n"/>
      <c r="E2629" s="3" t="n"/>
      <c r="F2629" s="3" t="n"/>
      <c r="G2629" s="3" t="n"/>
      <c r="H2629" s="3" t="n"/>
      <c r="I2629" s="3" t="n"/>
      <c r="J2629" s="3" t="n"/>
      <c r="K2629" s="3" t="n"/>
      <c r="L2629" s="3" t="n"/>
      <c r="M2629" s="3" t="n"/>
      <c r="N2629" s="3" t="n"/>
      <c r="O2629" s="3" t="n"/>
      <c r="P2629" s="3" t="n"/>
      <c r="Q2629" s="3" t="n"/>
      <c r="R2629" s="3" t="n"/>
      <c r="S2629" s="3" t="n"/>
      <c r="T2629" s="3" t="n"/>
      <c r="U2629" s="3" t="n"/>
      <c r="V2629" s="9" t="n"/>
      <c r="W2629" s="9" t="n"/>
      <c r="X2629" s="9" t="n"/>
      <c r="Y2629" s="9" t="n"/>
      <c r="Z2629" s="3" t="n"/>
      <c r="AA2629" s="3" t="n"/>
    </row>
    <row r="2630" ht="28" customHeight="1">
      <c r="A2630" s="1" t="n"/>
      <c r="B2630" s="3" t="n"/>
      <c r="C2630" s="3" t="n"/>
      <c r="D2630" s="3" t="n"/>
      <c r="E2630" s="3" t="n"/>
      <c r="F2630" s="3" t="n"/>
      <c r="G2630" s="3" t="n"/>
      <c r="H2630" s="3" t="n"/>
      <c r="I2630" s="3" t="n"/>
      <c r="J2630" s="3" t="n"/>
      <c r="K2630" s="3" t="n"/>
      <c r="L2630" s="3" t="n"/>
      <c r="M2630" s="3" t="n"/>
      <c r="N2630" s="3" t="n"/>
      <c r="O2630" s="3" t="n"/>
      <c r="P2630" s="3" t="n"/>
      <c r="Q2630" s="3" t="n"/>
      <c r="R2630" s="3" t="n"/>
      <c r="S2630" s="3" t="n"/>
      <c r="T2630" s="3" t="n"/>
      <c r="U2630" s="3" t="n"/>
      <c r="V2630" s="9" t="n"/>
      <c r="W2630" s="9" t="n"/>
      <c r="X2630" s="9" t="n"/>
      <c r="Y2630" s="9" t="n"/>
      <c r="Z2630" s="3" t="n"/>
      <c r="AA2630" s="3" t="n"/>
    </row>
    <row r="2631">
      <c r="C2631" s="2">
        <f>C1</f>
        <v/>
      </c>
      <c r="D2631" s="2">
        <f>D1</f>
        <v/>
      </c>
      <c r="E2631" s="2">
        <f>E1</f>
        <v/>
      </c>
      <c r="F2631" s="2">
        <f>F1</f>
        <v/>
      </c>
      <c r="G2631" s="2">
        <f>G1</f>
        <v/>
      </c>
      <c r="H2631" s="2">
        <f>H1</f>
        <v/>
      </c>
      <c r="I2631" s="2">
        <f>I1</f>
        <v/>
      </c>
      <c r="J2631" s="2">
        <f>J1</f>
        <v/>
      </c>
      <c r="K2631" s="2">
        <f>K1</f>
        <v/>
      </c>
      <c r="L2631" s="2">
        <f>L1</f>
        <v/>
      </c>
      <c r="M2631" s="2">
        <f>M1</f>
        <v/>
      </c>
      <c r="N2631" s="2">
        <f>N1</f>
        <v/>
      </c>
      <c r="O2631" s="2">
        <f>O1</f>
        <v/>
      </c>
      <c r="P2631" s="2">
        <f>P1</f>
        <v/>
      </c>
      <c r="Q2631" s="2">
        <f>Q1</f>
        <v/>
      </c>
      <c r="R2631" s="2">
        <f>R1</f>
        <v/>
      </c>
      <c r="S2631" s="2">
        <f>S1</f>
        <v/>
      </c>
      <c r="T2631" s="2">
        <f>T1</f>
        <v/>
      </c>
      <c r="U2631" s="2">
        <f>U1</f>
        <v/>
      </c>
      <c r="V2631" s="2">
        <f>V1</f>
        <v/>
      </c>
      <c r="W2631" s="2">
        <f>W1</f>
        <v/>
      </c>
      <c r="X2631" s="2">
        <f>X1</f>
        <v/>
      </c>
      <c r="Y2631" s="2">
        <f>Y1</f>
        <v/>
      </c>
      <c r="Z2631" s="2">
        <f>Z1</f>
        <v/>
      </c>
      <c r="AA2631" s="2">
        <f>AA1</f>
        <v/>
      </c>
      <c r="AD2631" s="2">
        <f>AD1</f>
        <v/>
      </c>
      <c r="AE2631" s="2">
        <f>AE1</f>
        <v/>
      </c>
      <c r="AF2631" s="25">
        <f>AF1</f>
        <v/>
      </c>
    </row>
    <row r="2632">
      <c r="A2632" t="inlineStr">
        <is>
          <t>MU</t>
        </is>
      </c>
      <c r="B2632" s="4">
        <f>AVERAGE(B2:B2627)</f>
        <v/>
      </c>
      <c r="C2632" s="4">
        <f>AVERAGE(C2:C2627)</f>
        <v/>
      </c>
      <c r="D2632" s="4">
        <f>AVERAGE(D2:D2627)</f>
        <v/>
      </c>
      <c r="E2632" s="4">
        <f>AVERAGE(E2:E2627)</f>
        <v/>
      </c>
      <c r="F2632" s="4">
        <f>AVERAGE(F2:F2627)</f>
        <v/>
      </c>
      <c r="G2632" s="4">
        <f>AVERAGE(G2:G2627)</f>
        <v/>
      </c>
      <c r="H2632" s="4">
        <f>AVERAGE(H2:H2627)</f>
        <v/>
      </c>
      <c r="I2632" s="4">
        <f>AVERAGE(I2:I2627)</f>
        <v/>
      </c>
      <c r="J2632" s="4">
        <f>AVERAGE(J2:J2627)</f>
        <v/>
      </c>
      <c r="K2632" s="4">
        <f>AVERAGE(K2:K2627)</f>
        <v/>
      </c>
      <c r="L2632" s="4">
        <f>AVERAGE(L2:L2627)</f>
        <v/>
      </c>
      <c r="M2632" s="4">
        <f>AVERAGE(M2:M2627)</f>
        <v/>
      </c>
      <c r="N2632" s="4">
        <f>AVERAGE(N2:N2627)</f>
        <v/>
      </c>
      <c r="O2632" s="4">
        <f>AVERAGE(O2:O2627)</f>
        <v/>
      </c>
      <c r="P2632" s="4">
        <f>AVERAGE(P2:P2627)</f>
        <v/>
      </c>
      <c r="Q2632" s="4">
        <f>AVERAGE(Q2:Q2627)</f>
        <v/>
      </c>
      <c r="R2632" s="4">
        <f>AVERAGE(R2:R2627)</f>
        <v/>
      </c>
      <c r="S2632" s="4">
        <f>AVERAGE(S2:S2627)</f>
        <v/>
      </c>
      <c r="T2632" s="4">
        <f>AVERAGE(T2:T2627)</f>
        <v/>
      </c>
      <c r="U2632" s="4">
        <f>AVERAGE(U2:U2627)</f>
        <v/>
      </c>
      <c r="V2632" s="10">
        <f>AVERAGE(V2:V2627)</f>
        <v/>
      </c>
      <c r="W2632" s="10">
        <f>AVERAGE(W2:W2627)</f>
        <v/>
      </c>
      <c r="X2632" s="10">
        <f>AVERAGE(X2:X2627)</f>
        <v/>
      </c>
      <c r="Y2632" s="10">
        <f>AVERAGE(Y2:Y2627)</f>
        <v/>
      </c>
      <c r="Z2632" s="4">
        <f>AVERAGE(Z2:Z2627)</f>
        <v/>
      </c>
      <c r="AA2632" s="4">
        <f>AVERAGE(AA2:AA2627)</f>
        <v/>
      </c>
      <c r="AD2632" s="10">
        <f>AVERAGE(AD2:AD2627)</f>
        <v/>
      </c>
      <c r="AE2632" s="10">
        <f>AVERAGE(AE2:AE2627)</f>
        <v/>
      </c>
      <c r="AF2632" s="26">
        <f>AVERAGE(AF2:AF2627)</f>
        <v/>
      </c>
    </row>
    <row r="2633">
      <c r="A2633" t="inlineStr">
        <is>
          <t>SD</t>
        </is>
      </c>
      <c r="B2633" s="4">
        <f>STDEV(B2:B2627)</f>
        <v/>
      </c>
      <c r="C2633" s="4">
        <f>STDEV(C2:C2627)</f>
        <v/>
      </c>
      <c r="D2633" s="4">
        <f>STDEV(D2:D2627)</f>
        <v/>
      </c>
      <c r="E2633" s="4">
        <f>STDEV(E2:E2627)</f>
        <v/>
      </c>
      <c r="F2633" s="4">
        <f>STDEV(F2:F2627)</f>
        <v/>
      </c>
      <c r="G2633" s="4">
        <f>STDEV(G2:G2627)</f>
        <v/>
      </c>
      <c r="H2633" s="4">
        <f>STDEV(H2:H2627)</f>
        <v/>
      </c>
      <c r="I2633" s="4">
        <f>STDEV(I2:I2627)</f>
        <v/>
      </c>
      <c r="J2633" s="4">
        <f>STDEV(J2:J2627)</f>
        <v/>
      </c>
      <c r="K2633" s="4">
        <f>STDEV(K2:K2627)</f>
        <v/>
      </c>
      <c r="L2633" s="4">
        <f>STDEV(L2:L2627)</f>
        <v/>
      </c>
      <c r="M2633" s="4">
        <f>STDEV(M2:M2627)</f>
        <v/>
      </c>
      <c r="N2633" s="4">
        <f>STDEV(N2:N2627)</f>
        <v/>
      </c>
      <c r="O2633" s="4">
        <f>STDEV(O2:O2627)</f>
        <v/>
      </c>
      <c r="P2633" s="4">
        <f>STDEV(P2:P2627)</f>
        <v/>
      </c>
      <c r="Q2633" s="4">
        <f>STDEV(Q2:Q2627)</f>
        <v/>
      </c>
      <c r="R2633" s="4">
        <f>STDEV(R2:R2627)</f>
        <v/>
      </c>
      <c r="S2633" s="4">
        <f>STDEV(S2:S2627)</f>
        <v/>
      </c>
      <c r="T2633" s="4">
        <f>STDEV(T2:T2627)</f>
        <v/>
      </c>
      <c r="U2633" s="4">
        <f>STDEV(U2:U2627)</f>
        <v/>
      </c>
      <c r="V2633" s="10">
        <f>STDEV(V2:V2627)</f>
        <v/>
      </c>
      <c r="W2633" s="10">
        <f>STDEV(W2:W2627)</f>
        <v/>
      </c>
      <c r="X2633" s="10">
        <f>STDEV(X2:X2627)</f>
        <v/>
      </c>
      <c r="Y2633" s="10">
        <f>STDEV(Y2:Y2627)</f>
        <v/>
      </c>
      <c r="Z2633" s="4">
        <f>STDEV(Z2:Z2627)</f>
        <v/>
      </c>
      <c r="AA2633" s="4">
        <f>STDEV(AA2:AA2627)</f>
        <v/>
      </c>
      <c r="AD2633" s="10">
        <f>STDEV(AD2:AD2627)</f>
        <v/>
      </c>
      <c r="AE2633" s="10">
        <f>STDEV(AE2:AE2627)</f>
        <v/>
      </c>
      <c r="AF2633" s="26">
        <f>STDEV(AF2:AF2627)</f>
        <v/>
      </c>
    </row>
    <row r="2634">
      <c r="A2634" t="inlineStr">
        <is>
          <t>ANN MU</t>
        </is>
      </c>
      <c r="B2634" s="3">
        <f>252*B2632</f>
        <v/>
      </c>
      <c r="C2634" s="3">
        <f>252*C2632</f>
        <v/>
      </c>
      <c r="D2634" s="3">
        <f>252*D2632</f>
        <v/>
      </c>
      <c r="E2634" s="3">
        <f>252*E2632</f>
        <v/>
      </c>
      <c r="F2634" s="3">
        <f>252*F2632</f>
        <v/>
      </c>
      <c r="G2634" s="3">
        <f>252*G2632</f>
        <v/>
      </c>
      <c r="H2634" s="3">
        <f>252*H2632</f>
        <v/>
      </c>
      <c r="I2634" s="3">
        <f>252*I2632</f>
        <v/>
      </c>
      <c r="J2634" s="3">
        <f>252*J2632</f>
        <v/>
      </c>
      <c r="K2634" s="3">
        <f>252*K2632</f>
        <v/>
      </c>
      <c r="L2634" s="3">
        <f>252*L2632</f>
        <v/>
      </c>
      <c r="M2634" s="3">
        <f>252*M2632</f>
        <v/>
      </c>
      <c r="N2634" s="3">
        <f>252*N2632</f>
        <v/>
      </c>
      <c r="O2634" s="3">
        <f>252*O2632</f>
        <v/>
      </c>
      <c r="P2634" s="3">
        <f>252*P2632</f>
        <v/>
      </c>
      <c r="Q2634" s="3">
        <f>252*Q2632</f>
        <v/>
      </c>
      <c r="R2634" s="3">
        <f>252*R2632</f>
        <v/>
      </c>
      <c r="S2634" s="3">
        <f>252*S2632</f>
        <v/>
      </c>
      <c r="T2634" s="3">
        <f>252*T2632</f>
        <v/>
      </c>
      <c r="U2634" s="3">
        <f>252*U2632</f>
        <v/>
      </c>
      <c r="V2634" s="9">
        <f>252*V2632</f>
        <v/>
      </c>
      <c r="W2634" s="9">
        <f>252*W2632</f>
        <v/>
      </c>
      <c r="X2634" s="9">
        <f>252*X2632</f>
        <v/>
      </c>
      <c r="Y2634" s="9">
        <f>252*Y2632</f>
        <v/>
      </c>
      <c r="Z2634" s="3">
        <f>252*Z2632</f>
        <v/>
      </c>
      <c r="AA2634" s="3">
        <f>252*AA2632</f>
        <v/>
      </c>
      <c r="AD2634" s="9">
        <f>252*AD2632</f>
        <v/>
      </c>
      <c r="AE2634" s="9">
        <f>252*AE2632</f>
        <v/>
      </c>
      <c r="AF2634" s="27">
        <f>252*AF2632</f>
        <v/>
      </c>
    </row>
    <row r="2635">
      <c r="A2635" t="inlineStr">
        <is>
          <t>ANN SD</t>
        </is>
      </c>
      <c r="B2635" s="3">
        <f>SQRT(252)*B2633</f>
        <v/>
      </c>
      <c r="C2635" s="3">
        <f>SQRT(252)*C2633</f>
        <v/>
      </c>
      <c r="D2635" s="3">
        <f>SQRT(252)*D2633</f>
        <v/>
      </c>
      <c r="E2635" s="3">
        <f>SQRT(252)*E2633</f>
        <v/>
      </c>
      <c r="F2635" s="3">
        <f>SQRT(252)*F2633</f>
        <v/>
      </c>
      <c r="G2635" s="3">
        <f>SQRT(252)*G2633</f>
        <v/>
      </c>
      <c r="H2635" s="3">
        <f>SQRT(252)*H2633</f>
        <v/>
      </c>
      <c r="I2635" s="3">
        <f>SQRT(252)*I2633</f>
        <v/>
      </c>
      <c r="J2635" s="3">
        <f>SQRT(252)*J2633</f>
        <v/>
      </c>
      <c r="K2635" s="3">
        <f>SQRT(252)*K2633</f>
        <v/>
      </c>
      <c r="L2635" s="3">
        <f>SQRT(252)*L2633</f>
        <v/>
      </c>
      <c r="M2635" s="3">
        <f>SQRT(252)*M2633</f>
        <v/>
      </c>
      <c r="N2635" s="3">
        <f>SQRT(252)*N2633</f>
        <v/>
      </c>
      <c r="O2635" s="3">
        <f>SQRT(252)*O2633</f>
        <v/>
      </c>
      <c r="P2635" s="3">
        <f>SQRT(252)*P2633</f>
        <v/>
      </c>
      <c r="Q2635" s="3">
        <f>SQRT(252)*Q2633</f>
        <v/>
      </c>
      <c r="R2635" s="3">
        <f>SQRT(252)*R2633</f>
        <v/>
      </c>
      <c r="S2635" s="3">
        <f>SQRT(252)*S2633</f>
        <v/>
      </c>
      <c r="T2635" s="3">
        <f>SQRT(252)*T2633</f>
        <v/>
      </c>
      <c r="U2635" s="3">
        <f>SQRT(252)*U2633</f>
        <v/>
      </c>
      <c r="V2635" s="9">
        <f>SQRT(252)*V2633</f>
        <v/>
      </c>
      <c r="W2635" s="9">
        <f>SQRT(252)*W2633</f>
        <v/>
      </c>
      <c r="X2635" s="9">
        <f>SQRT(252)*X2633</f>
        <v/>
      </c>
      <c r="Y2635" s="9">
        <f>SQRT(252)*Y2633</f>
        <v/>
      </c>
      <c r="Z2635" s="3">
        <f>SQRT(252)*Z2633</f>
        <v/>
      </c>
      <c r="AA2635" s="3">
        <f>SQRT(252)*AA2633</f>
        <v/>
      </c>
      <c r="AD2635" s="9">
        <f>SQRT(252)*AD2633</f>
        <v/>
      </c>
      <c r="AE2635" s="9">
        <f>SQRT(252)*AE2633</f>
        <v/>
      </c>
      <c r="AF2635" s="27">
        <f>SQRT(252)*AF2633</f>
        <v/>
      </c>
    </row>
    <row r="2636">
      <c r="A2636" t="inlineStr">
        <is>
          <t>ANN SR</t>
        </is>
      </c>
      <c r="B2636" s="5">
        <f>B2634/B2635</f>
        <v/>
      </c>
      <c r="C2636" s="6">
        <f>C2634/C2635</f>
        <v/>
      </c>
      <c r="D2636" s="6">
        <f>D2634/D2635</f>
        <v/>
      </c>
      <c r="E2636" s="6">
        <f>E2634/E2635</f>
        <v/>
      </c>
      <c r="F2636" s="6">
        <f>F2634/F2635</f>
        <v/>
      </c>
      <c r="G2636" s="6">
        <f>G2634/G2635</f>
        <v/>
      </c>
      <c r="H2636" s="6">
        <f>H2634/H2635</f>
        <v/>
      </c>
      <c r="I2636" s="6">
        <f>I2634/I2635</f>
        <v/>
      </c>
      <c r="J2636" s="6">
        <f>J2634/J2635</f>
        <v/>
      </c>
      <c r="K2636" s="6">
        <f>K2634/K2635</f>
        <v/>
      </c>
      <c r="L2636" s="6">
        <f>L2634/L2635</f>
        <v/>
      </c>
      <c r="M2636" s="6">
        <f>M2634/M2635</f>
        <v/>
      </c>
      <c r="N2636" s="6">
        <f>N2634/N2635</f>
        <v/>
      </c>
      <c r="O2636" s="6">
        <f>O2634/O2635</f>
        <v/>
      </c>
      <c r="P2636" s="6">
        <f>P2634/P2635</f>
        <v/>
      </c>
      <c r="Q2636" s="6">
        <f>Q2634/Q2635</f>
        <v/>
      </c>
      <c r="R2636" s="6">
        <f>R2634/R2635</f>
        <v/>
      </c>
      <c r="S2636" s="6">
        <f>S2634/S2635</f>
        <v/>
      </c>
      <c r="T2636" s="6">
        <f>T2634/T2635</f>
        <v/>
      </c>
      <c r="U2636" s="6">
        <f>U2634/U2635</f>
        <v/>
      </c>
      <c r="V2636" s="11">
        <f>V2634/V2635</f>
        <v/>
      </c>
      <c r="W2636" s="12">
        <f>W2634/W2635</f>
        <v/>
      </c>
      <c r="X2636" s="12">
        <f>X2634/X2635</f>
        <v/>
      </c>
      <c r="Y2636" s="12">
        <f>Y2634/Y2635</f>
        <v/>
      </c>
      <c r="Z2636" s="6">
        <f>Z2634/Z2635</f>
        <v/>
      </c>
      <c r="AA2636" s="6">
        <f>AA2634/AA2635</f>
        <v/>
      </c>
      <c r="AD2636" s="12">
        <f>AD2634/AD2635</f>
        <v/>
      </c>
      <c r="AE2636" s="12">
        <f>AE2634/AE2635</f>
        <v/>
      </c>
      <c r="AF2636" s="28">
        <f>AF2634/AF2635</f>
        <v/>
      </c>
    </row>
    <row r="2637">
      <c r="A2637" t="inlineStr">
        <is>
          <t>SKEW</t>
        </is>
      </c>
      <c r="B2637" s="18">
        <f>SKEW(B2:B2627)</f>
        <v/>
      </c>
      <c r="C2637" s="19">
        <f>SKEW(C2:C2627)</f>
        <v/>
      </c>
      <c r="D2637" s="19">
        <f>SKEW(D2:D2627)</f>
        <v/>
      </c>
      <c r="E2637" s="19">
        <f>SKEW(E2:E2627)</f>
        <v/>
      </c>
      <c r="F2637" s="19">
        <f>SKEW(F2:F2627)</f>
        <v/>
      </c>
      <c r="G2637" s="19">
        <f>SKEW(G2:G2627)</f>
        <v/>
      </c>
      <c r="H2637" s="19">
        <f>SKEW(H2:H2627)</f>
        <v/>
      </c>
      <c r="I2637" s="19">
        <f>SKEW(I2:I2627)</f>
        <v/>
      </c>
      <c r="J2637" s="19">
        <f>SKEW(J2:J2627)</f>
        <v/>
      </c>
      <c r="K2637" s="19">
        <f>SKEW(K2:K2627)</f>
        <v/>
      </c>
      <c r="L2637" s="19">
        <f>SKEW(L2:L2627)</f>
        <v/>
      </c>
      <c r="M2637" s="19">
        <f>SKEW(M2:M2627)</f>
        <v/>
      </c>
      <c r="N2637" s="19">
        <f>SKEW(N2:N2627)</f>
        <v/>
      </c>
      <c r="O2637" s="19">
        <f>SKEW(O2:O2627)</f>
        <v/>
      </c>
      <c r="P2637" s="19">
        <f>SKEW(P2:P2627)</f>
        <v/>
      </c>
      <c r="Q2637" s="19">
        <f>SKEW(Q2:Q2627)</f>
        <v/>
      </c>
      <c r="R2637" s="19">
        <f>SKEW(R2:R2627)</f>
        <v/>
      </c>
      <c r="S2637" s="19">
        <f>SKEW(S2:S2627)</f>
        <v/>
      </c>
      <c r="T2637" s="19">
        <f>SKEW(T2:T2627)</f>
        <v/>
      </c>
      <c r="U2637" s="19">
        <f>SKEW(U2:U2627)</f>
        <v/>
      </c>
      <c r="V2637" s="20">
        <f>SKEW(V2:V2627)</f>
        <v/>
      </c>
      <c r="W2637" s="21">
        <f>SKEW(W2:W2627)</f>
        <v/>
      </c>
      <c r="X2637" s="21">
        <f>SKEW(X2:X2627)</f>
        <v/>
      </c>
      <c r="Y2637" s="21">
        <f>SKEW(Y2:Y2627)</f>
        <v/>
      </c>
      <c r="Z2637" s="19">
        <f>SKEW(Z2:Z2627)</f>
        <v/>
      </c>
      <c r="AA2637" s="19">
        <f>SKEW(AA2:AA2627)</f>
        <v/>
      </c>
      <c r="AD2637" s="21">
        <f>SKEW(AD2:AD2627)</f>
        <v/>
      </c>
      <c r="AE2637" s="21">
        <f>SKEW(AE2:AE2627)</f>
        <v/>
      </c>
      <c r="AF2637" s="29">
        <f>SKEW(AF2:AF2627)</f>
        <v/>
      </c>
    </row>
    <row r="2638">
      <c r="A2638" t="inlineStr">
        <is>
          <t>KURTOSIS</t>
        </is>
      </c>
      <c r="B2638" s="18">
        <f>KURT(B2:B2627)</f>
        <v/>
      </c>
      <c r="C2638" s="19">
        <f>KURT(C2:C2627)</f>
        <v/>
      </c>
      <c r="D2638" s="19">
        <f>KURT(D2:D2627)</f>
        <v/>
      </c>
      <c r="E2638" s="19">
        <f>KURT(E2:E2627)</f>
        <v/>
      </c>
      <c r="F2638" s="19">
        <f>KURT(F2:F2627)</f>
        <v/>
      </c>
      <c r="G2638" s="19">
        <f>KURT(G2:G2627)</f>
        <v/>
      </c>
      <c r="H2638" s="19">
        <f>KURT(H2:H2627)</f>
        <v/>
      </c>
      <c r="I2638" s="19">
        <f>KURT(I2:I2627)</f>
        <v/>
      </c>
      <c r="J2638" s="19">
        <f>KURT(J2:J2627)</f>
        <v/>
      </c>
      <c r="K2638" s="19">
        <f>KURT(K2:K2627)</f>
        <v/>
      </c>
      <c r="L2638" s="19">
        <f>KURT(L2:L2627)</f>
        <v/>
      </c>
      <c r="M2638" s="19">
        <f>KURT(M2:M2627)</f>
        <v/>
      </c>
      <c r="N2638" s="19">
        <f>KURT(N2:N2627)</f>
        <v/>
      </c>
      <c r="O2638" s="19">
        <f>KURT(O2:O2627)</f>
        <v/>
      </c>
      <c r="P2638" s="19">
        <f>KURT(P2:P2627)</f>
        <v/>
      </c>
      <c r="Q2638" s="19">
        <f>KURT(Q2:Q2627)</f>
        <v/>
      </c>
      <c r="R2638" s="19">
        <f>KURT(R2:R2627)</f>
        <v/>
      </c>
      <c r="S2638" s="19">
        <f>KURT(S2:S2627)</f>
        <v/>
      </c>
      <c r="T2638" s="19">
        <f>KURT(T2:T2627)</f>
        <v/>
      </c>
      <c r="U2638" s="19">
        <f>KURT(U2:U2627)</f>
        <v/>
      </c>
      <c r="V2638" s="20">
        <f>KURT(V2:V2627)</f>
        <v/>
      </c>
      <c r="W2638" s="21">
        <f>KURT(W2:W2627)</f>
        <v/>
      </c>
      <c r="X2638" s="21">
        <f>KURT(X2:X2627)</f>
        <v/>
      </c>
      <c r="Y2638" s="21">
        <f>KURT(Y2:Y2627)</f>
        <v/>
      </c>
      <c r="Z2638" s="19">
        <f>KURT(Z2:Z2627)</f>
        <v/>
      </c>
      <c r="AA2638" s="19">
        <f>KURT(AA2:AA2627)</f>
        <v/>
      </c>
      <c r="AD2638" s="21">
        <f>KURT(AD2:AD2627)</f>
        <v/>
      </c>
      <c r="AE2638" s="21">
        <f>KURT(AE2:AE2627)</f>
        <v/>
      </c>
      <c r="AF2638" s="29">
        <f>KURT(AF2:AF2627)</f>
        <v/>
      </c>
    </row>
    <row r="2639">
      <c r="B2639" s="5" t="n"/>
      <c r="C2639" s="6" t="n"/>
      <c r="D2639" s="6" t="n"/>
      <c r="E2639" s="6" t="n"/>
      <c r="F2639" s="6" t="n"/>
      <c r="G2639" s="6" t="n"/>
      <c r="H2639" s="6" t="n"/>
      <c r="I2639" s="6" t="n"/>
      <c r="J2639" s="6" t="n"/>
      <c r="K2639" s="6" t="n"/>
      <c r="L2639" s="6" t="n"/>
      <c r="M2639" s="6" t="n"/>
      <c r="N2639" s="6" t="n"/>
      <c r="O2639" s="6" t="n"/>
      <c r="P2639" s="6" t="n"/>
      <c r="Q2639" s="6" t="n"/>
      <c r="R2639" s="6" t="n"/>
      <c r="S2639" s="6" t="n"/>
      <c r="T2639" s="6" t="n"/>
      <c r="U2639" s="6" t="n"/>
      <c r="V2639" s="11" t="n"/>
      <c r="W2639" s="12" t="n"/>
      <c r="X2639" s="12" t="n"/>
      <c r="Y2639" s="12" t="n"/>
      <c r="Z2639" s="6" t="n"/>
      <c r="AA2639" s="6" t="n"/>
      <c r="AD2639" s="12" t="n"/>
      <c r="AE2639" s="12" t="n"/>
      <c r="AF2639" s="28" t="n"/>
    </row>
    <row r="2640">
      <c r="C2640" s="2">
        <f>C1</f>
        <v/>
      </c>
      <c r="D2640" s="2">
        <f>D1</f>
        <v/>
      </c>
      <c r="E2640" s="2">
        <f>E1</f>
        <v/>
      </c>
      <c r="F2640" s="2">
        <f>F1</f>
        <v/>
      </c>
      <c r="G2640" s="2">
        <f>G1</f>
        <v/>
      </c>
      <c r="H2640" s="2">
        <f>H1</f>
        <v/>
      </c>
      <c r="I2640" s="2">
        <f>I1</f>
        <v/>
      </c>
      <c r="J2640" s="2">
        <f>J1</f>
        <v/>
      </c>
      <c r="K2640" s="2">
        <f>K1</f>
        <v/>
      </c>
      <c r="L2640" s="2">
        <f>L1</f>
        <v/>
      </c>
      <c r="M2640" s="2">
        <f>M1</f>
        <v/>
      </c>
      <c r="N2640" s="2">
        <f>N1</f>
        <v/>
      </c>
      <c r="O2640" s="2">
        <f>O1</f>
        <v/>
      </c>
      <c r="P2640" s="2">
        <f>P1</f>
        <v/>
      </c>
      <c r="Q2640" s="2">
        <f>Q1</f>
        <v/>
      </c>
      <c r="R2640" s="2">
        <f>R1</f>
        <v/>
      </c>
      <c r="S2640" s="2">
        <f>S1</f>
        <v/>
      </c>
      <c r="T2640" s="2">
        <f>T1</f>
        <v/>
      </c>
      <c r="U2640" s="2">
        <f>U1</f>
        <v/>
      </c>
      <c r="V2640" s="2">
        <f>V1</f>
        <v/>
      </c>
      <c r="W2640" s="2">
        <f>W1</f>
        <v/>
      </c>
      <c r="X2640" s="2">
        <f>X1</f>
        <v/>
      </c>
      <c r="Y2640" s="2">
        <f>Y1</f>
        <v/>
      </c>
      <c r="Z2640" s="2">
        <f>Z1</f>
        <v/>
      </c>
      <c r="AA2640" s="2">
        <f>AA1</f>
        <v/>
      </c>
      <c r="AD2640" s="2">
        <f>AD1</f>
        <v/>
      </c>
      <c r="AE2640" s="2">
        <f>AE1</f>
        <v/>
      </c>
      <c r="AF2640" s="25">
        <f>AF1</f>
        <v/>
      </c>
    </row>
    <row r="2641">
      <c r="A2641" t="inlineStr">
        <is>
          <t>COUNT</t>
        </is>
      </c>
      <c r="B2641">
        <f>COUNT(B2:B2627)</f>
        <v/>
      </c>
      <c r="C2641">
        <f>COUNT(C2:C2627)</f>
        <v/>
      </c>
      <c r="D2641">
        <f>COUNT(D2:D2627)</f>
        <v/>
      </c>
      <c r="E2641">
        <f>COUNT(E2:E2627)</f>
        <v/>
      </c>
      <c r="F2641">
        <f>COUNT(F2:F2627)</f>
        <v/>
      </c>
      <c r="G2641">
        <f>COUNT(G2:G2627)</f>
        <v/>
      </c>
      <c r="H2641">
        <f>COUNT(H2:H2627)</f>
        <v/>
      </c>
      <c r="I2641">
        <f>COUNT(I2:I2627)</f>
        <v/>
      </c>
      <c r="J2641">
        <f>COUNT(J2:J2627)</f>
        <v/>
      </c>
      <c r="K2641">
        <f>COUNT(K2:K2627)</f>
        <v/>
      </c>
      <c r="L2641">
        <f>COUNT(L2:L2627)</f>
        <v/>
      </c>
      <c r="M2641">
        <f>COUNT(M2:M2627)</f>
        <v/>
      </c>
      <c r="N2641">
        <f>COUNT(N2:N2627)</f>
        <v/>
      </c>
      <c r="O2641">
        <f>COUNT(O2:O2627)</f>
        <v/>
      </c>
      <c r="P2641">
        <f>COUNT(P2:P2627)</f>
        <v/>
      </c>
      <c r="Q2641">
        <f>COUNT(Q2:Q2627)</f>
        <v/>
      </c>
      <c r="R2641">
        <f>COUNT(R2:R2627)</f>
        <v/>
      </c>
      <c r="S2641">
        <f>COUNT(S2:S2627)</f>
        <v/>
      </c>
      <c r="T2641">
        <f>COUNT(T2:T2627)</f>
        <v/>
      </c>
      <c r="U2641">
        <f>COUNT(U2:U2627)</f>
        <v/>
      </c>
      <c r="V2641" s="2">
        <f>COUNT(V2:V2627)</f>
        <v/>
      </c>
      <c r="W2641" s="2">
        <f>COUNT(W2:W2627)</f>
        <v/>
      </c>
      <c r="X2641" s="2">
        <f>COUNT(X2:X2627)</f>
        <v/>
      </c>
      <c r="Y2641" s="2">
        <f>COUNT(Y2:Y2627)</f>
        <v/>
      </c>
      <c r="Z2641">
        <f>COUNT(Z2:Z2627)</f>
        <v/>
      </c>
      <c r="AA2641">
        <f>COUNT(AA2:AA2627)</f>
        <v/>
      </c>
      <c r="AD2641" s="2">
        <f>COUNT(AD2:AD2627)</f>
        <v/>
      </c>
      <c r="AE2641" s="2">
        <f>COUNT(AE2:AE2627)</f>
        <v/>
      </c>
      <c r="AF2641" s="25">
        <f>COUNT(AF2:AF2627)</f>
        <v/>
      </c>
    </row>
    <row r="2642">
      <c r="A2642" t="inlineStr">
        <is>
          <t>CORR(SPY_STRATEGY)</t>
        </is>
      </c>
      <c r="B2642" s="5">
        <f>CORREL(B$2:B$2627,$V$2:$V$2627)</f>
        <v/>
      </c>
      <c r="C2642" s="5">
        <f>CORREL(C$2:C$2627,$V$2:$V$2627)</f>
        <v/>
      </c>
      <c r="D2642" s="5">
        <f>CORREL(D$2:D$2627,$V$2:$V$2627)</f>
        <v/>
      </c>
      <c r="E2642" s="5">
        <f>CORREL(E$2:E$2627,$V$2:$V$2627)</f>
        <v/>
      </c>
      <c r="F2642" s="5">
        <f>CORREL(F$2:F$2627,$V$2:$V$2627)</f>
        <v/>
      </c>
      <c r="G2642" s="5">
        <f>CORREL(G$2:G$2627,$V$2:$V$2627)</f>
        <v/>
      </c>
      <c r="H2642" s="5">
        <f>CORREL(H$2:H$2627,$V$2:$V$2627)</f>
        <v/>
      </c>
      <c r="I2642" s="5">
        <f>CORREL(I$2:I$2627,$V$2:$V$2627)</f>
        <v/>
      </c>
      <c r="J2642" s="5">
        <f>CORREL(J$2:J$2627,$V$2:$V$2627)</f>
        <v/>
      </c>
      <c r="K2642" s="5">
        <f>CORREL(K$2:K$2627,$V$2:$V$2627)</f>
        <v/>
      </c>
      <c r="L2642" s="5">
        <f>CORREL(L$2:L$2627,$V$2:$V$2627)</f>
        <v/>
      </c>
      <c r="M2642" s="5">
        <f>CORREL(M$2:M$2627,$V$2:$V$2627)</f>
        <v/>
      </c>
      <c r="N2642" s="5">
        <f>CORREL(N$2:N$2627,$V$2:$V$2627)</f>
        <v/>
      </c>
      <c r="O2642" s="5">
        <f>CORREL(O$2:O$2627,$V$2:$V$2627)</f>
        <v/>
      </c>
      <c r="P2642" s="5">
        <f>CORREL(P$2:P$2627,$V$2:$V$2627)</f>
        <v/>
      </c>
      <c r="Q2642" s="5">
        <f>CORREL(Q$2:Q$2627,$V$2:$V$2627)</f>
        <v/>
      </c>
      <c r="R2642" s="5">
        <f>CORREL(R$2:R$2627,$V$2:$V$2627)</f>
        <v/>
      </c>
      <c r="S2642" s="5">
        <f>CORREL(S$2:S$2627,$V$2:$V$2627)</f>
        <v/>
      </c>
      <c r="T2642" s="5">
        <f>CORREL(T$2:T$2627,$V$2:$V$2627)</f>
        <v/>
      </c>
      <c r="U2642" s="5">
        <f>CORREL(U$2:U$2627,$V$2:$V$2627)</f>
        <v/>
      </c>
      <c r="V2642" s="11">
        <f>CORREL(V$2:V$2627,$V$2:$V$2627)</f>
        <v/>
      </c>
      <c r="W2642" s="12">
        <f>CORREL(W$2:W$2627,$V$2:$V$2627)</f>
        <v/>
      </c>
      <c r="X2642" s="12">
        <f>CORREL(X$2:X$2627,$V$2:$V$2627)</f>
        <v/>
      </c>
      <c r="Y2642" s="12">
        <f>CORREL(Y$2:Y$2627,$V$2:$V$2627)</f>
        <v/>
      </c>
      <c r="Z2642" s="5">
        <f>CORREL(Z$2:Z$2627,$V$2:$V$2627)</f>
        <v/>
      </c>
      <c r="AA2642" s="5">
        <f>CORREL(AA$2:AA$2627,$V$2:$V$2627)</f>
        <v/>
      </c>
      <c r="AD2642" s="12">
        <f>CORREL(AD$2:AD$2627,$V$2:$V$2627)</f>
        <v/>
      </c>
      <c r="AE2642" s="12">
        <f>CORREL(AE$2:AE$2627,$V$2:$V$2627)</f>
        <v/>
      </c>
      <c r="AF2642" s="28">
        <f>CORREL(AF$2:AF$2627,$V$2:$V$2627)</f>
        <v/>
      </c>
    </row>
    <row r="2643">
      <c r="A2643" t="inlineStr">
        <is>
          <t>CORR(SPY_UND)</t>
        </is>
      </c>
      <c r="B2643" s="5">
        <f>CORREL(B$2:B$2627,$W$2:$W$2627)</f>
        <v/>
      </c>
      <c r="C2643" s="5">
        <f>CORREL(C$2:C$2627,$W$2:$W$2627)</f>
        <v/>
      </c>
      <c r="D2643" s="5">
        <f>CORREL(D$2:D$2627,$W$2:$W$2627)</f>
        <v/>
      </c>
      <c r="E2643" s="5">
        <f>CORREL(E$2:E$2627,$W$2:$W$2627)</f>
        <v/>
      </c>
      <c r="F2643" s="5">
        <f>CORREL(F$2:F$2627,$W$2:$W$2627)</f>
        <v/>
      </c>
      <c r="G2643" s="5">
        <f>CORREL(G$2:G$2627,$W$2:$W$2627)</f>
        <v/>
      </c>
      <c r="H2643" s="5">
        <f>CORREL(H$2:H$2627,$W$2:$W$2627)</f>
        <v/>
      </c>
      <c r="I2643" s="5">
        <f>CORREL(I$2:I$2627,$W$2:$W$2627)</f>
        <v/>
      </c>
      <c r="J2643" s="5">
        <f>CORREL(J$2:J$2627,$W$2:$W$2627)</f>
        <v/>
      </c>
      <c r="K2643" s="5">
        <f>CORREL(K$2:K$2627,$W$2:$W$2627)</f>
        <v/>
      </c>
      <c r="L2643" s="5">
        <f>CORREL(L$2:L$2627,$W$2:$W$2627)</f>
        <v/>
      </c>
      <c r="M2643" s="5">
        <f>CORREL(M$2:M$2627,$W$2:$W$2627)</f>
        <v/>
      </c>
      <c r="N2643" s="5">
        <f>CORREL(N$2:N$2627,$W$2:$W$2627)</f>
        <v/>
      </c>
      <c r="O2643" s="5">
        <f>CORREL(O$2:O$2627,$W$2:$W$2627)</f>
        <v/>
      </c>
      <c r="P2643" s="5">
        <f>CORREL(P$2:P$2627,$W$2:$W$2627)</f>
        <v/>
      </c>
      <c r="Q2643" s="5">
        <f>CORREL(Q$2:Q$2627,$W$2:$W$2627)</f>
        <v/>
      </c>
      <c r="R2643" s="5">
        <f>CORREL(R$2:R$2627,$W$2:$W$2627)</f>
        <v/>
      </c>
      <c r="S2643" s="5">
        <f>CORREL(S$2:S$2627,$W$2:$W$2627)</f>
        <v/>
      </c>
      <c r="T2643" s="5">
        <f>CORREL(T$2:T$2627,$W$2:$W$2627)</f>
        <v/>
      </c>
      <c r="U2643" s="5">
        <f>CORREL(U$2:U$2627,$W$2:$W$2627)</f>
        <v/>
      </c>
      <c r="V2643" s="12">
        <f>CORREL(V$2:V$2627,$W$2:$W$2627)</f>
        <v/>
      </c>
      <c r="W2643" s="11">
        <f>CORREL(W$2:W$2627,$W$2:$W$2627)</f>
        <v/>
      </c>
      <c r="X2643" s="12">
        <f>CORREL(X$2:X$2627,$W$2:$W$2627)</f>
        <v/>
      </c>
      <c r="Y2643" s="12">
        <f>CORREL(Y$2:Y$2627,$W$2:$W$2627)</f>
        <v/>
      </c>
      <c r="Z2643" s="6">
        <f>CORREL(Z$2:Z$2627,$W$2:$W$2627)</f>
        <v/>
      </c>
      <c r="AA2643" s="6">
        <f>CORREL(AA$2:AA$2627,$W$2:$W$2627)</f>
        <v/>
      </c>
      <c r="AD2643" s="11">
        <f>CORREL(AD$2:AD$2627,$W$2:$W$2627)</f>
        <v/>
      </c>
      <c r="AE2643" s="11">
        <f>CORREL(AE$2:AE$2627,$W$2:$W$2627)</f>
        <v/>
      </c>
      <c r="AF2643" s="30">
        <f>CORREL(AF$2:AF$2627,$W$2:$W$2627)</f>
        <v/>
      </c>
    </row>
    <row r="2644">
      <c r="A2644" t="inlineStr">
        <is>
          <t>CORR(VIX_CHG)</t>
        </is>
      </c>
      <c r="B2644" s="5">
        <f>CORREL(B$2:B$2627,$X$2:$X$2627)</f>
        <v/>
      </c>
      <c r="C2644" s="5">
        <f>CORREL(C$2:C$2627,$X$2:$X$2627)</f>
        <v/>
      </c>
      <c r="D2644" s="5">
        <f>CORREL(D$2:D$2627,$X$2:$X$2627)</f>
        <v/>
      </c>
      <c r="E2644" s="5">
        <f>CORREL(E$2:E$2627,$X$2:$X$2627)</f>
        <v/>
      </c>
      <c r="F2644" s="5">
        <f>CORREL(F$2:F$2627,$X$2:$X$2627)</f>
        <v/>
      </c>
      <c r="G2644" s="5">
        <f>CORREL(G$2:G$2627,$X$2:$X$2627)</f>
        <v/>
      </c>
      <c r="H2644" s="5">
        <f>CORREL(H$2:H$2627,$X$2:$X$2627)</f>
        <v/>
      </c>
      <c r="I2644" s="5">
        <f>CORREL(I$2:I$2627,$X$2:$X$2627)</f>
        <v/>
      </c>
      <c r="J2644" s="5">
        <f>CORREL(J$2:J$2627,$X$2:$X$2627)</f>
        <v/>
      </c>
      <c r="K2644" s="5">
        <f>CORREL(K$2:K$2627,$X$2:$X$2627)</f>
        <v/>
      </c>
      <c r="L2644" s="5">
        <f>CORREL(L$2:L$2627,$X$2:$X$2627)</f>
        <v/>
      </c>
      <c r="M2644" s="5">
        <f>CORREL(M$2:M$2627,$X$2:$X$2627)</f>
        <v/>
      </c>
      <c r="N2644" s="5">
        <f>CORREL(N$2:N$2627,$X$2:$X$2627)</f>
        <v/>
      </c>
      <c r="O2644" s="5">
        <f>CORREL(O$2:O$2627,$X$2:$X$2627)</f>
        <v/>
      </c>
      <c r="P2644" s="5">
        <f>CORREL(P$2:P$2627,$X$2:$X$2627)</f>
        <v/>
      </c>
      <c r="Q2644" s="5">
        <f>CORREL(Q$2:Q$2627,$X$2:$X$2627)</f>
        <v/>
      </c>
      <c r="R2644" s="5">
        <f>CORREL(R$2:R$2627,$X$2:$X$2627)</f>
        <v/>
      </c>
      <c r="S2644" s="5">
        <f>CORREL(S$2:S$2627,$X$2:$X$2627)</f>
        <v/>
      </c>
      <c r="T2644" s="5">
        <f>CORREL(T$2:T$2627,$X$2:$X$2627)</f>
        <v/>
      </c>
      <c r="U2644" s="5">
        <f>CORREL(U$2:U$2627,$X$2:$X$2627)</f>
        <v/>
      </c>
      <c r="V2644" s="12">
        <f>CORREL(V$2:V$2627,$X$2:$X$2627)</f>
        <v/>
      </c>
      <c r="W2644" s="12">
        <f>CORREL(W$2:W$2627,$X$2:$X$2627)</f>
        <v/>
      </c>
      <c r="X2644" s="11">
        <f>CORREL(X$2:X$2627,$X$2:$X$2627)</f>
        <v/>
      </c>
      <c r="Y2644" s="12">
        <f>CORREL(Y$2:Y$2627,$X$2:$X$2627)</f>
        <v/>
      </c>
      <c r="Z2644" s="5">
        <f>CORREL(Z$2:Z$2627,$X$2:$X$2627)</f>
        <v/>
      </c>
      <c r="AA2644" s="5">
        <f>CORREL(AA$2:AA$2627,$X$2:$X$2627)</f>
        <v/>
      </c>
      <c r="AD2644" s="12">
        <f>CORREL(AD$2:AD$2627,$X$2:$X$2627)</f>
        <v/>
      </c>
      <c r="AE2644" s="12">
        <f>CORREL(AE$2:AE$2627,$X$2:$X$2627)</f>
        <v/>
      </c>
      <c r="AF2644" s="28">
        <f>CORREL(AF$2:AF$2627,$X$2:$X$2627)</f>
        <v/>
      </c>
    </row>
    <row r="2645">
      <c r="A2645" t="inlineStr">
        <is>
          <t>CORR(VIX_LEV)</t>
        </is>
      </c>
      <c r="B2645" s="5">
        <f>CORREL(B$2:B$2627,$Y$2:$Y$2627)</f>
        <v/>
      </c>
      <c r="C2645" s="5">
        <f>CORREL(C$2:C$2627,$Y$2:$Y$2627)</f>
        <v/>
      </c>
      <c r="D2645" s="5">
        <f>CORREL(D$2:D$2627,$Y$2:$Y$2627)</f>
        <v/>
      </c>
      <c r="E2645" s="5">
        <f>CORREL(E$2:E$2627,$Y$2:$Y$2627)</f>
        <v/>
      </c>
      <c r="F2645" s="5">
        <f>CORREL(F$2:F$2627,$Y$2:$Y$2627)</f>
        <v/>
      </c>
      <c r="G2645" s="5">
        <f>CORREL(G$2:G$2627,$Y$2:$Y$2627)</f>
        <v/>
      </c>
      <c r="H2645" s="5">
        <f>CORREL(H$2:H$2627,$Y$2:$Y$2627)</f>
        <v/>
      </c>
      <c r="I2645" s="5">
        <f>CORREL(I$2:I$2627,$Y$2:$Y$2627)</f>
        <v/>
      </c>
      <c r="J2645" s="5">
        <f>CORREL(J$2:J$2627,$Y$2:$Y$2627)</f>
        <v/>
      </c>
      <c r="K2645" s="5">
        <f>CORREL(K$2:K$2627,$Y$2:$Y$2627)</f>
        <v/>
      </c>
      <c r="L2645" s="5">
        <f>CORREL(L$2:L$2627,$Y$2:$Y$2627)</f>
        <v/>
      </c>
      <c r="M2645" s="5">
        <f>CORREL(M$2:M$2627,$Y$2:$Y$2627)</f>
        <v/>
      </c>
      <c r="N2645" s="5">
        <f>CORREL(N$2:N$2627,$Y$2:$Y$2627)</f>
        <v/>
      </c>
      <c r="O2645" s="5">
        <f>CORREL(O$2:O$2627,$Y$2:$Y$2627)</f>
        <v/>
      </c>
      <c r="P2645" s="5">
        <f>CORREL(P$2:P$2627,$Y$2:$Y$2627)</f>
        <v/>
      </c>
      <c r="Q2645" s="5">
        <f>CORREL(Q$2:Q$2627,$Y$2:$Y$2627)</f>
        <v/>
      </c>
      <c r="R2645" s="5">
        <f>CORREL(R$2:R$2627,$Y$2:$Y$2627)</f>
        <v/>
      </c>
      <c r="S2645" s="5">
        <f>CORREL(S$2:S$2627,$Y$2:$Y$2627)</f>
        <v/>
      </c>
      <c r="T2645" s="5">
        <f>CORREL(T$2:T$2627,$Y$2:$Y$2627)</f>
        <v/>
      </c>
      <c r="U2645" s="5">
        <f>CORREL(U$2:U$2627,$Y$2:$Y$2627)</f>
        <v/>
      </c>
      <c r="V2645" s="12">
        <f>CORREL(V$2:V$2627,$Y$2:$Y$2627)</f>
        <v/>
      </c>
      <c r="W2645" s="12">
        <f>CORREL(W$2:W$2627,$Y$2:$Y$2627)</f>
        <v/>
      </c>
      <c r="X2645" s="12">
        <f>CORREL(X$2:X$2627,$Y$2:$Y$2627)</f>
        <v/>
      </c>
      <c r="Y2645" s="11">
        <f>CORREL(Y$2:Y$2627,$Y$2:$Y$2627)</f>
        <v/>
      </c>
      <c r="Z2645" s="5">
        <f>CORREL(Z$2:Z$2627,$Y$2:$Y$2627)</f>
        <v/>
      </c>
      <c r="AA2645" s="5">
        <f>CORREL(AA$2:AA$2627,$Y$2:$Y$2627)</f>
        <v/>
      </c>
      <c r="AD2645" s="12">
        <f>CORREL(AD$2:AD$2627,$Y$2:$Y$2627)</f>
        <v/>
      </c>
      <c r="AE2645" s="12">
        <f>CORREL(AE$2:AE$2627,$Y$2:$Y$2627)</f>
        <v/>
      </c>
      <c r="AF2645" s="28">
        <f>CORREL(AF$2:AF$2627,$Y$2:$Y$2627)</f>
        <v/>
      </c>
    </row>
    <row r="2646"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5" t="n"/>
      <c r="M2646" s="5" t="n"/>
      <c r="N2646" s="5" t="n"/>
      <c r="O2646" s="5" t="n"/>
      <c r="P2646" s="5" t="n"/>
      <c r="Q2646" s="5" t="n"/>
      <c r="R2646" s="5" t="n"/>
      <c r="S2646" s="5" t="n"/>
      <c r="T2646" s="5" t="n"/>
      <c r="U2646" s="5" t="n"/>
      <c r="V2646" s="12" t="n"/>
      <c r="W2646" s="12" t="n"/>
      <c r="X2646" s="12" t="n"/>
      <c r="Y2646" s="11" t="n"/>
      <c r="Z2646" s="5" t="n"/>
      <c r="AD2646" s="12" t="n"/>
      <c r="AE2646" s="12" t="n"/>
      <c r="AF2646" s="28" t="n"/>
    </row>
    <row r="2647">
      <c r="A2647" s="8" t="inlineStr">
        <is>
          <t>EQ</t>
        </is>
      </c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5" t="n"/>
      <c r="M2647" s="5" t="n"/>
      <c r="N2647" s="5" t="n"/>
      <c r="O2647" s="5" t="n"/>
      <c r="P2647" s="5" t="n"/>
      <c r="Q2647" s="5" t="n"/>
      <c r="R2647" s="5" t="n"/>
      <c r="S2647" s="5" t="n"/>
      <c r="T2647" s="5" t="n"/>
      <c r="U2647" s="5" t="n"/>
      <c r="V2647" s="12" t="n"/>
      <c r="W2647" s="12" t="n"/>
      <c r="X2647" s="12" t="n"/>
      <c r="Y2647" s="11" t="n"/>
      <c r="Z2647" s="5" t="n"/>
      <c r="AD2647" s="12" t="n"/>
      <c r="AE2647" s="12" t="n"/>
      <c r="AF2647" s="28" t="n"/>
    </row>
    <row r="2648">
      <c r="A2648" t="inlineStr">
        <is>
          <t>PRE_WGTS</t>
        </is>
      </c>
      <c r="B2648" s="7" t="n"/>
      <c r="C2648" s="7" t="n">
        <v>1</v>
      </c>
      <c r="D2648" s="7" t="n">
        <v>1</v>
      </c>
      <c r="E2648" s="7" t="n">
        <v>1</v>
      </c>
      <c r="F2648" s="7" t="n">
        <v>1</v>
      </c>
      <c r="G2648" s="7" t="n">
        <v>1</v>
      </c>
      <c r="H2648" s="7" t="n">
        <v>1</v>
      </c>
      <c r="I2648" s="7" t="n">
        <v>1</v>
      </c>
      <c r="J2648" s="7" t="n">
        <v>1</v>
      </c>
      <c r="K2648" s="7" t="n">
        <v>1</v>
      </c>
      <c r="L2648" s="7" t="n">
        <v>1</v>
      </c>
      <c r="M2648" s="7" t="n">
        <v>1</v>
      </c>
      <c r="N2648" s="7" t="n"/>
      <c r="O2648" s="7" t="n">
        <v>1</v>
      </c>
      <c r="P2648" s="7" t="n">
        <v>1</v>
      </c>
      <c r="Q2648" s="7" t="n">
        <v>1</v>
      </c>
      <c r="R2648" s="7" t="n">
        <v>1</v>
      </c>
      <c r="S2648" s="7" t="n">
        <v>1</v>
      </c>
      <c r="T2648" s="7" t="n">
        <v>1</v>
      </c>
      <c r="U2648" s="7" t="n">
        <v>1</v>
      </c>
      <c r="AD2648" s="2" t="n"/>
      <c r="AE2648" s="2" t="n"/>
    </row>
    <row r="2649">
      <c r="A2649" t="inlineStr">
        <is>
          <t>EQ_WGT</t>
        </is>
      </c>
      <c r="B2649" s="5">
        <f>B2648/SUM($B$2648:$U$2648)</f>
        <v/>
      </c>
      <c r="C2649" s="5">
        <f>C2648/SUM($B$2648:$U$2648)</f>
        <v/>
      </c>
      <c r="D2649" s="5">
        <f>D2648/SUM($B$2648:$U$2648)</f>
        <v/>
      </c>
      <c r="E2649" s="5">
        <f>E2648/SUM($B$2648:$U$2648)</f>
        <v/>
      </c>
      <c r="F2649" s="5">
        <f>F2648/SUM($B$2648:$U$2648)</f>
        <v/>
      </c>
      <c r="G2649" s="5">
        <f>G2648/SUM($B$2648:$U$2648)</f>
        <v/>
      </c>
      <c r="H2649" s="5">
        <f>H2648/SUM($B$2648:$U$2648)</f>
        <v/>
      </c>
      <c r="I2649" s="5">
        <f>I2648/SUM($B$2648:$U$2648)</f>
        <v/>
      </c>
      <c r="J2649" s="5">
        <f>J2648/SUM($B$2648:$U$2648)</f>
        <v/>
      </c>
      <c r="K2649" s="5">
        <f>K2648/SUM($B$2648:$U$2648)</f>
        <v/>
      </c>
      <c r="L2649" s="5">
        <f>L2648/SUM($B$2648:$U$2648)</f>
        <v/>
      </c>
      <c r="M2649" s="5">
        <f>M2648/SUM($B$2648:$U$2648)</f>
        <v/>
      </c>
      <c r="N2649" s="5">
        <f>N2648/SUM($B$2648:$U$2648)</f>
        <v/>
      </c>
      <c r="O2649" s="5">
        <f>O2648/SUM($B$2648:$U$2648)</f>
        <v/>
      </c>
      <c r="P2649" s="5">
        <f>P2648/SUM($B$2648:$U$2648)</f>
        <v/>
      </c>
      <c r="Q2649" s="5">
        <f>Q2648/SUM($B$2648:$U$2648)</f>
        <v/>
      </c>
      <c r="R2649" s="5">
        <f>R2648/SUM($B$2648:$U$2648)</f>
        <v/>
      </c>
      <c r="S2649" s="5">
        <f>S2648/SUM($B$2648:$U$2648)</f>
        <v/>
      </c>
      <c r="T2649" s="5">
        <f>T2648/SUM($B$2648:$U$2648)</f>
        <v/>
      </c>
      <c r="U2649" s="5">
        <f>U2648/SUM($B$2648:$U$2648)</f>
        <v/>
      </c>
      <c r="AD2649" s="2" t="n"/>
      <c r="AE2649" s="2" t="n"/>
    </row>
    <row r="2650">
      <c r="AD2650" s="2" t="n"/>
      <c r="AE2650" s="2" t="n"/>
    </row>
    <row r="2651">
      <c r="A2651" s="8" t="inlineStr">
        <is>
          <t>CORR</t>
        </is>
      </c>
      <c r="AD2651" s="2" t="n"/>
      <c r="AE2651" s="2" t="n"/>
    </row>
    <row r="2652">
      <c r="A2652" t="inlineStr">
        <is>
          <t>PRE_WGTS(LIN</t>
        </is>
      </c>
      <c r="B2652" s="5" t="n"/>
      <c r="C2652" s="5">
        <f>1-(C2642)</f>
        <v/>
      </c>
      <c r="D2652" s="5">
        <f>1-(D2642)</f>
        <v/>
      </c>
      <c r="E2652" s="5">
        <f>1-(E2642)</f>
        <v/>
      </c>
      <c r="F2652" s="5">
        <f>1-(F2642)</f>
        <v/>
      </c>
      <c r="G2652" s="5">
        <f>1-(G2642)</f>
        <v/>
      </c>
      <c r="H2652" s="5">
        <f>1-(H2642)</f>
        <v/>
      </c>
      <c r="I2652" s="5">
        <f>1-(I2642)</f>
        <v/>
      </c>
      <c r="J2652" s="5">
        <f>1-(J2642)</f>
        <v/>
      </c>
      <c r="K2652" s="5">
        <f>1-(K2642)</f>
        <v/>
      </c>
      <c r="L2652" s="5">
        <f>1-(L2642)</f>
        <v/>
      </c>
      <c r="M2652" s="5">
        <f>1-(M2642)</f>
        <v/>
      </c>
      <c r="N2652" s="5">
        <f>1-(N2642)</f>
        <v/>
      </c>
      <c r="O2652" s="5">
        <f>1-(O2642)</f>
        <v/>
      </c>
      <c r="P2652" s="5">
        <f>1-(P2642)</f>
        <v/>
      </c>
      <c r="Q2652" s="5">
        <f>1-(Q2642)</f>
        <v/>
      </c>
      <c r="R2652" s="5">
        <f>1-(R2642)</f>
        <v/>
      </c>
      <c r="S2652" s="5">
        <f>1-(S2642)</f>
        <v/>
      </c>
      <c r="T2652" s="5">
        <f>1-(T2642)</f>
        <v/>
      </c>
      <c r="U2652" s="5">
        <f>1-(U2642)</f>
        <v/>
      </c>
      <c r="AD2652" s="2" t="n"/>
      <c r="AE2652" s="2" t="n"/>
    </row>
    <row r="2653">
      <c r="A2653" t="inlineStr">
        <is>
          <t>PRE_WGTS(SQRT)</t>
        </is>
      </c>
      <c r="B2653" s="5" t="n"/>
      <c r="C2653" s="5">
        <f>1-SQRT(C2642)</f>
        <v/>
      </c>
      <c r="D2653" s="5">
        <f>1-SQRT(D2642)</f>
        <v/>
      </c>
      <c r="E2653" s="5">
        <f>1-SQRT(E2642)</f>
        <v/>
      </c>
      <c r="F2653" s="5">
        <f>1-SQRT(F2642)</f>
        <v/>
      </c>
      <c r="G2653" s="5">
        <f>1-SQRT(G2642)</f>
        <v/>
      </c>
      <c r="H2653" s="5">
        <f>1-SQRT(H2642)</f>
        <v/>
      </c>
      <c r="I2653" s="5">
        <f>1-SQRT(I2642)</f>
        <v/>
      </c>
      <c r="J2653" s="5">
        <f>1-SQRT(J2642)</f>
        <v/>
      </c>
      <c r="K2653" s="5">
        <f>1-SQRT(K2642)</f>
        <v/>
      </c>
      <c r="L2653" s="5">
        <f>1-SQRT(L2642)</f>
        <v/>
      </c>
      <c r="M2653" s="5">
        <f>1-SQRT(M2642)</f>
        <v/>
      </c>
      <c r="N2653" s="5">
        <f>1-SQRT(N2642)</f>
        <v/>
      </c>
      <c r="O2653" s="5">
        <f>1-SQRT(O2642)</f>
        <v/>
      </c>
      <c r="P2653" s="5">
        <f>1-SQRT(P2642)</f>
        <v/>
      </c>
      <c r="Q2653" s="5">
        <f>1-SQRT(Q2642)</f>
        <v/>
      </c>
      <c r="R2653" s="5">
        <f>1-SQRT(R2642)</f>
        <v/>
      </c>
      <c r="S2653" s="5">
        <f>1-SQRT(S2642)</f>
        <v/>
      </c>
      <c r="T2653" s="5">
        <f>1-SQRT(T2642)</f>
        <v/>
      </c>
      <c r="U2653" s="5">
        <f>1-SQRT(U2642)</f>
        <v/>
      </c>
      <c r="AD2653" s="2" t="n"/>
      <c r="AE2653" s="2" t="n"/>
    </row>
    <row r="2654">
      <c r="A2654" t="inlineStr">
        <is>
          <t>PRE_WGTS</t>
        </is>
      </c>
      <c r="B2654" s="7" t="n"/>
      <c r="C2654" s="7">
        <f>C2652</f>
        <v/>
      </c>
      <c r="D2654" s="7">
        <f>D2652</f>
        <v/>
      </c>
      <c r="E2654" s="7">
        <f>E2652</f>
        <v/>
      </c>
      <c r="F2654" s="7">
        <f>F2652</f>
        <v/>
      </c>
      <c r="G2654" s="7">
        <f>G2652</f>
        <v/>
      </c>
      <c r="H2654" s="7">
        <f>H2652</f>
        <v/>
      </c>
      <c r="I2654" s="7">
        <f>I2652</f>
        <v/>
      </c>
      <c r="J2654" s="7">
        <f>J2652</f>
        <v/>
      </c>
      <c r="K2654" s="7">
        <f>K2652</f>
        <v/>
      </c>
      <c r="L2654" s="7">
        <f>L2652</f>
        <v/>
      </c>
      <c r="M2654" s="7">
        <f>M2652</f>
        <v/>
      </c>
      <c r="N2654" s="7">
        <f>N2652</f>
        <v/>
      </c>
      <c r="O2654" s="7">
        <f>O2652</f>
        <v/>
      </c>
      <c r="P2654" s="7">
        <f>P2652</f>
        <v/>
      </c>
      <c r="Q2654" s="7">
        <f>Q2652</f>
        <v/>
      </c>
      <c r="R2654" s="7">
        <f>R2652</f>
        <v/>
      </c>
      <c r="S2654" s="7">
        <f>S2652</f>
        <v/>
      </c>
      <c r="T2654" s="7">
        <f>T2652</f>
        <v/>
      </c>
      <c r="U2654" s="7">
        <f>U2652</f>
        <v/>
      </c>
      <c r="AD2654" s="2" t="n"/>
      <c r="AE2654" s="2" t="n"/>
    </row>
    <row r="2655">
      <c r="A2655" t="inlineStr">
        <is>
          <t>CORR_WGT</t>
        </is>
      </c>
      <c r="B2655" s="5">
        <f>B2654/SUM($B$2648:$U$2648)</f>
        <v/>
      </c>
      <c r="C2655" s="5">
        <f>C2654/SUM($B$2648:$U$2648)</f>
        <v/>
      </c>
      <c r="D2655" s="5">
        <f>D2654/SUM($B$2648:$U$2648)</f>
        <v/>
      </c>
      <c r="E2655" s="5">
        <f>E2654/SUM($B$2648:$U$2648)</f>
        <v/>
      </c>
      <c r="F2655" s="5">
        <f>F2654/SUM($B$2648:$U$2648)</f>
        <v/>
      </c>
      <c r="G2655" s="5">
        <f>G2654/SUM($B$2648:$U$2648)</f>
        <v/>
      </c>
      <c r="H2655" s="5">
        <f>H2654/SUM($B$2648:$U$2648)</f>
        <v/>
      </c>
      <c r="I2655" s="5">
        <f>I2654/SUM($B$2648:$U$2648)</f>
        <v/>
      </c>
      <c r="J2655" s="5">
        <f>J2654/SUM($B$2648:$U$2648)</f>
        <v/>
      </c>
      <c r="K2655" s="5">
        <f>K2654/SUM($B$2648:$U$2648)</f>
        <v/>
      </c>
      <c r="L2655" s="5">
        <f>L2654/SUM($B$2648:$U$2648)</f>
        <v/>
      </c>
      <c r="M2655" s="5">
        <f>M2654/SUM($B$2648:$U$2648)</f>
        <v/>
      </c>
      <c r="N2655" s="5">
        <f>N2654/SUM($B$2648:$U$2648)</f>
        <v/>
      </c>
      <c r="O2655" s="5">
        <f>O2654/SUM($B$2648:$U$2648)</f>
        <v/>
      </c>
      <c r="P2655" s="5">
        <f>P2654/SUM($B$2648:$U$2648)</f>
        <v/>
      </c>
      <c r="Q2655" s="5">
        <f>Q2654/SUM($B$2648:$U$2648)</f>
        <v/>
      </c>
      <c r="R2655" s="5">
        <f>R2654/SUM($B$2648:$U$2648)</f>
        <v/>
      </c>
      <c r="S2655" s="5">
        <f>S2654/SUM($B$2648:$U$2648)</f>
        <v/>
      </c>
      <c r="T2655" s="5">
        <f>T2654/SUM($B$2648:$U$2648)</f>
        <v/>
      </c>
      <c r="U2655" s="5">
        <f>U2654/SUM($B$2648:$U$2648)</f>
        <v/>
      </c>
      <c r="AD2655" s="2" t="n"/>
      <c r="AE2655" s="2" t="n"/>
    </row>
    <row r="2656">
      <c r="AD2656" s="2" t="n"/>
      <c r="AE2656" s="2" t="n"/>
    </row>
    <row r="2657">
      <c r="E2657" s="13" t="n">
        <v>4</v>
      </c>
      <c r="F2657" s="13" t="n">
        <v>5</v>
      </c>
      <c r="G2657" s="13" t="n">
        <v>6</v>
      </c>
      <c r="H2657" s="13" t="n">
        <v>12</v>
      </c>
      <c r="I2657" s="13" t="n">
        <v>13</v>
      </c>
      <c r="J2657" s="13" t="n">
        <v>7</v>
      </c>
      <c r="K2657" s="13" t="n">
        <v>8</v>
      </c>
      <c r="AD2657" s="2" t="n"/>
      <c r="AE2657" s="2" t="n"/>
    </row>
    <row r="2658" ht="68" customFormat="1" customHeight="1" s="15">
      <c r="E2658" s="17" t="inlineStr">
        <is>
          <t>Mean</t>
        </is>
      </c>
      <c r="F2658" s="17" t="inlineStr">
        <is>
          <t>Std Dev</t>
        </is>
      </c>
      <c r="G2658" s="17" t="inlineStr">
        <is>
          <t>SR</t>
        </is>
      </c>
      <c r="H2658" s="17" t="inlineStr">
        <is>
          <t>Corr with SPY (Strategy)</t>
        </is>
      </c>
      <c r="I2658" s="17" t="inlineStr">
        <is>
          <t>Corr with SPY (Underlying)</t>
        </is>
      </c>
      <c r="J2658" s="17" t="inlineStr">
        <is>
          <t>Skew</t>
        </is>
      </c>
      <c r="K2658" s="17" t="inlineStr">
        <is>
          <t>Kurtosis</t>
        </is>
      </c>
      <c r="V2658" s="16" t="n"/>
      <c r="W2658" s="16" t="n"/>
      <c r="X2658" s="16" t="n"/>
      <c r="Y2658" s="16" t="n"/>
      <c r="AD2658" s="16" t="n"/>
      <c r="AE2658" s="16" t="n"/>
      <c r="AF2658" s="31" t="n"/>
    </row>
    <row r="2659">
      <c r="C2659" s="2">
        <f>D2659&amp;"_hedged"</f>
        <v/>
      </c>
      <c r="D2659" t="inlineStr">
        <is>
          <t>GLD</t>
        </is>
      </c>
      <c r="E2659" s="14">
        <f>HLOOKUP($C2659,$C$2631:$AA$2655,E$2657,FALSE)</f>
        <v/>
      </c>
      <c r="F2659" s="14">
        <f>HLOOKUP($C2659,$C$2631:$AA$2655,F$2657,FALSE)</f>
        <v/>
      </c>
      <c r="G2659" s="14">
        <f>HLOOKUP($C2659,$C$2631:$AA$2655,G$2657,FALSE)</f>
        <v/>
      </c>
      <c r="H2659" s="14">
        <f>HLOOKUP($C2659,$C$2631:$AA$2655,H$2657,FALSE)</f>
        <v/>
      </c>
      <c r="I2659" s="14">
        <f>HLOOKUP($C2659,$C$2631:$AA$2655,I$2657,FALSE)</f>
        <v/>
      </c>
      <c r="J2659" s="22">
        <f>HLOOKUP($C2659,$C$2631:$AA$2655,J$2657,FALSE)</f>
        <v/>
      </c>
      <c r="K2659" s="22">
        <f>HLOOKUP($C2659,$C$2631:$AA$2655,K$2657,FALSE)</f>
        <v/>
      </c>
      <c r="M2659" s="18">
        <f>'20250815_ETF_Options - 5d AVG'!J2659</f>
        <v/>
      </c>
      <c r="N2659" s="18">
        <f>'20250815_ETF_Options - 5d AVG'!K2659</f>
        <v/>
      </c>
      <c r="AD2659" s="2" t="n"/>
      <c r="AE2659" s="2" t="n"/>
    </row>
    <row r="2660">
      <c r="C2660" s="2">
        <f>D2660&amp;"_hedged"</f>
        <v/>
      </c>
      <c r="D2660" t="inlineStr">
        <is>
          <t>XLK</t>
        </is>
      </c>
      <c r="E2660" s="14">
        <f>HLOOKUP($C2660,$C$2631:$AA$2655,E$2657,FALSE)</f>
        <v/>
      </c>
      <c r="F2660" s="14">
        <f>HLOOKUP($C2660,$C$2631:$AA$2655,F$2657,FALSE)</f>
        <v/>
      </c>
      <c r="G2660" s="14">
        <f>HLOOKUP($C2660,$C$2631:$AA$2655,G$2657,FALSE)</f>
        <v/>
      </c>
      <c r="H2660" s="14">
        <f>HLOOKUP($C2660,$C$2631:$AA$2655,H$2657,FALSE)</f>
        <v/>
      </c>
      <c r="I2660" s="14">
        <f>HLOOKUP($C2660,$C$2631:$AA$2655,I$2657,FALSE)</f>
        <v/>
      </c>
      <c r="J2660" s="22">
        <f>HLOOKUP($C2660,$C$2631:$AA$2655,J$2657,FALSE)</f>
        <v/>
      </c>
      <c r="K2660" s="22">
        <f>HLOOKUP($C2660,$C$2631:$AA$2655,K$2657,FALSE)</f>
        <v/>
      </c>
      <c r="M2660" s="18">
        <f>'20250815_ETF_Options - 5d AVG'!J2660</f>
        <v/>
      </c>
      <c r="N2660" s="18">
        <f>'20250815_ETF_Options - 5d AVG'!K2660</f>
        <v/>
      </c>
      <c r="AD2660" s="2" t="n"/>
      <c r="AE2660" s="2" t="n"/>
    </row>
    <row r="2661">
      <c r="C2661" s="2">
        <f>D2661&amp;"_hedged"</f>
        <v/>
      </c>
      <c r="D2661" t="inlineStr">
        <is>
          <t>IWM</t>
        </is>
      </c>
      <c r="E2661" s="14">
        <f>HLOOKUP($C2661,$C$2631:$AA$2655,E$2657,FALSE)</f>
        <v/>
      </c>
      <c r="F2661" s="14">
        <f>HLOOKUP($C2661,$C$2631:$AA$2655,F$2657,FALSE)</f>
        <v/>
      </c>
      <c r="G2661" s="14">
        <f>HLOOKUP($C2661,$C$2631:$AA$2655,G$2657,FALSE)</f>
        <v/>
      </c>
      <c r="H2661" s="14">
        <f>HLOOKUP($C2661,$C$2631:$AA$2655,H$2657,FALSE)</f>
        <v/>
      </c>
      <c r="I2661" s="14">
        <f>HLOOKUP($C2661,$C$2631:$AA$2655,I$2657,FALSE)</f>
        <v/>
      </c>
      <c r="J2661" s="22">
        <f>HLOOKUP($C2661,$C$2631:$AA$2655,J$2657,FALSE)</f>
        <v/>
      </c>
      <c r="K2661" s="22">
        <f>HLOOKUP($C2661,$C$2631:$AA$2655,K$2657,FALSE)</f>
        <v/>
      </c>
      <c r="M2661" s="18">
        <f>'20250815_ETF_Options - 5d AVG'!J2661</f>
        <v/>
      </c>
      <c r="N2661" s="18">
        <f>'20250815_ETF_Options - 5d AVG'!K2661</f>
        <v/>
      </c>
      <c r="AD2661" s="2" t="n"/>
      <c r="AE2661" s="2" t="n"/>
    </row>
    <row r="2662">
      <c r="C2662" s="2">
        <f>D2662&amp;"_hedged"</f>
        <v/>
      </c>
      <c r="D2662" t="inlineStr">
        <is>
          <t>EFA</t>
        </is>
      </c>
      <c r="E2662" s="14">
        <f>HLOOKUP($C2662,$C$2631:$AA$2655,E$2657,FALSE)</f>
        <v/>
      </c>
      <c r="F2662" s="14">
        <f>HLOOKUP($C2662,$C$2631:$AA$2655,F$2657,FALSE)</f>
        <v/>
      </c>
      <c r="G2662" s="14">
        <f>HLOOKUP($C2662,$C$2631:$AA$2655,G$2657,FALSE)</f>
        <v/>
      </c>
      <c r="H2662" s="14">
        <f>HLOOKUP($C2662,$C$2631:$AA$2655,H$2657,FALSE)</f>
        <v/>
      </c>
      <c r="I2662" s="14">
        <f>HLOOKUP($C2662,$C$2631:$AA$2655,I$2657,FALSE)</f>
        <v/>
      </c>
      <c r="J2662" s="22">
        <f>HLOOKUP($C2662,$C$2631:$AA$2655,J$2657,FALSE)</f>
        <v/>
      </c>
      <c r="K2662" s="22">
        <f>HLOOKUP($C2662,$C$2631:$AA$2655,K$2657,FALSE)</f>
        <v/>
      </c>
      <c r="M2662" s="18">
        <f>'20250815_ETF_Options - 5d AVG'!J2662</f>
        <v/>
      </c>
      <c r="N2662" s="18">
        <f>'20250815_ETF_Options - 5d AVG'!K2662</f>
        <v/>
      </c>
      <c r="AD2662" s="2" t="n"/>
      <c r="AE2662" s="2" t="n"/>
    </row>
    <row r="2663">
      <c r="C2663" s="2">
        <f>D2663&amp;"_hedged"</f>
        <v/>
      </c>
      <c r="D2663" t="inlineStr">
        <is>
          <t>XLF</t>
        </is>
      </c>
      <c r="E2663" s="14">
        <f>HLOOKUP($C2663,$C$2631:$AA$2655,E$2657,FALSE)</f>
        <v/>
      </c>
      <c r="F2663" s="14">
        <f>HLOOKUP($C2663,$C$2631:$AA$2655,F$2657,FALSE)</f>
        <v/>
      </c>
      <c r="G2663" s="14">
        <f>HLOOKUP($C2663,$C$2631:$AA$2655,G$2657,FALSE)</f>
        <v/>
      </c>
      <c r="H2663" s="14">
        <f>HLOOKUP($C2663,$C$2631:$AA$2655,H$2657,FALSE)</f>
        <v/>
      </c>
      <c r="I2663" s="14">
        <f>HLOOKUP($C2663,$C$2631:$AA$2655,I$2657,FALSE)</f>
        <v/>
      </c>
      <c r="J2663" s="22">
        <f>HLOOKUP($C2663,$C$2631:$AA$2655,J$2657,FALSE)</f>
        <v/>
      </c>
      <c r="K2663" s="22">
        <f>HLOOKUP($C2663,$C$2631:$AA$2655,K$2657,FALSE)</f>
        <v/>
      </c>
      <c r="M2663" s="18">
        <f>'20250815_ETF_Options - 5d AVG'!J2663</f>
        <v/>
      </c>
      <c r="N2663" s="18">
        <f>'20250815_ETF_Options - 5d AVG'!K2663</f>
        <v/>
      </c>
      <c r="AD2663" s="2" t="n"/>
      <c r="AE2663" s="2" t="n"/>
    </row>
    <row r="2664">
      <c r="C2664" s="2">
        <f>D2664&amp;"_hedged"</f>
        <v/>
      </c>
      <c r="D2664" t="inlineStr">
        <is>
          <t>TLT</t>
        </is>
      </c>
      <c r="E2664" s="14">
        <f>HLOOKUP($C2664,$C$2631:$AA$2655,E$2657,FALSE)</f>
        <v/>
      </c>
      <c r="F2664" s="14">
        <f>HLOOKUP($C2664,$C$2631:$AA$2655,F$2657,FALSE)</f>
        <v/>
      </c>
      <c r="G2664" s="14">
        <f>HLOOKUP($C2664,$C$2631:$AA$2655,G$2657,FALSE)</f>
        <v/>
      </c>
      <c r="H2664" s="14">
        <f>HLOOKUP($C2664,$C$2631:$AA$2655,H$2657,FALSE)</f>
        <v/>
      </c>
      <c r="I2664" s="14">
        <f>HLOOKUP($C2664,$C$2631:$AA$2655,I$2657,FALSE)</f>
        <v/>
      </c>
      <c r="J2664" s="22">
        <f>HLOOKUP($C2664,$C$2631:$AA$2655,J$2657,FALSE)</f>
        <v/>
      </c>
      <c r="K2664" s="22">
        <f>HLOOKUP($C2664,$C$2631:$AA$2655,K$2657,FALSE)</f>
        <v/>
      </c>
      <c r="M2664" s="18">
        <f>'20250815_ETF_Options - 5d AVG'!J2664</f>
        <v/>
      </c>
      <c r="N2664" s="18">
        <f>'20250815_ETF_Options - 5d AVG'!K2664</f>
        <v/>
      </c>
      <c r="AD2664" s="2" t="n"/>
      <c r="AE2664" s="2" t="n"/>
    </row>
    <row r="2665">
      <c r="C2665" s="2">
        <f>D2665&amp;"_hedged"</f>
        <v/>
      </c>
      <c r="D2665" t="inlineStr">
        <is>
          <t>DIA</t>
        </is>
      </c>
      <c r="E2665" s="14">
        <f>HLOOKUP($C2665,$C$2631:$AA$2655,E$2657,FALSE)</f>
        <v/>
      </c>
      <c r="F2665" s="14">
        <f>HLOOKUP($C2665,$C$2631:$AA$2655,F$2657,FALSE)</f>
        <v/>
      </c>
      <c r="G2665" s="14">
        <f>HLOOKUP($C2665,$C$2631:$AA$2655,G$2657,FALSE)</f>
        <v/>
      </c>
      <c r="H2665" s="14">
        <f>HLOOKUP($C2665,$C$2631:$AA$2655,H$2657,FALSE)</f>
        <v/>
      </c>
      <c r="I2665" s="14">
        <f>HLOOKUP($C2665,$C$2631:$AA$2655,I$2657,FALSE)</f>
        <v/>
      </c>
      <c r="J2665" s="22">
        <f>HLOOKUP($C2665,$C$2631:$AA$2655,J$2657,FALSE)</f>
        <v/>
      </c>
      <c r="K2665" s="22">
        <f>HLOOKUP($C2665,$C$2631:$AA$2655,K$2657,FALSE)</f>
        <v/>
      </c>
      <c r="M2665" s="18">
        <f>'20250815_ETF_Options - 5d AVG'!J2665</f>
        <v/>
      </c>
      <c r="N2665" s="18">
        <f>'20250815_ETF_Options - 5d AVG'!K2665</f>
        <v/>
      </c>
      <c r="AD2665" s="2" t="n"/>
      <c r="AE2665" s="2" t="n"/>
    </row>
    <row r="2666">
      <c r="C2666" s="2">
        <f>D2666&amp;"_hedged"</f>
        <v/>
      </c>
      <c r="D2666" t="inlineStr">
        <is>
          <t>IEF</t>
        </is>
      </c>
      <c r="E2666" s="14">
        <f>HLOOKUP($C2666,$C$2631:$AA$2655,E$2657,FALSE)</f>
        <v/>
      </c>
      <c r="F2666" s="14">
        <f>HLOOKUP($C2666,$C$2631:$AA$2655,F$2657,FALSE)</f>
        <v/>
      </c>
      <c r="G2666" s="14">
        <f>HLOOKUP($C2666,$C$2631:$AA$2655,G$2657,FALSE)</f>
        <v/>
      </c>
      <c r="H2666" s="14">
        <f>HLOOKUP($C2666,$C$2631:$AA$2655,H$2657,FALSE)</f>
        <v/>
      </c>
      <c r="I2666" s="14">
        <f>HLOOKUP($C2666,$C$2631:$AA$2655,I$2657,FALSE)</f>
        <v/>
      </c>
      <c r="J2666" s="22">
        <f>HLOOKUP($C2666,$C$2631:$AA$2655,J$2657,FALSE)</f>
        <v/>
      </c>
      <c r="K2666" s="22">
        <f>HLOOKUP($C2666,$C$2631:$AA$2655,K$2657,FALSE)</f>
        <v/>
      </c>
      <c r="M2666" s="18">
        <f>'20250815_ETF_Options - 5d AVG'!J2666</f>
        <v/>
      </c>
      <c r="N2666" s="18">
        <f>'20250815_ETF_Options - 5d AVG'!K2666</f>
        <v/>
      </c>
      <c r="AD2666" s="2" t="n"/>
      <c r="AE2666" s="2" t="n"/>
    </row>
    <row r="2667">
      <c r="C2667" s="2">
        <f>D2667&amp;"_hedged"</f>
        <v/>
      </c>
      <c r="D2667" t="inlineStr">
        <is>
          <t>LQD</t>
        </is>
      </c>
      <c r="E2667" s="14">
        <f>HLOOKUP($C2667,$C$2631:$AA$2655,E$2657,FALSE)</f>
        <v/>
      </c>
      <c r="F2667" s="14">
        <f>HLOOKUP($C2667,$C$2631:$AA$2655,F$2657,FALSE)</f>
        <v/>
      </c>
      <c r="G2667" s="14">
        <f>HLOOKUP($C2667,$C$2631:$AA$2655,G$2657,FALSE)</f>
        <v/>
      </c>
      <c r="H2667" s="14">
        <f>HLOOKUP($C2667,$C$2631:$AA$2655,H$2657,FALSE)</f>
        <v/>
      </c>
      <c r="I2667" s="14">
        <f>HLOOKUP($C2667,$C$2631:$AA$2655,I$2657,FALSE)</f>
        <v/>
      </c>
      <c r="J2667" s="22">
        <f>HLOOKUP($C2667,$C$2631:$AA$2655,J$2657,FALSE)</f>
        <v/>
      </c>
      <c r="K2667" s="22">
        <f>HLOOKUP($C2667,$C$2631:$AA$2655,K$2657,FALSE)</f>
        <v/>
      </c>
      <c r="M2667" s="18">
        <f>'20250815_ETF_Options - 5d AVG'!J2667</f>
        <v/>
      </c>
      <c r="N2667" s="18">
        <f>'20250815_ETF_Options - 5d AVG'!K2667</f>
        <v/>
      </c>
      <c r="AD2667" s="2" t="n"/>
      <c r="AE2667" s="2" t="n"/>
    </row>
    <row r="2668">
      <c r="C2668" s="2">
        <f>D2668&amp;"_hedged"</f>
        <v/>
      </c>
      <c r="D2668" t="inlineStr">
        <is>
          <t>XLE</t>
        </is>
      </c>
      <c r="E2668" s="14">
        <f>HLOOKUP($C2668,$C$2631:$AA$2655,E$2657,FALSE)</f>
        <v/>
      </c>
      <c r="F2668" s="14">
        <f>HLOOKUP($C2668,$C$2631:$AA$2655,F$2657,FALSE)</f>
        <v/>
      </c>
      <c r="G2668" s="14">
        <f>HLOOKUP($C2668,$C$2631:$AA$2655,G$2657,FALSE)</f>
        <v/>
      </c>
      <c r="H2668" s="14">
        <f>HLOOKUP($C2668,$C$2631:$AA$2655,H$2657,FALSE)</f>
        <v/>
      </c>
      <c r="I2668" s="14">
        <f>HLOOKUP($C2668,$C$2631:$AA$2655,I$2657,FALSE)</f>
        <v/>
      </c>
      <c r="J2668" s="22">
        <f>HLOOKUP($C2668,$C$2631:$AA$2655,J$2657,FALSE)</f>
        <v/>
      </c>
      <c r="K2668" s="22">
        <f>HLOOKUP($C2668,$C$2631:$AA$2655,K$2657,FALSE)</f>
        <v/>
      </c>
      <c r="M2668" s="18">
        <f>'20250815_ETF_Options - 5d AVG'!J2668</f>
        <v/>
      </c>
      <c r="N2668" s="18">
        <f>'20250815_ETF_Options - 5d AVG'!K2668</f>
        <v/>
      </c>
      <c r="AD2668" s="2" t="n"/>
      <c r="AE2668" s="2" t="n"/>
    </row>
    <row r="2669">
      <c r="C2669" s="2">
        <f>D2669&amp;"_hedged"</f>
        <v/>
      </c>
      <c r="D2669" t="inlineStr">
        <is>
          <t>XLY</t>
        </is>
      </c>
      <c r="E2669" s="14">
        <f>HLOOKUP($C2669,$C$2631:$AA$2655,E$2657,FALSE)</f>
        <v/>
      </c>
      <c r="F2669" s="14">
        <f>HLOOKUP($C2669,$C$2631:$AA$2655,F$2657,FALSE)</f>
        <v/>
      </c>
      <c r="G2669" s="14">
        <f>HLOOKUP($C2669,$C$2631:$AA$2655,G$2657,FALSE)</f>
        <v/>
      </c>
      <c r="H2669" s="14">
        <f>HLOOKUP($C2669,$C$2631:$AA$2655,H$2657,FALSE)</f>
        <v/>
      </c>
      <c r="I2669" s="14">
        <f>HLOOKUP($C2669,$C$2631:$AA$2655,I$2657,FALSE)</f>
        <v/>
      </c>
      <c r="J2669" s="22">
        <f>HLOOKUP($C2669,$C$2631:$AA$2655,J$2657,FALSE)</f>
        <v/>
      </c>
      <c r="K2669" s="22">
        <f>HLOOKUP($C2669,$C$2631:$AA$2655,K$2657,FALSE)</f>
        <v/>
      </c>
      <c r="M2669" s="18">
        <f>'20250815_ETF_Options - 5d AVG'!J2669</f>
        <v/>
      </c>
      <c r="N2669" s="18">
        <f>'20250815_ETF_Options - 5d AVG'!K2669</f>
        <v/>
      </c>
      <c r="AD2669" s="2" t="n"/>
      <c r="AE2669" s="2" t="n"/>
    </row>
    <row r="2670">
      <c r="C2670" s="2">
        <f>D2670&amp;"_hedged"</f>
        <v/>
      </c>
      <c r="D2670" t="inlineStr">
        <is>
          <t>XLI</t>
        </is>
      </c>
      <c r="E2670" s="14">
        <f>HLOOKUP($C2670,$C$2631:$AA$2655,E$2657,FALSE)</f>
        <v/>
      </c>
      <c r="F2670" s="14">
        <f>HLOOKUP($C2670,$C$2631:$AA$2655,F$2657,FALSE)</f>
        <v/>
      </c>
      <c r="G2670" s="14">
        <f>HLOOKUP($C2670,$C$2631:$AA$2655,G$2657,FALSE)</f>
        <v/>
      </c>
      <c r="H2670" s="14">
        <f>HLOOKUP($C2670,$C$2631:$AA$2655,H$2657,FALSE)</f>
        <v/>
      </c>
      <c r="I2670" s="14">
        <f>HLOOKUP($C2670,$C$2631:$AA$2655,I$2657,FALSE)</f>
        <v/>
      </c>
      <c r="J2670" s="22">
        <f>HLOOKUP($C2670,$C$2631:$AA$2655,J$2657,FALSE)</f>
        <v/>
      </c>
      <c r="K2670" s="22">
        <f>HLOOKUP($C2670,$C$2631:$AA$2655,K$2657,FALSE)</f>
        <v/>
      </c>
      <c r="M2670" s="18">
        <f>'20250815_ETF_Options - 5d AVG'!J2670</f>
        <v/>
      </c>
      <c r="N2670" s="18">
        <f>'20250815_ETF_Options - 5d AVG'!K2670</f>
        <v/>
      </c>
      <c r="AD2670" s="2" t="n"/>
      <c r="AE2670" s="2" t="n"/>
    </row>
    <row r="2671">
      <c r="C2671" s="2">
        <f>D2671&amp;"_hedged"</f>
        <v/>
      </c>
      <c r="D2671" t="inlineStr">
        <is>
          <t>XLU</t>
        </is>
      </c>
      <c r="E2671" s="14">
        <f>HLOOKUP($C2671,$C$2631:$AA$2655,E$2657,FALSE)</f>
        <v/>
      </c>
      <c r="F2671" s="14">
        <f>HLOOKUP($C2671,$C$2631:$AA$2655,F$2657,FALSE)</f>
        <v/>
      </c>
      <c r="G2671" s="14">
        <f>HLOOKUP($C2671,$C$2631:$AA$2655,G$2657,FALSE)</f>
        <v/>
      </c>
      <c r="H2671" s="14">
        <f>HLOOKUP($C2671,$C$2631:$AA$2655,H$2657,FALSE)</f>
        <v/>
      </c>
      <c r="I2671" s="14">
        <f>HLOOKUP($C2671,$C$2631:$AA$2655,I$2657,FALSE)</f>
        <v/>
      </c>
      <c r="J2671" s="22">
        <f>HLOOKUP($C2671,$C$2631:$AA$2655,J$2657,FALSE)</f>
        <v/>
      </c>
      <c r="K2671" s="22">
        <f>HLOOKUP($C2671,$C$2631:$AA$2655,K$2657,FALSE)</f>
        <v/>
      </c>
      <c r="M2671" s="18">
        <f>'20250815_ETF_Options - 5d AVG'!J2671</f>
        <v/>
      </c>
      <c r="N2671" s="18">
        <f>'20250815_ETF_Options - 5d AVG'!K2671</f>
        <v/>
      </c>
    </row>
    <row r="2672">
      <c r="C2672" s="2">
        <f>D2672&amp;"_hedged"</f>
        <v/>
      </c>
      <c r="D2672" t="inlineStr">
        <is>
          <t>EEM</t>
        </is>
      </c>
      <c r="E2672" s="14">
        <f>HLOOKUP($C2672,$C$2631:$AA$2655,E$2657,FALSE)</f>
        <v/>
      </c>
      <c r="F2672" s="14">
        <f>HLOOKUP($C2672,$C$2631:$AA$2655,F$2657,FALSE)</f>
        <v/>
      </c>
      <c r="G2672" s="14">
        <f>HLOOKUP($C2672,$C$2631:$AA$2655,G$2657,FALSE)</f>
        <v/>
      </c>
      <c r="H2672" s="14">
        <f>HLOOKUP($C2672,$C$2631:$AA$2655,H$2657,FALSE)</f>
        <v/>
      </c>
      <c r="I2672" s="14">
        <f>HLOOKUP($C2672,$C$2631:$AA$2655,I$2657,FALSE)</f>
        <v/>
      </c>
      <c r="J2672" s="22">
        <f>HLOOKUP($C2672,$C$2631:$AA$2655,J$2657,FALSE)</f>
        <v/>
      </c>
      <c r="K2672" s="22">
        <f>HLOOKUP($C2672,$C$2631:$AA$2655,K$2657,FALSE)</f>
        <v/>
      </c>
      <c r="M2672" s="18">
        <f>'20250815_ETF_Options - 5d AVG'!J2672</f>
        <v/>
      </c>
      <c r="N2672" s="18">
        <f>'20250815_ETF_Options - 5d AVG'!K2672</f>
        <v/>
      </c>
    </row>
    <row r="2673">
      <c r="C2673" s="2">
        <f>D2673&amp;"_hedged"</f>
        <v/>
      </c>
      <c r="D2673" t="inlineStr">
        <is>
          <t>SLV</t>
        </is>
      </c>
      <c r="E2673" s="14">
        <f>HLOOKUP($C2673,$C$2631:$AA$2655,E$2657,FALSE)</f>
        <v/>
      </c>
      <c r="F2673" s="14">
        <f>HLOOKUP($C2673,$C$2631:$AA$2655,F$2657,FALSE)</f>
        <v/>
      </c>
      <c r="G2673" s="14">
        <f>HLOOKUP($C2673,$C$2631:$AA$2655,G$2657,FALSE)</f>
        <v/>
      </c>
      <c r="H2673" s="14">
        <f>HLOOKUP($C2673,$C$2631:$AA$2655,H$2657,FALSE)</f>
        <v/>
      </c>
      <c r="I2673" s="14">
        <f>HLOOKUP($C2673,$C$2631:$AA$2655,I$2657,FALSE)</f>
        <v/>
      </c>
      <c r="J2673" s="22">
        <f>HLOOKUP($C2673,$C$2631:$AA$2655,J$2657,FALSE)</f>
        <v/>
      </c>
      <c r="K2673" s="22">
        <f>HLOOKUP($C2673,$C$2631:$AA$2655,K$2657,FALSE)</f>
        <v/>
      </c>
      <c r="M2673" s="18">
        <f>'20250815_ETF_Options - 5d AVG'!J2673</f>
        <v/>
      </c>
      <c r="N2673" s="18">
        <f>'20250815_ETF_Options - 5d AVG'!K2673</f>
        <v/>
      </c>
    </row>
    <row r="2674">
      <c r="C2674" s="2">
        <f>D2674&amp;"_hedged"</f>
        <v/>
      </c>
      <c r="D2674" t="inlineStr">
        <is>
          <t>HYG</t>
        </is>
      </c>
      <c r="E2674" s="14">
        <f>HLOOKUP($C2674,$C$2631:$AA$2655,E$2657,FALSE)</f>
        <v/>
      </c>
      <c r="F2674" s="14">
        <f>HLOOKUP($C2674,$C$2631:$AA$2655,F$2657,FALSE)</f>
        <v/>
      </c>
      <c r="G2674" s="14">
        <f>HLOOKUP($C2674,$C$2631:$AA$2655,G$2657,FALSE)</f>
        <v/>
      </c>
      <c r="H2674" s="14">
        <f>HLOOKUP($C2674,$C$2631:$AA$2655,H$2657,FALSE)</f>
        <v/>
      </c>
      <c r="I2674" s="14">
        <f>HLOOKUP($C2674,$C$2631:$AA$2655,I$2657,FALSE)</f>
        <v/>
      </c>
      <c r="J2674" s="22">
        <f>HLOOKUP($C2674,$C$2631:$AA$2655,J$2657,FALSE)</f>
        <v/>
      </c>
      <c r="K2674" s="22">
        <f>HLOOKUP($C2674,$C$2631:$AA$2655,K$2657,FALSE)</f>
        <v/>
      </c>
      <c r="M2674" s="18">
        <f>'20250815_ETF_Options - 5d AVG'!J2674</f>
        <v/>
      </c>
      <c r="N2674" s="18">
        <f>'20250815_ETF_Options - 5d AVG'!K2674</f>
        <v/>
      </c>
    </row>
    <row r="2675">
      <c r="C2675" s="2">
        <f>D2675&amp;"_hedged"</f>
        <v/>
      </c>
      <c r="D2675" t="inlineStr">
        <is>
          <t>XLP</t>
        </is>
      </c>
      <c r="E2675" s="14">
        <f>HLOOKUP($C2675,$C$2631:$AA$2655,E$2657,FALSE)</f>
        <v/>
      </c>
      <c r="F2675" s="14">
        <f>HLOOKUP($C2675,$C$2631:$AA$2655,F$2657,FALSE)</f>
        <v/>
      </c>
      <c r="G2675" s="14">
        <f>HLOOKUP($C2675,$C$2631:$AA$2655,G$2657,FALSE)</f>
        <v/>
      </c>
      <c r="H2675" s="14">
        <f>HLOOKUP($C2675,$C$2631:$AA$2655,H$2657,FALSE)</f>
        <v/>
      </c>
      <c r="I2675" s="14">
        <f>HLOOKUP($C2675,$C$2631:$AA$2655,I$2657,FALSE)</f>
        <v/>
      </c>
      <c r="J2675" s="22">
        <f>HLOOKUP($C2675,$C$2631:$AA$2655,J$2657,FALSE)</f>
        <v/>
      </c>
      <c r="K2675" s="22">
        <f>HLOOKUP($C2675,$C$2631:$AA$2655,K$2657,FALSE)</f>
        <v/>
      </c>
      <c r="M2675" s="18">
        <f>'20250815_ETF_Options - 5d AVG'!J2675</f>
        <v/>
      </c>
      <c r="N2675" s="18">
        <f>'20250815_ETF_Options - 5d AVG'!K2675</f>
        <v/>
      </c>
    </row>
    <row r="2676">
      <c r="C2676" s="2">
        <f>D2676&amp;"_hedged"</f>
        <v/>
      </c>
      <c r="D2676" t="inlineStr">
        <is>
          <t>XLB</t>
        </is>
      </c>
      <c r="E2676" s="14">
        <f>HLOOKUP($C2676,$C$2631:$AA$2655,E$2657,FALSE)</f>
        <v/>
      </c>
      <c r="F2676" s="14">
        <f>HLOOKUP($C2676,$C$2631:$AA$2655,F$2657,FALSE)</f>
        <v/>
      </c>
      <c r="G2676" s="14">
        <f>HLOOKUP($C2676,$C$2631:$AA$2655,G$2657,FALSE)</f>
        <v/>
      </c>
      <c r="H2676" s="14">
        <f>HLOOKUP($C2676,$C$2631:$AA$2655,H$2657,FALSE)</f>
        <v/>
      </c>
      <c r="I2676" s="14">
        <f>HLOOKUP($C2676,$C$2631:$AA$2655,I$2657,FALSE)</f>
        <v/>
      </c>
      <c r="J2676" s="22">
        <f>HLOOKUP($C2676,$C$2631:$AA$2655,J$2657,FALSE)</f>
        <v/>
      </c>
      <c r="K2676" s="22">
        <f>HLOOKUP($C2676,$C$2631:$AA$2655,K$2657,FALSE)</f>
        <v/>
      </c>
      <c r="M2676" s="18">
        <f>'20250815_ETF_Options - 5d AVG'!J2676</f>
        <v/>
      </c>
      <c r="N2676" s="18">
        <f>'20250815_ETF_Options - 5d AVG'!K2676</f>
        <v/>
      </c>
    </row>
    <row r="2677">
      <c r="C2677" s="2" t="inlineStr">
        <is>
          <t>EQ_WGT</t>
        </is>
      </c>
      <c r="D2677" t="inlineStr">
        <is>
          <t>EqualWeight</t>
        </is>
      </c>
      <c r="E2677" s="14">
        <f>HLOOKUP($C2677,$C$2631:$AA$2655,E$2657,FALSE)</f>
        <v/>
      </c>
      <c r="F2677" s="14">
        <f>HLOOKUP($C2677,$C$2631:$AA$2655,F$2657,FALSE)</f>
        <v/>
      </c>
      <c r="G2677" s="14">
        <f>HLOOKUP($C2677,$C$2631:$AA$2655,G$2657,FALSE)</f>
        <v/>
      </c>
      <c r="H2677" s="14">
        <f>HLOOKUP($C2677,$C$2631:$AA$2655,H$2657,FALSE)</f>
        <v/>
      </c>
      <c r="I2677" s="14">
        <f>HLOOKUP($C2677,$C$2631:$AA$2655,I$2657,FALSE)</f>
        <v/>
      </c>
      <c r="J2677" s="22">
        <f>HLOOKUP($C2677,$C$2631:$AA$2655,J$2657,FALSE)</f>
        <v/>
      </c>
      <c r="K2677" s="22">
        <f>HLOOKUP($C2677,$C$2631:$AA$2655,K$2657,FALSE)</f>
        <v/>
      </c>
      <c r="M2677" s="18">
        <f>'20250815_ETF_Options - 5d AVG'!J2677</f>
        <v/>
      </c>
      <c r="N2677" s="18">
        <f>'20250815_ETF_Options - 5d AVG'!K2677</f>
        <v/>
      </c>
    </row>
    <row r="2678">
      <c r="C2678" s="2" t="inlineStr">
        <is>
          <t>SPY_hedged</t>
        </is>
      </c>
      <c r="D2678" t="inlineStr">
        <is>
          <t>SPY (Strategy)</t>
        </is>
      </c>
      <c r="E2678" s="14">
        <f>HLOOKUP($C2678,$C$2631:$AA$2655,E$2657,FALSE)</f>
        <v/>
      </c>
      <c r="F2678" s="14">
        <f>HLOOKUP($C2678,$C$2631:$AA$2655,F$2657,FALSE)</f>
        <v/>
      </c>
      <c r="G2678" s="14">
        <f>HLOOKUP($C2678,$C$2631:$AA$2655,G$2657,FALSE)</f>
        <v/>
      </c>
      <c r="H2678" s="14">
        <f>HLOOKUP($C2678,$C$2631:$AA$2655,H$2657,FALSE)</f>
        <v/>
      </c>
      <c r="I2678" s="14">
        <f>HLOOKUP($C2678,$C$2631:$AA$2655,I$2657,FALSE)</f>
        <v/>
      </c>
      <c r="J2678" s="22">
        <f>HLOOKUP($C2678,$C$2631:$AA$2655,J$2657,FALSE)</f>
        <v/>
      </c>
      <c r="K2678" s="22">
        <f>HLOOKUP($C2678,$C$2631:$AA$2655,K$2657,FALSE)</f>
        <v/>
      </c>
      <c r="M2678" s="18">
        <f>'20250815_ETF_Options - 5d AVG'!J2678</f>
        <v/>
      </c>
      <c r="N2678" s="18">
        <f>'20250815_ETF_Options - 5d AVG'!K2678</f>
        <v/>
      </c>
    </row>
    <row r="2679">
      <c r="C2679" s="2" t="inlineStr">
        <is>
          <t>SPY_underlying</t>
        </is>
      </c>
      <c r="D2679" t="inlineStr">
        <is>
          <t>SPY (Underlying)</t>
        </is>
      </c>
      <c r="E2679" s="14">
        <f>HLOOKUP($C2679,$C$2631:$AA$2655,E$2657,FALSE)</f>
        <v/>
      </c>
      <c r="F2679" s="14">
        <f>HLOOKUP($C2679,$C$2631:$AA$2655,F$2657,FALSE)</f>
        <v/>
      </c>
      <c r="G2679" s="14">
        <f>HLOOKUP($C2679,$C$2631:$AA$2655,G$2657,FALSE)</f>
        <v/>
      </c>
      <c r="H2679" s="14">
        <f>HLOOKUP($C2679,$C$2631:$AA$2655,H$2657,FALSE)</f>
        <v/>
      </c>
      <c r="I2679" s="14">
        <f>HLOOKUP($C2679,$C$2631:$AA$2655,I$2657,FALSE)</f>
        <v/>
      </c>
      <c r="J2679" s="22">
        <f>HLOOKUP($C2679,$C$2631:$AA$2655,J$2657,FALSE)</f>
        <v/>
      </c>
      <c r="K2679" s="22">
        <f>HLOOKUP($C2679,$C$2631:$AA$2655,K$2657,FALSE)</f>
        <v/>
      </c>
      <c r="M2679" s="18">
        <f>'20250815_ETF_Options - 5d AVG'!J2679</f>
        <v/>
      </c>
      <c r="N2679" s="18">
        <f>'20250815_ETF_Options - 5d AVG'!K2679</f>
        <v/>
      </c>
    </row>
    <row r="2681">
      <c r="J2681" s="23">
        <f>AVERAGE(J2659:J2679)</f>
        <v/>
      </c>
      <c r="K2681" s="23">
        <f>AVERAGE(K2659:K2679)</f>
        <v/>
      </c>
      <c r="M2681" s="23">
        <f>AVERAGE(M2659:M2679)</f>
        <v/>
      </c>
      <c r="N2681" s="23">
        <f>AVERAGE(N2659:N2679)</f>
        <v/>
      </c>
    </row>
    <row r="2682">
      <c r="J2682">
        <f>CORREL(J$2659:J$2676,$G$2659:$G$2676)</f>
        <v/>
      </c>
      <c r="K2682">
        <f>CORREL(K$2659:K$2676,$G$2659:$G$2676)</f>
        <v/>
      </c>
    </row>
  </sheetData>
  <pageMargins left="0.75" right="0.75" top="1" bottom="1" header="0.5" footer="0.5"/>
  <pageSetup orientation="portrait" horizontalDpi="0" verticalDpi="0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627"/>
  <sheetViews>
    <sheetView tabSelected="1" topLeftCell="A2569" workbookViewId="0">
      <selection activeCell="J2591" sqref="J2590:J2591"/>
    </sheetView>
  </sheetViews>
  <sheetFormatPr baseColWidth="10" defaultRowHeight="16"/>
  <cols>
    <col width="13.33203125" bestFit="1" customWidth="1" min="2" max="3"/>
  </cols>
  <sheetData>
    <row r="1">
      <c r="A1" s="1">
        <f>'20250815_ETF_Options_Exhibits'!AC1</f>
        <v/>
      </c>
      <c r="B1">
        <f>'20250815_ETF_Options_Exhibits'!AD1</f>
        <v/>
      </c>
      <c r="C1">
        <f>'20250815_ETF_Options_Exhibits'!AE1</f>
        <v/>
      </c>
    </row>
    <row r="2">
      <c r="A2" s="1">
        <f>'20250815_ETF_Options_Exhibits'!AC2</f>
        <v/>
      </c>
      <c r="B2" s="32">
        <f>'20250815_ETF_Options_Exhibits'!AD2</f>
        <v/>
      </c>
      <c r="C2" s="32">
        <f>'20250815_ETF_Options_Exhibits'!AE2</f>
        <v/>
      </c>
    </row>
    <row r="3">
      <c r="A3" s="1">
        <f>'20250815_ETF_Options_Exhibits'!AC3</f>
        <v/>
      </c>
      <c r="B3" s="32">
        <f>'20250815_ETF_Options_Exhibits'!AD3</f>
        <v/>
      </c>
      <c r="C3" s="32">
        <f>'20250815_ETF_Options_Exhibits'!AE3</f>
        <v/>
      </c>
    </row>
    <row r="4">
      <c r="A4" s="1">
        <f>'20250815_ETF_Options_Exhibits'!AC4</f>
        <v/>
      </c>
      <c r="B4" s="32">
        <f>'20250815_ETF_Options_Exhibits'!AD4</f>
        <v/>
      </c>
      <c r="C4" s="32">
        <f>'20250815_ETF_Options_Exhibits'!AE4</f>
        <v/>
      </c>
    </row>
    <row r="5">
      <c r="A5" s="1">
        <f>'20250815_ETF_Options_Exhibits'!AC5</f>
        <v/>
      </c>
      <c r="B5" s="32">
        <f>'20250815_ETF_Options_Exhibits'!AD5</f>
        <v/>
      </c>
      <c r="C5" s="32">
        <f>'20250815_ETF_Options_Exhibits'!AE5</f>
        <v/>
      </c>
    </row>
    <row r="6">
      <c r="A6" s="1">
        <f>'20250815_ETF_Options_Exhibits'!AC6</f>
        <v/>
      </c>
      <c r="B6" s="32">
        <f>'20250815_ETF_Options_Exhibits'!AD6</f>
        <v/>
      </c>
      <c r="C6" s="32">
        <f>'20250815_ETF_Options_Exhibits'!AE6</f>
        <v/>
      </c>
    </row>
    <row r="7">
      <c r="A7" s="1">
        <f>'20250815_ETF_Options_Exhibits'!AC7</f>
        <v/>
      </c>
      <c r="B7" s="32">
        <f>'20250815_ETF_Options_Exhibits'!AD7</f>
        <v/>
      </c>
      <c r="C7" s="32">
        <f>'20250815_ETF_Options_Exhibits'!AE7</f>
        <v/>
      </c>
    </row>
    <row r="8">
      <c r="A8" s="1">
        <f>'20250815_ETF_Options_Exhibits'!AC8</f>
        <v/>
      </c>
      <c r="B8" s="32">
        <f>'20250815_ETF_Options_Exhibits'!AD8</f>
        <v/>
      </c>
      <c r="C8" s="32">
        <f>'20250815_ETF_Options_Exhibits'!AE8</f>
        <v/>
      </c>
    </row>
    <row r="9">
      <c r="A9" s="1">
        <f>'20250815_ETF_Options_Exhibits'!AC9</f>
        <v/>
      </c>
      <c r="B9" s="32">
        <f>'20250815_ETF_Options_Exhibits'!AD9</f>
        <v/>
      </c>
      <c r="C9" s="32">
        <f>'20250815_ETF_Options_Exhibits'!AE9</f>
        <v/>
      </c>
    </row>
    <row r="10">
      <c r="A10" s="1">
        <f>'20250815_ETF_Options_Exhibits'!AC10</f>
        <v/>
      </c>
      <c r="B10" s="32">
        <f>'20250815_ETF_Options_Exhibits'!AD10</f>
        <v/>
      </c>
      <c r="C10" s="32">
        <f>'20250815_ETF_Options_Exhibits'!AE10</f>
        <v/>
      </c>
    </row>
    <row r="11">
      <c r="A11" s="1">
        <f>'20250815_ETF_Options_Exhibits'!AC11</f>
        <v/>
      </c>
      <c r="B11" s="32">
        <f>'20250815_ETF_Options_Exhibits'!AD11</f>
        <v/>
      </c>
      <c r="C11" s="32">
        <f>'20250815_ETF_Options_Exhibits'!AE11</f>
        <v/>
      </c>
    </row>
    <row r="12">
      <c r="A12" s="1">
        <f>'20250815_ETF_Options_Exhibits'!AC12</f>
        <v/>
      </c>
      <c r="B12" s="32">
        <f>'20250815_ETF_Options_Exhibits'!AD12</f>
        <v/>
      </c>
      <c r="C12" s="32">
        <f>'20250815_ETF_Options_Exhibits'!AE12</f>
        <v/>
      </c>
    </row>
    <row r="13">
      <c r="A13" s="1">
        <f>'20250815_ETF_Options_Exhibits'!AC13</f>
        <v/>
      </c>
      <c r="B13" s="32">
        <f>'20250815_ETF_Options_Exhibits'!AD13</f>
        <v/>
      </c>
      <c r="C13" s="32">
        <f>'20250815_ETF_Options_Exhibits'!AE13</f>
        <v/>
      </c>
    </row>
    <row r="14">
      <c r="A14" s="1">
        <f>'20250815_ETF_Options_Exhibits'!AC14</f>
        <v/>
      </c>
      <c r="B14" s="32">
        <f>'20250815_ETF_Options_Exhibits'!AD14</f>
        <v/>
      </c>
      <c r="C14" s="32">
        <f>'20250815_ETF_Options_Exhibits'!AE14</f>
        <v/>
      </c>
    </row>
    <row r="15">
      <c r="A15" s="1">
        <f>'20250815_ETF_Options_Exhibits'!AC15</f>
        <v/>
      </c>
      <c r="B15" s="32">
        <f>'20250815_ETF_Options_Exhibits'!AD15</f>
        <v/>
      </c>
      <c r="C15" s="32">
        <f>'20250815_ETF_Options_Exhibits'!AE15</f>
        <v/>
      </c>
    </row>
    <row r="16">
      <c r="A16" s="1">
        <f>'20250815_ETF_Options_Exhibits'!AC16</f>
        <v/>
      </c>
      <c r="B16" s="32">
        <f>'20250815_ETF_Options_Exhibits'!AD16</f>
        <v/>
      </c>
      <c r="C16" s="32">
        <f>'20250815_ETF_Options_Exhibits'!AE16</f>
        <v/>
      </c>
    </row>
    <row r="17">
      <c r="A17" s="1">
        <f>'20250815_ETF_Options_Exhibits'!AC17</f>
        <v/>
      </c>
      <c r="B17" s="32">
        <f>'20250815_ETF_Options_Exhibits'!AD17</f>
        <v/>
      </c>
      <c r="C17" s="32">
        <f>'20250815_ETF_Options_Exhibits'!AE17</f>
        <v/>
      </c>
    </row>
    <row r="18">
      <c r="A18" s="1">
        <f>'20250815_ETF_Options_Exhibits'!AC18</f>
        <v/>
      </c>
      <c r="B18" s="32">
        <f>'20250815_ETF_Options_Exhibits'!AD18</f>
        <v/>
      </c>
      <c r="C18" s="32">
        <f>'20250815_ETF_Options_Exhibits'!AE18</f>
        <v/>
      </c>
    </row>
    <row r="19">
      <c r="A19" s="1">
        <f>'20250815_ETF_Options_Exhibits'!AC19</f>
        <v/>
      </c>
      <c r="B19" s="32">
        <f>'20250815_ETF_Options_Exhibits'!AD19</f>
        <v/>
      </c>
      <c r="C19" s="32">
        <f>'20250815_ETF_Options_Exhibits'!AE19</f>
        <v/>
      </c>
    </row>
    <row r="20">
      <c r="A20" s="1">
        <f>'20250815_ETF_Options_Exhibits'!AC20</f>
        <v/>
      </c>
      <c r="B20" s="32">
        <f>'20250815_ETF_Options_Exhibits'!AD20</f>
        <v/>
      </c>
      <c r="C20" s="32">
        <f>'20250815_ETF_Options_Exhibits'!AE20</f>
        <v/>
      </c>
    </row>
    <row r="21">
      <c r="A21" s="1">
        <f>'20250815_ETF_Options_Exhibits'!AC21</f>
        <v/>
      </c>
      <c r="B21" s="32">
        <f>'20250815_ETF_Options_Exhibits'!AD21</f>
        <v/>
      </c>
      <c r="C21" s="32">
        <f>'20250815_ETF_Options_Exhibits'!AE21</f>
        <v/>
      </c>
    </row>
    <row r="22">
      <c r="A22" s="1">
        <f>'20250815_ETF_Options_Exhibits'!AC22</f>
        <v/>
      </c>
      <c r="B22" s="32">
        <f>'20250815_ETF_Options_Exhibits'!AD22</f>
        <v/>
      </c>
      <c r="C22" s="32">
        <f>'20250815_ETF_Options_Exhibits'!AE22</f>
        <v/>
      </c>
    </row>
    <row r="23">
      <c r="A23" s="1">
        <f>'20250815_ETF_Options_Exhibits'!AC23</f>
        <v/>
      </c>
      <c r="B23" s="32">
        <f>'20250815_ETF_Options_Exhibits'!AD23</f>
        <v/>
      </c>
      <c r="C23" s="32">
        <f>'20250815_ETF_Options_Exhibits'!AE23</f>
        <v/>
      </c>
    </row>
    <row r="24">
      <c r="A24" s="1">
        <f>'20250815_ETF_Options_Exhibits'!AC24</f>
        <v/>
      </c>
      <c r="B24" s="32">
        <f>'20250815_ETF_Options_Exhibits'!AD24</f>
        <v/>
      </c>
      <c r="C24" s="32">
        <f>'20250815_ETF_Options_Exhibits'!AE24</f>
        <v/>
      </c>
    </row>
    <row r="25">
      <c r="A25" s="1">
        <f>'20250815_ETF_Options_Exhibits'!AC25</f>
        <v/>
      </c>
      <c r="B25" s="32">
        <f>'20250815_ETF_Options_Exhibits'!AD25</f>
        <v/>
      </c>
      <c r="C25" s="32">
        <f>'20250815_ETF_Options_Exhibits'!AE25</f>
        <v/>
      </c>
    </row>
    <row r="26">
      <c r="A26" s="1">
        <f>'20250815_ETF_Options_Exhibits'!AC26</f>
        <v/>
      </c>
      <c r="B26" s="32">
        <f>'20250815_ETF_Options_Exhibits'!AD26</f>
        <v/>
      </c>
      <c r="C26" s="32">
        <f>'20250815_ETF_Options_Exhibits'!AE26</f>
        <v/>
      </c>
    </row>
    <row r="27">
      <c r="A27" s="1">
        <f>'20250815_ETF_Options_Exhibits'!AC27</f>
        <v/>
      </c>
      <c r="B27" s="32">
        <f>'20250815_ETF_Options_Exhibits'!AD27</f>
        <v/>
      </c>
      <c r="C27" s="32">
        <f>'20250815_ETF_Options_Exhibits'!AE27</f>
        <v/>
      </c>
    </row>
    <row r="28">
      <c r="A28" s="1">
        <f>'20250815_ETF_Options_Exhibits'!AC28</f>
        <v/>
      </c>
      <c r="B28" s="32">
        <f>'20250815_ETF_Options_Exhibits'!AD28</f>
        <v/>
      </c>
      <c r="C28" s="32">
        <f>'20250815_ETF_Options_Exhibits'!AE28</f>
        <v/>
      </c>
    </row>
    <row r="29">
      <c r="A29" s="1">
        <f>'20250815_ETF_Options_Exhibits'!AC29</f>
        <v/>
      </c>
      <c r="B29" s="32">
        <f>'20250815_ETF_Options_Exhibits'!AD29</f>
        <v/>
      </c>
      <c r="C29" s="32">
        <f>'20250815_ETF_Options_Exhibits'!AE29</f>
        <v/>
      </c>
    </row>
    <row r="30">
      <c r="A30" s="1">
        <f>'20250815_ETF_Options_Exhibits'!AC30</f>
        <v/>
      </c>
      <c r="B30" s="32">
        <f>'20250815_ETF_Options_Exhibits'!AD30</f>
        <v/>
      </c>
      <c r="C30" s="32">
        <f>'20250815_ETF_Options_Exhibits'!AE30</f>
        <v/>
      </c>
    </row>
    <row r="31">
      <c r="A31" s="1">
        <f>'20250815_ETF_Options_Exhibits'!AC31</f>
        <v/>
      </c>
      <c r="B31" s="32">
        <f>'20250815_ETF_Options_Exhibits'!AD31</f>
        <v/>
      </c>
      <c r="C31" s="32">
        <f>'20250815_ETF_Options_Exhibits'!AE31</f>
        <v/>
      </c>
    </row>
    <row r="32">
      <c r="A32" s="1">
        <f>'20250815_ETF_Options_Exhibits'!AC32</f>
        <v/>
      </c>
      <c r="B32" s="32">
        <f>'20250815_ETF_Options_Exhibits'!AD32</f>
        <v/>
      </c>
      <c r="C32" s="32">
        <f>'20250815_ETF_Options_Exhibits'!AE32</f>
        <v/>
      </c>
    </row>
    <row r="33">
      <c r="A33" s="1">
        <f>'20250815_ETF_Options_Exhibits'!AC33</f>
        <v/>
      </c>
      <c r="B33" s="32">
        <f>'20250815_ETF_Options_Exhibits'!AD33</f>
        <v/>
      </c>
      <c r="C33" s="32">
        <f>'20250815_ETF_Options_Exhibits'!AE33</f>
        <v/>
      </c>
    </row>
    <row r="34">
      <c r="A34" s="1">
        <f>'20250815_ETF_Options_Exhibits'!AC34</f>
        <v/>
      </c>
      <c r="B34" s="32">
        <f>'20250815_ETF_Options_Exhibits'!AD34</f>
        <v/>
      </c>
      <c r="C34" s="32">
        <f>'20250815_ETF_Options_Exhibits'!AE34</f>
        <v/>
      </c>
    </row>
    <row r="35">
      <c r="A35" s="1">
        <f>'20250815_ETF_Options_Exhibits'!AC35</f>
        <v/>
      </c>
      <c r="B35" s="32">
        <f>'20250815_ETF_Options_Exhibits'!AD35</f>
        <v/>
      </c>
      <c r="C35" s="32">
        <f>'20250815_ETF_Options_Exhibits'!AE35</f>
        <v/>
      </c>
    </row>
    <row r="36">
      <c r="A36" s="1">
        <f>'20250815_ETF_Options_Exhibits'!AC36</f>
        <v/>
      </c>
      <c r="B36" s="32">
        <f>'20250815_ETF_Options_Exhibits'!AD36</f>
        <v/>
      </c>
      <c r="C36" s="32">
        <f>'20250815_ETF_Options_Exhibits'!AE36</f>
        <v/>
      </c>
    </row>
    <row r="37">
      <c r="A37" s="1">
        <f>'20250815_ETF_Options_Exhibits'!AC37</f>
        <v/>
      </c>
      <c r="B37" s="32">
        <f>'20250815_ETF_Options_Exhibits'!AD37</f>
        <v/>
      </c>
      <c r="C37" s="32">
        <f>'20250815_ETF_Options_Exhibits'!AE37</f>
        <v/>
      </c>
    </row>
    <row r="38">
      <c r="A38" s="1">
        <f>'20250815_ETF_Options_Exhibits'!AC38</f>
        <v/>
      </c>
      <c r="B38" s="32">
        <f>'20250815_ETF_Options_Exhibits'!AD38</f>
        <v/>
      </c>
      <c r="C38" s="32">
        <f>'20250815_ETF_Options_Exhibits'!AE38</f>
        <v/>
      </c>
    </row>
    <row r="39">
      <c r="A39" s="1">
        <f>'20250815_ETF_Options_Exhibits'!AC39</f>
        <v/>
      </c>
      <c r="B39" s="32">
        <f>'20250815_ETF_Options_Exhibits'!AD39</f>
        <v/>
      </c>
      <c r="C39" s="32">
        <f>'20250815_ETF_Options_Exhibits'!AE39</f>
        <v/>
      </c>
    </row>
    <row r="40">
      <c r="A40" s="1">
        <f>'20250815_ETF_Options_Exhibits'!AC40</f>
        <v/>
      </c>
      <c r="B40" s="32">
        <f>'20250815_ETF_Options_Exhibits'!AD40</f>
        <v/>
      </c>
      <c r="C40" s="32">
        <f>'20250815_ETF_Options_Exhibits'!AE40</f>
        <v/>
      </c>
    </row>
    <row r="41">
      <c r="A41" s="1">
        <f>'20250815_ETF_Options_Exhibits'!AC41</f>
        <v/>
      </c>
      <c r="B41" s="32">
        <f>'20250815_ETF_Options_Exhibits'!AD41</f>
        <v/>
      </c>
      <c r="C41" s="32">
        <f>'20250815_ETF_Options_Exhibits'!AE41</f>
        <v/>
      </c>
    </row>
    <row r="42">
      <c r="A42" s="1">
        <f>'20250815_ETF_Options_Exhibits'!AC42</f>
        <v/>
      </c>
      <c r="B42" s="32">
        <f>'20250815_ETF_Options_Exhibits'!AD42</f>
        <v/>
      </c>
      <c r="C42" s="32">
        <f>'20250815_ETF_Options_Exhibits'!AE42</f>
        <v/>
      </c>
    </row>
    <row r="43">
      <c r="A43" s="1">
        <f>'20250815_ETF_Options_Exhibits'!AC43</f>
        <v/>
      </c>
      <c r="B43" s="32">
        <f>'20250815_ETF_Options_Exhibits'!AD43</f>
        <v/>
      </c>
      <c r="C43" s="32">
        <f>'20250815_ETF_Options_Exhibits'!AE43</f>
        <v/>
      </c>
    </row>
    <row r="44">
      <c r="A44" s="1">
        <f>'20250815_ETF_Options_Exhibits'!AC44</f>
        <v/>
      </c>
      <c r="B44" s="32">
        <f>'20250815_ETF_Options_Exhibits'!AD44</f>
        <v/>
      </c>
      <c r="C44" s="32">
        <f>'20250815_ETF_Options_Exhibits'!AE44</f>
        <v/>
      </c>
    </row>
    <row r="45">
      <c r="A45" s="1">
        <f>'20250815_ETF_Options_Exhibits'!AC45</f>
        <v/>
      </c>
      <c r="B45" s="32">
        <f>'20250815_ETF_Options_Exhibits'!AD45</f>
        <v/>
      </c>
      <c r="C45" s="32">
        <f>'20250815_ETF_Options_Exhibits'!AE45</f>
        <v/>
      </c>
    </row>
    <row r="46">
      <c r="A46" s="1">
        <f>'20250815_ETF_Options_Exhibits'!AC46</f>
        <v/>
      </c>
      <c r="B46" s="32">
        <f>'20250815_ETF_Options_Exhibits'!AD46</f>
        <v/>
      </c>
      <c r="C46" s="32">
        <f>'20250815_ETF_Options_Exhibits'!AE46</f>
        <v/>
      </c>
    </row>
    <row r="47">
      <c r="A47" s="1">
        <f>'20250815_ETF_Options_Exhibits'!AC47</f>
        <v/>
      </c>
      <c r="B47" s="32">
        <f>'20250815_ETF_Options_Exhibits'!AD47</f>
        <v/>
      </c>
      <c r="C47" s="32">
        <f>'20250815_ETF_Options_Exhibits'!AE47</f>
        <v/>
      </c>
    </row>
    <row r="48">
      <c r="A48" s="1">
        <f>'20250815_ETF_Options_Exhibits'!AC48</f>
        <v/>
      </c>
      <c r="B48" s="32">
        <f>'20250815_ETF_Options_Exhibits'!AD48</f>
        <v/>
      </c>
      <c r="C48" s="32">
        <f>'20250815_ETF_Options_Exhibits'!AE48</f>
        <v/>
      </c>
    </row>
    <row r="49">
      <c r="A49" s="1">
        <f>'20250815_ETF_Options_Exhibits'!AC49</f>
        <v/>
      </c>
      <c r="B49" s="32">
        <f>'20250815_ETF_Options_Exhibits'!AD49</f>
        <v/>
      </c>
      <c r="C49" s="32">
        <f>'20250815_ETF_Options_Exhibits'!AE49</f>
        <v/>
      </c>
    </row>
    <row r="50">
      <c r="A50" s="1">
        <f>'20250815_ETF_Options_Exhibits'!AC50</f>
        <v/>
      </c>
      <c r="B50" s="32">
        <f>'20250815_ETF_Options_Exhibits'!AD50</f>
        <v/>
      </c>
      <c r="C50" s="32">
        <f>'20250815_ETF_Options_Exhibits'!AE50</f>
        <v/>
      </c>
    </row>
    <row r="51">
      <c r="A51" s="1">
        <f>'20250815_ETF_Options_Exhibits'!AC51</f>
        <v/>
      </c>
      <c r="B51" s="32">
        <f>'20250815_ETF_Options_Exhibits'!AD51</f>
        <v/>
      </c>
      <c r="C51" s="32">
        <f>'20250815_ETF_Options_Exhibits'!AE51</f>
        <v/>
      </c>
    </row>
    <row r="52">
      <c r="A52" s="1">
        <f>'20250815_ETF_Options_Exhibits'!AC52</f>
        <v/>
      </c>
      <c r="B52" s="32">
        <f>'20250815_ETF_Options_Exhibits'!AD52</f>
        <v/>
      </c>
      <c r="C52" s="32">
        <f>'20250815_ETF_Options_Exhibits'!AE52</f>
        <v/>
      </c>
    </row>
    <row r="53">
      <c r="A53" s="1">
        <f>'20250815_ETF_Options_Exhibits'!AC53</f>
        <v/>
      </c>
      <c r="B53" s="32">
        <f>'20250815_ETF_Options_Exhibits'!AD53</f>
        <v/>
      </c>
      <c r="C53" s="32">
        <f>'20250815_ETF_Options_Exhibits'!AE53</f>
        <v/>
      </c>
    </row>
    <row r="54">
      <c r="A54" s="1">
        <f>'20250815_ETF_Options_Exhibits'!AC54</f>
        <v/>
      </c>
      <c r="B54" s="32">
        <f>'20250815_ETF_Options_Exhibits'!AD54</f>
        <v/>
      </c>
      <c r="C54" s="32">
        <f>'20250815_ETF_Options_Exhibits'!AE54</f>
        <v/>
      </c>
    </row>
    <row r="55">
      <c r="A55" s="1">
        <f>'20250815_ETF_Options_Exhibits'!AC55</f>
        <v/>
      </c>
      <c r="B55" s="32">
        <f>'20250815_ETF_Options_Exhibits'!AD55</f>
        <v/>
      </c>
      <c r="C55" s="32">
        <f>'20250815_ETF_Options_Exhibits'!AE55</f>
        <v/>
      </c>
    </row>
    <row r="56">
      <c r="A56" s="1">
        <f>'20250815_ETF_Options_Exhibits'!AC56</f>
        <v/>
      </c>
      <c r="B56" s="32">
        <f>'20250815_ETF_Options_Exhibits'!AD56</f>
        <v/>
      </c>
      <c r="C56" s="32">
        <f>'20250815_ETF_Options_Exhibits'!AE56</f>
        <v/>
      </c>
    </row>
    <row r="57">
      <c r="A57" s="1">
        <f>'20250815_ETF_Options_Exhibits'!AC57</f>
        <v/>
      </c>
      <c r="B57" s="32">
        <f>'20250815_ETF_Options_Exhibits'!AD57</f>
        <v/>
      </c>
      <c r="C57" s="32">
        <f>'20250815_ETF_Options_Exhibits'!AE57</f>
        <v/>
      </c>
    </row>
    <row r="58">
      <c r="A58" s="1">
        <f>'20250815_ETF_Options_Exhibits'!AC58</f>
        <v/>
      </c>
      <c r="B58" s="32">
        <f>'20250815_ETF_Options_Exhibits'!AD58</f>
        <v/>
      </c>
      <c r="C58" s="32">
        <f>'20250815_ETF_Options_Exhibits'!AE58</f>
        <v/>
      </c>
    </row>
    <row r="59">
      <c r="A59" s="1">
        <f>'20250815_ETF_Options_Exhibits'!AC59</f>
        <v/>
      </c>
      <c r="B59" s="32">
        <f>'20250815_ETF_Options_Exhibits'!AD59</f>
        <v/>
      </c>
      <c r="C59" s="32">
        <f>'20250815_ETF_Options_Exhibits'!AE59</f>
        <v/>
      </c>
    </row>
    <row r="60">
      <c r="A60" s="1">
        <f>'20250815_ETF_Options_Exhibits'!AC60</f>
        <v/>
      </c>
      <c r="B60" s="32">
        <f>'20250815_ETF_Options_Exhibits'!AD60</f>
        <v/>
      </c>
      <c r="C60" s="32">
        <f>'20250815_ETF_Options_Exhibits'!AE60</f>
        <v/>
      </c>
    </row>
    <row r="61">
      <c r="A61" s="1">
        <f>'20250815_ETF_Options_Exhibits'!AC61</f>
        <v/>
      </c>
      <c r="B61" s="32">
        <f>'20250815_ETF_Options_Exhibits'!AD61</f>
        <v/>
      </c>
      <c r="C61" s="32">
        <f>'20250815_ETF_Options_Exhibits'!AE61</f>
        <v/>
      </c>
    </row>
    <row r="62">
      <c r="A62" s="1">
        <f>'20250815_ETF_Options_Exhibits'!AC62</f>
        <v/>
      </c>
      <c r="B62" s="32">
        <f>'20250815_ETF_Options_Exhibits'!AD62</f>
        <v/>
      </c>
      <c r="C62" s="32">
        <f>'20250815_ETF_Options_Exhibits'!AE62</f>
        <v/>
      </c>
    </row>
    <row r="63">
      <c r="A63" s="1">
        <f>'20250815_ETF_Options_Exhibits'!AC63</f>
        <v/>
      </c>
      <c r="B63" s="32">
        <f>'20250815_ETF_Options_Exhibits'!AD63</f>
        <v/>
      </c>
      <c r="C63" s="32">
        <f>'20250815_ETF_Options_Exhibits'!AE63</f>
        <v/>
      </c>
    </row>
    <row r="64">
      <c r="A64" s="1">
        <f>'20250815_ETF_Options_Exhibits'!AC64</f>
        <v/>
      </c>
      <c r="B64" s="32">
        <f>'20250815_ETF_Options_Exhibits'!AD64</f>
        <v/>
      </c>
      <c r="C64" s="32">
        <f>'20250815_ETF_Options_Exhibits'!AE64</f>
        <v/>
      </c>
    </row>
    <row r="65">
      <c r="A65" s="1">
        <f>'20250815_ETF_Options_Exhibits'!AC65</f>
        <v/>
      </c>
      <c r="B65" s="32">
        <f>'20250815_ETF_Options_Exhibits'!AD65</f>
        <v/>
      </c>
      <c r="C65" s="32">
        <f>'20250815_ETF_Options_Exhibits'!AE65</f>
        <v/>
      </c>
    </row>
    <row r="66">
      <c r="A66" s="1">
        <f>'20250815_ETF_Options_Exhibits'!AC66</f>
        <v/>
      </c>
      <c r="B66" s="32">
        <f>'20250815_ETF_Options_Exhibits'!AD66</f>
        <v/>
      </c>
      <c r="C66" s="32">
        <f>'20250815_ETF_Options_Exhibits'!AE66</f>
        <v/>
      </c>
    </row>
    <row r="67">
      <c r="A67" s="1">
        <f>'20250815_ETF_Options_Exhibits'!AC67</f>
        <v/>
      </c>
      <c r="B67" s="32">
        <f>'20250815_ETF_Options_Exhibits'!AD67</f>
        <v/>
      </c>
      <c r="C67" s="32">
        <f>'20250815_ETF_Options_Exhibits'!AE67</f>
        <v/>
      </c>
    </row>
    <row r="68">
      <c r="A68" s="1">
        <f>'20250815_ETF_Options_Exhibits'!AC68</f>
        <v/>
      </c>
      <c r="B68" s="32">
        <f>'20250815_ETF_Options_Exhibits'!AD68</f>
        <v/>
      </c>
      <c r="C68" s="32">
        <f>'20250815_ETF_Options_Exhibits'!AE68</f>
        <v/>
      </c>
    </row>
    <row r="69">
      <c r="A69" s="1">
        <f>'20250815_ETF_Options_Exhibits'!AC69</f>
        <v/>
      </c>
      <c r="B69" s="32">
        <f>'20250815_ETF_Options_Exhibits'!AD69</f>
        <v/>
      </c>
      <c r="C69" s="32">
        <f>'20250815_ETF_Options_Exhibits'!AE69</f>
        <v/>
      </c>
    </row>
    <row r="70">
      <c r="A70" s="1">
        <f>'20250815_ETF_Options_Exhibits'!AC70</f>
        <v/>
      </c>
      <c r="B70" s="32">
        <f>'20250815_ETF_Options_Exhibits'!AD70</f>
        <v/>
      </c>
      <c r="C70" s="32">
        <f>'20250815_ETF_Options_Exhibits'!AE70</f>
        <v/>
      </c>
    </row>
    <row r="71">
      <c r="A71" s="1">
        <f>'20250815_ETF_Options_Exhibits'!AC71</f>
        <v/>
      </c>
      <c r="B71" s="32">
        <f>'20250815_ETF_Options_Exhibits'!AD71</f>
        <v/>
      </c>
      <c r="C71" s="32">
        <f>'20250815_ETF_Options_Exhibits'!AE71</f>
        <v/>
      </c>
    </row>
    <row r="72">
      <c r="A72" s="1">
        <f>'20250815_ETF_Options_Exhibits'!AC72</f>
        <v/>
      </c>
      <c r="B72" s="32">
        <f>'20250815_ETF_Options_Exhibits'!AD72</f>
        <v/>
      </c>
      <c r="C72" s="32">
        <f>'20250815_ETF_Options_Exhibits'!AE72</f>
        <v/>
      </c>
    </row>
    <row r="73">
      <c r="A73" s="1">
        <f>'20250815_ETF_Options_Exhibits'!AC73</f>
        <v/>
      </c>
      <c r="B73" s="32">
        <f>'20250815_ETF_Options_Exhibits'!AD73</f>
        <v/>
      </c>
      <c r="C73" s="32">
        <f>'20250815_ETF_Options_Exhibits'!AE73</f>
        <v/>
      </c>
    </row>
    <row r="74">
      <c r="A74" s="1">
        <f>'20250815_ETF_Options_Exhibits'!AC74</f>
        <v/>
      </c>
      <c r="B74" s="32">
        <f>'20250815_ETF_Options_Exhibits'!AD74</f>
        <v/>
      </c>
      <c r="C74" s="32">
        <f>'20250815_ETF_Options_Exhibits'!AE74</f>
        <v/>
      </c>
    </row>
    <row r="75">
      <c r="A75" s="1">
        <f>'20250815_ETF_Options_Exhibits'!AC75</f>
        <v/>
      </c>
      <c r="B75" s="32">
        <f>'20250815_ETF_Options_Exhibits'!AD75</f>
        <v/>
      </c>
      <c r="C75" s="32">
        <f>'20250815_ETF_Options_Exhibits'!AE75</f>
        <v/>
      </c>
    </row>
    <row r="76">
      <c r="A76" s="1">
        <f>'20250815_ETF_Options_Exhibits'!AC76</f>
        <v/>
      </c>
      <c r="B76" s="32">
        <f>'20250815_ETF_Options_Exhibits'!AD76</f>
        <v/>
      </c>
      <c r="C76" s="32">
        <f>'20250815_ETF_Options_Exhibits'!AE76</f>
        <v/>
      </c>
    </row>
    <row r="77">
      <c r="A77" s="1">
        <f>'20250815_ETF_Options_Exhibits'!AC77</f>
        <v/>
      </c>
      <c r="B77" s="32">
        <f>'20250815_ETF_Options_Exhibits'!AD77</f>
        <v/>
      </c>
      <c r="C77" s="32">
        <f>'20250815_ETF_Options_Exhibits'!AE77</f>
        <v/>
      </c>
    </row>
    <row r="78">
      <c r="A78" s="1">
        <f>'20250815_ETF_Options_Exhibits'!AC78</f>
        <v/>
      </c>
      <c r="B78" s="32">
        <f>'20250815_ETF_Options_Exhibits'!AD78</f>
        <v/>
      </c>
      <c r="C78" s="32">
        <f>'20250815_ETF_Options_Exhibits'!AE78</f>
        <v/>
      </c>
    </row>
    <row r="79">
      <c r="A79" s="1">
        <f>'20250815_ETF_Options_Exhibits'!AC79</f>
        <v/>
      </c>
      <c r="B79" s="32">
        <f>'20250815_ETF_Options_Exhibits'!AD79</f>
        <v/>
      </c>
      <c r="C79" s="32">
        <f>'20250815_ETF_Options_Exhibits'!AE79</f>
        <v/>
      </c>
    </row>
    <row r="80">
      <c r="A80" s="1">
        <f>'20250815_ETF_Options_Exhibits'!AC80</f>
        <v/>
      </c>
      <c r="B80" s="32">
        <f>'20250815_ETF_Options_Exhibits'!AD80</f>
        <v/>
      </c>
      <c r="C80" s="32">
        <f>'20250815_ETF_Options_Exhibits'!AE80</f>
        <v/>
      </c>
    </row>
    <row r="81">
      <c r="A81" s="1">
        <f>'20250815_ETF_Options_Exhibits'!AC81</f>
        <v/>
      </c>
      <c r="B81" s="32">
        <f>'20250815_ETF_Options_Exhibits'!AD81</f>
        <v/>
      </c>
      <c r="C81" s="32">
        <f>'20250815_ETF_Options_Exhibits'!AE81</f>
        <v/>
      </c>
    </row>
    <row r="82">
      <c r="A82" s="1">
        <f>'20250815_ETF_Options_Exhibits'!AC82</f>
        <v/>
      </c>
      <c r="B82" s="32">
        <f>'20250815_ETF_Options_Exhibits'!AD82</f>
        <v/>
      </c>
      <c r="C82" s="32">
        <f>'20250815_ETF_Options_Exhibits'!AE82</f>
        <v/>
      </c>
    </row>
    <row r="83">
      <c r="A83" s="1">
        <f>'20250815_ETF_Options_Exhibits'!AC83</f>
        <v/>
      </c>
      <c r="B83" s="32">
        <f>'20250815_ETF_Options_Exhibits'!AD83</f>
        <v/>
      </c>
      <c r="C83" s="32">
        <f>'20250815_ETF_Options_Exhibits'!AE83</f>
        <v/>
      </c>
    </row>
    <row r="84">
      <c r="A84" s="1">
        <f>'20250815_ETF_Options_Exhibits'!AC84</f>
        <v/>
      </c>
      <c r="B84" s="32">
        <f>'20250815_ETF_Options_Exhibits'!AD84</f>
        <v/>
      </c>
      <c r="C84" s="32">
        <f>'20250815_ETF_Options_Exhibits'!AE84</f>
        <v/>
      </c>
    </row>
    <row r="85">
      <c r="A85" s="1">
        <f>'20250815_ETF_Options_Exhibits'!AC85</f>
        <v/>
      </c>
      <c r="B85" s="32">
        <f>'20250815_ETF_Options_Exhibits'!AD85</f>
        <v/>
      </c>
      <c r="C85" s="32">
        <f>'20250815_ETF_Options_Exhibits'!AE85</f>
        <v/>
      </c>
    </row>
    <row r="86">
      <c r="A86" s="1">
        <f>'20250815_ETF_Options_Exhibits'!AC86</f>
        <v/>
      </c>
      <c r="B86" s="32">
        <f>'20250815_ETF_Options_Exhibits'!AD86</f>
        <v/>
      </c>
      <c r="C86" s="32">
        <f>'20250815_ETF_Options_Exhibits'!AE86</f>
        <v/>
      </c>
    </row>
    <row r="87">
      <c r="A87" s="1">
        <f>'20250815_ETF_Options_Exhibits'!AC87</f>
        <v/>
      </c>
      <c r="B87" s="32">
        <f>'20250815_ETF_Options_Exhibits'!AD87</f>
        <v/>
      </c>
      <c r="C87" s="32">
        <f>'20250815_ETF_Options_Exhibits'!AE87</f>
        <v/>
      </c>
    </row>
    <row r="88">
      <c r="A88" s="1">
        <f>'20250815_ETF_Options_Exhibits'!AC88</f>
        <v/>
      </c>
      <c r="B88" s="32">
        <f>'20250815_ETF_Options_Exhibits'!AD88</f>
        <v/>
      </c>
      <c r="C88" s="32">
        <f>'20250815_ETF_Options_Exhibits'!AE88</f>
        <v/>
      </c>
    </row>
    <row r="89">
      <c r="A89" s="1">
        <f>'20250815_ETF_Options_Exhibits'!AC89</f>
        <v/>
      </c>
      <c r="B89" s="32">
        <f>'20250815_ETF_Options_Exhibits'!AD89</f>
        <v/>
      </c>
      <c r="C89" s="32">
        <f>'20250815_ETF_Options_Exhibits'!AE89</f>
        <v/>
      </c>
    </row>
    <row r="90">
      <c r="A90" s="1">
        <f>'20250815_ETF_Options_Exhibits'!AC90</f>
        <v/>
      </c>
      <c r="B90" s="32">
        <f>'20250815_ETF_Options_Exhibits'!AD90</f>
        <v/>
      </c>
      <c r="C90" s="32">
        <f>'20250815_ETF_Options_Exhibits'!AE90</f>
        <v/>
      </c>
    </row>
    <row r="91">
      <c r="A91" s="1">
        <f>'20250815_ETF_Options_Exhibits'!AC91</f>
        <v/>
      </c>
      <c r="B91" s="32">
        <f>'20250815_ETF_Options_Exhibits'!AD91</f>
        <v/>
      </c>
      <c r="C91" s="32">
        <f>'20250815_ETF_Options_Exhibits'!AE91</f>
        <v/>
      </c>
    </row>
    <row r="92">
      <c r="A92" s="1">
        <f>'20250815_ETF_Options_Exhibits'!AC92</f>
        <v/>
      </c>
      <c r="B92" s="32">
        <f>'20250815_ETF_Options_Exhibits'!AD92</f>
        <v/>
      </c>
      <c r="C92" s="32">
        <f>'20250815_ETF_Options_Exhibits'!AE92</f>
        <v/>
      </c>
    </row>
    <row r="93">
      <c r="A93" s="1">
        <f>'20250815_ETF_Options_Exhibits'!AC93</f>
        <v/>
      </c>
      <c r="B93" s="32">
        <f>'20250815_ETF_Options_Exhibits'!AD93</f>
        <v/>
      </c>
      <c r="C93" s="32">
        <f>'20250815_ETF_Options_Exhibits'!AE93</f>
        <v/>
      </c>
    </row>
    <row r="94">
      <c r="A94" s="1">
        <f>'20250815_ETF_Options_Exhibits'!AC94</f>
        <v/>
      </c>
      <c r="B94" s="32">
        <f>'20250815_ETF_Options_Exhibits'!AD94</f>
        <v/>
      </c>
      <c r="C94" s="32">
        <f>'20250815_ETF_Options_Exhibits'!AE94</f>
        <v/>
      </c>
    </row>
    <row r="95">
      <c r="A95" s="1">
        <f>'20250815_ETF_Options_Exhibits'!AC95</f>
        <v/>
      </c>
      <c r="B95" s="32">
        <f>'20250815_ETF_Options_Exhibits'!AD95</f>
        <v/>
      </c>
      <c r="C95" s="32">
        <f>'20250815_ETF_Options_Exhibits'!AE95</f>
        <v/>
      </c>
    </row>
    <row r="96">
      <c r="A96" s="1">
        <f>'20250815_ETF_Options_Exhibits'!AC96</f>
        <v/>
      </c>
      <c r="B96" s="32">
        <f>'20250815_ETF_Options_Exhibits'!AD96</f>
        <v/>
      </c>
      <c r="C96" s="32">
        <f>'20250815_ETF_Options_Exhibits'!AE96</f>
        <v/>
      </c>
    </row>
    <row r="97">
      <c r="A97" s="1">
        <f>'20250815_ETF_Options_Exhibits'!AC97</f>
        <v/>
      </c>
      <c r="B97" s="32">
        <f>'20250815_ETF_Options_Exhibits'!AD97</f>
        <v/>
      </c>
      <c r="C97" s="32">
        <f>'20250815_ETF_Options_Exhibits'!AE97</f>
        <v/>
      </c>
    </row>
    <row r="98">
      <c r="A98" s="1">
        <f>'20250815_ETF_Options_Exhibits'!AC98</f>
        <v/>
      </c>
      <c r="B98" s="32">
        <f>'20250815_ETF_Options_Exhibits'!AD98</f>
        <v/>
      </c>
      <c r="C98" s="32">
        <f>'20250815_ETF_Options_Exhibits'!AE98</f>
        <v/>
      </c>
    </row>
    <row r="99">
      <c r="A99" s="1">
        <f>'20250815_ETF_Options_Exhibits'!AC99</f>
        <v/>
      </c>
      <c r="B99" s="32">
        <f>'20250815_ETF_Options_Exhibits'!AD99</f>
        <v/>
      </c>
      <c r="C99" s="32">
        <f>'20250815_ETF_Options_Exhibits'!AE99</f>
        <v/>
      </c>
    </row>
    <row r="100">
      <c r="A100" s="1">
        <f>'20250815_ETF_Options_Exhibits'!AC100</f>
        <v/>
      </c>
      <c r="B100" s="32">
        <f>'20250815_ETF_Options_Exhibits'!AD100</f>
        <v/>
      </c>
      <c r="C100" s="32">
        <f>'20250815_ETF_Options_Exhibits'!AE100</f>
        <v/>
      </c>
    </row>
    <row r="101">
      <c r="A101" s="1">
        <f>'20250815_ETF_Options_Exhibits'!AC101</f>
        <v/>
      </c>
      <c r="B101" s="32">
        <f>'20250815_ETF_Options_Exhibits'!AD101</f>
        <v/>
      </c>
      <c r="C101" s="32">
        <f>'20250815_ETF_Options_Exhibits'!AE101</f>
        <v/>
      </c>
    </row>
    <row r="102">
      <c r="A102" s="1">
        <f>'20250815_ETF_Options_Exhibits'!AC102</f>
        <v/>
      </c>
      <c r="B102" s="32">
        <f>'20250815_ETF_Options_Exhibits'!AD102</f>
        <v/>
      </c>
      <c r="C102" s="32">
        <f>'20250815_ETF_Options_Exhibits'!AE102</f>
        <v/>
      </c>
    </row>
    <row r="103">
      <c r="A103" s="1">
        <f>'20250815_ETF_Options_Exhibits'!AC103</f>
        <v/>
      </c>
      <c r="B103" s="32">
        <f>'20250815_ETF_Options_Exhibits'!AD103</f>
        <v/>
      </c>
      <c r="C103" s="32">
        <f>'20250815_ETF_Options_Exhibits'!AE103</f>
        <v/>
      </c>
    </row>
    <row r="104">
      <c r="A104" s="1">
        <f>'20250815_ETF_Options_Exhibits'!AC104</f>
        <v/>
      </c>
      <c r="B104" s="32">
        <f>'20250815_ETF_Options_Exhibits'!AD104</f>
        <v/>
      </c>
      <c r="C104" s="32">
        <f>'20250815_ETF_Options_Exhibits'!AE104</f>
        <v/>
      </c>
    </row>
    <row r="105">
      <c r="A105" s="1">
        <f>'20250815_ETF_Options_Exhibits'!AC105</f>
        <v/>
      </c>
      <c r="B105" s="32">
        <f>'20250815_ETF_Options_Exhibits'!AD105</f>
        <v/>
      </c>
      <c r="C105" s="32">
        <f>'20250815_ETF_Options_Exhibits'!AE105</f>
        <v/>
      </c>
    </row>
    <row r="106">
      <c r="A106" s="1">
        <f>'20250815_ETF_Options_Exhibits'!AC106</f>
        <v/>
      </c>
      <c r="B106" s="32">
        <f>'20250815_ETF_Options_Exhibits'!AD106</f>
        <v/>
      </c>
      <c r="C106" s="32">
        <f>'20250815_ETF_Options_Exhibits'!AE106</f>
        <v/>
      </c>
    </row>
    <row r="107">
      <c r="A107" s="1">
        <f>'20250815_ETF_Options_Exhibits'!AC107</f>
        <v/>
      </c>
      <c r="B107" s="32">
        <f>'20250815_ETF_Options_Exhibits'!AD107</f>
        <v/>
      </c>
      <c r="C107" s="32">
        <f>'20250815_ETF_Options_Exhibits'!AE107</f>
        <v/>
      </c>
    </row>
    <row r="108">
      <c r="A108" s="1">
        <f>'20250815_ETF_Options_Exhibits'!AC108</f>
        <v/>
      </c>
      <c r="B108" s="32">
        <f>'20250815_ETF_Options_Exhibits'!AD108</f>
        <v/>
      </c>
      <c r="C108" s="32">
        <f>'20250815_ETF_Options_Exhibits'!AE108</f>
        <v/>
      </c>
    </row>
    <row r="109">
      <c r="A109" s="1">
        <f>'20250815_ETF_Options_Exhibits'!AC109</f>
        <v/>
      </c>
      <c r="B109" s="32">
        <f>'20250815_ETF_Options_Exhibits'!AD109</f>
        <v/>
      </c>
      <c r="C109" s="32">
        <f>'20250815_ETF_Options_Exhibits'!AE109</f>
        <v/>
      </c>
    </row>
    <row r="110">
      <c r="A110" s="1">
        <f>'20250815_ETF_Options_Exhibits'!AC110</f>
        <v/>
      </c>
      <c r="B110" s="32">
        <f>'20250815_ETF_Options_Exhibits'!AD110</f>
        <v/>
      </c>
      <c r="C110" s="32">
        <f>'20250815_ETF_Options_Exhibits'!AE110</f>
        <v/>
      </c>
    </row>
    <row r="111">
      <c r="A111" s="1">
        <f>'20250815_ETF_Options_Exhibits'!AC111</f>
        <v/>
      </c>
      <c r="B111" s="32">
        <f>'20250815_ETF_Options_Exhibits'!AD111</f>
        <v/>
      </c>
      <c r="C111" s="32">
        <f>'20250815_ETF_Options_Exhibits'!AE111</f>
        <v/>
      </c>
    </row>
    <row r="112">
      <c r="A112" s="1">
        <f>'20250815_ETF_Options_Exhibits'!AC112</f>
        <v/>
      </c>
      <c r="B112" s="32">
        <f>'20250815_ETF_Options_Exhibits'!AD112</f>
        <v/>
      </c>
      <c r="C112" s="32">
        <f>'20250815_ETF_Options_Exhibits'!AE112</f>
        <v/>
      </c>
    </row>
    <row r="113">
      <c r="A113" s="1">
        <f>'20250815_ETF_Options_Exhibits'!AC113</f>
        <v/>
      </c>
      <c r="B113" s="32">
        <f>'20250815_ETF_Options_Exhibits'!AD113</f>
        <v/>
      </c>
      <c r="C113" s="32">
        <f>'20250815_ETF_Options_Exhibits'!AE113</f>
        <v/>
      </c>
    </row>
    <row r="114">
      <c r="A114" s="1">
        <f>'20250815_ETF_Options_Exhibits'!AC114</f>
        <v/>
      </c>
      <c r="B114" s="32">
        <f>'20250815_ETF_Options_Exhibits'!AD114</f>
        <v/>
      </c>
      <c r="C114" s="32">
        <f>'20250815_ETF_Options_Exhibits'!AE114</f>
        <v/>
      </c>
    </row>
    <row r="115">
      <c r="A115" s="1">
        <f>'20250815_ETF_Options_Exhibits'!AC115</f>
        <v/>
      </c>
      <c r="B115" s="32">
        <f>'20250815_ETF_Options_Exhibits'!AD115</f>
        <v/>
      </c>
      <c r="C115" s="32">
        <f>'20250815_ETF_Options_Exhibits'!AE115</f>
        <v/>
      </c>
    </row>
    <row r="116">
      <c r="A116" s="1">
        <f>'20250815_ETF_Options_Exhibits'!AC116</f>
        <v/>
      </c>
      <c r="B116" s="32">
        <f>'20250815_ETF_Options_Exhibits'!AD116</f>
        <v/>
      </c>
      <c r="C116" s="32">
        <f>'20250815_ETF_Options_Exhibits'!AE116</f>
        <v/>
      </c>
    </row>
    <row r="117">
      <c r="A117" s="1">
        <f>'20250815_ETF_Options_Exhibits'!AC117</f>
        <v/>
      </c>
      <c r="B117" s="32">
        <f>'20250815_ETF_Options_Exhibits'!AD117</f>
        <v/>
      </c>
      <c r="C117" s="32">
        <f>'20250815_ETF_Options_Exhibits'!AE117</f>
        <v/>
      </c>
    </row>
    <row r="118">
      <c r="A118" s="1">
        <f>'20250815_ETF_Options_Exhibits'!AC118</f>
        <v/>
      </c>
      <c r="B118" s="32">
        <f>'20250815_ETF_Options_Exhibits'!AD118</f>
        <v/>
      </c>
      <c r="C118" s="32">
        <f>'20250815_ETF_Options_Exhibits'!AE118</f>
        <v/>
      </c>
    </row>
    <row r="119">
      <c r="A119" s="1">
        <f>'20250815_ETF_Options_Exhibits'!AC119</f>
        <v/>
      </c>
      <c r="B119" s="32">
        <f>'20250815_ETF_Options_Exhibits'!AD119</f>
        <v/>
      </c>
      <c r="C119" s="32">
        <f>'20250815_ETF_Options_Exhibits'!AE119</f>
        <v/>
      </c>
    </row>
    <row r="120">
      <c r="A120" s="1">
        <f>'20250815_ETF_Options_Exhibits'!AC120</f>
        <v/>
      </c>
      <c r="B120" s="32">
        <f>'20250815_ETF_Options_Exhibits'!AD120</f>
        <v/>
      </c>
      <c r="C120" s="32">
        <f>'20250815_ETF_Options_Exhibits'!AE120</f>
        <v/>
      </c>
    </row>
    <row r="121">
      <c r="A121" s="1">
        <f>'20250815_ETF_Options_Exhibits'!AC121</f>
        <v/>
      </c>
      <c r="B121" s="32">
        <f>'20250815_ETF_Options_Exhibits'!AD121</f>
        <v/>
      </c>
      <c r="C121" s="32">
        <f>'20250815_ETF_Options_Exhibits'!AE121</f>
        <v/>
      </c>
    </row>
    <row r="122">
      <c r="A122" s="1">
        <f>'20250815_ETF_Options_Exhibits'!AC122</f>
        <v/>
      </c>
      <c r="B122" s="32">
        <f>'20250815_ETF_Options_Exhibits'!AD122</f>
        <v/>
      </c>
      <c r="C122" s="32">
        <f>'20250815_ETF_Options_Exhibits'!AE122</f>
        <v/>
      </c>
    </row>
    <row r="123">
      <c r="A123" s="1">
        <f>'20250815_ETF_Options_Exhibits'!AC123</f>
        <v/>
      </c>
      <c r="B123" s="32">
        <f>'20250815_ETF_Options_Exhibits'!AD123</f>
        <v/>
      </c>
      <c r="C123" s="32">
        <f>'20250815_ETF_Options_Exhibits'!AE123</f>
        <v/>
      </c>
    </row>
    <row r="124">
      <c r="A124" s="1">
        <f>'20250815_ETF_Options_Exhibits'!AC124</f>
        <v/>
      </c>
      <c r="B124" s="32">
        <f>'20250815_ETF_Options_Exhibits'!AD124</f>
        <v/>
      </c>
      <c r="C124" s="32">
        <f>'20250815_ETF_Options_Exhibits'!AE124</f>
        <v/>
      </c>
    </row>
    <row r="125">
      <c r="A125" s="1">
        <f>'20250815_ETF_Options_Exhibits'!AC125</f>
        <v/>
      </c>
      <c r="B125" s="32">
        <f>'20250815_ETF_Options_Exhibits'!AD125</f>
        <v/>
      </c>
      <c r="C125" s="32">
        <f>'20250815_ETF_Options_Exhibits'!AE125</f>
        <v/>
      </c>
    </row>
    <row r="126">
      <c r="A126" s="1">
        <f>'20250815_ETF_Options_Exhibits'!AC126</f>
        <v/>
      </c>
      <c r="B126" s="32">
        <f>'20250815_ETF_Options_Exhibits'!AD126</f>
        <v/>
      </c>
      <c r="C126" s="32">
        <f>'20250815_ETF_Options_Exhibits'!AE126</f>
        <v/>
      </c>
    </row>
    <row r="127">
      <c r="A127" s="1">
        <f>'20250815_ETF_Options_Exhibits'!AC127</f>
        <v/>
      </c>
      <c r="B127" s="32">
        <f>'20250815_ETF_Options_Exhibits'!AD127</f>
        <v/>
      </c>
      <c r="C127" s="32">
        <f>'20250815_ETF_Options_Exhibits'!AE127</f>
        <v/>
      </c>
    </row>
    <row r="128">
      <c r="A128" s="1">
        <f>'20250815_ETF_Options_Exhibits'!AC128</f>
        <v/>
      </c>
      <c r="B128" s="32">
        <f>'20250815_ETF_Options_Exhibits'!AD128</f>
        <v/>
      </c>
      <c r="C128" s="32">
        <f>'20250815_ETF_Options_Exhibits'!AE128</f>
        <v/>
      </c>
    </row>
    <row r="129">
      <c r="A129" s="1">
        <f>'20250815_ETF_Options_Exhibits'!AC129</f>
        <v/>
      </c>
      <c r="B129" s="32">
        <f>'20250815_ETF_Options_Exhibits'!AD129</f>
        <v/>
      </c>
      <c r="C129" s="32">
        <f>'20250815_ETF_Options_Exhibits'!AE129</f>
        <v/>
      </c>
    </row>
    <row r="130">
      <c r="A130" s="1">
        <f>'20250815_ETF_Options_Exhibits'!AC130</f>
        <v/>
      </c>
      <c r="B130" s="32">
        <f>'20250815_ETF_Options_Exhibits'!AD130</f>
        <v/>
      </c>
      <c r="C130" s="32">
        <f>'20250815_ETF_Options_Exhibits'!AE130</f>
        <v/>
      </c>
    </row>
    <row r="131">
      <c r="A131" s="1">
        <f>'20250815_ETF_Options_Exhibits'!AC131</f>
        <v/>
      </c>
      <c r="B131" s="32">
        <f>'20250815_ETF_Options_Exhibits'!AD131</f>
        <v/>
      </c>
      <c r="C131" s="32">
        <f>'20250815_ETF_Options_Exhibits'!AE131</f>
        <v/>
      </c>
    </row>
    <row r="132">
      <c r="A132" s="1">
        <f>'20250815_ETF_Options_Exhibits'!AC132</f>
        <v/>
      </c>
      <c r="B132" s="32">
        <f>'20250815_ETF_Options_Exhibits'!AD132</f>
        <v/>
      </c>
      <c r="C132" s="32">
        <f>'20250815_ETF_Options_Exhibits'!AE132</f>
        <v/>
      </c>
    </row>
    <row r="133">
      <c r="A133" s="1">
        <f>'20250815_ETF_Options_Exhibits'!AC133</f>
        <v/>
      </c>
      <c r="B133" s="32">
        <f>'20250815_ETF_Options_Exhibits'!AD133</f>
        <v/>
      </c>
      <c r="C133" s="32">
        <f>'20250815_ETF_Options_Exhibits'!AE133</f>
        <v/>
      </c>
    </row>
    <row r="134">
      <c r="A134" s="1">
        <f>'20250815_ETF_Options_Exhibits'!AC134</f>
        <v/>
      </c>
      <c r="B134" s="32">
        <f>'20250815_ETF_Options_Exhibits'!AD134</f>
        <v/>
      </c>
      <c r="C134" s="32">
        <f>'20250815_ETF_Options_Exhibits'!AE134</f>
        <v/>
      </c>
    </row>
    <row r="135">
      <c r="A135" s="1">
        <f>'20250815_ETF_Options_Exhibits'!AC135</f>
        <v/>
      </c>
      <c r="B135" s="32">
        <f>'20250815_ETF_Options_Exhibits'!AD135</f>
        <v/>
      </c>
      <c r="C135" s="32">
        <f>'20250815_ETF_Options_Exhibits'!AE135</f>
        <v/>
      </c>
    </row>
    <row r="136">
      <c r="A136" s="1">
        <f>'20250815_ETF_Options_Exhibits'!AC136</f>
        <v/>
      </c>
      <c r="B136" s="32">
        <f>'20250815_ETF_Options_Exhibits'!AD136</f>
        <v/>
      </c>
      <c r="C136" s="32">
        <f>'20250815_ETF_Options_Exhibits'!AE136</f>
        <v/>
      </c>
    </row>
    <row r="137">
      <c r="A137" s="1">
        <f>'20250815_ETF_Options_Exhibits'!AC137</f>
        <v/>
      </c>
      <c r="B137" s="32">
        <f>'20250815_ETF_Options_Exhibits'!AD137</f>
        <v/>
      </c>
      <c r="C137" s="32">
        <f>'20250815_ETF_Options_Exhibits'!AE137</f>
        <v/>
      </c>
    </row>
    <row r="138">
      <c r="A138" s="1">
        <f>'20250815_ETF_Options_Exhibits'!AC138</f>
        <v/>
      </c>
      <c r="B138" s="32">
        <f>'20250815_ETF_Options_Exhibits'!AD138</f>
        <v/>
      </c>
      <c r="C138" s="32">
        <f>'20250815_ETF_Options_Exhibits'!AE138</f>
        <v/>
      </c>
    </row>
    <row r="139">
      <c r="A139" s="1">
        <f>'20250815_ETF_Options_Exhibits'!AC139</f>
        <v/>
      </c>
      <c r="B139" s="32">
        <f>'20250815_ETF_Options_Exhibits'!AD139</f>
        <v/>
      </c>
      <c r="C139" s="32">
        <f>'20250815_ETF_Options_Exhibits'!AE139</f>
        <v/>
      </c>
    </row>
    <row r="140">
      <c r="A140" s="1">
        <f>'20250815_ETF_Options_Exhibits'!AC140</f>
        <v/>
      </c>
      <c r="B140" s="32">
        <f>'20250815_ETF_Options_Exhibits'!AD140</f>
        <v/>
      </c>
      <c r="C140" s="32">
        <f>'20250815_ETF_Options_Exhibits'!AE140</f>
        <v/>
      </c>
    </row>
    <row r="141">
      <c r="A141" s="1">
        <f>'20250815_ETF_Options_Exhibits'!AC141</f>
        <v/>
      </c>
      <c r="B141" s="32">
        <f>'20250815_ETF_Options_Exhibits'!AD141</f>
        <v/>
      </c>
      <c r="C141" s="32">
        <f>'20250815_ETF_Options_Exhibits'!AE141</f>
        <v/>
      </c>
    </row>
    <row r="142">
      <c r="A142" s="1">
        <f>'20250815_ETF_Options_Exhibits'!AC142</f>
        <v/>
      </c>
      <c r="B142" s="32">
        <f>'20250815_ETF_Options_Exhibits'!AD142</f>
        <v/>
      </c>
      <c r="C142" s="32">
        <f>'20250815_ETF_Options_Exhibits'!AE142</f>
        <v/>
      </c>
    </row>
    <row r="143">
      <c r="A143" s="1">
        <f>'20250815_ETF_Options_Exhibits'!AC143</f>
        <v/>
      </c>
      <c r="B143" s="32">
        <f>'20250815_ETF_Options_Exhibits'!AD143</f>
        <v/>
      </c>
      <c r="C143" s="32">
        <f>'20250815_ETF_Options_Exhibits'!AE143</f>
        <v/>
      </c>
    </row>
    <row r="144">
      <c r="A144" s="1">
        <f>'20250815_ETF_Options_Exhibits'!AC144</f>
        <v/>
      </c>
      <c r="B144" s="32">
        <f>'20250815_ETF_Options_Exhibits'!AD144</f>
        <v/>
      </c>
      <c r="C144" s="32">
        <f>'20250815_ETF_Options_Exhibits'!AE144</f>
        <v/>
      </c>
    </row>
    <row r="145">
      <c r="A145" s="1">
        <f>'20250815_ETF_Options_Exhibits'!AC145</f>
        <v/>
      </c>
      <c r="B145" s="32">
        <f>'20250815_ETF_Options_Exhibits'!AD145</f>
        <v/>
      </c>
      <c r="C145" s="32">
        <f>'20250815_ETF_Options_Exhibits'!AE145</f>
        <v/>
      </c>
    </row>
    <row r="146">
      <c r="A146" s="1">
        <f>'20250815_ETF_Options_Exhibits'!AC146</f>
        <v/>
      </c>
      <c r="B146" s="32">
        <f>'20250815_ETF_Options_Exhibits'!AD146</f>
        <v/>
      </c>
      <c r="C146" s="32">
        <f>'20250815_ETF_Options_Exhibits'!AE146</f>
        <v/>
      </c>
    </row>
    <row r="147">
      <c r="A147" s="1">
        <f>'20250815_ETF_Options_Exhibits'!AC147</f>
        <v/>
      </c>
      <c r="B147" s="32">
        <f>'20250815_ETF_Options_Exhibits'!AD147</f>
        <v/>
      </c>
      <c r="C147" s="32">
        <f>'20250815_ETF_Options_Exhibits'!AE147</f>
        <v/>
      </c>
    </row>
    <row r="148">
      <c r="A148" s="1">
        <f>'20250815_ETF_Options_Exhibits'!AC148</f>
        <v/>
      </c>
      <c r="B148" s="32">
        <f>'20250815_ETF_Options_Exhibits'!AD148</f>
        <v/>
      </c>
      <c r="C148" s="32">
        <f>'20250815_ETF_Options_Exhibits'!AE148</f>
        <v/>
      </c>
    </row>
    <row r="149">
      <c r="A149" s="1">
        <f>'20250815_ETF_Options_Exhibits'!AC149</f>
        <v/>
      </c>
      <c r="B149" s="32">
        <f>'20250815_ETF_Options_Exhibits'!AD149</f>
        <v/>
      </c>
      <c r="C149" s="32">
        <f>'20250815_ETF_Options_Exhibits'!AE149</f>
        <v/>
      </c>
    </row>
    <row r="150">
      <c r="A150" s="1">
        <f>'20250815_ETF_Options_Exhibits'!AC150</f>
        <v/>
      </c>
      <c r="B150" s="32">
        <f>'20250815_ETF_Options_Exhibits'!AD150</f>
        <v/>
      </c>
      <c r="C150" s="32">
        <f>'20250815_ETF_Options_Exhibits'!AE150</f>
        <v/>
      </c>
    </row>
    <row r="151">
      <c r="A151" s="1">
        <f>'20250815_ETF_Options_Exhibits'!AC151</f>
        <v/>
      </c>
      <c r="B151" s="32">
        <f>'20250815_ETF_Options_Exhibits'!AD151</f>
        <v/>
      </c>
      <c r="C151" s="32">
        <f>'20250815_ETF_Options_Exhibits'!AE151</f>
        <v/>
      </c>
    </row>
    <row r="152">
      <c r="A152" s="1">
        <f>'20250815_ETF_Options_Exhibits'!AC152</f>
        <v/>
      </c>
      <c r="B152" s="32">
        <f>'20250815_ETF_Options_Exhibits'!AD152</f>
        <v/>
      </c>
      <c r="C152" s="32">
        <f>'20250815_ETF_Options_Exhibits'!AE152</f>
        <v/>
      </c>
    </row>
    <row r="153">
      <c r="A153" s="1">
        <f>'20250815_ETF_Options_Exhibits'!AC153</f>
        <v/>
      </c>
      <c r="B153" s="32">
        <f>'20250815_ETF_Options_Exhibits'!AD153</f>
        <v/>
      </c>
      <c r="C153" s="32">
        <f>'20250815_ETF_Options_Exhibits'!AE153</f>
        <v/>
      </c>
    </row>
    <row r="154">
      <c r="A154" s="1">
        <f>'20250815_ETF_Options_Exhibits'!AC154</f>
        <v/>
      </c>
      <c r="B154" s="32">
        <f>'20250815_ETF_Options_Exhibits'!AD154</f>
        <v/>
      </c>
      <c r="C154" s="32">
        <f>'20250815_ETF_Options_Exhibits'!AE154</f>
        <v/>
      </c>
    </row>
    <row r="155">
      <c r="A155" s="1">
        <f>'20250815_ETF_Options_Exhibits'!AC155</f>
        <v/>
      </c>
      <c r="B155" s="32">
        <f>'20250815_ETF_Options_Exhibits'!AD155</f>
        <v/>
      </c>
      <c r="C155" s="32">
        <f>'20250815_ETF_Options_Exhibits'!AE155</f>
        <v/>
      </c>
    </row>
    <row r="156">
      <c r="A156" s="1">
        <f>'20250815_ETF_Options_Exhibits'!AC156</f>
        <v/>
      </c>
      <c r="B156" s="32">
        <f>'20250815_ETF_Options_Exhibits'!AD156</f>
        <v/>
      </c>
      <c r="C156" s="32">
        <f>'20250815_ETF_Options_Exhibits'!AE156</f>
        <v/>
      </c>
    </row>
    <row r="157">
      <c r="A157" s="1">
        <f>'20250815_ETF_Options_Exhibits'!AC157</f>
        <v/>
      </c>
      <c r="B157" s="32">
        <f>'20250815_ETF_Options_Exhibits'!AD157</f>
        <v/>
      </c>
      <c r="C157" s="32">
        <f>'20250815_ETF_Options_Exhibits'!AE157</f>
        <v/>
      </c>
    </row>
    <row r="158">
      <c r="A158" s="1">
        <f>'20250815_ETF_Options_Exhibits'!AC158</f>
        <v/>
      </c>
      <c r="B158" s="32">
        <f>'20250815_ETF_Options_Exhibits'!AD158</f>
        <v/>
      </c>
      <c r="C158" s="32">
        <f>'20250815_ETF_Options_Exhibits'!AE158</f>
        <v/>
      </c>
    </row>
    <row r="159">
      <c r="A159" s="1">
        <f>'20250815_ETF_Options_Exhibits'!AC159</f>
        <v/>
      </c>
      <c r="B159" s="32">
        <f>'20250815_ETF_Options_Exhibits'!AD159</f>
        <v/>
      </c>
      <c r="C159" s="32">
        <f>'20250815_ETF_Options_Exhibits'!AE159</f>
        <v/>
      </c>
    </row>
    <row r="160">
      <c r="A160" s="1">
        <f>'20250815_ETF_Options_Exhibits'!AC160</f>
        <v/>
      </c>
      <c r="B160" s="32">
        <f>'20250815_ETF_Options_Exhibits'!AD160</f>
        <v/>
      </c>
      <c r="C160" s="32">
        <f>'20250815_ETF_Options_Exhibits'!AE160</f>
        <v/>
      </c>
    </row>
    <row r="161">
      <c r="A161" s="1">
        <f>'20250815_ETF_Options_Exhibits'!AC161</f>
        <v/>
      </c>
      <c r="B161" s="32">
        <f>'20250815_ETF_Options_Exhibits'!AD161</f>
        <v/>
      </c>
      <c r="C161" s="32">
        <f>'20250815_ETF_Options_Exhibits'!AE161</f>
        <v/>
      </c>
    </row>
    <row r="162">
      <c r="A162" s="1">
        <f>'20250815_ETF_Options_Exhibits'!AC162</f>
        <v/>
      </c>
      <c r="B162" s="32">
        <f>'20250815_ETF_Options_Exhibits'!AD162</f>
        <v/>
      </c>
      <c r="C162" s="32">
        <f>'20250815_ETF_Options_Exhibits'!AE162</f>
        <v/>
      </c>
    </row>
    <row r="163">
      <c r="A163" s="1">
        <f>'20250815_ETF_Options_Exhibits'!AC163</f>
        <v/>
      </c>
      <c r="B163" s="32">
        <f>'20250815_ETF_Options_Exhibits'!AD163</f>
        <v/>
      </c>
      <c r="C163" s="32">
        <f>'20250815_ETF_Options_Exhibits'!AE163</f>
        <v/>
      </c>
    </row>
    <row r="164">
      <c r="A164" s="1">
        <f>'20250815_ETF_Options_Exhibits'!AC164</f>
        <v/>
      </c>
      <c r="B164" s="32">
        <f>'20250815_ETF_Options_Exhibits'!AD164</f>
        <v/>
      </c>
      <c r="C164" s="32">
        <f>'20250815_ETF_Options_Exhibits'!AE164</f>
        <v/>
      </c>
    </row>
    <row r="165">
      <c r="A165" s="1">
        <f>'20250815_ETF_Options_Exhibits'!AC165</f>
        <v/>
      </c>
      <c r="B165" s="32">
        <f>'20250815_ETF_Options_Exhibits'!AD165</f>
        <v/>
      </c>
      <c r="C165" s="32">
        <f>'20250815_ETF_Options_Exhibits'!AE165</f>
        <v/>
      </c>
    </row>
    <row r="166">
      <c r="A166" s="1">
        <f>'20250815_ETF_Options_Exhibits'!AC166</f>
        <v/>
      </c>
      <c r="B166" s="32">
        <f>'20250815_ETF_Options_Exhibits'!AD166</f>
        <v/>
      </c>
      <c r="C166" s="32">
        <f>'20250815_ETF_Options_Exhibits'!AE166</f>
        <v/>
      </c>
    </row>
    <row r="167">
      <c r="A167" s="1">
        <f>'20250815_ETF_Options_Exhibits'!AC167</f>
        <v/>
      </c>
      <c r="B167" s="32">
        <f>'20250815_ETF_Options_Exhibits'!AD167</f>
        <v/>
      </c>
      <c r="C167" s="32">
        <f>'20250815_ETF_Options_Exhibits'!AE167</f>
        <v/>
      </c>
    </row>
    <row r="168">
      <c r="A168" s="1">
        <f>'20250815_ETF_Options_Exhibits'!AC168</f>
        <v/>
      </c>
      <c r="B168" s="32">
        <f>'20250815_ETF_Options_Exhibits'!AD168</f>
        <v/>
      </c>
      <c r="C168" s="32">
        <f>'20250815_ETF_Options_Exhibits'!AE168</f>
        <v/>
      </c>
    </row>
    <row r="169">
      <c r="A169" s="1">
        <f>'20250815_ETF_Options_Exhibits'!AC169</f>
        <v/>
      </c>
      <c r="B169" s="32">
        <f>'20250815_ETF_Options_Exhibits'!AD169</f>
        <v/>
      </c>
      <c r="C169" s="32">
        <f>'20250815_ETF_Options_Exhibits'!AE169</f>
        <v/>
      </c>
    </row>
    <row r="170">
      <c r="A170" s="1">
        <f>'20250815_ETF_Options_Exhibits'!AC170</f>
        <v/>
      </c>
      <c r="B170" s="32">
        <f>'20250815_ETF_Options_Exhibits'!AD170</f>
        <v/>
      </c>
      <c r="C170" s="32">
        <f>'20250815_ETF_Options_Exhibits'!AE170</f>
        <v/>
      </c>
    </row>
    <row r="171">
      <c r="A171" s="1">
        <f>'20250815_ETF_Options_Exhibits'!AC171</f>
        <v/>
      </c>
      <c r="B171" s="32">
        <f>'20250815_ETF_Options_Exhibits'!AD171</f>
        <v/>
      </c>
      <c r="C171" s="32">
        <f>'20250815_ETF_Options_Exhibits'!AE171</f>
        <v/>
      </c>
    </row>
    <row r="172">
      <c r="A172" s="1">
        <f>'20250815_ETF_Options_Exhibits'!AC172</f>
        <v/>
      </c>
      <c r="B172" s="32">
        <f>'20250815_ETF_Options_Exhibits'!AD172</f>
        <v/>
      </c>
      <c r="C172" s="32">
        <f>'20250815_ETF_Options_Exhibits'!AE172</f>
        <v/>
      </c>
    </row>
    <row r="173">
      <c r="A173" s="1">
        <f>'20250815_ETF_Options_Exhibits'!AC173</f>
        <v/>
      </c>
      <c r="B173" s="32">
        <f>'20250815_ETF_Options_Exhibits'!AD173</f>
        <v/>
      </c>
      <c r="C173" s="32">
        <f>'20250815_ETF_Options_Exhibits'!AE173</f>
        <v/>
      </c>
    </row>
    <row r="174">
      <c r="A174" s="1">
        <f>'20250815_ETF_Options_Exhibits'!AC174</f>
        <v/>
      </c>
      <c r="B174" s="32">
        <f>'20250815_ETF_Options_Exhibits'!AD174</f>
        <v/>
      </c>
      <c r="C174" s="32">
        <f>'20250815_ETF_Options_Exhibits'!AE174</f>
        <v/>
      </c>
    </row>
    <row r="175">
      <c r="A175" s="1">
        <f>'20250815_ETF_Options_Exhibits'!AC175</f>
        <v/>
      </c>
      <c r="B175" s="32">
        <f>'20250815_ETF_Options_Exhibits'!AD175</f>
        <v/>
      </c>
      <c r="C175" s="32">
        <f>'20250815_ETF_Options_Exhibits'!AE175</f>
        <v/>
      </c>
    </row>
    <row r="176">
      <c r="A176" s="1">
        <f>'20250815_ETF_Options_Exhibits'!AC176</f>
        <v/>
      </c>
      <c r="B176" s="32">
        <f>'20250815_ETF_Options_Exhibits'!AD176</f>
        <v/>
      </c>
      <c r="C176" s="32">
        <f>'20250815_ETF_Options_Exhibits'!AE176</f>
        <v/>
      </c>
    </row>
    <row r="177">
      <c r="A177" s="1">
        <f>'20250815_ETF_Options_Exhibits'!AC177</f>
        <v/>
      </c>
      <c r="B177" s="32">
        <f>'20250815_ETF_Options_Exhibits'!AD177</f>
        <v/>
      </c>
      <c r="C177" s="32">
        <f>'20250815_ETF_Options_Exhibits'!AE177</f>
        <v/>
      </c>
    </row>
    <row r="178">
      <c r="A178" s="1">
        <f>'20250815_ETF_Options_Exhibits'!AC178</f>
        <v/>
      </c>
      <c r="B178" s="32">
        <f>'20250815_ETF_Options_Exhibits'!AD178</f>
        <v/>
      </c>
      <c r="C178" s="32">
        <f>'20250815_ETF_Options_Exhibits'!AE178</f>
        <v/>
      </c>
    </row>
    <row r="179">
      <c r="A179" s="1">
        <f>'20250815_ETF_Options_Exhibits'!AC179</f>
        <v/>
      </c>
      <c r="B179" s="32">
        <f>'20250815_ETF_Options_Exhibits'!AD179</f>
        <v/>
      </c>
      <c r="C179" s="32">
        <f>'20250815_ETF_Options_Exhibits'!AE179</f>
        <v/>
      </c>
    </row>
    <row r="180">
      <c r="A180" s="1">
        <f>'20250815_ETF_Options_Exhibits'!AC180</f>
        <v/>
      </c>
      <c r="B180" s="32">
        <f>'20250815_ETF_Options_Exhibits'!AD180</f>
        <v/>
      </c>
      <c r="C180" s="32">
        <f>'20250815_ETF_Options_Exhibits'!AE180</f>
        <v/>
      </c>
    </row>
    <row r="181">
      <c r="A181" s="1">
        <f>'20250815_ETF_Options_Exhibits'!AC181</f>
        <v/>
      </c>
      <c r="B181" s="32">
        <f>'20250815_ETF_Options_Exhibits'!AD181</f>
        <v/>
      </c>
      <c r="C181" s="32">
        <f>'20250815_ETF_Options_Exhibits'!AE181</f>
        <v/>
      </c>
    </row>
    <row r="182">
      <c r="A182" s="1">
        <f>'20250815_ETF_Options_Exhibits'!AC182</f>
        <v/>
      </c>
      <c r="B182" s="32">
        <f>'20250815_ETF_Options_Exhibits'!AD182</f>
        <v/>
      </c>
      <c r="C182" s="32">
        <f>'20250815_ETF_Options_Exhibits'!AE182</f>
        <v/>
      </c>
    </row>
    <row r="183">
      <c r="A183" s="1">
        <f>'20250815_ETF_Options_Exhibits'!AC183</f>
        <v/>
      </c>
      <c r="B183" s="32">
        <f>'20250815_ETF_Options_Exhibits'!AD183</f>
        <v/>
      </c>
      <c r="C183" s="32">
        <f>'20250815_ETF_Options_Exhibits'!AE183</f>
        <v/>
      </c>
    </row>
    <row r="184">
      <c r="A184" s="1">
        <f>'20250815_ETF_Options_Exhibits'!AC184</f>
        <v/>
      </c>
      <c r="B184" s="32">
        <f>'20250815_ETF_Options_Exhibits'!AD184</f>
        <v/>
      </c>
      <c r="C184" s="32">
        <f>'20250815_ETF_Options_Exhibits'!AE184</f>
        <v/>
      </c>
    </row>
    <row r="185">
      <c r="A185" s="1">
        <f>'20250815_ETF_Options_Exhibits'!AC185</f>
        <v/>
      </c>
      <c r="B185" s="32">
        <f>'20250815_ETF_Options_Exhibits'!AD185</f>
        <v/>
      </c>
      <c r="C185" s="32">
        <f>'20250815_ETF_Options_Exhibits'!AE185</f>
        <v/>
      </c>
    </row>
    <row r="186">
      <c r="A186" s="1">
        <f>'20250815_ETF_Options_Exhibits'!AC186</f>
        <v/>
      </c>
      <c r="B186" s="32">
        <f>'20250815_ETF_Options_Exhibits'!AD186</f>
        <v/>
      </c>
      <c r="C186" s="32">
        <f>'20250815_ETF_Options_Exhibits'!AE186</f>
        <v/>
      </c>
    </row>
    <row r="187">
      <c r="A187" s="1">
        <f>'20250815_ETF_Options_Exhibits'!AC187</f>
        <v/>
      </c>
      <c r="B187" s="32">
        <f>'20250815_ETF_Options_Exhibits'!AD187</f>
        <v/>
      </c>
      <c r="C187" s="32">
        <f>'20250815_ETF_Options_Exhibits'!AE187</f>
        <v/>
      </c>
    </row>
    <row r="188">
      <c r="A188" s="1">
        <f>'20250815_ETF_Options_Exhibits'!AC188</f>
        <v/>
      </c>
      <c r="B188" s="32">
        <f>'20250815_ETF_Options_Exhibits'!AD188</f>
        <v/>
      </c>
      <c r="C188" s="32">
        <f>'20250815_ETF_Options_Exhibits'!AE188</f>
        <v/>
      </c>
    </row>
    <row r="189">
      <c r="A189" s="1">
        <f>'20250815_ETF_Options_Exhibits'!AC189</f>
        <v/>
      </c>
      <c r="B189" s="32">
        <f>'20250815_ETF_Options_Exhibits'!AD189</f>
        <v/>
      </c>
      <c r="C189" s="32">
        <f>'20250815_ETF_Options_Exhibits'!AE189</f>
        <v/>
      </c>
    </row>
    <row r="190">
      <c r="A190" s="1">
        <f>'20250815_ETF_Options_Exhibits'!AC190</f>
        <v/>
      </c>
      <c r="B190" s="32">
        <f>'20250815_ETF_Options_Exhibits'!AD190</f>
        <v/>
      </c>
      <c r="C190" s="32">
        <f>'20250815_ETF_Options_Exhibits'!AE190</f>
        <v/>
      </c>
    </row>
    <row r="191">
      <c r="A191" s="1">
        <f>'20250815_ETF_Options_Exhibits'!AC191</f>
        <v/>
      </c>
      <c r="B191" s="32">
        <f>'20250815_ETF_Options_Exhibits'!AD191</f>
        <v/>
      </c>
      <c r="C191" s="32">
        <f>'20250815_ETF_Options_Exhibits'!AE191</f>
        <v/>
      </c>
    </row>
    <row r="192">
      <c r="A192" s="1">
        <f>'20250815_ETF_Options_Exhibits'!AC192</f>
        <v/>
      </c>
      <c r="B192" s="32">
        <f>'20250815_ETF_Options_Exhibits'!AD192</f>
        <v/>
      </c>
      <c r="C192" s="32">
        <f>'20250815_ETF_Options_Exhibits'!AE192</f>
        <v/>
      </c>
    </row>
    <row r="193">
      <c r="A193" s="1">
        <f>'20250815_ETF_Options_Exhibits'!AC193</f>
        <v/>
      </c>
      <c r="B193" s="32">
        <f>'20250815_ETF_Options_Exhibits'!AD193</f>
        <v/>
      </c>
      <c r="C193" s="32">
        <f>'20250815_ETF_Options_Exhibits'!AE193</f>
        <v/>
      </c>
    </row>
    <row r="194">
      <c r="A194" s="1">
        <f>'20250815_ETF_Options_Exhibits'!AC194</f>
        <v/>
      </c>
      <c r="B194" s="32">
        <f>'20250815_ETF_Options_Exhibits'!AD194</f>
        <v/>
      </c>
      <c r="C194" s="32">
        <f>'20250815_ETF_Options_Exhibits'!AE194</f>
        <v/>
      </c>
    </row>
    <row r="195">
      <c r="A195" s="1">
        <f>'20250815_ETF_Options_Exhibits'!AC195</f>
        <v/>
      </c>
      <c r="B195" s="32">
        <f>'20250815_ETF_Options_Exhibits'!AD195</f>
        <v/>
      </c>
      <c r="C195" s="32">
        <f>'20250815_ETF_Options_Exhibits'!AE195</f>
        <v/>
      </c>
    </row>
    <row r="196">
      <c r="A196" s="1">
        <f>'20250815_ETF_Options_Exhibits'!AC196</f>
        <v/>
      </c>
      <c r="B196" s="32">
        <f>'20250815_ETF_Options_Exhibits'!AD196</f>
        <v/>
      </c>
      <c r="C196" s="32">
        <f>'20250815_ETF_Options_Exhibits'!AE196</f>
        <v/>
      </c>
    </row>
    <row r="197">
      <c r="A197" s="1">
        <f>'20250815_ETF_Options_Exhibits'!AC197</f>
        <v/>
      </c>
      <c r="B197" s="32">
        <f>'20250815_ETF_Options_Exhibits'!AD197</f>
        <v/>
      </c>
      <c r="C197" s="32">
        <f>'20250815_ETF_Options_Exhibits'!AE197</f>
        <v/>
      </c>
    </row>
    <row r="198">
      <c r="A198" s="1">
        <f>'20250815_ETF_Options_Exhibits'!AC198</f>
        <v/>
      </c>
      <c r="B198" s="32">
        <f>'20250815_ETF_Options_Exhibits'!AD198</f>
        <v/>
      </c>
      <c r="C198" s="32">
        <f>'20250815_ETF_Options_Exhibits'!AE198</f>
        <v/>
      </c>
    </row>
    <row r="199">
      <c r="A199" s="1">
        <f>'20250815_ETF_Options_Exhibits'!AC199</f>
        <v/>
      </c>
      <c r="B199" s="32">
        <f>'20250815_ETF_Options_Exhibits'!AD199</f>
        <v/>
      </c>
      <c r="C199" s="32">
        <f>'20250815_ETF_Options_Exhibits'!AE199</f>
        <v/>
      </c>
    </row>
    <row r="200">
      <c r="A200" s="1">
        <f>'20250815_ETF_Options_Exhibits'!AC200</f>
        <v/>
      </c>
      <c r="B200" s="32">
        <f>'20250815_ETF_Options_Exhibits'!AD200</f>
        <v/>
      </c>
      <c r="C200" s="32">
        <f>'20250815_ETF_Options_Exhibits'!AE200</f>
        <v/>
      </c>
    </row>
    <row r="201">
      <c r="A201" s="1">
        <f>'20250815_ETF_Options_Exhibits'!AC201</f>
        <v/>
      </c>
      <c r="B201" s="32">
        <f>'20250815_ETF_Options_Exhibits'!AD201</f>
        <v/>
      </c>
      <c r="C201" s="32">
        <f>'20250815_ETF_Options_Exhibits'!AE201</f>
        <v/>
      </c>
    </row>
    <row r="202">
      <c r="A202" s="1">
        <f>'20250815_ETF_Options_Exhibits'!AC202</f>
        <v/>
      </c>
      <c r="B202" s="32">
        <f>'20250815_ETF_Options_Exhibits'!AD202</f>
        <v/>
      </c>
      <c r="C202" s="32">
        <f>'20250815_ETF_Options_Exhibits'!AE202</f>
        <v/>
      </c>
    </row>
    <row r="203">
      <c r="A203" s="1">
        <f>'20250815_ETF_Options_Exhibits'!AC203</f>
        <v/>
      </c>
      <c r="B203" s="32">
        <f>'20250815_ETF_Options_Exhibits'!AD203</f>
        <v/>
      </c>
      <c r="C203" s="32">
        <f>'20250815_ETF_Options_Exhibits'!AE203</f>
        <v/>
      </c>
    </row>
    <row r="204">
      <c r="A204" s="1">
        <f>'20250815_ETF_Options_Exhibits'!AC204</f>
        <v/>
      </c>
      <c r="B204" s="32">
        <f>'20250815_ETF_Options_Exhibits'!AD204</f>
        <v/>
      </c>
      <c r="C204" s="32">
        <f>'20250815_ETF_Options_Exhibits'!AE204</f>
        <v/>
      </c>
    </row>
    <row r="205">
      <c r="A205" s="1">
        <f>'20250815_ETF_Options_Exhibits'!AC205</f>
        <v/>
      </c>
      <c r="B205" s="32">
        <f>'20250815_ETF_Options_Exhibits'!AD205</f>
        <v/>
      </c>
      <c r="C205" s="32">
        <f>'20250815_ETF_Options_Exhibits'!AE205</f>
        <v/>
      </c>
    </row>
    <row r="206">
      <c r="A206" s="1">
        <f>'20250815_ETF_Options_Exhibits'!AC206</f>
        <v/>
      </c>
      <c r="B206" s="32">
        <f>'20250815_ETF_Options_Exhibits'!AD206</f>
        <v/>
      </c>
      <c r="C206" s="32">
        <f>'20250815_ETF_Options_Exhibits'!AE206</f>
        <v/>
      </c>
    </row>
    <row r="207">
      <c r="A207" s="1">
        <f>'20250815_ETF_Options_Exhibits'!AC207</f>
        <v/>
      </c>
      <c r="B207" s="32">
        <f>'20250815_ETF_Options_Exhibits'!AD207</f>
        <v/>
      </c>
      <c r="C207" s="32">
        <f>'20250815_ETF_Options_Exhibits'!AE207</f>
        <v/>
      </c>
    </row>
    <row r="208">
      <c r="A208" s="1">
        <f>'20250815_ETF_Options_Exhibits'!AC208</f>
        <v/>
      </c>
      <c r="B208" s="32">
        <f>'20250815_ETF_Options_Exhibits'!AD208</f>
        <v/>
      </c>
      <c r="C208" s="32">
        <f>'20250815_ETF_Options_Exhibits'!AE208</f>
        <v/>
      </c>
    </row>
    <row r="209">
      <c r="A209" s="1">
        <f>'20250815_ETF_Options_Exhibits'!AC209</f>
        <v/>
      </c>
      <c r="B209" s="32">
        <f>'20250815_ETF_Options_Exhibits'!AD209</f>
        <v/>
      </c>
      <c r="C209" s="32">
        <f>'20250815_ETF_Options_Exhibits'!AE209</f>
        <v/>
      </c>
    </row>
    <row r="210">
      <c r="A210" s="1">
        <f>'20250815_ETF_Options_Exhibits'!AC210</f>
        <v/>
      </c>
      <c r="B210" s="32">
        <f>'20250815_ETF_Options_Exhibits'!AD210</f>
        <v/>
      </c>
      <c r="C210" s="32">
        <f>'20250815_ETF_Options_Exhibits'!AE210</f>
        <v/>
      </c>
    </row>
    <row r="211">
      <c r="A211" s="1">
        <f>'20250815_ETF_Options_Exhibits'!AC211</f>
        <v/>
      </c>
      <c r="B211" s="32">
        <f>'20250815_ETF_Options_Exhibits'!AD211</f>
        <v/>
      </c>
      <c r="C211" s="32">
        <f>'20250815_ETF_Options_Exhibits'!AE211</f>
        <v/>
      </c>
    </row>
    <row r="212">
      <c r="A212" s="1">
        <f>'20250815_ETF_Options_Exhibits'!AC212</f>
        <v/>
      </c>
      <c r="B212" s="32">
        <f>'20250815_ETF_Options_Exhibits'!AD212</f>
        <v/>
      </c>
      <c r="C212" s="32">
        <f>'20250815_ETF_Options_Exhibits'!AE212</f>
        <v/>
      </c>
    </row>
    <row r="213">
      <c r="A213" s="1">
        <f>'20250815_ETF_Options_Exhibits'!AC213</f>
        <v/>
      </c>
      <c r="B213" s="32">
        <f>'20250815_ETF_Options_Exhibits'!AD213</f>
        <v/>
      </c>
      <c r="C213" s="32">
        <f>'20250815_ETF_Options_Exhibits'!AE213</f>
        <v/>
      </c>
    </row>
    <row r="214">
      <c r="A214" s="1">
        <f>'20250815_ETF_Options_Exhibits'!AC214</f>
        <v/>
      </c>
      <c r="B214" s="32">
        <f>'20250815_ETF_Options_Exhibits'!AD214</f>
        <v/>
      </c>
      <c r="C214" s="32">
        <f>'20250815_ETF_Options_Exhibits'!AE214</f>
        <v/>
      </c>
    </row>
    <row r="215">
      <c r="A215" s="1">
        <f>'20250815_ETF_Options_Exhibits'!AC215</f>
        <v/>
      </c>
      <c r="B215" s="32">
        <f>'20250815_ETF_Options_Exhibits'!AD215</f>
        <v/>
      </c>
      <c r="C215" s="32">
        <f>'20250815_ETF_Options_Exhibits'!AE215</f>
        <v/>
      </c>
    </row>
    <row r="216">
      <c r="A216" s="1">
        <f>'20250815_ETF_Options_Exhibits'!AC216</f>
        <v/>
      </c>
      <c r="B216" s="32">
        <f>'20250815_ETF_Options_Exhibits'!AD216</f>
        <v/>
      </c>
      <c r="C216" s="32">
        <f>'20250815_ETF_Options_Exhibits'!AE216</f>
        <v/>
      </c>
    </row>
    <row r="217">
      <c r="A217" s="1">
        <f>'20250815_ETF_Options_Exhibits'!AC217</f>
        <v/>
      </c>
      <c r="B217" s="32">
        <f>'20250815_ETF_Options_Exhibits'!AD217</f>
        <v/>
      </c>
      <c r="C217" s="32">
        <f>'20250815_ETF_Options_Exhibits'!AE217</f>
        <v/>
      </c>
    </row>
    <row r="218">
      <c r="A218" s="1">
        <f>'20250815_ETF_Options_Exhibits'!AC218</f>
        <v/>
      </c>
      <c r="B218" s="32">
        <f>'20250815_ETF_Options_Exhibits'!AD218</f>
        <v/>
      </c>
      <c r="C218" s="32">
        <f>'20250815_ETF_Options_Exhibits'!AE218</f>
        <v/>
      </c>
    </row>
    <row r="219">
      <c r="A219" s="1">
        <f>'20250815_ETF_Options_Exhibits'!AC219</f>
        <v/>
      </c>
      <c r="B219" s="32">
        <f>'20250815_ETF_Options_Exhibits'!AD219</f>
        <v/>
      </c>
      <c r="C219" s="32">
        <f>'20250815_ETF_Options_Exhibits'!AE219</f>
        <v/>
      </c>
    </row>
    <row r="220">
      <c r="A220" s="1">
        <f>'20250815_ETF_Options_Exhibits'!AC220</f>
        <v/>
      </c>
      <c r="B220" s="32">
        <f>'20250815_ETF_Options_Exhibits'!AD220</f>
        <v/>
      </c>
      <c r="C220" s="32">
        <f>'20250815_ETF_Options_Exhibits'!AE220</f>
        <v/>
      </c>
    </row>
    <row r="221">
      <c r="A221" s="1">
        <f>'20250815_ETF_Options_Exhibits'!AC221</f>
        <v/>
      </c>
      <c r="B221" s="32">
        <f>'20250815_ETF_Options_Exhibits'!AD221</f>
        <v/>
      </c>
      <c r="C221" s="32">
        <f>'20250815_ETF_Options_Exhibits'!AE221</f>
        <v/>
      </c>
    </row>
    <row r="222">
      <c r="A222" s="1">
        <f>'20250815_ETF_Options_Exhibits'!AC222</f>
        <v/>
      </c>
      <c r="B222" s="32">
        <f>'20250815_ETF_Options_Exhibits'!AD222</f>
        <v/>
      </c>
      <c r="C222" s="32">
        <f>'20250815_ETF_Options_Exhibits'!AE222</f>
        <v/>
      </c>
    </row>
    <row r="223">
      <c r="A223" s="1">
        <f>'20250815_ETF_Options_Exhibits'!AC223</f>
        <v/>
      </c>
      <c r="B223" s="32">
        <f>'20250815_ETF_Options_Exhibits'!AD223</f>
        <v/>
      </c>
      <c r="C223" s="32">
        <f>'20250815_ETF_Options_Exhibits'!AE223</f>
        <v/>
      </c>
    </row>
    <row r="224">
      <c r="A224" s="1">
        <f>'20250815_ETF_Options_Exhibits'!AC224</f>
        <v/>
      </c>
      <c r="B224" s="32">
        <f>'20250815_ETF_Options_Exhibits'!AD224</f>
        <v/>
      </c>
      <c r="C224" s="32">
        <f>'20250815_ETF_Options_Exhibits'!AE224</f>
        <v/>
      </c>
    </row>
    <row r="225">
      <c r="A225" s="1">
        <f>'20250815_ETF_Options_Exhibits'!AC225</f>
        <v/>
      </c>
      <c r="B225" s="32">
        <f>'20250815_ETF_Options_Exhibits'!AD225</f>
        <v/>
      </c>
      <c r="C225" s="32">
        <f>'20250815_ETF_Options_Exhibits'!AE225</f>
        <v/>
      </c>
    </row>
    <row r="226">
      <c r="A226" s="1">
        <f>'20250815_ETF_Options_Exhibits'!AC226</f>
        <v/>
      </c>
      <c r="B226" s="32">
        <f>'20250815_ETF_Options_Exhibits'!AD226</f>
        <v/>
      </c>
      <c r="C226" s="32">
        <f>'20250815_ETF_Options_Exhibits'!AE226</f>
        <v/>
      </c>
    </row>
    <row r="227">
      <c r="A227" s="1">
        <f>'20250815_ETF_Options_Exhibits'!AC227</f>
        <v/>
      </c>
      <c r="B227" s="32">
        <f>'20250815_ETF_Options_Exhibits'!AD227</f>
        <v/>
      </c>
      <c r="C227" s="32">
        <f>'20250815_ETF_Options_Exhibits'!AE227</f>
        <v/>
      </c>
    </row>
    <row r="228">
      <c r="A228" s="1">
        <f>'20250815_ETF_Options_Exhibits'!AC228</f>
        <v/>
      </c>
      <c r="B228" s="32">
        <f>'20250815_ETF_Options_Exhibits'!AD228</f>
        <v/>
      </c>
      <c r="C228" s="32">
        <f>'20250815_ETF_Options_Exhibits'!AE228</f>
        <v/>
      </c>
    </row>
    <row r="229">
      <c r="A229" s="1">
        <f>'20250815_ETF_Options_Exhibits'!AC229</f>
        <v/>
      </c>
      <c r="B229" s="32">
        <f>'20250815_ETF_Options_Exhibits'!AD229</f>
        <v/>
      </c>
      <c r="C229" s="32">
        <f>'20250815_ETF_Options_Exhibits'!AE229</f>
        <v/>
      </c>
    </row>
    <row r="230">
      <c r="A230" s="1">
        <f>'20250815_ETF_Options_Exhibits'!AC230</f>
        <v/>
      </c>
      <c r="B230" s="32">
        <f>'20250815_ETF_Options_Exhibits'!AD230</f>
        <v/>
      </c>
      <c r="C230" s="32">
        <f>'20250815_ETF_Options_Exhibits'!AE230</f>
        <v/>
      </c>
    </row>
    <row r="231">
      <c r="A231" s="1">
        <f>'20250815_ETF_Options_Exhibits'!AC231</f>
        <v/>
      </c>
      <c r="B231" s="32">
        <f>'20250815_ETF_Options_Exhibits'!AD231</f>
        <v/>
      </c>
      <c r="C231" s="32">
        <f>'20250815_ETF_Options_Exhibits'!AE231</f>
        <v/>
      </c>
    </row>
    <row r="232">
      <c r="A232" s="1">
        <f>'20250815_ETF_Options_Exhibits'!AC232</f>
        <v/>
      </c>
      <c r="B232" s="32">
        <f>'20250815_ETF_Options_Exhibits'!AD232</f>
        <v/>
      </c>
      <c r="C232" s="32">
        <f>'20250815_ETF_Options_Exhibits'!AE232</f>
        <v/>
      </c>
    </row>
    <row r="233">
      <c r="A233" s="1">
        <f>'20250815_ETF_Options_Exhibits'!AC233</f>
        <v/>
      </c>
      <c r="B233" s="32">
        <f>'20250815_ETF_Options_Exhibits'!AD233</f>
        <v/>
      </c>
      <c r="C233" s="32">
        <f>'20250815_ETF_Options_Exhibits'!AE233</f>
        <v/>
      </c>
    </row>
    <row r="234">
      <c r="A234" s="1">
        <f>'20250815_ETF_Options_Exhibits'!AC234</f>
        <v/>
      </c>
      <c r="B234" s="32">
        <f>'20250815_ETF_Options_Exhibits'!AD234</f>
        <v/>
      </c>
      <c r="C234" s="32">
        <f>'20250815_ETF_Options_Exhibits'!AE234</f>
        <v/>
      </c>
    </row>
    <row r="235">
      <c r="A235" s="1">
        <f>'20250815_ETF_Options_Exhibits'!AC235</f>
        <v/>
      </c>
      <c r="B235" s="32">
        <f>'20250815_ETF_Options_Exhibits'!AD235</f>
        <v/>
      </c>
      <c r="C235" s="32">
        <f>'20250815_ETF_Options_Exhibits'!AE235</f>
        <v/>
      </c>
    </row>
    <row r="236">
      <c r="A236" s="1">
        <f>'20250815_ETF_Options_Exhibits'!AC236</f>
        <v/>
      </c>
      <c r="B236" s="32">
        <f>'20250815_ETF_Options_Exhibits'!AD236</f>
        <v/>
      </c>
      <c r="C236" s="32">
        <f>'20250815_ETF_Options_Exhibits'!AE236</f>
        <v/>
      </c>
    </row>
    <row r="237">
      <c r="A237" s="1">
        <f>'20250815_ETF_Options_Exhibits'!AC237</f>
        <v/>
      </c>
      <c r="B237" s="32">
        <f>'20250815_ETF_Options_Exhibits'!AD237</f>
        <v/>
      </c>
      <c r="C237" s="32">
        <f>'20250815_ETF_Options_Exhibits'!AE237</f>
        <v/>
      </c>
    </row>
    <row r="238">
      <c r="A238" s="1">
        <f>'20250815_ETF_Options_Exhibits'!AC238</f>
        <v/>
      </c>
      <c r="B238" s="32">
        <f>'20250815_ETF_Options_Exhibits'!AD238</f>
        <v/>
      </c>
      <c r="C238" s="32">
        <f>'20250815_ETF_Options_Exhibits'!AE238</f>
        <v/>
      </c>
    </row>
    <row r="239">
      <c r="A239" s="1">
        <f>'20250815_ETF_Options_Exhibits'!AC239</f>
        <v/>
      </c>
      <c r="B239" s="32">
        <f>'20250815_ETF_Options_Exhibits'!AD239</f>
        <v/>
      </c>
      <c r="C239" s="32">
        <f>'20250815_ETF_Options_Exhibits'!AE239</f>
        <v/>
      </c>
    </row>
    <row r="240">
      <c r="A240" s="1">
        <f>'20250815_ETF_Options_Exhibits'!AC240</f>
        <v/>
      </c>
      <c r="B240" s="32">
        <f>'20250815_ETF_Options_Exhibits'!AD240</f>
        <v/>
      </c>
      <c r="C240" s="32">
        <f>'20250815_ETF_Options_Exhibits'!AE240</f>
        <v/>
      </c>
    </row>
    <row r="241">
      <c r="A241" s="1">
        <f>'20250815_ETF_Options_Exhibits'!AC241</f>
        <v/>
      </c>
      <c r="B241" s="32">
        <f>'20250815_ETF_Options_Exhibits'!AD241</f>
        <v/>
      </c>
      <c r="C241" s="32">
        <f>'20250815_ETF_Options_Exhibits'!AE241</f>
        <v/>
      </c>
    </row>
    <row r="242">
      <c r="A242" s="1">
        <f>'20250815_ETF_Options_Exhibits'!AC242</f>
        <v/>
      </c>
      <c r="B242" s="32">
        <f>'20250815_ETF_Options_Exhibits'!AD242</f>
        <v/>
      </c>
      <c r="C242" s="32">
        <f>'20250815_ETF_Options_Exhibits'!AE242</f>
        <v/>
      </c>
    </row>
    <row r="243">
      <c r="A243" s="1">
        <f>'20250815_ETF_Options_Exhibits'!AC243</f>
        <v/>
      </c>
      <c r="B243" s="32">
        <f>'20250815_ETF_Options_Exhibits'!AD243</f>
        <v/>
      </c>
      <c r="C243" s="32">
        <f>'20250815_ETF_Options_Exhibits'!AE243</f>
        <v/>
      </c>
    </row>
    <row r="244">
      <c r="A244" s="1">
        <f>'20250815_ETF_Options_Exhibits'!AC244</f>
        <v/>
      </c>
      <c r="B244" s="32">
        <f>'20250815_ETF_Options_Exhibits'!AD244</f>
        <v/>
      </c>
      <c r="C244" s="32">
        <f>'20250815_ETF_Options_Exhibits'!AE244</f>
        <v/>
      </c>
    </row>
    <row r="245">
      <c r="A245" s="1">
        <f>'20250815_ETF_Options_Exhibits'!AC245</f>
        <v/>
      </c>
      <c r="B245" s="32">
        <f>'20250815_ETF_Options_Exhibits'!AD245</f>
        <v/>
      </c>
      <c r="C245" s="32">
        <f>'20250815_ETF_Options_Exhibits'!AE245</f>
        <v/>
      </c>
    </row>
    <row r="246">
      <c r="A246" s="1">
        <f>'20250815_ETF_Options_Exhibits'!AC246</f>
        <v/>
      </c>
      <c r="B246" s="32">
        <f>'20250815_ETF_Options_Exhibits'!AD246</f>
        <v/>
      </c>
      <c r="C246" s="32">
        <f>'20250815_ETF_Options_Exhibits'!AE246</f>
        <v/>
      </c>
    </row>
    <row r="247">
      <c r="A247" s="1">
        <f>'20250815_ETF_Options_Exhibits'!AC247</f>
        <v/>
      </c>
      <c r="B247" s="32">
        <f>'20250815_ETF_Options_Exhibits'!AD247</f>
        <v/>
      </c>
      <c r="C247" s="32">
        <f>'20250815_ETF_Options_Exhibits'!AE247</f>
        <v/>
      </c>
    </row>
    <row r="248">
      <c r="A248" s="1">
        <f>'20250815_ETF_Options_Exhibits'!AC248</f>
        <v/>
      </c>
      <c r="B248" s="32">
        <f>'20250815_ETF_Options_Exhibits'!AD248</f>
        <v/>
      </c>
      <c r="C248" s="32">
        <f>'20250815_ETF_Options_Exhibits'!AE248</f>
        <v/>
      </c>
    </row>
    <row r="249">
      <c r="A249" s="1">
        <f>'20250815_ETF_Options_Exhibits'!AC249</f>
        <v/>
      </c>
      <c r="B249" s="32">
        <f>'20250815_ETF_Options_Exhibits'!AD249</f>
        <v/>
      </c>
      <c r="C249" s="32">
        <f>'20250815_ETF_Options_Exhibits'!AE249</f>
        <v/>
      </c>
    </row>
    <row r="250">
      <c r="A250" s="1">
        <f>'20250815_ETF_Options_Exhibits'!AC250</f>
        <v/>
      </c>
      <c r="B250" s="32">
        <f>'20250815_ETF_Options_Exhibits'!AD250</f>
        <v/>
      </c>
      <c r="C250" s="32">
        <f>'20250815_ETF_Options_Exhibits'!AE250</f>
        <v/>
      </c>
    </row>
    <row r="251">
      <c r="A251" s="1">
        <f>'20250815_ETF_Options_Exhibits'!AC251</f>
        <v/>
      </c>
      <c r="B251" s="32">
        <f>'20250815_ETF_Options_Exhibits'!AD251</f>
        <v/>
      </c>
      <c r="C251" s="32">
        <f>'20250815_ETF_Options_Exhibits'!AE251</f>
        <v/>
      </c>
    </row>
    <row r="252">
      <c r="A252" s="1">
        <f>'20250815_ETF_Options_Exhibits'!AC252</f>
        <v/>
      </c>
      <c r="B252" s="32">
        <f>'20250815_ETF_Options_Exhibits'!AD252</f>
        <v/>
      </c>
      <c r="C252" s="32">
        <f>'20250815_ETF_Options_Exhibits'!AE252</f>
        <v/>
      </c>
    </row>
    <row r="253">
      <c r="A253" s="1">
        <f>'20250815_ETF_Options_Exhibits'!AC253</f>
        <v/>
      </c>
      <c r="B253" s="32">
        <f>'20250815_ETF_Options_Exhibits'!AD253</f>
        <v/>
      </c>
      <c r="C253" s="32">
        <f>'20250815_ETF_Options_Exhibits'!AE253</f>
        <v/>
      </c>
    </row>
    <row r="254">
      <c r="A254" s="1">
        <f>'20250815_ETF_Options_Exhibits'!AC254</f>
        <v/>
      </c>
      <c r="B254" s="32">
        <f>'20250815_ETF_Options_Exhibits'!AD254</f>
        <v/>
      </c>
      <c r="C254" s="32">
        <f>'20250815_ETF_Options_Exhibits'!AE254</f>
        <v/>
      </c>
    </row>
    <row r="255">
      <c r="A255" s="1">
        <f>'20250815_ETF_Options_Exhibits'!AC255</f>
        <v/>
      </c>
      <c r="B255" s="32">
        <f>'20250815_ETF_Options_Exhibits'!AD255</f>
        <v/>
      </c>
      <c r="C255" s="32">
        <f>'20250815_ETF_Options_Exhibits'!AE255</f>
        <v/>
      </c>
    </row>
    <row r="256">
      <c r="A256" s="1">
        <f>'20250815_ETF_Options_Exhibits'!AC256</f>
        <v/>
      </c>
      <c r="B256" s="32">
        <f>'20250815_ETF_Options_Exhibits'!AD256</f>
        <v/>
      </c>
      <c r="C256" s="32">
        <f>'20250815_ETF_Options_Exhibits'!AE256</f>
        <v/>
      </c>
    </row>
    <row r="257">
      <c r="A257" s="1">
        <f>'20250815_ETF_Options_Exhibits'!AC257</f>
        <v/>
      </c>
      <c r="B257" s="32">
        <f>'20250815_ETF_Options_Exhibits'!AD257</f>
        <v/>
      </c>
      <c r="C257" s="32">
        <f>'20250815_ETF_Options_Exhibits'!AE257</f>
        <v/>
      </c>
    </row>
    <row r="258">
      <c r="A258" s="1">
        <f>'20250815_ETF_Options_Exhibits'!AC258</f>
        <v/>
      </c>
      <c r="B258" s="32">
        <f>'20250815_ETF_Options_Exhibits'!AD258</f>
        <v/>
      </c>
      <c r="C258" s="32">
        <f>'20250815_ETF_Options_Exhibits'!AE258</f>
        <v/>
      </c>
    </row>
    <row r="259">
      <c r="A259" s="1">
        <f>'20250815_ETF_Options_Exhibits'!AC259</f>
        <v/>
      </c>
      <c r="B259" s="32">
        <f>'20250815_ETF_Options_Exhibits'!AD259</f>
        <v/>
      </c>
      <c r="C259" s="32">
        <f>'20250815_ETF_Options_Exhibits'!AE259</f>
        <v/>
      </c>
    </row>
    <row r="260">
      <c r="A260" s="1">
        <f>'20250815_ETF_Options_Exhibits'!AC260</f>
        <v/>
      </c>
      <c r="B260" s="32">
        <f>'20250815_ETF_Options_Exhibits'!AD260</f>
        <v/>
      </c>
      <c r="C260" s="32">
        <f>'20250815_ETF_Options_Exhibits'!AE260</f>
        <v/>
      </c>
    </row>
    <row r="261">
      <c r="A261" s="1">
        <f>'20250815_ETF_Options_Exhibits'!AC261</f>
        <v/>
      </c>
      <c r="B261" s="32">
        <f>'20250815_ETF_Options_Exhibits'!AD261</f>
        <v/>
      </c>
      <c r="C261" s="32">
        <f>'20250815_ETF_Options_Exhibits'!AE261</f>
        <v/>
      </c>
    </row>
    <row r="262">
      <c r="A262" s="1">
        <f>'20250815_ETF_Options_Exhibits'!AC262</f>
        <v/>
      </c>
      <c r="B262" s="32">
        <f>'20250815_ETF_Options_Exhibits'!AD262</f>
        <v/>
      </c>
      <c r="C262" s="32">
        <f>'20250815_ETF_Options_Exhibits'!AE262</f>
        <v/>
      </c>
    </row>
    <row r="263">
      <c r="A263" s="1">
        <f>'20250815_ETF_Options_Exhibits'!AC263</f>
        <v/>
      </c>
      <c r="B263" s="32">
        <f>'20250815_ETF_Options_Exhibits'!AD263</f>
        <v/>
      </c>
      <c r="C263" s="32">
        <f>'20250815_ETF_Options_Exhibits'!AE263</f>
        <v/>
      </c>
    </row>
    <row r="264">
      <c r="A264" s="1">
        <f>'20250815_ETF_Options_Exhibits'!AC264</f>
        <v/>
      </c>
      <c r="B264" s="32">
        <f>'20250815_ETF_Options_Exhibits'!AD264</f>
        <v/>
      </c>
      <c r="C264" s="32">
        <f>'20250815_ETF_Options_Exhibits'!AE264</f>
        <v/>
      </c>
    </row>
    <row r="265">
      <c r="A265" s="1">
        <f>'20250815_ETF_Options_Exhibits'!AC265</f>
        <v/>
      </c>
      <c r="B265" s="32">
        <f>'20250815_ETF_Options_Exhibits'!AD265</f>
        <v/>
      </c>
      <c r="C265" s="32">
        <f>'20250815_ETF_Options_Exhibits'!AE265</f>
        <v/>
      </c>
    </row>
    <row r="266">
      <c r="A266" s="1">
        <f>'20250815_ETF_Options_Exhibits'!AC266</f>
        <v/>
      </c>
      <c r="B266" s="32">
        <f>'20250815_ETF_Options_Exhibits'!AD266</f>
        <v/>
      </c>
      <c r="C266" s="32">
        <f>'20250815_ETF_Options_Exhibits'!AE266</f>
        <v/>
      </c>
    </row>
    <row r="267">
      <c r="A267" s="1">
        <f>'20250815_ETF_Options_Exhibits'!AC267</f>
        <v/>
      </c>
      <c r="B267" s="32">
        <f>'20250815_ETF_Options_Exhibits'!AD267</f>
        <v/>
      </c>
      <c r="C267" s="32">
        <f>'20250815_ETF_Options_Exhibits'!AE267</f>
        <v/>
      </c>
    </row>
    <row r="268">
      <c r="A268" s="1">
        <f>'20250815_ETF_Options_Exhibits'!AC268</f>
        <v/>
      </c>
      <c r="B268" s="32">
        <f>'20250815_ETF_Options_Exhibits'!AD268</f>
        <v/>
      </c>
      <c r="C268" s="32">
        <f>'20250815_ETF_Options_Exhibits'!AE268</f>
        <v/>
      </c>
    </row>
    <row r="269">
      <c r="A269" s="1">
        <f>'20250815_ETF_Options_Exhibits'!AC269</f>
        <v/>
      </c>
      <c r="B269" s="32">
        <f>'20250815_ETF_Options_Exhibits'!AD269</f>
        <v/>
      </c>
      <c r="C269" s="32">
        <f>'20250815_ETF_Options_Exhibits'!AE269</f>
        <v/>
      </c>
    </row>
    <row r="270">
      <c r="A270" s="1">
        <f>'20250815_ETF_Options_Exhibits'!AC270</f>
        <v/>
      </c>
      <c r="B270" s="32">
        <f>'20250815_ETF_Options_Exhibits'!AD270</f>
        <v/>
      </c>
      <c r="C270" s="32">
        <f>'20250815_ETF_Options_Exhibits'!AE270</f>
        <v/>
      </c>
    </row>
    <row r="271">
      <c r="A271" s="1">
        <f>'20250815_ETF_Options_Exhibits'!AC271</f>
        <v/>
      </c>
      <c r="B271" s="32">
        <f>'20250815_ETF_Options_Exhibits'!AD271</f>
        <v/>
      </c>
      <c r="C271" s="32">
        <f>'20250815_ETF_Options_Exhibits'!AE271</f>
        <v/>
      </c>
    </row>
    <row r="272">
      <c r="A272" s="1">
        <f>'20250815_ETF_Options_Exhibits'!AC272</f>
        <v/>
      </c>
      <c r="B272" s="32">
        <f>'20250815_ETF_Options_Exhibits'!AD272</f>
        <v/>
      </c>
      <c r="C272" s="32">
        <f>'20250815_ETF_Options_Exhibits'!AE272</f>
        <v/>
      </c>
    </row>
    <row r="273">
      <c r="A273" s="1">
        <f>'20250815_ETF_Options_Exhibits'!AC273</f>
        <v/>
      </c>
      <c r="B273" s="32">
        <f>'20250815_ETF_Options_Exhibits'!AD273</f>
        <v/>
      </c>
      <c r="C273" s="32">
        <f>'20250815_ETF_Options_Exhibits'!AE273</f>
        <v/>
      </c>
    </row>
    <row r="274">
      <c r="A274" s="1">
        <f>'20250815_ETF_Options_Exhibits'!AC274</f>
        <v/>
      </c>
      <c r="B274" s="32">
        <f>'20250815_ETF_Options_Exhibits'!AD274</f>
        <v/>
      </c>
      <c r="C274" s="32">
        <f>'20250815_ETF_Options_Exhibits'!AE274</f>
        <v/>
      </c>
    </row>
    <row r="275">
      <c r="A275" s="1">
        <f>'20250815_ETF_Options_Exhibits'!AC275</f>
        <v/>
      </c>
      <c r="B275" s="32">
        <f>'20250815_ETF_Options_Exhibits'!AD275</f>
        <v/>
      </c>
      <c r="C275" s="32">
        <f>'20250815_ETF_Options_Exhibits'!AE275</f>
        <v/>
      </c>
    </row>
    <row r="276">
      <c r="A276" s="1">
        <f>'20250815_ETF_Options_Exhibits'!AC276</f>
        <v/>
      </c>
      <c r="B276" s="32">
        <f>'20250815_ETF_Options_Exhibits'!AD276</f>
        <v/>
      </c>
      <c r="C276" s="32">
        <f>'20250815_ETF_Options_Exhibits'!AE276</f>
        <v/>
      </c>
    </row>
    <row r="277">
      <c r="A277" s="1">
        <f>'20250815_ETF_Options_Exhibits'!AC277</f>
        <v/>
      </c>
      <c r="B277" s="32">
        <f>'20250815_ETF_Options_Exhibits'!AD277</f>
        <v/>
      </c>
      <c r="C277" s="32">
        <f>'20250815_ETF_Options_Exhibits'!AE277</f>
        <v/>
      </c>
    </row>
    <row r="278">
      <c r="A278" s="1">
        <f>'20250815_ETF_Options_Exhibits'!AC278</f>
        <v/>
      </c>
      <c r="B278" s="32">
        <f>'20250815_ETF_Options_Exhibits'!AD278</f>
        <v/>
      </c>
      <c r="C278" s="32">
        <f>'20250815_ETF_Options_Exhibits'!AE278</f>
        <v/>
      </c>
    </row>
    <row r="279">
      <c r="A279" s="1">
        <f>'20250815_ETF_Options_Exhibits'!AC279</f>
        <v/>
      </c>
      <c r="B279" s="32">
        <f>'20250815_ETF_Options_Exhibits'!AD279</f>
        <v/>
      </c>
      <c r="C279" s="32">
        <f>'20250815_ETF_Options_Exhibits'!AE279</f>
        <v/>
      </c>
    </row>
    <row r="280">
      <c r="A280" s="1">
        <f>'20250815_ETF_Options_Exhibits'!AC280</f>
        <v/>
      </c>
      <c r="B280" s="32">
        <f>'20250815_ETF_Options_Exhibits'!AD280</f>
        <v/>
      </c>
      <c r="C280" s="32">
        <f>'20250815_ETF_Options_Exhibits'!AE280</f>
        <v/>
      </c>
    </row>
    <row r="281">
      <c r="A281" s="1">
        <f>'20250815_ETF_Options_Exhibits'!AC281</f>
        <v/>
      </c>
      <c r="B281" s="32">
        <f>'20250815_ETF_Options_Exhibits'!AD281</f>
        <v/>
      </c>
      <c r="C281" s="32">
        <f>'20250815_ETF_Options_Exhibits'!AE281</f>
        <v/>
      </c>
    </row>
    <row r="282">
      <c r="A282" s="1">
        <f>'20250815_ETF_Options_Exhibits'!AC282</f>
        <v/>
      </c>
      <c r="B282" s="32">
        <f>'20250815_ETF_Options_Exhibits'!AD282</f>
        <v/>
      </c>
      <c r="C282" s="32">
        <f>'20250815_ETF_Options_Exhibits'!AE282</f>
        <v/>
      </c>
    </row>
    <row r="283">
      <c r="A283" s="1">
        <f>'20250815_ETF_Options_Exhibits'!AC283</f>
        <v/>
      </c>
      <c r="B283" s="32">
        <f>'20250815_ETF_Options_Exhibits'!AD283</f>
        <v/>
      </c>
      <c r="C283" s="32">
        <f>'20250815_ETF_Options_Exhibits'!AE283</f>
        <v/>
      </c>
    </row>
    <row r="284">
      <c r="A284" s="1">
        <f>'20250815_ETF_Options_Exhibits'!AC284</f>
        <v/>
      </c>
      <c r="B284" s="32">
        <f>'20250815_ETF_Options_Exhibits'!AD284</f>
        <v/>
      </c>
      <c r="C284" s="32">
        <f>'20250815_ETF_Options_Exhibits'!AE284</f>
        <v/>
      </c>
    </row>
    <row r="285">
      <c r="A285" s="1">
        <f>'20250815_ETF_Options_Exhibits'!AC285</f>
        <v/>
      </c>
      <c r="B285" s="32">
        <f>'20250815_ETF_Options_Exhibits'!AD285</f>
        <v/>
      </c>
      <c r="C285" s="32">
        <f>'20250815_ETF_Options_Exhibits'!AE285</f>
        <v/>
      </c>
    </row>
    <row r="286">
      <c r="A286" s="1">
        <f>'20250815_ETF_Options_Exhibits'!AC286</f>
        <v/>
      </c>
      <c r="B286" s="32">
        <f>'20250815_ETF_Options_Exhibits'!AD286</f>
        <v/>
      </c>
      <c r="C286" s="32">
        <f>'20250815_ETF_Options_Exhibits'!AE286</f>
        <v/>
      </c>
    </row>
    <row r="287">
      <c r="A287" s="1">
        <f>'20250815_ETF_Options_Exhibits'!AC287</f>
        <v/>
      </c>
      <c r="B287" s="32">
        <f>'20250815_ETF_Options_Exhibits'!AD287</f>
        <v/>
      </c>
      <c r="C287" s="32">
        <f>'20250815_ETF_Options_Exhibits'!AE287</f>
        <v/>
      </c>
    </row>
    <row r="288">
      <c r="A288" s="1">
        <f>'20250815_ETF_Options_Exhibits'!AC288</f>
        <v/>
      </c>
      <c r="B288" s="32">
        <f>'20250815_ETF_Options_Exhibits'!AD288</f>
        <v/>
      </c>
      <c r="C288" s="32">
        <f>'20250815_ETF_Options_Exhibits'!AE288</f>
        <v/>
      </c>
    </row>
    <row r="289">
      <c r="A289" s="1">
        <f>'20250815_ETF_Options_Exhibits'!AC289</f>
        <v/>
      </c>
      <c r="B289" s="32">
        <f>'20250815_ETF_Options_Exhibits'!AD289</f>
        <v/>
      </c>
      <c r="C289" s="32">
        <f>'20250815_ETF_Options_Exhibits'!AE289</f>
        <v/>
      </c>
    </row>
    <row r="290">
      <c r="A290" s="1">
        <f>'20250815_ETF_Options_Exhibits'!AC290</f>
        <v/>
      </c>
      <c r="B290" s="32">
        <f>'20250815_ETF_Options_Exhibits'!AD290</f>
        <v/>
      </c>
      <c r="C290" s="32">
        <f>'20250815_ETF_Options_Exhibits'!AE290</f>
        <v/>
      </c>
    </row>
    <row r="291">
      <c r="A291" s="1">
        <f>'20250815_ETF_Options_Exhibits'!AC291</f>
        <v/>
      </c>
      <c r="B291" s="32">
        <f>'20250815_ETF_Options_Exhibits'!AD291</f>
        <v/>
      </c>
      <c r="C291" s="32">
        <f>'20250815_ETF_Options_Exhibits'!AE291</f>
        <v/>
      </c>
    </row>
    <row r="292">
      <c r="A292" s="1">
        <f>'20250815_ETF_Options_Exhibits'!AC292</f>
        <v/>
      </c>
      <c r="B292" s="32">
        <f>'20250815_ETF_Options_Exhibits'!AD292</f>
        <v/>
      </c>
      <c r="C292" s="32">
        <f>'20250815_ETF_Options_Exhibits'!AE292</f>
        <v/>
      </c>
    </row>
    <row r="293">
      <c r="A293" s="1">
        <f>'20250815_ETF_Options_Exhibits'!AC293</f>
        <v/>
      </c>
      <c r="B293" s="32">
        <f>'20250815_ETF_Options_Exhibits'!AD293</f>
        <v/>
      </c>
      <c r="C293" s="32">
        <f>'20250815_ETF_Options_Exhibits'!AE293</f>
        <v/>
      </c>
    </row>
    <row r="294">
      <c r="A294" s="1">
        <f>'20250815_ETF_Options_Exhibits'!AC294</f>
        <v/>
      </c>
      <c r="B294" s="32">
        <f>'20250815_ETF_Options_Exhibits'!AD294</f>
        <v/>
      </c>
      <c r="C294" s="32">
        <f>'20250815_ETF_Options_Exhibits'!AE294</f>
        <v/>
      </c>
    </row>
    <row r="295">
      <c r="A295" s="1">
        <f>'20250815_ETF_Options_Exhibits'!AC295</f>
        <v/>
      </c>
      <c r="B295" s="32">
        <f>'20250815_ETF_Options_Exhibits'!AD295</f>
        <v/>
      </c>
      <c r="C295" s="32">
        <f>'20250815_ETF_Options_Exhibits'!AE295</f>
        <v/>
      </c>
    </row>
    <row r="296">
      <c r="A296" s="1">
        <f>'20250815_ETF_Options_Exhibits'!AC296</f>
        <v/>
      </c>
      <c r="B296" s="32">
        <f>'20250815_ETF_Options_Exhibits'!AD296</f>
        <v/>
      </c>
      <c r="C296" s="32">
        <f>'20250815_ETF_Options_Exhibits'!AE296</f>
        <v/>
      </c>
    </row>
    <row r="297">
      <c r="A297" s="1">
        <f>'20250815_ETF_Options_Exhibits'!AC297</f>
        <v/>
      </c>
      <c r="B297" s="32">
        <f>'20250815_ETF_Options_Exhibits'!AD297</f>
        <v/>
      </c>
      <c r="C297" s="32">
        <f>'20250815_ETF_Options_Exhibits'!AE297</f>
        <v/>
      </c>
    </row>
    <row r="298">
      <c r="A298" s="1">
        <f>'20250815_ETF_Options_Exhibits'!AC298</f>
        <v/>
      </c>
      <c r="B298" s="32">
        <f>'20250815_ETF_Options_Exhibits'!AD298</f>
        <v/>
      </c>
      <c r="C298" s="32">
        <f>'20250815_ETF_Options_Exhibits'!AE298</f>
        <v/>
      </c>
    </row>
    <row r="299">
      <c r="A299" s="1">
        <f>'20250815_ETF_Options_Exhibits'!AC299</f>
        <v/>
      </c>
      <c r="B299" s="32">
        <f>'20250815_ETF_Options_Exhibits'!AD299</f>
        <v/>
      </c>
      <c r="C299" s="32">
        <f>'20250815_ETF_Options_Exhibits'!AE299</f>
        <v/>
      </c>
    </row>
    <row r="300">
      <c r="A300" s="1">
        <f>'20250815_ETF_Options_Exhibits'!AC300</f>
        <v/>
      </c>
      <c r="B300" s="32">
        <f>'20250815_ETF_Options_Exhibits'!AD300</f>
        <v/>
      </c>
      <c r="C300" s="32">
        <f>'20250815_ETF_Options_Exhibits'!AE300</f>
        <v/>
      </c>
    </row>
    <row r="301">
      <c r="A301" s="1">
        <f>'20250815_ETF_Options_Exhibits'!AC301</f>
        <v/>
      </c>
      <c r="B301" s="32">
        <f>'20250815_ETF_Options_Exhibits'!AD301</f>
        <v/>
      </c>
      <c r="C301" s="32">
        <f>'20250815_ETF_Options_Exhibits'!AE301</f>
        <v/>
      </c>
    </row>
    <row r="302">
      <c r="A302" s="1">
        <f>'20250815_ETF_Options_Exhibits'!AC302</f>
        <v/>
      </c>
      <c r="B302" s="32">
        <f>'20250815_ETF_Options_Exhibits'!AD302</f>
        <v/>
      </c>
      <c r="C302" s="32">
        <f>'20250815_ETF_Options_Exhibits'!AE302</f>
        <v/>
      </c>
    </row>
    <row r="303">
      <c r="A303" s="1">
        <f>'20250815_ETF_Options_Exhibits'!AC303</f>
        <v/>
      </c>
      <c r="B303" s="32">
        <f>'20250815_ETF_Options_Exhibits'!AD303</f>
        <v/>
      </c>
      <c r="C303" s="32">
        <f>'20250815_ETF_Options_Exhibits'!AE303</f>
        <v/>
      </c>
    </row>
    <row r="304">
      <c r="A304" s="1">
        <f>'20250815_ETF_Options_Exhibits'!AC304</f>
        <v/>
      </c>
      <c r="B304" s="32">
        <f>'20250815_ETF_Options_Exhibits'!AD304</f>
        <v/>
      </c>
      <c r="C304" s="32">
        <f>'20250815_ETF_Options_Exhibits'!AE304</f>
        <v/>
      </c>
    </row>
    <row r="305">
      <c r="A305" s="1">
        <f>'20250815_ETF_Options_Exhibits'!AC305</f>
        <v/>
      </c>
      <c r="B305" s="32">
        <f>'20250815_ETF_Options_Exhibits'!AD305</f>
        <v/>
      </c>
      <c r="C305" s="32">
        <f>'20250815_ETF_Options_Exhibits'!AE305</f>
        <v/>
      </c>
    </row>
    <row r="306">
      <c r="A306" s="1">
        <f>'20250815_ETF_Options_Exhibits'!AC306</f>
        <v/>
      </c>
      <c r="B306" s="32">
        <f>'20250815_ETF_Options_Exhibits'!AD306</f>
        <v/>
      </c>
      <c r="C306" s="32">
        <f>'20250815_ETF_Options_Exhibits'!AE306</f>
        <v/>
      </c>
    </row>
    <row r="307">
      <c r="A307" s="1">
        <f>'20250815_ETF_Options_Exhibits'!AC307</f>
        <v/>
      </c>
      <c r="B307" s="32">
        <f>'20250815_ETF_Options_Exhibits'!AD307</f>
        <v/>
      </c>
      <c r="C307" s="32">
        <f>'20250815_ETF_Options_Exhibits'!AE307</f>
        <v/>
      </c>
    </row>
    <row r="308">
      <c r="A308" s="1">
        <f>'20250815_ETF_Options_Exhibits'!AC308</f>
        <v/>
      </c>
      <c r="B308" s="32">
        <f>'20250815_ETF_Options_Exhibits'!AD308</f>
        <v/>
      </c>
      <c r="C308" s="32">
        <f>'20250815_ETF_Options_Exhibits'!AE308</f>
        <v/>
      </c>
    </row>
    <row r="309">
      <c r="A309" s="1">
        <f>'20250815_ETF_Options_Exhibits'!AC309</f>
        <v/>
      </c>
      <c r="B309" s="32">
        <f>'20250815_ETF_Options_Exhibits'!AD309</f>
        <v/>
      </c>
      <c r="C309" s="32">
        <f>'20250815_ETF_Options_Exhibits'!AE309</f>
        <v/>
      </c>
    </row>
    <row r="310">
      <c r="A310" s="1">
        <f>'20250815_ETF_Options_Exhibits'!AC310</f>
        <v/>
      </c>
      <c r="B310" s="32">
        <f>'20250815_ETF_Options_Exhibits'!AD310</f>
        <v/>
      </c>
      <c r="C310" s="32">
        <f>'20250815_ETF_Options_Exhibits'!AE310</f>
        <v/>
      </c>
    </row>
    <row r="311">
      <c r="A311" s="1">
        <f>'20250815_ETF_Options_Exhibits'!AC311</f>
        <v/>
      </c>
      <c r="B311" s="32">
        <f>'20250815_ETF_Options_Exhibits'!AD311</f>
        <v/>
      </c>
      <c r="C311" s="32">
        <f>'20250815_ETF_Options_Exhibits'!AE311</f>
        <v/>
      </c>
    </row>
    <row r="312">
      <c r="A312" s="1">
        <f>'20250815_ETF_Options_Exhibits'!AC312</f>
        <v/>
      </c>
      <c r="B312" s="32">
        <f>'20250815_ETF_Options_Exhibits'!AD312</f>
        <v/>
      </c>
      <c r="C312" s="32">
        <f>'20250815_ETF_Options_Exhibits'!AE312</f>
        <v/>
      </c>
    </row>
    <row r="313">
      <c r="A313" s="1">
        <f>'20250815_ETF_Options_Exhibits'!AC313</f>
        <v/>
      </c>
      <c r="B313" s="32">
        <f>'20250815_ETF_Options_Exhibits'!AD313</f>
        <v/>
      </c>
      <c r="C313" s="32">
        <f>'20250815_ETF_Options_Exhibits'!AE313</f>
        <v/>
      </c>
    </row>
    <row r="314">
      <c r="A314" s="1">
        <f>'20250815_ETF_Options_Exhibits'!AC314</f>
        <v/>
      </c>
      <c r="B314" s="32">
        <f>'20250815_ETF_Options_Exhibits'!AD314</f>
        <v/>
      </c>
      <c r="C314" s="32">
        <f>'20250815_ETF_Options_Exhibits'!AE314</f>
        <v/>
      </c>
    </row>
    <row r="315">
      <c r="A315" s="1">
        <f>'20250815_ETF_Options_Exhibits'!AC315</f>
        <v/>
      </c>
      <c r="B315" s="32">
        <f>'20250815_ETF_Options_Exhibits'!AD315</f>
        <v/>
      </c>
      <c r="C315" s="32">
        <f>'20250815_ETF_Options_Exhibits'!AE315</f>
        <v/>
      </c>
    </row>
    <row r="316">
      <c r="A316" s="1">
        <f>'20250815_ETF_Options_Exhibits'!AC316</f>
        <v/>
      </c>
      <c r="B316" s="32">
        <f>'20250815_ETF_Options_Exhibits'!AD316</f>
        <v/>
      </c>
      <c r="C316" s="32">
        <f>'20250815_ETF_Options_Exhibits'!AE316</f>
        <v/>
      </c>
    </row>
    <row r="317">
      <c r="A317" s="1">
        <f>'20250815_ETF_Options_Exhibits'!AC317</f>
        <v/>
      </c>
      <c r="B317" s="32">
        <f>'20250815_ETF_Options_Exhibits'!AD317</f>
        <v/>
      </c>
      <c r="C317" s="32">
        <f>'20250815_ETF_Options_Exhibits'!AE317</f>
        <v/>
      </c>
    </row>
    <row r="318">
      <c r="A318" s="1">
        <f>'20250815_ETF_Options_Exhibits'!AC318</f>
        <v/>
      </c>
      <c r="B318" s="32">
        <f>'20250815_ETF_Options_Exhibits'!AD318</f>
        <v/>
      </c>
      <c r="C318" s="32">
        <f>'20250815_ETF_Options_Exhibits'!AE318</f>
        <v/>
      </c>
    </row>
    <row r="319">
      <c r="A319" s="1">
        <f>'20250815_ETF_Options_Exhibits'!AC319</f>
        <v/>
      </c>
      <c r="B319" s="32">
        <f>'20250815_ETF_Options_Exhibits'!AD319</f>
        <v/>
      </c>
      <c r="C319" s="32">
        <f>'20250815_ETF_Options_Exhibits'!AE319</f>
        <v/>
      </c>
    </row>
    <row r="320">
      <c r="A320" s="1">
        <f>'20250815_ETF_Options_Exhibits'!AC320</f>
        <v/>
      </c>
      <c r="B320" s="32">
        <f>'20250815_ETF_Options_Exhibits'!AD320</f>
        <v/>
      </c>
      <c r="C320" s="32">
        <f>'20250815_ETF_Options_Exhibits'!AE320</f>
        <v/>
      </c>
    </row>
    <row r="321">
      <c r="A321" s="1">
        <f>'20250815_ETF_Options_Exhibits'!AC321</f>
        <v/>
      </c>
      <c r="B321" s="32">
        <f>'20250815_ETF_Options_Exhibits'!AD321</f>
        <v/>
      </c>
      <c r="C321" s="32">
        <f>'20250815_ETF_Options_Exhibits'!AE321</f>
        <v/>
      </c>
    </row>
    <row r="322">
      <c r="A322" s="1">
        <f>'20250815_ETF_Options_Exhibits'!AC322</f>
        <v/>
      </c>
      <c r="B322" s="32">
        <f>'20250815_ETF_Options_Exhibits'!AD322</f>
        <v/>
      </c>
      <c r="C322" s="32">
        <f>'20250815_ETF_Options_Exhibits'!AE322</f>
        <v/>
      </c>
    </row>
    <row r="323">
      <c r="A323" s="1">
        <f>'20250815_ETF_Options_Exhibits'!AC323</f>
        <v/>
      </c>
      <c r="B323" s="32">
        <f>'20250815_ETF_Options_Exhibits'!AD323</f>
        <v/>
      </c>
      <c r="C323" s="32">
        <f>'20250815_ETF_Options_Exhibits'!AE323</f>
        <v/>
      </c>
    </row>
    <row r="324">
      <c r="A324" s="1">
        <f>'20250815_ETF_Options_Exhibits'!AC324</f>
        <v/>
      </c>
      <c r="B324" s="32">
        <f>'20250815_ETF_Options_Exhibits'!AD324</f>
        <v/>
      </c>
      <c r="C324" s="32">
        <f>'20250815_ETF_Options_Exhibits'!AE324</f>
        <v/>
      </c>
    </row>
    <row r="325">
      <c r="A325" s="1">
        <f>'20250815_ETF_Options_Exhibits'!AC325</f>
        <v/>
      </c>
      <c r="B325" s="32">
        <f>'20250815_ETF_Options_Exhibits'!AD325</f>
        <v/>
      </c>
      <c r="C325" s="32">
        <f>'20250815_ETF_Options_Exhibits'!AE325</f>
        <v/>
      </c>
    </row>
    <row r="326">
      <c r="A326" s="1">
        <f>'20250815_ETF_Options_Exhibits'!AC326</f>
        <v/>
      </c>
      <c r="B326" s="32">
        <f>'20250815_ETF_Options_Exhibits'!AD326</f>
        <v/>
      </c>
      <c r="C326" s="32">
        <f>'20250815_ETF_Options_Exhibits'!AE326</f>
        <v/>
      </c>
    </row>
    <row r="327">
      <c r="A327" s="1">
        <f>'20250815_ETF_Options_Exhibits'!AC327</f>
        <v/>
      </c>
      <c r="B327" s="32">
        <f>'20250815_ETF_Options_Exhibits'!AD327</f>
        <v/>
      </c>
      <c r="C327" s="32">
        <f>'20250815_ETF_Options_Exhibits'!AE327</f>
        <v/>
      </c>
    </row>
    <row r="328">
      <c r="A328" s="1">
        <f>'20250815_ETF_Options_Exhibits'!AC328</f>
        <v/>
      </c>
      <c r="B328" s="32">
        <f>'20250815_ETF_Options_Exhibits'!AD328</f>
        <v/>
      </c>
      <c r="C328" s="32">
        <f>'20250815_ETF_Options_Exhibits'!AE328</f>
        <v/>
      </c>
    </row>
    <row r="329">
      <c r="A329" s="1">
        <f>'20250815_ETF_Options_Exhibits'!AC329</f>
        <v/>
      </c>
      <c r="B329" s="32">
        <f>'20250815_ETF_Options_Exhibits'!AD329</f>
        <v/>
      </c>
      <c r="C329" s="32">
        <f>'20250815_ETF_Options_Exhibits'!AE329</f>
        <v/>
      </c>
    </row>
    <row r="330">
      <c r="A330" s="1">
        <f>'20250815_ETF_Options_Exhibits'!AC330</f>
        <v/>
      </c>
      <c r="B330" s="32">
        <f>'20250815_ETF_Options_Exhibits'!AD330</f>
        <v/>
      </c>
      <c r="C330" s="32">
        <f>'20250815_ETF_Options_Exhibits'!AE330</f>
        <v/>
      </c>
    </row>
    <row r="331">
      <c r="A331" s="1">
        <f>'20250815_ETF_Options_Exhibits'!AC331</f>
        <v/>
      </c>
      <c r="B331" s="32">
        <f>'20250815_ETF_Options_Exhibits'!AD331</f>
        <v/>
      </c>
      <c r="C331" s="32">
        <f>'20250815_ETF_Options_Exhibits'!AE331</f>
        <v/>
      </c>
    </row>
    <row r="332">
      <c r="A332" s="1">
        <f>'20250815_ETF_Options_Exhibits'!AC332</f>
        <v/>
      </c>
      <c r="B332" s="32">
        <f>'20250815_ETF_Options_Exhibits'!AD332</f>
        <v/>
      </c>
      <c r="C332" s="32">
        <f>'20250815_ETF_Options_Exhibits'!AE332</f>
        <v/>
      </c>
    </row>
    <row r="333">
      <c r="A333" s="1">
        <f>'20250815_ETF_Options_Exhibits'!AC333</f>
        <v/>
      </c>
      <c r="B333" s="32">
        <f>'20250815_ETF_Options_Exhibits'!AD333</f>
        <v/>
      </c>
      <c r="C333" s="32">
        <f>'20250815_ETF_Options_Exhibits'!AE333</f>
        <v/>
      </c>
    </row>
    <row r="334">
      <c r="A334" s="1">
        <f>'20250815_ETF_Options_Exhibits'!AC334</f>
        <v/>
      </c>
      <c r="B334" s="32">
        <f>'20250815_ETF_Options_Exhibits'!AD334</f>
        <v/>
      </c>
      <c r="C334" s="32">
        <f>'20250815_ETF_Options_Exhibits'!AE334</f>
        <v/>
      </c>
    </row>
    <row r="335">
      <c r="A335" s="1">
        <f>'20250815_ETF_Options_Exhibits'!AC335</f>
        <v/>
      </c>
      <c r="B335" s="32">
        <f>'20250815_ETF_Options_Exhibits'!AD335</f>
        <v/>
      </c>
      <c r="C335" s="32">
        <f>'20250815_ETF_Options_Exhibits'!AE335</f>
        <v/>
      </c>
    </row>
    <row r="336">
      <c r="A336" s="1">
        <f>'20250815_ETF_Options_Exhibits'!AC336</f>
        <v/>
      </c>
      <c r="B336" s="32">
        <f>'20250815_ETF_Options_Exhibits'!AD336</f>
        <v/>
      </c>
      <c r="C336" s="32">
        <f>'20250815_ETF_Options_Exhibits'!AE336</f>
        <v/>
      </c>
    </row>
    <row r="337">
      <c r="A337" s="1">
        <f>'20250815_ETF_Options_Exhibits'!AC337</f>
        <v/>
      </c>
      <c r="B337" s="32">
        <f>'20250815_ETF_Options_Exhibits'!AD337</f>
        <v/>
      </c>
      <c r="C337" s="32">
        <f>'20250815_ETF_Options_Exhibits'!AE337</f>
        <v/>
      </c>
    </row>
    <row r="338">
      <c r="A338" s="1">
        <f>'20250815_ETF_Options_Exhibits'!AC338</f>
        <v/>
      </c>
      <c r="B338" s="32">
        <f>'20250815_ETF_Options_Exhibits'!AD338</f>
        <v/>
      </c>
      <c r="C338" s="32">
        <f>'20250815_ETF_Options_Exhibits'!AE338</f>
        <v/>
      </c>
    </row>
    <row r="339">
      <c r="A339" s="1">
        <f>'20250815_ETF_Options_Exhibits'!AC339</f>
        <v/>
      </c>
      <c r="B339" s="32">
        <f>'20250815_ETF_Options_Exhibits'!AD339</f>
        <v/>
      </c>
      <c r="C339" s="32">
        <f>'20250815_ETF_Options_Exhibits'!AE339</f>
        <v/>
      </c>
    </row>
    <row r="340">
      <c r="A340" s="1">
        <f>'20250815_ETF_Options_Exhibits'!AC340</f>
        <v/>
      </c>
      <c r="B340" s="32">
        <f>'20250815_ETF_Options_Exhibits'!AD340</f>
        <v/>
      </c>
      <c r="C340" s="32">
        <f>'20250815_ETF_Options_Exhibits'!AE340</f>
        <v/>
      </c>
    </row>
    <row r="341">
      <c r="A341" s="1">
        <f>'20250815_ETF_Options_Exhibits'!AC341</f>
        <v/>
      </c>
      <c r="B341" s="32">
        <f>'20250815_ETF_Options_Exhibits'!AD341</f>
        <v/>
      </c>
      <c r="C341" s="32">
        <f>'20250815_ETF_Options_Exhibits'!AE341</f>
        <v/>
      </c>
    </row>
    <row r="342">
      <c r="A342" s="1">
        <f>'20250815_ETF_Options_Exhibits'!AC342</f>
        <v/>
      </c>
      <c r="B342" s="32">
        <f>'20250815_ETF_Options_Exhibits'!AD342</f>
        <v/>
      </c>
      <c r="C342" s="32">
        <f>'20250815_ETF_Options_Exhibits'!AE342</f>
        <v/>
      </c>
    </row>
    <row r="343">
      <c r="A343" s="1">
        <f>'20250815_ETF_Options_Exhibits'!AC343</f>
        <v/>
      </c>
      <c r="B343" s="32">
        <f>'20250815_ETF_Options_Exhibits'!AD343</f>
        <v/>
      </c>
      <c r="C343" s="32">
        <f>'20250815_ETF_Options_Exhibits'!AE343</f>
        <v/>
      </c>
    </row>
    <row r="344">
      <c r="A344" s="1">
        <f>'20250815_ETF_Options_Exhibits'!AC344</f>
        <v/>
      </c>
      <c r="B344" s="32">
        <f>'20250815_ETF_Options_Exhibits'!AD344</f>
        <v/>
      </c>
      <c r="C344" s="32">
        <f>'20250815_ETF_Options_Exhibits'!AE344</f>
        <v/>
      </c>
    </row>
    <row r="345">
      <c r="A345" s="1">
        <f>'20250815_ETF_Options_Exhibits'!AC345</f>
        <v/>
      </c>
      <c r="B345" s="32">
        <f>'20250815_ETF_Options_Exhibits'!AD345</f>
        <v/>
      </c>
      <c r="C345" s="32">
        <f>'20250815_ETF_Options_Exhibits'!AE345</f>
        <v/>
      </c>
    </row>
    <row r="346">
      <c r="A346" s="1">
        <f>'20250815_ETF_Options_Exhibits'!AC346</f>
        <v/>
      </c>
      <c r="B346" s="32">
        <f>'20250815_ETF_Options_Exhibits'!AD346</f>
        <v/>
      </c>
      <c r="C346" s="32">
        <f>'20250815_ETF_Options_Exhibits'!AE346</f>
        <v/>
      </c>
    </row>
    <row r="347">
      <c r="A347" s="1">
        <f>'20250815_ETF_Options_Exhibits'!AC347</f>
        <v/>
      </c>
      <c r="B347" s="32">
        <f>'20250815_ETF_Options_Exhibits'!AD347</f>
        <v/>
      </c>
      <c r="C347" s="32">
        <f>'20250815_ETF_Options_Exhibits'!AE347</f>
        <v/>
      </c>
    </row>
    <row r="348">
      <c r="A348" s="1">
        <f>'20250815_ETF_Options_Exhibits'!AC348</f>
        <v/>
      </c>
      <c r="B348" s="32">
        <f>'20250815_ETF_Options_Exhibits'!AD348</f>
        <v/>
      </c>
      <c r="C348" s="32">
        <f>'20250815_ETF_Options_Exhibits'!AE348</f>
        <v/>
      </c>
    </row>
    <row r="349">
      <c r="A349" s="1">
        <f>'20250815_ETF_Options_Exhibits'!AC349</f>
        <v/>
      </c>
      <c r="B349" s="32">
        <f>'20250815_ETF_Options_Exhibits'!AD349</f>
        <v/>
      </c>
      <c r="C349" s="32">
        <f>'20250815_ETF_Options_Exhibits'!AE349</f>
        <v/>
      </c>
    </row>
    <row r="350">
      <c r="A350" s="1">
        <f>'20250815_ETF_Options_Exhibits'!AC350</f>
        <v/>
      </c>
      <c r="B350" s="32">
        <f>'20250815_ETF_Options_Exhibits'!AD350</f>
        <v/>
      </c>
      <c r="C350" s="32">
        <f>'20250815_ETF_Options_Exhibits'!AE350</f>
        <v/>
      </c>
    </row>
    <row r="351">
      <c r="A351" s="1">
        <f>'20250815_ETF_Options_Exhibits'!AC351</f>
        <v/>
      </c>
      <c r="B351" s="32">
        <f>'20250815_ETF_Options_Exhibits'!AD351</f>
        <v/>
      </c>
      <c r="C351" s="32">
        <f>'20250815_ETF_Options_Exhibits'!AE351</f>
        <v/>
      </c>
    </row>
    <row r="352">
      <c r="A352" s="1">
        <f>'20250815_ETF_Options_Exhibits'!AC352</f>
        <v/>
      </c>
      <c r="B352" s="32">
        <f>'20250815_ETF_Options_Exhibits'!AD352</f>
        <v/>
      </c>
      <c r="C352" s="32">
        <f>'20250815_ETF_Options_Exhibits'!AE352</f>
        <v/>
      </c>
    </row>
    <row r="353">
      <c r="A353" s="1">
        <f>'20250815_ETF_Options_Exhibits'!AC353</f>
        <v/>
      </c>
      <c r="B353" s="32">
        <f>'20250815_ETF_Options_Exhibits'!AD353</f>
        <v/>
      </c>
      <c r="C353" s="32">
        <f>'20250815_ETF_Options_Exhibits'!AE353</f>
        <v/>
      </c>
    </row>
    <row r="354">
      <c r="A354" s="1">
        <f>'20250815_ETF_Options_Exhibits'!AC354</f>
        <v/>
      </c>
      <c r="B354" s="32">
        <f>'20250815_ETF_Options_Exhibits'!AD354</f>
        <v/>
      </c>
      <c r="C354" s="32">
        <f>'20250815_ETF_Options_Exhibits'!AE354</f>
        <v/>
      </c>
    </row>
    <row r="355">
      <c r="A355" s="1">
        <f>'20250815_ETF_Options_Exhibits'!AC355</f>
        <v/>
      </c>
      <c r="B355" s="32">
        <f>'20250815_ETF_Options_Exhibits'!AD355</f>
        <v/>
      </c>
      <c r="C355" s="32">
        <f>'20250815_ETF_Options_Exhibits'!AE355</f>
        <v/>
      </c>
    </row>
    <row r="356">
      <c r="A356" s="1">
        <f>'20250815_ETF_Options_Exhibits'!AC356</f>
        <v/>
      </c>
      <c r="B356" s="32">
        <f>'20250815_ETF_Options_Exhibits'!AD356</f>
        <v/>
      </c>
      <c r="C356" s="32">
        <f>'20250815_ETF_Options_Exhibits'!AE356</f>
        <v/>
      </c>
    </row>
    <row r="357">
      <c r="A357" s="1">
        <f>'20250815_ETF_Options_Exhibits'!AC357</f>
        <v/>
      </c>
      <c r="B357" s="32">
        <f>'20250815_ETF_Options_Exhibits'!AD357</f>
        <v/>
      </c>
      <c r="C357" s="32">
        <f>'20250815_ETF_Options_Exhibits'!AE357</f>
        <v/>
      </c>
    </row>
    <row r="358">
      <c r="A358" s="1">
        <f>'20250815_ETF_Options_Exhibits'!AC358</f>
        <v/>
      </c>
      <c r="B358" s="32">
        <f>'20250815_ETF_Options_Exhibits'!AD358</f>
        <v/>
      </c>
      <c r="C358" s="32">
        <f>'20250815_ETF_Options_Exhibits'!AE358</f>
        <v/>
      </c>
    </row>
    <row r="359">
      <c r="A359" s="1">
        <f>'20250815_ETF_Options_Exhibits'!AC359</f>
        <v/>
      </c>
      <c r="B359" s="32">
        <f>'20250815_ETF_Options_Exhibits'!AD359</f>
        <v/>
      </c>
      <c r="C359" s="32">
        <f>'20250815_ETF_Options_Exhibits'!AE359</f>
        <v/>
      </c>
    </row>
    <row r="360">
      <c r="A360" s="1">
        <f>'20250815_ETF_Options_Exhibits'!AC360</f>
        <v/>
      </c>
      <c r="B360" s="32">
        <f>'20250815_ETF_Options_Exhibits'!AD360</f>
        <v/>
      </c>
      <c r="C360" s="32">
        <f>'20250815_ETF_Options_Exhibits'!AE360</f>
        <v/>
      </c>
    </row>
    <row r="361">
      <c r="A361" s="1">
        <f>'20250815_ETF_Options_Exhibits'!AC361</f>
        <v/>
      </c>
      <c r="B361" s="32">
        <f>'20250815_ETF_Options_Exhibits'!AD361</f>
        <v/>
      </c>
      <c r="C361" s="32">
        <f>'20250815_ETF_Options_Exhibits'!AE361</f>
        <v/>
      </c>
    </row>
    <row r="362">
      <c r="A362" s="1">
        <f>'20250815_ETF_Options_Exhibits'!AC362</f>
        <v/>
      </c>
      <c r="B362" s="32">
        <f>'20250815_ETF_Options_Exhibits'!AD362</f>
        <v/>
      </c>
      <c r="C362" s="32">
        <f>'20250815_ETF_Options_Exhibits'!AE362</f>
        <v/>
      </c>
    </row>
    <row r="363">
      <c r="A363" s="1">
        <f>'20250815_ETF_Options_Exhibits'!AC363</f>
        <v/>
      </c>
      <c r="B363" s="32">
        <f>'20250815_ETF_Options_Exhibits'!AD363</f>
        <v/>
      </c>
      <c r="C363" s="32">
        <f>'20250815_ETF_Options_Exhibits'!AE363</f>
        <v/>
      </c>
    </row>
    <row r="364">
      <c r="A364" s="1">
        <f>'20250815_ETF_Options_Exhibits'!AC364</f>
        <v/>
      </c>
      <c r="B364" s="32">
        <f>'20250815_ETF_Options_Exhibits'!AD364</f>
        <v/>
      </c>
      <c r="C364" s="32">
        <f>'20250815_ETF_Options_Exhibits'!AE364</f>
        <v/>
      </c>
    </row>
    <row r="365">
      <c r="A365" s="1">
        <f>'20250815_ETF_Options_Exhibits'!AC365</f>
        <v/>
      </c>
      <c r="B365" s="32">
        <f>'20250815_ETF_Options_Exhibits'!AD365</f>
        <v/>
      </c>
      <c r="C365" s="32">
        <f>'20250815_ETF_Options_Exhibits'!AE365</f>
        <v/>
      </c>
    </row>
    <row r="366">
      <c r="A366" s="1">
        <f>'20250815_ETF_Options_Exhibits'!AC366</f>
        <v/>
      </c>
      <c r="B366" s="32">
        <f>'20250815_ETF_Options_Exhibits'!AD366</f>
        <v/>
      </c>
      <c r="C366" s="32">
        <f>'20250815_ETF_Options_Exhibits'!AE366</f>
        <v/>
      </c>
    </row>
    <row r="367">
      <c r="A367" s="1">
        <f>'20250815_ETF_Options_Exhibits'!AC367</f>
        <v/>
      </c>
      <c r="B367" s="32">
        <f>'20250815_ETF_Options_Exhibits'!AD367</f>
        <v/>
      </c>
      <c r="C367" s="32">
        <f>'20250815_ETF_Options_Exhibits'!AE367</f>
        <v/>
      </c>
    </row>
    <row r="368">
      <c r="A368" s="1">
        <f>'20250815_ETF_Options_Exhibits'!AC368</f>
        <v/>
      </c>
      <c r="B368" s="32">
        <f>'20250815_ETF_Options_Exhibits'!AD368</f>
        <v/>
      </c>
      <c r="C368" s="32">
        <f>'20250815_ETF_Options_Exhibits'!AE368</f>
        <v/>
      </c>
    </row>
    <row r="369">
      <c r="A369" s="1">
        <f>'20250815_ETF_Options_Exhibits'!AC369</f>
        <v/>
      </c>
      <c r="B369" s="32">
        <f>'20250815_ETF_Options_Exhibits'!AD369</f>
        <v/>
      </c>
      <c r="C369" s="32">
        <f>'20250815_ETF_Options_Exhibits'!AE369</f>
        <v/>
      </c>
    </row>
    <row r="370">
      <c r="A370" s="1">
        <f>'20250815_ETF_Options_Exhibits'!AC370</f>
        <v/>
      </c>
      <c r="B370" s="32">
        <f>'20250815_ETF_Options_Exhibits'!AD370</f>
        <v/>
      </c>
      <c r="C370" s="32">
        <f>'20250815_ETF_Options_Exhibits'!AE370</f>
        <v/>
      </c>
    </row>
    <row r="371">
      <c r="A371" s="1">
        <f>'20250815_ETF_Options_Exhibits'!AC371</f>
        <v/>
      </c>
      <c r="B371" s="32">
        <f>'20250815_ETF_Options_Exhibits'!AD371</f>
        <v/>
      </c>
      <c r="C371" s="32">
        <f>'20250815_ETF_Options_Exhibits'!AE371</f>
        <v/>
      </c>
    </row>
    <row r="372">
      <c r="A372" s="1">
        <f>'20250815_ETF_Options_Exhibits'!AC372</f>
        <v/>
      </c>
      <c r="B372" s="32">
        <f>'20250815_ETF_Options_Exhibits'!AD372</f>
        <v/>
      </c>
      <c r="C372" s="32">
        <f>'20250815_ETF_Options_Exhibits'!AE372</f>
        <v/>
      </c>
    </row>
    <row r="373">
      <c r="A373" s="1">
        <f>'20250815_ETF_Options_Exhibits'!AC373</f>
        <v/>
      </c>
      <c r="B373" s="32">
        <f>'20250815_ETF_Options_Exhibits'!AD373</f>
        <v/>
      </c>
      <c r="C373" s="32">
        <f>'20250815_ETF_Options_Exhibits'!AE373</f>
        <v/>
      </c>
    </row>
    <row r="374">
      <c r="A374" s="1">
        <f>'20250815_ETF_Options_Exhibits'!AC374</f>
        <v/>
      </c>
      <c r="B374" s="32">
        <f>'20250815_ETF_Options_Exhibits'!AD374</f>
        <v/>
      </c>
      <c r="C374" s="32">
        <f>'20250815_ETF_Options_Exhibits'!AE374</f>
        <v/>
      </c>
    </row>
    <row r="375">
      <c r="A375" s="1">
        <f>'20250815_ETF_Options_Exhibits'!AC375</f>
        <v/>
      </c>
      <c r="B375" s="32">
        <f>'20250815_ETF_Options_Exhibits'!AD375</f>
        <v/>
      </c>
      <c r="C375" s="32">
        <f>'20250815_ETF_Options_Exhibits'!AE375</f>
        <v/>
      </c>
    </row>
    <row r="376">
      <c r="A376" s="1">
        <f>'20250815_ETF_Options_Exhibits'!AC376</f>
        <v/>
      </c>
      <c r="B376" s="32">
        <f>'20250815_ETF_Options_Exhibits'!AD376</f>
        <v/>
      </c>
      <c r="C376" s="32">
        <f>'20250815_ETF_Options_Exhibits'!AE376</f>
        <v/>
      </c>
    </row>
    <row r="377">
      <c r="A377" s="1">
        <f>'20250815_ETF_Options_Exhibits'!AC377</f>
        <v/>
      </c>
      <c r="B377" s="32">
        <f>'20250815_ETF_Options_Exhibits'!AD377</f>
        <v/>
      </c>
      <c r="C377" s="32">
        <f>'20250815_ETF_Options_Exhibits'!AE377</f>
        <v/>
      </c>
    </row>
    <row r="378">
      <c r="A378" s="1">
        <f>'20250815_ETF_Options_Exhibits'!AC378</f>
        <v/>
      </c>
      <c r="B378" s="32">
        <f>'20250815_ETF_Options_Exhibits'!AD378</f>
        <v/>
      </c>
      <c r="C378" s="32">
        <f>'20250815_ETF_Options_Exhibits'!AE378</f>
        <v/>
      </c>
    </row>
    <row r="379">
      <c r="A379" s="1">
        <f>'20250815_ETF_Options_Exhibits'!AC379</f>
        <v/>
      </c>
      <c r="B379" s="32">
        <f>'20250815_ETF_Options_Exhibits'!AD379</f>
        <v/>
      </c>
      <c r="C379" s="32">
        <f>'20250815_ETF_Options_Exhibits'!AE379</f>
        <v/>
      </c>
    </row>
    <row r="380">
      <c r="A380" s="1">
        <f>'20250815_ETF_Options_Exhibits'!AC380</f>
        <v/>
      </c>
      <c r="B380" s="32">
        <f>'20250815_ETF_Options_Exhibits'!AD380</f>
        <v/>
      </c>
      <c r="C380" s="32">
        <f>'20250815_ETF_Options_Exhibits'!AE380</f>
        <v/>
      </c>
    </row>
    <row r="381">
      <c r="A381" s="1">
        <f>'20250815_ETF_Options_Exhibits'!AC381</f>
        <v/>
      </c>
      <c r="B381" s="32">
        <f>'20250815_ETF_Options_Exhibits'!AD381</f>
        <v/>
      </c>
      <c r="C381" s="32">
        <f>'20250815_ETF_Options_Exhibits'!AE381</f>
        <v/>
      </c>
    </row>
    <row r="382">
      <c r="A382" s="1">
        <f>'20250815_ETF_Options_Exhibits'!AC382</f>
        <v/>
      </c>
      <c r="B382" s="32">
        <f>'20250815_ETF_Options_Exhibits'!AD382</f>
        <v/>
      </c>
      <c r="C382" s="32">
        <f>'20250815_ETF_Options_Exhibits'!AE382</f>
        <v/>
      </c>
    </row>
    <row r="383">
      <c r="A383" s="1">
        <f>'20250815_ETF_Options_Exhibits'!AC383</f>
        <v/>
      </c>
      <c r="B383" s="32">
        <f>'20250815_ETF_Options_Exhibits'!AD383</f>
        <v/>
      </c>
      <c r="C383" s="32">
        <f>'20250815_ETF_Options_Exhibits'!AE383</f>
        <v/>
      </c>
    </row>
    <row r="384">
      <c r="A384" s="1">
        <f>'20250815_ETF_Options_Exhibits'!AC384</f>
        <v/>
      </c>
      <c r="B384" s="32">
        <f>'20250815_ETF_Options_Exhibits'!AD384</f>
        <v/>
      </c>
      <c r="C384" s="32">
        <f>'20250815_ETF_Options_Exhibits'!AE384</f>
        <v/>
      </c>
    </row>
    <row r="385">
      <c r="A385" s="1">
        <f>'20250815_ETF_Options_Exhibits'!AC385</f>
        <v/>
      </c>
      <c r="B385" s="32">
        <f>'20250815_ETF_Options_Exhibits'!AD385</f>
        <v/>
      </c>
      <c r="C385" s="32">
        <f>'20250815_ETF_Options_Exhibits'!AE385</f>
        <v/>
      </c>
    </row>
    <row r="386">
      <c r="A386" s="1">
        <f>'20250815_ETF_Options_Exhibits'!AC386</f>
        <v/>
      </c>
      <c r="B386" s="32">
        <f>'20250815_ETF_Options_Exhibits'!AD386</f>
        <v/>
      </c>
      <c r="C386" s="32">
        <f>'20250815_ETF_Options_Exhibits'!AE386</f>
        <v/>
      </c>
    </row>
    <row r="387">
      <c r="A387" s="1">
        <f>'20250815_ETF_Options_Exhibits'!AC387</f>
        <v/>
      </c>
      <c r="B387" s="32">
        <f>'20250815_ETF_Options_Exhibits'!AD387</f>
        <v/>
      </c>
      <c r="C387" s="32">
        <f>'20250815_ETF_Options_Exhibits'!AE387</f>
        <v/>
      </c>
    </row>
    <row r="388">
      <c r="A388" s="1">
        <f>'20250815_ETF_Options_Exhibits'!AC388</f>
        <v/>
      </c>
      <c r="B388" s="32">
        <f>'20250815_ETF_Options_Exhibits'!AD388</f>
        <v/>
      </c>
      <c r="C388" s="32">
        <f>'20250815_ETF_Options_Exhibits'!AE388</f>
        <v/>
      </c>
    </row>
    <row r="389">
      <c r="A389" s="1">
        <f>'20250815_ETF_Options_Exhibits'!AC389</f>
        <v/>
      </c>
      <c r="B389" s="32">
        <f>'20250815_ETF_Options_Exhibits'!AD389</f>
        <v/>
      </c>
      <c r="C389" s="32">
        <f>'20250815_ETF_Options_Exhibits'!AE389</f>
        <v/>
      </c>
    </row>
    <row r="390">
      <c r="A390" s="1">
        <f>'20250815_ETF_Options_Exhibits'!AC390</f>
        <v/>
      </c>
      <c r="B390" s="32">
        <f>'20250815_ETF_Options_Exhibits'!AD390</f>
        <v/>
      </c>
      <c r="C390" s="32">
        <f>'20250815_ETF_Options_Exhibits'!AE390</f>
        <v/>
      </c>
    </row>
    <row r="391">
      <c r="A391" s="1">
        <f>'20250815_ETF_Options_Exhibits'!AC391</f>
        <v/>
      </c>
      <c r="B391" s="32">
        <f>'20250815_ETF_Options_Exhibits'!AD391</f>
        <v/>
      </c>
      <c r="C391" s="32">
        <f>'20250815_ETF_Options_Exhibits'!AE391</f>
        <v/>
      </c>
    </row>
    <row r="392">
      <c r="A392" s="1">
        <f>'20250815_ETF_Options_Exhibits'!AC392</f>
        <v/>
      </c>
      <c r="B392" s="32">
        <f>'20250815_ETF_Options_Exhibits'!AD392</f>
        <v/>
      </c>
      <c r="C392" s="32">
        <f>'20250815_ETF_Options_Exhibits'!AE392</f>
        <v/>
      </c>
    </row>
    <row r="393">
      <c r="A393" s="1">
        <f>'20250815_ETF_Options_Exhibits'!AC393</f>
        <v/>
      </c>
      <c r="B393" s="32">
        <f>'20250815_ETF_Options_Exhibits'!AD393</f>
        <v/>
      </c>
      <c r="C393" s="32">
        <f>'20250815_ETF_Options_Exhibits'!AE393</f>
        <v/>
      </c>
    </row>
    <row r="394">
      <c r="A394" s="1">
        <f>'20250815_ETF_Options_Exhibits'!AC394</f>
        <v/>
      </c>
      <c r="B394" s="32">
        <f>'20250815_ETF_Options_Exhibits'!AD394</f>
        <v/>
      </c>
      <c r="C394" s="32">
        <f>'20250815_ETF_Options_Exhibits'!AE394</f>
        <v/>
      </c>
    </row>
    <row r="395">
      <c r="A395" s="1">
        <f>'20250815_ETF_Options_Exhibits'!AC395</f>
        <v/>
      </c>
      <c r="B395" s="32">
        <f>'20250815_ETF_Options_Exhibits'!AD395</f>
        <v/>
      </c>
      <c r="C395" s="32">
        <f>'20250815_ETF_Options_Exhibits'!AE395</f>
        <v/>
      </c>
    </row>
    <row r="396">
      <c r="A396" s="1">
        <f>'20250815_ETF_Options_Exhibits'!AC396</f>
        <v/>
      </c>
      <c r="B396" s="32">
        <f>'20250815_ETF_Options_Exhibits'!AD396</f>
        <v/>
      </c>
      <c r="C396" s="32">
        <f>'20250815_ETF_Options_Exhibits'!AE396</f>
        <v/>
      </c>
    </row>
    <row r="397">
      <c r="A397" s="1">
        <f>'20250815_ETF_Options_Exhibits'!AC397</f>
        <v/>
      </c>
      <c r="B397" s="32">
        <f>'20250815_ETF_Options_Exhibits'!AD397</f>
        <v/>
      </c>
      <c r="C397" s="32">
        <f>'20250815_ETF_Options_Exhibits'!AE397</f>
        <v/>
      </c>
    </row>
    <row r="398">
      <c r="A398" s="1">
        <f>'20250815_ETF_Options_Exhibits'!AC398</f>
        <v/>
      </c>
      <c r="B398" s="32">
        <f>'20250815_ETF_Options_Exhibits'!AD398</f>
        <v/>
      </c>
      <c r="C398" s="32">
        <f>'20250815_ETF_Options_Exhibits'!AE398</f>
        <v/>
      </c>
    </row>
    <row r="399">
      <c r="A399" s="1">
        <f>'20250815_ETF_Options_Exhibits'!AC399</f>
        <v/>
      </c>
      <c r="B399" s="32">
        <f>'20250815_ETF_Options_Exhibits'!AD399</f>
        <v/>
      </c>
      <c r="C399" s="32">
        <f>'20250815_ETF_Options_Exhibits'!AE399</f>
        <v/>
      </c>
    </row>
    <row r="400">
      <c r="A400" s="1">
        <f>'20250815_ETF_Options_Exhibits'!AC400</f>
        <v/>
      </c>
      <c r="B400" s="32">
        <f>'20250815_ETF_Options_Exhibits'!AD400</f>
        <v/>
      </c>
      <c r="C400" s="32">
        <f>'20250815_ETF_Options_Exhibits'!AE400</f>
        <v/>
      </c>
    </row>
    <row r="401">
      <c r="A401" s="1">
        <f>'20250815_ETF_Options_Exhibits'!AC401</f>
        <v/>
      </c>
      <c r="B401" s="32">
        <f>'20250815_ETF_Options_Exhibits'!AD401</f>
        <v/>
      </c>
      <c r="C401" s="32">
        <f>'20250815_ETF_Options_Exhibits'!AE401</f>
        <v/>
      </c>
    </row>
    <row r="402">
      <c r="A402" s="1">
        <f>'20250815_ETF_Options_Exhibits'!AC402</f>
        <v/>
      </c>
      <c r="B402" s="32">
        <f>'20250815_ETF_Options_Exhibits'!AD402</f>
        <v/>
      </c>
      <c r="C402" s="32">
        <f>'20250815_ETF_Options_Exhibits'!AE402</f>
        <v/>
      </c>
    </row>
    <row r="403">
      <c r="A403" s="1">
        <f>'20250815_ETF_Options_Exhibits'!AC403</f>
        <v/>
      </c>
      <c r="B403" s="32">
        <f>'20250815_ETF_Options_Exhibits'!AD403</f>
        <v/>
      </c>
      <c r="C403" s="32">
        <f>'20250815_ETF_Options_Exhibits'!AE403</f>
        <v/>
      </c>
    </row>
    <row r="404">
      <c r="A404" s="1">
        <f>'20250815_ETF_Options_Exhibits'!AC404</f>
        <v/>
      </c>
      <c r="B404" s="32">
        <f>'20250815_ETF_Options_Exhibits'!AD404</f>
        <v/>
      </c>
      <c r="C404" s="32">
        <f>'20250815_ETF_Options_Exhibits'!AE404</f>
        <v/>
      </c>
    </row>
    <row r="405">
      <c r="A405" s="1">
        <f>'20250815_ETF_Options_Exhibits'!AC405</f>
        <v/>
      </c>
      <c r="B405" s="32">
        <f>'20250815_ETF_Options_Exhibits'!AD405</f>
        <v/>
      </c>
      <c r="C405" s="32">
        <f>'20250815_ETF_Options_Exhibits'!AE405</f>
        <v/>
      </c>
    </row>
    <row r="406">
      <c r="A406" s="1">
        <f>'20250815_ETF_Options_Exhibits'!AC406</f>
        <v/>
      </c>
      <c r="B406" s="32">
        <f>'20250815_ETF_Options_Exhibits'!AD406</f>
        <v/>
      </c>
      <c r="C406" s="32">
        <f>'20250815_ETF_Options_Exhibits'!AE406</f>
        <v/>
      </c>
    </row>
    <row r="407">
      <c r="A407" s="1">
        <f>'20250815_ETF_Options_Exhibits'!AC407</f>
        <v/>
      </c>
      <c r="B407" s="32">
        <f>'20250815_ETF_Options_Exhibits'!AD407</f>
        <v/>
      </c>
      <c r="C407" s="32">
        <f>'20250815_ETF_Options_Exhibits'!AE407</f>
        <v/>
      </c>
    </row>
    <row r="408">
      <c r="A408" s="1">
        <f>'20250815_ETF_Options_Exhibits'!AC408</f>
        <v/>
      </c>
      <c r="B408" s="32">
        <f>'20250815_ETF_Options_Exhibits'!AD408</f>
        <v/>
      </c>
      <c r="C408" s="32">
        <f>'20250815_ETF_Options_Exhibits'!AE408</f>
        <v/>
      </c>
    </row>
    <row r="409">
      <c r="A409" s="1">
        <f>'20250815_ETF_Options_Exhibits'!AC409</f>
        <v/>
      </c>
      <c r="B409" s="32">
        <f>'20250815_ETF_Options_Exhibits'!AD409</f>
        <v/>
      </c>
      <c r="C409" s="32">
        <f>'20250815_ETF_Options_Exhibits'!AE409</f>
        <v/>
      </c>
    </row>
    <row r="410">
      <c r="A410" s="1">
        <f>'20250815_ETF_Options_Exhibits'!AC410</f>
        <v/>
      </c>
      <c r="B410" s="32">
        <f>'20250815_ETF_Options_Exhibits'!AD410</f>
        <v/>
      </c>
      <c r="C410" s="32">
        <f>'20250815_ETF_Options_Exhibits'!AE410</f>
        <v/>
      </c>
    </row>
    <row r="411">
      <c r="A411" s="1">
        <f>'20250815_ETF_Options_Exhibits'!AC411</f>
        <v/>
      </c>
      <c r="B411" s="32">
        <f>'20250815_ETF_Options_Exhibits'!AD411</f>
        <v/>
      </c>
      <c r="C411" s="32">
        <f>'20250815_ETF_Options_Exhibits'!AE411</f>
        <v/>
      </c>
    </row>
    <row r="412">
      <c r="A412" s="1">
        <f>'20250815_ETF_Options_Exhibits'!AC412</f>
        <v/>
      </c>
      <c r="B412" s="32">
        <f>'20250815_ETF_Options_Exhibits'!AD412</f>
        <v/>
      </c>
      <c r="C412" s="32">
        <f>'20250815_ETF_Options_Exhibits'!AE412</f>
        <v/>
      </c>
    </row>
    <row r="413">
      <c r="A413" s="1">
        <f>'20250815_ETF_Options_Exhibits'!AC413</f>
        <v/>
      </c>
      <c r="B413" s="32">
        <f>'20250815_ETF_Options_Exhibits'!AD413</f>
        <v/>
      </c>
      <c r="C413" s="32">
        <f>'20250815_ETF_Options_Exhibits'!AE413</f>
        <v/>
      </c>
    </row>
    <row r="414">
      <c r="A414" s="1">
        <f>'20250815_ETF_Options_Exhibits'!AC414</f>
        <v/>
      </c>
      <c r="B414" s="32">
        <f>'20250815_ETF_Options_Exhibits'!AD414</f>
        <v/>
      </c>
      <c r="C414" s="32">
        <f>'20250815_ETF_Options_Exhibits'!AE414</f>
        <v/>
      </c>
    </row>
    <row r="415">
      <c r="A415" s="1">
        <f>'20250815_ETF_Options_Exhibits'!AC415</f>
        <v/>
      </c>
      <c r="B415" s="32">
        <f>'20250815_ETF_Options_Exhibits'!AD415</f>
        <v/>
      </c>
      <c r="C415" s="32">
        <f>'20250815_ETF_Options_Exhibits'!AE415</f>
        <v/>
      </c>
    </row>
    <row r="416">
      <c r="A416" s="1">
        <f>'20250815_ETF_Options_Exhibits'!AC416</f>
        <v/>
      </c>
      <c r="B416" s="32">
        <f>'20250815_ETF_Options_Exhibits'!AD416</f>
        <v/>
      </c>
      <c r="C416" s="32">
        <f>'20250815_ETF_Options_Exhibits'!AE416</f>
        <v/>
      </c>
    </row>
    <row r="417">
      <c r="A417" s="1">
        <f>'20250815_ETF_Options_Exhibits'!AC417</f>
        <v/>
      </c>
      <c r="B417" s="32">
        <f>'20250815_ETF_Options_Exhibits'!AD417</f>
        <v/>
      </c>
      <c r="C417" s="32">
        <f>'20250815_ETF_Options_Exhibits'!AE417</f>
        <v/>
      </c>
    </row>
    <row r="418">
      <c r="A418" s="1">
        <f>'20250815_ETF_Options_Exhibits'!AC418</f>
        <v/>
      </c>
      <c r="B418" s="32">
        <f>'20250815_ETF_Options_Exhibits'!AD418</f>
        <v/>
      </c>
      <c r="C418" s="32">
        <f>'20250815_ETF_Options_Exhibits'!AE418</f>
        <v/>
      </c>
    </row>
    <row r="419">
      <c r="A419" s="1">
        <f>'20250815_ETF_Options_Exhibits'!AC419</f>
        <v/>
      </c>
      <c r="B419" s="32">
        <f>'20250815_ETF_Options_Exhibits'!AD419</f>
        <v/>
      </c>
      <c r="C419" s="32">
        <f>'20250815_ETF_Options_Exhibits'!AE419</f>
        <v/>
      </c>
    </row>
    <row r="420">
      <c r="A420" s="1">
        <f>'20250815_ETF_Options_Exhibits'!AC420</f>
        <v/>
      </c>
      <c r="B420" s="32">
        <f>'20250815_ETF_Options_Exhibits'!AD420</f>
        <v/>
      </c>
      <c r="C420" s="32">
        <f>'20250815_ETF_Options_Exhibits'!AE420</f>
        <v/>
      </c>
    </row>
    <row r="421">
      <c r="A421" s="1">
        <f>'20250815_ETF_Options_Exhibits'!AC421</f>
        <v/>
      </c>
      <c r="B421" s="32">
        <f>'20250815_ETF_Options_Exhibits'!AD421</f>
        <v/>
      </c>
      <c r="C421" s="32">
        <f>'20250815_ETF_Options_Exhibits'!AE421</f>
        <v/>
      </c>
    </row>
    <row r="422">
      <c r="A422" s="1">
        <f>'20250815_ETF_Options_Exhibits'!AC422</f>
        <v/>
      </c>
      <c r="B422" s="32">
        <f>'20250815_ETF_Options_Exhibits'!AD422</f>
        <v/>
      </c>
      <c r="C422" s="32">
        <f>'20250815_ETF_Options_Exhibits'!AE422</f>
        <v/>
      </c>
    </row>
    <row r="423">
      <c r="A423" s="1">
        <f>'20250815_ETF_Options_Exhibits'!AC423</f>
        <v/>
      </c>
      <c r="B423" s="32">
        <f>'20250815_ETF_Options_Exhibits'!AD423</f>
        <v/>
      </c>
      <c r="C423" s="32">
        <f>'20250815_ETF_Options_Exhibits'!AE423</f>
        <v/>
      </c>
    </row>
    <row r="424">
      <c r="A424" s="1">
        <f>'20250815_ETF_Options_Exhibits'!AC424</f>
        <v/>
      </c>
      <c r="B424" s="32">
        <f>'20250815_ETF_Options_Exhibits'!AD424</f>
        <v/>
      </c>
      <c r="C424" s="32">
        <f>'20250815_ETF_Options_Exhibits'!AE424</f>
        <v/>
      </c>
    </row>
    <row r="425">
      <c r="A425" s="1">
        <f>'20250815_ETF_Options_Exhibits'!AC425</f>
        <v/>
      </c>
      <c r="B425" s="32">
        <f>'20250815_ETF_Options_Exhibits'!AD425</f>
        <v/>
      </c>
      <c r="C425" s="32">
        <f>'20250815_ETF_Options_Exhibits'!AE425</f>
        <v/>
      </c>
    </row>
    <row r="426">
      <c r="A426" s="1">
        <f>'20250815_ETF_Options_Exhibits'!AC426</f>
        <v/>
      </c>
      <c r="B426" s="32">
        <f>'20250815_ETF_Options_Exhibits'!AD426</f>
        <v/>
      </c>
      <c r="C426" s="32">
        <f>'20250815_ETF_Options_Exhibits'!AE426</f>
        <v/>
      </c>
    </row>
    <row r="427">
      <c r="A427" s="1">
        <f>'20250815_ETF_Options_Exhibits'!AC427</f>
        <v/>
      </c>
      <c r="B427" s="32">
        <f>'20250815_ETF_Options_Exhibits'!AD427</f>
        <v/>
      </c>
      <c r="C427" s="32">
        <f>'20250815_ETF_Options_Exhibits'!AE427</f>
        <v/>
      </c>
    </row>
    <row r="428">
      <c r="A428" s="1">
        <f>'20250815_ETF_Options_Exhibits'!AC428</f>
        <v/>
      </c>
      <c r="B428" s="32">
        <f>'20250815_ETF_Options_Exhibits'!AD428</f>
        <v/>
      </c>
      <c r="C428" s="32">
        <f>'20250815_ETF_Options_Exhibits'!AE428</f>
        <v/>
      </c>
    </row>
    <row r="429">
      <c r="A429" s="1">
        <f>'20250815_ETF_Options_Exhibits'!AC429</f>
        <v/>
      </c>
      <c r="B429" s="32">
        <f>'20250815_ETF_Options_Exhibits'!AD429</f>
        <v/>
      </c>
      <c r="C429" s="32">
        <f>'20250815_ETF_Options_Exhibits'!AE429</f>
        <v/>
      </c>
    </row>
    <row r="430">
      <c r="A430" s="1">
        <f>'20250815_ETF_Options_Exhibits'!AC430</f>
        <v/>
      </c>
      <c r="B430" s="32">
        <f>'20250815_ETF_Options_Exhibits'!AD430</f>
        <v/>
      </c>
      <c r="C430" s="32">
        <f>'20250815_ETF_Options_Exhibits'!AE430</f>
        <v/>
      </c>
    </row>
    <row r="431">
      <c r="A431" s="1">
        <f>'20250815_ETF_Options_Exhibits'!AC431</f>
        <v/>
      </c>
      <c r="B431" s="32">
        <f>'20250815_ETF_Options_Exhibits'!AD431</f>
        <v/>
      </c>
      <c r="C431" s="32">
        <f>'20250815_ETF_Options_Exhibits'!AE431</f>
        <v/>
      </c>
    </row>
    <row r="432">
      <c r="A432" s="1">
        <f>'20250815_ETF_Options_Exhibits'!AC432</f>
        <v/>
      </c>
      <c r="B432" s="32">
        <f>'20250815_ETF_Options_Exhibits'!AD432</f>
        <v/>
      </c>
      <c r="C432" s="32">
        <f>'20250815_ETF_Options_Exhibits'!AE432</f>
        <v/>
      </c>
    </row>
    <row r="433">
      <c r="A433" s="1">
        <f>'20250815_ETF_Options_Exhibits'!AC433</f>
        <v/>
      </c>
      <c r="B433" s="32">
        <f>'20250815_ETF_Options_Exhibits'!AD433</f>
        <v/>
      </c>
      <c r="C433" s="32">
        <f>'20250815_ETF_Options_Exhibits'!AE433</f>
        <v/>
      </c>
    </row>
    <row r="434">
      <c r="A434" s="1">
        <f>'20250815_ETF_Options_Exhibits'!AC434</f>
        <v/>
      </c>
      <c r="B434" s="32">
        <f>'20250815_ETF_Options_Exhibits'!AD434</f>
        <v/>
      </c>
      <c r="C434" s="32">
        <f>'20250815_ETF_Options_Exhibits'!AE434</f>
        <v/>
      </c>
    </row>
    <row r="435">
      <c r="A435" s="1">
        <f>'20250815_ETF_Options_Exhibits'!AC435</f>
        <v/>
      </c>
      <c r="B435" s="32">
        <f>'20250815_ETF_Options_Exhibits'!AD435</f>
        <v/>
      </c>
      <c r="C435" s="32">
        <f>'20250815_ETF_Options_Exhibits'!AE435</f>
        <v/>
      </c>
    </row>
    <row r="436">
      <c r="A436" s="1">
        <f>'20250815_ETF_Options_Exhibits'!AC436</f>
        <v/>
      </c>
      <c r="B436" s="32">
        <f>'20250815_ETF_Options_Exhibits'!AD436</f>
        <v/>
      </c>
      <c r="C436" s="32">
        <f>'20250815_ETF_Options_Exhibits'!AE436</f>
        <v/>
      </c>
    </row>
    <row r="437">
      <c r="A437" s="1">
        <f>'20250815_ETF_Options_Exhibits'!AC437</f>
        <v/>
      </c>
      <c r="B437" s="32">
        <f>'20250815_ETF_Options_Exhibits'!AD437</f>
        <v/>
      </c>
      <c r="C437" s="32">
        <f>'20250815_ETF_Options_Exhibits'!AE437</f>
        <v/>
      </c>
    </row>
    <row r="438">
      <c r="A438" s="1">
        <f>'20250815_ETF_Options_Exhibits'!AC438</f>
        <v/>
      </c>
      <c r="B438" s="32">
        <f>'20250815_ETF_Options_Exhibits'!AD438</f>
        <v/>
      </c>
      <c r="C438" s="32">
        <f>'20250815_ETF_Options_Exhibits'!AE438</f>
        <v/>
      </c>
    </row>
    <row r="439">
      <c r="A439" s="1">
        <f>'20250815_ETF_Options_Exhibits'!AC439</f>
        <v/>
      </c>
      <c r="B439" s="32">
        <f>'20250815_ETF_Options_Exhibits'!AD439</f>
        <v/>
      </c>
      <c r="C439" s="32">
        <f>'20250815_ETF_Options_Exhibits'!AE439</f>
        <v/>
      </c>
    </row>
    <row r="440">
      <c r="A440" s="1">
        <f>'20250815_ETF_Options_Exhibits'!AC440</f>
        <v/>
      </c>
      <c r="B440" s="32">
        <f>'20250815_ETF_Options_Exhibits'!AD440</f>
        <v/>
      </c>
      <c r="C440" s="32">
        <f>'20250815_ETF_Options_Exhibits'!AE440</f>
        <v/>
      </c>
    </row>
    <row r="441">
      <c r="A441" s="1">
        <f>'20250815_ETF_Options_Exhibits'!AC441</f>
        <v/>
      </c>
      <c r="B441" s="32">
        <f>'20250815_ETF_Options_Exhibits'!AD441</f>
        <v/>
      </c>
      <c r="C441" s="32">
        <f>'20250815_ETF_Options_Exhibits'!AE441</f>
        <v/>
      </c>
    </row>
    <row r="442">
      <c r="A442" s="1">
        <f>'20250815_ETF_Options_Exhibits'!AC442</f>
        <v/>
      </c>
      <c r="B442" s="32">
        <f>'20250815_ETF_Options_Exhibits'!AD442</f>
        <v/>
      </c>
      <c r="C442" s="32">
        <f>'20250815_ETF_Options_Exhibits'!AE442</f>
        <v/>
      </c>
    </row>
    <row r="443">
      <c r="A443" s="1">
        <f>'20250815_ETF_Options_Exhibits'!AC443</f>
        <v/>
      </c>
      <c r="B443" s="32">
        <f>'20250815_ETF_Options_Exhibits'!AD443</f>
        <v/>
      </c>
      <c r="C443" s="32">
        <f>'20250815_ETF_Options_Exhibits'!AE443</f>
        <v/>
      </c>
    </row>
    <row r="444">
      <c r="A444" s="1">
        <f>'20250815_ETF_Options_Exhibits'!AC444</f>
        <v/>
      </c>
      <c r="B444" s="32">
        <f>'20250815_ETF_Options_Exhibits'!AD444</f>
        <v/>
      </c>
      <c r="C444" s="32">
        <f>'20250815_ETF_Options_Exhibits'!AE444</f>
        <v/>
      </c>
    </row>
    <row r="445">
      <c r="A445" s="1">
        <f>'20250815_ETF_Options_Exhibits'!AC445</f>
        <v/>
      </c>
      <c r="B445" s="32">
        <f>'20250815_ETF_Options_Exhibits'!AD445</f>
        <v/>
      </c>
      <c r="C445" s="32">
        <f>'20250815_ETF_Options_Exhibits'!AE445</f>
        <v/>
      </c>
    </row>
    <row r="446">
      <c r="A446" s="1">
        <f>'20250815_ETF_Options_Exhibits'!AC446</f>
        <v/>
      </c>
      <c r="B446" s="32">
        <f>'20250815_ETF_Options_Exhibits'!AD446</f>
        <v/>
      </c>
      <c r="C446" s="32">
        <f>'20250815_ETF_Options_Exhibits'!AE446</f>
        <v/>
      </c>
    </row>
    <row r="447">
      <c r="A447" s="1">
        <f>'20250815_ETF_Options_Exhibits'!AC447</f>
        <v/>
      </c>
      <c r="B447" s="32">
        <f>'20250815_ETF_Options_Exhibits'!AD447</f>
        <v/>
      </c>
      <c r="C447" s="32">
        <f>'20250815_ETF_Options_Exhibits'!AE447</f>
        <v/>
      </c>
    </row>
    <row r="448">
      <c r="A448" s="1">
        <f>'20250815_ETF_Options_Exhibits'!AC448</f>
        <v/>
      </c>
      <c r="B448" s="32">
        <f>'20250815_ETF_Options_Exhibits'!AD448</f>
        <v/>
      </c>
      <c r="C448" s="32">
        <f>'20250815_ETF_Options_Exhibits'!AE448</f>
        <v/>
      </c>
    </row>
    <row r="449">
      <c r="A449" s="1">
        <f>'20250815_ETF_Options_Exhibits'!AC449</f>
        <v/>
      </c>
      <c r="B449" s="32">
        <f>'20250815_ETF_Options_Exhibits'!AD449</f>
        <v/>
      </c>
      <c r="C449" s="32">
        <f>'20250815_ETF_Options_Exhibits'!AE449</f>
        <v/>
      </c>
    </row>
    <row r="450">
      <c r="A450" s="1">
        <f>'20250815_ETF_Options_Exhibits'!AC450</f>
        <v/>
      </c>
      <c r="B450" s="32">
        <f>'20250815_ETF_Options_Exhibits'!AD450</f>
        <v/>
      </c>
      <c r="C450" s="32">
        <f>'20250815_ETF_Options_Exhibits'!AE450</f>
        <v/>
      </c>
    </row>
    <row r="451">
      <c r="A451" s="1">
        <f>'20250815_ETF_Options_Exhibits'!AC451</f>
        <v/>
      </c>
      <c r="B451" s="32">
        <f>'20250815_ETF_Options_Exhibits'!AD451</f>
        <v/>
      </c>
      <c r="C451" s="32">
        <f>'20250815_ETF_Options_Exhibits'!AE451</f>
        <v/>
      </c>
    </row>
    <row r="452">
      <c r="A452" s="1">
        <f>'20250815_ETF_Options_Exhibits'!AC452</f>
        <v/>
      </c>
      <c r="B452" s="32">
        <f>'20250815_ETF_Options_Exhibits'!AD452</f>
        <v/>
      </c>
      <c r="C452" s="32">
        <f>'20250815_ETF_Options_Exhibits'!AE452</f>
        <v/>
      </c>
    </row>
    <row r="453">
      <c r="A453" s="1">
        <f>'20250815_ETF_Options_Exhibits'!AC453</f>
        <v/>
      </c>
      <c r="B453" s="32">
        <f>'20250815_ETF_Options_Exhibits'!AD453</f>
        <v/>
      </c>
      <c r="C453" s="32">
        <f>'20250815_ETF_Options_Exhibits'!AE453</f>
        <v/>
      </c>
    </row>
    <row r="454">
      <c r="A454" s="1">
        <f>'20250815_ETF_Options_Exhibits'!AC454</f>
        <v/>
      </c>
      <c r="B454" s="32">
        <f>'20250815_ETF_Options_Exhibits'!AD454</f>
        <v/>
      </c>
      <c r="C454" s="32">
        <f>'20250815_ETF_Options_Exhibits'!AE454</f>
        <v/>
      </c>
    </row>
    <row r="455">
      <c r="A455" s="1">
        <f>'20250815_ETF_Options_Exhibits'!AC455</f>
        <v/>
      </c>
      <c r="B455" s="32">
        <f>'20250815_ETF_Options_Exhibits'!AD455</f>
        <v/>
      </c>
      <c r="C455" s="32">
        <f>'20250815_ETF_Options_Exhibits'!AE455</f>
        <v/>
      </c>
    </row>
    <row r="456">
      <c r="A456" s="1">
        <f>'20250815_ETF_Options_Exhibits'!AC456</f>
        <v/>
      </c>
      <c r="B456" s="32">
        <f>'20250815_ETF_Options_Exhibits'!AD456</f>
        <v/>
      </c>
      <c r="C456" s="32">
        <f>'20250815_ETF_Options_Exhibits'!AE456</f>
        <v/>
      </c>
    </row>
    <row r="457">
      <c r="A457" s="1">
        <f>'20250815_ETF_Options_Exhibits'!AC457</f>
        <v/>
      </c>
      <c r="B457" s="32">
        <f>'20250815_ETF_Options_Exhibits'!AD457</f>
        <v/>
      </c>
      <c r="C457" s="32">
        <f>'20250815_ETF_Options_Exhibits'!AE457</f>
        <v/>
      </c>
    </row>
    <row r="458">
      <c r="A458" s="1">
        <f>'20250815_ETF_Options_Exhibits'!AC458</f>
        <v/>
      </c>
      <c r="B458" s="32">
        <f>'20250815_ETF_Options_Exhibits'!AD458</f>
        <v/>
      </c>
      <c r="C458" s="32">
        <f>'20250815_ETF_Options_Exhibits'!AE458</f>
        <v/>
      </c>
    </row>
    <row r="459">
      <c r="A459" s="1">
        <f>'20250815_ETF_Options_Exhibits'!AC459</f>
        <v/>
      </c>
      <c r="B459" s="32">
        <f>'20250815_ETF_Options_Exhibits'!AD459</f>
        <v/>
      </c>
      <c r="C459" s="32">
        <f>'20250815_ETF_Options_Exhibits'!AE459</f>
        <v/>
      </c>
    </row>
    <row r="460">
      <c r="A460" s="1">
        <f>'20250815_ETF_Options_Exhibits'!AC460</f>
        <v/>
      </c>
      <c r="B460" s="32">
        <f>'20250815_ETF_Options_Exhibits'!AD460</f>
        <v/>
      </c>
      <c r="C460" s="32">
        <f>'20250815_ETF_Options_Exhibits'!AE460</f>
        <v/>
      </c>
    </row>
    <row r="461">
      <c r="A461" s="1">
        <f>'20250815_ETF_Options_Exhibits'!AC461</f>
        <v/>
      </c>
      <c r="B461" s="32">
        <f>'20250815_ETF_Options_Exhibits'!AD461</f>
        <v/>
      </c>
      <c r="C461" s="32">
        <f>'20250815_ETF_Options_Exhibits'!AE461</f>
        <v/>
      </c>
    </row>
    <row r="462">
      <c r="A462" s="1">
        <f>'20250815_ETF_Options_Exhibits'!AC462</f>
        <v/>
      </c>
      <c r="B462" s="32">
        <f>'20250815_ETF_Options_Exhibits'!AD462</f>
        <v/>
      </c>
      <c r="C462" s="32">
        <f>'20250815_ETF_Options_Exhibits'!AE462</f>
        <v/>
      </c>
    </row>
    <row r="463">
      <c r="A463" s="1">
        <f>'20250815_ETF_Options_Exhibits'!AC463</f>
        <v/>
      </c>
      <c r="B463" s="32">
        <f>'20250815_ETF_Options_Exhibits'!AD463</f>
        <v/>
      </c>
      <c r="C463" s="32">
        <f>'20250815_ETF_Options_Exhibits'!AE463</f>
        <v/>
      </c>
    </row>
    <row r="464">
      <c r="A464" s="1">
        <f>'20250815_ETF_Options_Exhibits'!AC464</f>
        <v/>
      </c>
      <c r="B464" s="32">
        <f>'20250815_ETF_Options_Exhibits'!AD464</f>
        <v/>
      </c>
      <c r="C464" s="32">
        <f>'20250815_ETF_Options_Exhibits'!AE464</f>
        <v/>
      </c>
    </row>
    <row r="465">
      <c r="A465" s="1">
        <f>'20250815_ETF_Options_Exhibits'!AC465</f>
        <v/>
      </c>
      <c r="B465" s="32">
        <f>'20250815_ETF_Options_Exhibits'!AD465</f>
        <v/>
      </c>
      <c r="C465" s="32">
        <f>'20250815_ETF_Options_Exhibits'!AE465</f>
        <v/>
      </c>
    </row>
    <row r="466">
      <c r="A466" s="1">
        <f>'20250815_ETF_Options_Exhibits'!AC466</f>
        <v/>
      </c>
      <c r="B466" s="32">
        <f>'20250815_ETF_Options_Exhibits'!AD466</f>
        <v/>
      </c>
      <c r="C466" s="32">
        <f>'20250815_ETF_Options_Exhibits'!AE466</f>
        <v/>
      </c>
    </row>
    <row r="467">
      <c r="A467" s="1">
        <f>'20250815_ETF_Options_Exhibits'!AC467</f>
        <v/>
      </c>
      <c r="B467" s="32">
        <f>'20250815_ETF_Options_Exhibits'!AD467</f>
        <v/>
      </c>
      <c r="C467" s="32">
        <f>'20250815_ETF_Options_Exhibits'!AE467</f>
        <v/>
      </c>
    </row>
    <row r="468">
      <c r="A468" s="1">
        <f>'20250815_ETF_Options_Exhibits'!AC468</f>
        <v/>
      </c>
      <c r="B468" s="32">
        <f>'20250815_ETF_Options_Exhibits'!AD468</f>
        <v/>
      </c>
      <c r="C468" s="32">
        <f>'20250815_ETF_Options_Exhibits'!AE468</f>
        <v/>
      </c>
    </row>
    <row r="469">
      <c r="A469" s="1">
        <f>'20250815_ETF_Options_Exhibits'!AC469</f>
        <v/>
      </c>
      <c r="B469" s="32">
        <f>'20250815_ETF_Options_Exhibits'!AD469</f>
        <v/>
      </c>
      <c r="C469" s="32">
        <f>'20250815_ETF_Options_Exhibits'!AE469</f>
        <v/>
      </c>
    </row>
    <row r="470">
      <c r="A470" s="1">
        <f>'20250815_ETF_Options_Exhibits'!AC470</f>
        <v/>
      </c>
      <c r="B470" s="32">
        <f>'20250815_ETF_Options_Exhibits'!AD470</f>
        <v/>
      </c>
      <c r="C470" s="32">
        <f>'20250815_ETF_Options_Exhibits'!AE470</f>
        <v/>
      </c>
    </row>
    <row r="471">
      <c r="A471" s="1">
        <f>'20250815_ETF_Options_Exhibits'!AC471</f>
        <v/>
      </c>
      <c r="B471" s="32">
        <f>'20250815_ETF_Options_Exhibits'!AD471</f>
        <v/>
      </c>
      <c r="C471" s="32">
        <f>'20250815_ETF_Options_Exhibits'!AE471</f>
        <v/>
      </c>
    </row>
    <row r="472">
      <c r="A472" s="1">
        <f>'20250815_ETF_Options_Exhibits'!AC472</f>
        <v/>
      </c>
      <c r="B472" s="32">
        <f>'20250815_ETF_Options_Exhibits'!AD472</f>
        <v/>
      </c>
      <c r="C472" s="32">
        <f>'20250815_ETF_Options_Exhibits'!AE472</f>
        <v/>
      </c>
    </row>
    <row r="473">
      <c r="A473" s="1">
        <f>'20250815_ETF_Options_Exhibits'!AC473</f>
        <v/>
      </c>
      <c r="B473" s="32">
        <f>'20250815_ETF_Options_Exhibits'!AD473</f>
        <v/>
      </c>
      <c r="C473" s="32">
        <f>'20250815_ETF_Options_Exhibits'!AE473</f>
        <v/>
      </c>
    </row>
    <row r="474">
      <c r="A474" s="1">
        <f>'20250815_ETF_Options_Exhibits'!AC474</f>
        <v/>
      </c>
      <c r="B474" s="32">
        <f>'20250815_ETF_Options_Exhibits'!AD474</f>
        <v/>
      </c>
      <c r="C474" s="32">
        <f>'20250815_ETF_Options_Exhibits'!AE474</f>
        <v/>
      </c>
    </row>
    <row r="475">
      <c r="A475" s="1">
        <f>'20250815_ETF_Options_Exhibits'!AC475</f>
        <v/>
      </c>
      <c r="B475" s="32">
        <f>'20250815_ETF_Options_Exhibits'!AD475</f>
        <v/>
      </c>
      <c r="C475" s="32">
        <f>'20250815_ETF_Options_Exhibits'!AE475</f>
        <v/>
      </c>
    </row>
    <row r="476">
      <c r="A476" s="1">
        <f>'20250815_ETF_Options_Exhibits'!AC476</f>
        <v/>
      </c>
      <c r="B476" s="32">
        <f>'20250815_ETF_Options_Exhibits'!AD476</f>
        <v/>
      </c>
      <c r="C476" s="32">
        <f>'20250815_ETF_Options_Exhibits'!AE476</f>
        <v/>
      </c>
    </row>
    <row r="477">
      <c r="A477" s="1">
        <f>'20250815_ETF_Options_Exhibits'!AC477</f>
        <v/>
      </c>
      <c r="B477" s="32">
        <f>'20250815_ETF_Options_Exhibits'!AD477</f>
        <v/>
      </c>
      <c r="C477" s="32">
        <f>'20250815_ETF_Options_Exhibits'!AE477</f>
        <v/>
      </c>
    </row>
    <row r="478">
      <c r="A478" s="1">
        <f>'20250815_ETF_Options_Exhibits'!AC478</f>
        <v/>
      </c>
      <c r="B478" s="32">
        <f>'20250815_ETF_Options_Exhibits'!AD478</f>
        <v/>
      </c>
      <c r="C478" s="32">
        <f>'20250815_ETF_Options_Exhibits'!AE478</f>
        <v/>
      </c>
    </row>
    <row r="479">
      <c r="A479" s="1">
        <f>'20250815_ETF_Options_Exhibits'!AC479</f>
        <v/>
      </c>
      <c r="B479" s="32">
        <f>'20250815_ETF_Options_Exhibits'!AD479</f>
        <v/>
      </c>
      <c r="C479" s="32">
        <f>'20250815_ETF_Options_Exhibits'!AE479</f>
        <v/>
      </c>
    </row>
    <row r="480">
      <c r="A480" s="1">
        <f>'20250815_ETF_Options_Exhibits'!AC480</f>
        <v/>
      </c>
      <c r="B480" s="32">
        <f>'20250815_ETF_Options_Exhibits'!AD480</f>
        <v/>
      </c>
      <c r="C480" s="32">
        <f>'20250815_ETF_Options_Exhibits'!AE480</f>
        <v/>
      </c>
    </row>
    <row r="481">
      <c r="A481" s="1">
        <f>'20250815_ETF_Options_Exhibits'!AC481</f>
        <v/>
      </c>
      <c r="B481" s="32">
        <f>'20250815_ETF_Options_Exhibits'!AD481</f>
        <v/>
      </c>
      <c r="C481" s="32">
        <f>'20250815_ETF_Options_Exhibits'!AE481</f>
        <v/>
      </c>
    </row>
    <row r="482">
      <c r="A482" s="1">
        <f>'20250815_ETF_Options_Exhibits'!AC482</f>
        <v/>
      </c>
      <c r="B482" s="32">
        <f>'20250815_ETF_Options_Exhibits'!AD482</f>
        <v/>
      </c>
      <c r="C482" s="32">
        <f>'20250815_ETF_Options_Exhibits'!AE482</f>
        <v/>
      </c>
    </row>
    <row r="483">
      <c r="A483" s="1">
        <f>'20250815_ETF_Options_Exhibits'!AC483</f>
        <v/>
      </c>
      <c r="B483" s="32">
        <f>'20250815_ETF_Options_Exhibits'!AD483</f>
        <v/>
      </c>
      <c r="C483" s="32">
        <f>'20250815_ETF_Options_Exhibits'!AE483</f>
        <v/>
      </c>
    </row>
    <row r="484">
      <c r="A484" s="1">
        <f>'20250815_ETF_Options_Exhibits'!AC484</f>
        <v/>
      </c>
      <c r="B484" s="32">
        <f>'20250815_ETF_Options_Exhibits'!AD484</f>
        <v/>
      </c>
      <c r="C484" s="32">
        <f>'20250815_ETF_Options_Exhibits'!AE484</f>
        <v/>
      </c>
    </row>
    <row r="485">
      <c r="A485" s="1">
        <f>'20250815_ETF_Options_Exhibits'!AC485</f>
        <v/>
      </c>
      <c r="B485" s="32">
        <f>'20250815_ETF_Options_Exhibits'!AD485</f>
        <v/>
      </c>
      <c r="C485" s="32">
        <f>'20250815_ETF_Options_Exhibits'!AE485</f>
        <v/>
      </c>
    </row>
    <row r="486">
      <c r="A486" s="1">
        <f>'20250815_ETF_Options_Exhibits'!AC486</f>
        <v/>
      </c>
      <c r="B486" s="32">
        <f>'20250815_ETF_Options_Exhibits'!AD486</f>
        <v/>
      </c>
      <c r="C486" s="32">
        <f>'20250815_ETF_Options_Exhibits'!AE486</f>
        <v/>
      </c>
    </row>
    <row r="487">
      <c r="A487" s="1">
        <f>'20250815_ETF_Options_Exhibits'!AC487</f>
        <v/>
      </c>
      <c r="B487" s="32">
        <f>'20250815_ETF_Options_Exhibits'!AD487</f>
        <v/>
      </c>
      <c r="C487" s="32">
        <f>'20250815_ETF_Options_Exhibits'!AE487</f>
        <v/>
      </c>
    </row>
    <row r="488">
      <c r="A488" s="1">
        <f>'20250815_ETF_Options_Exhibits'!AC488</f>
        <v/>
      </c>
      <c r="B488" s="32">
        <f>'20250815_ETF_Options_Exhibits'!AD488</f>
        <v/>
      </c>
      <c r="C488" s="32">
        <f>'20250815_ETF_Options_Exhibits'!AE488</f>
        <v/>
      </c>
    </row>
    <row r="489">
      <c r="A489" s="1">
        <f>'20250815_ETF_Options_Exhibits'!AC489</f>
        <v/>
      </c>
      <c r="B489" s="32">
        <f>'20250815_ETF_Options_Exhibits'!AD489</f>
        <v/>
      </c>
      <c r="C489" s="32">
        <f>'20250815_ETF_Options_Exhibits'!AE489</f>
        <v/>
      </c>
    </row>
    <row r="490">
      <c r="A490" s="1">
        <f>'20250815_ETF_Options_Exhibits'!AC490</f>
        <v/>
      </c>
      <c r="B490" s="32">
        <f>'20250815_ETF_Options_Exhibits'!AD490</f>
        <v/>
      </c>
      <c r="C490" s="32">
        <f>'20250815_ETF_Options_Exhibits'!AE490</f>
        <v/>
      </c>
    </row>
    <row r="491">
      <c r="A491" s="1">
        <f>'20250815_ETF_Options_Exhibits'!AC491</f>
        <v/>
      </c>
      <c r="B491" s="32">
        <f>'20250815_ETF_Options_Exhibits'!AD491</f>
        <v/>
      </c>
      <c r="C491" s="32">
        <f>'20250815_ETF_Options_Exhibits'!AE491</f>
        <v/>
      </c>
    </row>
    <row r="492">
      <c r="A492" s="1">
        <f>'20250815_ETF_Options_Exhibits'!AC492</f>
        <v/>
      </c>
      <c r="B492" s="32">
        <f>'20250815_ETF_Options_Exhibits'!AD492</f>
        <v/>
      </c>
      <c r="C492" s="32">
        <f>'20250815_ETF_Options_Exhibits'!AE492</f>
        <v/>
      </c>
    </row>
    <row r="493">
      <c r="A493" s="1">
        <f>'20250815_ETF_Options_Exhibits'!AC493</f>
        <v/>
      </c>
      <c r="B493" s="32">
        <f>'20250815_ETF_Options_Exhibits'!AD493</f>
        <v/>
      </c>
      <c r="C493" s="32">
        <f>'20250815_ETF_Options_Exhibits'!AE493</f>
        <v/>
      </c>
    </row>
    <row r="494">
      <c r="A494" s="1">
        <f>'20250815_ETF_Options_Exhibits'!AC494</f>
        <v/>
      </c>
      <c r="B494" s="32">
        <f>'20250815_ETF_Options_Exhibits'!AD494</f>
        <v/>
      </c>
      <c r="C494" s="32">
        <f>'20250815_ETF_Options_Exhibits'!AE494</f>
        <v/>
      </c>
    </row>
    <row r="495">
      <c r="A495" s="1">
        <f>'20250815_ETF_Options_Exhibits'!AC495</f>
        <v/>
      </c>
      <c r="B495" s="32">
        <f>'20250815_ETF_Options_Exhibits'!AD495</f>
        <v/>
      </c>
      <c r="C495" s="32">
        <f>'20250815_ETF_Options_Exhibits'!AE495</f>
        <v/>
      </c>
    </row>
    <row r="496">
      <c r="A496" s="1">
        <f>'20250815_ETF_Options_Exhibits'!AC496</f>
        <v/>
      </c>
      <c r="B496" s="32">
        <f>'20250815_ETF_Options_Exhibits'!AD496</f>
        <v/>
      </c>
      <c r="C496" s="32">
        <f>'20250815_ETF_Options_Exhibits'!AE496</f>
        <v/>
      </c>
    </row>
    <row r="497">
      <c r="A497" s="1">
        <f>'20250815_ETF_Options_Exhibits'!AC497</f>
        <v/>
      </c>
      <c r="B497" s="32">
        <f>'20250815_ETF_Options_Exhibits'!AD497</f>
        <v/>
      </c>
      <c r="C497" s="32">
        <f>'20250815_ETF_Options_Exhibits'!AE497</f>
        <v/>
      </c>
    </row>
    <row r="498">
      <c r="A498" s="1">
        <f>'20250815_ETF_Options_Exhibits'!AC498</f>
        <v/>
      </c>
      <c r="B498" s="32">
        <f>'20250815_ETF_Options_Exhibits'!AD498</f>
        <v/>
      </c>
      <c r="C498" s="32">
        <f>'20250815_ETF_Options_Exhibits'!AE498</f>
        <v/>
      </c>
    </row>
    <row r="499">
      <c r="A499" s="1">
        <f>'20250815_ETF_Options_Exhibits'!AC499</f>
        <v/>
      </c>
      <c r="B499" s="32">
        <f>'20250815_ETF_Options_Exhibits'!AD499</f>
        <v/>
      </c>
      <c r="C499" s="32">
        <f>'20250815_ETF_Options_Exhibits'!AE499</f>
        <v/>
      </c>
    </row>
    <row r="500">
      <c r="A500" s="1">
        <f>'20250815_ETF_Options_Exhibits'!AC500</f>
        <v/>
      </c>
      <c r="B500" s="32">
        <f>'20250815_ETF_Options_Exhibits'!AD500</f>
        <v/>
      </c>
      <c r="C500" s="32">
        <f>'20250815_ETF_Options_Exhibits'!AE500</f>
        <v/>
      </c>
    </row>
    <row r="501">
      <c r="A501" s="1">
        <f>'20250815_ETF_Options_Exhibits'!AC501</f>
        <v/>
      </c>
      <c r="B501" s="32">
        <f>'20250815_ETF_Options_Exhibits'!AD501</f>
        <v/>
      </c>
      <c r="C501" s="32">
        <f>'20250815_ETF_Options_Exhibits'!AE501</f>
        <v/>
      </c>
    </row>
    <row r="502">
      <c r="A502" s="1">
        <f>'20250815_ETF_Options_Exhibits'!AC502</f>
        <v/>
      </c>
      <c r="B502" s="32">
        <f>'20250815_ETF_Options_Exhibits'!AD502</f>
        <v/>
      </c>
      <c r="C502" s="32">
        <f>'20250815_ETF_Options_Exhibits'!AE502</f>
        <v/>
      </c>
    </row>
    <row r="503">
      <c r="A503" s="1">
        <f>'20250815_ETF_Options_Exhibits'!AC503</f>
        <v/>
      </c>
      <c r="B503" s="32">
        <f>'20250815_ETF_Options_Exhibits'!AD503</f>
        <v/>
      </c>
      <c r="C503" s="32">
        <f>'20250815_ETF_Options_Exhibits'!AE503</f>
        <v/>
      </c>
    </row>
    <row r="504">
      <c r="A504" s="1">
        <f>'20250815_ETF_Options_Exhibits'!AC504</f>
        <v/>
      </c>
      <c r="B504" s="32">
        <f>'20250815_ETF_Options_Exhibits'!AD504</f>
        <v/>
      </c>
      <c r="C504" s="32">
        <f>'20250815_ETF_Options_Exhibits'!AE504</f>
        <v/>
      </c>
    </row>
    <row r="505">
      <c r="A505" s="1">
        <f>'20250815_ETF_Options_Exhibits'!AC505</f>
        <v/>
      </c>
      <c r="B505" s="32">
        <f>'20250815_ETF_Options_Exhibits'!AD505</f>
        <v/>
      </c>
      <c r="C505" s="32">
        <f>'20250815_ETF_Options_Exhibits'!AE505</f>
        <v/>
      </c>
    </row>
    <row r="506">
      <c r="A506" s="1">
        <f>'20250815_ETF_Options_Exhibits'!AC506</f>
        <v/>
      </c>
      <c r="B506" s="32">
        <f>'20250815_ETF_Options_Exhibits'!AD506</f>
        <v/>
      </c>
      <c r="C506" s="32">
        <f>'20250815_ETF_Options_Exhibits'!AE506</f>
        <v/>
      </c>
    </row>
    <row r="507">
      <c r="A507" s="1">
        <f>'20250815_ETF_Options_Exhibits'!AC507</f>
        <v/>
      </c>
      <c r="B507" s="32">
        <f>'20250815_ETF_Options_Exhibits'!AD507</f>
        <v/>
      </c>
      <c r="C507" s="32">
        <f>'20250815_ETF_Options_Exhibits'!AE507</f>
        <v/>
      </c>
    </row>
    <row r="508">
      <c r="A508" s="1">
        <f>'20250815_ETF_Options_Exhibits'!AC508</f>
        <v/>
      </c>
      <c r="B508" s="32">
        <f>'20250815_ETF_Options_Exhibits'!AD508</f>
        <v/>
      </c>
      <c r="C508" s="32">
        <f>'20250815_ETF_Options_Exhibits'!AE508</f>
        <v/>
      </c>
    </row>
    <row r="509">
      <c r="A509" s="1">
        <f>'20250815_ETF_Options_Exhibits'!AC509</f>
        <v/>
      </c>
      <c r="B509" s="32">
        <f>'20250815_ETF_Options_Exhibits'!AD509</f>
        <v/>
      </c>
      <c r="C509" s="32">
        <f>'20250815_ETF_Options_Exhibits'!AE509</f>
        <v/>
      </c>
    </row>
    <row r="510">
      <c r="A510" s="1">
        <f>'20250815_ETF_Options_Exhibits'!AC510</f>
        <v/>
      </c>
      <c r="B510" s="32">
        <f>'20250815_ETF_Options_Exhibits'!AD510</f>
        <v/>
      </c>
      <c r="C510" s="32">
        <f>'20250815_ETF_Options_Exhibits'!AE510</f>
        <v/>
      </c>
    </row>
    <row r="511">
      <c r="A511" s="1">
        <f>'20250815_ETF_Options_Exhibits'!AC511</f>
        <v/>
      </c>
      <c r="B511" s="32">
        <f>'20250815_ETF_Options_Exhibits'!AD511</f>
        <v/>
      </c>
      <c r="C511" s="32">
        <f>'20250815_ETF_Options_Exhibits'!AE511</f>
        <v/>
      </c>
    </row>
    <row r="512">
      <c r="A512" s="1">
        <f>'20250815_ETF_Options_Exhibits'!AC512</f>
        <v/>
      </c>
      <c r="B512" s="32">
        <f>'20250815_ETF_Options_Exhibits'!AD512</f>
        <v/>
      </c>
      <c r="C512" s="32">
        <f>'20250815_ETF_Options_Exhibits'!AE512</f>
        <v/>
      </c>
    </row>
    <row r="513">
      <c r="A513" s="1">
        <f>'20250815_ETF_Options_Exhibits'!AC513</f>
        <v/>
      </c>
      <c r="B513" s="32">
        <f>'20250815_ETF_Options_Exhibits'!AD513</f>
        <v/>
      </c>
      <c r="C513" s="32">
        <f>'20250815_ETF_Options_Exhibits'!AE513</f>
        <v/>
      </c>
    </row>
    <row r="514">
      <c r="A514" s="1">
        <f>'20250815_ETF_Options_Exhibits'!AC514</f>
        <v/>
      </c>
      <c r="B514" s="32">
        <f>'20250815_ETF_Options_Exhibits'!AD514</f>
        <v/>
      </c>
      <c r="C514" s="32">
        <f>'20250815_ETF_Options_Exhibits'!AE514</f>
        <v/>
      </c>
    </row>
    <row r="515">
      <c r="A515" s="1">
        <f>'20250815_ETF_Options_Exhibits'!AC515</f>
        <v/>
      </c>
      <c r="B515" s="32">
        <f>'20250815_ETF_Options_Exhibits'!AD515</f>
        <v/>
      </c>
      <c r="C515" s="32">
        <f>'20250815_ETF_Options_Exhibits'!AE515</f>
        <v/>
      </c>
    </row>
    <row r="516">
      <c r="A516" s="1">
        <f>'20250815_ETF_Options_Exhibits'!AC516</f>
        <v/>
      </c>
      <c r="B516" s="32">
        <f>'20250815_ETF_Options_Exhibits'!AD516</f>
        <v/>
      </c>
      <c r="C516" s="32">
        <f>'20250815_ETF_Options_Exhibits'!AE516</f>
        <v/>
      </c>
    </row>
    <row r="517">
      <c r="A517" s="1">
        <f>'20250815_ETF_Options_Exhibits'!AC517</f>
        <v/>
      </c>
      <c r="B517" s="32">
        <f>'20250815_ETF_Options_Exhibits'!AD517</f>
        <v/>
      </c>
      <c r="C517" s="32">
        <f>'20250815_ETF_Options_Exhibits'!AE517</f>
        <v/>
      </c>
    </row>
    <row r="518">
      <c r="A518" s="1">
        <f>'20250815_ETF_Options_Exhibits'!AC518</f>
        <v/>
      </c>
      <c r="B518" s="32">
        <f>'20250815_ETF_Options_Exhibits'!AD518</f>
        <v/>
      </c>
      <c r="C518" s="32">
        <f>'20250815_ETF_Options_Exhibits'!AE518</f>
        <v/>
      </c>
    </row>
    <row r="519">
      <c r="A519" s="1">
        <f>'20250815_ETF_Options_Exhibits'!AC519</f>
        <v/>
      </c>
      <c r="B519" s="32">
        <f>'20250815_ETF_Options_Exhibits'!AD519</f>
        <v/>
      </c>
      <c r="C519" s="32">
        <f>'20250815_ETF_Options_Exhibits'!AE519</f>
        <v/>
      </c>
    </row>
    <row r="520">
      <c r="A520" s="1">
        <f>'20250815_ETF_Options_Exhibits'!AC520</f>
        <v/>
      </c>
      <c r="B520" s="32">
        <f>'20250815_ETF_Options_Exhibits'!AD520</f>
        <v/>
      </c>
      <c r="C520" s="32">
        <f>'20250815_ETF_Options_Exhibits'!AE520</f>
        <v/>
      </c>
    </row>
    <row r="521">
      <c r="A521" s="1">
        <f>'20250815_ETF_Options_Exhibits'!AC521</f>
        <v/>
      </c>
      <c r="B521" s="32">
        <f>'20250815_ETF_Options_Exhibits'!AD521</f>
        <v/>
      </c>
      <c r="C521" s="32">
        <f>'20250815_ETF_Options_Exhibits'!AE521</f>
        <v/>
      </c>
    </row>
    <row r="522">
      <c r="A522" s="1">
        <f>'20250815_ETF_Options_Exhibits'!AC522</f>
        <v/>
      </c>
      <c r="B522" s="32">
        <f>'20250815_ETF_Options_Exhibits'!AD522</f>
        <v/>
      </c>
      <c r="C522" s="32">
        <f>'20250815_ETF_Options_Exhibits'!AE522</f>
        <v/>
      </c>
    </row>
    <row r="523">
      <c r="A523" s="1">
        <f>'20250815_ETF_Options_Exhibits'!AC523</f>
        <v/>
      </c>
      <c r="B523" s="32">
        <f>'20250815_ETF_Options_Exhibits'!AD523</f>
        <v/>
      </c>
      <c r="C523" s="32">
        <f>'20250815_ETF_Options_Exhibits'!AE523</f>
        <v/>
      </c>
    </row>
    <row r="524">
      <c r="A524" s="1">
        <f>'20250815_ETF_Options_Exhibits'!AC524</f>
        <v/>
      </c>
      <c r="B524" s="32">
        <f>'20250815_ETF_Options_Exhibits'!AD524</f>
        <v/>
      </c>
      <c r="C524" s="32">
        <f>'20250815_ETF_Options_Exhibits'!AE524</f>
        <v/>
      </c>
    </row>
    <row r="525">
      <c r="A525" s="1">
        <f>'20250815_ETF_Options_Exhibits'!AC525</f>
        <v/>
      </c>
      <c r="B525" s="32">
        <f>'20250815_ETF_Options_Exhibits'!AD525</f>
        <v/>
      </c>
      <c r="C525" s="32">
        <f>'20250815_ETF_Options_Exhibits'!AE525</f>
        <v/>
      </c>
    </row>
    <row r="526">
      <c r="A526" s="1">
        <f>'20250815_ETF_Options_Exhibits'!AC526</f>
        <v/>
      </c>
      <c r="B526" s="32">
        <f>'20250815_ETF_Options_Exhibits'!AD526</f>
        <v/>
      </c>
      <c r="C526" s="32">
        <f>'20250815_ETF_Options_Exhibits'!AE526</f>
        <v/>
      </c>
    </row>
    <row r="527">
      <c r="A527" s="1">
        <f>'20250815_ETF_Options_Exhibits'!AC527</f>
        <v/>
      </c>
      <c r="B527" s="32">
        <f>'20250815_ETF_Options_Exhibits'!AD527</f>
        <v/>
      </c>
      <c r="C527" s="32">
        <f>'20250815_ETF_Options_Exhibits'!AE527</f>
        <v/>
      </c>
    </row>
    <row r="528">
      <c r="A528" s="1">
        <f>'20250815_ETF_Options_Exhibits'!AC528</f>
        <v/>
      </c>
      <c r="B528" s="32">
        <f>'20250815_ETF_Options_Exhibits'!AD528</f>
        <v/>
      </c>
      <c r="C528" s="32">
        <f>'20250815_ETF_Options_Exhibits'!AE528</f>
        <v/>
      </c>
    </row>
    <row r="529">
      <c r="A529" s="1">
        <f>'20250815_ETF_Options_Exhibits'!AC529</f>
        <v/>
      </c>
      <c r="B529" s="32">
        <f>'20250815_ETF_Options_Exhibits'!AD529</f>
        <v/>
      </c>
      <c r="C529" s="32">
        <f>'20250815_ETF_Options_Exhibits'!AE529</f>
        <v/>
      </c>
    </row>
    <row r="530">
      <c r="A530" s="1">
        <f>'20250815_ETF_Options_Exhibits'!AC530</f>
        <v/>
      </c>
      <c r="B530" s="32">
        <f>'20250815_ETF_Options_Exhibits'!AD530</f>
        <v/>
      </c>
      <c r="C530" s="32">
        <f>'20250815_ETF_Options_Exhibits'!AE530</f>
        <v/>
      </c>
    </row>
    <row r="531">
      <c r="A531" s="1">
        <f>'20250815_ETF_Options_Exhibits'!AC531</f>
        <v/>
      </c>
      <c r="B531" s="32">
        <f>'20250815_ETF_Options_Exhibits'!AD531</f>
        <v/>
      </c>
      <c r="C531" s="32">
        <f>'20250815_ETF_Options_Exhibits'!AE531</f>
        <v/>
      </c>
    </row>
    <row r="532">
      <c r="A532" s="1">
        <f>'20250815_ETF_Options_Exhibits'!AC532</f>
        <v/>
      </c>
      <c r="B532" s="32">
        <f>'20250815_ETF_Options_Exhibits'!AD532</f>
        <v/>
      </c>
      <c r="C532" s="32">
        <f>'20250815_ETF_Options_Exhibits'!AE532</f>
        <v/>
      </c>
    </row>
    <row r="533">
      <c r="A533" s="1">
        <f>'20250815_ETF_Options_Exhibits'!AC533</f>
        <v/>
      </c>
      <c r="B533" s="32">
        <f>'20250815_ETF_Options_Exhibits'!AD533</f>
        <v/>
      </c>
      <c r="C533" s="32">
        <f>'20250815_ETF_Options_Exhibits'!AE533</f>
        <v/>
      </c>
    </row>
    <row r="534">
      <c r="A534" s="1">
        <f>'20250815_ETF_Options_Exhibits'!AC534</f>
        <v/>
      </c>
      <c r="B534" s="32">
        <f>'20250815_ETF_Options_Exhibits'!AD534</f>
        <v/>
      </c>
      <c r="C534" s="32">
        <f>'20250815_ETF_Options_Exhibits'!AE534</f>
        <v/>
      </c>
    </row>
    <row r="535">
      <c r="A535" s="1">
        <f>'20250815_ETF_Options_Exhibits'!AC535</f>
        <v/>
      </c>
      <c r="B535" s="32">
        <f>'20250815_ETF_Options_Exhibits'!AD535</f>
        <v/>
      </c>
      <c r="C535" s="32">
        <f>'20250815_ETF_Options_Exhibits'!AE535</f>
        <v/>
      </c>
    </row>
    <row r="536">
      <c r="A536" s="1">
        <f>'20250815_ETF_Options_Exhibits'!AC536</f>
        <v/>
      </c>
      <c r="B536" s="32">
        <f>'20250815_ETF_Options_Exhibits'!AD536</f>
        <v/>
      </c>
      <c r="C536" s="32">
        <f>'20250815_ETF_Options_Exhibits'!AE536</f>
        <v/>
      </c>
    </row>
    <row r="537">
      <c r="A537" s="1">
        <f>'20250815_ETF_Options_Exhibits'!AC537</f>
        <v/>
      </c>
      <c r="B537" s="32">
        <f>'20250815_ETF_Options_Exhibits'!AD537</f>
        <v/>
      </c>
      <c r="C537" s="32">
        <f>'20250815_ETF_Options_Exhibits'!AE537</f>
        <v/>
      </c>
    </row>
    <row r="538">
      <c r="A538" s="1">
        <f>'20250815_ETF_Options_Exhibits'!AC538</f>
        <v/>
      </c>
      <c r="B538" s="32">
        <f>'20250815_ETF_Options_Exhibits'!AD538</f>
        <v/>
      </c>
      <c r="C538" s="32">
        <f>'20250815_ETF_Options_Exhibits'!AE538</f>
        <v/>
      </c>
    </row>
    <row r="539">
      <c r="A539" s="1">
        <f>'20250815_ETF_Options_Exhibits'!AC539</f>
        <v/>
      </c>
      <c r="B539" s="32">
        <f>'20250815_ETF_Options_Exhibits'!AD539</f>
        <v/>
      </c>
      <c r="C539" s="32">
        <f>'20250815_ETF_Options_Exhibits'!AE539</f>
        <v/>
      </c>
    </row>
    <row r="540">
      <c r="A540" s="1">
        <f>'20250815_ETF_Options_Exhibits'!AC540</f>
        <v/>
      </c>
      <c r="B540" s="32">
        <f>'20250815_ETF_Options_Exhibits'!AD540</f>
        <v/>
      </c>
      <c r="C540" s="32">
        <f>'20250815_ETF_Options_Exhibits'!AE540</f>
        <v/>
      </c>
    </row>
    <row r="541">
      <c r="A541" s="1">
        <f>'20250815_ETF_Options_Exhibits'!AC541</f>
        <v/>
      </c>
      <c r="B541" s="32">
        <f>'20250815_ETF_Options_Exhibits'!AD541</f>
        <v/>
      </c>
      <c r="C541" s="32">
        <f>'20250815_ETF_Options_Exhibits'!AE541</f>
        <v/>
      </c>
    </row>
    <row r="542">
      <c r="A542" s="1">
        <f>'20250815_ETF_Options_Exhibits'!AC542</f>
        <v/>
      </c>
      <c r="B542" s="32">
        <f>'20250815_ETF_Options_Exhibits'!AD542</f>
        <v/>
      </c>
      <c r="C542" s="32">
        <f>'20250815_ETF_Options_Exhibits'!AE542</f>
        <v/>
      </c>
    </row>
    <row r="543">
      <c r="A543" s="1">
        <f>'20250815_ETF_Options_Exhibits'!AC543</f>
        <v/>
      </c>
      <c r="B543" s="32">
        <f>'20250815_ETF_Options_Exhibits'!AD543</f>
        <v/>
      </c>
      <c r="C543" s="32">
        <f>'20250815_ETF_Options_Exhibits'!AE543</f>
        <v/>
      </c>
    </row>
    <row r="544">
      <c r="A544" s="1">
        <f>'20250815_ETF_Options_Exhibits'!AC544</f>
        <v/>
      </c>
      <c r="B544" s="32">
        <f>'20250815_ETF_Options_Exhibits'!AD544</f>
        <v/>
      </c>
      <c r="C544" s="32">
        <f>'20250815_ETF_Options_Exhibits'!AE544</f>
        <v/>
      </c>
    </row>
    <row r="545">
      <c r="A545" s="1">
        <f>'20250815_ETF_Options_Exhibits'!AC545</f>
        <v/>
      </c>
      <c r="B545" s="32">
        <f>'20250815_ETF_Options_Exhibits'!AD545</f>
        <v/>
      </c>
      <c r="C545" s="32">
        <f>'20250815_ETF_Options_Exhibits'!AE545</f>
        <v/>
      </c>
    </row>
    <row r="546">
      <c r="A546" s="1">
        <f>'20250815_ETF_Options_Exhibits'!AC546</f>
        <v/>
      </c>
      <c r="B546" s="32">
        <f>'20250815_ETF_Options_Exhibits'!AD546</f>
        <v/>
      </c>
      <c r="C546" s="32">
        <f>'20250815_ETF_Options_Exhibits'!AE546</f>
        <v/>
      </c>
    </row>
    <row r="547">
      <c r="A547" s="1">
        <f>'20250815_ETF_Options_Exhibits'!AC547</f>
        <v/>
      </c>
      <c r="B547" s="32">
        <f>'20250815_ETF_Options_Exhibits'!AD547</f>
        <v/>
      </c>
      <c r="C547" s="32">
        <f>'20250815_ETF_Options_Exhibits'!AE547</f>
        <v/>
      </c>
    </row>
    <row r="548">
      <c r="A548" s="1">
        <f>'20250815_ETF_Options_Exhibits'!AC548</f>
        <v/>
      </c>
      <c r="B548" s="32">
        <f>'20250815_ETF_Options_Exhibits'!AD548</f>
        <v/>
      </c>
      <c r="C548" s="32">
        <f>'20250815_ETF_Options_Exhibits'!AE548</f>
        <v/>
      </c>
    </row>
    <row r="549">
      <c r="A549" s="1">
        <f>'20250815_ETF_Options_Exhibits'!AC549</f>
        <v/>
      </c>
      <c r="B549" s="32">
        <f>'20250815_ETF_Options_Exhibits'!AD549</f>
        <v/>
      </c>
      <c r="C549" s="32">
        <f>'20250815_ETF_Options_Exhibits'!AE549</f>
        <v/>
      </c>
    </row>
    <row r="550">
      <c r="A550" s="1">
        <f>'20250815_ETF_Options_Exhibits'!AC550</f>
        <v/>
      </c>
      <c r="B550" s="32">
        <f>'20250815_ETF_Options_Exhibits'!AD550</f>
        <v/>
      </c>
      <c r="C550" s="32">
        <f>'20250815_ETF_Options_Exhibits'!AE550</f>
        <v/>
      </c>
    </row>
    <row r="551">
      <c r="A551" s="1">
        <f>'20250815_ETF_Options_Exhibits'!AC551</f>
        <v/>
      </c>
      <c r="B551" s="32">
        <f>'20250815_ETF_Options_Exhibits'!AD551</f>
        <v/>
      </c>
      <c r="C551" s="32">
        <f>'20250815_ETF_Options_Exhibits'!AE551</f>
        <v/>
      </c>
    </row>
    <row r="552">
      <c r="A552" s="1">
        <f>'20250815_ETF_Options_Exhibits'!AC552</f>
        <v/>
      </c>
      <c r="B552" s="32">
        <f>'20250815_ETF_Options_Exhibits'!AD552</f>
        <v/>
      </c>
      <c r="C552" s="32">
        <f>'20250815_ETF_Options_Exhibits'!AE552</f>
        <v/>
      </c>
    </row>
    <row r="553">
      <c r="A553" s="1">
        <f>'20250815_ETF_Options_Exhibits'!AC553</f>
        <v/>
      </c>
      <c r="B553" s="32">
        <f>'20250815_ETF_Options_Exhibits'!AD553</f>
        <v/>
      </c>
      <c r="C553" s="32">
        <f>'20250815_ETF_Options_Exhibits'!AE553</f>
        <v/>
      </c>
    </row>
    <row r="554">
      <c r="A554" s="1">
        <f>'20250815_ETF_Options_Exhibits'!AC554</f>
        <v/>
      </c>
      <c r="B554" s="32">
        <f>'20250815_ETF_Options_Exhibits'!AD554</f>
        <v/>
      </c>
      <c r="C554" s="32">
        <f>'20250815_ETF_Options_Exhibits'!AE554</f>
        <v/>
      </c>
    </row>
    <row r="555">
      <c r="A555" s="1">
        <f>'20250815_ETF_Options_Exhibits'!AC555</f>
        <v/>
      </c>
      <c r="B555" s="32">
        <f>'20250815_ETF_Options_Exhibits'!AD555</f>
        <v/>
      </c>
      <c r="C555" s="32">
        <f>'20250815_ETF_Options_Exhibits'!AE555</f>
        <v/>
      </c>
    </row>
    <row r="556">
      <c r="A556" s="1">
        <f>'20250815_ETF_Options_Exhibits'!AC556</f>
        <v/>
      </c>
      <c r="B556" s="32">
        <f>'20250815_ETF_Options_Exhibits'!AD556</f>
        <v/>
      </c>
      <c r="C556" s="32">
        <f>'20250815_ETF_Options_Exhibits'!AE556</f>
        <v/>
      </c>
    </row>
    <row r="557">
      <c r="A557" s="1">
        <f>'20250815_ETF_Options_Exhibits'!AC557</f>
        <v/>
      </c>
      <c r="B557" s="32">
        <f>'20250815_ETF_Options_Exhibits'!AD557</f>
        <v/>
      </c>
      <c r="C557" s="32">
        <f>'20250815_ETF_Options_Exhibits'!AE557</f>
        <v/>
      </c>
    </row>
    <row r="558">
      <c r="A558" s="1">
        <f>'20250815_ETF_Options_Exhibits'!AC558</f>
        <v/>
      </c>
      <c r="B558" s="32">
        <f>'20250815_ETF_Options_Exhibits'!AD558</f>
        <v/>
      </c>
      <c r="C558" s="32">
        <f>'20250815_ETF_Options_Exhibits'!AE558</f>
        <v/>
      </c>
    </row>
    <row r="559">
      <c r="A559" s="1">
        <f>'20250815_ETF_Options_Exhibits'!AC559</f>
        <v/>
      </c>
      <c r="B559" s="32">
        <f>'20250815_ETF_Options_Exhibits'!AD559</f>
        <v/>
      </c>
      <c r="C559" s="32">
        <f>'20250815_ETF_Options_Exhibits'!AE559</f>
        <v/>
      </c>
    </row>
    <row r="560">
      <c r="A560" s="1">
        <f>'20250815_ETF_Options_Exhibits'!AC560</f>
        <v/>
      </c>
      <c r="B560" s="32">
        <f>'20250815_ETF_Options_Exhibits'!AD560</f>
        <v/>
      </c>
      <c r="C560" s="32">
        <f>'20250815_ETF_Options_Exhibits'!AE560</f>
        <v/>
      </c>
    </row>
    <row r="561">
      <c r="A561" s="1">
        <f>'20250815_ETF_Options_Exhibits'!AC561</f>
        <v/>
      </c>
      <c r="B561" s="32">
        <f>'20250815_ETF_Options_Exhibits'!AD561</f>
        <v/>
      </c>
      <c r="C561" s="32">
        <f>'20250815_ETF_Options_Exhibits'!AE561</f>
        <v/>
      </c>
    </row>
    <row r="562">
      <c r="A562" s="1">
        <f>'20250815_ETF_Options_Exhibits'!AC562</f>
        <v/>
      </c>
      <c r="B562" s="32">
        <f>'20250815_ETF_Options_Exhibits'!AD562</f>
        <v/>
      </c>
      <c r="C562" s="32">
        <f>'20250815_ETF_Options_Exhibits'!AE562</f>
        <v/>
      </c>
    </row>
    <row r="563">
      <c r="A563" s="1">
        <f>'20250815_ETF_Options_Exhibits'!AC563</f>
        <v/>
      </c>
      <c r="B563" s="32">
        <f>'20250815_ETF_Options_Exhibits'!AD563</f>
        <v/>
      </c>
      <c r="C563" s="32">
        <f>'20250815_ETF_Options_Exhibits'!AE563</f>
        <v/>
      </c>
    </row>
    <row r="564">
      <c r="A564" s="1">
        <f>'20250815_ETF_Options_Exhibits'!AC564</f>
        <v/>
      </c>
      <c r="B564" s="32">
        <f>'20250815_ETF_Options_Exhibits'!AD564</f>
        <v/>
      </c>
      <c r="C564" s="32">
        <f>'20250815_ETF_Options_Exhibits'!AE564</f>
        <v/>
      </c>
    </row>
    <row r="565">
      <c r="A565" s="1">
        <f>'20250815_ETF_Options_Exhibits'!AC565</f>
        <v/>
      </c>
      <c r="B565" s="32">
        <f>'20250815_ETF_Options_Exhibits'!AD565</f>
        <v/>
      </c>
      <c r="C565" s="32">
        <f>'20250815_ETF_Options_Exhibits'!AE565</f>
        <v/>
      </c>
    </row>
    <row r="566">
      <c r="A566" s="1">
        <f>'20250815_ETF_Options_Exhibits'!AC566</f>
        <v/>
      </c>
      <c r="B566" s="32">
        <f>'20250815_ETF_Options_Exhibits'!AD566</f>
        <v/>
      </c>
      <c r="C566" s="32">
        <f>'20250815_ETF_Options_Exhibits'!AE566</f>
        <v/>
      </c>
    </row>
    <row r="567">
      <c r="A567" s="1">
        <f>'20250815_ETF_Options_Exhibits'!AC567</f>
        <v/>
      </c>
      <c r="B567" s="32">
        <f>'20250815_ETF_Options_Exhibits'!AD567</f>
        <v/>
      </c>
      <c r="C567" s="32">
        <f>'20250815_ETF_Options_Exhibits'!AE567</f>
        <v/>
      </c>
    </row>
    <row r="568">
      <c r="A568" s="1">
        <f>'20250815_ETF_Options_Exhibits'!AC568</f>
        <v/>
      </c>
      <c r="B568" s="32">
        <f>'20250815_ETF_Options_Exhibits'!AD568</f>
        <v/>
      </c>
      <c r="C568" s="32">
        <f>'20250815_ETF_Options_Exhibits'!AE568</f>
        <v/>
      </c>
    </row>
    <row r="569">
      <c r="A569" s="1">
        <f>'20250815_ETF_Options_Exhibits'!AC569</f>
        <v/>
      </c>
      <c r="B569" s="32">
        <f>'20250815_ETF_Options_Exhibits'!AD569</f>
        <v/>
      </c>
      <c r="C569" s="32">
        <f>'20250815_ETF_Options_Exhibits'!AE569</f>
        <v/>
      </c>
    </row>
    <row r="570">
      <c r="A570" s="1">
        <f>'20250815_ETF_Options_Exhibits'!AC570</f>
        <v/>
      </c>
      <c r="B570" s="32">
        <f>'20250815_ETF_Options_Exhibits'!AD570</f>
        <v/>
      </c>
      <c r="C570" s="32">
        <f>'20250815_ETF_Options_Exhibits'!AE570</f>
        <v/>
      </c>
    </row>
    <row r="571">
      <c r="A571" s="1">
        <f>'20250815_ETF_Options_Exhibits'!AC571</f>
        <v/>
      </c>
      <c r="B571" s="32">
        <f>'20250815_ETF_Options_Exhibits'!AD571</f>
        <v/>
      </c>
      <c r="C571" s="32">
        <f>'20250815_ETF_Options_Exhibits'!AE571</f>
        <v/>
      </c>
    </row>
    <row r="572">
      <c r="A572" s="1">
        <f>'20250815_ETF_Options_Exhibits'!AC572</f>
        <v/>
      </c>
      <c r="B572" s="32">
        <f>'20250815_ETF_Options_Exhibits'!AD572</f>
        <v/>
      </c>
      <c r="C572" s="32">
        <f>'20250815_ETF_Options_Exhibits'!AE572</f>
        <v/>
      </c>
    </row>
    <row r="573">
      <c r="A573" s="1">
        <f>'20250815_ETF_Options_Exhibits'!AC573</f>
        <v/>
      </c>
      <c r="B573" s="32">
        <f>'20250815_ETF_Options_Exhibits'!AD573</f>
        <v/>
      </c>
      <c r="C573" s="32">
        <f>'20250815_ETF_Options_Exhibits'!AE573</f>
        <v/>
      </c>
    </row>
    <row r="574">
      <c r="A574" s="1">
        <f>'20250815_ETF_Options_Exhibits'!AC574</f>
        <v/>
      </c>
      <c r="B574" s="32">
        <f>'20250815_ETF_Options_Exhibits'!AD574</f>
        <v/>
      </c>
      <c r="C574" s="32">
        <f>'20250815_ETF_Options_Exhibits'!AE574</f>
        <v/>
      </c>
    </row>
    <row r="575">
      <c r="A575" s="1">
        <f>'20250815_ETF_Options_Exhibits'!AC575</f>
        <v/>
      </c>
      <c r="B575" s="32">
        <f>'20250815_ETF_Options_Exhibits'!AD575</f>
        <v/>
      </c>
      <c r="C575" s="32">
        <f>'20250815_ETF_Options_Exhibits'!AE575</f>
        <v/>
      </c>
    </row>
    <row r="576">
      <c r="A576" s="1">
        <f>'20250815_ETF_Options_Exhibits'!AC576</f>
        <v/>
      </c>
      <c r="B576" s="32">
        <f>'20250815_ETF_Options_Exhibits'!AD576</f>
        <v/>
      </c>
      <c r="C576" s="32">
        <f>'20250815_ETF_Options_Exhibits'!AE576</f>
        <v/>
      </c>
    </row>
    <row r="577">
      <c r="A577" s="1">
        <f>'20250815_ETF_Options_Exhibits'!AC577</f>
        <v/>
      </c>
      <c r="B577" s="32">
        <f>'20250815_ETF_Options_Exhibits'!AD577</f>
        <v/>
      </c>
      <c r="C577" s="32">
        <f>'20250815_ETF_Options_Exhibits'!AE577</f>
        <v/>
      </c>
    </row>
    <row r="578">
      <c r="A578" s="1">
        <f>'20250815_ETF_Options_Exhibits'!AC578</f>
        <v/>
      </c>
      <c r="B578" s="32">
        <f>'20250815_ETF_Options_Exhibits'!AD578</f>
        <v/>
      </c>
      <c r="C578" s="32">
        <f>'20250815_ETF_Options_Exhibits'!AE578</f>
        <v/>
      </c>
    </row>
    <row r="579">
      <c r="A579" s="1">
        <f>'20250815_ETF_Options_Exhibits'!AC579</f>
        <v/>
      </c>
      <c r="B579" s="32">
        <f>'20250815_ETF_Options_Exhibits'!AD579</f>
        <v/>
      </c>
      <c r="C579" s="32">
        <f>'20250815_ETF_Options_Exhibits'!AE579</f>
        <v/>
      </c>
    </row>
    <row r="580">
      <c r="A580" s="1">
        <f>'20250815_ETF_Options_Exhibits'!AC580</f>
        <v/>
      </c>
      <c r="B580" s="32">
        <f>'20250815_ETF_Options_Exhibits'!AD580</f>
        <v/>
      </c>
      <c r="C580" s="32">
        <f>'20250815_ETF_Options_Exhibits'!AE580</f>
        <v/>
      </c>
    </row>
    <row r="581">
      <c r="A581" s="1">
        <f>'20250815_ETF_Options_Exhibits'!AC581</f>
        <v/>
      </c>
      <c r="B581" s="32">
        <f>'20250815_ETF_Options_Exhibits'!AD581</f>
        <v/>
      </c>
      <c r="C581" s="32">
        <f>'20250815_ETF_Options_Exhibits'!AE581</f>
        <v/>
      </c>
    </row>
    <row r="582">
      <c r="A582" s="1">
        <f>'20250815_ETF_Options_Exhibits'!AC582</f>
        <v/>
      </c>
      <c r="B582" s="32">
        <f>'20250815_ETF_Options_Exhibits'!AD582</f>
        <v/>
      </c>
      <c r="C582" s="32">
        <f>'20250815_ETF_Options_Exhibits'!AE582</f>
        <v/>
      </c>
    </row>
    <row r="583">
      <c r="A583" s="1">
        <f>'20250815_ETF_Options_Exhibits'!AC583</f>
        <v/>
      </c>
      <c r="B583" s="32">
        <f>'20250815_ETF_Options_Exhibits'!AD583</f>
        <v/>
      </c>
      <c r="C583" s="32">
        <f>'20250815_ETF_Options_Exhibits'!AE583</f>
        <v/>
      </c>
    </row>
    <row r="584">
      <c r="A584" s="1">
        <f>'20250815_ETF_Options_Exhibits'!AC584</f>
        <v/>
      </c>
      <c r="B584" s="32">
        <f>'20250815_ETF_Options_Exhibits'!AD584</f>
        <v/>
      </c>
      <c r="C584" s="32">
        <f>'20250815_ETF_Options_Exhibits'!AE584</f>
        <v/>
      </c>
    </row>
    <row r="585">
      <c r="A585" s="1">
        <f>'20250815_ETF_Options_Exhibits'!AC585</f>
        <v/>
      </c>
      <c r="B585" s="32">
        <f>'20250815_ETF_Options_Exhibits'!AD585</f>
        <v/>
      </c>
      <c r="C585" s="32">
        <f>'20250815_ETF_Options_Exhibits'!AE585</f>
        <v/>
      </c>
    </row>
    <row r="586">
      <c r="A586" s="1">
        <f>'20250815_ETF_Options_Exhibits'!AC586</f>
        <v/>
      </c>
      <c r="B586" s="32">
        <f>'20250815_ETF_Options_Exhibits'!AD586</f>
        <v/>
      </c>
      <c r="C586" s="32">
        <f>'20250815_ETF_Options_Exhibits'!AE586</f>
        <v/>
      </c>
    </row>
    <row r="587">
      <c r="A587" s="1">
        <f>'20250815_ETF_Options_Exhibits'!AC587</f>
        <v/>
      </c>
      <c r="B587" s="32">
        <f>'20250815_ETF_Options_Exhibits'!AD587</f>
        <v/>
      </c>
      <c r="C587" s="32">
        <f>'20250815_ETF_Options_Exhibits'!AE587</f>
        <v/>
      </c>
    </row>
    <row r="588">
      <c r="A588" s="1">
        <f>'20250815_ETF_Options_Exhibits'!AC588</f>
        <v/>
      </c>
      <c r="B588" s="32">
        <f>'20250815_ETF_Options_Exhibits'!AD588</f>
        <v/>
      </c>
      <c r="C588" s="32">
        <f>'20250815_ETF_Options_Exhibits'!AE588</f>
        <v/>
      </c>
    </row>
    <row r="589">
      <c r="A589" s="1">
        <f>'20250815_ETF_Options_Exhibits'!AC589</f>
        <v/>
      </c>
      <c r="B589" s="32">
        <f>'20250815_ETF_Options_Exhibits'!AD589</f>
        <v/>
      </c>
      <c r="C589" s="32">
        <f>'20250815_ETF_Options_Exhibits'!AE589</f>
        <v/>
      </c>
    </row>
    <row r="590">
      <c r="A590" s="1">
        <f>'20250815_ETF_Options_Exhibits'!AC590</f>
        <v/>
      </c>
      <c r="B590" s="32">
        <f>'20250815_ETF_Options_Exhibits'!AD590</f>
        <v/>
      </c>
      <c r="C590" s="32">
        <f>'20250815_ETF_Options_Exhibits'!AE590</f>
        <v/>
      </c>
    </row>
    <row r="591">
      <c r="A591" s="1">
        <f>'20250815_ETF_Options_Exhibits'!AC591</f>
        <v/>
      </c>
      <c r="B591" s="32">
        <f>'20250815_ETF_Options_Exhibits'!AD591</f>
        <v/>
      </c>
      <c r="C591" s="32">
        <f>'20250815_ETF_Options_Exhibits'!AE591</f>
        <v/>
      </c>
    </row>
    <row r="592">
      <c r="A592" s="1">
        <f>'20250815_ETF_Options_Exhibits'!AC592</f>
        <v/>
      </c>
      <c r="B592" s="32">
        <f>'20250815_ETF_Options_Exhibits'!AD592</f>
        <v/>
      </c>
      <c r="C592" s="32">
        <f>'20250815_ETF_Options_Exhibits'!AE592</f>
        <v/>
      </c>
    </row>
    <row r="593">
      <c r="A593" s="1">
        <f>'20250815_ETF_Options_Exhibits'!AC593</f>
        <v/>
      </c>
      <c r="B593" s="32">
        <f>'20250815_ETF_Options_Exhibits'!AD593</f>
        <v/>
      </c>
      <c r="C593" s="32">
        <f>'20250815_ETF_Options_Exhibits'!AE593</f>
        <v/>
      </c>
    </row>
    <row r="594">
      <c r="A594" s="1">
        <f>'20250815_ETF_Options_Exhibits'!AC594</f>
        <v/>
      </c>
      <c r="B594" s="32">
        <f>'20250815_ETF_Options_Exhibits'!AD594</f>
        <v/>
      </c>
      <c r="C594" s="32">
        <f>'20250815_ETF_Options_Exhibits'!AE594</f>
        <v/>
      </c>
    </row>
    <row r="595">
      <c r="A595" s="1">
        <f>'20250815_ETF_Options_Exhibits'!AC595</f>
        <v/>
      </c>
      <c r="B595" s="32">
        <f>'20250815_ETF_Options_Exhibits'!AD595</f>
        <v/>
      </c>
      <c r="C595" s="32">
        <f>'20250815_ETF_Options_Exhibits'!AE595</f>
        <v/>
      </c>
    </row>
    <row r="596">
      <c r="A596" s="1">
        <f>'20250815_ETF_Options_Exhibits'!AC596</f>
        <v/>
      </c>
      <c r="B596" s="32">
        <f>'20250815_ETF_Options_Exhibits'!AD596</f>
        <v/>
      </c>
      <c r="C596" s="32">
        <f>'20250815_ETF_Options_Exhibits'!AE596</f>
        <v/>
      </c>
    </row>
    <row r="597">
      <c r="A597" s="1">
        <f>'20250815_ETF_Options_Exhibits'!AC597</f>
        <v/>
      </c>
      <c r="B597" s="32">
        <f>'20250815_ETF_Options_Exhibits'!AD597</f>
        <v/>
      </c>
      <c r="C597" s="32">
        <f>'20250815_ETF_Options_Exhibits'!AE597</f>
        <v/>
      </c>
    </row>
    <row r="598">
      <c r="A598" s="1">
        <f>'20250815_ETF_Options_Exhibits'!AC598</f>
        <v/>
      </c>
      <c r="B598" s="32">
        <f>'20250815_ETF_Options_Exhibits'!AD598</f>
        <v/>
      </c>
      <c r="C598" s="32">
        <f>'20250815_ETF_Options_Exhibits'!AE598</f>
        <v/>
      </c>
    </row>
    <row r="599">
      <c r="A599" s="1">
        <f>'20250815_ETF_Options_Exhibits'!AC599</f>
        <v/>
      </c>
      <c r="B599" s="32">
        <f>'20250815_ETF_Options_Exhibits'!AD599</f>
        <v/>
      </c>
      <c r="C599" s="32">
        <f>'20250815_ETF_Options_Exhibits'!AE599</f>
        <v/>
      </c>
    </row>
    <row r="600">
      <c r="A600" s="1">
        <f>'20250815_ETF_Options_Exhibits'!AC600</f>
        <v/>
      </c>
      <c r="B600" s="32">
        <f>'20250815_ETF_Options_Exhibits'!AD600</f>
        <v/>
      </c>
      <c r="C600" s="32">
        <f>'20250815_ETF_Options_Exhibits'!AE600</f>
        <v/>
      </c>
    </row>
    <row r="601">
      <c r="A601" s="1">
        <f>'20250815_ETF_Options_Exhibits'!AC601</f>
        <v/>
      </c>
      <c r="B601" s="32">
        <f>'20250815_ETF_Options_Exhibits'!AD601</f>
        <v/>
      </c>
      <c r="C601" s="32">
        <f>'20250815_ETF_Options_Exhibits'!AE601</f>
        <v/>
      </c>
    </row>
    <row r="602">
      <c r="A602" s="1">
        <f>'20250815_ETF_Options_Exhibits'!AC602</f>
        <v/>
      </c>
      <c r="B602" s="32">
        <f>'20250815_ETF_Options_Exhibits'!AD602</f>
        <v/>
      </c>
      <c r="C602" s="32">
        <f>'20250815_ETF_Options_Exhibits'!AE602</f>
        <v/>
      </c>
    </row>
    <row r="603">
      <c r="A603" s="1">
        <f>'20250815_ETF_Options_Exhibits'!AC603</f>
        <v/>
      </c>
      <c r="B603" s="32">
        <f>'20250815_ETF_Options_Exhibits'!AD603</f>
        <v/>
      </c>
      <c r="C603" s="32">
        <f>'20250815_ETF_Options_Exhibits'!AE603</f>
        <v/>
      </c>
    </row>
    <row r="604">
      <c r="A604" s="1">
        <f>'20250815_ETF_Options_Exhibits'!AC604</f>
        <v/>
      </c>
      <c r="B604" s="32">
        <f>'20250815_ETF_Options_Exhibits'!AD604</f>
        <v/>
      </c>
      <c r="C604" s="32">
        <f>'20250815_ETF_Options_Exhibits'!AE604</f>
        <v/>
      </c>
    </row>
    <row r="605">
      <c r="A605" s="1">
        <f>'20250815_ETF_Options_Exhibits'!AC605</f>
        <v/>
      </c>
      <c r="B605" s="32">
        <f>'20250815_ETF_Options_Exhibits'!AD605</f>
        <v/>
      </c>
      <c r="C605" s="32">
        <f>'20250815_ETF_Options_Exhibits'!AE605</f>
        <v/>
      </c>
    </row>
    <row r="606">
      <c r="A606" s="1">
        <f>'20250815_ETF_Options_Exhibits'!AC606</f>
        <v/>
      </c>
      <c r="B606" s="32">
        <f>'20250815_ETF_Options_Exhibits'!AD606</f>
        <v/>
      </c>
      <c r="C606" s="32">
        <f>'20250815_ETF_Options_Exhibits'!AE606</f>
        <v/>
      </c>
    </row>
    <row r="607">
      <c r="A607" s="1">
        <f>'20250815_ETF_Options_Exhibits'!AC607</f>
        <v/>
      </c>
      <c r="B607" s="32">
        <f>'20250815_ETF_Options_Exhibits'!AD607</f>
        <v/>
      </c>
      <c r="C607" s="32">
        <f>'20250815_ETF_Options_Exhibits'!AE607</f>
        <v/>
      </c>
    </row>
    <row r="608">
      <c r="A608" s="1">
        <f>'20250815_ETF_Options_Exhibits'!AC608</f>
        <v/>
      </c>
      <c r="B608" s="32">
        <f>'20250815_ETF_Options_Exhibits'!AD608</f>
        <v/>
      </c>
      <c r="C608" s="32">
        <f>'20250815_ETF_Options_Exhibits'!AE608</f>
        <v/>
      </c>
    </row>
    <row r="609">
      <c r="A609" s="1">
        <f>'20250815_ETF_Options_Exhibits'!AC609</f>
        <v/>
      </c>
      <c r="B609" s="32">
        <f>'20250815_ETF_Options_Exhibits'!AD609</f>
        <v/>
      </c>
      <c r="C609" s="32">
        <f>'20250815_ETF_Options_Exhibits'!AE609</f>
        <v/>
      </c>
    </row>
    <row r="610">
      <c r="A610" s="1">
        <f>'20250815_ETF_Options_Exhibits'!AC610</f>
        <v/>
      </c>
      <c r="B610" s="32">
        <f>'20250815_ETF_Options_Exhibits'!AD610</f>
        <v/>
      </c>
      <c r="C610" s="32">
        <f>'20250815_ETF_Options_Exhibits'!AE610</f>
        <v/>
      </c>
    </row>
    <row r="611">
      <c r="A611" s="1">
        <f>'20250815_ETF_Options_Exhibits'!AC611</f>
        <v/>
      </c>
      <c r="B611" s="32">
        <f>'20250815_ETF_Options_Exhibits'!AD611</f>
        <v/>
      </c>
      <c r="C611" s="32">
        <f>'20250815_ETF_Options_Exhibits'!AE611</f>
        <v/>
      </c>
    </row>
    <row r="612">
      <c r="A612" s="1">
        <f>'20250815_ETF_Options_Exhibits'!AC612</f>
        <v/>
      </c>
      <c r="B612" s="32">
        <f>'20250815_ETF_Options_Exhibits'!AD612</f>
        <v/>
      </c>
      <c r="C612" s="32">
        <f>'20250815_ETF_Options_Exhibits'!AE612</f>
        <v/>
      </c>
    </row>
    <row r="613">
      <c r="A613" s="1">
        <f>'20250815_ETF_Options_Exhibits'!AC613</f>
        <v/>
      </c>
      <c r="B613" s="32">
        <f>'20250815_ETF_Options_Exhibits'!AD613</f>
        <v/>
      </c>
      <c r="C613" s="32">
        <f>'20250815_ETF_Options_Exhibits'!AE613</f>
        <v/>
      </c>
    </row>
    <row r="614">
      <c r="A614" s="1">
        <f>'20250815_ETF_Options_Exhibits'!AC614</f>
        <v/>
      </c>
      <c r="B614" s="32">
        <f>'20250815_ETF_Options_Exhibits'!AD614</f>
        <v/>
      </c>
      <c r="C614" s="32">
        <f>'20250815_ETF_Options_Exhibits'!AE614</f>
        <v/>
      </c>
    </row>
    <row r="615">
      <c r="A615" s="1">
        <f>'20250815_ETF_Options_Exhibits'!AC615</f>
        <v/>
      </c>
      <c r="B615" s="32">
        <f>'20250815_ETF_Options_Exhibits'!AD615</f>
        <v/>
      </c>
      <c r="C615" s="32">
        <f>'20250815_ETF_Options_Exhibits'!AE615</f>
        <v/>
      </c>
    </row>
    <row r="616">
      <c r="A616" s="1">
        <f>'20250815_ETF_Options_Exhibits'!AC616</f>
        <v/>
      </c>
      <c r="B616" s="32">
        <f>'20250815_ETF_Options_Exhibits'!AD616</f>
        <v/>
      </c>
      <c r="C616" s="32">
        <f>'20250815_ETF_Options_Exhibits'!AE616</f>
        <v/>
      </c>
    </row>
    <row r="617">
      <c r="A617" s="1">
        <f>'20250815_ETF_Options_Exhibits'!AC617</f>
        <v/>
      </c>
      <c r="B617" s="32">
        <f>'20250815_ETF_Options_Exhibits'!AD617</f>
        <v/>
      </c>
      <c r="C617" s="32">
        <f>'20250815_ETF_Options_Exhibits'!AE617</f>
        <v/>
      </c>
    </row>
    <row r="618">
      <c r="A618" s="1">
        <f>'20250815_ETF_Options_Exhibits'!AC618</f>
        <v/>
      </c>
      <c r="B618" s="32">
        <f>'20250815_ETF_Options_Exhibits'!AD618</f>
        <v/>
      </c>
      <c r="C618" s="32">
        <f>'20250815_ETF_Options_Exhibits'!AE618</f>
        <v/>
      </c>
    </row>
    <row r="619">
      <c r="A619" s="1">
        <f>'20250815_ETF_Options_Exhibits'!AC619</f>
        <v/>
      </c>
      <c r="B619" s="32">
        <f>'20250815_ETF_Options_Exhibits'!AD619</f>
        <v/>
      </c>
      <c r="C619" s="32">
        <f>'20250815_ETF_Options_Exhibits'!AE619</f>
        <v/>
      </c>
    </row>
    <row r="620">
      <c r="A620" s="1">
        <f>'20250815_ETF_Options_Exhibits'!AC620</f>
        <v/>
      </c>
      <c r="B620" s="32">
        <f>'20250815_ETF_Options_Exhibits'!AD620</f>
        <v/>
      </c>
      <c r="C620" s="32">
        <f>'20250815_ETF_Options_Exhibits'!AE620</f>
        <v/>
      </c>
    </row>
    <row r="621">
      <c r="A621" s="1">
        <f>'20250815_ETF_Options_Exhibits'!AC621</f>
        <v/>
      </c>
      <c r="B621" s="32">
        <f>'20250815_ETF_Options_Exhibits'!AD621</f>
        <v/>
      </c>
      <c r="C621" s="32">
        <f>'20250815_ETF_Options_Exhibits'!AE621</f>
        <v/>
      </c>
    </row>
    <row r="622">
      <c r="A622" s="1">
        <f>'20250815_ETF_Options_Exhibits'!AC622</f>
        <v/>
      </c>
      <c r="B622" s="32">
        <f>'20250815_ETF_Options_Exhibits'!AD622</f>
        <v/>
      </c>
      <c r="C622" s="32">
        <f>'20250815_ETF_Options_Exhibits'!AE622</f>
        <v/>
      </c>
    </row>
    <row r="623">
      <c r="A623" s="1">
        <f>'20250815_ETF_Options_Exhibits'!AC623</f>
        <v/>
      </c>
      <c r="B623" s="32">
        <f>'20250815_ETF_Options_Exhibits'!AD623</f>
        <v/>
      </c>
      <c r="C623" s="32">
        <f>'20250815_ETF_Options_Exhibits'!AE623</f>
        <v/>
      </c>
    </row>
    <row r="624">
      <c r="A624" s="1">
        <f>'20250815_ETF_Options_Exhibits'!AC624</f>
        <v/>
      </c>
      <c r="B624" s="32">
        <f>'20250815_ETF_Options_Exhibits'!AD624</f>
        <v/>
      </c>
      <c r="C624" s="32">
        <f>'20250815_ETF_Options_Exhibits'!AE624</f>
        <v/>
      </c>
    </row>
    <row r="625">
      <c r="A625" s="1">
        <f>'20250815_ETF_Options_Exhibits'!AC625</f>
        <v/>
      </c>
      <c r="B625" s="32">
        <f>'20250815_ETF_Options_Exhibits'!AD625</f>
        <v/>
      </c>
      <c r="C625" s="32">
        <f>'20250815_ETF_Options_Exhibits'!AE625</f>
        <v/>
      </c>
    </row>
    <row r="626">
      <c r="A626" s="1">
        <f>'20250815_ETF_Options_Exhibits'!AC626</f>
        <v/>
      </c>
      <c r="B626" s="32">
        <f>'20250815_ETF_Options_Exhibits'!AD626</f>
        <v/>
      </c>
      <c r="C626" s="32">
        <f>'20250815_ETF_Options_Exhibits'!AE626</f>
        <v/>
      </c>
    </row>
    <row r="627">
      <c r="A627" s="1">
        <f>'20250815_ETF_Options_Exhibits'!AC627</f>
        <v/>
      </c>
      <c r="B627" s="32">
        <f>'20250815_ETF_Options_Exhibits'!AD627</f>
        <v/>
      </c>
      <c r="C627" s="32">
        <f>'20250815_ETF_Options_Exhibits'!AE627</f>
        <v/>
      </c>
    </row>
    <row r="628">
      <c r="A628" s="1">
        <f>'20250815_ETF_Options_Exhibits'!AC628</f>
        <v/>
      </c>
      <c r="B628" s="32">
        <f>'20250815_ETF_Options_Exhibits'!AD628</f>
        <v/>
      </c>
      <c r="C628" s="32">
        <f>'20250815_ETF_Options_Exhibits'!AE628</f>
        <v/>
      </c>
    </row>
    <row r="629">
      <c r="A629" s="1">
        <f>'20250815_ETF_Options_Exhibits'!AC629</f>
        <v/>
      </c>
      <c r="B629" s="32">
        <f>'20250815_ETF_Options_Exhibits'!AD629</f>
        <v/>
      </c>
      <c r="C629" s="32">
        <f>'20250815_ETF_Options_Exhibits'!AE629</f>
        <v/>
      </c>
    </row>
    <row r="630">
      <c r="A630" s="1">
        <f>'20250815_ETF_Options_Exhibits'!AC630</f>
        <v/>
      </c>
      <c r="B630" s="32">
        <f>'20250815_ETF_Options_Exhibits'!AD630</f>
        <v/>
      </c>
      <c r="C630" s="32">
        <f>'20250815_ETF_Options_Exhibits'!AE630</f>
        <v/>
      </c>
    </row>
    <row r="631">
      <c r="A631" s="1">
        <f>'20250815_ETF_Options_Exhibits'!AC631</f>
        <v/>
      </c>
      <c r="B631" s="32">
        <f>'20250815_ETF_Options_Exhibits'!AD631</f>
        <v/>
      </c>
      <c r="C631" s="32">
        <f>'20250815_ETF_Options_Exhibits'!AE631</f>
        <v/>
      </c>
    </row>
    <row r="632">
      <c r="A632" s="1">
        <f>'20250815_ETF_Options_Exhibits'!AC632</f>
        <v/>
      </c>
      <c r="B632" s="32">
        <f>'20250815_ETF_Options_Exhibits'!AD632</f>
        <v/>
      </c>
      <c r="C632" s="32">
        <f>'20250815_ETF_Options_Exhibits'!AE632</f>
        <v/>
      </c>
    </row>
    <row r="633">
      <c r="A633" s="1">
        <f>'20250815_ETF_Options_Exhibits'!AC633</f>
        <v/>
      </c>
      <c r="B633" s="32">
        <f>'20250815_ETF_Options_Exhibits'!AD633</f>
        <v/>
      </c>
      <c r="C633" s="32">
        <f>'20250815_ETF_Options_Exhibits'!AE633</f>
        <v/>
      </c>
    </row>
    <row r="634">
      <c r="A634" s="1">
        <f>'20250815_ETF_Options_Exhibits'!AC634</f>
        <v/>
      </c>
      <c r="B634" s="32">
        <f>'20250815_ETF_Options_Exhibits'!AD634</f>
        <v/>
      </c>
      <c r="C634" s="32">
        <f>'20250815_ETF_Options_Exhibits'!AE634</f>
        <v/>
      </c>
    </row>
    <row r="635">
      <c r="A635" s="1">
        <f>'20250815_ETF_Options_Exhibits'!AC635</f>
        <v/>
      </c>
      <c r="B635" s="32">
        <f>'20250815_ETF_Options_Exhibits'!AD635</f>
        <v/>
      </c>
      <c r="C635" s="32">
        <f>'20250815_ETF_Options_Exhibits'!AE635</f>
        <v/>
      </c>
    </row>
    <row r="636">
      <c r="A636" s="1">
        <f>'20250815_ETF_Options_Exhibits'!AC636</f>
        <v/>
      </c>
      <c r="B636" s="32">
        <f>'20250815_ETF_Options_Exhibits'!AD636</f>
        <v/>
      </c>
      <c r="C636" s="32">
        <f>'20250815_ETF_Options_Exhibits'!AE636</f>
        <v/>
      </c>
    </row>
    <row r="637">
      <c r="A637" s="1">
        <f>'20250815_ETF_Options_Exhibits'!AC637</f>
        <v/>
      </c>
      <c r="B637" s="32">
        <f>'20250815_ETF_Options_Exhibits'!AD637</f>
        <v/>
      </c>
      <c r="C637" s="32">
        <f>'20250815_ETF_Options_Exhibits'!AE637</f>
        <v/>
      </c>
    </row>
    <row r="638">
      <c r="A638" s="1">
        <f>'20250815_ETF_Options_Exhibits'!AC638</f>
        <v/>
      </c>
      <c r="B638" s="32">
        <f>'20250815_ETF_Options_Exhibits'!AD638</f>
        <v/>
      </c>
      <c r="C638" s="32">
        <f>'20250815_ETF_Options_Exhibits'!AE638</f>
        <v/>
      </c>
    </row>
    <row r="639">
      <c r="A639" s="1">
        <f>'20250815_ETF_Options_Exhibits'!AC639</f>
        <v/>
      </c>
      <c r="B639" s="32">
        <f>'20250815_ETF_Options_Exhibits'!AD639</f>
        <v/>
      </c>
      <c r="C639" s="32">
        <f>'20250815_ETF_Options_Exhibits'!AE639</f>
        <v/>
      </c>
    </row>
    <row r="640">
      <c r="A640" s="1">
        <f>'20250815_ETF_Options_Exhibits'!AC640</f>
        <v/>
      </c>
      <c r="B640" s="32">
        <f>'20250815_ETF_Options_Exhibits'!AD640</f>
        <v/>
      </c>
      <c r="C640" s="32">
        <f>'20250815_ETF_Options_Exhibits'!AE640</f>
        <v/>
      </c>
    </row>
    <row r="641">
      <c r="A641" s="1">
        <f>'20250815_ETF_Options_Exhibits'!AC641</f>
        <v/>
      </c>
      <c r="B641" s="32">
        <f>'20250815_ETF_Options_Exhibits'!AD641</f>
        <v/>
      </c>
      <c r="C641" s="32">
        <f>'20250815_ETF_Options_Exhibits'!AE641</f>
        <v/>
      </c>
    </row>
    <row r="642">
      <c r="A642" s="1">
        <f>'20250815_ETF_Options_Exhibits'!AC642</f>
        <v/>
      </c>
      <c r="B642" s="32">
        <f>'20250815_ETF_Options_Exhibits'!AD642</f>
        <v/>
      </c>
      <c r="C642" s="32">
        <f>'20250815_ETF_Options_Exhibits'!AE642</f>
        <v/>
      </c>
    </row>
    <row r="643">
      <c r="A643" s="1">
        <f>'20250815_ETF_Options_Exhibits'!AC643</f>
        <v/>
      </c>
      <c r="B643" s="32">
        <f>'20250815_ETF_Options_Exhibits'!AD643</f>
        <v/>
      </c>
      <c r="C643" s="32">
        <f>'20250815_ETF_Options_Exhibits'!AE643</f>
        <v/>
      </c>
    </row>
    <row r="644">
      <c r="A644" s="1">
        <f>'20250815_ETF_Options_Exhibits'!AC644</f>
        <v/>
      </c>
      <c r="B644" s="32">
        <f>'20250815_ETF_Options_Exhibits'!AD644</f>
        <v/>
      </c>
      <c r="C644" s="32">
        <f>'20250815_ETF_Options_Exhibits'!AE644</f>
        <v/>
      </c>
    </row>
    <row r="645">
      <c r="A645" s="1">
        <f>'20250815_ETF_Options_Exhibits'!AC645</f>
        <v/>
      </c>
      <c r="B645" s="32">
        <f>'20250815_ETF_Options_Exhibits'!AD645</f>
        <v/>
      </c>
      <c r="C645" s="32">
        <f>'20250815_ETF_Options_Exhibits'!AE645</f>
        <v/>
      </c>
    </row>
    <row r="646">
      <c r="A646" s="1">
        <f>'20250815_ETF_Options_Exhibits'!AC646</f>
        <v/>
      </c>
      <c r="B646" s="32">
        <f>'20250815_ETF_Options_Exhibits'!AD646</f>
        <v/>
      </c>
      <c r="C646" s="32">
        <f>'20250815_ETF_Options_Exhibits'!AE646</f>
        <v/>
      </c>
    </row>
    <row r="647">
      <c r="A647" s="1">
        <f>'20250815_ETF_Options_Exhibits'!AC647</f>
        <v/>
      </c>
      <c r="B647" s="32">
        <f>'20250815_ETF_Options_Exhibits'!AD647</f>
        <v/>
      </c>
      <c r="C647" s="32">
        <f>'20250815_ETF_Options_Exhibits'!AE647</f>
        <v/>
      </c>
    </row>
    <row r="648">
      <c r="A648" s="1">
        <f>'20250815_ETF_Options_Exhibits'!AC648</f>
        <v/>
      </c>
      <c r="B648" s="32">
        <f>'20250815_ETF_Options_Exhibits'!AD648</f>
        <v/>
      </c>
      <c r="C648" s="32">
        <f>'20250815_ETF_Options_Exhibits'!AE648</f>
        <v/>
      </c>
    </row>
    <row r="649">
      <c r="A649" s="1">
        <f>'20250815_ETF_Options_Exhibits'!AC649</f>
        <v/>
      </c>
      <c r="B649" s="32">
        <f>'20250815_ETF_Options_Exhibits'!AD649</f>
        <v/>
      </c>
      <c r="C649" s="32">
        <f>'20250815_ETF_Options_Exhibits'!AE649</f>
        <v/>
      </c>
    </row>
    <row r="650">
      <c r="A650" s="1">
        <f>'20250815_ETF_Options_Exhibits'!AC650</f>
        <v/>
      </c>
      <c r="B650" s="32">
        <f>'20250815_ETF_Options_Exhibits'!AD650</f>
        <v/>
      </c>
      <c r="C650" s="32">
        <f>'20250815_ETF_Options_Exhibits'!AE650</f>
        <v/>
      </c>
    </row>
    <row r="651">
      <c r="A651" s="1">
        <f>'20250815_ETF_Options_Exhibits'!AC651</f>
        <v/>
      </c>
      <c r="B651" s="32">
        <f>'20250815_ETF_Options_Exhibits'!AD651</f>
        <v/>
      </c>
      <c r="C651" s="32">
        <f>'20250815_ETF_Options_Exhibits'!AE651</f>
        <v/>
      </c>
    </row>
    <row r="652">
      <c r="A652" s="1">
        <f>'20250815_ETF_Options_Exhibits'!AC652</f>
        <v/>
      </c>
      <c r="B652" s="32">
        <f>'20250815_ETF_Options_Exhibits'!AD652</f>
        <v/>
      </c>
      <c r="C652" s="32">
        <f>'20250815_ETF_Options_Exhibits'!AE652</f>
        <v/>
      </c>
    </row>
    <row r="653">
      <c r="A653" s="1">
        <f>'20250815_ETF_Options_Exhibits'!AC653</f>
        <v/>
      </c>
      <c r="B653" s="32">
        <f>'20250815_ETF_Options_Exhibits'!AD653</f>
        <v/>
      </c>
      <c r="C653" s="32">
        <f>'20250815_ETF_Options_Exhibits'!AE653</f>
        <v/>
      </c>
    </row>
    <row r="654">
      <c r="A654" s="1">
        <f>'20250815_ETF_Options_Exhibits'!AC654</f>
        <v/>
      </c>
      <c r="B654" s="32">
        <f>'20250815_ETF_Options_Exhibits'!AD654</f>
        <v/>
      </c>
      <c r="C654" s="32">
        <f>'20250815_ETF_Options_Exhibits'!AE654</f>
        <v/>
      </c>
    </row>
    <row r="655">
      <c r="A655" s="1">
        <f>'20250815_ETF_Options_Exhibits'!AC655</f>
        <v/>
      </c>
      <c r="B655" s="32">
        <f>'20250815_ETF_Options_Exhibits'!AD655</f>
        <v/>
      </c>
      <c r="C655" s="32">
        <f>'20250815_ETF_Options_Exhibits'!AE655</f>
        <v/>
      </c>
    </row>
    <row r="656">
      <c r="A656" s="1">
        <f>'20250815_ETF_Options_Exhibits'!AC656</f>
        <v/>
      </c>
      <c r="B656" s="32">
        <f>'20250815_ETF_Options_Exhibits'!AD656</f>
        <v/>
      </c>
      <c r="C656" s="32">
        <f>'20250815_ETF_Options_Exhibits'!AE656</f>
        <v/>
      </c>
    </row>
    <row r="657">
      <c r="A657" s="1">
        <f>'20250815_ETF_Options_Exhibits'!AC657</f>
        <v/>
      </c>
      <c r="B657" s="32">
        <f>'20250815_ETF_Options_Exhibits'!AD657</f>
        <v/>
      </c>
      <c r="C657" s="32">
        <f>'20250815_ETF_Options_Exhibits'!AE657</f>
        <v/>
      </c>
    </row>
    <row r="658">
      <c r="A658" s="1">
        <f>'20250815_ETF_Options_Exhibits'!AC658</f>
        <v/>
      </c>
      <c r="B658" s="32">
        <f>'20250815_ETF_Options_Exhibits'!AD658</f>
        <v/>
      </c>
      <c r="C658" s="32">
        <f>'20250815_ETF_Options_Exhibits'!AE658</f>
        <v/>
      </c>
    </row>
    <row r="659">
      <c r="A659" s="1">
        <f>'20250815_ETF_Options_Exhibits'!AC659</f>
        <v/>
      </c>
      <c r="B659" s="32">
        <f>'20250815_ETF_Options_Exhibits'!AD659</f>
        <v/>
      </c>
      <c r="C659" s="32">
        <f>'20250815_ETF_Options_Exhibits'!AE659</f>
        <v/>
      </c>
    </row>
    <row r="660">
      <c r="A660" s="1">
        <f>'20250815_ETF_Options_Exhibits'!AC660</f>
        <v/>
      </c>
      <c r="B660" s="32">
        <f>'20250815_ETF_Options_Exhibits'!AD660</f>
        <v/>
      </c>
      <c r="C660" s="32">
        <f>'20250815_ETF_Options_Exhibits'!AE660</f>
        <v/>
      </c>
    </row>
    <row r="661">
      <c r="A661" s="1">
        <f>'20250815_ETF_Options_Exhibits'!AC661</f>
        <v/>
      </c>
      <c r="B661" s="32">
        <f>'20250815_ETF_Options_Exhibits'!AD661</f>
        <v/>
      </c>
      <c r="C661" s="32">
        <f>'20250815_ETF_Options_Exhibits'!AE661</f>
        <v/>
      </c>
    </row>
    <row r="662">
      <c r="A662" s="1">
        <f>'20250815_ETF_Options_Exhibits'!AC662</f>
        <v/>
      </c>
      <c r="B662" s="32">
        <f>'20250815_ETF_Options_Exhibits'!AD662</f>
        <v/>
      </c>
      <c r="C662" s="32">
        <f>'20250815_ETF_Options_Exhibits'!AE662</f>
        <v/>
      </c>
    </row>
    <row r="663">
      <c r="A663" s="1">
        <f>'20250815_ETF_Options_Exhibits'!AC663</f>
        <v/>
      </c>
      <c r="B663" s="32">
        <f>'20250815_ETF_Options_Exhibits'!AD663</f>
        <v/>
      </c>
      <c r="C663" s="32">
        <f>'20250815_ETF_Options_Exhibits'!AE663</f>
        <v/>
      </c>
    </row>
    <row r="664">
      <c r="A664" s="1">
        <f>'20250815_ETF_Options_Exhibits'!AC664</f>
        <v/>
      </c>
      <c r="B664" s="32">
        <f>'20250815_ETF_Options_Exhibits'!AD664</f>
        <v/>
      </c>
      <c r="C664" s="32">
        <f>'20250815_ETF_Options_Exhibits'!AE664</f>
        <v/>
      </c>
    </row>
    <row r="665">
      <c r="A665" s="1">
        <f>'20250815_ETF_Options_Exhibits'!AC665</f>
        <v/>
      </c>
      <c r="B665" s="32">
        <f>'20250815_ETF_Options_Exhibits'!AD665</f>
        <v/>
      </c>
      <c r="C665" s="32">
        <f>'20250815_ETF_Options_Exhibits'!AE665</f>
        <v/>
      </c>
    </row>
    <row r="666">
      <c r="A666" s="1">
        <f>'20250815_ETF_Options_Exhibits'!AC666</f>
        <v/>
      </c>
      <c r="B666" s="32">
        <f>'20250815_ETF_Options_Exhibits'!AD666</f>
        <v/>
      </c>
      <c r="C666" s="32">
        <f>'20250815_ETF_Options_Exhibits'!AE666</f>
        <v/>
      </c>
    </row>
    <row r="667">
      <c r="A667" s="1">
        <f>'20250815_ETF_Options_Exhibits'!AC667</f>
        <v/>
      </c>
      <c r="B667" s="32">
        <f>'20250815_ETF_Options_Exhibits'!AD667</f>
        <v/>
      </c>
      <c r="C667" s="32">
        <f>'20250815_ETF_Options_Exhibits'!AE667</f>
        <v/>
      </c>
    </row>
    <row r="668">
      <c r="A668" s="1">
        <f>'20250815_ETF_Options_Exhibits'!AC668</f>
        <v/>
      </c>
      <c r="B668" s="32">
        <f>'20250815_ETF_Options_Exhibits'!AD668</f>
        <v/>
      </c>
      <c r="C668" s="32">
        <f>'20250815_ETF_Options_Exhibits'!AE668</f>
        <v/>
      </c>
    </row>
    <row r="669">
      <c r="A669" s="1">
        <f>'20250815_ETF_Options_Exhibits'!AC669</f>
        <v/>
      </c>
      <c r="B669" s="32">
        <f>'20250815_ETF_Options_Exhibits'!AD669</f>
        <v/>
      </c>
      <c r="C669" s="32">
        <f>'20250815_ETF_Options_Exhibits'!AE669</f>
        <v/>
      </c>
    </row>
    <row r="670">
      <c r="A670" s="1">
        <f>'20250815_ETF_Options_Exhibits'!AC670</f>
        <v/>
      </c>
      <c r="B670" s="32">
        <f>'20250815_ETF_Options_Exhibits'!AD670</f>
        <v/>
      </c>
      <c r="C670" s="32">
        <f>'20250815_ETF_Options_Exhibits'!AE670</f>
        <v/>
      </c>
    </row>
    <row r="671">
      <c r="A671" s="1">
        <f>'20250815_ETF_Options_Exhibits'!AC671</f>
        <v/>
      </c>
      <c r="B671" s="32">
        <f>'20250815_ETF_Options_Exhibits'!AD671</f>
        <v/>
      </c>
      <c r="C671" s="32">
        <f>'20250815_ETF_Options_Exhibits'!AE671</f>
        <v/>
      </c>
    </row>
    <row r="672">
      <c r="A672" s="1">
        <f>'20250815_ETF_Options_Exhibits'!AC672</f>
        <v/>
      </c>
      <c r="B672" s="32">
        <f>'20250815_ETF_Options_Exhibits'!AD672</f>
        <v/>
      </c>
      <c r="C672" s="32">
        <f>'20250815_ETF_Options_Exhibits'!AE672</f>
        <v/>
      </c>
    </row>
    <row r="673">
      <c r="A673" s="1">
        <f>'20250815_ETF_Options_Exhibits'!AC673</f>
        <v/>
      </c>
      <c r="B673" s="32">
        <f>'20250815_ETF_Options_Exhibits'!AD673</f>
        <v/>
      </c>
      <c r="C673" s="32">
        <f>'20250815_ETF_Options_Exhibits'!AE673</f>
        <v/>
      </c>
    </row>
    <row r="674">
      <c r="A674" s="1">
        <f>'20250815_ETF_Options_Exhibits'!AC674</f>
        <v/>
      </c>
      <c r="B674" s="32">
        <f>'20250815_ETF_Options_Exhibits'!AD674</f>
        <v/>
      </c>
      <c r="C674" s="32">
        <f>'20250815_ETF_Options_Exhibits'!AE674</f>
        <v/>
      </c>
    </row>
    <row r="675">
      <c r="A675" s="1">
        <f>'20250815_ETF_Options_Exhibits'!AC675</f>
        <v/>
      </c>
      <c r="B675" s="32">
        <f>'20250815_ETF_Options_Exhibits'!AD675</f>
        <v/>
      </c>
      <c r="C675" s="32">
        <f>'20250815_ETF_Options_Exhibits'!AE675</f>
        <v/>
      </c>
    </row>
    <row r="676">
      <c r="A676" s="1">
        <f>'20250815_ETF_Options_Exhibits'!AC676</f>
        <v/>
      </c>
      <c r="B676" s="32">
        <f>'20250815_ETF_Options_Exhibits'!AD676</f>
        <v/>
      </c>
      <c r="C676" s="32">
        <f>'20250815_ETF_Options_Exhibits'!AE676</f>
        <v/>
      </c>
    </row>
    <row r="677">
      <c r="A677" s="1">
        <f>'20250815_ETF_Options_Exhibits'!AC677</f>
        <v/>
      </c>
      <c r="B677" s="32">
        <f>'20250815_ETF_Options_Exhibits'!AD677</f>
        <v/>
      </c>
      <c r="C677" s="32">
        <f>'20250815_ETF_Options_Exhibits'!AE677</f>
        <v/>
      </c>
    </row>
    <row r="678">
      <c r="A678" s="1">
        <f>'20250815_ETF_Options_Exhibits'!AC678</f>
        <v/>
      </c>
      <c r="B678" s="32">
        <f>'20250815_ETF_Options_Exhibits'!AD678</f>
        <v/>
      </c>
      <c r="C678" s="32">
        <f>'20250815_ETF_Options_Exhibits'!AE678</f>
        <v/>
      </c>
    </row>
    <row r="679">
      <c r="A679" s="1">
        <f>'20250815_ETF_Options_Exhibits'!AC679</f>
        <v/>
      </c>
      <c r="B679" s="32">
        <f>'20250815_ETF_Options_Exhibits'!AD679</f>
        <v/>
      </c>
      <c r="C679" s="32">
        <f>'20250815_ETF_Options_Exhibits'!AE679</f>
        <v/>
      </c>
    </row>
    <row r="680">
      <c r="A680" s="1">
        <f>'20250815_ETF_Options_Exhibits'!AC680</f>
        <v/>
      </c>
      <c r="B680" s="32">
        <f>'20250815_ETF_Options_Exhibits'!AD680</f>
        <v/>
      </c>
      <c r="C680" s="32">
        <f>'20250815_ETF_Options_Exhibits'!AE680</f>
        <v/>
      </c>
    </row>
    <row r="681">
      <c r="A681" s="1">
        <f>'20250815_ETF_Options_Exhibits'!AC681</f>
        <v/>
      </c>
      <c r="B681" s="32">
        <f>'20250815_ETF_Options_Exhibits'!AD681</f>
        <v/>
      </c>
      <c r="C681" s="32">
        <f>'20250815_ETF_Options_Exhibits'!AE681</f>
        <v/>
      </c>
    </row>
    <row r="682">
      <c r="A682" s="1">
        <f>'20250815_ETF_Options_Exhibits'!AC682</f>
        <v/>
      </c>
      <c r="B682" s="32">
        <f>'20250815_ETF_Options_Exhibits'!AD682</f>
        <v/>
      </c>
      <c r="C682" s="32">
        <f>'20250815_ETF_Options_Exhibits'!AE682</f>
        <v/>
      </c>
    </row>
    <row r="683">
      <c r="A683" s="1">
        <f>'20250815_ETF_Options_Exhibits'!AC683</f>
        <v/>
      </c>
      <c r="B683" s="32">
        <f>'20250815_ETF_Options_Exhibits'!AD683</f>
        <v/>
      </c>
      <c r="C683" s="32">
        <f>'20250815_ETF_Options_Exhibits'!AE683</f>
        <v/>
      </c>
    </row>
    <row r="684">
      <c r="A684" s="1">
        <f>'20250815_ETF_Options_Exhibits'!AC684</f>
        <v/>
      </c>
      <c r="B684" s="32">
        <f>'20250815_ETF_Options_Exhibits'!AD684</f>
        <v/>
      </c>
      <c r="C684" s="32">
        <f>'20250815_ETF_Options_Exhibits'!AE684</f>
        <v/>
      </c>
    </row>
    <row r="685">
      <c r="A685" s="1">
        <f>'20250815_ETF_Options_Exhibits'!AC685</f>
        <v/>
      </c>
      <c r="B685" s="32">
        <f>'20250815_ETF_Options_Exhibits'!AD685</f>
        <v/>
      </c>
      <c r="C685" s="32">
        <f>'20250815_ETF_Options_Exhibits'!AE685</f>
        <v/>
      </c>
    </row>
    <row r="686">
      <c r="A686" s="1">
        <f>'20250815_ETF_Options_Exhibits'!AC686</f>
        <v/>
      </c>
      <c r="B686" s="32">
        <f>'20250815_ETF_Options_Exhibits'!AD686</f>
        <v/>
      </c>
      <c r="C686" s="32">
        <f>'20250815_ETF_Options_Exhibits'!AE686</f>
        <v/>
      </c>
    </row>
    <row r="687">
      <c r="A687" s="1">
        <f>'20250815_ETF_Options_Exhibits'!AC687</f>
        <v/>
      </c>
      <c r="B687" s="32">
        <f>'20250815_ETF_Options_Exhibits'!AD687</f>
        <v/>
      </c>
      <c r="C687" s="32">
        <f>'20250815_ETF_Options_Exhibits'!AE687</f>
        <v/>
      </c>
    </row>
    <row r="688">
      <c r="A688" s="1">
        <f>'20250815_ETF_Options_Exhibits'!AC688</f>
        <v/>
      </c>
      <c r="B688" s="32">
        <f>'20250815_ETF_Options_Exhibits'!AD688</f>
        <v/>
      </c>
      <c r="C688" s="32">
        <f>'20250815_ETF_Options_Exhibits'!AE688</f>
        <v/>
      </c>
    </row>
    <row r="689">
      <c r="A689" s="1">
        <f>'20250815_ETF_Options_Exhibits'!AC689</f>
        <v/>
      </c>
      <c r="B689" s="32">
        <f>'20250815_ETF_Options_Exhibits'!AD689</f>
        <v/>
      </c>
      <c r="C689" s="32">
        <f>'20250815_ETF_Options_Exhibits'!AE689</f>
        <v/>
      </c>
    </row>
    <row r="690">
      <c r="A690" s="1">
        <f>'20250815_ETF_Options_Exhibits'!AC690</f>
        <v/>
      </c>
      <c r="B690" s="32">
        <f>'20250815_ETF_Options_Exhibits'!AD690</f>
        <v/>
      </c>
      <c r="C690" s="32">
        <f>'20250815_ETF_Options_Exhibits'!AE690</f>
        <v/>
      </c>
    </row>
    <row r="691">
      <c r="A691" s="1">
        <f>'20250815_ETF_Options_Exhibits'!AC691</f>
        <v/>
      </c>
      <c r="B691" s="32">
        <f>'20250815_ETF_Options_Exhibits'!AD691</f>
        <v/>
      </c>
      <c r="C691" s="32">
        <f>'20250815_ETF_Options_Exhibits'!AE691</f>
        <v/>
      </c>
    </row>
    <row r="692">
      <c r="A692" s="1">
        <f>'20250815_ETF_Options_Exhibits'!AC692</f>
        <v/>
      </c>
      <c r="B692" s="32">
        <f>'20250815_ETF_Options_Exhibits'!AD692</f>
        <v/>
      </c>
      <c r="C692" s="32">
        <f>'20250815_ETF_Options_Exhibits'!AE692</f>
        <v/>
      </c>
    </row>
    <row r="693">
      <c r="A693" s="1">
        <f>'20250815_ETF_Options_Exhibits'!AC693</f>
        <v/>
      </c>
      <c r="B693" s="32">
        <f>'20250815_ETF_Options_Exhibits'!AD693</f>
        <v/>
      </c>
      <c r="C693" s="32">
        <f>'20250815_ETF_Options_Exhibits'!AE693</f>
        <v/>
      </c>
    </row>
    <row r="694">
      <c r="A694" s="1">
        <f>'20250815_ETF_Options_Exhibits'!AC694</f>
        <v/>
      </c>
      <c r="B694" s="32">
        <f>'20250815_ETF_Options_Exhibits'!AD694</f>
        <v/>
      </c>
      <c r="C694" s="32">
        <f>'20250815_ETF_Options_Exhibits'!AE694</f>
        <v/>
      </c>
    </row>
    <row r="695">
      <c r="A695" s="1">
        <f>'20250815_ETF_Options_Exhibits'!AC695</f>
        <v/>
      </c>
      <c r="B695" s="32">
        <f>'20250815_ETF_Options_Exhibits'!AD695</f>
        <v/>
      </c>
      <c r="C695" s="32">
        <f>'20250815_ETF_Options_Exhibits'!AE695</f>
        <v/>
      </c>
    </row>
    <row r="696">
      <c r="A696" s="1">
        <f>'20250815_ETF_Options_Exhibits'!AC696</f>
        <v/>
      </c>
      <c r="B696" s="32">
        <f>'20250815_ETF_Options_Exhibits'!AD696</f>
        <v/>
      </c>
      <c r="C696" s="32">
        <f>'20250815_ETF_Options_Exhibits'!AE696</f>
        <v/>
      </c>
    </row>
    <row r="697">
      <c r="A697" s="1">
        <f>'20250815_ETF_Options_Exhibits'!AC697</f>
        <v/>
      </c>
      <c r="B697" s="32">
        <f>'20250815_ETF_Options_Exhibits'!AD697</f>
        <v/>
      </c>
      <c r="C697" s="32">
        <f>'20250815_ETF_Options_Exhibits'!AE697</f>
        <v/>
      </c>
    </row>
    <row r="698">
      <c r="A698" s="1">
        <f>'20250815_ETF_Options_Exhibits'!AC698</f>
        <v/>
      </c>
      <c r="B698" s="32">
        <f>'20250815_ETF_Options_Exhibits'!AD698</f>
        <v/>
      </c>
      <c r="C698" s="32">
        <f>'20250815_ETF_Options_Exhibits'!AE698</f>
        <v/>
      </c>
    </row>
    <row r="699">
      <c r="A699" s="1">
        <f>'20250815_ETF_Options_Exhibits'!AC699</f>
        <v/>
      </c>
      <c r="B699" s="32">
        <f>'20250815_ETF_Options_Exhibits'!AD699</f>
        <v/>
      </c>
      <c r="C699" s="32">
        <f>'20250815_ETF_Options_Exhibits'!AE699</f>
        <v/>
      </c>
    </row>
    <row r="700">
      <c r="A700" s="1">
        <f>'20250815_ETF_Options_Exhibits'!AC700</f>
        <v/>
      </c>
      <c r="B700" s="32">
        <f>'20250815_ETF_Options_Exhibits'!AD700</f>
        <v/>
      </c>
      <c r="C700" s="32">
        <f>'20250815_ETF_Options_Exhibits'!AE700</f>
        <v/>
      </c>
    </row>
    <row r="701">
      <c r="A701" s="1">
        <f>'20250815_ETF_Options_Exhibits'!AC701</f>
        <v/>
      </c>
      <c r="B701" s="32">
        <f>'20250815_ETF_Options_Exhibits'!AD701</f>
        <v/>
      </c>
      <c r="C701" s="32">
        <f>'20250815_ETF_Options_Exhibits'!AE701</f>
        <v/>
      </c>
    </row>
    <row r="702">
      <c r="A702" s="1">
        <f>'20250815_ETF_Options_Exhibits'!AC702</f>
        <v/>
      </c>
      <c r="B702" s="32">
        <f>'20250815_ETF_Options_Exhibits'!AD702</f>
        <v/>
      </c>
      <c r="C702" s="32">
        <f>'20250815_ETF_Options_Exhibits'!AE702</f>
        <v/>
      </c>
    </row>
    <row r="703">
      <c r="A703" s="1">
        <f>'20250815_ETF_Options_Exhibits'!AC703</f>
        <v/>
      </c>
      <c r="B703" s="32">
        <f>'20250815_ETF_Options_Exhibits'!AD703</f>
        <v/>
      </c>
      <c r="C703" s="32">
        <f>'20250815_ETF_Options_Exhibits'!AE703</f>
        <v/>
      </c>
    </row>
    <row r="704">
      <c r="A704" s="1">
        <f>'20250815_ETF_Options_Exhibits'!AC704</f>
        <v/>
      </c>
      <c r="B704" s="32">
        <f>'20250815_ETF_Options_Exhibits'!AD704</f>
        <v/>
      </c>
      <c r="C704" s="32">
        <f>'20250815_ETF_Options_Exhibits'!AE704</f>
        <v/>
      </c>
    </row>
    <row r="705">
      <c r="A705" s="1">
        <f>'20250815_ETF_Options_Exhibits'!AC705</f>
        <v/>
      </c>
      <c r="B705" s="32">
        <f>'20250815_ETF_Options_Exhibits'!AD705</f>
        <v/>
      </c>
      <c r="C705" s="32">
        <f>'20250815_ETF_Options_Exhibits'!AE705</f>
        <v/>
      </c>
    </row>
    <row r="706">
      <c r="A706" s="1">
        <f>'20250815_ETF_Options_Exhibits'!AC706</f>
        <v/>
      </c>
      <c r="B706" s="32">
        <f>'20250815_ETF_Options_Exhibits'!AD706</f>
        <v/>
      </c>
      <c r="C706" s="32">
        <f>'20250815_ETF_Options_Exhibits'!AE706</f>
        <v/>
      </c>
    </row>
    <row r="707">
      <c r="A707" s="1">
        <f>'20250815_ETF_Options_Exhibits'!AC707</f>
        <v/>
      </c>
      <c r="B707" s="32">
        <f>'20250815_ETF_Options_Exhibits'!AD707</f>
        <v/>
      </c>
      <c r="C707" s="32">
        <f>'20250815_ETF_Options_Exhibits'!AE707</f>
        <v/>
      </c>
    </row>
    <row r="708">
      <c r="A708" s="1">
        <f>'20250815_ETF_Options_Exhibits'!AC708</f>
        <v/>
      </c>
      <c r="B708" s="32">
        <f>'20250815_ETF_Options_Exhibits'!AD708</f>
        <v/>
      </c>
      <c r="C708" s="32">
        <f>'20250815_ETF_Options_Exhibits'!AE708</f>
        <v/>
      </c>
    </row>
    <row r="709">
      <c r="A709" s="1">
        <f>'20250815_ETF_Options_Exhibits'!AC709</f>
        <v/>
      </c>
      <c r="B709" s="32">
        <f>'20250815_ETF_Options_Exhibits'!AD709</f>
        <v/>
      </c>
      <c r="C709" s="32">
        <f>'20250815_ETF_Options_Exhibits'!AE709</f>
        <v/>
      </c>
    </row>
    <row r="710">
      <c r="A710" s="1">
        <f>'20250815_ETF_Options_Exhibits'!AC710</f>
        <v/>
      </c>
      <c r="B710" s="32">
        <f>'20250815_ETF_Options_Exhibits'!AD710</f>
        <v/>
      </c>
      <c r="C710" s="32">
        <f>'20250815_ETF_Options_Exhibits'!AE710</f>
        <v/>
      </c>
    </row>
    <row r="711">
      <c r="A711" s="1">
        <f>'20250815_ETF_Options_Exhibits'!AC711</f>
        <v/>
      </c>
      <c r="B711" s="32">
        <f>'20250815_ETF_Options_Exhibits'!AD711</f>
        <v/>
      </c>
      <c r="C711" s="32">
        <f>'20250815_ETF_Options_Exhibits'!AE711</f>
        <v/>
      </c>
    </row>
    <row r="712">
      <c r="A712" s="1">
        <f>'20250815_ETF_Options_Exhibits'!AC712</f>
        <v/>
      </c>
      <c r="B712" s="32">
        <f>'20250815_ETF_Options_Exhibits'!AD712</f>
        <v/>
      </c>
      <c r="C712" s="32">
        <f>'20250815_ETF_Options_Exhibits'!AE712</f>
        <v/>
      </c>
    </row>
    <row r="713">
      <c r="A713" s="1">
        <f>'20250815_ETF_Options_Exhibits'!AC713</f>
        <v/>
      </c>
      <c r="B713" s="32">
        <f>'20250815_ETF_Options_Exhibits'!AD713</f>
        <v/>
      </c>
      <c r="C713" s="32">
        <f>'20250815_ETF_Options_Exhibits'!AE713</f>
        <v/>
      </c>
    </row>
    <row r="714">
      <c r="A714" s="1">
        <f>'20250815_ETF_Options_Exhibits'!AC714</f>
        <v/>
      </c>
      <c r="B714" s="32">
        <f>'20250815_ETF_Options_Exhibits'!AD714</f>
        <v/>
      </c>
      <c r="C714" s="32">
        <f>'20250815_ETF_Options_Exhibits'!AE714</f>
        <v/>
      </c>
    </row>
    <row r="715">
      <c r="A715" s="1">
        <f>'20250815_ETF_Options_Exhibits'!AC715</f>
        <v/>
      </c>
      <c r="B715" s="32">
        <f>'20250815_ETF_Options_Exhibits'!AD715</f>
        <v/>
      </c>
      <c r="C715" s="32">
        <f>'20250815_ETF_Options_Exhibits'!AE715</f>
        <v/>
      </c>
    </row>
    <row r="716">
      <c r="A716" s="1">
        <f>'20250815_ETF_Options_Exhibits'!AC716</f>
        <v/>
      </c>
      <c r="B716" s="32">
        <f>'20250815_ETF_Options_Exhibits'!AD716</f>
        <v/>
      </c>
      <c r="C716" s="32">
        <f>'20250815_ETF_Options_Exhibits'!AE716</f>
        <v/>
      </c>
    </row>
    <row r="717">
      <c r="A717" s="1">
        <f>'20250815_ETF_Options_Exhibits'!AC717</f>
        <v/>
      </c>
      <c r="B717" s="32">
        <f>'20250815_ETF_Options_Exhibits'!AD717</f>
        <v/>
      </c>
      <c r="C717" s="32">
        <f>'20250815_ETF_Options_Exhibits'!AE717</f>
        <v/>
      </c>
    </row>
    <row r="718">
      <c r="A718" s="1">
        <f>'20250815_ETF_Options_Exhibits'!AC718</f>
        <v/>
      </c>
      <c r="B718" s="32">
        <f>'20250815_ETF_Options_Exhibits'!AD718</f>
        <v/>
      </c>
      <c r="C718" s="32">
        <f>'20250815_ETF_Options_Exhibits'!AE718</f>
        <v/>
      </c>
    </row>
    <row r="719">
      <c r="A719" s="1">
        <f>'20250815_ETF_Options_Exhibits'!AC719</f>
        <v/>
      </c>
      <c r="B719" s="32">
        <f>'20250815_ETF_Options_Exhibits'!AD719</f>
        <v/>
      </c>
      <c r="C719" s="32">
        <f>'20250815_ETF_Options_Exhibits'!AE719</f>
        <v/>
      </c>
    </row>
    <row r="720">
      <c r="A720" s="1">
        <f>'20250815_ETF_Options_Exhibits'!AC720</f>
        <v/>
      </c>
      <c r="B720" s="32">
        <f>'20250815_ETF_Options_Exhibits'!AD720</f>
        <v/>
      </c>
      <c r="C720" s="32">
        <f>'20250815_ETF_Options_Exhibits'!AE720</f>
        <v/>
      </c>
    </row>
    <row r="721">
      <c r="A721" s="1">
        <f>'20250815_ETF_Options_Exhibits'!AC721</f>
        <v/>
      </c>
      <c r="B721" s="32">
        <f>'20250815_ETF_Options_Exhibits'!AD721</f>
        <v/>
      </c>
      <c r="C721" s="32">
        <f>'20250815_ETF_Options_Exhibits'!AE721</f>
        <v/>
      </c>
    </row>
    <row r="722">
      <c r="A722" s="1">
        <f>'20250815_ETF_Options_Exhibits'!AC722</f>
        <v/>
      </c>
      <c r="B722" s="32">
        <f>'20250815_ETF_Options_Exhibits'!AD722</f>
        <v/>
      </c>
      <c r="C722" s="32">
        <f>'20250815_ETF_Options_Exhibits'!AE722</f>
        <v/>
      </c>
    </row>
    <row r="723">
      <c r="A723" s="1">
        <f>'20250815_ETF_Options_Exhibits'!AC723</f>
        <v/>
      </c>
      <c r="B723" s="32">
        <f>'20250815_ETF_Options_Exhibits'!AD723</f>
        <v/>
      </c>
      <c r="C723" s="32">
        <f>'20250815_ETF_Options_Exhibits'!AE723</f>
        <v/>
      </c>
    </row>
    <row r="724">
      <c r="A724" s="1">
        <f>'20250815_ETF_Options_Exhibits'!AC724</f>
        <v/>
      </c>
      <c r="B724" s="32">
        <f>'20250815_ETF_Options_Exhibits'!AD724</f>
        <v/>
      </c>
      <c r="C724" s="32">
        <f>'20250815_ETF_Options_Exhibits'!AE724</f>
        <v/>
      </c>
    </row>
    <row r="725">
      <c r="A725" s="1">
        <f>'20250815_ETF_Options_Exhibits'!AC725</f>
        <v/>
      </c>
      <c r="B725" s="32">
        <f>'20250815_ETF_Options_Exhibits'!AD725</f>
        <v/>
      </c>
      <c r="C725" s="32">
        <f>'20250815_ETF_Options_Exhibits'!AE725</f>
        <v/>
      </c>
    </row>
    <row r="726">
      <c r="A726" s="1">
        <f>'20250815_ETF_Options_Exhibits'!AC726</f>
        <v/>
      </c>
      <c r="B726" s="32">
        <f>'20250815_ETF_Options_Exhibits'!AD726</f>
        <v/>
      </c>
      <c r="C726" s="32">
        <f>'20250815_ETF_Options_Exhibits'!AE726</f>
        <v/>
      </c>
    </row>
    <row r="727">
      <c r="A727" s="1">
        <f>'20250815_ETF_Options_Exhibits'!AC727</f>
        <v/>
      </c>
      <c r="B727" s="32">
        <f>'20250815_ETF_Options_Exhibits'!AD727</f>
        <v/>
      </c>
      <c r="C727" s="32">
        <f>'20250815_ETF_Options_Exhibits'!AE727</f>
        <v/>
      </c>
    </row>
    <row r="728">
      <c r="A728" s="1">
        <f>'20250815_ETF_Options_Exhibits'!AC728</f>
        <v/>
      </c>
      <c r="B728" s="32">
        <f>'20250815_ETF_Options_Exhibits'!AD728</f>
        <v/>
      </c>
      <c r="C728" s="32">
        <f>'20250815_ETF_Options_Exhibits'!AE728</f>
        <v/>
      </c>
    </row>
    <row r="729">
      <c r="A729" s="1">
        <f>'20250815_ETF_Options_Exhibits'!AC729</f>
        <v/>
      </c>
      <c r="B729" s="32">
        <f>'20250815_ETF_Options_Exhibits'!AD729</f>
        <v/>
      </c>
      <c r="C729" s="32">
        <f>'20250815_ETF_Options_Exhibits'!AE729</f>
        <v/>
      </c>
    </row>
    <row r="730">
      <c r="A730" s="1">
        <f>'20250815_ETF_Options_Exhibits'!AC730</f>
        <v/>
      </c>
      <c r="B730" s="32">
        <f>'20250815_ETF_Options_Exhibits'!AD730</f>
        <v/>
      </c>
      <c r="C730" s="32">
        <f>'20250815_ETF_Options_Exhibits'!AE730</f>
        <v/>
      </c>
    </row>
    <row r="731">
      <c r="A731" s="1">
        <f>'20250815_ETF_Options_Exhibits'!AC731</f>
        <v/>
      </c>
      <c r="B731" s="32">
        <f>'20250815_ETF_Options_Exhibits'!AD731</f>
        <v/>
      </c>
      <c r="C731" s="32">
        <f>'20250815_ETF_Options_Exhibits'!AE731</f>
        <v/>
      </c>
    </row>
    <row r="732">
      <c r="A732" s="1">
        <f>'20250815_ETF_Options_Exhibits'!AC732</f>
        <v/>
      </c>
      <c r="B732" s="32">
        <f>'20250815_ETF_Options_Exhibits'!AD732</f>
        <v/>
      </c>
      <c r="C732" s="32">
        <f>'20250815_ETF_Options_Exhibits'!AE732</f>
        <v/>
      </c>
    </row>
    <row r="733">
      <c r="A733" s="1">
        <f>'20250815_ETF_Options_Exhibits'!AC733</f>
        <v/>
      </c>
      <c r="B733" s="32">
        <f>'20250815_ETF_Options_Exhibits'!AD733</f>
        <v/>
      </c>
      <c r="C733" s="32">
        <f>'20250815_ETF_Options_Exhibits'!AE733</f>
        <v/>
      </c>
    </row>
    <row r="734">
      <c r="A734" s="1">
        <f>'20250815_ETF_Options_Exhibits'!AC734</f>
        <v/>
      </c>
      <c r="B734" s="32">
        <f>'20250815_ETF_Options_Exhibits'!AD734</f>
        <v/>
      </c>
      <c r="C734" s="32">
        <f>'20250815_ETF_Options_Exhibits'!AE734</f>
        <v/>
      </c>
    </row>
    <row r="735">
      <c r="A735" s="1">
        <f>'20250815_ETF_Options_Exhibits'!AC735</f>
        <v/>
      </c>
      <c r="B735" s="32">
        <f>'20250815_ETF_Options_Exhibits'!AD735</f>
        <v/>
      </c>
      <c r="C735" s="32">
        <f>'20250815_ETF_Options_Exhibits'!AE735</f>
        <v/>
      </c>
    </row>
    <row r="736">
      <c r="A736" s="1">
        <f>'20250815_ETF_Options_Exhibits'!AC736</f>
        <v/>
      </c>
      <c r="B736" s="32">
        <f>'20250815_ETF_Options_Exhibits'!AD736</f>
        <v/>
      </c>
      <c r="C736" s="32">
        <f>'20250815_ETF_Options_Exhibits'!AE736</f>
        <v/>
      </c>
    </row>
    <row r="737">
      <c r="A737" s="1">
        <f>'20250815_ETF_Options_Exhibits'!AC737</f>
        <v/>
      </c>
      <c r="B737" s="32">
        <f>'20250815_ETF_Options_Exhibits'!AD737</f>
        <v/>
      </c>
      <c r="C737" s="32">
        <f>'20250815_ETF_Options_Exhibits'!AE737</f>
        <v/>
      </c>
    </row>
    <row r="738">
      <c r="A738" s="1">
        <f>'20250815_ETF_Options_Exhibits'!AC738</f>
        <v/>
      </c>
      <c r="B738" s="32">
        <f>'20250815_ETF_Options_Exhibits'!AD738</f>
        <v/>
      </c>
      <c r="C738" s="32">
        <f>'20250815_ETF_Options_Exhibits'!AE738</f>
        <v/>
      </c>
    </row>
    <row r="739">
      <c r="A739" s="1">
        <f>'20250815_ETF_Options_Exhibits'!AC739</f>
        <v/>
      </c>
      <c r="B739" s="32">
        <f>'20250815_ETF_Options_Exhibits'!AD739</f>
        <v/>
      </c>
      <c r="C739" s="32">
        <f>'20250815_ETF_Options_Exhibits'!AE739</f>
        <v/>
      </c>
    </row>
    <row r="740">
      <c r="A740" s="1">
        <f>'20250815_ETF_Options_Exhibits'!AC740</f>
        <v/>
      </c>
      <c r="B740" s="32">
        <f>'20250815_ETF_Options_Exhibits'!AD740</f>
        <v/>
      </c>
      <c r="C740" s="32">
        <f>'20250815_ETF_Options_Exhibits'!AE740</f>
        <v/>
      </c>
    </row>
    <row r="741">
      <c r="A741" s="1">
        <f>'20250815_ETF_Options_Exhibits'!AC741</f>
        <v/>
      </c>
      <c r="B741" s="32">
        <f>'20250815_ETF_Options_Exhibits'!AD741</f>
        <v/>
      </c>
      <c r="C741" s="32">
        <f>'20250815_ETF_Options_Exhibits'!AE741</f>
        <v/>
      </c>
    </row>
    <row r="742">
      <c r="A742" s="1">
        <f>'20250815_ETF_Options_Exhibits'!AC742</f>
        <v/>
      </c>
      <c r="B742" s="32">
        <f>'20250815_ETF_Options_Exhibits'!AD742</f>
        <v/>
      </c>
      <c r="C742" s="32">
        <f>'20250815_ETF_Options_Exhibits'!AE742</f>
        <v/>
      </c>
    </row>
    <row r="743">
      <c r="A743" s="1">
        <f>'20250815_ETF_Options_Exhibits'!AC743</f>
        <v/>
      </c>
      <c r="B743" s="32">
        <f>'20250815_ETF_Options_Exhibits'!AD743</f>
        <v/>
      </c>
      <c r="C743" s="32">
        <f>'20250815_ETF_Options_Exhibits'!AE743</f>
        <v/>
      </c>
    </row>
    <row r="744">
      <c r="A744" s="1">
        <f>'20250815_ETF_Options_Exhibits'!AC744</f>
        <v/>
      </c>
      <c r="B744" s="32">
        <f>'20250815_ETF_Options_Exhibits'!AD744</f>
        <v/>
      </c>
      <c r="C744" s="32">
        <f>'20250815_ETF_Options_Exhibits'!AE744</f>
        <v/>
      </c>
    </row>
    <row r="745">
      <c r="A745" s="1">
        <f>'20250815_ETF_Options_Exhibits'!AC745</f>
        <v/>
      </c>
      <c r="B745" s="32">
        <f>'20250815_ETF_Options_Exhibits'!AD745</f>
        <v/>
      </c>
      <c r="C745" s="32">
        <f>'20250815_ETF_Options_Exhibits'!AE745</f>
        <v/>
      </c>
    </row>
    <row r="746">
      <c r="A746" s="1">
        <f>'20250815_ETF_Options_Exhibits'!AC746</f>
        <v/>
      </c>
      <c r="B746" s="32">
        <f>'20250815_ETF_Options_Exhibits'!AD746</f>
        <v/>
      </c>
      <c r="C746" s="32">
        <f>'20250815_ETF_Options_Exhibits'!AE746</f>
        <v/>
      </c>
    </row>
    <row r="747">
      <c r="A747" s="1">
        <f>'20250815_ETF_Options_Exhibits'!AC747</f>
        <v/>
      </c>
      <c r="B747" s="32">
        <f>'20250815_ETF_Options_Exhibits'!AD747</f>
        <v/>
      </c>
      <c r="C747" s="32">
        <f>'20250815_ETF_Options_Exhibits'!AE747</f>
        <v/>
      </c>
    </row>
    <row r="748">
      <c r="A748" s="1">
        <f>'20250815_ETF_Options_Exhibits'!AC748</f>
        <v/>
      </c>
      <c r="B748" s="32">
        <f>'20250815_ETF_Options_Exhibits'!AD748</f>
        <v/>
      </c>
      <c r="C748" s="32">
        <f>'20250815_ETF_Options_Exhibits'!AE748</f>
        <v/>
      </c>
    </row>
    <row r="749">
      <c r="A749" s="1">
        <f>'20250815_ETF_Options_Exhibits'!AC749</f>
        <v/>
      </c>
      <c r="B749" s="32">
        <f>'20250815_ETF_Options_Exhibits'!AD749</f>
        <v/>
      </c>
      <c r="C749" s="32">
        <f>'20250815_ETF_Options_Exhibits'!AE749</f>
        <v/>
      </c>
    </row>
    <row r="750">
      <c r="A750" s="1">
        <f>'20250815_ETF_Options_Exhibits'!AC750</f>
        <v/>
      </c>
      <c r="B750" s="32">
        <f>'20250815_ETF_Options_Exhibits'!AD750</f>
        <v/>
      </c>
      <c r="C750" s="32">
        <f>'20250815_ETF_Options_Exhibits'!AE750</f>
        <v/>
      </c>
    </row>
    <row r="751">
      <c r="A751" s="1">
        <f>'20250815_ETF_Options_Exhibits'!AC751</f>
        <v/>
      </c>
      <c r="B751" s="32">
        <f>'20250815_ETF_Options_Exhibits'!AD751</f>
        <v/>
      </c>
      <c r="C751" s="32">
        <f>'20250815_ETF_Options_Exhibits'!AE751</f>
        <v/>
      </c>
    </row>
    <row r="752">
      <c r="A752" s="1">
        <f>'20250815_ETF_Options_Exhibits'!AC752</f>
        <v/>
      </c>
      <c r="B752" s="32">
        <f>'20250815_ETF_Options_Exhibits'!AD752</f>
        <v/>
      </c>
      <c r="C752" s="32">
        <f>'20250815_ETF_Options_Exhibits'!AE752</f>
        <v/>
      </c>
    </row>
    <row r="753">
      <c r="A753" s="1">
        <f>'20250815_ETF_Options_Exhibits'!AC753</f>
        <v/>
      </c>
      <c r="B753" s="32">
        <f>'20250815_ETF_Options_Exhibits'!AD753</f>
        <v/>
      </c>
      <c r="C753" s="32">
        <f>'20250815_ETF_Options_Exhibits'!AE753</f>
        <v/>
      </c>
    </row>
    <row r="754">
      <c r="A754" s="1">
        <f>'20250815_ETF_Options_Exhibits'!AC754</f>
        <v/>
      </c>
      <c r="B754" s="32">
        <f>'20250815_ETF_Options_Exhibits'!AD754</f>
        <v/>
      </c>
      <c r="C754" s="32">
        <f>'20250815_ETF_Options_Exhibits'!AE754</f>
        <v/>
      </c>
    </row>
    <row r="755">
      <c r="A755" s="1">
        <f>'20250815_ETF_Options_Exhibits'!AC755</f>
        <v/>
      </c>
      <c r="B755" s="32">
        <f>'20250815_ETF_Options_Exhibits'!AD755</f>
        <v/>
      </c>
      <c r="C755" s="32">
        <f>'20250815_ETF_Options_Exhibits'!AE755</f>
        <v/>
      </c>
    </row>
    <row r="756">
      <c r="A756" s="1">
        <f>'20250815_ETF_Options_Exhibits'!AC756</f>
        <v/>
      </c>
      <c r="B756" s="32">
        <f>'20250815_ETF_Options_Exhibits'!AD756</f>
        <v/>
      </c>
      <c r="C756" s="32">
        <f>'20250815_ETF_Options_Exhibits'!AE756</f>
        <v/>
      </c>
    </row>
    <row r="757">
      <c r="A757" s="1">
        <f>'20250815_ETF_Options_Exhibits'!AC757</f>
        <v/>
      </c>
      <c r="B757" s="32">
        <f>'20250815_ETF_Options_Exhibits'!AD757</f>
        <v/>
      </c>
      <c r="C757" s="32">
        <f>'20250815_ETF_Options_Exhibits'!AE757</f>
        <v/>
      </c>
    </row>
    <row r="758">
      <c r="A758" s="1">
        <f>'20250815_ETF_Options_Exhibits'!AC758</f>
        <v/>
      </c>
      <c r="B758" s="32">
        <f>'20250815_ETF_Options_Exhibits'!AD758</f>
        <v/>
      </c>
      <c r="C758" s="32">
        <f>'20250815_ETF_Options_Exhibits'!AE758</f>
        <v/>
      </c>
    </row>
    <row r="759">
      <c r="A759" s="1">
        <f>'20250815_ETF_Options_Exhibits'!AC759</f>
        <v/>
      </c>
      <c r="B759" s="32">
        <f>'20250815_ETF_Options_Exhibits'!AD759</f>
        <v/>
      </c>
      <c r="C759" s="32">
        <f>'20250815_ETF_Options_Exhibits'!AE759</f>
        <v/>
      </c>
    </row>
    <row r="760">
      <c r="A760" s="1">
        <f>'20250815_ETF_Options_Exhibits'!AC760</f>
        <v/>
      </c>
      <c r="B760" s="32">
        <f>'20250815_ETF_Options_Exhibits'!AD760</f>
        <v/>
      </c>
      <c r="C760" s="32">
        <f>'20250815_ETF_Options_Exhibits'!AE760</f>
        <v/>
      </c>
    </row>
    <row r="761">
      <c r="A761" s="1">
        <f>'20250815_ETF_Options_Exhibits'!AC761</f>
        <v/>
      </c>
      <c r="B761" s="32">
        <f>'20250815_ETF_Options_Exhibits'!AD761</f>
        <v/>
      </c>
      <c r="C761" s="32">
        <f>'20250815_ETF_Options_Exhibits'!AE761</f>
        <v/>
      </c>
    </row>
    <row r="762">
      <c r="A762" s="1">
        <f>'20250815_ETF_Options_Exhibits'!AC762</f>
        <v/>
      </c>
      <c r="B762" s="32">
        <f>'20250815_ETF_Options_Exhibits'!AD762</f>
        <v/>
      </c>
      <c r="C762" s="32">
        <f>'20250815_ETF_Options_Exhibits'!AE762</f>
        <v/>
      </c>
    </row>
    <row r="763">
      <c r="A763" s="1">
        <f>'20250815_ETF_Options_Exhibits'!AC763</f>
        <v/>
      </c>
      <c r="B763" s="32">
        <f>'20250815_ETF_Options_Exhibits'!AD763</f>
        <v/>
      </c>
      <c r="C763" s="32">
        <f>'20250815_ETF_Options_Exhibits'!AE763</f>
        <v/>
      </c>
    </row>
    <row r="764">
      <c r="A764" s="1">
        <f>'20250815_ETF_Options_Exhibits'!AC764</f>
        <v/>
      </c>
      <c r="B764" s="32">
        <f>'20250815_ETF_Options_Exhibits'!AD764</f>
        <v/>
      </c>
      <c r="C764" s="32">
        <f>'20250815_ETF_Options_Exhibits'!AE764</f>
        <v/>
      </c>
    </row>
    <row r="765">
      <c r="A765" s="1">
        <f>'20250815_ETF_Options_Exhibits'!AC765</f>
        <v/>
      </c>
      <c r="B765" s="32">
        <f>'20250815_ETF_Options_Exhibits'!AD765</f>
        <v/>
      </c>
      <c r="C765" s="32">
        <f>'20250815_ETF_Options_Exhibits'!AE765</f>
        <v/>
      </c>
    </row>
    <row r="766">
      <c r="A766" s="1">
        <f>'20250815_ETF_Options_Exhibits'!AC766</f>
        <v/>
      </c>
      <c r="B766" s="32">
        <f>'20250815_ETF_Options_Exhibits'!AD766</f>
        <v/>
      </c>
      <c r="C766" s="32">
        <f>'20250815_ETF_Options_Exhibits'!AE766</f>
        <v/>
      </c>
    </row>
    <row r="767">
      <c r="A767" s="1">
        <f>'20250815_ETF_Options_Exhibits'!AC767</f>
        <v/>
      </c>
      <c r="B767" s="32">
        <f>'20250815_ETF_Options_Exhibits'!AD767</f>
        <v/>
      </c>
      <c r="C767" s="32">
        <f>'20250815_ETF_Options_Exhibits'!AE767</f>
        <v/>
      </c>
    </row>
    <row r="768">
      <c r="A768" s="1">
        <f>'20250815_ETF_Options_Exhibits'!AC768</f>
        <v/>
      </c>
      <c r="B768" s="32">
        <f>'20250815_ETF_Options_Exhibits'!AD768</f>
        <v/>
      </c>
      <c r="C768" s="32">
        <f>'20250815_ETF_Options_Exhibits'!AE768</f>
        <v/>
      </c>
    </row>
    <row r="769">
      <c r="A769" s="1">
        <f>'20250815_ETF_Options_Exhibits'!AC769</f>
        <v/>
      </c>
      <c r="B769" s="32">
        <f>'20250815_ETF_Options_Exhibits'!AD769</f>
        <v/>
      </c>
      <c r="C769" s="32">
        <f>'20250815_ETF_Options_Exhibits'!AE769</f>
        <v/>
      </c>
    </row>
    <row r="770">
      <c r="A770" s="1">
        <f>'20250815_ETF_Options_Exhibits'!AC770</f>
        <v/>
      </c>
      <c r="B770" s="32">
        <f>'20250815_ETF_Options_Exhibits'!AD770</f>
        <v/>
      </c>
      <c r="C770" s="32">
        <f>'20250815_ETF_Options_Exhibits'!AE770</f>
        <v/>
      </c>
    </row>
    <row r="771">
      <c r="A771" s="1">
        <f>'20250815_ETF_Options_Exhibits'!AC771</f>
        <v/>
      </c>
      <c r="B771" s="32">
        <f>'20250815_ETF_Options_Exhibits'!AD771</f>
        <v/>
      </c>
      <c r="C771" s="32">
        <f>'20250815_ETF_Options_Exhibits'!AE771</f>
        <v/>
      </c>
    </row>
    <row r="772">
      <c r="A772" s="1">
        <f>'20250815_ETF_Options_Exhibits'!AC772</f>
        <v/>
      </c>
      <c r="B772" s="32">
        <f>'20250815_ETF_Options_Exhibits'!AD772</f>
        <v/>
      </c>
      <c r="C772" s="32">
        <f>'20250815_ETF_Options_Exhibits'!AE772</f>
        <v/>
      </c>
    </row>
    <row r="773">
      <c r="A773" s="1">
        <f>'20250815_ETF_Options_Exhibits'!AC773</f>
        <v/>
      </c>
      <c r="B773" s="32">
        <f>'20250815_ETF_Options_Exhibits'!AD773</f>
        <v/>
      </c>
      <c r="C773" s="32">
        <f>'20250815_ETF_Options_Exhibits'!AE773</f>
        <v/>
      </c>
    </row>
    <row r="774">
      <c r="A774" s="1">
        <f>'20250815_ETF_Options_Exhibits'!AC774</f>
        <v/>
      </c>
      <c r="B774" s="32">
        <f>'20250815_ETF_Options_Exhibits'!AD774</f>
        <v/>
      </c>
      <c r="C774" s="32">
        <f>'20250815_ETF_Options_Exhibits'!AE774</f>
        <v/>
      </c>
    </row>
    <row r="775">
      <c r="A775" s="1">
        <f>'20250815_ETF_Options_Exhibits'!AC775</f>
        <v/>
      </c>
      <c r="B775" s="32">
        <f>'20250815_ETF_Options_Exhibits'!AD775</f>
        <v/>
      </c>
      <c r="C775" s="32">
        <f>'20250815_ETF_Options_Exhibits'!AE775</f>
        <v/>
      </c>
    </row>
    <row r="776">
      <c r="A776" s="1">
        <f>'20250815_ETF_Options_Exhibits'!AC776</f>
        <v/>
      </c>
      <c r="B776" s="32">
        <f>'20250815_ETF_Options_Exhibits'!AD776</f>
        <v/>
      </c>
      <c r="C776" s="32">
        <f>'20250815_ETF_Options_Exhibits'!AE776</f>
        <v/>
      </c>
    </row>
    <row r="777">
      <c r="A777" s="1">
        <f>'20250815_ETF_Options_Exhibits'!AC777</f>
        <v/>
      </c>
      <c r="B777" s="32">
        <f>'20250815_ETF_Options_Exhibits'!AD777</f>
        <v/>
      </c>
      <c r="C777" s="32">
        <f>'20250815_ETF_Options_Exhibits'!AE777</f>
        <v/>
      </c>
    </row>
    <row r="778">
      <c r="A778" s="1">
        <f>'20250815_ETF_Options_Exhibits'!AC778</f>
        <v/>
      </c>
      <c r="B778" s="32">
        <f>'20250815_ETF_Options_Exhibits'!AD778</f>
        <v/>
      </c>
      <c r="C778" s="32">
        <f>'20250815_ETF_Options_Exhibits'!AE778</f>
        <v/>
      </c>
    </row>
    <row r="779">
      <c r="A779" s="1">
        <f>'20250815_ETF_Options_Exhibits'!AC779</f>
        <v/>
      </c>
      <c r="B779" s="32">
        <f>'20250815_ETF_Options_Exhibits'!AD779</f>
        <v/>
      </c>
      <c r="C779" s="32">
        <f>'20250815_ETF_Options_Exhibits'!AE779</f>
        <v/>
      </c>
    </row>
    <row r="780">
      <c r="A780" s="1">
        <f>'20250815_ETF_Options_Exhibits'!AC780</f>
        <v/>
      </c>
      <c r="B780" s="32">
        <f>'20250815_ETF_Options_Exhibits'!AD780</f>
        <v/>
      </c>
      <c r="C780" s="32">
        <f>'20250815_ETF_Options_Exhibits'!AE780</f>
        <v/>
      </c>
    </row>
    <row r="781">
      <c r="A781" s="1">
        <f>'20250815_ETF_Options_Exhibits'!AC781</f>
        <v/>
      </c>
      <c r="B781" s="32">
        <f>'20250815_ETF_Options_Exhibits'!AD781</f>
        <v/>
      </c>
      <c r="C781" s="32">
        <f>'20250815_ETF_Options_Exhibits'!AE781</f>
        <v/>
      </c>
    </row>
    <row r="782">
      <c r="A782" s="1">
        <f>'20250815_ETF_Options_Exhibits'!AC782</f>
        <v/>
      </c>
      <c r="B782" s="32">
        <f>'20250815_ETF_Options_Exhibits'!AD782</f>
        <v/>
      </c>
      <c r="C782" s="32">
        <f>'20250815_ETF_Options_Exhibits'!AE782</f>
        <v/>
      </c>
    </row>
    <row r="783">
      <c r="A783" s="1">
        <f>'20250815_ETF_Options_Exhibits'!AC783</f>
        <v/>
      </c>
      <c r="B783" s="32">
        <f>'20250815_ETF_Options_Exhibits'!AD783</f>
        <v/>
      </c>
      <c r="C783" s="32">
        <f>'20250815_ETF_Options_Exhibits'!AE783</f>
        <v/>
      </c>
    </row>
    <row r="784">
      <c r="A784" s="1">
        <f>'20250815_ETF_Options_Exhibits'!AC784</f>
        <v/>
      </c>
      <c r="B784" s="32">
        <f>'20250815_ETF_Options_Exhibits'!AD784</f>
        <v/>
      </c>
      <c r="C784" s="32">
        <f>'20250815_ETF_Options_Exhibits'!AE784</f>
        <v/>
      </c>
    </row>
    <row r="785">
      <c r="A785" s="1">
        <f>'20250815_ETF_Options_Exhibits'!AC785</f>
        <v/>
      </c>
      <c r="B785" s="32">
        <f>'20250815_ETF_Options_Exhibits'!AD785</f>
        <v/>
      </c>
      <c r="C785" s="32">
        <f>'20250815_ETF_Options_Exhibits'!AE785</f>
        <v/>
      </c>
    </row>
    <row r="786">
      <c r="A786" s="1">
        <f>'20250815_ETF_Options_Exhibits'!AC786</f>
        <v/>
      </c>
      <c r="B786" s="32">
        <f>'20250815_ETF_Options_Exhibits'!AD786</f>
        <v/>
      </c>
      <c r="C786" s="32">
        <f>'20250815_ETF_Options_Exhibits'!AE786</f>
        <v/>
      </c>
    </row>
    <row r="787">
      <c r="A787" s="1">
        <f>'20250815_ETF_Options_Exhibits'!AC787</f>
        <v/>
      </c>
      <c r="B787" s="32">
        <f>'20250815_ETF_Options_Exhibits'!AD787</f>
        <v/>
      </c>
      <c r="C787" s="32">
        <f>'20250815_ETF_Options_Exhibits'!AE787</f>
        <v/>
      </c>
    </row>
    <row r="788">
      <c r="A788" s="1">
        <f>'20250815_ETF_Options_Exhibits'!AC788</f>
        <v/>
      </c>
      <c r="B788" s="32">
        <f>'20250815_ETF_Options_Exhibits'!AD788</f>
        <v/>
      </c>
      <c r="C788" s="32">
        <f>'20250815_ETF_Options_Exhibits'!AE788</f>
        <v/>
      </c>
    </row>
    <row r="789">
      <c r="A789" s="1">
        <f>'20250815_ETF_Options_Exhibits'!AC789</f>
        <v/>
      </c>
      <c r="B789" s="32">
        <f>'20250815_ETF_Options_Exhibits'!AD789</f>
        <v/>
      </c>
      <c r="C789" s="32">
        <f>'20250815_ETF_Options_Exhibits'!AE789</f>
        <v/>
      </c>
    </row>
    <row r="790">
      <c r="A790" s="1">
        <f>'20250815_ETF_Options_Exhibits'!AC790</f>
        <v/>
      </c>
      <c r="B790" s="32">
        <f>'20250815_ETF_Options_Exhibits'!AD790</f>
        <v/>
      </c>
      <c r="C790" s="32">
        <f>'20250815_ETF_Options_Exhibits'!AE790</f>
        <v/>
      </c>
    </row>
    <row r="791">
      <c r="A791" s="1">
        <f>'20250815_ETF_Options_Exhibits'!AC791</f>
        <v/>
      </c>
      <c r="B791" s="32">
        <f>'20250815_ETF_Options_Exhibits'!AD791</f>
        <v/>
      </c>
      <c r="C791" s="32">
        <f>'20250815_ETF_Options_Exhibits'!AE791</f>
        <v/>
      </c>
    </row>
    <row r="792">
      <c r="A792" s="1">
        <f>'20250815_ETF_Options_Exhibits'!AC792</f>
        <v/>
      </c>
      <c r="B792" s="32">
        <f>'20250815_ETF_Options_Exhibits'!AD792</f>
        <v/>
      </c>
      <c r="C792" s="32">
        <f>'20250815_ETF_Options_Exhibits'!AE792</f>
        <v/>
      </c>
    </row>
    <row r="793">
      <c r="A793" s="1">
        <f>'20250815_ETF_Options_Exhibits'!AC793</f>
        <v/>
      </c>
      <c r="B793" s="32">
        <f>'20250815_ETF_Options_Exhibits'!AD793</f>
        <v/>
      </c>
      <c r="C793" s="32">
        <f>'20250815_ETF_Options_Exhibits'!AE793</f>
        <v/>
      </c>
    </row>
    <row r="794">
      <c r="A794" s="1">
        <f>'20250815_ETF_Options_Exhibits'!AC794</f>
        <v/>
      </c>
      <c r="B794" s="32">
        <f>'20250815_ETF_Options_Exhibits'!AD794</f>
        <v/>
      </c>
      <c r="C794" s="32">
        <f>'20250815_ETF_Options_Exhibits'!AE794</f>
        <v/>
      </c>
    </row>
    <row r="795">
      <c r="A795" s="1">
        <f>'20250815_ETF_Options_Exhibits'!AC795</f>
        <v/>
      </c>
      <c r="B795" s="32">
        <f>'20250815_ETF_Options_Exhibits'!AD795</f>
        <v/>
      </c>
      <c r="C795" s="32">
        <f>'20250815_ETF_Options_Exhibits'!AE795</f>
        <v/>
      </c>
    </row>
    <row r="796">
      <c r="A796" s="1">
        <f>'20250815_ETF_Options_Exhibits'!AC796</f>
        <v/>
      </c>
      <c r="B796" s="32">
        <f>'20250815_ETF_Options_Exhibits'!AD796</f>
        <v/>
      </c>
      <c r="C796" s="32">
        <f>'20250815_ETF_Options_Exhibits'!AE796</f>
        <v/>
      </c>
    </row>
    <row r="797">
      <c r="A797" s="1">
        <f>'20250815_ETF_Options_Exhibits'!AC797</f>
        <v/>
      </c>
      <c r="B797" s="32">
        <f>'20250815_ETF_Options_Exhibits'!AD797</f>
        <v/>
      </c>
      <c r="C797" s="32">
        <f>'20250815_ETF_Options_Exhibits'!AE797</f>
        <v/>
      </c>
    </row>
    <row r="798">
      <c r="A798" s="1">
        <f>'20250815_ETF_Options_Exhibits'!AC798</f>
        <v/>
      </c>
      <c r="B798" s="32">
        <f>'20250815_ETF_Options_Exhibits'!AD798</f>
        <v/>
      </c>
      <c r="C798" s="32">
        <f>'20250815_ETF_Options_Exhibits'!AE798</f>
        <v/>
      </c>
    </row>
    <row r="799">
      <c r="A799" s="1">
        <f>'20250815_ETF_Options_Exhibits'!AC799</f>
        <v/>
      </c>
      <c r="B799" s="32">
        <f>'20250815_ETF_Options_Exhibits'!AD799</f>
        <v/>
      </c>
      <c r="C799" s="32">
        <f>'20250815_ETF_Options_Exhibits'!AE799</f>
        <v/>
      </c>
    </row>
    <row r="800">
      <c r="A800" s="1">
        <f>'20250815_ETF_Options_Exhibits'!AC800</f>
        <v/>
      </c>
      <c r="B800" s="32">
        <f>'20250815_ETF_Options_Exhibits'!AD800</f>
        <v/>
      </c>
      <c r="C800" s="32">
        <f>'20250815_ETF_Options_Exhibits'!AE800</f>
        <v/>
      </c>
    </row>
    <row r="801">
      <c r="A801" s="1">
        <f>'20250815_ETF_Options_Exhibits'!AC801</f>
        <v/>
      </c>
      <c r="B801" s="32">
        <f>'20250815_ETF_Options_Exhibits'!AD801</f>
        <v/>
      </c>
      <c r="C801" s="32">
        <f>'20250815_ETF_Options_Exhibits'!AE801</f>
        <v/>
      </c>
    </row>
    <row r="802">
      <c r="A802" s="1">
        <f>'20250815_ETF_Options_Exhibits'!AC802</f>
        <v/>
      </c>
      <c r="B802" s="32">
        <f>'20250815_ETF_Options_Exhibits'!AD802</f>
        <v/>
      </c>
      <c r="C802" s="32">
        <f>'20250815_ETF_Options_Exhibits'!AE802</f>
        <v/>
      </c>
    </row>
    <row r="803">
      <c r="A803" s="1">
        <f>'20250815_ETF_Options_Exhibits'!AC803</f>
        <v/>
      </c>
      <c r="B803" s="32">
        <f>'20250815_ETF_Options_Exhibits'!AD803</f>
        <v/>
      </c>
      <c r="C803" s="32">
        <f>'20250815_ETF_Options_Exhibits'!AE803</f>
        <v/>
      </c>
    </row>
    <row r="804">
      <c r="A804" s="1">
        <f>'20250815_ETF_Options_Exhibits'!AC804</f>
        <v/>
      </c>
      <c r="B804" s="32">
        <f>'20250815_ETF_Options_Exhibits'!AD804</f>
        <v/>
      </c>
      <c r="C804" s="32">
        <f>'20250815_ETF_Options_Exhibits'!AE804</f>
        <v/>
      </c>
    </row>
    <row r="805">
      <c r="A805" s="1">
        <f>'20250815_ETF_Options_Exhibits'!AC805</f>
        <v/>
      </c>
      <c r="B805" s="32">
        <f>'20250815_ETF_Options_Exhibits'!AD805</f>
        <v/>
      </c>
      <c r="C805" s="32">
        <f>'20250815_ETF_Options_Exhibits'!AE805</f>
        <v/>
      </c>
    </row>
    <row r="806">
      <c r="A806" s="1">
        <f>'20250815_ETF_Options_Exhibits'!AC806</f>
        <v/>
      </c>
      <c r="B806" s="32">
        <f>'20250815_ETF_Options_Exhibits'!AD806</f>
        <v/>
      </c>
      <c r="C806" s="32">
        <f>'20250815_ETF_Options_Exhibits'!AE806</f>
        <v/>
      </c>
    </row>
    <row r="807">
      <c r="A807" s="1">
        <f>'20250815_ETF_Options_Exhibits'!AC807</f>
        <v/>
      </c>
      <c r="B807" s="32">
        <f>'20250815_ETF_Options_Exhibits'!AD807</f>
        <v/>
      </c>
      <c r="C807" s="32">
        <f>'20250815_ETF_Options_Exhibits'!AE807</f>
        <v/>
      </c>
    </row>
    <row r="808">
      <c r="A808" s="1">
        <f>'20250815_ETF_Options_Exhibits'!AC808</f>
        <v/>
      </c>
      <c r="B808" s="32">
        <f>'20250815_ETF_Options_Exhibits'!AD808</f>
        <v/>
      </c>
      <c r="C808" s="32">
        <f>'20250815_ETF_Options_Exhibits'!AE808</f>
        <v/>
      </c>
    </row>
    <row r="809">
      <c r="A809" s="1">
        <f>'20250815_ETF_Options_Exhibits'!AC809</f>
        <v/>
      </c>
      <c r="B809" s="32">
        <f>'20250815_ETF_Options_Exhibits'!AD809</f>
        <v/>
      </c>
      <c r="C809" s="32">
        <f>'20250815_ETF_Options_Exhibits'!AE809</f>
        <v/>
      </c>
    </row>
    <row r="810">
      <c r="A810" s="1">
        <f>'20250815_ETF_Options_Exhibits'!AC810</f>
        <v/>
      </c>
      <c r="B810" s="32">
        <f>'20250815_ETF_Options_Exhibits'!AD810</f>
        <v/>
      </c>
      <c r="C810" s="32">
        <f>'20250815_ETF_Options_Exhibits'!AE810</f>
        <v/>
      </c>
    </row>
    <row r="811">
      <c r="A811" s="1">
        <f>'20250815_ETF_Options_Exhibits'!AC811</f>
        <v/>
      </c>
      <c r="B811" s="32">
        <f>'20250815_ETF_Options_Exhibits'!AD811</f>
        <v/>
      </c>
      <c r="C811" s="32">
        <f>'20250815_ETF_Options_Exhibits'!AE811</f>
        <v/>
      </c>
    </row>
    <row r="812">
      <c r="A812" s="1">
        <f>'20250815_ETF_Options_Exhibits'!AC812</f>
        <v/>
      </c>
      <c r="B812" s="32">
        <f>'20250815_ETF_Options_Exhibits'!AD812</f>
        <v/>
      </c>
      <c r="C812" s="32">
        <f>'20250815_ETF_Options_Exhibits'!AE812</f>
        <v/>
      </c>
    </row>
    <row r="813">
      <c r="A813" s="1">
        <f>'20250815_ETF_Options_Exhibits'!AC813</f>
        <v/>
      </c>
      <c r="B813" s="32">
        <f>'20250815_ETF_Options_Exhibits'!AD813</f>
        <v/>
      </c>
      <c r="C813" s="32">
        <f>'20250815_ETF_Options_Exhibits'!AE813</f>
        <v/>
      </c>
    </row>
    <row r="814">
      <c r="A814" s="1">
        <f>'20250815_ETF_Options_Exhibits'!AC814</f>
        <v/>
      </c>
      <c r="B814" s="32">
        <f>'20250815_ETF_Options_Exhibits'!AD814</f>
        <v/>
      </c>
      <c r="C814" s="32">
        <f>'20250815_ETF_Options_Exhibits'!AE814</f>
        <v/>
      </c>
    </row>
    <row r="815">
      <c r="A815" s="1">
        <f>'20250815_ETF_Options_Exhibits'!AC815</f>
        <v/>
      </c>
      <c r="B815" s="32">
        <f>'20250815_ETF_Options_Exhibits'!AD815</f>
        <v/>
      </c>
      <c r="C815" s="32">
        <f>'20250815_ETF_Options_Exhibits'!AE815</f>
        <v/>
      </c>
    </row>
    <row r="816">
      <c r="A816" s="1">
        <f>'20250815_ETF_Options_Exhibits'!AC816</f>
        <v/>
      </c>
      <c r="B816" s="32">
        <f>'20250815_ETF_Options_Exhibits'!AD816</f>
        <v/>
      </c>
      <c r="C816" s="32">
        <f>'20250815_ETF_Options_Exhibits'!AE816</f>
        <v/>
      </c>
    </row>
    <row r="817">
      <c r="A817" s="1">
        <f>'20250815_ETF_Options_Exhibits'!AC817</f>
        <v/>
      </c>
      <c r="B817" s="32">
        <f>'20250815_ETF_Options_Exhibits'!AD817</f>
        <v/>
      </c>
      <c r="C817" s="32">
        <f>'20250815_ETF_Options_Exhibits'!AE817</f>
        <v/>
      </c>
    </row>
    <row r="818">
      <c r="A818" s="1">
        <f>'20250815_ETF_Options_Exhibits'!AC818</f>
        <v/>
      </c>
      <c r="B818" s="32">
        <f>'20250815_ETF_Options_Exhibits'!AD818</f>
        <v/>
      </c>
      <c r="C818" s="32">
        <f>'20250815_ETF_Options_Exhibits'!AE818</f>
        <v/>
      </c>
    </row>
    <row r="819">
      <c r="A819" s="1">
        <f>'20250815_ETF_Options_Exhibits'!AC819</f>
        <v/>
      </c>
      <c r="B819" s="32">
        <f>'20250815_ETF_Options_Exhibits'!AD819</f>
        <v/>
      </c>
      <c r="C819" s="32">
        <f>'20250815_ETF_Options_Exhibits'!AE819</f>
        <v/>
      </c>
    </row>
    <row r="820">
      <c r="A820" s="1">
        <f>'20250815_ETF_Options_Exhibits'!AC820</f>
        <v/>
      </c>
      <c r="B820" s="32">
        <f>'20250815_ETF_Options_Exhibits'!AD820</f>
        <v/>
      </c>
      <c r="C820" s="32">
        <f>'20250815_ETF_Options_Exhibits'!AE820</f>
        <v/>
      </c>
    </row>
    <row r="821">
      <c r="A821" s="1">
        <f>'20250815_ETF_Options_Exhibits'!AC821</f>
        <v/>
      </c>
      <c r="B821" s="32">
        <f>'20250815_ETF_Options_Exhibits'!AD821</f>
        <v/>
      </c>
      <c r="C821" s="32">
        <f>'20250815_ETF_Options_Exhibits'!AE821</f>
        <v/>
      </c>
    </row>
    <row r="822">
      <c r="A822" s="1">
        <f>'20250815_ETF_Options_Exhibits'!AC822</f>
        <v/>
      </c>
      <c r="B822" s="32">
        <f>'20250815_ETF_Options_Exhibits'!AD822</f>
        <v/>
      </c>
      <c r="C822" s="32">
        <f>'20250815_ETF_Options_Exhibits'!AE822</f>
        <v/>
      </c>
    </row>
    <row r="823">
      <c r="A823" s="1">
        <f>'20250815_ETF_Options_Exhibits'!AC823</f>
        <v/>
      </c>
      <c r="B823" s="32">
        <f>'20250815_ETF_Options_Exhibits'!AD823</f>
        <v/>
      </c>
      <c r="C823" s="32">
        <f>'20250815_ETF_Options_Exhibits'!AE823</f>
        <v/>
      </c>
    </row>
    <row r="824">
      <c r="A824" s="1">
        <f>'20250815_ETF_Options_Exhibits'!AC824</f>
        <v/>
      </c>
      <c r="B824" s="32">
        <f>'20250815_ETF_Options_Exhibits'!AD824</f>
        <v/>
      </c>
      <c r="C824" s="32">
        <f>'20250815_ETF_Options_Exhibits'!AE824</f>
        <v/>
      </c>
    </row>
    <row r="825">
      <c r="A825" s="1">
        <f>'20250815_ETF_Options_Exhibits'!AC825</f>
        <v/>
      </c>
      <c r="B825" s="32">
        <f>'20250815_ETF_Options_Exhibits'!AD825</f>
        <v/>
      </c>
      <c r="C825" s="32">
        <f>'20250815_ETF_Options_Exhibits'!AE825</f>
        <v/>
      </c>
    </row>
    <row r="826">
      <c r="A826" s="1">
        <f>'20250815_ETF_Options_Exhibits'!AC826</f>
        <v/>
      </c>
      <c r="B826" s="32">
        <f>'20250815_ETF_Options_Exhibits'!AD826</f>
        <v/>
      </c>
      <c r="C826" s="32">
        <f>'20250815_ETF_Options_Exhibits'!AE826</f>
        <v/>
      </c>
    </row>
    <row r="827">
      <c r="A827" s="1">
        <f>'20250815_ETF_Options_Exhibits'!AC827</f>
        <v/>
      </c>
      <c r="B827" s="32">
        <f>'20250815_ETF_Options_Exhibits'!AD827</f>
        <v/>
      </c>
      <c r="C827" s="32">
        <f>'20250815_ETF_Options_Exhibits'!AE827</f>
        <v/>
      </c>
    </row>
    <row r="828">
      <c r="A828" s="1">
        <f>'20250815_ETF_Options_Exhibits'!AC828</f>
        <v/>
      </c>
      <c r="B828" s="32">
        <f>'20250815_ETF_Options_Exhibits'!AD828</f>
        <v/>
      </c>
      <c r="C828" s="32">
        <f>'20250815_ETF_Options_Exhibits'!AE828</f>
        <v/>
      </c>
    </row>
    <row r="829">
      <c r="A829" s="1">
        <f>'20250815_ETF_Options_Exhibits'!AC829</f>
        <v/>
      </c>
      <c r="B829" s="32">
        <f>'20250815_ETF_Options_Exhibits'!AD829</f>
        <v/>
      </c>
      <c r="C829" s="32">
        <f>'20250815_ETF_Options_Exhibits'!AE829</f>
        <v/>
      </c>
    </row>
    <row r="830">
      <c r="A830" s="1">
        <f>'20250815_ETF_Options_Exhibits'!AC830</f>
        <v/>
      </c>
      <c r="B830" s="32">
        <f>'20250815_ETF_Options_Exhibits'!AD830</f>
        <v/>
      </c>
      <c r="C830" s="32">
        <f>'20250815_ETF_Options_Exhibits'!AE830</f>
        <v/>
      </c>
    </row>
    <row r="831">
      <c r="A831" s="1">
        <f>'20250815_ETF_Options_Exhibits'!AC831</f>
        <v/>
      </c>
      <c r="B831" s="32">
        <f>'20250815_ETF_Options_Exhibits'!AD831</f>
        <v/>
      </c>
      <c r="C831" s="32">
        <f>'20250815_ETF_Options_Exhibits'!AE831</f>
        <v/>
      </c>
    </row>
    <row r="832">
      <c r="A832" s="1">
        <f>'20250815_ETF_Options_Exhibits'!AC832</f>
        <v/>
      </c>
      <c r="B832" s="32">
        <f>'20250815_ETF_Options_Exhibits'!AD832</f>
        <v/>
      </c>
      <c r="C832" s="32">
        <f>'20250815_ETF_Options_Exhibits'!AE832</f>
        <v/>
      </c>
    </row>
    <row r="833">
      <c r="A833" s="1">
        <f>'20250815_ETF_Options_Exhibits'!AC833</f>
        <v/>
      </c>
      <c r="B833" s="32">
        <f>'20250815_ETF_Options_Exhibits'!AD833</f>
        <v/>
      </c>
      <c r="C833" s="32">
        <f>'20250815_ETF_Options_Exhibits'!AE833</f>
        <v/>
      </c>
    </row>
    <row r="834">
      <c r="A834" s="1">
        <f>'20250815_ETF_Options_Exhibits'!AC834</f>
        <v/>
      </c>
      <c r="B834" s="32">
        <f>'20250815_ETF_Options_Exhibits'!AD834</f>
        <v/>
      </c>
      <c r="C834" s="32">
        <f>'20250815_ETF_Options_Exhibits'!AE834</f>
        <v/>
      </c>
    </row>
    <row r="835">
      <c r="A835" s="1">
        <f>'20250815_ETF_Options_Exhibits'!AC835</f>
        <v/>
      </c>
      <c r="B835" s="32">
        <f>'20250815_ETF_Options_Exhibits'!AD835</f>
        <v/>
      </c>
      <c r="C835" s="32">
        <f>'20250815_ETF_Options_Exhibits'!AE835</f>
        <v/>
      </c>
    </row>
    <row r="836">
      <c r="A836" s="1">
        <f>'20250815_ETF_Options_Exhibits'!AC836</f>
        <v/>
      </c>
      <c r="B836" s="32">
        <f>'20250815_ETF_Options_Exhibits'!AD836</f>
        <v/>
      </c>
      <c r="C836" s="32">
        <f>'20250815_ETF_Options_Exhibits'!AE836</f>
        <v/>
      </c>
    </row>
    <row r="837">
      <c r="A837" s="1">
        <f>'20250815_ETF_Options_Exhibits'!AC837</f>
        <v/>
      </c>
      <c r="B837" s="32">
        <f>'20250815_ETF_Options_Exhibits'!AD837</f>
        <v/>
      </c>
      <c r="C837" s="32">
        <f>'20250815_ETF_Options_Exhibits'!AE837</f>
        <v/>
      </c>
    </row>
    <row r="838">
      <c r="A838" s="1">
        <f>'20250815_ETF_Options_Exhibits'!AC838</f>
        <v/>
      </c>
      <c r="B838" s="32">
        <f>'20250815_ETF_Options_Exhibits'!AD838</f>
        <v/>
      </c>
      <c r="C838" s="32">
        <f>'20250815_ETF_Options_Exhibits'!AE838</f>
        <v/>
      </c>
    </row>
    <row r="839">
      <c r="A839" s="1">
        <f>'20250815_ETF_Options_Exhibits'!AC839</f>
        <v/>
      </c>
      <c r="B839" s="32">
        <f>'20250815_ETF_Options_Exhibits'!AD839</f>
        <v/>
      </c>
      <c r="C839" s="32">
        <f>'20250815_ETF_Options_Exhibits'!AE839</f>
        <v/>
      </c>
    </row>
    <row r="840">
      <c r="A840" s="1">
        <f>'20250815_ETF_Options_Exhibits'!AC840</f>
        <v/>
      </c>
      <c r="B840" s="32">
        <f>'20250815_ETF_Options_Exhibits'!AD840</f>
        <v/>
      </c>
      <c r="C840" s="32">
        <f>'20250815_ETF_Options_Exhibits'!AE840</f>
        <v/>
      </c>
    </row>
    <row r="841">
      <c r="A841" s="1">
        <f>'20250815_ETF_Options_Exhibits'!AC841</f>
        <v/>
      </c>
      <c r="B841" s="32">
        <f>'20250815_ETF_Options_Exhibits'!AD841</f>
        <v/>
      </c>
      <c r="C841" s="32">
        <f>'20250815_ETF_Options_Exhibits'!AE841</f>
        <v/>
      </c>
    </row>
    <row r="842">
      <c r="A842" s="1">
        <f>'20250815_ETF_Options_Exhibits'!AC842</f>
        <v/>
      </c>
      <c r="B842" s="32">
        <f>'20250815_ETF_Options_Exhibits'!AD842</f>
        <v/>
      </c>
      <c r="C842" s="32">
        <f>'20250815_ETF_Options_Exhibits'!AE842</f>
        <v/>
      </c>
    </row>
    <row r="843">
      <c r="A843" s="1">
        <f>'20250815_ETF_Options_Exhibits'!AC843</f>
        <v/>
      </c>
      <c r="B843" s="32">
        <f>'20250815_ETF_Options_Exhibits'!AD843</f>
        <v/>
      </c>
      <c r="C843" s="32">
        <f>'20250815_ETF_Options_Exhibits'!AE843</f>
        <v/>
      </c>
    </row>
    <row r="844">
      <c r="A844" s="1">
        <f>'20250815_ETF_Options_Exhibits'!AC844</f>
        <v/>
      </c>
      <c r="B844" s="32">
        <f>'20250815_ETF_Options_Exhibits'!AD844</f>
        <v/>
      </c>
      <c r="C844" s="32">
        <f>'20250815_ETF_Options_Exhibits'!AE844</f>
        <v/>
      </c>
    </row>
    <row r="845">
      <c r="A845" s="1">
        <f>'20250815_ETF_Options_Exhibits'!AC845</f>
        <v/>
      </c>
      <c r="B845" s="32">
        <f>'20250815_ETF_Options_Exhibits'!AD845</f>
        <v/>
      </c>
      <c r="C845" s="32">
        <f>'20250815_ETF_Options_Exhibits'!AE845</f>
        <v/>
      </c>
    </row>
    <row r="846">
      <c r="A846" s="1">
        <f>'20250815_ETF_Options_Exhibits'!AC846</f>
        <v/>
      </c>
      <c r="B846" s="32">
        <f>'20250815_ETF_Options_Exhibits'!AD846</f>
        <v/>
      </c>
      <c r="C846" s="32">
        <f>'20250815_ETF_Options_Exhibits'!AE846</f>
        <v/>
      </c>
    </row>
    <row r="847">
      <c r="A847" s="1">
        <f>'20250815_ETF_Options_Exhibits'!AC847</f>
        <v/>
      </c>
      <c r="B847" s="32">
        <f>'20250815_ETF_Options_Exhibits'!AD847</f>
        <v/>
      </c>
      <c r="C847" s="32">
        <f>'20250815_ETF_Options_Exhibits'!AE847</f>
        <v/>
      </c>
    </row>
    <row r="848">
      <c r="A848" s="1">
        <f>'20250815_ETF_Options_Exhibits'!AC848</f>
        <v/>
      </c>
      <c r="B848" s="32">
        <f>'20250815_ETF_Options_Exhibits'!AD848</f>
        <v/>
      </c>
      <c r="C848" s="32">
        <f>'20250815_ETF_Options_Exhibits'!AE848</f>
        <v/>
      </c>
    </row>
    <row r="849">
      <c r="A849" s="1">
        <f>'20250815_ETF_Options_Exhibits'!AC849</f>
        <v/>
      </c>
      <c r="B849" s="32">
        <f>'20250815_ETF_Options_Exhibits'!AD849</f>
        <v/>
      </c>
      <c r="C849" s="32">
        <f>'20250815_ETF_Options_Exhibits'!AE849</f>
        <v/>
      </c>
    </row>
    <row r="850">
      <c r="A850" s="1">
        <f>'20250815_ETF_Options_Exhibits'!AC850</f>
        <v/>
      </c>
      <c r="B850" s="32">
        <f>'20250815_ETF_Options_Exhibits'!AD850</f>
        <v/>
      </c>
      <c r="C850" s="32">
        <f>'20250815_ETF_Options_Exhibits'!AE850</f>
        <v/>
      </c>
    </row>
    <row r="851">
      <c r="A851" s="1">
        <f>'20250815_ETF_Options_Exhibits'!AC851</f>
        <v/>
      </c>
      <c r="B851" s="32">
        <f>'20250815_ETF_Options_Exhibits'!AD851</f>
        <v/>
      </c>
      <c r="C851" s="32">
        <f>'20250815_ETF_Options_Exhibits'!AE851</f>
        <v/>
      </c>
    </row>
    <row r="852">
      <c r="A852" s="1">
        <f>'20250815_ETF_Options_Exhibits'!AC852</f>
        <v/>
      </c>
      <c r="B852" s="32">
        <f>'20250815_ETF_Options_Exhibits'!AD852</f>
        <v/>
      </c>
      <c r="C852" s="32">
        <f>'20250815_ETF_Options_Exhibits'!AE852</f>
        <v/>
      </c>
    </row>
    <row r="853">
      <c r="A853" s="1">
        <f>'20250815_ETF_Options_Exhibits'!AC853</f>
        <v/>
      </c>
      <c r="B853" s="32">
        <f>'20250815_ETF_Options_Exhibits'!AD853</f>
        <v/>
      </c>
      <c r="C853" s="32">
        <f>'20250815_ETF_Options_Exhibits'!AE853</f>
        <v/>
      </c>
    </row>
    <row r="854">
      <c r="A854" s="1">
        <f>'20250815_ETF_Options_Exhibits'!AC854</f>
        <v/>
      </c>
      <c r="B854" s="32">
        <f>'20250815_ETF_Options_Exhibits'!AD854</f>
        <v/>
      </c>
      <c r="C854" s="32">
        <f>'20250815_ETF_Options_Exhibits'!AE854</f>
        <v/>
      </c>
    </row>
    <row r="855">
      <c r="A855" s="1">
        <f>'20250815_ETF_Options_Exhibits'!AC855</f>
        <v/>
      </c>
      <c r="B855" s="32">
        <f>'20250815_ETF_Options_Exhibits'!AD855</f>
        <v/>
      </c>
      <c r="C855" s="32">
        <f>'20250815_ETF_Options_Exhibits'!AE855</f>
        <v/>
      </c>
    </row>
    <row r="856">
      <c r="A856" s="1">
        <f>'20250815_ETF_Options_Exhibits'!AC856</f>
        <v/>
      </c>
      <c r="B856" s="32">
        <f>'20250815_ETF_Options_Exhibits'!AD856</f>
        <v/>
      </c>
      <c r="C856" s="32">
        <f>'20250815_ETF_Options_Exhibits'!AE856</f>
        <v/>
      </c>
    </row>
    <row r="857">
      <c r="A857" s="1">
        <f>'20250815_ETF_Options_Exhibits'!AC857</f>
        <v/>
      </c>
      <c r="B857" s="32">
        <f>'20250815_ETF_Options_Exhibits'!AD857</f>
        <v/>
      </c>
      <c r="C857" s="32">
        <f>'20250815_ETF_Options_Exhibits'!AE857</f>
        <v/>
      </c>
    </row>
    <row r="858">
      <c r="A858" s="1">
        <f>'20250815_ETF_Options_Exhibits'!AC858</f>
        <v/>
      </c>
      <c r="B858" s="32">
        <f>'20250815_ETF_Options_Exhibits'!AD858</f>
        <v/>
      </c>
      <c r="C858" s="32">
        <f>'20250815_ETF_Options_Exhibits'!AE858</f>
        <v/>
      </c>
    </row>
    <row r="859">
      <c r="A859" s="1">
        <f>'20250815_ETF_Options_Exhibits'!AC859</f>
        <v/>
      </c>
      <c r="B859" s="32">
        <f>'20250815_ETF_Options_Exhibits'!AD859</f>
        <v/>
      </c>
      <c r="C859" s="32">
        <f>'20250815_ETF_Options_Exhibits'!AE859</f>
        <v/>
      </c>
    </row>
    <row r="860">
      <c r="A860" s="1">
        <f>'20250815_ETF_Options_Exhibits'!AC860</f>
        <v/>
      </c>
      <c r="B860" s="32">
        <f>'20250815_ETF_Options_Exhibits'!AD860</f>
        <v/>
      </c>
      <c r="C860" s="32">
        <f>'20250815_ETF_Options_Exhibits'!AE860</f>
        <v/>
      </c>
    </row>
    <row r="861">
      <c r="A861" s="1">
        <f>'20250815_ETF_Options_Exhibits'!AC861</f>
        <v/>
      </c>
      <c r="B861" s="32">
        <f>'20250815_ETF_Options_Exhibits'!AD861</f>
        <v/>
      </c>
      <c r="C861" s="32">
        <f>'20250815_ETF_Options_Exhibits'!AE861</f>
        <v/>
      </c>
    </row>
    <row r="862">
      <c r="A862" s="1">
        <f>'20250815_ETF_Options_Exhibits'!AC862</f>
        <v/>
      </c>
      <c r="B862" s="32">
        <f>'20250815_ETF_Options_Exhibits'!AD862</f>
        <v/>
      </c>
      <c r="C862" s="32">
        <f>'20250815_ETF_Options_Exhibits'!AE862</f>
        <v/>
      </c>
    </row>
    <row r="863">
      <c r="A863" s="1">
        <f>'20250815_ETF_Options_Exhibits'!AC863</f>
        <v/>
      </c>
      <c r="B863" s="32">
        <f>'20250815_ETF_Options_Exhibits'!AD863</f>
        <v/>
      </c>
      <c r="C863" s="32">
        <f>'20250815_ETF_Options_Exhibits'!AE863</f>
        <v/>
      </c>
    </row>
    <row r="864">
      <c r="A864" s="1">
        <f>'20250815_ETF_Options_Exhibits'!AC864</f>
        <v/>
      </c>
      <c r="B864" s="32">
        <f>'20250815_ETF_Options_Exhibits'!AD864</f>
        <v/>
      </c>
      <c r="C864" s="32">
        <f>'20250815_ETF_Options_Exhibits'!AE864</f>
        <v/>
      </c>
    </row>
    <row r="865">
      <c r="A865" s="1">
        <f>'20250815_ETF_Options_Exhibits'!AC865</f>
        <v/>
      </c>
      <c r="B865" s="32">
        <f>'20250815_ETF_Options_Exhibits'!AD865</f>
        <v/>
      </c>
      <c r="C865" s="32">
        <f>'20250815_ETF_Options_Exhibits'!AE865</f>
        <v/>
      </c>
    </row>
    <row r="866">
      <c r="A866" s="1">
        <f>'20250815_ETF_Options_Exhibits'!AC866</f>
        <v/>
      </c>
      <c r="B866" s="32">
        <f>'20250815_ETF_Options_Exhibits'!AD866</f>
        <v/>
      </c>
      <c r="C866" s="32">
        <f>'20250815_ETF_Options_Exhibits'!AE866</f>
        <v/>
      </c>
    </row>
    <row r="867">
      <c r="A867" s="1">
        <f>'20250815_ETF_Options_Exhibits'!AC867</f>
        <v/>
      </c>
      <c r="B867" s="32">
        <f>'20250815_ETF_Options_Exhibits'!AD867</f>
        <v/>
      </c>
      <c r="C867" s="32">
        <f>'20250815_ETF_Options_Exhibits'!AE867</f>
        <v/>
      </c>
    </row>
    <row r="868">
      <c r="A868" s="1">
        <f>'20250815_ETF_Options_Exhibits'!AC868</f>
        <v/>
      </c>
      <c r="B868" s="32">
        <f>'20250815_ETF_Options_Exhibits'!AD868</f>
        <v/>
      </c>
      <c r="C868" s="32">
        <f>'20250815_ETF_Options_Exhibits'!AE868</f>
        <v/>
      </c>
    </row>
    <row r="869">
      <c r="A869" s="1">
        <f>'20250815_ETF_Options_Exhibits'!AC869</f>
        <v/>
      </c>
      <c r="B869" s="32">
        <f>'20250815_ETF_Options_Exhibits'!AD869</f>
        <v/>
      </c>
      <c r="C869" s="32">
        <f>'20250815_ETF_Options_Exhibits'!AE869</f>
        <v/>
      </c>
    </row>
    <row r="870">
      <c r="A870" s="1">
        <f>'20250815_ETF_Options_Exhibits'!AC870</f>
        <v/>
      </c>
      <c r="B870" s="32">
        <f>'20250815_ETF_Options_Exhibits'!AD870</f>
        <v/>
      </c>
      <c r="C870" s="32">
        <f>'20250815_ETF_Options_Exhibits'!AE870</f>
        <v/>
      </c>
    </row>
    <row r="871">
      <c r="A871" s="1">
        <f>'20250815_ETF_Options_Exhibits'!AC871</f>
        <v/>
      </c>
      <c r="B871" s="32">
        <f>'20250815_ETF_Options_Exhibits'!AD871</f>
        <v/>
      </c>
      <c r="C871" s="32">
        <f>'20250815_ETF_Options_Exhibits'!AE871</f>
        <v/>
      </c>
    </row>
    <row r="872">
      <c r="A872" s="1">
        <f>'20250815_ETF_Options_Exhibits'!AC872</f>
        <v/>
      </c>
      <c r="B872" s="32">
        <f>'20250815_ETF_Options_Exhibits'!AD872</f>
        <v/>
      </c>
      <c r="C872" s="32">
        <f>'20250815_ETF_Options_Exhibits'!AE872</f>
        <v/>
      </c>
    </row>
    <row r="873">
      <c r="A873" s="1">
        <f>'20250815_ETF_Options_Exhibits'!AC873</f>
        <v/>
      </c>
      <c r="B873" s="32">
        <f>'20250815_ETF_Options_Exhibits'!AD873</f>
        <v/>
      </c>
      <c r="C873" s="32">
        <f>'20250815_ETF_Options_Exhibits'!AE873</f>
        <v/>
      </c>
    </row>
    <row r="874">
      <c r="A874" s="1">
        <f>'20250815_ETF_Options_Exhibits'!AC874</f>
        <v/>
      </c>
      <c r="B874" s="32">
        <f>'20250815_ETF_Options_Exhibits'!AD874</f>
        <v/>
      </c>
      <c r="C874" s="32">
        <f>'20250815_ETF_Options_Exhibits'!AE874</f>
        <v/>
      </c>
    </row>
    <row r="875">
      <c r="A875" s="1">
        <f>'20250815_ETF_Options_Exhibits'!AC875</f>
        <v/>
      </c>
      <c r="B875" s="32">
        <f>'20250815_ETF_Options_Exhibits'!AD875</f>
        <v/>
      </c>
      <c r="C875" s="32">
        <f>'20250815_ETF_Options_Exhibits'!AE875</f>
        <v/>
      </c>
    </row>
    <row r="876">
      <c r="A876" s="1">
        <f>'20250815_ETF_Options_Exhibits'!AC876</f>
        <v/>
      </c>
      <c r="B876" s="32">
        <f>'20250815_ETF_Options_Exhibits'!AD876</f>
        <v/>
      </c>
      <c r="C876" s="32">
        <f>'20250815_ETF_Options_Exhibits'!AE876</f>
        <v/>
      </c>
    </row>
    <row r="877">
      <c r="A877" s="1">
        <f>'20250815_ETF_Options_Exhibits'!AC877</f>
        <v/>
      </c>
      <c r="B877" s="32">
        <f>'20250815_ETF_Options_Exhibits'!AD877</f>
        <v/>
      </c>
      <c r="C877" s="32">
        <f>'20250815_ETF_Options_Exhibits'!AE877</f>
        <v/>
      </c>
    </row>
    <row r="878">
      <c r="A878" s="1">
        <f>'20250815_ETF_Options_Exhibits'!AC878</f>
        <v/>
      </c>
      <c r="B878" s="32">
        <f>'20250815_ETF_Options_Exhibits'!AD878</f>
        <v/>
      </c>
      <c r="C878" s="32">
        <f>'20250815_ETF_Options_Exhibits'!AE878</f>
        <v/>
      </c>
    </row>
    <row r="879">
      <c r="A879" s="1">
        <f>'20250815_ETF_Options_Exhibits'!AC879</f>
        <v/>
      </c>
      <c r="B879" s="32">
        <f>'20250815_ETF_Options_Exhibits'!AD879</f>
        <v/>
      </c>
      <c r="C879" s="32">
        <f>'20250815_ETF_Options_Exhibits'!AE879</f>
        <v/>
      </c>
    </row>
    <row r="880">
      <c r="A880" s="1">
        <f>'20250815_ETF_Options_Exhibits'!AC880</f>
        <v/>
      </c>
      <c r="B880" s="32">
        <f>'20250815_ETF_Options_Exhibits'!AD880</f>
        <v/>
      </c>
      <c r="C880" s="32">
        <f>'20250815_ETF_Options_Exhibits'!AE880</f>
        <v/>
      </c>
    </row>
    <row r="881">
      <c r="A881" s="1">
        <f>'20250815_ETF_Options_Exhibits'!AC881</f>
        <v/>
      </c>
      <c r="B881" s="32">
        <f>'20250815_ETF_Options_Exhibits'!AD881</f>
        <v/>
      </c>
      <c r="C881" s="32">
        <f>'20250815_ETF_Options_Exhibits'!AE881</f>
        <v/>
      </c>
    </row>
    <row r="882">
      <c r="A882" s="1">
        <f>'20250815_ETF_Options_Exhibits'!AC882</f>
        <v/>
      </c>
      <c r="B882" s="32">
        <f>'20250815_ETF_Options_Exhibits'!AD882</f>
        <v/>
      </c>
      <c r="C882" s="32">
        <f>'20250815_ETF_Options_Exhibits'!AE882</f>
        <v/>
      </c>
    </row>
    <row r="883">
      <c r="A883" s="1">
        <f>'20250815_ETF_Options_Exhibits'!AC883</f>
        <v/>
      </c>
      <c r="B883" s="32">
        <f>'20250815_ETF_Options_Exhibits'!AD883</f>
        <v/>
      </c>
      <c r="C883" s="32">
        <f>'20250815_ETF_Options_Exhibits'!AE883</f>
        <v/>
      </c>
    </row>
    <row r="884">
      <c r="A884" s="1">
        <f>'20250815_ETF_Options_Exhibits'!AC884</f>
        <v/>
      </c>
      <c r="B884" s="32">
        <f>'20250815_ETF_Options_Exhibits'!AD884</f>
        <v/>
      </c>
      <c r="C884" s="32">
        <f>'20250815_ETF_Options_Exhibits'!AE884</f>
        <v/>
      </c>
    </row>
    <row r="885">
      <c r="A885" s="1">
        <f>'20250815_ETF_Options_Exhibits'!AC885</f>
        <v/>
      </c>
      <c r="B885" s="32">
        <f>'20250815_ETF_Options_Exhibits'!AD885</f>
        <v/>
      </c>
      <c r="C885" s="32">
        <f>'20250815_ETF_Options_Exhibits'!AE885</f>
        <v/>
      </c>
    </row>
    <row r="886">
      <c r="A886" s="1">
        <f>'20250815_ETF_Options_Exhibits'!AC886</f>
        <v/>
      </c>
      <c r="B886" s="32">
        <f>'20250815_ETF_Options_Exhibits'!AD886</f>
        <v/>
      </c>
      <c r="C886" s="32">
        <f>'20250815_ETF_Options_Exhibits'!AE886</f>
        <v/>
      </c>
    </row>
    <row r="887">
      <c r="A887" s="1">
        <f>'20250815_ETF_Options_Exhibits'!AC887</f>
        <v/>
      </c>
      <c r="B887" s="32">
        <f>'20250815_ETF_Options_Exhibits'!AD887</f>
        <v/>
      </c>
      <c r="C887" s="32">
        <f>'20250815_ETF_Options_Exhibits'!AE887</f>
        <v/>
      </c>
    </row>
    <row r="888">
      <c r="A888" s="1">
        <f>'20250815_ETF_Options_Exhibits'!AC888</f>
        <v/>
      </c>
      <c r="B888" s="32">
        <f>'20250815_ETF_Options_Exhibits'!AD888</f>
        <v/>
      </c>
      <c r="C888" s="32">
        <f>'20250815_ETF_Options_Exhibits'!AE888</f>
        <v/>
      </c>
    </row>
    <row r="889">
      <c r="A889" s="1">
        <f>'20250815_ETF_Options_Exhibits'!AC889</f>
        <v/>
      </c>
      <c r="B889" s="32">
        <f>'20250815_ETF_Options_Exhibits'!AD889</f>
        <v/>
      </c>
      <c r="C889" s="32">
        <f>'20250815_ETF_Options_Exhibits'!AE889</f>
        <v/>
      </c>
    </row>
    <row r="890">
      <c r="A890" s="1">
        <f>'20250815_ETF_Options_Exhibits'!AC890</f>
        <v/>
      </c>
      <c r="B890" s="32">
        <f>'20250815_ETF_Options_Exhibits'!AD890</f>
        <v/>
      </c>
      <c r="C890" s="32">
        <f>'20250815_ETF_Options_Exhibits'!AE890</f>
        <v/>
      </c>
    </row>
    <row r="891">
      <c r="A891" s="1">
        <f>'20250815_ETF_Options_Exhibits'!AC891</f>
        <v/>
      </c>
      <c r="B891" s="32">
        <f>'20250815_ETF_Options_Exhibits'!AD891</f>
        <v/>
      </c>
      <c r="C891" s="32">
        <f>'20250815_ETF_Options_Exhibits'!AE891</f>
        <v/>
      </c>
    </row>
    <row r="892">
      <c r="A892" s="1">
        <f>'20250815_ETF_Options_Exhibits'!AC892</f>
        <v/>
      </c>
      <c r="B892" s="32">
        <f>'20250815_ETF_Options_Exhibits'!AD892</f>
        <v/>
      </c>
      <c r="C892" s="32">
        <f>'20250815_ETF_Options_Exhibits'!AE892</f>
        <v/>
      </c>
    </row>
    <row r="893">
      <c r="A893" s="1">
        <f>'20250815_ETF_Options_Exhibits'!AC893</f>
        <v/>
      </c>
      <c r="B893" s="32">
        <f>'20250815_ETF_Options_Exhibits'!AD893</f>
        <v/>
      </c>
      <c r="C893" s="32">
        <f>'20250815_ETF_Options_Exhibits'!AE893</f>
        <v/>
      </c>
    </row>
    <row r="894">
      <c r="A894" s="1">
        <f>'20250815_ETF_Options_Exhibits'!AC894</f>
        <v/>
      </c>
      <c r="B894" s="32">
        <f>'20250815_ETF_Options_Exhibits'!AD894</f>
        <v/>
      </c>
      <c r="C894" s="32">
        <f>'20250815_ETF_Options_Exhibits'!AE894</f>
        <v/>
      </c>
    </row>
    <row r="895">
      <c r="A895" s="1">
        <f>'20250815_ETF_Options_Exhibits'!AC895</f>
        <v/>
      </c>
      <c r="B895" s="32">
        <f>'20250815_ETF_Options_Exhibits'!AD895</f>
        <v/>
      </c>
      <c r="C895" s="32">
        <f>'20250815_ETF_Options_Exhibits'!AE895</f>
        <v/>
      </c>
    </row>
    <row r="896">
      <c r="A896" s="1">
        <f>'20250815_ETF_Options_Exhibits'!AC896</f>
        <v/>
      </c>
      <c r="B896" s="32">
        <f>'20250815_ETF_Options_Exhibits'!AD896</f>
        <v/>
      </c>
      <c r="C896" s="32">
        <f>'20250815_ETF_Options_Exhibits'!AE896</f>
        <v/>
      </c>
    </row>
    <row r="897">
      <c r="A897" s="1">
        <f>'20250815_ETF_Options_Exhibits'!AC897</f>
        <v/>
      </c>
      <c r="B897" s="32">
        <f>'20250815_ETF_Options_Exhibits'!AD897</f>
        <v/>
      </c>
      <c r="C897" s="32">
        <f>'20250815_ETF_Options_Exhibits'!AE897</f>
        <v/>
      </c>
    </row>
    <row r="898">
      <c r="A898" s="1">
        <f>'20250815_ETF_Options_Exhibits'!AC898</f>
        <v/>
      </c>
      <c r="B898" s="32">
        <f>'20250815_ETF_Options_Exhibits'!AD898</f>
        <v/>
      </c>
      <c r="C898" s="32">
        <f>'20250815_ETF_Options_Exhibits'!AE898</f>
        <v/>
      </c>
    </row>
    <row r="899">
      <c r="A899" s="1">
        <f>'20250815_ETF_Options_Exhibits'!AC899</f>
        <v/>
      </c>
      <c r="B899" s="32">
        <f>'20250815_ETF_Options_Exhibits'!AD899</f>
        <v/>
      </c>
      <c r="C899" s="32">
        <f>'20250815_ETF_Options_Exhibits'!AE899</f>
        <v/>
      </c>
    </row>
    <row r="900">
      <c r="A900" s="1">
        <f>'20250815_ETF_Options_Exhibits'!AC900</f>
        <v/>
      </c>
      <c r="B900" s="32">
        <f>'20250815_ETF_Options_Exhibits'!AD900</f>
        <v/>
      </c>
      <c r="C900" s="32">
        <f>'20250815_ETF_Options_Exhibits'!AE900</f>
        <v/>
      </c>
    </row>
    <row r="901">
      <c r="A901" s="1">
        <f>'20250815_ETF_Options_Exhibits'!AC901</f>
        <v/>
      </c>
      <c r="B901" s="32">
        <f>'20250815_ETF_Options_Exhibits'!AD901</f>
        <v/>
      </c>
      <c r="C901" s="32">
        <f>'20250815_ETF_Options_Exhibits'!AE901</f>
        <v/>
      </c>
    </row>
    <row r="902">
      <c r="A902" s="1">
        <f>'20250815_ETF_Options_Exhibits'!AC902</f>
        <v/>
      </c>
      <c r="B902" s="32">
        <f>'20250815_ETF_Options_Exhibits'!AD902</f>
        <v/>
      </c>
      <c r="C902" s="32">
        <f>'20250815_ETF_Options_Exhibits'!AE902</f>
        <v/>
      </c>
    </row>
    <row r="903">
      <c r="A903" s="1">
        <f>'20250815_ETF_Options_Exhibits'!AC903</f>
        <v/>
      </c>
      <c r="B903" s="32">
        <f>'20250815_ETF_Options_Exhibits'!AD903</f>
        <v/>
      </c>
      <c r="C903" s="32">
        <f>'20250815_ETF_Options_Exhibits'!AE903</f>
        <v/>
      </c>
    </row>
    <row r="904">
      <c r="A904" s="1">
        <f>'20250815_ETF_Options_Exhibits'!AC904</f>
        <v/>
      </c>
      <c r="B904" s="32">
        <f>'20250815_ETF_Options_Exhibits'!AD904</f>
        <v/>
      </c>
      <c r="C904" s="32">
        <f>'20250815_ETF_Options_Exhibits'!AE904</f>
        <v/>
      </c>
    </row>
    <row r="905">
      <c r="A905" s="1">
        <f>'20250815_ETF_Options_Exhibits'!AC905</f>
        <v/>
      </c>
      <c r="B905" s="32">
        <f>'20250815_ETF_Options_Exhibits'!AD905</f>
        <v/>
      </c>
      <c r="C905" s="32">
        <f>'20250815_ETF_Options_Exhibits'!AE905</f>
        <v/>
      </c>
    </row>
    <row r="906">
      <c r="A906" s="1">
        <f>'20250815_ETF_Options_Exhibits'!AC906</f>
        <v/>
      </c>
      <c r="B906" s="32">
        <f>'20250815_ETF_Options_Exhibits'!AD906</f>
        <v/>
      </c>
      <c r="C906" s="32">
        <f>'20250815_ETF_Options_Exhibits'!AE906</f>
        <v/>
      </c>
    </row>
    <row r="907">
      <c r="A907" s="1">
        <f>'20250815_ETF_Options_Exhibits'!AC907</f>
        <v/>
      </c>
      <c r="B907" s="32">
        <f>'20250815_ETF_Options_Exhibits'!AD907</f>
        <v/>
      </c>
      <c r="C907" s="32">
        <f>'20250815_ETF_Options_Exhibits'!AE907</f>
        <v/>
      </c>
    </row>
    <row r="908">
      <c r="A908" s="1">
        <f>'20250815_ETF_Options_Exhibits'!AC908</f>
        <v/>
      </c>
      <c r="B908" s="32">
        <f>'20250815_ETF_Options_Exhibits'!AD908</f>
        <v/>
      </c>
      <c r="C908" s="32">
        <f>'20250815_ETF_Options_Exhibits'!AE908</f>
        <v/>
      </c>
    </row>
    <row r="909">
      <c r="A909" s="1">
        <f>'20250815_ETF_Options_Exhibits'!AC909</f>
        <v/>
      </c>
      <c r="B909" s="32">
        <f>'20250815_ETF_Options_Exhibits'!AD909</f>
        <v/>
      </c>
      <c r="C909" s="32">
        <f>'20250815_ETF_Options_Exhibits'!AE909</f>
        <v/>
      </c>
    </row>
    <row r="910">
      <c r="A910" s="1">
        <f>'20250815_ETF_Options_Exhibits'!AC910</f>
        <v/>
      </c>
      <c r="B910" s="32">
        <f>'20250815_ETF_Options_Exhibits'!AD910</f>
        <v/>
      </c>
      <c r="C910" s="32">
        <f>'20250815_ETF_Options_Exhibits'!AE910</f>
        <v/>
      </c>
    </row>
    <row r="911">
      <c r="A911" s="1">
        <f>'20250815_ETF_Options_Exhibits'!AC911</f>
        <v/>
      </c>
      <c r="B911" s="32">
        <f>'20250815_ETF_Options_Exhibits'!AD911</f>
        <v/>
      </c>
      <c r="C911" s="32">
        <f>'20250815_ETF_Options_Exhibits'!AE911</f>
        <v/>
      </c>
    </row>
    <row r="912">
      <c r="A912" s="1">
        <f>'20250815_ETF_Options_Exhibits'!AC912</f>
        <v/>
      </c>
      <c r="B912" s="32">
        <f>'20250815_ETF_Options_Exhibits'!AD912</f>
        <v/>
      </c>
      <c r="C912" s="32">
        <f>'20250815_ETF_Options_Exhibits'!AE912</f>
        <v/>
      </c>
    </row>
    <row r="913">
      <c r="A913" s="1">
        <f>'20250815_ETF_Options_Exhibits'!AC913</f>
        <v/>
      </c>
      <c r="B913" s="32">
        <f>'20250815_ETF_Options_Exhibits'!AD913</f>
        <v/>
      </c>
      <c r="C913" s="32">
        <f>'20250815_ETF_Options_Exhibits'!AE913</f>
        <v/>
      </c>
    </row>
    <row r="914">
      <c r="A914" s="1">
        <f>'20250815_ETF_Options_Exhibits'!AC914</f>
        <v/>
      </c>
      <c r="B914" s="32">
        <f>'20250815_ETF_Options_Exhibits'!AD914</f>
        <v/>
      </c>
      <c r="C914" s="32">
        <f>'20250815_ETF_Options_Exhibits'!AE914</f>
        <v/>
      </c>
    </row>
    <row r="915">
      <c r="A915" s="1">
        <f>'20250815_ETF_Options_Exhibits'!AC915</f>
        <v/>
      </c>
      <c r="B915" s="32">
        <f>'20250815_ETF_Options_Exhibits'!AD915</f>
        <v/>
      </c>
      <c r="C915" s="32">
        <f>'20250815_ETF_Options_Exhibits'!AE915</f>
        <v/>
      </c>
    </row>
    <row r="916">
      <c r="A916" s="1">
        <f>'20250815_ETF_Options_Exhibits'!AC916</f>
        <v/>
      </c>
      <c r="B916" s="32">
        <f>'20250815_ETF_Options_Exhibits'!AD916</f>
        <v/>
      </c>
      <c r="C916" s="32">
        <f>'20250815_ETF_Options_Exhibits'!AE916</f>
        <v/>
      </c>
    </row>
    <row r="917">
      <c r="A917" s="1">
        <f>'20250815_ETF_Options_Exhibits'!AC917</f>
        <v/>
      </c>
      <c r="B917" s="32">
        <f>'20250815_ETF_Options_Exhibits'!AD917</f>
        <v/>
      </c>
      <c r="C917" s="32">
        <f>'20250815_ETF_Options_Exhibits'!AE917</f>
        <v/>
      </c>
    </row>
    <row r="918">
      <c r="A918" s="1">
        <f>'20250815_ETF_Options_Exhibits'!AC918</f>
        <v/>
      </c>
      <c r="B918" s="32">
        <f>'20250815_ETF_Options_Exhibits'!AD918</f>
        <v/>
      </c>
      <c r="C918" s="32">
        <f>'20250815_ETF_Options_Exhibits'!AE918</f>
        <v/>
      </c>
    </row>
    <row r="919">
      <c r="A919" s="1">
        <f>'20250815_ETF_Options_Exhibits'!AC919</f>
        <v/>
      </c>
      <c r="B919" s="32">
        <f>'20250815_ETF_Options_Exhibits'!AD919</f>
        <v/>
      </c>
      <c r="C919" s="32">
        <f>'20250815_ETF_Options_Exhibits'!AE919</f>
        <v/>
      </c>
    </row>
    <row r="920">
      <c r="A920" s="1">
        <f>'20250815_ETF_Options_Exhibits'!AC920</f>
        <v/>
      </c>
      <c r="B920" s="32">
        <f>'20250815_ETF_Options_Exhibits'!AD920</f>
        <v/>
      </c>
      <c r="C920" s="32">
        <f>'20250815_ETF_Options_Exhibits'!AE920</f>
        <v/>
      </c>
    </row>
    <row r="921">
      <c r="A921" s="1">
        <f>'20250815_ETF_Options_Exhibits'!AC921</f>
        <v/>
      </c>
      <c r="B921" s="32">
        <f>'20250815_ETF_Options_Exhibits'!AD921</f>
        <v/>
      </c>
      <c r="C921" s="32">
        <f>'20250815_ETF_Options_Exhibits'!AE921</f>
        <v/>
      </c>
    </row>
    <row r="922">
      <c r="A922" s="1">
        <f>'20250815_ETF_Options_Exhibits'!AC922</f>
        <v/>
      </c>
      <c r="B922" s="32">
        <f>'20250815_ETF_Options_Exhibits'!AD922</f>
        <v/>
      </c>
      <c r="C922" s="32">
        <f>'20250815_ETF_Options_Exhibits'!AE922</f>
        <v/>
      </c>
    </row>
    <row r="923">
      <c r="A923" s="1">
        <f>'20250815_ETF_Options_Exhibits'!AC923</f>
        <v/>
      </c>
      <c r="B923" s="32">
        <f>'20250815_ETF_Options_Exhibits'!AD923</f>
        <v/>
      </c>
      <c r="C923" s="32">
        <f>'20250815_ETF_Options_Exhibits'!AE923</f>
        <v/>
      </c>
    </row>
    <row r="924">
      <c r="A924" s="1">
        <f>'20250815_ETF_Options_Exhibits'!AC924</f>
        <v/>
      </c>
      <c r="B924" s="32">
        <f>'20250815_ETF_Options_Exhibits'!AD924</f>
        <v/>
      </c>
      <c r="C924" s="32">
        <f>'20250815_ETF_Options_Exhibits'!AE924</f>
        <v/>
      </c>
    </row>
    <row r="925">
      <c r="A925" s="1">
        <f>'20250815_ETF_Options_Exhibits'!AC925</f>
        <v/>
      </c>
      <c r="B925" s="32">
        <f>'20250815_ETF_Options_Exhibits'!AD925</f>
        <v/>
      </c>
      <c r="C925" s="32">
        <f>'20250815_ETF_Options_Exhibits'!AE925</f>
        <v/>
      </c>
    </row>
    <row r="926">
      <c r="A926" s="1">
        <f>'20250815_ETF_Options_Exhibits'!AC926</f>
        <v/>
      </c>
      <c r="B926" s="32">
        <f>'20250815_ETF_Options_Exhibits'!AD926</f>
        <v/>
      </c>
      <c r="C926" s="32">
        <f>'20250815_ETF_Options_Exhibits'!AE926</f>
        <v/>
      </c>
    </row>
    <row r="927">
      <c r="A927" s="1">
        <f>'20250815_ETF_Options_Exhibits'!AC927</f>
        <v/>
      </c>
      <c r="B927" s="32">
        <f>'20250815_ETF_Options_Exhibits'!AD927</f>
        <v/>
      </c>
      <c r="C927" s="32">
        <f>'20250815_ETF_Options_Exhibits'!AE927</f>
        <v/>
      </c>
    </row>
    <row r="928">
      <c r="A928" s="1">
        <f>'20250815_ETF_Options_Exhibits'!AC928</f>
        <v/>
      </c>
      <c r="B928" s="32">
        <f>'20250815_ETF_Options_Exhibits'!AD928</f>
        <v/>
      </c>
      <c r="C928" s="32">
        <f>'20250815_ETF_Options_Exhibits'!AE928</f>
        <v/>
      </c>
    </row>
    <row r="929">
      <c r="A929" s="1">
        <f>'20250815_ETF_Options_Exhibits'!AC929</f>
        <v/>
      </c>
      <c r="B929" s="32">
        <f>'20250815_ETF_Options_Exhibits'!AD929</f>
        <v/>
      </c>
      <c r="C929" s="32">
        <f>'20250815_ETF_Options_Exhibits'!AE929</f>
        <v/>
      </c>
    </row>
    <row r="930">
      <c r="A930" s="1">
        <f>'20250815_ETF_Options_Exhibits'!AC930</f>
        <v/>
      </c>
      <c r="B930" s="32">
        <f>'20250815_ETF_Options_Exhibits'!AD930</f>
        <v/>
      </c>
      <c r="C930" s="32">
        <f>'20250815_ETF_Options_Exhibits'!AE930</f>
        <v/>
      </c>
    </row>
    <row r="931">
      <c r="A931" s="1">
        <f>'20250815_ETF_Options_Exhibits'!AC931</f>
        <v/>
      </c>
      <c r="B931" s="32">
        <f>'20250815_ETF_Options_Exhibits'!AD931</f>
        <v/>
      </c>
      <c r="C931" s="32">
        <f>'20250815_ETF_Options_Exhibits'!AE931</f>
        <v/>
      </c>
    </row>
    <row r="932">
      <c r="A932" s="1">
        <f>'20250815_ETF_Options_Exhibits'!AC932</f>
        <v/>
      </c>
      <c r="B932" s="32">
        <f>'20250815_ETF_Options_Exhibits'!AD932</f>
        <v/>
      </c>
      <c r="C932" s="32">
        <f>'20250815_ETF_Options_Exhibits'!AE932</f>
        <v/>
      </c>
    </row>
    <row r="933">
      <c r="A933" s="1">
        <f>'20250815_ETF_Options_Exhibits'!AC933</f>
        <v/>
      </c>
      <c r="B933" s="32">
        <f>'20250815_ETF_Options_Exhibits'!AD933</f>
        <v/>
      </c>
      <c r="C933" s="32">
        <f>'20250815_ETF_Options_Exhibits'!AE933</f>
        <v/>
      </c>
    </row>
    <row r="934">
      <c r="A934" s="1">
        <f>'20250815_ETF_Options_Exhibits'!AC934</f>
        <v/>
      </c>
      <c r="B934" s="32">
        <f>'20250815_ETF_Options_Exhibits'!AD934</f>
        <v/>
      </c>
      <c r="C934" s="32">
        <f>'20250815_ETF_Options_Exhibits'!AE934</f>
        <v/>
      </c>
    </row>
    <row r="935">
      <c r="A935" s="1">
        <f>'20250815_ETF_Options_Exhibits'!AC935</f>
        <v/>
      </c>
      <c r="B935" s="32">
        <f>'20250815_ETF_Options_Exhibits'!AD935</f>
        <v/>
      </c>
      <c r="C935" s="32">
        <f>'20250815_ETF_Options_Exhibits'!AE935</f>
        <v/>
      </c>
    </row>
    <row r="936">
      <c r="A936" s="1">
        <f>'20250815_ETF_Options_Exhibits'!AC936</f>
        <v/>
      </c>
      <c r="B936" s="32">
        <f>'20250815_ETF_Options_Exhibits'!AD936</f>
        <v/>
      </c>
      <c r="C936" s="32">
        <f>'20250815_ETF_Options_Exhibits'!AE936</f>
        <v/>
      </c>
    </row>
    <row r="937">
      <c r="A937" s="1">
        <f>'20250815_ETF_Options_Exhibits'!AC937</f>
        <v/>
      </c>
      <c r="B937" s="32">
        <f>'20250815_ETF_Options_Exhibits'!AD937</f>
        <v/>
      </c>
      <c r="C937" s="32">
        <f>'20250815_ETF_Options_Exhibits'!AE937</f>
        <v/>
      </c>
    </row>
    <row r="938">
      <c r="A938" s="1">
        <f>'20250815_ETF_Options_Exhibits'!AC938</f>
        <v/>
      </c>
      <c r="B938" s="32">
        <f>'20250815_ETF_Options_Exhibits'!AD938</f>
        <v/>
      </c>
      <c r="C938" s="32">
        <f>'20250815_ETF_Options_Exhibits'!AE938</f>
        <v/>
      </c>
    </row>
    <row r="939">
      <c r="A939" s="1">
        <f>'20250815_ETF_Options_Exhibits'!AC939</f>
        <v/>
      </c>
      <c r="B939" s="32">
        <f>'20250815_ETF_Options_Exhibits'!AD939</f>
        <v/>
      </c>
      <c r="C939" s="32">
        <f>'20250815_ETF_Options_Exhibits'!AE939</f>
        <v/>
      </c>
    </row>
    <row r="940">
      <c r="A940" s="1">
        <f>'20250815_ETF_Options_Exhibits'!AC940</f>
        <v/>
      </c>
      <c r="B940" s="32">
        <f>'20250815_ETF_Options_Exhibits'!AD940</f>
        <v/>
      </c>
      <c r="C940" s="32">
        <f>'20250815_ETF_Options_Exhibits'!AE940</f>
        <v/>
      </c>
    </row>
    <row r="941">
      <c r="A941" s="1">
        <f>'20250815_ETF_Options_Exhibits'!AC941</f>
        <v/>
      </c>
      <c r="B941" s="32">
        <f>'20250815_ETF_Options_Exhibits'!AD941</f>
        <v/>
      </c>
      <c r="C941" s="32">
        <f>'20250815_ETF_Options_Exhibits'!AE941</f>
        <v/>
      </c>
    </row>
    <row r="942">
      <c r="A942" s="1">
        <f>'20250815_ETF_Options_Exhibits'!AC942</f>
        <v/>
      </c>
      <c r="B942" s="32">
        <f>'20250815_ETF_Options_Exhibits'!AD942</f>
        <v/>
      </c>
      <c r="C942" s="32">
        <f>'20250815_ETF_Options_Exhibits'!AE942</f>
        <v/>
      </c>
    </row>
    <row r="943">
      <c r="A943" s="1">
        <f>'20250815_ETF_Options_Exhibits'!AC943</f>
        <v/>
      </c>
      <c r="B943" s="32">
        <f>'20250815_ETF_Options_Exhibits'!AD943</f>
        <v/>
      </c>
      <c r="C943" s="32">
        <f>'20250815_ETF_Options_Exhibits'!AE943</f>
        <v/>
      </c>
    </row>
    <row r="944">
      <c r="A944" s="1">
        <f>'20250815_ETF_Options_Exhibits'!AC944</f>
        <v/>
      </c>
      <c r="B944" s="32">
        <f>'20250815_ETF_Options_Exhibits'!AD944</f>
        <v/>
      </c>
      <c r="C944" s="32">
        <f>'20250815_ETF_Options_Exhibits'!AE944</f>
        <v/>
      </c>
    </row>
    <row r="945">
      <c r="A945" s="1">
        <f>'20250815_ETF_Options_Exhibits'!AC945</f>
        <v/>
      </c>
      <c r="B945" s="32">
        <f>'20250815_ETF_Options_Exhibits'!AD945</f>
        <v/>
      </c>
      <c r="C945" s="32">
        <f>'20250815_ETF_Options_Exhibits'!AE945</f>
        <v/>
      </c>
    </row>
    <row r="946">
      <c r="A946" s="1">
        <f>'20250815_ETF_Options_Exhibits'!AC946</f>
        <v/>
      </c>
      <c r="B946" s="32">
        <f>'20250815_ETF_Options_Exhibits'!AD946</f>
        <v/>
      </c>
      <c r="C946" s="32">
        <f>'20250815_ETF_Options_Exhibits'!AE946</f>
        <v/>
      </c>
    </row>
    <row r="947">
      <c r="A947" s="1">
        <f>'20250815_ETF_Options_Exhibits'!AC947</f>
        <v/>
      </c>
      <c r="B947" s="32">
        <f>'20250815_ETF_Options_Exhibits'!AD947</f>
        <v/>
      </c>
      <c r="C947" s="32">
        <f>'20250815_ETF_Options_Exhibits'!AE947</f>
        <v/>
      </c>
    </row>
    <row r="948">
      <c r="A948" s="1">
        <f>'20250815_ETF_Options_Exhibits'!AC948</f>
        <v/>
      </c>
      <c r="B948" s="32">
        <f>'20250815_ETF_Options_Exhibits'!AD948</f>
        <v/>
      </c>
      <c r="C948" s="32">
        <f>'20250815_ETF_Options_Exhibits'!AE948</f>
        <v/>
      </c>
    </row>
    <row r="949">
      <c r="A949" s="1">
        <f>'20250815_ETF_Options_Exhibits'!AC949</f>
        <v/>
      </c>
      <c r="B949" s="32">
        <f>'20250815_ETF_Options_Exhibits'!AD949</f>
        <v/>
      </c>
      <c r="C949" s="32">
        <f>'20250815_ETF_Options_Exhibits'!AE949</f>
        <v/>
      </c>
    </row>
    <row r="950">
      <c r="A950" s="1">
        <f>'20250815_ETF_Options_Exhibits'!AC950</f>
        <v/>
      </c>
      <c r="B950" s="32">
        <f>'20250815_ETF_Options_Exhibits'!AD950</f>
        <v/>
      </c>
      <c r="C950" s="32">
        <f>'20250815_ETF_Options_Exhibits'!AE950</f>
        <v/>
      </c>
    </row>
    <row r="951">
      <c r="A951" s="1">
        <f>'20250815_ETF_Options_Exhibits'!AC951</f>
        <v/>
      </c>
      <c r="B951" s="32">
        <f>'20250815_ETF_Options_Exhibits'!AD951</f>
        <v/>
      </c>
      <c r="C951" s="32">
        <f>'20250815_ETF_Options_Exhibits'!AE951</f>
        <v/>
      </c>
    </row>
    <row r="952">
      <c r="A952" s="1">
        <f>'20250815_ETF_Options_Exhibits'!AC952</f>
        <v/>
      </c>
      <c r="B952" s="32">
        <f>'20250815_ETF_Options_Exhibits'!AD952</f>
        <v/>
      </c>
      <c r="C952" s="32">
        <f>'20250815_ETF_Options_Exhibits'!AE952</f>
        <v/>
      </c>
    </row>
    <row r="953">
      <c r="A953" s="1">
        <f>'20250815_ETF_Options_Exhibits'!AC953</f>
        <v/>
      </c>
      <c r="B953" s="32">
        <f>'20250815_ETF_Options_Exhibits'!AD953</f>
        <v/>
      </c>
      <c r="C953" s="32">
        <f>'20250815_ETF_Options_Exhibits'!AE953</f>
        <v/>
      </c>
    </row>
    <row r="954">
      <c r="A954" s="1">
        <f>'20250815_ETF_Options_Exhibits'!AC954</f>
        <v/>
      </c>
      <c r="B954" s="32">
        <f>'20250815_ETF_Options_Exhibits'!AD954</f>
        <v/>
      </c>
      <c r="C954" s="32">
        <f>'20250815_ETF_Options_Exhibits'!AE954</f>
        <v/>
      </c>
    </row>
    <row r="955">
      <c r="A955" s="1">
        <f>'20250815_ETF_Options_Exhibits'!AC955</f>
        <v/>
      </c>
      <c r="B955" s="32">
        <f>'20250815_ETF_Options_Exhibits'!AD955</f>
        <v/>
      </c>
      <c r="C955" s="32">
        <f>'20250815_ETF_Options_Exhibits'!AE955</f>
        <v/>
      </c>
    </row>
    <row r="956">
      <c r="A956" s="1">
        <f>'20250815_ETF_Options_Exhibits'!AC956</f>
        <v/>
      </c>
      <c r="B956" s="32">
        <f>'20250815_ETF_Options_Exhibits'!AD956</f>
        <v/>
      </c>
      <c r="C956" s="32">
        <f>'20250815_ETF_Options_Exhibits'!AE956</f>
        <v/>
      </c>
    </row>
    <row r="957">
      <c r="A957" s="1">
        <f>'20250815_ETF_Options_Exhibits'!AC957</f>
        <v/>
      </c>
      <c r="B957" s="32">
        <f>'20250815_ETF_Options_Exhibits'!AD957</f>
        <v/>
      </c>
      <c r="C957" s="32">
        <f>'20250815_ETF_Options_Exhibits'!AE957</f>
        <v/>
      </c>
    </row>
    <row r="958">
      <c r="A958" s="1">
        <f>'20250815_ETF_Options_Exhibits'!AC958</f>
        <v/>
      </c>
      <c r="B958" s="32">
        <f>'20250815_ETF_Options_Exhibits'!AD958</f>
        <v/>
      </c>
      <c r="C958" s="32">
        <f>'20250815_ETF_Options_Exhibits'!AE958</f>
        <v/>
      </c>
    </row>
    <row r="959">
      <c r="A959" s="1">
        <f>'20250815_ETF_Options_Exhibits'!AC959</f>
        <v/>
      </c>
      <c r="B959" s="32">
        <f>'20250815_ETF_Options_Exhibits'!AD959</f>
        <v/>
      </c>
      <c r="C959" s="32">
        <f>'20250815_ETF_Options_Exhibits'!AE959</f>
        <v/>
      </c>
    </row>
    <row r="960">
      <c r="A960" s="1">
        <f>'20250815_ETF_Options_Exhibits'!AC960</f>
        <v/>
      </c>
      <c r="B960" s="32">
        <f>'20250815_ETF_Options_Exhibits'!AD960</f>
        <v/>
      </c>
      <c r="C960" s="32">
        <f>'20250815_ETF_Options_Exhibits'!AE960</f>
        <v/>
      </c>
    </row>
    <row r="961">
      <c r="A961" s="1">
        <f>'20250815_ETF_Options_Exhibits'!AC961</f>
        <v/>
      </c>
      <c r="B961" s="32">
        <f>'20250815_ETF_Options_Exhibits'!AD961</f>
        <v/>
      </c>
      <c r="C961" s="32">
        <f>'20250815_ETF_Options_Exhibits'!AE961</f>
        <v/>
      </c>
    </row>
    <row r="962">
      <c r="A962" s="1">
        <f>'20250815_ETF_Options_Exhibits'!AC962</f>
        <v/>
      </c>
      <c r="B962" s="32">
        <f>'20250815_ETF_Options_Exhibits'!AD962</f>
        <v/>
      </c>
      <c r="C962" s="32">
        <f>'20250815_ETF_Options_Exhibits'!AE962</f>
        <v/>
      </c>
    </row>
    <row r="963">
      <c r="A963" s="1">
        <f>'20250815_ETF_Options_Exhibits'!AC963</f>
        <v/>
      </c>
      <c r="B963" s="32">
        <f>'20250815_ETF_Options_Exhibits'!AD963</f>
        <v/>
      </c>
      <c r="C963" s="32">
        <f>'20250815_ETF_Options_Exhibits'!AE963</f>
        <v/>
      </c>
    </row>
    <row r="964">
      <c r="A964" s="1">
        <f>'20250815_ETF_Options_Exhibits'!AC964</f>
        <v/>
      </c>
      <c r="B964" s="32">
        <f>'20250815_ETF_Options_Exhibits'!AD964</f>
        <v/>
      </c>
      <c r="C964" s="32">
        <f>'20250815_ETF_Options_Exhibits'!AE964</f>
        <v/>
      </c>
    </row>
    <row r="965">
      <c r="A965" s="1">
        <f>'20250815_ETF_Options_Exhibits'!AC965</f>
        <v/>
      </c>
      <c r="B965" s="32">
        <f>'20250815_ETF_Options_Exhibits'!AD965</f>
        <v/>
      </c>
      <c r="C965" s="32">
        <f>'20250815_ETF_Options_Exhibits'!AE965</f>
        <v/>
      </c>
    </row>
    <row r="966">
      <c r="A966" s="1">
        <f>'20250815_ETF_Options_Exhibits'!AC966</f>
        <v/>
      </c>
      <c r="B966" s="32">
        <f>'20250815_ETF_Options_Exhibits'!AD966</f>
        <v/>
      </c>
      <c r="C966" s="32">
        <f>'20250815_ETF_Options_Exhibits'!AE966</f>
        <v/>
      </c>
    </row>
    <row r="967">
      <c r="A967" s="1">
        <f>'20250815_ETF_Options_Exhibits'!AC967</f>
        <v/>
      </c>
      <c r="B967" s="32">
        <f>'20250815_ETF_Options_Exhibits'!AD967</f>
        <v/>
      </c>
      <c r="C967" s="32">
        <f>'20250815_ETF_Options_Exhibits'!AE967</f>
        <v/>
      </c>
    </row>
    <row r="968">
      <c r="A968" s="1">
        <f>'20250815_ETF_Options_Exhibits'!AC968</f>
        <v/>
      </c>
      <c r="B968" s="32">
        <f>'20250815_ETF_Options_Exhibits'!AD968</f>
        <v/>
      </c>
      <c r="C968" s="32">
        <f>'20250815_ETF_Options_Exhibits'!AE968</f>
        <v/>
      </c>
    </row>
    <row r="969">
      <c r="A969" s="1">
        <f>'20250815_ETF_Options_Exhibits'!AC969</f>
        <v/>
      </c>
      <c r="B969" s="32">
        <f>'20250815_ETF_Options_Exhibits'!AD969</f>
        <v/>
      </c>
      <c r="C969" s="32">
        <f>'20250815_ETF_Options_Exhibits'!AE969</f>
        <v/>
      </c>
    </row>
    <row r="970">
      <c r="A970" s="1">
        <f>'20250815_ETF_Options_Exhibits'!AC970</f>
        <v/>
      </c>
      <c r="B970" s="32">
        <f>'20250815_ETF_Options_Exhibits'!AD970</f>
        <v/>
      </c>
      <c r="C970" s="32">
        <f>'20250815_ETF_Options_Exhibits'!AE970</f>
        <v/>
      </c>
    </row>
    <row r="971">
      <c r="A971" s="1">
        <f>'20250815_ETF_Options_Exhibits'!AC971</f>
        <v/>
      </c>
      <c r="B971" s="32">
        <f>'20250815_ETF_Options_Exhibits'!AD971</f>
        <v/>
      </c>
      <c r="C971" s="32">
        <f>'20250815_ETF_Options_Exhibits'!AE971</f>
        <v/>
      </c>
    </row>
    <row r="972">
      <c r="A972" s="1">
        <f>'20250815_ETF_Options_Exhibits'!AC972</f>
        <v/>
      </c>
      <c r="B972" s="32">
        <f>'20250815_ETF_Options_Exhibits'!AD972</f>
        <v/>
      </c>
      <c r="C972" s="32">
        <f>'20250815_ETF_Options_Exhibits'!AE972</f>
        <v/>
      </c>
    </row>
    <row r="973">
      <c r="A973" s="1">
        <f>'20250815_ETF_Options_Exhibits'!AC973</f>
        <v/>
      </c>
      <c r="B973" s="32">
        <f>'20250815_ETF_Options_Exhibits'!AD973</f>
        <v/>
      </c>
      <c r="C973" s="32">
        <f>'20250815_ETF_Options_Exhibits'!AE973</f>
        <v/>
      </c>
    </row>
    <row r="974">
      <c r="A974" s="1">
        <f>'20250815_ETF_Options_Exhibits'!AC974</f>
        <v/>
      </c>
      <c r="B974" s="32">
        <f>'20250815_ETF_Options_Exhibits'!AD974</f>
        <v/>
      </c>
      <c r="C974" s="32">
        <f>'20250815_ETF_Options_Exhibits'!AE974</f>
        <v/>
      </c>
    </row>
    <row r="975">
      <c r="A975" s="1">
        <f>'20250815_ETF_Options_Exhibits'!AC975</f>
        <v/>
      </c>
      <c r="B975" s="32">
        <f>'20250815_ETF_Options_Exhibits'!AD975</f>
        <v/>
      </c>
      <c r="C975" s="32">
        <f>'20250815_ETF_Options_Exhibits'!AE975</f>
        <v/>
      </c>
    </row>
    <row r="976">
      <c r="A976" s="1">
        <f>'20250815_ETF_Options_Exhibits'!AC976</f>
        <v/>
      </c>
      <c r="B976" s="32">
        <f>'20250815_ETF_Options_Exhibits'!AD976</f>
        <v/>
      </c>
      <c r="C976" s="32">
        <f>'20250815_ETF_Options_Exhibits'!AE976</f>
        <v/>
      </c>
    </row>
    <row r="977">
      <c r="A977" s="1">
        <f>'20250815_ETF_Options_Exhibits'!AC977</f>
        <v/>
      </c>
      <c r="B977" s="32">
        <f>'20250815_ETF_Options_Exhibits'!AD977</f>
        <v/>
      </c>
      <c r="C977" s="32">
        <f>'20250815_ETF_Options_Exhibits'!AE977</f>
        <v/>
      </c>
    </row>
    <row r="978">
      <c r="A978" s="1">
        <f>'20250815_ETF_Options_Exhibits'!AC978</f>
        <v/>
      </c>
      <c r="B978" s="32">
        <f>'20250815_ETF_Options_Exhibits'!AD978</f>
        <v/>
      </c>
      <c r="C978" s="32">
        <f>'20250815_ETF_Options_Exhibits'!AE978</f>
        <v/>
      </c>
    </row>
    <row r="979">
      <c r="A979" s="1">
        <f>'20250815_ETF_Options_Exhibits'!AC979</f>
        <v/>
      </c>
      <c r="B979" s="32">
        <f>'20250815_ETF_Options_Exhibits'!AD979</f>
        <v/>
      </c>
      <c r="C979" s="32">
        <f>'20250815_ETF_Options_Exhibits'!AE979</f>
        <v/>
      </c>
    </row>
    <row r="980">
      <c r="A980" s="1">
        <f>'20250815_ETF_Options_Exhibits'!AC980</f>
        <v/>
      </c>
      <c r="B980" s="32">
        <f>'20250815_ETF_Options_Exhibits'!AD980</f>
        <v/>
      </c>
      <c r="C980" s="32">
        <f>'20250815_ETF_Options_Exhibits'!AE980</f>
        <v/>
      </c>
    </row>
    <row r="981">
      <c r="A981" s="1">
        <f>'20250815_ETF_Options_Exhibits'!AC981</f>
        <v/>
      </c>
      <c r="B981" s="32">
        <f>'20250815_ETF_Options_Exhibits'!AD981</f>
        <v/>
      </c>
      <c r="C981" s="32">
        <f>'20250815_ETF_Options_Exhibits'!AE981</f>
        <v/>
      </c>
    </row>
    <row r="982">
      <c r="A982" s="1">
        <f>'20250815_ETF_Options_Exhibits'!AC982</f>
        <v/>
      </c>
      <c r="B982" s="32">
        <f>'20250815_ETF_Options_Exhibits'!AD982</f>
        <v/>
      </c>
      <c r="C982" s="32">
        <f>'20250815_ETF_Options_Exhibits'!AE982</f>
        <v/>
      </c>
    </row>
    <row r="983">
      <c r="A983" s="1">
        <f>'20250815_ETF_Options_Exhibits'!AC983</f>
        <v/>
      </c>
      <c r="B983" s="32">
        <f>'20250815_ETF_Options_Exhibits'!AD983</f>
        <v/>
      </c>
      <c r="C983" s="32">
        <f>'20250815_ETF_Options_Exhibits'!AE983</f>
        <v/>
      </c>
    </row>
    <row r="984">
      <c r="A984" s="1">
        <f>'20250815_ETF_Options_Exhibits'!AC984</f>
        <v/>
      </c>
      <c r="B984" s="32">
        <f>'20250815_ETF_Options_Exhibits'!AD984</f>
        <v/>
      </c>
      <c r="C984" s="32">
        <f>'20250815_ETF_Options_Exhibits'!AE984</f>
        <v/>
      </c>
    </row>
    <row r="985">
      <c r="A985" s="1">
        <f>'20250815_ETF_Options_Exhibits'!AC985</f>
        <v/>
      </c>
      <c r="B985" s="32">
        <f>'20250815_ETF_Options_Exhibits'!AD985</f>
        <v/>
      </c>
      <c r="C985" s="32">
        <f>'20250815_ETF_Options_Exhibits'!AE985</f>
        <v/>
      </c>
    </row>
    <row r="986">
      <c r="A986" s="1">
        <f>'20250815_ETF_Options_Exhibits'!AC986</f>
        <v/>
      </c>
      <c r="B986" s="32">
        <f>'20250815_ETF_Options_Exhibits'!AD986</f>
        <v/>
      </c>
      <c r="C986" s="32">
        <f>'20250815_ETF_Options_Exhibits'!AE986</f>
        <v/>
      </c>
    </row>
    <row r="987">
      <c r="A987" s="1">
        <f>'20250815_ETF_Options_Exhibits'!AC987</f>
        <v/>
      </c>
      <c r="B987" s="32">
        <f>'20250815_ETF_Options_Exhibits'!AD987</f>
        <v/>
      </c>
      <c r="C987" s="32">
        <f>'20250815_ETF_Options_Exhibits'!AE987</f>
        <v/>
      </c>
    </row>
    <row r="988">
      <c r="A988" s="1">
        <f>'20250815_ETF_Options_Exhibits'!AC988</f>
        <v/>
      </c>
      <c r="B988" s="32">
        <f>'20250815_ETF_Options_Exhibits'!AD988</f>
        <v/>
      </c>
      <c r="C988" s="32">
        <f>'20250815_ETF_Options_Exhibits'!AE988</f>
        <v/>
      </c>
    </row>
    <row r="989">
      <c r="A989" s="1">
        <f>'20250815_ETF_Options_Exhibits'!AC989</f>
        <v/>
      </c>
      <c r="B989" s="32">
        <f>'20250815_ETF_Options_Exhibits'!AD989</f>
        <v/>
      </c>
      <c r="C989" s="32">
        <f>'20250815_ETF_Options_Exhibits'!AE989</f>
        <v/>
      </c>
    </row>
    <row r="990">
      <c r="A990" s="1">
        <f>'20250815_ETF_Options_Exhibits'!AC990</f>
        <v/>
      </c>
      <c r="B990" s="32">
        <f>'20250815_ETF_Options_Exhibits'!AD990</f>
        <v/>
      </c>
      <c r="C990" s="32">
        <f>'20250815_ETF_Options_Exhibits'!AE990</f>
        <v/>
      </c>
    </row>
    <row r="991">
      <c r="A991" s="1">
        <f>'20250815_ETF_Options_Exhibits'!AC991</f>
        <v/>
      </c>
      <c r="B991" s="32">
        <f>'20250815_ETF_Options_Exhibits'!AD991</f>
        <v/>
      </c>
      <c r="C991" s="32">
        <f>'20250815_ETF_Options_Exhibits'!AE991</f>
        <v/>
      </c>
    </row>
    <row r="992">
      <c r="A992" s="1">
        <f>'20250815_ETF_Options_Exhibits'!AC992</f>
        <v/>
      </c>
      <c r="B992" s="32">
        <f>'20250815_ETF_Options_Exhibits'!AD992</f>
        <v/>
      </c>
      <c r="C992" s="32">
        <f>'20250815_ETF_Options_Exhibits'!AE992</f>
        <v/>
      </c>
    </row>
    <row r="993">
      <c r="A993" s="1">
        <f>'20250815_ETF_Options_Exhibits'!AC993</f>
        <v/>
      </c>
      <c r="B993" s="32">
        <f>'20250815_ETF_Options_Exhibits'!AD993</f>
        <v/>
      </c>
      <c r="C993" s="32">
        <f>'20250815_ETF_Options_Exhibits'!AE993</f>
        <v/>
      </c>
    </row>
    <row r="994">
      <c r="A994" s="1">
        <f>'20250815_ETF_Options_Exhibits'!AC994</f>
        <v/>
      </c>
      <c r="B994" s="32">
        <f>'20250815_ETF_Options_Exhibits'!AD994</f>
        <v/>
      </c>
      <c r="C994" s="32">
        <f>'20250815_ETF_Options_Exhibits'!AE994</f>
        <v/>
      </c>
    </row>
    <row r="995">
      <c r="A995" s="1">
        <f>'20250815_ETF_Options_Exhibits'!AC995</f>
        <v/>
      </c>
      <c r="B995" s="32">
        <f>'20250815_ETF_Options_Exhibits'!AD995</f>
        <v/>
      </c>
      <c r="C995" s="32">
        <f>'20250815_ETF_Options_Exhibits'!AE995</f>
        <v/>
      </c>
    </row>
    <row r="996">
      <c r="A996" s="1">
        <f>'20250815_ETF_Options_Exhibits'!AC996</f>
        <v/>
      </c>
      <c r="B996" s="32">
        <f>'20250815_ETF_Options_Exhibits'!AD996</f>
        <v/>
      </c>
      <c r="C996" s="32">
        <f>'20250815_ETF_Options_Exhibits'!AE996</f>
        <v/>
      </c>
    </row>
    <row r="997">
      <c r="A997" s="1">
        <f>'20250815_ETF_Options_Exhibits'!AC997</f>
        <v/>
      </c>
      <c r="B997" s="32">
        <f>'20250815_ETF_Options_Exhibits'!AD997</f>
        <v/>
      </c>
      <c r="C997" s="32">
        <f>'20250815_ETF_Options_Exhibits'!AE997</f>
        <v/>
      </c>
    </row>
    <row r="998">
      <c r="A998" s="1">
        <f>'20250815_ETF_Options_Exhibits'!AC998</f>
        <v/>
      </c>
      <c r="B998" s="32">
        <f>'20250815_ETF_Options_Exhibits'!AD998</f>
        <v/>
      </c>
      <c r="C998" s="32">
        <f>'20250815_ETF_Options_Exhibits'!AE998</f>
        <v/>
      </c>
    </row>
    <row r="999">
      <c r="A999" s="1">
        <f>'20250815_ETF_Options_Exhibits'!AC999</f>
        <v/>
      </c>
      <c r="B999" s="32">
        <f>'20250815_ETF_Options_Exhibits'!AD999</f>
        <v/>
      </c>
      <c r="C999" s="32">
        <f>'20250815_ETF_Options_Exhibits'!AE999</f>
        <v/>
      </c>
    </row>
    <row r="1000">
      <c r="A1000" s="1">
        <f>'20250815_ETF_Options_Exhibits'!AC1000</f>
        <v/>
      </c>
      <c r="B1000" s="32">
        <f>'20250815_ETF_Options_Exhibits'!AD1000</f>
        <v/>
      </c>
      <c r="C1000" s="32">
        <f>'20250815_ETF_Options_Exhibits'!AE1000</f>
        <v/>
      </c>
    </row>
    <row r="1001">
      <c r="A1001" s="1">
        <f>'20250815_ETF_Options_Exhibits'!AC1001</f>
        <v/>
      </c>
      <c r="B1001" s="32">
        <f>'20250815_ETF_Options_Exhibits'!AD1001</f>
        <v/>
      </c>
      <c r="C1001" s="32">
        <f>'20250815_ETF_Options_Exhibits'!AE1001</f>
        <v/>
      </c>
    </row>
    <row r="1002">
      <c r="A1002" s="1">
        <f>'20250815_ETF_Options_Exhibits'!AC1002</f>
        <v/>
      </c>
      <c r="B1002" s="32">
        <f>'20250815_ETF_Options_Exhibits'!AD1002</f>
        <v/>
      </c>
      <c r="C1002" s="32">
        <f>'20250815_ETF_Options_Exhibits'!AE1002</f>
        <v/>
      </c>
    </row>
    <row r="1003">
      <c r="A1003" s="1">
        <f>'20250815_ETF_Options_Exhibits'!AC1003</f>
        <v/>
      </c>
      <c r="B1003" s="32">
        <f>'20250815_ETF_Options_Exhibits'!AD1003</f>
        <v/>
      </c>
      <c r="C1003" s="32">
        <f>'20250815_ETF_Options_Exhibits'!AE1003</f>
        <v/>
      </c>
    </row>
    <row r="1004">
      <c r="A1004" s="1">
        <f>'20250815_ETF_Options_Exhibits'!AC1004</f>
        <v/>
      </c>
      <c r="B1004" s="32">
        <f>'20250815_ETF_Options_Exhibits'!AD1004</f>
        <v/>
      </c>
      <c r="C1004" s="32">
        <f>'20250815_ETF_Options_Exhibits'!AE1004</f>
        <v/>
      </c>
    </row>
    <row r="1005">
      <c r="A1005" s="1">
        <f>'20250815_ETF_Options_Exhibits'!AC1005</f>
        <v/>
      </c>
      <c r="B1005" s="32">
        <f>'20250815_ETF_Options_Exhibits'!AD1005</f>
        <v/>
      </c>
      <c r="C1005" s="32">
        <f>'20250815_ETF_Options_Exhibits'!AE1005</f>
        <v/>
      </c>
    </row>
    <row r="1006">
      <c r="A1006" s="1">
        <f>'20250815_ETF_Options_Exhibits'!AC1006</f>
        <v/>
      </c>
      <c r="B1006" s="32">
        <f>'20250815_ETF_Options_Exhibits'!AD1006</f>
        <v/>
      </c>
      <c r="C1006" s="32">
        <f>'20250815_ETF_Options_Exhibits'!AE1006</f>
        <v/>
      </c>
    </row>
    <row r="1007">
      <c r="A1007" s="1">
        <f>'20250815_ETF_Options_Exhibits'!AC1007</f>
        <v/>
      </c>
      <c r="B1007" s="32">
        <f>'20250815_ETF_Options_Exhibits'!AD1007</f>
        <v/>
      </c>
      <c r="C1007" s="32">
        <f>'20250815_ETF_Options_Exhibits'!AE1007</f>
        <v/>
      </c>
    </row>
    <row r="1008">
      <c r="A1008" s="1">
        <f>'20250815_ETF_Options_Exhibits'!AC1008</f>
        <v/>
      </c>
      <c r="B1008" s="32">
        <f>'20250815_ETF_Options_Exhibits'!AD1008</f>
        <v/>
      </c>
      <c r="C1008" s="32">
        <f>'20250815_ETF_Options_Exhibits'!AE1008</f>
        <v/>
      </c>
    </row>
    <row r="1009">
      <c r="A1009" s="1">
        <f>'20250815_ETF_Options_Exhibits'!AC1009</f>
        <v/>
      </c>
      <c r="B1009" s="32">
        <f>'20250815_ETF_Options_Exhibits'!AD1009</f>
        <v/>
      </c>
      <c r="C1009" s="32">
        <f>'20250815_ETF_Options_Exhibits'!AE1009</f>
        <v/>
      </c>
    </row>
    <row r="1010">
      <c r="A1010" s="1">
        <f>'20250815_ETF_Options_Exhibits'!AC1010</f>
        <v/>
      </c>
      <c r="B1010" s="32">
        <f>'20250815_ETF_Options_Exhibits'!AD1010</f>
        <v/>
      </c>
      <c r="C1010" s="32">
        <f>'20250815_ETF_Options_Exhibits'!AE1010</f>
        <v/>
      </c>
    </row>
    <row r="1011">
      <c r="A1011" s="1">
        <f>'20250815_ETF_Options_Exhibits'!AC1011</f>
        <v/>
      </c>
      <c r="B1011" s="32">
        <f>'20250815_ETF_Options_Exhibits'!AD1011</f>
        <v/>
      </c>
      <c r="C1011" s="32">
        <f>'20250815_ETF_Options_Exhibits'!AE1011</f>
        <v/>
      </c>
    </row>
    <row r="1012">
      <c r="A1012" s="1">
        <f>'20250815_ETF_Options_Exhibits'!AC1012</f>
        <v/>
      </c>
      <c r="B1012" s="32">
        <f>'20250815_ETF_Options_Exhibits'!AD1012</f>
        <v/>
      </c>
      <c r="C1012" s="32">
        <f>'20250815_ETF_Options_Exhibits'!AE1012</f>
        <v/>
      </c>
    </row>
    <row r="1013">
      <c r="A1013" s="1">
        <f>'20250815_ETF_Options_Exhibits'!AC1013</f>
        <v/>
      </c>
      <c r="B1013" s="32">
        <f>'20250815_ETF_Options_Exhibits'!AD1013</f>
        <v/>
      </c>
      <c r="C1013" s="32">
        <f>'20250815_ETF_Options_Exhibits'!AE1013</f>
        <v/>
      </c>
    </row>
    <row r="1014">
      <c r="A1014" s="1">
        <f>'20250815_ETF_Options_Exhibits'!AC1014</f>
        <v/>
      </c>
      <c r="B1014" s="32">
        <f>'20250815_ETF_Options_Exhibits'!AD1014</f>
        <v/>
      </c>
      <c r="C1014" s="32">
        <f>'20250815_ETF_Options_Exhibits'!AE1014</f>
        <v/>
      </c>
    </row>
    <row r="1015">
      <c r="A1015" s="1">
        <f>'20250815_ETF_Options_Exhibits'!AC1015</f>
        <v/>
      </c>
      <c r="B1015" s="32">
        <f>'20250815_ETF_Options_Exhibits'!AD1015</f>
        <v/>
      </c>
      <c r="C1015" s="32">
        <f>'20250815_ETF_Options_Exhibits'!AE1015</f>
        <v/>
      </c>
    </row>
    <row r="1016">
      <c r="A1016" s="1">
        <f>'20250815_ETF_Options_Exhibits'!AC1016</f>
        <v/>
      </c>
      <c r="B1016" s="32">
        <f>'20250815_ETF_Options_Exhibits'!AD1016</f>
        <v/>
      </c>
      <c r="C1016" s="32">
        <f>'20250815_ETF_Options_Exhibits'!AE1016</f>
        <v/>
      </c>
    </row>
    <row r="1017">
      <c r="A1017" s="1">
        <f>'20250815_ETF_Options_Exhibits'!AC1017</f>
        <v/>
      </c>
      <c r="B1017" s="32">
        <f>'20250815_ETF_Options_Exhibits'!AD1017</f>
        <v/>
      </c>
      <c r="C1017" s="32">
        <f>'20250815_ETF_Options_Exhibits'!AE1017</f>
        <v/>
      </c>
    </row>
    <row r="1018">
      <c r="A1018" s="1">
        <f>'20250815_ETF_Options_Exhibits'!AC1018</f>
        <v/>
      </c>
      <c r="B1018" s="32">
        <f>'20250815_ETF_Options_Exhibits'!AD1018</f>
        <v/>
      </c>
      <c r="C1018" s="32">
        <f>'20250815_ETF_Options_Exhibits'!AE1018</f>
        <v/>
      </c>
    </row>
    <row r="1019">
      <c r="A1019" s="1">
        <f>'20250815_ETF_Options_Exhibits'!AC1019</f>
        <v/>
      </c>
      <c r="B1019" s="32">
        <f>'20250815_ETF_Options_Exhibits'!AD1019</f>
        <v/>
      </c>
      <c r="C1019" s="32">
        <f>'20250815_ETF_Options_Exhibits'!AE1019</f>
        <v/>
      </c>
    </row>
    <row r="1020">
      <c r="A1020" s="1">
        <f>'20250815_ETF_Options_Exhibits'!AC1020</f>
        <v/>
      </c>
      <c r="B1020" s="32">
        <f>'20250815_ETF_Options_Exhibits'!AD1020</f>
        <v/>
      </c>
      <c r="C1020" s="32">
        <f>'20250815_ETF_Options_Exhibits'!AE1020</f>
        <v/>
      </c>
    </row>
    <row r="1021">
      <c r="A1021" s="1">
        <f>'20250815_ETF_Options_Exhibits'!AC1021</f>
        <v/>
      </c>
      <c r="B1021" s="32">
        <f>'20250815_ETF_Options_Exhibits'!AD1021</f>
        <v/>
      </c>
      <c r="C1021" s="32">
        <f>'20250815_ETF_Options_Exhibits'!AE1021</f>
        <v/>
      </c>
    </row>
    <row r="1022">
      <c r="A1022" s="1">
        <f>'20250815_ETF_Options_Exhibits'!AC1022</f>
        <v/>
      </c>
      <c r="B1022" s="32">
        <f>'20250815_ETF_Options_Exhibits'!AD1022</f>
        <v/>
      </c>
      <c r="C1022" s="32">
        <f>'20250815_ETF_Options_Exhibits'!AE1022</f>
        <v/>
      </c>
    </row>
    <row r="1023">
      <c r="A1023" s="1">
        <f>'20250815_ETF_Options_Exhibits'!AC1023</f>
        <v/>
      </c>
      <c r="B1023" s="32">
        <f>'20250815_ETF_Options_Exhibits'!AD1023</f>
        <v/>
      </c>
      <c r="C1023" s="32">
        <f>'20250815_ETF_Options_Exhibits'!AE1023</f>
        <v/>
      </c>
    </row>
    <row r="1024">
      <c r="A1024" s="1">
        <f>'20250815_ETF_Options_Exhibits'!AC1024</f>
        <v/>
      </c>
      <c r="B1024" s="32">
        <f>'20250815_ETF_Options_Exhibits'!AD1024</f>
        <v/>
      </c>
      <c r="C1024" s="32">
        <f>'20250815_ETF_Options_Exhibits'!AE1024</f>
        <v/>
      </c>
    </row>
    <row r="1025">
      <c r="A1025" s="1">
        <f>'20250815_ETF_Options_Exhibits'!AC1025</f>
        <v/>
      </c>
      <c r="B1025" s="32">
        <f>'20250815_ETF_Options_Exhibits'!AD1025</f>
        <v/>
      </c>
      <c r="C1025" s="32">
        <f>'20250815_ETF_Options_Exhibits'!AE1025</f>
        <v/>
      </c>
    </row>
    <row r="1026">
      <c r="A1026" s="1">
        <f>'20250815_ETF_Options_Exhibits'!AC1026</f>
        <v/>
      </c>
      <c r="B1026" s="32">
        <f>'20250815_ETF_Options_Exhibits'!AD1026</f>
        <v/>
      </c>
      <c r="C1026" s="32">
        <f>'20250815_ETF_Options_Exhibits'!AE1026</f>
        <v/>
      </c>
    </row>
    <row r="1027">
      <c r="A1027" s="1">
        <f>'20250815_ETF_Options_Exhibits'!AC1027</f>
        <v/>
      </c>
      <c r="B1027" s="32">
        <f>'20250815_ETF_Options_Exhibits'!AD1027</f>
        <v/>
      </c>
      <c r="C1027" s="32">
        <f>'20250815_ETF_Options_Exhibits'!AE1027</f>
        <v/>
      </c>
    </row>
    <row r="1028">
      <c r="A1028" s="1">
        <f>'20250815_ETF_Options_Exhibits'!AC1028</f>
        <v/>
      </c>
      <c r="B1028" s="32">
        <f>'20250815_ETF_Options_Exhibits'!AD1028</f>
        <v/>
      </c>
      <c r="C1028" s="32">
        <f>'20250815_ETF_Options_Exhibits'!AE1028</f>
        <v/>
      </c>
    </row>
    <row r="1029">
      <c r="A1029" s="1">
        <f>'20250815_ETF_Options_Exhibits'!AC1029</f>
        <v/>
      </c>
      <c r="B1029" s="32">
        <f>'20250815_ETF_Options_Exhibits'!AD1029</f>
        <v/>
      </c>
      <c r="C1029" s="32">
        <f>'20250815_ETF_Options_Exhibits'!AE1029</f>
        <v/>
      </c>
    </row>
    <row r="1030">
      <c r="A1030" s="1">
        <f>'20250815_ETF_Options_Exhibits'!AC1030</f>
        <v/>
      </c>
      <c r="B1030" s="32">
        <f>'20250815_ETF_Options_Exhibits'!AD1030</f>
        <v/>
      </c>
      <c r="C1030" s="32">
        <f>'20250815_ETF_Options_Exhibits'!AE1030</f>
        <v/>
      </c>
    </row>
    <row r="1031">
      <c r="A1031" s="1">
        <f>'20250815_ETF_Options_Exhibits'!AC1031</f>
        <v/>
      </c>
      <c r="B1031" s="32">
        <f>'20250815_ETF_Options_Exhibits'!AD1031</f>
        <v/>
      </c>
      <c r="C1031" s="32">
        <f>'20250815_ETF_Options_Exhibits'!AE1031</f>
        <v/>
      </c>
    </row>
    <row r="1032">
      <c r="A1032" s="1">
        <f>'20250815_ETF_Options_Exhibits'!AC1032</f>
        <v/>
      </c>
      <c r="B1032" s="32">
        <f>'20250815_ETF_Options_Exhibits'!AD1032</f>
        <v/>
      </c>
      <c r="C1032" s="32">
        <f>'20250815_ETF_Options_Exhibits'!AE1032</f>
        <v/>
      </c>
    </row>
    <row r="1033">
      <c r="A1033" s="1">
        <f>'20250815_ETF_Options_Exhibits'!AC1033</f>
        <v/>
      </c>
      <c r="B1033" s="32">
        <f>'20250815_ETF_Options_Exhibits'!AD1033</f>
        <v/>
      </c>
      <c r="C1033" s="32">
        <f>'20250815_ETF_Options_Exhibits'!AE1033</f>
        <v/>
      </c>
    </row>
    <row r="1034">
      <c r="A1034" s="1">
        <f>'20250815_ETF_Options_Exhibits'!AC1034</f>
        <v/>
      </c>
      <c r="B1034" s="32">
        <f>'20250815_ETF_Options_Exhibits'!AD1034</f>
        <v/>
      </c>
      <c r="C1034" s="32">
        <f>'20250815_ETF_Options_Exhibits'!AE1034</f>
        <v/>
      </c>
    </row>
    <row r="1035">
      <c r="A1035" s="1">
        <f>'20250815_ETF_Options_Exhibits'!AC1035</f>
        <v/>
      </c>
      <c r="B1035" s="32">
        <f>'20250815_ETF_Options_Exhibits'!AD1035</f>
        <v/>
      </c>
      <c r="C1035" s="32">
        <f>'20250815_ETF_Options_Exhibits'!AE1035</f>
        <v/>
      </c>
    </row>
    <row r="1036">
      <c r="A1036" s="1">
        <f>'20250815_ETF_Options_Exhibits'!AC1036</f>
        <v/>
      </c>
      <c r="B1036" s="32">
        <f>'20250815_ETF_Options_Exhibits'!AD1036</f>
        <v/>
      </c>
      <c r="C1036" s="32">
        <f>'20250815_ETF_Options_Exhibits'!AE1036</f>
        <v/>
      </c>
    </row>
    <row r="1037">
      <c r="A1037" s="1">
        <f>'20250815_ETF_Options_Exhibits'!AC1037</f>
        <v/>
      </c>
      <c r="B1037" s="32">
        <f>'20250815_ETF_Options_Exhibits'!AD1037</f>
        <v/>
      </c>
      <c r="C1037" s="32">
        <f>'20250815_ETF_Options_Exhibits'!AE1037</f>
        <v/>
      </c>
    </row>
    <row r="1038">
      <c r="A1038" s="1">
        <f>'20250815_ETF_Options_Exhibits'!AC1038</f>
        <v/>
      </c>
      <c r="B1038" s="32">
        <f>'20250815_ETF_Options_Exhibits'!AD1038</f>
        <v/>
      </c>
      <c r="C1038" s="32">
        <f>'20250815_ETF_Options_Exhibits'!AE1038</f>
        <v/>
      </c>
    </row>
    <row r="1039">
      <c r="A1039" s="1">
        <f>'20250815_ETF_Options_Exhibits'!AC1039</f>
        <v/>
      </c>
      <c r="B1039" s="32">
        <f>'20250815_ETF_Options_Exhibits'!AD1039</f>
        <v/>
      </c>
      <c r="C1039" s="32">
        <f>'20250815_ETF_Options_Exhibits'!AE1039</f>
        <v/>
      </c>
    </row>
    <row r="1040">
      <c r="A1040" s="1">
        <f>'20250815_ETF_Options_Exhibits'!AC1040</f>
        <v/>
      </c>
      <c r="B1040" s="32">
        <f>'20250815_ETF_Options_Exhibits'!AD1040</f>
        <v/>
      </c>
      <c r="C1040" s="32">
        <f>'20250815_ETF_Options_Exhibits'!AE1040</f>
        <v/>
      </c>
    </row>
    <row r="1041">
      <c r="A1041" s="1">
        <f>'20250815_ETF_Options_Exhibits'!AC1041</f>
        <v/>
      </c>
      <c r="B1041" s="32">
        <f>'20250815_ETF_Options_Exhibits'!AD1041</f>
        <v/>
      </c>
      <c r="C1041" s="32">
        <f>'20250815_ETF_Options_Exhibits'!AE1041</f>
        <v/>
      </c>
    </row>
    <row r="1042">
      <c r="A1042" s="1">
        <f>'20250815_ETF_Options_Exhibits'!AC1042</f>
        <v/>
      </c>
      <c r="B1042" s="32">
        <f>'20250815_ETF_Options_Exhibits'!AD1042</f>
        <v/>
      </c>
      <c r="C1042" s="32">
        <f>'20250815_ETF_Options_Exhibits'!AE1042</f>
        <v/>
      </c>
    </row>
    <row r="1043">
      <c r="A1043" s="1">
        <f>'20250815_ETF_Options_Exhibits'!AC1043</f>
        <v/>
      </c>
      <c r="B1043" s="32">
        <f>'20250815_ETF_Options_Exhibits'!AD1043</f>
        <v/>
      </c>
      <c r="C1043" s="32">
        <f>'20250815_ETF_Options_Exhibits'!AE1043</f>
        <v/>
      </c>
    </row>
    <row r="1044">
      <c r="A1044" s="1">
        <f>'20250815_ETF_Options_Exhibits'!AC1044</f>
        <v/>
      </c>
      <c r="B1044" s="32">
        <f>'20250815_ETF_Options_Exhibits'!AD1044</f>
        <v/>
      </c>
      <c r="C1044" s="32">
        <f>'20250815_ETF_Options_Exhibits'!AE1044</f>
        <v/>
      </c>
    </row>
    <row r="1045">
      <c r="A1045" s="1">
        <f>'20250815_ETF_Options_Exhibits'!AC1045</f>
        <v/>
      </c>
      <c r="B1045" s="32">
        <f>'20250815_ETF_Options_Exhibits'!AD1045</f>
        <v/>
      </c>
      <c r="C1045" s="32">
        <f>'20250815_ETF_Options_Exhibits'!AE1045</f>
        <v/>
      </c>
    </row>
    <row r="1046">
      <c r="A1046" s="1">
        <f>'20250815_ETF_Options_Exhibits'!AC1046</f>
        <v/>
      </c>
      <c r="B1046" s="32">
        <f>'20250815_ETF_Options_Exhibits'!AD1046</f>
        <v/>
      </c>
      <c r="C1046" s="32">
        <f>'20250815_ETF_Options_Exhibits'!AE1046</f>
        <v/>
      </c>
    </row>
    <row r="1047">
      <c r="A1047" s="1">
        <f>'20250815_ETF_Options_Exhibits'!AC1047</f>
        <v/>
      </c>
      <c r="B1047" s="32">
        <f>'20250815_ETF_Options_Exhibits'!AD1047</f>
        <v/>
      </c>
      <c r="C1047" s="32">
        <f>'20250815_ETF_Options_Exhibits'!AE1047</f>
        <v/>
      </c>
    </row>
    <row r="1048">
      <c r="A1048" s="1">
        <f>'20250815_ETF_Options_Exhibits'!AC1048</f>
        <v/>
      </c>
      <c r="B1048" s="32">
        <f>'20250815_ETF_Options_Exhibits'!AD1048</f>
        <v/>
      </c>
      <c r="C1048" s="32">
        <f>'20250815_ETF_Options_Exhibits'!AE1048</f>
        <v/>
      </c>
    </row>
    <row r="1049">
      <c r="A1049" s="1">
        <f>'20250815_ETF_Options_Exhibits'!AC1049</f>
        <v/>
      </c>
      <c r="B1049" s="32">
        <f>'20250815_ETF_Options_Exhibits'!AD1049</f>
        <v/>
      </c>
      <c r="C1049" s="32">
        <f>'20250815_ETF_Options_Exhibits'!AE1049</f>
        <v/>
      </c>
    </row>
    <row r="1050">
      <c r="A1050" s="1">
        <f>'20250815_ETF_Options_Exhibits'!AC1050</f>
        <v/>
      </c>
      <c r="B1050" s="32">
        <f>'20250815_ETF_Options_Exhibits'!AD1050</f>
        <v/>
      </c>
      <c r="C1050" s="32">
        <f>'20250815_ETF_Options_Exhibits'!AE1050</f>
        <v/>
      </c>
    </row>
    <row r="1051">
      <c r="A1051" s="1">
        <f>'20250815_ETF_Options_Exhibits'!AC1051</f>
        <v/>
      </c>
      <c r="B1051" s="32">
        <f>'20250815_ETF_Options_Exhibits'!AD1051</f>
        <v/>
      </c>
      <c r="C1051" s="32">
        <f>'20250815_ETF_Options_Exhibits'!AE1051</f>
        <v/>
      </c>
    </row>
    <row r="1052">
      <c r="A1052" s="1">
        <f>'20250815_ETF_Options_Exhibits'!AC1052</f>
        <v/>
      </c>
      <c r="B1052" s="32">
        <f>'20250815_ETF_Options_Exhibits'!AD1052</f>
        <v/>
      </c>
      <c r="C1052" s="32">
        <f>'20250815_ETF_Options_Exhibits'!AE1052</f>
        <v/>
      </c>
    </row>
    <row r="1053">
      <c r="A1053" s="1">
        <f>'20250815_ETF_Options_Exhibits'!AC1053</f>
        <v/>
      </c>
      <c r="B1053" s="32">
        <f>'20250815_ETF_Options_Exhibits'!AD1053</f>
        <v/>
      </c>
      <c r="C1053" s="32">
        <f>'20250815_ETF_Options_Exhibits'!AE1053</f>
        <v/>
      </c>
    </row>
    <row r="1054">
      <c r="A1054" s="1">
        <f>'20250815_ETF_Options_Exhibits'!AC1054</f>
        <v/>
      </c>
      <c r="B1054" s="32">
        <f>'20250815_ETF_Options_Exhibits'!AD1054</f>
        <v/>
      </c>
      <c r="C1054" s="32">
        <f>'20250815_ETF_Options_Exhibits'!AE1054</f>
        <v/>
      </c>
    </row>
    <row r="1055">
      <c r="A1055" s="1">
        <f>'20250815_ETF_Options_Exhibits'!AC1055</f>
        <v/>
      </c>
      <c r="B1055" s="32">
        <f>'20250815_ETF_Options_Exhibits'!AD1055</f>
        <v/>
      </c>
      <c r="C1055" s="32">
        <f>'20250815_ETF_Options_Exhibits'!AE1055</f>
        <v/>
      </c>
    </row>
    <row r="1056">
      <c r="A1056" s="1">
        <f>'20250815_ETF_Options_Exhibits'!AC1056</f>
        <v/>
      </c>
      <c r="B1056" s="32">
        <f>'20250815_ETF_Options_Exhibits'!AD1056</f>
        <v/>
      </c>
      <c r="C1056" s="32">
        <f>'20250815_ETF_Options_Exhibits'!AE1056</f>
        <v/>
      </c>
    </row>
    <row r="1057">
      <c r="A1057" s="1">
        <f>'20250815_ETF_Options_Exhibits'!AC1057</f>
        <v/>
      </c>
      <c r="B1057" s="32">
        <f>'20250815_ETF_Options_Exhibits'!AD1057</f>
        <v/>
      </c>
      <c r="C1057" s="32">
        <f>'20250815_ETF_Options_Exhibits'!AE1057</f>
        <v/>
      </c>
    </row>
    <row r="1058">
      <c r="A1058" s="1">
        <f>'20250815_ETF_Options_Exhibits'!AC1058</f>
        <v/>
      </c>
      <c r="B1058" s="32">
        <f>'20250815_ETF_Options_Exhibits'!AD1058</f>
        <v/>
      </c>
      <c r="C1058" s="32">
        <f>'20250815_ETF_Options_Exhibits'!AE1058</f>
        <v/>
      </c>
    </row>
    <row r="1059">
      <c r="A1059" s="1">
        <f>'20250815_ETF_Options_Exhibits'!AC1059</f>
        <v/>
      </c>
      <c r="B1059" s="32">
        <f>'20250815_ETF_Options_Exhibits'!AD1059</f>
        <v/>
      </c>
      <c r="C1059" s="32">
        <f>'20250815_ETF_Options_Exhibits'!AE1059</f>
        <v/>
      </c>
    </row>
    <row r="1060">
      <c r="A1060" s="1">
        <f>'20250815_ETF_Options_Exhibits'!AC1060</f>
        <v/>
      </c>
      <c r="B1060" s="32">
        <f>'20250815_ETF_Options_Exhibits'!AD1060</f>
        <v/>
      </c>
      <c r="C1060" s="32">
        <f>'20250815_ETF_Options_Exhibits'!AE1060</f>
        <v/>
      </c>
    </row>
    <row r="1061">
      <c r="A1061" s="1">
        <f>'20250815_ETF_Options_Exhibits'!AC1061</f>
        <v/>
      </c>
      <c r="B1061" s="32">
        <f>'20250815_ETF_Options_Exhibits'!AD1061</f>
        <v/>
      </c>
      <c r="C1061" s="32">
        <f>'20250815_ETF_Options_Exhibits'!AE1061</f>
        <v/>
      </c>
    </row>
    <row r="1062">
      <c r="A1062" s="1">
        <f>'20250815_ETF_Options_Exhibits'!AC1062</f>
        <v/>
      </c>
      <c r="B1062" s="32">
        <f>'20250815_ETF_Options_Exhibits'!AD1062</f>
        <v/>
      </c>
      <c r="C1062" s="32">
        <f>'20250815_ETF_Options_Exhibits'!AE1062</f>
        <v/>
      </c>
    </row>
    <row r="1063">
      <c r="A1063" s="1">
        <f>'20250815_ETF_Options_Exhibits'!AC1063</f>
        <v/>
      </c>
      <c r="B1063" s="32">
        <f>'20250815_ETF_Options_Exhibits'!AD1063</f>
        <v/>
      </c>
      <c r="C1063" s="32">
        <f>'20250815_ETF_Options_Exhibits'!AE1063</f>
        <v/>
      </c>
    </row>
    <row r="1064">
      <c r="A1064" s="1">
        <f>'20250815_ETF_Options_Exhibits'!AC1064</f>
        <v/>
      </c>
      <c r="B1064" s="32">
        <f>'20250815_ETF_Options_Exhibits'!AD1064</f>
        <v/>
      </c>
      <c r="C1064" s="32">
        <f>'20250815_ETF_Options_Exhibits'!AE1064</f>
        <v/>
      </c>
    </row>
    <row r="1065">
      <c r="A1065" s="1">
        <f>'20250815_ETF_Options_Exhibits'!AC1065</f>
        <v/>
      </c>
      <c r="B1065" s="32">
        <f>'20250815_ETF_Options_Exhibits'!AD1065</f>
        <v/>
      </c>
      <c r="C1065" s="32">
        <f>'20250815_ETF_Options_Exhibits'!AE1065</f>
        <v/>
      </c>
    </row>
    <row r="1066">
      <c r="A1066" s="1">
        <f>'20250815_ETF_Options_Exhibits'!AC1066</f>
        <v/>
      </c>
      <c r="B1066" s="32">
        <f>'20250815_ETF_Options_Exhibits'!AD1066</f>
        <v/>
      </c>
      <c r="C1066" s="32">
        <f>'20250815_ETF_Options_Exhibits'!AE1066</f>
        <v/>
      </c>
    </row>
    <row r="1067">
      <c r="A1067" s="1">
        <f>'20250815_ETF_Options_Exhibits'!AC1067</f>
        <v/>
      </c>
      <c r="B1067" s="32">
        <f>'20250815_ETF_Options_Exhibits'!AD1067</f>
        <v/>
      </c>
      <c r="C1067" s="32">
        <f>'20250815_ETF_Options_Exhibits'!AE1067</f>
        <v/>
      </c>
    </row>
    <row r="1068">
      <c r="A1068" s="1">
        <f>'20250815_ETF_Options_Exhibits'!AC1068</f>
        <v/>
      </c>
      <c r="B1068" s="32">
        <f>'20250815_ETF_Options_Exhibits'!AD1068</f>
        <v/>
      </c>
      <c r="C1068" s="32">
        <f>'20250815_ETF_Options_Exhibits'!AE1068</f>
        <v/>
      </c>
    </row>
    <row r="1069">
      <c r="A1069" s="1">
        <f>'20250815_ETF_Options_Exhibits'!AC1069</f>
        <v/>
      </c>
      <c r="B1069" s="32">
        <f>'20250815_ETF_Options_Exhibits'!AD1069</f>
        <v/>
      </c>
      <c r="C1069" s="32">
        <f>'20250815_ETF_Options_Exhibits'!AE1069</f>
        <v/>
      </c>
    </row>
    <row r="1070">
      <c r="A1070" s="1">
        <f>'20250815_ETF_Options_Exhibits'!AC1070</f>
        <v/>
      </c>
      <c r="B1070" s="32">
        <f>'20250815_ETF_Options_Exhibits'!AD1070</f>
        <v/>
      </c>
      <c r="C1070" s="32">
        <f>'20250815_ETF_Options_Exhibits'!AE1070</f>
        <v/>
      </c>
    </row>
    <row r="1071">
      <c r="A1071" s="1">
        <f>'20250815_ETF_Options_Exhibits'!AC1071</f>
        <v/>
      </c>
      <c r="B1071" s="32">
        <f>'20250815_ETF_Options_Exhibits'!AD1071</f>
        <v/>
      </c>
      <c r="C1071" s="32">
        <f>'20250815_ETF_Options_Exhibits'!AE1071</f>
        <v/>
      </c>
    </row>
    <row r="1072">
      <c r="A1072" s="1">
        <f>'20250815_ETF_Options_Exhibits'!AC1072</f>
        <v/>
      </c>
      <c r="B1072" s="32">
        <f>'20250815_ETF_Options_Exhibits'!AD1072</f>
        <v/>
      </c>
      <c r="C1072" s="32">
        <f>'20250815_ETF_Options_Exhibits'!AE1072</f>
        <v/>
      </c>
    </row>
    <row r="1073">
      <c r="A1073" s="1">
        <f>'20250815_ETF_Options_Exhibits'!AC1073</f>
        <v/>
      </c>
      <c r="B1073" s="32">
        <f>'20250815_ETF_Options_Exhibits'!AD1073</f>
        <v/>
      </c>
      <c r="C1073" s="32">
        <f>'20250815_ETF_Options_Exhibits'!AE1073</f>
        <v/>
      </c>
    </row>
    <row r="1074">
      <c r="A1074" s="1">
        <f>'20250815_ETF_Options_Exhibits'!AC1074</f>
        <v/>
      </c>
      <c r="B1074" s="32">
        <f>'20250815_ETF_Options_Exhibits'!AD1074</f>
        <v/>
      </c>
      <c r="C1074" s="32">
        <f>'20250815_ETF_Options_Exhibits'!AE1074</f>
        <v/>
      </c>
    </row>
    <row r="1075">
      <c r="A1075" s="1">
        <f>'20250815_ETF_Options_Exhibits'!AC1075</f>
        <v/>
      </c>
      <c r="B1075" s="32">
        <f>'20250815_ETF_Options_Exhibits'!AD1075</f>
        <v/>
      </c>
      <c r="C1075" s="32">
        <f>'20250815_ETF_Options_Exhibits'!AE1075</f>
        <v/>
      </c>
    </row>
    <row r="1076">
      <c r="A1076" s="1">
        <f>'20250815_ETF_Options_Exhibits'!AC1076</f>
        <v/>
      </c>
      <c r="B1076" s="32">
        <f>'20250815_ETF_Options_Exhibits'!AD1076</f>
        <v/>
      </c>
      <c r="C1076" s="32">
        <f>'20250815_ETF_Options_Exhibits'!AE1076</f>
        <v/>
      </c>
    </row>
    <row r="1077">
      <c r="A1077" s="1">
        <f>'20250815_ETF_Options_Exhibits'!AC1077</f>
        <v/>
      </c>
      <c r="B1077" s="32">
        <f>'20250815_ETF_Options_Exhibits'!AD1077</f>
        <v/>
      </c>
      <c r="C1077" s="32">
        <f>'20250815_ETF_Options_Exhibits'!AE1077</f>
        <v/>
      </c>
    </row>
    <row r="1078">
      <c r="A1078" s="1">
        <f>'20250815_ETF_Options_Exhibits'!AC1078</f>
        <v/>
      </c>
      <c r="B1078" s="32">
        <f>'20250815_ETF_Options_Exhibits'!AD1078</f>
        <v/>
      </c>
      <c r="C1078" s="32">
        <f>'20250815_ETF_Options_Exhibits'!AE1078</f>
        <v/>
      </c>
    </row>
    <row r="1079">
      <c r="A1079" s="1">
        <f>'20250815_ETF_Options_Exhibits'!AC1079</f>
        <v/>
      </c>
      <c r="B1079" s="32">
        <f>'20250815_ETF_Options_Exhibits'!AD1079</f>
        <v/>
      </c>
      <c r="C1079" s="32">
        <f>'20250815_ETF_Options_Exhibits'!AE1079</f>
        <v/>
      </c>
    </row>
    <row r="1080">
      <c r="A1080" s="1">
        <f>'20250815_ETF_Options_Exhibits'!AC1080</f>
        <v/>
      </c>
      <c r="B1080" s="32">
        <f>'20250815_ETF_Options_Exhibits'!AD1080</f>
        <v/>
      </c>
      <c r="C1080" s="32">
        <f>'20250815_ETF_Options_Exhibits'!AE1080</f>
        <v/>
      </c>
    </row>
    <row r="1081">
      <c r="A1081" s="1">
        <f>'20250815_ETF_Options_Exhibits'!AC1081</f>
        <v/>
      </c>
      <c r="B1081" s="32">
        <f>'20250815_ETF_Options_Exhibits'!AD1081</f>
        <v/>
      </c>
      <c r="C1081" s="32">
        <f>'20250815_ETF_Options_Exhibits'!AE1081</f>
        <v/>
      </c>
    </row>
    <row r="1082">
      <c r="A1082" s="1">
        <f>'20250815_ETF_Options_Exhibits'!AC1082</f>
        <v/>
      </c>
      <c r="B1082" s="32">
        <f>'20250815_ETF_Options_Exhibits'!AD1082</f>
        <v/>
      </c>
      <c r="C1082" s="32">
        <f>'20250815_ETF_Options_Exhibits'!AE1082</f>
        <v/>
      </c>
    </row>
    <row r="1083">
      <c r="A1083" s="1">
        <f>'20250815_ETF_Options_Exhibits'!AC1083</f>
        <v/>
      </c>
      <c r="B1083" s="32">
        <f>'20250815_ETF_Options_Exhibits'!AD1083</f>
        <v/>
      </c>
      <c r="C1083" s="32">
        <f>'20250815_ETF_Options_Exhibits'!AE1083</f>
        <v/>
      </c>
    </row>
    <row r="1084">
      <c r="A1084" s="1">
        <f>'20250815_ETF_Options_Exhibits'!AC1084</f>
        <v/>
      </c>
      <c r="B1084" s="32">
        <f>'20250815_ETF_Options_Exhibits'!AD1084</f>
        <v/>
      </c>
      <c r="C1084" s="32">
        <f>'20250815_ETF_Options_Exhibits'!AE1084</f>
        <v/>
      </c>
    </row>
    <row r="1085">
      <c r="A1085" s="1">
        <f>'20250815_ETF_Options_Exhibits'!AC1085</f>
        <v/>
      </c>
      <c r="B1085" s="32">
        <f>'20250815_ETF_Options_Exhibits'!AD1085</f>
        <v/>
      </c>
      <c r="C1085" s="32">
        <f>'20250815_ETF_Options_Exhibits'!AE1085</f>
        <v/>
      </c>
    </row>
    <row r="1086">
      <c r="A1086" s="1">
        <f>'20250815_ETF_Options_Exhibits'!AC1086</f>
        <v/>
      </c>
      <c r="B1086" s="32">
        <f>'20250815_ETF_Options_Exhibits'!AD1086</f>
        <v/>
      </c>
      <c r="C1086" s="32">
        <f>'20250815_ETF_Options_Exhibits'!AE1086</f>
        <v/>
      </c>
    </row>
    <row r="1087">
      <c r="A1087" s="1">
        <f>'20250815_ETF_Options_Exhibits'!AC1087</f>
        <v/>
      </c>
      <c r="B1087" s="32">
        <f>'20250815_ETF_Options_Exhibits'!AD1087</f>
        <v/>
      </c>
      <c r="C1087" s="32">
        <f>'20250815_ETF_Options_Exhibits'!AE1087</f>
        <v/>
      </c>
    </row>
    <row r="1088">
      <c r="A1088" s="1">
        <f>'20250815_ETF_Options_Exhibits'!AC1088</f>
        <v/>
      </c>
      <c r="B1088" s="32">
        <f>'20250815_ETF_Options_Exhibits'!AD1088</f>
        <v/>
      </c>
      <c r="C1088" s="32">
        <f>'20250815_ETF_Options_Exhibits'!AE1088</f>
        <v/>
      </c>
    </row>
    <row r="1089">
      <c r="A1089" s="1">
        <f>'20250815_ETF_Options_Exhibits'!AC1089</f>
        <v/>
      </c>
      <c r="B1089" s="32">
        <f>'20250815_ETF_Options_Exhibits'!AD1089</f>
        <v/>
      </c>
      <c r="C1089" s="32">
        <f>'20250815_ETF_Options_Exhibits'!AE1089</f>
        <v/>
      </c>
    </row>
    <row r="1090">
      <c r="A1090" s="1">
        <f>'20250815_ETF_Options_Exhibits'!AC1090</f>
        <v/>
      </c>
      <c r="B1090" s="32">
        <f>'20250815_ETF_Options_Exhibits'!AD1090</f>
        <v/>
      </c>
      <c r="C1090" s="32">
        <f>'20250815_ETF_Options_Exhibits'!AE1090</f>
        <v/>
      </c>
    </row>
    <row r="1091">
      <c r="A1091" s="1">
        <f>'20250815_ETF_Options_Exhibits'!AC1091</f>
        <v/>
      </c>
      <c r="B1091" s="32">
        <f>'20250815_ETF_Options_Exhibits'!AD1091</f>
        <v/>
      </c>
      <c r="C1091" s="32">
        <f>'20250815_ETF_Options_Exhibits'!AE1091</f>
        <v/>
      </c>
    </row>
    <row r="1092">
      <c r="A1092" s="1">
        <f>'20250815_ETF_Options_Exhibits'!AC1092</f>
        <v/>
      </c>
      <c r="B1092" s="32">
        <f>'20250815_ETF_Options_Exhibits'!AD1092</f>
        <v/>
      </c>
      <c r="C1092" s="32">
        <f>'20250815_ETF_Options_Exhibits'!AE1092</f>
        <v/>
      </c>
    </row>
    <row r="1093">
      <c r="A1093" s="1">
        <f>'20250815_ETF_Options_Exhibits'!AC1093</f>
        <v/>
      </c>
      <c r="B1093" s="32">
        <f>'20250815_ETF_Options_Exhibits'!AD1093</f>
        <v/>
      </c>
      <c r="C1093" s="32">
        <f>'20250815_ETF_Options_Exhibits'!AE1093</f>
        <v/>
      </c>
    </row>
    <row r="1094">
      <c r="A1094" s="1">
        <f>'20250815_ETF_Options_Exhibits'!AC1094</f>
        <v/>
      </c>
      <c r="B1094" s="32">
        <f>'20250815_ETF_Options_Exhibits'!AD1094</f>
        <v/>
      </c>
      <c r="C1094" s="32">
        <f>'20250815_ETF_Options_Exhibits'!AE1094</f>
        <v/>
      </c>
    </row>
    <row r="1095">
      <c r="A1095" s="1">
        <f>'20250815_ETF_Options_Exhibits'!AC1095</f>
        <v/>
      </c>
      <c r="B1095" s="32">
        <f>'20250815_ETF_Options_Exhibits'!AD1095</f>
        <v/>
      </c>
      <c r="C1095" s="32">
        <f>'20250815_ETF_Options_Exhibits'!AE1095</f>
        <v/>
      </c>
    </row>
    <row r="1096">
      <c r="A1096" s="1">
        <f>'20250815_ETF_Options_Exhibits'!AC1096</f>
        <v/>
      </c>
      <c r="B1096" s="32">
        <f>'20250815_ETF_Options_Exhibits'!AD1096</f>
        <v/>
      </c>
      <c r="C1096" s="32">
        <f>'20250815_ETF_Options_Exhibits'!AE1096</f>
        <v/>
      </c>
    </row>
    <row r="1097">
      <c r="A1097" s="1">
        <f>'20250815_ETF_Options_Exhibits'!AC1097</f>
        <v/>
      </c>
      <c r="B1097" s="32">
        <f>'20250815_ETF_Options_Exhibits'!AD1097</f>
        <v/>
      </c>
      <c r="C1097" s="32">
        <f>'20250815_ETF_Options_Exhibits'!AE1097</f>
        <v/>
      </c>
    </row>
    <row r="1098">
      <c r="A1098" s="1">
        <f>'20250815_ETF_Options_Exhibits'!AC1098</f>
        <v/>
      </c>
      <c r="B1098" s="32">
        <f>'20250815_ETF_Options_Exhibits'!AD1098</f>
        <v/>
      </c>
      <c r="C1098" s="32">
        <f>'20250815_ETF_Options_Exhibits'!AE1098</f>
        <v/>
      </c>
    </row>
    <row r="1099">
      <c r="A1099" s="1">
        <f>'20250815_ETF_Options_Exhibits'!AC1099</f>
        <v/>
      </c>
      <c r="B1099" s="32">
        <f>'20250815_ETF_Options_Exhibits'!AD1099</f>
        <v/>
      </c>
      <c r="C1099" s="32">
        <f>'20250815_ETF_Options_Exhibits'!AE1099</f>
        <v/>
      </c>
    </row>
    <row r="1100">
      <c r="A1100" s="1">
        <f>'20250815_ETF_Options_Exhibits'!AC1100</f>
        <v/>
      </c>
      <c r="B1100" s="32">
        <f>'20250815_ETF_Options_Exhibits'!AD1100</f>
        <v/>
      </c>
      <c r="C1100" s="32">
        <f>'20250815_ETF_Options_Exhibits'!AE1100</f>
        <v/>
      </c>
    </row>
    <row r="1101">
      <c r="A1101" s="1">
        <f>'20250815_ETF_Options_Exhibits'!AC1101</f>
        <v/>
      </c>
      <c r="B1101" s="32">
        <f>'20250815_ETF_Options_Exhibits'!AD1101</f>
        <v/>
      </c>
      <c r="C1101" s="32">
        <f>'20250815_ETF_Options_Exhibits'!AE1101</f>
        <v/>
      </c>
    </row>
    <row r="1102">
      <c r="A1102" s="1">
        <f>'20250815_ETF_Options_Exhibits'!AC1102</f>
        <v/>
      </c>
      <c r="B1102" s="32">
        <f>'20250815_ETF_Options_Exhibits'!AD1102</f>
        <v/>
      </c>
      <c r="C1102" s="32">
        <f>'20250815_ETF_Options_Exhibits'!AE1102</f>
        <v/>
      </c>
    </row>
    <row r="1103">
      <c r="A1103" s="1">
        <f>'20250815_ETF_Options_Exhibits'!AC1103</f>
        <v/>
      </c>
      <c r="B1103" s="32">
        <f>'20250815_ETF_Options_Exhibits'!AD1103</f>
        <v/>
      </c>
      <c r="C1103" s="32">
        <f>'20250815_ETF_Options_Exhibits'!AE1103</f>
        <v/>
      </c>
    </row>
    <row r="1104">
      <c r="A1104" s="1">
        <f>'20250815_ETF_Options_Exhibits'!AC1104</f>
        <v/>
      </c>
      <c r="B1104" s="32">
        <f>'20250815_ETF_Options_Exhibits'!AD1104</f>
        <v/>
      </c>
      <c r="C1104" s="32">
        <f>'20250815_ETF_Options_Exhibits'!AE1104</f>
        <v/>
      </c>
    </row>
    <row r="1105">
      <c r="A1105" s="1">
        <f>'20250815_ETF_Options_Exhibits'!AC1105</f>
        <v/>
      </c>
      <c r="B1105" s="32">
        <f>'20250815_ETF_Options_Exhibits'!AD1105</f>
        <v/>
      </c>
      <c r="C1105" s="32">
        <f>'20250815_ETF_Options_Exhibits'!AE1105</f>
        <v/>
      </c>
    </row>
    <row r="1106">
      <c r="A1106" s="1">
        <f>'20250815_ETF_Options_Exhibits'!AC1106</f>
        <v/>
      </c>
      <c r="B1106" s="32">
        <f>'20250815_ETF_Options_Exhibits'!AD1106</f>
        <v/>
      </c>
      <c r="C1106" s="32">
        <f>'20250815_ETF_Options_Exhibits'!AE1106</f>
        <v/>
      </c>
    </row>
    <row r="1107">
      <c r="A1107" s="1">
        <f>'20250815_ETF_Options_Exhibits'!AC1107</f>
        <v/>
      </c>
      <c r="B1107" s="32">
        <f>'20250815_ETF_Options_Exhibits'!AD1107</f>
        <v/>
      </c>
      <c r="C1107" s="32">
        <f>'20250815_ETF_Options_Exhibits'!AE1107</f>
        <v/>
      </c>
    </row>
    <row r="1108">
      <c r="A1108" s="1">
        <f>'20250815_ETF_Options_Exhibits'!AC1108</f>
        <v/>
      </c>
      <c r="B1108" s="32">
        <f>'20250815_ETF_Options_Exhibits'!AD1108</f>
        <v/>
      </c>
      <c r="C1108" s="32">
        <f>'20250815_ETF_Options_Exhibits'!AE1108</f>
        <v/>
      </c>
    </row>
    <row r="1109">
      <c r="A1109" s="1">
        <f>'20250815_ETF_Options_Exhibits'!AC1109</f>
        <v/>
      </c>
      <c r="B1109" s="32">
        <f>'20250815_ETF_Options_Exhibits'!AD1109</f>
        <v/>
      </c>
      <c r="C1109" s="32">
        <f>'20250815_ETF_Options_Exhibits'!AE1109</f>
        <v/>
      </c>
    </row>
    <row r="1110">
      <c r="A1110" s="1">
        <f>'20250815_ETF_Options_Exhibits'!AC1110</f>
        <v/>
      </c>
      <c r="B1110" s="32">
        <f>'20250815_ETF_Options_Exhibits'!AD1110</f>
        <v/>
      </c>
      <c r="C1110" s="32">
        <f>'20250815_ETF_Options_Exhibits'!AE1110</f>
        <v/>
      </c>
    </row>
    <row r="1111">
      <c r="A1111" s="1">
        <f>'20250815_ETF_Options_Exhibits'!AC1111</f>
        <v/>
      </c>
      <c r="B1111" s="32">
        <f>'20250815_ETF_Options_Exhibits'!AD1111</f>
        <v/>
      </c>
      <c r="C1111" s="32">
        <f>'20250815_ETF_Options_Exhibits'!AE1111</f>
        <v/>
      </c>
    </row>
    <row r="1112">
      <c r="A1112" s="1">
        <f>'20250815_ETF_Options_Exhibits'!AC1112</f>
        <v/>
      </c>
      <c r="B1112" s="32">
        <f>'20250815_ETF_Options_Exhibits'!AD1112</f>
        <v/>
      </c>
      <c r="C1112" s="32">
        <f>'20250815_ETF_Options_Exhibits'!AE1112</f>
        <v/>
      </c>
    </row>
    <row r="1113">
      <c r="A1113" s="1">
        <f>'20250815_ETF_Options_Exhibits'!AC1113</f>
        <v/>
      </c>
      <c r="B1113" s="32">
        <f>'20250815_ETF_Options_Exhibits'!AD1113</f>
        <v/>
      </c>
      <c r="C1113" s="32">
        <f>'20250815_ETF_Options_Exhibits'!AE1113</f>
        <v/>
      </c>
    </row>
    <row r="1114">
      <c r="A1114" s="1">
        <f>'20250815_ETF_Options_Exhibits'!AC1114</f>
        <v/>
      </c>
      <c r="B1114" s="32">
        <f>'20250815_ETF_Options_Exhibits'!AD1114</f>
        <v/>
      </c>
      <c r="C1114" s="32">
        <f>'20250815_ETF_Options_Exhibits'!AE1114</f>
        <v/>
      </c>
    </row>
    <row r="1115">
      <c r="A1115" s="1">
        <f>'20250815_ETF_Options_Exhibits'!AC1115</f>
        <v/>
      </c>
      <c r="B1115" s="32">
        <f>'20250815_ETF_Options_Exhibits'!AD1115</f>
        <v/>
      </c>
      <c r="C1115" s="32">
        <f>'20250815_ETF_Options_Exhibits'!AE1115</f>
        <v/>
      </c>
    </row>
    <row r="1116">
      <c r="A1116" s="1">
        <f>'20250815_ETF_Options_Exhibits'!AC1116</f>
        <v/>
      </c>
      <c r="B1116" s="32">
        <f>'20250815_ETF_Options_Exhibits'!AD1116</f>
        <v/>
      </c>
      <c r="C1116" s="32">
        <f>'20250815_ETF_Options_Exhibits'!AE1116</f>
        <v/>
      </c>
    </row>
    <row r="1117">
      <c r="A1117" s="1">
        <f>'20250815_ETF_Options_Exhibits'!AC1117</f>
        <v/>
      </c>
      <c r="B1117" s="32">
        <f>'20250815_ETF_Options_Exhibits'!AD1117</f>
        <v/>
      </c>
      <c r="C1117" s="32">
        <f>'20250815_ETF_Options_Exhibits'!AE1117</f>
        <v/>
      </c>
    </row>
    <row r="1118">
      <c r="A1118" s="1">
        <f>'20250815_ETF_Options_Exhibits'!AC1118</f>
        <v/>
      </c>
      <c r="B1118" s="32">
        <f>'20250815_ETF_Options_Exhibits'!AD1118</f>
        <v/>
      </c>
      <c r="C1118" s="32">
        <f>'20250815_ETF_Options_Exhibits'!AE1118</f>
        <v/>
      </c>
    </row>
    <row r="1119">
      <c r="A1119" s="1">
        <f>'20250815_ETF_Options_Exhibits'!AC1119</f>
        <v/>
      </c>
      <c r="B1119" s="32">
        <f>'20250815_ETF_Options_Exhibits'!AD1119</f>
        <v/>
      </c>
      <c r="C1119" s="32">
        <f>'20250815_ETF_Options_Exhibits'!AE1119</f>
        <v/>
      </c>
    </row>
    <row r="1120">
      <c r="A1120" s="1">
        <f>'20250815_ETF_Options_Exhibits'!AC1120</f>
        <v/>
      </c>
      <c r="B1120" s="32">
        <f>'20250815_ETF_Options_Exhibits'!AD1120</f>
        <v/>
      </c>
      <c r="C1120" s="32">
        <f>'20250815_ETF_Options_Exhibits'!AE1120</f>
        <v/>
      </c>
    </row>
    <row r="1121">
      <c r="A1121" s="1">
        <f>'20250815_ETF_Options_Exhibits'!AC1121</f>
        <v/>
      </c>
      <c r="B1121" s="32">
        <f>'20250815_ETF_Options_Exhibits'!AD1121</f>
        <v/>
      </c>
      <c r="C1121" s="32">
        <f>'20250815_ETF_Options_Exhibits'!AE1121</f>
        <v/>
      </c>
    </row>
    <row r="1122">
      <c r="A1122" s="1">
        <f>'20250815_ETF_Options_Exhibits'!AC1122</f>
        <v/>
      </c>
      <c r="B1122" s="32">
        <f>'20250815_ETF_Options_Exhibits'!AD1122</f>
        <v/>
      </c>
      <c r="C1122" s="32">
        <f>'20250815_ETF_Options_Exhibits'!AE1122</f>
        <v/>
      </c>
    </row>
    <row r="1123">
      <c r="A1123" s="1">
        <f>'20250815_ETF_Options_Exhibits'!AC1123</f>
        <v/>
      </c>
      <c r="B1123" s="32">
        <f>'20250815_ETF_Options_Exhibits'!AD1123</f>
        <v/>
      </c>
      <c r="C1123" s="32">
        <f>'20250815_ETF_Options_Exhibits'!AE1123</f>
        <v/>
      </c>
    </row>
    <row r="1124">
      <c r="A1124" s="1">
        <f>'20250815_ETF_Options_Exhibits'!AC1124</f>
        <v/>
      </c>
      <c r="B1124" s="32">
        <f>'20250815_ETF_Options_Exhibits'!AD1124</f>
        <v/>
      </c>
      <c r="C1124" s="32">
        <f>'20250815_ETF_Options_Exhibits'!AE1124</f>
        <v/>
      </c>
    </row>
    <row r="1125">
      <c r="A1125" s="1">
        <f>'20250815_ETF_Options_Exhibits'!AC1125</f>
        <v/>
      </c>
      <c r="B1125" s="32">
        <f>'20250815_ETF_Options_Exhibits'!AD1125</f>
        <v/>
      </c>
      <c r="C1125" s="32">
        <f>'20250815_ETF_Options_Exhibits'!AE1125</f>
        <v/>
      </c>
    </row>
    <row r="1126">
      <c r="A1126" s="1">
        <f>'20250815_ETF_Options_Exhibits'!AC1126</f>
        <v/>
      </c>
      <c r="B1126" s="32">
        <f>'20250815_ETF_Options_Exhibits'!AD1126</f>
        <v/>
      </c>
      <c r="C1126" s="32">
        <f>'20250815_ETF_Options_Exhibits'!AE1126</f>
        <v/>
      </c>
    </row>
    <row r="1127">
      <c r="A1127" s="1">
        <f>'20250815_ETF_Options_Exhibits'!AC1127</f>
        <v/>
      </c>
      <c r="B1127" s="32">
        <f>'20250815_ETF_Options_Exhibits'!AD1127</f>
        <v/>
      </c>
      <c r="C1127" s="32">
        <f>'20250815_ETF_Options_Exhibits'!AE1127</f>
        <v/>
      </c>
    </row>
    <row r="1128">
      <c r="A1128" s="1">
        <f>'20250815_ETF_Options_Exhibits'!AC1128</f>
        <v/>
      </c>
      <c r="B1128" s="32">
        <f>'20250815_ETF_Options_Exhibits'!AD1128</f>
        <v/>
      </c>
      <c r="C1128" s="32">
        <f>'20250815_ETF_Options_Exhibits'!AE1128</f>
        <v/>
      </c>
    </row>
    <row r="1129">
      <c r="A1129" s="1">
        <f>'20250815_ETF_Options_Exhibits'!AC1129</f>
        <v/>
      </c>
      <c r="B1129" s="32">
        <f>'20250815_ETF_Options_Exhibits'!AD1129</f>
        <v/>
      </c>
      <c r="C1129" s="32">
        <f>'20250815_ETF_Options_Exhibits'!AE1129</f>
        <v/>
      </c>
    </row>
    <row r="1130">
      <c r="A1130" s="1">
        <f>'20250815_ETF_Options_Exhibits'!AC1130</f>
        <v/>
      </c>
      <c r="B1130" s="32">
        <f>'20250815_ETF_Options_Exhibits'!AD1130</f>
        <v/>
      </c>
      <c r="C1130" s="32">
        <f>'20250815_ETF_Options_Exhibits'!AE1130</f>
        <v/>
      </c>
    </row>
    <row r="1131">
      <c r="A1131" s="1">
        <f>'20250815_ETF_Options_Exhibits'!AC1131</f>
        <v/>
      </c>
      <c r="B1131" s="32">
        <f>'20250815_ETF_Options_Exhibits'!AD1131</f>
        <v/>
      </c>
      <c r="C1131" s="32">
        <f>'20250815_ETF_Options_Exhibits'!AE1131</f>
        <v/>
      </c>
    </row>
    <row r="1132">
      <c r="A1132" s="1">
        <f>'20250815_ETF_Options_Exhibits'!AC1132</f>
        <v/>
      </c>
      <c r="B1132" s="32">
        <f>'20250815_ETF_Options_Exhibits'!AD1132</f>
        <v/>
      </c>
      <c r="C1132" s="32">
        <f>'20250815_ETF_Options_Exhibits'!AE1132</f>
        <v/>
      </c>
    </row>
    <row r="1133">
      <c r="A1133" s="1">
        <f>'20250815_ETF_Options_Exhibits'!AC1133</f>
        <v/>
      </c>
      <c r="B1133" s="32">
        <f>'20250815_ETF_Options_Exhibits'!AD1133</f>
        <v/>
      </c>
      <c r="C1133" s="32">
        <f>'20250815_ETF_Options_Exhibits'!AE1133</f>
        <v/>
      </c>
    </row>
    <row r="1134">
      <c r="A1134" s="1">
        <f>'20250815_ETF_Options_Exhibits'!AC1134</f>
        <v/>
      </c>
      <c r="B1134" s="32">
        <f>'20250815_ETF_Options_Exhibits'!AD1134</f>
        <v/>
      </c>
      <c r="C1134" s="32">
        <f>'20250815_ETF_Options_Exhibits'!AE1134</f>
        <v/>
      </c>
    </row>
    <row r="1135">
      <c r="A1135" s="1">
        <f>'20250815_ETF_Options_Exhibits'!AC1135</f>
        <v/>
      </c>
      <c r="B1135" s="32">
        <f>'20250815_ETF_Options_Exhibits'!AD1135</f>
        <v/>
      </c>
      <c r="C1135" s="32">
        <f>'20250815_ETF_Options_Exhibits'!AE1135</f>
        <v/>
      </c>
    </row>
    <row r="1136">
      <c r="A1136" s="1">
        <f>'20250815_ETF_Options_Exhibits'!AC1136</f>
        <v/>
      </c>
      <c r="B1136" s="32">
        <f>'20250815_ETF_Options_Exhibits'!AD1136</f>
        <v/>
      </c>
      <c r="C1136" s="32">
        <f>'20250815_ETF_Options_Exhibits'!AE1136</f>
        <v/>
      </c>
    </row>
    <row r="1137">
      <c r="A1137" s="1">
        <f>'20250815_ETF_Options_Exhibits'!AC1137</f>
        <v/>
      </c>
      <c r="B1137" s="32">
        <f>'20250815_ETF_Options_Exhibits'!AD1137</f>
        <v/>
      </c>
      <c r="C1137" s="32">
        <f>'20250815_ETF_Options_Exhibits'!AE1137</f>
        <v/>
      </c>
    </row>
    <row r="1138">
      <c r="A1138" s="1">
        <f>'20250815_ETF_Options_Exhibits'!AC1138</f>
        <v/>
      </c>
      <c r="B1138" s="32">
        <f>'20250815_ETF_Options_Exhibits'!AD1138</f>
        <v/>
      </c>
      <c r="C1138" s="32">
        <f>'20250815_ETF_Options_Exhibits'!AE1138</f>
        <v/>
      </c>
    </row>
    <row r="1139">
      <c r="A1139" s="1">
        <f>'20250815_ETF_Options_Exhibits'!AC1139</f>
        <v/>
      </c>
      <c r="B1139" s="32">
        <f>'20250815_ETF_Options_Exhibits'!AD1139</f>
        <v/>
      </c>
      <c r="C1139" s="32">
        <f>'20250815_ETF_Options_Exhibits'!AE1139</f>
        <v/>
      </c>
    </row>
    <row r="1140">
      <c r="A1140" s="1">
        <f>'20250815_ETF_Options_Exhibits'!AC1140</f>
        <v/>
      </c>
      <c r="B1140" s="32">
        <f>'20250815_ETF_Options_Exhibits'!AD1140</f>
        <v/>
      </c>
      <c r="C1140" s="32">
        <f>'20250815_ETF_Options_Exhibits'!AE1140</f>
        <v/>
      </c>
    </row>
    <row r="1141">
      <c r="A1141" s="1">
        <f>'20250815_ETF_Options_Exhibits'!AC1141</f>
        <v/>
      </c>
      <c r="B1141" s="32">
        <f>'20250815_ETF_Options_Exhibits'!AD1141</f>
        <v/>
      </c>
      <c r="C1141" s="32">
        <f>'20250815_ETF_Options_Exhibits'!AE1141</f>
        <v/>
      </c>
    </row>
    <row r="1142">
      <c r="A1142" s="1">
        <f>'20250815_ETF_Options_Exhibits'!AC1142</f>
        <v/>
      </c>
      <c r="B1142" s="32">
        <f>'20250815_ETF_Options_Exhibits'!AD1142</f>
        <v/>
      </c>
      <c r="C1142" s="32">
        <f>'20250815_ETF_Options_Exhibits'!AE1142</f>
        <v/>
      </c>
    </row>
    <row r="1143">
      <c r="A1143" s="1">
        <f>'20250815_ETF_Options_Exhibits'!AC1143</f>
        <v/>
      </c>
      <c r="B1143" s="32">
        <f>'20250815_ETF_Options_Exhibits'!AD1143</f>
        <v/>
      </c>
      <c r="C1143" s="32">
        <f>'20250815_ETF_Options_Exhibits'!AE1143</f>
        <v/>
      </c>
    </row>
    <row r="1144">
      <c r="A1144" s="1">
        <f>'20250815_ETF_Options_Exhibits'!AC1144</f>
        <v/>
      </c>
      <c r="B1144" s="32">
        <f>'20250815_ETF_Options_Exhibits'!AD1144</f>
        <v/>
      </c>
      <c r="C1144" s="32">
        <f>'20250815_ETF_Options_Exhibits'!AE1144</f>
        <v/>
      </c>
    </row>
    <row r="1145">
      <c r="A1145" s="1">
        <f>'20250815_ETF_Options_Exhibits'!AC1145</f>
        <v/>
      </c>
      <c r="B1145" s="32">
        <f>'20250815_ETF_Options_Exhibits'!AD1145</f>
        <v/>
      </c>
      <c r="C1145" s="32">
        <f>'20250815_ETF_Options_Exhibits'!AE1145</f>
        <v/>
      </c>
    </row>
    <row r="1146">
      <c r="A1146" s="1">
        <f>'20250815_ETF_Options_Exhibits'!AC1146</f>
        <v/>
      </c>
      <c r="B1146" s="32">
        <f>'20250815_ETF_Options_Exhibits'!AD1146</f>
        <v/>
      </c>
      <c r="C1146" s="32">
        <f>'20250815_ETF_Options_Exhibits'!AE1146</f>
        <v/>
      </c>
    </row>
    <row r="1147">
      <c r="A1147" s="1">
        <f>'20250815_ETF_Options_Exhibits'!AC1147</f>
        <v/>
      </c>
      <c r="B1147" s="32">
        <f>'20250815_ETF_Options_Exhibits'!AD1147</f>
        <v/>
      </c>
      <c r="C1147" s="32">
        <f>'20250815_ETF_Options_Exhibits'!AE1147</f>
        <v/>
      </c>
    </row>
    <row r="1148">
      <c r="A1148" s="1">
        <f>'20250815_ETF_Options_Exhibits'!AC1148</f>
        <v/>
      </c>
      <c r="B1148" s="32">
        <f>'20250815_ETF_Options_Exhibits'!AD1148</f>
        <v/>
      </c>
      <c r="C1148" s="32">
        <f>'20250815_ETF_Options_Exhibits'!AE1148</f>
        <v/>
      </c>
    </row>
    <row r="1149">
      <c r="A1149" s="1">
        <f>'20250815_ETF_Options_Exhibits'!AC1149</f>
        <v/>
      </c>
      <c r="B1149" s="32">
        <f>'20250815_ETF_Options_Exhibits'!AD1149</f>
        <v/>
      </c>
      <c r="C1149" s="32">
        <f>'20250815_ETF_Options_Exhibits'!AE1149</f>
        <v/>
      </c>
    </row>
    <row r="1150">
      <c r="A1150" s="1">
        <f>'20250815_ETF_Options_Exhibits'!AC1150</f>
        <v/>
      </c>
      <c r="B1150" s="32">
        <f>'20250815_ETF_Options_Exhibits'!AD1150</f>
        <v/>
      </c>
      <c r="C1150" s="32">
        <f>'20250815_ETF_Options_Exhibits'!AE1150</f>
        <v/>
      </c>
    </row>
    <row r="1151">
      <c r="A1151" s="1">
        <f>'20250815_ETF_Options_Exhibits'!AC1151</f>
        <v/>
      </c>
      <c r="B1151" s="32">
        <f>'20250815_ETF_Options_Exhibits'!AD1151</f>
        <v/>
      </c>
      <c r="C1151" s="32">
        <f>'20250815_ETF_Options_Exhibits'!AE1151</f>
        <v/>
      </c>
    </row>
    <row r="1152">
      <c r="A1152" s="1">
        <f>'20250815_ETF_Options_Exhibits'!AC1152</f>
        <v/>
      </c>
      <c r="B1152" s="32">
        <f>'20250815_ETF_Options_Exhibits'!AD1152</f>
        <v/>
      </c>
      <c r="C1152" s="32">
        <f>'20250815_ETF_Options_Exhibits'!AE1152</f>
        <v/>
      </c>
    </row>
    <row r="1153">
      <c r="A1153" s="1">
        <f>'20250815_ETF_Options_Exhibits'!AC1153</f>
        <v/>
      </c>
      <c r="B1153" s="32">
        <f>'20250815_ETF_Options_Exhibits'!AD1153</f>
        <v/>
      </c>
      <c r="C1153" s="32">
        <f>'20250815_ETF_Options_Exhibits'!AE1153</f>
        <v/>
      </c>
    </row>
    <row r="1154">
      <c r="A1154" s="1">
        <f>'20250815_ETF_Options_Exhibits'!AC1154</f>
        <v/>
      </c>
      <c r="B1154" s="32">
        <f>'20250815_ETF_Options_Exhibits'!AD1154</f>
        <v/>
      </c>
      <c r="C1154" s="32">
        <f>'20250815_ETF_Options_Exhibits'!AE1154</f>
        <v/>
      </c>
    </row>
    <row r="1155">
      <c r="A1155" s="1">
        <f>'20250815_ETF_Options_Exhibits'!AC1155</f>
        <v/>
      </c>
      <c r="B1155" s="32">
        <f>'20250815_ETF_Options_Exhibits'!AD1155</f>
        <v/>
      </c>
      <c r="C1155" s="32">
        <f>'20250815_ETF_Options_Exhibits'!AE1155</f>
        <v/>
      </c>
    </row>
    <row r="1156">
      <c r="A1156" s="1">
        <f>'20250815_ETF_Options_Exhibits'!AC1156</f>
        <v/>
      </c>
      <c r="B1156" s="32">
        <f>'20250815_ETF_Options_Exhibits'!AD1156</f>
        <v/>
      </c>
      <c r="C1156" s="32">
        <f>'20250815_ETF_Options_Exhibits'!AE1156</f>
        <v/>
      </c>
    </row>
    <row r="1157">
      <c r="A1157" s="1">
        <f>'20250815_ETF_Options_Exhibits'!AC1157</f>
        <v/>
      </c>
      <c r="B1157" s="32">
        <f>'20250815_ETF_Options_Exhibits'!AD1157</f>
        <v/>
      </c>
      <c r="C1157" s="32">
        <f>'20250815_ETF_Options_Exhibits'!AE1157</f>
        <v/>
      </c>
    </row>
    <row r="1158">
      <c r="A1158" s="1">
        <f>'20250815_ETF_Options_Exhibits'!AC1158</f>
        <v/>
      </c>
      <c r="B1158" s="32">
        <f>'20250815_ETF_Options_Exhibits'!AD1158</f>
        <v/>
      </c>
      <c r="C1158" s="32">
        <f>'20250815_ETF_Options_Exhibits'!AE1158</f>
        <v/>
      </c>
    </row>
    <row r="1159">
      <c r="A1159" s="1">
        <f>'20250815_ETF_Options_Exhibits'!AC1159</f>
        <v/>
      </c>
      <c r="B1159" s="32">
        <f>'20250815_ETF_Options_Exhibits'!AD1159</f>
        <v/>
      </c>
      <c r="C1159" s="32">
        <f>'20250815_ETF_Options_Exhibits'!AE1159</f>
        <v/>
      </c>
    </row>
    <row r="1160">
      <c r="A1160" s="1">
        <f>'20250815_ETF_Options_Exhibits'!AC1160</f>
        <v/>
      </c>
      <c r="B1160" s="32">
        <f>'20250815_ETF_Options_Exhibits'!AD1160</f>
        <v/>
      </c>
      <c r="C1160" s="32">
        <f>'20250815_ETF_Options_Exhibits'!AE1160</f>
        <v/>
      </c>
    </row>
    <row r="1161">
      <c r="A1161" s="1">
        <f>'20250815_ETF_Options_Exhibits'!AC1161</f>
        <v/>
      </c>
      <c r="B1161" s="32">
        <f>'20250815_ETF_Options_Exhibits'!AD1161</f>
        <v/>
      </c>
      <c r="C1161" s="32">
        <f>'20250815_ETF_Options_Exhibits'!AE1161</f>
        <v/>
      </c>
    </row>
    <row r="1162">
      <c r="A1162" s="1">
        <f>'20250815_ETF_Options_Exhibits'!AC1162</f>
        <v/>
      </c>
      <c r="B1162" s="32">
        <f>'20250815_ETF_Options_Exhibits'!AD1162</f>
        <v/>
      </c>
      <c r="C1162" s="32">
        <f>'20250815_ETF_Options_Exhibits'!AE1162</f>
        <v/>
      </c>
    </row>
    <row r="1163">
      <c r="A1163" s="1">
        <f>'20250815_ETF_Options_Exhibits'!AC1163</f>
        <v/>
      </c>
      <c r="B1163" s="32">
        <f>'20250815_ETF_Options_Exhibits'!AD1163</f>
        <v/>
      </c>
      <c r="C1163" s="32">
        <f>'20250815_ETF_Options_Exhibits'!AE1163</f>
        <v/>
      </c>
    </row>
    <row r="1164">
      <c r="A1164" s="1">
        <f>'20250815_ETF_Options_Exhibits'!AC1164</f>
        <v/>
      </c>
      <c r="B1164" s="32">
        <f>'20250815_ETF_Options_Exhibits'!AD1164</f>
        <v/>
      </c>
      <c r="C1164" s="32">
        <f>'20250815_ETF_Options_Exhibits'!AE1164</f>
        <v/>
      </c>
    </row>
    <row r="1165">
      <c r="A1165" s="1">
        <f>'20250815_ETF_Options_Exhibits'!AC1165</f>
        <v/>
      </c>
      <c r="B1165" s="32">
        <f>'20250815_ETF_Options_Exhibits'!AD1165</f>
        <v/>
      </c>
      <c r="C1165" s="32">
        <f>'20250815_ETF_Options_Exhibits'!AE1165</f>
        <v/>
      </c>
    </row>
    <row r="1166">
      <c r="A1166" s="1">
        <f>'20250815_ETF_Options_Exhibits'!AC1166</f>
        <v/>
      </c>
      <c r="B1166" s="32">
        <f>'20250815_ETF_Options_Exhibits'!AD1166</f>
        <v/>
      </c>
      <c r="C1166" s="32">
        <f>'20250815_ETF_Options_Exhibits'!AE1166</f>
        <v/>
      </c>
    </row>
    <row r="1167">
      <c r="A1167" s="1">
        <f>'20250815_ETF_Options_Exhibits'!AC1167</f>
        <v/>
      </c>
      <c r="B1167" s="32">
        <f>'20250815_ETF_Options_Exhibits'!AD1167</f>
        <v/>
      </c>
      <c r="C1167" s="32">
        <f>'20250815_ETF_Options_Exhibits'!AE1167</f>
        <v/>
      </c>
    </row>
    <row r="1168">
      <c r="A1168" s="1">
        <f>'20250815_ETF_Options_Exhibits'!AC1168</f>
        <v/>
      </c>
      <c r="B1168" s="32">
        <f>'20250815_ETF_Options_Exhibits'!AD1168</f>
        <v/>
      </c>
      <c r="C1168" s="32">
        <f>'20250815_ETF_Options_Exhibits'!AE1168</f>
        <v/>
      </c>
    </row>
    <row r="1169">
      <c r="A1169" s="1">
        <f>'20250815_ETF_Options_Exhibits'!AC1169</f>
        <v/>
      </c>
      <c r="B1169" s="32">
        <f>'20250815_ETF_Options_Exhibits'!AD1169</f>
        <v/>
      </c>
      <c r="C1169" s="32">
        <f>'20250815_ETF_Options_Exhibits'!AE1169</f>
        <v/>
      </c>
    </row>
    <row r="1170">
      <c r="A1170" s="1">
        <f>'20250815_ETF_Options_Exhibits'!AC1170</f>
        <v/>
      </c>
      <c r="B1170" s="32">
        <f>'20250815_ETF_Options_Exhibits'!AD1170</f>
        <v/>
      </c>
      <c r="C1170" s="32">
        <f>'20250815_ETF_Options_Exhibits'!AE1170</f>
        <v/>
      </c>
    </row>
    <row r="1171">
      <c r="A1171" s="1">
        <f>'20250815_ETF_Options_Exhibits'!AC1171</f>
        <v/>
      </c>
      <c r="B1171" s="32">
        <f>'20250815_ETF_Options_Exhibits'!AD1171</f>
        <v/>
      </c>
      <c r="C1171" s="32">
        <f>'20250815_ETF_Options_Exhibits'!AE1171</f>
        <v/>
      </c>
    </row>
    <row r="1172">
      <c r="A1172" s="1">
        <f>'20250815_ETF_Options_Exhibits'!AC1172</f>
        <v/>
      </c>
      <c r="B1172" s="32">
        <f>'20250815_ETF_Options_Exhibits'!AD1172</f>
        <v/>
      </c>
      <c r="C1172" s="32">
        <f>'20250815_ETF_Options_Exhibits'!AE1172</f>
        <v/>
      </c>
    </row>
    <row r="1173">
      <c r="A1173" s="1">
        <f>'20250815_ETF_Options_Exhibits'!AC1173</f>
        <v/>
      </c>
      <c r="B1173" s="32">
        <f>'20250815_ETF_Options_Exhibits'!AD1173</f>
        <v/>
      </c>
      <c r="C1173" s="32">
        <f>'20250815_ETF_Options_Exhibits'!AE1173</f>
        <v/>
      </c>
    </row>
    <row r="1174">
      <c r="A1174" s="1">
        <f>'20250815_ETF_Options_Exhibits'!AC1174</f>
        <v/>
      </c>
      <c r="B1174" s="32">
        <f>'20250815_ETF_Options_Exhibits'!AD1174</f>
        <v/>
      </c>
      <c r="C1174" s="32">
        <f>'20250815_ETF_Options_Exhibits'!AE1174</f>
        <v/>
      </c>
    </row>
    <row r="1175">
      <c r="A1175" s="1">
        <f>'20250815_ETF_Options_Exhibits'!AC1175</f>
        <v/>
      </c>
      <c r="B1175" s="32">
        <f>'20250815_ETF_Options_Exhibits'!AD1175</f>
        <v/>
      </c>
      <c r="C1175" s="32">
        <f>'20250815_ETF_Options_Exhibits'!AE1175</f>
        <v/>
      </c>
    </row>
    <row r="1176">
      <c r="A1176" s="1">
        <f>'20250815_ETF_Options_Exhibits'!AC1176</f>
        <v/>
      </c>
      <c r="B1176" s="32">
        <f>'20250815_ETF_Options_Exhibits'!AD1176</f>
        <v/>
      </c>
      <c r="C1176" s="32">
        <f>'20250815_ETF_Options_Exhibits'!AE1176</f>
        <v/>
      </c>
    </row>
    <row r="1177">
      <c r="A1177" s="1">
        <f>'20250815_ETF_Options_Exhibits'!AC1177</f>
        <v/>
      </c>
      <c r="B1177" s="32">
        <f>'20250815_ETF_Options_Exhibits'!AD1177</f>
        <v/>
      </c>
      <c r="C1177" s="32">
        <f>'20250815_ETF_Options_Exhibits'!AE1177</f>
        <v/>
      </c>
    </row>
    <row r="1178">
      <c r="A1178" s="1">
        <f>'20250815_ETF_Options_Exhibits'!AC1178</f>
        <v/>
      </c>
      <c r="B1178" s="32">
        <f>'20250815_ETF_Options_Exhibits'!AD1178</f>
        <v/>
      </c>
      <c r="C1178" s="32">
        <f>'20250815_ETF_Options_Exhibits'!AE1178</f>
        <v/>
      </c>
    </row>
    <row r="1179">
      <c r="A1179" s="1">
        <f>'20250815_ETF_Options_Exhibits'!AC1179</f>
        <v/>
      </c>
      <c r="B1179" s="32">
        <f>'20250815_ETF_Options_Exhibits'!AD1179</f>
        <v/>
      </c>
      <c r="C1179" s="32">
        <f>'20250815_ETF_Options_Exhibits'!AE1179</f>
        <v/>
      </c>
    </row>
    <row r="1180">
      <c r="A1180" s="1">
        <f>'20250815_ETF_Options_Exhibits'!AC1180</f>
        <v/>
      </c>
      <c r="B1180" s="32">
        <f>'20250815_ETF_Options_Exhibits'!AD1180</f>
        <v/>
      </c>
      <c r="C1180" s="32">
        <f>'20250815_ETF_Options_Exhibits'!AE1180</f>
        <v/>
      </c>
    </row>
    <row r="1181">
      <c r="A1181" s="1">
        <f>'20250815_ETF_Options_Exhibits'!AC1181</f>
        <v/>
      </c>
      <c r="B1181" s="32">
        <f>'20250815_ETF_Options_Exhibits'!AD1181</f>
        <v/>
      </c>
      <c r="C1181" s="32">
        <f>'20250815_ETF_Options_Exhibits'!AE1181</f>
        <v/>
      </c>
    </row>
    <row r="1182">
      <c r="A1182" s="1">
        <f>'20250815_ETF_Options_Exhibits'!AC1182</f>
        <v/>
      </c>
      <c r="B1182" s="32">
        <f>'20250815_ETF_Options_Exhibits'!AD1182</f>
        <v/>
      </c>
      <c r="C1182" s="32">
        <f>'20250815_ETF_Options_Exhibits'!AE1182</f>
        <v/>
      </c>
    </row>
    <row r="1183">
      <c r="A1183" s="1">
        <f>'20250815_ETF_Options_Exhibits'!AC1183</f>
        <v/>
      </c>
      <c r="B1183" s="32">
        <f>'20250815_ETF_Options_Exhibits'!AD1183</f>
        <v/>
      </c>
      <c r="C1183" s="32">
        <f>'20250815_ETF_Options_Exhibits'!AE1183</f>
        <v/>
      </c>
    </row>
    <row r="1184">
      <c r="A1184" s="1">
        <f>'20250815_ETF_Options_Exhibits'!AC1184</f>
        <v/>
      </c>
      <c r="B1184" s="32">
        <f>'20250815_ETF_Options_Exhibits'!AD1184</f>
        <v/>
      </c>
      <c r="C1184" s="32">
        <f>'20250815_ETF_Options_Exhibits'!AE1184</f>
        <v/>
      </c>
    </row>
    <row r="1185">
      <c r="A1185" s="1">
        <f>'20250815_ETF_Options_Exhibits'!AC1185</f>
        <v/>
      </c>
      <c r="B1185" s="32">
        <f>'20250815_ETF_Options_Exhibits'!AD1185</f>
        <v/>
      </c>
      <c r="C1185" s="32">
        <f>'20250815_ETF_Options_Exhibits'!AE1185</f>
        <v/>
      </c>
    </row>
    <row r="1186">
      <c r="A1186" s="1">
        <f>'20250815_ETF_Options_Exhibits'!AC1186</f>
        <v/>
      </c>
      <c r="B1186" s="32">
        <f>'20250815_ETF_Options_Exhibits'!AD1186</f>
        <v/>
      </c>
      <c r="C1186" s="32">
        <f>'20250815_ETF_Options_Exhibits'!AE1186</f>
        <v/>
      </c>
    </row>
    <row r="1187">
      <c r="A1187" s="1">
        <f>'20250815_ETF_Options_Exhibits'!AC1187</f>
        <v/>
      </c>
      <c r="B1187" s="32">
        <f>'20250815_ETF_Options_Exhibits'!AD1187</f>
        <v/>
      </c>
      <c r="C1187" s="32">
        <f>'20250815_ETF_Options_Exhibits'!AE1187</f>
        <v/>
      </c>
    </row>
    <row r="1188">
      <c r="A1188" s="1">
        <f>'20250815_ETF_Options_Exhibits'!AC1188</f>
        <v/>
      </c>
      <c r="B1188" s="32">
        <f>'20250815_ETF_Options_Exhibits'!AD1188</f>
        <v/>
      </c>
      <c r="C1188" s="32">
        <f>'20250815_ETF_Options_Exhibits'!AE1188</f>
        <v/>
      </c>
    </row>
    <row r="1189">
      <c r="A1189" s="1">
        <f>'20250815_ETF_Options_Exhibits'!AC1189</f>
        <v/>
      </c>
      <c r="B1189" s="32">
        <f>'20250815_ETF_Options_Exhibits'!AD1189</f>
        <v/>
      </c>
      <c r="C1189" s="32">
        <f>'20250815_ETF_Options_Exhibits'!AE1189</f>
        <v/>
      </c>
    </row>
    <row r="1190">
      <c r="A1190" s="1">
        <f>'20250815_ETF_Options_Exhibits'!AC1190</f>
        <v/>
      </c>
      <c r="B1190" s="32">
        <f>'20250815_ETF_Options_Exhibits'!AD1190</f>
        <v/>
      </c>
      <c r="C1190" s="32">
        <f>'20250815_ETF_Options_Exhibits'!AE1190</f>
        <v/>
      </c>
    </row>
    <row r="1191">
      <c r="A1191" s="1">
        <f>'20250815_ETF_Options_Exhibits'!AC1191</f>
        <v/>
      </c>
      <c r="B1191" s="32">
        <f>'20250815_ETF_Options_Exhibits'!AD1191</f>
        <v/>
      </c>
      <c r="C1191" s="32">
        <f>'20250815_ETF_Options_Exhibits'!AE1191</f>
        <v/>
      </c>
    </row>
    <row r="1192">
      <c r="A1192" s="1">
        <f>'20250815_ETF_Options_Exhibits'!AC1192</f>
        <v/>
      </c>
      <c r="B1192" s="32">
        <f>'20250815_ETF_Options_Exhibits'!AD1192</f>
        <v/>
      </c>
      <c r="C1192" s="32">
        <f>'20250815_ETF_Options_Exhibits'!AE1192</f>
        <v/>
      </c>
    </row>
    <row r="1193">
      <c r="A1193" s="1">
        <f>'20250815_ETF_Options_Exhibits'!AC1193</f>
        <v/>
      </c>
      <c r="B1193" s="32">
        <f>'20250815_ETF_Options_Exhibits'!AD1193</f>
        <v/>
      </c>
      <c r="C1193" s="32">
        <f>'20250815_ETF_Options_Exhibits'!AE1193</f>
        <v/>
      </c>
    </row>
    <row r="1194">
      <c r="A1194" s="1">
        <f>'20250815_ETF_Options_Exhibits'!AC1194</f>
        <v/>
      </c>
      <c r="B1194" s="32">
        <f>'20250815_ETF_Options_Exhibits'!AD1194</f>
        <v/>
      </c>
      <c r="C1194" s="32">
        <f>'20250815_ETF_Options_Exhibits'!AE1194</f>
        <v/>
      </c>
    </row>
    <row r="1195">
      <c r="A1195" s="1">
        <f>'20250815_ETF_Options_Exhibits'!AC1195</f>
        <v/>
      </c>
      <c r="B1195" s="32">
        <f>'20250815_ETF_Options_Exhibits'!AD1195</f>
        <v/>
      </c>
      <c r="C1195" s="32">
        <f>'20250815_ETF_Options_Exhibits'!AE1195</f>
        <v/>
      </c>
    </row>
    <row r="1196">
      <c r="A1196" s="1">
        <f>'20250815_ETF_Options_Exhibits'!AC1196</f>
        <v/>
      </c>
      <c r="B1196" s="32">
        <f>'20250815_ETF_Options_Exhibits'!AD1196</f>
        <v/>
      </c>
      <c r="C1196" s="32">
        <f>'20250815_ETF_Options_Exhibits'!AE1196</f>
        <v/>
      </c>
    </row>
    <row r="1197">
      <c r="A1197" s="1">
        <f>'20250815_ETF_Options_Exhibits'!AC1197</f>
        <v/>
      </c>
      <c r="B1197" s="32">
        <f>'20250815_ETF_Options_Exhibits'!AD1197</f>
        <v/>
      </c>
      <c r="C1197" s="32">
        <f>'20250815_ETF_Options_Exhibits'!AE1197</f>
        <v/>
      </c>
    </row>
    <row r="1198">
      <c r="A1198" s="1">
        <f>'20250815_ETF_Options_Exhibits'!AC1198</f>
        <v/>
      </c>
      <c r="B1198" s="32">
        <f>'20250815_ETF_Options_Exhibits'!AD1198</f>
        <v/>
      </c>
      <c r="C1198" s="32">
        <f>'20250815_ETF_Options_Exhibits'!AE1198</f>
        <v/>
      </c>
    </row>
    <row r="1199">
      <c r="A1199" s="1">
        <f>'20250815_ETF_Options_Exhibits'!AC1199</f>
        <v/>
      </c>
      <c r="B1199" s="32">
        <f>'20250815_ETF_Options_Exhibits'!AD1199</f>
        <v/>
      </c>
      <c r="C1199" s="32">
        <f>'20250815_ETF_Options_Exhibits'!AE1199</f>
        <v/>
      </c>
    </row>
    <row r="1200">
      <c r="A1200" s="1">
        <f>'20250815_ETF_Options_Exhibits'!AC1200</f>
        <v/>
      </c>
      <c r="B1200" s="32">
        <f>'20250815_ETF_Options_Exhibits'!AD1200</f>
        <v/>
      </c>
      <c r="C1200" s="32">
        <f>'20250815_ETF_Options_Exhibits'!AE1200</f>
        <v/>
      </c>
    </row>
    <row r="1201">
      <c r="A1201" s="1">
        <f>'20250815_ETF_Options_Exhibits'!AC1201</f>
        <v/>
      </c>
      <c r="B1201" s="32">
        <f>'20250815_ETF_Options_Exhibits'!AD1201</f>
        <v/>
      </c>
      <c r="C1201" s="32">
        <f>'20250815_ETF_Options_Exhibits'!AE1201</f>
        <v/>
      </c>
    </row>
    <row r="1202">
      <c r="A1202" s="1">
        <f>'20250815_ETF_Options_Exhibits'!AC1202</f>
        <v/>
      </c>
      <c r="B1202" s="32">
        <f>'20250815_ETF_Options_Exhibits'!AD1202</f>
        <v/>
      </c>
      <c r="C1202" s="32">
        <f>'20250815_ETF_Options_Exhibits'!AE1202</f>
        <v/>
      </c>
    </row>
    <row r="1203">
      <c r="A1203" s="1">
        <f>'20250815_ETF_Options_Exhibits'!AC1203</f>
        <v/>
      </c>
      <c r="B1203" s="32">
        <f>'20250815_ETF_Options_Exhibits'!AD1203</f>
        <v/>
      </c>
      <c r="C1203" s="32">
        <f>'20250815_ETF_Options_Exhibits'!AE1203</f>
        <v/>
      </c>
    </row>
    <row r="1204">
      <c r="A1204" s="1">
        <f>'20250815_ETF_Options_Exhibits'!AC1204</f>
        <v/>
      </c>
      <c r="B1204" s="32">
        <f>'20250815_ETF_Options_Exhibits'!AD1204</f>
        <v/>
      </c>
      <c r="C1204" s="32">
        <f>'20250815_ETF_Options_Exhibits'!AE1204</f>
        <v/>
      </c>
    </row>
    <row r="1205">
      <c r="A1205" s="1">
        <f>'20250815_ETF_Options_Exhibits'!AC1205</f>
        <v/>
      </c>
      <c r="B1205" s="32">
        <f>'20250815_ETF_Options_Exhibits'!AD1205</f>
        <v/>
      </c>
      <c r="C1205" s="32">
        <f>'20250815_ETF_Options_Exhibits'!AE1205</f>
        <v/>
      </c>
    </row>
    <row r="1206">
      <c r="A1206" s="1">
        <f>'20250815_ETF_Options_Exhibits'!AC1206</f>
        <v/>
      </c>
      <c r="B1206" s="32">
        <f>'20250815_ETF_Options_Exhibits'!AD1206</f>
        <v/>
      </c>
      <c r="C1206" s="32">
        <f>'20250815_ETF_Options_Exhibits'!AE1206</f>
        <v/>
      </c>
    </row>
    <row r="1207">
      <c r="A1207" s="1">
        <f>'20250815_ETF_Options_Exhibits'!AC1207</f>
        <v/>
      </c>
      <c r="B1207" s="32">
        <f>'20250815_ETF_Options_Exhibits'!AD1207</f>
        <v/>
      </c>
      <c r="C1207" s="32">
        <f>'20250815_ETF_Options_Exhibits'!AE1207</f>
        <v/>
      </c>
    </row>
    <row r="1208">
      <c r="A1208" s="1">
        <f>'20250815_ETF_Options_Exhibits'!AC1208</f>
        <v/>
      </c>
      <c r="B1208" s="32">
        <f>'20250815_ETF_Options_Exhibits'!AD1208</f>
        <v/>
      </c>
      <c r="C1208" s="32">
        <f>'20250815_ETF_Options_Exhibits'!AE1208</f>
        <v/>
      </c>
    </row>
    <row r="1209">
      <c r="A1209" s="1">
        <f>'20250815_ETF_Options_Exhibits'!AC1209</f>
        <v/>
      </c>
      <c r="B1209" s="32">
        <f>'20250815_ETF_Options_Exhibits'!AD1209</f>
        <v/>
      </c>
      <c r="C1209" s="32">
        <f>'20250815_ETF_Options_Exhibits'!AE1209</f>
        <v/>
      </c>
    </row>
    <row r="1210">
      <c r="A1210" s="1">
        <f>'20250815_ETF_Options_Exhibits'!AC1210</f>
        <v/>
      </c>
      <c r="B1210" s="32">
        <f>'20250815_ETF_Options_Exhibits'!AD1210</f>
        <v/>
      </c>
      <c r="C1210" s="32">
        <f>'20250815_ETF_Options_Exhibits'!AE1210</f>
        <v/>
      </c>
    </row>
    <row r="1211">
      <c r="A1211" s="1">
        <f>'20250815_ETF_Options_Exhibits'!AC1211</f>
        <v/>
      </c>
      <c r="B1211" s="32">
        <f>'20250815_ETF_Options_Exhibits'!AD1211</f>
        <v/>
      </c>
      <c r="C1211" s="32">
        <f>'20250815_ETF_Options_Exhibits'!AE1211</f>
        <v/>
      </c>
    </row>
    <row r="1212">
      <c r="A1212" s="1">
        <f>'20250815_ETF_Options_Exhibits'!AC1212</f>
        <v/>
      </c>
      <c r="B1212" s="32">
        <f>'20250815_ETF_Options_Exhibits'!AD1212</f>
        <v/>
      </c>
      <c r="C1212" s="32">
        <f>'20250815_ETF_Options_Exhibits'!AE1212</f>
        <v/>
      </c>
    </row>
    <row r="1213">
      <c r="A1213" s="1">
        <f>'20250815_ETF_Options_Exhibits'!AC1213</f>
        <v/>
      </c>
      <c r="B1213" s="32">
        <f>'20250815_ETF_Options_Exhibits'!AD1213</f>
        <v/>
      </c>
      <c r="C1213" s="32">
        <f>'20250815_ETF_Options_Exhibits'!AE1213</f>
        <v/>
      </c>
    </row>
    <row r="1214">
      <c r="A1214" s="1">
        <f>'20250815_ETF_Options_Exhibits'!AC1214</f>
        <v/>
      </c>
      <c r="B1214" s="32">
        <f>'20250815_ETF_Options_Exhibits'!AD1214</f>
        <v/>
      </c>
      <c r="C1214" s="32">
        <f>'20250815_ETF_Options_Exhibits'!AE1214</f>
        <v/>
      </c>
    </row>
    <row r="1215">
      <c r="A1215" s="1">
        <f>'20250815_ETF_Options_Exhibits'!AC1215</f>
        <v/>
      </c>
      <c r="B1215" s="32">
        <f>'20250815_ETF_Options_Exhibits'!AD1215</f>
        <v/>
      </c>
      <c r="C1215" s="32">
        <f>'20250815_ETF_Options_Exhibits'!AE1215</f>
        <v/>
      </c>
    </row>
    <row r="1216">
      <c r="A1216" s="1">
        <f>'20250815_ETF_Options_Exhibits'!AC1216</f>
        <v/>
      </c>
      <c r="B1216" s="32">
        <f>'20250815_ETF_Options_Exhibits'!AD1216</f>
        <v/>
      </c>
      <c r="C1216" s="32">
        <f>'20250815_ETF_Options_Exhibits'!AE1216</f>
        <v/>
      </c>
    </row>
    <row r="1217">
      <c r="A1217" s="1">
        <f>'20250815_ETF_Options_Exhibits'!AC1217</f>
        <v/>
      </c>
      <c r="B1217" s="32">
        <f>'20250815_ETF_Options_Exhibits'!AD1217</f>
        <v/>
      </c>
      <c r="C1217" s="32">
        <f>'20250815_ETF_Options_Exhibits'!AE1217</f>
        <v/>
      </c>
    </row>
    <row r="1218">
      <c r="A1218" s="1">
        <f>'20250815_ETF_Options_Exhibits'!AC1218</f>
        <v/>
      </c>
      <c r="B1218" s="32">
        <f>'20250815_ETF_Options_Exhibits'!AD1218</f>
        <v/>
      </c>
      <c r="C1218" s="32">
        <f>'20250815_ETF_Options_Exhibits'!AE1218</f>
        <v/>
      </c>
    </row>
    <row r="1219">
      <c r="A1219" s="1">
        <f>'20250815_ETF_Options_Exhibits'!AC1219</f>
        <v/>
      </c>
      <c r="B1219" s="32">
        <f>'20250815_ETF_Options_Exhibits'!AD1219</f>
        <v/>
      </c>
      <c r="C1219" s="32">
        <f>'20250815_ETF_Options_Exhibits'!AE1219</f>
        <v/>
      </c>
    </row>
    <row r="1220">
      <c r="A1220" s="1">
        <f>'20250815_ETF_Options_Exhibits'!AC1220</f>
        <v/>
      </c>
      <c r="B1220" s="32">
        <f>'20250815_ETF_Options_Exhibits'!AD1220</f>
        <v/>
      </c>
      <c r="C1220" s="32">
        <f>'20250815_ETF_Options_Exhibits'!AE1220</f>
        <v/>
      </c>
    </row>
    <row r="1221">
      <c r="A1221" s="1">
        <f>'20250815_ETF_Options_Exhibits'!AC1221</f>
        <v/>
      </c>
      <c r="B1221" s="32">
        <f>'20250815_ETF_Options_Exhibits'!AD1221</f>
        <v/>
      </c>
      <c r="C1221" s="32">
        <f>'20250815_ETF_Options_Exhibits'!AE1221</f>
        <v/>
      </c>
    </row>
    <row r="1222">
      <c r="A1222" s="1">
        <f>'20250815_ETF_Options_Exhibits'!AC1222</f>
        <v/>
      </c>
      <c r="B1222" s="32">
        <f>'20250815_ETF_Options_Exhibits'!AD1222</f>
        <v/>
      </c>
      <c r="C1222" s="32">
        <f>'20250815_ETF_Options_Exhibits'!AE1222</f>
        <v/>
      </c>
    </row>
    <row r="1223">
      <c r="A1223" s="1">
        <f>'20250815_ETF_Options_Exhibits'!AC1223</f>
        <v/>
      </c>
      <c r="B1223" s="32">
        <f>'20250815_ETF_Options_Exhibits'!AD1223</f>
        <v/>
      </c>
      <c r="C1223" s="32">
        <f>'20250815_ETF_Options_Exhibits'!AE1223</f>
        <v/>
      </c>
    </row>
    <row r="1224">
      <c r="A1224" s="1">
        <f>'20250815_ETF_Options_Exhibits'!AC1224</f>
        <v/>
      </c>
      <c r="B1224" s="32">
        <f>'20250815_ETF_Options_Exhibits'!AD1224</f>
        <v/>
      </c>
      <c r="C1224" s="32">
        <f>'20250815_ETF_Options_Exhibits'!AE1224</f>
        <v/>
      </c>
    </row>
    <row r="1225">
      <c r="A1225" s="1">
        <f>'20250815_ETF_Options_Exhibits'!AC1225</f>
        <v/>
      </c>
      <c r="B1225" s="32">
        <f>'20250815_ETF_Options_Exhibits'!AD1225</f>
        <v/>
      </c>
      <c r="C1225" s="32">
        <f>'20250815_ETF_Options_Exhibits'!AE1225</f>
        <v/>
      </c>
    </row>
    <row r="1226">
      <c r="A1226" s="1">
        <f>'20250815_ETF_Options_Exhibits'!AC1226</f>
        <v/>
      </c>
      <c r="B1226" s="32">
        <f>'20250815_ETF_Options_Exhibits'!AD1226</f>
        <v/>
      </c>
      <c r="C1226" s="32">
        <f>'20250815_ETF_Options_Exhibits'!AE1226</f>
        <v/>
      </c>
    </row>
    <row r="1227">
      <c r="A1227" s="1">
        <f>'20250815_ETF_Options_Exhibits'!AC1227</f>
        <v/>
      </c>
      <c r="B1227" s="32">
        <f>'20250815_ETF_Options_Exhibits'!AD1227</f>
        <v/>
      </c>
      <c r="C1227" s="32">
        <f>'20250815_ETF_Options_Exhibits'!AE1227</f>
        <v/>
      </c>
    </row>
    <row r="1228">
      <c r="A1228" s="1">
        <f>'20250815_ETF_Options_Exhibits'!AC1228</f>
        <v/>
      </c>
      <c r="B1228" s="32">
        <f>'20250815_ETF_Options_Exhibits'!AD1228</f>
        <v/>
      </c>
      <c r="C1228" s="32">
        <f>'20250815_ETF_Options_Exhibits'!AE1228</f>
        <v/>
      </c>
    </row>
    <row r="1229">
      <c r="A1229" s="1">
        <f>'20250815_ETF_Options_Exhibits'!AC1229</f>
        <v/>
      </c>
      <c r="B1229" s="32">
        <f>'20250815_ETF_Options_Exhibits'!AD1229</f>
        <v/>
      </c>
      <c r="C1229" s="32">
        <f>'20250815_ETF_Options_Exhibits'!AE1229</f>
        <v/>
      </c>
    </row>
    <row r="1230">
      <c r="A1230" s="1">
        <f>'20250815_ETF_Options_Exhibits'!AC1230</f>
        <v/>
      </c>
      <c r="B1230" s="32">
        <f>'20250815_ETF_Options_Exhibits'!AD1230</f>
        <v/>
      </c>
      <c r="C1230" s="32">
        <f>'20250815_ETF_Options_Exhibits'!AE1230</f>
        <v/>
      </c>
    </row>
    <row r="1231">
      <c r="A1231" s="1">
        <f>'20250815_ETF_Options_Exhibits'!AC1231</f>
        <v/>
      </c>
      <c r="B1231" s="32">
        <f>'20250815_ETF_Options_Exhibits'!AD1231</f>
        <v/>
      </c>
      <c r="C1231" s="32">
        <f>'20250815_ETF_Options_Exhibits'!AE1231</f>
        <v/>
      </c>
    </row>
    <row r="1232">
      <c r="A1232" s="1">
        <f>'20250815_ETF_Options_Exhibits'!AC1232</f>
        <v/>
      </c>
      <c r="B1232" s="32">
        <f>'20250815_ETF_Options_Exhibits'!AD1232</f>
        <v/>
      </c>
      <c r="C1232" s="32">
        <f>'20250815_ETF_Options_Exhibits'!AE1232</f>
        <v/>
      </c>
    </row>
    <row r="1233">
      <c r="A1233" s="1">
        <f>'20250815_ETF_Options_Exhibits'!AC1233</f>
        <v/>
      </c>
      <c r="B1233" s="32">
        <f>'20250815_ETF_Options_Exhibits'!AD1233</f>
        <v/>
      </c>
      <c r="C1233" s="32">
        <f>'20250815_ETF_Options_Exhibits'!AE1233</f>
        <v/>
      </c>
    </row>
    <row r="1234">
      <c r="A1234" s="1">
        <f>'20250815_ETF_Options_Exhibits'!AC1234</f>
        <v/>
      </c>
      <c r="B1234" s="32">
        <f>'20250815_ETF_Options_Exhibits'!AD1234</f>
        <v/>
      </c>
      <c r="C1234" s="32">
        <f>'20250815_ETF_Options_Exhibits'!AE1234</f>
        <v/>
      </c>
    </row>
    <row r="1235">
      <c r="A1235" s="1">
        <f>'20250815_ETF_Options_Exhibits'!AC1235</f>
        <v/>
      </c>
      <c r="B1235" s="32">
        <f>'20250815_ETF_Options_Exhibits'!AD1235</f>
        <v/>
      </c>
      <c r="C1235" s="32">
        <f>'20250815_ETF_Options_Exhibits'!AE1235</f>
        <v/>
      </c>
    </row>
    <row r="1236">
      <c r="A1236" s="1">
        <f>'20250815_ETF_Options_Exhibits'!AC1236</f>
        <v/>
      </c>
      <c r="B1236" s="32">
        <f>'20250815_ETF_Options_Exhibits'!AD1236</f>
        <v/>
      </c>
      <c r="C1236" s="32">
        <f>'20250815_ETF_Options_Exhibits'!AE1236</f>
        <v/>
      </c>
    </row>
    <row r="1237">
      <c r="A1237" s="1">
        <f>'20250815_ETF_Options_Exhibits'!AC1237</f>
        <v/>
      </c>
      <c r="B1237" s="32">
        <f>'20250815_ETF_Options_Exhibits'!AD1237</f>
        <v/>
      </c>
      <c r="C1237" s="32">
        <f>'20250815_ETF_Options_Exhibits'!AE1237</f>
        <v/>
      </c>
    </row>
    <row r="1238">
      <c r="A1238" s="1">
        <f>'20250815_ETF_Options_Exhibits'!AC1238</f>
        <v/>
      </c>
      <c r="B1238" s="32">
        <f>'20250815_ETF_Options_Exhibits'!AD1238</f>
        <v/>
      </c>
      <c r="C1238" s="32">
        <f>'20250815_ETF_Options_Exhibits'!AE1238</f>
        <v/>
      </c>
    </row>
    <row r="1239">
      <c r="A1239" s="1">
        <f>'20250815_ETF_Options_Exhibits'!AC1239</f>
        <v/>
      </c>
      <c r="B1239" s="32">
        <f>'20250815_ETF_Options_Exhibits'!AD1239</f>
        <v/>
      </c>
      <c r="C1239" s="32">
        <f>'20250815_ETF_Options_Exhibits'!AE1239</f>
        <v/>
      </c>
    </row>
    <row r="1240">
      <c r="A1240" s="1">
        <f>'20250815_ETF_Options_Exhibits'!AC1240</f>
        <v/>
      </c>
      <c r="B1240" s="32">
        <f>'20250815_ETF_Options_Exhibits'!AD1240</f>
        <v/>
      </c>
      <c r="C1240" s="32">
        <f>'20250815_ETF_Options_Exhibits'!AE1240</f>
        <v/>
      </c>
    </row>
    <row r="1241">
      <c r="A1241" s="1">
        <f>'20250815_ETF_Options_Exhibits'!AC1241</f>
        <v/>
      </c>
      <c r="B1241" s="32">
        <f>'20250815_ETF_Options_Exhibits'!AD1241</f>
        <v/>
      </c>
      <c r="C1241" s="32">
        <f>'20250815_ETF_Options_Exhibits'!AE1241</f>
        <v/>
      </c>
    </row>
    <row r="1242">
      <c r="A1242" s="1">
        <f>'20250815_ETF_Options_Exhibits'!AC1242</f>
        <v/>
      </c>
      <c r="B1242" s="32">
        <f>'20250815_ETF_Options_Exhibits'!AD1242</f>
        <v/>
      </c>
      <c r="C1242" s="32">
        <f>'20250815_ETF_Options_Exhibits'!AE1242</f>
        <v/>
      </c>
    </row>
    <row r="1243">
      <c r="A1243" s="1">
        <f>'20250815_ETF_Options_Exhibits'!AC1243</f>
        <v/>
      </c>
      <c r="B1243" s="32">
        <f>'20250815_ETF_Options_Exhibits'!AD1243</f>
        <v/>
      </c>
      <c r="C1243" s="32">
        <f>'20250815_ETF_Options_Exhibits'!AE1243</f>
        <v/>
      </c>
    </row>
    <row r="1244">
      <c r="A1244" s="1">
        <f>'20250815_ETF_Options_Exhibits'!AC1244</f>
        <v/>
      </c>
      <c r="B1244" s="32">
        <f>'20250815_ETF_Options_Exhibits'!AD1244</f>
        <v/>
      </c>
      <c r="C1244" s="32">
        <f>'20250815_ETF_Options_Exhibits'!AE1244</f>
        <v/>
      </c>
    </row>
    <row r="1245">
      <c r="A1245" s="1">
        <f>'20250815_ETF_Options_Exhibits'!AC1245</f>
        <v/>
      </c>
      <c r="B1245" s="32">
        <f>'20250815_ETF_Options_Exhibits'!AD1245</f>
        <v/>
      </c>
      <c r="C1245" s="32">
        <f>'20250815_ETF_Options_Exhibits'!AE1245</f>
        <v/>
      </c>
    </row>
    <row r="1246">
      <c r="A1246" s="1">
        <f>'20250815_ETF_Options_Exhibits'!AC1246</f>
        <v/>
      </c>
      <c r="B1246" s="32">
        <f>'20250815_ETF_Options_Exhibits'!AD1246</f>
        <v/>
      </c>
      <c r="C1246" s="32">
        <f>'20250815_ETF_Options_Exhibits'!AE1246</f>
        <v/>
      </c>
    </row>
    <row r="1247">
      <c r="A1247" s="1">
        <f>'20250815_ETF_Options_Exhibits'!AC1247</f>
        <v/>
      </c>
      <c r="B1247" s="32">
        <f>'20250815_ETF_Options_Exhibits'!AD1247</f>
        <v/>
      </c>
      <c r="C1247" s="32">
        <f>'20250815_ETF_Options_Exhibits'!AE1247</f>
        <v/>
      </c>
    </row>
    <row r="1248">
      <c r="A1248" s="1">
        <f>'20250815_ETF_Options_Exhibits'!AC1248</f>
        <v/>
      </c>
      <c r="B1248" s="32">
        <f>'20250815_ETF_Options_Exhibits'!AD1248</f>
        <v/>
      </c>
      <c r="C1248" s="32">
        <f>'20250815_ETF_Options_Exhibits'!AE1248</f>
        <v/>
      </c>
    </row>
    <row r="1249">
      <c r="A1249" s="1">
        <f>'20250815_ETF_Options_Exhibits'!AC1249</f>
        <v/>
      </c>
      <c r="B1249" s="32">
        <f>'20250815_ETF_Options_Exhibits'!AD1249</f>
        <v/>
      </c>
      <c r="C1249" s="32">
        <f>'20250815_ETF_Options_Exhibits'!AE1249</f>
        <v/>
      </c>
    </row>
    <row r="1250">
      <c r="A1250" s="1">
        <f>'20250815_ETF_Options_Exhibits'!AC1250</f>
        <v/>
      </c>
      <c r="B1250" s="32">
        <f>'20250815_ETF_Options_Exhibits'!AD1250</f>
        <v/>
      </c>
      <c r="C1250" s="32">
        <f>'20250815_ETF_Options_Exhibits'!AE1250</f>
        <v/>
      </c>
    </row>
    <row r="1251">
      <c r="A1251" s="1">
        <f>'20250815_ETF_Options_Exhibits'!AC1251</f>
        <v/>
      </c>
      <c r="B1251" s="32">
        <f>'20250815_ETF_Options_Exhibits'!AD1251</f>
        <v/>
      </c>
      <c r="C1251" s="32">
        <f>'20250815_ETF_Options_Exhibits'!AE1251</f>
        <v/>
      </c>
    </row>
    <row r="1252">
      <c r="A1252" s="1">
        <f>'20250815_ETF_Options_Exhibits'!AC1252</f>
        <v/>
      </c>
      <c r="B1252" s="32">
        <f>'20250815_ETF_Options_Exhibits'!AD1252</f>
        <v/>
      </c>
      <c r="C1252" s="32">
        <f>'20250815_ETF_Options_Exhibits'!AE1252</f>
        <v/>
      </c>
    </row>
    <row r="1253">
      <c r="A1253" s="1">
        <f>'20250815_ETF_Options_Exhibits'!AC1253</f>
        <v/>
      </c>
      <c r="B1253" s="32">
        <f>'20250815_ETF_Options_Exhibits'!AD1253</f>
        <v/>
      </c>
      <c r="C1253" s="32">
        <f>'20250815_ETF_Options_Exhibits'!AE1253</f>
        <v/>
      </c>
    </row>
    <row r="1254">
      <c r="A1254" s="1">
        <f>'20250815_ETF_Options_Exhibits'!AC1254</f>
        <v/>
      </c>
      <c r="B1254" s="32">
        <f>'20250815_ETF_Options_Exhibits'!AD1254</f>
        <v/>
      </c>
      <c r="C1254" s="32">
        <f>'20250815_ETF_Options_Exhibits'!AE1254</f>
        <v/>
      </c>
    </row>
    <row r="1255">
      <c r="A1255" s="1">
        <f>'20250815_ETF_Options_Exhibits'!AC1255</f>
        <v/>
      </c>
      <c r="B1255" s="32">
        <f>'20250815_ETF_Options_Exhibits'!AD1255</f>
        <v/>
      </c>
      <c r="C1255" s="32">
        <f>'20250815_ETF_Options_Exhibits'!AE1255</f>
        <v/>
      </c>
    </row>
    <row r="1256">
      <c r="A1256" s="1">
        <f>'20250815_ETF_Options_Exhibits'!AC1256</f>
        <v/>
      </c>
      <c r="B1256" s="32">
        <f>'20250815_ETF_Options_Exhibits'!AD1256</f>
        <v/>
      </c>
      <c r="C1256" s="32">
        <f>'20250815_ETF_Options_Exhibits'!AE1256</f>
        <v/>
      </c>
    </row>
    <row r="1257">
      <c r="A1257" s="1">
        <f>'20250815_ETF_Options_Exhibits'!AC1257</f>
        <v/>
      </c>
      <c r="B1257" s="32">
        <f>'20250815_ETF_Options_Exhibits'!AD1257</f>
        <v/>
      </c>
      <c r="C1257" s="32">
        <f>'20250815_ETF_Options_Exhibits'!AE1257</f>
        <v/>
      </c>
    </row>
    <row r="1258">
      <c r="A1258" s="1">
        <f>'20250815_ETF_Options_Exhibits'!AC1258</f>
        <v/>
      </c>
      <c r="B1258" s="32">
        <f>'20250815_ETF_Options_Exhibits'!AD1258</f>
        <v/>
      </c>
      <c r="C1258" s="32">
        <f>'20250815_ETF_Options_Exhibits'!AE1258</f>
        <v/>
      </c>
    </row>
    <row r="1259">
      <c r="A1259" s="1">
        <f>'20250815_ETF_Options_Exhibits'!AC1259</f>
        <v/>
      </c>
      <c r="B1259" s="32">
        <f>'20250815_ETF_Options_Exhibits'!AD1259</f>
        <v/>
      </c>
      <c r="C1259" s="32">
        <f>'20250815_ETF_Options_Exhibits'!AE1259</f>
        <v/>
      </c>
    </row>
    <row r="1260">
      <c r="A1260" s="1">
        <f>'20250815_ETF_Options_Exhibits'!AC1260</f>
        <v/>
      </c>
      <c r="B1260" s="32">
        <f>'20250815_ETF_Options_Exhibits'!AD1260</f>
        <v/>
      </c>
      <c r="C1260" s="32">
        <f>'20250815_ETF_Options_Exhibits'!AE1260</f>
        <v/>
      </c>
    </row>
    <row r="1261">
      <c r="A1261" s="1">
        <f>'20250815_ETF_Options_Exhibits'!AC1261</f>
        <v/>
      </c>
      <c r="B1261" s="32">
        <f>'20250815_ETF_Options_Exhibits'!AD1261</f>
        <v/>
      </c>
      <c r="C1261" s="32">
        <f>'20250815_ETF_Options_Exhibits'!AE1261</f>
        <v/>
      </c>
    </row>
    <row r="1262">
      <c r="A1262" s="1">
        <f>'20250815_ETF_Options_Exhibits'!AC1262</f>
        <v/>
      </c>
      <c r="B1262" s="32">
        <f>'20250815_ETF_Options_Exhibits'!AD1262</f>
        <v/>
      </c>
      <c r="C1262" s="32">
        <f>'20250815_ETF_Options_Exhibits'!AE1262</f>
        <v/>
      </c>
    </row>
    <row r="1263">
      <c r="A1263" s="1">
        <f>'20250815_ETF_Options_Exhibits'!AC1263</f>
        <v/>
      </c>
      <c r="B1263" s="32">
        <f>'20250815_ETF_Options_Exhibits'!AD1263</f>
        <v/>
      </c>
      <c r="C1263" s="32">
        <f>'20250815_ETF_Options_Exhibits'!AE1263</f>
        <v/>
      </c>
    </row>
    <row r="1264">
      <c r="A1264" s="1">
        <f>'20250815_ETF_Options_Exhibits'!AC1264</f>
        <v/>
      </c>
      <c r="B1264" s="32">
        <f>'20250815_ETF_Options_Exhibits'!AD1264</f>
        <v/>
      </c>
      <c r="C1264" s="32">
        <f>'20250815_ETF_Options_Exhibits'!AE1264</f>
        <v/>
      </c>
    </row>
    <row r="1265">
      <c r="A1265" s="1">
        <f>'20250815_ETF_Options_Exhibits'!AC1265</f>
        <v/>
      </c>
      <c r="B1265" s="32">
        <f>'20250815_ETF_Options_Exhibits'!AD1265</f>
        <v/>
      </c>
      <c r="C1265" s="32">
        <f>'20250815_ETF_Options_Exhibits'!AE1265</f>
        <v/>
      </c>
    </row>
    <row r="1266">
      <c r="A1266" s="1">
        <f>'20250815_ETF_Options_Exhibits'!AC1266</f>
        <v/>
      </c>
      <c r="B1266" s="32">
        <f>'20250815_ETF_Options_Exhibits'!AD1266</f>
        <v/>
      </c>
      <c r="C1266" s="32">
        <f>'20250815_ETF_Options_Exhibits'!AE1266</f>
        <v/>
      </c>
    </row>
    <row r="1267">
      <c r="A1267" s="1">
        <f>'20250815_ETF_Options_Exhibits'!AC1267</f>
        <v/>
      </c>
      <c r="B1267" s="32">
        <f>'20250815_ETF_Options_Exhibits'!AD1267</f>
        <v/>
      </c>
      <c r="C1267" s="32">
        <f>'20250815_ETF_Options_Exhibits'!AE1267</f>
        <v/>
      </c>
    </row>
    <row r="1268">
      <c r="A1268" s="1">
        <f>'20250815_ETF_Options_Exhibits'!AC1268</f>
        <v/>
      </c>
      <c r="B1268" s="32">
        <f>'20250815_ETF_Options_Exhibits'!AD1268</f>
        <v/>
      </c>
      <c r="C1268" s="32">
        <f>'20250815_ETF_Options_Exhibits'!AE1268</f>
        <v/>
      </c>
    </row>
    <row r="1269">
      <c r="A1269" s="1">
        <f>'20250815_ETF_Options_Exhibits'!AC1269</f>
        <v/>
      </c>
      <c r="B1269" s="32">
        <f>'20250815_ETF_Options_Exhibits'!AD1269</f>
        <v/>
      </c>
      <c r="C1269" s="32">
        <f>'20250815_ETF_Options_Exhibits'!AE1269</f>
        <v/>
      </c>
    </row>
    <row r="1270">
      <c r="A1270" s="1">
        <f>'20250815_ETF_Options_Exhibits'!AC1270</f>
        <v/>
      </c>
      <c r="B1270" s="32">
        <f>'20250815_ETF_Options_Exhibits'!AD1270</f>
        <v/>
      </c>
      <c r="C1270" s="32">
        <f>'20250815_ETF_Options_Exhibits'!AE1270</f>
        <v/>
      </c>
    </row>
    <row r="1271">
      <c r="A1271" s="1">
        <f>'20250815_ETF_Options_Exhibits'!AC1271</f>
        <v/>
      </c>
      <c r="B1271" s="32">
        <f>'20250815_ETF_Options_Exhibits'!AD1271</f>
        <v/>
      </c>
      <c r="C1271" s="32">
        <f>'20250815_ETF_Options_Exhibits'!AE1271</f>
        <v/>
      </c>
    </row>
    <row r="1272">
      <c r="A1272" s="1">
        <f>'20250815_ETF_Options_Exhibits'!AC1272</f>
        <v/>
      </c>
      <c r="B1272" s="32">
        <f>'20250815_ETF_Options_Exhibits'!AD1272</f>
        <v/>
      </c>
      <c r="C1272" s="32">
        <f>'20250815_ETF_Options_Exhibits'!AE1272</f>
        <v/>
      </c>
    </row>
    <row r="1273">
      <c r="A1273" s="1">
        <f>'20250815_ETF_Options_Exhibits'!AC1273</f>
        <v/>
      </c>
      <c r="B1273" s="32">
        <f>'20250815_ETF_Options_Exhibits'!AD1273</f>
        <v/>
      </c>
      <c r="C1273" s="32">
        <f>'20250815_ETF_Options_Exhibits'!AE1273</f>
        <v/>
      </c>
    </row>
    <row r="1274">
      <c r="A1274" s="1">
        <f>'20250815_ETF_Options_Exhibits'!AC1274</f>
        <v/>
      </c>
      <c r="B1274" s="32">
        <f>'20250815_ETF_Options_Exhibits'!AD1274</f>
        <v/>
      </c>
      <c r="C1274" s="32">
        <f>'20250815_ETF_Options_Exhibits'!AE1274</f>
        <v/>
      </c>
    </row>
    <row r="1275">
      <c r="A1275" s="1">
        <f>'20250815_ETF_Options_Exhibits'!AC1275</f>
        <v/>
      </c>
      <c r="B1275" s="32">
        <f>'20250815_ETF_Options_Exhibits'!AD1275</f>
        <v/>
      </c>
      <c r="C1275" s="32">
        <f>'20250815_ETF_Options_Exhibits'!AE1275</f>
        <v/>
      </c>
    </row>
    <row r="1276">
      <c r="A1276" s="1">
        <f>'20250815_ETF_Options_Exhibits'!AC1276</f>
        <v/>
      </c>
      <c r="B1276" s="32">
        <f>'20250815_ETF_Options_Exhibits'!AD1276</f>
        <v/>
      </c>
      <c r="C1276" s="32">
        <f>'20250815_ETF_Options_Exhibits'!AE1276</f>
        <v/>
      </c>
    </row>
    <row r="1277">
      <c r="A1277" s="1">
        <f>'20250815_ETF_Options_Exhibits'!AC1277</f>
        <v/>
      </c>
      <c r="B1277" s="32">
        <f>'20250815_ETF_Options_Exhibits'!AD1277</f>
        <v/>
      </c>
      <c r="C1277" s="32">
        <f>'20250815_ETF_Options_Exhibits'!AE1277</f>
        <v/>
      </c>
    </row>
    <row r="1278">
      <c r="A1278" s="1">
        <f>'20250815_ETF_Options_Exhibits'!AC1278</f>
        <v/>
      </c>
      <c r="B1278" s="32">
        <f>'20250815_ETF_Options_Exhibits'!AD1278</f>
        <v/>
      </c>
      <c r="C1278" s="32">
        <f>'20250815_ETF_Options_Exhibits'!AE1278</f>
        <v/>
      </c>
    </row>
    <row r="1279">
      <c r="A1279" s="1">
        <f>'20250815_ETF_Options_Exhibits'!AC1279</f>
        <v/>
      </c>
      <c r="B1279" s="32">
        <f>'20250815_ETF_Options_Exhibits'!AD1279</f>
        <v/>
      </c>
      <c r="C1279" s="32">
        <f>'20250815_ETF_Options_Exhibits'!AE1279</f>
        <v/>
      </c>
    </row>
    <row r="1280">
      <c r="A1280" s="1">
        <f>'20250815_ETF_Options_Exhibits'!AC1280</f>
        <v/>
      </c>
      <c r="B1280" s="32">
        <f>'20250815_ETF_Options_Exhibits'!AD1280</f>
        <v/>
      </c>
      <c r="C1280" s="32">
        <f>'20250815_ETF_Options_Exhibits'!AE1280</f>
        <v/>
      </c>
    </row>
    <row r="1281">
      <c r="A1281" s="1">
        <f>'20250815_ETF_Options_Exhibits'!AC1281</f>
        <v/>
      </c>
      <c r="B1281" s="32">
        <f>'20250815_ETF_Options_Exhibits'!AD1281</f>
        <v/>
      </c>
      <c r="C1281" s="32">
        <f>'20250815_ETF_Options_Exhibits'!AE1281</f>
        <v/>
      </c>
    </row>
    <row r="1282">
      <c r="A1282" s="1">
        <f>'20250815_ETF_Options_Exhibits'!AC1282</f>
        <v/>
      </c>
      <c r="B1282" s="32">
        <f>'20250815_ETF_Options_Exhibits'!AD1282</f>
        <v/>
      </c>
      <c r="C1282" s="32">
        <f>'20250815_ETF_Options_Exhibits'!AE1282</f>
        <v/>
      </c>
    </row>
    <row r="1283">
      <c r="A1283" s="1">
        <f>'20250815_ETF_Options_Exhibits'!AC1283</f>
        <v/>
      </c>
      <c r="B1283" s="32">
        <f>'20250815_ETF_Options_Exhibits'!AD1283</f>
        <v/>
      </c>
      <c r="C1283" s="32">
        <f>'20250815_ETF_Options_Exhibits'!AE1283</f>
        <v/>
      </c>
    </row>
    <row r="1284">
      <c r="A1284" s="1">
        <f>'20250815_ETF_Options_Exhibits'!AC1284</f>
        <v/>
      </c>
      <c r="B1284" s="32">
        <f>'20250815_ETF_Options_Exhibits'!AD1284</f>
        <v/>
      </c>
      <c r="C1284" s="32">
        <f>'20250815_ETF_Options_Exhibits'!AE1284</f>
        <v/>
      </c>
    </row>
    <row r="1285">
      <c r="A1285" s="1">
        <f>'20250815_ETF_Options_Exhibits'!AC1285</f>
        <v/>
      </c>
      <c r="B1285" s="32">
        <f>'20250815_ETF_Options_Exhibits'!AD1285</f>
        <v/>
      </c>
      <c r="C1285" s="32">
        <f>'20250815_ETF_Options_Exhibits'!AE1285</f>
        <v/>
      </c>
    </row>
    <row r="1286">
      <c r="A1286" s="1">
        <f>'20250815_ETF_Options_Exhibits'!AC1286</f>
        <v/>
      </c>
      <c r="B1286" s="32">
        <f>'20250815_ETF_Options_Exhibits'!AD1286</f>
        <v/>
      </c>
      <c r="C1286" s="32">
        <f>'20250815_ETF_Options_Exhibits'!AE1286</f>
        <v/>
      </c>
    </row>
    <row r="1287">
      <c r="A1287" s="1">
        <f>'20250815_ETF_Options_Exhibits'!AC1287</f>
        <v/>
      </c>
      <c r="B1287" s="32">
        <f>'20250815_ETF_Options_Exhibits'!AD1287</f>
        <v/>
      </c>
      <c r="C1287" s="32">
        <f>'20250815_ETF_Options_Exhibits'!AE1287</f>
        <v/>
      </c>
    </row>
    <row r="1288">
      <c r="A1288" s="1">
        <f>'20250815_ETF_Options_Exhibits'!AC1288</f>
        <v/>
      </c>
      <c r="B1288" s="32">
        <f>'20250815_ETF_Options_Exhibits'!AD1288</f>
        <v/>
      </c>
      <c r="C1288" s="32">
        <f>'20250815_ETF_Options_Exhibits'!AE1288</f>
        <v/>
      </c>
    </row>
    <row r="1289">
      <c r="A1289" s="1">
        <f>'20250815_ETF_Options_Exhibits'!AC1289</f>
        <v/>
      </c>
      <c r="B1289" s="32">
        <f>'20250815_ETF_Options_Exhibits'!AD1289</f>
        <v/>
      </c>
      <c r="C1289" s="32">
        <f>'20250815_ETF_Options_Exhibits'!AE1289</f>
        <v/>
      </c>
    </row>
    <row r="1290">
      <c r="A1290" s="1">
        <f>'20250815_ETF_Options_Exhibits'!AC1290</f>
        <v/>
      </c>
      <c r="B1290" s="32">
        <f>'20250815_ETF_Options_Exhibits'!AD1290</f>
        <v/>
      </c>
      <c r="C1290" s="32">
        <f>'20250815_ETF_Options_Exhibits'!AE1290</f>
        <v/>
      </c>
    </row>
    <row r="1291">
      <c r="A1291" s="1">
        <f>'20250815_ETF_Options_Exhibits'!AC1291</f>
        <v/>
      </c>
      <c r="B1291" s="32">
        <f>'20250815_ETF_Options_Exhibits'!AD1291</f>
        <v/>
      </c>
      <c r="C1291" s="32">
        <f>'20250815_ETF_Options_Exhibits'!AE1291</f>
        <v/>
      </c>
    </row>
    <row r="1292">
      <c r="A1292" s="1">
        <f>'20250815_ETF_Options_Exhibits'!AC1292</f>
        <v/>
      </c>
      <c r="B1292" s="32">
        <f>'20250815_ETF_Options_Exhibits'!AD1292</f>
        <v/>
      </c>
      <c r="C1292" s="32">
        <f>'20250815_ETF_Options_Exhibits'!AE1292</f>
        <v/>
      </c>
    </row>
    <row r="1293">
      <c r="A1293" s="1">
        <f>'20250815_ETF_Options_Exhibits'!AC1293</f>
        <v/>
      </c>
      <c r="B1293" s="32">
        <f>'20250815_ETF_Options_Exhibits'!AD1293</f>
        <v/>
      </c>
      <c r="C1293" s="32">
        <f>'20250815_ETF_Options_Exhibits'!AE1293</f>
        <v/>
      </c>
    </row>
    <row r="1294">
      <c r="A1294" s="1">
        <f>'20250815_ETF_Options_Exhibits'!AC1294</f>
        <v/>
      </c>
      <c r="B1294" s="32">
        <f>'20250815_ETF_Options_Exhibits'!AD1294</f>
        <v/>
      </c>
      <c r="C1294" s="32">
        <f>'20250815_ETF_Options_Exhibits'!AE1294</f>
        <v/>
      </c>
    </row>
    <row r="1295">
      <c r="A1295" s="1">
        <f>'20250815_ETF_Options_Exhibits'!AC1295</f>
        <v/>
      </c>
      <c r="B1295" s="32">
        <f>'20250815_ETF_Options_Exhibits'!AD1295</f>
        <v/>
      </c>
      <c r="C1295" s="32">
        <f>'20250815_ETF_Options_Exhibits'!AE1295</f>
        <v/>
      </c>
    </row>
    <row r="1296">
      <c r="A1296" s="1">
        <f>'20250815_ETF_Options_Exhibits'!AC1296</f>
        <v/>
      </c>
      <c r="B1296" s="32">
        <f>'20250815_ETF_Options_Exhibits'!AD1296</f>
        <v/>
      </c>
      <c r="C1296" s="32">
        <f>'20250815_ETF_Options_Exhibits'!AE1296</f>
        <v/>
      </c>
    </row>
    <row r="1297">
      <c r="A1297" s="1">
        <f>'20250815_ETF_Options_Exhibits'!AC1297</f>
        <v/>
      </c>
      <c r="B1297" s="32">
        <f>'20250815_ETF_Options_Exhibits'!AD1297</f>
        <v/>
      </c>
      <c r="C1297" s="32">
        <f>'20250815_ETF_Options_Exhibits'!AE1297</f>
        <v/>
      </c>
    </row>
    <row r="1298">
      <c r="A1298" s="1">
        <f>'20250815_ETF_Options_Exhibits'!AC1298</f>
        <v/>
      </c>
      <c r="B1298" s="32">
        <f>'20250815_ETF_Options_Exhibits'!AD1298</f>
        <v/>
      </c>
      <c r="C1298" s="32">
        <f>'20250815_ETF_Options_Exhibits'!AE1298</f>
        <v/>
      </c>
    </row>
    <row r="1299">
      <c r="A1299" s="1">
        <f>'20250815_ETF_Options_Exhibits'!AC1299</f>
        <v/>
      </c>
      <c r="B1299" s="32">
        <f>'20250815_ETF_Options_Exhibits'!AD1299</f>
        <v/>
      </c>
      <c r="C1299" s="32">
        <f>'20250815_ETF_Options_Exhibits'!AE1299</f>
        <v/>
      </c>
    </row>
    <row r="1300">
      <c r="A1300" s="1">
        <f>'20250815_ETF_Options_Exhibits'!AC1300</f>
        <v/>
      </c>
      <c r="B1300" s="32">
        <f>'20250815_ETF_Options_Exhibits'!AD1300</f>
        <v/>
      </c>
      <c r="C1300" s="32">
        <f>'20250815_ETF_Options_Exhibits'!AE1300</f>
        <v/>
      </c>
    </row>
    <row r="1301">
      <c r="A1301" s="1">
        <f>'20250815_ETF_Options_Exhibits'!AC1301</f>
        <v/>
      </c>
      <c r="B1301" s="32">
        <f>'20250815_ETF_Options_Exhibits'!AD1301</f>
        <v/>
      </c>
      <c r="C1301" s="32">
        <f>'20250815_ETF_Options_Exhibits'!AE1301</f>
        <v/>
      </c>
    </row>
    <row r="1302">
      <c r="A1302" s="1">
        <f>'20250815_ETF_Options_Exhibits'!AC1302</f>
        <v/>
      </c>
      <c r="B1302" s="32">
        <f>'20250815_ETF_Options_Exhibits'!AD1302</f>
        <v/>
      </c>
      <c r="C1302" s="32">
        <f>'20250815_ETF_Options_Exhibits'!AE1302</f>
        <v/>
      </c>
    </row>
    <row r="1303">
      <c r="A1303" s="1">
        <f>'20250815_ETF_Options_Exhibits'!AC1303</f>
        <v/>
      </c>
      <c r="B1303" s="32">
        <f>'20250815_ETF_Options_Exhibits'!AD1303</f>
        <v/>
      </c>
      <c r="C1303" s="32">
        <f>'20250815_ETF_Options_Exhibits'!AE1303</f>
        <v/>
      </c>
    </row>
    <row r="1304">
      <c r="A1304" s="1">
        <f>'20250815_ETF_Options_Exhibits'!AC1304</f>
        <v/>
      </c>
      <c r="B1304" s="32">
        <f>'20250815_ETF_Options_Exhibits'!AD1304</f>
        <v/>
      </c>
      <c r="C1304" s="32">
        <f>'20250815_ETF_Options_Exhibits'!AE1304</f>
        <v/>
      </c>
    </row>
    <row r="1305">
      <c r="A1305" s="1">
        <f>'20250815_ETF_Options_Exhibits'!AC1305</f>
        <v/>
      </c>
      <c r="B1305" s="32">
        <f>'20250815_ETF_Options_Exhibits'!AD1305</f>
        <v/>
      </c>
      <c r="C1305" s="32">
        <f>'20250815_ETF_Options_Exhibits'!AE1305</f>
        <v/>
      </c>
    </row>
    <row r="1306">
      <c r="A1306" s="1">
        <f>'20250815_ETF_Options_Exhibits'!AC1306</f>
        <v/>
      </c>
      <c r="B1306" s="32">
        <f>'20250815_ETF_Options_Exhibits'!AD1306</f>
        <v/>
      </c>
      <c r="C1306" s="32">
        <f>'20250815_ETF_Options_Exhibits'!AE1306</f>
        <v/>
      </c>
    </row>
    <row r="1307">
      <c r="A1307" s="1">
        <f>'20250815_ETF_Options_Exhibits'!AC1307</f>
        <v/>
      </c>
      <c r="B1307" s="32">
        <f>'20250815_ETF_Options_Exhibits'!AD1307</f>
        <v/>
      </c>
      <c r="C1307" s="32">
        <f>'20250815_ETF_Options_Exhibits'!AE1307</f>
        <v/>
      </c>
    </row>
    <row r="1308">
      <c r="A1308" s="1">
        <f>'20250815_ETF_Options_Exhibits'!AC1308</f>
        <v/>
      </c>
      <c r="B1308" s="32">
        <f>'20250815_ETF_Options_Exhibits'!AD1308</f>
        <v/>
      </c>
      <c r="C1308" s="32">
        <f>'20250815_ETF_Options_Exhibits'!AE1308</f>
        <v/>
      </c>
    </row>
    <row r="1309">
      <c r="A1309" s="1">
        <f>'20250815_ETF_Options_Exhibits'!AC1309</f>
        <v/>
      </c>
      <c r="B1309" s="32">
        <f>'20250815_ETF_Options_Exhibits'!AD1309</f>
        <v/>
      </c>
      <c r="C1309" s="32">
        <f>'20250815_ETF_Options_Exhibits'!AE1309</f>
        <v/>
      </c>
    </row>
    <row r="1310">
      <c r="A1310" s="1">
        <f>'20250815_ETF_Options_Exhibits'!AC1310</f>
        <v/>
      </c>
      <c r="B1310" s="32">
        <f>'20250815_ETF_Options_Exhibits'!AD1310</f>
        <v/>
      </c>
      <c r="C1310" s="32">
        <f>'20250815_ETF_Options_Exhibits'!AE1310</f>
        <v/>
      </c>
    </row>
    <row r="1311">
      <c r="A1311" s="1">
        <f>'20250815_ETF_Options_Exhibits'!AC1311</f>
        <v/>
      </c>
      <c r="B1311" s="32">
        <f>'20250815_ETF_Options_Exhibits'!AD1311</f>
        <v/>
      </c>
      <c r="C1311" s="32">
        <f>'20250815_ETF_Options_Exhibits'!AE1311</f>
        <v/>
      </c>
    </row>
    <row r="1312">
      <c r="A1312" s="1">
        <f>'20250815_ETF_Options_Exhibits'!AC1312</f>
        <v/>
      </c>
      <c r="B1312" s="32">
        <f>'20250815_ETF_Options_Exhibits'!AD1312</f>
        <v/>
      </c>
      <c r="C1312" s="32">
        <f>'20250815_ETF_Options_Exhibits'!AE1312</f>
        <v/>
      </c>
    </row>
    <row r="1313">
      <c r="A1313" s="1">
        <f>'20250815_ETF_Options_Exhibits'!AC1313</f>
        <v/>
      </c>
      <c r="B1313" s="32">
        <f>'20250815_ETF_Options_Exhibits'!AD1313</f>
        <v/>
      </c>
      <c r="C1313" s="32">
        <f>'20250815_ETF_Options_Exhibits'!AE1313</f>
        <v/>
      </c>
    </row>
    <row r="1314">
      <c r="A1314" s="1">
        <f>'20250815_ETF_Options_Exhibits'!AC1314</f>
        <v/>
      </c>
      <c r="B1314" s="32">
        <f>'20250815_ETF_Options_Exhibits'!AD1314</f>
        <v/>
      </c>
      <c r="C1314" s="32">
        <f>'20250815_ETF_Options_Exhibits'!AE1314</f>
        <v/>
      </c>
    </row>
    <row r="1315">
      <c r="A1315" s="1">
        <f>'20250815_ETF_Options_Exhibits'!AC1315</f>
        <v/>
      </c>
      <c r="B1315" s="32">
        <f>'20250815_ETF_Options_Exhibits'!AD1315</f>
        <v/>
      </c>
      <c r="C1315" s="32">
        <f>'20250815_ETF_Options_Exhibits'!AE1315</f>
        <v/>
      </c>
    </row>
    <row r="1316">
      <c r="A1316" s="1">
        <f>'20250815_ETF_Options_Exhibits'!AC1316</f>
        <v/>
      </c>
      <c r="B1316" s="32">
        <f>'20250815_ETF_Options_Exhibits'!AD1316</f>
        <v/>
      </c>
      <c r="C1316" s="32">
        <f>'20250815_ETF_Options_Exhibits'!AE1316</f>
        <v/>
      </c>
    </row>
    <row r="1317">
      <c r="A1317" s="1">
        <f>'20250815_ETF_Options_Exhibits'!AC1317</f>
        <v/>
      </c>
      <c r="B1317" s="32">
        <f>'20250815_ETF_Options_Exhibits'!AD1317</f>
        <v/>
      </c>
      <c r="C1317" s="32">
        <f>'20250815_ETF_Options_Exhibits'!AE1317</f>
        <v/>
      </c>
    </row>
    <row r="1318">
      <c r="A1318" s="1">
        <f>'20250815_ETF_Options_Exhibits'!AC1318</f>
        <v/>
      </c>
      <c r="B1318" s="32">
        <f>'20250815_ETF_Options_Exhibits'!AD1318</f>
        <v/>
      </c>
      <c r="C1318" s="32">
        <f>'20250815_ETF_Options_Exhibits'!AE1318</f>
        <v/>
      </c>
    </row>
    <row r="1319">
      <c r="A1319" s="1">
        <f>'20250815_ETF_Options_Exhibits'!AC1319</f>
        <v/>
      </c>
      <c r="B1319" s="32">
        <f>'20250815_ETF_Options_Exhibits'!AD1319</f>
        <v/>
      </c>
      <c r="C1319" s="32">
        <f>'20250815_ETF_Options_Exhibits'!AE1319</f>
        <v/>
      </c>
    </row>
    <row r="1320">
      <c r="A1320" s="1">
        <f>'20250815_ETF_Options_Exhibits'!AC1320</f>
        <v/>
      </c>
      <c r="B1320" s="32">
        <f>'20250815_ETF_Options_Exhibits'!AD1320</f>
        <v/>
      </c>
      <c r="C1320" s="32">
        <f>'20250815_ETF_Options_Exhibits'!AE1320</f>
        <v/>
      </c>
    </row>
    <row r="1321">
      <c r="A1321" s="1">
        <f>'20250815_ETF_Options_Exhibits'!AC1321</f>
        <v/>
      </c>
      <c r="B1321" s="32">
        <f>'20250815_ETF_Options_Exhibits'!AD1321</f>
        <v/>
      </c>
      <c r="C1321" s="32">
        <f>'20250815_ETF_Options_Exhibits'!AE1321</f>
        <v/>
      </c>
    </row>
    <row r="1322">
      <c r="A1322" s="1">
        <f>'20250815_ETF_Options_Exhibits'!AC1322</f>
        <v/>
      </c>
      <c r="B1322" s="32">
        <f>'20250815_ETF_Options_Exhibits'!AD1322</f>
        <v/>
      </c>
      <c r="C1322" s="32">
        <f>'20250815_ETF_Options_Exhibits'!AE1322</f>
        <v/>
      </c>
    </row>
    <row r="1323">
      <c r="A1323" s="1">
        <f>'20250815_ETF_Options_Exhibits'!AC1323</f>
        <v/>
      </c>
      <c r="B1323" s="32">
        <f>'20250815_ETF_Options_Exhibits'!AD1323</f>
        <v/>
      </c>
      <c r="C1323" s="32">
        <f>'20250815_ETF_Options_Exhibits'!AE1323</f>
        <v/>
      </c>
    </row>
    <row r="1324">
      <c r="A1324" s="1">
        <f>'20250815_ETF_Options_Exhibits'!AC1324</f>
        <v/>
      </c>
      <c r="B1324" s="32">
        <f>'20250815_ETF_Options_Exhibits'!AD1324</f>
        <v/>
      </c>
      <c r="C1324" s="32">
        <f>'20250815_ETF_Options_Exhibits'!AE1324</f>
        <v/>
      </c>
    </row>
    <row r="1325">
      <c r="A1325" s="1">
        <f>'20250815_ETF_Options_Exhibits'!AC1325</f>
        <v/>
      </c>
      <c r="B1325" s="32">
        <f>'20250815_ETF_Options_Exhibits'!AD1325</f>
        <v/>
      </c>
      <c r="C1325" s="32">
        <f>'20250815_ETF_Options_Exhibits'!AE1325</f>
        <v/>
      </c>
    </row>
    <row r="1326">
      <c r="A1326" s="1">
        <f>'20250815_ETF_Options_Exhibits'!AC1326</f>
        <v/>
      </c>
      <c r="B1326" s="32">
        <f>'20250815_ETF_Options_Exhibits'!AD1326</f>
        <v/>
      </c>
      <c r="C1326" s="32">
        <f>'20250815_ETF_Options_Exhibits'!AE1326</f>
        <v/>
      </c>
    </row>
    <row r="1327">
      <c r="A1327" s="1">
        <f>'20250815_ETF_Options_Exhibits'!AC1327</f>
        <v/>
      </c>
      <c r="B1327" s="32">
        <f>'20250815_ETF_Options_Exhibits'!AD1327</f>
        <v/>
      </c>
      <c r="C1327" s="32">
        <f>'20250815_ETF_Options_Exhibits'!AE1327</f>
        <v/>
      </c>
    </row>
    <row r="1328">
      <c r="A1328" s="1">
        <f>'20250815_ETF_Options_Exhibits'!AC1328</f>
        <v/>
      </c>
      <c r="B1328" s="32">
        <f>'20250815_ETF_Options_Exhibits'!AD1328</f>
        <v/>
      </c>
      <c r="C1328" s="32">
        <f>'20250815_ETF_Options_Exhibits'!AE1328</f>
        <v/>
      </c>
    </row>
    <row r="1329">
      <c r="A1329" s="1">
        <f>'20250815_ETF_Options_Exhibits'!AC1329</f>
        <v/>
      </c>
      <c r="B1329" s="32">
        <f>'20250815_ETF_Options_Exhibits'!AD1329</f>
        <v/>
      </c>
      <c r="C1329" s="32">
        <f>'20250815_ETF_Options_Exhibits'!AE1329</f>
        <v/>
      </c>
    </row>
    <row r="1330">
      <c r="A1330" s="1">
        <f>'20250815_ETF_Options_Exhibits'!AC1330</f>
        <v/>
      </c>
      <c r="B1330" s="32">
        <f>'20250815_ETF_Options_Exhibits'!AD1330</f>
        <v/>
      </c>
      <c r="C1330" s="32">
        <f>'20250815_ETF_Options_Exhibits'!AE1330</f>
        <v/>
      </c>
    </row>
    <row r="1331">
      <c r="A1331" s="1">
        <f>'20250815_ETF_Options_Exhibits'!AC1331</f>
        <v/>
      </c>
      <c r="B1331" s="32">
        <f>'20250815_ETF_Options_Exhibits'!AD1331</f>
        <v/>
      </c>
      <c r="C1331" s="32">
        <f>'20250815_ETF_Options_Exhibits'!AE1331</f>
        <v/>
      </c>
    </row>
    <row r="1332">
      <c r="A1332" s="1">
        <f>'20250815_ETF_Options_Exhibits'!AC1332</f>
        <v/>
      </c>
      <c r="B1332" s="32">
        <f>'20250815_ETF_Options_Exhibits'!AD1332</f>
        <v/>
      </c>
      <c r="C1332" s="32">
        <f>'20250815_ETF_Options_Exhibits'!AE1332</f>
        <v/>
      </c>
    </row>
    <row r="1333">
      <c r="A1333" s="1">
        <f>'20250815_ETF_Options_Exhibits'!AC1333</f>
        <v/>
      </c>
      <c r="B1333" s="32">
        <f>'20250815_ETF_Options_Exhibits'!AD1333</f>
        <v/>
      </c>
      <c r="C1333" s="32">
        <f>'20250815_ETF_Options_Exhibits'!AE1333</f>
        <v/>
      </c>
    </row>
    <row r="1334">
      <c r="A1334" s="1">
        <f>'20250815_ETF_Options_Exhibits'!AC1334</f>
        <v/>
      </c>
      <c r="B1334" s="32">
        <f>'20250815_ETF_Options_Exhibits'!AD1334</f>
        <v/>
      </c>
      <c r="C1334" s="32">
        <f>'20250815_ETF_Options_Exhibits'!AE1334</f>
        <v/>
      </c>
    </row>
    <row r="1335">
      <c r="A1335" s="1">
        <f>'20250815_ETF_Options_Exhibits'!AC1335</f>
        <v/>
      </c>
      <c r="B1335" s="32">
        <f>'20250815_ETF_Options_Exhibits'!AD1335</f>
        <v/>
      </c>
      <c r="C1335" s="32">
        <f>'20250815_ETF_Options_Exhibits'!AE1335</f>
        <v/>
      </c>
    </row>
    <row r="1336">
      <c r="A1336" s="1">
        <f>'20250815_ETF_Options_Exhibits'!AC1336</f>
        <v/>
      </c>
      <c r="B1336" s="32">
        <f>'20250815_ETF_Options_Exhibits'!AD1336</f>
        <v/>
      </c>
      <c r="C1336" s="32">
        <f>'20250815_ETF_Options_Exhibits'!AE1336</f>
        <v/>
      </c>
    </row>
    <row r="1337">
      <c r="A1337" s="1">
        <f>'20250815_ETF_Options_Exhibits'!AC1337</f>
        <v/>
      </c>
      <c r="B1337" s="32">
        <f>'20250815_ETF_Options_Exhibits'!AD1337</f>
        <v/>
      </c>
      <c r="C1337" s="32">
        <f>'20250815_ETF_Options_Exhibits'!AE1337</f>
        <v/>
      </c>
    </row>
    <row r="1338">
      <c r="A1338" s="1">
        <f>'20250815_ETF_Options_Exhibits'!AC1338</f>
        <v/>
      </c>
      <c r="B1338" s="32">
        <f>'20250815_ETF_Options_Exhibits'!AD1338</f>
        <v/>
      </c>
      <c r="C1338" s="32">
        <f>'20250815_ETF_Options_Exhibits'!AE1338</f>
        <v/>
      </c>
    </row>
    <row r="1339">
      <c r="A1339" s="1">
        <f>'20250815_ETF_Options_Exhibits'!AC1339</f>
        <v/>
      </c>
      <c r="B1339" s="32">
        <f>'20250815_ETF_Options_Exhibits'!AD1339</f>
        <v/>
      </c>
      <c r="C1339" s="32">
        <f>'20250815_ETF_Options_Exhibits'!AE1339</f>
        <v/>
      </c>
    </row>
    <row r="1340">
      <c r="A1340" s="1">
        <f>'20250815_ETF_Options_Exhibits'!AC1340</f>
        <v/>
      </c>
      <c r="B1340" s="32">
        <f>'20250815_ETF_Options_Exhibits'!AD1340</f>
        <v/>
      </c>
      <c r="C1340" s="32">
        <f>'20250815_ETF_Options_Exhibits'!AE1340</f>
        <v/>
      </c>
    </row>
    <row r="1341">
      <c r="A1341" s="1">
        <f>'20250815_ETF_Options_Exhibits'!AC1341</f>
        <v/>
      </c>
      <c r="B1341" s="32">
        <f>'20250815_ETF_Options_Exhibits'!AD1341</f>
        <v/>
      </c>
      <c r="C1341" s="32">
        <f>'20250815_ETF_Options_Exhibits'!AE1341</f>
        <v/>
      </c>
    </row>
    <row r="1342">
      <c r="A1342" s="1">
        <f>'20250815_ETF_Options_Exhibits'!AC1342</f>
        <v/>
      </c>
      <c r="B1342" s="32">
        <f>'20250815_ETF_Options_Exhibits'!AD1342</f>
        <v/>
      </c>
      <c r="C1342" s="32">
        <f>'20250815_ETF_Options_Exhibits'!AE1342</f>
        <v/>
      </c>
    </row>
    <row r="1343">
      <c r="A1343" s="1">
        <f>'20250815_ETF_Options_Exhibits'!AC1343</f>
        <v/>
      </c>
      <c r="B1343" s="32">
        <f>'20250815_ETF_Options_Exhibits'!AD1343</f>
        <v/>
      </c>
      <c r="C1343" s="32">
        <f>'20250815_ETF_Options_Exhibits'!AE1343</f>
        <v/>
      </c>
    </row>
    <row r="1344">
      <c r="A1344" s="1">
        <f>'20250815_ETF_Options_Exhibits'!AC1344</f>
        <v/>
      </c>
      <c r="B1344" s="32">
        <f>'20250815_ETF_Options_Exhibits'!AD1344</f>
        <v/>
      </c>
      <c r="C1344" s="32">
        <f>'20250815_ETF_Options_Exhibits'!AE1344</f>
        <v/>
      </c>
    </row>
    <row r="1345">
      <c r="A1345" s="1">
        <f>'20250815_ETF_Options_Exhibits'!AC1345</f>
        <v/>
      </c>
      <c r="B1345" s="32">
        <f>'20250815_ETF_Options_Exhibits'!AD1345</f>
        <v/>
      </c>
      <c r="C1345" s="32">
        <f>'20250815_ETF_Options_Exhibits'!AE1345</f>
        <v/>
      </c>
    </row>
    <row r="1346">
      <c r="A1346" s="1">
        <f>'20250815_ETF_Options_Exhibits'!AC1346</f>
        <v/>
      </c>
      <c r="B1346" s="32">
        <f>'20250815_ETF_Options_Exhibits'!AD1346</f>
        <v/>
      </c>
      <c r="C1346" s="32">
        <f>'20250815_ETF_Options_Exhibits'!AE1346</f>
        <v/>
      </c>
    </row>
    <row r="1347">
      <c r="A1347" s="1">
        <f>'20250815_ETF_Options_Exhibits'!AC1347</f>
        <v/>
      </c>
      <c r="B1347" s="32">
        <f>'20250815_ETF_Options_Exhibits'!AD1347</f>
        <v/>
      </c>
      <c r="C1347" s="32">
        <f>'20250815_ETF_Options_Exhibits'!AE1347</f>
        <v/>
      </c>
    </row>
    <row r="1348">
      <c r="A1348" s="1">
        <f>'20250815_ETF_Options_Exhibits'!AC1348</f>
        <v/>
      </c>
      <c r="B1348" s="32">
        <f>'20250815_ETF_Options_Exhibits'!AD1348</f>
        <v/>
      </c>
      <c r="C1348" s="32">
        <f>'20250815_ETF_Options_Exhibits'!AE1348</f>
        <v/>
      </c>
    </row>
    <row r="1349">
      <c r="A1349" s="1">
        <f>'20250815_ETF_Options_Exhibits'!AC1349</f>
        <v/>
      </c>
      <c r="B1349" s="32">
        <f>'20250815_ETF_Options_Exhibits'!AD1349</f>
        <v/>
      </c>
      <c r="C1349" s="32">
        <f>'20250815_ETF_Options_Exhibits'!AE1349</f>
        <v/>
      </c>
    </row>
    <row r="1350">
      <c r="A1350" s="1">
        <f>'20250815_ETF_Options_Exhibits'!AC1350</f>
        <v/>
      </c>
      <c r="B1350" s="32">
        <f>'20250815_ETF_Options_Exhibits'!AD1350</f>
        <v/>
      </c>
      <c r="C1350" s="32">
        <f>'20250815_ETF_Options_Exhibits'!AE1350</f>
        <v/>
      </c>
    </row>
    <row r="1351">
      <c r="A1351" s="1">
        <f>'20250815_ETF_Options_Exhibits'!AC1351</f>
        <v/>
      </c>
      <c r="B1351" s="32">
        <f>'20250815_ETF_Options_Exhibits'!AD1351</f>
        <v/>
      </c>
      <c r="C1351" s="32">
        <f>'20250815_ETF_Options_Exhibits'!AE1351</f>
        <v/>
      </c>
    </row>
    <row r="1352">
      <c r="A1352" s="1">
        <f>'20250815_ETF_Options_Exhibits'!AC1352</f>
        <v/>
      </c>
      <c r="B1352" s="32">
        <f>'20250815_ETF_Options_Exhibits'!AD1352</f>
        <v/>
      </c>
      <c r="C1352" s="32">
        <f>'20250815_ETF_Options_Exhibits'!AE1352</f>
        <v/>
      </c>
    </row>
    <row r="1353">
      <c r="A1353" s="1">
        <f>'20250815_ETF_Options_Exhibits'!AC1353</f>
        <v/>
      </c>
      <c r="B1353" s="32">
        <f>'20250815_ETF_Options_Exhibits'!AD1353</f>
        <v/>
      </c>
      <c r="C1353" s="32">
        <f>'20250815_ETF_Options_Exhibits'!AE1353</f>
        <v/>
      </c>
    </row>
    <row r="1354">
      <c r="A1354" s="1">
        <f>'20250815_ETF_Options_Exhibits'!AC1354</f>
        <v/>
      </c>
      <c r="B1354" s="32">
        <f>'20250815_ETF_Options_Exhibits'!AD1354</f>
        <v/>
      </c>
      <c r="C1354" s="32">
        <f>'20250815_ETF_Options_Exhibits'!AE1354</f>
        <v/>
      </c>
    </row>
    <row r="1355">
      <c r="A1355" s="1">
        <f>'20250815_ETF_Options_Exhibits'!AC1355</f>
        <v/>
      </c>
      <c r="B1355" s="32">
        <f>'20250815_ETF_Options_Exhibits'!AD1355</f>
        <v/>
      </c>
      <c r="C1355" s="32">
        <f>'20250815_ETF_Options_Exhibits'!AE1355</f>
        <v/>
      </c>
    </row>
    <row r="1356">
      <c r="A1356" s="1">
        <f>'20250815_ETF_Options_Exhibits'!AC1356</f>
        <v/>
      </c>
      <c r="B1356" s="32">
        <f>'20250815_ETF_Options_Exhibits'!AD1356</f>
        <v/>
      </c>
      <c r="C1356" s="32">
        <f>'20250815_ETF_Options_Exhibits'!AE1356</f>
        <v/>
      </c>
    </row>
    <row r="1357">
      <c r="A1357" s="1">
        <f>'20250815_ETF_Options_Exhibits'!AC1357</f>
        <v/>
      </c>
      <c r="B1357" s="32">
        <f>'20250815_ETF_Options_Exhibits'!AD1357</f>
        <v/>
      </c>
      <c r="C1357" s="32">
        <f>'20250815_ETF_Options_Exhibits'!AE1357</f>
        <v/>
      </c>
    </row>
    <row r="1358">
      <c r="A1358" s="1">
        <f>'20250815_ETF_Options_Exhibits'!AC1358</f>
        <v/>
      </c>
      <c r="B1358" s="32">
        <f>'20250815_ETF_Options_Exhibits'!AD1358</f>
        <v/>
      </c>
      <c r="C1358" s="32">
        <f>'20250815_ETF_Options_Exhibits'!AE1358</f>
        <v/>
      </c>
    </row>
    <row r="1359">
      <c r="A1359" s="1">
        <f>'20250815_ETF_Options_Exhibits'!AC1359</f>
        <v/>
      </c>
      <c r="B1359" s="32">
        <f>'20250815_ETF_Options_Exhibits'!AD1359</f>
        <v/>
      </c>
      <c r="C1359" s="32">
        <f>'20250815_ETF_Options_Exhibits'!AE1359</f>
        <v/>
      </c>
    </row>
    <row r="1360">
      <c r="A1360" s="1">
        <f>'20250815_ETF_Options_Exhibits'!AC1360</f>
        <v/>
      </c>
      <c r="B1360" s="32">
        <f>'20250815_ETF_Options_Exhibits'!AD1360</f>
        <v/>
      </c>
      <c r="C1360" s="32">
        <f>'20250815_ETF_Options_Exhibits'!AE1360</f>
        <v/>
      </c>
    </row>
    <row r="1361">
      <c r="A1361" s="1">
        <f>'20250815_ETF_Options_Exhibits'!AC1361</f>
        <v/>
      </c>
      <c r="B1361" s="32">
        <f>'20250815_ETF_Options_Exhibits'!AD1361</f>
        <v/>
      </c>
      <c r="C1361" s="32">
        <f>'20250815_ETF_Options_Exhibits'!AE1361</f>
        <v/>
      </c>
    </row>
    <row r="1362">
      <c r="A1362" s="1">
        <f>'20250815_ETF_Options_Exhibits'!AC1362</f>
        <v/>
      </c>
      <c r="B1362" s="32">
        <f>'20250815_ETF_Options_Exhibits'!AD1362</f>
        <v/>
      </c>
      <c r="C1362" s="32">
        <f>'20250815_ETF_Options_Exhibits'!AE1362</f>
        <v/>
      </c>
    </row>
    <row r="1363">
      <c r="A1363" s="1">
        <f>'20250815_ETF_Options_Exhibits'!AC1363</f>
        <v/>
      </c>
      <c r="B1363" s="32">
        <f>'20250815_ETF_Options_Exhibits'!AD1363</f>
        <v/>
      </c>
      <c r="C1363" s="32">
        <f>'20250815_ETF_Options_Exhibits'!AE1363</f>
        <v/>
      </c>
    </row>
    <row r="1364">
      <c r="A1364" s="1">
        <f>'20250815_ETF_Options_Exhibits'!AC1364</f>
        <v/>
      </c>
      <c r="B1364" s="32">
        <f>'20250815_ETF_Options_Exhibits'!AD1364</f>
        <v/>
      </c>
      <c r="C1364" s="32">
        <f>'20250815_ETF_Options_Exhibits'!AE1364</f>
        <v/>
      </c>
    </row>
    <row r="1365">
      <c r="A1365" s="1">
        <f>'20250815_ETF_Options_Exhibits'!AC1365</f>
        <v/>
      </c>
      <c r="B1365" s="32">
        <f>'20250815_ETF_Options_Exhibits'!AD1365</f>
        <v/>
      </c>
      <c r="C1365" s="32">
        <f>'20250815_ETF_Options_Exhibits'!AE1365</f>
        <v/>
      </c>
    </row>
    <row r="1366">
      <c r="A1366" s="1">
        <f>'20250815_ETF_Options_Exhibits'!AC1366</f>
        <v/>
      </c>
      <c r="B1366" s="32">
        <f>'20250815_ETF_Options_Exhibits'!AD1366</f>
        <v/>
      </c>
      <c r="C1366" s="32">
        <f>'20250815_ETF_Options_Exhibits'!AE1366</f>
        <v/>
      </c>
    </row>
    <row r="1367">
      <c r="A1367" s="1">
        <f>'20250815_ETF_Options_Exhibits'!AC1367</f>
        <v/>
      </c>
      <c r="B1367" s="32">
        <f>'20250815_ETF_Options_Exhibits'!AD1367</f>
        <v/>
      </c>
      <c r="C1367" s="32">
        <f>'20250815_ETF_Options_Exhibits'!AE1367</f>
        <v/>
      </c>
    </row>
    <row r="1368">
      <c r="A1368" s="1">
        <f>'20250815_ETF_Options_Exhibits'!AC1368</f>
        <v/>
      </c>
      <c r="B1368" s="32">
        <f>'20250815_ETF_Options_Exhibits'!AD1368</f>
        <v/>
      </c>
      <c r="C1368" s="32">
        <f>'20250815_ETF_Options_Exhibits'!AE1368</f>
        <v/>
      </c>
    </row>
    <row r="1369">
      <c r="A1369" s="1">
        <f>'20250815_ETF_Options_Exhibits'!AC1369</f>
        <v/>
      </c>
      <c r="B1369" s="32">
        <f>'20250815_ETF_Options_Exhibits'!AD1369</f>
        <v/>
      </c>
      <c r="C1369" s="32">
        <f>'20250815_ETF_Options_Exhibits'!AE1369</f>
        <v/>
      </c>
    </row>
    <row r="1370">
      <c r="A1370" s="1">
        <f>'20250815_ETF_Options_Exhibits'!AC1370</f>
        <v/>
      </c>
      <c r="B1370" s="32">
        <f>'20250815_ETF_Options_Exhibits'!AD1370</f>
        <v/>
      </c>
      <c r="C1370" s="32">
        <f>'20250815_ETF_Options_Exhibits'!AE1370</f>
        <v/>
      </c>
    </row>
    <row r="1371">
      <c r="A1371" s="1">
        <f>'20250815_ETF_Options_Exhibits'!AC1371</f>
        <v/>
      </c>
      <c r="B1371" s="32">
        <f>'20250815_ETF_Options_Exhibits'!AD1371</f>
        <v/>
      </c>
      <c r="C1371" s="32">
        <f>'20250815_ETF_Options_Exhibits'!AE1371</f>
        <v/>
      </c>
    </row>
    <row r="1372">
      <c r="A1372" s="1">
        <f>'20250815_ETF_Options_Exhibits'!AC1372</f>
        <v/>
      </c>
      <c r="B1372" s="32">
        <f>'20250815_ETF_Options_Exhibits'!AD1372</f>
        <v/>
      </c>
      <c r="C1372" s="32">
        <f>'20250815_ETF_Options_Exhibits'!AE1372</f>
        <v/>
      </c>
    </row>
    <row r="1373">
      <c r="A1373" s="1">
        <f>'20250815_ETF_Options_Exhibits'!AC1373</f>
        <v/>
      </c>
      <c r="B1373" s="32">
        <f>'20250815_ETF_Options_Exhibits'!AD1373</f>
        <v/>
      </c>
      <c r="C1373" s="32">
        <f>'20250815_ETF_Options_Exhibits'!AE1373</f>
        <v/>
      </c>
    </row>
    <row r="1374">
      <c r="A1374" s="1">
        <f>'20250815_ETF_Options_Exhibits'!AC1374</f>
        <v/>
      </c>
      <c r="B1374" s="32">
        <f>'20250815_ETF_Options_Exhibits'!AD1374</f>
        <v/>
      </c>
      <c r="C1374" s="32">
        <f>'20250815_ETF_Options_Exhibits'!AE1374</f>
        <v/>
      </c>
    </row>
    <row r="1375">
      <c r="A1375" s="1">
        <f>'20250815_ETF_Options_Exhibits'!AC1375</f>
        <v/>
      </c>
      <c r="B1375" s="32">
        <f>'20250815_ETF_Options_Exhibits'!AD1375</f>
        <v/>
      </c>
      <c r="C1375" s="32">
        <f>'20250815_ETF_Options_Exhibits'!AE1375</f>
        <v/>
      </c>
    </row>
    <row r="1376">
      <c r="A1376" s="1">
        <f>'20250815_ETF_Options_Exhibits'!AC1376</f>
        <v/>
      </c>
      <c r="B1376" s="32">
        <f>'20250815_ETF_Options_Exhibits'!AD1376</f>
        <v/>
      </c>
      <c r="C1376" s="32">
        <f>'20250815_ETF_Options_Exhibits'!AE1376</f>
        <v/>
      </c>
    </row>
    <row r="1377">
      <c r="A1377" s="1">
        <f>'20250815_ETF_Options_Exhibits'!AC1377</f>
        <v/>
      </c>
      <c r="B1377" s="32">
        <f>'20250815_ETF_Options_Exhibits'!AD1377</f>
        <v/>
      </c>
      <c r="C1377" s="32">
        <f>'20250815_ETF_Options_Exhibits'!AE1377</f>
        <v/>
      </c>
    </row>
    <row r="1378">
      <c r="A1378" s="1">
        <f>'20250815_ETF_Options_Exhibits'!AC1378</f>
        <v/>
      </c>
      <c r="B1378" s="32">
        <f>'20250815_ETF_Options_Exhibits'!AD1378</f>
        <v/>
      </c>
      <c r="C1378" s="32">
        <f>'20250815_ETF_Options_Exhibits'!AE1378</f>
        <v/>
      </c>
    </row>
    <row r="1379">
      <c r="A1379" s="1">
        <f>'20250815_ETF_Options_Exhibits'!AC1379</f>
        <v/>
      </c>
      <c r="B1379" s="32">
        <f>'20250815_ETF_Options_Exhibits'!AD1379</f>
        <v/>
      </c>
      <c r="C1379" s="32">
        <f>'20250815_ETF_Options_Exhibits'!AE1379</f>
        <v/>
      </c>
    </row>
    <row r="1380">
      <c r="A1380" s="1">
        <f>'20250815_ETF_Options_Exhibits'!AC1380</f>
        <v/>
      </c>
      <c r="B1380" s="32">
        <f>'20250815_ETF_Options_Exhibits'!AD1380</f>
        <v/>
      </c>
      <c r="C1380" s="32">
        <f>'20250815_ETF_Options_Exhibits'!AE1380</f>
        <v/>
      </c>
    </row>
    <row r="1381">
      <c r="A1381" s="1">
        <f>'20250815_ETF_Options_Exhibits'!AC1381</f>
        <v/>
      </c>
      <c r="B1381" s="32">
        <f>'20250815_ETF_Options_Exhibits'!AD1381</f>
        <v/>
      </c>
      <c r="C1381" s="32">
        <f>'20250815_ETF_Options_Exhibits'!AE1381</f>
        <v/>
      </c>
    </row>
    <row r="1382">
      <c r="A1382" s="1">
        <f>'20250815_ETF_Options_Exhibits'!AC1382</f>
        <v/>
      </c>
      <c r="B1382" s="32">
        <f>'20250815_ETF_Options_Exhibits'!AD1382</f>
        <v/>
      </c>
      <c r="C1382" s="32">
        <f>'20250815_ETF_Options_Exhibits'!AE1382</f>
        <v/>
      </c>
    </row>
    <row r="1383">
      <c r="A1383" s="1">
        <f>'20250815_ETF_Options_Exhibits'!AC1383</f>
        <v/>
      </c>
      <c r="B1383" s="32">
        <f>'20250815_ETF_Options_Exhibits'!AD1383</f>
        <v/>
      </c>
      <c r="C1383" s="32">
        <f>'20250815_ETF_Options_Exhibits'!AE1383</f>
        <v/>
      </c>
    </row>
    <row r="1384">
      <c r="A1384" s="1">
        <f>'20250815_ETF_Options_Exhibits'!AC1384</f>
        <v/>
      </c>
      <c r="B1384" s="32">
        <f>'20250815_ETF_Options_Exhibits'!AD1384</f>
        <v/>
      </c>
      <c r="C1384" s="32">
        <f>'20250815_ETF_Options_Exhibits'!AE1384</f>
        <v/>
      </c>
    </row>
    <row r="1385">
      <c r="A1385" s="1">
        <f>'20250815_ETF_Options_Exhibits'!AC1385</f>
        <v/>
      </c>
      <c r="B1385" s="32">
        <f>'20250815_ETF_Options_Exhibits'!AD1385</f>
        <v/>
      </c>
      <c r="C1385" s="32">
        <f>'20250815_ETF_Options_Exhibits'!AE1385</f>
        <v/>
      </c>
    </row>
    <row r="1386">
      <c r="A1386" s="1">
        <f>'20250815_ETF_Options_Exhibits'!AC1386</f>
        <v/>
      </c>
      <c r="B1386" s="32">
        <f>'20250815_ETF_Options_Exhibits'!AD1386</f>
        <v/>
      </c>
      <c r="C1386" s="32">
        <f>'20250815_ETF_Options_Exhibits'!AE1386</f>
        <v/>
      </c>
    </row>
    <row r="1387">
      <c r="A1387" s="1">
        <f>'20250815_ETF_Options_Exhibits'!AC1387</f>
        <v/>
      </c>
      <c r="B1387" s="32">
        <f>'20250815_ETF_Options_Exhibits'!AD1387</f>
        <v/>
      </c>
      <c r="C1387" s="32">
        <f>'20250815_ETF_Options_Exhibits'!AE1387</f>
        <v/>
      </c>
    </row>
    <row r="1388">
      <c r="A1388" s="1">
        <f>'20250815_ETF_Options_Exhibits'!AC1388</f>
        <v/>
      </c>
      <c r="B1388" s="32">
        <f>'20250815_ETF_Options_Exhibits'!AD1388</f>
        <v/>
      </c>
      <c r="C1388" s="32">
        <f>'20250815_ETF_Options_Exhibits'!AE1388</f>
        <v/>
      </c>
    </row>
    <row r="1389">
      <c r="A1389" s="1">
        <f>'20250815_ETF_Options_Exhibits'!AC1389</f>
        <v/>
      </c>
      <c r="B1389" s="32">
        <f>'20250815_ETF_Options_Exhibits'!AD1389</f>
        <v/>
      </c>
      <c r="C1389" s="32">
        <f>'20250815_ETF_Options_Exhibits'!AE1389</f>
        <v/>
      </c>
    </row>
    <row r="1390">
      <c r="A1390" s="1">
        <f>'20250815_ETF_Options_Exhibits'!AC1390</f>
        <v/>
      </c>
      <c r="B1390" s="32">
        <f>'20250815_ETF_Options_Exhibits'!AD1390</f>
        <v/>
      </c>
      <c r="C1390" s="32">
        <f>'20250815_ETF_Options_Exhibits'!AE1390</f>
        <v/>
      </c>
    </row>
    <row r="1391">
      <c r="A1391" s="1">
        <f>'20250815_ETF_Options_Exhibits'!AC1391</f>
        <v/>
      </c>
      <c r="B1391" s="32">
        <f>'20250815_ETF_Options_Exhibits'!AD1391</f>
        <v/>
      </c>
      <c r="C1391" s="32">
        <f>'20250815_ETF_Options_Exhibits'!AE1391</f>
        <v/>
      </c>
    </row>
    <row r="1392">
      <c r="A1392" s="1">
        <f>'20250815_ETF_Options_Exhibits'!AC1392</f>
        <v/>
      </c>
      <c r="B1392" s="32">
        <f>'20250815_ETF_Options_Exhibits'!AD1392</f>
        <v/>
      </c>
      <c r="C1392" s="32">
        <f>'20250815_ETF_Options_Exhibits'!AE1392</f>
        <v/>
      </c>
    </row>
    <row r="1393">
      <c r="A1393" s="1">
        <f>'20250815_ETF_Options_Exhibits'!AC1393</f>
        <v/>
      </c>
      <c r="B1393" s="32">
        <f>'20250815_ETF_Options_Exhibits'!AD1393</f>
        <v/>
      </c>
      <c r="C1393" s="32">
        <f>'20250815_ETF_Options_Exhibits'!AE1393</f>
        <v/>
      </c>
    </row>
    <row r="1394">
      <c r="A1394" s="1">
        <f>'20250815_ETF_Options_Exhibits'!AC1394</f>
        <v/>
      </c>
      <c r="B1394" s="32">
        <f>'20250815_ETF_Options_Exhibits'!AD1394</f>
        <v/>
      </c>
      <c r="C1394" s="32">
        <f>'20250815_ETF_Options_Exhibits'!AE1394</f>
        <v/>
      </c>
    </row>
    <row r="1395">
      <c r="A1395" s="1">
        <f>'20250815_ETF_Options_Exhibits'!AC1395</f>
        <v/>
      </c>
      <c r="B1395" s="32">
        <f>'20250815_ETF_Options_Exhibits'!AD1395</f>
        <v/>
      </c>
      <c r="C1395" s="32">
        <f>'20250815_ETF_Options_Exhibits'!AE1395</f>
        <v/>
      </c>
    </row>
    <row r="1396">
      <c r="A1396" s="1">
        <f>'20250815_ETF_Options_Exhibits'!AC1396</f>
        <v/>
      </c>
      <c r="B1396" s="32">
        <f>'20250815_ETF_Options_Exhibits'!AD1396</f>
        <v/>
      </c>
      <c r="C1396" s="32">
        <f>'20250815_ETF_Options_Exhibits'!AE1396</f>
        <v/>
      </c>
    </row>
    <row r="1397">
      <c r="A1397" s="1">
        <f>'20250815_ETF_Options_Exhibits'!AC1397</f>
        <v/>
      </c>
      <c r="B1397" s="32">
        <f>'20250815_ETF_Options_Exhibits'!AD1397</f>
        <v/>
      </c>
      <c r="C1397" s="32">
        <f>'20250815_ETF_Options_Exhibits'!AE1397</f>
        <v/>
      </c>
    </row>
    <row r="1398">
      <c r="A1398" s="1">
        <f>'20250815_ETF_Options_Exhibits'!AC1398</f>
        <v/>
      </c>
      <c r="B1398" s="32">
        <f>'20250815_ETF_Options_Exhibits'!AD1398</f>
        <v/>
      </c>
      <c r="C1398" s="32">
        <f>'20250815_ETF_Options_Exhibits'!AE1398</f>
        <v/>
      </c>
    </row>
    <row r="1399">
      <c r="A1399" s="1">
        <f>'20250815_ETF_Options_Exhibits'!AC1399</f>
        <v/>
      </c>
      <c r="B1399" s="32">
        <f>'20250815_ETF_Options_Exhibits'!AD1399</f>
        <v/>
      </c>
      <c r="C1399" s="32">
        <f>'20250815_ETF_Options_Exhibits'!AE1399</f>
        <v/>
      </c>
    </row>
    <row r="1400">
      <c r="A1400" s="1">
        <f>'20250815_ETF_Options_Exhibits'!AC1400</f>
        <v/>
      </c>
      <c r="B1400" s="32">
        <f>'20250815_ETF_Options_Exhibits'!AD1400</f>
        <v/>
      </c>
      <c r="C1400" s="32">
        <f>'20250815_ETF_Options_Exhibits'!AE1400</f>
        <v/>
      </c>
    </row>
    <row r="1401">
      <c r="A1401" s="1">
        <f>'20250815_ETF_Options_Exhibits'!AC1401</f>
        <v/>
      </c>
      <c r="B1401" s="32">
        <f>'20250815_ETF_Options_Exhibits'!AD1401</f>
        <v/>
      </c>
      <c r="C1401" s="32">
        <f>'20250815_ETF_Options_Exhibits'!AE1401</f>
        <v/>
      </c>
    </row>
    <row r="1402">
      <c r="A1402" s="1">
        <f>'20250815_ETF_Options_Exhibits'!AC1402</f>
        <v/>
      </c>
      <c r="B1402" s="32">
        <f>'20250815_ETF_Options_Exhibits'!AD1402</f>
        <v/>
      </c>
      <c r="C1402" s="32">
        <f>'20250815_ETF_Options_Exhibits'!AE1402</f>
        <v/>
      </c>
    </row>
    <row r="1403">
      <c r="A1403" s="1">
        <f>'20250815_ETF_Options_Exhibits'!AC1403</f>
        <v/>
      </c>
      <c r="B1403" s="32">
        <f>'20250815_ETF_Options_Exhibits'!AD1403</f>
        <v/>
      </c>
      <c r="C1403" s="32">
        <f>'20250815_ETF_Options_Exhibits'!AE1403</f>
        <v/>
      </c>
    </row>
    <row r="1404">
      <c r="A1404" s="1">
        <f>'20250815_ETF_Options_Exhibits'!AC1404</f>
        <v/>
      </c>
      <c r="B1404" s="32">
        <f>'20250815_ETF_Options_Exhibits'!AD1404</f>
        <v/>
      </c>
      <c r="C1404" s="32">
        <f>'20250815_ETF_Options_Exhibits'!AE1404</f>
        <v/>
      </c>
    </row>
    <row r="1405">
      <c r="A1405" s="1">
        <f>'20250815_ETF_Options_Exhibits'!AC1405</f>
        <v/>
      </c>
      <c r="B1405" s="32">
        <f>'20250815_ETF_Options_Exhibits'!AD1405</f>
        <v/>
      </c>
      <c r="C1405" s="32">
        <f>'20250815_ETF_Options_Exhibits'!AE1405</f>
        <v/>
      </c>
    </row>
    <row r="1406">
      <c r="A1406" s="1">
        <f>'20250815_ETF_Options_Exhibits'!AC1406</f>
        <v/>
      </c>
      <c r="B1406" s="32">
        <f>'20250815_ETF_Options_Exhibits'!AD1406</f>
        <v/>
      </c>
      <c r="C1406" s="32">
        <f>'20250815_ETF_Options_Exhibits'!AE1406</f>
        <v/>
      </c>
    </row>
    <row r="1407">
      <c r="A1407" s="1">
        <f>'20250815_ETF_Options_Exhibits'!AC1407</f>
        <v/>
      </c>
      <c r="B1407" s="32">
        <f>'20250815_ETF_Options_Exhibits'!AD1407</f>
        <v/>
      </c>
      <c r="C1407" s="32">
        <f>'20250815_ETF_Options_Exhibits'!AE1407</f>
        <v/>
      </c>
    </row>
    <row r="1408">
      <c r="A1408" s="1">
        <f>'20250815_ETF_Options_Exhibits'!AC1408</f>
        <v/>
      </c>
      <c r="B1408" s="32">
        <f>'20250815_ETF_Options_Exhibits'!AD1408</f>
        <v/>
      </c>
      <c r="C1408" s="32">
        <f>'20250815_ETF_Options_Exhibits'!AE1408</f>
        <v/>
      </c>
    </row>
    <row r="1409">
      <c r="A1409" s="1">
        <f>'20250815_ETF_Options_Exhibits'!AC1409</f>
        <v/>
      </c>
      <c r="B1409" s="32">
        <f>'20250815_ETF_Options_Exhibits'!AD1409</f>
        <v/>
      </c>
      <c r="C1409" s="32">
        <f>'20250815_ETF_Options_Exhibits'!AE1409</f>
        <v/>
      </c>
    </row>
    <row r="1410">
      <c r="A1410" s="1">
        <f>'20250815_ETF_Options_Exhibits'!AC1410</f>
        <v/>
      </c>
      <c r="B1410" s="32">
        <f>'20250815_ETF_Options_Exhibits'!AD1410</f>
        <v/>
      </c>
      <c r="C1410" s="32">
        <f>'20250815_ETF_Options_Exhibits'!AE1410</f>
        <v/>
      </c>
    </row>
    <row r="1411">
      <c r="A1411" s="1">
        <f>'20250815_ETF_Options_Exhibits'!AC1411</f>
        <v/>
      </c>
      <c r="B1411" s="32">
        <f>'20250815_ETF_Options_Exhibits'!AD1411</f>
        <v/>
      </c>
      <c r="C1411" s="32">
        <f>'20250815_ETF_Options_Exhibits'!AE1411</f>
        <v/>
      </c>
    </row>
    <row r="1412">
      <c r="A1412" s="1">
        <f>'20250815_ETF_Options_Exhibits'!AC1412</f>
        <v/>
      </c>
      <c r="B1412" s="32">
        <f>'20250815_ETF_Options_Exhibits'!AD1412</f>
        <v/>
      </c>
      <c r="C1412" s="32">
        <f>'20250815_ETF_Options_Exhibits'!AE1412</f>
        <v/>
      </c>
    </row>
    <row r="1413">
      <c r="A1413" s="1">
        <f>'20250815_ETF_Options_Exhibits'!AC1413</f>
        <v/>
      </c>
      <c r="B1413" s="32">
        <f>'20250815_ETF_Options_Exhibits'!AD1413</f>
        <v/>
      </c>
      <c r="C1413" s="32">
        <f>'20250815_ETF_Options_Exhibits'!AE1413</f>
        <v/>
      </c>
    </row>
    <row r="1414">
      <c r="A1414" s="1">
        <f>'20250815_ETF_Options_Exhibits'!AC1414</f>
        <v/>
      </c>
      <c r="B1414" s="32">
        <f>'20250815_ETF_Options_Exhibits'!AD1414</f>
        <v/>
      </c>
      <c r="C1414" s="32">
        <f>'20250815_ETF_Options_Exhibits'!AE1414</f>
        <v/>
      </c>
    </row>
    <row r="1415">
      <c r="A1415" s="1">
        <f>'20250815_ETF_Options_Exhibits'!AC1415</f>
        <v/>
      </c>
      <c r="B1415" s="32">
        <f>'20250815_ETF_Options_Exhibits'!AD1415</f>
        <v/>
      </c>
      <c r="C1415" s="32">
        <f>'20250815_ETF_Options_Exhibits'!AE1415</f>
        <v/>
      </c>
    </row>
    <row r="1416">
      <c r="A1416" s="1">
        <f>'20250815_ETF_Options_Exhibits'!AC1416</f>
        <v/>
      </c>
      <c r="B1416" s="32">
        <f>'20250815_ETF_Options_Exhibits'!AD1416</f>
        <v/>
      </c>
      <c r="C1416" s="32">
        <f>'20250815_ETF_Options_Exhibits'!AE1416</f>
        <v/>
      </c>
    </row>
    <row r="1417">
      <c r="A1417" s="1">
        <f>'20250815_ETF_Options_Exhibits'!AC1417</f>
        <v/>
      </c>
      <c r="B1417" s="32">
        <f>'20250815_ETF_Options_Exhibits'!AD1417</f>
        <v/>
      </c>
      <c r="C1417" s="32">
        <f>'20250815_ETF_Options_Exhibits'!AE1417</f>
        <v/>
      </c>
    </row>
    <row r="1418">
      <c r="A1418" s="1">
        <f>'20250815_ETF_Options_Exhibits'!AC1418</f>
        <v/>
      </c>
      <c r="B1418" s="32">
        <f>'20250815_ETF_Options_Exhibits'!AD1418</f>
        <v/>
      </c>
      <c r="C1418" s="32">
        <f>'20250815_ETF_Options_Exhibits'!AE1418</f>
        <v/>
      </c>
    </row>
    <row r="1419">
      <c r="A1419" s="1">
        <f>'20250815_ETF_Options_Exhibits'!AC1419</f>
        <v/>
      </c>
      <c r="B1419" s="32">
        <f>'20250815_ETF_Options_Exhibits'!AD1419</f>
        <v/>
      </c>
      <c r="C1419" s="32">
        <f>'20250815_ETF_Options_Exhibits'!AE1419</f>
        <v/>
      </c>
    </row>
    <row r="1420">
      <c r="A1420" s="1">
        <f>'20250815_ETF_Options_Exhibits'!AC1420</f>
        <v/>
      </c>
      <c r="B1420" s="32">
        <f>'20250815_ETF_Options_Exhibits'!AD1420</f>
        <v/>
      </c>
      <c r="C1420" s="32">
        <f>'20250815_ETF_Options_Exhibits'!AE1420</f>
        <v/>
      </c>
    </row>
    <row r="1421">
      <c r="A1421" s="1">
        <f>'20250815_ETF_Options_Exhibits'!AC1421</f>
        <v/>
      </c>
      <c r="B1421" s="32">
        <f>'20250815_ETF_Options_Exhibits'!AD1421</f>
        <v/>
      </c>
      <c r="C1421" s="32">
        <f>'20250815_ETF_Options_Exhibits'!AE1421</f>
        <v/>
      </c>
    </row>
    <row r="1422">
      <c r="A1422" s="1">
        <f>'20250815_ETF_Options_Exhibits'!AC1422</f>
        <v/>
      </c>
      <c r="B1422" s="32">
        <f>'20250815_ETF_Options_Exhibits'!AD1422</f>
        <v/>
      </c>
      <c r="C1422" s="32">
        <f>'20250815_ETF_Options_Exhibits'!AE1422</f>
        <v/>
      </c>
    </row>
    <row r="1423">
      <c r="A1423" s="1">
        <f>'20250815_ETF_Options_Exhibits'!AC1423</f>
        <v/>
      </c>
      <c r="B1423" s="32">
        <f>'20250815_ETF_Options_Exhibits'!AD1423</f>
        <v/>
      </c>
      <c r="C1423" s="32">
        <f>'20250815_ETF_Options_Exhibits'!AE1423</f>
        <v/>
      </c>
    </row>
    <row r="1424">
      <c r="A1424" s="1">
        <f>'20250815_ETF_Options_Exhibits'!AC1424</f>
        <v/>
      </c>
      <c r="B1424" s="32">
        <f>'20250815_ETF_Options_Exhibits'!AD1424</f>
        <v/>
      </c>
      <c r="C1424" s="32">
        <f>'20250815_ETF_Options_Exhibits'!AE1424</f>
        <v/>
      </c>
    </row>
    <row r="1425">
      <c r="A1425" s="1">
        <f>'20250815_ETF_Options_Exhibits'!AC1425</f>
        <v/>
      </c>
      <c r="B1425" s="32">
        <f>'20250815_ETF_Options_Exhibits'!AD1425</f>
        <v/>
      </c>
      <c r="C1425" s="32">
        <f>'20250815_ETF_Options_Exhibits'!AE1425</f>
        <v/>
      </c>
    </row>
    <row r="1426">
      <c r="A1426" s="1">
        <f>'20250815_ETF_Options_Exhibits'!AC1426</f>
        <v/>
      </c>
      <c r="B1426" s="32">
        <f>'20250815_ETF_Options_Exhibits'!AD1426</f>
        <v/>
      </c>
      <c r="C1426" s="32">
        <f>'20250815_ETF_Options_Exhibits'!AE1426</f>
        <v/>
      </c>
    </row>
    <row r="1427">
      <c r="A1427" s="1">
        <f>'20250815_ETF_Options_Exhibits'!AC1427</f>
        <v/>
      </c>
      <c r="B1427" s="32">
        <f>'20250815_ETF_Options_Exhibits'!AD1427</f>
        <v/>
      </c>
      <c r="C1427" s="32">
        <f>'20250815_ETF_Options_Exhibits'!AE1427</f>
        <v/>
      </c>
    </row>
    <row r="1428">
      <c r="A1428" s="1">
        <f>'20250815_ETF_Options_Exhibits'!AC1428</f>
        <v/>
      </c>
      <c r="B1428" s="32">
        <f>'20250815_ETF_Options_Exhibits'!AD1428</f>
        <v/>
      </c>
      <c r="C1428" s="32">
        <f>'20250815_ETF_Options_Exhibits'!AE1428</f>
        <v/>
      </c>
    </row>
    <row r="1429">
      <c r="A1429" s="1">
        <f>'20250815_ETF_Options_Exhibits'!AC1429</f>
        <v/>
      </c>
      <c r="B1429" s="32">
        <f>'20250815_ETF_Options_Exhibits'!AD1429</f>
        <v/>
      </c>
      <c r="C1429" s="32">
        <f>'20250815_ETF_Options_Exhibits'!AE1429</f>
        <v/>
      </c>
    </row>
    <row r="1430">
      <c r="A1430" s="1">
        <f>'20250815_ETF_Options_Exhibits'!AC1430</f>
        <v/>
      </c>
      <c r="B1430" s="32">
        <f>'20250815_ETF_Options_Exhibits'!AD1430</f>
        <v/>
      </c>
      <c r="C1430" s="32">
        <f>'20250815_ETF_Options_Exhibits'!AE1430</f>
        <v/>
      </c>
    </row>
    <row r="1431">
      <c r="A1431" s="1">
        <f>'20250815_ETF_Options_Exhibits'!AC1431</f>
        <v/>
      </c>
      <c r="B1431" s="32">
        <f>'20250815_ETF_Options_Exhibits'!AD1431</f>
        <v/>
      </c>
      <c r="C1431" s="32">
        <f>'20250815_ETF_Options_Exhibits'!AE1431</f>
        <v/>
      </c>
    </row>
    <row r="1432">
      <c r="A1432" s="1">
        <f>'20250815_ETF_Options_Exhibits'!AC1432</f>
        <v/>
      </c>
      <c r="B1432" s="32">
        <f>'20250815_ETF_Options_Exhibits'!AD1432</f>
        <v/>
      </c>
      <c r="C1432" s="32">
        <f>'20250815_ETF_Options_Exhibits'!AE1432</f>
        <v/>
      </c>
    </row>
    <row r="1433">
      <c r="A1433" s="1">
        <f>'20250815_ETF_Options_Exhibits'!AC1433</f>
        <v/>
      </c>
      <c r="B1433" s="32">
        <f>'20250815_ETF_Options_Exhibits'!AD1433</f>
        <v/>
      </c>
      <c r="C1433" s="32">
        <f>'20250815_ETF_Options_Exhibits'!AE1433</f>
        <v/>
      </c>
    </row>
    <row r="1434">
      <c r="A1434" s="1">
        <f>'20250815_ETF_Options_Exhibits'!AC1434</f>
        <v/>
      </c>
      <c r="B1434" s="32">
        <f>'20250815_ETF_Options_Exhibits'!AD1434</f>
        <v/>
      </c>
      <c r="C1434" s="32">
        <f>'20250815_ETF_Options_Exhibits'!AE1434</f>
        <v/>
      </c>
    </row>
    <row r="1435">
      <c r="A1435" s="1">
        <f>'20250815_ETF_Options_Exhibits'!AC1435</f>
        <v/>
      </c>
      <c r="B1435" s="32">
        <f>'20250815_ETF_Options_Exhibits'!AD1435</f>
        <v/>
      </c>
      <c r="C1435" s="32">
        <f>'20250815_ETF_Options_Exhibits'!AE1435</f>
        <v/>
      </c>
    </row>
    <row r="1436">
      <c r="A1436" s="1">
        <f>'20250815_ETF_Options_Exhibits'!AC1436</f>
        <v/>
      </c>
      <c r="B1436" s="32">
        <f>'20250815_ETF_Options_Exhibits'!AD1436</f>
        <v/>
      </c>
      <c r="C1436" s="32">
        <f>'20250815_ETF_Options_Exhibits'!AE1436</f>
        <v/>
      </c>
    </row>
    <row r="1437">
      <c r="A1437" s="1">
        <f>'20250815_ETF_Options_Exhibits'!AC1437</f>
        <v/>
      </c>
      <c r="B1437" s="32">
        <f>'20250815_ETF_Options_Exhibits'!AD1437</f>
        <v/>
      </c>
      <c r="C1437" s="32">
        <f>'20250815_ETF_Options_Exhibits'!AE1437</f>
        <v/>
      </c>
    </row>
    <row r="1438">
      <c r="A1438" s="1">
        <f>'20250815_ETF_Options_Exhibits'!AC1438</f>
        <v/>
      </c>
      <c r="B1438" s="32">
        <f>'20250815_ETF_Options_Exhibits'!AD1438</f>
        <v/>
      </c>
      <c r="C1438" s="32">
        <f>'20250815_ETF_Options_Exhibits'!AE1438</f>
        <v/>
      </c>
    </row>
    <row r="1439">
      <c r="A1439" s="1">
        <f>'20250815_ETF_Options_Exhibits'!AC1439</f>
        <v/>
      </c>
      <c r="B1439" s="32">
        <f>'20250815_ETF_Options_Exhibits'!AD1439</f>
        <v/>
      </c>
      <c r="C1439" s="32">
        <f>'20250815_ETF_Options_Exhibits'!AE1439</f>
        <v/>
      </c>
    </row>
    <row r="1440">
      <c r="A1440" s="1">
        <f>'20250815_ETF_Options_Exhibits'!AC1440</f>
        <v/>
      </c>
      <c r="B1440" s="32">
        <f>'20250815_ETF_Options_Exhibits'!AD1440</f>
        <v/>
      </c>
      <c r="C1440" s="32">
        <f>'20250815_ETF_Options_Exhibits'!AE1440</f>
        <v/>
      </c>
    </row>
    <row r="1441">
      <c r="A1441" s="1">
        <f>'20250815_ETF_Options_Exhibits'!AC1441</f>
        <v/>
      </c>
      <c r="B1441" s="32">
        <f>'20250815_ETF_Options_Exhibits'!AD1441</f>
        <v/>
      </c>
      <c r="C1441" s="32">
        <f>'20250815_ETF_Options_Exhibits'!AE1441</f>
        <v/>
      </c>
    </row>
    <row r="1442">
      <c r="A1442" s="1">
        <f>'20250815_ETF_Options_Exhibits'!AC1442</f>
        <v/>
      </c>
      <c r="B1442" s="32">
        <f>'20250815_ETF_Options_Exhibits'!AD1442</f>
        <v/>
      </c>
      <c r="C1442" s="32">
        <f>'20250815_ETF_Options_Exhibits'!AE1442</f>
        <v/>
      </c>
    </row>
    <row r="1443">
      <c r="A1443" s="1">
        <f>'20250815_ETF_Options_Exhibits'!AC1443</f>
        <v/>
      </c>
      <c r="B1443" s="32">
        <f>'20250815_ETF_Options_Exhibits'!AD1443</f>
        <v/>
      </c>
      <c r="C1443" s="32">
        <f>'20250815_ETF_Options_Exhibits'!AE1443</f>
        <v/>
      </c>
    </row>
    <row r="1444">
      <c r="A1444" s="1">
        <f>'20250815_ETF_Options_Exhibits'!AC1444</f>
        <v/>
      </c>
      <c r="B1444" s="32">
        <f>'20250815_ETF_Options_Exhibits'!AD1444</f>
        <v/>
      </c>
      <c r="C1444" s="32">
        <f>'20250815_ETF_Options_Exhibits'!AE1444</f>
        <v/>
      </c>
    </row>
    <row r="1445">
      <c r="A1445" s="1">
        <f>'20250815_ETF_Options_Exhibits'!AC1445</f>
        <v/>
      </c>
      <c r="B1445" s="32">
        <f>'20250815_ETF_Options_Exhibits'!AD1445</f>
        <v/>
      </c>
      <c r="C1445" s="32">
        <f>'20250815_ETF_Options_Exhibits'!AE1445</f>
        <v/>
      </c>
    </row>
    <row r="1446">
      <c r="A1446" s="1">
        <f>'20250815_ETF_Options_Exhibits'!AC1446</f>
        <v/>
      </c>
      <c r="B1446" s="32">
        <f>'20250815_ETF_Options_Exhibits'!AD1446</f>
        <v/>
      </c>
      <c r="C1446" s="32">
        <f>'20250815_ETF_Options_Exhibits'!AE1446</f>
        <v/>
      </c>
    </row>
    <row r="1447">
      <c r="A1447" s="1">
        <f>'20250815_ETF_Options_Exhibits'!AC1447</f>
        <v/>
      </c>
      <c r="B1447" s="32">
        <f>'20250815_ETF_Options_Exhibits'!AD1447</f>
        <v/>
      </c>
      <c r="C1447" s="32">
        <f>'20250815_ETF_Options_Exhibits'!AE1447</f>
        <v/>
      </c>
    </row>
    <row r="1448">
      <c r="A1448" s="1">
        <f>'20250815_ETF_Options_Exhibits'!AC1448</f>
        <v/>
      </c>
      <c r="B1448" s="32">
        <f>'20250815_ETF_Options_Exhibits'!AD1448</f>
        <v/>
      </c>
      <c r="C1448" s="32">
        <f>'20250815_ETF_Options_Exhibits'!AE1448</f>
        <v/>
      </c>
    </row>
    <row r="1449">
      <c r="A1449" s="1">
        <f>'20250815_ETF_Options_Exhibits'!AC1449</f>
        <v/>
      </c>
      <c r="B1449" s="32">
        <f>'20250815_ETF_Options_Exhibits'!AD1449</f>
        <v/>
      </c>
      <c r="C1449" s="32">
        <f>'20250815_ETF_Options_Exhibits'!AE1449</f>
        <v/>
      </c>
    </row>
    <row r="1450">
      <c r="A1450" s="1">
        <f>'20250815_ETF_Options_Exhibits'!AC1450</f>
        <v/>
      </c>
      <c r="B1450" s="32">
        <f>'20250815_ETF_Options_Exhibits'!AD1450</f>
        <v/>
      </c>
      <c r="C1450" s="32">
        <f>'20250815_ETF_Options_Exhibits'!AE1450</f>
        <v/>
      </c>
    </row>
    <row r="1451">
      <c r="A1451" s="1">
        <f>'20250815_ETF_Options_Exhibits'!AC1451</f>
        <v/>
      </c>
      <c r="B1451" s="32">
        <f>'20250815_ETF_Options_Exhibits'!AD1451</f>
        <v/>
      </c>
      <c r="C1451" s="32">
        <f>'20250815_ETF_Options_Exhibits'!AE1451</f>
        <v/>
      </c>
    </row>
    <row r="1452">
      <c r="A1452" s="1">
        <f>'20250815_ETF_Options_Exhibits'!AC1452</f>
        <v/>
      </c>
      <c r="B1452" s="32">
        <f>'20250815_ETF_Options_Exhibits'!AD1452</f>
        <v/>
      </c>
      <c r="C1452" s="32">
        <f>'20250815_ETF_Options_Exhibits'!AE1452</f>
        <v/>
      </c>
    </row>
    <row r="1453">
      <c r="A1453" s="1">
        <f>'20250815_ETF_Options_Exhibits'!AC1453</f>
        <v/>
      </c>
      <c r="B1453" s="32">
        <f>'20250815_ETF_Options_Exhibits'!AD1453</f>
        <v/>
      </c>
      <c r="C1453" s="32">
        <f>'20250815_ETF_Options_Exhibits'!AE1453</f>
        <v/>
      </c>
    </row>
    <row r="1454">
      <c r="A1454" s="1">
        <f>'20250815_ETF_Options_Exhibits'!AC1454</f>
        <v/>
      </c>
      <c r="B1454" s="32">
        <f>'20250815_ETF_Options_Exhibits'!AD1454</f>
        <v/>
      </c>
      <c r="C1454" s="32">
        <f>'20250815_ETF_Options_Exhibits'!AE1454</f>
        <v/>
      </c>
    </row>
    <row r="1455">
      <c r="A1455" s="1">
        <f>'20250815_ETF_Options_Exhibits'!AC1455</f>
        <v/>
      </c>
      <c r="B1455" s="32">
        <f>'20250815_ETF_Options_Exhibits'!AD1455</f>
        <v/>
      </c>
      <c r="C1455" s="32">
        <f>'20250815_ETF_Options_Exhibits'!AE1455</f>
        <v/>
      </c>
    </row>
    <row r="1456">
      <c r="A1456" s="1">
        <f>'20250815_ETF_Options_Exhibits'!AC1456</f>
        <v/>
      </c>
      <c r="B1456" s="32">
        <f>'20250815_ETF_Options_Exhibits'!AD1456</f>
        <v/>
      </c>
      <c r="C1456" s="32">
        <f>'20250815_ETF_Options_Exhibits'!AE1456</f>
        <v/>
      </c>
    </row>
    <row r="1457">
      <c r="A1457" s="1">
        <f>'20250815_ETF_Options_Exhibits'!AC1457</f>
        <v/>
      </c>
      <c r="B1457" s="32">
        <f>'20250815_ETF_Options_Exhibits'!AD1457</f>
        <v/>
      </c>
      <c r="C1457" s="32">
        <f>'20250815_ETF_Options_Exhibits'!AE1457</f>
        <v/>
      </c>
    </row>
    <row r="1458">
      <c r="A1458" s="1">
        <f>'20250815_ETF_Options_Exhibits'!AC1458</f>
        <v/>
      </c>
      <c r="B1458" s="32">
        <f>'20250815_ETF_Options_Exhibits'!AD1458</f>
        <v/>
      </c>
      <c r="C1458" s="32">
        <f>'20250815_ETF_Options_Exhibits'!AE1458</f>
        <v/>
      </c>
    </row>
    <row r="1459">
      <c r="A1459" s="1">
        <f>'20250815_ETF_Options_Exhibits'!AC1459</f>
        <v/>
      </c>
      <c r="B1459" s="32">
        <f>'20250815_ETF_Options_Exhibits'!AD1459</f>
        <v/>
      </c>
      <c r="C1459" s="32">
        <f>'20250815_ETF_Options_Exhibits'!AE1459</f>
        <v/>
      </c>
    </row>
    <row r="1460">
      <c r="A1460" s="1">
        <f>'20250815_ETF_Options_Exhibits'!AC1460</f>
        <v/>
      </c>
      <c r="B1460" s="32">
        <f>'20250815_ETF_Options_Exhibits'!AD1460</f>
        <v/>
      </c>
      <c r="C1460" s="32">
        <f>'20250815_ETF_Options_Exhibits'!AE1460</f>
        <v/>
      </c>
    </row>
    <row r="1461">
      <c r="A1461" s="1">
        <f>'20250815_ETF_Options_Exhibits'!AC1461</f>
        <v/>
      </c>
      <c r="B1461" s="32">
        <f>'20250815_ETF_Options_Exhibits'!AD1461</f>
        <v/>
      </c>
      <c r="C1461" s="32">
        <f>'20250815_ETF_Options_Exhibits'!AE1461</f>
        <v/>
      </c>
    </row>
    <row r="1462">
      <c r="A1462" s="1">
        <f>'20250815_ETF_Options_Exhibits'!AC1462</f>
        <v/>
      </c>
      <c r="B1462" s="32">
        <f>'20250815_ETF_Options_Exhibits'!AD1462</f>
        <v/>
      </c>
      <c r="C1462" s="32">
        <f>'20250815_ETF_Options_Exhibits'!AE1462</f>
        <v/>
      </c>
    </row>
    <row r="1463">
      <c r="A1463" s="1">
        <f>'20250815_ETF_Options_Exhibits'!AC1463</f>
        <v/>
      </c>
      <c r="B1463" s="32">
        <f>'20250815_ETF_Options_Exhibits'!AD1463</f>
        <v/>
      </c>
      <c r="C1463" s="32">
        <f>'20250815_ETF_Options_Exhibits'!AE1463</f>
        <v/>
      </c>
    </row>
    <row r="1464">
      <c r="A1464" s="1">
        <f>'20250815_ETF_Options_Exhibits'!AC1464</f>
        <v/>
      </c>
      <c r="B1464" s="32">
        <f>'20250815_ETF_Options_Exhibits'!AD1464</f>
        <v/>
      </c>
      <c r="C1464" s="32">
        <f>'20250815_ETF_Options_Exhibits'!AE1464</f>
        <v/>
      </c>
    </row>
    <row r="1465">
      <c r="A1465" s="1">
        <f>'20250815_ETF_Options_Exhibits'!AC1465</f>
        <v/>
      </c>
      <c r="B1465" s="32">
        <f>'20250815_ETF_Options_Exhibits'!AD1465</f>
        <v/>
      </c>
      <c r="C1465" s="32">
        <f>'20250815_ETF_Options_Exhibits'!AE1465</f>
        <v/>
      </c>
    </row>
    <row r="1466">
      <c r="A1466" s="1">
        <f>'20250815_ETF_Options_Exhibits'!AC1466</f>
        <v/>
      </c>
      <c r="B1466" s="32">
        <f>'20250815_ETF_Options_Exhibits'!AD1466</f>
        <v/>
      </c>
      <c r="C1466" s="32">
        <f>'20250815_ETF_Options_Exhibits'!AE1466</f>
        <v/>
      </c>
    </row>
    <row r="1467">
      <c r="A1467" s="1">
        <f>'20250815_ETF_Options_Exhibits'!AC1467</f>
        <v/>
      </c>
      <c r="B1467" s="32">
        <f>'20250815_ETF_Options_Exhibits'!AD1467</f>
        <v/>
      </c>
      <c r="C1467" s="32">
        <f>'20250815_ETF_Options_Exhibits'!AE1467</f>
        <v/>
      </c>
    </row>
    <row r="1468">
      <c r="A1468" s="1">
        <f>'20250815_ETF_Options_Exhibits'!AC1468</f>
        <v/>
      </c>
      <c r="B1468" s="32">
        <f>'20250815_ETF_Options_Exhibits'!AD1468</f>
        <v/>
      </c>
      <c r="C1468" s="32">
        <f>'20250815_ETF_Options_Exhibits'!AE1468</f>
        <v/>
      </c>
    </row>
    <row r="1469">
      <c r="A1469" s="1">
        <f>'20250815_ETF_Options_Exhibits'!AC1469</f>
        <v/>
      </c>
      <c r="B1469" s="32">
        <f>'20250815_ETF_Options_Exhibits'!AD1469</f>
        <v/>
      </c>
      <c r="C1469" s="32">
        <f>'20250815_ETF_Options_Exhibits'!AE1469</f>
        <v/>
      </c>
    </row>
    <row r="1470">
      <c r="A1470" s="1">
        <f>'20250815_ETF_Options_Exhibits'!AC1470</f>
        <v/>
      </c>
      <c r="B1470" s="32">
        <f>'20250815_ETF_Options_Exhibits'!AD1470</f>
        <v/>
      </c>
      <c r="C1470" s="32">
        <f>'20250815_ETF_Options_Exhibits'!AE1470</f>
        <v/>
      </c>
    </row>
    <row r="1471">
      <c r="A1471" s="1">
        <f>'20250815_ETF_Options_Exhibits'!AC1471</f>
        <v/>
      </c>
      <c r="B1471" s="32">
        <f>'20250815_ETF_Options_Exhibits'!AD1471</f>
        <v/>
      </c>
      <c r="C1471" s="32">
        <f>'20250815_ETF_Options_Exhibits'!AE1471</f>
        <v/>
      </c>
    </row>
    <row r="1472">
      <c r="A1472" s="1">
        <f>'20250815_ETF_Options_Exhibits'!AC1472</f>
        <v/>
      </c>
      <c r="B1472" s="32">
        <f>'20250815_ETF_Options_Exhibits'!AD1472</f>
        <v/>
      </c>
      <c r="C1472" s="32">
        <f>'20250815_ETF_Options_Exhibits'!AE1472</f>
        <v/>
      </c>
    </row>
    <row r="1473">
      <c r="A1473" s="1">
        <f>'20250815_ETF_Options_Exhibits'!AC1473</f>
        <v/>
      </c>
      <c r="B1473" s="32">
        <f>'20250815_ETF_Options_Exhibits'!AD1473</f>
        <v/>
      </c>
      <c r="C1473" s="32">
        <f>'20250815_ETF_Options_Exhibits'!AE1473</f>
        <v/>
      </c>
    </row>
    <row r="1474">
      <c r="A1474" s="1">
        <f>'20250815_ETF_Options_Exhibits'!AC1474</f>
        <v/>
      </c>
      <c r="B1474" s="32">
        <f>'20250815_ETF_Options_Exhibits'!AD1474</f>
        <v/>
      </c>
      <c r="C1474" s="32">
        <f>'20250815_ETF_Options_Exhibits'!AE1474</f>
        <v/>
      </c>
    </row>
    <row r="1475">
      <c r="A1475" s="1">
        <f>'20250815_ETF_Options_Exhibits'!AC1475</f>
        <v/>
      </c>
      <c r="B1475" s="32">
        <f>'20250815_ETF_Options_Exhibits'!AD1475</f>
        <v/>
      </c>
      <c r="C1475" s="32">
        <f>'20250815_ETF_Options_Exhibits'!AE1475</f>
        <v/>
      </c>
    </row>
    <row r="1476">
      <c r="A1476" s="1">
        <f>'20250815_ETF_Options_Exhibits'!AC1476</f>
        <v/>
      </c>
      <c r="B1476" s="32">
        <f>'20250815_ETF_Options_Exhibits'!AD1476</f>
        <v/>
      </c>
      <c r="C1476" s="32">
        <f>'20250815_ETF_Options_Exhibits'!AE1476</f>
        <v/>
      </c>
    </row>
    <row r="1477">
      <c r="A1477" s="1">
        <f>'20250815_ETF_Options_Exhibits'!AC1477</f>
        <v/>
      </c>
      <c r="B1477" s="32">
        <f>'20250815_ETF_Options_Exhibits'!AD1477</f>
        <v/>
      </c>
      <c r="C1477" s="32">
        <f>'20250815_ETF_Options_Exhibits'!AE1477</f>
        <v/>
      </c>
    </row>
    <row r="1478">
      <c r="A1478" s="1">
        <f>'20250815_ETF_Options_Exhibits'!AC1478</f>
        <v/>
      </c>
      <c r="B1478" s="32">
        <f>'20250815_ETF_Options_Exhibits'!AD1478</f>
        <v/>
      </c>
      <c r="C1478" s="32">
        <f>'20250815_ETF_Options_Exhibits'!AE1478</f>
        <v/>
      </c>
    </row>
    <row r="1479">
      <c r="A1479" s="1">
        <f>'20250815_ETF_Options_Exhibits'!AC1479</f>
        <v/>
      </c>
      <c r="B1479" s="32">
        <f>'20250815_ETF_Options_Exhibits'!AD1479</f>
        <v/>
      </c>
      <c r="C1479" s="32">
        <f>'20250815_ETF_Options_Exhibits'!AE1479</f>
        <v/>
      </c>
    </row>
    <row r="1480">
      <c r="A1480" s="1">
        <f>'20250815_ETF_Options_Exhibits'!AC1480</f>
        <v/>
      </c>
      <c r="B1480" s="32">
        <f>'20250815_ETF_Options_Exhibits'!AD1480</f>
        <v/>
      </c>
      <c r="C1480" s="32">
        <f>'20250815_ETF_Options_Exhibits'!AE1480</f>
        <v/>
      </c>
    </row>
    <row r="1481">
      <c r="A1481" s="1">
        <f>'20250815_ETF_Options_Exhibits'!AC1481</f>
        <v/>
      </c>
      <c r="B1481" s="32">
        <f>'20250815_ETF_Options_Exhibits'!AD1481</f>
        <v/>
      </c>
      <c r="C1481" s="32">
        <f>'20250815_ETF_Options_Exhibits'!AE1481</f>
        <v/>
      </c>
    </row>
    <row r="1482">
      <c r="A1482" s="1">
        <f>'20250815_ETF_Options_Exhibits'!AC1482</f>
        <v/>
      </c>
      <c r="B1482" s="32">
        <f>'20250815_ETF_Options_Exhibits'!AD1482</f>
        <v/>
      </c>
      <c r="C1482" s="32">
        <f>'20250815_ETF_Options_Exhibits'!AE1482</f>
        <v/>
      </c>
    </row>
    <row r="1483">
      <c r="A1483" s="1">
        <f>'20250815_ETF_Options_Exhibits'!AC1483</f>
        <v/>
      </c>
      <c r="B1483" s="32">
        <f>'20250815_ETF_Options_Exhibits'!AD1483</f>
        <v/>
      </c>
      <c r="C1483" s="32">
        <f>'20250815_ETF_Options_Exhibits'!AE1483</f>
        <v/>
      </c>
    </row>
    <row r="1484">
      <c r="A1484" s="1">
        <f>'20250815_ETF_Options_Exhibits'!AC1484</f>
        <v/>
      </c>
      <c r="B1484" s="32">
        <f>'20250815_ETF_Options_Exhibits'!AD1484</f>
        <v/>
      </c>
      <c r="C1484" s="32">
        <f>'20250815_ETF_Options_Exhibits'!AE1484</f>
        <v/>
      </c>
    </row>
    <row r="1485">
      <c r="A1485" s="1">
        <f>'20250815_ETF_Options_Exhibits'!AC1485</f>
        <v/>
      </c>
      <c r="B1485" s="32">
        <f>'20250815_ETF_Options_Exhibits'!AD1485</f>
        <v/>
      </c>
      <c r="C1485" s="32">
        <f>'20250815_ETF_Options_Exhibits'!AE1485</f>
        <v/>
      </c>
    </row>
    <row r="1486">
      <c r="A1486" s="1">
        <f>'20250815_ETF_Options_Exhibits'!AC1486</f>
        <v/>
      </c>
      <c r="B1486" s="32">
        <f>'20250815_ETF_Options_Exhibits'!AD1486</f>
        <v/>
      </c>
      <c r="C1486" s="32">
        <f>'20250815_ETF_Options_Exhibits'!AE1486</f>
        <v/>
      </c>
    </row>
    <row r="1487">
      <c r="A1487" s="1">
        <f>'20250815_ETF_Options_Exhibits'!AC1487</f>
        <v/>
      </c>
      <c r="B1487" s="32">
        <f>'20250815_ETF_Options_Exhibits'!AD1487</f>
        <v/>
      </c>
      <c r="C1487" s="32">
        <f>'20250815_ETF_Options_Exhibits'!AE1487</f>
        <v/>
      </c>
    </row>
    <row r="1488">
      <c r="A1488" s="1">
        <f>'20250815_ETF_Options_Exhibits'!AC1488</f>
        <v/>
      </c>
      <c r="B1488" s="32">
        <f>'20250815_ETF_Options_Exhibits'!AD1488</f>
        <v/>
      </c>
      <c r="C1488" s="32">
        <f>'20250815_ETF_Options_Exhibits'!AE1488</f>
        <v/>
      </c>
    </row>
    <row r="1489">
      <c r="A1489" s="1">
        <f>'20250815_ETF_Options_Exhibits'!AC1489</f>
        <v/>
      </c>
      <c r="B1489" s="32">
        <f>'20250815_ETF_Options_Exhibits'!AD1489</f>
        <v/>
      </c>
      <c r="C1489" s="32">
        <f>'20250815_ETF_Options_Exhibits'!AE1489</f>
        <v/>
      </c>
    </row>
    <row r="1490">
      <c r="A1490" s="1">
        <f>'20250815_ETF_Options_Exhibits'!AC1490</f>
        <v/>
      </c>
      <c r="B1490" s="32">
        <f>'20250815_ETF_Options_Exhibits'!AD1490</f>
        <v/>
      </c>
      <c r="C1490" s="32">
        <f>'20250815_ETF_Options_Exhibits'!AE1490</f>
        <v/>
      </c>
    </row>
    <row r="1491">
      <c r="A1491" s="1">
        <f>'20250815_ETF_Options_Exhibits'!AC1491</f>
        <v/>
      </c>
      <c r="B1491" s="32">
        <f>'20250815_ETF_Options_Exhibits'!AD1491</f>
        <v/>
      </c>
      <c r="C1491" s="32">
        <f>'20250815_ETF_Options_Exhibits'!AE1491</f>
        <v/>
      </c>
    </row>
    <row r="1492">
      <c r="A1492" s="1">
        <f>'20250815_ETF_Options_Exhibits'!AC1492</f>
        <v/>
      </c>
      <c r="B1492" s="32">
        <f>'20250815_ETF_Options_Exhibits'!AD1492</f>
        <v/>
      </c>
      <c r="C1492" s="32">
        <f>'20250815_ETF_Options_Exhibits'!AE1492</f>
        <v/>
      </c>
    </row>
    <row r="1493">
      <c r="A1493" s="1">
        <f>'20250815_ETF_Options_Exhibits'!AC1493</f>
        <v/>
      </c>
      <c r="B1493" s="32">
        <f>'20250815_ETF_Options_Exhibits'!AD1493</f>
        <v/>
      </c>
      <c r="C1493" s="32">
        <f>'20250815_ETF_Options_Exhibits'!AE1493</f>
        <v/>
      </c>
    </row>
    <row r="1494">
      <c r="A1494" s="1">
        <f>'20250815_ETF_Options_Exhibits'!AC1494</f>
        <v/>
      </c>
      <c r="B1494" s="32">
        <f>'20250815_ETF_Options_Exhibits'!AD1494</f>
        <v/>
      </c>
      <c r="C1494" s="32">
        <f>'20250815_ETF_Options_Exhibits'!AE1494</f>
        <v/>
      </c>
    </row>
    <row r="1495">
      <c r="A1495" s="1">
        <f>'20250815_ETF_Options_Exhibits'!AC1495</f>
        <v/>
      </c>
      <c r="B1495" s="32">
        <f>'20250815_ETF_Options_Exhibits'!AD1495</f>
        <v/>
      </c>
      <c r="C1495" s="32">
        <f>'20250815_ETF_Options_Exhibits'!AE1495</f>
        <v/>
      </c>
    </row>
    <row r="1496">
      <c r="A1496" s="1">
        <f>'20250815_ETF_Options_Exhibits'!AC1496</f>
        <v/>
      </c>
      <c r="B1496" s="32">
        <f>'20250815_ETF_Options_Exhibits'!AD1496</f>
        <v/>
      </c>
      <c r="C1496" s="32">
        <f>'20250815_ETF_Options_Exhibits'!AE1496</f>
        <v/>
      </c>
    </row>
    <row r="1497">
      <c r="A1497" s="1">
        <f>'20250815_ETF_Options_Exhibits'!AC1497</f>
        <v/>
      </c>
      <c r="B1497" s="32">
        <f>'20250815_ETF_Options_Exhibits'!AD1497</f>
        <v/>
      </c>
      <c r="C1497" s="32">
        <f>'20250815_ETF_Options_Exhibits'!AE1497</f>
        <v/>
      </c>
    </row>
    <row r="1498">
      <c r="A1498" s="1">
        <f>'20250815_ETF_Options_Exhibits'!AC1498</f>
        <v/>
      </c>
      <c r="B1498" s="32">
        <f>'20250815_ETF_Options_Exhibits'!AD1498</f>
        <v/>
      </c>
      <c r="C1498" s="32">
        <f>'20250815_ETF_Options_Exhibits'!AE1498</f>
        <v/>
      </c>
    </row>
    <row r="1499">
      <c r="A1499" s="1">
        <f>'20250815_ETF_Options_Exhibits'!AC1499</f>
        <v/>
      </c>
      <c r="B1499" s="32">
        <f>'20250815_ETF_Options_Exhibits'!AD1499</f>
        <v/>
      </c>
      <c r="C1499" s="32">
        <f>'20250815_ETF_Options_Exhibits'!AE1499</f>
        <v/>
      </c>
    </row>
    <row r="1500">
      <c r="A1500" s="1">
        <f>'20250815_ETF_Options_Exhibits'!AC1500</f>
        <v/>
      </c>
      <c r="B1500" s="32">
        <f>'20250815_ETF_Options_Exhibits'!AD1500</f>
        <v/>
      </c>
      <c r="C1500" s="32">
        <f>'20250815_ETF_Options_Exhibits'!AE1500</f>
        <v/>
      </c>
    </row>
    <row r="1501">
      <c r="A1501" s="1">
        <f>'20250815_ETF_Options_Exhibits'!AC1501</f>
        <v/>
      </c>
      <c r="B1501" s="32">
        <f>'20250815_ETF_Options_Exhibits'!AD1501</f>
        <v/>
      </c>
      <c r="C1501" s="32">
        <f>'20250815_ETF_Options_Exhibits'!AE1501</f>
        <v/>
      </c>
    </row>
    <row r="1502">
      <c r="A1502" s="1">
        <f>'20250815_ETF_Options_Exhibits'!AC1502</f>
        <v/>
      </c>
      <c r="B1502" s="32">
        <f>'20250815_ETF_Options_Exhibits'!AD1502</f>
        <v/>
      </c>
      <c r="C1502" s="32">
        <f>'20250815_ETF_Options_Exhibits'!AE1502</f>
        <v/>
      </c>
    </row>
    <row r="1503">
      <c r="A1503" s="1">
        <f>'20250815_ETF_Options_Exhibits'!AC1503</f>
        <v/>
      </c>
      <c r="B1503" s="32">
        <f>'20250815_ETF_Options_Exhibits'!AD1503</f>
        <v/>
      </c>
      <c r="C1503" s="32">
        <f>'20250815_ETF_Options_Exhibits'!AE1503</f>
        <v/>
      </c>
    </row>
    <row r="1504">
      <c r="A1504" s="1">
        <f>'20250815_ETF_Options_Exhibits'!AC1504</f>
        <v/>
      </c>
      <c r="B1504" s="32">
        <f>'20250815_ETF_Options_Exhibits'!AD1504</f>
        <v/>
      </c>
      <c r="C1504" s="32">
        <f>'20250815_ETF_Options_Exhibits'!AE1504</f>
        <v/>
      </c>
    </row>
    <row r="1505">
      <c r="A1505" s="1">
        <f>'20250815_ETF_Options_Exhibits'!AC1505</f>
        <v/>
      </c>
      <c r="B1505" s="32">
        <f>'20250815_ETF_Options_Exhibits'!AD1505</f>
        <v/>
      </c>
      <c r="C1505" s="32">
        <f>'20250815_ETF_Options_Exhibits'!AE1505</f>
        <v/>
      </c>
    </row>
    <row r="1506">
      <c r="A1506" s="1">
        <f>'20250815_ETF_Options_Exhibits'!AC1506</f>
        <v/>
      </c>
      <c r="B1506" s="32">
        <f>'20250815_ETF_Options_Exhibits'!AD1506</f>
        <v/>
      </c>
      <c r="C1506" s="32">
        <f>'20250815_ETF_Options_Exhibits'!AE1506</f>
        <v/>
      </c>
    </row>
    <row r="1507">
      <c r="A1507" s="1">
        <f>'20250815_ETF_Options_Exhibits'!AC1507</f>
        <v/>
      </c>
      <c r="B1507" s="32">
        <f>'20250815_ETF_Options_Exhibits'!AD1507</f>
        <v/>
      </c>
      <c r="C1507" s="32">
        <f>'20250815_ETF_Options_Exhibits'!AE1507</f>
        <v/>
      </c>
    </row>
    <row r="1508">
      <c r="A1508" s="1">
        <f>'20250815_ETF_Options_Exhibits'!AC1508</f>
        <v/>
      </c>
      <c r="B1508" s="32">
        <f>'20250815_ETF_Options_Exhibits'!AD1508</f>
        <v/>
      </c>
      <c r="C1508" s="32">
        <f>'20250815_ETF_Options_Exhibits'!AE1508</f>
        <v/>
      </c>
    </row>
    <row r="1509">
      <c r="A1509" s="1">
        <f>'20250815_ETF_Options_Exhibits'!AC1509</f>
        <v/>
      </c>
      <c r="B1509" s="32">
        <f>'20250815_ETF_Options_Exhibits'!AD1509</f>
        <v/>
      </c>
      <c r="C1509" s="32">
        <f>'20250815_ETF_Options_Exhibits'!AE1509</f>
        <v/>
      </c>
    </row>
    <row r="1510">
      <c r="A1510" s="1">
        <f>'20250815_ETF_Options_Exhibits'!AC1510</f>
        <v/>
      </c>
      <c r="B1510" s="32">
        <f>'20250815_ETF_Options_Exhibits'!AD1510</f>
        <v/>
      </c>
      <c r="C1510" s="32">
        <f>'20250815_ETF_Options_Exhibits'!AE1510</f>
        <v/>
      </c>
    </row>
    <row r="1511">
      <c r="A1511" s="1">
        <f>'20250815_ETF_Options_Exhibits'!AC1511</f>
        <v/>
      </c>
      <c r="B1511" s="32">
        <f>'20250815_ETF_Options_Exhibits'!AD1511</f>
        <v/>
      </c>
      <c r="C1511" s="32">
        <f>'20250815_ETF_Options_Exhibits'!AE1511</f>
        <v/>
      </c>
    </row>
    <row r="1512">
      <c r="A1512" s="1">
        <f>'20250815_ETF_Options_Exhibits'!AC1512</f>
        <v/>
      </c>
      <c r="B1512" s="32">
        <f>'20250815_ETF_Options_Exhibits'!AD1512</f>
        <v/>
      </c>
      <c r="C1512" s="32">
        <f>'20250815_ETF_Options_Exhibits'!AE1512</f>
        <v/>
      </c>
    </row>
    <row r="1513">
      <c r="A1513" s="1">
        <f>'20250815_ETF_Options_Exhibits'!AC1513</f>
        <v/>
      </c>
      <c r="B1513" s="32">
        <f>'20250815_ETF_Options_Exhibits'!AD1513</f>
        <v/>
      </c>
      <c r="C1513" s="32">
        <f>'20250815_ETF_Options_Exhibits'!AE1513</f>
        <v/>
      </c>
    </row>
    <row r="1514">
      <c r="A1514" s="1">
        <f>'20250815_ETF_Options_Exhibits'!AC1514</f>
        <v/>
      </c>
      <c r="B1514" s="32">
        <f>'20250815_ETF_Options_Exhibits'!AD1514</f>
        <v/>
      </c>
      <c r="C1514" s="32">
        <f>'20250815_ETF_Options_Exhibits'!AE1514</f>
        <v/>
      </c>
    </row>
    <row r="1515">
      <c r="A1515" s="1">
        <f>'20250815_ETF_Options_Exhibits'!AC1515</f>
        <v/>
      </c>
      <c r="B1515" s="32">
        <f>'20250815_ETF_Options_Exhibits'!AD1515</f>
        <v/>
      </c>
      <c r="C1515" s="32">
        <f>'20250815_ETF_Options_Exhibits'!AE1515</f>
        <v/>
      </c>
    </row>
    <row r="1516">
      <c r="A1516" s="1">
        <f>'20250815_ETF_Options_Exhibits'!AC1516</f>
        <v/>
      </c>
      <c r="B1516" s="32">
        <f>'20250815_ETF_Options_Exhibits'!AD1516</f>
        <v/>
      </c>
      <c r="C1516" s="32">
        <f>'20250815_ETF_Options_Exhibits'!AE1516</f>
        <v/>
      </c>
    </row>
    <row r="1517">
      <c r="A1517" s="1">
        <f>'20250815_ETF_Options_Exhibits'!AC1517</f>
        <v/>
      </c>
      <c r="B1517" s="32">
        <f>'20250815_ETF_Options_Exhibits'!AD1517</f>
        <v/>
      </c>
      <c r="C1517" s="32">
        <f>'20250815_ETF_Options_Exhibits'!AE1517</f>
        <v/>
      </c>
    </row>
    <row r="1518">
      <c r="A1518" s="1">
        <f>'20250815_ETF_Options_Exhibits'!AC1518</f>
        <v/>
      </c>
      <c r="B1518" s="32">
        <f>'20250815_ETF_Options_Exhibits'!AD1518</f>
        <v/>
      </c>
      <c r="C1518" s="32">
        <f>'20250815_ETF_Options_Exhibits'!AE1518</f>
        <v/>
      </c>
    </row>
    <row r="1519">
      <c r="A1519" s="1">
        <f>'20250815_ETF_Options_Exhibits'!AC1519</f>
        <v/>
      </c>
      <c r="B1519" s="32">
        <f>'20250815_ETF_Options_Exhibits'!AD1519</f>
        <v/>
      </c>
      <c r="C1519" s="32">
        <f>'20250815_ETF_Options_Exhibits'!AE1519</f>
        <v/>
      </c>
    </row>
    <row r="1520">
      <c r="A1520" s="1">
        <f>'20250815_ETF_Options_Exhibits'!AC1520</f>
        <v/>
      </c>
      <c r="B1520" s="32">
        <f>'20250815_ETF_Options_Exhibits'!AD1520</f>
        <v/>
      </c>
      <c r="C1520" s="32">
        <f>'20250815_ETF_Options_Exhibits'!AE1520</f>
        <v/>
      </c>
    </row>
    <row r="1521">
      <c r="A1521" s="1">
        <f>'20250815_ETF_Options_Exhibits'!AC1521</f>
        <v/>
      </c>
      <c r="B1521" s="32">
        <f>'20250815_ETF_Options_Exhibits'!AD1521</f>
        <v/>
      </c>
      <c r="C1521" s="32">
        <f>'20250815_ETF_Options_Exhibits'!AE1521</f>
        <v/>
      </c>
    </row>
    <row r="1522">
      <c r="A1522" s="1">
        <f>'20250815_ETF_Options_Exhibits'!AC1522</f>
        <v/>
      </c>
      <c r="B1522" s="32">
        <f>'20250815_ETF_Options_Exhibits'!AD1522</f>
        <v/>
      </c>
      <c r="C1522" s="32">
        <f>'20250815_ETF_Options_Exhibits'!AE1522</f>
        <v/>
      </c>
    </row>
    <row r="1523">
      <c r="A1523" s="1">
        <f>'20250815_ETF_Options_Exhibits'!AC1523</f>
        <v/>
      </c>
      <c r="B1523" s="32">
        <f>'20250815_ETF_Options_Exhibits'!AD1523</f>
        <v/>
      </c>
      <c r="C1523" s="32">
        <f>'20250815_ETF_Options_Exhibits'!AE1523</f>
        <v/>
      </c>
    </row>
    <row r="1524">
      <c r="A1524" s="1">
        <f>'20250815_ETF_Options_Exhibits'!AC1524</f>
        <v/>
      </c>
      <c r="B1524" s="32">
        <f>'20250815_ETF_Options_Exhibits'!AD1524</f>
        <v/>
      </c>
      <c r="C1524" s="32">
        <f>'20250815_ETF_Options_Exhibits'!AE1524</f>
        <v/>
      </c>
    </row>
    <row r="1525">
      <c r="A1525" s="1">
        <f>'20250815_ETF_Options_Exhibits'!AC1525</f>
        <v/>
      </c>
      <c r="B1525" s="32">
        <f>'20250815_ETF_Options_Exhibits'!AD1525</f>
        <v/>
      </c>
      <c r="C1525" s="32">
        <f>'20250815_ETF_Options_Exhibits'!AE1525</f>
        <v/>
      </c>
    </row>
    <row r="1526">
      <c r="A1526" s="1">
        <f>'20250815_ETF_Options_Exhibits'!AC1526</f>
        <v/>
      </c>
      <c r="B1526" s="32">
        <f>'20250815_ETF_Options_Exhibits'!AD1526</f>
        <v/>
      </c>
      <c r="C1526" s="32">
        <f>'20250815_ETF_Options_Exhibits'!AE1526</f>
        <v/>
      </c>
    </row>
    <row r="1527">
      <c r="A1527" s="1">
        <f>'20250815_ETF_Options_Exhibits'!AC1527</f>
        <v/>
      </c>
      <c r="B1527" s="32">
        <f>'20250815_ETF_Options_Exhibits'!AD1527</f>
        <v/>
      </c>
      <c r="C1527" s="32">
        <f>'20250815_ETF_Options_Exhibits'!AE1527</f>
        <v/>
      </c>
    </row>
    <row r="1528">
      <c r="A1528" s="1">
        <f>'20250815_ETF_Options_Exhibits'!AC1528</f>
        <v/>
      </c>
      <c r="B1528" s="32">
        <f>'20250815_ETF_Options_Exhibits'!AD1528</f>
        <v/>
      </c>
      <c r="C1528" s="32">
        <f>'20250815_ETF_Options_Exhibits'!AE1528</f>
        <v/>
      </c>
    </row>
    <row r="1529">
      <c r="A1529" s="1">
        <f>'20250815_ETF_Options_Exhibits'!AC1529</f>
        <v/>
      </c>
      <c r="B1529" s="32">
        <f>'20250815_ETF_Options_Exhibits'!AD1529</f>
        <v/>
      </c>
      <c r="C1529" s="32">
        <f>'20250815_ETF_Options_Exhibits'!AE1529</f>
        <v/>
      </c>
    </row>
    <row r="1530">
      <c r="A1530" s="1">
        <f>'20250815_ETF_Options_Exhibits'!AC1530</f>
        <v/>
      </c>
      <c r="B1530" s="32">
        <f>'20250815_ETF_Options_Exhibits'!AD1530</f>
        <v/>
      </c>
      <c r="C1530" s="32">
        <f>'20250815_ETF_Options_Exhibits'!AE1530</f>
        <v/>
      </c>
    </row>
    <row r="1531">
      <c r="A1531" s="1">
        <f>'20250815_ETF_Options_Exhibits'!AC1531</f>
        <v/>
      </c>
      <c r="B1531" s="32">
        <f>'20250815_ETF_Options_Exhibits'!AD1531</f>
        <v/>
      </c>
      <c r="C1531" s="32">
        <f>'20250815_ETF_Options_Exhibits'!AE1531</f>
        <v/>
      </c>
    </row>
    <row r="1532">
      <c r="A1532" s="1">
        <f>'20250815_ETF_Options_Exhibits'!AC1532</f>
        <v/>
      </c>
      <c r="B1532" s="32">
        <f>'20250815_ETF_Options_Exhibits'!AD1532</f>
        <v/>
      </c>
      <c r="C1532" s="32">
        <f>'20250815_ETF_Options_Exhibits'!AE1532</f>
        <v/>
      </c>
    </row>
    <row r="1533">
      <c r="A1533" s="1">
        <f>'20250815_ETF_Options_Exhibits'!AC1533</f>
        <v/>
      </c>
      <c r="B1533" s="32">
        <f>'20250815_ETF_Options_Exhibits'!AD1533</f>
        <v/>
      </c>
      <c r="C1533" s="32">
        <f>'20250815_ETF_Options_Exhibits'!AE1533</f>
        <v/>
      </c>
    </row>
    <row r="1534">
      <c r="A1534" s="1">
        <f>'20250815_ETF_Options_Exhibits'!AC1534</f>
        <v/>
      </c>
      <c r="B1534" s="32">
        <f>'20250815_ETF_Options_Exhibits'!AD1534</f>
        <v/>
      </c>
      <c r="C1534" s="32">
        <f>'20250815_ETF_Options_Exhibits'!AE1534</f>
        <v/>
      </c>
    </row>
    <row r="1535">
      <c r="A1535" s="1">
        <f>'20250815_ETF_Options_Exhibits'!AC1535</f>
        <v/>
      </c>
      <c r="B1535" s="32">
        <f>'20250815_ETF_Options_Exhibits'!AD1535</f>
        <v/>
      </c>
      <c r="C1535" s="32">
        <f>'20250815_ETF_Options_Exhibits'!AE1535</f>
        <v/>
      </c>
    </row>
    <row r="1536">
      <c r="A1536" s="1">
        <f>'20250815_ETF_Options_Exhibits'!AC1536</f>
        <v/>
      </c>
      <c r="B1536" s="32">
        <f>'20250815_ETF_Options_Exhibits'!AD1536</f>
        <v/>
      </c>
      <c r="C1536" s="32">
        <f>'20250815_ETF_Options_Exhibits'!AE1536</f>
        <v/>
      </c>
    </row>
    <row r="1537">
      <c r="A1537" s="1">
        <f>'20250815_ETF_Options_Exhibits'!AC1537</f>
        <v/>
      </c>
      <c r="B1537" s="32">
        <f>'20250815_ETF_Options_Exhibits'!AD1537</f>
        <v/>
      </c>
      <c r="C1537" s="32">
        <f>'20250815_ETF_Options_Exhibits'!AE1537</f>
        <v/>
      </c>
    </row>
    <row r="1538">
      <c r="A1538" s="1">
        <f>'20250815_ETF_Options_Exhibits'!AC1538</f>
        <v/>
      </c>
      <c r="B1538" s="32">
        <f>'20250815_ETF_Options_Exhibits'!AD1538</f>
        <v/>
      </c>
      <c r="C1538" s="32">
        <f>'20250815_ETF_Options_Exhibits'!AE1538</f>
        <v/>
      </c>
    </row>
    <row r="1539">
      <c r="A1539" s="1">
        <f>'20250815_ETF_Options_Exhibits'!AC1539</f>
        <v/>
      </c>
      <c r="B1539" s="32">
        <f>'20250815_ETF_Options_Exhibits'!AD1539</f>
        <v/>
      </c>
      <c r="C1539" s="32">
        <f>'20250815_ETF_Options_Exhibits'!AE1539</f>
        <v/>
      </c>
    </row>
    <row r="1540">
      <c r="A1540" s="1">
        <f>'20250815_ETF_Options_Exhibits'!AC1540</f>
        <v/>
      </c>
      <c r="B1540" s="32">
        <f>'20250815_ETF_Options_Exhibits'!AD1540</f>
        <v/>
      </c>
      <c r="C1540" s="32">
        <f>'20250815_ETF_Options_Exhibits'!AE1540</f>
        <v/>
      </c>
    </row>
    <row r="1541">
      <c r="A1541" s="1">
        <f>'20250815_ETF_Options_Exhibits'!AC1541</f>
        <v/>
      </c>
      <c r="B1541" s="32">
        <f>'20250815_ETF_Options_Exhibits'!AD1541</f>
        <v/>
      </c>
      <c r="C1541" s="32">
        <f>'20250815_ETF_Options_Exhibits'!AE1541</f>
        <v/>
      </c>
    </row>
    <row r="1542">
      <c r="A1542" s="1">
        <f>'20250815_ETF_Options_Exhibits'!AC1542</f>
        <v/>
      </c>
      <c r="B1542" s="32">
        <f>'20250815_ETF_Options_Exhibits'!AD1542</f>
        <v/>
      </c>
      <c r="C1542" s="32">
        <f>'20250815_ETF_Options_Exhibits'!AE1542</f>
        <v/>
      </c>
    </row>
    <row r="1543">
      <c r="A1543" s="1">
        <f>'20250815_ETF_Options_Exhibits'!AC1543</f>
        <v/>
      </c>
      <c r="B1543" s="32">
        <f>'20250815_ETF_Options_Exhibits'!AD1543</f>
        <v/>
      </c>
      <c r="C1543" s="32">
        <f>'20250815_ETF_Options_Exhibits'!AE1543</f>
        <v/>
      </c>
    </row>
    <row r="1544">
      <c r="A1544" s="1">
        <f>'20250815_ETF_Options_Exhibits'!AC1544</f>
        <v/>
      </c>
      <c r="B1544" s="32">
        <f>'20250815_ETF_Options_Exhibits'!AD1544</f>
        <v/>
      </c>
      <c r="C1544" s="32">
        <f>'20250815_ETF_Options_Exhibits'!AE1544</f>
        <v/>
      </c>
    </row>
    <row r="1545">
      <c r="A1545" s="1">
        <f>'20250815_ETF_Options_Exhibits'!AC1545</f>
        <v/>
      </c>
      <c r="B1545" s="32">
        <f>'20250815_ETF_Options_Exhibits'!AD1545</f>
        <v/>
      </c>
      <c r="C1545" s="32">
        <f>'20250815_ETF_Options_Exhibits'!AE1545</f>
        <v/>
      </c>
    </row>
    <row r="1546">
      <c r="A1546" s="1">
        <f>'20250815_ETF_Options_Exhibits'!AC1546</f>
        <v/>
      </c>
      <c r="B1546" s="32">
        <f>'20250815_ETF_Options_Exhibits'!AD1546</f>
        <v/>
      </c>
      <c r="C1546" s="32">
        <f>'20250815_ETF_Options_Exhibits'!AE1546</f>
        <v/>
      </c>
    </row>
    <row r="1547">
      <c r="A1547" s="1">
        <f>'20250815_ETF_Options_Exhibits'!AC1547</f>
        <v/>
      </c>
      <c r="B1547" s="32">
        <f>'20250815_ETF_Options_Exhibits'!AD1547</f>
        <v/>
      </c>
      <c r="C1547" s="32">
        <f>'20250815_ETF_Options_Exhibits'!AE1547</f>
        <v/>
      </c>
    </row>
    <row r="1548">
      <c r="A1548" s="1">
        <f>'20250815_ETF_Options_Exhibits'!AC1548</f>
        <v/>
      </c>
      <c r="B1548" s="32">
        <f>'20250815_ETF_Options_Exhibits'!AD1548</f>
        <v/>
      </c>
      <c r="C1548" s="32">
        <f>'20250815_ETF_Options_Exhibits'!AE1548</f>
        <v/>
      </c>
    </row>
    <row r="1549">
      <c r="A1549" s="1">
        <f>'20250815_ETF_Options_Exhibits'!AC1549</f>
        <v/>
      </c>
      <c r="B1549" s="32">
        <f>'20250815_ETF_Options_Exhibits'!AD1549</f>
        <v/>
      </c>
      <c r="C1549" s="32">
        <f>'20250815_ETF_Options_Exhibits'!AE1549</f>
        <v/>
      </c>
    </row>
    <row r="1550">
      <c r="A1550" s="1">
        <f>'20250815_ETF_Options_Exhibits'!AC1550</f>
        <v/>
      </c>
      <c r="B1550" s="32">
        <f>'20250815_ETF_Options_Exhibits'!AD1550</f>
        <v/>
      </c>
      <c r="C1550" s="32">
        <f>'20250815_ETF_Options_Exhibits'!AE1550</f>
        <v/>
      </c>
    </row>
    <row r="1551">
      <c r="A1551" s="1">
        <f>'20250815_ETF_Options_Exhibits'!AC1551</f>
        <v/>
      </c>
      <c r="B1551" s="32">
        <f>'20250815_ETF_Options_Exhibits'!AD1551</f>
        <v/>
      </c>
      <c r="C1551" s="32">
        <f>'20250815_ETF_Options_Exhibits'!AE1551</f>
        <v/>
      </c>
    </row>
    <row r="1552">
      <c r="A1552" s="1">
        <f>'20250815_ETF_Options_Exhibits'!AC1552</f>
        <v/>
      </c>
      <c r="B1552" s="32">
        <f>'20250815_ETF_Options_Exhibits'!AD1552</f>
        <v/>
      </c>
      <c r="C1552" s="32">
        <f>'20250815_ETF_Options_Exhibits'!AE1552</f>
        <v/>
      </c>
    </row>
    <row r="1553">
      <c r="A1553" s="1">
        <f>'20250815_ETF_Options_Exhibits'!AC1553</f>
        <v/>
      </c>
      <c r="B1553" s="32">
        <f>'20250815_ETF_Options_Exhibits'!AD1553</f>
        <v/>
      </c>
      <c r="C1553" s="32">
        <f>'20250815_ETF_Options_Exhibits'!AE1553</f>
        <v/>
      </c>
    </row>
    <row r="1554">
      <c r="A1554" s="1">
        <f>'20250815_ETF_Options_Exhibits'!AC1554</f>
        <v/>
      </c>
      <c r="B1554" s="32">
        <f>'20250815_ETF_Options_Exhibits'!AD1554</f>
        <v/>
      </c>
      <c r="C1554" s="32">
        <f>'20250815_ETF_Options_Exhibits'!AE1554</f>
        <v/>
      </c>
    </row>
    <row r="1555">
      <c r="A1555" s="1">
        <f>'20250815_ETF_Options_Exhibits'!AC1555</f>
        <v/>
      </c>
      <c r="B1555" s="32">
        <f>'20250815_ETF_Options_Exhibits'!AD1555</f>
        <v/>
      </c>
      <c r="C1555" s="32">
        <f>'20250815_ETF_Options_Exhibits'!AE1555</f>
        <v/>
      </c>
    </row>
    <row r="1556">
      <c r="A1556" s="1">
        <f>'20250815_ETF_Options_Exhibits'!AC1556</f>
        <v/>
      </c>
      <c r="B1556" s="32">
        <f>'20250815_ETF_Options_Exhibits'!AD1556</f>
        <v/>
      </c>
      <c r="C1556" s="32">
        <f>'20250815_ETF_Options_Exhibits'!AE1556</f>
        <v/>
      </c>
    </row>
    <row r="1557">
      <c r="A1557" s="1">
        <f>'20250815_ETF_Options_Exhibits'!AC1557</f>
        <v/>
      </c>
      <c r="B1557" s="32">
        <f>'20250815_ETF_Options_Exhibits'!AD1557</f>
        <v/>
      </c>
      <c r="C1557" s="32">
        <f>'20250815_ETF_Options_Exhibits'!AE1557</f>
        <v/>
      </c>
    </row>
    <row r="1558">
      <c r="A1558" s="1">
        <f>'20250815_ETF_Options_Exhibits'!AC1558</f>
        <v/>
      </c>
      <c r="B1558" s="32">
        <f>'20250815_ETF_Options_Exhibits'!AD1558</f>
        <v/>
      </c>
      <c r="C1558" s="32">
        <f>'20250815_ETF_Options_Exhibits'!AE1558</f>
        <v/>
      </c>
    </row>
    <row r="1559">
      <c r="A1559" s="1">
        <f>'20250815_ETF_Options_Exhibits'!AC1559</f>
        <v/>
      </c>
      <c r="B1559" s="32">
        <f>'20250815_ETF_Options_Exhibits'!AD1559</f>
        <v/>
      </c>
      <c r="C1559" s="32">
        <f>'20250815_ETF_Options_Exhibits'!AE1559</f>
        <v/>
      </c>
    </row>
    <row r="1560">
      <c r="A1560" s="1">
        <f>'20250815_ETF_Options_Exhibits'!AC1560</f>
        <v/>
      </c>
      <c r="B1560" s="32">
        <f>'20250815_ETF_Options_Exhibits'!AD1560</f>
        <v/>
      </c>
      <c r="C1560" s="32">
        <f>'20250815_ETF_Options_Exhibits'!AE1560</f>
        <v/>
      </c>
    </row>
    <row r="1561">
      <c r="A1561" s="1">
        <f>'20250815_ETF_Options_Exhibits'!AC1561</f>
        <v/>
      </c>
      <c r="B1561" s="32">
        <f>'20250815_ETF_Options_Exhibits'!AD1561</f>
        <v/>
      </c>
      <c r="C1561" s="32">
        <f>'20250815_ETF_Options_Exhibits'!AE1561</f>
        <v/>
      </c>
    </row>
    <row r="1562">
      <c r="A1562" s="1">
        <f>'20250815_ETF_Options_Exhibits'!AC1562</f>
        <v/>
      </c>
      <c r="B1562" s="32">
        <f>'20250815_ETF_Options_Exhibits'!AD1562</f>
        <v/>
      </c>
      <c r="C1562" s="32">
        <f>'20250815_ETF_Options_Exhibits'!AE1562</f>
        <v/>
      </c>
    </row>
    <row r="1563">
      <c r="A1563" s="1">
        <f>'20250815_ETF_Options_Exhibits'!AC1563</f>
        <v/>
      </c>
      <c r="B1563" s="32">
        <f>'20250815_ETF_Options_Exhibits'!AD1563</f>
        <v/>
      </c>
      <c r="C1563" s="32">
        <f>'20250815_ETF_Options_Exhibits'!AE1563</f>
        <v/>
      </c>
    </row>
    <row r="1564">
      <c r="A1564" s="1">
        <f>'20250815_ETF_Options_Exhibits'!AC1564</f>
        <v/>
      </c>
      <c r="B1564" s="32">
        <f>'20250815_ETF_Options_Exhibits'!AD1564</f>
        <v/>
      </c>
      <c r="C1564" s="32">
        <f>'20250815_ETF_Options_Exhibits'!AE1564</f>
        <v/>
      </c>
    </row>
    <row r="1565">
      <c r="A1565" s="1">
        <f>'20250815_ETF_Options_Exhibits'!AC1565</f>
        <v/>
      </c>
      <c r="B1565" s="32">
        <f>'20250815_ETF_Options_Exhibits'!AD1565</f>
        <v/>
      </c>
      <c r="C1565" s="32">
        <f>'20250815_ETF_Options_Exhibits'!AE1565</f>
        <v/>
      </c>
    </row>
    <row r="1566">
      <c r="A1566" s="1">
        <f>'20250815_ETF_Options_Exhibits'!AC1566</f>
        <v/>
      </c>
      <c r="B1566" s="32">
        <f>'20250815_ETF_Options_Exhibits'!AD1566</f>
        <v/>
      </c>
      <c r="C1566" s="32">
        <f>'20250815_ETF_Options_Exhibits'!AE1566</f>
        <v/>
      </c>
    </row>
    <row r="1567">
      <c r="A1567" s="1">
        <f>'20250815_ETF_Options_Exhibits'!AC1567</f>
        <v/>
      </c>
      <c r="B1567" s="32">
        <f>'20250815_ETF_Options_Exhibits'!AD1567</f>
        <v/>
      </c>
      <c r="C1567" s="32">
        <f>'20250815_ETF_Options_Exhibits'!AE1567</f>
        <v/>
      </c>
    </row>
    <row r="1568">
      <c r="A1568" s="1">
        <f>'20250815_ETF_Options_Exhibits'!AC1568</f>
        <v/>
      </c>
      <c r="B1568" s="32">
        <f>'20250815_ETF_Options_Exhibits'!AD1568</f>
        <v/>
      </c>
      <c r="C1568" s="32">
        <f>'20250815_ETF_Options_Exhibits'!AE1568</f>
        <v/>
      </c>
    </row>
    <row r="1569">
      <c r="A1569" s="1">
        <f>'20250815_ETF_Options_Exhibits'!AC1569</f>
        <v/>
      </c>
      <c r="B1569" s="32">
        <f>'20250815_ETF_Options_Exhibits'!AD1569</f>
        <v/>
      </c>
      <c r="C1569" s="32">
        <f>'20250815_ETF_Options_Exhibits'!AE1569</f>
        <v/>
      </c>
    </row>
    <row r="1570">
      <c r="A1570" s="1">
        <f>'20250815_ETF_Options_Exhibits'!AC1570</f>
        <v/>
      </c>
      <c r="B1570" s="32">
        <f>'20250815_ETF_Options_Exhibits'!AD1570</f>
        <v/>
      </c>
      <c r="C1570" s="32">
        <f>'20250815_ETF_Options_Exhibits'!AE1570</f>
        <v/>
      </c>
    </row>
    <row r="1571">
      <c r="A1571" s="1">
        <f>'20250815_ETF_Options_Exhibits'!AC1571</f>
        <v/>
      </c>
      <c r="B1571" s="32">
        <f>'20250815_ETF_Options_Exhibits'!AD1571</f>
        <v/>
      </c>
      <c r="C1571" s="32">
        <f>'20250815_ETF_Options_Exhibits'!AE1571</f>
        <v/>
      </c>
    </row>
    <row r="1572">
      <c r="A1572" s="1">
        <f>'20250815_ETF_Options_Exhibits'!AC1572</f>
        <v/>
      </c>
      <c r="B1572" s="32">
        <f>'20250815_ETF_Options_Exhibits'!AD1572</f>
        <v/>
      </c>
      <c r="C1572" s="32">
        <f>'20250815_ETF_Options_Exhibits'!AE1572</f>
        <v/>
      </c>
    </row>
    <row r="1573">
      <c r="A1573" s="1">
        <f>'20250815_ETF_Options_Exhibits'!AC1573</f>
        <v/>
      </c>
      <c r="B1573" s="32">
        <f>'20250815_ETF_Options_Exhibits'!AD1573</f>
        <v/>
      </c>
      <c r="C1573" s="32">
        <f>'20250815_ETF_Options_Exhibits'!AE1573</f>
        <v/>
      </c>
    </row>
    <row r="1574">
      <c r="A1574" s="1">
        <f>'20250815_ETF_Options_Exhibits'!AC1574</f>
        <v/>
      </c>
      <c r="B1574" s="32">
        <f>'20250815_ETF_Options_Exhibits'!AD1574</f>
        <v/>
      </c>
      <c r="C1574" s="32">
        <f>'20250815_ETF_Options_Exhibits'!AE1574</f>
        <v/>
      </c>
    </row>
    <row r="1575">
      <c r="A1575" s="1">
        <f>'20250815_ETF_Options_Exhibits'!AC1575</f>
        <v/>
      </c>
      <c r="B1575" s="32">
        <f>'20250815_ETF_Options_Exhibits'!AD1575</f>
        <v/>
      </c>
      <c r="C1575" s="32">
        <f>'20250815_ETF_Options_Exhibits'!AE1575</f>
        <v/>
      </c>
    </row>
    <row r="1576">
      <c r="A1576" s="1">
        <f>'20250815_ETF_Options_Exhibits'!AC1576</f>
        <v/>
      </c>
      <c r="B1576" s="32">
        <f>'20250815_ETF_Options_Exhibits'!AD1576</f>
        <v/>
      </c>
      <c r="C1576" s="32">
        <f>'20250815_ETF_Options_Exhibits'!AE1576</f>
        <v/>
      </c>
    </row>
    <row r="1577">
      <c r="A1577" s="1">
        <f>'20250815_ETF_Options_Exhibits'!AC1577</f>
        <v/>
      </c>
      <c r="B1577" s="32">
        <f>'20250815_ETF_Options_Exhibits'!AD1577</f>
        <v/>
      </c>
      <c r="C1577" s="32">
        <f>'20250815_ETF_Options_Exhibits'!AE1577</f>
        <v/>
      </c>
    </row>
    <row r="1578">
      <c r="A1578" s="1">
        <f>'20250815_ETF_Options_Exhibits'!AC1578</f>
        <v/>
      </c>
      <c r="B1578" s="32">
        <f>'20250815_ETF_Options_Exhibits'!AD1578</f>
        <v/>
      </c>
      <c r="C1578" s="32">
        <f>'20250815_ETF_Options_Exhibits'!AE1578</f>
        <v/>
      </c>
    </row>
    <row r="1579">
      <c r="A1579" s="1">
        <f>'20250815_ETF_Options_Exhibits'!AC1579</f>
        <v/>
      </c>
      <c r="B1579" s="32">
        <f>'20250815_ETF_Options_Exhibits'!AD1579</f>
        <v/>
      </c>
      <c r="C1579" s="32">
        <f>'20250815_ETF_Options_Exhibits'!AE1579</f>
        <v/>
      </c>
    </row>
    <row r="1580">
      <c r="A1580" s="1">
        <f>'20250815_ETF_Options_Exhibits'!AC1580</f>
        <v/>
      </c>
      <c r="B1580" s="32">
        <f>'20250815_ETF_Options_Exhibits'!AD1580</f>
        <v/>
      </c>
      <c r="C1580" s="32">
        <f>'20250815_ETF_Options_Exhibits'!AE1580</f>
        <v/>
      </c>
    </row>
    <row r="1581">
      <c r="A1581" s="1">
        <f>'20250815_ETF_Options_Exhibits'!AC1581</f>
        <v/>
      </c>
      <c r="B1581" s="32">
        <f>'20250815_ETF_Options_Exhibits'!AD1581</f>
        <v/>
      </c>
      <c r="C1581" s="32">
        <f>'20250815_ETF_Options_Exhibits'!AE1581</f>
        <v/>
      </c>
    </row>
    <row r="1582">
      <c r="A1582" s="1">
        <f>'20250815_ETF_Options_Exhibits'!AC1582</f>
        <v/>
      </c>
      <c r="B1582" s="32">
        <f>'20250815_ETF_Options_Exhibits'!AD1582</f>
        <v/>
      </c>
      <c r="C1582" s="32">
        <f>'20250815_ETF_Options_Exhibits'!AE1582</f>
        <v/>
      </c>
    </row>
    <row r="1583">
      <c r="A1583" s="1">
        <f>'20250815_ETF_Options_Exhibits'!AC1583</f>
        <v/>
      </c>
      <c r="B1583" s="32">
        <f>'20250815_ETF_Options_Exhibits'!AD1583</f>
        <v/>
      </c>
      <c r="C1583" s="32">
        <f>'20250815_ETF_Options_Exhibits'!AE1583</f>
        <v/>
      </c>
    </row>
    <row r="1584">
      <c r="A1584" s="1">
        <f>'20250815_ETF_Options_Exhibits'!AC1584</f>
        <v/>
      </c>
      <c r="B1584" s="32">
        <f>'20250815_ETF_Options_Exhibits'!AD1584</f>
        <v/>
      </c>
      <c r="C1584" s="32">
        <f>'20250815_ETF_Options_Exhibits'!AE1584</f>
        <v/>
      </c>
    </row>
    <row r="1585">
      <c r="A1585" s="1">
        <f>'20250815_ETF_Options_Exhibits'!AC1585</f>
        <v/>
      </c>
      <c r="B1585" s="32">
        <f>'20250815_ETF_Options_Exhibits'!AD1585</f>
        <v/>
      </c>
      <c r="C1585" s="32">
        <f>'20250815_ETF_Options_Exhibits'!AE1585</f>
        <v/>
      </c>
    </row>
    <row r="1586">
      <c r="A1586" s="1">
        <f>'20250815_ETF_Options_Exhibits'!AC1586</f>
        <v/>
      </c>
      <c r="B1586" s="32">
        <f>'20250815_ETF_Options_Exhibits'!AD1586</f>
        <v/>
      </c>
      <c r="C1586" s="32">
        <f>'20250815_ETF_Options_Exhibits'!AE1586</f>
        <v/>
      </c>
    </row>
    <row r="1587">
      <c r="A1587" s="1">
        <f>'20250815_ETF_Options_Exhibits'!AC1587</f>
        <v/>
      </c>
      <c r="B1587" s="32">
        <f>'20250815_ETF_Options_Exhibits'!AD1587</f>
        <v/>
      </c>
      <c r="C1587" s="32">
        <f>'20250815_ETF_Options_Exhibits'!AE1587</f>
        <v/>
      </c>
    </row>
    <row r="1588">
      <c r="A1588" s="1">
        <f>'20250815_ETF_Options_Exhibits'!AC1588</f>
        <v/>
      </c>
      <c r="B1588" s="32">
        <f>'20250815_ETF_Options_Exhibits'!AD1588</f>
        <v/>
      </c>
      <c r="C1588" s="32">
        <f>'20250815_ETF_Options_Exhibits'!AE1588</f>
        <v/>
      </c>
    </row>
    <row r="1589">
      <c r="A1589" s="1">
        <f>'20250815_ETF_Options_Exhibits'!AC1589</f>
        <v/>
      </c>
      <c r="B1589" s="32">
        <f>'20250815_ETF_Options_Exhibits'!AD1589</f>
        <v/>
      </c>
      <c r="C1589" s="32">
        <f>'20250815_ETF_Options_Exhibits'!AE1589</f>
        <v/>
      </c>
    </row>
    <row r="1590">
      <c r="A1590" s="1">
        <f>'20250815_ETF_Options_Exhibits'!AC1590</f>
        <v/>
      </c>
      <c r="B1590" s="32">
        <f>'20250815_ETF_Options_Exhibits'!AD1590</f>
        <v/>
      </c>
      <c r="C1590" s="32">
        <f>'20250815_ETF_Options_Exhibits'!AE1590</f>
        <v/>
      </c>
    </row>
    <row r="1591">
      <c r="A1591" s="1">
        <f>'20250815_ETF_Options_Exhibits'!AC1591</f>
        <v/>
      </c>
      <c r="B1591" s="32">
        <f>'20250815_ETF_Options_Exhibits'!AD1591</f>
        <v/>
      </c>
      <c r="C1591" s="32">
        <f>'20250815_ETF_Options_Exhibits'!AE1591</f>
        <v/>
      </c>
    </row>
    <row r="1592">
      <c r="A1592" s="1">
        <f>'20250815_ETF_Options_Exhibits'!AC1592</f>
        <v/>
      </c>
      <c r="B1592" s="32">
        <f>'20250815_ETF_Options_Exhibits'!AD1592</f>
        <v/>
      </c>
      <c r="C1592" s="32">
        <f>'20250815_ETF_Options_Exhibits'!AE1592</f>
        <v/>
      </c>
    </row>
    <row r="1593">
      <c r="A1593" s="1">
        <f>'20250815_ETF_Options_Exhibits'!AC1593</f>
        <v/>
      </c>
      <c r="B1593" s="32">
        <f>'20250815_ETF_Options_Exhibits'!AD1593</f>
        <v/>
      </c>
      <c r="C1593" s="32">
        <f>'20250815_ETF_Options_Exhibits'!AE1593</f>
        <v/>
      </c>
    </row>
    <row r="1594">
      <c r="A1594" s="1">
        <f>'20250815_ETF_Options_Exhibits'!AC1594</f>
        <v/>
      </c>
      <c r="B1594" s="32">
        <f>'20250815_ETF_Options_Exhibits'!AD1594</f>
        <v/>
      </c>
      <c r="C1594" s="32">
        <f>'20250815_ETF_Options_Exhibits'!AE1594</f>
        <v/>
      </c>
    </row>
    <row r="1595">
      <c r="A1595" s="1">
        <f>'20250815_ETF_Options_Exhibits'!AC1595</f>
        <v/>
      </c>
      <c r="B1595" s="32">
        <f>'20250815_ETF_Options_Exhibits'!AD1595</f>
        <v/>
      </c>
      <c r="C1595" s="32">
        <f>'20250815_ETF_Options_Exhibits'!AE1595</f>
        <v/>
      </c>
    </row>
    <row r="1596">
      <c r="A1596" s="1">
        <f>'20250815_ETF_Options_Exhibits'!AC1596</f>
        <v/>
      </c>
      <c r="B1596" s="32">
        <f>'20250815_ETF_Options_Exhibits'!AD1596</f>
        <v/>
      </c>
      <c r="C1596" s="32">
        <f>'20250815_ETF_Options_Exhibits'!AE1596</f>
        <v/>
      </c>
    </row>
    <row r="1597">
      <c r="A1597" s="1">
        <f>'20250815_ETF_Options_Exhibits'!AC1597</f>
        <v/>
      </c>
      <c r="B1597" s="32">
        <f>'20250815_ETF_Options_Exhibits'!AD1597</f>
        <v/>
      </c>
      <c r="C1597" s="32">
        <f>'20250815_ETF_Options_Exhibits'!AE1597</f>
        <v/>
      </c>
    </row>
    <row r="1598">
      <c r="A1598" s="1">
        <f>'20250815_ETF_Options_Exhibits'!AC1598</f>
        <v/>
      </c>
      <c r="B1598" s="32">
        <f>'20250815_ETF_Options_Exhibits'!AD1598</f>
        <v/>
      </c>
      <c r="C1598" s="32">
        <f>'20250815_ETF_Options_Exhibits'!AE1598</f>
        <v/>
      </c>
    </row>
    <row r="1599">
      <c r="A1599" s="1">
        <f>'20250815_ETF_Options_Exhibits'!AC1599</f>
        <v/>
      </c>
      <c r="B1599" s="32">
        <f>'20250815_ETF_Options_Exhibits'!AD1599</f>
        <v/>
      </c>
      <c r="C1599" s="32">
        <f>'20250815_ETF_Options_Exhibits'!AE1599</f>
        <v/>
      </c>
    </row>
    <row r="1600">
      <c r="A1600" s="1">
        <f>'20250815_ETF_Options_Exhibits'!AC1600</f>
        <v/>
      </c>
      <c r="B1600" s="32">
        <f>'20250815_ETF_Options_Exhibits'!AD1600</f>
        <v/>
      </c>
      <c r="C1600" s="32">
        <f>'20250815_ETF_Options_Exhibits'!AE1600</f>
        <v/>
      </c>
    </row>
    <row r="1601">
      <c r="A1601" s="1">
        <f>'20250815_ETF_Options_Exhibits'!AC1601</f>
        <v/>
      </c>
      <c r="B1601" s="32">
        <f>'20250815_ETF_Options_Exhibits'!AD1601</f>
        <v/>
      </c>
      <c r="C1601" s="32">
        <f>'20250815_ETF_Options_Exhibits'!AE1601</f>
        <v/>
      </c>
    </row>
    <row r="1602">
      <c r="A1602" s="1">
        <f>'20250815_ETF_Options_Exhibits'!AC1602</f>
        <v/>
      </c>
      <c r="B1602" s="32">
        <f>'20250815_ETF_Options_Exhibits'!AD1602</f>
        <v/>
      </c>
      <c r="C1602" s="32">
        <f>'20250815_ETF_Options_Exhibits'!AE1602</f>
        <v/>
      </c>
    </row>
    <row r="1603">
      <c r="A1603" s="1">
        <f>'20250815_ETF_Options_Exhibits'!AC1603</f>
        <v/>
      </c>
      <c r="B1603" s="32">
        <f>'20250815_ETF_Options_Exhibits'!AD1603</f>
        <v/>
      </c>
      <c r="C1603" s="32">
        <f>'20250815_ETF_Options_Exhibits'!AE1603</f>
        <v/>
      </c>
    </row>
    <row r="1604">
      <c r="A1604" s="1">
        <f>'20250815_ETF_Options_Exhibits'!AC1604</f>
        <v/>
      </c>
      <c r="B1604" s="32">
        <f>'20250815_ETF_Options_Exhibits'!AD1604</f>
        <v/>
      </c>
      <c r="C1604" s="32">
        <f>'20250815_ETF_Options_Exhibits'!AE1604</f>
        <v/>
      </c>
    </row>
    <row r="1605">
      <c r="A1605" s="1">
        <f>'20250815_ETF_Options_Exhibits'!AC1605</f>
        <v/>
      </c>
      <c r="B1605" s="32">
        <f>'20250815_ETF_Options_Exhibits'!AD1605</f>
        <v/>
      </c>
      <c r="C1605" s="32">
        <f>'20250815_ETF_Options_Exhibits'!AE1605</f>
        <v/>
      </c>
    </row>
    <row r="1606">
      <c r="A1606" s="1">
        <f>'20250815_ETF_Options_Exhibits'!AC1606</f>
        <v/>
      </c>
      <c r="B1606" s="32">
        <f>'20250815_ETF_Options_Exhibits'!AD1606</f>
        <v/>
      </c>
      <c r="C1606" s="32">
        <f>'20250815_ETF_Options_Exhibits'!AE1606</f>
        <v/>
      </c>
    </row>
    <row r="1607">
      <c r="A1607" s="1">
        <f>'20250815_ETF_Options_Exhibits'!AC1607</f>
        <v/>
      </c>
      <c r="B1607" s="32">
        <f>'20250815_ETF_Options_Exhibits'!AD1607</f>
        <v/>
      </c>
      <c r="C1607" s="32">
        <f>'20250815_ETF_Options_Exhibits'!AE1607</f>
        <v/>
      </c>
    </row>
    <row r="1608">
      <c r="A1608" s="1">
        <f>'20250815_ETF_Options_Exhibits'!AC1608</f>
        <v/>
      </c>
      <c r="B1608" s="32">
        <f>'20250815_ETF_Options_Exhibits'!AD1608</f>
        <v/>
      </c>
      <c r="C1608" s="32">
        <f>'20250815_ETF_Options_Exhibits'!AE1608</f>
        <v/>
      </c>
    </row>
    <row r="1609">
      <c r="A1609" s="1">
        <f>'20250815_ETF_Options_Exhibits'!AC1609</f>
        <v/>
      </c>
      <c r="B1609" s="32">
        <f>'20250815_ETF_Options_Exhibits'!AD1609</f>
        <v/>
      </c>
      <c r="C1609" s="32">
        <f>'20250815_ETF_Options_Exhibits'!AE1609</f>
        <v/>
      </c>
    </row>
    <row r="1610">
      <c r="A1610" s="1">
        <f>'20250815_ETF_Options_Exhibits'!AC1610</f>
        <v/>
      </c>
      <c r="B1610" s="32">
        <f>'20250815_ETF_Options_Exhibits'!AD1610</f>
        <v/>
      </c>
      <c r="C1610" s="32">
        <f>'20250815_ETF_Options_Exhibits'!AE1610</f>
        <v/>
      </c>
    </row>
    <row r="1611">
      <c r="A1611" s="1">
        <f>'20250815_ETF_Options_Exhibits'!AC1611</f>
        <v/>
      </c>
      <c r="B1611" s="32">
        <f>'20250815_ETF_Options_Exhibits'!AD1611</f>
        <v/>
      </c>
      <c r="C1611" s="32">
        <f>'20250815_ETF_Options_Exhibits'!AE1611</f>
        <v/>
      </c>
    </row>
    <row r="1612">
      <c r="A1612" s="1">
        <f>'20250815_ETF_Options_Exhibits'!AC1612</f>
        <v/>
      </c>
      <c r="B1612" s="32">
        <f>'20250815_ETF_Options_Exhibits'!AD1612</f>
        <v/>
      </c>
      <c r="C1612" s="32">
        <f>'20250815_ETF_Options_Exhibits'!AE1612</f>
        <v/>
      </c>
    </row>
    <row r="1613">
      <c r="A1613" s="1">
        <f>'20250815_ETF_Options_Exhibits'!AC1613</f>
        <v/>
      </c>
      <c r="B1613" s="32">
        <f>'20250815_ETF_Options_Exhibits'!AD1613</f>
        <v/>
      </c>
      <c r="C1613" s="32">
        <f>'20250815_ETF_Options_Exhibits'!AE1613</f>
        <v/>
      </c>
    </row>
    <row r="1614">
      <c r="A1614" s="1">
        <f>'20250815_ETF_Options_Exhibits'!AC1614</f>
        <v/>
      </c>
      <c r="B1614" s="32">
        <f>'20250815_ETF_Options_Exhibits'!AD1614</f>
        <v/>
      </c>
      <c r="C1614" s="32">
        <f>'20250815_ETF_Options_Exhibits'!AE1614</f>
        <v/>
      </c>
    </row>
    <row r="1615">
      <c r="A1615" s="1">
        <f>'20250815_ETF_Options_Exhibits'!AC1615</f>
        <v/>
      </c>
      <c r="B1615" s="32">
        <f>'20250815_ETF_Options_Exhibits'!AD1615</f>
        <v/>
      </c>
      <c r="C1615" s="32">
        <f>'20250815_ETF_Options_Exhibits'!AE1615</f>
        <v/>
      </c>
    </row>
    <row r="1616">
      <c r="A1616" s="1">
        <f>'20250815_ETF_Options_Exhibits'!AC1616</f>
        <v/>
      </c>
      <c r="B1616" s="32">
        <f>'20250815_ETF_Options_Exhibits'!AD1616</f>
        <v/>
      </c>
      <c r="C1616" s="32">
        <f>'20250815_ETF_Options_Exhibits'!AE1616</f>
        <v/>
      </c>
    </row>
    <row r="1617">
      <c r="A1617" s="1">
        <f>'20250815_ETF_Options_Exhibits'!AC1617</f>
        <v/>
      </c>
      <c r="B1617" s="32">
        <f>'20250815_ETF_Options_Exhibits'!AD1617</f>
        <v/>
      </c>
      <c r="C1617" s="32">
        <f>'20250815_ETF_Options_Exhibits'!AE1617</f>
        <v/>
      </c>
    </row>
    <row r="1618">
      <c r="A1618" s="1">
        <f>'20250815_ETF_Options_Exhibits'!AC1618</f>
        <v/>
      </c>
      <c r="B1618" s="32">
        <f>'20250815_ETF_Options_Exhibits'!AD1618</f>
        <v/>
      </c>
      <c r="C1618" s="32">
        <f>'20250815_ETF_Options_Exhibits'!AE1618</f>
        <v/>
      </c>
    </row>
    <row r="1619">
      <c r="A1619" s="1">
        <f>'20250815_ETF_Options_Exhibits'!AC1619</f>
        <v/>
      </c>
      <c r="B1619" s="32">
        <f>'20250815_ETF_Options_Exhibits'!AD1619</f>
        <v/>
      </c>
      <c r="C1619" s="32">
        <f>'20250815_ETF_Options_Exhibits'!AE1619</f>
        <v/>
      </c>
    </row>
    <row r="1620">
      <c r="A1620" s="1">
        <f>'20250815_ETF_Options_Exhibits'!AC1620</f>
        <v/>
      </c>
      <c r="B1620" s="32">
        <f>'20250815_ETF_Options_Exhibits'!AD1620</f>
        <v/>
      </c>
      <c r="C1620" s="32">
        <f>'20250815_ETF_Options_Exhibits'!AE1620</f>
        <v/>
      </c>
    </row>
    <row r="1621">
      <c r="A1621" s="1">
        <f>'20250815_ETF_Options_Exhibits'!AC1621</f>
        <v/>
      </c>
      <c r="B1621" s="32">
        <f>'20250815_ETF_Options_Exhibits'!AD1621</f>
        <v/>
      </c>
      <c r="C1621" s="32">
        <f>'20250815_ETF_Options_Exhibits'!AE1621</f>
        <v/>
      </c>
    </row>
    <row r="1622">
      <c r="A1622" s="1">
        <f>'20250815_ETF_Options_Exhibits'!AC1622</f>
        <v/>
      </c>
      <c r="B1622" s="32">
        <f>'20250815_ETF_Options_Exhibits'!AD1622</f>
        <v/>
      </c>
      <c r="C1622" s="32">
        <f>'20250815_ETF_Options_Exhibits'!AE1622</f>
        <v/>
      </c>
    </row>
    <row r="1623">
      <c r="A1623" s="1">
        <f>'20250815_ETF_Options_Exhibits'!AC1623</f>
        <v/>
      </c>
      <c r="B1623" s="32">
        <f>'20250815_ETF_Options_Exhibits'!AD1623</f>
        <v/>
      </c>
      <c r="C1623" s="32">
        <f>'20250815_ETF_Options_Exhibits'!AE1623</f>
        <v/>
      </c>
    </row>
    <row r="1624">
      <c r="A1624" s="1">
        <f>'20250815_ETF_Options_Exhibits'!AC1624</f>
        <v/>
      </c>
      <c r="B1624" s="32">
        <f>'20250815_ETF_Options_Exhibits'!AD1624</f>
        <v/>
      </c>
      <c r="C1624" s="32">
        <f>'20250815_ETF_Options_Exhibits'!AE1624</f>
        <v/>
      </c>
    </row>
    <row r="1625">
      <c r="A1625" s="1">
        <f>'20250815_ETF_Options_Exhibits'!AC1625</f>
        <v/>
      </c>
      <c r="B1625" s="32">
        <f>'20250815_ETF_Options_Exhibits'!AD1625</f>
        <v/>
      </c>
      <c r="C1625" s="32">
        <f>'20250815_ETF_Options_Exhibits'!AE1625</f>
        <v/>
      </c>
    </row>
    <row r="1626">
      <c r="A1626" s="1">
        <f>'20250815_ETF_Options_Exhibits'!AC1626</f>
        <v/>
      </c>
      <c r="B1626" s="32">
        <f>'20250815_ETF_Options_Exhibits'!AD1626</f>
        <v/>
      </c>
      <c r="C1626" s="32">
        <f>'20250815_ETF_Options_Exhibits'!AE1626</f>
        <v/>
      </c>
    </row>
    <row r="1627">
      <c r="A1627" s="1">
        <f>'20250815_ETF_Options_Exhibits'!AC1627</f>
        <v/>
      </c>
      <c r="B1627" s="32">
        <f>'20250815_ETF_Options_Exhibits'!AD1627</f>
        <v/>
      </c>
      <c r="C1627" s="32">
        <f>'20250815_ETF_Options_Exhibits'!AE1627</f>
        <v/>
      </c>
    </row>
    <row r="1628">
      <c r="A1628" s="1">
        <f>'20250815_ETF_Options_Exhibits'!AC1628</f>
        <v/>
      </c>
      <c r="B1628" s="32">
        <f>'20250815_ETF_Options_Exhibits'!AD1628</f>
        <v/>
      </c>
      <c r="C1628" s="32">
        <f>'20250815_ETF_Options_Exhibits'!AE1628</f>
        <v/>
      </c>
    </row>
    <row r="1629">
      <c r="A1629" s="1">
        <f>'20250815_ETF_Options_Exhibits'!AC1629</f>
        <v/>
      </c>
      <c r="B1629" s="32">
        <f>'20250815_ETF_Options_Exhibits'!AD1629</f>
        <v/>
      </c>
      <c r="C1629" s="32">
        <f>'20250815_ETF_Options_Exhibits'!AE1629</f>
        <v/>
      </c>
    </row>
    <row r="1630">
      <c r="A1630" s="1">
        <f>'20250815_ETF_Options_Exhibits'!AC1630</f>
        <v/>
      </c>
      <c r="B1630" s="32">
        <f>'20250815_ETF_Options_Exhibits'!AD1630</f>
        <v/>
      </c>
      <c r="C1630" s="32">
        <f>'20250815_ETF_Options_Exhibits'!AE1630</f>
        <v/>
      </c>
    </row>
    <row r="1631">
      <c r="A1631" s="1">
        <f>'20250815_ETF_Options_Exhibits'!AC1631</f>
        <v/>
      </c>
      <c r="B1631" s="32">
        <f>'20250815_ETF_Options_Exhibits'!AD1631</f>
        <v/>
      </c>
      <c r="C1631" s="32">
        <f>'20250815_ETF_Options_Exhibits'!AE1631</f>
        <v/>
      </c>
    </row>
    <row r="1632">
      <c r="A1632" s="1">
        <f>'20250815_ETF_Options_Exhibits'!AC1632</f>
        <v/>
      </c>
      <c r="B1632" s="32">
        <f>'20250815_ETF_Options_Exhibits'!AD1632</f>
        <v/>
      </c>
      <c r="C1632" s="32">
        <f>'20250815_ETF_Options_Exhibits'!AE1632</f>
        <v/>
      </c>
    </row>
    <row r="1633">
      <c r="A1633" s="1">
        <f>'20250815_ETF_Options_Exhibits'!AC1633</f>
        <v/>
      </c>
      <c r="B1633" s="32">
        <f>'20250815_ETF_Options_Exhibits'!AD1633</f>
        <v/>
      </c>
      <c r="C1633" s="32">
        <f>'20250815_ETF_Options_Exhibits'!AE1633</f>
        <v/>
      </c>
    </row>
    <row r="1634">
      <c r="A1634" s="1">
        <f>'20250815_ETF_Options_Exhibits'!AC1634</f>
        <v/>
      </c>
      <c r="B1634" s="32">
        <f>'20250815_ETF_Options_Exhibits'!AD1634</f>
        <v/>
      </c>
      <c r="C1634" s="32">
        <f>'20250815_ETF_Options_Exhibits'!AE1634</f>
        <v/>
      </c>
    </row>
    <row r="1635">
      <c r="A1635" s="1">
        <f>'20250815_ETF_Options_Exhibits'!AC1635</f>
        <v/>
      </c>
      <c r="B1635" s="32">
        <f>'20250815_ETF_Options_Exhibits'!AD1635</f>
        <v/>
      </c>
      <c r="C1635" s="32">
        <f>'20250815_ETF_Options_Exhibits'!AE1635</f>
        <v/>
      </c>
    </row>
    <row r="1636">
      <c r="A1636" s="1">
        <f>'20250815_ETF_Options_Exhibits'!AC1636</f>
        <v/>
      </c>
      <c r="B1636" s="32">
        <f>'20250815_ETF_Options_Exhibits'!AD1636</f>
        <v/>
      </c>
      <c r="C1636" s="32">
        <f>'20250815_ETF_Options_Exhibits'!AE1636</f>
        <v/>
      </c>
    </row>
    <row r="1637">
      <c r="A1637" s="1">
        <f>'20250815_ETF_Options_Exhibits'!AC1637</f>
        <v/>
      </c>
      <c r="B1637" s="32">
        <f>'20250815_ETF_Options_Exhibits'!AD1637</f>
        <v/>
      </c>
      <c r="C1637" s="32">
        <f>'20250815_ETF_Options_Exhibits'!AE1637</f>
        <v/>
      </c>
    </row>
    <row r="1638">
      <c r="A1638" s="1">
        <f>'20250815_ETF_Options_Exhibits'!AC1638</f>
        <v/>
      </c>
      <c r="B1638" s="32">
        <f>'20250815_ETF_Options_Exhibits'!AD1638</f>
        <v/>
      </c>
      <c r="C1638" s="32">
        <f>'20250815_ETF_Options_Exhibits'!AE1638</f>
        <v/>
      </c>
    </row>
    <row r="1639">
      <c r="A1639" s="1">
        <f>'20250815_ETF_Options_Exhibits'!AC1639</f>
        <v/>
      </c>
      <c r="B1639" s="32">
        <f>'20250815_ETF_Options_Exhibits'!AD1639</f>
        <v/>
      </c>
      <c r="C1639" s="32">
        <f>'20250815_ETF_Options_Exhibits'!AE1639</f>
        <v/>
      </c>
    </row>
    <row r="1640">
      <c r="A1640" s="1">
        <f>'20250815_ETF_Options_Exhibits'!AC1640</f>
        <v/>
      </c>
      <c r="B1640" s="32">
        <f>'20250815_ETF_Options_Exhibits'!AD1640</f>
        <v/>
      </c>
      <c r="C1640" s="32">
        <f>'20250815_ETF_Options_Exhibits'!AE1640</f>
        <v/>
      </c>
    </row>
    <row r="1641">
      <c r="A1641" s="1">
        <f>'20250815_ETF_Options_Exhibits'!AC1641</f>
        <v/>
      </c>
      <c r="B1641" s="32">
        <f>'20250815_ETF_Options_Exhibits'!AD1641</f>
        <v/>
      </c>
      <c r="C1641" s="32">
        <f>'20250815_ETF_Options_Exhibits'!AE1641</f>
        <v/>
      </c>
    </row>
    <row r="1642">
      <c r="A1642" s="1">
        <f>'20250815_ETF_Options_Exhibits'!AC1642</f>
        <v/>
      </c>
      <c r="B1642" s="32">
        <f>'20250815_ETF_Options_Exhibits'!AD1642</f>
        <v/>
      </c>
      <c r="C1642" s="32">
        <f>'20250815_ETF_Options_Exhibits'!AE1642</f>
        <v/>
      </c>
    </row>
    <row r="1643">
      <c r="A1643" s="1">
        <f>'20250815_ETF_Options_Exhibits'!AC1643</f>
        <v/>
      </c>
      <c r="B1643" s="32">
        <f>'20250815_ETF_Options_Exhibits'!AD1643</f>
        <v/>
      </c>
      <c r="C1643" s="32">
        <f>'20250815_ETF_Options_Exhibits'!AE1643</f>
        <v/>
      </c>
    </row>
    <row r="1644">
      <c r="A1644" s="1">
        <f>'20250815_ETF_Options_Exhibits'!AC1644</f>
        <v/>
      </c>
      <c r="B1644" s="32">
        <f>'20250815_ETF_Options_Exhibits'!AD1644</f>
        <v/>
      </c>
      <c r="C1644" s="32">
        <f>'20250815_ETF_Options_Exhibits'!AE1644</f>
        <v/>
      </c>
    </row>
    <row r="1645">
      <c r="A1645" s="1">
        <f>'20250815_ETF_Options_Exhibits'!AC1645</f>
        <v/>
      </c>
      <c r="B1645" s="32">
        <f>'20250815_ETF_Options_Exhibits'!AD1645</f>
        <v/>
      </c>
      <c r="C1645" s="32">
        <f>'20250815_ETF_Options_Exhibits'!AE1645</f>
        <v/>
      </c>
    </row>
    <row r="1646">
      <c r="A1646" s="1">
        <f>'20250815_ETF_Options_Exhibits'!AC1646</f>
        <v/>
      </c>
      <c r="B1646" s="32">
        <f>'20250815_ETF_Options_Exhibits'!AD1646</f>
        <v/>
      </c>
      <c r="C1646" s="32">
        <f>'20250815_ETF_Options_Exhibits'!AE1646</f>
        <v/>
      </c>
    </row>
    <row r="1647">
      <c r="A1647" s="1">
        <f>'20250815_ETF_Options_Exhibits'!AC1647</f>
        <v/>
      </c>
      <c r="B1647" s="32">
        <f>'20250815_ETF_Options_Exhibits'!AD1647</f>
        <v/>
      </c>
      <c r="C1647" s="32">
        <f>'20250815_ETF_Options_Exhibits'!AE1647</f>
        <v/>
      </c>
    </row>
    <row r="1648">
      <c r="A1648" s="1">
        <f>'20250815_ETF_Options_Exhibits'!AC1648</f>
        <v/>
      </c>
      <c r="B1648" s="32">
        <f>'20250815_ETF_Options_Exhibits'!AD1648</f>
        <v/>
      </c>
      <c r="C1648" s="32">
        <f>'20250815_ETF_Options_Exhibits'!AE1648</f>
        <v/>
      </c>
    </row>
    <row r="1649">
      <c r="A1649" s="1">
        <f>'20250815_ETF_Options_Exhibits'!AC1649</f>
        <v/>
      </c>
      <c r="B1649" s="32">
        <f>'20250815_ETF_Options_Exhibits'!AD1649</f>
        <v/>
      </c>
      <c r="C1649" s="32">
        <f>'20250815_ETF_Options_Exhibits'!AE1649</f>
        <v/>
      </c>
    </row>
    <row r="1650">
      <c r="A1650" s="1">
        <f>'20250815_ETF_Options_Exhibits'!AC1650</f>
        <v/>
      </c>
      <c r="B1650" s="32">
        <f>'20250815_ETF_Options_Exhibits'!AD1650</f>
        <v/>
      </c>
      <c r="C1650" s="32">
        <f>'20250815_ETF_Options_Exhibits'!AE1650</f>
        <v/>
      </c>
    </row>
    <row r="1651">
      <c r="A1651" s="1">
        <f>'20250815_ETF_Options_Exhibits'!AC1651</f>
        <v/>
      </c>
      <c r="B1651" s="32">
        <f>'20250815_ETF_Options_Exhibits'!AD1651</f>
        <v/>
      </c>
      <c r="C1651" s="32">
        <f>'20250815_ETF_Options_Exhibits'!AE1651</f>
        <v/>
      </c>
    </row>
    <row r="1652">
      <c r="A1652" s="1">
        <f>'20250815_ETF_Options_Exhibits'!AC1652</f>
        <v/>
      </c>
      <c r="B1652" s="32">
        <f>'20250815_ETF_Options_Exhibits'!AD1652</f>
        <v/>
      </c>
      <c r="C1652" s="32">
        <f>'20250815_ETF_Options_Exhibits'!AE1652</f>
        <v/>
      </c>
    </row>
    <row r="1653">
      <c r="A1653" s="1">
        <f>'20250815_ETF_Options_Exhibits'!AC1653</f>
        <v/>
      </c>
      <c r="B1653" s="32">
        <f>'20250815_ETF_Options_Exhibits'!AD1653</f>
        <v/>
      </c>
      <c r="C1653" s="32">
        <f>'20250815_ETF_Options_Exhibits'!AE1653</f>
        <v/>
      </c>
    </row>
    <row r="1654">
      <c r="A1654" s="1">
        <f>'20250815_ETF_Options_Exhibits'!AC1654</f>
        <v/>
      </c>
      <c r="B1654" s="32">
        <f>'20250815_ETF_Options_Exhibits'!AD1654</f>
        <v/>
      </c>
      <c r="C1654" s="32">
        <f>'20250815_ETF_Options_Exhibits'!AE1654</f>
        <v/>
      </c>
    </row>
    <row r="1655">
      <c r="A1655" s="1">
        <f>'20250815_ETF_Options_Exhibits'!AC1655</f>
        <v/>
      </c>
      <c r="B1655" s="32">
        <f>'20250815_ETF_Options_Exhibits'!AD1655</f>
        <v/>
      </c>
      <c r="C1655" s="32">
        <f>'20250815_ETF_Options_Exhibits'!AE1655</f>
        <v/>
      </c>
    </row>
    <row r="1656">
      <c r="A1656" s="1">
        <f>'20250815_ETF_Options_Exhibits'!AC1656</f>
        <v/>
      </c>
      <c r="B1656" s="32">
        <f>'20250815_ETF_Options_Exhibits'!AD1656</f>
        <v/>
      </c>
      <c r="C1656" s="32">
        <f>'20250815_ETF_Options_Exhibits'!AE1656</f>
        <v/>
      </c>
    </row>
    <row r="1657">
      <c r="A1657" s="1">
        <f>'20250815_ETF_Options_Exhibits'!AC1657</f>
        <v/>
      </c>
      <c r="B1657" s="32">
        <f>'20250815_ETF_Options_Exhibits'!AD1657</f>
        <v/>
      </c>
      <c r="C1657" s="32">
        <f>'20250815_ETF_Options_Exhibits'!AE1657</f>
        <v/>
      </c>
    </row>
    <row r="1658">
      <c r="A1658" s="1">
        <f>'20250815_ETF_Options_Exhibits'!AC1658</f>
        <v/>
      </c>
      <c r="B1658" s="32">
        <f>'20250815_ETF_Options_Exhibits'!AD1658</f>
        <v/>
      </c>
      <c r="C1658" s="32">
        <f>'20250815_ETF_Options_Exhibits'!AE1658</f>
        <v/>
      </c>
    </row>
    <row r="1659">
      <c r="A1659" s="1">
        <f>'20250815_ETF_Options_Exhibits'!AC1659</f>
        <v/>
      </c>
      <c r="B1659" s="32">
        <f>'20250815_ETF_Options_Exhibits'!AD1659</f>
        <v/>
      </c>
      <c r="C1659" s="32">
        <f>'20250815_ETF_Options_Exhibits'!AE1659</f>
        <v/>
      </c>
    </row>
    <row r="1660">
      <c r="A1660" s="1">
        <f>'20250815_ETF_Options_Exhibits'!AC1660</f>
        <v/>
      </c>
      <c r="B1660" s="32">
        <f>'20250815_ETF_Options_Exhibits'!AD1660</f>
        <v/>
      </c>
      <c r="C1660" s="32">
        <f>'20250815_ETF_Options_Exhibits'!AE1660</f>
        <v/>
      </c>
    </row>
    <row r="1661">
      <c r="A1661" s="1">
        <f>'20250815_ETF_Options_Exhibits'!AC1661</f>
        <v/>
      </c>
      <c r="B1661" s="32">
        <f>'20250815_ETF_Options_Exhibits'!AD1661</f>
        <v/>
      </c>
      <c r="C1661" s="32">
        <f>'20250815_ETF_Options_Exhibits'!AE1661</f>
        <v/>
      </c>
    </row>
    <row r="1662">
      <c r="A1662" s="1">
        <f>'20250815_ETF_Options_Exhibits'!AC1662</f>
        <v/>
      </c>
      <c r="B1662" s="32">
        <f>'20250815_ETF_Options_Exhibits'!AD1662</f>
        <v/>
      </c>
      <c r="C1662" s="32">
        <f>'20250815_ETF_Options_Exhibits'!AE1662</f>
        <v/>
      </c>
    </row>
    <row r="1663">
      <c r="A1663" s="1">
        <f>'20250815_ETF_Options_Exhibits'!AC1663</f>
        <v/>
      </c>
      <c r="B1663" s="32">
        <f>'20250815_ETF_Options_Exhibits'!AD1663</f>
        <v/>
      </c>
      <c r="C1663" s="32">
        <f>'20250815_ETF_Options_Exhibits'!AE1663</f>
        <v/>
      </c>
    </row>
    <row r="1664">
      <c r="A1664" s="1">
        <f>'20250815_ETF_Options_Exhibits'!AC1664</f>
        <v/>
      </c>
      <c r="B1664" s="32">
        <f>'20250815_ETF_Options_Exhibits'!AD1664</f>
        <v/>
      </c>
      <c r="C1664" s="32">
        <f>'20250815_ETF_Options_Exhibits'!AE1664</f>
        <v/>
      </c>
    </row>
    <row r="1665">
      <c r="A1665" s="1">
        <f>'20250815_ETF_Options_Exhibits'!AC1665</f>
        <v/>
      </c>
      <c r="B1665" s="32">
        <f>'20250815_ETF_Options_Exhibits'!AD1665</f>
        <v/>
      </c>
      <c r="C1665" s="32">
        <f>'20250815_ETF_Options_Exhibits'!AE1665</f>
        <v/>
      </c>
    </row>
    <row r="1666">
      <c r="A1666" s="1">
        <f>'20250815_ETF_Options_Exhibits'!AC1666</f>
        <v/>
      </c>
      <c r="B1666" s="32">
        <f>'20250815_ETF_Options_Exhibits'!AD1666</f>
        <v/>
      </c>
      <c r="C1666" s="32">
        <f>'20250815_ETF_Options_Exhibits'!AE1666</f>
        <v/>
      </c>
    </row>
    <row r="1667">
      <c r="A1667" s="1">
        <f>'20250815_ETF_Options_Exhibits'!AC1667</f>
        <v/>
      </c>
      <c r="B1667" s="32">
        <f>'20250815_ETF_Options_Exhibits'!AD1667</f>
        <v/>
      </c>
      <c r="C1667" s="32">
        <f>'20250815_ETF_Options_Exhibits'!AE1667</f>
        <v/>
      </c>
    </row>
    <row r="1668">
      <c r="A1668" s="1">
        <f>'20250815_ETF_Options_Exhibits'!AC1668</f>
        <v/>
      </c>
      <c r="B1668" s="32">
        <f>'20250815_ETF_Options_Exhibits'!AD1668</f>
        <v/>
      </c>
      <c r="C1668" s="32">
        <f>'20250815_ETF_Options_Exhibits'!AE1668</f>
        <v/>
      </c>
    </row>
    <row r="1669">
      <c r="A1669" s="1">
        <f>'20250815_ETF_Options_Exhibits'!AC1669</f>
        <v/>
      </c>
      <c r="B1669" s="32">
        <f>'20250815_ETF_Options_Exhibits'!AD1669</f>
        <v/>
      </c>
      <c r="C1669" s="32">
        <f>'20250815_ETF_Options_Exhibits'!AE1669</f>
        <v/>
      </c>
    </row>
    <row r="1670">
      <c r="A1670" s="1">
        <f>'20250815_ETF_Options_Exhibits'!AC1670</f>
        <v/>
      </c>
      <c r="B1670" s="32">
        <f>'20250815_ETF_Options_Exhibits'!AD1670</f>
        <v/>
      </c>
      <c r="C1670" s="32">
        <f>'20250815_ETF_Options_Exhibits'!AE1670</f>
        <v/>
      </c>
    </row>
    <row r="1671">
      <c r="A1671" s="1">
        <f>'20250815_ETF_Options_Exhibits'!AC1671</f>
        <v/>
      </c>
      <c r="B1671" s="32">
        <f>'20250815_ETF_Options_Exhibits'!AD1671</f>
        <v/>
      </c>
      <c r="C1671" s="32">
        <f>'20250815_ETF_Options_Exhibits'!AE1671</f>
        <v/>
      </c>
    </row>
    <row r="1672">
      <c r="A1672" s="1">
        <f>'20250815_ETF_Options_Exhibits'!AC1672</f>
        <v/>
      </c>
      <c r="B1672" s="32">
        <f>'20250815_ETF_Options_Exhibits'!AD1672</f>
        <v/>
      </c>
      <c r="C1672" s="32">
        <f>'20250815_ETF_Options_Exhibits'!AE1672</f>
        <v/>
      </c>
    </row>
    <row r="1673">
      <c r="A1673" s="1">
        <f>'20250815_ETF_Options_Exhibits'!AC1673</f>
        <v/>
      </c>
      <c r="B1673" s="32">
        <f>'20250815_ETF_Options_Exhibits'!AD1673</f>
        <v/>
      </c>
      <c r="C1673" s="32">
        <f>'20250815_ETF_Options_Exhibits'!AE1673</f>
        <v/>
      </c>
    </row>
    <row r="1674">
      <c r="A1674" s="1">
        <f>'20250815_ETF_Options_Exhibits'!AC1674</f>
        <v/>
      </c>
      <c r="B1674" s="32">
        <f>'20250815_ETF_Options_Exhibits'!AD1674</f>
        <v/>
      </c>
      <c r="C1674" s="32">
        <f>'20250815_ETF_Options_Exhibits'!AE1674</f>
        <v/>
      </c>
    </row>
    <row r="1675">
      <c r="A1675" s="1">
        <f>'20250815_ETF_Options_Exhibits'!AC1675</f>
        <v/>
      </c>
      <c r="B1675" s="32">
        <f>'20250815_ETF_Options_Exhibits'!AD1675</f>
        <v/>
      </c>
      <c r="C1675" s="32">
        <f>'20250815_ETF_Options_Exhibits'!AE1675</f>
        <v/>
      </c>
    </row>
    <row r="1676">
      <c r="A1676" s="1">
        <f>'20250815_ETF_Options_Exhibits'!AC1676</f>
        <v/>
      </c>
      <c r="B1676" s="32">
        <f>'20250815_ETF_Options_Exhibits'!AD1676</f>
        <v/>
      </c>
      <c r="C1676" s="32">
        <f>'20250815_ETF_Options_Exhibits'!AE1676</f>
        <v/>
      </c>
    </row>
    <row r="1677">
      <c r="A1677" s="1">
        <f>'20250815_ETF_Options_Exhibits'!AC1677</f>
        <v/>
      </c>
      <c r="B1677" s="32">
        <f>'20250815_ETF_Options_Exhibits'!AD1677</f>
        <v/>
      </c>
      <c r="C1677" s="32">
        <f>'20250815_ETF_Options_Exhibits'!AE1677</f>
        <v/>
      </c>
    </row>
    <row r="1678">
      <c r="A1678" s="1">
        <f>'20250815_ETF_Options_Exhibits'!AC1678</f>
        <v/>
      </c>
      <c r="B1678" s="32">
        <f>'20250815_ETF_Options_Exhibits'!AD1678</f>
        <v/>
      </c>
      <c r="C1678" s="32">
        <f>'20250815_ETF_Options_Exhibits'!AE1678</f>
        <v/>
      </c>
    </row>
    <row r="1679">
      <c r="A1679" s="1">
        <f>'20250815_ETF_Options_Exhibits'!AC1679</f>
        <v/>
      </c>
      <c r="B1679" s="32">
        <f>'20250815_ETF_Options_Exhibits'!AD1679</f>
        <v/>
      </c>
      <c r="C1679" s="32">
        <f>'20250815_ETF_Options_Exhibits'!AE1679</f>
        <v/>
      </c>
    </row>
    <row r="1680">
      <c r="A1680" s="1">
        <f>'20250815_ETF_Options_Exhibits'!AC1680</f>
        <v/>
      </c>
      <c r="B1680" s="32">
        <f>'20250815_ETF_Options_Exhibits'!AD1680</f>
        <v/>
      </c>
      <c r="C1680" s="32">
        <f>'20250815_ETF_Options_Exhibits'!AE1680</f>
        <v/>
      </c>
    </row>
    <row r="1681">
      <c r="A1681" s="1">
        <f>'20250815_ETF_Options_Exhibits'!AC1681</f>
        <v/>
      </c>
      <c r="B1681" s="32">
        <f>'20250815_ETF_Options_Exhibits'!AD1681</f>
        <v/>
      </c>
      <c r="C1681" s="32">
        <f>'20250815_ETF_Options_Exhibits'!AE1681</f>
        <v/>
      </c>
    </row>
    <row r="1682">
      <c r="A1682" s="1">
        <f>'20250815_ETF_Options_Exhibits'!AC1682</f>
        <v/>
      </c>
      <c r="B1682" s="32">
        <f>'20250815_ETF_Options_Exhibits'!AD1682</f>
        <v/>
      </c>
      <c r="C1682" s="32">
        <f>'20250815_ETF_Options_Exhibits'!AE1682</f>
        <v/>
      </c>
    </row>
    <row r="1683">
      <c r="A1683" s="1">
        <f>'20250815_ETF_Options_Exhibits'!AC1683</f>
        <v/>
      </c>
      <c r="B1683" s="32">
        <f>'20250815_ETF_Options_Exhibits'!AD1683</f>
        <v/>
      </c>
      <c r="C1683" s="32">
        <f>'20250815_ETF_Options_Exhibits'!AE1683</f>
        <v/>
      </c>
    </row>
    <row r="1684">
      <c r="A1684" s="1">
        <f>'20250815_ETF_Options_Exhibits'!AC1684</f>
        <v/>
      </c>
      <c r="B1684" s="32">
        <f>'20250815_ETF_Options_Exhibits'!AD1684</f>
        <v/>
      </c>
      <c r="C1684" s="32">
        <f>'20250815_ETF_Options_Exhibits'!AE1684</f>
        <v/>
      </c>
    </row>
    <row r="1685">
      <c r="A1685" s="1">
        <f>'20250815_ETF_Options_Exhibits'!AC1685</f>
        <v/>
      </c>
      <c r="B1685" s="32">
        <f>'20250815_ETF_Options_Exhibits'!AD1685</f>
        <v/>
      </c>
      <c r="C1685" s="32">
        <f>'20250815_ETF_Options_Exhibits'!AE1685</f>
        <v/>
      </c>
    </row>
    <row r="1686">
      <c r="A1686" s="1">
        <f>'20250815_ETF_Options_Exhibits'!AC1686</f>
        <v/>
      </c>
      <c r="B1686" s="32">
        <f>'20250815_ETF_Options_Exhibits'!AD1686</f>
        <v/>
      </c>
      <c r="C1686" s="32">
        <f>'20250815_ETF_Options_Exhibits'!AE1686</f>
        <v/>
      </c>
    </row>
    <row r="1687">
      <c r="A1687" s="1">
        <f>'20250815_ETF_Options_Exhibits'!AC1687</f>
        <v/>
      </c>
      <c r="B1687" s="32">
        <f>'20250815_ETF_Options_Exhibits'!AD1687</f>
        <v/>
      </c>
      <c r="C1687" s="32">
        <f>'20250815_ETF_Options_Exhibits'!AE1687</f>
        <v/>
      </c>
    </row>
    <row r="1688">
      <c r="A1688" s="1">
        <f>'20250815_ETF_Options_Exhibits'!AC1688</f>
        <v/>
      </c>
      <c r="B1688" s="32">
        <f>'20250815_ETF_Options_Exhibits'!AD1688</f>
        <v/>
      </c>
      <c r="C1688" s="32">
        <f>'20250815_ETF_Options_Exhibits'!AE1688</f>
        <v/>
      </c>
    </row>
    <row r="1689">
      <c r="A1689" s="1">
        <f>'20250815_ETF_Options_Exhibits'!AC1689</f>
        <v/>
      </c>
      <c r="B1689" s="32">
        <f>'20250815_ETF_Options_Exhibits'!AD1689</f>
        <v/>
      </c>
      <c r="C1689" s="32">
        <f>'20250815_ETF_Options_Exhibits'!AE1689</f>
        <v/>
      </c>
    </row>
    <row r="1690">
      <c r="A1690" s="1">
        <f>'20250815_ETF_Options_Exhibits'!AC1690</f>
        <v/>
      </c>
      <c r="B1690" s="32">
        <f>'20250815_ETF_Options_Exhibits'!AD1690</f>
        <v/>
      </c>
      <c r="C1690" s="32">
        <f>'20250815_ETF_Options_Exhibits'!AE1690</f>
        <v/>
      </c>
    </row>
    <row r="1691">
      <c r="A1691" s="1">
        <f>'20250815_ETF_Options_Exhibits'!AC1691</f>
        <v/>
      </c>
      <c r="B1691" s="32">
        <f>'20250815_ETF_Options_Exhibits'!AD1691</f>
        <v/>
      </c>
      <c r="C1691" s="32">
        <f>'20250815_ETF_Options_Exhibits'!AE1691</f>
        <v/>
      </c>
    </row>
    <row r="1692">
      <c r="A1692" s="1">
        <f>'20250815_ETF_Options_Exhibits'!AC1692</f>
        <v/>
      </c>
      <c r="B1692" s="32">
        <f>'20250815_ETF_Options_Exhibits'!AD1692</f>
        <v/>
      </c>
      <c r="C1692" s="32">
        <f>'20250815_ETF_Options_Exhibits'!AE1692</f>
        <v/>
      </c>
    </row>
    <row r="1693">
      <c r="A1693" s="1">
        <f>'20250815_ETF_Options_Exhibits'!AC1693</f>
        <v/>
      </c>
      <c r="B1693" s="32">
        <f>'20250815_ETF_Options_Exhibits'!AD1693</f>
        <v/>
      </c>
      <c r="C1693" s="32">
        <f>'20250815_ETF_Options_Exhibits'!AE1693</f>
        <v/>
      </c>
    </row>
    <row r="1694">
      <c r="A1694" s="1">
        <f>'20250815_ETF_Options_Exhibits'!AC1694</f>
        <v/>
      </c>
      <c r="B1694" s="32">
        <f>'20250815_ETF_Options_Exhibits'!AD1694</f>
        <v/>
      </c>
      <c r="C1694" s="32">
        <f>'20250815_ETF_Options_Exhibits'!AE1694</f>
        <v/>
      </c>
    </row>
    <row r="1695">
      <c r="A1695" s="1">
        <f>'20250815_ETF_Options_Exhibits'!AC1695</f>
        <v/>
      </c>
      <c r="B1695" s="32">
        <f>'20250815_ETF_Options_Exhibits'!AD1695</f>
        <v/>
      </c>
      <c r="C1695" s="32">
        <f>'20250815_ETF_Options_Exhibits'!AE1695</f>
        <v/>
      </c>
    </row>
    <row r="1696">
      <c r="A1696" s="1">
        <f>'20250815_ETF_Options_Exhibits'!AC1696</f>
        <v/>
      </c>
      <c r="B1696" s="32">
        <f>'20250815_ETF_Options_Exhibits'!AD1696</f>
        <v/>
      </c>
      <c r="C1696" s="32">
        <f>'20250815_ETF_Options_Exhibits'!AE1696</f>
        <v/>
      </c>
    </row>
    <row r="1697">
      <c r="A1697" s="1">
        <f>'20250815_ETF_Options_Exhibits'!AC1697</f>
        <v/>
      </c>
      <c r="B1697" s="32">
        <f>'20250815_ETF_Options_Exhibits'!AD1697</f>
        <v/>
      </c>
      <c r="C1697" s="32">
        <f>'20250815_ETF_Options_Exhibits'!AE1697</f>
        <v/>
      </c>
    </row>
    <row r="1698">
      <c r="A1698" s="1">
        <f>'20250815_ETF_Options_Exhibits'!AC1698</f>
        <v/>
      </c>
      <c r="B1698" s="32">
        <f>'20250815_ETF_Options_Exhibits'!AD1698</f>
        <v/>
      </c>
      <c r="C1698" s="32">
        <f>'20250815_ETF_Options_Exhibits'!AE1698</f>
        <v/>
      </c>
    </row>
    <row r="1699">
      <c r="A1699" s="1">
        <f>'20250815_ETF_Options_Exhibits'!AC1699</f>
        <v/>
      </c>
      <c r="B1699" s="32">
        <f>'20250815_ETF_Options_Exhibits'!AD1699</f>
        <v/>
      </c>
      <c r="C1699" s="32">
        <f>'20250815_ETF_Options_Exhibits'!AE1699</f>
        <v/>
      </c>
    </row>
    <row r="1700">
      <c r="A1700" s="1">
        <f>'20250815_ETF_Options_Exhibits'!AC1700</f>
        <v/>
      </c>
      <c r="B1700" s="32">
        <f>'20250815_ETF_Options_Exhibits'!AD1700</f>
        <v/>
      </c>
      <c r="C1700" s="32">
        <f>'20250815_ETF_Options_Exhibits'!AE1700</f>
        <v/>
      </c>
    </row>
    <row r="1701">
      <c r="A1701" s="1">
        <f>'20250815_ETF_Options_Exhibits'!AC1701</f>
        <v/>
      </c>
      <c r="B1701" s="32">
        <f>'20250815_ETF_Options_Exhibits'!AD1701</f>
        <v/>
      </c>
      <c r="C1701" s="32">
        <f>'20250815_ETF_Options_Exhibits'!AE1701</f>
        <v/>
      </c>
    </row>
    <row r="1702">
      <c r="A1702" s="1">
        <f>'20250815_ETF_Options_Exhibits'!AC1702</f>
        <v/>
      </c>
      <c r="B1702" s="32">
        <f>'20250815_ETF_Options_Exhibits'!AD1702</f>
        <v/>
      </c>
      <c r="C1702" s="32">
        <f>'20250815_ETF_Options_Exhibits'!AE1702</f>
        <v/>
      </c>
    </row>
    <row r="1703">
      <c r="A1703" s="1">
        <f>'20250815_ETF_Options_Exhibits'!AC1703</f>
        <v/>
      </c>
      <c r="B1703" s="32">
        <f>'20250815_ETF_Options_Exhibits'!AD1703</f>
        <v/>
      </c>
      <c r="C1703" s="32">
        <f>'20250815_ETF_Options_Exhibits'!AE1703</f>
        <v/>
      </c>
    </row>
    <row r="1704">
      <c r="A1704" s="1">
        <f>'20250815_ETF_Options_Exhibits'!AC1704</f>
        <v/>
      </c>
      <c r="B1704" s="32">
        <f>'20250815_ETF_Options_Exhibits'!AD1704</f>
        <v/>
      </c>
      <c r="C1704" s="32">
        <f>'20250815_ETF_Options_Exhibits'!AE1704</f>
        <v/>
      </c>
    </row>
    <row r="1705">
      <c r="A1705" s="1">
        <f>'20250815_ETF_Options_Exhibits'!AC1705</f>
        <v/>
      </c>
      <c r="B1705" s="32">
        <f>'20250815_ETF_Options_Exhibits'!AD1705</f>
        <v/>
      </c>
      <c r="C1705" s="32">
        <f>'20250815_ETF_Options_Exhibits'!AE1705</f>
        <v/>
      </c>
    </row>
    <row r="1706">
      <c r="A1706" s="1">
        <f>'20250815_ETF_Options_Exhibits'!AC1706</f>
        <v/>
      </c>
      <c r="B1706" s="32">
        <f>'20250815_ETF_Options_Exhibits'!AD1706</f>
        <v/>
      </c>
      <c r="C1706" s="32">
        <f>'20250815_ETF_Options_Exhibits'!AE1706</f>
        <v/>
      </c>
    </row>
    <row r="1707">
      <c r="A1707" s="1">
        <f>'20250815_ETF_Options_Exhibits'!AC1707</f>
        <v/>
      </c>
      <c r="B1707" s="32">
        <f>'20250815_ETF_Options_Exhibits'!AD1707</f>
        <v/>
      </c>
      <c r="C1707" s="32">
        <f>'20250815_ETF_Options_Exhibits'!AE1707</f>
        <v/>
      </c>
    </row>
    <row r="1708">
      <c r="A1708" s="1">
        <f>'20250815_ETF_Options_Exhibits'!AC1708</f>
        <v/>
      </c>
      <c r="B1708" s="32">
        <f>'20250815_ETF_Options_Exhibits'!AD1708</f>
        <v/>
      </c>
      <c r="C1708" s="32">
        <f>'20250815_ETF_Options_Exhibits'!AE1708</f>
        <v/>
      </c>
    </row>
    <row r="1709">
      <c r="A1709" s="1">
        <f>'20250815_ETF_Options_Exhibits'!AC1709</f>
        <v/>
      </c>
      <c r="B1709" s="32">
        <f>'20250815_ETF_Options_Exhibits'!AD1709</f>
        <v/>
      </c>
      <c r="C1709" s="32">
        <f>'20250815_ETF_Options_Exhibits'!AE1709</f>
        <v/>
      </c>
    </row>
    <row r="1710">
      <c r="A1710" s="1">
        <f>'20250815_ETF_Options_Exhibits'!AC1710</f>
        <v/>
      </c>
      <c r="B1710" s="32">
        <f>'20250815_ETF_Options_Exhibits'!AD1710</f>
        <v/>
      </c>
      <c r="C1710" s="32">
        <f>'20250815_ETF_Options_Exhibits'!AE1710</f>
        <v/>
      </c>
    </row>
    <row r="1711">
      <c r="A1711" s="1">
        <f>'20250815_ETF_Options_Exhibits'!AC1711</f>
        <v/>
      </c>
      <c r="B1711" s="32">
        <f>'20250815_ETF_Options_Exhibits'!AD1711</f>
        <v/>
      </c>
      <c r="C1711" s="32">
        <f>'20250815_ETF_Options_Exhibits'!AE1711</f>
        <v/>
      </c>
    </row>
    <row r="1712">
      <c r="A1712" s="1">
        <f>'20250815_ETF_Options_Exhibits'!AC1712</f>
        <v/>
      </c>
      <c r="B1712" s="32">
        <f>'20250815_ETF_Options_Exhibits'!AD1712</f>
        <v/>
      </c>
      <c r="C1712" s="32">
        <f>'20250815_ETF_Options_Exhibits'!AE1712</f>
        <v/>
      </c>
    </row>
    <row r="1713">
      <c r="A1713" s="1">
        <f>'20250815_ETF_Options_Exhibits'!AC1713</f>
        <v/>
      </c>
      <c r="B1713" s="32">
        <f>'20250815_ETF_Options_Exhibits'!AD1713</f>
        <v/>
      </c>
      <c r="C1713" s="32">
        <f>'20250815_ETF_Options_Exhibits'!AE1713</f>
        <v/>
      </c>
    </row>
    <row r="1714">
      <c r="A1714" s="1">
        <f>'20250815_ETF_Options_Exhibits'!AC1714</f>
        <v/>
      </c>
      <c r="B1714" s="32">
        <f>'20250815_ETF_Options_Exhibits'!AD1714</f>
        <v/>
      </c>
      <c r="C1714" s="32">
        <f>'20250815_ETF_Options_Exhibits'!AE1714</f>
        <v/>
      </c>
    </row>
    <row r="1715">
      <c r="A1715" s="1">
        <f>'20250815_ETF_Options_Exhibits'!AC1715</f>
        <v/>
      </c>
      <c r="B1715" s="32">
        <f>'20250815_ETF_Options_Exhibits'!AD1715</f>
        <v/>
      </c>
      <c r="C1715" s="32">
        <f>'20250815_ETF_Options_Exhibits'!AE1715</f>
        <v/>
      </c>
    </row>
    <row r="1716">
      <c r="A1716" s="1">
        <f>'20250815_ETF_Options_Exhibits'!AC1716</f>
        <v/>
      </c>
      <c r="B1716" s="32">
        <f>'20250815_ETF_Options_Exhibits'!AD1716</f>
        <v/>
      </c>
      <c r="C1716" s="32">
        <f>'20250815_ETF_Options_Exhibits'!AE1716</f>
        <v/>
      </c>
    </row>
    <row r="1717">
      <c r="A1717" s="1">
        <f>'20250815_ETF_Options_Exhibits'!AC1717</f>
        <v/>
      </c>
      <c r="B1717" s="32">
        <f>'20250815_ETF_Options_Exhibits'!AD1717</f>
        <v/>
      </c>
      <c r="C1717" s="32">
        <f>'20250815_ETF_Options_Exhibits'!AE1717</f>
        <v/>
      </c>
    </row>
    <row r="1718">
      <c r="A1718" s="1">
        <f>'20250815_ETF_Options_Exhibits'!AC1718</f>
        <v/>
      </c>
      <c r="B1718" s="32">
        <f>'20250815_ETF_Options_Exhibits'!AD1718</f>
        <v/>
      </c>
      <c r="C1718" s="32">
        <f>'20250815_ETF_Options_Exhibits'!AE1718</f>
        <v/>
      </c>
    </row>
    <row r="1719">
      <c r="A1719" s="1">
        <f>'20250815_ETF_Options_Exhibits'!AC1719</f>
        <v/>
      </c>
      <c r="B1719" s="32">
        <f>'20250815_ETF_Options_Exhibits'!AD1719</f>
        <v/>
      </c>
      <c r="C1719" s="32">
        <f>'20250815_ETF_Options_Exhibits'!AE1719</f>
        <v/>
      </c>
    </row>
    <row r="1720">
      <c r="A1720" s="1">
        <f>'20250815_ETF_Options_Exhibits'!AC1720</f>
        <v/>
      </c>
      <c r="B1720" s="32">
        <f>'20250815_ETF_Options_Exhibits'!AD1720</f>
        <v/>
      </c>
      <c r="C1720" s="32">
        <f>'20250815_ETF_Options_Exhibits'!AE1720</f>
        <v/>
      </c>
    </row>
    <row r="1721">
      <c r="A1721" s="1">
        <f>'20250815_ETF_Options_Exhibits'!AC1721</f>
        <v/>
      </c>
      <c r="B1721" s="32">
        <f>'20250815_ETF_Options_Exhibits'!AD1721</f>
        <v/>
      </c>
      <c r="C1721" s="32">
        <f>'20250815_ETF_Options_Exhibits'!AE1721</f>
        <v/>
      </c>
    </row>
    <row r="1722">
      <c r="A1722" s="1">
        <f>'20250815_ETF_Options_Exhibits'!AC1722</f>
        <v/>
      </c>
      <c r="B1722" s="32">
        <f>'20250815_ETF_Options_Exhibits'!AD1722</f>
        <v/>
      </c>
      <c r="C1722" s="32">
        <f>'20250815_ETF_Options_Exhibits'!AE1722</f>
        <v/>
      </c>
    </row>
    <row r="1723">
      <c r="A1723" s="1">
        <f>'20250815_ETF_Options_Exhibits'!AC1723</f>
        <v/>
      </c>
      <c r="B1723" s="32">
        <f>'20250815_ETF_Options_Exhibits'!AD1723</f>
        <v/>
      </c>
      <c r="C1723" s="32">
        <f>'20250815_ETF_Options_Exhibits'!AE1723</f>
        <v/>
      </c>
    </row>
    <row r="1724">
      <c r="A1724" s="1">
        <f>'20250815_ETF_Options_Exhibits'!AC1724</f>
        <v/>
      </c>
      <c r="B1724" s="32">
        <f>'20250815_ETF_Options_Exhibits'!AD1724</f>
        <v/>
      </c>
      <c r="C1724" s="32">
        <f>'20250815_ETF_Options_Exhibits'!AE1724</f>
        <v/>
      </c>
    </row>
    <row r="1725">
      <c r="A1725" s="1">
        <f>'20250815_ETF_Options_Exhibits'!AC1725</f>
        <v/>
      </c>
      <c r="B1725" s="32">
        <f>'20250815_ETF_Options_Exhibits'!AD1725</f>
        <v/>
      </c>
      <c r="C1725" s="32">
        <f>'20250815_ETF_Options_Exhibits'!AE1725</f>
        <v/>
      </c>
    </row>
    <row r="1726">
      <c r="A1726" s="1">
        <f>'20250815_ETF_Options_Exhibits'!AC1726</f>
        <v/>
      </c>
      <c r="B1726" s="32">
        <f>'20250815_ETF_Options_Exhibits'!AD1726</f>
        <v/>
      </c>
      <c r="C1726" s="32">
        <f>'20250815_ETF_Options_Exhibits'!AE1726</f>
        <v/>
      </c>
    </row>
    <row r="1727">
      <c r="A1727" s="1">
        <f>'20250815_ETF_Options_Exhibits'!AC1727</f>
        <v/>
      </c>
      <c r="B1727" s="32">
        <f>'20250815_ETF_Options_Exhibits'!AD1727</f>
        <v/>
      </c>
      <c r="C1727" s="32">
        <f>'20250815_ETF_Options_Exhibits'!AE1727</f>
        <v/>
      </c>
    </row>
    <row r="1728">
      <c r="A1728" s="1">
        <f>'20250815_ETF_Options_Exhibits'!AC1728</f>
        <v/>
      </c>
      <c r="B1728" s="32">
        <f>'20250815_ETF_Options_Exhibits'!AD1728</f>
        <v/>
      </c>
      <c r="C1728" s="32">
        <f>'20250815_ETF_Options_Exhibits'!AE1728</f>
        <v/>
      </c>
    </row>
    <row r="1729">
      <c r="A1729" s="1">
        <f>'20250815_ETF_Options_Exhibits'!AC1729</f>
        <v/>
      </c>
      <c r="B1729" s="32">
        <f>'20250815_ETF_Options_Exhibits'!AD1729</f>
        <v/>
      </c>
      <c r="C1729" s="32">
        <f>'20250815_ETF_Options_Exhibits'!AE1729</f>
        <v/>
      </c>
    </row>
    <row r="1730">
      <c r="A1730" s="1">
        <f>'20250815_ETF_Options_Exhibits'!AC1730</f>
        <v/>
      </c>
      <c r="B1730" s="32">
        <f>'20250815_ETF_Options_Exhibits'!AD1730</f>
        <v/>
      </c>
      <c r="C1730" s="32">
        <f>'20250815_ETF_Options_Exhibits'!AE1730</f>
        <v/>
      </c>
    </row>
    <row r="1731">
      <c r="A1731" s="1">
        <f>'20250815_ETF_Options_Exhibits'!AC1731</f>
        <v/>
      </c>
      <c r="B1731" s="32">
        <f>'20250815_ETF_Options_Exhibits'!AD1731</f>
        <v/>
      </c>
      <c r="C1731" s="32">
        <f>'20250815_ETF_Options_Exhibits'!AE1731</f>
        <v/>
      </c>
    </row>
    <row r="1732">
      <c r="A1732" s="1">
        <f>'20250815_ETF_Options_Exhibits'!AC1732</f>
        <v/>
      </c>
      <c r="B1732" s="32">
        <f>'20250815_ETF_Options_Exhibits'!AD1732</f>
        <v/>
      </c>
      <c r="C1732" s="32">
        <f>'20250815_ETF_Options_Exhibits'!AE1732</f>
        <v/>
      </c>
    </row>
    <row r="1733">
      <c r="A1733" s="1">
        <f>'20250815_ETF_Options_Exhibits'!AC1733</f>
        <v/>
      </c>
      <c r="B1733" s="32">
        <f>'20250815_ETF_Options_Exhibits'!AD1733</f>
        <v/>
      </c>
      <c r="C1733" s="32">
        <f>'20250815_ETF_Options_Exhibits'!AE1733</f>
        <v/>
      </c>
    </row>
    <row r="1734">
      <c r="A1734" s="1">
        <f>'20250815_ETF_Options_Exhibits'!AC1734</f>
        <v/>
      </c>
      <c r="B1734" s="32">
        <f>'20250815_ETF_Options_Exhibits'!AD1734</f>
        <v/>
      </c>
      <c r="C1734" s="32">
        <f>'20250815_ETF_Options_Exhibits'!AE1734</f>
        <v/>
      </c>
    </row>
    <row r="1735">
      <c r="A1735" s="1">
        <f>'20250815_ETF_Options_Exhibits'!AC1735</f>
        <v/>
      </c>
      <c r="B1735" s="32">
        <f>'20250815_ETF_Options_Exhibits'!AD1735</f>
        <v/>
      </c>
      <c r="C1735" s="32">
        <f>'20250815_ETF_Options_Exhibits'!AE1735</f>
        <v/>
      </c>
    </row>
    <row r="1736">
      <c r="A1736" s="1">
        <f>'20250815_ETF_Options_Exhibits'!AC1736</f>
        <v/>
      </c>
      <c r="B1736" s="32">
        <f>'20250815_ETF_Options_Exhibits'!AD1736</f>
        <v/>
      </c>
      <c r="C1736" s="32">
        <f>'20250815_ETF_Options_Exhibits'!AE1736</f>
        <v/>
      </c>
    </row>
    <row r="1737">
      <c r="A1737" s="1">
        <f>'20250815_ETF_Options_Exhibits'!AC1737</f>
        <v/>
      </c>
      <c r="B1737" s="32">
        <f>'20250815_ETF_Options_Exhibits'!AD1737</f>
        <v/>
      </c>
      <c r="C1737" s="32">
        <f>'20250815_ETF_Options_Exhibits'!AE1737</f>
        <v/>
      </c>
    </row>
    <row r="1738">
      <c r="A1738" s="1">
        <f>'20250815_ETF_Options_Exhibits'!AC1738</f>
        <v/>
      </c>
      <c r="B1738" s="32">
        <f>'20250815_ETF_Options_Exhibits'!AD1738</f>
        <v/>
      </c>
      <c r="C1738" s="32">
        <f>'20250815_ETF_Options_Exhibits'!AE1738</f>
        <v/>
      </c>
    </row>
    <row r="1739">
      <c r="A1739" s="1">
        <f>'20250815_ETF_Options_Exhibits'!AC1739</f>
        <v/>
      </c>
      <c r="B1739" s="32">
        <f>'20250815_ETF_Options_Exhibits'!AD1739</f>
        <v/>
      </c>
      <c r="C1739" s="32">
        <f>'20250815_ETF_Options_Exhibits'!AE1739</f>
        <v/>
      </c>
    </row>
    <row r="1740">
      <c r="A1740" s="1">
        <f>'20250815_ETF_Options_Exhibits'!AC1740</f>
        <v/>
      </c>
      <c r="B1740" s="32">
        <f>'20250815_ETF_Options_Exhibits'!AD1740</f>
        <v/>
      </c>
      <c r="C1740" s="32">
        <f>'20250815_ETF_Options_Exhibits'!AE1740</f>
        <v/>
      </c>
    </row>
    <row r="1741">
      <c r="A1741" s="1">
        <f>'20250815_ETF_Options_Exhibits'!AC1741</f>
        <v/>
      </c>
      <c r="B1741" s="32">
        <f>'20250815_ETF_Options_Exhibits'!AD1741</f>
        <v/>
      </c>
      <c r="C1741" s="32">
        <f>'20250815_ETF_Options_Exhibits'!AE1741</f>
        <v/>
      </c>
    </row>
    <row r="1742">
      <c r="A1742" s="1">
        <f>'20250815_ETF_Options_Exhibits'!AC1742</f>
        <v/>
      </c>
      <c r="B1742" s="32">
        <f>'20250815_ETF_Options_Exhibits'!AD1742</f>
        <v/>
      </c>
      <c r="C1742" s="32">
        <f>'20250815_ETF_Options_Exhibits'!AE1742</f>
        <v/>
      </c>
    </row>
    <row r="1743">
      <c r="A1743" s="1">
        <f>'20250815_ETF_Options_Exhibits'!AC1743</f>
        <v/>
      </c>
      <c r="B1743" s="32">
        <f>'20250815_ETF_Options_Exhibits'!AD1743</f>
        <v/>
      </c>
      <c r="C1743" s="32">
        <f>'20250815_ETF_Options_Exhibits'!AE1743</f>
        <v/>
      </c>
    </row>
    <row r="1744">
      <c r="A1744" s="1">
        <f>'20250815_ETF_Options_Exhibits'!AC1744</f>
        <v/>
      </c>
      <c r="B1744" s="32">
        <f>'20250815_ETF_Options_Exhibits'!AD1744</f>
        <v/>
      </c>
      <c r="C1744" s="32">
        <f>'20250815_ETF_Options_Exhibits'!AE1744</f>
        <v/>
      </c>
    </row>
    <row r="1745">
      <c r="A1745" s="1">
        <f>'20250815_ETF_Options_Exhibits'!AC1745</f>
        <v/>
      </c>
      <c r="B1745" s="32">
        <f>'20250815_ETF_Options_Exhibits'!AD1745</f>
        <v/>
      </c>
      <c r="C1745" s="32">
        <f>'20250815_ETF_Options_Exhibits'!AE1745</f>
        <v/>
      </c>
    </row>
    <row r="1746">
      <c r="A1746" s="1">
        <f>'20250815_ETF_Options_Exhibits'!AC1746</f>
        <v/>
      </c>
      <c r="B1746" s="32">
        <f>'20250815_ETF_Options_Exhibits'!AD1746</f>
        <v/>
      </c>
      <c r="C1746" s="32">
        <f>'20250815_ETF_Options_Exhibits'!AE1746</f>
        <v/>
      </c>
    </row>
    <row r="1747">
      <c r="A1747" s="1">
        <f>'20250815_ETF_Options_Exhibits'!AC1747</f>
        <v/>
      </c>
      <c r="B1747" s="32">
        <f>'20250815_ETF_Options_Exhibits'!AD1747</f>
        <v/>
      </c>
      <c r="C1747" s="32">
        <f>'20250815_ETF_Options_Exhibits'!AE1747</f>
        <v/>
      </c>
    </row>
    <row r="1748">
      <c r="A1748" s="1">
        <f>'20250815_ETF_Options_Exhibits'!AC1748</f>
        <v/>
      </c>
      <c r="B1748" s="32">
        <f>'20250815_ETF_Options_Exhibits'!AD1748</f>
        <v/>
      </c>
      <c r="C1748" s="32">
        <f>'20250815_ETF_Options_Exhibits'!AE1748</f>
        <v/>
      </c>
    </row>
    <row r="1749">
      <c r="A1749" s="1">
        <f>'20250815_ETF_Options_Exhibits'!AC1749</f>
        <v/>
      </c>
      <c r="B1749" s="32">
        <f>'20250815_ETF_Options_Exhibits'!AD1749</f>
        <v/>
      </c>
      <c r="C1749" s="32">
        <f>'20250815_ETF_Options_Exhibits'!AE1749</f>
        <v/>
      </c>
    </row>
    <row r="1750">
      <c r="A1750" s="1">
        <f>'20250815_ETF_Options_Exhibits'!AC1750</f>
        <v/>
      </c>
      <c r="B1750" s="32">
        <f>'20250815_ETF_Options_Exhibits'!AD1750</f>
        <v/>
      </c>
      <c r="C1750" s="32">
        <f>'20250815_ETF_Options_Exhibits'!AE1750</f>
        <v/>
      </c>
    </row>
    <row r="1751">
      <c r="A1751" s="1">
        <f>'20250815_ETF_Options_Exhibits'!AC1751</f>
        <v/>
      </c>
      <c r="B1751" s="32">
        <f>'20250815_ETF_Options_Exhibits'!AD1751</f>
        <v/>
      </c>
      <c r="C1751" s="32">
        <f>'20250815_ETF_Options_Exhibits'!AE1751</f>
        <v/>
      </c>
    </row>
    <row r="1752">
      <c r="A1752" s="1">
        <f>'20250815_ETF_Options_Exhibits'!AC1752</f>
        <v/>
      </c>
      <c r="B1752" s="32">
        <f>'20250815_ETF_Options_Exhibits'!AD1752</f>
        <v/>
      </c>
      <c r="C1752" s="32">
        <f>'20250815_ETF_Options_Exhibits'!AE1752</f>
        <v/>
      </c>
    </row>
    <row r="1753">
      <c r="A1753" s="1">
        <f>'20250815_ETF_Options_Exhibits'!AC1753</f>
        <v/>
      </c>
      <c r="B1753" s="32">
        <f>'20250815_ETF_Options_Exhibits'!AD1753</f>
        <v/>
      </c>
      <c r="C1753" s="32">
        <f>'20250815_ETF_Options_Exhibits'!AE1753</f>
        <v/>
      </c>
    </row>
    <row r="1754">
      <c r="A1754" s="1">
        <f>'20250815_ETF_Options_Exhibits'!AC1754</f>
        <v/>
      </c>
      <c r="B1754" s="32">
        <f>'20250815_ETF_Options_Exhibits'!AD1754</f>
        <v/>
      </c>
      <c r="C1754" s="32">
        <f>'20250815_ETF_Options_Exhibits'!AE1754</f>
        <v/>
      </c>
    </row>
    <row r="1755">
      <c r="A1755" s="1">
        <f>'20250815_ETF_Options_Exhibits'!AC1755</f>
        <v/>
      </c>
      <c r="B1755" s="32">
        <f>'20250815_ETF_Options_Exhibits'!AD1755</f>
        <v/>
      </c>
      <c r="C1755" s="32">
        <f>'20250815_ETF_Options_Exhibits'!AE1755</f>
        <v/>
      </c>
    </row>
    <row r="1756">
      <c r="A1756" s="1">
        <f>'20250815_ETF_Options_Exhibits'!AC1756</f>
        <v/>
      </c>
      <c r="B1756" s="32">
        <f>'20250815_ETF_Options_Exhibits'!AD1756</f>
        <v/>
      </c>
      <c r="C1756" s="32">
        <f>'20250815_ETF_Options_Exhibits'!AE1756</f>
        <v/>
      </c>
    </row>
    <row r="1757">
      <c r="A1757" s="1">
        <f>'20250815_ETF_Options_Exhibits'!AC1757</f>
        <v/>
      </c>
      <c r="B1757" s="32">
        <f>'20250815_ETF_Options_Exhibits'!AD1757</f>
        <v/>
      </c>
      <c r="C1757" s="32">
        <f>'20250815_ETF_Options_Exhibits'!AE1757</f>
        <v/>
      </c>
    </row>
    <row r="1758">
      <c r="A1758" s="1">
        <f>'20250815_ETF_Options_Exhibits'!AC1758</f>
        <v/>
      </c>
      <c r="B1758" s="32">
        <f>'20250815_ETF_Options_Exhibits'!AD1758</f>
        <v/>
      </c>
      <c r="C1758" s="32">
        <f>'20250815_ETF_Options_Exhibits'!AE1758</f>
        <v/>
      </c>
    </row>
    <row r="1759">
      <c r="A1759" s="1">
        <f>'20250815_ETF_Options_Exhibits'!AC1759</f>
        <v/>
      </c>
      <c r="B1759" s="32">
        <f>'20250815_ETF_Options_Exhibits'!AD1759</f>
        <v/>
      </c>
      <c r="C1759" s="32">
        <f>'20250815_ETF_Options_Exhibits'!AE1759</f>
        <v/>
      </c>
    </row>
    <row r="1760">
      <c r="A1760" s="1">
        <f>'20250815_ETF_Options_Exhibits'!AC1760</f>
        <v/>
      </c>
      <c r="B1760" s="32">
        <f>'20250815_ETF_Options_Exhibits'!AD1760</f>
        <v/>
      </c>
      <c r="C1760" s="32">
        <f>'20250815_ETF_Options_Exhibits'!AE1760</f>
        <v/>
      </c>
    </row>
    <row r="1761">
      <c r="A1761" s="1">
        <f>'20250815_ETF_Options_Exhibits'!AC1761</f>
        <v/>
      </c>
      <c r="B1761" s="32">
        <f>'20250815_ETF_Options_Exhibits'!AD1761</f>
        <v/>
      </c>
      <c r="C1761" s="32">
        <f>'20250815_ETF_Options_Exhibits'!AE1761</f>
        <v/>
      </c>
    </row>
    <row r="1762">
      <c r="A1762" s="1">
        <f>'20250815_ETF_Options_Exhibits'!AC1762</f>
        <v/>
      </c>
      <c r="B1762" s="32">
        <f>'20250815_ETF_Options_Exhibits'!AD1762</f>
        <v/>
      </c>
      <c r="C1762" s="32">
        <f>'20250815_ETF_Options_Exhibits'!AE1762</f>
        <v/>
      </c>
    </row>
    <row r="1763">
      <c r="A1763" s="1">
        <f>'20250815_ETF_Options_Exhibits'!AC1763</f>
        <v/>
      </c>
      <c r="B1763" s="32">
        <f>'20250815_ETF_Options_Exhibits'!AD1763</f>
        <v/>
      </c>
      <c r="C1763" s="32">
        <f>'20250815_ETF_Options_Exhibits'!AE1763</f>
        <v/>
      </c>
    </row>
    <row r="1764">
      <c r="A1764" s="1">
        <f>'20250815_ETF_Options_Exhibits'!AC1764</f>
        <v/>
      </c>
      <c r="B1764" s="32">
        <f>'20250815_ETF_Options_Exhibits'!AD1764</f>
        <v/>
      </c>
      <c r="C1764" s="32">
        <f>'20250815_ETF_Options_Exhibits'!AE1764</f>
        <v/>
      </c>
    </row>
    <row r="1765">
      <c r="A1765" s="1">
        <f>'20250815_ETF_Options_Exhibits'!AC1765</f>
        <v/>
      </c>
      <c r="B1765" s="32">
        <f>'20250815_ETF_Options_Exhibits'!AD1765</f>
        <v/>
      </c>
      <c r="C1765" s="32">
        <f>'20250815_ETF_Options_Exhibits'!AE1765</f>
        <v/>
      </c>
    </row>
    <row r="1766">
      <c r="A1766" s="1">
        <f>'20250815_ETF_Options_Exhibits'!AC1766</f>
        <v/>
      </c>
      <c r="B1766" s="32">
        <f>'20250815_ETF_Options_Exhibits'!AD1766</f>
        <v/>
      </c>
      <c r="C1766" s="32">
        <f>'20250815_ETF_Options_Exhibits'!AE1766</f>
        <v/>
      </c>
    </row>
    <row r="1767">
      <c r="A1767" s="1">
        <f>'20250815_ETF_Options_Exhibits'!AC1767</f>
        <v/>
      </c>
      <c r="B1767" s="32">
        <f>'20250815_ETF_Options_Exhibits'!AD1767</f>
        <v/>
      </c>
      <c r="C1767" s="32">
        <f>'20250815_ETF_Options_Exhibits'!AE1767</f>
        <v/>
      </c>
    </row>
    <row r="1768">
      <c r="A1768" s="1">
        <f>'20250815_ETF_Options_Exhibits'!AC1768</f>
        <v/>
      </c>
      <c r="B1768" s="32">
        <f>'20250815_ETF_Options_Exhibits'!AD1768</f>
        <v/>
      </c>
      <c r="C1768" s="32">
        <f>'20250815_ETF_Options_Exhibits'!AE1768</f>
        <v/>
      </c>
    </row>
    <row r="1769">
      <c r="A1769" s="1">
        <f>'20250815_ETF_Options_Exhibits'!AC1769</f>
        <v/>
      </c>
      <c r="B1769" s="32">
        <f>'20250815_ETF_Options_Exhibits'!AD1769</f>
        <v/>
      </c>
      <c r="C1769" s="32">
        <f>'20250815_ETF_Options_Exhibits'!AE1769</f>
        <v/>
      </c>
    </row>
    <row r="1770">
      <c r="A1770" s="1">
        <f>'20250815_ETF_Options_Exhibits'!AC1770</f>
        <v/>
      </c>
      <c r="B1770" s="32">
        <f>'20250815_ETF_Options_Exhibits'!AD1770</f>
        <v/>
      </c>
      <c r="C1770" s="32">
        <f>'20250815_ETF_Options_Exhibits'!AE1770</f>
        <v/>
      </c>
    </row>
    <row r="1771">
      <c r="A1771" s="1">
        <f>'20250815_ETF_Options_Exhibits'!AC1771</f>
        <v/>
      </c>
      <c r="B1771" s="32">
        <f>'20250815_ETF_Options_Exhibits'!AD1771</f>
        <v/>
      </c>
      <c r="C1771" s="32">
        <f>'20250815_ETF_Options_Exhibits'!AE1771</f>
        <v/>
      </c>
    </row>
    <row r="1772">
      <c r="A1772" s="1">
        <f>'20250815_ETF_Options_Exhibits'!AC1772</f>
        <v/>
      </c>
      <c r="B1772" s="32">
        <f>'20250815_ETF_Options_Exhibits'!AD1772</f>
        <v/>
      </c>
      <c r="C1772" s="32">
        <f>'20250815_ETF_Options_Exhibits'!AE1772</f>
        <v/>
      </c>
    </row>
    <row r="1773">
      <c r="A1773" s="1">
        <f>'20250815_ETF_Options_Exhibits'!AC1773</f>
        <v/>
      </c>
      <c r="B1773" s="32">
        <f>'20250815_ETF_Options_Exhibits'!AD1773</f>
        <v/>
      </c>
      <c r="C1773" s="32">
        <f>'20250815_ETF_Options_Exhibits'!AE1773</f>
        <v/>
      </c>
    </row>
    <row r="1774">
      <c r="A1774" s="1">
        <f>'20250815_ETF_Options_Exhibits'!AC1774</f>
        <v/>
      </c>
      <c r="B1774" s="32">
        <f>'20250815_ETF_Options_Exhibits'!AD1774</f>
        <v/>
      </c>
      <c r="C1774" s="32">
        <f>'20250815_ETF_Options_Exhibits'!AE1774</f>
        <v/>
      </c>
    </row>
    <row r="1775">
      <c r="A1775" s="1">
        <f>'20250815_ETF_Options_Exhibits'!AC1775</f>
        <v/>
      </c>
      <c r="B1775" s="32">
        <f>'20250815_ETF_Options_Exhibits'!AD1775</f>
        <v/>
      </c>
      <c r="C1775" s="32">
        <f>'20250815_ETF_Options_Exhibits'!AE1775</f>
        <v/>
      </c>
    </row>
    <row r="1776">
      <c r="A1776" s="1">
        <f>'20250815_ETF_Options_Exhibits'!AC1776</f>
        <v/>
      </c>
      <c r="B1776" s="32">
        <f>'20250815_ETF_Options_Exhibits'!AD1776</f>
        <v/>
      </c>
      <c r="C1776" s="32">
        <f>'20250815_ETF_Options_Exhibits'!AE1776</f>
        <v/>
      </c>
    </row>
    <row r="1777">
      <c r="A1777" s="1">
        <f>'20250815_ETF_Options_Exhibits'!AC1777</f>
        <v/>
      </c>
      <c r="B1777" s="32">
        <f>'20250815_ETF_Options_Exhibits'!AD1777</f>
        <v/>
      </c>
      <c r="C1777" s="32">
        <f>'20250815_ETF_Options_Exhibits'!AE1777</f>
        <v/>
      </c>
    </row>
    <row r="1778">
      <c r="A1778" s="1">
        <f>'20250815_ETF_Options_Exhibits'!AC1778</f>
        <v/>
      </c>
      <c r="B1778" s="32">
        <f>'20250815_ETF_Options_Exhibits'!AD1778</f>
        <v/>
      </c>
      <c r="C1778" s="32">
        <f>'20250815_ETF_Options_Exhibits'!AE1778</f>
        <v/>
      </c>
    </row>
    <row r="1779">
      <c r="A1779" s="1">
        <f>'20250815_ETF_Options_Exhibits'!AC1779</f>
        <v/>
      </c>
      <c r="B1779" s="32">
        <f>'20250815_ETF_Options_Exhibits'!AD1779</f>
        <v/>
      </c>
      <c r="C1779" s="32">
        <f>'20250815_ETF_Options_Exhibits'!AE1779</f>
        <v/>
      </c>
    </row>
    <row r="1780">
      <c r="A1780" s="1">
        <f>'20250815_ETF_Options_Exhibits'!AC1780</f>
        <v/>
      </c>
      <c r="B1780" s="32">
        <f>'20250815_ETF_Options_Exhibits'!AD1780</f>
        <v/>
      </c>
      <c r="C1780" s="32">
        <f>'20250815_ETF_Options_Exhibits'!AE1780</f>
        <v/>
      </c>
    </row>
    <row r="1781">
      <c r="A1781" s="1">
        <f>'20250815_ETF_Options_Exhibits'!AC1781</f>
        <v/>
      </c>
      <c r="B1781" s="32">
        <f>'20250815_ETF_Options_Exhibits'!AD1781</f>
        <v/>
      </c>
      <c r="C1781" s="32">
        <f>'20250815_ETF_Options_Exhibits'!AE1781</f>
        <v/>
      </c>
    </row>
    <row r="1782">
      <c r="A1782" s="1">
        <f>'20250815_ETF_Options_Exhibits'!AC1782</f>
        <v/>
      </c>
      <c r="B1782" s="32">
        <f>'20250815_ETF_Options_Exhibits'!AD1782</f>
        <v/>
      </c>
      <c r="C1782" s="32">
        <f>'20250815_ETF_Options_Exhibits'!AE1782</f>
        <v/>
      </c>
    </row>
    <row r="1783">
      <c r="A1783" s="1">
        <f>'20250815_ETF_Options_Exhibits'!AC1783</f>
        <v/>
      </c>
      <c r="B1783" s="32">
        <f>'20250815_ETF_Options_Exhibits'!AD1783</f>
        <v/>
      </c>
      <c r="C1783" s="32">
        <f>'20250815_ETF_Options_Exhibits'!AE1783</f>
        <v/>
      </c>
    </row>
    <row r="1784">
      <c r="A1784" s="1">
        <f>'20250815_ETF_Options_Exhibits'!AC1784</f>
        <v/>
      </c>
      <c r="B1784" s="32">
        <f>'20250815_ETF_Options_Exhibits'!AD1784</f>
        <v/>
      </c>
      <c r="C1784" s="32">
        <f>'20250815_ETF_Options_Exhibits'!AE1784</f>
        <v/>
      </c>
    </row>
    <row r="1785">
      <c r="A1785" s="1">
        <f>'20250815_ETF_Options_Exhibits'!AC1785</f>
        <v/>
      </c>
      <c r="B1785" s="32">
        <f>'20250815_ETF_Options_Exhibits'!AD1785</f>
        <v/>
      </c>
      <c r="C1785" s="32">
        <f>'20250815_ETF_Options_Exhibits'!AE1785</f>
        <v/>
      </c>
    </row>
    <row r="1786">
      <c r="A1786" s="1">
        <f>'20250815_ETF_Options_Exhibits'!AC1786</f>
        <v/>
      </c>
      <c r="B1786" s="32">
        <f>'20250815_ETF_Options_Exhibits'!AD1786</f>
        <v/>
      </c>
      <c r="C1786" s="32">
        <f>'20250815_ETF_Options_Exhibits'!AE1786</f>
        <v/>
      </c>
    </row>
    <row r="1787">
      <c r="A1787" s="1">
        <f>'20250815_ETF_Options_Exhibits'!AC1787</f>
        <v/>
      </c>
      <c r="B1787" s="32">
        <f>'20250815_ETF_Options_Exhibits'!AD1787</f>
        <v/>
      </c>
      <c r="C1787" s="32">
        <f>'20250815_ETF_Options_Exhibits'!AE1787</f>
        <v/>
      </c>
    </row>
    <row r="1788">
      <c r="A1788" s="1">
        <f>'20250815_ETF_Options_Exhibits'!AC1788</f>
        <v/>
      </c>
      <c r="B1788" s="32">
        <f>'20250815_ETF_Options_Exhibits'!AD1788</f>
        <v/>
      </c>
      <c r="C1788" s="32">
        <f>'20250815_ETF_Options_Exhibits'!AE1788</f>
        <v/>
      </c>
    </row>
    <row r="1789">
      <c r="A1789" s="1">
        <f>'20250815_ETF_Options_Exhibits'!AC1789</f>
        <v/>
      </c>
      <c r="B1789" s="32">
        <f>'20250815_ETF_Options_Exhibits'!AD1789</f>
        <v/>
      </c>
      <c r="C1789" s="32">
        <f>'20250815_ETF_Options_Exhibits'!AE1789</f>
        <v/>
      </c>
    </row>
    <row r="1790">
      <c r="A1790" s="1">
        <f>'20250815_ETF_Options_Exhibits'!AC1790</f>
        <v/>
      </c>
      <c r="B1790" s="32">
        <f>'20250815_ETF_Options_Exhibits'!AD1790</f>
        <v/>
      </c>
      <c r="C1790" s="32">
        <f>'20250815_ETF_Options_Exhibits'!AE1790</f>
        <v/>
      </c>
    </row>
    <row r="1791">
      <c r="A1791" s="1">
        <f>'20250815_ETF_Options_Exhibits'!AC1791</f>
        <v/>
      </c>
      <c r="B1791" s="32">
        <f>'20250815_ETF_Options_Exhibits'!AD1791</f>
        <v/>
      </c>
      <c r="C1791" s="32">
        <f>'20250815_ETF_Options_Exhibits'!AE1791</f>
        <v/>
      </c>
    </row>
    <row r="1792">
      <c r="A1792" s="1">
        <f>'20250815_ETF_Options_Exhibits'!AC1792</f>
        <v/>
      </c>
      <c r="B1792" s="32">
        <f>'20250815_ETF_Options_Exhibits'!AD1792</f>
        <v/>
      </c>
      <c r="C1792" s="32">
        <f>'20250815_ETF_Options_Exhibits'!AE1792</f>
        <v/>
      </c>
    </row>
    <row r="1793">
      <c r="A1793" s="1">
        <f>'20250815_ETF_Options_Exhibits'!AC1793</f>
        <v/>
      </c>
      <c r="B1793" s="32">
        <f>'20250815_ETF_Options_Exhibits'!AD1793</f>
        <v/>
      </c>
      <c r="C1793" s="32">
        <f>'20250815_ETF_Options_Exhibits'!AE1793</f>
        <v/>
      </c>
    </row>
    <row r="1794">
      <c r="A1794" s="1">
        <f>'20250815_ETF_Options_Exhibits'!AC1794</f>
        <v/>
      </c>
      <c r="B1794" s="32">
        <f>'20250815_ETF_Options_Exhibits'!AD1794</f>
        <v/>
      </c>
      <c r="C1794" s="32">
        <f>'20250815_ETF_Options_Exhibits'!AE1794</f>
        <v/>
      </c>
    </row>
    <row r="1795">
      <c r="A1795" s="1">
        <f>'20250815_ETF_Options_Exhibits'!AC1795</f>
        <v/>
      </c>
      <c r="B1795" s="32">
        <f>'20250815_ETF_Options_Exhibits'!AD1795</f>
        <v/>
      </c>
      <c r="C1795" s="32">
        <f>'20250815_ETF_Options_Exhibits'!AE1795</f>
        <v/>
      </c>
    </row>
    <row r="1796">
      <c r="A1796" s="1">
        <f>'20250815_ETF_Options_Exhibits'!AC1796</f>
        <v/>
      </c>
      <c r="B1796" s="32">
        <f>'20250815_ETF_Options_Exhibits'!AD1796</f>
        <v/>
      </c>
      <c r="C1796" s="32">
        <f>'20250815_ETF_Options_Exhibits'!AE1796</f>
        <v/>
      </c>
    </row>
    <row r="1797">
      <c r="A1797" s="1">
        <f>'20250815_ETF_Options_Exhibits'!AC1797</f>
        <v/>
      </c>
      <c r="B1797" s="32">
        <f>'20250815_ETF_Options_Exhibits'!AD1797</f>
        <v/>
      </c>
      <c r="C1797" s="32">
        <f>'20250815_ETF_Options_Exhibits'!AE1797</f>
        <v/>
      </c>
    </row>
    <row r="1798">
      <c r="A1798" s="1">
        <f>'20250815_ETF_Options_Exhibits'!AC1798</f>
        <v/>
      </c>
      <c r="B1798" s="32">
        <f>'20250815_ETF_Options_Exhibits'!AD1798</f>
        <v/>
      </c>
      <c r="C1798" s="32">
        <f>'20250815_ETF_Options_Exhibits'!AE1798</f>
        <v/>
      </c>
    </row>
    <row r="1799">
      <c r="A1799" s="1">
        <f>'20250815_ETF_Options_Exhibits'!AC1799</f>
        <v/>
      </c>
      <c r="B1799" s="32">
        <f>'20250815_ETF_Options_Exhibits'!AD1799</f>
        <v/>
      </c>
      <c r="C1799" s="32">
        <f>'20250815_ETF_Options_Exhibits'!AE1799</f>
        <v/>
      </c>
    </row>
    <row r="1800">
      <c r="A1800" s="1">
        <f>'20250815_ETF_Options_Exhibits'!AC1800</f>
        <v/>
      </c>
      <c r="B1800" s="32">
        <f>'20250815_ETF_Options_Exhibits'!AD1800</f>
        <v/>
      </c>
      <c r="C1800" s="32">
        <f>'20250815_ETF_Options_Exhibits'!AE1800</f>
        <v/>
      </c>
    </row>
    <row r="1801">
      <c r="A1801" s="1">
        <f>'20250815_ETF_Options_Exhibits'!AC1801</f>
        <v/>
      </c>
      <c r="B1801" s="32">
        <f>'20250815_ETF_Options_Exhibits'!AD1801</f>
        <v/>
      </c>
      <c r="C1801" s="32">
        <f>'20250815_ETF_Options_Exhibits'!AE1801</f>
        <v/>
      </c>
    </row>
    <row r="1802">
      <c r="A1802" s="1">
        <f>'20250815_ETF_Options_Exhibits'!AC1802</f>
        <v/>
      </c>
      <c r="B1802" s="32">
        <f>'20250815_ETF_Options_Exhibits'!AD1802</f>
        <v/>
      </c>
      <c r="C1802" s="32">
        <f>'20250815_ETF_Options_Exhibits'!AE1802</f>
        <v/>
      </c>
    </row>
    <row r="1803">
      <c r="A1803" s="1">
        <f>'20250815_ETF_Options_Exhibits'!AC1803</f>
        <v/>
      </c>
      <c r="B1803" s="32">
        <f>'20250815_ETF_Options_Exhibits'!AD1803</f>
        <v/>
      </c>
      <c r="C1803" s="32">
        <f>'20250815_ETF_Options_Exhibits'!AE1803</f>
        <v/>
      </c>
    </row>
    <row r="1804">
      <c r="A1804" s="1">
        <f>'20250815_ETF_Options_Exhibits'!AC1804</f>
        <v/>
      </c>
      <c r="B1804" s="32">
        <f>'20250815_ETF_Options_Exhibits'!AD1804</f>
        <v/>
      </c>
      <c r="C1804" s="32">
        <f>'20250815_ETF_Options_Exhibits'!AE1804</f>
        <v/>
      </c>
    </row>
    <row r="1805">
      <c r="A1805" s="1">
        <f>'20250815_ETF_Options_Exhibits'!AC1805</f>
        <v/>
      </c>
      <c r="B1805" s="32">
        <f>'20250815_ETF_Options_Exhibits'!AD1805</f>
        <v/>
      </c>
      <c r="C1805" s="32">
        <f>'20250815_ETF_Options_Exhibits'!AE1805</f>
        <v/>
      </c>
    </row>
    <row r="1806">
      <c r="A1806" s="1">
        <f>'20250815_ETF_Options_Exhibits'!AC1806</f>
        <v/>
      </c>
      <c r="B1806" s="32">
        <f>'20250815_ETF_Options_Exhibits'!AD1806</f>
        <v/>
      </c>
      <c r="C1806" s="32">
        <f>'20250815_ETF_Options_Exhibits'!AE1806</f>
        <v/>
      </c>
    </row>
    <row r="1807">
      <c r="A1807" s="1">
        <f>'20250815_ETF_Options_Exhibits'!AC1807</f>
        <v/>
      </c>
      <c r="B1807" s="32">
        <f>'20250815_ETF_Options_Exhibits'!AD1807</f>
        <v/>
      </c>
      <c r="C1807" s="32">
        <f>'20250815_ETF_Options_Exhibits'!AE1807</f>
        <v/>
      </c>
    </row>
    <row r="1808">
      <c r="A1808" s="1">
        <f>'20250815_ETF_Options_Exhibits'!AC1808</f>
        <v/>
      </c>
      <c r="B1808" s="32">
        <f>'20250815_ETF_Options_Exhibits'!AD1808</f>
        <v/>
      </c>
      <c r="C1808" s="32">
        <f>'20250815_ETF_Options_Exhibits'!AE1808</f>
        <v/>
      </c>
    </row>
    <row r="1809">
      <c r="A1809" s="1">
        <f>'20250815_ETF_Options_Exhibits'!AC1809</f>
        <v/>
      </c>
      <c r="B1809" s="32">
        <f>'20250815_ETF_Options_Exhibits'!AD1809</f>
        <v/>
      </c>
      <c r="C1809" s="32">
        <f>'20250815_ETF_Options_Exhibits'!AE1809</f>
        <v/>
      </c>
    </row>
    <row r="1810">
      <c r="A1810" s="1">
        <f>'20250815_ETF_Options_Exhibits'!AC1810</f>
        <v/>
      </c>
      <c r="B1810" s="32">
        <f>'20250815_ETF_Options_Exhibits'!AD1810</f>
        <v/>
      </c>
      <c r="C1810" s="32">
        <f>'20250815_ETF_Options_Exhibits'!AE1810</f>
        <v/>
      </c>
    </row>
    <row r="1811">
      <c r="A1811" s="1">
        <f>'20250815_ETF_Options_Exhibits'!AC1811</f>
        <v/>
      </c>
      <c r="B1811" s="32">
        <f>'20250815_ETF_Options_Exhibits'!AD1811</f>
        <v/>
      </c>
      <c r="C1811" s="32">
        <f>'20250815_ETF_Options_Exhibits'!AE1811</f>
        <v/>
      </c>
    </row>
    <row r="1812">
      <c r="A1812" s="1">
        <f>'20250815_ETF_Options_Exhibits'!AC1812</f>
        <v/>
      </c>
      <c r="B1812" s="32">
        <f>'20250815_ETF_Options_Exhibits'!AD1812</f>
        <v/>
      </c>
      <c r="C1812" s="32">
        <f>'20250815_ETF_Options_Exhibits'!AE1812</f>
        <v/>
      </c>
    </row>
    <row r="1813">
      <c r="A1813" s="1">
        <f>'20250815_ETF_Options_Exhibits'!AC1813</f>
        <v/>
      </c>
      <c r="B1813" s="32">
        <f>'20250815_ETF_Options_Exhibits'!AD1813</f>
        <v/>
      </c>
      <c r="C1813" s="32">
        <f>'20250815_ETF_Options_Exhibits'!AE1813</f>
        <v/>
      </c>
    </row>
    <row r="1814">
      <c r="A1814" s="1">
        <f>'20250815_ETF_Options_Exhibits'!AC1814</f>
        <v/>
      </c>
      <c r="B1814" s="32">
        <f>'20250815_ETF_Options_Exhibits'!AD1814</f>
        <v/>
      </c>
      <c r="C1814" s="32">
        <f>'20250815_ETF_Options_Exhibits'!AE1814</f>
        <v/>
      </c>
    </row>
    <row r="1815">
      <c r="A1815" s="1">
        <f>'20250815_ETF_Options_Exhibits'!AC1815</f>
        <v/>
      </c>
      <c r="B1815" s="32">
        <f>'20250815_ETF_Options_Exhibits'!AD1815</f>
        <v/>
      </c>
      <c r="C1815" s="32">
        <f>'20250815_ETF_Options_Exhibits'!AE1815</f>
        <v/>
      </c>
    </row>
    <row r="1816">
      <c r="A1816" s="1">
        <f>'20250815_ETF_Options_Exhibits'!AC1816</f>
        <v/>
      </c>
      <c r="B1816" s="32">
        <f>'20250815_ETF_Options_Exhibits'!AD1816</f>
        <v/>
      </c>
      <c r="C1816" s="32">
        <f>'20250815_ETF_Options_Exhibits'!AE1816</f>
        <v/>
      </c>
    </row>
    <row r="1817">
      <c r="A1817" s="1">
        <f>'20250815_ETF_Options_Exhibits'!AC1817</f>
        <v/>
      </c>
      <c r="B1817" s="32">
        <f>'20250815_ETF_Options_Exhibits'!AD1817</f>
        <v/>
      </c>
      <c r="C1817" s="32">
        <f>'20250815_ETF_Options_Exhibits'!AE1817</f>
        <v/>
      </c>
    </row>
    <row r="1818">
      <c r="A1818" s="1">
        <f>'20250815_ETF_Options_Exhibits'!AC1818</f>
        <v/>
      </c>
      <c r="B1818" s="32">
        <f>'20250815_ETF_Options_Exhibits'!AD1818</f>
        <v/>
      </c>
      <c r="C1818" s="32">
        <f>'20250815_ETF_Options_Exhibits'!AE1818</f>
        <v/>
      </c>
    </row>
    <row r="1819">
      <c r="A1819" s="1">
        <f>'20250815_ETF_Options_Exhibits'!AC1819</f>
        <v/>
      </c>
      <c r="B1819" s="32">
        <f>'20250815_ETF_Options_Exhibits'!AD1819</f>
        <v/>
      </c>
      <c r="C1819" s="32">
        <f>'20250815_ETF_Options_Exhibits'!AE1819</f>
        <v/>
      </c>
    </row>
    <row r="1820">
      <c r="A1820" s="1">
        <f>'20250815_ETF_Options_Exhibits'!AC1820</f>
        <v/>
      </c>
      <c r="B1820" s="32">
        <f>'20250815_ETF_Options_Exhibits'!AD1820</f>
        <v/>
      </c>
      <c r="C1820" s="32">
        <f>'20250815_ETF_Options_Exhibits'!AE1820</f>
        <v/>
      </c>
    </row>
    <row r="1821">
      <c r="A1821" s="1">
        <f>'20250815_ETF_Options_Exhibits'!AC1821</f>
        <v/>
      </c>
      <c r="B1821" s="32">
        <f>'20250815_ETF_Options_Exhibits'!AD1821</f>
        <v/>
      </c>
      <c r="C1821" s="32">
        <f>'20250815_ETF_Options_Exhibits'!AE1821</f>
        <v/>
      </c>
    </row>
    <row r="1822">
      <c r="A1822" s="1">
        <f>'20250815_ETF_Options_Exhibits'!AC1822</f>
        <v/>
      </c>
      <c r="B1822" s="32">
        <f>'20250815_ETF_Options_Exhibits'!AD1822</f>
        <v/>
      </c>
      <c r="C1822" s="32">
        <f>'20250815_ETF_Options_Exhibits'!AE1822</f>
        <v/>
      </c>
    </row>
    <row r="1823">
      <c r="A1823" s="1">
        <f>'20250815_ETF_Options_Exhibits'!AC1823</f>
        <v/>
      </c>
      <c r="B1823" s="32">
        <f>'20250815_ETF_Options_Exhibits'!AD1823</f>
        <v/>
      </c>
      <c r="C1823" s="32">
        <f>'20250815_ETF_Options_Exhibits'!AE1823</f>
        <v/>
      </c>
    </row>
    <row r="1824">
      <c r="A1824" s="1">
        <f>'20250815_ETF_Options_Exhibits'!AC1824</f>
        <v/>
      </c>
      <c r="B1824" s="32">
        <f>'20250815_ETF_Options_Exhibits'!AD1824</f>
        <v/>
      </c>
      <c r="C1824" s="32">
        <f>'20250815_ETF_Options_Exhibits'!AE1824</f>
        <v/>
      </c>
    </row>
    <row r="1825">
      <c r="A1825" s="1">
        <f>'20250815_ETF_Options_Exhibits'!AC1825</f>
        <v/>
      </c>
      <c r="B1825" s="32">
        <f>'20250815_ETF_Options_Exhibits'!AD1825</f>
        <v/>
      </c>
      <c r="C1825" s="32">
        <f>'20250815_ETF_Options_Exhibits'!AE1825</f>
        <v/>
      </c>
    </row>
    <row r="1826">
      <c r="A1826" s="1">
        <f>'20250815_ETF_Options_Exhibits'!AC1826</f>
        <v/>
      </c>
      <c r="B1826" s="32">
        <f>'20250815_ETF_Options_Exhibits'!AD1826</f>
        <v/>
      </c>
      <c r="C1826" s="32">
        <f>'20250815_ETF_Options_Exhibits'!AE1826</f>
        <v/>
      </c>
    </row>
    <row r="1827">
      <c r="A1827" s="1">
        <f>'20250815_ETF_Options_Exhibits'!AC1827</f>
        <v/>
      </c>
      <c r="B1827" s="32">
        <f>'20250815_ETF_Options_Exhibits'!AD1827</f>
        <v/>
      </c>
      <c r="C1827" s="32">
        <f>'20250815_ETF_Options_Exhibits'!AE1827</f>
        <v/>
      </c>
    </row>
    <row r="1828">
      <c r="A1828" s="1">
        <f>'20250815_ETF_Options_Exhibits'!AC1828</f>
        <v/>
      </c>
      <c r="B1828" s="32">
        <f>'20250815_ETF_Options_Exhibits'!AD1828</f>
        <v/>
      </c>
      <c r="C1828" s="32">
        <f>'20250815_ETF_Options_Exhibits'!AE1828</f>
        <v/>
      </c>
    </row>
    <row r="1829">
      <c r="A1829" s="1">
        <f>'20250815_ETF_Options_Exhibits'!AC1829</f>
        <v/>
      </c>
      <c r="B1829" s="32">
        <f>'20250815_ETF_Options_Exhibits'!AD1829</f>
        <v/>
      </c>
      <c r="C1829" s="32">
        <f>'20250815_ETF_Options_Exhibits'!AE1829</f>
        <v/>
      </c>
    </row>
    <row r="1830">
      <c r="A1830" s="1">
        <f>'20250815_ETF_Options_Exhibits'!AC1830</f>
        <v/>
      </c>
      <c r="B1830" s="32">
        <f>'20250815_ETF_Options_Exhibits'!AD1830</f>
        <v/>
      </c>
      <c r="C1830" s="32">
        <f>'20250815_ETF_Options_Exhibits'!AE1830</f>
        <v/>
      </c>
    </row>
    <row r="1831">
      <c r="A1831" s="1">
        <f>'20250815_ETF_Options_Exhibits'!AC1831</f>
        <v/>
      </c>
      <c r="B1831" s="32">
        <f>'20250815_ETF_Options_Exhibits'!AD1831</f>
        <v/>
      </c>
      <c r="C1831" s="32">
        <f>'20250815_ETF_Options_Exhibits'!AE1831</f>
        <v/>
      </c>
    </row>
    <row r="1832">
      <c r="A1832" s="1">
        <f>'20250815_ETF_Options_Exhibits'!AC1832</f>
        <v/>
      </c>
      <c r="B1832" s="32">
        <f>'20250815_ETF_Options_Exhibits'!AD1832</f>
        <v/>
      </c>
      <c r="C1832" s="32">
        <f>'20250815_ETF_Options_Exhibits'!AE1832</f>
        <v/>
      </c>
    </row>
    <row r="1833">
      <c r="A1833" s="1">
        <f>'20250815_ETF_Options_Exhibits'!AC1833</f>
        <v/>
      </c>
      <c r="B1833" s="32">
        <f>'20250815_ETF_Options_Exhibits'!AD1833</f>
        <v/>
      </c>
      <c r="C1833" s="32">
        <f>'20250815_ETF_Options_Exhibits'!AE1833</f>
        <v/>
      </c>
    </row>
    <row r="1834">
      <c r="A1834" s="1">
        <f>'20250815_ETF_Options_Exhibits'!AC1834</f>
        <v/>
      </c>
      <c r="B1834" s="32">
        <f>'20250815_ETF_Options_Exhibits'!AD1834</f>
        <v/>
      </c>
      <c r="C1834" s="32">
        <f>'20250815_ETF_Options_Exhibits'!AE1834</f>
        <v/>
      </c>
    </row>
    <row r="1835">
      <c r="A1835" s="1">
        <f>'20250815_ETF_Options_Exhibits'!AC1835</f>
        <v/>
      </c>
      <c r="B1835" s="32">
        <f>'20250815_ETF_Options_Exhibits'!AD1835</f>
        <v/>
      </c>
      <c r="C1835" s="32">
        <f>'20250815_ETF_Options_Exhibits'!AE1835</f>
        <v/>
      </c>
    </row>
    <row r="1836">
      <c r="A1836" s="1">
        <f>'20250815_ETF_Options_Exhibits'!AC1836</f>
        <v/>
      </c>
      <c r="B1836" s="32">
        <f>'20250815_ETF_Options_Exhibits'!AD1836</f>
        <v/>
      </c>
      <c r="C1836" s="32">
        <f>'20250815_ETF_Options_Exhibits'!AE1836</f>
        <v/>
      </c>
    </row>
    <row r="1837">
      <c r="A1837" s="1">
        <f>'20250815_ETF_Options_Exhibits'!AC1837</f>
        <v/>
      </c>
      <c r="B1837" s="32">
        <f>'20250815_ETF_Options_Exhibits'!AD1837</f>
        <v/>
      </c>
      <c r="C1837" s="32">
        <f>'20250815_ETF_Options_Exhibits'!AE1837</f>
        <v/>
      </c>
    </row>
    <row r="1838">
      <c r="A1838" s="1">
        <f>'20250815_ETF_Options_Exhibits'!AC1838</f>
        <v/>
      </c>
      <c r="B1838" s="32">
        <f>'20250815_ETF_Options_Exhibits'!AD1838</f>
        <v/>
      </c>
      <c r="C1838" s="32">
        <f>'20250815_ETF_Options_Exhibits'!AE1838</f>
        <v/>
      </c>
    </row>
    <row r="1839">
      <c r="A1839" s="1">
        <f>'20250815_ETF_Options_Exhibits'!AC1839</f>
        <v/>
      </c>
      <c r="B1839" s="32">
        <f>'20250815_ETF_Options_Exhibits'!AD1839</f>
        <v/>
      </c>
      <c r="C1839" s="32">
        <f>'20250815_ETF_Options_Exhibits'!AE1839</f>
        <v/>
      </c>
    </row>
    <row r="1840">
      <c r="A1840" s="1">
        <f>'20250815_ETF_Options_Exhibits'!AC1840</f>
        <v/>
      </c>
      <c r="B1840" s="32">
        <f>'20250815_ETF_Options_Exhibits'!AD1840</f>
        <v/>
      </c>
      <c r="C1840" s="32">
        <f>'20250815_ETF_Options_Exhibits'!AE1840</f>
        <v/>
      </c>
    </row>
    <row r="1841">
      <c r="A1841" s="1">
        <f>'20250815_ETF_Options_Exhibits'!AC1841</f>
        <v/>
      </c>
      <c r="B1841" s="32">
        <f>'20250815_ETF_Options_Exhibits'!AD1841</f>
        <v/>
      </c>
      <c r="C1841" s="32">
        <f>'20250815_ETF_Options_Exhibits'!AE1841</f>
        <v/>
      </c>
    </row>
    <row r="1842">
      <c r="A1842" s="1">
        <f>'20250815_ETF_Options_Exhibits'!AC1842</f>
        <v/>
      </c>
      <c r="B1842" s="32">
        <f>'20250815_ETF_Options_Exhibits'!AD1842</f>
        <v/>
      </c>
      <c r="C1842" s="32">
        <f>'20250815_ETF_Options_Exhibits'!AE1842</f>
        <v/>
      </c>
    </row>
    <row r="1843">
      <c r="A1843" s="1">
        <f>'20250815_ETF_Options_Exhibits'!AC1843</f>
        <v/>
      </c>
      <c r="B1843" s="32">
        <f>'20250815_ETF_Options_Exhibits'!AD1843</f>
        <v/>
      </c>
      <c r="C1843" s="32">
        <f>'20250815_ETF_Options_Exhibits'!AE1843</f>
        <v/>
      </c>
    </row>
    <row r="1844">
      <c r="A1844" s="1">
        <f>'20250815_ETF_Options_Exhibits'!AC1844</f>
        <v/>
      </c>
      <c r="B1844" s="32">
        <f>'20250815_ETF_Options_Exhibits'!AD1844</f>
        <v/>
      </c>
      <c r="C1844" s="32">
        <f>'20250815_ETF_Options_Exhibits'!AE1844</f>
        <v/>
      </c>
    </row>
    <row r="1845">
      <c r="A1845" s="1">
        <f>'20250815_ETF_Options_Exhibits'!AC1845</f>
        <v/>
      </c>
      <c r="B1845" s="32">
        <f>'20250815_ETF_Options_Exhibits'!AD1845</f>
        <v/>
      </c>
      <c r="C1845" s="32">
        <f>'20250815_ETF_Options_Exhibits'!AE1845</f>
        <v/>
      </c>
    </row>
    <row r="1846">
      <c r="A1846" s="1">
        <f>'20250815_ETF_Options_Exhibits'!AC1846</f>
        <v/>
      </c>
      <c r="B1846" s="32">
        <f>'20250815_ETF_Options_Exhibits'!AD1846</f>
        <v/>
      </c>
      <c r="C1846" s="32">
        <f>'20250815_ETF_Options_Exhibits'!AE1846</f>
        <v/>
      </c>
    </row>
    <row r="1847">
      <c r="A1847" s="1">
        <f>'20250815_ETF_Options_Exhibits'!AC1847</f>
        <v/>
      </c>
      <c r="B1847" s="32">
        <f>'20250815_ETF_Options_Exhibits'!AD1847</f>
        <v/>
      </c>
      <c r="C1847" s="32">
        <f>'20250815_ETF_Options_Exhibits'!AE1847</f>
        <v/>
      </c>
    </row>
    <row r="1848">
      <c r="A1848" s="1">
        <f>'20250815_ETF_Options_Exhibits'!AC1848</f>
        <v/>
      </c>
      <c r="B1848" s="32">
        <f>'20250815_ETF_Options_Exhibits'!AD1848</f>
        <v/>
      </c>
      <c r="C1848" s="32">
        <f>'20250815_ETF_Options_Exhibits'!AE1848</f>
        <v/>
      </c>
    </row>
    <row r="1849">
      <c r="A1849" s="1">
        <f>'20250815_ETF_Options_Exhibits'!AC1849</f>
        <v/>
      </c>
      <c r="B1849" s="32">
        <f>'20250815_ETF_Options_Exhibits'!AD1849</f>
        <v/>
      </c>
      <c r="C1849" s="32">
        <f>'20250815_ETF_Options_Exhibits'!AE1849</f>
        <v/>
      </c>
    </row>
    <row r="1850">
      <c r="A1850" s="1">
        <f>'20250815_ETF_Options_Exhibits'!AC1850</f>
        <v/>
      </c>
      <c r="B1850" s="32">
        <f>'20250815_ETF_Options_Exhibits'!AD1850</f>
        <v/>
      </c>
      <c r="C1850" s="32">
        <f>'20250815_ETF_Options_Exhibits'!AE1850</f>
        <v/>
      </c>
    </row>
    <row r="1851">
      <c r="A1851" s="1">
        <f>'20250815_ETF_Options_Exhibits'!AC1851</f>
        <v/>
      </c>
      <c r="B1851" s="32">
        <f>'20250815_ETF_Options_Exhibits'!AD1851</f>
        <v/>
      </c>
      <c r="C1851" s="32">
        <f>'20250815_ETF_Options_Exhibits'!AE1851</f>
        <v/>
      </c>
    </row>
    <row r="1852">
      <c r="A1852" s="1">
        <f>'20250815_ETF_Options_Exhibits'!AC1852</f>
        <v/>
      </c>
      <c r="B1852" s="32">
        <f>'20250815_ETF_Options_Exhibits'!AD1852</f>
        <v/>
      </c>
      <c r="C1852" s="32">
        <f>'20250815_ETF_Options_Exhibits'!AE1852</f>
        <v/>
      </c>
    </row>
    <row r="1853">
      <c r="A1853" s="1">
        <f>'20250815_ETF_Options_Exhibits'!AC1853</f>
        <v/>
      </c>
      <c r="B1853" s="32">
        <f>'20250815_ETF_Options_Exhibits'!AD1853</f>
        <v/>
      </c>
      <c r="C1853" s="32">
        <f>'20250815_ETF_Options_Exhibits'!AE1853</f>
        <v/>
      </c>
    </row>
    <row r="1854">
      <c r="A1854" s="1">
        <f>'20250815_ETF_Options_Exhibits'!AC1854</f>
        <v/>
      </c>
      <c r="B1854" s="32">
        <f>'20250815_ETF_Options_Exhibits'!AD1854</f>
        <v/>
      </c>
      <c r="C1854" s="32">
        <f>'20250815_ETF_Options_Exhibits'!AE1854</f>
        <v/>
      </c>
    </row>
    <row r="1855">
      <c r="A1855" s="1">
        <f>'20250815_ETF_Options_Exhibits'!AC1855</f>
        <v/>
      </c>
      <c r="B1855" s="32">
        <f>'20250815_ETF_Options_Exhibits'!AD1855</f>
        <v/>
      </c>
      <c r="C1855" s="32">
        <f>'20250815_ETF_Options_Exhibits'!AE1855</f>
        <v/>
      </c>
    </row>
    <row r="1856">
      <c r="A1856" s="1">
        <f>'20250815_ETF_Options_Exhibits'!AC1856</f>
        <v/>
      </c>
      <c r="B1856" s="32">
        <f>'20250815_ETF_Options_Exhibits'!AD1856</f>
        <v/>
      </c>
      <c r="C1856" s="32">
        <f>'20250815_ETF_Options_Exhibits'!AE1856</f>
        <v/>
      </c>
    </row>
    <row r="1857">
      <c r="A1857" s="1">
        <f>'20250815_ETF_Options_Exhibits'!AC1857</f>
        <v/>
      </c>
      <c r="B1857" s="32">
        <f>'20250815_ETF_Options_Exhibits'!AD1857</f>
        <v/>
      </c>
      <c r="C1857" s="32">
        <f>'20250815_ETF_Options_Exhibits'!AE1857</f>
        <v/>
      </c>
    </row>
    <row r="1858">
      <c r="A1858" s="1">
        <f>'20250815_ETF_Options_Exhibits'!AC1858</f>
        <v/>
      </c>
      <c r="B1858" s="32">
        <f>'20250815_ETF_Options_Exhibits'!AD1858</f>
        <v/>
      </c>
      <c r="C1858" s="32">
        <f>'20250815_ETF_Options_Exhibits'!AE1858</f>
        <v/>
      </c>
    </row>
    <row r="1859">
      <c r="A1859" s="1">
        <f>'20250815_ETF_Options_Exhibits'!AC1859</f>
        <v/>
      </c>
      <c r="B1859" s="32">
        <f>'20250815_ETF_Options_Exhibits'!AD1859</f>
        <v/>
      </c>
      <c r="C1859" s="32">
        <f>'20250815_ETF_Options_Exhibits'!AE1859</f>
        <v/>
      </c>
    </row>
    <row r="1860">
      <c r="A1860" s="1">
        <f>'20250815_ETF_Options_Exhibits'!AC1860</f>
        <v/>
      </c>
      <c r="B1860" s="32">
        <f>'20250815_ETF_Options_Exhibits'!AD1860</f>
        <v/>
      </c>
      <c r="C1860" s="32">
        <f>'20250815_ETF_Options_Exhibits'!AE1860</f>
        <v/>
      </c>
    </row>
    <row r="1861">
      <c r="A1861" s="1">
        <f>'20250815_ETF_Options_Exhibits'!AC1861</f>
        <v/>
      </c>
      <c r="B1861" s="32">
        <f>'20250815_ETF_Options_Exhibits'!AD1861</f>
        <v/>
      </c>
      <c r="C1861" s="32">
        <f>'20250815_ETF_Options_Exhibits'!AE1861</f>
        <v/>
      </c>
    </row>
    <row r="1862">
      <c r="A1862" s="1">
        <f>'20250815_ETF_Options_Exhibits'!AC1862</f>
        <v/>
      </c>
      <c r="B1862" s="32">
        <f>'20250815_ETF_Options_Exhibits'!AD1862</f>
        <v/>
      </c>
      <c r="C1862" s="32">
        <f>'20250815_ETF_Options_Exhibits'!AE1862</f>
        <v/>
      </c>
    </row>
    <row r="1863">
      <c r="A1863" s="1">
        <f>'20250815_ETF_Options_Exhibits'!AC1863</f>
        <v/>
      </c>
      <c r="B1863" s="32">
        <f>'20250815_ETF_Options_Exhibits'!AD1863</f>
        <v/>
      </c>
      <c r="C1863" s="32">
        <f>'20250815_ETF_Options_Exhibits'!AE1863</f>
        <v/>
      </c>
    </row>
    <row r="1864">
      <c r="A1864" s="1">
        <f>'20250815_ETF_Options_Exhibits'!AC1864</f>
        <v/>
      </c>
      <c r="B1864" s="32">
        <f>'20250815_ETF_Options_Exhibits'!AD1864</f>
        <v/>
      </c>
      <c r="C1864" s="32">
        <f>'20250815_ETF_Options_Exhibits'!AE1864</f>
        <v/>
      </c>
    </row>
    <row r="1865">
      <c r="A1865" s="1">
        <f>'20250815_ETF_Options_Exhibits'!AC1865</f>
        <v/>
      </c>
      <c r="B1865" s="32">
        <f>'20250815_ETF_Options_Exhibits'!AD1865</f>
        <v/>
      </c>
      <c r="C1865" s="32">
        <f>'20250815_ETF_Options_Exhibits'!AE1865</f>
        <v/>
      </c>
    </row>
    <row r="1866">
      <c r="A1866" s="1">
        <f>'20250815_ETF_Options_Exhibits'!AC1866</f>
        <v/>
      </c>
      <c r="B1866" s="32">
        <f>'20250815_ETF_Options_Exhibits'!AD1866</f>
        <v/>
      </c>
      <c r="C1866" s="32">
        <f>'20250815_ETF_Options_Exhibits'!AE1866</f>
        <v/>
      </c>
    </row>
    <row r="1867">
      <c r="A1867" s="1">
        <f>'20250815_ETF_Options_Exhibits'!AC1867</f>
        <v/>
      </c>
      <c r="B1867" s="32">
        <f>'20250815_ETF_Options_Exhibits'!AD1867</f>
        <v/>
      </c>
      <c r="C1867" s="32">
        <f>'20250815_ETF_Options_Exhibits'!AE1867</f>
        <v/>
      </c>
    </row>
    <row r="1868">
      <c r="A1868" s="1">
        <f>'20250815_ETF_Options_Exhibits'!AC1868</f>
        <v/>
      </c>
      <c r="B1868" s="32">
        <f>'20250815_ETF_Options_Exhibits'!AD1868</f>
        <v/>
      </c>
      <c r="C1868" s="32">
        <f>'20250815_ETF_Options_Exhibits'!AE1868</f>
        <v/>
      </c>
    </row>
    <row r="1869">
      <c r="A1869" s="1">
        <f>'20250815_ETF_Options_Exhibits'!AC1869</f>
        <v/>
      </c>
      <c r="B1869" s="32">
        <f>'20250815_ETF_Options_Exhibits'!AD1869</f>
        <v/>
      </c>
      <c r="C1869" s="32">
        <f>'20250815_ETF_Options_Exhibits'!AE1869</f>
        <v/>
      </c>
    </row>
    <row r="1870">
      <c r="A1870" s="1">
        <f>'20250815_ETF_Options_Exhibits'!AC1870</f>
        <v/>
      </c>
      <c r="B1870" s="32">
        <f>'20250815_ETF_Options_Exhibits'!AD1870</f>
        <v/>
      </c>
      <c r="C1870" s="32">
        <f>'20250815_ETF_Options_Exhibits'!AE1870</f>
        <v/>
      </c>
    </row>
    <row r="1871">
      <c r="A1871" s="1">
        <f>'20250815_ETF_Options_Exhibits'!AC1871</f>
        <v/>
      </c>
      <c r="B1871" s="32">
        <f>'20250815_ETF_Options_Exhibits'!AD1871</f>
        <v/>
      </c>
      <c r="C1871" s="32">
        <f>'20250815_ETF_Options_Exhibits'!AE1871</f>
        <v/>
      </c>
    </row>
    <row r="1872">
      <c r="A1872" s="1">
        <f>'20250815_ETF_Options_Exhibits'!AC1872</f>
        <v/>
      </c>
      <c r="B1872" s="32">
        <f>'20250815_ETF_Options_Exhibits'!AD1872</f>
        <v/>
      </c>
      <c r="C1872" s="32">
        <f>'20250815_ETF_Options_Exhibits'!AE1872</f>
        <v/>
      </c>
    </row>
    <row r="1873">
      <c r="A1873" s="1">
        <f>'20250815_ETF_Options_Exhibits'!AC1873</f>
        <v/>
      </c>
      <c r="B1873" s="32">
        <f>'20250815_ETF_Options_Exhibits'!AD1873</f>
        <v/>
      </c>
      <c r="C1873" s="32">
        <f>'20250815_ETF_Options_Exhibits'!AE1873</f>
        <v/>
      </c>
    </row>
    <row r="1874">
      <c r="A1874" s="1">
        <f>'20250815_ETF_Options_Exhibits'!AC1874</f>
        <v/>
      </c>
      <c r="B1874" s="32">
        <f>'20250815_ETF_Options_Exhibits'!AD1874</f>
        <v/>
      </c>
      <c r="C1874" s="32">
        <f>'20250815_ETF_Options_Exhibits'!AE1874</f>
        <v/>
      </c>
    </row>
    <row r="1875">
      <c r="A1875" s="1">
        <f>'20250815_ETF_Options_Exhibits'!AC1875</f>
        <v/>
      </c>
      <c r="B1875" s="32">
        <f>'20250815_ETF_Options_Exhibits'!AD1875</f>
        <v/>
      </c>
      <c r="C1875" s="32">
        <f>'20250815_ETF_Options_Exhibits'!AE1875</f>
        <v/>
      </c>
    </row>
    <row r="1876">
      <c r="A1876" s="1">
        <f>'20250815_ETF_Options_Exhibits'!AC1876</f>
        <v/>
      </c>
      <c r="B1876" s="32">
        <f>'20250815_ETF_Options_Exhibits'!AD1876</f>
        <v/>
      </c>
      <c r="C1876" s="32">
        <f>'20250815_ETF_Options_Exhibits'!AE1876</f>
        <v/>
      </c>
    </row>
    <row r="1877">
      <c r="A1877" s="1">
        <f>'20250815_ETF_Options_Exhibits'!AC1877</f>
        <v/>
      </c>
      <c r="B1877" s="32">
        <f>'20250815_ETF_Options_Exhibits'!AD1877</f>
        <v/>
      </c>
      <c r="C1877" s="32">
        <f>'20250815_ETF_Options_Exhibits'!AE1877</f>
        <v/>
      </c>
    </row>
    <row r="1878">
      <c r="A1878" s="1">
        <f>'20250815_ETF_Options_Exhibits'!AC1878</f>
        <v/>
      </c>
      <c r="B1878" s="32">
        <f>'20250815_ETF_Options_Exhibits'!AD1878</f>
        <v/>
      </c>
      <c r="C1878" s="32">
        <f>'20250815_ETF_Options_Exhibits'!AE1878</f>
        <v/>
      </c>
    </row>
    <row r="1879">
      <c r="A1879" s="1">
        <f>'20250815_ETF_Options_Exhibits'!AC1879</f>
        <v/>
      </c>
      <c r="B1879" s="32">
        <f>'20250815_ETF_Options_Exhibits'!AD1879</f>
        <v/>
      </c>
      <c r="C1879" s="32">
        <f>'20250815_ETF_Options_Exhibits'!AE1879</f>
        <v/>
      </c>
    </row>
    <row r="1880">
      <c r="A1880" s="1">
        <f>'20250815_ETF_Options_Exhibits'!AC1880</f>
        <v/>
      </c>
      <c r="B1880" s="32">
        <f>'20250815_ETF_Options_Exhibits'!AD1880</f>
        <v/>
      </c>
      <c r="C1880" s="32">
        <f>'20250815_ETF_Options_Exhibits'!AE1880</f>
        <v/>
      </c>
    </row>
    <row r="1881">
      <c r="A1881" s="1">
        <f>'20250815_ETF_Options_Exhibits'!AC1881</f>
        <v/>
      </c>
      <c r="B1881" s="32">
        <f>'20250815_ETF_Options_Exhibits'!AD1881</f>
        <v/>
      </c>
      <c r="C1881" s="32">
        <f>'20250815_ETF_Options_Exhibits'!AE1881</f>
        <v/>
      </c>
    </row>
    <row r="1882">
      <c r="A1882" s="1">
        <f>'20250815_ETF_Options_Exhibits'!AC1882</f>
        <v/>
      </c>
      <c r="B1882" s="32">
        <f>'20250815_ETF_Options_Exhibits'!AD1882</f>
        <v/>
      </c>
      <c r="C1882" s="32">
        <f>'20250815_ETF_Options_Exhibits'!AE1882</f>
        <v/>
      </c>
    </row>
    <row r="1883">
      <c r="A1883" s="1">
        <f>'20250815_ETF_Options_Exhibits'!AC1883</f>
        <v/>
      </c>
      <c r="B1883" s="32">
        <f>'20250815_ETF_Options_Exhibits'!AD1883</f>
        <v/>
      </c>
      <c r="C1883" s="32">
        <f>'20250815_ETF_Options_Exhibits'!AE1883</f>
        <v/>
      </c>
    </row>
    <row r="1884">
      <c r="A1884" s="1">
        <f>'20250815_ETF_Options_Exhibits'!AC1884</f>
        <v/>
      </c>
      <c r="B1884" s="32">
        <f>'20250815_ETF_Options_Exhibits'!AD1884</f>
        <v/>
      </c>
      <c r="C1884" s="32">
        <f>'20250815_ETF_Options_Exhibits'!AE1884</f>
        <v/>
      </c>
    </row>
    <row r="1885">
      <c r="A1885" s="1">
        <f>'20250815_ETF_Options_Exhibits'!AC1885</f>
        <v/>
      </c>
      <c r="B1885" s="32">
        <f>'20250815_ETF_Options_Exhibits'!AD1885</f>
        <v/>
      </c>
      <c r="C1885" s="32">
        <f>'20250815_ETF_Options_Exhibits'!AE1885</f>
        <v/>
      </c>
    </row>
    <row r="1886">
      <c r="A1886" s="1">
        <f>'20250815_ETF_Options_Exhibits'!AC1886</f>
        <v/>
      </c>
      <c r="B1886" s="32">
        <f>'20250815_ETF_Options_Exhibits'!AD1886</f>
        <v/>
      </c>
      <c r="C1886" s="32">
        <f>'20250815_ETF_Options_Exhibits'!AE1886</f>
        <v/>
      </c>
    </row>
    <row r="1887">
      <c r="A1887" s="1">
        <f>'20250815_ETF_Options_Exhibits'!AC1887</f>
        <v/>
      </c>
      <c r="B1887" s="32">
        <f>'20250815_ETF_Options_Exhibits'!AD1887</f>
        <v/>
      </c>
      <c r="C1887" s="32">
        <f>'20250815_ETF_Options_Exhibits'!AE1887</f>
        <v/>
      </c>
    </row>
    <row r="1888">
      <c r="A1888" s="1">
        <f>'20250815_ETF_Options_Exhibits'!AC1888</f>
        <v/>
      </c>
      <c r="B1888" s="32">
        <f>'20250815_ETF_Options_Exhibits'!AD1888</f>
        <v/>
      </c>
      <c r="C1888" s="32">
        <f>'20250815_ETF_Options_Exhibits'!AE1888</f>
        <v/>
      </c>
    </row>
    <row r="1889">
      <c r="A1889" s="1">
        <f>'20250815_ETF_Options_Exhibits'!AC1889</f>
        <v/>
      </c>
      <c r="B1889" s="32">
        <f>'20250815_ETF_Options_Exhibits'!AD1889</f>
        <v/>
      </c>
      <c r="C1889" s="32">
        <f>'20250815_ETF_Options_Exhibits'!AE1889</f>
        <v/>
      </c>
    </row>
    <row r="1890">
      <c r="A1890" s="1">
        <f>'20250815_ETF_Options_Exhibits'!AC1890</f>
        <v/>
      </c>
      <c r="B1890" s="32">
        <f>'20250815_ETF_Options_Exhibits'!AD1890</f>
        <v/>
      </c>
      <c r="C1890" s="32">
        <f>'20250815_ETF_Options_Exhibits'!AE1890</f>
        <v/>
      </c>
    </row>
    <row r="1891">
      <c r="A1891" s="1">
        <f>'20250815_ETF_Options_Exhibits'!AC1891</f>
        <v/>
      </c>
      <c r="B1891" s="32">
        <f>'20250815_ETF_Options_Exhibits'!AD1891</f>
        <v/>
      </c>
      <c r="C1891" s="32">
        <f>'20250815_ETF_Options_Exhibits'!AE1891</f>
        <v/>
      </c>
    </row>
    <row r="1892">
      <c r="A1892" s="1">
        <f>'20250815_ETF_Options_Exhibits'!AC1892</f>
        <v/>
      </c>
      <c r="B1892" s="32">
        <f>'20250815_ETF_Options_Exhibits'!AD1892</f>
        <v/>
      </c>
      <c r="C1892" s="32">
        <f>'20250815_ETF_Options_Exhibits'!AE1892</f>
        <v/>
      </c>
    </row>
    <row r="1893">
      <c r="A1893" s="1">
        <f>'20250815_ETF_Options_Exhibits'!AC1893</f>
        <v/>
      </c>
      <c r="B1893" s="32">
        <f>'20250815_ETF_Options_Exhibits'!AD1893</f>
        <v/>
      </c>
      <c r="C1893" s="32">
        <f>'20250815_ETF_Options_Exhibits'!AE1893</f>
        <v/>
      </c>
    </row>
    <row r="1894">
      <c r="A1894" s="1">
        <f>'20250815_ETF_Options_Exhibits'!AC1894</f>
        <v/>
      </c>
      <c r="B1894" s="32">
        <f>'20250815_ETF_Options_Exhibits'!AD1894</f>
        <v/>
      </c>
      <c r="C1894" s="32">
        <f>'20250815_ETF_Options_Exhibits'!AE1894</f>
        <v/>
      </c>
    </row>
    <row r="1895">
      <c r="A1895" s="1">
        <f>'20250815_ETF_Options_Exhibits'!AC1895</f>
        <v/>
      </c>
      <c r="B1895" s="32">
        <f>'20250815_ETF_Options_Exhibits'!AD1895</f>
        <v/>
      </c>
      <c r="C1895" s="32">
        <f>'20250815_ETF_Options_Exhibits'!AE1895</f>
        <v/>
      </c>
    </row>
    <row r="1896">
      <c r="A1896" s="1">
        <f>'20250815_ETF_Options_Exhibits'!AC1896</f>
        <v/>
      </c>
      <c r="B1896" s="32">
        <f>'20250815_ETF_Options_Exhibits'!AD1896</f>
        <v/>
      </c>
      <c r="C1896" s="32">
        <f>'20250815_ETF_Options_Exhibits'!AE1896</f>
        <v/>
      </c>
    </row>
    <row r="1897">
      <c r="A1897" s="1">
        <f>'20250815_ETF_Options_Exhibits'!AC1897</f>
        <v/>
      </c>
      <c r="B1897" s="32">
        <f>'20250815_ETF_Options_Exhibits'!AD1897</f>
        <v/>
      </c>
      <c r="C1897" s="32">
        <f>'20250815_ETF_Options_Exhibits'!AE1897</f>
        <v/>
      </c>
    </row>
    <row r="1898">
      <c r="A1898" s="1">
        <f>'20250815_ETF_Options_Exhibits'!AC1898</f>
        <v/>
      </c>
      <c r="B1898" s="32">
        <f>'20250815_ETF_Options_Exhibits'!AD1898</f>
        <v/>
      </c>
      <c r="C1898" s="32">
        <f>'20250815_ETF_Options_Exhibits'!AE1898</f>
        <v/>
      </c>
    </row>
    <row r="1899">
      <c r="A1899" s="1">
        <f>'20250815_ETF_Options_Exhibits'!AC1899</f>
        <v/>
      </c>
      <c r="B1899" s="32">
        <f>'20250815_ETF_Options_Exhibits'!AD1899</f>
        <v/>
      </c>
      <c r="C1899" s="32">
        <f>'20250815_ETF_Options_Exhibits'!AE1899</f>
        <v/>
      </c>
    </row>
    <row r="1900">
      <c r="A1900" s="1">
        <f>'20250815_ETF_Options_Exhibits'!AC1900</f>
        <v/>
      </c>
      <c r="B1900" s="32">
        <f>'20250815_ETF_Options_Exhibits'!AD1900</f>
        <v/>
      </c>
      <c r="C1900" s="32">
        <f>'20250815_ETF_Options_Exhibits'!AE1900</f>
        <v/>
      </c>
    </row>
    <row r="1901">
      <c r="A1901" s="1">
        <f>'20250815_ETF_Options_Exhibits'!AC1901</f>
        <v/>
      </c>
      <c r="B1901" s="32">
        <f>'20250815_ETF_Options_Exhibits'!AD1901</f>
        <v/>
      </c>
      <c r="C1901" s="32">
        <f>'20250815_ETF_Options_Exhibits'!AE1901</f>
        <v/>
      </c>
    </row>
    <row r="1902">
      <c r="A1902" s="1">
        <f>'20250815_ETF_Options_Exhibits'!AC1902</f>
        <v/>
      </c>
      <c r="B1902" s="32">
        <f>'20250815_ETF_Options_Exhibits'!AD1902</f>
        <v/>
      </c>
      <c r="C1902" s="32">
        <f>'20250815_ETF_Options_Exhibits'!AE1902</f>
        <v/>
      </c>
    </row>
    <row r="1903">
      <c r="A1903" s="1">
        <f>'20250815_ETF_Options_Exhibits'!AC1903</f>
        <v/>
      </c>
      <c r="B1903" s="32">
        <f>'20250815_ETF_Options_Exhibits'!AD1903</f>
        <v/>
      </c>
      <c r="C1903" s="32">
        <f>'20250815_ETF_Options_Exhibits'!AE1903</f>
        <v/>
      </c>
    </row>
    <row r="1904">
      <c r="A1904" s="1">
        <f>'20250815_ETF_Options_Exhibits'!AC1904</f>
        <v/>
      </c>
      <c r="B1904" s="32">
        <f>'20250815_ETF_Options_Exhibits'!AD1904</f>
        <v/>
      </c>
      <c r="C1904" s="32">
        <f>'20250815_ETF_Options_Exhibits'!AE1904</f>
        <v/>
      </c>
    </row>
    <row r="1905">
      <c r="A1905" s="1">
        <f>'20250815_ETF_Options_Exhibits'!AC1905</f>
        <v/>
      </c>
      <c r="B1905" s="32">
        <f>'20250815_ETF_Options_Exhibits'!AD1905</f>
        <v/>
      </c>
      <c r="C1905" s="32">
        <f>'20250815_ETF_Options_Exhibits'!AE1905</f>
        <v/>
      </c>
    </row>
    <row r="1906">
      <c r="A1906" s="1">
        <f>'20250815_ETF_Options_Exhibits'!AC1906</f>
        <v/>
      </c>
      <c r="B1906" s="32">
        <f>'20250815_ETF_Options_Exhibits'!AD1906</f>
        <v/>
      </c>
      <c r="C1906" s="32">
        <f>'20250815_ETF_Options_Exhibits'!AE1906</f>
        <v/>
      </c>
    </row>
    <row r="1907">
      <c r="A1907" s="1">
        <f>'20250815_ETF_Options_Exhibits'!AC1907</f>
        <v/>
      </c>
      <c r="B1907" s="32">
        <f>'20250815_ETF_Options_Exhibits'!AD1907</f>
        <v/>
      </c>
      <c r="C1907" s="32">
        <f>'20250815_ETF_Options_Exhibits'!AE1907</f>
        <v/>
      </c>
    </row>
    <row r="1908">
      <c r="A1908" s="1">
        <f>'20250815_ETF_Options_Exhibits'!AC1908</f>
        <v/>
      </c>
      <c r="B1908" s="32">
        <f>'20250815_ETF_Options_Exhibits'!AD1908</f>
        <v/>
      </c>
      <c r="C1908" s="32">
        <f>'20250815_ETF_Options_Exhibits'!AE1908</f>
        <v/>
      </c>
    </row>
    <row r="1909">
      <c r="A1909" s="1">
        <f>'20250815_ETF_Options_Exhibits'!AC1909</f>
        <v/>
      </c>
      <c r="B1909" s="32">
        <f>'20250815_ETF_Options_Exhibits'!AD1909</f>
        <v/>
      </c>
      <c r="C1909" s="32">
        <f>'20250815_ETF_Options_Exhibits'!AE1909</f>
        <v/>
      </c>
    </row>
    <row r="1910">
      <c r="A1910" s="1">
        <f>'20250815_ETF_Options_Exhibits'!AC1910</f>
        <v/>
      </c>
      <c r="B1910" s="32">
        <f>'20250815_ETF_Options_Exhibits'!AD1910</f>
        <v/>
      </c>
      <c r="C1910" s="32">
        <f>'20250815_ETF_Options_Exhibits'!AE1910</f>
        <v/>
      </c>
    </row>
    <row r="1911">
      <c r="A1911" s="1">
        <f>'20250815_ETF_Options_Exhibits'!AC1911</f>
        <v/>
      </c>
      <c r="B1911" s="32">
        <f>'20250815_ETF_Options_Exhibits'!AD1911</f>
        <v/>
      </c>
      <c r="C1911" s="32">
        <f>'20250815_ETF_Options_Exhibits'!AE1911</f>
        <v/>
      </c>
    </row>
    <row r="1912">
      <c r="A1912" s="1">
        <f>'20250815_ETF_Options_Exhibits'!AC1912</f>
        <v/>
      </c>
      <c r="B1912" s="32">
        <f>'20250815_ETF_Options_Exhibits'!AD1912</f>
        <v/>
      </c>
      <c r="C1912" s="32">
        <f>'20250815_ETF_Options_Exhibits'!AE1912</f>
        <v/>
      </c>
    </row>
    <row r="1913">
      <c r="A1913" s="1">
        <f>'20250815_ETF_Options_Exhibits'!AC1913</f>
        <v/>
      </c>
      <c r="B1913" s="32">
        <f>'20250815_ETF_Options_Exhibits'!AD1913</f>
        <v/>
      </c>
      <c r="C1913" s="32">
        <f>'20250815_ETF_Options_Exhibits'!AE1913</f>
        <v/>
      </c>
    </row>
    <row r="1914">
      <c r="A1914" s="1">
        <f>'20250815_ETF_Options_Exhibits'!AC1914</f>
        <v/>
      </c>
      <c r="B1914" s="32">
        <f>'20250815_ETF_Options_Exhibits'!AD1914</f>
        <v/>
      </c>
      <c r="C1914" s="32">
        <f>'20250815_ETF_Options_Exhibits'!AE1914</f>
        <v/>
      </c>
    </row>
    <row r="1915">
      <c r="A1915" s="1">
        <f>'20250815_ETF_Options_Exhibits'!AC1915</f>
        <v/>
      </c>
      <c r="B1915" s="32">
        <f>'20250815_ETF_Options_Exhibits'!AD1915</f>
        <v/>
      </c>
      <c r="C1915" s="32">
        <f>'20250815_ETF_Options_Exhibits'!AE1915</f>
        <v/>
      </c>
    </row>
    <row r="1916">
      <c r="A1916" s="1">
        <f>'20250815_ETF_Options_Exhibits'!AC1916</f>
        <v/>
      </c>
      <c r="B1916" s="32">
        <f>'20250815_ETF_Options_Exhibits'!AD1916</f>
        <v/>
      </c>
      <c r="C1916" s="32">
        <f>'20250815_ETF_Options_Exhibits'!AE1916</f>
        <v/>
      </c>
    </row>
    <row r="1917">
      <c r="A1917" s="1">
        <f>'20250815_ETF_Options_Exhibits'!AC1917</f>
        <v/>
      </c>
      <c r="B1917" s="32">
        <f>'20250815_ETF_Options_Exhibits'!AD1917</f>
        <v/>
      </c>
      <c r="C1917" s="32">
        <f>'20250815_ETF_Options_Exhibits'!AE1917</f>
        <v/>
      </c>
    </row>
    <row r="1918">
      <c r="A1918" s="1">
        <f>'20250815_ETF_Options_Exhibits'!AC1918</f>
        <v/>
      </c>
      <c r="B1918" s="32">
        <f>'20250815_ETF_Options_Exhibits'!AD1918</f>
        <v/>
      </c>
      <c r="C1918" s="32">
        <f>'20250815_ETF_Options_Exhibits'!AE1918</f>
        <v/>
      </c>
    </row>
    <row r="1919">
      <c r="A1919" s="1">
        <f>'20250815_ETF_Options_Exhibits'!AC1919</f>
        <v/>
      </c>
      <c r="B1919" s="32">
        <f>'20250815_ETF_Options_Exhibits'!AD1919</f>
        <v/>
      </c>
      <c r="C1919" s="32">
        <f>'20250815_ETF_Options_Exhibits'!AE1919</f>
        <v/>
      </c>
    </row>
    <row r="1920">
      <c r="A1920" s="1">
        <f>'20250815_ETF_Options_Exhibits'!AC1920</f>
        <v/>
      </c>
      <c r="B1920" s="32">
        <f>'20250815_ETF_Options_Exhibits'!AD1920</f>
        <v/>
      </c>
      <c r="C1920" s="32">
        <f>'20250815_ETF_Options_Exhibits'!AE1920</f>
        <v/>
      </c>
    </row>
    <row r="1921">
      <c r="A1921" s="1">
        <f>'20250815_ETF_Options_Exhibits'!AC1921</f>
        <v/>
      </c>
      <c r="B1921" s="32">
        <f>'20250815_ETF_Options_Exhibits'!AD1921</f>
        <v/>
      </c>
      <c r="C1921" s="32">
        <f>'20250815_ETF_Options_Exhibits'!AE1921</f>
        <v/>
      </c>
    </row>
    <row r="1922">
      <c r="A1922" s="1">
        <f>'20250815_ETF_Options_Exhibits'!AC1922</f>
        <v/>
      </c>
      <c r="B1922" s="32">
        <f>'20250815_ETF_Options_Exhibits'!AD1922</f>
        <v/>
      </c>
      <c r="C1922" s="32">
        <f>'20250815_ETF_Options_Exhibits'!AE1922</f>
        <v/>
      </c>
    </row>
    <row r="1923">
      <c r="A1923" s="1">
        <f>'20250815_ETF_Options_Exhibits'!AC1923</f>
        <v/>
      </c>
      <c r="B1923" s="32">
        <f>'20250815_ETF_Options_Exhibits'!AD1923</f>
        <v/>
      </c>
      <c r="C1923" s="32">
        <f>'20250815_ETF_Options_Exhibits'!AE1923</f>
        <v/>
      </c>
    </row>
    <row r="1924">
      <c r="A1924" s="1">
        <f>'20250815_ETF_Options_Exhibits'!AC1924</f>
        <v/>
      </c>
      <c r="B1924" s="32">
        <f>'20250815_ETF_Options_Exhibits'!AD1924</f>
        <v/>
      </c>
      <c r="C1924" s="32">
        <f>'20250815_ETF_Options_Exhibits'!AE1924</f>
        <v/>
      </c>
    </row>
    <row r="1925">
      <c r="A1925" s="1">
        <f>'20250815_ETF_Options_Exhibits'!AC1925</f>
        <v/>
      </c>
      <c r="B1925" s="32">
        <f>'20250815_ETF_Options_Exhibits'!AD1925</f>
        <v/>
      </c>
      <c r="C1925" s="32">
        <f>'20250815_ETF_Options_Exhibits'!AE1925</f>
        <v/>
      </c>
    </row>
    <row r="1926">
      <c r="A1926" s="1">
        <f>'20250815_ETF_Options_Exhibits'!AC1926</f>
        <v/>
      </c>
      <c r="B1926" s="32">
        <f>'20250815_ETF_Options_Exhibits'!AD1926</f>
        <v/>
      </c>
      <c r="C1926" s="32">
        <f>'20250815_ETF_Options_Exhibits'!AE1926</f>
        <v/>
      </c>
    </row>
    <row r="1927">
      <c r="A1927" s="1">
        <f>'20250815_ETF_Options_Exhibits'!AC1927</f>
        <v/>
      </c>
      <c r="B1927" s="32">
        <f>'20250815_ETF_Options_Exhibits'!AD1927</f>
        <v/>
      </c>
      <c r="C1927" s="32">
        <f>'20250815_ETF_Options_Exhibits'!AE1927</f>
        <v/>
      </c>
    </row>
    <row r="1928">
      <c r="A1928" s="1">
        <f>'20250815_ETF_Options_Exhibits'!AC1928</f>
        <v/>
      </c>
      <c r="B1928" s="32">
        <f>'20250815_ETF_Options_Exhibits'!AD1928</f>
        <v/>
      </c>
      <c r="C1928" s="32">
        <f>'20250815_ETF_Options_Exhibits'!AE1928</f>
        <v/>
      </c>
    </row>
    <row r="1929">
      <c r="A1929" s="1">
        <f>'20250815_ETF_Options_Exhibits'!AC1929</f>
        <v/>
      </c>
      <c r="B1929" s="32">
        <f>'20250815_ETF_Options_Exhibits'!AD1929</f>
        <v/>
      </c>
      <c r="C1929" s="32">
        <f>'20250815_ETF_Options_Exhibits'!AE1929</f>
        <v/>
      </c>
    </row>
    <row r="1930">
      <c r="A1930" s="1">
        <f>'20250815_ETF_Options_Exhibits'!AC1930</f>
        <v/>
      </c>
      <c r="B1930" s="32">
        <f>'20250815_ETF_Options_Exhibits'!AD1930</f>
        <v/>
      </c>
      <c r="C1930" s="32">
        <f>'20250815_ETF_Options_Exhibits'!AE1930</f>
        <v/>
      </c>
    </row>
    <row r="1931">
      <c r="A1931" s="1">
        <f>'20250815_ETF_Options_Exhibits'!AC1931</f>
        <v/>
      </c>
      <c r="B1931" s="32">
        <f>'20250815_ETF_Options_Exhibits'!AD1931</f>
        <v/>
      </c>
      <c r="C1931" s="32">
        <f>'20250815_ETF_Options_Exhibits'!AE1931</f>
        <v/>
      </c>
    </row>
    <row r="1932">
      <c r="A1932" s="1">
        <f>'20250815_ETF_Options_Exhibits'!AC1932</f>
        <v/>
      </c>
      <c r="B1932" s="32">
        <f>'20250815_ETF_Options_Exhibits'!AD1932</f>
        <v/>
      </c>
      <c r="C1932" s="32">
        <f>'20250815_ETF_Options_Exhibits'!AE1932</f>
        <v/>
      </c>
    </row>
    <row r="1933">
      <c r="A1933" s="1">
        <f>'20250815_ETF_Options_Exhibits'!AC1933</f>
        <v/>
      </c>
      <c r="B1933" s="32">
        <f>'20250815_ETF_Options_Exhibits'!AD1933</f>
        <v/>
      </c>
      <c r="C1933" s="32">
        <f>'20250815_ETF_Options_Exhibits'!AE1933</f>
        <v/>
      </c>
    </row>
    <row r="1934">
      <c r="A1934" s="1">
        <f>'20250815_ETF_Options_Exhibits'!AC1934</f>
        <v/>
      </c>
      <c r="B1934" s="32">
        <f>'20250815_ETF_Options_Exhibits'!AD1934</f>
        <v/>
      </c>
      <c r="C1934" s="32">
        <f>'20250815_ETF_Options_Exhibits'!AE1934</f>
        <v/>
      </c>
    </row>
    <row r="1935">
      <c r="A1935" s="1">
        <f>'20250815_ETF_Options_Exhibits'!AC1935</f>
        <v/>
      </c>
      <c r="B1935" s="32">
        <f>'20250815_ETF_Options_Exhibits'!AD1935</f>
        <v/>
      </c>
      <c r="C1935" s="32">
        <f>'20250815_ETF_Options_Exhibits'!AE1935</f>
        <v/>
      </c>
    </row>
    <row r="1936">
      <c r="A1936" s="1">
        <f>'20250815_ETF_Options_Exhibits'!AC1936</f>
        <v/>
      </c>
      <c r="B1936" s="32">
        <f>'20250815_ETF_Options_Exhibits'!AD1936</f>
        <v/>
      </c>
      <c r="C1936" s="32">
        <f>'20250815_ETF_Options_Exhibits'!AE1936</f>
        <v/>
      </c>
    </row>
    <row r="1937">
      <c r="A1937" s="1">
        <f>'20250815_ETF_Options_Exhibits'!AC1937</f>
        <v/>
      </c>
      <c r="B1937" s="32">
        <f>'20250815_ETF_Options_Exhibits'!AD1937</f>
        <v/>
      </c>
      <c r="C1937" s="32">
        <f>'20250815_ETF_Options_Exhibits'!AE1937</f>
        <v/>
      </c>
    </row>
    <row r="1938">
      <c r="A1938" s="1">
        <f>'20250815_ETF_Options_Exhibits'!AC1938</f>
        <v/>
      </c>
      <c r="B1938" s="32">
        <f>'20250815_ETF_Options_Exhibits'!AD1938</f>
        <v/>
      </c>
      <c r="C1938" s="32">
        <f>'20250815_ETF_Options_Exhibits'!AE1938</f>
        <v/>
      </c>
    </row>
    <row r="1939">
      <c r="A1939" s="1">
        <f>'20250815_ETF_Options_Exhibits'!AC1939</f>
        <v/>
      </c>
      <c r="B1939" s="32">
        <f>'20250815_ETF_Options_Exhibits'!AD1939</f>
        <v/>
      </c>
      <c r="C1939" s="32">
        <f>'20250815_ETF_Options_Exhibits'!AE1939</f>
        <v/>
      </c>
    </row>
    <row r="1940">
      <c r="A1940" s="1">
        <f>'20250815_ETF_Options_Exhibits'!AC1940</f>
        <v/>
      </c>
      <c r="B1940" s="32">
        <f>'20250815_ETF_Options_Exhibits'!AD1940</f>
        <v/>
      </c>
      <c r="C1940" s="32">
        <f>'20250815_ETF_Options_Exhibits'!AE1940</f>
        <v/>
      </c>
    </row>
    <row r="1941">
      <c r="A1941" s="1">
        <f>'20250815_ETF_Options_Exhibits'!AC1941</f>
        <v/>
      </c>
      <c r="B1941" s="32">
        <f>'20250815_ETF_Options_Exhibits'!AD1941</f>
        <v/>
      </c>
      <c r="C1941" s="32">
        <f>'20250815_ETF_Options_Exhibits'!AE1941</f>
        <v/>
      </c>
    </row>
    <row r="1942">
      <c r="A1942" s="1">
        <f>'20250815_ETF_Options_Exhibits'!AC1942</f>
        <v/>
      </c>
      <c r="B1942" s="32">
        <f>'20250815_ETF_Options_Exhibits'!AD1942</f>
        <v/>
      </c>
      <c r="C1942" s="32">
        <f>'20250815_ETF_Options_Exhibits'!AE1942</f>
        <v/>
      </c>
    </row>
    <row r="1943">
      <c r="A1943" s="1">
        <f>'20250815_ETF_Options_Exhibits'!AC1943</f>
        <v/>
      </c>
      <c r="B1943" s="32">
        <f>'20250815_ETF_Options_Exhibits'!AD1943</f>
        <v/>
      </c>
      <c r="C1943" s="32">
        <f>'20250815_ETF_Options_Exhibits'!AE1943</f>
        <v/>
      </c>
    </row>
    <row r="1944">
      <c r="A1944" s="1">
        <f>'20250815_ETF_Options_Exhibits'!AC1944</f>
        <v/>
      </c>
      <c r="B1944" s="32">
        <f>'20250815_ETF_Options_Exhibits'!AD1944</f>
        <v/>
      </c>
      <c r="C1944" s="32">
        <f>'20250815_ETF_Options_Exhibits'!AE1944</f>
        <v/>
      </c>
    </row>
    <row r="1945">
      <c r="A1945" s="1">
        <f>'20250815_ETF_Options_Exhibits'!AC1945</f>
        <v/>
      </c>
      <c r="B1945" s="32">
        <f>'20250815_ETF_Options_Exhibits'!AD1945</f>
        <v/>
      </c>
      <c r="C1945" s="32">
        <f>'20250815_ETF_Options_Exhibits'!AE1945</f>
        <v/>
      </c>
    </row>
    <row r="1946">
      <c r="A1946" s="1">
        <f>'20250815_ETF_Options_Exhibits'!AC1946</f>
        <v/>
      </c>
      <c r="B1946" s="32">
        <f>'20250815_ETF_Options_Exhibits'!AD1946</f>
        <v/>
      </c>
      <c r="C1946" s="32">
        <f>'20250815_ETF_Options_Exhibits'!AE1946</f>
        <v/>
      </c>
    </row>
    <row r="1947">
      <c r="A1947" s="1">
        <f>'20250815_ETF_Options_Exhibits'!AC1947</f>
        <v/>
      </c>
      <c r="B1947" s="32">
        <f>'20250815_ETF_Options_Exhibits'!AD1947</f>
        <v/>
      </c>
      <c r="C1947" s="32">
        <f>'20250815_ETF_Options_Exhibits'!AE1947</f>
        <v/>
      </c>
    </row>
    <row r="1948">
      <c r="A1948" s="1">
        <f>'20250815_ETF_Options_Exhibits'!AC1948</f>
        <v/>
      </c>
      <c r="B1948" s="32">
        <f>'20250815_ETF_Options_Exhibits'!AD1948</f>
        <v/>
      </c>
      <c r="C1948" s="32">
        <f>'20250815_ETF_Options_Exhibits'!AE1948</f>
        <v/>
      </c>
    </row>
    <row r="1949">
      <c r="A1949" s="1">
        <f>'20250815_ETF_Options_Exhibits'!AC1949</f>
        <v/>
      </c>
      <c r="B1949" s="32">
        <f>'20250815_ETF_Options_Exhibits'!AD1949</f>
        <v/>
      </c>
      <c r="C1949" s="32">
        <f>'20250815_ETF_Options_Exhibits'!AE1949</f>
        <v/>
      </c>
    </row>
    <row r="1950">
      <c r="A1950" s="1">
        <f>'20250815_ETF_Options_Exhibits'!AC1950</f>
        <v/>
      </c>
      <c r="B1950" s="32">
        <f>'20250815_ETF_Options_Exhibits'!AD1950</f>
        <v/>
      </c>
      <c r="C1950" s="32">
        <f>'20250815_ETF_Options_Exhibits'!AE1950</f>
        <v/>
      </c>
    </row>
    <row r="1951">
      <c r="A1951" s="1">
        <f>'20250815_ETF_Options_Exhibits'!AC1951</f>
        <v/>
      </c>
      <c r="B1951" s="32">
        <f>'20250815_ETF_Options_Exhibits'!AD1951</f>
        <v/>
      </c>
      <c r="C1951" s="32">
        <f>'20250815_ETF_Options_Exhibits'!AE1951</f>
        <v/>
      </c>
    </row>
    <row r="1952">
      <c r="A1952" s="1">
        <f>'20250815_ETF_Options_Exhibits'!AC1952</f>
        <v/>
      </c>
      <c r="B1952" s="32">
        <f>'20250815_ETF_Options_Exhibits'!AD1952</f>
        <v/>
      </c>
      <c r="C1952" s="32">
        <f>'20250815_ETF_Options_Exhibits'!AE1952</f>
        <v/>
      </c>
    </row>
    <row r="1953">
      <c r="A1953" s="1">
        <f>'20250815_ETF_Options_Exhibits'!AC1953</f>
        <v/>
      </c>
      <c r="B1953" s="32">
        <f>'20250815_ETF_Options_Exhibits'!AD1953</f>
        <v/>
      </c>
      <c r="C1953" s="32">
        <f>'20250815_ETF_Options_Exhibits'!AE1953</f>
        <v/>
      </c>
    </row>
    <row r="1954">
      <c r="A1954" s="1">
        <f>'20250815_ETF_Options_Exhibits'!AC1954</f>
        <v/>
      </c>
      <c r="B1954" s="32">
        <f>'20250815_ETF_Options_Exhibits'!AD1954</f>
        <v/>
      </c>
      <c r="C1954" s="32">
        <f>'20250815_ETF_Options_Exhibits'!AE1954</f>
        <v/>
      </c>
    </row>
    <row r="1955">
      <c r="A1955" s="1">
        <f>'20250815_ETF_Options_Exhibits'!AC1955</f>
        <v/>
      </c>
      <c r="B1955" s="32">
        <f>'20250815_ETF_Options_Exhibits'!AD1955</f>
        <v/>
      </c>
      <c r="C1955" s="32">
        <f>'20250815_ETF_Options_Exhibits'!AE1955</f>
        <v/>
      </c>
    </row>
    <row r="1956">
      <c r="A1956" s="1">
        <f>'20250815_ETF_Options_Exhibits'!AC1956</f>
        <v/>
      </c>
      <c r="B1956" s="32">
        <f>'20250815_ETF_Options_Exhibits'!AD1956</f>
        <v/>
      </c>
      <c r="C1956" s="32">
        <f>'20250815_ETF_Options_Exhibits'!AE1956</f>
        <v/>
      </c>
    </row>
    <row r="1957">
      <c r="A1957" s="1">
        <f>'20250815_ETF_Options_Exhibits'!AC1957</f>
        <v/>
      </c>
      <c r="B1957" s="32">
        <f>'20250815_ETF_Options_Exhibits'!AD1957</f>
        <v/>
      </c>
      <c r="C1957" s="32">
        <f>'20250815_ETF_Options_Exhibits'!AE1957</f>
        <v/>
      </c>
    </row>
    <row r="1958">
      <c r="A1958" s="1">
        <f>'20250815_ETF_Options_Exhibits'!AC1958</f>
        <v/>
      </c>
      <c r="B1958" s="32">
        <f>'20250815_ETF_Options_Exhibits'!AD1958</f>
        <v/>
      </c>
      <c r="C1958" s="32">
        <f>'20250815_ETF_Options_Exhibits'!AE1958</f>
        <v/>
      </c>
    </row>
    <row r="1959">
      <c r="A1959" s="1">
        <f>'20250815_ETF_Options_Exhibits'!AC1959</f>
        <v/>
      </c>
      <c r="B1959" s="32">
        <f>'20250815_ETF_Options_Exhibits'!AD1959</f>
        <v/>
      </c>
      <c r="C1959" s="32">
        <f>'20250815_ETF_Options_Exhibits'!AE1959</f>
        <v/>
      </c>
    </row>
    <row r="1960">
      <c r="A1960" s="1">
        <f>'20250815_ETF_Options_Exhibits'!AC1960</f>
        <v/>
      </c>
      <c r="B1960" s="32">
        <f>'20250815_ETF_Options_Exhibits'!AD1960</f>
        <v/>
      </c>
      <c r="C1960" s="32">
        <f>'20250815_ETF_Options_Exhibits'!AE1960</f>
        <v/>
      </c>
    </row>
    <row r="1961">
      <c r="A1961" s="1">
        <f>'20250815_ETF_Options_Exhibits'!AC1961</f>
        <v/>
      </c>
      <c r="B1961" s="32">
        <f>'20250815_ETF_Options_Exhibits'!AD1961</f>
        <v/>
      </c>
      <c r="C1961" s="32">
        <f>'20250815_ETF_Options_Exhibits'!AE1961</f>
        <v/>
      </c>
    </row>
    <row r="1962">
      <c r="A1962" s="1">
        <f>'20250815_ETF_Options_Exhibits'!AC1962</f>
        <v/>
      </c>
      <c r="B1962" s="32">
        <f>'20250815_ETF_Options_Exhibits'!AD1962</f>
        <v/>
      </c>
      <c r="C1962" s="32">
        <f>'20250815_ETF_Options_Exhibits'!AE1962</f>
        <v/>
      </c>
    </row>
    <row r="1963">
      <c r="A1963" s="1">
        <f>'20250815_ETF_Options_Exhibits'!AC1963</f>
        <v/>
      </c>
      <c r="B1963" s="32">
        <f>'20250815_ETF_Options_Exhibits'!AD1963</f>
        <v/>
      </c>
      <c r="C1963" s="32">
        <f>'20250815_ETF_Options_Exhibits'!AE1963</f>
        <v/>
      </c>
    </row>
    <row r="1964">
      <c r="A1964" s="1">
        <f>'20250815_ETF_Options_Exhibits'!AC1964</f>
        <v/>
      </c>
      <c r="B1964" s="32">
        <f>'20250815_ETF_Options_Exhibits'!AD1964</f>
        <v/>
      </c>
      <c r="C1964" s="32">
        <f>'20250815_ETF_Options_Exhibits'!AE1964</f>
        <v/>
      </c>
    </row>
    <row r="1965">
      <c r="A1965" s="1">
        <f>'20250815_ETF_Options_Exhibits'!AC1965</f>
        <v/>
      </c>
      <c r="B1965" s="32">
        <f>'20250815_ETF_Options_Exhibits'!AD1965</f>
        <v/>
      </c>
      <c r="C1965" s="32">
        <f>'20250815_ETF_Options_Exhibits'!AE1965</f>
        <v/>
      </c>
    </row>
    <row r="1966">
      <c r="A1966" s="1">
        <f>'20250815_ETF_Options_Exhibits'!AC1966</f>
        <v/>
      </c>
      <c r="B1966" s="32">
        <f>'20250815_ETF_Options_Exhibits'!AD1966</f>
        <v/>
      </c>
      <c r="C1966" s="32">
        <f>'20250815_ETF_Options_Exhibits'!AE1966</f>
        <v/>
      </c>
    </row>
    <row r="1967">
      <c r="A1967" s="1">
        <f>'20250815_ETF_Options_Exhibits'!AC1967</f>
        <v/>
      </c>
      <c r="B1967" s="32">
        <f>'20250815_ETF_Options_Exhibits'!AD1967</f>
        <v/>
      </c>
      <c r="C1967" s="32">
        <f>'20250815_ETF_Options_Exhibits'!AE1967</f>
        <v/>
      </c>
    </row>
    <row r="1968">
      <c r="A1968" s="1">
        <f>'20250815_ETF_Options_Exhibits'!AC1968</f>
        <v/>
      </c>
      <c r="B1968" s="32">
        <f>'20250815_ETF_Options_Exhibits'!AD1968</f>
        <v/>
      </c>
      <c r="C1968" s="32">
        <f>'20250815_ETF_Options_Exhibits'!AE1968</f>
        <v/>
      </c>
    </row>
    <row r="1969">
      <c r="A1969" s="1">
        <f>'20250815_ETF_Options_Exhibits'!AC1969</f>
        <v/>
      </c>
      <c r="B1969" s="32">
        <f>'20250815_ETF_Options_Exhibits'!AD1969</f>
        <v/>
      </c>
      <c r="C1969" s="32">
        <f>'20250815_ETF_Options_Exhibits'!AE1969</f>
        <v/>
      </c>
    </row>
    <row r="1970">
      <c r="A1970" s="1">
        <f>'20250815_ETF_Options_Exhibits'!AC1970</f>
        <v/>
      </c>
      <c r="B1970" s="32">
        <f>'20250815_ETF_Options_Exhibits'!AD1970</f>
        <v/>
      </c>
      <c r="C1970" s="32">
        <f>'20250815_ETF_Options_Exhibits'!AE1970</f>
        <v/>
      </c>
    </row>
    <row r="1971">
      <c r="A1971" s="1">
        <f>'20250815_ETF_Options_Exhibits'!AC1971</f>
        <v/>
      </c>
      <c r="B1971" s="32">
        <f>'20250815_ETF_Options_Exhibits'!AD1971</f>
        <v/>
      </c>
      <c r="C1971" s="32">
        <f>'20250815_ETF_Options_Exhibits'!AE1971</f>
        <v/>
      </c>
    </row>
    <row r="1972">
      <c r="A1972" s="1">
        <f>'20250815_ETF_Options_Exhibits'!AC1972</f>
        <v/>
      </c>
      <c r="B1972" s="32">
        <f>'20250815_ETF_Options_Exhibits'!AD1972</f>
        <v/>
      </c>
      <c r="C1972" s="32">
        <f>'20250815_ETF_Options_Exhibits'!AE1972</f>
        <v/>
      </c>
    </row>
    <row r="1973">
      <c r="A1973" s="1">
        <f>'20250815_ETF_Options_Exhibits'!AC1973</f>
        <v/>
      </c>
      <c r="B1973" s="32">
        <f>'20250815_ETF_Options_Exhibits'!AD1973</f>
        <v/>
      </c>
      <c r="C1973" s="32">
        <f>'20250815_ETF_Options_Exhibits'!AE1973</f>
        <v/>
      </c>
    </row>
    <row r="1974">
      <c r="A1974" s="1">
        <f>'20250815_ETF_Options_Exhibits'!AC1974</f>
        <v/>
      </c>
      <c r="B1974" s="32">
        <f>'20250815_ETF_Options_Exhibits'!AD1974</f>
        <v/>
      </c>
      <c r="C1974" s="32">
        <f>'20250815_ETF_Options_Exhibits'!AE1974</f>
        <v/>
      </c>
    </row>
    <row r="1975">
      <c r="A1975" s="1">
        <f>'20250815_ETF_Options_Exhibits'!AC1975</f>
        <v/>
      </c>
      <c r="B1975" s="32">
        <f>'20250815_ETF_Options_Exhibits'!AD1975</f>
        <v/>
      </c>
      <c r="C1975" s="32">
        <f>'20250815_ETF_Options_Exhibits'!AE1975</f>
        <v/>
      </c>
    </row>
    <row r="1976">
      <c r="A1976" s="1">
        <f>'20250815_ETF_Options_Exhibits'!AC1976</f>
        <v/>
      </c>
      <c r="B1976" s="32">
        <f>'20250815_ETF_Options_Exhibits'!AD1976</f>
        <v/>
      </c>
      <c r="C1976" s="32">
        <f>'20250815_ETF_Options_Exhibits'!AE1976</f>
        <v/>
      </c>
    </row>
    <row r="1977">
      <c r="A1977" s="1">
        <f>'20250815_ETF_Options_Exhibits'!AC1977</f>
        <v/>
      </c>
      <c r="B1977" s="32">
        <f>'20250815_ETF_Options_Exhibits'!AD1977</f>
        <v/>
      </c>
      <c r="C1977" s="32">
        <f>'20250815_ETF_Options_Exhibits'!AE1977</f>
        <v/>
      </c>
    </row>
    <row r="1978">
      <c r="A1978" s="1">
        <f>'20250815_ETF_Options_Exhibits'!AC1978</f>
        <v/>
      </c>
      <c r="B1978" s="32">
        <f>'20250815_ETF_Options_Exhibits'!AD1978</f>
        <v/>
      </c>
      <c r="C1978" s="32">
        <f>'20250815_ETF_Options_Exhibits'!AE1978</f>
        <v/>
      </c>
    </row>
    <row r="1979">
      <c r="A1979" s="1">
        <f>'20250815_ETF_Options_Exhibits'!AC1979</f>
        <v/>
      </c>
      <c r="B1979" s="32">
        <f>'20250815_ETF_Options_Exhibits'!AD1979</f>
        <v/>
      </c>
      <c r="C1979" s="32">
        <f>'20250815_ETF_Options_Exhibits'!AE1979</f>
        <v/>
      </c>
    </row>
    <row r="1980">
      <c r="A1980" s="1">
        <f>'20250815_ETF_Options_Exhibits'!AC1980</f>
        <v/>
      </c>
      <c r="B1980" s="32">
        <f>'20250815_ETF_Options_Exhibits'!AD1980</f>
        <v/>
      </c>
      <c r="C1980" s="32">
        <f>'20250815_ETF_Options_Exhibits'!AE1980</f>
        <v/>
      </c>
    </row>
    <row r="1981">
      <c r="A1981" s="1">
        <f>'20250815_ETF_Options_Exhibits'!AC1981</f>
        <v/>
      </c>
      <c r="B1981" s="32">
        <f>'20250815_ETF_Options_Exhibits'!AD1981</f>
        <v/>
      </c>
      <c r="C1981" s="32">
        <f>'20250815_ETF_Options_Exhibits'!AE1981</f>
        <v/>
      </c>
    </row>
    <row r="1982">
      <c r="A1982" s="1">
        <f>'20250815_ETF_Options_Exhibits'!AC1982</f>
        <v/>
      </c>
      <c r="B1982" s="32">
        <f>'20250815_ETF_Options_Exhibits'!AD1982</f>
        <v/>
      </c>
      <c r="C1982" s="32">
        <f>'20250815_ETF_Options_Exhibits'!AE1982</f>
        <v/>
      </c>
    </row>
    <row r="1983">
      <c r="A1983" s="1">
        <f>'20250815_ETF_Options_Exhibits'!AC1983</f>
        <v/>
      </c>
      <c r="B1983" s="32">
        <f>'20250815_ETF_Options_Exhibits'!AD1983</f>
        <v/>
      </c>
      <c r="C1983" s="32">
        <f>'20250815_ETF_Options_Exhibits'!AE1983</f>
        <v/>
      </c>
    </row>
    <row r="1984">
      <c r="A1984" s="1">
        <f>'20250815_ETF_Options_Exhibits'!AC1984</f>
        <v/>
      </c>
      <c r="B1984" s="32">
        <f>'20250815_ETF_Options_Exhibits'!AD1984</f>
        <v/>
      </c>
      <c r="C1984" s="32">
        <f>'20250815_ETF_Options_Exhibits'!AE1984</f>
        <v/>
      </c>
    </row>
    <row r="1985">
      <c r="A1985" s="1">
        <f>'20250815_ETF_Options_Exhibits'!AC1985</f>
        <v/>
      </c>
      <c r="B1985" s="32">
        <f>'20250815_ETF_Options_Exhibits'!AD1985</f>
        <v/>
      </c>
      <c r="C1985" s="32">
        <f>'20250815_ETF_Options_Exhibits'!AE1985</f>
        <v/>
      </c>
    </row>
    <row r="1986">
      <c r="A1986" s="1">
        <f>'20250815_ETF_Options_Exhibits'!AC1986</f>
        <v/>
      </c>
      <c r="B1986" s="32">
        <f>'20250815_ETF_Options_Exhibits'!AD1986</f>
        <v/>
      </c>
      <c r="C1986" s="32">
        <f>'20250815_ETF_Options_Exhibits'!AE1986</f>
        <v/>
      </c>
    </row>
    <row r="1987">
      <c r="A1987" s="1">
        <f>'20250815_ETF_Options_Exhibits'!AC1987</f>
        <v/>
      </c>
      <c r="B1987" s="32">
        <f>'20250815_ETF_Options_Exhibits'!AD1987</f>
        <v/>
      </c>
      <c r="C1987" s="32">
        <f>'20250815_ETF_Options_Exhibits'!AE1987</f>
        <v/>
      </c>
    </row>
    <row r="1988">
      <c r="A1988" s="1">
        <f>'20250815_ETF_Options_Exhibits'!AC1988</f>
        <v/>
      </c>
      <c r="B1988" s="32">
        <f>'20250815_ETF_Options_Exhibits'!AD1988</f>
        <v/>
      </c>
      <c r="C1988" s="32">
        <f>'20250815_ETF_Options_Exhibits'!AE1988</f>
        <v/>
      </c>
    </row>
    <row r="1989">
      <c r="A1989" s="1">
        <f>'20250815_ETF_Options_Exhibits'!AC1989</f>
        <v/>
      </c>
      <c r="B1989" s="32">
        <f>'20250815_ETF_Options_Exhibits'!AD1989</f>
        <v/>
      </c>
      <c r="C1989" s="32">
        <f>'20250815_ETF_Options_Exhibits'!AE1989</f>
        <v/>
      </c>
    </row>
    <row r="1990">
      <c r="A1990" s="1">
        <f>'20250815_ETF_Options_Exhibits'!AC1990</f>
        <v/>
      </c>
      <c r="B1990" s="32">
        <f>'20250815_ETF_Options_Exhibits'!AD1990</f>
        <v/>
      </c>
      <c r="C1990" s="32">
        <f>'20250815_ETF_Options_Exhibits'!AE1990</f>
        <v/>
      </c>
    </row>
    <row r="1991">
      <c r="A1991" s="1">
        <f>'20250815_ETF_Options_Exhibits'!AC1991</f>
        <v/>
      </c>
      <c r="B1991" s="32">
        <f>'20250815_ETF_Options_Exhibits'!AD1991</f>
        <v/>
      </c>
      <c r="C1991" s="32">
        <f>'20250815_ETF_Options_Exhibits'!AE1991</f>
        <v/>
      </c>
    </row>
    <row r="1992">
      <c r="A1992" s="1">
        <f>'20250815_ETF_Options_Exhibits'!AC1992</f>
        <v/>
      </c>
      <c r="B1992" s="32">
        <f>'20250815_ETF_Options_Exhibits'!AD1992</f>
        <v/>
      </c>
      <c r="C1992" s="32">
        <f>'20250815_ETF_Options_Exhibits'!AE1992</f>
        <v/>
      </c>
    </row>
    <row r="1993">
      <c r="A1993" s="1">
        <f>'20250815_ETF_Options_Exhibits'!AC1993</f>
        <v/>
      </c>
      <c r="B1993" s="32">
        <f>'20250815_ETF_Options_Exhibits'!AD1993</f>
        <v/>
      </c>
      <c r="C1993" s="32">
        <f>'20250815_ETF_Options_Exhibits'!AE1993</f>
        <v/>
      </c>
    </row>
    <row r="1994">
      <c r="A1994" s="1">
        <f>'20250815_ETF_Options_Exhibits'!AC1994</f>
        <v/>
      </c>
      <c r="B1994" s="32">
        <f>'20250815_ETF_Options_Exhibits'!AD1994</f>
        <v/>
      </c>
      <c r="C1994" s="32">
        <f>'20250815_ETF_Options_Exhibits'!AE1994</f>
        <v/>
      </c>
    </row>
    <row r="1995">
      <c r="A1995" s="1">
        <f>'20250815_ETF_Options_Exhibits'!AC1995</f>
        <v/>
      </c>
      <c r="B1995" s="32">
        <f>'20250815_ETF_Options_Exhibits'!AD1995</f>
        <v/>
      </c>
      <c r="C1995" s="32">
        <f>'20250815_ETF_Options_Exhibits'!AE1995</f>
        <v/>
      </c>
    </row>
    <row r="1996">
      <c r="A1996" s="1">
        <f>'20250815_ETF_Options_Exhibits'!AC1996</f>
        <v/>
      </c>
      <c r="B1996" s="32">
        <f>'20250815_ETF_Options_Exhibits'!AD1996</f>
        <v/>
      </c>
      <c r="C1996" s="32">
        <f>'20250815_ETF_Options_Exhibits'!AE1996</f>
        <v/>
      </c>
    </row>
    <row r="1997">
      <c r="A1997" s="1">
        <f>'20250815_ETF_Options_Exhibits'!AC1997</f>
        <v/>
      </c>
      <c r="B1997" s="32">
        <f>'20250815_ETF_Options_Exhibits'!AD1997</f>
        <v/>
      </c>
      <c r="C1997" s="32">
        <f>'20250815_ETF_Options_Exhibits'!AE1997</f>
        <v/>
      </c>
    </row>
    <row r="1998">
      <c r="A1998" s="1">
        <f>'20250815_ETF_Options_Exhibits'!AC1998</f>
        <v/>
      </c>
      <c r="B1998" s="32">
        <f>'20250815_ETF_Options_Exhibits'!AD1998</f>
        <v/>
      </c>
      <c r="C1998" s="32">
        <f>'20250815_ETF_Options_Exhibits'!AE1998</f>
        <v/>
      </c>
    </row>
    <row r="1999">
      <c r="A1999" s="1">
        <f>'20250815_ETF_Options_Exhibits'!AC1999</f>
        <v/>
      </c>
      <c r="B1999" s="32">
        <f>'20250815_ETF_Options_Exhibits'!AD1999</f>
        <v/>
      </c>
      <c r="C1999" s="32">
        <f>'20250815_ETF_Options_Exhibits'!AE1999</f>
        <v/>
      </c>
    </row>
    <row r="2000">
      <c r="A2000" s="1">
        <f>'20250815_ETF_Options_Exhibits'!AC2000</f>
        <v/>
      </c>
      <c r="B2000" s="32">
        <f>'20250815_ETF_Options_Exhibits'!AD2000</f>
        <v/>
      </c>
      <c r="C2000" s="32">
        <f>'20250815_ETF_Options_Exhibits'!AE2000</f>
        <v/>
      </c>
    </row>
    <row r="2001">
      <c r="A2001" s="1">
        <f>'20250815_ETF_Options_Exhibits'!AC2001</f>
        <v/>
      </c>
      <c r="B2001" s="32">
        <f>'20250815_ETF_Options_Exhibits'!AD2001</f>
        <v/>
      </c>
      <c r="C2001" s="32">
        <f>'20250815_ETF_Options_Exhibits'!AE2001</f>
        <v/>
      </c>
    </row>
    <row r="2002">
      <c r="A2002" s="1">
        <f>'20250815_ETF_Options_Exhibits'!AC2002</f>
        <v/>
      </c>
      <c r="B2002" s="32">
        <f>'20250815_ETF_Options_Exhibits'!AD2002</f>
        <v/>
      </c>
      <c r="C2002" s="32">
        <f>'20250815_ETF_Options_Exhibits'!AE2002</f>
        <v/>
      </c>
    </row>
    <row r="2003">
      <c r="A2003" s="1">
        <f>'20250815_ETF_Options_Exhibits'!AC2003</f>
        <v/>
      </c>
      <c r="B2003" s="32">
        <f>'20250815_ETF_Options_Exhibits'!AD2003</f>
        <v/>
      </c>
      <c r="C2003" s="32">
        <f>'20250815_ETF_Options_Exhibits'!AE2003</f>
        <v/>
      </c>
    </row>
    <row r="2004">
      <c r="A2004" s="1">
        <f>'20250815_ETF_Options_Exhibits'!AC2004</f>
        <v/>
      </c>
      <c r="B2004" s="32">
        <f>'20250815_ETF_Options_Exhibits'!AD2004</f>
        <v/>
      </c>
      <c r="C2004" s="32">
        <f>'20250815_ETF_Options_Exhibits'!AE2004</f>
        <v/>
      </c>
    </row>
    <row r="2005">
      <c r="A2005" s="1">
        <f>'20250815_ETF_Options_Exhibits'!AC2005</f>
        <v/>
      </c>
      <c r="B2005" s="32">
        <f>'20250815_ETF_Options_Exhibits'!AD2005</f>
        <v/>
      </c>
      <c r="C2005" s="32">
        <f>'20250815_ETF_Options_Exhibits'!AE2005</f>
        <v/>
      </c>
    </row>
    <row r="2006">
      <c r="A2006" s="1">
        <f>'20250815_ETF_Options_Exhibits'!AC2006</f>
        <v/>
      </c>
      <c r="B2006" s="32">
        <f>'20250815_ETF_Options_Exhibits'!AD2006</f>
        <v/>
      </c>
      <c r="C2006" s="32">
        <f>'20250815_ETF_Options_Exhibits'!AE2006</f>
        <v/>
      </c>
    </row>
    <row r="2007">
      <c r="A2007" s="1">
        <f>'20250815_ETF_Options_Exhibits'!AC2007</f>
        <v/>
      </c>
      <c r="B2007" s="32">
        <f>'20250815_ETF_Options_Exhibits'!AD2007</f>
        <v/>
      </c>
      <c r="C2007" s="32">
        <f>'20250815_ETF_Options_Exhibits'!AE2007</f>
        <v/>
      </c>
    </row>
    <row r="2008">
      <c r="A2008" s="1">
        <f>'20250815_ETF_Options_Exhibits'!AC2008</f>
        <v/>
      </c>
      <c r="B2008" s="32">
        <f>'20250815_ETF_Options_Exhibits'!AD2008</f>
        <v/>
      </c>
      <c r="C2008" s="32">
        <f>'20250815_ETF_Options_Exhibits'!AE2008</f>
        <v/>
      </c>
    </row>
    <row r="2009">
      <c r="A2009" s="1">
        <f>'20250815_ETF_Options_Exhibits'!AC2009</f>
        <v/>
      </c>
      <c r="B2009" s="32">
        <f>'20250815_ETF_Options_Exhibits'!AD2009</f>
        <v/>
      </c>
      <c r="C2009" s="32">
        <f>'20250815_ETF_Options_Exhibits'!AE2009</f>
        <v/>
      </c>
    </row>
    <row r="2010">
      <c r="A2010" s="1">
        <f>'20250815_ETF_Options_Exhibits'!AC2010</f>
        <v/>
      </c>
      <c r="B2010" s="32">
        <f>'20250815_ETF_Options_Exhibits'!AD2010</f>
        <v/>
      </c>
      <c r="C2010" s="32">
        <f>'20250815_ETF_Options_Exhibits'!AE2010</f>
        <v/>
      </c>
    </row>
    <row r="2011">
      <c r="A2011" s="1">
        <f>'20250815_ETF_Options_Exhibits'!AC2011</f>
        <v/>
      </c>
      <c r="B2011" s="32">
        <f>'20250815_ETF_Options_Exhibits'!AD2011</f>
        <v/>
      </c>
      <c r="C2011" s="32">
        <f>'20250815_ETF_Options_Exhibits'!AE2011</f>
        <v/>
      </c>
    </row>
    <row r="2012">
      <c r="A2012" s="1">
        <f>'20250815_ETF_Options_Exhibits'!AC2012</f>
        <v/>
      </c>
      <c r="B2012" s="32">
        <f>'20250815_ETF_Options_Exhibits'!AD2012</f>
        <v/>
      </c>
      <c r="C2012" s="32">
        <f>'20250815_ETF_Options_Exhibits'!AE2012</f>
        <v/>
      </c>
    </row>
    <row r="2013">
      <c r="A2013" s="1">
        <f>'20250815_ETF_Options_Exhibits'!AC2013</f>
        <v/>
      </c>
      <c r="B2013" s="32">
        <f>'20250815_ETF_Options_Exhibits'!AD2013</f>
        <v/>
      </c>
      <c r="C2013" s="32">
        <f>'20250815_ETF_Options_Exhibits'!AE2013</f>
        <v/>
      </c>
    </row>
    <row r="2014">
      <c r="A2014" s="1">
        <f>'20250815_ETF_Options_Exhibits'!AC2014</f>
        <v/>
      </c>
      <c r="B2014" s="32">
        <f>'20250815_ETF_Options_Exhibits'!AD2014</f>
        <v/>
      </c>
      <c r="C2014" s="32">
        <f>'20250815_ETF_Options_Exhibits'!AE2014</f>
        <v/>
      </c>
    </row>
    <row r="2015">
      <c r="A2015" s="1">
        <f>'20250815_ETF_Options_Exhibits'!AC2015</f>
        <v/>
      </c>
      <c r="B2015" s="32">
        <f>'20250815_ETF_Options_Exhibits'!AD2015</f>
        <v/>
      </c>
      <c r="C2015" s="32">
        <f>'20250815_ETF_Options_Exhibits'!AE2015</f>
        <v/>
      </c>
    </row>
    <row r="2016">
      <c r="A2016" s="1">
        <f>'20250815_ETF_Options_Exhibits'!AC2016</f>
        <v/>
      </c>
      <c r="B2016" s="32">
        <f>'20250815_ETF_Options_Exhibits'!AD2016</f>
        <v/>
      </c>
      <c r="C2016" s="32">
        <f>'20250815_ETF_Options_Exhibits'!AE2016</f>
        <v/>
      </c>
    </row>
    <row r="2017">
      <c r="A2017" s="1">
        <f>'20250815_ETF_Options_Exhibits'!AC2017</f>
        <v/>
      </c>
      <c r="B2017" s="32">
        <f>'20250815_ETF_Options_Exhibits'!AD2017</f>
        <v/>
      </c>
      <c r="C2017" s="32">
        <f>'20250815_ETF_Options_Exhibits'!AE2017</f>
        <v/>
      </c>
    </row>
    <row r="2018">
      <c r="A2018" s="1">
        <f>'20250815_ETF_Options_Exhibits'!AC2018</f>
        <v/>
      </c>
      <c r="B2018" s="32">
        <f>'20250815_ETF_Options_Exhibits'!AD2018</f>
        <v/>
      </c>
      <c r="C2018" s="32">
        <f>'20250815_ETF_Options_Exhibits'!AE2018</f>
        <v/>
      </c>
    </row>
    <row r="2019">
      <c r="A2019" s="1">
        <f>'20250815_ETF_Options_Exhibits'!AC2019</f>
        <v/>
      </c>
      <c r="B2019" s="32">
        <f>'20250815_ETF_Options_Exhibits'!AD2019</f>
        <v/>
      </c>
      <c r="C2019" s="32">
        <f>'20250815_ETF_Options_Exhibits'!AE2019</f>
        <v/>
      </c>
    </row>
    <row r="2020">
      <c r="A2020" s="1">
        <f>'20250815_ETF_Options_Exhibits'!AC2020</f>
        <v/>
      </c>
      <c r="B2020" s="32">
        <f>'20250815_ETF_Options_Exhibits'!AD2020</f>
        <v/>
      </c>
      <c r="C2020" s="32">
        <f>'20250815_ETF_Options_Exhibits'!AE2020</f>
        <v/>
      </c>
    </row>
    <row r="2021">
      <c r="A2021" s="1">
        <f>'20250815_ETF_Options_Exhibits'!AC2021</f>
        <v/>
      </c>
      <c r="B2021" s="32">
        <f>'20250815_ETF_Options_Exhibits'!AD2021</f>
        <v/>
      </c>
      <c r="C2021" s="32">
        <f>'20250815_ETF_Options_Exhibits'!AE2021</f>
        <v/>
      </c>
    </row>
    <row r="2022">
      <c r="A2022" s="1">
        <f>'20250815_ETF_Options_Exhibits'!AC2022</f>
        <v/>
      </c>
      <c r="B2022" s="32">
        <f>'20250815_ETF_Options_Exhibits'!AD2022</f>
        <v/>
      </c>
      <c r="C2022" s="32">
        <f>'20250815_ETF_Options_Exhibits'!AE2022</f>
        <v/>
      </c>
    </row>
    <row r="2023">
      <c r="A2023" s="1">
        <f>'20250815_ETF_Options_Exhibits'!AC2023</f>
        <v/>
      </c>
      <c r="B2023" s="32">
        <f>'20250815_ETF_Options_Exhibits'!AD2023</f>
        <v/>
      </c>
      <c r="C2023" s="32">
        <f>'20250815_ETF_Options_Exhibits'!AE2023</f>
        <v/>
      </c>
    </row>
    <row r="2024">
      <c r="A2024" s="1">
        <f>'20250815_ETF_Options_Exhibits'!AC2024</f>
        <v/>
      </c>
      <c r="B2024" s="32">
        <f>'20250815_ETF_Options_Exhibits'!AD2024</f>
        <v/>
      </c>
      <c r="C2024" s="32">
        <f>'20250815_ETF_Options_Exhibits'!AE2024</f>
        <v/>
      </c>
    </row>
    <row r="2025">
      <c r="A2025" s="1">
        <f>'20250815_ETF_Options_Exhibits'!AC2025</f>
        <v/>
      </c>
      <c r="B2025" s="32">
        <f>'20250815_ETF_Options_Exhibits'!AD2025</f>
        <v/>
      </c>
      <c r="C2025" s="32">
        <f>'20250815_ETF_Options_Exhibits'!AE2025</f>
        <v/>
      </c>
    </row>
    <row r="2026">
      <c r="A2026" s="1">
        <f>'20250815_ETF_Options_Exhibits'!AC2026</f>
        <v/>
      </c>
      <c r="B2026" s="32">
        <f>'20250815_ETF_Options_Exhibits'!AD2026</f>
        <v/>
      </c>
      <c r="C2026" s="32">
        <f>'20250815_ETF_Options_Exhibits'!AE2026</f>
        <v/>
      </c>
    </row>
    <row r="2027">
      <c r="A2027" s="1">
        <f>'20250815_ETF_Options_Exhibits'!AC2027</f>
        <v/>
      </c>
      <c r="B2027" s="32">
        <f>'20250815_ETF_Options_Exhibits'!AD2027</f>
        <v/>
      </c>
      <c r="C2027" s="32">
        <f>'20250815_ETF_Options_Exhibits'!AE2027</f>
        <v/>
      </c>
    </row>
    <row r="2028">
      <c r="A2028" s="1">
        <f>'20250815_ETF_Options_Exhibits'!AC2028</f>
        <v/>
      </c>
      <c r="B2028" s="32">
        <f>'20250815_ETF_Options_Exhibits'!AD2028</f>
        <v/>
      </c>
      <c r="C2028" s="32">
        <f>'20250815_ETF_Options_Exhibits'!AE2028</f>
        <v/>
      </c>
    </row>
    <row r="2029">
      <c r="A2029" s="1">
        <f>'20250815_ETF_Options_Exhibits'!AC2029</f>
        <v/>
      </c>
      <c r="B2029" s="32">
        <f>'20250815_ETF_Options_Exhibits'!AD2029</f>
        <v/>
      </c>
      <c r="C2029" s="32">
        <f>'20250815_ETF_Options_Exhibits'!AE2029</f>
        <v/>
      </c>
    </row>
    <row r="2030">
      <c r="A2030" s="1">
        <f>'20250815_ETF_Options_Exhibits'!AC2030</f>
        <v/>
      </c>
      <c r="B2030" s="32">
        <f>'20250815_ETF_Options_Exhibits'!AD2030</f>
        <v/>
      </c>
      <c r="C2030" s="32">
        <f>'20250815_ETF_Options_Exhibits'!AE2030</f>
        <v/>
      </c>
    </row>
    <row r="2031">
      <c r="A2031" s="1">
        <f>'20250815_ETF_Options_Exhibits'!AC2031</f>
        <v/>
      </c>
      <c r="B2031" s="32">
        <f>'20250815_ETF_Options_Exhibits'!AD2031</f>
        <v/>
      </c>
      <c r="C2031" s="32">
        <f>'20250815_ETF_Options_Exhibits'!AE2031</f>
        <v/>
      </c>
    </row>
    <row r="2032">
      <c r="A2032" s="1">
        <f>'20250815_ETF_Options_Exhibits'!AC2032</f>
        <v/>
      </c>
      <c r="B2032" s="32">
        <f>'20250815_ETF_Options_Exhibits'!AD2032</f>
        <v/>
      </c>
      <c r="C2032" s="32">
        <f>'20250815_ETF_Options_Exhibits'!AE2032</f>
        <v/>
      </c>
    </row>
    <row r="2033">
      <c r="A2033" s="1">
        <f>'20250815_ETF_Options_Exhibits'!AC2033</f>
        <v/>
      </c>
      <c r="B2033" s="32">
        <f>'20250815_ETF_Options_Exhibits'!AD2033</f>
        <v/>
      </c>
      <c r="C2033" s="32">
        <f>'20250815_ETF_Options_Exhibits'!AE2033</f>
        <v/>
      </c>
    </row>
    <row r="2034">
      <c r="A2034" s="1">
        <f>'20250815_ETF_Options_Exhibits'!AC2034</f>
        <v/>
      </c>
      <c r="B2034" s="32">
        <f>'20250815_ETF_Options_Exhibits'!AD2034</f>
        <v/>
      </c>
      <c r="C2034" s="32">
        <f>'20250815_ETF_Options_Exhibits'!AE2034</f>
        <v/>
      </c>
    </row>
    <row r="2035">
      <c r="A2035" s="1">
        <f>'20250815_ETF_Options_Exhibits'!AC2035</f>
        <v/>
      </c>
      <c r="B2035" s="32">
        <f>'20250815_ETF_Options_Exhibits'!AD2035</f>
        <v/>
      </c>
      <c r="C2035" s="32">
        <f>'20250815_ETF_Options_Exhibits'!AE2035</f>
        <v/>
      </c>
    </row>
    <row r="2036">
      <c r="A2036" s="1">
        <f>'20250815_ETF_Options_Exhibits'!AC2036</f>
        <v/>
      </c>
      <c r="B2036" s="32">
        <f>'20250815_ETF_Options_Exhibits'!AD2036</f>
        <v/>
      </c>
      <c r="C2036" s="32">
        <f>'20250815_ETF_Options_Exhibits'!AE2036</f>
        <v/>
      </c>
    </row>
    <row r="2037">
      <c r="A2037" s="1">
        <f>'20250815_ETF_Options_Exhibits'!AC2037</f>
        <v/>
      </c>
      <c r="B2037" s="32">
        <f>'20250815_ETF_Options_Exhibits'!AD2037</f>
        <v/>
      </c>
      <c r="C2037" s="32">
        <f>'20250815_ETF_Options_Exhibits'!AE2037</f>
        <v/>
      </c>
    </row>
    <row r="2038">
      <c r="A2038" s="1">
        <f>'20250815_ETF_Options_Exhibits'!AC2038</f>
        <v/>
      </c>
      <c r="B2038" s="32">
        <f>'20250815_ETF_Options_Exhibits'!AD2038</f>
        <v/>
      </c>
      <c r="C2038" s="32">
        <f>'20250815_ETF_Options_Exhibits'!AE2038</f>
        <v/>
      </c>
    </row>
    <row r="2039">
      <c r="A2039" s="1">
        <f>'20250815_ETF_Options_Exhibits'!AC2039</f>
        <v/>
      </c>
      <c r="B2039" s="32">
        <f>'20250815_ETF_Options_Exhibits'!AD2039</f>
        <v/>
      </c>
      <c r="C2039" s="32">
        <f>'20250815_ETF_Options_Exhibits'!AE2039</f>
        <v/>
      </c>
    </row>
    <row r="2040">
      <c r="A2040" s="1">
        <f>'20250815_ETF_Options_Exhibits'!AC2040</f>
        <v/>
      </c>
      <c r="B2040" s="32">
        <f>'20250815_ETF_Options_Exhibits'!AD2040</f>
        <v/>
      </c>
      <c r="C2040" s="32">
        <f>'20250815_ETF_Options_Exhibits'!AE2040</f>
        <v/>
      </c>
    </row>
    <row r="2041">
      <c r="A2041" s="1">
        <f>'20250815_ETF_Options_Exhibits'!AC2041</f>
        <v/>
      </c>
      <c r="B2041" s="32">
        <f>'20250815_ETF_Options_Exhibits'!AD2041</f>
        <v/>
      </c>
      <c r="C2041" s="32">
        <f>'20250815_ETF_Options_Exhibits'!AE2041</f>
        <v/>
      </c>
    </row>
    <row r="2042">
      <c r="A2042" s="1">
        <f>'20250815_ETF_Options_Exhibits'!AC2042</f>
        <v/>
      </c>
      <c r="B2042" s="32">
        <f>'20250815_ETF_Options_Exhibits'!AD2042</f>
        <v/>
      </c>
      <c r="C2042" s="32">
        <f>'20250815_ETF_Options_Exhibits'!AE2042</f>
        <v/>
      </c>
    </row>
    <row r="2043">
      <c r="A2043" s="1">
        <f>'20250815_ETF_Options_Exhibits'!AC2043</f>
        <v/>
      </c>
      <c r="B2043" s="32">
        <f>'20250815_ETF_Options_Exhibits'!AD2043</f>
        <v/>
      </c>
      <c r="C2043" s="32">
        <f>'20250815_ETF_Options_Exhibits'!AE2043</f>
        <v/>
      </c>
    </row>
    <row r="2044">
      <c r="A2044" s="1">
        <f>'20250815_ETF_Options_Exhibits'!AC2044</f>
        <v/>
      </c>
      <c r="B2044" s="32">
        <f>'20250815_ETF_Options_Exhibits'!AD2044</f>
        <v/>
      </c>
      <c r="C2044" s="32">
        <f>'20250815_ETF_Options_Exhibits'!AE2044</f>
        <v/>
      </c>
    </row>
    <row r="2045">
      <c r="A2045" s="1">
        <f>'20250815_ETF_Options_Exhibits'!AC2045</f>
        <v/>
      </c>
      <c r="B2045" s="32">
        <f>'20250815_ETF_Options_Exhibits'!AD2045</f>
        <v/>
      </c>
      <c r="C2045" s="32">
        <f>'20250815_ETF_Options_Exhibits'!AE2045</f>
        <v/>
      </c>
    </row>
    <row r="2046">
      <c r="A2046" s="1">
        <f>'20250815_ETF_Options_Exhibits'!AC2046</f>
        <v/>
      </c>
      <c r="B2046" s="32">
        <f>'20250815_ETF_Options_Exhibits'!AD2046</f>
        <v/>
      </c>
      <c r="C2046" s="32">
        <f>'20250815_ETF_Options_Exhibits'!AE2046</f>
        <v/>
      </c>
    </row>
    <row r="2047">
      <c r="A2047" s="1">
        <f>'20250815_ETF_Options_Exhibits'!AC2047</f>
        <v/>
      </c>
      <c r="B2047" s="32">
        <f>'20250815_ETF_Options_Exhibits'!AD2047</f>
        <v/>
      </c>
      <c r="C2047" s="32">
        <f>'20250815_ETF_Options_Exhibits'!AE2047</f>
        <v/>
      </c>
    </row>
    <row r="2048">
      <c r="A2048" s="1">
        <f>'20250815_ETF_Options_Exhibits'!AC2048</f>
        <v/>
      </c>
      <c r="B2048" s="32">
        <f>'20250815_ETF_Options_Exhibits'!AD2048</f>
        <v/>
      </c>
      <c r="C2048" s="32">
        <f>'20250815_ETF_Options_Exhibits'!AE2048</f>
        <v/>
      </c>
    </row>
    <row r="2049">
      <c r="A2049" s="1">
        <f>'20250815_ETF_Options_Exhibits'!AC2049</f>
        <v/>
      </c>
      <c r="B2049" s="32">
        <f>'20250815_ETF_Options_Exhibits'!AD2049</f>
        <v/>
      </c>
      <c r="C2049" s="32">
        <f>'20250815_ETF_Options_Exhibits'!AE2049</f>
        <v/>
      </c>
    </row>
    <row r="2050">
      <c r="A2050" s="1">
        <f>'20250815_ETF_Options_Exhibits'!AC2050</f>
        <v/>
      </c>
      <c r="B2050" s="32">
        <f>'20250815_ETF_Options_Exhibits'!AD2050</f>
        <v/>
      </c>
      <c r="C2050" s="32">
        <f>'20250815_ETF_Options_Exhibits'!AE2050</f>
        <v/>
      </c>
    </row>
    <row r="2051">
      <c r="A2051" s="1">
        <f>'20250815_ETF_Options_Exhibits'!AC2051</f>
        <v/>
      </c>
      <c r="B2051" s="32">
        <f>'20250815_ETF_Options_Exhibits'!AD2051</f>
        <v/>
      </c>
      <c r="C2051" s="32">
        <f>'20250815_ETF_Options_Exhibits'!AE2051</f>
        <v/>
      </c>
    </row>
    <row r="2052">
      <c r="A2052" s="1">
        <f>'20250815_ETF_Options_Exhibits'!AC2052</f>
        <v/>
      </c>
      <c r="B2052" s="32">
        <f>'20250815_ETF_Options_Exhibits'!AD2052</f>
        <v/>
      </c>
      <c r="C2052" s="32">
        <f>'20250815_ETF_Options_Exhibits'!AE2052</f>
        <v/>
      </c>
    </row>
    <row r="2053">
      <c r="A2053" s="1">
        <f>'20250815_ETF_Options_Exhibits'!AC2053</f>
        <v/>
      </c>
      <c r="B2053" s="32">
        <f>'20250815_ETF_Options_Exhibits'!AD2053</f>
        <v/>
      </c>
      <c r="C2053" s="32">
        <f>'20250815_ETF_Options_Exhibits'!AE2053</f>
        <v/>
      </c>
    </row>
    <row r="2054">
      <c r="A2054" s="1">
        <f>'20250815_ETF_Options_Exhibits'!AC2054</f>
        <v/>
      </c>
      <c r="B2054" s="32">
        <f>'20250815_ETF_Options_Exhibits'!AD2054</f>
        <v/>
      </c>
      <c r="C2054" s="32">
        <f>'20250815_ETF_Options_Exhibits'!AE2054</f>
        <v/>
      </c>
    </row>
    <row r="2055">
      <c r="A2055" s="1">
        <f>'20250815_ETF_Options_Exhibits'!AC2055</f>
        <v/>
      </c>
      <c r="B2055" s="32">
        <f>'20250815_ETF_Options_Exhibits'!AD2055</f>
        <v/>
      </c>
      <c r="C2055" s="32">
        <f>'20250815_ETF_Options_Exhibits'!AE2055</f>
        <v/>
      </c>
    </row>
    <row r="2056">
      <c r="A2056" s="1">
        <f>'20250815_ETF_Options_Exhibits'!AC2056</f>
        <v/>
      </c>
      <c r="B2056" s="32">
        <f>'20250815_ETF_Options_Exhibits'!AD2056</f>
        <v/>
      </c>
      <c r="C2056" s="32">
        <f>'20250815_ETF_Options_Exhibits'!AE2056</f>
        <v/>
      </c>
    </row>
    <row r="2057">
      <c r="A2057" s="1">
        <f>'20250815_ETF_Options_Exhibits'!AC2057</f>
        <v/>
      </c>
      <c r="B2057" s="32">
        <f>'20250815_ETF_Options_Exhibits'!AD2057</f>
        <v/>
      </c>
      <c r="C2057" s="32">
        <f>'20250815_ETF_Options_Exhibits'!AE2057</f>
        <v/>
      </c>
    </row>
    <row r="2058">
      <c r="A2058" s="1">
        <f>'20250815_ETF_Options_Exhibits'!AC2058</f>
        <v/>
      </c>
      <c r="B2058" s="32">
        <f>'20250815_ETF_Options_Exhibits'!AD2058</f>
        <v/>
      </c>
      <c r="C2058" s="32">
        <f>'20250815_ETF_Options_Exhibits'!AE2058</f>
        <v/>
      </c>
    </row>
    <row r="2059">
      <c r="A2059" s="1">
        <f>'20250815_ETF_Options_Exhibits'!AC2059</f>
        <v/>
      </c>
      <c r="B2059" s="32">
        <f>'20250815_ETF_Options_Exhibits'!AD2059</f>
        <v/>
      </c>
      <c r="C2059" s="32">
        <f>'20250815_ETF_Options_Exhibits'!AE2059</f>
        <v/>
      </c>
    </row>
    <row r="2060">
      <c r="A2060" s="1">
        <f>'20250815_ETF_Options_Exhibits'!AC2060</f>
        <v/>
      </c>
      <c r="B2060" s="32">
        <f>'20250815_ETF_Options_Exhibits'!AD2060</f>
        <v/>
      </c>
      <c r="C2060" s="32">
        <f>'20250815_ETF_Options_Exhibits'!AE2060</f>
        <v/>
      </c>
    </row>
    <row r="2061">
      <c r="A2061" s="1">
        <f>'20250815_ETF_Options_Exhibits'!AC2061</f>
        <v/>
      </c>
      <c r="B2061" s="32">
        <f>'20250815_ETF_Options_Exhibits'!AD2061</f>
        <v/>
      </c>
      <c r="C2061" s="32">
        <f>'20250815_ETF_Options_Exhibits'!AE2061</f>
        <v/>
      </c>
    </row>
    <row r="2062">
      <c r="A2062" s="1">
        <f>'20250815_ETF_Options_Exhibits'!AC2062</f>
        <v/>
      </c>
      <c r="B2062" s="32">
        <f>'20250815_ETF_Options_Exhibits'!AD2062</f>
        <v/>
      </c>
      <c r="C2062" s="32">
        <f>'20250815_ETF_Options_Exhibits'!AE2062</f>
        <v/>
      </c>
    </row>
    <row r="2063">
      <c r="A2063" s="1">
        <f>'20250815_ETF_Options_Exhibits'!AC2063</f>
        <v/>
      </c>
      <c r="B2063" s="32">
        <f>'20250815_ETF_Options_Exhibits'!AD2063</f>
        <v/>
      </c>
      <c r="C2063" s="32">
        <f>'20250815_ETF_Options_Exhibits'!AE2063</f>
        <v/>
      </c>
    </row>
    <row r="2064">
      <c r="A2064" s="1">
        <f>'20250815_ETF_Options_Exhibits'!AC2064</f>
        <v/>
      </c>
      <c r="B2064" s="32">
        <f>'20250815_ETF_Options_Exhibits'!AD2064</f>
        <v/>
      </c>
      <c r="C2064" s="32">
        <f>'20250815_ETF_Options_Exhibits'!AE2064</f>
        <v/>
      </c>
    </row>
    <row r="2065">
      <c r="A2065" s="1">
        <f>'20250815_ETF_Options_Exhibits'!AC2065</f>
        <v/>
      </c>
      <c r="B2065" s="32">
        <f>'20250815_ETF_Options_Exhibits'!AD2065</f>
        <v/>
      </c>
      <c r="C2065" s="32">
        <f>'20250815_ETF_Options_Exhibits'!AE2065</f>
        <v/>
      </c>
    </row>
    <row r="2066">
      <c r="A2066" s="1">
        <f>'20250815_ETF_Options_Exhibits'!AC2066</f>
        <v/>
      </c>
      <c r="B2066" s="32">
        <f>'20250815_ETF_Options_Exhibits'!AD2066</f>
        <v/>
      </c>
      <c r="C2066" s="32">
        <f>'20250815_ETF_Options_Exhibits'!AE2066</f>
        <v/>
      </c>
    </row>
    <row r="2067">
      <c r="A2067" s="1">
        <f>'20250815_ETF_Options_Exhibits'!AC2067</f>
        <v/>
      </c>
      <c r="B2067" s="32">
        <f>'20250815_ETF_Options_Exhibits'!AD2067</f>
        <v/>
      </c>
      <c r="C2067" s="32">
        <f>'20250815_ETF_Options_Exhibits'!AE2067</f>
        <v/>
      </c>
    </row>
    <row r="2068">
      <c r="A2068" s="1">
        <f>'20250815_ETF_Options_Exhibits'!AC2068</f>
        <v/>
      </c>
      <c r="B2068" s="32">
        <f>'20250815_ETF_Options_Exhibits'!AD2068</f>
        <v/>
      </c>
      <c r="C2068" s="32">
        <f>'20250815_ETF_Options_Exhibits'!AE2068</f>
        <v/>
      </c>
    </row>
    <row r="2069">
      <c r="A2069" s="1">
        <f>'20250815_ETF_Options_Exhibits'!AC2069</f>
        <v/>
      </c>
      <c r="B2069" s="32">
        <f>'20250815_ETF_Options_Exhibits'!AD2069</f>
        <v/>
      </c>
      <c r="C2069" s="32">
        <f>'20250815_ETF_Options_Exhibits'!AE2069</f>
        <v/>
      </c>
    </row>
    <row r="2070">
      <c r="A2070" s="1">
        <f>'20250815_ETF_Options_Exhibits'!AC2070</f>
        <v/>
      </c>
      <c r="B2070" s="32">
        <f>'20250815_ETF_Options_Exhibits'!AD2070</f>
        <v/>
      </c>
      <c r="C2070" s="32">
        <f>'20250815_ETF_Options_Exhibits'!AE2070</f>
        <v/>
      </c>
    </row>
    <row r="2071">
      <c r="A2071" s="1">
        <f>'20250815_ETF_Options_Exhibits'!AC2071</f>
        <v/>
      </c>
      <c r="B2071" s="32">
        <f>'20250815_ETF_Options_Exhibits'!AD2071</f>
        <v/>
      </c>
      <c r="C2071" s="32">
        <f>'20250815_ETF_Options_Exhibits'!AE2071</f>
        <v/>
      </c>
    </row>
    <row r="2072">
      <c r="A2072" s="1">
        <f>'20250815_ETF_Options_Exhibits'!AC2072</f>
        <v/>
      </c>
      <c r="B2072" s="32">
        <f>'20250815_ETF_Options_Exhibits'!AD2072</f>
        <v/>
      </c>
      <c r="C2072" s="32">
        <f>'20250815_ETF_Options_Exhibits'!AE2072</f>
        <v/>
      </c>
    </row>
    <row r="2073">
      <c r="A2073" s="1">
        <f>'20250815_ETF_Options_Exhibits'!AC2073</f>
        <v/>
      </c>
      <c r="B2073" s="32">
        <f>'20250815_ETF_Options_Exhibits'!AD2073</f>
        <v/>
      </c>
      <c r="C2073" s="32">
        <f>'20250815_ETF_Options_Exhibits'!AE2073</f>
        <v/>
      </c>
    </row>
    <row r="2074">
      <c r="A2074" s="1">
        <f>'20250815_ETF_Options_Exhibits'!AC2074</f>
        <v/>
      </c>
      <c r="B2074" s="32">
        <f>'20250815_ETF_Options_Exhibits'!AD2074</f>
        <v/>
      </c>
      <c r="C2074" s="32">
        <f>'20250815_ETF_Options_Exhibits'!AE2074</f>
        <v/>
      </c>
    </row>
    <row r="2075">
      <c r="A2075" s="1">
        <f>'20250815_ETF_Options_Exhibits'!AC2075</f>
        <v/>
      </c>
      <c r="B2075" s="32">
        <f>'20250815_ETF_Options_Exhibits'!AD2075</f>
        <v/>
      </c>
      <c r="C2075" s="32">
        <f>'20250815_ETF_Options_Exhibits'!AE2075</f>
        <v/>
      </c>
    </row>
    <row r="2076">
      <c r="A2076" s="1">
        <f>'20250815_ETF_Options_Exhibits'!AC2076</f>
        <v/>
      </c>
      <c r="B2076" s="32">
        <f>'20250815_ETF_Options_Exhibits'!AD2076</f>
        <v/>
      </c>
      <c r="C2076" s="32">
        <f>'20250815_ETF_Options_Exhibits'!AE2076</f>
        <v/>
      </c>
    </row>
    <row r="2077">
      <c r="A2077" s="1">
        <f>'20250815_ETF_Options_Exhibits'!AC2077</f>
        <v/>
      </c>
      <c r="B2077" s="32">
        <f>'20250815_ETF_Options_Exhibits'!AD2077</f>
        <v/>
      </c>
      <c r="C2077" s="32">
        <f>'20250815_ETF_Options_Exhibits'!AE2077</f>
        <v/>
      </c>
    </row>
    <row r="2078">
      <c r="A2078" s="1">
        <f>'20250815_ETF_Options_Exhibits'!AC2078</f>
        <v/>
      </c>
      <c r="B2078" s="32">
        <f>'20250815_ETF_Options_Exhibits'!AD2078</f>
        <v/>
      </c>
      <c r="C2078" s="32">
        <f>'20250815_ETF_Options_Exhibits'!AE2078</f>
        <v/>
      </c>
    </row>
    <row r="2079">
      <c r="A2079" s="1">
        <f>'20250815_ETF_Options_Exhibits'!AC2079</f>
        <v/>
      </c>
      <c r="B2079" s="32">
        <f>'20250815_ETF_Options_Exhibits'!AD2079</f>
        <v/>
      </c>
      <c r="C2079" s="32">
        <f>'20250815_ETF_Options_Exhibits'!AE2079</f>
        <v/>
      </c>
    </row>
    <row r="2080">
      <c r="A2080" s="1">
        <f>'20250815_ETF_Options_Exhibits'!AC2080</f>
        <v/>
      </c>
      <c r="B2080" s="32">
        <f>'20250815_ETF_Options_Exhibits'!AD2080</f>
        <v/>
      </c>
      <c r="C2080" s="32">
        <f>'20250815_ETF_Options_Exhibits'!AE2080</f>
        <v/>
      </c>
    </row>
    <row r="2081">
      <c r="A2081" s="1">
        <f>'20250815_ETF_Options_Exhibits'!AC2081</f>
        <v/>
      </c>
      <c r="B2081" s="32">
        <f>'20250815_ETF_Options_Exhibits'!AD2081</f>
        <v/>
      </c>
      <c r="C2081" s="32">
        <f>'20250815_ETF_Options_Exhibits'!AE2081</f>
        <v/>
      </c>
    </row>
    <row r="2082">
      <c r="A2082" s="1">
        <f>'20250815_ETF_Options_Exhibits'!AC2082</f>
        <v/>
      </c>
      <c r="B2082" s="32">
        <f>'20250815_ETF_Options_Exhibits'!AD2082</f>
        <v/>
      </c>
      <c r="C2082" s="32">
        <f>'20250815_ETF_Options_Exhibits'!AE2082</f>
        <v/>
      </c>
    </row>
    <row r="2083">
      <c r="A2083" s="1">
        <f>'20250815_ETF_Options_Exhibits'!AC2083</f>
        <v/>
      </c>
      <c r="B2083" s="32">
        <f>'20250815_ETF_Options_Exhibits'!AD2083</f>
        <v/>
      </c>
      <c r="C2083" s="32">
        <f>'20250815_ETF_Options_Exhibits'!AE2083</f>
        <v/>
      </c>
    </row>
    <row r="2084">
      <c r="A2084" s="1">
        <f>'20250815_ETF_Options_Exhibits'!AC2084</f>
        <v/>
      </c>
      <c r="B2084" s="32">
        <f>'20250815_ETF_Options_Exhibits'!AD2084</f>
        <v/>
      </c>
      <c r="C2084" s="32">
        <f>'20250815_ETF_Options_Exhibits'!AE2084</f>
        <v/>
      </c>
    </row>
    <row r="2085">
      <c r="A2085" s="1">
        <f>'20250815_ETF_Options_Exhibits'!AC2085</f>
        <v/>
      </c>
      <c r="B2085" s="32">
        <f>'20250815_ETF_Options_Exhibits'!AD2085</f>
        <v/>
      </c>
      <c r="C2085" s="32">
        <f>'20250815_ETF_Options_Exhibits'!AE2085</f>
        <v/>
      </c>
    </row>
    <row r="2086">
      <c r="A2086" s="1">
        <f>'20250815_ETF_Options_Exhibits'!AC2086</f>
        <v/>
      </c>
      <c r="B2086" s="32">
        <f>'20250815_ETF_Options_Exhibits'!AD2086</f>
        <v/>
      </c>
      <c r="C2086" s="32">
        <f>'20250815_ETF_Options_Exhibits'!AE2086</f>
        <v/>
      </c>
    </row>
    <row r="2087">
      <c r="A2087" s="1">
        <f>'20250815_ETF_Options_Exhibits'!AC2087</f>
        <v/>
      </c>
      <c r="B2087" s="32">
        <f>'20250815_ETF_Options_Exhibits'!AD2087</f>
        <v/>
      </c>
      <c r="C2087" s="32">
        <f>'20250815_ETF_Options_Exhibits'!AE2087</f>
        <v/>
      </c>
    </row>
    <row r="2088">
      <c r="A2088" s="1">
        <f>'20250815_ETF_Options_Exhibits'!AC2088</f>
        <v/>
      </c>
      <c r="B2088" s="32">
        <f>'20250815_ETF_Options_Exhibits'!AD2088</f>
        <v/>
      </c>
      <c r="C2088" s="32">
        <f>'20250815_ETF_Options_Exhibits'!AE2088</f>
        <v/>
      </c>
    </row>
    <row r="2089">
      <c r="A2089" s="1">
        <f>'20250815_ETF_Options_Exhibits'!AC2089</f>
        <v/>
      </c>
      <c r="B2089" s="32">
        <f>'20250815_ETF_Options_Exhibits'!AD2089</f>
        <v/>
      </c>
      <c r="C2089" s="32">
        <f>'20250815_ETF_Options_Exhibits'!AE2089</f>
        <v/>
      </c>
    </row>
    <row r="2090">
      <c r="A2090" s="1">
        <f>'20250815_ETF_Options_Exhibits'!AC2090</f>
        <v/>
      </c>
      <c r="B2090" s="32">
        <f>'20250815_ETF_Options_Exhibits'!AD2090</f>
        <v/>
      </c>
      <c r="C2090" s="32">
        <f>'20250815_ETF_Options_Exhibits'!AE2090</f>
        <v/>
      </c>
    </row>
    <row r="2091">
      <c r="A2091" s="1">
        <f>'20250815_ETF_Options_Exhibits'!AC2091</f>
        <v/>
      </c>
      <c r="B2091" s="32">
        <f>'20250815_ETF_Options_Exhibits'!AD2091</f>
        <v/>
      </c>
      <c r="C2091" s="32">
        <f>'20250815_ETF_Options_Exhibits'!AE2091</f>
        <v/>
      </c>
    </row>
    <row r="2092">
      <c r="A2092" s="1">
        <f>'20250815_ETF_Options_Exhibits'!AC2092</f>
        <v/>
      </c>
      <c r="B2092" s="32">
        <f>'20250815_ETF_Options_Exhibits'!AD2092</f>
        <v/>
      </c>
      <c r="C2092" s="32">
        <f>'20250815_ETF_Options_Exhibits'!AE2092</f>
        <v/>
      </c>
    </row>
    <row r="2093">
      <c r="A2093" s="1">
        <f>'20250815_ETF_Options_Exhibits'!AC2093</f>
        <v/>
      </c>
      <c r="B2093" s="32">
        <f>'20250815_ETF_Options_Exhibits'!AD2093</f>
        <v/>
      </c>
      <c r="C2093" s="32">
        <f>'20250815_ETF_Options_Exhibits'!AE2093</f>
        <v/>
      </c>
    </row>
    <row r="2094">
      <c r="A2094" s="1">
        <f>'20250815_ETF_Options_Exhibits'!AC2094</f>
        <v/>
      </c>
      <c r="B2094" s="32">
        <f>'20250815_ETF_Options_Exhibits'!AD2094</f>
        <v/>
      </c>
      <c r="C2094" s="32">
        <f>'20250815_ETF_Options_Exhibits'!AE2094</f>
        <v/>
      </c>
    </row>
    <row r="2095">
      <c r="A2095" s="1">
        <f>'20250815_ETF_Options_Exhibits'!AC2095</f>
        <v/>
      </c>
      <c r="B2095" s="32">
        <f>'20250815_ETF_Options_Exhibits'!AD2095</f>
        <v/>
      </c>
      <c r="C2095" s="32">
        <f>'20250815_ETF_Options_Exhibits'!AE2095</f>
        <v/>
      </c>
    </row>
    <row r="2096">
      <c r="A2096" s="1">
        <f>'20250815_ETF_Options_Exhibits'!AC2096</f>
        <v/>
      </c>
      <c r="B2096" s="32">
        <f>'20250815_ETF_Options_Exhibits'!AD2096</f>
        <v/>
      </c>
      <c r="C2096" s="32">
        <f>'20250815_ETF_Options_Exhibits'!AE2096</f>
        <v/>
      </c>
    </row>
    <row r="2097">
      <c r="A2097" s="1">
        <f>'20250815_ETF_Options_Exhibits'!AC2097</f>
        <v/>
      </c>
      <c r="B2097" s="32">
        <f>'20250815_ETF_Options_Exhibits'!AD2097</f>
        <v/>
      </c>
      <c r="C2097" s="32">
        <f>'20250815_ETF_Options_Exhibits'!AE2097</f>
        <v/>
      </c>
    </row>
    <row r="2098">
      <c r="A2098" s="1">
        <f>'20250815_ETF_Options_Exhibits'!AC2098</f>
        <v/>
      </c>
      <c r="B2098" s="32">
        <f>'20250815_ETF_Options_Exhibits'!AD2098</f>
        <v/>
      </c>
      <c r="C2098" s="32">
        <f>'20250815_ETF_Options_Exhibits'!AE2098</f>
        <v/>
      </c>
    </row>
    <row r="2099">
      <c r="A2099" s="1">
        <f>'20250815_ETF_Options_Exhibits'!AC2099</f>
        <v/>
      </c>
      <c r="B2099" s="32">
        <f>'20250815_ETF_Options_Exhibits'!AD2099</f>
        <v/>
      </c>
      <c r="C2099" s="32">
        <f>'20250815_ETF_Options_Exhibits'!AE2099</f>
        <v/>
      </c>
    </row>
    <row r="2100">
      <c r="A2100" s="1">
        <f>'20250815_ETF_Options_Exhibits'!AC2100</f>
        <v/>
      </c>
      <c r="B2100" s="32">
        <f>'20250815_ETF_Options_Exhibits'!AD2100</f>
        <v/>
      </c>
      <c r="C2100" s="32">
        <f>'20250815_ETF_Options_Exhibits'!AE2100</f>
        <v/>
      </c>
    </row>
    <row r="2101">
      <c r="A2101" s="1">
        <f>'20250815_ETF_Options_Exhibits'!AC2101</f>
        <v/>
      </c>
      <c r="B2101" s="32">
        <f>'20250815_ETF_Options_Exhibits'!AD2101</f>
        <v/>
      </c>
      <c r="C2101" s="32">
        <f>'20250815_ETF_Options_Exhibits'!AE2101</f>
        <v/>
      </c>
    </row>
    <row r="2102">
      <c r="A2102" s="1">
        <f>'20250815_ETF_Options_Exhibits'!AC2102</f>
        <v/>
      </c>
      <c r="B2102" s="32">
        <f>'20250815_ETF_Options_Exhibits'!AD2102</f>
        <v/>
      </c>
      <c r="C2102" s="32">
        <f>'20250815_ETF_Options_Exhibits'!AE2102</f>
        <v/>
      </c>
    </row>
    <row r="2103">
      <c r="A2103" s="1">
        <f>'20250815_ETF_Options_Exhibits'!AC2103</f>
        <v/>
      </c>
      <c r="B2103" s="32">
        <f>'20250815_ETF_Options_Exhibits'!AD2103</f>
        <v/>
      </c>
      <c r="C2103" s="32">
        <f>'20250815_ETF_Options_Exhibits'!AE2103</f>
        <v/>
      </c>
    </row>
    <row r="2104">
      <c r="A2104" s="1">
        <f>'20250815_ETF_Options_Exhibits'!AC2104</f>
        <v/>
      </c>
      <c r="B2104" s="32">
        <f>'20250815_ETF_Options_Exhibits'!AD2104</f>
        <v/>
      </c>
      <c r="C2104" s="32">
        <f>'20250815_ETF_Options_Exhibits'!AE2104</f>
        <v/>
      </c>
    </row>
    <row r="2105">
      <c r="A2105" s="1">
        <f>'20250815_ETF_Options_Exhibits'!AC2105</f>
        <v/>
      </c>
      <c r="B2105" s="32">
        <f>'20250815_ETF_Options_Exhibits'!AD2105</f>
        <v/>
      </c>
      <c r="C2105" s="32">
        <f>'20250815_ETF_Options_Exhibits'!AE2105</f>
        <v/>
      </c>
    </row>
    <row r="2106">
      <c r="A2106" s="1">
        <f>'20250815_ETF_Options_Exhibits'!AC2106</f>
        <v/>
      </c>
      <c r="B2106" s="32">
        <f>'20250815_ETF_Options_Exhibits'!AD2106</f>
        <v/>
      </c>
      <c r="C2106" s="32">
        <f>'20250815_ETF_Options_Exhibits'!AE2106</f>
        <v/>
      </c>
    </row>
    <row r="2107">
      <c r="A2107" s="1">
        <f>'20250815_ETF_Options_Exhibits'!AC2107</f>
        <v/>
      </c>
      <c r="B2107" s="32">
        <f>'20250815_ETF_Options_Exhibits'!AD2107</f>
        <v/>
      </c>
      <c r="C2107" s="32">
        <f>'20250815_ETF_Options_Exhibits'!AE2107</f>
        <v/>
      </c>
    </row>
    <row r="2108">
      <c r="A2108" s="1">
        <f>'20250815_ETF_Options_Exhibits'!AC2108</f>
        <v/>
      </c>
      <c r="B2108" s="32">
        <f>'20250815_ETF_Options_Exhibits'!AD2108</f>
        <v/>
      </c>
      <c r="C2108" s="32">
        <f>'20250815_ETF_Options_Exhibits'!AE2108</f>
        <v/>
      </c>
    </row>
    <row r="2109">
      <c r="A2109" s="1">
        <f>'20250815_ETF_Options_Exhibits'!AC2109</f>
        <v/>
      </c>
      <c r="B2109" s="32">
        <f>'20250815_ETF_Options_Exhibits'!AD2109</f>
        <v/>
      </c>
      <c r="C2109" s="32">
        <f>'20250815_ETF_Options_Exhibits'!AE2109</f>
        <v/>
      </c>
    </row>
    <row r="2110">
      <c r="A2110" s="1">
        <f>'20250815_ETF_Options_Exhibits'!AC2110</f>
        <v/>
      </c>
      <c r="B2110" s="32">
        <f>'20250815_ETF_Options_Exhibits'!AD2110</f>
        <v/>
      </c>
      <c r="C2110" s="32">
        <f>'20250815_ETF_Options_Exhibits'!AE2110</f>
        <v/>
      </c>
    </row>
    <row r="2111">
      <c r="A2111" s="1">
        <f>'20250815_ETF_Options_Exhibits'!AC2111</f>
        <v/>
      </c>
      <c r="B2111" s="32">
        <f>'20250815_ETF_Options_Exhibits'!AD2111</f>
        <v/>
      </c>
      <c r="C2111" s="32">
        <f>'20250815_ETF_Options_Exhibits'!AE2111</f>
        <v/>
      </c>
    </row>
    <row r="2112">
      <c r="A2112" s="1">
        <f>'20250815_ETF_Options_Exhibits'!AC2112</f>
        <v/>
      </c>
      <c r="B2112" s="32">
        <f>'20250815_ETF_Options_Exhibits'!AD2112</f>
        <v/>
      </c>
      <c r="C2112" s="32">
        <f>'20250815_ETF_Options_Exhibits'!AE2112</f>
        <v/>
      </c>
    </row>
    <row r="2113">
      <c r="A2113" s="1">
        <f>'20250815_ETF_Options_Exhibits'!AC2113</f>
        <v/>
      </c>
      <c r="B2113" s="32">
        <f>'20250815_ETF_Options_Exhibits'!AD2113</f>
        <v/>
      </c>
      <c r="C2113" s="32">
        <f>'20250815_ETF_Options_Exhibits'!AE2113</f>
        <v/>
      </c>
    </row>
    <row r="2114">
      <c r="A2114" s="1">
        <f>'20250815_ETF_Options_Exhibits'!AC2114</f>
        <v/>
      </c>
      <c r="B2114" s="32">
        <f>'20250815_ETF_Options_Exhibits'!AD2114</f>
        <v/>
      </c>
      <c r="C2114" s="32">
        <f>'20250815_ETF_Options_Exhibits'!AE2114</f>
        <v/>
      </c>
    </row>
    <row r="2115">
      <c r="A2115" s="1">
        <f>'20250815_ETF_Options_Exhibits'!AC2115</f>
        <v/>
      </c>
      <c r="B2115" s="32">
        <f>'20250815_ETF_Options_Exhibits'!AD2115</f>
        <v/>
      </c>
      <c r="C2115" s="32">
        <f>'20250815_ETF_Options_Exhibits'!AE2115</f>
        <v/>
      </c>
    </row>
    <row r="2116">
      <c r="A2116" s="1">
        <f>'20250815_ETF_Options_Exhibits'!AC2116</f>
        <v/>
      </c>
      <c r="B2116" s="32">
        <f>'20250815_ETF_Options_Exhibits'!AD2116</f>
        <v/>
      </c>
      <c r="C2116" s="32">
        <f>'20250815_ETF_Options_Exhibits'!AE2116</f>
        <v/>
      </c>
    </row>
    <row r="2117">
      <c r="A2117" s="1">
        <f>'20250815_ETF_Options_Exhibits'!AC2117</f>
        <v/>
      </c>
      <c r="B2117" s="32">
        <f>'20250815_ETF_Options_Exhibits'!AD2117</f>
        <v/>
      </c>
      <c r="C2117" s="32">
        <f>'20250815_ETF_Options_Exhibits'!AE2117</f>
        <v/>
      </c>
    </row>
    <row r="2118">
      <c r="A2118" s="1">
        <f>'20250815_ETF_Options_Exhibits'!AC2118</f>
        <v/>
      </c>
      <c r="B2118" s="32">
        <f>'20250815_ETF_Options_Exhibits'!AD2118</f>
        <v/>
      </c>
      <c r="C2118" s="32">
        <f>'20250815_ETF_Options_Exhibits'!AE2118</f>
        <v/>
      </c>
    </row>
    <row r="2119">
      <c r="A2119" s="1">
        <f>'20250815_ETF_Options_Exhibits'!AC2119</f>
        <v/>
      </c>
      <c r="B2119" s="32">
        <f>'20250815_ETF_Options_Exhibits'!AD2119</f>
        <v/>
      </c>
      <c r="C2119" s="32">
        <f>'20250815_ETF_Options_Exhibits'!AE2119</f>
        <v/>
      </c>
    </row>
    <row r="2120">
      <c r="A2120" s="1">
        <f>'20250815_ETF_Options_Exhibits'!AC2120</f>
        <v/>
      </c>
      <c r="B2120" s="32">
        <f>'20250815_ETF_Options_Exhibits'!AD2120</f>
        <v/>
      </c>
      <c r="C2120" s="32">
        <f>'20250815_ETF_Options_Exhibits'!AE2120</f>
        <v/>
      </c>
    </row>
    <row r="2121">
      <c r="A2121" s="1">
        <f>'20250815_ETF_Options_Exhibits'!AC2121</f>
        <v/>
      </c>
      <c r="B2121" s="32">
        <f>'20250815_ETF_Options_Exhibits'!AD2121</f>
        <v/>
      </c>
      <c r="C2121" s="32">
        <f>'20250815_ETF_Options_Exhibits'!AE2121</f>
        <v/>
      </c>
    </row>
    <row r="2122">
      <c r="A2122" s="1">
        <f>'20250815_ETF_Options_Exhibits'!AC2122</f>
        <v/>
      </c>
      <c r="B2122" s="32">
        <f>'20250815_ETF_Options_Exhibits'!AD2122</f>
        <v/>
      </c>
      <c r="C2122" s="32">
        <f>'20250815_ETF_Options_Exhibits'!AE2122</f>
        <v/>
      </c>
    </row>
    <row r="2123">
      <c r="A2123" s="1">
        <f>'20250815_ETF_Options_Exhibits'!AC2123</f>
        <v/>
      </c>
      <c r="B2123" s="32">
        <f>'20250815_ETF_Options_Exhibits'!AD2123</f>
        <v/>
      </c>
      <c r="C2123" s="32">
        <f>'20250815_ETF_Options_Exhibits'!AE2123</f>
        <v/>
      </c>
    </row>
    <row r="2124">
      <c r="A2124" s="1">
        <f>'20250815_ETF_Options_Exhibits'!AC2124</f>
        <v/>
      </c>
      <c r="B2124" s="32">
        <f>'20250815_ETF_Options_Exhibits'!AD2124</f>
        <v/>
      </c>
      <c r="C2124" s="32">
        <f>'20250815_ETF_Options_Exhibits'!AE2124</f>
        <v/>
      </c>
    </row>
    <row r="2125">
      <c r="A2125" s="1">
        <f>'20250815_ETF_Options_Exhibits'!AC2125</f>
        <v/>
      </c>
      <c r="B2125" s="32">
        <f>'20250815_ETF_Options_Exhibits'!AD2125</f>
        <v/>
      </c>
      <c r="C2125" s="32">
        <f>'20250815_ETF_Options_Exhibits'!AE2125</f>
        <v/>
      </c>
    </row>
    <row r="2126">
      <c r="A2126" s="1">
        <f>'20250815_ETF_Options_Exhibits'!AC2126</f>
        <v/>
      </c>
      <c r="B2126" s="32">
        <f>'20250815_ETF_Options_Exhibits'!AD2126</f>
        <v/>
      </c>
      <c r="C2126" s="32">
        <f>'20250815_ETF_Options_Exhibits'!AE2126</f>
        <v/>
      </c>
    </row>
    <row r="2127">
      <c r="A2127" s="1">
        <f>'20250815_ETF_Options_Exhibits'!AC2127</f>
        <v/>
      </c>
      <c r="B2127" s="32">
        <f>'20250815_ETF_Options_Exhibits'!AD2127</f>
        <v/>
      </c>
      <c r="C2127" s="32">
        <f>'20250815_ETF_Options_Exhibits'!AE2127</f>
        <v/>
      </c>
    </row>
    <row r="2128">
      <c r="A2128" s="1">
        <f>'20250815_ETF_Options_Exhibits'!AC2128</f>
        <v/>
      </c>
      <c r="B2128" s="32">
        <f>'20250815_ETF_Options_Exhibits'!AD2128</f>
        <v/>
      </c>
      <c r="C2128" s="32">
        <f>'20250815_ETF_Options_Exhibits'!AE2128</f>
        <v/>
      </c>
    </row>
    <row r="2129">
      <c r="A2129" s="1">
        <f>'20250815_ETF_Options_Exhibits'!AC2129</f>
        <v/>
      </c>
      <c r="B2129" s="32">
        <f>'20250815_ETF_Options_Exhibits'!AD2129</f>
        <v/>
      </c>
      <c r="C2129" s="32">
        <f>'20250815_ETF_Options_Exhibits'!AE2129</f>
        <v/>
      </c>
    </row>
    <row r="2130">
      <c r="A2130" s="1">
        <f>'20250815_ETF_Options_Exhibits'!AC2130</f>
        <v/>
      </c>
      <c r="B2130" s="32">
        <f>'20250815_ETF_Options_Exhibits'!AD2130</f>
        <v/>
      </c>
      <c r="C2130" s="32">
        <f>'20250815_ETF_Options_Exhibits'!AE2130</f>
        <v/>
      </c>
    </row>
    <row r="2131">
      <c r="A2131" s="1">
        <f>'20250815_ETF_Options_Exhibits'!AC2131</f>
        <v/>
      </c>
      <c r="B2131" s="32">
        <f>'20250815_ETF_Options_Exhibits'!AD2131</f>
        <v/>
      </c>
      <c r="C2131" s="32">
        <f>'20250815_ETF_Options_Exhibits'!AE2131</f>
        <v/>
      </c>
    </row>
    <row r="2132">
      <c r="A2132" s="1">
        <f>'20250815_ETF_Options_Exhibits'!AC2132</f>
        <v/>
      </c>
      <c r="B2132" s="32">
        <f>'20250815_ETF_Options_Exhibits'!AD2132</f>
        <v/>
      </c>
      <c r="C2132" s="32">
        <f>'20250815_ETF_Options_Exhibits'!AE2132</f>
        <v/>
      </c>
    </row>
    <row r="2133">
      <c r="A2133" s="1">
        <f>'20250815_ETF_Options_Exhibits'!AC2133</f>
        <v/>
      </c>
      <c r="B2133" s="32">
        <f>'20250815_ETF_Options_Exhibits'!AD2133</f>
        <v/>
      </c>
      <c r="C2133" s="32">
        <f>'20250815_ETF_Options_Exhibits'!AE2133</f>
        <v/>
      </c>
    </row>
    <row r="2134">
      <c r="A2134" s="1">
        <f>'20250815_ETF_Options_Exhibits'!AC2134</f>
        <v/>
      </c>
      <c r="B2134" s="32">
        <f>'20250815_ETF_Options_Exhibits'!AD2134</f>
        <v/>
      </c>
      <c r="C2134" s="32">
        <f>'20250815_ETF_Options_Exhibits'!AE2134</f>
        <v/>
      </c>
    </row>
    <row r="2135">
      <c r="A2135" s="1">
        <f>'20250815_ETF_Options_Exhibits'!AC2135</f>
        <v/>
      </c>
      <c r="B2135" s="32">
        <f>'20250815_ETF_Options_Exhibits'!AD2135</f>
        <v/>
      </c>
      <c r="C2135" s="32">
        <f>'20250815_ETF_Options_Exhibits'!AE2135</f>
        <v/>
      </c>
    </row>
    <row r="2136">
      <c r="A2136" s="1">
        <f>'20250815_ETF_Options_Exhibits'!AC2136</f>
        <v/>
      </c>
      <c r="B2136" s="32">
        <f>'20250815_ETF_Options_Exhibits'!AD2136</f>
        <v/>
      </c>
      <c r="C2136" s="32">
        <f>'20250815_ETF_Options_Exhibits'!AE2136</f>
        <v/>
      </c>
    </row>
    <row r="2137">
      <c r="A2137" s="1">
        <f>'20250815_ETF_Options_Exhibits'!AC2137</f>
        <v/>
      </c>
      <c r="B2137" s="32">
        <f>'20250815_ETF_Options_Exhibits'!AD2137</f>
        <v/>
      </c>
      <c r="C2137" s="32">
        <f>'20250815_ETF_Options_Exhibits'!AE2137</f>
        <v/>
      </c>
    </row>
    <row r="2138">
      <c r="A2138" s="1">
        <f>'20250815_ETF_Options_Exhibits'!AC2138</f>
        <v/>
      </c>
      <c r="B2138" s="32">
        <f>'20250815_ETF_Options_Exhibits'!AD2138</f>
        <v/>
      </c>
      <c r="C2138" s="32">
        <f>'20250815_ETF_Options_Exhibits'!AE2138</f>
        <v/>
      </c>
    </row>
    <row r="2139">
      <c r="A2139" s="1">
        <f>'20250815_ETF_Options_Exhibits'!AC2139</f>
        <v/>
      </c>
      <c r="B2139" s="32">
        <f>'20250815_ETF_Options_Exhibits'!AD2139</f>
        <v/>
      </c>
      <c r="C2139" s="32">
        <f>'20250815_ETF_Options_Exhibits'!AE2139</f>
        <v/>
      </c>
    </row>
    <row r="2140">
      <c r="A2140" s="1">
        <f>'20250815_ETF_Options_Exhibits'!AC2140</f>
        <v/>
      </c>
      <c r="B2140" s="32">
        <f>'20250815_ETF_Options_Exhibits'!AD2140</f>
        <v/>
      </c>
      <c r="C2140" s="32">
        <f>'20250815_ETF_Options_Exhibits'!AE2140</f>
        <v/>
      </c>
    </row>
    <row r="2141">
      <c r="A2141" s="1">
        <f>'20250815_ETF_Options_Exhibits'!AC2141</f>
        <v/>
      </c>
      <c r="B2141" s="32">
        <f>'20250815_ETF_Options_Exhibits'!AD2141</f>
        <v/>
      </c>
      <c r="C2141" s="32">
        <f>'20250815_ETF_Options_Exhibits'!AE2141</f>
        <v/>
      </c>
    </row>
    <row r="2142">
      <c r="A2142" s="1">
        <f>'20250815_ETF_Options_Exhibits'!AC2142</f>
        <v/>
      </c>
      <c r="B2142" s="32">
        <f>'20250815_ETF_Options_Exhibits'!AD2142</f>
        <v/>
      </c>
      <c r="C2142" s="32">
        <f>'20250815_ETF_Options_Exhibits'!AE2142</f>
        <v/>
      </c>
    </row>
    <row r="2143">
      <c r="A2143" s="1">
        <f>'20250815_ETF_Options_Exhibits'!AC2143</f>
        <v/>
      </c>
      <c r="B2143" s="32">
        <f>'20250815_ETF_Options_Exhibits'!AD2143</f>
        <v/>
      </c>
      <c r="C2143" s="32">
        <f>'20250815_ETF_Options_Exhibits'!AE2143</f>
        <v/>
      </c>
    </row>
    <row r="2144">
      <c r="A2144" s="1">
        <f>'20250815_ETF_Options_Exhibits'!AC2144</f>
        <v/>
      </c>
      <c r="B2144" s="32">
        <f>'20250815_ETF_Options_Exhibits'!AD2144</f>
        <v/>
      </c>
      <c r="C2144" s="32">
        <f>'20250815_ETF_Options_Exhibits'!AE2144</f>
        <v/>
      </c>
    </row>
    <row r="2145">
      <c r="A2145" s="1">
        <f>'20250815_ETF_Options_Exhibits'!AC2145</f>
        <v/>
      </c>
      <c r="B2145" s="32">
        <f>'20250815_ETF_Options_Exhibits'!AD2145</f>
        <v/>
      </c>
      <c r="C2145" s="32">
        <f>'20250815_ETF_Options_Exhibits'!AE2145</f>
        <v/>
      </c>
    </row>
    <row r="2146">
      <c r="A2146" s="1">
        <f>'20250815_ETF_Options_Exhibits'!AC2146</f>
        <v/>
      </c>
      <c r="B2146" s="32">
        <f>'20250815_ETF_Options_Exhibits'!AD2146</f>
        <v/>
      </c>
      <c r="C2146" s="32">
        <f>'20250815_ETF_Options_Exhibits'!AE2146</f>
        <v/>
      </c>
    </row>
    <row r="2147">
      <c r="A2147" s="1">
        <f>'20250815_ETF_Options_Exhibits'!AC2147</f>
        <v/>
      </c>
      <c r="B2147" s="32">
        <f>'20250815_ETF_Options_Exhibits'!AD2147</f>
        <v/>
      </c>
      <c r="C2147" s="32">
        <f>'20250815_ETF_Options_Exhibits'!AE2147</f>
        <v/>
      </c>
    </row>
    <row r="2148">
      <c r="A2148" s="1">
        <f>'20250815_ETF_Options_Exhibits'!AC2148</f>
        <v/>
      </c>
      <c r="B2148" s="32">
        <f>'20250815_ETF_Options_Exhibits'!AD2148</f>
        <v/>
      </c>
      <c r="C2148" s="32">
        <f>'20250815_ETF_Options_Exhibits'!AE2148</f>
        <v/>
      </c>
    </row>
    <row r="2149">
      <c r="A2149" s="1">
        <f>'20250815_ETF_Options_Exhibits'!AC2149</f>
        <v/>
      </c>
      <c r="B2149" s="32">
        <f>'20250815_ETF_Options_Exhibits'!AD2149</f>
        <v/>
      </c>
      <c r="C2149" s="32">
        <f>'20250815_ETF_Options_Exhibits'!AE2149</f>
        <v/>
      </c>
    </row>
    <row r="2150">
      <c r="A2150" s="1">
        <f>'20250815_ETF_Options_Exhibits'!AC2150</f>
        <v/>
      </c>
      <c r="B2150" s="32">
        <f>'20250815_ETF_Options_Exhibits'!AD2150</f>
        <v/>
      </c>
      <c r="C2150" s="32">
        <f>'20250815_ETF_Options_Exhibits'!AE2150</f>
        <v/>
      </c>
    </row>
    <row r="2151">
      <c r="A2151" s="1">
        <f>'20250815_ETF_Options_Exhibits'!AC2151</f>
        <v/>
      </c>
      <c r="B2151" s="32">
        <f>'20250815_ETF_Options_Exhibits'!AD2151</f>
        <v/>
      </c>
      <c r="C2151" s="32">
        <f>'20250815_ETF_Options_Exhibits'!AE2151</f>
        <v/>
      </c>
    </row>
    <row r="2152">
      <c r="A2152" s="1">
        <f>'20250815_ETF_Options_Exhibits'!AC2152</f>
        <v/>
      </c>
      <c r="B2152" s="32">
        <f>'20250815_ETF_Options_Exhibits'!AD2152</f>
        <v/>
      </c>
      <c r="C2152" s="32">
        <f>'20250815_ETF_Options_Exhibits'!AE2152</f>
        <v/>
      </c>
    </row>
    <row r="2153">
      <c r="A2153" s="1">
        <f>'20250815_ETF_Options_Exhibits'!AC2153</f>
        <v/>
      </c>
      <c r="B2153" s="32">
        <f>'20250815_ETF_Options_Exhibits'!AD2153</f>
        <v/>
      </c>
      <c r="C2153" s="32">
        <f>'20250815_ETF_Options_Exhibits'!AE2153</f>
        <v/>
      </c>
    </row>
    <row r="2154">
      <c r="A2154" s="1">
        <f>'20250815_ETF_Options_Exhibits'!AC2154</f>
        <v/>
      </c>
      <c r="B2154" s="32">
        <f>'20250815_ETF_Options_Exhibits'!AD2154</f>
        <v/>
      </c>
      <c r="C2154" s="32">
        <f>'20250815_ETF_Options_Exhibits'!AE2154</f>
        <v/>
      </c>
    </row>
    <row r="2155">
      <c r="A2155" s="1">
        <f>'20250815_ETF_Options_Exhibits'!AC2155</f>
        <v/>
      </c>
      <c r="B2155" s="32">
        <f>'20250815_ETF_Options_Exhibits'!AD2155</f>
        <v/>
      </c>
      <c r="C2155" s="32">
        <f>'20250815_ETF_Options_Exhibits'!AE2155</f>
        <v/>
      </c>
    </row>
    <row r="2156">
      <c r="A2156" s="1">
        <f>'20250815_ETF_Options_Exhibits'!AC2156</f>
        <v/>
      </c>
      <c r="B2156" s="32">
        <f>'20250815_ETF_Options_Exhibits'!AD2156</f>
        <v/>
      </c>
      <c r="C2156" s="32">
        <f>'20250815_ETF_Options_Exhibits'!AE2156</f>
        <v/>
      </c>
    </row>
    <row r="2157">
      <c r="A2157" s="1">
        <f>'20250815_ETF_Options_Exhibits'!AC2157</f>
        <v/>
      </c>
      <c r="B2157" s="32">
        <f>'20250815_ETF_Options_Exhibits'!AD2157</f>
        <v/>
      </c>
      <c r="C2157" s="32">
        <f>'20250815_ETF_Options_Exhibits'!AE2157</f>
        <v/>
      </c>
    </row>
    <row r="2158">
      <c r="A2158" s="1">
        <f>'20250815_ETF_Options_Exhibits'!AC2158</f>
        <v/>
      </c>
      <c r="B2158" s="32">
        <f>'20250815_ETF_Options_Exhibits'!AD2158</f>
        <v/>
      </c>
      <c r="C2158" s="32">
        <f>'20250815_ETF_Options_Exhibits'!AE2158</f>
        <v/>
      </c>
    </row>
    <row r="2159">
      <c r="A2159" s="1">
        <f>'20250815_ETF_Options_Exhibits'!AC2159</f>
        <v/>
      </c>
      <c r="B2159" s="32">
        <f>'20250815_ETF_Options_Exhibits'!AD2159</f>
        <v/>
      </c>
      <c r="C2159" s="32">
        <f>'20250815_ETF_Options_Exhibits'!AE2159</f>
        <v/>
      </c>
    </row>
    <row r="2160">
      <c r="A2160" s="1">
        <f>'20250815_ETF_Options_Exhibits'!AC2160</f>
        <v/>
      </c>
      <c r="B2160" s="32">
        <f>'20250815_ETF_Options_Exhibits'!AD2160</f>
        <v/>
      </c>
      <c r="C2160" s="32">
        <f>'20250815_ETF_Options_Exhibits'!AE2160</f>
        <v/>
      </c>
    </row>
    <row r="2161">
      <c r="A2161" s="1">
        <f>'20250815_ETF_Options_Exhibits'!AC2161</f>
        <v/>
      </c>
      <c r="B2161" s="32">
        <f>'20250815_ETF_Options_Exhibits'!AD2161</f>
        <v/>
      </c>
      <c r="C2161" s="32">
        <f>'20250815_ETF_Options_Exhibits'!AE2161</f>
        <v/>
      </c>
    </row>
    <row r="2162">
      <c r="A2162" s="1">
        <f>'20250815_ETF_Options_Exhibits'!AC2162</f>
        <v/>
      </c>
      <c r="B2162" s="32">
        <f>'20250815_ETF_Options_Exhibits'!AD2162</f>
        <v/>
      </c>
      <c r="C2162" s="32">
        <f>'20250815_ETF_Options_Exhibits'!AE2162</f>
        <v/>
      </c>
    </row>
    <row r="2163">
      <c r="A2163" s="1">
        <f>'20250815_ETF_Options_Exhibits'!AC2163</f>
        <v/>
      </c>
      <c r="B2163" s="32">
        <f>'20250815_ETF_Options_Exhibits'!AD2163</f>
        <v/>
      </c>
      <c r="C2163" s="32">
        <f>'20250815_ETF_Options_Exhibits'!AE2163</f>
        <v/>
      </c>
    </row>
    <row r="2164">
      <c r="A2164" s="1">
        <f>'20250815_ETF_Options_Exhibits'!AC2164</f>
        <v/>
      </c>
      <c r="B2164" s="32">
        <f>'20250815_ETF_Options_Exhibits'!AD2164</f>
        <v/>
      </c>
      <c r="C2164" s="32">
        <f>'20250815_ETF_Options_Exhibits'!AE2164</f>
        <v/>
      </c>
    </row>
    <row r="2165">
      <c r="A2165" s="1">
        <f>'20250815_ETF_Options_Exhibits'!AC2165</f>
        <v/>
      </c>
      <c r="B2165" s="32">
        <f>'20250815_ETF_Options_Exhibits'!AD2165</f>
        <v/>
      </c>
      <c r="C2165" s="32">
        <f>'20250815_ETF_Options_Exhibits'!AE2165</f>
        <v/>
      </c>
    </row>
    <row r="2166">
      <c r="A2166" s="1">
        <f>'20250815_ETF_Options_Exhibits'!AC2166</f>
        <v/>
      </c>
      <c r="B2166" s="32">
        <f>'20250815_ETF_Options_Exhibits'!AD2166</f>
        <v/>
      </c>
      <c r="C2166" s="32">
        <f>'20250815_ETF_Options_Exhibits'!AE2166</f>
        <v/>
      </c>
    </row>
    <row r="2167">
      <c r="A2167" s="1">
        <f>'20250815_ETF_Options_Exhibits'!AC2167</f>
        <v/>
      </c>
      <c r="B2167" s="32">
        <f>'20250815_ETF_Options_Exhibits'!AD2167</f>
        <v/>
      </c>
      <c r="C2167" s="32">
        <f>'20250815_ETF_Options_Exhibits'!AE2167</f>
        <v/>
      </c>
    </row>
    <row r="2168">
      <c r="A2168" s="1">
        <f>'20250815_ETF_Options_Exhibits'!AC2168</f>
        <v/>
      </c>
      <c r="B2168" s="32">
        <f>'20250815_ETF_Options_Exhibits'!AD2168</f>
        <v/>
      </c>
      <c r="C2168" s="32">
        <f>'20250815_ETF_Options_Exhibits'!AE2168</f>
        <v/>
      </c>
    </row>
    <row r="2169">
      <c r="A2169" s="1">
        <f>'20250815_ETF_Options_Exhibits'!AC2169</f>
        <v/>
      </c>
      <c r="B2169" s="32">
        <f>'20250815_ETF_Options_Exhibits'!AD2169</f>
        <v/>
      </c>
      <c r="C2169" s="32">
        <f>'20250815_ETF_Options_Exhibits'!AE2169</f>
        <v/>
      </c>
    </row>
    <row r="2170">
      <c r="A2170" s="1">
        <f>'20250815_ETF_Options_Exhibits'!AC2170</f>
        <v/>
      </c>
      <c r="B2170" s="32">
        <f>'20250815_ETF_Options_Exhibits'!AD2170</f>
        <v/>
      </c>
      <c r="C2170" s="32">
        <f>'20250815_ETF_Options_Exhibits'!AE2170</f>
        <v/>
      </c>
    </row>
    <row r="2171">
      <c r="A2171" s="1">
        <f>'20250815_ETF_Options_Exhibits'!AC2171</f>
        <v/>
      </c>
      <c r="B2171" s="32">
        <f>'20250815_ETF_Options_Exhibits'!AD2171</f>
        <v/>
      </c>
      <c r="C2171" s="32">
        <f>'20250815_ETF_Options_Exhibits'!AE2171</f>
        <v/>
      </c>
    </row>
    <row r="2172">
      <c r="A2172" s="1">
        <f>'20250815_ETF_Options_Exhibits'!AC2172</f>
        <v/>
      </c>
      <c r="B2172" s="32">
        <f>'20250815_ETF_Options_Exhibits'!AD2172</f>
        <v/>
      </c>
      <c r="C2172" s="32">
        <f>'20250815_ETF_Options_Exhibits'!AE2172</f>
        <v/>
      </c>
    </row>
    <row r="2173">
      <c r="A2173" s="1">
        <f>'20250815_ETF_Options_Exhibits'!AC2173</f>
        <v/>
      </c>
      <c r="B2173" s="32">
        <f>'20250815_ETF_Options_Exhibits'!AD2173</f>
        <v/>
      </c>
      <c r="C2173" s="32">
        <f>'20250815_ETF_Options_Exhibits'!AE2173</f>
        <v/>
      </c>
    </row>
    <row r="2174">
      <c r="A2174" s="1">
        <f>'20250815_ETF_Options_Exhibits'!AC2174</f>
        <v/>
      </c>
      <c r="B2174" s="32">
        <f>'20250815_ETF_Options_Exhibits'!AD2174</f>
        <v/>
      </c>
      <c r="C2174" s="32">
        <f>'20250815_ETF_Options_Exhibits'!AE2174</f>
        <v/>
      </c>
    </row>
    <row r="2175">
      <c r="A2175" s="1">
        <f>'20250815_ETF_Options_Exhibits'!AC2175</f>
        <v/>
      </c>
      <c r="B2175" s="32">
        <f>'20250815_ETF_Options_Exhibits'!AD2175</f>
        <v/>
      </c>
      <c r="C2175" s="32">
        <f>'20250815_ETF_Options_Exhibits'!AE2175</f>
        <v/>
      </c>
    </row>
    <row r="2176">
      <c r="A2176" s="1">
        <f>'20250815_ETF_Options_Exhibits'!AC2176</f>
        <v/>
      </c>
      <c r="B2176" s="32">
        <f>'20250815_ETF_Options_Exhibits'!AD2176</f>
        <v/>
      </c>
      <c r="C2176" s="32">
        <f>'20250815_ETF_Options_Exhibits'!AE2176</f>
        <v/>
      </c>
    </row>
    <row r="2177">
      <c r="A2177" s="1">
        <f>'20250815_ETF_Options_Exhibits'!AC2177</f>
        <v/>
      </c>
      <c r="B2177" s="32">
        <f>'20250815_ETF_Options_Exhibits'!AD2177</f>
        <v/>
      </c>
      <c r="C2177" s="32">
        <f>'20250815_ETF_Options_Exhibits'!AE2177</f>
        <v/>
      </c>
    </row>
    <row r="2178">
      <c r="A2178" s="1">
        <f>'20250815_ETF_Options_Exhibits'!AC2178</f>
        <v/>
      </c>
      <c r="B2178" s="32">
        <f>'20250815_ETF_Options_Exhibits'!AD2178</f>
        <v/>
      </c>
      <c r="C2178" s="32">
        <f>'20250815_ETF_Options_Exhibits'!AE2178</f>
        <v/>
      </c>
    </row>
    <row r="2179">
      <c r="A2179" s="1">
        <f>'20250815_ETF_Options_Exhibits'!AC2179</f>
        <v/>
      </c>
      <c r="B2179" s="32">
        <f>'20250815_ETF_Options_Exhibits'!AD2179</f>
        <v/>
      </c>
      <c r="C2179" s="32">
        <f>'20250815_ETF_Options_Exhibits'!AE2179</f>
        <v/>
      </c>
    </row>
    <row r="2180">
      <c r="A2180" s="1">
        <f>'20250815_ETF_Options_Exhibits'!AC2180</f>
        <v/>
      </c>
      <c r="B2180" s="32">
        <f>'20250815_ETF_Options_Exhibits'!AD2180</f>
        <v/>
      </c>
      <c r="C2180" s="32">
        <f>'20250815_ETF_Options_Exhibits'!AE2180</f>
        <v/>
      </c>
    </row>
    <row r="2181">
      <c r="A2181" s="1">
        <f>'20250815_ETF_Options_Exhibits'!AC2181</f>
        <v/>
      </c>
      <c r="B2181" s="32">
        <f>'20250815_ETF_Options_Exhibits'!AD2181</f>
        <v/>
      </c>
      <c r="C2181" s="32">
        <f>'20250815_ETF_Options_Exhibits'!AE2181</f>
        <v/>
      </c>
    </row>
    <row r="2182">
      <c r="A2182" s="1">
        <f>'20250815_ETF_Options_Exhibits'!AC2182</f>
        <v/>
      </c>
      <c r="B2182" s="32">
        <f>'20250815_ETF_Options_Exhibits'!AD2182</f>
        <v/>
      </c>
      <c r="C2182" s="32">
        <f>'20250815_ETF_Options_Exhibits'!AE2182</f>
        <v/>
      </c>
    </row>
    <row r="2183">
      <c r="A2183" s="1">
        <f>'20250815_ETF_Options_Exhibits'!AC2183</f>
        <v/>
      </c>
      <c r="B2183" s="32">
        <f>'20250815_ETF_Options_Exhibits'!AD2183</f>
        <v/>
      </c>
      <c r="C2183" s="32">
        <f>'20250815_ETF_Options_Exhibits'!AE2183</f>
        <v/>
      </c>
    </row>
    <row r="2184">
      <c r="A2184" s="1">
        <f>'20250815_ETF_Options_Exhibits'!AC2184</f>
        <v/>
      </c>
      <c r="B2184" s="32">
        <f>'20250815_ETF_Options_Exhibits'!AD2184</f>
        <v/>
      </c>
      <c r="C2184" s="32">
        <f>'20250815_ETF_Options_Exhibits'!AE2184</f>
        <v/>
      </c>
    </row>
    <row r="2185">
      <c r="A2185" s="1">
        <f>'20250815_ETF_Options_Exhibits'!AC2185</f>
        <v/>
      </c>
      <c r="B2185" s="32">
        <f>'20250815_ETF_Options_Exhibits'!AD2185</f>
        <v/>
      </c>
      <c r="C2185" s="32">
        <f>'20250815_ETF_Options_Exhibits'!AE2185</f>
        <v/>
      </c>
    </row>
    <row r="2186">
      <c r="A2186" s="1">
        <f>'20250815_ETF_Options_Exhibits'!AC2186</f>
        <v/>
      </c>
      <c r="B2186" s="32">
        <f>'20250815_ETF_Options_Exhibits'!AD2186</f>
        <v/>
      </c>
      <c r="C2186" s="32">
        <f>'20250815_ETF_Options_Exhibits'!AE2186</f>
        <v/>
      </c>
    </row>
    <row r="2187">
      <c r="A2187" s="1">
        <f>'20250815_ETF_Options_Exhibits'!AC2187</f>
        <v/>
      </c>
      <c r="B2187" s="32">
        <f>'20250815_ETF_Options_Exhibits'!AD2187</f>
        <v/>
      </c>
      <c r="C2187" s="32">
        <f>'20250815_ETF_Options_Exhibits'!AE2187</f>
        <v/>
      </c>
    </row>
    <row r="2188">
      <c r="A2188" s="1">
        <f>'20250815_ETF_Options_Exhibits'!AC2188</f>
        <v/>
      </c>
      <c r="B2188" s="32">
        <f>'20250815_ETF_Options_Exhibits'!AD2188</f>
        <v/>
      </c>
      <c r="C2188" s="32">
        <f>'20250815_ETF_Options_Exhibits'!AE2188</f>
        <v/>
      </c>
    </row>
    <row r="2189">
      <c r="A2189" s="1">
        <f>'20250815_ETF_Options_Exhibits'!AC2189</f>
        <v/>
      </c>
      <c r="B2189" s="32">
        <f>'20250815_ETF_Options_Exhibits'!AD2189</f>
        <v/>
      </c>
      <c r="C2189" s="32">
        <f>'20250815_ETF_Options_Exhibits'!AE2189</f>
        <v/>
      </c>
    </row>
    <row r="2190">
      <c r="A2190" s="1">
        <f>'20250815_ETF_Options_Exhibits'!AC2190</f>
        <v/>
      </c>
      <c r="B2190" s="32">
        <f>'20250815_ETF_Options_Exhibits'!AD2190</f>
        <v/>
      </c>
      <c r="C2190" s="32">
        <f>'20250815_ETF_Options_Exhibits'!AE2190</f>
        <v/>
      </c>
    </row>
    <row r="2191">
      <c r="A2191" s="1">
        <f>'20250815_ETF_Options_Exhibits'!AC2191</f>
        <v/>
      </c>
      <c r="B2191" s="32">
        <f>'20250815_ETF_Options_Exhibits'!AD2191</f>
        <v/>
      </c>
      <c r="C2191" s="32">
        <f>'20250815_ETF_Options_Exhibits'!AE2191</f>
        <v/>
      </c>
    </row>
    <row r="2192">
      <c r="A2192" s="1">
        <f>'20250815_ETF_Options_Exhibits'!AC2192</f>
        <v/>
      </c>
      <c r="B2192" s="32">
        <f>'20250815_ETF_Options_Exhibits'!AD2192</f>
        <v/>
      </c>
      <c r="C2192" s="32">
        <f>'20250815_ETF_Options_Exhibits'!AE2192</f>
        <v/>
      </c>
    </row>
    <row r="2193">
      <c r="A2193" s="1">
        <f>'20250815_ETF_Options_Exhibits'!AC2193</f>
        <v/>
      </c>
      <c r="B2193" s="32">
        <f>'20250815_ETF_Options_Exhibits'!AD2193</f>
        <v/>
      </c>
      <c r="C2193" s="32">
        <f>'20250815_ETF_Options_Exhibits'!AE2193</f>
        <v/>
      </c>
    </row>
    <row r="2194">
      <c r="A2194" s="1">
        <f>'20250815_ETF_Options_Exhibits'!AC2194</f>
        <v/>
      </c>
      <c r="B2194" s="32">
        <f>'20250815_ETF_Options_Exhibits'!AD2194</f>
        <v/>
      </c>
      <c r="C2194" s="32">
        <f>'20250815_ETF_Options_Exhibits'!AE2194</f>
        <v/>
      </c>
    </row>
    <row r="2195">
      <c r="A2195" s="1">
        <f>'20250815_ETF_Options_Exhibits'!AC2195</f>
        <v/>
      </c>
      <c r="B2195" s="32">
        <f>'20250815_ETF_Options_Exhibits'!AD2195</f>
        <v/>
      </c>
      <c r="C2195" s="32">
        <f>'20250815_ETF_Options_Exhibits'!AE2195</f>
        <v/>
      </c>
    </row>
    <row r="2196">
      <c r="A2196" s="1">
        <f>'20250815_ETF_Options_Exhibits'!AC2196</f>
        <v/>
      </c>
      <c r="B2196" s="32">
        <f>'20250815_ETF_Options_Exhibits'!AD2196</f>
        <v/>
      </c>
      <c r="C2196" s="32">
        <f>'20250815_ETF_Options_Exhibits'!AE2196</f>
        <v/>
      </c>
    </row>
    <row r="2197">
      <c r="A2197" s="1">
        <f>'20250815_ETF_Options_Exhibits'!AC2197</f>
        <v/>
      </c>
      <c r="B2197" s="32">
        <f>'20250815_ETF_Options_Exhibits'!AD2197</f>
        <v/>
      </c>
      <c r="C2197" s="32">
        <f>'20250815_ETF_Options_Exhibits'!AE2197</f>
        <v/>
      </c>
    </row>
    <row r="2198">
      <c r="A2198" s="1">
        <f>'20250815_ETF_Options_Exhibits'!AC2198</f>
        <v/>
      </c>
      <c r="B2198" s="32">
        <f>'20250815_ETF_Options_Exhibits'!AD2198</f>
        <v/>
      </c>
      <c r="C2198" s="32">
        <f>'20250815_ETF_Options_Exhibits'!AE2198</f>
        <v/>
      </c>
    </row>
    <row r="2199">
      <c r="A2199" s="1">
        <f>'20250815_ETF_Options_Exhibits'!AC2199</f>
        <v/>
      </c>
      <c r="B2199" s="32">
        <f>'20250815_ETF_Options_Exhibits'!AD2199</f>
        <v/>
      </c>
      <c r="C2199" s="32">
        <f>'20250815_ETF_Options_Exhibits'!AE2199</f>
        <v/>
      </c>
    </row>
    <row r="2200">
      <c r="A2200" s="1">
        <f>'20250815_ETF_Options_Exhibits'!AC2200</f>
        <v/>
      </c>
      <c r="B2200" s="32">
        <f>'20250815_ETF_Options_Exhibits'!AD2200</f>
        <v/>
      </c>
      <c r="C2200" s="32">
        <f>'20250815_ETF_Options_Exhibits'!AE2200</f>
        <v/>
      </c>
    </row>
    <row r="2201">
      <c r="A2201" s="1">
        <f>'20250815_ETF_Options_Exhibits'!AC2201</f>
        <v/>
      </c>
      <c r="B2201" s="32">
        <f>'20250815_ETF_Options_Exhibits'!AD2201</f>
        <v/>
      </c>
      <c r="C2201" s="32">
        <f>'20250815_ETF_Options_Exhibits'!AE2201</f>
        <v/>
      </c>
    </row>
    <row r="2202">
      <c r="A2202" s="1">
        <f>'20250815_ETF_Options_Exhibits'!AC2202</f>
        <v/>
      </c>
      <c r="B2202" s="32">
        <f>'20250815_ETF_Options_Exhibits'!AD2202</f>
        <v/>
      </c>
      <c r="C2202" s="32">
        <f>'20250815_ETF_Options_Exhibits'!AE2202</f>
        <v/>
      </c>
    </row>
    <row r="2203">
      <c r="A2203" s="1">
        <f>'20250815_ETF_Options_Exhibits'!AC2203</f>
        <v/>
      </c>
      <c r="B2203" s="32">
        <f>'20250815_ETF_Options_Exhibits'!AD2203</f>
        <v/>
      </c>
      <c r="C2203" s="32">
        <f>'20250815_ETF_Options_Exhibits'!AE2203</f>
        <v/>
      </c>
    </row>
    <row r="2204">
      <c r="A2204" s="1">
        <f>'20250815_ETF_Options_Exhibits'!AC2204</f>
        <v/>
      </c>
      <c r="B2204" s="32">
        <f>'20250815_ETF_Options_Exhibits'!AD2204</f>
        <v/>
      </c>
      <c r="C2204" s="32">
        <f>'20250815_ETF_Options_Exhibits'!AE2204</f>
        <v/>
      </c>
    </row>
    <row r="2205">
      <c r="A2205" s="1">
        <f>'20250815_ETF_Options_Exhibits'!AC2205</f>
        <v/>
      </c>
      <c r="B2205" s="32">
        <f>'20250815_ETF_Options_Exhibits'!AD2205</f>
        <v/>
      </c>
      <c r="C2205" s="32">
        <f>'20250815_ETF_Options_Exhibits'!AE2205</f>
        <v/>
      </c>
    </row>
    <row r="2206">
      <c r="A2206" s="1">
        <f>'20250815_ETF_Options_Exhibits'!AC2206</f>
        <v/>
      </c>
      <c r="B2206" s="32">
        <f>'20250815_ETF_Options_Exhibits'!AD2206</f>
        <v/>
      </c>
      <c r="C2206" s="32">
        <f>'20250815_ETF_Options_Exhibits'!AE2206</f>
        <v/>
      </c>
    </row>
    <row r="2207">
      <c r="A2207" s="1">
        <f>'20250815_ETF_Options_Exhibits'!AC2207</f>
        <v/>
      </c>
      <c r="B2207" s="32">
        <f>'20250815_ETF_Options_Exhibits'!AD2207</f>
        <v/>
      </c>
      <c r="C2207" s="32">
        <f>'20250815_ETF_Options_Exhibits'!AE2207</f>
        <v/>
      </c>
    </row>
    <row r="2208">
      <c r="A2208" s="1">
        <f>'20250815_ETF_Options_Exhibits'!AC2208</f>
        <v/>
      </c>
      <c r="B2208" s="32">
        <f>'20250815_ETF_Options_Exhibits'!AD2208</f>
        <v/>
      </c>
      <c r="C2208" s="32">
        <f>'20250815_ETF_Options_Exhibits'!AE2208</f>
        <v/>
      </c>
    </row>
    <row r="2209">
      <c r="A2209" s="1">
        <f>'20250815_ETF_Options_Exhibits'!AC2209</f>
        <v/>
      </c>
      <c r="B2209" s="32">
        <f>'20250815_ETF_Options_Exhibits'!AD2209</f>
        <v/>
      </c>
      <c r="C2209" s="32">
        <f>'20250815_ETF_Options_Exhibits'!AE2209</f>
        <v/>
      </c>
    </row>
    <row r="2210">
      <c r="A2210" s="1">
        <f>'20250815_ETF_Options_Exhibits'!AC2210</f>
        <v/>
      </c>
      <c r="B2210" s="32">
        <f>'20250815_ETF_Options_Exhibits'!AD2210</f>
        <v/>
      </c>
      <c r="C2210" s="32">
        <f>'20250815_ETF_Options_Exhibits'!AE2210</f>
        <v/>
      </c>
    </row>
    <row r="2211">
      <c r="A2211" s="1">
        <f>'20250815_ETF_Options_Exhibits'!AC2211</f>
        <v/>
      </c>
      <c r="B2211" s="32">
        <f>'20250815_ETF_Options_Exhibits'!AD2211</f>
        <v/>
      </c>
      <c r="C2211" s="32">
        <f>'20250815_ETF_Options_Exhibits'!AE2211</f>
        <v/>
      </c>
    </row>
    <row r="2212">
      <c r="A2212" s="1">
        <f>'20250815_ETF_Options_Exhibits'!AC2212</f>
        <v/>
      </c>
      <c r="B2212" s="32">
        <f>'20250815_ETF_Options_Exhibits'!AD2212</f>
        <v/>
      </c>
      <c r="C2212" s="32">
        <f>'20250815_ETF_Options_Exhibits'!AE2212</f>
        <v/>
      </c>
    </row>
    <row r="2213">
      <c r="A2213" s="1">
        <f>'20250815_ETF_Options_Exhibits'!AC2213</f>
        <v/>
      </c>
      <c r="B2213" s="32">
        <f>'20250815_ETF_Options_Exhibits'!AD2213</f>
        <v/>
      </c>
      <c r="C2213" s="32">
        <f>'20250815_ETF_Options_Exhibits'!AE2213</f>
        <v/>
      </c>
    </row>
    <row r="2214">
      <c r="A2214" s="1">
        <f>'20250815_ETF_Options_Exhibits'!AC2214</f>
        <v/>
      </c>
      <c r="B2214" s="32">
        <f>'20250815_ETF_Options_Exhibits'!AD2214</f>
        <v/>
      </c>
      <c r="C2214" s="32">
        <f>'20250815_ETF_Options_Exhibits'!AE2214</f>
        <v/>
      </c>
    </row>
    <row r="2215">
      <c r="A2215" s="1">
        <f>'20250815_ETF_Options_Exhibits'!AC2215</f>
        <v/>
      </c>
      <c r="B2215" s="32">
        <f>'20250815_ETF_Options_Exhibits'!AD2215</f>
        <v/>
      </c>
      <c r="C2215" s="32">
        <f>'20250815_ETF_Options_Exhibits'!AE2215</f>
        <v/>
      </c>
    </row>
    <row r="2216">
      <c r="A2216" s="1">
        <f>'20250815_ETF_Options_Exhibits'!AC2216</f>
        <v/>
      </c>
      <c r="B2216" s="32">
        <f>'20250815_ETF_Options_Exhibits'!AD2216</f>
        <v/>
      </c>
      <c r="C2216" s="32">
        <f>'20250815_ETF_Options_Exhibits'!AE2216</f>
        <v/>
      </c>
    </row>
    <row r="2217">
      <c r="A2217" s="1">
        <f>'20250815_ETF_Options_Exhibits'!AC2217</f>
        <v/>
      </c>
      <c r="B2217" s="32">
        <f>'20250815_ETF_Options_Exhibits'!AD2217</f>
        <v/>
      </c>
      <c r="C2217" s="32">
        <f>'20250815_ETF_Options_Exhibits'!AE2217</f>
        <v/>
      </c>
    </row>
    <row r="2218">
      <c r="A2218" s="1">
        <f>'20250815_ETF_Options_Exhibits'!AC2218</f>
        <v/>
      </c>
      <c r="B2218" s="32">
        <f>'20250815_ETF_Options_Exhibits'!AD2218</f>
        <v/>
      </c>
      <c r="C2218" s="32">
        <f>'20250815_ETF_Options_Exhibits'!AE2218</f>
        <v/>
      </c>
    </row>
    <row r="2219">
      <c r="A2219" s="1">
        <f>'20250815_ETF_Options_Exhibits'!AC2219</f>
        <v/>
      </c>
      <c r="B2219" s="32">
        <f>'20250815_ETF_Options_Exhibits'!AD2219</f>
        <v/>
      </c>
      <c r="C2219" s="32">
        <f>'20250815_ETF_Options_Exhibits'!AE2219</f>
        <v/>
      </c>
    </row>
    <row r="2220">
      <c r="A2220" s="1">
        <f>'20250815_ETF_Options_Exhibits'!AC2220</f>
        <v/>
      </c>
      <c r="B2220" s="32">
        <f>'20250815_ETF_Options_Exhibits'!AD2220</f>
        <v/>
      </c>
      <c r="C2220" s="32">
        <f>'20250815_ETF_Options_Exhibits'!AE2220</f>
        <v/>
      </c>
    </row>
    <row r="2221">
      <c r="A2221" s="1">
        <f>'20250815_ETF_Options_Exhibits'!AC2221</f>
        <v/>
      </c>
      <c r="B2221" s="32">
        <f>'20250815_ETF_Options_Exhibits'!AD2221</f>
        <v/>
      </c>
      <c r="C2221" s="32">
        <f>'20250815_ETF_Options_Exhibits'!AE2221</f>
        <v/>
      </c>
    </row>
    <row r="2222">
      <c r="A2222" s="1">
        <f>'20250815_ETF_Options_Exhibits'!AC2222</f>
        <v/>
      </c>
      <c r="B2222" s="32">
        <f>'20250815_ETF_Options_Exhibits'!AD2222</f>
        <v/>
      </c>
      <c r="C2222" s="32">
        <f>'20250815_ETF_Options_Exhibits'!AE2222</f>
        <v/>
      </c>
    </row>
    <row r="2223">
      <c r="A2223" s="1">
        <f>'20250815_ETF_Options_Exhibits'!AC2223</f>
        <v/>
      </c>
      <c r="B2223" s="32">
        <f>'20250815_ETF_Options_Exhibits'!AD2223</f>
        <v/>
      </c>
      <c r="C2223" s="32">
        <f>'20250815_ETF_Options_Exhibits'!AE2223</f>
        <v/>
      </c>
    </row>
    <row r="2224">
      <c r="A2224" s="1">
        <f>'20250815_ETF_Options_Exhibits'!AC2224</f>
        <v/>
      </c>
      <c r="B2224" s="32">
        <f>'20250815_ETF_Options_Exhibits'!AD2224</f>
        <v/>
      </c>
      <c r="C2224" s="32">
        <f>'20250815_ETF_Options_Exhibits'!AE2224</f>
        <v/>
      </c>
    </row>
    <row r="2225">
      <c r="A2225" s="1">
        <f>'20250815_ETF_Options_Exhibits'!AC2225</f>
        <v/>
      </c>
      <c r="B2225" s="32">
        <f>'20250815_ETF_Options_Exhibits'!AD2225</f>
        <v/>
      </c>
      <c r="C2225" s="32">
        <f>'20250815_ETF_Options_Exhibits'!AE2225</f>
        <v/>
      </c>
    </row>
    <row r="2226">
      <c r="A2226" s="1">
        <f>'20250815_ETF_Options_Exhibits'!AC2226</f>
        <v/>
      </c>
      <c r="B2226" s="32">
        <f>'20250815_ETF_Options_Exhibits'!AD2226</f>
        <v/>
      </c>
      <c r="C2226" s="32">
        <f>'20250815_ETF_Options_Exhibits'!AE2226</f>
        <v/>
      </c>
    </row>
    <row r="2227">
      <c r="A2227" s="1">
        <f>'20250815_ETF_Options_Exhibits'!AC2227</f>
        <v/>
      </c>
      <c r="B2227" s="32">
        <f>'20250815_ETF_Options_Exhibits'!AD2227</f>
        <v/>
      </c>
      <c r="C2227" s="32">
        <f>'20250815_ETF_Options_Exhibits'!AE2227</f>
        <v/>
      </c>
    </row>
    <row r="2228">
      <c r="A2228" s="1">
        <f>'20250815_ETF_Options_Exhibits'!AC2228</f>
        <v/>
      </c>
      <c r="B2228" s="32">
        <f>'20250815_ETF_Options_Exhibits'!AD2228</f>
        <v/>
      </c>
      <c r="C2228" s="32">
        <f>'20250815_ETF_Options_Exhibits'!AE2228</f>
        <v/>
      </c>
    </row>
    <row r="2229">
      <c r="A2229" s="1">
        <f>'20250815_ETF_Options_Exhibits'!AC2229</f>
        <v/>
      </c>
      <c r="B2229" s="32">
        <f>'20250815_ETF_Options_Exhibits'!AD2229</f>
        <v/>
      </c>
      <c r="C2229" s="32">
        <f>'20250815_ETF_Options_Exhibits'!AE2229</f>
        <v/>
      </c>
    </row>
    <row r="2230">
      <c r="A2230" s="1">
        <f>'20250815_ETF_Options_Exhibits'!AC2230</f>
        <v/>
      </c>
      <c r="B2230" s="32">
        <f>'20250815_ETF_Options_Exhibits'!AD2230</f>
        <v/>
      </c>
      <c r="C2230" s="32">
        <f>'20250815_ETF_Options_Exhibits'!AE2230</f>
        <v/>
      </c>
    </row>
    <row r="2231">
      <c r="A2231" s="1">
        <f>'20250815_ETF_Options_Exhibits'!AC2231</f>
        <v/>
      </c>
      <c r="B2231" s="32">
        <f>'20250815_ETF_Options_Exhibits'!AD2231</f>
        <v/>
      </c>
      <c r="C2231" s="32">
        <f>'20250815_ETF_Options_Exhibits'!AE2231</f>
        <v/>
      </c>
    </row>
    <row r="2232">
      <c r="A2232" s="1">
        <f>'20250815_ETF_Options_Exhibits'!AC2232</f>
        <v/>
      </c>
      <c r="B2232" s="32">
        <f>'20250815_ETF_Options_Exhibits'!AD2232</f>
        <v/>
      </c>
      <c r="C2232" s="32">
        <f>'20250815_ETF_Options_Exhibits'!AE2232</f>
        <v/>
      </c>
    </row>
    <row r="2233">
      <c r="A2233" s="1">
        <f>'20250815_ETF_Options_Exhibits'!AC2233</f>
        <v/>
      </c>
      <c r="B2233" s="32">
        <f>'20250815_ETF_Options_Exhibits'!AD2233</f>
        <v/>
      </c>
      <c r="C2233" s="32">
        <f>'20250815_ETF_Options_Exhibits'!AE2233</f>
        <v/>
      </c>
    </row>
    <row r="2234">
      <c r="A2234" s="1">
        <f>'20250815_ETF_Options_Exhibits'!AC2234</f>
        <v/>
      </c>
      <c r="B2234" s="32">
        <f>'20250815_ETF_Options_Exhibits'!AD2234</f>
        <v/>
      </c>
      <c r="C2234" s="32">
        <f>'20250815_ETF_Options_Exhibits'!AE2234</f>
        <v/>
      </c>
    </row>
    <row r="2235">
      <c r="A2235" s="1">
        <f>'20250815_ETF_Options_Exhibits'!AC2235</f>
        <v/>
      </c>
      <c r="B2235" s="32">
        <f>'20250815_ETF_Options_Exhibits'!AD2235</f>
        <v/>
      </c>
      <c r="C2235" s="32">
        <f>'20250815_ETF_Options_Exhibits'!AE2235</f>
        <v/>
      </c>
    </row>
    <row r="2236">
      <c r="A2236" s="1">
        <f>'20250815_ETF_Options_Exhibits'!AC2236</f>
        <v/>
      </c>
      <c r="B2236" s="32">
        <f>'20250815_ETF_Options_Exhibits'!AD2236</f>
        <v/>
      </c>
      <c r="C2236" s="32">
        <f>'20250815_ETF_Options_Exhibits'!AE2236</f>
        <v/>
      </c>
    </row>
    <row r="2237">
      <c r="A2237" s="1">
        <f>'20250815_ETF_Options_Exhibits'!AC2237</f>
        <v/>
      </c>
      <c r="B2237" s="32">
        <f>'20250815_ETF_Options_Exhibits'!AD2237</f>
        <v/>
      </c>
      <c r="C2237" s="32">
        <f>'20250815_ETF_Options_Exhibits'!AE2237</f>
        <v/>
      </c>
    </row>
    <row r="2238">
      <c r="A2238" s="1">
        <f>'20250815_ETF_Options_Exhibits'!AC2238</f>
        <v/>
      </c>
      <c r="B2238" s="32">
        <f>'20250815_ETF_Options_Exhibits'!AD2238</f>
        <v/>
      </c>
      <c r="C2238" s="32">
        <f>'20250815_ETF_Options_Exhibits'!AE2238</f>
        <v/>
      </c>
    </row>
    <row r="2239">
      <c r="A2239" s="1">
        <f>'20250815_ETF_Options_Exhibits'!AC2239</f>
        <v/>
      </c>
      <c r="B2239" s="32">
        <f>'20250815_ETF_Options_Exhibits'!AD2239</f>
        <v/>
      </c>
      <c r="C2239" s="32">
        <f>'20250815_ETF_Options_Exhibits'!AE2239</f>
        <v/>
      </c>
    </row>
    <row r="2240">
      <c r="A2240" s="1">
        <f>'20250815_ETF_Options_Exhibits'!AC2240</f>
        <v/>
      </c>
      <c r="B2240" s="32">
        <f>'20250815_ETF_Options_Exhibits'!AD2240</f>
        <v/>
      </c>
      <c r="C2240" s="32">
        <f>'20250815_ETF_Options_Exhibits'!AE2240</f>
        <v/>
      </c>
    </row>
    <row r="2241">
      <c r="A2241" s="1">
        <f>'20250815_ETF_Options_Exhibits'!AC2241</f>
        <v/>
      </c>
      <c r="B2241" s="32">
        <f>'20250815_ETF_Options_Exhibits'!AD2241</f>
        <v/>
      </c>
      <c r="C2241" s="32">
        <f>'20250815_ETF_Options_Exhibits'!AE2241</f>
        <v/>
      </c>
    </row>
    <row r="2242">
      <c r="A2242" s="1">
        <f>'20250815_ETF_Options_Exhibits'!AC2242</f>
        <v/>
      </c>
      <c r="B2242" s="32">
        <f>'20250815_ETF_Options_Exhibits'!AD2242</f>
        <v/>
      </c>
      <c r="C2242" s="32">
        <f>'20250815_ETF_Options_Exhibits'!AE2242</f>
        <v/>
      </c>
    </row>
    <row r="2243">
      <c r="A2243" s="1">
        <f>'20250815_ETF_Options_Exhibits'!AC2243</f>
        <v/>
      </c>
      <c r="B2243" s="32">
        <f>'20250815_ETF_Options_Exhibits'!AD2243</f>
        <v/>
      </c>
      <c r="C2243" s="32">
        <f>'20250815_ETF_Options_Exhibits'!AE2243</f>
        <v/>
      </c>
    </row>
    <row r="2244">
      <c r="A2244" s="1">
        <f>'20250815_ETF_Options_Exhibits'!AC2244</f>
        <v/>
      </c>
      <c r="B2244" s="32">
        <f>'20250815_ETF_Options_Exhibits'!AD2244</f>
        <v/>
      </c>
      <c r="C2244" s="32">
        <f>'20250815_ETF_Options_Exhibits'!AE2244</f>
        <v/>
      </c>
    </row>
    <row r="2245">
      <c r="A2245" s="1">
        <f>'20250815_ETF_Options_Exhibits'!AC2245</f>
        <v/>
      </c>
      <c r="B2245" s="32">
        <f>'20250815_ETF_Options_Exhibits'!AD2245</f>
        <v/>
      </c>
      <c r="C2245" s="32">
        <f>'20250815_ETF_Options_Exhibits'!AE2245</f>
        <v/>
      </c>
    </row>
    <row r="2246">
      <c r="A2246" s="1">
        <f>'20250815_ETF_Options_Exhibits'!AC2246</f>
        <v/>
      </c>
      <c r="B2246" s="32">
        <f>'20250815_ETF_Options_Exhibits'!AD2246</f>
        <v/>
      </c>
      <c r="C2246" s="32">
        <f>'20250815_ETF_Options_Exhibits'!AE2246</f>
        <v/>
      </c>
    </row>
    <row r="2247">
      <c r="A2247" s="1">
        <f>'20250815_ETF_Options_Exhibits'!AC2247</f>
        <v/>
      </c>
      <c r="B2247" s="32">
        <f>'20250815_ETF_Options_Exhibits'!AD2247</f>
        <v/>
      </c>
      <c r="C2247" s="32">
        <f>'20250815_ETF_Options_Exhibits'!AE2247</f>
        <v/>
      </c>
    </row>
    <row r="2248">
      <c r="A2248" s="1">
        <f>'20250815_ETF_Options_Exhibits'!AC2248</f>
        <v/>
      </c>
      <c r="B2248" s="32">
        <f>'20250815_ETF_Options_Exhibits'!AD2248</f>
        <v/>
      </c>
      <c r="C2248" s="32">
        <f>'20250815_ETF_Options_Exhibits'!AE2248</f>
        <v/>
      </c>
    </row>
    <row r="2249">
      <c r="A2249" s="1">
        <f>'20250815_ETF_Options_Exhibits'!AC2249</f>
        <v/>
      </c>
      <c r="B2249" s="32">
        <f>'20250815_ETF_Options_Exhibits'!AD2249</f>
        <v/>
      </c>
      <c r="C2249" s="32">
        <f>'20250815_ETF_Options_Exhibits'!AE2249</f>
        <v/>
      </c>
    </row>
    <row r="2250">
      <c r="A2250" s="1">
        <f>'20250815_ETF_Options_Exhibits'!AC2250</f>
        <v/>
      </c>
      <c r="B2250" s="32">
        <f>'20250815_ETF_Options_Exhibits'!AD2250</f>
        <v/>
      </c>
      <c r="C2250" s="32">
        <f>'20250815_ETF_Options_Exhibits'!AE2250</f>
        <v/>
      </c>
    </row>
    <row r="2251">
      <c r="A2251" s="1">
        <f>'20250815_ETF_Options_Exhibits'!AC2251</f>
        <v/>
      </c>
      <c r="B2251" s="32">
        <f>'20250815_ETF_Options_Exhibits'!AD2251</f>
        <v/>
      </c>
      <c r="C2251" s="32">
        <f>'20250815_ETF_Options_Exhibits'!AE2251</f>
        <v/>
      </c>
    </row>
    <row r="2252">
      <c r="A2252" s="1">
        <f>'20250815_ETF_Options_Exhibits'!AC2252</f>
        <v/>
      </c>
      <c r="B2252" s="32">
        <f>'20250815_ETF_Options_Exhibits'!AD2252</f>
        <v/>
      </c>
      <c r="C2252" s="32">
        <f>'20250815_ETF_Options_Exhibits'!AE2252</f>
        <v/>
      </c>
    </row>
    <row r="2253">
      <c r="A2253" s="1">
        <f>'20250815_ETF_Options_Exhibits'!AC2253</f>
        <v/>
      </c>
      <c r="B2253" s="32">
        <f>'20250815_ETF_Options_Exhibits'!AD2253</f>
        <v/>
      </c>
      <c r="C2253" s="32">
        <f>'20250815_ETF_Options_Exhibits'!AE2253</f>
        <v/>
      </c>
    </row>
    <row r="2254">
      <c r="A2254" s="1">
        <f>'20250815_ETF_Options_Exhibits'!AC2254</f>
        <v/>
      </c>
      <c r="B2254" s="32">
        <f>'20250815_ETF_Options_Exhibits'!AD2254</f>
        <v/>
      </c>
      <c r="C2254" s="32">
        <f>'20250815_ETF_Options_Exhibits'!AE2254</f>
        <v/>
      </c>
    </row>
    <row r="2255">
      <c r="A2255" s="1">
        <f>'20250815_ETF_Options_Exhibits'!AC2255</f>
        <v/>
      </c>
      <c r="B2255" s="32">
        <f>'20250815_ETF_Options_Exhibits'!AD2255</f>
        <v/>
      </c>
      <c r="C2255" s="32">
        <f>'20250815_ETF_Options_Exhibits'!AE2255</f>
        <v/>
      </c>
    </row>
    <row r="2256">
      <c r="A2256" s="1">
        <f>'20250815_ETF_Options_Exhibits'!AC2256</f>
        <v/>
      </c>
      <c r="B2256" s="32">
        <f>'20250815_ETF_Options_Exhibits'!AD2256</f>
        <v/>
      </c>
      <c r="C2256" s="32">
        <f>'20250815_ETF_Options_Exhibits'!AE2256</f>
        <v/>
      </c>
    </row>
    <row r="2257">
      <c r="A2257" s="1">
        <f>'20250815_ETF_Options_Exhibits'!AC2257</f>
        <v/>
      </c>
      <c r="B2257" s="32">
        <f>'20250815_ETF_Options_Exhibits'!AD2257</f>
        <v/>
      </c>
      <c r="C2257" s="32">
        <f>'20250815_ETF_Options_Exhibits'!AE2257</f>
        <v/>
      </c>
    </row>
    <row r="2258">
      <c r="A2258" s="1">
        <f>'20250815_ETF_Options_Exhibits'!AC2258</f>
        <v/>
      </c>
      <c r="B2258" s="32">
        <f>'20250815_ETF_Options_Exhibits'!AD2258</f>
        <v/>
      </c>
      <c r="C2258" s="32">
        <f>'20250815_ETF_Options_Exhibits'!AE2258</f>
        <v/>
      </c>
    </row>
    <row r="2259">
      <c r="A2259" s="1">
        <f>'20250815_ETF_Options_Exhibits'!AC2259</f>
        <v/>
      </c>
      <c r="B2259" s="32">
        <f>'20250815_ETF_Options_Exhibits'!AD2259</f>
        <v/>
      </c>
      <c r="C2259" s="32">
        <f>'20250815_ETF_Options_Exhibits'!AE2259</f>
        <v/>
      </c>
    </row>
    <row r="2260">
      <c r="A2260" s="1">
        <f>'20250815_ETF_Options_Exhibits'!AC2260</f>
        <v/>
      </c>
      <c r="B2260" s="32">
        <f>'20250815_ETF_Options_Exhibits'!AD2260</f>
        <v/>
      </c>
      <c r="C2260" s="32">
        <f>'20250815_ETF_Options_Exhibits'!AE2260</f>
        <v/>
      </c>
    </row>
    <row r="2261">
      <c r="A2261" s="1">
        <f>'20250815_ETF_Options_Exhibits'!AC2261</f>
        <v/>
      </c>
      <c r="B2261" s="32">
        <f>'20250815_ETF_Options_Exhibits'!AD2261</f>
        <v/>
      </c>
      <c r="C2261" s="32">
        <f>'20250815_ETF_Options_Exhibits'!AE2261</f>
        <v/>
      </c>
    </row>
    <row r="2262">
      <c r="A2262" s="1">
        <f>'20250815_ETF_Options_Exhibits'!AC2262</f>
        <v/>
      </c>
      <c r="B2262" s="32">
        <f>'20250815_ETF_Options_Exhibits'!AD2262</f>
        <v/>
      </c>
      <c r="C2262" s="32">
        <f>'20250815_ETF_Options_Exhibits'!AE2262</f>
        <v/>
      </c>
    </row>
    <row r="2263">
      <c r="A2263" s="1">
        <f>'20250815_ETF_Options_Exhibits'!AC2263</f>
        <v/>
      </c>
      <c r="B2263" s="32">
        <f>'20250815_ETF_Options_Exhibits'!AD2263</f>
        <v/>
      </c>
      <c r="C2263" s="32">
        <f>'20250815_ETF_Options_Exhibits'!AE2263</f>
        <v/>
      </c>
    </row>
    <row r="2264">
      <c r="A2264" s="1">
        <f>'20250815_ETF_Options_Exhibits'!AC2264</f>
        <v/>
      </c>
      <c r="B2264" s="32">
        <f>'20250815_ETF_Options_Exhibits'!AD2264</f>
        <v/>
      </c>
      <c r="C2264" s="32">
        <f>'20250815_ETF_Options_Exhibits'!AE2264</f>
        <v/>
      </c>
    </row>
    <row r="2265">
      <c r="A2265" s="1">
        <f>'20250815_ETF_Options_Exhibits'!AC2265</f>
        <v/>
      </c>
      <c r="B2265" s="32">
        <f>'20250815_ETF_Options_Exhibits'!AD2265</f>
        <v/>
      </c>
      <c r="C2265" s="32">
        <f>'20250815_ETF_Options_Exhibits'!AE2265</f>
        <v/>
      </c>
    </row>
    <row r="2266">
      <c r="A2266" s="1">
        <f>'20250815_ETF_Options_Exhibits'!AC2266</f>
        <v/>
      </c>
      <c r="B2266" s="32">
        <f>'20250815_ETF_Options_Exhibits'!AD2266</f>
        <v/>
      </c>
      <c r="C2266" s="32">
        <f>'20250815_ETF_Options_Exhibits'!AE2266</f>
        <v/>
      </c>
    </row>
    <row r="2267">
      <c r="A2267" s="1">
        <f>'20250815_ETF_Options_Exhibits'!AC2267</f>
        <v/>
      </c>
      <c r="B2267" s="32">
        <f>'20250815_ETF_Options_Exhibits'!AD2267</f>
        <v/>
      </c>
      <c r="C2267" s="32">
        <f>'20250815_ETF_Options_Exhibits'!AE2267</f>
        <v/>
      </c>
    </row>
    <row r="2268">
      <c r="A2268" s="1">
        <f>'20250815_ETF_Options_Exhibits'!AC2268</f>
        <v/>
      </c>
      <c r="B2268" s="32">
        <f>'20250815_ETF_Options_Exhibits'!AD2268</f>
        <v/>
      </c>
      <c r="C2268" s="32">
        <f>'20250815_ETF_Options_Exhibits'!AE2268</f>
        <v/>
      </c>
    </row>
    <row r="2269">
      <c r="A2269" s="1">
        <f>'20250815_ETF_Options_Exhibits'!AC2269</f>
        <v/>
      </c>
      <c r="B2269" s="32">
        <f>'20250815_ETF_Options_Exhibits'!AD2269</f>
        <v/>
      </c>
      <c r="C2269" s="32">
        <f>'20250815_ETF_Options_Exhibits'!AE2269</f>
        <v/>
      </c>
    </row>
    <row r="2270">
      <c r="A2270" s="1">
        <f>'20250815_ETF_Options_Exhibits'!AC2270</f>
        <v/>
      </c>
      <c r="B2270" s="32">
        <f>'20250815_ETF_Options_Exhibits'!AD2270</f>
        <v/>
      </c>
      <c r="C2270" s="32">
        <f>'20250815_ETF_Options_Exhibits'!AE2270</f>
        <v/>
      </c>
    </row>
    <row r="2271">
      <c r="A2271" s="1">
        <f>'20250815_ETF_Options_Exhibits'!AC2271</f>
        <v/>
      </c>
      <c r="B2271" s="32">
        <f>'20250815_ETF_Options_Exhibits'!AD2271</f>
        <v/>
      </c>
      <c r="C2271" s="32">
        <f>'20250815_ETF_Options_Exhibits'!AE2271</f>
        <v/>
      </c>
    </row>
    <row r="2272">
      <c r="A2272" s="1">
        <f>'20250815_ETF_Options_Exhibits'!AC2272</f>
        <v/>
      </c>
      <c r="B2272" s="32">
        <f>'20250815_ETF_Options_Exhibits'!AD2272</f>
        <v/>
      </c>
      <c r="C2272" s="32">
        <f>'20250815_ETF_Options_Exhibits'!AE2272</f>
        <v/>
      </c>
    </row>
    <row r="2273">
      <c r="A2273" s="1">
        <f>'20250815_ETF_Options_Exhibits'!AC2273</f>
        <v/>
      </c>
      <c r="B2273" s="32">
        <f>'20250815_ETF_Options_Exhibits'!AD2273</f>
        <v/>
      </c>
      <c r="C2273" s="32">
        <f>'20250815_ETF_Options_Exhibits'!AE2273</f>
        <v/>
      </c>
    </row>
    <row r="2274">
      <c r="A2274" s="1">
        <f>'20250815_ETF_Options_Exhibits'!AC2274</f>
        <v/>
      </c>
      <c r="B2274" s="32">
        <f>'20250815_ETF_Options_Exhibits'!AD2274</f>
        <v/>
      </c>
      <c r="C2274" s="32">
        <f>'20250815_ETF_Options_Exhibits'!AE2274</f>
        <v/>
      </c>
    </row>
    <row r="2275">
      <c r="A2275" s="1">
        <f>'20250815_ETF_Options_Exhibits'!AC2275</f>
        <v/>
      </c>
      <c r="B2275" s="32">
        <f>'20250815_ETF_Options_Exhibits'!AD2275</f>
        <v/>
      </c>
      <c r="C2275" s="32">
        <f>'20250815_ETF_Options_Exhibits'!AE2275</f>
        <v/>
      </c>
    </row>
    <row r="2276">
      <c r="A2276" s="1">
        <f>'20250815_ETF_Options_Exhibits'!AC2276</f>
        <v/>
      </c>
      <c r="B2276" s="32">
        <f>'20250815_ETF_Options_Exhibits'!AD2276</f>
        <v/>
      </c>
      <c r="C2276" s="32">
        <f>'20250815_ETF_Options_Exhibits'!AE2276</f>
        <v/>
      </c>
    </row>
    <row r="2277">
      <c r="A2277" s="1">
        <f>'20250815_ETF_Options_Exhibits'!AC2277</f>
        <v/>
      </c>
      <c r="B2277" s="32">
        <f>'20250815_ETF_Options_Exhibits'!AD2277</f>
        <v/>
      </c>
      <c r="C2277" s="32">
        <f>'20250815_ETF_Options_Exhibits'!AE2277</f>
        <v/>
      </c>
    </row>
    <row r="2278">
      <c r="A2278" s="1">
        <f>'20250815_ETF_Options_Exhibits'!AC2278</f>
        <v/>
      </c>
      <c r="B2278" s="32">
        <f>'20250815_ETF_Options_Exhibits'!AD2278</f>
        <v/>
      </c>
      <c r="C2278" s="32">
        <f>'20250815_ETF_Options_Exhibits'!AE2278</f>
        <v/>
      </c>
    </row>
    <row r="2279">
      <c r="A2279" s="1">
        <f>'20250815_ETF_Options_Exhibits'!AC2279</f>
        <v/>
      </c>
      <c r="B2279" s="32">
        <f>'20250815_ETF_Options_Exhibits'!AD2279</f>
        <v/>
      </c>
      <c r="C2279" s="32">
        <f>'20250815_ETF_Options_Exhibits'!AE2279</f>
        <v/>
      </c>
    </row>
    <row r="2280">
      <c r="A2280" s="1">
        <f>'20250815_ETF_Options_Exhibits'!AC2280</f>
        <v/>
      </c>
      <c r="B2280" s="32">
        <f>'20250815_ETF_Options_Exhibits'!AD2280</f>
        <v/>
      </c>
      <c r="C2280" s="32">
        <f>'20250815_ETF_Options_Exhibits'!AE2280</f>
        <v/>
      </c>
    </row>
    <row r="2281">
      <c r="A2281" s="1">
        <f>'20250815_ETF_Options_Exhibits'!AC2281</f>
        <v/>
      </c>
      <c r="B2281" s="32">
        <f>'20250815_ETF_Options_Exhibits'!AD2281</f>
        <v/>
      </c>
      <c r="C2281" s="32">
        <f>'20250815_ETF_Options_Exhibits'!AE2281</f>
        <v/>
      </c>
    </row>
    <row r="2282">
      <c r="A2282" s="1">
        <f>'20250815_ETF_Options_Exhibits'!AC2282</f>
        <v/>
      </c>
      <c r="B2282" s="32">
        <f>'20250815_ETF_Options_Exhibits'!AD2282</f>
        <v/>
      </c>
      <c r="C2282" s="32">
        <f>'20250815_ETF_Options_Exhibits'!AE2282</f>
        <v/>
      </c>
    </row>
    <row r="2283">
      <c r="A2283" s="1">
        <f>'20250815_ETF_Options_Exhibits'!AC2283</f>
        <v/>
      </c>
      <c r="B2283" s="32">
        <f>'20250815_ETF_Options_Exhibits'!AD2283</f>
        <v/>
      </c>
      <c r="C2283" s="32">
        <f>'20250815_ETF_Options_Exhibits'!AE2283</f>
        <v/>
      </c>
    </row>
    <row r="2284">
      <c r="A2284" s="1">
        <f>'20250815_ETF_Options_Exhibits'!AC2284</f>
        <v/>
      </c>
      <c r="B2284" s="32">
        <f>'20250815_ETF_Options_Exhibits'!AD2284</f>
        <v/>
      </c>
      <c r="C2284" s="32">
        <f>'20250815_ETF_Options_Exhibits'!AE2284</f>
        <v/>
      </c>
    </row>
    <row r="2285">
      <c r="A2285" s="1">
        <f>'20250815_ETF_Options_Exhibits'!AC2285</f>
        <v/>
      </c>
      <c r="B2285" s="32">
        <f>'20250815_ETF_Options_Exhibits'!AD2285</f>
        <v/>
      </c>
      <c r="C2285" s="32">
        <f>'20250815_ETF_Options_Exhibits'!AE2285</f>
        <v/>
      </c>
    </row>
    <row r="2286">
      <c r="A2286" s="1">
        <f>'20250815_ETF_Options_Exhibits'!AC2286</f>
        <v/>
      </c>
      <c r="B2286" s="32">
        <f>'20250815_ETF_Options_Exhibits'!AD2286</f>
        <v/>
      </c>
      <c r="C2286" s="32">
        <f>'20250815_ETF_Options_Exhibits'!AE2286</f>
        <v/>
      </c>
    </row>
    <row r="2287">
      <c r="A2287" s="1">
        <f>'20250815_ETF_Options_Exhibits'!AC2287</f>
        <v/>
      </c>
      <c r="B2287" s="32">
        <f>'20250815_ETF_Options_Exhibits'!AD2287</f>
        <v/>
      </c>
      <c r="C2287" s="32">
        <f>'20250815_ETF_Options_Exhibits'!AE2287</f>
        <v/>
      </c>
    </row>
    <row r="2288">
      <c r="A2288" s="1">
        <f>'20250815_ETF_Options_Exhibits'!AC2288</f>
        <v/>
      </c>
      <c r="B2288" s="32">
        <f>'20250815_ETF_Options_Exhibits'!AD2288</f>
        <v/>
      </c>
      <c r="C2288" s="32">
        <f>'20250815_ETF_Options_Exhibits'!AE2288</f>
        <v/>
      </c>
    </row>
    <row r="2289">
      <c r="A2289" s="1">
        <f>'20250815_ETF_Options_Exhibits'!AC2289</f>
        <v/>
      </c>
      <c r="B2289" s="32">
        <f>'20250815_ETF_Options_Exhibits'!AD2289</f>
        <v/>
      </c>
      <c r="C2289" s="32">
        <f>'20250815_ETF_Options_Exhibits'!AE2289</f>
        <v/>
      </c>
    </row>
    <row r="2290">
      <c r="A2290" s="1">
        <f>'20250815_ETF_Options_Exhibits'!AC2290</f>
        <v/>
      </c>
      <c r="B2290" s="32">
        <f>'20250815_ETF_Options_Exhibits'!AD2290</f>
        <v/>
      </c>
      <c r="C2290" s="32">
        <f>'20250815_ETF_Options_Exhibits'!AE2290</f>
        <v/>
      </c>
    </row>
    <row r="2291">
      <c r="A2291" s="1">
        <f>'20250815_ETF_Options_Exhibits'!AC2291</f>
        <v/>
      </c>
      <c r="B2291" s="32">
        <f>'20250815_ETF_Options_Exhibits'!AD2291</f>
        <v/>
      </c>
      <c r="C2291" s="32">
        <f>'20250815_ETF_Options_Exhibits'!AE2291</f>
        <v/>
      </c>
    </row>
    <row r="2292">
      <c r="A2292" s="1">
        <f>'20250815_ETF_Options_Exhibits'!AC2292</f>
        <v/>
      </c>
      <c r="B2292" s="32">
        <f>'20250815_ETF_Options_Exhibits'!AD2292</f>
        <v/>
      </c>
      <c r="C2292" s="32">
        <f>'20250815_ETF_Options_Exhibits'!AE2292</f>
        <v/>
      </c>
    </row>
    <row r="2293">
      <c r="A2293" s="1">
        <f>'20250815_ETF_Options_Exhibits'!AC2293</f>
        <v/>
      </c>
      <c r="B2293" s="32">
        <f>'20250815_ETF_Options_Exhibits'!AD2293</f>
        <v/>
      </c>
      <c r="C2293" s="32">
        <f>'20250815_ETF_Options_Exhibits'!AE2293</f>
        <v/>
      </c>
    </row>
    <row r="2294">
      <c r="A2294" s="1">
        <f>'20250815_ETF_Options_Exhibits'!AC2294</f>
        <v/>
      </c>
      <c r="B2294" s="32">
        <f>'20250815_ETF_Options_Exhibits'!AD2294</f>
        <v/>
      </c>
      <c r="C2294" s="32">
        <f>'20250815_ETF_Options_Exhibits'!AE2294</f>
        <v/>
      </c>
    </row>
    <row r="2295">
      <c r="A2295" s="1">
        <f>'20250815_ETF_Options_Exhibits'!AC2295</f>
        <v/>
      </c>
      <c r="B2295" s="32">
        <f>'20250815_ETF_Options_Exhibits'!AD2295</f>
        <v/>
      </c>
      <c r="C2295" s="32">
        <f>'20250815_ETF_Options_Exhibits'!AE2295</f>
        <v/>
      </c>
    </row>
    <row r="2296">
      <c r="A2296" s="1">
        <f>'20250815_ETF_Options_Exhibits'!AC2296</f>
        <v/>
      </c>
      <c r="B2296" s="32">
        <f>'20250815_ETF_Options_Exhibits'!AD2296</f>
        <v/>
      </c>
      <c r="C2296" s="32">
        <f>'20250815_ETF_Options_Exhibits'!AE2296</f>
        <v/>
      </c>
    </row>
    <row r="2297">
      <c r="A2297" s="1">
        <f>'20250815_ETF_Options_Exhibits'!AC2297</f>
        <v/>
      </c>
      <c r="B2297" s="32">
        <f>'20250815_ETF_Options_Exhibits'!AD2297</f>
        <v/>
      </c>
      <c r="C2297" s="32">
        <f>'20250815_ETF_Options_Exhibits'!AE2297</f>
        <v/>
      </c>
    </row>
    <row r="2298">
      <c r="A2298" s="1">
        <f>'20250815_ETF_Options_Exhibits'!AC2298</f>
        <v/>
      </c>
      <c r="B2298" s="32">
        <f>'20250815_ETF_Options_Exhibits'!AD2298</f>
        <v/>
      </c>
      <c r="C2298" s="32">
        <f>'20250815_ETF_Options_Exhibits'!AE2298</f>
        <v/>
      </c>
    </row>
    <row r="2299">
      <c r="A2299" s="1">
        <f>'20250815_ETF_Options_Exhibits'!AC2299</f>
        <v/>
      </c>
      <c r="B2299" s="32">
        <f>'20250815_ETF_Options_Exhibits'!AD2299</f>
        <v/>
      </c>
      <c r="C2299" s="32">
        <f>'20250815_ETF_Options_Exhibits'!AE2299</f>
        <v/>
      </c>
    </row>
    <row r="2300">
      <c r="A2300" s="1">
        <f>'20250815_ETF_Options_Exhibits'!AC2300</f>
        <v/>
      </c>
      <c r="B2300" s="32">
        <f>'20250815_ETF_Options_Exhibits'!AD2300</f>
        <v/>
      </c>
      <c r="C2300" s="32">
        <f>'20250815_ETF_Options_Exhibits'!AE2300</f>
        <v/>
      </c>
    </row>
    <row r="2301">
      <c r="A2301" s="1">
        <f>'20250815_ETF_Options_Exhibits'!AC2301</f>
        <v/>
      </c>
      <c r="B2301" s="32">
        <f>'20250815_ETF_Options_Exhibits'!AD2301</f>
        <v/>
      </c>
      <c r="C2301" s="32">
        <f>'20250815_ETF_Options_Exhibits'!AE2301</f>
        <v/>
      </c>
    </row>
    <row r="2302">
      <c r="A2302" s="1">
        <f>'20250815_ETF_Options_Exhibits'!AC2302</f>
        <v/>
      </c>
      <c r="B2302" s="32">
        <f>'20250815_ETF_Options_Exhibits'!AD2302</f>
        <v/>
      </c>
      <c r="C2302" s="32">
        <f>'20250815_ETF_Options_Exhibits'!AE2302</f>
        <v/>
      </c>
    </row>
    <row r="2303">
      <c r="A2303" s="1">
        <f>'20250815_ETF_Options_Exhibits'!AC2303</f>
        <v/>
      </c>
      <c r="B2303" s="32">
        <f>'20250815_ETF_Options_Exhibits'!AD2303</f>
        <v/>
      </c>
      <c r="C2303" s="32">
        <f>'20250815_ETF_Options_Exhibits'!AE2303</f>
        <v/>
      </c>
    </row>
    <row r="2304">
      <c r="A2304" s="1">
        <f>'20250815_ETF_Options_Exhibits'!AC2304</f>
        <v/>
      </c>
      <c r="B2304" s="32">
        <f>'20250815_ETF_Options_Exhibits'!AD2304</f>
        <v/>
      </c>
      <c r="C2304" s="32">
        <f>'20250815_ETF_Options_Exhibits'!AE2304</f>
        <v/>
      </c>
    </row>
    <row r="2305">
      <c r="A2305" s="1">
        <f>'20250815_ETF_Options_Exhibits'!AC2305</f>
        <v/>
      </c>
      <c r="B2305" s="32">
        <f>'20250815_ETF_Options_Exhibits'!AD2305</f>
        <v/>
      </c>
      <c r="C2305" s="32">
        <f>'20250815_ETF_Options_Exhibits'!AE2305</f>
        <v/>
      </c>
    </row>
    <row r="2306">
      <c r="A2306" s="1">
        <f>'20250815_ETF_Options_Exhibits'!AC2306</f>
        <v/>
      </c>
      <c r="B2306" s="32">
        <f>'20250815_ETF_Options_Exhibits'!AD2306</f>
        <v/>
      </c>
      <c r="C2306" s="32">
        <f>'20250815_ETF_Options_Exhibits'!AE2306</f>
        <v/>
      </c>
    </row>
    <row r="2307">
      <c r="A2307" s="1">
        <f>'20250815_ETF_Options_Exhibits'!AC2307</f>
        <v/>
      </c>
      <c r="B2307" s="32">
        <f>'20250815_ETF_Options_Exhibits'!AD2307</f>
        <v/>
      </c>
      <c r="C2307" s="32">
        <f>'20250815_ETF_Options_Exhibits'!AE2307</f>
        <v/>
      </c>
    </row>
    <row r="2308">
      <c r="A2308" s="1">
        <f>'20250815_ETF_Options_Exhibits'!AC2308</f>
        <v/>
      </c>
      <c r="B2308" s="32">
        <f>'20250815_ETF_Options_Exhibits'!AD2308</f>
        <v/>
      </c>
      <c r="C2308" s="32">
        <f>'20250815_ETF_Options_Exhibits'!AE2308</f>
        <v/>
      </c>
    </row>
    <row r="2309">
      <c r="A2309" s="1">
        <f>'20250815_ETF_Options_Exhibits'!AC2309</f>
        <v/>
      </c>
      <c r="B2309" s="32">
        <f>'20250815_ETF_Options_Exhibits'!AD2309</f>
        <v/>
      </c>
      <c r="C2309" s="32">
        <f>'20250815_ETF_Options_Exhibits'!AE2309</f>
        <v/>
      </c>
    </row>
    <row r="2310">
      <c r="A2310" s="1">
        <f>'20250815_ETF_Options_Exhibits'!AC2310</f>
        <v/>
      </c>
      <c r="B2310" s="32">
        <f>'20250815_ETF_Options_Exhibits'!AD2310</f>
        <v/>
      </c>
      <c r="C2310" s="32">
        <f>'20250815_ETF_Options_Exhibits'!AE2310</f>
        <v/>
      </c>
    </row>
    <row r="2311">
      <c r="A2311" s="1">
        <f>'20250815_ETF_Options_Exhibits'!AC2311</f>
        <v/>
      </c>
      <c r="B2311" s="32">
        <f>'20250815_ETF_Options_Exhibits'!AD2311</f>
        <v/>
      </c>
      <c r="C2311" s="32">
        <f>'20250815_ETF_Options_Exhibits'!AE2311</f>
        <v/>
      </c>
    </row>
    <row r="2312">
      <c r="A2312" s="1">
        <f>'20250815_ETF_Options_Exhibits'!AC2312</f>
        <v/>
      </c>
      <c r="B2312" s="32">
        <f>'20250815_ETF_Options_Exhibits'!AD2312</f>
        <v/>
      </c>
      <c r="C2312" s="32">
        <f>'20250815_ETF_Options_Exhibits'!AE2312</f>
        <v/>
      </c>
    </row>
    <row r="2313">
      <c r="A2313" s="1">
        <f>'20250815_ETF_Options_Exhibits'!AC2313</f>
        <v/>
      </c>
      <c r="B2313" s="32">
        <f>'20250815_ETF_Options_Exhibits'!AD2313</f>
        <v/>
      </c>
      <c r="C2313" s="32">
        <f>'20250815_ETF_Options_Exhibits'!AE2313</f>
        <v/>
      </c>
    </row>
    <row r="2314">
      <c r="A2314" s="1">
        <f>'20250815_ETF_Options_Exhibits'!AC2314</f>
        <v/>
      </c>
      <c r="B2314" s="32">
        <f>'20250815_ETF_Options_Exhibits'!AD2314</f>
        <v/>
      </c>
      <c r="C2314" s="32">
        <f>'20250815_ETF_Options_Exhibits'!AE2314</f>
        <v/>
      </c>
    </row>
    <row r="2315">
      <c r="A2315" s="1">
        <f>'20250815_ETF_Options_Exhibits'!AC2315</f>
        <v/>
      </c>
      <c r="B2315" s="32">
        <f>'20250815_ETF_Options_Exhibits'!AD2315</f>
        <v/>
      </c>
      <c r="C2315" s="32">
        <f>'20250815_ETF_Options_Exhibits'!AE2315</f>
        <v/>
      </c>
    </row>
    <row r="2316">
      <c r="A2316" s="1">
        <f>'20250815_ETF_Options_Exhibits'!AC2316</f>
        <v/>
      </c>
      <c r="B2316" s="32">
        <f>'20250815_ETF_Options_Exhibits'!AD2316</f>
        <v/>
      </c>
      <c r="C2316" s="32">
        <f>'20250815_ETF_Options_Exhibits'!AE2316</f>
        <v/>
      </c>
    </row>
    <row r="2317">
      <c r="A2317" s="1">
        <f>'20250815_ETF_Options_Exhibits'!AC2317</f>
        <v/>
      </c>
      <c r="B2317" s="32">
        <f>'20250815_ETF_Options_Exhibits'!AD2317</f>
        <v/>
      </c>
      <c r="C2317" s="32">
        <f>'20250815_ETF_Options_Exhibits'!AE2317</f>
        <v/>
      </c>
    </row>
    <row r="2318">
      <c r="A2318" s="1">
        <f>'20250815_ETF_Options_Exhibits'!AC2318</f>
        <v/>
      </c>
      <c r="B2318" s="32">
        <f>'20250815_ETF_Options_Exhibits'!AD2318</f>
        <v/>
      </c>
      <c r="C2318" s="32">
        <f>'20250815_ETF_Options_Exhibits'!AE2318</f>
        <v/>
      </c>
    </row>
    <row r="2319">
      <c r="A2319" s="1">
        <f>'20250815_ETF_Options_Exhibits'!AC2319</f>
        <v/>
      </c>
      <c r="B2319" s="32">
        <f>'20250815_ETF_Options_Exhibits'!AD2319</f>
        <v/>
      </c>
      <c r="C2319" s="32">
        <f>'20250815_ETF_Options_Exhibits'!AE2319</f>
        <v/>
      </c>
    </row>
    <row r="2320">
      <c r="A2320" s="1">
        <f>'20250815_ETF_Options_Exhibits'!AC2320</f>
        <v/>
      </c>
      <c r="B2320" s="32">
        <f>'20250815_ETF_Options_Exhibits'!AD2320</f>
        <v/>
      </c>
      <c r="C2320" s="32">
        <f>'20250815_ETF_Options_Exhibits'!AE2320</f>
        <v/>
      </c>
    </row>
    <row r="2321">
      <c r="A2321" s="1">
        <f>'20250815_ETF_Options_Exhibits'!AC2321</f>
        <v/>
      </c>
      <c r="B2321" s="32">
        <f>'20250815_ETF_Options_Exhibits'!AD2321</f>
        <v/>
      </c>
      <c r="C2321" s="32">
        <f>'20250815_ETF_Options_Exhibits'!AE2321</f>
        <v/>
      </c>
    </row>
    <row r="2322">
      <c r="A2322" s="1">
        <f>'20250815_ETF_Options_Exhibits'!AC2322</f>
        <v/>
      </c>
      <c r="B2322" s="32">
        <f>'20250815_ETF_Options_Exhibits'!AD2322</f>
        <v/>
      </c>
      <c r="C2322" s="32">
        <f>'20250815_ETF_Options_Exhibits'!AE2322</f>
        <v/>
      </c>
    </row>
    <row r="2323">
      <c r="A2323" s="1">
        <f>'20250815_ETF_Options_Exhibits'!AC2323</f>
        <v/>
      </c>
      <c r="B2323" s="32">
        <f>'20250815_ETF_Options_Exhibits'!AD2323</f>
        <v/>
      </c>
      <c r="C2323" s="32">
        <f>'20250815_ETF_Options_Exhibits'!AE2323</f>
        <v/>
      </c>
    </row>
    <row r="2324">
      <c r="A2324" s="1">
        <f>'20250815_ETF_Options_Exhibits'!AC2324</f>
        <v/>
      </c>
      <c r="B2324" s="32">
        <f>'20250815_ETF_Options_Exhibits'!AD2324</f>
        <v/>
      </c>
      <c r="C2324" s="32">
        <f>'20250815_ETF_Options_Exhibits'!AE2324</f>
        <v/>
      </c>
    </row>
    <row r="2325">
      <c r="A2325" s="1">
        <f>'20250815_ETF_Options_Exhibits'!AC2325</f>
        <v/>
      </c>
      <c r="B2325" s="32">
        <f>'20250815_ETF_Options_Exhibits'!AD2325</f>
        <v/>
      </c>
      <c r="C2325" s="32">
        <f>'20250815_ETF_Options_Exhibits'!AE2325</f>
        <v/>
      </c>
    </row>
    <row r="2326">
      <c r="A2326" s="1">
        <f>'20250815_ETF_Options_Exhibits'!AC2326</f>
        <v/>
      </c>
      <c r="B2326" s="32">
        <f>'20250815_ETF_Options_Exhibits'!AD2326</f>
        <v/>
      </c>
      <c r="C2326" s="32">
        <f>'20250815_ETF_Options_Exhibits'!AE2326</f>
        <v/>
      </c>
    </row>
    <row r="2327">
      <c r="A2327" s="1">
        <f>'20250815_ETF_Options_Exhibits'!AC2327</f>
        <v/>
      </c>
      <c r="B2327" s="32">
        <f>'20250815_ETF_Options_Exhibits'!AD2327</f>
        <v/>
      </c>
      <c r="C2327" s="32">
        <f>'20250815_ETF_Options_Exhibits'!AE2327</f>
        <v/>
      </c>
    </row>
    <row r="2328">
      <c r="A2328" s="1">
        <f>'20250815_ETF_Options_Exhibits'!AC2328</f>
        <v/>
      </c>
      <c r="B2328" s="32">
        <f>'20250815_ETF_Options_Exhibits'!AD2328</f>
        <v/>
      </c>
      <c r="C2328" s="32">
        <f>'20250815_ETF_Options_Exhibits'!AE2328</f>
        <v/>
      </c>
    </row>
    <row r="2329">
      <c r="A2329" s="1">
        <f>'20250815_ETF_Options_Exhibits'!AC2329</f>
        <v/>
      </c>
      <c r="B2329" s="32">
        <f>'20250815_ETF_Options_Exhibits'!AD2329</f>
        <v/>
      </c>
      <c r="C2329" s="32">
        <f>'20250815_ETF_Options_Exhibits'!AE2329</f>
        <v/>
      </c>
    </row>
    <row r="2330">
      <c r="A2330" s="1">
        <f>'20250815_ETF_Options_Exhibits'!AC2330</f>
        <v/>
      </c>
      <c r="B2330" s="32">
        <f>'20250815_ETF_Options_Exhibits'!AD2330</f>
        <v/>
      </c>
      <c r="C2330" s="32">
        <f>'20250815_ETF_Options_Exhibits'!AE2330</f>
        <v/>
      </c>
    </row>
    <row r="2331">
      <c r="A2331" s="1">
        <f>'20250815_ETF_Options_Exhibits'!AC2331</f>
        <v/>
      </c>
      <c r="B2331" s="32">
        <f>'20250815_ETF_Options_Exhibits'!AD2331</f>
        <v/>
      </c>
      <c r="C2331" s="32">
        <f>'20250815_ETF_Options_Exhibits'!AE2331</f>
        <v/>
      </c>
    </row>
    <row r="2332">
      <c r="A2332" s="1">
        <f>'20250815_ETF_Options_Exhibits'!AC2332</f>
        <v/>
      </c>
      <c r="B2332" s="32">
        <f>'20250815_ETF_Options_Exhibits'!AD2332</f>
        <v/>
      </c>
      <c r="C2332" s="32">
        <f>'20250815_ETF_Options_Exhibits'!AE2332</f>
        <v/>
      </c>
    </row>
    <row r="2333">
      <c r="A2333" s="1">
        <f>'20250815_ETF_Options_Exhibits'!AC2333</f>
        <v/>
      </c>
      <c r="B2333" s="32">
        <f>'20250815_ETF_Options_Exhibits'!AD2333</f>
        <v/>
      </c>
      <c r="C2333" s="32">
        <f>'20250815_ETF_Options_Exhibits'!AE2333</f>
        <v/>
      </c>
    </row>
    <row r="2334">
      <c r="A2334" s="1">
        <f>'20250815_ETF_Options_Exhibits'!AC2334</f>
        <v/>
      </c>
      <c r="B2334" s="32">
        <f>'20250815_ETF_Options_Exhibits'!AD2334</f>
        <v/>
      </c>
      <c r="C2334" s="32">
        <f>'20250815_ETF_Options_Exhibits'!AE2334</f>
        <v/>
      </c>
    </row>
    <row r="2335">
      <c r="A2335" s="1">
        <f>'20250815_ETF_Options_Exhibits'!AC2335</f>
        <v/>
      </c>
      <c r="B2335" s="32">
        <f>'20250815_ETF_Options_Exhibits'!AD2335</f>
        <v/>
      </c>
      <c r="C2335" s="32">
        <f>'20250815_ETF_Options_Exhibits'!AE2335</f>
        <v/>
      </c>
    </row>
    <row r="2336">
      <c r="A2336" s="1">
        <f>'20250815_ETF_Options_Exhibits'!AC2336</f>
        <v/>
      </c>
      <c r="B2336" s="32">
        <f>'20250815_ETF_Options_Exhibits'!AD2336</f>
        <v/>
      </c>
      <c r="C2336" s="32">
        <f>'20250815_ETF_Options_Exhibits'!AE2336</f>
        <v/>
      </c>
    </row>
    <row r="2337">
      <c r="A2337" s="1">
        <f>'20250815_ETF_Options_Exhibits'!AC2337</f>
        <v/>
      </c>
      <c r="B2337" s="32">
        <f>'20250815_ETF_Options_Exhibits'!AD2337</f>
        <v/>
      </c>
      <c r="C2337" s="32">
        <f>'20250815_ETF_Options_Exhibits'!AE2337</f>
        <v/>
      </c>
    </row>
    <row r="2338">
      <c r="A2338" s="1">
        <f>'20250815_ETF_Options_Exhibits'!AC2338</f>
        <v/>
      </c>
      <c r="B2338" s="32">
        <f>'20250815_ETF_Options_Exhibits'!AD2338</f>
        <v/>
      </c>
      <c r="C2338" s="32">
        <f>'20250815_ETF_Options_Exhibits'!AE2338</f>
        <v/>
      </c>
    </row>
    <row r="2339">
      <c r="A2339" s="1">
        <f>'20250815_ETF_Options_Exhibits'!AC2339</f>
        <v/>
      </c>
      <c r="B2339" s="32">
        <f>'20250815_ETF_Options_Exhibits'!AD2339</f>
        <v/>
      </c>
      <c r="C2339" s="32">
        <f>'20250815_ETF_Options_Exhibits'!AE2339</f>
        <v/>
      </c>
    </row>
    <row r="2340">
      <c r="A2340" s="1">
        <f>'20250815_ETF_Options_Exhibits'!AC2340</f>
        <v/>
      </c>
      <c r="B2340" s="32">
        <f>'20250815_ETF_Options_Exhibits'!AD2340</f>
        <v/>
      </c>
      <c r="C2340" s="32">
        <f>'20250815_ETF_Options_Exhibits'!AE2340</f>
        <v/>
      </c>
    </row>
    <row r="2341">
      <c r="A2341" s="1">
        <f>'20250815_ETF_Options_Exhibits'!AC2341</f>
        <v/>
      </c>
      <c r="B2341" s="32">
        <f>'20250815_ETF_Options_Exhibits'!AD2341</f>
        <v/>
      </c>
      <c r="C2341" s="32">
        <f>'20250815_ETF_Options_Exhibits'!AE2341</f>
        <v/>
      </c>
    </row>
    <row r="2342">
      <c r="A2342" s="1">
        <f>'20250815_ETF_Options_Exhibits'!AC2342</f>
        <v/>
      </c>
      <c r="B2342" s="32">
        <f>'20250815_ETF_Options_Exhibits'!AD2342</f>
        <v/>
      </c>
      <c r="C2342" s="32">
        <f>'20250815_ETF_Options_Exhibits'!AE2342</f>
        <v/>
      </c>
    </row>
    <row r="2343">
      <c r="A2343" s="1">
        <f>'20250815_ETF_Options_Exhibits'!AC2343</f>
        <v/>
      </c>
      <c r="B2343" s="32">
        <f>'20250815_ETF_Options_Exhibits'!AD2343</f>
        <v/>
      </c>
      <c r="C2343" s="32">
        <f>'20250815_ETF_Options_Exhibits'!AE2343</f>
        <v/>
      </c>
    </row>
    <row r="2344">
      <c r="A2344" s="1">
        <f>'20250815_ETF_Options_Exhibits'!AC2344</f>
        <v/>
      </c>
      <c r="B2344" s="32">
        <f>'20250815_ETF_Options_Exhibits'!AD2344</f>
        <v/>
      </c>
      <c r="C2344" s="32">
        <f>'20250815_ETF_Options_Exhibits'!AE2344</f>
        <v/>
      </c>
    </row>
    <row r="2345">
      <c r="A2345" s="1">
        <f>'20250815_ETF_Options_Exhibits'!AC2345</f>
        <v/>
      </c>
      <c r="B2345" s="32">
        <f>'20250815_ETF_Options_Exhibits'!AD2345</f>
        <v/>
      </c>
      <c r="C2345" s="32">
        <f>'20250815_ETF_Options_Exhibits'!AE2345</f>
        <v/>
      </c>
    </row>
    <row r="2346">
      <c r="A2346" s="1">
        <f>'20250815_ETF_Options_Exhibits'!AC2346</f>
        <v/>
      </c>
      <c r="B2346" s="32">
        <f>'20250815_ETF_Options_Exhibits'!AD2346</f>
        <v/>
      </c>
      <c r="C2346" s="32">
        <f>'20250815_ETF_Options_Exhibits'!AE2346</f>
        <v/>
      </c>
    </row>
    <row r="2347">
      <c r="A2347" s="1">
        <f>'20250815_ETF_Options_Exhibits'!AC2347</f>
        <v/>
      </c>
      <c r="B2347" s="32">
        <f>'20250815_ETF_Options_Exhibits'!AD2347</f>
        <v/>
      </c>
      <c r="C2347" s="32">
        <f>'20250815_ETF_Options_Exhibits'!AE2347</f>
        <v/>
      </c>
    </row>
    <row r="2348">
      <c r="A2348" s="1">
        <f>'20250815_ETF_Options_Exhibits'!AC2348</f>
        <v/>
      </c>
      <c r="B2348" s="32">
        <f>'20250815_ETF_Options_Exhibits'!AD2348</f>
        <v/>
      </c>
      <c r="C2348" s="32">
        <f>'20250815_ETF_Options_Exhibits'!AE2348</f>
        <v/>
      </c>
    </row>
    <row r="2349">
      <c r="A2349" s="1">
        <f>'20250815_ETF_Options_Exhibits'!AC2349</f>
        <v/>
      </c>
      <c r="B2349" s="32">
        <f>'20250815_ETF_Options_Exhibits'!AD2349</f>
        <v/>
      </c>
      <c r="C2349" s="32">
        <f>'20250815_ETF_Options_Exhibits'!AE2349</f>
        <v/>
      </c>
    </row>
    <row r="2350">
      <c r="A2350" s="1">
        <f>'20250815_ETF_Options_Exhibits'!AC2350</f>
        <v/>
      </c>
      <c r="B2350" s="32">
        <f>'20250815_ETF_Options_Exhibits'!AD2350</f>
        <v/>
      </c>
      <c r="C2350" s="32">
        <f>'20250815_ETF_Options_Exhibits'!AE2350</f>
        <v/>
      </c>
    </row>
    <row r="2351">
      <c r="A2351" s="1">
        <f>'20250815_ETF_Options_Exhibits'!AC2351</f>
        <v/>
      </c>
      <c r="B2351" s="32">
        <f>'20250815_ETF_Options_Exhibits'!AD2351</f>
        <v/>
      </c>
      <c r="C2351" s="32">
        <f>'20250815_ETF_Options_Exhibits'!AE2351</f>
        <v/>
      </c>
    </row>
    <row r="2352">
      <c r="A2352" s="1">
        <f>'20250815_ETF_Options_Exhibits'!AC2352</f>
        <v/>
      </c>
      <c r="B2352" s="32">
        <f>'20250815_ETF_Options_Exhibits'!AD2352</f>
        <v/>
      </c>
      <c r="C2352" s="32">
        <f>'20250815_ETF_Options_Exhibits'!AE2352</f>
        <v/>
      </c>
    </row>
    <row r="2353">
      <c r="A2353" s="1">
        <f>'20250815_ETF_Options_Exhibits'!AC2353</f>
        <v/>
      </c>
      <c r="B2353" s="32">
        <f>'20250815_ETF_Options_Exhibits'!AD2353</f>
        <v/>
      </c>
      <c r="C2353" s="32">
        <f>'20250815_ETF_Options_Exhibits'!AE2353</f>
        <v/>
      </c>
    </row>
    <row r="2354">
      <c r="A2354" s="1">
        <f>'20250815_ETF_Options_Exhibits'!AC2354</f>
        <v/>
      </c>
      <c r="B2354" s="32">
        <f>'20250815_ETF_Options_Exhibits'!AD2354</f>
        <v/>
      </c>
      <c r="C2354" s="32">
        <f>'20250815_ETF_Options_Exhibits'!AE2354</f>
        <v/>
      </c>
    </row>
    <row r="2355">
      <c r="A2355" s="1">
        <f>'20250815_ETF_Options_Exhibits'!AC2355</f>
        <v/>
      </c>
      <c r="B2355" s="32">
        <f>'20250815_ETF_Options_Exhibits'!AD2355</f>
        <v/>
      </c>
      <c r="C2355" s="32">
        <f>'20250815_ETF_Options_Exhibits'!AE2355</f>
        <v/>
      </c>
    </row>
    <row r="2356">
      <c r="A2356" s="1">
        <f>'20250815_ETF_Options_Exhibits'!AC2356</f>
        <v/>
      </c>
      <c r="B2356" s="32">
        <f>'20250815_ETF_Options_Exhibits'!AD2356</f>
        <v/>
      </c>
      <c r="C2356" s="32">
        <f>'20250815_ETF_Options_Exhibits'!AE2356</f>
        <v/>
      </c>
    </row>
    <row r="2357">
      <c r="A2357" s="1">
        <f>'20250815_ETF_Options_Exhibits'!AC2357</f>
        <v/>
      </c>
      <c r="B2357" s="32">
        <f>'20250815_ETF_Options_Exhibits'!AD2357</f>
        <v/>
      </c>
      <c r="C2357" s="32">
        <f>'20250815_ETF_Options_Exhibits'!AE2357</f>
        <v/>
      </c>
    </row>
    <row r="2358">
      <c r="A2358" s="1">
        <f>'20250815_ETF_Options_Exhibits'!AC2358</f>
        <v/>
      </c>
      <c r="B2358" s="32">
        <f>'20250815_ETF_Options_Exhibits'!AD2358</f>
        <v/>
      </c>
      <c r="C2358" s="32">
        <f>'20250815_ETF_Options_Exhibits'!AE2358</f>
        <v/>
      </c>
    </row>
    <row r="2359">
      <c r="A2359" s="1">
        <f>'20250815_ETF_Options_Exhibits'!AC2359</f>
        <v/>
      </c>
      <c r="B2359" s="32">
        <f>'20250815_ETF_Options_Exhibits'!AD2359</f>
        <v/>
      </c>
      <c r="C2359" s="32">
        <f>'20250815_ETF_Options_Exhibits'!AE2359</f>
        <v/>
      </c>
    </row>
    <row r="2360">
      <c r="A2360" s="1">
        <f>'20250815_ETF_Options_Exhibits'!AC2360</f>
        <v/>
      </c>
      <c r="B2360" s="32">
        <f>'20250815_ETF_Options_Exhibits'!AD2360</f>
        <v/>
      </c>
      <c r="C2360" s="32">
        <f>'20250815_ETF_Options_Exhibits'!AE2360</f>
        <v/>
      </c>
    </row>
    <row r="2361">
      <c r="A2361" s="1">
        <f>'20250815_ETF_Options_Exhibits'!AC2361</f>
        <v/>
      </c>
      <c r="B2361" s="32">
        <f>'20250815_ETF_Options_Exhibits'!AD2361</f>
        <v/>
      </c>
      <c r="C2361" s="32">
        <f>'20250815_ETF_Options_Exhibits'!AE2361</f>
        <v/>
      </c>
    </row>
    <row r="2362">
      <c r="A2362" s="1">
        <f>'20250815_ETF_Options_Exhibits'!AC2362</f>
        <v/>
      </c>
      <c r="B2362" s="32">
        <f>'20250815_ETF_Options_Exhibits'!AD2362</f>
        <v/>
      </c>
      <c r="C2362" s="32">
        <f>'20250815_ETF_Options_Exhibits'!AE2362</f>
        <v/>
      </c>
    </row>
    <row r="2363">
      <c r="A2363" s="1">
        <f>'20250815_ETF_Options_Exhibits'!AC2363</f>
        <v/>
      </c>
      <c r="B2363" s="32">
        <f>'20250815_ETF_Options_Exhibits'!AD2363</f>
        <v/>
      </c>
      <c r="C2363" s="32">
        <f>'20250815_ETF_Options_Exhibits'!AE2363</f>
        <v/>
      </c>
    </row>
    <row r="2364">
      <c r="A2364" s="1">
        <f>'20250815_ETF_Options_Exhibits'!AC2364</f>
        <v/>
      </c>
      <c r="B2364" s="32">
        <f>'20250815_ETF_Options_Exhibits'!AD2364</f>
        <v/>
      </c>
      <c r="C2364" s="32">
        <f>'20250815_ETF_Options_Exhibits'!AE2364</f>
        <v/>
      </c>
    </row>
    <row r="2365">
      <c r="A2365" s="1">
        <f>'20250815_ETF_Options_Exhibits'!AC2365</f>
        <v/>
      </c>
      <c r="B2365" s="32">
        <f>'20250815_ETF_Options_Exhibits'!AD2365</f>
        <v/>
      </c>
      <c r="C2365" s="32">
        <f>'20250815_ETF_Options_Exhibits'!AE2365</f>
        <v/>
      </c>
    </row>
    <row r="2366">
      <c r="A2366" s="1">
        <f>'20250815_ETF_Options_Exhibits'!AC2366</f>
        <v/>
      </c>
      <c r="B2366" s="32">
        <f>'20250815_ETF_Options_Exhibits'!AD2366</f>
        <v/>
      </c>
      <c r="C2366" s="32">
        <f>'20250815_ETF_Options_Exhibits'!AE2366</f>
        <v/>
      </c>
    </row>
    <row r="2367">
      <c r="A2367" s="1">
        <f>'20250815_ETF_Options_Exhibits'!AC2367</f>
        <v/>
      </c>
      <c r="B2367" s="32">
        <f>'20250815_ETF_Options_Exhibits'!AD2367</f>
        <v/>
      </c>
      <c r="C2367" s="32">
        <f>'20250815_ETF_Options_Exhibits'!AE2367</f>
        <v/>
      </c>
    </row>
    <row r="2368">
      <c r="A2368" s="1">
        <f>'20250815_ETF_Options_Exhibits'!AC2368</f>
        <v/>
      </c>
      <c r="B2368" s="32">
        <f>'20250815_ETF_Options_Exhibits'!AD2368</f>
        <v/>
      </c>
      <c r="C2368" s="32">
        <f>'20250815_ETF_Options_Exhibits'!AE2368</f>
        <v/>
      </c>
    </row>
    <row r="2369">
      <c r="A2369" s="1">
        <f>'20250815_ETF_Options_Exhibits'!AC2369</f>
        <v/>
      </c>
      <c r="B2369" s="32">
        <f>'20250815_ETF_Options_Exhibits'!AD2369</f>
        <v/>
      </c>
      <c r="C2369" s="32">
        <f>'20250815_ETF_Options_Exhibits'!AE2369</f>
        <v/>
      </c>
    </row>
    <row r="2370">
      <c r="A2370" s="1">
        <f>'20250815_ETF_Options_Exhibits'!AC2370</f>
        <v/>
      </c>
      <c r="B2370" s="32">
        <f>'20250815_ETF_Options_Exhibits'!AD2370</f>
        <v/>
      </c>
      <c r="C2370" s="32">
        <f>'20250815_ETF_Options_Exhibits'!AE2370</f>
        <v/>
      </c>
    </row>
    <row r="2371">
      <c r="A2371" s="1">
        <f>'20250815_ETF_Options_Exhibits'!AC2371</f>
        <v/>
      </c>
      <c r="B2371" s="32">
        <f>'20250815_ETF_Options_Exhibits'!AD2371</f>
        <v/>
      </c>
      <c r="C2371" s="32">
        <f>'20250815_ETF_Options_Exhibits'!AE2371</f>
        <v/>
      </c>
    </row>
    <row r="2372">
      <c r="A2372" s="1">
        <f>'20250815_ETF_Options_Exhibits'!AC2372</f>
        <v/>
      </c>
      <c r="B2372" s="32">
        <f>'20250815_ETF_Options_Exhibits'!AD2372</f>
        <v/>
      </c>
      <c r="C2372" s="32">
        <f>'20250815_ETF_Options_Exhibits'!AE2372</f>
        <v/>
      </c>
    </row>
    <row r="2373">
      <c r="A2373" s="1">
        <f>'20250815_ETF_Options_Exhibits'!AC2373</f>
        <v/>
      </c>
      <c r="B2373" s="32">
        <f>'20250815_ETF_Options_Exhibits'!AD2373</f>
        <v/>
      </c>
      <c r="C2373" s="32">
        <f>'20250815_ETF_Options_Exhibits'!AE2373</f>
        <v/>
      </c>
    </row>
    <row r="2374">
      <c r="A2374" s="1">
        <f>'20250815_ETF_Options_Exhibits'!AC2374</f>
        <v/>
      </c>
      <c r="B2374" s="32">
        <f>'20250815_ETF_Options_Exhibits'!AD2374</f>
        <v/>
      </c>
      <c r="C2374" s="32">
        <f>'20250815_ETF_Options_Exhibits'!AE2374</f>
        <v/>
      </c>
    </row>
    <row r="2375">
      <c r="A2375" s="1">
        <f>'20250815_ETF_Options_Exhibits'!AC2375</f>
        <v/>
      </c>
      <c r="B2375" s="32">
        <f>'20250815_ETF_Options_Exhibits'!AD2375</f>
        <v/>
      </c>
      <c r="C2375" s="32">
        <f>'20250815_ETF_Options_Exhibits'!AE2375</f>
        <v/>
      </c>
    </row>
    <row r="2376">
      <c r="A2376" s="1">
        <f>'20250815_ETF_Options_Exhibits'!AC2376</f>
        <v/>
      </c>
      <c r="B2376" s="32">
        <f>'20250815_ETF_Options_Exhibits'!AD2376</f>
        <v/>
      </c>
      <c r="C2376" s="32">
        <f>'20250815_ETF_Options_Exhibits'!AE2376</f>
        <v/>
      </c>
    </row>
    <row r="2377">
      <c r="A2377" s="1">
        <f>'20250815_ETF_Options_Exhibits'!AC2377</f>
        <v/>
      </c>
      <c r="B2377" s="32">
        <f>'20250815_ETF_Options_Exhibits'!AD2377</f>
        <v/>
      </c>
      <c r="C2377" s="32">
        <f>'20250815_ETF_Options_Exhibits'!AE2377</f>
        <v/>
      </c>
    </row>
    <row r="2378">
      <c r="A2378" s="1">
        <f>'20250815_ETF_Options_Exhibits'!AC2378</f>
        <v/>
      </c>
      <c r="B2378" s="32">
        <f>'20250815_ETF_Options_Exhibits'!AD2378</f>
        <v/>
      </c>
      <c r="C2378" s="32">
        <f>'20250815_ETF_Options_Exhibits'!AE2378</f>
        <v/>
      </c>
    </row>
    <row r="2379">
      <c r="A2379" s="1">
        <f>'20250815_ETF_Options_Exhibits'!AC2379</f>
        <v/>
      </c>
      <c r="B2379" s="32">
        <f>'20250815_ETF_Options_Exhibits'!AD2379</f>
        <v/>
      </c>
      <c r="C2379" s="32">
        <f>'20250815_ETF_Options_Exhibits'!AE2379</f>
        <v/>
      </c>
    </row>
    <row r="2380">
      <c r="A2380" s="1">
        <f>'20250815_ETF_Options_Exhibits'!AC2380</f>
        <v/>
      </c>
      <c r="B2380" s="32">
        <f>'20250815_ETF_Options_Exhibits'!AD2380</f>
        <v/>
      </c>
      <c r="C2380" s="32">
        <f>'20250815_ETF_Options_Exhibits'!AE2380</f>
        <v/>
      </c>
    </row>
    <row r="2381">
      <c r="A2381" s="1">
        <f>'20250815_ETF_Options_Exhibits'!AC2381</f>
        <v/>
      </c>
      <c r="B2381" s="32">
        <f>'20250815_ETF_Options_Exhibits'!AD2381</f>
        <v/>
      </c>
      <c r="C2381" s="32">
        <f>'20250815_ETF_Options_Exhibits'!AE2381</f>
        <v/>
      </c>
    </row>
    <row r="2382">
      <c r="A2382" s="1">
        <f>'20250815_ETF_Options_Exhibits'!AC2382</f>
        <v/>
      </c>
      <c r="B2382" s="32">
        <f>'20250815_ETF_Options_Exhibits'!AD2382</f>
        <v/>
      </c>
      <c r="C2382" s="32">
        <f>'20250815_ETF_Options_Exhibits'!AE2382</f>
        <v/>
      </c>
    </row>
    <row r="2383">
      <c r="A2383" s="1">
        <f>'20250815_ETF_Options_Exhibits'!AC2383</f>
        <v/>
      </c>
      <c r="B2383" s="32">
        <f>'20250815_ETF_Options_Exhibits'!AD2383</f>
        <v/>
      </c>
      <c r="C2383" s="32">
        <f>'20250815_ETF_Options_Exhibits'!AE2383</f>
        <v/>
      </c>
    </row>
    <row r="2384">
      <c r="A2384" s="1">
        <f>'20250815_ETF_Options_Exhibits'!AC2384</f>
        <v/>
      </c>
      <c r="B2384" s="32">
        <f>'20250815_ETF_Options_Exhibits'!AD2384</f>
        <v/>
      </c>
      <c r="C2384" s="32">
        <f>'20250815_ETF_Options_Exhibits'!AE2384</f>
        <v/>
      </c>
    </row>
    <row r="2385">
      <c r="A2385" s="1">
        <f>'20250815_ETF_Options_Exhibits'!AC2385</f>
        <v/>
      </c>
      <c r="B2385" s="32">
        <f>'20250815_ETF_Options_Exhibits'!AD2385</f>
        <v/>
      </c>
      <c r="C2385" s="32">
        <f>'20250815_ETF_Options_Exhibits'!AE2385</f>
        <v/>
      </c>
    </row>
    <row r="2386">
      <c r="A2386" s="1">
        <f>'20250815_ETF_Options_Exhibits'!AC2386</f>
        <v/>
      </c>
      <c r="B2386" s="32">
        <f>'20250815_ETF_Options_Exhibits'!AD2386</f>
        <v/>
      </c>
      <c r="C2386" s="32">
        <f>'20250815_ETF_Options_Exhibits'!AE2386</f>
        <v/>
      </c>
    </row>
    <row r="2387">
      <c r="A2387" s="1">
        <f>'20250815_ETF_Options_Exhibits'!AC2387</f>
        <v/>
      </c>
      <c r="B2387" s="32">
        <f>'20250815_ETF_Options_Exhibits'!AD2387</f>
        <v/>
      </c>
      <c r="C2387" s="32">
        <f>'20250815_ETF_Options_Exhibits'!AE2387</f>
        <v/>
      </c>
    </row>
    <row r="2388">
      <c r="A2388" s="1">
        <f>'20250815_ETF_Options_Exhibits'!AC2388</f>
        <v/>
      </c>
      <c r="B2388" s="32">
        <f>'20250815_ETF_Options_Exhibits'!AD2388</f>
        <v/>
      </c>
      <c r="C2388" s="32">
        <f>'20250815_ETF_Options_Exhibits'!AE2388</f>
        <v/>
      </c>
    </row>
    <row r="2389">
      <c r="A2389" s="1">
        <f>'20250815_ETF_Options_Exhibits'!AC2389</f>
        <v/>
      </c>
      <c r="B2389" s="32">
        <f>'20250815_ETF_Options_Exhibits'!AD2389</f>
        <v/>
      </c>
      <c r="C2389" s="32">
        <f>'20250815_ETF_Options_Exhibits'!AE2389</f>
        <v/>
      </c>
    </row>
    <row r="2390">
      <c r="A2390" s="1">
        <f>'20250815_ETF_Options_Exhibits'!AC2390</f>
        <v/>
      </c>
      <c r="B2390" s="32">
        <f>'20250815_ETF_Options_Exhibits'!AD2390</f>
        <v/>
      </c>
      <c r="C2390" s="32">
        <f>'20250815_ETF_Options_Exhibits'!AE2390</f>
        <v/>
      </c>
    </row>
    <row r="2391">
      <c r="A2391" s="1">
        <f>'20250815_ETF_Options_Exhibits'!AC2391</f>
        <v/>
      </c>
      <c r="B2391" s="32">
        <f>'20250815_ETF_Options_Exhibits'!AD2391</f>
        <v/>
      </c>
      <c r="C2391" s="32">
        <f>'20250815_ETF_Options_Exhibits'!AE2391</f>
        <v/>
      </c>
    </row>
    <row r="2392">
      <c r="A2392" s="1">
        <f>'20250815_ETF_Options_Exhibits'!AC2392</f>
        <v/>
      </c>
      <c r="B2392" s="32">
        <f>'20250815_ETF_Options_Exhibits'!AD2392</f>
        <v/>
      </c>
      <c r="C2392" s="32">
        <f>'20250815_ETF_Options_Exhibits'!AE2392</f>
        <v/>
      </c>
    </row>
    <row r="2393">
      <c r="A2393" s="1">
        <f>'20250815_ETF_Options_Exhibits'!AC2393</f>
        <v/>
      </c>
      <c r="B2393" s="32">
        <f>'20250815_ETF_Options_Exhibits'!AD2393</f>
        <v/>
      </c>
      <c r="C2393" s="32">
        <f>'20250815_ETF_Options_Exhibits'!AE2393</f>
        <v/>
      </c>
    </row>
    <row r="2394">
      <c r="A2394" s="1">
        <f>'20250815_ETF_Options_Exhibits'!AC2394</f>
        <v/>
      </c>
      <c r="B2394" s="32">
        <f>'20250815_ETF_Options_Exhibits'!AD2394</f>
        <v/>
      </c>
      <c r="C2394" s="32">
        <f>'20250815_ETF_Options_Exhibits'!AE2394</f>
        <v/>
      </c>
    </row>
    <row r="2395">
      <c r="A2395" s="1">
        <f>'20250815_ETF_Options_Exhibits'!AC2395</f>
        <v/>
      </c>
      <c r="B2395" s="32">
        <f>'20250815_ETF_Options_Exhibits'!AD2395</f>
        <v/>
      </c>
      <c r="C2395" s="32">
        <f>'20250815_ETF_Options_Exhibits'!AE2395</f>
        <v/>
      </c>
    </row>
    <row r="2396">
      <c r="A2396" s="1">
        <f>'20250815_ETF_Options_Exhibits'!AC2396</f>
        <v/>
      </c>
      <c r="B2396" s="32">
        <f>'20250815_ETF_Options_Exhibits'!AD2396</f>
        <v/>
      </c>
      <c r="C2396" s="32">
        <f>'20250815_ETF_Options_Exhibits'!AE2396</f>
        <v/>
      </c>
    </row>
    <row r="2397">
      <c r="A2397" s="1">
        <f>'20250815_ETF_Options_Exhibits'!AC2397</f>
        <v/>
      </c>
      <c r="B2397" s="32">
        <f>'20250815_ETF_Options_Exhibits'!AD2397</f>
        <v/>
      </c>
      <c r="C2397" s="32">
        <f>'20250815_ETF_Options_Exhibits'!AE2397</f>
        <v/>
      </c>
    </row>
    <row r="2398">
      <c r="A2398" s="1">
        <f>'20250815_ETF_Options_Exhibits'!AC2398</f>
        <v/>
      </c>
      <c r="B2398" s="32">
        <f>'20250815_ETF_Options_Exhibits'!AD2398</f>
        <v/>
      </c>
      <c r="C2398" s="32">
        <f>'20250815_ETF_Options_Exhibits'!AE2398</f>
        <v/>
      </c>
    </row>
    <row r="2399">
      <c r="A2399" s="1">
        <f>'20250815_ETF_Options_Exhibits'!AC2399</f>
        <v/>
      </c>
      <c r="B2399" s="32">
        <f>'20250815_ETF_Options_Exhibits'!AD2399</f>
        <v/>
      </c>
      <c r="C2399" s="32">
        <f>'20250815_ETF_Options_Exhibits'!AE2399</f>
        <v/>
      </c>
    </row>
    <row r="2400">
      <c r="A2400" s="1">
        <f>'20250815_ETF_Options_Exhibits'!AC2400</f>
        <v/>
      </c>
      <c r="B2400" s="32">
        <f>'20250815_ETF_Options_Exhibits'!AD2400</f>
        <v/>
      </c>
      <c r="C2400" s="32">
        <f>'20250815_ETF_Options_Exhibits'!AE2400</f>
        <v/>
      </c>
    </row>
    <row r="2401">
      <c r="A2401" s="1">
        <f>'20250815_ETF_Options_Exhibits'!AC2401</f>
        <v/>
      </c>
      <c r="B2401" s="32">
        <f>'20250815_ETF_Options_Exhibits'!AD2401</f>
        <v/>
      </c>
      <c r="C2401" s="32">
        <f>'20250815_ETF_Options_Exhibits'!AE2401</f>
        <v/>
      </c>
    </row>
    <row r="2402">
      <c r="A2402" s="1">
        <f>'20250815_ETF_Options_Exhibits'!AC2402</f>
        <v/>
      </c>
      <c r="B2402" s="32">
        <f>'20250815_ETF_Options_Exhibits'!AD2402</f>
        <v/>
      </c>
      <c r="C2402" s="32">
        <f>'20250815_ETF_Options_Exhibits'!AE2402</f>
        <v/>
      </c>
    </row>
    <row r="2403">
      <c r="A2403" s="1">
        <f>'20250815_ETF_Options_Exhibits'!AC2403</f>
        <v/>
      </c>
      <c r="B2403" s="32">
        <f>'20250815_ETF_Options_Exhibits'!AD2403</f>
        <v/>
      </c>
      <c r="C2403" s="32">
        <f>'20250815_ETF_Options_Exhibits'!AE2403</f>
        <v/>
      </c>
    </row>
    <row r="2404">
      <c r="A2404" s="1">
        <f>'20250815_ETF_Options_Exhibits'!AC2404</f>
        <v/>
      </c>
      <c r="B2404" s="32">
        <f>'20250815_ETF_Options_Exhibits'!AD2404</f>
        <v/>
      </c>
      <c r="C2404" s="32">
        <f>'20250815_ETF_Options_Exhibits'!AE2404</f>
        <v/>
      </c>
    </row>
    <row r="2405">
      <c r="A2405" s="1">
        <f>'20250815_ETF_Options_Exhibits'!AC2405</f>
        <v/>
      </c>
      <c r="B2405" s="32">
        <f>'20250815_ETF_Options_Exhibits'!AD2405</f>
        <v/>
      </c>
      <c r="C2405" s="32">
        <f>'20250815_ETF_Options_Exhibits'!AE2405</f>
        <v/>
      </c>
    </row>
    <row r="2406">
      <c r="A2406" s="1">
        <f>'20250815_ETF_Options_Exhibits'!AC2406</f>
        <v/>
      </c>
      <c r="B2406" s="32">
        <f>'20250815_ETF_Options_Exhibits'!AD2406</f>
        <v/>
      </c>
      <c r="C2406" s="32">
        <f>'20250815_ETF_Options_Exhibits'!AE2406</f>
        <v/>
      </c>
    </row>
    <row r="2407">
      <c r="A2407" s="1">
        <f>'20250815_ETF_Options_Exhibits'!AC2407</f>
        <v/>
      </c>
      <c r="B2407" s="32">
        <f>'20250815_ETF_Options_Exhibits'!AD2407</f>
        <v/>
      </c>
      <c r="C2407" s="32">
        <f>'20250815_ETF_Options_Exhibits'!AE2407</f>
        <v/>
      </c>
    </row>
    <row r="2408">
      <c r="A2408" s="1">
        <f>'20250815_ETF_Options_Exhibits'!AC2408</f>
        <v/>
      </c>
      <c r="B2408" s="32">
        <f>'20250815_ETF_Options_Exhibits'!AD2408</f>
        <v/>
      </c>
      <c r="C2408" s="32">
        <f>'20250815_ETF_Options_Exhibits'!AE2408</f>
        <v/>
      </c>
    </row>
    <row r="2409">
      <c r="A2409" s="1">
        <f>'20250815_ETF_Options_Exhibits'!AC2409</f>
        <v/>
      </c>
      <c r="B2409" s="32">
        <f>'20250815_ETF_Options_Exhibits'!AD2409</f>
        <v/>
      </c>
      <c r="C2409" s="32">
        <f>'20250815_ETF_Options_Exhibits'!AE2409</f>
        <v/>
      </c>
    </row>
    <row r="2410">
      <c r="A2410" s="1">
        <f>'20250815_ETF_Options_Exhibits'!AC2410</f>
        <v/>
      </c>
      <c r="B2410" s="32">
        <f>'20250815_ETF_Options_Exhibits'!AD2410</f>
        <v/>
      </c>
      <c r="C2410" s="32">
        <f>'20250815_ETF_Options_Exhibits'!AE2410</f>
        <v/>
      </c>
    </row>
    <row r="2411">
      <c r="A2411" s="1">
        <f>'20250815_ETF_Options_Exhibits'!AC2411</f>
        <v/>
      </c>
      <c r="B2411" s="32">
        <f>'20250815_ETF_Options_Exhibits'!AD2411</f>
        <v/>
      </c>
      <c r="C2411" s="32">
        <f>'20250815_ETF_Options_Exhibits'!AE2411</f>
        <v/>
      </c>
    </row>
    <row r="2412">
      <c r="A2412" s="1">
        <f>'20250815_ETF_Options_Exhibits'!AC2412</f>
        <v/>
      </c>
      <c r="B2412" s="32">
        <f>'20250815_ETF_Options_Exhibits'!AD2412</f>
        <v/>
      </c>
      <c r="C2412" s="32">
        <f>'20250815_ETF_Options_Exhibits'!AE2412</f>
        <v/>
      </c>
    </row>
    <row r="2413">
      <c r="A2413" s="1">
        <f>'20250815_ETF_Options_Exhibits'!AC2413</f>
        <v/>
      </c>
      <c r="B2413" s="32">
        <f>'20250815_ETF_Options_Exhibits'!AD2413</f>
        <v/>
      </c>
      <c r="C2413" s="32">
        <f>'20250815_ETF_Options_Exhibits'!AE2413</f>
        <v/>
      </c>
    </row>
    <row r="2414">
      <c r="A2414" s="1">
        <f>'20250815_ETF_Options_Exhibits'!AC2414</f>
        <v/>
      </c>
      <c r="B2414" s="32">
        <f>'20250815_ETF_Options_Exhibits'!AD2414</f>
        <v/>
      </c>
      <c r="C2414" s="32">
        <f>'20250815_ETF_Options_Exhibits'!AE2414</f>
        <v/>
      </c>
    </row>
    <row r="2415">
      <c r="A2415" s="1">
        <f>'20250815_ETF_Options_Exhibits'!AC2415</f>
        <v/>
      </c>
      <c r="B2415" s="32">
        <f>'20250815_ETF_Options_Exhibits'!AD2415</f>
        <v/>
      </c>
      <c r="C2415" s="32">
        <f>'20250815_ETF_Options_Exhibits'!AE2415</f>
        <v/>
      </c>
    </row>
    <row r="2416">
      <c r="A2416" s="1">
        <f>'20250815_ETF_Options_Exhibits'!AC2416</f>
        <v/>
      </c>
      <c r="B2416" s="32">
        <f>'20250815_ETF_Options_Exhibits'!AD2416</f>
        <v/>
      </c>
      <c r="C2416" s="32">
        <f>'20250815_ETF_Options_Exhibits'!AE2416</f>
        <v/>
      </c>
    </row>
    <row r="2417">
      <c r="A2417" s="1">
        <f>'20250815_ETF_Options_Exhibits'!AC2417</f>
        <v/>
      </c>
      <c r="B2417" s="32">
        <f>'20250815_ETF_Options_Exhibits'!AD2417</f>
        <v/>
      </c>
      <c r="C2417" s="32">
        <f>'20250815_ETF_Options_Exhibits'!AE2417</f>
        <v/>
      </c>
    </row>
    <row r="2418">
      <c r="A2418" s="1">
        <f>'20250815_ETF_Options_Exhibits'!AC2418</f>
        <v/>
      </c>
      <c r="B2418" s="32">
        <f>'20250815_ETF_Options_Exhibits'!AD2418</f>
        <v/>
      </c>
      <c r="C2418" s="32">
        <f>'20250815_ETF_Options_Exhibits'!AE2418</f>
        <v/>
      </c>
    </row>
    <row r="2419">
      <c r="A2419" s="1">
        <f>'20250815_ETF_Options_Exhibits'!AC2419</f>
        <v/>
      </c>
      <c r="B2419" s="32">
        <f>'20250815_ETF_Options_Exhibits'!AD2419</f>
        <v/>
      </c>
      <c r="C2419" s="32">
        <f>'20250815_ETF_Options_Exhibits'!AE2419</f>
        <v/>
      </c>
    </row>
    <row r="2420">
      <c r="A2420" s="1">
        <f>'20250815_ETF_Options_Exhibits'!AC2420</f>
        <v/>
      </c>
      <c r="B2420" s="32">
        <f>'20250815_ETF_Options_Exhibits'!AD2420</f>
        <v/>
      </c>
      <c r="C2420" s="32">
        <f>'20250815_ETF_Options_Exhibits'!AE2420</f>
        <v/>
      </c>
    </row>
    <row r="2421">
      <c r="A2421" s="1">
        <f>'20250815_ETF_Options_Exhibits'!AC2421</f>
        <v/>
      </c>
      <c r="B2421" s="32">
        <f>'20250815_ETF_Options_Exhibits'!AD2421</f>
        <v/>
      </c>
      <c r="C2421" s="32">
        <f>'20250815_ETF_Options_Exhibits'!AE2421</f>
        <v/>
      </c>
    </row>
    <row r="2422">
      <c r="A2422" s="1">
        <f>'20250815_ETF_Options_Exhibits'!AC2422</f>
        <v/>
      </c>
      <c r="B2422" s="32">
        <f>'20250815_ETF_Options_Exhibits'!AD2422</f>
        <v/>
      </c>
      <c r="C2422" s="32">
        <f>'20250815_ETF_Options_Exhibits'!AE2422</f>
        <v/>
      </c>
    </row>
    <row r="2423">
      <c r="A2423" s="1">
        <f>'20250815_ETF_Options_Exhibits'!AC2423</f>
        <v/>
      </c>
      <c r="B2423" s="32">
        <f>'20250815_ETF_Options_Exhibits'!AD2423</f>
        <v/>
      </c>
      <c r="C2423" s="32">
        <f>'20250815_ETF_Options_Exhibits'!AE2423</f>
        <v/>
      </c>
    </row>
    <row r="2424">
      <c r="A2424" s="1">
        <f>'20250815_ETF_Options_Exhibits'!AC2424</f>
        <v/>
      </c>
      <c r="B2424" s="32">
        <f>'20250815_ETF_Options_Exhibits'!AD2424</f>
        <v/>
      </c>
      <c r="C2424" s="32">
        <f>'20250815_ETF_Options_Exhibits'!AE2424</f>
        <v/>
      </c>
    </row>
    <row r="2425">
      <c r="A2425" s="1">
        <f>'20250815_ETF_Options_Exhibits'!AC2425</f>
        <v/>
      </c>
      <c r="B2425" s="32">
        <f>'20250815_ETF_Options_Exhibits'!AD2425</f>
        <v/>
      </c>
      <c r="C2425" s="32">
        <f>'20250815_ETF_Options_Exhibits'!AE2425</f>
        <v/>
      </c>
    </row>
    <row r="2426">
      <c r="A2426" s="1">
        <f>'20250815_ETF_Options_Exhibits'!AC2426</f>
        <v/>
      </c>
      <c r="B2426" s="32">
        <f>'20250815_ETF_Options_Exhibits'!AD2426</f>
        <v/>
      </c>
      <c r="C2426" s="32">
        <f>'20250815_ETF_Options_Exhibits'!AE2426</f>
        <v/>
      </c>
    </row>
    <row r="2427">
      <c r="A2427" s="1">
        <f>'20250815_ETF_Options_Exhibits'!AC2427</f>
        <v/>
      </c>
      <c r="B2427" s="32">
        <f>'20250815_ETF_Options_Exhibits'!AD2427</f>
        <v/>
      </c>
      <c r="C2427" s="32">
        <f>'20250815_ETF_Options_Exhibits'!AE2427</f>
        <v/>
      </c>
    </row>
    <row r="2428">
      <c r="A2428" s="1">
        <f>'20250815_ETF_Options_Exhibits'!AC2428</f>
        <v/>
      </c>
      <c r="B2428" s="32">
        <f>'20250815_ETF_Options_Exhibits'!AD2428</f>
        <v/>
      </c>
      <c r="C2428" s="32">
        <f>'20250815_ETF_Options_Exhibits'!AE2428</f>
        <v/>
      </c>
    </row>
    <row r="2429">
      <c r="A2429" s="1">
        <f>'20250815_ETF_Options_Exhibits'!AC2429</f>
        <v/>
      </c>
      <c r="B2429" s="32">
        <f>'20250815_ETF_Options_Exhibits'!AD2429</f>
        <v/>
      </c>
      <c r="C2429" s="32">
        <f>'20250815_ETF_Options_Exhibits'!AE2429</f>
        <v/>
      </c>
    </row>
    <row r="2430">
      <c r="A2430" s="1">
        <f>'20250815_ETF_Options_Exhibits'!AC2430</f>
        <v/>
      </c>
      <c r="B2430" s="32">
        <f>'20250815_ETF_Options_Exhibits'!AD2430</f>
        <v/>
      </c>
      <c r="C2430" s="32">
        <f>'20250815_ETF_Options_Exhibits'!AE2430</f>
        <v/>
      </c>
    </row>
    <row r="2431">
      <c r="A2431" s="1">
        <f>'20250815_ETF_Options_Exhibits'!AC2431</f>
        <v/>
      </c>
      <c r="B2431" s="32">
        <f>'20250815_ETF_Options_Exhibits'!AD2431</f>
        <v/>
      </c>
      <c r="C2431" s="32">
        <f>'20250815_ETF_Options_Exhibits'!AE2431</f>
        <v/>
      </c>
    </row>
    <row r="2432">
      <c r="A2432" s="1">
        <f>'20250815_ETF_Options_Exhibits'!AC2432</f>
        <v/>
      </c>
      <c r="B2432" s="32">
        <f>'20250815_ETF_Options_Exhibits'!AD2432</f>
        <v/>
      </c>
      <c r="C2432" s="32">
        <f>'20250815_ETF_Options_Exhibits'!AE2432</f>
        <v/>
      </c>
    </row>
    <row r="2433">
      <c r="A2433" s="1">
        <f>'20250815_ETF_Options_Exhibits'!AC2433</f>
        <v/>
      </c>
      <c r="B2433" s="32">
        <f>'20250815_ETF_Options_Exhibits'!AD2433</f>
        <v/>
      </c>
      <c r="C2433" s="32">
        <f>'20250815_ETF_Options_Exhibits'!AE2433</f>
        <v/>
      </c>
    </row>
    <row r="2434">
      <c r="A2434" s="1">
        <f>'20250815_ETF_Options_Exhibits'!AC2434</f>
        <v/>
      </c>
      <c r="B2434" s="32">
        <f>'20250815_ETF_Options_Exhibits'!AD2434</f>
        <v/>
      </c>
      <c r="C2434" s="32">
        <f>'20250815_ETF_Options_Exhibits'!AE2434</f>
        <v/>
      </c>
    </row>
    <row r="2435">
      <c r="A2435" s="1">
        <f>'20250815_ETF_Options_Exhibits'!AC2435</f>
        <v/>
      </c>
      <c r="B2435" s="32">
        <f>'20250815_ETF_Options_Exhibits'!AD2435</f>
        <v/>
      </c>
      <c r="C2435" s="32">
        <f>'20250815_ETF_Options_Exhibits'!AE2435</f>
        <v/>
      </c>
    </row>
    <row r="2436">
      <c r="A2436" s="1">
        <f>'20250815_ETF_Options_Exhibits'!AC2436</f>
        <v/>
      </c>
      <c r="B2436" s="32">
        <f>'20250815_ETF_Options_Exhibits'!AD2436</f>
        <v/>
      </c>
      <c r="C2436" s="32">
        <f>'20250815_ETF_Options_Exhibits'!AE2436</f>
        <v/>
      </c>
    </row>
    <row r="2437">
      <c r="A2437" s="1">
        <f>'20250815_ETF_Options_Exhibits'!AC2437</f>
        <v/>
      </c>
      <c r="B2437" s="32">
        <f>'20250815_ETF_Options_Exhibits'!AD2437</f>
        <v/>
      </c>
      <c r="C2437" s="32">
        <f>'20250815_ETF_Options_Exhibits'!AE2437</f>
        <v/>
      </c>
    </row>
    <row r="2438">
      <c r="A2438" s="1">
        <f>'20250815_ETF_Options_Exhibits'!AC2438</f>
        <v/>
      </c>
      <c r="B2438" s="32">
        <f>'20250815_ETF_Options_Exhibits'!AD2438</f>
        <v/>
      </c>
      <c r="C2438" s="32">
        <f>'20250815_ETF_Options_Exhibits'!AE2438</f>
        <v/>
      </c>
    </row>
    <row r="2439">
      <c r="A2439" s="1">
        <f>'20250815_ETF_Options_Exhibits'!AC2439</f>
        <v/>
      </c>
      <c r="B2439" s="32">
        <f>'20250815_ETF_Options_Exhibits'!AD2439</f>
        <v/>
      </c>
      <c r="C2439" s="32">
        <f>'20250815_ETF_Options_Exhibits'!AE2439</f>
        <v/>
      </c>
    </row>
    <row r="2440">
      <c r="A2440" s="1">
        <f>'20250815_ETF_Options_Exhibits'!AC2440</f>
        <v/>
      </c>
      <c r="B2440" s="32">
        <f>'20250815_ETF_Options_Exhibits'!AD2440</f>
        <v/>
      </c>
      <c r="C2440" s="32">
        <f>'20250815_ETF_Options_Exhibits'!AE2440</f>
        <v/>
      </c>
    </row>
    <row r="2441">
      <c r="A2441" s="1">
        <f>'20250815_ETF_Options_Exhibits'!AC2441</f>
        <v/>
      </c>
      <c r="B2441" s="32">
        <f>'20250815_ETF_Options_Exhibits'!AD2441</f>
        <v/>
      </c>
      <c r="C2441" s="32">
        <f>'20250815_ETF_Options_Exhibits'!AE2441</f>
        <v/>
      </c>
    </row>
    <row r="2442">
      <c r="A2442" s="1">
        <f>'20250815_ETF_Options_Exhibits'!AC2442</f>
        <v/>
      </c>
      <c r="B2442" s="32">
        <f>'20250815_ETF_Options_Exhibits'!AD2442</f>
        <v/>
      </c>
      <c r="C2442" s="32">
        <f>'20250815_ETF_Options_Exhibits'!AE2442</f>
        <v/>
      </c>
    </row>
    <row r="2443">
      <c r="A2443" s="1">
        <f>'20250815_ETF_Options_Exhibits'!AC2443</f>
        <v/>
      </c>
      <c r="B2443" s="32">
        <f>'20250815_ETF_Options_Exhibits'!AD2443</f>
        <v/>
      </c>
      <c r="C2443" s="32">
        <f>'20250815_ETF_Options_Exhibits'!AE2443</f>
        <v/>
      </c>
    </row>
    <row r="2444">
      <c r="A2444" s="1">
        <f>'20250815_ETF_Options_Exhibits'!AC2444</f>
        <v/>
      </c>
      <c r="B2444" s="32">
        <f>'20250815_ETF_Options_Exhibits'!AD2444</f>
        <v/>
      </c>
      <c r="C2444" s="32">
        <f>'20250815_ETF_Options_Exhibits'!AE2444</f>
        <v/>
      </c>
    </row>
    <row r="2445">
      <c r="A2445" s="1">
        <f>'20250815_ETF_Options_Exhibits'!AC2445</f>
        <v/>
      </c>
      <c r="B2445" s="32">
        <f>'20250815_ETF_Options_Exhibits'!AD2445</f>
        <v/>
      </c>
      <c r="C2445" s="32">
        <f>'20250815_ETF_Options_Exhibits'!AE2445</f>
        <v/>
      </c>
    </row>
    <row r="2446">
      <c r="A2446" s="1">
        <f>'20250815_ETF_Options_Exhibits'!AC2446</f>
        <v/>
      </c>
      <c r="B2446" s="32">
        <f>'20250815_ETF_Options_Exhibits'!AD2446</f>
        <v/>
      </c>
      <c r="C2446" s="32">
        <f>'20250815_ETF_Options_Exhibits'!AE2446</f>
        <v/>
      </c>
    </row>
    <row r="2447">
      <c r="A2447" s="1">
        <f>'20250815_ETF_Options_Exhibits'!AC2447</f>
        <v/>
      </c>
      <c r="B2447" s="32">
        <f>'20250815_ETF_Options_Exhibits'!AD2447</f>
        <v/>
      </c>
      <c r="C2447" s="32">
        <f>'20250815_ETF_Options_Exhibits'!AE2447</f>
        <v/>
      </c>
    </row>
    <row r="2448">
      <c r="A2448" s="1">
        <f>'20250815_ETF_Options_Exhibits'!AC2448</f>
        <v/>
      </c>
      <c r="B2448" s="32">
        <f>'20250815_ETF_Options_Exhibits'!AD2448</f>
        <v/>
      </c>
      <c r="C2448" s="32">
        <f>'20250815_ETF_Options_Exhibits'!AE2448</f>
        <v/>
      </c>
    </row>
    <row r="2449">
      <c r="A2449" s="1">
        <f>'20250815_ETF_Options_Exhibits'!AC2449</f>
        <v/>
      </c>
      <c r="B2449" s="32">
        <f>'20250815_ETF_Options_Exhibits'!AD2449</f>
        <v/>
      </c>
      <c r="C2449" s="32">
        <f>'20250815_ETF_Options_Exhibits'!AE2449</f>
        <v/>
      </c>
    </row>
    <row r="2450">
      <c r="A2450" s="1">
        <f>'20250815_ETF_Options_Exhibits'!AC2450</f>
        <v/>
      </c>
      <c r="B2450" s="32">
        <f>'20250815_ETF_Options_Exhibits'!AD2450</f>
        <v/>
      </c>
      <c r="C2450" s="32">
        <f>'20250815_ETF_Options_Exhibits'!AE2450</f>
        <v/>
      </c>
    </row>
    <row r="2451">
      <c r="A2451" s="1">
        <f>'20250815_ETF_Options_Exhibits'!AC2451</f>
        <v/>
      </c>
      <c r="B2451" s="32">
        <f>'20250815_ETF_Options_Exhibits'!AD2451</f>
        <v/>
      </c>
      <c r="C2451" s="32">
        <f>'20250815_ETF_Options_Exhibits'!AE2451</f>
        <v/>
      </c>
    </row>
    <row r="2452">
      <c r="A2452" s="1">
        <f>'20250815_ETF_Options_Exhibits'!AC2452</f>
        <v/>
      </c>
      <c r="B2452" s="32">
        <f>'20250815_ETF_Options_Exhibits'!AD2452</f>
        <v/>
      </c>
      <c r="C2452" s="32">
        <f>'20250815_ETF_Options_Exhibits'!AE2452</f>
        <v/>
      </c>
    </row>
    <row r="2453">
      <c r="A2453" s="1">
        <f>'20250815_ETF_Options_Exhibits'!AC2453</f>
        <v/>
      </c>
      <c r="B2453" s="32">
        <f>'20250815_ETF_Options_Exhibits'!AD2453</f>
        <v/>
      </c>
      <c r="C2453" s="32">
        <f>'20250815_ETF_Options_Exhibits'!AE2453</f>
        <v/>
      </c>
    </row>
    <row r="2454">
      <c r="A2454" s="1">
        <f>'20250815_ETF_Options_Exhibits'!AC2454</f>
        <v/>
      </c>
      <c r="B2454" s="32">
        <f>'20250815_ETF_Options_Exhibits'!AD2454</f>
        <v/>
      </c>
      <c r="C2454" s="32">
        <f>'20250815_ETF_Options_Exhibits'!AE2454</f>
        <v/>
      </c>
    </row>
    <row r="2455">
      <c r="A2455" s="1">
        <f>'20250815_ETF_Options_Exhibits'!AC2455</f>
        <v/>
      </c>
      <c r="B2455" s="32">
        <f>'20250815_ETF_Options_Exhibits'!AD2455</f>
        <v/>
      </c>
      <c r="C2455" s="32">
        <f>'20250815_ETF_Options_Exhibits'!AE2455</f>
        <v/>
      </c>
    </row>
    <row r="2456">
      <c r="A2456" s="1">
        <f>'20250815_ETF_Options_Exhibits'!AC2456</f>
        <v/>
      </c>
      <c r="B2456" s="32">
        <f>'20250815_ETF_Options_Exhibits'!AD2456</f>
        <v/>
      </c>
      <c r="C2456" s="32">
        <f>'20250815_ETF_Options_Exhibits'!AE2456</f>
        <v/>
      </c>
    </row>
    <row r="2457">
      <c r="A2457" s="1">
        <f>'20250815_ETF_Options_Exhibits'!AC2457</f>
        <v/>
      </c>
      <c r="B2457" s="32">
        <f>'20250815_ETF_Options_Exhibits'!AD2457</f>
        <v/>
      </c>
      <c r="C2457" s="32">
        <f>'20250815_ETF_Options_Exhibits'!AE2457</f>
        <v/>
      </c>
    </row>
    <row r="2458">
      <c r="A2458" s="1">
        <f>'20250815_ETF_Options_Exhibits'!AC2458</f>
        <v/>
      </c>
      <c r="B2458" s="32">
        <f>'20250815_ETF_Options_Exhibits'!AD2458</f>
        <v/>
      </c>
      <c r="C2458" s="32">
        <f>'20250815_ETF_Options_Exhibits'!AE2458</f>
        <v/>
      </c>
    </row>
    <row r="2459">
      <c r="A2459" s="1">
        <f>'20250815_ETF_Options_Exhibits'!AC2459</f>
        <v/>
      </c>
      <c r="B2459" s="32">
        <f>'20250815_ETF_Options_Exhibits'!AD2459</f>
        <v/>
      </c>
      <c r="C2459" s="32">
        <f>'20250815_ETF_Options_Exhibits'!AE2459</f>
        <v/>
      </c>
    </row>
    <row r="2460">
      <c r="A2460" s="1">
        <f>'20250815_ETF_Options_Exhibits'!AC2460</f>
        <v/>
      </c>
      <c r="B2460" s="32">
        <f>'20250815_ETF_Options_Exhibits'!AD2460</f>
        <v/>
      </c>
      <c r="C2460" s="32">
        <f>'20250815_ETF_Options_Exhibits'!AE2460</f>
        <v/>
      </c>
    </row>
    <row r="2461">
      <c r="A2461" s="1">
        <f>'20250815_ETF_Options_Exhibits'!AC2461</f>
        <v/>
      </c>
      <c r="B2461" s="32">
        <f>'20250815_ETF_Options_Exhibits'!AD2461</f>
        <v/>
      </c>
      <c r="C2461" s="32">
        <f>'20250815_ETF_Options_Exhibits'!AE2461</f>
        <v/>
      </c>
    </row>
    <row r="2462">
      <c r="A2462" s="1">
        <f>'20250815_ETF_Options_Exhibits'!AC2462</f>
        <v/>
      </c>
      <c r="B2462" s="32">
        <f>'20250815_ETF_Options_Exhibits'!AD2462</f>
        <v/>
      </c>
      <c r="C2462" s="32">
        <f>'20250815_ETF_Options_Exhibits'!AE2462</f>
        <v/>
      </c>
    </row>
    <row r="2463">
      <c r="A2463" s="1">
        <f>'20250815_ETF_Options_Exhibits'!AC2463</f>
        <v/>
      </c>
      <c r="B2463" s="32">
        <f>'20250815_ETF_Options_Exhibits'!AD2463</f>
        <v/>
      </c>
      <c r="C2463" s="32">
        <f>'20250815_ETF_Options_Exhibits'!AE2463</f>
        <v/>
      </c>
    </row>
    <row r="2464">
      <c r="A2464" s="1">
        <f>'20250815_ETF_Options_Exhibits'!AC2464</f>
        <v/>
      </c>
      <c r="B2464" s="32">
        <f>'20250815_ETF_Options_Exhibits'!AD2464</f>
        <v/>
      </c>
      <c r="C2464" s="32">
        <f>'20250815_ETF_Options_Exhibits'!AE2464</f>
        <v/>
      </c>
    </row>
    <row r="2465">
      <c r="A2465" s="1">
        <f>'20250815_ETF_Options_Exhibits'!AC2465</f>
        <v/>
      </c>
      <c r="B2465" s="32">
        <f>'20250815_ETF_Options_Exhibits'!AD2465</f>
        <v/>
      </c>
      <c r="C2465" s="32">
        <f>'20250815_ETF_Options_Exhibits'!AE2465</f>
        <v/>
      </c>
    </row>
    <row r="2466">
      <c r="A2466" s="1">
        <f>'20250815_ETF_Options_Exhibits'!AC2466</f>
        <v/>
      </c>
      <c r="B2466" s="32">
        <f>'20250815_ETF_Options_Exhibits'!AD2466</f>
        <v/>
      </c>
      <c r="C2466" s="32">
        <f>'20250815_ETF_Options_Exhibits'!AE2466</f>
        <v/>
      </c>
    </row>
    <row r="2467">
      <c r="A2467" s="1">
        <f>'20250815_ETF_Options_Exhibits'!AC2467</f>
        <v/>
      </c>
      <c r="B2467" s="32">
        <f>'20250815_ETF_Options_Exhibits'!AD2467</f>
        <v/>
      </c>
      <c r="C2467" s="32">
        <f>'20250815_ETF_Options_Exhibits'!AE2467</f>
        <v/>
      </c>
    </row>
    <row r="2468">
      <c r="A2468" s="1">
        <f>'20250815_ETF_Options_Exhibits'!AC2468</f>
        <v/>
      </c>
      <c r="B2468" s="32">
        <f>'20250815_ETF_Options_Exhibits'!AD2468</f>
        <v/>
      </c>
      <c r="C2468" s="32">
        <f>'20250815_ETF_Options_Exhibits'!AE2468</f>
        <v/>
      </c>
    </row>
    <row r="2469">
      <c r="A2469" s="1">
        <f>'20250815_ETF_Options_Exhibits'!AC2469</f>
        <v/>
      </c>
      <c r="B2469" s="32">
        <f>'20250815_ETF_Options_Exhibits'!AD2469</f>
        <v/>
      </c>
      <c r="C2469" s="32">
        <f>'20250815_ETF_Options_Exhibits'!AE2469</f>
        <v/>
      </c>
    </row>
    <row r="2470">
      <c r="A2470" s="1">
        <f>'20250815_ETF_Options_Exhibits'!AC2470</f>
        <v/>
      </c>
      <c r="B2470" s="32">
        <f>'20250815_ETF_Options_Exhibits'!AD2470</f>
        <v/>
      </c>
      <c r="C2470" s="32">
        <f>'20250815_ETF_Options_Exhibits'!AE2470</f>
        <v/>
      </c>
    </row>
    <row r="2471">
      <c r="A2471" s="1">
        <f>'20250815_ETF_Options_Exhibits'!AC2471</f>
        <v/>
      </c>
      <c r="B2471" s="32">
        <f>'20250815_ETF_Options_Exhibits'!AD2471</f>
        <v/>
      </c>
      <c r="C2471" s="32">
        <f>'20250815_ETF_Options_Exhibits'!AE2471</f>
        <v/>
      </c>
    </row>
    <row r="2472">
      <c r="A2472" s="1">
        <f>'20250815_ETF_Options_Exhibits'!AC2472</f>
        <v/>
      </c>
      <c r="B2472" s="32">
        <f>'20250815_ETF_Options_Exhibits'!AD2472</f>
        <v/>
      </c>
      <c r="C2472" s="32">
        <f>'20250815_ETF_Options_Exhibits'!AE2472</f>
        <v/>
      </c>
    </row>
    <row r="2473">
      <c r="A2473" s="1">
        <f>'20250815_ETF_Options_Exhibits'!AC2473</f>
        <v/>
      </c>
      <c r="B2473" s="32">
        <f>'20250815_ETF_Options_Exhibits'!AD2473</f>
        <v/>
      </c>
      <c r="C2473" s="32">
        <f>'20250815_ETF_Options_Exhibits'!AE2473</f>
        <v/>
      </c>
    </row>
    <row r="2474">
      <c r="A2474" s="1">
        <f>'20250815_ETF_Options_Exhibits'!AC2474</f>
        <v/>
      </c>
      <c r="B2474" s="32">
        <f>'20250815_ETF_Options_Exhibits'!AD2474</f>
        <v/>
      </c>
      <c r="C2474" s="32">
        <f>'20250815_ETF_Options_Exhibits'!AE2474</f>
        <v/>
      </c>
    </row>
    <row r="2475">
      <c r="A2475" s="1">
        <f>'20250815_ETF_Options_Exhibits'!AC2475</f>
        <v/>
      </c>
      <c r="B2475" s="32">
        <f>'20250815_ETF_Options_Exhibits'!AD2475</f>
        <v/>
      </c>
      <c r="C2475" s="32">
        <f>'20250815_ETF_Options_Exhibits'!AE2475</f>
        <v/>
      </c>
    </row>
    <row r="2476">
      <c r="A2476" s="1">
        <f>'20250815_ETF_Options_Exhibits'!AC2476</f>
        <v/>
      </c>
      <c r="B2476" s="32">
        <f>'20250815_ETF_Options_Exhibits'!AD2476</f>
        <v/>
      </c>
      <c r="C2476" s="32">
        <f>'20250815_ETF_Options_Exhibits'!AE2476</f>
        <v/>
      </c>
    </row>
    <row r="2477">
      <c r="A2477" s="1">
        <f>'20250815_ETF_Options_Exhibits'!AC2477</f>
        <v/>
      </c>
      <c r="B2477" s="32">
        <f>'20250815_ETF_Options_Exhibits'!AD2477</f>
        <v/>
      </c>
      <c r="C2477" s="32">
        <f>'20250815_ETF_Options_Exhibits'!AE2477</f>
        <v/>
      </c>
    </row>
    <row r="2478">
      <c r="A2478" s="1">
        <f>'20250815_ETF_Options_Exhibits'!AC2478</f>
        <v/>
      </c>
      <c r="B2478" s="32">
        <f>'20250815_ETF_Options_Exhibits'!AD2478</f>
        <v/>
      </c>
      <c r="C2478" s="32">
        <f>'20250815_ETF_Options_Exhibits'!AE2478</f>
        <v/>
      </c>
    </row>
    <row r="2479">
      <c r="A2479" s="1">
        <f>'20250815_ETF_Options_Exhibits'!AC2479</f>
        <v/>
      </c>
      <c r="B2479" s="32">
        <f>'20250815_ETF_Options_Exhibits'!AD2479</f>
        <v/>
      </c>
      <c r="C2479" s="32">
        <f>'20250815_ETF_Options_Exhibits'!AE2479</f>
        <v/>
      </c>
    </row>
    <row r="2480">
      <c r="A2480" s="1">
        <f>'20250815_ETF_Options_Exhibits'!AC2480</f>
        <v/>
      </c>
      <c r="B2480" s="32">
        <f>'20250815_ETF_Options_Exhibits'!AD2480</f>
        <v/>
      </c>
      <c r="C2480" s="32">
        <f>'20250815_ETF_Options_Exhibits'!AE2480</f>
        <v/>
      </c>
    </row>
    <row r="2481">
      <c r="A2481" s="1">
        <f>'20250815_ETF_Options_Exhibits'!AC2481</f>
        <v/>
      </c>
      <c r="B2481" s="32">
        <f>'20250815_ETF_Options_Exhibits'!AD2481</f>
        <v/>
      </c>
      <c r="C2481" s="32">
        <f>'20250815_ETF_Options_Exhibits'!AE2481</f>
        <v/>
      </c>
    </row>
    <row r="2482">
      <c r="A2482" s="1">
        <f>'20250815_ETF_Options_Exhibits'!AC2482</f>
        <v/>
      </c>
      <c r="B2482" s="32">
        <f>'20250815_ETF_Options_Exhibits'!AD2482</f>
        <v/>
      </c>
      <c r="C2482" s="32">
        <f>'20250815_ETF_Options_Exhibits'!AE2482</f>
        <v/>
      </c>
    </row>
    <row r="2483">
      <c r="A2483" s="1">
        <f>'20250815_ETF_Options_Exhibits'!AC2483</f>
        <v/>
      </c>
      <c r="B2483" s="32">
        <f>'20250815_ETF_Options_Exhibits'!AD2483</f>
        <v/>
      </c>
      <c r="C2483" s="32">
        <f>'20250815_ETF_Options_Exhibits'!AE2483</f>
        <v/>
      </c>
    </row>
    <row r="2484">
      <c r="A2484" s="1">
        <f>'20250815_ETF_Options_Exhibits'!AC2484</f>
        <v/>
      </c>
      <c r="B2484" s="32">
        <f>'20250815_ETF_Options_Exhibits'!AD2484</f>
        <v/>
      </c>
      <c r="C2484" s="32">
        <f>'20250815_ETF_Options_Exhibits'!AE2484</f>
        <v/>
      </c>
    </row>
    <row r="2485">
      <c r="A2485" s="1">
        <f>'20250815_ETF_Options_Exhibits'!AC2485</f>
        <v/>
      </c>
      <c r="B2485" s="32">
        <f>'20250815_ETF_Options_Exhibits'!AD2485</f>
        <v/>
      </c>
      <c r="C2485" s="32">
        <f>'20250815_ETF_Options_Exhibits'!AE2485</f>
        <v/>
      </c>
    </row>
    <row r="2486">
      <c r="A2486" s="1">
        <f>'20250815_ETF_Options_Exhibits'!AC2486</f>
        <v/>
      </c>
      <c r="B2486" s="32">
        <f>'20250815_ETF_Options_Exhibits'!AD2486</f>
        <v/>
      </c>
      <c r="C2486" s="32">
        <f>'20250815_ETF_Options_Exhibits'!AE2486</f>
        <v/>
      </c>
    </row>
    <row r="2487">
      <c r="A2487" s="1">
        <f>'20250815_ETF_Options_Exhibits'!AC2487</f>
        <v/>
      </c>
      <c r="B2487" s="32">
        <f>'20250815_ETF_Options_Exhibits'!AD2487</f>
        <v/>
      </c>
      <c r="C2487" s="32">
        <f>'20250815_ETF_Options_Exhibits'!AE2487</f>
        <v/>
      </c>
    </row>
    <row r="2488">
      <c r="A2488" s="1">
        <f>'20250815_ETF_Options_Exhibits'!AC2488</f>
        <v/>
      </c>
      <c r="B2488" s="32">
        <f>'20250815_ETF_Options_Exhibits'!AD2488</f>
        <v/>
      </c>
      <c r="C2488" s="32">
        <f>'20250815_ETF_Options_Exhibits'!AE2488</f>
        <v/>
      </c>
    </row>
    <row r="2489">
      <c r="A2489" s="1">
        <f>'20250815_ETF_Options_Exhibits'!AC2489</f>
        <v/>
      </c>
      <c r="B2489" s="32">
        <f>'20250815_ETF_Options_Exhibits'!AD2489</f>
        <v/>
      </c>
      <c r="C2489" s="32">
        <f>'20250815_ETF_Options_Exhibits'!AE2489</f>
        <v/>
      </c>
    </row>
    <row r="2490">
      <c r="A2490" s="1">
        <f>'20250815_ETF_Options_Exhibits'!AC2490</f>
        <v/>
      </c>
      <c r="B2490" s="32">
        <f>'20250815_ETF_Options_Exhibits'!AD2490</f>
        <v/>
      </c>
      <c r="C2490" s="32">
        <f>'20250815_ETF_Options_Exhibits'!AE2490</f>
        <v/>
      </c>
    </row>
    <row r="2491">
      <c r="A2491" s="1">
        <f>'20250815_ETF_Options_Exhibits'!AC2491</f>
        <v/>
      </c>
      <c r="B2491" s="32">
        <f>'20250815_ETF_Options_Exhibits'!AD2491</f>
        <v/>
      </c>
      <c r="C2491" s="32">
        <f>'20250815_ETF_Options_Exhibits'!AE2491</f>
        <v/>
      </c>
    </row>
    <row r="2492">
      <c r="A2492" s="1">
        <f>'20250815_ETF_Options_Exhibits'!AC2492</f>
        <v/>
      </c>
      <c r="B2492" s="32">
        <f>'20250815_ETF_Options_Exhibits'!AD2492</f>
        <v/>
      </c>
      <c r="C2492" s="32">
        <f>'20250815_ETF_Options_Exhibits'!AE2492</f>
        <v/>
      </c>
    </row>
    <row r="2493">
      <c r="A2493" s="1">
        <f>'20250815_ETF_Options_Exhibits'!AC2493</f>
        <v/>
      </c>
      <c r="B2493" s="32">
        <f>'20250815_ETF_Options_Exhibits'!AD2493</f>
        <v/>
      </c>
      <c r="C2493" s="32">
        <f>'20250815_ETF_Options_Exhibits'!AE2493</f>
        <v/>
      </c>
    </row>
    <row r="2494">
      <c r="A2494" s="1">
        <f>'20250815_ETF_Options_Exhibits'!AC2494</f>
        <v/>
      </c>
      <c r="B2494" s="32">
        <f>'20250815_ETF_Options_Exhibits'!AD2494</f>
        <v/>
      </c>
      <c r="C2494" s="32">
        <f>'20250815_ETF_Options_Exhibits'!AE2494</f>
        <v/>
      </c>
    </row>
    <row r="2495">
      <c r="A2495" s="1">
        <f>'20250815_ETF_Options_Exhibits'!AC2495</f>
        <v/>
      </c>
      <c r="B2495" s="32">
        <f>'20250815_ETF_Options_Exhibits'!AD2495</f>
        <v/>
      </c>
      <c r="C2495" s="32">
        <f>'20250815_ETF_Options_Exhibits'!AE2495</f>
        <v/>
      </c>
    </row>
    <row r="2496">
      <c r="A2496" s="1">
        <f>'20250815_ETF_Options_Exhibits'!AC2496</f>
        <v/>
      </c>
      <c r="B2496" s="32">
        <f>'20250815_ETF_Options_Exhibits'!AD2496</f>
        <v/>
      </c>
      <c r="C2496" s="32">
        <f>'20250815_ETF_Options_Exhibits'!AE2496</f>
        <v/>
      </c>
    </row>
    <row r="2497">
      <c r="A2497" s="1">
        <f>'20250815_ETF_Options_Exhibits'!AC2497</f>
        <v/>
      </c>
      <c r="B2497" s="32">
        <f>'20250815_ETF_Options_Exhibits'!AD2497</f>
        <v/>
      </c>
      <c r="C2497" s="32">
        <f>'20250815_ETF_Options_Exhibits'!AE2497</f>
        <v/>
      </c>
    </row>
    <row r="2498">
      <c r="A2498" s="1">
        <f>'20250815_ETF_Options_Exhibits'!AC2498</f>
        <v/>
      </c>
      <c r="B2498" s="32">
        <f>'20250815_ETF_Options_Exhibits'!AD2498</f>
        <v/>
      </c>
      <c r="C2498" s="32">
        <f>'20250815_ETF_Options_Exhibits'!AE2498</f>
        <v/>
      </c>
    </row>
    <row r="2499">
      <c r="A2499" s="1">
        <f>'20250815_ETF_Options_Exhibits'!AC2499</f>
        <v/>
      </c>
      <c r="B2499" s="32">
        <f>'20250815_ETF_Options_Exhibits'!AD2499</f>
        <v/>
      </c>
      <c r="C2499" s="32">
        <f>'20250815_ETF_Options_Exhibits'!AE2499</f>
        <v/>
      </c>
    </row>
    <row r="2500">
      <c r="A2500" s="1">
        <f>'20250815_ETF_Options_Exhibits'!AC2500</f>
        <v/>
      </c>
      <c r="B2500" s="32">
        <f>'20250815_ETF_Options_Exhibits'!AD2500</f>
        <v/>
      </c>
      <c r="C2500" s="32">
        <f>'20250815_ETF_Options_Exhibits'!AE2500</f>
        <v/>
      </c>
    </row>
    <row r="2501">
      <c r="A2501" s="1">
        <f>'20250815_ETF_Options_Exhibits'!AC2501</f>
        <v/>
      </c>
      <c r="B2501" s="32">
        <f>'20250815_ETF_Options_Exhibits'!AD2501</f>
        <v/>
      </c>
      <c r="C2501" s="32">
        <f>'20250815_ETF_Options_Exhibits'!AE2501</f>
        <v/>
      </c>
    </row>
    <row r="2502">
      <c r="A2502" s="1">
        <f>'20250815_ETF_Options_Exhibits'!AC2502</f>
        <v/>
      </c>
      <c r="B2502" s="32">
        <f>'20250815_ETF_Options_Exhibits'!AD2502</f>
        <v/>
      </c>
      <c r="C2502" s="32">
        <f>'20250815_ETF_Options_Exhibits'!AE2502</f>
        <v/>
      </c>
    </row>
    <row r="2503">
      <c r="A2503" s="1">
        <f>'20250815_ETF_Options_Exhibits'!AC2503</f>
        <v/>
      </c>
      <c r="B2503" s="32">
        <f>'20250815_ETF_Options_Exhibits'!AD2503</f>
        <v/>
      </c>
      <c r="C2503" s="32">
        <f>'20250815_ETF_Options_Exhibits'!AE2503</f>
        <v/>
      </c>
    </row>
    <row r="2504">
      <c r="A2504" s="1">
        <f>'20250815_ETF_Options_Exhibits'!AC2504</f>
        <v/>
      </c>
      <c r="B2504" s="32">
        <f>'20250815_ETF_Options_Exhibits'!AD2504</f>
        <v/>
      </c>
      <c r="C2504" s="32">
        <f>'20250815_ETF_Options_Exhibits'!AE2504</f>
        <v/>
      </c>
    </row>
    <row r="2505">
      <c r="A2505" s="1">
        <f>'20250815_ETF_Options_Exhibits'!AC2505</f>
        <v/>
      </c>
      <c r="B2505" s="32">
        <f>'20250815_ETF_Options_Exhibits'!AD2505</f>
        <v/>
      </c>
      <c r="C2505" s="32">
        <f>'20250815_ETF_Options_Exhibits'!AE2505</f>
        <v/>
      </c>
    </row>
    <row r="2506">
      <c r="A2506" s="1">
        <f>'20250815_ETF_Options_Exhibits'!AC2506</f>
        <v/>
      </c>
      <c r="B2506" s="32">
        <f>'20250815_ETF_Options_Exhibits'!AD2506</f>
        <v/>
      </c>
      <c r="C2506" s="32">
        <f>'20250815_ETF_Options_Exhibits'!AE2506</f>
        <v/>
      </c>
    </row>
    <row r="2507">
      <c r="A2507" s="1">
        <f>'20250815_ETF_Options_Exhibits'!AC2507</f>
        <v/>
      </c>
      <c r="B2507" s="32">
        <f>'20250815_ETF_Options_Exhibits'!AD2507</f>
        <v/>
      </c>
      <c r="C2507" s="32">
        <f>'20250815_ETF_Options_Exhibits'!AE2507</f>
        <v/>
      </c>
    </row>
    <row r="2508">
      <c r="A2508" s="1">
        <f>'20250815_ETF_Options_Exhibits'!AC2508</f>
        <v/>
      </c>
      <c r="B2508" s="32">
        <f>'20250815_ETF_Options_Exhibits'!AD2508</f>
        <v/>
      </c>
      <c r="C2508" s="32">
        <f>'20250815_ETF_Options_Exhibits'!AE2508</f>
        <v/>
      </c>
    </row>
    <row r="2509">
      <c r="A2509" s="1">
        <f>'20250815_ETF_Options_Exhibits'!AC2509</f>
        <v/>
      </c>
      <c r="B2509" s="32">
        <f>'20250815_ETF_Options_Exhibits'!AD2509</f>
        <v/>
      </c>
      <c r="C2509" s="32">
        <f>'20250815_ETF_Options_Exhibits'!AE2509</f>
        <v/>
      </c>
    </row>
    <row r="2510">
      <c r="A2510" s="1">
        <f>'20250815_ETF_Options_Exhibits'!AC2510</f>
        <v/>
      </c>
      <c r="B2510" s="32">
        <f>'20250815_ETF_Options_Exhibits'!AD2510</f>
        <v/>
      </c>
      <c r="C2510" s="32">
        <f>'20250815_ETF_Options_Exhibits'!AE2510</f>
        <v/>
      </c>
    </row>
    <row r="2511">
      <c r="A2511" s="1">
        <f>'20250815_ETF_Options_Exhibits'!AC2511</f>
        <v/>
      </c>
      <c r="B2511" s="32">
        <f>'20250815_ETF_Options_Exhibits'!AD2511</f>
        <v/>
      </c>
      <c r="C2511" s="32">
        <f>'20250815_ETF_Options_Exhibits'!AE2511</f>
        <v/>
      </c>
    </row>
    <row r="2512">
      <c r="A2512" s="1">
        <f>'20250815_ETF_Options_Exhibits'!AC2512</f>
        <v/>
      </c>
      <c r="B2512" s="32">
        <f>'20250815_ETF_Options_Exhibits'!AD2512</f>
        <v/>
      </c>
      <c r="C2512" s="32">
        <f>'20250815_ETF_Options_Exhibits'!AE2512</f>
        <v/>
      </c>
    </row>
    <row r="2513">
      <c r="A2513" s="1">
        <f>'20250815_ETF_Options_Exhibits'!AC2513</f>
        <v/>
      </c>
      <c r="B2513" s="32">
        <f>'20250815_ETF_Options_Exhibits'!AD2513</f>
        <v/>
      </c>
      <c r="C2513" s="32">
        <f>'20250815_ETF_Options_Exhibits'!AE2513</f>
        <v/>
      </c>
    </row>
    <row r="2514">
      <c r="A2514" s="1">
        <f>'20250815_ETF_Options_Exhibits'!AC2514</f>
        <v/>
      </c>
      <c r="B2514" s="32">
        <f>'20250815_ETF_Options_Exhibits'!AD2514</f>
        <v/>
      </c>
      <c r="C2514" s="32">
        <f>'20250815_ETF_Options_Exhibits'!AE2514</f>
        <v/>
      </c>
    </row>
    <row r="2515">
      <c r="A2515" s="1">
        <f>'20250815_ETF_Options_Exhibits'!AC2515</f>
        <v/>
      </c>
      <c r="B2515" s="32">
        <f>'20250815_ETF_Options_Exhibits'!AD2515</f>
        <v/>
      </c>
      <c r="C2515" s="32">
        <f>'20250815_ETF_Options_Exhibits'!AE2515</f>
        <v/>
      </c>
    </row>
    <row r="2516">
      <c r="A2516" s="1">
        <f>'20250815_ETF_Options_Exhibits'!AC2516</f>
        <v/>
      </c>
      <c r="B2516" s="32">
        <f>'20250815_ETF_Options_Exhibits'!AD2516</f>
        <v/>
      </c>
      <c r="C2516" s="32">
        <f>'20250815_ETF_Options_Exhibits'!AE2516</f>
        <v/>
      </c>
    </row>
    <row r="2517">
      <c r="A2517" s="1">
        <f>'20250815_ETF_Options_Exhibits'!AC2517</f>
        <v/>
      </c>
      <c r="B2517" s="32">
        <f>'20250815_ETF_Options_Exhibits'!AD2517</f>
        <v/>
      </c>
      <c r="C2517" s="32">
        <f>'20250815_ETF_Options_Exhibits'!AE2517</f>
        <v/>
      </c>
    </row>
    <row r="2518">
      <c r="A2518" s="1">
        <f>'20250815_ETF_Options_Exhibits'!AC2518</f>
        <v/>
      </c>
      <c r="B2518" s="32">
        <f>'20250815_ETF_Options_Exhibits'!AD2518</f>
        <v/>
      </c>
      <c r="C2518" s="32">
        <f>'20250815_ETF_Options_Exhibits'!AE2518</f>
        <v/>
      </c>
    </row>
    <row r="2519">
      <c r="A2519" s="1">
        <f>'20250815_ETF_Options_Exhibits'!AC2519</f>
        <v/>
      </c>
      <c r="B2519" s="32">
        <f>'20250815_ETF_Options_Exhibits'!AD2519</f>
        <v/>
      </c>
      <c r="C2519" s="32">
        <f>'20250815_ETF_Options_Exhibits'!AE2519</f>
        <v/>
      </c>
    </row>
    <row r="2520">
      <c r="A2520" s="1">
        <f>'20250815_ETF_Options_Exhibits'!AC2520</f>
        <v/>
      </c>
      <c r="B2520" s="32">
        <f>'20250815_ETF_Options_Exhibits'!AD2520</f>
        <v/>
      </c>
      <c r="C2520" s="32">
        <f>'20250815_ETF_Options_Exhibits'!AE2520</f>
        <v/>
      </c>
    </row>
    <row r="2521">
      <c r="A2521" s="1">
        <f>'20250815_ETF_Options_Exhibits'!AC2521</f>
        <v/>
      </c>
      <c r="B2521" s="32">
        <f>'20250815_ETF_Options_Exhibits'!AD2521</f>
        <v/>
      </c>
      <c r="C2521" s="32">
        <f>'20250815_ETF_Options_Exhibits'!AE2521</f>
        <v/>
      </c>
    </row>
    <row r="2522">
      <c r="A2522" s="1">
        <f>'20250815_ETF_Options_Exhibits'!AC2522</f>
        <v/>
      </c>
      <c r="B2522" s="32">
        <f>'20250815_ETF_Options_Exhibits'!AD2522</f>
        <v/>
      </c>
      <c r="C2522" s="32">
        <f>'20250815_ETF_Options_Exhibits'!AE2522</f>
        <v/>
      </c>
    </row>
    <row r="2523">
      <c r="A2523" s="1">
        <f>'20250815_ETF_Options_Exhibits'!AC2523</f>
        <v/>
      </c>
      <c r="B2523" s="32">
        <f>'20250815_ETF_Options_Exhibits'!AD2523</f>
        <v/>
      </c>
      <c r="C2523" s="32">
        <f>'20250815_ETF_Options_Exhibits'!AE2523</f>
        <v/>
      </c>
    </row>
    <row r="2524">
      <c r="A2524" s="1">
        <f>'20250815_ETF_Options_Exhibits'!AC2524</f>
        <v/>
      </c>
      <c r="B2524" s="32">
        <f>'20250815_ETF_Options_Exhibits'!AD2524</f>
        <v/>
      </c>
      <c r="C2524" s="32">
        <f>'20250815_ETF_Options_Exhibits'!AE2524</f>
        <v/>
      </c>
    </row>
    <row r="2525">
      <c r="A2525" s="1">
        <f>'20250815_ETF_Options_Exhibits'!AC2525</f>
        <v/>
      </c>
      <c r="B2525" s="32">
        <f>'20250815_ETF_Options_Exhibits'!AD2525</f>
        <v/>
      </c>
      <c r="C2525" s="32">
        <f>'20250815_ETF_Options_Exhibits'!AE2525</f>
        <v/>
      </c>
    </row>
    <row r="2526">
      <c r="A2526" s="1">
        <f>'20250815_ETF_Options_Exhibits'!AC2526</f>
        <v/>
      </c>
      <c r="B2526" s="32">
        <f>'20250815_ETF_Options_Exhibits'!AD2526</f>
        <v/>
      </c>
      <c r="C2526" s="32">
        <f>'20250815_ETF_Options_Exhibits'!AE2526</f>
        <v/>
      </c>
    </row>
    <row r="2527">
      <c r="A2527" s="1">
        <f>'20250815_ETF_Options_Exhibits'!AC2527</f>
        <v/>
      </c>
      <c r="B2527" s="32">
        <f>'20250815_ETF_Options_Exhibits'!AD2527</f>
        <v/>
      </c>
      <c r="C2527" s="32">
        <f>'20250815_ETF_Options_Exhibits'!AE2527</f>
        <v/>
      </c>
    </row>
    <row r="2528">
      <c r="A2528" s="1">
        <f>'20250815_ETF_Options_Exhibits'!AC2528</f>
        <v/>
      </c>
      <c r="B2528" s="32">
        <f>'20250815_ETF_Options_Exhibits'!AD2528</f>
        <v/>
      </c>
      <c r="C2528" s="32">
        <f>'20250815_ETF_Options_Exhibits'!AE2528</f>
        <v/>
      </c>
    </row>
    <row r="2529">
      <c r="A2529" s="1">
        <f>'20250815_ETF_Options_Exhibits'!AC2529</f>
        <v/>
      </c>
      <c r="B2529" s="32">
        <f>'20250815_ETF_Options_Exhibits'!AD2529</f>
        <v/>
      </c>
      <c r="C2529" s="32">
        <f>'20250815_ETF_Options_Exhibits'!AE2529</f>
        <v/>
      </c>
    </row>
    <row r="2530">
      <c r="A2530" s="1">
        <f>'20250815_ETF_Options_Exhibits'!AC2530</f>
        <v/>
      </c>
      <c r="B2530" s="32">
        <f>'20250815_ETF_Options_Exhibits'!AD2530</f>
        <v/>
      </c>
      <c r="C2530" s="32">
        <f>'20250815_ETF_Options_Exhibits'!AE2530</f>
        <v/>
      </c>
    </row>
    <row r="2531">
      <c r="A2531" s="1">
        <f>'20250815_ETF_Options_Exhibits'!AC2531</f>
        <v/>
      </c>
      <c r="B2531" s="32">
        <f>'20250815_ETF_Options_Exhibits'!AD2531</f>
        <v/>
      </c>
      <c r="C2531" s="32">
        <f>'20250815_ETF_Options_Exhibits'!AE2531</f>
        <v/>
      </c>
    </row>
    <row r="2532">
      <c r="A2532" s="1">
        <f>'20250815_ETF_Options_Exhibits'!AC2532</f>
        <v/>
      </c>
      <c r="B2532" s="32">
        <f>'20250815_ETF_Options_Exhibits'!AD2532</f>
        <v/>
      </c>
      <c r="C2532" s="32">
        <f>'20250815_ETF_Options_Exhibits'!AE2532</f>
        <v/>
      </c>
    </row>
    <row r="2533">
      <c r="A2533" s="1">
        <f>'20250815_ETF_Options_Exhibits'!AC2533</f>
        <v/>
      </c>
      <c r="B2533" s="32">
        <f>'20250815_ETF_Options_Exhibits'!AD2533</f>
        <v/>
      </c>
      <c r="C2533" s="32">
        <f>'20250815_ETF_Options_Exhibits'!AE2533</f>
        <v/>
      </c>
    </row>
    <row r="2534">
      <c r="A2534" s="1">
        <f>'20250815_ETF_Options_Exhibits'!AC2534</f>
        <v/>
      </c>
      <c r="B2534" s="32">
        <f>'20250815_ETF_Options_Exhibits'!AD2534</f>
        <v/>
      </c>
      <c r="C2534" s="32">
        <f>'20250815_ETF_Options_Exhibits'!AE2534</f>
        <v/>
      </c>
    </row>
    <row r="2535">
      <c r="A2535" s="1">
        <f>'20250815_ETF_Options_Exhibits'!AC2535</f>
        <v/>
      </c>
      <c r="B2535" s="32">
        <f>'20250815_ETF_Options_Exhibits'!AD2535</f>
        <v/>
      </c>
      <c r="C2535" s="32">
        <f>'20250815_ETF_Options_Exhibits'!AE2535</f>
        <v/>
      </c>
    </row>
    <row r="2536">
      <c r="A2536" s="1">
        <f>'20250815_ETF_Options_Exhibits'!AC2536</f>
        <v/>
      </c>
      <c r="B2536" s="32">
        <f>'20250815_ETF_Options_Exhibits'!AD2536</f>
        <v/>
      </c>
      <c r="C2536" s="32">
        <f>'20250815_ETF_Options_Exhibits'!AE2536</f>
        <v/>
      </c>
    </row>
    <row r="2537">
      <c r="A2537" s="1">
        <f>'20250815_ETF_Options_Exhibits'!AC2537</f>
        <v/>
      </c>
      <c r="B2537" s="32">
        <f>'20250815_ETF_Options_Exhibits'!AD2537</f>
        <v/>
      </c>
      <c r="C2537" s="32">
        <f>'20250815_ETF_Options_Exhibits'!AE2537</f>
        <v/>
      </c>
    </row>
    <row r="2538">
      <c r="A2538" s="1">
        <f>'20250815_ETF_Options_Exhibits'!AC2538</f>
        <v/>
      </c>
      <c r="B2538" s="32">
        <f>'20250815_ETF_Options_Exhibits'!AD2538</f>
        <v/>
      </c>
      <c r="C2538" s="32">
        <f>'20250815_ETF_Options_Exhibits'!AE2538</f>
        <v/>
      </c>
    </row>
    <row r="2539">
      <c r="A2539" s="1">
        <f>'20250815_ETF_Options_Exhibits'!AC2539</f>
        <v/>
      </c>
      <c r="B2539" s="32">
        <f>'20250815_ETF_Options_Exhibits'!AD2539</f>
        <v/>
      </c>
      <c r="C2539" s="32">
        <f>'20250815_ETF_Options_Exhibits'!AE2539</f>
        <v/>
      </c>
    </row>
    <row r="2540">
      <c r="A2540" s="1">
        <f>'20250815_ETF_Options_Exhibits'!AC2540</f>
        <v/>
      </c>
      <c r="B2540" s="32">
        <f>'20250815_ETF_Options_Exhibits'!AD2540</f>
        <v/>
      </c>
      <c r="C2540" s="32">
        <f>'20250815_ETF_Options_Exhibits'!AE2540</f>
        <v/>
      </c>
    </row>
    <row r="2541">
      <c r="A2541" s="1">
        <f>'20250815_ETF_Options_Exhibits'!AC2541</f>
        <v/>
      </c>
      <c r="B2541" s="32">
        <f>'20250815_ETF_Options_Exhibits'!AD2541</f>
        <v/>
      </c>
      <c r="C2541" s="32">
        <f>'20250815_ETF_Options_Exhibits'!AE2541</f>
        <v/>
      </c>
    </row>
    <row r="2542">
      <c r="A2542" s="1">
        <f>'20250815_ETF_Options_Exhibits'!AC2542</f>
        <v/>
      </c>
      <c r="B2542" s="32">
        <f>'20250815_ETF_Options_Exhibits'!AD2542</f>
        <v/>
      </c>
      <c r="C2542" s="32">
        <f>'20250815_ETF_Options_Exhibits'!AE2542</f>
        <v/>
      </c>
    </row>
    <row r="2543">
      <c r="A2543" s="1">
        <f>'20250815_ETF_Options_Exhibits'!AC2543</f>
        <v/>
      </c>
      <c r="B2543" s="32">
        <f>'20250815_ETF_Options_Exhibits'!AD2543</f>
        <v/>
      </c>
      <c r="C2543" s="32">
        <f>'20250815_ETF_Options_Exhibits'!AE2543</f>
        <v/>
      </c>
    </row>
    <row r="2544">
      <c r="A2544" s="1">
        <f>'20250815_ETF_Options_Exhibits'!AC2544</f>
        <v/>
      </c>
      <c r="B2544" s="32">
        <f>'20250815_ETF_Options_Exhibits'!AD2544</f>
        <v/>
      </c>
      <c r="C2544" s="32">
        <f>'20250815_ETF_Options_Exhibits'!AE2544</f>
        <v/>
      </c>
    </row>
    <row r="2545">
      <c r="A2545" s="1">
        <f>'20250815_ETF_Options_Exhibits'!AC2545</f>
        <v/>
      </c>
      <c r="B2545" s="32">
        <f>'20250815_ETF_Options_Exhibits'!AD2545</f>
        <v/>
      </c>
      <c r="C2545" s="32">
        <f>'20250815_ETF_Options_Exhibits'!AE2545</f>
        <v/>
      </c>
    </row>
    <row r="2546">
      <c r="A2546" s="1">
        <f>'20250815_ETF_Options_Exhibits'!AC2546</f>
        <v/>
      </c>
      <c r="B2546" s="32">
        <f>'20250815_ETF_Options_Exhibits'!AD2546</f>
        <v/>
      </c>
      <c r="C2546" s="32">
        <f>'20250815_ETF_Options_Exhibits'!AE2546</f>
        <v/>
      </c>
    </row>
    <row r="2547">
      <c r="A2547" s="1">
        <f>'20250815_ETF_Options_Exhibits'!AC2547</f>
        <v/>
      </c>
      <c r="B2547" s="32">
        <f>'20250815_ETF_Options_Exhibits'!AD2547</f>
        <v/>
      </c>
      <c r="C2547" s="32">
        <f>'20250815_ETF_Options_Exhibits'!AE2547</f>
        <v/>
      </c>
    </row>
    <row r="2548">
      <c r="A2548" s="1">
        <f>'20250815_ETF_Options_Exhibits'!AC2548</f>
        <v/>
      </c>
      <c r="B2548" s="32">
        <f>'20250815_ETF_Options_Exhibits'!AD2548</f>
        <v/>
      </c>
      <c r="C2548" s="32">
        <f>'20250815_ETF_Options_Exhibits'!AE2548</f>
        <v/>
      </c>
    </row>
    <row r="2549">
      <c r="A2549" s="1">
        <f>'20250815_ETF_Options_Exhibits'!AC2549</f>
        <v/>
      </c>
      <c r="B2549" s="32">
        <f>'20250815_ETF_Options_Exhibits'!AD2549</f>
        <v/>
      </c>
      <c r="C2549" s="32">
        <f>'20250815_ETF_Options_Exhibits'!AE2549</f>
        <v/>
      </c>
    </row>
    <row r="2550">
      <c r="A2550" s="1">
        <f>'20250815_ETF_Options_Exhibits'!AC2550</f>
        <v/>
      </c>
      <c r="B2550" s="32">
        <f>'20250815_ETF_Options_Exhibits'!AD2550</f>
        <v/>
      </c>
      <c r="C2550" s="32">
        <f>'20250815_ETF_Options_Exhibits'!AE2550</f>
        <v/>
      </c>
    </row>
    <row r="2551">
      <c r="A2551" s="1">
        <f>'20250815_ETF_Options_Exhibits'!AC2551</f>
        <v/>
      </c>
      <c r="B2551" s="32">
        <f>'20250815_ETF_Options_Exhibits'!AD2551</f>
        <v/>
      </c>
      <c r="C2551" s="32">
        <f>'20250815_ETF_Options_Exhibits'!AE2551</f>
        <v/>
      </c>
    </row>
    <row r="2552">
      <c r="A2552" s="1">
        <f>'20250815_ETF_Options_Exhibits'!AC2552</f>
        <v/>
      </c>
      <c r="B2552" s="32">
        <f>'20250815_ETF_Options_Exhibits'!AD2552</f>
        <v/>
      </c>
      <c r="C2552" s="32">
        <f>'20250815_ETF_Options_Exhibits'!AE2552</f>
        <v/>
      </c>
    </row>
    <row r="2553">
      <c r="A2553" s="1">
        <f>'20250815_ETF_Options_Exhibits'!AC2553</f>
        <v/>
      </c>
      <c r="B2553" s="32">
        <f>'20250815_ETF_Options_Exhibits'!AD2553</f>
        <v/>
      </c>
      <c r="C2553" s="32">
        <f>'20250815_ETF_Options_Exhibits'!AE2553</f>
        <v/>
      </c>
    </row>
    <row r="2554">
      <c r="A2554" s="1">
        <f>'20250815_ETF_Options_Exhibits'!AC2554</f>
        <v/>
      </c>
      <c r="B2554" s="32">
        <f>'20250815_ETF_Options_Exhibits'!AD2554</f>
        <v/>
      </c>
      <c r="C2554" s="32">
        <f>'20250815_ETF_Options_Exhibits'!AE2554</f>
        <v/>
      </c>
    </row>
    <row r="2555">
      <c r="A2555" s="1">
        <f>'20250815_ETF_Options_Exhibits'!AC2555</f>
        <v/>
      </c>
      <c r="B2555" s="32">
        <f>'20250815_ETF_Options_Exhibits'!AD2555</f>
        <v/>
      </c>
      <c r="C2555" s="32">
        <f>'20250815_ETF_Options_Exhibits'!AE2555</f>
        <v/>
      </c>
    </row>
    <row r="2556">
      <c r="A2556" s="1">
        <f>'20250815_ETF_Options_Exhibits'!AC2556</f>
        <v/>
      </c>
      <c r="B2556" s="32">
        <f>'20250815_ETF_Options_Exhibits'!AD2556</f>
        <v/>
      </c>
      <c r="C2556" s="32">
        <f>'20250815_ETF_Options_Exhibits'!AE2556</f>
        <v/>
      </c>
    </row>
    <row r="2557">
      <c r="A2557" s="1">
        <f>'20250815_ETF_Options_Exhibits'!AC2557</f>
        <v/>
      </c>
      <c r="B2557" s="32">
        <f>'20250815_ETF_Options_Exhibits'!AD2557</f>
        <v/>
      </c>
      <c r="C2557" s="32">
        <f>'20250815_ETF_Options_Exhibits'!AE2557</f>
        <v/>
      </c>
    </row>
    <row r="2558">
      <c r="A2558" s="1">
        <f>'20250815_ETF_Options_Exhibits'!AC2558</f>
        <v/>
      </c>
      <c r="B2558" s="32">
        <f>'20250815_ETF_Options_Exhibits'!AD2558</f>
        <v/>
      </c>
      <c r="C2558" s="32">
        <f>'20250815_ETF_Options_Exhibits'!AE2558</f>
        <v/>
      </c>
    </row>
    <row r="2559">
      <c r="A2559" s="1">
        <f>'20250815_ETF_Options_Exhibits'!AC2559</f>
        <v/>
      </c>
      <c r="B2559" s="32">
        <f>'20250815_ETF_Options_Exhibits'!AD2559</f>
        <v/>
      </c>
      <c r="C2559" s="32">
        <f>'20250815_ETF_Options_Exhibits'!AE2559</f>
        <v/>
      </c>
    </row>
    <row r="2560">
      <c r="A2560" s="1">
        <f>'20250815_ETF_Options_Exhibits'!AC2560</f>
        <v/>
      </c>
      <c r="B2560" s="32">
        <f>'20250815_ETF_Options_Exhibits'!AD2560</f>
        <v/>
      </c>
      <c r="C2560" s="32">
        <f>'20250815_ETF_Options_Exhibits'!AE2560</f>
        <v/>
      </c>
    </row>
    <row r="2561">
      <c r="A2561" s="1">
        <f>'20250815_ETF_Options_Exhibits'!AC2561</f>
        <v/>
      </c>
      <c r="B2561" s="32">
        <f>'20250815_ETF_Options_Exhibits'!AD2561</f>
        <v/>
      </c>
      <c r="C2561" s="32">
        <f>'20250815_ETF_Options_Exhibits'!AE2561</f>
        <v/>
      </c>
    </row>
    <row r="2562">
      <c r="A2562" s="1">
        <f>'20250815_ETF_Options_Exhibits'!AC2562</f>
        <v/>
      </c>
      <c r="B2562" s="32">
        <f>'20250815_ETF_Options_Exhibits'!AD2562</f>
        <v/>
      </c>
      <c r="C2562" s="32">
        <f>'20250815_ETF_Options_Exhibits'!AE2562</f>
        <v/>
      </c>
    </row>
    <row r="2563">
      <c r="A2563" s="1">
        <f>'20250815_ETF_Options_Exhibits'!AC2563</f>
        <v/>
      </c>
      <c r="B2563" s="32">
        <f>'20250815_ETF_Options_Exhibits'!AD2563</f>
        <v/>
      </c>
      <c r="C2563" s="32">
        <f>'20250815_ETF_Options_Exhibits'!AE2563</f>
        <v/>
      </c>
    </row>
    <row r="2564">
      <c r="A2564" s="1">
        <f>'20250815_ETF_Options_Exhibits'!AC2564</f>
        <v/>
      </c>
      <c r="B2564" s="32">
        <f>'20250815_ETF_Options_Exhibits'!AD2564</f>
        <v/>
      </c>
      <c r="C2564" s="32">
        <f>'20250815_ETF_Options_Exhibits'!AE2564</f>
        <v/>
      </c>
    </row>
    <row r="2565">
      <c r="A2565" s="1">
        <f>'20250815_ETF_Options_Exhibits'!AC2565</f>
        <v/>
      </c>
      <c r="B2565" s="32">
        <f>'20250815_ETF_Options_Exhibits'!AD2565</f>
        <v/>
      </c>
      <c r="C2565" s="32">
        <f>'20250815_ETF_Options_Exhibits'!AE2565</f>
        <v/>
      </c>
    </row>
    <row r="2566">
      <c r="A2566" s="1">
        <f>'20250815_ETF_Options_Exhibits'!AC2566</f>
        <v/>
      </c>
      <c r="B2566" s="32">
        <f>'20250815_ETF_Options_Exhibits'!AD2566</f>
        <v/>
      </c>
      <c r="C2566" s="32">
        <f>'20250815_ETF_Options_Exhibits'!AE2566</f>
        <v/>
      </c>
    </row>
    <row r="2567">
      <c r="A2567" s="1">
        <f>'20250815_ETF_Options_Exhibits'!AC2567</f>
        <v/>
      </c>
      <c r="B2567" s="32">
        <f>'20250815_ETF_Options_Exhibits'!AD2567</f>
        <v/>
      </c>
      <c r="C2567" s="32">
        <f>'20250815_ETF_Options_Exhibits'!AE2567</f>
        <v/>
      </c>
    </row>
    <row r="2568">
      <c r="A2568" s="1">
        <f>'20250815_ETF_Options_Exhibits'!AC2568</f>
        <v/>
      </c>
      <c r="B2568" s="32">
        <f>'20250815_ETF_Options_Exhibits'!AD2568</f>
        <v/>
      </c>
      <c r="C2568" s="32">
        <f>'20250815_ETF_Options_Exhibits'!AE2568</f>
        <v/>
      </c>
    </row>
    <row r="2569">
      <c r="A2569" s="1">
        <f>'20250815_ETF_Options_Exhibits'!AC2569</f>
        <v/>
      </c>
      <c r="B2569" s="32">
        <f>'20250815_ETF_Options_Exhibits'!AD2569</f>
        <v/>
      </c>
      <c r="C2569" s="32">
        <f>'20250815_ETF_Options_Exhibits'!AE2569</f>
        <v/>
      </c>
    </row>
    <row r="2570">
      <c r="A2570" s="1">
        <f>'20250815_ETF_Options_Exhibits'!AC2570</f>
        <v/>
      </c>
      <c r="B2570" s="32">
        <f>'20250815_ETF_Options_Exhibits'!AD2570</f>
        <v/>
      </c>
      <c r="C2570" s="32">
        <f>'20250815_ETF_Options_Exhibits'!AE2570</f>
        <v/>
      </c>
    </row>
    <row r="2571">
      <c r="A2571" s="1">
        <f>'20250815_ETF_Options_Exhibits'!AC2571</f>
        <v/>
      </c>
      <c r="B2571" s="32">
        <f>'20250815_ETF_Options_Exhibits'!AD2571</f>
        <v/>
      </c>
      <c r="C2571" s="32">
        <f>'20250815_ETF_Options_Exhibits'!AE2571</f>
        <v/>
      </c>
    </row>
    <row r="2572">
      <c r="A2572" s="1">
        <f>'20250815_ETF_Options_Exhibits'!AC2572</f>
        <v/>
      </c>
      <c r="B2572" s="32">
        <f>'20250815_ETF_Options_Exhibits'!AD2572</f>
        <v/>
      </c>
      <c r="C2572" s="32">
        <f>'20250815_ETF_Options_Exhibits'!AE2572</f>
        <v/>
      </c>
    </row>
    <row r="2573">
      <c r="A2573" s="1">
        <f>'20250815_ETF_Options_Exhibits'!AC2573</f>
        <v/>
      </c>
      <c r="B2573" s="32">
        <f>'20250815_ETF_Options_Exhibits'!AD2573</f>
        <v/>
      </c>
      <c r="C2573" s="32">
        <f>'20250815_ETF_Options_Exhibits'!AE2573</f>
        <v/>
      </c>
    </row>
    <row r="2574">
      <c r="A2574" s="1">
        <f>'20250815_ETF_Options_Exhibits'!AC2574</f>
        <v/>
      </c>
      <c r="B2574" s="32">
        <f>'20250815_ETF_Options_Exhibits'!AD2574</f>
        <v/>
      </c>
      <c r="C2574" s="32">
        <f>'20250815_ETF_Options_Exhibits'!AE2574</f>
        <v/>
      </c>
    </row>
    <row r="2575">
      <c r="A2575" s="1">
        <f>'20250815_ETF_Options_Exhibits'!AC2575</f>
        <v/>
      </c>
      <c r="B2575" s="32">
        <f>'20250815_ETF_Options_Exhibits'!AD2575</f>
        <v/>
      </c>
      <c r="C2575" s="32">
        <f>'20250815_ETF_Options_Exhibits'!AE2575</f>
        <v/>
      </c>
    </row>
    <row r="2576">
      <c r="A2576" s="1">
        <f>'20250815_ETF_Options_Exhibits'!AC2576</f>
        <v/>
      </c>
      <c r="B2576" s="32">
        <f>'20250815_ETF_Options_Exhibits'!AD2576</f>
        <v/>
      </c>
      <c r="C2576" s="32">
        <f>'20250815_ETF_Options_Exhibits'!AE2576</f>
        <v/>
      </c>
    </row>
    <row r="2577">
      <c r="A2577" s="1">
        <f>'20250815_ETF_Options_Exhibits'!AC2577</f>
        <v/>
      </c>
      <c r="B2577" s="32">
        <f>'20250815_ETF_Options_Exhibits'!AD2577</f>
        <v/>
      </c>
      <c r="C2577" s="32">
        <f>'20250815_ETF_Options_Exhibits'!AE2577</f>
        <v/>
      </c>
    </row>
    <row r="2578">
      <c r="A2578" s="1">
        <f>'20250815_ETF_Options_Exhibits'!AC2578</f>
        <v/>
      </c>
      <c r="B2578" s="32">
        <f>'20250815_ETF_Options_Exhibits'!AD2578</f>
        <v/>
      </c>
      <c r="C2578" s="32">
        <f>'20250815_ETF_Options_Exhibits'!AE2578</f>
        <v/>
      </c>
    </row>
    <row r="2579">
      <c r="A2579" s="1">
        <f>'20250815_ETF_Options_Exhibits'!AC2579</f>
        <v/>
      </c>
      <c r="B2579" s="32">
        <f>'20250815_ETF_Options_Exhibits'!AD2579</f>
        <v/>
      </c>
      <c r="C2579" s="32">
        <f>'20250815_ETF_Options_Exhibits'!AE2579</f>
        <v/>
      </c>
    </row>
    <row r="2580">
      <c r="A2580" s="1">
        <f>'20250815_ETF_Options_Exhibits'!AC2580</f>
        <v/>
      </c>
      <c r="B2580" s="32">
        <f>'20250815_ETF_Options_Exhibits'!AD2580</f>
        <v/>
      </c>
      <c r="C2580" s="32">
        <f>'20250815_ETF_Options_Exhibits'!AE2580</f>
        <v/>
      </c>
    </row>
    <row r="2581">
      <c r="A2581" s="1">
        <f>'20250815_ETF_Options_Exhibits'!AC2581</f>
        <v/>
      </c>
      <c r="B2581" s="32">
        <f>'20250815_ETF_Options_Exhibits'!AD2581</f>
        <v/>
      </c>
      <c r="C2581" s="32">
        <f>'20250815_ETF_Options_Exhibits'!AE2581</f>
        <v/>
      </c>
    </row>
    <row r="2582">
      <c r="A2582" s="1">
        <f>'20250815_ETF_Options_Exhibits'!AC2582</f>
        <v/>
      </c>
      <c r="B2582" s="32">
        <f>'20250815_ETF_Options_Exhibits'!AD2582</f>
        <v/>
      </c>
      <c r="C2582" s="32">
        <f>'20250815_ETF_Options_Exhibits'!AE2582</f>
        <v/>
      </c>
    </row>
    <row r="2583">
      <c r="A2583" s="1">
        <f>'20250815_ETF_Options_Exhibits'!AC2583</f>
        <v/>
      </c>
      <c r="B2583" s="32">
        <f>'20250815_ETF_Options_Exhibits'!AD2583</f>
        <v/>
      </c>
      <c r="C2583" s="32">
        <f>'20250815_ETF_Options_Exhibits'!AE2583</f>
        <v/>
      </c>
    </row>
    <row r="2584">
      <c r="A2584" s="1">
        <f>'20250815_ETF_Options_Exhibits'!AC2584</f>
        <v/>
      </c>
      <c r="B2584" s="32">
        <f>'20250815_ETF_Options_Exhibits'!AD2584</f>
        <v/>
      </c>
      <c r="C2584" s="32">
        <f>'20250815_ETF_Options_Exhibits'!AE2584</f>
        <v/>
      </c>
    </row>
    <row r="2585">
      <c r="A2585" s="1">
        <f>'20250815_ETF_Options_Exhibits'!AC2585</f>
        <v/>
      </c>
      <c r="B2585" s="32">
        <f>'20250815_ETF_Options_Exhibits'!AD2585</f>
        <v/>
      </c>
      <c r="C2585" s="32">
        <f>'20250815_ETF_Options_Exhibits'!AE2585</f>
        <v/>
      </c>
    </row>
    <row r="2586">
      <c r="A2586" s="1">
        <f>'20250815_ETF_Options_Exhibits'!AC2586</f>
        <v/>
      </c>
      <c r="B2586" s="32">
        <f>'20250815_ETF_Options_Exhibits'!AD2586</f>
        <v/>
      </c>
      <c r="C2586" s="32">
        <f>'20250815_ETF_Options_Exhibits'!AE2586</f>
        <v/>
      </c>
    </row>
    <row r="2587">
      <c r="A2587" s="1">
        <f>'20250815_ETF_Options_Exhibits'!AC2587</f>
        <v/>
      </c>
      <c r="B2587" s="32">
        <f>'20250815_ETF_Options_Exhibits'!AD2587</f>
        <v/>
      </c>
      <c r="C2587" s="32">
        <f>'20250815_ETF_Options_Exhibits'!AE2587</f>
        <v/>
      </c>
    </row>
    <row r="2588">
      <c r="A2588" s="1">
        <f>'20250815_ETF_Options_Exhibits'!AC2588</f>
        <v/>
      </c>
      <c r="B2588" s="32">
        <f>'20250815_ETF_Options_Exhibits'!AD2588</f>
        <v/>
      </c>
      <c r="C2588" s="32">
        <f>'20250815_ETF_Options_Exhibits'!AE2588</f>
        <v/>
      </c>
    </row>
    <row r="2589">
      <c r="A2589" s="1">
        <f>'20250815_ETF_Options_Exhibits'!AC2589</f>
        <v/>
      </c>
      <c r="B2589" s="32">
        <f>'20250815_ETF_Options_Exhibits'!AD2589</f>
        <v/>
      </c>
      <c r="C2589" s="32">
        <f>'20250815_ETF_Options_Exhibits'!AE2589</f>
        <v/>
      </c>
    </row>
    <row r="2590">
      <c r="A2590" s="1">
        <f>'20250815_ETF_Options_Exhibits'!AC2590</f>
        <v/>
      </c>
      <c r="B2590" s="32">
        <f>'20250815_ETF_Options_Exhibits'!AD2590</f>
        <v/>
      </c>
      <c r="C2590" s="32">
        <f>'20250815_ETF_Options_Exhibits'!AE2590</f>
        <v/>
      </c>
    </row>
    <row r="2591">
      <c r="A2591" s="1">
        <f>'20250815_ETF_Options_Exhibits'!AC2591</f>
        <v/>
      </c>
      <c r="B2591" s="32">
        <f>'20250815_ETF_Options_Exhibits'!AD2591</f>
        <v/>
      </c>
      <c r="C2591" s="32">
        <f>'20250815_ETF_Options_Exhibits'!AE2591</f>
        <v/>
      </c>
    </row>
    <row r="2592">
      <c r="A2592" s="1">
        <f>'20250815_ETF_Options_Exhibits'!AC2592</f>
        <v/>
      </c>
      <c r="B2592" s="32">
        <f>'20250815_ETF_Options_Exhibits'!AD2592</f>
        <v/>
      </c>
      <c r="C2592" s="32">
        <f>'20250815_ETF_Options_Exhibits'!AE2592</f>
        <v/>
      </c>
    </row>
    <row r="2593">
      <c r="A2593" s="1">
        <f>'20250815_ETF_Options_Exhibits'!AC2593</f>
        <v/>
      </c>
      <c r="B2593" s="32">
        <f>'20250815_ETF_Options_Exhibits'!AD2593</f>
        <v/>
      </c>
      <c r="C2593" s="32">
        <f>'20250815_ETF_Options_Exhibits'!AE2593</f>
        <v/>
      </c>
    </row>
    <row r="2594">
      <c r="A2594" s="1">
        <f>'20250815_ETF_Options_Exhibits'!AC2594</f>
        <v/>
      </c>
      <c r="B2594" s="32">
        <f>'20250815_ETF_Options_Exhibits'!AD2594</f>
        <v/>
      </c>
      <c r="C2594" s="32">
        <f>'20250815_ETF_Options_Exhibits'!AE2594</f>
        <v/>
      </c>
    </row>
    <row r="2595">
      <c r="A2595" s="1">
        <f>'20250815_ETF_Options_Exhibits'!AC2595</f>
        <v/>
      </c>
      <c r="B2595" s="32">
        <f>'20250815_ETF_Options_Exhibits'!AD2595</f>
        <v/>
      </c>
      <c r="C2595" s="32">
        <f>'20250815_ETF_Options_Exhibits'!AE2595</f>
        <v/>
      </c>
    </row>
    <row r="2596">
      <c r="A2596" s="1">
        <f>'20250815_ETF_Options_Exhibits'!AC2596</f>
        <v/>
      </c>
      <c r="B2596" s="32">
        <f>'20250815_ETF_Options_Exhibits'!AD2596</f>
        <v/>
      </c>
      <c r="C2596" s="32">
        <f>'20250815_ETF_Options_Exhibits'!AE2596</f>
        <v/>
      </c>
    </row>
    <row r="2597">
      <c r="A2597" s="1">
        <f>'20250815_ETF_Options_Exhibits'!AC2597</f>
        <v/>
      </c>
      <c r="B2597" s="32">
        <f>'20250815_ETF_Options_Exhibits'!AD2597</f>
        <v/>
      </c>
      <c r="C2597" s="32">
        <f>'20250815_ETF_Options_Exhibits'!AE2597</f>
        <v/>
      </c>
    </row>
    <row r="2598">
      <c r="A2598" s="1">
        <f>'20250815_ETF_Options_Exhibits'!AC2598</f>
        <v/>
      </c>
      <c r="B2598" s="32">
        <f>'20250815_ETF_Options_Exhibits'!AD2598</f>
        <v/>
      </c>
      <c r="C2598" s="32">
        <f>'20250815_ETF_Options_Exhibits'!AE2598</f>
        <v/>
      </c>
    </row>
    <row r="2599">
      <c r="A2599" s="1">
        <f>'20250815_ETF_Options_Exhibits'!AC2599</f>
        <v/>
      </c>
      <c r="B2599" s="32">
        <f>'20250815_ETF_Options_Exhibits'!AD2599</f>
        <v/>
      </c>
      <c r="C2599" s="32">
        <f>'20250815_ETF_Options_Exhibits'!AE2599</f>
        <v/>
      </c>
    </row>
    <row r="2600">
      <c r="A2600" s="1">
        <f>'20250815_ETF_Options_Exhibits'!AC2600</f>
        <v/>
      </c>
      <c r="B2600" s="32">
        <f>'20250815_ETF_Options_Exhibits'!AD2600</f>
        <v/>
      </c>
      <c r="C2600" s="32">
        <f>'20250815_ETF_Options_Exhibits'!AE2600</f>
        <v/>
      </c>
    </row>
    <row r="2601">
      <c r="A2601" s="1">
        <f>'20250815_ETF_Options_Exhibits'!AC2601</f>
        <v/>
      </c>
      <c r="B2601" s="32">
        <f>'20250815_ETF_Options_Exhibits'!AD2601</f>
        <v/>
      </c>
      <c r="C2601" s="32">
        <f>'20250815_ETF_Options_Exhibits'!AE2601</f>
        <v/>
      </c>
    </row>
    <row r="2602">
      <c r="A2602" s="1">
        <f>'20250815_ETF_Options_Exhibits'!AC2602</f>
        <v/>
      </c>
      <c r="B2602" s="32">
        <f>'20250815_ETF_Options_Exhibits'!AD2602</f>
        <v/>
      </c>
      <c r="C2602" s="32">
        <f>'20250815_ETF_Options_Exhibits'!AE2602</f>
        <v/>
      </c>
    </row>
    <row r="2603">
      <c r="A2603" s="1">
        <f>'20250815_ETF_Options_Exhibits'!AC2603</f>
        <v/>
      </c>
      <c r="B2603" s="32">
        <f>'20250815_ETF_Options_Exhibits'!AD2603</f>
        <v/>
      </c>
      <c r="C2603" s="32">
        <f>'20250815_ETF_Options_Exhibits'!AE2603</f>
        <v/>
      </c>
    </row>
    <row r="2604">
      <c r="A2604" s="1">
        <f>'20250815_ETF_Options_Exhibits'!AC2604</f>
        <v/>
      </c>
      <c r="B2604" s="32">
        <f>'20250815_ETF_Options_Exhibits'!AD2604</f>
        <v/>
      </c>
      <c r="C2604" s="32">
        <f>'20250815_ETF_Options_Exhibits'!AE2604</f>
        <v/>
      </c>
    </row>
    <row r="2605">
      <c r="A2605" s="1">
        <f>'20250815_ETF_Options_Exhibits'!AC2605</f>
        <v/>
      </c>
      <c r="B2605" s="32">
        <f>'20250815_ETF_Options_Exhibits'!AD2605</f>
        <v/>
      </c>
      <c r="C2605" s="32">
        <f>'20250815_ETF_Options_Exhibits'!AE2605</f>
        <v/>
      </c>
    </row>
    <row r="2606">
      <c r="A2606" s="1">
        <f>'20250815_ETF_Options_Exhibits'!AC2606</f>
        <v/>
      </c>
      <c r="B2606" s="32">
        <f>'20250815_ETF_Options_Exhibits'!AD2606</f>
        <v/>
      </c>
      <c r="C2606" s="32">
        <f>'20250815_ETF_Options_Exhibits'!AE2606</f>
        <v/>
      </c>
    </row>
    <row r="2607">
      <c r="A2607" s="1">
        <f>'20250815_ETF_Options_Exhibits'!AC2607</f>
        <v/>
      </c>
      <c r="B2607" s="32">
        <f>'20250815_ETF_Options_Exhibits'!AD2607</f>
        <v/>
      </c>
      <c r="C2607" s="32">
        <f>'20250815_ETF_Options_Exhibits'!AE2607</f>
        <v/>
      </c>
    </row>
    <row r="2608">
      <c r="A2608" s="1">
        <f>'20250815_ETF_Options_Exhibits'!AC2608</f>
        <v/>
      </c>
      <c r="B2608" s="32">
        <f>'20250815_ETF_Options_Exhibits'!AD2608</f>
        <v/>
      </c>
      <c r="C2608" s="32">
        <f>'20250815_ETF_Options_Exhibits'!AE2608</f>
        <v/>
      </c>
    </row>
    <row r="2609">
      <c r="A2609" s="1">
        <f>'20250815_ETF_Options_Exhibits'!AC2609</f>
        <v/>
      </c>
      <c r="B2609" s="32">
        <f>'20250815_ETF_Options_Exhibits'!AD2609</f>
        <v/>
      </c>
      <c r="C2609" s="32">
        <f>'20250815_ETF_Options_Exhibits'!AE2609</f>
        <v/>
      </c>
    </row>
    <row r="2610">
      <c r="A2610" s="1">
        <f>'20250815_ETF_Options_Exhibits'!AC2610</f>
        <v/>
      </c>
      <c r="B2610" s="32">
        <f>'20250815_ETF_Options_Exhibits'!AD2610</f>
        <v/>
      </c>
      <c r="C2610" s="32">
        <f>'20250815_ETF_Options_Exhibits'!AE2610</f>
        <v/>
      </c>
    </row>
    <row r="2611">
      <c r="A2611" s="1">
        <f>'20250815_ETF_Options_Exhibits'!AC2611</f>
        <v/>
      </c>
      <c r="B2611" s="32">
        <f>'20250815_ETF_Options_Exhibits'!AD2611</f>
        <v/>
      </c>
      <c r="C2611" s="32">
        <f>'20250815_ETF_Options_Exhibits'!AE2611</f>
        <v/>
      </c>
    </row>
    <row r="2612">
      <c r="A2612" s="1">
        <f>'20250815_ETF_Options_Exhibits'!AC2612</f>
        <v/>
      </c>
      <c r="B2612" s="32">
        <f>'20250815_ETF_Options_Exhibits'!AD2612</f>
        <v/>
      </c>
      <c r="C2612" s="32">
        <f>'20250815_ETF_Options_Exhibits'!AE2612</f>
        <v/>
      </c>
    </row>
    <row r="2613">
      <c r="A2613" s="1">
        <f>'20250815_ETF_Options_Exhibits'!AC2613</f>
        <v/>
      </c>
      <c r="B2613" s="32">
        <f>'20250815_ETF_Options_Exhibits'!AD2613</f>
        <v/>
      </c>
      <c r="C2613" s="32">
        <f>'20250815_ETF_Options_Exhibits'!AE2613</f>
        <v/>
      </c>
    </row>
    <row r="2614">
      <c r="A2614" s="1">
        <f>'20250815_ETF_Options_Exhibits'!AC2614</f>
        <v/>
      </c>
      <c r="B2614" s="32">
        <f>'20250815_ETF_Options_Exhibits'!AD2614</f>
        <v/>
      </c>
      <c r="C2614" s="32">
        <f>'20250815_ETF_Options_Exhibits'!AE2614</f>
        <v/>
      </c>
    </row>
    <row r="2615">
      <c r="A2615" s="1">
        <f>'20250815_ETF_Options_Exhibits'!AC2615</f>
        <v/>
      </c>
      <c r="B2615" s="32">
        <f>'20250815_ETF_Options_Exhibits'!AD2615</f>
        <v/>
      </c>
      <c r="C2615" s="32">
        <f>'20250815_ETF_Options_Exhibits'!AE2615</f>
        <v/>
      </c>
    </row>
    <row r="2616">
      <c r="A2616" s="1">
        <f>'20250815_ETF_Options_Exhibits'!AC2616</f>
        <v/>
      </c>
      <c r="B2616" s="32">
        <f>'20250815_ETF_Options_Exhibits'!AD2616</f>
        <v/>
      </c>
      <c r="C2616" s="32">
        <f>'20250815_ETF_Options_Exhibits'!AE2616</f>
        <v/>
      </c>
    </row>
    <row r="2617">
      <c r="A2617" s="1">
        <f>'20250815_ETF_Options_Exhibits'!AC2617</f>
        <v/>
      </c>
      <c r="B2617" s="32">
        <f>'20250815_ETF_Options_Exhibits'!AD2617</f>
        <v/>
      </c>
      <c r="C2617" s="32">
        <f>'20250815_ETF_Options_Exhibits'!AE2617</f>
        <v/>
      </c>
    </row>
    <row r="2618">
      <c r="A2618" s="1">
        <f>'20250815_ETF_Options_Exhibits'!AC2618</f>
        <v/>
      </c>
      <c r="B2618" s="32">
        <f>'20250815_ETF_Options_Exhibits'!AD2618</f>
        <v/>
      </c>
      <c r="C2618" s="32">
        <f>'20250815_ETF_Options_Exhibits'!AE2618</f>
        <v/>
      </c>
    </row>
    <row r="2619">
      <c r="A2619" s="1">
        <f>'20250815_ETF_Options_Exhibits'!AC2619</f>
        <v/>
      </c>
      <c r="B2619" s="32">
        <f>'20250815_ETF_Options_Exhibits'!AD2619</f>
        <v/>
      </c>
      <c r="C2619" s="32">
        <f>'20250815_ETF_Options_Exhibits'!AE2619</f>
        <v/>
      </c>
    </row>
    <row r="2620">
      <c r="A2620" s="1">
        <f>'20250815_ETF_Options_Exhibits'!AC2620</f>
        <v/>
      </c>
      <c r="B2620" s="32">
        <f>'20250815_ETF_Options_Exhibits'!AD2620</f>
        <v/>
      </c>
      <c r="C2620" s="32">
        <f>'20250815_ETF_Options_Exhibits'!AE2620</f>
        <v/>
      </c>
    </row>
    <row r="2621">
      <c r="A2621" s="1">
        <f>'20250815_ETF_Options_Exhibits'!AC2621</f>
        <v/>
      </c>
      <c r="B2621" s="32">
        <f>'20250815_ETF_Options_Exhibits'!AD2621</f>
        <v/>
      </c>
      <c r="C2621" s="32">
        <f>'20250815_ETF_Options_Exhibits'!AE2621</f>
        <v/>
      </c>
    </row>
    <row r="2622">
      <c r="A2622" s="1">
        <f>'20250815_ETF_Options_Exhibits'!AC2622</f>
        <v/>
      </c>
      <c r="B2622" s="32">
        <f>'20250815_ETF_Options_Exhibits'!AD2622</f>
        <v/>
      </c>
      <c r="C2622" s="32">
        <f>'20250815_ETF_Options_Exhibits'!AE2622</f>
        <v/>
      </c>
    </row>
    <row r="2623">
      <c r="A2623" s="1">
        <f>'20250815_ETF_Options_Exhibits'!AC2623</f>
        <v/>
      </c>
      <c r="B2623" s="32">
        <f>'20250815_ETF_Options_Exhibits'!AD2623</f>
        <v/>
      </c>
      <c r="C2623" s="32">
        <f>'20250815_ETF_Options_Exhibits'!AE2623</f>
        <v/>
      </c>
    </row>
    <row r="2624">
      <c r="A2624" s="1">
        <f>'20250815_ETF_Options_Exhibits'!AC2624</f>
        <v/>
      </c>
      <c r="B2624" s="32">
        <f>'20250815_ETF_Options_Exhibits'!AD2624</f>
        <v/>
      </c>
      <c r="C2624" s="32">
        <f>'20250815_ETF_Options_Exhibits'!AE2624</f>
        <v/>
      </c>
    </row>
    <row r="2625">
      <c r="A2625" s="1" t="n">
        <v>45814</v>
      </c>
      <c r="B2625" s="33" t="n">
        <v>4.323492926223738e-05</v>
      </c>
      <c r="C2625" s="33" t="n">
        <v>0.0002460185243878245</v>
      </c>
    </row>
    <row r="2626">
      <c r="A2626" s="1" t="n">
        <v>45817</v>
      </c>
      <c r="B2626" s="33" t="n">
        <v>7.961554047070542e-05</v>
      </c>
      <c r="C2626" s="33" t="n">
        <v>0.0005353037776927805</v>
      </c>
    </row>
    <row r="2627">
      <c r="A2627" s="1" t="n">
        <v>45818</v>
      </c>
      <c r="B2627" s="33" t="n">
        <v>5.799807583958673e-06</v>
      </c>
      <c r="C2627" s="33" t="n">
        <v>0.0002251577800884933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682"/>
  <sheetViews>
    <sheetView zoomScale="130" zoomScaleNormal="130" workbookViewId="0">
      <pane xSplit="1" ySplit="1" topLeftCell="B2643" activePane="bottomRight" state="frozen"/>
      <selection pane="topRight" activeCell="B1" sqref="B1"/>
      <selection pane="bottomLeft" activeCell="A2" sqref="A2"/>
      <selection pane="bottomRight" activeCell="B2681" sqref="B2681"/>
    </sheetView>
  </sheetViews>
  <sheetFormatPr baseColWidth="10" defaultRowHeight="16"/>
  <cols>
    <col width="10.83203125" customWidth="1" style="2" min="3" max="3"/>
    <col width="10.83203125" customWidth="1" style="2" min="22" max="25"/>
  </cols>
  <sheetData>
    <row r="1">
      <c r="A1" t="inlineStr">
        <is>
          <t>obsdt</t>
        </is>
      </c>
      <c r="B1" t="inlineStr">
        <is>
          <t>ARKK_hedged</t>
        </is>
      </c>
      <c r="C1" s="2" t="inlineStr">
        <is>
          <t>DIA_hedged</t>
        </is>
      </c>
      <c r="D1" t="inlineStr">
        <is>
          <t>EEM_hedged</t>
        </is>
      </c>
      <c r="E1" t="inlineStr">
        <is>
          <t>EFA_hedged</t>
        </is>
      </c>
      <c r="F1" t="inlineStr">
        <is>
          <t>GLD_hedged</t>
        </is>
      </c>
      <c r="G1" t="inlineStr">
        <is>
          <t>HYG_hedged</t>
        </is>
      </c>
      <c r="H1" t="inlineStr">
        <is>
          <t>IEF_hedged</t>
        </is>
      </c>
      <c r="I1" t="inlineStr">
        <is>
          <t>IWM_hedged</t>
        </is>
      </c>
      <c r="J1" t="inlineStr">
        <is>
          <t>LQD_hedged</t>
        </is>
      </c>
      <c r="K1" t="inlineStr">
        <is>
          <t>SLV_hedged</t>
        </is>
      </c>
      <c r="L1" t="inlineStr">
        <is>
          <t>TLT_hedged</t>
        </is>
      </c>
      <c r="M1" t="inlineStr">
        <is>
          <t>XLB_hedged</t>
        </is>
      </c>
      <c r="N1" t="inlineStr">
        <is>
          <t>XLC_hedged</t>
        </is>
      </c>
      <c r="O1" t="inlineStr">
        <is>
          <t>XLE_hedged</t>
        </is>
      </c>
      <c r="P1" t="inlineStr">
        <is>
          <t>XLF_hedged</t>
        </is>
      </c>
      <c r="Q1" t="inlineStr">
        <is>
          <t>XLI_hedged</t>
        </is>
      </c>
      <c r="R1" t="inlineStr">
        <is>
          <t>XLK_hedged</t>
        </is>
      </c>
      <c r="S1" t="inlineStr">
        <is>
          <t>XLP_hedged</t>
        </is>
      </c>
      <c r="T1" t="inlineStr">
        <is>
          <t>XLU_hedged</t>
        </is>
      </c>
      <c r="U1" t="inlineStr">
        <is>
          <t>XLY_hedged</t>
        </is>
      </c>
      <c r="V1" s="2" t="inlineStr">
        <is>
          <t>SPY_hedged</t>
        </is>
      </c>
      <c r="W1" s="2" t="inlineStr">
        <is>
          <t>SPY_underlying</t>
        </is>
      </c>
      <c r="X1" s="2" t="inlineStr">
        <is>
          <t>VIX_chg</t>
        </is>
      </c>
      <c r="Y1" s="2" t="inlineStr">
        <is>
          <t>VIX_underlying</t>
        </is>
      </c>
      <c r="Z1" t="inlineStr">
        <is>
          <t>EQ_WGT</t>
        </is>
      </c>
      <c r="AA1" t="inlineStr">
        <is>
          <t>CORR_WGT</t>
        </is>
      </c>
    </row>
    <row r="2">
      <c r="A2" s="1" t="n">
        <v>42004</v>
      </c>
      <c r="B2" s="3">
        <f>IF(ORIG!B2=0,"",ORIG!B2)</f>
        <v/>
      </c>
      <c r="C2" s="3" t="n"/>
      <c r="D2" s="3" t="n"/>
      <c r="E2" s="3" t="n"/>
      <c r="F2" s="3" t="n"/>
      <c r="G2" s="3" t="n"/>
      <c r="H2" s="3" t="n"/>
      <c r="I2" s="3" t="n"/>
      <c r="J2" s="3" t="n"/>
      <c r="K2" s="3" t="n"/>
      <c r="L2" s="3" t="n"/>
      <c r="M2" s="3" t="n"/>
      <c r="N2" s="3" t="n"/>
      <c r="O2" s="3" t="n"/>
      <c r="P2" s="3" t="n"/>
      <c r="Q2" s="3" t="n"/>
      <c r="R2" s="3" t="n"/>
      <c r="S2" s="3" t="n"/>
      <c r="T2" s="3" t="n"/>
      <c r="U2" s="3" t="n"/>
      <c r="V2" s="9" t="n"/>
      <c r="W2" s="9" t="n"/>
      <c r="X2" s="9" t="n"/>
      <c r="Y2" s="9" t="n"/>
    </row>
    <row r="3">
      <c r="A3" s="1" t="n">
        <v>42006</v>
      </c>
      <c r="B3" s="3">
        <f>IF(ORIG!B3=0,"",ORIG!B3)</f>
        <v/>
      </c>
      <c r="C3" s="3" t="n"/>
      <c r="D3" s="3" t="n"/>
      <c r="E3" s="3" t="n"/>
      <c r="F3" s="3" t="n"/>
      <c r="G3" s="3" t="n"/>
      <c r="H3" s="3" t="n"/>
      <c r="I3" s="3" t="n"/>
      <c r="J3" s="3" t="n"/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3" t="n"/>
      <c r="U3" s="3" t="n"/>
      <c r="V3" s="9" t="n"/>
      <c r="W3" s="9" t="n"/>
      <c r="X3" s="9" t="n"/>
      <c r="Y3" s="9" t="n"/>
      <c r="Z3" s="3" t="n"/>
      <c r="AA3" s="3" t="n"/>
    </row>
    <row r="4">
      <c r="A4" s="1" t="n">
        <v>42009</v>
      </c>
      <c r="B4" s="3" t="n"/>
      <c r="C4" s="3" t="n"/>
      <c r="D4" s="3" t="n"/>
      <c r="E4" s="3" t="n"/>
      <c r="F4" s="3" t="n"/>
      <c r="G4" s="3" t="n"/>
      <c r="H4" s="3" t="n"/>
      <c r="I4" s="3" t="n"/>
      <c r="J4" s="3" t="n"/>
      <c r="K4" s="3" t="n"/>
      <c r="L4" s="3" t="n"/>
      <c r="M4" s="3" t="n"/>
      <c r="N4" s="3" t="n"/>
      <c r="O4" s="3" t="n"/>
      <c r="P4" s="3" t="n"/>
      <c r="Q4" s="3" t="n"/>
      <c r="R4" s="3" t="n"/>
      <c r="S4" s="3" t="n"/>
      <c r="T4" s="3" t="n"/>
      <c r="U4" s="3" t="n"/>
      <c r="V4" s="3" t="n"/>
      <c r="W4" s="3" t="n"/>
      <c r="X4" s="3" t="n"/>
      <c r="Y4" s="3" t="n"/>
      <c r="Z4" s="3" t="n"/>
      <c r="AA4" s="3" t="n"/>
    </row>
    <row r="5">
      <c r="A5" s="1" t="n">
        <v>42010</v>
      </c>
      <c r="B5" s="3" t="n"/>
      <c r="C5" s="3" t="n"/>
      <c r="D5" s="3" t="n"/>
      <c r="E5" s="3" t="n"/>
      <c r="F5" s="3" t="n"/>
      <c r="G5" s="3" t="n"/>
      <c r="H5" s="3" t="n"/>
      <c r="I5" s="3" t="n"/>
      <c r="J5" s="3" t="n"/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3" t="n"/>
      <c r="U5" s="3" t="n"/>
      <c r="V5" s="3" t="n"/>
      <c r="W5" s="3" t="n"/>
      <c r="X5" s="3" t="n"/>
      <c r="Y5" s="3" t="n"/>
      <c r="Z5" s="3" t="n"/>
      <c r="AA5" s="3" t="n"/>
    </row>
    <row r="6">
      <c r="A6" s="1" t="n">
        <v>42011</v>
      </c>
      <c r="B6" s="3" t="n"/>
      <c r="C6" s="3" t="n"/>
      <c r="D6" s="3" t="n"/>
      <c r="E6" s="3" t="n"/>
      <c r="F6" s="3" t="n"/>
      <c r="G6" s="3" t="n"/>
      <c r="H6" s="3" t="n"/>
      <c r="I6" s="3" t="n"/>
      <c r="J6" s="3" t="n"/>
      <c r="K6" s="3" t="n"/>
      <c r="L6" s="3" t="n"/>
      <c r="M6" s="3" t="n"/>
      <c r="N6" s="3" t="n"/>
      <c r="O6" s="3" t="n"/>
      <c r="P6" s="3" t="n"/>
      <c r="Q6" s="3" t="n"/>
      <c r="R6" s="3" t="n"/>
      <c r="S6" s="3" t="n"/>
      <c r="T6" s="3" t="n"/>
      <c r="U6" s="3" t="n"/>
      <c r="V6" s="3" t="n"/>
      <c r="W6" s="3" t="n"/>
      <c r="X6" s="3" t="n"/>
      <c r="Y6" s="3" t="n"/>
      <c r="Z6" s="3" t="n"/>
      <c r="AA6" s="3" t="n"/>
    </row>
    <row r="7">
      <c r="A7" s="1" t="n">
        <v>42012</v>
      </c>
      <c r="B7" s="3">
        <f>IF(ISNUMBER(AVERAGE('20250815_ETF_Options_Exhibits'!B3:B7)),AVERAGE('20250815_ETF_Options_Exhibits'!B3:B7),"")</f>
        <v/>
      </c>
      <c r="C7" s="3">
        <f>IF(ISNUMBER(AVERAGE('20250815_ETF_Options_Exhibits'!C3:C7)),AVERAGE('20250815_ETF_Options_Exhibits'!C3:C7),"")</f>
        <v/>
      </c>
      <c r="D7" s="3">
        <f>IF(ISNUMBER(AVERAGE('20250815_ETF_Options_Exhibits'!D3:D7)),AVERAGE('20250815_ETF_Options_Exhibits'!D3:D7),"")</f>
        <v/>
      </c>
      <c r="E7" s="3">
        <f>IF(ISNUMBER(AVERAGE('20250815_ETF_Options_Exhibits'!E3:E7)),AVERAGE('20250815_ETF_Options_Exhibits'!E3:E7),"")</f>
        <v/>
      </c>
      <c r="F7" s="3">
        <f>IF(ISNUMBER(AVERAGE('20250815_ETF_Options_Exhibits'!F3:F7)),AVERAGE('20250815_ETF_Options_Exhibits'!F3:F7),"")</f>
        <v/>
      </c>
      <c r="G7" s="3">
        <f>IF(ISNUMBER(AVERAGE('20250815_ETF_Options_Exhibits'!G3:G7)),AVERAGE('20250815_ETF_Options_Exhibits'!G3:G7),"")</f>
        <v/>
      </c>
      <c r="H7" s="3">
        <f>IF(ISNUMBER(AVERAGE('20250815_ETF_Options_Exhibits'!H3:H7)),AVERAGE('20250815_ETF_Options_Exhibits'!H3:H7),"")</f>
        <v/>
      </c>
      <c r="I7" s="3">
        <f>IF(ISNUMBER(AVERAGE('20250815_ETF_Options_Exhibits'!I3:I7)),AVERAGE('20250815_ETF_Options_Exhibits'!I3:I7),"")</f>
        <v/>
      </c>
      <c r="J7" s="3">
        <f>IF(ISNUMBER(AVERAGE('20250815_ETF_Options_Exhibits'!J3:J7)),AVERAGE('20250815_ETF_Options_Exhibits'!J3:J7),"")</f>
        <v/>
      </c>
      <c r="K7" s="3">
        <f>IF(ISNUMBER(AVERAGE('20250815_ETF_Options_Exhibits'!K3:K7)),AVERAGE('20250815_ETF_Options_Exhibits'!K3:K7),"")</f>
        <v/>
      </c>
      <c r="L7" s="3">
        <f>IF(ISNUMBER(AVERAGE('20250815_ETF_Options_Exhibits'!L3:L7)),AVERAGE('20250815_ETF_Options_Exhibits'!L3:L7),"")</f>
        <v/>
      </c>
      <c r="M7" s="3">
        <f>IF(ISNUMBER(AVERAGE('20250815_ETF_Options_Exhibits'!M3:M7)),AVERAGE('20250815_ETF_Options_Exhibits'!M3:M7),"")</f>
        <v/>
      </c>
      <c r="N7" s="3">
        <f>IF(ISNUMBER(AVERAGE('20250815_ETF_Options_Exhibits'!N3:N7)),AVERAGE('20250815_ETF_Options_Exhibits'!N3:N7),"")</f>
        <v/>
      </c>
      <c r="O7" s="3">
        <f>IF(ISNUMBER(AVERAGE('20250815_ETF_Options_Exhibits'!O3:O7)),AVERAGE('20250815_ETF_Options_Exhibits'!O3:O7),"")</f>
        <v/>
      </c>
      <c r="P7" s="3">
        <f>IF(ISNUMBER(AVERAGE('20250815_ETF_Options_Exhibits'!P3:P7)),AVERAGE('20250815_ETF_Options_Exhibits'!P3:P7),"")</f>
        <v/>
      </c>
      <c r="Q7" s="3">
        <f>IF(ISNUMBER(AVERAGE('20250815_ETF_Options_Exhibits'!Q3:Q7)),AVERAGE('20250815_ETF_Options_Exhibits'!Q3:Q7),"")</f>
        <v/>
      </c>
      <c r="R7" s="3">
        <f>IF(ISNUMBER(AVERAGE('20250815_ETF_Options_Exhibits'!R3:R7)),AVERAGE('20250815_ETF_Options_Exhibits'!R3:R7),"")</f>
        <v/>
      </c>
      <c r="S7" s="3">
        <f>IF(ISNUMBER(AVERAGE('20250815_ETF_Options_Exhibits'!S3:S7)),AVERAGE('20250815_ETF_Options_Exhibits'!S3:S7),"")</f>
        <v/>
      </c>
      <c r="T7" s="3">
        <f>IF(ISNUMBER(AVERAGE('20250815_ETF_Options_Exhibits'!T3:T7)),AVERAGE('20250815_ETF_Options_Exhibits'!T3:T7),"")</f>
        <v/>
      </c>
      <c r="U7" s="3">
        <f>IF(ISNUMBER(AVERAGE('20250815_ETF_Options_Exhibits'!U3:U7)),AVERAGE('20250815_ETF_Options_Exhibits'!U3:U7),"")</f>
        <v/>
      </c>
      <c r="V7" s="3">
        <f>IF(ISNUMBER(AVERAGE('20250815_ETF_Options_Exhibits'!V3:V7)),AVERAGE('20250815_ETF_Options_Exhibits'!V3:V7),"")</f>
        <v/>
      </c>
      <c r="W7" s="3">
        <f>IF(ISNUMBER(AVERAGE('20250815_ETF_Options_Exhibits'!W3:W7)),AVERAGE('20250815_ETF_Options_Exhibits'!W3:W7),"")</f>
        <v/>
      </c>
      <c r="X7" s="3">
        <f>IF(ISNUMBER(AVERAGE('20250815_ETF_Options_Exhibits'!X3:X7)),AVERAGE('20250815_ETF_Options_Exhibits'!X3:X7),"")</f>
        <v/>
      </c>
      <c r="Y7" s="3">
        <f>IF(ISNUMBER(AVERAGE('20250815_ETF_Options_Exhibits'!Y3:Y7)),AVERAGE('20250815_ETF_Options_Exhibits'!Y3:Y7),"")</f>
        <v/>
      </c>
      <c r="Z7" s="3">
        <f>IF(ISNUMBER(AVERAGE('20250815_ETF_Options_Exhibits'!Z3:Z7)),AVERAGE('20250815_ETF_Options_Exhibits'!Z3:Z7),"")</f>
        <v/>
      </c>
      <c r="AA7" s="3">
        <f>IF(ISNUMBER(AVERAGE('20250815_ETF_Options_Exhibits'!AA3:AA7)),AVERAGE('20250815_ETF_Options_Exhibits'!AA3:AA7),"")</f>
        <v/>
      </c>
    </row>
    <row r="8">
      <c r="A8" s="1" t="n">
        <v>42013</v>
      </c>
      <c r="B8" s="3">
        <f>IF(ISNUMBER(AVERAGE('20250815_ETF_Options_Exhibits'!B4:B8)),AVERAGE('20250815_ETF_Options_Exhibits'!B4:B8),"")</f>
        <v/>
      </c>
      <c r="C8" s="3">
        <f>IF(ISNUMBER(AVERAGE('20250815_ETF_Options_Exhibits'!C4:C8)),AVERAGE('20250815_ETF_Options_Exhibits'!C4:C8),"")</f>
        <v/>
      </c>
      <c r="D8" s="3">
        <f>IF(ISNUMBER(AVERAGE('20250815_ETF_Options_Exhibits'!D4:D8)),AVERAGE('20250815_ETF_Options_Exhibits'!D4:D8),"")</f>
        <v/>
      </c>
      <c r="E8" s="3">
        <f>IF(ISNUMBER(AVERAGE('20250815_ETF_Options_Exhibits'!E4:E8)),AVERAGE('20250815_ETF_Options_Exhibits'!E4:E8),"")</f>
        <v/>
      </c>
      <c r="F8" s="3">
        <f>IF(ISNUMBER(AVERAGE('20250815_ETF_Options_Exhibits'!F4:F8)),AVERAGE('20250815_ETF_Options_Exhibits'!F4:F8),"")</f>
        <v/>
      </c>
      <c r="G8" s="3">
        <f>IF(ISNUMBER(AVERAGE('20250815_ETF_Options_Exhibits'!G4:G8)),AVERAGE('20250815_ETF_Options_Exhibits'!G4:G8),"")</f>
        <v/>
      </c>
      <c r="H8" s="3">
        <f>IF(ISNUMBER(AVERAGE('20250815_ETF_Options_Exhibits'!H4:H8)),AVERAGE('20250815_ETF_Options_Exhibits'!H4:H8),"")</f>
        <v/>
      </c>
      <c r="I8" s="3">
        <f>IF(ISNUMBER(AVERAGE('20250815_ETF_Options_Exhibits'!I4:I8)),AVERAGE('20250815_ETF_Options_Exhibits'!I4:I8),"")</f>
        <v/>
      </c>
      <c r="J8" s="3">
        <f>IF(ISNUMBER(AVERAGE('20250815_ETF_Options_Exhibits'!J4:J8)),AVERAGE('20250815_ETF_Options_Exhibits'!J4:J8),"")</f>
        <v/>
      </c>
      <c r="K8" s="3">
        <f>IF(ISNUMBER(AVERAGE('20250815_ETF_Options_Exhibits'!K4:K8)),AVERAGE('20250815_ETF_Options_Exhibits'!K4:K8),"")</f>
        <v/>
      </c>
      <c r="L8" s="3">
        <f>IF(ISNUMBER(AVERAGE('20250815_ETF_Options_Exhibits'!L4:L8)),AVERAGE('20250815_ETF_Options_Exhibits'!L4:L8),"")</f>
        <v/>
      </c>
      <c r="M8" s="3">
        <f>IF(ISNUMBER(AVERAGE('20250815_ETF_Options_Exhibits'!M4:M8)),AVERAGE('20250815_ETF_Options_Exhibits'!M4:M8),"")</f>
        <v/>
      </c>
      <c r="N8" s="3">
        <f>IF(ISNUMBER(AVERAGE('20250815_ETF_Options_Exhibits'!N4:N8)),AVERAGE('20250815_ETF_Options_Exhibits'!N4:N8),"")</f>
        <v/>
      </c>
      <c r="O8" s="3">
        <f>IF(ISNUMBER(AVERAGE('20250815_ETF_Options_Exhibits'!O4:O8)),AVERAGE('20250815_ETF_Options_Exhibits'!O4:O8),"")</f>
        <v/>
      </c>
      <c r="P8" s="3">
        <f>IF(ISNUMBER(AVERAGE('20250815_ETF_Options_Exhibits'!P4:P8)),AVERAGE('20250815_ETF_Options_Exhibits'!P4:P8),"")</f>
        <v/>
      </c>
      <c r="Q8" s="3">
        <f>IF(ISNUMBER(AVERAGE('20250815_ETF_Options_Exhibits'!Q4:Q8)),AVERAGE('20250815_ETF_Options_Exhibits'!Q4:Q8),"")</f>
        <v/>
      </c>
      <c r="R8" s="3">
        <f>IF(ISNUMBER(AVERAGE('20250815_ETF_Options_Exhibits'!R4:R8)),AVERAGE('20250815_ETF_Options_Exhibits'!R4:R8),"")</f>
        <v/>
      </c>
      <c r="S8" s="3">
        <f>IF(ISNUMBER(AVERAGE('20250815_ETF_Options_Exhibits'!S4:S8)),AVERAGE('20250815_ETF_Options_Exhibits'!S4:S8),"")</f>
        <v/>
      </c>
      <c r="T8" s="3">
        <f>IF(ISNUMBER(AVERAGE('20250815_ETF_Options_Exhibits'!T4:T8)),AVERAGE('20250815_ETF_Options_Exhibits'!T4:T8),"")</f>
        <v/>
      </c>
      <c r="U8" s="3">
        <f>IF(ISNUMBER(AVERAGE('20250815_ETF_Options_Exhibits'!U4:U8)),AVERAGE('20250815_ETF_Options_Exhibits'!U4:U8),"")</f>
        <v/>
      </c>
      <c r="V8" s="3">
        <f>IF(ISNUMBER(AVERAGE('20250815_ETF_Options_Exhibits'!V4:V8)),AVERAGE('20250815_ETF_Options_Exhibits'!V4:V8),"")</f>
        <v/>
      </c>
      <c r="W8" s="3">
        <f>IF(ISNUMBER(AVERAGE('20250815_ETF_Options_Exhibits'!W4:W8)),AVERAGE('20250815_ETF_Options_Exhibits'!W4:W8),"")</f>
        <v/>
      </c>
      <c r="X8" s="3">
        <f>IF(ISNUMBER(AVERAGE('20250815_ETF_Options_Exhibits'!X4:X8)),AVERAGE('20250815_ETF_Options_Exhibits'!X4:X8),"")</f>
        <v/>
      </c>
      <c r="Y8" s="3">
        <f>IF(ISNUMBER(AVERAGE('20250815_ETF_Options_Exhibits'!Y4:Y8)),AVERAGE('20250815_ETF_Options_Exhibits'!Y4:Y8),"")</f>
        <v/>
      </c>
      <c r="Z8" s="3">
        <f>IF(ISNUMBER(AVERAGE('20250815_ETF_Options_Exhibits'!Z4:Z8)),AVERAGE('20250815_ETF_Options_Exhibits'!Z4:Z8),"")</f>
        <v/>
      </c>
      <c r="AA8" s="3">
        <f>IF(ISNUMBER(AVERAGE('20250815_ETF_Options_Exhibits'!AA4:AA8)),AVERAGE('20250815_ETF_Options_Exhibits'!AA4:AA8),"")</f>
        <v/>
      </c>
    </row>
    <row r="9">
      <c r="A9" s="1" t="n">
        <v>42016</v>
      </c>
      <c r="B9" s="3">
        <f>IF(ISNUMBER(AVERAGE('20250815_ETF_Options_Exhibits'!B5:B9)),AVERAGE('20250815_ETF_Options_Exhibits'!B5:B9),"")</f>
        <v/>
      </c>
      <c r="C9" s="3">
        <f>IF(ISNUMBER(AVERAGE('20250815_ETF_Options_Exhibits'!C5:C9)),AVERAGE('20250815_ETF_Options_Exhibits'!C5:C9),"")</f>
        <v/>
      </c>
      <c r="D9" s="3">
        <f>IF(ISNUMBER(AVERAGE('20250815_ETF_Options_Exhibits'!D5:D9)),AVERAGE('20250815_ETF_Options_Exhibits'!D5:D9),"")</f>
        <v/>
      </c>
      <c r="E9" s="3">
        <f>IF(ISNUMBER(AVERAGE('20250815_ETF_Options_Exhibits'!E5:E9)),AVERAGE('20250815_ETF_Options_Exhibits'!E5:E9),"")</f>
        <v/>
      </c>
      <c r="F9" s="3">
        <f>IF(ISNUMBER(AVERAGE('20250815_ETF_Options_Exhibits'!F5:F9)),AVERAGE('20250815_ETF_Options_Exhibits'!F5:F9),"")</f>
        <v/>
      </c>
      <c r="G9" s="3">
        <f>IF(ISNUMBER(AVERAGE('20250815_ETF_Options_Exhibits'!G5:G9)),AVERAGE('20250815_ETF_Options_Exhibits'!G5:G9),"")</f>
        <v/>
      </c>
      <c r="H9" s="3">
        <f>IF(ISNUMBER(AVERAGE('20250815_ETF_Options_Exhibits'!H5:H9)),AVERAGE('20250815_ETF_Options_Exhibits'!H5:H9),"")</f>
        <v/>
      </c>
      <c r="I9" s="3">
        <f>IF(ISNUMBER(AVERAGE('20250815_ETF_Options_Exhibits'!I5:I9)),AVERAGE('20250815_ETF_Options_Exhibits'!I5:I9),"")</f>
        <v/>
      </c>
      <c r="J9" s="3">
        <f>IF(ISNUMBER(AVERAGE('20250815_ETF_Options_Exhibits'!J5:J9)),AVERAGE('20250815_ETF_Options_Exhibits'!J5:J9),"")</f>
        <v/>
      </c>
      <c r="K9" s="3">
        <f>IF(ISNUMBER(AVERAGE('20250815_ETF_Options_Exhibits'!K5:K9)),AVERAGE('20250815_ETF_Options_Exhibits'!K5:K9),"")</f>
        <v/>
      </c>
      <c r="L9" s="3">
        <f>IF(ISNUMBER(AVERAGE('20250815_ETF_Options_Exhibits'!L5:L9)),AVERAGE('20250815_ETF_Options_Exhibits'!L5:L9),"")</f>
        <v/>
      </c>
      <c r="M9" s="3">
        <f>IF(ISNUMBER(AVERAGE('20250815_ETF_Options_Exhibits'!M5:M9)),AVERAGE('20250815_ETF_Options_Exhibits'!M5:M9),"")</f>
        <v/>
      </c>
      <c r="N9" s="3">
        <f>IF(ISNUMBER(AVERAGE('20250815_ETF_Options_Exhibits'!N5:N9)),AVERAGE('20250815_ETF_Options_Exhibits'!N5:N9),"")</f>
        <v/>
      </c>
      <c r="O9" s="3">
        <f>IF(ISNUMBER(AVERAGE('20250815_ETF_Options_Exhibits'!O5:O9)),AVERAGE('20250815_ETF_Options_Exhibits'!O5:O9),"")</f>
        <v/>
      </c>
      <c r="P9" s="3">
        <f>IF(ISNUMBER(AVERAGE('20250815_ETF_Options_Exhibits'!P5:P9)),AVERAGE('20250815_ETF_Options_Exhibits'!P5:P9),"")</f>
        <v/>
      </c>
      <c r="Q9" s="3">
        <f>IF(ISNUMBER(AVERAGE('20250815_ETF_Options_Exhibits'!Q5:Q9)),AVERAGE('20250815_ETF_Options_Exhibits'!Q5:Q9),"")</f>
        <v/>
      </c>
      <c r="R9" s="3">
        <f>IF(ISNUMBER(AVERAGE('20250815_ETF_Options_Exhibits'!R5:R9)),AVERAGE('20250815_ETF_Options_Exhibits'!R5:R9),"")</f>
        <v/>
      </c>
      <c r="S9" s="3">
        <f>IF(ISNUMBER(AVERAGE('20250815_ETF_Options_Exhibits'!S5:S9)),AVERAGE('20250815_ETF_Options_Exhibits'!S5:S9),"")</f>
        <v/>
      </c>
      <c r="T9" s="3">
        <f>IF(ISNUMBER(AVERAGE('20250815_ETF_Options_Exhibits'!T5:T9)),AVERAGE('20250815_ETF_Options_Exhibits'!T5:T9),"")</f>
        <v/>
      </c>
      <c r="U9" s="3">
        <f>IF(ISNUMBER(AVERAGE('20250815_ETF_Options_Exhibits'!U5:U9)),AVERAGE('20250815_ETF_Options_Exhibits'!U5:U9),"")</f>
        <v/>
      </c>
      <c r="V9" s="3">
        <f>IF(ISNUMBER(AVERAGE('20250815_ETF_Options_Exhibits'!V5:V9)),AVERAGE('20250815_ETF_Options_Exhibits'!V5:V9),"")</f>
        <v/>
      </c>
      <c r="W9" s="3">
        <f>IF(ISNUMBER(AVERAGE('20250815_ETF_Options_Exhibits'!W5:W9)),AVERAGE('20250815_ETF_Options_Exhibits'!W5:W9),"")</f>
        <v/>
      </c>
      <c r="X9" s="3">
        <f>IF(ISNUMBER(AVERAGE('20250815_ETF_Options_Exhibits'!X5:X9)),AVERAGE('20250815_ETF_Options_Exhibits'!X5:X9),"")</f>
        <v/>
      </c>
      <c r="Y9" s="3">
        <f>IF(ISNUMBER(AVERAGE('20250815_ETF_Options_Exhibits'!Y5:Y9)),AVERAGE('20250815_ETF_Options_Exhibits'!Y5:Y9),"")</f>
        <v/>
      </c>
      <c r="Z9" s="3">
        <f>IF(ISNUMBER(AVERAGE('20250815_ETF_Options_Exhibits'!Z5:Z9)),AVERAGE('20250815_ETF_Options_Exhibits'!Z5:Z9),"")</f>
        <v/>
      </c>
      <c r="AA9" s="3">
        <f>IF(ISNUMBER(AVERAGE('20250815_ETF_Options_Exhibits'!AA5:AA9)),AVERAGE('20250815_ETF_Options_Exhibits'!AA5:AA9),"")</f>
        <v/>
      </c>
    </row>
    <row r="10">
      <c r="A10" s="1" t="n">
        <v>42017</v>
      </c>
      <c r="B10" s="3">
        <f>IF(ISNUMBER(AVERAGE('20250815_ETF_Options_Exhibits'!B6:B10)),AVERAGE('20250815_ETF_Options_Exhibits'!B6:B10),"")</f>
        <v/>
      </c>
      <c r="C10" s="3">
        <f>IF(ISNUMBER(AVERAGE('20250815_ETF_Options_Exhibits'!C6:C10)),AVERAGE('20250815_ETF_Options_Exhibits'!C6:C10),"")</f>
        <v/>
      </c>
      <c r="D10" s="3">
        <f>IF(ISNUMBER(AVERAGE('20250815_ETF_Options_Exhibits'!D6:D10)),AVERAGE('20250815_ETF_Options_Exhibits'!D6:D10),"")</f>
        <v/>
      </c>
      <c r="E10" s="3">
        <f>IF(ISNUMBER(AVERAGE('20250815_ETF_Options_Exhibits'!E6:E10)),AVERAGE('20250815_ETF_Options_Exhibits'!E6:E10),"")</f>
        <v/>
      </c>
      <c r="F10" s="3">
        <f>IF(ISNUMBER(AVERAGE('20250815_ETF_Options_Exhibits'!F6:F10)),AVERAGE('20250815_ETF_Options_Exhibits'!F6:F10),"")</f>
        <v/>
      </c>
      <c r="G10" s="3">
        <f>IF(ISNUMBER(AVERAGE('20250815_ETF_Options_Exhibits'!G6:G10)),AVERAGE('20250815_ETF_Options_Exhibits'!G6:G10),"")</f>
        <v/>
      </c>
      <c r="H10" s="3">
        <f>IF(ISNUMBER(AVERAGE('20250815_ETF_Options_Exhibits'!H6:H10)),AVERAGE('20250815_ETF_Options_Exhibits'!H6:H10),"")</f>
        <v/>
      </c>
      <c r="I10" s="3">
        <f>IF(ISNUMBER(AVERAGE('20250815_ETF_Options_Exhibits'!I6:I10)),AVERAGE('20250815_ETF_Options_Exhibits'!I6:I10),"")</f>
        <v/>
      </c>
      <c r="J10" s="3">
        <f>IF(ISNUMBER(AVERAGE('20250815_ETF_Options_Exhibits'!J6:J10)),AVERAGE('20250815_ETF_Options_Exhibits'!J6:J10),"")</f>
        <v/>
      </c>
      <c r="K10" s="3">
        <f>IF(ISNUMBER(AVERAGE('20250815_ETF_Options_Exhibits'!K6:K10)),AVERAGE('20250815_ETF_Options_Exhibits'!K6:K10),"")</f>
        <v/>
      </c>
      <c r="L10" s="3">
        <f>IF(ISNUMBER(AVERAGE('20250815_ETF_Options_Exhibits'!L6:L10)),AVERAGE('20250815_ETF_Options_Exhibits'!L6:L10),"")</f>
        <v/>
      </c>
      <c r="M10" s="3">
        <f>IF(ISNUMBER(AVERAGE('20250815_ETF_Options_Exhibits'!M6:M10)),AVERAGE('20250815_ETF_Options_Exhibits'!M6:M10),"")</f>
        <v/>
      </c>
      <c r="N10" s="3">
        <f>IF(ISNUMBER(AVERAGE('20250815_ETF_Options_Exhibits'!N6:N10)),AVERAGE('20250815_ETF_Options_Exhibits'!N6:N10),"")</f>
        <v/>
      </c>
      <c r="O10" s="3">
        <f>IF(ISNUMBER(AVERAGE('20250815_ETF_Options_Exhibits'!O6:O10)),AVERAGE('20250815_ETF_Options_Exhibits'!O6:O10),"")</f>
        <v/>
      </c>
      <c r="P10" s="3">
        <f>IF(ISNUMBER(AVERAGE('20250815_ETF_Options_Exhibits'!P6:P10)),AVERAGE('20250815_ETF_Options_Exhibits'!P6:P10),"")</f>
        <v/>
      </c>
      <c r="Q10" s="3">
        <f>IF(ISNUMBER(AVERAGE('20250815_ETF_Options_Exhibits'!Q6:Q10)),AVERAGE('20250815_ETF_Options_Exhibits'!Q6:Q10),"")</f>
        <v/>
      </c>
      <c r="R10" s="3">
        <f>IF(ISNUMBER(AVERAGE('20250815_ETF_Options_Exhibits'!R6:R10)),AVERAGE('20250815_ETF_Options_Exhibits'!R6:R10),"")</f>
        <v/>
      </c>
      <c r="S10" s="3">
        <f>IF(ISNUMBER(AVERAGE('20250815_ETF_Options_Exhibits'!S6:S10)),AVERAGE('20250815_ETF_Options_Exhibits'!S6:S10),"")</f>
        <v/>
      </c>
      <c r="T10" s="3">
        <f>IF(ISNUMBER(AVERAGE('20250815_ETF_Options_Exhibits'!T6:T10)),AVERAGE('20250815_ETF_Options_Exhibits'!T6:T10),"")</f>
        <v/>
      </c>
      <c r="U10" s="3">
        <f>IF(ISNUMBER(AVERAGE('20250815_ETF_Options_Exhibits'!U6:U10)),AVERAGE('20250815_ETF_Options_Exhibits'!U6:U10),"")</f>
        <v/>
      </c>
      <c r="V10" s="3">
        <f>IF(ISNUMBER(AVERAGE('20250815_ETF_Options_Exhibits'!V6:V10)),AVERAGE('20250815_ETF_Options_Exhibits'!V6:V10),"")</f>
        <v/>
      </c>
      <c r="W10" s="3">
        <f>IF(ISNUMBER(AVERAGE('20250815_ETF_Options_Exhibits'!W6:W10)),AVERAGE('20250815_ETF_Options_Exhibits'!W6:W10),"")</f>
        <v/>
      </c>
      <c r="X10" s="3">
        <f>IF(ISNUMBER(AVERAGE('20250815_ETF_Options_Exhibits'!X6:X10)),AVERAGE('20250815_ETF_Options_Exhibits'!X6:X10),"")</f>
        <v/>
      </c>
      <c r="Y10" s="3">
        <f>IF(ISNUMBER(AVERAGE('20250815_ETF_Options_Exhibits'!Y6:Y10)),AVERAGE('20250815_ETF_Options_Exhibits'!Y6:Y10),"")</f>
        <v/>
      </c>
      <c r="Z10" s="3">
        <f>IF(ISNUMBER(AVERAGE('20250815_ETF_Options_Exhibits'!Z6:Z10)),AVERAGE('20250815_ETF_Options_Exhibits'!Z6:Z10),"")</f>
        <v/>
      </c>
      <c r="AA10" s="3">
        <f>IF(ISNUMBER(AVERAGE('20250815_ETF_Options_Exhibits'!AA6:AA10)),AVERAGE('20250815_ETF_Options_Exhibits'!AA6:AA10),"")</f>
        <v/>
      </c>
    </row>
    <row r="11">
      <c r="A11" s="1" t="n">
        <v>42018</v>
      </c>
      <c r="B11" s="3">
        <f>IF(ISNUMBER(AVERAGE('20250815_ETF_Options_Exhibits'!B7:B11)),AVERAGE('20250815_ETF_Options_Exhibits'!B7:B11),"")</f>
        <v/>
      </c>
      <c r="C11" s="3">
        <f>IF(ISNUMBER(AVERAGE('20250815_ETF_Options_Exhibits'!C7:C11)),AVERAGE('20250815_ETF_Options_Exhibits'!C7:C11),"")</f>
        <v/>
      </c>
      <c r="D11" s="3">
        <f>IF(ISNUMBER(AVERAGE('20250815_ETF_Options_Exhibits'!D7:D11)),AVERAGE('20250815_ETF_Options_Exhibits'!D7:D11),"")</f>
        <v/>
      </c>
      <c r="E11" s="3">
        <f>IF(ISNUMBER(AVERAGE('20250815_ETF_Options_Exhibits'!E7:E11)),AVERAGE('20250815_ETF_Options_Exhibits'!E7:E11),"")</f>
        <v/>
      </c>
      <c r="F11" s="3">
        <f>IF(ISNUMBER(AVERAGE('20250815_ETF_Options_Exhibits'!F7:F11)),AVERAGE('20250815_ETF_Options_Exhibits'!F7:F11),"")</f>
        <v/>
      </c>
      <c r="G11" s="3">
        <f>IF(ISNUMBER(AVERAGE('20250815_ETF_Options_Exhibits'!G7:G11)),AVERAGE('20250815_ETF_Options_Exhibits'!G7:G11),"")</f>
        <v/>
      </c>
      <c r="H11" s="3">
        <f>IF(ISNUMBER(AVERAGE('20250815_ETF_Options_Exhibits'!H7:H11)),AVERAGE('20250815_ETF_Options_Exhibits'!H7:H11),"")</f>
        <v/>
      </c>
      <c r="I11" s="3">
        <f>IF(ISNUMBER(AVERAGE('20250815_ETF_Options_Exhibits'!I7:I11)),AVERAGE('20250815_ETF_Options_Exhibits'!I7:I11),"")</f>
        <v/>
      </c>
      <c r="J11" s="3">
        <f>IF(ISNUMBER(AVERAGE('20250815_ETF_Options_Exhibits'!J7:J11)),AVERAGE('20250815_ETF_Options_Exhibits'!J7:J11),"")</f>
        <v/>
      </c>
      <c r="K11" s="3">
        <f>IF(ISNUMBER(AVERAGE('20250815_ETF_Options_Exhibits'!K7:K11)),AVERAGE('20250815_ETF_Options_Exhibits'!K7:K11),"")</f>
        <v/>
      </c>
      <c r="L11" s="3">
        <f>IF(ISNUMBER(AVERAGE('20250815_ETF_Options_Exhibits'!L7:L11)),AVERAGE('20250815_ETF_Options_Exhibits'!L7:L11),"")</f>
        <v/>
      </c>
      <c r="M11" s="3">
        <f>IF(ISNUMBER(AVERAGE('20250815_ETF_Options_Exhibits'!M7:M11)),AVERAGE('20250815_ETF_Options_Exhibits'!M7:M11),"")</f>
        <v/>
      </c>
      <c r="N11" s="3">
        <f>IF(ISNUMBER(AVERAGE('20250815_ETF_Options_Exhibits'!N7:N11)),AVERAGE('20250815_ETF_Options_Exhibits'!N7:N11),"")</f>
        <v/>
      </c>
      <c r="O11" s="3">
        <f>IF(ISNUMBER(AVERAGE('20250815_ETF_Options_Exhibits'!O7:O11)),AVERAGE('20250815_ETF_Options_Exhibits'!O7:O11),"")</f>
        <v/>
      </c>
      <c r="P11" s="3">
        <f>IF(ISNUMBER(AVERAGE('20250815_ETF_Options_Exhibits'!P7:P11)),AVERAGE('20250815_ETF_Options_Exhibits'!P7:P11),"")</f>
        <v/>
      </c>
      <c r="Q11" s="3">
        <f>IF(ISNUMBER(AVERAGE('20250815_ETF_Options_Exhibits'!Q7:Q11)),AVERAGE('20250815_ETF_Options_Exhibits'!Q7:Q11),"")</f>
        <v/>
      </c>
      <c r="R11" s="3">
        <f>IF(ISNUMBER(AVERAGE('20250815_ETF_Options_Exhibits'!R7:R11)),AVERAGE('20250815_ETF_Options_Exhibits'!R7:R11),"")</f>
        <v/>
      </c>
      <c r="S11" s="3">
        <f>IF(ISNUMBER(AVERAGE('20250815_ETF_Options_Exhibits'!S7:S11)),AVERAGE('20250815_ETF_Options_Exhibits'!S7:S11),"")</f>
        <v/>
      </c>
      <c r="T11" s="3">
        <f>IF(ISNUMBER(AVERAGE('20250815_ETF_Options_Exhibits'!T7:T11)),AVERAGE('20250815_ETF_Options_Exhibits'!T7:T11),"")</f>
        <v/>
      </c>
      <c r="U11" s="3">
        <f>IF(ISNUMBER(AVERAGE('20250815_ETF_Options_Exhibits'!U7:U11)),AVERAGE('20250815_ETF_Options_Exhibits'!U7:U11),"")</f>
        <v/>
      </c>
      <c r="V11" s="3">
        <f>IF(ISNUMBER(AVERAGE('20250815_ETF_Options_Exhibits'!V7:V11)),AVERAGE('20250815_ETF_Options_Exhibits'!V7:V11),"")</f>
        <v/>
      </c>
      <c r="W11" s="3">
        <f>IF(ISNUMBER(AVERAGE('20250815_ETF_Options_Exhibits'!W7:W11)),AVERAGE('20250815_ETF_Options_Exhibits'!W7:W11),"")</f>
        <v/>
      </c>
      <c r="X11" s="3">
        <f>IF(ISNUMBER(AVERAGE('20250815_ETF_Options_Exhibits'!X7:X11)),AVERAGE('20250815_ETF_Options_Exhibits'!X7:X11),"")</f>
        <v/>
      </c>
      <c r="Y11" s="3">
        <f>IF(ISNUMBER(AVERAGE('20250815_ETF_Options_Exhibits'!Y7:Y11)),AVERAGE('20250815_ETF_Options_Exhibits'!Y7:Y11),"")</f>
        <v/>
      </c>
      <c r="Z11" s="3">
        <f>IF(ISNUMBER(AVERAGE('20250815_ETF_Options_Exhibits'!Z7:Z11)),AVERAGE('20250815_ETF_Options_Exhibits'!Z7:Z11),"")</f>
        <v/>
      </c>
      <c r="AA11" s="3">
        <f>IF(ISNUMBER(AVERAGE('20250815_ETF_Options_Exhibits'!AA7:AA11)),AVERAGE('20250815_ETF_Options_Exhibits'!AA7:AA11),"")</f>
        <v/>
      </c>
    </row>
    <row r="12">
      <c r="A12" s="1" t="n">
        <v>42019</v>
      </c>
      <c r="B12" s="3">
        <f>IF(ISNUMBER(AVERAGE('20250815_ETF_Options_Exhibits'!B8:B12)),AVERAGE('20250815_ETF_Options_Exhibits'!B8:B12),"")</f>
        <v/>
      </c>
      <c r="C12" s="3">
        <f>IF(ISNUMBER(AVERAGE('20250815_ETF_Options_Exhibits'!C8:C12)),AVERAGE('20250815_ETF_Options_Exhibits'!C8:C12),"")</f>
        <v/>
      </c>
      <c r="D12" s="3">
        <f>IF(ISNUMBER(AVERAGE('20250815_ETF_Options_Exhibits'!D8:D12)),AVERAGE('20250815_ETF_Options_Exhibits'!D8:D12),"")</f>
        <v/>
      </c>
      <c r="E12" s="3">
        <f>IF(ISNUMBER(AVERAGE('20250815_ETF_Options_Exhibits'!E8:E12)),AVERAGE('20250815_ETF_Options_Exhibits'!E8:E12),"")</f>
        <v/>
      </c>
      <c r="F12" s="3">
        <f>IF(ISNUMBER(AVERAGE('20250815_ETF_Options_Exhibits'!F8:F12)),AVERAGE('20250815_ETF_Options_Exhibits'!F8:F12),"")</f>
        <v/>
      </c>
      <c r="G12" s="3">
        <f>IF(ISNUMBER(AVERAGE('20250815_ETF_Options_Exhibits'!G8:G12)),AVERAGE('20250815_ETF_Options_Exhibits'!G8:G12),"")</f>
        <v/>
      </c>
      <c r="H12" s="3">
        <f>IF(ISNUMBER(AVERAGE('20250815_ETF_Options_Exhibits'!H8:H12)),AVERAGE('20250815_ETF_Options_Exhibits'!H8:H12),"")</f>
        <v/>
      </c>
      <c r="I12" s="3">
        <f>IF(ISNUMBER(AVERAGE('20250815_ETF_Options_Exhibits'!I8:I12)),AVERAGE('20250815_ETF_Options_Exhibits'!I8:I12),"")</f>
        <v/>
      </c>
      <c r="J12" s="3">
        <f>IF(ISNUMBER(AVERAGE('20250815_ETF_Options_Exhibits'!J8:J12)),AVERAGE('20250815_ETF_Options_Exhibits'!J8:J12),"")</f>
        <v/>
      </c>
      <c r="K12" s="3">
        <f>IF(ISNUMBER(AVERAGE('20250815_ETF_Options_Exhibits'!K8:K12)),AVERAGE('20250815_ETF_Options_Exhibits'!K8:K12),"")</f>
        <v/>
      </c>
      <c r="L12" s="3">
        <f>IF(ISNUMBER(AVERAGE('20250815_ETF_Options_Exhibits'!L8:L12)),AVERAGE('20250815_ETF_Options_Exhibits'!L8:L12),"")</f>
        <v/>
      </c>
      <c r="M12" s="3">
        <f>IF(ISNUMBER(AVERAGE('20250815_ETF_Options_Exhibits'!M8:M12)),AVERAGE('20250815_ETF_Options_Exhibits'!M8:M12),"")</f>
        <v/>
      </c>
      <c r="N12" s="3">
        <f>IF(ISNUMBER(AVERAGE('20250815_ETF_Options_Exhibits'!N8:N12)),AVERAGE('20250815_ETF_Options_Exhibits'!N8:N12),"")</f>
        <v/>
      </c>
      <c r="O12" s="3">
        <f>IF(ISNUMBER(AVERAGE('20250815_ETF_Options_Exhibits'!O8:O12)),AVERAGE('20250815_ETF_Options_Exhibits'!O8:O12),"")</f>
        <v/>
      </c>
      <c r="P12" s="3">
        <f>IF(ISNUMBER(AVERAGE('20250815_ETF_Options_Exhibits'!P8:P12)),AVERAGE('20250815_ETF_Options_Exhibits'!P8:P12),"")</f>
        <v/>
      </c>
      <c r="Q12" s="3">
        <f>IF(ISNUMBER(AVERAGE('20250815_ETF_Options_Exhibits'!Q8:Q12)),AVERAGE('20250815_ETF_Options_Exhibits'!Q8:Q12),"")</f>
        <v/>
      </c>
      <c r="R12" s="3">
        <f>IF(ISNUMBER(AVERAGE('20250815_ETF_Options_Exhibits'!R8:R12)),AVERAGE('20250815_ETF_Options_Exhibits'!R8:R12),"")</f>
        <v/>
      </c>
      <c r="S12" s="3">
        <f>IF(ISNUMBER(AVERAGE('20250815_ETF_Options_Exhibits'!S8:S12)),AVERAGE('20250815_ETF_Options_Exhibits'!S8:S12),"")</f>
        <v/>
      </c>
      <c r="T12" s="3">
        <f>IF(ISNUMBER(AVERAGE('20250815_ETF_Options_Exhibits'!T8:T12)),AVERAGE('20250815_ETF_Options_Exhibits'!T8:T12),"")</f>
        <v/>
      </c>
      <c r="U12" s="3">
        <f>IF(ISNUMBER(AVERAGE('20250815_ETF_Options_Exhibits'!U8:U12)),AVERAGE('20250815_ETF_Options_Exhibits'!U8:U12),"")</f>
        <v/>
      </c>
      <c r="V12" s="3">
        <f>IF(ISNUMBER(AVERAGE('20250815_ETF_Options_Exhibits'!V8:V12)),AVERAGE('20250815_ETF_Options_Exhibits'!V8:V12),"")</f>
        <v/>
      </c>
      <c r="W12" s="3">
        <f>IF(ISNUMBER(AVERAGE('20250815_ETF_Options_Exhibits'!W8:W12)),AVERAGE('20250815_ETF_Options_Exhibits'!W8:W12),"")</f>
        <v/>
      </c>
      <c r="X12" s="3">
        <f>IF(ISNUMBER(AVERAGE('20250815_ETF_Options_Exhibits'!X8:X12)),AVERAGE('20250815_ETF_Options_Exhibits'!X8:X12),"")</f>
        <v/>
      </c>
      <c r="Y12" s="3">
        <f>IF(ISNUMBER(AVERAGE('20250815_ETF_Options_Exhibits'!Y8:Y12)),AVERAGE('20250815_ETF_Options_Exhibits'!Y8:Y12),"")</f>
        <v/>
      </c>
      <c r="Z12" s="3">
        <f>IF(ISNUMBER(AVERAGE('20250815_ETF_Options_Exhibits'!Z8:Z12)),AVERAGE('20250815_ETF_Options_Exhibits'!Z8:Z12),"")</f>
        <v/>
      </c>
      <c r="AA12" s="3">
        <f>IF(ISNUMBER(AVERAGE('20250815_ETF_Options_Exhibits'!AA8:AA12)),AVERAGE('20250815_ETF_Options_Exhibits'!AA8:AA12),"")</f>
        <v/>
      </c>
    </row>
    <row r="13">
      <c r="A13" s="1" t="n">
        <v>42020</v>
      </c>
      <c r="B13" s="3">
        <f>IF(ISNUMBER(AVERAGE('20250815_ETF_Options_Exhibits'!B9:B13)),AVERAGE('20250815_ETF_Options_Exhibits'!B9:B13),"")</f>
        <v/>
      </c>
      <c r="C13" s="3">
        <f>IF(ISNUMBER(AVERAGE('20250815_ETF_Options_Exhibits'!C9:C13)),AVERAGE('20250815_ETF_Options_Exhibits'!C9:C13),"")</f>
        <v/>
      </c>
      <c r="D13" s="3">
        <f>IF(ISNUMBER(AVERAGE('20250815_ETF_Options_Exhibits'!D9:D13)),AVERAGE('20250815_ETF_Options_Exhibits'!D9:D13),"")</f>
        <v/>
      </c>
      <c r="E13" s="3">
        <f>IF(ISNUMBER(AVERAGE('20250815_ETF_Options_Exhibits'!E9:E13)),AVERAGE('20250815_ETF_Options_Exhibits'!E9:E13),"")</f>
        <v/>
      </c>
      <c r="F13" s="3">
        <f>IF(ISNUMBER(AVERAGE('20250815_ETF_Options_Exhibits'!F9:F13)),AVERAGE('20250815_ETF_Options_Exhibits'!F9:F13),"")</f>
        <v/>
      </c>
      <c r="G13" s="3">
        <f>IF(ISNUMBER(AVERAGE('20250815_ETF_Options_Exhibits'!G9:G13)),AVERAGE('20250815_ETF_Options_Exhibits'!G9:G13),"")</f>
        <v/>
      </c>
      <c r="H13" s="3">
        <f>IF(ISNUMBER(AVERAGE('20250815_ETF_Options_Exhibits'!H9:H13)),AVERAGE('20250815_ETF_Options_Exhibits'!H9:H13),"")</f>
        <v/>
      </c>
      <c r="I13" s="3">
        <f>IF(ISNUMBER(AVERAGE('20250815_ETF_Options_Exhibits'!I9:I13)),AVERAGE('20250815_ETF_Options_Exhibits'!I9:I13),"")</f>
        <v/>
      </c>
      <c r="J13" s="3">
        <f>IF(ISNUMBER(AVERAGE('20250815_ETF_Options_Exhibits'!J9:J13)),AVERAGE('20250815_ETF_Options_Exhibits'!J9:J13),"")</f>
        <v/>
      </c>
      <c r="K13" s="3">
        <f>IF(ISNUMBER(AVERAGE('20250815_ETF_Options_Exhibits'!K9:K13)),AVERAGE('20250815_ETF_Options_Exhibits'!K9:K13),"")</f>
        <v/>
      </c>
      <c r="L13" s="3">
        <f>IF(ISNUMBER(AVERAGE('20250815_ETF_Options_Exhibits'!L9:L13)),AVERAGE('20250815_ETF_Options_Exhibits'!L9:L13),"")</f>
        <v/>
      </c>
      <c r="M13" s="3">
        <f>IF(ISNUMBER(AVERAGE('20250815_ETF_Options_Exhibits'!M9:M13)),AVERAGE('20250815_ETF_Options_Exhibits'!M9:M13),"")</f>
        <v/>
      </c>
      <c r="N13" s="3">
        <f>IF(ISNUMBER(AVERAGE('20250815_ETF_Options_Exhibits'!N9:N13)),AVERAGE('20250815_ETF_Options_Exhibits'!N9:N13),"")</f>
        <v/>
      </c>
      <c r="O13" s="3">
        <f>IF(ISNUMBER(AVERAGE('20250815_ETF_Options_Exhibits'!O9:O13)),AVERAGE('20250815_ETF_Options_Exhibits'!O9:O13),"")</f>
        <v/>
      </c>
      <c r="P13" s="3">
        <f>IF(ISNUMBER(AVERAGE('20250815_ETF_Options_Exhibits'!P9:P13)),AVERAGE('20250815_ETF_Options_Exhibits'!P9:P13),"")</f>
        <v/>
      </c>
      <c r="Q13" s="3">
        <f>IF(ISNUMBER(AVERAGE('20250815_ETF_Options_Exhibits'!Q9:Q13)),AVERAGE('20250815_ETF_Options_Exhibits'!Q9:Q13),"")</f>
        <v/>
      </c>
      <c r="R13" s="3">
        <f>IF(ISNUMBER(AVERAGE('20250815_ETF_Options_Exhibits'!R9:R13)),AVERAGE('20250815_ETF_Options_Exhibits'!R9:R13),"")</f>
        <v/>
      </c>
      <c r="S13" s="3">
        <f>IF(ISNUMBER(AVERAGE('20250815_ETF_Options_Exhibits'!S9:S13)),AVERAGE('20250815_ETF_Options_Exhibits'!S9:S13),"")</f>
        <v/>
      </c>
      <c r="T13" s="3">
        <f>IF(ISNUMBER(AVERAGE('20250815_ETF_Options_Exhibits'!T9:T13)),AVERAGE('20250815_ETF_Options_Exhibits'!T9:T13),"")</f>
        <v/>
      </c>
      <c r="U13" s="3">
        <f>IF(ISNUMBER(AVERAGE('20250815_ETF_Options_Exhibits'!U9:U13)),AVERAGE('20250815_ETF_Options_Exhibits'!U9:U13),"")</f>
        <v/>
      </c>
      <c r="V13" s="3">
        <f>IF(ISNUMBER(AVERAGE('20250815_ETF_Options_Exhibits'!V9:V13)),AVERAGE('20250815_ETF_Options_Exhibits'!V9:V13),"")</f>
        <v/>
      </c>
      <c r="W13" s="3">
        <f>IF(ISNUMBER(AVERAGE('20250815_ETF_Options_Exhibits'!W9:W13)),AVERAGE('20250815_ETF_Options_Exhibits'!W9:W13),"")</f>
        <v/>
      </c>
      <c r="X13" s="3">
        <f>IF(ISNUMBER(AVERAGE('20250815_ETF_Options_Exhibits'!X9:X13)),AVERAGE('20250815_ETF_Options_Exhibits'!X9:X13),"")</f>
        <v/>
      </c>
      <c r="Y13" s="3">
        <f>IF(ISNUMBER(AVERAGE('20250815_ETF_Options_Exhibits'!Y9:Y13)),AVERAGE('20250815_ETF_Options_Exhibits'!Y9:Y13),"")</f>
        <v/>
      </c>
      <c r="Z13" s="3">
        <f>IF(ISNUMBER(AVERAGE('20250815_ETF_Options_Exhibits'!Z9:Z13)),AVERAGE('20250815_ETF_Options_Exhibits'!Z9:Z13),"")</f>
        <v/>
      </c>
      <c r="AA13" s="3">
        <f>IF(ISNUMBER(AVERAGE('20250815_ETF_Options_Exhibits'!AA9:AA13)),AVERAGE('20250815_ETF_Options_Exhibits'!AA9:AA13),"")</f>
        <v/>
      </c>
    </row>
    <row r="14">
      <c r="A14" s="1" t="n">
        <v>42024</v>
      </c>
      <c r="B14" s="3">
        <f>IF(ISNUMBER(AVERAGE('20250815_ETF_Options_Exhibits'!B10:B14)),AVERAGE('20250815_ETF_Options_Exhibits'!B10:B14),"")</f>
        <v/>
      </c>
      <c r="C14" s="3">
        <f>IF(ISNUMBER(AVERAGE('20250815_ETF_Options_Exhibits'!C10:C14)),AVERAGE('20250815_ETF_Options_Exhibits'!C10:C14),"")</f>
        <v/>
      </c>
      <c r="D14" s="3">
        <f>IF(ISNUMBER(AVERAGE('20250815_ETF_Options_Exhibits'!D10:D14)),AVERAGE('20250815_ETF_Options_Exhibits'!D10:D14),"")</f>
        <v/>
      </c>
      <c r="E14" s="3">
        <f>IF(ISNUMBER(AVERAGE('20250815_ETF_Options_Exhibits'!E10:E14)),AVERAGE('20250815_ETF_Options_Exhibits'!E10:E14),"")</f>
        <v/>
      </c>
      <c r="F14" s="3">
        <f>IF(ISNUMBER(AVERAGE('20250815_ETF_Options_Exhibits'!F10:F14)),AVERAGE('20250815_ETF_Options_Exhibits'!F10:F14),"")</f>
        <v/>
      </c>
      <c r="G14" s="3">
        <f>IF(ISNUMBER(AVERAGE('20250815_ETF_Options_Exhibits'!G10:G14)),AVERAGE('20250815_ETF_Options_Exhibits'!G10:G14),"")</f>
        <v/>
      </c>
      <c r="H14" s="3">
        <f>IF(ISNUMBER(AVERAGE('20250815_ETF_Options_Exhibits'!H10:H14)),AVERAGE('20250815_ETF_Options_Exhibits'!H10:H14),"")</f>
        <v/>
      </c>
      <c r="I14" s="3">
        <f>IF(ISNUMBER(AVERAGE('20250815_ETF_Options_Exhibits'!I10:I14)),AVERAGE('20250815_ETF_Options_Exhibits'!I10:I14),"")</f>
        <v/>
      </c>
      <c r="J14" s="3">
        <f>IF(ISNUMBER(AVERAGE('20250815_ETF_Options_Exhibits'!J10:J14)),AVERAGE('20250815_ETF_Options_Exhibits'!J10:J14),"")</f>
        <v/>
      </c>
      <c r="K14" s="3">
        <f>IF(ISNUMBER(AVERAGE('20250815_ETF_Options_Exhibits'!K10:K14)),AVERAGE('20250815_ETF_Options_Exhibits'!K10:K14),"")</f>
        <v/>
      </c>
      <c r="L14" s="3">
        <f>IF(ISNUMBER(AVERAGE('20250815_ETF_Options_Exhibits'!L10:L14)),AVERAGE('20250815_ETF_Options_Exhibits'!L10:L14),"")</f>
        <v/>
      </c>
      <c r="M14" s="3">
        <f>IF(ISNUMBER(AVERAGE('20250815_ETF_Options_Exhibits'!M10:M14)),AVERAGE('20250815_ETF_Options_Exhibits'!M10:M14),"")</f>
        <v/>
      </c>
      <c r="N14" s="3">
        <f>IF(ISNUMBER(AVERAGE('20250815_ETF_Options_Exhibits'!N10:N14)),AVERAGE('20250815_ETF_Options_Exhibits'!N10:N14),"")</f>
        <v/>
      </c>
      <c r="O14" s="3">
        <f>IF(ISNUMBER(AVERAGE('20250815_ETF_Options_Exhibits'!O10:O14)),AVERAGE('20250815_ETF_Options_Exhibits'!O10:O14),"")</f>
        <v/>
      </c>
      <c r="P14" s="3">
        <f>IF(ISNUMBER(AVERAGE('20250815_ETF_Options_Exhibits'!P10:P14)),AVERAGE('20250815_ETF_Options_Exhibits'!P10:P14),"")</f>
        <v/>
      </c>
      <c r="Q14" s="3">
        <f>IF(ISNUMBER(AVERAGE('20250815_ETF_Options_Exhibits'!Q10:Q14)),AVERAGE('20250815_ETF_Options_Exhibits'!Q10:Q14),"")</f>
        <v/>
      </c>
      <c r="R14" s="3">
        <f>IF(ISNUMBER(AVERAGE('20250815_ETF_Options_Exhibits'!R10:R14)),AVERAGE('20250815_ETF_Options_Exhibits'!R10:R14),"")</f>
        <v/>
      </c>
      <c r="S14" s="3">
        <f>IF(ISNUMBER(AVERAGE('20250815_ETF_Options_Exhibits'!S10:S14)),AVERAGE('20250815_ETF_Options_Exhibits'!S10:S14),"")</f>
        <v/>
      </c>
      <c r="T14" s="3">
        <f>IF(ISNUMBER(AVERAGE('20250815_ETF_Options_Exhibits'!T10:T14)),AVERAGE('20250815_ETF_Options_Exhibits'!T10:T14),"")</f>
        <v/>
      </c>
      <c r="U14" s="3">
        <f>IF(ISNUMBER(AVERAGE('20250815_ETF_Options_Exhibits'!U10:U14)),AVERAGE('20250815_ETF_Options_Exhibits'!U10:U14),"")</f>
        <v/>
      </c>
      <c r="V14" s="3">
        <f>IF(ISNUMBER(AVERAGE('20250815_ETF_Options_Exhibits'!V10:V14)),AVERAGE('20250815_ETF_Options_Exhibits'!V10:V14),"")</f>
        <v/>
      </c>
      <c r="W14" s="3">
        <f>IF(ISNUMBER(AVERAGE('20250815_ETF_Options_Exhibits'!W10:W14)),AVERAGE('20250815_ETF_Options_Exhibits'!W10:W14),"")</f>
        <v/>
      </c>
      <c r="X14" s="3">
        <f>IF(ISNUMBER(AVERAGE('20250815_ETF_Options_Exhibits'!X10:X14)),AVERAGE('20250815_ETF_Options_Exhibits'!X10:X14),"")</f>
        <v/>
      </c>
      <c r="Y14" s="3">
        <f>IF(ISNUMBER(AVERAGE('20250815_ETF_Options_Exhibits'!Y10:Y14)),AVERAGE('20250815_ETF_Options_Exhibits'!Y10:Y14),"")</f>
        <v/>
      </c>
      <c r="Z14" s="3">
        <f>IF(ISNUMBER(AVERAGE('20250815_ETF_Options_Exhibits'!Z10:Z14)),AVERAGE('20250815_ETF_Options_Exhibits'!Z10:Z14),"")</f>
        <v/>
      </c>
      <c r="AA14" s="3">
        <f>IF(ISNUMBER(AVERAGE('20250815_ETF_Options_Exhibits'!AA10:AA14)),AVERAGE('20250815_ETF_Options_Exhibits'!AA10:AA14),"")</f>
        <v/>
      </c>
    </row>
    <row r="15">
      <c r="A15" s="1" t="n">
        <v>42025</v>
      </c>
      <c r="B15" s="3">
        <f>IF(ISNUMBER(AVERAGE('20250815_ETF_Options_Exhibits'!B11:B15)),AVERAGE('20250815_ETF_Options_Exhibits'!B11:B15),"")</f>
        <v/>
      </c>
      <c r="C15" s="3">
        <f>IF(ISNUMBER(AVERAGE('20250815_ETF_Options_Exhibits'!C11:C15)),AVERAGE('20250815_ETF_Options_Exhibits'!C11:C15),"")</f>
        <v/>
      </c>
      <c r="D15" s="3">
        <f>IF(ISNUMBER(AVERAGE('20250815_ETF_Options_Exhibits'!D11:D15)),AVERAGE('20250815_ETF_Options_Exhibits'!D11:D15),"")</f>
        <v/>
      </c>
      <c r="E15" s="3">
        <f>IF(ISNUMBER(AVERAGE('20250815_ETF_Options_Exhibits'!E11:E15)),AVERAGE('20250815_ETF_Options_Exhibits'!E11:E15),"")</f>
        <v/>
      </c>
      <c r="F15" s="3">
        <f>IF(ISNUMBER(AVERAGE('20250815_ETF_Options_Exhibits'!F11:F15)),AVERAGE('20250815_ETF_Options_Exhibits'!F11:F15),"")</f>
        <v/>
      </c>
      <c r="G15" s="3">
        <f>IF(ISNUMBER(AVERAGE('20250815_ETF_Options_Exhibits'!G11:G15)),AVERAGE('20250815_ETF_Options_Exhibits'!G11:G15),"")</f>
        <v/>
      </c>
      <c r="H15" s="3">
        <f>IF(ISNUMBER(AVERAGE('20250815_ETF_Options_Exhibits'!H11:H15)),AVERAGE('20250815_ETF_Options_Exhibits'!H11:H15),"")</f>
        <v/>
      </c>
      <c r="I15" s="3">
        <f>IF(ISNUMBER(AVERAGE('20250815_ETF_Options_Exhibits'!I11:I15)),AVERAGE('20250815_ETF_Options_Exhibits'!I11:I15),"")</f>
        <v/>
      </c>
      <c r="J15" s="3">
        <f>IF(ISNUMBER(AVERAGE('20250815_ETF_Options_Exhibits'!J11:J15)),AVERAGE('20250815_ETF_Options_Exhibits'!J11:J15),"")</f>
        <v/>
      </c>
      <c r="K15" s="3">
        <f>IF(ISNUMBER(AVERAGE('20250815_ETF_Options_Exhibits'!K11:K15)),AVERAGE('20250815_ETF_Options_Exhibits'!K11:K15),"")</f>
        <v/>
      </c>
      <c r="L15" s="3">
        <f>IF(ISNUMBER(AVERAGE('20250815_ETF_Options_Exhibits'!L11:L15)),AVERAGE('20250815_ETF_Options_Exhibits'!L11:L15),"")</f>
        <v/>
      </c>
      <c r="M15" s="3">
        <f>IF(ISNUMBER(AVERAGE('20250815_ETF_Options_Exhibits'!M11:M15)),AVERAGE('20250815_ETF_Options_Exhibits'!M11:M15),"")</f>
        <v/>
      </c>
      <c r="N15" s="3">
        <f>IF(ISNUMBER(AVERAGE('20250815_ETF_Options_Exhibits'!N11:N15)),AVERAGE('20250815_ETF_Options_Exhibits'!N11:N15),"")</f>
        <v/>
      </c>
      <c r="O15" s="3">
        <f>IF(ISNUMBER(AVERAGE('20250815_ETF_Options_Exhibits'!O11:O15)),AVERAGE('20250815_ETF_Options_Exhibits'!O11:O15),"")</f>
        <v/>
      </c>
      <c r="P15" s="3">
        <f>IF(ISNUMBER(AVERAGE('20250815_ETF_Options_Exhibits'!P11:P15)),AVERAGE('20250815_ETF_Options_Exhibits'!P11:P15),"")</f>
        <v/>
      </c>
      <c r="Q15" s="3">
        <f>IF(ISNUMBER(AVERAGE('20250815_ETF_Options_Exhibits'!Q11:Q15)),AVERAGE('20250815_ETF_Options_Exhibits'!Q11:Q15),"")</f>
        <v/>
      </c>
      <c r="R15" s="3">
        <f>IF(ISNUMBER(AVERAGE('20250815_ETF_Options_Exhibits'!R11:R15)),AVERAGE('20250815_ETF_Options_Exhibits'!R11:R15),"")</f>
        <v/>
      </c>
      <c r="S15" s="3">
        <f>IF(ISNUMBER(AVERAGE('20250815_ETF_Options_Exhibits'!S11:S15)),AVERAGE('20250815_ETF_Options_Exhibits'!S11:S15),"")</f>
        <v/>
      </c>
      <c r="T15" s="3">
        <f>IF(ISNUMBER(AVERAGE('20250815_ETF_Options_Exhibits'!T11:T15)),AVERAGE('20250815_ETF_Options_Exhibits'!T11:T15),"")</f>
        <v/>
      </c>
      <c r="U15" s="3">
        <f>IF(ISNUMBER(AVERAGE('20250815_ETF_Options_Exhibits'!U11:U15)),AVERAGE('20250815_ETF_Options_Exhibits'!U11:U15),"")</f>
        <v/>
      </c>
      <c r="V15" s="3">
        <f>IF(ISNUMBER(AVERAGE('20250815_ETF_Options_Exhibits'!V11:V15)),AVERAGE('20250815_ETF_Options_Exhibits'!V11:V15),"")</f>
        <v/>
      </c>
      <c r="W15" s="3">
        <f>IF(ISNUMBER(AVERAGE('20250815_ETF_Options_Exhibits'!W11:W15)),AVERAGE('20250815_ETF_Options_Exhibits'!W11:W15),"")</f>
        <v/>
      </c>
      <c r="X15" s="3">
        <f>IF(ISNUMBER(AVERAGE('20250815_ETF_Options_Exhibits'!X11:X15)),AVERAGE('20250815_ETF_Options_Exhibits'!X11:X15),"")</f>
        <v/>
      </c>
      <c r="Y15" s="3">
        <f>IF(ISNUMBER(AVERAGE('20250815_ETF_Options_Exhibits'!Y11:Y15)),AVERAGE('20250815_ETF_Options_Exhibits'!Y11:Y15),"")</f>
        <v/>
      </c>
      <c r="Z15" s="3">
        <f>IF(ISNUMBER(AVERAGE('20250815_ETF_Options_Exhibits'!Z11:Z15)),AVERAGE('20250815_ETF_Options_Exhibits'!Z11:Z15),"")</f>
        <v/>
      </c>
      <c r="AA15" s="3">
        <f>IF(ISNUMBER(AVERAGE('20250815_ETF_Options_Exhibits'!AA11:AA15)),AVERAGE('20250815_ETF_Options_Exhibits'!AA11:AA15),"")</f>
        <v/>
      </c>
    </row>
    <row r="16">
      <c r="A16" s="1" t="n">
        <v>42026</v>
      </c>
      <c r="B16" s="3">
        <f>IF(ISNUMBER(AVERAGE('20250815_ETF_Options_Exhibits'!B12:B16)),AVERAGE('20250815_ETF_Options_Exhibits'!B12:B16),"")</f>
        <v/>
      </c>
      <c r="C16" s="3">
        <f>IF(ISNUMBER(AVERAGE('20250815_ETF_Options_Exhibits'!C12:C16)),AVERAGE('20250815_ETF_Options_Exhibits'!C12:C16),"")</f>
        <v/>
      </c>
      <c r="D16" s="3">
        <f>IF(ISNUMBER(AVERAGE('20250815_ETF_Options_Exhibits'!D12:D16)),AVERAGE('20250815_ETF_Options_Exhibits'!D12:D16),"")</f>
        <v/>
      </c>
      <c r="E16" s="3">
        <f>IF(ISNUMBER(AVERAGE('20250815_ETF_Options_Exhibits'!E12:E16)),AVERAGE('20250815_ETF_Options_Exhibits'!E12:E16),"")</f>
        <v/>
      </c>
      <c r="F16" s="3">
        <f>IF(ISNUMBER(AVERAGE('20250815_ETF_Options_Exhibits'!F12:F16)),AVERAGE('20250815_ETF_Options_Exhibits'!F12:F16),"")</f>
        <v/>
      </c>
      <c r="G16" s="3">
        <f>IF(ISNUMBER(AVERAGE('20250815_ETF_Options_Exhibits'!G12:G16)),AVERAGE('20250815_ETF_Options_Exhibits'!G12:G16),"")</f>
        <v/>
      </c>
      <c r="H16" s="3">
        <f>IF(ISNUMBER(AVERAGE('20250815_ETF_Options_Exhibits'!H12:H16)),AVERAGE('20250815_ETF_Options_Exhibits'!H12:H16),"")</f>
        <v/>
      </c>
      <c r="I16" s="3">
        <f>IF(ISNUMBER(AVERAGE('20250815_ETF_Options_Exhibits'!I12:I16)),AVERAGE('20250815_ETF_Options_Exhibits'!I12:I16),"")</f>
        <v/>
      </c>
      <c r="J16" s="3">
        <f>IF(ISNUMBER(AVERAGE('20250815_ETF_Options_Exhibits'!J12:J16)),AVERAGE('20250815_ETF_Options_Exhibits'!J12:J16),"")</f>
        <v/>
      </c>
      <c r="K16" s="3">
        <f>IF(ISNUMBER(AVERAGE('20250815_ETF_Options_Exhibits'!K12:K16)),AVERAGE('20250815_ETF_Options_Exhibits'!K12:K16),"")</f>
        <v/>
      </c>
      <c r="L16" s="3">
        <f>IF(ISNUMBER(AVERAGE('20250815_ETF_Options_Exhibits'!L12:L16)),AVERAGE('20250815_ETF_Options_Exhibits'!L12:L16),"")</f>
        <v/>
      </c>
      <c r="M16" s="3">
        <f>IF(ISNUMBER(AVERAGE('20250815_ETF_Options_Exhibits'!M12:M16)),AVERAGE('20250815_ETF_Options_Exhibits'!M12:M16),"")</f>
        <v/>
      </c>
      <c r="N16" s="3">
        <f>IF(ISNUMBER(AVERAGE('20250815_ETF_Options_Exhibits'!N12:N16)),AVERAGE('20250815_ETF_Options_Exhibits'!N12:N16),"")</f>
        <v/>
      </c>
      <c r="O16" s="3">
        <f>IF(ISNUMBER(AVERAGE('20250815_ETF_Options_Exhibits'!O12:O16)),AVERAGE('20250815_ETF_Options_Exhibits'!O12:O16),"")</f>
        <v/>
      </c>
      <c r="P16" s="3">
        <f>IF(ISNUMBER(AVERAGE('20250815_ETF_Options_Exhibits'!P12:P16)),AVERAGE('20250815_ETF_Options_Exhibits'!P12:P16),"")</f>
        <v/>
      </c>
      <c r="Q16" s="3">
        <f>IF(ISNUMBER(AVERAGE('20250815_ETF_Options_Exhibits'!Q12:Q16)),AVERAGE('20250815_ETF_Options_Exhibits'!Q12:Q16),"")</f>
        <v/>
      </c>
      <c r="R16" s="3">
        <f>IF(ISNUMBER(AVERAGE('20250815_ETF_Options_Exhibits'!R12:R16)),AVERAGE('20250815_ETF_Options_Exhibits'!R12:R16),"")</f>
        <v/>
      </c>
      <c r="S16" s="3">
        <f>IF(ISNUMBER(AVERAGE('20250815_ETF_Options_Exhibits'!S12:S16)),AVERAGE('20250815_ETF_Options_Exhibits'!S12:S16),"")</f>
        <v/>
      </c>
      <c r="T16" s="3">
        <f>IF(ISNUMBER(AVERAGE('20250815_ETF_Options_Exhibits'!T12:T16)),AVERAGE('20250815_ETF_Options_Exhibits'!T12:T16),"")</f>
        <v/>
      </c>
      <c r="U16" s="3">
        <f>IF(ISNUMBER(AVERAGE('20250815_ETF_Options_Exhibits'!U12:U16)),AVERAGE('20250815_ETF_Options_Exhibits'!U12:U16),"")</f>
        <v/>
      </c>
      <c r="V16" s="3">
        <f>IF(ISNUMBER(AVERAGE('20250815_ETF_Options_Exhibits'!V12:V16)),AVERAGE('20250815_ETF_Options_Exhibits'!V12:V16),"")</f>
        <v/>
      </c>
      <c r="W16" s="3">
        <f>IF(ISNUMBER(AVERAGE('20250815_ETF_Options_Exhibits'!W12:W16)),AVERAGE('20250815_ETF_Options_Exhibits'!W12:W16),"")</f>
        <v/>
      </c>
      <c r="X16" s="3">
        <f>IF(ISNUMBER(AVERAGE('20250815_ETF_Options_Exhibits'!X12:X16)),AVERAGE('20250815_ETF_Options_Exhibits'!X12:X16),"")</f>
        <v/>
      </c>
      <c r="Y16" s="3">
        <f>IF(ISNUMBER(AVERAGE('20250815_ETF_Options_Exhibits'!Y12:Y16)),AVERAGE('20250815_ETF_Options_Exhibits'!Y12:Y16),"")</f>
        <v/>
      </c>
      <c r="Z16" s="3">
        <f>IF(ISNUMBER(AVERAGE('20250815_ETF_Options_Exhibits'!Z12:Z16)),AVERAGE('20250815_ETF_Options_Exhibits'!Z12:Z16),"")</f>
        <v/>
      </c>
      <c r="AA16" s="3">
        <f>IF(ISNUMBER(AVERAGE('20250815_ETF_Options_Exhibits'!AA12:AA16)),AVERAGE('20250815_ETF_Options_Exhibits'!AA12:AA16),"")</f>
        <v/>
      </c>
    </row>
    <row r="17">
      <c r="A17" s="1" t="n">
        <v>42027</v>
      </c>
      <c r="B17" s="3">
        <f>IF(ISNUMBER(AVERAGE('20250815_ETF_Options_Exhibits'!B13:B17)),AVERAGE('20250815_ETF_Options_Exhibits'!B13:B17),"")</f>
        <v/>
      </c>
      <c r="C17" s="3">
        <f>IF(ISNUMBER(AVERAGE('20250815_ETF_Options_Exhibits'!C13:C17)),AVERAGE('20250815_ETF_Options_Exhibits'!C13:C17),"")</f>
        <v/>
      </c>
      <c r="D17" s="3">
        <f>IF(ISNUMBER(AVERAGE('20250815_ETF_Options_Exhibits'!D13:D17)),AVERAGE('20250815_ETF_Options_Exhibits'!D13:D17),"")</f>
        <v/>
      </c>
      <c r="E17" s="3">
        <f>IF(ISNUMBER(AVERAGE('20250815_ETF_Options_Exhibits'!E13:E17)),AVERAGE('20250815_ETF_Options_Exhibits'!E13:E17),"")</f>
        <v/>
      </c>
      <c r="F17" s="3">
        <f>IF(ISNUMBER(AVERAGE('20250815_ETF_Options_Exhibits'!F13:F17)),AVERAGE('20250815_ETF_Options_Exhibits'!F13:F17),"")</f>
        <v/>
      </c>
      <c r="G17" s="3">
        <f>IF(ISNUMBER(AVERAGE('20250815_ETF_Options_Exhibits'!G13:G17)),AVERAGE('20250815_ETF_Options_Exhibits'!G13:G17),"")</f>
        <v/>
      </c>
      <c r="H17" s="3">
        <f>IF(ISNUMBER(AVERAGE('20250815_ETF_Options_Exhibits'!H13:H17)),AVERAGE('20250815_ETF_Options_Exhibits'!H13:H17),"")</f>
        <v/>
      </c>
      <c r="I17" s="3">
        <f>IF(ISNUMBER(AVERAGE('20250815_ETF_Options_Exhibits'!I13:I17)),AVERAGE('20250815_ETF_Options_Exhibits'!I13:I17),"")</f>
        <v/>
      </c>
      <c r="J17" s="3">
        <f>IF(ISNUMBER(AVERAGE('20250815_ETF_Options_Exhibits'!J13:J17)),AVERAGE('20250815_ETF_Options_Exhibits'!J13:J17),"")</f>
        <v/>
      </c>
      <c r="K17" s="3">
        <f>IF(ISNUMBER(AVERAGE('20250815_ETF_Options_Exhibits'!K13:K17)),AVERAGE('20250815_ETF_Options_Exhibits'!K13:K17),"")</f>
        <v/>
      </c>
      <c r="L17" s="3">
        <f>IF(ISNUMBER(AVERAGE('20250815_ETF_Options_Exhibits'!L13:L17)),AVERAGE('20250815_ETF_Options_Exhibits'!L13:L17),"")</f>
        <v/>
      </c>
      <c r="M17" s="3">
        <f>IF(ISNUMBER(AVERAGE('20250815_ETF_Options_Exhibits'!M13:M17)),AVERAGE('20250815_ETF_Options_Exhibits'!M13:M17),"")</f>
        <v/>
      </c>
      <c r="N17" s="3">
        <f>IF(ISNUMBER(AVERAGE('20250815_ETF_Options_Exhibits'!N13:N17)),AVERAGE('20250815_ETF_Options_Exhibits'!N13:N17),"")</f>
        <v/>
      </c>
      <c r="O17" s="3">
        <f>IF(ISNUMBER(AVERAGE('20250815_ETF_Options_Exhibits'!O13:O17)),AVERAGE('20250815_ETF_Options_Exhibits'!O13:O17),"")</f>
        <v/>
      </c>
      <c r="P17" s="3">
        <f>IF(ISNUMBER(AVERAGE('20250815_ETF_Options_Exhibits'!P13:P17)),AVERAGE('20250815_ETF_Options_Exhibits'!P13:P17),"")</f>
        <v/>
      </c>
      <c r="Q17" s="3">
        <f>IF(ISNUMBER(AVERAGE('20250815_ETF_Options_Exhibits'!Q13:Q17)),AVERAGE('20250815_ETF_Options_Exhibits'!Q13:Q17),"")</f>
        <v/>
      </c>
      <c r="R17" s="3">
        <f>IF(ISNUMBER(AVERAGE('20250815_ETF_Options_Exhibits'!R13:R17)),AVERAGE('20250815_ETF_Options_Exhibits'!R13:R17),"")</f>
        <v/>
      </c>
      <c r="S17" s="3">
        <f>IF(ISNUMBER(AVERAGE('20250815_ETF_Options_Exhibits'!S13:S17)),AVERAGE('20250815_ETF_Options_Exhibits'!S13:S17),"")</f>
        <v/>
      </c>
      <c r="T17" s="3">
        <f>IF(ISNUMBER(AVERAGE('20250815_ETF_Options_Exhibits'!T13:T17)),AVERAGE('20250815_ETF_Options_Exhibits'!T13:T17),"")</f>
        <v/>
      </c>
      <c r="U17" s="3">
        <f>IF(ISNUMBER(AVERAGE('20250815_ETF_Options_Exhibits'!U13:U17)),AVERAGE('20250815_ETF_Options_Exhibits'!U13:U17),"")</f>
        <v/>
      </c>
      <c r="V17" s="3">
        <f>IF(ISNUMBER(AVERAGE('20250815_ETF_Options_Exhibits'!V13:V17)),AVERAGE('20250815_ETF_Options_Exhibits'!V13:V17),"")</f>
        <v/>
      </c>
      <c r="W17" s="3">
        <f>IF(ISNUMBER(AVERAGE('20250815_ETF_Options_Exhibits'!W13:W17)),AVERAGE('20250815_ETF_Options_Exhibits'!W13:W17),"")</f>
        <v/>
      </c>
      <c r="X17" s="3">
        <f>IF(ISNUMBER(AVERAGE('20250815_ETF_Options_Exhibits'!X13:X17)),AVERAGE('20250815_ETF_Options_Exhibits'!X13:X17),"")</f>
        <v/>
      </c>
      <c r="Y17" s="3">
        <f>IF(ISNUMBER(AVERAGE('20250815_ETF_Options_Exhibits'!Y13:Y17)),AVERAGE('20250815_ETF_Options_Exhibits'!Y13:Y17),"")</f>
        <v/>
      </c>
      <c r="Z17" s="3">
        <f>IF(ISNUMBER(AVERAGE('20250815_ETF_Options_Exhibits'!Z13:Z17)),AVERAGE('20250815_ETF_Options_Exhibits'!Z13:Z17),"")</f>
        <v/>
      </c>
      <c r="AA17" s="3">
        <f>IF(ISNUMBER(AVERAGE('20250815_ETF_Options_Exhibits'!AA13:AA17)),AVERAGE('20250815_ETF_Options_Exhibits'!AA13:AA17),"")</f>
        <v/>
      </c>
    </row>
    <row r="18">
      <c r="A18" s="1" t="n">
        <v>42030</v>
      </c>
      <c r="B18" s="3">
        <f>IF(ISNUMBER(AVERAGE('20250815_ETF_Options_Exhibits'!B14:B18)),AVERAGE('20250815_ETF_Options_Exhibits'!B14:B18),"")</f>
        <v/>
      </c>
      <c r="C18" s="3">
        <f>IF(ISNUMBER(AVERAGE('20250815_ETF_Options_Exhibits'!C14:C18)),AVERAGE('20250815_ETF_Options_Exhibits'!C14:C18),"")</f>
        <v/>
      </c>
      <c r="D18" s="3">
        <f>IF(ISNUMBER(AVERAGE('20250815_ETF_Options_Exhibits'!D14:D18)),AVERAGE('20250815_ETF_Options_Exhibits'!D14:D18),"")</f>
        <v/>
      </c>
      <c r="E18" s="3">
        <f>IF(ISNUMBER(AVERAGE('20250815_ETF_Options_Exhibits'!E14:E18)),AVERAGE('20250815_ETF_Options_Exhibits'!E14:E18),"")</f>
        <v/>
      </c>
      <c r="F18" s="3">
        <f>IF(ISNUMBER(AVERAGE('20250815_ETF_Options_Exhibits'!F14:F18)),AVERAGE('20250815_ETF_Options_Exhibits'!F14:F18),"")</f>
        <v/>
      </c>
      <c r="G18" s="3">
        <f>IF(ISNUMBER(AVERAGE('20250815_ETF_Options_Exhibits'!G14:G18)),AVERAGE('20250815_ETF_Options_Exhibits'!G14:G18),"")</f>
        <v/>
      </c>
      <c r="H18" s="3">
        <f>IF(ISNUMBER(AVERAGE('20250815_ETF_Options_Exhibits'!H14:H18)),AVERAGE('20250815_ETF_Options_Exhibits'!H14:H18),"")</f>
        <v/>
      </c>
      <c r="I18" s="3">
        <f>IF(ISNUMBER(AVERAGE('20250815_ETF_Options_Exhibits'!I14:I18)),AVERAGE('20250815_ETF_Options_Exhibits'!I14:I18),"")</f>
        <v/>
      </c>
      <c r="J18" s="3">
        <f>IF(ISNUMBER(AVERAGE('20250815_ETF_Options_Exhibits'!J14:J18)),AVERAGE('20250815_ETF_Options_Exhibits'!J14:J18),"")</f>
        <v/>
      </c>
      <c r="K18" s="3">
        <f>IF(ISNUMBER(AVERAGE('20250815_ETF_Options_Exhibits'!K14:K18)),AVERAGE('20250815_ETF_Options_Exhibits'!K14:K18),"")</f>
        <v/>
      </c>
      <c r="L18" s="3">
        <f>IF(ISNUMBER(AVERAGE('20250815_ETF_Options_Exhibits'!L14:L18)),AVERAGE('20250815_ETF_Options_Exhibits'!L14:L18),"")</f>
        <v/>
      </c>
      <c r="M18" s="3">
        <f>IF(ISNUMBER(AVERAGE('20250815_ETF_Options_Exhibits'!M14:M18)),AVERAGE('20250815_ETF_Options_Exhibits'!M14:M18),"")</f>
        <v/>
      </c>
      <c r="N18" s="3">
        <f>IF(ISNUMBER(AVERAGE('20250815_ETF_Options_Exhibits'!N14:N18)),AVERAGE('20250815_ETF_Options_Exhibits'!N14:N18),"")</f>
        <v/>
      </c>
      <c r="O18" s="3">
        <f>IF(ISNUMBER(AVERAGE('20250815_ETF_Options_Exhibits'!O14:O18)),AVERAGE('20250815_ETF_Options_Exhibits'!O14:O18),"")</f>
        <v/>
      </c>
      <c r="P18" s="3">
        <f>IF(ISNUMBER(AVERAGE('20250815_ETF_Options_Exhibits'!P14:P18)),AVERAGE('20250815_ETF_Options_Exhibits'!P14:P18),"")</f>
        <v/>
      </c>
      <c r="Q18" s="3">
        <f>IF(ISNUMBER(AVERAGE('20250815_ETF_Options_Exhibits'!Q14:Q18)),AVERAGE('20250815_ETF_Options_Exhibits'!Q14:Q18),"")</f>
        <v/>
      </c>
      <c r="R18" s="3">
        <f>IF(ISNUMBER(AVERAGE('20250815_ETF_Options_Exhibits'!R14:R18)),AVERAGE('20250815_ETF_Options_Exhibits'!R14:R18),"")</f>
        <v/>
      </c>
      <c r="S18" s="3">
        <f>IF(ISNUMBER(AVERAGE('20250815_ETF_Options_Exhibits'!S14:S18)),AVERAGE('20250815_ETF_Options_Exhibits'!S14:S18),"")</f>
        <v/>
      </c>
      <c r="T18" s="3">
        <f>IF(ISNUMBER(AVERAGE('20250815_ETF_Options_Exhibits'!T14:T18)),AVERAGE('20250815_ETF_Options_Exhibits'!T14:T18),"")</f>
        <v/>
      </c>
      <c r="U18" s="3">
        <f>IF(ISNUMBER(AVERAGE('20250815_ETF_Options_Exhibits'!U14:U18)),AVERAGE('20250815_ETF_Options_Exhibits'!U14:U18),"")</f>
        <v/>
      </c>
      <c r="V18" s="3">
        <f>IF(ISNUMBER(AVERAGE('20250815_ETF_Options_Exhibits'!V14:V18)),AVERAGE('20250815_ETF_Options_Exhibits'!V14:V18),"")</f>
        <v/>
      </c>
      <c r="W18" s="3">
        <f>IF(ISNUMBER(AVERAGE('20250815_ETF_Options_Exhibits'!W14:W18)),AVERAGE('20250815_ETF_Options_Exhibits'!W14:W18),"")</f>
        <v/>
      </c>
      <c r="X18" s="3">
        <f>IF(ISNUMBER(AVERAGE('20250815_ETF_Options_Exhibits'!X14:X18)),AVERAGE('20250815_ETF_Options_Exhibits'!X14:X18),"")</f>
        <v/>
      </c>
      <c r="Y18" s="3">
        <f>IF(ISNUMBER(AVERAGE('20250815_ETF_Options_Exhibits'!Y14:Y18)),AVERAGE('20250815_ETF_Options_Exhibits'!Y14:Y18),"")</f>
        <v/>
      </c>
      <c r="Z18" s="3">
        <f>IF(ISNUMBER(AVERAGE('20250815_ETF_Options_Exhibits'!Z14:Z18)),AVERAGE('20250815_ETF_Options_Exhibits'!Z14:Z18),"")</f>
        <v/>
      </c>
      <c r="AA18" s="3">
        <f>IF(ISNUMBER(AVERAGE('20250815_ETF_Options_Exhibits'!AA14:AA18)),AVERAGE('20250815_ETF_Options_Exhibits'!AA14:AA18),"")</f>
        <v/>
      </c>
    </row>
    <row r="19">
      <c r="A19" s="1" t="n">
        <v>42031</v>
      </c>
      <c r="B19" s="3">
        <f>IF(ISNUMBER(AVERAGE('20250815_ETF_Options_Exhibits'!B15:B19)),AVERAGE('20250815_ETF_Options_Exhibits'!B15:B19),"")</f>
        <v/>
      </c>
      <c r="C19" s="3">
        <f>IF(ISNUMBER(AVERAGE('20250815_ETF_Options_Exhibits'!C15:C19)),AVERAGE('20250815_ETF_Options_Exhibits'!C15:C19),"")</f>
        <v/>
      </c>
      <c r="D19" s="3">
        <f>IF(ISNUMBER(AVERAGE('20250815_ETF_Options_Exhibits'!D15:D19)),AVERAGE('20250815_ETF_Options_Exhibits'!D15:D19),"")</f>
        <v/>
      </c>
      <c r="E19" s="3">
        <f>IF(ISNUMBER(AVERAGE('20250815_ETF_Options_Exhibits'!E15:E19)),AVERAGE('20250815_ETF_Options_Exhibits'!E15:E19),"")</f>
        <v/>
      </c>
      <c r="F19" s="3">
        <f>IF(ISNUMBER(AVERAGE('20250815_ETF_Options_Exhibits'!F15:F19)),AVERAGE('20250815_ETF_Options_Exhibits'!F15:F19),"")</f>
        <v/>
      </c>
      <c r="G19" s="3">
        <f>IF(ISNUMBER(AVERAGE('20250815_ETF_Options_Exhibits'!G15:G19)),AVERAGE('20250815_ETF_Options_Exhibits'!G15:G19),"")</f>
        <v/>
      </c>
      <c r="H19" s="3">
        <f>IF(ISNUMBER(AVERAGE('20250815_ETF_Options_Exhibits'!H15:H19)),AVERAGE('20250815_ETF_Options_Exhibits'!H15:H19),"")</f>
        <v/>
      </c>
      <c r="I19" s="3">
        <f>IF(ISNUMBER(AVERAGE('20250815_ETF_Options_Exhibits'!I15:I19)),AVERAGE('20250815_ETF_Options_Exhibits'!I15:I19),"")</f>
        <v/>
      </c>
      <c r="J19" s="3">
        <f>IF(ISNUMBER(AVERAGE('20250815_ETF_Options_Exhibits'!J15:J19)),AVERAGE('20250815_ETF_Options_Exhibits'!J15:J19),"")</f>
        <v/>
      </c>
      <c r="K19" s="3">
        <f>IF(ISNUMBER(AVERAGE('20250815_ETF_Options_Exhibits'!K15:K19)),AVERAGE('20250815_ETF_Options_Exhibits'!K15:K19),"")</f>
        <v/>
      </c>
      <c r="L19" s="3">
        <f>IF(ISNUMBER(AVERAGE('20250815_ETF_Options_Exhibits'!L15:L19)),AVERAGE('20250815_ETF_Options_Exhibits'!L15:L19),"")</f>
        <v/>
      </c>
      <c r="M19" s="3">
        <f>IF(ISNUMBER(AVERAGE('20250815_ETF_Options_Exhibits'!M15:M19)),AVERAGE('20250815_ETF_Options_Exhibits'!M15:M19),"")</f>
        <v/>
      </c>
      <c r="N19" s="3">
        <f>IF(ISNUMBER(AVERAGE('20250815_ETF_Options_Exhibits'!N15:N19)),AVERAGE('20250815_ETF_Options_Exhibits'!N15:N19),"")</f>
        <v/>
      </c>
      <c r="O19" s="3">
        <f>IF(ISNUMBER(AVERAGE('20250815_ETF_Options_Exhibits'!O15:O19)),AVERAGE('20250815_ETF_Options_Exhibits'!O15:O19),"")</f>
        <v/>
      </c>
      <c r="P19" s="3">
        <f>IF(ISNUMBER(AVERAGE('20250815_ETF_Options_Exhibits'!P15:P19)),AVERAGE('20250815_ETF_Options_Exhibits'!P15:P19),"")</f>
        <v/>
      </c>
      <c r="Q19" s="3">
        <f>IF(ISNUMBER(AVERAGE('20250815_ETF_Options_Exhibits'!Q15:Q19)),AVERAGE('20250815_ETF_Options_Exhibits'!Q15:Q19),"")</f>
        <v/>
      </c>
      <c r="R19" s="3">
        <f>IF(ISNUMBER(AVERAGE('20250815_ETF_Options_Exhibits'!R15:R19)),AVERAGE('20250815_ETF_Options_Exhibits'!R15:R19),"")</f>
        <v/>
      </c>
      <c r="S19" s="3">
        <f>IF(ISNUMBER(AVERAGE('20250815_ETF_Options_Exhibits'!S15:S19)),AVERAGE('20250815_ETF_Options_Exhibits'!S15:S19),"")</f>
        <v/>
      </c>
      <c r="T19" s="3">
        <f>IF(ISNUMBER(AVERAGE('20250815_ETF_Options_Exhibits'!T15:T19)),AVERAGE('20250815_ETF_Options_Exhibits'!T15:T19),"")</f>
        <v/>
      </c>
      <c r="U19" s="3">
        <f>IF(ISNUMBER(AVERAGE('20250815_ETF_Options_Exhibits'!U15:U19)),AVERAGE('20250815_ETF_Options_Exhibits'!U15:U19),"")</f>
        <v/>
      </c>
      <c r="V19" s="3">
        <f>IF(ISNUMBER(AVERAGE('20250815_ETF_Options_Exhibits'!V15:V19)),AVERAGE('20250815_ETF_Options_Exhibits'!V15:V19),"")</f>
        <v/>
      </c>
      <c r="W19" s="3">
        <f>IF(ISNUMBER(AVERAGE('20250815_ETF_Options_Exhibits'!W15:W19)),AVERAGE('20250815_ETF_Options_Exhibits'!W15:W19),"")</f>
        <v/>
      </c>
      <c r="X19" s="3">
        <f>IF(ISNUMBER(AVERAGE('20250815_ETF_Options_Exhibits'!X15:X19)),AVERAGE('20250815_ETF_Options_Exhibits'!X15:X19),"")</f>
        <v/>
      </c>
      <c r="Y19" s="3">
        <f>IF(ISNUMBER(AVERAGE('20250815_ETF_Options_Exhibits'!Y15:Y19)),AVERAGE('20250815_ETF_Options_Exhibits'!Y15:Y19),"")</f>
        <v/>
      </c>
      <c r="Z19" s="3">
        <f>IF(ISNUMBER(AVERAGE('20250815_ETF_Options_Exhibits'!Z15:Z19)),AVERAGE('20250815_ETF_Options_Exhibits'!Z15:Z19),"")</f>
        <v/>
      </c>
      <c r="AA19" s="3">
        <f>IF(ISNUMBER(AVERAGE('20250815_ETF_Options_Exhibits'!AA15:AA19)),AVERAGE('20250815_ETF_Options_Exhibits'!AA15:AA19),"")</f>
        <v/>
      </c>
    </row>
    <row r="20">
      <c r="A20" s="1" t="n">
        <v>42032</v>
      </c>
      <c r="B20" s="3">
        <f>IF(ISNUMBER(AVERAGE('20250815_ETF_Options_Exhibits'!B16:B20)),AVERAGE('20250815_ETF_Options_Exhibits'!B16:B20),"")</f>
        <v/>
      </c>
      <c r="C20" s="3">
        <f>IF(ISNUMBER(AVERAGE('20250815_ETF_Options_Exhibits'!C16:C20)),AVERAGE('20250815_ETF_Options_Exhibits'!C16:C20),"")</f>
        <v/>
      </c>
      <c r="D20" s="3">
        <f>IF(ISNUMBER(AVERAGE('20250815_ETF_Options_Exhibits'!D16:D20)),AVERAGE('20250815_ETF_Options_Exhibits'!D16:D20),"")</f>
        <v/>
      </c>
      <c r="E20" s="3">
        <f>IF(ISNUMBER(AVERAGE('20250815_ETF_Options_Exhibits'!E16:E20)),AVERAGE('20250815_ETF_Options_Exhibits'!E16:E20),"")</f>
        <v/>
      </c>
      <c r="F20" s="3">
        <f>IF(ISNUMBER(AVERAGE('20250815_ETF_Options_Exhibits'!F16:F20)),AVERAGE('20250815_ETF_Options_Exhibits'!F16:F20),"")</f>
        <v/>
      </c>
      <c r="G20" s="3">
        <f>IF(ISNUMBER(AVERAGE('20250815_ETF_Options_Exhibits'!G16:G20)),AVERAGE('20250815_ETF_Options_Exhibits'!G16:G20),"")</f>
        <v/>
      </c>
      <c r="H20" s="3">
        <f>IF(ISNUMBER(AVERAGE('20250815_ETF_Options_Exhibits'!H16:H20)),AVERAGE('20250815_ETF_Options_Exhibits'!H16:H20),"")</f>
        <v/>
      </c>
      <c r="I20" s="3">
        <f>IF(ISNUMBER(AVERAGE('20250815_ETF_Options_Exhibits'!I16:I20)),AVERAGE('20250815_ETF_Options_Exhibits'!I16:I20),"")</f>
        <v/>
      </c>
      <c r="J20" s="3">
        <f>IF(ISNUMBER(AVERAGE('20250815_ETF_Options_Exhibits'!J16:J20)),AVERAGE('20250815_ETF_Options_Exhibits'!J16:J20),"")</f>
        <v/>
      </c>
      <c r="K20" s="3">
        <f>IF(ISNUMBER(AVERAGE('20250815_ETF_Options_Exhibits'!K16:K20)),AVERAGE('20250815_ETF_Options_Exhibits'!K16:K20),"")</f>
        <v/>
      </c>
      <c r="L20" s="3">
        <f>IF(ISNUMBER(AVERAGE('20250815_ETF_Options_Exhibits'!L16:L20)),AVERAGE('20250815_ETF_Options_Exhibits'!L16:L20),"")</f>
        <v/>
      </c>
      <c r="M20" s="3">
        <f>IF(ISNUMBER(AVERAGE('20250815_ETF_Options_Exhibits'!M16:M20)),AVERAGE('20250815_ETF_Options_Exhibits'!M16:M20),"")</f>
        <v/>
      </c>
      <c r="N20" s="3">
        <f>IF(ISNUMBER(AVERAGE('20250815_ETF_Options_Exhibits'!N16:N20)),AVERAGE('20250815_ETF_Options_Exhibits'!N16:N20),"")</f>
        <v/>
      </c>
      <c r="O20" s="3">
        <f>IF(ISNUMBER(AVERAGE('20250815_ETF_Options_Exhibits'!O16:O20)),AVERAGE('20250815_ETF_Options_Exhibits'!O16:O20),"")</f>
        <v/>
      </c>
      <c r="P20" s="3">
        <f>IF(ISNUMBER(AVERAGE('20250815_ETF_Options_Exhibits'!P16:P20)),AVERAGE('20250815_ETF_Options_Exhibits'!P16:P20),"")</f>
        <v/>
      </c>
      <c r="Q20" s="3">
        <f>IF(ISNUMBER(AVERAGE('20250815_ETF_Options_Exhibits'!Q16:Q20)),AVERAGE('20250815_ETF_Options_Exhibits'!Q16:Q20),"")</f>
        <v/>
      </c>
      <c r="R20" s="3">
        <f>IF(ISNUMBER(AVERAGE('20250815_ETF_Options_Exhibits'!R16:R20)),AVERAGE('20250815_ETF_Options_Exhibits'!R16:R20),"")</f>
        <v/>
      </c>
      <c r="S20" s="3">
        <f>IF(ISNUMBER(AVERAGE('20250815_ETF_Options_Exhibits'!S16:S20)),AVERAGE('20250815_ETF_Options_Exhibits'!S16:S20),"")</f>
        <v/>
      </c>
      <c r="T20" s="3">
        <f>IF(ISNUMBER(AVERAGE('20250815_ETF_Options_Exhibits'!T16:T20)),AVERAGE('20250815_ETF_Options_Exhibits'!T16:T20),"")</f>
        <v/>
      </c>
      <c r="U20" s="3">
        <f>IF(ISNUMBER(AVERAGE('20250815_ETF_Options_Exhibits'!U16:U20)),AVERAGE('20250815_ETF_Options_Exhibits'!U16:U20),"")</f>
        <v/>
      </c>
      <c r="V20" s="3">
        <f>IF(ISNUMBER(AVERAGE('20250815_ETF_Options_Exhibits'!V16:V20)),AVERAGE('20250815_ETF_Options_Exhibits'!V16:V20),"")</f>
        <v/>
      </c>
      <c r="W20" s="3">
        <f>IF(ISNUMBER(AVERAGE('20250815_ETF_Options_Exhibits'!W16:W20)),AVERAGE('20250815_ETF_Options_Exhibits'!W16:W20),"")</f>
        <v/>
      </c>
      <c r="X20" s="3">
        <f>IF(ISNUMBER(AVERAGE('20250815_ETF_Options_Exhibits'!X16:X20)),AVERAGE('20250815_ETF_Options_Exhibits'!X16:X20),"")</f>
        <v/>
      </c>
      <c r="Y20" s="3">
        <f>IF(ISNUMBER(AVERAGE('20250815_ETF_Options_Exhibits'!Y16:Y20)),AVERAGE('20250815_ETF_Options_Exhibits'!Y16:Y20),"")</f>
        <v/>
      </c>
      <c r="Z20" s="3">
        <f>IF(ISNUMBER(AVERAGE('20250815_ETF_Options_Exhibits'!Z16:Z20)),AVERAGE('20250815_ETF_Options_Exhibits'!Z16:Z20),"")</f>
        <v/>
      </c>
      <c r="AA20" s="3">
        <f>IF(ISNUMBER(AVERAGE('20250815_ETF_Options_Exhibits'!AA16:AA20)),AVERAGE('20250815_ETF_Options_Exhibits'!AA16:AA20),"")</f>
        <v/>
      </c>
    </row>
    <row r="21">
      <c r="A21" s="1" t="n">
        <v>42033</v>
      </c>
      <c r="B21" s="3">
        <f>IF(ISNUMBER(AVERAGE('20250815_ETF_Options_Exhibits'!B17:B21)),AVERAGE('20250815_ETF_Options_Exhibits'!B17:B21),"")</f>
        <v/>
      </c>
      <c r="C21" s="3">
        <f>IF(ISNUMBER(AVERAGE('20250815_ETF_Options_Exhibits'!C17:C21)),AVERAGE('20250815_ETF_Options_Exhibits'!C17:C21),"")</f>
        <v/>
      </c>
      <c r="D21" s="3">
        <f>IF(ISNUMBER(AVERAGE('20250815_ETF_Options_Exhibits'!D17:D21)),AVERAGE('20250815_ETF_Options_Exhibits'!D17:D21),"")</f>
        <v/>
      </c>
      <c r="E21" s="3">
        <f>IF(ISNUMBER(AVERAGE('20250815_ETF_Options_Exhibits'!E17:E21)),AVERAGE('20250815_ETF_Options_Exhibits'!E17:E21),"")</f>
        <v/>
      </c>
      <c r="F21" s="3">
        <f>IF(ISNUMBER(AVERAGE('20250815_ETF_Options_Exhibits'!F17:F21)),AVERAGE('20250815_ETF_Options_Exhibits'!F17:F21),"")</f>
        <v/>
      </c>
      <c r="G21" s="3">
        <f>IF(ISNUMBER(AVERAGE('20250815_ETF_Options_Exhibits'!G17:G21)),AVERAGE('20250815_ETF_Options_Exhibits'!G17:G21),"")</f>
        <v/>
      </c>
      <c r="H21" s="3">
        <f>IF(ISNUMBER(AVERAGE('20250815_ETF_Options_Exhibits'!H17:H21)),AVERAGE('20250815_ETF_Options_Exhibits'!H17:H21),"")</f>
        <v/>
      </c>
      <c r="I21" s="3">
        <f>IF(ISNUMBER(AVERAGE('20250815_ETF_Options_Exhibits'!I17:I21)),AVERAGE('20250815_ETF_Options_Exhibits'!I17:I21),"")</f>
        <v/>
      </c>
      <c r="J21" s="3">
        <f>IF(ISNUMBER(AVERAGE('20250815_ETF_Options_Exhibits'!J17:J21)),AVERAGE('20250815_ETF_Options_Exhibits'!J17:J21),"")</f>
        <v/>
      </c>
      <c r="K21" s="3">
        <f>IF(ISNUMBER(AVERAGE('20250815_ETF_Options_Exhibits'!K17:K21)),AVERAGE('20250815_ETF_Options_Exhibits'!K17:K21),"")</f>
        <v/>
      </c>
      <c r="L21" s="3">
        <f>IF(ISNUMBER(AVERAGE('20250815_ETF_Options_Exhibits'!L17:L21)),AVERAGE('20250815_ETF_Options_Exhibits'!L17:L21),"")</f>
        <v/>
      </c>
      <c r="M21" s="3">
        <f>IF(ISNUMBER(AVERAGE('20250815_ETF_Options_Exhibits'!M17:M21)),AVERAGE('20250815_ETF_Options_Exhibits'!M17:M21),"")</f>
        <v/>
      </c>
      <c r="N21" s="3">
        <f>IF(ISNUMBER(AVERAGE('20250815_ETF_Options_Exhibits'!N17:N21)),AVERAGE('20250815_ETF_Options_Exhibits'!N17:N21),"")</f>
        <v/>
      </c>
      <c r="O21" s="3">
        <f>IF(ISNUMBER(AVERAGE('20250815_ETF_Options_Exhibits'!O17:O21)),AVERAGE('20250815_ETF_Options_Exhibits'!O17:O21),"")</f>
        <v/>
      </c>
      <c r="P21" s="3">
        <f>IF(ISNUMBER(AVERAGE('20250815_ETF_Options_Exhibits'!P17:P21)),AVERAGE('20250815_ETF_Options_Exhibits'!P17:P21),"")</f>
        <v/>
      </c>
      <c r="Q21" s="3">
        <f>IF(ISNUMBER(AVERAGE('20250815_ETF_Options_Exhibits'!Q17:Q21)),AVERAGE('20250815_ETF_Options_Exhibits'!Q17:Q21),"")</f>
        <v/>
      </c>
      <c r="R21" s="3">
        <f>IF(ISNUMBER(AVERAGE('20250815_ETF_Options_Exhibits'!R17:R21)),AVERAGE('20250815_ETF_Options_Exhibits'!R17:R21),"")</f>
        <v/>
      </c>
      <c r="S21" s="3">
        <f>IF(ISNUMBER(AVERAGE('20250815_ETF_Options_Exhibits'!S17:S21)),AVERAGE('20250815_ETF_Options_Exhibits'!S17:S21),"")</f>
        <v/>
      </c>
      <c r="T21" s="3">
        <f>IF(ISNUMBER(AVERAGE('20250815_ETF_Options_Exhibits'!T17:T21)),AVERAGE('20250815_ETF_Options_Exhibits'!T17:T21),"")</f>
        <v/>
      </c>
      <c r="U21" s="3">
        <f>IF(ISNUMBER(AVERAGE('20250815_ETF_Options_Exhibits'!U17:U21)),AVERAGE('20250815_ETF_Options_Exhibits'!U17:U21),"")</f>
        <v/>
      </c>
      <c r="V21" s="3">
        <f>IF(ISNUMBER(AVERAGE('20250815_ETF_Options_Exhibits'!V17:V21)),AVERAGE('20250815_ETF_Options_Exhibits'!V17:V21),"")</f>
        <v/>
      </c>
      <c r="W21" s="3">
        <f>IF(ISNUMBER(AVERAGE('20250815_ETF_Options_Exhibits'!W17:W21)),AVERAGE('20250815_ETF_Options_Exhibits'!W17:W21),"")</f>
        <v/>
      </c>
      <c r="X21" s="3">
        <f>IF(ISNUMBER(AVERAGE('20250815_ETF_Options_Exhibits'!X17:X21)),AVERAGE('20250815_ETF_Options_Exhibits'!X17:X21),"")</f>
        <v/>
      </c>
      <c r="Y21" s="3">
        <f>IF(ISNUMBER(AVERAGE('20250815_ETF_Options_Exhibits'!Y17:Y21)),AVERAGE('20250815_ETF_Options_Exhibits'!Y17:Y21),"")</f>
        <v/>
      </c>
      <c r="Z21" s="3">
        <f>IF(ISNUMBER(AVERAGE('20250815_ETF_Options_Exhibits'!Z17:Z21)),AVERAGE('20250815_ETF_Options_Exhibits'!Z17:Z21),"")</f>
        <v/>
      </c>
      <c r="AA21" s="3">
        <f>IF(ISNUMBER(AVERAGE('20250815_ETF_Options_Exhibits'!AA17:AA21)),AVERAGE('20250815_ETF_Options_Exhibits'!AA17:AA21),"")</f>
        <v/>
      </c>
    </row>
    <row r="22">
      <c r="A22" s="1" t="n">
        <v>42034</v>
      </c>
      <c r="B22" s="3">
        <f>IF(ISNUMBER(AVERAGE('20250815_ETF_Options_Exhibits'!B18:B22)),AVERAGE('20250815_ETF_Options_Exhibits'!B18:B22),"")</f>
        <v/>
      </c>
      <c r="C22" s="3">
        <f>IF(ISNUMBER(AVERAGE('20250815_ETF_Options_Exhibits'!C18:C22)),AVERAGE('20250815_ETF_Options_Exhibits'!C18:C22),"")</f>
        <v/>
      </c>
      <c r="D22" s="3">
        <f>IF(ISNUMBER(AVERAGE('20250815_ETF_Options_Exhibits'!D18:D22)),AVERAGE('20250815_ETF_Options_Exhibits'!D18:D22),"")</f>
        <v/>
      </c>
      <c r="E22" s="3">
        <f>IF(ISNUMBER(AVERAGE('20250815_ETF_Options_Exhibits'!E18:E22)),AVERAGE('20250815_ETF_Options_Exhibits'!E18:E22),"")</f>
        <v/>
      </c>
      <c r="F22" s="3">
        <f>IF(ISNUMBER(AVERAGE('20250815_ETF_Options_Exhibits'!F18:F22)),AVERAGE('20250815_ETF_Options_Exhibits'!F18:F22),"")</f>
        <v/>
      </c>
      <c r="G22" s="3">
        <f>IF(ISNUMBER(AVERAGE('20250815_ETF_Options_Exhibits'!G18:G22)),AVERAGE('20250815_ETF_Options_Exhibits'!G18:G22),"")</f>
        <v/>
      </c>
      <c r="H22" s="3">
        <f>IF(ISNUMBER(AVERAGE('20250815_ETF_Options_Exhibits'!H18:H22)),AVERAGE('20250815_ETF_Options_Exhibits'!H18:H22),"")</f>
        <v/>
      </c>
      <c r="I22" s="3">
        <f>IF(ISNUMBER(AVERAGE('20250815_ETF_Options_Exhibits'!I18:I22)),AVERAGE('20250815_ETF_Options_Exhibits'!I18:I22),"")</f>
        <v/>
      </c>
      <c r="J22" s="3">
        <f>IF(ISNUMBER(AVERAGE('20250815_ETF_Options_Exhibits'!J18:J22)),AVERAGE('20250815_ETF_Options_Exhibits'!J18:J22),"")</f>
        <v/>
      </c>
      <c r="K22" s="3">
        <f>IF(ISNUMBER(AVERAGE('20250815_ETF_Options_Exhibits'!K18:K22)),AVERAGE('20250815_ETF_Options_Exhibits'!K18:K22),"")</f>
        <v/>
      </c>
      <c r="L22" s="3">
        <f>IF(ISNUMBER(AVERAGE('20250815_ETF_Options_Exhibits'!L18:L22)),AVERAGE('20250815_ETF_Options_Exhibits'!L18:L22),"")</f>
        <v/>
      </c>
      <c r="M22" s="3">
        <f>IF(ISNUMBER(AVERAGE('20250815_ETF_Options_Exhibits'!M18:M22)),AVERAGE('20250815_ETF_Options_Exhibits'!M18:M22),"")</f>
        <v/>
      </c>
      <c r="N22" s="3">
        <f>IF(ISNUMBER(AVERAGE('20250815_ETF_Options_Exhibits'!N18:N22)),AVERAGE('20250815_ETF_Options_Exhibits'!N18:N22),"")</f>
        <v/>
      </c>
      <c r="O22" s="3">
        <f>IF(ISNUMBER(AVERAGE('20250815_ETF_Options_Exhibits'!O18:O22)),AVERAGE('20250815_ETF_Options_Exhibits'!O18:O22),"")</f>
        <v/>
      </c>
      <c r="P22" s="3">
        <f>IF(ISNUMBER(AVERAGE('20250815_ETF_Options_Exhibits'!P18:P22)),AVERAGE('20250815_ETF_Options_Exhibits'!P18:P22),"")</f>
        <v/>
      </c>
      <c r="Q22" s="3">
        <f>IF(ISNUMBER(AVERAGE('20250815_ETF_Options_Exhibits'!Q18:Q22)),AVERAGE('20250815_ETF_Options_Exhibits'!Q18:Q22),"")</f>
        <v/>
      </c>
      <c r="R22" s="3">
        <f>IF(ISNUMBER(AVERAGE('20250815_ETF_Options_Exhibits'!R18:R22)),AVERAGE('20250815_ETF_Options_Exhibits'!R18:R22),"")</f>
        <v/>
      </c>
      <c r="S22" s="3">
        <f>IF(ISNUMBER(AVERAGE('20250815_ETF_Options_Exhibits'!S18:S22)),AVERAGE('20250815_ETF_Options_Exhibits'!S18:S22),"")</f>
        <v/>
      </c>
      <c r="T22" s="3">
        <f>IF(ISNUMBER(AVERAGE('20250815_ETF_Options_Exhibits'!T18:T22)),AVERAGE('20250815_ETF_Options_Exhibits'!T18:T22),"")</f>
        <v/>
      </c>
      <c r="U22" s="3">
        <f>IF(ISNUMBER(AVERAGE('20250815_ETF_Options_Exhibits'!U18:U22)),AVERAGE('20250815_ETF_Options_Exhibits'!U18:U22),"")</f>
        <v/>
      </c>
      <c r="V22" s="3">
        <f>IF(ISNUMBER(AVERAGE('20250815_ETF_Options_Exhibits'!V18:V22)),AVERAGE('20250815_ETF_Options_Exhibits'!V18:V22),"")</f>
        <v/>
      </c>
      <c r="W22" s="3">
        <f>IF(ISNUMBER(AVERAGE('20250815_ETF_Options_Exhibits'!W18:W22)),AVERAGE('20250815_ETF_Options_Exhibits'!W18:W22),"")</f>
        <v/>
      </c>
      <c r="X22" s="3">
        <f>IF(ISNUMBER(AVERAGE('20250815_ETF_Options_Exhibits'!X18:X22)),AVERAGE('20250815_ETF_Options_Exhibits'!X18:X22),"")</f>
        <v/>
      </c>
      <c r="Y22" s="3">
        <f>IF(ISNUMBER(AVERAGE('20250815_ETF_Options_Exhibits'!Y18:Y22)),AVERAGE('20250815_ETF_Options_Exhibits'!Y18:Y22),"")</f>
        <v/>
      </c>
      <c r="Z22" s="3">
        <f>IF(ISNUMBER(AVERAGE('20250815_ETF_Options_Exhibits'!Z18:Z22)),AVERAGE('20250815_ETF_Options_Exhibits'!Z18:Z22),"")</f>
        <v/>
      </c>
      <c r="AA22" s="3">
        <f>IF(ISNUMBER(AVERAGE('20250815_ETF_Options_Exhibits'!AA18:AA22)),AVERAGE('20250815_ETF_Options_Exhibits'!AA18:AA22),"")</f>
        <v/>
      </c>
    </row>
    <row r="23">
      <c r="A23" s="1" t="n">
        <v>42037</v>
      </c>
      <c r="B23" s="3">
        <f>IF(ISNUMBER(AVERAGE('20250815_ETF_Options_Exhibits'!B19:B23)),AVERAGE('20250815_ETF_Options_Exhibits'!B19:B23),"")</f>
        <v/>
      </c>
      <c r="C23" s="3">
        <f>IF(ISNUMBER(AVERAGE('20250815_ETF_Options_Exhibits'!C19:C23)),AVERAGE('20250815_ETF_Options_Exhibits'!C19:C23),"")</f>
        <v/>
      </c>
      <c r="D23" s="3">
        <f>IF(ISNUMBER(AVERAGE('20250815_ETF_Options_Exhibits'!D19:D23)),AVERAGE('20250815_ETF_Options_Exhibits'!D19:D23),"")</f>
        <v/>
      </c>
      <c r="E23" s="3">
        <f>IF(ISNUMBER(AVERAGE('20250815_ETF_Options_Exhibits'!E19:E23)),AVERAGE('20250815_ETF_Options_Exhibits'!E19:E23),"")</f>
        <v/>
      </c>
      <c r="F23" s="3">
        <f>IF(ISNUMBER(AVERAGE('20250815_ETF_Options_Exhibits'!F19:F23)),AVERAGE('20250815_ETF_Options_Exhibits'!F19:F23),"")</f>
        <v/>
      </c>
      <c r="G23" s="3">
        <f>IF(ISNUMBER(AVERAGE('20250815_ETF_Options_Exhibits'!G19:G23)),AVERAGE('20250815_ETF_Options_Exhibits'!G19:G23),"")</f>
        <v/>
      </c>
      <c r="H23" s="3">
        <f>IF(ISNUMBER(AVERAGE('20250815_ETF_Options_Exhibits'!H19:H23)),AVERAGE('20250815_ETF_Options_Exhibits'!H19:H23),"")</f>
        <v/>
      </c>
      <c r="I23" s="3">
        <f>IF(ISNUMBER(AVERAGE('20250815_ETF_Options_Exhibits'!I19:I23)),AVERAGE('20250815_ETF_Options_Exhibits'!I19:I23),"")</f>
        <v/>
      </c>
      <c r="J23" s="3">
        <f>IF(ISNUMBER(AVERAGE('20250815_ETF_Options_Exhibits'!J19:J23)),AVERAGE('20250815_ETF_Options_Exhibits'!J19:J23),"")</f>
        <v/>
      </c>
      <c r="K23" s="3">
        <f>IF(ISNUMBER(AVERAGE('20250815_ETF_Options_Exhibits'!K19:K23)),AVERAGE('20250815_ETF_Options_Exhibits'!K19:K23),"")</f>
        <v/>
      </c>
      <c r="L23" s="3">
        <f>IF(ISNUMBER(AVERAGE('20250815_ETF_Options_Exhibits'!L19:L23)),AVERAGE('20250815_ETF_Options_Exhibits'!L19:L23),"")</f>
        <v/>
      </c>
      <c r="M23" s="3">
        <f>IF(ISNUMBER(AVERAGE('20250815_ETF_Options_Exhibits'!M19:M23)),AVERAGE('20250815_ETF_Options_Exhibits'!M19:M23),"")</f>
        <v/>
      </c>
      <c r="N23" s="3">
        <f>IF(ISNUMBER(AVERAGE('20250815_ETF_Options_Exhibits'!N19:N23)),AVERAGE('20250815_ETF_Options_Exhibits'!N19:N23),"")</f>
        <v/>
      </c>
      <c r="O23" s="3">
        <f>IF(ISNUMBER(AVERAGE('20250815_ETF_Options_Exhibits'!O19:O23)),AVERAGE('20250815_ETF_Options_Exhibits'!O19:O23),"")</f>
        <v/>
      </c>
      <c r="P23" s="3">
        <f>IF(ISNUMBER(AVERAGE('20250815_ETF_Options_Exhibits'!P19:P23)),AVERAGE('20250815_ETF_Options_Exhibits'!P19:P23),"")</f>
        <v/>
      </c>
      <c r="Q23" s="3">
        <f>IF(ISNUMBER(AVERAGE('20250815_ETF_Options_Exhibits'!Q19:Q23)),AVERAGE('20250815_ETF_Options_Exhibits'!Q19:Q23),"")</f>
        <v/>
      </c>
      <c r="R23" s="3">
        <f>IF(ISNUMBER(AVERAGE('20250815_ETF_Options_Exhibits'!R19:R23)),AVERAGE('20250815_ETF_Options_Exhibits'!R19:R23),"")</f>
        <v/>
      </c>
      <c r="S23" s="3">
        <f>IF(ISNUMBER(AVERAGE('20250815_ETF_Options_Exhibits'!S19:S23)),AVERAGE('20250815_ETF_Options_Exhibits'!S19:S23),"")</f>
        <v/>
      </c>
      <c r="T23" s="3">
        <f>IF(ISNUMBER(AVERAGE('20250815_ETF_Options_Exhibits'!T19:T23)),AVERAGE('20250815_ETF_Options_Exhibits'!T19:T23),"")</f>
        <v/>
      </c>
      <c r="U23" s="3">
        <f>IF(ISNUMBER(AVERAGE('20250815_ETF_Options_Exhibits'!U19:U23)),AVERAGE('20250815_ETF_Options_Exhibits'!U19:U23),"")</f>
        <v/>
      </c>
      <c r="V23" s="3">
        <f>IF(ISNUMBER(AVERAGE('20250815_ETF_Options_Exhibits'!V19:V23)),AVERAGE('20250815_ETF_Options_Exhibits'!V19:V23),"")</f>
        <v/>
      </c>
      <c r="W23" s="3">
        <f>IF(ISNUMBER(AVERAGE('20250815_ETF_Options_Exhibits'!W19:W23)),AVERAGE('20250815_ETF_Options_Exhibits'!W19:W23),"")</f>
        <v/>
      </c>
      <c r="X23" s="3">
        <f>IF(ISNUMBER(AVERAGE('20250815_ETF_Options_Exhibits'!X19:X23)),AVERAGE('20250815_ETF_Options_Exhibits'!X19:X23),"")</f>
        <v/>
      </c>
      <c r="Y23" s="3">
        <f>IF(ISNUMBER(AVERAGE('20250815_ETF_Options_Exhibits'!Y19:Y23)),AVERAGE('20250815_ETF_Options_Exhibits'!Y19:Y23),"")</f>
        <v/>
      </c>
      <c r="Z23" s="3">
        <f>IF(ISNUMBER(AVERAGE('20250815_ETF_Options_Exhibits'!Z19:Z23)),AVERAGE('20250815_ETF_Options_Exhibits'!Z19:Z23),"")</f>
        <v/>
      </c>
      <c r="AA23" s="3">
        <f>IF(ISNUMBER(AVERAGE('20250815_ETF_Options_Exhibits'!AA19:AA23)),AVERAGE('20250815_ETF_Options_Exhibits'!AA19:AA23),"")</f>
        <v/>
      </c>
    </row>
    <row r="24">
      <c r="A24" s="1" t="n">
        <v>42038</v>
      </c>
      <c r="B24" s="3">
        <f>IF(ISNUMBER(AVERAGE('20250815_ETF_Options_Exhibits'!B20:B24)),AVERAGE('20250815_ETF_Options_Exhibits'!B20:B24),"")</f>
        <v/>
      </c>
      <c r="C24" s="3">
        <f>IF(ISNUMBER(AVERAGE('20250815_ETF_Options_Exhibits'!C20:C24)),AVERAGE('20250815_ETF_Options_Exhibits'!C20:C24),"")</f>
        <v/>
      </c>
      <c r="D24" s="3">
        <f>IF(ISNUMBER(AVERAGE('20250815_ETF_Options_Exhibits'!D20:D24)),AVERAGE('20250815_ETF_Options_Exhibits'!D20:D24),"")</f>
        <v/>
      </c>
      <c r="E24" s="3">
        <f>IF(ISNUMBER(AVERAGE('20250815_ETF_Options_Exhibits'!E20:E24)),AVERAGE('20250815_ETF_Options_Exhibits'!E20:E24),"")</f>
        <v/>
      </c>
      <c r="F24" s="3">
        <f>IF(ISNUMBER(AVERAGE('20250815_ETF_Options_Exhibits'!F20:F24)),AVERAGE('20250815_ETF_Options_Exhibits'!F20:F24),"")</f>
        <v/>
      </c>
      <c r="G24" s="3">
        <f>IF(ISNUMBER(AVERAGE('20250815_ETF_Options_Exhibits'!G20:G24)),AVERAGE('20250815_ETF_Options_Exhibits'!G20:G24),"")</f>
        <v/>
      </c>
      <c r="H24" s="3">
        <f>IF(ISNUMBER(AVERAGE('20250815_ETF_Options_Exhibits'!H20:H24)),AVERAGE('20250815_ETF_Options_Exhibits'!H20:H24),"")</f>
        <v/>
      </c>
      <c r="I24" s="3">
        <f>IF(ISNUMBER(AVERAGE('20250815_ETF_Options_Exhibits'!I20:I24)),AVERAGE('20250815_ETF_Options_Exhibits'!I20:I24),"")</f>
        <v/>
      </c>
      <c r="J24" s="3">
        <f>IF(ISNUMBER(AVERAGE('20250815_ETF_Options_Exhibits'!J20:J24)),AVERAGE('20250815_ETF_Options_Exhibits'!J20:J24),"")</f>
        <v/>
      </c>
      <c r="K24" s="3">
        <f>IF(ISNUMBER(AVERAGE('20250815_ETF_Options_Exhibits'!K20:K24)),AVERAGE('20250815_ETF_Options_Exhibits'!K20:K24),"")</f>
        <v/>
      </c>
      <c r="L24" s="3">
        <f>IF(ISNUMBER(AVERAGE('20250815_ETF_Options_Exhibits'!L20:L24)),AVERAGE('20250815_ETF_Options_Exhibits'!L20:L24),"")</f>
        <v/>
      </c>
      <c r="M24" s="3">
        <f>IF(ISNUMBER(AVERAGE('20250815_ETF_Options_Exhibits'!M20:M24)),AVERAGE('20250815_ETF_Options_Exhibits'!M20:M24),"")</f>
        <v/>
      </c>
      <c r="N24" s="3">
        <f>IF(ISNUMBER(AVERAGE('20250815_ETF_Options_Exhibits'!N20:N24)),AVERAGE('20250815_ETF_Options_Exhibits'!N20:N24),"")</f>
        <v/>
      </c>
      <c r="O24" s="3">
        <f>IF(ISNUMBER(AVERAGE('20250815_ETF_Options_Exhibits'!O20:O24)),AVERAGE('20250815_ETF_Options_Exhibits'!O20:O24),"")</f>
        <v/>
      </c>
      <c r="P24" s="3">
        <f>IF(ISNUMBER(AVERAGE('20250815_ETF_Options_Exhibits'!P20:P24)),AVERAGE('20250815_ETF_Options_Exhibits'!P20:P24),"")</f>
        <v/>
      </c>
      <c r="Q24" s="3">
        <f>IF(ISNUMBER(AVERAGE('20250815_ETF_Options_Exhibits'!Q20:Q24)),AVERAGE('20250815_ETF_Options_Exhibits'!Q20:Q24),"")</f>
        <v/>
      </c>
      <c r="R24" s="3">
        <f>IF(ISNUMBER(AVERAGE('20250815_ETF_Options_Exhibits'!R20:R24)),AVERAGE('20250815_ETF_Options_Exhibits'!R20:R24),"")</f>
        <v/>
      </c>
      <c r="S24" s="3">
        <f>IF(ISNUMBER(AVERAGE('20250815_ETF_Options_Exhibits'!S20:S24)),AVERAGE('20250815_ETF_Options_Exhibits'!S20:S24),"")</f>
        <v/>
      </c>
      <c r="T24" s="3">
        <f>IF(ISNUMBER(AVERAGE('20250815_ETF_Options_Exhibits'!T20:T24)),AVERAGE('20250815_ETF_Options_Exhibits'!T20:T24),"")</f>
        <v/>
      </c>
      <c r="U24" s="3">
        <f>IF(ISNUMBER(AVERAGE('20250815_ETF_Options_Exhibits'!U20:U24)),AVERAGE('20250815_ETF_Options_Exhibits'!U20:U24),"")</f>
        <v/>
      </c>
      <c r="V24" s="3">
        <f>IF(ISNUMBER(AVERAGE('20250815_ETF_Options_Exhibits'!V20:V24)),AVERAGE('20250815_ETF_Options_Exhibits'!V20:V24),"")</f>
        <v/>
      </c>
      <c r="W24" s="3">
        <f>IF(ISNUMBER(AVERAGE('20250815_ETF_Options_Exhibits'!W20:W24)),AVERAGE('20250815_ETF_Options_Exhibits'!W20:W24),"")</f>
        <v/>
      </c>
      <c r="X24" s="3">
        <f>IF(ISNUMBER(AVERAGE('20250815_ETF_Options_Exhibits'!X20:X24)),AVERAGE('20250815_ETF_Options_Exhibits'!X20:X24),"")</f>
        <v/>
      </c>
      <c r="Y24" s="3">
        <f>IF(ISNUMBER(AVERAGE('20250815_ETF_Options_Exhibits'!Y20:Y24)),AVERAGE('20250815_ETF_Options_Exhibits'!Y20:Y24),"")</f>
        <v/>
      </c>
      <c r="Z24" s="3">
        <f>IF(ISNUMBER(AVERAGE('20250815_ETF_Options_Exhibits'!Z20:Z24)),AVERAGE('20250815_ETF_Options_Exhibits'!Z20:Z24),"")</f>
        <v/>
      </c>
      <c r="AA24" s="3">
        <f>IF(ISNUMBER(AVERAGE('20250815_ETF_Options_Exhibits'!AA20:AA24)),AVERAGE('20250815_ETF_Options_Exhibits'!AA20:AA24),"")</f>
        <v/>
      </c>
    </row>
    <row r="25">
      <c r="A25" s="1" t="n">
        <v>42039</v>
      </c>
      <c r="B25" s="3">
        <f>IF(ISNUMBER(AVERAGE('20250815_ETF_Options_Exhibits'!B21:B25)),AVERAGE('20250815_ETF_Options_Exhibits'!B21:B25),"")</f>
        <v/>
      </c>
      <c r="C25" s="3">
        <f>IF(ISNUMBER(AVERAGE('20250815_ETF_Options_Exhibits'!C21:C25)),AVERAGE('20250815_ETF_Options_Exhibits'!C21:C25),"")</f>
        <v/>
      </c>
      <c r="D25" s="3">
        <f>IF(ISNUMBER(AVERAGE('20250815_ETF_Options_Exhibits'!D21:D25)),AVERAGE('20250815_ETF_Options_Exhibits'!D21:D25),"")</f>
        <v/>
      </c>
      <c r="E25" s="3">
        <f>IF(ISNUMBER(AVERAGE('20250815_ETF_Options_Exhibits'!E21:E25)),AVERAGE('20250815_ETF_Options_Exhibits'!E21:E25),"")</f>
        <v/>
      </c>
      <c r="F25" s="3">
        <f>IF(ISNUMBER(AVERAGE('20250815_ETF_Options_Exhibits'!F21:F25)),AVERAGE('20250815_ETF_Options_Exhibits'!F21:F25),"")</f>
        <v/>
      </c>
      <c r="G25" s="3">
        <f>IF(ISNUMBER(AVERAGE('20250815_ETF_Options_Exhibits'!G21:G25)),AVERAGE('20250815_ETF_Options_Exhibits'!G21:G25),"")</f>
        <v/>
      </c>
      <c r="H25" s="3">
        <f>IF(ISNUMBER(AVERAGE('20250815_ETF_Options_Exhibits'!H21:H25)),AVERAGE('20250815_ETF_Options_Exhibits'!H21:H25),"")</f>
        <v/>
      </c>
      <c r="I25" s="3">
        <f>IF(ISNUMBER(AVERAGE('20250815_ETF_Options_Exhibits'!I21:I25)),AVERAGE('20250815_ETF_Options_Exhibits'!I21:I25),"")</f>
        <v/>
      </c>
      <c r="J25" s="3">
        <f>IF(ISNUMBER(AVERAGE('20250815_ETF_Options_Exhibits'!J21:J25)),AVERAGE('20250815_ETF_Options_Exhibits'!J21:J25),"")</f>
        <v/>
      </c>
      <c r="K25" s="3">
        <f>IF(ISNUMBER(AVERAGE('20250815_ETF_Options_Exhibits'!K21:K25)),AVERAGE('20250815_ETF_Options_Exhibits'!K21:K25),"")</f>
        <v/>
      </c>
      <c r="L25" s="3">
        <f>IF(ISNUMBER(AVERAGE('20250815_ETF_Options_Exhibits'!L21:L25)),AVERAGE('20250815_ETF_Options_Exhibits'!L21:L25),"")</f>
        <v/>
      </c>
      <c r="M25" s="3">
        <f>IF(ISNUMBER(AVERAGE('20250815_ETF_Options_Exhibits'!M21:M25)),AVERAGE('20250815_ETF_Options_Exhibits'!M21:M25),"")</f>
        <v/>
      </c>
      <c r="N25" s="3">
        <f>IF(ISNUMBER(AVERAGE('20250815_ETF_Options_Exhibits'!N21:N25)),AVERAGE('20250815_ETF_Options_Exhibits'!N21:N25),"")</f>
        <v/>
      </c>
      <c r="O25" s="3">
        <f>IF(ISNUMBER(AVERAGE('20250815_ETF_Options_Exhibits'!O21:O25)),AVERAGE('20250815_ETF_Options_Exhibits'!O21:O25),"")</f>
        <v/>
      </c>
      <c r="P25" s="3">
        <f>IF(ISNUMBER(AVERAGE('20250815_ETF_Options_Exhibits'!P21:P25)),AVERAGE('20250815_ETF_Options_Exhibits'!P21:P25),"")</f>
        <v/>
      </c>
      <c r="Q25" s="3">
        <f>IF(ISNUMBER(AVERAGE('20250815_ETF_Options_Exhibits'!Q21:Q25)),AVERAGE('20250815_ETF_Options_Exhibits'!Q21:Q25),"")</f>
        <v/>
      </c>
      <c r="R25" s="3">
        <f>IF(ISNUMBER(AVERAGE('20250815_ETF_Options_Exhibits'!R21:R25)),AVERAGE('20250815_ETF_Options_Exhibits'!R21:R25),"")</f>
        <v/>
      </c>
      <c r="S25" s="3">
        <f>IF(ISNUMBER(AVERAGE('20250815_ETF_Options_Exhibits'!S21:S25)),AVERAGE('20250815_ETF_Options_Exhibits'!S21:S25),"")</f>
        <v/>
      </c>
      <c r="T25" s="3">
        <f>IF(ISNUMBER(AVERAGE('20250815_ETF_Options_Exhibits'!T21:T25)),AVERAGE('20250815_ETF_Options_Exhibits'!T21:T25),"")</f>
        <v/>
      </c>
      <c r="U25" s="3">
        <f>IF(ISNUMBER(AVERAGE('20250815_ETF_Options_Exhibits'!U21:U25)),AVERAGE('20250815_ETF_Options_Exhibits'!U21:U25),"")</f>
        <v/>
      </c>
      <c r="V25" s="3">
        <f>IF(ISNUMBER(AVERAGE('20250815_ETF_Options_Exhibits'!V21:V25)),AVERAGE('20250815_ETF_Options_Exhibits'!V21:V25),"")</f>
        <v/>
      </c>
      <c r="W25" s="3">
        <f>IF(ISNUMBER(AVERAGE('20250815_ETF_Options_Exhibits'!W21:W25)),AVERAGE('20250815_ETF_Options_Exhibits'!W21:W25),"")</f>
        <v/>
      </c>
      <c r="X25" s="3">
        <f>IF(ISNUMBER(AVERAGE('20250815_ETF_Options_Exhibits'!X21:X25)),AVERAGE('20250815_ETF_Options_Exhibits'!X21:X25),"")</f>
        <v/>
      </c>
      <c r="Y25" s="3">
        <f>IF(ISNUMBER(AVERAGE('20250815_ETF_Options_Exhibits'!Y21:Y25)),AVERAGE('20250815_ETF_Options_Exhibits'!Y21:Y25),"")</f>
        <v/>
      </c>
      <c r="Z25" s="3">
        <f>IF(ISNUMBER(AVERAGE('20250815_ETF_Options_Exhibits'!Z21:Z25)),AVERAGE('20250815_ETF_Options_Exhibits'!Z21:Z25),"")</f>
        <v/>
      </c>
      <c r="AA25" s="3">
        <f>IF(ISNUMBER(AVERAGE('20250815_ETF_Options_Exhibits'!AA21:AA25)),AVERAGE('20250815_ETF_Options_Exhibits'!AA21:AA25),"")</f>
        <v/>
      </c>
    </row>
    <row r="26">
      <c r="A26" s="1" t="n">
        <v>42040</v>
      </c>
      <c r="B26" s="3">
        <f>IF(ISNUMBER(AVERAGE('20250815_ETF_Options_Exhibits'!B22:B26)),AVERAGE('20250815_ETF_Options_Exhibits'!B22:B26),"")</f>
        <v/>
      </c>
      <c r="C26" s="3">
        <f>IF(ISNUMBER(AVERAGE('20250815_ETF_Options_Exhibits'!C22:C26)),AVERAGE('20250815_ETF_Options_Exhibits'!C22:C26),"")</f>
        <v/>
      </c>
      <c r="D26" s="3">
        <f>IF(ISNUMBER(AVERAGE('20250815_ETF_Options_Exhibits'!D22:D26)),AVERAGE('20250815_ETF_Options_Exhibits'!D22:D26),"")</f>
        <v/>
      </c>
      <c r="E26" s="3">
        <f>IF(ISNUMBER(AVERAGE('20250815_ETF_Options_Exhibits'!E22:E26)),AVERAGE('20250815_ETF_Options_Exhibits'!E22:E26),"")</f>
        <v/>
      </c>
      <c r="F26" s="3">
        <f>IF(ISNUMBER(AVERAGE('20250815_ETF_Options_Exhibits'!F22:F26)),AVERAGE('20250815_ETF_Options_Exhibits'!F22:F26),"")</f>
        <v/>
      </c>
      <c r="G26" s="3">
        <f>IF(ISNUMBER(AVERAGE('20250815_ETF_Options_Exhibits'!G22:G26)),AVERAGE('20250815_ETF_Options_Exhibits'!G22:G26),"")</f>
        <v/>
      </c>
      <c r="H26" s="3">
        <f>IF(ISNUMBER(AVERAGE('20250815_ETF_Options_Exhibits'!H22:H26)),AVERAGE('20250815_ETF_Options_Exhibits'!H22:H26),"")</f>
        <v/>
      </c>
      <c r="I26" s="3">
        <f>IF(ISNUMBER(AVERAGE('20250815_ETF_Options_Exhibits'!I22:I26)),AVERAGE('20250815_ETF_Options_Exhibits'!I22:I26),"")</f>
        <v/>
      </c>
      <c r="J26" s="3">
        <f>IF(ISNUMBER(AVERAGE('20250815_ETF_Options_Exhibits'!J22:J26)),AVERAGE('20250815_ETF_Options_Exhibits'!J22:J26),"")</f>
        <v/>
      </c>
      <c r="K26" s="3">
        <f>IF(ISNUMBER(AVERAGE('20250815_ETF_Options_Exhibits'!K22:K26)),AVERAGE('20250815_ETF_Options_Exhibits'!K22:K26),"")</f>
        <v/>
      </c>
      <c r="L26" s="3">
        <f>IF(ISNUMBER(AVERAGE('20250815_ETF_Options_Exhibits'!L22:L26)),AVERAGE('20250815_ETF_Options_Exhibits'!L22:L26),"")</f>
        <v/>
      </c>
      <c r="M26" s="3">
        <f>IF(ISNUMBER(AVERAGE('20250815_ETF_Options_Exhibits'!M22:M26)),AVERAGE('20250815_ETF_Options_Exhibits'!M22:M26),"")</f>
        <v/>
      </c>
      <c r="N26" s="3">
        <f>IF(ISNUMBER(AVERAGE('20250815_ETF_Options_Exhibits'!N22:N26)),AVERAGE('20250815_ETF_Options_Exhibits'!N22:N26),"")</f>
        <v/>
      </c>
      <c r="O26" s="3">
        <f>IF(ISNUMBER(AVERAGE('20250815_ETF_Options_Exhibits'!O22:O26)),AVERAGE('20250815_ETF_Options_Exhibits'!O22:O26),"")</f>
        <v/>
      </c>
      <c r="P26" s="3">
        <f>IF(ISNUMBER(AVERAGE('20250815_ETF_Options_Exhibits'!P22:P26)),AVERAGE('20250815_ETF_Options_Exhibits'!P22:P26),"")</f>
        <v/>
      </c>
      <c r="Q26" s="3">
        <f>IF(ISNUMBER(AVERAGE('20250815_ETF_Options_Exhibits'!Q22:Q26)),AVERAGE('20250815_ETF_Options_Exhibits'!Q22:Q26),"")</f>
        <v/>
      </c>
      <c r="R26" s="3">
        <f>IF(ISNUMBER(AVERAGE('20250815_ETF_Options_Exhibits'!R22:R26)),AVERAGE('20250815_ETF_Options_Exhibits'!R22:R26),"")</f>
        <v/>
      </c>
      <c r="S26" s="3">
        <f>IF(ISNUMBER(AVERAGE('20250815_ETF_Options_Exhibits'!S22:S26)),AVERAGE('20250815_ETF_Options_Exhibits'!S22:S26),"")</f>
        <v/>
      </c>
      <c r="T26" s="3">
        <f>IF(ISNUMBER(AVERAGE('20250815_ETF_Options_Exhibits'!T22:T26)),AVERAGE('20250815_ETF_Options_Exhibits'!T22:T26),"")</f>
        <v/>
      </c>
      <c r="U26" s="3">
        <f>IF(ISNUMBER(AVERAGE('20250815_ETF_Options_Exhibits'!U22:U26)),AVERAGE('20250815_ETF_Options_Exhibits'!U22:U26),"")</f>
        <v/>
      </c>
      <c r="V26" s="3">
        <f>IF(ISNUMBER(AVERAGE('20250815_ETF_Options_Exhibits'!V22:V26)),AVERAGE('20250815_ETF_Options_Exhibits'!V22:V26),"")</f>
        <v/>
      </c>
      <c r="W26" s="3">
        <f>IF(ISNUMBER(AVERAGE('20250815_ETF_Options_Exhibits'!W22:W26)),AVERAGE('20250815_ETF_Options_Exhibits'!W22:W26),"")</f>
        <v/>
      </c>
      <c r="X26" s="3">
        <f>IF(ISNUMBER(AVERAGE('20250815_ETF_Options_Exhibits'!X22:X26)),AVERAGE('20250815_ETF_Options_Exhibits'!X22:X26),"")</f>
        <v/>
      </c>
      <c r="Y26" s="3">
        <f>IF(ISNUMBER(AVERAGE('20250815_ETF_Options_Exhibits'!Y22:Y26)),AVERAGE('20250815_ETF_Options_Exhibits'!Y22:Y26),"")</f>
        <v/>
      </c>
      <c r="Z26" s="3">
        <f>IF(ISNUMBER(AVERAGE('20250815_ETF_Options_Exhibits'!Z22:Z26)),AVERAGE('20250815_ETF_Options_Exhibits'!Z22:Z26),"")</f>
        <v/>
      </c>
      <c r="AA26" s="3">
        <f>IF(ISNUMBER(AVERAGE('20250815_ETF_Options_Exhibits'!AA22:AA26)),AVERAGE('20250815_ETF_Options_Exhibits'!AA22:AA26),"")</f>
        <v/>
      </c>
    </row>
    <row r="27">
      <c r="A27" s="1" t="n">
        <v>42041</v>
      </c>
      <c r="B27" s="3">
        <f>IF(ISNUMBER(AVERAGE('20250815_ETF_Options_Exhibits'!B23:B27)),AVERAGE('20250815_ETF_Options_Exhibits'!B23:B27),"")</f>
        <v/>
      </c>
      <c r="C27" s="3">
        <f>IF(ISNUMBER(AVERAGE('20250815_ETF_Options_Exhibits'!C23:C27)),AVERAGE('20250815_ETF_Options_Exhibits'!C23:C27),"")</f>
        <v/>
      </c>
      <c r="D27" s="3">
        <f>IF(ISNUMBER(AVERAGE('20250815_ETF_Options_Exhibits'!D23:D27)),AVERAGE('20250815_ETF_Options_Exhibits'!D23:D27),"")</f>
        <v/>
      </c>
      <c r="E27" s="3">
        <f>IF(ISNUMBER(AVERAGE('20250815_ETF_Options_Exhibits'!E23:E27)),AVERAGE('20250815_ETF_Options_Exhibits'!E23:E27),"")</f>
        <v/>
      </c>
      <c r="F27" s="3">
        <f>IF(ISNUMBER(AVERAGE('20250815_ETF_Options_Exhibits'!F23:F27)),AVERAGE('20250815_ETF_Options_Exhibits'!F23:F27),"")</f>
        <v/>
      </c>
      <c r="G27" s="3">
        <f>IF(ISNUMBER(AVERAGE('20250815_ETF_Options_Exhibits'!G23:G27)),AVERAGE('20250815_ETF_Options_Exhibits'!G23:G27),"")</f>
        <v/>
      </c>
      <c r="H27" s="3">
        <f>IF(ISNUMBER(AVERAGE('20250815_ETF_Options_Exhibits'!H23:H27)),AVERAGE('20250815_ETF_Options_Exhibits'!H23:H27),"")</f>
        <v/>
      </c>
      <c r="I27" s="3">
        <f>IF(ISNUMBER(AVERAGE('20250815_ETF_Options_Exhibits'!I23:I27)),AVERAGE('20250815_ETF_Options_Exhibits'!I23:I27),"")</f>
        <v/>
      </c>
      <c r="J27" s="3">
        <f>IF(ISNUMBER(AVERAGE('20250815_ETF_Options_Exhibits'!J23:J27)),AVERAGE('20250815_ETF_Options_Exhibits'!J23:J27),"")</f>
        <v/>
      </c>
      <c r="K27" s="3">
        <f>IF(ISNUMBER(AVERAGE('20250815_ETF_Options_Exhibits'!K23:K27)),AVERAGE('20250815_ETF_Options_Exhibits'!K23:K27),"")</f>
        <v/>
      </c>
      <c r="L27" s="3">
        <f>IF(ISNUMBER(AVERAGE('20250815_ETF_Options_Exhibits'!L23:L27)),AVERAGE('20250815_ETF_Options_Exhibits'!L23:L27),"")</f>
        <v/>
      </c>
      <c r="M27" s="3">
        <f>IF(ISNUMBER(AVERAGE('20250815_ETF_Options_Exhibits'!M23:M27)),AVERAGE('20250815_ETF_Options_Exhibits'!M23:M27),"")</f>
        <v/>
      </c>
      <c r="N27" s="3">
        <f>IF(ISNUMBER(AVERAGE('20250815_ETF_Options_Exhibits'!N23:N27)),AVERAGE('20250815_ETF_Options_Exhibits'!N23:N27),"")</f>
        <v/>
      </c>
      <c r="O27" s="3">
        <f>IF(ISNUMBER(AVERAGE('20250815_ETF_Options_Exhibits'!O23:O27)),AVERAGE('20250815_ETF_Options_Exhibits'!O23:O27),"")</f>
        <v/>
      </c>
      <c r="P27" s="3">
        <f>IF(ISNUMBER(AVERAGE('20250815_ETF_Options_Exhibits'!P23:P27)),AVERAGE('20250815_ETF_Options_Exhibits'!P23:P27),"")</f>
        <v/>
      </c>
      <c r="Q27" s="3">
        <f>IF(ISNUMBER(AVERAGE('20250815_ETF_Options_Exhibits'!Q23:Q27)),AVERAGE('20250815_ETF_Options_Exhibits'!Q23:Q27),"")</f>
        <v/>
      </c>
      <c r="R27" s="3">
        <f>IF(ISNUMBER(AVERAGE('20250815_ETF_Options_Exhibits'!R23:R27)),AVERAGE('20250815_ETF_Options_Exhibits'!R23:R27),"")</f>
        <v/>
      </c>
      <c r="S27" s="3">
        <f>IF(ISNUMBER(AVERAGE('20250815_ETF_Options_Exhibits'!S23:S27)),AVERAGE('20250815_ETF_Options_Exhibits'!S23:S27),"")</f>
        <v/>
      </c>
      <c r="T27" s="3">
        <f>IF(ISNUMBER(AVERAGE('20250815_ETF_Options_Exhibits'!T23:T27)),AVERAGE('20250815_ETF_Options_Exhibits'!T23:T27),"")</f>
        <v/>
      </c>
      <c r="U27" s="3">
        <f>IF(ISNUMBER(AVERAGE('20250815_ETF_Options_Exhibits'!U23:U27)),AVERAGE('20250815_ETF_Options_Exhibits'!U23:U27),"")</f>
        <v/>
      </c>
      <c r="V27" s="3">
        <f>IF(ISNUMBER(AVERAGE('20250815_ETF_Options_Exhibits'!V23:V27)),AVERAGE('20250815_ETF_Options_Exhibits'!V23:V27),"")</f>
        <v/>
      </c>
      <c r="W27" s="3">
        <f>IF(ISNUMBER(AVERAGE('20250815_ETF_Options_Exhibits'!W23:W27)),AVERAGE('20250815_ETF_Options_Exhibits'!W23:W27),"")</f>
        <v/>
      </c>
      <c r="X27" s="3">
        <f>IF(ISNUMBER(AVERAGE('20250815_ETF_Options_Exhibits'!X23:X27)),AVERAGE('20250815_ETF_Options_Exhibits'!X23:X27),"")</f>
        <v/>
      </c>
      <c r="Y27" s="3">
        <f>IF(ISNUMBER(AVERAGE('20250815_ETF_Options_Exhibits'!Y23:Y27)),AVERAGE('20250815_ETF_Options_Exhibits'!Y23:Y27),"")</f>
        <v/>
      </c>
      <c r="Z27" s="3">
        <f>IF(ISNUMBER(AVERAGE('20250815_ETF_Options_Exhibits'!Z23:Z27)),AVERAGE('20250815_ETF_Options_Exhibits'!Z23:Z27),"")</f>
        <v/>
      </c>
      <c r="AA27" s="3">
        <f>IF(ISNUMBER(AVERAGE('20250815_ETF_Options_Exhibits'!AA23:AA27)),AVERAGE('20250815_ETF_Options_Exhibits'!AA23:AA27),"")</f>
        <v/>
      </c>
    </row>
    <row r="28">
      <c r="A28" s="1" t="n">
        <v>42044</v>
      </c>
      <c r="B28" s="3">
        <f>IF(ISNUMBER(AVERAGE('20250815_ETF_Options_Exhibits'!B24:B28)),AVERAGE('20250815_ETF_Options_Exhibits'!B24:B28),"")</f>
        <v/>
      </c>
      <c r="C28" s="3">
        <f>IF(ISNUMBER(AVERAGE('20250815_ETF_Options_Exhibits'!C24:C28)),AVERAGE('20250815_ETF_Options_Exhibits'!C24:C28),"")</f>
        <v/>
      </c>
      <c r="D28" s="3">
        <f>IF(ISNUMBER(AVERAGE('20250815_ETF_Options_Exhibits'!D24:D28)),AVERAGE('20250815_ETF_Options_Exhibits'!D24:D28),"")</f>
        <v/>
      </c>
      <c r="E28" s="3">
        <f>IF(ISNUMBER(AVERAGE('20250815_ETF_Options_Exhibits'!E24:E28)),AVERAGE('20250815_ETF_Options_Exhibits'!E24:E28),"")</f>
        <v/>
      </c>
      <c r="F28" s="3">
        <f>IF(ISNUMBER(AVERAGE('20250815_ETF_Options_Exhibits'!F24:F28)),AVERAGE('20250815_ETF_Options_Exhibits'!F24:F28),"")</f>
        <v/>
      </c>
      <c r="G28" s="3">
        <f>IF(ISNUMBER(AVERAGE('20250815_ETF_Options_Exhibits'!G24:G28)),AVERAGE('20250815_ETF_Options_Exhibits'!G24:G28),"")</f>
        <v/>
      </c>
      <c r="H28" s="3">
        <f>IF(ISNUMBER(AVERAGE('20250815_ETF_Options_Exhibits'!H24:H28)),AVERAGE('20250815_ETF_Options_Exhibits'!H24:H28),"")</f>
        <v/>
      </c>
      <c r="I28" s="3">
        <f>IF(ISNUMBER(AVERAGE('20250815_ETF_Options_Exhibits'!I24:I28)),AVERAGE('20250815_ETF_Options_Exhibits'!I24:I28),"")</f>
        <v/>
      </c>
      <c r="J28" s="3">
        <f>IF(ISNUMBER(AVERAGE('20250815_ETF_Options_Exhibits'!J24:J28)),AVERAGE('20250815_ETF_Options_Exhibits'!J24:J28),"")</f>
        <v/>
      </c>
      <c r="K28" s="3">
        <f>IF(ISNUMBER(AVERAGE('20250815_ETF_Options_Exhibits'!K24:K28)),AVERAGE('20250815_ETF_Options_Exhibits'!K24:K28),"")</f>
        <v/>
      </c>
      <c r="L28" s="3">
        <f>IF(ISNUMBER(AVERAGE('20250815_ETF_Options_Exhibits'!L24:L28)),AVERAGE('20250815_ETF_Options_Exhibits'!L24:L28),"")</f>
        <v/>
      </c>
      <c r="M28" s="3">
        <f>IF(ISNUMBER(AVERAGE('20250815_ETF_Options_Exhibits'!M24:M28)),AVERAGE('20250815_ETF_Options_Exhibits'!M24:M28),"")</f>
        <v/>
      </c>
      <c r="N28" s="3">
        <f>IF(ISNUMBER(AVERAGE('20250815_ETF_Options_Exhibits'!N24:N28)),AVERAGE('20250815_ETF_Options_Exhibits'!N24:N28),"")</f>
        <v/>
      </c>
      <c r="O28" s="3">
        <f>IF(ISNUMBER(AVERAGE('20250815_ETF_Options_Exhibits'!O24:O28)),AVERAGE('20250815_ETF_Options_Exhibits'!O24:O28),"")</f>
        <v/>
      </c>
      <c r="P28" s="3">
        <f>IF(ISNUMBER(AVERAGE('20250815_ETF_Options_Exhibits'!P24:P28)),AVERAGE('20250815_ETF_Options_Exhibits'!P24:P28),"")</f>
        <v/>
      </c>
      <c r="Q28" s="3">
        <f>IF(ISNUMBER(AVERAGE('20250815_ETF_Options_Exhibits'!Q24:Q28)),AVERAGE('20250815_ETF_Options_Exhibits'!Q24:Q28),"")</f>
        <v/>
      </c>
      <c r="R28" s="3">
        <f>IF(ISNUMBER(AVERAGE('20250815_ETF_Options_Exhibits'!R24:R28)),AVERAGE('20250815_ETF_Options_Exhibits'!R24:R28),"")</f>
        <v/>
      </c>
      <c r="S28" s="3">
        <f>IF(ISNUMBER(AVERAGE('20250815_ETF_Options_Exhibits'!S24:S28)),AVERAGE('20250815_ETF_Options_Exhibits'!S24:S28),"")</f>
        <v/>
      </c>
      <c r="T28" s="3">
        <f>IF(ISNUMBER(AVERAGE('20250815_ETF_Options_Exhibits'!T24:T28)),AVERAGE('20250815_ETF_Options_Exhibits'!T24:T28),"")</f>
        <v/>
      </c>
      <c r="U28" s="3">
        <f>IF(ISNUMBER(AVERAGE('20250815_ETF_Options_Exhibits'!U24:U28)),AVERAGE('20250815_ETF_Options_Exhibits'!U24:U28),"")</f>
        <v/>
      </c>
      <c r="V28" s="3">
        <f>IF(ISNUMBER(AVERAGE('20250815_ETF_Options_Exhibits'!V24:V28)),AVERAGE('20250815_ETF_Options_Exhibits'!V24:V28),"")</f>
        <v/>
      </c>
      <c r="W28" s="3">
        <f>IF(ISNUMBER(AVERAGE('20250815_ETF_Options_Exhibits'!W24:W28)),AVERAGE('20250815_ETF_Options_Exhibits'!W24:W28),"")</f>
        <v/>
      </c>
      <c r="X28" s="3">
        <f>IF(ISNUMBER(AVERAGE('20250815_ETF_Options_Exhibits'!X24:X28)),AVERAGE('20250815_ETF_Options_Exhibits'!X24:X28),"")</f>
        <v/>
      </c>
      <c r="Y28" s="3">
        <f>IF(ISNUMBER(AVERAGE('20250815_ETF_Options_Exhibits'!Y24:Y28)),AVERAGE('20250815_ETF_Options_Exhibits'!Y24:Y28),"")</f>
        <v/>
      </c>
      <c r="Z28" s="3">
        <f>IF(ISNUMBER(AVERAGE('20250815_ETF_Options_Exhibits'!Z24:Z28)),AVERAGE('20250815_ETF_Options_Exhibits'!Z24:Z28),"")</f>
        <v/>
      </c>
      <c r="AA28" s="3">
        <f>IF(ISNUMBER(AVERAGE('20250815_ETF_Options_Exhibits'!AA24:AA28)),AVERAGE('20250815_ETF_Options_Exhibits'!AA24:AA28),"")</f>
        <v/>
      </c>
    </row>
    <row r="29">
      <c r="A29" s="1" t="n">
        <v>42045</v>
      </c>
      <c r="B29" s="3">
        <f>IF(ISNUMBER(AVERAGE('20250815_ETF_Options_Exhibits'!B25:B29)),AVERAGE('20250815_ETF_Options_Exhibits'!B25:B29),"")</f>
        <v/>
      </c>
      <c r="C29" s="3">
        <f>IF(ISNUMBER(AVERAGE('20250815_ETF_Options_Exhibits'!C25:C29)),AVERAGE('20250815_ETF_Options_Exhibits'!C25:C29),"")</f>
        <v/>
      </c>
      <c r="D29" s="3">
        <f>IF(ISNUMBER(AVERAGE('20250815_ETF_Options_Exhibits'!D25:D29)),AVERAGE('20250815_ETF_Options_Exhibits'!D25:D29),"")</f>
        <v/>
      </c>
      <c r="E29" s="3">
        <f>IF(ISNUMBER(AVERAGE('20250815_ETF_Options_Exhibits'!E25:E29)),AVERAGE('20250815_ETF_Options_Exhibits'!E25:E29),"")</f>
        <v/>
      </c>
      <c r="F29" s="3">
        <f>IF(ISNUMBER(AVERAGE('20250815_ETF_Options_Exhibits'!F25:F29)),AVERAGE('20250815_ETF_Options_Exhibits'!F25:F29),"")</f>
        <v/>
      </c>
      <c r="G29" s="3">
        <f>IF(ISNUMBER(AVERAGE('20250815_ETF_Options_Exhibits'!G25:G29)),AVERAGE('20250815_ETF_Options_Exhibits'!G25:G29),"")</f>
        <v/>
      </c>
      <c r="H29" s="3">
        <f>IF(ISNUMBER(AVERAGE('20250815_ETF_Options_Exhibits'!H25:H29)),AVERAGE('20250815_ETF_Options_Exhibits'!H25:H29),"")</f>
        <v/>
      </c>
      <c r="I29" s="3">
        <f>IF(ISNUMBER(AVERAGE('20250815_ETF_Options_Exhibits'!I25:I29)),AVERAGE('20250815_ETF_Options_Exhibits'!I25:I29),"")</f>
        <v/>
      </c>
      <c r="J29" s="3">
        <f>IF(ISNUMBER(AVERAGE('20250815_ETF_Options_Exhibits'!J25:J29)),AVERAGE('20250815_ETF_Options_Exhibits'!J25:J29),"")</f>
        <v/>
      </c>
      <c r="K29" s="3">
        <f>IF(ISNUMBER(AVERAGE('20250815_ETF_Options_Exhibits'!K25:K29)),AVERAGE('20250815_ETF_Options_Exhibits'!K25:K29),"")</f>
        <v/>
      </c>
      <c r="L29" s="3">
        <f>IF(ISNUMBER(AVERAGE('20250815_ETF_Options_Exhibits'!L25:L29)),AVERAGE('20250815_ETF_Options_Exhibits'!L25:L29),"")</f>
        <v/>
      </c>
      <c r="M29" s="3">
        <f>IF(ISNUMBER(AVERAGE('20250815_ETF_Options_Exhibits'!M25:M29)),AVERAGE('20250815_ETF_Options_Exhibits'!M25:M29),"")</f>
        <v/>
      </c>
      <c r="N29" s="3">
        <f>IF(ISNUMBER(AVERAGE('20250815_ETF_Options_Exhibits'!N25:N29)),AVERAGE('20250815_ETF_Options_Exhibits'!N25:N29),"")</f>
        <v/>
      </c>
      <c r="O29" s="3">
        <f>IF(ISNUMBER(AVERAGE('20250815_ETF_Options_Exhibits'!O25:O29)),AVERAGE('20250815_ETF_Options_Exhibits'!O25:O29),"")</f>
        <v/>
      </c>
      <c r="P29" s="3">
        <f>IF(ISNUMBER(AVERAGE('20250815_ETF_Options_Exhibits'!P25:P29)),AVERAGE('20250815_ETF_Options_Exhibits'!P25:P29),"")</f>
        <v/>
      </c>
      <c r="Q29" s="3">
        <f>IF(ISNUMBER(AVERAGE('20250815_ETF_Options_Exhibits'!Q25:Q29)),AVERAGE('20250815_ETF_Options_Exhibits'!Q25:Q29),"")</f>
        <v/>
      </c>
      <c r="R29" s="3">
        <f>IF(ISNUMBER(AVERAGE('20250815_ETF_Options_Exhibits'!R25:R29)),AVERAGE('20250815_ETF_Options_Exhibits'!R25:R29),"")</f>
        <v/>
      </c>
      <c r="S29" s="3">
        <f>IF(ISNUMBER(AVERAGE('20250815_ETF_Options_Exhibits'!S25:S29)),AVERAGE('20250815_ETF_Options_Exhibits'!S25:S29),"")</f>
        <v/>
      </c>
      <c r="T29" s="3">
        <f>IF(ISNUMBER(AVERAGE('20250815_ETF_Options_Exhibits'!T25:T29)),AVERAGE('20250815_ETF_Options_Exhibits'!T25:T29),"")</f>
        <v/>
      </c>
      <c r="U29" s="3">
        <f>IF(ISNUMBER(AVERAGE('20250815_ETF_Options_Exhibits'!U25:U29)),AVERAGE('20250815_ETF_Options_Exhibits'!U25:U29),"")</f>
        <v/>
      </c>
      <c r="V29" s="3">
        <f>IF(ISNUMBER(AVERAGE('20250815_ETF_Options_Exhibits'!V25:V29)),AVERAGE('20250815_ETF_Options_Exhibits'!V25:V29),"")</f>
        <v/>
      </c>
      <c r="W29" s="3">
        <f>IF(ISNUMBER(AVERAGE('20250815_ETF_Options_Exhibits'!W25:W29)),AVERAGE('20250815_ETF_Options_Exhibits'!W25:W29),"")</f>
        <v/>
      </c>
      <c r="X29" s="3">
        <f>IF(ISNUMBER(AVERAGE('20250815_ETF_Options_Exhibits'!X25:X29)),AVERAGE('20250815_ETF_Options_Exhibits'!X25:X29),"")</f>
        <v/>
      </c>
      <c r="Y29" s="3">
        <f>IF(ISNUMBER(AVERAGE('20250815_ETF_Options_Exhibits'!Y25:Y29)),AVERAGE('20250815_ETF_Options_Exhibits'!Y25:Y29),"")</f>
        <v/>
      </c>
      <c r="Z29" s="3">
        <f>IF(ISNUMBER(AVERAGE('20250815_ETF_Options_Exhibits'!Z25:Z29)),AVERAGE('20250815_ETF_Options_Exhibits'!Z25:Z29),"")</f>
        <v/>
      </c>
      <c r="AA29" s="3">
        <f>IF(ISNUMBER(AVERAGE('20250815_ETF_Options_Exhibits'!AA25:AA29)),AVERAGE('20250815_ETF_Options_Exhibits'!AA25:AA29),"")</f>
        <v/>
      </c>
    </row>
    <row r="30">
      <c r="A30" s="1" t="n">
        <v>42046</v>
      </c>
      <c r="B30" s="3">
        <f>IF(ISNUMBER(AVERAGE('20250815_ETF_Options_Exhibits'!B26:B30)),AVERAGE('20250815_ETF_Options_Exhibits'!B26:B30),"")</f>
        <v/>
      </c>
      <c r="C30" s="3">
        <f>IF(ISNUMBER(AVERAGE('20250815_ETF_Options_Exhibits'!C26:C30)),AVERAGE('20250815_ETF_Options_Exhibits'!C26:C30),"")</f>
        <v/>
      </c>
      <c r="D30" s="3">
        <f>IF(ISNUMBER(AVERAGE('20250815_ETF_Options_Exhibits'!D26:D30)),AVERAGE('20250815_ETF_Options_Exhibits'!D26:D30),"")</f>
        <v/>
      </c>
      <c r="E30" s="3">
        <f>IF(ISNUMBER(AVERAGE('20250815_ETF_Options_Exhibits'!E26:E30)),AVERAGE('20250815_ETF_Options_Exhibits'!E26:E30),"")</f>
        <v/>
      </c>
      <c r="F30" s="3">
        <f>IF(ISNUMBER(AVERAGE('20250815_ETF_Options_Exhibits'!F26:F30)),AVERAGE('20250815_ETF_Options_Exhibits'!F26:F30),"")</f>
        <v/>
      </c>
      <c r="G30" s="3">
        <f>IF(ISNUMBER(AVERAGE('20250815_ETF_Options_Exhibits'!G26:G30)),AVERAGE('20250815_ETF_Options_Exhibits'!G26:G30),"")</f>
        <v/>
      </c>
      <c r="H30" s="3">
        <f>IF(ISNUMBER(AVERAGE('20250815_ETF_Options_Exhibits'!H26:H30)),AVERAGE('20250815_ETF_Options_Exhibits'!H26:H30),"")</f>
        <v/>
      </c>
      <c r="I30" s="3">
        <f>IF(ISNUMBER(AVERAGE('20250815_ETF_Options_Exhibits'!I26:I30)),AVERAGE('20250815_ETF_Options_Exhibits'!I26:I30),"")</f>
        <v/>
      </c>
      <c r="J30" s="3">
        <f>IF(ISNUMBER(AVERAGE('20250815_ETF_Options_Exhibits'!J26:J30)),AVERAGE('20250815_ETF_Options_Exhibits'!J26:J30),"")</f>
        <v/>
      </c>
      <c r="K30" s="3">
        <f>IF(ISNUMBER(AVERAGE('20250815_ETF_Options_Exhibits'!K26:K30)),AVERAGE('20250815_ETF_Options_Exhibits'!K26:K30),"")</f>
        <v/>
      </c>
      <c r="L30" s="3">
        <f>IF(ISNUMBER(AVERAGE('20250815_ETF_Options_Exhibits'!L26:L30)),AVERAGE('20250815_ETF_Options_Exhibits'!L26:L30),"")</f>
        <v/>
      </c>
      <c r="M30" s="3">
        <f>IF(ISNUMBER(AVERAGE('20250815_ETF_Options_Exhibits'!M26:M30)),AVERAGE('20250815_ETF_Options_Exhibits'!M26:M30),"")</f>
        <v/>
      </c>
      <c r="N30" s="3">
        <f>IF(ISNUMBER(AVERAGE('20250815_ETF_Options_Exhibits'!N26:N30)),AVERAGE('20250815_ETF_Options_Exhibits'!N26:N30),"")</f>
        <v/>
      </c>
      <c r="O30" s="3">
        <f>IF(ISNUMBER(AVERAGE('20250815_ETF_Options_Exhibits'!O26:O30)),AVERAGE('20250815_ETF_Options_Exhibits'!O26:O30),"")</f>
        <v/>
      </c>
      <c r="P30" s="3">
        <f>IF(ISNUMBER(AVERAGE('20250815_ETF_Options_Exhibits'!P26:P30)),AVERAGE('20250815_ETF_Options_Exhibits'!P26:P30),"")</f>
        <v/>
      </c>
      <c r="Q30" s="3">
        <f>IF(ISNUMBER(AVERAGE('20250815_ETF_Options_Exhibits'!Q26:Q30)),AVERAGE('20250815_ETF_Options_Exhibits'!Q26:Q30),"")</f>
        <v/>
      </c>
      <c r="R30" s="3">
        <f>IF(ISNUMBER(AVERAGE('20250815_ETF_Options_Exhibits'!R26:R30)),AVERAGE('20250815_ETF_Options_Exhibits'!R26:R30),"")</f>
        <v/>
      </c>
      <c r="S30" s="3">
        <f>IF(ISNUMBER(AVERAGE('20250815_ETF_Options_Exhibits'!S26:S30)),AVERAGE('20250815_ETF_Options_Exhibits'!S26:S30),"")</f>
        <v/>
      </c>
      <c r="T30" s="3">
        <f>IF(ISNUMBER(AVERAGE('20250815_ETF_Options_Exhibits'!T26:T30)),AVERAGE('20250815_ETF_Options_Exhibits'!T26:T30),"")</f>
        <v/>
      </c>
      <c r="U30" s="3">
        <f>IF(ISNUMBER(AVERAGE('20250815_ETF_Options_Exhibits'!U26:U30)),AVERAGE('20250815_ETF_Options_Exhibits'!U26:U30),"")</f>
        <v/>
      </c>
      <c r="V30" s="3">
        <f>IF(ISNUMBER(AVERAGE('20250815_ETF_Options_Exhibits'!V26:V30)),AVERAGE('20250815_ETF_Options_Exhibits'!V26:V30),"")</f>
        <v/>
      </c>
      <c r="W30" s="3">
        <f>IF(ISNUMBER(AVERAGE('20250815_ETF_Options_Exhibits'!W26:W30)),AVERAGE('20250815_ETF_Options_Exhibits'!W26:W30),"")</f>
        <v/>
      </c>
      <c r="X30" s="3">
        <f>IF(ISNUMBER(AVERAGE('20250815_ETF_Options_Exhibits'!X26:X30)),AVERAGE('20250815_ETF_Options_Exhibits'!X26:X30),"")</f>
        <v/>
      </c>
      <c r="Y30" s="3">
        <f>IF(ISNUMBER(AVERAGE('20250815_ETF_Options_Exhibits'!Y26:Y30)),AVERAGE('20250815_ETF_Options_Exhibits'!Y26:Y30),"")</f>
        <v/>
      </c>
      <c r="Z30" s="3">
        <f>IF(ISNUMBER(AVERAGE('20250815_ETF_Options_Exhibits'!Z26:Z30)),AVERAGE('20250815_ETF_Options_Exhibits'!Z26:Z30),"")</f>
        <v/>
      </c>
      <c r="AA30" s="3">
        <f>IF(ISNUMBER(AVERAGE('20250815_ETF_Options_Exhibits'!AA26:AA30)),AVERAGE('20250815_ETF_Options_Exhibits'!AA26:AA30),"")</f>
        <v/>
      </c>
    </row>
    <row r="31">
      <c r="A31" s="1" t="n">
        <v>42047</v>
      </c>
      <c r="B31" s="3">
        <f>IF(ISNUMBER(AVERAGE('20250815_ETF_Options_Exhibits'!B27:B31)),AVERAGE('20250815_ETF_Options_Exhibits'!B27:B31),"")</f>
        <v/>
      </c>
      <c r="C31" s="3">
        <f>IF(ISNUMBER(AVERAGE('20250815_ETF_Options_Exhibits'!C27:C31)),AVERAGE('20250815_ETF_Options_Exhibits'!C27:C31),"")</f>
        <v/>
      </c>
      <c r="D31" s="3">
        <f>IF(ISNUMBER(AVERAGE('20250815_ETF_Options_Exhibits'!D27:D31)),AVERAGE('20250815_ETF_Options_Exhibits'!D27:D31),"")</f>
        <v/>
      </c>
      <c r="E31" s="3">
        <f>IF(ISNUMBER(AVERAGE('20250815_ETF_Options_Exhibits'!E27:E31)),AVERAGE('20250815_ETF_Options_Exhibits'!E27:E31),"")</f>
        <v/>
      </c>
      <c r="F31" s="3">
        <f>IF(ISNUMBER(AVERAGE('20250815_ETF_Options_Exhibits'!F27:F31)),AVERAGE('20250815_ETF_Options_Exhibits'!F27:F31),"")</f>
        <v/>
      </c>
      <c r="G31" s="3">
        <f>IF(ISNUMBER(AVERAGE('20250815_ETF_Options_Exhibits'!G27:G31)),AVERAGE('20250815_ETF_Options_Exhibits'!G27:G31),"")</f>
        <v/>
      </c>
      <c r="H31" s="3">
        <f>IF(ISNUMBER(AVERAGE('20250815_ETF_Options_Exhibits'!H27:H31)),AVERAGE('20250815_ETF_Options_Exhibits'!H27:H31),"")</f>
        <v/>
      </c>
      <c r="I31" s="3">
        <f>IF(ISNUMBER(AVERAGE('20250815_ETF_Options_Exhibits'!I27:I31)),AVERAGE('20250815_ETF_Options_Exhibits'!I27:I31),"")</f>
        <v/>
      </c>
      <c r="J31" s="3">
        <f>IF(ISNUMBER(AVERAGE('20250815_ETF_Options_Exhibits'!J27:J31)),AVERAGE('20250815_ETF_Options_Exhibits'!J27:J31),"")</f>
        <v/>
      </c>
      <c r="K31" s="3">
        <f>IF(ISNUMBER(AVERAGE('20250815_ETF_Options_Exhibits'!K27:K31)),AVERAGE('20250815_ETF_Options_Exhibits'!K27:K31),"")</f>
        <v/>
      </c>
      <c r="L31" s="3">
        <f>IF(ISNUMBER(AVERAGE('20250815_ETF_Options_Exhibits'!L27:L31)),AVERAGE('20250815_ETF_Options_Exhibits'!L27:L31),"")</f>
        <v/>
      </c>
      <c r="M31" s="3">
        <f>IF(ISNUMBER(AVERAGE('20250815_ETF_Options_Exhibits'!M27:M31)),AVERAGE('20250815_ETF_Options_Exhibits'!M27:M31),"")</f>
        <v/>
      </c>
      <c r="N31" s="3">
        <f>IF(ISNUMBER(AVERAGE('20250815_ETF_Options_Exhibits'!N27:N31)),AVERAGE('20250815_ETF_Options_Exhibits'!N27:N31),"")</f>
        <v/>
      </c>
      <c r="O31" s="3">
        <f>IF(ISNUMBER(AVERAGE('20250815_ETF_Options_Exhibits'!O27:O31)),AVERAGE('20250815_ETF_Options_Exhibits'!O27:O31),"")</f>
        <v/>
      </c>
      <c r="P31" s="3">
        <f>IF(ISNUMBER(AVERAGE('20250815_ETF_Options_Exhibits'!P27:P31)),AVERAGE('20250815_ETF_Options_Exhibits'!P27:P31),"")</f>
        <v/>
      </c>
      <c r="Q31" s="3">
        <f>IF(ISNUMBER(AVERAGE('20250815_ETF_Options_Exhibits'!Q27:Q31)),AVERAGE('20250815_ETF_Options_Exhibits'!Q27:Q31),"")</f>
        <v/>
      </c>
      <c r="R31" s="3">
        <f>IF(ISNUMBER(AVERAGE('20250815_ETF_Options_Exhibits'!R27:R31)),AVERAGE('20250815_ETF_Options_Exhibits'!R27:R31),"")</f>
        <v/>
      </c>
      <c r="S31" s="3">
        <f>IF(ISNUMBER(AVERAGE('20250815_ETF_Options_Exhibits'!S27:S31)),AVERAGE('20250815_ETF_Options_Exhibits'!S27:S31),"")</f>
        <v/>
      </c>
      <c r="T31" s="3">
        <f>IF(ISNUMBER(AVERAGE('20250815_ETF_Options_Exhibits'!T27:T31)),AVERAGE('20250815_ETF_Options_Exhibits'!T27:T31),"")</f>
        <v/>
      </c>
      <c r="U31" s="3">
        <f>IF(ISNUMBER(AVERAGE('20250815_ETF_Options_Exhibits'!U27:U31)),AVERAGE('20250815_ETF_Options_Exhibits'!U27:U31),"")</f>
        <v/>
      </c>
      <c r="V31" s="3">
        <f>IF(ISNUMBER(AVERAGE('20250815_ETF_Options_Exhibits'!V27:V31)),AVERAGE('20250815_ETF_Options_Exhibits'!V27:V31),"")</f>
        <v/>
      </c>
      <c r="W31" s="3">
        <f>IF(ISNUMBER(AVERAGE('20250815_ETF_Options_Exhibits'!W27:W31)),AVERAGE('20250815_ETF_Options_Exhibits'!W27:W31),"")</f>
        <v/>
      </c>
      <c r="X31" s="3">
        <f>IF(ISNUMBER(AVERAGE('20250815_ETF_Options_Exhibits'!X27:X31)),AVERAGE('20250815_ETF_Options_Exhibits'!X27:X31),"")</f>
        <v/>
      </c>
      <c r="Y31" s="3">
        <f>IF(ISNUMBER(AVERAGE('20250815_ETF_Options_Exhibits'!Y27:Y31)),AVERAGE('20250815_ETF_Options_Exhibits'!Y27:Y31),"")</f>
        <v/>
      </c>
      <c r="Z31" s="3">
        <f>IF(ISNUMBER(AVERAGE('20250815_ETF_Options_Exhibits'!Z27:Z31)),AVERAGE('20250815_ETF_Options_Exhibits'!Z27:Z31),"")</f>
        <v/>
      </c>
      <c r="AA31" s="3">
        <f>IF(ISNUMBER(AVERAGE('20250815_ETF_Options_Exhibits'!AA27:AA31)),AVERAGE('20250815_ETF_Options_Exhibits'!AA27:AA31),"")</f>
        <v/>
      </c>
    </row>
    <row r="32">
      <c r="A32" s="1" t="n">
        <v>42048</v>
      </c>
      <c r="B32" s="3">
        <f>IF(ISNUMBER(AVERAGE('20250815_ETF_Options_Exhibits'!B28:B32)),AVERAGE('20250815_ETF_Options_Exhibits'!B28:B32),"")</f>
        <v/>
      </c>
      <c r="C32" s="3">
        <f>IF(ISNUMBER(AVERAGE('20250815_ETF_Options_Exhibits'!C28:C32)),AVERAGE('20250815_ETF_Options_Exhibits'!C28:C32),"")</f>
        <v/>
      </c>
      <c r="D32" s="3">
        <f>IF(ISNUMBER(AVERAGE('20250815_ETF_Options_Exhibits'!D28:D32)),AVERAGE('20250815_ETF_Options_Exhibits'!D28:D32),"")</f>
        <v/>
      </c>
      <c r="E32" s="3">
        <f>IF(ISNUMBER(AVERAGE('20250815_ETF_Options_Exhibits'!E28:E32)),AVERAGE('20250815_ETF_Options_Exhibits'!E28:E32),"")</f>
        <v/>
      </c>
      <c r="F32" s="3">
        <f>IF(ISNUMBER(AVERAGE('20250815_ETF_Options_Exhibits'!F28:F32)),AVERAGE('20250815_ETF_Options_Exhibits'!F28:F32),"")</f>
        <v/>
      </c>
      <c r="G32" s="3">
        <f>IF(ISNUMBER(AVERAGE('20250815_ETF_Options_Exhibits'!G28:G32)),AVERAGE('20250815_ETF_Options_Exhibits'!G28:G32),"")</f>
        <v/>
      </c>
      <c r="H32" s="3">
        <f>IF(ISNUMBER(AVERAGE('20250815_ETF_Options_Exhibits'!H28:H32)),AVERAGE('20250815_ETF_Options_Exhibits'!H28:H32),"")</f>
        <v/>
      </c>
      <c r="I32" s="3">
        <f>IF(ISNUMBER(AVERAGE('20250815_ETF_Options_Exhibits'!I28:I32)),AVERAGE('20250815_ETF_Options_Exhibits'!I28:I32),"")</f>
        <v/>
      </c>
      <c r="J32" s="3">
        <f>IF(ISNUMBER(AVERAGE('20250815_ETF_Options_Exhibits'!J28:J32)),AVERAGE('20250815_ETF_Options_Exhibits'!J28:J32),"")</f>
        <v/>
      </c>
      <c r="K32" s="3">
        <f>IF(ISNUMBER(AVERAGE('20250815_ETF_Options_Exhibits'!K28:K32)),AVERAGE('20250815_ETF_Options_Exhibits'!K28:K32),"")</f>
        <v/>
      </c>
      <c r="L32" s="3">
        <f>IF(ISNUMBER(AVERAGE('20250815_ETF_Options_Exhibits'!L28:L32)),AVERAGE('20250815_ETF_Options_Exhibits'!L28:L32),"")</f>
        <v/>
      </c>
      <c r="M32" s="3">
        <f>IF(ISNUMBER(AVERAGE('20250815_ETF_Options_Exhibits'!M28:M32)),AVERAGE('20250815_ETF_Options_Exhibits'!M28:M32),"")</f>
        <v/>
      </c>
      <c r="N32" s="3">
        <f>IF(ISNUMBER(AVERAGE('20250815_ETF_Options_Exhibits'!N28:N32)),AVERAGE('20250815_ETF_Options_Exhibits'!N28:N32),"")</f>
        <v/>
      </c>
      <c r="O32" s="3">
        <f>IF(ISNUMBER(AVERAGE('20250815_ETF_Options_Exhibits'!O28:O32)),AVERAGE('20250815_ETF_Options_Exhibits'!O28:O32),"")</f>
        <v/>
      </c>
      <c r="P32" s="3">
        <f>IF(ISNUMBER(AVERAGE('20250815_ETF_Options_Exhibits'!P28:P32)),AVERAGE('20250815_ETF_Options_Exhibits'!P28:P32),"")</f>
        <v/>
      </c>
      <c r="Q32" s="3">
        <f>IF(ISNUMBER(AVERAGE('20250815_ETF_Options_Exhibits'!Q28:Q32)),AVERAGE('20250815_ETF_Options_Exhibits'!Q28:Q32),"")</f>
        <v/>
      </c>
      <c r="R32" s="3">
        <f>IF(ISNUMBER(AVERAGE('20250815_ETF_Options_Exhibits'!R28:R32)),AVERAGE('20250815_ETF_Options_Exhibits'!R28:R32),"")</f>
        <v/>
      </c>
      <c r="S32" s="3">
        <f>IF(ISNUMBER(AVERAGE('20250815_ETF_Options_Exhibits'!S28:S32)),AVERAGE('20250815_ETF_Options_Exhibits'!S28:S32),"")</f>
        <v/>
      </c>
      <c r="T32" s="3">
        <f>IF(ISNUMBER(AVERAGE('20250815_ETF_Options_Exhibits'!T28:T32)),AVERAGE('20250815_ETF_Options_Exhibits'!T28:T32),"")</f>
        <v/>
      </c>
      <c r="U32" s="3">
        <f>IF(ISNUMBER(AVERAGE('20250815_ETF_Options_Exhibits'!U28:U32)),AVERAGE('20250815_ETF_Options_Exhibits'!U28:U32),"")</f>
        <v/>
      </c>
      <c r="V32" s="3">
        <f>IF(ISNUMBER(AVERAGE('20250815_ETF_Options_Exhibits'!V28:V32)),AVERAGE('20250815_ETF_Options_Exhibits'!V28:V32),"")</f>
        <v/>
      </c>
      <c r="W32" s="3">
        <f>IF(ISNUMBER(AVERAGE('20250815_ETF_Options_Exhibits'!W28:W32)),AVERAGE('20250815_ETF_Options_Exhibits'!W28:W32),"")</f>
        <v/>
      </c>
      <c r="X32" s="3">
        <f>IF(ISNUMBER(AVERAGE('20250815_ETF_Options_Exhibits'!X28:X32)),AVERAGE('20250815_ETF_Options_Exhibits'!X28:X32),"")</f>
        <v/>
      </c>
      <c r="Y32" s="3">
        <f>IF(ISNUMBER(AVERAGE('20250815_ETF_Options_Exhibits'!Y28:Y32)),AVERAGE('20250815_ETF_Options_Exhibits'!Y28:Y32),"")</f>
        <v/>
      </c>
      <c r="Z32" s="3">
        <f>IF(ISNUMBER(AVERAGE('20250815_ETF_Options_Exhibits'!Z28:Z32)),AVERAGE('20250815_ETF_Options_Exhibits'!Z28:Z32),"")</f>
        <v/>
      </c>
      <c r="AA32" s="3">
        <f>IF(ISNUMBER(AVERAGE('20250815_ETF_Options_Exhibits'!AA28:AA32)),AVERAGE('20250815_ETF_Options_Exhibits'!AA28:AA32),"")</f>
        <v/>
      </c>
    </row>
    <row r="33">
      <c r="A33" s="1" t="n">
        <v>42052</v>
      </c>
      <c r="B33" s="3">
        <f>IF(ISNUMBER(AVERAGE('20250815_ETF_Options_Exhibits'!B29:B33)),AVERAGE('20250815_ETF_Options_Exhibits'!B29:B33),"")</f>
        <v/>
      </c>
      <c r="C33" s="3">
        <f>IF(ISNUMBER(AVERAGE('20250815_ETF_Options_Exhibits'!C29:C33)),AVERAGE('20250815_ETF_Options_Exhibits'!C29:C33),"")</f>
        <v/>
      </c>
      <c r="D33" s="3">
        <f>IF(ISNUMBER(AVERAGE('20250815_ETF_Options_Exhibits'!D29:D33)),AVERAGE('20250815_ETF_Options_Exhibits'!D29:D33),"")</f>
        <v/>
      </c>
      <c r="E33" s="3">
        <f>IF(ISNUMBER(AVERAGE('20250815_ETF_Options_Exhibits'!E29:E33)),AVERAGE('20250815_ETF_Options_Exhibits'!E29:E33),"")</f>
        <v/>
      </c>
      <c r="F33" s="3">
        <f>IF(ISNUMBER(AVERAGE('20250815_ETF_Options_Exhibits'!F29:F33)),AVERAGE('20250815_ETF_Options_Exhibits'!F29:F33),"")</f>
        <v/>
      </c>
      <c r="G33" s="3">
        <f>IF(ISNUMBER(AVERAGE('20250815_ETF_Options_Exhibits'!G29:G33)),AVERAGE('20250815_ETF_Options_Exhibits'!G29:G33),"")</f>
        <v/>
      </c>
      <c r="H33" s="3">
        <f>IF(ISNUMBER(AVERAGE('20250815_ETF_Options_Exhibits'!H29:H33)),AVERAGE('20250815_ETF_Options_Exhibits'!H29:H33),"")</f>
        <v/>
      </c>
      <c r="I33" s="3">
        <f>IF(ISNUMBER(AVERAGE('20250815_ETF_Options_Exhibits'!I29:I33)),AVERAGE('20250815_ETF_Options_Exhibits'!I29:I33),"")</f>
        <v/>
      </c>
      <c r="J33" s="3">
        <f>IF(ISNUMBER(AVERAGE('20250815_ETF_Options_Exhibits'!J29:J33)),AVERAGE('20250815_ETF_Options_Exhibits'!J29:J33),"")</f>
        <v/>
      </c>
      <c r="K33" s="3">
        <f>IF(ISNUMBER(AVERAGE('20250815_ETF_Options_Exhibits'!K29:K33)),AVERAGE('20250815_ETF_Options_Exhibits'!K29:K33),"")</f>
        <v/>
      </c>
      <c r="L33" s="3">
        <f>IF(ISNUMBER(AVERAGE('20250815_ETF_Options_Exhibits'!L29:L33)),AVERAGE('20250815_ETF_Options_Exhibits'!L29:L33),"")</f>
        <v/>
      </c>
      <c r="M33" s="3">
        <f>IF(ISNUMBER(AVERAGE('20250815_ETF_Options_Exhibits'!M29:M33)),AVERAGE('20250815_ETF_Options_Exhibits'!M29:M33),"")</f>
        <v/>
      </c>
      <c r="N33" s="3">
        <f>IF(ISNUMBER(AVERAGE('20250815_ETF_Options_Exhibits'!N29:N33)),AVERAGE('20250815_ETF_Options_Exhibits'!N29:N33),"")</f>
        <v/>
      </c>
      <c r="O33" s="3">
        <f>IF(ISNUMBER(AVERAGE('20250815_ETF_Options_Exhibits'!O29:O33)),AVERAGE('20250815_ETF_Options_Exhibits'!O29:O33),"")</f>
        <v/>
      </c>
      <c r="P33" s="3">
        <f>IF(ISNUMBER(AVERAGE('20250815_ETF_Options_Exhibits'!P29:P33)),AVERAGE('20250815_ETF_Options_Exhibits'!P29:P33),"")</f>
        <v/>
      </c>
      <c r="Q33" s="3">
        <f>IF(ISNUMBER(AVERAGE('20250815_ETF_Options_Exhibits'!Q29:Q33)),AVERAGE('20250815_ETF_Options_Exhibits'!Q29:Q33),"")</f>
        <v/>
      </c>
      <c r="R33" s="3">
        <f>IF(ISNUMBER(AVERAGE('20250815_ETF_Options_Exhibits'!R29:R33)),AVERAGE('20250815_ETF_Options_Exhibits'!R29:R33),"")</f>
        <v/>
      </c>
      <c r="S33" s="3">
        <f>IF(ISNUMBER(AVERAGE('20250815_ETF_Options_Exhibits'!S29:S33)),AVERAGE('20250815_ETF_Options_Exhibits'!S29:S33),"")</f>
        <v/>
      </c>
      <c r="T33" s="3">
        <f>IF(ISNUMBER(AVERAGE('20250815_ETF_Options_Exhibits'!T29:T33)),AVERAGE('20250815_ETF_Options_Exhibits'!T29:T33),"")</f>
        <v/>
      </c>
      <c r="U33" s="3">
        <f>IF(ISNUMBER(AVERAGE('20250815_ETF_Options_Exhibits'!U29:U33)),AVERAGE('20250815_ETF_Options_Exhibits'!U29:U33),"")</f>
        <v/>
      </c>
      <c r="V33" s="3">
        <f>IF(ISNUMBER(AVERAGE('20250815_ETF_Options_Exhibits'!V29:V33)),AVERAGE('20250815_ETF_Options_Exhibits'!V29:V33),"")</f>
        <v/>
      </c>
      <c r="W33" s="3">
        <f>IF(ISNUMBER(AVERAGE('20250815_ETF_Options_Exhibits'!W29:W33)),AVERAGE('20250815_ETF_Options_Exhibits'!W29:W33),"")</f>
        <v/>
      </c>
      <c r="X33" s="3">
        <f>IF(ISNUMBER(AVERAGE('20250815_ETF_Options_Exhibits'!X29:X33)),AVERAGE('20250815_ETF_Options_Exhibits'!X29:X33),"")</f>
        <v/>
      </c>
      <c r="Y33" s="3">
        <f>IF(ISNUMBER(AVERAGE('20250815_ETF_Options_Exhibits'!Y29:Y33)),AVERAGE('20250815_ETF_Options_Exhibits'!Y29:Y33),"")</f>
        <v/>
      </c>
      <c r="Z33" s="3">
        <f>IF(ISNUMBER(AVERAGE('20250815_ETF_Options_Exhibits'!Z29:Z33)),AVERAGE('20250815_ETF_Options_Exhibits'!Z29:Z33),"")</f>
        <v/>
      </c>
      <c r="AA33" s="3">
        <f>IF(ISNUMBER(AVERAGE('20250815_ETF_Options_Exhibits'!AA29:AA33)),AVERAGE('20250815_ETF_Options_Exhibits'!AA29:AA33),"")</f>
        <v/>
      </c>
    </row>
    <row r="34">
      <c r="A34" s="1" t="n">
        <v>42053</v>
      </c>
      <c r="B34" s="3">
        <f>IF(ISNUMBER(AVERAGE('20250815_ETF_Options_Exhibits'!B30:B34)),AVERAGE('20250815_ETF_Options_Exhibits'!B30:B34),"")</f>
        <v/>
      </c>
      <c r="C34" s="3">
        <f>IF(ISNUMBER(AVERAGE('20250815_ETF_Options_Exhibits'!C30:C34)),AVERAGE('20250815_ETF_Options_Exhibits'!C30:C34),"")</f>
        <v/>
      </c>
      <c r="D34" s="3">
        <f>IF(ISNUMBER(AVERAGE('20250815_ETF_Options_Exhibits'!D30:D34)),AVERAGE('20250815_ETF_Options_Exhibits'!D30:D34),"")</f>
        <v/>
      </c>
      <c r="E34" s="3">
        <f>IF(ISNUMBER(AVERAGE('20250815_ETF_Options_Exhibits'!E30:E34)),AVERAGE('20250815_ETF_Options_Exhibits'!E30:E34),"")</f>
        <v/>
      </c>
      <c r="F34" s="3">
        <f>IF(ISNUMBER(AVERAGE('20250815_ETF_Options_Exhibits'!F30:F34)),AVERAGE('20250815_ETF_Options_Exhibits'!F30:F34),"")</f>
        <v/>
      </c>
      <c r="G34" s="3">
        <f>IF(ISNUMBER(AVERAGE('20250815_ETF_Options_Exhibits'!G30:G34)),AVERAGE('20250815_ETF_Options_Exhibits'!G30:G34),"")</f>
        <v/>
      </c>
      <c r="H34" s="3">
        <f>IF(ISNUMBER(AVERAGE('20250815_ETF_Options_Exhibits'!H30:H34)),AVERAGE('20250815_ETF_Options_Exhibits'!H30:H34),"")</f>
        <v/>
      </c>
      <c r="I34" s="3">
        <f>IF(ISNUMBER(AVERAGE('20250815_ETF_Options_Exhibits'!I30:I34)),AVERAGE('20250815_ETF_Options_Exhibits'!I30:I34),"")</f>
        <v/>
      </c>
      <c r="J34" s="3">
        <f>IF(ISNUMBER(AVERAGE('20250815_ETF_Options_Exhibits'!J30:J34)),AVERAGE('20250815_ETF_Options_Exhibits'!J30:J34),"")</f>
        <v/>
      </c>
      <c r="K34" s="3">
        <f>IF(ISNUMBER(AVERAGE('20250815_ETF_Options_Exhibits'!K30:K34)),AVERAGE('20250815_ETF_Options_Exhibits'!K30:K34),"")</f>
        <v/>
      </c>
      <c r="L34" s="3">
        <f>IF(ISNUMBER(AVERAGE('20250815_ETF_Options_Exhibits'!L30:L34)),AVERAGE('20250815_ETF_Options_Exhibits'!L30:L34),"")</f>
        <v/>
      </c>
      <c r="M34" s="3">
        <f>IF(ISNUMBER(AVERAGE('20250815_ETF_Options_Exhibits'!M30:M34)),AVERAGE('20250815_ETF_Options_Exhibits'!M30:M34),"")</f>
        <v/>
      </c>
      <c r="N34" s="3">
        <f>IF(ISNUMBER(AVERAGE('20250815_ETF_Options_Exhibits'!N30:N34)),AVERAGE('20250815_ETF_Options_Exhibits'!N30:N34),"")</f>
        <v/>
      </c>
      <c r="O34" s="3">
        <f>IF(ISNUMBER(AVERAGE('20250815_ETF_Options_Exhibits'!O30:O34)),AVERAGE('20250815_ETF_Options_Exhibits'!O30:O34),"")</f>
        <v/>
      </c>
      <c r="P34" s="3">
        <f>IF(ISNUMBER(AVERAGE('20250815_ETF_Options_Exhibits'!P30:P34)),AVERAGE('20250815_ETF_Options_Exhibits'!P30:P34),"")</f>
        <v/>
      </c>
      <c r="Q34" s="3">
        <f>IF(ISNUMBER(AVERAGE('20250815_ETF_Options_Exhibits'!Q30:Q34)),AVERAGE('20250815_ETF_Options_Exhibits'!Q30:Q34),"")</f>
        <v/>
      </c>
      <c r="R34" s="3">
        <f>IF(ISNUMBER(AVERAGE('20250815_ETF_Options_Exhibits'!R30:R34)),AVERAGE('20250815_ETF_Options_Exhibits'!R30:R34),"")</f>
        <v/>
      </c>
      <c r="S34" s="3">
        <f>IF(ISNUMBER(AVERAGE('20250815_ETF_Options_Exhibits'!S30:S34)),AVERAGE('20250815_ETF_Options_Exhibits'!S30:S34),"")</f>
        <v/>
      </c>
      <c r="T34" s="3">
        <f>IF(ISNUMBER(AVERAGE('20250815_ETF_Options_Exhibits'!T30:T34)),AVERAGE('20250815_ETF_Options_Exhibits'!T30:T34),"")</f>
        <v/>
      </c>
      <c r="U34" s="3">
        <f>IF(ISNUMBER(AVERAGE('20250815_ETF_Options_Exhibits'!U30:U34)),AVERAGE('20250815_ETF_Options_Exhibits'!U30:U34),"")</f>
        <v/>
      </c>
      <c r="V34" s="3">
        <f>IF(ISNUMBER(AVERAGE('20250815_ETF_Options_Exhibits'!V30:V34)),AVERAGE('20250815_ETF_Options_Exhibits'!V30:V34),"")</f>
        <v/>
      </c>
      <c r="W34" s="3">
        <f>IF(ISNUMBER(AVERAGE('20250815_ETF_Options_Exhibits'!W30:W34)),AVERAGE('20250815_ETF_Options_Exhibits'!W30:W34),"")</f>
        <v/>
      </c>
      <c r="X34" s="3">
        <f>IF(ISNUMBER(AVERAGE('20250815_ETF_Options_Exhibits'!X30:X34)),AVERAGE('20250815_ETF_Options_Exhibits'!X30:X34),"")</f>
        <v/>
      </c>
      <c r="Y34" s="3">
        <f>IF(ISNUMBER(AVERAGE('20250815_ETF_Options_Exhibits'!Y30:Y34)),AVERAGE('20250815_ETF_Options_Exhibits'!Y30:Y34),"")</f>
        <v/>
      </c>
      <c r="Z34" s="3">
        <f>IF(ISNUMBER(AVERAGE('20250815_ETF_Options_Exhibits'!Z30:Z34)),AVERAGE('20250815_ETF_Options_Exhibits'!Z30:Z34),"")</f>
        <v/>
      </c>
      <c r="AA34" s="3">
        <f>IF(ISNUMBER(AVERAGE('20250815_ETF_Options_Exhibits'!AA30:AA34)),AVERAGE('20250815_ETF_Options_Exhibits'!AA30:AA34),"")</f>
        <v/>
      </c>
    </row>
    <row r="35">
      <c r="A35" s="1" t="n">
        <v>42054</v>
      </c>
      <c r="B35" s="3">
        <f>IF(ISNUMBER(AVERAGE('20250815_ETF_Options_Exhibits'!B31:B35)),AVERAGE('20250815_ETF_Options_Exhibits'!B31:B35),"")</f>
        <v/>
      </c>
      <c r="C35" s="3">
        <f>IF(ISNUMBER(AVERAGE('20250815_ETF_Options_Exhibits'!C31:C35)),AVERAGE('20250815_ETF_Options_Exhibits'!C31:C35),"")</f>
        <v/>
      </c>
      <c r="D35" s="3">
        <f>IF(ISNUMBER(AVERAGE('20250815_ETF_Options_Exhibits'!D31:D35)),AVERAGE('20250815_ETF_Options_Exhibits'!D31:D35),"")</f>
        <v/>
      </c>
      <c r="E35" s="3">
        <f>IF(ISNUMBER(AVERAGE('20250815_ETF_Options_Exhibits'!E31:E35)),AVERAGE('20250815_ETF_Options_Exhibits'!E31:E35),"")</f>
        <v/>
      </c>
      <c r="F35" s="3">
        <f>IF(ISNUMBER(AVERAGE('20250815_ETF_Options_Exhibits'!F31:F35)),AVERAGE('20250815_ETF_Options_Exhibits'!F31:F35),"")</f>
        <v/>
      </c>
      <c r="G35" s="3">
        <f>IF(ISNUMBER(AVERAGE('20250815_ETF_Options_Exhibits'!G31:G35)),AVERAGE('20250815_ETF_Options_Exhibits'!G31:G35),"")</f>
        <v/>
      </c>
      <c r="H35" s="3">
        <f>IF(ISNUMBER(AVERAGE('20250815_ETF_Options_Exhibits'!H31:H35)),AVERAGE('20250815_ETF_Options_Exhibits'!H31:H35),"")</f>
        <v/>
      </c>
      <c r="I35" s="3">
        <f>IF(ISNUMBER(AVERAGE('20250815_ETF_Options_Exhibits'!I31:I35)),AVERAGE('20250815_ETF_Options_Exhibits'!I31:I35),"")</f>
        <v/>
      </c>
      <c r="J35" s="3">
        <f>IF(ISNUMBER(AVERAGE('20250815_ETF_Options_Exhibits'!J31:J35)),AVERAGE('20250815_ETF_Options_Exhibits'!J31:J35),"")</f>
        <v/>
      </c>
      <c r="K35" s="3">
        <f>IF(ISNUMBER(AVERAGE('20250815_ETF_Options_Exhibits'!K31:K35)),AVERAGE('20250815_ETF_Options_Exhibits'!K31:K35),"")</f>
        <v/>
      </c>
      <c r="L35" s="3">
        <f>IF(ISNUMBER(AVERAGE('20250815_ETF_Options_Exhibits'!L31:L35)),AVERAGE('20250815_ETF_Options_Exhibits'!L31:L35),"")</f>
        <v/>
      </c>
      <c r="M35" s="3">
        <f>IF(ISNUMBER(AVERAGE('20250815_ETF_Options_Exhibits'!M31:M35)),AVERAGE('20250815_ETF_Options_Exhibits'!M31:M35),"")</f>
        <v/>
      </c>
      <c r="N35" s="3">
        <f>IF(ISNUMBER(AVERAGE('20250815_ETF_Options_Exhibits'!N31:N35)),AVERAGE('20250815_ETF_Options_Exhibits'!N31:N35),"")</f>
        <v/>
      </c>
      <c r="O35" s="3">
        <f>IF(ISNUMBER(AVERAGE('20250815_ETF_Options_Exhibits'!O31:O35)),AVERAGE('20250815_ETF_Options_Exhibits'!O31:O35),"")</f>
        <v/>
      </c>
      <c r="P35" s="3">
        <f>IF(ISNUMBER(AVERAGE('20250815_ETF_Options_Exhibits'!P31:P35)),AVERAGE('20250815_ETF_Options_Exhibits'!P31:P35),"")</f>
        <v/>
      </c>
      <c r="Q35" s="3">
        <f>IF(ISNUMBER(AVERAGE('20250815_ETF_Options_Exhibits'!Q31:Q35)),AVERAGE('20250815_ETF_Options_Exhibits'!Q31:Q35),"")</f>
        <v/>
      </c>
      <c r="R35" s="3">
        <f>IF(ISNUMBER(AVERAGE('20250815_ETF_Options_Exhibits'!R31:R35)),AVERAGE('20250815_ETF_Options_Exhibits'!R31:R35),"")</f>
        <v/>
      </c>
      <c r="S35" s="3">
        <f>IF(ISNUMBER(AVERAGE('20250815_ETF_Options_Exhibits'!S31:S35)),AVERAGE('20250815_ETF_Options_Exhibits'!S31:S35),"")</f>
        <v/>
      </c>
      <c r="T35" s="3">
        <f>IF(ISNUMBER(AVERAGE('20250815_ETF_Options_Exhibits'!T31:T35)),AVERAGE('20250815_ETF_Options_Exhibits'!T31:T35),"")</f>
        <v/>
      </c>
      <c r="U35" s="3">
        <f>IF(ISNUMBER(AVERAGE('20250815_ETF_Options_Exhibits'!U31:U35)),AVERAGE('20250815_ETF_Options_Exhibits'!U31:U35),"")</f>
        <v/>
      </c>
      <c r="V35" s="3">
        <f>IF(ISNUMBER(AVERAGE('20250815_ETF_Options_Exhibits'!V31:V35)),AVERAGE('20250815_ETF_Options_Exhibits'!V31:V35),"")</f>
        <v/>
      </c>
      <c r="W35" s="3">
        <f>IF(ISNUMBER(AVERAGE('20250815_ETF_Options_Exhibits'!W31:W35)),AVERAGE('20250815_ETF_Options_Exhibits'!W31:W35),"")</f>
        <v/>
      </c>
      <c r="X35" s="3">
        <f>IF(ISNUMBER(AVERAGE('20250815_ETF_Options_Exhibits'!X31:X35)),AVERAGE('20250815_ETF_Options_Exhibits'!X31:X35),"")</f>
        <v/>
      </c>
      <c r="Y35" s="3">
        <f>IF(ISNUMBER(AVERAGE('20250815_ETF_Options_Exhibits'!Y31:Y35)),AVERAGE('20250815_ETF_Options_Exhibits'!Y31:Y35),"")</f>
        <v/>
      </c>
      <c r="Z35" s="3">
        <f>IF(ISNUMBER(AVERAGE('20250815_ETF_Options_Exhibits'!Z31:Z35)),AVERAGE('20250815_ETF_Options_Exhibits'!Z31:Z35),"")</f>
        <v/>
      </c>
      <c r="AA35" s="3">
        <f>IF(ISNUMBER(AVERAGE('20250815_ETF_Options_Exhibits'!AA31:AA35)),AVERAGE('20250815_ETF_Options_Exhibits'!AA31:AA35),"")</f>
        <v/>
      </c>
    </row>
    <row r="36">
      <c r="A36" s="1" t="n">
        <v>42055</v>
      </c>
      <c r="B36" s="3">
        <f>IF(ISNUMBER(AVERAGE('20250815_ETF_Options_Exhibits'!B32:B36)),AVERAGE('20250815_ETF_Options_Exhibits'!B32:B36),"")</f>
        <v/>
      </c>
      <c r="C36" s="3">
        <f>IF(ISNUMBER(AVERAGE('20250815_ETF_Options_Exhibits'!C32:C36)),AVERAGE('20250815_ETF_Options_Exhibits'!C32:C36),"")</f>
        <v/>
      </c>
      <c r="D36" s="3">
        <f>IF(ISNUMBER(AVERAGE('20250815_ETF_Options_Exhibits'!D32:D36)),AVERAGE('20250815_ETF_Options_Exhibits'!D32:D36),"")</f>
        <v/>
      </c>
      <c r="E36" s="3">
        <f>IF(ISNUMBER(AVERAGE('20250815_ETF_Options_Exhibits'!E32:E36)),AVERAGE('20250815_ETF_Options_Exhibits'!E32:E36),"")</f>
        <v/>
      </c>
      <c r="F36" s="3">
        <f>IF(ISNUMBER(AVERAGE('20250815_ETF_Options_Exhibits'!F32:F36)),AVERAGE('20250815_ETF_Options_Exhibits'!F32:F36),"")</f>
        <v/>
      </c>
      <c r="G36" s="3">
        <f>IF(ISNUMBER(AVERAGE('20250815_ETF_Options_Exhibits'!G32:G36)),AVERAGE('20250815_ETF_Options_Exhibits'!G32:G36),"")</f>
        <v/>
      </c>
      <c r="H36" s="3">
        <f>IF(ISNUMBER(AVERAGE('20250815_ETF_Options_Exhibits'!H32:H36)),AVERAGE('20250815_ETF_Options_Exhibits'!H32:H36),"")</f>
        <v/>
      </c>
      <c r="I36" s="3">
        <f>IF(ISNUMBER(AVERAGE('20250815_ETF_Options_Exhibits'!I32:I36)),AVERAGE('20250815_ETF_Options_Exhibits'!I32:I36),"")</f>
        <v/>
      </c>
      <c r="J36" s="3">
        <f>IF(ISNUMBER(AVERAGE('20250815_ETF_Options_Exhibits'!J32:J36)),AVERAGE('20250815_ETF_Options_Exhibits'!J32:J36),"")</f>
        <v/>
      </c>
      <c r="K36" s="3">
        <f>IF(ISNUMBER(AVERAGE('20250815_ETF_Options_Exhibits'!K32:K36)),AVERAGE('20250815_ETF_Options_Exhibits'!K32:K36),"")</f>
        <v/>
      </c>
      <c r="L36" s="3">
        <f>IF(ISNUMBER(AVERAGE('20250815_ETF_Options_Exhibits'!L32:L36)),AVERAGE('20250815_ETF_Options_Exhibits'!L32:L36),"")</f>
        <v/>
      </c>
      <c r="M36" s="3">
        <f>IF(ISNUMBER(AVERAGE('20250815_ETF_Options_Exhibits'!M32:M36)),AVERAGE('20250815_ETF_Options_Exhibits'!M32:M36),"")</f>
        <v/>
      </c>
      <c r="N36" s="3">
        <f>IF(ISNUMBER(AVERAGE('20250815_ETF_Options_Exhibits'!N32:N36)),AVERAGE('20250815_ETF_Options_Exhibits'!N32:N36),"")</f>
        <v/>
      </c>
      <c r="O36" s="3">
        <f>IF(ISNUMBER(AVERAGE('20250815_ETF_Options_Exhibits'!O32:O36)),AVERAGE('20250815_ETF_Options_Exhibits'!O32:O36),"")</f>
        <v/>
      </c>
      <c r="P36" s="3">
        <f>IF(ISNUMBER(AVERAGE('20250815_ETF_Options_Exhibits'!P32:P36)),AVERAGE('20250815_ETF_Options_Exhibits'!P32:P36),"")</f>
        <v/>
      </c>
      <c r="Q36" s="3">
        <f>IF(ISNUMBER(AVERAGE('20250815_ETF_Options_Exhibits'!Q32:Q36)),AVERAGE('20250815_ETF_Options_Exhibits'!Q32:Q36),"")</f>
        <v/>
      </c>
      <c r="R36" s="3">
        <f>IF(ISNUMBER(AVERAGE('20250815_ETF_Options_Exhibits'!R32:R36)),AVERAGE('20250815_ETF_Options_Exhibits'!R32:R36),"")</f>
        <v/>
      </c>
      <c r="S36" s="3">
        <f>IF(ISNUMBER(AVERAGE('20250815_ETF_Options_Exhibits'!S32:S36)),AVERAGE('20250815_ETF_Options_Exhibits'!S32:S36),"")</f>
        <v/>
      </c>
      <c r="T36" s="3">
        <f>IF(ISNUMBER(AVERAGE('20250815_ETF_Options_Exhibits'!T32:T36)),AVERAGE('20250815_ETF_Options_Exhibits'!T32:T36),"")</f>
        <v/>
      </c>
      <c r="U36" s="3">
        <f>IF(ISNUMBER(AVERAGE('20250815_ETF_Options_Exhibits'!U32:U36)),AVERAGE('20250815_ETF_Options_Exhibits'!U32:U36),"")</f>
        <v/>
      </c>
      <c r="V36" s="3">
        <f>IF(ISNUMBER(AVERAGE('20250815_ETF_Options_Exhibits'!V32:V36)),AVERAGE('20250815_ETF_Options_Exhibits'!V32:V36),"")</f>
        <v/>
      </c>
      <c r="W36" s="3">
        <f>IF(ISNUMBER(AVERAGE('20250815_ETF_Options_Exhibits'!W32:W36)),AVERAGE('20250815_ETF_Options_Exhibits'!W32:W36),"")</f>
        <v/>
      </c>
      <c r="X36" s="3">
        <f>IF(ISNUMBER(AVERAGE('20250815_ETF_Options_Exhibits'!X32:X36)),AVERAGE('20250815_ETF_Options_Exhibits'!X32:X36),"")</f>
        <v/>
      </c>
      <c r="Y36" s="3">
        <f>IF(ISNUMBER(AVERAGE('20250815_ETF_Options_Exhibits'!Y32:Y36)),AVERAGE('20250815_ETF_Options_Exhibits'!Y32:Y36),"")</f>
        <v/>
      </c>
      <c r="Z36" s="3">
        <f>IF(ISNUMBER(AVERAGE('20250815_ETF_Options_Exhibits'!Z32:Z36)),AVERAGE('20250815_ETF_Options_Exhibits'!Z32:Z36),"")</f>
        <v/>
      </c>
      <c r="AA36" s="3">
        <f>IF(ISNUMBER(AVERAGE('20250815_ETF_Options_Exhibits'!AA32:AA36)),AVERAGE('20250815_ETF_Options_Exhibits'!AA32:AA36),"")</f>
        <v/>
      </c>
    </row>
    <row r="37">
      <c r="A37" s="1" t="n">
        <v>42058</v>
      </c>
      <c r="B37" s="3">
        <f>IF(ISNUMBER(AVERAGE('20250815_ETF_Options_Exhibits'!B33:B37)),AVERAGE('20250815_ETF_Options_Exhibits'!B33:B37),"")</f>
        <v/>
      </c>
      <c r="C37" s="3">
        <f>IF(ISNUMBER(AVERAGE('20250815_ETF_Options_Exhibits'!C33:C37)),AVERAGE('20250815_ETF_Options_Exhibits'!C33:C37),"")</f>
        <v/>
      </c>
      <c r="D37" s="3">
        <f>IF(ISNUMBER(AVERAGE('20250815_ETF_Options_Exhibits'!D33:D37)),AVERAGE('20250815_ETF_Options_Exhibits'!D33:D37),"")</f>
        <v/>
      </c>
      <c r="E37" s="3">
        <f>IF(ISNUMBER(AVERAGE('20250815_ETF_Options_Exhibits'!E33:E37)),AVERAGE('20250815_ETF_Options_Exhibits'!E33:E37),"")</f>
        <v/>
      </c>
      <c r="F37" s="3">
        <f>IF(ISNUMBER(AVERAGE('20250815_ETF_Options_Exhibits'!F33:F37)),AVERAGE('20250815_ETF_Options_Exhibits'!F33:F37),"")</f>
        <v/>
      </c>
      <c r="G37" s="3">
        <f>IF(ISNUMBER(AVERAGE('20250815_ETF_Options_Exhibits'!G33:G37)),AVERAGE('20250815_ETF_Options_Exhibits'!G33:G37),"")</f>
        <v/>
      </c>
      <c r="H37" s="3">
        <f>IF(ISNUMBER(AVERAGE('20250815_ETF_Options_Exhibits'!H33:H37)),AVERAGE('20250815_ETF_Options_Exhibits'!H33:H37),"")</f>
        <v/>
      </c>
      <c r="I37" s="3">
        <f>IF(ISNUMBER(AVERAGE('20250815_ETF_Options_Exhibits'!I33:I37)),AVERAGE('20250815_ETF_Options_Exhibits'!I33:I37),"")</f>
        <v/>
      </c>
      <c r="J37" s="3">
        <f>IF(ISNUMBER(AVERAGE('20250815_ETF_Options_Exhibits'!J33:J37)),AVERAGE('20250815_ETF_Options_Exhibits'!J33:J37),"")</f>
        <v/>
      </c>
      <c r="K37" s="3">
        <f>IF(ISNUMBER(AVERAGE('20250815_ETF_Options_Exhibits'!K33:K37)),AVERAGE('20250815_ETF_Options_Exhibits'!K33:K37),"")</f>
        <v/>
      </c>
      <c r="L37" s="3">
        <f>IF(ISNUMBER(AVERAGE('20250815_ETF_Options_Exhibits'!L33:L37)),AVERAGE('20250815_ETF_Options_Exhibits'!L33:L37),"")</f>
        <v/>
      </c>
      <c r="M37" s="3">
        <f>IF(ISNUMBER(AVERAGE('20250815_ETF_Options_Exhibits'!M33:M37)),AVERAGE('20250815_ETF_Options_Exhibits'!M33:M37),"")</f>
        <v/>
      </c>
      <c r="N37" s="3">
        <f>IF(ISNUMBER(AVERAGE('20250815_ETF_Options_Exhibits'!N33:N37)),AVERAGE('20250815_ETF_Options_Exhibits'!N33:N37),"")</f>
        <v/>
      </c>
      <c r="O37" s="3">
        <f>IF(ISNUMBER(AVERAGE('20250815_ETF_Options_Exhibits'!O33:O37)),AVERAGE('20250815_ETF_Options_Exhibits'!O33:O37),"")</f>
        <v/>
      </c>
      <c r="P37" s="3">
        <f>IF(ISNUMBER(AVERAGE('20250815_ETF_Options_Exhibits'!P33:P37)),AVERAGE('20250815_ETF_Options_Exhibits'!P33:P37),"")</f>
        <v/>
      </c>
      <c r="Q37" s="3">
        <f>IF(ISNUMBER(AVERAGE('20250815_ETF_Options_Exhibits'!Q33:Q37)),AVERAGE('20250815_ETF_Options_Exhibits'!Q33:Q37),"")</f>
        <v/>
      </c>
      <c r="R37" s="3">
        <f>IF(ISNUMBER(AVERAGE('20250815_ETF_Options_Exhibits'!R33:R37)),AVERAGE('20250815_ETF_Options_Exhibits'!R33:R37),"")</f>
        <v/>
      </c>
      <c r="S37" s="3">
        <f>IF(ISNUMBER(AVERAGE('20250815_ETF_Options_Exhibits'!S33:S37)),AVERAGE('20250815_ETF_Options_Exhibits'!S33:S37),"")</f>
        <v/>
      </c>
      <c r="T37" s="3">
        <f>IF(ISNUMBER(AVERAGE('20250815_ETF_Options_Exhibits'!T33:T37)),AVERAGE('20250815_ETF_Options_Exhibits'!T33:T37),"")</f>
        <v/>
      </c>
      <c r="U37" s="3">
        <f>IF(ISNUMBER(AVERAGE('20250815_ETF_Options_Exhibits'!U33:U37)),AVERAGE('20250815_ETF_Options_Exhibits'!U33:U37),"")</f>
        <v/>
      </c>
      <c r="V37" s="3">
        <f>IF(ISNUMBER(AVERAGE('20250815_ETF_Options_Exhibits'!V33:V37)),AVERAGE('20250815_ETF_Options_Exhibits'!V33:V37),"")</f>
        <v/>
      </c>
      <c r="W37" s="3">
        <f>IF(ISNUMBER(AVERAGE('20250815_ETF_Options_Exhibits'!W33:W37)),AVERAGE('20250815_ETF_Options_Exhibits'!W33:W37),"")</f>
        <v/>
      </c>
      <c r="X37" s="3">
        <f>IF(ISNUMBER(AVERAGE('20250815_ETF_Options_Exhibits'!X33:X37)),AVERAGE('20250815_ETF_Options_Exhibits'!X33:X37),"")</f>
        <v/>
      </c>
      <c r="Y37" s="3">
        <f>IF(ISNUMBER(AVERAGE('20250815_ETF_Options_Exhibits'!Y33:Y37)),AVERAGE('20250815_ETF_Options_Exhibits'!Y33:Y37),"")</f>
        <v/>
      </c>
      <c r="Z37" s="3">
        <f>IF(ISNUMBER(AVERAGE('20250815_ETF_Options_Exhibits'!Z33:Z37)),AVERAGE('20250815_ETF_Options_Exhibits'!Z33:Z37),"")</f>
        <v/>
      </c>
      <c r="AA37" s="3">
        <f>IF(ISNUMBER(AVERAGE('20250815_ETF_Options_Exhibits'!AA33:AA37)),AVERAGE('20250815_ETF_Options_Exhibits'!AA33:AA37),"")</f>
        <v/>
      </c>
    </row>
    <row r="38">
      <c r="A38" s="1" t="n">
        <v>42059</v>
      </c>
      <c r="B38" s="3">
        <f>IF(ISNUMBER(AVERAGE('20250815_ETF_Options_Exhibits'!B34:B38)),AVERAGE('20250815_ETF_Options_Exhibits'!B34:B38),"")</f>
        <v/>
      </c>
      <c r="C38" s="3">
        <f>IF(ISNUMBER(AVERAGE('20250815_ETF_Options_Exhibits'!C34:C38)),AVERAGE('20250815_ETF_Options_Exhibits'!C34:C38),"")</f>
        <v/>
      </c>
      <c r="D38" s="3">
        <f>IF(ISNUMBER(AVERAGE('20250815_ETF_Options_Exhibits'!D34:D38)),AVERAGE('20250815_ETF_Options_Exhibits'!D34:D38),"")</f>
        <v/>
      </c>
      <c r="E38" s="3">
        <f>IF(ISNUMBER(AVERAGE('20250815_ETF_Options_Exhibits'!E34:E38)),AVERAGE('20250815_ETF_Options_Exhibits'!E34:E38),"")</f>
        <v/>
      </c>
      <c r="F38" s="3">
        <f>IF(ISNUMBER(AVERAGE('20250815_ETF_Options_Exhibits'!F34:F38)),AVERAGE('20250815_ETF_Options_Exhibits'!F34:F38),"")</f>
        <v/>
      </c>
      <c r="G38" s="3">
        <f>IF(ISNUMBER(AVERAGE('20250815_ETF_Options_Exhibits'!G34:G38)),AVERAGE('20250815_ETF_Options_Exhibits'!G34:G38),"")</f>
        <v/>
      </c>
      <c r="H38" s="3">
        <f>IF(ISNUMBER(AVERAGE('20250815_ETF_Options_Exhibits'!H34:H38)),AVERAGE('20250815_ETF_Options_Exhibits'!H34:H38),"")</f>
        <v/>
      </c>
      <c r="I38" s="3">
        <f>IF(ISNUMBER(AVERAGE('20250815_ETF_Options_Exhibits'!I34:I38)),AVERAGE('20250815_ETF_Options_Exhibits'!I34:I38),"")</f>
        <v/>
      </c>
      <c r="J38" s="3">
        <f>IF(ISNUMBER(AVERAGE('20250815_ETF_Options_Exhibits'!J34:J38)),AVERAGE('20250815_ETF_Options_Exhibits'!J34:J38),"")</f>
        <v/>
      </c>
      <c r="K38" s="3">
        <f>IF(ISNUMBER(AVERAGE('20250815_ETF_Options_Exhibits'!K34:K38)),AVERAGE('20250815_ETF_Options_Exhibits'!K34:K38),"")</f>
        <v/>
      </c>
      <c r="L38" s="3">
        <f>IF(ISNUMBER(AVERAGE('20250815_ETF_Options_Exhibits'!L34:L38)),AVERAGE('20250815_ETF_Options_Exhibits'!L34:L38),"")</f>
        <v/>
      </c>
      <c r="M38" s="3">
        <f>IF(ISNUMBER(AVERAGE('20250815_ETF_Options_Exhibits'!M34:M38)),AVERAGE('20250815_ETF_Options_Exhibits'!M34:M38),"")</f>
        <v/>
      </c>
      <c r="N38" s="3">
        <f>IF(ISNUMBER(AVERAGE('20250815_ETF_Options_Exhibits'!N34:N38)),AVERAGE('20250815_ETF_Options_Exhibits'!N34:N38),"")</f>
        <v/>
      </c>
      <c r="O38" s="3">
        <f>IF(ISNUMBER(AVERAGE('20250815_ETF_Options_Exhibits'!O34:O38)),AVERAGE('20250815_ETF_Options_Exhibits'!O34:O38),"")</f>
        <v/>
      </c>
      <c r="P38" s="3">
        <f>IF(ISNUMBER(AVERAGE('20250815_ETF_Options_Exhibits'!P34:P38)),AVERAGE('20250815_ETF_Options_Exhibits'!P34:P38),"")</f>
        <v/>
      </c>
      <c r="Q38" s="3">
        <f>IF(ISNUMBER(AVERAGE('20250815_ETF_Options_Exhibits'!Q34:Q38)),AVERAGE('20250815_ETF_Options_Exhibits'!Q34:Q38),"")</f>
        <v/>
      </c>
      <c r="R38" s="3">
        <f>IF(ISNUMBER(AVERAGE('20250815_ETF_Options_Exhibits'!R34:R38)),AVERAGE('20250815_ETF_Options_Exhibits'!R34:R38),"")</f>
        <v/>
      </c>
      <c r="S38" s="3">
        <f>IF(ISNUMBER(AVERAGE('20250815_ETF_Options_Exhibits'!S34:S38)),AVERAGE('20250815_ETF_Options_Exhibits'!S34:S38),"")</f>
        <v/>
      </c>
      <c r="T38" s="3">
        <f>IF(ISNUMBER(AVERAGE('20250815_ETF_Options_Exhibits'!T34:T38)),AVERAGE('20250815_ETF_Options_Exhibits'!T34:T38),"")</f>
        <v/>
      </c>
      <c r="U38" s="3">
        <f>IF(ISNUMBER(AVERAGE('20250815_ETF_Options_Exhibits'!U34:U38)),AVERAGE('20250815_ETF_Options_Exhibits'!U34:U38),"")</f>
        <v/>
      </c>
      <c r="V38" s="3">
        <f>IF(ISNUMBER(AVERAGE('20250815_ETF_Options_Exhibits'!V34:V38)),AVERAGE('20250815_ETF_Options_Exhibits'!V34:V38),"")</f>
        <v/>
      </c>
      <c r="W38" s="3">
        <f>IF(ISNUMBER(AVERAGE('20250815_ETF_Options_Exhibits'!W34:W38)),AVERAGE('20250815_ETF_Options_Exhibits'!W34:W38),"")</f>
        <v/>
      </c>
      <c r="X38" s="3">
        <f>IF(ISNUMBER(AVERAGE('20250815_ETF_Options_Exhibits'!X34:X38)),AVERAGE('20250815_ETF_Options_Exhibits'!X34:X38),"")</f>
        <v/>
      </c>
      <c r="Y38" s="3">
        <f>IF(ISNUMBER(AVERAGE('20250815_ETF_Options_Exhibits'!Y34:Y38)),AVERAGE('20250815_ETF_Options_Exhibits'!Y34:Y38),"")</f>
        <v/>
      </c>
      <c r="Z38" s="3">
        <f>IF(ISNUMBER(AVERAGE('20250815_ETF_Options_Exhibits'!Z34:Z38)),AVERAGE('20250815_ETF_Options_Exhibits'!Z34:Z38),"")</f>
        <v/>
      </c>
      <c r="AA38" s="3">
        <f>IF(ISNUMBER(AVERAGE('20250815_ETF_Options_Exhibits'!AA34:AA38)),AVERAGE('20250815_ETF_Options_Exhibits'!AA34:AA38),"")</f>
        <v/>
      </c>
    </row>
    <row r="39">
      <c r="A39" s="1" t="n">
        <v>42060</v>
      </c>
      <c r="B39" s="3">
        <f>IF(ISNUMBER(AVERAGE('20250815_ETF_Options_Exhibits'!B35:B39)),AVERAGE('20250815_ETF_Options_Exhibits'!B35:B39),"")</f>
        <v/>
      </c>
      <c r="C39" s="3">
        <f>IF(ISNUMBER(AVERAGE('20250815_ETF_Options_Exhibits'!C35:C39)),AVERAGE('20250815_ETF_Options_Exhibits'!C35:C39),"")</f>
        <v/>
      </c>
      <c r="D39" s="3">
        <f>IF(ISNUMBER(AVERAGE('20250815_ETF_Options_Exhibits'!D35:D39)),AVERAGE('20250815_ETF_Options_Exhibits'!D35:D39),"")</f>
        <v/>
      </c>
      <c r="E39" s="3">
        <f>IF(ISNUMBER(AVERAGE('20250815_ETF_Options_Exhibits'!E35:E39)),AVERAGE('20250815_ETF_Options_Exhibits'!E35:E39),"")</f>
        <v/>
      </c>
      <c r="F39" s="3">
        <f>IF(ISNUMBER(AVERAGE('20250815_ETF_Options_Exhibits'!F35:F39)),AVERAGE('20250815_ETF_Options_Exhibits'!F35:F39),"")</f>
        <v/>
      </c>
      <c r="G39" s="3">
        <f>IF(ISNUMBER(AVERAGE('20250815_ETF_Options_Exhibits'!G35:G39)),AVERAGE('20250815_ETF_Options_Exhibits'!G35:G39),"")</f>
        <v/>
      </c>
      <c r="H39" s="3">
        <f>IF(ISNUMBER(AVERAGE('20250815_ETF_Options_Exhibits'!H35:H39)),AVERAGE('20250815_ETF_Options_Exhibits'!H35:H39),"")</f>
        <v/>
      </c>
      <c r="I39" s="3">
        <f>IF(ISNUMBER(AVERAGE('20250815_ETF_Options_Exhibits'!I35:I39)),AVERAGE('20250815_ETF_Options_Exhibits'!I35:I39),"")</f>
        <v/>
      </c>
      <c r="J39" s="3">
        <f>IF(ISNUMBER(AVERAGE('20250815_ETF_Options_Exhibits'!J35:J39)),AVERAGE('20250815_ETF_Options_Exhibits'!J35:J39),"")</f>
        <v/>
      </c>
      <c r="K39" s="3">
        <f>IF(ISNUMBER(AVERAGE('20250815_ETF_Options_Exhibits'!K35:K39)),AVERAGE('20250815_ETF_Options_Exhibits'!K35:K39),"")</f>
        <v/>
      </c>
      <c r="L39" s="3">
        <f>IF(ISNUMBER(AVERAGE('20250815_ETF_Options_Exhibits'!L35:L39)),AVERAGE('20250815_ETF_Options_Exhibits'!L35:L39),"")</f>
        <v/>
      </c>
      <c r="M39" s="3">
        <f>IF(ISNUMBER(AVERAGE('20250815_ETF_Options_Exhibits'!M35:M39)),AVERAGE('20250815_ETF_Options_Exhibits'!M35:M39),"")</f>
        <v/>
      </c>
      <c r="N39" s="3">
        <f>IF(ISNUMBER(AVERAGE('20250815_ETF_Options_Exhibits'!N35:N39)),AVERAGE('20250815_ETF_Options_Exhibits'!N35:N39),"")</f>
        <v/>
      </c>
      <c r="O39" s="3">
        <f>IF(ISNUMBER(AVERAGE('20250815_ETF_Options_Exhibits'!O35:O39)),AVERAGE('20250815_ETF_Options_Exhibits'!O35:O39),"")</f>
        <v/>
      </c>
      <c r="P39" s="3">
        <f>IF(ISNUMBER(AVERAGE('20250815_ETF_Options_Exhibits'!P35:P39)),AVERAGE('20250815_ETF_Options_Exhibits'!P35:P39),"")</f>
        <v/>
      </c>
      <c r="Q39" s="3">
        <f>IF(ISNUMBER(AVERAGE('20250815_ETF_Options_Exhibits'!Q35:Q39)),AVERAGE('20250815_ETF_Options_Exhibits'!Q35:Q39),"")</f>
        <v/>
      </c>
      <c r="R39" s="3">
        <f>IF(ISNUMBER(AVERAGE('20250815_ETF_Options_Exhibits'!R35:R39)),AVERAGE('20250815_ETF_Options_Exhibits'!R35:R39),"")</f>
        <v/>
      </c>
      <c r="S39" s="3">
        <f>IF(ISNUMBER(AVERAGE('20250815_ETF_Options_Exhibits'!S35:S39)),AVERAGE('20250815_ETF_Options_Exhibits'!S35:S39),"")</f>
        <v/>
      </c>
      <c r="T39" s="3">
        <f>IF(ISNUMBER(AVERAGE('20250815_ETF_Options_Exhibits'!T35:T39)),AVERAGE('20250815_ETF_Options_Exhibits'!T35:T39),"")</f>
        <v/>
      </c>
      <c r="U39" s="3">
        <f>IF(ISNUMBER(AVERAGE('20250815_ETF_Options_Exhibits'!U35:U39)),AVERAGE('20250815_ETF_Options_Exhibits'!U35:U39),"")</f>
        <v/>
      </c>
      <c r="V39" s="3">
        <f>IF(ISNUMBER(AVERAGE('20250815_ETF_Options_Exhibits'!V35:V39)),AVERAGE('20250815_ETF_Options_Exhibits'!V35:V39),"")</f>
        <v/>
      </c>
      <c r="W39" s="3">
        <f>IF(ISNUMBER(AVERAGE('20250815_ETF_Options_Exhibits'!W35:W39)),AVERAGE('20250815_ETF_Options_Exhibits'!W35:W39),"")</f>
        <v/>
      </c>
      <c r="X39" s="3">
        <f>IF(ISNUMBER(AVERAGE('20250815_ETF_Options_Exhibits'!X35:X39)),AVERAGE('20250815_ETF_Options_Exhibits'!X35:X39),"")</f>
        <v/>
      </c>
      <c r="Y39" s="3">
        <f>IF(ISNUMBER(AVERAGE('20250815_ETF_Options_Exhibits'!Y35:Y39)),AVERAGE('20250815_ETF_Options_Exhibits'!Y35:Y39),"")</f>
        <v/>
      </c>
      <c r="Z39" s="3">
        <f>IF(ISNUMBER(AVERAGE('20250815_ETF_Options_Exhibits'!Z35:Z39)),AVERAGE('20250815_ETF_Options_Exhibits'!Z35:Z39),"")</f>
        <v/>
      </c>
      <c r="AA39" s="3">
        <f>IF(ISNUMBER(AVERAGE('20250815_ETF_Options_Exhibits'!AA35:AA39)),AVERAGE('20250815_ETF_Options_Exhibits'!AA35:AA39),"")</f>
        <v/>
      </c>
    </row>
    <row r="40">
      <c r="A40" s="1" t="n">
        <v>42061</v>
      </c>
      <c r="B40" s="3">
        <f>IF(ISNUMBER(AVERAGE('20250815_ETF_Options_Exhibits'!B36:B40)),AVERAGE('20250815_ETF_Options_Exhibits'!B36:B40),"")</f>
        <v/>
      </c>
      <c r="C40" s="3">
        <f>IF(ISNUMBER(AVERAGE('20250815_ETF_Options_Exhibits'!C36:C40)),AVERAGE('20250815_ETF_Options_Exhibits'!C36:C40),"")</f>
        <v/>
      </c>
      <c r="D40" s="3">
        <f>IF(ISNUMBER(AVERAGE('20250815_ETF_Options_Exhibits'!D36:D40)),AVERAGE('20250815_ETF_Options_Exhibits'!D36:D40),"")</f>
        <v/>
      </c>
      <c r="E40" s="3">
        <f>IF(ISNUMBER(AVERAGE('20250815_ETF_Options_Exhibits'!E36:E40)),AVERAGE('20250815_ETF_Options_Exhibits'!E36:E40),"")</f>
        <v/>
      </c>
      <c r="F40" s="3">
        <f>IF(ISNUMBER(AVERAGE('20250815_ETF_Options_Exhibits'!F36:F40)),AVERAGE('20250815_ETF_Options_Exhibits'!F36:F40),"")</f>
        <v/>
      </c>
      <c r="G40" s="3">
        <f>IF(ISNUMBER(AVERAGE('20250815_ETF_Options_Exhibits'!G36:G40)),AVERAGE('20250815_ETF_Options_Exhibits'!G36:G40),"")</f>
        <v/>
      </c>
      <c r="H40" s="3">
        <f>IF(ISNUMBER(AVERAGE('20250815_ETF_Options_Exhibits'!H36:H40)),AVERAGE('20250815_ETF_Options_Exhibits'!H36:H40),"")</f>
        <v/>
      </c>
      <c r="I40" s="3">
        <f>IF(ISNUMBER(AVERAGE('20250815_ETF_Options_Exhibits'!I36:I40)),AVERAGE('20250815_ETF_Options_Exhibits'!I36:I40),"")</f>
        <v/>
      </c>
      <c r="J40" s="3">
        <f>IF(ISNUMBER(AVERAGE('20250815_ETF_Options_Exhibits'!J36:J40)),AVERAGE('20250815_ETF_Options_Exhibits'!J36:J40),"")</f>
        <v/>
      </c>
      <c r="K40" s="3">
        <f>IF(ISNUMBER(AVERAGE('20250815_ETF_Options_Exhibits'!K36:K40)),AVERAGE('20250815_ETF_Options_Exhibits'!K36:K40),"")</f>
        <v/>
      </c>
      <c r="L40" s="3">
        <f>IF(ISNUMBER(AVERAGE('20250815_ETF_Options_Exhibits'!L36:L40)),AVERAGE('20250815_ETF_Options_Exhibits'!L36:L40),"")</f>
        <v/>
      </c>
      <c r="M40" s="3">
        <f>IF(ISNUMBER(AVERAGE('20250815_ETF_Options_Exhibits'!M36:M40)),AVERAGE('20250815_ETF_Options_Exhibits'!M36:M40),"")</f>
        <v/>
      </c>
      <c r="N40" s="3">
        <f>IF(ISNUMBER(AVERAGE('20250815_ETF_Options_Exhibits'!N36:N40)),AVERAGE('20250815_ETF_Options_Exhibits'!N36:N40),"")</f>
        <v/>
      </c>
      <c r="O40" s="3">
        <f>IF(ISNUMBER(AVERAGE('20250815_ETF_Options_Exhibits'!O36:O40)),AVERAGE('20250815_ETF_Options_Exhibits'!O36:O40),"")</f>
        <v/>
      </c>
      <c r="P40" s="3">
        <f>IF(ISNUMBER(AVERAGE('20250815_ETF_Options_Exhibits'!P36:P40)),AVERAGE('20250815_ETF_Options_Exhibits'!P36:P40),"")</f>
        <v/>
      </c>
      <c r="Q40" s="3">
        <f>IF(ISNUMBER(AVERAGE('20250815_ETF_Options_Exhibits'!Q36:Q40)),AVERAGE('20250815_ETF_Options_Exhibits'!Q36:Q40),"")</f>
        <v/>
      </c>
      <c r="R40" s="3">
        <f>IF(ISNUMBER(AVERAGE('20250815_ETF_Options_Exhibits'!R36:R40)),AVERAGE('20250815_ETF_Options_Exhibits'!R36:R40),"")</f>
        <v/>
      </c>
      <c r="S40" s="3">
        <f>IF(ISNUMBER(AVERAGE('20250815_ETF_Options_Exhibits'!S36:S40)),AVERAGE('20250815_ETF_Options_Exhibits'!S36:S40),"")</f>
        <v/>
      </c>
      <c r="T40" s="3">
        <f>IF(ISNUMBER(AVERAGE('20250815_ETF_Options_Exhibits'!T36:T40)),AVERAGE('20250815_ETF_Options_Exhibits'!T36:T40),"")</f>
        <v/>
      </c>
      <c r="U40" s="3">
        <f>IF(ISNUMBER(AVERAGE('20250815_ETF_Options_Exhibits'!U36:U40)),AVERAGE('20250815_ETF_Options_Exhibits'!U36:U40),"")</f>
        <v/>
      </c>
      <c r="V40" s="3">
        <f>IF(ISNUMBER(AVERAGE('20250815_ETF_Options_Exhibits'!V36:V40)),AVERAGE('20250815_ETF_Options_Exhibits'!V36:V40),"")</f>
        <v/>
      </c>
      <c r="W40" s="3">
        <f>IF(ISNUMBER(AVERAGE('20250815_ETF_Options_Exhibits'!W36:W40)),AVERAGE('20250815_ETF_Options_Exhibits'!W36:W40),"")</f>
        <v/>
      </c>
      <c r="X40" s="3">
        <f>IF(ISNUMBER(AVERAGE('20250815_ETF_Options_Exhibits'!X36:X40)),AVERAGE('20250815_ETF_Options_Exhibits'!X36:X40),"")</f>
        <v/>
      </c>
      <c r="Y40" s="3">
        <f>IF(ISNUMBER(AVERAGE('20250815_ETF_Options_Exhibits'!Y36:Y40)),AVERAGE('20250815_ETF_Options_Exhibits'!Y36:Y40),"")</f>
        <v/>
      </c>
      <c r="Z40" s="3">
        <f>IF(ISNUMBER(AVERAGE('20250815_ETF_Options_Exhibits'!Z36:Z40)),AVERAGE('20250815_ETF_Options_Exhibits'!Z36:Z40),"")</f>
        <v/>
      </c>
      <c r="AA40" s="3">
        <f>IF(ISNUMBER(AVERAGE('20250815_ETF_Options_Exhibits'!AA36:AA40)),AVERAGE('20250815_ETF_Options_Exhibits'!AA36:AA40),"")</f>
        <v/>
      </c>
    </row>
    <row r="41">
      <c r="A41" s="1" t="n">
        <v>42062</v>
      </c>
      <c r="B41" s="3">
        <f>IF(ISNUMBER(AVERAGE('20250815_ETF_Options_Exhibits'!B37:B41)),AVERAGE('20250815_ETF_Options_Exhibits'!B37:B41),"")</f>
        <v/>
      </c>
      <c r="C41" s="3">
        <f>IF(ISNUMBER(AVERAGE('20250815_ETF_Options_Exhibits'!C37:C41)),AVERAGE('20250815_ETF_Options_Exhibits'!C37:C41),"")</f>
        <v/>
      </c>
      <c r="D41" s="3">
        <f>IF(ISNUMBER(AVERAGE('20250815_ETF_Options_Exhibits'!D37:D41)),AVERAGE('20250815_ETF_Options_Exhibits'!D37:D41),"")</f>
        <v/>
      </c>
      <c r="E41" s="3">
        <f>IF(ISNUMBER(AVERAGE('20250815_ETF_Options_Exhibits'!E37:E41)),AVERAGE('20250815_ETF_Options_Exhibits'!E37:E41),"")</f>
        <v/>
      </c>
      <c r="F41" s="3">
        <f>IF(ISNUMBER(AVERAGE('20250815_ETF_Options_Exhibits'!F37:F41)),AVERAGE('20250815_ETF_Options_Exhibits'!F37:F41),"")</f>
        <v/>
      </c>
      <c r="G41" s="3">
        <f>IF(ISNUMBER(AVERAGE('20250815_ETF_Options_Exhibits'!G37:G41)),AVERAGE('20250815_ETF_Options_Exhibits'!G37:G41),"")</f>
        <v/>
      </c>
      <c r="H41" s="3">
        <f>IF(ISNUMBER(AVERAGE('20250815_ETF_Options_Exhibits'!H37:H41)),AVERAGE('20250815_ETF_Options_Exhibits'!H37:H41),"")</f>
        <v/>
      </c>
      <c r="I41" s="3">
        <f>IF(ISNUMBER(AVERAGE('20250815_ETF_Options_Exhibits'!I37:I41)),AVERAGE('20250815_ETF_Options_Exhibits'!I37:I41),"")</f>
        <v/>
      </c>
      <c r="J41" s="3">
        <f>IF(ISNUMBER(AVERAGE('20250815_ETF_Options_Exhibits'!J37:J41)),AVERAGE('20250815_ETF_Options_Exhibits'!J37:J41),"")</f>
        <v/>
      </c>
      <c r="K41" s="3">
        <f>IF(ISNUMBER(AVERAGE('20250815_ETF_Options_Exhibits'!K37:K41)),AVERAGE('20250815_ETF_Options_Exhibits'!K37:K41),"")</f>
        <v/>
      </c>
      <c r="L41" s="3">
        <f>IF(ISNUMBER(AVERAGE('20250815_ETF_Options_Exhibits'!L37:L41)),AVERAGE('20250815_ETF_Options_Exhibits'!L37:L41),"")</f>
        <v/>
      </c>
      <c r="M41" s="3">
        <f>IF(ISNUMBER(AVERAGE('20250815_ETF_Options_Exhibits'!M37:M41)),AVERAGE('20250815_ETF_Options_Exhibits'!M37:M41),"")</f>
        <v/>
      </c>
      <c r="N41" s="3">
        <f>IF(ISNUMBER(AVERAGE('20250815_ETF_Options_Exhibits'!N37:N41)),AVERAGE('20250815_ETF_Options_Exhibits'!N37:N41),"")</f>
        <v/>
      </c>
      <c r="O41" s="3">
        <f>IF(ISNUMBER(AVERAGE('20250815_ETF_Options_Exhibits'!O37:O41)),AVERAGE('20250815_ETF_Options_Exhibits'!O37:O41),"")</f>
        <v/>
      </c>
      <c r="P41" s="3">
        <f>IF(ISNUMBER(AVERAGE('20250815_ETF_Options_Exhibits'!P37:P41)),AVERAGE('20250815_ETF_Options_Exhibits'!P37:P41),"")</f>
        <v/>
      </c>
      <c r="Q41" s="3">
        <f>IF(ISNUMBER(AVERAGE('20250815_ETF_Options_Exhibits'!Q37:Q41)),AVERAGE('20250815_ETF_Options_Exhibits'!Q37:Q41),"")</f>
        <v/>
      </c>
      <c r="R41" s="3">
        <f>IF(ISNUMBER(AVERAGE('20250815_ETF_Options_Exhibits'!R37:R41)),AVERAGE('20250815_ETF_Options_Exhibits'!R37:R41),"")</f>
        <v/>
      </c>
      <c r="S41" s="3">
        <f>IF(ISNUMBER(AVERAGE('20250815_ETF_Options_Exhibits'!S37:S41)),AVERAGE('20250815_ETF_Options_Exhibits'!S37:S41),"")</f>
        <v/>
      </c>
      <c r="T41" s="3">
        <f>IF(ISNUMBER(AVERAGE('20250815_ETF_Options_Exhibits'!T37:T41)),AVERAGE('20250815_ETF_Options_Exhibits'!T37:T41),"")</f>
        <v/>
      </c>
      <c r="U41" s="3">
        <f>IF(ISNUMBER(AVERAGE('20250815_ETF_Options_Exhibits'!U37:U41)),AVERAGE('20250815_ETF_Options_Exhibits'!U37:U41),"")</f>
        <v/>
      </c>
      <c r="V41" s="3">
        <f>IF(ISNUMBER(AVERAGE('20250815_ETF_Options_Exhibits'!V37:V41)),AVERAGE('20250815_ETF_Options_Exhibits'!V37:V41),"")</f>
        <v/>
      </c>
      <c r="W41" s="3">
        <f>IF(ISNUMBER(AVERAGE('20250815_ETF_Options_Exhibits'!W37:W41)),AVERAGE('20250815_ETF_Options_Exhibits'!W37:W41),"")</f>
        <v/>
      </c>
      <c r="X41" s="3">
        <f>IF(ISNUMBER(AVERAGE('20250815_ETF_Options_Exhibits'!X37:X41)),AVERAGE('20250815_ETF_Options_Exhibits'!X37:X41),"")</f>
        <v/>
      </c>
      <c r="Y41" s="3">
        <f>IF(ISNUMBER(AVERAGE('20250815_ETF_Options_Exhibits'!Y37:Y41)),AVERAGE('20250815_ETF_Options_Exhibits'!Y37:Y41),"")</f>
        <v/>
      </c>
      <c r="Z41" s="3">
        <f>IF(ISNUMBER(AVERAGE('20250815_ETF_Options_Exhibits'!Z37:Z41)),AVERAGE('20250815_ETF_Options_Exhibits'!Z37:Z41),"")</f>
        <v/>
      </c>
      <c r="AA41" s="3">
        <f>IF(ISNUMBER(AVERAGE('20250815_ETF_Options_Exhibits'!AA37:AA41)),AVERAGE('20250815_ETF_Options_Exhibits'!AA37:AA41),"")</f>
        <v/>
      </c>
    </row>
    <row r="42">
      <c r="A42" s="1" t="n">
        <v>42065</v>
      </c>
      <c r="B42" s="3">
        <f>IF(ISNUMBER(AVERAGE('20250815_ETF_Options_Exhibits'!B38:B42)),AVERAGE('20250815_ETF_Options_Exhibits'!B38:B42),"")</f>
        <v/>
      </c>
      <c r="C42" s="3">
        <f>IF(ISNUMBER(AVERAGE('20250815_ETF_Options_Exhibits'!C38:C42)),AVERAGE('20250815_ETF_Options_Exhibits'!C38:C42),"")</f>
        <v/>
      </c>
      <c r="D42" s="3">
        <f>IF(ISNUMBER(AVERAGE('20250815_ETF_Options_Exhibits'!D38:D42)),AVERAGE('20250815_ETF_Options_Exhibits'!D38:D42),"")</f>
        <v/>
      </c>
      <c r="E42" s="3">
        <f>IF(ISNUMBER(AVERAGE('20250815_ETF_Options_Exhibits'!E38:E42)),AVERAGE('20250815_ETF_Options_Exhibits'!E38:E42),"")</f>
        <v/>
      </c>
      <c r="F42" s="3">
        <f>IF(ISNUMBER(AVERAGE('20250815_ETF_Options_Exhibits'!F38:F42)),AVERAGE('20250815_ETF_Options_Exhibits'!F38:F42),"")</f>
        <v/>
      </c>
      <c r="G42" s="3">
        <f>IF(ISNUMBER(AVERAGE('20250815_ETF_Options_Exhibits'!G38:G42)),AVERAGE('20250815_ETF_Options_Exhibits'!G38:G42),"")</f>
        <v/>
      </c>
      <c r="H42" s="3">
        <f>IF(ISNUMBER(AVERAGE('20250815_ETF_Options_Exhibits'!H38:H42)),AVERAGE('20250815_ETF_Options_Exhibits'!H38:H42),"")</f>
        <v/>
      </c>
      <c r="I42" s="3">
        <f>IF(ISNUMBER(AVERAGE('20250815_ETF_Options_Exhibits'!I38:I42)),AVERAGE('20250815_ETF_Options_Exhibits'!I38:I42),"")</f>
        <v/>
      </c>
      <c r="J42" s="3">
        <f>IF(ISNUMBER(AVERAGE('20250815_ETF_Options_Exhibits'!J38:J42)),AVERAGE('20250815_ETF_Options_Exhibits'!J38:J42),"")</f>
        <v/>
      </c>
      <c r="K42" s="3">
        <f>IF(ISNUMBER(AVERAGE('20250815_ETF_Options_Exhibits'!K38:K42)),AVERAGE('20250815_ETF_Options_Exhibits'!K38:K42),"")</f>
        <v/>
      </c>
      <c r="L42" s="3">
        <f>IF(ISNUMBER(AVERAGE('20250815_ETF_Options_Exhibits'!L38:L42)),AVERAGE('20250815_ETF_Options_Exhibits'!L38:L42),"")</f>
        <v/>
      </c>
      <c r="M42" s="3">
        <f>IF(ISNUMBER(AVERAGE('20250815_ETF_Options_Exhibits'!M38:M42)),AVERAGE('20250815_ETF_Options_Exhibits'!M38:M42),"")</f>
        <v/>
      </c>
      <c r="N42" s="3">
        <f>IF(ISNUMBER(AVERAGE('20250815_ETF_Options_Exhibits'!N38:N42)),AVERAGE('20250815_ETF_Options_Exhibits'!N38:N42),"")</f>
        <v/>
      </c>
      <c r="O42" s="3">
        <f>IF(ISNUMBER(AVERAGE('20250815_ETF_Options_Exhibits'!O38:O42)),AVERAGE('20250815_ETF_Options_Exhibits'!O38:O42),"")</f>
        <v/>
      </c>
      <c r="P42" s="3">
        <f>IF(ISNUMBER(AVERAGE('20250815_ETF_Options_Exhibits'!P38:P42)),AVERAGE('20250815_ETF_Options_Exhibits'!P38:P42),"")</f>
        <v/>
      </c>
      <c r="Q42" s="3">
        <f>IF(ISNUMBER(AVERAGE('20250815_ETF_Options_Exhibits'!Q38:Q42)),AVERAGE('20250815_ETF_Options_Exhibits'!Q38:Q42),"")</f>
        <v/>
      </c>
      <c r="R42" s="3">
        <f>IF(ISNUMBER(AVERAGE('20250815_ETF_Options_Exhibits'!R38:R42)),AVERAGE('20250815_ETF_Options_Exhibits'!R38:R42),"")</f>
        <v/>
      </c>
      <c r="S42" s="3">
        <f>IF(ISNUMBER(AVERAGE('20250815_ETF_Options_Exhibits'!S38:S42)),AVERAGE('20250815_ETF_Options_Exhibits'!S38:S42),"")</f>
        <v/>
      </c>
      <c r="T42" s="3">
        <f>IF(ISNUMBER(AVERAGE('20250815_ETF_Options_Exhibits'!T38:T42)),AVERAGE('20250815_ETF_Options_Exhibits'!T38:T42),"")</f>
        <v/>
      </c>
      <c r="U42" s="3">
        <f>IF(ISNUMBER(AVERAGE('20250815_ETF_Options_Exhibits'!U38:U42)),AVERAGE('20250815_ETF_Options_Exhibits'!U38:U42),"")</f>
        <v/>
      </c>
      <c r="V42" s="3">
        <f>IF(ISNUMBER(AVERAGE('20250815_ETF_Options_Exhibits'!V38:V42)),AVERAGE('20250815_ETF_Options_Exhibits'!V38:V42),"")</f>
        <v/>
      </c>
      <c r="W42" s="3">
        <f>IF(ISNUMBER(AVERAGE('20250815_ETF_Options_Exhibits'!W38:W42)),AVERAGE('20250815_ETF_Options_Exhibits'!W38:W42),"")</f>
        <v/>
      </c>
      <c r="X42" s="3">
        <f>IF(ISNUMBER(AVERAGE('20250815_ETF_Options_Exhibits'!X38:X42)),AVERAGE('20250815_ETF_Options_Exhibits'!X38:X42),"")</f>
        <v/>
      </c>
      <c r="Y42" s="3">
        <f>IF(ISNUMBER(AVERAGE('20250815_ETF_Options_Exhibits'!Y38:Y42)),AVERAGE('20250815_ETF_Options_Exhibits'!Y38:Y42),"")</f>
        <v/>
      </c>
      <c r="Z42" s="3">
        <f>IF(ISNUMBER(AVERAGE('20250815_ETF_Options_Exhibits'!Z38:Z42)),AVERAGE('20250815_ETF_Options_Exhibits'!Z38:Z42),"")</f>
        <v/>
      </c>
      <c r="AA42" s="3">
        <f>IF(ISNUMBER(AVERAGE('20250815_ETF_Options_Exhibits'!AA38:AA42)),AVERAGE('20250815_ETF_Options_Exhibits'!AA38:AA42),"")</f>
        <v/>
      </c>
    </row>
    <row r="43">
      <c r="A43" s="1" t="n">
        <v>42066</v>
      </c>
      <c r="B43" s="3">
        <f>IF(ISNUMBER(AVERAGE('20250815_ETF_Options_Exhibits'!B39:B43)),AVERAGE('20250815_ETF_Options_Exhibits'!B39:B43),"")</f>
        <v/>
      </c>
      <c r="C43" s="3">
        <f>IF(ISNUMBER(AVERAGE('20250815_ETF_Options_Exhibits'!C39:C43)),AVERAGE('20250815_ETF_Options_Exhibits'!C39:C43),"")</f>
        <v/>
      </c>
      <c r="D43" s="3">
        <f>IF(ISNUMBER(AVERAGE('20250815_ETF_Options_Exhibits'!D39:D43)),AVERAGE('20250815_ETF_Options_Exhibits'!D39:D43),"")</f>
        <v/>
      </c>
      <c r="E43" s="3">
        <f>IF(ISNUMBER(AVERAGE('20250815_ETF_Options_Exhibits'!E39:E43)),AVERAGE('20250815_ETF_Options_Exhibits'!E39:E43),"")</f>
        <v/>
      </c>
      <c r="F43" s="3">
        <f>IF(ISNUMBER(AVERAGE('20250815_ETF_Options_Exhibits'!F39:F43)),AVERAGE('20250815_ETF_Options_Exhibits'!F39:F43),"")</f>
        <v/>
      </c>
      <c r="G43" s="3">
        <f>IF(ISNUMBER(AVERAGE('20250815_ETF_Options_Exhibits'!G39:G43)),AVERAGE('20250815_ETF_Options_Exhibits'!G39:G43),"")</f>
        <v/>
      </c>
      <c r="H43" s="3">
        <f>IF(ISNUMBER(AVERAGE('20250815_ETF_Options_Exhibits'!H39:H43)),AVERAGE('20250815_ETF_Options_Exhibits'!H39:H43),"")</f>
        <v/>
      </c>
      <c r="I43" s="3">
        <f>IF(ISNUMBER(AVERAGE('20250815_ETF_Options_Exhibits'!I39:I43)),AVERAGE('20250815_ETF_Options_Exhibits'!I39:I43),"")</f>
        <v/>
      </c>
      <c r="J43" s="3">
        <f>IF(ISNUMBER(AVERAGE('20250815_ETF_Options_Exhibits'!J39:J43)),AVERAGE('20250815_ETF_Options_Exhibits'!J39:J43),"")</f>
        <v/>
      </c>
      <c r="K43" s="3">
        <f>IF(ISNUMBER(AVERAGE('20250815_ETF_Options_Exhibits'!K39:K43)),AVERAGE('20250815_ETF_Options_Exhibits'!K39:K43),"")</f>
        <v/>
      </c>
      <c r="L43" s="3">
        <f>IF(ISNUMBER(AVERAGE('20250815_ETF_Options_Exhibits'!L39:L43)),AVERAGE('20250815_ETF_Options_Exhibits'!L39:L43),"")</f>
        <v/>
      </c>
      <c r="M43" s="3">
        <f>IF(ISNUMBER(AVERAGE('20250815_ETF_Options_Exhibits'!M39:M43)),AVERAGE('20250815_ETF_Options_Exhibits'!M39:M43),"")</f>
        <v/>
      </c>
      <c r="N43" s="3">
        <f>IF(ISNUMBER(AVERAGE('20250815_ETF_Options_Exhibits'!N39:N43)),AVERAGE('20250815_ETF_Options_Exhibits'!N39:N43),"")</f>
        <v/>
      </c>
      <c r="O43" s="3">
        <f>IF(ISNUMBER(AVERAGE('20250815_ETF_Options_Exhibits'!O39:O43)),AVERAGE('20250815_ETF_Options_Exhibits'!O39:O43),"")</f>
        <v/>
      </c>
      <c r="P43" s="3">
        <f>IF(ISNUMBER(AVERAGE('20250815_ETF_Options_Exhibits'!P39:P43)),AVERAGE('20250815_ETF_Options_Exhibits'!P39:P43),"")</f>
        <v/>
      </c>
      <c r="Q43" s="3">
        <f>IF(ISNUMBER(AVERAGE('20250815_ETF_Options_Exhibits'!Q39:Q43)),AVERAGE('20250815_ETF_Options_Exhibits'!Q39:Q43),"")</f>
        <v/>
      </c>
      <c r="R43" s="3">
        <f>IF(ISNUMBER(AVERAGE('20250815_ETF_Options_Exhibits'!R39:R43)),AVERAGE('20250815_ETF_Options_Exhibits'!R39:R43),"")</f>
        <v/>
      </c>
      <c r="S43" s="3">
        <f>IF(ISNUMBER(AVERAGE('20250815_ETF_Options_Exhibits'!S39:S43)),AVERAGE('20250815_ETF_Options_Exhibits'!S39:S43),"")</f>
        <v/>
      </c>
      <c r="T43" s="3">
        <f>IF(ISNUMBER(AVERAGE('20250815_ETF_Options_Exhibits'!T39:T43)),AVERAGE('20250815_ETF_Options_Exhibits'!T39:T43),"")</f>
        <v/>
      </c>
      <c r="U43" s="3">
        <f>IF(ISNUMBER(AVERAGE('20250815_ETF_Options_Exhibits'!U39:U43)),AVERAGE('20250815_ETF_Options_Exhibits'!U39:U43),"")</f>
        <v/>
      </c>
      <c r="V43" s="3">
        <f>IF(ISNUMBER(AVERAGE('20250815_ETF_Options_Exhibits'!V39:V43)),AVERAGE('20250815_ETF_Options_Exhibits'!V39:V43),"")</f>
        <v/>
      </c>
      <c r="W43" s="3">
        <f>IF(ISNUMBER(AVERAGE('20250815_ETF_Options_Exhibits'!W39:W43)),AVERAGE('20250815_ETF_Options_Exhibits'!W39:W43),"")</f>
        <v/>
      </c>
      <c r="X43" s="3">
        <f>IF(ISNUMBER(AVERAGE('20250815_ETF_Options_Exhibits'!X39:X43)),AVERAGE('20250815_ETF_Options_Exhibits'!X39:X43),"")</f>
        <v/>
      </c>
      <c r="Y43" s="3">
        <f>IF(ISNUMBER(AVERAGE('20250815_ETF_Options_Exhibits'!Y39:Y43)),AVERAGE('20250815_ETF_Options_Exhibits'!Y39:Y43),"")</f>
        <v/>
      </c>
      <c r="Z43" s="3">
        <f>IF(ISNUMBER(AVERAGE('20250815_ETF_Options_Exhibits'!Z39:Z43)),AVERAGE('20250815_ETF_Options_Exhibits'!Z39:Z43),"")</f>
        <v/>
      </c>
      <c r="AA43" s="3">
        <f>IF(ISNUMBER(AVERAGE('20250815_ETF_Options_Exhibits'!AA39:AA43)),AVERAGE('20250815_ETF_Options_Exhibits'!AA39:AA43),"")</f>
        <v/>
      </c>
    </row>
    <row r="44">
      <c r="A44" s="1" t="n">
        <v>42067</v>
      </c>
      <c r="B44" s="3">
        <f>IF(ISNUMBER(AVERAGE('20250815_ETF_Options_Exhibits'!B40:B44)),AVERAGE('20250815_ETF_Options_Exhibits'!B40:B44),"")</f>
        <v/>
      </c>
      <c r="C44" s="3">
        <f>IF(ISNUMBER(AVERAGE('20250815_ETF_Options_Exhibits'!C40:C44)),AVERAGE('20250815_ETF_Options_Exhibits'!C40:C44),"")</f>
        <v/>
      </c>
      <c r="D44" s="3">
        <f>IF(ISNUMBER(AVERAGE('20250815_ETF_Options_Exhibits'!D40:D44)),AVERAGE('20250815_ETF_Options_Exhibits'!D40:D44),"")</f>
        <v/>
      </c>
      <c r="E44" s="3">
        <f>IF(ISNUMBER(AVERAGE('20250815_ETF_Options_Exhibits'!E40:E44)),AVERAGE('20250815_ETF_Options_Exhibits'!E40:E44),"")</f>
        <v/>
      </c>
      <c r="F44" s="3">
        <f>IF(ISNUMBER(AVERAGE('20250815_ETF_Options_Exhibits'!F40:F44)),AVERAGE('20250815_ETF_Options_Exhibits'!F40:F44),"")</f>
        <v/>
      </c>
      <c r="G44" s="3">
        <f>IF(ISNUMBER(AVERAGE('20250815_ETF_Options_Exhibits'!G40:G44)),AVERAGE('20250815_ETF_Options_Exhibits'!G40:G44),"")</f>
        <v/>
      </c>
      <c r="H44" s="3">
        <f>IF(ISNUMBER(AVERAGE('20250815_ETF_Options_Exhibits'!H40:H44)),AVERAGE('20250815_ETF_Options_Exhibits'!H40:H44),"")</f>
        <v/>
      </c>
      <c r="I44" s="3">
        <f>IF(ISNUMBER(AVERAGE('20250815_ETF_Options_Exhibits'!I40:I44)),AVERAGE('20250815_ETF_Options_Exhibits'!I40:I44),"")</f>
        <v/>
      </c>
      <c r="J44" s="3">
        <f>IF(ISNUMBER(AVERAGE('20250815_ETF_Options_Exhibits'!J40:J44)),AVERAGE('20250815_ETF_Options_Exhibits'!J40:J44),"")</f>
        <v/>
      </c>
      <c r="K44" s="3">
        <f>IF(ISNUMBER(AVERAGE('20250815_ETF_Options_Exhibits'!K40:K44)),AVERAGE('20250815_ETF_Options_Exhibits'!K40:K44),"")</f>
        <v/>
      </c>
      <c r="L44" s="3">
        <f>IF(ISNUMBER(AVERAGE('20250815_ETF_Options_Exhibits'!L40:L44)),AVERAGE('20250815_ETF_Options_Exhibits'!L40:L44),"")</f>
        <v/>
      </c>
      <c r="M44" s="3">
        <f>IF(ISNUMBER(AVERAGE('20250815_ETF_Options_Exhibits'!M40:M44)),AVERAGE('20250815_ETF_Options_Exhibits'!M40:M44),"")</f>
        <v/>
      </c>
      <c r="N44" s="3">
        <f>IF(ISNUMBER(AVERAGE('20250815_ETF_Options_Exhibits'!N40:N44)),AVERAGE('20250815_ETF_Options_Exhibits'!N40:N44),"")</f>
        <v/>
      </c>
      <c r="O44" s="3">
        <f>IF(ISNUMBER(AVERAGE('20250815_ETF_Options_Exhibits'!O40:O44)),AVERAGE('20250815_ETF_Options_Exhibits'!O40:O44),"")</f>
        <v/>
      </c>
      <c r="P44" s="3">
        <f>IF(ISNUMBER(AVERAGE('20250815_ETF_Options_Exhibits'!P40:P44)),AVERAGE('20250815_ETF_Options_Exhibits'!P40:P44),"")</f>
        <v/>
      </c>
      <c r="Q44" s="3">
        <f>IF(ISNUMBER(AVERAGE('20250815_ETF_Options_Exhibits'!Q40:Q44)),AVERAGE('20250815_ETF_Options_Exhibits'!Q40:Q44),"")</f>
        <v/>
      </c>
      <c r="R44" s="3">
        <f>IF(ISNUMBER(AVERAGE('20250815_ETF_Options_Exhibits'!R40:R44)),AVERAGE('20250815_ETF_Options_Exhibits'!R40:R44),"")</f>
        <v/>
      </c>
      <c r="S44" s="3">
        <f>IF(ISNUMBER(AVERAGE('20250815_ETF_Options_Exhibits'!S40:S44)),AVERAGE('20250815_ETF_Options_Exhibits'!S40:S44),"")</f>
        <v/>
      </c>
      <c r="T44" s="3">
        <f>IF(ISNUMBER(AVERAGE('20250815_ETF_Options_Exhibits'!T40:T44)),AVERAGE('20250815_ETF_Options_Exhibits'!T40:T44),"")</f>
        <v/>
      </c>
      <c r="U44" s="3">
        <f>IF(ISNUMBER(AVERAGE('20250815_ETF_Options_Exhibits'!U40:U44)),AVERAGE('20250815_ETF_Options_Exhibits'!U40:U44),"")</f>
        <v/>
      </c>
      <c r="V44" s="3">
        <f>IF(ISNUMBER(AVERAGE('20250815_ETF_Options_Exhibits'!V40:V44)),AVERAGE('20250815_ETF_Options_Exhibits'!V40:V44),"")</f>
        <v/>
      </c>
      <c r="W44" s="3">
        <f>IF(ISNUMBER(AVERAGE('20250815_ETF_Options_Exhibits'!W40:W44)),AVERAGE('20250815_ETF_Options_Exhibits'!W40:W44),"")</f>
        <v/>
      </c>
      <c r="X44" s="3">
        <f>IF(ISNUMBER(AVERAGE('20250815_ETF_Options_Exhibits'!X40:X44)),AVERAGE('20250815_ETF_Options_Exhibits'!X40:X44),"")</f>
        <v/>
      </c>
      <c r="Y44" s="3">
        <f>IF(ISNUMBER(AVERAGE('20250815_ETF_Options_Exhibits'!Y40:Y44)),AVERAGE('20250815_ETF_Options_Exhibits'!Y40:Y44),"")</f>
        <v/>
      </c>
      <c r="Z44" s="3">
        <f>IF(ISNUMBER(AVERAGE('20250815_ETF_Options_Exhibits'!Z40:Z44)),AVERAGE('20250815_ETF_Options_Exhibits'!Z40:Z44),"")</f>
        <v/>
      </c>
      <c r="AA44" s="3">
        <f>IF(ISNUMBER(AVERAGE('20250815_ETF_Options_Exhibits'!AA40:AA44)),AVERAGE('20250815_ETF_Options_Exhibits'!AA40:AA44),"")</f>
        <v/>
      </c>
    </row>
    <row r="45">
      <c r="A45" s="1" t="n">
        <v>42068</v>
      </c>
      <c r="B45" s="3">
        <f>IF(ISNUMBER(AVERAGE('20250815_ETF_Options_Exhibits'!B41:B45)),AVERAGE('20250815_ETF_Options_Exhibits'!B41:B45),"")</f>
        <v/>
      </c>
      <c r="C45" s="3">
        <f>IF(ISNUMBER(AVERAGE('20250815_ETF_Options_Exhibits'!C41:C45)),AVERAGE('20250815_ETF_Options_Exhibits'!C41:C45),"")</f>
        <v/>
      </c>
      <c r="D45" s="3">
        <f>IF(ISNUMBER(AVERAGE('20250815_ETF_Options_Exhibits'!D41:D45)),AVERAGE('20250815_ETF_Options_Exhibits'!D41:D45),"")</f>
        <v/>
      </c>
      <c r="E45" s="3">
        <f>IF(ISNUMBER(AVERAGE('20250815_ETF_Options_Exhibits'!E41:E45)),AVERAGE('20250815_ETF_Options_Exhibits'!E41:E45),"")</f>
        <v/>
      </c>
      <c r="F45" s="3">
        <f>IF(ISNUMBER(AVERAGE('20250815_ETF_Options_Exhibits'!F41:F45)),AVERAGE('20250815_ETF_Options_Exhibits'!F41:F45),"")</f>
        <v/>
      </c>
      <c r="G45" s="3">
        <f>IF(ISNUMBER(AVERAGE('20250815_ETF_Options_Exhibits'!G41:G45)),AVERAGE('20250815_ETF_Options_Exhibits'!G41:G45),"")</f>
        <v/>
      </c>
      <c r="H45" s="3">
        <f>IF(ISNUMBER(AVERAGE('20250815_ETF_Options_Exhibits'!H41:H45)),AVERAGE('20250815_ETF_Options_Exhibits'!H41:H45),"")</f>
        <v/>
      </c>
      <c r="I45" s="3">
        <f>IF(ISNUMBER(AVERAGE('20250815_ETF_Options_Exhibits'!I41:I45)),AVERAGE('20250815_ETF_Options_Exhibits'!I41:I45),"")</f>
        <v/>
      </c>
      <c r="J45" s="3">
        <f>IF(ISNUMBER(AVERAGE('20250815_ETF_Options_Exhibits'!J41:J45)),AVERAGE('20250815_ETF_Options_Exhibits'!J41:J45),"")</f>
        <v/>
      </c>
      <c r="K45" s="3">
        <f>IF(ISNUMBER(AVERAGE('20250815_ETF_Options_Exhibits'!K41:K45)),AVERAGE('20250815_ETF_Options_Exhibits'!K41:K45),"")</f>
        <v/>
      </c>
      <c r="L45" s="3">
        <f>IF(ISNUMBER(AVERAGE('20250815_ETF_Options_Exhibits'!L41:L45)),AVERAGE('20250815_ETF_Options_Exhibits'!L41:L45),"")</f>
        <v/>
      </c>
      <c r="M45" s="3">
        <f>IF(ISNUMBER(AVERAGE('20250815_ETF_Options_Exhibits'!M41:M45)),AVERAGE('20250815_ETF_Options_Exhibits'!M41:M45),"")</f>
        <v/>
      </c>
      <c r="N45" s="3">
        <f>IF(ISNUMBER(AVERAGE('20250815_ETF_Options_Exhibits'!N41:N45)),AVERAGE('20250815_ETF_Options_Exhibits'!N41:N45),"")</f>
        <v/>
      </c>
      <c r="O45" s="3">
        <f>IF(ISNUMBER(AVERAGE('20250815_ETF_Options_Exhibits'!O41:O45)),AVERAGE('20250815_ETF_Options_Exhibits'!O41:O45),"")</f>
        <v/>
      </c>
      <c r="P45" s="3">
        <f>IF(ISNUMBER(AVERAGE('20250815_ETF_Options_Exhibits'!P41:P45)),AVERAGE('20250815_ETF_Options_Exhibits'!P41:P45),"")</f>
        <v/>
      </c>
      <c r="Q45" s="3">
        <f>IF(ISNUMBER(AVERAGE('20250815_ETF_Options_Exhibits'!Q41:Q45)),AVERAGE('20250815_ETF_Options_Exhibits'!Q41:Q45),"")</f>
        <v/>
      </c>
      <c r="R45" s="3">
        <f>IF(ISNUMBER(AVERAGE('20250815_ETF_Options_Exhibits'!R41:R45)),AVERAGE('20250815_ETF_Options_Exhibits'!R41:R45),"")</f>
        <v/>
      </c>
      <c r="S45" s="3">
        <f>IF(ISNUMBER(AVERAGE('20250815_ETF_Options_Exhibits'!S41:S45)),AVERAGE('20250815_ETF_Options_Exhibits'!S41:S45),"")</f>
        <v/>
      </c>
      <c r="T45" s="3">
        <f>IF(ISNUMBER(AVERAGE('20250815_ETF_Options_Exhibits'!T41:T45)),AVERAGE('20250815_ETF_Options_Exhibits'!T41:T45),"")</f>
        <v/>
      </c>
      <c r="U45" s="3">
        <f>IF(ISNUMBER(AVERAGE('20250815_ETF_Options_Exhibits'!U41:U45)),AVERAGE('20250815_ETF_Options_Exhibits'!U41:U45),"")</f>
        <v/>
      </c>
      <c r="V45" s="3">
        <f>IF(ISNUMBER(AVERAGE('20250815_ETF_Options_Exhibits'!V41:V45)),AVERAGE('20250815_ETF_Options_Exhibits'!V41:V45),"")</f>
        <v/>
      </c>
      <c r="W45" s="3">
        <f>IF(ISNUMBER(AVERAGE('20250815_ETF_Options_Exhibits'!W41:W45)),AVERAGE('20250815_ETF_Options_Exhibits'!W41:W45),"")</f>
        <v/>
      </c>
      <c r="X45" s="3">
        <f>IF(ISNUMBER(AVERAGE('20250815_ETF_Options_Exhibits'!X41:X45)),AVERAGE('20250815_ETF_Options_Exhibits'!X41:X45),"")</f>
        <v/>
      </c>
      <c r="Y45" s="3">
        <f>IF(ISNUMBER(AVERAGE('20250815_ETF_Options_Exhibits'!Y41:Y45)),AVERAGE('20250815_ETF_Options_Exhibits'!Y41:Y45),"")</f>
        <v/>
      </c>
      <c r="Z45" s="3">
        <f>IF(ISNUMBER(AVERAGE('20250815_ETF_Options_Exhibits'!Z41:Z45)),AVERAGE('20250815_ETF_Options_Exhibits'!Z41:Z45),"")</f>
        <v/>
      </c>
      <c r="AA45" s="3">
        <f>IF(ISNUMBER(AVERAGE('20250815_ETF_Options_Exhibits'!AA41:AA45)),AVERAGE('20250815_ETF_Options_Exhibits'!AA41:AA45),"")</f>
        <v/>
      </c>
    </row>
    <row r="46">
      <c r="A46" s="1" t="n">
        <v>42069</v>
      </c>
      <c r="B46" s="3">
        <f>IF(ISNUMBER(AVERAGE('20250815_ETF_Options_Exhibits'!B42:B46)),AVERAGE('20250815_ETF_Options_Exhibits'!B42:B46),"")</f>
        <v/>
      </c>
      <c r="C46" s="3">
        <f>IF(ISNUMBER(AVERAGE('20250815_ETF_Options_Exhibits'!C42:C46)),AVERAGE('20250815_ETF_Options_Exhibits'!C42:C46),"")</f>
        <v/>
      </c>
      <c r="D46" s="3">
        <f>IF(ISNUMBER(AVERAGE('20250815_ETF_Options_Exhibits'!D42:D46)),AVERAGE('20250815_ETF_Options_Exhibits'!D42:D46),"")</f>
        <v/>
      </c>
      <c r="E46" s="3">
        <f>IF(ISNUMBER(AVERAGE('20250815_ETF_Options_Exhibits'!E42:E46)),AVERAGE('20250815_ETF_Options_Exhibits'!E42:E46),"")</f>
        <v/>
      </c>
      <c r="F46" s="3">
        <f>IF(ISNUMBER(AVERAGE('20250815_ETF_Options_Exhibits'!F42:F46)),AVERAGE('20250815_ETF_Options_Exhibits'!F42:F46),"")</f>
        <v/>
      </c>
      <c r="G46" s="3">
        <f>IF(ISNUMBER(AVERAGE('20250815_ETF_Options_Exhibits'!G42:G46)),AVERAGE('20250815_ETF_Options_Exhibits'!G42:G46),"")</f>
        <v/>
      </c>
      <c r="H46" s="3">
        <f>IF(ISNUMBER(AVERAGE('20250815_ETF_Options_Exhibits'!H42:H46)),AVERAGE('20250815_ETF_Options_Exhibits'!H42:H46),"")</f>
        <v/>
      </c>
      <c r="I46" s="3">
        <f>IF(ISNUMBER(AVERAGE('20250815_ETF_Options_Exhibits'!I42:I46)),AVERAGE('20250815_ETF_Options_Exhibits'!I42:I46),"")</f>
        <v/>
      </c>
      <c r="J46" s="3">
        <f>IF(ISNUMBER(AVERAGE('20250815_ETF_Options_Exhibits'!J42:J46)),AVERAGE('20250815_ETF_Options_Exhibits'!J42:J46),"")</f>
        <v/>
      </c>
      <c r="K46" s="3">
        <f>IF(ISNUMBER(AVERAGE('20250815_ETF_Options_Exhibits'!K42:K46)),AVERAGE('20250815_ETF_Options_Exhibits'!K42:K46),"")</f>
        <v/>
      </c>
      <c r="L46" s="3">
        <f>IF(ISNUMBER(AVERAGE('20250815_ETF_Options_Exhibits'!L42:L46)),AVERAGE('20250815_ETF_Options_Exhibits'!L42:L46),"")</f>
        <v/>
      </c>
      <c r="M46" s="3">
        <f>IF(ISNUMBER(AVERAGE('20250815_ETF_Options_Exhibits'!M42:M46)),AVERAGE('20250815_ETF_Options_Exhibits'!M42:M46),"")</f>
        <v/>
      </c>
      <c r="N46" s="3">
        <f>IF(ISNUMBER(AVERAGE('20250815_ETF_Options_Exhibits'!N42:N46)),AVERAGE('20250815_ETF_Options_Exhibits'!N42:N46),"")</f>
        <v/>
      </c>
      <c r="O46" s="3">
        <f>IF(ISNUMBER(AVERAGE('20250815_ETF_Options_Exhibits'!O42:O46)),AVERAGE('20250815_ETF_Options_Exhibits'!O42:O46),"")</f>
        <v/>
      </c>
      <c r="P46" s="3">
        <f>IF(ISNUMBER(AVERAGE('20250815_ETF_Options_Exhibits'!P42:P46)),AVERAGE('20250815_ETF_Options_Exhibits'!P42:P46),"")</f>
        <v/>
      </c>
      <c r="Q46" s="3">
        <f>IF(ISNUMBER(AVERAGE('20250815_ETF_Options_Exhibits'!Q42:Q46)),AVERAGE('20250815_ETF_Options_Exhibits'!Q42:Q46),"")</f>
        <v/>
      </c>
      <c r="R46" s="3">
        <f>IF(ISNUMBER(AVERAGE('20250815_ETF_Options_Exhibits'!R42:R46)),AVERAGE('20250815_ETF_Options_Exhibits'!R42:R46),"")</f>
        <v/>
      </c>
      <c r="S46" s="3">
        <f>IF(ISNUMBER(AVERAGE('20250815_ETF_Options_Exhibits'!S42:S46)),AVERAGE('20250815_ETF_Options_Exhibits'!S42:S46),"")</f>
        <v/>
      </c>
      <c r="T46" s="3">
        <f>IF(ISNUMBER(AVERAGE('20250815_ETF_Options_Exhibits'!T42:T46)),AVERAGE('20250815_ETF_Options_Exhibits'!T42:T46),"")</f>
        <v/>
      </c>
      <c r="U46" s="3">
        <f>IF(ISNUMBER(AVERAGE('20250815_ETF_Options_Exhibits'!U42:U46)),AVERAGE('20250815_ETF_Options_Exhibits'!U42:U46),"")</f>
        <v/>
      </c>
      <c r="V46" s="3">
        <f>IF(ISNUMBER(AVERAGE('20250815_ETF_Options_Exhibits'!V42:V46)),AVERAGE('20250815_ETF_Options_Exhibits'!V42:V46),"")</f>
        <v/>
      </c>
      <c r="W46" s="3">
        <f>IF(ISNUMBER(AVERAGE('20250815_ETF_Options_Exhibits'!W42:W46)),AVERAGE('20250815_ETF_Options_Exhibits'!W42:W46),"")</f>
        <v/>
      </c>
      <c r="X46" s="3">
        <f>IF(ISNUMBER(AVERAGE('20250815_ETF_Options_Exhibits'!X42:X46)),AVERAGE('20250815_ETF_Options_Exhibits'!X42:X46),"")</f>
        <v/>
      </c>
      <c r="Y46" s="3">
        <f>IF(ISNUMBER(AVERAGE('20250815_ETF_Options_Exhibits'!Y42:Y46)),AVERAGE('20250815_ETF_Options_Exhibits'!Y42:Y46),"")</f>
        <v/>
      </c>
      <c r="Z46" s="3">
        <f>IF(ISNUMBER(AVERAGE('20250815_ETF_Options_Exhibits'!Z42:Z46)),AVERAGE('20250815_ETF_Options_Exhibits'!Z42:Z46),"")</f>
        <v/>
      </c>
      <c r="AA46" s="3">
        <f>IF(ISNUMBER(AVERAGE('20250815_ETF_Options_Exhibits'!AA42:AA46)),AVERAGE('20250815_ETF_Options_Exhibits'!AA42:AA46),"")</f>
        <v/>
      </c>
    </row>
    <row r="47">
      <c r="A47" s="1" t="n">
        <v>42072</v>
      </c>
      <c r="B47" s="3">
        <f>IF(ISNUMBER(AVERAGE('20250815_ETF_Options_Exhibits'!B43:B47)),AVERAGE('20250815_ETF_Options_Exhibits'!B43:B47),"")</f>
        <v/>
      </c>
      <c r="C47" s="3">
        <f>IF(ISNUMBER(AVERAGE('20250815_ETF_Options_Exhibits'!C43:C47)),AVERAGE('20250815_ETF_Options_Exhibits'!C43:C47),"")</f>
        <v/>
      </c>
      <c r="D47" s="3">
        <f>IF(ISNUMBER(AVERAGE('20250815_ETF_Options_Exhibits'!D43:D47)),AVERAGE('20250815_ETF_Options_Exhibits'!D43:D47),"")</f>
        <v/>
      </c>
      <c r="E47" s="3">
        <f>IF(ISNUMBER(AVERAGE('20250815_ETF_Options_Exhibits'!E43:E47)),AVERAGE('20250815_ETF_Options_Exhibits'!E43:E47),"")</f>
        <v/>
      </c>
      <c r="F47" s="3">
        <f>IF(ISNUMBER(AVERAGE('20250815_ETF_Options_Exhibits'!F43:F47)),AVERAGE('20250815_ETF_Options_Exhibits'!F43:F47),"")</f>
        <v/>
      </c>
      <c r="G47" s="3">
        <f>IF(ISNUMBER(AVERAGE('20250815_ETF_Options_Exhibits'!G43:G47)),AVERAGE('20250815_ETF_Options_Exhibits'!G43:G47),"")</f>
        <v/>
      </c>
      <c r="H47" s="3">
        <f>IF(ISNUMBER(AVERAGE('20250815_ETF_Options_Exhibits'!H43:H47)),AVERAGE('20250815_ETF_Options_Exhibits'!H43:H47),"")</f>
        <v/>
      </c>
      <c r="I47" s="3">
        <f>IF(ISNUMBER(AVERAGE('20250815_ETF_Options_Exhibits'!I43:I47)),AVERAGE('20250815_ETF_Options_Exhibits'!I43:I47),"")</f>
        <v/>
      </c>
      <c r="J47" s="3">
        <f>IF(ISNUMBER(AVERAGE('20250815_ETF_Options_Exhibits'!J43:J47)),AVERAGE('20250815_ETF_Options_Exhibits'!J43:J47),"")</f>
        <v/>
      </c>
      <c r="K47" s="3">
        <f>IF(ISNUMBER(AVERAGE('20250815_ETF_Options_Exhibits'!K43:K47)),AVERAGE('20250815_ETF_Options_Exhibits'!K43:K47),"")</f>
        <v/>
      </c>
      <c r="L47" s="3">
        <f>IF(ISNUMBER(AVERAGE('20250815_ETF_Options_Exhibits'!L43:L47)),AVERAGE('20250815_ETF_Options_Exhibits'!L43:L47),"")</f>
        <v/>
      </c>
      <c r="M47" s="3">
        <f>IF(ISNUMBER(AVERAGE('20250815_ETF_Options_Exhibits'!M43:M47)),AVERAGE('20250815_ETF_Options_Exhibits'!M43:M47),"")</f>
        <v/>
      </c>
      <c r="N47" s="3">
        <f>IF(ISNUMBER(AVERAGE('20250815_ETF_Options_Exhibits'!N43:N47)),AVERAGE('20250815_ETF_Options_Exhibits'!N43:N47),"")</f>
        <v/>
      </c>
      <c r="O47" s="3">
        <f>IF(ISNUMBER(AVERAGE('20250815_ETF_Options_Exhibits'!O43:O47)),AVERAGE('20250815_ETF_Options_Exhibits'!O43:O47),"")</f>
        <v/>
      </c>
      <c r="P47" s="3">
        <f>IF(ISNUMBER(AVERAGE('20250815_ETF_Options_Exhibits'!P43:P47)),AVERAGE('20250815_ETF_Options_Exhibits'!P43:P47),"")</f>
        <v/>
      </c>
      <c r="Q47" s="3">
        <f>IF(ISNUMBER(AVERAGE('20250815_ETF_Options_Exhibits'!Q43:Q47)),AVERAGE('20250815_ETF_Options_Exhibits'!Q43:Q47),"")</f>
        <v/>
      </c>
      <c r="R47" s="3">
        <f>IF(ISNUMBER(AVERAGE('20250815_ETF_Options_Exhibits'!R43:R47)),AVERAGE('20250815_ETF_Options_Exhibits'!R43:R47),"")</f>
        <v/>
      </c>
      <c r="S47" s="3">
        <f>IF(ISNUMBER(AVERAGE('20250815_ETF_Options_Exhibits'!S43:S47)),AVERAGE('20250815_ETF_Options_Exhibits'!S43:S47),"")</f>
        <v/>
      </c>
      <c r="T47" s="3">
        <f>IF(ISNUMBER(AVERAGE('20250815_ETF_Options_Exhibits'!T43:T47)),AVERAGE('20250815_ETF_Options_Exhibits'!T43:T47),"")</f>
        <v/>
      </c>
      <c r="U47" s="3">
        <f>IF(ISNUMBER(AVERAGE('20250815_ETF_Options_Exhibits'!U43:U47)),AVERAGE('20250815_ETF_Options_Exhibits'!U43:U47),"")</f>
        <v/>
      </c>
      <c r="V47" s="3">
        <f>IF(ISNUMBER(AVERAGE('20250815_ETF_Options_Exhibits'!V43:V47)),AVERAGE('20250815_ETF_Options_Exhibits'!V43:V47),"")</f>
        <v/>
      </c>
      <c r="W47" s="3">
        <f>IF(ISNUMBER(AVERAGE('20250815_ETF_Options_Exhibits'!W43:W47)),AVERAGE('20250815_ETF_Options_Exhibits'!W43:W47),"")</f>
        <v/>
      </c>
      <c r="X47" s="3">
        <f>IF(ISNUMBER(AVERAGE('20250815_ETF_Options_Exhibits'!X43:X47)),AVERAGE('20250815_ETF_Options_Exhibits'!X43:X47),"")</f>
        <v/>
      </c>
      <c r="Y47" s="3">
        <f>IF(ISNUMBER(AVERAGE('20250815_ETF_Options_Exhibits'!Y43:Y47)),AVERAGE('20250815_ETF_Options_Exhibits'!Y43:Y47),"")</f>
        <v/>
      </c>
      <c r="Z47" s="3">
        <f>IF(ISNUMBER(AVERAGE('20250815_ETF_Options_Exhibits'!Z43:Z47)),AVERAGE('20250815_ETF_Options_Exhibits'!Z43:Z47),"")</f>
        <v/>
      </c>
      <c r="AA47" s="3">
        <f>IF(ISNUMBER(AVERAGE('20250815_ETF_Options_Exhibits'!AA43:AA47)),AVERAGE('20250815_ETF_Options_Exhibits'!AA43:AA47),"")</f>
        <v/>
      </c>
    </row>
    <row r="48">
      <c r="A48" s="1" t="n">
        <v>42073</v>
      </c>
      <c r="B48" s="3">
        <f>IF(ISNUMBER(AVERAGE('20250815_ETF_Options_Exhibits'!B44:B48)),AVERAGE('20250815_ETF_Options_Exhibits'!B44:B48),"")</f>
        <v/>
      </c>
      <c r="C48" s="3">
        <f>IF(ISNUMBER(AVERAGE('20250815_ETF_Options_Exhibits'!C44:C48)),AVERAGE('20250815_ETF_Options_Exhibits'!C44:C48),"")</f>
        <v/>
      </c>
      <c r="D48" s="3">
        <f>IF(ISNUMBER(AVERAGE('20250815_ETF_Options_Exhibits'!D44:D48)),AVERAGE('20250815_ETF_Options_Exhibits'!D44:D48),"")</f>
        <v/>
      </c>
      <c r="E48" s="3">
        <f>IF(ISNUMBER(AVERAGE('20250815_ETF_Options_Exhibits'!E44:E48)),AVERAGE('20250815_ETF_Options_Exhibits'!E44:E48),"")</f>
        <v/>
      </c>
      <c r="F48" s="3">
        <f>IF(ISNUMBER(AVERAGE('20250815_ETF_Options_Exhibits'!F44:F48)),AVERAGE('20250815_ETF_Options_Exhibits'!F44:F48),"")</f>
        <v/>
      </c>
      <c r="G48" s="3">
        <f>IF(ISNUMBER(AVERAGE('20250815_ETF_Options_Exhibits'!G44:G48)),AVERAGE('20250815_ETF_Options_Exhibits'!G44:G48),"")</f>
        <v/>
      </c>
      <c r="H48" s="3">
        <f>IF(ISNUMBER(AVERAGE('20250815_ETF_Options_Exhibits'!H44:H48)),AVERAGE('20250815_ETF_Options_Exhibits'!H44:H48),"")</f>
        <v/>
      </c>
      <c r="I48" s="3">
        <f>IF(ISNUMBER(AVERAGE('20250815_ETF_Options_Exhibits'!I44:I48)),AVERAGE('20250815_ETF_Options_Exhibits'!I44:I48),"")</f>
        <v/>
      </c>
      <c r="J48" s="3">
        <f>IF(ISNUMBER(AVERAGE('20250815_ETF_Options_Exhibits'!J44:J48)),AVERAGE('20250815_ETF_Options_Exhibits'!J44:J48),"")</f>
        <v/>
      </c>
      <c r="K48" s="3">
        <f>IF(ISNUMBER(AVERAGE('20250815_ETF_Options_Exhibits'!K44:K48)),AVERAGE('20250815_ETF_Options_Exhibits'!K44:K48),"")</f>
        <v/>
      </c>
      <c r="L48" s="3">
        <f>IF(ISNUMBER(AVERAGE('20250815_ETF_Options_Exhibits'!L44:L48)),AVERAGE('20250815_ETF_Options_Exhibits'!L44:L48),"")</f>
        <v/>
      </c>
      <c r="M48" s="3">
        <f>IF(ISNUMBER(AVERAGE('20250815_ETF_Options_Exhibits'!M44:M48)),AVERAGE('20250815_ETF_Options_Exhibits'!M44:M48),"")</f>
        <v/>
      </c>
      <c r="N48" s="3">
        <f>IF(ISNUMBER(AVERAGE('20250815_ETF_Options_Exhibits'!N44:N48)),AVERAGE('20250815_ETF_Options_Exhibits'!N44:N48),"")</f>
        <v/>
      </c>
      <c r="O48" s="3">
        <f>IF(ISNUMBER(AVERAGE('20250815_ETF_Options_Exhibits'!O44:O48)),AVERAGE('20250815_ETF_Options_Exhibits'!O44:O48),"")</f>
        <v/>
      </c>
      <c r="P48" s="3">
        <f>IF(ISNUMBER(AVERAGE('20250815_ETF_Options_Exhibits'!P44:P48)),AVERAGE('20250815_ETF_Options_Exhibits'!P44:P48),"")</f>
        <v/>
      </c>
      <c r="Q48" s="3">
        <f>IF(ISNUMBER(AVERAGE('20250815_ETF_Options_Exhibits'!Q44:Q48)),AVERAGE('20250815_ETF_Options_Exhibits'!Q44:Q48),"")</f>
        <v/>
      </c>
      <c r="R48" s="3">
        <f>IF(ISNUMBER(AVERAGE('20250815_ETF_Options_Exhibits'!R44:R48)),AVERAGE('20250815_ETF_Options_Exhibits'!R44:R48),"")</f>
        <v/>
      </c>
      <c r="S48" s="3">
        <f>IF(ISNUMBER(AVERAGE('20250815_ETF_Options_Exhibits'!S44:S48)),AVERAGE('20250815_ETF_Options_Exhibits'!S44:S48),"")</f>
        <v/>
      </c>
      <c r="T48" s="3">
        <f>IF(ISNUMBER(AVERAGE('20250815_ETF_Options_Exhibits'!T44:T48)),AVERAGE('20250815_ETF_Options_Exhibits'!T44:T48),"")</f>
        <v/>
      </c>
      <c r="U48" s="3">
        <f>IF(ISNUMBER(AVERAGE('20250815_ETF_Options_Exhibits'!U44:U48)),AVERAGE('20250815_ETF_Options_Exhibits'!U44:U48),"")</f>
        <v/>
      </c>
      <c r="V48" s="3">
        <f>IF(ISNUMBER(AVERAGE('20250815_ETF_Options_Exhibits'!V44:V48)),AVERAGE('20250815_ETF_Options_Exhibits'!V44:V48),"")</f>
        <v/>
      </c>
      <c r="W48" s="3">
        <f>IF(ISNUMBER(AVERAGE('20250815_ETF_Options_Exhibits'!W44:W48)),AVERAGE('20250815_ETF_Options_Exhibits'!W44:W48),"")</f>
        <v/>
      </c>
      <c r="X48" s="3">
        <f>IF(ISNUMBER(AVERAGE('20250815_ETF_Options_Exhibits'!X44:X48)),AVERAGE('20250815_ETF_Options_Exhibits'!X44:X48),"")</f>
        <v/>
      </c>
      <c r="Y48" s="3">
        <f>IF(ISNUMBER(AVERAGE('20250815_ETF_Options_Exhibits'!Y44:Y48)),AVERAGE('20250815_ETF_Options_Exhibits'!Y44:Y48),"")</f>
        <v/>
      </c>
      <c r="Z48" s="3">
        <f>IF(ISNUMBER(AVERAGE('20250815_ETF_Options_Exhibits'!Z44:Z48)),AVERAGE('20250815_ETF_Options_Exhibits'!Z44:Z48),"")</f>
        <v/>
      </c>
      <c r="AA48" s="3">
        <f>IF(ISNUMBER(AVERAGE('20250815_ETF_Options_Exhibits'!AA44:AA48)),AVERAGE('20250815_ETF_Options_Exhibits'!AA44:AA48),"")</f>
        <v/>
      </c>
    </row>
    <row r="49">
      <c r="A49" s="1" t="n">
        <v>42074</v>
      </c>
      <c r="B49" s="3">
        <f>IF(ISNUMBER(AVERAGE('20250815_ETF_Options_Exhibits'!B45:B49)),AVERAGE('20250815_ETF_Options_Exhibits'!B45:B49),"")</f>
        <v/>
      </c>
      <c r="C49" s="3">
        <f>IF(ISNUMBER(AVERAGE('20250815_ETF_Options_Exhibits'!C45:C49)),AVERAGE('20250815_ETF_Options_Exhibits'!C45:C49),"")</f>
        <v/>
      </c>
      <c r="D49" s="3">
        <f>IF(ISNUMBER(AVERAGE('20250815_ETF_Options_Exhibits'!D45:D49)),AVERAGE('20250815_ETF_Options_Exhibits'!D45:D49),"")</f>
        <v/>
      </c>
      <c r="E49" s="3">
        <f>IF(ISNUMBER(AVERAGE('20250815_ETF_Options_Exhibits'!E45:E49)),AVERAGE('20250815_ETF_Options_Exhibits'!E45:E49),"")</f>
        <v/>
      </c>
      <c r="F49" s="3">
        <f>IF(ISNUMBER(AVERAGE('20250815_ETF_Options_Exhibits'!F45:F49)),AVERAGE('20250815_ETF_Options_Exhibits'!F45:F49),"")</f>
        <v/>
      </c>
      <c r="G49" s="3">
        <f>IF(ISNUMBER(AVERAGE('20250815_ETF_Options_Exhibits'!G45:G49)),AVERAGE('20250815_ETF_Options_Exhibits'!G45:G49),"")</f>
        <v/>
      </c>
      <c r="H49" s="3">
        <f>IF(ISNUMBER(AVERAGE('20250815_ETF_Options_Exhibits'!H45:H49)),AVERAGE('20250815_ETF_Options_Exhibits'!H45:H49),"")</f>
        <v/>
      </c>
      <c r="I49" s="3">
        <f>IF(ISNUMBER(AVERAGE('20250815_ETF_Options_Exhibits'!I45:I49)),AVERAGE('20250815_ETF_Options_Exhibits'!I45:I49),"")</f>
        <v/>
      </c>
      <c r="J49" s="3">
        <f>IF(ISNUMBER(AVERAGE('20250815_ETF_Options_Exhibits'!J45:J49)),AVERAGE('20250815_ETF_Options_Exhibits'!J45:J49),"")</f>
        <v/>
      </c>
      <c r="K49" s="3">
        <f>IF(ISNUMBER(AVERAGE('20250815_ETF_Options_Exhibits'!K45:K49)),AVERAGE('20250815_ETF_Options_Exhibits'!K45:K49),"")</f>
        <v/>
      </c>
      <c r="L49" s="3">
        <f>IF(ISNUMBER(AVERAGE('20250815_ETF_Options_Exhibits'!L45:L49)),AVERAGE('20250815_ETF_Options_Exhibits'!L45:L49),"")</f>
        <v/>
      </c>
      <c r="M49" s="3">
        <f>IF(ISNUMBER(AVERAGE('20250815_ETF_Options_Exhibits'!M45:M49)),AVERAGE('20250815_ETF_Options_Exhibits'!M45:M49),"")</f>
        <v/>
      </c>
      <c r="N49" s="3">
        <f>IF(ISNUMBER(AVERAGE('20250815_ETF_Options_Exhibits'!N45:N49)),AVERAGE('20250815_ETF_Options_Exhibits'!N45:N49),"")</f>
        <v/>
      </c>
      <c r="O49" s="3">
        <f>IF(ISNUMBER(AVERAGE('20250815_ETF_Options_Exhibits'!O45:O49)),AVERAGE('20250815_ETF_Options_Exhibits'!O45:O49),"")</f>
        <v/>
      </c>
      <c r="P49" s="3">
        <f>IF(ISNUMBER(AVERAGE('20250815_ETF_Options_Exhibits'!P45:P49)),AVERAGE('20250815_ETF_Options_Exhibits'!P45:P49),"")</f>
        <v/>
      </c>
      <c r="Q49" s="3">
        <f>IF(ISNUMBER(AVERAGE('20250815_ETF_Options_Exhibits'!Q45:Q49)),AVERAGE('20250815_ETF_Options_Exhibits'!Q45:Q49),"")</f>
        <v/>
      </c>
      <c r="R49" s="3">
        <f>IF(ISNUMBER(AVERAGE('20250815_ETF_Options_Exhibits'!R45:R49)),AVERAGE('20250815_ETF_Options_Exhibits'!R45:R49),"")</f>
        <v/>
      </c>
      <c r="S49" s="3">
        <f>IF(ISNUMBER(AVERAGE('20250815_ETF_Options_Exhibits'!S45:S49)),AVERAGE('20250815_ETF_Options_Exhibits'!S45:S49),"")</f>
        <v/>
      </c>
      <c r="T49" s="3">
        <f>IF(ISNUMBER(AVERAGE('20250815_ETF_Options_Exhibits'!T45:T49)),AVERAGE('20250815_ETF_Options_Exhibits'!T45:T49),"")</f>
        <v/>
      </c>
      <c r="U49" s="3">
        <f>IF(ISNUMBER(AVERAGE('20250815_ETF_Options_Exhibits'!U45:U49)),AVERAGE('20250815_ETF_Options_Exhibits'!U45:U49),"")</f>
        <v/>
      </c>
      <c r="V49" s="3">
        <f>IF(ISNUMBER(AVERAGE('20250815_ETF_Options_Exhibits'!V45:V49)),AVERAGE('20250815_ETF_Options_Exhibits'!V45:V49),"")</f>
        <v/>
      </c>
      <c r="W49" s="3">
        <f>IF(ISNUMBER(AVERAGE('20250815_ETF_Options_Exhibits'!W45:W49)),AVERAGE('20250815_ETF_Options_Exhibits'!W45:W49),"")</f>
        <v/>
      </c>
      <c r="X49" s="3">
        <f>IF(ISNUMBER(AVERAGE('20250815_ETF_Options_Exhibits'!X45:X49)),AVERAGE('20250815_ETF_Options_Exhibits'!X45:X49),"")</f>
        <v/>
      </c>
      <c r="Y49" s="3">
        <f>IF(ISNUMBER(AVERAGE('20250815_ETF_Options_Exhibits'!Y45:Y49)),AVERAGE('20250815_ETF_Options_Exhibits'!Y45:Y49),"")</f>
        <v/>
      </c>
      <c r="Z49" s="3">
        <f>IF(ISNUMBER(AVERAGE('20250815_ETF_Options_Exhibits'!Z45:Z49)),AVERAGE('20250815_ETF_Options_Exhibits'!Z45:Z49),"")</f>
        <v/>
      </c>
      <c r="AA49" s="3">
        <f>IF(ISNUMBER(AVERAGE('20250815_ETF_Options_Exhibits'!AA45:AA49)),AVERAGE('20250815_ETF_Options_Exhibits'!AA45:AA49),"")</f>
        <v/>
      </c>
    </row>
    <row r="50">
      <c r="A50" s="1" t="n">
        <v>42075</v>
      </c>
      <c r="B50" s="3">
        <f>IF(ISNUMBER(AVERAGE('20250815_ETF_Options_Exhibits'!B46:B50)),AVERAGE('20250815_ETF_Options_Exhibits'!B46:B50),"")</f>
        <v/>
      </c>
      <c r="C50" s="3">
        <f>IF(ISNUMBER(AVERAGE('20250815_ETF_Options_Exhibits'!C46:C50)),AVERAGE('20250815_ETF_Options_Exhibits'!C46:C50),"")</f>
        <v/>
      </c>
      <c r="D50" s="3">
        <f>IF(ISNUMBER(AVERAGE('20250815_ETF_Options_Exhibits'!D46:D50)),AVERAGE('20250815_ETF_Options_Exhibits'!D46:D50),"")</f>
        <v/>
      </c>
      <c r="E50" s="3">
        <f>IF(ISNUMBER(AVERAGE('20250815_ETF_Options_Exhibits'!E46:E50)),AVERAGE('20250815_ETF_Options_Exhibits'!E46:E50),"")</f>
        <v/>
      </c>
      <c r="F50" s="3">
        <f>IF(ISNUMBER(AVERAGE('20250815_ETF_Options_Exhibits'!F46:F50)),AVERAGE('20250815_ETF_Options_Exhibits'!F46:F50),"")</f>
        <v/>
      </c>
      <c r="G50" s="3">
        <f>IF(ISNUMBER(AVERAGE('20250815_ETF_Options_Exhibits'!G46:G50)),AVERAGE('20250815_ETF_Options_Exhibits'!G46:G50),"")</f>
        <v/>
      </c>
      <c r="H50" s="3">
        <f>IF(ISNUMBER(AVERAGE('20250815_ETF_Options_Exhibits'!H46:H50)),AVERAGE('20250815_ETF_Options_Exhibits'!H46:H50),"")</f>
        <v/>
      </c>
      <c r="I50" s="3">
        <f>IF(ISNUMBER(AVERAGE('20250815_ETF_Options_Exhibits'!I46:I50)),AVERAGE('20250815_ETF_Options_Exhibits'!I46:I50),"")</f>
        <v/>
      </c>
      <c r="J50" s="3">
        <f>IF(ISNUMBER(AVERAGE('20250815_ETF_Options_Exhibits'!J46:J50)),AVERAGE('20250815_ETF_Options_Exhibits'!J46:J50),"")</f>
        <v/>
      </c>
      <c r="K50" s="3">
        <f>IF(ISNUMBER(AVERAGE('20250815_ETF_Options_Exhibits'!K46:K50)),AVERAGE('20250815_ETF_Options_Exhibits'!K46:K50),"")</f>
        <v/>
      </c>
      <c r="L50" s="3">
        <f>IF(ISNUMBER(AVERAGE('20250815_ETF_Options_Exhibits'!L46:L50)),AVERAGE('20250815_ETF_Options_Exhibits'!L46:L50),"")</f>
        <v/>
      </c>
      <c r="M50" s="3">
        <f>IF(ISNUMBER(AVERAGE('20250815_ETF_Options_Exhibits'!M46:M50)),AVERAGE('20250815_ETF_Options_Exhibits'!M46:M50),"")</f>
        <v/>
      </c>
      <c r="N50" s="3">
        <f>IF(ISNUMBER(AVERAGE('20250815_ETF_Options_Exhibits'!N46:N50)),AVERAGE('20250815_ETF_Options_Exhibits'!N46:N50),"")</f>
        <v/>
      </c>
      <c r="O50" s="3">
        <f>IF(ISNUMBER(AVERAGE('20250815_ETF_Options_Exhibits'!O46:O50)),AVERAGE('20250815_ETF_Options_Exhibits'!O46:O50),"")</f>
        <v/>
      </c>
      <c r="P50" s="3">
        <f>IF(ISNUMBER(AVERAGE('20250815_ETF_Options_Exhibits'!P46:P50)),AVERAGE('20250815_ETF_Options_Exhibits'!P46:P50),"")</f>
        <v/>
      </c>
      <c r="Q50" s="3">
        <f>IF(ISNUMBER(AVERAGE('20250815_ETF_Options_Exhibits'!Q46:Q50)),AVERAGE('20250815_ETF_Options_Exhibits'!Q46:Q50),"")</f>
        <v/>
      </c>
      <c r="R50" s="3">
        <f>IF(ISNUMBER(AVERAGE('20250815_ETF_Options_Exhibits'!R46:R50)),AVERAGE('20250815_ETF_Options_Exhibits'!R46:R50),"")</f>
        <v/>
      </c>
      <c r="S50" s="3">
        <f>IF(ISNUMBER(AVERAGE('20250815_ETF_Options_Exhibits'!S46:S50)),AVERAGE('20250815_ETF_Options_Exhibits'!S46:S50),"")</f>
        <v/>
      </c>
      <c r="T50" s="3">
        <f>IF(ISNUMBER(AVERAGE('20250815_ETF_Options_Exhibits'!T46:T50)),AVERAGE('20250815_ETF_Options_Exhibits'!T46:T50),"")</f>
        <v/>
      </c>
      <c r="U50" s="3">
        <f>IF(ISNUMBER(AVERAGE('20250815_ETF_Options_Exhibits'!U46:U50)),AVERAGE('20250815_ETF_Options_Exhibits'!U46:U50),"")</f>
        <v/>
      </c>
      <c r="V50" s="3">
        <f>IF(ISNUMBER(AVERAGE('20250815_ETF_Options_Exhibits'!V46:V50)),AVERAGE('20250815_ETF_Options_Exhibits'!V46:V50),"")</f>
        <v/>
      </c>
      <c r="W50" s="3">
        <f>IF(ISNUMBER(AVERAGE('20250815_ETF_Options_Exhibits'!W46:W50)),AVERAGE('20250815_ETF_Options_Exhibits'!W46:W50),"")</f>
        <v/>
      </c>
      <c r="X50" s="3">
        <f>IF(ISNUMBER(AVERAGE('20250815_ETF_Options_Exhibits'!X46:X50)),AVERAGE('20250815_ETF_Options_Exhibits'!X46:X50),"")</f>
        <v/>
      </c>
      <c r="Y50" s="3">
        <f>IF(ISNUMBER(AVERAGE('20250815_ETF_Options_Exhibits'!Y46:Y50)),AVERAGE('20250815_ETF_Options_Exhibits'!Y46:Y50),"")</f>
        <v/>
      </c>
      <c r="Z50" s="3">
        <f>IF(ISNUMBER(AVERAGE('20250815_ETF_Options_Exhibits'!Z46:Z50)),AVERAGE('20250815_ETF_Options_Exhibits'!Z46:Z50),"")</f>
        <v/>
      </c>
      <c r="AA50" s="3">
        <f>IF(ISNUMBER(AVERAGE('20250815_ETF_Options_Exhibits'!AA46:AA50)),AVERAGE('20250815_ETF_Options_Exhibits'!AA46:AA50),"")</f>
        <v/>
      </c>
    </row>
    <row r="51">
      <c r="A51" s="1" t="n">
        <v>42076</v>
      </c>
      <c r="B51" s="3">
        <f>IF(ISNUMBER(AVERAGE('20250815_ETF_Options_Exhibits'!B47:B51)),AVERAGE('20250815_ETF_Options_Exhibits'!B47:B51),"")</f>
        <v/>
      </c>
      <c r="C51" s="3">
        <f>IF(ISNUMBER(AVERAGE('20250815_ETF_Options_Exhibits'!C47:C51)),AVERAGE('20250815_ETF_Options_Exhibits'!C47:C51),"")</f>
        <v/>
      </c>
      <c r="D51" s="3">
        <f>IF(ISNUMBER(AVERAGE('20250815_ETF_Options_Exhibits'!D47:D51)),AVERAGE('20250815_ETF_Options_Exhibits'!D47:D51),"")</f>
        <v/>
      </c>
      <c r="E51" s="3">
        <f>IF(ISNUMBER(AVERAGE('20250815_ETF_Options_Exhibits'!E47:E51)),AVERAGE('20250815_ETF_Options_Exhibits'!E47:E51),"")</f>
        <v/>
      </c>
      <c r="F51" s="3">
        <f>IF(ISNUMBER(AVERAGE('20250815_ETF_Options_Exhibits'!F47:F51)),AVERAGE('20250815_ETF_Options_Exhibits'!F47:F51),"")</f>
        <v/>
      </c>
      <c r="G51" s="3">
        <f>IF(ISNUMBER(AVERAGE('20250815_ETF_Options_Exhibits'!G47:G51)),AVERAGE('20250815_ETF_Options_Exhibits'!G47:G51),"")</f>
        <v/>
      </c>
      <c r="H51" s="3">
        <f>IF(ISNUMBER(AVERAGE('20250815_ETF_Options_Exhibits'!H47:H51)),AVERAGE('20250815_ETF_Options_Exhibits'!H47:H51),"")</f>
        <v/>
      </c>
      <c r="I51" s="3">
        <f>IF(ISNUMBER(AVERAGE('20250815_ETF_Options_Exhibits'!I47:I51)),AVERAGE('20250815_ETF_Options_Exhibits'!I47:I51),"")</f>
        <v/>
      </c>
      <c r="J51" s="3">
        <f>IF(ISNUMBER(AVERAGE('20250815_ETF_Options_Exhibits'!J47:J51)),AVERAGE('20250815_ETF_Options_Exhibits'!J47:J51),"")</f>
        <v/>
      </c>
      <c r="K51" s="3">
        <f>IF(ISNUMBER(AVERAGE('20250815_ETF_Options_Exhibits'!K47:K51)),AVERAGE('20250815_ETF_Options_Exhibits'!K47:K51),"")</f>
        <v/>
      </c>
      <c r="L51" s="3">
        <f>IF(ISNUMBER(AVERAGE('20250815_ETF_Options_Exhibits'!L47:L51)),AVERAGE('20250815_ETF_Options_Exhibits'!L47:L51),"")</f>
        <v/>
      </c>
      <c r="M51" s="3">
        <f>IF(ISNUMBER(AVERAGE('20250815_ETF_Options_Exhibits'!M47:M51)),AVERAGE('20250815_ETF_Options_Exhibits'!M47:M51),"")</f>
        <v/>
      </c>
      <c r="N51" s="3">
        <f>IF(ISNUMBER(AVERAGE('20250815_ETF_Options_Exhibits'!N47:N51)),AVERAGE('20250815_ETF_Options_Exhibits'!N47:N51),"")</f>
        <v/>
      </c>
      <c r="O51" s="3">
        <f>IF(ISNUMBER(AVERAGE('20250815_ETF_Options_Exhibits'!O47:O51)),AVERAGE('20250815_ETF_Options_Exhibits'!O47:O51),"")</f>
        <v/>
      </c>
      <c r="P51" s="3">
        <f>IF(ISNUMBER(AVERAGE('20250815_ETF_Options_Exhibits'!P47:P51)),AVERAGE('20250815_ETF_Options_Exhibits'!P47:P51),"")</f>
        <v/>
      </c>
      <c r="Q51" s="3">
        <f>IF(ISNUMBER(AVERAGE('20250815_ETF_Options_Exhibits'!Q47:Q51)),AVERAGE('20250815_ETF_Options_Exhibits'!Q47:Q51),"")</f>
        <v/>
      </c>
      <c r="R51" s="3">
        <f>IF(ISNUMBER(AVERAGE('20250815_ETF_Options_Exhibits'!R47:R51)),AVERAGE('20250815_ETF_Options_Exhibits'!R47:R51),"")</f>
        <v/>
      </c>
      <c r="S51" s="3">
        <f>IF(ISNUMBER(AVERAGE('20250815_ETF_Options_Exhibits'!S47:S51)),AVERAGE('20250815_ETF_Options_Exhibits'!S47:S51),"")</f>
        <v/>
      </c>
      <c r="T51" s="3">
        <f>IF(ISNUMBER(AVERAGE('20250815_ETF_Options_Exhibits'!T47:T51)),AVERAGE('20250815_ETF_Options_Exhibits'!T47:T51),"")</f>
        <v/>
      </c>
      <c r="U51" s="3">
        <f>IF(ISNUMBER(AVERAGE('20250815_ETF_Options_Exhibits'!U47:U51)),AVERAGE('20250815_ETF_Options_Exhibits'!U47:U51),"")</f>
        <v/>
      </c>
      <c r="V51" s="3">
        <f>IF(ISNUMBER(AVERAGE('20250815_ETF_Options_Exhibits'!V47:V51)),AVERAGE('20250815_ETF_Options_Exhibits'!V47:V51),"")</f>
        <v/>
      </c>
      <c r="W51" s="3">
        <f>IF(ISNUMBER(AVERAGE('20250815_ETF_Options_Exhibits'!W47:W51)),AVERAGE('20250815_ETF_Options_Exhibits'!W47:W51),"")</f>
        <v/>
      </c>
      <c r="X51" s="3">
        <f>IF(ISNUMBER(AVERAGE('20250815_ETF_Options_Exhibits'!X47:X51)),AVERAGE('20250815_ETF_Options_Exhibits'!X47:X51),"")</f>
        <v/>
      </c>
      <c r="Y51" s="3">
        <f>IF(ISNUMBER(AVERAGE('20250815_ETF_Options_Exhibits'!Y47:Y51)),AVERAGE('20250815_ETF_Options_Exhibits'!Y47:Y51),"")</f>
        <v/>
      </c>
      <c r="Z51" s="3">
        <f>IF(ISNUMBER(AVERAGE('20250815_ETF_Options_Exhibits'!Z47:Z51)),AVERAGE('20250815_ETF_Options_Exhibits'!Z47:Z51),"")</f>
        <v/>
      </c>
      <c r="AA51" s="3">
        <f>IF(ISNUMBER(AVERAGE('20250815_ETF_Options_Exhibits'!AA47:AA51)),AVERAGE('20250815_ETF_Options_Exhibits'!AA47:AA51),"")</f>
        <v/>
      </c>
    </row>
    <row r="52">
      <c r="A52" s="1" t="n">
        <v>42079</v>
      </c>
      <c r="B52" s="3">
        <f>IF(ISNUMBER(AVERAGE('20250815_ETF_Options_Exhibits'!B48:B52)),AVERAGE('20250815_ETF_Options_Exhibits'!B48:B52),"")</f>
        <v/>
      </c>
      <c r="C52" s="3">
        <f>IF(ISNUMBER(AVERAGE('20250815_ETF_Options_Exhibits'!C48:C52)),AVERAGE('20250815_ETF_Options_Exhibits'!C48:C52),"")</f>
        <v/>
      </c>
      <c r="D52" s="3">
        <f>IF(ISNUMBER(AVERAGE('20250815_ETF_Options_Exhibits'!D48:D52)),AVERAGE('20250815_ETF_Options_Exhibits'!D48:D52),"")</f>
        <v/>
      </c>
      <c r="E52" s="3">
        <f>IF(ISNUMBER(AVERAGE('20250815_ETF_Options_Exhibits'!E48:E52)),AVERAGE('20250815_ETF_Options_Exhibits'!E48:E52),"")</f>
        <v/>
      </c>
      <c r="F52" s="3">
        <f>IF(ISNUMBER(AVERAGE('20250815_ETF_Options_Exhibits'!F48:F52)),AVERAGE('20250815_ETF_Options_Exhibits'!F48:F52),"")</f>
        <v/>
      </c>
      <c r="G52" s="3">
        <f>IF(ISNUMBER(AVERAGE('20250815_ETF_Options_Exhibits'!G48:G52)),AVERAGE('20250815_ETF_Options_Exhibits'!G48:G52),"")</f>
        <v/>
      </c>
      <c r="H52" s="3">
        <f>IF(ISNUMBER(AVERAGE('20250815_ETF_Options_Exhibits'!H48:H52)),AVERAGE('20250815_ETF_Options_Exhibits'!H48:H52),"")</f>
        <v/>
      </c>
      <c r="I52" s="3">
        <f>IF(ISNUMBER(AVERAGE('20250815_ETF_Options_Exhibits'!I48:I52)),AVERAGE('20250815_ETF_Options_Exhibits'!I48:I52),"")</f>
        <v/>
      </c>
      <c r="J52" s="3">
        <f>IF(ISNUMBER(AVERAGE('20250815_ETF_Options_Exhibits'!J48:J52)),AVERAGE('20250815_ETF_Options_Exhibits'!J48:J52),"")</f>
        <v/>
      </c>
      <c r="K52" s="3">
        <f>IF(ISNUMBER(AVERAGE('20250815_ETF_Options_Exhibits'!K48:K52)),AVERAGE('20250815_ETF_Options_Exhibits'!K48:K52),"")</f>
        <v/>
      </c>
      <c r="L52" s="3">
        <f>IF(ISNUMBER(AVERAGE('20250815_ETF_Options_Exhibits'!L48:L52)),AVERAGE('20250815_ETF_Options_Exhibits'!L48:L52),"")</f>
        <v/>
      </c>
      <c r="M52" s="3">
        <f>IF(ISNUMBER(AVERAGE('20250815_ETF_Options_Exhibits'!M48:M52)),AVERAGE('20250815_ETF_Options_Exhibits'!M48:M52),"")</f>
        <v/>
      </c>
      <c r="N52" s="3">
        <f>IF(ISNUMBER(AVERAGE('20250815_ETF_Options_Exhibits'!N48:N52)),AVERAGE('20250815_ETF_Options_Exhibits'!N48:N52),"")</f>
        <v/>
      </c>
      <c r="O52" s="3">
        <f>IF(ISNUMBER(AVERAGE('20250815_ETF_Options_Exhibits'!O48:O52)),AVERAGE('20250815_ETF_Options_Exhibits'!O48:O52),"")</f>
        <v/>
      </c>
      <c r="P52" s="3">
        <f>IF(ISNUMBER(AVERAGE('20250815_ETF_Options_Exhibits'!P48:P52)),AVERAGE('20250815_ETF_Options_Exhibits'!P48:P52),"")</f>
        <v/>
      </c>
      <c r="Q52" s="3">
        <f>IF(ISNUMBER(AVERAGE('20250815_ETF_Options_Exhibits'!Q48:Q52)),AVERAGE('20250815_ETF_Options_Exhibits'!Q48:Q52),"")</f>
        <v/>
      </c>
      <c r="R52" s="3">
        <f>IF(ISNUMBER(AVERAGE('20250815_ETF_Options_Exhibits'!R48:R52)),AVERAGE('20250815_ETF_Options_Exhibits'!R48:R52),"")</f>
        <v/>
      </c>
      <c r="S52" s="3">
        <f>IF(ISNUMBER(AVERAGE('20250815_ETF_Options_Exhibits'!S48:S52)),AVERAGE('20250815_ETF_Options_Exhibits'!S48:S52),"")</f>
        <v/>
      </c>
      <c r="T52" s="3">
        <f>IF(ISNUMBER(AVERAGE('20250815_ETF_Options_Exhibits'!T48:T52)),AVERAGE('20250815_ETF_Options_Exhibits'!T48:T52),"")</f>
        <v/>
      </c>
      <c r="U52" s="3">
        <f>IF(ISNUMBER(AVERAGE('20250815_ETF_Options_Exhibits'!U48:U52)),AVERAGE('20250815_ETF_Options_Exhibits'!U48:U52),"")</f>
        <v/>
      </c>
      <c r="V52" s="3">
        <f>IF(ISNUMBER(AVERAGE('20250815_ETF_Options_Exhibits'!V48:V52)),AVERAGE('20250815_ETF_Options_Exhibits'!V48:V52),"")</f>
        <v/>
      </c>
      <c r="W52" s="3">
        <f>IF(ISNUMBER(AVERAGE('20250815_ETF_Options_Exhibits'!W48:W52)),AVERAGE('20250815_ETF_Options_Exhibits'!W48:W52),"")</f>
        <v/>
      </c>
      <c r="X52" s="3">
        <f>IF(ISNUMBER(AVERAGE('20250815_ETF_Options_Exhibits'!X48:X52)),AVERAGE('20250815_ETF_Options_Exhibits'!X48:X52),"")</f>
        <v/>
      </c>
      <c r="Y52" s="3">
        <f>IF(ISNUMBER(AVERAGE('20250815_ETF_Options_Exhibits'!Y48:Y52)),AVERAGE('20250815_ETF_Options_Exhibits'!Y48:Y52),"")</f>
        <v/>
      </c>
      <c r="Z52" s="3">
        <f>IF(ISNUMBER(AVERAGE('20250815_ETF_Options_Exhibits'!Z48:Z52)),AVERAGE('20250815_ETF_Options_Exhibits'!Z48:Z52),"")</f>
        <v/>
      </c>
      <c r="AA52" s="3">
        <f>IF(ISNUMBER(AVERAGE('20250815_ETF_Options_Exhibits'!AA48:AA52)),AVERAGE('20250815_ETF_Options_Exhibits'!AA48:AA52),"")</f>
        <v/>
      </c>
    </row>
    <row r="53">
      <c r="A53" s="1" t="n">
        <v>42080</v>
      </c>
      <c r="B53" s="3">
        <f>IF(ISNUMBER(AVERAGE('20250815_ETF_Options_Exhibits'!B49:B53)),AVERAGE('20250815_ETF_Options_Exhibits'!B49:B53),"")</f>
        <v/>
      </c>
      <c r="C53" s="3">
        <f>IF(ISNUMBER(AVERAGE('20250815_ETF_Options_Exhibits'!C49:C53)),AVERAGE('20250815_ETF_Options_Exhibits'!C49:C53),"")</f>
        <v/>
      </c>
      <c r="D53" s="3">
        <f>IF(ISNUMBER(AVERAGE('20250815_ETF_Options_Exhibits'!D49:D53)),AVERAGE('20250815_ETF_Options_Exhibits'!D49:D53),"")</f>
        <v/>
      </c>
      <c r="E53" s="3">
        <f>IF(ISNUMBER(AVERAGE('20250815_ETF_Options_Exhibits'!E49:E53)),AVERAGE('20250815_ETF_Options_Exhibits'!E49:E53),"")</f>
        <v/>
      </c>
      <c r="F53" s="3">
        <f>IF(ISNUMBER(AVERAGE('20250815_ETF_Options_Exhibits'!F49:F53)),AVERAGE('20250815_ETF_Options_Exhibits'!F49:F53),"")</f>
        <v/>
      </c>
      <c r="G53" s="3">
        <f>IF(ISNUMBER(AVERAGE('20250815_ETF_Options_Exhibits'!G49:G53)),AVERAGE('20250815_ETF_Options_Exhibits'!G49:G53),"")</f>
        <v/>
      </c>
      <c r="H53" s="3">
        <f>IF(ISNUMBER(AVERAGE('20250815_ETF_Options_Exhibits'!H49:H53)),AVERAGE('20250815_ETF_Options_Exhibits'!H49:H53),"")</f>
        <v/>
      </c>
      <c r="I53" s="3">
        <f>IF(ISNUMBER(AVERAGE('20250815_ETF_Options_Exhibits'!I49:I53)),AVERAGE('20250815_ETF_Options_Exhibits'!I49:I53),"")</f>
        <v/>
      </c>
      <c r="J53" s="3">
        <f>IF(ISNUMBER(AVERAGE('20250815_ETF_Options_Exhibits'!J49:J53)),AVERAGE('20250815_ETF_Options_Exhibits'!J49:J53),"")</f>
        <v/>
      </c>
      <c r="K53" s="3">
        <f>IF(ISNUMBER(AVERAGE('20250815_ETF_Options_Exhibits'!K49:K53)),AVERAGE('20250815_ETF_Options_Exhibits'!K49:K53),"")</f>
        <v/>
      </c>
      <c r="L53" s="3">
        <f>IF(ISNUMBER(AVERAGE('20250815_ETF_Options_Exhibits'!L49:L53)),AVERAGE('20250815_ETF_Options_Exhibits'!L49:L53),"")</f>
        <v/>
      </c>
      <c r="M53" s="3">
        <f>IF(ISNUMBER(AVERAGE('20250815_ETF_Options_Exhibits'!M49:M53)),AVERAGE('20250815_ETF_Options_Exhibits'!M49:M53),"")</f>
        <v/>
      </c>
      <c r="N53" s="3">
        <f>IF(ISNUMBER(AVERAGE('20250815_ETF_Options_Exhibits'!N49:N53)),AVERAGE('20250815_ETF_Options_Exhibits'!N49:N53),"")</f>
        <v/>
      </c>
      <c r="O53" s="3">
        <f>IF(ISNUMBER(AVERAGE('20250815_ETF_Options_Exhibits'!O49:O53)),AVERAGE('20250815_ETF_Options_Exhibits'!O49:O53),"")</f>
        <v/>
      </c>
      <c r="P53" s="3">
        <f>IF(ISNUMBER(AVERAGE('20250815_ETF_Options_Exhibits'!P49:P53)),AVERAGE('20250815_ETF_Options_Exhibits'!P49:P53),"")</f>
        <v/>
      </c>
      <c r="Q53" s="3">
        <f>IF(ISNUMBER(AVERAGE('20250815_ETF_Options_Exhibits'!Q49:Q53)),AVERAGE('20250815_ETF_Options_Exhibits'!Q49:Q53),"")</f>
        <v/>
      </c>
      <c r="R53" s="3">
        <f>IF(ISNUMBER(AVERAGE('20250815_ETF_Options_Exhibits'!R49:R53)),AVERAGE('20250815_ETF_Options_Exhibits'!R49:R53),"")</f>
        <v/>
      </c>
      <c r="S53" s="3">
        <f>IF(ISNUMBER(AVERAGE('20250815_ETF_Options_Exhibits'!S49:S53)),AVERAGE('20250815_ETF_Options_Exhibits'!S49:S53),"")</f>
        <v/>
      </c>
      <c r="T53" s="3">
        <f>IF(ISNUMBER(AVERAGE('20250815_ETF_Options_Exhibits'!T49:T53)),AVERAGE('20250815_ETF_Options_Exhibits'!T49:T53),"")</f>
        <v/>
      </c>
      <c r="U53" s="3">
        <f>IF(ISNUMBER(AVERAGE('20250815_ETF_Options_Exhibits'!U49:U53)),AVERAGE('20250815_ETF_Options_Exhibits'!U49:U53),"")</f>
        <v/>
      </c>
      <c r="V53" s="3">
        <f>IF(ISNUMBER(AVERAGE('20250815_ETF_Options_Exhibits'!V49:V53)),AVERAGE('20250815_ETF_Options_Exhibits'!V49:V53),"")</f>
        <v/>
      </c>
      <c r="W53" s="3">
        <f>IF(ISNUMBER(AVERAGE('20250815_ETF_Options_Exhibits'!W49:W53)),AVERAGE('20250815_ETF_Options_Exhibits'!W49:W53),"")</f>
        <v/>
      </c>
      <c r="X53" s="3">
        <f>IF(ISNUMBER(AVERAGE('20250815_ETF_Options_Exhibits'!X49:X53)),AVERAGE('20250815_ETF_Options_Exhibits'!X49:X53),"")</f>
        <v/>
      </c>
      <c r="Y53" s="3">
        <f>IF(ISNUMBER(AVERAGE('20250815_ETF_Options_Exhibits'!Y49:Y53)),AVERAGE('20250815_ETF_Options_Exhibits'!Y49:Y53),"")</f>
        <v/>
      </c>
      <c r="Z53" s="3">
        <f>IF(ISNUMBER(AVERAGE('20250815_ETF_Options_Exhibits'!Z49:Z53)),AVERAGE('20250815_ETF_Options_Exhibits'!Z49:Z53),"")</f>
        <v/>
      </c>
      <c r="AA53" s="3">
        <f>IF(ISNUMBER(AVERAGE('20250815_ETF_Options_Exhibits'!AA49:AA53)),AVERAGE('20250815_ETF_Options_Exhibits'!AA49:AA53),"")</f>
        <v/>
      </c>
    </row>
    <row r="54">
      <c r="A54" s="1" t="n">
        <v>42081</v>
      </c>
      <c r="B54" s="3">
        <f>IF(ISNUMBER(AVERAGE('20250815_ETF_Options_Exhibits'!B50:B54)),AVERAGE('20250815_ETF_Options_Exhibits'!B50:B54),"")</f>
        <v/>
      </c>
      <c r="C54" s="3">
        <f>IF(ISNUMBER(AVERAGE('20250815_ETF_Options_Exhibits'!C50:C54)),AVERAGE('20250815_ETF_Options_Exhibits'!C50:C54),"")</f>
        <v/>
      </c>
      <c r="D54" s="3">
        <f>IF(ISNUMBER(AVERAGE('20250815_ETF_Options_Exhibits'!D50:D54)),AVERAGE('20250815_ETF_Options_Exhibits'!D50:D54),"")</f>
        <v/>
      </c>
      <c r="E54" s="3">
        <f>IF(ISNUMBER(AVERAGE('20250815_ETF_Options_Exhibits'!E50:E54)),AVERAGE('20250815_ETF_Options_Exhibits'!E50:E54),"")</f>
        <v/>
      </c>
      <c r="F54" s="3">
        <f>IF(ISNUMBER(AVERAGE('20250815_ETF_Options_Exhibits'!F50:F54)),AVERAGE('20250815_ETF_Options_Exhibits'!F50:F54),"")</f>
        <v/>
      </c>
      <c r="G54" s="3">
        <f>IF(ISNUMBER(AVERAGE('20250815_ETF_Options_Exhibits'!G50:G54)),AVERAGE('20250815_ETF_Options_Exhibits'!G50:G54),"")</f>
        <v/>
      </c>
      <c r="H54" s="3">
        <f>IF(ISNUMBER(AVERAGE('20250815_ETF_Options_Exhibits'!H50:H54)),AVERAGE('20250815_ETF_Options_Exhibits'!H50:H54),"")</f>
        <v/>
      </c>
      <c r="I54" s="3">
        <f>IF(ISNUMBER(AVERAGE('20250815_ETF_Options_Exhibits'!I50:I54)),AVERAGE('20250815_ETF_Options_Exhibits'!I50:I54),"")</f>
        <v/>
      </c>
      <c r="J54" s="3">
        <f>IF(ISNUMBER(AVERAGE('20250815_ETF_Options_Exhibits'!J50:J54)),AVERAGE('20250815_ETF_Options_Exhibits'!J50:J54),"")</f>
        <v/>
      </c>
      <c r="K54" s="3">
        <f>IF(ISNUMBER(AVERAGE('20250815_ETF_Options_Exhibits'!K50:K54)),AVERAGE('20250815_ETF_Options_Exhibits'!K50:K54),"")</f>
        <v/>
      </c>
      <c r="L54" s="3">
        <f>IF(ISNUMBER(AVERAGE('20250815_ETF_Options_Exhibits'!L50:L54)),AVERAGE('20250815_ETF_Options_Exhibits'!L50:L54),"")</f>
        <v/>
      </c>
      <c r="M54" s="3">
        <f>IF(ISNUMBER(AVERAGE('20250815_ETF_Options_Exhibits'!M50:M54)),AVERAGE('20250815_ETF_Options_Exhibits'!M50:M54),"")</f>
        <v/>
      </c>
      <c r="N54" s="3">
        <f>IF(ISNUMBER(AVERAGE('20250815_ETF_Options_Exhibits'!N50:N54)),AVERAGE('20250815_ETF_Options_Exhibits'!N50:N54),"")</f>
        <v/>
      </c>
      <c r="O54" s="3">
        <f>IF(ISNUMBER(AVERAGE('20250815_ETF_Options_Exhibits'!O50:O54)),AVERAGE('20250815_ETF_Options_Exhibits'!O50:O54),"")</f>
        <v/>
      </c>
      <c r="P54" s="3">
        <f>IF(ISNUMBER(AVERAGE('20250815_ETF_Options_Exhibits'!P50:P54)),AVERAGE('20250815_ETF_Options_Exhibits'!P50:P54),"")</f>
        <v/>
      </c>
      <c r="Q54" s="3">
        <f>IF(ISNUMBER(AVERAGE('20250815_ETF_Options_Exhibits'!Q50:Q54)),AVERAGE('20250815_ETF_Options_Exhibits'!Q50:Q54),"")</f>
        <v/>
      </c>
      <c r="R54" s="3">
        <f>IF(ISNUMBER(AVERAGE('20250815_ETF_Options_Exhibits'!R50:R54)),AVERAGE('20250815_ETF_Options_Exhibits'!R50:R54),"")</f>
        <v/>
      </c>
      <c r="S54" s="3">
        <f>IF(ISNUMBER(AVERAGE('20250815_ETF_Options_Exhibits'!S50:S54)),AVERAGE('20250815_ETF_Options_Exhibits'!S50:S54),"")</f>
        <v/>
      </c>
      <c r="T54" s="3">
        <f>IF(ISNUMBER(AVERAGE('20250815_ETF_Options_Exhibits'!T50:T54)),AVERAGE('20250815_ETF_Options_Exhibits'!T50:T54),"")</f>
        <v/>
      </c>
      <c r="U54" s="3">
        <f>IF(ISNUMBER(AVERAGE('20250815_ETF_Options_Exhibits'!U50:U54)),AVERAGE('20250815_ETF_Options_Exhibits'!U50:U54),"")</f>
        <v/>
      </c>
      <c r="V54" s="3">
        <f>IF(ISNUMBER(AVERAGE('20250815_ETF_Options_Exhibits'!V50:V54)),AVERAGE('20250815_ETF_Options_Exhibits'!V50:V54),"")</f>
        <v/>
      </c>
      <c r="W54" s="3">
        <f>IF(ISNUMBER(AVERAGE('20250815_ETF_Options_Exhibits'!W50:W54)),AVERAGE('20250815_ETF_Options_Exhibits'!W50:W54),"")</f>
        <v/>
      </c>
      <c r="X54" s="3">
        <f>IF(ISNUMBER(AVERAGE('20250815_ETF_Options_Exhibits'!X50:X54)),AVERAGE('20250815_ETF_Options_Exhibits'!X50:X54),"")</f>
        <v/>
      </c>
      <c r="Y54" s="3">
        <f>IF(ISNUMBER(AVERAGE('20250815_ETF_Options_Exhibits'!Y50:Y54)),AVERAGE('20250815_ETF_Options_Exhibits'!Y50:Y54),"")</f>
        <v/>
      </c>
      <c r="Z54" s="3">
        <f>IF(ISNUMBER(AVERAGE('20250815_ETF_Options_Exhibits'!Z50:Z54)),AVERAGE('20250815_ETF_Options_Exhibits'!Z50:Z54),"")</f>
        <v/>
      </c>
      <c r="AA54" s="3">
        <f>IF(ISNUMBER(AVERAGE('20250815_ETF_Options_Exhibits'!AA50:AA54)),AVERAGE('20250815_ETF_Options_Exhibits'!AA50:AA54),"")</f>
        <v/>
      </c>
    </row>
    <row r="55">
      <c r="A55" s="1" t="n">
        <v>42082</v>
      </c>
      <c r="B55" s="3">
        <f>IF(ISNUMBER(AVERAGE('20250815_ETF_Options_Exhibits'!B51:B55)),AVERAGE('20250815_ETF_Options_Exhibits'!B51:B55),"")</f>
        <v/>
      </c>
      <c r="C55" s="3">
        <f>IF(ISNUMBER(AVERAGE('20250815_ETF_Options_Exhibits'!C51:C55)),AVERAGE('20250815_ETF_Options_Exhibits'!C51:C55),"")</f>
        <v/>
      </c>
      <c r="D55" s="3">
        <f>IF(ISNUMBER(AVERAGE('20250815_ETF_Options_Exhibits'!D51:D55)),AVERAGE('20250815_ETF_Options_Exhibits'!D51:D55),"")</f>
        <v/>
      </c>
      <c r="E55" s="3">
        <f>IF(ISNUMBER(AVERAGE('20250815_ETF_Options_Exhibits'!E51:E55)),AVERAGE('20250815_ETF_Options_Exhibits'!E51:E55),"")</f>
        <v/>
      </c>
      <c r="F55" s="3">
        <f>IF(ISNUMBER(AVERAGE('20250815_ETF_Options_Exhibits'!F51:F55)),AVERAGE('20250815_ETF_Options_Exhibits'!F51:F55),"")</f>
        <v/>
      </c>
      <c r="G55" s="3">
        <f>IF(ISNUMBER(AVERAGE('20250815_ETF_Options_Exhibits'!G51:G55)),AVERAGE('20250815_ETF_Options_Exhibits'!G51:G55),"")</f>
        <v/>
      </c>
      <c r="H55" s="3">
        <f>IF(ISNUMBER(AVERAGE('20250815_ETF_Options_Exhibits'!H51:H55)),AVERAGE('20250815_ETF_Options_Exhibits'!H51:H55),"")</f>
        <v/>
      </c>
      <c r="I55" s="3">
        <f>IF(ISNUMBER(AVERAGE('20250815_ETF_Options_Exhibits'!I51:I55)),AVERAGE('20250815_ETF_Options_Exhibits'!I51:I55),"")</f>
        <v/>
      </c>
      <c r="J55" s="3">
        <f>IF(ISNUMBER(AVERAGE('20250815_ETF_Options_Exhibits'!J51:J55)),AVERAGE('20250815_ETF_Options_Exhibits'!J51:J55),"")</f>
        <v/>
      </c>
      <c r="K55" s="3">
        <f>IF(ISNUMBER(AVERAGE('20250815_ETF_Options_Exhibits'!K51:K55)),AVERAGE('20250815_ETF_Options_Exhibits'!K51:K55),"")</f>
        <v/>
      </c>
      <c r="L55" s="3">
        <f>IF(ISNUMBER(AVERAGE('20250815_ETF_Options_Exhibits'!L51:L55)),AVERAGE('20250815_ETF_Options_Exhibits'!L51:L55),"")</f>
        <v/>
      </c>
      <c r="M55" s="3">
        <f>IF(ISNUMBER(AVERAGE('20250815_ETF_Options_Exhibits'!M51:M55)),AVERAGE('20250815_ETF_Options_Exhibits'!M51:M55),"")</f>
        <v/>
      </c>
      <c r="N55" s="3">
        <f>IF(ISNUMBER(AVERAGE('20250815_ETF_Options_Exhibits'!N51:N55)),AVERAGE('20250815_ETF_Options_Exhibits'!N51:N55),"")</f>
        <v/>
      </c>
      <c r="O55" s="3">
        <f>IF(ISNUMBER(AVERAGE('20250815_ETF_Options_Exhibits'!O51:O55)),AVERAGE('20250815_ETF_Options_Exhibits'!O51:O55),"")</f>
        <v/>
      </c>
      <c r="P55" s="3">
        <f>IF(ISNUMBER(AVERAGE('20250815_ETF_Options_Exhibits'!P51:P55)),AVERAGE('20250815_ETF_Options_Exhibits'!P51:P55),"")</f>
        <v/>
      </c>
      <c r="Q55" s="3">
        <f>IF(ISNUMBER(AVERAGE('20250815_ETF_Options_Exhibits'!Q51:Q55)),AVERAGE('20250815_ETF_Options_Exhibits'!Q51:Q55),"")</f>
        <v/>
      </c>
      <c r="R55" s="3">
        <f>IF(ISNUMBER(AVERAGE('20250815_ETF_Options_Exhibits'!R51:R55)),AVERAGE('20250815_ETF_Options_Exhibits'!R51:R55),"")</f>
        <v/>
      </c>
      <c r="S55" s="3">
        <f>IF(ISNUMBER(AVERAGE('20250815_ETF_Options_Exhibits'!S51:S55)),AVERAGE('20250815_ETF_Options_Exhibits'!S51:S55),"")</f>
        <v/>
      </c>
      <c r="T55" s="3">
        <f>IF(ISNUMBER(AVERAGE('20250815_ETF_Options_Exhibits'!T51:T55)),AVERAGE('20250815_ETF_Options_Exhibits'!T51:T55),"")</f>
        <v/>
      </c>
      <c r="U55" s="3">
        <f>IF(ISNUMBER(AVERAGE('20250815_ETF_Options_Exhibits'!U51:U55)),AVERAGE('20250815_ETF_Options_Exhibits'!U51:U55),"")</f>
        <v/>
      </c>
      <c r="V55" s="3">
        <f>IF(ISNUMBER(AVERAGE('20250815_ETF_Options_Exhibits'!V51:V55)),AVERAGE('20250815_ETF_Options_Exhibits'!V51:V55),"")</f>
        <v/>
      </c>
      <c r="W55" s="3">
        <f>IF(ISNUMBER(AVERAGE('20250815_ETF_Options_Exhibits'!W51:W55)),AVERAGE('20250815_ETF_Options_Exhibits'!W51:W55),"")</f>
        <v/>
      </c>
      <c r="X55" s="3">
        <f>IF(ISNUMBER(AVERAGE('20250815_ETF_Options_Exhibits'!X51:X55)),AVERAGE('20250815_ETF_Options_Exhibits'!X51:X55),"")</f>
        <v/>
      </c>
      <c r="Y55" s="3">
        <f>IF(ISNUMBER(AVERAGE('20250815_ETF_Options_Exhibits'!Y51:Y55)),AVERAGE('20250815_ETF_Options_Exhibits'!Y51:Y55),"")</f>
        <v/>
      </c>
      <c r="Z55" s="3">
        <f>IF(ISNUMBER(AVERAGE('20250815_ETF_Options_Exhibits'!Z51:Z55)),AVERAGE('20250815_ETF_Options_Exhibits'!Z51:Z55),"")</f>
        <v/>
      </c>
      <c r="AA55" s="3">
        <f>IF(ISNUMBER(AVERAGE('20250815_ETF_Options_Exhibits'!AA51:AA55)),AVERAGE('20250815_ETF_Options_Exhibits'!AA51:AA55),"")</f>
        <v/>
      </c>
    </row>
    <row r="56">
      <c r="A56" s="1" t="n">
        <v>42083</v>
      </c>
      <c r="B56" s="3">
        <f>IF(ISNUMBER(AVERAGE('20250815_ETF_Options_Exhibits'!B52:B56)),AVERAGE('20250815_ETF_Options_Exhibits'!B52:B56),"")</f>
        <v/>
      </c>
      <c r="C56" s="3">
        <f>IF(ISNUMBER(AVERAGE('20250815_ETF_Options_Exhibits'!C52:C56)),AVERAGE('20250815_ETF_Options_Exhibits'!C52:C56),"")</f>
        <v/>
      </c>
      <c r="D56" s="3">
        <f>IF(ISNUMBER(AVERAGE('20250815_ETF_Options_Exhibits'!D52:D56)),AVERAGE('20250815_ETF_Options_Exhibits'!D52:D56),"")</f>
        <v/>
      </c>
      <c r="E56" s="3">
        <f>IF(ISNUMBER(AVERAGE('20250815_ETF_Options_Exhibits'!E52:E56)),AVERAGE('20250815_ETF_Options_Exhibits'!E52:E56),"")</f>
        <v/>
      </c>
      <c r="F56" s="3">
        <f>IF(ISNUMBER(AVERAGE('20250815_ETF_Options_Exhibits'!F52:F56)),AVERAGE('20250815_ETF_Options_Exhibits'!F52:F56),"")</f>
        <v/>
      </c>
      <c r="G56" s="3">
        <f>IF(ISNUMBER(AVERAGE('20250815_ETF_Options_Exhibits'!G52:G56)),AVERAGE('20250815_ETF_Options_Exhibits'!G52:G56),"")</f>
        <v/>
      </c>
      <c r="H56" s="3">
        <f>IF(ISNUMBER(AVERAGE('20250815_ETF_Options_Exhibits'!H52:H56)),AVERAGE('20250815_ETF_Options_Exhibits'!H52:H56),"")</f>
        <v/>
      </c>
      <c r="I56" s="3">
        <f>IF(ISNUMBER(AVERAGE('20250815_ETF_Options_Exhibits'!I52:I56)),AVERAGE('20250815_ETF_Options_Exhibits'!I52:I56),"")</f>
        <v/>
      </c>
      <c r="J56" s="3">
        <f>IF(ISNUMBER(AVERAGE('20250815_ETF_Options_Exhibits'!J52:J56)),AVERAGE('20250815_ETF_Options_Exhibits'!J52:J56),"")</f>
        <v/>
      </c>
      <c r="K56" s="3">
        <f>IF(ISNUMBER(AVERAGE('20250815_ETF_Options_Exhibits'!K52:K56)),AVERAGE('20250815_ETF_Options_Exhibits'!K52:K56),"")</f>
        <v/>
      </c>
      <c r="L56" s="3">
        <f>IF(ISNUMBER(AVERAGE('20250815_ETF_Options_Exhibits'!L52:L56)),AVERAGE('20250815_ETF_Options_Exhibits'!L52:L56),"")</f>
        <v/>
      </c>
      <c r="M56" s="3">
        <f>IF(ISNUMBER(AVERAGE('20250815_ETF_Options_Exhibits'!M52:M56)),AVERAGE('20250815_ETF_Options_Exhibits'!M52:M56),"")</f>
        <v/>
      </c>
      <c r="N56" s="3">
        <f>IF(ISNUMBER(AVERAGE('20250815_ETF_Options_Exhibits'!N52:N56)),AVERAGE('20250815_ETF_Options_Exhibits'!N52:N56),"")</f>
        <v/>
      </c>
      <c r="O56" s="3">
        <f>IF(ISNUMBER(AVERAGE('20250815_ETF_Options_Exhibits'!O52:O56)),AVERAGE('20250815_ETF_Options_Exhibits'!O52:O56),"")</f>
        <v/>
      </c>
      <c r="P56" s="3">
        <f>IF(ISNUMBER(AVERAGE('20250815_ETF_Options_Exhibits'!P52:P56)),AVERAGE('20250815_ETF_Options_Exhibits'!P52:P56),"")</f>
        <v/>
      </c>
      <c r="Q56" s="3">
        <f>IF(ISNUMBER(AVERAGE('20250815_ETF_Options_Exhibits'!Q52:Q56)),AVERAGE('20250815_ETF_Options_Exhibits'!Q52:Q56),"")</f>
        <v/>
      </c>
      <c r="R56" s="3">
        <f>IF(ISNUMBER(AVERAGE('20250815_ETF_Options_Exhibits'!R52:R56)),AVERAGE('20250815_ETF_Options_Exhibits'!R52:R56),"")</f>
        <v/>
      </c>
      <c r="S56" s="3">
        <f>IF(ISNUMBER(AVERAGE('20250815_ETF_Options_Exhibits'!S52:S56)),AVERAGE('20250815_ETF_Options_Exhibits'!S52:S56),"")</f>
        <v/>
      </c>
      <c r="T56" s="3">
        <f>IF(ISNUMBER(AVERAGE('20250815_ETF_Options_Exhibits'!T52:T56)),AVERAGE('20250815_ETF_Options_Exhibits'!T52:T56),"")</f>
        <v/>
      </c>
      <c r="U56" s="3">
        <f>IF(ISNUMBER(AVERAGE('20250815_ETF_Options_Exhibits'!U52:U56)),AVERAGE('20250815_ETF_Options_Exhibits'!U52:U56),"")</f>
        <v/>
      </c>
      <c r="V56" s="3">
        <f>IF(ISNUMBER(AVERAGE('20250815_ETF_Options_Exhibits'!V52:V56)),AVERAGE('20250815_ETF_Options_Exhibits'!V52:V56),"")</f>
        <v/>
      </c>
      <c r="W56" s="3">
        <f>IF(ISNUMBER(AVERAGE('20250815_ETF_Options_Exhibits'!W52:W56)),AVERAGE('20250815_ETF_Options_Exhibits'!W52:W56),"")</f>
        <v/>
      </c>
      <c r="X56" s="3">
        <f>IF(ISNUMBER(AVERAGE('20250815_ETF_Options_Exhibits'!X52:X56)),AVERAGE('20250815_ETF_Options_Exhibits'!X52:X56),"")</f>
        <v/>
      </c>
      <c r="Y56" s="3">
        <f>IF(ISNUMBER(AVERAGE('20250815_ETF_Options_Exhibits'!Y52:Y56)),AVERAGE('20250815_ETF_Options_Exhibits'!Y52:Y56),"")</f>
        <v/>
      </c>
      <c r="Z56" s="3">
        <f>IF(ISNUMBER(AVERAGE('20250815_ETF_Options_Exhibits'!Z52:Z56)),AVERAGE('20250815_ETF_Options_Exhibits'!Z52:Z56),"")</f>
        <v/>
      </c>
      <c r="AA56" s="3">
        <f>IF(ISNUMBER(AVERAGE('20250815_ETF_Options_Exhibits'!AA52:AA56)),AVERAGE('20250815_ETF_Options_Exhibits'!AA52:AA56),"")</f>
        <v/>
      </c>
    </row>
    <row r="57">
      <c r="A57" s="1" t="n">
        <v>42086</v>
      </c>
      <c r="B57" s="3">
        <f>IF(ISNUMBER(AVERAGE('20250815_ETF_Options_Exhibits'!B53:B57)),AVERAGE('20250815_ETF_Options_Exhibits'!B53:B57),"")</f>
        <v/>
      </c>
      <c r="C57" s="3">
        <f>IF(ISNUMBER(AVERAGE('20250815_ETF_Options_Exhibits'!C53:C57)),AVERAGE('20250815_ETF_Options_Exhibits'!C53:C57),"")</f>
        <v/>
      </c>
      <c r="D57" s="3">
        <f>IF(ISNUMBER(AVERAGE('20250815_ETF_Options_Exhibits'!D53:D57)),AVERAGE('20250815_ETF_Options_Exhibits'!D53:D57),"")</f>
        <v/>
      </c>
      <c r="E57" s="3">
        <f>IF(ISNUMBER(AVERAGE('20250815_ETF_Options_Exhibits'!E53:E57)),AVERAGE('20250815_ETF_Options_Exhibits'!E53:E57),"")</f>
        <v/>
      </c>
      <c r="F57" s="3">
        <f>IF(ISNUMBER(AVERAGE('20250815_ETF_Options_Exhibits'!F53:F57)),AVERAGE('20250815_ETF_Options_Exhibits'!F53:F57),"")</f>
        <v/>
      </c>
      <c r="G57" s="3">
        <f>IF(ISNUMBER(AVERAGE('20250815_ETF_Options_Exhibits'!G53:G57)),AVERAGE('20250815_ETF_Options_Exhibits'!G53:G57),"")</f>
        <v/>
      </c>
      <c r="H57" s="3">
        <f>IF(ISNUMBER(AVERAGE('20250815_ETF_Options_Exhibits'!H53:H57)),AVERAGE('20250815_ETF_Options_Exhibits'!H53:H57),"")</f>
        <v/>
      </c>
      <c r="I57" s="3">
        <f>IF(ISNUMBER(AVERAGE('20250815_ETF_Options_Exhibits'!I53:I57)),AVERAGE('20250815_ETF_Options_Exhibits'!I53:I57),"")</f>
        <v/>
      </c>
      <c r="J57" s="3">
        <f>IF(ISNUMBER(AVERAGE('20250815_ETF_Options_Exhibits'!J53:J57)),AVERAGE('20250815_ETF_Options_Exhibits'!J53:J57),"")</f>
        <v/>
      </c>
      <c r="K57" s="3">
        <f>IF(ISNUMBER(AVERAGE('20250815_ETF_Options_Exhibits'!K53:K57)),AVERAGE('20250815_ETF_Options_Exhibits'!K53:K57),"")</f>
        <v/>
      </c>
      <c r="L57" s="3">
        <f>IF(ISNUMBER(AVERAGE('20250815_ETF_Options_Exhibits'!L53:L57)),AVERAGE('20250815_ETF_Options_Exhibits'!L53:L57),"")</f>
        <v/>
      </c>
      <c r="M57" s="3">
        <f>IF(ISNUMBER(AVERAGE('20250815_ETF_Options_Exhibits'!M53:M57)),AVERAGE('20250815_ETF_Options_Exhibits'!M53:M57),"")</f>
        <v/>
      </c>
      <c r="N57" s="3">
        <f>IF(ISNUMBER(AVERAGE('20250815_ETF_Options_Exhibits'!N53:N57)),AVERAGE('20250815_ETF_Options_Exhibits'!N53:N57),"")</f>
        <v/>
      </c>
      <c r="O57" s="3">
        <f>IF(ISNUMBER(AVERAGE('20250815_ETF_Options_Exhibits'!O53:O57)),AVERAGE('20250815_ETF_Options_Exhibits'!O53:O57),"")</f>
        <v/>
      </c>
      <c r="P57" s="3">
        <f>IF(ISNUMBER(AVERAGE('20250815_ETF_Options_Exhibits'!P53:P57)),AVERAGE('20250815_ETF_Options_Exhibits'!P53:P57),"")</f>
        <v/>
      </c>
      <c r="Q57" s="3">
        <f>IF(ISNUMBER(AVERAGE('20250815_ETF_Options_Exhibits'!Q53:Q57)),AVERAGE('20250815_ETF_Options_Exhibits'!Q53:Q57),"")</f>
        <v/>
      </c>
      <c r="R57" s="3">
        <f>IF(ISNUMBER(AVERAGE('20250815_ETF_Options_Exhibits'!R53:R57)),AVERAGE('20250815_ETF_Options_Exhibits'!R53:R57),"")</f>
        <v/>
      </c>
      <c r="S57" s="3">
        <f>IF(ISNUMBER(AVERAGE('20250815_ETF_Options_Exhibits'!S53:S57)),AVERAGE('20250815_ETF_Options_Exhibits'!S53:S57),"")</f>
        <v/>
      </c>
      <c r="T57" s="3">
        <f>IF(ISNUMBER(AVERAGE('20250815_ETF_Options_Exhibits'!T53:T57)),AVERAGE('20250815_ETF_Options_Exhibits'!T53:T57),"")</f>
        <v/>
      </c>
      <c r="U57" s="3">
        <f>IF(ISNUMBER(AVERAGE('20250815_ETF_Options_Exhibits'!U53:U57)),AVERAGE('20250815_ETF_Options_Exhibits'!U53:U57),"")</f>
        <v/>
      </c>
      <c r="V57" s="3">
        <f>IF(ISNUMBER(AVERAGE('20250815_ETF_Options_Exhibits'!V53:V57)),AVERAGE('20250815_ETF_Options_Exhibits'!V53:V57),"")</f>
        <v/>
      </c>
      <c r="W57" s="3">
        <f>IF(ISNUMBER(AVERAGE('20250815_ETF_Options_Exhibits'!W53:W57)),AVERAGE('20250815_ETF_Options_Exhibits'!W53:W57),"")</f>
        <v/>
      </c>
      <c r="X57" s="3">
        <f>IF(ISNUMBER(AVERAGE('20250815_ETF_Options_Exhibits'!X53:X57)),AVERAGE('20250815_ETF_Options_Exhibits'!X53:X57),"")</f>
        <v/>
      </c>
      <c r="Y57" s="3">
        <f>IF(ISNUMBER(AVERAGE('20250815_ETF_Options_Exhibits'!Y53:Y57)),AVERAGE('20250815_ETF_Options_Exhibits'!Y53:Y57),"")</f>
        <v/>
      </c>
      <c r="Z57" s="3">
        <f>IF(ISNUMBER(AVERAGE('20250815_ETF_Options_Exhibits'!Z53:Z57)),AVERAGE('20250815_ETF_Options_Exhibits'!Z53:Z57),"")</f>
        <v/>
      </c>
      <c r="AA57" s="3">
        <f>IF(ISNUMBER(AVERAGE('20250815_ETF_Options_Exhibits'!AA53:AA57)),AVERAGE('20250815_ETF_Options_Exhibits'!AA53:AA57),"")</f>
        <v/>
      </c>
    </row>
    <row r="58">
      <c r="A58" s="1" t="n">
        <v>42087</v>
      </c>
      <c r="B58" s="3">
        <f>IF(ISNUMBER(AVERAGE('20250815_ETF_Options_Exhibits'!B54:B58)),AVERAGE('20250815_ETF_Options_Exhibits'!B54:B58),"")</f>
        <v/>
      </c>
      <c r="C58" s="3">
        <f>IF(ISNUMBER(AVERAGE('20250815_ETF_Options_Exhibits'!C54:C58)),AVERAGE('20250815_ETF_Options_Exhibits'!C54:C58),"")</f>
        <v/>
      </c>
      <c r="D58" s="3">
        <f>IF(ISNUMBER(AVERAGE('20250815_ETF_Options_Exhibits'!D54:D58)),AVERAGE('20250815_ETF_Options_Exhibits'!D54:D58),"")</f>
        <v/>
      </c>
      <c r="E58" s="3">
        <f>IF(ISNUMBER(AVERAGE('20250815_ETF_Options_Exhibits'!E54:E58)),AVERAGE('20250815_ETF_Options_Exhibits'!E54:E58),"")</f>
        <v/>
      </c>
      <c r="F58" s="3">
        <f>IF(ISNUMBER(AVERAGE('20250815_ETF_Options_Exhibits'!F54:F58)),AVERAGE('20250815_ETF_Options_Exhibits'!F54:F58),"")</f>
        <v/>
      </c>
      <c r="G58" s="3">
        <f>IF(ISNUMBER(AVERAGE('20250815_ETF_Options_Exhibits'!G54:G58)),AVERAGE('20250815_ETF_Options_Exhibits'!G54:G58),"")</f>
        <v/>
      </c>
      <c r="H58" s="3">
        <f>IF(ISNUMBER(AVERAGE('20250815_ETF_Options_Exhibits'!H54:H58)),AVERAGE('20250815_ETF_Options_Exhibits'!H54:H58),"")</f>
        <v/>
      </c>
      <c r="I58" s="3">
        <f>IF(ISNUMBER(AVERAGE('20250815_ETF_Options_Exhibits'!I54:I58)),AVERAGE('20250815_ETF_Options_Exhibits'!I54:I58),"")</f>
        <v/>
      </c>
      <c r="J58" s="3">
        <f>IF(ISNUMBER(AVERAGE('20250815_ETF_Options_Exhibits'!J54:J58)),AVERAGE('20250815_ETF_Options_Exhibits'!J54:J58),"")</f>
        <v/>
      </c>
      <c r="K58" s="3">
        <f>IF(ISNUMBER(AVERAGE('20250815_ETF_Options_Exhibits'!K54:K58)),AVERAGE('20250815_ETF_Options_Exhibits'!K54:K58),"")</f>
        <v/>
      </c>
      <c r="L58" s="3">
        <f>IF(ISNUMBER(AVERAGE('20250815_ETF_Options_Exhibits'!L54:L58)),AVERAGE('20250815_ETF_Options_Exhibits'!L54:L58),"")</f>
        <v/>
      </c>
      <c r="M58" s="3">
        <f>IF(ISNUMBER(AVERAGE('20250815_ETF_Options_Exhibits'!M54:M58)),AVERAGE('20250815_ETF_Options_Exhibits'!M54:M58),"")</f>
        <v/>
      </c>
      <c r="N58" s="3">
        <f>IF(ISNUMBER(AVERAGE('20250815_ETF_Options_Exhibits'!N54:N58)),AVERAGE('20250815_ETF_Options_Exhibits'!N54:N58),"")</f>
        <v/>
      </c>
      <c r="O58" s="3">
        <f>IF(ISNUMBER(AVERAGE('20250815_ETF_Options_Exhibits'!O54:O58)),AVERAGE('20250815_ETF_Options_Exhibits'!O54:O58),"")</f>
        <v/>
      </c>
      <c r="P58" s="3">
        <f>IF(ISNUMBER(AVERAGE('20250815_ETF_Options_Exhibits'!P54:P58)),AVERAGE('20250815_ETF_Options_Exhibits'!P54:P58),"")</f>
        <v/>
      </c>
      <c r="Q58" s="3">
        <f>IF(ISNUMBER(AVERAGE('20250815_ETF_Options_Exhibits'!Q54:Q58)),AVERAGE('20250815_ETF_Options_Exhibits'!Q54:Q58),"")</f>
        <v/>
      </c>
      <c r="R58" s="3">
        <f>IF(ISNUMBER(AVERAGE('20250815_ETF_Options_Exhibits'!R54:R58)),AVERAGE('20250815_ETF_Options_Exhibits'!R54:R58),"")</f>
        <v/>
      </c>
      <c r="S58" s="3">
        <f>IF(ISNUMBER(AVERAGE('20250815_ETF_Options_Exhibits'!S54:S58)),AVERAGE('20250815_ETF_Options_Exhibits'!S54:S58),"")</f>
        <v/>
      </c>
      <c r="T58" s="3">
        <f>IF(ISNUMBER(AVERAGE('20250815_ETF_Options_Exhibits'!T54:T58)),AVERAGE('20250815_ETF_Options_Exhibits'!T54:T58),"")</f>
        <v/>
      </c>
      <c r="U58" s="3">
        <f>IF(ISNUMBER(AVERAGE('20250815_ETF_Options_Exhibits'!U54:U58)),AVERAGE('20250815_ETF_Options_Exhibits'!U54:U58),"")</f>
        <v/>
      </c>
      <c r="V58" s="3">
        <f>IF(ISNUMBER(AVERAGE('20250815_ETF_Options_Exhibits'!V54:V58)),AVERAGE('20250815_ETF_Options_Exhibits'!V54:V58),"")</f>
        <v/>
      </c>
      <c r="W58" s="3">
        <f>IF(ISNUMBER(AVERAGE('20250815_ETF_Options_Exhibits'!W54:W58)),AVERAGE('20250815_ETF_Options_Exhibits'!W54:W58),"")</f>
        <v/>
      </c>
      <c r="X58" s="3">
        <f>IF(ISNUMBER(AVERAGE('20250815_ETF_Options_Exhibits'!X54:X58)),AVERAGE('20250815_ETF_Options_Exhibits'!X54:X58),"")</f>
        <v/>
      </c>
      <c r="Y58" s="3">
        <f>IF(ISNUMBER(AVERAGE('20250815_ETF_Options_Exhibits'!Y54:Y58)),AVERAGE('20250815_ETF_Options_Exhibits'!Y54:Y58),"")</f>
        <v/>
      </c>
      <c r="Z58" s="3">
        <f>IF(ISNUMBER(AVERAGE('20250815_ETF_Options_Exhibits'!Z54:Z58)),AVERAGE('20250815_ETF_Options_Exhibits'!Z54:Z58),"")</f>
        <v/>
      </c>
      <c r="AA58" s="3">
        <f>IF(ISNUMBER(AVERAGE('20250815_ETF_Options_Exhibits'!AA54:AA58)),AVERAGE('20250815_ETF_Options_Exhibits'!AA54:AA58),"")</f>
        <v/>
      </c>
    </row>
    <row r="59">
      <c r="A59" s="1" t="n">
        <v>42088</v>
      </c>
      <c r="B59" s="3">
        <f>IF(ISNUMBER(AVERAGE('20250815_ETF_Options_Exhibits'!B55:B59)),AVERAGE('20250815_ETF_Options_Exhibits'!B55:B59),"")</f>
        <v/>
      </c>
      <c r="C59" s="3">
        <f>IF(ISNUMBER(AVERAGE('20250815_ETF_Options_Exhibits'!C55:C59)),AVERAGE('20250815_ETF_Options_Exhibits'!C55:C59),"")</f>
        <v/>
      </c>
      <c r="D59" s="3">
        <f>IF(ISNUMBER(AVERAGE('20250815_ETF_Options_Exhibits'!D55:D59)),AVERAGE('20250815_ETF_Options_Exhibits'!D55:D59),"")</f>
        <v/>
      </c>
      <c r="E59" s="3">
        <f>IF(ISNUMBER(AVERAGE('20250815_ETF_Options_Exhibits'!E55:E59)),AVERAGE('20250815_ETF_Options_Exhibits'!E55:E59),"")</f>
        <v/>
      </c>
      <c r="F59" s="3">
        <f>IF(ISNUMBER(AVERAGE('20250815_ETF_Options_Exhibits'!F55:F59)),AVERAGE('20250815_ETF_Options_Exhibits'!F55:F59),"")</f>
        <v/>
      </c>
      <c r="G59" s="3">
        <f>IF(ISNUMBER(AVERAGE('20250815_ETF_Options_Exhibits'!G55:G59)),AVERAGE('20250815_ETF_Options_Exhibits'!G55:G59),"")</f>
        <v/>
      </c>
      <c r="H59" s="3">
        <f>IF(ISNUMBER(AVERAGE('20250815_ETF_Options_Exhibits'!H55:H59)),AVERAGE('20250815_ETF_Options_Exhibits'!H55:H59),"")</f>
        <v/>
      </c>
      <c r="I59" s="3">
        <f>IF(ISNUMBER(AVERAGE('20250815_ETF_Options_Exhibits'!I55:I59)),AVERAGE('20250815_ETF_Options_Exhibits'!I55:I59),"")</f>
        <v/>
      </c>
      <c r="J59" s="3">
        <f>IF(ISNUMBER(AVERAGE('20250815_ETF_Options_Exhibits'!J55:J59)),AVERAGE('20250815_ETF_Options_Exhibits'!J55:J59),"")</f>
        <v/>
      </c>
      <c r="K59" s="3">
        <f>IF(ISNUMBER(AVERAGE('20250815_ETF_Options_Exhibits'!K55:K59)),AVERAGE('20250815_ETF_Options_Exhibits'!K55:K59),"")</f>
        <v/>
      </c>
      <c r="L59" s="3">
        <f>IF(ISNUMBER(AVERAGE('20250815_ETF_Options_Exhibits'!L55:L59)),AVERAGE('20250815_ETF_Options_Exhibits'!L55:L59),"")</f>
        <v/>
      </c>
      <c r="M59" s="3">
        <f>IF(ISNUMBER(AVERAGE('20250815_ETF_Options_Exhibits'!M55:M59)),AVERAGE('20250815_ETF_Options_Exhibits'!M55:M59),"")</f>
        <v/>
      </c>
      <c r="N59" s="3">
        <f>IF(ISNUMBER(AVERAGE('20250815_ETF_Options_Exhibits'!N55:N59)),AVERAGE('20250815_ETF_Options_Exhibits'!N55:N59),"")</f>
        <v/>
      </c>
      <c r="O59" s="3">
        <f>IF(ISNUMBER(AVERAGE('20250815_ETF_Options_Exhibits'!O55:O59)),AVERAGE('20250815_ETF_Options_Exhibits'!O55:O59),"")</f>
        <v/>
      </c>
      <c r="P59" s="3">
        <f>IF(ISNUMBER(AVERAGE('20250815_ETF_Options_Exhibits'!P55:P59)),AVERAGE('20250815_ETF_Options_Exhibits'!P55:P59),"")</f>
        <v/>
      </c>
      <c r="Q59" s="3">
        <f>IF(ISNUMBER(AVERAGE('20250815_ETF_Options_Exhibits'!Q55:Q59)),AVERAGE('20250815_ETF_Options_Exhibits'!Q55:Q59),"")</f>
        <v/>
      </c>
      <c r="R59" s="3">
        <f>IF(ISNUMBER(AVERAGE('20250815_ETF_Options_Exhibits'!R55:R59)),AVERAGE('20250815_ETF_Options_Exhibits'!R55:R59),"")</f>
        <v/>
      </c>
      <c r="S59" s="3">
        <f>IF(ISNUMBER(AVERAGE('20250815_ETF_Options_Exhibits'!S55:S59)),AVERAGE('20250815_ETF_Options_Exhibits'!S55:S59),"")</f>
        <v/>
      </c>
      <c r="T59" s="3">
        <f>IF(ISNUMBER(AVERAGE('20250815_ETF_Options_Exhibits'!T55:T59)),AVERAGE('20250815_ETF_Options_Exhibits'!T55:T59),"")</f>
        <v/>
      </c>
      <c r="U59" s="3">
        <f>IF(ISNUMBER(AVERAGE('20250815_ETF_Options_Exhibits'!U55:U59)),AVERAGE('20250815_ETF_Options_Exhibits'!U55:U59),"")</f>
        <v/>
      </c>
      <c r="V59" s="3">
        <f>IF(ISNUMBER(AVERAGE('20250815_ETF_Options_Exhibits'!V55:V59)),AVERAGE('20250815_ETF_Options_Exhibits'!V55:V59),"")</f>
        <v/>
      </c>
      <c r="W59" s="3">
        <f>IF(ISNUMBER(AVERAGE('20250815_ETF_Options_Exhibits'!W55:W59)),AVERAGE('20250815_ETF_Options_Exhibits'!W55:W59),"")</f>
        <v/>
      </c>
      <c r="X59" s="3">
        <f>IF(ISNUMBER(AVERAGE('20250815_ETF_Options_Exhibits'!X55:X59)),AVERAGE('20250815_ETF_Options_Exhibits'!X55:X59),"")</f>
        <v/>
      </c>
      <c r="Y59" s="3">
        <f>IF(ISNUMBER(AVERAGE('20250815_ETF_Options_Exhibits'!Y55:Y59)),AVERAGE('20250815_ETF_Options_Exhibits'!Y55:Y59),"")</f>
        <v/>
      </c>
      <c r="Z59" s="3">
        <f>IF(ISNUMBER(AVERAGE('20250815_ETF_Options_Exhibits'!Z55:Z59)),AVERAGE('20250815_ETF_Options_Exhibits'!Z55:Z59),"")</f>
        <v/>
      </c>
      <c r="AA59" s="3">
        <f>IF(ISNUMBER(AVERAGE('20250815_ETF_Options_Exhibits'!AA55:AA59)),AVERAGE('20250815_ETF_Options_Exhibits'!AA55:AA59),"")</f>
        <v/>
      </c>
    </row>
    <row r="60">
      <c r="A60" s="1" t="n">
        <v>42089</v>
      </c>
      <c r="B60" s="3">
        <f>IF(ISNUMBER(AVERAGE('20250815_ETF_Options_Exhibits'!B56:B60)),AVERAGE('20250815_ETF_Options_Exhibits'!B56:B60),"")</f>
        <v/>
      </c>
      <c r="C60" s="3">
        <f>IF(ISNUMBER(AVERAGE('20250815_ETF_Options_Exhibits'!C56:C60)),AVERAGE('20250815_ETF_Options_Exhibits'!C56:C60),"")</f>
        <v/>
      </c>
      <c r="D60" s="3">
        <f>IF(ISNUMBER(AVERAGE('20250815_ETF_Options_Exhibits'!D56:D60)),AVERAGE('20250815_ETF_Options_Exhibits'!D56:D60),"")</f>
        <v/>
      </c>
      <c r="E60" s="3">
        <f>IF(ISNUMBER(AVERAGE('20250815_ETF_Options_Exhibits'!E56:E60)),AVERAGE('20250815_ETF_Options_Exhibits'!E56:E60),"")</f>
        <v/>
      </c>
      <c r="F60" s="3">
        <f>IF(ISNUMBER(AVERAGE('20250815_ETF_Options_Exhibits'!F56:F60)),AVERAGE('20250815_ETF_Options_Exhibits'!F56:F60),"")</f>
        <v/>
      </c>
      <c r="G60" s="3">
        <f>IF(ISNUMBER(AVERAGE('20250815_ETF_Options_Exhibits'!G56:G60)),AVERAGE('20250815_ETF_Options_Exhibits'!G56:G60),"")</f>
        <v/>
      </c>
      <c r="H60" s="3">
        <f>IF(ISNUMBER(AVERAGE('20250815_ETF_Options_Exhibits'!H56:H60)),AVERAGE('20250815_ETF_Options_Exhibits'!H56:H60),"")</f>
        <v/>
      </c>
      <c r="I60" s="3">
        <f>IF(ISNUMBER(AVERAGE('20250815_ETF_Options_Exhibits'!I56:I60)),AVERAGE('20250815_ETF_Options_Exhibits'!I56:I60),"")</f>
        <v/>
      </c>
      <c r="J60" s="3">
        <f>IF(ISNUMBER(AVERAGE('20250815_ETF_Options_Exhibits'!J56:J60)),AVERAGE('20250815_ETF_Options_Exhibits'!J56:J60),"")</f>
        <v/>
      </c>
      <c r="K60" s="3">
        <f>IF(ISNUMBER(AVERAGE('20250815_ETF_Options_Exhibits'!K56:K60)),AVERAGE('20250815_ETF_Options_Exhibits'!K56:K60),"")</f>
        <v/>
      </c>
      <c r="L60" s="3">
        <f>IF(ISNUMBER(AVERAGE('20250815_ETF_Options_Exhibits'!L56:L60)),AVERAGE('20250815_ETF_Options_Exhibits'!L56:L60),"")</f>
        <v/>
      </c>
      <c r="M60" s="3">
        <f>IF(ISNUMBER(AVERAGE('20250815_ETF_Options_Exhibits'!M56:M60)),AVERAGE('20250815_ETF_Options_Exhibits'!M56:M60),"")</f>
        <v/>
      </c>
      <c r="N60" s="3">
        <f>IF(ISNUMBER(AVERAGE('20250815_ETF_Options_Exhibits'!N56:N60)),AVERAGE('20250815_ETF_Options_Exhibits'!N56:N60),"")</f>
        <v/>
      </c>
      <c r="O60" s="3">
        <f>IF(ISNUMBER(AVERAGE('20250815_ETF_Options_Exhibits'!O56:O60)),AVERAGE('20250815_ETF_Options_Exhibits'!O56:O60),"")</f>
        <v/>
      </c>
      <c r="P60" s="3">
        <f>IF(ISNUMBER(AVERAGE('20250815_ETF_Options_Exhibits'!P56:P60)),AVERAGE('20250815_ETF_Options_Exhibits'!P56:P60),"")</f>
        <v/>
      </c>
      <c r="Q60" s="3">
        <f>IF(ISNUMBER(AVERAGE('20250815_ETF_Options_Exhibits'!Q56:Q60)),AVERAGE('20250815_ETF_Options_Exhibits'!Q56:Q60),"")</f>
        <v/>
      </c>
      <c r="R60" s="3">
        <f>IF(ISNUMBER(AVERAGE('20250815_ETF_Options_Exhibits'!R56:R60)),AVERAGE('20250815_ETF_Options_Exhibits'!R56:R60),"")</f>
        <v/>
      </c>
      <c r="S60" s="3">
        <f>IF(ISNUMBER(AVERAGE('20250815_ETF_Options_Exhibits'!S56:S60)),AVERAGE('20250815_ETF_Options_Exhibits'!S56:S60),"")</f>
        <v/>
      </c>
      <c r="T60" s="3">
        <f>IF(ISNUMBER(AVERAGE('20250815_ETF_Options_Exhibits'!T56:T60)),AVERAGE('20250815_ETF_Options_Exhibits'!T56:T60),"")</f>
        <v/>
      </c>
      <c r="U60" s="3">
        <f>IF(ISNUMBER(AVERAGE('20250815_ETF_Options_Exhibits'!U56:U60)),AVERAGE('20250815_ETF_Options_Exhibits'!U56:U60),"")</f>
        <v/>
      </c>
      <c r="V60" s="3">
        <f>IF(ISNUMBER(AVERAGE('20250815_ETF_Options_Exhibits'!V56:V60)),AVERAGE('20250815_ETF_Options_Exhibits'!V56:V60),"")</f>
        <v/>
      </c>
      <c r="W60" s="3">
        <f>IF(ISNUMBER(AVERAGE('20250815_ETF_Options_Exhibits'!W56:W60)),AVERAGE('20250815_ETF_Options_Exhibits'!W56:W60),"")</f>
        <v/>
      </c>
      <c r="X60" s="3">
        <f>IF(ISNUMBER(AVERAGE('20250815_ETF_Options_Exhibits'!X56:X60)),AVERAGE('20250815_ETF_Options_Exhibits'!X56:X60),"")</f>
        <v/>
      </c>
      <c r="Y60" s="3">
        <f>IF(ISNUMBER(AVERAGE('20250815_ETF_Options_Exhibits'!Y56:Y60)),AVERAGE('20250815_ETF_Options_Exhibits'!Y56:Y60),"")</f>
        <v/>
      </c>
      <c r="Z60" s="3">
        <f>IF(ISNUMBER(AVERAGE('20250815_ETF_Options_Exhibits'!Z56:Z60)),AVERAGE('20250815_ETF_Options_Exhibits'!Z56:Z60),"")</f>
        <v/>
      </c>
      <c r="AA60" s="3">
        <f>IF(ISNUMBER(AVERAGE('20250815_ETF_Options_Exhibits'!AA56:AA60)),AVERAGE('20250815_ETF_Options_Exhibits'!AA56:AA60),"")</f>
        <v/>
      </c>
    </row>
    <row r="61">
      <c r="A61" s="1" t="n">
        <v>42090</v>
      </c>
      <c r="B61" s="3">
        <f>IF(ISNUMBER(AVERAGE('20250815_ETF_Options_Exhibits'!B57:B61)),AVERAGE('20250815_ETF_Options_Exhibits'!B57:B61),"")</f>
        <v/>
      </c>
      <c r="C61" s="3">
        <f>IF(ISNUMBER(AVERAGE('20250815_ETF_Options_Exhibits'!C57:C61)),AVERAGE('20250815_ETF_Options_Exhibits'!C57:C61),"")</f>
        <v/>
      </c>
      <c r="D61" s="3">
        <f>IF(ISNUMBER(AVERAGE('20250815_ETF_Options_Exhibits'!D57:D61)),AVERAGE('20250815_ETF_Options_Exhibits'!D57:D61),"")</f>
        <v/>
      </c>
      <c r="E61" s="3">
        <f>IF(ISNUMBER(AVERAGE('20250815_ETF_Options_Exhibits'!E57:E61)),AVERAGE('20250815_ETF_Options_Exhibits'!E57:E61),"")</f>
        <v/>
      </c>
      <c r="F61" s="3">
        <f>IF(ISNUMBER(AVERAGE('20250815_ETF_Options_Exhibits'!F57:F61)),AVERAGE('20250815_ETF_Options_Exhibits'!F57:F61),"")</f>
        <v/>
      </c>
      <c r="G61" s="3">
        <f>IF(ISNUMBER(AVERAGE('20250815_ETF_Options_Exhibits'!G57:G61)),AVERAGE('20250815_ETF_Options_Exhibits'!G57:G61),"")</f>
        <v/>
      </c>
      <c r="H61" s="3">
        <f>IF(ISNUMBER(AVERAGE('20250815_ETF_Options_Exhibits'!H57:H61)),AVERAGE('20250815_ETF_Options_Exhibits'!H57:H61),"")</f>
        <v/>
      </c>
      <c r="I61" s="3">
        <f>IF(ISNUMBER(AVERAGE('20250815_ETF_Options_Exhibits'!I57:I61)),AVERAGE('20250815_ETF_Options_Exhibits'!I57:I61),"")</f>
        <v/>
      </c>
      <c r="J61" s="3">
        <f>IF(ISNUMBER(AVERAGE('20250815_ETF_Options_Exhibits'!J57:J61)),AVERAGE('20250815_ETF_Options_Exhibits'!J57:J61),"")</f>
        <v/>
      </c>
      <c r="K61" s="3">
        <f>IF(ISNUMBER(AVERAGE('20250815_ETF_Options_Exhibits'!K57:K61)),AVERAGE('20250815_ETF_Options_Exhibits'!K57:K61),"")</f>
        <v/>
      </c>
      <c r="L61" s="3">
        <f>IF(ISNUMBER(AVERAGE('20250815_ETF_Options_Exhibits'!L57:L61)),AVERAGE('20250815_ETF_Options_Exhibits'!L57:L61),"")</f>
        <v/>
      </c>
      <c r="M61" s="3">
        <f>IF(ISNUMBER(AVERAGE('20250815_ETF_Options_Exhibits'!M57:M61)),AVERAGE('20250815_ETF_Options_Exhibits'!M57:M61),"")</f>
        <v/>
      </c>
      <c r="N61" s="3">
        <f>IF(ISNUMBER(AVERAGE('20250815_ETF_Options_Exhibits'!N57:N61)),AVERAGE('20250815_ETF_Options_Exhibits'!N57:N61),"")</f>
        <v/>
      </c>
      <c r="O61" s="3">
        <f>IF(ISNUMBER(AVERAGE('20250815_ETF_Options_Exhibits'!O57:O61)),AVERAGE('20250815_ETF_Options_Exhibits'!O57:O61),"")</f>
        <v/>
      </c>
      <c r="P61" s="3">
        <f>IF(ISNUMBER(AVERAGE('20250815_ETF_Options_Exhibits'!P57:P61)),AVERAGE('20250815_ETF_Options_Exhibits'!P57:P61),"")</f>
        <v/>
      </c>
      <c r="Q61" s="3">
        <f>IF(ISNUMBER(AVERAGE('20250815_ETF_Options_Exhibits'!Q57:Q61)),AVERAGE('20250815_ETF_Options_Exhibits'!Q57:Q61),"")</f>
        <v/>
      </c>
      <c r="R61" s="3">
        <f>IF(ISNUMBER(AVERAGE('20250815_ETF_Options_Exhibits'!R57:R61)),AVERAGE('20250815_ETF_Options_Exhibits'!R57:R61),"")</f>
        <v/>
      </c>
      <c r="S61" s="3">
        <f>IF(ISNUMBER(AVERAGE('20250815_ETF_Options_Exhibits'!S57:S61)),AVERAGE('20250815_ETF_Options_Exhibits'!S57:S61),"")</f>
        <v/>
      </c>
      <c r="T61" s="3">
        <f>IF(ISNUMBER(AVERAGE('20250815_ETF_Options_Exhibits'!T57:T61)),AVERAGE('20250815_ETF_Options_Exhibits'!T57:T61),"")</f>
        <v/>
      </c>
      <c r="U61" s="3">
        <f>IF(ISNUMBER(AVERAGE('20250815_ETF_Options_Exhibits'!U57:U61)),AVERAGE('20250815_ETF_Options_Exhibits'!U57:U61),"")</f>
        <v/>
      </c>
      <c r="V61" s="3">
        <f>IF(ISNUMBER(AVERAGE('20250815_ETF_Options_Exhibits'!V57:V61)),AVERAGE('20250815_ETF_Options_Exhibits'!V57:V61),"")</f>
        <v/>
      </c>
      <c r="W61" s="3">
        <f>IF(ISNUMBER(AVERAGE('20250815_ETF_Options_Exhibits'!W57:W61)),AVERAGE('20250815_ETF_Options_Exhibits'!W57:W61),"")</f>
        <v/>
      </c>
      <c r="X61" s="3">
        <f>IF(ISNUMBER(AVERAGE('20250815_ETF_Options_Exhibits'!X57:X61)),AVERAGE('20250815_ETF_Options_Exhibits'!X57:X61),"")</f>
        <v/>
      </c>
      <c r="Y61" s="3">
        <f>IF(ISNUMBER(AVERAGE('20250815_ETF_Options_Exhibits'!Y57:Y61)),AVERAGE('20250815_ETF_Options_Exhibits'!Y57:Y61),"")</f>
        <v/>
      </c>
      <c r="Z61" s="3">
        <f>IF(ISNUMBER(AVERAGE('20250815_ETF_Options_Exhibits'!Z57:Z61)),AVERAGE('20250815_ETF_Options_Exhibits'!Z57:Z61),"")</f>
        <v/>
      </c>
      <c r="AA61" s="3">
        <f>IF(ISNUMBER(AVERAGE('20250815_ETF_Options_Exhibits'!AA57:AA61)),AVERAGE('20250815_ETF_Options_Exhibits'!AA57:AA61),"")</f>
        <v/>
      </c>
    </row>
    <row r="62">
      <c r="A62" s="1" t="n">
        <v>42093</v>
      </c>
      <c r="B62" s="3">
        <f>IF(ISNUMBER(AVERAGE('20250815_ETF_Options_Exhibits'!B58:B62)),AVERAGE('20250815_ETF_Options_Exhibits'!B58:B62),"")</f>
        <v/>
      </c>
      <c r="C62" s="3">
        <f>IF(ISNUMBER(AVERAGE('20250815_ETF_Options_Exhibits'!C58:C62)),AVERAGE('20250815_ETF_Options_Exhibits'!C58:C62),"")</f>
        <v/>
      </c>
      <c r="D62" s="3">
        <f>IF(ISNUMBER(AVERAGE('20250815_ETF_Options_Exhibits'!D58:D62)),AVERAGE('20250815_ETF_Options_Exhibits'!D58:D62),"")</f>
        <v/>
      </c>
      <c r="E62" s="3">
        <f>IF(ISNUMBER(AVERAGE('20250815_ETF_Options_Exhibits'!E58:E62)),AVERAGE('20250815_ETF_Options_Exhibits'!E58:E62),"")</f>
        <v/>
      </c>
      <c r="F62" s="3">
        <f>IF(ISNUMBER(AVERAGE('20250815_ETF_Options_Exhibits'!F58:F62)),AVERAGE('20250815_ETF_Options_Exhibits'!F58:F62),"")</f>
        <v/>
      </c>
      <c r="G62" s="3">
        <f>IF(ISNUMBER(AVERAGE('20250815_ETF_Options_Exhibits'!G58:G62)),AVERAGE('20250815_ETF_Options_Exhibits'!G58:G62),"")</f>
        <v/>
      </c>
      <c r="H62" s="3">
        <f>IF(ISNUMBER(AVERAGE('20250815_ETF_Options_Exhibits'!H58:H62)),AVERAGE('20250815_ETF_Options_Exhibits'!H58:H62),"")</f>
        <v/>
      </c>
      <c r="I62" s="3">
        <f>IF(ISNUMBER(AVERAGE('20250815_ETF_Options_Exhibits'!I58:I62)),AVERAGE('20250815_ETF_Options_Exhibits'!I58:I62),"")</f>
        <v/>
      </c>
      <c r="J62" s="3">
        <f>IF(ISNUMBER(AVERAGE('20250815_ETF_Options_Exhibits'!J58:J62)),AVERAGE('20250815_ETF_Options_Exhibits'!J58:J62),"")</f>
        <v/>
      </c>
      <c r="K62" s="3">
        <f>IF(ISNUMBER(AVERAGE('20250815_ETF_Options_Exhibits'!K58:K62)),AVERAGE('20250815_ETF_Options_Exhibits'!K58:K62),"")</f>
        <v/>
      </c>
      <c r="L62" s="3">
        <f>IF(ISNUMBER(AVERAGE('20250815_ETF_Options_Exhibits'!L58:L62)),AVERAGE('20250815_ETF_Options_Exhibits'!L58:L62),"")</f>
        <v/>
      </c>
      <c r="M62" s="3">
        <f>IF(ISNUMBER(AVERAGE('20250815_ETF_Options_Exhibits'!M58:M62)),AVERAGE('20250815_ETF_Options_Exhibits'!M58:M62),"")</f>
        <v/>
      </c>
      <c r="N62" s="3">
        <f>IF(ISNUMBER(AVERAGE('20250815_ETF_Options_Exhibits'!N58:N62)),AVERAGE('20250815_ETF_Options_Exhibits'!N58:N62),"")</f>
        <v/>
      </c>
      <c r="O62" s="3">
        <f>IF(ISNUMBER(AVERAGE('20250815_ETF_Options_Exhibits'!O58:O62)),AVERAGE('20250815_ETF_Options_Exhibits'!O58:O62),"")</f>
        <v/>
      </c>
      <c r="P62" s="3">
        <f>IF(ISNUMBER(AVERAGE('20250815_ETF_Options_Exhibits'!P58:P62)),AVERAGE('20250815_ETF_Options_Exhibits'!P58:P62),"")</f>
        <v/>
      </c>
      <c r="Q62" s="3">
        <f>IF(ISNUMBER(AVERAGE('20250815_ETF_Options_Exhibits'!Q58:Q62)),AVERAGE('20250815_ETF_Options_Exhibits'!Q58:Q62),"")</f>
        <v/>
      </c>
      <c r="R62" s="3">
        <f>IF(ISNUMBER(AVERAGE('20250815_ETF_Options_Exhibits'!R58:R62)),AVERAGE('20250815_ETF_Options_Exhibits'!R58:R62),"")</f>
        <v/>
      </c>
      <c r="S62" s="3">
        <f>IF(ISNUMBER(AVERAGE('20250815_ETF_Options_Exhibits'!S58:S62)),AVERAGE('20250815_ETF_Options_Exhibits'!S58:S62),"")</f>
        <v/>
      </c>
      <c r="T62" s="3">
        <f>IF(ISNUMBER(AVERAGE('20250815_ETF_Options_Exhibits'!T58:T62)),AVERAGE('20250815_ETF_Options_Exhibits'!T58:T62),"")</f>
        <v/>
      </c>
      <c r="U62" s="3">
        <f>IF(ISNUMBER(AVERAGE('20250815_ETF_Options_Exhibits'!U58:U62)),AVERAGE('20250815_ETF_Options_Exhibits'!U58:U62),"")</f>
        <v/>
      </c>
      <c r="V62" s="3">
        <f>IF(ISNUMBER(AVERAGE('20250815_ETF_Options_Exhibits'!V58:V62)),AVERAGE('20250815_ETF_Options_Exhibits'!V58:V62),"")</f>
        <v/>
      </c>
      <c r="W62" s="3">
        <f>IF(ISNUMBER(AVERAGE('20250815_ETF_Options_Exhibits'!W58:W62)),AVERAGE('20250815_ETF_Options_Exhibits'!W58:W62),"")</f>
        <v/>
      </c>
      <c r="X62" s="3">
        <f>IF(ISNUMBER(AVERAGE('20250815_ETF_Options_Exhibits'!X58:X62)),AVERAGE('20250815_ETF_Options_Exhibits'!X58:X62),"")</f>
        <v/>
      </c>
      <c r="Y62" s="3">
        <f>IF(ISNUMBER(AVERAGE('20250815_ETF_Options_Exhibits'!Y58:Y62)),AVERAGE('20250815_ETF_Options_Exhibits'!Y58:Y62),"")</f>
        <v/>
      </c>
      <c r="Z62" s="3">
        <f>IF(ISNUMBER(AVERAGE('20250815_ETF_Options_Exhibits'!Z58:Z62)),AVERAGE('20250815_ETF_Options_Exhibits'!Z58:Z62),"")</f>
        <v/>
      </c>
      <c r="AA62" s="3">
        <f>IF(ISNUMBER(AVERAGE('20250815_ETF_Options_Exhibits'!AA58:AA62)),AVERAGE('20250815_ETF_Options_Exhibits'!AA58:AA62),"")</f>
        <v/>
      </c>
    </row>
    <row r="63">
      <c r="A63" s="1" t="n">
        <v>42094</v>
      </c>
      <c r="B63" s="3">
        <f>IF(ISNUMBER(AVERAGE('20250815_ETF_Options_Exhibits'!B59:B63)),AVERAGE('20250815_ETF_Options_Exhibits'!B59:B63),"")</f>
        <v/>
      </c>
      <c r="C63" s="3">
        <f>IF(ISNUMBER(AVERAGE('20250815_ETF_Options_Exhibits'!C59:C63)),AVERAGE('20250815_ETF_Options_Exhibits'!C59:C63),"")</f>
        <v/>
      </c>
      <c r="D63" s="3">
        <f>IF(ISNUMBER(AVERAGE('20250815_ETF_Options_Exhibits'!D59:D63)),AVERAGE('20250815_ETF_Options_Exhibits'!D59:D63),"")</f>
        <v/>
      </c>
      <c r="E63" s="3">
        <f>IF(ISNUMBER(AVERAGE('20250815_ETF_Options_Exhibits'!E59:E63)),AVERAGE('20250815_ETF_Options_Exhibits'!E59:E63),"")</f>
        <v/>
      </c>
      <c r="F63" s="3">
        <f>IF(ISNUMBER(AVERAGE('20250815_ETF_Options_Exhibits'!F59:F63)),AVERAGE('20250815_ETF_Options_Exhibits'!F59:F63),"")</f>
        <v/>
      </c>
      <c r="G63" s="3">
        <f>IF(ISNUMBER(AVERAGE('20250815_ETF_Options_Exhibits'!G59:G63)),AVERAGE('20250815_ETF_Options_Exhibits'!G59:G63),"")</f>
        <v/>
      </c>
      <c r="H63" s="3">
        <f>IF(ISNUMBER(AVERAGE('20250815_ETF_Options_Exhibits'!H59:H63)),AVERAGE('20250815_ETF_Options_Exhibits'!H59:H63),"")</f>
        <v/>
      </c>
      <c r="I63" s="3">
        <f>IF(ISNUMBER(AVERAGE('20250815_ETF_Options_Exhibits'!I59:I63)),AVERAGE('20250815_ETF_Options_Exhibits'!I59:I63),"")</f>
        <v/>
      </c>
      <c r="J63" s="3">
        <f>IF(ISNUMBER(AVERAGE('20250815_ETF_Options_Exhibits'!J59:J63)),AVERAGE('20250815_ETF_Options_Exhibits'!J59:J63),"")</f>
        <v/>
      </c>
      <c r="K63" s="3">
        <f>IF(ISNUMBER(AVERAGE('20250815_ETF_Options_Exhibits'!K59:K63)),AVERAGE('20250815_ETF_Options_Exhibits'!K59:K63),"")</f>
        <v/>
      </c>
      <c r="L63" s="3">
        <f>IF(ISNUMBER(AVERAGE('20250815_ETF_Options_Exhibits'!L59:L63)),AVERAGE('20250815_ETF_Options_Exhibits'!L59:L63),"")</f>
        <v/>
      </c>
      <c r="M63" s="3">
        <f>IF(ISNUMBER(AVERAGE('20250815_ETF_Options_Exhibits'!M59:M63)),AVERAGE('20250815_ETF_Options_Exhibits'!M59:M63),"")</f>
        <v/>
      </c>
      <c r="N63" s="3">
        <f>IF(ISNUMBER(AVERAGE('20250815_ETF_Options_Exhibits'!N59:N63)),AVERAGE('20250815_ETF_Options_Exhibits'!N59:N63),"")</f>
        <v/>
      </c>
      <c r="O63" s="3">
        <f>IF(ISNUMBER(AVERAGE('20250815_ETF_Options_Exhibits'!O59:O63)),AVERAGE('20250815_ETF_Options_Exhibits'!O59:O63),"")</f>
        <v/>
      </c>
      <c r="P63" s="3">
        <f>IF(ISNUMBER(AVERAGE('20250815_ETF_Options_Exhibits'!P59:P63)),AVERAGE('20250815_ETF_Options_Exhibits'!P59:P63),"")</f>
        <v/>
      </c>
      <c r="Q63" s="3">
        <f>IF(ISNUMBER(AVERAGE('20250815_ETF_Options_Exhibits'!Q59:Q63)),AVERAGE('20250815_ETF_Options_Exhibits'!Q59:Q63),"")</f>
        <v/>
      </c>
      <c r="R63" s="3">
        <f>IF(ISNUMBER(AVERAGE('20250815_ETF_Options_Exhibits'!R59:R63)),AVERAGE('20250815_ETF_Options_Exhibits'!R59:R63),"")</f>
        <v/>
      </c>
      <c r="S63" s="3">
        <f>IF(ISNUMBER(AVERAGE('20250815_ETF_Options_Exhibits'!S59:S63)),AVERAGE('20250815_ETF_Options_Exhibits'!S59:S63),"")</f>
        <v/>
      </c>
      <c r="T63" s="3">
        <f>IF(ISNUMBER(AVERAGE('20250815_ETF_Options_Exhibits'!T59:T63)),AVERAGE('20250815_ETF_Options_Exhibits'!T59:T63),"")</f>
        <v/>
      </c>
      <c r="U63" s="3">
        <f>IF(ISNUMBER(AVERAGE('20250815_ETF_Options_Exhibits'!U59:U63)),AVERAGE('20250815_ETF_Options_Exhibits'!U59:U63),"")</f>
        <v/>
      </c>
      <c r="V63" s="3">
        <f>IF(ISNUMBER(AVERAGE('20250815_ETF_Options_Exhibits'!V59:V63)),AVERAGE('20250815_ETF_Options_Exhibits'!V59:V63),"")</f>
        <v/>
      </c>
      <c r="W63" s="3">
        <f>IF(ISNUMBER(AVERAGE('20250815_ETF_Options_Exhibits'!W59:W63)),AVERAGE('20250815_ETF_Options_Exhibits'!W59:W63),"")</f>
        <v/>
      </c>
      <c r="X63" s="3">
        <f>IF(ISNUMBER(AVERAGE('20250815_ETF_Options_Exhibits'!X59:X63)),AVERAGE('20250815_ETF_Options_Exhibits'!X59:X63),"")</f>
        <v/>
      </c>
      <c r="Y63" s="3">
        <f>IF(ISNUMBER(AVERAGE('20250815_ETF_Options_Exhibits'!Y59:Y63)),AVERAGE('20250815_ETF_Options_Exhibits'!Y59:Y63),"")</f>
        <v/>
      </c>
      <c r="Z63" s="3">
        <f>IF(ISNUMBER(AVERAGE('20250815_ETF_Options_Exhibits'!Z59:Z63)),AVERAGE('20250815_ETF_Options_Exhibits'!Z59:Z63),"")</f>
        <v/>
      </c>
      <c r="AA63" s="3">
        <f>IF(ISNUMBER(AVERAGE('20250815_ETF_Options_Exhibits'!AA59:AA63)),AVERAGE('20250815_ETF_Options_Exhibits'!AA59:AA63),"")</f>
        <v/>
      </c>
    </row>
    <row r="64">
      <c r="A64" s="1" t="n">
        <v>42095</v>
      </c>
      <c r="B64" s="3">
        <f>IF(ISNUMBER(AVERAGE('20250815_ETF_Options_Exhibits'!B60:B64)),AVERAGE('20250815_ETF_Options_Exhibits'!B60:B64),"")</f>
        <v/>
      </c>
      <c r="C64" s="3">
        <f>IF(ISNUMBER(AVERAGE('20250815_ETF_Options_Exhibits'!C60:C64)),AVERAGE('20250815_ETF_Options_Exhibits'!C60:C64),"")</f>
        <v/>
      </c>
      <c r="D64" s="3">
        <f>IF(ISNUMBER(AVERAGE('20250815_ETF_Options_Exhibits'!D60:D64)),AVERAGE('20250815_ETF_Options_Exhibits'!D60:D64),"")</f>
        <v/>
      </c>
      <c r="E64" s="3">
        <f>IF(ISNUMBER(AVERAGE('20250815_ETF_Options_Exhibits'!E60:E64)),AVERAGE('20250815_ETF_Options_Exhibits'!E60:E64),"")</f>
        <v/>
      </c>
      <c r="F64" s="3">
        <f>IF(ISNUMBER(AVERAGE('20250815_ETF_Options_Exhibits'!F60:F64)),AVERAGE('20250815_ETF_Options_Exhibits'!F60:F64),"")</f>
        <v/>
      </c>
      <c r="G64" s="3">
        <f>IF(ISNUMBER(AVERAGE('20250815_ETF_Options_Exhibits'!G60:G64)),AVERAGE('20250815_ETF_Options_Exhibits'!G60:G64),"")</f>
        <v/>
      </c>
      <c r="H64" s="3">
        <f>IF(ISNUMBER(AVERAGE('20250815_ETF_Options_Exhibits'!H60:H64)),AVERAGE('20250815_ETF_Options_Exhibits'!H60:H64),"")</f>
        <v/>
      </c>
      <c r="I64" s="3">
        <f>IF(ISNUMBER(AVERAGE('20250815_ETF_Options_Exhibits'!I60:I64)),AVERAGE('20250815_ETF_Options_Exhibits'!I60:I64),"")</f>
        <v/>
      </c>
      <c r="J64" s="3">
        <f>IF(ISNUMBER(AVERAGE('20250815_ETF_Options_Exhibits'!J60:J64)),AVERAGE('20250815_ETF_Options_Exhibits'!J60:J64),"")</f>
        <v/>
      </c>
      <c r="K64" s="3">
        <f>IF(ISNUMBER(AVERAGE('20250815_ETF_Options_Exhibits'!K60:K64)),AVERAGE('20250815_ETF_Options_Exhibits'!K60:K64),"")</f>
        <v/>
      </c>
      <c r="L64" s="3">
        <f>IF(ISNUMBER(AVERAGE('20250815_ETF_Options_Exhibits'!L60:L64)),AVERAGE('20250815_ETF_Options_Exhibits'!L60:L64),"")</f>
        <v/>
      </c>
      <c r="M64" s="3">
        <f>IF(ISNUMBER(AVERAGE('20250815_ETF_Options_Exhibits'!M60:M64)),AVERAGE('20250815_ETF_Options_Exhibits'!M60:M64),"")</f>
        <v/>
      </c>
      <c r="N64" s="3">
        <f>IF(ISNUMBER(AVERAGE('20250815_ETF_Options_Exhibits'!N60:N64)),AVERAGE('20250815_ETF_Options_Exhibits'!N60:N64),"")</f>
        <v/>
      </c>
      <c r="O64" s="3">
        <f>IF(ISNUMBER(AVERAGE('20250815_ETF_Options_Exhibits'!O60:O64)),AVERAGE('20250815_ETF_Options_Exhibits'!O60:O64),"")</f>
        <v/>
      </c>
      <c r="P64" s="3">
        <f>IF(ISNUMBER(AVERAGE('20250815_ETF_Options_Exhibits'!P60:P64)),AVERAGE('20250815_ETF_Options_Exhibits'!P60:P64),"")</f>
        <v/>
      </c>
      <c r="Q64" s="3">
        <f>IF(ISNUMBER(AVERAGE('20250815_ETF_Options_Exhibits'!Q60:Q64)),AVERAGE('20250815_ETF_Options_Exhibits'!Q60:Q64),"")</f>
        <v/>
      </c>
      <c r="R64" s="3">
        <f>IF(ISNUMBER(AVERAGE('20250815_ETF_Options_Exhibits'!R60:R64)),AVERAGE('20250815_ETF_Options_Exhibits'!R60:R64),"")</f>
        <v/>
      </c>
      <c r="S64" s="3">
        <f>IF(ISNUMBER(AVERAGE('20250815_ETF_Options_Exhibits'!S60:S64)),AVERAGE('20250815_ETF_Options_Exhibits'!S60:S64),"")</f>
        <v/>
      </c>
      <c r="T64" s="3">
        <f>IF(ISNUMBER(AVERAGE('20250815_ETF_Options_Exhibits'!T60:T64)),AVERAGE('20250815_ETF_Options_Exhibits'!T60:T64),"")</f>
        <v/>
      </c>
      <c r="U64" s="3">
        <f>IF(ISNUMBER(AVERAGE('20250815_ETF_Options_Exhibits'!U60:U64)),AVERAGE('20250815_ETF_Options_Exhibits'!U60:U64),"")</f>
        <v/>
      </c>
      <c r="V64" s="3">
        <f>IF(ISNUMBER(AVERAGE('20250815_ETF_Options_Exhibits'!V60:V64)),AVERAGE('20250815_ETF_Options_Exhibits'!V60:V64),"")</f>
        <v/>
      </c>
      <c r="W64" s="3">
        <f>IF(ISNUMBER(AVERAGE('20250815_ETF_Options_Exhibits'!W60:W64)),AVERAGE('20250815_ETF_Options_Exhibits'!W60:W64),"")</f>
        <v/>
      </c>
      <c r="X64" s="3">
        <f>IF(ISNUMBER(AVERAGE('20250815_ETF_Options_Exhibits'!X60:X64)),AVERAGE('20250815_ETF_Options_Exhibits'!X60:X64),"")</f>
        <v/>
      </c>
      <c r="Y64" s="3">
        <f>IF(ISNUMBER(AVERAGE('20250815_ETF_Options_Exhibits'!Y60:Y64)),AVERAGE('20250815_ETF_Options_Exhibits'!Y60:Y64),"")</f>
        <v/>
      </c>
      <c r="Z64" s="3">
        <f>IF(ISNUMBER(AVERAGE('20250815_ETF_Options_Exhibits'!Z60:Z64)),AVERAGE('20250815_ETF_Options_Exhibits'!Z60:Z64),"")</f>
        <v/>
      </c>
      <c r="AA64" s="3">
        <f>IF(ISNUMBER(AVERAGE('20250815_ETF_Options_Exhibits'!AA60:AA64)),AVERAGE('20250815_ETF_Options_Exhibits'!AA60:AA64),"")</f>
        <v/>
      </c>
    </row>
    <row r="65">
      <c r="A65" s="1" t="n">
        <v>42096</v>
      </c>
      <c r="B65" s="3">
        <f>IF(ISNUMBER(AVERAGE('20250815_ETF_Options_Exhibits'!B61:B65)),AVERAGE('20250815_ETF_Options_Exhibits'!B61:B65),"")</f>
        <v/>
      </c>
      <c r="C65" s="3">
        <f>IF(ISNUMBER(AVERAGE('20250815_ETF_Options_Exhibits'!C61:C65)),AVERAGE('20250815_ETF_Options_Exhibits'!C61:C65),"")</f>
        <v/>
      </c>
      <c r="D65" s="3">
        <f>IF(ISNUMBER(AVERAGE('20250815_ETF_Options_Exhibits'!D61:D65)),AVERAGE('20250815_ETF_Options_Exhibits'!D61:D65),"")</f>
        <v/>
      </c>
      <c r="E65" s="3">
        <f>IF(ISNUMBER(AVERAGE('20250815_ETF_Options_Exhibits'!E61:E65)),AVERAGE('20250815_ETF_Options_Exhibits'!E61:E65),"")</f>
        <v/>
      </c>
      <c r="F65" s="3">
        <f>IF(ISNUMBER(AVERAGE('20250815_ETF_Options_Exhibits'!F61:F65)),AVERAGE('20250815_ETF_Options_Exhibits'!F61:F65),"")</f>
        <v/>
      </c>
      <c r="G65" s="3">
        <f>IF(ISNUMBER(AVERAGE('20250815_ETF_Options_Exhibits'!G61:G65)),AVERAGE('20250815_ETF_Options_Exhibits'!G61:G65),"")</f>
        <v/>
      </c>
      <c r="H65" s="3">
        <f>IF(ISNUMBER(AVERAGE('20250815_ETF_Options_Exhibits'!H61:H65)),AVERAGE('20250815_ETF_Options_Exhibits'!H61:H65),"")</f>
        <v/>
      </c>
      <c r="I65" s="3">
        <f>IF(ISNUMBER(AVERAGE('20250815_ETF_Options_Exhibits'!I61:I65)),AVERAGE('20250815_ETF_Options_Exhibits'!I61:I65),"")</f>
        <v/>
      </c>
      <c r="J65" s="3">
        <f>IF(ISNUMBER(AVERAGE('20250815_ETF_Options_Exhibits'!J61:J65)),AVERAGE('20250815_ETF_Options_Exhibits'!J61:J65),"")</f>
        <v/>
      </c>
      <c r="K65" s="3">
        <f>IF(ISNUMBER(AVERAGE('20250815_ETF_Options_Exhibits'!K61:K65)),AVERAGE('20250815_ETF_Options_Exhibits'!K61:K65),"")</f>
        <v/>
      </c>
      <c r="L65" s="3">
        <f>IF(ISNUMBER(AVERAGE('20250815_ETF_Options_Exhibits'!L61:L65)),AVERAGE('20250815_ETF_Options_Exhibits'!L61:L65),"")</f>
        <v/>
      </c>
      <c r="M65" s="3">
        <f>IF(ISNUMBER(AVERAGE('20250815_ETF_Options_Exhibits'!M61:M65)),AVERAGE('20250815_ETF_Options_Exhibits'!M61:M65),"")</f>
        <v/>
      </c>
      <c r="N65" s="3">
        <f>IF(ISNUMBER(AVERAGE('20250815_ETF_Options_Exhibits'!N61:N65)),AVERAGE('20250815_ETF_Options_Exhibits'!N61:N65),"")</f>
        <v/>
      </c>
      <c r="O65" s="3">
        <f>IF(ISNUMBER(AVERAGE('20250815_ETF_Options_Exhibits'!O61:O65)),AVERAGE('20250815_ETF_Options_Exhibits'!O61:O65),"")</f>
        <v/>
      </c>
      <c r="P65" s="3">
        <f>IF(ISNUMBER(AVERAGE('20250815_ETF_Options_Exhibits'!P61:P65)),AVERAGE('20250815_ETF_Options_Exhibits'!P61:P65),"")</f>
        <v/>
      </c>
      <c r="Q65" s="3">
        <f>IF(ISNUMBER(AVERAGE('20250815_ETF_Options_Exhibits'!Q61:Q65)),AVERAGE('20250815_ETF_Options_Exhibits'!Q61:Q65),"")</f>
        <v/>
      </c>
      <c r="R65" s="3">
        <f>IF(ISNUMBER(AVERAGE('20250815_ETF_Options_Exhibits'!R61:R65)),AVERAGE('20250815_ETF_Options_Exhibits'!R61:R65),"")</f>
        <v/>
      </c>
      <c r="S65" s="3">
        <f>IF(ISNUMBER(AVERAGE('20250815_ETF_Options_Exhibits'!S61:S65)),AVERAGE('20250815_ETF_Options_Exhibits'!S61:S65),"")</f>
        <v/>
      </c>
      <c r="T65" s="3">
        <f>IF(ISNUMBER(AVERAGE('20250815_ETF_Options_Exhibits'!T61:T65)),AVERAGE('20250815_ETF_Options_Exhibits'!T61:T65),"")</f>
        <v/>
      </c>
      <c r="U65" s="3">
        <f>IF(ISNUMBER(AVERAGE('20250815_ETF_Options_Exhibits'!U61:U65)),AVERAGE('20250815_ETF_Options_Exhibits'!U61:U65),"")</f>
        <v/>
      </c>
      <c r="V65" s="3">
        <f>IF(ISNUMBER(AVERAGE('20250815_ETF_Options_Exhibits'!V61:V65)),AVERAGE('20250815_ETF_Options_Exhibits'!V61:V65),"")</f>
        <v/>
      </c>
      <c r="W65" s="3">
        <f>IF(ISNUMBER(AVERAGE('20250815_ETF_Options_Exhibits'!W61:W65)),AVERAGE('20250815_ETF_Options_Exhibits'!W61:W65),"")</f>
        <v/>
      </c>
      <c r="X65" s="3">
        <f>IF(ISNUMBER(AVERAGE('20250815_ETF_Options_Exhibits'!X61:X65)),AVERAGE('20250815_ETF_Options_Exhibits'!X61:X65),"")</f>
        <v/>
      </c>
      <c r="Y65" s="3">
        <f>IF(ISNUMBER(AVERAGE('20250815_ETF_Options_Exhibits'!Y61:Y65)),AVERAGE('20250815_ETF_Options_Exhibits'!Y61:Y65),"")</f>
        <v/>
      </c>
      <c r="Z65" s="3">
        <f>IF(ISNUMBER(AVERAGE('20250815_ETF_Options_Exhibits'!Z61:Z65)),AVERAGE('20250815_ETF_Options_Exhibits'!Z61:Z65),"")</f>
        <v/>
      </c>
      <c r="AA65" s="3">
        <f>IF(ISNUMBER(AVERAGE('20250815_ETF_Options_Exhibits'!AA61:AA65)),AVERAGE('20250815_ETF_Options_Exhibits'!AA61:AA65),"")</f>
        <v/>
      </c>
    </row>
    <row r="66">
      <c r="A66" s="1" t="n">
        <v>42100</v>
      </c>
      <c r="B66" s="3">
        <f>IF(ISNUMBER(AVERAGE('20250815_ETF_Options_Exhibits'!B62:B66)),AVERAGE('20250815_ETF_Options_Exhibits'!B62:B66),"")</f>
        <v/>
      </c>
      <c r="C66" s="3">
        <f>IF(ISNUMBER(AVERAGE('20250815_ETF_Options_Exhibits'!C62:C66)),AVERAGE('20250815_ETF_Options_Exhibits'!C62:C66),"")</f>
        <v/>
      </c>
      <c r="D66" s="3">
        <f>IF(ISNUMBER(AVERAGE('20250815_ETF_Options_Exhibits'!D62:D66)),AVERAGE('20250815_ETF_Options_Exhibits'!D62:D66),"")</f>
        <v/>
      </c>
      <c r="E66" s="3">
        <f>IF(ISNUMBER(AVERAGE('20250815_ETF_Options_Exhibits'!E62:E66)),AVERAGE('20250815_ETF_Options_Exhibits'!E62:E66),"")</f>
        <v/>
      </c>
      <c r="F66" s="3">
        <f>IF(ISNUMBER(AVERAGE('20250815_ETF_Options_Exhibits'!F62:F66)),AVERAGE('20250815_ETF_Options_Exhibits'!F62:F66),"")</f>
        <v/>
      </c>
      <c r="G66" s="3">
        <f>IF(ISNUMBER(AVERAGE('20250815_ETF_Options_Exhibits'!G62:G66)),AVERAGE('20250815_ETF_Options_Exhibits'!G62:G66),"")</f>
        <v/>
      </c>
      <c r="H66" s="3">
        <f>IF(ISNUMBER(AVERAGE('20250815_ETF_Options_Exhibits'!H62:H66)),AVERAGE('20250815_ETF_Options_Exhibits'!H62:H66),"")</f>
        <v/>
      </c>
      <c r="I66" s="3">
        <f>IF(ISNUMBER(AVERAGE('20250815_ETF_Options_Exhibits'!I62:I66)),AVERAGE('20250815_ETF_Options_Exhibits'!I62:I66),"")</f>
        <v/>
      </c>
      <c r="J66" s="3">
        <f>IF(ISNUMBER(AVERAGE('20250815_ETF_Options_Exhibits'!J62:J66)),AVERAGE('20250815_ETF_Options_Exhibits'!J62:J66),"")</f>
        <v/>
      </c>
      <c r="K66" s="3">
        <f>IF(ISNUMBER(AVERAGE('20250815_ETF_Options_Exhibits'!K62:K66)),AVERAGE('20250815_ETF_Options_Exhibits'!K62:K66),"")</f>
        <v/>
      </c>
      <c r="L66" s="3">
        <f>IF(ISNUMBER(AVERAGE('20250815_ETF_Options_Exhibits'!L62:L66)),AVERAGE('20250815_ETF_Options_Exhibits'!L62:L66),"")</f>
        <v/>
      </c>
      <c r="M66" s="3">
        <f>IF(ISNUMBER(AVERAGE('20250815_ETF_Options_Exhibits'!M62:M66)),AVERAGE('20250815_ETF_Options_Exhibits'!M62:M66),"")</f>
        <v/>
      </c>
      <c r="N66" s="3">
        <f>IF(ISNUMBER(AVERAGE('20250815_ETF_Options_Exhibits'!N62:N66)),AVERAGE('20250815_ETF_Options_Exhibits'!N62:N66),"")</f>
        <v/>
      </c>
      <c r="O66" s="3">
        <f>IF(ISNUMBER(AVERAGE('20250815_ETF_Options_Exhibits'!O62:O66)),AVERAGE('20250815_ETF_Options_Exhibits'!O62:O66),"")</f>
        <v/>
      </c>
      <c r="P66" s="3">
        <f>IF(ISNUMBER(AVERAGE('20250815_ETF_Options_Exhibits'!P62:P66)),AVERAGE('20250815_ETF_Options_Exhibits'!P62:P66),"")</f>
        <v/>
      </c>
      <c r="Q66" s="3">
        <f>IF(ISNUMBER(AVERAGE('20250815_ETF_Options_Exhibits'!Q62:Q66)),AVERAGE('20250815_ETF_Options_Exhibits'!Q62:Q66),"")</f>
        <v/>
      </c>
      <c r="R66" s="3">
        <f>IF(ISNUMBER(AVERAGE('20250815_ETF_Options_Exhibits'!R62:R66)),AVERAGE('20250815_ETF_Options_Exhibits'!R62:R66),"")</f>
        <v/>
      </c>
      <c r="S66" s="3">
        <f>IF(ISNUMBER(AVERAGE('20250815_ETF_Options_Exhibits'!S62:S66)),AVERAGE('20250815_ETF_Options_Exhibits'!S62:S66),"")</f>
        <v/>
      </c>
      <c r="T66" s="3">
        <f>IF(ISNUMBER(AVERAGE('20250815_ETF_Options_Exhibits'!T62:T66)),AVERAGE('20250815_ETF_Options_Exhibits'!T62:T66),"")</f>
        <v/>
      </c>
      <c r="U66" s="3">
        <f>IF(ISNUMBER(AVERAGE('20250815_ETF_Options_Exhibits'!U62:U66)),AVERAGE('20250815_ETF_Options_Exhibits'!U62:U66),"")</f>
        <v/>
      </c>
      <c r="V66" s="3">
        <f>IF(ISNUMBER(AVERAGE('20250815_ETF_Options_Exhibits'!V62:V66)),AVERAGE('20250815_ETF_Options_Exhibits'!V62:V66),"")</f>
        <v/>
      </c>
      <c r="W66" s="3">
        <f>IF(ISNUMBER(AVERAGE('20250815_ETF_Options_Exhibits'!W62:W66)),AVERAGE('20250815_ETF_Options_Exhibits'!W62:W66),"")</f>
        <v/>
      </c>
      <c r="X66" s="3">
        <f>IF(ISNUMBER(AVERAGE('20250815_ETF_Options_Exhibits'!X62:X66)),AVERAGE('20250815_ETF_Options_Exhibits'!X62:X66),"")</f>
        <v/>
      </c>
      <c r="Y66" s="3">
        <f>IF(ISNUMBER(AVERAGE('20250815_ETF_Options_Exhibits'!Y62:Y66)),AVERAGE('20250815_ETF_Options_Exhibits'!Y62:Y66),"")</f>
        <v/>
      </c>
      <c r="Z66" s="3">
        <f>IF(ISNUMBER(AVERAGE('20250815_ETF_Options_Exhibits'!Z62:Z66)),AVERAGE('20250815_ETF_Options_Exhibits'!Z62:Z66),"")</f>
        <v/>
      </c>
      <c r="AA66" s="3">
        <f>IF(ISNUMBER(AVERAGE('20250815_ETF_Options_Exhibits'!AA62:AA66)),AVERAGE('20250815_ETF_Options_Exhibits'!AA62:AA66),"")</f>
        <v/>
      </c>
    </row>
    <row r="67">
      <c r="A67" s="1" t="n">
        <v>42101</v>
      </c>
      <c r="B67" s="3">
        <f>IF(ISNUMBER(AVERAGE('20250815_ETF_Options_Exhibits'!B63:B67)),AVERAGE('20250815_ETF_Options_Exhibits'!B63:B67),"")</f>
        <v/>
      </c>
      <c r="C67" s="3">
        <f>IF(ISNUMBER(AVERAGE('20250815_ETF_Options_Exhibits'!C63:C67)),AVERAGE('20250815_ETF_Options_Exhibits'!C63:C67),"")</f>
        <v/>
      </c>
      <c r="D67" s="3">
        <f>IF(ISNUMBER(AVERAGE('20250815_ETF_Options_Exhibits'!D63:D67)),AVERAGE('20250815_ETF_Options_Exhibits'!D63:D67),"")</f>
        <v/>
      </c>
      <c r="E67" s="3">
        <f>IF(ISNUMBER(AVERAGE('20250815_ETF_Options_Exhibits'!E63:E67)),AVERAGE('20250815_ETF_Options_Exhibits'!E63:E67),"")</f>
        <v/>
      </c>
      <c r="F67" s="3">
        <f>IF(ISNUMBER(AVERAGE('20250815_ETF_Options_Exhibits'!F63:F67)),AVERAGE('20250815_ETF_Options_Exhibits'!F63:F67),"")</f>
        <v/>
      </c>
      <c r="G67" s="3">
        <f>IF(ISNUMBER(AVERAGE('20250815_ETF_Options_Exhibits'!G63:G67)),AVERAGE('20250815_ETF_Options_Exhibits'!G63:G67),"")</f>
        <v/>
      </c>
      <c r="H67" s="3">
        <f>IF(ISNUMBER(AVERAGE('20250815_ETF_Options_Exhibits'!H63:H67)),AVERAGE('20250815_ETF_Options_Exhibits'!H63:H67),"")</f>
        <v/>
      </c>
      <c r="I67" s="3">
        <f>IF(ISNUMBER(AVERAGE('20250815_ETF_Options_Exhibits'!I63:I67)),AVERAGE('20250815_ETF_Options_Exhibits'!I63:I67),"")</f>
        <v/>
      </c>
      <c r="J67" s="3">
        <f>IF(ISNUMBER(AVERAGE('20250815_ETF_Options_Exhibits'!J63:J67)),AVERAGE('20250815_ETF_Options_Exhibits'!J63:J67),"")</f>
        <v/>
      </c>
      <c r="K67" s="3">
        <f>IF(ISNUMBER(AVERAGE('20250815_ETF_Options_Exhibits'!K63:K67)),AVERAGE('20250815_ETF_Options_Exhibits'!K63:K67),"")</f>
        <v/>
      </c>
      <c r="L67" s="3">
        <f>IF(ISNUMBER(AVERAGE('20250815_ETF_Options_Exhibits'!L63:L67)),AVERAGE('20250815_ETF_Options_Exhibits'!L63:L67),"")</f>
        <v/>
      </c>
      <c r="M67" s="3">
        <f>IF(ISNUMBER(AVERAGE('20250815_ETF_Options_Exhibits'!M63:M67)),AVERAGE('20250815_ETF_Options_Exhibits'!M63:M67),"")</f>
        <v/>
      </c>
      <c r="N67" s="3">
        <f>IF(ISNUMBER(AVERAGE('20250815_ETF_Options_Exhibits'!N63:N67)),AVERAGE('20250815_ETF_Options_Exhibits'!N63:N67),"")</f>
        <v/>
      </c>
      <c r="O67" s="3">
        <f>IF(ISNUMBER(AVERAGE('20250815_ETF_Options_Exhibits'!O63:O67)),AVERAGE('20250815_ETF_Options_Exhibits'!O63:O67),"")</f>
        <v/>
      </c>
      <c r="P67" s="3">
        <f>IF(ISNUMBER(AVERAGE('20250815_ETF_Options_Exhibits'!P63:P67)),AVERAGE('20250815_ETF_Options_Exhibits'!P63:P67),"")</f>
        <v/>
      </c>
      <c r="Q67" s="3">
        <f>IF(ISNUMBER(AVERAGE('20250815_ETF_Options_Exhibits'!Q63:Q67)),AVERAGE('20250815_ETF_Options_Exhibits'!Q63:Q67),"")</f>
        <v/>
      </c>
      <c r="R67" s="3">
        <f>IF(ISNUMBER(AVERAGE('20250815_ETF_Options_Exhibits'!R63:R67)),AVERAGE('20250815_ETF_Options_Exhibits'!R63:R67),"")</f>
        <v/>
      </c>
      <c r="S67" s="3">
        <f>IF(ISNUMBER(AVERAGE('20250815_ETF_Options_Exhibits'!S63:S67)),AVERAGE('20250815_ETF_Options_Exhibits'!S63:S67),"")</f>
        <v/>
      </c>
      <c r="T67" s="3">
        <f>IF(ISNUMBER(AVERAGE('20250815_ETF_Options_Exhibits'!T63:T67)),AVERAGE('20250815_ETF_Options_Exhibits'!T63:T67),"")</f>
        <v/>
      </c>
      <c r="U67" s="3">
        <f>IF(ISNUMBER(AVERAGE('20250815_ETF_Options_Exhibits'!U63:U67)),AVERAGE('20250815_ETF_Options_Exhibits'!U63:U67),"")</f>
        <v/>
      </c>
      <c r="V67" s="3">
        <f>IF(ISNUMBER(AVERAGE('20250815_ETF_Options_Exhibits'!V63:V67)),AVERAGE('20250815_ETF_Options_Exhibits'!V63:V67),"")</f>
        <v/>
      </c>
      <c r="W67" s="3">
        <f>IF(ISNUMBER(AVERAGE('20250815_ETF_Options_Exhibits'!W63:W67)),AVERAGE('20250815_ETF_Options_Exhibits'!W63:W67),"")</f>
        <v/>
      </c>
      <c r="X67" s="3">
        <f>IF(ISNUMBER(AVERAGE('20250815_ETF_Options_Exhibits'!X63:X67)),AVERAGE('20250815_ETF_Options_Exhibits'!X63:X67),"")</f>
        <v/>
      </c>
      <c r="Y67" s="3">
        <f>IF(ISNUMBER(AVERAGE('20250815_ETF_Options_Exhibits'!Y63:Y67)),AVERAGE('20250815_ETF_Options_Exhibits'!Y63:Y67),"")</f>
        <v/>
      </c>
      <c r="Z67" s="3">
        <f>IF(ISNUMBER(AVERAGE('20250815_ETF_Options_Exhibits'!Z63:Z67)),AVERAGE('20250815_ETF_Options_Exhibits'!Z63:Z67),"")</f>
        <v/>
      </c>
      <c r="AA67" s="3">
        <f>IF(ISNUMBER(AVERAGE('20250815_ETF_Options_Exhibits'!AA63:AA67)),AVERAGE('20250815_ETF_Options_Exhibits'!AA63:AA67),"")</f>
        <v/>
      </c>
    </row>
    <row r="68">
      <c r="A68" s="1" t="n">
        <v>42102</v>
      </c>
      <c r="B68" s="3">
        <f>IF(ISNUMBER(AVERAGE('20250815_ETF_Options_Exhibits'!B64:B68)),AVERAGE('20250815_ETF_Options_Exhibits'!B64:B68),"")</f>
        <v/>
      </c>
      <c r="C68" s="3">
        <f>IF(ISNUMBER(AVERAGE('20250815_ETF_Options_Exhibits'!C64:C68)),AVERAGE('20250815_ETF_Options_Exhibits'!C64:C68),"")</f>
        <v/>
      </c>
      <c r="D68" s="3">
        <f>IF(ISNUMBER(AVERAGE('20250815_ETF_Options_Exhibits'!D64:D68)),AVERAGE('20250815_ETF_Options_Exhibits'!D64:D68),"")</f>
        <v/>
      </c>
      <c r="E68" s="3">
        <f>IF(ISNUMBER(AVERAGE('20250815_ETF_Options_Exhibits'!E64:E68)),AVERAGE('20250815_ETF_Options_Exhibits'!E64:E68),"")</f>
        <v/>
      </c>
      <c r="F68" s="3">
        <f>IF(ISNUMBER(AVERAGE('20250815_ETF_Options_Exhibits'!F64:F68)),AVERAGE('20250815_ETF_Options_Exhibits'!F64:F68),"")</f>
        <v/>
      </c>
      <c r="G68" s="3">
        <f>IF(ISNUMBER(AVERAGE('20250815_ETF_Options_Exhibits'!G64:G68)),AVERAGE('20250815_ETF_Options_Exhibits'!G64:G68),"")</f>
        <v/>
      </c>
      <c r="H68" s="3">
        <f>IF(ISNUMBER(AVERAGE('20250815_ETF_Options_Exhibits'!H64:H68)),AVERAGE('20250815_ETF_Options_Exhibits'!H64:H68),"")</f>
        <v/>
      </c>
      <c r="I68" s="3">
        <f>IF(ISNUMBER(AVERAGE('20250815_ETF_Options_Exhibits'!I64:I68)),AVERAGE('20250815_ETF_Options_Exhibits'!I64:I68),"")</f>
        <v/>
      </c>
      <c r="J68" s="3">
        <f>IF(ISNUMBER(AVERAGE('20250815_ETF_Options_Exhibits'!J64:J68)),AVERAGE('20250815_ETF_Options_Exhibits'!J64:J68),"")</f>
        <v/>
      </c>
      <c r="K68" s="3">
        <f>IF(ISNUMBER(AVERAGE('20250815_ETF_Options_Exhibits'!K64:K68)),AVERAGE('20250815_ETF_Options_Exhibits'!K64:K68),"")</f>
        <v/>
      </c>
      <c r="L68" s="3">
        <f>IF(ISNUMBER(AVERAGE('20250815_ETF_Options_Exhibits'!L64:L68)),AVERAGE('20250815_ETF_Options_Exhibits'!L64:L68),"")</f>
        <v/>
      </c>
      <c r="M68" s="3">
        <f>IF(ISNUMBER(AVERAGE('20250815_ETF_Options_Exhibits'!M64:M68)),AVERAGE('20250815_ETF_Options_Exhibits'!M64:M68),"")</f>
        <v/>
      </c>
      <c r="N68" s="3">
        <f>IF(ISNUMBER(AVERAGE('20250815_ETF_Options_Exhibits'!N64:N68)),AVERAGE('20250815_ETF_Options_Exhibits'!N64:N68),"")</f>
        <v/>
      </c>
      <c r="O68" s="3">
        <f>IF(ISNUMBER(AVERAGE('20250815_ETF_Options_Exhibits'!O64:O68)),AVERAGE('20250815_ETF_Options_Exhibits'!O64:O68),"")</f>
        <v/>
      </c>
      <c r="P68" s="3">
        <f>IF(ISNUMBER(AVERAGE('20250815_ETF_Options_Exhibits'!P64:P68)),AVERAGE('20250815_ETF_Options_Exhibits'!P64:P68),"")</f>
        <v/>
      </c>
      <c r="Q68" s="3">
        <f>IF(ISNUMBER(AVERAGE('20250815_ETF_Options_Exhibits'!Q64:Q68)),AVERAGE('20250815_ETF_Options_Exhibits'!Q64:Q68),"")</f>
        <v/>
      </c>
      <c r="R68" s="3">
        <f>IF(ISNUMBER(AVERAGE('20250815_ETF_Options_Exhibits'!R64:R68)),AVERAGE('20250815_ETF_Options_Exhibits'!R64:R68),"")</f>
        <v/>
      </c>
      <c r="S68" s="3">
        <f>IF(ISNUMBER(AVERAGE('20250815_ETF_Options_Exhibits'!S64:S68)),AVERAGE('20250815_ETF_Options_Exhibits'!S64:S68),"")</f>
        <v/>
      </c>
      <c r="T68" s="3">
        <f>IF(ISNUMBER(AVERAGE('20250815_ETF_Options_Exhibits'!T64:T68)),AVERAGE('20250815_ETF_Options_Exhibits'!T64:T68),"")</f>
        <v/>
      </c>
      <c r="U68" s="3">
        <f>IF(ISNUMBER(AVERAGE('20250815_ETF_Options_Exhibits'!U64:U68)),AVERAGE('20250815_ETF_Options_Exhibits'!U64:U68),"")</f>
        <v/>
      </c>
      <c r="V68" s="3">
        <f>IF(ISNUMBER(AVERAGE('20250815_ETF_Options_Exhibits'!V64:V68)),AVERAGE('20250815_ETF_Options_Exhibits'!V64:V68),"")</f>
        <v/>
      </c>
      <c r="W68" s="3">
        <f>IF(ISNUMBER(AVERAGE('20250815_ETF_Options_Exhibits'!W64:W68)),AVERAGE('20250815_ETF_Options_Exhibits'!W64:W68),"")</f>
        <v/>
      </c>
      <c r="X68" s="3">
        <f>IF(ISNUMBER(AVERAGE('20250815_ETF_Options_Exhibits'!X64:X68)),AVERAGE('20250815_ETF_Options_Exhibits'!X64:X68),"")</f>
        <v/>
      </c>
      <c r="Y68" s="3">
        <f>IF(ISNUMBER(AVERAGE('20250815_ETF_Options_Exhibits'!Y64:Y68)),AVERAGE('20250815_ETF_Options_Exhibits'!Y64:Y68),"")</f>
        <v/>
      </c>
      <c r="Z68" s="3">
        <f>IF(ISNUMBER(AVERAGE('20250815_ETF_Options_Exhibits'!Z64:Z68)),AVERAGE('20250815_ETF_Options_Exhibits'!Z64:Z68),"")</f>
        <v/>
      </c>
      <c r="AA68" s="3">
        <f>IF(ISNUMBER(AVERAGE('20250815_ETF_Options_Exhibits'!AA64:AA68)),AVERAGE('20250815_ETF_Options_Exhibits'!AA64:AA68),"")</f>
        <v/>
      </c>
    </row>
    <row r="69">
      <c r="A69" s="1" t="n">
        <v>42103</v>
      </c>
      <c r="B69" s="3">
        <f>IF(ISNUMBER(AVERAGE('20250815_ETF_Options_Exhibits'!B65:B69)),AVERAGE('20250815_ETF_Options_Exhibits'!B65:B69),"")</f>
        <v/>
      </c>
      <c r="C69" s="3">
        <f>IF(ISNUMBER(AVERAGE('20250815_ETF_Options_Exhibits'!C65:C69)),AVERAGE('20250815_ETF_Options_Exhibits'!C65:C69),"")</f>
        <v/>
      </c>
      <c r="D69" s="3">
        <f>IF(ISNUMBER(AVERAGE('20250815_ETF_Options_Exhibits'!D65:D69)),AVERAGE('20250815_ETF_Options_Exhibits'!D65:D69),"")</f>
        <v/>
      </c>
      <c r="E69" s="3">
        <f>IF(ISNUMBER(AVERAGE('20250815_ETF_Options_Exhibits'!E65:E69)),AVERAGE('20250815_ETF_Options_Exhibits'!E65:E69),"")</f>
        <v/>
      </c>
      <c r="F69" s="3">
        <f>IF(ISNUMBER(AVERAGE('20250815_ETF_Options_Exhibits'!F65:F69)),AVERAGE('20250815_ETF_Options_Exhibits'!F65:F69),"")</f>
        <v/>
      </c>
      <c r="G69" s="3">
        <f>IF(ISNUMBER(AVERAGE('20250815_ETF_Options_Exhibits'!G65:G69)),AVERAGE('20250815_ETF_Options_Exhibits'!G65:G69),"")</f>
        <v/>
      </c>
      <c r="H69" s="3">
        <f>IF(ISNUMBER(AVERAGE('20250815_ETF_Options_Exhibits'!H65:H69)),AVERAGE('20250815_ETF_Options_Exhibits'!H65:H69),"")</f>
        <v/>
      </c>
      <c r="I69" s="3">
        <f>IF(ISNUMBER(AVERAGE('20250815_ETF_Options_Exhibits'!I65:I69)),AVERAGE('20250815_ETF_Options_Exhibits'!I65:I69),"")</f>
        <v/>
      </c>
      <c r="J69" s="3">
        <f>IF(ISNUMBER(AVERAGE('20250815_ETF_Options_Exhibits'!J65:J69)),AVERAGE('20250815_ETF_Options_Exhibits'!J65:J69),"")</f>
        <v/>
      </c>
      <c r="K69" s="3">
        <f>IF(ISNUMBER(AVERAGE('20250815_ETF_Options_Exhibits'!K65:K69)),AVERAGE('20250815_ETF_Options_Exhibits'!K65:K69),"")</f>
        <v/>
      </c>
      <c r="L69" s="3">
        <f>IF(ISNUMBER(AVERAGE('20250815_ETF_Options_Exhibits'!L65:L69)),AVERAGE('20250815_ETF_Options_Exhibits'!L65:L69),"")</f>
        <v/>
      </c>
      <c r="M69" s="3">
        <f>IF(ISNUMBER(AVERAGE('20250815_ETF_Options_Exhibits'!M65:M69)),AVERAGE('20250815_ETF_Options_Exhibits'!M65:M69),"")</f>
        <v/>
      </c>
      <c r="N69" s="3">
        <f>IF(ISNUMBER(AVERAGE('20250815_ETF_Options_Exhibits'!N65:N69)),AVERAGE('20250815_ETF_Options_Exhibits'!N65:N69),"")</f>
        <v/>
      </c>
      <c r="O69" s="3">
        <f>IF(ISNUMBER(AVERAGE('20250815_ETF_Options_Exhibits'!O65:O69)),AVERAGE('20250815_ETF_Options_Exhibits'!O65:O69),"")</f>
        <v/>
      </c>
      <c r="P69" s="3">
        <f>IF(ISNUMBER(AVERAGE('20250815_ETF_Options_Exhibits'!P65:P69)),AVERAGE('20250815_ETF_Options_Exhibits'!P65:P69),"")</f>
        <v/>
      </c>
      <c r="Q69" s="3">
        <f>IF(ISNUMBER(AVERAGE('20250815_ETF_Options_Exhibits'!Q65:Q69)),AVERAGE('20250815_ETF_Options_Exhibits'!Q65:Q69),"")</f>
        <v/>
      </c>
      <c r="R69" s="3">
        <f>IF(ISNUMBER(AVERAGE('20250815_ETF_Options_Exhibits'!R65:R69)),AVERAGE('20250815_ETF_Options_Exhibits'!R65:R69),"")</f>
        <v/>
      </c>
      <c r="S69" s="3">
        <f>IF(ISNUMBER(AVERAGE('20250815_ETF_Options_Exhibits'!S65:S69)),AVERAGE('20250815_ETF_Options_Exhibits'!S65:S69),"")</f>
        <v/>
      </c>
      <c r="T69" s="3">
        <f>IF(ISNUMBER(AVERAGE('20250815_ETF_Options_Exhibits'!T65:T69)),AVERAGE('20250815_ETF_Options_Exhibits'!T65:T69),"")</f>
        <v/>
      </c>
      <c r="U69" s="3">
        <f>IF(ISNUMBER(AVERAGE('20250815_ETF_Options_Exhibits'!U65:U69)),AVERAGE('20250815_ETF_Options_Exhibits'!U65:U69),"")</f>
        <v/>
      </c>
      <c r="V69" s="3">
        <f>IF(ISNUMBER(AVERAGE('20250815_ETF_Options_Exhibits'!V65:V69)),AVERAGE('20250815_ETF_Options_Exhibits'!V65:V69),"")</f>
        <v/>
      </c>
      <c r="W69" s="3">
        <f>IF(ISNUMBER(AVERAGE('20250815_ETF_Options_Exhibits'!W65:W69)),AVERAGE('20250815_ETF_Options_Exhibits'!W65:W69),"")</f>
        <v/>
      </c>
      <c r="X69" s="3">
        <f>IF(ISNUMBER(AVERAGE('20250815_ETF_Options_Exhibits'!X65:X69)),AVERAGE('20250815_ETF_Options_Exhibits'!X65:X69),"")</f>
        <v/>
      </c>
      <c r="Y69" s="3">
        <f>IF(ISNUMBER(AVERAGE('20250815_ETF_Options_Exhibits'!Y65:Y69)),AVERAGE('20250815_ETF_Options_Exhibits'!Y65:Y69),"")</f>
        <v/>
      </c>
      <c r="Z69" s="3">
        <f>IF(ISNUMBER(AVERAGE('20250815_ETF_Options_Exhibits'!Z65:Z69)),AVERAGE('20250815_ETF_Options_Exhibits'!Z65:Z69),"")</f>
        <v/>
      </c>
      <c r="AA69" s="3">
        <f>IF(ISNUMBER(AVERAGE('20250815_ETF_Options_Exhibits'!AA65:AA69)),AVERAGE('20250815_ETF_Options_Exhibits'!AA65:AA69),"")</f>
        <v/>
      </c>
    </row>
    <row r="70">
      <c r="A70" s="1" t="n">
        <v>42104</v>
      </c>
      <c r="B70" s="3">
        <f>IF(ISNUMBER(AVERAGE('20250815_ETF_Options_Exhibits'!B66:B70)),AVERAGE('20250815_ETF_Options_Exhibits'!B66:B70),"")</f>
        <v/>
      </c>
      <c r="C70" s="3">
        <f>IF(ISNUMBER(AVERAGE('20250815_ETF_Options_Exhibits'!C66:C70)),AVERAGE('20250815_ETF_Options_Exhibits'!C66:C70),"")</f>
        <v/>
      </c>
      <c r="D70" s="3">
        <f>IF(ISNUMBER(AVERAGE('20250815_ETF_Options_Exhibits'!D66:D70)),AVERAGE('20250815_ETF_Options_Exhibits'!D66:D70),"")</f>
        <v/>
      </c>
      <c r="E70" s="3">
        <f>IF(ISNUMBER(AVERAGE('20250815_ETF_Options_Exhibits'!E66:E70)),AVERAGE('20250815_ETF_Options_Exhibits'!E66:E70),"")</f>
        <v/>
      </c>
      <c r="F70" s="3">
        <f>IF(ISNUMBER(AVERAGE('20250815_ETF_Options_Exhibits'!F66:F70)),AVERAGE('20250815_ETF_Options_Exhibits'!F66:F70),"")</f>
        <v/>
      </c>
      <c r="G70" s="3">
        <f>IF(ISNUMBER(AVERAGE('20250815_ETF_Options_Exhibits'!G66:G70)),AVERAGE('20250815_ETF_Options_Exhibits'!G66:G70),"")</f>
        <v/>
      </c>
      <c r="H70" s="3">
        <f>IF(ISNUMBER(AVERAGE('20250815_ETF_Options_Exhibits'!H66:H70)),AVERAGE('20250815_ETF_Options_Exhibits'!H66:H70),"")</f>
        <v/>
      </c>
      <c r="I70" s="3">
        <f>IF(ISNUMBER(AVERAGE('20250815_ETF_Options_Exhibits'!I66:I70)),AVERAGE('20250815_ETF_Options_Exhibits'!I66:I70),"")</f>
        <v/>
      </c>
      <c r="J70" s="3">
        <f>IF(ISNUMBER(AVERAGE('20250815_ETF_Options_Exhibits'!J66:J70)),AVERAGE('20250815_ETF_Options_Exhibits'!J66:J70),"")</f>
        <v/>
      </c>
      <c r="K70" s="3">
        <f>IF(ISNUMBER(AVERAGE('20250815_ETF_Options_Exhibits'!K66:K70)),AVERAGE('20250815_ETF_Options_Exhibits'!K66:K70),"")</f>
        <v/>
      </c>
      <c r="L70" s="3">
        <f>IF(ISNUMBER(AVERAGE('20250815_ETF_Options_Exhibits'!L66:L70)),AVERAGE('20250815_ETF_Options_Exhibits'!L66:L70),"")</f>
        <v/>
      </c>
      <c r="M70" s="3">
        <f>IF(ISNUMBER(AVERAGE('20250815_ETF_Options_Exhibits'!M66:M70)),AVERAGE('20250815_ETF_Options_Exhibits'!M66:M70),"")</f>
        <v/>
      </c>
      <c r="N70" s="3">
        <f>IF(ISNUMBER(AVERAGE('20250815_ETF_Options_Exhibits'!N66:N70)),AVERAGE('20250815_ETF_Options_Exhibits'!N66:N70),"")</f>
        <v/>
      </c>
      <c r="O70" s="3">
        <f>IF(ISNUMBER(AVERAGE('20250815_ETF_Options_Exhibits'!O66:O70)),AVERAGE('20250815_ETF_Options_Exhibits'!O66:O70),"")</f>
        <v/>
      </c>
      <c r="P70" s="3">
        <f>IF(ISNUMBER(AVERAGE('20250815_ETF_Options_Exhibits'!P66:P70)),AVERAGE('20250815_ETF_Options_Exhibits'!P66:P70),"")</f>
        <v/>
      </c>
      <c r="Q70" s="3">
        <f>IF(ISNUMBER(AVERAGE('20250815_ETF_Options_Exhibits'!Q66:Q70)),AVERAGE('20250815_ETF_Options_Exhibits'!Q66:Q70),"")</f>
        <v/>
      </c>
      <c r="R70" s="3">
        <f>IF(ISNUMBER(AVERAGE('20250815_ETF_Options_Exhibits'!R66:R70)),AVERAGE('20250815_ETF_Options_Exhibits'!R66:R70),"")</f>
        <v/>
      </c>
      <c r="S70" s="3">
        <f>IF(ISNUMBER(AVERAGE('20250815_ETF_Options_Exhibits'!S66:S70)),AVERAGE('20250815_ETF_Options_Exhibits'!S66:S70),"")</f>
        <v/>
      </c>
      <c r="T70" s="3">
        <f>IF(ISNUMBER(AVERAGE('20250815_ETF_Options_Exhibits'!T66:T70)),AVERAGE('20250815_ETF_Options_Exhibits'!T66:T70),"")</f>
        <v/>
      </c>
      <c r="U70" s="3">
        <f>IF(ISNUMBER(AVERAGE('20250815_ETF_Options_Exhibits'!U66:U70)),AVERAGE('20250815_ETF_Options_Exhibits'!U66:U70),"")</f>
        <v/>
      </c>
      <c r="V70" s="3">
        <f>IF(ISNUMBER(AVERAGE('20250815_ETF_Options_Exhibits'!V66:V70)),AVERAGE('20250815_ETF_Options_Exhibits'!V66:V70),"")</f>
        <v/>
      </c>
      <c r="W70" s="3">
        <f>IF(ISNUMBER(AVERAGE('20250815_ETF_Options_Exhibits'!W66:W70)),AVERAGE('20250815_ETF_Options_Exhibits'!W66:W70),"")</f>
        <v/>
      </c>
      <c r="X70" s="3">
        <f>IF(ISNUMBER(AVERAGE('20250815_ETF_Options_Exhibits'!X66:X70)),AVERAGE('20250815_ETF_Options_Exhibits'!X66:X70),"")</f>
        <v/>
      </c>
      <c r="Y70" s="3">
        <f>IF(ISNUMBER(AVERAGE('20250815_ETF_Options_Exhibits'!Y66:Y70)),AVERAGE('20250815_ETF_Options_Exhibits'!Y66:Y70),"")</f>
        <v/>
      </c>
      <c r="Z70" s="3">
        <f>IF(ISNUMBER(AVERAGE('20250815_ETF_Options_Exhibits'!Z66:Z70)),AVERAGE('20250815_ETF_Options_Exhibits'!Z66:Z70),"")</f>
        <v/>
      </c>
      <c r="AA70" s="3">
        <f>IF(ISNUMBER(AVERAGE('20250815_ETF_Options_Exhibits'!AA66:AA70)),AVERAGE('20250815_ETF_Options_Exhibits'!AA66:AA70),"")</f>
        <v/>
      </c>
    </row>
    <row r="71">
      <c r="A71" s="1" t="n">
        <v>42107</v>
      </c>
      <c r="B71" s="3">
        <f>IF(ISNUMBER(AVERAGE('20250815_ETF_Options_Exhibits'!B67:B71)),AVERAGE('20250815_ETF_Options_Exhibits'!B67:B71),"")</f>
        <v/>
      </c>
      <c r="C71" s="3">
        <f>IF(ISNUMBER(AVERAGE('20250815_ETF_Options_Exhibits'!C67:C71)),AVERAGE('20250815_ETF_Options_Exhibits'!C67:C71),"")</f>
        <v/>
      </c>
      <c r="D71" s="3">
        <f>IF(ISNUMBER(AVERAGE('20250815_ETF_Options_Exhibits'!D67:D71)),AVERAGE('20250815_ETF_Options_Exhibits'!D67:D71),"")</f>
        <v/>
      </c>
      <c r="E71" s="3">
        <f>IF(ISNUMBER(AVERAGE('20250815_ETF_Options_Exhibits'!E67:E71)),AVERAGE('20250815_ETF_Options_Exhibits'!E67:E71),"")</f>
        <v/>
      </c>
      <c r="F71" s="3">
        <f>IF(ISNUMBER(AVERAGE('20250815_ETF_Options_Exhibits'!F67:F71)),AVERAGE('20250815_ETF_Options_Exhibits'!F67:F71),"")</f>
        <v/>
      </c>
      <c r="G71" s="3">
        <f>IF(ISNUMBER(AVERAGE('20250815_ETF_Options_Exhibits'!G67:G71)),AVERAGE('20250815_ETF_Options_Exhibits'!G67:G71),"")</f>
        <v/>
      </c>
      <c r="H71" s="3">
        <f>IF(ISNUMBER(AVERAGE('20250815_ETF_Options_Exhibits'!H67:H71)),AVERAGE('20250815_ETF_Options_Exhibits'!H67:H71),"")</f>
        <v/>
      </c>
      <c r="I71" s="3">
        <f>IF(ISNUMBER(AVERAGE('20250815_ETF_Options_Exhibits'!I67:I71)),AVERAGE('20250815_ETF_Options_Exhibits'!I67:I71),"")</f>
        <v/>
      </c>
      <c r="J71" s="3">
        <f>IF(ISNUMBER(AVERAGE('20250815_ETF_Options_Exhibits'!J67:J71)),AVERAGE('20250815_ETF_Options_Exhibits'!J67:J71),"")</f>
        <v/>
      </c>
      <c r="K71" s="3">
        <f>IF(ISNUMBER(AVERAGE('20250815_ETF_Options_Exhibits'!K67:K71)),AVERAGE('20250815_ETF_Options_Exhibits'!K67:K71),"")</f>
        <v/>
      </c>
      <c r="L71" s="3">
        <f>IF(ISNUMBER(AVERAGE('20250815_ETF_Options_Exhibits'!L67:L71)),AVERAGE('20250815_ETF_Options_Exhibits'!L67:L71),"")</f>
        <v/>
      </c>
      <c r="M71" s="3">
        <f>IF(ISNUMBER(AVERAGE('20250815_ETF_Options_Exhibits'!M67:M71)),AVERAGE('20250815_ETF_Options_Exhibits'!M67:M71),"")</f>
        <v/>
      </c>
      <c r="N71" s="3">
        <f>IF(ISNUMBER(AVERAGE('20250815_ETF_Options_Exhibits'!N67:N71)),AVERAGE('20250815_ETF_Options_Exhibits'!N67:N71),"")</f>
        <v/>
      </c>
      <c r="O71" s="3">
        <f>IF(ISNUMBER(AVERAGE('20250815_ETF_Options_Exhibits'!O67:O71)),AVERAGE('20250815_ETF_Options_Exhibits'!O67:O71),"")</f>
        <v/>
      </c>
      <c r="P71" s="3">
        <f>IF(ISNUMBER(AVERAGE('20250815_ETF_Options_Exhibits'!P67:P71)),AVERAGE('20250815_ETF_Options_Exhibits'!P67:P71),"")</f>
        <v/>
      </c>
      <c r="Q71" s="3">
        <f>IF(ISNUMBER(AVERAGE('20250815_ETF_Options_Exhibits'!Q67:Q71)),AVERAGE('20250815_ETF_Options_Exhibits'!Q67:Q71),"")</f>
        <v/>
      </c>
      <c r="R71" s="3">
        <f>IF(ISNUMBER(AVERAGE('20250815_ETF_Options_Exhibits'!R67:R71)),AVERAGE('20250815_ETF_Options_Exhibits'!R67:R71),"")</f>
        <v/>
      </c>
      <c r="S71" s="3">
        <f>IF(ISNUMBER(AVERAGE('20250815_ETF_Options_Exhibits'!S67:S71)),AVERAGE('20250815_ETF_Options_Exhibits'!S67:S71),"")</f>
        <v/>
      </c>
      <c r="T71" s="3">
        <f>IF(ISNUMBER(AVERAGE('20250815_ETF_Options_Exhibits'!T67:T71)),AVERAGE('20250815_ETF_Options_Exhibits'!T67:T71),"")</f>
        <v/>
      </c>
      <c r="U71" s="3">
        <f>IF(ISNUMBER(AVERAGE('20250815_ETF_Options_Exhibits'!U67:U71)),AVERAGE('20250815_ETF_Options_Exhibits'!U67:U71),"")</f>
        <v/>
      </c>
      <c r="V71" s="3">
        <f>IF(ISNUMBER(AVERAGE('20250815_ETF_Options_Exhibits'!V67:V71)),AVERAGE('20250815_ETF_Options_Exhibits'!V67:V71),"")</f>
        <v/>
      </c>
      <c r="W71" s="3">
        <f>IF(ISNUMBER(AVERAGE('20250815_ETF_Options_Exhibits'!W67:W71)),AVERAGE('20250815_ETF_Options_Exhibits'!W67:W71),"")</f>
        <v/>
      </c>
      <c r="X71" s="3">
        <f>IF(ISNUMBER(AVERAGE('20250815_ETF_Options_Exhibits'!X67:X71)),AVERAGE('20250815_ETF_Options_Exhibits'!X67:X71),"")</f>
        <v/>
      </c>
      <c r="Y71" s="3">
        <f>IF(ISNUMBER(AVERAGE('20250815_ETF_Options_Exhibits'!Y67:Y71)),AVERAGE('20250815_ETF_Options_Exhibits'!Y67:Y71),"")</f>
        <v/>
      </c>
      <c r="Z71" s="3">
        <f>IF(ISNUMBER(AVERAGE('20250815_ETF_Options_Exhibits'!Z67:Z71)),AVERAGE('20250815_ETF_Options_Exhibits'!Z67:Z71),"")</f>
        <v/>
      </c>
      <c r="AA71" s="3">
        <f>IF(ISNUMBER(AVERAGE('20250815_ETF_Options_Exhibits'!AA67:AA71)),AVERAGE('20250815_ETF_Options_Exhibits'!AA67:AA71),"")</f>
        <v/>
      </c>
    </row>
    <row r="72">
      <c r="A72" s="1" t="n">
        <v>42108</v>
      </c>
      <c r="B72" s="3">
        <f>IF(ISNUMBER(AVERAGE('20250815_ETF_Options_Exhibits'!B68:B72)),AVERAGE('20250815_ETF_Options_Exhibits'!B68:B72),"")</f>
        <v/>
      </c>
      <c r="C72" s="3">
        <f>IF(ISNUMBER(AVERAGE('20250815_ETF_Options_Exhibits'!C68:C72)),AVERAGE('20250815_ETF_Options_Exhibits'!C68:C72),"")</f>
        <v/>
      </c>
      <c r="D72" s="3">
        <f>IF(ISNUMBER(AVERAGE('20250815_ETF_Options_Exhibits'!D68:D72)),AVERAGE('20250815_ETF_Options_Exhibits'!D68:D72),"")</f>
        <v/>
      </c>
      <c r="E72" s="3">
        <f>IF(ISNUMBER(AVERAGE('20250815_ETF_Options_Exhibits'!E68:E72)),AVERAGE('20250815_ETF_Options_Exhibits'!E68:E72),"")</f>
        <v/>
      </c>
      <c r="F72" s="3">
        <f>IF(ISNUMBER(AVERAGE('20250815_ETF_Options_Exhibits'!F68:F72)),AVERAGE('20250815_ETF_Options_Exhibits'!F68:F72),"")</f>
        <v/>
      </c>
      <c r="G72" s="3">
        <f>IF(ISNUMBER(AVERAGE('20250815_ETF_Options_Exhibits'!G68:G72)),AVERAGE('20250815_ETF_Options_Exhibits'!G68:G72),"")</f>
        <v/>
      </c>
      <c r="H72" s="3">
        <f>IF(ISNUMBER(AVERAGE('20250815_ETF_Options_Exhibits'!H68:H72)),AVERAGE('20250815_ETF_Options_Exhibits'!H68:H72),"")</f>
        <v/>
      </c>
      <c r="I72" s="3">
        <f>IF(ISNUMBER(AVERAGE('20250815_ETF_Options_Exhibits'!I68:I72)),AVERAGE('20250815_ETF_Options_Exhibits'!I68:I72),"")</f>
        <v/>
      </c>
      <c r="J72" s="3">
        <f>IF(ISNUMBER(AVERAGE('20250815_ETF_Options_Exhibits'!J68:J72)),AVERAGE('20250815_ETF_Options_Exhibits'!J68:J72),"")</f>
        <v/>
      </c>
      <c r="K72" s="3">
        <f>IF(ISNUMBER(AVERAGE('20250815_ETF_Options_Exhibits'!K68:K72)),AVERAGE('20250815_ETF_Options_Exhibits'!K68:K72),"")</f>
        <v/>
      </c>
      <c r="L72" s="3">
        <f>IF(ISNUMBER(AVERAGE('20250815_ETF_Options_Exhibits'!L68:L72)),AVERAGE('20250815_ETF_Options_Exhibits'!L68:L72),"")</f>
        <v/>
      </c>
      <c r="M72" s="3">
        <f>IF(ISNUMBER(AVERAGE('20250815_ETF_Options_Exhibits'!M68:M72)),AVERAGE('20250815_ETF_Options_Exhibits'!M68:M72),"")</f>
        <v/>
      </c>
      <c r="N72" s="3">
        <f>IF(ISNUMBER(AVERAGE('20250815_ETF_Options_Exhibits'!N68:N72)),AVERAGE('20250815_ETF_Options_Exhibits'!N68:N72),"")</f>
        <v/>
      </c>
      <c r="O72" s="3">
        <f>IF(ISNUMBER(AVERAGE('20250815_ETF_Options_Exhibits'!O68:O72)),AVERAGE('20250815_ETF_Options_Exhibits'!O68:O72),"")</f>
        <v/>
      </c>
      <c r="P72" s="3">
        <f>IF(ISNUMBER(AVERAGE('20250815_ETF_Options_Exhibits'!P68:P72)),AVERAGE('20250815_ETF_Options_Exhibits'!P68:P72),"")</f>
        <v/>
      </c>
      <c r="Q72" s="3">
        <f>IF(ISNUMBER(AVERAGE('20250815_ETF_Options_Exhibits'!Q68:Q72)),AVERAGE('20250815_ETF_Options_Exhibits'!Q68:Q72),"")</f>
        <v/>
      </c>
      <c r="R72" s="3">
        <f>IF(ISNUMBER(AVERAGE('20250815_ETF_Options_Exhibits'!R68:R72)),AVERAGE('20250815_ETF_Options_Exhibits'!R68:R72),"")</f>
        <v/>
      </c>
      <c r="S72" s="3">
        <f>IF(ISNUMBER(AVERAGE('20250815_ETF_Options_Exhibits'!S68:S72)),AVERAGE('20250815_ETF_Options_Exhibits'!S68:S72),"")</f>
        <v/>
      </c>
      <c r="T72" s="3">
        <f>IF(ISNUMBER(AVERAGE('20250815_ETF_Options_Exhibits'!T68:T72)),AVERAGE('20250815_ETF_Options_Exhibits'!T68:T72),"")</f>
        <v/>
      </c>
      <c r="U72" s="3">
        <f>IF(ISNUMBER(AVERAGE('20250815_ETF_Options_Exhibits'!U68:U72)),AVERAGE('20250815_ETF_Options_Exhibits'!U68:U72),"")</f>
        <v/>
      </c>
      <c r="V72" s="3">
        <f>IF(ISNUMBER(AVERAGE('20250815_ETF_Options_Exhibits'!V68:V72)),AVERAGE('20250815_ETF_Options_Exhibits'!V68:V72),"")</f>
        <v/>
      </c>
      <c r="W72" s="3">
        <f>IF(ISNUMBER(AVERAGE('20250815_ETF_Options_Exhibits'!W68:W72)),AVERAGE('20250815_ETF_Options_Exhibits'!W68:W72),"")</f>
        <v/>
      </c>
      <c r="X72" s="3">
        <f>IF(ISNUMBER(AVERAGE('20250815_ETF_Options_Exhibits'!X68:X72)),AVERAGE('20250815_ETF_Options_Exhibits'!X68:X72),"")</f>
        <v/>
      </c>
      <c r="Y72" s="3">
        <f>IF(ISNUMBER(AVERAGE('20250815_ETF_Options_Exhibits'!Y68:Y72)),AVERAGE('20250815_ETF_Options_Exhibits'!Y68:Y72),"")</f>
        <v/>
      </c>
      <c r="Z72" s="3">
        <f>IF(ISNUMBER(AVERAGE('20250815_ETF_Options_Exhibits'!Z68:Z72)),AVERAGE('20250815_ETF_Options_Exhibits'!Z68:Z72),"")</f>
        <v/>
      </c>
      <c r="AA72" s="3">
        <f>IF(ISNUMBER(AVERAGE('20250815_ETF_Options_Exhibits'!AA68:AA72)),AVERAGE('20250815_ETF_Options_Exhibits'!AA68:AA72),"")</f>
        <v/>
      </c>
    </row>
    <row r="73">
      <c r="A73" s="1" t="n">
        <v>42109</v>
      </c>
      <c r="B73" s="3">
        <f>IF(ISNUMBER(AVERAGE('20250815_ETF_Options_Exhibits'!B69:B73)),AVERAGE('20250815_ETF_Options_Exhibits'!B69:B73),"")</f>
        <v/>
      </c>
      <c r="C73" s="3">
        <f>IF(ISNUMBER(AVERAGE('20250815_ETF_Options_Exhibits'!C69:C73)),AVERAGE('20250815_ETF_Options_Exhibits'!C69:C73),"")</f>
        <v/>
      </c>
      <c r="D73" s="3">
        <f>IF(ISNUMBER(AVERAGE('20250815_ETF_Options_Exhibits'!D69:D73)),AVERAGE('20250815_ETF_Options_Exhibits'!D69:D73),"")</f>
        <v/>
      </c>
      <c r="E73" s="3">
        <f>IF(ISNUMBER(AVERAGE('20250815_ETF_Options_Exhibits'!E69:E73)),AVERAGE('20250815_ETF_Options_Exhibits'!E69:E73),"")</f>
        <v/>
      </c>
      <c r="F73" s="3">
        <f>IF(ISNUMBER(AVERAGE('20250815_ETF_Options_Exhibits'!F69:F73)),AVERAGE('20250815_ETF_Options_Exhibits'!F69:F73),"")</f>
        <v/>
      </c>
      <c r="G73" s="3">
        <f>IF(ISNUMBER(AVERAGE('20250815_ETF_Options_Exhibits'!G69:G73)),AVERAGE('20250815_ETF_Options_Exhibits'!G69:G73),"")</f>
        <v/>
      </c>
      <c r="H73" s="3">
        <f>IF(ISNUMBER(AVERAGE('20250815_ETF_Options_Exhibits'!H69:H73)),AVERAGE('20250815_ETF_Options_Exhibits'!H69:H73),"")</f>
        <v/>
      </c>
      <c r="I73" s="3">
        <f>IF(ISNUMBER(AVERAGE('20250815_ETF_Options_Exhibits'!I69:I73)),AVERAGE('20250815_ETF_Options_Exhibits'!I69:I73),"")</f>
        <v/>
      </c>
      <c r="J73" s="3">
        <f>IF(ISNUMBER(AVERAGE('20250815_ETF_Options_Exhibits'!J69:J73)),AVERAGE('20250815_ETF_Options_Exhibits'!J69:J73),"")</f>
        <v/>
      </c>
      <c r="K73" s="3">
        <f>IF(ISNUMBER(AVERAGE('20250815_ETF_Options_Exhibits'!K69:K73)),AVERAGE('20250815_ETF_Options_Exhibits'!K69:K73),"")</f>
        <v/>
      </c>
      <c r="L73" s="3">
        <f>IF(ISNUMBER(AVERAGE('20250815_ETF_Options_Exhibits'!L69:L73)),AVERAGE('20250815_ETF_Options_Exhibits'!L69:L73),"")</f>
        <v/>
      </c>
      <c r="M73" s="3">
        <f>IF(ISNUMBER(AVERAGE('20250815_ETF_Options_Exhibits'!M69:M73)),AVERAGE('20250815_ETF_Options_Exhibits'!M69:M73),"")</f>
        <v/>
      </c>
      <c r="N73" s="3">
        <f>IF(ISNUMBER(AVERAGE('20250815_ETF_Options_Exhibits'!N69:N73)),AVERAGE('20250815_ETF_Options_Exhibits'!N69:N73),"")</f>
        <v/>
      </c>
      <c r="O73" s="3">
        <f>IF(ISNUMBER(AVERAGE('20250815_ETF_Options_Exhibits'!O69:O73)),AVERAGE('20250815_ETF_Options_Exhibits'!O69:O73),"")</f>
        <v/>
      </c>
      <c r="P73" s="3">
        <f>IF(ISNUMBER(AVERAGE('20250815_ETF_Options_Exhibits'!P69:P73)),AVERAGE('20250815_ETF_Options_Exhibits'!P69:P73),"")</f>
        <v/>
      </c>
      <c r="Q73" s="3">
        <f>IF(ISNUMBER(AVERAGE('20250815_ETF_Options_Exhibits'!Q69:Q73)),AVERAGE('20250815_ETF_Options_Exhibits'!Q69:Q73),"")</f>
        <v/>
      </c>
      <c r="R73" s="3">
        <f>IF(ISNUMBER(AVERAGE('20250815_ETF_Options_Exhibits'!R69:R73)),AVERAGE('20250815_ETF_Options_Exhibits'!R69:R73),"")</f>
        <v/>
      </c>
      <c r="S73" s="3">
        <f>IF(ISNUMBER(AVERAGE('20250815_ETF_Options_Exhibits'!S69:S73)),AVERAGE('20250815_ETF_Options_Exhibits'!S69:S73),"")</f>
        <v/>
      </c>
      <c r="T73" s="3">
        <f>IF(ISNUMBER(AVERAGE('20250815_ETF_Options_Exhibits'!T69:T73)),AVERAGE('20250815_ETF_Options_Exhibits'!T69:T73),"")</f>
        <v/>
      </c>
      <c r="U73" s="3">
        <f>IF(ISNUMBER(AVERAGE('20250815_ETF_Options_Exhibits'!U69:U73)),AVERAGE('20250815_ETF_Options_Exhibits'!U69:U73),"")</f>
        <v/>
      </c>
      <c r="V73" s="3">
        <f>IF(ISNUMBER(AVERAGE('20250815_ETF_Options_Exhibits'!V69:V73)),AVERAGE('20250815_ETF_Options_Exhibits'!V69:V73),"")</f>
        <v/>
      </c>
      <c r="W73" s="3">
        <f>IF(ISNUMBER(AVERAGE('20250815_ETF_Options_Exhibits'!W69:W73)),AVERAGE('20250815_ETF_Options_Exhibits'!W69:W73),"")</f>
        <v/>
      </c>
      <c r="X73" s="3">
        <f>IF(ISNUMBER(AVERAGE('20250815_ETF_Options_Exhibits'!X69:X73)),AVERAGE('20250815_ETF_Options_Exhibits'!X69:X73),"")</f>
        <v/>
      </c>
      <c r="Y73" s="3">
        <f>IF(ISNUMBER(AVERAGE('20250815_ETF_Options_Exhibits'!Y69:Y73)),AVERAGE('20250815_ETF_Options_Exhibits'!Y69:Y73),"")</f>
        <v/>
      </c>
      <c r="Z73" s="3">
        <f>IF(ISNUMBER(AVERAGE('20250815_ETF_Options_Exhibits'!Z69:Z73)),AVERAGE('20250815_ETF_Options_Exhibits'!Z69:Z73),"")</f>
        <v/>
      </c>
      <c r="AA73" s="3">
        <f>IF(ISNUMBER(AVERAGE('20250815_ETF_Options_Exhibits'!AA69:AA73)),AVERAGE('20250815_ETF_Options_Exhibits'!AA69:AA73),"")</f>
        <v/>
      </c>
    </row>
    <row r="74">
      <c r="A74" s="1" t="n">
        <v>42110</v>
      </c>
      <c r="B74" s="3">
        <f>IF(ISNUMBER(AVERAGE('20250815_ETF_Options_Exhibits'!B70:B74)),AVERAGE('20250815_ETF_Options_Exhibits'!B70:B74),"")</f>
        <v/>
      </c>
      <c r="C74" s="3">
        <f>IF(ISNUMBER(AVERAGE('20250815_ETF_Options_Exhibits'!C70:C74)),AVERAGE('20250815_ETF_Options_Exhibits'!C70:C74),"")</f>
        <v/>
      </c>
      <c r="D74" s="3">
        <f>IF(ISNUMBER(AVERAGE('20250815_ETF_Options_Exhibits'!D70:D74)),AVERAGE('20250815_ETF_Options_Exhibits'!D70:D74),"")</f>
        <v/>
      </c>
      <c r="E74" s="3">
        <f>IF(ISNUMBER(AVERAGE('20250815_ETF_Options_Exhibits'!E70:E74)),AVERAGE('20250815_ETF_Options_Exhibits'!E70:E74),"")</f>
        <v/>
      </c>
      <c r="F74" s="3">
        <f>IF(ISNUMBER(AVERAGE('20250815_ETF_Options_Exhibits'!F70:F74)),AVERAGE('20250815_ETF_Options_Exhibits'!F70:F74),"")</f>
        <v/>
      </c>
      <c r="G74" s="3">
        <f>IF(ISNUMBER(AVERAGE('20250815_ETF_Options_Exhibits'!G70:G74)),AVERAGE('20250815_ETF_Options_Exhibits'!G70:G74),"")</f>
        <v/>
      </c>
      <c r="H74" s="3">
        <f>IF(ISNUMBER(AVERAGE('20250815_ETF_Options_Exhibits'!H70:H74)),AVERAGE('20250815_ETF_Options_Exhibits'!H70:H74),"")</f>
        <v/>
      </c>
      <c r="I74" s="3">
        <f>IF(ISNUMBER(AVERAGE('20250815_ETF_Options_Exhibits'!I70:I74)),AVERAGE('20250815_ETF_Options_Exhibits'!I70:I74),"")</f>
        <v/>
      </c>
      <c r="J74" s="3">
        <f>IF(ISNUMBER(AVERAGE('20250815_ETF_Options_Exhibits'!J70:J74)),AVERAGE('20250815_ETF_Options_Exhibits'!J70:J74),"")</f>
        <v/>
      </c>
      <c r="K74" s="3">
        <f>IF(ISNUMBER(AVERAGE('20250815_ETF_Options_Exhibits'!K70:K74)),AVERAGE('20250815_ETF_Options_Exhibits'!K70:K74),"")</f>
        <v/>
      </c>
      <c r="L74" s="3">
        <f>IF(ISNUMBER(AVERAGE('20250815_ETF_Options_Exhibits'!L70:L74)),AVERAGE('20250815_ETF_Options_Exhibits'!L70:L74),"")</f>
        <v/>
      </c>
      <c r="M74" s="3">
        <f>IF(ISNUMBER(AVERAGE('20250815_ETF_Options_Exhibits'!M70:M74)),AVERAGE('20250815_ETF_Options_Exhibits'!M70:M74),"")</f>
        <v/>
      </c>
      <c r="N74" s="3">
        <f>IF(ISNUMBER(AVERAGE('20250815_ETF_Options_Exhibits'!N70:N74)),AVERAGE('20250815_ETF_Options_Exhibits'!N70:N74),"")</f>
        <v/>
      </c>
      <c r="O74" s="3">
        <f>IF(ISNUMBER(AVERAGE('20250815_ETF_Options_Exhibits'!O70:O74)),AVERAGE('20250815_ETF_Options_Exhibits'!O70:O74),"")</f>
        <v/>
      </c>
      <c r="P74" s="3">
        <f>IF(ISNUMBER(AVERAGE('20250815_ETF_Options_Exhibits'!P70:P74)),AVERAGE('20250815_ETF_Options_Exhibits'!P70:P74),"")</f>
        <v/>
      </c>
      <c r="Q74" s="3">
        <f>IF(ISNUMBER(AVERAGE('20250815_ETF_Options_Exhibits'!Q70:Q74)),AVERAGE('20250815_ETF_Options_Exhibits'!Q70:Q74),"")</f>
        <v/>
      </c>
      <c r="R74" s="3">
        <f>IF(ISNUMBER(AVERAGE('20250815_ETF_Options_Exhibits'!R70:R74)),AVERAGE('20250815_ETF_Options_Exhibits'!R70:R74),"")</f>
        <v/>
      </c>
      <c r="S74" s="3">
        <f>IF(ISNUMBER(AVERAGE('20250815_ETF_Options_Exhibits'!S70:S74)),AVERAGE('20250815_ETF_Options_Exhibits'!S70:S74),"")</f>
        <v/>
      </c>
      <c r="T74" s="3">
        <f>IF(ISNUMBER(AVERAGE('20250815_ETF_Options_Exhibits'!T70:T74)),AVERAGE('20250815_ETF_Options_Exhibits'!T70:T74),"")</f>
        <v/>
      </c>
      <c r="U74" s="3">
        <f>IF(ISNUMBER(AVERAGE('20250815_ETF_Options_Exhibits'!U70:U74)),AVERAGE('20250815_ETF_Options_Exhibits'!U70:U74),"")</f>
        <v/>
      </c>
      <c r="V74" s="3">
        <f>IF(ISNUMBER(AVERAGE('20250815_ETF_Options_Exhibits'!V70:V74)),AVERAGE('20250815_ETF_Options_Exhibits'!V70:V74),"")</f>
        <v/>
      </c>
      <c r="W74" s="3">
        <f>IF(ISNUMBER(AVERAGE('20250815_ETF_Options_Exhibits'!W70:W74)),AVERAGE('20250815_ETF_Options_Exhibits'!W70:W74),"")</f>
        <v/>
      </c>
      <c r="X74" s="3">
        <f>IF(ISNUMBER(AVERAGE('20250815_ETF_Options_Exhibits'!X70:X74)),AVERAGE('20250815_ETF_Options_Exhibits'!X70:X74),"")</f>
        <v/>
      </c>
      <c r="Y74" s="3">
        <f>IF(ISNUMBER(AVERAGE('20250815_ETF_Options_Exhibits'!Y70:Y74)),AVERAGE('20250815_ETF_Options_Exhibits'!Y70:Y74),"")</f>
        <v/>
      </c>
      <c r="Z74" s="3">
        <f>IF(ISNUMBER(AVERAGE('20250815_ETF_Options_Exhibits'!Z70:Z74)),AVERAGE('20250815_ETF_Options_Exhibits'!Z70:Z74),"")</f>
        <v/>
      </c>
      <c r="AA74" s="3">
        <f>IF(ISNUMBER(AVERAGE('20250815_ETF_Options_Exhibits'!AA70:AA74)),AVERAGE('20250815_ETF_Options_Exhibits'!AA70:AA74),"")</f>
        <v/>
      </c>
    </row>
    <row r="75">
      <c r="A75" s="1" t="n">
        <v>42111</v>
      </c>
      <c r="B75" s="3">
        <f>IF(ISNUMBER(AVERAGE('20250815_ETF_Options_Exhibits'!B71:B75)),AVERAGE('20250815_ETF_Options_Exhibits'!B71:B75),"")</f>
        <v/>
      </c>
      <c r="C75" s="3">
        <f>IF(ISNUMBER(AVERAGE('20250815_ETF_Options_Exhibits'!C71:C75)),AVERAGE('20250815_ETF_Options_Exhibits'!C71:C75),"")</f>
        <v/>
      </c>
      <c r="D75" s="3">
        <f>IF(ISNUMBER(AVERAGE('20250815_ETF_Options_Exhibits'!D71:D75)),AVERAGE('20250815_ETF_Options_Exhibits'!D71:D75),"")</f>
        <v/>
      </c>
      <c r="E75" s="3">
        <f>IF(ISNUMBER(AVERAGE('20250815_ETF_Options_Exhibits'!E71:E75)),AVERAGE('20250815_ETF_Options_Exhibits'!E71:E75),"")</f>
        <v/>
      </c>
      <c r="F75" s="3">
        <f>IF(ISNUMBER(AVERAGE('20250815_ETF_Options_Exhibits'!F71:F75)),AVERAGE('20250815_ETF_Options_Exhibits'!F71:F75),"")</f>
        <v/>
      </c>
      <c r="G75" s="3">
        <f>IF(ISNUMBER(AVERAGE('20250815_ETF_Options_Exhibits'!G71:G75)),AVERAGE('20250815_ETF_Options_Exhibits'!G71:G75),"")</f>
        <v/>
      </c>
      <c r="H75" s="3">
        <f>IF(ISNUMBER(AVERAGE('20250815_ETF_Options_Exhibits'!H71:H75)),AVERAGE('20250815_ETF_Options_Exhibits'!H71:H75),"")</f>
        <v/>
      </c>
      <c r="I75" s="3">
        <f>IF(ISNUMBER(AVERAGE('20250815_ETF_Options_Exhibits'!I71:I75)),AVERAGE('20250815_ETF_Options_Exhibits'!I71:I75),"")</f>
        <v/>
      </c>
      <c r="J75" s="3">
        <f>IF(ISNUMBER(AVERAGE('20250815_ETF_Options_Exhibits'!J71:J75)),AVERAGE('20250815_ETF_Options_Exhibits'!J71:J75),"")</f>
        <v/>
      </c>
      <c r="K75" s="3">
        <f>IF(ISNUMBER(AVERAGE('20250815_ETF_Options_Exhibits'!K71:K75)),AVERAGE('20250815_ETF_Options_Exhibits'!K71:K75),"")</f>
        <v/>
      </c>
      <c r="L75" s="3">
        <f>IF(ISNUMBER(AVERAGE('20250815_ETF_Options_Exhibits'!L71:L75)),AVERAGE('20250815_ETF_Options_Exhibits'!L71:L75),"")</f>
        <v/>
      </c>
      <c r="M75" s="3">
        <f>IF(ISNUMBER(AVERAGE('20250815_ETF_Options_Exhibits'!M71:M75)),AVERAGE('20250815_ETF_Options_Exhibits'!M71:M75),"")</f>
        <v/>
      </c>
      <c r="N75" s="3">
        <f>IF(ISNUMBER(AVERAGE('20250815_ETF_Options_Exhibits'!N71:N75)),AVERAGE('20250815_ETF_Options_Exhibits'!N71:N75),"")</f>
        <v/>
      </c>
      <c r="O75" s="3">
        <f>IF(ISNUMBER(AVERAGE('20250815_ETF_Options_Exhibits'!O71:O75)),AVERAGE('20250815_ETF_Options_Exhibits'!O71:O75),"")</f>
        <v/>
      </c>
      <c r="P75" s="3">
        <f>IF(ISNUMBER(AVERAGE('20250815_ETF_Options_Exhibits'!P71:P75)),AVERAGE('20250815_ETF_Options_Exhibits'!P71:P75),"")</f>
        <v/>
      </c>
      <c r="Q75" s="3">
        <f>IF(ISNUMBER(AVERAGE('20250815_ETF_Options_Exhibits'!Q71:Q75)),AVERAGE('20250815_ETF_Options_Exhibits'!Q71:Q75),"")</f>
        <v/>
      </c>
      <c r="R75" s="3">
        <f>IF(ISNUMBER(AVERAGE('20250815_ETF_Options_Exhibits'!R71:R75)),AVERAGE('20250815_ETF_Options_Exhibits'!R71:R75),"")</f>
        <v/>
      </c>
      <c r="S75" s="3">
        <f>IF(ISNUMBER(AVERAGE('20250815_ETF_Options_Exhibits'!S71:S75)),AVERAGE('20250815_ETF_Options_Exhibits'!S71:S75),"")</f>
        <v/>
      </c>
      <c r="T75" s="3">
        <f>IF(ISNUMBER(AVERAGE('20250815_ETF_Options_Exhibits'!T71:T75)),AVERAGE('20250815_ETF_Options_Exhibits'!T71:T75),"")</f>
        <v/>
      </c>
      <c r="U75" s="3">
        <f>IF(ISNUMBER(AVERAGE('20250815_ETF_Options_Exhibits'!U71:U75)),AVERAGE('20250815_ETF_Options_Exhibits'!U71:U75),"")</f>
        <v/>
      </c>
      <c r="V75" s="3">
        <f>IF(ISNUMBER(AVERAGE('20250815_ETF_Options_Exhibits'!V71:V75)),AVERAGE('20250815_ETF_Options_Exhibits'!V71:V75),"")</f>
        <v/>
      </c>
      <c r="W75" s="3">
        <f>IF(ISNUMBER(AVERAGE('20250815_ETF_Options_Exhibits'!W71:W75)),AVERAGE('20250815_ETF_Options_Exhibits'!W71:W75),"")</f>
        <v/>
      </c>
      <c r="X75" s="3">
        <f>IF(ISNUMBER(AVERAGE('20250815_ETF_Options_Exhibits'!X71:X75)),AVERAGE('20250815_ETF_Options_Exhibits'!X71:X75),"")</f>
        <v/>
      </c>
      <c r="Y75" s="3">
        <f>IF(ISNUMBER(AVERAGE('20250815_ETF_Options_Exhibits'!Y71:Y75)),AVERAGE('20250815_ETF_Options_Exhibits'!Y71:Y75),"")</f>
        <v/>
      </c>
      <c r="Z75" s="3">
        <f>IF(ISNUMBER(AVERAGE('20250815_ETF_Options_Exhibits'!Z71:Z75)),AVERAGE('20250815_ETF_Options_Exhibits'!Z71:Z75),"")</f>
        <v/>
      </c>
      <c r="AA75" s="3">
        <f>IF(ISNUMBER(AVERAGE('20250815_ETF_Options_Exhibits'!AA71:AA75)),AVERAGE('20250815_ETF_Options_Exhibits'!AA71:AA75),"")</f>
        <v/>
      </c>
    </row>
    <row r="76">
      <c r="A76" s="1" t="n">
        <v>42114</v>
      </c>
      <c r="B76" s="3">
        <f>IF(ISNUMBER(AVERAGE('20250815_ETF_Options_Exhibits'!B72:B76)),AVERAGE('20250815_ETF_Options_Exhibits'!B72:B76),"")</f>
        <v/>
      </c>
      <c r="C76" s="3">
        <f>IF(ISNUMBER(AVERAGE('20250815_ETF_Options_Exhibits'!C72:C76)),AVERAGE('20250815_ETF_Options_Exhibits'!C72:C76),"")</f>
        <v/>
      </c>
      <c r="D76" s="3">
        <f>IF(ISNUMBER(AVERAGE('20250815_ETF_Options_Exhibits'!D72:D76)),AVERAGE('20250815_ETF_Options_Exhibits'!D72:D76),"")</f>
        <v/>
      </c>
      <c r="E76" s="3">
        <f>IF(ISNUMBER(AVERAGE('20250815_ETF_Options_Exhibits'!E72:E76)),AVERAGE('20250815_ETF_Options_Exhibits'!E72:E76),"")</f>
        <v/>
      </c>
      <c r="F76" s="3">
        <f>IF(ISNUMBER(AVERAGE('20250815_ETF_Options_Exhibits'!F72:F76)),AVERAGE('20250815_ETF_Options_Exhibits'!F72:F76),"")</f>
        <v/>
      </c>
      <c r="G76" s="3">
        <f>IF(ISNUMBER(AVERAGE('20250815_ETF_Options_Exhibits'!G72:G76)),AVERAGE('20250815_ETF_Options_Exhibits'!G72:G76),"")</f>
        <v/>
      </c>
      <c r="H76" s="3">
        <f>IF(ISNUMBER(AVERAGE('20250815_ETF_Options_Exhibits'!H72:H76)),AVERAGE('20250815_ETF_Options_Exhibits'!H72:H76),"")</f>
        <v/>
      </c>
      <c r="I76" s="3">
        <f>IF(ISNUMBER(AVERAGE('20250815_ETF_Options_Exhibits'!I72:I76)),AVERAGE('20250815_ETF_Options_Exhibits'!I72:I76),"")</f>
        <v/>
      </c>
      <c r="J76" s="3">
        <f>IF(ISNUMBER(AVERAGE('20250815_ETF_Options_Exhibits'!J72:J76)),AVERAGE('20250815_ETF_Options_Exhibits'!J72:J76),"")</f>
        <v/>
      </c>
      <c r="K76" s="3">
        <f>IF(ISNUMBER(AVERAGE('20250815_ETF_Options_Exhibits'!K72:K76)),AVERAGE('20250815_ETF_Options_Exhibits'!K72:K76),"")</f>
        <v/>
      </c>
      <c r="L76" s="3">
        <f>IF(ISNUMBER(AVERAGE('20250815_ETF_Options_Exhibits'!L72:L76)),AVERAGE('20250815_ETF_Options_Exhibits'!L72:L76),"")</f>
        <v/>
      </c>
      <c r="M76" s="3">
        <f>IF(ISNUMBER(AVERAGE('20250815_ETF_Options_Exhibits'!M72:M76)),AVERAGE('20250815_ETF_Options_Exhibits'!M72:M76),"")</f>
        <v/>
      </c>
      <c r="N76" s="3">
        <f>IF(ISNUMBER(AVERAGE('20250815_ETF_Options_Exhibits'!N72:N76)),AVERAGE('20250815_ETF_Options_Exhibits'!N72:N76),"")</f>
        <v/>
      </c>
      <c r="O76" s="3">
        <f>IF(ISNUMBER(AVERAGE('20250815_ETF_Options_Exhibits'!O72:O76)),AVERAGE('20250815_ETF_Options_Exhibits'!O72:O76),"")</f>
        <v/>
      </c>
      <c r="P76" s="3">
        <f>IF(ISNUMBER(AVERAGE('20250815_ETF_Options_Exhibits'!P72:P76)),AVERAGE('20250815_ETF_Options_Exhibits'!P72:P76),"")</f>
        <v/>
      </c>
      <c r="Q76" s="3">
        <f>IF(ISNUMBER(AVERAGE('20250815_ETF_Options_Exhibits'!Q72:Q76)),AVERAGE('20250815_ETF_Options_Exhibits'!Q72:Q76),"")</f>
        <v/>
      </c>
      <c r="R76" s="3">
        <f>IF(ISNUMBER(AVERAGE('20250815_ETF_Options_Exhibits'!R72:R76)),AVERAGE('20250815_ETF_Options_Exhibits'!R72:R76),"")</f>
        <v/>
      </c>
      <c r="S76" s="3">
        <f>IF(ISNUMBER(AVERAGE('20250815_ETF_Options_Exhibits'!S72:S76)),AVERAGE('20250815_ETF_Options_Exhibits'!S72:S76),"")</f>
        <v/>
      </c>
      <c r="T76" s="3">
        <f>IF(ISNUMBER(AVERAGE('20250815_ETF_Options_Exhibits'!T72:T76)),AVERAGE('20250815_ETF_Options_Exhibits'!T72:T76),"")</f>
        <v/>
      </c>
      <c r="U76" s="3">
        <f>IF(ISNUMBER(AVERAGE('20250815_ETF_Options_Exhibits'!U72:U76)),AVERAGE('20250815_ETF_Options_Exhibits'!U72:U76),"")</f>
        <v/>
      </c>
      <c r="V76" s="3">
        <f>IF(ISNUMBER(AVERAGE('20250815_ETF_Options_Exhibits'!V72:V76)),AVERAGE('20250815_ETF_Options_Exhibits'!V72:V76),"")</f>
        <v/>
      </c>
      <c r="W76" s="3">
        <f>IF(ISNUMBER(AVERAGE('20250815_ETF_Options_Exhibits'!W72:W76)),AVERAGE('20250815_ETF_Options_Exhibits'!W72:W76),"")</f>
        <v/>
      </c>
      <c r="X76" s="3">
        <f>IF(ISNUMBER(AVERAGE('20250815_ETF_Options_Exhibits'!X72:X76)),AVERAGE('20250815_ETF_Options_Exhibits'!X72:X76),"")</f>
        <v/>
      </c>
      <c r="Y76" s="3">
        <f>IF(ISNUMBER(AVERAGE('20250815_ETF_Options_Exhibits'!Y72:Y76)),AVERAGE('20250815_ETF_Options_Exhibits'!Y72:Y76),"")</f>
        <v/>
      </c>
      <c r="Z76" s="3">
        <f>IF(ISNUMBER(AVERAGE('20250815_ETF_Options_Exhibits'!Z72:Z76)),AVERAGE('20250815_ETF_Options_Exhibits'!Z72:Z76),"")</f>
        <v/>
      </c>
      <c r="AA76" s="3">
        <f>IF(ISNUMBER(AVERAGE('20250815_ETF_Options_Exhibits'!AA72:AA76)),AVERAGE('20250815_ETF_Options_Exhibits'!AA72:AA76),"")</f>
        <v/>
      </c>
    </row>
    <row r="77">
      <c r="A77" s="1" t="n">
        <v>42115</v>
      </c>
      <c r="B77" s="3">
        <f>IF(ISNUMBER(AVERAGE('20250815_ETF_Options_Exhibits'!B73:B77)),AVERAGE('20250815_ETF_Options_Exhibits'!B73:B77),"")</f>
        <v/>
      </c>
      <c r="C77" s="3">
        <f>IF(ISNUMBER(AVERAGE('20250815_ETF_Options_Exhibits'!C73:C77)),AVERAGE('20250815_ETF_Options_Exhibits'!C73:C77),"")</f>
        <v/>
      </c>
      <c r="D77" s="3">
        <f>IF(ISNUMBER(AVERAGE('20250815_ETF_Options_Exhibits'!D73:D77)),AVERAGE('20250815_ETF_Options_Exhibits'!D73:D77),"")</f>
        <v/>
      </c>
      <c r="E77" s="3">
        <f>IF(ISNUMBER(AVERAGE('20250815_ETF_Options_Exhibits'!E73:E77)),AVERAGE('20250815_ETF_Options_Exhibits'!E73:E77),"")</f>
        <v/>
      </c>
      <c r="F77" s="3">
        <f>IF(ISNUMBER(AVERAGE('20250815_ETF_Options_Exhibits'!F73:F77)),AVERAGE('20250815_ETF_Options_Exhibits'!F73:F77),"")</f>
        <v/>
      </c>
      <c r="G77" s="3">
        <f>IF(ISNUMBER(AVERAGE('20250815_ETF_Options_Exhibits'!G73:G77)),AVERAGE('20250815_ETF_Options_Exhibits'!G73:G77),"")</f>
        <v/>
      </c>
      <c r="H77" s="3">
        <f>IF(ISNUMBER(AVERAGE('20250815_ETF_Options_Exhibits'!H73:H77)),AVERAGE('20250815_ETF_Options_Exhibits'!H73:H77),"")</f>
        <v/>
      </c>
      <c r="I77" s="3">
        <f>IF(ISNUMBER(AVERAGE('20250815_ETF_Options_Exhibits'!I73:I77)),AVERAGE('20250815_ETF_Options_Exhibits'!I73:I77),"")</f>
        <v/>
      </c>
      <c r="J77" s="3">
        <f>IF(ISNUMBER(AVERAGE('20250815_ETF_Options_Exhibits'!J73:J77)),AVERAGE('20250815_ETF_Options_Exhibits'!J73:J77),"")</f>
        <v/>
      </c>
      <c r="K77" s="3">
        <f>IF(ISNUMBER(AVERAGE('20250815_ETF_Options_Exhibits'!K73:K77)),AVERAGE('20250815_ETF_Options_Exhibits'!K73:K77),"")</f>
        <v/>
      </c>
      <c r="L77" s="3">
        <f>IF(ISNUMBER(AVERAGE('20250815_ETF_Options_Exhibits'!L73:L77)),AVERAGE('20250815_ETF_Options_Exhibits'!L73:L77),"")</f>
        <v/>
      </c>
      <c r="M77" s="3">
        <f>IF(ISNUMBER(AVERAGE('20250815_ETF_Options_Exhibits'!M73:M77)),AVERAGE('20250815_ETF_Options_Exhibits'!M73:M77),"")</f>
        <v/>
      </c>
      <c r="N77" s="3">
        <f>IF(ISNUMBER(AVERAGE('20250815_ETF_Options_Exhibits'!N73:N77)),AVERAGE('20250815_ETF_Options_Exhibits'!N73:N77),"")</f>
        <v/>
      </c>
      <c r="O77" s="3">
        <f>IF(ISNUMBER(AVERAGE('20250815_ETF_Options_Exhibits'!O73:O77)),AVERAGE('20250815_ETF_Options_Exhibits'!O73:O77),"")</f>
        <v/>
      </c>
      <c r="P77" s="3">
        <f>IF(ISNUMBER(AVERAGE('20250815_ETF_Options_Exhibits'!P73:P77)),AVERAGE('20250815_ETF_Options_Exhibits'!P73:P77),"")</f>
        <v/>
      </c>
      <c r="Q77" s="3">
        <f>IF(ISNUMBER(AVERAGE('20250815_ETF_Options_Exhibits'!Q73:Q77)),AVERAGE('20250815_ETF_Options_Exhibits'!Q73:Q77),"")</f>
        <v/>
      </c>
      <c r="R77" s="3">
        <f>IF(ISNUMBER(AVERAGE('20250815_ETF_Options_Exhibits'!R73:R77)),AVERAGE('20250815_ETF_Options_Exhibits'!R73:R77),"")</f>
        <v/>
      </c>
      <c r="S77" s="3">
        <f>IF(ISNUMBER(AVERAGE('20250815_ETF_Options_Exhibits'!S73:S77)),AVERAGE('20250815_ETF_Options_Exhibits'!S73:S77),"")</f>
        <v/>
      </c>
      <c r="T77" s="3">
        <f>IF(ISNUMBER(AVERAGE('20250815_ETF_Options_Exhibits'!T73:T77)),AVERAGE('20250815_ETF_Options_Exhibits'!T73:T77),"")</f>
        <v/>
      </c>
      <c r="U77" s="3">
        <f>IF(ISNUMBER(AVERAGE('20250815_ETF_Options_Exhibits'!U73:U77)),AVERAGE('20250815_ETF_Options_Exhibits'!U73:U77),"")</f>
        <v/>
      </c>
      <c r="V77" s="3">
        <f>IF(ISNUMBER(AVERAGE('20250815_ETF_Options_Exhibits'!V73:V77)),AVERAGE('20250815_ETF_Options_Exhibits'!V73:V77),"")</f>
        <v/>
      </c>
      <c r="W77" s="3">
        <f>IF(ISNUMBER(AVERAGE('20250815_ETF_Options_Exhibits'!W73:W77)),AVERAGE('20250815_ETF_Options_Exhibits'!W73:W77),"")</f>
        <v/>
      </c>
      <c r="X77" s="3">
        <f>IF(ISNUMBER(AVERAGE('20250815_ETF_Options_Exhibits'!X73:X77)),AVERAGE('20250815_ETF_Options_Exhibits'!X73:X77),"")</f>
        <v/>
      </c>
      <c r="Y77" s="3">
        <f>IF(ISNUMBER(AVERAGE('20250815_ETF_Options_Exhibits'!Y73:Y77)),AVERAGE('20250815_ETF_Options_Exhibits'!Y73:Y77),"")</f>
        <v/>
      </c>
      <c r="Z77" s="3">
        <f>IF(ISNUMBER(AVERAGE('20250815_ETF_Options_Exhibits'!Z73:Z77)),AVERAGE('20250815_ETF_Options_Exhibits'!Z73:Z77),"")</f>
        <v/>
      </c>
      <c r="AA77" s="3">
        <f>IF(ISNUMBER(AVERAGE('20250815_ETF_Options_Exhibits'!AA73:AA77)),AVERAGE('20250815_ETF_Options_Exhibits'!AA73:AA77),"")</f>
        <v/>
      </c>
    </row>
    <row r="78">
      <c r="A78" s="1" t="n">
        <v>42116</v>
      </c>
      <c r="B78" s="3">
        <f>IF(ISNUMBER(AVERAGE('20250815_ETF_Options_Exhibits'!B74:B78)),AVERAGE('20250815_ETF_Options_Exhibits'!B74:B78),"")</f>
        <v/>
      </c>
      <c r="C78" s="3">
        <f>IF(ISNUMBER(AVERAGE('20250815_ETF_Options_Exhibits'!C74:C78)),AVERAGE('20250815_ETF_Options_Exhibits'!C74:C78),"")</f>
        <v/>
      </c>
      <c r="D78" s="3">
        <f>IF(ISNUMBER(AVERAGE('20250815_ETF_Options_Exhibits'!D74:D78)),AVERAGE('20250815_ETF_Options_Exhibits'!D74:D78),"")</f>
        <v/>
      </c>
      <c r="E78" s="3">
        <f>IF(ISNUMBER(AVERAGE('20250815_ETF_Options_Exhibits'!E74:E78)),AVERAGE('20250815_ETF_Options_Exhibits'!E74:E78),"")</f>
        <v/>
      </c>
      <c r="F78" s="3">
        <f>IF(ISNUMBER(AVERAGE('20250815_ETF_Options_Exhibits'!F74:F78)),AVERAGE('20250815_ETF_Options_Exhibits'!F74:F78),"")</f>
        <v/>
      </c>
      <c r="G78" s="3">
        <f>IF(ISNUMBER(AVERAGE('20250815_ETF_Options_Exhibits'!G74:G78)),AVERAGE('20250815_ETF_Options_Exhibits'!G74:G78),"")</f>
        <v/>
      </c>
      <c r="H78" s="3">
        <f>IF(ISNUMBER(AVERAGE('20250815_ETF_Options_Exhibits'!H74:H78)),AVERAGE('20250815_ETF_Options_Exhibits'!H74:H78),"")</f>
        <v/>
      </c>
      <c r="I78" s="3">
        <f>IF(ISNUMBER(AVERAGE('20250815_ETF_Options_Exhibits'!I74:I78)),AVERAGE('20250815_ETF_Options_Exhibits'!I74:I78),"")</f>
        <v/>
      </c>
      <c r="J78" s="3">
        <f>IF(ISNUMBER(AVERAGE('20250815_ETF_Options_Exhibits'!J74:J78)),AVERAGE('20250815_ETF_Options_Exhibits'!J74:J78),"")</f>
        <v/>
      </c>
      <c r="K78" s="3">
        <f>IF(ISNUMBER(AVERAGE('20250815_ETF_Options_Exhibits'!K74:K78)),AVERAGE('20250815_ETF_Options_Exhibits'!K74:K78),"")</f>
        <v/>
      </c>
      <c r="L78" s="3">
        <f>IF(ISNUMBER(AVERAGE('20250815_ETF_Options_Exhibits'!L74:L78)),AVERAGE('20250815_ETF_Options_Exhibits'!L74:L78),"")</f>
        <v/>
      </c>
      <c r="M78" s="3">
        <f>IF(ISNUMBER(AVERAGE('20250815_ETF_Options_Exhibits'!M74:M78)),AVERAGE('20250815_ETF_Options_Exhibits'!M74:M78),"")</f>
        <v/>
      </c>
      <c r="N78" s="3">
        <f>IF(ISNUMBER(AVERAGE('20250815_ETF_Options_Exhibits'!N74:N78)),AVERAGE('20250815_ETF_Options_Exhibits'!N74:N78),"")</f>
        <v/>
      </c>
      <c r="O78" s="3">
        <f>IF(ISNUMBER(AVERAGE('20250815_ETF_Options_Exhibits'!O74:O78)),AVERAGE('20250815_ETF_Options_Exhibits'!O74:O78),"")</f>
        <v/>
      </c>
      <c r="P78" s="3">
        <f>IF(ISNUMBER(AVERAGE('20250815_ETF_Options_Exhibits'!P74:P78)),AVERAGE('20250815_ETF_Options_Exhibits'!P74:P78),"")</f>
        <v/>
      </c>
      <c r="Q78" s="3">
        <f>IF(ISNUMBER(AVERAGE('20250815_ETF_Options_Exhibits'!Q74:Q78)),AVERAGE('20250815_ETF_Options_Exhibits'!Q74:Q78),"")</f>
        <v/>
      </c>
      <c r="R78" s="3">
        <f>IF(ISNUMBER(AVERAGE('20250815_ETF_Options_Exhibits'!R74:R78)),AVERAGE('20250815_ETF_Options_Exhibits'!R74:R78),"")</f>
        <v/>
      </c>
      <c r="S78" s="3">
        <f>IF(ISNUMBER(AVERAGE('20250815_ETF_Options_Exhibits'!S74:S78)),AVERAGE('20250815_ETF_Options_Exhibits'!S74:S78),"")</f>
        <v/>
      </c>
      <c r="T78" s="3">
        <f>IF(ISNUMBER(AVERAGE('20250815_ETF_Options_Exhibits'!T74:T78)),AVERAGE('20250815_ETF_Options_Exhibits'!T74:T78),"")</f>
        <v/>
      </c>
      <c r="U78" s="3">
        <f>IF(ISNUMBER(AVERAGE('20250815_ETF_Options_Exhibits'!U74:U78)),AVERAGE('20250815_ETF_Options_Exhibits'!U74:U78),"")</f>
        <v/>
      </c>
      <c r="V78" s="3">
        <f>IF(ISNUMBER(AVERAGE('20250815_ETF_Options_Exhibits'!V74:V78)),AVERAGE('20250815_ETF_Options_Exhibits'!V74:V78),"")</f>
        <v/>
      </c>
      <c r="W78" s="3">
        <f>IF(ISNUMBER(AVERAGE('20250815_ETF_Options_Exhibits'!W74:W78)),AVERAGE('20250815_ETF_Options_Exhibits'!W74:W78),"")</f>
        <v/>
      </c>
      <c r="X78" s="3">
        <f>IF(ISNUMBER(AVERAGE('20250815_ETF_Options_Exhibits'!X74:X78)),AVERAGE('20250815_ETF_Options_Exhibits'!X74:X78),"")</f>
        <v/>
      </c>
      <c r="Y78" s="3">
        <f>IF(ISNUMBER(AVERAGE('20250815_ETF_Options_Exhibits'!Y74:Y78)),AVERAGE('20250815_ETF_Options_Exhibits'!Y74:Y78),"")</f>
        <v/>
      </c>
      <c r="Z78" s="3">
        <f>IF(ISNUMBER(AVERAGE('20250815_ETF_Options_Exhibits'!Z74:Z78)),AVERAGE('20250815_ETF_Options_Exhibits'!Z74:Z78),"")</f>
        <v/>
      </c>
      <c r="AA78" s="3">
        <f>IF(ISNUMBER(AVERAGE('20250815_ETF_Options_Exhibits'!AA74:AA78)),AVERAGE('20250815_ETF_Options_Exhibits'!AA74:AA78),"")</f>
        <v/>
      </c>
    </row>
    <row r="79">
      <c r="A79" s="1" t="n">
        <v>42117</v>
      </c>
      <c r="B79" s="3">
        <f>IF(ISNUMBER(AVERAGE('20250815_ETF_Options_Exhibits'!B75:B79)),AVERAGE('20250815_ETF_Options_Exhibits'!B75:B79),"")</f>
        <v/>
      </c>
      <c r="C79" s="3">
        <f>IF(ISNUMBER(AVERAGE('20250815_ETF_Options_Exhibits'!C75:C79)),AVERAGE('20250815_ETF_Options_Exhibits'!C75:C79),"")</f>
        <v/>
      </c>
      <c r="D79" s="3">
        <f>IF(ISNUMBER(AVERAGE('20250815_ETF_Options_Exhibits'!D75:D79)),AVERAGE('20250815_ETF_Options_Exhibits'!D75:D79),"")</f>
        <v/>
      </c>
      <c r="E79" s="3">
        <f>IF(ISNUMBER(AVERAGE('20250815_ETF_Options_Exhibits'!E75:E79)),AVERAGE('20250815_ETF_Options_Exhibits'!E75:E79),"")</f>
        <v/>
      </c>
      <c r="F79" s="3">
        <f>IF(ISNUMBER(AVERAGE('20250815_ETF_Options_Exhibits'!F75:F79)),AVERAGE('20250815_ETF_Options_Exhibits'!F75:F79),"")</f>
        <v/>
      </c>
      <c r="G79" s="3">
        <f>IF(ISNUMBER(AVERAGE('20250815_ETF_Options_Exhibits'!G75:G79)),AVERAGE('20250815_ETF_Options_Exhibits'!G75:G79),"")</f>
        <v/>
      </c>
      <c r="H79" s="3">
        <f>IF(ISNUMBER(AVERAGE('20250815_ETF_Options_Exhibits'!H75:H79)),AVERAGE('20250815_ETF_Options_Exhibits'!H75:H79),"")</f>
        <v/>
      </c>
      <c r="I79" s="3">
        <f>IF(ISNUMBER(AVERAGE('20250815_ETF_Options_Exhibits'!I75:I79)),AVERAGE('20250815_ETF_Options_Exhibits'!I75:I79),"")</f>
        <v/>
      </c>
      <c r="J79" s="3">
        <f>IF(ISNUMBER(AVERAGE('20250815_ETF_Options_Exhibits'!J75:J79)),AVERAGE('20250815_ETF_Options_Exhibits'!J75:J79),"")</f>
        <v/>
      </c>
      <c r="K79" s="3">
        <f>IF(ISNUMBER(AVERAGE('20250815_ETF_Options_Exhibits'!K75:K79)),AVERAGE('20250815_ETF_Options_Exhibits'!K75:K79),"")</f>
        <v/>
      </c>
      <c r="L79" s="3">
        <f>IF(ISNUMBER(AVERAGE('20250815_ETF_Options_Exhibits'!L75:L79)),AVERAGE('20250815_ETF_Options_Exhibits'!L75:L79),"")</f>
        <v/>
      </c>
      <c r="M79" s="3">
        <f>IF(ISNUMBER(AVERAGE('20250815_ETF_Options_Exhibits'!M75:M79)),AVERAGE('20250815_ETF_Options_Exhibits'!M75:M79),"")</f>
        <v/>
      </c>
      <c r="N79" s="3">
        <f>IF(ISNUMBER(AVERAGE('20250815_ETF_Options_Exhibits'!N75:N79)),AVERAGE('20250815_ETF_Options_Exhibits'!N75:N79),"")</f>
        <v/>
      </c>
      <c r="O79" s="3">
        <f>IF(ISNUMBER(AVERAGE('20250815_ETF_Options_Exhibits'!O75:O79)),AVERAGE('20250815_ETF_Options_Exhibits'!O75:O79),"")</f>
        <v/>
      </c>
      <c r="P79" s="3">
        <f>IF(ISNUMBER(AVERAGE('20250815_ETF_Options_Exhibits'!P75:P79)),AVERAGE('20250815_ETF_Options_Exhibits'!P75:P79),"")</f>
        <v/>
      </c>
      <c r="Q79" s="3">
        <f>IF(ISNUMBER(AVERAGE('20250815_ETF_Options_Exhibits'!Q75:Q79)),AVERAGE('20250815_ETF_Options_Exhibits'!Q75:Q79),"")</f>
        <v/>
      </c>
      <c r="R79" s="3">
        <f>IF(ISNUMBER(AVERAGE('20250815_ETF_Options_Exhibits'!R75:R79)),AVERAGE('20250815_ETF_Options_Exhibits'!R75:R79),"")</f>
        <v/>
      </c>
      <c r="S79" s="3">
        <f>IF(ISNUMBER(AVERAGE('20250815_ETF_Options_Exhibits'!S75:S79)),AVERAGE('20250815_ETF_Options_Exhibits'!S75:S79),"")</f>
        <v/>
      </c>
      <c r="T79" s="3">
        <f>IF(ISNUMBER(AVERAGE('20250815_ETF_Options_Exhibits'!T75:T79)),AVERAGE('20250815_ETF_Options_Exhibits'!T75:T79),"")</f>
        <v/>
      </c>
      <c r="U79" s="3">
        <f>IF(ISNUMBER(AVERAGE('20250815_ETF_Options_Exhibits'!U75:U79)),AVERAGE('20250815_ETF_Options_Exhibits'!U75:U79),"")</f>
        <v/>
      </c>
      <c r="V79" s="3">
        <f>IF(ISNUMBER(AVERAGE('20250815_ETF_Options_Exhibits'!V75:V79)),AVERAGE('20250815_ETF_Options_Exhibits'!V75:V79),"")</f>
        <v/>
      </c>
      <c r="W79" s="3">
        <f>IF(ISNUMBER(AVERAGE('20250815_ETF_Options_Exhibits'!W75:W79)),AVERAGE('20250815_ETF_Options_Exhibits'!W75:W79),"")</f>
        <v/>
      </c>
      <c r="X79" s="3">
        <f>IF(ISNUMBER(AVERAGE('20250815_ETF_Options_Exhibits'!X75:X79)),AVERAGE('20250815_ETF_Options_Exhibits'!X75:X79),"")</f>
        <v/>
      </c>
      <c r="Y79" s="3">
        <f>IF(ISNUMBER(AVERAGE('20250815_ETF_Options_Exhibits'!Y75:Y79)),AVERAGE('20250815_ETF_Options_Exhibits'!Y75:Y79),"")</f>
        <v/>
      </c>
      <c r="Z79" s="3">
        <f>IF(ISNUMBER(AVERAGE('20250815_ETF_Options_Exhibits'!Z75:Z79)),AVERAGE('20250815_ETF_Options_Exhibits'!Z75:Z79),"")</f>
        <v/>
      </c>
      <c r="AA79" s="3">
        <f>IF(ISNUMBER(AVERAGE('20250815_ETF_Options_Exhibits'!AA75:AA79)),AVERAGE('20250815_ETF_Options_Exhibits'!AA75:AA79),"")</f>
        <v/>
      </c>
    </row>
    <row r="80">
      <c r="A80" s="1" t="n">
        <v>42118</v>
      </c>
      <c r="B80" s="3">
        <f>IF(ISNUMBER(AVERAGE('20250815_ETF_Options_Exhibits'!B76:B80)),AVERAGE('20250815_ETF_Options_Exhibits'!B76:B80),"")</f>
        <v/>
      </c>
      <c r="C80" s="3">
        <f>IF(ISNUMBER(AVERAGE('20250815_ETF_Options_Exhibits'!C76:C80)),AVERAGE('20250815_ETF_Options_Exhibits'!C76:C80),"")</f>
        <v/>
      </c>
      <c r="D80" s="3">
        <f>IF(ISNUMBER(AVERAGE('20250815_ETF_Options_Exhibits'!D76:D80)),AVERAGE('20250815_ETF_Options_Exhibits'!D76:D80),"")</f>
        <v/>
      </c>
      <c r="E80" s="3">
        <f>IF(ISNUMBER(AVERAGE('20250815_ETF_Options_Exhibits'!E76:E80)),AVERAGE('20250815_ETF_Options_Exhibits'!E76:E80),"")</f>
        <v/>
      </c>
      <c r="F80" s="3">
        <f>IF(ISNUMBER(AVERAGE('20250815_ETF_Options_Exhibits'!F76:F80)),AVERAGE('20250815_ETF_Options_Exhibits'!F76:F80),"")</f>
        <v/>
      </c>
      <c r="G80" s="3">
        <f>IF(ISNUMBER(AVERAGE('20250815_ETF_Options_Exhibits'!G76:G80)),AVERAGE('20250815_ETF_Options_Exhibits'!G76:G80),"")</f>
        <v/>
      </c>
      <c r="H80" s="3">
        <f>IF(ISNUMBER(AVERAGE('20250815_ETF_Options_Exhibits'!H76:H80)),AVERAGE('20250815_ETF_Options_Exhibits'!H76:H80),"")</f>
        <v/>
      </c>
      <c r="I80" s="3">
        <f>IF(ISNUMBER(AVERAGE('20250815_ETF_Options_Exhibits'!I76:I80)),AVERAGE('20250815_ETF_Options_Exhibits'!I76:I80),"")</f>
        <v/>
      </c>
      <c r="J80" s="3">
        <f>IF(ISNUMBER(AVERAGE('20250815_ETF_Options_Exhibits'!J76:J80)),AVERAGE('20250815_ETF_Options_Exhibits'!J76:J80),"")</f>
        <v/>
      </c>
      <c r="K80" s="3">
        <f>IF(ISNUMBER(AVERAGE('20250815_ETF_Options_Exhibits'!K76:K80)),AVERAGE('20250815_ETF_Options_Exhibits'!K76:K80),"")</f>
        <v/>
      </c>
      <c r="L80" s="3">
        <f>IF(ISNUMBER(AVERAGE('20250815_ETF_Options_Exhibits'!L76:L80)),AVERAGE('20250815_ETF_Options_Exhibits'!L76:L80),"")</f>
        <v/>
      </c>
      <c r="M80" s="3">
        <f>IF(ISNUMBER(AVERAGE('20250815_ETF_Options_Exhibits'!M76:M80)),AVERAGE('20250815_ETF_Options_Exhibits'!M76:M80),"")</f>
        <v/>
      </c>
      <c r="N80" s="3">
        <f>IF(ISNUMBER(AVERAGE('20250815_ETF_Options_Exhibits'!N76:N80)),AVERAGE('20250815_ETF_Options_Exhibits'!N76:N80),"")</f>
        <v/>
      </c>
      <c r="O80" s="3">
        <f>IF(ISNUMBER(AVERAGE('20250815_ETF_Options_Exhibits'!O76:O80)),AVERAGE('20250815_ETF_Options_Exhibits'!O76:O80),"")</f>
        <v/>
      </c>
      <c r="P80" s="3">
        <f>IF(ISNUMBER(AVERAGE('20250815_ETF_Options_Exhibits'!P76:P80)),AVERAGE('20250815_ETF_Options_Exhibits'!P76:P80),"")</f>
        <v/>
      </c>
      <c r="Q80" s="3">
        <f>IF(ISNUMBER(AVERAGE('20250815_ETF_Options_Exhibits'!Q76:Q80)),AVERAGE('20250815_ETF_Options_Exhibits'!Q76:Q80),"")</f>
        <v/>
      </c>
      <c r="R80" s="3">
        <f>IF(ISNUMBER(AVERAGE('20250815_ETF_Options_Exhibits'!R76:R80)),AVERAGE('20250815_ETF_Options_Exhibits'!R76:R80),"")</f>
        <v/>
      </c>
      <c r="S80" s="3">
        <f>IF(ISNUMBER(AVERAGE('20250815_ETF_Options_Exhibits'!S76:S80)),AVERAGE('20250815_ETF_Options_Exhibits'!S76:S80),"")</f>
        <v/>
      </c>
      <c r="T80" s="3">
        <f>IF(ISNUMBER(AVERAGE('20250815_ETF_Options_Exhibits'!T76:T80)),AVERAGE('20250815_ETF_Options_Exhibits'!T76:T80),"")</f>
        <v/>
      </c>
      <c r="U80" s="3">
        <f>IF(ISNUMBER(AVERAGE('20250815_ETF_Options_Exhibits'!U76:U80)),AVERAGE('20250815_ETF_Options_Exhibits'!U76:U80),"")</f>
        <v/>
      </c>
      <c r="V80" s="3">
        <f>IF(ISNUMBER(AVERAGE('20250815_ETF_Options_Exhibits'!V76:V80)),AVERAGE('20250815_ETF_Options_Exhibits'!V76:V80),"")</f>
        <v/>
      </c>
      <c r="W80" s="3">
        <f>IF(ISNUMBER(AVERAGE('20250815_ETF_Options_Exhibits'!W76:W80)),AVERAGE('20250815_ETF_Options_Exhibits'!W76:W80),"")</f>
        <v/>
      </c>
      <c r="X80" s="3">
        <f>IF(ISNUMBER(AVERAGE('20250815_ETF_Options_Exhibits'!X76:X80)),AVERAGE('20250815_ETF_Options_Exhibits'!X76:X80),"")</f>
        <v/>
      </c>
      <c r="Y80" s="3">
        <f>IF(ISNUMBER(AVERAGE('20250815_ETF_Options_Exhibits'!Y76:Y80)),AVERAGE('20250815_ETF_Options_Exhibits'!Y76:Y80),"")</f>
        <v/>
      </c>
      <c r="Z80" s="3">
        <f>IF(ISNUMBER(AVERAGE('20250815_ETF_Options_Exhibits'!Z76:Z80)),AVERAGE('20250815_ETF_Options_Exhibits'!Z76:Z80),"")</f>
        <v/>
      </c>
      <c r="AA80" s="3">
        <f>IF(ISNUMBER(AVERAGE('20250815_ETF_Options_Exhibits'!AA76:AA80)),AVERAGE('20250815_ETF_Options_Exhibits'!AA76:AA80),"")</f>
        <v/>
      </c>
    </row>
    <row r="81">
      <c r="A81" s="1" t="n">
        <v>42121</v>
      </c>
      <c r="B81" s="3">
        <f>IF(ISNUMBER(AVERAGE('20250815_ETF_Options_Exhibits'!B77:B81)),AVERAGE('20250815_ETF_Options_Exhibits'!B77:B81),"")</f>
        <v/>
      </c>
      <c r="C81" s="3">
        <f>IF(ISNUMBER(AVERAGE('20250815_ETF_Options_Exhibits'!C77:C81)),AVERAGE('20250815_ETF_Options_Exhibits'!C77:C81),"")</f>
        <v/>
      </c>
      <c r="D81" s="3">
        <f>IF(ISNUMBER(AVERAGE('20250815_ETF_Options_Exhibits'!D77:D81)),AVERAGE('20250815_ETF_Options_Exhibits'!D77:D81),"")</f>
        <v/>
      </c>
      <c r="E81" s="3">
        <f>IF(ISNUMBER(AVERAGE('20250815_ETF_Options_Exhibits'!E77:E81)),AVERAGE('20250815_ETF_Options_Exhibits'!E77:E81),"")</f>
        <v/>
      </c>
      <c r="F81" s="3">
        <f>IF(ISNUMBER(AVERAGE('20250815_ETF_Options_Exhibits'!F77:F81)),AVERAGE('20250815_ETF_Options_Exhibits'!F77:F81),"")</f>
        <v/>
      </c>
      <c r="G81" s="3">
        <f>IF(ISNUMBER(AVERAGE('20250815_ETF_Options_Exhibits'!G77:G81)),AVERAGE('20250815_ETF_Options_Exhibits'!G77:G81),"")</f>
        <v/>
      </c>
      <c r="H81" s="3">
        <f>IF(ISNUMBER(AVERAGE('20250815_ETF_Options_Exhibits'!H77:H81)),AVERAGE('20250815_ETF_Options_Exhibits'!H77:H81),"")</f>
        <v/>
      </c>
      <c r="I81" s="3">
        <f>IF(ISNUMBER(AVERAGE('20250815_ETF_Options_Exhibits'!I77:I81)),AVERAGE('20250815_ETF_Options_Exhibits'!I77:I81),"")</f>
        <v/>
      </c>
      <c r="J81" s="3">
        <f>IF(ISNUMBER(AVERAGE('20250815_ETF_Options_Exhibits'!J77:J81)),AVERAGE('20250815_ETF_Options_Exhibits'!J77:J81),"")</f>
        <v/>
      </c>
      <c r="K81" s="3">
        <f>IF(ISNUMBER(AVERAGE('20250815_ETF_Options_Exhibits'!K77:K81)),AVERAGE('20250815_ETF_Options_Exhibits'!K77:K81),"")</f>
        <v/>
      </c>
      <c r="L81" s="3">
        <f>IF(ISNUMBER(AVERAGE('20250815_ETF_Options_Exhibits'!L77:L81)),AVERAGE('20250815_ETF_Options_Exhibits'!L77:L81),"")</f>
        <v/>
      </c>
      <c r="M81" s="3">
        <f>IF(ISNUMBER(AVERAGE('20250815_ETF_Options_Exhibits'!M77:M81)),AVERAGE('20250815_ETF_Options_Exhibits'!M77:M81),"")</f>
        <v/>
      </c>
      <c r="N81" s="3">
        <f>IF(ISNUMBER(AVERAGE('20250815_ETF_Options_Exhibits'!N77:N81)),AVERAGE('20250815_ETF_Options_Exhibits'!N77:N81),"")</f>
        <v/>
      </c>
      <c r="O81" s="3">
        <f>IF(ISNUMBER(AVERAGE('20250815_ETF_Options_Exhibits'!O77:O81)),AVERAGE('20250815_ETF_Options_Exhibits'!O77:O81),"")</f>
        <v/>
      </c>
      <c r="P81" s="3">
        <f>IF(ISNUMBER(AVERAGE('20250815_ETF_Options_Exhibits'!P77:P81)),AVERAGE('20250815_ETF_Options_Exhibits'!P77:P81),"")</f>
        <v/>
      </c>
      <c r="Q81" s="3">
        <f>IF(ISNUMBER(AVERAGE('20250815_ETF_Options_Exhibits'!Q77:Q81)),AVERAGE('20250815_ETF_Options_Exhibits'!Q77:Q81),"")</f>
        <v/>
      </c>
      <c r="R81" s="3">
        <f>IF(ISNUMBER(AVERAGE('20250815_ETF_Options_Exhibits'!R77:R81)),AVERAGE('20250815_ETF_Options_Exhibits'!R77:R81),"")</f>
        <v/>
      </c>
      <c r="S81" s="3">
        <f>IF(ISNUMBER(AVERAGE('20250815_ETF_Options_Exhibits'!S77:S81)),AVERAGE('20250815_ETF_Options_Exhibits'!S77:S81),"")</f>
        <v/>
      </c>
      <c r="T81" s="3">
        <f>IF(ISNUMBER(AVERAGE('20250815_ETF_Options_Exhibits'!T77:T81)),AVERAGE('20250815_ETF_Options_Exhibits'!T77:T81),"")</f>
        <v/>
      </c>
      <c r="U81" s="3">
        <f>IF(ISNUMBER(AVERAGE('20250815_ETF_Options_Exhibits'!U77:U81)),AVERAGE('20250815_ETF_Options_Exhibits'!U77:U81),"")</f>
        <v/>
      </c>
      <c r="V81" s="3">
        <f>IF(ISNUMBER(AVERAGE('20250815_ETF_Options_Exhibits'!V77:V81)),AVERAGE('20250815_ETF_Options_Exhibits'!V77:V81),"")</f>
        <v/>
      </c>
      <c r="W81" s="3">
        <f>IF(ISNUMBER(AVERAGE('20250815_ETF_Options_Exhibits'!W77:W81)),AVERAGE('20250815_ETF_Options_Exhibits'!W77:W81),"")</f>
        <v/>
      </c>
      <c r="X81" s="3">
        <f>IF(ISNUMBER(AVERAGE('20250815_ETF_Options_Exhibits'!X77:X81)),AVERAGE('20250815_ETF_Options_Exhibits'!X77:X81),"")</f>
        <v/>
      </c>
      <c r="Y81" s="3">
        <f>IF(ISNUMBER(AVERAGE('20250815_ETF_Options_Exhibits'!Y77:Y81)),AVERAGE('20250815_ETF_Options_Exhibits'!Y77:Y81),"")</f>
        <v/>
      </c>
      <c r="Z81" s="3">
        <f>IF(ISNUMBER(AVERAGE('20250815_ETF_Options_Exhibits'!Z77:Z81)),AVERAGE('20250815_ETF_Options_Exhibits'!Z77:Z81),"")</f>
        <v/>
      </c>
      <c r="AA81" s="3">
        <f>IF(ISNUMBER(AVERAGE('20250815_ETF_Options_Exhibits'!AA77:AA81)),AVERAGE('20250815_ETF_Options_Exhibits'!AA77:AA81),"")</f>
        <v/>
      </c>
    </row>
    <row r="82">
      <c r="A82" s="1" t="n">
        <v>42122</v>
      </c>
      <c r="B82" s="3">
        <f>IF(ISNUMBER(AVERAGE('20250815_ETF_Options_Exhibits'!B78:B82)),AVERAGE('20250815_ETF_Options_Exhibits'!B78:B82),"")</f>
        <v/>
      </c>
      <c r="C82" s="3">
        <f>IF(ISNUMBER(AVERAGE('20250815_ETF_Options_Exhibits'!C78:C82)),AVERAGE('20250815_ETF_Options_Exhibits'!C78:C82),"")</f>
        <v/>
      </c>
      <c r="D82" s="3">
        <f>IF(ISNUMBER(AVERAGE('20250815_ETF_Options_Exhibits'!D78:D82)),AVERAGE('20250815_ETF_Options_Exhibits'!D78:D82),"")</f>
        <v/>
      </c>
      <c r="E82" s="3">
        <f>IF(ISNUMBER(AVERAGE('20250815_ETF_Options_Exhibits'!E78:E82)),AVERAGE('20250815_ETF_Options_Exhibits'!E78:E82),"")</f>
        <v/>
      </c>
      <c r="F82" s="3">
        <f>IF(ISNUMBER(AVERAGE('20250815_ETF_Options_Exhibits'!F78:F82)),AVERAGE('20250815_ETF_Options_Exhibits'!F78:F82),"")</f>
        <v/>
      </c>
      <c r="G82" s="3">
        <f>IF(ISNUMBER(AVERAGE('20250815_ETF_Options_Exhibits'!G78:G82)),AVERAGE('20250815_ETF_Options_Exhibits'!G78:G82),"")</f>
        <v/>
      </c>
      <c r="H82" s="3">
        <f>IF(ISNUMBER(AVERAGE('20250815_ETF_Options_Exhibits'!H78:H82)),AVERAGE('20250815_ETF_Options_Exhibits'!H78:H82),"")</f>
        <v/>
      </c>
      <c r="I82" s="3">
        <f>IF(ISNUMBER(AVERAGE('20250815_ETF_Options_Exhibits'!I78:I82)),AVERAGE('20250815_ETF_Options_Exhibits'!I78:I82),"")</f>
        <v/>
      </c>
      <c r="J82" s="3">
        <f>IF(ISNUMBER(AVERAGE('20250815_ETF_Options_Exhibits'!J78:J82)),AVERAGE('20250815_ETF_Options_Exhibits'!J78:J82),"")</f>
        <v/>
      </c>
      <c r="K82" s="3">
        <f>IF(ISNUMBER(AVERAGE('20250815_ETF_Options_Exhibits'!K78:K82)),AVERAGE('20250815_ETF_Options_Exhibits'!K78:K82),"")</f>
        <v/>
      </c>
      <c r="L82" s="3">
        <f>IF(ISNUMBER(AVERAGE('20250815_ETF_Options_Exhibits'!L78:L82)),AVERAGE('20250815_ETF_Options_Exhibits'!L78:L82),"")</f>
        <v/>
      </c>
      <c r="M82" s="3">
        <f>IF(ISNUMBER(AVERAGE('20250815_ETF_Options_Exhibits'!M78:M82)),AVERAGE('20250815_ETF_Options_Exhibits'!M78:M82),"")</f>
        <v/>
      </c>
      <c r="N82" s="3">
        <f>IF(ISNUMBER(AVERAGE('20250815_ETF_Options_Exhibits'!N78:N82)),AVERAGE('20250815_ETF_Options_Exhibits'!N78:N82),"")</f>
        <v/>
      </c>
      <c r="O82" s="3">
        <f>IF(ISNUMBER(AVERAGE('20250815_ETF_Options_Exhibits'!O78:O82)),AVERAGE('20250815_ETF_Options_Exhibits'!O78:O82),"")</f>
        <v/>
      </c>
      <c r="P82" s="3">
        <f>IF(ISNUMBER(AVERAGE('20250815_ETF_Options_Exhibits'!P78:P82)),AVERAGE('20250815_ETF_Options_Exhibits'!P78:P82),"")</f>
        <v/>
      </c>
      <c r="Q82" s="3">
        <f>IF(ISNUMBER(AVERAGE('20250815_ETF_Options_Exhibits'!Q78:Q82)),AVERAGE('20250815_ETF_Options_Exhibits'!Q78:Q82),"")</f>
        <v/>
      </c>
      <c r="R82" s="3">
        <f>IF(ISNUMBER(AVERAGE('20250815_ETF_Options_Exhibits'!R78:R82)),AVERAGE('20250815_ETF_Options_Exhibits'!R78:R82),"")</f>
        <v/>
      </c>
      <c r="S82" s="3">
        <f>IF(ISNUMBER(AVERAGE('20250815_ETF_Options_Exhibits'!S78:S82)),AVERAGE('20250815_ETF_Options_Exhibits'!S78:S82),"")</f>
        <v/>
      </c>
      <c r="T82" s="3">
        <f>IF(ISNUMBER(AVERAGE('20250815_ETF_Options_Exhibits'!T78:T82)),AVERAGE('20250815_ETF_Options_Exhibits'!T78:T82),"")</f>
        <v/>
      </c>
      <c r="U82" s="3">
        <f>IF(ISNUMBER(AVERAGE('20250815_ETF_Options_Exhibits'!U78:U82)),AVERAGE('20250815_ETF_Options_Exhibits'!U78:U82),"")</f>
        <v/>
      </c>
      <c r="V82" s="3">
        <f>IF(ISNUMBER(AVERAGE('20250815_ETF_Options_Exhibits'!V78:V82)),AVERAGE('20250815_ETF_Options_Exhibits'!V78:V82),"")</f>
        <v/>
      </c>
      <c r="W82" s="3">
        <f>IF(ISNUMBER(AVERAGE('20250815_ETF_Options_Exhibits'!W78:W82)),AVERAGE('20250815_ETF_Options_Exhibits'!W78:W82),"")</f>
        <v/>
      </c>
      <c r="X82" s="3">
        <f>IF(ISNUMBER(AVERAGE('20250815_ETF_Options_Exhibits'!X78:X82)),AVERAGE('20250815_ETF_Options_Exhibits'!X78:X82),"")</f>
        <v/>
      </c>
      <c r="Y82" s="3">
        <f>IF(ISNUMBER(AVERAGE('20250815_ETF_Options_Exhibits'!Y78:Y82)),AVERAGE('20250815_ETF_Options_Exhibits'!Y78:Y82),"")</f>
        <v/>
      </c>
      <c r="Z82" s="3">
        <f>IF(ISNUMBER(AVERAGE('20250815_ETF_Options_Exhibits'!Z78:Z82)),AVERAGE('20250815_ETF_Options_Exhibits'!Z78:Z82),"")</f>
        <v/>
      </c>
      <c r="AA82" s="3">
        <f>IF(ISNUMBER(AVERAGE('20250815_ETF_Options_Exhibits'!AA78:AA82)),AVERAGE('20250815_ETF_Options_Exhibits'!AA78:AA82),"")</f>
        <v/>
      </c>
    </row>
    <row r="83">
      <c r="A83" s="1" t="n">
        <v>42123</v>
      </c>
      <c r="B83" s="3">
        <f>IF(ISNUMBER(AVERAGE('20250815_ETF_Options_Exhibits'!B79:B83)),AVERAGE('20250815_ETF_Options_Exhibits'!B79:B83),"")</f>
        <v/>
      </c>
      <c r="C83" s="3">
        <f>IF(ISNUMBER(AVERAGE('20250815_ETF_Options_Exhibits'!C79:C83)),AVERAGE('20250815_ETF_Options_Exhibits'!C79:C83),"")</f>
        <v/>
      </c>
      <c r="D83" s="3">
        <f>IF(ISNUMBER(AVERAGE('20250815_ETF_Options_Exhibits'!D79:D83)),AVERAGE('20250815_ETF_Options_Exhibits'!D79:D83),"")</f>
        <v/>
      </c>
      <c r="E83" s="3">
        <f>IF(ISNUMBER(AVERAGE('20250815_ETF_Options_Exhibits'!E79:E83)),AVERAGE('20250815_ETF_Options_Exhibits'!E79:E83),"")</f>
        <v/>
      </c>
      <c r="F83" s="3">
        <f>IF(ISNUMBER(AVERAGE('20250815_ETF_Options_Exhibits'!F79:F83)),AVERAGE('20250815_ETF_Options_Exhibits'!F79:F83),"")</f>
        <v/>
      </c>
      <c r="G83" s="3">
        <f>IF(ISNUMBER(AVERAGE('20250815_ETF_Options_Exhibits'!G79:G83)),AVERAGE('20250815_ETF_Options_Exhibits'!G79:G83),"")</f>
        <v/>
      </c>
      <c r="H83" s="3">
        <f>IF(ISNUMBER(AVERAGE('20250815_ETF_Options_Exhibits'!H79:H83)),AVERAGE('20250815_ETF_Options_Exhibits'!H79:H83),"")</f>
        <v/>
      </c>
      <c r="I83" s="3">
        <f>IF(ISNUMBER(AVERAGE('20250815_ETF_Options_Exhibits'!I79:I83)),AVERAGE('20250815_ETF_Options_Exhibits'!I79:I83),"")</f>
        <v/>
      </c>
      <c r="J83" s="3">
        <f>IF(ISNUMBER(AVERAGE('20250815_ETF_Options_Exhibits'!J79:J83)),AVERAGE('20250815_ETF_Options_Exhibits'!J79:J83),"")</f>
        <v/>
      </c>
      <c r="K83" s="3">
        <f>IF(ISNUMBER(AVERAGE('20250815_ETF_Options_Exhibits'!K79:K83)),AVERAGE('20250815_ETF_Options_Exhibits'!K79:K83),"")</f>
        <v/>
      </c>
      <c r="L83" s="3">
        <f>IF(ISNUMBER(AVERAGE('20250815_ETF_Options_Exhibits'!L79:L83)),AVERAGE('20250815_ETF_Options_Exhibits'!L79:L83),"")</f>
        <v/>
      </c>
      <c r="M83" s="3">
        <f>IF(ISNUMBER(AVERAGE('20250815_ETF_Options_Exhibits'!M79:M83)),AVERAGE('20250815_ETF_Options_Exhibits'!M79:M83),"")</f>
        <v/>
      </c>
      <c r="N83" s="3">
        <f>IF(ISNUMBER(AVERAGE('20250815_ETF_Options_Exhibits'!N79:N83)),AVERAGE('20250815_ETF_Options_Exhibits'!N79:N83),"")</f>
        <v/>
      </c>
      <c r="O83" s="3">
        <f>IF(ISNUMBER(AVERAGE('20250815_ETF_Options_Exhibits'!O79:O83)),AVERAGE('20250815_ETF_Options_Exhibits'!O79:O83),"")</f>
        <v/>
      </c>
      <c r="P83" s="3">
        <f>IF(ISNUMBER(AVERAGE('20250815_ETF_Options_Exhibits'!P79:P83)),AVERAGE('20250815_ETF_Options_Exhibits'!P79:P83),"")</f>
        <v/>
      </c>
      <c r="Q83" s="3">
        <f>IF(ISNUMBER(AVERAGE('20250815_ETF_Options_Exhibits'!Q79:Q83)),AVERAGE('20250815_ETF_Options_Exhibits'!Q79:Q83),"")</f>
        <v/>
      </c>
      <c r="R83" s="3">
        <f>IF(ISNUMBER(AVERAGE('20250815_ETF_Options_Exhibits'!R79:R83)),AVERAGE('20250815_ETF_Options_Exhibits'!R79:R83),"")</f>
        <v/>
      </c>
      <c r="S83" s="3">
        <f>IF(ISNUMBER(AVERAGE('20250815_ETF_Options_Exhibits'!S79:S83)),AVERAGE('20250815_ETF_Options_Exhibits'!S79:S83),"")</f>
        <v/>
      </c>
      <c r="T83" s="3">
        <f>IF(ISNUMBER(AVERAGE('20250815_ETF_Options_Exhibits'!T79:T83)),AVERAGE('20250815_ETF_Options_Exhibits'!T79:T83),"")</f>
        <v/>
      </c>
      <c r="U83" s="3">
        <f>IF(ISNUMBER(AVERAGE('20250815_ETF_Options_Exhibits'!U79:U83)),AVERAGE('20250815_ETF_Options_Exhibits'!U79:U83),"")</f>
        <v/>
      </c>
      <c r="V83" s="3">
        <f>IF(ISNUMBER(AVERAGE('20250815_ETF_Options_Exhibits'!V79:V83)),AVERAGE('20250815_ETF_Options_Exhibits'!V79:V83),"")</f>
        <v/>
      </c>
      <c r="W83" s="3">
        <f>IF(ISNUMBER(AVERAGE('20250815_ETF_Options_Exhibits'!W79:W83)),AVERAGE('20250815_ETF_Options_Exhibits'!W79:W83),"")</f>
        <v/>
      </c>
      <c r="X83" s="3">
        <f>IF(ISNUMBER(AVERAGE('20250815_ETF_Options_Exhibits'!X79:X83)),AVERAGE('20250815_ETF_Options_Exhibits'!X79:X83),"")</f>
        <v/>
      </c>
      <c r="Y83" s="3">
        <f>IF(ISNUMBER(AVERAGE('20250815_ETF_Options_Exhibits'!Y79:Y83)),AVERAGE('20250815_ETF_Options_Exhibits'!Y79:Y83),"")</f>
        <v/>
      </c>
      <c r="Z83" s="3">
        <f>IF(ISNUMBER(AVERAGE('20250815_ETF_Options_Exhibits'!Z79:Z83)),AVERAGE('20250815_ETF_Options_Exhibits'!Z79:Z83),"")</f>
        <v/>
      </c>
      <c r="AA83" s="3">
        <f>IF(ISNUMBER(AVERAGE('20250815_ETF_Options_Exhibits'!AA79:AA83)),AVERAGE('20250815_ETF_Options_Exhibits'!AA79:AA83),"")</f>
        <v/>
      </c>
    </row>
    <row r="84">
      <c r="A84" s="1" t="n">
        <v>42124</v>
      </c>
      <c r="B84" s="3">
        <f>IF(ISNUMBER(AVERAGE('20250815_ETF_Options_Exhibits'!B80:B84)),AVERAGE('20250815_ETF_Options_Exhibits'!B80:B84),"")</f>
        <v/>
      </c>
      <c r="C84" s="3">
        <f>IF(ISNUMBER(AVERAGE('20250815_ETF_Options_Exhibits'!C80:C84)),AVERAGE('20250815_ETF_Options_Exhibits'!C80:C84),"")</f>
        <v/>
      </c>
      <c r="D84" s="3">
        <f>IF(ISNUMBER(AVERAGE('20250815_ETF_Options_Exhibits'!D80:D84)),AVERAGE('20250815_ETF_Options_Exhibits'!D80:D84),"")</f>
        <v/>
      </c>
      <c r="E84" s="3">
        <f>IF(ISNUMBER(AVERAGE('20250815_ETF_Options_Exhibits'!E80:E84)),AVERAGE('20250815_ETF_Options_Exhibits'!E80:E84),"")</f>
        <v/>
      </c>
      <c r="F84" s="3">
        <f>IF(ISNUMBER(AVERAGE('20250815_ETF_Options_Exhibits'!F80:F84)),AVERAGE('20250815_ETF_Options_Exhibits'!F80:F84),"")</f>
        <v/>
      </c>
      <c r="G84" s="3">
        <f>IF(ISNUMBER(AVERAGE('20250815_ETF_Options_Exhibits'!G80:G84)),AVERAGE('20250815_ETF_Options_Exhibits'!G80:G84),"")</f>
        <v/>
      </c>
      <c r="H84" s="3">
        <f>IF(ISNUMBER(AVERAGE('20250815_ETF_Options_Exhibits'!H80:H84)),AVERAGE('20250815_ETF_Options_Exhibits'!H80:H84),"")</f>
        <v/>
      </c>
      <c r="I84" s="3">
        <f>IF(ISNUMBER(AVERAGE('20250815_ETF_Options_Exhibits'!I80:I84)),AVERAGE('20250815_ETF_Options_Exhibits'!I80:I84),"")</f>
        <v/>
      </c>
      <c r="J84" s="3">
        <f>IF(ISNUMBER(AVERAGE('20250815_ETF_Options_Exhibits'!J80:J84)),AVERAGE('20250815_ETF_Options_Exhibits'!J80:J84),"")</f>
        <v/>
      </c>
      <c r="K84" s="3">
        <f>IF(ISNUMBER(AVERAGE('20250815_ETF_Options_Exhibits'!K80:K84)),AVERAGE('20250815_ETF_Options_Exhibits'!K80:K84),"")</f>
        <v/>
      </c>
      <c r="L84" s="3">
        <f>IF(ISNUMBER(AVERAGE('20250815_ETF_Options_Exhibits'!L80:L84)),AVERAGE('20250815_ETF_Options_Exhibits'!L80:L84),"")</f>
        <v/>
      </c>
      <c r="M84" s="3">
        <f>IF(ISNUMBER(AVERAGE('20250815_ETF_Options_Exhibits'!M80:M84)),AVERAGE('20250815_ETF_Options_Exhibits'!M80:M84),"")</f>
        <v/>
      </c>
      <c r="N84" s="3">
        <f>IF(ISNUMBER(AVERAGE('20250815_ETF_Options_Exhibits'!N80:N84)),AVERAGE('20250815_ETF_Options_Exhibits'!N80:N84),"")</f>
        <v/>
      </c>
      <c r="O84" s="3">
        <f>IF(ISNUMBER(AVERAGE('20250815_ETF_Options_Exhibits'!O80:O84)),AVERAGE('20250815_ETF_Options_Exhibits'!O80:O84),"")</f>
        <v/>
      </c>
      <c r="P84" s="3">
        <f>IF(ISNUMBER(AVERAGE('20250815_ETF_Options_Exhibits'!P80:P84)),AVERAGE('20250815_ETF_Options_Exhibits'!P80:P84),"")</f>
        <v/>
      </c>
      <c r="Q84" s="3">
        <f>IF(ISNUMBER(AVERAGE('20250815_ETF_Options_Exhibits'!Q80:Q84)),AVERAGE('20250815_ETF_Options_Exhibits'!Q80:Q84),"")</f>
        <v/>
      </c>
      <c r="R84" s="3">
        <f>IF(ISNUMBER(AVERAGE('20250815_ETF_Options_Exhibits'!R80:R84)),AVERAGE('20250815_ETF_Options_Exhibits'!R80:R84),"")</f>
        <v/>
      </c>
      <c r="S84" s="3">
        <f>IF(ISNUMBER(AVERAGE('20250815_ETF_Options_Exhibits'!S80:S84)),AVERAGE('20250815_ETF_Options_Exhibits'!S80:S84),"")</f>
        <v/>
      </c>
      <c r="T84" s="3">
        <f>IF(ISNUMBER(AVERAGE('20250815_ETF_Options_Exhibits'!T80:T84)),AVERAGE('20250815_ETF_Options_Exhibits'!T80:T84),"")</f>
        <v/>
      </c>
      <c r="U84" s="3">
        <f>IF(ISNUMBER(AVERAGE('20250815_ETF_Options_Exhibits'!U80:U84)),AVERAGE('20250815_ETF_Options_Exhibits'!U80:U84),"")</f>
        <v/>
      </c>
      <c r="V84" s="3">
        <f>IF(ISNUMBER(AVERAGE('20250815_ETF_Options_Exhibits'!V80:V84)),AVERAGE('20250815_ETF_Options_Exhibits'!V80:V84),"")</f>
        <v/>
      </c>
      <c r="W84" s="3">
        <f>IF(ISNUMBER(AVERAGE('20250815_ETF_Options_Exhibits'!W80:W84)),AVERAGE('20250815_ETF_Options_Exhibits'!W80:W84),"")</f>
        <v/>
      </c>
      <c r="X84" s="3">
        <f>IF(ISNUMBER(AVERAGE('20250815_ETF_Options_Exhibits'!X80:X84)),AVERAGE('20250815_ETF_Options_Exhibits'!X80:X84),"")</f>
        <v/>
      </c>
      <c r="Y84" s="3">
        <f>IF(ISNUMBER(AVERAGE('20250815_ETF_Options_Exhibits'!Y80:Y84)),AVERAGE('20250815_ETF_Options_Exhibits'!Y80:Y84),"")</f>
        <v/>
      </c>
      <c r="Z84" s="3">
        <f>IF(ISNUMBER(AVERAGE('20250815_ETF_Options_Exhibits'!Z80:Z84)),AVERAGE('20250815_ETF_Options_Exhibits'!Z80:Z84),"")</f>
        <v/>
      </c>
      <c r="AA84" s="3">
        <f>IF(ISNUMBER(AVERAGE('20250815_ETF_Options_Exhibits'!AA80:AA84)),AVERAGE('20250815_ETF_Options_Exhibits'!AA80:AA84),"")</f>
        <v/>
      </c>
    </row>
    <row r="85">
      <c r="A85" s="1" t="n">
        <v>42125</v>
      </c>
      <c r="B85" s="3">
        <f>IF(ISNUMBER(AVERAGE('20250815_ETF_Options_Exhibits'!B81:B85)),AVERAGE('20250815_ETF_Options_Exhibits'!B81:B85),"")</f>
        <v/>
      </c>
      <c r="C85" s="3">
        <f>IF(ISNUMBER(AVERAGE('20250815_ETF_Options_Exhibits'!C81:C85)),AVERAGE('20250815_ETF_Options_Exhibits'!C81:C85),"")</f>
        <v/>
      </c>
      <c r="D85" s="3">
        <f>IF(ISNUMBER(AVERAGE('20250815_ETF_Options_Exhibits'!D81:D85)),AVERAGE('20250815_ETF_Options_Exhibits'!D81:D85),"")</f>
        <v/>
      </c>
      <c r="E85" s="3">
        <f>IF(ISNUMBER(AVERAGE('20250815_ETF_Options_Exhibits'!E81:E85)),AVERAGE('20250815_ETF_Options_Exhibits'!E81:E85),"")</f>
        <v/>
      </c>
      <c r="F85" s="3">
        <f>IF(ISNUMBER(AVERAGE('20250815_ETF_Options_Exhibits'!F81:F85)),AVERAGE('20250815_ETF_Options_Exhibits'!F81:F85),"")</f>
        <v/>
      </c>
      <c r="G85" s="3">
        <f>IF(ISNUMBER(AVERAGE('20250815_ETF_Options_Exhibits'!G81:G85)),AVERAGE('20250815_ETF_Options_Exhibits'!G81:G85),"")</f>
        <v/>
      </c>
      <c r="H85" s="3">
        <f>IF(ISNUMBER(AVERAGE('20250815_ETF_Options_Exhibits'!H81:H85)),AVERAGE('20250815_ETF_Options_Exhibits'!H81:H85),"")</f>
        <v/>
      </c>
      <c r="I85" s="3">
        <f>IF(ISNUMBER(AVERAGE('20250815_ETF_Options_Exhibits'!I81:I85)),AVERAGE('20250815_ETF_Options_Exhibits'!I81:I85),"")</f>
        <v/>
      </c>
      <c r="J85" s="3">
        <f>IF(ISNUMBER(AVERAGE('20250815_ETF_Options_Exhibits'!J81:J85)),AVERAGE('20250815_ETF_Options_Exhibits'!J81:J85),"")</f>
        <v/>
      </c>
      <c r="K85" s="3">
        <f>IF(ISNUMBER(AVERAGE('20250815_ETF_Options_Exhibits'!K81:K85)),AVERAGE('20250815_ETF_Options_Exhibits'!K81:K85),"")</f>
        <v/>
      </c>
      <c r="L85" s="3">
        <f>IF(ISNUMBER(AVERAGE('20250815_ETF_Options_Exhibits'!L81:L85)),AVERAGE('20250815_ETF_Options_Exhibits'!L81:L85),"")</f>
        <v/>
      </c>
      <c r="M85" s="3">
        <f>IF(ISNUMBER(AVERAGE('20250815_ETF_Options_Exhibits'!M81:M85)),AVERAGE('20250815_ETF_Options_Exhibits'!M81:M85),"")</f>
        <v/>
      </c>
      <c r="N85" s="3">
        <f>IF(ISNUMBER(AVERAGE('20250815_ETF_Options_Exhibits'!N81:N85)),AVERAGE('20250815_ETF_Options_Exhibits'!N81:N85),"")</f>
        <v/>
      </c>
      <c r="O85" s="3">
        <f>IF(ISNUMBER(AVERAGE('20250815_ETF_Options_Exhibits'!O81:O85)),AVERAGE('20250815_ETF_Options_Exhibits'!O81:O85),"")</f>
        <v/>
      </c>
      <c r="P85" s="3">
        <f>IF(ISNUMBER(AVERAGE('20250815_ETF_Options_Exhibits'!P81:P85)),AVERAGE('20250815_ETF_Options_Exhibits'!P81:P85),"")</f>
        <v/>
      </c>
      <c r="Q85" s="3">
        <f>IF(ISNUMBER(AVERAGE('20250815_ETF_Options_Exhibits'!Q81:Q85)),AVERAGE('20250815_ETF_Options_Exhibits'!Q81:Q85),"")</f>
        <v/>
      </c>
      <c r="R85" s="3">
        <f>IF(ISNUMBER(AVERAGE('20250815_ETF_Options_Exhibits'!R81:R85)),AVERAGE('20250815_ETF_Options_Exhibits'!R81:R85),"")</f>
        <v/>
      </c>
      <c r="S85" s="3">
        <f>IF(ISNUMBER(AVERAGE('20250815_ETF_Options_Exhibits'!S81:S85)),AVERAGE('20250815_ETF_Options_Exhibits'!S81:S85),"")</f>
        <v/>
      </c>
      <c r="T85" s="3">
        <f>IF(ISNUMBER(AVERAGE('20250815_ETF_Options_Exhibits'!T81:T85)),AVERAGE('20250815_ETF_Options_Exhibits'!T81:T85),"")</f>
        <v/>
      </c>
      <c r="U85" s="3">
        <f>IF(ISNUMBER(AVERAGE('20250815_ETF_Options_Exhibits'!U81:U85)),AVERAGE('20250815_ETF_Options_Exhibits'!U81:U85),"")</f>
        <v/>
      </c>
      <c r="V85" s="3">
        <f>IF(ISNUMBER(AVERAGE('20250815_ETF_Options_Exhibits'!V81:V85)),AVERAGE('20250815_ETF_Options_Exhibits'!V81:V85),"")</f>
        <v/>
      </c>
      <c r="W85" s="3">
        <f>IF(ISNUMBER(AVERAGE('20250815_ETF_Options_Exhibits'!W81:W85)),AVERAGE('20250815_ETF_Options_Exhibits'!W81:W85),"")</f>
        <v/>
      </c>
      <c r="X85" s="3">
        <f>IF(ISNUMBER(AVERAGE('20250815_ETF_Options_Exhibits'!X81:X85)),AVERAGE('20250815_ETF_Options_Exhibits'!X81:X85),"")</f>
        <v/>
      </c>
      <c r="Y85" s="3">
        <f>IF(ISNUMBER(AVERAGE('20250815_ETF_Options_Exhibits'!Y81:Y85)),AVERAGE('20250815_ETF_Options_Exhibits'!Y81:Y85),"")</f>
        <v/>
      </c>
      <c r="Z85" s="3">
        <f>IF(ISNUMBER(AVERAGE('20250815_ETF_Options_Exhibits'!Z81:Z85)),AVERAGE('20250815_ETF_Options_Exhibits'!Z81:Z85),"")</f>
        <v/>
      </c>
      <c r="AA85" s="3">
        <f>IF(ISNUMBER(AVERAGE('20250815_ETF_Options_Exhibits'!AA81:AA85)),AVERAGE('20250815_ETF_Options_Exhibits'!AA81:AA85),"")</f>
        <v/>
      </c>
    </row>
    <row r="86">
      <c r="A86" s="1" t="n">
        <v>42128</v>
      </c>
      <c r="B86" s="3">
        <f>IF(ISNUMBER(AVERAGE('20250815_ETF_Options_Exhibits'!B82:B86)),AVERAGE('20250815_ETF_Options_Exhibits'!B82:B86),"")</f>
        <v/>
      </c>
      <c r="C86" s="3">
        <f>IF(ISNUMBER(AVERAGE('20250815_ETF_Options_Exhibits'!C82:C86)),AVERAGE('20250815_ETF_Options_Exhibits'!C82:C86),"")</f>
        <v/>
      </c>
      <c r="D86" s="3">
        <f>IF(ISNUMBER(AVERAGE('20250815_ETF_Options_Exhibits'!D82:D86)),AVERAGE('20250815_ETF_Options_Exhibits'!D82:D86),"")</f>
        <v/>
      </c>
      <c r="E86" s="3">
        <f>IF(ISNUMBER(AVERAGE('20250815_ETF_Options_Exhibits'!E82:E86)),AVERAGE('20250815_ETF_Options_Exhibits'!E82:E86),"")</f>
        <v/>
      </c>
      <c r="F86" s="3">
        <f>IF(ISNUMBER(AVERAGE('20250815_ETF_Options_Exhibits'!F82:F86)),AVERAGE('20250815_ETF_Options_Exhibits'!F82:F86),"")</f>
        <v/>
      </c>
      <c r="G86" s="3">
        <f>IF(ISNUMBER(AVERAGE('20250815_ETF_Options_Exhibits'!G82:G86)),AVERAGE('20250815_ETF_Options_Exhibits'!G82:G86),"")</f>
        <v/>
      </c>
      <c r="H86" s="3">
        <f>IF(ISNUMBER(AVERAGE('20250815_ETF_Options_Exhibits'!H82:H86)),AVERAGE('20250815_ETF_Options_Exhibits'!H82:H86),"")</f>
        <v/>
      </c>
      <c r="I86" s="3">
        <f>IF(ISNUMBER(AVERAGE('20250815_ETF_Options_Exhibits'!I82:I86)),AVERAGE('20250815_ETF_Options_Exhibits'!I82:I86),"")</f>
        <v/>
      </c>
      <c r="J86" s="3">
        <f>IF(ISNUMBER(AVERAGE('20250815_ETF_Options_Exhibits'!J82:J86)),AVERAGE('20250815_ETF_Options_Exhibits'!J82:J86),"")</f>
        <v/>
      </c>
      <c r="K86" s="3">
        <f>IF(ISNUMBER(AVERAGE('20250815_ETF_Options_Exhibits'!K82:K86)),AVERAGE('20250815_ETF_Options_Exhibits'!K82:K86),"")</f>
        <v/>
      </c>
      <c r="L86" s="3">
        <f>IF(ISNUMBER(AVERAGE('20250815_ETF_Options_Exhibits'!L82:L86)),AVERAGE('20250815_ETF_Options_Exhibits'!L82:L86),"")</f>
        <v/>
      </c>
      <c r="M86" s="3">
        <f>IF(ISNUMBER(AVERAGE('20250815_ETF_Options_Exhibits'!M82:M86)),AVERAGE('20250815_ETF_Options_Exhibits'!M82:M86),"")</f>
        <v/>
      </c>
      <c r="N86" s="3">
        <f>IF(ISNUMBER(AVERAGE('20250815_ETF_Options_Exhibits'!N82:N86)),AVERAGE('20250815_ETF_Options_Exhibits'!N82:N86),"")</f>
        <v/>
      </c>
      <c r="O86" s="3">
        <f>IF(ISNUMBER(AVERAGE('20250815_ETF_Options_Exhibits'!O82:O86)),AVERAGE('20250815_ETF_Options_Exhibits'!O82:O86),"")</f>
        <v/>
      </c>
      <c r="P86" s="3">
        <f>IF(ISNUMBER(AVERAGE('20250815_ETF_Options_Exhibits'!P82:P86)),AVERAGE('20250815_ETF_Options_Exhibits'!P82:P86),"")</f>
        <v/>
      </c>
      <c r="Q86" s="3">
        <f>IF(ISNUMBER(AVERAGE('20250815_ETF_Options_Exhibits'!Q82:Q86)),AVERAGE('20250815_ETF_Options_Exhibits'!Q82:Q86),"")</f>
        <v/>
      </c>
      <c r="R86" s="3">
        <f>IF(ISNUMBER(AVERAGE('20250815_ETF_Options_Exhibits'!R82:R86)),AVERAGE('20250815_ETF_Options_Exhibits'!R82:R86),"")</f>
        <v/>
      </c>
      <c r="S86" s="3">
        <f>IF(ISNUMBER(AVERAGE('20250815_ETF_Options_Exhibits'!S82:S86)),AVERAGE('20250815_ETF_Options_Exhibits'!S82:S86),"")</f>
        <v/>
      </c>
      <c r="T86" s="3">
        <f>IF(ISNUMBER(AVERAGE('20250815_ETF_Options_Exhibits'!T82:T86)),AVERAGE('20250815_ETF_Options_Exhibits'!T82:T86),"")</f>
        <v/>
      </c>
      <c r="U86" s="3">
        <f>IF(ISNUMBER(AVERAGE('20250815_ETF_Options_Exhibits'!U82:U86)),AVERAGE('20250815_ETF_Options_Exhibits'!U82:U86),"")</f>
        <v/>
      </c>
      <c r="V86" s="3">
        <f>IF(ISNUMBER(AVERAGE('20250815_ETF_Options_Exhibits'!V82:V86)),AVERAGE('20250815_ETF_Options_Exhibits'!V82:V86),"")</f>
        <v/>
      </c>
      <c r="W86" s="3">
        <f>IF(ISNUMBER(AVERAGE('20250815_ETF_Options_Exhibits'!W82:W86)),AVERAGE('20250815_ETF_Options_Exhibits'!W82:W86),"")</f>
        <v/>
      </c>
      <c r="X86" s="3">
        <f>IF(ISNUMBER(AVERAGE('20250815_ETF_Options_Exhibits'!X82:X86)),AVERAGE('20250815_ETF_Options_Exhibits'!X82:X86),"")</f>
        <v/>
      </c>
      <c r="Y86" s="3">
        <f>IF(ISNUMBER(AVERAGE('20250815_ETF_Options_Exhibits'!Y82:Y86)),AVERAGE('20250815_ETF_Options_Exhibits'!Y82:Y86),"")</f>
        <v/>
      </c>
      <c r="Z86" s="3">
        <f>IF(ISNUMBER(AVERAGE('20250815_ETF_Options_Exhibits'!Z82:Z86)),AVERAGE('20250815_ETF_Options_Exhibits'!Z82:Z86),"")</f>
        <v/>
      </c>
      <c r="AA86" s="3">
        <f>IF(ISNUMBER(AVERAGE('20250815_ETF_Options_Exhibits'!AA82:AA86)),AVERAGE('20250815_ETF_Options_Exhibits'!AA82:AA86),"")</f>
        <v/>
      </c>
    </row>
    <row r="87">
      <c r="A87" s="1" t="n">
        <v>42129</v>
      </c>
      <c r="B87" s="3">
        <f>IF(ISNUMBER(AVERAGE('20250815_ETF_Options_Exhibits'!B83:B87)),AVERAGE('20250815_ETF_Options_Exhibits'!B83:B87),"")</f>
        <v/>
      </c>
      <c r="C87" s="3">
        <f>IF(ISNUMBER(AVERAGE('20250815_ETF_Options_Exhibits'!C83:C87)),AVERAGE('20250815_ETF_Options_Exhibits'!C83:C87),"")</f>
        <v/>
      </c>
      <c r="D87" s="3">
        <f>IF(ISNUMBER(AVERAGE('20250815_ETF_Options_Exhibits'!D83:D87)),AVERAGE('20250815_ETF_Options_Exhibits'!D83:D87),"")</f>
        <v/>
      </c>
      <c r="E87" s="3">
        <f>IF(ISNUMBER(AVERAGE('20250815_ETF_Options_Exhibits'!E83:E87)),AVERAGE('20250815_ETF_Options_Exhibits'!E83:E87),"")</f>
        <v/>
      </c>
      <c r="F87" s="3">
        <f>IF(ISNUMBER(AVERAGE('20250815_ETF_Options_Exhibits'!F83:F87)),AVERAGE('20250815_ETF_Options_Exhibits'!F83:F87),"")</f>
        <v/>
      </c>
      <c r="G87" s="3">
        <f>IF(ISNUMBER(AVERAGE('20250815_ETF_Options_Exhibits'!G83:G87)),AVERAGE('20250815_ETF_Options_Exhibits'!G83:G87),"")</f>
        <v/>
      </c>
      <c r="H87" s="3">
        <f>IF(ISNUMBER(AVERAGE('20250815_ETF_Options_Exhibits'!H83:H87)),AVERAGE('20250815_ETF_Options_Exhibits'!H83:H87),"")</f>
        <v/>
      </c>
      <c r="I87" s="3">
        <f>IF(ISNUMBER(AVERAGE('20250815_ETF_Options_Exhibits'!I83:I87)),AVERAGE('20250815_ETF_Options_Exhibits'!I83:I87),"")</f>
        <v/>
      </c>
      <c r="J87" s="3">
        <f>IF(ISNUMBER(AVERAGE('20250815_ETF_Options_Exhibits'!J83:J87)),AVERAGE('20250815_ETF_Options_Exhibits'!J83:J87),"")</f>
        <v/>
      </c>
      <c r="K87" s="3">
        <f>IF(ISNUMBER(AVERAGE('20250815_ETF_Options_Exhibits'!K83:K87)),AVERAGE('20250815_ETF_Options_Exhibits'!K83:K87),"")</f>
        <v/>
      </c>
      <c r="L87" s="3">
        <f>IF(ISNUMBER(AVERAGE('20250815_ETF_Options_Exhibits'!L83:L87)),AVERAGE('20250815_ETF_Options_Exhibits'!L83:L87),"")</f>
        <v/>
      </c>
      <c r="M87" s="3">
        <f>IF(ISNUMBER(AVERAGE('20250815_ETF_Options_Exhibits'!M83:M87)),AVERAGE('20250815_ETF_Options_Exhibits'!M83:M87),"")</f>
        <v/>
      </c>
      <c r="N87" s="3">
        <f>IF(ISNUMBER(AVERAGE('20250815_ETF_Options_Exhibits'!N83:N87)),AVERAGE('20250815_ETF_Options_Exhibits'!N83:N87),"")</f>
        <v/>
      </c>
      <c r="O87" s="3">
        <f>IF(ISNUMBER(AVERAGE('20250815_ETF_Options_Exhibits'!O83:O87)),AVERAGE('20250815_ETF_Options_Exhibits'!O83:O87),"")</f>
        <v/>
      </c>
      <c r="P87" s="3">
        <f>IF(ISNUMBER(AVERAGE('20250815_ETF_Options_Exhibits'!P83:P87)),AVERAGE('20250815_ETF_Options_Exhibits'!P83:P87),"")</f>
        <v/>
      </c>
      <c r="Q87" s="3">
        <f>IF(ISNUMBER(AVERAGE('20250815_ETF_Options_Exhibits'!Q83:Q87)),AVERAGE('20250815_ETF_Options_Exhibits'!Q83:Q87),"")</f>
        <v/>
      </c>
      <c r="R87" s="3">
        <f>IF(ISNUMBER(AVERAGE('20250815_ETF_Options_Exhibits'!R83:R87)),AVERAGE('20250815_ETF_Options_Exhibits'!R83:R87),"")</f>
        <v/>
      </c>
      <c r="S87" s="3">
        <f>IF(ISNUMBER(AVERAGE('20250815_ETF_Options_Exhibits'!S83:S87)),AVERAGE('20250815_ETF_Options_Exhibits'!S83:S87),"")</f>
        <v/>
      </c>
      <c r="T87" s="3">
        <f>IF(ISNUMBER(AVERAGE('20250815_ETF_Options_Exhibits'!T83:T87)),AVERAGE('20250815_ETF_Options_Exhibits'!T83:T87),"")</f>
        <v/>
      </c>
      <c r="U87" s="3">
        <f>IF(ISNUMBER(AVERAGE('20250815_ETF_Options_Exhibits'!U83:U87)),AVERAGE('20250815_ETF_Options_Exhibits'!U83:U87),"")</f>
        <v/>
      </c>
      <c r="V87" s="3">
        <f>IF(ISNUMBER(AVERAGE('20250815_ETF_Options_Exhibits'!V83:V87)),AVERAGE('20250815_ETF_Options_Exhibits'!V83:V87),"")</f>
        <v/>
      </c>
      <c r="W87" s="3">
        <f>IF(ISNUMBER(AVERAGE('20250815_ETF_Options_Exhibits'!W83:W87)),AVERAGE('20250815_ETF_Options_Exhibits'!W83:W87),"")</f>
        <v/>
      </c>
      <c r="X87" s="3">
        <f>IF(ISNUMBER(AVERAGE('20250815_ETF_Options_Exhibits'!X83:X87)),AVERAGE('20250815_ETF_Options_Exhibits'!X83:X87),"")</f>
        <v/>
      </c>
      <c r="Y87" s="3">
        <f>IF(ISNUMBER(AVERAGE('20250815_ETF_Options_Exhibits'!Y83:Y87)),AVERAGE('20250815_ETF_Options_Exhibits'!Y83:Y87),"")</f>
        <v/>
      </c>
      <c r="Z87" s="3">
        <f>IF(ISNUMBER(AVERAGE('20250815_ETF_Options_Exhibits'!Z83:Z87)),AVERAGE('20250815_ETF_Options_Exhibits'!Z83:Z87),"")</f>
        <v/>
      </c>
      <c r="AA87" s="3">
        <f>IF(ISNUMBER(AVERAGE('20250815_ETF_Options_Exhibits'!AA83:AA87)),AVERAGE('20250815_ETF_Options_Exhibits'!AA83:AA87),"")</f>
        <v/>
      </c>
    </row>
    <row r="88">
      <c r="A88" s="1" t="n">
        <v>42130</v>
      </c>
      <c r="B88" s="3">
        <f>IF(ISNUMBER(AVERAGE('20250815_ETF_Options_Exhibits'!B84:B88)),AVERAGE('20250815_ETF_Options_Exhibits'!B84:B88),"")</f>
        <v/>
      </c>
      <c r="C88" s="3">
        <f>IF(ISNUMBER(AVERAGE('20250815_ETF_Options_Exhibits'!C84:C88)),AVERAGE('20250815_ETF_Options_Exhibits'!C84:C88),"")</f>
        <v/>
      </c>
      <c r="D88" s="3">
        <f>IF(ISNUMBER(AVERAGE('20250815_ETF_Options_Exhibits'!D84:D88)),AVERAGE('20250815_ETF_Options_Exhibits'!D84:D88),"")</f>
        <v/>
      </c>
      <c r="E88" s="3">
        <f>IF(ISNUMBER(AVERAGE('20250815_ETF_Options_Exhibits'!E84:E88)),AVERAGE('20250815_ETF_Options_Exhibits'!E84:E88),"")</f>
        <v/>
      </c>
      <c r="F88" s="3">
        <f>IF(ISNUMBER(AVERAGE('20250815_ETF_Options_Exhibits'!F84:F88)),AVERAGE('20250815_ETF_Options_Exhibits'!F84:F88),"")</f>
        <v/>
      </c>
      <c r="G88" s="3">
        <f>IF(ISNUMBER(AVERAGE('20250815_ETF_Options_Exhibits'!G84:G88)),AVERAGE('20250815_ETF_Options_Exhibits'!G84:G88),"")</f>
        <v/>
      </c>
      <c r="H88" s="3">
        <f>IF(ISNUMBER(AVERAGE('20250815_ETF_Options_Exhibits'!H84:H88)),AVERAGE('20250815_ETF_Options_Exhibits'!H84:H88),"")</f>
        <v/>
      </c>
      <c r="I88" s="3">
        <f>IF(ISNUMBER(AVERAGE('20250815_ETF_Options_Exhibits'!I84:I88)),AVERAGE('20250815_ETF_Options_Exhibits'!I84:I88),"")</f>
        <v/>
      </c>
      <c r="J88" s="3">
        <f>IF(ISNUMBER(AVERAGE('20250815_ETF_Options_Exhibits'!J84:J88)),AVERAGE('20250815_ETF_Options_Exhibits'!J84:J88),"")</f>
        <v/>
      </c>
      <c r="K88" s="3">
        <f>IF(ISNUMBER(AVERAGE('20250815_ETF_Options_Exhibits'!K84:K88)),AVERAGE('20250815_ETF_Options_Exhibits'!K84:K88),"")</f>
        <v/>
      </c>
      <c r="L88" s="3">
        <f>IF(ISNUMBER(AVERAGE('20250815_ETF_Options_Exhibits'!L84:L88)),AVERAGE('20250815_ETF_Options_Exhibits'!L84:L88),"")</f>
        <v/>
      </c>
      <c r="M88" s="3">
        <f>IF(ISNUMBER(AVERAGE('20250815_ETF_Options_Exhibits'!M84:M88)),AVERAGE('20250815_ETF_Options_Exhibits'!M84:M88),"")</f>
        <v/>
      </c>
      <c r="N88" s="3">
        <f>IF(ISNUMBER(AVERAGE('20250815_ETF_Options_Exhibits'!N84:N88)),AVERAGE('20250815_ETF_Options_Exhibits'!N84:N88),"")</f>
        <v/>
      </c>
      <c r="O88" s="3">
        <f>IF(ISNUMBER(AVERAGE('20250815_ETF_Options_Exhibits'!O84:O88)),AVERAGE('20250815_ETF_Options_Exhibits'!O84:O88),"")</f>
        <v/>
      </c>
      <c r="P88" s="3">
        <f>IF(ISNUMBER(AVERAGE('20250815_ETF_Options_Exhibits'!P84:P88)),AVERAGE('20250815_ETF_Options_Exhibits'!P84:P88),"")</f>
        <v/>
      </c>
      <c r="Q88" s="3">
        <f>IF(ISNUMBER(AVERAGE('20250815_ETF_Options_Exhibits'!Q84:Q88)),AVERAGE('20250815_ETF_Options_Exhibits'!Q84:Q88),"")</f>
        <v/>
      </c>
      <c r="R88" s="3">
        <f>IF(ISNUMBER(AVERAGE('20250815_ETF_Options_Exhibits'!R84:R88)),AVERAGE('20250815_ETF_Options_Exhibits'!R84:R88),"")</f>
        <v/>
      </c>
      <c r="S88" s="3">
        <f>IF(ISNUMBER(AVERAGE('20250815_ETF_Options_Exhibits'!S84:S88)),AVERAGE('20250815_ETF_Options_Exhibits'!S84:S88),"")</f>
        <v/>
      </c>
      <c r="T88" s="3">
        <f>IF(ISNUMBER(AVERAGE('20250815_ETF_Options_Exhibits'!T84:T88)),AVERAGE('20250815_ETF_Options_Exhibits'!T84:T88),"")</f>
        <v/>
      </c>
      <c r="U88" s="3">
        <f>IF(ISNUMBER(AVERAGE('20250815_ETF_Options_Exhibits'!U84:U88)),AVERAGE('20250815_ETF_Options_Exhibits'!U84:U88),"")</f>
        <v/>
      </c>
      <c r="V88" s="3">
        <f>IF(ISNUMBER(AVERAGE('20250815_ETF_Options_Exhibits'!V84:V88)),AVERAGE('20250815_ETF_Options_Exhibits'!V84:V88),"")</f>
        <v/>
      </c>
      <c r="W88" s="3">
        <f>IF(ISNUMBER(AVERAGE('20250815_ETF_Options_Exhibits'!W84:W88)),AVERAGE('20250815_ETF_Options_Exhibits'!W84:W88),"")</f>
        <v/>
      </c>
      <c r="X88" s="3">
        <f>IF(ISNUMBER(AVERAGE('20250815_ETF_Options_Exhibits'!X84:X88)),AVERAGE('20250815_ETF_Options_Exhibits'!X84:X88),"")</f>
        <v/>
      </c>
      <c r="Y88" s="3">
        <f>IF(ISNUMBER(AVERAGE('20250815_ETF_Options_Exhibits'!Y84:Y88)),AVERAGE('20250815_ETF_Options_Exhibits'!Y84:Y88),"")</f>
        <v/>
      </c>
      <c r="Z88" s="3">
        <f>IF(ISNUMBER(AVERAGE('20250815_ETF_Options_Exhibits'!Z84:Z88)),AVERAGE('20250815_ETF_Options_Exhibits'!Z84:Z88),"")</f>
        <v/>
      </c>
      <c r="AA88" s="3">
        <f>IF(ISNUMBER(AVERAGE('20250815_ETF_Options_Exhibits'!AA84:AA88)),AVERAGE('20250815_ETF_Options_Exhibits'!AA84:AA88),"")</f>
        <v/>
      </c>
    </row>
    <row r="89">
      <c r="A89" s="1" t="n">
        <v>42131</v>
      </c>
      <c r="B89" s="3">
        <f>IF(ISNUMBER(AVERAGE('20250815_ETF_Options_Exhibits'!B85:B89)),AVERAGE('20250815_ETF_Options_Exhibits'!B85:B89),"")</f>
        <v/>
      </c>
      <c r="C89" s="3">
        <f>IF(ISNUMBER(AVERAGE('20250815_ETF_Options_Exhibits'!C85:C89)),AVERAGE('20250815_ETF_Options_Exhibits'!C85:C89),"")</f>
        <v/>
      </c>
      <c r="D89" s="3">
        <f>IF(ISNUMBER(AVERAGE('20250815_ETF_Options_Exhibits'!D85:D89)),AVERAGE('20250815_ETF_Options_Exhibits'!D85:D89),"")</f>
        <v/>
      </c>
      <c r="E89" s="3">
        <f>IF(ISNUMBER(AVERAGE('20250815_ETF_Options_Exhibits'!E85:E89)),AVERAGE('20250815_ETF_Options_Exhibits'!E85:E89),"")</f>
        <v/>
      </c>
      <c r="F89" s="3">
        <f>IF(ISNUMBER(AVERAGE('20250815_ETF_Options_Exhibits'!F85:F89)),AVERAGE('20250815_ETF_Options_Exhibits'!F85:F89),"")</f>
        <v/>
      </c>
      <c r="G89" s="3">
        <f>IF(ISNUMBER(AVERAGE('20250815_ETF_Options_Exhibits'!G85:G89)),AVERAGE('20250815_ETF_Options_Exhibits'!G85:G89),"")</f>
        <v/>
      </c>
      <c r="H89" s="3">
        <f>IF(ISNUMBER(AVERAGE('20250815_ETF_Options_Exhibits'!H85:H89)),AVERAGE('20250815_ETF_Options_Exhibits'!H85:H89),"")</f>
        <v/>
      </c>
      <c r="I89" s="3">
        <f>IF(ISNUMBER(AVERAGE('20250815_ETF_Options_Exhibits'!I85:I89)),AVERAGE('20250815_ETF_Options_Exhibits'!I85:I89),"")</f>
        <v/>
      </c>
      <c r="J89" s="3">
        <f>IF(ISNUMBER(AVERAGE('20250815_ETF_Options_Exhibits'!J85:J89)),AVERAGE('20250815_ETF_Options_Exhibits'!J85:J89),"")</f>
        <v/>
      </c>
      <c r="K89" s="3">
        <f>IF(ISNUMBER(AVERAGE('20250815_ETF_Options_Exhibits'!K85:K89)),AVERAGE('20250815_ETF_Options_Exhibits'!K85:K89),"")</f>
        <v/>
      </c>
      <c r="L89" s="3">
        <f>IF(ISNUMBER(AVERAGE('20250815_ETF_Options_Exhibits'!L85:L89)),AVERAGE('20250815_ETF_Options_Exhibits'!L85:L89),"")</f>
        <v/>
      </c>
      <c r="M89" s="3">
        <f>IF(ISNUMBER(AVERAGE('20250815_ETF_Options_Exhibits'!M85:M89)),AVERAGE('20250815_ETF_Options_Exhibits'!M85:M89),"")</f>
        <v/>
      </c>
      <c r="N89" s="3">
        <f>IF(ISNUMBER(AVERAGE('20250815_ETF_Options_Exhibits'!N85:N89)),AVERAGE('20250815_ETF_Options_Exhibits'!N85:N89),"")</f>
        <v/>
      </c>
      <c r="O89" s="3">
        <f>IF(ISNUMBER(AVERAGE('20250815_ETF_Options_Exhibits'!O85:O89)),AVERAGE('20250815_ETF_Options_Exhibits'!O85:O89),"")</f>
        <v/>
      </c>
      <c r="P89" s="3">
        <f>IF(ISNUMBER(AVERAGE('20250815_ETF_Options_Exhibits'!P85:P89)),AVERAGE('20250815_ETF_Options_Exhibits'!P85:P89),"")</f>
        <v/>
      </c>
      <c r="Q89" s="3">
        <f>IF(ISNUMBER(AVERAGE('20250815_ETF_Options_Exhibits'!Q85:Q89)),AVERAGE('20250815_ETF_Options_Exhibits'!Q85:Q89),"")</f>
        <v/>
      </c>
      <c r="R89" s="3">
        <f>IF(ISNUMBER(AVERAGE('20250815_ETF_Options_Exhibits'!R85:R89)),AVERAGE('20250815_ETF_Options_Exhibits'!R85:R89),"")</f>
        <v/>
      </c>
      <c r="S89" s="3">
        <f>IF(ISNUMBER(AVERAGE('20250815_ETF_Options_Exhibits'!S85:S89)),AVERAGE('20250815_ETF_Options_Exhibits'!S85:S89),"")</f>
        <v/>
      </c>
      <c r="T89" s="3">
        <f>IF(ISNUMBER(AVERAGE('20250815_ETF_Options_Exhibits'!T85:T89)),AVERAGE('20250815_ETF_Options_Exhibits'!T85:T89),"")</f>
        <v/>
      </c>
      <c r="U89" s="3">
        <f>IF(ISNUMBER(AVERAGE('20250815_ETF_Options_Exhibits'!U85:U89)),AVERAGE('20250815_ETF_Options_Exhibits'!U85:U89),"")</f>
        <v/>
      </c>
      <c r="V89" s="3">
        <f>IF(ISNUMBER(AVERAGE('20250815_ETF_Options_Exhibits'!V85:V89)),AVERAGE('20250815_ETF_Options_Exhibits'!V85:V89),"")</f>
        <v/>
      </c>
      <c r="W89" s="3">
        <f>IF(ISNUMBER(AVERAGE('20250815_ETF_Options_Exhibits'!W85:W89)),AVERAGE('20250815_ETF_Options_Exhibits'!W85:W89),"")</f>
        <v/>
      </c>
      <c r="X89" s="3">
        <f>IF(ISNUMBER(AVERAGE('20250815_ETF_Options_Exhibits'!X85:X89)),AVERAGE('20250815_ETF_Options_Exhibits'!X85:X89),"")</f>
        <v/>
      </c>
      <c r="Y89" s="3">
        <f>IF(ISNUMBER(AVERAGE('20250815_ETF_Options_Exhibits'!Y85:Y89)),AVERAGE('20250815_ETF_Options_Exhibits'!Y85:Y89),"")</f>
        <v/>
      </c>
      <c r="Z89" s="3">
        <f>IF(ISNUMBER(AVERAGE('20250815_ETF_Options_Exhibits'!Z85:Z89)),AVERAGE('20250815_ETF_Options_Exhibits'!Z85:Z89),"")</f>
        <v/>
      </c>
      <c r="AA89" s="3">
        <f>IF(ISNUMBER(AVERAGE('20250815_ETF_Options_Exhibits'!AA85:AA89)),AVERAGE('20250815_ETF_Options_Exhibits'!AA85:AA89),"")</f>
        <v/>
      </c>
    </row>
    <row r="90">
      <c r="A90" s="1" t="n">
        <v>42132</v>
      </c>
      <c r="B90" s="3">
        <f>IF(ISNUMBER(AVERAGE('20250815_ETF_Options_Exhibits'!B86:B90)),AVERAGE('20250815_ETF_Options_Exhibits'!B86:B90),"")</f>
        <v/>
      </c>
      <c r="C90" s="3">
        <f>IF(ISNUMBER(AVERAGE('20250815_ETF_Options_Exhibits'!C86:C90)),AVERAGE('20250815_ETF_Options_Exhibits'!C86:C90),"")</f>
        <v/>
      </c>
      <c r="D90" s="3">
        <f>IF(ISNUMBER(AVERAGE('20250815_ETF_Options_Exhibits'!D86:D90)),AVERAGE('20250815_ETF_Options_Exhibits'!D86:D90),"")</f>
        <v/>
      </c>
      <c r="E90" s="3">
        <f>IF(ISNUMBER(AVERAGE('20250815_ETF_Options_Exhibits'!E86:E90)),AVERAGE('20250815_ETF_Options_Exhibits'!E86:E90),"")</f>
        <v/>
      </c>
      <c r="F90" s="3">
        <f>IF(ISNUMBER(AVERAGE('20250815_ETF_Options_Exhibits'!F86:F90)),AVERAGE('20250815_ETF_Options_Exhibits'!F86:F90),"")</f>
        <v/>
      </c>
      <c r="G90" s="3">
        <f>IF(ISNUMBER(AVERAGE('20250815_ETF_Options_Exhibits'!G86:G90)),AVERAGE('20250815_ETF_Options_Exhibits'!G86:G90),"")</f>
        <v/>
      </c>
      <c r="H90" s="3">
        <f>IF(ISNUMBER(AVERAGE('20250815_ETF_Options_Exhibits'!H86:H90)),AVERAGE('20250815_ETF_Options_Exhibits'!H86:H90),"")</f>
        <v/>
      </c>
      <c r="I90" s="3">
        <f>IF(ISNUMBER(AVERAGE('20250815_ETF_Options_Exhibits'!I86:I90)),AVERAGE('20250815_ETF_Options_Exhibits'!I86:I90),"")</f>
        <v/>
      </c>
      <c r="J90" s="3">
        <f>IF(ISNUMBER(AVERAGE('20250815_ETF_Options_Exhibits'!J86:J90)),AVERAGE('20250815_ETF_Options_Exhibits'!J86:J90),"")</f>
        <v/>
      </c>
      <c r="K90" s="3">
        <f>IF(ISNUMBER(AVERAGE('20250815_ETF_Options_Exhibits'!K86:K90)),AVERAGE('20250815_ETF_Options_Exhibits'!K86:K90),"")</f>
        <v/>
      </c>
      <c r="L90" s="3">
        <f>IF(ISNUMBER(AVERAGE('20250815_ETF_Options_Exhibits'!L86:L90)),AVERAGE('20250815_ETF_Options_Exhibits'!L86:L90),"")</f>
        <v/>
      </c>
      <c r="M90" s="3">
        <f>IF(ISNUMBER(AVERAGE('20250815_ETF_Options_Exhibits'!M86:M90)),AVERAGE('20250815_ETF_Options_Exhibits'!M86:M90),"")</f>
        <v/>
      </c>
      <c r="N90" s="3">
        <f>IF(ISNUMBER(AVERAGE('20250815_ETF_Options_Exhibits'!N86:N90)),AVERAGE('20250815_ETF_Options_Exhibits'!N86:N90),"")</f>
        <v/>
      </c>
      <c r="O90" s="3">
        <f>IF(ISNUMBER(AVERAGE('20250815_ETF_Options_Exhibits'!O86:O90)),AVERAGE('20250815_ETF_Options_Exhibits'!O86:O90),"")</f>
        <v/>
      </c>
      <c r="P90" s="3">
        <f>IF(ISNUMBER(AVERAGE('20250815_ETF_Options_Exhibits'!P86:P90)),AVERAGE('20250815_ETF_Options_Exhibits'!P86:P90),"")</f>
        <v/>
      </c>
      <c r="Q90" s="3">
        <f>IF(ISNUMBER(AVERAGE('20250815_ETF_Options_Exhibits'!Q86:Q90)),AVERAGE('20250815_ETF_Options_Exhibits'!Q86:Q90),"")</f>
        <v/>
      </c>
      <c r="R90" s="3">
        <f>IF(ISNUMBER(AVERAGE('20250815_ETF_Options_Exhibits'!R86:R90)),AVERAGE('20250815_ETF_Options_Exhibits'!R86:R90),"")</f>
        <v/>
      </c>
      <c r="S90" s="3">
        <f>IF(ISNUMBER(AVERAGE('20250815_ETF_Options_Exhibits'!S86:S90)),AVERAGE('20250815_ETF_Options_Exhibits'!S86:S90),"")</f>
        <v/>
      </c>
      <c r="T90" s="3">
        <f>IF(ISNUMBER(AVERAGE('20250815_ETF_Options_Exhibits'!T86:T90)),AVERAGE('20250815_ETF_Options_Exhibits'!T86:T90),"")</f>
        <v/>
      </c>
      <c r="U90" s="3">
        <f>IF(ISNUMBER(AVERAGE('20250815_ETF_Options_Exhibits'!U86:U90)),AVERAGE('20250815_ETF_Options_Exhibits'!U86:U90),"")</f>
        <v/>
      </c>
      <c r="V90" s="3">
        <f>IF(ISNUMBER(AVERAGE('20250815_ETF_Options_Exhibits'!V86:V90)),AVERAGE('20250815_ETF_Options_Exhibits'!V86:V90),"")</f>
        <v/>
      </c>
      <c r="W90" s="3">
        <f>IF(ISNUMBER(AVERAGE('20250815_ETF_Options_Exhibits'!W86:W90)),AVERAGE('20250815_ETF_Options_Exhibits'!W86:W90),"")</f>
        <v/>
      </c>
      <c r="X90" s="3">
        <f>IF(ISNUMBER(AVERAGE('20250815_ETF_Options_Exhibits'!X86:X90)),AVERAGE('20250815_ETF_Options_Exhibits'!X86:X90),"")</f>
        <v/>
      </c>
      <c r="Y90" s="3">
        <f>IF(ISNUMBER(AVERAGE('20250815_ETF_Options_Exhibits'!Y86:Y90)),AVERAGE('20250815_ETF_Options_Exhibits'!Y86:Y90),"")</f>
        <v/>
      </c>
      <c r="Z90" s="3">
        <f>IF(ISNUMBER(AVERAGE('20250815_ETF_Options_Exhibits'!Z86:Z90)),AVERAGE('20250815_ETF_Options_Exhibits'!Z86:Z90),"")</f>
        <v/>
      </c>
      <c r="AA90" s="3">
        <f>IF(ISNUMBER(AVERAGE('20250815_ETF_Options_Exhibits'!AA86:AA90)),AVERAGE('20250815_ETF_Options_Exhibits'!AA86:AA90),"")</f>
        <v/>
      </c>
    </row>
    <row r="91">
      <c r="A91" s="1" t="n">
        <v>42135</v>
      </c>
      <c r="B91" s="3">
        <f>IF(ISNUMBER(AVERAGE('20250815_ETF_Options_Exhibits'!B87:B91)),AVERAGE('20250815_ETF_Options_Exhibits'!B87:B91),"")</f>
        <v/>
      </c>
      <c r="C91" s="3">
        <f>IF(ISNUMBER(AVERAGE('20250815_ETF_Options_Exhibits'!C87:C91)),AVERAGE('20250815_ETF_Options_Exhibits'!C87:C91),"")</f>
        <v/>
      </c>
      <c r="D91" s="3">
        <f>IF(ISNUMBER(AVERAGE('20250815_ETF_Options_Exhibits'!D87:D91)),AVERAGE('20250815_ETF_Options_Exhibits'!D87:D91),"")</f>
        <v/>
      </c>
      <c r="E91" s="3">
        <f>IF(ISNUMBER(AVERAGE('20250815_ETF_Options_Exhibits'!E87:E91)),AVERAGE('20250815_ETF_Options_Exhibits'!E87:E91),"")</f>
        <v/>
      </c>
      <c r="F91" s="3">
        <f>IF(ISNUMBER(AVERAGE('20250815_ETF_Options_Exhibits'!F87:F91)),AVERAGE('20250815_ETF_Options_Exhibits'!F87:F91),"")</f>
        <v/>
      </c>
      <c r="G91" s="3">
        <f>IF(ISNUMBER(AVERAGE('20250815_ETF_Options_Exhibits'!G87:G91)),AVERAGE('20250815_ETF_Options_Exhibits'!G87:G91),"")</f>
        <v/>
      </c>
      <c r="H91" s="3">
        <f>IF(ISNUMBER(AVERAGE('20250815_ETF_Options_Exhibits'!H87:H91)),AVERAGE('20250815_ETF_Options_Exhibits'!H87:H91),"")</f>
        <v/>
      </c>
      <c r="I91" s="3">
        <f>IF(ISNUMBER(AVERAGE('20250815_ETF_Options_Exhibits'!I87:I91)),AVERAGE('20250815_ETF_Options_Exhibits'!I87:I91),"")</f>
        <v/>
      </c>
      <c r="J91" s="3">
        <f>IF(ISNUMBER(AVERAGE('20250815_ETF_Options_Exhibits'!J87:J91)),AVERAGE('20250815_ETF_Options_Exhibits'!J87:J91),"")</f>
        <v/>
      </c>
      <c r="K91" s="3">
        <f>IF(ISNUMBER(AVERAGE('20250815_ETF_Options_Exhibits'!K87:K91)),AVERAGE('20250815_ETF_Options_Exhibits'!K87:K91),"")</f>
        <v/>
      </c>
      <c r="L91" s="3">
        <f>IF(ISNUMBER(AVERAGE('20250815_ETF_Options_Exhibits'!L87:L91)),AVERAGE('20250815_ETF_Options_Exhibits'!L87:L91),"")</f>
        <v/>
      </c>
      <c r="M91" s="3">
        <f>IF(ISNUMBER(AVERAGE('20250815_ETF_Options_Exhibits'!M87:M91)),AVERAGE('20250815_ETF_Options_Exhibits'!M87:M91),"")</f>
        <v/>
      </c>
      <c r="N91" s="3">
        <f>IF(ISNUMBER(AVERAGE('20250815_ETF_Options_Exhibits'!N87:N91)),AVERAGE('20250815_ETF_Options_Exhibits'!N87:N91),"")</f>
        <v/>
      </c>
      <c r="O91" s="3">
        <f>IF(ISNUMBER(AVERAGE('20250815_ETF_Options_Exhibits'!O87:O91)),AVERAGE('20250815_ETF_Options_Exhibits'!O87:O91),"")</f>
        <v/>
      </c>
      <c r="P91" s="3">
        <f>IF(ISNUMBER(AVERAGE('20250815_ETF_Options_Exhibits'!P87:P91)),AVERAGE('20250815_ETF_Options_Exhibits'!P87:P91),"")</f>
        <v/>
      </c>
      <c r="Q91" s="3">
        <f>IF(ISNUMBER(AVERAGE('20250815_ETF_Options_Exhibits'!Q87:Q91)),AVERAGE('20250815_ETF_Options_Exhibits'!Q87:Q91),"")</f>
        <v/>
      </c>
      <c r="R91" s="3">
        <f>IF(ISNUMBER(AVERAGE('20250815_ETF_Options_Exhibits'!R87:R91)),AVERAGE('20250815_ETF_Options_Exhibits'!R87:R91),"")</f>
        <v/>
      </c>
      <c r="S91" s="3">
        <f>IF(ISNUMBER(AVERAGE('20250815_ETF_Options_Exhibits'!S87:S91)),AVERAGE('20250815_ETF_Options_Exhibits'!S87:S91),"")</f>
        <v/>
      </c>
      <c r="T91" s="3">
        <f>IF(ISNUMBER(AVERAGE('20250815_ETF_Options_Exhibits'!T87:T91)),AVERAGE('20250815_ETF_Options_Exhibits'!T87:T91),"")</f>
        <v/>
      </c>
      <c r="U91" s="3">
        <f>IF(ISNUMBER(AVERAGE('20250815_ETF_Options_Exhibits'!U87:U91)),AVERAGE('20250815_ETF_Options_Exhibits'!U87:U91),"")</f>
        <v/>
      </c>
      <c r="V91" s="3">
        <f>IF(ISNUMBER(AVERAGE('20250815_ETF_Options_Exhibits'!V87:V91)),AVERAGE('20250815_ETF_Options_Exhibits'!V87:V91),"")</f>
        <v/>
      </c>
      <c r="W91" s="3">
        <f>IF(ISNUMBER(AVERAGE('20250815_ETF_Options_Exhibits'!W87:W91)),AVERAGE('20250815_ETF_Options_Exhibits'!W87:W91),"")</f>
        <v/>
      </c>
      <c r="X91" s="3">
        <f>IF(ISNUMBER(AVERAGE('20250815_ETF_Options_Exhibits'!X87:X91)),AVERAGE('20250815_ETF_Options_Exhibits'!X87:X91),"")</f>
        <v/>
      </c>
      <c r="Y91" s="3">
        <f>IF(ISNUMBER(AVERAGE('20250815_ETF_Options_Exhibits'!Y87:Y91)),AVERAGE('20250815_ETF_Options_Exhibits'!Y87:Y91),"")</f>
        <v/>
      </c>
      <c r="Z91" s="3">
        <f>IF(ISNUMBER(AVERAGE('20250815_ETF_Options_Exhibits'!Z87:Z91)),AVERAGE('20250815_ETF_Options_Exhibits'!Z87:Z91),"")</f>
        <v/>
      </c>
      <c r="AA91" s="3">
        <f>IF(ISNUMBER(AVERAGE('20250815_ETF_Options_Exhibits'!AA87:AA91)),AVERAGE('20250815_ETF_Options_Exhibits'!AA87:AA91),"")</f>
        <v/>
      </c>
    </row>
    <row r="92">
      <c r="A92" s="1" t="n">
        <v>42136</v>
      </c>
      <c r="B92" s="3">
        <f>IF(ISNUMBER(AVERAGE('20250815_ETF_Options_Exhibits'!B88:B92)),AVERAGE('20250815_ETF_Options_Exhibits'!B88:B92),"")</f>
        <v/>
      </c>
      <c r="C92" s="3">
        <f>IF(ISNUMBER(AVERAGE('20250815_ETF_Options_Exhibits'!C88:C92)),AVERAGE('20250815_ETF_Options_Exhibits'!C88:C92),"")</f>
        <v/>
      </c>
      <c r="D92" s="3">
        <f>IF(ISNUMBER(AVERAGE('20250815_ETF_Options_Exhibits'!D88:D92)),AVERAGE('20250815_ETF_Options_Exhibits'!D88:D92),"")</f>
        <v/>
      </c>
      <c r="E92" s="3">
        <f>IF(ISNUMBER(AVERAGE('20250815_ETF_Options_Exhibits'!E88:E92)),AVERAGE('20250815_ETF_Options_Exhibits'!E88:E92),"")</f>
        <v/>
      </c>
      <c r="F92" s="3">
        <f>IF(ISNUMBER(AVERAGE('20250815_ETF_Options_Exhibits'!F88:F92)),AVERAGE('20250815_ETF_Options_Exhibits'!F88:F92),"")</f>
        <v/>
      </c>
      <c r="G92" s="3">
        <f>IF(ISNUMBER(AVERAGE('20250815_ETF_Options_Exhibits'!G88:G92)),AVERAGE('20250815_ETF_Options_Exhibits'!G88:G92),"")</f>
        <v/>
      </c>
      <c r="H92" s="3">
        <f>IF(ISNUMBER(AVERAGE('20250815_ETF_Options_Exhibits'!H88:H92)),AVERAGE('20250815_ETF_Options_Exhibits'!H88:H92),"")</f>
        <v/>
      </c>
      <c r="I92" s="3">
        <f>IF(ISNUMBER(AVERAGE('20250815_ETF_Options_Exhibits'!I88:I92)),AVERAGE('20250815_ETF_Options_Exhibits'!I88:I92),"")</f>
        <v/>
      </c>
      <c r="J92" s="3">
        <f>IF(ISNUMBER(AVERAGE('20250815_ETF_Options_Exhibits'!J88:J92)),AVERAGE('20250815_ETF_Options_Exhibits'!J88:J92),"")</f>
        <v/>
      </c>
      <c r="K92" s="3">
        <f>IF(ISNUMBER(AVERAGE('20250815_ETF_Options_Exhibits'!K88:K92)),AVERAGE('20250815_ETF_Options_Exhibits'!K88:K92),"")</f>
        <v/>
      </c>
      <c r="L92" s="3">
        <f>IF(ISNUMBER(AVERAGE('20250815_ETF_Options_Exhibits'!L88:L92)),AVERAGE('20250815_ETF_Options_Exhibits'!L88:L92),"")</f>
        <v/>
      </c>
      <c r="M92" s="3">
        <f>IF(ISNUMBER(AVERAGE('20250815_ETF_Options_Exhibits'!M88:M92)),AVERAGE('20250815_ETF_Options_Exhibits'!M88:M92),"")</f>
        <v/>
      </c>
      <c r="N92" s="3">
        <f>IF(ISNUMBER(AVERAGE('20250815_ETF_Options_Exhibits'!N88:N92)),AVERAGE('20250815_ETF_Options_Exhibits'!N88:N92),"")</f>
        <v/>
      </c>
      <c r="O92" s="3">
        <f>IF(ISNUMBER(AVERAGE('20250815_ETF_Options_Exhibits'!O88:O92)),AVERAGE('20250815_ETF_Options_Exhibits'!O88:O92),"")</f>
        <v/>
      </c>
      <c r="P92" s="3">
        <f>IF(ISNUMBER(AVERAGE('20250815_ETF_Options_Exhibits'!P88:P92)),AVERAGE('20250815_ETF_Options_Exhibits'!P88:P92),"")</f>
        <v/>
      </c>
      <c r="Q92" s="3">
        <f>IF(ISNUMBER(AVERAGE('20250815_ETF_Options_Exhibits'!Q88:Q92)),AVERAGE('20250815_ETF_Options_Exhibits'!Q88:Q92),"")</f>
        <v/>
      </c>
      <c r="R92" s="3">
        <f>IF(ISNUMBER(AVERAGE('20250815_ETF_Options_Exhibits'!R88:R92)),AVERAGE('20250815_ETF_Options_Exhibits'!R88:R92),"")</f>
        <v/>
      </c>
      <c r="S92" s="3">
        <f>IF(ISNUMBER(AVERAGE('20250815_ETF_Options_Exhibits'!S88:S92)),AVERAGE('20250815_ETF_Options_Exhibits'!S88:S92),"")</f>
        <v/>
      </c>
      <c r="T92" s="3">
        <f>IF(ISNUMBER(AVERAGE('20250815_ETF_Options_Exhibits'!T88:T92)),AVERAGE('20250815_ETF_Options_Exhibits'!T88:T92),"")</f>
        <v/>
      </c>
      <c r="U92" s="3">
        <f>IF(ISNUMBER(AVERAGE('20250815_ETF_Options_Exhibits'!U88:U92)),AVERAGE('20250815_ETF_Options_Exhibits'!U88:U92),"")</f>
        <v/>
      </c>
      <c r="V92" s="3">
        <f>IF(ISNUMBER(AVERAGE('20250815_ETF_Options_Exhibits'!V88:V92)),AVERAGE('20250815_ETF_Options_Exhibits'!V88:V92),"")</f>
        <v/>
      </c>
      <c r="W92" s="3">
        <f>IF(ISNUMBER(AVERAGE('20250815_ETF_Options_Exhibits'!W88:W92)),AVERAGE('20250815_ETF_Options_Exhibits'!W88:W92),"")</f>
        <v/>
      </c>
      <c r="X92" s="3">
        <f>IF(ISNUMBER(AVERAGE('20250815_ETF_Options_Exhibits'!X88:X92)),AVERAGE('20250815_ETF_Options_Exhibits'!X88:X92),"")</f>
        <v/>
      </c>
      <c r="Y92" s="3">
        <f>IF(ISNUMBER(AVERAGE('20250815_ETF_Options_Exhibits'!Y88:Y92)),AVERAGE('20250815_ETF_Options_Exhibits'!Y88:Y92),"")</f>
        <v/>
      </c>
      <c r="Z92" s="3">
        <f>IF(ISNUMBER(AVERAGE('20250815_ETF_Options_Exhibits'!Z88:Z92)),AVERAGE('20250815_ETF_Options_Exhibits'!Z88:Z92),"")</f>
        <v/>
      </c>
      <c r="AA92" s="3">
        <f>IF(ISNUMBER(AVERAGE('20250815_ETF_Options_Exhibits'!AA88:AA92)),AVERAGE('20250815_ETF_Options_Exhibits'!AA88:AA92),"")</f>
        <v/>
      </c>
    </row>
    <row r="93">
      <c r="A93" s="1" t="n">
        <v>42137</v>
      </c>
      <c r="B93" s="3">
        <f>IF(ISNUMBER(AVERAGE('20250815_ETF_Options_Exhibits'!B89:B93)),AVERAGE('20250815_ETF_Options_Exhibits'!B89:B93),"")</f>
        <v/>
      </c>
      <c r="C93" s="3">
        <f>IF(ISNUMBER(AVERAGE('20250815_ETF_Options_Exhibits'!C89:C93)),AVERAGE('20250815_ETF_Options_Exhibits'!C89:C93),"")</f>
        <v/>
      </c>
      <c r="D93" s="3">
        <f>IF(ISNUMBER(AVERAGE('20250815_ETF_Options_Exhibits'!D89:D93)),AVERAGE('20250815_ETF_Options_Exhibits'!D89:D93),"")</f>
        <v/>
      </c>
      <c r="E93" s="3">
        <f>IF(ISNUMBER(AVERAGE('20250815_ETF_Options_Exhibits'!E89:E93)),AVERAGE('20250815_ETF_Options_Exhibits'!E89:E93),"")</f>
        <v/>
      </c>
      <c r="F93" s="3">
        <f>IF(ISNUMBER(AVERAGE('20250815_ETF_Options_Exhibits'!F89:F93)),AVERAGE('20250815_ETF_Options_Exhibits'!F89:F93),"")</f>
        <v/>
      </c>
      <c r="G93" s="3">
        <f>IF(ISNUMBER(AVERAGE('20250815_ETF_Options_Exhibits'!G89:G93)),AVERAGE('20250815_ETF_Options_Exhibits'!G89:G93),"")</f>
        <v/>
      </c>
      <c r="H93" s="3">
        <f>IF(ISNUMBER(AVERAGE('20250815_ETF_Options_Exhibits'!H89:H93)),AVERAGE('20250815_ETF_Options_Exhibits'!H89:H93),"")</f>
        <v/>
      </c>
      <c r="I93" s="3">
        <f>IF(ISNUMBER(AVERAGE('20250815_ETF_Options_Exhibits'!I89:I93)),AVERAGE('20250815_ETF_Options_Exhibits'!I89:I93),"")</f>
        <v/>
      </c>
      <c r="J93" s="3">
        <f>IF(ISNUMBER(AVERAGE('20250815_ETF_Options_Exhibits'!J89:J93)),AVERAGE('20250815_ETF_Options_Exhibits'!J89:J93),"")</f>
        <v/>
      </c>
      <c r="K93" s="3">
        <f>IF(ISNUMBER(AVERAGE('20250815_ETF_Options_Exhibits'!K89:K93)),AVERAGE('20250815_ETF_Options_Exhibits'!K89:K93),"")</f>
        <v/>
      </c>
      <c r="L93" s="3">
        <f>IF(ISNUMBER(AVERAGE('20250815_ETF_Options_Exhibits'!L89:L93)),AVERAGE('20250815_ETF_Options_Exhibits'!L89:L93),"")</f>
        <v/>
      </c>
      <c r="M93" s="3">
        <f>IF(ISNUMBER(AVERAGE('20250815_ETF_Options_Exhibits'!M89:M93)),AVERAGE('20250815_ETF_Options_Exhibits'!M89:M93),"")</f>
        <v/>
      </c>
      <c r="N93" s="3">
        <f>IF(ISNUMBER(AVERAGE('20250815_ETF_Options_Exhibits'!N89:N93)),AVERAGE('20250815_ETF_Options_Exhibits'!N89:N93),"")</f>
        <v/>
      </c>
      <c r="O93" s="3">
        <f>IF(ISNUMBER(AVERAGE('20250815_ETF_Options_Exhibits'!O89:O93)),AVERAGE('20250815_ETF_Options_Exhibits'!O89:O93),"")</f>
        <v/>
      </c>
      <c r="P93" s="3">
        <f>IF(ISNUMBER(AVERAGE('20250815_ETF_Options_Exhibits'!P89:P93)),AVERAGE('20250815_ETF_Options_Exhibits'!P89:P93),"")</f>
        <v/>
      </c>
      <c r="Q93" s="3">
        <f>IF(ISNUMBER(AVERAGE('20250815_ETF_Options_Exhibits'!Q89:Q93)),AVERAGE('20250815_ETF_Options_Exhibits'!Q89:Q93),"")</f>
        <v/>
      </c>
      <c r="R93" s="3">
        <f>IF(ISNUMBER(AVERAGE('20250815_ETF_Options_Exhibits'!R89:R93)),AVERAGE('20250815_ETF_Options_Exhibits'!R89:R93),"")</f>
        <v/>
      </c>
      <c r="S93" s="3">
        <f>IF(ISNUMBER(AVERAGE('20250815_ETF_Options_Exhibits'!S89:S93)),AVERAGE('20250815_ETF_Options_Exhibits'!S89:S93),"")</f>
        <v/>
      </c>
      <c r="T93" s="3">
        <f>IF(ISNUMBER(AVERAGE('20250815_ETF_Options_Exhibits'!T89:T93)),AVERAGE('20250815_ETF_Options_Exhibits'!T89:T93),"")</f>
        <v/>
      </c>
      <c r="U93" s="3">
        <f>IF(ISNUMBER(AVERAGE('20250815_ETF_Options_Exhibits'!U89:U93)),AVERAGE('20250815_ETF_Options_Exhibits'!U89:U93),"")</f>
        <v/>
      </c>
      <c r="V93" s="3">
        <f>IF(ISNUMBER(AVERAGE('20250815_ETF_Options_Exhibits'!V89:V93)),AVERAGE('20250815_ETF_Options_Exhibits'!V89:V93),"")</f>
        <v/>
      </c>
      <c r="W93" s="3">
        <f>IF(ISNUMBER(AVERAGE('20250815_ETF_Options_Exhibits'!W89:W93)),AVERAGE('20250815_ETF_Options_Exhibits'!W89:W93),"")</f>
        <v/>
      </c>
      <c r="X93" s="3">
        <f>IF(ISNUMBER(AVERAGE('20250815_ETF_Options_Exhibits'!X89:X93)),AVERAGE('20250815_ETF_Options_Exhibits'!X89:X93),"")</f>
        <v/>
      </c>
      <c r="Y93" s="3">
        <f>IF(ISNUMBER(AVERAGE('20250815_ETF_Options_Exhibits'!Y89:Y93)),AVERAGE('20250815_ETF_Options_Exhibits'!Y89:Y93),"")</f>
        <v/>
      </c>
      <c r="Z93" s="3">
        <f>IF(ISNUMBER(AVERAGE('20250815_ETF_Options_Exhibits'!Z89:Z93)),AVERAGE('20250815_ETF_Options_Exhibits'!Z89:Z93),"")</f>
        <v/>
      </c>
      <c r="AA93" s="3">
        <f>IF(ISNUMBER(AVERAGE('20250815_ETF_Options_Exhibits'!AA89:AA93)),AVERAGE('20250815_ETF_Options_Exhibits'!AA89:AA93),"")</f>
        <v/>
      </c>
    </row>
    <row r="94">
      <c r="A94" s="1" t="n">
        <v>42138</v>
      </c>
      <c r="B94" s="3">
        <f>IF(ISNUMBER(AVERAGE('20250815_ETF_Options_Exhibits'!B90:B94)),AVERAGE('20250815_ETF_Options_Exhibits'!B90:B94),"")</f>
        <v/>
      </c>
      <c r="C94" s="3">
        <f>IF(ISNUMBER(AVERAGE('20250815_ETF_Options_Exhibits'!C90:C94)),AVERAGE('20250815_ETF_Options_Exhibits'!C90:C94),"")</f>
        <v/>
      </c>
      <c r="D94" s="3">
        <f>IF(ISNUMBER(AVERAGE('20250815_ETF_Options_Exhibits'!D90:D94)),AVERAGE('20250815_ETF_Options_Exhibits'!D90:D94),"")</f>
        <v/>
      </c>
      <c r="E94" s="3">
        <f>IF(ISNUMBER(AVERAGE('20250815_ETF_Options_Exhibits'!E90:E94)),AVERAGE('20250815_ETF_Options_Exhibits'!E90:E94),"")</f>
        <v/>
      </c>
      <c r="F94" s="3">
        <f>IF(ISNUMBER(AVERAGE('20250815_ETF_Options_Exhibits'!F90:F94)),AVERAGE('20250815_ETF_Options_Exhibits'!F90:F94),"")</f>
        <v/>
      </c>
      <c r="G94" s="3">
        <f>IF(ISNUMBER(AVERAGE('20250815_ETF_Options_Exhibits'!G90:G94)),AVERAGE('20250815_ETF_Options_Exhibits'!G90:G94),"")</f>
        <v/>
      </c>
      <c r="H94" s="3">
        <f>IF(ISNUMBER(AVERAGE('20250815_ETF_Options_Exhibits'!H90:H94)),AVERAGE('20250815_ETF_Options_Exhibits'!H90:H94),"")</f>
        <v/>
      </c>
      <c r="I94" s="3">
        <f>IF(ISNUMBER(AVERAGE('20250815_ETF_Options_Exhibits'!I90:I94)),AVERAGE('20250815_ETF_Options_Exhibits'!I90:I94),"")</f>
        <v/>
      </c>
      <c r="J94" s="3">
        <f>IF(ISNUMBER(AVERAGE('20250815_ETF_Options_Exhibits'!J90:J94)),AVERAGE('20250815_ETF_Options_Exhibits'!J90:J94),"")</f>
        <v/>
      </c>
      <c r="K94" s="3">
        <f>IF(ISNUMBER(AVERAGE('20250815_ETF_Options_Exhibits'!K90:K94)),AVERAGE('20250815_ETF_Options_Exhibits'!K90:K94),"")</f>
        <v/>
      </c>
      <c r="L94" s="3">
        <f>IF(ISNUMBER(AVERAGE('20250815_ETF_Options_Exhibits'!L90:L94)),AVERAGE('20250815_ETF_Options_Exhibits'!L90:L94),"")</f>
        <v/>
      </c>
      <c r="M94" s="3">
        <f>IF(ISNUMBER(AVERAGE('20250815_ETF_Options_Exhibits'!M90:M94)),AVERAGE('20250815_ETF_Options_Exhibits'!M90:M94),"")</f>
        <v/>
      </c>
      <c r="N94" s="3">
        <f>IF(ISNUMBER(AVERAGE('20250815_ETF_Options_Exhibits'!N90:N94)),AVERAGE('20250815_ETF_Options_Exhibits'!N90:N94),"")</f>
        <v/>
      </c>
      <c r="O94" s="3">
        <f>IF(ISNUMBER(AVERAGE('20250815_ETF_Options_Exhibits'!O90:O94)),AVERAGE('20250815_ETF_Options_Exhibits'!O90:O94),"")</f>
        <v/>
      </c>
      <c r="P94" s="3">
        <f>IF(ISNUMBER(AVERAGE('20250815_ETF_Options_Exhibits'!P90:P94)),AVERAGE('20250815_ETF_Options_Exhibits'!P90:P94),"")</f>
        <v/>
      </c>
      <c r="Q94" s="3">
        <f>IF(ISNUMBER(AVERAGE('20250815_ETF_Options_Exhibits'!Q90:Q94)),AVERAGE('20250815_ETF_Options_Exhibits'!Q90:Q94),"")</f>
        <v/>
      </c>
      <c r="R94" s="3">
        <f>IF(ISNUMBER(AVERAGE('20250815_ETF_Options_Exhibits'!R90:R94)),AVERAGE('20250815_ETF_Options_Exhibits'!R90:R94),"")</f>
        <v/>
      </c>
      <c r="S94" s="3">
        <f>IF(ISNUMBER(AVERAGE('20250815_ETF_Options_Exhibits'!S90:S94)),AVERAGE('20250815_ETF_Options_Exhibits'!S90:S94),"")</f>
        <v/>
      </c>
      <c r="T94" s="3">
        <f>IF(ISNUMBER(AVERAGE('20250815_ETF_Options_Exhibits'!T90:T94)),AVERAGE('20250815_ETF_Options_Exhibits'!T90:T94),"")</f>
        <v/>
      </c>
      <c r="U94" s="3">
        <f>IF(ISNUMBER(AVERAGE('20250815_ETF_Options_Exhibits'!U90:U94)),AVERAGE('20250815_ETF_Options_Exhibits'!U90:U94),"")</f>
        <v/>
      </c>
      <c r="V94" s="3">
        <f>IF(ISNUMBER(AVERAGE('20250815_ETF_Options_Exhibits'!V90:V94)),AVERAGE('20250815_ETF_Options_Exhibits'!V90:V94),"")</f>
        <v/>
      </c>
      <c r="W94" s="3">
        <f>IF(ISNUMBER(AVERAGE('20250815_ETF_Options_Exhibits'!W90:W94)),AVERAGE('20250815_ETF_Options_Exhibits'!W90:W94),"")</f>
        <v/>
      </c>
      <c r="X94" s="3">
        <f>IF(ISNUMBER(AVERAGE('20250815_ETF_Options_Exhibits'!X90:X94)),AVERAGE('20250815_ETF_Options_Exhibits'!X90:X94),"")</f>
        <v/>
      </c>
      <c r="Y94" s="3">
        <f>IF(ISNUMBER(AVERAGE('20250815_ETF_Options_Exhibits'!Y90:Y94)),AVERAGE('20250815_ETF_Options_Exhibits'!Y90:Y94),"")</f>
        <v/>
      </c>
      <c r="Z94" s="3">
        <f>IF(ISNUMBER(AVERAGE('20250815_ETF_Options_Exhibits'!Z90:Z94)),AVERAGE('20250815_ETF_Options_Exhibits'!Z90:Z94),"")</f>
        <v/>
      </c>
      <c r="AA94" s="3">
        <f>IF(ISNUMBER(AVERAGE('20250815_ETF_Options_Exhibits'!AA90:AA94)),AVERAGE('20250815_ETF_Options_Exhibits'!AA90:AA94),"")</f>
        <v/>
      </c>
    </row>
    <row r="95">
      <c r="A95" s="1" t="n">
        <v>42139</v>
      </c>
      <c r="B95" s="3">
        <f>IF(ISNUMBER(AVERAGE('20250815_ETF_Options_Exhibits'!B91:B95)),AVERAGE('20250815_ETF_Options_Exhibits'!B91:B95),"")</f>
        <v/>
      </c>
      <c r="C95" s="3">
        <f>IF(ISNUMBER(AVERAGE('20250815_ETF_Options_Exhibits'!C91:C95)),AVERAGE('20250815_ETF_Options_Exhibits'!C91:C95),"")</f>
        <v/>
      </c>
      <c r="D95" s="3">
        <f>IF(ISNUMBER(AVERAGE('20250815_ETF_Options_Exhibits'!D91:D95)),AVERAGE('20250815_ETF_Options_Exhibits'!D91:D95),"")</f>
        <v/>
      </c>
      <c r="E95" s="3">
        <f>IF(ISNUMBER(AVERAGE('20250815_ETF_Options_Exhibits'!E91:E95)),AVERAGE('20250815_ETF_Options_Exhibits'!E91:E95),"")</f>
        <v/>
      </c>
      <c r="F95" s="3">
        <f>IF(ISNUMBER(AVERAGE('20250815_ETF_Options_Exhibits'!F91:F95)),AVERAGE('20250815_ETF_Options_Exhibits'!F91:F95),"")</f>
        <v/>
      </c>
      <c r="G95" s="3">
        <f>IF(ISNUMBER(AVERAGE('20250815_ETF_Options_Exhibits'!G91:G95)),AVERAGE('20250815_ETF_Options_Exhibits'!G91:G95),"")</f>
        <v/>
      </c>
      <c r="H95" s="3">
        <f>IF(ISNUMBER(AVERAGE('20250815_ETF_Options_Exhibits'!H91:H95)),AVERAGE('20250815_ETF_Options_Exhibits'!H91:H95),"")</f>
        <v/>
      </c>
      <c r="I95" s="3">
        <f>IF(ISNUMBER(AVERAGE('20250815_ETF_Options_Exhibits'!I91:I95)),AVERAGE('20250815_ETF_Options_Exhibits'!I91:I95),"")</f>
        <v/>
      </c>
      <c r="J95" s="3">
        <f>IF(ISNUMBER(AVERAGE('20250815_ETF_Options_Exhibits'!J91:J95)),AVERAGE('20250815_ETF_Options_Exhibits'!J91:J95),"")</f>
        <v/>
      </c>
      <c r="K95" s="3">
        <f>IF(ISNUMBER(AVERAGE('20250815_ETF_Options_Exhibits'!K91:K95)),AVERAGE('20250815_ETF_Options_Exhibits'!K91:K95),"")</f>
        <v/>
      </c>
      <c r="L95" s="3">
        <f>IF(ISNUMBER(AVERAGE('20250815_ETF_Options_Exhibits'!L91:L95)),AVERAGE('20250815_ETF_Options_Exhibits'!L91:L95),"")</f>
        <v/>
      </c>
      <c r="M95" s="3">
        <f>IF(ISNUMBER(AVERAGE('20250815_ETF_Options_Exhibits'!M91:M95)),AVERAGE('20250815_ETF_Options_Exhibits'!M91:M95),"")</f>
        <v/>
      </c>
      <c r="N95" s="3">
        <f>IF(ISNUMBER(AVERAGE('20250815_ETF_Options_Exhibits'!N91:N95)),AVERAGE('20250815_ETF_Options_Exhibits'!N91:N95),"")</f>
        <v/>
      </c>
      <c r="O95" s="3">
        <f>IF(ISNUMBER(AVERAGE('20250815_ETF_Options_Exhibits'!O91:O95)),AVERAGE('20250815_ETF_Options_Exhibits'!O91:O95),"")</f>
        <v/>
      </c>
      <c r="P95" s="3">
        <f>IF(ISNUMBER(AVERAGE('20250815_ETF_Options_Exhibits'!P91:P95)),AVERAGE('20250815_ETF_Options_Exhibits'!P91:P95),"")</f>
        <v/>
      </c>
      <c r="Q95" s="3">
        <f>IF(ISNUMBER(AVERAGE('20250815_ETF_Options_Exhibits'!Q91:Q95)),AVERAGE('20250815_ETF_Options_Exhibits'!Q91:Q95),"")</f>
        <v/>
      </c>
      <c r="R95" s="3">
        <f>IF(ISNUMBER(AVERAGE('20250815_ETF_Options_Exhibits'!R91:R95)),AVERAGE('20250815_ETF_Options_Exhibits'!R91:R95),"")</f>
        <v/>
      </c>
      <c r="S95" s="3">
        <f>IF(ISNUMBER(AVERAGE('20250815_ETF_Options_Exhibits'!S91:S95)),AVERAGE('20250815_ETF_Options_Exhibits'!S91:S95),"")</f>
        <v/>
      </c>
      <c r="T95" s="3">
        <f>IF(ISNUMBER(AVERAGE('20250815_ETF_Options_Exhibits'!T91:T95)),AVERAGE('20250815_ETF_Options_Exhibits'!T91:T95),"")</f>
        <v/>
      </c>
      <c r="U95" s="3">
        <f>IF(ISNUMBER(AVERAGE('20250815_ETF_Options_Exhibits'!U91:U95)),AVERAGE('20250815_ETF_Options_Exhibits'!U91:U95),"")</f>
        <v/>
      </c>
      <c r="V95" s="3">
        <f>IF(ISNUMBER(AVERAGE('20250815_ETF_Options_Exhibits'!V91:V95)),AVERAGE('20250815_ETF_Options_Exhibits'!V91:V95),"")</f>
        <v/>
      </c>
      <c r="W95" s="3">
        <f>IF(ISNUMBER(AVERAGE('20250815_ETF_Options_Exhibits'!W91:W95)),AVERAGE('20250815_ETF_Options_Exhibits'!W91:W95),"")</f>
        <v/>
      </c>
      <c r="X95" s="3">
        <f>IF(ISNUMBER(AVERAGE('20250815_ETF_Options_Exhibits'!X91:X95)),AVERAGE('20250815_ETF_Options_Exhibits'!X91:X95),"")</f>
        <v/>
      </c>
      <c r="Y95" s="3">
        <f>IF(ISNUMBER(AVERAGE('20250815_ETF_Options_Exhibits'!Y91:Y95)),AVERAGE('20250815_ETF_Options_Exhibits'!Y91:Y95),"")</f>
        <v/>
      </c>
      <c r="Z95" s="3">
        <f>IF(ISNUMBER(AVERAGE('20250815_ETF_Options_Exhibits'!Z91:Z95)),AVERAGE('20250815_ETF_Options_Exhibits'!Z91:Z95),"")</f>
        <v/>
      </c>
      <c r="AA95" s="3">
        <f>IF(ISNUMBER(AVERAGE('20250815_ETF_Options_Exhibits'!AA91:AA95)),AVERAGE('20250815_ETF_Options_Exhibits'!AA91:AA95),"")</f>
        <v/>
      </c>
    </row>
    <row r="96">
      <c r="A96" s="1" t="n">
        <v>42142</v>
      </c>
      <c r="B96" s="3">
        <f>IF(ISNUMBER(AVERAGE('20250815_ETF_Options_Exhibits'!B92:B96)),AVERAGE('20250815_ETF_Options_Exhibits'!B92:B96),"")</f>
        <v/>
      </c>
      <c r="C96" s="3">
        <f>IF(ISNUMBER(AVERAGE('20250815_ETF_Options_Exhibits'!C92:C96)),AVERAGE('20250815_ETF_Options_Exhibits'!C92:C96),"")</f>
        <v/>
      </c>
      <c r="D96" s="3">
        <f>IF(ISNUMBER(AVERAGE('20250815_ETF_Options_Exhibits'!D92:D96)),AVERAGE('20250815_ETF_Options_Exhibits'!D92:D96),"")</f>
        <v/>
      </c>
      <c r="E96" s="3">
        <f>IF(ISNUMBER(AVERAGE('20250815_ETF_Options_Exhibits'!E92:E96)),AVERAGE('20250815_ETF_Options_Exhibits'!E92:E96),"")</f>
        <v/>
      </c>
      <c r="F96" s="3">
        <f>IF(ISNUMBER(AVERAGE('20250815_ETF_Options_Exhibits'!F92:F96)),AVERAGE('20250815_ETF_Options_Exhibits'!F92:F96),"")</f>
        <v/>
      </c>
      <c r="G96" s="3">
        <f>IF(ISNUMBER(AVERAGE('20250815_ETF_Options_Exhibits'!G92:G96)),AVERAGE('20250815_ETF_Options_Exhibits'!G92:G96),"")</f>
        <v/>
      </c>
      <c r="H96" s="3">
        <f>IF(ISNUMBER(AVERAGE('20250815_ETF_Options_Exhibits'!H92:H96)),AVERAGE('20250815_ETF_Options_Exhibits'!H92:H96),"")</f>
        <v/>
      </c>
      <c r="I96" s="3">
        <f>IF(ISNUMBER(AVERAGE('20250815_ETF_Options_Exhibits'!I92:I96)),AVERAGE('20250815_ETF_Options_Exhibits'!I92:I96),"")</f>
        <v/>
      </c>
      <c r="J96" s="3">
        <f>IF(ISNUMBER(AVERAGE('20250815_ETF_Options_Exhibits'!J92:J96)),AVERAGE('20250815_ETF_Options_Exhibits'!J92:J96),"")</f>
        <v/>
      </c>
      <c r="K96" s="3">
        <f>IF(ISNUMBER(AVERAGE('20250815_ETF_Options_Exhibits'!K92:K96)),AVERAGE('20250815_ETF_Options_Exhibits'!K92:K96),"")</f>
        <v/>
      </c>
      <c r="L96" s="3">
        <f>IF(ISNUMBER(AVERAGE('20250815_ETF_Options_Exhibits'!L92:L96)),AVERAGE('20250815_ETF_Options_Exhibits'!L92:L96),"")</f>
        <v/>
      </c>
      <c r="M96" s="3">
        <f>IF(ISNUMBER(AVERAGE('20250815_ETF_Options_Exhibits'!M92:M96)),AVERAGE('20250815_ETF_Options_Exhibits'!M92:M96),"")</f>
        <v/>
      </c>
      <c r="N96" s="3">
        <f>IF(ISNUMBER(AVERAGE('20250815_ETF_Options_Exhibits'!N92:N96)),AVERAGE('20250815_ETF_Options_Exhibits'!N92:N96),"")</f>
        <v/>
      </c>
      <c r="O96" s="3">
        <f>IF(ISNUMBER(AVERAGE('20250815_ETF_Options_Exhibits'!O92:O96)),AVERAGE('20250815_ETF_Options_Exhibits'!O92:O96),"")</f>
        <v/>
      </c>
      <c r="P96" s="3">
        <f>IF(ISNUMBER(AVERAGE('20250815_ETF_Options_Exhibits'!P92:P96)),AVERAGE('20250815_ETF_Options_Exhibits'!P92:P96),"")</f>
        <v/>
      </c>
      <c r="Q96" s="3">
        <f>IF(ISNUMBER(AVERAGE('20250815_ETF_Options_Exhibits'!Q92:Q96)),AVERAGE('20250815_ETF_Options_Exhibits'!Q92:Q96),"")</f>
        <v/>
      </c>
      <c r="R96" s="3">
        <f>IF(ISNUMBER(AVERAGE('20250815_ETF_Options_Exhibits'!R92:R96)),AVERAGE('20250815_ETF_Options_Exhibits'!R92:R96),"")</f>
        <v/>
      </c>
      <c r="S96" s="3">
        <f>IF(ISNUMBER(AVERAGE('20250815_ETF_Options_Exhibits'!S92:S96)),AVERAGE('20250815_ETF_Options_Exhibits'!S92:S96),"")</f>
        <v/>
      </c>
      <c r="T96" s="3">
        <f>IF(ISNUMBER(AVERAGE('20250815_ETF_Options_Exhibits'!T92:T96)),AVERAGE('20250815_ETF_Options_Exhibits'!T92:T96),"")</f>
        <v/>
      </c>
      <c r="U96" s="3">
        <f>IF(ISNUMBER(AVERAGE('20250815_ETF_Options_Exhibits'!U92:U96)),AVERAGE('20250815_ETF_Options_Exhibits'!U92:U96),"")</f>
        <v/>
      </c>
      <c r="V96" s="3">
        <f>IF(ISNUMBER(AVERAGE('20250815_ETF_Options_Exhibits'!V92:V96)),AVERAGE('20250815_ETF_Options_Exhibits'!V92:V96),"")</f>
        <v/>
      </c>
      <c r="W96" s="3">
        <f>IF(ISNUMBER(AVERAGE('20250815_ETF_Options_Exhibits'!W92:W96)),AVERAGE('20250815_ETF_Options_Exhibits'!W92:W96),"")</f>
        <v/>
      </c>
      <c r="X96" s="3">
        <f>IF(ISNUMBER(AVERAGE('20250815_ETF_Options_Exhibits'!X92:X96)),AVERAGE('20250815_ETF_Options_Exhibits'!X92:X96),"")</f>
        <v/>
      </c>
      <c r="Y96" s="3">
        <f>IF(ISNUMBER(AVERAGE('20250815_ETF_Options_Exhibits'!Y92:Y96)),AVERAGE('20250815_ETF_Options_Exhibits'!Y92:Y96),"")</f>
        <v/>
      </c>
      <c r="Z96" s="3">
        <f>IF(ISNUMBER(AVERAGE('20250815_ETF_Options_Exhibits'!Z92:Z96)),AVERAGE('20250815_ETF_Options_Exhibits'!Z92:Z96),"")</f>
        <v/>
      </c>
      <c r="AA96" s="3">
        <f>IF(ISNUMBER(AVERAGE('20250815_ETF_Options_Exhibits'!AA92:AA96)),AVERAGE('20250815_ETF_Options_Exhibits'!AA92:AA96),"")</f>
        <v/>
      </c>
    </row>
    <row r="97">
      <c r="A97" s="1" t="n">
        <v>42143</v>
      </c>
      <c r="B97" s="3">
        <f>IF(ISNUMBER(AVERAGE('20250815_ETF_Options_Exhibits'!B93:B97)),AVERAGE('20250815_ETF_Options_Exhibits'!B93:B97),"")</f>
        <v/>
      </c>
      <c r="C97" s="3">
        <f>IF(ISNUMBER(AVERAGE('20250815_ETF_Options_Exhibits'!C93:C97)),AVERAGE('20250815_ETF_Options_Exhibits'!C93:C97),"")</f>
        <v/>
      </c>
      <c r="D97" s="3">
        <f>IF(ISNUMBER(AVERAGE('20250815_ETF_Options_Exhibits'!D93:D97)),AVERAGE('20250815_ETF_Options_Exhibits'!D93:D97),"")</f>
        <v/>
      </c>
      <c r="E97" s="3">
        <f>IF(ISNUMBER(AVERAGE('20250815_ETF_Options_Exhibits'!E93:E97)),AVERAGE('20250815_ETF_Options_Exhibits'!E93:E97),"")</f>
        <v/>
      </c>
      <c r="F97" s="3">
        <f>IF(ISNUMBER(AVERAGE('20250815_ETF_Options_Exhibits'!F93:F97)),AVERAGE('20250815_ETF_Options_Exhibits'!F93:F97),"")</f>
        <v/>
      </c>
      <c r="G97" s="3">
        <f>IF(ISNUMBER(AVERAGE('20250815_ETF_Options_Exhibits'!G93:G97)),AVERAGE('20250815_ETF_Options_Exhibits'!G93:G97),"")</f>
        <v/>
      </c>
      <c r="H97" s="3">
        <f>IF(ISNUMBER(AVERAGE('20250815_ETF_Options_Exhibits'!H93:H97)),AVERAGE('20250815_ETF_Options_Exhibits'!H93:H97),"")</f>
        <v/>
      </c>
      <c r="I97" s="3">
        <f>IF(ISNUMBER(AVERAGE('20250815_ETF_Options_Exhibits'!I93:I97)),AVERAGE('20250815_ETF_Options_Exhibits'!I93:I97),"")</f>
        <v/>
      </c>
      <c r="J97" s="3">
        <f>IF(ISNUMBER(AVERAGE('20250815_ETF_Options_Exhibits'!J93:J97)),AVERAGE('20250815_ETF_Options_Exhibits'!J93:J97),"")</f>
        <v/>
      </c>
      <c r="K97" s="3">
        <f>IF(ISNUMBER(AVERAGE('20250815_ETF_Options_Exhibits'!K93:K97)),AVERAGE('20250815_ETF_Options_Exhibits'!K93:K97),"")</f>
        <v/>
      </c>
      <c r="L97" s="3">
        <f>IF(ISNUMBER(AVERAGE('20250815_ETF_Options_Exhibits'!L93:L97)),AVERAGE('20250815_ETF_Options_Exhibits'!L93:L97),"")</f>
        <v/>
      </c>
      <c r="M97" s="3">
        <f>IF(ISNUMBER(AVERAGE('20250815_ETF_Options_Exhibits'!M93:M97)),AVERAGE('20250815_ETF_Options_Exhibits'!M93:M97),"")</f>
        <v/>
      </c>
      <c r="N97" s="3">
        <f>IF(ISNUMBER(AVERAGE('20250815_ETF_Options_Exhibits'!N93:N97)),AVERAGE('20250815_ETF_Options_Exhibits'!N93:N97),"")</f>
        <v/>
      </c>
      <c r="O97" s="3">
        <f>IF(ISNUMBER(AVERAGE('20250815_ETF_Options_Exhibits'!O93:O97)),AVERAGE('20250815_ETF_Options_Exhibits'!O93:O97),"")</f>
        <v/>
      </c>
      <c r="P97" s="3">
        <f>IF(ISNUMBER(AVERAGE('20250815_ETF_Options_Exhibits'!P93:P97)),AVERAGE('20250815_ETF_Options_Exhibits'!P93:P97),"")</f>
        <v/>
      </c>
      <c r="Q97" s="3">
        <f>IF(ISNUMBER(AVERAGE('20250815_ETF_Options_Exhibits'!Q93:Q97)),AVERAGE('20250815_ETF_Options_Exhibits'!Q93:Q97),"")</f>
        <v/>
      </c>
      <c r="R97" s="3">
        <f>IF(ISNUMBER(AVERAGE('20250815_ETF_Options_Exhibits'!R93:R97)),AVERAGE('20250815_ETF_Options_Exhibits'!R93:R97),"")</f>
        <v/>
      </c>
      <c r="S97" s="3">
        <f>IF(ISNUMBER(AVERAGE('20250815_ETF_Options_Exhibits'!S93:S97)),AVERAGE('20250815_ETF_Options_Exhibits'!S93:S97),"")</f>
        <v/>
      </c>
      <c r="T97" s="3">
        <f>IF(ISNUMBER(AVERAGE('20250815_ETF_Options_Exhibits'!T93:T97)),AVERAGE('20250815_ETF_Options_Exhibits'!T93:T97),"")</f>
        <v/>
      </c>
      <c r="U97" s="3">
        <f>IF(ISNUMBER(AVERAGE('20250815_ETF_Options_Exhibits'!U93:U97)),AVERAGE('20250815_ETF_Options_Exhibits'!U93:U97),"")</f>
        <v/>
      </c>
      <c r="V97" s="3">
        <f>IF(ISNUMBER(AVERAGE('20250815_ETF_Options_Exhibits'!V93:V97)),AVERAGE('20250815_ETF_Options_Exhibits'!V93:V97),"")</f>
        <v/>
      </c>
      <c r="W97" s="3">
        <f>IF(ISNUMBER(AVERAGE('20250815_ETF_Options_Exhibits'!W93:W97)),AVERAGE('20250815_ETF_Options_Exhibits'!W93:W97),"")</f>
        <v/>
      </c>
      <c r="X97" s="3">
        <f>IF(ISNUMBER(AVERAGE('20250815_ETF_Options_Exhibits'!X93:X97)),AVERAGE('20250815_ETF_Options_Exhibits'!X93:X97),"")</f>
        <v/>
      </c>
      <c r="Y97" s="3">
        <f>IF(ISNUMBER(AVERAGE('20250815_ETF_Options_Exhibits'!Y93:Y97)),AVERAGE('20250815_ETF_Options_Exhibits'!Y93:Y97),"")</f>
        <v/>
      </c>
      <c r="Z97" s="3">
        <f>IF(ISNUMBER(AVERAGE('20250815_ETF_Options_Exhibits'!Z93:Z97)),AVERAGE('20250815_ETF_Options_Exhibits'!Z93:Z97),"")</f>
        <v/>
      </c>
      <c r="AA97" s="3">
        <f>IF(ISNUMBER(AVERAGE('20250815_ETF_Options_Exhibits'!AA93:AA97)),AVERAGE('20250815_ETF_Options_Exhibits'!AA93:AA97),"")</f>
        <v/>
      </c>
    </row>
    <row r="98">
      <c r="A98" s="1" t="n">
        <v>42144</v>
      </c>
      <c r="B98" s="3">
        <f>IF(ISNUMBER(AVERAGE('20250815_ETF_Options_Exhibits'!B94:B98)),AVERAGE('20250815_ETF_Options_Exhibits'!B94:B98),"")</f>
        <v/>
      </c>
      <c r="C98" s="3">
        <f>IF(ISNUMBER(AVERAGE('20250815_ETF_Options_Exhibits'!C94:C98)),AVERAGE('20250815_ETF_Options_Exhibits'!C94:C98),"")</f>
        <v/>
      </c>
      <c r="D98" s="3">
        <f>IF(ISNUMBER(AVERAGE('20250815_ETF_Options_Exhibits'!D94:D98)),AVERAGE('20250815_ETF_Options_Exhibits'!D94:D98),"")</f>
        <v/>
      </c>
      <c r="E98" s="3">
        <f>IF(ISNUMBER(AVERAGE('20250815_ETF_Options_Exhibits'!E94:E98)),AVERAGE('20250815_ETF_Options_Exhibits'!E94:E98),"")</f>
        <v/>
      </c>
      <c r="F98" s="3">
        <f>IF(ISNUMBER(AVERAGE('20250815_ETF_Options_Exhibits'!F94:F98)),AVERAGE('20250815_ETF_Options_Exhibits'!F94:F98),"")</f>
        <v/>
      </c>
      <c r="G98" s="3">
        <f>IF(ISNUMBER(AVERAGE('20250815_ETF_Options_Exhibits'!G94:G98)),AVERAGE('20250815_ETF_Options_Exhibits'!G94:G98),"")</f>
        <v/>
      </c>
      <c r="H98" s="3">
        <f>IF(ISNUMBER(AVERAGE('20250815_ETF_Options_Exhibits'!H94:H98)),AVERAGE('20250815_ETF_Options_Exhibits'!H94:H98),"")</f>
        <v/>
      </c>
      <c r="I98" s="3">
        <f>IF(ISNUMBER(AVERAGE('20250815_ETF_Options_Exhibits'!I94:I98)),AVERAGE('20250815_ETF_Options_Exhibits'!I94:I98),"")</f>
        <v/>
      </c>
      <c r="J98" s="3">
        <f>IF(ISNUMBER(AVERAGE('20250815_ETF_Options_Exhibits'!J94:J98)),AVERAGE('20250815_ETF_Options_Exhibits'!J94:J98),"")</f>
        <v/>
      </c>
      <c r="K98" s="3">
        <f>IF(ISNUMBER(AVERAGE('20250815_ETF_Options_Exhibits'!K94:K98)),AVERAGE('20250815_ETF_Options_Exhibits'!K94:K98),"")</f>
        <v/>
      </c>
      <c r="L98" s="3">
        <f>IF(ISNUMBER(AVERAGE('20250815_ETF_Options_Exhibits'!L94:L98)),AVERAGE('20250815_ETF_Options_Exhibits'!L94:L98),"")</f>
        <v/>
      </c>
      <c r="M98" s="3">
        <f>IF(ISNUMBER(AVERAGE('20250815_ETF_Options_Exhibits'!M94:M98)),AVERAGE('20250815_ETF_Options_Exhibits'!M94:M98),"")</f>
        <v/>
      </c>
      <c r="N98" s="3">
        <f>IF(ISNUMBER(AVERAGE('20250815_ETF_Options_Exhibits'!N94:N98)),AVERAGE('20250815_ETF_Options_Exhibits'!N94:N98),"")</f>
        <v/>
      </c>
      <c r="O98" s="3">
        <f>IF(ISNUMBER(AVERAGE('20250815_ETF_Options_Exhibits'!O94:O98)),AVERAGE('20250815_ETF_Options_Exhibits'!O94:O98),"")</f>
        <v/>
      </c>
      <c r="P98" s="3">
        <f>IF(ISNUMBER(AVERAGE('20250815_ETF_Options_Exhibits'!P94:P98)),AVERAGE('20250815_ETF_Options_Exhibits'!P94:P98),"")</f>
        <v/>
      </c>
      <c r="Q98" s="3">
        <f>IF(ISNUMBER(AVERAGE('20250815_ETF_Options_Exhibits'!Q94:Q98)),AVERAGE('20250815_ETF_Options_Exhibits'!Q94:Q98),"")</f>
        <v/>
      </c>
      <c r="R98" s="3">
        <f>IF(ISNUMBER(AVERAGE('20250815_ETF_Options_Exhibits'!R94:R98)),AVERAGE('20250815_ETF_Options_Exhibits'!R94:R98),"")</f>
        <v/>
      </c>
      <c r="S98" s="3">
        <f>IF(ISNUMBER(AVERAGE('20250815_ETF_Options_Exhibits'!S94:S98)),AVERAGE('20250815_ETF_Options_Exhibits'!S94:S98),"")</f>
        <v/>
      </c>
      <c r="T98" s="3">
        <f>IF(ISNUMBER(AVERAGE('20250815_ETF_Options_Exhibits'!T94:T98)),AVERAGE('20250815_ETF_Options_Exhibits'!T94:T98),"")</f>
        <v/>
      </c>
      <c r="U98" s="3">
        <f>IF(ISNUMBER(AVERAGE('20250815_ETF_Options_Exhibits'!U94:U98)),AVERAGE('20250815_ETF_Options_Exhibits'!U94:U98),"")</f>
        <v/>
      </c>
      <c r="V98" s="3">
        <f>IF(ISNUMBER(AVERAGE('20250815_ETF_Options_Exhibits'!V94:V98)),AVERAGE('20250815_ETF_Options_Exhibits'!V94:V98),"")</f>
        <v/>
      </c>
      <c r="W98" s="3">
        <f>IF(ISNUMBER(AVERAGE('20250815_ETF_Options_Exhibits'!W94:W98)),AVERAGE('20250815_ETF_Options_Exhibits'!W94:W98),"")</f>
        <v/>
      </c>
      <c r="X98" s="3">
        <f>IF(ISNUMBER(AVERAGE('20250815_ETF_Options_Exhibits'!X94:X98)),AVERAGE('20250815_ETF_Options_Exhibits'!X94:X98),"")</f>
        <v/>
      </c>
      <c r="Y98" s="3">
        <f>IF(ISNUMBER(AVERAGE('20250815_ETF_Options_Exhibits'!Y94:Y98)),AVERAGE('20250815_ETF_Options_Exhibits'!Y94:Y98),"")</f>
        <v/>
      </c>
      <c r="Z98" s="3">
        <f>IF(ISNUMBER(AVERAGE('20250815_ETF_Options_Exhibits'!Z94:Z98)),AVERAGE('20250815_ETF_Options_Exhibits'!Z94:Z98),"")</f>
        <v/>
      </c>
      <c r="AA98" s="3">
        <f>IF(ISNUMBER(AVERAGE('20250815_ETF_Options_Exhibits'!AA94:AA98)),AVERAGE('20250815_ETF_Options_Exhibits'!AA94:AA98),"")</f>
        <v/>
      </c>
    </row>
    <row r="99">
      <c r="A99" s="1" t="n">
        <v>42145</v>
      </c>
      <c r="B99" s="3">
        <f>IF(ISNUMBER(AVERAGE('20250815_ETF_Options_Exhibits'!B95:B99)),AVERAGE('20250815_ETF_Options_Exhibits'!B95:B99),"")</f>
        <v/>
      </c>
      <c r="C99" s="3">
        <f>IF(ISNUMBER(AVERAGE('20250815_ETF_Options_Exhibits'!C95:C99)),AVERAGE('20250815_ETF_Options_Exhibits'!C95:C99),"")</f>
        <v/>
      </c>
      <c r="D99" s="3">
        <f>IF(ISNUMBER(AVERAGE('20250815_ETF_Options_Exhibits'!D95:D99)),AVERAGE('20250815_ETF_Options_Exhibits'!D95:D99),"")</f>
        <v/>
      </c>
      <c r="E99" s="3">
        <f>IF(ISNUMBER(AVERAGE('20250815_ETF_Options_Exhibits'!E95:E99)),AVERAGE('20250815_ETF_Options_Exhibits'!E95:E99),"")</f>
        <v/>
      </c>
      <c r="F99" s="3">
        <f>IF(ISNUMBER(AVERAGE('20250815_ETF_Options_Exhibits'!F95:F99)),AVERAGE('20250815_ETF_Options_Exhibits'!F95:F99),"")</f>
        <v/>
      </c>
      <c r="G99" s="3">
        <f>IF(ISNUMBER(AVERAGE('20250815_ETF_Options_Exhibits'!G95:G99)),AVERAGE('20250815_ETF_Options_Exhibits'!G95:G99),"")</f>
        <v/>
      </c>
      <c r="H99" s="3">
        <f>IF(ISNUMBER(AVERAGE('20250815_ETF_Options_Exhibits'!H95:H99)),AVERAGE('20250815_ETF_Options_Exhibits'!H95:H99),"")</f>
        <v/>
      </c>
      <c r="I99" s="3">
        <f>IF(ISNUMBER(AVERAGE('20250815_ETF_Options_Exhibits'!I95:I99)),AVERAGE('20250815_ETF_Options_Exhibits'!I95:I99),"")</f>
        <v/>
      </c>
      <c r="J99" s="3">
        <f>IF(ISNUMBER(AVERAGE('20250815_ETF_Options_Exhibits'!J95:J99)),AVERAGE('20250815_ETF_Options_Exhibits'!J95:J99),"")</f>
        <v/>
      </c>
      <c r="K99" s="3">
        <f>IF(ISNUMBER(AVERAGE('20250815_ETF_Options_Exhibits'!K95:K99)),AVERAGE('20250815_ETF_Options_Exhibits'!K95:K99),"")</f>
        <v/>
      </c>
      <c r="L99" s="3">
        <f>IF(ISNUMBER(AVERAGE('20250815_ETF_Options_Exhibits'!L95:L99)),AVERAGE('20250815_ETF_Options_Exhibits'!L95:L99),"")</f>
        <v/>
      </c>
      <c r="M99" s="3">
        <f>IF(ISNUMBER(AVERAGE('20250815_ETF_Options_Exhibits'!M95:M99)),AVERAGE('20250815_ETF_Options_Exhibits'!M95:M99),"")</f>
        <v/>
      </c>
      <c r="N99" s="3">
        <f>IF(ISNUMBER(AVERAGE('20250815_ETF_Options_Exhibits'!N95:N99)),AVERAGE('20250815_ETF_Options_Exhibits'!N95:N99),"")</f>
        <v/>
      </c>
      <c r="O99" s="3">
        <f>IF(ISNUMBER(AVERAGE('20250815_ETF_Options_Exhibits'!O95:O99)),AVERAGE('20250815_ETF_Options_Exhibits'!O95:O99),"")</f>
        <v/>
      </c>
      <c r="P99" s="3">
        <f>IF(ISNUMBER(AVERAGE('20250815_ETF_Options_Exhibits'!P95:P99)),AVERAGE('20250815_ETF_Options_Exhibits'!P95:P99),"")</f>
        <v/>
      </c>
      <c r="Q99" s="3">
        <f>IF(ISNUMBER(AVERAGE('20250815_ETF_Options_Exhibits'!Q95:Q99)),AVERAGE('20250815_ETF_Options_Exhibits'!Q95:Q99),"")</f>
        <v/>
      </c>
      <c r="R99" s="3">
        <f>IF(ISNUMBER(AVERAGE('20250815_ETF_Options_Exhibits'!R95:R99)),AVERAGE('20250815_ETF_Options_Exhibits'!R95:R99),"")</f>
        <v/>
      </c>
      <c r="S99" s="3">
        <f>IF(ISNUMBER(AVERAGE('20250815_ETF_Options_Exhibits'!S95:S99)),AVERAGE('20250815_ETF_Options_Exhibits'!S95:S99),"")</f>
        <v/>
      </c>
      <c r="T99" s="3">
        <f>IF(ISNUMBER(AVERAGE('20250815_ETF_Options_Exhibits'!T95:T99)),AVERAGE('20250815_ETF_Options_Exhibits'!T95:T99),"")</f>
        <v/>
      </c>
      <c r="U99" s="3">
        <f>IF(ISNUMBER(AVERAGE('20250815_ETF_Options_Exhibits'!U95:U99)),AVERAGE('20250815_ETF_Options_Exhibits'!U95:U99),"")</f>
        <v/>
      </c>
      <c r="V99" s="3">
        <f>IF(ISNUMBER(AVERAGE('20250815_ETF_Options_Exhibits'!V95:V99)),AVERAGE('20250815_ETF_Options_Exhibits'!V95:V99),"")</f>
        <v/>
      </c>
      <c r="W99" s="3">
        <f>IF(ISNUMBER(AVERAGE('20250815_ETF_Options_Exhibits'!W95:W99)),AVERAGE('20250815_ETF_Options_Exhibits'!W95:W99),"")</f>
        <v/>
      </c>
      <c r="X99" s="3">
        <f>IF(ISNUMBER(AVERAGE('20250815_ETF_Options_Exhibits'!X95:X99)),AVERAGE('20250815_ETF_Options_Exhibits'!X95:X99),"")</f>
        <v/>
      </c>
      <c r="Y99" s="3">
        <f>IF(ISNUMBER(AVERAGE('20250815_ETF_Options_Exhibits'!Y95:Y99)),AVERAGE('20250815_ETF_Options_Exhibits'!Y95:Y99),"")</f>
        <v/>
      </c>
      <c r="Z99" s="3">
        <f>IF(ISNUMBER(AVERAGE('20250815_ETF_Options_Exhibits'!Z95:Z99)),AVERAGE('20250815_ETF_Options_Exhibits'!Z95:Z99),"")</f>
        <v/>
      </c>
      <c r="AA99" s="3">
        <f>IF(ISNUMBER(AVERAGE('20250815_ETF_Options_Exhibits'!AA95:AA99)),AVERAGE('20250815_ETF_Options_Exhibits'!AA95:AA99),"")</f>
        <v/>
      </c>
    </row>
    <row r="100">
      <c r="A100" s="1" t="n">
        <v>42146</v>
      </c>
      <c r="B100" s="3">
        <f>IF(ISNUMBER(AVERAGE('20250815_ETF_Options_Exhibits'!B96:B100)),AVERAGE('20250815_ETF_Options_Exhibits'!B96:B100),"")</f>
        <v/>
      </c>
      <c r="C100" s="3">
        <f>IF(ISNUMBER(AVERAGE('20250815_ETF_Options_Exhibits'!C96:C100)),AVERAGE('20250815_ETF_Options_Exhibits'!C96:C100),"")</f>
        <v/>
      </c>
      <c r="D100" s="3">
        <f>IF(ISNUMBER(AVERAGE('20250815_ETF_Options_Exhibits'!D96:D100)),AVERAGE('20250815_ETF_Options_Exhibits'!D96:D100),"")</f>
        <v/>
      </c>
      <c r="E100" s="3">
        <f>IF(ISNUMBER(AVERAGE('20250815_ETF_Options_Exhibits'!E96:E100)),AVERAGE('20250815_ETF_Options_Exhibits'!E96:E100),"")</f>
        <v/>
      </c>
      <c r="F100" s="3">
        <f>IF(ISNUMBER(AVERAGE('20250815_ETF_Options_Exhibits'!F96:F100)),AVERAGE('20250815_ETF_Options_Exhibits'!F96:F100),"")</f>
        <v/>
      </c>
      <c r="G100" s="3">
        <f>IF(ISNUMBER(AVERAGE('20250815_ETF_Options_Exhibits'!G96:G100)),AVERAGE('20250815_ETF_Options_Exhibits'!G96:G100),"")</f>
        <v/>
      </c>
      <c r="H100" s="3">
        <f>IF(ISNUMBER(AVERAGE('20250815_ETF_Options_Exhibits'!H96:H100)),AVERAGE('20250815_ETF_Options_Exhibits'!H96:H100),"")</f>
        <v/>
      </c>
      <c r="I100" s="3">
        <f>IF(ISNUMBER(AVERAGE('20250815_ETF_Options_Exhibits'!I96:I100)),AVERAGE('20250815_ETF_Options_Exhibits'!I96:I100),"")</f>
        <v/>
      </c>
      <c r="J100" s="3">
        <f>IF(ISNUMBER(AVERAGE('20250815_ETF_Options_Exhibits'!J96:J100)),AVERAGE('20250815_ETF_Options_Exhibits'!J96:J100),"")</f>
        <v/>
      </c>
      <c r="K100" s="3">
        <f>IF(ISNUMBER(AVERAGE('20250815_ETF_Options_Exhibits'!K96:K100)),AVERAGE('20250815_ETF_Options_Exhibits'!K96:K100),"")</f>
        <v/>
      </c>
      <c r="L100" s="3">
        <f>IF(ISNUMBER(AVERAGE('20250815_ETF_Options_Exhibits'!L96:L100)),AVERAGE('20250815_ETF_Options_Exhibits'!L96:L100),"")</f>
        <v/>
      </c>
      <c r="M100" s="3">
        <f>IF(ISNUMBER(AVERAGE('20250815_ETF_Options_Exhibits'!M96:M100)),AVERAGE('20250815_ETF_Options_Exhibits'!M96:M100),"")</f>
        <v/>
      </c>
      <c r="N100" s="3">
        <f>IF(ISNUMBER(AVERAGE('20250815_ETF_Options_Exhibits'!N96:N100)),AVERAGE('20250815_ETF_Options_Exhibits'!N96:N100),"")</f>
        <v/>
      </c>
      <c r="O100" s="3">
        <f>IF(ISNUMBER(AVERAGE('20250815_ETF_Options_Exhibits'!O96:O100)),AVERAGE('20250815_ETF_Options_Exhibits'!O96:O100),"")</f>
        <v/>
      </c>
      <c r="P100" s="3">
        <f>IF(ISNUMBER(AVERAGE('20250815_ETF_Options_Exhibits'!P96:P100)),AVERAGE('20250815_ETF_Options_Exhibits'!P96:P100),"")</f>
        <v/>
      </c>
      <c r="Q100" s="3">
        <f>IF(ISNUMBER(AVERAGE('20250815_ETF_Options_Exhibits'!Q96:Q100)),AVERAGE('20250815_ETF_Options_Exhibits'!Q96:Q100),"")</f>
        <v/>
      </c>
      <c r="R100" s="3">
        <f>IF(ISNUMBER(AVERAGE('20250815_ETF_Options_Exhibits'!R96:R100)),AVERAGE('20250815_ETF_Options_Exhibits'!R96:R100),"")</f>
        <v/>
      </c>
      <c r="S100" s="3">
        <f>IF(ISNUMBER(AVERAGE('20250815_ETF_Options_Exhibits'!S96:S100)),AVERAGE('20250815_ETF_Options_Exhibits'!S96:S100),"")</f>
        <v/>
      </c>
      <c r="T100" s="3">
        <f>IF(ISNUMBER(AVERAGE('20250815_ETF_Options_Exhibits'!T96:T100)),AVERAGE('20250815_ETF_Options_Exhibits'!T96:T100),"")</f>
        <v/>
      </c>
      <c r="U100" s="3">
        <f>IF(ISNUMBER(AVERAGE('20250815_ETF_Options_Exhibits'!U96:U100)),AVERAGE('20250815_ETF_Options_Exhibits'!U96:U100),"")</f>
        <v/>
      </c>
      <c r="V100" s="3">
        <f>IF(ISNUMBER(AVERAGE('20250815_ETF_Options_Exhibits'!V96:V100)),AVERAGE('20250815_ETF_Options_Exhibits'!V96:V100),"")</f>
        <v/>
      </c>
      <c r="W100" s="3">
        <f>IF(ISNUMBER(AVERAGE('20250815_ETF_Options_Exhibits'!W96:W100)),AVERAGE('20250815_ETF_Options_Exhibits'!W96:W100),"")</f>
        <v/>
      </c>
      <c r="X100" s="3">
        <f>IF(ISNUMBER(AVERAGE('20250815_ETF_Options_Exhibits'!X96:X100)),AVERAGE('20250815_ETF_Options_Exhibits'!X96:X100),"")</f>
        <v/>
      </c>
      <c r="Y100" s="3">
        <f>IF(ISNUMBER(AVERAGE('20250815_ETF_Options_Exhibits'!Y96:Y100)),AVERAGE('20250815_ETF_Options_Exhibits'!Y96:Y100),"")</f>
        <v/>
      </c>
      <c r="Z100" s="3">
        <f>IF(ISNUMBER(AVERAGE('20250815_ETF_Options_Exhibits'!Z96:Z100)),AVERAGE('20250815_ETF_Options_Exhibits'!Z96:Z100),"")</f>
        <v/>
      </c>
      <c r="AA100" s="3">
        <f>IF(ISNUMBER(AVERAGE('20250815_ETF_Options_Exhibits'!AA96:AA100)),AVERAGE('20250815_ETF_Options_Exhibits'!AA96:AA100),"")</f>
        <v/>
      </c>
    </row>
    <row r="101">
      <c r="A101" s="1" t="n">
        <v>42150</v>
      </c>
      <c r="B101" s="3">
        <f>IF(ISNUMBER(AVERAGE('20250815_ETF_Options_Exhibits'!B97:B101)),AVERAGE('20250815_ETF_Options_Exhibits'!B97:B101),"")</f>
        <v/>
      </c>
      <c r="C101" s="3">
        <f>IF(ISNUMBER(AVERAGE('20250815_ETF_Options_Exhibits'!C97:C101)),AVERAGE('20250815_ETF_Options_Exhibits'!C97:C101),"")</f>
        <v/>
      </c>
      <c r="D101" s="3">
        <f>IF(ISNUMBER(AVERAGE('20250815_ETF_Options_Exhibits'!D97:D101)),AVERAGE('20250815_ETF_Options_Exhibits'!D97:D101),"")</f>
        <v/>
      </c>
      <c r="E101" s="3">
        <f>IF(ISNUMBER(AVERAGE('20250815_ETF_Options_Exhibits'!E97:E101)),AVERAGE('20250815_ETF_Options_Exhibits'!E97:E101),"")</f>
        <v/>
      </c>
      <c r="F101" s="3">
        <f>IF(ISNUMBER(AVERAGE('20250815_ETF_Options_Exhibits'!F97:F101)),AVERAGE('20250815_ETF_Options_Exhibits'!F97:F101),"")</f>
        <v/>
      </c>
      <c r="G101" s="3">
        <f>IF(ISNUMBER(AVERAGE('20250815_ETF_Options_Exhibits'!G97:G101)),AVERAGE('20250815_ETF_Options_Exhibits'!G97:G101),"")</f>
        <v/>
      </c>
      <c r="H101" s="3">
        <f>IF(ISNUMBER(AVERAGE('20250815_ETF_Options_Exhibits'!H97:H101)),AVERAGE('20250815_ETF_Options_Exhibits'!H97:H101),"")</f>
        <v/>
      </c>
      <c r="I101" s="3">
        <f>IF(ISNUMBER(AVERAGE('20250815_ETF_Options_Exhibits'!I97:I101)),AVERAGE('20250815_ETF_Options_Exhibits'!I97:I101),"")</f>
        <v/>
      </c>
      <c r="J101" s="3">
        <f>IF(ISNUMBER(AVERAGE('20250815_ETF_Options_Exhibits'!J97:J101)),AVERAGE('20250815_ETF_Options_Exhibits'!J97:J101),"")</f>
        <v/>
      </c>
      <c r="K101" s="3">
        <f>IF(ISNUMBER(AVERAGE('20250815_ETF_Options_Exhibits'!K97:K101)),AVERAGE('20250815_ETF_Options_Exhibits'!K97:K101),"")</f>
        <v/>
      </c>
      <c r="L101" s="3">
        <f>IF(ISNUMBER(AVERAGE('20250815_ETF_Options_Exhibits'!L97:L101)),AVERAGE('20250815_ETF_Options_Exhibits'!L97:L101),"")</f>
        <v/>
      </c>
      <c r="M101" s="3">
        <f>IF(ISNUMBER(AVERAGE('20250815_ETF_Options_Exhibits'!M97:M101)),AVERAGE('20250815_ETF_Options_Exhibits'!M97:M101),"")</f>
        <v/>
      </c>
      <c r="N101" s="3">
        <f>IF(ISNUMBER(AVERAGE('20250815_ETF_Options_Exhibits'!N97:N101)),AVERAGE('20250815_ETF_Options_Exhibits'!N97:N101),"")</f>
        <v/>
      </c>
      <c r="O101" s="3">
        <f>IF(ISNUMBER(AVERAGE('20250815_ETF_Options_Exhibits'!O97:O101)),AVERAGE('20250815_ETF_Options_Exhibits'!O97:O101),"")</f>
        <v/>
      </c>
      <c r="P101" s="3">
        <f>IF(ISNUMBER(AVERAGE('20250815_ETF_Options_Exhibits'!P97:P101)),AVERAGE('20250815_ETF_Options_Exhibits'!P97:P101),"")</f>
        <v/>
      </c>
      <c r="Q101" s="3">
        <f>IF(ISNUMBER(AVERAGE('20250815_ETF_Options_Exhibits'!Q97:Q101)),AVERAGE('20250815_ETF_Options_Exhibits'!Q97:Q101),"")</f>
        <v/>
      </c>
      <c r="R101" s="3">
        <f>IF(ISNUMBER(AVERAGE('20250815_ETF_Options_Exhibits'!R97:R101)),AVERAGE('20250815_ETF_Options_Exhibits'!R97:R101),"")</f>
        <v/>
      </c>
      <c r="S101" s="3">
        <f>IF(ISNUMBER(AVERAGE('20250815_ETF_Options_Exhibits'!S97:S101)),AVERAGE('20250815_ETF_Options_Exhibits'!S97:S101),"")</f>
        <v/>
      </c>
      <c r="T101" s="3">
        <f>IF(ISNUMBER(AVERAGE('20250815_ETF_Options_Exhibits'!T97:T101)),AVERAGE('20250815_ETF_Options_Exhibits'!T97:T101),"")</f>
        <v/>
      </c>
      <c r="U101" s="3">
        <f>IF(ISNUMBER(AVERAGE('20250815_ETF_Options_Exhibits'!U97:U101)),AVERAGE('20250815_ETF_Options_Exhibits'!U97:U101),"")</f>
        <v/>
      </c>
      <c r="V101" s="3">
        <f>IF(ISNUMBER(AVERAGE('20250815_ETF_Options_Exhibits'!V97:V101)),AVERAGE('20250815_ETF_Options_Exhibits'!V97:V101),"")</f>
        <v/>
      </c>
      <c r="W101" s="3">
        <f>IF(ISNUMBER(AVERAGE('20250815_ETF_Options_Exhibits'!W97:W101)),AVERAGE('20250815_ETF_Options_Exhibits'!W97:W101),"")</f>
        <v/>
      </c>
      <c r="X101" s="3">
        <f>IF(ISNUMBER(AVERAGE('20250815_ETF_Options_Exhibits'!X97:X101)),AVERAGE('20250815_ETF_Options_Exhibits'!X97:X101),"")</f>
        <v/>
      </c>
      <c r="Y101" s="3">
        <f>IF(ISNUMBER(AVERAGE('20250815_ETF_Options_Exhibits'!Y97:Y101)),AVERAGE('20250815_ETF_Options_Exhibits'!Y97:Y101),"")</f>
        <v/>
      </c>
      <c r="Z101" s="3">
        <f>IF(ISNUMBER(AVERAGE('20250815_ETF_Options_Exhibits'!Z97:Z101)),AVERAGE('20250815_ETF_Options_Exhibits'!Z97:Z101),"")</f>
        <v/>
      </c>
      <c r="AA101" s="3">
        <f>IF(ISNUMBER(AVERAGE('20250815_ETF_Options_Exhibits'!AA97:AA101)),AVERAGE('20250815_ETF_Options_Exhibits'!AA97:AA101),"")</f>
        <v/>
      </c>
    </row>
    <row r="102">
      <c r="A102" s="1" t="n">
        <v>42151</v>
      </c>
      <c r="B102" s="3">
        <f>IF(ISNUMBER(AVERAGE('20250815_ETF_Options_Exhibits'!B98:B102)),AVERAGE('20250815_ETF_Options_Exhibits'!B98:B102),"")</f>
        <v/>
      </c>
      <c r="C102" s="3">
        <f>IF(ISNUMBER(AVERAGE('20250815_ETF_Options_Exhibits'!C98:C102)),AVERAGE('20250815_ETF_Options_Exhibits'!C98:C102),"")</f>
        <v/>
      </c>
      <c r="D102" s="3">
        <f>IF(ISNUMBER(AVERAGE('20250815_ETF_Options_Exhibits'!D98:D102)),AVERAGE('20250815_ETF_Options_Exhibits'!D98:D102),"")</f>
        <v/>
      </c>
      <c r="E102" s="3">
        <f>IF(ISNUMBER(AVERAGE('20250815_ETF_Options_Exhibits'!E98:E102)),AVERAGE('20250815_ETF_Options_Exhibits'!E98:E102),"")</f>
        <v/>
      </c>
      <c r="F102" s="3">
        <f>IF(ISNUMBER(AVERAGE('20250815_ETF_Options_Exhibits'!F98:F102)),AVERAGE('20250815_ETF_Options_Exhibits'!F98:F102),"")</f>
        <v/>
      </c>
      <c r="G102" s="3">
        <f>IF(ISNUMBER(AVERAGE('20250815_ETF_Options_Exhibits'!G98:G102)),AVERAGE('20250815_ETF_Options_Exhibits'!G98:G102),"")</f>
        <v/>
      </c>
      <c r="H102" s="3">
        <f>IF(ISNUMBER(AVERAGE('20250815_ETF_Options_Exhibits'!H98:H102)),AVERAGE('20250815_ETF_Options_Exhibits'!H98:H102),"")</f>
        <v/>
      </c>
      <c r="I102" s="3">
        <f>IF(ISNUMBER(AVERAGE('20250815_ETF_Options_Exhibits'!I98:I102)),AVERAGE('20250815_ETF_Options_Exhibits'!I98:I102),"")</f>
        <v/>
      </c>
      <c r="J102" s="3">
        <f>IF(ISNUMBER(AVERAGE('20250815_ETF_Options_Exhibits'!J98:J102)),AVERAGE('20250815_ETF_Options_Exhibits'!J98:J102),"")</f>
        <v/>
      </c>
      <c r="K102" s="3">
        <f>IF(ISNUMBER(AVERAGE('20250815_ETF_Options_Exhibits'!K98:K102)),AVERAGE('20250815_ETF_Options_Exhibits'!K98:K102),"")</f>
        <v/>
      </c>
      <c r="L102" s="3">
        <f>IF(ISNUMBER(AVERAGE('20250815_ETF_Options_Exhibits'!L98:L102)),AVERAGE('20250815_ETF_Options_Exhibits'!L98:L102),"")</f>
        <v/>
      </c>
      <c r="M102" s="3">
        <f>IF(ISNUMBER(AVERAGE('20250815_ETF_Options_Exhibits'!M98:M102)),AVERAGE('20250815_ETF_Options_Exhibits'!M98:M102),"")</f>
        <v/>
      </c>
      <c r="N102" s="3">
        <f>IF(ISNUMBER(AVERAGE('20250815_ETF_Options_Exhibits'!N98:N102)),AVERAGE('20250815_ETF_Options_Exhibits'!N98:N102),"")</f>
        <v/>
      </c>
      <c r="O102" s="3">
        <f>IF(ISNUMBER(AVERAGE('20250815_ETF_Options_Exhibits'!O98:O102)),AVERAGE('20250815_ETF_Options_Exhibits'!O98:O102),"")</f>
        <v/>
      </c>
      <c r="P102" s="3">
        <f>IF(ISNUMBER(AVERAGE('20250815_ETF_Options_Exhibits'!P98:P102)),AVERAGE('20250815_ETF_Options_Exhibits'!P98:P102),"")</f>
        <v/>
      </c>
      <c r="Q102" s="3">
        <f>IF(ISNUMBER(AVERAGE('20250815_ETF_Options_Exhibits'!Q98:Q102)),AVERAGE('20250815_ETF_Options_Exhibits'!Q98:Q102),"")</f>
        <v/>
      </c>
      <c r="R102" s="3">
        <f>IF(ISNUMBER(AVERAGE('20250815_ETF_Options_Exhibits'!R98:R102)),AVERAGE('20250815_ETF_Options_Exhibits'!R98:R102),"")</f>
        <v/>
      </c>
      <c r="S102" s="3">
        <f>IF(ISNUMBER(AVERAGE('20250815_ETF_Options_Exhibits'!S98:S102)),AVERAGE('20250815_ETF_Options_Exhibits'!S98:S102),"")</f>
        <v/>
      </c>
      <c r="T102" s="3">
        <f>IF(ISNUMBER(AVERAGE('20250815_ETF_Options_Exhibits'!T98:T102)),AVERAGE('20250815_ETF_Options_Exhibits'!T98:T102),"")</f>
        <v/>
      </c>
      <c r="U102" s="3">
        <f>IF(ISNUMBER(AVERAGE('20250815_ETF_Options_Exhibits'!U98:U102)),AVERAGE('20250815_ETF_Options_Exhibits'!U98:U102),"")</f>
        <v/>
      </c>
      <c r="V102" s="3">
        <f>IF(ISNUMBER(AVERAGE('20250815_ETF_Options_Exhibits'!V98:V102)),AVERAGE('20250815_ETF_Options_Exhibits'!V98:V102),"")</f>
        <v/>
      </c>
      <c r="W102" s="3">
        <f>IF(ISNUMBER(AVERAGE('20250815_ETF_Options_Exhibits'!W98:W102)),AVERAGE('20250815_ETF_Options_Exhibits'!W98:W102),"")</f>
        <v/>
      </c>
      <c r="X102" s="3">
        <f>IF(ISNUMBER(AVERAGE('20250815_ETF_Options_Exhibits'!X98:X102)),AVERAGE('20250815_ETF_Options_Exhibits'!X98:X102),"")</f>
        <v/>
      </c>
      <c r="Y102" s="3">
        <f>IF(ISNUMBER(AVERAGE('20250815_ETF_Options_Exhibits'!Y98:Y102)),AVERAGE('20250815_ETF_Options_Exhibits'!Y98:Y102),"")</f>
        <v/>
      </c>
      <c r="Z102" s="3">
        <f>IF(ISNUMBER(AVERAGE('20250815_ETF_Options_Exhibits'!Z98:Z102)),AVERAGE('20250815_ETF_Options_Exhibits'!Z98:Z102),"")</f>
        <v/>
      </c>
      <c r="AA102" s="3">
        <f>IF(ISNUMBER(AVERAGE('20250815_ETF_Options_Exhibits'!AA98:AA102)),AVERAGE('20250815_ETF_Options_Exhibits'!AA98:AA102),"")</f>
        <v/>
      </c>
    </row>
    <row r="103">
      <c r="A103" s="1" t="n">
        <v>42152</v>
      </c>
      <c r="B103" s="3">
        <f>IF(ISNUMBER(AVERAGE('20250815_ETF_Options_Exhibits'!B99:B103)),AVERAGE('20250815_ETF_Options_Exhibits'!B99:B103),"")</f>
        <v/>
      </c>
      <c r="C103" s="3">
        <f>IF(ISNUMBER(AVERAGE('20250815_ETF_Options_Exhibits'!C99:C103)),AVERAGE('20250815_ETF_Options_Exhibits'!C99:C103),"")</f>
        <v/>
      </c>
      <c r="D103" s="3">
        <f>IF(ISNUMBER(AVERAGE('20250815_ETF_Options_Exhibits'!D99:D103)),AVERAGE('20250815_ETF_Options_Exhibits'!D99:D103),"")</f>
        <v/>
      </c>
      <c r="E103" s="3">
        <f>IF(ISNUMBER(AVERAGE('20250815_ETF_Options_Exhibits'!E99:E103)),AVERAGE('20250815_ETF_Options_Exhibits'!E99:E103),"")</f>
        <v/>
      </c>
      <c r="F103" s="3">
        <f>IF(ISNUMBER(AVERAGE('20250815_ETF_Options_Exhibits'!F99:F103)),AVERAGE('20250815_ETF_Options_Exhibits'!F99:F103),"")</f>
        <v/>
      </c>
      <c r="G103" s="3">
        <f>IF(ISNUMBER(AVERAGE('20250815_ETF_Options_Exhibits'!G99:G103)),AVERAGE('20250815_ETF_Options_Exhibits'!G99:G103),"")</f>
        <v/>
      </c>
      <c r="H103" s="3">
        <f>IF(ISNUMBER(AVERAGE('20250815_ETF_Options_Exhibits'!H99:H103)),AVERAGE('20250815_ETF_Options_Exhibits'!H99:H103),"")</f>
        <v/>
      </c>
      <c r="I103" s="3">
        <f>IF(ISNUMBER(AVERAGE('20250815_ETF_Options_Exhibits'!I99:I103)),AVERAGE('20250815_ETF_Options_Exhibits'!I99:I103),"")</f>
        <v/>
      </c>
      <c r="J103" s="3">
        <f>IF(ISNUMBER(AVERAGE('20250815_ETF_Options_Exhibits'!J99:J103)),AVERAGE('20250815_ETF_Options_Exhibits'!J99:J103),"")</f>
        <v/>
      </c>
      <c r="K103" s="3">
        <f>IF(ISNUMBER(AVERAGE('20250815_ETF_Options_Exhibits'!K99:K103)),AVERAGE('20250815_ETF_Options_Exhibits'!K99:K103),"")</f>
        <v/>
      </c>
      <c r="L103" s="3">
        <f>IF(ISNUMBER(AVERAGE('20250815_ETF_Options_Exhibits'!L99:L103)),AVERAGE('20250815_ETF_Options_Exhibits'!L99:L103),"")</f>
        <v/>
      </c>
      <c r="M103" s="3">
        <f>IF(ISNUMBER(AVERAGE('20250815_ETF_Options_Exhibits'!M99:M103)),AVERAGE('20250815_ETF_Options_Exhibits'!M99:M103),"")</f>
        <v/>
      </c>
      <c r="N103" s="3">
        <f>IF(ISNUMBER(AVERAGE('20250815_ETF_Options_Exhibits'!N99:N103)),AVERAGE('20250815_ETF_Options_Exhibits'!N99:N103),"")</f>
        <v/>
      </c>
      <c r="O103" s="3">
        <f>IF(ISNUMBER(AVERAGE('20250815_ETF_Options_Exhibits'!O99:O103)),AVERAGE('20250815_ETF_Options_Exhibits'!O99:O103),"")</f>
        <v/>
      </c>
      <c r="P103" s="3">
        <f>IF(ISNUMBER(AVERAGE('20250815_ETF_Options_Exhibits'!P99:P103)),AVERAGE('20250815_ETF_Options_Exhibits'!P99:P103),"")</f>
        <v/>
      </c>
      <c r="Q103" s="3">
        <f>IF(ISNUMBER(AVERAGE('20250815_ETF_Options_Exhibits'!Q99:Q103)),AVERAGE('20250815_ETF_Options_Exhibits'!Q99:Q103),"")</f>
        <v/>
      </c>
      <c r="R103" s="3">
        <f>IF(ISNUMBER(AVERAGE('20250815_ETF_Options_Exhibits'!R99:R103)),AVERAGE('20250815_ETF_Options_Exhibits'!R99:R103),"")</f>
        <v/>
      </c>
      <c r="S103" s="3">
        <f>IF(ISNUMBER(AVERAGE('20250815_ETF_Options_Exhibits'!S99:S103)),AVERAGE('20250815_ETF_Options_Exhibits'!S99:S103),"")</f>
        <v/>
      </c>
      <c r="T103" s="3">
        <f>IF(ISNUMBER(AVERAGE('20250815_ETF_Options_Exhibits'!T99:T103)),AVERAGE('20250815_ETF_Options_Exhibits'!T99:T103),"")</f>
        <v/>
      </c>
      <c r="U103" s="3">
        <f>IF(ISNUMBER(AVERAGE('20250815_ETF_Options_Exhibits'!U99:U103)),AVERAGE('20250815_ETF_Options_Exhibits'!U99:U103),"")</f>
        <v/>
      </c>
      <c r="V103" s="3">
        <f>IF(ISNUMBER(AVERAGE('20250815_ETF_Options_Exhibits'!V99:V103)),AVERAGE('20250815_ETF_Options_Exhibits'!V99:V103),"")</f>
        <v/>
      </c>
      <c r="W103" s="3">
        <f>IF(ISNUMBER(AVERAGE('20250815_ETF_Options_Exhibits'!W99:W103)),AVERAGE('20250815_ETF_Options_Exhibits'!W99:W103),"")</f>
        <v/>
      </c>
      <c r="X103" s="3">
        <f>IF(ISNUMBER(AVERAGE('20250815_ETF_Options_Exhibits'!X99:X103)),AVERAGE('20250815_ETF_Options_Exhibits'!X99:X103),"")</f>
        <v/>
      </c>
      <c r="Y103" s="3">
        <f>IF(ISNUMBER(AVERAGE('20250815_ETF_Options_Exhibits'!Y99:Y103)),AVERAGE('20250815_ETF_Options_Exhibits'!Y99:Y103),"")</f>
        <v/>
      </c>
      <c r="Z103" s="3">
        <f>IF(ISNUMBER(AVERAGE('20250815_ETF_Options_Exhibits'!Z99:Z103)),AVERAGE('20250815_ETF_Options_Exhibits'!Z99:Z103),"")</f>
        <v/>
      </c>
      <c r="AA103" s="3">
        <f>IF(ISNUMBER(AVERAGE('20250815_ETF_Options_Exhibits'!AA99:AA103)),AVERAGE('20250815_ETF_Options_Exhibits'!AA99:AA103),"")</f>
        <v/>
      </c>
    </row>
    <row r="104">
      <c r="A104" s="1" t="n">
        <v>42153</v>
      </c>
      <c r="B104" s="3">
        <f>IF(ISNUMBER(AVERAGE('20250815_ETF_Options_Exhibits'!B100:B104)),AVERAGE('20250815_ETF_Options_Exhibits'!B100:B104),"")</f>
        <v/>
      </c>
      <c r="C104" s="3">
        <f>IF(ISNUMBER(AVERAGE('20250815_ETF_Options_Exhibits'!C100:C104)),AVERAGE('20250815_ETF_Options_Exhibits'!C100:C104),"")</f>
        <v/>
      </c>
      <c r="D104" s="3">
        <f>IF(ISNUMBER(AVERAGE('20250815_ETF_Options_Exhibits'!D100:D104)),AVERAGE('20250815_ETF_Options_Exhibits'!D100:D104),"")</f>
        <v/>
      </c>
      <c r="E104" s="3">
        <f>IF(ISNUMBER(AVERAGE('20250815_ETF_Options_Exhibits'!E100:E104)),AVERAGE('20250815_ETF_Options_Exhibits'!E100:E104),"")</f>
        <v/>
      </c>
      <c r="F104" s="3">
        <f>IF(ISNUMBER(AVERAGE('20250815_ETF_Options_Exhibits'!F100:F104)),AVERAGE('20250815_ETF_Options_Exhibits'!F100:F104),"")</f>
        <v/>
      </c>
      <c r="G104" s="3">
        <f>IF(ISNUMBER(AVERAGE('20250815_ETF_Options_Exhibits'!G100:G104)),AVERAGE('20250815_ETF_Options_Exhibits'!G100:G104),"")</f>
        <v/>
      </c>
      <c r="H104" s="3">
        <f>IF(ISNUMBER(AVERAGE('20250815_ETF_Options_Exhibits'!H100:H104)),AVERAGE('20250815_ETF_Options_Exhibits'!H100:H104),"")</f>
        <v/>
      </c>
      <c r="I104" s="3">
        <f>IF(ISNUMBER(AVERAGE('20250815_ETF_Options_Exhibits'!I100:I104)),AVERAGE('20250815_ETF_Options_Exhibits'!I100:I104),"")</f>
        <v/>
      </c>
      <c r="J104" s="3">
        <f>IF(ISNUMBER(AVERAGE('20250815_ETF_Options_Exhibits'!J100:J104)),AVERAGE('20250815_ETF_Options_Exhibits'!J100:J104),"")</f>
        <v/>
      </c>
      <c r="K104" s="3">
        <f>IF(ISNUMBER(AVERAGE('20250815_ETF_Options_Exhibits'!K100:K104)),AVERAGE('20250815_ETF_Options_Exhibits'!K100:K104),"")</f>
        <v/>
      </c>
      <c r="L104" s="3">
        <f>IF(ISNUMBER(AVERAGE('20250815_ETF_Options_Exhibits'!L100:L104)),AVERAGE('20250815_ETF_Options_Exhibits'!L100:L104),"")</f>
        <v/>
      </c>
      <c r="M104" s="3">
        <f>IF(ISNUMBER(AVERAGE('20250815_ETF_Options_Exhibits'!M100:M104)),AVERAGE('20250815_ETF_Options_Exhibits'!M100:M104),"")</f>
        <v/>
      </c>
      <c r="N104" s="3">
        <f>IF(ISNUMBER(AVERAGE('20250815_ETF_Options_Exhibits'!N100:N104)),AVERAGE('20250815_ETF_Options_Exhibits'!N100:N104),"")</f>
        <v/>
      </c>
      <c r="O104" s="3">
        <f>IF(ISNUMBER(AVERAGE('20250815_ETF_Options_Exhibits'!O100:O104)),AVERAGE('20250815_ETF_Options_Exhibits'!O100:O104),"")</f>
        <v/>
      </c>
      <c r="P104" s="3">
        <f>IF(ISNUMBER(AVERAGE('20250815_ETF_Options_Exhibits'!P100:P104)),AVERAGE('20250815_ETF_Options_Exhibits'!P100:P104),"")</f>
        <v/>
      </c>
      <c r="Q104" s="3">
        <f>IF(ISNUMBER(AVERAGE('20250815_ETF_Options_Exhibits'!Q100:Q104)),AVERAGE('20250815_ETF_Options_Exhibits'!Q100:Q104),"")</f>
        <v/>
      </c>
      <c r="R104" s="3">
        <f>IF(ISNUMBER(AVERAGE('20250815_ETF_Options_Exhibits'!R100:R104)),AVERAGE('20250815_ETF_Options_Exhibits'!R100:R104),"")</f>
        <v/>
      </c>
      <c r="S104" s="3">
        <f>IF(ISNUMBER(AVERAGE('20250815_ETF_Options_Exhibits'!S100:S104)),AVERAGE('20250815_ETF_Options_Exhibits'!S100:S104),"")</f>
        <v/>
      </c>
      <c r="T104" s="3">
        <f>IF(ISNUMBER(AVERAGE('20250815_ETF_Options_Exhibits'!T100:T104)),AVERAGE('20250815_ETF_Options_Exhibits'!T100:T104),"")</f>
        <v/>
      </c>
      <c r="U104" s="3">
        <f>IF(ISNUMBER(AVERAGE('20250815_ETF_Options_Exhibits'!U100:U104)),AVERAGE('20250815_ETF_Options_Exhibits'!U100:U104),"")</f>
        <v/>
      </c>
      <c r="V104" s="3">
        <f>IF(ISNUMBER(AVERAGE('20250815_ETF_Options_Exhibits'!V100:V104)),AVERAGE('20250815_ETF_Options_Exhibits'!V100:V104),"")</f>
        <v/>
      </c>
      <c r="W104" s="3">
        <f>IF(ISNUMBER(AVERAGE('20250815_ETF_Options_Exhibits'!W100:W104)),AVERAGE('20250815_ETF_Options_Exhibits'!W100:W104),"")</f>
        <v/>
      </c>
      <c r="X104" s="3">
        <f>IF(ISNUMBER(AVERAGE('20250815_ETF_Options_Exhibits'!X100:X104)),AVERAGE('20250815_ETF_Options_Exhibits'!X100:X104),"")</f>
        <v/>
      </c>
      <c r="Y104" s="3">
        <f>IF(ISNUMBER(AVERAGE('20250815_ETF_Options_Exhibits'!Y100:Y104)),AVERAGE('20250815_ETF_Options_Exhibits'!Y100:Y104),"")</f>
        <v/>
      </c>
      <c r="Z104" s="3">
        <f>IF(ISNUMBER(AVERAGE('20250815_ETF_Options_Exhibits'!Z100:Z104)),AVERAGE('20250815_ETF_Options_Exhibits'!Z100:Z104),"")</f>
        <v/>
      </c>
      <c r="AA104" s="3">
        <f>IF(ISNUMBER(AVERAGE('20250815_ETF_Options_Exhibits'!AA100:AA104)),AVERAGE('20250815_ETF_Options_Exhibits'!AA100:AA104),"")</f>
        <v/>
      </c>
    </row>
    <row r="105">
      <c r="A105" s="1" t="n">
        <v>42156</v>
      </c>
      <c r="B105" s="3">
        <f>IF(ISNUMBER(AVERAGE('20250815_ETF_Options_Exhibits'!B101:B105)),AVERAGE('20250815_ETF_Options_Exhibits'!B101:B105),"")</f>
        <v/>
      </c>
      <c r="C105" s="3">
        <f>IF(ISNUMBER(AVERAGE('20250815_ETF_Options_Exhibits'!C101:C105)),AVERAGE('20250815_ETF_Options_Exhibits'!C101:C105),"")</f>
        <v/>
      </c>
      <c r="D105" s="3">
        <f>IF(ISNUMBER(AVERAGE('20250815_ETF_Options_Exhibits'!D101:D105)),AVERAGE('20250815_ETF_Options_Exhibits'!D101:D105),"")</f>
        <v/>
      </c>
      <c r="E105" s="3">
        <f>IF(ISNUMBER(AVERAGE('20250815_ETF_Options_Exhibits'!E101:E105)),AVERAGE('20250815_ETF_Options_Exhibits'!E101:E105),"")</f>
        <v/>
      </c>
      <c r="F105" s="3">
        <f>IF(ISNUMBER(AVERAGE('20250815_ETF_Options_Exhibits'!F101:F105)),AVERAGE('20250815_ETF_Options_Exhibits'!F101:F105),"")</f>
        <v/>
      </c>
      <c r="G105" s="3">
        <f>IF(ISNUMBER(AVERAGE('20250815_ETF_Options_Exhibits'!G101:G105)),AVERAGE('20250815_ETF_Options_Exhibits'!G101:G105),"")</f>
        <v/>
      </c>
      <c r="H105" s="3">
        <f>IF(ISNUMBER(AVERAGE('20250815_ETF_Options_Exhibits'!H101:H105)),AVERAGE('20250815_ETF_Options_Exhibits'!H101:H105),"")</f>
        <v/>
      </c>
      <c r="I105" s="3">
        <f>IF(ISNUMBER(AVERAGE('20250815_ETF_Options_Exhibits'!I101:I105)),AVERAGE('20250815_ETF_Options_Exhibits'!I101:I105),"")</f>
        <v/>
      </c>
      <c r="J105" s="3">
        <f>IF(ISNUMBER(AVERAGE('20250815_ETF_Options_Exhibits'!J101:J105)),AVERAGE('20250815_ETF_Options_Exhibits'!J101:J105),"")</f>
        <v/>
      </c>
      <c r="K105" s="3">
        <f>IF(ISNUMBER(AVERAGE('20250815_ETF_Options_Exhibits'!K101:K105)),AVERAGE('20250815_ETF_Options_Exhibits'!K101:K105),"")</f>
        <v/>
      </c>
      <c r="L105" s="3">
        <f>IF(ISNUMBER(AVERAGE('20250815_ETF_Options_Exhibits'!L101:L105)),AVERAGE('20250815_ETF_Options_Exhibits'!L101:L105),"")</f>
        <v/>
      </c>
      <c r="M105" s="3">
        <f>IF(ISNUMBER(AVERAGE('20250815_ETF_Options_Exhibits'!M101:M105)),AVERAGE('20250815_ETF_Options_Exhibits'!M101:M105),"")</f>
        <v/>
      </c>
      <c r="N105" s="3">
        <f>IF(ISNUMBER(AVERAGE('20250815_ETF_Options_Exhibits'!N101:N105)),AVERAGE('20250815_ETF_Options_Exhibits'!N101:N105),"")</f>
        <v/>
      </c>
      <c r="O105" s="3">
        <f>IF(ISNUMBER(AVERAGE('20250815_ETF_Options_Exhibits'!O101:O105)),AVERAGE('20250815_ETF_Options_Exhibits'!O101:O105),"")</f>
        <v/>
      </c>
      <c r="P105" s="3">
        <f>IF(ISNUMBER(AVERAGE('20250815_ETF_Options_Exhibits'!P101:P105)),AVERAGE('20250815_ETF_Options_Exhibits'!P101:P105),"")</f>
        <v/>
      </c>
      <c r="Q105" s="3">
        <f>IF(ISNUMBER(AVERAGE('20250815_ETF_Options_Exhibits'!Q101:Q105)),AVERAGE('20250815_ETF_Options_Exhibits'!Q101:Q105),"")</f>
        <v/>
      </c>
      <c r="R105" s="3">
        <f>IF(ISNUMBER(AVERAGE('20250815_ETF_Options_Exhibits'!R101:R105)),AVERAGE('20250815_ETF_Options_Exhibits'!R101:R105),"")</f>
        <v/>
      </c>
      <c r="S105" s="3">
        <f>IF(ISNUMBER(AVERAGE('20250815_ETF_Options_Exhibits'!S101:S105)),AVERAGE('20250815_ETF_Options_Exhibits'!S101:S105),"")</f>
        <v/>
      </c>
      <c r="T105" s="3">
        <f>IF(ISNUMBER(AVERAGE('20250815_ETF_Options_Exhibits'!T101:T105)),AVERAGE('20250815_ETF_Options_Exhibits'!T101:T105),"")</f>
        <v/>
      </c>
      <c r="U105" s="3">
        <f>IF(ISNUMBER(AVERAGE('20250815_ETF_Options_Exhibits'!U101:U105)),AVERAGE('20250815_ETF_Options_Exhibits'!U101:U105),"")</f>
        <v/>
      </c>
      <c r="V105" s="3">
        <f>IF(ISNUMBER(AVERAGE('20250815_ETF_Options_Exhibits'!V101:V105)),AVERAGE('20250815_ETF_Options_Exhibits'!V101:V105),"")</f>
        <v/>
      </c>
      <c r="W105" s="3">
        <f>IF(ISNUMBER(AVERAGE('20250815_ETF_Options_Exhibits'!W101:W105)),AVERAGE('20250815_ETF_Options_Exhibits'!W101:W105),"")</f>
        <v/>
      </c>
      <c r="X105" s="3">
        <f>IF(ISNUMBER(AVERAGE('20250815_ETF_Options_Exhibits'!X101:X105)),AVERAGE('20250815_ETF_Options_Exhibits'!X101:X105),"")</f>
        <v/>
      </c>
      <c r="Y105" s="3">
        <f>IF(ISNUMBER(AVERAGE('20250815_ETF_Options_Exhibits'!Y101:Y105)),AVERAGE('20250815_ETF_Options_Exhibits'!Y101:Y105),"")</f>
        <v/>
      </c>
      <c r="Z105" s="3">
        <f>IF(ISNUMBER(AVERAGE('20250815_ETF_Options_Exhibits'!Z101:Z105)),AVERAGE('20250815_ETF_Options_Exhibits'!Z101:Z105),"")</f>
        <v/>
      </c>
      <c r="AA105" s="3">
        <f>IF(ISNUMBER(AVERAGE('20250815_ETF_Options_Exhibits'!AA101:AA105)),AVERAGE('20250815_ETF_Options_Exhibits'!AA101:AA105),"")</f>
        <v/>
      </c>
    </row>
    <row r="106">
      <c r="A106" s="1" t="n">
        <v>42157</v>
      </c>
      <c r="B106" s="3">
        <f>IF(ISNUMBER(AVERAGE('20250815_ETF_Options_Exhibits'!B102:B106)),AVERAGE('20250815_ETF_Options_Exhibits'!B102:B106),"")</f>
        <v/>
      </c>
      <c r="C106" s="3">
        <f>IF(ISNUMBER(AVERAGE('20250815_ETF_Options_Exhibits'!C102:C106)),AVERAGE('20250815_ETF_Options_Exhibits'!C102:C106),"")</f>
        <v/>
      </c>
      <c r="D106" s="3">
        <f>IF(ISNUMBER(AVERAGE('20250815_ETF_Options_Exhibits'!D102:D106)),AVERAGE('20250815_ETF_Options_Exhibits'!D102:D106),"")</f>
        <v/>
      </c>
      <c r="E106" s="3">
        <f>IF(ISNUMBER(AVERAGE('20250815_ETF_Options_Exhibits'!E102:E106)),AVERAGE('20250815_ETF_Options_Exhibits'!E102:E106),"")</f>
        <v/>
      </c>
      <c r="F106" s="3">
        <f>IF(ISNUMBER(AVERAGE('20250815_ETF_Options_Exhibits'!F102:F106)),AVERAGE('20250815_ETF_Options_Exhibits'!F102:F106),"")</f>
        <v/>
      </c>
      <c r="G106" s="3">
        <f>IF(ISNUMBER(AVERAGE('20250815_ETF_Options_Exhibits'!G102:G106)),AVERAGE('20250815_ETF_Options_Exhibits'!G102:G106),"")</f>
        <v/>
      </c>
      <c r="H106" s="3">
        <f>IF(ISNUMBER(AVERAGE('20250815_ETF_Options_Exhibits'!H102:H106)),AVERAGE('20250815_ETF_Options_Exhibits'!H102:H106),"")</f>
        <v/>
      </c>
      <c r="I106" s="3">
        <f>IF(ISNUMBER(AVERAGE('20250815_ETF_Options_Exhibits'!I102:I106)),AVERAGE('20250815_ETF_Options_Exhibits'!I102:I106),"")</f>
        <v/>
      </c>
      <c r="J106" s="3">
        <f>IF(ISNUMBER(AVERAGE('20250815_ETF_Options_Exhibits'!J102:J106)),AVERAGE('20250815_ETF_Options_Exhibits'!J102:J106),"")</f>
        <v/>
      </c>
      <c r="K106" s="3">
        <f>IF(ISNUMBER(AVERAGE('20250815_ETF_Options_Exhibits'!K102:K106)),AVERAGE('20250815_ETF_Options_Exhibits'!K102:K106),"")</f>
        <v/>
      </c>
      <c r="L106" s="3">
        <f>IF(ISNUMBER(AVERAGE('20250815_ETF_Options_Exhibits'!L102:L106)),AVERAGE('20250815_ETF_Options_Exhibits'!L102:L106),"")</f>
        <v/>
      </c>
      <c r="M106" s="3">
        <f>IF(ISNUMBER(AVERAGE('20250815_ETF_Options_Exhibits'!M102:M106)),AVERAGE('20250815_ETF_Options_Exhibits'!M102:M106),"")</f>
        <v/>
      </c>
      <c r="N106" s="3">
        <f>IF(ISNUMBER(AVERAGE('20250815_ETF_Options_Exhibits'!N102:N106)),AVERAGE('20250815_ETF_Options_Exhibits'!N102:N106),"")</f>
        <v/>
      </c>
      <c r="O106" s="3">
        <f>IF(ISNUMBER(AVERAGE('20250815_ETF_Options_Exhibits'!O102:O106)),AVERAGE('20250815_ETF_Options_Exhibits'!O102:O106),"")</f>
        <v/>
      </c>
      <c r="P106" s="3">
        <f>IF(ISNUMBER(AVERAGE('20250815_ETF_Options_Exhibits'!P102:P106)),AVERAGE('20250815_ETF_Options_Exhibits'!P102:P106),"")</f>
        <v/>
      </c>
      <c r="Q106" s="3">
        <f>IF(ISNUMBER(AVERAGE('20250815_ETF_Options_Exhibits'!Q102:Q106)),AVERAGE('20250815_ETF_Options_Exhibits'!Q102:Q106),"")</f>
        <v/>
      </c>
      <c r="R106" s="3">
        <f>IF(ISNUMBER(AVERAGE('20250815_ETF_Options_Exhibits'!R102:R106)),AVERAGE('20250815_ETF_Options_Exhibits'!R102:R106),"")</f>
        <v/>
      </c>
      <c r="S106" s="3">
        <f>IF(ISNUMBER(AVERAGE('20250815_ETF_Options_Exhibits'!S102:S106)),AVERAGE('20250815_ETF_Options_Exhibits'!S102:S106),"")</f>
        <v/>
      </c>
      <c r="T106" s="3">
        <f>IF(ISNUMBER(AVERAGE('20250815_ETF_Options_Exhibits'!T102:T106)),AVERAGE('20250815_ETF_Options_Exhibits'!T102:T106),"")</f>
        <v/>
      </c>
      <c r="U106" s="3">
        <f>IF(ISNUMBER(AVERAGE('20250815_ETF_Options_Exhibits'!U102:U106)),AVERAGE('20250815_ETF_Options_Exhibits'!U102:U106),"")</f>
        <v/>
      </c>
      <c r="V106" s="3">
        <f>IF(ISNUMBER(AVERAGE('20250815_ETF_Options_Exhibits'!V102:V106)),AVERAGE('20250815_ETF_Options_Exhibits'!V102:V106),"")</f>
        <v/>
      </c>
      <c r="W106" s="3">
        <f>IF(ISNUMBER(AVERAGE('20250815_ETF_Options_Exhibits'!W102:W106)),AVERAGE('20250815_ETF_Options_Exhibits'!W102:W106),"")</f>
        <v/>
      </c>
      <c r="X106" s="3">
        <f>IF(ISNUMBER(AVERAGE('20250815_ETF_Options_Exhibits'!X102:X106)),AVERAGE('20250815_ETF_Options_Exhibits'!X102:X106),"")</f>
        <v/>
      </c>
      <c r="Y106" s="3">
        <f>IF(ISNUMBER(AVERAGE('20250815_ETF_Options_Exhibits'!Y102:Y106)),AVERAGE('20250815_ETF_Options_Exhibits'!Y102:Y106),"")</f>
        <v/>
      </c>
      <c r="Z106" s="3">
        <f>IF(ISNUMBER(AVERAGE('20250815_ETF_Options_Exhibits'!Z102:Z106)),AVERAGE('20250815_ETF_Options_Exhibits'!Z102:Z106),"")</f>
        <v/>
      </c>
      <c r="AA106" s="3">
        <f>IF(ISNUMBER(AVERAGE('20250815_ETF_Options_Exhibits'!AA102:AA106)),AVERAGE('20250815_ETF_Options_Exhibits'!AA102:AA106),"")</f>
        <v/>
      </c>
    </row>
    <row r="107">
      <c r="A107" s="1" t="n">
        <v>42158</v>
      </c>
      <c r="B107" s="3">
        <f>IF(ISNUMBER(AVERAGE('20250815_ETF_Options_Exhibits'!B103:B107)),AVERAGE('20250815_ETF_Options_Exhibits'!B103:B107),"")</f>
        <v/>
      </c>
      <c r="C107" s="3">
        <f>IF(ISNUMBER(AVERAGE('20250815_ETF_Options_Exhibits'!C103:C107)),AVERAGE('20250815_ETF_Options_Exhibits'!C103:C107),"")</f>
        <v/>
      </c>
      <c r="D107" s="3">
        <f>IF(ISNUMBER(AVERAGE('20250815_ETF_Options_Exhibits'!D103:D107)),AVERAGE('20250815_ETF_Options_Exhibits'!D103:D107),"")</f>
        <v/>
      </c>
      <c r="E107" s="3">
        <f>IF(ISNUMBER(AVERAGE('20250815_ETF_Options_Exhibits'!E103:E107)),AVERAGE('20250815_ETF_Options_Exhibits'!E103:E107),"")</f>
        <v/>
      </c>
      <c r="F107" s="3">
        <f>IF(ISNUMBER(AVERAGE('20250815_ETF_Options_Exhibits'!F103:F107)),AVERAGE('20250815_ETF_Options_Exhibits'!F103:F107),"")</f>
        <v/>
      </c>
      <c r="G107" s="3">
        <f>IF(ISNUMBER(AVERAGE('20250815_ETF_Options_Exhibits'!G103:G107)),AVERAGE('20250815_ETF_Options_Exhibits'!G103:G107),"")</f>
        <v/>
      </c>
      <c r="H107" s="3">
        <f>IF(ISNUMBER(AVERAGE('20250815_ETF_Options_Exhibits'!H103:H107)),AVERAGE('20250815_ETF_Options_Exhibits'!H103:H107),"")</f>
        <v/>
      </c>
      <c r="I107" s="3">
        <f>IF(ISNUMBER(AVERAGE('20250815_ETF_Options_Exhibits'!I103:I107)),AVERAGE('20250815_ETF_Options_Exhibits'!I103:I107),"")</f>
        <v/>
      </c>
      <c r="J107" s="3">
        <f>IF(ISNUMBER(AVERAGE('20250815_ETF_Options_Exhibits'!J103:J107)),AVERAGE('20250815_ETF_Options_Exhibits'!J103:J107),"")</f>
        <v/>
      </c>
      <c r="K107" s="3">
        <f>IF(ISNUMBER(AVERAGE('20250815_ETF_Options_Exhibits'!K103:K107)),AVERAGE('20250815_ETF_Options_Exhibits'!K103:K107),"")</f>
        <v/>
      </c>
      <c r="L107" s="3">
        <f>IF(ISNUMBER(AVERAGE('20250815_ETF_Options_Exhibits'!L103:L107)),AVERAGE('20250815_ETF_Options_Exhibits'!L103:L107),"")</f>
        <v/>
      </c>
      <c r="M107" s="3">
        <f>IF(ISNUMBER(AVERAGE('20250815_ETF_Options_Exhibits'!M103:M107)),AVERAGE('20250815_ETF_Options_Exhibits'!M103:M107),"")</f>
        <v/>
      </c>
      <c r="N107" s="3">
        <f>IF(ISNUMBER(AVERAGE('20250815_ETF_Options_Exhibits'!N103:N107)),AVERAGE('20250815_ETF_Options_Exhibits'!N103:N107),"")</f>
        <v/>
      </c>
      <c r="O107" s="3">
        <f>IF(ISNUMBER(AVERAGE('20250815_ETF_Options_Exhibits'!O103:O107)),AVERAGE('20250815_ETF_Options_Exhibits'!O103:O107),"")</f>
        <v/>
      </c>
      <c r="P107" s="3">
        <f>IF(ISNUMBER(AVERAGE('20250815_ETF_Options_Exhibits'!P103:P107)),AVERAGE('20250815_ETF_Options_Exhibits'!P103:P107),"")</f>
        <v/>
      </c>
      <c r="Q107" s="3">
        <f>IF(ISNUMBER(AVERAGE('20250815_ETF_Options_Exhibits'!Q103:Q107)),AVERAGE('20250815_ETF_Options_Exhibits'!Q103:Q107),"")</f>
        <v/>
      </c>
      <c r="R107" s="3">
        <f>IF(ISNUMBER(AVERAGE('20250815_ETF_Options_Exhibits'!R103:R107)),AVERAGE('20250815_ETF_Options_Exhibits'!R103:R107),"")</f>
        <v/>
      </c>
      <c r="S107" s="3">
        <f>IF(ISNUMBER(AVERAGE('20250815_ETF_Options_Exhibits'!S103:S107)),AVERAGE('20250815_ETF_Options_Exhibits'!S103:S107),"")</f>
        <v/>
      </c>
      <c r="T107" s="3">
        <f>IF(ISNUMBER(AVERAGE('20250815_ETF_Options_Exhibits'!T103:T107)),AVERAGE('20250815_ETF_Options_Exhibits'!T103:T107),"")</f>
        <v/>
      </c>
      <c r="U107" s="3">
        <f>IF(ISNUMBER(AVERAGE('20250815_ETF_Options_Exhibits'!U103:U107)),AVERAGE('20250815_ETF_Options_Exhibits'!U103:U107),"")</f>
        <v/>
      </c>
      <c r="V107" s="3">
        <f>IF(ISNUMBER(AVERAGE('20250815_ETF_Options_Exhibits'!V103:V107)),AVERAGE('20250815_ETF_Options_Exhibits'!V103:V107),"")</f>
        <v/>
      </c>
      <c r="W107" s="3">
        <f>IF(ISNUMBER(AVERAGE('20250815_ETF_Options_Exhibits'!W103:W107)),AVERAGE('20250815_ETF_Options_Exhibits'!W103:W107),"")</f>
        <v/>
      </c>
      <c r="X107" s="3">
        <f>IF(ISNUMBER(AVERAGE('20250815_ETF_Options_Exhibits'!X103:X107)),AVERAGE('20250815_ETF_Options_Exhibits'!X103:X107),"")</f>
        <v/>
      </c>
      <c r="Y107" s="3">
        <f>IF(ISNUMBER(AVERAGE('20250815_ETF_Options_Exhibits'!Y103:Y107)),AVERAGE('20250815_ETF_Options_Exhibits'!Y103:Y107),"")</f>
        <v/>
      </c>
      <c r="Z107" s="3">
        <f>IF(ISNUMBER(AVERAGE('20250815_ETF_Options_Exhibits'!Z103:Z107)),AVERAGE('20250815_ETF_Options_Exhibits'!Z103:Z107),"")</f>
        <v/>
      </c>
      <c r="AA107" s="3">
        <f>IF(ISNUMBER(AVERAGE('20250815_ETF_Options_Exhibits'!AA103:AA107)),AVERAGE('20250815_ETF_Options_Exhibits'!AA103:AA107),"")</f>
        <v/>
      </c>
    </row>
    <row r="108">
      <c r="A108" s="1" t="n">
        <v>42159</v>
      </c>
      <c r="B108" s="3">
        <f>IF(ISNUMBER(AVERAGE('20250815_ETF_Options_Exhibits'!B104:B108)),AVERAGE('20250815_ETF_Options_Exhibits'!B104:B108),"")</f>
        <v/>
      </c>
      <c r="C108" s="3">
        <f>IF(ISNUMBER(AVERAGE('20250815_ETF_Options_Exhibits'!C104:C108)),AVERAGE('20250815_ETF_Options_Exhibits'!C104:C108),"")</f>
        <v/>
      </c>
      <c r="D108" s="3">
        <f>IF(ISNUMBER(AVERAGE('20250815_ETF_Options_Exhibits'!D104:D108)),AVERAGE('20250815_ETF_Options_Exhibits'!D104:D108),"")</f>
        <v/>
      </c>
      <c r="E108" s="3">
        <f>IF(ISNUMBER(AVERAGE('20250815_ETF_Options_Exhibits'!E104:E108)),AVERAGE('20250815_ETF_Options_Exhibits'!E104:E108),"")</f>
        <v/>
      </c>
      <c r="F108" s="3">
        <f>IF(ISNUMBER(AVERAGE('20250815_ETF_Options_Exhibits'!F104:F108)),AVERAGE('20250815_ETF_Options_Exhibits'!F104:F108),"")</f>
        <v/>
      </c>
      <c r="G108" s="3">
        <f>IF(ISNUMBER(AVERAGE('20250815_ETF_Options_Exhibits'!G104:G108)),AVERAGE('20250815_ETF_Options_Exhibits'!G104:G108),"")</f>
        <v/>
      </c>
      <c r="H108" s="3">
        <f>IF(ISNUMBER(AVERAGE('20250815_ETF_Options_Exhibits'!H104:H108)),AVERAGE('20250815_ETF_Options_Exhibits'!H104:H108),"")</f>
        <v/>
      </c>
      <c r="I108" s="3">
        <f>IF(ISNUMBER(AVERAGE('20250815_ETF_Options_Exhibits'!I104:I108)),AVERAGE('20250815_ETF_Options_Exhibits'!I104:I108),"")</f>
        <v/>
      </c>
      <c r="J108" s="3">
        <f>IF(ISNUMBER(AVERAGE('20250815_ETF_Options_Exhibits'!J104:J108)),AVERAGE('20250815_ETF_Options_Exhibits'!J104:J108),"")</f>
        <v/>
      </c>
      <c r="K108" s="3">
        <f>IF(ISNUMBER(AVERAGE('20250815_ETF_Options_Exhibits'!K104:K108)),AVERAGE('20250815_ETF_Options_Exhibits'!K104:K108),"")</f>
        <v/>
      </c>
      <c r="L108" s="3">
        <f>IF(ISNUMBER(AVERAGE('20250815_ETF_Options_Exhibits'!L104:L108)),AVERAGE('20250815_ETF_Options_Exhibits'!L104:L108),"")</f>
        <v/>
      </c>
      <c r="M108" s="3">
        <f>IF(ISNUMBER(AVERAGE('20250815_ETF_Options_Exhibits'!M104:M108)),AVERAGE('20250815_ETF_Options_Exhibits'!M104:M108),"")</f>
        <v/>
      </c>
      <c r="N108" s="3">
        <f>IF(ISNUMBER(AVERAGE('20250815_ETF_Options_Exhibits'!N104:N108)),AVERAGE('20250815_ETF_Options_Exhibits'!N104:N108),"")</f>
        <v/>
      </c>
      <c r="O108" s="3">
        <f>IF(ISNUMBER(AVERAGE('20250815_ETF_Options_Exhibits'!O104:O108)),AVERAGE('20250815_ETF_Options_Exhibits'!O104:O108),"")</f>
        <v/>
      </c>
      <c r="P108" s="3">
        <f>IF(ISNUMBER(AVERAGE('20250815_ETF_Options_Exhibits'!P104:P108)),AVERAGE('20250815_ETF_Options_Exhibits'!P104:P108),"")</f>
        <v/>
      </c>
      <c r="Q108" s="3">
        <f>IF(ISNUMBER(AVERAGE('20250815_ETF_Options_Exhibits'!Q104:Q108)),AVERAGE('20250815_ETF_Options_Exhibits'!Q104:Q108),"")</f>
        <v/>
      </c>
      <c r="R108" s="3">
        <f>IF(ISNUMBER(AVERAGE('20250815_ETF_Options_Exhibits'!R104:R108)),AVERAGE('20250815_ETF_Options_Exhibits'!R104:R108),"")</f>
        <v/>
      </c>
      <c r="S108" s="3">
        <f>IF(ISNUMBER(AVERAGE('20250815_ETF_Options_Exhibits'!S104:S108)),AVERAGE('20250815_ETF_Options_Exhibits'!S104:S108),"")</f>
        <v/>
      </c>
      <c r="T108" s="3">
        <f>IF(ISNUMBER(AVERAGE('20250815_ETF_Options_Exhibits'!T104:T108)),AVERAGE('20250815_ETF_Options_Exhibits'!T104:T108),"")</f>
        <v/>
      </c>
      <c r="U108" s="3">
        <f>IF(ISNUMBER(AVERAGE('20250815_ETF_Options_Exhibits'!U104:U108)),AVERAGE('20250815_ETF_Options_Exhibits'!U104:U108),"")</f>
        <v/>
      </c>
      <c r="V108" s="3">
        <f>IF(ISNUMBER(AVERAGE('20250815_ETF_Options_Exhibits'!V104:V108)),AVERAGE('20250815_ETF_Options_Exhibits'!V104:V108),"")</f>
        <v/>
      </c>
      <c r="W108" s="3">
        <f>IF(ISNUMBER(AVERAGE('20250815_ETF_Options_Exhibits'!W104:W108)),AVERAGE('20250815_ETF_Options_Exhibits'!W104:W108),"")</f>
        <v/>
      </c>
      <c r="X108" s="3">
        <f>IF(ISNUMBER(AVERAGE('20250815_ETF_Options_Exhibits'!X104:X108)),AVERAGE('20250815_ETF_Options_Exhibits'!X104:X108),"")</f>
        <v/>
      </c>
      <c r="Y108" s="3">
        <f>IF(ISNUMBER(AVERAGE('20250815_ETF_Options_Exhibits'!Y104:Y108)),AVERAGE('20250815_ETF_Options_Exhibits'!Y104:Y108),"")</f>
        <v/>
      </c>
      <c r="Z108" s="3">
        <f>IF(ISNUMBER(AVERAGE('20250815_ETF_Options_Exhibits'!Z104:Z108)),AVERAGE('20250815_ETF_Options_Exhibits'!Z104:Z108),"")</f>
        <v/>
      </c>
      <c r="AA108" s="3">
        <f>IF(ISNUMBER(AVERAGE('20250815_ETF_Options_Exhibits'!AA104:AA108)),AVERAGE('20250815_ETF_Options_Exhibits'!AA104:AA108),"")</f>
        <v/>
      </c>
    </row>
    <row r="109">
      <c r="A109" s="1" t="n">
        <v>42160</v>
      </c>
      <c r="B109" s="3">
        <f>IF(ISNUMBER(AVERAGE('20250815_ETF_Options_Exhibits'!B105:B109)),AVERAGE('20250815_ETF_Options_Exhibits'!B105:B109),"")</f>
        <v/>
      </c>
      <c r="C109" s="3">
        <f>IF(ISNUMBER(AVERAGE('20250815_ETF_Options_Exhibits'!C105:C109)),AVERAGE('20250815_ETF_Options_Exhibits'!C105:C109),"")</f>
        <v/>
      </c>
      <c r="D109" s="3">
        <f>IF(ISNUMBER(AVERAGE('20250815_ETF_Options_Exhibits'!D105:D109)),AVERAGE('20250815_ETF_Options_Exhibits'!D105:D109),"")</f>
        <v/>
      </c>
      <c r="E109" s="3">
        <f>IF(ISNUMBER(AVERAGE('20250815_ETF_Options_Exhibits'!E105:E109)),AVERAGE('20250815_ETF_Options_Exhibits'!E105:E109),"")</f>
        <v/>
      </c>
      <c r="F109" s="3">
        <f>IF(ISNUMBER(AVERAGE('20250815_ETF_Options_Exhibits'!F105:F109)),AVERAGE('20250815_ETF_Options_Exhibits'!F105:F109),"")</f>
        <v/>
      </c>
      <c r="G109" s="3">
        <f>IF(ISNUMBER(AVERAGE('20250815_ETF_Options_Exhibits'!G105:G109)),AVERAGE('20250815_ETF_Options_Exhibits'!G105:G109),"")</f>
        <v/>
      </c>
      <c r="H109" s="3">
        <f>IF(ISNUMBER(AVERAGE('20250815_ETF_Options_Exhibits'!H105:H109)),AVERAGE('20250815_ETF_Options_Exhibits'!H105:H109),"")</f>
        <v/>
      </c>
      <c r="I109" s="3">
        <f>IF(ISNUMBER(AVERAGE('20250815_ETF_Options_Exhibits'!I105:I109)),AVERAGE('20250815_ETF_Options_Exhibits'!I105:I109),"")</f>
        <v/>
      </c>
      <c r="J109" s="3">
        <f>IF(ISNUMBER(AVERAGE('20250815_ETF_Options_Exhibits'!J105:J109)),AVERAGE('20250815_ETF_Options_Exhibits'!J105:J109),"")</f>
        <v/>
      </c>
      <c r="K109" s="3">
        <f>IF(ISNUMBER(AVERAGE('20250815_ETF_Options_Exhibits'!K105:K109)),AVERAGE('20250815_ETF_Options_Exhibits'!K105:K109),"")</f>
        <v/>
      </c>
      <c r="L109" s="3">
        <f>IF(ISNUMBER(AVERAGE('20250815_ETF_Options_Exhibits'!L105:L109)),AVERAGE('20250815_ETF_Options_Exhibits'!L105:L109),"")</f>
        <v/>
      </c>
      <c r="M109" s="3">
        <f>IF(ISNUMBER(AVERAGE('20250815_ETF_Options_Exhibits'!M105:M109)),AVERAGE('20250815_ETF_Options_Exhibits'!M105:M109),"")</f>
        <v/>
      </c>
      <c r="N109" s="3">
        <f>IF(ISNUMBER(AVERAGE('20250815_ETF_Options_Exhibits'!N105:N109)),AVERAGE('20250815_ETF_Options_Exhibits'!N105:N109),"")</f>
        <v/>
      </c>
      <c r="O109" s="3">
        <f>IF(ISNUMBER(AVERAGE('20250815_ETF_Options_Exhibits'!O105:O109)),AVERAGE('20250815_ETF_Options_Exhibits'!O105:O109),"")</f>
        <v/>
      </c>
      <c r="P109" s="3">
        <f>IF(ISNUMBER(AVERAGE('20250815_ETF_Options_Exhibits'!P105:P109)),AVERAGE('20250815_ETF_Options_Exhibits'!P105:P109),"")</f>
        <v/>
      </c>
      <c r="Q109" s="3">
        <f>IF(ISNUMBER(AVERAGE('20250815_ETF_Options_Exhibits'!Q105:Q109)),AVERAGE('20250815_ETF_Options_Exhibits'!Q105:Q109),"")</f>
        <v/>
      </c>
      <c r="R109" s="3">
        <f>IF(ISNUMBER(AVERAGE('20250815_ETF_Options_Exhibits'!R105:R109)),AVERAGE('20250815_ETF_Options_Exhibits'!R105:R109),"")</f>
        <v/>
      </c>
      <c r="S109" s="3">
        <f>IF(ISNUMBER(AVERAGE('20250815_ETF_Options_Exhibits'!S105:S109)),AVERAGE('20250815_ETF_Options_Exhibits'!S105:S109),"")</f>
        <v/>
      </c>
      <c r="T109" s="3">
        <f>IF(ISNUMBER(AVERAGE('20250815_ETF_Options_Exhibits'!T105:T109)),AVERAGE('20250815_ETF_Options_Exhibits'!T105:T109),"")</f>
        <v/>
      </c>
      <c r="U109" s="3">
        <f>IF(ISNUMBER(AVERAGE('20250815_ETF_Options_Exhibits'!U105:U109)),AVERAGE('20250815_ETF_Options_Exhibits'!U105:U109),"")</f>
        <v/>
      </c>
      <c r="V109" s="3">
        <f>IF(ISNUMBER(AVERAGE('20250815_ETF_Options_Exhibits'!V105:V109)),AVERAGE('20250815_ETF_Options_Exhibits'!V105:V109),"")</f>
        <v/>
      </c>
      <c r="W109" s="3">
        <f>IF(ISNUMBER(AVERAGE('20250815_ETF_Options_Exhibits'!W105:W109)),AVERAGE('20250815_ETF_Options_Exhibits'!W105:W109),"")</f>
        <v/>
      </c>
      <c r="X109" s="3">
        <f>IF(ISNUMBER(AVERAGE('20250815_ETF_Options_Exhibits'!X105:X109)),AVERAGE('20250815_ETF_Options_Exhibits'!X105:X109),"")</f>
        <v/>
      </c>
      <c r="Y109" s="3">
        <f>IF(ISNUMBER(AVERAGE('20250815_ETF_Options_Exhibits'!Y105:Y109)),AVERAGE('20250815_ETF_Options_Exhibits'!Y105:Y109),"")</f>
        <v/>
      </c>
      <c r="Z109" s="3">
        <f>IF(ISNUMBER(AVERAGE('20250815_ETF_Options_Exhibits'!Z105:Z109)),AVERAGE('20250815_ETF_Options_Exhibits'!Z105:Z109),"")</f>
        <v/>
      </c>
      <c r="AA109" s="3">
        <f>IF(ISNUMBER(AVERAGE('20250815_ETF_Options_Exhibits'!AA105:AA109)),AVERAGE('20250815_ETF_Options_Exhibits'!AA105:AA109),"")</f>
        <v/>
      </c>
    </row>
    <row r="110">
      <c r="A110" s="1" t="n">
        <v>42163</v>
      </c>
      <c r="B110" s="3">
        <f>IF(ISNUMBER(AVERAGE('20250815_ETF_Options_Exhibits'!B106:B110)),AVERAGE('20250815_ETF_Options_Exhibits'!B106:B110),"")</f>
        <v/>
      </c>
      <c r="C110" s="3">
        <f>IF(ISNUMBER(AVERAGE('20250815_ETF_Options_Exhibits'!C106:C110)),AVERAGE('20250815_ETF_Options_Exhibits'!C106:C110),"")</f>
        <v/>
      </c>
      <c r="D110" s="3">
        <f>IF(ISNUMBER(AVERAGE('20250815_ETF_Options_Exhibits'!D106:D110)),AVERAGE('20250815_ETF_Options_Exhibits'!D106:D110),"")</f>
        <v/>
      </c>
      <c r="E110" s="3">
        <f>IF(ISNUMBER(AVERAGE('20250815_ETF_Options_Exhibits'!E106:E110)),AVERAGE('20250815_ETF_Options_Exhibits'!E106:E110),"")</f>
        <v/>
      </c>
      <c r="F110" s="3">
        <f>IF(ISNUMBER(AVERAGE('20250815_ETF_Options_Exhibits'!F106:F110)),AVERAGE('20250815_ETF_Options_Exhibits'!F106:F110),"")</f>
        <v/>
      </c>
      <c r="G110" s="3">
        <f>IF(ISNUMBER(AVERAGE('20250815_ETF_Options_Exhibits'!G106:G110)),AVERAGE('20250815_ETF_Options_Exhibits'!G106:G110),"")</f>
        <v/>
      </c>
      <c r="H110" s="3">
        <f>IF(ISNUMBER(AVERAGE('20250815_ETF_Options_Exhibits'!H106:H110)),AVERAGE('20250815_ETF_Options_Exhibits'!H106:H110),"")</f>
        <v/>
      </c>
      <c r="I110" s="3">
        <f>IF(ISNUMBER(AVERAGE('20250815_ETF_Options_Exhibits'!I106:I110)),AVERAGE('20250815_ETF_Options_Exhibits'!I106:I110),"")</f>
        <v/>
      </c>
      <c r="J110" s="3">
        <f>IF(ISNUMBER(AVERAGE('20250815_ETF_Options_Exhibits'!J106:J110)),AVERAGE('20250815_ETF_Options_Exhibits'!J106:J110),"")</f>
        <v/>
      </c>
      <c r="K110" s="3">
        <f>IF(ISNUMBER(AVERAGE('20250815_ETF_Options_Exhibits'!K106:K110)),AVERAGE('20250815_ETF_Options_Exhibits'!K106:K110),"")</f>
        <v/>
      </c>
      <c r="L110" s="3">
        <f>IF(ISNUMBER(AVERAGE('20250815_ETF_Options_Exhibits'!L106:L110)),AVERAGE('20250815_ETF_Options_Exhibits'!L106:L110),"")</f>
        <v/>
      </c>
      <c r="M110" s="3">
        <f>IF(ISNUMBER(AVERAGE('20250815_ETF_Options_Exhibits'!M106:M110)),AVERAGE('20250815_ETF_Options_Exhibits'!M106:M110),"")</f>
        <v/>
      </c>
      <c r="N110" s="3">
        <f>IF(ISNUMBER(AVERAGE('20250815_ETF_Options_Exhibits'!N106:N110)),AVERAGE('20250815_ETF_Options_Exhibits'!N106:N110),"")</f>
        <v/>
      </c>
      <c r="O110" s="3">
        <f>IF(ISNUMBER(AVERAGE('20250815_ETF_Options_Exhibits'!O106:O110)),AVERAGE('20250815_ETF_Options_Exhibits'!O106:O110),"")</f>
        <v/>
      </c>
      <c r="P110" s="3">
        <f>IF(ISNUMBER(AVERAGE('20250815_ETF_Options_Exhibits'!P106:P110)),AVERAGE('20250815_ETF_Options_Exhibits'!P106:P110),"")</f>
        <v/>
      </c>
      <c r="Q110" s="3">
        <f>IF(ISNUMBER(AVERAGE('20250815_ETF_Options_Exhibits'!Q106:Q110)),AVERAGE('20250815_ETF_Options_Exhibits'!Q106:Q110),"")</f>
        <v/>
      </c>
      <c r="R110" s="3">
        <f>IF(ISNUMBER(AVERAGE('20250815_ETF_Options_Exhibits'!R106:R110)),AVERAGE('20250815_ETF_Options_Exhibits'!R106:R110),"")</f>
        <v/>
      </c>
      <c r="S110" s="3">
        <f>IF(ISNUMBER(AVERAGE('20250815_ETF_Options_Exhibits'!S106:S110)),AVERAGE('20250815_ETF_Options_Exhibits'!S106:S110),"")</f>
        <v/>
      </c>
      <c r="T110" s="3">
        <f>IF(ISNUMBER(AVERAGE('20250815_ETF_Options_Exhibits'!T106:T110)),AVERAGE('20250815_ETF_Options_Exhibits'!T106:T110),"")</f>
        <v/>
      </c>
      <c r="U110" s="3">
        <f>IF(ISNUMBER(AVERAGE('20250815_ETF_Options_Exhibits'!U106:U110)),AVERAGE('20250815_ETF_Options_Exhibits'!U106:U110),"")</f>
        <v/>
      </c>
      <c r="V110" s="3">
        <f>IF(ISNUMBER(AVERAGE('20250815_ETF_Options_Exhibits'!V106:V110)),AVERAGE('20250815_ETF_Options_Exhibits'!V106:V110),"")</f>
        <v/>
      </c>
      <c r="W110" s="3">
        <f>IF(ISNUMBER(AVERAGE('20250815_ETF_Options_Exhibits'!W106:W110)),AVERAGE('20250815_ETF_Options_Exhibits'!W106:W110),"")</f>
        <v/>
      </c>
      <c r="X110" s="3">
        <f>IF(ISNUMBER(AVERAGE('20250815_ETF_Options_Exhibits'!X106:X110)),AVERAGE('20250815_ETF_Options_Exhibits'!X106:X110),"")</f>
        <v/>
      </c>
      <c r="Y110" s="3">
        <f>IF(ISNUMBER(AVERAGE('20250815_ETF_Options_Exhibits'!Y106:Y110)),AVERAGE('20250815_ETF_Options_Exhibits'!Y106:Y110),"")</f>
        <v/>
      </c>
      <c r="Z110" s="3">
        <f>IF(ISNUMBER(AVERAGE('20250815_ETF_Options_Exhibits'!Z106:Z110)),AVERAGE('20250815_ETF_Options_Exhibits'!Z106:Z110),"")</f>
        <v/>
      </c>
      <c r="AA110" s="3">
        <f>IF(ISNUMBER(AVERAGE('20250815_ETF_Options_Exhibits'!AA106:AA110)),AVERAGE('20250815_ETF_Options_Exhibits'!AA106:AA110),"")</f>
        <v/>
      </c>
    </row>
    <row r="111">
      <c r="A111" s="1" t="n">
        <v>42164</v>
      </c>
      <c r="B111" s="3">
        <f>IF(ISNUMBER(AVERAGE('20250815_ETF_Options_Exhibits'!B107:B111)),AVERAGE('20250815_ETF_Options_Exhibits'!B107:B111),"")</f>
        <v/>
      </c>
      <c r="C111" s="3">
        <f>IF(ISNUMBER(AVERAGE('20250815_ETF_Options_Exhibits'!C107:C111)),AVERAGE('20250815_ETF_Options_Exhibits'!C107:C111),"")</f>
        <v/>
      </c>
      <c r="D111" s="3">
        <f>IF(ISNUMBER(AVERAGE('20250815_ETF_Options_Exhibits'!D107:D111)),AVERAGE('20250815_ETF_Options_Exhibits'!D107:D111),"")</f>
        <v/>
      </c>
      <c r="E111" s="3">
        <f>IF(ISNUMBER(AVERAGE('20250815_ETF_Options_Exhibits'!E107:E111)),AVERAGE('20250815_ETF_Options_Exhibits'!E107:E111),"")</f>
        <v/>
      </c>
      <c r="F111" s="3">
        <f>IF(ISNUMBER(AVERAGE('20250815_ETF_Options_Exhibits'!F107:F111)),AVERAGE('20250815_ETF_Options_Exhibits'!F107:F111),"")</f>
        <v/>
      </c>
      <c r="G111" s="3">
        <f>IF(ISNUMBER(AVERAGE('20250815_ETF_Options_Exhibits'!G107:G111)),AVERAGE('20250815_ETF_Options_Exhibits'!G107:G111),"")</f>
        <v/>
      </c>
      <c r="H111" s="3">
        <f>IF(ISNUMBER(AVERAGE('20250815_ETF_Options_Exhibits'!H107:H111)),AVERAGE('20250815_ETF_Options_Exhibits'!H107:H111),"")</f>
        <v/>
      </c>
      <c r="I111" s="3">
        <f>IF(ISNUMBER(AVERAGE('20250815_ETF_Options_Exhibits'!I107:I111)),AVERAGE('20250815_ETF_Options_Exhibits'!I107:I111),"")</f>
        <v/>
      </c>
      <c r="J111" s="3">
        <f>IF(ISNUMBER(AVERAGE('20250815_ETF_Options_Exhibits'!J107:J111)),AVERAGE('20250815_ETF_Options_Exhibits'!J107:J111),"")</f>
        <v/>
      </c>
      <c r="K111" s="3">
        <f>IF(ISNUMBER(AVERAGE('20250815_ETF_Options_Exhibits'!K107:K111)),AVERAGE('20250815_ETF_Options_Exhibits'!K107:K111),"")</f>
        <v/>
      </c>
      <c r="L111" s="3">
        <f>IF(ISNUMBER(AVERAGE('20250815_ETF_Options_Exhibits'!L107:L111)),AVERAGE('20250815_ETF_Options_Exhibits'!L107:L111),"")</f>
        <v/>
      </c>
      <c r="M111" s="3">
        <f>IF(ISNUMBER(AVERAGE('20250815_ETF_Options_Exhibits'!M107:M111)),AVERAGE('20250815_ETF_Options_Exhibits'!M107:M111),"")</f>
        <v/>
      </c>
      <c r="N111" s="3">
        <f>IF(ISNUMBER(AVERAGE('20250815_ETF_Options_Exhibits'!N107:N111)),AVERAGE('20250815_ETF_Options_Exhibits'!N107:N111),"")</f>
        <v/>
      </c>
      <c r="O111" s="3">
        <f>IF(ISNUMBER(AVERAGE('20250815_ETF_Options_Exhibits'!O107:O111)),AVERAGE('20250815_ETF_Options_Exhibits'!O107:O111),"")</f>
        <v/>
      </c>
      <c r="P111" s="3">
        <f>IF(ISNUMBER(AVERAGE('20250815_ETF_Options_Exhibits'!P107:P111)),AVERAGE('20250815_ETF_Options_Exhibits'!P107:P111),"")</f>
        <v/>
      </c>
      <c r="Q111" s="3">
        <f>IF(ISNUMBER(AVERAGE('20250815_ETF_Options_Exhibits'!Q107:Q111)),AVERAGE('20250815_ETF_Options_Exhibits'!Q107:Q111),"")</f>
        <v/>
      </c>
      <c r="R111" s="3">
        <f>IF(ISNUMBER(AVERAGE('20250815_ETF_Options_Exhibits'!R107:R111)),AVERAGE('20250815_ETF_Options_Exhibits'!R107:R111),"")</f>
        <v/>
      </c>
      <c r="S111" s="3">
        <f>IF(ISNUMBER(AVERAGE('20250815_ETF_Options_Exhibits'!S107:S111)),AVERAGE('20250815_ETF_Options_Exhibits'!S107:S111),"")</f>
        <v/>
      </c>
      <c r="T111" s="3">
        <f>IF(ISNUMBER(AVERAGE('20250815_ETF_Options_Exhibits'!T107:T111)),AVERAGE('20250815_ETF_Options_Exhibits'!T107:T111),"")</f>
        <v/>
      </c>
      <c r="U111" s="3">
        <f>IF(ISNUMBER(AVERAGE('20250815_ETF_Options_Exhibits'!U107:U111)),AVERAGE('20250815_ETF_Options_Exhibits'!U107:U111),"")</f>
        <v/>
      </c>
      <c r="V111" s="3">
        <f>IF(ISNUMBER(AVERAGE('20250815_ETF_Options_Exhibits'!V107:V111)),AVERAGE('20250815_ETF_Options_Exhibits'!V107:V111),"")</f>
        <v/>
      </c>
      <c r="W111" s="3">
        <f>IF(ISNUMBER(AVERAGE('20250815_ETF_Options_Exhibits'!W107:W111)),AVERAGE('20250815_ETF_Options_Exhibits'!W107:W111),"")</f>
        <v/>
      </c>
      <c r="X111" s="3">
        <f>IF(ISNUMBER(AVERAGE('20250815_ETF_Options_Exhibits'!X107:X111)),AVERAGE('20250815_ETF_Options_Exhibits'!X107:X111),"")</f>
        <v/>
      </c>
      <c r="Y111" s="3">
        <f>IF(ISNUMBER(AVERAGE('20250815_ETF_Options_Exhibits'!Y107:Y111)),AVERAGE('20250815_ETF_Options_Exhibits'!Y107:Y111),"")</f>
        <v/>
      </c>
      <c r="Z111" s="3">
        <f>IF(ISNUMBER(AVERAGE('20250815_ETF_Options_Exhibits'!Z107:Z111)),AVERAGE('20250815_ETF_Options_Exhibits'!Z107:Z111),"")</f>
        <v/>
      </c>
      <c r="AA111" s="3">
        <f>IF(ISNUMBER(AVERAGE('20250815_ETF_Options_Exhibits'!AA107:AA111)),AVERAGE('20250815_ETF_Options_Exhibits'!AA107:AA111),"")</f>
        <v/>
      </c>
    </row>
    <row r="112">
      <c r="A112" s="1" t="n">
        <v>42165</v>
      </c>
      <c r="B112" s="3">
        <f>IF(ISNUMBER(AVERAGE('20250815_ETF_Options_Exhibits'!B108:B112)),AVERAGE('20250815_ETF_Options_Exhibits'!B108:B112),"")</f>
        <v/>
      </c>
      <c r="C112" s="3">
        <f>IF(ISNUMBER(AVERAGE('20250815_ETF_Options_Exhibits'!C108:C112)),AVERAGE('20250815_ETF_Options_Exhibits'!C108:C112),"")</f>
        <v/>
      </c>
      <c r="D112" s="3">
        <f>IF(ISNUMBER(AVERAGE('20250815_ETF_Options_Exhibits'!D108:D112)),AVERAGE('20250815_ETF_Options_Exhibits'!D108:D112),"")</f>
        <v/>
      </c>
      <c r="E112" s="3">
        <f>IF(ISNUMBER(AVERAGE('20250815_ETF_Options_Exhibits'!E108:E112)),AVERAGE('20250815_ETF_Options_Exhibits'!E108:E112),"")</f>
        <v/>
      </c>
      <c r="F112" s="3">
        <f>IF(ISNUMBER(AVERAGE('20250815_ETF_Options_Exhibits'!F108:F112)),AVERAGE('20250815_ETF_Options_Exhibits'!F108:F112),"")</f>
        <v/>
      </c>
      <c r="G112" s="3">
        <f>IF(ISNUMBER(AVERAGE('20250815_ETF_Options_Exhibits'!G108:G112)),AVERAGE('20250815_ETF_Options_Exhibits'!G108:G112),"")</f>
        <v/>
      </c>
      <c r="H112" s="3">
        <f>IF(ISNUMBER(AVERAGE('20250815_ETF_Options_Exhibits'!H108:H112)),AVERAGE('20250815_ETF_Options_Exhibits'!H108:H112),"")</f>
        <v/>
      </c>
      <c r="I112" s="3">
        <f>IF(ISNUMBER(AVERAGE('20250815_ETF_Options_Exhibits'!I108:I112)),AVERAGE('20250815_ETF_Options_Exhibits'!I108:I112),"")</f>
        <v/>
      </c>
      <c r="J112" s="3">
        <f>IF(ISNUMBER(AVERAGE('20250815_ETF_Options_Exhibits'!J108:J112)),AVERAGE('20250815_ETF_Options_Exhibits'!J108:J112),"")</f>
        <v/>
      </c>
      <c r="K112" s="3">
        <f>IF(ISNUMBER(AVERAGE('20250815_ETF_Options_Exhibits'!K108:K112)),AVERAGE('20250815_ETF_Options_Exhibits'!K108:K112),"")</f>
        <v/>
      </c>
      <c r="L112" s="3">
        <f>IF(ISNUMBER(AVERAGE('20250815_ETF_Options_Exhibits'!L108:L112)),AVERAGE('20250815_ETF_Options_Exhibits'!L108:L112),"")</f>
        <v/>
      </c>
      <c r="M112" s="3">
        <f>IF(ISNUMBER(AVERAGE('20250815_ETF_Options_Exhibits'!M108:M112)),AVERAGE('20250815_ETF_Options_Exhibits'!M108:M112),"")</f>
        <v/>
      </c>
      <c r="N112" s="3">
        <f>IF(ISNUMBER(AVERAGE('20250815_ETF_Options_Exhibits'!N108:N112)),AVERAGE('20250815_ETF_Options_Exhibits'!N108:N112),"")</f>
        <v/>
      </c>
      <c r="O112" s="3">
        <f>IF(ISNUMBER(AVERAGE('20250815_ETF_Options_Exhibits'!O108:O112)),AVERAGE('20250815_ETF_Options_Exhibits'!O108:O112),"")</f>
        <v/>
      </c>
      <c r="P112" s="3">
        <f>IF(ISNUMBER(AVERAGE('20250815_ETF_Options_Exhibits'!P108:P112)),AVERAGE('20250815_ETF_Options_Exhibits'!P108:P112),"")</f>
        <v/>
      </c>
      <c r="Q112" s="3">
        <f>IF(ISNUMBER(AVERAGE('20250815_ETF_Options_Exhibits'!Q108:Q112)),AVERAGE('20250815_ETF_Options_Exhibits'!Q108:Q112),"")</f>
        <v/>
      </c>
      <c r="R112" s="3">
        <f>IF(ISNUMBER(AVERAGE('20250815_ETF_Options_Exhibits'!R108:R112)),AVERAGE('20250815_ETF_Options_Exhibits'!R108:R112),"")</f>
        <v/>
      </c>
      <c r="S112" s="3">
        <f>IF(ISNUMBER(AVERAGE('20250815_ETF_Options_Exhibits'!S108:S112)),AVERAGE('20250815_ETF_Options_Exhibits'!S108:S112),"")</f>
        <v/>
      </c>
      <c r="T112" s="3">
        <f>IF(ISNUMBER(AVERAGE('20250815_ETF_Options_Exhibits'!T108:T112)),AVERAGE('20250815_ETF_Options_Exhibits'!T108:T112),"")</f>
        <v/>
      </c>
      <c r="U112" s="3">
        <f>IF(ISNUMBER(AVERAGE('20250815_ETF_Options_Exhibits'!U108:U112)),AVERAGE('20250815_ETF_Options_Exhibits'!U108:U112),"")</f>
        <v/>
      </c>
      <c r="V112" s="3">
        <f>IF(ISNUMBER(AVERAGE('20250815_ETF_Options_Exhibits'!V108:V112)),AVERAGE('20250815_ETF_Options_Exhibits'!V108:V112),"")</f>
        <v/>
      </c>
      <c r="W112" s="3">
        <f>IF(ISNUMBER(AVERAGE('20250815_ETF_Options_Exhibits'!W108:W112)),AVERAGE('20250815_ETF_Options_Exhibits'!W108:W112),"")</f>
        <v/>
      </c>
      <c r="X112" s="3">
        <f>IF(ISNUMBER(AVERAGE('20250815_ETF_Options_Exhibits'!X108:X112)),AVERAGE('20250815_ETF_Options_Exhibits'!X108:X112),"")</f>
        <v/>
      </c>
      <c r="Y112" s="3">
        <f>IF(ISNUMBER(AVERAGE('20250815_ETF_Options_Exhibits'!Y108:Y112)),AVERAGE('20250815_ETF_Options_Exhibits'!Y108:Y112),"")</f>
        <v/>
      </c>
      <c r="Z112" s="3">
        <f>IF(ISNUMBER(AVERAGE('20250815_ETF_Options_Exhibits'!Z108:Z112)),AVERAGE('20250815_ETF_Options_Exhibits'!Z108:Z112),"")</f>
        <v/>
      </c>
      <c r="AA112" s="3">
        <f>IF(ISNUMBER(AVERAGE('20250815_ETF_Options_Exhibits'!AA108:AA112)),AVERAGE('20250815_ETF_Options_Exhibits'!AA108:AA112),"")</f>
        <v/>
      </c>
    </row>
    <row r="113">
      <c r="A113" s="1" t="n">
        <v>42166</v>
      </c>
      <c r="B113" s="3">
        <f>IF(ISNUMBER(AVERAGE('20250815_ETF_Options_Exhibits'!B109:B113)),AVERAGE('20250815_ETF_Options_Exhibits'!B109:B113),"")</f>
        <v/>
      </c>
      <c r="C113" s="3">
        <f>IF(ISNUMBER(AVERAGE('20250815_ETF_Options_Exhibits'!C109:C113)),AVERAGE('20250815_ETF_Options_Exhibits'!C109:C113),"")</f>
        <v/>
      </c>
      <c r="D113" s="3">
        <f>IF(ISNUMBER(AVERAGE('20250815_ETF_Options_Exhibits'!D109:D113)),AVERAGE('20250815_ETF_Options_Exhibits'!D109:D113),"")</f>
        <v/>
      </c>
      <c r="E113" s="3">
        <f>IF(ISNUMBER(AVERAGE('20250815_ETF_Options_Exhibits'!E109:E113)),AVERAGE('20250815_ETF_Options_Exhibits'!E109:E113),"")</f>
        <v/>
      </c>
      <c r="F113" s="3">
        <f>IF(ISNUMBER(AVERAGE('20250815_ETF_Options_Exhibits'!F109:F113)),AVERAGE('20250815_ETF_Options_Exhibits'!F109:F113),"")</f>
        <v/>
      </c>
      <c r="G113" s="3">
        <f>IF(ISNUMBER(AVERAGE('20250815_ETF_Options_Exhibits'!G109:G113)),AVERAGE('20250815_ETF_Options_Exhibits'!G109:G113),"")</f>
        <v/>
      </c>
      <c r="H113" s="3">
        <f>IF(ISNUMBER(AVERAGE('20250815_ETF_Options_Exhibits'!H109:H113)),AVERAGE('20250815_ETF_Options_Exhibits'!H109:H113),"")</f>
        <v/>
      </c>
      <c r="I113" s="3">
        <f>IF(ISNUMBER(AVERAGE('20250815_ETF_Options_Exhibits'!I109:I113)),AVERAGE('20250815_ETF_Options_Exhibits'!I109:I113),"")</f>
        <v/>
      </c>
      <c r="J113" s="3">
        <f>IF(ISNUMBER(AVERAGE('20250815_ETF_Options_Exhibits'!J109:J113)),AVERAGE('20250815_ETF_Options_Exhibits'!J109:J113),"")</f>
        <v/>
      </c>
      <c r="K113" s="3">
        <f>IF(ISNUMBER(AVERAGE('20250815_ETF_Options_Exhibits'!K109:K113)),AVERAGE('20250815_ETF_Options_Exhibits'!K109:K113),"")</f>
        <v/>
      </c>
      <c r="L113" s="3">
        <f>IF(ISNUMBER(AVERAGE('20250815_ETF_Options_Exhibits'!L109:L113)),AVERAGE('20250815_ETF_Options_Exhibits'!L109:L113),"")</f>
        <v/>
      </c>
      <c r="M113" s="3">
        <f>IF(ISNUMBER(AVERAGE('20250815_ETF_Options_Exhibits'!M109:M113)),AVERAGE('20250815_ETF_Options_Exhibits'!M109:M113),"")</f>
        <v/>
      </c>
      <c r="N113" s="3">
        <f>IF(ISNUMBER(AVERAGE('20250815_ETF_Options_Exhibits'!N109:N113)),AVERAGE('20250815_ETF_Options_Exhibits'!N109:N113),"")</f>
        <v/>
      </c>
      <c r="O113" s="3">
        <f>IF(ISNUMBER(AVERAGE('20250815_ETF_Options_Exhibits'!O109:O113)),AVERAGE('20250815_ETF_Options_Exhibits'!O109:O113),"")</f>
        <v/>
      </c>
      <c r="P113" s="3">
        <f>IF(ISNUMBER(AVERAGE('20250815_ETF_Options_Exhibits'!P109:P113)),AVERAGE('20250815_ETF_Options_Exhibits'!P109:P113),"")</f>
        <v/>
      </c>
      <c r="Q113" s="3">
        <f>IF(ISNUMBER(AVERAGE('20250815_ETF_Options_Exhibits'!Q109:Q113)),AVERAGE('20250815_ETF_Options_Exhibits'!Q109:Q113),"")</f>
        <v/>
      </c>
      <c r="R113" s="3">
        <f>IF(ISNUMBER(AVERAGE('20250815_ETF_Options_Exhibits'!R109:R113)),AVERAGE('20250815_ETF_Options_Exhibits'!R109:R113),"")</f>
        <v/>
      </c>
      <c r="S113" s="3">
        <f>IF(ISNUMBER(AVERAGE('20250815_ETF_Options_Exhibits'!S109:S113)),AVERAGE('20250815_ETF_Options_Exhibits'!S109:S113),"")</f>
        <v/>
      </c>
      <c r="T113" s="3">
        <f>IF(ISNUMBER(AVERAGE('20250815_ETF_Options_Exhibits'!T109:T113)),AVERAGE('20250815_ETF_Options_Exhibits'!T109:T113),"")</f>
        <v/>
      </c>
      <c r="U113" s="3">
        <f>IF(ISNUMBER(AVERAGE('20250815_ETF_Options_Exhibits'!U109:U113)),AVERAGE('20250815_ETF_Options_Exhibits'!U109:U113),"")</f>
        <v/>
      </c>
      <c r="V113" s="3">
        <f>IF(ISNUMBER(AVERAGE('20250815_ETF_Options_Exhibits'!V109:V113)),AVERAGE('20250815_ETF_Options_Exhibits'!V109:V113),"")</f>
        <v/>
      </c>
      <c r="W113" s="3">
        <f>IF(ISNUMBER(AVERAGE('20250815_ETF_Options_Exhibits'!W109:W113)),AVERAGE('20250815_ETF_Options_Exhibits'!W109:W113),"")</f>
        <v/>
      </c>
      <c r="X113" s="3">
        <f>IF(ISNUMBER(AVERAGE('20250815_ETF_Options_Exhibits'!X109:X113)),AVERAGE('20250815_ETF_Options_Exhibits'!X109:X113),"")</f>
        <v/>
      </c>
      <c r="Y113" s="3">
        <f>IF(ISNUMBER(AVERAGE('20250815_ETF_Options_Exhibits'!Y109:Y113)),AVERAGE('20250815_ETF_Options_Exhibits'!Y109:Y113),"")</f>
        <v/>
      </c>
      <c r="Z113" s="3">
        <f>IF(ISNUMBER(AVERAGE('20250815_ETF_Options_Exhibits'!Z109:Z113)),AVERAGE('20250815_ETF_Options_Exhibits'!Z109:Z113),"")</f>
        <v/>
      </c>
      <c r="AA113" s="3">
        <f>IF(ISNUMBER(AVERAGE('20250815_ETF_Options_Exhibits'!AA109:AA113)),AVERAGE('20250815_ETF_Options_Exhibits'!AA109:AA113),"")</f>
        <v/>
      </c>
    </row>
    <row r="114">
      <c r="A114" s="1" t="n">
        <v>42167</v>
      </c>
      <c r="B114" s="3">
        <f>IF(ISNUMBER(AVERAGE('20250815_ETF_Options_Exhibits'!B110:B114)),AVERAGE('20250815_ETF_Options_Exhibits'!B110:B114),"")</f>
        <v/>
      </c>
      <c r="C114" s="3">
        <f>IF(ISNUMBER(AVERAGE('20250815_ETF_Options_Exhibits'!C110:C114)),AVERAGE('20250815_ETF_Options_Exhibits'!C110:C114),"")</f>
        <v/>
      </c>
      <c r="D114" s="3">
        <f>IF(ISNUMBER(AVERAGE('20250815_ETF_Options_Exhibits'!D110:D114)),AVERAGE('20250815_ETF_Options_Exhibits'!D110:D114),"")</f>
        <v/>
      </c>
      <c r="E114" s="3">
        <f>IF(ISNUMBER(AVERAGE('20250815_ETF_Options_Exhibits'!E110:E114)),AVERAGE('20250815_ETF_Options_Exhibits'!E110:E114),"")</f>
        <v/>
      </c>
      <c r="F114" s="3">
        <f>IF(ISNUMBER(AVERAGE('20250815_ETF_Options_Exhibits'!F110:F114)),AVERAGE('20250815_ETF_Options_Exhibits'!F110:F114),"")</f>
        <v/>
      </c>
      <c r="G114" s="3">
        <f>IF(ISNUMBER(AVERAGE('20250815_ETF_Options_Exhibits'!G110:G114)),AVERAGE('20250815_ETF_Options_Exhibits'!G110:G114),"")</f>
        <v/>
      </c>
      <c r="H114" s="3">
        <f>IF(ISNUMBER(AVERAGE('20250815_ETF_Options_Exhibits'!H110:H114)),AVERAGE('20250815_ETF_Options_Exhibits'!H110:H114),"")</f>
        <v/>
      </c>
      <c r="I114" s="3">
        <f>IF(ISNUMBER(AVERAGE('20250815_ETF_Options_Exhibits'!I110:I114)),AVERAGE('20250815_ETF_Options_Exhibits'!I110:I114),"")</f>
        <v/>
      </c>
      <c r="J114" s="3">
        <f>IF(ISNUMBER(AVERAGE('20250815_ETF_Options_Exhibits'!J110:J114)),AVERAGE('20250815_ETF_Options_Exhibits'!J110:J114),"")</f>
        <v/>
      </c>
      <c r="K114" s="3">
        <f>IF(ISNUMBER(AVERAGE('20250815_ETF_Options_Exhibits'!K110:K114)),AVERAGE('20250815_ETF_Options_Exhibits'!K110:K114),"")</f>
        <v/>
      </c>
      <c r="L114" s="3">
        <f>IF(ISNUMBER(AVERAGE('20250815_ETF_Options_Exhibits'!L110:L114)),AVERAGE('20250815_ETF_Options_Exhibits'!L110:L114),"")</f>
        <v/>
      </c>
      <c r="M114" s="3">
        <f>IF(ISNUMBER(AVERAGE('20250815_ETF_Options_Exhibits'!M110:M114)),AVERAGE('20250815_ETF_Options_Exhibits'!M110:M114),"")</f>
        <v/>
      </c>
      <c r="N114" s="3">
        <f>IF(ISNUMBER(AVERAGE('20250815_ETF_Options_Exhibits'!N110:N114)),AVERAGE('20250815_ETF_Options_Exhibits'!N110:N114),"")</f>
        <v/>
      </c>
      <c r="O114" s="3">
        <f>IF(ISNUMBER(AVERAGE('20250815_ETF_Options_Exhibits'!O110:O114)),AVERAGE('20250815_ETF_Options_Exhibits'!O110:O114),"")</f>
        <v/>
      </c>
      <c r="P114" s="3">
        <f>IF(ISNUMBER(AVERAGE('20250815_ETF_Options_Exhibits'!P110:P114)),AVERAGE('20250815_ETF_Options_Exhibits'!P110:P114),"")</f>
        <v/>
      </c>
      <c r="Q114" s="3">
        <f>IF(ISNUMBER(AVERAGE('20250815_ETF_Options_Exhibits'!Q110:Q114)),AVERAGE('20250815_ETF_Options_Exhibits'!Q110:Q114),"")</f>
        <v/>
      </c>
      <c r="R114" s="3">
        <f>IF(ISNUMBER(AVERAGE('20250815_ETF_Options_Exhibits'!R110:R114)),AVERAGE('20250815_ETF_Options_Exhibits'!R110:R114),"")</f>
        <v/>
      </c>
      <c r="S114" s="3">
        <f>IF(ISNUMBER(AVERAGE('20250815_ETF_Options_Exhibits'!S110:S114)),AVERAGE('20250815_ETF_Options_Exhibits'!S110:S114),"")</f>
        <v/>
      </c>
      <c r="T114" s="3">
        <f>IF(ISNUMBER(AVERAGE('20250815_ETF_Options_Exhibits'!T110:T114)),AVERAGE('20250815_ETF_Options_Exhibits'!T110:T114),"")</f>
        <v/>
      </c>
      <c r="U114" s="3">
        <f>IF(ISNUMBER(AVERAGE('20250815_ETF_Options_Exhibits'!U110:U114)),AVERAGE('20250815_ETF_Options_Exhibits'!U110:U114),"")</f>
        <v/>
      </c>
      <c r="V114" s="3">
        <f>IF(ISNUMBER(AVERAGE('20250815_ETF_Options_Exhibits'!V110:V114)),AVERAGE('20250815_ETF_Options_Exhibits'!V110:V114),"")</f>
        <v/>
      </c>
      <c r="W114" s="3">
        <f>IF(ISNUMBER(AVERAGE('20250815_ETF_Options_Exhibits'!W110:W114)),AVERAGE('20250815_ETF_Options_Exhibits'!W110:W114),"")</f>
        <v/>
      </c>
      <c r="X114" s="3">
        <f>IF(ISNUMBER(AVERAGE('20250815_ETF_Options_Exhibits'!X110:X114)),AVERAGE('20250815_ETF_Options_Exhibits'!X110:X114),"")</f>
        <v/>
      </c>
      <c r="Y114" s="3">
        <f>IF(ISNUMBER(AVERAGE('20250815_ETF_Options_Exhibits'!Y110:Y114)),AVERAGE('20250815_ETF_Options_Exhibits'!Y110:Y114),"")</f>
        <v/>
      </c>
      <c r="Z114" s="3">
        <f>IF(ISNUMBER(AVERAGE('20250815_ETF_Options_Exhibits'!Z110:Z114)),AVERAGE('20250815_ETF_Options_Exhibits'!Z110:Z114),"")</f>
        <v/>
      </c>
      <c r="AA114" s="3">
        <f>IF(ISNUMBER(AVERAGE('20250815_ETF_Options_Exhibits'!AA110:AA114)),AVERAGE('20250815_ETF_Options_Exhibits'!AA110:AA114),"")</f>
        <v/>
      </c>
    </row>
    <row r="115">
      <c r="A115" s="1" t="n">
        <v>42170</v>
      </c>
      <c r="B115" s="3">
        <f>IF(ISNUMBER(AVERAGE('20250815_ETF_Options_Exhibits'!B111:B115)),AVERAGE('20250815_ETF_Options_Exhibits'!B111:B115),"")</f>
        <v/>
      </c>
      <c r="C115" s="3">
        <f>IF(ISNUMBER(AVERAGE('20250815_ETF_Options_Exhibits'!C111:C115)),AVERAGE('20250815_ETF_Options_Exhibits'!C111:C115),"")</f>
        <v/>
      </c>
      <c r="D115" s="3">
        <f>IF(ISNUMBER(AVERAGE('20250815_ETF_Options_Exhibits'!D111:D115)),AVERAGE('20250815_ETF_Options_Exhibits'!D111:D115),"")</f>
        <v/>
      </c>
      <c r="E115" s="3">
        <f>IF(ISNUMBER(AVERAGE('20250815_ETF_Options_Exhibits'!E111:E115)),AVERAGE('20250815_ETF_Options_Exhibits'!E111:E115),"")</f>
        <v/>
      </c>
      <c r="F115" s="3">
        <f>IF(ISNUMBER(AVERAGE('20250815_ETF_Options_Exhibits'!F111:F115)),AVERAGE('20250815_ETF_Options_Exhibits'!F111:F115),"")</f>
        <v/>
      </c>
      <c r="G115" s="3">
        <f>IF(ISNUMBER(AVERAGE('20250815_ETF_Options_Exhibits'!G111:G115)),AVERAGE('20250815_ETF_Options_Exhibits'!G111:G115),"")</f>
        <v/>
      </c>
      <c r="H115" s="3">
        <f>IF(ISNUMBER(AVERAGE('20250815_ETF_Options_Exhibits'!H111:H115)),AVERAGE('20250815_ETF_Options_Exhibits'!H111:H115),"")</f>
        <v/>
      </c>
      <c r="I115" s="3">
        <f>IF(ISNUMBER(AVERAGE('20250815_ETF_Options_Exhibits'!I111:I115)),AVERAGE('20250815_ETF_Options_Exhibits'!I111:I115),"")</f>
        <v/>
      </c>
      <c r="J115" s="3">
        <f>IF(ISNUMBER(AVERAGE('20250815_ETF_Options_Exhibits'!J111:J115)),AVERAGE('20250815_ETF_Options_Exhibits'!J111:J115),"")</f>
        <v/>
      </c>
      <c r="K115" s="3">
        <f>IF(ISNUMBER(AVERAGE('20250815_ETF_Options_Exhibits'!K111:K115)),AVERAGE('20250815_ETF_Options_Exhibits'!K111:K115),"")</f>
        <v/>
      </c>
      <c r="L115" s="3">
        <f>IF(ISNUMBER(AVERAGE('20250815_ETF_Options_Exhibits'!L111:L115)),AVERAGE('20250815_ETF_Options_Exhibits'!L111:L115),"")</f>
        <v/>
      </c>
      <c r="M115" s="3">
        <f>IF(ISNUMBER(AVERAGE('20250815_ETF_Options_Exhibits'!M111:M115)),AVERAGE('20250815_ETF_Options_Exhibits'!M111:M115),"")</f>
        <v/>
      </c>
      <c r="N115" s="3">
        <f>IF(ISNUMBER(AVERAGE('20250815_ETF_Options_Exhibits'!N111:N115)),AVERAGE('20250815_ETF_Options_Exhibits'!N111:N115),"")</f>
        <v/>
      </c>
      <c r="O115" s="3">
        <f>IF(ISNUMBER(AVERAGE('20250815_ETF_Options_Exhibits'!O111:O115)),AVERAGE('20250815_ETF_Options_Exhibits'!O111:O115),"")</f>
        <v/>
      </c>
      <c r="P115" s="3">
        <f>IF(ISNUMBER(AVERAGE('20250815_ETF_Options_Exhibits'!P111:P115)),AVERAGE('20250815_ETF_Options_Exhibits'!P111:P115),"")</f>
        <v/>
      </c>
      <c r="Q115" s="3">
        <f>IF(ISNUMBER(AVERAGE('20250815_ETF_Options_Exhibits'!Q111:Q115)),AVERAGE('20250815_ETF_Options_Exhibits'!Q111:Q115),"")</f>
        <v/>
      </c>
      <c r="R115" s="3">
        <f>IF(ISNUMBER(AVERAGE('20250815_ETF_Options_Exhibits'!R111:R115)),AVERAGE('20250815_ETF_Options_Exhibits'!R111:R115),"")</f>
        <v/>
      </c>
      <c r="S115" s="3">
        <f>IF(ISNUMBER(AVERAGE('20250815_ETF_Options_Exhibits'!S111:S115)),AVERAGE('20250815_ETF_Options_Exhibits'!S111:S115),"")</f>
        <v/>
      </c>
      <c r="T115" s="3">
        <f>IF(ISNUMBER(AVERAGE('20250815_ETF_Options_Exhibits'!T111:T115)),AVERAGE('20250815_ETF_Options_Exhibits'!T111:T115),"")</f>
        <v/>
      </c>
      <c r="U115" s="3">
        <f>IF(ISNUMBER(AVERAGE('20250815_ETF_Options_Exhibits'!U111:U115)),AVERAGE('20250815_ETF_Options_Exhibits'!U111:U115),"")</f>
        <v/>
      </c>
      <c r="V115" s="3">
        <f>IF(ISNUMBER(AVERAGE('20250815_ETF_Options_Exhibits'!V111:V115)),AVERAGE('20250815_ETF_Options_Exhibits'!V111:V115),"")</f>
        <v/>
      </c>
      <c r="W115" s="3">
        <f>IF(ISNUMBER(AVERAGE('20250815_ETF_Options_Exhibits'!W111:W115)),AVERAGE('20250815_ETF_Options_Exhibits'!W111:W115),"")</f>
        <v/>
      </c>
      <c r="X115" s="3">
        <f>IF(ISNUMBER(AVERAGE('20250815_ETF_Options_Exhibits'!X111:X115)),AVERAGE('20250815_ETF_Options_Exhibits'!X111:X115),"")</f>
        <v/>
      </c>
      <c r="Y115" s="3">
        <f>IF(ISNUMBER(AVERAGE('20250815_ETF_Options_Exhibits'!Y111:Y115)),AVERAGE('20250815_ETF_Options_Exhibits'!Y111:Y115),"")</f>
        <v/>
      </c>
      <c r="Z115" s="3">
        <f>IF(ISNUMBER(AVERAGE('20250815_ETF_Options_Exhibits'!Z111:Z115)),AVERAGE('20250815_ETF_Options_Exhibits'!Z111:Z115),"")</f>
        <v/>
      </c>
      <c r="AA115" s="3">
        <f>IF(ISNUMBER(AVERAGE('20250815_ETF_Options_Exhibits'!AA111:AA115)),AVERAGE('20250815_ETF_Options_Exhibits'!AA111:AA115),"")</f>
        <v/>
      </c>
    </row>
    <row r="116">
      <c r="A116" s="1" t="n">
        <v>42171</v>
      </c>
      <c r="B116" s="3">
        <f>IF(ISNUMBER(AVERAGE('20250815_ETF_Options_Exhibits'!B112:B116)),AVERAGE('20250815_ETF_Options_Exhibits'!B112:B116),"")</f>
        <v/>
      </c>
      <c r="C116" s="3">
        <f>IF(ISNUMBER(AVERAGE('20250815_ETF_Options_Exhibits'!C112:C116)),AVERAGE('20250815_ETF_Options_Exhibits'!C112:C116),"")</f>
        <v/>
      </c>
      <c r="D116" s="3">
        <f>IF(ISNUMBER(AVERAGE('20250815_ETF_Options_Exhibits'!D112:D116)),AVERAGE('20250815_ETF_Options_Exhibits'!D112:D116),"")</f>
        <v/>
      </c>
      <c r="E116" s="3">
        <f>IF(ISNUMBER(AVERAGE('20250815_ETF_Options_Exhibits'!E112:E116)),AVERAGE('20250815_ETF_Options_Exhibits'!E112:E116),"")</f>
        <v/>
      </c>
      <c r="F116" s="3">
        <f>IF(ISNUMBER(AVERAGE('20250815_ETF_Options_Exhibits'!F112:F116)),AVERAGE('20250815_ETF_Options_Exhibits'!F112:F116),"")</f>
        <v/>
      </c>
      <c r="G116" s="3">
        <f>IF(ISNUMBER(AVERAGE('20250815_ETF_Options_Exhibits'!G112:G116)),AVERAGE('20250815_ETF_Options_Exhibits'!G112:G116),"")</f>
        <v/>
      </c>
      <c r="H116" s="3">
        <f>IF(ISNUMBER(AVERAGE('20250815_ETF_Options_Exhibits'!H112:H116)),AVERAGE('20250815_ETF_Options_Exhibits'!H112:H116),"")</f>
        <v/>
      </c>
      <c r="I116" s="3">
        <f>IF(ISNUMBER(AVERAGE('20250815_ETF_Options_Exhibits'!I112:I116)),AVERAGE('20250815_ETF_Options_Exhibits'!I112:I116),"")</f>
        <v/>
      </c>
      <c r="J116" s="3">
        <f>IF(ISNUMBER(AVERAGE('20250815_ETF_Options_Exhibits'!J112:J116)),AVERAGE('20250815_ETF_Options_Exhibits'!J112:J116),"")</f>
        <v/>
      </c>
      <c r="K116" s="3">
        <f>IF(ISNUMBER(AVERAGE('20250815_ETF_Options_Exhibits'!K112:K116)),AVERAGE('20250815_ETF_Options_Exhibits'!K112:K116),"")</f>
        <v/>
      </c>
      <c r="L116" s="3">
        <f>IF(ISNUMBER(AVERAGE('20250815_ETF_Options_Exhibits'!L112:L116)),AVERAGE('20250815_ETF_Options_Exhibits'!L112:L116),"")</f>
        <v/>
      </c>
      <c r="M116" s="3">
        <f>IF(ISNUMBER(AVERAGE('20250815_ETF_Options_Exhibits'!M112:M116)),AVERAGE('20250815_ETF_Options_Exhibits'!M112:M116),"")</f>
        <v/>
      </c>
      <c r="N116" s="3">
        <f>IF(ISNUMBER(AVERAGE('20250815_ETF_Options_Exhibits'!N112:N116)),AVERAGE('20250815_ETF_Options_Exhibits'!N112:N116),"")</f>
        <v/>
      </c>
      <c r="O116" s="3">
        <f>IF(ISNUMBER(AVERAGE('20250815_ETF_Options_Exhibits'!O112:O116)),AVERAGE('20250815_ETF_Options_Exhibits'!O112:O116),"")</f>
        <v/>
      </c>
      <c r="P116" s="3">
        <f>IF(ISNUMBER(AVERAGE('20250815_ETF_Options_Exhibits'!P112:P116)),AVERAGE('20250815_ETF_Options_Exhibits'!P112:P116),"")</f>
        <v/>
      </c>
      <c r="Q116" s="3">
        <f>IF(ISNUMBER(AVERAGE('20250815_ETF_Options_Exhibits'!Q112:Q116)),AVERAGE('20250815_ETF_Options_Exhibits'!Q112:Q116),"")</f>
        <v/>
      </c>
      <c r="R116" s="3">
        <f>IF(ISNUMBER(AVERAGE('20250815_ETF_Options_Exhibits'!R112:R116)),AVERAGE('20250815_ETF_Options_Exhibits'!R112:R116),"")</f>
        <v/>
      </c>
      <c r="S116" s="3">
        <f>IF(ISNUMBER(AVERAGE('20250815_ETF_Options_Exhibits'!S112:S116)),AVERAGE('20250815_ETF_Options_Exhibits'!S112:S116),"")</f>
        <v/>
      </c>
      <c r="T116" s="3">
        <f>IF(ISNUMBER(AVERAGE('20250815_ETF_Options_Exhibits'!T112:T116)),AVERAGE('20250815_ETF_Options_Exhibits'!T112:T116),"")</f>
        <v/>
      </c>
      <c r="U116" s="3">
        <f>IF(ISNUMBER(AVERAGE('20250815_ETF_Options_Exhibits'!U112:U116)),AVERAGE('20250815_ETF_Options_Exhibits'!U112:U116),"")</f>
        <v/>
      </c>
      <c r="V116" s="3">
        <f>IF(ISNUMBER(AVERAGE('20250815_ETF_Options_Exhibits'!V112:V116)),AVERAGE('20250815_ETF_Options_Exhibits'!V112:V116),"")</f>
        <v/>
      </c>
      <c r="W116" s="3">
        <f>IF(ISNUMBER(AVERAGE('20250815_ETF_Options_Exhibits'!W112:W116)),AVERAGE('20250815_ETF_Options_Exhibits'!W112:W116),"")</f>
        <v/>
      </c>
      <c r="X116" s="3">
        <f>IF(ISNUMBER(AVERAGE('20250815_ETF_Options_Exhibits'!X112:X116)),AVERAGE('20250815_ETF_Options_Exhibits'!X112:X116),"")</f>
        <v/>
      </c>
      <c r="Y116" s="3">
        <f>IF(ISNUMBER(AVERAGE('20250815_ETF_Options_Exhibits'!Y112:Y116)),AVERAGE('20250815_ETF_Options_Exhibits'!Y112:Y116),"")</f>
        <v/>
      </c>
      <c r="Z116" s="3">
        <f>IF(ISNUMBER(AVERAGE('20250815_ETF_Options_Exhibits'!Z112:Z116)),AVERAGE('20250815_ETF_Options_Exhibits'!Z112:Z116),"")</f>
        <v/>
      </c>
      <c r="AA116" s="3">
        <f>IF(ISNUMBER(AVERAGE('20250815_ETF_Options_Exhibits'!AA112:AA116)),AVERAGE('20250815_ETF_Options_Exhibits'!AA112:AA116),"")</f>
        <v/>
      </c>
    </row>
    <row r="117">
      <c r="A117" s="1" t="n">
        <v>42172</v>
      </c>
      <c r="B117" s="3">
        <f>IF(ISNUMBER(AVERAGE('20250815_ETF_Options_Exhibits'!B113:B117)),AVERAGE('20250815_ETF_Options_Exhibits'!B113:B117),"")</f>
        <v/>
      </c>
      <c r="C117" s="3">
        <f>IF(ISNUMBER(AVERAGE('20250815_ETF_Options_Exhibits'!C113:C117)),AVERAGE('20250815_ETF_Options_Exhibits'!C113:C117),"")</f>
        <v/>
      </c>
      <c r="D117" s="3">
        <f>IF(ISNUMBER(AVERAGE('20250815_ETF_Options_Exhibits'!D113:D117)),AVERAGE('20250815_ETF_Options_Exhibits'!D113:D117),"")</f>
        <v/>
      </c>
      <c r="E117" s="3">
        <f>IF(ISNUMBER(AVERAGE('20250815_ETF_Options_Exhibits'!E113:E117)),AVERAGE('20250815_ETF_Options_Exhibits'!E113:E117),"")</f>
        <v/>
      </c>
      <c r="F117" s="3">
        <f>IF(ISNUMBER(AVERAGE('20250815_ETF_Options_Exhibits'!F113:F117)),AVERAGE('20250815_ETF_Options_Exhibits'!F113:F117),"")</f>
        <v/>
      </c>
      <c r="G117" s="3">
        <f>IF(ISNUMBER(AVERAGE('20250815_ETF_Options_Exhibits'!G113:G117)),AVERAGE('20250815_ETF_Options_Exhibits'!G113:G117),"")</f>
        <v/>
      </c>
      <c r="H117" s="3">
        <f>IF(ISNUMBER(AVERAGE('20250815_ETF_Options_Exhibits'!H113:H117)),AVERAGE('20250815_ETF_Options_Exhibits'!H113:H117),"")</f>
        <v/>
      </c>
      <c r="I117" s="3">
        <f>IF(ISNUMBER(AVERAGE('20250815_ETF_Options_Exhibits'!I113:I117)),AVERAGE('20250815_ETF_Options_Exhibits'!I113:I117),"")</f>
        <v/>
      </c>
      <c r="J117" s="3">
        <f>IF(ISNUMBER(AVERAGE('20250815_ETF_Options_Exhibits'!J113:J117)),AVERAGE('20250815_ETF_Options_Exhibits'!J113:J117),"")</f>
        <v/>
      </c>
      <c r="K117" s="3">
        <f>IF(ISNUMBER(AVERAGE('20250815_ETF_Options_Exhibits'!K113:K117)),AVERAGE('20250815_ETF_Options_Exhibits'!K113:K117),"")</f>
        <v/>
      </c>
      <c r="L117" s="3">
        <f>IF(ISNUMBER(AVERAGE('20250815_ETF_Options_Exhibits'!L113:L117)),AVERAGE('20250815_ETF_Options_Exhibits'!L113:L117),"")</f>
        <v/>
      </c>
      <c r="M117" s="3">
        <f>IF(ISNUMBER(AVERAGE('20250815_ETF_Options_Exhibits'!M113:M117)),AVERAGE('20250815_ETF_Options_Exhibits'!M113:M117),"")</f>
        <v/>
      </c>
      <c r="N117" s="3">
        <f>IF(ISNUMBER(AVERAGE('20250815_ETF_Options_Exhibits'!N113:N117)),AVERAGE('20250815_ETF_Options_Exhibits'!N113:N117),"")</f>
        <v/>
      </c>
      <c r="O117" s="3">
        <f>IF(ISNUMBER(AVERAGE('20250815_ETF_Options_Exhibits'!O113:O117)),AVERAGE('20250815_ETF_Options_Exhibits'!O113:O117),"")</f>
        <v/>
      </c>
      <c r="P117" s="3">
        <f>IF(ISNUMBER(AVERAGE('20250815_ETF_Options_Exhibits'!P113:P117)),AVERAGE('20250815_ETF_Options_Exhibits'!P113:P117),"")</f>
        <v/>
      </c>
      <c r="Q117" s="3">
        <f>IF(ISNUMBER(AVERAGE('20250815_ETF_Options_Exhibits'!Q113:Q117)),AVERAGE('20250815_ETF_Options_Exhibits'!Q113:Q117),"")</f>
        <v/>
      </c>
      <c r="R117" s="3">
        <f>IF(ISNUMBER(AVERAGE('20250815_ETF_Options_Exhibits'!R113:R117)),AVERAGE('20250815_ETF_Options_Exhibits'!R113:R117),"")</f>
        <v/>
      </c>
      <c r="S117" s="3">
        <f>IF(ISNUMBER(AVERAGE('20250815_ETF_Options_Exhibits'!S113:S117)),AVERAGE('20250815_ETF_Options_Exhibits'!S113:S117),"")</f>
        <v/>
      </c>
      <c r="T117" s="3">
        <f>IF(ISNUMBER(AVERAGE('20250815_ETF_Options_Exhibits'!T113:T117)),AVERAGE('20250815_ETF_Options_Exhibits'!T113:T117),"")</f>
        <v/>
      </c>
      <c r="U117" s="3">
        <f>IF(ISNUMBER(AVERAGE('20250815_ETF_Options_Exhibits'!U113:U117)),AVERAGE('20250815_ETF_Options_Exhibits'!U113:U117),"")</f>
        <v/>
      </c>
      <c r="V117" s="3">
        <f>IF(ISNUMBER(AVERAGE('20250815_ETF_Options_Exhibits'!V113:V117)),AVERAGE('20250815_ETF_Options_Exhibits'!V113:V117),"")</f>
        <v/>
      </c>
      <c r="W117" s="3">
        <f>IF(ISNUMBER(AVERAGE('20250815_ETF_Options_Exhibits'!W113:W117)),AVERAGE('20250815_ETF_Options_Exhibits'!W113:W117),"")</f>
        <v/>
      </c>
      <c r="X117" s="3">
        <f>IF(ISNUMBER(AVERAGE('20250815_ETF_Options_Exhibits'!X113:X117)),AVERAGE('20250815_ETF_Options_Exhibits'!X113:X117),"")</f>
        <v/>
      </c>
      <c r="Y117" s="3">
        <f>IF(ISNUMBER(AVERAGE('20250815_ETF_Options_Exhibits'!Y113:Y117)),AVERAGE('20250815_ETF_Options_Exhibits'!Y113:Y117),"")</f>
        <v/>
      </c>
      <c r="Z117" s="3">
        <f>IF(ISNUMBER(AVERAGE('20250815_ETF_Options_Exhibits'!Z113:Z117)),AVERAGE('20250815_ETF_Options_Exhibits'!Z113:Z117),"")</f>
        <v/>
      </c>
      <c r="AA117" s="3">
        <f>IF(ISNUMBER(AVERAGE('20250815_ETF_Options_Exhibits'!AA113:AA117)),AVERAGE('20250815_ETF_Options_Exhibits'!AA113:AA117),"")</f>
        <v/>
      </c>
    </row>
    <row r="118">
      <c r="A118" s="1" t="n">
        <v>42173</v>
      </c>
      <c r="B118" s="3">
        <f>IF(ISNUMBER(AVERAGE('20250815_ETF_Options_Exhibits'!B114:B118)),AVERAGE('20250815_ETF_Options_Exhibits'!B114:B118),"")</f>
        <v/>
      </c>
      <c r="C118" s="3">
        <f>IF(ISNUMBER(AVERAGE('20250815_ETF_Options_Exhibits'!C114:C118)),AVERAGE('20250815_ETF_Options_Exhibits'!C114:C118),"")</f>
        <v/>
      </c>
      <c r="D118" s="3">
        <f>IF(ISNUMBER(AVERAGE('20250815_ETF_Options_Exhibits'!D114:D118)),AVERAGE('20250815_ETF_Options_Exhibits'!D114:D118),"")</f>
        <v/>
      </c>
      <c r="E118" s="3">
        <f>IF(ISNUMBER(AVERAGE('20250815_ETF_Options_Exhibits'!E114:E118)),AVERAGE('20250815_ETF_Options_Exhibits'!E114:E118),"")</f>
        <v/>
      </c>
      <c r="F118" s="3">
        <f>IF(ISNUMBER(AVERAGE('20250815_ETF_Options_Exhibits'!F114:F118)),AVERAGE('20250815_ETF_Options_Exhibits'!F114:F118),"")</f>
        <v/>
      </c>
      <c r="G118" s="3">
        <f>IF(ISNUMBER(AVERAGE('20250815_ETF_Options_Exhibits'!G114:G118)),AVERAGE('20250815_ETF_Options_Exhibits'!G114:G118),"")</f>
        <v/>
      </c>
      <c r="H118" s="3">
        <f>IF(ISNUMBER(AVERAGE('20250815_ETF_Options_Exhibits'!H114:H118)),AVERAGE('20250815_ETF_Options_Exhibits'!H114:H118),"")</f>
        <v/>
      </c>
      <c r="I118" s="3">
        <f>IF(ISNUMBER(AVERAGE('20250815_ETF_Options_Exhibits'!I114:I118)),AVERAGE('20250815_ETF_Options_Exhibits'!I114:I118),"")</f>
        <v/>
      </c>
      <c r="J118" s="3">
        <f>IF(ISNUMBER(AVERAGE('20250815_ETF_Options_Exhibits'!J114:J118)),AVERAGE('20250815_ETF_Options_Exhibits'!J114:J118),"")</f>
        <v/>
      </c>
      <c r="K118" s="3">
        <f>IF(ISNUMBER(AVERAGE('20250815_ETF_Options_Exhibits'!K114:K118)),AVERAGE('20250815_ETF_Options_Exhibits'!K114:K118),"")</f>
        <v/>
      </c>
      <c r="L118" s="3">
        <f>IF(ISNUMBER(AVERAGE('20250815_ETF_Options_Exhibits'!L114:L118)),AVERAGE('20250815_ETF_Options_Exhibits'!L114:L118),"")</f>
        <v/>
      </c>
      <c r="M118" s="3">
        <f>IF(ISNUMBER(AVERAGE('20250815_ETF_Options_Exhibits'!M114:M118)),AVERAGE('20250815_ETF_Options_Exhibits'!M114:M118),"")</f>
        <v/>
      </c>
      <c r="N118" s="3">
        <f>IF(ISNUMBER(AVERAGE('20250815_ETF_Options_Exhibits'!N114:N118)),AVERAGE('20250815_ETF_Options_Exhibits'!N114:N118),"")</f>
        <v/>
      </c>
      <c r="O118" s="3">
        <f>IF(ISNUMBER(AVERAGE('20250815_ETF_Options_Exhibits'!O114:O118)),AVERAGE('20250815_ETF_Options_Exhibits'!O114:O118),"")</f>
        <v/>
      </c>
      <c r="P118" s="3">
        <f>IF(ISNUMBER(AVERAGE('20250815_ETF_Options_Exhibits'!P114:P118)),AVERAGE('20250815_ETF_Options_Exhibits'!P114:P118),"")</f>
        <v/>
      </c>
      <c r="Q118" s="3">
        <f>IF(ISNUMBER(AVERAGE('20250815_ETF_Options_Exhibits'!Q114:Q118)),AVERAGE('20250815_ETF_Options_Exhibits'!Q114:Q118),"")</f>
        <v/>
      </c>
      <c r="R118" s="3">
        <f>IF(ISNUMBER(AVERAGE('20250815_ETF_Options_Exhibits'!R114:R118)),AVERAGE('20250815_ETF_Options_Exhibits'!R114:R118),"")</f>
        <v/>
      </c>
      <c r="S118" s="3">
        <f>IF(ISNUMBER(AVERAGE('20250815_ETF_Options_Exhibits'!S114:S118)),AVERAGE('20250815_ETF_Options_Exhibits'!S114:S118),"")</f>
        <v/>
      </c>
      <c r="T118" s="3">
        <f>IF(ISNUMBER(AVERAGE('20250815_ETF_Options_Exhibits'!T114:T118)),AVERAGE('20250815_ETF_Options_Exhibits'!T114:T118),"")</f>
        <v/>
      </c>
      <c r="U118" s="3">
        <f>IF(ISNUMBER(AVERAGE('20250815_ETF_Options_Exhibits'!U114:U118)),AVERAGE('20250815_ETF_Options_Exhibits'!U114:U118),"")</f>
        <v/>
      </c>
      <c r="V118" s="3">
        <f>IF(ISNUMBER(AVERAGE('20250815_ETF_Options_Exhibits'!V114:V118)),AVERAGE('20250815_ETF_Options_Exhibits'!V114:V118),"")</f>
        <v/>
      </c>
      <c r="W118" s="3">
        <f>IF(ISNUMBER(AVERAGE('20250815_ETF_Options_Exhibits'!W114:W118)),AVERAGE('20250815_ETF_Options_Exhibits'!W114:W118),"")</f>
        <v/>
      </c>
      <c r="X118" s="3">
        <f>IF(ISNUMBER(AVERAGE('20250815_ETF_Options_Exhibits'!X114:X118)),AVERAGE('20250815_ETF_Options_Exhibits'!X114:X118),"")</f>
        <v/>
      </c>
      <c r="Y118" s="3">
        <f>IF(ISNUMBER(AVERAGE('20250815_ETF_Options_Exhibits'!Y114:Y118)),AVERAGE('20250815_ETF_Options_Exhibits'!Y114:Y118),"")</f>
        <v/>
      </c>
      <c r="Z118" s="3">
        <f>IF(ISNUMBER(AVERAGE('20250815_ETF_Options_Exhibits'!Z114:Z118)),AVERAGE('20250815_ETF_Options_Exhibits'!Z114:Z118),"")</f>
        <v/>
      </c>
      <c r="AA118" s="3">
        <f>IF(ISNUMBER(AVERAGE('20250815_ETF_Options_Exhibits'!AA114:AA118)),AVERAGE('20250815_ETF_Options_Exhibits'!AA114:AA118),"")</f>
        <v/>
      </c>
    </row>
    <row r="119">
      <c r="A119" s="1" t="n">
        <v>42174</v>
      </c>
      <c r="B119" s="3">
        <f>IF(ISNUMBER(AVERAGE('20250815_ETF_Options_Exhibits'!B115:B119)),AVERAGE('20250815_ETF_Options_Exhibits'!B115:B119),"")</f>
        <v/>
      </c>
      <c r="C119" s="3">
        <f>IF(ISNUMBER(AVERAGE('20250815_ETF_Options_Exhibits'!C115:C119)),AVERAGE('20250815_ETF_Options_Exhibits'!C115:C119),"")</f>
        <v/>
      </c>
      <c r="D119" s="3">
        <f>IF(ISNUMBER(AVERAGE('20250815_ETF_Options_Exhibits'!D115:D119)),AVERAGE('20250815_ETF_Options_Exhibits'!D115:D119),"")</f>
        <v/>
      </c>
      <c r="E119" s="3">
        <f>IF(ISNUMBER(AVERAGE('20250815_ETF_Options_Exhibits'!E115:E119)),AVERAGE('20250815_ETF_Options_Exhibits'!E115:E119),"")</f>
        <v/>
      </c>
      <c r="F119" s="3">
        <f>IF(ISNUMBER(AVERAGE('20250815_ETF_Options_Exhibits'!F115:F119)),AVERAGE('20250815_ETF_Options_Exhibits'!F115:F119),"")</f>
        <v/>
      </c>
      <c r="G119" s="3">
        <f>IF(ISNUMBER(AVERAGE('20250815_ETF_Options_Exhibits'!G115:G119)),AVERAGE('20250815_ETF_Options_Exhibits'!G115:G119),"")</f>
        <v/>
      </c>
      <c r="H119" s="3">
        <f>IF(ISNUMBER(AVERAGE('20250815_ETF_Options_Exhibits'!H115:H119)),AVERAGE('20250815_ETF_Options_Exhibits'!H115:H119),"")</f>
        <v/>
      </c>
      <c r="I119" s="3">
        <f>IF(ISNUMBER(AVERAGE('20250815_ETF_Options_Exhibits'!I115:I119)),AVERAGE('20250815_ETF_Options_Exhibits'!I115:I119),"")</f>
        <v/>
      </c>
      <c r="J119" s="3">
        <f>IF(ISNUMBER(AVERAGE('20250815_ETF_Options_Exhibits'!J115:J119)),AVERAGE('20250815_ETF_Options_Exhibits'!J115:J119),"")</f>
        <v/>
      </c>
      <c r="K119" s="3">
        <f>IF(ISNUMBER(AVERAGE('20250815_ETF_Options_Exhibits'!K115:K119)),AVERAGE('20250815_ETF_Options_Exhibits'!K115:K119),"")</f>
        <v/>
      </c>
      <c r="L119" s="3">
        <f>IF(ISNUMBER(AVERAGE('20250815_ETF_Options_Exhibits'!L115:L119)),AVERAGE('20250815_ETF_Options_Exhibits'!L115:L119),"")</f>
        <v/>
      </c>
      <c r="M119" s="3">
        <f>IF(ISNUMBER(AVERAGE('20250815_ETF_Options_Exhibits'!M115:M119)),AVERAGE('20250815_ETF_Options_Exhibits'!M115:M119),"")</f>
        <v/>
      </c>
      <c r="N119" s="3">
        <f>IF(ISNUMBER(AVERAGE('20250815_ETF_Options_Exhibits'!N115:N119)),AVERAGE('20250815_ETF_Options_Exhibits'!N115:N119),"")</f>
        <v/>
      </c>
      <c r="O119" s="3">
        <f>IF(ISNUMBER(AVERAGE('20250815_ETF_Options_Exhibits'!O115:O119)),AVERAGE('20250815_ETF_Options_Exhibits'!O115:O119),"")</f>
        <v/>
      </c>
      <c r="P119" s="3">
        <f>IF(ISNUMBER(AVERAGE('20250815_ETF_Options_Exhibits'!P115:P119)),AVERAGE('20250815_ETF_Options_Exhibits'!P115:P119),"")</f>
        <v/>
      </c>
      <c r="Q119" s="3">
        <f>IF(ISNUMBER(AVERAGE('20250815_ETF_Options_Exhibits'!Q115:Q119)),AVERAGE('20250815_ETF_Options_Exhibits'!Q115:Q119),"")</f>
        <v/>
      </c>
      <c r="R119" s="3">
        <f>IF(ISNUMBER(AVERAGE('20250815_ETF_Options_Exhibits'!R115:R119)),AVERAGE('20250815_ETF_Options_Exhibits'!R115:R119),"")</f>
        <v/>
      </c>
      <c r="S119" s="3">
        <f>IF(ISNUMBER(AVERAGE('20250815_ETF_Options_Exhibits'!S115:S119)),AVERAGE('20250815_ETF_Options_Exhibits'!S115:S119),"")</f>
        <v/>
      </c>
      <c r="T119" s="3">
        <f>IF(ISNUMBER(AVERAGE('20250815_ETF_Options_Exhibits'!T115:T119)),AVERAGE('20250815_ETF_Options_Exhibits'!T115:T119),"")</f>
        <v/>
      </c>
      <c r="U119" s="3">
        <f>IF(ISNUMBER(AVERAGE('20250815_ETF_Options_Exhibits'!U115:U119)),AVERAGE('20250815_ETF_Options_Exhibits'!U115:U119),"")</f>
        <v/>
      </c>
      <c r="V119" s="3">
        <f>IF(ISNUMBER(AVERAGE('20250815_ETF_Options_Exhibits'!V115:V119)),AVERAGE('20250815_ETF_Options_Exhibits'!V115:V119),"")</f>
        <v/>
      </c>
      <c r="W119" s="3">
        <f>IF(ISNUMBER(AVERAGE('20250815_ETF_Options_Exhibits'!W115:W119)),AVERAGE('20250815_ETF_Options_Exhibits'!W115:W119),"")</f>
        <v/>
      </c>
      <c r="X119" s="3">
        <f>IF(ISNUMBER(AVERAGE('20250815_ETF_Options_Exhibits'!X115:X119)),AVERAGE('20250815_ETF_Options_Exhibits'!X115:X119),"")</f>
        <v/>
      </c>
      <c r="Y119" s="3">
        <f>IF(ISNUMBER(AVERAGE('20250815_ETF_Options_Exhibits'!Y115:Y119)),AVERAGE('20250815_ETF_Options_Exhibits'!Y115:Y119),"")</f>
        <v/>
      </c>
      <c r="Z119" s="3">
        <f>IF(ISNUMBER(AVERAGE('20250815_ETF_Options_Exhibits'!Z115:Z119)),AVERAGE('20250815_ETF_Options_Exhibits'!Z115:Z119),"")</f>
        <v/>
      </c>
      <c r="AA119" s="3">
        <f>IF(ISNUMBER(AVERAGE('20250815_ETF_Options_Exhibits'!AA115:AA119)),AVERAGE('20250815_ETF_Options_Exhibits'!AA115:AA119),"")</f>
        <v/>
      </c>
    </row>
    <row r="120">
      <c r="A120" s="1" t="n">
        <v>42177</v>
      </c>
      <c r="B120" s="3">
        <f>IF(ISNUMBER(AVERAGE('20250815_ETF_Options_Exhibits'!B116:B120)),AVERAGE('20250815_ETF_Options_Exhibits'!B116:B120),"")</f>
        <v/>
      </c>
      <c r="C120" s="3">
        <f>IF(ISNUMBER(AVERAGE('20250815_ETF_Options_Exhibits'!C116:C120)),AVERAGE('20250815_ETF_Options_Exhibits'!C116:C120),"")</f>
        <v/>
      </c>
      <c r="D120" s="3">
        <f>IF(ISNUMBER(AVERAGE('20250815_ETF_Options_Exhibits'!D116:D120)),AVERAGE('20250815_ETF_Options_Exhibits'!D116:D120),"")</f>
        <v/>
      </c>
      <c r="E120" s="3">
        <f>IF(ISNUMBER(AVERAGE('20250815_ETF_Options_Exhibits'!E116:E120)),AVERAGE('20250815_ETF_Options_Exhibits'!E116:E120),"")</f>
        <v/>
      </c>
      <c r="F120" s="3">
        <f>IF(ISNUMBER(AVERAGE('20250815_ETF_Options_Exhibits'!F116:F120)),AVERAGE('20250815_ETF_Options_Exhibits'!F116:F120),"")</f>
        <v/>
      </c>
      <c r="G120" s="3">
        <f>IF(ISNUMBER(AVERAGE('20250815_ETF_Options_Exhibits'!G116:G120)),AVERAGE('20250815_ETF_Options_Exhibits'!G116:G120),"")</f>
        <v/>
      </c>
      <c r="H120" s="3">
        <f>IF(ISNUMBER(AVERAGE('20250815_ETF_Options_Exhibits'!H116:H120)),AVERAGE('20250815_ETF_Options_Exhibits'!H116:H120),"")</f>
        <v/>
      </c>
      <c r="I120" s="3">
        <f>IF(ISNUMBER(AVERAGE('20250815_ETF_Options_Exhibits'!I116:I120)),AVERAGE('20250815_ETF_Options_Exhibits'!I116:I120),"")</f>
        <v/>
      </c>
      <c r="J120" s="3">
        <f>IF(ISNUMBER(AVERAGE('20250815_ETF_Options_Exhibits'!J116:J120)),AVERAGE('20250815_ETF_Options_Exhibits'!J116:J120),"")</f>
        <v/>
      </c>
      <c r="K120" s="3">
        <f>IF(ISNUMBER(AVERAGE('20250815_ETF_Options_Exhibits'!K116:K120)),AVERAGE('20250815_ETF_Options_Exhibits'!K116:K120),"")</f>
        <v/>
      </c>
      <c r="L120" s="3">
        <f>IF(ISNUMBER(AVERAGE('20250815_ETF_Options_Exhibits'!L116:L120)),AVERAGE('20250815_ETF_Options_Exhibits'!L116:L120),"")</f>
        <v/>
      </c>
      <c r="M120" s="3">
        <f>IF(ISNUMBER(AVERAGE('20250815_ETF_Options_Exhibits'!M116:M120)),AVERAGE('20250815_ETF_Options_Exhibits'!M116:M120),"")</f>
        <v/>
      </c>
      <c r="N120" s="3">
        <f>IF(ISNUMBER(AVERAGE('20250815_ETF_Options_Exhibits'!N116:N120)),AVERAGE('20250815_ETF_Options_Exhibits'!N116:N120),"")</f>
        <v/>
      </c>
      <c r="O120" s="3">
        <f>IF(ISNUMBER(AVERAGE('20250815_ETF_Options_Exhibits'!O116:O120)),AVERAGE('20250815_ETF_Options_Exhibits'!O116:O120),"")</f>
        <v/>
      </c>
      <c r="P120" s="3">
        <f>IF(ISNUMBER(AVERAGE('20250815_ETF_Options_Exhibits'!P116:P120)),AVERAGE('20250815_ETF_Options_Exhibits'!P116:P120),"")</f>
        <v/>
      </c>
      <c r="Q120" s="3">
        <f>IF(ISNUMBER(AVERAGE('20250815_ETF_Options_Exhibits'!Q116:Q120)),AVERAGE('20250815_ETF_Options_Exhibits'!Q116:Q120),"")</f>
        <v/>
      </c>
      <c r="R120" s="3">
        <f>IF(ISNUMBER(AVERAGE('20250815_ETF_Options_Exhibits'!R116:R120)),AVERAGE('20250815_ETF_Options_Exhibits'!R116:R120),"")</f>
        <v/>
      </c>
      <c r="S120" s="3">
        <f>IF(ISNUMBER(AVERAGE('20250815_ETF_Options_Exhibits'!S116:S120)),AVERAGE('20250815_ETF_Options_Exhibits'!S116:S120),"")</f>
        <v/>
      </c>
      <c r="T120" s="3">
        <f>IF(ISNUMBER(AVERAGE('20250815_ETF_Options_Exhibits'!T116:T120)),AVERAGE('20250815_ETF_Options_Exhibits'!T116:T120),"")</f>
        <v/>
      </c>
      <c r="U120" s="3">
        <f>IF(ISNUMBER(AVERAGE('20250815_ETF_Options_Exhibits'!U116:U120)),AVERAGE('20250815_ETF_Options_Exhibits'!U116:U120),"")</f>
        <v/>
      </c>
      <c r="V120" s="3">
        <f>IF(ISNUMBER(AVERAGE('20250815_ETF_Options_Exhibits'!V116:V120)),AVERAGE('20250815_ETF_Options_Exhibits'!V116:V120),"")</f>
        <v/>
      </c>
      <c r="W120" s="3">
        <f>IF(ISNUMBER(AVERAGE('20250815_ETF_Options_Exhibits'!W116:W120)),AVERAGE('20250815_ETF_Options_Exhibits'!W116:W120),"")</f>
        <v/>
      </c>
      <c r="X120" s="3">
        <f>IF(ISNUMBER(AVERAGE('20250815_ETF_Options_Exhibits'!X116:X120)),AVERAGE('20250815_ETF_Options_Exhibits'!X116:X120),"")</f>
        <v/>
      </c>
      <c r="Y120" s="3">
        <f>IF(ISNUMBER(AVERAGE('20250815_ETF_Options_Exhibits'!Y116:Y120)),AVERAGE('20250815_ETF_Options_Exhibits'!Y116:Y120),"")</f>
        <v/>
      </c>
      <c r="Z120" s="3">
        <f>IF(ISNUMBER(AVERAGE('20250815_ETF_Options_Exhibits'!Z116:Z120)),AVERAGE('20250815_ETF_Options_Exhibits'!Z116:Z120),"")</f>
        <v/>
      </c>
      <c r="AA120" s="3">
        <f>IF(ISNUMBER(AVERAGE('20250815_ETF_Options_Exhibits'!AA116:AA120)),AVERAGE('20250815_ETF_Options_Exhibits'!AA116:AA120),"")</f>
        <v/>
      </c>
    </row>
    <row r="121">
      <c r="A121" s="1" t="n">
        <v>42178</v>
      </c>
      <c r="B121" s="3">
        <f>IF(ISNUMBER(AVERAGE('20250815_ETF_Options_Exhibits'!B117:B121)),AVERAGE('20250815_ETF_Options_Exhibits'!B117:B121),"")</f>
        <v/>
      </c>
      <c r="C121" s="3">
        <f>IF(ISNUMBER(AVERAGE('20250815_ETF_Options_Exhibits'!C117:C121)),AVERAGE('20250815_ETF_Options_Exhibits'!C117:C121),"")</f>
        <v/>
      </c>
      <c r="D121" s="3">
        <f>IF(ISNUMBER(AVERAGE('20250815_ETF_Options_Exhibits'!D117:D121)),AVERAGE('20250815_ETF_Options_Exhibits'!D117:D121),"")</f>
        <v/>
      </c>
      <c r="E121" s="3">
        <f>IF(ISNUMBER(AVERAGE('20250815_ETF_Options_Exhibits'!E117:E121)),AVERAGE('20250815_ETF_Options_Exhibits'!E117:E121),"")</f>
        <v/>
      </c>
      <c r="F121" s="3">
        <f>IF(ISNUMBER(AVERAGE('20250815_ETF_Options_Exhibits'!F117:F121)),AVERAGE('20250815_ETF_Options_Exhibits'!F117:F121),"")</f>
        <v/>
      </c>
      <c r="G121" s="3">
        <f>IF(ISNUMBER(AVERAGE('20250815_ETF_Options_Exhibits'!G117:G121)),AVERAGE('20250815_ETF_Options_Exhibits'!G117:G121),"")</f>
        <v/>
      </c>
      <c r="H121" s="3">
        <f>IF(ISNUMBER(AVERAGE('20250815_ETF_Options_Exhibits'!H117:H121)),AVERAGE('20250815_ETF_Options_Exhibits'!H117:H121),"")</f>
        <v/>
      </c>
      <c r="I121" s="3">
        <f>IF(ISNUMBER(AVERAGE('20250815_ETF_Options_Exhibits'!I117:I121)),AVERAGE('20250815_ETF_Options_Exhibits'!I117:I121),"")</f>
        <v/>
      </c>
      <c r="J121" s="3">
        <f>IF(ISNUMBER(AVERAGE('20250815_ETF_Options_Exhibits'!J117:J121)),AVERAGE('20250815_ETF_Options_Exhibits'!J117:J121),"")</f>
        <v/>
      </c>
      <c r="K121" s="3">
        <f>IF(ISNUMBER(AVERAGE('20250815_ETF_Options_Exhibits'!K117:K121)),AVERAGE('20250815_ETF_Options_Exhibits'!K117:K121),"")</f>
        <v/>
      </c>
      <c r="L121" s="3">
        <f>IF(ISNUMBER(AVERAGE('20250815_ETF_Options_Exhibits'!L117:L121)),AVERAGE('20250815_ETF_Options_Exhibits'!L117:L121),"")</f>
        <v/>
      </c>
      <c r="M121" s="3">
        <f>IF(ISNUMBER(AVERAGE('20250815_ETF_Options_Exhibits'!M117:M121)),AVERAGE('20250815_ETF_Options_Exhibits'!M117:M121),"")</f>
        <v/>
      </c>
      <c r="N121" s="3">
        <f>IF(ISNUMBER(AVERAGE('20250815_ETF_Options_Exhibits'!N117:N121)),AVERAGE('20250815_ETF_Options_Exhibits'!N117:N121),"")</f>
        <v/>
      </c>
      <c r="O121" s="3">
        <f>IF(ISNUMBER(AVERAGE('20250815_ETF_Options_Exhibits'!O117:O121)),AVERAGE('20250815_ETF_Options_Exhibits'!O117:O121),"")</f>
        <v/>
      </c>
      <c r="P121" s="3">
        <f>IF(ISNUMBER(AVERAGE('20250815_ETF_Options_Exhibits'!P117:P121)),AVERAGE('20250815_ETF_Options_Exhibits'!P117:P121),"")</f>
        <v/>
      </c>
      <c r="Q121" s="3">
        <f>IF(ISNUMBER(AVERAGE('20250815_ETF_Options_Exhibits'!Q117:Q121)),AVERAGE('20250815_ETF_Options_Exhibits'!Q117:Q121),"")</f>
        <v/>
      </c>
      <c r="R121" s="3">
        <f>IF(ISNUMBER(AVERAGE('20250815_ETF_Options_Exhibits'!R117:R121)),AVERAGE('20250815_ETF_Options_Exhibits'!R117:R121),"")</f>
        <v/>
      </c>
      <c r="S121" s="3">
        <f>IF(ISNUMBER(AVERAGE('20250815_ETF_Options_Exhibits'!S117:S121)),AVERAGE('20250815_ETF_Options_Exhibits'!S117:S121),"")</f>
        <v/>
      </c>
      <c r="T121" s="3">
        <f>IF(ISNUMBER(AVERAGE('20250815_ETF_Options_Exhibits'!T117:T121)),AVERAGE('20250815_ETF_Options_Exhibits'!T117:T121),"")</f>
        <v/>
      </c>
      <c r="U121" s="3">
        <f>IF(ISNUMBER(AVERAGE('20250815_ETF_Options_Exhibits'!U117:U121)),AVERAGE('20250815_ETF_Options_Exhibits'!U117:U121),"")</f>
        <v/>
      </c>
      <c r="V121" s="3">
        <f>IF(ISNUMBER(AVERAGE('20250815_ETF_Options_Exhibits'!V117:V121)),AVERAGE('20250815_ETF_Options_Exhibits'!V117:V121),"")</f>
        <v/>
      </c>
      <c r="W121" s="3">
        <f>IF(ISNUMBER(AVERAGE('20250815_ETF_Options_Exhibits'!W117:W121)),AVERAGE('20250815_ETF_Options_Exhibits'!W117:W121),"")</f>
        <v/>
      </c>
      <c r="X121" s="3">
        <f>IF(ISNUMBER(AVERAGE('20250815_ETF_Options_Exhibits'!X117:X121)),AVERAGE('20250815_ETF_Options_Exhibits'!X117:X121),"")</f>
        <v/>
      </c>
      <c r="Y121" s="3">
        <f>IF(ISNUMBER(AVERAGE('20250815_ETF_Options_Exhibits'!Y117:Y121)),AVERAGE('20250815_ETF_Options_Exhibits'!Y117:Y121),"")</f>
        <v/>
      </c>
      <c r="Z121" s="3">
        <f>IF(ISNUMBER(AVERAGE('20250815_ETF_Options_Exhibits'!Z117:Z121)),AVERAGE('20250815_ETF_Options_Exhibits'!Z117:Z121),"")</f>
        <v/>
      </c>
      <c r="AA121" s="3">
        <f>IF(ISNUMBER(AVERAGE('20250815_ETF_Options_Exhibits'!AA117:AA121)),AVERAGE('20250815_ETF_Options_Exhibits'!AA117:AA121),"")</f>
        <v/>
      </c>
    </row>
    <row r="122">
      <c r="A122" s="1" t="n">
        <v>42179</v>
      </c>
      <c r="B122" s="3">
        <f>IF(ISNUMBER(AVERAGE('20250815_ETF_Options_Exhibits'!B118:B122)),AVERAGE('20250815_ETF_Options_Exhibits'!B118:B122),"")</f>
        <v/>
      </c>
      <c r="C122" s="3">
        <f>IF(ISNUMBER(AVERAGE('20250815_ETF_Options_Exhibits'!C118:C122)),AVERAGE('20250815_ETF_Options_Exhibits'!C118:C122),"")</f>
        <v/>
      </c>
      <c r="D122" s="3">
        <f>IF(ISNUMBER(AVERAGE('20250815_ETF_Options_Exhibits'!D118:D122)),AVERAGE('20250815_ETF_Options_Exhibits'!D118:D122),"")</f>
        <v/>
      </c>
      <c r="E122" s="3">
        <f>IF(ISNUMBER(AVERAGE('20250815_ETF_Options_Exhibits'!E118:E122)),AVERAGE('20250815_ETF_Options_Exhibits'!E118:E122),"")</f>
        <v/>
      </c>
      <c r="F122" s="3">
        <f>IF(ISNUMBER(AVERAGE('20250815_ETF_Options_Exhibits'!F118:F122)),AVERAGE('20250815_ETF_Options_Exhibits'!F118:F122),"")</f>
        <v/>
      </c>
      <c r="G122" s="3">
        <f>IF(ISNUMBER(AVERAGE('20250815_ETF_Options_Exhibits'!G118:G122)),AVERAGE('20250815_ETF_Options_Exhibits'!G118:G122),"")</f>
        <v/>
      </c>
      <c r="H122" s="3">
        <f>IF(ISNUMBER(AVERAGE('20250815_ETF_Options_Exhibits'!H118:H122)),AVERAGE('20250815_ETF_Options_Exhibits'!H118:H122),"")</f>
        <v/>
      </c>
      <c r="I122" s="3">
        <f>IF(ISNUMBER(AVERAGE('20250815_ETF_Options_Exhibits'!I118:I122)),AVERAGE('20250815_ETF_Options_Exhibits'!I118:I122),"")</f>
        <v/>
      </c>
      <c r="J122" s="3">
        <f>IF(ISNUMBER(AVERAGE('20250815_ETF_Options_Exhibits'!J118:J122)),AVERAGE('20250815_ETF_Options_Exhibits'!J118:J122),"")</f>
        <v/>
      </c>
      <c r="K122" s="3">
        <f>IF(ISNUMBER(AVERAGE('20250815_ETF_Options_Exhibits'!K118:K122)),AVERAGE('20250815_ETF_Options_Exhibits'!K118:K122),"")</f>
        <v/>
      </c>
      <c r="L122" s="3">
        <f>IF(ISNUMBER(AVERAGE('20250815_ETF_Options_Exhibits'!L118:L122)),AVERAGE('20250815_ETF_Options_Exhibits'!L118:L122),"")</f>
        <v/>
      </c>
      <c r="M122" s="3">
        <f>IF(ISNUMBER(AVERAGE('20250815_ETF_Options_Exhibits'!M118:M122)),AVERAGE('20250815_ETF_Options_Exhibits'!M118:M122),"")</f>
        <v/>
      </c>
      <c r="N122" s="3">
        <f>IF(ISNUMBER(AVERAGE('20250815_ETF_Options_Exhibits'!N118:N122)),AVERAGE('20250815_ETF_Options_Exhibits'!N118:N122),"")</f>
        <v/>
      </c>
      <c r="O122" s="3">
        <f>IF(ISNUMBER(AVERAGE('20250815_ETF_Options_Exhibits'!O118:O122)),AVERAGE('20250815_ETF_Options_Exhibits'!O118:O122),"")</f>
        <v/>
      </c>
      <c r="P122" s="3">
        <f>IF(ISNUMBER(AVERAGE('20250815_ETF_Options_Exhibits'!P118:P122)),AVERAGE('20250815_ETF_Options_Exhibits'!P118:P122),"")</f>
        <v/>
      </c>
      <c r="Q122" s="3">
        <f>IF(ISNUMBER(AVERAGE('20250815_ETF_Options_Exhibits'!Q118:Q122)),AVERAGE('20250815_ETF_Options_Exhibits'!Q118:Q122),"")</f>
        <v/>
      </c>
      <c r="R122" s="3">
        <f>IF(ISNUMBER(AVERAGE('20250815_ETF_Options_Exhibits'!R118:R122)),AVERAGE('20250815_ETF_Options_Exhibits'!R118:R122),"")</f>
        <v/>
      </c>
      <c r="S122" s="3">
        <f>IF(ISNUMBER(AVERAGE('20250815_ETF_Options_Exhibits'!S118:S122)),AVERAGE('20250815_ETF_Options_Exhibits'!S118:S122),"")</f>
        <v/>
      </c>
      <c r="T122" s="3">
        <f>IF(ISNUMBER(AVERAGE('20250815_ETF_Options_Exhibits'!T118:T122)),AVERAGE('20250815_ETF_Options_Exhibits'!T118:T122),"")</f>
        <v/>
      </c>
      <c r="U122" s="3">
        <f>IF(ISNUMBER(AVERAGE('20250815_ETF_Options_Exhibits'!U118:U122)),AVERAGE('20250815_ETF_Options_Exhibits'!U118:U122),"")</f>
        <v/>
      </c>
      <c r="V122" s="3">
        <f>IF(ISNUMBER(AVERAGE('20250815_ETF_Options_Exhibits'!V118:V122)),AVERAGE('20250815_ETF_Options_Exhibits'!V118:V122),"")</f>
        <v/>
      </c>
      <c r="W122" s="3">
        <f>IF(ISNUMBER(AVERAGE('20250815_ETF_Options_Exhibits'!W118:W122)),AVERAGE('20250815_ETF_Options_Exhibits'!W118:W122),"")</f>
        <v/>
      </c>
      <c r="X122" s="3">
        <f>IF(ISNUMBER(AVERAGE('20250815_ETF_Options_Exhibits'!X118:X122)),AVERAGE('20250815_ETF_Options_Exhibits'!X118:X122),"")</f>
        <v/>
      </c>
      <c r="Y122" s="3">
        <f>IF(ISNUMBER(AVERAGE('20250815_ETF_Options_Exhibits'!Y118:Y122)),AVERAGE('20250815_ETF_Options_Exhibits'!Y118:Y122),"")</f>
        <v/>
      </c>
      <c r="Z122" s="3">
        <f>IF(ISNUMBER(AVERAGE('20250815_ETF_Options_Exhibits'!Z118:Z122)),AVERAGE('20250815_ETF_Options_Exhibits'!Z118:Z122),"")</f>
        <v/>
      </c>
      <c r="AA122" s="3">
        <f>IF(ISNUMBER(AVERAGE('20250815_ETF_Options_Exhibits'!AA118:AA122)),AVERAGE('20250815_ETF_Options_Exhibits'!AA118:AA122),"")</f>
        <v/>
      </c>
    </row>
    <row r="123">
      <c r="A123" s="1" t="n">
        <v>42180</v>
      </c>
      <c r="B123" s="3">
        <f>IF(ISNUMBER(AVERAGE('20250815_ETF_Options_Exhibits'!B119:B123)),AVERAGE('20250815_ETF_Options_Exhibits'!B119:B123),"")</f>
        <v/>
      </c>
      <c r="C123" s="3">
        <f>IF(ISNUMBER(AVERAGE('20250815_ETF_Options_Exhibits'!C119:C123)),AVERAGE('20250815_ETF_Options_Exhibits'!C119:C123),"")</f>
        <v/>
      </c>
      <c r="D123" s="3">
        <f>IF(ISNUMBER(AVERAGE('20250815_ETF_Options_Exhibits'!D119:D123)),AVERAGE('20250815_ETF_Options_Exhibits'!D119:D123),"")</f>
        <v/>
      </c>
      <c r="E123" s="3">
        <f>IF(ISNUMBER(AVERAGE('20250815_ETF_Options_Exhibits'!E119:E123)),AVERAGE('20250815_ETF_Options_Exhibits'!E119:E123),"")</f>
        <v/>
      </c>
      <c r="F123" s="3">
        <f>IF(ISNUMBER(AVERAGE('20250815_ETF_Options_Exhibits'!F119:F123)),AVERAGE('20250815_ETF_Options_Exhibits'!F119:F123),"")</f>
        <v/>
      </c>
      <c r="G123" s="3">
        <f>IF(ISNUMBER(AVERAGE('20250815_ETF_Options_Exhibits'!G119:G123)),AVERAGE('20250815_ETF_Options_Exhibits'!G119:G123),"")</f>
        <v/>
      </c>
      <c r="H123" s="3">
        <f>IF(ISNUMBER(AVERAGE('20250815_ETF_Options_Exhibits'!H119:H123)),AVERAGE('20250815_ETF_Options_Exhibits'!H119:H123),"")</f>
        <v/>
      </c>
      <c r="I123" s="3">
        <f>IF(ISNUMBER(AVERAGE('20250815_ETF_Options_Exhibits'!I119:I123)),AVERAGE('20250815_ETF_Options_Exhibits'!I119:I123),"")</f>
        <v/>
      </c>
      <c r="J123" s="3">
        <f>IF(ISNUMBER(AVERAGE('20250815_ETF_Options_Exhibits'!J119:J123)),AVERAGE('20250815_ETF_Options_Exhibits'!J119:J123),"")</f>
        <v/>
      </c>
      <c r="K123" s="3">
        <f>IF(ISNUMBER(AVERAGE('20250815_ETF_Options_Exhibits'!K119:K123)),AVERAGE('20250815_ETF_Options_Exhibits'!K119:K123),"")</f>
        <v/>
      </c>
      <c r="L123" s="3">
        <f>IF(ISNUMBER(AVERAGE('20250815_ETF_Options_Exhibits'!L119:L123)),AVERAGE('20250815_ETF_Options_Exhibits'!L119:L123),"")</f>
        <v/>
      </c>
      <c r="M123" s="3">
        <f>IF(ISNUMBER(AVERAGE('20250815_ETF_Options_Exhibits'!M119:M123)),AVERAGE('20250815_ETF_Options_Exhibits'!M119:M123),"")</f>
        <v/>
      </c>
      <c r="N123" s="3">
        <f>IF(ISNUMBER(AVERAGE('20250815_ETF_Options_Exhibits'!N119:N123)),AVERAGE('20250815_ETF_Options_Exhibits'!N119:N123),"")</f>
        <v/>
      </c>
      <c r="O123" s="3">
        <f>IF(ISNUMBER(AVERAGE('20250815_ETF_Options_Exhibits'!O119:O123)),AVERAGE('20250815_ETF_Options_Exhibits'!O119:O123),"")</f>
        <v/>
      </c>
      <c r="P123" s="3">
        <f>IF(ISNUMBER(AVERAGE('20250815_ETF_Options_Exhibits'!P119:P123)),AVERAGE('20250815_ETF_Options_Exhibits'!P119:P123),"")</f>
        <v/>
      </c>
      <c r="Q123" s="3">
        <f>IF(ISNUMBER(AVERAGE('20250815_ETF_Options_Exhibits'!Q119:Q123)),AVERAGE('20250815_ETF_Options_Exhibits'!Q119:Q123),"")</f>
        <v/>
      </c>
      <c r="R123" s="3">
        <f>IF(ISNUMBER(AVERAGE('20250815_ETF_Options_Exhibits'!R119:R123)),AVERAGE('20250815_ETF_Options_Exhibits'!R119:R123),"")</f>
        <v/>
      </c>
      <c r="S123" s="3">
        <f>IF(ISNUMBER(AVERAGE('20250815_ETF_Options_Exhibits'!S119:S123)),AVERAGE('20250815_ETF_Options_Exhibits'!S119:S123),"")</f>
        <v/>
      </c>
      <c r="T123" s="3">
        <f>IF(ISNUMBER(AVERAGE('20250815_ETF_Options_Exhibits'!T119:T123)),AVERAGE('20250815_ETF_Options_Exhibits'!T119:T123),"")</f>
        <v/>
      </c>
      <c r="U123" s="3">
        <f>IF(ISNUMBER(AVERAGE('20250815_ETF_Options_Exhibits'!U119:U123)),AVERAGE('20250815_ETF_Options_Exhibits'!U119:U123),"")</f>
        <v/>
      </c>
      <c r="V123" s="3">
        <f>IF(ISNUMBER(AVERAGE('20250815_ETF_Options_Exhibits'!V119:V123)),AVERAGE('20250815_ETF_Options_Exhibits'!V119:V123),"")</f>
        <v/>
      </c>
      <c r="W123" s="3">
        <f>IF(ISNUMBER(AVERAGE('20250815_ETF_Options_Exhibits'!W119:W123)),AVERAGE('20250815_ETF_Options_Exhibits'!W119:W123),"")</f>
        <v/>
      </c>
      <c r="X123" s="3">
        <f>IF(ISNUMBER(AVERAGE('20250815_ETF_Options_Exhibits'!X119:X123)),AVERAGE('20250815_ETF_Options_Exhibits'!X119:X123),"")</f>
        <v/>
      </c>
      <c r="Y123" s="3">
        <f>IF(ISNUMBER(AVERAGE('20250815_ETF_Options_Exhibits'!Y119:Y123)),AVERAGE('20250815_ETF_Options_Exhibits'!Y119:Y123),"")</f>
        <v/>
      </c>
      <c r="Z123" s="3">
        <f>IF(ISNUMBER(AVERAGE('20250815_ETF_Options_Exhibits'!Z119:Z123)),AVERAGE('20250815_ETF_Options_Exhibits'!Z119:Z123),"")</f>
        <v/>
      </c>
      <c r="AA123" s="3">
        <f>IF(ISNUMBER(AVERAGE('20250815_ETF_Options_Exhibits'!AA119:AA123)),AVERAGE('20250815_ETF_Options_Exhibits'!AA119:AA123),"")</f>
        <v/>
      </c>
    </row>
    <row r="124">
      <c r="A124" s="1" t="n">
        <v>42181</v>
      </c>
      <c r="B124" s="3">
        <f>IF(ISNUMBER(AVERAGE('20250815_ETF_Options_Exhibits'!B120:B124)),AVERAGE('20250815_ETF_Options_Exhibits'!B120:B124),"")</f>
        <v/>
      </c>
      <c r="C124" s="3">
        <f>IF(ISNUMBER(AVERAGE('20250815_ETF_Options_Exhibits'!C120:C124)),AVERAGE('20250815_ETF_Options_Exhibits'!C120:C124),"")</f>
        <v/>
      </c>
      <c r="D124" s="3">
        <f>IF(ISNUMBER(AVERAGE('20250815_ETF_Options_Exhibits'!D120:D124)),AVERAGE('20250815_ETF_Options_Exhibits'!D120:D124),"")</f>
        <v/>
      </c>
      <c r="E124" s="3">
        <f>IF(ISNUMBER(AVERAGE('20250815_ETF_Options_Exhibits'!E120:E124)),AVERAGE('20250815_ETF_Options_Exhibits'!E120:E124),"")</f>
        <v/>
      </c>
      <c r="F124" s="3">
        <f>IF(ISNUMBER(AVERAGE('20250815_ETF_Options_Exhibits'!F120:F124)),AVERAGE('20250815_ETF_Options_Exhibits'!F120:F124),"")</f>
        <v/>
      </c>
      <c r="G124" s="3">
        <f>IF(ISNUMBER(AVERAGE('20250815_ETF_Options_Exhibits'!G120:G124)),AVERAGE('20250815_ETF_Options_Exhibits'!G120:G124),"")</f>
        <v/>
      </c>
      <c r="H124" s="3">
        <f>IF(ISNUMBER(AVERAGE('20250815_ETF_Options_Exhibits'!H120:H124)),AVERAGE('20250815_ETF_Options_Exhibits'!H120:H124),"")</f>
        <v/>
      </c>
      <c r="I124" s="3">
        <f>IF(ISNUMBER(AVERAGE('20250815_ETF_Options_Exhibits'!I120:I124)),AVERAGE('20250815_ETF_Options_Exhibits'!I120:I124),"")</f>
        <v/>
      </c>
      <c r="J124" s="3">
        <f>IF(ISNUMBER(AVERAGE('20250815_ETF_Options_Exhibits'!J120:J124)),AVERAGE('20250815_ETF_Options_Exhibits'!J120:J124),"")</f>
        <v/>
      </c>
      <c r="K124" s="3">
        <f>IF(ISNUMBER(AVERAGE('20250815_ETF_Options_Exhibits'!K120:K124)),AVERAGE('20250815_ETF_Options_Exhibits'!K120:K124),"")</f>
        <v/>
      </c>
      <c r="L124" s="3">
        <f>IF(ISNUMBER(AVERAGE('20250815_ETF_Options_Exhibits'!L120:L124)),AVERAGE('20250815_ETF_Options_Exhibits'!L120:L124),"")</f>
        <v/>
      </c>
      <c r="M124" s="3">
        <f>IF(ISNUMBER(AVERAGE('20250815_ETF_Options_Exhibits'!M120:M124)),AVERAGE('20250815_ETF_Options_Exhibits'!M120:M124),"")</f>
        <v/>
      </c>
      <c r="N124" s="3">
        <f>IF(ISNUMBER(AVERAGE('20250815_ETF_Options_Exhibits'!N120:N124)),AVERAGE('20250815_ETF_Options_Exhibits'!N120:N124),"")</f>
        <v/>
      </c>
      <c r="O124" s="3">
        <f>IF(ISNUMBER(AVERAGE('20250815_ETF_Options_Exhibits'!O120:O124)),AVERAGE('20250815_ETF_Options_Exhibits'!O120:O124),"")</f>
        <v/>
      </c>
      <c r="P124" s="3">
        <f>IF(ISNUMBER(AVERAGE('20250815_ETF_Options_Exhibits'!P120:P124)),AVERAGE('20250815_ETF_Options_Exhibits'!P120:P124),"")</f>
        <v/>
      </c>
      <c r="Q124" s="3">
        <f>IF(ISNUMBER(AVERAGE('20250815_ETF_Options_Exhibits'!Q120:Q124)),AVERAGE('20250815_ETF_Options_Exhibits'!Q120:Q124),"")</f>
        <v/>
      </c>
      <c r="R124" s="3">
        <f>IF(ISNUMBER(AVERAGE('20250815_ETF_Options_Exhibits'!R120:R124)),AVERAGE('20250815_ETF_Options_Exhibits'!R120:R124),"")</f>
        <v/>
      </c>
      <c r="S124" s="3">
        <f>IF(ISNUMBER(AVERAGE('20250815_ETF_Options_Exhibits'!S120:S124)),AVERAGE('20250815_ETF_Options_Exhibits'!S120:S124),"")</f>
        <v/>
      </c>
      <c r="T124" s="3">
        <f>IF(ISNUMBER(AVERAGE('20250815_ETF_Options_Exhibits'!T120:T124)),AVERAGE('20250815_ETF_Options_Exhibits'!T120:T124),"")</f>
        <v/>
      </c>
      <c r="U124" s="3">
        <f>IF(ISNUMBER(AVERAGE('20250815_ETF_Options_Exhibits'!U120:U124)),AVERAGE('20250815_ETF_Options_Exhibits'!U120:U124),"")</f>
        <v/>
      </c>
      <c r="V124" s="3">
        <f>IF(ISNUMBER(AVERAGE('20250815_ETF_Options_Exhibits'!V120:V124)),AVERAGE('20250815_ETF_Options_Exhibits'!V120:V124),"")</f>
        <v/>
      </c>
      <c r="W124" s="3">
        <f>IF(ISNUMBER(AVERAGE('20250815_ETF_Options_Exhibits'!W120:W124)),AVERAGE('20250815_ETF_Options_Exhibits'!W120:W124),"")</f>
        <v/>
      </c>
      <c r="X124" s="3">
        <f>IF(ISNUMBER(AVERAGE('20250815_ETF_Options_Exhibits'!X120:X124)),AVERAGE('20250815_ETF_Options_Exhibits'!X120:X124),"")</f>
        <v/>
      </c>
      <c r="Y124" s="3">
        <f>IF(ISNUMBER(AVERAGE('20250815_ETF_Options_Exhibits'!Y120:Y124)),AVERAGE('20250815_ETF_Options_Exhibits'!Y120:Y124),"")</f>
        <v/>
      </c>
      <c r="Z124" s="3">
        <f>IF(ISNUMBER(AVERAGE('20250815_ETF_Options_Exhibits'!Z120:Z124)),AVERAGE('20250815_ETF_Options_Exhibits'!Z120:Z124),"")</f>
        <v/>
      </c>
      <c r="AA124" s="3">
        <f>IF(ISNUMBER(AVERAGE('20250815_ETF_Options_Exhibits'!AA120:AA124)),AVERAGE('20250815_ETF_Options_Exhibits'!AA120:AA124),"")</f>
        <v/>
      </c>
    </row>
    <row r="125">
      <c r="A125" s="1" t="n">
        <v>42184</v>
      </c>
      <c r="B125" s="3">
        <f>IF(ISNUMBER(AVERAGE('20250815_ETF_Options_Exhibits'!B121:B125)),AVERAGE('20250815_ETF_Options_Exhibits'!B121:B125),"")</f>
        <v/>
      </c>
      <c r="C125" s="3">
        <f>IF(ISNUMBER(AVERAGE('20250815_ETF_Options_Exhibits'!C121:C125)),AVERAGE('20250815_ETF_Options_Exhibits'!C121:C125),"")</f>
        <v/>
      </c>
      <c r="D125" s="3">
        <f>IF(ISNUMBER(AVERAGE('20250815_ETF_Options_Exhibits'!D121:D125)),AVERAGE('20250815_ETF_Options_Exhibits'!D121:D125),"")</f>
        <v/>
      </c>
      <c r="E125" s="3">
        <f>IF(ISNUMBER(AVERAGE('20250815_ETF_Options_Exhibits'!E121:E125)),AVERAGE('20250815_ETF_Options_Exhibits'!E121:E125),"")</f>
        <v/>
      </c>
      <c r="F125" s="3">
        <f>IF(ISNUMBER(AVERAGE('20250815_ETF_Options_Exhibits'!F121:F125)),AVERAGE('20250815_ETF_Options_Exhibits'!F121:F125),"")</f>
        <v/>
      </c>
      <c r="G125" s="3">
        <f>IF(ISNUMBER(AVERAGE('20250815_ETF_Options_Exhibits'!G121:G125)),AVERAGE('20250815_ETF_Options_Exhibits'!G121:G125),"")</f>
        <v/>
      </c>
      <c r="H125" s="3">
        <f>IF(ISNUMBER(AVERAGE('20250815_ETF_Options_Exhibits'!H121:H125)),AVERAGE('20250815_ETF_Options_Exhibits'!H121:H125),"")</f>
        <v/>
      </c>
      <c r="I125" s="3">
        <f>IF(ISNUMBER(AVERAGE('20250815_ETF_Options_Exhibits'!I121:I125)),AVERAGE('20250815_ETF_Options_Exhibits'!I121:I125),"")</f>
        <v/>
      </c>
      <c r="J125" s="3">
        <f>IF(ISNUMBER(AVERAGE('20250815_ETF_Options_Exhibits'!J121:J125)),AVERAGE('20250815_ETF_Options_Exhibits'!J121:J125),"")</f>
        <v/>
      </c>
      <c r="K125" s="3">
        <f>IF(ISNUMBER(AVERAGE('20250815_ETF_Options_Exhibits'!K121:K125)),AVERAGE('20250815_ETF_Options_Exhibits'!K121:K125),"")</f>
        <v/>
      </c>
      <c r="L125" s="3">
        <f>IF(ISNUMBER(AVERAGE('20250815_ETF_Options_Exhibits'!L121:L125)),AVERAGE('20250815_ETF_Options_Exhibits'!L121:L125),"")</f>
        <v/>
      </c>
      <c r="M125" s="3">
        <f>IF(ISNUMBER(AVERAGE('20250815_ETF_Options_Exhibits'!M121:M125)),AVERAGE('20250815_ETF_Options_Exhibits'!M121:M125),"")</f>
        <v/>
      </c>
      <c r="N125" s="3">
        <f>IF(ISNUMBER(AVERAGE('20250815_ETF_Options_Exhibits'!N121:N125)),AVERAGE('20250815_ETF_Options_Exhibits'!N121:N125),"")</f>
        <v/>
      </c>
      <c r="O125" s="3">
        <f>IF(ISNUMBER(AVERAGE('20250815_ETF_Options_Exhibits'!O121:O125)),AVERAGE('20250815_ETF_Options_Exhibits'!O121:O125),"")</f>
        <v/>
      </c>
      <c r="P125" s="3">
        <f>IF(ISNUMBER(AVERAGE('20250815_ETF_Options_Exhibits'!P121:P125)),AVERAGE('20250815_ETF_Options_Exhibits'!P121:P125),"")</f>
        <v/>
      </c>
      <c r="Q125" s="3">
        <f>IF(ISNUMBER(AVERAGE('20250815_ETF_Options_Exhibits'!Q121:Q125)),AVERAGE('20250815_ETF_Options_Exhibits'!Q121:Q125),"")</f>
        <v/>
      </c>
      <c r="R125" s="3">
        <f>IF(ISNUMBER(AVERAGE('20250815_ETF_Options_Exhibits'!R121:R125)),AVERAGE('20250815_ETF_Options_Exhibits'!R121:R125),"")</f>
        <v/>
      </c>
      <c r="S125" s="3">
        <f>IF(ISNUMBER(AVERAGE('20250815_ETF_Options_Exhibits'!S121:S125)),AVERAGE('20250815_ETF_Options_Exhibits'!S121:S125),"")</f>
        <v/>
      </c>
      <c r="T125" s="3">
        <f>IF(ISNUMBER(AVERAGE('20250815_ETF_Options_Exhibits'!T121:T125)),AVERAGE('20250815_ETF_Options_Exhibits'!T121:T125),"")</f>
        <v/>
      </c>
      <c r="U125" s="3">
        <f>IF(ISNUMBER(AVERAGE('20250815_ETF_Options_Exhibits'!U121:U125)),AVERAGE('20250815_ETF_Options_Exhibits'!U121:U125),"")</f>
        <v/>
      </c>
      <c r="V125" s="3">
        <f>IF(ISNUMBER(AVERAGE('20250815_ETF_Options_Exhibits'!V121:V125)),AVERAGE('20250815_ETF_Options_Exhibits'!V121:V125),"")</f>
        <v/>
      </c>
      <c r="W125" s="3">
        <f>IF(ISNUMBER(AVERAGE('20250815_ETF_Options_Exhibits'!W121:W125)),AVERAGE('20250815_ETF_Options_Exhibits'!W121:W125),"")</f>
        <v/>
      </c>
      <c r="X125" s="3">
        <f>IF(ISNUMBER(AVERAGE('20250815_ETF_Options_Exhibits'!X121:X125)),AVERAGE('20250815_ETF_Options_Exhibits'!X121:X125),"")</f>
        <v/>
      </c>
      <c r="Y125" s="3">
        <f>IF(ISNUMBER(AVERAGE('20250815_ETF_Options_Exhibits'!Y121:Y125)),AVERAGE('20250815_ETF_Options_Exhibits'!Y121:Y125),"")</f>
        <v/>
      </c>
      <c r="Z125" s="3">
        <f>IF(ISNUMBER(AVERAGE('20250815_ETF_Options_Exhibits'!Z121:Z125)),AVERAGE('20250815_ETF_Options_Exhibits'!Z121:Z125),"")</f>
        <v/>
      </c>
      <c r="AA125" s="3">
        <f>IF(ISNUMBER(AVERAGE('20250815_ETF_Options_Exhibits'!AA121:AA125)),AVERAGE('20250815_ETF_Options_Exhibits'!AA121:AA125),"")</f>
        <v/>
      </c>
    </row>
    <row r="126">
      <c r="A126" s="1" t="n">
        <v>42185</v>
      </c>
      <c r="B126" s="3">
        <f>IF(ISNUMBER(AVERAGE('20250815_ETF_Options_Exhibits'!B122:B126)),AVERAGE('20250815_ETF_Options_Exhibits'!B122:B126),"")</f>
        <v/>
      </c>
      <c r="C126" s="3">
        <f>IF(ISNUMBER(AVERAGE('20250815_ETF_Options_Exhibits'!C122:C126)),AVERAGE('20250815_ETF_Options_Exhibits'!C122:C126),"")</f>
        <v/>
      </c>
      <c r="D126" s="3">
        <f>IF(ISNUMBER(AVERAGE('20250815_ETF_Options_Exhibits'!D122:D126)),AVERAGE('20250815_ETF_Options_Exhibits'!D122:D126),"")</f>
        <v/>
      </c>
      <c r="E126" s="3">
        <f>IF(ISNUMBER(AVERAGE('20250815_ETF_Options_Exhibits'!E122:E126)),AVERAGE('20250815_ETF_Options_Exhibits'!E122:E126),"")</f>
        <v/>
      </c>
      <c r="F126" s="3">
        <f>IF(ISNUMBER(AVERAGE('20250815_ETF_Options_Exhibits'!F122:F126)),AVERAGE('20250815_ETF_Options_Exhibits'!F122:F126),"")</f>
        <v/>
      </c>
      <c r="G126" s="3">
        <f>IF(ISNUMBER(AVERAGE('20250815_ETF_Options_Exhibits'!G122:G126)),AVERAGE('20250815_ETF_Options_Exhibits'!G122:G126),"")</f>
        <v/>
      </c>
      <c r="H126" s="3">
        <f>IF(ISNUMBER(AVERAGE('20250815_ETF_Options_Exhibits'!H122:H126)),AVERAGE('20250815_ETF_Options_Exhibits'!H122:H126),"")</f>
        <v/>
      </c>
      <c r="I126" s="3">
        <f>IF(ISNUMBER(AVERAGE('20250815_ETF_Options_Exhibits'!I122:I126)),AVERAGE('20250815_ETF_Options_Exhibits'!I122:I126),"")</f>
        <v/>
      </c>
      <c r="J126" s="3">
        <f>IF(ISNUMBER(AVERAGE('20250815_ETF_Options_Exhibits'!J122:J126)),AVERAGE('20250815_ETF_Options_Exhibits'!J122:J126),"")</f>
        <v/>
      </c>
      <c r="K126" s="3">
        <f>IF(ISNUMBER(AVERAGE('20250815_ETF_Options_Exhibits'!K122:K126)),AVERAGE('20250815_ETF_Options_Exhibits'!K122:K126),"")</f>
        <v/>
      </c>
      <c r="L126" s="3">
        <f>IF(ISNUMBER(AVERAGE('20250815_ETF_Options_Exhibits'!L122:L126)),AVERAGE('20250815_ETF_Options_Exhibits'!L122:L126),"")</f>
        <v/>
      </c>
      <c r="M126" s="3">
        <f>IF(ISNUMBER(AVERAGE('20250815_ETF_Options_Exhibits'!M122:M126)),AVERAGE('20250815_ETF_Options_Exhibits'!M122:M126),"")</f>
        <v/>
      </c>
      <c r="N126" s="3">
        <f>IF(ISNUMBER(AVERAGE('20250815_ETF_Options_Exhibits'!N122:N126)),AVERAGE('20250815_ETF_Options_Exhibits'!N122:N126),"")</f>
        <v/>
      </c>
      <c r="O126" s="3">
        <f>IF(ISNUMBER(AVERAGE('20250815_ETF_Options_Exhibits'!O122:O126)),AVERAGE('20250815_ETF_Options_Exhibits'!O122:O126),"")</f>
        <v/>
      </c>
      <c r="P126" s="3">
        <f>IF(ISNUMBER(AVERAGE('20250815_ETF_Options_Exhibits'!P122:P126)),AVERAGE('20250815_ETF_Options_Exhibits'!P122:P126),"")</f>
        <v/>
      </c>
      <c r="Q126" s="3">
        <f>IF(ISNUMBER(AVERAGE('20250815_ETF_Options_Exhibits'!Q122:Q126)),AVERAGE('20250815_ETF_Options_Exhibits'!Q122:Q126),"")</f>
        <v/>
      </c>
      <c r="R126" s="3">
        <f>IF(ISNUMBER(AVERAGE('20250815_ETF_Options_Exhibits'!R122:R126)),AVERAGE('20250815_ETF_Options_Exhibits'!R122:R126),"")</f>
        <v/>
      </c>
      <c r="S126" s="3">
        <f>IF(ISNUMBER(AVERAGE('20250815_ETF_Options_Exhibits'!S122:S126)),AVERAGE('20250815_ETF_Options_Exhibits'!S122:S126),"")</f>
        <v/>
      </c>
      <c r="T126" s="3">
        <f>IF(ISNUMBER(AVERAGE('20250815_ETF_Options_Exhibits'!T122:T126)),AVERAGE('20250815_ETF_Options_Exhibits'!T122:T126),"")</f>
        <v/>
      </c>
      <c r="U126" s="3">
        <f>IF(ISNUMBER(AVERAGE('20250815_ETF_Options_Exhibits'!U122:U126)),AVERAGE('20250815_ETF_Options_Exhibits'!U122:U126),"")</f>
        <v/>
      </c>
      <c r="V126" s="3">
        <f>IF(ISNUMBER(AVERAGE('20250815_ETF_Options_Exhibits'!V122:V126)),AVERAGE('20250815_ETF_Options_Exhibits'!V122:V126),"")</f>
        <v/>
      </c>
      <c r="W126" s="3">
        <f>IF(ISNUMBER(AVERAGE('20250815_ETF_Options_Exhibits'!W122:W126)),AVERAGE('20250815_ETF_Options_Exhibits'!W122:W126),"")</f>
        <v/>
      </c>
      <c r="X126" s="3">
        <f>IF(ISNUMBER(AVERAGE('20250815_ETF_Options_Exhibits'!X122:X126)),AVERAGE('20250815_ETF_Options_Exhibits'!X122:X126),"")</f>
        <v/>
      </c>
      <c r="Y126" s="3">
        <f>IF(ISNUMBER(AVERAGE('20250815_ETF_Options_Exhibits'!Y122:Y126)),AVERAGE('20250815_ETF_Options_Exhibits'!Y122:Y126),"")</f>
        <v/>
      </c>
      <c r="Z126" s="3">
        <f>IF(ISNUMBER(AVERAGE('20250815_ETF_Options_Exhibits'!Z122:Z126)),AVERAGE('20250815_ETF_Options_Exhibits'!Z122:Z126),"")</f>
        <v/>
      </c>
      <c r="AA126" s="3">
        <f>IF(ISNUMBER(AVERAGE('20250815_ETF_Options_Exhibits'!AA122:AA126)),AVERAGE('20250815_ETF_Options_Exhibits'!AA122:AA126),"")</f>
        <v/>
      </c>
    </row>
    <row r="127">
      <c r="A127" s="1" t="n">
        <v>42186</v>
      </c>
      <c r="B127" s="3">
        <f>IF(ISNUMBER(AVERAGE('20250815_ETF_Options_Exhibits'!B123:B127)),AVERAGE('20250815_ETF_Options_Exhibits'!B123:B127),"")</f>
        <v/>
      </c>
      <c r="C127" s="3">
        <f>IF(ISNUMBER(AVERAGE('20250815_ETF_Options_Exhibits'!C123:C127)),AVERAGE('20250815_ETF_Options_Exhibits'!C123:C127),"")</f>
        <v/>
      </c>
      <c r="D127" s="3">
        <f>IF(ISNUMBER(AVERAGE('20250815_ETF_Options_Exhibits'!D123:D127)),AVERAGE('20250815_ETF_Options_Exhibits'!D123:D127),"")</f>
        <v/>
      </c>
      <c r="E127" s="3">
        <f>IF(ISNUMBER(AVERAGE('20250815_ETF_Options_Exhibits'!E123:E127)),AVERAGE('20250815_ETF_Options_Exhibits'!E123:E127),"")</f>
        <v/>
      </c>
      <c r="F127" s="3">
        <f>IF(ISNUMBER(AVERAGE('20250815_ETF_Options_Exhibits'!F123:F127)),AVERAGE('20250815_ETF_Options_Exhibits'!F123:F127),"")</f>
        <v/>
      </c>
      <c r="G127" s="3">
        <f>IF(ISNUMBER(AVERAGE('20250815_ETF_Options_Exhibits'!G123:G127)),AVERAGE('20250815_ETF_Options_Exhibits'!G123:G127),"")</f>
        <v/>
      </c>
      <c r="H127" s="3">
        <f>IF(ISNUMBER(AVERAGE('20250815_ETF_Options_Exhibits'!H123:H127)),AVERAGE('20250815_ETF_Options_Exhibits'!H123:H127),"")</f>
        <v/>
      </c>
      <c r="I127" s="3">
        <f>IF(ISNUMBER(AVERAGE('20250815_ETF_Options_Exhibits'!I123:I127)),AVERAGE('20250815_ETF_Options_Exhibits'!I123:I127),"")</f>
        <v/>
      </c>
      <c r="J127" s="3">
        <f>IF(ISNUMBER(AVERAGE('20250815_ETF_Options_Exhibits'!J123:J127)),AVERAGE('20250815_ETF_Options_Exhibits'!J123:J127),"")</f>
        <v/>
      </c>
      <c r="K127" s="3">
        <f>IF(ISNUMBER(AVERAGE('20250815_ETF_Options_Exhibits'!K123:K127)),AVERAGE('20250815_ETF_Options_Exhibits'!K123:K127),"")</f>
        <v/>
      </c>
      <c r="L127" s="3">
        <f>IF(ISNUMBER(AVERAGE('20250815_ETF_Options_Exhibits'!L123:L127)),AVERAGE('20250815_ETF_Options_Exhibits'!L123:L127),"")</f>
        <v/>
      </c>
      <c r="M127" s="3">
        <f>IF(ISNUMBER(AVERAGE('20250815_ETF_Options_Exhibits'!M123:M127)),AVERAGE('20250815_ETF_Options_Exhibits'!M123:M127),"")</f>
        <v/>
      </c>
      <c r="N127" s="3">
        <f>IF(ISNUMBER(AVERAGE('20250815_ETF_Options_Exhibits'!N123:N127)),AVERAGE('20250815_ETF_Options_Exhibits'!N123:N127),"")</f>
        <v/>
      </c>
      <c r="O127" s="3">
        <f>IF(ISNUMBER(AVERAGE('20250815_ETF_Options_Exhibits'!O123:O127)),AVERAGE('20250815_ETF_Options_Exhibits'!O123:O127),"")</f>
        <v/>
      </c>
      <c r="P127" s="3">
        <f>IF(ISNUMBER(AVERAGE('20250815_ETF_Options_Exhibits'!P123:P127)),AVERAGE('20250815_ETF_Options_Exhibits'!P123:P127),"")</f>
        <v/>
      </c>
      <c r="Q127" s="3">
        <f>IF(ISNUMBER(AVERAGE('20250815_ETF_Options_Exhibits'!Q123:Q127)),AVERAGE('20250815_ETF_Options_Exhibits'!Q123:Q127),"")</f>
        <v/>
      </c>
      <c r="R127" s="3">
        <f>IF(ISNUMBER(AVERAGE('20250815_ETF_Options_Exhibits'!R123:R127)),AVERAGE('20250815_ETF_Options_Exhibits'!R123:R127),"")</f>
        <v/>
      </c>
      <c r="S127" s="3">
        <f>IF(ISNUMBER(AVERAGE('20250815_ETF_Options_Exhibits'!S123:S127)),AVERAGE('20250815_ETF_Options_Exhibits'!S123:S127),"")</f>
        <v/>
      </c>
      <c r="T127" s="3">
        <f>IF(ISNUMBER(AVERAGE('20250815_ETF_Options_Exhibits'!T123:T127)),AVERAGE('20250815_ETF_Options_Exhibits'!T123:T127),"")</f>
        <v/>
      </c>
      <c r="U127" s="3">
        <f>IF(ISNUMBER(AVERAGE('20250815_ETF_Options_Exhibits'!U123:U127)),AVERAGE('20250815_ETF_Options_Exhibits'!U123:U127),"")</f>
        <v/>
      </c>
      <c r="V127" s="3">
        <f>IF(ISNUMBER(AVERAGE('20250815_ETF_Options_Exhibits'!V123:V127)),AVERAGE('20250815_ETF_Options_Exhibits'!V123:V127),"")</f>
        <v/>
      </c>
      <c r="W127" s="3">
        <f>IF(ISNUMBER(AVERAGE('20250815_ETF_Options_Exhibits'!W123:W127)),AVERAGE('20250815_ETF_Options_Exhibits'!W123:W127),"")</f>
        <v/>
      </c>
      <c r="X127" s="3">
        <f>IF(ISNUMBER(AVERAGE('20250815_ETF_Options_Exhibits'!X123:X127)),AVERAGE('20250815_ETF_Options_Exhibits'!X123:X127),"")</f>
        <v/>
      </c>
      <c r="Y127" s="3">
        <f>IF(ISNUMBER(AVERAGE('20250815_ETF_Options_Exhibits'!Y123:Y127)),AVERAGE('20250815_ETF_Options_Exhibits'!Y123:Y127),"")</f>
        <v/>
      </c>
      <c r="Z127" s="3">
        <f>IF(ISNUMBER(AVERAGE('20250815_ETF_Options_Exhibits'!Z123:Z127)),AVERAGE('20250815_ETF_Options_Exhibits'!Z123:Z127),"")</f>
        <v/>
      </c>
      <c r="AA127" s="3">
        <f>IF(ISNUMBER(AVERAGE('20250815_ETF_Options_Exhibits'!AA123:AA127)),AVERAGE('20250815_ETF_Options_Exhibits'!AA123:AA127),"")</f>
        <v/>
      </c>
    </row>
    <row r="128">
      <c r="A128" s="1" t="n">
        <v>42187</v>
      </c>
      <c r="B128" s="3">
        <f>IF(ISNUMBER(AVERAGE('20250815_ETF_Options_Exhibits'!B124:B128)),AVERAGE('20250815_ETF_Options_Exhibits'!B124:B128),"")</f>
        <v/>
      </c>
      <c r="C128" s="3">
        <f>IF(ISNUMBER(AVERAGE('20250815_ETF_Options_Exhibits'!C124:C128)),AVERAGE('20250815_ETF_Options_Exhibits'!C124:C128),"")</f>
        <v/>
      </c>
      <c r="D128" s="3">
        <f>IF(ISNUMBER(AVERAGE('20250815_ETF_Options_Exhibits'!D124:D128)),AVERAGE('20250815_ETF_Options_Exhibits'!D124:D128),"")</f>
        <v/>
      </c>
      <c r="E128" s="3">
        <f>IF(ISNUMBER(AVERAGE('20250815_ETF_Options_Exhibits'!E124:E128)),AVERAGE('20250815_ETF_Options_Exhibits'!E124:E128),"")</f>
        <v/>
      </c>
      <c r="F128" s="3">
        <f>IF(ISNUMBER(AVERAGE('20250815_ETF_Options_Exhibits'!F124:F128)),AVERAGE('20250815_ETF_Options_Exhibits'!F124:F128),"")</f>
        <v/>
      </c>
      <c r="G128" s="3">
        <f>IF(ISNUMBER(AVERAGE('20250815_ETF_Options_Exhibits'!G124:G128)),AVERAGE('20250815_ETF_Options_Exhibits'!G124:G128),"")</f>
        <v/>
      </c>
      <c r="H128" s="3">
        <f>IF(ISNUMBER(AVERAGE('20250815_ETF_Options_Exhibits'!H124:H128)),AVERAGE('20250815_ETF_Options_Exhibits'!H124:H128),"")</f>
        <v/>
      </c>
      <c r="I128" s="3">
        <f>IF(ISNUMBER(AVERAGE('20250815_ETF_Options_Exhibits'!I124:I128)),AVERAGE('20250815_ETF_Options_Exhibits'!I124:I128),"")</f>
        <v/>
      </c>
      <c r="J128" s="3">
        <f>IF(ISNUMBER(AVERAGE('20250815_ETF_Options_Exhibits'!J124:J128)),AVERAGE('20250815_ETF_Options_Exhibits'!J124:J128),"")</f>
        <v/>
      </c>
      <c r="K128" s="3">
        <f>IF(ISNUMBER(AVERAGE('20250815_ETF_Options_Exhibits'!K124:K128)),AVERAGE('20250815_ETF_Options_Exhibits'!K124:K128),"")</f>
        <v/>
      </c>
      <c r="L128" s="3">
        <f>IF(ISNUMBER(AVERAGE('20250815_ETF_Options_Exhibits'!L124:L128)),AVERAGE('20250815_ETF_Options_Exhibits'!L124:L128),"")</f>
        <v/>
      </c>
      <c r="M128" s="3">
        <f>IF(ISNUMBER(AVERAGE('20250815_ETF_Options_Exhibits'!M124:M128)),AVERAGE('20250815_ETF_Options_Exhibits'!M124:M128),"")</f>
        <v/>
      </c>
      <c r="N128" s="3">
        <f>IF(ISNUMBER(AVERAGE('20250815_ETF_Options_Exhibits'!N124:N128)),AVERAGE('20250815_ETF_Options_Exhibits'!N124:N128),"")</f>
        <v/>
      </c>
      <c r="O128" s="3">
        <f>IF(ISNUMBER(AVERAGE('20250815_ETF_Options_Exhibits'!O124:O128)),AVERAGE('20250815_ETF_Options_Exhibits'!O124:O128),"")</f>
        <v/>
      </c>
      <c r="P128" s="3">
        <f>IF(ISNUMBER(AVERAGE('20250815_ETF_Options_Exhibits'!P124:P128)),AVERAGE('20250815_ETF_Options_Exhibits'!P124:P128),"")</f>
        <v/>
      </c>
      <c r="Q128" s="3">
        <f>IF(ISNUMBER(AVERAGE('20250815_ETF_Options_Exhibits'!Q124:Q128)),AVERAGE('20250815_ETF_Options_Exhibits'!Q124:Q128),"")</f>
        <v/>
      </c>
      <c r="R128" s="3">
        <f>IF(ISNUMBER(AVERAGE('20250815_ETF_Options_Exhibits'!R124:R128)),AVERAGE('20250815_ETF_Options_Exhibits'!R124:R128),"")</f>
        <v/>
      </c>
      <c r="S128" s="3">
        <f>IF(ISNUMBER(AVERAGE('20250815_ETF_Options_Exhibits'!S124:S128)),AVERAGE('20250815_ETF_Options_Exhibits'!S124:S128),"")</f>
        <v/>
      </c>
      <c r="T128" s="3">
        <f>IF(ISNUMBER(AVERAGE('20250815_ETF_Options_Exhibits'!T124:T128)),AVERAGE('20250815_ETF_Options_Exhibits'!T124:T128),"")</f>
        <v/>
      </c>
      <c r="U128" s="3">
        <f>IF(ISNUMBER(AVERAGE('20250815_ETF_Options_Exhibits'!U124:U128)),AVERAGE('20250815_ETF_Options_Exhibits'!U124:U128),"")</f>
        <v/>
      </c>
      <c r="V128" s="3">
        <f>IF(ISNUMBER(AVERAGE('20250815_ETF_Options_Exhibits'!V124:V128)),AVERAGE('20250815_ETF_Options_Exhibits'!V124:V128),"")</f>
        <v/>
      </c>
      <c r="W128" s="3">
        <f>IF(ISNUMBER(AVERAGE('20250815_ETF_Options_Exhibits'!W124:W128)),AVERAGE('20250815_ETF_Options_Exhibits'!W124:W128),"")</f>
        <v/>
      </c>
      <c r="X128" s="3">
        <f>IF(ISNUMBER(AVERAGE('20250815_ETF_Options_Exhibits'!X124:X128)),AVERAGE('20250815_ETF_Options_Exhibits'!X124:X128),"")</f>
        <v/>
      </c>
      <c r="Y128" s="3">
        <f>IF(ISNUMBER(AVERAGE('20250815_ETF_Options_Exhibits'!Y124:Y128)),AVERAGE('20250815_ETF_Options_Exhibits'!Y124:Y128),"")</f>
        <v/>
      </c>
      <c r="Z128" s="3">
        <f>IF(ISNUMBER(AVERAGE('20250815_ETF_Options_Exhibits'!Z124:Z128)),AVERAGE('20250815_ETF_Options_Exhibits'!Z124:Z128),"")</f>
        <v/>
      </c>
      <c r="AA128" s="3">
        <f>IF(ISNUMBER(AVERAGE('20250815_ETF_Options_Exhibits'!AA124:AA128)),AVERAGE('20250815_ETF_Options_Exhibits'!AA124:AA128),"")</f>
        <v/>
      </c>
    </row>
    <row r="129">
      <c r="A129" s="1" t="n">
        <v>42191</v>
      </c>
      <c r="B129" s="3">
        <f>IF(ISNUMBER(AVERAGE('20250815_ETF_Options_Exhibits'!B125:B129)),AVERAGE('20250815_ETF_Options_Exhibits'!B125:B129),"")</f>
        <v/>
      </c>
      <c r="C129" s="3">
        <f>IF(ISNUMBER(AVERAGE('20250815_ETF_Options_Exhibits'!C125:C129)),AVERAGE('20250815_ETF_Options_Exhibits'!C125:C129),"")</f>
        <v/>
      </c>
      <c r="D129" s="3">
        <f>IF(ISNUMBER(AVERAGE('20250815_ETF_Options_Exhibits'!D125:D129)),AVERAGE('20250815_ETF_Options_Exhibits'!D125:D129),"")</f>
        <v/>
      </c>
      <c r="E129" s="3">
        <f>IF(ISNUMBER(AVERAGE('20250815_ETF_Options_Exhibits'!E125:E129)),AVERAGE('20250815_ETF_Options_Exhibits'!E125:E129),"")</f>
        <v/>
      </c>
      <c r="F129" s="3">
        <f>IF(ISNUMBER(AVERAGE('20250815_ETF_Options_Exhibits'!F125:F129)),AVERAGE('20250815_ETF_Options_Exhibits'!F125:F129),"")</f>
        <v/>
      </c>
      <c r="G129" s="3">
        <f>IF(ISNUMBER(AVERAGE('20250815_ETF_Options_Exhibits'!G125:G129)),AVERAGE('20250815_ETF_Options_Exhibits'!G125:G129),"")</f>
        <v/>
      </c>
      <c r="H129" s="3">
        <f>IF(ISNUMBER(AVERAGE('20250815_ETF_Options_Exhibits'!H125:H129)),AVERAGE('20250815_ETF_Options_Exhibits'!H125:H129),"")</f>
        <v/>
      </c>
      <c r="I129" s="3">
        <f>IF(ISNUMBER(AVERAGE('20250815_ETF_Options_Exhibits'!I125:I129)),AVERAGE('20250815_ETF_Options_Exhibits'!I125:I129),"")</f>
        <v/>
      </c>
      <c r="J129" s="3">
        <f>IF(ISNUMBER(AVERAGE('20250815_ETF_Options_Exhibits'!J125:J129)),AVERAGE('20250815_ETF_Options_Exhibits'!J125:J129),"")</f>
        <v/>
      </c>
      <c r="K129" s="3">
        <f>IF(ISNUMBER(AVERAGE('20250815_ETF_Options_Exhibits'!K125:K129)),AVERAGE('20250815_ETF_Options_Exhibits'!K125:K129),"")</f>
        <v/>
      </c>
      <c r="L129" s="3">
        <f>IF(ISNUMBER(AVERAGE('20250815_ETF_Options_Exhibits'!L125:L129)),AVERAGE('20250815_ETF_Options_Exhibits'!L125:L129),"")</f>
        <v/>
      </c>
      <c r="M129" s="3">
        <f>IF(ISNUMBER(AVERAGE('20250815_ETF_Options_Exhibits'!M125:M129)),AVERAGE('20250815_ETF_Options_Exhibits'!M125:M129),"")</f>
        <v/>
      </c>
      <c r="N129" s="3">
        <f>IF(ISNUMBER(AVERAGE('20250815_ETF_Options_Exhibits'!N125:N129)),AVERAGE('20250815_ETF_Options_Exhibits'!N125:N129),"")</f>
        <v/>
      </c>
      <c r="O129" s="3">
        <f>IF(ISNUMBER(AVERAGE('20250815_ETF_Options_Exhibits'!O125:O129)),AVERAGE('20250815_ETF_Options_Exhibits'!O125:O129),"")</f>
        <v/>
      </c>
      <c r="P129" s="3">
        <f>IF(ISNUMBER(AVERAGE('20250815_ETF_Options_Exhibits'!P125:P129)),AVERAGE('20250815_ETF_Options_Exhibits'!P125:P129),"")</f>
        <v/>
      </c>
      <c r="Q129" s="3">
        <f>IF(ISNUMBER(AVERAGE('20250815_ETF_Options_Exhibits'!Q125:Q129)),AVERAGE('20250815_ETF_Options_Exhibits'!Q125:Q129),"")</f>
        <v/>
      </c>
      <c r="R129" s="3">
        <f>IF(ISNUMBER(AVERAGE('20250815_ETF_Options_Exhibits'!R125:R129)),AVERAGE('20250815_ETF_Options_Exhibits'!R125:R129),"")</f>
        <v/>
      </c>
      <c r="S129" s="3">
        <f>IF(ISNUMBER(AVERAGE('20250815_ETF_Options_Exhibits'!S125:S129)),AVERAGE('20250815_ETF_Options_Exhibits'!S125:S129),"")</f>
        <v/>
      </c>
      <c r="T129" s="3">
        <f>IF(ISNUMBER(AVERAGE('20250815_ETF_Options_Exhibits'!T125:T129)),AVERAGE('20250815_ETF_Options_Exhibits'!T125:T129),"")</f>
        <v/>
      </c>
      <c r="U129" s="3">
        <f>IF(ISNUMBER(AVERAGE('20250815_ETF_Options_Exhibits'!U125:U129)),AVERAGE('20250815_ETF_Options_Exhibits'!U125:U129),"")</f>
        <v/>
      </c>
      <c r="V129" s="3">
        <f>IF(ISNUMBER(AVERAGE('20250815_ETF_Options_Exhibits'!V125:V129)),AVERAGE('20250815_ETF_Options_Exhibits'!V125:V129),"")</f>
        <v/>
      </c>
      <c r="W129" s="3">
        <f>IF(ISNUMBER(AVERAGE('20250815_ETF_Options_Exhibits'!W125:W129)),AVERAGE('20250815_ETF_Options_Exhibits'!W125:W129),"")</f>
        <v/>
      </c>
      <c r="X129" s="3">
        <f>IF(ISNUMBER(AVERAGE('20250815_ETF_Options_Exhibits'!X125:X129)),AVERAGE('20250815_ETF_Options_Exhibits'!X125:X129),"")</f>
        <v/>
      </c>
      <c r="Y129" s="3">
        <f>IF(ISNUMBER(AVERAGE('20250815_ETF_Options_Exhibits'!Y125:Y129)),AVERAGE('20250815_ETF_Options_Exhibits'!Y125:Y129),"")</f>
        <v/>
      </c>
      <c r="Z129" s="3">
        <f>IF(ISNUMBER(AVERAGE('20250815_ETF_Options_Exhibits'!Z125:Z129)),AVERAGE('20250815_ETF_Options_Exhibits'!Z125:Z129),"")</f>
        <v/>
      </c>
      <c r="AA129" s="3">
        <f>IF(ISNUMBER(AVERAGE('20250815_ETF_Options_Exhibits'!AA125:AA129)),AVERAGE('20250815_ETF_Options_Exhibits'!AA125:AA129),"")</f>
        <v/>
      </c>
    </row>
    <row r="130">
      <c r="A130" s="1" t="n">
        <v>42192</v>
      </c>
      <c r="B130" s="3">
        <f>IF(ISNUMBER(AVERAGE('20250815_ETF_Options_Exhibits'!B126:B130)),AVERAGE('20250815_ETF_Options_Exhibits'!B126:B130),"")</f>
        <v/>
      </c>
      <c r="C130" s="3">
        <f>IF(ISNUMBER(AVERAGE('20250815_ETF_Options_Exhibits'!C126:C130)),AVERAGE('20250815_ETF_Options_Exhibits'!C126:C130),"")</f>
        <v/>
      </c>
      <c r="D130" s="3">
        <f>IF(ISNUMBER(AVERAGE('20250815_ETF_Options_Exhibits'!D126:D130)),AVERAGE('20250815_ETF_Options_Exhibits'!D126:D130),"")</f>
        <v/>
      </c>
      <c r="E130" s="3">
        <f>IF(ISNUMBER(AVERAGE('20250815_ETF_Options_Exhibits'!E126:E130)),AVERAGE('20250815_ETF_Options_Exhibits'!E126:E130),"")</f>
        <v/>
      </c>
      <c r="F130" s="3">
        <f>IF(ISNUMBER(AVERAGE('20250815_ETF_Options_Exhibits'!F126:F130)),AVERAGE('20250815_ETF_Options_Exhibits'!F126:F130),"")</f>
        <v/>
      </c>
      <c r="G130" s="3">
        <f>IF(ISNUMBER(AVERAGE('20250815_ETF_Options_Exhibits'!G126:G130)),AVERAGE('20250815_ETF_Options_Exhibits'!G126:G130),"")</f>
        <v/>
      </c>
      <c r="H130" s="3">
        <f>IF(ISNUMBER(AVERAGE('20250815_ETF_Options_Exhibits'!H126:H130)),AVERAGE('20250815_ETF_Options_Exhibits'!H126:H130),"")</f>
        <v/>
      </c>
      <c r="I130" s="3">
        <f>IF(ISNUMBER(AVERAGE('20250815_ETF_Options_Exhibits'!I126:I130)),AVERAGE('20250815_ETF_Options_Exhibits'!I126:I130),"")</f>
        <v/>
      </c>
      <c r="J130" s="3">
        <f>IF(ISNUMBER(AVERAGE('20250815_ETF_Options_Exhibits'!J126:J130)),AVERAGE('20250815_ETF_Options_Exhibits'!J126:J130),"")</f>
        <v/>
      </c>
      <c r="K130" s="3">
        <f>IF(ISNUMBER(AVERAGE('20250815_ETF_Options_Exhibits'!K126:K130)),AVERAGE('20250815_ETF_Options_Exhibits'!K126:K130),"")</f>
        <v/>
      </c>
      <c r="L130" s="3">
        <f>IF(ISNUMBER(AVERAGE('20250815_ETF_Options_Exhibits'!L126:L130)),AVERAGE('20250815_ETF_Options_Exhibits'!L126:L130),"")</f>
        <v/>
      </c>
      <c r="M130" s="3">
        <f>IF(ISNUMBER(AVERAGE('20250815_ETF_Options_Exhibits'!M126:M130)),AVERAGE('20250815_ETF_Options_Exhibits'!M126:M130),"")</f>
        <v/>
      </c>
      <c r="N130" s="3">
        <f>IF(ISNUMBER(AVERAGE('20250815_ETF_Options_Exhibits'!N126:N130)),AVERAGE('20250815_ETF_Options_Exhibits'!N126:N130),"")</f>
        <v/>
      </c>
      <c r="O130" s="3">
        <f>IF(ISNUMBER(AVERAGE('20250815_ETF_Options_Exhibits'!O126:O130)),AVERAGE('20250815_ETF_Options_Exhibits'!O126:O130),"")</f>
        <v/>
      </c>
      <c r="P130" s="3">
        <f>IF(ISNUMBER(AVERAGE('20250815_ETF_Options_Exhibits'!P126:P130)),AVERAGE('20250815_ETF_Options_Exhibits'!P126:P130),"")</f>
        <v/>
      </c>
      <c r="Q130" s="3">
        <f>IF(ISNUMBER(AVERAGE('20250815_ETF_Options_Exhibits'!Q126:Q130)),AVERAGE('20250815_ETF_Options_Exhibits'!Q126:Q130),"")</f>
        <v/>
      </c>
      <c r="R130" s="3">
        <f>IF(ISNUMBER(AVERAGE('20250815_ETF_Options_Exhibits'!R126:R130)),AVERAGE('20250815_ETF_Options_Exhibits'!R126:R130),"")</f>
        <v/>
      </c>
      <c r="S130" s="3">
        <f>IF(ISNUMBER(AVERAGE('20250815_ETF_Options_Exhibits'!S126:S130)),AVERAGE('20250815_ETF_Options_Exhibits'!S126:S130),"")</f>
        <v/>
      </c>
      <c r="T130" s="3">
        <f>IF(ISNUMBER(AVERAGE('20250815_ETF_Options_Exhibits'!T126:T130)),AVERAGE('20250815_ETF_Options_Exhibits'!T126:T130),"")</f>
        <v/>
      </c>
      <c r="U130" s="3">
        <f>IF(ISNUMBER(AVERAGE('20250815_ETF_Options_Exhibits'!U126:U130)),AVERAGE('20250815_ETF_Options_Exhibits'!U126:U130),"")</f>
        <v/>
      </c>
      <c r="V130" s="3">
        <f>IF(ISNUMBER(AVERAGE('20250815_ETF_Options_Exhibits'!V126:V130)),AVERAGE('20250815_ETF_Options_Exhibits'!V126:V130),"")</f>
        <v/>
      </c>
      <c r="W130" s="3">
        <f>IF(ISNUMBER(AVERAGE('20250815_ETF_Options_Exhibits'!W126:W130)),AVERAGE('20250815_ETF_Options_Exhibits'!W126:W130),"")</f>
        <v/>
      </c>
      <c r="X130" s="3">
        <f>IF(ISNUMBER(AVERAGE('20250815_ETF_Options_Exhibits'!X126:X130)),AVERAGE('20250815_ETF_Options_Exhibits'!X126:X130),"")</f>
        <v/>
      </c>
      <c r="Y130" s="3">
        <f>IF(ISNUMBER(AVERAGE('20250815_ETF_Options_Exhibits'!Y126:Y130)),AVERAGE('20250815_ETF_Options_Exhibits'!Y126:Y130),"")</f>
        <v/>
      </c>
      <c r="Z130" s="3">
        <f>IF(ISNUMBER(AVERAGE('20250815_ETF_Options_Exhibits'!Z126:Z130)),AVERAGE('20250815_ETF_Options_Exhibits'!Z126:Z130),"")</f>
        <v/>
      </c>
      <c r="AA130" s="3">
        <f>IF(ISNUMBER(AVERAGE('20250815_ETF_Options_Exhibits'!AA126:AA130)),AVERAGE('20250815_ETF_Options_Exhibits'!AA126:AA130),"")</f>
        <v/>
      </c>
    </row>
    <row r="131">
      <c r="A131" s="1" t="n">
        <v>42193</v>
      </c>
      <c r="B131" s="3">
        <f>IF(ISNUMBER(AVERAGE('20250815_ETF_Options_Exhibits'!B127:B131)),AVERAGE('20250815_ETF_Options_Exhibits'!B127:B131),"")</f>
        <v/>
      </c>
      <c r="C131" s="3">
        <f>IF(ISNUMBER(AVERAGE('20250815_ETF_Options_Exhibits'!C127:C131)),AVERAGE('20250815_ETF_Options_Exhibits'!C127:C131),"")</f>
        <v/>
      </c>
      <c r="D131" s="3">
        <f>IF(ISNUMBER(AVERAGE('20250815_ETF_Options_Exhibits'!D127:D131)),AVERAGE('20250815_ETF_Options_Exhibits'!D127:D131),"")</f>
        <v/>
      </c>
      <c r="E131" s="3">
        <f>IF(ISNUMBER(AVERAGE('20250815_ETF_Options_Exhibits'!E127:E131)),AVERAGE('20250815_ETF_Options_Exhibits'!E127:E131),"")</f>
        <v/>
      </c>
      <c r="F131" s="3">
        <f>IF(ISNUMBER(AVERAGE('20250815_ETF_Options_Exhibits'!F127:F131)),AVERAGE('20250815_ETF_Options_Exhibits'!F127:F131),"")</f>
        <v/>
      </c>
      <c r="G131" s="3">
        <f>IF(ISNUMBER(AVERAGE('20250815_ETF_Options_Exhibits'!G127:G131)),AVERAGE('20250815_ETF_Options_Exhibits'!G127:G131),"")</f>
        <v/>
      </c>
      <c r="H131" s="3">
        <f>IF(ISNUMBER(AVERAGE('20250815_ETF_Options_Exhibits'!H127:H131)),AVERAGE('20250815_ETF_Options_Exhibits'!H127:H131),"")</f>
        <v/>
      </c>
      <c r="I131" s="3">
        <f>IF(ISNUMBER(AVERAGE('20250815_ETF_Options_Exhibits'!I127:I131)),AVERAGE('20250815_ETF_Options_Exhibits'!I127:I131),"")</f>
        <v/>
      </c>
      <c r="J131" s="3">
        <f>IF(ISNUMBER(AVERAGE('20250815_ETF_Options_Exhibits'!J127:J131)),AVERAGE('20250815_ETF_Options_Exhibits'!J127:J131),"")</f>
        <v/>
      </c>
      <c r="K131" s="3">
        <f>IF(ISNUMBER(AVERAGE('20250815_ETF_Options_Exhibits'!K127:K131)),AVERAGE('20250815_ETF_Options_Exhibits'!K127:K131),"")</f>
        <v/>
      </c>
      <c r="L131" s="3">
        <f>IF(ISNUMBER(AVERAGE('20250815_ETF_Options_Exhibits'!L127:L131)),AVERAGE('20250815_ETF_Options_Exhibits'!L127:L131),"")</f>
        <v/>
      </c>
      <c r="M131" s="3">
        <f>IF(ISNUMBER(AVERAGE('20250815_ETF_Options_Exhibits'!M127:M131)),AVERAGE('20250815_ETF_Options_Exhibits'!M127:M131),"")</f>
        <v/>
      </c>
      <c r="N131" s="3">
        <f>IF(ISNUMBER(AVERAGE('20250815_ETF_Options_Exhibits'!N127:N131)),AVERAGE('20250815_ETF_Options_Exhibits'!N127:N131),"")</f>
        <v/>
      </c>
      <c r="O131" s="3">
        <f>IF(ISNUMBER(AVERAGE('20250815_ETF_Options_Exhibits'!O127:O131)),AVERAGE('20250815_ETF_Options_Exhibits'!O127:O131),"")</f>
        <v/>
      </c>
      <c r="P131" s="3">
        <f>IF(ISNUMBER(AVERAGE('20250815_ETF_Options_Exhibits'!P127:P131)),AVERAGE('20250815_ETF_Options_Exhibits'!P127:P131),"")</f>
        <v/>
      </c>
      <c r="Q131" s="3">
        <f>IF(ISNUMBER(AVERAGE('20250815_ETF_Options_Exhibits'!Q127:Q131)),AVERAGE('20250815_ETF_Options_Exhibits'!Q127:Q131),"")</f>
        <v/>
      </c>
      <c r="R131" s="3">
        <f>IF(ISNUMBER(AVERAGE('20250815_ETF_Options_Exhibits'!R127:R131)),AVERAGE('20250815_ETF_Options_Exhibits'!R127:R131),"")</f>
        <v/>
      </c>
      <c r="S131" s="3">
        <f>IF(ISNUMBER(AVERAGE('20250815_ETF_Options_Exhibits'!S127:S131)),AVERAGE('20250815_ETF_Options_Exhibits'!S127:S131),"")</f>
        <v/>
      </c>
      <c r="T131" s="3">
        <f>IF(ISNUMBER(AVERAGE('20250815_ETF_Options_Exhibits'!T127:T131)),AVERAGE('20250815_ETF_Options_Exhibits'!T127:T131),"")</f>
        <v/>
      </c>
      <c r="U131" s="3">
        <f>IF(ISNUMBER(AVERAGE('20250815_ETF_Options_Exhibits'!U127:U131)),AVERAGE('20250815_ETF_Options_Exhibits'!U127:U131),"")</f>
        <v/>
      </c>
      <c r="V131" s="3">
        <f>IF(ISNUMBER(AVERAGE('20250815_ETF_Options_Exhibits'!V127:V131)),AVERAGE('20250815_ETF_Options_Exhibits'!V127:V131),"")</f>
        <v/>
      </c>
      <c r="W131" s="3">
        <f>IF(ISNUMBER(AVERAGE('20250815_ETF_Options_Exhibits'!W127:W131)),AVERAGE('20250815_ETF_Options_Exhibits'!W127:W131),"")</f>
        <v/>
      </c>
      <c r="X131" s="3">
        <f>IF(ISNUMBER(AVERAGE('20250815_ETF_Options_Exhibits'!X127:X131)),AVERAGE('20250815_ETF_Options_Exhibits'!X127:X131),"")</f>
        <v/>
      </c>
      <c r="Y131" s="3">
        <f>IF(ISNUMBER(AVERAGE('20250815_ETF_Options_Exhibits'!Y127:Y131)),AVERAGE('20250815_ETF_Options_Exhibits'!Y127:Y131),"")</f>
        <v/>
      </c>
      <c r="Z131" s="3">
        <f>IF(ISNUMBER(AVERAGE('20250815_ETF_Options_Exhibits'!Z127:Z131)),AVERAGE('20250815_ETF_Options_Exhibits'!Z127:Z131),"")</f>
        <v/>
      </c>
      <c r="AA131" s="3">
        <f>IF(ISNUMBER(AVERAGE('20250815_ETF_Options_Exhibits'!AA127:AA131)),AVERAGE('20250815_ETF_Options_Exhibits'!AA127:AA131),"")</f>
        <v/>
      </c>
    </row>
    <row r="132">
      <c r="A132" s="1" t="n">
        <v>42194</v>
      </c>
      <c r="B132" s="3">
        <f>IF(ISNUMBER(AVERAGE('20250815_ETF_Options_Exhibits'!B128:B132)),AVERAGE('20250815_ETF_Options_Exhibits'!B128:B132),"")</f>
        <v/>
      </c>
      <c r="C132" s="3">
        <f>IF(ISNUMBER(AVERAGE('20250815_ETF_Options_Exhibits'!C128:C132)),AVERAGE('20250815_ETF_Options_Exhibits'!C128:C132),"")</f>
        <v/>
      </c>
      <c r="D132" s="3">
        <f>IF(ISNUMBER(AVERAGE('20250815_ETF_Options_Exhibits'!D128:D132)),AVERAGE('20250815_ETF_Options_Exhibits'!D128:D132),"")</f>
        <v/>
      </c>
      <c r="E132" s="3">
        <f>IF(ISNUMBER(AVERAGE('20250815_ETF_Options_Exhibits'!E128:E132)),AVERAGE('20250815_ETF_Options_Exhibits'!E128:E132),"")</f>
        <v/>
      </c>
      <c r="F132" s="3">
        <f>IF(ISNUMBER(AVERAGE('20250815_ETF_Options_Exhibits'!F128:F132)),AVERAGE('20250815_ETF_Options_Exhibits'!F128:F132),"")</f>
        <v/>
      </c>
      <c r="G132" s="3">
        <f>IF(ISNUMBER(AVERAGE('20250815_ETF_Options_Exhibits'!G128:G132)),AVERAGE('20250815_ETF_Options_Exhibits'!G128:G132),"")</f>
        <v/>
      </c>
      <c r="H132" s="3">
        <f>IF(ISNUMBER(AVERAGE('20250815_ETF_Options_Exhibits'!H128:H132)),AVERAGE('20250815_ETF_Options_Exhibits'!H128:H132),"")</f>
        <v/>
      </c>
      <c r="I132" s="3">
        <f>IF(ISNUMBER(AVERAGE('20250815_ETF_Options_Exhibits'!I128:I132)),AVERAGE('20250815_ETF_Options_Exhibits'!I128:I132),"")</f>
        <v/>
      </c>
      <c r="J132" s="3">
        <f>IF(ISNUMBER(AVERAGE('20250815_ETF_Options_Exhibits'!J128:J132)),AVERAGE('20250815_ETF_Options_Exhibits'!J128:J132),"")</f>
        <v/>
      </c>
      <c r="K132" s="3">
        <f>IF(ISNUMBER(AVERAGE('20250815_ETF_Options_Exhibits'!K128:K132)),AVERAGE('20250815_ETF_Options_Exhibits'!K128:K132),"")</f>
        <v/>
      </c>
      <c r="L132" s="3">
        <f>IF(ISNUMBER(AVERAGE('20250815_ETF_Options_Exhibits'!L128:L132)),AVERAGE('20250815_ETF_Options_Exhibits'!L128:L132),"")</f>
        <v/>
      </c>
      <c r="M132" s="3">
        <f>IF(ISNUMBER(AVERAGE('20250815_ETF_Options_Exhibits'!M128:M132)),AVERAGE('20250815_ETF_Options_Exhibits'!M128:M132),"")</f>
        <v/>
      </c>
      <c r="N132" s="3">
        <f>IF(ISNUMBER(AVERAGE('20250815_ETF_Options_Exhibits'!N128:N132)),AVERAGE('20250815_ETF_Options_Exhibits'!N128:N132),"")</f>
        <v/>
      </c>
      <c r="O132" s="3">
        <f>IF(ISNUMBER(AVERAGE('20250815_ETF_Options_Exhibits'!O128:O132)),AVERAGE('20250815_ETF_Options_Exhibits'!O128:O132),"")</f>
        <v/>
      </c>
      <c r="P132" s="3">
        <f>IF(ISNUMBER(AVERAGE('20250815_ETF_Options_Exhibits'!P128:P132)),AVERAGE('20250815_ETF_Options_Exhibits'!P128:P132),"")</f>
        <v/>
      </c>
      <c r="Q132" s="3">
        <f>IF(ISNUMBER(AVERAGE('20250815_ETF_Options_Exhibits'!Q128:Q132)),AVERAGE('20250815_ETF_Options_Exhibits'!Q128:Q132),"")</f>
        <v/>
      </c>
      <c r="R132" s="3">
        <f>IF(ISNUMBER(AVERAGE('20250815_ETF_Options_Exhibits'!R128:R132)),AVERAGE('20250815_ETF_Options_Exhibits'!R128:R132),"")</f>
        <v/>
      </c>
      <c r="S132" s="3">
        <f>IF(ISNUMBER(AVERAGE('20250815_ETF_Options_Exhibits'!S128:S132)),AVERAGE('20250815_ETF_Options_Exhibits'!S128:S132),"")</f>
        <v/>
      </c>
      <c r="T132" s="3">
        <f>IF(ISNUMBER(AVERAGE('20250815_ETF_Options_Exhibits'!T128:T132)),AVERAGE('20250815_ETF_Options_Exhibits'!T128:T132),"")</f>
        <v/>
      </c>
      <c r="U132" s="3">
        <f>IF(ISNUMBER(AVERAGE('20250815_ETF_Options_Exhibits'!U128:U132)),AVERAGE('20250815_ETF_Options_Exhibits'!U128:U132),"")</f>
        <v/>
      </c>
      <c r="V132" s="3">
        <f>IF(ISNUMBER(AVERAGE('20250815_ETF_Options_Exhibits'!V128:V132)),AVERAGE('20250815_ETF_Options_Exhibits'!V128:V132),"")</f>
        <v/>
      </c>
      <c r="W132" s="3">
        <f>IF(ISNUMBER(AVERAGE('20250815_ETF_Options_Exhibits'!W128:W132)),AVERAGE('20250815_ETF_Options_Exhibits'!W128:W132),"")</f>
        <v/>
      </c>
      <c r="X132" s="3">
        <f>IF(ISNUMBER(AVERAGE('20250815_ETF_Options_Exhibits'!X128:X132)),AVERAGE('20250815_ETF_Options_Exhibits'!X128:X132),"")</f>
        <v/>
      </c>
      <c r="Y132" s="3">
        <f>IF(ISNUMBER(AVERAGE('20250815_ETF_Options_Exhibits'!Y128:Y132)),AVERAGE('20250815_ETF_Options_Exhibits'!Y128:Y132),"")</f>
        <v/>
      </c>
      <c r="Z132" s="3">
        <f>IF(ISNUMBER(AVERAGE('20250815_ETF_Options_Exhibits'!Z128:Z132)),AVERAGE('20250815_ETF_Options_Exhibits'!Z128:Z132),"")</f>
        <v/>
      </c>
      <c r="AA132" s="3">
        <f>IF(ISNUMBER(AVERAGE('20250815_ETF_Options_Exhibits'!AA128:AA132)),AVERAGE('20250815_ETF_Options_Exhibits'!AA128:AA132),"")</f>
        <v/>
      </c>
    </row>
    <row r="133">
      <c r="A133" s="1" t="n">
        <v>42195</v>
      </c>
      <c r="B133" s="3">
        <f>IF(ISNUMBER(AVERAGE('20250815_ETF_Options_Exhibits'!B129:B133)),AVERAGE('20250815_ETF_Options_Exhibits'!B129:B133),"")</f>
        <v/>
      </c>
      <c r="C133" s="3">
        <f>IF(ISNUMBER(AVERAGE('20250815_ETF_Options_Exhibits'!C129:C133)),AVERAGE('20250815_ETF_Options_Exhibits'!C129:C133),"")</f>
        <v/>
      </c>
      <c r="D133" s="3">
        <f>IF(ISNUMBER(AVERAGE('20250815_ETF_Options_Exhibits'!D129:D133)),AVERAGE('20250815_ETF_Options_Exhibits'!D129:D133),"")</f>
        <v/>
      </c>
      <c r="E133" s="3">
        <f>IF(ISNUMBER(AVERAGE('20250815_ETF_Options_Exhibits'!E129:E133)),AVERAGE('20250815_ETF_Options_Exhibits'!E129:E133),"")</f>
        <v/>
      </c>
      <c r="F133" s="3">
        <f>IF(ISNUMBER(AVERAGE('20250815_ETF_Options_Exhibits'!F129:F133)),AVERAGE('20250815_ETF_Options_Exhibits'!F129:F133),"")</f>
        <v/>
      </c>
      <c r="G133" s="3">
        <f>IF(ISNUMBER(AVERAGE('20250815_ETF_Options_Exhibits'!G129:G133)),AVERAGE('20250815_ETF_Options_Exhibits'!G129:G133),"")</f>
        <v/>
      </c>
      <c r="H133" s="3">
        <f>IF(ISNUMBER(AVERAGE('20250815_ETF_Options_Exhibits'!H129:H133)),AVERAGE('20250815_ETF_Options_Exhibits'!H129:H133),"")</f>
        <v/>
      </c>
      <c r="I133" s="3">
        <f>IF(ISNUMBER(AVERAGE('20250815_ETF_Options_Exhibits'!I129:I133)),AVERAGE('20250815_ETF_Options_Exhibits'!I129:I133),"")</f>
        <v/>
      </c>
      <c r="J133" s="3">
        <f>IF(ISNUMBER(AVERAGE('20250815_ETF_Options_Exhibits'!J129:J133)),AVERAGE('20250815_ETF_Options_Exhibits'!J129:J133),"")</f>
        <v/>
      </c>
      <c r="K133" s="3">
        <f>IF(ISNUMBER(AVERAGE('20250815_ETF_Options_Exhibits'!K129:K133)),AVERAGE('20250815_ETF_Options_Exhibits'!K129:K133),"")</f>
        <v/>
      </c>
      <c r="L133" s="3">
        <f>IF(ISNUMBER(AVERAGE('20250815_ETF_Options_Exhibits'!L129:L133)),AVERAGE('20250815_ETF_Options_Exhibits'!L129:L133),"")</f>
        <v/>
      </c>
      <c r="M133" s="3">
        <f>IF(ISNUMBER(AVERAGE('20250815_ETF_Options_Exhibits'!M129:M133)),AVERAGE('20250815_ETF_Options_Exhibits'!M129:M133),"")</f>
        <v/>
      </c>
      <c r="N133" s="3">
        <f>IF(ISNUMBER(AVERAGE('20250815_ETF_Options_Exhibits'!N129:N133)),AVERAGE('20250815_ETF_Options_Exhibits'!N129:N133),"")</f>
        <v/>
      </c>
      <c r="O133" s="3">
        <f>IF(ISNUMBER(AVERAGE('20250815_ETF_Options_Exhibits'!O129:O133)),AVERAGE('20250815_ETF_Options_Exhibits'!O129:O133),"")</f>
        <v/>
      </c>
      <c r="P133" s="3">
        <f>IF(ISNUMBER(AVERAGE('20250815_ETF_Options_Exhibits'!P129:P133)),AVERAGE('20250815_ETF_Options_Exhibits'!P129:P133),"")</f>
        <v/>
      </c>
      <c r="Q133" s="3">
        <f>IF(ISNUMBER(AVERAGE('20250815_ETF_Options_Exhibits'!Q129:Q133)),AVERAGE('20250815_ETF_Options_Exhibits'!Q129:Q133),"")</f>
        <v/>
      </c>
      <c r="R133" s="3">
        <f>IF(ISNUMBER(AVERAGE('20250815_ETF_Options_Exhibits'!R129:R133)),AVERAGE('20250815_ETF_Options_Exhibits'!R129:R133),"")</f>
        <v/>
      </c>
      <c r="S133" s="3">
        <f>IF(ISNUMBER(AVERAGE('20250815_ETF_Options_Exhibits'!S129:S133)),AVERAGE('20250815_ETF_Options_Exhibits'!S129:S133),"")</f>
        <v/>
      </c>
      <c r="T133" s="3">
        <f>IF(ISNUMBER(AVERAGE('20250815_ETF_Options_Exhibits'!T129:T133)),AVERAGE('20250815_ETF_Options_Exhibits'!T129:T133),"")</f>
        <v/>
      </c>
      <c r="U133" s="3">
        <f>IF(ISNUMBER(AVERAGE('20250815_ETF_Options_Exhibits'!U129:U133)),AVERAGE('20250815_ETF_Options_Exhibits'!U129:U133),"")</f>
        <v/>
      </c>
      <c r="V133" s="3">
        <f>IF(ISNUMBER(AVERAGE('20250815_ETF_Options_Exhibits'!V129:V133)),AVERAGE('20250815_ETF_Options_Exhibits'!V129:V133),"")</f>
        <v/>
      </c>
      <c r="W133" s="3">
        <f>IF(ISNUMBER(AVERAGE('20250815_ETF_Options_Exhibits'!W129:W133)),AVERAGE('20250815_ETF_Options_Exhibits'!W129:W133),"")</f>
        <v/>
      </c>
      <c r="X133" s="3">
        <f>IF(ISNUMBER(AVERAGE('20250815_ETF_Options_Exhibits'!X129:X133)),AVERAGE('20250815_ETF_Options_Exhibits'!X129:X133),"")</f>
        <v/>
      </c>
      <c r="Y133" s="3">
        <f>IF(ISNUMBER(AVERAGE('20250815_ETF_Options_Exhibits'!Y129:Y133)),AVERAGE('20250815_ETF_Options_Exhibits'!Y129:Y133),"")</f>
        <v/>
      </c>
      <c r="Z133" s="3">
        <f>IF(ISNUMBER(AVERAGE('20250815_ETF_Options_Exhibits'!Z129:Z133)),AVERAGE('20250815_ETF_Options_Exhibits'!Z129:Z133),"")</f>
        <v/>
      </c>
      <c r="AA133" s="3">
        <f>IF(ISNUMBER(AVERAGE('20250815_ETF_Options_Exhibits'!AA129:AA133)),AVERAGE('20250815_ETF_Options_Exhibits'!AA129:AA133),"")</f>
        <v/>
      </c>
    </row>
    <row r="134">
      <c r="A134" s="1" t="n">
        <v>42198</v>
      </c>
      <c r="B134" s="3">
        <f>IF(ISNUMBER(AVERAGE('20250815_ETF_Options_Exhibits'!B130:B134)),AVERAGE('20250815_ETF_Options_Exhibits'!B130:B134),"")</f>
        <v/>
      </c>
      <c r="C134" s="3">
        <f>IF(ISNUMBER(AVERAGE('20250815_ETF_Options_Exhibits'!C130:C134)),AVERAGE('20250815_ETF_Options_Exhibits'!C130:C134),"")</f>
        <v/>
      </c>
      <c r="D134" s="3">
        <f>IF(ISNUMBER(AVERAGE('20250815_ETF_Options_Exhibits'!D130:D134)),AVERAGE('20250815_ETF_Options_Exhibits'!D130:D134),"")</f>
        <v/>
      </c>
      <c r="E134" s="3">
        <f>IF(ISNUMBER(AVERAGE('20250815_ETF_Options_Exhibits'!E130:E134)),AVERAGE('20250815_ETF_Options_Exhibits'!E130:E134),"")</f>
        <v/>
      </c>
      <c r="F134" s="3">
        <f>IF(ISNUMBER(AVERAGE('20250815_ETF_Options_Exhibits'!F130:F134)),AVERAGE('20250815_ETF_Options_Exhibits'!F130:F134),"")</f>
        <v/>
      </c>
      <c r="G134" s="3">
        <f>IF(ISNUMBER(AVERAGE('20250815_ETF_Options_Exhibits'!G130:G134)),AVERAGE('20250815_ETF_Options_Exhibits'!G130:G134),"")</f>
        <v/>
      </c>
      <c r="H134" s="3">
        <f>IF(ISNUMBER(AVERAGE('20250815_ETF_Options_Exhibits'!H130:H134)),AVERAGE('20250815_ETF_Options_Exhibits'!H130:H134),"")</f>
        <v/>
      </c>
      <c r="I134" s="3">
        <f>IF(ISNUMBER(AVERAGE('20250815_ETF_Options_Exhibits'!I130:I134)),AVERAGE('20250815_ETF_Options_Exhibits'!I130:I134),"")</f>
        <v/>
      </c>
      <c r="J134" s="3">
        <f>IF(ISNUMBER(AVERAGE('20250815_ETF_Options_Exhibits'!J130:J134)),AVERAGE('20250815_ETF_Options_Exhibits'!J130:J134),"")</f>
        <v/>
      </c>
      <c r="K134" s="3">
        <f>IF(ISNUMBER(AVERAGE('20250815_ETF_Options_Exhibits'!K130:K134)),AVERAGE('20250815_ETF_Options_Exhibits'!K130:K134),"")</f>
        <v/>
      </c>
      <c r="L134" s="3">
        <f>IF(ISNUMBER(AVERAGE('20250815_ETF_Options_Exhibits'!L130:L134)),AVERAGE('20250815_ETF_Options_Exhibits'!L130:L134),"")</f>
        <v/>
      </c>
      <c r="M134" s="3">
        <f>IF(ISNUMBER(AVERAGE('20250815_ETF_Options_Exhibits'!M130:M134)),AVERAGE('20250815_ETF_Options_Exhibits'!M130:M134),"")</f>
        <v/>
      </c>
      <c r="N134" s="3">
        <f>IF(ISNUMBER(AVERAGE('20250815_ETF_Options_Exhibits'!N130:N134)),AVERAGE('20250815_ETF_Options_Exhibits'!N130:N134),"")</f>
        <v/>
      </c>
      <c r="O134" s="3">
        <f>IF(ISNUMBER(AVERAGE('20250815_ETF_Options_Exhibits'!O130:O134)),AVERAGE('20250815_ETF_Options_Exhibits'!O130:O134),"")</f>
        <v/>
      </c>
      <c r="P134" s="3">
        <f>IF(ISNUMBER(AVERAGE('20250815_ETF_Options_Exhibits'!P130:P134)),AVERAGE('20250815_ETF_Options_Exhibits'!P130:P134),"")</f>
        <v/>
      </c>
      <c r="Q134" s="3">
        <f>IF(ISNUMBER(AVERAGE('20250815_ETF_Options_Exhibits'!Q130:Q134)),AVERAGE('20250815_ETF_Options_Exhibits'!Q130:Q134),"")</f>
        <v/>
      </c>
      <c r="R134" s="3">
        <f>IF(ISNUMBER(AVERAGE('20250815_ETF_Options_Exhibits'!R130:R134)),AVERAGE('20250815_ETF_Options_Exhibits'!R130:R134),"")</f>
        <v/>
      </c>
      <c r="S134" s="3">
        <f>IF(ISNUMBER(AVERAGE('20250815_ETF_Options_Exhibits'!S130:S134)),AVERAGE('20250815_ETF_Options_Exhibits'!S130:S134),"")</f>
        <v/>
      </c>
      <c r="T134" s="3">
        <f>IF(ISNUMBER(AVERAGE('20250815_ETF_Options_Exhibits'!T130:T134)),AVERAGE('20250815_ETF_Options_Exhibits'!T130:T134),"")</f>
        <v/>
      </c>
      <c r="U134" s="3">
        <f>IF(ISNUMBER(AVERAGE('20250815_ETF_Options_Exhibits'!U130:U134)),AVERAGE('20250815_ETF_Options_Exhibits'!U130:U134),"")</f>
        <v/>
      </c>
      <c r="V134" s="3">
        <f>IF(ISNUMBER(AVERAGE('20250815_ETF_Options_Exhibits'!V130:V134)),AVERAGE('20250815_ETF_Options_Exhibits'!V130:V134),"")</f>
        <v/>
      </c>
      <c r="W134" s="3">
        <f>IF(ISNUMBER(AVERAGE('20250815_ETF_Options_Exhibits'!W130:W134)),AVERAGE('20250815_ETF_Options_Exhibits'!W130:W134),"")</f>
        <v/>
      </c>
      <c r="X134" s="3">
        <f>IF(ISNUMBER(AVERAGE('20250815_ETF_Options_Exhibits'!X130:X134)),AVERAGE('20250815_ETF_Options_Exhibits'!X130:X134),"")</f>
        <v/>
      </c>
      <c r="Y134" s="3">
        <f>IF(ISNUMBER(AVERAGE('20250815_ETF_Options_Exhibits'!Y130:Y134)),AVERAGE('20250815_ETF_Options_Exhibits'!Y130:Y134),"")</f>
        <v/>
      </c>
      <c r="Z134" s="3">
        <f>IF(ISNUMBER(AVERAGE('20250815_ETF_Options_Exhibits'!Z130:Z134)),AVERAGE('20250815_ETF_Options_Exhibits'!Z130:Z134),"")</f>
        <v/>
      </c>
      <c r="AA134" s="3">
        <f>IF(ISNUMBER(AVERAGE('20250815_ETF_Options_Exhibits'!AA130:AA134)),AVERAGE('20250815_ETF_Options_Exhibits'!AA130:AA134),"")</f>
        <v/>
      </c>
    </row>
    <row r="135">
      <c r="A135" s="1" t="n">
        <v>42199</v>
      </c>
      <c r="B135" s="3">
        <f>IF(ISNUMBER(AVERAGE('20250815_ETF_Options_Exhibits'!B131:B135)),AVERAGE('20250815_ETF_Options_Exhibits'!B131:B135),"")</f>
        <v/>
      </c>
      <c r="C135" s="3">
        <f>IF(ISNUMBER(AVERAGE('20250815_ETF_Options_Exhibits'!C131:C135)),AVERAGE('20250815_ETF_Options_Exhibits'!C131:C135),"")</f>
        <v/>
      </c>
      <c r="D135" s="3">
        <f>IF(ISNUMBER(AVERAGE('20250815_ETF_Options_Exhibits'!D131:D135)),AVERAGE('20250815_ETF_Options_Exhibits'!D131:D135),"")</f>
        <v/>
      </c>
      <c r="E135" s="3">
        <f>IF(ISNUMBER(AVERAGE('20250815_ETF_Options_Exhibits'!E131:E135)),AVERAGE('20250815_ETF_Options_Exhibits'!E131:E135),"")</f>
        <v/>
      </c>
      <c r="F135" s="3">
        <f>IF(ISNUMBER(AVERAGE('20250815_ETF_Options_Exhibits'!F131:F135)),AVERAGE('20250815_ETF_Options_Exhibits'!F131:F135),"")</f>
        <v/>
      </c>
      <c r="G135" s="3">
        <f>IF(ISNUMBER(AVERAGE('20250815_ETF_Options_Exhibits'!G131:G135)),AVERAGE('20250815_ETF_Options_Exhibits'!G131:G135),"")</f>
        <v/>
      </c>
      <c r="H135" s="3">
        <f>IF(ISNUMBER(AVERAGE('20250815_ETF_Options_Exhibits'!H131:H135)),AVERAGE('20250815_ETF_Options_Exhibits'!H131:H135),"")</f>
        <v/>
      </c>
      <c r="I135" s="3">
        <f>IF(ISNUMBER(AVERAGE('20250815_ETF_Options_Exhibits'!I131:I135)),AVERAGE('20250815_ETF_Options_Exhibits'!I131:I135),"")</f>
        <v/>
      </c>
      <c r="J135" s="3">
        <f>IF(ISNUMBER(AVERAGE('20250815_ETF_Options_Exhibits'!J131:J135)),AVERAGE('20250815_ETF_Options_Exhibits'!J131:J135),"")</f>
        <v/>
      </c>
      <c r="K135" s="3">
        <f>IF(ISNUMBER(AVERAGE('20250815_ETF_Options_Exhibits'!K131:K135)),AVERAGE('20250815_ETF_Options_Exhibits'!K131:K135),"")</f>
        <v/>
      </c>
      <c r="L135" s="3">
        <f>IF(ISNUMBER(AVERAGE('20250815_ETF_Options_Exhibits'!L131:L135)),AVERAGE('20250815_ETF_Options_Exhibits'!L131:L135),"")</f>
        <v/>
      </c>
      <c r="M135" s="3">
        <f>IF(ISNUMBER(AVERAGE('20250815_ETF_Options_Exhibits'!M131:M135)),AVERAGE('20250815_ETF_Options_Exhibits'!M131:M135),"")</f>
        <v/>
      </c>
      <c r="N135" s="3">
        <f>IF(ISNUMBER(AVERAGE('20250815_ETF_Options_Exhibits'!N131:N135)),AVERAGE('20250815_ETF_Options_Exhibits'!N131:N135),"")</f>
        <v/>
      </c>
      <c r="O135" s="3">
        <f>IF(ISNUMBER(AVERAGE('20250815_ETF_Options_Exhibits'!O131:O135)),AVERAGE('20250815_ETF_Options_Exhibits'!O131:O135),"")</f>
        <v/>
      </c>
      <c r="P135" s="3">
        <f>IF(ISNUMBER(AVERAGE('20250815_ETF_Options_Exhibits'!P131:P135)),AVERAGE('20250815_ETF_Options_Exhibits'!P131:P135),"")</f>
        <v/>
      </c>
      <c r="Q135" s="3">
        <f>IF(ISNUMBER(AVERAGE('20250815_ETF_Options_Exhibits'!Q131:Q135)),AVERAGE('20250815_ETF_Options_Exhibits'!Q131:Q135),"")</f>
        <v/>
      </c>
      <c r="R135" s="3">
        <f>IF(ISNUMBER(AVERAGE('20250815_ETF_Options_Exhibits'!R131:R135)),AVERAGE('20250815_ETF_Options_Exhibits'!R131:R135),"")</f>
        <v/>
      </c>
      <c r="S135" s="3">
        <f>IF(ISNUMBER(AVERAGE('20250815_ETF_Options_Exhibits'!S131:S135)),AVERAGE('20250815_ETF_Options_Exhibits'!S131:S135),"")</f>
        <v/>
      </c>
      <c r="T135" s="3">
        <f>IF(ISNUMBER(AVERAGE('20250815_ETF_Options_Exhibits'!T131:T135)),AVERAGE('20250815_ETF_Options_Exhibits'!T131:T135),"")</f>
        <v/>
      </c>
      <c r="U135" s="3">
        <f>IF(ISNUMBER(AVERAGE('20250815_ETF_Options_Exhibits'!U131:U135)),AVERAGE('20250815_ETF_Options_Exhibits'!U131:U135),"")</f>
        <v/>
      </c>
      <c r="V135" s="3">
        <f>IF(ISNUMBER(AVERAGE('20250815_ETF_Options_Exhibits'!V131:V135)),AVERAGE('20250815_ETF_Options_Exhibits'!V131:V135),"")</f>
        <v/>
      </c>
      <c r="W135" s="3">
        <f>IF(ISNUMBER(AVERAGE('20250815_ETF_Options_Exhibits'!W131:W135)),AVERAGE('20250815_ETF_Options_Exhibits'!W131:W135),"")</f>
        <v/>
      </c>
      <c r="X135" s="3">
        <f>IF(ISNUMBER(AVERAGE('20250815_ETF_Options_Exhibits'!X131:X135)),AVERAGE('20250815_ETF_Options_Exhibits'!X131:X135),"")</f>
        <v/>
      </c>
      <c r="Y135" s="3">
        <f>IF(ISNUMBER(AVERAGE('20250815_ETF_Options_Exhibits'!Y131:Y135)),AVERAGE('20250815_ETF_Options_Exhibits'!Y131:Y135),"")</f>
        <v/>
      </c>
      <c r="Z135" s="3">
        <f>IF(ISNUMBER(AVERAGE('20250815_ETF_Options_Exhibits'!Z131:Z135)),AVERAGE('20250815_ETF_Options_Exhibits'!Z131:Z135),"")</f>
        <v/>
      </c>
      <c r="AA135" s="3">
        <f>IF(ISNUMBER(AVERAGE('20250815_ETF_Options_Exhibits'!AA131:AA135)),AVERAGE('20250815_ETF_Options_Exhibits'!AA131:AA135),"")</f>
        <v/>
      </c>
    </row>
    <row r="136">
      <c r="A136" s="1" t="n">
        <v>42200</v>
      </c>
      <c r="B136" s="3">
        <f>IF(ISNUMBER(AVERAGE('20250815_ETF_Options_Exhibits'!B132:B136)),AVERAGE('20250815_ETF_Options_Exhibits'!B132:B136),"")</f>
        <v/>
      </c>
      <c r="C136" s="3">
        <f>IF(ISNUMBER(AVERAGE('20250815_ETF_Options_Exhibits'!C132:C136)),AVERAGE('20250815_ETF_Options_Exhibits'!C132:C136),"")</f>
        <v/>
      </c>
      <c r="D136" s="3">
        <f>IF(ISNUMBER(AVERAGE('20250815_ETF_Options_Exhibits'!D132:D136)),AVERAGE('20250815_ETF_Options_Exhibits'!D132:D136),"")</f>
        <v/>
      </c>
      <c r="E136" s="3">
        <f>IF(ISNUMBER(AVERAGE('20250815_ETF_Options_Exhibits'!E132:E136)),AVERAGE('20250815_ETF_Options_Exhibits'!E132:E136),"")</f>
        <v/>
      </c>
      <c r="F136" s="3">
        <f>IF(ISNUMBER(AVERAGE('20250815_ETF_Options_Exhibits'!F132:F136)),AVERAGE('20250815_ETF_Options_Exhibits'!F132:F136),"")</f>
        <v/>
      </c>
      <c r="G136" s="3">
        <f>IF(ISNUMBER(AVERAGE('20250815_ETF_Options_Exhibits'!G132:G136)),AVERAGE('20250815_ETF_Options_Exhibits'!G132:G136),"")</f>
        <v/>
      </c>
      <c r="H136" s="3">
        <f>IF(ISNUMBER(AVERAGE('20250815_ETF_Options_Exhibits'!H132:H136)),AVERAGE('20250815_ETF_Options_Exhibits'!H132:H136),"")</f>
        <v/>
      </c>
      <c r="I136" s="3">
        <f>IF(ISNUMBER(AVERAGE('20250815_ETF_Options_Exhibits'!I132:I136)),AVERAGE('20250815_ETF_Options_Exhibits'!I132:I136),"")</f>
        <v/>
      </c>
      <c r="J136" s="3">
        <f>IF(ISNUMBER(AVERAGE('20250815_ETF_Options_Exhibits'!J132:J136)),AVERAGE('20250815_ETF_Options_Exhibits'!J132:J136),"")</f>
        <v/>
      </c>
      <c r="K136" s="3">
        <f>IF(ISNUMBER(AVERAGE('20250815_ETF_Options_Exhibits'!K132:K136)),AVERAGE('20250815_ETF_Options_Exhibits'!K132:K136),"")</f>
        <v/>
      </c>
      <c r="L136" s="3">
        <f>IF(ISNUMBER(AVERAGE('20250815_ETF_Options_Exhibits'!L132:L136)),AVERAGE('20250815_ETF_Options_Exhibits'!L132:L136),"")</f>
        <v/>
      </c>
      <c r="M136" s="3">
        <f>IF(ISNUMBER(AVERAGE('20250815_ETF_Options_Exhibits'!M132:M136)),AVERAGE('20250815_ETF_Options_Exhibits'!M132:M136),"")</f>
        <v/>
      </c>
      <c r="N136" s="3">
        <f>IF(ISNUMBER(AVERAGE('20250815_ETF_Options_Exhibits'!N132:N136)),AVERAGE('20250815_ETF_Options_Exhibits'!N132:N136),"")</f>
        <v/>
      </c>
      <c r="O136" s="3">
        <f>IF(ISNUMBER(AVERAGE('20250815_ETF_Options_Exhibits'!O132:O136)),AVERAGE('20250815_ETF_Options_Exhibits'!O132:O136),"")</f>
        <v/>
      </c>
      <c r="P136" s="3">
        <f>IF(ISNUMBER(AVERAGE('20250815_ETF_Options_Exhibits'!P132:P136)),AVERAGE('20250815_ETF_Options_Exhibits'!P132:P136),"")</f>
        <v/>
      </c>
      <c r="Q136" s="3">
        <f>IF(ISNUMBER(AVERAGE('20250815_ETF_Options_Exhibits'!Q132:Q136)),AVERAGE('20250815_ETF_Options_Exhibits'!Q132:Q136),"")</f>
        <v/>
      </c>
      <c r="R136" s="3">
        <f>IF(ISNUMBER(AVERAGE('20250815_ETF_Options_Exhibits'!R132:R136)),AVERAGE('20250815_ETF_Options_Exhibits'!R132:R136),"")</f>
        <v/>
      </c>
      <c r="S136" s="3">
        <f>IF(ISNUMBER(AVERAGE('20250815_ETF_Options_Exhibits'!S132:S136)),AVERAGE('20250815_ETF_Options_Exhibits'!S132:S136),"")</f>
        <v/>
      </c>
      <c r="T136" s="3">
        <f>IF(ISNUMBER(AVERAGE('20250815_ETF_Options_Exhibits'!T132:T136)),AVERAGE('20250815_ETF_Options_Exhibits'!T132:T136),"")</f>
        <v/>
      </c>
      <c r="U136" s="3">
        <f>IF(ISNUMBER(AVERAGE('20250815_ETF_Options_Exhibits'!U132:U136)),AVERAGE('20250815_ETF_Options_Exhibits'!U132:U136),"")</f>
        <v/>
      </c>
      <c r="V136" s="3">
        <f>IF(ISNUMBER(AVERAGE('20250815_ETF_Options_Exhibits'!V132:V136)),AVERAGE('20250815_ETF_Options_Exhibits'!V132:V136),"")</f>
        <v/>
      </c>
      <c r="W136" s="3">
        <f>IF(ISNUMBER(AVERAGE('20250815_ETF_Options_Exhibits'!W132:W136)),AVERAGE('20250815_ETF_Options_Exhibits'!W132:W136),"")</f>
        <v/>
      </c>
      <c r="X136" s="3">
        <f>IF(ISNUMBER(AVERAGE('20250815_ETF_Options_Exhibits'!X132:X136)),AVERAGE('20250815_ETF_Options_Exhibits'!X132:X136),"")</f>
        <v/>
      </c>
      <c r="Y136" s="3">
        <f>IF(ISNUMBER(AVERAGE('20250815_ETF_Options_Exhibits'!Y132:Y136)),AVERAGE('20250815_ETF_Options_Exhibits'!Y132:Y136),"")</f>
        <v/>
      </c>
      <c r="Z136" s="3">
        <f>IF(ISNUMBER(AVERAGE('20250815_ETF_Options_Exhibits'!Z132:Z136)),AVERAGE('20250815_ETF_Options_Exhibits'!Z132:Z136),"")</f>
        <v/>
      </c>
      <c r="AA136" s="3">
        <f>IF(ISNUMBER(AVERAGE('20250815_ETF_Options_Exhibits'!AA132:AA136)),AVERAGE('20250815_ETF_Options_Exhibits'!AA132:AA136),"")</f>
        <v/>
      </c>
    </row>
    <row r="137">
      <c r="A137" s="1" t="n">
        <v>42201</v>
      </c>
      <c r="B137" s="3">
        <f>IF(ISNUMBER(AVERAGE('20250815_ETF_Options_Exhibits'!B133:B137)),AVERAGE('20250815_ETF_Options_Exhibits'!B133:B137),"")</f>
        <v/>
      </c>
      <c r="C137" s="3">
        <f>IF(ISNUMBER(AVERAGE('20250815_ETF_Options_Exhibits'!C133:C137)),AVERAGE('20250815_ETF_Options_Exhibits'!C133:C137),"")</f>
        <v/>
      </c>
      <c r="D137" s="3">
        <f>IF(ISNUMBER(AVERAGE('20250815_ETF_Options_Exhibits'!D133:D137)),AVERAGE('20250815_ETF_Options_Exhibits'!D133:D137),"")</f>
        <v/>
      </c>
      <c r="E137" s="3">
        <f>IF(ISNUMBER(AVERAGE('20250815_ETF_Options_Exhibits'!E133:E137)),AVERAGE('20250815_ETF_Options_Exhibits'!E133:E137),"")</f>
        <v/>
      </c>
      <c r="F137" s="3">
        <f>IF(ISNUMBER(AVERAGE('20250815_ETF_Options_Exhibits'!F133:F137)),AVERAGE('20250815_ETF_Options_Exhibits'!F133:F137),"")</f>
        <v/>
      </c>
      <c r="G137" s="3">
        <f>IF(ISNUMBER(AVERAGE('20250815_ETF_Options_Exhibits'!G133:G137)),AVERAGE('20250815_ETF_Options_Exhibits'!G133:G137),"")</f>
        <v/>
      </c>
      <c r="H137" s="3">
        <f>IF(ISNUMBER(AVERAGE('20250815_ETF_Options_Exhibits'!H133:H137)),AVERAGE('20250815_ETF_Options_Exhibits'!H133:H137),"")</f>
        <v/>
      </c>
      <c r="I137" s="3">
        <f>IF(ISNUMBER(AVERAGE('20250815_ETF_Options_Exhibits'!I133:I137)),AVERAGE('20250815_ETF_Options_Exhibits'!I133:I137),"")</f>
        <v/>
      </c>
      <c r="J137" s="3">
        <f>IF(ISNUMBER(AVERAGE('20250815_ETF_Options_Exhibits'!J133:J137)),AVERAGE('20250815_ETF_Options_Exhibits'!J133:J137),"")</f>
        <v/>
      </c>
      <c r="K137" s="3">
        <f>IF(ISNUMBER(AVERAGE('20250815_ETF_Options_Exhibits'!K133:K137)),AVERAGE('20250815_ETF_Options_Exhibits'!K133:K137),"")</f>
        <v/>
      </c>
      <c r="L137" s="3">
        <f>IF(ISNUMBER(AVERAGE('20250815_ETF_Options_Exhibits'!L133:L137)),AVERAGE('20250815_ETF_Options_Exhibits'!L133:L137),"")</f>
        <v/>
      </c>
      <c r="M137" s="3">
        <f>IF(ISNUMBER(AVERAGE('20250815_ETF_Options_Exhibits'!M133:M137)),AVERAGE('20250815_ETF_Options_Exhibits'!M133:M137),"")</f>
        <v/>
      </c>
      <c r="N137" s="3">
        <f>IF(ISNUMBER(AVERAGE('20250815_ETF_Options_Exhibits'!N133:N137)),AVERAGE('20250815_ETF_Options_Exhibits'!N133:N137),"")</f>
        <v/>
      </c>
      <c r="O137" s="3">
        <f>IF(ISNUMBER(AVERAGE('20250815_ETF_Options_Exhibits'!O133:O137)),AVERAGE('20250815_ETF_Options_Exhibits'!O133:O137),"")</f>
        <v/>
      </c>
      <c r="P137" s="3">
        <f>IF(ISNUMBER(AVERAGE('20250815_ETF_Options_Exhibits'!P133:P137)),AVERAGE('20250815_ETF_Options_Exhibits'!P133:P137),"")</f>
        <v/>
      </c>
      <c r="Q137" s="3">
        <f>IF(ISNUMBER(AVERAGE('20250815_ETF_Options_Exhibits'!Q133:Q137)),AVERAGE('20250815_ETF_Options_Exhibits'!Q133:Q137),"")</f>
        <v/>
      </c>
      <c r="R137" s="3">
        <f>IF(ISNUMBER(AVERAGE('20250815_ETF_Options_Exhibits'!R133:R137)),AVERAGE('20250815_ETF_Options_Exhibits'!R133:R137),"")</f>
        <v/>
      </c>
      <c r="S137" s="3">
        <f>IF(ISNUMBER(AVERAGE('20250815_ETF_Options_Exhibits'!S133:S137)),AVERAGE('20250815_ETF_Options_Exhibits'!S133:S137),"")</f>
        <v/>
      </c>
      <c r="T137" s="3">
        <f>IF(ISNUMBER(AVERAGE('20250815_ETF_Options_Exhibits'!T133:T137)),AVERAGE('20250815_ETF_Options_Exhibits'!T133:T137),"")</f>
        <v/>
      </c>
      <c r="U137" s="3">
        <f>IF(ISNUMBER(AVERAGE('20250815_ETF_Options_Exhibits'!U133:U137)),AVERAGE('20250815_ETF_Options_Exhibits'!U133:U137),"")</f>
        <v/>
      </c>
      <c r="V137" s="3">
        <f>IF(ISNUMBER(AVERAGE('20250815_ETF_Options_Exhibits'!V133:V137)),AVERAGE('20250815_ETF_Options_Exhibits'!V133:V137),"")</f>
        <v/>
      </c>
      <c r="W137" s="3">
        <f>IF(ISNUMBER(AVERAGE('20250815_ETF_Options_Exhibits'!W133:W137)),AVERAGE('20250815_ETF_Options_Exhibits'!W133:W137),"")</f>
        <v/>
      </c>
      <c r="X137" s="3">
        <f>IF(ISNUMBER(AVERAGE('20250815_ETF_Options_Exhibits'!X133:X137)),AVERAGE('20250815_ETF_Options_Exhibits'!X133:X137),"")</f>
        <v/>
      </c>
      <c r="Y137" s="3">
        <f>IF(ISNUMBER(AVERAGE('20250815_ETF_Options_Exhibits'!Y133:Y137)),AVERAGE('20250815_ETF_Options_Exhibits'!Y133:Y137),"")</f>
        <v/>
      </c>
      <c r="Z137" s="3">
        <f>IF(ISNUMBER(AVERAGE('20250815_ETF_Options_Exhibits'!Z133:Z137)),AVERAGE('20250815_ETF_Options_Exhibits'!Z133:Z137),"")</f>
        <v/>
      </c>
      <c r="AA137" s="3">
        <f>IF(ISNUMBER(AVERAGE('20250815_ETF_Options_Exhibits'!AA133:AA137)),AVERAGE('20250815_ETF_Options_Exhibits'!AA133:AA137),"")</f>
        <v/>
      </c>
    </row>
    <row r="138">
      <c r="A138" s="1" t="n">
        <v>42202</v>
      </c>
      <c r="B138" s="3">
        <f>IF(ISNUMBER(AVERAGE('20250815_ETF_Options_Exhibits'!B134:B138)),AVERAGE('20250815_ETF_Options_Exhibits'!B134:B138),"")</f>
        <v/>
      </c>
      <c r="C138" s="3">
        <f>IF(ISNUMBER(AVERAGE('20250815_ETF_Options_Exhibits'!C134:C138)),AVERAGE('20250815_ETF_Options_Exhibits'!C134:C138),"")</f>
        <v/>
      </c>
      <c r="D138" s="3">
        <f>IF(ISNUMBER(AVERAGE('20250815_ETF_Options_Exhibits'!D134:D138)),AVERAGE('20250815_ETF_Options_Exhibits'!D134:D138),"")</f>
        <v/>
      </c>
      <c r="E138" s="3">
        <f>IF(ISNUMBER(AVERAGE('20250815_ETF_Options_Exhibits'!E134:E138)),AVERAGE('20250815_ETF_Options_Exhibits'!E134:E138),"")</f>
        <v/>
      </c>
      <c r="F138" s="3">
        <f>IF(ISNUMBER(AVERAGE('20250815_ETF_Options_Exhibits'!F134:F138)),AVERAGE('20250815_ETF_Options_Exhibits'!F134:F138),"")</f>
        <v/>
      </c>
      <c r="G138" s="3">
        <f>IF(ISNUMBER(AVERAGE('20250815_ETF_Options_Exhibits'!G134:G138)),AVERAGE('20250815_ETF_Options_Exhibits'!G134:G138),"")</f>
        <v/>
      </c>
      <c r="H138" s="3">
        <f>IF(ISNUMBER(AVERAGE('20250815_ETF_Options_Exhibits'!H134:H138)),AVERAGE('20250815_ETF_Options_Exhibits'!H134:H138),"")</f>
        <v/>
      </c>
      <c r="I138" s="3">
        <f>IF(ISNUMBER(AVERAGE('20250815_ETF_Options_Exhibits'!I134:I138)),AVERAGE('20250815_ETF_Options_Exhibits'!I134:I138),"")</f>
        <v/>
      </c>
      <c r="J138" s="3">
        <f>IF(ISNUMBER(AVERAGE('20250815_ETF_Options_Exhibits'!J134:J138)),AVERAGE('20250815_ETF_Options_Exhibits'!J134:J138),"")</f>
        <v/>
      </c>
      <c r="K138" s="3">
        <f>IF(ISNUMBER(AVERAGE('20250815_ETF_Options_Exhibits'!K134:K138)),AVERAGE('20250815_ETF_Options_Exhibits'!K134:K138),"")</f>
        <v/>
      </c>
      <c r="L138" s="3">
        <f>IF(ISNUMBER(AVERAGE('20250815_ETF_Options_Exhibits'!L134:L138)),AVERAGE('20250815_ETF_Options_Exhibits'!L134:L138),"")</f>
        <v/>
      </c>
      <c r="M138" s="3">
        <f>IF(ISNUMBER(AVERAGE('20250815_ETF_Options_Exhibits'!M134:M138)),AVERAGE('20250815_ETF_Options_Exhibits'!M134:M138),"")</f>
        <v/>
      </c>
      <c r="N138" s="3">
        <f>IF(ISNUMBER(AVERAGE('20250815_ETF_Options_Exhibits'!N134:N138)),AVERAGE('20250815_ETF_Options_Exhibits'!N134:N138),"")</f>
        <v/>
      </c>
      <c r="O138" s="3">
        <f>IF(ISNUMBER(AVERAGE('20250815_ETF_Options_Exhibits'!O134:O138)),AVERAGE('20250815_ETF_Options_Exhibits'!O134:O138),"")</f>
        <v/>
      </c>
      <c r="P138" s="3">
        <f>IF(ISNUMBER(AVERAGE('20250815_ETF_Options_Exhibits'!P134:P138)),AVERAGE('20250815_ETF_Options_Exhibits'!P134:P138),"")</f>
        <v/>
      </c>
      <c r="Q138" s="3">
        <f>IF(ISNUMBER(AVERAGE('20250815_ETF_Options_Exhibits'!Q134:Q138)),AVERAGE('20250815_ETF_Options_Exhibits'!Q134:Q138),"")</f>
        <v/>
      </c>
      <c r="R138" s="3">
        <f>IF(ISNUMBER(AVERAGE('20250815_ETF_Options_Exhibits'!R134:R138)),AVERAGE('20250815_ETF_Options_Exhibits'!R134:R138),"")</f>
        <v/>
      </c>
      <c r="S138" s="3">
        <f>IF(ISNUMBER(AVERAGE('20250815_ETF_Options_Exhibits'!S134:S138)),AVERAGE('20250815_ETF_Options_Exhibits'!S134:S138),"")</f>
        <v/>
      </c>
      <c r="T138" s="3">
        <f>IF(ISNUMBER(AVERAGE('20250815_ETF_Options_Exhibits'!T134:T138)),AVERAGE('20250815_ETF_Options_Exhibits'!T134:T138),"")</f>
        <v/>
      </c>
      <c r="U138" s="3">
        <f>IF(ISNUMBER(AVERAGE('20250815_ETF_Options_Exhibits'!U134:U138)),AVERAGE('20250815_ETF_Options_Exhibits'!U134:U138),"")</f>
        <v/>
      </c>
      <c r="V138" s="3">
        <f>IF(ISNUMBER(AVERAGE('20250815_ETF_Options_Exhibits'!V134:V138)),AVERAGE('20250815_ETF_Options_Exhibits'!V134:V138),"")</f>
        <v/>
      </c>
      <c r="W138" s="3">
        <f>IF(ISNUMBER(AVERAGE('20250815_ETF_Options_Exhibits'!W134:W138)),AVERAGE('20250815_ETF_Options_Exhibits'!W134:W138),"")</f>
        <v/>
      </c>
      <c r="X138" s="3">
        <f>IF(ISNUMBER(AVERAGE('20250815_ETF_Options_Exhibits'!X134:X138)),AVERAGE('20250815_ETF_Options_Exhibits'!X134:X138),"")</f>
        <v/>
      </c>
      <c r="Y138" s="3">
        <f>IF(ISNUMBER(AVERAGE('20250815_ETF_Options_Exhibits'!Y134:Y138)),AVERAGE('20250815_ETF_Options_Exhibits'!Y134:Y138),"")</f>
        <v/>
      </c>
      <c r="Z138" s="3">
        <f>IF(ISNUMBER(AVERAGE('20250815_ETF_Options_Exhibits'!Z134:Z138)),AVERAGE('20250815_ETF_Options_Exhibits'!Z134:Z138),"")</f>
        <v/>
      </c>
      <c r="AA138" s="3">
        <f>IF(ISNUMBER(AVERAGE('20250815_ETF_Options_Exhibits'!AA134:AA138)),AVERAGE('20250815_ETF_Options_Exhibits'!AA134:AA138),"")</f>
        <v/>
      </c>
    </row>
    <row r="139">
      <c r="A139" s="1" t="n">
        <v>42205</v>
      </c>
      <c r="B139" s="3">
        <f>IF(ISNUMBER(AVERAGE('20250815_ETF_Options_Exhibits'!B135:B139)),AVERAGE('20250815_ETF_Options_Exhibits'!B135:B139),"")</f>
        <v/>
      </c>
      <c r="C139" s="3">
        <f>IF(ISNUMBER(AVERAGE('20250815_ETF_Options_Exhibits'!C135:C139)),AVERAGE('20250815_ETF_Options_Exhibits'!C135:C139),"")</f>
        <v/>
      </c>
      <c r="D139" s="3">
        <f>IF(ISNUMBER(AVERAGE('20250815_ETF_Options_Exhibits'!D135:D139)),AVERAGE('20250815_ETF_Options_Exhibits'!D135:D139),"")</f>
        <v/>
      </c>
      <c r="E139" s="3">
        <f>IF(ISNUMBER(AVERAGE('20250815_ETF_Options_Exhibits'!E135:E139)),AVERAGE('20250815_ETF_Options_Exhibits'!E135:E139),"")</f>
        <v/>
      </c>
      <c r="F139" s="3">
        <f>IF(ISNUMBER(AVERAGE('20250815_ETF_Options_Exhibits'!F135:F139)),AVERAGE('20250815_ETF_Options_Exhibits'!F135:F139),"")</f>
        <v/>
      </c>
      <c r="G139" s="3">
        <f>IF(ISNUMBER(AVERAGE('20250815_ETF_Options_Exhibits'!G135:G139)),AVERAGE('20250815_ETF_Options_Exhibits'!G135:G139),"")</f>
        <v/>
      </c>
      <c r="H139" s="3">
        <f>IF(ISNUMBER(AVERAGE('20250815_ETF_Options_Exhibits'!H135:H139)),AVERAGE('20250815_ETF_Options_Exhibits'!H135:H139),"")</f>
        <v/>
      </c>
      <c r="I139" s="3">
        <f>IF(ISNUMBER(AVERAGE('20250815_ETF_Options_Exhibits'!I135:I139)),AVERAGE('20250815_ETF_Options_Exhibits'!I135:I139),"")</f>
        <v/>
      </c>
      <c r="J139" s="3">
        <f>IF(ISNUMBER(AVERAGE('20250815_ETF_Options_Exhibits'!J135:J139)),AVERAGE('20250815_ETF_Options_Exhibits'!J135:J139),"")</f>
        <v/>
      </c>
      <c r="K139" s="3">
        <f>IF(ISNUMBER(AVERAGE('20250815_ETF_Options_Exhibits'!K135:K139)),AVERAGE('20250815_ETF_Options_Exhibits'!K135:K139),"")</f>
        <v/>
      </c>
      <c r="L139" s="3">
        <f>IF(ISNUMBER(AVERAGE('20250815_ETF_Options_Exhibits'!L135:L139)),AVERAGE('20250815_ETF_Options_Exhibits'!L135:L139),"")</f>
        <v/>
      </c>
      <c r="M139" s="3">
        <f>IF(ISNUMBER(AVERAGE('20250815_ETF_Options_Exhibits'!M135:M139)),AVERAGE('20250815_ETF_Options_Exhibits'!M135:M139),"")</f>
        <v/>
      </c>
      <c r="N139" s="3">
        <f>IF(ISNUMBER(AVERAGE('20250815_ETF_Options_Exhibits'!N135:N139)),AVERAGE('20250815_ETF_Options_Exhibits'!N135:N139),"")</f>
        <v/>
      </c>
      <c r="O139" s="3">
        <f>IF(ISNUMBER(AVERAGE('20250815_ETF_Options_Exhibits'!O135:O139)),AVERAGE('20250815_ETF_Options_Exhibits'!O135:O139),"")</f>
        <v/>
      </c>
      <c r="P139" s="3">
        <f>IF(ISNUMBER(AVERAGE('20250815_ETF_Options_Exhibits'!P135:P139)),AVERAGE('20250815_ETF_Options_Exhibits'!P135:P139),"")</f>
        <v/>
      </c>
      <c r="Q139" s="3">
        <f>IF(ISNUMBER(AVERAGE('20250815_ETF_Options_Exhibits'!Q135:Q139)),AVERAGE('20250815_ETF_Options_Exhibits'!Q135:Q139),"")</f>
        <v/>
      </c>
      <c r="R139" s="3">
        <f>IF(ISNUMBER(AVERAGE('20250815_ETF_Options_Exhibits'!R135:R139)),AVERAGE('20250815_ETF_Options_Exhibits'!R135:R139),"")</f>
        <v/>
      </c>
      <c r="S139" s="3">
        <f>IF(ISNUMBER(AVERAGE('20250815_ETF_Options_Exhibits'!S135:S139)),AVERAGE('20250815_ETF_Options_Exhibits'!S135:S139),"")</f>
        <v/>
      </c>
      <c r="T139" s="3">
        <f>IF(ISNUMBER(AVERAGE('20250815_ETF_Options_Exhibits'!T135:T139)),AVERAGE('20250815_ETF_Options_Exhibits'!T135:T139),"")</f>
        <v/>
      </c>
      <c r="U139" s="3">
        <f>IF(ISNUMBER(AVERAGE('20250815_ETF_Options_Exhibits'!U135:U139)),AVERAGE('20250815_ETF_Options_Exhibits'!U135:U139),"")</f>
        <v/>
      </c>
      <c r="V139" s="3">
        <f>IF(ISNUMBER(AVERAGE('20250815_ETF_Options_Exhibits'!V135:V139)),AVERAGE('20250815_ETF_Options_Exhibits'!V135:V139),"")</f>
        <v/>
      </c>
      <c r="W139" s="3">
        <f>IF(ISNUMBER(AVERAGE('20250815_ETF_Options_Exhibits'!W135:W139)),AVERAGE('20250815_ETF_Options_Exhibits'!W135:W139),"")</f>
        <v/>
      </c>
      <c r="X139" s="3">
        <f>IF(ISNUMBER(AVERAGE('20250815_ETF_Options_Exhibits'!X135:X139)),AVERAGE('20250815_ETF_Options_Exhibits'!X135:X139),"")</f>
        <v/>
      </c>
      <c r="Y139" s="3">
        <f>IF(ISNUMBER(AVERAGE('20250815_ETF_Options_Exhibits'!Y135:Y139)),AVERAGE('20250815_ETF_Options_Exhibits'!Y135:Y139),"")</f>
        <v/>
      </c>
      <c r="Z139" s="3">
        <f>IF(ISNUMBER(AVERAGE('20250815_ETF_Options_Exhibits'!Z135:Z139)),AVERAGE('20250815_ETF_Options_Exhibits'!Z135:Z139),"")</f>
        <v/>
      </c>
      <c r="AA139" s="3">
        <f>IF(ISNUMBER(AVERAGE('20250815_ETF_Options_Exhibits'!AA135:AA139)),AVERAGE('20250815_ETF_Options_Exhibits'!AA135:AA139),"")</f>
        <v/>
      </c>
    </row>
    <row r="140">
      <c r="A140" s="1" t="n">
        <v>42206</v>
      </c>
      <c r="B140" s="3">
        <f>IF(ISNUMBER(AVERAGE('20250815_ETF_Options_Exhibits'!B136:B140)),AVERAGE('20250815_ETF_Options_Exhibits'!B136:B140),"")</f>
        <v/>
      </c>
      <c r="C140" s="3">
        <f>IF(ISNUMBER(AVERAGE('20250815_ETF_Options_Exhibits'!C136:C140)),AVERAGE('20250815_ETF_Options_Exhibits'!C136:C140),"")</f>
        <v/>
      </c>
      <c r="D140" s="3">
        <f>IF(ISNUMBER(AVERAGE('20250815_ETF_Options_Exhibits'!D136:D140)),AVERAGE('20250815_ETF_Options_Exhibits'!D136:D140),"")</f>
        <v/>
      </c>
      <c r="E140" s="3">
        <f>IF(ISNUMBER(AVERAGE('20250815_ETF_Options_Exhibits'!E136:E140)),AVERAGE('20250815_ETF_Options_Exhibits'!E136:E140),"")</f>
        <v/>
      </c>
      <c r="F140" s="3">
        <f>IF(ISNUMBER(AVERAGE('20250815_ETF_Options_Exhibits'!F136:F140)),AVERAGE('20250815_ETF_Options_Exhibits'!F136:F140),"")</f>
        <v/>
      </c>
      <c r="G140" s="3">
        <f>IF(ISNUMBER(AVERAGE('20250815_ETF_Options_Exhibits'!G136:G140)),AVERAGE('20250815_ETF_Options_Exhibits'!G136:G140),"")</f>
        <v/>
      </c>
      <c r="H140" s="3">
        <f>IF(ISNUMBER(AVERAGE('20250815_ETF_Options_Exhibits'!H136:H140)),AVERAGE('20250815_ETF_Options_Exhibits'!H136:H140),"")</f>
        <v/>
      </c>
      <c r="I140" s="3">
        <f>IF(ISNUMBER(AVERAGE('20250815_ETF_Options_Exhibits'!I136:I140)),AVERAGE('20250815_ETF_Options_Exhibits'!I136:I140),"")</f>
        <v/>
      </c>
      <c r="J140" s="3">
        <f>IF(ISNUMBER(AVERAGE('20250815_ETF_Options_Exhibits'!J136:J140)),AVERAGE('20250815_ETF_Options_Exhibits'!J136:J140),"")</f>
        <v/>
      </c>
      <c r="K140" s="3">
        <f>IF(ISNUMBER(AVERAGE('20250815_ETF_Options_Exhibits'!K136:K140)),AVERAGE('20250815_ETF_Options_Exhibits'!K136:K140),"")</f>
        <v/>
      </c>
      <c r="L140" s="3">
        <f>IF(ISNUMBER(AVERAGE('20250815_ETF_Options_Exhibits'!L136:L140)),AVERAGE('20250815_ETF_Options_Exhibits'!L136:L140),"")</f>
        <v/>
      </c>
      <c r="M140" s="3">
        <f>IF(ISNUMBER(AVERAGE('20250815_ETF_Options_Exhibits'!M136:M140)),AVERAGE('20250815_ETF_Options_Exhibits'!M136:M140),"")</f>
        <v/>
      </c>
      <c r="N140" s="3">
        <f>IF(ISNUMBER(AVERAGE('20250815_ETF_Options_Exhibits'!N136:N140)),AVERAGE('20250815_ETF_Options_Exhibits'!N136:N140),"")</f>
        <v/>
      </c>
      <c r="O140" s="3">
        <f>IF(ISNUMBER(AVERAGE('20250815_ETF_Options_Exhibits'!O136:O140)),AVERAGE('20250815_ETF_Options_Exhibits'!O136:O140),"")</f>
        <v/>
      </c>
      <c r="P140" s="3">
        <f>IF(ISNUMBER(AVERAGE('20250815_ETF_Options_Exhibits'!P136:P140)),AVERAGE('20250815_ETF_Options_Exhibits'!P136:P140),"")</f>
        <v/>
      </c>
      <c r="Q140" s="3">
        <f>IF(ISNUMBER(AVERAGE('20250815_ETF_Options_Exhibits'!Q136:Q140)),AVERAGE('20250815_ETF_Options_Exhibits'!Q136:Q140),"")</f>
        <v/>
      </c>
      <c r="R140" s="3">
        <f>IF(ISNUMBER(AVERAGE('20250815_ETF_Options_Exhibits'!R136:R140)),AVERAGE('20250815_ETF_Options_Exhibits'!R136:R140),"")</f>
        <v/>
      </c>
      <c r="S140" s="3">
        <f>IF(ISNUMBER(AVERAGE('20250815_ETF_Options_Exhibits'!S136:S140)),AVERAGE('20250815_ETF_Options_Exhibits'!S136:S140),"")</f>
        <v/>
      </c>
      <c r="T140" s="3">
        <f>IF(ISNUMBER(AVERAGE('20250815_ETF_Options_Exhibits'!T136:T140)),AVERAGE('20250815_ETF_Options_Exhibits'!T136:T140),"")</f>
        <v/>
      </c>
      <c r="U140" s="3">
        <f>IF(ISNUMBER(AVERAGE('20250815_ETF_Options_Exhibits'!U136:U140)),AVERAGE('20250815_ETF_Options_Exhibits'!U136:U140),"")</f>
        <v/>
      </c>
      <c r="V140" s="3">
        <f>IF(ISNUMBER(AVERAGE('20250815_ETF_Options_Exhibits'!V136:V140)),AVERAGE('20250815_ETF_Options_Exhibits'!V136:V140),"")</f>
        <v/>
      </c>
      <c r="W140" s="3">
        <f>IF(ISNUMBER(AVERAGE('20250815_ETF_Options_Exhibits'!W136:W140)),AVERAGE('20250815_ETF_Options_Exhibits'!W136:W140),"")</f>
        <v/>
      </c>
      <c r="X140" s="3">
        <f>IF(ISNUMBER(AVERAGE('20250815_ETF_Options_Exhibits'!X136:X140)),AVERAGE('20250815_ETF_Options_Exhibits'!X136:X140),"")</f>
        <v/>
      </c>
      <c r="Y140" s="3">
        <f>IF(ISNUMBER(AVERAGE('20250815_ETF_Options_Exhibits'!Y136:Y140)),AVERAGE('20250815_ETF_Options_Exhibits'!Y136:Y140),"")</f>
        <v/>
      </c>
      <c r="Z140" s="3">
        <f>IF(ISNUMBER(AVERAGE('20250815_ETF_Options_Exhibits'!Z136:Z140)),AVERAGE('20250815_ETF_Options_Exhibits'!Z136:Z140),"")</f>
        <v/>
      </c>
      <c r="AA140" s="3">
        <f>IF(ISNUMBER(AVERAGE('20250815_ETF_Options_Exhibits'!AA136:AA140)),AVERAGE('20250815_ETF_Options_Exhibits'!AA136:AA140),"")</f>
        <v/>
      </c>
    </row>
    <row r="141">
      <c r="A141" s="1" t="n">
        <v>42207</v>
      </c>
      <c r="B141" s="3">
        <f>IF(ISNUMBER(AVERAGE('20250815_ETF_Options_Exhibits'!B137:B141)),AVERAGE('20250815_ETF_Options_Exhibits'!B137:B141),"")</f>
        <v/>
      </c>
      <c r="C141" s="3">
        <f>IF(ISNUMBER(AVERAGE('20250815_ETF_Options_Exhibits'!C137:C141)),AVERAGE('20250815_ETF_Options_Exhibits'!C137:C141),"")</f>
        <v/>
      </c>
      <c r="D141" s="3">
        <f>IF(ISNUMBER(AVERAGE('20250815_ETF_Options_Exhibits'!D137:D141)),AVERAGE('20250815_ETF_Options_Exhibits'!D137:D141),"")</f>
        <v/>
      </c>
      <c r="E141" s="3">
        <f>IF(ISNUMBER(AVERAGE('20250815_ETF_Options_Exhibits'!E137:E141)),AVERAGE('20250815_ETF_Options_Exhibits'!E137:E141),"")</f>
        <v/>
      </c>
      <c r="F141" s="3">
        <f>IF(ISNUMBER(AVERAGE('20250815_ETF_Options_Exhibits'!F137:F141)),AVERAGE('20250815_ETF_Options_Exhibits'!F137:F141),"")</f>
        <v/>
      </c>
      <c r="G141" s="3">
        <f>IF(ISNUMBER(AVERAGE('20250815_ETF_Options_Exhibits'!G137:G141)),AVERAGE('20250815_ETF_Options_Exhibits'!G137:G141),"")</f>
        <v/>
      </c>
      <c r="H141" s="3">
        <f>IF(ISNUMBER(AVERAGE('20250815_ETF_Options_Exhibits'!H137:H141)),AVERAGE('20250815_ETF_Options_Exhibits'!H137:H141),"")</f>
        <v/>
      </c>
      <c r="I141" s="3">
        <f>IF(ISNUMBER(AVERAGE('20250815_ETF_Options_Exhibits'!I137:I141)),AVERAGE('20250815_ETF_Options_Exhibits'!I137:I141),"")</f>
        <v/>
      </c>
      <c r="J141" s="3">
        <f>IF(ISNUMBER(AVERAGE('20250815_ETF_Options_Exhibits'!J137:J141)),AVERAGE('20250815_ETF_Options_Exhibits'!J137:J141),"")</f>
        <v/>
      </c>
      <c r="K141" s="3">
        <f>IF(ISNUMBER(AVERAGE('20250815_ETF_Options_Exhibits'!K137:K141)),AVERAGE('20250815_ETF_Options_Exhibits'!K137:K141),"")</f>
        <v/>
      </c>
      <c r="L141" s="3">
        <f>IF(ISNUMBER(AVERAGE('20250815_ETF_Options_Exhibits'!L137:L141)),AVERAGE('20250815_ETF_Options_Exhibits'!L137:L141),"")</f>
        <v/>
      </c>
      <c r="M141" s="3">
        <f>IF(ISNUMBER(AVERAGE('20250815_ETF_Options_Exhibits'!M137:M141)),AVERAGE('20250815_ETF_Options_Exhibits'!M137:M141),"")</f>
        <v/>
      </c>
      <c r="N141" s="3">
        <f>IF(ISNUMBER(AVERAGE('20250815_ETF_Options_Exhibits'!N137:N141)),AVERAGE('20250815_ETF_Options_Exhibits'!N137:N141),"")</f>
        <v/>
      </c>
      <c r="O141" s="3">
        <f>IF(ISNUMBER(AVERAGE('20250815_ETF_Options_Exhibits'!O137:O141)),AVERAGE('20250815_ETF_Options_Exhibits'!O137:O141),"")</f>
        <v/>
      </c>
      <c r="P141" s="3">
        <f>IF(ISNUMBER(AVERAGE('20250815_ETF_Options_Exhibits'!P137:P141)),AVERAGE('20250815_ETF_Options_Exhibits'!P137:P141),"")</f>
        <v/>
      </c>
      <c r="Q141" s="3">
        <f>IF(ISNUMBER(AVERAGE('20250815_ETF_Options_Exhibits'!Q137:Q141)),AVERAGE('20250815_ETF_Options_Exhibits'!Q137:Q141),"")</f>
        <v/>
      </c>
      <c r="R141" s="3">
        <f>IF(ISNUMBER(AVERAGE('20250815_ETF_Options_Exhibits'!R137:R141)),AVERAGE('20250815_ETF_Options_Exhibits'!R137:R141),"")</f>
        <v/>
      </c>
      <c r="S141" s="3">
        <f>IF(ISNUMBER(AVERAGE('20250815_ETF_Options_Exhibits'!S137:S141)),AVERAGE('20250815_ETF_Options_Exhibits'!S137:S141),"")</f>
        <v/>
      </c>
      <c r="T141" s="3">
        <f>IF(ISNUMBER(AVERAGE('20250815_ETF_Options_Exhibits'!T137:T141)),AVERAGE('20250815_ETF_Options_Exhibits'!T137:T141),"")</f>
        <v/>
      </c>
      <c r="U141" s="3">
        <f>IF(ISNUMBER(AVERAGE('20250815_ETF_Options_Exhibits'!U137:U141)),AVERAGE('20250815_ETF_Options_Exhibits'!U137:U141),"")</f>
        <v/>
      </c>
      <c r="V141" s="3">
        <f>IF(ISNUMBER(AVERAGE('20250815_ETF_Options_Exhibits'!V137:V141)),AVERAGE('20250815_ETF_Options_Exhibits'!V137:V141),"")</f>
        <v/>
      </c>
      <c r="W141" s="3">
        <f>IF(ISNUMBER(AVERAGE('20250815_ETF_Options_Exhibits'!W137:W141)),AVERAGE('20250815_ETF_Options_Exhibits'!W137:W141),"")</f>
        <v/>
      </c>
      <c r="X141" s="3">
        <f>IF(ISNUMBER(AVERAGE('20250815_ETF_Options_Exhibits'!X137:X141)),AVERAGE('20250815_ETF_Options_Exhibits'!X137:X141),"")</f>
        <v/>
      </c>
      <c r="Y141" s="3">
        <f>IF(ISNUMBER(AVERAGE('20250815_ETF_Options_Exhibits'!Y137:Y141)),AVERAGE('20250815_ETF_Options_Exhibits'!Y137:Y141),"")</f>
        <v/>
      </c>
      <c r="Z141" s="3">
        <f>IF(ISNUMBER(AVERAGE('20250815_ETF_Options_Exhibits'!Z137:Z141)),AVERAGE('20250815_ETF_Options_Exhibits'!Z137:Z141),"")</f>
        <v/>
      </c>
      <c r="AA141" s="3">
        <f>IF(ISNUMBER(AVERAGE('20250815_ETF_Options_Exhibits'!AA137:AA141)),AVERAGE('20250815_ETF_Options_Exhibits'!AA137:AA141),"")</f>
        <v/>
      </c>
    </row>
    <row r="142">
      <c r="A142" s="1" t="n">
        <v>42208</v>
      </c>
      <c r="B142" s="3">
        <f>IF(ISNUMBER(AVERAGE('20250815_ETF_Options_Exhibits'!B138:B142)),AVERAGE('20250815_ETF_Options_Exhibits'!B138:B142),"")</f>
        <v/>
      </c>
      <c r="C142" s="3">
        <f>IF(ISNUMBER(AVERAGE('20250815_ETF_Options_Exhibits'!C138:C142)),AVERAGE('20250815_ETF_Options_Exhibits'!C138:C142),"")</f>
        <v/>
      </c>
      <c r="D142" s="3">
        <f>IF(ISNUMBER(AVERAGE('20250815_ETF_Options_Exhibits'!D138:D142)),AVERAGE('20250815_ETF_Options_Exhibits'!D138:D142),"")</f>
        <v/>
      </c>
      <c r="E142" s="3">
        <f>IF(ISNUMBER(AVERAGE('20250815_ETF_Options_Exhibits'!E138:E142)),AVERAGE('20250815_ETF_Options_Exhibits'!E138:E142),"")</f>
        <v/>
      </c>
      <c r="F142" s="3">
        <f>IF(ISNUMBER(AVERAGE('20250815_ETF_Options_Exhibits'!F138:F142)),AVERAGE('20250815_ETF_Options_Exhibits'!F138:F142),"")</f>
        <v/>
      </c>
      <c r="G142" s="3">
        <f>IF(ISNUMBER(AVERAGE('20250815_ETF_Options_Exhibits'!G138:G142)),AVERAGE('20250815_ETF_Options_Exhibits'!G138:G142),"")</f>
        <v/>
      </c>
      <c r="H142" s="3">
        <f>IF(ISNUMBER(AVERAGE('20250815_ETF_Options_Exhibits'!H138:H142)),AVERAGE('20250815_ETF_Options_Exhibits'!H138:H142),"")</f>
        <v/>
      </c>
      <c r="I142" s="3">
        <f>IF(ISNUMBER(AVERAGE('20250815_ETF_Options_Exhibits'!I138:I142)),AVERAGE('20250815_ETF_Options_Exhibits'!I138:I142),"")</f>
        <v/>
      </c>
      <c r="J142" s="3">
        <f>IF(ISNUMBER(AVERAGE('20250815_ETF_Options_Exhibits'!J138:J142)),AVERAGE('20250815_ETF_Options_Exhibits'!J138:J142),"")</f>
        <v/>
      </c>
      <c r="K142" s="3">
        <f>IF(ISNUMBER(AVERAGE('20250815_ETF_Options_Exhibits'!K138:K142)),AVERAGE('20250815_ETF_Options_Exhibits'!K138:K142),"")</f>
        <v/>
      </c>
      <c r="L142" s="3">
        <f>IF(ISNUMBER(AVERAGE('20250815_ETF_Options_Exhibits'!L138:L142)),AVERAGE('20250815_ETF_Options_Exhibits'!L138:L142),"")</f>
        <v/>
      </c>
      <c r="M142" s="3">
        <f>IF(ISNUMBER(AVERAGE('20250815_ETF_Options_Exhibits'!M138:M142)),AVERAGE('20250815_ETF_Options_Exhibits'!M138:M142),"")</f>
        <v/>
      </c>
      <c r="N142" s="3">
        <f>IF(ISNUMBER(AVERAGE('20250815_ETF_Options_Exhibits'!N138:N142)),AVERAGE('20250815_ETF_Options_Exhibits'!N138:N142),"")</f>
        <v/>
      </c>
      <c r="O142" s="3">
        <f>IF(ISNUMBER(AVERAGE('20250815_ETF_Options_Exhibits'!O138:O142)),AVERAGE('20250815_ETF_Options_Exhibits'!O138:O142),"")</f>
        <v/>
      </c>
      <c r="P142" s="3">
        <f>IF(ISNUMBER(AVERAGE('20250815_ETF_Options_Exhibits'!P138:P142)),AVERAGE('20250815_ETF_Options_Exhibits'!P138:P142),"")</f>
        <v/>
      </c>
      <c r="Q142" s="3">
        <f>IF(ISNUMBER(AVERAGE('20250815_ETF_Options_Exhibits'!Q138:Q142)),AVERAGE('20250815_ETF_Options_Exhibits'!Q138:Q142),"")</f>
        <v/>
      </c>
      <c r="R142" s="3">
        <f>IF(ISNUMBER(AVERAGE('20250815_ETF_Options_Exhibits'!R138:R142)),AVERAGE('20250815_ETF_Options_Exhibits'!R138:R142),"")</f>
        <v/>
      </c>
      <c r="S142" s="3">
        <f>IF(ISNUMBER(AVERAGE('20250815_ETF_Options_Exhibits'!S138:S142)),AVERAGE('20250815_ETF_Options_Exhibits'!S138:S142),"")</f>
        <v/>
      </c>
      <c r="T142" s="3">
        <f>IF(ISNUMBER(AVERAGE('20250815_ETF_Options_Exhibits'!T138:T142)),AVERAGE('20250815_ETF_Options_Exhibits'!T138:T142),"")</f>
        <v/>
      </c>
      <c r="U142" s="3">
        <f>IF(ISNUMBER(AVERAGE('20250815_ETF_Options_Exhibits'!U138:U142)),AVERAGE('20250815_ETF_Options_Exhibits'!U138:U142),"")</f>
        <v/>
      </c>
      <c r="V142" s="3">
        <f>IF(ISNUMBER(AVERAGE('20250815_ETF_Options_Exhibits'!V138:V142)),AVERAGE('20250815_ETF_Options_Exhibits'!V138:V142),"")</f>
        <v/>
      </c>
      <c r="W142" s="3">
        <f>IF(ISNUMBER(AVERAGE('20250815_ETF_Options_Exhibits'!W138:W142)),AVERAGE('20250815_ETF_Options_Exhibits'!W138:W142),"")</f>
        <v/>
      </c>
      <c r="X142" s="3">
        <f>IF(ISNUMBER(AVERAGE('20250815_ETF_Options_Exhibits'!X138:X142)),AVERAGE('20250815_ETF_Options_Exhibits'!X138:X142),"")</f>
        <v/>
      </c>
      <c r="Y142" s="3">
        <f>IF(ISNUMBER(AVERAGE('20250815_ETF_Options_Exhibits'!Y138:Y142)),AVERAGE('20250815_ETF_Options_Exhibits'!Y138:Y142),"")</f>
        <v/>
      </c>
      <c r="Z142" s="3">
        <f>IF(ISNUMBER(AVERAGE('20250815_ETF_Options_Exhibits'!Z138:Z142)),AVERAGE('20250815_ETF_Options_Exhibits'!Z138:Z142),"")</f>
        <v/>
      </c>
      <c r="AA142" s="3">
        <f>IF(ISNUMBER(AVERAGE('20250815_ETF_Options_Exhibits'!AA138:AA142)),AVERAGE('20250815_ETF_Options_Exhibits'!AA138:AA142),"")</f>
        <v/>
      </c>
    </row>
    <row r="143">
      <c r="A143" s="1" t="n">
        <v>42209</v>
      </c>
      <c r="B143" s="3">
        <f>IF(ISNUMBER(AVERAGE('20250815_ETF_Options_Exhibits'!B139:B143)),AVERAGE('20250815_ETF_Options_Exhibits'!B139:B143),"")</f>
        <v/>
      </c>
      <c r="C143" s="3">
        <f>IF(ISNUMBER(AVERAGE('20250815_ETF_Options_Exhibits'!C139:C143)),AVERAGE('20250815_ETF_Options_Exhibits'!C139:C143),"")</f>
        <v/>
      </c>
      <c r="D143" s="3">
        <f>IF(ISNUMBER(AVERAGE('20250815_ETF_Options_Exhibits'!D139:D143)),AVERAGE('20250815_ETF_Options_Exhibits'!D139:D143),"")</f>
        <v/>
      </c>
      <c r="E143" s="3">
        <f>IF(ISNUMBER(AVERAGE('20250815_ETF_Options_Exhibits'!E139:E143)),AVERAGE('20250815_ETF_Options_Exhibits'!E139:E143),"")</f>
        <v/>
      </c>
      <c r="F143" s="3">
        <f>IF(ISNUMBER(AVERAGE('20250815_ETF_Options_Exhibits'!F139:F143)),AVERAGE('20250815_ETF_Options_Exhibits'!F139:F143),"")</f>
        <v/>
      </c>
      <c r="G143" s="3">
        <f>IF(ISNUMBER(AVERAGE('20250815_ETF_Options_Exhibits'!G139:G143)),AVERAGE('20250815_ETF_Options_Exhibits'!G139:G143),"")</f>
        <v/>
      </c>
      <c r="H143" s="3">
        <f>IF(ISNUMBER(AVERAGE('20250815_ETF_Options_Exhibits'!H139:H143)),AVERAGE('20250815_ETF_Options_Exhibits'!H139:H143),"")</f>
        <v/>
      </c>
      <c r="I143" s="3">
        <f>IF(ISNUMBER(AVERAGE('20250815_ETF_Options_Exhibits'!I139:I143)),AVERAGE('20250815_ETF_Options_Exhibits'!I139:I143),"")</f>
        <v/>
      </c>
      <c r="J143" s="3">
        <f>IF(ISNUMBER(AVERAGE('20250815_ETF_Options_Exhibits'!J139:J143)),AVERAGE('20250815_ETF_Options_Exhibits'!J139:J143),"")</f>
        <v/>
      </c>
      <c r="K143" s="3">
        <f>IF(ISNUMBER(AVERAGE('20250815_ETF_Options_Exhibits'!K139:K143)),AVERAGE('20250815_ETF_Options_Exhibits'!K139:K143),"")</f>
        <v/>
      </c>
      <c r="L143" s="3">
        <f>IF(ISNUMBER(AVERAGE('20250815_ETF_Options_Exhibits'!L139:L143)),AVERAGE('20250815_ETF_Options_Exhibits'!L139:L143),"")</f>
        <v/>
      </c>
      <c r="M143" s="3">
        <f>IF(ISNUMBER(AVERAGE('20250815_ETF_Options_Exhibits'!M139:M143)),AVERAGE('20250815_ETF_Options_Exhibits'!M139:M143),"")</f>
        <v/>
      </c>
      <c r="N143" s="3">
        <f>IF(ISNUMBER(AVERAGE('20250815_ETF_Options_Exhibits'!N139:N143)),AVERAGE('20250815_ETF_Options_Exhibits'!N139:N143),"")</f>
        <v/>
      </c>
      <c r="O143" s="3">
        <f>IF(ISNUMBER(AVERAGE('20250815_ETF_Options_Exhibits'!O139:O143)),AVERAGE('20250815_ETF_Options_Exhibits'!O139:O143),"")</f>
        <v/>
      </c>
      <c r="P143" s="3">
        <f>IF(ISNUMBER(AVERAGE('20250815_ETF_Options_Exhibits'!P139:P143)),AVERAGE('20250815_ETF_Options_Exhibits'!P139:P143),"")</f>
        <v/>
      </c>
      <c r="Q143" s="3">
        <f>IF(ISNUMBER(AVERAGE('20250815_ETF_Options_Exhibits'!Q139:Q143)),AVERAGE('20250815_ETF_Options_Exhibits'!Q139:Q143),"")</f>
        <v/>
      </c>
      <c r="R143" s="3">
        <f>IF(ISNUMBER(AVERAGE('20250815_ETF_Options_Exhibits'!R139:R143)),AVERAGE('20250815_ETF_Options_Exhibits'!R139:R143),"")</f>
        <v/>
      </c>
      <c r="S143" s="3">
        <f>IF(ISNUMBER(AVERAGE('20250815_ETF_Options_Exhibits'!S139:S143)),AVERAGE('20250815_ETF_Options_Exhibits'!S139:S143),"")</f>
        <v/>
      </c>
      <c r="T143" s="3">
        <f>IF(ISNUMBER(AVERAGE('20250815_ETF_Options_Exhibits'!T139:T143)),AVERAGE('20250815_ETF_Options_Exhibits'!T139:T143),"")</f>
        <v/>
      </c>
      <c r="U143" s="3">
        <f>IF(ISNUMBER(AVERAGE('20250815_ETF_Options_Exhibits'!U139:U143)),AVERAGE('20250815_ETF_Options_Exhibits'!U139:U143),"")</f>
        <v/>
      </c>
      <c r="V143" s="3">
        <f>IF(ISNUMBER(AVERAGE('20250815_ETF_Options_Exhibits'!V139:V143)),AVERAGE('20250815_ETF_Options_Exhibits'!V139:V143),"")</f>
        <v/>
      </c>
      <c r="W143" s="3">
        <f>IF(ISNUMBER(AVERAGE('20250815_ETF_Options_Exhibits'!W139:W143)),AVERAGE('20250815_ETF_Options_Exhibits'!W139:W143),"")</f>
        <v/>
      </c>
      <c r="X143" s="3">
        <f>IF(ISNUMBER(AVERAGE('20250815_ETF_Options_Exhibits'!X139:X143)),AVERAGE('20250815_ETF_Options_Exhibits'!X139:X143),"")</f>
        <v/>
      </c>
      <c r="Y143" s="3">
        <f>IF(ISNUMBER(AVERAGE('20250815_ETF_Options_Exhibits'!Y139:Y143)),AVERAGE('20250815_ETF_Options_Exhibits'!Y139:Y143),"")</f>
        <v/>
      </c>
      <c r="Z143" s="3">
        <f>IF(ISNUMBER(AVERAGE('20250815_ETF_Options_Exhibits'!Z139:Z143)),AVERAGE('20250815_ETF_Options_Exhibits'!Z139:Z143),"")</f>
        <v/>
      </c>
      <c r="AA143" s="3">
        <f>IF(ISNUMBER(AVERAGE('20250815_ETF_Options_Exhibits'!AA139:AA143)),AVERAGE('20250815_ETF_Options_Exhibits'!AA139:AA143),"")</f>
        <v/>
      </c>
    </row>
    <row r="144">
      <c r="A144" s="1" t="n">
        <v>42212</v>
      </c>
      <c r="B144" s="3">
        <f>IF(ISNUMBER(AVERAGE('20250815_ETF_Options_Exhibits'!B140:B144)),AVERAGE('20250815_ETF_Options_Exhibits'!B140:B144),"")</f>
        <v/>
      </c>
      <c r="C144" s="3">
        <f>IF(ISNUMBER(AVERAGE('20250815_ETF_Options_Exhibits'!C140:C144)),AVERAGE('20250815_ETF_Options_Exhibits'!C140:C144),"")</f>
        <v/>
      </c>
      <c r="D144" s="3">
        <f>IF(ISNUMBER(AVERAGE('20250815_ETF_Options_Exhibits'!D140:D144)),AVERAGE('20250815_ETF_Options_Exhibits'!D140:D144),"")</f>
        <v/>
      </c>
      <c r="E144" s="3">
        <f>IF(ISNUMBER(AVERAGE('20250815_ETF_Options_Exhibits'!E140:E144)),AVERAGE('20250815_ETF_Options_Exhibits'!E140:E144),"")</f>
        <v/>
      </c>
      <c r="F144" s="3">
        <f>IF(ISNUMBER(AVERAGE('20250815_ETF_Options_Exhibits'!F140:F144)),AVERAGE('20250815_ETF_Options_Exhibits'!F140:F144),"")</f>
        <v/>
      </c>
      <c r="G144" s="3">
        <f>IF(ISNUMBER(AVERAGE('20250815_ETF_Options_Exhibits'!G140:G144)),AVERAGE('20250815_ETF_Options_Exhibits'!G140:G144),"")</f>
        <v/>
      </c>
      <c r="H144" s="3">
        <f>IF(ISNUMBER(AVERAGE('20250815_ETF_Options_Exhibits'!H140:H144)),AVERAGE('20250815_ETF_Options_Exhibits'!H140:H144),"")</f>
        <v/>
      </c>
      <c r="I144" s="3">
        <f>IF(ISNUMBER(AVERAGE('20250815_ETF_Options_Exhibits'!I140:I144)),AVERAGE('20250815_ETF_Options_Exhibits'!I140:I144),"")</f>
        <v/>
      </c>
      <c r="J144" s="3">
        <f>IF(ISNUMBER(AVERAGE('20250815_ETF_Options_Exhibits'!J140:J144)),AVERAGE('20250815_ETF_Options_Exhibits'!J140:J144),"")</f>
        <v/>
      </c>
      <c r="K144" s="3">
        <f>IF(ISNUMBER(AVERAGE('20250815_ETF_Options_Exhibits'!K140:K144)),AVERAGE('20250815_ETF_Options_Exhibits'!K140:K144),"")</f>
        <v/>
      </c>
      <c r="L144" s="3">
        <f>IF(ISNUMBER(AVERAGE('20250815_ETF_Options_Exhibits'!L140:L144)),AVERAGE('20250815_ETF_Options_Exhibits'!L140:L144),"")</f>
        <v/>
      </c>
      <c r="M144" s="3">
        <f>IF(ISNUMBER(AVERAGE('20250815_ETF_Options_Exhibits'!M140:M144)),AVERAGE('20250815_ETF_Options_Exhibits'!M140:M144),"")</f>
        <v/>
      </c>
      <c r="N144" s="3">
        <f>IF(ISNUMBER(AVERAGE('20250815_ETF_Options_Exhibits'!N140:N144)),AVERAGE('20250815_ETF_Options_Exhibits'!N140:N144),"")</f>
        <v/>
      </c>
      <c r="O144" s="3">
        <f>IF(ISNUMBER(AVERAGE('20250815_ETF_Options_Exhibits'!O140:O144)),AVERAGE('20250815_ETF_Options_Exhibits'!O140:O144),"")</f>
        <v/>
      </c>
      <c r="P144" s="3">
        <f>IF(ISNUMBER(AVERAGE('20250815_ETF_Options_Exhibits'!P140:P144)),AVERAGE('20250815_ETF_Options_Exhibits'!P140:P144),"")</f>
        <v/>
      </c>
      <c r="Q144" s="3">
        <f>IF(ISNUMBER(AVERAGE('20250815_ETF_Options_Exhibits'!Q140:Q144)),AVERAGE('20250815_ETF_Options_Exhibits'!Q140:Q144),"")</f>
        <v/>
      </c>
      <c r="R144" s="3">
        <f>IF(ISNUMBER(AVERAGE('20250815_ETF_Options_Exhibits'!R140:R144)),AVERAGE('20250815_ETF_Options_Exhibits'!R140:R144),"")</f>
        <v/>
      </c>
      <c r="S144" s="3">
        <f>IF(ISNUMBER(AVERAGE('20250815_ETF_Options_Exhibits'!S140:S144)),AVERAGE('20250815_ETF_Options_Exhibits'!S140:S144),"")</f>
        <v/>
      </c>
      <c r="T144" s="3">
        <f>IF(ISNUMBER(AVERAGE('20250815_ETF_Options_Exhibits'!T140:T144)),AVERAGE('20250815_ETF_Options_Exhibits'!T140:T144),"")</f>
        <v/>
      </c>
      <c r="U144" s="3">
        <f>IF(ISNUMBER(AVERAGE('20250815_ETF_Options_Exhibits'!U140:U144)),AVERAGE('20250815_ETF_Options_Exhibits'!U140:U144),"")</f>
        <v/>
      </c>
      <c r="V144" s="3">
        <f>IF(ISNUMBER(AVERAGE('20250815_ETF_Options_Exhibits'!V140:V144)),AVERAGE('20250815_ETF_Options_Exhibits'!V140:V144),"")</f>
        <v/>
      </c>
      <c r="W144" s="3">
        <f>IF(ISNUMBER(AVERAGE('20250815_ETF_Options_Exhibits'!W140:W144)),AVERAGE('20250815_ETF_Options_Exhibits'!W140:W144),"")</f>
        <v/>
      </c>
      <c r="X144" s="3">
        <f>IF(ISNUMBER(AVERAGE('20250815_ETF_Options_Exhibits'!X140:X144)),AVERAGE('20250815_ETF_Options_Exhibits'!X140:X144),"")</f>
        <v/>
      </c>
      <c r="Y144" s="3">
        <f>IF(ISNUMBER(AVERAGE('20250815_ETF_Options_Exhibits'!Y140:Y144)),AVERAGE('20250815_ETF_Options_Exhibits'!Y140:Y144),"")</f>
        <v/>
      </c>
      <c r="Z144" s="3">
        <f>IF(ISNUMBER(AVERAGE('20250815_ETF_Options_Exhibits'!Z140:Z144)),AVERAGE('20250815_ETF_Options_Exhibits'!Z140:Z144),"")</f>
        <v/>
      </c>
      <c r="AA144" s="3">
        <f>IF(ISNUMBER(AVERAGE('20250815_ETF_Options_Exhibits'!AA140:AA144)),AVERAGE('20250815_ETF_Options_Exhibits'!AA140:AA144),"")</f>
        <v/>
      </c>
    </row>
    <row r="145">
      <c r="A145" s="1" t="n">
        <v>42213</v>
      </c>
      <c r="B145" s="3">
        <f>IF(ISNUMBER(AVERAGE('20250815_ETF_Options_Exhibits'!B141:B145)),AVERAGE('20250815_ETF_Options_Exhibits'!B141:B145),"")</f>
        <v/>
      </c>
      <c r="C145" s="3">
        <f>IF(ISNUMBER(AVERAGE('20250815_ETF_Options_Exhibits'!C141:C145)),AVERAGE('20250815_ETF_Options_Exhibits'!C141:C145),"")</f>
        <v/>
      </c>
      <c r="D145" s="3">
        <f>IF(ISNUMBER(AVERAGE('20250815_ETF_Options_Exhibits'!D141:D145)),AVERAGE('20250815_ETF_Options_Exhibits'!D141:D145),"")</f>
        <v/>
      </c>
      <c r="E145" s="3">
        <f>IF(ISNUMBER(AVERAGE('20250815_ETF_Options_Exhibits'!E141:E145)),AVERAGE('20250815_ETF_Options_Exhibits'!E141:E145),"")</f>
        <v/>
      </c>
      <c r="F145" s="3">
        <f>IF(ISNUMBER(AVERAGE('20250815_ETF_Options_Exhibits'!F141:F145)),AVERAGE('20250815_ETF_Options_Exhibits'!F141:F145),"")</f>
        <v/>
      </c>
      <c r="G145" s="3">
        <f>IF(ISNUMBER(AVERAGE('20250815_ETF_Options_Exhibits'!G141:G145)),AVERAGE('20250815_ETF_Options_Exhibits'!G141:G145),"")</f>
        <v/>
      </c>
      <c r="H145" s="3">
        <f>IF(ISNUMBER(AVERAGE('20250815_ETF_Options_Exhibits'!H141:H145)),AVERAGE('20250815_ETF_Options_Exhibits'!H141:H145),"")</f>
        <v/>
      </c>
      <c r="I145" s="3">
        <f>IF(ISNUMBER(AVERAGE('20250815_ETF_Options_Exhibits'!I141:I145)),AVERAGE('20250815_ETF_Options_Exhibits'!I141:I145),"")</f>
        <v/>
      </c>
      <c r="J145" s="3">
        <f>IF(ISNUMBER(AVERAGE('20250815_ETF_Options_Exhibits'!J141:J145)),AVERAGE('20250815_ETF_Options_Exhibits'!J141:J145),"")</f>
        <v/>
      </c>
      <c r="K145" s="3">
        <f>IF(ISNUMBER(AVERAGE('20250815_ETF_Options_Exhibits'!K141:K145)),AVERAGE('20250815_ETF_Options_Exhibits'!K141:K145),"")</f>
        <v/>
      </c>
      <c r="L145" s="3">
        <f>IF(ISNUMBER(AVERAGE('20250815_ETF_Options_Exhibits'!L141:L145)),AVERAGE('20250815_ETF_Options_Exhibits'!L141:L145),"")</f>
        <v/>
      </c>
      <c r="M145" s="3">
        <f>IF(ISNUMBER(AVERAGE('20250815_ETF_Options_Exhibits'!M141:M145)),AVERAGE('20250815_ETF_Options_Exhibits'!M141:M145),"")</f>
        <v/>
      </c>
      <c r="N145" s="3">
        <f>IF(ISNUMBER(AVERAGE('20250815_ETF_Options_Exhibits'!N141:N145)),AVERAGE('20250815_ETF_Options_Exhibits'!N141:N145),"")</f>
        <v/>
      </c>
      <c r="O145" s="3">
        <f>IF(ISNUMBER(AVERAGE('20250815_ETF_Options_Exhibits'!O141:O145)),AVERAGE('20250815_ETF_Options_Exhibits'!O141:O145),"")</f>
        <v/>
      </c>
      <c r="P145" s="3">
        <f>IF(ISNUMBER(AVERAGE('20250815_ETF_Options_Exhibits'!P141:P145)),AVERAGE('20250815_ETF_Options_Exhibits'!P141:P145),"")</f>
        <v/>
      </c>
      <c r="Q145" s="3">
        <f>IF(ISNUMBER(AVERAGE('20250815_ETF_Options_Exhibits'!Q141:Q145)),AVERAGE('20250815_ETF_Options_Exhibits'!Q141:Q145),"")</f>
        <v/>
      </c>
      <c r="R145" s="3">
        <f>IF(ISNUMBER(AVERAGE('20250815_ETF_Options_Exhibits'!R141:R145)),AVERAGE('20250815_ETF_Options_Exhibits'!R141:R145),"")</f>
        <v/>
      </c>
      <c r="S145" s="3">
        <f>IF(ISNUMBER(AVERAGE('20250815_ETF_Options_Exhibits'!S141:S145)),AVERAGE('20250815_ETF_Options_Exhibits'!S141:S145),"")</f>
        <v/>
      </c>
      <c r="T145" s="3">
        <f>IF(ISNUMBER(AVERAGE('20250815_ETF_Options_Exhibits'!T141:T145)),AVERAGE('20250815_ETF_Options_Exhibits'!T141:T145),"")</f>
        <v/>
      </c>
      <c r="U145" s="3">
        <f>IF(ISNUMBER(AVERAGE('20250815_ETF_Options_Exhibits'!U141:U145)),AVERAGE('20250815_ETF_Options_Exhibits'!U141:U145),"")</f>
        <v/>
      </c>
      <c r="V145" s="3">
        <f>IF(ISNUMBER(AVERAGE('20250815_ETF_Options_Exhibits'!V141:V145)),AVERAGE('20250815_ETF_Options_Exhibits'!V141:V145),"")</f>
        <v/>
      </c>
      <c r="W145" s="3">
        <f>IF(ISNUMBER(AVERAGE('20250815_ETF_Options_Exhibits'!W141:W145)),AVERAGE('20250815_ETF_Options_Exhibits'!W141:W145),"")</f>
        <v/>
      </c>
      <c r="X145" s="3">
        <f>IF(ISNUMBER(AVERAGE('20250815_ETF_Options_Exhibits'!X141:X145)),AVERAGE('20250815_ETF_Options_Exhibits'!X141:X145),"")</f>
        <v/>
      </c>
      <c r="Y145" s="3">
        <f>IF(ISNUMBER(AVERAGE('20250815_ETF_Options_Exhibits'!Y141:Y145)),AVERAGE('20250815_ETF_Options_Exhibits'!Y141:Y145),"")</f>
        <v/>
      </c>
      <c r="Z145" s="3">
        <f>IF(ISNUMBER(AVERAGE('20250815_ETF_Options_Exhibits'!Z141:Z145)),AVERAGE('20250815_ETF_Options_Exhibits'!Z141:Z145),"")</f>
        <v/>
      </c>
      <c r="AA145" s="3">
        <f>IF(ISNUMBER(AVERAGE('20250815_ETF_Options_Exhibits'!AA141:AA145)),AVERAGE('20250815_ETF_Options_Exhibits'!AA141:AA145),"")</f>
        <v/>
      </c>
    </row>
    <row r="146">
      <c r="A146" s="1" t="n">
        <v>42214</v>
      </c>
      <c r="B146" s="3">
        <f>IF(ISNUMBER(AVERAGE('20250815_ETF_Options_Exhibits'!B142:B146)),AVERAGE('20250815_ETF_Options_Exhibits'!B142:B146),"")</f>
        <v/>
      </c>
      <c r="C146" s="3">
        <f>IF(ISNUMBER(AVERAGE('20250815_ETF_Options_Exhibits'!C142:C146)),AVERAGE('20250815_ETF_Options_Exhibits'!C142:C146),"")</f>
        <v/>
      </c>
      <c r="D146" s="3">
        <f>IF(ISNUMBER(AVERAGE('20250815_ETF_Options_Exhibits'!D142:D146)),AVERAGE('20250815_ETF_Options_Exhibits'!D142:D146),"")</f>
        <v/>
      </c>
      <c r="E146" s="3">
        <f>IF(ISNUMBER(AVERAGE('20250815_ETF_Options_Exhibits'!E142:E146)),AVERAGE('20250815_ETF_Options_Exhibits'!E142:E146),"")</f>
        <v/>
      </c>
      <c r="F146" s="3">
        <f>IF(ISNUMBER(AVERAGE('20250815_ETF_Options_Exhibits'!F142:F146)),AVERAGE('20250815_ETF_Options_Exhibits'!F142:F146),"")</f>
        <v/>
      </c>
      <c r="G146" s="3">
        <f>IF(ISNUMBER(AVERAGE('20250815_ETF_Options_Exhibits'!G142:G146)),AVERAGE('20250815_ETF_Options_Exhibits'!G142:G146),"")</f>
        <v/>
      </c>
      <c r="H146" s="3">
        <f>IF(ISNUMBER(AVERAGE('20250815_ETF_Options_Exhibits'!H142:H146)),AVERAGE('20250815_ETF_Options_Exhibits'!H142:H146),"")</f>
        <v/>
      </c>
      <c r="I146" s="3">
        <f>IF(ISNUMBER(AVERAGE('20250815_ETF_Options_Exhibits'!I142:I146)),AVERAGE('20250815_ETF_Options_Exhibits'!I142:I146),"")</f>
        <v/>
      </c>
      <c r="J146" s="3">
        <f>IF(ISNUMBER(AVERAGE('20250815_ETF_Options_Exhibits'!J142:J146)),AVERAGE('20250815_ETF_Options_Exhibits'!J142:J146),"")</f>
        <v/>
      </c>
      <c r="K146" s="3">
        <f>IF(ISNUMBER(AVERAGE('20250815_ETF_Options_Exhibits'!K142:K146)),AVERAGE('20250815_ETF_Options_Exhibits'!K142:K146),"")</f>
        <v/>
      </c>
      <c r="L146" s="3">
        <f>IF(ISNUMBER(AVERAGE('20250815_ETF_Options_Exhibits'!L142:L146)),AVERAGE('20250815_ETF_Options_Exhibits'!L142:L146),"")</f>
        <v/>
      </c>
      <c r="M146" s="3">
        <f>IF(ISNUMBER(AVERAGE('20250815_ETF_Options_Exhibits'!M142:M146)),AVERAGE('20250815_ETF_Options_Exhibits'!M142:M146),"")</f>
        <v/>
      </c>
      <c r="N146" s="3">
        <f>IF(ISNUMBER(AVERAGE('20250815_ETF_Options_Exhibits'!N142:N146)),AVERAGE('20250815_ETF_Options_Exhibits'!N142:N146),"")</f>
        <v/>
      </c>
      <c r="O146" s="3">
        <f>IF(ISNUMBER(AVERAGE('20250815_ETF_Options_Exhibits'!O142:O146)),AVERAGE('20250815_ETF_Options_Exhibits'!O142:O146),"")</f>
        <v/>
      </c>
      <c r="P146" s="3">
        <f>IF(ISNUMBER(AVERAGE('20250815_ETF_Options_Exhibits'!P142:P146)),AVERAGE('20250815_ETF_Options_Exhibits'!P142:P146),"")</f>
        <v/>
      </c>
      <c r="Q146" s="3">
        <f>IF(ISNUMBER(AVERAGE('20250815_ETF_Options_Exhibits'!Q142:Q146)),AVERAGE('20250815_ETF_Options_Exhibits'!Q142:Q146),"")</f>
        <v/>
      </c>
      <c r="R146" s="3">
        <f>IF(ISNUMBER(AVERAGE('20250815_ETF_Options_Exhibits'!R142:R146)),AVERAGE('20250815_ETF_Options_Exhibits'!R142:R146),"")</f>
        <v/>
      </c>
      <c r="S146" s="3">
        <f>IF(ISNUMBER(AVERAGE('20250815_ETF_Options_Exhibits'!S142:S146)),AVERAGE('20250815_ETF_Options_Exhibits'!S142:S146),"")</f>
        <v/>
      </c>
      <c r="T146" s="3">
        <f>IF(ISNUMBER(AVERAGE('20250815_ETF_Options_Exhibits'!T142:T146)),AVERAGE('20250815_ETF_Options_Exhibits'!T142:T146),"")</f>
        <v/>
      </c>
      <c r="U146" s="3">
        <f>IF(ISNUMBER(AVERAGE('20250815_ETF_Options_Exhibits'!U142:U146)),AVERAGE('20250815_ETF_Options_Exhibits'!U142:U146),"")</f>
        <v/>
      </c>
      <c r="V146" s="3">
        <f>IF(ISNUMBER(AVERAGE('20250815_ETF_Options_Exhibits'!V142:V146)),AVERAGE('20250815_ETF_Options_Exhibits'!V142:V146),"")</f>
        <v/>
      </c>
      <c r="W146" s="3">
        <f>IF(ISNUMBER(AVERAGE('20250815_ETF_Options_Exhibits'!W142:W146)),AVERAGE('20250815_ETF_Options_Exhibits'!W142:W146),"")</f>
        <v/>
      </c>
      <c r="X146" s="3">
        <f>IF(ISNUMBER(AVERAGE('20250815_ETF_Options_Exhibits'!X142:X146)),AVERAGE('20250815_ETF_Options_Exhibits'!X142:X146),"")</f>
        <v/>
      </c>
      <c r="Y146" s="3">
        <f>IF(ISNUMBER(AVERAGE('20250815_ETF_Options_Exhibits'!Y142:Y146)),AVERAGE('20250815_ETF_Options_Exhibits'!Y142:Y146),"")</f>
        <v/>
      </c>
      <c r="Z146" s="3">
        <f>IF(ISNUMBER(AVERAGE('20250815_ETF_Options_Exhibits'!Z142:Z146)),AVERAGE('20250815_ETF_Options_Exhibits'!Z142:Z146),"")</f>
        <v/>
      </c>
      <c r="AA146" s="3">
        <f>IF(ISNUMBER(AVERAGE('20250815_ETF_Options_Exhibits'!AA142:AA146)),AVERAGE('20250815_ETF_Options_Exhibits'!AA142:AA146),"")</f>
        <v/>
      </c>
    </row>
    <row r="147">
      <c r="A147" s="1" t="n">
        <v>42215</v>
      </c>
      <c r="B147" s="3">
        <f>IF(ISNUMBER(AVERAGE('20250815_ETF_Options_Exhibits'!B143:B147)),AVERAGE('20250815_ETF_Options_Exhibits'!B143:B147),"")</f>
        <v/>
      </c>
      <c r="C147" s="3">
        <f>IF(ISNUMBER(AVERAGE('20250815_ETF_Options_Exhibits'!C143:C147)),AVERAGE('20250815_ETF_Options_Exhibits'!C143:C147),"")</f>
        <v/>
      </c>
      <c r="D147" s="3">
        <f>IF(ISNUMBER(AVERAGE('20250815_ETF_Options_Exhibits'!D143:D147)),AVERAGE('20250815_ETF_Options_Exhibits'!D143:D147),"")</f>
        <v/>
      </c>
      <c r="E147" s="3">
        <f>IF(ISNUMBER(AVERAGE('20250815_ETF_Options_Exhibits'!E143:E147)),AVERAGE('20250815_ETF_Options_Exhibits'!E143:E147),"")</f>
        <v/>
      </c>
      <c r="F147" s="3">
        <f>IF(ISNUMBER(AVERAGE('20250815_ETF_Options_Exhibits'!F143:F147)),AVERAGE('20250815_ETF_Options_Exhibits'!F143:F147),"")</f>
        <v/>
      </c>
      <c r="G147" s="3">
        <f>IF(ISNUMBER(AVERAGE('20250815_ETF_Options_Exhibits'!G143:G147)),AVERAGE('20250815_ETF_Options_Exhibits'!G143:G147),"")</f>
        <v/>
      </c>
      <c r="H147" s="3">
        <f>IF(ISNUMBER(AVERAGE('20250815_ETF_Options_Exhibits'!H143:H147)),AVERAGE('20250815_ETF_Options_Exhibits'!H143:H147),"")</f>
        <v/>
      </c>
      <c r="I147" s="3">
        <f>IF(ISNUMBER(AVERAGE('20250815_ETF_Options_Exhibits'!I143:I147)),AVERAGE('20250815_ETF_Options_Exhibits'!I143:I147),"")</f>
        <v/>
      </c>
      <c r="J147" s="3">
        <f>IF(ISNUMBER(AVERAGE('20250815_ETF_Options_Exhibits'!J143:J147)),AVERAGE('20250815_ETF_Options_Exhibits'!J143:J147),"")</f>
        <v/>
      </c>
      <c r="K147" s="3">
        <f>IF(ISNUMBER(AVERAGE('20250815_ETF_Options_Exhibits'!K143:K147)),AVERAGE('20250815_ETF_Options_Exhibits'!K143:K147),"")</f>
        <v/>
      </c>
      <c r="L147" s="3">
        <f>IF(ISNUMBER(AVERAGE('20250815_ETF_Options_Exhibits'!L143:L147)),AVERAGE('20250815_ETF_Options_Exhibits'!L143:L147),"")</f>
        <v/>
      </c>
      <c r="M147" s="3">
        <f>IF(ISNUMBER(AVERAGE('20250815_ETF_Options_Exhibits'!M143:M147)),AVERAGE('20250815_ETF_Options_Exhibits'!M143:M147),"")</f>
        <v/>
      </c>
      <c r="N147" s="3">
        <f>IF(ISNUMBER(AVERAGE('20250815_ETF_Options_Exhibits'!N143:N147)),AVERAGE('20250815_ETF_Options_Exhibits'!N143:N147),"")</f>
        <v/>
      </c>
      <c r="O147" s="3">
        <f>IF(ISNUMBER(AVERAGE('20250815_ETF_Options_Exhibits'!O143:O147)),AVERAGE('20250815_ETF_Options_Exhibits'!O143:O147),"")</f>
        <v/>
      </c>
      <c r="P147" s="3">
        <f>IF(ISNUMBER(AVERAGE('20250815_ETF_Options_Exhibits'!P143:P147)),AVERAGE('20250815_ETF_Options_Exhibits'!P143:P147),"")</f>
        <v/>
      </c>
      <c r="Q147" s="3">
        <f>IF(ISNUMBER(AVERAGE('20250815_ETF_Options_Exhibits'!Q143:Q147)),AVERAGE('20250815_ETF_Options_Exhibits'!Q143:Q147),"")</f>
        <v/>
      </c>
      <c r="R147" s="3">
        <f>IF(ISNUMBER(AVERAGE('20250815_ETF_Options_Exhibits'!R143:R147)),AVERAGE('20250815_ETF_Options_Exhibits'!R143:R147),"")</f>
        <v/>
      </c>
      <c r="S147" s="3">
        <f>IF(ISNUMBER(AVERAGE('20250815_ETF_Options_Exhibits'!S143:S147)),AVERAGE('20250815_ETF_Options_Exhibits'!S143:S147),"")</f>
        <v/>
      </c>
      <c r="T147" s="3">
        <f>IF(ISNUMBER(AVERAGE('20250815_ETF_Options_Exhibits'!T143:T147)),AVERAGE('20250815_ETF_Options_Exhibits'!T143:T147),"")</f>
        <v/>
      </c>
      <c r="U147" s="3">
        <f>IF(ISNUMBER(AVERAGE('20250815_ETF_Options_Exhibits'!U143:U147)),AVERAGE('20250815_ETF_Options_Exhibits'!U143:U147),"")</f>
        <v/>
      </c>
      <c r="V147" s="3">
        <f>IF(ISNUMBER(AVERAGE('20250815_ETF_Options_Exhibits'!V143:V147)),AVERAGE('20250815_ETF_Options_Exhibits'!V143:V147),"")</f>
        <v/>
      </c>
      <c r="W147" s="3">
        <f>IF(ISNUMBER(AVERAGE('20250815_ETF_Options_Exhibits'!W143:W147)),AVERAGE('20250815_ETF_Options_Exhibits'!W143:W147),"")</f>
        <v/>
      </c>
      <c r="X147" s="3">
        <f>IF(ISNUMBER(AVERAGE('20250815_ETF_Options_Exhibits'!X143:X147)),AVERAGE('20250815_ETF_Options_Exhibits'!X143:X147),"")</f>
        <v/>
      </c>
      <c r="Y147" s="3">
        <f>IF(ISNUMBER(AVERAGE('20250815_ETF_Options_Exhibits'!Y143:Y147)),AVERAGE('20250815_ETF_Options_Exhibits'!Y143:Y147),"")</f>
        <v/>
      </c>
      <c r="Z147" s="3">
        <f>IF(ISNUMBER(AVERAGE('20250815_ETF_Options_Exhibits'!Z143:Z147)),AVERAGE('20250815_ETF_Options_Exhibits'!Z143:Z147),"")</f>
        <v/>
      </c>
      <c r="AA147" s="3">
        <f>IF(ISNUMBER(AVERAGE('20250815_ETF_Options_Exhibits'!AA143:AA147)),AVERAGE('20250815_ETF_Options_Exhibits'!AA143:AA147),"")</f>
        <v/>
      </c>
    </row>
    <row r="148">
      <c r="A148" s="1" t="n">
        <v>42216</v>
      </c>
      <c r="B148" s="3">
        <f>IF(ISNUMBER(AVERAGE('20250815_ETF_Options_Exhibits'!B144:B148)),AVERAGE('20250815_ETF_Options_Exhibits'!B144:B148),"")</f>
        <v/>
      </c>
      <c r="C148" s="3">
        <f>IF(ISNUMBER(AVERAGE('20250815_ETF_Options_Exhibits'!C144:C148)),AVERAGE('20250815_ETF_Options_Exhibits'!C144:C148),"")</f>
        <v/>
      </c>
      <c r="D148" s="3">
        <f>IF(ISNUMBER(AVERAGE('20250815_ETF_Options_Exhibits'!D144:D148)),AVERAGE('20250815_ETF_Options_Exhibits'!D144:D148),"")</f>
        <v/>
      </c>
      <c r="E148" s="3">
        <f>IF(ISNUMBER(AVERAGE('20250815_ETF_Options_Exhibits'!E144:E148)),AVERAGE('20250815_ETF_Options_Exhibits'!E144:E148),"")</f>
        <v/>
      </c>
      <c r="F148" s="3">
        <f>IF(ISNUMBER(AVERAGE('20250815_ETF_Options_Exhibits'!F144:F148)),AVERAGE('20250815_ETF_Options_Exhibits'!F144:F148),"")</f>
        <v/>
      </c>
      <c r="G148" s="3">
        <f>IF(ISNUMBER(AVERAGE('20250815_ETF_Options_Exhibits'!G144:G148)),AVERAGE('20250815_ETF_Options_Exhibits'!G144:G148),"")</f>
        <v/>
      </c>
      <c r="H148" s="3">
        <f>IF(ISNUMBER(AVERAGE('20250815_ETF_Options_Exhibits'!H144:H148)),AVERAGE('20250815_ETF_Options_Exhibits'!H144:H148),"")</f>
        <v/>
      </c>
      <c r="I148" s="3">
        <f>IF(ISNUMBER(AVERAGE('20250815_ETF_Options_Exhibits'!I144:I148)),AVERAGE('20250815_ETF_Options_Exhibits'!I144:I148),"")</f>
        <v/>
      </c>
      <c r="J148" s="3">
        <f>IF(ISNUMBER(AVERAGE('20250815_ETF_Options_Exhibits'!J144:J148)),AVERAGE('20250815_ETF_Options_Exhibits'!J144:J148),"")</f>
        <v/>
      </c>
      <c r="K148" s="3">
        <f>IF(ISNUMBER(AVERAGE('20250815_ETF_Options_Exhibits'!K144:K148)),AVERAGE('20250815_ETF_Options_Exhibits'!K144:K148),"")</f>
        <v/>
      </c>
      <c r="L148" s="3">
        <f>IF(ISNUMBER(AVERAGE('20250815_ETF_Options_Exhibits'!L144:L148)),AVERAGE('20250815_ETF_Options_Exhibits'!L144:L148),"")</f>
        <v/>
      </c>
      <c r="M148" s="3">
        <f>IF(ISNUMBER(AVERAGE('20250815_ETF_Options_Exhibits'!M144:M148)),AVERAGE('20250815_ETF_Options_Exhibits'!M144:M148),"")</f>
        <v/>
      </c>
      <c r="N148" s="3">
        <f>IF(ISNUMBER(AVERAGE('20250815_ETF_Options_Exhibits'!N144:N148)),AVERAGE('20250815_ETF_Options_Exhibits'!N144:N148),"")</f>
        <v/>
      </c>
      <c r="O148" s="3">
        <f>IF(ISNUMBER(AVERAGE('20250815_ETF_Options_Exhibits'!O144:O148)),AVERAGE('20250815_ETF_Options_Exhibits'!O144:O148),"")</f>
        <v/>
      </c>
      <c r="P148" s="3">
        <f>IF(ISNUMBER(AVERAGE('20250815_ETF_Options_Exhibits'!P144:P148)),AVERAGE('20250815_ETF_Options_Exhibits'!P144:P148),"")</f>
        <v/>
      </c>
      <c r="Q148" s="3">
        <f>IF(ISNUMBER(AVERAGE('20250815_ETF_Options_Exhibits'!Q144:Q148)),AVERAGE('20250815_ETF_Options_Exhibits'!Q144:Q148),"")</f>
        <v/>
      </c>
      <c r="R148" s="3">
        <f>IF(ISNUMBER(AVERAGE('20250815_ETF_Options_Exhibits'!R144:R148)),AVERAGE('20250815_ETF_Options_Exhibits'!R144:R148),"")</f>
        <v/>
      </c>
      <c r="S148" s="3">
        <f>IF(ISNUMBER(AVERAGE('20250815_ETF_Options_Exhibits'!S144:S148)),AVERAGE('20250815_ETF_Options_Exhibits'!S144:S148),"")</f>
        <v/>
      </c>
      <c r="T148" s="3">
        <f>IF(ISNUMBER(AVERAGE('20250815_ETF_Options_Exhibits'!T144:T148)),AVERAGE('20250815_ETF_Options_Exhibits'!T144:T148),"")</f>
        <v/>
      </c>
      <c r="U148" s="3">
        <f>IF(ISNUMBER(AVERAGE('20250815_ETF_Options_Exhibits'!U144:U148)),AVERAGE('20250815_ETF_Options_Exhibits'!U144:U148),"")</f>
        <v/>
      </c>
      <c r="V148" s="3">
        <f>IF(ISNUMBER(AVERAGE('20250815_ETF_Options_Exhibits'!V144:V148)),AVERAGE('20250815_ETF_Options_Exhibits'!V144:V148),"")</f>
        <v/>
      </c>
      <c r="W148" s="3">
        <f>IF(ISNUMBER(AVERAGE('20250815_ETF_Options_Exhibits'!W144:W148)),AVERAGE('20250815_ETF_Options_Exhibits'!W144:W148),"")</f>
        <v/>
      </c>
      <c r="X148" s="3">
        <f>IF(ISNUMBER(AVERAGE('20250815_ETF_Options_Exhibits'!X144:X148)),AVERAGE('20250815_ETF_Options_Exhibits'!X144:X148),"")</f>
        <v/>
      </c>
      <c r="Y148" s="3">
        <f>IF(ISNUMBER(AVERAGE('20250815_ETF_Options_Exhibits'!Y144:Y148)),AVERAGE('20250815_ETF_Options_Exhibits'!Y144:Y148),"")</f>
        <v/>
      </c>
      <c r="Z148" s="3">
        <f>IF(ISNUMBER(AVERAGE('20250815_ETF_Options_Exhibits'!Z144:Z148)),AVERAGE('20250815_ETF_Options_Exhibits'!Z144:Z148),"")</f>
        <v/>
      </c>
      <c r="AA148" s="3">
        <f>IF(ISNUMBER(AVERAGE('20250815_ETF_Options_Exhibits'!AA144:AA148)),AVERAGE('20250815_ETF_Options_Exhibits'!AA144:AA148),"")</f>
        <v/>
      </c>
    </row>
    <row r="149">
      <c r="A149" s="1" t="n">
        <v>42219</v>
      </c>
      <c r="B149" s="3">
        <f>IF(ISNUMBER(AVERAGE('20250815_ETF_Options_Exhibits'!B145:B149)),AVERAGE('20250815_ETF_Options_Exhibits'!B145:B149),"")</f>
        <v/>
      </c>
      <c r="C149" s="3">
        <f>IF(ISNUMBER(AVERAGE('20250815_ETF_Options_Exhibits'!C145:C149)),AVERAGE('20250815_ETF_Options_Exhibits'!C145:C149),"")</f>
        <v/>
      </c>
      <c r="D149" s="3">
        <f>IF(ISNUMBER(AVERAGE('20250815_ETF_Options_Exhibits'!D145:D149)),AVERAGE('20250815_ETF_Options_Exhibits'!D145:D149),"")</f>
        <v/>
      </c>
      <c r="E149" s="3">
        <f>IF(ISNUMBER(AVERAGE('20250815_ETF_Options_Exhibits'!E145:E149)),AVERAGE('20250815_ETF_Options_Exhibits'!E145:E149),"")</f>
        <v/>
      </c>
      <c r="F149" s="3">
        <f>IF(ISNUMBER(AVERAGE('20250815_ETF_Options_Exhibits'!F145:F149)),AVERAGE('20250815_ETF_Options_Exhibits'!F145:F149),"")</f>
        <v/>
      </c>
      <c r="G149" s="3">
        <f>IF(ISNUMBER(AVERAGE('20250815_ETF_Options_Exhibits'!G145:G149)),AVERAGE('20250815_ETF_Options_Exhibits'!G145:G149),"")</f>
        <v/>
      </c>
      <c r="H149" s="3">
        <f>IF(ISNUMBER(AVERAGE('20250815_ETF_Options_Exhibits'!H145:H149)),AVERAGE('20250815_ETF_Options_Exhibits'!H145:H149),"")</f>
        <v/>
      </c>
      <c r="I149" s="3">
        <f>IF(ISNUMBER(AVERAGE('20250815_ETF_Options_Exhibits'!I145:I149)),AVERAGE('20250815_ETF_Options_Exhibits'!I145:I149),"")</f>
        <v/>
      </c>
      <c r="J149" s="3">
        <f>IF(ISNUMBER(AVERAGE('20250815_ETF_Options_Exhibits'!J145:J149)),AVERAGE('20250815_ETF_Options_Exhibits'!J145:J149),"")</f>
        <v/>
      </c>
      <c r="K149" s="3">
        <f>IF(ISNUMBER(AVERAGE('20250815_ETF_Options_Exhibits'!K145:K149)),AVERAGE('20250815_ETF_Options_Exhibits'!K145:K149),"")</f>
        <v/>
      </c>
      <c r="L149" s="3">
        <f>IF(ISNUMBER(AVERAGE('20250815_ETF_Options_Exhibits'!L145:L149)),AVERAGE('20250815_ETF_Options_Exhibits'!L145:L149),"")</f>
        <v/>
      </c>
      <c r="M149" s="3">
        <f>IF(ISNUMBER(AVERAGE('20250815_ETF_Options_Exhibits'!M145:M149)),AVERAGE('20250815_ETF_Options_Exhibits'!M145:M149),"")</f>
        <v/>
      </c>
      <c r="N149" s="3">
        <f>IF(ISNUMBER(AVERAGE('20250815_ETF_Options_Exhibits'!N145:N149)),AVERAGE('20250815_ETF_Options_Exhibits'!N145:N149),"")</f>
        <v/>
      </c>
      <c r="O149" s="3">
        <f>IF(ISNUMBER(AVERAGE('20250815_ETF_Options_Exhibits'!O145:O149)),AVERAGE('20250815_ETF_Options_Exhibits'!O145:O149),"")</f>
        <v/>
      </c>
      <c r="P149" s="3">
        <f>IF(ISNUMBER(AVERAGE('20250815_ETF_Options_Exhibits'!P145:P149)),AVERAGE('20250815_ETF_Options_Exhibits'!P145:P149),"")</f>
        <v/>
      </c>
      <c r="Q149" s="3">
        <f>IF(ISNUMBER(AVERAGE('20250815_ETF_Options_Exhibits'!Q145:Q149)),AVERAGE('20250815_ETF_Options_Exhibits'!Q145:Q149),"")</f>
        <v/>
      </c>
      <c r="R149" s="3">
        <f>IF(ISNUMBER(AVERAGE('20250815_ETF_Options_Exhibits'!R145:R149)),AVERAGE('20250815_ETF_Options_Exhibits'!R145:R149),"")</f>
        <v/>
      </c>
      <c r="S149" s="3">
        <f>IF(ISNUMBER(AVERAGE('20250815_ETF_Options_Exhibits'!S145:S149)),AVERAGE('20250815_ETF_Options_Exhibits'!S145:S149),"")</f>
        <v/>
      </c>
      <c r="T149" s="3">
        <f>IF(ISNUMBER(AVERAGE('20250815_ETF_Options_Exhibits'!T145:T149)),AVERAGE('20250815_ETF_Options_Exhibits'!T145:T149),"")</f>
        <v/>
      </c>
      <c r="U149" s="3">
        <f>IF(ISNUMBER(AVERAGE('20250815_ETF_Options_Exhibits'!U145:U149)),AVERAGE('20250815_ETF_Options_Exhibits'!U145:U149),"")</f>
        <v/>
      </c>
      <c r="V149" s="3">
        <f>IF(ISNUMBER(AVERAGE('20250815_ETF_Options_Exhibits'!V145:V149)),AVERAGE('20250815_ETF_Options_Exhibits'!V145:V149),"")</f>
        <v/>
      </c>
      <c r="W149" s="3">
        <f>IF(ISNUMBER(AVERAGE('20250815_ETF_Options_Exhibits'!W145:W149)),AVERAGE('20250815_ETF_Options_Exhibits'!W145:W149),"")</f>
        <v/>
      </c>
      <c r="X149" s="3">
        <f>IF(ISNUMBER(AVERAGE('20250815_ETF_Options_Exhibits'!X145:X149)),AVERAGE('20250815_ETF_Options_Exhibits'!X145:X149),"")</f>
        <v/>
      </c>
      <c r="Y149" s="3">
        <f>IF(ISNUMBER(AVERAGE('20250815_ETF_Options_Exhibits'!Y145:Y149)),AVERAGE('20250815_ETF_Options_Exhibits'!Y145:Y149),"")</f>
        <v/>
      </c>
      <c r="Z149" s="3">
        <f>IF(ISNUMBER(AVERAGE('20250815_ETF_Options_Exhibits'!Z145:Z149)),AVERAGE('20250815_ETF_Options_Exhibits'!Z145:Z149),"")</f>
        <v/>
      </c>
      <c r="AA149" s="3">
        <f>IF(ISNUMBER(AVERAGE('20250815_ETF_Options_Exhibits'!AA145:AA149)),AVERAGE('20250815_ETF_Options_Exhibits'!AA145:AA149),"")</f>
        <v/>
      </c>
    </row>
    <row r="150">
      <c r="A150" s="1" t="n">
        <v>42220</v>
      </c>
      <c r="B150" s="3">
        <f>IF(ISNUMBER(AVERAGE('20250815_ETF_Options_Exhibits'!B146:B150)),AVERAGE('20250815_ETF_Options_Exhibits'!B146:B150),"")</f>
        <v/>
      </c>
      <c r="C150" s="3">
        <f>IF(ISNUMBER(AVERAGE('20250815_ETF_Options_Exhibits'!C146:C150)),AVERAGE('20250815_ETF_Options_Exhibits'!C146:C150),"")</f>
        <v/>
      </c>
      <c r="D150" s="3">
        <f>IF(ISNUMBER(AVERAGE('20250815_ETF_Options_Exhibits'!D146:D150)),AVERAGE('20250815_ETF_Options_Exhibits'!D146:D150),"")</f>
        <v/>
      </c>
      <c r="E150" s="3">
        <f>IF(ISNUMBER(AVERAGE('20250815_ETF_Options_Exhibits'!E146:E150)),AVERAGE('20250815_ETF_Options_Exhibits'!E146:E150),"")</f>
        <v/>
      </c>
      <c r="F150" s="3">
        <f>IF(ISNUMBER(AVERAGE('20250815_ETF_Options_Exhibits'!F146:F150)),AVERAGE('20250815_ETF_Options_Exhibits'!F146:F150),"")</f>
        <v/>
      </c>
      <c r="G150" s="3">
        <f>IF(ISNUMBER(AVERAGE('20250815_ETF_Options_Exhibits'!G146:G150)),AVERAGE('20250815_ETF_Options_Exhibits'!G146:G150),"")</f>
        <v/>
      </c>
      <c r="H150" s="3">
        <f>IF(ISNUMBER(AVERAGE('20250815_ETF_Options_Exhibits'!H146:H150)),AVERAGE('20250815_ETF_Options_Exhibits'!H146:H150),"")</f>
        <v/>
      </c>
      <c r="I150" s="3">
        <f>IF(ISNUMBER(AVERAGE('20250815_ETF_Options_Exhibits'!I146:I150)),AVERAGE('20250815_ETF_Options_Exhibits'!I146:I150),"")</f>
        <v/>
      </c>
      <c r="J150" s="3">
        <f>IF(ISNUMBER(AVERAGE('20250815_ETF_Options_Exhibits'!J146:J150)),AVERAGE('20250815_ETF_Options_Exhibits'!J146:J150),"")</f>
        <v/>
      </c>
      <c r="K150" s="3">
        <f>IF(ISNUMBER(AVERAGE('20250815_ETF_Options_Exhibits'!K146:K150)),AVERAGE('20250815_ETF_Options_Exhibits'!K146:K150),"")</f>
        <v/>
      </c>
      <c r="L150" s="3">
        <f>IF(ISNUMBER(AVERAGE('20250815_ETF_Options_Exhibits'!L146:L150)),AVERAGE('20250815_ETF_Options_Exhibits'!L146:L150),"")</f>
        <v/>
      </c>
      <c r="M150" s="3">
        <f>IF(ISNUMBER(AVERAGE('20250815_ETF_Options_Exhibits'!M146:M150)),AVERAGE('20250815_ETF_Options_Exhibits'!M146:M150),"")</f>
        <v/>
      </c>
      <c r="N150" s="3">
        <f>IF(ISNUMBER(AVERAGE('20250815_ETF_Options_Exhibits'!N146:N150)),AVERAGE('20250815_ETF_Options_Exhibits'!N146:N150),"")</f>
        <v/>
      </c>
      <c r="O150" s="3">
        <f>IF(ISNUMBER(AVERAGE('20250815_ETF_Options_Exhibits'!O146:O150)),AVERAGE('20250815_ETF_Options_Exhibits'!O146:O150),"")</f>
        <v/>
      </c>
      <c r="P150" s="3">
        <f>IF(ISNUMBER(AVERAGE('20250815_ETF_Options_Exhibits'!P146:P150)),AVERAGE('20250815_ETF_Options_Exhibits'!P146:P150),"")</f>
        <v/>
      </c>
      <c r="Q150" s="3">
        <f>IF(ISNUMBER(AVERAGE('20250815_ETF_Options_Exhibits'!Q146:Q150)),AVERAGE('20250815_ETF_Options_Exhibits'!Q146:Q150),"")</f>
        <v/>
      </c>
      <c r="R150" s="3">
        <f>IF(ISNUMBER(AVERAGE('20250815_ETF_Options_Exhibits'!R146:R150)),AVERAGE('20250815_ETF_Options_Exhibits'!R146:R150),"")</f>
        <v/>
      </c>
      <c r="S150" s="3">
        <f>IF(ISNUMBER(AVERAGE('20250815_ETF_Options_Exhibits'!S146:S150)),AVERAGE('20250815_ETF_Options_Exhibits'!S146:S150),"")</f>
        <v/>
      </c>
      <c r="T150" s="3">
        <f>IF(ISNUMBER(AVERAGE('20250815_ETF_Options_Exhibits'!T146:T150)),AVERAGE('20250815_ETF_Options_Exhibits'!T146:T150),"")</f>
        <v/>
      </c>
      <c r="U150" s="3">
        <f>IF(ISNUMBER(AVERAGE('20250815_ETF_Options_Exhibits'!U146:U150)),AVERAGE('20250815_ETF_Options_Exhibits'!U146:U150),"")</f>
        <v/>
      </c>
      <c r="V150" s="3">
        <f>IF(ISNUMBER(AVERAGE('20250815_ETF_Options_Exhibits'!V146:V150)),AVERAGE('20250815_ETF_Options_Exhibits'!V146:V150),"")</f>
        <v/>
      </c>
      <c r="W150" s="3">
        <f>IF(ISNUMBER(AVERAGE('20250815_ETF_Options_Exhibits'!W146:W150)),AVERAGE('20250815_ETF_Options_Exhibits'!W146:W150),"")</f>
        <v/>
      </c>
      <c r="X150" s="3">
        <f>IF(ISNUMBER(AVERAGE('20250815_ETF_Options_Exhibits'!X146:X150)),AVERAGE('20250815_ETF_Options_Exhibits'!X146:X150),"")</f>
        <v/>
      </c>
      <c r="Y150" s="3">
        <f>IF(ISNUMBER(AVERAGE('20250815_ETF_Options_Exhibits'!Y146:Y150)),AVERAGE('20250815_ETF_Options_Exhibits'!Y146:Y150),"")</f>
        <v/>
      </c>
      <c r="Z150" s="3">
        <f>IF(ISNUMBER(AVERAGE('20250815_ETF_Options_Exhibits'!Z146:Z150)),AVERAGE('20250815_ETF_Options_Exhibits'!Z146:Z150),"")</f>
        <v/>
      </c>
      <c r="AA150" s="3">
        <f>IF(ISNUMBER(AVERAGE('20250815_ETF_Options_Exhibits'!AA146:AA150)),AVERAGE('20250815_ETF_Options_Exhibits'!AA146:AA150),"")</f>
        <v/>
      </c>
    </row>
    <row r="151">
      <c r="A151" s="1" t="n">
        <v>42221</v>
      </c>
      <c r="B151" s="3">
        <f>IF(ISNUMBER(AVERAGE('20250815_ETF_Options_Exhibits'!B147:B151)),AVERAGE('20250815_ETF_Options_Exhibits'!B147:B151),"")</f>
        <v/>
      </c>
      <c r="C151" s="3">
        <f>IF(ISNUMBER(AVERAGE('20250815_ETF_Options_Exhibits'!C147:C151)),AVERAGE('20250815_ETF_Options_Exhibits'!C147:C151),"")</f>
        <v/>
      </c>
      <c r="D151" s="3">
        <f>IF(ISNUMBER(AVERAGE('20250815_ETF_Options_Exhibits'!D147:D151)),AVERAGE('20250815_ETF_Options_Exhibits'!D147:D151),"")</f>
        <v/>
      </c>
      <c r="E151" s="3">
        <f>IF(ISNUMBER(AVERAGE('20250815_ETF_Options_Exhibits'!E147:E151)),AVERAGE('20250815_ETF_Options_Exhibits'!E147:E151),"")</f>
        <v/>
      </c>
      <c r="F151" s="3">
        <f>IF(ISNUMBER(AVERAGE('20250815_ETF_Options_Exhibits'!F147:F151)),AVERAGE('20250815_ETF_Options_Exhibits'!F147:F151),"")</f>
        <v/>
      </c>
      <c r="G151" s="3">
        <f>IF(ISNUMBER(AVERAGE('20250815_ETF_Options_Exhibits'!G147:G151)),AVERAGE('20250815_ETF_Options_Exhibits'!G147:G151),"")</f>
        <v/>
      </c>
      <c r="H151" s="3">
        <f>IF(ISNUMBER(AVERAGE('20250815_ETF_Options_Exhibits'!H147:H151)),AVERAGE('20250815_ETF_Options_Exhibits'!H147:H151),"")</f>
        <v/>
      </c>
      <c r="I151" s="3">
        <f>IF(ISNUMBER(AVERAGE('20250815_ETF_Options_Exhibits'!I147:I151)),AVERAGE('20250815_ETF_Options_Exhibits'!I147:I151),"")</f>
        <v/>
      </c>
      <c r="J151" s="3">
        <f>IF(ISNUMBER(AVERAGE('20250815_ETF_Options_Exhibits'!J147:J151)),AVERAGE('20250815_ETF_Options_Exhibits'!J147:J151),"")</f>
        <v/>
      </c>
      <c r="K151" s="3">
        <f>IF(ISNUMBER(AVERAGE('20250815_ETF_Options_Exhibits'!K147:K151)),AVERAGE('20250815_ETF_Options_Exhibits'!K147:K151),"")</f>
        <v/>
      </c>
      <c r="L151" s="3">
        <f>IF(ISNUMBER(AVERAGE('20250815_ETF_Options_Exhibits'!L147:L151)),AVERAGE('20250815_ETF_Options_Exhibits'!L147:L151),"")</f>
        <v/>
      </c>
      <c r="M151" s="3">
        <f>IF(ISNUMBER(AVERAGE('20250815_ETF_Options_Exhibits'!M147:M151)),AVERAGE('20250815_ETF_Options_Exhibits'!M147:M151),"")</f>
        <v/>
      </c>
      <c r="N151" s="3">
        <f>IF(ISNUMBER(AVERAGE('20250815_ETF_Options_Exhibits'!N147:N151)),AVERAGE('20250815_ETF_Options_Exhibits'!N147:N151),"")</f>
        <v/>
      </c>
      <c r="O151" s="3">
        <f>IF(ISNUMBER(AVERAGE('20250815_ETF_Options_Exhibits'!O147:O151)),AVERAGE('20250815_ETF_Options_Exhibits'!O147:O151),"")</f>
        <v/>
      </c>
      <c r="P151" s="3">
        <f>IF(ISNUMBER(AVERAGE('20250815_ETF_Options_Exhibits'!P147:P151)),AVERAGE('20250815_ETF_Options_Exhibits'!P147:P151),"")</f>
        <v/>
      </c>
      <c r="Q151" s="3">
        <f>IF(ISNUMBER(AVERAGE('20250815_ETF_Options_Exhibits'!Q147:Q151)),AVERAGE('20250815_ETF_Options_Exhibits'!Q147:Q151),"")</f>
        <v/>
      </c>
      <c r="R151" s="3">
        <f>IF(ISNUMBER(AVERAGE('20250815_ETF_Options_Exhibits'!R147:R151)),AVERAGE('20250815_ETF_Options_Exhibits'!R147:R151),"")</f>
        <v/>
      </c>
      <c r="S151" s="3">
        <f>IF(ISNUMBER(AVERAGE('20250815_ETF_Options_Exhibits'!S147:S151)),AVERAGE('20250815_ETF_Options_Exhibits'!S147:S151),"")</f>
        <v/>
      </c>
      <c r="T151" s="3">
        <f>IF(ISNUMBER(AVERAGE('20250815_ETF_Options_Exhibits'!T147:T151)),AVERAGE('20250815_ETF_Options_Exhibits'!T147:T151),"")</f>
        <v/>
      </c>
      <c r="U151" s="3">
        <f>IF(ISNUMBER(AVERAGE('20250815_ETF_Options_Exhibits'!U147:U151)),AVERAGE('20250815_ETF_Options_Exhibits'!U147:U151),"")</f>
        <v/>
      </c>
      <c r="V151" s="3">
        <f>IF(ISNUMBER(AVERAGE('20250815_ETF_Options_Exhibits'!V147:V151)),AVERAGE('20250815_ETF_Options_Exhibits'!V147:V151),"")</f>
        <v/>
      </c>
      <c r="W151" s="3">
        <f>IF(ISNUMBER(AVERAGE('20250815_ETF_Options_Exhibits'!W147:W151)),AVERAGE('20250815_ETF_Options_Exhibits'!W147:W151),"")</f>
        <v/>
      </c>
      <c r="X151" s="3">
        <f>IF(ISNUMBER(AVERAGE('20250815_ETF_Options_Exhibits'!X147:X151)),AVERAGE('20250815_ETF_Options_Exhibits'!X147:X151),"")</f>
        <v/>
      </c>
      <c r="Y151" s="3">
        <f>IF(ISNUMBER(AVERAGE('20250815_ETF_Options_Exhibits'!Y147:Y151)),AVERAGE('20250815_ETF_Options_Exhibits'!Y147:Y151),"")</f>
        <v/>
      </c>
      <c r="Z151" s="3">
        <f>IF(ISNUMBER(AVERAGE('20250815_ETF_Options_Exhibits'!Z147:Z151)),AVERAGE('20250815_ETF_Options_Exhibits'!Z147:Z151),"")</f>
        <v/>
      </c>
      <c r="AA151" s="3">
        <f>IF(ISNUMBER(AVERAGE('20250815_ETF_Options_Exhibits'!AA147:AA151)),AVERAGE('20250815_ETF_Options_Exhibits'!AA147:AA151),"")</f>
        <v/>
      </c>
    </row>
    <row r="152">
      <c r="A152" s="1" t="n">
        <v>42222</v>
      </c>
      <c r="B152" s="3">
        <f>IF(ISNUMBER(AVERAGE('20250815_ETF_Options_Exhibits'!B148:B152)),AVERAGE('20250815_ETF_Options_Exhibits'!B148:B152),"")</f>
        <v/>
      </c>
      <c r="C152" s="3">
        <f>IF(ISNUMBER(AVERAGE('20250815_ETF_Options_Exhibits'!C148:C152)),AVERAGE('20250815_ETF_Options_Exhibits'!C148:C152),"")</f>
        <v/>
      </c>
      <c r="D152" s="3">
        <f>IF(ISNUMBER(AVERAGE('20250815_ETF_Options_Exhibits'!D148:D152)),AVERAGE('20250815_ETF_Options_Exhibits'!D148:D152),"")</f>
        <v/>
      </c>
      <c r="E152" s="3">
        <f>IF(ISNUMBER(AVERAGE('20250815_ETF_Options_Exhibits'!E148:E152)),AVERAGE('20250815_ETF_Options_Exhibits'!E148:E152),"")</f>
        <v/>
      </c>
      <c r="F152" s="3">
        <f>IF(ISNUMBER(AVERAGE('20250815_ETF_Options_Exhibits'!F148:F152)),AVERAGE('20250815_ETF_Options_Exhibits'!F148:F152),"")</f>
        <v/>
      </c>
      <c r="G152" s="3">
        <f>IF(ISNUMBER(AVERAGE('20250815_ETF_Options_Exhibits'!G148:G152)),AVERAGE('20250815_ETF_Options_Exhibits'!G148:G152),"")</f>
        <v/>
      </c>
      <c r="H152" s="3">
        <f>IF(ISNUMBER(AVERAGE('20250815_ETF_Options_Exhibits'!H148:H152)),AVERAGE('20250815_ETF_Options_Exhibits'!H148:H152),"")</f>
        <v/>
      </c>
      <c r="I152" s="3">
        <f>IF(ISNUMBER(AVERAGE('20250815_ETF_Options_Exhibits'!I148:I152)),AVERAGE('20250815_ETF_Options_Exhibits'!I148:I152),"")</f>
        <v/>
      </c>
      <c r="J152" s="3">
        <f>IF(ISNUMBER(AVERAGE('20250815_ETF_Options_Exhibits'!J148:J152)),AVERAGE('20250815_ETF_Options_Exhibits'!J148:J152),"")</f>
        <v/>
      </c>
      <c r="K152" s="3">
        <f>IF(ISNUMBER(AVERAGE('20250815_ETF_Options_Exhibits'!K148:K152)),AVERAGE('20250815_ETF_Options_Exhibits'!K148:K152),"")</f>
        <v/>
      </c>
      <c r="L152" s="3">
        <f>IF(ISNUMBER(AVERAGE('20250815_ETF_Options_Exhibits'!L148:L152)),AVERAGE('20250815_ETF_Options_Exhibits'!L148:L152),"")</f>
        <v/>
      </c>
      <c r="M152" s="3">
        <f>IF(ISNUMBER(AVERAGE('20250815_ETF_Options_Exhibits'!M148:M152)),AVERAGE('20250815_ETF_Options_Exhibits'!M148:M152),"")</f>
        <v/>
      </c>
      <c r="N152" s="3">
        <f>IF(ISNUMBER(AVERAGE('20250815_ETF_Options_Exhibits'!N148:N152)),AVERAGE('20250815_ETF_Options_Exhibits'!N148:N152),"")</f>
        <v/>
      </c>
      <c r="O152" s="3">
        <f>IF(ISNUMBER(AVERAGE('20250815_ETF_Options_Exhibits'!O148:O152)),AVERAGE('20250815_ETF_Options_Exhibits'!O148:O152),"")</f>
        <v/>
      </c>
      <c r="P152" s="3">
        <f>IF(ISNUMBER(AVERAGE('20250815_ETF_Options_Exhibits'!P148:P152)),AVERAGE('20250815_ETF_Options_Exhibits'!P148:P152),"")</f>
        <v/>
      </c>
      <c r="Q152" s="3">
        <f>IF(ISNUMBER(AVERAGE('20250815_ETF_Options_Exhibits'!Q148:Q152)),AVERAGE('20250815_ETF_Options_Exhibits'!Q148:Q152),"")</f>
        <v/>
      </c>
      <c r="R152" s="3">
        <f>IF(ISNUMBER(AVERAGE('20250815_ETF_Options_Exhibits'!R148:R152)),AVERAGE('20250815_ETF_Options_Exhibits'!R148:R152),"")</f>
        <v/>
      </c>
      <c r="S152" s="3">
        <f>IF(ISNUMBER(AVERAGE('20250815_ETF_Options_Exhibits'!S148:S152)),AVERAGE('20250815_ETF_Options_Exhibits'!S148:S152),"")</f>
        <v/>
      </c>
      <c r="T152" s="3">
        <f>IF(ISNUMBER(AVERAGE('20250815_ETF_Options_Exhibits'!T148:T152)),AVERAGE('20250815_ETF_Options_Exhibits'!T148:T152),"")</f>
        <v/>
      </c>
      <c r="U152" s="3">
        <f>IF(ISNUMBER(AVERAGE('20250815_ETF_Options_Exhibits'!U148:U152)),AVERAGE('20250815_ETF_Options_Exhibits'!U148:U152),"")</f>
        <v/>
      </c>
      <c r="V152" s="3">
        <f>IF(ISNUMBER(AVERAGE('20250815_ETF_Options_Exhibits'!V148:V152)),AVERAGE('20250815_ETF_Options_Exhibits'!V148:V152),"")</f>
        <v/>
      </c>
      <c r="W152" s="3">
        <f>IF(ISNUMBER(AVERAGE('20250815_ETF_Options_Exhibits'!W148:W152)),AVERAGE('20250815_ETF_Options_Exhibits'!W148:W152),"")</f>
        <v/>
      </c>
      <c r="X152" s="3">
        <f>IF(ISNUMBER(AVERAGE('20250815_ETF_Options_Exhibits'!X148:X152)),AVERAGE('20250815_ETF_Options_Exhibits'!X148:X152),"")</f>
        <v/>
      </c>
      <c r="Y152" s="3">
        <f>IF(ISNUMBER(AVERAGE('20250815_ETF_Options_Exhibits'!Y148:Y152)),AVERAGE('20250815_ETF_Options_Exhibits'!Y148:Y152),"")</f>
        <v/>
      </c>
      <c r="Z152" s="3">
        <f>IF(ISNUMBER(AVERAGE('20250815_ETF_Options_Exhibits'!Z148:Z152)),AVERAGE('20250815_ETF_Options_Exhibits'!Z148:Z152),"")</f>
        <v/>
      </c>
      <c r="AA152" s="3">
        <f>IF(ISNUMBER(AVERAGE('20250815_ETF_Options_Exhibits'!AA148:AA152)),AVERAGE('20250815_ETF_Options_Exhibits'!AA148:AA152),"")</f>
        <v/>
      </c>
    </row>
    <row r="153">
      <c r="A153" s="1" t="n">
        <v>42223</v>
      </c>
      <c r="B153" s="3">
        <f>IF(ISNUMBER(AVERAGE('20250815_ETF_Options_Exhibits'!B149:B153)),AVERAGE('20250815_ETF_Options_Exhibits'!B149:B153),"")</f>
        <v/>
      </c>
      <c r="C153" s="3">
        <f>IF(ISNUMBER(AVERAGE('20250815_ETF_Options_Exhibits'!C149:C153)),AVERAGE('20250815_ETF_Options_Exhibits'!C149:C153),"")</f>
        <v/>
      </c>
      <c r="D153" s="3">
        <f>IF(ISNUMBER(AVERAGE('20250815_ETF_Options_Exhibits'!D149:D153)),AVERAGE('20250815_ETF_Options_Exhibits'!D149:D153),"")</f>
        <v/>
      </c>
      <c r="E153" s="3">
        <f>IF(ISNUMBER(AVERAGE('20250815_ETF_Options_Exhibits'!E149:E153)),AVERAGE('20250815_ETF_Options_Exhibits'!E149:E153),"")</f>
        <v/>
      </c>
      <c r="F153" s="3">
        <f>IF(ISNUMBER(AVERAGE('20250815_ETF_Options_Exhibits'!F149:F153)),AVERAGE('20250815_ETF_Options_Exhibits'!F149:F153),"")</f>
        <v/>
      </c>
      <c r="G153" s="3">
        <f>IF(ISNUMBER(AVERAGE('20250815_ETF_Options_Exhibits'!G149:G153)),AVERAGE('20250815_ETF_Options_Exhibits'!G149:G153),"")</f>
        <v/>
      </c>
      <c r="H153" s="3">
        <f>IF(ISNUMBER(AVERAGE('20250815_ETF_Options_Exhibits'!H149:H153)),AVERAGE('20250815_ETF_Options_Exhibits'!H149:H153),"")</f>
        <v/>
      </c>
      <c r="I153" s="3">
        <f>IF(ISNUMBER(AVERAGE('20250815_ETF_Options_Exhibits'!I149:I153)),AVERAGE('20250815_ETF_Options_Exhibits'!I149:I153),"")</f>
        <v/>
      </c>
      <c r="J153" s="3">
        <f>IF(ISNUMBER(AVERAGE('20250815_ETF_Options_Exhibits'!J149:J153)),AVERAGE('20250815_ETF_Options_Exhibits'!J149:J153),"")</f>
        <v/>
      </c>
      <c r="K153" s="3">
        <f>IF(ISNUMBER(AVERAGE('20250815_ETF_Options_Exhibits'!K149:K153)),AVERAGE('20250815_ETF_Options_Exhibits'!K149:K153),"")</f>
        <v/>
      </c>
      <c r="L153" s="3">
        <f>IF(ISNUMBER(AVERAGE('20250815_ETF_Options_Exhibits'!L149:L153)),AVERAGE('20250815_ETF_Options_Exhibits'!L149:L153),"")</f>
        <v/>
      </c>
      <c r="M153" s="3">
        <f>IF(ISNUMBER(AVERAGE('20250815_ETF_Options_Exhibits'!M149:M153)),AVERAGE('20250815_ETF_Options_Exhibits'!M149:M153),"")</f>
        <v/>
      </c>
      <c r="N153" s="3">
        <f>IF(ISNUMBER(AVERAGE('20250815_ETF_Options_Exhibits'!N149:N153)),AVERAGE('20250815_ETF_Options_Exhibits'!N149:N153),"")</f>
        <v/>
      </c>
      <c r="O153" s="3">
        <f>IF(ISNUMBER(AVERAGE('20250815_ETF_Options_Exhibits'!O149:O153)),AVERAGE('20250815_ETF_Options_Exhibits'!O149:O153),"")</f>
        <v/>
      </c>
      <c r="P153" s="3">
        <f>IF(ISNUMBER(AVERAGE('20250815_ETF_Options_Exhibits'!P149:P153)),AVERAGE('20250815_ETF_Options_Exhibits'!P149:P153),"")</f>
        <v/>
      </c>
      <c r="Q153" s="3">
        <f>IF(ISNUMBER(AVERAGE('20250815_ETF_Options_Exhibits'!Q149:Q153)),AVERAGE('20250815_ETF_Options_Exhibits'!Q149:Q153),"")</f>
        <v/>
      </c>
      <c r="R153" s="3">
        <f>IF(ISNUMBER(AVERAGE('20250815_ETF_Options_Exhibits'!R149:R153)),AVERAGE('20250815_ETF_Options_Exhibits'!R149:R153),"")</f>
        <v/>
      </c>
      <c r="S153" s="3">
        <f>IF(ISNUMBER(AVERAGE('20250815_ETF_Options_Exhibits'!S149:S153)),AVERAGE('20250815_ETF_Options_Exhibits'!S149:S153),"")</f>
        <v/>
      </c>
      <c r="T153" s="3">
        <f>IF(ISNUMBER(AVERAGE('20250815_ETF_Options_Exhibits'!T149:T153)),AVERAGE('20250815_ETF_Options_Exhibits'!T149:T153),"")</f>
        <v/>
      </c>
      <c r="U153" s="3">
        <f>IF(ISNUMBER(AVERAGE('20250815_ETF_Options_Exhibits'!U149:U153)),AVERAGE('20250815_ETF_Options_Exhibits'!U149:U153),"")</f>
        <v/>
      </c>
      <c r="V153" s="3">
        <f>IF(ISNUMBER(AVERAGE('20250815_ETF_Options_Exhibits'!V149:V153)),AVERAGE('20250815_ETF_Options_Exhibits'!V149:V153),"")</f>
        <v/>
      </c>
      <c r="W153" s="3">
        <f>IF(ISNUMBER(AVERAGE('20250815_ETF_Options_Exhibits'!W149:W153)),AVERAGE('20250815_ETF_Options_Exhibits'!W149:W153),"")</f>
        <v/>
      </c>
      <c r="X153" s="3">
        <f>IF(ISNUMBER(AVERAGE('20250815_ETF_Options_Exhibits'!X149:X153)),AVERAGE('20250815_ETF_Options_Exhibits'!X149:X153),"")</f>
        <v/>
      </c>
      <c r="Y153" s="3">
        <f>IF(ISNUMBER(AVERAGE('20250815_ETF_Options_Exhibits'!Y149:Y153)),AVERAGE('20250815_ETF_Options_Exhibits'!Y149:Y153),"")</f>
        <v/>
      </c>
      <c r="Z153" s="3">
        <f>IF(ISNUMBER(AVERAGE('20250815_ETF_Options_Exhibits'!Z149:Z153)),AVERAGE('20250815_ETF_Options_Exhibits'!Z149:Z153),"")</f>
        <v/>
      </c>
      <c r="AA153" s="3">
        <f>IF(ISNUMBER(AVERAGE('20250815_ETF_Options_Exhibits'!AA149:AA153)),AVERAGE('20250815_ETF_Options_Exhibits'!AA149:AA153),"")</f>
        <v/>
      </c>
    </row>
    <row r="154">
      <c r="A154" s="1" t="n">
        <v>42226</v>
      </c>
      <c r="B154" s="3">
        <f>IF(ISNUMBER(AVERAGE('20250815_ETF_Options_Exhibits'!B150:B154)),AVERAGE('20250815_ETF_Options_Exhibits'!B150:B154),"")</f>
        <v/>
      </c>
      <c r="C154" s="3">
        <f>IF(ISNUMBER(AVERAGE('20250815_ETF_Options_Exhibits'!C150:C154)),AVERAGE('20250815_ETF_Options_Exhibits'!C150:C154),"")</f>
        <v/>
      </c>
      <c r="D154" s="3">
        <f>IF(ISNUMBER(AVERAGE('20250815_ETF_Options_Exhibits'!D150:D154)),AVERAGE('20250815_ETF_Options_Exhibits'!D150:D154),"")</f>
        <v/>
      </c>
      <c r="E154" s="3">
        <f>IF(ISNUMBER(AVERAGE('20250815_ETF_Options_Exhibits'!E150:E154)),AVERAGE('20250815_ETF_Options_Exhibits'!E150:E154),"")</f>
        <v/>
      </c>
      <c r="F154" s="3">
        <f>IF(ISNUMBER(AVERAGE('20250815_ETF_Options_Exhibits'!F150:F154)),AVERAGE('20250815_ETF_Options_Exhibits'!F150:F154),"")</f>
        <v/>
      </c>
      <c r="G154" s="3">
        <f>IF(ISNUMBER(AVERAGE('20250815_ETF_Options_Exhibits'!G150:G154)),AVERAGE('20250815_ETF_Options_Exhibits'!G150:G154),"")</f>
        <v/>
      </c>
      <c r="H154" s="3">
        <f>IF(ISNUMBER(AVERAGE('20250815_ETF_Options_Exhibits'!H150:H154)),AVERAGE('20250815_ETF_Options_Exhibits'!H150:H154),"")</f>
        <v/>
      </c>
      <c r="I154" s="3">
        <f>IF(ISNUMBER(AVERAGE('20250815_ETF_Options_Exhibits'!I150:I154)),AVERAGE('20250815_ETF_Options_Exhibits'!I150:I154),"")</f>
        <v/>
      </c>
      <c r="J154" s="3">
        <f>IF(ISNUMBER(AVERAGE('20250815_ETF_Options_Exhibits'!J150:J154)),AVERAGE('20250815_ETF_Options_Exhibits'!J150:J154),"")</f>
        <v/>
      </c>
      <c r="K154" s="3">
        <f>IF(ISNUMBER(AVERAGE('20250815_ETF_Options_Exhibits'!K150:K154)),AVERAGE('20250815_ETF_Options_Exhibits'!K150:K154),"")</f>
        <v/>
      </c>
      <c r="L154" s="3">
        <f>IF(ISNUMBER(AVERAGE('20250815_ETF_Options_Exhibits'!L150:L154)),AVERAGE('20250815_ETF_Options_Exhibits'!L150:L154),"")</f>
        <v/>
      </c>
      <c r="M154" s="3">
        <f>IF(ISNUMBER(AVERAGE('20250815_ETF_Options_Exhibits'!M150:M154)),AVERAGE('20250815_ETF_Options_Exhibits'!M150:M154),"")</f>
        <v/>
      </c>
      <c r="N154" s="3">
        <f>IF(ISNUMBER(AVERAGE('20250815_ETF_Options_Exhibits'!N150:N154)),AVERAGE('20250815_ETF_Options_Exhibits'!N150:N154),"")</f>
        <v/>
      </c>
      <c r="O154" s="3">
        <f>IF(ISNUMBER(AVERAGE('20250815_ETF_Options_Exhibits'!O150:O154)),AVERAGE('20250815_ETF_Options_Exhibits'!O150:O154),"")</f>
        <v/>
      </c>
      <c r="P154" s="3">
        <f>IF(ISNUMBER(AVERAGE('20250815_ETF_Options_Exhibits'!P150:P154)),AVERAGE('20250815_ETF_Options_Exhibits'!P150:P154),"")</f>
        <v/>
      </c>
      <c r="Q154" s="3">
        <f>IF(ISNUMBER(AVERAGE('20250815_ETF_Options_Exhibits'!Q150:Q154)),AVERAGE('20250815_ETF_Options_Exhibits'!Q150:Q154),"")</f>
        <v/>
      </c>
      <c r="R154" s="3">
        <f>IF(ISNUMBER(AVERAGE('20250815_ETF_Options_Exhibits'!R150:R154)),AVERAGE('20250815_ETF_Options_Exhibits'!R150:R154),"")</f>
        <v/>
      </c>
      <c r="S154" s="3">
        <f>IF(ISNUMBER(AVERAGE('20250815_ETF_Options_Exhibits'!S150:S154)),AVERAGE('20250815_ETF_Options_Exhibits'!S150:S154),"")</f>
        <v/>
      </c>
      <c r="T154" s="3">
        <f>IF(ISNUMBER(AVERAGE('20250815_ETF_Options_Exhibits'!T150:T154)),AVERAGE('20250815_ETF_Options_Exhibits'!T150:T154),"")</f>
        <v/>
      </c>
      <c r="U154" s="3">
        <f>IF(ISNUMBER(AVERAGE('20250815_ETF_Options_Exhibits'!U150:U154)),AVERAGE('20250815_ETF_Options_Exhibits'!U150:U154),"")</f>
        <v/>
      </c>
      <c r="V154" s="3">
        <f>IF(ISNUMBER(AVERAGE('20250815_ETF_Options_Exhibits'!V150:V154)),AVERAGE('20250815_ETF_Options_Exhibits'!V150:V154),"")</f>
        <v/>
      </c>
      <c r="W154" s="3">
        <f>IF(ISNUMBER(AVERAGE('20250815_ETF_Options_Exhibits'!W150:W154)),AVERAGE('20250815_ETF_Options_Exhibits'!W150:W154),"")</f>
        <v/>
      </c>
      <c r="X154" s="3">
        <f>IF(ISNUMBER(AVERAGE('20250815_ETF_Options_Exhibits'!X150:X154)),AVERAGE('20250815_ETF_Options_Exhibits'!X150:X154),"")</f>
        <v/>
      </c>
      <c r="Y154" s="3">
        <f>IF(ISNUMBER(AVERAGE('20250815_ETF_Options_Exhibits'!Y150:Y154)),AVERAGE('20250815_ETF_Options_Exhibits'!Y150:Y154),"")</f>
        <v/>
      </c>
      <c r="Z154" s="3">
        <f>IF(ISNUMBER(AVERAGE('20250815_ETF_Options_Exhibits'!Z150:Z154)),AVERAGE('20250815_ETF_Options_Exhibits'!Z150:Z154),"")</f>
        <v/>
      </c>
      <c r="AA154" s="3">
        <f>IF(ISNUMBER(AVERAGE('20250815_ETF_Options_Exhibits'!AA150:AA154)),AVERAGE('20250815_ETF_Options_Exhibits'!AA150:AA154),"")</f>
        <v/>
      </c>
    </row>
    <row r="155">
      <c r="A155" s="1" t="n">
        <v>42227</v>
      </c>
      <c r="B155" s="3">
        <f>IF(ISNUMBER(AVERAGE('20250815_ETF_Options_Exhibits'!B151:B155)),AVERAGE('20250815_ETF_Options_Exhibits'!B151:B155),"")</f>
        <v/>
      </c>
      <c r="C155" s="3">
        <f>IF(ISNUMBER(AVERAGE('20250815_ETF_Options_Exhibits'!C151:C155)),AVERAGE('20250815_ETF_Options_Exhibits'!C151:C155),"")</f>
        <v/>
      </c>
      <c r="D155" s="3">
        <f>IF(ISNUMBER(AVERAGE('20250815_ETF_Options_Exhibits'!D151:D155)),AVERAGE('20250815_ETF_Options_Exhibits'!D151:D155),"")</f>
        <v/>
      </c>
      <c r="E155" s="3">
        <f>IF(ISNUMBER(AVERAGE('20250815_ETF_Options_Exhibits'!E151:E155)),AVERAGE('20250815_ETF_Options_Exhibits'!E151:E155),"")</f>
        <v/>
      </c>
      <c r="F155" s="3">
        <f>IF(ISNUMBER(AVERAGE('20250815_ETF_Options_Exhibits'!F151:F155)),AVERAGE('20250815_ETF_Options_Exhibits'!F151:F155),"")</f>
        <v/>
      </c>
      <c r="G155" s="3">
        <f>IF(ISNUMBER(AVERAGE('20250815_ETF_Options_Exhibits'!G151:G155)),AVERAGE('20250815_ETF_Options_Exhibits'!G151:G155),"")</f>
        <v/>
      </c>
      <c r="H155" s="3">
        <f>IF(ISNUMBER(AVERAGE('20250815_ETF_Options_Exhibits'!H151:H155)),AVERAGE('20250815_ETF_Options_Exhibits'!H151:H155),"")</f>
        <v/>
      </c>
      <c r="I155" s="3">
        <f>IF(ISNUMBER(AVERAGE('20250815_ETF_Options_Exhibits'!I151:I155)),AVERAGE('20250815_ETF_Options_Exhibits'!I151:I155),"")</f>
        <v/>
      </c>
      <c r="J155" s="3">
        <f>IF(ISNUMBER(AVERAGE('20250815_ETF_Options_Exhibits'!J151:J155)),AVERAGE('20250815_ETF_Options_Exhibits'!J151:J155),"")</f>
        <v/>
      </c>
      <c r="K155" s="3">
        <f>IF(ISNUMBER(AVERAGE('20250815_ETF_Options_Exhibits'!K151:K155)),AVERAGE('20250815_ETF_Options_Exhibits'!K151:K155),"")</f>
        <v/>
      </c>
      <c r="L155" s="3">
        <f>IF(ISNUMBER(AVERAGE('20250815_ETF_Options_Exhibits'!L151:L155)),AVERAGE('20250815_ETF_Options_Exhibits'!L151:L155),"")</f>
        <v/>
      </c>
      <c r="M155" s="3">
        <f>IF(ISNUMBER(AVERAGE('20250815_ETF_Options_Exhibits'!M151:M155)),AVERAGE('20250815_ETF_Options_Exhibits'!M151:M155),"")</f>
        <v/>
      </c>
      <c r="N155" s="3">
        <f>IF(ISNUMBER(AVERAGE('20250815_ETF_Options_Exhibits'!N151:N155)),AVERAGE('20250815_ETF_Options_Exhibits'!N151:N155),"")</f>
        <v/>
      </c>
      <c r="O155" s="3">
        <f>IF(ISNUMBER(AVERAGE('20250815_ETF_Options_Exhibits'!O151:O155)),AVERAGE('20250815_ETF_Options_Exhibits'!O151:O155),"")</f>
        <v/>
      </c>
      <c r="P155" s="3">
        <f>IF(ISNUMBER(AVERAGE('20250815_ETF_Options_Exhibits'!P151:P155)),AVERAGE('20250815_ETF_Options_Exhibits'!P151:P155),"")</f>
        <v/>
      </c>
      <c r="Q155" s="3">
        <f>IF(ISNUMBER(AVERAGE('20250815_ETF_Options_Exhibits'!Q151:Q155)),AVERAGE('20250815_ETF_Options_Exhibits'!Q151:Q155),"")</f>
        <v/>
      </c>
      <c r="R155" s="3">
        <f>IF(ISNUMBER(AVERAGE('20250815_ETF_Options_Exhibits'!R151:R155)),AVERAGE('20250815_ETF_Options_Exhibits'!R151:R155),"")</f>
        <v/>
      </c>
      <c r="S155" s="3">
        <f>IF(ISNUMBER(AVERAGE('20250815_ETF_Options_Exhibits'!S151:S155)),AVERAGE('20250815_ETF_Options_Exhibits'!S151:S155),"")</f>
        <v/>
      </c>
      <c r="T155" s="3">
        <f>IF(ISNUMBER(AVERAGE('20250815_ETF_Options_Exhibits'!T151:T155)),AVERAGE('20250815_ETF_Options_Exhibits'!T151:T155),"")</f>
        <v/>
      </c>
      <c r="U155" s="3">
        <f>IF(ISNUMBER(AVERAGE('20250815_ETF_Options_Exhibits'!U151:U155)),AVERAGE('20250815_ETF_Options_Exhibits'!U151:U155),"")</f>
        <v/>
      </c>
      <c r="V155" s="3">
        <f>IF(ISNUMBER(AVERAGE('20250815_ETF_Options_Exhibits'!V151:V155)),AVERAGE('20250815_ETF_Options_Exhibits'!V151:V155),"")</f>
        <v/>
      </c>
      <c r="W155" s="3">
        <f>IF(ISNUMBER(AVERAGE('20250815_ETF_Options_Exhibits'!W151:W155)),AVERAGE('20250815_ETF_Options_Exhibits'!W151:W155),"")</f>
        <v/>
      </c>
      <c r="X155" s="3">
        <f>IF(ISNUMBER(AVERAGE('20250815_ETF_Options_Exhibits'!X151:X155)),AVERAGE('20250815_ETF_Options_Exhibits'!X151:X155),"")</f>
        <v/>
      </c>
      <c r="Y155" s="3">
        <f>IF(ISNUMBER(AVERAGE('20250815_ETF_Options_Exhibits'!Y151:Y155)),AVERAGE('20250815_ETF_Options_Exhibits'!Y151:Y155),"")</f>
        <v/>
      </c>
      <c r="Z155" s="3">
        <f>IF(ISNUMBER(AVERAGE('20250815_ETF_Options_Exhibits'!Z151:Z155)),AVERAGE('20250815_ETF_Options_Exhibits'!Z151:Z155),"")</f>
        <v/>
      </c>
      <c r="AA155" s="3">
        <f>IF(ISNUMBER(AVERAGE('20250815_ETF_Options_Exhibits'!AA151:AA155)),AVERAGE('20250815_ETF_Options_Exhibits'!AA151:AA155),"")</f>
        <v/>
      </c>
    </row>
    <row r="156">
      <c r="A156" s="1" t="n">
        <v>42228</v>
      </c>
      <c r="B156" s="3">
        <f>IF(ISNUMBER(AVERAGE('20250815_ETF_Options_Exhibits'!B152:B156)),AVERAGE('20250815_ETF_Options_Exhibits'!B152:B156),"")</f>
        <v/>
      </c>
      <c r="C156" s="3">
        <f>IF(ISNUMBER(AVERAGE('20250815_ETF_Options_Exhibits'!C152:C156)),AVERAGE('20250815_ETF_Options_Exhibits'!C152:C156),"")</f>
        <v/>
      </c>
      <c r="D156" s="3">
        <f>IF(ISNUMBER(AVERAGE('20250815_ETF_Options_Exhibits'!D152:D156)),AVERAGE('20250815_ETF_Options_Exhibits'!D152:D156),"")</f>
        <v/>
      </c>
      <c r="E156" s="3">
        <f>IF(ISNUMBER(AVERAGE('20250815_ETF_Options_Exhibits'!E152:E156)),AVERAGE('20250815_ETF_Options_Exhibits'!E152:E156),"")</f>
        <v/>
      </c>
      <c r="F156" s="3">
        <f>IF(ISNUMBER(AVERAGE('20250815_ETF_Options_Exhibits'!F152:F156)),AVERAGE('20250815_ETF_Options_Exhibits'!F152:F156),"")</f>
        <v/>
      </c>
      <c r="G156" s="3">
        <f>IF(ISNUMBER(AVERAGE('20250815_ETF_Options_Exhibits'!G152:G156)),AVERAGE('20250815_ETF_Options_Exhibits'!G152:G156),"")</f>
        <v/>
      </c>
      <c r="H156" s="3">
        <f>IF(ISNUMBER(AVERAGE('20250815_ETF_Options_Exhibits'!H152:H156)),AVERAGE('20250815_ETF_Options_Exhibits'!H152:H156),"")</f>
        <v/>
      </c>
      <c r="I156" s="3">
        <f>IF(ISNUMBER(AVERAGE('20250815_ETF_Options_Exhibits'!I152:I156)),AVERAGE('20250815_ETF_Options_Exhibits'!I152:I156),"")</f>
        <v/>
      </c>
      <c r="J156" s="3">
        <f>IF(ISNUMBER(AVERAGE('20250815_ETF_Options_Exhibits'!J152:J156)),AVERAGE('20250815_ETF_Options_Exhibits'!J152:J156),"")</f>
        <v/>
      </c>
      <c r="K156" s="3">
        <f>IF(ISNUMBER(AVERAGE('20250815_ETF_Options_Exhibits'!K152:K156)),AVERAGE('20250815_ETF_Options_Exhibits'!K152:K156),"")</f>
        <v/>
      </c>
      <c r="L156" s="3">
        <f>IF(ISNUMBER(AVERAGE('20250815_ETF_Options_Exhibits'!L152:L156)),AVERAGE('20250815_ETF_Options_Exhibits'!L152:L156),"")</f>
        <v/>
      </c>
      <c r="M156" s="3">
        <f>IF(ISNUMBER(AVERAGE('20250815_ETF_Options_Exhibits'!M152:M156)),AVERAGE('20250815_ETF_Options_Exhibits'!M152:M156),"")</f>
        <v/>
      </c>
      <c r="N156" s="3">
        <f>IF(ISNUMBER(AVERAGE('20250815_ETF_Options_Exhibits'!N152:N156)),AVERAGE('20250815_ETF_Options_Exhibits'!N152:N156),"")</f>
        <v/>
      </c>
      <c r="O156" s="3">
        <f>IF(ISNUMBER(AVERAGE('20250815_ETF_Options_Exhibits'!O152:O156)),AVERAGE('20250815_ETF_Options_Exhibits'!O152:O156),"")</f>
        <v/>
      </c>
      <c r="P156" s="3">
        <f>IF(ISNUMBER(AVERAGE('20250815_ETF_Options_Exhibits'!P152:P156)),AVERAGE('20250815_ETF_Options_Exhibits'!P152:P156),"")</f>
        <v/>
      </c>
      <c r="Q156" s="3">
        <f>IF(ISNUMBER(AVERAGE('20250815_ETF_Options_Exhibits'!Q152:Q156)),AVERAGE('20250815_ETF_Options_Exhibits'!Q152:Q156),"")</f>
        <v/>
      </c>
      <c r="R156" s="3">
        <f>IF(ISNUMBER(AVERAGE('20250815_ETF_Options_Exhibits'!R152:R156)),AVERAGE('20250815_ETF_Options_Exhibits'!R152:R156),"")</f>
        <v/>
      </c>
      <c r="S156" s="3">
        <f>IF(ISNUMBER(AVERAGE('20250815_ETF_Options_Exhibits'!S152:S156)),AVERAGE('20250815_ETF_Options_Exhibits'!S152:S156),"")</f>
        <v/>
      </c>
      <c r="T156" s="3">
        <f>IF(ISNUMBER(AVERAGE('20250815_ETF_Options_Exhibits'!T152:T156)),AVERAGE('20250815_ETF_Options_Exhibits'!T152:T156),"")</f>
        <v/>
      </c>
      <c r="U156" s="3">
        <f>IF(ISNUMBER(AVERAGE('20250815_ETF_Options_Exhibits'!U152:U156)),AVERAGE('20250815_ETF_Options_Exhibits'!U152:U156),"")</f>
        <v/>
      </c>
      <c r="V156" s="3">
        <f>IF(ISNUMBER(AVERAGE('20250815_ETF_Options_Exhibits'!V152:V156)),AVERAGE('20250815_ETF_Options_Exhibits'!V152:V156),"")</f>
        <v/>
      </c>
      <c r="W156" s="3">
        <f>IF(ISNUMBER(AVERAGE('20250815_ETF_Options_Exhibits'!W152:W156)),AVERAGE('20250815_ETF_Options_Exhibits'!W152:W156),"")</f>
        <v/>
      </c>
      <c r="X156" s="3">
        <f>IF(ISNUMBER(AVERAGE('20250815_ETF_Options_Exhibits'!X152:X156)),AVERAGE('20250815_ETF_Options_Exhibits'!X152:X156),"")</f>
        <v/>
      </c>
      <c r="Y156" s="3">
        <f>IF(ISNUMBER(AVERAGE('20250815_ETF_Options_Exhibits'!Y152:Y156)),AVERAGE('20250815_ETF_Options_Exhibits'!Y152:Y156),"")</f>
        <v/>
      </c>
      <c r="Z156" s="3">
        <f>IF(ISNUMBER(AVERAGE('20250815_ETF_Options_Exhibits'!Z152:Z156)),AVERAGE('20250815_ETF_Options_Exhibits'!Z152:Z156),"")</f>
        <v/>
      </c>
      <c r="AA156" s="3">
        <f>IF(ISNUMBER(AVERAGE('20250815_ETF_Options_Exhibits'!AA152:AA156)),AVERAGE('20250815_ETF_Options_Exhibits'!AA152:AA156),"")</f>
        <v/>
      </c>
    </row>
    <row r="157">
      <c r="A157" s="1" t="n">
        <v>42229</v>
      </c>
      <c r="B157" s="3">
        <f>IF(ISNUMBER(AVERAGE('20250815_ETF_Options_Exhibits'!B153:B157)),AVERAGE('20250815_ETF_Options_Exhibits'!B153:B157),"")</f>
        <v/>
      </c>
      <c r="C157" s="3">
        <f>IF(ISNUMBER(AVERAGE('20250815_ETF_Options_Exhibits'!C153:C157)),AVERAGE('20250815_ETF_Options_Exhibits'!C153:C157),"")</f>
        <v/>
      </c>
      <c r="D157" s="3">
        <f>IF(ISNUMBER(AVERAGE('20250815_ETF_Options_Exhibits'!D153:D157)),AVERAGE('20250815_ETF_Options_Exhibits'!D153:D157),"")</f>
        <v/>
      </c>
      <c r="E157" s="3">
        <f>IF(ISNUMBER(AVERAGE('20250815_ETF_Options_Exhibits'!E153:E157)),AVERAGE('20250815_ETF_Options_Exhibits'!E153:E157),"")</f>
        <v/>
      </c>
      <c r="F157" s="3">
        <f>IF(ISNUMBER(AVERAGE('20250815_ETF_Options_Exhibits'!F153:F157)),AVERAGE('20250815_ETF_Options_Exhibits'!F153:F157),"")</f>
        <v/>
      </c>
      <c r="G157" s="3">
        <f>IF(ISNUMBER(AVERAGE('20250815_ETF_Options_Exhibits'!G153:G157)),AVERAGE('20250815_ETF_Options_Exhibits'!G153:G157),"")</f>
        <v/>
      </c>
      <c r="H157" s="3">
        <f>IF(ISNUMBER(AVERAGE('20250815_ETF_Options_Exhibits'!H153:H157)),AVERAGE('20250815_ETF_Options_Exhibits'!H153:H157),"")</f>
        <v/>
      </c>
      <c r="I157" s="3">
        <f>IF(ISNUMBER(AVERAGE('20250815_ETF_Options_Exhibits'!I153:I157)),AVERAGE('20250815_ETF_Options_Exhibits'!I153:I157),"")</f>
        <v/>
      </c>
      <c r="J157" s="3">
        <f>IF(ISNUMBER(AVERAGE('20250815_ETF_Options_Exhibits'!J153:J157)),AVERAGE('20250815_ETF_Options_Exhibits'!J153:J157),"")</f>
        <v/>
      </c>
      <c r="K157" s="3">
        <f>IF(ISNUMBER(AVERAGE('20250815_ETF_Options_Exhibits'!K153:K157)),AVERAGE('20250815_ETF_Options_Exhibits'!K153:K157),"")</f>
        <v/>
      </c>
      <c r="L157" s="3">
        <f>IF(ISNUMBER(AVERAGE('20250815_ETF_Options_Exhibits'!L153:L157)),AVERAGE('20250815_ETF_Options_Exhibits'!L153:L157),"")</f>
        <v/>
      </c>
      <c r="M157" s="3">
        <f>IF(ISNUMBER(AVERAGE('20250815_ETF_Options_Exhibits'!M153:M157)),AVERAGE('20250815_ETF_Options_Exhibits'!M153:M157),"")</f>
        <v/>
      </c>
      <c r="N157" s="3">
        <f>IF(ISNUMBER(AVERAGE('20250815_ETF_Options_Exhibits'!N153:N157)),AVERAGE('20250815_ETF_Options_Exhibits'!N153:N157),"")</f>
        <v/>
      </c>
      <c r="O157" s="3">
        <f>IF(ISNUMBER(AVERAGE('20250815_ETF_Options_Exhibits'!O153:O157)),AVERAGE('20250815_ETF_Options_Exhibits'!O153:O157),"")</f>
        <v/>
      </c>
      <c r="P157" s="3">
        <f>IF(ISNUMBER(AVERAGE('20250815_ETF_Options_Exhibits'!P153:P157)),AVERAGE('20250815_ETF_Options_Exhibits'!P153:P157),"")</f>
        <v/>
      </c>
      <c r="Q157" s="3">
        <f>IF(ISNUMBER(AVERAGE('20250815_ETF_Options_Exhibits'!Q153:Q157)),AVERAGE('20250815_ETF_Options_Exhibits'!Q153:Q157),"")</f>
        <v/>
      </c>
      <c r="R157" s="3">
        <f>IF(ISNUMBER(AVERAGE('20250815_ETF_Options_Exhibits'!R153:R157)),AVERAGE('20250815_ETF_Options_Exhibits'!R153:R157),"")</f>
        <v/>
      </c>
      <c r="S157" s="3">
        <f>IF(ISNUMBER(AVERAGE('20250815_ETF_Options_Exhibits'!S153:S157)),AVERAGE('20250815_ETF_Options_Exhibits'!S153:S157),"")</f>
        <v/>
      </c>
      <c r="T157" s="3">
        <f>IF(ISNUMBER(AVERAGE('20250815_ETF_Options_Exhibits'!T153:T157)),AVERAGE('20250815_ETF_Options_Exhibits'!T153:T157),"")</f>
        <v/>
      </c>
      <c r="U157" s="3">
        <f>IF(ISNUMBER(AVERAGE('20250815_ETF_Options_Exhibits'!U153:U157)),AVERAGE('20250815_ETF_Options_Exhibits'!U153:U157),"")</f>
        <v/>
      </c>
      <c r="V157" s="3">
        <f>IF(ISNUMBER(AVERAGE('20250815_ETF_Options_Exhibits'!V153:V157)),AVERAGE('20250815_ETF_Options_Exhibits'!V153:V157),"")</f>
        <v/>
      </c>
      <c r="W157" s="3">
        <f>IF(ISNUMBER(AVERAGE('20250815_ETF_Options_Exhibits'!W153:W157)),AVERAGE('20250815_ETF_Options_Exhibits'!W153:W157),"")</f>
        <v/>
      </c>
      <c r="X157" s="3">
        <f>IF(ISNUMBER(AVERAGE('20250815_ETF_Options_Exhibits'!X153:X157)),AVERAGE('20250815_ETF_Options_Exhibits'!X153:X157),"")</f>
        <v/>
      </c>
      <c r="Y157" s="3">
        <f>IF(ISNUMBER(AVERAGE('20250815_ETF_Options_Exhibits'!Y153:Y157)),AVERAGE('20250815_ETF_Options_Exhibits'!Y153:Y157),"")</f>
        <v/>
      </c>
      <c r="Z157" s="3">
        <f>IF(ISNUMBER(AVERAGE('20250815_ETF_Options_Exhibits'!Z153:Z157)),AVERAGE('20250815_ETF_Options_Exhibits'!Z153:Z157),"")</f>
        <v/>
      </c>
      <c r="AA157" s="3">
        <f>IF(ISNUMBER(AVERAGE('20250815_ETF_Options_Exhibits'!AA153:AA157)),AVERAGE('20250815_ETF_Options_Exhibits'!AA153:AA157),"")</f>
        <v/>
      </c>
    </row>
    <row r="158">
      <c r="A158" s="1" t="n">
        <v>42230</v>
      </c>
      <c r="B158" s="3">
        <f>IF(ISNUMBER(AVERAGE('20250815_ETF_Options_Exhibits'!B154:B158)),AVERAGE('20250815_ETF_Options_Exhibits'!B154:B158),"")</f>
        <v/>
      </c>
      <c r="C158" s="3">
        <f>IF(ISNUMBER(AVERAGE('20250815_ETF_Options_Exhibits'!C154:C158)),AVERAGE('20250815_ETF_Options_Exhibits'!C154:C158),"")</f>
        <v/>
      </c>
      <c r="D158" s="3">
        <f>IF(ISNUMBER(AVERAGE('20250815_ETF_Options_Exhibits'!D154:D158)),AVERAGE('20250815_ETF_Options_Exhibits'!D154:D158),"")</f>
        <v/>
      </c>
      <c r="E158" s="3">
        <f>IF(ISNUMBER(AVERAGE('20250815_ETF_Options_Exhibits'!E154:E158)),AVERAGE('20250815_ETF_Options_Exhibits'!E154:E158),"")</f>
        <v/>
      </c>
      <c r="F158" s="3">
        <f>IF(ISNUMBER(AVERAGE('20250815_ETF_Options_Exhibits'!F154:F158)),AVERAGE('20250815_ETF_Options_Exhibits'!F154:F158),"")</f>
        <v/>
      </c>
      <c r="G158" s="3">
        <f>IF(ISNUMBER(AVERAGE('20250815_ETF_Options_Exhibits'!G154:G158)),AVERAGE('20250815_ETF_Options_Exhibits'!G154:G158),"")</f>
        <v/>
      </c>
      <c r="H158" s="3">
        <f>IF(ISNUMBER(AVERAGE('20250815_ETF_Options_Exhibits'!H154:H158)),AVERAGE('20250815_ETF_Options_Exhibits'!H154:H158),"")</f>
        <v/>
      </c>
      <c r="I158" s="3">
        <f>IF(ISNUMBER(AVERAGE('20250815_ETF_Options_Exhibits'!I154:I158)),AVERAGE('20250815_ETF_Options_Exhibits'!I154:I158),"")</f>
        <v/>
      </c>
      <c r="J158" s="3">
        <f>IF(ISNUMBER(AVERAGE('20250815_ETF_Options_Exhibits'!J154:J158)),AVERAGE('20250815_ETF_Options_Exhibits'!J154:J158),"")</f>
        <v/>
      </c>
      <c r="K158" s="3">
        <f>IF(ISNUMBER(AVERAGE('20250815_ETF_Options_Exhibits'!K154:K158)),AVERAGE('20250815_ETF_Options_Exhibits'!K154:K158),"")</f>
        <v/>
      </c>
      <c r="L158" s="3">
        <f>IF(ISNUMBER(AVERAGE('20250815_ETF_Options_Exhibits'!L154:L158)),AVERAGE('20250815_ETF_Options_Exhibits'!L154:L158),"")</f>
        <v/>
      </c>
      <c r="M158" s="3">
        <f>IF(ISNUMBER(AVERAGE('20250815_ETF_Options_Exhibits'!M154:M158)),AVERAGE('20250815_ETF_Options_Exhibits'!M154:M158),"")</f>
        <v/>
      </c>
      <c r="N158" s="3">
        <f>IF(ISNUMBER(AVERAGE('20250815_ETF_Options_Exhibits'!N154:N158)),AVERAGE('20250815_ETF_Options_Exhibits'!N154:N158),"")</f>
        <v/>
      </c>
      <c r="O158" s="3">
        <f>IF(ISNUMBER(AVERAGE('20250815_ETF_Options_Exhibits'!O154:O158)),AVERAGE('20250815_ETF_Options_Exhibits'!O154:O158),"")</f>
        <v/>
      </c>
      <c r="P158" s="3">
        <f>IF(ISNUMBER(AVERAGE('20250815_ETF_Options_Exhibits'!P154:P158)),AVERAGE('20250815_ETF_Options_Exhibits'!P154:P158),"")</f>
        <v/>
      </c>
      <c r="Q158" s="3">
        <f>IF(ISNUMBER(AVERAGE('20250815_ETF_Options_Exhibits'!Q154:Q158)),AVERAGE('20250815_ETF_Options_Exhibits'!Q154:Q158),"")</f>
        <v/>
      </c>
      <c r="R158" s="3">
        <f>IF(ISNUMBER(AVERAGE('20250815_ETF_Options_Exhibits'!R154:R158)),AVERAGE('20250815_ETF_Options_Exhibits'!R154:R158),"")</f>
        <v/>
      </c>
      <c r="S158" s="3">
        <f>IF(ISNUMBER(AVERAGE('20250815_ETF_Options_Exhibits'!S154:S158)),AVERAGE('20250815_ETF_Options_Exhibits'!S154:S158),"")</f>
        <v/>
      </c>
      <c r="T158" s="3">
        <f>IF(ISNUMBER(AVERAGE('20250815_ETF_Options_Exhibits'!T154:T158)),AVERAGE('20250815_ETF_Options_Exhibits'!T154:T158),"")</f>
        <v/>
      </c>
      <c r="U158" s="3">
        <f>IF(ISNUMBER(AVERAGE('20250815_ETF_Options_Exhibits'!U154:U158)),AVERAGE('20250815_ETF_Options_Exhibits'!U154:U158),"")</f>
        <v/>
      </c>
      <c r="V158" s="3">
        <f>IF(ISNUMBER(AVERAGE('20250815_ETF_Options_Exhibits'!V154:V158)),AVERAGE('20250815_ETF_Options_Exhibits'!V154:V158),"")</f>
        <v/>
      </c>
      <c r="W158" s="3">
        <f>IF(ISNUMBER(AVERAGE('20250815_ETF_Options_Exhibits'!W154:W158)),AVERAGE('20250815_ETF_Options_Exhibits'!W154:W158),"")</f>
        <v/>
      </c>
      <c r="X158" s="3">
        <f>IF(ISNUMBER(AVERAGE('20250815_ETF_Options_Exhibits'!X154:X158)),AVERAGE('20250815_ETF_Options_Exhibits'!X154:X158),"")</f>
        <v/>
      </c>
      <c r="Y158" s="3">
        <f>IF(ISNUMBER(AVERAGE('20250815_ETF_Options_Exhibits'!Y154:Y158)),AVERAGE('20250815_ETF_Options_Exhibits'!Y154:Y158),"")</f>
        <v/>
      </c>
      <c r="Z158" s="3">
        <f>IF(ISNUMBER(AVERAGE('20250815_ETF_Options_Exhibits'!Z154:Z158)),AVERAGE('20250815_ETF_Options_Exhibits'!Z154:Z158),"")</f>
        <v/>
      </c>
      <c r="AA158" s="3">
        <f>IF(ISNUMBER(AVERAGE('20250815_ETF_Options_Exhibits'!AA154:AA158)),AVERAGE('20250815_ETF_Options_Exhibits'!AA154:AA158),"")</f>
        <v/>
      </c>
    </row>
    <row r="159">
      <c r="A159" s="1" t="n">
        <v>42233</v>
      </c>
      <c r="B159" s="3">
        <f>IF(ISNUMBER(AVERAGE('20250815_ETF_Options_Exhibits'!B155:B159)),AVERAGE('20250815_ETF_Options_Exhibits'!B155:B159),"")</f>
        <v/>
      </c>
      <c r="C159" s="3">
        <f>IF(ISNUMBER(AVERAGE('20250815_ETF_Options_Exhibits'!C155:C159)),AVERAGE('20250815_ETF_Options_Exhibits'!C155:C159),"")</f>
        <v/>
      </c>
      <c r="D159" s="3">
        <f>IF(ISNUMBER(AVERAGE('20250815_ETF_Options_Exhibits'!D155:D159)),AVERAGE('20250815_ETF_Options_Exhibits'!D155:D159),"")</f>
        <v/>
      </c>
      <c r="E159" s="3">
        <f>IF(ISNUMBER(AVERAGE('20250815_ETF_Options_Exhibits'!E155:E159)),AVERAGE('20250815_ETF_Options_Exhibits'!E155:E159),"")</f>
        <v/>
      </c>
      <c r="F159" s="3">
        <f>IF(ISNUMBER(AVERAGE('20250815_ETF_Options_Exhibits'!F155:F159)),AVERAGE('20250815_ETF_Options_Exhibits'!F155:F159),"")</f>
        <v/>
      </c>
      <c r="G159" s="3">
        <f>IF(ISNUMBER(AVERAGE('20250815_ETF_Options_Exhibits'!G155:G159)),AVERAGE('20250815_ETF_Options_Exhibits'!G155:G159),"")</f>
        <v/>
      </c>
      <c r="H159" s="3">
        <f>IF(ISNUMBER(AVERAGE('20250815_ETF_Options_Exhibits'!H155:H159)),AVERAGE('20250815_ETF_Options_Exhibits'!H155:H159),"")</f>
        <v/>
      </c>
      <c r="I159" s="3">
        <f>IF(ISNUMBER(AVERAGE('20250815_ETF_Options_Exhibits'!I155:I159)),AVERAGE('20250815_ETF_Options_Exhibits'!I155:I159),"")</f>
        <v/>
      </c>
      <c r="J159" s="3">
        <f>IF(ISNUMBER(AVERAGE('20250815_ETF_Options_Exhibits'!J155:J159)),AVERAGE('20250815_ETF_Options_Exhibits'!J155:J159),"")</f>
        <v/>
      </c>
      <c r="K159" s="3">
        <f>IF(ISNUMBER(AVERAGE('20250815_ETF_Options_Exhibits'!K155:K159)),AVERAGE('20250815_ETF_Options_Exhibits'!K155:K159),"")</f>
        <v/>
      </c>
      <c r="L159" s="3">
        <f>IF(ISNUMBER(AVERAGE('20250815_ETF_Options_Exhibits'!L155:L159)),AVERAGE('20250815_ETF_Options_Exhibits'!L155:L159),"")</f>
        <v/>
      </c>
      <c r="M159" s="3">
        <f>IF(ISNUMBER(AVERAGE('20250815_ETF_Options_Exhibits'!M155:M159)),AVERAGE('20250815_ETF_Options_Exhibits'!M155:M159),"")</f>
        <v/>
      </c>
      <c r="N159" s="3">
        <f>IF(ISNUMBER(AVERAGE('20250815_ETF_Options_Exhibits'!N155:N159)),AVERAGE('20250815_ETF_Options_Exhibits'!N155:N159),"")</f>
        <v/>
      </c>
      <c r="O159" s="3">
        <f>IF(ISNUMBER(AVERAGE('20250815_ETF_Options_Exhibits'!O155:O159)),AVERAGE('20250815_ETF_Options_Exhibits'!O155:O159),"")</f>
        <v/>
      </c>
      <c r="P159" s="3">
        <f>IF(ISNUMBER(AVERAGE('20250815_ETF_Options_Exhibits'!P155:P159)),AVERAGE('20250815_ETF_Options_Exhibits'!P155:P159),"")</f>
        <v/>
      </c>
      <c r="Q159" s="3">
        <f>IF(ISNUMBER(AVERAGE('20250815_ETF_Options_Exhibits'!Q155:Q159)),AVERAGE('20250815_ETF_Options_Exhibits'!Q155:Q159),"")</f>
        <v/>
      </c>
      <c r="R159" s="3">
        <f>IF(ISNUMBER(AVERAGE('20250815_ETF_Options_Exhibits'!R155:R159)),AVERAGE('20250815_ETF_Options_Exhibits'!R155:R159),"")</f>
        <v/>
      </c>
      <c r="S159" s="3">
        <f>IF(ISNUMBER(AVERAGE('20250815_ETF_Options_Exhibits'!S155:S159)),AVERAGE('20250815_ETF_Options_Exhibits'!S155:S159),"")</f>
        <v/>
      </c>
      <c r="T159" s="3">
        <f>IF(ISNUMBER(AVERAGE('20250815_ETF_Options_Exhibits'!T155:T159)),AVERAGE('20250815_ETF_Options_Exhibits'!T155:T159),"")</f>
        <v/>
      </c>
      <c r="U159" s="3">
        <f>IF(ISNUMBER(AVERAGE('20250815_ETF_Options_Exhibits'!U155:U159)),AVERAGE('20250815_ETF_Options_Exhibits'!U155:U159),"")</f>
        <v/>
      </c>
      <c r="V159" s="3">
        <f>IF(ISNUMBER(AVERAGE('20250815_ETF_Options_Exhibits'!V155:V159)),AVERAGE('20250815_ETF_Options_Exhibits'!V155:V159),"")</f>
        <v/>
      </c>
      <c r="W159" s="3">
        <f>IF(ISNUMBER(AVERAGE('20250815_ETF_Options_Exhibits'!W155:W159)),AVERAGE('20250815_ETF_Options_Exhibits'!W155:W159),"")</f>
        <v/>
      </c>
      <c r="X159" s="3">
        <f>IF(ISNUMBER(AVERAGE('20250815_ETF_Options_Exhibits'!X155:X159)),AVERAGE('20250815_ETF_Options_Exhibits'!X155:X159),"")</f>
        <v/>
      </c>
      <c r="Y159" s="3">
        <f>IF(ISNUMBER(AVERAGE('20250815_ETF_Options_Exhibits'!Y155:Y159)),AVERAGE('20250815_ETF_Options_Exhibits'!Y155:Y159),"")</f>
        <v/>
      </c>
      <c r="Z159" s="3">
        <f>IF(ISNUMBER(AVERAGE('20250815_ETF_Options_Exhibits'!Z155:Z159)),AVERAGE('20250815_ETF_Options_Exhibits'!Z155:Z159),"")</f>
        <v/>
      </c>
      <c r="AA159" s="3">
        <f>IF(ISNUMBER(AVERAGE('20250815_ETF_Options_Exhibits'!AA155:AA159)),AVERAGE('20250815_ETF_Options_Exhibits'!AA155:AA159),"")</f>
        <v/>
      </c>
    </row>
    <row r="160">
      <c r="A160" s="1" t="n">
        <v>42234</v>
      </c>
      <c r="B160" s="3">
        <f>IF(ISNUMBER(AVERAGE('20250815_ETF_Options_Exhibits'!B156:B160)),AVERAGE('20250815_ETF_Options_Exhibits'!B156:B160),"")</f>
        <v/>
      </c>
      <c r="C160" s="3">
        <f>IF(ISNUMBER(AVERAGE('20250815_ETF_Options_Exhibits'!C156:C160)),AVERAGE('20250815_ETF_Options_Exhibits'!C156:C160),"")</f>
        <v/>
      </c>
      <c r="D160" s="3">
        <f>IF(ISNUMBER(AVERAGE('20250815_ETF_Options_Exhibits'!D156:D160)),AVERAGE('20250815_ETF_Options_Exhibits'!D156:D160),"")</f>
        <v/>
      </c>
      <c r="E160" s="3">
        <f>IF(ISNUMBER(AVERAGE('20250815_ETF_Options_Exhibits'!E156:E160)),AVERAGE('20250815_ETF_Options_Exhibits'!E156:E160),"")</f>
        <v/>
      </c>
      <c r="F160" s="3">
        <f>IF(ISNUMBER(AVERAGE('20250815_ETF_Options_Exhibits'!F156:F160)),AVERAGE('20250815_ETF_Options_Exhibits'!F156:F160),"")</f>
        <v/>
      </c>
      <c r="G160" s="3">
        <f>IF(ISNUMBER(AVERAGE('20250815_ETF_Options_Exhibits'!G156:G160)),AVERAGE('20250815_ETF_Options_Exhibits'!G156:G160),"")</f>
        <v/>
      </c>
      <c r="H160" s="3">
        <f>IF(ISNUMBER(AVERAGE('20250815_ETF_Options_Exhibits'!H156:H160)),AVERAGE('20250815_ETF_Options_Exhibits'!H156:H160),"")</f>
        <v/>
      </c>
      <c r="I160" s="3">
        <f>IF(ISNUMBER(AVERAGE('20250815_ETF_Options_Exhibits'!I156:I160)),AVERAGE('20250815_ETF_Options_Exhibits'!I156:I160),"")</f>
        <v/>
      </c>
      <c r="J160" s="3">
        <f>IF(ISNUMBER(AVERAGE('20250815_ETF_Options_Exhibits'!J156:J160)),AVERAGE('20250815_ETF_Options_Exhibits'!J156:J160),"")</f>
        <v/>
      </c>
      <c r="K160" s="3">
        <f>IF(ISNUMBER(AVERAGE('20250815_ETF_Options_Exhibits'!K156:K160)),AVERAGE('20250815_ETF_Options_Exhibits'!K156:K160),"")</f>
        <v/>
      </c>
      <c r="L160" s="3">
        <f>IF(ISNUMBER(AVERAGE('20250815_ETF_Options_Exhibits'!L156:L160)),AVERAGE('20250815_ETF_Options_Exhibits'!L156:L160),"")</f>
        <v/>
      </c>
      <c r="M160" s="3">
        <f>IF(ISNUMBER(AVERAGE('20250815_ETF_Options_Exhibits'!M156:M160)),AVERAGE('20250815_ETF_Options_Exhibits'!M156:M160),"")</f>
        <v/>
      </c>
      <c r="N160" s="3">
        <f>IF(ISNUMBER(AVERAGE('20250815_ETF_Options_Exhibits'!N156:N160)),AVERAGE('20250815_ETF_Options_Exhibits'!N156:N160),"")</f>
        <v/>
      </c>
      <c r="O160" s="3">
        <f>IF(ISNUMBER(AVERAGE('20250815_ETF_Options_Exhibits'!O156:O160)),AVERAGE('20250815_ETF_Options_Exhibits'!O156:O160),"")</f>
        <v/>
      </c>
      <c r="P160" s="3">
        <f>IF(ISNUMBER(AVERAGE('20250815_ETF_Options_Exhibits'!P156:P160)),AVERAGE('20250815_ETF_Options_Exhibits'!P156:P160),"")</f>
        <v/>
      </c>
      <c r="Q160" s="3">
        <f>IF(ISNUMBER(AVERAGE('20250815_ETF_Options_Exhibits'!Q156:Q160)),AVERAGE('20250815_ETF_Options_Exhibits'!Q156:Q160),"")</f>
        <v/>
      </c>
      <c r="R160" s="3">
        <f>IF(ISNUMBER(AVERAGE('20250815_ETF_Options_Exhibits'!R156:R160)),AVERAGE('20250815_ETF_Options_Exhibits'!R156:R160),"")</f>
        <v/>
      </c>
      <c r="S160" s="3">
        <f>IF(ISNUMBER(AVERAGE('20250815_ETF_Options_Exhibits'!S156:S160)),AVERAGE('20250815_ETF_Options_Exhibits'!S156:S160),"")</f>
        <v/>
      </c>
      <c r="T160" s="3">
        <f>IF(ISNUMBER(AVERAGE('20250815_ETF_Options_Exhibits'!T156:T160)),AVERAGE('20250815_ETF_Options_Exhibits'!T156:T160),"")</f>
        <v/>
      </c>
      <c r="U160" s="3">
        <f>IF(ISNUMBER(AVERAGE('20250815_ETF_Options_Exhibits'!U156:U160)),AVERAGE('20250815_ETF_Options_Exhibits'!U156:U160),"")</f>
        <v/>
      </c>
      <c r="V160" s="3">
        <f>IF(ISNUMBER(AVERAGE('20250815_ETF_Options_Exhibits'!V156:V160)),AVERAGE('20250815_ETF_Options_Exhibits'!V156:V160),"")</f>
        <v/>
      </c>
      <c r="W160" s="3">
        <f>IF(ISNUMBER(AVERAGE('20250815_ETF_Options_Exhibits'!W156:W160)),AVERAGE('20250815_ETF_Options_Exhibits'!W156:W160),"")</f>
        <v/>
      </c>
      <c r="X160" s="3">
        <f>IF(ISNUMBER(AVERAGE('20250815_ETF_Options_Exhibits'!X156:X160)),AVERAGE('20250815_ETF_Options_Exhibits'!X156:X160),"")</f>
        <v/>
      </c>
      <c r="Y160" s="3">
        <f>IF(ISNUMBER(AVERAGE('20250815_ETF_Options_Exhibits'!Y156:Y160)),AVERAGE('20250815_ETF_Options_Exhibits'!Y156:Y160),"")</f>
        <v/>
      </c>
      <c r="Z160" s="3">
        <f>IF(ISNUMBER(AVERAGE('20250815_ETF_Options_Exhibits'!Z156:Z160)),AVERAGE('20250815_ETF_Options_Exhibits'!Z156:Z160),"")</f>
        <v/>
      </c>
      <c r="AA160" s="3">
        <f>IF(ISNUMBER(AVERAGE('20250815_ETF_Options_Exhibits'!AA156:AA160)),AVERAGE('20250815_ETF_Options_Exhibits'!AA156:AA160),"")</f>
        <v/>
      </c>
    </row>
    <row r="161">
      <c r="A161" s="1" t="n">
        <v>42235</v>
      </c>
      <c r="B161" s="3">
        <f>IF(ISNUMBER(AVERAGE('20250815_ETF_Options_Exhibits'!B157:B161)),AVERAGE('20250815_ETF_Options_Exhibits'!B157:B161),"")</f>
        <v/>
      </c>
      <c r="C161" s="3">
        <f>IF(ISNUMBER(AVERAGE('20250815_ETF_Options_Exhibits'!C157:C161)),AVERAGE('20250815_ETF_Options_Exhibits'!C157:C161),"")</f>
        <v/>
      </c>
      <c r="D161" s="3">
        <f>IF(ISNUMBER(AVERAGE('20250815_ETF_Options_Exhibits'!D157:D161)),AVERAGE('20250815_ETF_Options_Exhibits'!D157:D161),"")</f>
        <v/>
      </c>
      <c r="E161" s="3">
        <f>IF(ISNUMBER(AVERAGE('20250815_ETF_Options_Exhibits'!E157:E161)),AVERAGE('20250815_ETF_Options_Exhibits'!E157:E161),"")</f>
        <v/>
      </c>
      <c r="F161" s="3">
        <f>IF(ISNUMBER(AVERAGE('20250815_ETF_Options_Exhibits'!F157:F161)),AVERAGE('20250815_ETF_Options_Exhibits'!F157:F161),"")</f>
        <v/>
      </c>
      <c r="G161" s="3">
        <f>IF(ISNUMBER(AVERAGE('20250815_ETF_Options_Exhibits'!G157:G161)),AVERAGE('20250815_ETF_Options_Exhibits'!G157:G161),"")</f>
        <v/>
      </c>
      <c r="H161" s="3">
        <f>IF(ISNUMBER(AVERAGE('20250815_ETF_Options_Exhibits'!H157:H161)),AVERAGE('20250815_ETF_Options_Exhibits'!H157:H161),"")</f>
        <v/>
      </c>
      <c r="I161" s="3">
        <f>IF(ISNUMBER(AVERAGE('20250815_ETF_Options_Exhibits'!I157:I161)),AVERAGE('20250815_ETF_Options_Exhibits'!I157:I161),"")</f>
        <v/>
      </c>
      <c r="J161" s="3">
        <f>IF(ISNUMBER(AVERAGE('20250815_ETF_Options_Exhibits'!J157:J161)),AVERAGE('20250815_ETF_Options_Exhibits'!J157:J161),"")</f>
        <v/>
      </c>
      <c r="K161" s="3">
        <f>IF(ISNUMBER(AVERAGE('20250815_ETF_Options_Exhibits'!K157:K161)),AVERAGE('20250815_ETF_Options_Exhibits'!K157:K161),"")</f>
        <v/>
      </c>
      <c r="L161" s="3">
        <f>IF(ISNUMBER(AVERAGE('20250815_ETF_Options_Exhibits'!L157:L161)),AVERAGE('20250815_ETF_Options_Exhibits'!L157:L161),"")</f>
        <v/>
      </c>
      <c r="M161" s="3">
        <f>IF(ISNUMBER(AVERAGE('20250815_ETF_Options_Exhibits'!M157:M161)),AVERAGE('20250815_ETF_Options_Exhibits'!M157:M161),"")</f>
        <v/>
      </c>
      <c r="N161" s="3">
        <f>IF(ISNUMBER(AVERAGE('20250815_ETF_Options_Exhibits'!N157:N161)),AVERAGE('20250815_ETF_Options_Exhibits'!N157:N161),"")</f>
        <v/>
      </c>
      <c r="O161" s="3">
        <f>IF(ISNUMBER(AVERAGE('20250815_ETF_Options_Exhibits'!O157:O161)),AVERAGE('20250815_ETF_Options_Exhibits'!O157:O161),"")</f>
        <v/>
      </c>
      <c r="P161" s="3">
        <f>IF(ISNUMBER(AVERAGE('20250815_ETF_Options_Exhibits'!P157:P161)),AVERAGE('20250815_ETF_Options_Exhibits'!P157:P161),"")</f>
        <v/>
      </c>
      <c r="Q161" s="3">
        <f>IF(ISNUMBER(AVERAGE('20250815_ETF_Options_Exhibits'!Q157:Q161)),AVERAGE('20250815_ETF_Options_Exhibits'!Q157:Q161),"")</f>
        <v/>
      </c>
      <c r="R161" s="3">
        <f>IF(ISNUMBER(AVERAGE('20250815_ETF_Options_Exhibits'!R157:R161)),AVERAGE('20250815_ETF_Options_Exhibits'!R157:R161),"")</f>
        <v/>
      </c>
      <c r="S161" s="3">
        <f>IF(ISNUMBER(AVERAGE('20250815_ETF_Options_Exhibits'!S157:S161)),AVERAGE('20250815_ETF_Options_Exhibits'!S157:S161),"")</f>
        <v/>
      </c>
      <c r="T161" s="3">
        <f>IF(ISNUMBER(AVERAGE('20250815_ETF_Options_Exhibits'!T157:T161)),AVERAGE('20250815_ETF_Options_Exhibits'!T157:T161),"")</f>
        <v/>
      </c>
      <c r="U161" s="3">
        <f>IF(ISNUMBER(AVERAGE('20250815_ETF_Options_Exhibits'!U157:U161)),AVERAGE('20250815_ETF_Options_Exhibits'!U157:U161),"")</f>
        <v/>
      </c>
      <c r="V161" s="3">
        <f>IF(ISNUMBER(AVERAGE('20250815_ETF_Options_Exhibits'!V157:V161)),AVERAGE('20250815_ETF_Options_Exhibits'!V157:V161),"")</f>
        <v/>
      </c>
      <c r="W161" s="3">
        <f>IF(ISNUMBER(AVERAGE('20250815_ETF_Options_Exhibits'!W157:W161)),AVERAGE('20250815_ETF_Options_Exhibits'!W157:W161),"")</f>
        <v/>
      </c>
      <c r="X161" s="3">
        <f>IF(ISNUMBER(AVERAGE('20250815_ETF_Options_Exhibits'!X157:X161)),AVERAGE('20250815_ETF_Options_Exhibits'!X157:X161),"")</f>
        <v/>
      </c>
      <c r="Y161" s="3">
        <f>IF(ISNUMBER(AVERAGE('20250815_ETF_Options_Exhibits'!Y157:Y161)),AVERAGE('20250815_ETF_Options_Exhibits'!Y157:Y161),"")</f>
        <v/>
      </c>
      <c r="Z161" s="3">
        <f>IF(ISNUMBER(AVERAGE('20250815_ETF_Options_Exhibits'!Z157:Z161)),AVERAGE('20250815_ETF_Options_Exhibits'!Z157:Z161),"")</f>
        <v/>
      </c>
      <c r="AA161" s="3">
        <f>IF(ISNUMBER(AVERAGE('20250815_ETF_Options_Exhibits'!AA157:AA161)),AVERAGE('20250815_ETF_Options_Exhibits'!AA157:AA161),"")</f>
        <v/>
      </c>
    </row>
    <row r="162">
      <c r="A162" s="1" t="n">
        <v>42236</v>
      </c>
      <c r="B162" s="3">
        <f>IF(ISNUMBER(AVERAGE('20250815_ETF_Options_Exhibits'!B158:B162)),AVERAGE('20250815_ETF_Options_Exhibits'!B158:B162),"")</f>
        <v/>
      </c>
      <c r="C162" s="3">
        <f>IF(ISNUMBER(AVERAGE('20250815_ETF_Options_Exhibits'!C158:C162)),AVERAGE('20250815_ETF_Options_Exhibits'!C158:C162),"")</f>
        <v/>
      </c>
      <c r="D162" s="3">
        <f>IF(ISNUMBER(AVERAGE('20250815_ETF_Options_Exhibits'!D158:D162)),AVERAGE('20250815_ETF_Options_Exhibits'!D158:D162),"")</f>
        <v/>
      </c>
      <c r="E162" s="3">
        <f>IF(ISNUMBER(AVERAGE('20250815_ETF_Options_Exhibits'!E158:E162)),AVERAGE('20250815_ETF_Options_Exhibits'!E158:E162),"")</f>
        <v/>
      </c>
      <c r="F162" s="3">
        <f>IF(ISNUMBER(AVERAGE('20250815_ETF_Options_Exhibits'!F158:F162)),AVERAGE('20250815_ETF_Options_Exhibits'!F158:F162),"")</f>
        <v/>
      </c>
      <c r="G162" s="3">
        <f>IF(ISNUMBER(AVERAGE('20250815_ETF_Options_Exhibits'!G158:G162)),AVERAGE('20250815_ETF_Options_Exhibits'!G158:G162),"")</f>
        <v/>
      </c>
      <c r="H162" s="3">
        <f>IF(ISNUMBER(AVERAGE('20250815_ETF_Options_Exhibits'!H158:H162)),AVERAGE('20250815_ETF_Options_Exhibits'!H158:H162),"")</f>
        <v/>
      </c>
      <c r="I162" s="3">
        <f>IF(ISNUMBER(AVERAGE('20250815_ETF_Options_Exhibits'!I158:I162)),AVERAGE('20250815_ETF_Options_Exhibits'!I158:I162),"")</f>
        <v/>
      </c>
      <c r="J162" s="3">
        <f>IF(ISNUMBER(AVERAGE('20250815_ETF_Options_Exhibits'!J158:J162)),AVERAGE('20250815_ETF_Options_Exhibits'!J158:J162),"")</f>
        <v/>
      </c>
      <c r="K162" s="3">
        <f>IF(ISNUMBER(AVERAGE('20250815_ETF_Options_Exhibits'!K158:K162)),AVERAGE('20250815_ETF_Options_Exhibits'!K158:K162),"")</f>
        <v/>
      </c>
      <c r="L162" s="3">
        <f>IF(ISNUMBER(AVERAGE('20250815_ETF_Options_Exhibits'!L158:L162)),AVERAGE('20250815_ETF_Options_Exhibits'!L158:L162),"")</f>
        <v/>
      </c>
      <c r="M162" s="3">
        <f>IF(ISNUMBER(AVERAGE('20250815_ETF_Options_Exhibits'!M158:M162)),AVERAGE('20250815_ETF_Options_Exhibits'!M158:M162),"")</f>
        <v/>
      </c>
      <c r="N162" s="3">
        <f>IF(ISNUMBER(AVERAGE('20250815_ETF_Options_Exhibits'!N158:N162)),AVERAGE('20250815_ETF_Options_Exhibits'!N158:N162),"")</f>
        <v/>
      </c>
      <c r="O162" s="3">
        <f>IF(ISNUMBER(AVERAGE('20250815_ETF_Options_Exhibits'!O158:O162)),AVERAGE('20250815_ETF_Options_Exhibits'!O158:O162),"")</f>
        <v/>
      </c>
      <c r="P162" s="3">
        <f>IF(ISNUMBER(AVERAGE('20250815_ETF_Options_Exhibits'!P158:P162)),AVERAGE('20250815_ETF_Options_Exhibits'!P158:P162),"")</f>
        <v/>
      </c>
      <c r="Q162" s="3">
        <f>IF(ISNUMBER(AVERAGE('20250815_ETF_Options_Exhibits'!Q158:Q162)),AVERAGE('20250815_ETF_Options_Exhibits'!Q158:Q162),"")</f>
        <v/>
      </c>
      <c r="R162" s="3">
        <f>IF(ISNUMBER(AVERAGE('20250815_ETF_Options_Exhibits'!R158:R162)),AVERAGE('20250815_ETF_Options_Exhibits'!R158:R162),"")</f>
        <v/>
      </c>
      <c r="S162" s="3">
        <f>IF(ISNUMBER(AVERAGE('20250815_ETF_Options_Exhibits'!S158:S162)),AVERAGE('20250815_ETF_Options_Exhibits'!S158:S162),"")</f>
        <v/>
      </c>
      <c r="T162" s="3">
        <f>IF(ISNUMBER(AVERAGE('20250815_ETF_Options_Exhibits'!T158:T162)),AVERAGE('20250815_ETF_Options_Exhibits'!T158:T162),"")</f>
        <v/>
      </c>
      <c r="U162" s="3">
        <f>IF(ISNUMBER(AVERAGE('20250815_ETF_Options_Exhibits'!U158:U162)),AVERAGE('20250815_ETF_Options_Exhibits'!U158:U162),"")</f>
        <v/>
      </c>
      <c r="V162" s="3">
        <f>IF(ISNUMBER(AVERAGE('20250815_ETF_Options_Exhibits'!V158:V162)),AVERAGE('20250815_ETF_Options_Exhibits'!V158:V162),"")</f>
        <v/>
      </c>
      <c r="W162" s="3">
        <f>IF(ISNUMBER(AVERAGE('20250815_ETF_Options_Exhibits'!W158:W162)),AVERAGE('20250815_ETF_Options_Exhibits'!W158:W162),"")</f>
        <v/>
      </c>
      <c r="X162" s="3">
        <f>IF(ISNUMBER(AVERAGE('20250815_ETF_Options_Exhibits'!X158:X162)),AVERAGE('20250815_ETF_Options_Exhibits'!X158:X162),"")</f>
        <v/>
      </c>
      <c r="Y162" s="3">
        <f>IF(ISNUMBER(AVERAGE('20250815_ETF_Options_Exhibits'!Y158:Y162)),AVERAGE('20250815_ETF_Options_Exhibits'!Y158:Y162),"")</f>
        <v/>
      </c>
      <c r="Z162" s="3">
        <f>IF(ISNUMBER(AVERAGE('20250815_ETF_Options_Exhibits'!Z158:Z162)),AVERAGE('20250815_ETF_Options_Exhibits'!Z158:Z162),"")</f>
        <v/>
      </c>
      <c r="AA162" s="3">
        <f>IF(ISNUMBER(AVERAGE('20250815_ETF_Options_Exhibits'!AA158:AA162)),AVERAGE('20250815_ETF_Options_Exhibits'!AA158:AA162),"")</f>
        <v/>
      </c>
    </row>
    <row r="163">
      <c r="A163" s="1" t="n">
        <v>42237</v>
      </c>
      <c r="B163" s="3">
        <f>IF(ISNUMBER(AVERAGE('20250815_ETF_Options_Exhibits'!B159:B163)),AVERAGE('20250815_ETF_Options_Exhibits'!B159:B163),"")</f>
        <v/>
      </c>
      <c r="C163" s="3">
        <f>IF(ISNUMBER(AVERAGE('20250815_ETF_Options_Exhibits'!C159:C163)),AVERAGE('20250815_ETF_Options_Exhibits'!C159:C163),"")</f>
        <v/>
      </c>
      <c r="D163" s="3">
        <f>IF(ISNUMBER(AVERAGE('20250815_ETF_Options_Exhibits'!D159:D163)),AVERAGE('20250815_ETF_Options_Exhibits'!D159:D163),"")</f>
        <v/>
      </c>
      <c r="E163" s="3">
        <f>IF(ISNUMBER(AVERAGE('20250815_ETF_Options_Exhibits'!E159:E163)),AVERAGE('20250815_ETF_Options_Exhibits'!E159:E163),"")</f>
        <v/>
      </c>
      <c r="F163" s="3">
        <f>IF(ISNUMBER(AVERAGE('20250815_ETF_Options_Exhibits'!F159:F163)),AVERAGE('20250815_ETF_Options_Exhibits'!F159:F163),"")</f>
        <v/>
      </c>
      <c r="G163" s="3">
        <f>IF(ISNUMBER(AVERAGE('20250815_ETF_Options_Exhibits'!G159:G163)),AVERAGE('20250815_ETF_Options_Exhibits'!G159:G163),"")</f>
        <v/>
      </c>
      <c r="H163" s="3">
        <f>IF(ISNUMBER(AVERAGE('20250815_ETF_Options_Exhibits'!H159:H163)),AVERAGE('20250815_ETF_Options_Exhibits'!H159:H163),"")</f>
        <v/>
      </c>
      <c r="I163" s="3">
        <f>IF(ISNUMBER(AVERAGE('20250815_ETF_Options_Exhibits'!I159:I163)),AVERAGE('20250815_ETF_Options_Exhibits'!I159:I163),"")</f>
        <v/>
      </c>
      <c r="J163" s="3">
        <f>IF(ISNUMBER(AVERAGE('20250815_ETF_Options_Exhibits'!J159:J163)),AVERAGE('20250815_ETF_Options_Exhibits'!J159:J163),"")</f>
        <v/>
      </c>
      <c r="K163" s="3">
        <f>IF(ISNUMBER(AVERAGE('20250815_ETF_Options_Exhibits'!K159:K163)),AVERAGE('20250815_ETF_Options_Exhibits'!K159:K163),"")</f>
        <v/>
      </c>
      <c r="L163" s="3">
        <f>IF(ISNUMBER(AVERAGE('20250815_ETF_Options_Exhibits'!L159:L163)),AVERAGE('20250815_ETF_Options_Exhibits'!L159:L163),"")</f>
        <v/>
      </c>
      <c r="M163" s="3">
        <f>IF(ISNUMBER(AVERAGE('20250815_ETF_Options_Exhibits'!M159:M163)),AVERAGE('20250815_ETF_Options_Exhibits'!M159:M163),"")</f>
        <v/>
      </c>
      <c r="N163" s="3">
        <f>IF(ISNUMBER(AVERAGE('20250815_ETF_Options_Exhibits'!N159:N163)),AVERAGE('20250815_ETF_Options_Exhibits'!N159:N163),"")</f>
        <v/>
      </c>
      <c r="O163" s="3">
        <f>IF(ISNUMBER(AVERAGE('20250815_ETF_Options_Exhibits'!O159:O163)),AVERAGE('20250815_ETF_Options_Exhibits'!O159:O163),"")</f>
        <v/>
      </c>
      <c r="P163" s="3">
        <f>IF(ISNUMBER(AVERAGE('20250815_ETF_Options_Exhibits'!P159:P163)),AVERAGE('20250815_ETF_Options_Exhibits'!P159:P163),"")</f>
        <v/>
      </c>
      <c r="Q163" s="3">
        <f>IF(ISNUMBER(AVERAGE('20250815_ETF_Options_Exhibits'!Q159:Q163)),AVERAGE('20250815_ETF_Options_Exhibits'!Q159:Q163),"")</f>
        <v/>
      </c>
      <c r="R163" s="3">
        <f>IF(ISNUMBER(AVERAGE('20250815_ETF_Options_Exhibits'!R159:R163)),AVERAGE('20250815_ETF_Options_Exhibits'!R159:R163),"")</f>
        <v/>
      </c>
      <c r="S163" s="3">
        <f>IF(ISNUMBER(AVERAGE('20250815_ETF_Options_Exhibits'!S159:S163)),AVERAGE('20250815_ETF_Options_Exhibits'!S159:S163),"")</f>
        <v/>
      </c>
      <c r="T163" s="3">
        <f>IF(ISNUMBER(AVERAGE('20250815_ETF_Options_Exhibits'!T159:T163)),AVERAGE('20250815_ETF_Options_Exhibits'!T159:T163),"")</f>
        <v/>
      </c>
      <c r="U163" s="3">
        <f>IF(ISNUMBER(AVERAGE('20250815_ETF_Options_Exhibits'!U159:U163)),AVERAGE('20250815_ETF_Options_Exhibits'!U159:U163),"")</f>
        <v/>
      </c>
      <c r="V163" s="3">
        <f>IF(ISNUMBER(AVERAGE('20250815_ETF_Options_Exhibits'!V159:V163)),AVERAGE('20250815_ETF_Options_Exhibits'!V159:V163),"")</f>
        <v/>
      </c>
      <c r="W163" s="3">
        <f>IF(ISNUMBER(AVERAGE('20250815_ETF_Options_Exhibits'!W159:W163)),AVERAGE('20250815_ETF_Options_Exhibits'!W159:W163),"")</f>
        <v/>
      </c>
      <c r="X163" s="3">
        <f>IF(ISNUMBER(AVERAGE('20250815_ETF_Options_Exhibits'!X159:X163)),AVERAGE('20250815_ETF_Options_Exhibits'!X159:X163),"")</f>
        <v/>
      </c>
      <c r="Y163" s="3">
        <f>IF(ISNUMBER(AVERAGE('20250815_ETF_Options_Exhibits'!Y159:Y163)),AVERAGE('20250815_ETF_Options_Exhibits'!Y159:Y163),"")</f>
        <v/>
      </c>
      <c r="Z163" s="3">
        <f>IF(ISNUMBER(AVERAGE('20250815_ETF_Options_Exhibits'!Z159:Z163)),AVERAGE('20250815_ETF_Options_Exhibits'!Z159:Z163),"")</f>
        <v/>
      </c>
      <c r="AA163" s="3">
        <f>IF(ISNUMBER(AVERAGE('20250815_ETF_Options_Exhibits'!AA159:AA163)),AVERAGE('20250815_ETF_Options_Exhibits'!AA159:AA163),"")</f>
        <v/>
      </c>
    </row>
    <row r="164">
      <c r="A164" s="1" t="n">
        <v>42240</v>
      </c>
      <c r="B164" s="3">
        <f>IF(ISNUMBER(AVERAGE('20250815_ETF_Options_Exhibits'!B160:B164)),AVERAGE('20250815_ETF_Options_Exhibits'!B160:B164),"")</f>
        <v/>
      </c>
      <c r="C164" s="3">
        <f>IF(ISNUMBER(AVERAGE('20250815_ETF_Options_Exhibits'!C160:C164)),AVERAGE('20250815_ETF_Options_Exhibits'!C160:C164),"")</f>
        <v/>
      </c>
      <c r="D164" s="3">
        <f>IF(ISNUMBER(AVERAGE('20250815_ETF_Options_Exhibits'!D160:D164)),AVERAGE('20250815_ETF_Options_Exhibits'!D160:D164),"")</f>
        <v/>
      </c>
      <c r="E164" s="3">
        <f>IF(ISNUMBER(AVERAGE('20250815_ETF_Options_Exhibits'!E160:E164)),AVERAGE('20250815_ETF_Options_Exhibits'!E160:E164),"")</f>
        <v/>
      </c>
      <c r="F164" s="3">
        <f>IF(ISNUMBER(AVERAGE('20250815_ETF_Options_Exhibits'!F160:F164)),AVERAGE('20250815_ETF_Options_Exhibits'!F160:F164),"")</f>
        <v/>
      </c>
      <c r="G164" s="3">
        <f>IF(ISNUMBER(AVERAGE('20250815_ETF_Options_Exhibits'!G160:G164)),AVERAGE('20250815_ETF_Options_Exhibits'!G160:G164),"")</f>
        <v/>
      </c>
      <c r="H164" s="3">
        <f>IF(ISNUMBER(AVERAGE('20250815_ETF_Options_Exhibits'!H160:H164)),AVERAGE('20250815_ETF_Options_Exhibits'!H160:H164),"")</f>
        <v/>
      </c>
      <c r="I164" s="3">
        <f>IF(ISNUMBER(AVERAGE('20250815_ETF_Options_Exhibits'!I160:I164)),AVERAGE('20250815_ETF_Options_Exhibits'!I160:I164),"")</f>
        <v/>
      </c>
      <c r="J164" s="3">
        <f>IF(ISNUMBER(AVERAGE('20250815_ETF_Options_Exhibits'!J160:J164)),AVERAGE('20250815_ETF_Options_Exhibits'!J160:J164),"")</f>
        <v/>
      </c>
      <c r="K164" s="3">
        <f>IF(ISNUMBER(AVERAGE('20250815_ETF_Options_Exhibits'!K160:K164)),AVERAGE('20250815_ETF_Options_Exhibits'!K160:K164),"")</f>
        <v/>
      </c>
      <c r="L164" s="3">
        <f>IF(ISNUMBER(AVERAGE('20250815_ETF_Options_Exhibits'!L160:L164)),AVERAGE('20250815_ETF_Options_Exhibits'!L160:L164),"")</f>
        <v/>
      </c>
      <c r="M164" s="3">
        <f>IF(ISNUMBER(AVERAGE('20250815_ETF_Options_Exhibits'!M160:M164)),AVERAGE('20250815_ETF_Options_Exhibits'!M160:M164),"")</f>
        <v/>
      </c>
      <c r="N164" s="3">
        <f>IF(ISNUMBER(AVERAGE('20250815_ETF_Options_Exhibits'!N160:N164)),AVERAGE('20250815_ETF_Options_Exhibits'!N160:N164),"")</f>
        <v/>
      </c>
      <c r="O164" s="3">
        <f>IF(ISNUMBER(AVERAGE('20250815_ETF_Options_Exhibits'!O160:O164)),AVERAGE('20250815_ETF_Options_Exhibits'!O160:O164),"")</f>
        <v/>
      </c>
      <c r="P164" s="3">
        <f>IF(ISNUMBER(AVERAGE('20250815_ETF_Options_Exhibits'!P160:P164)),AVERAGE('20250815_ETF_Options_Exhibits'!P160:P164),"")</f>
        <v/>
      </c>
      <c r="Q164" s="3">
        <f>IF(ISNUMBER(AVERAGE('20250815_ETF_Options_Exhibits'!Q160:Q164)),AVERAGE('20250815_ETF_Options_Exhibits'!Q160:Q164),"")</f>
        <v/>
      </c>
      <c r="R164" s="3">
        <f>IF(ISNUMBER(AVERAGE('20250815_ETF_Options_Exhibits'!R160:R164)),AVERAGE('20250815_ETF_Options_Exhibits'!R160:R164),"")</f>
        <v/>
      </c>
      <c r="S164" s="3">
        <f>IF(ISNUMBER(AVERAGE('20250815_ETF_Options_Exhibits'!S160:S164)),AVERAGE('20250815_ETF_Options_Exhibits'!S160:S164),"")</f>
        <v/>
      </c>
      <c r="T164" s="3">
        <f>IF(ISNUMBER(AVERAGE('20250815_ETF_Options_Exhibits'!T160:T164)),AVERAGE('20250815_ETF_Options_Exhibits'!T160:T164),"")</f>
        <v/>
      </c>
      <c r="U164" s="3">
        <f>IF(ISNUMBER(AVERAGE('20250815_ETF_Options_Exhibits'!U160:U164)),AVERAGE('20250815_ETF_Options_Exhibits'!U160:U164),"")</f>
        <v/>
      </c>
      <c r="V164" s="3">
        <f>IF(ISNUMBER(AVERAGE('20250815_ETF_Options_Exhibits'!V160:V164)),AVERAGE('20250815_ETF_Options_Exhibits'!V160:V164),"")</f>
        <v/>
      </c>
      <c r="W164" s="3">
        <f>IF(ISNUMBER(AVERAGE('20250815_ETF_Options_Exhibits'!W160:W164)),AVERAGE('20250815_ETF_Options_Exhibits'!W160:W164),"")</f>
        <v/>
      </c>
      <c r="X164" s="3">
        <f>IF(ISNUMBER(AVERAGE('20250815_ETF_Options_Exhibits'!X160:X164)),AVERAGE('20250815_ETF_Options_Exhibits'!X160:X164),"")</f>
        <v/>
      </c>
      <c r="Y164" s="3">
        <f>IF(ISNUMBER(AVERAGE('20250815_ETF_Options_Exhibits'!Y160:Y164)),AVERAGE('20250815_ETF_Options_Exhibits'!Y160:Y164),"")</f>
        <v/>
      </c>
      <c r="Z164" s="3">
        <f>IF(ISNUMBER(AVERAGE('20250815_ETF_Options_Exhibits'!Z160:Z164)),AVERAGE('20250815_ETF_Options_Exhibits'!Z160:Z164),"")</f>
        <v/>
      </c>
      <c r="AA164" s="3">
        <f>IF(ISNUMBER(AVERAGE('20250815_ETF_Options_Exhibits'!AA160:AA164)),AVERAGE('20250815_ETF_Options_Exhibits'!AA160:AA164),"")</f>
        <v/>
      </c>
    </row>
    <row r="165">
      <c r="A165" s="1" t="n">
        <v>42241</v>
      </c>
      <c r="B165" s="3">
        <f>IF(ISNUMBER(AVERAGE('20250815_ETF_Options_Exhibits'!B161:B165)),AVERAGE('20250815_ETF_Options_Exhibits'!B161:B165),"")</f>
        <v/>
      </c>
      <c r="C165" s="3">
        <f>IF(ISNUMBER(AVERAGE('20250815_ETF_Options_Exhibits'!C161:C165)),AVERAGE('20250815_ETF_Options_Exhibits'!C161:C165),"")</f>
        <v/>
      </c>
      <c r="D165" s="3">
        <f>IF(ISNUMBER(AVERAGE('20250815_ETF_Options_Exhibits'!D161:D165)),AVERAGE('20250815_ETF_Options_Exhibits'!D161:D165),"")</f>
        <v/>
      </c>
      <c r="E165" s="3">
        <f>IF(ISNUMBER(AVERAGE('20250815_ETF_Options_Exhibits'!E161:E165)),AVERAGE('20250815_ETF_Options_Exhibits'!E161:E165),"")</f>
        <v/>
      </c>
      <c r="F165" s="3">
        <f>IF(ISNUMBER(AVERAGE('20250815_ETF_Options_Exhibits'!F161:F165)),AVERAGE('20250815_ETF_Options_Exhibits'!F161:F165),"")</f>
        <v/>
      </c>
      <c r="G165" s="3">
        <f>IF(ISNUMBER(AVERAGE('20250815_ETF_Options_Exhibits'!G161:G165)),AVERAGE('20250815_ETF_Options_Exhibits'!G161:G165),"")</f>
        <v/>
      </c>
      <c r="H165" s="3">
        <f>IF(ISNUMBER(AVERAGE('20250815_ETF_Options_Exhibits'!H161:H165)),AVERAGE('20250815_ETF_Options_Exhibits'!H161:H165),"")</f>
        <v/>
      </c>
      <c r="I165" s="3">
        <f>IF(ISNUMBER(AVERAGE('20250815_ETF_Options_Exhibits'!I161:I165)),AVERAGE('20250815_ETF_Options_Exhibits'!I161:I165),"")</f>
        <v/>
      </c>
      <c r="J165" s="3">
        <f>IF(ISNUMBER(AVERAGE('20250815_ETF_Options_Exhibits'!J161:J165)),AVERAGE('20250815_ETF_Options_Exhibits'!J161:J165),"")</f>
        <v/>
      </c>
      <c r="K165" s="3">
        <f>IF(ISNUMBER(AVERAGE('20250815_ETF_Options_Exhibits'!K161:K165)),AVERAGE('20250815_ETF_Options_Exhibits'!K161:K165),"")</f>
        <v/>
      </c>
      <c r="L165" s="3">
        <f>IF(ISNUMBER(AVERAGE('20250815_ETF_Options_Exhibits'!L161:L165)),AVERAGE('20250815_ETF_Options_Exhibits'!L161:L165),"")</f>
        <v/>
      </c>
      <c r="M165" s="3">
        <f>IF(ISNUMBER(AVERAGE('20250815_ETF_Options_Exhibits'!M161:M165)),AVERAGE('20250815_ETF_Options_Exhibits'!M161:M165),"")</f>
        <v/>
      </c>
      <c r="N165" s="3">
        <f>IF(ISNUMBER(AVERAGE('20250815_ETF_Options_Exhibits'!N161:N165)),AVERAGE('20250815_ETF_Options_Exhibits'!N161:N165),"")</f>
        <v/>
      </c>
      <c r="O165" s="3">
        <f>IF(ISNUMBER(AVERAGE('20250815_ETF_Options_Exhibits'!O161:O165)),AVERAGE('20250815_ETF_Options_Exhibits'!O161:O165),"")</f>
        <v/>
      </c>
      <c r="P165" s="3">
        <f>IF(ISNUMBER(AVERAGE('20250815_ETF_Options_Exhibits'!P161:P165)),AVERAGE('20250815_ETF_Options_Exhibits'!P161:P165),"")</f>
        <v/>
      </c>
      <c r="Q165" s="3">
        <f>IF(ISNUMBER(AVERAGE('20250815_ETF_Options_Exhibits'!Q161:Q165)),AVERAGE('20250815_ETF_Options_Exhibits'!Q161:Q165),"")</f>
        <v/>
      </c>
      <c r="R165" s="3">
        <f>IF(ISNUMBER(AVERAGE('20250815_ETF_Options_Exhibits'!R161:R165)),AVERAGE('20250815_ETF_Options_Exhibits'!R161:R165),"")</f>
        <v/>
      </c>
      <c r="S165" s="3">
        <f>IF(ISNUMBER(AVERAGE('20250815_ETF_Options_Exhibits'!S161:S165)),AVERAGE('20250815_ETF_Options_Exhibits'!S161:S165),"")</f>
        <v/>
      </c>
      <c r="T165" s="3">
        <f>IF(ISNUMBER(AVERAGE('20250815_ETF_Options_Exhibits'!T161:T165)),AVERAGE('20250815_ETF_Options_Exhibits'!T161:T165),"")</f>
        <v/>
      </c>
      <c r="U165" s="3">
        <f>IF(ISNUMBER(AVERAGE('20250815_ETF_Options_Exhibits'!U161:U165)),AVERAGE('20250815_ETF_Options_Exhibits'!U161:U165),"")</f>
        <v/>
      </c>
      <c r="V165" s="3">
        <f>IF(ISNUMBER(AVERAGE('20250815_ETF_Options_Exhibits'!V161:V165)),AVERAGE('20250815_ETF_Options_Exhibits'!V161:V165),"")</f>
        <v/>
      </c>
      <c r="W165" s="3">
        <f>IF(ISNUMBER(AVERAGE('20250815_ETF_Options_Exhibits'!W161:W165)),AVERAGE('20250815_ETF_Options_Exhibits'!W161:W165),"")</f>
        <v/>
      </c>
      <c r="X165" s="3">
        <f>IF(ISNUMBER(AVERAGE('20250815_ETF_Options_Exhibits'!X161:X165)),AVERAGE('20250815_ETF_Options_Exhibits'!X161:X165),"")</f>
        <v/>
      </c>
      <c r="Y165" s="3">
        <f>IF(ISNUMBER(AVERAGE('20250815_ETF_Options_Exhibits'!Y161:Y165)),AVERAGE('20250815_ETF_Options_Exhibits'!Y161:Y165),"")</f>
        <v/>
      </c>
      <c r="Z165" s="3">
        <f>IF(ISNUMBER(AVERAGE('20250815_ETF_Options_Exhibits'!Z161:Z165)),AVERAGE('20250815_ETF_Options_Exhibits'!Z161:Z165),"")</f>
        <v/>
      </c>
      <c r="AA165" s="3">
        <f>IF(ISNUMBER(AVERAGE('20250815_ETF_Options_Exhibits'!AA161:AA165)),AVERAGE('20250815_ETF_Options_Exhibits'!AA161:AA165),"")</f>
        <v/>
      </c>
    </row>
    <row r="166">
      <c r="A166" s="1" t="n">
        <v>42242</v>
      </c>
      <c r="B166" s="3">
        <f>IF(ISNUMBER(AVERAGE('20250815_ETF_Options_Exhibits'!B162:B166)),AVERAGE('20250815_ETF_Options_Exhibits'!B162:B166),"")</f>
        <v/>
      </c>
      <c r="C166" s="3">
        <f>IF(ISNUMBER(AVERAGE('20250815_ETF_Options_Exhibits'!C162:C166)),AVERAGE('20250815_ETF_Options_Exhibits'!C162:C166),"")</f>
        <v/>
      </c>
      <c r="D166" s="3">
        <f>IF(ISNUMBER(AVERAGE('20250815_ETF_Options_Exhibits'!D162:D166)),AVERAGE('20250815_ETF_Options_Exhibits'!D162:D166),"")</f>
        <v/>
      </c>
      <c r="E166" s="3">
        <f>IF(ISNUMBER(AVERAGE('20250815_ETF_Options_Exhibits'!E162:E166)),AVERAGE('20250815_ETF_Options_Exhibits'!E162:E166),"")</f>
        <v/>
      </c>
      <c r="F166" s="3">
        <f>IF(ISNUMBER(AVERAGE('20250815_ETF_Options_Exhibits'!F162:F166)),AVERAGE('20250815_ETF_Options_Exhibits'!F162:F166),"")</f>
        <v/>
      </c>
      <c r="G166" s="3">
        <f>IF(ISNUMBER(AVERAGE('20250815_ETF_Options_Exhibits'!G162:G166)),AVERAGE('20250815_ETF_Options_Exhibits'!G162:G166),"")</f>
        <v/>
      </c>
      <c r="H166" s="3">
        <f>IF(ISNUMBER(AVERAGE('20250815_ETF_Options_Exhibits'!H162:H166)),AVERAGE('20250815_ETF_Options_Exhibits'!H162:H166),"")</f>
        <v/>
      </c>
      <c r="I166" s="3">
        <f>IF(ISNUMBER(AVERAGE('20250815_ETF_Options_Exhibits'!I162:I166)),AVERAGE('20250815_ETF_Options_Exhibits'!I162:I166),"")</f>
        <v/>
      </c>
      <c r="J166" s="3">
        <f>IF(ISNUMBER(AVERAGE('20250815_ETF_Options_Exhibits'!J162:J166)),AVERAGE('20250815_ETF_Options_Exhibits'!J162:J166),"")</f>
        <v/>
      </c>
      <c r="K166" s="3">
        <f>IF(ISNUMBER(AVERAGE('20250815_ETF_Options_Exhibits'!K162:K166)),AVERAGE('20250815_ETF_Options_Exhibits'!K162:K166),"")</f>
        <v/>
      </c>
      <c r="L166" s="3">
        <f>IF(ISNUMBER(AVERAGE('20250815_ETF_Options_Exhibits'!L162:L166)),AVERAGE('20250815_ETF_Options_Exhibits'!L162:L166),"")</f>
        <v/>
      </c>
      <c r="M166" s="3">
        <f>IF(ISNUMBER(AVERAGE('20250815_ETF_Options_Exhibits'!M162:M166)),AVERAGE('20250815_ETF_Options_Exhibits'!M162:M166),"")</f>
        <v/>
      </c>
      <c r="N166" s="3">
        <f>IF(ISNUMBER(AVERAGE('20250815_ETF_Options_Exhibits'!N162:N166)),AVERAGE('20250815_ETF_Options_Exhibits'!N162:N166),"")</f>
        <v/>
      </c>
      <c r="O166" s="3">
        <f>IF(ISNUMBER(AVERAGE('20250815_ETF_Options_Exhibits'!O162:O166)),AVERAGE('20250815_ETF_Options_Exhibits'!O162:O166),"")</f>
        <v/>
      </c>
      <c r="P166" s="3">
        <f>IF(ISNUMBER(AVERAGE('20250815_ETF_Options_Exhibits'!P162:P166)),AVERAGE('20250815_ETF_Options_Exhibits'!P162:P166),"")</f>
        <v/>
      </c>
      <c r="Q166" s="3">
        <f>IF(ISNUMBER(AVERAGE('20250815_ETF_Options_Exhibits'!Q162:Q166)),AVERAGE('20250815_ETF_Options_Exhibits'!Q162:Q166),"")</f>
        <v/>
      </c>
      <c r="R166" s="3">
        <f>IF(ISNUMBER(AVERAGE('20250815_ETF_Options_Exhibits'!R162:R166)),AVERAGE('20250815_ETF_Options_Exhibits'!R162:R166),"")</f>
        <v/>
      </c>
      <c r="S166" s="3">
        <f>IF(ISNUMBER(AVERAGE('20250815_ETF_Options_Exhibits'!S162:S166)),AVERAGE('20250815_ETF_Options_Exhibits'!S162:S166),"")</f>
        <v/>
      </c>
      <c r="T166" s="3">
        <f>IF(ISNUMBER(AVERAGE('20250815_ETF_Options_Exhibits'!T162:T166)),AVERAGE('20250815_ETF_Options_Exhibits'!T162:T166),"")</f>
        <v/>
      </c>
      <c r="U166" s="3">
        <f>IF(ISNUMBER(AVERAGE('20250815_ETF_Options_Exhibits'!U162:U166)),AVERAGE('20250815_ETF_Options_Exhibits'!U162:U166),"")</f>
        <v/>
      </c>
      <c r="V166" s="3">
        <f>IF(ISNUMBER(AVERAGE('20250815_ETF_Options_Exhibits'!V162:V166)),AVERAGE('20250815_ETF_Options_Exhibits'!V162:V166),"")</f>
        <v/>
      </c>
      <c r="W166" s="3">
        <f>IF(ISNUMBER(AVERAGE('20250815_ETF_Options_Exhibits'!W162:W166)),AVERAGE('20250815_ETF_Options_Exhibits'!W162:W166),"")</f>
        <v/>
      </c>
      <c r="X166" s="3">
        <f>IF(ISNUMBER(AVERAGE('20250815_ETF_Options_Exhibits'!X162:X166)),AVERAGE('20250815_ETF_Options_Exhibits'!X162:X166),"")</f>
        <v/>
      </c>
      <c r="Y166" s="3">
        <f>IF(ISNUMBER(AVERAGE('20250815_ETF_Options_Exhibits'!Y162:Y166)),AVERAGE('20250815_ETF_Options_Exhibits'!Y162:Y166),"")</f>
        <v/>
      </c>
      <c r="Z166" s="3">
        <f>IF(ISNUMBER(AVERAGE('20250815_ETF_Options_Exhibits'!Z162:Z166)),AVERAGE('20250815_ETF_Options_Exhibits'!Z162:Z166),"")</f>
        <v/>
      </c>
      <c r="AA166" s="3">
        <f>IF(ISNUMBER(AVERAGE('20250815_ETF_Options_Exhibits'!AA162:AA166)),AVERAGE('20250815_ETF_Options_Exhibits'!AA162:AA166),"")</f>
        <v/>
      </c>
    </row>
    <row r="167">
      <c r="A167" s="1" t="n">
        <v>42243</v>
      </c>
      <c r="B167" s="3">
        <f>IF(ISNUMBER(AVERAGE('20250815_ETF_Options_Exhibits'!B163:B167)),AVERAGE('20250815_ETF_Options_Exhibits'!B163:B167),"")</f>
        <v/>
      </c>
      <c r="C167" s="3">
        <f>IF(ISNUMBER(AVERAGE('20250815_ETF_Options_Exhibits'!C163:C167)),AVERAGE('20250815_ETF_Options_Exhibits'!C163:C167),"")</f>
        <v/>
      </c>
      <c r="D167" s="3">
        <f>IF(ISNUMBER(AVERAGE('20250815_ETF_Options_Exhibits'!D163:D167)),AVERAGE('20250815_ETF_Options_Exhibits'!D163:D167),"")</f>
        <v/>
      </c>
      <c r="E167" s="3">
        <f>IF(ISNUMBER(AVERAGE('20250815_ETF_Options_Exhibits'!E163:E167)),AVERAGE('20250815_ETF_Options_Exhibits'!E163:E167),"")</f>
        <v/>
      </c>
      <c r="F167" s="3">
        <f>IF(ISNUMBER(AVERAGE('20250815_ETF_Options_Exhibits'!F163:F167)),AVERAGE('20250815_ETF_Options_Exhibits'!F163:F167),"")</f>
        <v/>
      </c>
      <c r="G167" s="3">
        <f>IF(ISNUMBER(AVERAGE('20250815_ETF_Options_Exhibits'!G163:G167)),AVERAGE('20250815_ETF_Options_Exhibits'!G163:G167),"")</f>
        <v/>
      </c>
      <c r="H167" s="3">
        <f>IF(ISNUMBER(AVERAGE('20250815_ETF_Options_Exhibits'!H163:H167)),AVERAGE('20250815_ETF_Options_Exhibits'!H163:H167),"")</f>
        <v/>
      </c>
      <c r="I167" s="3">
        <f>IF(ISNUMBER(AVERAGE('20250815_ETF_Options_Exhibits'!I163:I167)),AVERAGE('20250815_ETF_Options_Exhibits'!I163:I167),"")</f>
        <v/>
      </c>
      <c r="J167" s="3">
        <f>IF(ISNUMBER(AVERAGE('20250815_ETF_Options_Exhibits'!J163:J167)),AVERAGE('20250815_ETF_Options_Exhibits'!J163:J167),"")</f>
        <v/>
      </c>
      <c r="K167" s="3">
        <f>IF(ISNUMBER(AVERAGE('20250815_ETF_Options_Exhibits'!K163:K167)),AVERAGE('20250815_ETF_Options_Exhibits'!K163:K167),"")</f>
        <v/>
      </c>
      <c r="L167" s="3">
        <f>IF(ISNUMBER(AVERAGE('20250815_ETF_Options_Exhibits'!L163:L167)),AVERAGE('20250815_ETF_Options_Exhibits'!L163:L167),"")</f>
        <v/>
      </c>
      <c r="M167" s="3">
        <f>IF(ISNUMBER(AVERAGE('20250815_ETF_Options_Exhibits'!M163:M167)),AVERAGE('20250815_ETF_Options_Exhibits'!M163:M167),"")</f>
        <v/>
      </c>
      <c r="N167" s="3">
        <f>IF(ISNUMBER(AVERAGE('20250815_ETF_Options_Exhibits'!N163:N167)),AVERAGE('20250815_ETF_Options_Exhibits'!N163:N167),"")</f>
        <v/>
      </c>
      <c r="O167" s="3">
        <f>IF(ISNUMBER(AVERAGE('20250815_ETF_Options_Exhibits'!O163:O167)),AVERAGE('20250815_ETF_Options_Exhibits'!O163:O167),"")</f>
        <v/>
      </c>
      <c r="P167" s="3">
        <f>IF(ISNUMBER(AVERAGE('20250815_ETF_Options_Exhibits'!P163:P167)),AVERAGE('20250815_ETF_Options_Exhibits'!P163:P167),"")</f>
        <v/>
      </c>
      <c r="Q167" s="3">
        <f>IF(ISNUMBER(AVERAGE('20250815_ETF_Options_Exhibits'!Q163:Q167)),AVERAGE('20250815_ETF_Options_Exhibits'!Q163:Q167),"")</f>
        <v/>
      </c>
      <c r="R167" s="3">
        <f>IF(ISNUMBER(AVERAGE('20250815_ETF_Options_Exhibits'!R163:R167)),AVERAGE('20250815_ETF_Options_Exhibits'!R163:R167),"")</f>
        <v/>
      </c>
      <c r="S167" s="3">
        <f>IF(ISNUMBER(AVERAGE('20250815_ETF_Options_Exhibits'!S163:S167)),AVERAGE('20250815_ETF_Options_Exhibits'!S163:S167),"")</f>
        <v/>
      </c>
      <c r="T167" s="3">
        <f>IF(ISNUMBER(AVERAGE('20250815_ETF_Options_Exhibits'!T163:T167)),AVERAGE('20250815_ETF_Options_Exhibits'!T163:T167),"")</f>
        <v/>
      </c>
      <c r="U167" s="3">
        <f>IF(ISNUMBER(AVERAGE('20250815_ETF_Options_Exhibits'!U163:U167)),AVERAGE('20250815_ETF_Options_Exhibits'!U163:U167),"")</f>
        <v/>
      </c>
      <c r="V167" s="3">
        <f>IF(ISNUMBER(AVERAGE('20250815_ETF_Options_Exhibits'!V163:V167)),AVERAGE('20250815_ETF_Options_Exhibits'!V163:V167),"")</f>
        <v/>
      </c>
      <c r="W167" s="3">
        <f>IF(ISNUMBER(AVERAGE('20250815_ETF_Options_Exhibits'!W163:W167)),AVERAGE('20250815_ETF_Options_Exhibits'!W163:W167),"")</f>
        <v/>
      </c>
      <c r="X167" s="3">
        <f>IF(ISNUMBER(AVERAGE('20250815_ETF_Options_Exhibits'!X163:X167)),AVERAGE('20250815_ETF_Options_Exhibits'!X163:X167),"")</f>
        <v/>
      </c>
      <c r="Y167" s="3">
        <f>IF(ISNUMBER(AVERAGE('20250815_ETF_Options_Exhibits'!Y163:Y167)),AVERAGE('20250815_ETF_Options_Exhibits'!Y163:Y167),"")</f>
        <v/>
      </c>
      <c r="Z167" s="3">
        <f>IF(ISNUMBER(AVERAGE('20250815_ETF_Options_Exhibits'!Z163:Z167)),AVERAGE('20250815_ETF_Options_Exhibits'!Z163:Z167),"")</f>
        <v/>
      </c>
      <c r="AA167" s="3">
        <f>IF(ISNUMBER(AVERAGE('20250815_ETF_Options_Exhibits'!AA163:AA167)),AVERAGE('20250815_ETF_Options_Exhibits'!AA163:AA167),"")</f>
        <v/>
      </c>
    </row>
    <row r="168">
      <c r="A168" s="1" t="n">
        <v>42244</v>
      </c>
      <c r="B168" s="3">
        <f>IF(ISNUMBER(AVERAGE('20250815_ETF_Options_Exhibits'!B164:B168)),AVERAGE('20250815_ETF_Options_Exhibits'!B164:B168),"")</f>
        <v/>
      </c>
      <c r="C168" s="3">
        <f>IF(ISNUMBER(AVERAGE('20250815_ETF_Options_Exhibits'!C164:C168)),AVERAGE('20250815_ETF_Options_Exhibits'!C164:C168),"")</f>
        <v/>
      </c>
      <c r="D168" s="3">
        <f>IF(ISNUMBER(AVERAGE('20250815_ETF_Options_Exhibits'!D164:D168)),AVERAGE('20250815_ETF_Options_Exhibits'!D164:D168),"")</f>
        <v/>
      </c>
      <c r="E168" s="3">
        <f>IF(ISNUMBER(AVERAGE('20250815_ETF_Options_Exhibits'!E164:E168)),AVERAGE('20250815_ETF_Options_Exhibits'!E164:E168),"")</f>
        <v/>
      </c>
      <c r="F168" s="3">
        <f>IF(ISNUMBER(AVERAGE('20250815_ETF_Options_Exhibits'!F164:F168)),AVERAGE('20250815_ETF_Options_Exhibits'!F164:F168),"")</f>
        <v/>
      </c>
      <c r="G168" s="3">
        <f>IF(ISNUMBER(AVERAGE('20250815_ETF_Options_Exhibits'!G164:G168)),AVERAGE('20250815_ETF_Options_Exhibits'!G164:G168),"")</f>
        <v/>
      </c>
      <c r="H168" s="3">
        <f>IF(ISNUMBER(AVERAGE('20250815_ETF_Options_Exhibits'!H164:H168)),AVERAGE('20250815_ETF_Options_Exhibits'!H164:H168),"")</f>
        <v/>
      </c>
      <c r="I168" s="3">
        <f>IF(ISNUMBER(AVERAGE('20250815_ETF_Options_Exhibits'!I164:I168)),AVERAGE('20250815_ETF_Options_Exhibits'!I164:I168),"")</f>
        <v/>
      </c>
      <c r="J168" s="3">
        <f>IF(ISNUMBER(AVERAGE('20250815_ETF_Options_Exhibits'!J164:J168)),AVERAGE('20250815_ETF_Options_Exhibits'!J164:J168),"")</f>
        <v/>
      </c>
      <c r="K168" s="3">
        <f>IF(ISNUMBER(AVERAGE('20250815_ETF_Options_Exhibits'!K164:K168)),AVERAGE('20250815_ETF_Options_Exhibits'!K164:K168),"")</f>
        <v/>
      </c>
      <c r="L168" s="3">
        <f>IF(ISNUMBER(AVERAGE('20250815_ETF_Options_Exhibits'!L164:L168)),AVERAGE('20250815_ETF_Options_Exhibits'!L164:L168),"")</f>
        <v/>
      </c>
      <c r="M168" s="3">
        <f>IF(ISNUMBER(AVERAGE('20250815_ETF_Options_Exhibits'!M164:M168)),AVERAGE('20250815_ETF_Options_Exhibits'!M164:M168),"")</f>
        <v/>
      </c>
      <c r="N168" s="3">
        <f>IF(ISNUMBER(AVERAGE('20250815_ETF_Options_Exhibits'!N164:N168)),AVERAGE('20250815_ETF_Options_Exhibits'!N164:N168),"")</f>
        <v/>
      </c>
      <c r="O168" s="3">
        <f>IF(ISNUMBER(AVERAGE('20250815_ETF_Options_Exhibits'!O164:O168)),AVERAGE('20250815_ETF_Options_Exhibits'!O164:O168),"")</f>
        <v/>
      </c>
      <c r="P168" s="3">
        <f>IF(ISNUMBER(AVERAGE('20250815_ETF_Options_Exhibits'!P164:P168)),AVERAGE('20250815_ETF_Options_Exhibits'!P164:P168),"")</f>
        <v/>
      </c>
      <c r="Q168" s="3">
        <f>IF(ISNUMBER(AVERAGE('20250815_ETF_Options_Exhibits'!Q164:Q168)),AVERAGE('20250815_ETF_Options_Exhibits'!Q164:Q168),"")</f>
        <v/>
      </c>
      <c r="R168" s="3">
        <f>IF(ISNUMBER(AVERAGE('20250815_ETF_Options_Exhibits'!R164:R168)),AVERAGE('20250815_ETF_Options_Exhibits'!R164:R168),"")</f>
        <v/>
      </c>
      <c r="S168" s="3">
        <f>IF(ISNUMBER(AVERAGE('20250815_ETF_Options_Exhibits'!S164:S168)),AVERAGE('20250815_ETF_Options_Exhibits'!S164:S168),"")</f>
        <v/>
      </c>
      <c r="T168" s="3">
        <f>IF(ISNUMBER(AVERAGE('20250815_ETF_Options_Exhibits'!T164:T168)),AVERAGE('20250815_ETF_Options_Exhibits'!T164:T168),"")</f>
        <v/>
      </c>
      <c r="U168" s="3">
        <f>IF(ISNUMBER(AVERAGE('20250815_ETF_Options_Exhibits'!U164:U168)),AVERAGE('20250815_ETF_Options_Exhibits'!U164:U168),"")</f>
        <v/>
      </c>
      <c r="V168" s="3">
        <f>IF(ISNUMBER(AVERAGE('20250815_ETF_Options_Exhibits'!V164:V168)),AVERAGE('20250815_ETF_Options_Exhibits'!V164:V168),"")</f>
        <v/>
      </c>
      <c r="W168" s="3">
        <f>IF(ISNUMBER(AVERAGE('20250815_ETF_Options_Exhibits'!W164:W168)),AVERAGE('20250815_ETF_Options_Exhibits'!W164:W168),"")</f>
        <v/>
      </c>
      <c r="X168" s="3">
        <f>IF(ISNUMBER(AVERAGE('20250815_ETF_Options_Exhibits'!X164:X168)),AVERAGE('20250815_ETF_Options_Exhibits'!X164:X168),"")</f>
        <v/>
      </c>
      <c r="Y168" s="3">
        <f>IF(ISNUMBER(AVERAGE('20250815_ETF_Options_Exhibits'!Y164:Y168)),AVERAGE('20250815_ETF_Options_Exhibits'!Y164:Y168),"")</f>
        <v/>
      </c>
      <c r="Z168" s="3">
        <f>IF(ISNUMBER(AVERAGE('20250815_ETF_Options_Exhibits'!Z164:Z168)),AVERAGE('20250815_ETF_Options_Exhibits'!Z164:Z168),"")</f>
        <v/>
      </c>
      <c r="AA168" s="3">
        <f>IF(ISNUMBER(AVERAGE('20250815_ETF_Options_Exhibits'!AA164:AA168)),AVERAGE('20250815_ETF_Options_Exhibits'!AA164:AA168),"")</f>
        <v/>
      </c>
    </row>
    <row r="169">
      <c r="A169" s="1" t="n">
        <v>42247</v>
      </c>
      <c r="B169" s="3">
        <f>IF(ISNUMBER(AVERAGE('20250815_ETF_Options_Exhibits'!B165:B169)),AVERAGE('20250815_ETF_Options_Exhibits'!B165:B169),"")</f>
        <v/>
      </c>
      <c r="C169" s="3">
        <f>IF(ISNUMBER(AVERAGE('20250815_ETF_Options_Exhibits'!C165:C169)),AVERAGE('20250815_ETF_Options_Exhibits'!C165:C169),"")</f>
        <v/>
      </c>
      <c r="D169" s="3">
        <f>IF(ISNUMBER(AVERAGE('20250815_ETF_Options_Exhibits'!D165:D169)),AVERAGE('20250815_ETF_Options_Exhibits'!D165:D169),"")</f>
        <v/>
      </c>
      <c r="E169" s="3">
        <f>IF(ISNUMBER(AVERAGE('20250815_ETF_Options_Exhibits'!E165:E169)),AVERAGE('20250815_ETF_Options_Exhibits'!E165:E169),"")</f>
        <v/>
      </c>
      <c r="F169" s="3">
        <f>IF(ISNUMBER(AVERAGE('20250815_ETF_Options_Exhibits'!F165:F169)),AVERAGE('20250815_ETF_Options_Exhibits'!F165:F169),"")</f>
        <v/>
      </c>
      <c r="G169" s="3">
        <f>IF(ISNUMBER(AVERAGE('20250815_ETF_Options_Exhibits'!G165:G169)),AVERAGE('20250815_ETF_Options_Exhibits'!G165:G169),"")</f>
        <v/>
      </c>
      <c r="H169" s="3">
        <f>IF(ISNUMBER(AVERAGE('20250815_ETF_Options_Exhibits'!H165:H169)),AVERAGE('20250815_ETF_Options_Exhibits'!H165:H169),"")</f>
        <v/>
      </c>
      <c r="I169" s="3">
        <f>IF(ISNUMBER(AVERAGE('20250815_ETF_Options_Exhibits'!I165:I169)),AVERAGE('20250815_ETF_Options_Exhibits'!I165:I169),"")</f>
        <v/>
      </c>
      <c r="J169" s="3">
        <f>IF(ISNUMBER(AVERAGE('20250815_ETF_Options_Exhibits'!J165:J169)),AVERAGE('20250815_ETF_Options_Exhibits'!J165:J169),"")</f>
        <v/>
      </c>
      <c r="K169" s="3">
        <f>IF(ISNUMBER(AVERAGE('20250815_ETF_Options_Exhibits'!K165:K169)),AVERAGE('20250815_ETF_Options_Exhibits'!K165:K169),"")</f>
        <v/>
      </c>
      <c r="L169" s="3">
        <f>IF(ISNUMBER(AVERAGE('20250815_ETF_Options_Exhibits'!L165:L169)),AVERAGE('20250815_ETF_Options_Exhibits'!L165:L169),"")</f>
        <v/>
      </c>
      <c r="M169" s="3">
        <f>IF(ISNUMBER(AVERAGE('20250815_ETF_Options_Exhibits'!M165:M169)),AVERAGE('20250815_ETF_Options_Exhibits'!M165:M169),"")</f>
        <v/>
      </c>
      <c r="N169" s="3">
        <f>IF(ISNUMBER(AVERAGE('20250815_ETF_Options_Exhibits'!N165:N169)),AVERAGE('20250815_ETF_Options_Exhibits'!N165:N169),"")</f>
        <v/>
      </c>
      <c r="O169" s="3">
        <f>IF(ISNUMBER(AVERAGE('20250815_ETF_Options_Exhibits'!O165:O169)),AVERAGE('20250815_ETF_Options_Exhibits'!O165:O169),"")</f>
        <v/>
      </c>
      <c r="P169" s="3">
        <f>IF(ISNUMBER(AVERAGE('20250815_ETF_Options_Exhibits'!P165:P169)),AVERAGE('20250815_ETF_Options_Exhibits'!P165:P169),"")</f>
        <v/>
      </c>
      <c r="Q169" s="3">
        <f>IF(ISNUMBER(AVERAGE('20250815_ETF_Options_Exhibits'!Q165:Q169)),AVERAGE('20250815_ETF_Options_Exhibits'!Q165:Q169),"")</f>
        <v/>
      </c>
      <c r="R169" s="3">
        <f>IF(ISNUMBER(AVERAGE('20250815_ETF_Options_Exhibits'!R165:R169)),AVERAGE('20250815_ETF_Options_Exhibits'!R165:R169),"")</f>
        <v/>
      </c>
      <c r="S169" s="3">
        <f>IF(ISNUMBER(AVERAGE('20250815_ETF_Options_Exhibits'!S165:S169)),AVERAGE('20250815_ETF_Options_Exhibits'!S165:S169),"")</f>
        <v/>
      </c>
      <c r="T169" s="3">
        <f>IF(ISNUMBER(AVERAGE('20250815_ETF_Options_Exhibits'!T165:T169)),AVERAGE('20250815_ETF_Options_Exhibits'!T165:T169),"")</f>
        <v/>
      </c>
      <c r="U169" s="3">
        <f>IF(ISNUMBER(AVERAGE('20250815_ETF_Options_Exhibits'!U165:U169)),AVERAGE('20250815_ETF_Options_Exhibits'!U165:U169),"")</f>
        <v/>
      </c>
      <c r="V169" s="3">
        <f>IF(ISNUMBER(AVERAGE('20250815_ETF_Options_Exhibits'!V165:V169)),AVERAGE('20250815_ETF_Options_Exhibits'!V165:V169),"")</f>
        <v/>
      </c>
      <c r="W169" s="3">
        <f>IF(ISNUMBER(AVERAGE('20250815_ETF_Options_Exhibits'!W165:W169)),AVERAGE('20250815_ETF_Options_Exhibits'!W165:W169),"")</f>
        <v/>
      </c>
      <c r="X169" s="3">
        <f>IF(ISNUMBER(AVERAGE('20250815_ETF_Options_Exhibits'!X165:X169)),AVERAGE('20250815_ETF_Options_Exhibits'!X165:X169),"")</f>
        <v/>
      </c>
      <c r="Y169" s="3">
        <f>IF(ISNUMBER(AVERAGE('20250815_ETF_Options_Exhibits'!Y165:Y169)),AVERAGE('20250815_ETF_Options_Exhibits'!Y165:Y169),"")</f>
        <v/>
      </c>
      <c r="Z169" s="3">
        <f>IF(ISNUMBER(AVERAGE('20250815_ETF_Options_Exhibits'!Z165:Z169)),AVERAGE('20250815_ETF_Options_Exhibits'!Z165:Z169),"")</f>
        <v/>
      </c>
      <c r="AA169" s="3">
        <f>IF(ISNUMBER(AVERAGE('20250815_ETF_Options_Exhibits'!AA165:AA169)),AVERAGE('20250815_ETF_Options_Exhibits'!AA165:AA169),"")</f>
        <v/>
      </c>
    </row>
    <row r="170">
      <c r="A170" s="1" t="n">
        <v>42248</v>
      </c>
      <c r="B170" s="3">
        <f>IF(ISNUMBER(AVERAGE('20250815_ETF_Options_Exhibits'!B166:B170)),AVERAGE('20250815_ETF_Options_Exhibits'!B166:B170),"")</f>
        <v/>
      </c>
      <c r="C170" s="3">
        <f>IF(ISNUMBER(AVERAGE('20250815_ETF_Options_Exhibits'!C166:C170)),AVERAGE('20250815_ETF_Options_Exhibits'!C166:C170),"")</f>
        <v/>
      </c>
      <c r="D170" s="3">
        <f>IF(ISNUMBER(AVERAGE('20250815_ETF_Options_Exhibits'!D166:D170)),AVERAGE('20250815_ETF_Options_Exhibits'!D166:D170),"")</f>
        <v/>
      </c>
      <c r="E170" s="3">
        <f>IF(ISNUMBER(AVERAGE('20250815_ETF_Options_Exhibits'!E166:E170)),AVERAGE('20250815_ETF_Options_Exhibits'!E166:E170),"")</f>
        <v/>
      </c>
      <c r="F170" s="3">
        <f>IF(ISNUMBER(AVERAGE('20250815_ETF_Options_Exhibits'!F166:F170)),AVERAGE('20250815_ETF_Options_Exhibits'!F166:F170),"")</f>
        <v/>
      </c>
      <c r="G170" s="3">
        <f>IF(ISNUMBER(AVERAGE('20250815_ETF_Options_Exhibits'!G166:G170)),AVERAGE('20250815_ETF_Options_Exhibits'!G166:G170),"")</f>
        <v/>
      </c>
      <c r="H170" s="3">
        <f>IF(ISNUMBER(AVERAGE('20250815_ETF_Options_Exhibits'!H166:H170)),AVERAGE('20250815_ETF_Options_Exhibits'!H166:H170),"")</f>
        <v/>
      </c>
      <c r="I170" s="3">
        <f>IF(ISNUMBER(AVERAGE('20250815_ETF_Options_Exhibits'!I166:I170)),AVERAGE('20250815_ETF_Options_Exhibits'!I166:I170),"")</f>
        <v/>
      </c>
      <c r="J170" s="3">
        <f>IF(ISNUMBER(AVERAGE('20250815_ETF_Options_Exhibits'!J166:J170)),AVERAGE('20250815_ETF_Options_Exhibits'!J166:J170),"")</f>
        <v/>
      </c>
      <c r="K170" s="3">
        <f>IF(ISNUMBER(AVERAGE('20250815_ETF_Options_Exhibits'!K166:K170)),AVERAGE('20250815_ETF_Options_Exhibits'!K166:K170),"")</f>
        <v/>
      </c>
      <c r="L170" s="3">
        <f>IF(ISNUMBER(AVERAGE('20250815_ETF_Options_Exhibits'!L166:L170)),AVERAGE('20250815_ETF_Options_Exhibits'!L166:L170),"")</f>
        <v/>
      </c>
      <c r="M170" s="3">
        <f>IF(ISNUMBER(AVERAGE('20250815_ETF_Options_Exhibits'!M166:M170)),AVERAGE('20250815_ETF_Options_Exhibits'!M166:M170),"")</f>
        <v/>
      </c>
      <c r="N170" s="3">
        <f>IF(ISNUMBER(AVERAGE('20250815_ETF_Options_Exhibits'!N166:N170)),AVERAGE('20250815_ETF_Options_Exhibits'!N166:N170),"")</f>
        <v/>
      </c>
      <c r="O170" s="3">
        <f>IF(ISNUMBER(AVERAGE('20250815_ETF_Options_Exhibits'!O166:O170)),AVERAGE('20250815_ETF_Options_Exhibits'!O166:O170),"")</f>
        <v/>
      </c>
      <c r="P170" s="3">
        <f>IF(ISNUMBER(AVERAGE('20250815_ETF_Options_Exhibits'!P166:P170)),AVERAGE('20250815_ETF_Options_Exhibits'!P166:P170),"")</f>
        <v/>
      </c>
      <c r="Q170" s="3">
        <f>IF(ISNUMBER(AVERAGE('20250815_ETF_Options_Exhibits'!Q166:Q170)),AVERAGE('20250815_ETF_Options_Exhibits'!Q166:Q170),"")</f>
        <v/>
      </c>
      <c r="R170" s="3">
        <f>IF(ISNUMBER(AVERAGE('20250815_ETF_Options_Exhibits'!R166:R170)),AVERAGE('20250815_ETF_Options_Exhibits'!R166:R170),"")</f>
        <v/>
      </c>
      <c r="S170" s="3">
        <f>IF(ISNUMBER(AVERAGE('20250815_ETF_Options_Exhibits'!S166:S170)),AVERAGE('20250815_ETF_Options_Exhibits'!S166:S170),"")</f>
        <v/>
      </c>
      <c r="T170" s="3">
        <f>IF(ISNUMBER(AVERAGE('20250815_ETF_Options_Exhibits'!T166:T170)),AVERAGE('20250815_ETF_Options_Exhibits'!T166:T170),"")</f>
        <v/>
      </c>
      <c r="U170" s="3">
        <f>IF(ISNUMBER(AVERAGE('20250815_ETF_Options_Exhibits'!U166:U170)),AVERAGE('20250815_ETF_Options_Exhibits'!U166:U170),"")</f>
        <v/>
      </c>
      <c r="V170" s="3">
        <f>IF(ISNUMBER(AVERAGE('20250815_ETF_Options_Exhibits'!V166:V170)),AVERAGE('20250815_ETF_Options_Exhibits'!V166:V170),"")</f>
        <v/>
      </c>
      <c r="W170" s="3">
        <f>IF(ISNUMBER(AVERAGE('20250815_ETF_Options_Exhibits'!W166:W170)),AVERAGE('20250815_ETF_Options_Exhibits'!W166:W170),"")</f>
        <v/>
      </c>
      <c r="X170" s="3">
        <f>IF(ISNUMBER(AVERAGE('20250815_ETF_Options_Exhibits'!X166:X170)),AVERAGE('20250815_ETF_Options_Exhibits'!X166:X170),"")</f>
        <v/>
      </c>
      <c r="Y170" s="3">
        <f>IF(ISNUMBER(AVERAGE('20250815_ETF_Options_Exhibits'!Y166:Y170)),AVERAGE('20250815_ETF_Options_Exhibits'!Y166:Y170),"")</f>
        <v/>
      </c>
      <c r="Z170" s="3">
        <f>IF(ISNUMBER(AVERAGE('20250815_ETF_Options_Exhibits'!Z166:Z170)),AVERAGE('20250815_ETF_Options_Exhibits'!Z166:Z170),"")</f>
        <v/>
      </c>
      <c r="AA170" s="3">
        <f>IF(ISNUMBER(AVERAGE('20250815_ETF_Options_Exhibits'!AA166:AA170)),AVERAGE('20250815_ETF_Options_Exhibits'!AA166:AA170),"")</f>
        <v/>
      </c>
    </row>
    <row r="171">
      <c r="A171" s="1" t="n">
        <v>42249</v>
      </c>
      <c r="B171" s="3">
        <f>IF(ISNUMBER(AVERAGE('20250815_ETF_Options_Exhibits'!B167:B171)),AVERAGE('20250815_ETF_Options_Exhibits'!B167:B171),"")</f>
        <v/>
      </c>
      <c r="C171" s="3">
        <f>IF(ISNUMBER(AVERAGE('20250815_ETF_Options_Exhibits'!C167:C171)),AVERAGE('20250815_ETF_Options_Exhibits'!C167:C171),"")</f>
        <v/>
      </c>
      <c r="D171" s="3">
        <f>IF(ISNUMBER(AVERAGE('20250815_ETF_Options_Exhibits'!D167:D171)),AVERAGE('20250815_ETF_Options_Exhibits'!D167:D171),"")</f>
        <v/>
      </c>
      <c r="E171" s="3">
        <f>IF(ISNUMBER(AVERAGE('20250815_ETF_Options_Exhibits'!E167:E171)),AVERAGE('20250815_ETF_Options_Exhibits'!E167:E171),"")</f>
        <v/>
      </c>
      <c r="F171" s="3">
        <f>IF(ISNUMBER(AVERAGE('20250815_ETF_Options_Exhibits'!F167:F171)),AVERAGE('20250815_ETF_Options_Exhibits'!F167:F171),"")</f>
        <v/>
      </c>
      <c r="G171" s="3">
        <f>IF(ISNUMBER(AVERAGE('20250815_ETF_Options_Exhibits'!G167:G171)),AVERAGE('20250815_ETF_Options_Exhibits'!G167:G171),"")</f>
        <v/>
      </c>
      <c r="H171" s="3">
        <f>IF(ISNUMBER(AVERAGE('20250815_ETF_Options_Exhibits'!H167:H171)),AVERAGE('20250815_ETF_Options_Exhibits'!H167:H171),"")</f>
        <v/>
      </c>
      <c r="I171" s="3">
        <f>IF(ISNUMBER(AVERAGE('20250815_ETF_Options_Exhibits'!I167:I171)),AVERAGE('20250815_ETF_Options_Exhibits'!I167:I171),"")</f>
        <v/>
      </c>
      <c r="J171" s="3">
        <f>IF(ISNUMBER(AVERAGE('20250815_ETF_Options_Exhibits'!J167:J171)),AVERAGE('20250815_ETF_Options_Exhibits'!J167:J171),"")</f>
        <v/>
      </c>
      <c r="K171" s="3">
        <f>IF(ISNUMBER(AVERAGE('20250815_ETF_Options_Exhibits'!K167:K171)),AVERAGE('20250815_ETF_Options_Exhibits'!K167:K171),"")</f>
        <v/>
      </c>
      <c r="L171" s="3">
        <f>IF(ISNUMBER(AVERAGE('20250815_ETF_Options_Exhibits'!L167:L171)),AVERAGE('20250815_ETF_Options_Exhibits'!L167:L171),"")</f>
        <v/>
      </c>
      <c r="M171" s="3">
        <f>IF(ISNUMBER(AVERAGE('20250815_ETF_Options_Exhibits'!M167:M171)),AVERAGE('20250815_ETF_Options_Exhibits'!M167:M171),"")</f>
        <v/>
      </c>
      <c r="N171" s="3">
        <f>IF(ISNUMBER(AVERAGE('20250815_ETF_Options_Exhibits'!N167:N171)),AVERAGE('20250815_ETF_Options_Exhibits'!N167:N171),"")</f>
        <v/>
      </c>
      <c r="O171" s="3">
        <f>IF(ISNUMBER(AVERAGE('20250815_ETF_Options_Exhibits'!O167:O171)),AVERAGE('20250815_ETF_Options_Exhibits'!O167:O171),"")</f>
        <v/>
      </c>
      <c r="P171" s="3">
        <f>IF(ISNUMBER(AVERAGE('20250815_ETF_Options_Exhibits'!P167:P171)),AVERAGE('20250815_ETF_Options_Exhibits'!P167:P171),"")</f>
        <v/>
      </c>
      <c r="Q171" s="3">
        <f>IF(ISNUMBER(AVERAGE('20250815_ETF_Options_Exhibits'!Q167:Q171)),AVERAGE('20250815_ETF_Options_Exhibits'!Q167:Q171),"")</f>
        <v/>
      </c>
      <c r="R171" s="3">
        <f>IF(ISNUMBER(AVERAGE('20250815_ETF_Options_Exhibits'!R167:R171)),AVERAGE('20250815_ETF_Options_Exhibits'!R167:R171),"")</f>
        <v/>
      </c>
      <c r="S171" s="3">
        <f>IF(ISNUMBER(AVERAGE('20250815_ETF_Options_Exhibits'!S167:S171)),AVERAGE('20250815_ETF_Options_Exhibits'!S167:S171),"")</f>
        <v/>
      </c>
      <c r="T171" s="3">
        <f>IF(ISNUMBER(AVERAGE('20250815_ETF_Options_Exhibits'!T167:T171)),AVERAGE('20250815_ETF_Options_Exhibits'!T167:T171),"")</f>
        <v/>
      </c>
      <c r="U171" s="3">
        <f>IF(ISNUMBER(AVERAGE('20250815_ETF_Options_Exhibits'!U167:U171)),AVERAGE('20250815_ETF_Options_Exhibits'!U167:U171),"")</f>
        <v/>
      </c>
      <c r="V171" s="3">
        <f>IF(ISNUMBER(AVERAGE('20250815_ETF_Options_Exhibits'!V167:V171)),AVERAGE('20250815_ETF_Options_Exhibits'!V167:V171),"")</f>
        <v/>
      </c>
      <c r="W171" s="3">
        <f>IF(ISNUMBER(AVERAGE('20250815_ETF_Options_Exhibits'!W167:W171)),AVERAGE('20250815_ETF_Options_Exhibits'!W167:W171),"")</f>
        <v/>
      </c>
      <c r="X171" s="3">
        <f>IF(ISNUMBER(AVERAGE('20250815_ETF_Options_Exhibits'!X167:X171)),AVERAGE('20250815_ETF_Options_Exhibits'!X167:X171),"")</f>
        <v/>
      </c>
      <c r="Y171" s="3">
        <f>IF(ISNUMBER(AVERAGE('20250815_ETF_Options_Exhibits'!Y167:Y171)),AVERAGE('20250815_ETF_Options_Exhibits'!Y167:Y171),"")</f>
        <v/>
      </c>
      <c r="Z171" s="3">
        <f>IF(ISNUMBER(AVERAGE('20250815_ETF_Options_Exhibits'!Z167:Z171)),AVERAGE('20250815_ETF_Options_Exhibits'!Z167:Z171),"")</f>
        <v/>
      </c>
      <c r="AA171" s="3">
        <f>IF(ISNUMBER(AVERAGE('20250815_ETF_Options_Exhibits'!AA167:AA171)),AVERAGE('20250815_ETF_Options_Exhibits'!AA167:AA171),"")</f>
        <v/>
      </c>
    </row>
    <row r="172">
      <c r="A172" s="1" t="n">
        <v>42250</v>
      </c>
      <c r="B172" s="3">
        <f>IF(ISNUMBER(AVERAGE('20250815_ETF_Options_Exhibits'!B168:B172)),AVERAGE('20250815_ETF_Options_Exhibits'!B168:B172),"")</f>
        <v/>
      </c>
      <c r="C172" s="3">
        <f>IF(ISNUMBER(AVERAGE('20250815_ETF_Options_Exhibits'!C168:C172)),AVERAGE('20250815_ETF_Options_Exhibits'!C168:C172),"")</f>
        <v/>
      </c>
      <c r="D172" s="3">
        <f>IF(ISNUMBER(AVERAGE('20250815_ETF_Options_Exhibits'!D168:D172)),AVERAGE('20250815_ETF_Options_Exhibits'!D168:D172),"")</f>
        <v/>
      </c>
      <c r="E172" s="3">
        <f>IF(ISNUMBER(AVERAGE('20250815_ETF_Options_Exhibits'!E168:E172)),AVERAGE('20250815_ETF_Options_Exhibits'!E168:E172),"")</f>
        <v/>
      </c>
      <c r="F172" s="3">
        <f>IF(ISNUMBER(AVERAGE('20250815_ETF_Options_Exhibits'!F168:F172)),AVERAGE('20250815_ETF_Options_Exhibits'!F168:F172),"")</f>
        <v/>
      </c>
      <c r="G172" s="3">
        <f>IF(ISNUMBER(AVERAGE('20250815_ETF_Options_Exhibits'!G168:G172)),AVERAGE('20250815_ETF_Options_Exhibits'!G168:G172),"")</f>
        <v/>
      </c>
      <c r="H172" s="3">
        <f>IF(ISNUMBER(AVERAGE('20250815_ETF_Options_Exhibits'!H168:H172)),AVERAGE('20250815_ETF_Options_Exhibits'!H168:H172),"")</f>
        <v/>
      </c>
      <c r="I172" s="3">
        <f>IF(ISNUMBER(AVERAGE('20250815_ETF_Options_Exhibits'!I168:I172)),AVERAGE('20250815_ETF_Options_Exhibits'!I168:I172),"")</f>
        <v/>
      </c>
      <c r="J172" s="3">
        <f>IF(ISNUMBER(AVERAGE('20250815_ETF_Options_Exhibits'!J168:J172)),AVERAGE('20250815_ETF_Options_Exhibits'!J168:J172),"")</f>
        <v/>
      </c>
      <c r="K172" s="3">
        <f>IF(ISNUMBER(AVERAGE('20250815_ETF_Options_Exhibits'!K168:K172)),AVERAGE('20250815_ETF_Options_Exhibits'!K168:K172),"")</f>
        <v/>
      </c>
      <c r="L172" s="3">
        <f>IF(ISNUMBER(AVERAGE('20250815_ETF_Options_Exhibits'!L168:L172)),AVERAGE('20250815_ETF_Options_Exhibits'!L168:L172),"")</f>
        <v/>
      </c>
      <c r="M172" s="3">
        <f>IF(ISNUMBER(AVERAGE('20250815_ETF_Options_Exhibits'!M168:M172)),AVERAGE('20250815_ETF_Options_Exhibits'!M168:M172),"")</f>
        <v/>
      </c>
      <c r="N172" s="3">
        <f>IF(ISNUMBER(AVERAGE('20250815_ETF_Options_Exhibits'!N168:N172)),AVERAGE('20250815_ETF_Options_Exhibits'!N168:N172),"")</f>
        <v/>
      </c>
      <c r="O172" s="3">
        <f>IF(ISNUMBER(AVERAGE('20250815_ETF_Options_Exhibits'!O168:O172)),AVERAGE('20250815_ETF_Options_Exhibits'!O168:O172),"")</f>
        <v/>
      </c>
      <c r="P172" s="3">
        <f>IF(ISNUMBER(AVERAGE('20250815_ETF_Options_Exhibits'!P168:P172)),AVERAGE('20250815_ETF_Options_Exhibits'!P168:P172),"")</f>
        <v/>
      </c>
      <c r="Q172" s="3">
        <f>IF(ISNUMBER(AVERAGE('20250815_ETF_Options_Exhibits'!Q168:Q172)),AVERAGE('20250815_ETF_Options_Exhibits'!Q168:Q172),"")</f>
        <v/>
      </c>
      <c r="R172" s="3">
        <f>IF(ISNUMBER(AVERAGE('20250815_ETF_Options_Exhibits'!R168:R172)),AVERAGE('20250815_ETF_Options_Exhibits'!R168:R172),"")</f>
        <v/>
      </c>
      <c r="S172" s="3">
        <f>IF(ISNUMBER(AVERAGE('20250815_ETF_Options_Exhibits'!S168:S172)),AVERAGE('20250815_ETF_Options_Exhibits'!S168:S172),"")</f>
        <v/>
      </c>
      <c r="T172" s="3">
        <f>IF(ISNUMBER(AVERAGE('20250815_ETF_Options_Exhibits'!T168:T172)),AVERAGE('20250815_ETF_Options_Exhibits'!T168:T172),"")</f>
        <v/>
      </c>
      <c r="U172" s="3">
        <f>IF(ISNUMBER(AVERAGE('20250815_ETF_Options_Exhibits'!U168:U172)),AVERAGE('20250815_ETF_Options_Exhibits'!U168:U172),"")</f>
        <v/>
      </c>
      <c r="V172" s="3">
        <f>IF(ISNUMBER(AVERAGE('20250815_ETF_Options_Exhibits'!V168:V172)),AVERAGE('20250815_ETF_Options_Exhibits'!V168:V172),"")</f>
        <v/>
      </c>
      <c r="W172" s="3">
        <f>IF(ISNUMBER(AVERAGE('20250815_ETF_Options_Exhibits'!W168:W172)),AVERAGE('20250815_ETF_Options_Exhibits'!W168:W172),"")</f>
        <v/>
      </c>
      <c r="X172" s="3">
        <f>IF(ISNUMBER(AVERAGE('20250815_ETF_Options_Exhibits'!X168:X172)),AVERAGE('20250815_ETF_Options_Exhibits'!X168:X172),"")</f>
        <v/>
      </c>
      <c r="Y172" s="3">
        <f>IF(ISNUMBER(AVERAGE('20250815_ETF_Options_Exhibits'!Y168:Y172)),AVERAGE('20250815_ETF_Options_Exhibits'!Y168:Y172),"")</f>
        <v/>
      </c>
      <c r="Z172" s="3">
        <f>IF(ISNUMBER(AVERAGE('20250815_ETF_Options_Exhibits'!Z168:Z172)),AVERAGE('20250815_ETF_Options_Exhibits'!Z168:Z172),"")</f>
        <v/>
      </c>
      <c r="AA172" s="3">
        <f>IF(ISNUMBER(AVERAGE('20250815_ETF_Options_Exhibits'!AA168:AA172)),AVERAGE('20250815_ETF_Options_Exhibits'!AA168:AA172),"")</f>
        <v/>
      </c>
    </row>
    <row r="173">
      <c r="A173" s="1" t="n">
        <v>42251</v>
      </c>
      <c r="B173" s="3">
        <f>IF(ISNUMBER(AVERAGE('20250815_ETF_Options_Exhibits'!B169:B173)),AVERAGE('20250815_ETF_Options_Exhibits'!B169:B173),"")</f>
        <v/>
      </c>
      <c r="C173" s="3">
        <f>IF(ISNUMBER(AVERAGE('20250815_ETF_Options_Exhibits'!C169:C173)),AVERAGE('20250815_ETF_Options_Exhibits'!C169:C173),"")</f>
        <v/>
      </c>
      <c r="D173" s="3">
        <f>IF(ISNUMBER(AVERAGE('20250815_ETF_Options_Exhibits'!D169:D173)),AVERAGE('20250815_ETF_Options_Exhibits'!D169:D173),"")</f>
        <v/>
      </c>
      <c r="E173" s="3">
        <f>IF(ISNUMBER(AVERAGE('20250815_ETF_Options_Exhibits'!E169:E173)),AVERAGE('20250815_ETF_Options_Exhibits'!E169:E173),"")</f>
        <v/>
      </c>
      <c r="F173" s="3">
        <f>IF(ISNUMBER(AVERAGE('20250815_ETF_Options_Exhibits'!F169:F173)),AVERAGE('20250815_ETF_Options_Exhibits'!F169:F173),"")</f>
        <v/>
      </c>
      <c r="G173" s="3">
        <f>IF(ISNUMBER(AVERAGE('20250815_ETF_Options_Exhibits'!G169:G173)),AVERAGE('20250815_ETF_Options_Exhibits'!G169:G173),"")</f>
        <v/>
      </c>
      <c r="H173" s="3">
        <f>IF(ISNUMBER(AVERAGE('20250815_ETF_Options_Exhibits'!H169:H173)),AVERAGE('20250815_ETF_Options_Exhibits'!H169:H173),"")</f>
        <v/>
      </c>
      <c r="I173" s="3">
        <f>IF(ISNUMBER(AVERAGE('20250815_ETF_Options_Exhibits'!I169:I173)),AVERAGE('20250815_ETF_Options_Exhibits'!I169:I173),"")</f>
        <v/>
      </c>
      <c r="J173" s="3">
        <f>IF(ISNUMBER(AVERAGE('20250815_ETF_Options_Exhibits'!J169:J173)),AVERAGE('20250815_ETF_Options_Exhibits'!J169:J173),"")</f>
        <v/>
      </c>
      <c r="K173" s="3">
        <f>IF(ISNUMBER(AVERAGE('20250815_ETF_Options_Exhibits'!K169:K173)),AVERAGE('20250815_ETF_Options_Exhibits'!K169:K173),"")</f>
        <v/>
      </c>
      <c r="L173" s="3">
        <f>IF(ISNUMBER(AVERAGE('20250815_ETF_Options_Exhibits'!L169:L173)),AVERAGE('20250815_ETF_Options_Exhibits'!L169:L173),"")</f>
        <v/>
      </c>
      <c r="M173" s="3">
        <f>IF(ISNUMBER(AVERAGE('20250815_ETF_Options_Exhibits'!M169:M173)),AVERAGE('20250815_ETF_Options_Exhibits'!M169:M173),"")</f>
        <v/>
      </c>
      <c r="N173" s="3">
        <f>IF(ISNUMBER(AVERAGE('20250815_ETF_Options_Exhibits'!N169:N173)),AVERAGE('20250815_ETF_Options_Exhibits'!N169:N173),"")</f>
        <v/>
      </c>
      <c r="O173" s="3">
        <f>IF(ISNUMBER(AVERAGE('20250815_ETF_Options_Exhibits'!O169:O173)),AVERAGE('20250815_ETF_Options_Exhibits'!O169:O173),"")</f>
        <v/>
      </c>
      <c r="P173" s="3">
        <f>IF(ISNUMBER(AVERAGE('20250815_ETF_Options_Exhibits'!P169:P173)),AVERAGE('20250815_ETF_Options_Exhibits'!P169:P173),"")</f>
        <v/>
      </c>
      <c r="Q173" s="3">
        <f>IF(ISNUMBER(AVERAGE('20250815_ETF_Options_Exhibits'!Q169:Q173)),AVERAGE('20250815_ETF_Options_Exhibits'!Q169:Q173),"")</f>
        <v/>
      </c>
      <c r="R173" s="3">
        <f>IF(ISNUMBER(AVERAGE('20250815_ETF_Options_Exhibits'!R169:R173)),AVERAGE('20250815_ETF_Options_Exhibits'!R169:R173),"")</f>
        <v/>
      </c>
      <c r="S173" s="3">
        <f>IF(ISNUMBER(AVERAGE('20250815_ETF_Options_Exhibits'!S169:S173)),AVERAGE('20250815_ETF_Options_Exhibits'!S169:S173),"")</f>
        <v/>
      </c>
      <c r="T173" s="3">
        <f>IF(ISNUMBER(AVERAGE('20250815_ETF_Options_Exhibits'!T169:T173)),AVERAGE('20250815_ETF_Options_Exhibits'!T169:T173),"")</f>
        <v/>
      </c>
      <c r="U173" s="3">
        <f>IF(ISNUMBER(AVERAGE('20250815_ETF_Options_Exhibits'!U169:U173)),AVERAGE('20250815_ETF_Options_Exhibits'!U169:U173),"")</f>
        <v/>
      </c>
      <c r="V173" s="3">
        <f>IF(ISNUMBER(AVERAGE('20250815_ETF_Options_Exhibits'!V169:V173)),AVERAGE('20250815_ETF_Options_Exhibits'!V169:V173),"")</f>
        <v/>
      </c>
      <c r="W173" s="3">
        <f>IF(ISNUMBER(AVERAGE('20250815_ETF_Options_Exhibits'!W169:W173)),AVERAGE('20250815_ETF_Options_Exhibits'!W169:W173),"")</f>
        <v/>
      </c>
      <c r="X173" s="3">
        <f>IF(ISNUMBER(AVERAGE('20250815_ETF_Options_Exhibits'!X169:X173)),AVERAGE('20250815_ETF_Options_Exhibits'!X169:X173),"")</f>
        <v/>
      </c>
      <c r="Y173" s="3">
        <f>IF(ISNUMBER(AVERAGE('20250815_ETF_Options_Exhibits'!Y169:Y173)),AVERAGE('20250815_ETF_Options_Exhibits'!Y169:Y173),"")</f>
        <v/>
      </c>
      <c r="Z173" s="3">
        <f>IF(ISNUMBER(AVERAGE('20250815_ETF_Options_Exhibits'!Z169:Z173)),AVERAGE('20250815_ETF_Options_Exhibits'!Z169:Z173),"")</f>
        <v/>
      </c>
      <c r="AA173" s="3">
        <f>IF(ISNUMBER(AVERAGE('20250815_ETF_Options_Exhibits'!AA169:AA173)),AVERAGE('20250815_ETF_Options_Exhibits'!AA169:AA173),"")</f>
        <v/>
      </c>
    </row>
    <row r="174">
      <c r="A174" s="1" t="n">
        <v>42255</v>
      </c>
      <c r="B174" s="3">
        <f>IF(ISNUMBER(AVERAGE('20250815_ETF_Options_Exhibits'!B170:B174)),AVERAGE('20250815_ETF_Options_Exhibits'!B170:B174),"")</f>
        <v/>
      </c>
      <c r="C174" s="3">
        <f>IF(ISNUMBER(AVERAGE('20250815_ETF_Options_Exhibits'!C170:C174)),AVERAGE('20250815_ETF_Options_Exhibits'!C170:C174),"")</f>
        <v/>
      </c>
      <c r="D174" s="3">
        <f>IF(ISNUMBER(AVERAGE('20250815_ETF_Options_Exhibits'!D170:D174)),AVERAGE('20250815_ETF_Options_Exhibits'!D170:D174),"")</f>
        <v/>
      </c>
      <c r="E174" s="3">
        <f>IF(ISNUMBER(AVERAGE('20250815_ETF_Options_Exhibits'!E170:E174)),AVERAGE('20250815_ETF_Options_Exhibits'!E170:E174),"")</f>
        <v/>
      </c>
      <c r="F174" s="3">
        <f>IF(ISNUMBER(AVERAGE('20250815_ETF_Options_Exhibits'!F170:F174)),AVERAGE('20250815_ETF_Options_Exhibits'!F170:F174),"")</f>
        <v/>
      </c>
      <c r="G174" s="3">
        <f>IF(ISNUMBER(AVERAGE('20250815_ETF_Options_Exhibits'!G170:G174)),AVERAGE('20250815_ETF_Options_Exhibits'!G170:G174),"")</f>
        <v/>
      </c>
      <c r="H174" s="3">
        <f>IF(ISNUMBER(AVERAGE('20250815_ETF_Options_Exhibits'!H170:H174)),AVERAGE('20250815_ETF_Options_Exhibits'!H170:H174),"")</f>
        <v/>
      </c>
      <c r="I174" s="3">
        <f>IF(ISNUMBER(AVERAGE('20250815_ETF_Options_Exhibits'!I170:I174)),AVERAGE('20250815_ETF_Options_Exhibits'!I170:I174),"")</f>
        <v/>
      </c>
      <c r="J174" s="3">
        <f>IF(ISNUMBER(AVERAGE('20250815_ETF_Options_Exhibits'!J170:J174)),AVERAGE('20250815_ETF_Options_Exhibits'!J170:J174),"")</f>
        <v/>
      </c>
      <c r="K174" s="3">
        <f>IF(ISNUMBER(AVERAGE('20250815_ETF_Options_Exhibits'!K170:K174)),AVERAGE('20250815_ETF_Options_Exhibits'!K170:K174),"")</f>
        <v/>
      </c>
      <c r="L174" s="3">
        <f>IF(ISNUMBER(AVERAGE('20250815_ETF_Options_Exhibits'!L170:L174)),AVERAGE('20250815_ETF_Options_Exhibits'!L170:L174),"")</f>
        <v/>
      </c>
      <c r="M174" s="3">
        <f>IF(ISNUMBER(AVERAGE('20250815_ETF_Options_Exhibits'!M170:M174)),AVERAGE('20250815_ETF_Options_Exhibits'!M170:M174),"")</f>
        <v/>
      </c>
      <c r="N174" s="3">
        <f>IF(ISNUMBER(AVERAGE('20250815_ETF_Options_Exhibits'!N170:N174)),AVERAGE('20250815_ETF_Options_Exhibits'!N170:N174),"")</f>
        <v/>
      </c>
      <c r="O174" s="3">
        <f>IF(ISNUMBER(AVERAGE('20250815_ETF_Options_Exhibits'!O170:O174)),AVERAGE('20250815_ETF_Options_Exhibits'!O170:O174),"")</f>
        <v/>
      </c>
      <c r="P174" s="3">
        <f>IF(ISNUMBER(AVERAGE('20250815_ETF_Options_Exhibits'!P170:P174)),AVERAGE('20250815_ETF_Options_Exhibits'!P170:P174),"")</f>
        <v/>
      </c>
      <c r="Q174" s="3">
        <f>IF(ISNUMBER(AVERAGE('20250815_ETF_Options_Exhibits'!Q170:Q174)),AVERAGE('20250815_ETF_Options_Exhibits'!Q170:Q174),"")</f>
        <v/>
      </c>
      <c r="R174" s="3">
        <f>IF(ISNUMBER(AVERAGE('20250815_ETF_Options_Exhibits'!R170:R174)),AVERAGE('20250815_ETF_Options_Exhibits'!R170:R174),"")</f>
        <v/>
      </c>
      <c r="S174" s="3">
        <f>IF(ISNUMBER(AVERAGE('20250815_ETF_Options_Exhibits'!S170:S174)),AVERAGE('20250815_ETF_Options_Exhibits'!S170:S174),"")</f>
        <v/>
      </c>
      <c r="T174" s="3">
        <f>IF(ISNUMBER(AVERAGE('20250815_ETF_Options_Exhibits'!T170:T174)),AVERAGE('20250815_ETF_Options_Exhibits'!T170:T174),"")</f>
        <v/>
      </c>
      <c r="U174" s="3">
        <f>IF(ISNUMBER(AVERAGE('20250815_ETF_Options_Exhibits'!U170:U174)),AVERAGE('20250815_ETF_Options_Exhibits'!U170:U174),"")</f>
        <v/>
      </c>
      <c r="V174" s="3">
        <f>IF(ISNUMBER(AVERAGE('20250815_ETF_Options_Exhibits'!V170:V174)),AVERAGE('20250815_ETF_Options_Exhibits'!V170:V174),"")</f>
        <v/>
      </c>
      <c r="W174" s="3">
        <f>IF(ISNUMBER(AVERAGE('20250815_ETF_Options_Exhibits'!W170:W174)),AVERAGE('20250815_ETF_Options_Exhibits'!W170:W174),"")</f>
        <v/>
      </c>
      <c r="X174" s="3">
        <f>IF(ISNUMBER(AVERAGE('20250815_ETF_Options_Exhibits'!X170:X174)),AVERAGE('20250815_ETF_Options_Exhibits'!X170:X174),"")</f>
        <v/>
      </c>
      <c r="Y174" s="3">
        <f>IF(ISNUMBER(AVERAGE('20250815_ETF_Options_Exhibits'!Y170:Y174)),AVERAGE('20250815_ETF_Options_Exhibits'!Y170:Y174),"")</f>
        <v/>
      </c>
      <c r="Z174" s="3">
        <f>IF(ISNUMBER(AVERAGE('20250815_ETF_Options_Exhibits'!Z170:Z174)),AVERAGE('20250815_ETF_Options_Exhibits'!Z170:Z174),"")</f>
        <v/>
      </c>
      <c r="AA174" s="3">
        <f>IF(ISNUMBER(AVERAGE('20250815_ETF_Options_Exhibits'!AA170:AA174)),AVERAGE('20250815_ETF_Options_Exhibits'!AA170:AA174),"")</f>
        <v/>
      </c>
    </row>
    <row r="175">
      <c r="A175" s="1" t="n">
        <v>42256</v>
      </c>
      <c r="B175" s="3">
        <f>IF(ISNUMBER(AVERAGE('20250815_ETF_Options_Exhibits'!B171:B175)),AVERAGE('20250815_ETF_Options_Exhibits'!B171:B175),"")</f>
        <v/>
      </c>
      <c r="C175" s="3">
        <f>IF(ISNUMBER(AVERAGE('20250815_ETF_Options_Exhibits'!C171:C175)),AVERAGE('20250815_ETF_Options_Exhibits'!C171:C175),"")</f>
        <v/>
      </c>
      <c r="D175" s="3">
        <f>IF(ISNUMBER(AVERAGE('20250815_ETF_Options_Exhibits'!D171:D175)),AVERAGE('20250815_ETF_Options_Exhibits'!D171:D175),"")</f>
        <v/>
      </c>
      <c r="E175" s="3">
        <f>IF(ISNUMBER(AVERAGE('20250815_ETF_Options_Exhibits'!E171:E175)),AVERAGE('20250815_ETF_Options_Exhibits'!E171:E175),"")</f>
        <v/>
      </c>
      <c r="F175" s="3">
        <f>IF(ISNUMBER(AVERAGE('20250815_ETF_Options_Exhibits'!F171:F175)),AVERAGE('20250815_ETF_Options_Exhibits'!F171:F175),"")</f>
        <v/>
      </c>
      <c r="G175" s="3">
        <f>IF(ISNUMBER(AVERAGE('20250815_ETF_Options_Exhibits'!G171:G175)),AVERAGE('20250815_ETF_Options_Exhibits'!G171:G175),"")</f>
        <v/>
      </c>
      <c r="H175" s="3">
        <f>IF(ISNUMBER(AVERAGE('20250815_ETF_Options_Exhibits'!H171:H175)),AVERAGE('20250815_ETF_Options_Exhibits'!H171:H175),"")</f>
        <v/>
      </c>
      <c r="I175" s="3">
        <f>IF(ISNUMBER(AVERAGE('20250815_ETF_Options_Exhibits'!I171:I175)),AVERAGE('20250815_ETF_Options_Exhibits'!I171:I175),"")</f>
        <v/>
      </c>
      <c r="J175" s="3">
        <f>IF(ISNUMBER(AVERAGE('20250815_ETF_Options_Exhibits'!J171:J175)),AVERAGE('20250815_ETF_Options_Exhibits'!J171:J175),"")</f>
        <v/>
      </c>
      <c r="K175" s="3">
        <f>IF(ISNUMBER(AVERAGE('20250815_ETF_Options_Exhibits'!K171:K175)),AVERAGE('20250815_ETF_Options_Exhibits'!K171:K175),"")</f>
        <v/>
      </c>
      <c r="L175" s="3">
        <f>IF(ISNUMBER(AVERAGE('20250815_ETF_Options_Exhibits'!L171:L175)),AVERAGE('20250815_ETF_Options_Exhibits'!L171:L175),"")</f>
        <v/>
      </c>
      <c r="M175" s="3">
        <f>IF(ISNUMBER(AVERAGE('20250815_ETF_Options_Exhibits'!M171:M175)),AVERAGE('20250815_ETF_Options_Exhibits'!M171:M175),"")</f>
        <v/>
      </c>
      <c r="N175" s="3">
        <f>IF(ISNUMBER(AVERAGE('20250815_ETF_Options_Exhibits'!N171:N175)),AVERAGE('20250815_ETF_Options_Exhibits'!N171:N175),"")</f>
        <v/>
      </c>
      <c r="O175" s="3">
        <f>IF(ISNUMBER(AVERAGE('20250815_ETF_Options_Exhibits'!O171:O175)),AVERAGE('20250815_ETF_Options_Exhibits'!O171:O175),"")</f>
        <v/>
      </c>
      <c r="P175" s="3">
        <f>IF(ISNUMBER(AVERAGE('20250815_ETF_Options_Exhibits'!P171:P175)),AVERAGE('20250815_ETF_Options_Exhibits'!P171:P175),"")</f>
        <v/>
      </c>
      <c r="Q175" s="3">
        <f>IF(ISNUMBER(AVERAGE('20250815_ETF_Options_Exhibits'!Q171:Q175)),AVERAGE('20250815_ETF_Options_Exhibits'!Q171:Q175),"")</f>
        <v/>
      </c>
      <c r="R175" s="3">
        <f>IF(ISNUMBER(AVERAGE('20250815_ETF_Options_Exhibits'!R171:R175)),AVERAGE('20250815_ETF_Options_Exhibits'!R171:R175),"")</f>
        <v/>
      </c>
      <c r="S175" s="3">
        <f>IF(ISNUMBER(AVERAGE('20250815_ETF_Options_Exhibits'!S171:S175)),AVERAGE('20250815_ETF_Options_Exhibits'!S171:S175),"")</f>
        <v/>
      </c>
      <c r="T175" s="3">
        <f>IF(ISNUMBER(AVERAGE('20250815_ETF_Options_Exhibits'!T171:T175)),AVERAGE('20250815_ETF_Options_Exhibits'!T171:T175),"")</f>
        <v/>
      </c>
      <c r="U175" s="3">
        <f>IF(ISNUMBER(AVERAGE('20250815_ETF_Options_Exhibits'!U171:U175)),AVERAGE('20250815_ETF_Options_Exhibits'!U171:U175),"")</f>
        <v/>
      </c>
      <c r="V175" s="3">
        <f>IF(ISNUMBER(AVERAGE('20250815_ETF_Options_Exhibits'!V171:V175)),AVERAGE('20250815_ETF_Options_Exhibits'!V171:V175),"")</f>
        <v/>
      </c>
      <c r="W175" s="3">
        <f>IF(ISNUMBER(AVERAGE('20250815_ETF_Options_Exhibits'!W171:W175)),AVERAGE('20250815_ETF_Options_Exhibits'!W171:W175),"")</f>
        <v/>
      </c>
      <c r="X175" s="3">
        <f>IF(ISNUMBER(AVERAGE('20250815_ETF_Options_Exhibits'!X171:X175)),AVERAGE('20250815_ETF_Options_Exhibits'!X171:X175),"")</f>
        <v/>
      </c>
      <c r="Y175" s="3">
        <f>IF(ISNUMBER(AVERAGE('20250815_ETF_Options_Exhibits'!Y171:Y175)),AVERAGE('20250815_ETF_Options_Exhibits'!Y171:Y175),"")</f>
        <v/>
      </c>
      <c r="Z175" s="3">
        <f>IF(ISNUMBER(AVERAGE('20250815_ETF_Options_Exhibits'!Z171:Z175)),AVERAGE('20250815_ETF_Options_Exhibits'!Z171:Z175),"")</f>
        <v/>
      </c>
      <c r="AA175" s="3">
        <f>IF(ISNUMBER(AVERAGE('20250815_ETF_Options_Exhibits'!AA171:AA175)),AVERAGE('20250815_ETF_Options_Exhibits'!AA171:AA175),"")</f>
        <v/>
      </c>
    </row>
    <row r="176">
      <c r="A176" s="1" t="n">
        <v>42257</v>
      </c>
      <c r="B176" s="3">
        <f>IF(ISNUMBER(AVERAGE('20250815_ETF_Options_Exhibits'!B172:B176)),AVERAGE('20250815_ETF_Options_Exhibits'!B172:B176),"")</f>
        <v/>
      </c>
      <c r="C176" s="3">
        <f>IF(ISNUMBER(AVERAGE('20250815_ETF_Options_Exhibits'!C172:C176)),AVERAGE('20250815_ETF_Options_Exhibits'!C172:C176),"")</f>
        <v/>
      </c>
      <c r="D176" s="3">
        <f>IF(ISNUMBER(AVERAGE('20250815_ETF_Options_Exhibits'!D172:D176)),AVERAGE('20250815_ETF_Options_Exhibits'!D172:D176),"")</f>
        <v/>
      </c>
      <c r="E176" s="3">
        <f>IF(ISNUMBER(AVERAGE('20250815_ETF_Options_Exhibits'!E172:E176)),AVERAGE('20250815_ETF_Options_Exhibits'!E172:E176),"")</f>
        <v/>
      </c>
      <c r="F176" s="3">
        <f>IF(ISNUMBER(AVERAGE('20250815_ETF_Options_Exhibits'!F172:F176)),AVERAGE('20250815_ETF_Options_Exhibits'!F172:F176),"")</f>
        <v/>
      </c>
      <c r="G176" s="3">
        <f>IF(ISNUMBER(AVERAGE('20250815_ETF_Options_Exhibits'!G172:G176)),AVERAGE('20250815_ETF_Options_Exhibits'!G172:G176),"")</f>
        <v/>
      </c>
      <c r="H176" s="3">
        <f>IF(ISNUMBER(AVERAGE('20250815_ETF_Options_Exhibits'!H172:H176)),AVERAGE('20250815_ETF_Options_Exhibits'!H172:H176),"")</f>
        <v/>
      </c>
      <c r="I176" s="3">
        <f>IF(ISNUMBER(AVERAGE('20250815_ETF_Options_Exhibits'!I172:I176)),AVERAGE('20250815_ETF_Options_Exhibits'!I172:I176),"")</f>
        <v/>
      </c>
      <c r="J176" s="3">
        <f>IF(ISNUMBER(AVERAGE('20250815_ETF_Options_Exhibits'!J172:J176)),AVERAGE('20250815_ETF_Options_Exhibits'!J172:J176),"")</f>
        <v/>
      </c>
      <c r="K176" s="3">
        <f>IF(ISNUMBER(AVERAGE('20250815_ETF_Options_Exhibits'!K172:K176)),AVERAGE('20250815_ETF_Options_Exhibits'!K172:K176),"")</f>
        <v/>
      </c>
      <c r="L176" s="3">
        <f>IF(ISNUMBER(AVERAGE('20250815_ETF_Options_Exhibits'!L172:L176)),AVERAGE('20250815_ETF_Options_Exhibits'!L172:L176),"")</f>
        <v/>
      </c>
      <c r="M176" s="3">
        <f>IF(ISNUMBER(AVERAGE('20250815_ETF_Options_Exhibits'!M172:M176)),AVERAGE('20250815_ETF_Options_Exhibits'!M172:M176),"")</f>
        <v/>
      </c>
      <c r="N176" s="3">
        <f>IF(ISNUMBER(AVERAGE('20250815_ETF_Options_Exhibits'!N172:N176)),AVERAGE('20250815_ETF_Options_Exhibits'!N172:N176),"")</f>
        <v/>
      </c>
      <c r="O176" s="3">
        <f>IF(ISNUMBER(AVERAGE('20250815_ETF_Options_Exhibits'!O172:O176)),AVERAGE('20250815_ETF_Options_Exhibits'!O172:O176),"")</f>
        <v/>
      </c>
      <c r="P176" s="3">
        <f>IF(ISNUMBER(AVERAGE('20250815_ETF_Options_Exhibits'!P172:P176)),AVERAGE('20250815_ETF_Options_Exhibits'!P172:P176),"")</f>
        <v/>
      </c>
      <c r="Q176" s="3">
        <f>IF(ISNUMBER(AVERAGE('20250815_ETF_Options_Exhibits'!Q172:Q176)),AVERAGE('20250815_ETF_Options_Exhibits'!Q172:Q176),"")</f>
        <v/>
      </c>
      <c r="R176" s="3">
        <f>IF(ISNUMBER(AVERAGE('20250815_ETF_Options_Exhibits'!R172:R176)),AVERAGE('20250815_ETF_Options_Exhibits'!R172:R176),"")</f>
        <v/>
      </c>
      <c r="S176" s="3">
        <f>IF(ISNUMBER(AVERAGE('20250815_ETF_Options_Exhibits'!S172:S176)),AVERAGE('20250815_ETF_Options_Exhibits'!S172:S176),"")</f>
        <v/>
      </c>
      <c r="T176" s="3">
        <f>IF(ISNUMBER(AVERAGE('20250815_ETF_Options_Exhibits'!T172:T176)),AVERAGE('20250815_ETF_Options_Exhibits'!T172:T176),"")</f>
        <v/>
      </c>
      <c r="U176" s="3">
        <f>IF(ISNUMBER(AVERAGE('20250815_ETF_Options_Exhibits'!U172:U176)),AVERAGE('20250815_ETF_Options_Exhibits'!U172:U176),"")</f>
        <v/>
      </c>
      <c r="V176" s="3">
        <f>IF(ISNUMBER(AVERAGE('20250815_ETF_Options_Exhibits'!V172:V176)),AVERAGE('20250815_ETF_Options_Exhibits'!V172:V176),"")</f>
        <v/>
      </c>
      <c r="W176" s="3">
        <f>IF(ISNUMBER(AVERAGE('20250815_ETF_Options_Exhibits'!W172:W176)),AVERAGE('20250815_ETF_Options_Exhibits'!W172:W176),"")</f>
        <v/>
      </c>
      <c r="X176" s="3">
        <f>IF(ISNUMBER(AVERAGE('20250815_ETF_Options_Exhibits'!X172:X176)),AVERAGE('20250815_ETF_Options_Exhibits'!X172:X176),"")</f>
        <v/>
      </c>
      <c r="Y176" s="3">
        <f>IF(ISNUMBER(AVERAGE('20250815_ETF_Options_Exhibits'!Y172:Y176)),AVERAGE('20250815_ETF_Options_Exhibits'!Y172:Y176),"")</f>
        <v/>
      </c>
      <c r="Z176" s="3">
        <f>IF(ISNUMBER(AVERAGE('20250815_ETF_Options_Exhibits'!Z172:Z176)),AVERAGE('20250815_ETF_Options_Exhibits'!Z172:Z176),"")</f>
        <v/>
      </c>
      <c r="AA176" s="3">
        <f>IF(ISNUMBER(AVERAGE('20250815_ETF_Options_Exhibits'!AA172:AA176)),AVERAGE('20250815_ETF_Options_Exhibits'!AA172:AA176),"")</f>
        <v/>
      </c>
    </row>
    <row r="177">
      <c r="A177" s="1" t="n">
        <v>42258</v>
      </c>
      <c r="B177" s="3">
        <f>IF(ISNUMBER(AVERAGE('20250815_ETF_Options_Exhibits'!B173:B177)),AVERAGE('20250815_ETF_Options_Exhibits'!B173:B177),"")</f>
        <v/>
      </c>
      <c r="C177" s="3">
        <f>IF(ISNUMBER(AVERAGE('20250815_ETF_Options_Exhibits'!C173:C177)),AVERAGE('20250815_ETF_Options_Exhibits'!C173:C177),"")</f>
        <v/>
      </c>
      <c r="D177" s="3">
        <f>IF(ISNUMBER(AVERAGE('20250815_ETF_Options_Exhibits'!D173:D177)),AVERAGE('20250815_ETF_Options_Exhibits'!D173:D177),"")</f>
        <v/>
      </c>
      <c r="E177" s="3">
        <f>IF(ISNUMBER(AVERAGE('20250815_ETF_Options_Exhibits'!E173:E177)),AVERAGE('20250815_ETF_Options_Exhibits'!E173:E177),"")</f>
        <v/>
      </c>
      <c r="F177" s="3">
        <f>IF(ISNUMBER(AVERAGE('20250815_ETF_Options_Exhibits'!F173:F177)),AVERAGE('20250815_ETF_Options_Exhibits'!F173:F177),"")</f>
        <v/>
      </c>
      <c r="G177" s="3">
        <f>IF(ISNUMBER(AVERAGE('20250815_ETF_Options_Exhibits'!G173:G177)),AVERAGE('20250815_ETF_Options_Exhibits'!G173:G177),"")</f>
        <v/>
      </c>
      <c r="H177" s="3">
        <f>IF(ISNUMBER(AVERAGE('20250815_ETF_Options_Exhibits'!H173:H177)),AVERAGE('20250815_ETF_Options_Exhibits'!H173:H177),"")</f>
        <v/>
      </c>
      <c r="I177" s="3">
        <f>IF(ISNUMBER(AVERAGE('20250815_ETF_Options_Exhibits'!I173:I177)),AVERAGE('20250815_ETF_Options_Exhibits'!I173:I177),"")</f>
        <v/>
      </c>
      <c r="J177" s="3">
        <f>IF(ISNUMBER(AVERAGE('20250815_ETF_Options_Exhibits'!J173:J177)),AVERAGE('20250815_ETF_Options_Exhibits'!J173:J177),"")</f>
        <v/>
      </c>
      <c r="K177" s="3">
        <f>IF(ISNUMBER(AVERAGE('20250815_ETF_Options_Exhibits'!K173:K177)),AVERAGE('20250815_ETF_Options_Exhibits'!K173:K177),"")</f>
        <v/>
      </c>
      <c r="L177" s="3">
        <f>IF(ISNUMBER(AVERAGE('20250815_ETF_Options_Exhibits'!L173:L177)),AVERAGE('20250815_ETF_Options_Exhibits'!L173:L177),"")</f>
        <v/>
      </c>
      <c r="M177" s="3">
        <f>IF(ISNUMBER(AVERAGE('20250815_ETF_Options_Exhibits'!M173:M177)),AVERAGE('20250815_ETF_Options_Exhibits'!M173:M177),"")</f>
        <v/>
      </c>
      <c r="N177" s="3">
        <f>IF(ISNUMBER(AVERAGE('20250815_ETF_Options_Exhibits'!N173:N177)),AVERAGE('20250815_ETF_Options_Exhibits'!N173:N177),"")</f>
        <v/>
      </c>
      <c r="O177" s="3">
        <f>IF(ISNUMBER(AVERAGE('20250815_ETF_Options_Exhibits'!O173:O177)),AVERAGE('20250815_ETF_Options_Exhibits'!O173:O177),"")</f>
        <v/>
      </c>
      <c r="P177" s="3">
        <f>IF(ISNUMBER(AVERAGE('20250815_ETF_Options_Exhibits'!P173:P177)),AVERAGE('20250815_ETF_Options_Exhibits'!P173:P177),"")</f>
        <v/>
      </c>
      <c r="Q177" s="3">
        <f>IF(ISNUMBER(AVERAGE('20250815_ETF_Options_Exhibits'!Q173:Q177)),AVERAGE('20250815_ETF_Options_Exhibits'!Q173:Q177),"")</f>
        <v/>
      </c>
      <c r="R177" s="3">
        <f>IF(ISNUMBER(AVERAGE('20250815_ETF_Options_Exhibits'!R173:R177)),AVERAGE('20250815_ETF_Options_Exhibits'!R173:R177),"")</f>
        <v/>
      </c>
      <c r="S177" s="3">
        <f>IF(ISNUMBER(AVERAGE('20250815_ETF_Options_Exhibits'!S173:S177)),AVERAGE('20250815_ETF_Options_Exhibits'!S173:S177),"")</f>
        <v/>
      </c>
      <c r="T177" s="3">
        <f>IF(ISNUMBER(AVERAGE('20250815_ETF_Options_Exhibits'!T173:T177)),AVERAGE('20250815_ETF_Options_Exhibits'!T173:T177),"")</f>
        <v/>
      </c>
      <c r="U177" s="3">
        <f>IF(ISNUMBER(AVERAGE('20250815_ETF_Options_Exhibits'!U173:U177)),AVERAGE('20250815_ETF_Options_Exhibits'!U173:U177),"")</f>
        <v/>
      </c>
      <c r="V177" s="3">
        <f>IF(ISNUMBER(AVERAGE('20250815_ETF_Options_Exhibits'!V173:V177)),AVERAGE('20250815_ETF_Options_Exhibits'!V173:V177),"")</f>
        <v/>
      </c>
      <c r="W177" s="3">
        <f>IF(ISNUMBER(AVERAGE('20250815_ETF_Options_Exhibits'!W173:W177)),AVERAGE('20250815_ETF_Options_Exhibits'!W173:W177),"")</f>
        <v/>
      </c>
      <c r="X177" s="3">
        <f>IF(ISNUMBER(AVERAGE('20250815_ETF_Options_Exhibits'!X173:X177)),AVERAGE('20250815_ETF_Options_Exhibits'!X173:X177),"")</f>
        <v/>
      </c>
      <c r="Y177" s="3">
        <f>IF(ISNUMBER(AVERAGE('20250815_ETF_Options_Exhibits'!Y173:Y177)),AVERAGE('20250815_ETF_Options_Exhibits'!Y173:Y177),"")</f>
        <v/>
      </c>
      <c r="Z177" s="3">
        <f>IF(ISNUMBER(AVERAGE('20250815_ETF_Options_Exhibits'!Z173:Z177)),AVERAGE('20250815_ETF_Options_Exhibits'!Z173:Z177),"")</f>
        <v/>
      </c>
      <c r="AA177" s="3">
        <f>IF(ISNUMBER(AVERAGE('20250815_ETF_Options_Exhibits'!AA173:AA177)),AVERAGE('20250815_ETF_Options_Exhibits'!AA173:AA177),"")</f>
        <v/>
      </c>
    </row>
    <row r="178">
      <c r="A178" s="1" t="n">
        <v>42261</v>
      </c>
      <c r="B178" s="3">
        <f>IF(ISNUMBER(AVERAGE('20250815_ETF_Options_Exhibits'!B174:B178)),AVERAGE('20250815_ETF_Options_Exhibits'!B174:B178),"")</f>
        <v/>
      </c>
      <c r="C178" s="3">
        <f>IF(ISNUMBER(AVERAGE('20250815_ETF_Options_Exhibits'!C174:C178)),AVERAGE('20250815_ETF_Options_Exhibits'!C174:C178),"")</f>
        <v/>
      </c>
      <c r="D178" s="3">
        <f>IF(ISNUMBER(AVERAGE('20250815_ETF_Options_Exhibits'!D174:D178)),AVERAGE('20250815_ETF_Options_Exhibits'!D174:D178),"")</f>
        <v/>
      </c>
      <c r="E178" s="3">
        <f>IF(ISNUMBER(AVERAGE('20250815_ETF_Options_Exhibits'!E174:E178)),AVERAGE('20250815_ETF_Options_Exhibits'!E174:E178),"")</f>
        <v/>
      </c>
      <c r="F178" s="3">
        <f>IF(ISNUMBER(AVERAGE('20250815_ETF_Options_Exhibits'!F174:F178)),AVERAGE('20250815_ETF_Options_Exhibits'!F174:F178),"")</f>
        <v/>
      </c>
      <c r="G178" s="3">
        <f>IF(ISNUMBER(AVERAGE('20250815_ETF_Options_Exhibits'!G174:G178)),AVERAGE('20250815_ETF_Options_Exhibits'!G174:G178),"")</f>
        <v/>
      </c>
      <c r="H178" s="3">
        <f>IF(ISNUMBER(AVERAGE('20250815_ETF_Options_Exhibits'!H174:H178)),AVERAGE('20250815_ETF_Options_Exhibits'!H174:H178),"")</f>
        <v/>
      </c>
      <c r="I178" s="3">
        <f>IF(ISNUMBER(AVERAGE('20250815_ETF_Options_Exhibits'!I174:I178)),AVERAGE('20250815_ETF_Options_Exhibits'!I174:I178),"")</f>
        <v/>
      </c>
      <c r="J178" s="3">
        <f>IF(ISNUMBER(AVERAGE('20250815_ETF_Options_Exhibits'!J174:J178)),AVERAGE('20250815_ETF_Options_Exhibits'!J174:J178),"")</f>
        <v/>
      </c>
      <c r="K178" s="3">
        <f>IF(ISNUMBER(AVERAGE('20250815_ETF_Options_Exhibits'!K174:K178)),AVERAGE('20250815_ETF_Options_Exhibits'!K174:K178),"")</f>
        <v/>
      </c>
      <c r="L178" s="3">
        <f>IF(ISNUMBER(AVERAGE('20250815_ETF_Options_Exhibits'!L174:L178)),AVERAGE('20250815_ETF_Options_Exhibits'!L174:L178),"")</f>
        <v/>
      </c>
      <c r="M178" s="3">
        <f>IF(ISNUMBER(AVERAGE('20250815_ETF_Options_Exhibits'!M174:M178)),AVERAGE('20250815_ETF_Options_Exhibits'!M174:M178),"")</f>
        <v/>
      </c>
      <c r="N178" s="3">
        <f>IF(ISNUMBER(AVERAGE('20250815_ETF_Options_Exhibits'!N174:N178)),AVERAGE('20250815_ETF_Options_Exhibits'!N174:N178),"")</f>
        <v/>
      </c>
      <c r="O178" s="3">
        <f>IF(ISNUMBER(AVERAGE('20250815_ETF_Options_Exhibits'!O174:O178)),AVERAGE('20250815_ETF_Options_Exhibits'!O174:O178),"")</f>
        <v/>
      </c>
      <c r="P178" s="3">
        <f>IF(ISNUMBER(AVERAGE('20250815_ETF_Options_Exhibits'!P174:P178)),AVERAGE('20250815_ETF_Options_Exhibits'!P174:P178),"")</f>
        <v/>
      </c>
      <c r="Q178" s="3">
        <f>IF(ISNUMBER(AVERAGE('20250815_ETF_Options_Exhibits'!Q174:Q178)),AVERAGE('20250815_ETF_Options_Exhibits'!Q174:Q178),"")</f>
        <v/>
      </c>
      <c r="R178" s="3">
        <f>IF(ISNUMBER(AVERAGE('20250815_ETF_Options_Exhibits'!R174:R178)),AVERAGE('20250815_ETF_Options_Exhibits'!R174:R178),"")</f>
        <v/>
      </c>
      <c r="S178" s="3">
        <f>IF(ISNUMBER(AVERAGE('20250815_ETF_Options_Exhibits'!S174:S178)),AVERAGE('20250815_ETF_Options_Exhibits'!S174:S178),"")</f>
        <v/>
      </c>
      <c r="T178" s="3">
        <f>IF(ISNUMBER(AVERAGE('20250815_ETF_Options_Exhibits'!T174:T178)),AVERAGE('20250815_ETF_Options_Exhibits'!T174:T178),"")</f>
        <v/>
      </c>
      <c r="U178" s="3">
        <f>IF(ISNUMBER(AVERAGE('20250815_ETF_Options_Exhibits'!U174:U178)),AVERAGE('20250815_ETF_Options_Exhibits'!U174:U178),"")</f>
        <v/>
      </c>
      <c r="V178" s="3">
        <f>IF(ISNUMBER(AVERAGE('20250815_ETF_Options_Exhibits'!V174:V178)),AVERAGE('20250815_ETF_Options_Exhibits'!V174:V178),"")</f>
        <v/>
      </c>
      <c r="W178" s="3">
        <f>IF(ISNUMBER(AVERAGE('20250815_ETF_Options_Exhibits'!W174:W178)),AVERAGE('20250815_ETF_Options_Exhibits'!W174:W178),"")</f>
        <v/>
      </c>
      <c r="X178" s="3">
        <f>IF(ISNUMBER(AVERAGE('20250815_ETF_Options_Exhibits'!X174:X178)),AVERAGE('20250815_ETF_Options_Exhibits'!X174:X178),"")</f>
        <v/>
      </c>
      <c r="Y178" s="3">
        <f>IF(ISNUMBER(AVERAGE('20250815_ETF_Options_Exhibits'!Y174:Y178)),AVERAGE('20250815_ETF_Options_Exhibits'!Y174:Y178),"")</f>
        <v/>
      </c>
      <c r="Z178" s="3">
        <f>IF(ISNUMBER(AVERAGE('20250815_ETF_Options_Exhibits'!Z174:Z178)),AVERAGE('20250815_ETF_Options_Exhibits'!Z174:Z178),"")</f>
        <v/>
      </c>
      <c r="AA178" s="3">
        <f>IF(ISNUMBER(AVERAGE('20250815_ETF_Options_Exhibits'!AA174:AA178)),AVERAGE('20250815_ETF_Options_Exhibits'!AA174:AA178),"")</f>
        <v/>
      </c>
    </row>
    <row r="179">
      <c r="A179" s="1" t="n">
        <v>42262</v>
      </c>
      <c r="B179" s="3">
        <f>IF(ISNUMBER(AVERAGE('20250815_ETF_Options_Exhibits'!B175:B179)),AVERAGE('20250815_ETF_Options_Exhibits'!B175:B179),"")</f>
        <v/>
      </c>
      <c r="C179" s="3">
        <f>IF(ISNUMBER(AVERAGE('20250815_ETF_Options_Exhibits'!C175:C179)),AVERAGE('20250815_ETF_Options_Exhibits'!C175:C179),"")</f>
        <v/>
      </c>
      <c r="D179" s="3">
        <f>IF(ISNUMBER(AVERAGE('20250815_ETF_Options_Exhibits'!D175:D179)),AVERAGE('20250815_ETF_Options_Exhibits'!D175:D179),"")</f>
        <v/>
      </c>
      <c r="E179" s="3">
        <f>IF(ISNUMBER(AVERAGE('20250815_ETF_Options_Exhibits'!E175:E179)),AVERAGE('20250815_ETF_Options_Exhibits'!E175:E179),"")</f>
        <v/>
      </c>
      <c r="F179" s="3">
        <f>IF(ISNUMBER(AVERAGE('20250815_ETF_Options_Exhibits'!F175:F179)),AVERAGE('20250815_ETF_Options_Exhibits'!F175:F179),"")</f>
        <v/>
      </c>
      <c r="G179" s="3">
        <f>IF(ISNUMBER(AVERAGE('20250815_ETF_Options_Exhibits'!G175:G179)),AVERAGE('20250815_ETF_Options_Exhibits'!G175:G179),"")</f>
        <v/>
      </c>
      <c r="H179" s="3">
        <f>IF(ISNUMBER(AVERAGE('20250815_ETF_Options_Exhibits'!H175:H179)),AVERAGE('20250815_ETF_Options_Exhibits'!H175:H179),"")</f>
        <v/>
      </c>
      <c r="I179" s="3">
        <f>IF(ISNUMBER(AVERAGE('20250815_ETF_Options_Exhibits'!I175:I179)),AVERAGE('20250815_ETF_Options_Exhibits'!I175:I179),"")</f>
        <v/>
      </c>
      <c r="J179" s="3">
        <f>IF(ISNUMBER(AVERAGE('20250815_ETF_Options_Exhibits'!J175:J179)),AVERAGE('20250815_ETF_Options_Exhibits'!J175:J179),"")</f>
        <v/>
      </c>
      <c r="K179" s="3">
        <f>IF(ISNUMBER(AVERAGE('20250815_ETF_Options_Exhibits'!K175:K179)),AVERAGE('20250815_ETF_Options_Exhibits'!K175:K179),"")</f>
        <v/>
      </c>
      <c r="L179" s="3">
        <f>IF(ISNUMBER(AVERAGE('20250815_ETF_Options_Exhibits'!L175:L179)),AVERAGE('20250815_ETF_Options_Exhibits'!L175:L179),"")</f>
        <v/>
      </c>
      <c r="M179" s="3">
        <f>IF(ISNUMBER(AVERAGE('20250815_ETF_Options_Exhibits'!M175:M179)),AVERAGE('20250815_ETF_Options_Exhibits'!M175:M179),"")</f>
        <v/>
      </c>
      <c r="N179" s="3">
        <f>IF(ISNUMBER(AVERAGE('20250815_ETF_Options_Exhibits'!N175:N179)),AVERAGE('20250815_ETF_Options_Exhibits'!N175:N179),"")</f>
        <v/>
      </c>
      <c r="O179" s="3">
        <f>IF(ISNUMBER(AVERAGE('20250815_ETF_Options_Exhibits'!O175:O179)),AVERAGE('20250815_ETF_Options_Exhibits'!O175:O179),"")</f>
        <v/>
      </c>
      <c r="P179" s="3">
        <f>IF(ISNUMBER(AVERAGE('20250815_ETF_Options_Exhibits'!P175:P179)),AVERAGE('20250815_ETF_Options_Exhibits'!P175:P179),"")</f>
        <v/>
      </c>
      <c r="Q179" s="3">
        <f>IF(ISNUMBER(AVERAGE('20250815_ETF_Options_Exhibits'!Q175:Q179)),AVERAGE('20250815_ETF_Options_Exhibits'!Q175:Q179),"")</f>
        <v/>
      </c>
      <c r="R179" s="3">
        <f>IF(ISNUMBER(AVERAGE('20250815_ETF_Options_Exhibits'!R175:R179)),AVERAGE('20250815_ETF_Options_Exhibits'!R175:R179),"")</f>
        <v/>
      </c>
      <c r="S179" s="3">
        <f>IF(ISNUMBER(AVERAGE('20250815_ETF_Options_Exhibits'!S175:S179)),AVERAGE('20250815_ETF_Options_Exhibits'!S175:S179),"")</f>
        <v/>
      </c>
      <c r="T179" s="3">
        <f>IF(ISNUMBER(AVERAGE('20250815_ETF_Options_Exhibits'!T175:T179)),AVERAGE('20250815_ETF_Options_Exhibits'!T175:T179),"")</f>
        <v/>
      </c>
      <c r="U179" s="3">
        <f>IF(ISNUMBER(AVERAGE('20250815_ETF_Options_Exhibits'!U175:U179)),AVERAGE('20250815_ETF_Options_Exhibits'!U175:U179),"")</f>
        <v/>
      </c>
      <c r="V179" s="3">
        <f>IF(ISNUMBER(AVERAGE('20250815_ETF_Options_Exhibits'!V175:V179)),AVERAGE('20250815_ETF_Options_Exhibits'!V175:V179),"")</f>
        <v/>
      </c>
      <c r="W179" s="3">
        <f>IF(ISNUMBER(AVERAGE('20250815_ETF_Options_Exhibits'!W175:W179)),AVERAGE('20250815_ETF_Options_Exhibits'!W175:W179),"")</f>
        <v/>
      </c>
      <c r="X179" s="3">
        <f>IF(ISNUMBER(AVERAGE('20250815_ETF_Options_Exhibits'!X175:X179)),AVERAGE('20250815_ETF_Options_Exhibits'!X175:X179),"")</f>
        <v/>
      </c>
      <c r="Y179" s="3">
        <f>IF(ISNUMBER(AVERAGE('20250815_ETF_Options_Exhibits'!Y175:Y179)),AVERAGE('20250815_ETF_Options_Exhibits'!Y175:Y179),"")</f>
        <v/>
      </c>
      <c r="Z179" s="3">
        <f>IF(ISNUMBER(AVERAGE('20250815_ETF_Options_Exhibits'!Z175:Z179)),AVERAGE('20250815_ETF_Options_Exhibits'!Z175:Z179),"")</f>
        <v/>
      </c>
      <c r="AA179" s="3">
        <f>IF(ISNUMBER(AVERAGE('20250815_ETF_Options_Exhibits'!AA175:AA179)),AVERAGE('20250815_ETF_Options_Exhibits'!AA175:AA179),"")</f>
        <v/>
      </c>
    </row>
    <row r="180">
      <c r="A180" s="1" t="n">
        <v>42263</v>
      </c>
      <c r="B180" s="3">
        <f>IF(ISNUMBER(AVERAGE('20250815_ETF_Options_Exhibits'!B176:B180)),AVERAGE('20250815_ETF_Options_Exhibits'!B176:B180),"")</f>
        <v/>
      </c>
      <c r="C180" s="3">
        <f>IF(ISNUMBER(AVERAGE('20250815_ETF_Options_Exhibits'!C176:C180)),AVERAGE('20250815_ETF_Options_Exhibits'!C176:C180),"")</f>
        <v/>
      </c>
      <c r="D180" s="3">
        <f>IF(ISNUMBER(AVERAGE('20250815_ETF_Options_Exhibits'!D176:D180)),AVERAGE('20250815_ETF_Options_Exhibits'!D176:D180),"")</f>
        <v/>
      </c>
      <c r="E180" s="3">
        <f>IF(ISNUMBER(AVERAGE('20250815_ETF_Options_Exhibits'!E176:E180)),AVERAGE('20250815_ETF_Options_Exhibits'!E176:E180),"")</f>
        <v/>
      </c>
      <c r="F180" s="3">
        <f>IF(ISNUMBER(AVERAGE('20250815_ETF_Options_Exhibits'!F176:F180)),AVERAGE('20250815_ETF_Options_Exhibits'!F176:F180),"")</f>
        <v/>
      </c>
      <c r="G180" s="3">
        <f>IF(ISNUMBER(AVERAGE('20250815_ETF_Options_Exhibits'!G176:G180)),AVERAGE('20250815_ETF_Options_Exhibits'!G176:G180),"")</f>
        <v/>
      </c>
      <c r="H180" s="3">
        <f>IF(ISNUMBER(AVERAGE('20250815_ETF_Options_Exhibits'!H176:H180)),AVERAGE('20250815_ETF_Options_Exhibits'!H176:H180),"")</f>
        <v/>
      </c>
      <c r="I180" s="3">
        <f>IF(ISNUMBER(AVERAGE('20250815_ETF_Options_Exhibits'!I176:I180)),AVERAGE('20250815_ETF_Options_Exhibits'!I176:I180),"")</f>
        <v/>
      </c>
      <c r="J180" s="3">
        <f>IF(ISNUMBER(AVERAGE('20250815_ETF_Options_Exhibits'!J176:J180)),AVERAGE('20250815_ETF_Options_Exhibits'!J176:J180),"")</f>
        <v/>
      </c>
      <c r="K180" s="3">
        <f>IF(ISNUMBER(AVERAGE('20250815_ETF_Options_Exhibits'!K176:K180)),AVERAGE('20250815_ETF_Options_Exhibits'!K176:K180),"")</f>
        <v/>
      </c>
      <c r="L180" s="3">
        <f>IF(ISNUMBER(AVERAGE('20250815_ETF_Options_Exhibits'!L176:L180)),AVERAGE('20250815_ETF_Options_Exhibits'!L176:L180),"")</f>
        <v/>
      </c>
      <c r="M180" s="3">
        <f>IF(ISNUMBER(AVERAGE('20250815_ETF_Options_Exhibits'!M176:M180)),AVERAGE('20250815_ETF_Options_Exhibits'!M176:M180),"")</f>
        <v/>
      </c>
      <c r="N180" s="3">
        <f>IF(ISNUMBER(AVERAGE('20250815_ETF_Options_Exhibits'!N176:N180)),AVERAGE('20250815_ETF_Options_Exhibits'!N176:N180),"")</f>
        <v/>
      </c>
      <c r="O180" s="3">
        <f>IF(ISNUMBER(AVERAGE('20250815_ETF_Options_Exhibits'!O176:O180)),AVERAGE('20250815_ETF_Options_Exhibits'!O176:O180),"")</f>
        <v/>
      </c>
      <c r="P180" s="3">
        <f>IF(ISNUMBER(AVERAGE('20250815_ETF_Options_Exhibits'!P176:P180)),AVERAGE('20250815_ETF_Options_Exhibits'!P176:P180),"")</f>
        <v/>
      </c>
      <c r="Q180" s="3">
        <f>IF(ISNUMBER(AVERAGE('20250815_ETF_Options_Exhibits'!Q176:Q180)),AVERAGE('20250815_ETF_Options_Exhibits'!Q176:Q180),"")</f>
        <v/>
      </c>
      <c r="R180" s="3">
        <f>IF(ISNUMBER(AVERAGE('20250815_ETF_Options_Exhibits'!R176:R180)),AVERAGE('20250815_ETF_Options_Exhibits'!R176:R180),"")</f>
        <v/>
      </c>
      <c r="S180" s="3">
        <f>IF(ISNUMBER(AVERAGE('20250815_ETF_Options_Exhibits'!S176:S180)),AVERAGE('20250815_ETF_Options_Exhibits'!S176:S180),"")</f>
        <v/>
      </c>
      <c r="T180" s="3">
        <f>IF(ISNUMBER(AVERAGE('20250815_ETF_Options_Exhibits'!T176:T180)),AVERAGE('20250815_ETF_Options_Exhibits'!T176:T180),"")</f>
        <v/>
      </c>
      <c r="U180" s="3">
        <f>IF(ISNUMBER(AVERAGE('20250815_ETF_Options_Exhibits'!U176:U180)),AVERAGE('20250815_ETF_Options_Exhibits'!U176:U180),"")</f>
        <v/>
      </c>
      <c r="V180" s="3">
        <f>IF(ISNUMBER(AVERAGE('20250815_ETF_Options_Exhibits'!V176:V180)),AVERAGE('20250815_ETF_Options_Exhibits'!V176:V180),"")</f>
        <v/>
      </c>
      <c r="W180" s="3">
        <f>IF(ISNUMBER(AVERAGE('20250815_ETF_Options_Exhibits'!W176:W180)),AVERAGE('20250815_ETF_Options_Exhibits'!W176:W180),"")</f>
        <v/>
      </c>
      <c r="X180" s="3">
        <f>IF(ISNUMBER(AVERAGE('20250815_ETF_Options_Exhibits'!X176:X180)),AVERAGE('20250815_ETF_Options_Exhibits'!X176:X180),"")</f>
        <v/>
      </c>
      <c r="Y180" s="3">
        <f>IF(ISNUMBER(AVERAGE('20250815_ETF_Options_Exhibits'!Y176:Y180)),AVERAGE('20250815_ETF_Options_Exhibits'!Y176:Y180),"")</f>
        <v/>
      </c>
      <c r="Z180" s="3">
        <f>IF(ISNUMBER(AVERAGE('20250815_ETF_Options_Exhibits'!Z176:Z180)),AVERAGE('20250815_ETF_Options_Exhibits'!Z176:Z180),"")</f>
        <v/>
      </c>
      <c r="AA180" s="3">
        <f>IF(ISNUMBER(AVERAGE('20250815_ETF_Options_Exhibits'!AA176:AA180)),AVERAGE('20250815_ETF_Options_Exhibits'!AA176:AA180),"")</f>
        <v/>
      </c>
    </row>
    <row r="181">
      <c r="A181" s="1" t="n">
        <v>42264</v>
      </c>
      <c r="B181" s="3">
        <f>IF(ISNUMBER(AVERAGE('20250815_ETF_Options_Exhibits'!B177:B181)),AVERAGE('20250815_ETF_Options_Exhibits'!B177:B181),"")</f>
        <v/>
      </c>
      <c r="C181" s="3">
        <f>IF(ISNUMBER(AVERAGE('20250815_ETF_Options_Exhibits'!C177:C181)),AVERAGE('20250815_ETF_Options_Exhibits'!C177:C181),"")</f>
        <v/>
      </c>
      <c r="D181" s="3">
        <f>IF(ISNUMBER(AVERAGE('20250815_ETF_Options_Exhibits'!D177:D181)),AVERAGE('20250815_ETF_Options_Exhibits'!D177:D181),"")</f>
        <v/>
      </c>
      <c r="E181" s="3">
        <f>IF(ISNUMBER(AVERAGE('20250815_ETF_Options_Exhibits'!E177:E181)),AVERAGE('20250815_ETF_Options_Exhibits'!E177:E181),"")</f>
        <v/>
      </c>
      <c r="F181" s="3">
        <f>IF(ISNUMBER(AVERAGE('20250815_ETF_Options_Exhibits'!F177:F181)),AVERAGE('20250815_ETF_Options_Exhibits'!F177:F181),"")</f>
        <v/>
      </c>
      <c r="G181" s="3">
        <f>IF(ISNUMBER(AVERAGE('20250815_ETF_Options_Exhibits'!G177:G181)),AVERAGE('20250815_ETF_Options_Exhibits'!G177:G181),"")</f>
        <v/>
      </c>
      <c r="H181" s="3">
        <f>IF(ISNUMBER(AVERAGE('20250815_ETF_Options_Exhibits'!H177:H181)),AVERAGE('20250815_ETF_Options_Exhibits'!H177:H181),"")</f>
        <v/>
      </c>
      <c r="I181" s="3">
        <f>IF(ISNUMBER(AVERAGE('20250815_ETF_Options_Exhibits'!I177:I181)),AVERAGE('20250815_ETF_Options_Exhibits'!I177:I181),"")</f>
        <v/>
      </c>
      <c r="J181" s="3">
        <f>IF(ISNUMBER(AVERAGE('20250815_ETF_Options_Exhibits'!J177:J181)),AVERAGE('20250815_ETF_Options_Exhibits'!J177:J181),"")</f>
        <v/>
      </c>
      <c r="K181" s="3">
        <f>IF(ISNUMBER(AVERAGE('20250815_ETF_Options_Exhibits'!K177:K181)),AVERAGE('20250815_ETF_Options_Exhibits'!K177:K181),"")</f>
        <v/>
      </c>
      <c r="L181" s="3">
        <f>IF(ISNUMBER(AVERAGE('20250815_ETF_Options_Exhibits'!L177:L181)),AVERAGE('20250815_ETF_Options_Exhibits'!L177:L181),"")</f>
        <v/>
      </c>
      <c r="M181" s="3">
        <f>IF(ISNUMBER(AVERAGE('20250815_ETF_Options_Exhibits'!M177:M181)),AVERAGE('20250815_ETF_Options_Exhibits'!M177:M181),"")</f>
        <v/>
      </c>
      <c r="N181" s="3">
        <f>IF(ISNUMBER(AVERAGE('20250815_ETF_Options_Exhibits'!N177:N181)),AVERAGE('20250815_ETF_Options_Exhibits'!N177:N181),"")</f>
        <v/>
      </c>
      <c r="O181" s="3">
        <f>IF(ISNUMBER(AVERAGE('20250815_ETF_Options_Exhibits'!O177:O181)),AVERAGE('20250815_ETF_Options_Exhibits'!O177:O181),"")</f>
        <v/>
      </c>
      <c r="P181" s="3">
        <f>IF(ISNUMBER(AVERAGE('20250815_ETF_Options_Exhibits'!P177:P181)),AVERAGE('20250815_ETF_Options_Exhibits'!P177:P181),"")</f>
        <v/>
      </c>
      <c r="Q181" s="3">
        <f>IF(ISNUMBER(AVERAGE('20250815_ETF_Options_Exhibits'!Q177:Q181)),AVERAGE('20250815_ETF_Options_Exhibits'!Q177:Q181),"")</f>
        <v/>
      </c>
      <c r="R181" s="3">
        <f>IF(ISNUMBER(AVERAGE('20250815_ETF_Options_Exhibits'!R177:R181)),AVERAGE('20250815_ETF_Options_Exhibits'!R177:R181),"")</f>
        <v/>
      </c>
      <c r="S181" s="3">
        <f>IF(ISNUMBER(AVERAGE('20250815_ETF_Options_Exhibits'!S177:S181)),AVERAGE('20250815_ETF_Options_Exhibits'!S177:S181),"")</f>
        <v/>
      </c>
      <c r="T181" s="3">
        <f>IF(ISNUMBER(AVERAGE('20250815_ETF_Options_Exhibits'!T177:T181)),AVERAGE('20250815_ETF_Options_Exhibits'!T177:T181),"")</f>
        <v/>
      </c>
      <c r="U181" s="3">
        <f>IF(ISNUMBER(AVERAGE('20250815_ETF_Options_Exhibits'!U177:U181)),AVERAGE('20250815_ETF_Options_Exhibits'!U177:U181),"")</f>
        <v/>
      </c>
      <c r="V181" s="3">
        <f>IF(ISNUMBER(AVERAGE('20250815_ETF_Options_Exhibits'!V177:V181)),AVERAGE('20250815_ETF_Options_Exhibits'!V177:V181),"")</f>
        <v/>
      </c>
      <c r="W181" s="3">
        <f>IF(ISNUMBER(AVERAGE('20250815_ETF_Options_Exhibits'!W177:W181)),AVERAGE('20250815_ETF_Options_Exhibits'!W177:W181),"")</f>
        <v/>
      </c>
      <c r="X181" s="3">
        <f>IF(ISNUMBER(AVERAGE('20250815_ETF_Options_Exhibits'!X177:X181)),AVERAGE('20250815_ETF_Options_Exhibits'!X177:X181),"")</f>
        <v/>
      </c>
      <c r="Y181" s="3">
        <f>IF(ISNUMBER(AVERAGE('20250815_ETF_Options_Exhibits'!Y177:Y181)),AVERAGE('20250815_ETF_Options_Exhibits'!Y177:Y181),"")</f>
        <v/>
      </c>
      <c r="Z181" s="3">
        <f>IF(ISNUMBER(AVERAGE('20250815_ETF_Options_Exhibits'!Z177:Z181)),AVERAGE('20250815_ETF_Options_Exhibits'!Z177:Z181),"")</f>
        <v/>
      </c>
      <c r="AA181" s="3">
        <f>IF(ISNUMBER(AVERAGE('20250815_ETF_Options_Exhibits'!AA177:AA181)),AVERAGE('20250815_ETF_Options_Exhibits'!AA177:AA181),"")</f>
        <v/>
      </c>
    </row>
    <row r="182">
      <c r="A182" s="1" t="n">
        <v>42265</v>
      </c>
      <c r="B182" s="3">
        <f>IF(ISNUMBER(AVERAGE('20250815_ETF_Options_Exhibits'!B178:B182)),AVERAGE('20250815_ETF_Options_Exhibits'!B178:B182),"")</f>
        <v/>
      </c>
      <c r="C182" s="3">
        <f>IF(ISNUMBER(AVERAGE('20250815_ETF_Options_Exhibits'!C178:C182)),AVERAGE('20250815_ETF_Options_Exhibits'!C178:C182),"")</f>
        <v/>
      </c>
      <c r="D182" s="3">
        <f>IF(ISNUMBER(AVERAGE('20250815_ETF_Options_Exhibits'!D178:D182)),AVERAGE('20250815_ETF_Options_Exhibits'!D178:D182),"")</f>
        <v/>
      </c>
      <c r="E182" s="3">
        <f>IF(ISNUMBER(AVERAGE('20250815_ETF_Options_Exhibits'!E178:E182)),AVERAGE('20250815_ETF_Options_Exhibits'!E178:E182),"")</f>
        <v/>
      </c>
      <c r="F182" s="3">
        <f>IF(ISNUMBER(AVERAGE('20250815_ETF_Options_Exhibits'!F178:F182)),AVERAGE('20250815_ETF_Options_Exhibits'!F178:F182),"")</f>
        <v/>
      </c>
      <c r="G182" s="3">
        <f>IF(ISNUMBER(AVERAGE('20250815_ETF_Options_Exhibits'!G178:G182)),AVERAGE('20250815_ETF_Options_Exhibits'!G178:G182),"")</f>
        <v/>
      </c>
      <c r="H182" s="3">
        <f>IF(ISNUMBER(AVERAGE('20250815_ETF_Options_Exhibits'!H178:H182)),AVERAGE('20250815_ETF_Options_Exhibits'!H178:H182),"")</f>
        <v/>
      </c>
      <c r="I182" s="3">
        <f>IF(ISNUMBER(AVERAGE('20250815_ETF_Options_Exhibits'!I178:I182)),AVERAGE('20250815_ETF_Options_Exhibits'!I178:I182),"")</f>
        <v/>
      </c>
      <c r="J182" s="3">
        <f>IF(ISNUMBER(AVERAGE('20250815_ETF_Options_Exhibits'!J178:J182)),AVERAGE('20250815_ETF_Options_Exhibits'!J178:J182),"")</f>
        <v/>
      </c>
      <c r="K182" s="3">
        <f>IF(ISNUMBER(AVERAGE('20250815_ETF_Options_Exhibits'!K178:K182)),AVERAGE('20250815_ETF_Options_Exhibits'!K178:K182),"")</f>
        <v/>
      </c>
      <c r="L182" s="3">
        <f>IF(ISNUMBER(AVERAGE('20250815_ETF_Options_Exhibits'!L178:L182)),AVERAGE('20250815_ETF_Options_Exhibits'!L178:L182),"")</f>
        <v/>
      </c>
      <c r="M182" s="3">
        <f>IF(ISNUMBER(AVERAGE('20250815_ETF_Options_Exhibits'!M178:M182)),AVERAGE('20250815_ETF_Options_Exhibits'!M178:M182),"")</f>
        <v/>
      </c>
      <c r="N182" s="3">
        <f>IF(ISNUMBER(AVERAGE('20250815_ETF_Options_Exhibits'!N178:N182)),AVERAGE('20250815_ETF_Options_Exhibits'!N178:N182),"")</f>
        <v/>
      </c>
      <c r="O182" s="3">
        <f>IF(ISNUMBER(AVERAGE('20250815_ETF_Options_Exhibits'!O178:O182)),AVERAGE('20250815_ETF_Options_Exhibits'!O178:O182),"")</f>
        <v/>
      </c>
      <c r="P182" s="3">
        <f>IF(ISNUMBER(AVERAGE('20250815_ETF_Options_Exhibits'!P178:P182)),AVERAGE('20250815_ETF_Options_Exhibits'!P178:P182),"")</f>
        <v/>
      </c>
      <c r="Q182" s="3">
        <f>IF(ISNUMBER(AVERAGE('20250815_ETF_Options_Exhibits'!Q178:Q182)),AVERAGE('20250815_ETF_Options_Exhibits'!Q178:Q182),"")</f>
        <v/>
      </c>
      <c r="R182" s="3">
        <f>IF(ISNUMBER(AVERAGE('20250815_ETF_Options_Exhibits'!R178:R182)),AVERAGE('20250815_ETF_Options_Exhibits'!R178:R182),"")</f>
        <v/>
      </c>
      <c r="S182" s="3">
        <f>IF(ISNUMBER(AVERAGE('20250815_ETF_Options_Exhibits'!S178:S182)),AVERAGE('20250815_ETF_Options_Exhibits'!S178:S182),"")</f>
        <v/>
      </c>
      <c r="T182" s="3">
        <f>IF(ISNUMBER(AVERAGE('20250815_ETF_Options_Exhibits'!T178:T182)),AVERAGE('20250815_ETF_Options_Exhibits'!T178:T182),"")</f>
        <v/>
      </c>
      <c r="U182" s="3">
        <f>IF(ISNUMBER(AVERAGE('20250815_ETF_Options_Exhibits'!U178:U182)),AVERAGE('20250815_ETF_Options_Exhibits'!U178:U182),"")</f>
        <v/>
      </c>
      <c r="V182" s="3">
        <f>IF(ISNUMBER(AVERAGE('20250815_ETF_Options_Exhibits'!V178:V182)),AVERAGE('20250815_ETF_Options_Exhibits'!V178:V182),"")</f>
        <v/>
      </c>
      <c r="W182" s="3">
        <f>IF(ISNUMBER(AVERAGE('20250815_ETF_Options_Exhibits'!W178:W182)),AVERAGE('20250815_ETF_Options_Exhibits'!W178:W182),"")</f>
        <v/>
      </c>
      <c r="X182" s="3">
        <f>IF(ISNUMBER(AVERAGE('20250815_ETF_Options_Exhibits'!X178:X182)),AVERAGE('20250815_ETF_Options_Exhibits'!X178:X182),"")</f>
        <v/>
      </c>
      <c r="Y182" s="3">
        <f>IF(ISNUMBER(AVERAGE('20250815_ETF_Options_Exhibits'!Y178:Y182)),AVERAGE('20250815_ETF_Options_Exhibits'!Y178:Y182),"")</f>
        <v/>
      </c>
      <c r="Z182" s="3">
        <f>IF(ISNUMBER(AVERAGE('20250815_ETF_Options_Exhibits'!Z178:Z182)),AVERAGE('20250815_ETF_Options_Exhibits'!Z178:Z182),"")</f>
        <v/>
      </c>
      <c r="AA182" s="3">
        <f>IF(ISNUMBER(AVERAGE('20250815_ETF_Options_Exhibits'!AA178:AA182)),AVERAGE('20250815_ETF_Options_Exhibits'!AA178:AA182),"")</f>
        <v/>
      </c>
    </row>
    <row r="183">
      <c r="A183" s="1" t="n">
        <v>42268</v>
      </c>
      <c r="B183" s="3">
        <f>IF(ISNUMBER(AVERAGE('20250815_ETF_Options_Exhibits'!B179:B183)),AVERAGE('20250815_ETF_Options_Exhibits'!B179:B183),"")</f>
        <v/>
      </c>
      <c r="C183" s="3">
        <f>IF(ISNUMBER(AVERAGE('20250815_ETF_Options_Exhibits'!C179:C183)),AVERAGE('20250815_ETF_Options_Exhibits'!C179:C183),"")</f>
        <v/>
      </c>
      <c r="D183" s="3">
        <f>IF(ISNUMBER(AVERAGE('20250815_ETF_Options_Exhibits'!D179:D183)),AVERAGE('20250815_ETF_Options_Exhibits'!D179:D183),"")</f>
        <v/>
      </c>
      <c r="E183" s="3">
        <f>IF(ISNUMBER(AVERAGE('20250815_ETF_Options_Exhibits'!E179:E183)),AVERAGE('20250815_ETF_Options_Exhibits'!E179:E183),"")</f>
        <v/>
      </c>
      <c r="F183" s="3">
        <f>IF(ISNUMBER(AVERAGE('20250815_ETF_Options_Exhibits'!F179:F183)),AVERAGE('20250815_ETF_Options_Exhibits'!F179:F183),"")</f>
        <v/>
      </c>
      <c r="G183" s="3">
        <f>IF(ISNUMBER(AVERAGE('20250815_ETF_Options_Exhibits'!G179:G183)),AVERAGE('20250815_ETF_Options_Exhibits'!G179:G183),"")</f>
        <v/>
      </c>
      <c r="H183" s="3">
        <f>IF(ISNUMBER(AVERAGE('20250815_ETF_Options_Exhibits'!H179:H183)),AVERAGE('20250815_ETF_Options_Exhibits'!H179:H183),"")</f>
        <v/>
      </c>
      <c r="I183" s="3">
        <f>IF(ISNUMBER(AVERAGE('20250815_ETF_Options_Exhibits'!I179:I183)),AVERAGE('20250815_ETF_Options_Exhibits'!I179:I183),"")</f>
        <v/>
      </c>
      <c r="J183" s="3">
        <f>IF(ISNUMBER(AVERAGE('20250815_ETF_Options_Exhibits'!J179:J183)),AVERAGE('20250815_ETF_Options_Exhibits'!J179:J183),"")</f>
        <v/>
      </c>
      <c r="K183" s="3">
        <f>IF(ISNUMBER(AVERAGE('20250815_ETF_Options_Exhibits'!K179:K183)),AVERAGE('20250815_ETF_Options_Exhibits'!K179:K183),"")</f>
        <v/>
      </c>
      <c r="L183" s="3">
        <f>IF(ISNUMBER(AVERAGE('20250815_ETF_Options_Exhibits'!L179:L183)),AVERAGE('20250815_ETF_Options_Exhibits'!L179:L183),"")</f>
        <v/>
      </c>
      <c r="M183" s="3">
        <f>IF(ISNUMBER(AVERAGE('20250815_ETF_Options_Exhibits'!M179:M183)),AVERAGE('20250815_ETF_Options_Exhibits'!M179:M183),"")</f>
        <v/>
      </c>
      <c r="N183" s="3">
        <f>IF(ISNUMBER(AVERAGE('20250815_ETF_Options_Exhibits'!N179:N183)),AVERAGE('20250815_ETF_Options_Exhibits'!N179:N183),"")</f>
        <v/>
      </c>
      <c r="O183" s="3">
        <f>IF(ISNUMBER(AVERAGE('20250815_ETF_Options_Exhibits'!O179:O183)),AVERAGE('20250815_ETF_Options_Exhibits'!O179:O183),"")</f>
        <v/>
      </c>
      <c r="P183" s="3">
        <f>IF(ISNUMBER(AVERAGE('20250815_ETF_Options_Exhibits'!P179:P183)),AVERAGE('20250815_ETF_Options_Exhibits'!P179:P183),"")</f>
        <v/>
      </c>
      <c r="Q183" s="3">
        <f>IF(ISNUMBER(AVERAGE('20250815_ETF_Options_Exhibits'!Q179:Q183)),AVERAGE('20250815_ETF_Options_Exhibits'!Q179:Q183),"")</f>
        <v/>
      </c>
      <c r="R183" s="3">
        <f>IF(ISNUMBER(AVERAGE('20250815_ETF_Options_Exhibits'!R179:R183)),AVERAGE('20250815_ETF_Options_Exhibits'!R179:R183),"")</f>
        <v/>
      </c>
      <c r="S183" s="3">
        <f>IF(ISNUMBER(AVERAGE('20250815_ETF_Options_Exhibits'!S179:S183)),AVERAGE('20250815_ETF_Options_Exhibits'!S179:S183),"")</f>
        <v/>
      </c>
      <c r="T183" s="3">
        <f>IF(ISNUMBER(AVERAGE('20250815_ETF_Options_Exhibits'!T179:T183)),AVERAGE('20250815_ETF_Options_Exhibits'!T179:T183),"")</f>
        <v/>
      </c>
      <c r="U183" s="3">
        <f>IF(ISNUMBER(AVERAGE('20250815_ETF_Options_Exhibits'!U179:U183)),AVERAGE('20250815_ETF_Options_Exhibits'!U179:U183),"")</f>
        <v/>
      </c>
      <c r="V183" s="3">
        <f>IF(ISNUMBER(AVERAGE('20250815_ETF_Options_Exhibits'!V179:V183)),AVERAGE('20250815_ETF_Options_Exhibits'!V179:V183),"")</f>
        <v/>
      </c>
      <c r="W183" s="3">
        <f>IF(ISNUMBER(AVERAGE('20250815_ETF_Options_Exhibits'!W179:W183)),AVERAGE('20250815_ETF_Options_Exhibits'!W179:W183),"")</f>
        <v/>
      </c>
      <c r="X183" s="3">
        <f>IF(ISNUMBER(AVERAGE('20250815_ETF_Options_Exhibits'!X179:X183)),AVERAGE('20250815_ETF_Options_Exhibits'!X179:X183),"")</f>
        <v/>
      </c>
      <c r="Y183" s="3">
        <f>IF(ISNUMBER(AVERAGE('20250815_ETF_Options_Exhibits'!Y179:Y183)),AVERAGE('20250815_ETF_Options_Exhibits'!Y179:Y183),"")</f>
        <v/>
      </c>
      <c r="Z183" s="3">
        <f>IF(ISNUMBER(AVERAGE('20250815_ETF_Options_Exhibits'!Z179:Z183)),AVERAGE('20250815_ETF_Options_Exhibits'!Z179:Z183),"")</f>
        <v/>
      </c>
      <c r="AA183" s="3">
        <f>IF(ISNUMBER(AVERAGE('20250815_ETF_Options_Exhibits'!AA179:AA183)),AVERAGE('20250815_ETF_Options_Exhibits'!AA179:AA183),"")</f>
        <v/>
      </c>
    </row>
    <row r="184">
      <c r="A184" s="1" t="n">
        <v>42269</v>
      </c>
      <c r="B184" s="3">
        <f>IF(ISNUMBER(AVERAGE('20250815_ETF_Options_Exhibits'!B180:B184)),AVERAGE('20250815_ETF_Options_Exhibits'!B180:B184),"")</f>
        <v/>
      </c>
      <c r="C184" s="3">
        <f>IF(ISNUMBER(AVERAGE('20250815_ETF_Options_Exhibits'!C180:C184)),AVERAGE('20250815_ETF_Options_Exhibits'!C180:C184),"")</f>
        <v/>
      </c>
      <c r="D184" s="3">
        <f>IF(ISNUMBER(AVERAGE('20250815_ETF_Options_Exhibits'!D180:D184)),AVERAGE('20250815_ETF_Options_Exhibits'!D180:D184),"")</f>
        <v/>
      </c>
      <c r="E184" s="3">
        <f>IF(ISNUMBER(AVERAGE('20250815_ETF_Options_Exhibits'!E180:E184)),AVERAGE('20250815_ETF_Options_Exhibits'!E180:E184),"")</f>
        <v/>
      </c>
      <c r="F184" s="3">
        <f>IF(ISNUMBER(AVERAGE('20250815_ETF_Options_Exhibits'!F180:F184)),AVERAGE('20250815_ETF_Options_Exhibits'!F180:F184),"")</f>
        <v/>
      </c>
      <c r="G184" s="3">
        <f>IF(ISNUMBER(AVERAGE('20250815_ETF_Options_Exhibits'!G180:G184)),AVERAGE('20250815_ETF_Options_Exhibits'!G180:G184),"")</f>
        <v/>
      </c>
      <c r="H184" s="3">
        <f>IF(ISNUMBER(AVERAGE('20250815_ETF_Options_Exhibits'!H180:H184)),AVERAGE('20250815_ETF_Options_Exhibits'!H180:H184),"")</f>
        <v/>
      </c>
      <c r="I184" s="3">
        <f>IF(ISNUMBER(AVERAGE('20250815_ETF_Options_Exhibits'!I180:I184)),AVERAGE('20250815_ETF_Options_Exhibits'!I180:I184),"")</f>
        <v/>
      </c>
      <c r="J184" s="3">
        <f>IF(ISNUMBER(AVERAGE('20250815_ETF_Options_Exhibits'!J180:J184)),AVERAGE('20250815_ETF_Options_Exhibits'!J180:J184),"")</f>
        <v/>
      </c>
      <c r="K184" s="3">
        <f>IF(ISNUMBER(AVERAGE('20250815_ETF_Options_Exhibits'!K180:K184)),AVERAGE('20250815_ETF_Options_Exhibits'!K180:K184),"")</f>
        <v/>
      </c>
      <c r="L184" s="3">
        <f>IF(ISNUMBER(AVERAGE('20250815_ETF_Options_Exhibits'!L180:L184)),AVERAGE('20250815_ETF_Options_Exhibits'!L180:L184),"")</f>
        <v/>
      </c>
      <c r="M184" s="3">
        <f>IF(ISNUMBER(AVERAGE('20250815_ETF_Options_Exhibits'!M180:M184)),AVERAGE('20250815_ETF_Options_Exhibits'!M180:M184),"")</f>
        <v/>
      </c>
      <c r="N184" s="3">
        <f>IF(ISNUMBER(AVERAGE('20250815_ETF_Options_Exhibits'!N180:N184)),AVERAGE('20250815_ETF_Options_Exhibits'!N180:N184),"")</f>
        <v/>
      </c>
      <c r="O184" s="3">
        <f>IF(ISNUMBER(AVERAGE('20250815_ETF_Options_Exhibits'!O180:O184)),AVERAGE('20250815_ETF_Options_Exhibits'!O180:O184),"")</f>
        <v/>
      </c>
      <c r="P184" s="3">
        <f>IF(ISNUMBER(AVERAGE('20250815_ETF_Options_Exhibits'!P180:P184)),AVERAGE('20250815_ETF_Options_Exhibits'!P180:P184),"")</f>
        <v/>
      </c>
      <c r="Q184" s="3">
        <f>IF(ISNUMBER(AVERAGE('20250815_ETF_Options_Exhibits'!Q180:Q184)),AVERAGE('20250815_ETF_Options_Exhibits'!Q180:Q184),"")</f>
        <v/>
      </c>
      <c r="R184" s="3">
        <f>IF(ISNUMBER(AVERAGE('20250815_ETF_Options_Exhibits'!R180:R184)),AVERAGE('20250815_ETF_Options_Exhibits'!R180:R184),"")</f>
        <v/>
      </c>
      <c r="S184" s="3">
        <f>IF(ISNUMBER(AVERAGE('20250815_ETF_Options_Exhibits'!S180:S184)),AVERAGE('20250815_ETF_Options_Exhibits'!S180:S184),"")</f>
        <v/>
      </c>
      <c r="T184" s="3">
        <f>IF(ISNUMBER(AVERAGE('20250815_ETF_Options_Exhibits'!T180:T184)),AVERAGE('20250815_ETF_Options_Exhibits'!T180:T184),"")</f>
        <v/>
      </c>
      <c r="U184" s="3">
        <f>IF(ISNUMBER(AVERAGE('20250815_ETF_Options_Exhibits'!U180:U184)),AVERAGE('20250815_ETF_Options_Exhibits'!U180:U184),"")</f>
        <v/>
      </c>
      <c r="V184" s="3">
        <f>IF(ISNUMBER(AVERAGE('20250815_ETF_Options_Exhibits'!V180:V184)),AVERAGE('20250815_ETF_Options_Exhibits'!V180:V184),"")</f>
        <v/>
      </c>
      <c r="W184" s="3">
        <f>IF(ISNUMBER(AVERAGE('20250815_ETF_Options_Exhibits'!W180:W184)),AVERAGE('20250815_ETF_Options_Exhibits'!W180:W184),"")</f>
        <v/>
      </c>
      <c r="X184" s="3">
        <f>IF(ISNUMBER(AVERAGE('20250815_ETF_Options_Exhibits'!X180:X184)),AVERAGE('20250815_ETF_Options_Exhibits'!X180:X184),"")</f>
        <v/>
      </c>
      <c r="Y184" s="3">
        <f>IF(ISNUMBER(AVERAGE('20250815_ETF_Options_Exhibits'!Y180:Y184)),AVERAGE('20250815_ETF_Options_Exhibits'!Y180:Y184),"")</f>
        <v/>
      </c>
      <c r="Z184" s="3">
        <f>IF(ISNUMBER(AVERAGE('20250815_ETF_Options_Exhibits'!Z180:Z184)),AVERAGE('20250815_ETF_Options_Exhibits'!Z180:Z184),"")</f>
        <v/>
      </c>
      <c r="AA184" s="3">
        <f>IF(ISNUMBER(AVERAGE('20250815_ETF_Options_Exhibits'!AA180:AA184)),AVERAGE('20250815_ETF_Options_Exhibits'!AA180:AA184),"")</f>
        <v/>
      </c>
    </row>
    <row r="185">
      <c r="A185" s="1" t="n">
        <v>42270</v>
      </c>
      <c r="B185" s="3">
        <f>IF(ISNUMBER(AVERAGE('20250815_ETF_Options_Exhibits'!B181:B185)),AVERAGE('20250815_ETF_Options_Exhibits'!B181:B185),"")</f>
        <v/>
      </c>
      <c r="C185" s="3">
        <f>IF(ISNUMBER(AVERAGE('20250815_ETF_Options_Exhibits'!C181:C185)),AVERAGE('20250815_ETF_Options_Exhibits'!C181:C185),"")</f>
        <v/>
      </c>
      <c r="D185" s="3">
        <f>IF(ISNUMBER(AVERAGE('20250815_ETF_Options_Exhibits'!D181:D185)),AVERAGE('20250815_ETF_Options_Exhibits'!D181:D185),"")</f>
        <v/>
      </c>
      <c r="E185" s="3">
        <f>IF(ISNUMBER(AVERAGE('20250815_ETF_Options_Exhibits'!E181:E185)),AVERAGE('20250815_ETF_Options_Exhibits'!E181:E185),"")</f>
        <v/>
      </c>
      <c r="F185" s="3">
        <f>IF(ISNUMBER(AVERAGE('20250815_ETF_Options_Exhibits'!F181:F185)),AVERAGE('20250815_ETF_Options_Exhibits'!F181:F185),"")</f>
        <v/>
      </c>
      <c r="G185" s="3">
        <f>IF(ISNUMBER(AVERAGE('20250815_ETF_Options_Exhibits'!G181:G185)),AVERAGE('20250815_ETF_Options_Exhibits'!G181:G185),"")</f>
        <v/>
      </c>
      <c r="H185" s="3">
        <f>IF(ISNUMBER(AVERAGE('20250815_ETF_Options_Exhibits'!H181:H185)),AVERAGE('20250815_ETF_Options_Exhibits'!H181:H185),"")</f>
        <v/>
      </c>
      <c r="I185" s="3">
        <f>IF(ISNUMBER(AVERAGE('20250815_ETF_Options_Exhibits'!I181:I185)),AVERAGE('20250815_ETF_Options_Exhibits'!I181:I185),"")</f>
        <v/>
      </c>
      <c r="J185" s="3">
        <f>IF(ISNUMBER(AVERAGE('20250815_ETF_Options_Exhibits'!J181:J185)),AVERAGE('20250815_ETF_Options_Exhibits'!J181:J185),"")</f>
        <v/>
      </c>
      <c r="K185" s="3">
        <f>IF(ISNUMBER(AVERAGE('20250815_ETF_Options_Exhibits'!K181:K185)),AVERAGE('20250815_ETF_Options_Exhibits'!K181:K185),"")</f>
        <v/>
      </c>
      <c r="L185" s="3">
        <f>IF(ISNUMBER(AVERAGE('20250815_ETF_Options_Exhibits'!L181:L185)),AVERAGE('20250815_ETF_Options_Exhibits'!L181:L185),"")</f>
        <v/>
      </c>
      <c r="M185" s="3">
        <f>IF(ISNUMBER(AVERAGE('20250815_ETF_Options_Exhibits'!M181:M185)),AVERAGE('20250815_ETF_Options_Exhibits'!M181:M185),"")</f>
        <v/>
      </c>
      <c r="N185" s="3">
        <f>IF(ISNUMBER(AVERAGE('20250815_ETF_Options_Exhibits'!N181:N185)),AVERAGE('20250815_ETF_Options_Exhibits'!N181:N185),"")</f>
        <v/>
      </c>
      <c r="O185" s="3">
        <f>IF(ISNUMBER(AVERAGE('20250815_ETF_Options_Exhibits'!O181:O185)),AVERAGE('20250815_ETF_Options_Exhibits'!O181:O185),"")</f>
        <v/>
      </c>
      <c r="P185" s="3">
        <f>IF(ISNUMBER(AVERAGE('20250815_ETF_Options_Exhibits'!P181:P185)),AVERAGE('20250815_ETF_Options_Exhibits'!P181:P185),"")</f>
        <v/>
      </c>
      <c r="Q185" s="3">
        <f>IF(ISNUMBER(AVERAGE('20250815_ETF_Options_Exhibits'!Q181:Q185)),AVERAGE('20250815_ETF_Options_Exhibits'!Q181:Q185),"")</f>
        <v/>
      </c>
      <c r="R185" s="3">
        <f>IF(ISNUMBER(AVERAGE('20250815_ETF_Options_Exhibits'!R181:R185)),AVERAGE('20250815_ETF_Options_Exhibits'!R181:R185),"")</f>
        <v/>
      </c>
      <c r="S185" s="3">
        <f>IF(ISNUMBER(AVERAGE('20250815_ETF_Options_Exhibits'!S181:S185)),AVERAGE('20250815_ETF_Options_Exhibits'!S181:S185),"")</f>
        <v/>
      </c>
      <c r="T185" s="3">
        <f>IF(ISNUMBER(AVERAGE('20250815_ETF_Options_Exhibits'!T181:T185)),AVERAGE('20250815_ETF_Options_Exhibits'!T181:T185),"")</f>
        <v/>
      </c>
      <c r="U185" s="3">
        <f>IF(ISNUMBER(AVERAGE('20250815_ETF_Options_Exhibits'!U181:U185)),AVERAGE('20250815_ETF_Options_Exhibits'!U181:U185),"")</f>
        <v/>
      </c>
      <c r="V185" s="3">
        <f>IF(ISNUMBER(AVERAGE('20250815_ETF_Options_Exhibits'!V181:V185)),AVERAGE('20250815_ETF_Options_Exhibits'!V181:V185),"")</f>
        <v/>
      </c>
      <c r="W185" s="3">
        <f>IF(ISNUMBER(AVERAGE('20250815_ETF_Options_Exhibits'!W181:W185)),AVERAGE('20250815_ETF_Options_Exhibits'!W181:W185),"")</f>
        <v/>
      </c>
      <c r="X185" s="3">
        <f>IF(ISNUMBER(AVERAGE('20250815_ETF_Options_Exhibits'!X181:X185)),AVERAGE('20250815_ETF_Options_Exhibits'!X181:X185),"")</f>
        <v/>
      </c>
      <c r="Y185" s="3">
        <f>IF(ISNUMBER(AVERAGE('20250815_ETF_Options_Exhibits'!Y181:Y185)),AVERAGE('20250815_ETF_Options_Exhibits'!Y181:Y185),"")</f>
        <v/>
      </c>
      <c r="Z185" s="3">
        <f>IF(ISNUMBER(AVERAGE('20250815_ETF_Options_Exhibits'!Z181:Z185)),AVERAGE('20250815_ETF_Options_Exhibits'!Z181:Z185),"")</f>
        <v/>
      </c>
      <c r="AA185" s="3">
        <f>IF(ISNUMBER(AVERAGE('20250815_ETF_Options_Exhibits'!AA181:AA185)),AVERAGE('20250815_ETF_Options_Exhibits'!AA181:AA185),"")</f>
        <v/>
      </c>
    </row>
    <row r="186">
      <c r="A186" s="1" t="n">
        <v>42271</v>
      </c>
      <c r="B186" s="3">
        <f>IF(ISNUMBER(AVERAGE('20250815_ETF_Options_Exhibits'!B182:B186)),AVERAGE('20250815_ETF_Options_Exhibits'!B182:B186),"")</f>
        <v/>
      </c>
      <c r="C186" s="3">
        <f>IF(ISNUMBER(AVERAGE('20250815_ETF_Options_Exhibits'!C182:C186)),AVERAGE('20250815_ETF_Options_Exhibits'!C182:C186),"")</f>
        <v/>
      </c>
      <c r="D186" s="3">
        <f>IF(ISNUMBER(AVERAGE('20250815_ETF_Options_Exhibits'!D182:D186)),AVERAGE('20250815_ETF_Options_Exhibits'!D182:D186),"")</f>
        <v/>
      </c>
      <c r="E186" s="3">
        <f>IF(ISNUMBER(AVERAGE('20250815_ETF_Options_Exhibits'!E182:E186)),AVERAGE('20250815_ETF_Options_Exhibits'!E182:E186),"")</f>
        <v/>
      </c>
      <c r="F186" s="3">
        <f>IF(ISNUMBER(AVERAGE('20250815_ETF_Options_Exhibits'!F182:F186)),AVERAGE('20250815_ETF_Options_Exhibits'!F182:F186),"")</f>
        <v/>
      </c>
      <c r="G186" s="3">
        <f>IF(ISNUMBER(AVERAGE('20250815_ETF_Options_Exhibits'!G182:G186)),AVERAGE('20250815_ETF_Options_Exhibits'!G182:G186),"")</f>
        <v/>
      </c>
      <c r="H186" s="3">
        <f>IF(ISNUMBER(AVERAGE('20250815_ETF_Options_Exhibits'!H182:H186)),AVERAGE('20250815_ETF_Options_Exhibits'!H182:H186),"")</f>
        <v/>
      </c>
      <c r="I186" s="3">
        <f>IF(ISNUMBER(AVERAGE('20250815_ETF_Options_Exhibits'!I182:I186)),AVERAGE('20250815_ETF_Options_Exhibits'!I182:I186),"")</f>
        <v/>
      </c>
      <c r="J186" s="3">
        <f>IF(ISNUMBER(AVERAGE('20250815_ETF_Options_Exhibits'!J182:J186)),AVERAGE('20250815_ETF_Options_Exhibits'!J182:J186),"")</f>
        <v/>
      </c>
      <c r="K186" s="3">
        <f>IF(ISNUMBER(AVERAGE('20250815_ETF_Options_Exhibits'!K182:K186)),AVERAGE('20250815_ETF_Options_Exhibits'!K182:K186),"")</f>
        <v/>
      </c>
      <c r="L186" s="3">
        <f>IF(ISNUMBER(AVERAGE('20250815_ETF_Options_Exhibits'!L182:L186)),AVERAGE('20250815_ETF_Options_Exhibits'!L182:L186),"")</f>
        <v/>
      </c>
      <c r="M186" s="3">
        <f>IF(ISNUMBER(AVERAGE('20250815_ETF_Options_Exhibits'!M182:M186)),AVERAGE('20250815_ETF_Options_Exhibits'!M182:M186),"")</f>
        <v/>
      </c>
      <c r="N186" s="3">
        <f>IF(ISNUMBER(AVERAGE('20250815_ETF_Options_Exhibits'!N182:N186)),AVERAGE('20250815_ETF_Options_Exhibits'!N182:N186),"")</f>
        <v/>
      </c>
      <c r="O186" s="3">
        <f>IF(ISNUMBER(AVERAGE('20250815_ETF_Options_Exhibits'!O182:O186)),AVERAGE('20250815_ETF_Options_Exhibits'!O182:O186),"")</f>
        <v/>
      </c>
      <c r="P186" s="3">
        <f>IF(ISNUMBER(AVERAGE('20250815_ETF_Options_Exhibits'!P182:P186)),AVERAGE('20250815_ETF_Options_Exhibits'!P182:P186),"")</f>
        <v/>
      </c>
      <c r="Q186" s="3">
        <f>IF(ISNUMBER(AVERAGE('20250815_ETF_Options_Exhibits'!Q182:Q186)),AVERAGE('20250815_ETF_Options_Exhibits'!Q182:Q186),"")</f>
        <v/>
      </c>
      <c r="R186" s="3">
        <f>IF(ISNUMBER(AVERAGE('20250815_ETF_Options_Exhibits'!R182:R186)),AVERAGE('20250815_ETF_Options_Exhibits'!R182:R186),"")</f>
        <v/>
      </c>
      <c r="S186" s="3">
        <f>IF(ISNUMBER(AVERAGE('20250815_ETF_Options_Exhibits'!S182:S186)),AVERAGE('20250815_ETF_Options_Exhibits'!S182:S186),"")</f>
        <v/>
      </c>
      <c r="T186" s="3">
        <f>IF(ISNUMBER(AVERAGE('20250815_ETF_Options_Exhibits'!T182:T186)),AVERAGE('20250815_ETF_Options_Exhibits'!T182:T186),"")</f>
        <v/>
      </c>
      <c r="U186" s="3">
        <f>IF(ISNUMBER(AVERAGE('20250815_ETF_Options_Exhibits'!U182:U186)),AVERAGE('20250815_ETF_Options_Exhibits'!U182:U186),"")</f>
        <v/>
      </c>
      <c r="V186" s="3">
        <f>IF(ISNUMBER(AVERAGE('20250815_ETF_Options_Exhibits'!V182:V186)),AVERAGE('20250815_ETF_Options_Exhibits'!V182:V186),"")</f>
        <v/>
      </c>
      <c r="W186" s="3">
        <f>IF(ISNUMBER(AVERAGE('20250815_ETF_Options_Exhibits'!W182:W186)),AVERAGE('20250815_ETF_Options_Exhibits'!W182:W186),"")</f>
        <v/>
      </c>
      <c r="X186" s="3">
        <f>IF(ISNUMBER(AVERAGE('20250815_ETF_Options_Exhibits'!X182:X186)),AVERAGE('20250815_ETF_Options_Exhibits'!X182:X186),"")</f>
        <v/>
      </c>
      <c r="Y186" s="3">
        <f>IF(ISNUMBER(AVERAGE('20250815_ETF_Options_Exhibits'!Y182:Y186)),AVERAGE('20250815_ETF_Options_Exhibits'!Y182:Y186),"")</f>
        <v/>
      </c>
      <c r="Z186" s="3">
        <f>IF(ISNUMBER(AVERAGE('20250815_ETF_Options_Exhibits'!Z182:Z186)),AVERAGE('20250815_ETF_Options_Exhibits'!Z182:Z186),"")</f>
        <v/>
      </c>
      <c r="AA186" s="3">
        <f>IF(ISNUMBER(AVERAGE('20250815_ETF_Options_Exhibits'!AA182:AA186)),AVERAGE('20250815_ETF_Options_Exhibits'!AA182:AA186),"")</f>
        <v/>
      </c>
    </row>
    <row r="187">
      <c r="A187" s="1" t="n">
        <v>42272</v>
      </c>
      <c r="B187" s="3">
        <f>IF(ISNUMBER(AVERAGE('20250815_ETF_Options_Exhibits'!B183:B187)),AVERAGE('20250815_ETF_Options_Exhibits'!B183:B187),"")</f>
        <v/>
      </c>
      <c r="C187" s="3">
        <f>IF(ISNUMBER(AVERAGE('20250815_ETF_Options_Exhibits'!C183:C187)),AVERAGE('20250815_ETF_Options_Exhibits'!C183:C187),"")</f>
        <v/>
      </c>
      <c r="D187" s="3">
        <f>IF(ISNUMBER(AVERAGE('20250815_ETF_Options_Exhibits'!D183:D187)),AVERAGE('20250815_ETF_Options_Exhibits'!D183:D187),"")</f>
        <v/>
      </c>
      <c r="E187" s="3">
        <f>IF(ISNUMBER(AVERAGE('20250815_ETF_Options_Exhibits'!E183:E187)),AVERAGE('20250815_ETF_Options_Exhibits'!E183:E187),"")</f>
        <v/>
      </c>
      <c r="F187" s="3">
        <f>IF(ISNUMBER(AVERAGE('20250815_ETF_Options_Exhibits'!F183:F187)),AVERAGE('20250815_ETF_Options_Exhibits'!F183:F187),"")</f>
        <v/>
      </c>
      <c r="G187" s="3">
        <f>IF(ISNUMBER(AVERAGE('20250815_ETF_Options_Exhibits'!G183:G187)),AVERAGE('20250815_ETF_Options_Exhibits'!G183:G187),"")</f>
        <v/>
      </c>
      <c r="H187" s="3">
        <f>IF(ISNUMBER(AVERAGE('20250815_ETF_Options_Exhibits'!H183:H187)),AVERAGE('20250815_ETF_Options_Exhibits'!H183:H187),"")</f>
        <v/>
      </c>
      <c r="I187" s="3">
        <f>IF(ISNUMBER(AVERAGE('20250815_ETF_Options_Exhibits'!I183:I187)),AVERAGE('20250815_ETF_Options_Exhibits'!I183:I187),"")</f>
        <v/>
      </c>
      <c r="J187" s="3">
        <f>IF(ISNUMBER(AVERAGE('20250815_ETF_Options_Exhibits'!J183:J187)),AVERAGE('20250815_ETF_Options_Exhibits'!J183:J187),"")</f>
        <v/>
      </c>
      <c r="K187" s="3">
        <f>IF(ISNUMBER(AVERAGE('20250815_ETF_Options_Exhibits'!K183:K187)),AVERAGE('20250815_ETF_Options_Exhibits'!K183:K187),"")</f>
        <v/>
      </c>
      <c r="L187" s="3">
        <f>IF(ISNUMBER(AVERAGE('20250815_ETF_Options_Exhibits'!L183:L187)),AVERAGE('20250815_ETF_Options_Exhibits'!L183:L187),"")</f>
        <v/>
      </c>
      <c r="M187" s="3">
        <f>IF(ISNUMBER(AVERAGE('20250815_ETF_Options_Exhibits'!M183:M187)),AVERAGE('20250815_ETF_Options_Exhibits'!M183:M187),"")</f>
        <v/>
      </c>
      <c r="N187" s="3">
        <f>IF(ISNUMBER(AVERAGE('20250815_ETF_Options_Exhibits'!N183:N187)),AVERAGE('20250815_ETF_Options_Exhibits'!N183:N187),"")</f>
        <v/>
      </c>
      <c r="O187" s="3">
        <f>IF(ISNUMBER(AVERAGE('20250815_ETF_Options_Exhibits'!O183:O187)),AVERAGE('20250815_ETF_Options_Exhibits'!O183:O187),"")</f>
        <v/>
      </c>
      <c r="P187" s="3">
        <f>IF(ISNUMBER(AVERAGE('20250815_ETF_Options_Exhibits'!P183:P187)),AVERAGE('20250815_ETF_Options_Exhibits'!P183:P187),"")</f>
        <v/>
      </c>
      <c r="Q187" s="3">
        <f>IF(ISNUMBER(AVERAGE('20250815_ETF_Options_Exhibits'!Q183:Q187)),AVERAGE('20250815_ETF_Options_Exhibits'!Q183:Q187),"")</f>
        <v/>
      </c>
      <c r="R187" s="3">
        <f>IF(ISNUMBER(AVERAGE('20250815_ETF_Options_Exhibits'!R183:R187)),AVERAGE('20250815_ETF_Options_Exhibits'!R183:R187),"")</f>
        <v/>
      </c>
      <c r="S187" s="3">
        <f>IF(ISNUMBER(AVERAGE('20250815_ETF_Options_Exhibits'!S183:S187)),AVERAGE('20250815_ETF_Options_Exhibits'!S183:S187),"")</f>
        <v/>
      </c>
      <c r="T187" s="3">
        <f>IF(ISNUMBER(AVERAGE('20250815_ETF_Options_Exhibits'!T183:T187)),AVERAGE('20250815_ETF_Options_Exhibits'!T183:T187),"")</f>
        <v/>
      </c>
      <c r="U187" s="3">
        <f>IF(ISNUMBER(AVERAGE('20250815_ETF_Options_Exhibits'!U183:U187)),AVERAGE('20250815_ETF_Options_Exhibits'!U183:U187),"")</f>
        <v/>
      </c>
      <c r="V187" s="3">
        <f>IF(ISNUMBER(AVERAGE('20250815_ETF_Options_Exhibits'!V183:V187)),AVERAGE('20250815_ETF_Options_Exhibits'!V183:V187),"")</f>
        <v/>
      </c>
      <c r="W187" s="3">
        <f>IF(ISNUMBER(AVERAGE('20250815_ETF_Options_Exhibits'!W183:W187)),AVERAGE('20250815_ETF_Options_Exhibits'!W183:W187),"")</f>
        <v/>
      </c>
      <c r="X187" s="3">
        <f>IF(ISNUMBER(AVERAGE('20250815_ETF_Options_Exhibits'!X183:X187)),AVERAGE('20250815_ETF_Options_Exhibits'!X183:X187),"")</f>
        <v/>
      </c>
      <c r="Y187" s="3">
        <f>IF(ISNUMBER(AVERAGE('20250815_ETF_Options_Exhibits'!Y183:Y187)),AVERAGE('20250815_ETF_Options_Exhibits'!Y183:Y187),"")</f>
        <v/>
      </c>
      <c r="Z187" s="3">
        <f>IF(ISNUMBER(AVERAGE('20250815_ETF_Options_Exhibits'!Z183:Z187)),AVERAGE('20250815_ETF_Options_Exhibits'!Z183:Z187),"")</f>
        <v/>
      </c>
      <c r="AA187" s="3">
        <f>IF(ISNUMBER(AVERAGE('20250815_ETF_Options_Exhibits'!AA183:AA187)),AVERAGE('20250815_ETF_Options_Exhibits'!AA183:AA187),"")</f>
        <v/>
      </c>
    </row>
    <row r="188">
      <c r="A188" s="1" t="n">
        <v>42275</v>
      </c>
      <c r="B188" s="3">
        <f>IF(ISNUMBER(AVERAGE('20250815_ETF_Options_Exhibits'!B184:B188)),AVERAGE('20250815_ETF_Options_Exhibits'!B184:B188),"")</f>
        <v/>
      </c>
      <c r="C188" s="3">
        <f>IF(ISNUMBER(AVERAGE('20250815_ETF_Options_Exhibits'!C184:C188)),AVERAGE('20250815_ETF_Options_Exhibits'!C184:C188),"")</f>
        <v/>
      </c>
      <c r="D188" s="3">
        <f>IF(ISNUMBER(AVERAGE('20250815_ETF_Options_Exhibits'!D184:D188)),AVERAGE('20250815_ETF_Options_Exhibits'!D184:D188),"")</f>
        <v/>
      </c>
      <c r="E188" s="3">
        <f>IF(ISNUMBER(AVERAGE('20250815_ETF_Options_Exhibits'!E184:E188)),AVERAGE('20250815_ETF_Options_Exhibits'!E184:E188),"")</f>
        <v/>
      </c>
      <c r="F188" s="3">
        <f>IF(ISNUMBER(AVERAGE('20250815_ETF_Options_Exhibits'!F184:F188)),AVERAGE('20250815_ETF_Options_Exhibits'!F184:F188),"")</f>
        <v/>
      </c>
      <c r="G188" s="3">
        <f>IF(ISNUMBER(AVERAGE('20250815_ETF_Options_Exhibits'!G184:G188)),AVERAGE('20250815_ETF_Options_Exhibits'!G184:G188),"")</f>
        <v/>
      </c>
      <c r="H188" s="3">
        <f>IF(ISNUMBER(AVERAGE('20250815_ETF_Options_Exhibits'!H184:H188)),AVERAGE('20250815_ETF_Options_Exhibits'!H184:H188),"")</f>
        <v/>
      </c>
      <c r="I188" s="3">
        <f>IF(ISNUMBER(AVERAGE('20250815_ETF_Options_Exhibits'!I184:I188)),AVERAGE('20250815_ETF_Options_Exhibits'!I184:I188),"")</f>
        <v/>
      </c>
      <c r="J188" s="3">
        <f>IF(ISNUMBER(AVERAGE('20250815_ETF_Options_Exhibits'!J184:J188)),AVERAGE('20250815_ETF_Options_Exhibits'!J184:J188),"")</f>
        <v/>
      </c>
      <c r="K188" s="3">
        <f>IF(ISNUMBER(AVERAGE('20250815_ETF_Options_Exhibits'!K184:K188)),AVERAGE('20250815_ETF_Options_Exhibits'!K184:K188),"")</f>
        <v/>
      </c>
      <c r="L188" s="3">
        <f>IF(ISNUMBER(AVERAGE('20250815_ETF_Options_Exhibits'!L184:L188)),AVERAGE('20250815_ETF_Options_Exhibits'!L184:L188),"")</f>
        <v/>
      </c>
      <c r="M188" s="3">
        <f>IF(ISNUMBER(AVERAGE('20250815_ETF_Options_Exhibits'!M184:M188)),AVERAGE('20250815_ETF_Options_Exhibits'!M184:M188),"")</f>
        <v/>
      </c>
      <c r="N188" s="3">
        <f>IF(ISNUMBER(AVERAGE('20250815_ETF_Options_Exhibits'!N184:N188)),AVERAGE('20250815_ETF_Options_Exhibits'!N184:N188),"")</f>
        <v/>
      </c>
      <c r="O188" s="3">
        <f>IF(ISNUMBER(AVERAGE('20250815_ETF_Options_Exhibits'!O184:O188)),AVERAGE('20250815_ETF_Options_Exhibits'!O184:O188),"")</f>
        <v/>
      </c>
      <c r="P188" s="3">
        <f>IF(ISNUMBER(AVERAGE('20250815_ETF_Options_Exhibits'!P184:P188)),AVERAGE('20250815_ETF_Options_Exhibits'!P184:P188),"")</f>
        <v/>
      </c>
      <c r="Q188" s="3">
        <f>IF(ISNUMBER(AVERAGE('20250815_ETF_Options_Exhibits'!Q184:Q188)),AVERAGE('20250815_ETF_Options_Exhibits'!Q184:Q188),"")</f>
        <v/>
      </c>
      <c r="R188" s="3">
        <f>IF(ISNUMBER(AVERAGE('20250815_ETF_Options_Exhibits'!R184:R188)),AVERAGE('20250815_ETF_Options_Exhibits'!R184:R188),"")</f>
        <v/>
      </c>
      <c r="S188" s="3">
        <f>IF(ISNUMBER(AVERAGE('20250815_ETF_Options_Exhibits'!S184:S188)),AVERAGE('20250815_ETF_Options_Exhibits'!S184:S188),"")</f>
        <v/>
      </c>
      <c r="T188" s="3">
        <f>IF(ISNUMBER(AVERAGE('20250815_ETF_Options_Exhibits'!T184:T188)),AVERAGE('20250815_ETF_Options_Exhibits'!T184:T188),"")</f>
        <v/>
      </c>
      <c r="U188" s="3">
        <f>IF(ISNUMBER(AVERAGE('20250815_ETF_Options_Exhibits'!U184:U188)),AVERAGE('20250815_ETF_Options_Exhibits'!U184:U188),"")</f>
        <v/>
      </c>
      <c r="V188" s="3">
        <f>IF(ISNUMBER(AVERAGE('20250815_ETF_Options_Exhibits'!V184:V188)),AVERAGE('20250815_ETF_Options_Exhibits'!V184:V188),"")</f>
        <v/>
      </c>
      <c r="W188" s="3">
        <f>IF(ISNUMBER(AVERAGE('20250815_ETF_Options_Exhibits'!W184:W188)),AVERAGE('20250815_ETF_Options_Exhibits'!W184:W188),"")</f>
        <v/>
      </c>
      <c r="X188" s="3">
        <f>IF(ISNUMBER(AVERAGE('20250815_ETF_Options_Exhibits'!X184:X188)),AVERAGE('20250815_ETF_Options_Exhibits'!X184:X188),"")</f>
        <v/>
      </c>
      <c r="Y188" s="3">
        <f>IF(ISNUMBER(AVERAGE('20250815_ETF_Options_Exhibits'!Y184:Y188)),AVERAGE('20250815_ETF_Options_Exhibits'!Y184:Y188),"")</f>
        <v/>
      </c>
      <c r="Z188" s="3">
        <f>IF(ISNUMBER(AVERAGE('20250815_ETF_Options_Exhibits'!Z184:Z188)),AVERAGE('20250815_ETF_Options_Exhibits'!Z184:Z188),"")</f>
        <v/>
      </c>
      <c r="AA188" s="3">
        <f>IF(ISNUMBER(AVERAGE('20250815_ETF_Options_Exhibits'!AA184:AA188)),AVERAGE('20250815_ETF_Options_Exhibits'!AA184:AA188),"")</f>
        <v/>
      </c>
    </row>
    <row r="189">
      <c r="A189" s="1" t="n">
        <v>42276</v>
      </c>
      <c r="B189" s="3">
        <f>IF(ISNUMBER(AVERAGE('20250815_ETF_Options_Exhibits'!B185:B189)),AVERAGE('20250815_ETF_Options_Exhibits'!B185:B189),"")</f>
        <v/>
      </c>
      <c r="C189" s="3">
        <f>IF(ISNUMBER(AVERAGE('20250815_ETF_Options_Exhibits'!C185:C189)),AVERAGE('20250815_ETF_Options_Exhibits'!C185:C189),"")</f>
        <v/>
      </c>
      <c r="D189" s="3">
        <f>IF(ISNUMBER(AVERAGE('20250815_ETF_Options_Exhibits'!D185:D189)),AVERAGE('20250815_ETF_Options_Exhibits'!D185:D189),"")</f>
        <v/>
      </c>
      <c r="E189" s="3">
        <f>IF(ISNUMBER(AVERAGE('20250815_ETF_Options_Exhibits'!E185:E189)),AVERAGE('20250815_ETF_Options_Exhibits'!E185:E189),"")</f>
        <v/>
      </c>
      <c r="F189" s="3">
        <f>IF(ISNUMBER(AVERAGE('20250815_ETF_Options_Exhibits'!F185:F189)),AVERAGE('20250815_ETF_Options_Exhibits'!F185:F189),"")</f>
        <v/>
      </c>
      <c r="G189" s="3">
        <f>IF(ISNUMBER(AVERAGE('20250815_ETF_Options_Exhibits'!G185:G189)),AVERAGE('20250815_ETF_Options_Exhibits'!G185:G189),"")</f>
        <v/>
      </c>
      <c r="H189" s="3">
        <f>IF(ISNUMBER(AVERAGE('20250815_ETF_Options_Exhibits'!H185:H189)),AVERAGE('20250815_ETF_Options_Exhibits'!H185:H189),"")</f>
        <v/>
      </c>
      <c r="I189" s="3">
        <f>IF(ISNUMBER(AVERAGE('20250815_ETF_Options_Exhibits'!I185:I189)),AVERAGE('20250815_ETF_Options_Exhibits'!I185:I189),"")</f>
        <v/>
      </c>
      <c r="J189" s="3">
        <f>IF(ISNUMBER(AVERAGE('20250815_ETF_Options_Exhibits'!J185:J189)),AVERAGE('20250815_ETF_Options_Exhibits'!J185:J189),"")</f>
        <v/>
      </c>
      <c r="K189" s="3">
        <f>IF(ISNUMBER(AVERAGE('20250815_ETF_Options_Exhibits'!K185:K189)),AVERAGE('20250815_ETF_Options_Exhibits'!K185:K189),"")</f>
        <v/>
      </c>
      <c r="L189" s="3">
        <f>IF(ISNUMBER(AVERAGE('20250815_ETF_Options_Exhibits'!L185:L189)),AVERAGE('20250815_ETF_Options_Exhibits'!L185:L189),"")</f>
        <v/>
      </c>
      <c r="M189" s="3">
        <f>IF(ISNUMBER(AVERAGE('20250815_ETF_Options_Exhibits'!M185:M189)),AVERAGE('20250815_ETF_Options_Exhibits'!M185:M189),"")</f>
        <v/>
      </c>
      <c r="N189" s="3">
        <f>IF(ISNUMBER(AVERAGE('20250815_ETF_Options_Exhibits'!N185:N189)),AVERAGE('20250815_ETF_Options_Exhibits'!N185:N189),"")</f>
        <v/>
      </c>
      <c r="O189" s="3">
        <f>IF(ISNUMBER(AVERAGE('20250815_ETF_Options_Exhibits'!O185:O189)),AVERAGE('20250815_ETF_Options_Exhibits'!O185:O189),"")</f>
        <v/>
      </c>
      <c r="P189" s="3">
        <f>IF(ISNUMBER(AVERAGE('20250815_ETF_Options_Exhibits'!P185:P189)),AVERAGE('20250815_ETF_Options_Exhibits'!P185:P189),"")</f>
        <v/>
      </c>
      <c r="Q189" s="3">
        <f>IF(ISNUMBER(AVERAGE('20250815_ETF_Options_Exhibits'!Q185:Q189)),AVERAGE('20250815_ETF_Options_Exhibits'!Q185:Q189),"")</f>
        <v/>
      </c>
      <c r="R189" s="3">
        <f>IF(ISNUMBER(AVERAGE('20250815_ETF_Options_Exhibits'!R185:R189)),AVERAGE('20250815_ETF_Options_Exhibits'!R185:R189),"")</f>
        <v/>
      </c>
      <c r="S189" s="3">
        <f>IF(ISNUMBER(AVERAGE('20250815_ETF_Options_Exhibits'!S185:S189)),AVERAGE('20250815_ETF_Options_Exhibits'!S185:S189),"")</f>
        <v/>
      </c>
      <c r="T189" s="3">
        <f>IF(ISNUMBER(AVERAGE('20250815_ETF_Options_Exhibits'!T185:T189)),AVERAGE('20250815_ETF_Options_Exhibits'!T185:T189),"")</f>
        <v/>
      </c>
      <c r="U189" s="3">
        <f>IF(ISNUMBER(AVERAGE('20250815_ETF_Options_Exhibits'!U185:U189)),AVERAGE('20250815_ETF_Options_Exhibits'!U185:U189),"")</f>
        <v/>
      </c>
      <c r="V189" s="3">
        <f>IF(ISNUMBER(AVERAGE('20250815_ETF_Options_Exhibits'!V185:V189)),AVERAGE('20250815_ETF_Options_Exhibits'!V185:V189),"")</f>
        <v/>
      </c>
      <c r="W189" s="3">
        <f>IF(ISNUMBER(AVERAGE('20250815_ETF_Options_Exhibits'!W185:W189)),AVERAGE('20250815_ETF_Options_Exhibits'!W185:W189),"")</f>
        <v/>
      </c>
      <c r="X189" s="3">
        <f>IF(ISNUMBER(AVERAGE('20250815_ETF_Options_Exhibits'!X185:X189)),AVERAGE('20250815_ETF_Options_Exhibits'!X185:X189),"")</f>
        <v/>
      </c>
      <c r="Y189" s="3">
        <f>IF(ISNUMBER(AVERAGE('20250815_ETF_Options_Exhibits'!Y185:Y189)),AVERAGE('20250815_ETF_Options_Exhibits'!Y185:Y189),"")</f>
        <v/>
      </c>
      <c r="Z189" s="3">
        <f>IF(ISNUMBER(AVERAGE('20250815_ETF_Options_Exhibits'!Z185:Z189)),AVERAGE('20250815_ETF_Options_Exhibits'!Z185:Z189),"")</f>
        <v/>
      </c>
      <c r="AA189" s="3">
        <f>IF(ISNUMBER(AVERAGE('20250815_ETF_Options_Exhibits'!AA185:AA189)),AVERAGE('20250815_ETF_Options_Exhibits'!AA185:AA189),"")</f>
        <v/>
      </c>
    </row>
    <row r="190">
      <c r="A190" s="1" t="n">
        <v>42277</v>
      </c>
      <c r="B190" s="3">
        <f>IF(ISNUMBER(AVERAGE('20250815_ETF_Options_Exhibits'!B186:B190)),AVERAGE('20250815_ETF_Options_Exhibits'!B186:B190),"")</f>
        <v/>
      </c>
      <c r="C190" s="3">
        <f>IF(ISNUMBER(AVERAGE('20250815_ETF_Options_Exhibits'!C186:C190)),AVERAGE('20250815_ETF_Options_Exhibits'!C186:C190),"")</f>
        <v/>
      </c>
      <c r="D190" s="3">
        <f>IF(ISNUMBER(AVERAGE('20250815_ETF_Options_Exhibits'!D186:D190)),AVERAGE('20250815_ETF_Options_Exhibits'!D186:D190),"")</f>
        <v/>
      </c>
      <c r="E190" s="3">
        <f>IF(ISNUMBER(AVERAGE('20250815_ETF_Options_Exhibits'!E186:E190)),AVERAGE('20250815_ETF_Options_Exhibits'!E186:E190),"")</f>
        <v/>
      </c>
      <c r="F190" s="3">
        <f>IF(ISNUMBER(AVERAGE('20250815_ETF_Options_Exhibits'!F186:F190)),AVERAGE('20250815_ETF_Options_Exhibits'!F186:F190),"")</f>
        <v/>
      </c>
      <c r="G190" s="3">
        <f>IF(ISNUMBER(AVERAGE('20250815_ETF_Options_Exhibits'!G186:G190)),AVERAGE('20250815_ETF_Options_Exhibits'!G186:G190),"")</f>
        <v/>
      </c>
      <c r="H190" s="3">
        <f>IF(ISNUMBER(AVERAGE('20250815_ETF_Options_Exhibits'!H186:H190)),AVERAGE('20250815_ETF_Options_Exhibits'!H186:H190),"")</f>
        <v/>
      </c>
      <c r="I190" s="3">
        <f>IF(ISNUMBER(AVERAGE('20250815_ETF_Options_Exhibits'!I186:I190)),AVERAGE('20250815_ETF_Options_Exhibits'!I186:I190),"")</f>
        <v/>
      </c>
      <c r="J190" s="3">
        <f>IF(ISNUMBER(AVERAGE('20250815_ETF_Options_Exhibits'!J186:J190)),AVERAGE('20250815_ETF_Options_Exhibits'!J186:J190),"")</f>
        <v/>
      </c>
      <c r="K190" s="3">
        <f>IF(ISNUMBER(AVERAGE('20250815_ETF_Options_Exhibits'!K186:K190)),AVERAGE('20250815_ETF_Options_Exhibits'!K186:K190),"")</f>
        <v/>
      </c>
      <c r="L190" s="3">
        <f>IF(ISNUMBER(AVERAGE('20250815_ETF_Options_Exhibits'!L186:L190)),AVERAGE('20250815_ETF_Options_Exhibits'!L186:L190),"")</f>
        <v/>
      </c>
      <c r="M190" s="3">
        <f>IF(ISNUMBER(AVERAGE('20250815_ETF_Options_Exhibits'!M186:M190)),AVERAGE('20250815_ETF_Options_Exhibits'!M186:M190),"")</f>
        <v/>
      </c>
      <c r="N190" s="3">
        <f>IF(ISNUMBER(AVERAGE('20250815_ETF_Options_Exhibits'!N186:N190)),AVERAGE('20250815_ETF_Options_Exhibits'!N186:N190),"")</f>
        <v/>
      </c>
      <c r="O190" s="3">
        <f>IF(ISNUMBER(AVERAGE('20250815_ETF_Options_Exhibits'!O186:O190)),AVERAGE('20250815_ETF_Options_Exhibits'!O186:O190),"")</f>
        <v/>
      </c>
      <c r="P190" s="3">
        <f>IF(ISNUMBER(AVERAGE('20250815_ETF_Options_Exhibits'!P186:P190)),AVERAGE('20250815_ETF_Options_Exhibits'!P186:P190),"")</f>
        <v/>
      </c>
      <c r="Q190" s="3">
        <f>IF(ISNUMBER(AVERAGE('20250815_ETF_Options_Exhibits'!Q186:Q190)),AVERAGE('20250815_ETF_Options_Exhibits'!Q186:Q190),"")</f>
        <v/>
      </c>
      <c r="R190" s="3">
        <f>IF(ISNUMBER(AVERAGE('20250815_ETF_Options_Exhibits'!R186:R190)),AVERAGE('20250815_ETF_Options_Exhibits'!R186:R190),"")</f>
        <v/>
      </c>
      <c r="S190" s="3">
        <f>IF(ISNUMBER(AVERAGE('20250815_ETF_Options_Exhibits'!S186:S190)),AVERAGE('20250815_ETF_Options_Exhibits'!S186:S190),"")</f>
        <v/>
      </c>
      <c r="T190" s="3">
        <f>IF(ISNUMBER(AVERAGE('20250815_ETF_Options_Exhibits'!T186:T190)),AVERAGE('20250815_ETF_Options_Exhibits'!T186:T190),"")</f>
        <v/>
      </c>
      <c r="U190" s="3">
        <f>IF(ISNUMBER(AVERAGE('20250815_ETF_Options_Exhibits'!U186:U190)),AVERAGE('20250815_ETF_Options_Exhibits'!U186:U190),"")</f>
        <v/>
      </c>
      <c r="V190" s="3">
        <f>IF(ISNUMBER(AVERAGE('20250815_ETF_Options_Exhibits'!V186:V190)),AVERAGE('20250815_ETF_Options_Exhibits'!V186:V190),"")</f>
        <v/>
      </c>
      <c r="W190" s="3">
        <f>IF(ISNUMBER(AVERAGE('20250815_ETF_Options_Exhibits'!W186:W190)),AVERAGE('20250815_ETF_Options_Exhibits'!W186:W190),"")</f>
        <v/>
      </c>
      <c r="X190" s="3">
        <f>IF(ISNUMBER(AVERAGE('20250815_ETF_Options_Exhibits'!X186:X190)),AVERAGE('20250815_ETF_Options_Exhibits'!X186:X190),"")</f>
        <v/>
      </c>
      <c r="Y190" s="3">
        <f>IF(ISNUMBER(AVERAGE('20250815_ETF_Options_Exhibits'!Y186:Y190)),AVERAGE('20250815_ETF_Options_Exhibits'!Y186:Y190),"")</f>
        <v/>
      </c>
      <c r="Z190" s="3">
        <f>IF(ISNUMBER(AVERAGE('20250815_ETF_Options_Exhibits'!Z186:Z190)),AVERAGE('20250815_ETF_Options_Exhibits'!Z186:Z190),"")</f>
        <v/>
      </c>
      <c r="AA190" s="3">
        <f>IF(ISNUMBER(AVERAGE('20250815_ETF_Options_Exhibits'!AA186:AA190)),AVERAGE('20250815_ETF_Options_Exhibits'!AA186:AA190),"")</f>
        <v/>
      </c>
    </row>
    <row r="191">
      <c r="A191" s="1" t="n">
        <v>42278</v>
      </c>
      <c r="B191" s="3">
        <f>IF(ISNUMBER(AVERAGE('20250815_ETF_Options_Exhibits'!B187:B191)),AVERAGE('20250815_ETF_Options_Exhibits'!B187:B191),"")</f>
        <v/>
      </c>
      <c r="C191" s="3">
        <f>IF(ISNUMBER(AVERAGE('20250815_ETF_Options_Exhibits'!C187:C191)),AVERAGE('20250815_ETF_Options_Exhibits'!C187:C191),"")</f>
        <v/>
      </c>
      <c r="D191" s="3">
        <f>IF(ISNUMBER(AVERAGE('20250815_ETF_Options_Exhibits'!D187:D191)),AVERAGE('20250815_ETF_Options_Exhibits'!D187:D191),"")</f>
        <v/>
      </c>
      <c r="E191" s="3">
        <f>IF(ISNUMBER(AVERAGE('20250815_ETF_Options_Exhibits'!E187:E191)),AVERAGE('20250815_ETF_Options_Exhibits'!E187:E191),"")</f>
        <v/>
      </c>
      <c r="F191" s="3">
        <f>IF(ISNUMBER(AVERAGE('20250815_ETF_Options_Exhibits'!F187:F191)),AVERAGE('20250815_ETF_Options_Exhibits'!F187:F191),"")</f>
        <v/>
      </c>
      <c r="G191" s="3">
        <f>IF(ISNUMBER(AVERAGE('20250815_ETF_Options_Exhibits'!G187:G191)),AVERAGE('20250815_ETF_Options_Exhibits'!G187:G191),"")</f>
        <v/>
      </c>
      <c r="H191" s="3">
        <f>IF(ISNUMBER(AVERAGE('20250815_ETF_Options_Exhibits'!H187:H191)),AVERAGE('20250815_ETF_Options_Exhibits'!H187:H191),"")</f>
        <v/>
      </c>
      <c r="I191" s="3">
        <f>IF(ISNUMBER(AVERAGE('20250815_ETF_Options_Exhibits'!I187:I191)),AVERAGE('20250815_ETF_Options_Exhibits'!I187:I191),"")</f>
        <v/>
      </c>
      <c r="J191" s="3">
        <f>IF(ISNUMBER(AVERAGE('20250815_ETF_Options_Exhibits'!J187:J191)),AVERAGE('20250815_ETF_Options_Exhibits'!J187:J191),"")</f>
        <v/>
      </c>
      <c r="K191" s="3">
        <f>IF(ISNUMBER(AVERAGE('20250815_ETF_Options_Exhibits'!K187:K191)),AVERAGE('20250815_ETF_Options_Exhibits'!K187:K191),"")</f>
        <v/>
      </c>
      <c r="L191" s="3">
        <f>IF(ISNUMBER(AVERAGE('20250815_ETF_Options_Exhibits'!L187:L191)),AVERAGE('20250815_ETF_Options_Exhibits'!L187:L191),"")</f>
        <v/>
      </c>
      <c r="M191" s="3">
        <f>IF(ISNUMBER(AVERAGE('20250815_ETF_Options_Exhibits'!M187:M191)),AVERAGE('20250815_ETF_Options_Exhibits'!M187:M191),"")</f>
        <v/>
      </c>
      <c r="N191" s="3">
        <f>IF(ISNUMBER(AVERAGE('20250815_ETF_Options_Exhibits'!N187:N191)),AVERAGE('20250815_ETF_Options_Exhibits'!N187:N191),"")</f>
        <v/>
      </c>
      <c r="O191" s="3">
        <f>IF(ISNUMBER(AVERAGE('20250815_ETF_Options_Exhibits'!O187:O191)),AVERAGE('20250815_ETF_Options_Exhibits'!O187:O191),"")</f>
        <v/>
      </c>
      <c r="P191" s="3">
        <f>IF(ISNUMBER(AVERAGE('20250815_ETF_Options_Exhibits'!P187:P191)),AVERAGE('20250815_ETF_Options_Exhibits'!P187:P191),"")</f>
        <v/>
      </c>
      <c r="Q191" s="3">
        <f>IF(ISNUMBER(AVERAGE('20250815_ETF_Options_Exhibits'!Q187:Q191)),AVERAGE('20250815_ETF_Options_Exhibits'!Q187:Q191),"")</f>
        <v/>
      </c>
      <c r="R191" s="3">
        <f>IF(ISNUMBER(AVERAGE('20250815_ETF_Options_Exhibits'!R187:R191)),AVERAGE('20250815_ETF_Options_Exhibits'!R187:R191),"")</f>
        <v/>
      </c>
      <c r="S191" s="3">
        <f>IF(ISNUMBER(AVERAGE('20250815_ETF_Options_Exhibits'!S187:S191)),AVERAGE('20250815_ETF_Options_Exhibits'!S187:S191),"")</f>
        <v/>
      </c>
      <c r="T191" s="3">
        <f>IF(ISNUMBER(AVERAGE('20250815_ETF_Options_Exhibits'!T187:T191)),AVERAGE('20250815_ETF_Options_Exhibits'!T187:T191),"")</f>
        <v/>
      </c>
      <c r="U191" s="3">
        <f>IF(ISNUMBER(AVERAGE('20250815_ETF_Options_Exhibits'!U187:U191)),AVERAGE('20250815_ETF_Options_Exhibits'!U187:U191),"")</f>
        <v/>
      </c>
      <c r="V191" s="3">
        <f>IF(ISNUMBER(AVERAGE('20250815_ETF_Options_Exhibits'!V187:V191)),AVERAGE('20250815_ETF_Options_Exhibits'!V187:V191),"")</f>
        <v/>
      </c>
      <c r="W191" s="3">
        <f>IF(ISNUMBER(AVERAGE('20250815_ETF_Options_Exhibits'!W187:W191)),AVERAGE('20250815_ETF_Options_Exhibits'!W187:W191),"")</f>
        <v/>
      </c>
      <c r="X191" s="3">
        <f>IF(ISNUMBER(AVERAGE('20250815_ETF_Options_Exhibits'!X187:X191)),AVERAGE('20250815_ETF_Options_Exhibits'!X187:X191),"")</f>
        <v/>
      </c>
      <c r="Y191" s="3">
        <f>IF(ISNUMBER(AVERAGE('20250815_ETF_Options_Exhibits'!Y187:Y191)),AVERAGE('20250815_ETF_Options_Exhibits'!Y187:Y191),"")</f>
        <v/>
      </c>
      <c r="Z191" s="3">
        <f>IF(ISNUMBER(AVERAGE('20250815_ETF_Options_Exhibits'!Z187:Z191)),AVERAGE('20250815_ETF_Options_Exhibits'!Z187:Z191),"")</f>
        <v/>
      </c>
      <c r="AA191" s="3">
        <f>IF(ISNUMBER(AVERAGE('20250815_ETF_Options_Exhibits'!AA187:AA191)),AVERAGE('20250815_ETF_Options_Exhibits'!AA187:AA191),"")</f>
        <v/>
      </c>
    </row>
    <row r="192">
      <c r="A192" s="1" t="n">
        <v>42279</v>
      </c>
      <c r="B192" s="3">
        <f>IF(ISNUMBER(AVERAGE('20250815_ETF_Options_Exhibits'!B188:B192)),AVERAGE('20250815_ETF_Options_Exhibits'!B188:B192),"")</f>
        <v/>
      </c>
      <c r="C192" s="3">
        <f>IF(ISNUMBER(AVERAGE('20250815_ETF_Options_Exhibits'!C188:C192)),AVERAGE('20250815_ETF_Options_Exhibits'!C188:C192),"")</f>
        <v/>
      </c>
      <c r="D192" s="3">
        <f>IF(ISNUMBER(AVERAGE('20250815_ETF_Options_Exhibits'!D188:D192)),AVERAGE('20250815_ETF_Options_Exhibits'!D188:D192),"")</f>
        <v/>
      </c>
      <c r="E192" s="3">
        <f>IF(ISNUMBER(AVERAGE('20250815_ETF_Options_Exhibits'!E188:E192)),AVERAGE('20250815_ETF_Options_Exhibits'!E188:E192),"")</f>
        <v/>
      </c>
      <c r="F192" s="3">
        <f>IF(ISNUMBER(AVERAGE('20250815_ETF_Options_Exhibits'!F188:F192)),AVERAGE('20250815_ETF_Options_Exhibits'!F188:F192),"")</f>
        <v/>
      </c>
      <c r="G192" s="3">
        <f>IF(ISNUMBER(AVERAGE('20250815_ETF_Options_Exhibits'!G188:G192)),AVERAGE('20250815_ETF_Options_Exhibits'!G188:G192),"")</f>
        <v/>
      </c>
      <c r="H192" s="3">
        <f>IF(ISNUMBER(AVERAGE('20250815_ETF_Options_Exhibits'!H188:H192)),AVERAGE('20250815_ETF_Options_Exhibits'!H188:H192),"")</f>
        <v/>
      </c>
      <c r="I192" s="3">
        <f>IF(ISNUMBER(AVERAGE('20250815_ETF_Options_Exhibits'!I188:I192)),AVERAGE('20250815_ETF_Options_Exhibits'!I188:I192),"")</f>
        <v/>
      </c>
      <c r="J192" s="3">
        <f>IF(ISNUMBER(AVERAGE('20250815_ETF_Options_Exhibits'!J188:J192)),AVERAGE('20250815_ETF_Options_Exhibits'!J188:J192),"")</f>
        <v/>
      </c>
      <c r="K192" s="3">
        <f>IF(ISNUMBER(AVERAGE('20250815_ETF_Options_Exhibits'!K188:K192)),AVERAGE('20250815_ETF_Options_Exhibits'!K188:K192),"")</f>
        <v/>
      </c>
      <c r="L192" s="3">
        <f>IF(ISNUMBER(AVERAGE('20250815_ETF_Options_Exhibits'!L188:L192)),AVERAGE('20250815_ETF_Options_Exhibits'!L188:L192),"")</f>
        <v/>
      </c>
      <c r="M192" s="3">
        <f>IF(ISNUMBER(AVERAGE('20250815_ETF_Options_Exhibits'!M188:M192)),AVERAGE('20250815_ETF_Options_Exhibits'!M188:M192),"")</f>
        <v/>
      </c>
      <c r="N192" s="3">
        <f>IF(ISNUMBER(AVERAGE('20250815_ETF_Options_Exhibits'!N188:N192)),AVERAGE('20250815_ETF_Options_Exhibits'!N188:N192),"")</f>
        <v/>
      </c>
      <c r="O192" s="3">
        <f>IF(ISNUMBER(AVERAGE('20250815_ETF_Options_Exhibits'!O188:O192)),AVERAGE('20250815_ETF_Options_Exhibits'!O188:O192),"")</f>
        <v/>
      </c>
      <c r="P192" s="3">
        <f>IF(ISNUMBER(AVERAGE('20250815_ETF_Options_Exhibits'!P188:P192)),AVERAGE('20250815_ETF_Options_Exhibits'!P188:P192),"")</f>
        <v/>
      </c>
      <c r="Q192" s="3">
        <f>IF(ISNUMBER(AVERAGE('20250815_ETF_Options_Exhibits'!Q188:Q192)),AVERAGE('20250815_ETF_Options_Exhibits'!Q188:Q192),"")</f>
        <v/>
      </c>
      <c r="R192" s="3">
        <f>IF(ISNUMBER(AVERAGE('20250815_ETF_Options_Exhibits'!R188:R192)),AVERAGE('20250815_ETF_Options_Exhibits'!R188:R192),"")</f>
        <v/>
      </c>
      <c r="S192" s="3">
        <f>IF(ISNUMBER(AVERAGE('20250815_ETF_Options_Exhibits'!S188:S192)),AVERAGE('20250815_ETF_Options_Exhibits'!S188:S192),"")</f>
        <v/>
      </c>
      <c r="T192" s="3">
        <f>IF(ISNUMBER(AVERAGE('20250815_ETF_Options_Exhibits'!T188:T192)),AVERAGE('20250815_ETF_Options_Exhibits'!T188:T192),"")</f>
        <v/>
      </c>
      <c r="U192" s="3">
        <f>IF(ISNUMBER(AVERAGE('20250815_ETF_Options_Exhibits'!U188:U192)),AVERAGE('20250815_ETF_Options_Exhibits'!U188:U192),"")</f>
        <v/>
      </c>
      <c r="V192" s="3">
        <f>IF(ISNUMBER(AVERAGE('20250815_ETF_Options_Exhibits'!V188:V192)),AVERAGE('20250815_ETF_Options_Exhibits'!V188:V192),"")</f>
        <v/>
      </c>
      <c r="W192" s="3">
        <f>IF(ISNUMBER(AVERAGE('20250815_ETF_Options_Exhibits'!W188:W192)),AVERAGE('20250815_ETF_Options_Exhibits'!W188:W192),"")</f>
        <v/>
      </c>
      <c r="X192" s="3">
        <f>IF(ISNUMBER(AVERAGE('20250815_ETF_Options_Exhibits'!X188:X192)),AVERAGE('20250815_ETF_Options_Exhibits'!X188:X192),"")</f>
        <v/>
      </c>
      <c r="Y192" s="3">
        <f>IF(ISNUMBER(AVERAGE('20250815_ETF_Options_Exhibits'!Y188:Y192)),AVERAGE('20250815_ETF_Options_Exhibits'!Y188:Y192),"")</f>
        <v/>
      </c>
      <c r="Z192" s="3">
        <f>IF(ISNUMBER(AVERAGE('20250815_ETF_Options_Exhibits'!Z188:Z192)),AVERAGE('20250815_ETF_Options_Exhibits'!Z188:Z192),"")</f>
        <v/>
      </c>
      <c r="AA192" s="3">
        <f>IF(ISNUMBER(AVERAGE('20250815_ETF_Options_Exhibits'!AA188:AA192)),AVERAGE('20250815_ETF_Options_Exhibits'!AA188:AA192),"")</f>
        <v/>
      </c>
    </row>
    <row r="193">
      <c r="A193" s="1" t="n">
        <v>42282</v>
      </c>
      <c r="B193" s="3">
        <f>IF(ISNUMBER(AVERAGE('20250815_ETF_Options_Exhibits'!B189:B193)),AVERAGE('20250815_ETF_Options_Exhibits'!B189:B193),"")</f>
        <v/>
      </c>
      <c r="C193" s="3">
        <f>IF(ISNUMBER(AVERAGE('20250815_ETF_Options_Exhibits'!C189:C193)),AVERAGE('20250815_ETF_Options_Exhibits'!C189:C193),"")</f>
        <v/>
      </c>
      <c r="D193" s="3">
        <f>IF(ISNUMBER(AVERAGE('20250815_ETF_Options_Exhibits'!D189:D193)),AVERAGE('20250815_ETF_Options_Exhibits'!D189:D193),"")</f>
        <v/>
      </c>
      <c r="E193" s="3">
        <f>IF(ISNUMBER(AVERAGE('20250815_ETF_Options_Exhibits'!E189:E193)),AVERAGE('20250815_ETF_Options_Exhibits'!E189:E193),"")</f>
        <v/>
      </c>
      <c r="F193" s="3">
        <f>IF(ISNUMBER(AVERAGE('20250815_ETF_Options_Exhibits'!F189:F193)),AVERAGE('20250815_ETF_Options_Exhibits'!F189:F193),"")</f>
        <v/>
      </c>
      <c r="G193" s="3">
        <f>IF(ISNUMBER(AVERAGE('20250815_ETF_Options_Exhibits'!G189:G193)),AVERAGE('20250815_ETF_Options_Exhibits'!G189:G193),"")</f>
        <v/>
      </c>
      <c r="H193" s="3">
        <f>IF(ISNUMBER(AVERAGE('20250815_ETF_Options_Exhibits'!H189:H193)),AVERAGE('20250815_ETF_Options_Exhibits'!H189:H193),"")</f>
        <v/>
      </c>
      <c r="I193" s="3">
        <f>IF(ISNUMBER(AVERAGE('20250815_ETF_Options_Exhibits'!I189:I193)),AVERAGE('20250815_ETF_Options_Exhibits'!I189:I193),"")</f>
        <v/>
      </c>
      <c r="J193" s="3">
        <f>IF(ISNUMBER(AVERAGE('20250815_ETF_Options_Exhibits'!J189:J193)),AVERAGE('20250815_ETF_Options_Exhibits'!J189:J193),"")</f>
        <v/>
      </c>
      <c r="K193" s="3">
        <f>IF(ISNUMBER(AVERAGE('20250815_ETF_Options_Exhibits'!K189:K193)),AVERAGE('20250815_ETF_Options_Exhibits'!K189:K193),"")</f>
        <v/>
      </c>
      <c r="L193" s="3">
        <f>IF(ISNUMBER(AVERAGE('20250815_ETF_Options_Exhibits'!L189:L193)),AVERAGE('20250815_ETF_Options_Exhibits'!L189:L193),"")</f>
        <v/>
      </c>
      <c r="M193" s="3">
        <f>IF(ISNUMBER(AVERAGE('20250815_ETF_Options_Exhibits'!M189:M193)),AVERAGE('20250815_ETF_Options_Exhibits'!M189:M193),"")</f>
        <v/>
      </c>
      <c r="N193" s="3">
        <f>IF(ISNUMBER(AVERAGE('20250815_ETF_Options_Exhibits'!N189:N193)),AVERAGE('20250815_ETF_Options_Exhibits'!N189:N193),"")</f>
        <v/>
      </c>
      <c r="O193" s="3">
        <f>IF(ISNUMBER(AVERAGE('20250815_ETF_Options_Exhibits'!O189:O193)),AVERAGE('20250815_ETF_Options_Exhibits'!O189:O193),"")</f>
        <v/>
      </c>
      <c r="P193" s="3">
        <f>IF(ISNUMBER(AVERAGE('20250815_ETF_Options_Exhibits'!P189:P193)),AVERAGE('20250815_ETF_Options_Exhibits'!P189:P193),"")</f>
        <v/>
      </c>
      <c r="Q193" s="3">
        <f>IF(ISNUMBER(AVERAGE('20250815_ETF_Options_Exhibits'!Q189:Q193)),AVERAGE('20250815_ETF_Options_Exhibits'!Q189:Q193),"")</f>
        <v/>
      </c>
      <c r="R193" s="3">
        <f>IF(ISNUMBER(AVERAGE('20250815_ETF_Options_Exhibits'!R189:R193)),AVERAGE('20250815_ETF_Options_Exhibits'!R189:R193),"")</f>
        <v/>
      </c>
      <c r="S193" s="3">
        <f>IF(ISNUMBER(AVERAGE('20250815_ETF_Options_Exhibits'!S189:S193)),AVERAGE('20250815_ETF_Options_Exhibits'!S189:S193),"")</f>
        <v/>
      </c>
      <c r="T193" s="3">
        <f>IF(ISNUMBER(AVERAGE('20250815_ETF_Options_Exhibits'!T189:T193)),AVERAGE('20250815_ETF_Options_Exhibits'!T189:T193),"")</f>
        <v/>
      </c>
      <c r="U193" s="3">
        <f>IF(ISNUMBER(AVERAGE('20250815_ETF_Options_Exhibits'!U189:U193)),AVERAGE('20250815_ETF_Options_Exhibits'!U189:U193),"")</f>
        <v/>
      </c>
      <c r="V193" s="3">
        <f>IF(ISNUMBER(AVERAGE('20250815_ETF_Options_Exhibits'!V189:V193)),AVERAGE('20250815_ETF_Options_Exhibits'!V189:V193),"")</f>
        <v/>
      </c>
      <c r="W193" s="3">
        <f>IF(ISNUMBER(AVERAGE('20250815_ETF_Options_Exhibits'!W189:W193)),AVERAGE('20250815_ETF_Options_Exhibits'!W189:W193),"")</f>
        <v/>
      </c>
      <c r="X193" s="3">
        <f>IF(ISNUMBER(AVERAGE('20250815_ETF_Options_Exhibits'!X189:X193)),AVERAGE('20250815_ETF_Options_Exhibits'!X189:X193),"")</f>
        <v/>
      </c>
      <c r="Y193" s="3">
        <f>IF(ISNUMBER(AVERAGE('20250815_ETF_Options_Exhibits'!Y189:Y193)),AVERAGE('20250815_ETF_Options_Exhibits'!Y189:Y193),"")</f>
        <v/>
      </c>
      <c r="Z193" s="3">
        <f>IF(ISNUMBER(AVERAGE('20250815_ETF_Options_Exhibits'!Z189:Z193)),AVERAGE('20250815_ETF_Options_Exhibits'!Z189:Z193),"")</f>
        <v/>
      </c>
      <c r="AA193" s="3">
        <f>IF(ISNUMBER(AVERAGE('20250815_ETF_Options_Exhibits'!AA189:AA193)),AVERAGE('20250815_ETF_Options_Exhibits'!AA189:AA193),"")</f>
        <v/>
      </c>
    </row>
    <row r="194">
      <c r="A194" s="1" t="n">
        <v>42283</v>
      </c>
      <c r="B194" s="3">
        <f>IF(ISNUMBER(AVERAGE('20250815_ETF_Options_Exhibits'!B190:B194)),AVERAGE('20250815_ETF_Options_Exhibits'!B190:B194),"")</f>
        <v/>
      </c>
      <c r="C194" s="3">
        <f>IF(ISNUMBER(AVERAGE('20250815_ETF_Options_Exhibits'!C190:C194)),AVERAGE('20250815_ETF_Options_Exhibits'!C190:C194),"")</f>
        <v/>
      </c>
      <c r="D194" s="3">
        <f>IF(ISNUMBER(AVERAGE('20250815_ETF_Options_Exhibits'!D190:D194)),AVERAGE('20250815_ETF_Options_Exhibits'!D190:D194),"")</f>
        <v/>
      </c>
      <c r="E194" s="3">
        <f>IF(ISNUMBER(AVERAGE('20250815_ETF_Options_Exhibits'!E190:E194)),AVERAGE('20250815_ETF_Options_Exhibits'!E190:E194),"")</f>
        <v/>
      </c>
      <c r="F194" s="3">
        <f>IF(ISNUMBER(AVERAGE('20250815_ETF_Options_Exhibits'!F190:F194)),AVERAGE('20250815_ETF_Options_Exhibits'!F190:F194),"")</f>
        <v/>
      </c>
      <c r="G194" s="3">
        <f>IF(ISNUMBER(AVERAGE('20250815_ETF_Options_Exhibits'!G190:G194)),AVERAGE('20250815_ETF_Options_Exhibits'!G190:G194),"")</f>
        <v/>
      </c>
      <c r="H194" s="3">
        <f>IF(ISNUMBER(AVERAGE('20250815_ETF_Options_Exhibits'!H190:H194)),AVERAGE('20250815_ETF_Options_Exhibits'!H190:H194),"")</f>
        <v/>
      </c>
      <c r="I194" s="3">
        <f>IF(ISNUMBER(AVERAGE('20250815_ETF_Options_Exhibits'!I190:I194)),AVERAGE('20250815_ETF_Options_Exhibits'!I190:I194),"")</f>
        <v/>
      </c>
      <c r="J194" s="3">
        <f>IF(ISNUMBER(AVERAGE('20250815_ETF_Options_Exhibits'!J190:J194)),AVERAGE('20250815_ETF_Options_Exhibits'!J190:J194),"")</f>
        <v/>
      </c>
      <c r="K194" s="3">
        <f>IF(ISNUMBER(AVERAGE('20250815_ETF_Options_Exhibits'!K190:K194)),AVERAGE('20250815_ETF_Options_Exhibits'!K190:K194),"")</f>
        <v/>
      </c>
      <c r="L194" s="3">
        <f>IF(ISNUMBER(AVERAGE('20250815_ETF_Options_Exhibits'!L190:L194)),AVERAGE('20250815_ETF_Options_Exhibits'!L190:L194),"")</f>
        <v/>
      </c>
      <c r="M194" s="3">
        <f>IF(ISNUMBER(AVERAGE('20250815_ETF_Options_Exhibits'!M190:M194)),AVERAGE('20250815_ETF_Options_Exhibits'!M190:M194),"")</f>
        <v/>
      </c>
      <c r="N194" s="3">
        <f>IF(ISNUMBER(AVERAGE('20250815_ETF_Options_Exhibits'!N190:N194)),AVERAGE('20250815_ETF_Options_Exhibits'!N190:N194),"")</f>
        <v/>
      </c>
      <c r="O194" s="3">
        <f>IF(ISNUMBER(AVERAGE('20250815_ETF_Options_Exhibits'!O190:O194)),AVERAGE('20250815_ETF_Options_Exhibits'!O190:O194),"")</f>
        <v/>
      </c>
      <c r="P194" s="3">
        <f>IF(ISNUMBER(AVERAGE('20250815_ETF_Options_Exhibits'!P190:P194)),AVERAGE('20250815_ETF_Options_Exhibits'!P190:P194),"")</f>
        <v/>
      </c>
      <c r="Q194" s="3">
        <f>IF(ISNUMBER(AVERAGE('20250815_ETF_Options_Exhibits'!Q190:Q194)),AVERAGE('20250815_ETF_Options_Exhibits'!Q190:Q194),"")</f>
        <v/>
      </c>
      <c r="R194" s="3">
        <f>IF(ISNUMBER(AVERAGE('20250815_ETF_Options_Exhibits'!R190:R194)),AVERAGE('20250815_ETF_Options_Exhibits'!R190:R194),"")</f>
        <v/>
      </c>
      <c r="S194" s="3">
        <f>IF(ISNUMBER(AVERAGE('20250815_ETF_Options_Exhibits'!S190:S194)),AVERAGE('20250815_ETF_Options_Exhibits'!S190:S194),"")</f>
        <v/>
      </c>
      <c r="T194" s="3">
        <f>IF(ISNUMBER(AVERAGE('20250815_ETF_Options_Exhibits'!T190:T194)),AVERAGE('20250815_ETF_Options_Exhibits'!T190:T194),"")</f>
        <v/>
      </c>
      <c r="U194" s="3">
        <f>IF(ISNUMBER(AVERAGE('20250815_ETF_Options_Exhibits'!U190:U194)),AVERAGE('20250815_ETF_Options_Exhibits'!U190:U194),"")</f>
        <v/>
      </c>
      <c r="V194" s="3">
        <f>IF(ISNUMBER(AVERAGE('20250815_ETF_Options_Exhibits'!V190:V194)),AVERAGE('20250815_ETF_Options_Exhibits'!V190:V194),"")</f>
        <v/>
      </c>
      <c r="W194" s="3">
        <f>IF(ISNUMBER(AVERAGE('20250815_ETF_Options_Exhibits'!W190:W194)),AVERAGE('20250815_ETF_Options_Exhibits'!W190:W194),"")</f>
        <v/>
      </c>
      <c r="X194" s="3">
        <f>IF(ISNUMBER(AVERAGE('20250815_ETF_Options_Exhibits'!X190:X194)),AVERAGE('20250815_ETF_Options_Exhibits'!X190:X194),"")</f>
        <v/>
      </c>
      <c r="Y194" s="3">
        <f>IF(ISNUMBER(AVERAGE('20250815_ETF_Options_Exhibits'!Y190:Y194)),AVERAGE('20250815_ETF_Options_Exhibits'!Y190:Y194),"")</f>
        <v/>
      </c>
      <c r="Z194" s="3">
        <f>IF(ISNUMBER(AVERAGE('20250815_ETF_Options_Exhibits'!Z190:Z194)),AVERAGE('20250815_ETF_Options_Exhibits'!Z190:Z194),"")</f>
        <v/>
      </c>
      <c r="AA194" s="3">
        <f>IF(ISNUMBER(AVERAGE('20250815_ETF_Options_Exhibits'!AA190:AA194)),AVERAGE('20250815_ETF_Options_Exhibits'!AA190:AA194),"")</f>
        <v/>
      </c>
    </row>
    <row r="195">
      <c r="A195" s="1" t="n">
        <v>42284</v>
      </c>
      <c r="B195" s="3">
        <f>IF(ISNUMBER(AVERAGE('20250815_ETF_Options_Exhibits'!B191:B195)),AVERAGE('20250815_ETF_Options_Exhibits'!B191:B195),"")</f>
        <v/>
      </c>
      <c r="C195" s="3">
        <f>IF(ISNUMBER(AVERAGE('20250815_ETF_Options_Exhibits'!C191:C195)),AVERAGE('20250815_ETF_Options_Exhibits'!C191:C195),"")</f>
        <v/>
      </c>
      <c r="D195" s="3">
        <f>IF(ISNUMBER(AVERAGE('20250815_ETF_Options_Exhibits'!D191:D195)),AVERAGE('20250815_ETF_Options_Exhibits'!D191:D195),"")</f>
        <v/>
      </c>
      <c r="E195" s="3">
        <f>IF(ISNUMBER(AVERAGE('20250815_ETF_Options_Exhibits'!E191:E195)),AVERAGE('20250815_ETF_Options_Exhibits'!E191:E195),"")</f>
        <v/>
      </c>
      <c r="F195" s="3">
        <f>IF(ISNUMBER(AVERAGE('20250815_ETF_Options_Exhibits'!F191:F195)),AVERAGE('20250815_ETF_Options_Exhibits'!F191:F195),"")</f>
        <v/>
      </c>
      <c r="G195" s="3">
        <f>IF(ISNUMBER(AVERAGE('20250815_ETF_Options_Exhibits'!G191:G195)),AVERAGE('20250815_ETF_Options_Exhibits'!G191:G195),"")</f>
        <v/>
      </c>
      <c r="H195" s="3">
        <f>IF(ISNUMBER(AVERAGE('20250815_ETF_Options_Exhibits'!H191:H195)),AVERAGE('20250815_ETF_Options_Exhibits'!H191:H195),"")</f>
        <v/>
      </c>
      <c r="I195" s="3">
        <f>IF(ISNUMBER(AVERAGE('20250815_ETF_Options_Exhibits'!I191:I195)),AVERAGE('20250815_ETF_Options_Exhibits'!I191:I195),"")</f>
        <v/>
      </c>
      <c r="J195" s="3">
        <f>IF(ISNUMBER(AVERAGE('20250815_ETF_Options_Exhibits'!J191:J195)),AVERAGE('20250815_ETF_Options_Exhibits'!J191:J195),"")</f>
        <v/>
      </c>
      <c r="K195" s="3">
        <f>IF(ISNUMBER(AVERAGE('20250815_ETF_Options_Exhibits'!K191:K195)),AVERAGE('20250815_ETF_Options_Exhibits'!K191:K195),"")</f>
        <v/>
      </c>
      <c r="L195" s="3">
        <f>IF(ISNUMBER(AVERAGE('20250815_ETF_Options_Exhibits'!L191:L195)),AVERAGE('20250815_ETF_Options_Exhibits'!L191:L195),"")</f>
        <v/>
      </c>
      <c r="M195" s="3">
        <f>IF(ISNUMBER(AVERAGE('20250815_ETF_Options_Exhibits'!M191:M195)),AVERAGE('20250815_ETF_Options_Exhibits'!M191:M195),"")</f>
        <v/>
      </c>
      <c r="N195" s="3">
        <f>IF(ISNUMBER(AVERAGE('20250815_ETF_Options_Exhibits'!N191:N195)),AVERAGE('20250815_ETF_Options_Exhibits'!N191:N195),"")</f>
        <v/>
      </c>
      <c r="O195" s="3">
        <f>IF(ISNUMBER(AVERAGE('20250815_ETF_Options_Exhibits'!O191:O195)),AVERAGE('20250815_ETF_Options_Exhibits'!O191:O195),"")</f>
        <v/>
      </c>
      <c r="P195" s="3">
        <f>IF(ISNUMBER(AVERAGE('20250815_ETF_Options_Exhibits'!P191:P195)),AVERAGE('20250815_ETF_Options_Exhibits'!P191:P195),"")</f>
        <v/>
      </c>
      <c r="Q195" s="3">
        <f>IF(ISNUMBER(AVERAGE('20250815_ETF_Options_Exhibits'!Q191:Q195)),AVERAGE('20250815_ETF_Options_Exhibits'!Q191:Q195),"")</f>
        <v/>
      </c>
      <c r="R195" s="3">
        <f>IF(ISNUMBER(AVERAGE('20250815_ETF_Options_Exhibits'!R191:R195)),AVERAGE('20250815_ETF_Options_Exhibits'!R191:R195),"")</f>
        <v/>
      </c>
      <c r="S195" s="3">
        <f>IF(ISNUMBER(AVERAGE('20250815_ETF_Options_Exhibits'!S191:S195)),AVERAGE('20250815_ETF_Options_Exhibits'!S191:S195),"")</f>
        <v/>
      </c>
      <c r="T195" s="3">
        <f>IF(ISNUMBER(AVERAGE('20250815_ETF_Options_Exhibits'!T191:T195)),AVERAGE('20250815_ETF_Options_Exhibits'!T191:T195),"")</f>
        <v/>
      </c>
      <c r="U195" s="3">
        <f>IF(ISNUMBER(AVERAGE('20250815_ETF_Options_Exhibits'!U191:U195)),AVERAGE('20250815_ETF_Options_Exhibits'!U191:U195),"")</f>
        <v/>
      </c>
      <c r="V195" s="3">
        <f>IF(ISNUMBER(AVERAGE('20250815_ETF_Options_Exhibits'!V191:V195)),AVERAGE('20250815_ETF_Options_Exhibits'!V191:V195),"")</f>
        <v/>
      </c>
      <c r="W195" s="3">
        <f>IF(ISNUMBER(AVERAGE('20250815_ETF_Options_Exhibits'!W191:W195)),AVERAGE('20250815_ETF_Options_Exhibits'!W191:W195),"")</f>
        <v/>
      </c>
      <c r="X195" s="3">
        <f>IF(ISNUMBER(AVERAGE('20250815_ETF_Options_Exhibits'!X191:X195)),AVERAGE('20250815_ETF_Options_Exhibits'!X191:X195),"")</f>
        <v/>
      </c>
      <c r="Y195" s="3">
        <f>IF(ISNUMBER(AVERAGE('20250815_ETF_Options_Exhibits'!Y191:Y195)),AVERAGE('20250815_ETF_Options_Exhibits'!Y191:Y195),"")</f>
        <v/>
      </c>
      <c r="Z195" s="3">
        <f>IF(ISNUMBER(AVERAGE('20250815_ETF_Options_Exhibits'!Z191:Z195)),AVERAGE('20250815_ETF_Options_Exhibits'!Z191:Z195),"")</f>
        <v/>
      </c>
      <c r="AA195" s="3">
        <f>IF(ISNUMBER(AVERAGE('20250815_ETF_Options_Exhibits'!AA191:AA195)),AVERAGE('20250815_ETF_Options_Exhibits'!AA191:AA195),"")</f>
        <v/>
      </c>
    </row>
    <row r="196">
      <c r="A196" s="1" t="n">
        <v>42285</v>
      </c>
      <c r="B196" s="3">
        <f>IF(ISNUMBER(AVERAGE('20250815_ETF_Options_Exhibits'!B192:B196)),AVERAGE('20250815_ETF_Options_Exhibits'!B192:B196),"")</f>
        <v/>
      </c>
      <c r="C196" s="3">
        <f>IF(ISNUMBER(AVERAGE('20250815_ETF_Options_Exhibits'!C192:C196)),AVERAGE('20250815_ETF_Options_Exhibits'!C192:C196),"")</f>
        <v/>
      </c>
      <c r="D196" s="3">
        <f>IF(ISNUMBER(AVERAGE('20250815_ETF_Options_Exhibits'!D192:D196)),AVERAGE('20250815_ETF_Options_Exhibits'!D192:D196),"")</f>
        <v/>
      </c>
      <c r="E196" s="3">
        <f>IF(ISNUMBER(AVERAGE('20250815_ETF_Options_Exhibits'!E192:E196)),AVERAGE('20250815_ETF_Options_Exhibits'!E192:E196),"")</f>
        <v/>
      </c>
      <c r="F196" s="3">
        <f>IF(ISNUMBER(AVERAGE('20250815_ETF_Options_Exhibits'!F192:F196)),AVERAGE('20250815_ETF_Options_Exhibits'!F192:F196),"")</f>
        <v/>
      </c>
      <c r="G196" s="3">
        <f>IF(ISNUMBER(AVERAGE('20250815_ETF_Options_Exhibits'!G192:G196)),AVERAGE('20250815_ETF_Options_Exhibits'!G192:G196),"")</f>
        <v/>
      </c>
      <c r="H196" s="3">
        <f>IF(ISNUMBER(AVERAGE('20250815_ETF_Options_Exhibits'!H192:H196)),AVERAGE('20250815_ETF_Options_Exhibits'!H192:H196),"")</f>
        <v/>
      </c>
      <c r="I196" s="3">
        <f>IF(ISNUMBER(AVERAGE('20250815_ETF_Options_Exhibits'!I192:I196)),AVERAGE('20250815_ETF_Options_Exhibits'!I192:I196),"")</f>
        <v/>
      </c>
      <c r="J196" s="3">
        <f>IF(ISNUMBER(AVERAGE('20250815_ETF_Options_Exhibits'!J192:J196)),AVERAGE('20250815_ETF_Options_Exhibits'!J192:J196),"")</f>
        <v/>
      </c>
      <c r="K196" s="3">
        <f>IF(ISNUMBER(AVERAGE('20250815_ETF_Options_Exhibits'!K192:K196)),AVERAGE('20250815_ETF_Options_Exhibits'!K192:K196),"")</f>
        <v/>
      </c>
      <c r="L196" s="3">
        <f>IF(ISNUMBER(AVERAGE('20250815_ETF_Options_Exhibits'!L192:L196)),AVERAGE('20250815_ETF_Options_Exhibits'!L192:L196),"")</f>
        <v/>
      </c>
      <c r="M196" s="3">
        <f>IF(ISNUMBER(AVERAGE('20250815_ETF_Options_Exhibits'!M192:M196)),AVERAGE('20250815_ETF_Options_Exhibits'!M192:M196),"")</f>
        <v/>
      </c>
      <c r="N196" s="3">
        <f>IF(ISNUMBER(AVERAGE('20250815_ETF_Options_Exhibits'!N192:N196)),AVERAGE('20250815_ETF_Options_Exhibits'!N192:N196),"")</f>
        <v/>
      </c>
      <c r="O196" s="3">
        <f>IF(ISNUMBER(AVERAGE('20250815_ETF_Options_Exhibits'!O192:O196)),AVERAGE('20250815_ETF_Options_Exhibits'!O192:O196),"")</f>
        <v/>
      </c>
      <c r="P196" s="3">
        <f>IF(ISNUMBER(AVERAGE('20250815_ETF_Options_Exhibits'!P192:P196)),AVERAGE('20250815_ETF_Options_Exhibits'!P192:P196),"")</f>
        <v/>
      </c>
      <c r="Q196" s="3">
        <f>IF(ISNUMBER(AVERAGE('20250815_ETF_Options_Exhibits'!Q192:Q196)),AVERAGE('20250815_ETF_Options_Exhibits'!Q192:Q196),"")</f>
        <v/>
      </c>
      <c r="R196" s="3">
        <f>IF(ISNUMBER(AVERAGE('20250815_ETF_Options_Exhibits'!R192:R196)),AVERAGE('20250815_ETF_Options_Exhibits'!R192:R196),"")</f>
        <v/>
      </c>
      <c r="S196" s="3">
        <f>IF(ISNUMBER(AVERAGE('20250815_ETF_Options_Exhibits'!S192:S196)),AVERAGE('20250815_ETF_Options_Exhibits'!S192:S196),"")</f>
        <v/>
      </c>
      <c r="T196" s="3">
        <f>IF(ISNUMBER(AVERAGE('20250815_ETF_Options_Exhibits'!T192:T196)),AVERAGE('20250815_ETF_Options_Exhibits'!T192:T196),"")</f>
        <v/>
      </c>
      <c r="U196" s="3">
        <f>IF(ISNUMBER(AVERAGE('20250815_ETF_Options_Exhibits'!U192:U196)),AVERAGE('20250815_ETF_Options_Exhibits'!U192:U196),"")</f>
        <v/>
      </c>
      <c r="V196" s="3">
        <f>IF(ISNUMBER(AVERAGE('20250815_ETF_Options_Exhibits'!V192:V196)),AVERAGE('20250815_ETF_Options_Exhibits'!V192:V196),"")</f>
        <v/>
      </c>
      <c r="W196" s="3">
        <f>IF(ISNUMBER(AVERAGE('20250815_ETF_Options_Exhibits'!W192:W196)),AVERAGE('20250815_ETF_Options_Exhibits'!W192:W196),"")</f>
        <v/>
      </c>
      <c r="X196" s="3">
        <f>IF(ISNUMBER(AVERAGE('20250815_ETF_Options_Exhibits'!X192:X196)),AVERAGE('20250815_ETF_Options_Exhibits'!X192:X196),"")</f>
        <v/>
      </c>
      <c r="Y196" s="3">
        <f>IF(ISNUMBER(AVERAGE('20250815_ETF_Options_Exhibits'!Y192:Y196)),AVERAGE('20250815_ETF_Options_Exhibits'!Y192:Y196),"")</f>
        <v/>
      </c>
      <c r="Z196" s="3">
        <f>IF(ISNUMBER(AVERAGE('20250815_ETF_Options_Exhibits'!Z192:Z196)),AVERAGE('20250815_ETF_Options_Exhibits'!Z192:Z196),"")</f>
        <v/>
      </c>
      <c r="AA196" s="3">
        <f>IF(ISNUMBER(AVERAGE('20250815_ETF_Options_Exhibits'!AA192:AA196)),AVERAGE('20250815_ETF_Options_Exhibits'!AA192:AA196),"")</f>
        <v/>
      </c>
    </row>
    <row r="197">
      <c r="A197" s="1" t="n">
        <v>42286</v>
      </c>
      <c r="B197" s="3">
        <f>IF(ISNUMBER(AVERAGE('20250815_ETF_Options_Exhibits'!B193:B197)),AVERAGE('20250815_ETF_Options_Exhibits'!B193:B197),"")</f>
        <v/>
      </c>
      <c r="C197" s="3">
        <f>IF(ISNUMBER(AVERAGE('20250815_ETF_Options_Exhibits'!C193:C197)),AVERAGE('20250815_ETF_Options_Exhibits'!C193:C197),"")</f>
        <v/>
      </c>
      <c r="D197" s="3">
        <f>IF(ISNUMBER(AVERAGE('20250815_ETF_Options_Exhibits'!D193:D197)),AVERAGE('20250815_ETF_Options_Exhibits'!D193:D197),"")</f>
        <v/>
      </c>
      <c r="E197" s="3">
        <f>IF(ISNUMBER(AVERAGE('20250815_ETF_Options_Exhibits'!E193:E197)),AVERAGE('20250815_ETF_Options_Exhibits'!E193:E197),"")</f>
        <v/>
      </c>
      <c r="F197" s="3">
        <f>IF(ISNUMBER(AVERAGE('20250815_ETF_Options_Exhibits'!F193:F197)),AVERAGE('20250815_ETF_Options_Exhibits'!F193:F197),"")</f>
        <v/>
      </c>
      <c r="G197" s="3">
        <f>IF(ISNUMBER(AVERAGE('20250815_ETF_Options_Exhibits'!G193:G197)),AVERAGE('20250815_ETF_Options_Exhibits'!G193:G197),"")</f>
        <v/>
      </c>
      <c r="H197" s="3">
        <f>IF(ISNUMBER(AVERAGE('20250815_ETF_Options_Exhibits'!H193:H197)),AVERAGE('20250815_ETF_Options_Exhibits'!H193:H197),"")</f>
        <v/>
      </c>
      <c r="I197" s="3">
        <f>IF(ISNUMBER(AVERAGE('20250815_ETF_Options_Exhibits'!I193:I197)),AVERAGE('20250815_ETF_Options_Exhibits'!I193:I197),"")</f>
        <v/>
      </c>
      <c r="J197" s="3">
        <f>IF(ISNUMBER(AVERAGE('20250815_ETF_Options_Exhibits'!J193:J197)),AVERAGE('20250815_ETF_Options_Exhibits'!J193:J197),"")</f>
        <v/>
      </c>
      <c r="K197" s="3">
        <f>IF(ISNUMBER(AVERAGE('20250815_ETF_Options_Exhibits'!K193:K197)),AVERAGE('20250815_ETF_Options_Exhibits'!K193:K197),"")</f>
        <v/>
      </c>
      <c r="L197" s="3">
        <f>IF(ISNUMBER(AVERAGE('20250815_ETF_Options_Exhibits'!L193:L197)),AVERAGE('20250815_ETF_Options_Exhibits'!L193:L197),"")</f>
        <v/>
      </c>
      <c r="M197" s="3">
        <f>IF(ISNUMBER(AVERAGE('20250815_ETF_Options_Exhibits'!M193:M197)),AVERAGE('20250815_ETF_Options_Exhibits'!M193:M197),"")</f>
        <v/>
      </c>
      <c r="N197" s="3">
        <f>IF(ISNUMBER(AVERAGE('20250815_ETF_Options_Exhibits'!N193:N197)),AVERAGE('20250815_ETF_Options_Exhibits'!N193:N197),"")</f>
        <v/>
      </c>
      <c r="O197" s="3">
        <f>IF(ISNUMBER(AVERAGE('20250815_ETF_Options_Exhibits'!O193:O197)),AVERAGE('20250815_ETF_Options_Exhibits'!O193:O197),"")</f>
        <v/>
      </c>
      <c r="P197" s="3">
        <f>IF(ISNUMBER(AVERAGE('20250815_ETF_Options_Exhibits'!P193:P197)),AVERAGE('20250815_ETF_Options_Exhibits'!P193:P197),"")</f>
        <v/>
      </c>
      <c r="Q197" s="3">
        <f>IF(ISNUMBER(AVERAGE('20250815_ETF_Options_Exhibits'!Q193:Q197)),AVERAGE('20250815_ETF_Options_Exhibits'!Q193:Q197),"")</f>
        <v/>
      </c>
      <c r="R197" s="3">
        <f>IF(ISNUMBER(AVERAGE('20250815_ETF_Options_Exhibits'!R193:R197)),AVERAGE('20250815_ETF_Options_Exhibits'!R193:R197),"")</f>
        <v/>
      </c>
      <c r="S197" s="3">
        <f>IF(ISNUMBER(AVERAGE('20250815_ETF_Options_Exhibits'!S193:S197)),AVERAGE('20250815_ETF_Options_Exhibits'!S193:S197),"")</f>
        <v/>
      </c>
      <c r="T197" s="3">
        <f>IF(ISNUMBER(AVERAGE('20250815_ETF_Options_Exhibits'!T193:T197)),AVERAGE('20250815_ETF_Options_Exhibits'!T193:T197),"")</f>
        <v/>
      </c>
      <c r="U197" s="3">
        <f>IF(ISNUMBER(AVERAGE('20250815_ETF_Options_Exhibits'!U193:U197)),AVERAGE('20250815_ETF_Options_Exhibits'!U193:U197),"")</f>
        <v/>
      </c>
      <c r="V197" s="3">
        <f>IF(ISNUMBER(AVERAGE('20250815_ETF_Options_Exhibits'!V193:V197)),AVERAGE('20250815_ETF_Options_Exhibits'!V193:V197),"")</f>
        <v/>
      </c>
      <c r="W197" s="3">
        <f>IF(ISNUMBER(AVERAGE('20250815_ETF_Options_Exhibits'!W193:W197)),AVERAGE('20250815_ETF_Options_Exhibits'!W193:W197),"")</f>
        <v/>
      </c>
      <c r="X197" s="3">
        <f>IF(ISNUMBER(AVERAGE('20250815_ETF_Options_Exhibits'!X193:X197)),AVERAGE('20250815_ETF_Options_Exhibits'!X193:X197),"")</f>
        <v/>
      </c>
      <c r="Y197" s="3">
        <f>IF(ISNUMBER(AVERAGE('20250815_ETF_Options_Exhibits'!Y193:Y197)),AVERAGE('20250815_ETF_Options_Exhibits'!Y193:Y197),"")</f>
        <v/>
      </c>
      <c r="Z197" s="3">
        <f>IF(ISNUMBER(AVERAGE('20250815_ETF_Options_Exhibits'!Z193:Z197)),AVERAGE('20250815_ETF_Options_Exhibits'!Z193:Z197),"")</f>
        <v/>
      </c>
      <c r="AA197" s="3">
        <f>IF(ISNUMBER(AVERAGE('20250815_ETF_Options_Exhibits'!AA193:AA197)),AVERAGE('20250815_ETF_Options_Exhibits'!AA193:AA197),"")</f>
        <v/>
      </c>
    </row>
    <row r="198">
      <c r="A198" s="1" t="n">
        <v>42289</v>
      </c>
      <c r="B198" s="3">
        <f>IF(ISNUMBER(AVERAGE('20250815_ETF_Options_Exhibits'!B194:B198)),AVERAGE('20250815_ETF_Options_Exhibits'!B194:B198),"")</f>
        <v/>
      </c>
      <c r="C198" s="3">
        <f>IF(ISNUMBER(AVERAGE('20250815_ETF_Options_Exhibits'!C194:C198)),AVERAGE('20250815_ETF_Options_Exhibits'!C194:C198),"")</f>
        <v/>
      </c>
      <c r="D198" s="3">
        <f>IF(ISNUMBER(AVERAGE('20250815_ETF_Options_Exhibits'!D194:D198)),AVERAGE('20250815_ETF_Options_Exhibits'!D194:D198),"")</f>
        <v/>
      </c>
      <c r="E198" s="3">
        <f>IF(ISNUMBER(AVERAGE('20250815_ETF_Options_Exhibits'!E194:E198)),AVERAGE('20250815_ETF_Options_Exhibits'!E194:E198),"")</f>
        <v/>
      </c>
      <c r="F198" s="3">
        <f>IF(ISNUMBER(AVERAGE('20250815_ETF_Options_Exhibits'!F194:F198)),AVERAGE('20250815_ETF_Options_Exhibits'!F194:F198),"")</f>
        <v/>
      </c>
      <c r="G198" s="3">
        <f>IF(ISNUMBER(AVERAGE('20250815_ETF_Options_Exhibits'!G194:G198)),AVERAGE('20250815_ETF_Options_Exhibits'!G194:G198),"")</f>
        <v/>
      </c>
      <c r="H198" s="3">
        <f>IF(ISNUMBER(AVERAGE('20250815_ETF_Options_Exhibits'!H194:H198)),AVERAGE('20250815_ETF_Options_Exhibits'!H194:H198),"")</f>
        <v/>
      </c>
      <c r="I198" s="3">
        <f>IF(ISNUMBER(AVERAGE('20250815_ETF_Options_Exhibits'!I194:I198)),AVERAGE('20250815_ETF_Options_Exhibits'!I194:I198),"")</f>
        <v/>
      </c>
      <c r="J198" s="3">
        <f>IF(ISNUMBER(AVERAGE('20250815_ETF_Options_Exhibits'!J194:J198)),AVERAGE('20250815_ETF_Options_Exhibits'!J194:J198),"")</f>
        <v/>
      </c>
      <c r="K198" s="3">
        <f>IF(ISNUMBER(AVERAGE('20250815_ETF_Options_Exhibits'!K194:K198)),AVERAGE('20250815_ETF_Options_Exhibits'!K194:K198),"")</f>
        <v/>
      </c>
      <c r="L198" s="3">
        <f>IF(ISNUMBER(AVERAGE('20250815_ETF_Options_Exhibits'!L194:L198)),AVERAGE('20250815_ETF_Options_Exhibits'!L194:L198),"")</f>
        <v/>
      </c>
      <c r="M198" s="3">
        <f>IF(ISNUMBER(AVERAGE('20250815_ETF_Options_Exhibits'!M194:M198)),AVERAGE('20250815_ETF_Options_Exhibits'!M194:M198),"")</f>
        <v/>
      </c>
      <c r="N198" s="3">
        <f>IF(ISNUMBER(AVERAGE('20250815_ETF_Options_Exhibits'!N194:N198)),AVERAGE('20250815_ETF_Options_Exhibits'!N194:N198),"")</f>
        <v/>
      </c>
      <c r="O198" s="3">
        <f>IF(ISNUMBER(AVERAGE('20250815_ETF_Options_Exhibits'!O194:O198)),AVERAGE('20250815_ETF_Options_Exhibits'!O194:O198),"")</f>
        <v/>
      </c>
      <c r="P198" s="3">
        <f>IF(ISNUMBER(AVERAGE('20250815_ETF_Options_Exhibits'!P194:P198)),AVERAGE('20250815_ETF_Options_Exhibits'!P194:P198),"")</f>
        <v/>
      </c>
      <c r="Q198" s="3">
        <f>IF(ISNUMBER(AVERAGE('20250815_ETF_Options_Exhibits'!Q194:Q198)),AVERAGE('20250815_ETF_Options_Exhibits'!Q194:Q198),"")</f>
        <v/>
      </c>
      <c r="R198" s="3">
        <f>IF(ISNUMBER(AVERAGE('20250815_ETF_Options_Exhibits'!R194:R198)),AVERAGE('20250815_ETF_Options_Exhibits'!R194:R198),"")</f>
        <v/>
      </c>
      <c r="S198" s="3">
        <f>IF(ISNUMBER(AVERAGE('20250815_ETF_Options_Exhibits'!S194:S198)),AVERAGE('20250815_ETF_Options_Exhibits'!S194:S198),"")</f>
        <v/>
      </c>
      <c r="T198" s="3">
        <f>IF(ISNUMBER(AVERAGE('20250815_ETF_Options_Exhibits'!T194:T198)),AVERAGE('20250815_ETF_Options_Exhibits'!T194:T198),"")</f>
        <v/>
      </c>
      <c r="U198" s="3">
        <f>IF(ISNUMBER(AVERAGE('20250815_ETF_Options_Exhibits'!U194:U198)),AVERAGE('20250815_ETF_Options_Exhibits'!U194:U198),"")</f>
        <v/>
      </c>
      <c r="V198" s="3">
        <f>IF(ISNUMBER(AVERAGE('20250815_ETF_Options_Exhibits'!V194:V198)),AVERAGE('20250815_ETF_Options_Exhibits'!V194:V198),"")</f>
        <v/>
      </c>
      <c r="W198" s="3">
        <f>IF(ISNUMBER(AVERAGE('20250815_ETF_Options_Exhibits'!W194:W198)),AVERAGE('20250815_ETF_Options_Exhibits'!W194:W198),"")</f>
        <v/>
      </c>
      <c r="X198" s="3">
        <f>IF(ISNUMBER(AVERAGE('20250815_ETF_Options_Exhibits'!X194:X198)),AVERAGE('20250815_ETF_Options_Exhibits'!X194:X198),"")</f>
        <v/>
      </c>
      <c r="Y198" s="3">
        <f>IF(ISNUMBER(AVERAGE('20250815_ETF_Options_Exhibits'!Y194:Y198)),AVERAGE('20250815_ETF_Options_Exhibits'!Y194:Y198),"")</f>
        <v/>
      </c>
      <c r="Z198" s="3">
        <f>IF(ISNUMBER(AVERAGE('20250815_ETF_Options_Exhibits'!Z194:Z198)),AVERAGE('20250815_ETF_Options_Exhibits'!Z194:Z198),"")</f>
        <v/>
      </c>
      <c r="AA198" s="3">
        <f>IF(ISNUMBER(AVERAGE('20250815_ETF_Options_Exhibits'!AA194:AA198)),AVERAGE('20250815_ETF_Options_Exhibits'!AA194:AA198),"")</f>
        <v/>
      </c>
    </row>
    <row r="199">
      <c r="A199" s="1" t="n">
        <v>42290</v>
      </c>
      <c r="B199" s="3">
        <f>IF(ISNUMBER(AVERAGE('20250815_ETF_Options_Exhibits'!B195:B199)),AVERAGE('20250815_ETF_Options_Exhibits'!B195:B199),"")</f>
        <v/>
      </c>
      <c r="C199" s="3">
        <f>IF(ISNUMBER(AVERAGE('20250815_ETF_Options_Exhibits'!C195:C199)),AVERAGE('20250815_ETF_Options_Exhibits'!C195:C199),"")</f>
        <v/>
      </c>
      <c r="D199" s="3">
        <f>IF(ISNUMBER(AVERAGE('20250815_ETF_Options_Exhibits'!D195:D199)),AVERAGE('20250815_ETF_Options_Exhibits'!D195:D199),"")</f>
        <v/>
      </c>
      <c r="E199" s="3">
        <f>IF(ISNUMBER(AVERAGE('20250815_ETF_Options_Exhibits'!E195:E199)),AVERAGE('20250815_ETF_Options_Exhibits'!E195:E199),"")</f>
        <v/>
      </c>
      <c r="F199" s="3">
        <f>IF(ISNUMBER(AVERAGE('20250815_ETF_Options_Exhibits'!F195:F199)),AVERAGE('20250815_ETF_Options_Exhibits'!F195:F199),"")</f>
        <v/>
      </c>
      <c r="G199" s="3">
        <f>IF(ISNUMBER(AVERAGE('20250815_ETF_Options_Exhibits'!G195:G199)),AVERAGE('20250815_ETF_Options_Exhibits'!G195:G199),"")</f>
        <v/>
      </c>
      <c r="H199" s="3">
        <f>IF(ISNUMBER(AVERAGE('20250815_ETF_Options_Exhibits'!H195:H199)),AVERAGE('20250815_ETF_Options_Exhibits'!H195:H199),"")</f>
        <v/>
      </c>
      <c r="I199" s="3">
        <f>IF(ISNUMBER(AVERAGE('20250815_ETF_Options_Exhibits'!I195:I199)),AVERAGE('20250815_ETF_Options_Exhibits'!I195:I199),"")</f>
        <v/>
      </c>
      <c r="J199" s="3">
        <f>IF(ISNUMBER(AVERAGE('20250815_ETF_Options_Exhibits'!J195:J199)),AVERAGE('20250815_ETF_Options_Exhibits'!J195:J199),"")</f>
        <v/>
      </c>
      <c r="K199" s="3">
        <f>IF(ISNUMBER(AVERAGE('20250815_ETF_Options_Exhibits'!K195:K199)),AVERAGE('20250815_ETF_Options_Exhibits'!K195:K199),"")</f>
        <v/>
      </c>
      <c r="L199" s="3">
        <f>IF(ISNUMBER(AVERAGE('20250815_ETF_Options_Exhibits'!L195:L199)),AVERAGE('20250815_ETF_Options_Exhibits'!L195:L199),"")</f>
        <v/>
      </c>
      <c r="M199" s="3">
        <f>IF(ISNUMBER(AVERAGE('20250815_ETF_Options_Exhibits'!M195:M199)),AVERAGE('20250815_ETF_Options_Exhibits'!M195:M199),"")</f>
        <v/>
      </c>
      <c r="N199" s="3">
        <f>IF(ISNUMBER(AVERAGE('20250815_ETF_Options_Exhibits'!N195:N199)),AVERAGE('20250815_ETF_Options_Exhibits'!N195:N199),"")</f>
        <v/>
      </c>
      <c r="O199" s="3">
        <f>IF(ISNUMBER(AVERAGE('20250815_ETF_Options_Exhibits'!O195:O199)),AVERAGE('20250815_ETF_Options_Exhibits'!O195:O199),"")</f>
        <v/>
      </c>
      <c r="P199" s="3">
        <f>IF(ISNUMBER(AVERAGE('20250815_ETF_Options_Exhibits'!P195:P199)),AVERAGE('20250815_ETF_Options_Exhibits'!P195:P199),"")</f>
        <v/>
      </c>
      <c r="Q199" s="3">
        <f>IF(ISNUMBER(AVERAGE('20250815_ETF_Options_Exhibits'!Q195:Q199)),AVERAGE('20250815_ETF_Options_Exhibits'!Q195:Q199),"")</f>
        <v/>
      </c>
      <c r="R199" s="3">
        <f>IF(ISNUMBER(AVERAGE('20250815_ETF_Options_Exhibits'!R195:R199)),AVERAGE('20250815_ETF_Options_Exhibits'!R195:R199),"")</f>
        <v/>
      </c>
      <c r="S199" s="3">
        <f>IF(ISNUMBER(AVERAGE('20250815_ETF_Options_Exhibits'!S195:S199)),AVERAGE('20250815_ETF_Options_Exhibits'!S195:S199),"")</f>
        <v/>
      </c>
      <c r="T199" s="3">
        <f>IF(ISNUMBER(AVERAGE('20250815_ETF_Options_Exhibits'!T195:T199)),AVERAGE('20250815_ETF_Options_Exhibits'!T195:T199),"")</f>
        <v/>
      </c>
      <c r="U199" s="3">
        <f>IF(ISNUMBER(AVERAGE('20250815_ETF_Options_Exhibits'!U195:U199)),AVERAGE('20250815_ETF_Options_Exhibits'!U195:U199),"")</f>
        <v/>
      </c>
      <c r="V199" s="3">
        <f>IF(ISNUMBER(AVERAGE('20250815_ETF_Options_Exhibits'!V195:V199)),AVERAGE('20250815_ETF_Options_Exhibits'!V195:V199),"")</f>
        <v/>
      </c>
      <c r="W199" s="3">
        <f>IF(ISNUMBER(AVERAGE('20250815_ETF_Options_Exhibits'!W195:W199)),AVERAGE('20250815_ETF_Options_Exhibits'!W195:W199),"")</f>
        <v/>
      </c>
      <c r="X199" s="3">
        <f>IF(ISNUMBER(AVERAGE('20250815_ETF_Options_Exhibits'!X195:X199)),AVERAGE('20250815_ETF_Options_Exhibits'!X195:X199),"")</f>
        <v/>
      </c>
      <c r="Y199" s="3">
        <f>IF(ISNUMBER(AVERAGE('20250815_ETF_Options_Exhibits'!Y195:Y199)),AVERAGE('20250815_ETF_Options_Exhibits'!Y195:Y199),"")</f>
        <v/>
      </c>
      <c r="Z199" s="3">
        <f>IF(ISNUMBER(AVERAGE('20250815_ETF_Options_Exhibits'!Z195:Z199)),AVERAGE('20250815_ETF_Options_Exhibits'!Z195:Z199),"")</f>
        <v/>
      </c>
      <c r="AA199" s="3">
        <f>IF(ISNUMBER(AVERAGE('20250815_ETF_Options_Exhibits'!AA195:AA199)),AVERAGE('20250815_ETF_Options_Exhibits'!AA195:AA199),"")</f>
        <v/>
      </c>
    </row>
    <row r="200">
      <c r="A200" s="1" t="n">
        <v>42291</v>
      </c>
      <c r="B200" s="3">
        <f>IF(ISNUMBER(AVERAGE('20250815_ETF_Options_Exhibits'!B196:B200)),AVERAGE('20250815_ETF_Options_Exhibits'!B196:B200),"")</f>
        <v/>
      </c>
      <c r="C200" s="3">
        <f>IF(ISNUMBER(AVERAGE('20250815_ETF_Options_Exhibits'!C196:C200)),AVERAGE('20250815_ETF_Options_Exhibits'!C196:C200),"")</f>
        <v/>
      </c>
      <c r="D200" s="3">
        <f>IF(ISNUMBER(AVERAGE('20250815_ETF_Options_Exhibits'!D196:D200)),AVERAGE('20250815_ETF_Options_Exhibits'!D196:D200),"")</f>
        <v/>
      </c>
      <c r="E200" s="3">
        <f>IF(ISNUMBER(AVERAGE('20250815_ETF_Options_Exhibits'!E196:E200)),AVERAGE('20250815_ETF_Options_Exhibits'!E196:E200),"")</f>
        <v/>
      </c>
      <c r="F200" s="3">
        <f>IF(ISNUMBER(AVERAGE('20250815_ETF_Options_Exhibits'!F196:F200)),AVERAGE('20250815_ETF_Options_Exhibits'!F196:F200),"")</f>
        <v/>
      </c>
      <c r="G200" s="3">
        <f>IF(ISNUMBER(AVERAGE('20250815_ETF_Options_Exhibits'!G196:G200)),AVERAGE('20250815_ETF_Options_Exhibits'!G196:G200),"")</f>
        <v/>
      </c>
      <c r="H200" s="3">
        <f>IF(ISNUMBER(AVERAGE('20250815_ETF_Options_Exhibits'!H196:H200)),AVERAGE('20250815_ETF_Options_Exhibits'!H196:H200),"")</f>
        <v/>
      </c>
      <c r="I200" s="3">
        <f>IF(ISNUMBER(AVERAGE('20250815_ETF_Options_Exhibits'!I196:I200)),AVERAGE('20250815_ETF_Options_Exhibits'!I196:I200),"")</f>
        <v/>
      </c>
      <c r="J200" s="3">
        <f>IF(ISNUMBER(AVERAGE('20250815_ETF_Options_Exhibits'!J196:J200)),AVERAGE('20250815_ETF_Options_Exhibits'!J196:J200),"")</f>
        <v/>
      </c>
      <c r="K200" s="3">
        <f>IF(ISNUMBER(AVERAGE('20250815_ETF_Options_Exhibits'!K196:K200)),AVERAGE('20250815_ETF_Options_Exhibits'!K196:K200),"")</f>
        <v/>
      </c>
      <c r="L200" s="3">
        <f>IF(ISNUMBER(AVERAGE('20250815_ETF_Options_Exhibits'!L196:L200)),AVERAGE('20250815_ETF_Options_Exhibits'!L196:L200),"")</f>
        <v/>
      </c>
      <c r="M200" s="3">
        <f>IF(ISNUMBER(AVERAGE('20250815_ETF_Options_Exhibits'!M196:M200)),AVERAGE('20250815_ETF_Options_Exhibits'!M196:M200),"")</f>
        <v/>
      </c>
      <c r="N200" s="3">
        <f>IF(ISNUMBER(AVERAGE('20250815_ETF_Options_Exhibits'!N196:N200)),AVERAGE('20250815_ETF_Options_Exhibits'!N196:N200),"")</f>
        <v/>
      </c>
      <c r="O200" s="3">
        <f>IF(ISNUMBER(AVERAGE('20250815_ETF_Options_Exhibits'!O196:O200)),AVERAGE('20250815_ETF_Options_Exhibits'!O196:O200),"")</f>
        <v/>
      </c>
      <c r="P200" s="3">
        <f>IF(ISNUMBER(AVERAGE('20250815_ETF_Options_Exhibits'!P196:P200)),AVERAGE('20250815_ETF_Options_Exhibits'!P196:P200),"")</f>
        <v/>
      </c>
      <c r="Q200" s="3">
        <f>IF(ISNUMBER(AVERAGE('20250815_ETF_Options_Exhibits'!Q196:Q200)),AVERAGE('20250815_ETF_Options_Exhibits'!Q196:Q200),"")</f>
        <v/>
      </c>
      <c r="R200" s="3">
        <f>IF(ISNUMBER(AVERAGE('20250815_ETF_Options_Exhibits'!R196:R200)),AVERAGE('20250815_ETF_Options_Exhibits'!R196:R200),"")</f>
        <v/>
      </c>
      <c r="S200" s="3">
        <f>IF(ISNUMBER(AVERAGE('20250815_ETF_Options_Exhibits'!S196:S200)),AVERAGE('20250815_ETF_Options_Exhibits'!S196:S200),"")</f>
        <v/>
      </c>
      <c r="T200" s="3">
        <f>IF(ISNUMBER(AVERAGE('20250815_ETF_Options_Exhibits'!T196:T200)),AVERAGE('20250815_ETF_Options_Exhibits'!T196:T200),"")</f>
        <v/>
      </c>
      <c r="U200" s="3">
        <f>IF(ISNUMBER(AVERAGE('20250815_ETF_Options_Exhibits'!U196:U200)),AVERAGE('20250815_ETF_Options_Exhibits'!U196:U200),"")</f>
        <v/>
      </c>
      <c r="V200" s="3">
        <f>IF(ISNUMBER(AVERAGE('20250815_ETF_Options_Exhibits'!V196:V200)),AVERAGE('20250815_ETF_Options_Exhibits'!V196:V200),"")</f>
        <v/>
      </c>
      <c r="W200" s="3">
        <f>IF(ISNUMBER(AVERAGE('20250815_ETF_Options_Exhibits'!W196:W200)),AVERAGE('20250815_ETF_Options_Exhibits'!W196:W200),"")</f>
        <v/>
      </c>
      <c r="X200" s="3">
        <f>IF(ISNUMBER(AVERAGE('20250815_ETF_Options_Exhibits'!X196:X200)),AVERAGE('20250815_ETF_Options_Exhibits'!X196:X200),"")</f>
        <v/>
      </c>
      <c r="Y200" s="3">
        <f>IF(ISNUMBER(AVERAGE('20250815_ETF_Options_Exhibits'!Y196:Y200)),AVERAGE('20250815_ETF_Options_Exhibits'!Y196:Y200),"")</f>
        <v/>
      </c>
      <c r="Z200" s="3">
        <f>IF(ISNUMBER(AVERAGE('20250815_ETF_Options_Exhibits'!Z196:Z200)),AVERAGE('20250815_ETF_Options_Exhibits'!Z196:Z200),"")</f>
        <v/>
      </c>
      <c r="AA200" s="3">
        <f>IF(ISNUMBER(AVERAGE('20250815_ETF_Options_Exhibits'!AA196:AA200)),AVERAGE('20250815_ETF_Options_Exhibits'!AA196:AA200),"")</f>
        <v/>
      </c>
    </row>
    <row r="201">
      <c r="A201" s="1" t="n">
        <v>42292</v>
      </c>
      <c r="B201" s="3">
        <f>IF(ISNUMBER(AVERAGE('20250815_ETF_Options_Exhibits'!B197:B201)),AVERAGE('20250815_ETF_Options_Exhibits'!B197:B201),"")</f>
        <v/>
      </c>
      <c r="C201" s="3">
        <f>IF(ISNUMBER(AVERAGE('20250815_ETF_Options_Exhibits'!C197:C201)),AVERAGE('20250815_ETF_Options_Exhibits'!C197:C201),"")</f>
        <v/>
      </c>
      <c r="D201" s="3">
        <f>IF(ISNUMBER(AVERAGE('20250815_ETF_Options_Exhibits'!D197:D201)),AVERAGE('20250815_ETF_Options_Exhibits'!D197:D201),"")</f>
        <v/>
      </c>
      <c r="E201" s="3">
        <f>IF(ISNUMBER(AVERAGE('20250815_ETF_Options_Exhibits'!E197:E201)),AVERAGE('20250815_ETF_Options_Exhibits'!E197:E201),"")</f>
        <v/>
      </c>
      <c r="F201" s="3">
        <f>IF(ISNUMBER(AVERAGE('20250815_ETF_Options_Exhibits'!F197:F201)),AVERAGE('20250815_ETF_Options_Exhibits'!F197:F201),"")</f>
        <v/>
      </c>
      <c r="G201" s="3">
        <f>IF(ISNUMBER(AVERAGE('20250815_ETF_Options_Exhibits'!G197:G201)),AVERAGE('20250815_ETF_Options_Exhibits'!G197:G201),"")</f>
        <v/>
      </c>
      <c r="H201" s="3">
        <f>IF(ISNUMBER(AVERAGE('20250815_ETF_Options_Exhibits'!H197:H201)),AVERAGE('20250815_ETF_Options_Exhibits'!H197:H201),"")</f>
        <v/>
      </c>
      <c r="I201" s="3">
        <f>IF(ISNUMBER(AVERAGE('20250815_ETF_Options_Exhibits'!I197:I201)),AVERAGE('20250815_ETF_Options_Exhibits'!I197:I201),"")</f>
        <v/>
      </c>
      <c r="J201" s="3">
        <f>IF(ISNUMBER(AVERAGE('20250815_ETF_Options_Exhibits'!J197:J201)),AVERAGE('20250815_ETF_Options_Exhibits'!J197:J201),"")</f>
        <v/>
      </c>
      <c r="K201" s="3">
        <f>IF(ISNUMBER(AVERAGE('20250815_ETF_Options_Exhibits'!K197:K201)),AVERAGE('20250815_ETF_Options_Exhibits'!K197:K201),"")</f>
        <v/>
      </c>
      <c r="L201" s="3">
        <f>IF(ISNUMBER(AVERAGE('20250815_ETF_Options_Exhibits'!L197:L201)),AVERAGE('20250815_ETF_Options_Exhibits'!L197:L201),"")</f>
        <v/>
      </c>
      <c r="M201" s="3">
        <f>IF(ISNUMBER(AVERAGE('20250815_ETF_Options_Exhibits'!M197:M201)),AVERAGE('20250815_ETF_Options_Exhibits'!M197:M201),"")</f>
        <v/>
      </c>
      <c r="N201" s="3">
        <f>IF(ISNUMBER(AVERAGE('20250815_ETF_Options_Exhibits'!N197:N201)),AVERAGE('20250815_ETF_Options_Exhibits'!N197:N201),"")</f>
        <v/>
      </c>
      <c r="O201" s="3">
        <f>IF(ISNUMBER(AVERAGE('20250815_ETF_Options_Exhibits'!O197:O201)),AVERAGE('20250815_ETF_Options_Exhibits'!O197:O201),"")</f>
        <v/>
      </c>
      <c r="P201" s="3">
        <f>IF(ISNUMBER(AVERAGE('20250815_ETF_Options_Exhibits'!P197:P201)),AVERAGE('20250815_ETF_Options_Exhibits'!P197:P201),"")</f>
        <v/>
      </c>
      <c r="Q201" s="3">
        <f>IF(ISNUMBER(AVERAGE('20250815_ETF_Options_Exhibits'!Q197:Q201)),AVERAGE('20250815_ETF_Options_Exhibits'!Q197:Q201),"")</f>
        <v/>
      </c>
      <c r="R201" s="3">
        <f>IF(ISNUMBER(AVERAGE('20250815_ETF_Options_Exhibits'!R197:R201)),AVERAGE('20250815_ETF_Options_Exhibits'!R197:R201),"")</f>
        <v/>
      </c>
      <c r="S201" s="3">
        <f>IF(ISNUMBER(AVERAGE('20250815_ETF_Options_Exhibits'!S197:S201)),AVERAGE('20250815_ETF_Options_Exhibits'!S197:S201),"")</f>
        <v/>
      </c>
      <c r="T201" s="3">
        <f>IF(ISNUMBER(AVERAGE('20250815_ETF_Options_Exhibits'!T197:T201)),AVERAGE('20250815_ETF_Options_Exhibits'!T197:T201),"")</f>
        <v/>
      </c>
      <c r="U201" s="3">
        <f>IF(ISNUMBER(AVERAGE('20250815_ETF_Options_Exhibits'!U197:U201)),AVERAGE('20250815_ETF_Options_Exhibits'!U197:U201),"")</f>
        <v/>
      </c>
      <c r="V201" s="3">
        <f>IF(ISNUMBER(AVERAGE('20250815_ETF_Options_Exhibits'!V197:V201)),AVERAGE('20250815_ETF_Options_Exhibits'!V197:V201),"")</f>
        <v/>
      </c>
      <c r="W201" s="3">
        <f>IF(ISNUMBER(AVERAGE('20250815_ETF_Options_Exhibits'!W197:W201)),AVERAGE('20250815_ETF_Options_Exhibits'!W197:W201),"")</f>
        <v/>
      </c>
      <c r="X201" s="3">
        <f>IF(ISNUMBER(AVERAGE('20250815_ETF_Options_Exhibits'!X197:X201)),AVERAGE('20250815_ETF_Options_Exhibits'!X197:X201),"")</f>
        <v/>
      </c>
      <c r="Y201" s="3">
        <f>IF(ISNUMBER(AVERAGE('20250815_ETF_Options_Exhibits'!Y197:Y201)),AVERAGE('20250815_ETF_Options_Exhibits'!Y197:Y201),"")</f>
        <v/>
      </c>
      <c r="Z201" s="3">
        <f>IF(ISNUMBER(AVERAGE('20250815_ETF_Options_Exhibits'!Z197:Z201)),AVERAGE('20250815_ETF_Options_Exhibits'!Z197:Z201),"")</f>
        <v/>
      </c>
      <c r="AA201" s="3">
        <f>IF(ISNUMBER(AVERAGE('20250815_ETF_Options_Exhibits'!AA197:AA201)),AVERAGE('20250815_ETF_Options_Exhibits'!AA197:AA201),"")</f>
        <v/>
      </c>
    </row>
    <row r="202">
      <c r="A202" s="1" t="n">
        <v>42293</v>
      </c>
      <c r="B202" s="3">
        <f>IF(ISNUMBER(AVERAGE('20250815_ETF_Options_Exhibits'!B198:B202)),AVERAGE('20250815_ETF_Options_Exhibits'!B198:B202),"")</f>
        <v/>
      </c>
      <c r="C202" s="3">
        <f>IF(ISNUMBER(AVERAGE('20250815_ETF_Options_Exhibits'!C198:C202)),AVERAGE('20250815_ETF_Options_Exhibits'!C198:C202),"")</f>
        <v/>
      </c>
      <c r="D202" s="3">
        <f>IF(ISNUMBER(AVERAGE('20250815_ETF_Options_Exhibits'!D198:D202)),AVERAGE('20250815_ETF_Options_Exhibits'!D198:D202),"")</f>
        <v/>
      </c>
      <c r="E202" s="3">
        <f>IF(ISNUMBER(AVERAGE('20250815_ETF_Options_Exhibits'!E198:E202)),AVERAGE('20250815_ETF_Options_Exhibits'!E198:E202),"")</f>
        <v/>
      </c>
      <c r="F202" s="3">
        <f>IF(ISNUMBER(AVERAGE('20250815_ETF_Options_Exhibits'!F198:F202)),AVERAGE('20250815_ETF_Options_Exhibits'!F198:F202),"")</f>
        <v/>
      </c>
      <c r="G202" s="3">
        <f>IF(ISNUMBER(AVERAGE('20250815_ETF_Options_Exhibits'!G198:G202)),AVERAGE('20250815_ETF_Options_Exhibits'!G198:G202),"")</f>
        <v/>
      </c>
      <c r="H202" s="3">
        <f>IF(ISNUMBER(AVERAGE('20250815_ETF_Options_Exhibits'!H198:H202)),AVERAGE('20250815_ETF_Options_Exhibits'!H198:H202),"")</f>
        <v/>
      </c>
      <c r="I202" s="3">
        <f>IF(ISNUMBER(AVERAGE('20250815_ETF_Options_Exhibits'!I198:I202)),AVERAGE('20250815_ETF_Options_Exhibits'!I198:I202),"")</f>
        <v/>
      </c>
      <c r="J202" s="3">
        <f>IF(ISNUMBER(AVERAGE('20250815_ETF_Options_Exhibits'!J198:J202)),AVERAGE('20250815_ETF_Options_Exhibits'!J198:J202),"")</f>
        <v/>
      </c>
      <c r="K202" s="3">
        <f>IF(ISNUMBER(AVERAGE('20250815_ETF_Options_Exhibits'!K198:K202)),AVERAGE('20250815_ETF_Options_Exhibits'!K198:K202),"")</f>
        <v/>
      </c>
      <c r="L202" s="3">
        <f>IF(ISNUMBER(AVERAGE('20250815_ETF_Options_Exhibits'!L198:L202)),AVERAGE('20250815_ETF_Options_Exhibits'!L198:L202),"")</f>
        <v/>
      </c>
      <c r="M202" s="3">
        <f>IF(ISNUMBER(AVERAGE('20250815_ETF_Options_Exhibits'!M198:M202)),AVERAGE('20250815_ETF_Options_Exhibits'!M198:M202),"")</f>
        <v/>
      </c>
      <c r="N202" s="3">
        <f>IF(ISNUMBER(AVERAGE('20250815_ETF_Options_Exhibits'!N198:N202)),AVERAGE('20250815_ETF_Options_Exhibits'!N198:N202),"")</f>
        <v/>
      </c>
      <c r="O202" s="3">
        <f>IF(ISNUMBER(AVERAGE('20250815_ETF_Options_Exhibits'!O198:O202)),AVERAGE('20250815_ETF_Options_Exhibits'!O198:O202),"")</f>
        <v/>
      </c>
      <c r="P202" s="3">
        <f>IF(ISNUMBER(AVERAGE('20250815_ETF_Options_Exhibits'!P198:P202)),AVERAGE('20250815_ETF_Options_Exhibits'!P198:P202),"")</f>
        <v/>
      </c>
      <c r="Q202" s="3">
        <f>IF(ISNUMBER(AVERAGE('20250815_ETF_Options_Exhibits'!Q198:Q202)),AVERAGE('20250815_ETF_Options_Exhibits'!Q198:Q202),"")</f>
        <v/>
      </c>
      <c r="R202" s="3">
        <f>IF(ISNUMBER(AVERAGE('20250815_ETF_Options_Exhibits'!R198:R202)),AVERAGE('20250815_ETF_Options_Exhibits'!R198:R202),"")</f>
        <v/>
      </c>
      <c r="S202" s="3">
        <f>IF(ISNUMBER(AVERAGE('20250815_ETF_Options_Exhibits'!S198:S202)),AVERAGE('20250815_ETF_Options_Exhibits'!S198:S202),"")</f>
        <v/>
      </c>
      <c r="T202" s="3">
        <f>IF(ISNUMBER(AVERAGE('20250815_ETF_Options_Exhibits'!T198:T202)),AVERAGE('20250815_ETF_Options_Exhibits'!T198:T202),"")</f>
        <v/>
      </c>
      <c r="U202" s="3">
        <f>IF(ISNUMBER(AVERAGE('20250815_ETF_Options_Exhibits'!U198:U202)),AVERAGE('20250815_ETF_Options_Exhibits'!U198:U202),"")</f>
        <v/>
      </c>
      <c r="V202" s="3">
        <f>IF(ISNUMBER(AVERAGE('20250815_ETF_Options_Exhibits'!V198:V202)),AVERAGE('20250815_ETF_Options_Exhibits'!V198:V202),"")</f>
        <v/>
      </c>
      <c r="W202" s="3">
        <f>IF(ISNUMBER(AVERAGE('20250815_ETF_Options_Exhibits'!W198:W202)),AVERAGE('20250815_ETF_Options_Exhibits'!W198:W202),"")</f>
        <v/>
      </c>
      <c r="X202" s="3">
        <f>IF(ISNUMBER(AVERAGE('20250815_ETF_Options_Exhibits'!X198:X202)),AVERAGE('20250815_ETF_Options_Exhibits'!X198:X202),"")</f>
        <v/>
      </c>
      <c r="Y202" s="3">
        <f>IF(ISNUMBER(AVERAGE('20250815_ETF_Options_Exhibits'!Y198:Y202)),AVERAGE('20250815_ETF_Options_Exhibits'!Y198:Y202),"")</f>
        <v/>
      </c>
      <c r="Z202" s="3">
        <f>IF(ISNUMBER(AVERAGE('20250815_ETF_Options_Exhibits'!Z198:Z202)),AVERAGE('20250815_ETF_Options_Exhibits'!Z198:Z202),"")</f>
        <v/>
      </c>
      <c r="AA202" s="3">
        <f>IF(ISNUMBER(AVERAGE('20250815_ETF_Options_Exhibits'!AA198:AA202)),AVERAGE('20250815_ETF_Options_Exhibits'!AA198:AA202),"")</f>
        <v/>
      </c>
    </row>
    <row r="203">
      <c r="A203" s="1" t="n">
        <v>42296</v>
      </c>
      <c r="B203" s="3">
        <f>IF(ISNUMBER(AVERAGE('20250815_ETF_Options_Exhibits'!B199:B203)),AVERAGE('20250815_ETF_Options_Exhibits'!B199:B203),"")</f>
        <v/>
      </c>
      <c r="C203" s="3">
        <f>IF(ISNUMBER(AVERAGE('20250815_ETF_Options_Exhibits'!C199:C203)),AVERAGE('20250815_ETF_Options_Exhibits'!C199:C203),"")</f>
        <v/>
      </c>
      <c r="D203" s="3">
        <f>IF(ISNUMBER(AVERAGE('20250815_ETF_Options_Exhibits'!D199:D203)),AVERAGE('20250815_ETF_Options_Exhibits'!D199:D203),"")</f>
        <v/>
      </c>
      <c r="E203" s="3">
        <f>IF(ISNUMBER(AVERAGE('20250815_ETF_Options_Exhibits'!E199:E203)),AVERAGE('20250815_ETF_Options_Exhibits'!E199:E203),"")</f>
        <v/>
      </c>
      <c r="F203" s="3">
        <f>IF(ISNUMBER(AVERAGE('20250815_ETF_Options_Exhibits'!F199:F203)),AVERAGE('20250815_ETF_Options_Exhibits'!F199:F203),"")</f>
        <v/>
      </c>
      <c r="G203" s="3">
        <f>IF(ISNUMBER(AVERAGE('20250815_ETF_Options_Exhibits'!G199:G203)),AVERAGE('20250815_ETF_Options_Exhibits'!G199:G203),"")</f>
        <v/>
      </c>
      <c r="H203" s="3">
        <f>IF(ISNUMBER(AVERAGE('20250815_ETF_Options_Exhibits'!H199:H203)),AVERAGE('20250815_ETF_Options_Exhibits'!H199:H203),"")</f>
        <v/>
      </c>
      <c r="I203" s="3">
        <f>IF(ISNUMBER(AVERAGE('20250815_ETF_Options_Exhibits'!I199:I203)),AVERAGE('20250815_ETF_Options_Exhibits'!I199:I203),"")</f>
        <v/>
      </c>
      <c r="J203" s="3">
        <f>IF(ISNUMBER(AVERAGE('20250815_ETF_Options_Exhibits'!J199:J203)),AVERAGE('20250815_ETF_Options_Exhibits'!J199:J203),"")</f>
        <v/>
      </c>
      <c r="K203" s="3">
        <f>IF(ISNUMBER(AVERAGE('20250815_ETF_Options_Exhibits'!K199:K203)),AVERAGE('20250815_ETF_Options_Exhibits'!K199:K203),"")</f>
        <v/>
      </c>
      <c r="L203" s="3">
        <f>IF(ISNUMBER(AVERAGE('20250815_ETF_Options_Exhibits'!L199:L203)),AVERAGE('20250815_ETF_Options_Exhibits'!L199:L203),"")</f>
        <v/>
      </c>
      <c r="M203" s="3">
        <f>IF(ISNUMBER(AVERAGE('20250815_ETF_Options_Exhibits'!M199:M203)),AVERAGE('20250815_ETF_Options_Exhibits'!M199:M203),"")</f>
        <v/>
      </c>
      <c r="N203" s="3">
        <f>IF(ISNUMBER(AVERAGE('20250815_ETF_Options_Exhibits'!N199:N203)),AVERAGE('20250815_ETF_Options_Exhibits'!N199:N203),"")</f>
        <v/>
      </c>
      <c r="O203" s="3">
        <f>IF(ISNUMBER(AVERAGE('20250815_ETF_Options_Exhibits'!O199:O203)),AVERAGE('20250815_ETF_Options_Exhibits'!O199:O203),"")</f>
        <v/>
      </c>
      <c r="P203" s="3">
        <f>IF(ISNUMBER(AVERAGE('20250815_ETF_Options_Exhibits'!P199:P203)),AVERAGE('20250815_ETF_Options_Exhibits'!P199:P203),"")</f>
        <v/>
      </c>
      <c r="Q203" s="3">
        <f>IF(ISNUMBER(AVERAGE('20250815_ETF_Options_Exhibits'!Q199:Q203)),AVERAGE('20250815_ETF_Options_Exhibits'!Q199:Q203),"")</f>
        <v/>
      </c>
      <c r="R203" s="3">
        <f>IF(ISNUMBER(AVERAGE('20250815_ETF_Options_Exhibits'!R199:R203)),AVERAGE('20250815_ETF_Options_Exhibits'!R199:R203),"")</f>
        <v/>
      </c>
      <c r="S203" s="3">
        <f>IF(ISNUMBER(AVERAGE('20250815_ETF_Options_Exhibits'!S199:S203)),AVERAGE('20250815_ETF_Options_Exhibits'!S199:S203),"")</f>
        <v/>
      </c>
      <c r="T203" s="3">
        <f>IF(ISNUMBER(AVERAGE('20250815_ETF_Options_Exhibits'!T199:T203)),AVERAGE('20250815_ETF_Options_Exhibits'!T199:T203),"")</f>
        <v/>
      </c>
      <c r="U203" s="3">
        <f>IF(ISNUMBER(AVERAGE('20250815_ETF_Options_Exhibits'!U199:U203)),AVERAGE('20250815_ETF_Options_Exhibits'!U199:U203),"")</f>
        <v/>
      </c>
      <c r="V203" s="3">
        <f>IF(ISNUMBER(AVERAGE('20250815_ETF_Options_Exhibits'!V199:V203)),AVERAGE('20250815_ETF_Options_Exhibits'!V199:V203),"")</f>
        <v/>
      </c>
      <c r="W203" s="3">
        <f>IF(ISNUMBER(AVERAGE('20250815_ETF_Options_Exhibits'!W199:W203)),AVERAGE('20250815_ETF_Options_Exhibits'!W199:W203),"")</f>
        <v/>
      </c>
      <c r="X203" s="3">
        <f>IF(ISNUMBER(AVERAGE('20250815_ETF_Options_Exhibits'!X199:X203)),AVERAGE('20250815_ETF_Options_Exhibits'!X199:X203),"")</f>
        <v/>
      </c>
      <c r="Y203" s="3">
        <f>IF(ISNUMBER(AVERAGE('20250815_ETF_Options_Exhibits'!Y199:Y203)),AVERAGE('20250815_ETF_Options_Exhibits'!Y199:Y203),"")</f>
        <v/>
      </c>
      <c r="Z203" s="3">
        <f>IF(ISNUMBER(AVERAGE('20250815_ETF_Options_Exhibits'!Z199:Z203)),AVERAGE('20250815_ETF_Options_Exhibits'!Z199:Z203),"")</f>
        <v/>
      </c>
      <c r="AA203" s="3">
        <f>IF(ISNUMBER(AVERAGE('20250815_ETF_Options_Exhibits'!AA199:AA203)),AVERAGE('20250815_ETF_Options_Exhibits'!AA199:AA203),"")</f>
        <v/>
      </c>
    </row>
    <row r="204">
      <c r="A204" s="1" t="n">
        <v>42297</v>
      </c>
      <c r="B204" s="3">
        <f>IF(ISNUMBER(AVERAGE('20250815_ETF_Options_Exhibits'!B200:B204)),AVERAGE('20250815_ETF_Options_Exhibits'!B200:B204),"")</f>
        <v/>
      </c>
      <c r="C204" s="3">
        <f>IF(ISNUMBER(AVERAGE('20250815_ETF_Options_Exhibits'!C200:C204)),AVERAGE('20250815_ETF_Options_Exhibits'!C200:C204),"")</f>
        <v/>
      </c>
      <c r="D204" s="3">
        <f>IF(ISNUMBER(AVERAGE('20250815_ETF_Options_Exhibits'!D200:D204)),AVERAGE('20250815_ETF_Options_Exhibits'!D200:D204),"")</f>
        <v/>
      </c>
      <c r="E204" s="3">
        <f>IF(ISNUMBER(AVERAGE('20250815_ETF_Options_Exhibits'!E200:E204)),AVERAGE('20250815_ETF_Options_Exhibits'!E200:E204),"")</f>
        <v/>
      </c>
      <c r="F204" s="3">
        <f>IF(ISNUMBER(AVERAGE('20250815_ETF_Options_Exhibits'!F200:F204)),AVERAGE('20250815_ETF_Options_Exhibits'!F200:F204),"")</f>
        <v/>
      </c>
      <c r="G204" s="3">
        <f>IF(ISNUMBER(AVERAGE('20250815_ETF_Options_Exhibits'!G200:G204)),AVERAGE('20250815_ETF_Options_Exhibits'!G200:G204),"")</f>
        <v/>
      </c>
      <c r="H204" s="3">
        <f>IF(ISNUMBER(AVERAGE('20250815_ETF_Options_Exhibits'!H200:H204)),AVERAGE('20250815_ETF_Options_Exhibits'!H200:H204),"")</f>
        <v/>
      </c>
      <c r="I204" s="3">
        <f>IF(ISNUMBER(AVERAGE('20250815_ETF_Options_Exhibits'!I200:I204)),AVERAGE('20250815_ETF_Options_Exhibits'!I200:I204),"")</f>
        <v/>
      </c>
      <c r="J204" s="3">
        <f>IF(ISNUMBER(AVERAGE('20250815_ETF_Options_Exhibits'!J200:J204)),AVERAGE('20250815_ETF_Options_Exhibits'!J200:J204),"")</f>
        <v/>
      </c>
      <c r="K204" s="3">
        <f>IF(ISNUMBER(AVERAGE('20250815_ETF_Options_Exhibits'!K200:K204)),AVERAGE('20250815_ETF_Options_Exhibits'!K200:K204),"")</f>
        <v/>
      </c>
      <c r="L204" s="3">
        <f>IF(ISNUMBER(AVERAGE('20250815_ETF_Options_Exhibits'!L200:L204)),AVERAGE('20250815_ETF_Options_Exhibits'!L200:L204),"")</f>
        <v/>
      </c>
      <c r="M204" s="3">
        <f>IF(ISNUMBER(AVERAGE('20250815_ETF_Options_Exhibits'!M200:M204)),AVERAGE('20250815_ETF_Options_Exhibits'!M200:M204),"")</f>
        <v/>
      </c>
      <c r="N204" s="3">
        <f>IF(ISNUMBER(AVERAGE('20250815_ETF_Options_Exhibits'!N200:N204)),AVERAGE('20250815_ETF_Options_Exhibits'!N200:N204),"")</f>
        <v/>
      </c>
      <c r="O204" s="3">
        <f>IF(ISNUMBER(AVERAGE('20250815_ETF_Options_Exhibits'!O200:O204)),AVERAGE('20250815_ETF_Options_Exhibits'!O200:O204),"")</f>
        <v/>
      </c>
      <c r="P204" s="3">
        <f>IF(ISNUMBER(AVERAGE('20250815_ETF_Options_Exhibits'!P200:P204)),AVERAGE('20250815_ETF_Options_Exhibits'!P200:P204),"")</f>
        <v/>
      </c>
      <c r="Q204" s="3">
        <f>IF(ISNUMBER(AVERAGE('20250815_ETF_Options_Exhibits'!Q200:Q204)),AVERAGE('20250815_ETF_Options_Exhibits'!Q200:Q204),"")</f>
        <v/>
      </c>
      <c r="R204" s="3">
        <f>IF(ISNUMBER(AVERAGE('20250815_ETF_Options_Exhibits'!R200:R204)),AVERAGE('20250815_ETF_Options_Exhibits'!R200:R204),"")</f>
        <v/>
      </c>
      <c r="S204" s="3">
        <f>IF(ISNUMBER(AVERAGE('20250815_ETF_Options_Exhibits'!S200:S204)),AVERAGE('20250815_ETF_Options_Exhibits'!S200:S204),"")</f>
        <v/>
      </c>
      <c r="T204" s="3">
        <f>IF(ISNUMBER(AVERAGE('20250815_ETF_Options_Exhibits'!T200:T204)),AVERAGE('20250815_ETF_Options_Exhibits'!T200:T204),"")</f>
        <v/>
      </c>
      <c r="U204" s="3">
        <f>IF(ISNUMBER(AVERAGE('20250815_ETF_Options_Exhibits'!U200:U204)),AVERAGE('20250815_ETF_Options_Exhibits'!U200:U204),"")</f>
        <v/>
      </c>
      <c r="V204" s="3">
        <f>IF(ISNUMBER(AVERAGE('20250815_ETF_Options_Exhibits'!V200:V204)),AVERAGE('20250815_ETF_Options_Exhibits'!V200:V204),"")</f>
        <v/>
      </c>
      <c r="W204" s="3">
        <f>IF(ISNUMBER(AVERAGE('20250815_ETF_Options_Exhibits'!W200:W204)),AVERAGE('20250815_ETF_Options_Exhibits'!W200:W204),"")</f>
        <v/>
      </c>
      <c r="X204" s="3">
        <f>IF(ISNUMBER(AVERAGE('20250815_ETF_Options_Exhibits'!X200:X204)),AVERAGE('20250815_ETF_Options_Exhibits'!X200:X204),"")</f>
        <v/>
      </c>
      <c r="Y204" s="3">
        <f>IF(ISNUMBER(AVERAGE('20250815_ETF_Options_Exhibits'!Y200:Y204)),AVERAGE('20250815_ETF_Options_Exhibits'!Y200:Y204),"")</f>
        <v/>
      </c>
      <c r="Z204" s="3">
        <f>IF(ISNUMBER(AVERAGE('20250815_ETF_Options_Exhibits'!Z200:Z204)),AVERAGE('20250815_ETF_Options_Exhibits'!Z200:Z204),"")</f>
        <v/>
      </c>
      <c r="AA204" s="3">
        <f>IF(ISNUMBER(AVERAGE('20250815_ETF_Options_Exhibits'!AA200:AA204)),AVERAGE('20250815_ETF_Options_Exhibits'!AA200:AA204),"")</f>
        <v/>
      </c>
    </row>
    <row r="205">
      <c r="A205" s="1" t="n">
        <v>42298</v>
      </c>
      <c r="B205" s="3">
        <f>IF(ISNUMBER(AVERAGE('20250815_ETF_Options_Exhibits'!B201:B205)),AVERAGE('20250815_ETF_Options_Exhibits'!B201:B205),"")</f>
        <v/>
      </c>
      <c r="C205" s="3">
        <f>IF(ISNUMBER(AVERAGE('20250815_ETF_Options_Exhibits'!C201:C205)),AVERAGE('20250815_ETF_Options_Exhibits'!C201:C205),"")</f>
        <v/>
      </c>
      <c r="D205" s="3">
        <f>IF(ISNUMBER(AVERAGE('20250815_ETF_Options_Exhibits'!D201:D205)),AVERAGE('20250815_ETF_Options_Exhibits'!D201:D205),"")</f>
        <v/>
      </c>
      <c r="E205" s="3">
        <f>IF(ISNUMBER(AVERAGE('20250815_ETF_Options_Exhibits'!E201:E205)),AVERAGE('20250815_ETF_Options_Exhibits'!E201:E205),"")</f>
        <v/>
      </c>
      <c r="F205" s="3">
        <f>IF(ISNUMBER(AVERAGE('20250815_ETF_Options_Exhibits'!F201:F205)),AVERAGE('20250815_ETF_Options_Exhibits'!F201:F205),"")</f>
        <v/>
      </c>
      <c r="G205" s="3">
        <f>IF(ISNUMBER(AVERAGE('20250815_ETF_Options_Exhibits'!G201:G205)),AVERAGE('20250815_ETF_Options_Exhibits'!G201:G205),"")</f>
        <v/>
      </c>
      <c r="H205" s="3">
        <f>IF(ISNUMBER(AVERAGE('20250815_ETF_Options_Exhibits'!H201:H205)),AVERAGE('20250815_ETF_Options_Exhibits'!H201:H205),"")</f>
        <v/>
      </c>
      <c r="I205" s="3">
        <f>IF(ISNUMBER(AVERAGE('20250815_ETF_Options_Exhibits'!I201:I205)),AVERAGE('20250815_ETF_Options_Exhibits'!I201:I205),"")</f>
        <v/>
      </c>
      <c r="J205" s="3">
        <f>IF(ISNUMBER(AVERAGE('20250815_ETF_Options_Exhibits'!J201:J205)),AVERAGE('20250815_ETF_Options_Exhibits'!J201:J205),"")</f>
        <v/>
      </c>
      <c r="K205" s="3">
        <f>IF(ISNUMBER(AVERAGE('20250815_ETF_Options_Exhibits'!K201:K205)),AVERAGE('20250815_ETF_Options_Exhibits'!K201:K205),"")</f>
        <v/>
      </c>
      <c r="L205" s="3">
        <f>IF(ISNUMBER(AVERAGE('20250815_ETF_Options_Exhibits'!L201:L205)),AVERAGE('20250815_ETF_Options_Exhibits'!L201:L205),"")</f>
        <v/>
      </c>
      <c r="M205" s="3">
        <f>IF(ISNUMBER(AVERAGE('20250815_ETF_Options_Exhibits'!M201:M205)),AVERAGE('20250815_ETF_Options_Exhibits'!M201:M205),"")</f>
        <v/>
      </c>
      <c r="N205" s="3">
        <f>IF(ISNUMBER(AVERAGE('20250815_ETF_Options_Exhibits'!N201:N205)),AVERAGE('20250815_ETF_Options_Exhibits'!N201:N205),"")</f>
        <v/>
      </c>
      <c r="O205" s="3">
        <f>IF(ISNUMBER(AVERAGE('20250815_ETF_Options_Exhibits'!O201:O205)),AVERAGE('20250815_ETF_Options_Exhibits'!O201:O205),"")</f>
        <v/>
      </c>
      <c r="P205" s="3">
        <f>IF(ISNUMBER(AVERAGE('20250815_ETF_Options_Exhibits'!P201:P205)),AVERAGE('20250815_ETF_Options_Exhibits'!P201:P205),"")</f>
        <v/>
      </c>
      <c r="Q205" s="3">
        <f>IF(ISNUMBER(AVERAGE('20250815_ETF_Options_Exhibits'!Q201:Q205)),AVERAGE('20250815_ETF_Options_Exhibits'!Q201:Q205),"")</f>
        <v/>
      </c>
      <c r="R205" s="3">
        <f>IF(ISNUMBER(AVERAGE('20250815_ETF_Options_Exhibits'!R201:R205)),AVERAGE('20250815_ETF_Options_Exhibits'!R201:R205),"")</f>
        <v/>
      </c>
      <c r="S205" s="3">
        <f>IF(ISNUMBER(AVERAGE('20250815_ETF_Options_Exhibits'!S201:S205)),AVERAGE('20250815_ETF_Options_Exhibits'!S201:S205),"")</f>
        <v/>
      </c>
      <c r="T205" s="3">
        <f>IF(ISNUMBER(AVERAGE('20250815_ETF_Options_Exhibits'!T201:T205)),AVERAGE('20250815_ETF_Options_Exhibits'!T201:T205),"")</f>
        <v/>
      </c>
      <c r="U205" s="3">
        <f>IF(ISNUMBER(AVERAGE('20250815_ETF_Options_Exhibits'!U201:U205)),AVERAGE('20250815_ETF_Options_Exhibits'!U201:U205),"")</f>
        <v/>
      </c>
      <c r="V205" s="3">
        <f>IF(ISNUMBER(AVERAGE('20250815_ETF_Options_Exhibits'!V201:V205)),AVERAGE('20250815_ETF_Options_Exhibits'!V201:V205),"")</f>
        <v/>
      </c>
      <c r="W205" s="3">
        <f>IF(ISNUMBER(AVERAGE('20250815_ETF_Options_Exhibits'!W201:W205)),AVERAGE('20250815_ETF_Options_Exhibits'!W201:W205),"")</f>
        <v/>
      </c>
      <c r="X205" s="3">
        <f>IF(ISNUMBER(AVERAGE('20250815_ETF_Options_Exhibits'!X201:X205)),AVERAGE('20250815_ETF_Options_Exhibits'!X201:X205),"")</f>
        <v/>
      </c>
      <c r="Y205" s="3">
        <f>IF(ISNUMBER(AVERAGE('20250815_ETF_Options_Exhibits'!Y201:Y205)),AVERAGE('20250815_ETF_Options_Exhibits'!Y201:Y205),"")</f>
        <v/>
      </c>
      <c r="Z205" s="3">
        <f>IF(ISNUMBER(AVERAGE('20250815_ETF_Options_Exhibits'!Z201:Z205)),AVERAGE('20250815_ETF_Options_Exhibits'!Z201:Z205),"")</f>
        <v/>
      </c>
      <c r="AA205" s="3">
        <f>IF(ISNUMBER(AVERAGE('20250815_ETF_Options_Exhibits'!AA201:AA205)),AVERAGE('20250815_ETF_Options_Exhibits'!AA201:AA205),"")</f>
        <v/>
      </c>
    </row>
    <row r="206">
      <c r="A206" s="1" t="n">
        <v>42299</v>
      </c>
      <c r="B206" s="3">
        <f>IF(ISNUMBER(AVERAGE('20250815_ETF_Options_Exhibits'!B202:B206)),AVERAGE('20250815_ETF_Options_Exhibits'!B202:B206),"")</f>
        <v/>
      </c>
      <c r="C206" s="3">
        <f>IF(ISNUMBER(AVERAGE('20250815_ETF_Options_Exhibits'!C202:C206)),AVERAGE('20250815_ETF_Options_Exhibits'!C202:C206),"")</f>
        <v/>
      </c>
      <c r="D206" s="3">
        <f>IF(ISNUMBER(AVERAGE('20250815_ETF_Options_Exhibits'!D202:D206)),AVERAGE('20250815_ETF_Options_Exhibits'!D202:D206),"")</f>
        <v/>
      </c>
      <c r="E206" s="3">
        <f>IF(ISNUMBER(AVERAGE('20250815_ETF_Options_Exhibits'!E202:E206)),AVERAGE('20250815_ETF_Options_Exhibits'!E202:E206),"")</f>
        <v/>
      </c>
      <c r="F206" s="3">
        <f>IF(ISNUMBER(AVERAGE('20250815_ETF_Options_Exhibits'!F202:F206)),AVERAGE('20250815_ETF_Options_Exhibits'!F202:F206),"")</f>
        <v/>
      </c>
      <c r="G206" s="3">
        <f>IF(ISNUMBER(AVERAGE('20250815_ETF_Options_Exhibits'!G202:G206)),AVERAGE('20250815_ETF_Options_Exhibits'!G202:G206),"")</f>
        <v/>
      </c>
      <c r="H206" s="3">
        <f>IF(ISNUMBER(AVERAGE('20250815_ETF_Options_Exhibits'!H202:H206)),AVERAGE('20250815_ETF_Options_Exhibits'!H202:H206),"")</f>
        <v/>
      </c>
      <c r="I206" s="3">
        <f>IF(ISNUMBER(AVERAGE('20250815_ETF_Options_Exhibits'!I202:I206)),AVERAGE('20250815_ETF_Options_Exhibits'!I202:I206),"")</f>
        <v/>
      </c>
      <c r="J206" s="3">
        <f>IF(ISNUMBER(AVERAGE('20250815_ETF_Options_Exhibits'!J202:J206)),AVERAGE('20250815_ETF_Options_Exhibits'!J202:J206),"")</f>
        <v/>
      </c>
      <c r="K206" s="3">
        <f>IF(ISNUMBER(AVERAGE('20250815_ETF_Options_Exhibits'!K202:K206)),AVERAGE('20250815_ETF_Options_Exhibits'!K202:K206),"")</f>
        <v/>
      </c>
      <c r="L206" s="3">
        <f>IF(ISNUMBER(AVERAGE('20250815_ETF_Options_Exhibits'!L202:L206)),AVERAGE('20250815_ETF_Options_Exhibits'!L202:L206),"")</f>
        <v/>
      </c>
      <c r="M206" s="3">
        <f>IF(ISNUMBER(AVERAGE('20250815_ETF_Options_Exhibits'!M202:M206)),AVERAGE('20250815_ETF_Options_Exhibits'!M202:M206),"")</f>
        <v/>
      </c>
      <c r="N206" s="3">
        <f>IF(ISNUMBER(AVERAGE('20250815_ETF_Options_Exhibits'!N202:N206)),AVERAGE('20250815_ETF_Options_Exhibits'!N202:N206),"")</f>
        <v/>
      </c>
      <c r="O206" s="3">
        <f>IF(ISNUMBER(AVERAGE('20250815_ETF_Options_Exhibits'!O202:O206)),AVERAGE('20250815_ETF_Options_Exhibits'!O202:O206),"")</f>
        <v/>
      </c>
      <c r="P206" s="3">
        <f>IF(ISNUMBER(AVERAGE('20250815_ETF_Options_Exhibits'!P202:P206)),AVERAGE('20250815_ETF_Options_Exhibits'!P202:P206),"")</f>
        <v/>
      </c>
      <c r="Q206" s="3">
        <f>IF(ISNUMBER(AVERAGE('20250815_ETF_Options_Exhibits'!Q202:Q206)),AVERAGE('20250815_ETF_Options_Exhibits'!Q202:Q206),"")</f>
        <v/>
      </c>
      <c r="R206" s="3">
        <f>IF(ISNUMBER(AVERAGE('20250815_ETF_Options_Exhibits'!R202:R206)),AVERAGE('20250815_ETF_Options_Exhibits'!R202:R206),"")</f>
        <v/>
      </c>
      <c r="S206" s="3">
        <f>IF(ISNUMBER(AVERAGE('20250815_ETF_Options_Exhibits'!S202:S206)),AVERAGE('20250815_ETF_Options_Exhibits'!S202:S206),"")</f>
        <v/>
      </c>
      <c r="T206" s="3">
        <f>IF(ISNUMBER(AVERAGE('20250815_ETF_Options_Exhibits'!T202:T206)),AVERAGE('20250815_ETF_Options_Exhibits'!T202:T206),"")</f>
        <v/>
      </c>
      <c r="U206" s="3">
        <f>IF(ISNUMBER(AVERAGE('20250815_ETF_Options_Exhibits'!U202:U206)),AVERAGE('20250815_ETF_Options_Exhibits'!U202:U206),"")</f>
        <v/>
      </c>
      <c r="V206" s="3">
        <f>IF(ISNUMBER(AVERAGE('20250815_ETF_Options_Exhibits'!V202:V206)),AVERAGE('20250815_ETF_Options_Exhibits'!V202:V206),"")</f>
        <v/>
      </c>
      <c r="W206" s="3">
        <f>IF(ISNUMBER(AVERAGE('20250815_ETF_Options_Exhibits'!W202:W206)),AVERAGE('20250815_ETF_Options_Exhibits'!W202:W206),"")</f>
        <v/>
      </c>
      <c r="X206" s="3">
        <f>IF(ISNUMBER(AVERAGE('20250815_ETF_Options_Exhibits'!X202:X206)),AVERAGE('20250815_ETF_Options_Exhibits'!X202:X206),"")</f>
        <v/>
      </c>
      <c r="Y206" s="3">
        <f>IF(ISNUMBER(AVERAGE('20250815_ETF_Options_Exhibits'!Y202:Y206)),AVERAGE('20250815_ETF_Options_Exhibits'!Y202:Y206),"")</f>
        <v/>
      </c>
      <c r="Z206" s="3">
        <f>IF(ISNUMBER(AVERAGE('20250815_ETF_Options_Exhibits'!Z202:Z206)),AVERAGE('20250815_ETF_Options_Exhibits'!Z202:Z206),"")</f>
        <v/>
      </c>
      <c r="AA206" s="3">
        <f>IF(ISNUMBER(AVERAGE('20250815_ETF_Options_Exhibits'!AA202:AA206)),AVERAGE('20250815_ETF_Options_Exhibits'!AA202:AA206),"")</f>
        <v/>
      </c>
    </row>
    <row r="207">
      <c r="A207" s="1" t="n">
        <v>42300</v>
      </c>
      <c r="B207" s="3">
        <f>IF(ISNUMBER(AVERAGE('20250815_ETF_Options_Exhibits'!B203:B207)),AVERAGE('20250815_ETF_Options_Exhibits'!B203:B207),"")</f>
        <v/>
      </c>
      <c r="C207" s="3">
        <f>IF(ISNUMBER(AVERAGE('20250815_ETF_Options_Exhibits'!C203:C207)),AVERAGE('20250815_ETF_Options_Exhibits'!C203:C207),"")</f>
        <v/>
      </c>
      <c r="D207" s="3">
        <f>IF(ISNUMBER(AVERAGE('20250815_ETF_Options_Exhibits'!D203:D207)),AVERAGE('20250815_ETF_Options_Exhibits'!D203:D207),"")</f>
        <v/>
      </c>
      <c r="E207" s="3">
        <f>IF(ISNUMBER(AVERAGE('20250815_ETF_Options_Exhibits'!E203:E207)),AVERAGE('20250815_ETF_Options_Exhibits'!E203:E207),"")</f>
        <v/>
      </c>
      <c r="F207" s="3">
        <f>IF(ISNUMBER(AVERAGE('20250815_ETF_Options_Exhibits'!F203:F207)),AVERAGE('20250815_ETF_Options_Exhibits'!F203:F207),"")</f>
        <v/>
      </c>
      <c r="G207" s="3">
        <f>IF(ISNUMBER(AVERAGE('20250815_ETF_Options_Exhibits'!G203:G207)),AVERAGE('20250815_ETF_Options_Exhibits'!G203:G207),"")</f>
        <v/>
      </c>
      <c r="H207" s="3">
        <f>IF(ISNUMBER(AVERAGE('20250815_ETF_Options_Exhibits'!H203:H207)),AVERAGE('20250815_ETF_Options_Exhibits'!H203:H207),"")</f>
        <v/>
      </c>
      <c r="I207" s="3">
        <f>IF(ISNUMBER(AVERAGE('20250815_ETF_Options_Exhibits'!I203:I207)),AVERAGE('20250815_ETF_Options_Exhibits'!I203:I207),"")</f>
        <v/>
      </c>
      <c r="J207" s="3">
        <f>IF(ISNUMBER(AVERAGE('20250815_ETF_Options_Exhibits'!J203:J207)),AVERAGE('20250815_ETF_Options_Exhibits'!J203:J207),"")</f>
        <v/>
      </c>
      <c r="K207" s="3">
        <f>IF(ISNUMBER(AVERAGE('20250815_ETF_Options_Exhibits'!K203:K207)),AVERAGE('20250815_ETF_Options_Exhibits'!K203:K207),"")</f>
        <v/>
      </c>
      <c r="L207" s="3">
        <f>IF(ISNUMBER(AVERAGE('20250815_ETF_Options_Exhibits'!L203:L207)),AVERAGE('20250815_ETF_Options_Exhibits'!L203:L207),"")</f>
        <v/>
      </c>
      <c r="M207" s="3">
        <f>IF(ISNUMBER(AVERAGE('20250815_ETF_Options_Exhibits'!M203:M207)),AVERAGE('20250815_ETF_Options_Exhibits'!M203:M207),"")</f>
        <v/>
      </c>
      <c r="N207" s="3">
        <f>IF(ISNUMBER(AVERAGE('20250815_ETF_Options_Exhibits'!N203:N207)),AVERAGE('20250815_ETF_Options_Exhibits'!N203:N207),"")</f>
        <v/>
      </c>
      <c r="O207" s="3">
        <f>IF(ISNUMBER(AVERAGE('20250815_ETF_Options_Exhibits'!O203:O207)),AVERAGE('20250815_ETF_Options_Exhibits'!O203:O207),"")</f>
        <v/>
      </c>
      <c r="P207" s="3">
        <f>IF(ISNUMBER(AVERAGE('20250815_ETF_Options_Exhibits'!P203:P207)),AVERAGE('20250815_ETF_Options_Exhibits'!P203:P207),"")</f>
        <v/>
      </c>
      <c r="Q207" s="3">
        <f>IF(ISNUMBER(AVERAGE('20250815_ETF_Options_Exhibits'!Q203:Q207)),AVERAGE('20250815_ETF_Options_Exhibits'!Q203:Q207),"")</f>
        <v/>
      </c>
      <c r="R207" s="3">
        <f>IF(ISNUMBER(AVERAGE('20250815_ETF_Options_Exhibits'!R203:R207)),AVERAGE('20250815_ETF_Options_Exhibits'!R203:R207),"")</f>
        <v/>
      </c>
      <c r="S207" s="3">
        <f>IF(ISNUMBER(AVERAGE('20250815_ETF_Options_Exhibits'!S203:S207)),AVERAGE('20250815_ETF_Options_Exhibits'!S203:S207),"")</f>
        <v/>
      </c>
      <c r="T207" s="3">
        <f>IF(ISNUMBER(AVERAGE('20250815_ETF_Options_Exhibits'!T203:T207)),AVERAGE('20250815_ETF_Options_Exhibits'!T203:T207),"")</f>
        <v/>
      </c>
      <c r="U207" s="3">
        <f>IF(ISNUMBER(AVERAGE('20250815_ETF_Options_Exhibits'!U203:U207)),AVERAGE('20250815_ETF_Options_Exhibits'!U203:U207),"")</f>
        <v/>
      </c>
      <c r="V207" s="3">
        <f>IF(ISNUMBER(AVERAGE('20250815_ETF_Options_Exhibits'!V203:V207)),AVERAGE('20250815_ETF_Options_Exhibits'!V203:V207),"")</f>
        <v/>
      </c>
      <c r="W207" s="3">
        <f>IF(ISNUMBER(AVERAGE('20250815_ETF_Options_Exhibits'!W203:W207)),AVERAGE('20250815_ETF_Options_Exhibits'!W203:W207),"")</f>
        <v/>
      </c>
      <c r="X207" s="3">
        <f>IF(ISNUMBER(AVERAGE('20250815_ETF_Options_Exhibits'!X203:X207)),AVERAGE('20250815_ETF_Options_Exhibits'!X203:X207),"")</f>
        <v/>
      </c>
      <c r="Y207" s="3">
        <f>IF(ISNUMBER(AVERAGE('20250815_ETF_Options_Exhibits'!Y203:Y207)),AVERAGE('20250815_ETF_Options_Exhibits'!Y203:Y207),"")</f>
        <v/>
      </c>
      <c r="Z207" s="3">
        <f>IF(ISNUMBER(AVERAGE('20250815_ETF_Options_Exhibits'!Z203:Z207)),AVERAGE('20250815_ETF_Options_Exhibits'!Z203:Z207),"")</f>
        <v/>
      </c>
      <c r="AA207" s="3">
        <f>IF(ISNUMBER(AVERAGE('20250815_ETF_Options_Exhibits'!AA203:AA207)),AVERAGE('20250815_ETF_Options_Exhibits'!AA203:AA207),"")</f>
        <v/>
      </c>
    </row>
    <row r="208">
      <c r="A208" s="1" t="n">
        <v>42303</v>
      </c>
      <c r="B208" s="3">
        <f>IF(ISNUMBER(AVERAGE('20250815_ETF_Options_Exhibits'!B204:B208)),AVERAGE('20250815_ETF_Options_Exhibits'!B204:B208),"")</f>
        <v/>
      </c>
      <c r="C208" s="3">
        <f>IF(ISNUMBER(AVERAGE('20250815_ETF_Options_Exhibits'!C204:C208)),AVERAGE('20250815_ETF_Options_Exhibits'!C204:C208),"")</f>
        <v/>
      </c>
      <c r="D208" s="3">
        <f>IF(ISNUMBER(AVERAGE('20250815_ETF_Options_Exhibits'!D204:D208)),AVERAGE('20250815_ETF_Options_Exhibits'!D204:D208),"")</f>
        <v/>
      </c>
      <c r="E208" s="3">
        <f>IF(ISNUMBER(AVERAGE('20250815_ETF_Options_Exhibits'!E204:E208)),AVERAGE('20250815_ETF_Options_Exhibits'!E204:E208),"")</f>
        <v/>
      </c>
      <c r="F208" s="3">
        <f>IF(ISNUMBER(AVERAGE('20250815_ETF_Options_Exhibits'!F204:F208)),AVERAGE('20250815_ETF_Options_Exhibits'!F204:F208),"")</f>
        <v/>
      </c>
      <c r="G208" s="3">
        <f>IF(ISNUMBER(AVERAGE('20250815_ETF_Options_Exhibits'!G204:G208)),AVERAGE('20250815_ETF_Options_Exhibits'!G204:G208),"")</f>
        <v/>
      </c>
      <c r="H208" s="3">
        <f>IF(ISNUMBER(AVERAGE('20250815_ETF_Options_Exhibits'!H204:H208)),AVERAGE('20250815_ETF_Options_Exhibits'!H204:H208),"")</f>
        <v/>
      </c>
      <c r="I208" s="3">
        <f>IF(ISNUMBER(AVERAGE('20250815_ETF_Options_Exhibits'!I204:I208)),AVERAGE('20250815_ETF_Options_Exhibits'!I204:I208),"")</f>
        <v/>
      </c>
      <c r="J208" s="3">
        <f>IF(ISNUMBER(AVERAGE('20250815_ETF_Options_Exhibits'!J204:J208)),AVERAGE('20250815_ETF_Options_Exhibits'!J204:J208),"")</f>
        <v/>
      </c>
      <c r="K208" s="3">
        <f>IF(ISNUMBER(AVERAGE('20250815_ETF_Options_Exhibits'!K204:K208)),AVERAGE('20250815_ETF_Options_Exhibits'!K204:K208),"")</f>
        <v/>
      </c>
      <c r="L208" s="3">
        <f>IF(ISNUMBER(AVERAGE('20250815_ETF_Options_Exhibits'!L204:L208)),AVERAGE('20250815_ETF_Options_Exhibits'!L204:L208),"")</f>
        <v/>
      </c>
      <c r="M208" s="3">
        <f>IF(ISNUMBER(AVERAGE('20250815_ETF_Options_Exhibits'!M204:M208)),AVERAGE('20250815_ETF_Options_Exhibits'!M204:M208),"")</f>
        <v/>
      </c>
      <c r="N208" s="3">
        <f>IF(ISNUMBER(AVERAGE('20250815_ETF_Options_Exhibits'!N204:N208)),AVERAGE('20250815_ETF_Options_Exhibits'!N204:N208),"")</f>
        <v/>
      </c>
      <c r="O208" s="3">
        <f>IF(ISNUMBER(AVERAGE('20250815_ETF_Options_Exhibits'!O204:O208)),AVERAGE('20250815_ETF_Options_Exhibits'!O204:O208),"")</f>
        <v/>
      </c>
      <c r="P208" s="3">
        <f>IF(ISNUMBER(AVERAGE('20250815_ETF_Options_Exhibits'!P204:P208)),AVERAGE('20250815_ETF_Options_Exhibits'!P204:P208),"")</f>
        <v/>
      </c>
      <c r="Q208" s="3">
        <f>IF(ISNUMBER(AVERAGE('20250815_ETF_Options_Exhibits'!Q204:Q208)),AVERAGE('20250815_ETF_Options_Exhibits'!Q204:Q208),"")</f>
        <v/>
      </c>
      <c r="R208" s="3">
        <f>IF(ISNUMBER(AVERAGE('20250815_ETF_Options_Exhibits'!R204:R208)),AVERAGE('20250815_ETF_Options_Exhibits'!R204:R208),"")</f>
        <v/>
      </c>
      <c r="S208" s="3">
        <f>IF(ISNUMBER(AVERAGE('20250815_ETF_Options_Exhibits'!S204:S208)),AVERAGE('20250815_ETF_Options_Exhibits'!S204:S208),"")</f>
        <v/>
      </c>
      <c r="T208" s="3">
        <f>IF(ISNUMBER(AVERAGE('20250815_ETF_Options_Exhibits'!T204:T208)),AVERAGE('20250815_ETF_Options_Exhibits'!T204:T208),"")</f>
        <v/>
      </c>
      <c r="U208" s="3">
        <f>IF(ISNUMBER(AVERAGE('20250815_ETF_Options_Exhibits'!U204:U208)),AVERAGE('20250815_ETF_Options_Exhibits'!U204:U208),"")</f>
        <v/>
      </c>
      <c r="V208" s="3">
        <f>IF(ISNUMBER(AVERAGE('20250815_ETF_Options_Exhibits'!V204:V208)),AVERAGE('20250815_ETF_Options_Exhibits'!V204:V208),"")</f>
        <v/>
      </c>
      <c r="W208" s="3">
        <f>IF(ISNUMBER(AVERAGE('20250815_ETF_Options_Exhibits'!W204:W208)),AVERAGE('20250815_ETF_Options_Exhibits'!W204:W208),"")</f>
        <v/>
      </c>
      <c r="X208" s="3">
        <f>IF(ISNUMBER(AVERAGE('20250815_ETF_Options_Exhibits'!X204:X208)),AVERAGE('20250815_ETF_Options_Exhibits'!X204:X208),"")</f>
        <v/>
      </c>
      <c r="Y208" s="3">
        <f>IF(ISNUMBER(AVERAGE('20250815_ETF_Options_Exhibits'!Y204:Y208)),AVERAGE('20250815_ETF_Options_Exhibits'!Y204:Y208),"")</f>
        <v/>
      </c>
      <c r="Z208" s="3">
        <f>IF(ISNUMBER(AVERAGE('20250815_ETF_Options_Exhibits'!Z204:Z208)),AVERAGE('20250815_ETF_Options_Exhibits'!Z204:Z208),"")</f>
        <v/>
      </c>
      <c r="AA208" s="3">
        <f>IF(ISNUMBER(AVERAGE('20250815_ETF_Options_Exhibits'!AA204:AA208)),AVERAGE('20250815_ETF_Options_Exhibits'!AA204:AA208),"")</f>
        <v/>
      </c>
    </row>
    <row r="209">
      <c r="A209" s="1" t="n">
        <v>42304</v>
      </c>
      <c r="B209" s="3">
        <f>IF(ISNUMBER(AVERAGE('20250815_ETF_Options_Exhibits'!B205:B209)),AVERAGE('20250815_ETF_Options_Exhibits'!B205:B209),"")</f>
        <v/>
      </c>
      <c r="C209" s="3">
        <f>IF(ISNUMBER(AVERAGE('20250815_ETF_Options_Exhibits'!C205:C209)),AVERAGE('20250815_ETF_Options_Exhibits'!C205:C209),"")</f>
        <v/>
      </c>
      <c r="D209" s="3">
        <f>IF(ISNUMBER(AVERAGE('20250815_ETF_Options_Exhibits'!D205:D209)),AVERAGE('20250815_ETF_Options_Exhibits'!D205:D209),"")</f>
        <v/>
      </c>
      <c r="E209" s="3">
        <f>IF(ISNUMBER(AVERAGE('20250815_ETF_Options_Exhibits'!E205:E209)),AVERAGE('20250815_ETF_Options_Exhibits'!E205:E209),"")</f>
        <v/>
      </c>
      <c r="F209" s="3">
        <f>IF(ISNUMBER(AVERAGE('20250815_ETF_Options_Exhibits'!F205:F209)),AVERAGE('20250815_ETF_Options_Exhibits'!F205:F209),"")</f>
        <v/>
      </c>
      <c r="G209" s="3">
        <f>IF(ISNUMBER(AVERAGE('20250815_ETF_Options_Exhibits'!G205:G209)),AVERAGE('20250815_ETF_Options_Exhibits'!G205:G209),"")</f>
        <v/>
      </c>
      <c r="H209" s="3">
        <f>IF(ISNUMBER(AVERAGE('20250815_ETF_Options_Exhibits'!H205:H209)),AVERAGE('20250815_ETF_Options_Exhibits'!H205:H209),"")</f>
        <v/>
      </c>
      <c r="I209" s="3">
        <f>IF(ISNUMBER(AVERAGE('20250815_ETF_Options_Exhibits'!I205:I209)),AVERAGE('20250815_ETF_Options_Exhibits'!I205:I209),"")</f>
        <v/>
      </c>
      <c r="J209" s="3">
        <f>IF(ISNUMBER(AVERAGE('20250815_ETF_Options_Exhibits'!J205:J209)),AVERAGE('20250815_ETF_Options_Exhibits'!J205:J209),"")</f>
        <v/>
      </c>
      <c r="K209" s="3">
        <f>IF(ISNUMBER(AVERAGE('20250815_ETF_Options_Exhibits'!K205:K209)),AVERAGE('20250815_ETF_Options_Exhibits'!K205:K209),"")</f>
        <v/>
      </c>
      <c r="L209" s="3">
        <f>IF(ISNUMBER(AVERAGE('20250815_ETF_Options_Exhibits'!L205:L209)),AVERAGE('20250815_ETF_Options_Exhibits'!L205:L209),"")</f>
        <v/>
      </c>
      <c r="M209" s="3">
        <f>IF(ISNUMBER(AVERAGE('20250815_ETF_Options_Exhibits'!M205:M209)),AVERAGE('20250815_ETF_Options_Exhibits'!M205:M209),"")</f>
        <v/>
      </c>
      <c r="N209" s="3">
        <f>IF(ISNUMBER(AVERAGE('20250815_ETF_Options_Exhibits'!N205:N209)),AVERAGE('20250815_ETF_Options_Exhibits'!N205:N209),"")</f>
        <v/>
      </c>
      <c r="O209" s="3">
        <f>IF(ISNUMBER(AVERAGE('20250815_ETF_Options_Exhibits'!O205:O209)),AVERAGE('20250815_ETF_Options_Exhibits'!O205:O209),"")</f>
        <v/>
      </c>
      <c r="P209" s="3">
        <f>IF(ISNUMBER(AVERAGE('20250815_ETF_Options_Exhibits'!P205:P209)),AVERAGE('20250815_ETF_Options_Exhibits'!P205:P209),"")</f>
        <v/>
      </c>
      <c r="Q209" s="3">
        <f>IF(ISNUMBER(AVERAGE('20250815_ETF_Options_Exhibits'!Q205:Q209)),AVERAGE('20250815_ETF_Options_Exhibits'!Q205:Q209),"")</f>
        <v/>
      </c>
      <c r="R209" s="3">
        <f>IF(ISNUMBER(AVERAGE('20250815_ETF_Options_Exhibits'!R205:R209)),AVERAGE('20250815_ETF_Options_Exhibits'!R205:R209),"")</f>
        <v/>
      </c>
      <c r="S209" s="3">
        <f>IF(ISNUMBER(AVERAGE('20250815_ETF_Options_Exhibits'!S205:S209)),AVERAGE('20250815_ETF_Options_Exhibits'!S205:S209),"")</f>
        <v/>
      </c>
      <c r="T209" s="3">
        <f>IF(ISNUMBER(AVERAGE('20250815_ETF_Options_Exhibits'!T205:T209)),AVERAGE('20250815_ETF_Options_Exhibits'!T205:T209),"")</f>
        <v/>
      </c>
      <c r="U209" s="3">
        <f>IF(ISNUMBER(AVERAGE('20250815_ETF_Options_Exhibits'!U205:U209)),AVERAGE('20250815_ETF_Options_Exhibits'!U205:U209),"")</f>
        <v/>
      </c>
      <c r="V209" s="3">
        <f>IF(ISNUMBER(AVERAGE('20250815_ETF_Options_Exhibits'!V205:V209)),AVERAGE('20250815_ETF_Options_Exhibits'!V205:V209),"")</f>
        <v/>
      </c>
      <c r="W209" s="3">
        <f>IF(ISNUMBER(AVERAGE('20250815_ETF_Options_Exhibits'!W205:W209)),AVERAGE('20250815_ETF_Options_Exhibits'!W205:W209),"")</f>
        <v/>
      </c>
      <c r="X209" s="3">
        <f>IF(ISNUMBER(AVERAGE('20250815_ETF_Options_Exhibits'!X205:X209)),AVERAGE('20250815_ETF_Options_Exhibits'!X205:X209),"")</f>
        <v/>
      </c>
      <c r="Y209" s="3">
        <f>IF(ISNUMBER(AVERAGE('20250815_ETF_Options_Exhibits'!Y205:Y209)),AVERAGE('20250815_ETF_Options_Exhibits'!Y205:Y209),"")</f>
        <v/>
      </c>
      <c r="Z209" s="3">
        <f>IF(ISNUMBER(AVERAGE('20250815_ETF_Options_Exhibits'!Z205:Z209)),AVERAGE('20250815_ETF_Options_Exhibits'!Z205:Z209),"")</f>
        <v/>
      </c>
      <c r="AA209" s="3">
        <f>IF(ISNUMBER(AVERAGE('20250815_ETF_Options_Exhibits'!AA205:AA209)),AVERAGE('20250815_ETF_Options_Exhibits'!AA205:AA209),"")</f>
        <v/>
      </c>
    </row>
    <row r="210">
      <c r="A210" s="1" t="n">
        <v>42305</v>
      </c>
      <c r="B210" s="3">
        <f>IF(ISNUMBER(AVERAGE('20250815_ETF_Options_Exhibits'!B206:B210)),AVERAGE('20250815_ETF_Options_Exhibits'!B206:B210),"")</f>
        <v/>
      </c>
      <c r="C210" s="3">
        <f>IF(ISNUMBER(AVERAGE('20250815_ETF_Options_Exhibits'!C206:C210)),AVERAGE('20250815_ETF_Options_Exhibits'!C206:C210),"")</f>
        <v/>
      </c>
      <c r="D210" s="3">
        <f>IF(ISNUMBER(AVERAGE('20250815_ETF_Options_Exhibits'!D206:D210)),AVERAGE('20250815_ETF_Options_Exhibits'!D206:D210),"")</f>
        <v/>
      </c>
      <c r="E210" s="3">
        <f>IF(ISNUMBER(AVERAGE('20250815_ETF_Options_Exhibits'!E206:E210)),AVERAGE('20250815_ETF_Options_Exhibits'!E206:E210),"")</f>
        <v/>
      </c>
      <c r="F210" s="3">
        <f>IF(ISNUMBER(AVERAGE('20250815_ETF_Options_Exhibits'!F206:F210)),AVERAGE('20250815_ETF_Options_Exhibits'!F206:F210),"")</f>
        <v/>
      </c>
      <c r="G210" s="3">
        <f>IF(ISNUMBER(AVERAGE('20250815_ETF_Options_Exhibits'!G206:G210)),AVERAGE('20250815_ETF_Options_Exhibits'!G206:G210),"")</f>
        <v/>
      </c>
      <c r="H210" s="3">
        <f>IF(ISNUMBER(AVERAGE('20250815_ETF_Options_Exhibits'!H206:H210)),AVERAGE('20250815_ETF_Options_Exhibits'!H206:H210),"")</f>
        <v/>
      </c>
      <c r="I210" s="3">
        <f>IF(ISNUMBER(AVERAGE('20250815_ETF_Options_Exhibits'!I206:I210)),AVERAGE('20250815_ETF_Options_Exhibits'!I206:I210),"")</f>
        <v/>
      </c>
      <c r="J210" s="3">
        <f>IF(ISNUMBER(AVERAGE('20250815_ETF_Options_Exhibits'!J206:J210)),AVERAGE('20250815_ETF_Options_Exhibits'!J206:J210),"")</f>
        <v/>
      </c>
      <c r="K210" s="3">
        <f>IF(ISNUMBER(AVERAGE('20250815_ETF_Options_Exhibits'!K206:K210)),AVERAGE('20250815_ETF_Options_Exhibits'!K206:K210),"")</f>
        <v/>
      </c>
      <c r="L210" s="3">
        <f>IF(ISNUMBER(AVERAGE('20250815_ETF_Options_Exhibits'!L206:L210)),AVERAGE('20250815_ETF_Options_Exhibits'!L206:L210),"")</f>
        <v/>
      </c>
      <c r="M210" s="3">
        <f>IF(ISNUMBER(AVERAGE('20250815_ETF_Options_Exhibits'!M206:M210)),AVERAGE('20250815_ETF_Options_Exhibits'!M206:M210),"")</f>
        <v/>
      </c>
      <c r="N210" s="3">
        <f>IF(ISNUMBER(AVERAGE('20250815_ETF_Options_Exhibits'!N206:N210)),AVERAGE('20250815_ETF_Options_Exhibits'!N206:N210),"")</f>
        <v/>
      </c>
      <c r="O210" s="3">
        <f>IF(ISNUMBER(AVERAGE('20250815_ETF_Options_Exhibits'!O206:O210)),AVERAGE('20250815_ETF_Options_Exhibits'!O206:O210),"")</f>
        <v/>
      </c>
      <c r="P210" s="3">
        <f>IF(ISNUMBER(AVERAGE('20250815_ETF_Options_Exhibits'!P206:P210)),AVERAGE('20250815_ETF_Options_Exhibits'!P206:P210),"")</f>
        <v/>
      </c>
      <c r="Q210" s="3">
        <f>IF(ISNUMBER(AVERAGE('20250815_ETF_Options_Exhibits'!Q206:Q210)),AVERAGE('20250815_ETF_Options_Exhibits'!Q206:Q210),"")</f>
        <v/>
      </c>
      <c r="R210" s="3">
        <f>IF(ISNUMBER(AVERAGE('20250815_ETF_Options_Exhibits'!R206:R210)),AVERAGE('20250815_ETF_Options_Exhibits'!R206:R210),"")</f>
        <v/>
      </c>
      <c r="S210" s="3">
        <f>IF(ISNUMBER(AVERAGE('20250815_ETF_Options_Exhibits'!S206:S210)),AVERAGE('20250815_ETF_Options_Exhibits'!S206:S210),"")</f>
        <v/>
      </c>
      <c r="T210" s="3">
        <f>IF(ISNUMBER(AVERAGE('20250815_ETF_Options_Exhibits'!T206:T210)),AVERAGE('20250815_ETF_Options_Exhibits'!T206:T210),"")</f>
        <v/>
      </c>
      <c r="U210" s="3">
        <f>IF(ISNUMBER(AVERAGE('20250815_ETF_Options_Exhibits'!U206:U210)),AVERAGE('20250815_ETF_Options_Exhibits'!U206:U210),"")</f>
        <v/>
      </c>
      <c r="V210" s="3">
        <f>IF(ISNUMBER(AVERAGE('20250815_ETF_Options_Exhibits'!V206:V210)),AVERAGE('20250815_ETF_Options_Exhibits'!V206:V210),"")</f>
        <v/>
      </c>
      <c r="W210" s="3">
        <f>IF(ISNUMBER(AVERAGE('20250815_ETF_Options_Exhibits'!W206:W210)),AVERAGE('20250815_ETF_Options_Exhibits'!W206:W210),"")</f>
        <v/>
      </c>
      <c r="X210" s="3">
        <f>IF(ISNUMBER(AVERAGE('20250815_ETF_Options_Exhibits'!X206:X210)),AVERAGE('20250815_ETF_Options_Exhibits'!X206:X210),"")</f>
        <v/>
      </c>
      <c r="Y210" s="3">
        <f>IF(ISNUMBER(AVERAGE('20250815_ETF_Options_Exhibits'!Y206:Y210)),AVERAGE('20250815_ETF_Options_Exhibits'!Y206:Y210),"")</f>
        <v/>
      </c>
      <c r="Z210" s="3">
        <f>IF(ISNUMBER(AVERAGE('20250815_ETF_Options_Exhibits'!Z206:Z210)),AVERAGE('20250815_ETF_Options_Exhibits'!Z206:Z210),"")</f>
        <v/>
      </c>
      <c r="AA210" s="3">
        <f>IF(ISNUMBER(AVERAGE('20250815_ETF_Options_Exhibits'!AA206:AA210)),AVERAGE('20250815_ETF_Options_Exhibits'!AA206:AA210),"")</f>
        <v/>
      </c>
    </row>
    <row r="211">
      <c r="A211" s="1" t="n">
        <v>42306</v>
      </c>
      <c r="B211" s="3">
        <f>IF(ISNUMBER(AVERAGE('20250815_ETF_Options_Exhibits'!B207:B211)),AVERAGE('20250815_ETF_Options_Exhibits'!B207:B211),"")</f>
        <v/>
      </c>
      <c r="C211" s="3">
        <f>IF(ISNUMBER(AVERAGE('20250815_ETF_Options_Exhibits'!C207:C211)),AVERAGE('20250815_ETF_Options_Exhibits'!C207:C211),"")</f>
        <v/>
      </c>
      <c r="D211" s="3">
        <f>IF(ISNUMBER(AVERAGE('20250815_ETF_Options_Exhibits'!D207:D211)),AVERAGE('20250815_ETF_Options_Exhibits'!D207:D211),"")</f>
        <v/>
      </c>
      <c r="E211" s="3">
        <f>IF(ISNUMBER(AVERAGE('20250815_ETF_Options_Exhibits'!E207:E211)),AVERAGE('20250815_ETF_Options_Exhibits'!E207:E211),"")</f>
        <v/>
      </c>
      <c r="F211" s="3">
        <f>IF(ISNUMBER(AVERAGE('20250815_ETF_Options_Exhibits'!F207:F211)),AVERAGE('20250815_ETF_Options_Exhibits'!F207:F211),"")</f>
        <v/>
      </c>
      <c r="G211" s="3">
        <f>IF(ISNUMBER(AVERAGE('20250815_ETF_Options_Exhibits'!G207:G211)),AVERAGE('20250815_ETF_Options_Exhibits'!G207:G211),"")</f>
        <v/>
      </c>
      <c r="H211" s="3">
        <f>IF(ISNUMBER(AVERAGE('20250815_ETF_Options_Exhibits'!H207:H211)),AVERAGE('20250815_ETF_Options_Exhibits'!H207:H211),"")</f>
        <v/>
      </c>
      <c r="I211" s="3">
        <f>IF(ISNUMBER(AVERAGE('20250815_ETF_Options_Exhibits'!I207:I211)),AVERAGE('20250815_ETF_Options_Exhibits'!I207:I211),"")</f>
        <v/>
      </c>
      <c r="J211" s="3">
        <f>IF(ISNUMBER(AVERAGE('20250815_ETF_Options_Exhibits'!J207:J211)),AVERAGE('20250815_ETF_Options_Exhibits'!J207:J211),"")</f>
        <v/>
      </c>
      <c r="K211" s="3">
        <f>IF(ISNUMBER(AVERAGE('20250815_ETF_Options_Exhibits'!K207:K211)),AVERAGE('20250815_ETF_Options_Exhibits'!K207:K211),"")</f>
        <v/>
      </c>
      <c r="L211" s="3">
        <f>IF(ISNUMBER(AVERAGE('20250815_ETF_Options_Exhibits'!L207:L211)),AVERAGE('20250815_ETF_Options_Exhibits'!L207:L211),"")</f>
        <v/>
      </c>
      <c r="M211" s="3">
        <f>IF(ISNUMBER(AVERAGE('20250815_ETF_Options_Exhibits'!M207:M211)),AVERAGE('20250815_ETF_Options_Exhibits'!M207:M211),"")</f>
        <v/>
      </c>
      <c r="N211" s="3">
        <f>IF(ISNUMBER(AVERAGE('20250815_ETF_Options_Exhibits'!N207:N211)),AVERAGE('20250815_ETF_Options_Exhibits'!N207:N211),"")</f>
        <v/>
      </c>
      <c r="O211" s="3">
        <f>IF(ISNUMBER(AVERAGE('20250815_ETF_Options_Exhibits'!O207:O211)),AVERAGE('20250815_ETF_Options_Exhibits'!O207:O211),"")</f>
        <v/>
      </c>
      <c r="P211" s="3">
        <f>IF(ISNUMBER(AVERAGE('20250815_ETF_Options_Exhibits'!P207:P211)),AVERAGE('20250815_ETF_Options_Exhibits'!P207:P211),"")</f>
        <v/>
      </c>
      <c r="Q211" s="3">
        <f>IF(ISNUMBER(AVERAGE('20250815_ETF_Options_Exhibits'!Q207:Q211)),AVERAGE('20250815_ETF_Options_Exhibits'!Q207:Q211),"")</f>
        <v/>
      </c>
      <c r="R211" s="3">
        <f>IF(ISNUMBER(AVERAGE('20250815_ETF_Options_Exhibits'!R207:R211)),AVERAGE('20250815_ETF_Options_Exhibits'!R207:R211),"")</f>
        <v/>
      </c>
      <c r="S211" s="3">
        <f>IF(ISNUMBER(AVERAGE('20250815_ETF_Options_Exhibits'!S207:S211)),AVERAGE('20250815_ETF_Options_Exhibits'!S207:S211),"")</f>
        <v/>
      </c>
      <c r="T211" s="3">
        <f>IF(ISNUMBER(AVERAGE('20250815_ETF_Options_Exhibits'!T207:T211)),AVERAGE('20250815_ETF_Options_Exhibits'!T207:T211),"")</f>
        <v/>
      </c>
      <c r="U211" s="3">
        <f>IF(ISNUMBER(AVERAGE('20250815_ETF_Options_Exhibits'!U207:U211)),AVERAGE('20250815_ETF_Options_Exhibits'!U207:U211),"")</f>
        <v/>
      </c>
      <c r="V211" s="3">
        <f>IF(ISNUMBER(AVERAGE('20250815_ETF_Options_Exhibits'!V207:V211)),AVERAGE('20250815_ETF_Options_Exhibits'!V207:V211),"")</f>
        <v/>
      </c>
      <c r="W211" s="3">
        <f>IF(ISNUMBER(AVERAGE('20250815_ETF_Options_Exhibits'!W207:W211)),AVERAGE('20250815_ETF_Options_Exhibits'!W207:W211),"")</f>
        <v/>
      </c>
      <c r="X211" s="3">
        <f>IF(ISNUMBER(AVERAGE('20250815_ETF_Options_Exhibits'!X207:X211)),AVERAGE('20250815_ETF_Options_Exhibits'!X207:X211),"")</f>
        <v/>
      </c>
      <c r="Y211" s="3">
        <f>IF(ISNUMBER(AVERAGE('20250815_ETF_Options_Exhibits'!Y207:Y211)),AVERAGE('20250815_ETF_Options_Exhibits'!Y207:Y211),"")</f>
        <v/>
      </c>
      <c r="Z211" s="3">
        <f>IF(ISNUMBER(AVERAGE('20250815_ETF_Options_Exhibits'!Z207:Z211)),AVERAGE('20250815_ETF_Options_Exhibits'!Z207:Z211),"")</f>
        <v/>
      </c>
      <c r="AA211" s="3">
        <f>IF(ISNUMBER(AVERAGE('20250815_ETF_Options_Exhibits'!AA207:AA211)),AVERAGE('20250815_ETF_Options_Exhibits'!AA207:AA211),"")</f>
        <v/>
      </c>
    </row>
    <row r="212">
      <c r="A212" s="1" t="n">
        <v>42307</v>
      </c>
      <c r="B212" s="3">
        <f>IF(ISNUMBER(AVERAGE('20250815_ETF_Options_Exhibits'!B208:B212)),AVERAGE('20250815_ETF_Options_Exhibits'!B208:B212),"")</f>
        <v/>
      </c>
      <c r="C212" s="3">
        <f>IF(ISNUMBER(AVERAGE('20250815_ETF_Options_Exhibits'!C208:C212)),AVERAGE('20250815_ETF_Options_Exhibits'!C208:C212),"")</f>
        <v/>
      </c>
      <c r="D212" s="3">
        <f>IF(ISNUMBER(AVERAGE('20250815_ETF_Options_Exhibits'!D208:D212)),AVERAGE('20250815_ETF_Options_Exhibits'!D208:D212),"")</f>
        <v/>
      </c>
      <c r="E212" s="3">
        <f>IF(ISNUMBER(AVERAGE('20250815_ETF_Options_Exhibits'!E208:E212)),AVERAGE('20250815_ETF_Options_Exhibits'!E208:E212),"")</f>
        <v/>
      </c>
      <c r="F212" s="3">
        <f>IF(ISNUMBER(AVERAGE('20250815_ETF_Options_Exhibits'!F208:F212)),AVERAGE('20250815_ETF_Options_Exhibits'!F208:F212),"")</f>
        <v/>
      </c>
      <c r="G212" s="3">
        <f>IF(ISNUMBER(AVERAGE('20250815_ETF_Options_Exhibits'!G208:G212)),AVERAGE('20250815_ETF_Options_Exhibits'!G208:G212),"")</f>
        <v/>
      </c>
      <c r="H212" s="3">
        <f>IF(ISNUMBER(AVERAGE('20250815_ETF_Options_Exhibits'!H208:H212)),AVERAGE('20250815_ETF_Options_Exhibits'!H208:H212),"")</f>
        <v/>
      </c>
      <c r="I212" s="3">
        <f>IF(ISNUMBER(AVERAGE('20250815_ETF_Options_Exhibits'!I208:I212)),AVERAGE('20250815_ETF_Options_Exhibits'!I208:I212),"")</f>
        <v/>
      </c>
      <c r="J212" s="3">
        <f>IF(ISNUMBER(AVERAGE('20250815_ETF_Options_Exhibits'!J208:J212)),AVERAGE('20250815_ETF_Options_Exhibits'!J208:J212),"")</f>
        <v/>
      </c>
      <c r="K212" s="3">
        <f>IF(ISNUMBER(AVERAGE('20250815_ETF_Options_Exhibits'!K208:K212)),AVERAGE('20250815_ETF_Options_Exhibits'!K208:K212),"")</f>
        <v/>
      </c>
      <c r="L212" s="3">
        <f>IF(ISNUMBER(AVERAGE('20250815_ETF_Options_Exhibits'!L208:L212)),AVERAGE('20250815_ETF_Options_Exhibits'!L208:L212),"")</f>
        <v/>
      </c>
      <c r="M212" s="3">
        <f>IF(ISNUMBER(AVERAGE('20250815_ETF_Options_Exhibits'!M208:M212)),AVERAGE('20250815_ETF_Options_Exhibits'!M208:M212),"")</f>
        <v/>
      </c>
      <c r="N212" s="3">
        <f>IF(ISNUMBER(AVERAGE('20250815_ETF_Options_Exhibits'!N208:N212)),AVERAGE('20250815_ETF_Options_Exhibits'!N208:N212),"")</f>
        <v/>
      </c>
      <c r="O212" s="3">
        <f>IF(ISNUMBER(AVERAGE('20250815_ETF_Options_Exhibits'!O208:O212)),AVERAGE('20250815_ETF_Options_Exhibits'!O208:O212),"")</f>
        <v/>
      </c>
      <c r="P212" s="3">
        <f>IF(ISNUMBER(AVERAGE('20250815_ETF_Options_Exhibits'!P208:P212)),AVERAGE('20250815_ETF_Options_Exhibits'!P208:P212),"")</f>
        <v/>
      </c>
      <c r="Q212" s="3">
        <f>IF(ISNUMBER(AVERAGE('20250815_ETF_Options_Exhibits'!Q208:Q212)),AVERAGE('20250815_ETF_Options_Exhibits'!Q208:Q212),"")</f>
        <v/>
      </c>
      <c r="R212" s="3">
        <f>IF(ISNUMBER(AVERAGE('20250815_ETF_Options_Exhibits'!R208:R212)),AVERAGE('20250815_ETF_Options_Exhibits'!R208:R212),"")</f>
        <v/>
      </c>
      <c r="S212" s="3">
        <f>IF(ISNUMBER(AVERAGE('20250815_ETF_Options_Exhibits'!S208:S212)),AVERAGE('20250815_ETF_Options_Exhibits'!S208:S212),"")</f>
        <v/>
      </c>
      <c r="T212" s="3">
        <f>IF(ISNUMBER(AVERAGE('20250815_ETF_Options_Exhibits'!T208:T212)),AVERAGE('20250815_ETF_Options_Exhibits'!T208:T212),"")</f>
        <v/>
      </c>
      <c r="U212" s="3">
        <f>IF(ISNUMBER(AVERAGE('20250815_ETF_Options_Exhibits'!U208:U212)),AVERAGE('20250815_ETF_Options_Exhibits'!U208:U212),"")</f>
        <v/>
      </c>
      <c r="V212" s="3">
        <f>IF(ISNUMBER(AVERAGE('20250815_ETF_Options_Exhibits'!V208:V212)),AVERAGE('20250815_ETF_Options_Exhibits'!V208:V212),"")</f>
        <v/>
      </c>
      <c r="W212" s="3">
        <f>IF(ISNUMBER(AVERAGE('20250815_ETF_Options_Exhibits'!W208:W212)),AVERAGE('20250815_ETF_Options_Exhibits'!W208:W212),"")</f>
        <v/>
      </c>
      <c r="X212" s="3">
        <f>IF(ISNUMBER(AVERAGE('20250815_ETF_Options_Exhibits'!X208:X212)),AVERAGE('20250815_ETF_Options_Exhibits'!X208:X212),"")</f>
        <v/>
      </c>
      <c r="Y212" s="3">
        <f>IF(ISNUMBER(AVERAGE('20250815_ETF_Options_Exhibits'!Y208:Y212)),AVERAGE('20250815_ETF_Options_Exhibits'!Y208:Y212),"")</f>
        <v/>
      </c>
      <c r="Z212" s="3">
        <f>IF(ISNUMBER(AVERAGE('20250815_ETF_Options_Exhibits'!Z208:Z212)),AVERAGE('20250815_ETF_Options_Exhibits'!Z208:Z212),"")</f>
        <v/>
      </c>
      <c r="AA212" s="3">
        <f>IF(ISNUMBER(AVERAGE('20250815_ETF_Options_Exhibits'!AA208:AA212)),AVERAGE('20250815_ETF_Options_Exhibits'!AA208:AA212),"")</f>
        <v/>
      </c>
    </row>
    <row r="213">
      <c r="A213" s="1" t="n">
        <v>42310</v>
      </c>
      <c r="B213" s="3">
        <f>IF(ISNUMBER(AVERAGE('20250815_ETF_Options_Exhibits'!B209:B213)),AVERAGE('20250815_ETF_Options_Exhibits'!B209:B213),"")</f>
        <v/>
      </c>
      <c r="C213" s="3">
        <f>IF(ISNUMBER(AVERAGE('20250815_ETF_Options_Exhibits'!C209:C213)),AVERAGE('20250815_ETF_Options_Exhibits'!C209:C213),"")</f>
        <v/>
      </c>
      <c r="D213" s="3">
        <f>IF(ISNUMBER(AVERAGE('20250815_ETF_Options_Exhibits'!D209:D213)),AVERAGE('20250815_ETF_Options_Exhibits'!D209:D213),"")</f>
        <v/>
      </c>
      <c r="E213" s="3">
        <f>IF(ISNUMBER(AVERAGE('20250815_ETF_Options_Exhibits'!E209:E213)),AVERAGE('20250815_ETF_Options_Exhibits'!E209:E213),"")</f>
        <v/>
      </c>
      <c r="F213" s="3">
        <f>IF(ISNUMBER(AVERAGE('20250815_ETF_Options_Exhibits'!F209:F213)),AVERAGE('20250815_ETF_Options_Exhibits'!F209:F213),"")</f>
        <v/>
      </c>
      <c r="G213" s="3">
        <f>IF(ISNUMBER(AVERAGE('20250815_ETF_Options_Exhibits'!G209:G213)),AVERAGE('20250815_ETF_Options_Exhibits'!G209:G213),"")</f>
        <v/>
      </c>
      <c r="H213" s="3">
        <f>IF(ISNUMBER(AVERAGE('20250815_ETF_Options_Exhibits'!H209:H213)),AVERAGE('20250815_ETF_Options_Exhibits'!H209:H213),"")</f>
        <v/>
      </c>
      <c r="I213" s="3">
        <f>IF(ISNUMBER(AVERAGE('20250815_ETF_Options_Exhibits'!I209:I213)),AVERAGE('20250815_ETF_Options_Exhibits'!I209:I213),"")</f>
        <v/>
      </c>
      <c r="J213" s="3">
        <f>IF(ISNUMBER(AVERAGE('20250815_ETF_Options_Exhibits'!J209:J213)),AVERAGE('20250815_ETF_Options_Exhibits'!J209:J213),"")</f>
        <v/>
      </c>
      <c r="K213" s="3">
        <f>IF(ISNUMBER(AVERAGE('20250815_ETF_Options_Exhibits'!K209:K213)),AVERAGE('20250815_ETF_Options_Exhibits'!K209:K213),"")</f>
        <v/>
      </c>
      <c r="L213" s="3">
        <f>IF(ISNUMBER(AVERAGE('20250815_ETF_Options_Exhibits'!L209:L213)),AVERAGE('20250815_ETF_Options_Exhibits'!L209:L213),"")</f>
        <v/>
      </c>
      <c r="M213" s="3">
        <f>IF(ISNUMBER(AVERAGE('20250815_ETF_Options_Exhibits'!M209:M213)),AVERAGE('20250815_ETF_Options_Exhibits'!M209:M213),"")</f>
        <v/>
      </c>
      <c r="N213" s="3">
        <f>IF(ISNUMBER(AVERAGE('20250815_ETF_Options_Exhibits'!N209:N213)),AVERAGE('20250815_ETF_Options_Exhibits'!N209:N213),"")</f>
        <v/>
      </c>
      <c r="O213" s="3">
        <f>IF(ISNUMBER(AVERAGE('20250815_ETF_Options_Exhibits'!O209:O213)),AVERAGE('20250815_ETF_Options_Exhibits'!O209:O213),"")</f>
        <v/>
      </c>
      <c r="P213" s="3">
        <f>IF(ISNUMBER(AVERAGE('20250815_ETF_Options_Exhibits'!P209:P213)),AVERAGE('20250815_ETF_Options_Exhibits'!P209:P213),"")</f>
        <v/>
      </c>
      <c r="Q213" s="3">
        <f>IF(ISNUMBER(AVERAGE('20250815_ETF_Options_Exhibits'!Q209:Q213)),AVERAGE('20250815_ETF_Options_Exhibits'!Q209:Q213),"")</f>
        <v/>
      </c>
      <c r="R213" s="3">
        <f>IF(ISNUMBER(AVERAGE('20250815_ETF_Options_Exhibits'!R209:R213)),AVERAGE('20250815_ETF_Options_Exhibits'!R209:R213),"")</f>
        <v/>
      </c>
      <c r="S213" s="3">
        <f>IF(ISNUMBER(AVERAGE('20250815_ETF_Options_Exhibits'!S209:S213)),AVERAGE('20250815_ETF_Options_Exhibits'!S209:S213),"")</f>
        <v/>
      </c>
      <c r="T213" s="3">
        <f>IF(ISNUMBER(AVERAGE('20250815_ETF_Options_Exhibits'!T209:T213)),AVERAGE('20250815_ETF_Options_Exhibits'!T209:T213),"")</f>
        <v/>
      </c>
      <c r="U213" s="3">
        <f>IF(ISNUMBER(AVERAGE('20250815_ETF_Options_Exhibits'!U209:U213)),AVERAGE('20250815_ETF_Options_Exhibits'!U209:U213),"")</f>
        <v/>
      </c>
      <c r="V213" s="3">
        <f>IF(ISNUMBER(AVERAGE('20250815_ETF_Options_Exhibits'!V209:V213)),AVERAGE('20250815_ETF_Options_Exhibits'!V209:V213),"")</f>
        <v/>
      </c>
      <c r="W213" s="3">
        <f>IF(ISNUMBER(AVERAGE('20250815_ETF_Options_Exhibits'!W209:W213)),AVERAGE('20250815_ETF_Options_Exhibits'!W209:W213),"")</f>
        <v/>
      </c>
      <c r="X213" s="3">
        <f>IF(ISNUMBER(AVERAGE('20250815_ETF_Options_Exhibits'!X209:X213)),AVERAGE('20250815_ETF_Options_Exhibits'!X209:X213),"")</f>
        <v/>
      </c>
      <c r="Y213" s="3">
        <f>IF(ISNUMBER(AVERAGE('20250815_ETF_Options_Exhibits'!Y209:Y213)),AVERAGE('20250815_ETF_Options_Exhibits'!Y209:Y213),"")</f>
        <v/>
      </c>
      <c r="Z213" s="3">
        <f>IF(ISNUMBER(AVERAGE('20250815_ETF_Options_Exhibits'!Z209:Z213)),AVERAGE('20250815_ETF_Options_Exhibits'!Z209:Z213),"")</f>
        <v/>
      </c>
      <c r="AA213" s="3">
        <f>IF(ISNUMBER(AVERAGE('20250815_ETF_Options_Exhibits'!AA209:AA213)),AVERAGE('20250815_ETF_Options_Exhibits'!AA209:AA213),"")</f>
        <v/>
      </c>
    </row>
    <row r="214">
      <c r="A214" s="1" t="n">
        <v>42311</v>
      </c>
      <c r="B214" s="3">
        <f>IF(ISNUMBER(AVERAGE('20250815_ETF_Options_Exhibits'!B210:B214)),AVERAGE('20250815_ETF_Options_Exhibits'!B210:B214),"")</f>
        <v/>
      </c>
      <c r="C214" s="3">
        <f>IF(ISNUMBER(AVERAGE('20250815_ETF_Options_Exhibits'!C210:C214)),AVERAGE('20250815_ETF_Options_Exhibits'!C210:C214),"")</f>
        <v/>
      </c>
      <c r="D214" s="3">
        <f>IF(ISNUMBER(AVERAGE('20250815_ETF_Options_Exhibits'!D210:D214)),AVERAGE('20250815_ETF_Options_Exhibits'!D210:D214),"")</f>
        <v/>
      </c>
      <c r="E214" s="3">
        <f>IF(ISNUMBER(AVERAGE('20250815_ETF_Options_Exhibits'!E210:E214)),AVERAGE('20250815_ETF_Options_Exhibits'!E210:E214),"")</f>
        <v/>
      </c>
      <c r="F214" s="3">
        <f>IF(ISNUMBER(AVERAGE('20250815_ETF_Options_Exhibits'!F210:F214)),AVERAGE('20250815_ETF_Options_Exhibits'!F210:F214),"")</f>
        <v/>
      </c>
      <c r="G214" s="3">
        <f>IF(ISNUMBER(AVERAGE('20250815_ETF_Options_Exhibits'!G210:G214)),AVERAGE('20250815_ETF_Options_Exhibits'!G210:G214),"")</f>
        <v/>
      </c>
      <c r="H214" s="3">
        <f>IF(ISNUMBER(AVERAGE('20250815_ETF_Options_Exhibits'!H210:H214)),AVERAGE('20250815_ETF_Options_Exhibits'!H210:H214),"")</f>
        <v/>
      </c>
      <c r="I214" s="3">
        <f>IF(ISNUMBER(AVERAGE('20250815_ETF_Options_Exhibits'!I210:I214)),AVERAGE('20250815_ETF_Options_Exhibits'!I210:I214),"")</f>
        <v/>
      </c>
      <c r="J214" s="3">
        <f>IF(ISNUMBER(AVERAGE('20250815_ETF_Options_Exhibits'!J210:J214)),AVERAGE('20250815_ETF_Options_Exhibits'!J210:J214),"")</f>
        <v/>
      </c>
      <c r="K214" s="3">
        <f>IF(ISNUMBER(AVERAGE('20250815_ETF_Options_Exhibits'!K210:K214)),AVERAGE('20250815_ETF_Options_Exhibits'!K210:K214),"")</f>
        <v/>
      </c>
      <c r="L214" s="3">
        <f>IF(ISNUMBER(AVERAGE('20250815_ETF_Options_Exhibits'!L210:L214)),AVERAGE('20250815_ETF_Options_Exhibits'!L210:L214),"")</f>
        <v/>
      </c>
      <c r="M214" s="3">
        <f>IF(ISNUMBER(AVERAGE('20250815_ETF_Options_Exhibits'!M210:M214)),AVERAGE('20250815_ETF_Options_Exhibits'!M210:M214),"")</f>
        <v/>
      </c>
      <c r="N214" s="3">
        <f>IF(ISNUMBER(AVERAGE('20250815_ETF_Options_Exhibits'!N210:N214)),AVERAGE('20250815_ETF_Options_Exhibits'!N210:N214),"")</f>
        <v/>
      </c>
      <c r="O214" s="3">
        <f>IF(ISNUMBER(AVERAGE('20250815_ETF_Options_Exhibits'!O210:O214)),AVERAGE('20250815_ETF_Options_Exhibits'!O210:O214),"")</f>
        <v/>
      </c>
      <c r="P214" s="3">
        <f>IF(ISNUMBER(AVERAGE('20250815_ETF_Options_Exhibits'!P210:P214)),AVERAGE('20250815_ETF_Options_Exhibits'!P210:P214),"")</f>
        <v/>
      </c>
      <c r="Q214" s="3">
        <f>IF(ISNUMBER(AVERAGE('20250815_ETF_Options_Exhibits'!Q210:Q214)),AVERAGE('20250815_ETF_Options_Exhibits'!Q210:Q214),"")</f>
        <v/>
      </c>
      <c r="R214" s="3">
        <f>IF(ISNUMBER(AVERAGE('20250815_ETF_Options_Exhibits'!R210:R214)),AVERAGE('20250815_ETF_Options_Exhibits'!R210:R214),"")</f>
        <v/>
      </c>
      <c r="S214" s="3">
        <f>IF(ISNUMBER(AVERAGE('20250815_ETF_Options_Exhibits'!S210:S214)),AVERAGE('20250815_ETF_Options_Exhibits'!S210:S214),"")</f>
        <v/>
      </c>
      <c r="T214" s="3">
        <f>IF(ISNUMBER(AVERAGE('20250815_ETF_Options_Exhibits'!T210:T214)),AVERAGE('20250815_ETF_Options_Exhibits'!T210:T214),"")</f>
        <v/>
      </c>
      <c r="U214" s="3">
        <f>IF(ISNUMBER(AVERAGE('20250815_ETF_Options_Exhibits'!U210:U214)),AVERAGE('20250815_ETF_Options_Exhibits'!U210:U214),"")</f>
        <v/>
      </c>
      <c r="V214" s="3">
        <f>IF(ISNUMBER(AVERAGE('20250815_ETF_Options_Exhibits'!V210:V214)),AVERAGE('20250815_ETF_Options_Exhibits'!V210:V214),"")</f>
        <v/>
      </c>
      <c r="W214" s="3">
        <f>IF(ISNUMBER(AVERAGE('20250815_ETF_Options_Exhibits'!W210:W214)),AVERAGE('20250815_ETF_Options_Exhibits'!W210:W214),"")</f>
        <v/>
      </c>
      <c r="X214" s="3">
        <f>IF(ISNUMBER(AVERAGE('20250815_ETF_Options_Exhibits'!X210:X214)),AVERAGE('20250815_ETF_Options_Exhibits'!X210:X214),"")</f>
        <v/>
      </c>
      <c r="Y214" s="3">
        <f>IF(ISNUMBER(AVERAGE('20250815_ETF_Options_Exhibits'!Y210:Y214)),AVERAGE('20250815_ETF_Options_Exhibits'!Y210:Y214),"")</f>
        <v/>
      </c>
      <c r="Z214" s="3">
        <f>IF(ISNUMBER(AVERAGE('20250815_ETF_Options_Exhibits'!Z210:Z214)),AVERAGE('20250815_ETF_Options_Exhibits'!Z210:Z214),"")</f>
        <v/>
      </c>
      <c r="AA214" s="3">
        <f>IF(ISNUMBER(AVERAGE('20250815_ETF_Options_Exhibits'!AA210:AA214)),AVERAGE('20250815_ETF_Options_Exhibits'!AA210:AA214),"")</f>
        <v/>
      </c>
    </row>
    <row r="215">
      <c r="A215" s="1" t="n">
        <v>42312</v>
      </c>
      <c r="B215" s="3">
        <f>IF(ISNUMBER(AVERAGE('20250815_ETF_Options_Exhibits'!B211:B215)),AVERAGE('20250815_ETF_Options_Exhibits'!B211:B215),"")</f>
        <v/>
      </c>
      <c r="C215" s="3">
        <f>IF(ISNUMBER(AVERAGE('20250815_ETF_Options_Exhibits'!C211:C215)),AVERAGE('20250815_ETF_Options_Exhibits'!C211:C215),"")</f>
        <v/>
      </c>
      <c r="D215" s="3">
        <f>IF(ISNUMBER(AVERAGE('20250815_ETF_Options_Exhibits'!D211:D215)),AVERAGE('20250815_ETF_Options_Exhibits'!D211:D215),"")</f>
        <v/>
      </c>
      <c r="E215" s="3">
        <f>IF(ISNUMBER(AVERAGE('20250815_ETF_Options_Exhibits'!E211:E215)),AVERAGE('20250815_ETF_Options_Exhibits'!E211:E215),"")</f>
        <v/>
      </c>
      <c r="F215" s="3">
        <f>IF(ISNUMBER(AVERAGE('20250815_ETF_Options_Exhibits'!F211:F215)),AVERAGE('20250815_ETF_Options_Exhibits'!F211:F215),"")</f>
        <v/>
      </c>
      <c r="G215" s="3">
        <f>IF(ISNUMBER(AVERAGE('20250815_ETF_Options_Exhibits'!G211:G215)),AVERAGE('20250815_ETF_Options_Exhibits'!G211:G215),"")</f>
        <v/>
      </c>
      <c r="H215" s="3">
        <f>IF(ISNUMBER(AVERAGE('20250815_ETF_Options_Exhibits'!H211:H215)),AVERAGE('20250815_ETF_Options_Exhibits'!H211:H215),"")</f>
        <v/>
      </c>
      <c r="I215" s="3">
        <f>IF(ISNUMBER(AVERAGE('20250815_ETF_Options_Exhibits'!I211:I215)),AVERAGE('20250815_ETF_Options_Exhibits'!I211:I215),"")</f>
        <v/>
      </c>
      <c r="J215" s="3">
        <f>IF(ISNUMBER(AVERAGE('20250815_ETF_Options_Exhibits'!J211:J215)),AVERAGE('20250815_ETF_Options_Exhibits'!J211:J215),"")</f>
        <v/>
      </c>
      <c r="K215" s="3">
        <f>IF(ISNUMBER(AVERAGE('20250815_ETF_Options_Exhibits'!K211:K215)),AVERAGE('20250815_ETF_Options_Exhibits'!K211:K215),"")</f>
        <v/>
      </c>
      <c r="L215" s="3">
        <f>IF(ISNUMBER(AVERAGE('20250815_ETF_Options_Exhibits'!L211:L215)),AVERAGE('20250815_ETF_Options_Exhibits'!L211:L215),"")</f>
        <v/>
      </c>
      <c r="M215" s="3">
        <f>IF(ISNUMBER(AVERAGE('20250815_ETF_Options_Exhibits'!M211:M215)),AVERAGE('20250815_ETF_Options_Exhibits'!M211:M215),"")</f>
        <v/>
      </c>
      <c r="N215" s="3">
        <f>IF(ISNUMBER(AVERAGE('20250815_ETF_Options_Exhibits'!N211:N215)),AVERAGE('20250815_ETF_Options_Exhibits'!N211:N215),"")</f>
        <v/>
      </c>
      <c r="O215" s="3">
        <f>IF(ISNUMBER(AVERAGE('20250815_ETF_Options_Exhibits'!O211:O215)),AVERAGE('20250815_ETF_Options_Exhibits'!O211:O215),"")</f>
        <v/>
      </c>
      <c r="P215" s="3">
        <f>IF(ISNUMBER(AVERAGE('20250815_ETF_Options_Exhibits'!P211:P215)),AVERAGE('20250815_ETF_Options_Exhibits'!P211:P215),"")</f>
        <v/>
      </c>
      <c r="Q215" s="3">
        <f>IF(ISNUMBER(AVERAGE('20250815_ETF_Options_Exhibits'!Q211:Q215)),AVERAGE('20250815_ETF_Options_Exhibits'!Q211:Q215),"")</f>
        <v/>
      </c>
      <c r="R215" s="3">
        <f>IF(ISNUMBER(AVERAGE('20250815_ETF_Options_Exhibits'!R211:R215)),AVERAGE('20250815_ETF_Options_Exhibits'!R211:R215),"")</f>
        <v/>
      </c>
      <c r="S215" s="3">
        <f>IF(ISNUMBER(AVERAGE('20250815_ETF_Options_Exhibits'!S211:S215)),AVERAGE('20250815_ETF_Options_Exhibits'!S211:S215),"")</f>
        <v/>
      </c>
      <c r="T215" s="3">
        <f>IF(ISNUMBER(AVERAGE('20250815_ETF_Options_Exhibits'!T211:T215)),AVERAGE('20250815_ETF_Options_Exhibits'!T211:T215),"")</f>
        <v/>
      </c>
      <c r="U215" s="3">
        <f>IF(ISNUMBER(AVERAGE('20250815_ETF_Options_Exhibits'!U211:U215)),AVERAGE('20250815_ETF_Options_Exhibits'!U211:U215),"")</f>
        <v/>
      </c>
      <c r="V215" s="3">
        <f>IF(ISNUMBER(AVERAGE('20250815_ETF_Options_Exhibits'!V211:V215)),AVERAGE('20250815_ETF_Options_Exhibits'!V211:V215),"")</f>
        <v/>
      </c>
      <c r="W215" s="3">
        <f>IF(ISNUMBER(AVERAGE('20250815_ETF_Options_Exhibits'!W211:W215)),AVERAGE('20250815_ETF_Options_Exhibits'!W211:W215),"")</f>
        <v/>
      </c>
      <c r="X215" s="3">
        <f>IF(ISNUMBER(AVERAGE('20250815_ETF_Options_Exhibits'!X211:X215)),AVERAGE('20250815_ETF_Options_Exhibits'!X211:X215),"")</f>
        <v/>
      </c>
      <c r="Y215" s="3">
        <f>IF(ISNUMBER(AVERAGE('20250815_ETF_Options_Exhibits'!Y211:Y215)),AVERAGE('20250815_ETF_Options_Exhibits'!Y211:Y215),"")</f>
        <v/>
      </c>
      <c r="Z215" s="3">
        <f>IF(ISNUMBER(AVERAGE('20250815_ETF_Options_Exhibits'!Z211:Z215)),AVERAGE('20250815_ETF_Options_Exhibits'!Z211:Z215),"")</f>
        <v/>
      </c>
      <c r="AA215" s="3">
        <f>IF(ISNUMBER(AVERAGE('20250815_ETF_Options_Exhibits'!AA211:AA215)),AVERAGE('20250815_ETF_Options_Exhibits'!AA211:AA215),"")</f>
        <v/>
      </c>
    </row>
    <row r="216">
      <c r="A216" s="1" t="n">
        <v>42313</v>
      </c>
      <c r="B216" s="3">
        <f>IF(ISNUMBER(AVERAGE('20250815_ETF_Options_Exhibits'!B212:B216)),AVERAGE('20250815_ETF_Options_Exhibits'!B212:B216),"")</f>
        <v/>
      </c>
      <c r="C216" s="3">
        <f>IF(ISNUMBER(AVERAGE('20250815_ETF_Options_Exhibits'!C212:C216)),AVERAGE('20250815_ETF_Options_Exhibits'!C212:C216),"")</f>
        <v/>
      </c>
      <c r="D216" s="3">
        <f>IF(ISNUMBER(AVERAGE('20250815_ETF_Options_Exhibits'!D212:D216)),AVERAGE('20250815_ETF_Options_Exhibits'!D212:D216),"")</f>
        <v/>
      </c>
      <c r="E216" s="3">
        <f>IF(ISNUMBER(AVERAGE('20250815_ETF_Options_Exhibits'!E212:E216)),AVERAGE('20250815_ETF_Options_Exhibits'!E212:E216),"")</f>
        <v/>
      </c>
      <c r="F216" s="3">
        <f>IF(ISNUMBER(AVERAGE('20250815_ETF_Options_Exhibits'!F212:F216)),AVERAGE('20250815_ETF_Options_Exhibits'!F212:F216),"")</f>
        <v/>
      </c>
      <c r="G216" s="3">
        <f>IF(ISNUMBER(AVERAGE('20250815_ETF_Options_Exhibits'!G212:G216)),AVERAGE('20250815_ETF_Options_Exhibits'!G212:G216),"")</f>
        <v/>
      </c>
      <c r="H216" s="3">
        <f>IF(ISNUMBER(AVERAGE('20250815_ETF_Options_Exhibits'!H212:H216)),AVERAGE('20250815_ETF_Options_Exhibits'!H212:H216),"")</f>
        <v/>
      </c>
      <c r="I216" s="3">
        <f>IF(ISNUMBER(AVERAGE('20250815_ETF_Options_Exhibits'!I212:I216)),AVERAGE('20250815_ETF_Options_Exhibits'!I212:I216),"")</f>
        <v/>
      </c>
      <c r="J216" s="3">
        <f>IF(ISNUMBER(AVERAGE('20250815_ETF_Options_Exhibits'!J212:J216)),AVERAGE('20250815_ETF_Options_Exhibits'!J212:J216),"")</f>
        <v/>
      </c>
      <c r="K216" s="3">
        <f>IF(ISNUMBER(AVERAGE('20250815_ETF_Options_Exhibits'!K212:K216)),AVERAGE('20250815_ETF_Options_Exhibits'!K212:K216),"")</f>
        <v/>
      </c>
      <c r="L216" s="3">
        <f>IF(ISNUMBER(AVERAGE('20250815_ETF_Options_Exhibits'!L212:L216)),AVERAGE('20250815_ETF_Options_Exhibits'!L212:L216),"")</f>
        <v/>
      </c>
      <c r="M216" s="3">
        <f>IF(ISNUMBER(AVERAGE('20250815_ETF_Options_Exhibits'!M212:M216)),AVERAGE('20250815_ETF_Options_Exhibits'!M212:M216),"")</f>
        <v/>
      </c>
      <c r="N216" s="3">
        <f>IF(ISNUMBER(AVERAGE('20250815_ETF_Options_Exhibits'!N212:N216)),AVERAGE('20250815_ETF_Options_Exhibits'!N212:N216),"")</f>
        <v/>
      </c>
      <c r="O216" s="3">
        <f>IF(ISNUMBER(AVERAGE('20250815_ETF_Options_Exhibits'!O212:O216)),AVERAGE('20250815_ETF_Options_Exhibits'!O212:O216),"")</f>
        <v/>
      </c>
      <c r="P216" s="3">
        <f>IF(ISNUMBER(AVERAGE('20250815_ETF_Options_Exhibits'!P212:P216)),AVERAGE('20250815_ETF_Options_Exhibits'!P212:P216),"")</f>
        <v/>
      </c>
      <c r="Q216" s="3">
        <f>IF(ISNUMBER(AVERAGE('20250815_ETF_Options_Exhibits'!Q212:Q216)),AVERAGE('20250815_ETF_Options_Exhibits'!Q212:Q216),"")</f>
        <v/>
      </c>
      <c r="R216" s="3">
        <f>IF(ISNUMBER(AVERAGE('20250815_ETF_Options_Exhibits'!R212:R216)),AVERAGE('20250815_ETF_Options_Exhibits'!R212:R216),"")</f>
        <v/>
      </c>
      <c r="S216" s="3">
        <f>IF(ISNUMBER(AVERAGE('20250815_ETF_Options_Exhibits'!S212:S216)),AVERAGE('20250815_ETF_Options_Exhibits'!S212:S216),"")</f>
        <v/>
      </c>
      <c r="T216" s="3">
        <f>IF(ISNUMBER(AVERAGE('20250815_ETF_Options_Exhibits'!T212:T216)),AVERAGE('20250815_ETF_Options_Exhibits'!T212:T216),"")</f>
        <v/>
      </c>
      <c r="U216" s="3">
        <f>IF(ISNUMBER(AVERAGE('20250815_ETF_Options_Exhibits'!U212:U216)),AVERAGE('20250815_ETF_Options_Exhibits'!U212:U216),"")</f>
        <v/>
      </c>
      <c r="V216" s="3">
        <f>IF(ISNUMBER(AVERAGE('20250815_ETF_Options_Exhibits'!V212:V216)),AVERAGE('20250815_ETF_Options_Exhibits'!V212:V216),"")</f>
        <v/>
      </c>
      <c r="W216" s="3">
        <f>IF(ISNUMBER(AVERAGE('20250815_ETF_Options_Exhibits'!W212:W216)),AVERAGE('20250815_ETF_Options_Exhibits'!W212:W216),"")</f>
        <v/>
      </c>
      <c r="X216" s="3">
        <f>IF(ISNUMBER(AVERAGE('20250815_ETF_Options_Exhibits'!X212:X216)),AVERAGE('20250815_ETF_Options_Exhibits'!X212:X216),"")</f>
        <v/>
      </c>
      <c r="Y216" s="3">
        <f>IF(ISNUMBER(AVERAGE('20250815_ETF_Options_Exhibits'!Y212:Y216)),AVERAGE('20250815_ETF_Options_Exhibits'!Y212:Y216),"")</f>
        <v/>
      </c>
      <c r="Z216" s="3">
        <f>IF(ISNUMBER(AVERAGE('20250815_ETF_Options_Exhibits'!Z212:Z216)),AVERAGE('20250815_ETF_Options_Exhibits'!Z212:Z216),"")</f>
        <v/>
      </c>
      <c r="AA216" s="3">
        <f>IF(ISNUMBER(AVERAGE('20250815_ETF_Options_Exhibits'!AA212:AA216)),AVERAGE('20250815_ETF_Options_Exhibits'!AA212:AA216),"")</f>
        <v/>
      </c>
    </row>
    <row r="217">
      <c r="A217" s="1" t="n">
        <v>42314</v>
      </c>
      <c r="B217" s="3">
        <f>IF(ISNUMBER(AVERAGE('20250815_ETF_Options_Exhibits'!B213:B217)),AVERAGE('20250815_ETF_Options_Exhibits'!B213:B217),"")</f>
        <v/>
      </c>
      <c r="C217" s="3">
        <f>IF(ISNUMBER(AVERAGE('20250815_ETF_Options_Exhibits'!C213:C217)),AVERAGE('20250815_ETF_Options_Exhibits'!C213:C217),"")</f>
        <v/>
      </c>
      <c r="D217" s="3">
        <f>IF(ISNUMBER(AVERAGE('20250815_ETF_Options_Exhibits'!D213:D217)),AVERAGE('20250815_ETF_Options_Exhibits'!D213:D217),"")</f>
        <v/>
      </c>
      <c r="E217" s="3">
        <f>IF(ISNUMBER(AVERAGE('20250815_ETF_Options_Exhibits'!E213:E217)),AVERAGE('20250815_ETF_Options_Exhibits'!E213:E217),"")</f>
        <v/>
      </c>
      <c r="F217" s="3">
        <f>IF(ISNUMBER(AVERAGE('20250815_ETF_Options_Exhibits'!F213:F217)),AVERAGE('20250815_ETF_Options_Exhibits'!F213:F217),"")</f>
        <v/>
      </c>
      <c r="G217" s="3">
        <f>IF(ISNUMBER(AVERAGE('20250815_ETF_Options_Exhibits'!G213:G217)),AVERAGE('20250815_ETF_Options_Exhibits'!G213:G217),"")</f>
        <v/>
      </c>
      <c r="H217" s="3">
        <f>IF(ISNUMBER(AVERAGE('20250815_ETF_Options_Exhibits'!H213:H217)),AVERAGE('20250815_ETF_Options_Exhibits'!H213:H217),"")</f>
        <v/>
      </c>
      <c r="I217" s="3">
        <f>IF(ISNUMBER(AVERAGE('20250815_ETF_Options_Exhibits'!I213:I217)),AVERAGE('20250815_ETF_Options_Exhibits'!I213:I217),"")</f>
        <v/>
      </c>
      <c r="J217" s="3">
        <f>IF(ISNUMBER(AVERAGE('20250815_ETF_Options_Exhibits'!J213:J217)),AVERAGE('20250815_ETF_Options_Exhibits'!J213:J217),"")</f>
        <v/>
      </c>
      <c r="K217" s="3">
        <f>IF(ISNUMBER(AVERAGE('20250815_ETF_Options_Exhibits'!K213:K217)),AVERAGE('20250815_ETF_Options_Exhibits'!K213:K217),"")</f>
        <v/>
      </c>
      <c r="L217" s="3">
        <f>IF(ISNUMBER(AVERAGE('20250815_ETF_Options_Exhibits'!L213:L217)),AVERAGE('20250815_ETF_Options_Exhibits'!L213:L217),"")</f>
        <v/>
      </c>
      <c r="M217" s="3">
        <f>IF(ISNUMBER(AVERAGE('20250815_ETF_Options_Exhibits'!M213:M217)),AVERAGE('20250815_ETF_Options_Exhibits'!M213:M217),"")</f>
        <v/>
      </c>
      <c r="N217" s="3">
        <f>IF(ISNUMBER(AVERAGE('20250815_ETF_Options_Exhibits'!N213:N217)),AVERAGE('20250815_ETF_Options_Exhibits'!N213:N217),"")</f>
        <v/>
      </c>
      <c r="O217" s="3">
        <f>IF(ISNUMBER(AVERAGE('20250815_ETF_Options_Exhibits'!O213:O217)),AVERAGE('20250815_ETF_Options_Exhibits'!O213:O217),"")</f>
        <v/>
      </c>
      <c r="P217" s="3">
        <f>IF(ISNUMBER(AVERAGE('20250815_ETF_Options_Exhibits'!P213:P217)),AVERAGE('20250815_ETF_Options_Exhibits'!P213:P217),"")</f>
        <v/>
      </c>
      <c r="Q217" s="3">
        <f>IF(ISNUMBER(AVERAGE('20250815_ETF_Options_Exhibits'!Q213:Q217)),AVERAGE('20250815_ETF_Options_Exhibits'!Q213:Q217),"")</f>
        <v/>
      </c>
      <c r="R217" s="3">
        <f>IF(ISNUMBER(AVERAGE('20250815_ETF_Options_Exhibits'!R213:R217)),AVERAGE('20250815_ETF_Options_Exhibits'!R213:R217),"")</f>
        <v/>
      </c>
      <c r="S217" s="3">
        <f>IF(ISNUMBER(AVERAGE('20250815_ETF_Options_Exhibits'!S213:S217)),AVERAGE('20250815_ETF_Options_Exhibits'!S213:S217),"")</f>
        <v/>
      </c>
      <c r="T217" s="3">
        <f>IF(ISNUMBER(AVERAGE('20250815_ETF_Options_Exhibits'!T213:T217)),AVERAGE('20250815_ETF_Options_Exhibits'!T213:T217),"")</f>
        <v/>
      </c>
      <c r="U217" s="3">
        <f>IF(ISNUMBER(AVERAGE('20250815_ETF_Options_Exhibits'!U213:U217)),AVERAGE('20250815_ETF_Options_Exhibits'!U213:U217),"")</f>
        <v/>
      </c>
      <c r="V217" s="3">
        <f>IF(ISNUMBER(AVERAGE('20250815_ETF_Options_Exhibits'!V213:V217)),AVERAGE('20250815_ETF_Options_Exhibits'!V213:V217),"")</f>
        <v/>
      </c>
      <c r="W217" s="3">
        <f>IF(ISNUMBER(AVERAGE('20250815_ETF_Options_Exhibits'!W213:W217)),AVERAGE('20250815_ETF_Options_Exhibits'!W213:W217),"")</f>
        <v/>
      </c>
      <c r="X217" s="3">
        <f>IF(ISNUMBER(AVERAGE('20250815_ETF_Options_Exhibits'!X213:X217)),AVERAGE('20250815_ETF_Options_Exhibits'!X213:X217),"")</f>
        <v/>
      </c>
      <c r="Y217" s="3">
        <f>IF(ISNUMBER(AVERAGE('20250815_ETF_Options_Exhibits'!Y213:Y217)),AVERAGE('20250815_ETF_Options_Exhibits'!Y213:Y217),"")</f>
        <v/>
      </c>
      <c r="Z217" s="3">
        <f>IF(ISNUMBER(AVERAGE('20250815_ETF_Options_Exhibits'!Z213:Z217)),AVERAGE('20250815_ETF_Options_Exhibits'!Z213:Z217),"")</f>
        <v/>
      </c>
      <c r="AA217" s="3">
        <f>IF(ISNUMBER(AVERAGE('20250815_ETF_Options_Exhibits'!AA213:AA217)),AVERAGE('20250815_ETF_Options_Exhibits'!AA213:AA217),"")</f>
        <v/>
      </c>
    </row>
    <row r="218">
      <c r="A218" s="1" t="n">
        <v>42317</v>
      </c>
      <c r="B218" s="3">
        <f>IF(ISNUMBER(AVERAGE('20250815_ETF_Options_Exhibits'!B214:B218)),AVERAGE('20250815_ETF_Options_Exhibits'!B214:B218),"")</f>
        <v/>
      </c>
      <c r="C218" s="3">
        <f>IF(ISNUMBER(AVERAGE('20250815_ETF_Options_Exhibits'!C214:C218)),AVERAGE('20250815_ETF_Options_Exhibits'!C214:C218),"")</f>
        <v/>
      </c>
      <c r="D218" s="3">
        <f>IF(ISNUMBER(AVERAGE('20250815_ETF_Options_Exhibits'!D214:D218)),AVERAGE('20250815_ETF_Options_Exhibits'!D214:D218),"")</f>
        <v/>
      </c>
      <c r="E218" s="3">
        <f>IF(ISNUMBER(AVERAGE('20250815_ETF_Options_Exhibits'!E214:E218)),AVERAGE('20250815_ETF_Options_Exhibits'!E214:E218),"")</f>
        <v/>
      </c>
      <c r="F218" s="3">
        <f>IF(ISNUMBER(AVERAGE('20250815_ETF_Options_Exhibits'!F214:F218)),AVERAGE('20250815_ETF_Options_Exhibits'!F214:F218),"")</f>
        <v/>
      </c>
      <c r="G218" s="3">
        <f>IF(ISNUMBER(AVERAGE('20250815_ETF_Options_Exhibits'!G214:G218)),AVERAGE('20250815_ETF_Options_Exhibits'!G214:G218),"")</f>
        <v/>
      </c>
      <c r="H218" s="3">
        <f>IF(ISNUMBER(AVERAGE('20250815_ETF_Options_Exhibits'!H214:H218)),AVERAGE('20250815_ETF_Options_Exhibits'!H214:H218),"")</f>
        <v/>
      </c>
      <c r="I218" s="3">
        <f>IF(ISNUMBER(AVERAGE('20250815_ETF_Options_Exhibits'!I214:I218)),AVERAGE('20250815_ETF_Options_Exhibits'!I214:I218),"")</f>
        <v/>
      </c>
      <c r="J218" s="3">
        <f>IF(ISNUMBER(AVERAGE('20250815_ETF_Options_Exhibits'!J214:J218)),AVERAGE('20250815_ETF_Options_Exhibits'!J214:J218),"")</f>
        <v/>
      </c>
      <c r="K218" s="3">
        <f>IF(ISNUMBER(AVERAGE('20250815_ETF_Options_Exhibits'!K214:K218)),AVERAGE('20250815_ETF_Options_Exhibits'!K214:K218),"")</f>
        <v/>
      </c>
      <c r="L218" s="3">
        <f>IF(ISNUMBER(AVERAGE('20250815_ETF_Options_Exhibits'!L214:L218)),AVERAGE('20250815_ETF_Options_Exhibits'!L214:L218),"")</f>
        <v/>
      </c>
      <c r="M218" s="3">
        <f>IF(ISNUMBER(AVERAGE('20250815_ETF_Options_Exhibits'!M214:M218)),AVERAGE('20250815_ETF_Options_Exhibits'!M214:M218),"")</f>
        <v/>
      </c>
      <c r="N218" s="3">
        <f>IF(ISNUMBER(AVERAGE('20250815_ETF_Options_Exhibits'!N214:N218)),AVERAGE('20250815_ETF_Options_Exhibits'!N214:N218),"")</f>
        <v/>
      </c>
      <c r="O218" s="3">
        <f>IF(ISNUMBER(AVERAGE('20250815_ETF_Options_Exhibits'!O214:O218)),AVERAGE('20250815_ETF_Options_Exhibits'!O214:O218),"")</f>
        <v/>
      </c>
      <c r="P218" s="3">
        <f>IF(ISNUMBER(AVERAGE('20250815_ETF_Options_Exhibits'!P214:P218)),AVERAGE('20250815_ETF_Options_Exhibits'!P214:P218),"")</f>
        <v/>
      </c>
      <c r="Q218" s="3">
        <f>IF(ISNUMBER(AVERAGE('20250815_ETF_Options_Exhibits'!Q214:Q218)),AVERAGE('20250815_ETF_Options_Exhibits'!Q214:Q218),"")</f>
        <v/>
      </c>
      <c r="R218" s="3">
        <f>IF(ISNUMBER(AVERAGE('20250815_ETF_Options_Exhibits'!R214:R218)),AVERAGE('20250815_ETF_Options_Exhibits'!R214:R218),"")</f>
        <v/>
      </c>
      <c r="S218" s="3">
        <f>IF(ISNUMBER(AVERAGE('20250815_ETF_Options_Exhibits'!S214:S218)),AVERAGE('20250815_ETF_Options_Exhibits'!S214:S218),"")</f>
        <v/>
      </c>
      <c r="T218" s="3">
        <f>IF(ISNUMBER(AVERAGE('20250815_ETF_Options_Exhibits'!T214:T218)),AVERAGE('20250815_ETF_Options_Exhibits'!T214:T218),"")</f>
        <v/>
      </c>
      <c r="U218" s="3">
        <f>IF(ISNUMBER(AVERAGE('20250815_ETF_Options_Exhibits'!U214:U218)),AVERAGE('20250815_ETF_Options_Exhibits'!U214:U218),"")</f>
        <v/>
      </c>
      <c r="V218" s="3">
        <f>IF(ISNUMBER(AVERAGE('20250815_ETF_Options_Exhibits'!V214:V218)),AVERAGE('20250815_ETF_Options_Exhibits'!V214:V218),"")</f>
        <v/>
      </c>
      <c r="W218" s="3">
        <f>IF(ISNUMBER(AVERAGE('20250815_ETF_Options_Exhibits'!W214:W218)),AVERAGE('20250815_ETF_Options_Exhibits'!W214:W218),"")</f>
        <v/>
      </c>
      <c r="X218" s="3">
        <f>IF(ISNUMBER(AVERAGE('20250815_ETF_Options_Exhibits'!X214:X218)),AVERAGE('20250815_ETF_Options_Exhibits'!X214:X218),"")</f>
        <v/>
      </c>
      <c r="Y218" s="3">
        <f>IF(ISNUMBER(AVERAGE('20250815_ETF_Options_Exhibits'!Y214:Y218)),AVERAGE('20250815_ETF_Options_Exhibits'!Y214:Y218),"")</f>
        <v/>
      </c>
      <c r="Z218" s="3">
        <f>IF(ISNUMBER(AVERAGE('20250815_ETF_Options_Exhibits'!Z214:Z218)),AVERAGE('20250815_ETF_Options_Exhibits'!Z214:Z218),"")</f>
        <v/>
      </c>
      <c r="AA218" s="3">
        <f>IF(ISNUMBER(AVERAGE('20250815_ETF_Options_Exhibits'!AA214:AA218)),AVERAGE('20250815_ETF_Options_Exhibits'!AA214:AA218),"")</f>
        <v/>
      </c>
    </row>
    <row r="219">
      <c r="A219" s="1" t="n">
        <v>42318</v>
      </c>
      <c r="B219" s="3">
        <f>IF(ISNUMBER(AVERAGE('20250815_ETF_Options_Exhibits'!B215:B219)),AVERAGE('20250815_ETF_Options_Exhibits'!B215:B219),"")</f>
        <v/>
      </c>
      <c r="C219" s="3">
        <f>IF(ISNUMBER(AVERAGE('20250815_ETF_Options_Exhibits'!C215:C219)),AVERAGE('20250815_ETF_Options_Exhibits'!C215:C219),"")</f>
        <v/>
      </c>
      <c r="D219" s="3">
        <f>IF(ISNUMBER(AVERAGE('20250815_ETF_Options_Exhibits'!D215:D219)),AVERAGE('20250815_ETF_Options_Exhibits'!D215:D219),"")</f>
        <v/>
      </c>
      <c r="E219" s="3">
        <f>IF(ISNUMBER(AVERAGE('20250815_ETF_Options_Exhibits'!E215:E219)),AVERAGE('20250815_ETF_Options_Exhibits'!E215:E219),"")</f>
        <v/>
      </c>
      <c r="F219" s="3">
        <f>IF(ISNUMBER(AVERAGE('20250815_ETF_Options_Exhibits'!F215:F219)),AVERAGE('20250815_ETF_Options_Exhibits'!F215:F219),"")</f>
        <v/>
      </c>
      <c r="G219" s="3">
        <f>IF(ISNUMBER(AVERAGE('20250815_ETF_Options_Exhibits'!G215:G219)),AVERAGE('20250815_ETF_Options_Exhibits'!G215:G219),"")</f>
        <v/>
      </c>
      <c r="H219" s="3">
        <f>IF(ISNUMBER(AVERAGE('20250815_ETF_Options_Exhibits'!H215:H219)),AVERAGE('20250815_ETF_Options_Exhibits'!H215:H219),"")</f>
        <v/>
      </c>
      <c r="I219" s="3">
        <f>IF(ISNUMBER(AVERAGE('20250815_ETF_Options_Exhibits'!I215:I219)),AVERAGE('20250815_ETF_Options_Exhibits'!I215:I219),"")</f>
        <v/>
      </c>
      <c r="J219" s="3">
        <f>IF(ISNUMBER(AVERAGE('20250815_ETF_Options_Exhibits'!J215:J219)),AVERAGE('20250815_ETF_Options_Exhibits'!J215:J219),"")</f>
        <v/>
      </c>
      <c r="K219" s="3">
        <f>IF(ISNUMBER(AVERAGE('20250815_ETF_Options_Exhibits'!K215:K219)),AVERAGE('20250815_ETF_Options_Exhibits'!K215:K219),"")</f>
        <v/>
      </c>
      <c r="L219" s="3">
        <f>IF(ISNUMBER(AVERAGE('20250815_ETF_Options_Exhibits'!L215:L219)),AVERAGE('20250815_ETF_Options_Exhibits'!L215:L219),"")</f>
        <v/>
      </c>
      <c r="M219" s="3">
        <f>IF(ISNUMBER(AVERAGE('20250815_ETF_Options_Exhibits'!M215:M219)),AVERAGE('20250815_ETF_Options_Exhibits'!M215:M219),"")</f>
        <v/>
      </c>
      <c r="N219" s="3">
        <f>IF(ISNUMBER(AVERAGE('20250815_ETF_Options_Exhibits'!N215:N219)),AVERAGE('20250815_ETF_Options_Exhibits'!N215:N219),"")</f>
        <v/>
      </c>
      <c r="O219" s="3">
        <f>IF(ISNUMBER(AVERAGE('20250815_ETF_Options_Exhibits'!O215:O219)),AVERAGE('20250815_ETF_Options_Exhibits'!O215:O219),"")</f>
        <v/>
      </c>
      <c r="P219" s="3">
        <f>IF(ISNUMBER(AVERAGE('20250815_ETF_Options_Exhibits'!P215:P219)),AVERAGE('20250815_ETF_Options_Exhibits'!P215:P219),"")</f>
        <v/>
      </c>
      <c r="Q219" s="3">
        <f>IF(ISNUMBER(AVERAGE('20250815_ETF_Options_Exhibits'!Q215:Q219)),AVERAGE('20250815_ETF_Options_Exhibits'!Q215:Q219),"")</f>
        <v/>
      </c>
      <c r="R219" s="3">
        <f>IF(ISNUMBER(AVERAGE('20250815_ETF_Options_Exhibits'!R215:R219)),AVERAGE('20250815_ETF_Options_Exhibits'!R215:R219),"")</f>
        <v/>
      </c>
      <c r="S219" s="3">
        <f>IF(ISNUMBER(AVERAGE('20250815_ETF_Options_Exhibits'!S215:S219)),AVERAGE('20250815_ETF_Options_Exhibits'!S215:S219),"")</f>
        <v/>
      </c>
      <c r="T219" s="3">
        <f>IF(ISNUMBER(AVERAGE('20250815_ETF_Options_Exhibits'!T215:T219)),AVERAGE('20250815_ETF_Options_Exhibits'!T215:T219),"")</f>
        <v/>
      </c>
      <c r="U219" s="3">
        <f>IF(ISNUMBER(AVERAGE('20250815_ETF_Options_Exhibits'!U215:U219)),AVERAGE('20250815_ETF_Options_Exhibits'!U215:U219),"")</f>
        <v/>
      </c>
      <c r="V219" s="3">
        <f>IF(ISNUMBER(AVERAGE('20250815_ETF_Options_Exhibits'!V215:V219)),AVERAGE('20250815_ETF_Options_Exhibits'!V215:V219),"")</f>
        <v/>
      </c>
      <c r="W219" s="3">
        <f>IF(ISNUMBER(AVERAGE('20250815_ETF_Options_Exhibits'!W215:W219)),AVERAGE('20250815_ETF_Options_Exhibits'!W215:W219),"")</f>
        <v/>
      </c>
      <c r="X219" s="3">
        <f>IF(ISNUMBER(AVERAGE('20250815_ETF_Options_Exhibits'!X215:X219)),AVERAGE('20250815_ETF_Options_Exhibits'!X215:X219),"")</f>
        <v/>
      </c>
      <c r="Y219" s="3">
        <f>IF(ISNUMBER(AVERAGE('20250815_ETF_Options_Exhibits'!Y215:Y219)),AVERAGE('20250815_ETF_Options_Exhibits'!Y215:Y219),"")</f>
        <v/>
      </c>
      <c r="Z219" s="3">
        <f>IF(ISNUMBER(AVERAGE('20250815_ETF_Options_Exhibits'!Z215:Z219)),AVERAGE('20250815_ETF_Options_Exhibits'!Z215:Z219),"")</f>
        <v/>
      </c>
      <c r="AA219" s="3">
        <f>IF(ISNUMBER(AVERAGE('20250815_ETF_Options_Exhibits'!AA215:AA219)),AVERAGE('20250815_ETF_Options_Exhibits'!AA215:AA219),"")</f>
        <v/>
      </c>
    </row>
    <row r="220">
      <c r="A220" s="1" t="n">
        <v>42319</v>
      </c>
      <c r="B220" s="3">
        <f>IF(ISNUMBER(AVERAGE('20250815_ETF_Options_Exhibits'!B216:B220)),AVERAGE('20250815_ETF_Options_Exhibits'!B216:B220),"")</f>
        <v/>
      </c>
      <c r="C220" s="3">
        <f>IF(ISNUMBER(AVERAGE('20250815_ETF_Options_Exhibits'!C216:C220)),AVERAGE('20250815_ETF_Options_Exhibits'!C216:C220),"")</f>
        <v/>
      </c>
      <c r="D220" s="3">
        <f>IF(ISNUMBER(AVERAGE('20250815_ETF_Options_Exhibits'!D216:D220)),AVERAGE('20250815_ETF_Options_Exhibits'!D216:D220),"")</f>
        <v/>
      </c>
      <c r="E220" s="3">
        <f>IF(ISNUMBER(AVERAGE('20250815_ETF_Options_Exhibits'!E216:E220)),AVERAGE('20250815_ETF_Options_Exhibits'!E216:E220),"")</f>
        <v/>
      </c>
      <c r="F220" s="3">
        <f>IF(ISNUMBER(AVERAGE('20250815_ETF_Options_Exhibits'!F216:F220)),AVERAGE('20250815_ETF_Options_Exhibits'!F216:F220),"")</f>
        <v/>
      </c>
      <c r="G220" s="3">
        <f>IF(ISNUMBER(AVERAGE('20250815_ETF_Options_Exhibits'!G216:G220)),AVERAGE('20250815_ETF_Options_Exhibits'!G216:G220),"")</f>
        <v/>
      </c>
      <c r="H220" s="3">
        <f>IF(ISNUMBER(AVERAGE('20250815_ETF_Options_Exhibits'!H216:H220)),AVERAGE('20250815_ETF_Options_Exhibits'!H216:H220),"")</f>
        <v/>
      </c>
      <c r="I220" s="3">
        <f>IF(ISNUMBER(AVERAGE('20250815_ETF_Options_Exhibits'!I216:I220)),AVERAGE('20250815_ETF_Options_Exhibits'!I216:I220),"")</f>
        <v/>
      </c>
      <c r="J220" s="3">
        <f>IF(ISNUMBER(AVERAGE('20250815_ETF_Options_Exhibits'!J216:J220)),AVERAGE('20250815_ETF_Options_Exhibits'!J216:J220),"")</f>
        <v/>
      </c>
      <c r="K220" s="3">
        <f>IF(ISNUMBER(AVERAGE('20250815_ETF_Options_Exhibits'!K216:K220)),AVERAGE('20250815_ETF_Options_Exhibits'!K216:K220),"")</f>
        <v/>
      </c>
      <c r="L220" s="3">
        <f>IF(ISNUMBER(AVERAGE('20250815_ETF_Options_Exhibits'!L216:L220)),AVERAGE('20250815_ETF_Options_Exhibits'!L216:L220),"")</f>
        <v/>
      </c>
      <c r="M220" s="3">
        <f>IF(ISNUMBER(AVERAGE('20250815_ETF_Options_Exhibits'!M216:M220)),AVERAGE('20250815_ETF_Options_Exhibits'!M216:M220),"")</f>
        <v/>
      </c>
      <c r="N220" s="3">
        <f>IF(ISNUMBER(AVERAGE('20250815_ETF_Options_Exhibits'!N216:N220)),AVERAGE('20250815_ETF_Options_Exhibits'!N216:N220),"")</f>
        <v/>
      </c>
      <c r="O220" s="3">
        <f>IF(ISNUMBER(AVERAGE('20250815_ETF_Options_Exhibits'!O216:O220)),AVERAGE('20250815_ETF_Options_Exhibits'!O216:O220),"")</f>
        <v/>
      </c>
      <c r="P220" s="3">
        <f>IF(ISNUMBER(AVERAGE('20250815_ETF_Options_Exhibits'!P216:P220)),AVERAGE('20250815_ETF_Options_Exhibits'!P216:P220),"")</f>
        <v/>
      </c>
      <c r="Q220" s="3">
        <f>IF(ISNUMBER(AVERAGE('20250815_ETF_Options_Exhibits'!Q216:Q220)),AVERAGE('20250815_ETF_Options_Exhibits'!Q216:Q220),"")</f>
        <v/>
      </c>
      <c r="R220" s="3">
        <f>IF(ISNUMBER(AVERAGE('20250815_ETF_Options_Exhibits'!R216:R220)),AVERAGE('20250815_ETF_Options_Exhibits'!R216:R220),"")</f>
        <v/>
      </c>
      <c r="S220" s="3">
        <f>IF(ISNUMBER(AVERAGE('20250815_ETF_Options_Exhibits'!S216:S220)),AVERAGE('20250815_ETF_Options_Exhibits'!S216:S220),"")</f>
        <v/>
      </c>
      <c r="T220" s="3">
        <f>IF(ISNUMBER(AVERAGE('20250815_ETF_Options_Exhibits'!T216:T220)),AVERAGE('20250815_ETF_Options_Exhibits'!T216:T220),"")</f>
        <v/>
      </c>
      <c r="U220" s="3">
        <f>IF(ISNUMBER(AVERAGE('20250815_ETF_Options_Exhibits'!U216:U220)),AVERAGE('20250815_ETF_Options_Exhibits'!U216:U220),"")</f>
        <v/>
      </c>
      <c r="V220" s="3">
        <f>IF(ISNUMBER(AVERAGE('20250815_ETF_Options_Exhibits'!V216:V220)),AVERAGE('20250815_ETF_Options_Exhibits'!V216:V220),"")</f>
        <v/>
      </c>
      <c r="W220" s="3">
        <f>IF(ISNUMBER(AVERAGE('20250815_ETF_Options_Exhibits'!W216:W220)),AVERAGE('20250815_ETF_Options_Exhibits'!W216:W220),"")</f>
        <v/>
      </c>
      <c r="X220" s="3">
        <f>IF(ISNUMBER(AVERAGE('20250815_ETF_Options_Exhibits'!X216:X220)),AVERAGE('20250815_ETF_Options_Exhibits'!X216:X220),"")</f>
        <v/>
      </c>
      <c r="Y220" s="3">
        <f>IF(ISNUMBER(AVERAGE('20250815_ETF_Options_Exhibits'!Y216:Y220)),AVERAGE('20250815_ETF_Options_Exhibits'!Y216:Y220),"")</f>
        <v/>
      </c>
      <c r="Z220" s="3">
        <f>IF(ISNUMBER(AVERAGE('20250815_ETF_Options_Exhibits'!Z216:Z220)),AVERAGE('20250815_ETF_Options_Exhibits'!Z216:Z220),"")</f>
        <v/>
      </c>
      <c r="AA220" s="3">
        <f>IF(ISNUMBER(AVERAGE('20250815_ETF_Options_Exhibits'!AA216:AA220)),AVERAGE('20250815_ETF_Options_Exhibits'!AA216:AA220),"")</f>
        <v/>
      </c>
    </row>
    <row r="221">
      <c r="A221" s="1" t="n">
        <v>42320</v>
      </c>
      <c r="B221" s="3">
        <f>IF(ISNUMBER(AVERAGE('20250815_ETF_Options_Exhibits'!B217:B221)),AVERAGE('20250815_ETF_Options_Exhibits'!B217:B221),"")</f>
        <v/>
      </c>
      <c r="C221" s="3">
        <f>IF(ISNUMBER(AVERAGE('20250815_ETF_Options_Exhibits'!C217:C221)),AVERAGE('20250815_ETF_Options_Exhibits'!C217:C221),"")</f>
        <v/>
      </c>
      <c r="D221" s="3">
        <f>IF(ISNUMBER(AVERAGE('20250815_ETF_Options_Exhibits'!D217:D221)),AVERAGE('20250815_ETF_Options_Exhibits'!D217:D221),"")</f>
        <v/>
      </c>
      <c r="E221" s="3">
        <f>IF(ISNUMBER(AVERAGE('20250815_ETF_Options_Exhibits'!E217:E221)),AVERAGE('20250815_ETF_Options_Exhibits'!E217:E221),"")</f>
        <v/>
      </c>
      <c r="F221" s="3">
        <f>IF(ISNUMBER(AVERAGE('20250815_ETF_Options_Exhibits'!F217:F221)),AVERAGE('20250815_ETF_Options_Exhibits'!F217:F221),"")</f>
        <v/>
      </c>
      <c r="G221" s="3">
        <f>IF(ISNUMBER(AVERAGE('20250815_ETF_Options_Exhibits'!G217:G221)),AVERAGE('20250815_ETF_Options_Exhibits'!G217:G221),"")</f>
        <v/>
      </c>
      <c r="H221" s="3">
        <f>IF(ISNUMBER(AVERAGE('20250815_ETF_Options_Exhibits'!H217:H221)),AVERAGE('20250815_ETF_Options_Exhibits'!H217:H221),"")</f>
        <v/>
      </c>
      <c r="I221" s="3">
        <f>IF(ISNUMBER(AVERAGE('20250815_ETF_Options_Exhibits'!I217:I221)),AVERAGE('20250815_ETF_Options_Exhibits'!I217:I221),"")</f>
        <v/>
      </c>
      <c r="J221" s="3">
        <f>IF(ISNUMBER(AVERAGE('20250815_ETF_Options_Exhibits'!J217:J221)),AVERAGE('20250815_ETF_Options_Exhibits'!J217:J221),"")</f>
        <v/>
      </c>
      <c r="K221" s="3">
        <f>IF(ISNUMBER(AVERAGE('20250815_ETF_Options_Exhibits'!K217:K221)),AVERAGE('20250815_ETF_Options_Exhibits'!K217:K221),"")</f>
        <v/>
      </c>
      <c r="L221" s="3">
        <f>IF(ISNUMBER(AVERAGE('20250815_ETF_Options_Exhibits'!L217:L221)),AVERAGE('20250815_ETF_Options_Exhibits'!L217:L221),"")</f>
        <v/>
      </c>
      <c r="M221" s="3">
        <f>IF(ISNUMBER(AVERAGE('20250815_ETF_Options_Exhibits'!M217:M221)),AVERAGE('20250815_ETF_Options_Exhibits'!M217:M221),"")</f>
        <v/>
      </c>
      <c r="N221" s="3">
        <f>IF(ISNUMBER(AVERAGE('20250815_ETF_Options_Exhibits'!N217:N221)),AVERAGE('20250815_ETF_Options_Exhibits'!N217:N221),"")</f>
        <v/>
      </c>
      <c r="O221" s="3">
        <f>IF(ISNUMBER(AVERAGE('20250815_ETF_Options_Exhibits'!O217:O221)),AVERAGE('20250815_ETF_Options_Exhibits'!O217:O221),"")</f>
        <v/>
      </c>
      <c r="P221" s="3">
        <f>IF(ISNUMBER(AVERAGE('20250815_ETF_Options_Exhibits'!P217:P221)),AVERAGE('20250815_ETF_Options_Exhibits'!P217:P221),"")</f>
        <v/>
      </c>
      <c r="Q221" s="3">
        <f>IF(ISNUMBER(AVERAGE('20250815_ETF_Options_Exhibits'!Q217:Q221)),AVERAGE('20250815_ETF_Options_Exhibits'!Q217:Q221),"")</f>
        <v/>
      </c>
      <c r="R221" s="3">
        <f>IF(ISNUMBER(AVERAGE('20250815_ETF_Options_Exhibits'!R217:R221)),AVERAGE('20250815_ETF_Options_Exhibits'!R217:R221),"")</f>
        <v/>
      </c>
      <c r="S221" s="3">
        <f>IF(ISNUMBER(AVERAGE('20250815_ETF_Options_Exhibits'!S217:S221)),AVERAGE('20250815_ETF_Options_Exhibits'!S217:S221),"")</f>
        <v/>
      </c>
      <c r="T221" s="3">
        <f>IF(ISNUMBER(AVERAGE('20250815_ETF_Options_Exhibits'!T217:T221)),AVERAGE('20250815_ETF_Options_Exhibits'!T217:T221),"")</f>
        <v/>
      </c>
      <c r="U221" s="3">
        <f>IF(ISNUMBER(AVERAGE('20250815_ETF_Options_Exhibits'!U217:U221)),AVERAGE('20250815_ETF_Options_Exhibits'!U217:U221),"")</f>
        <v/>
      </c>
      <c r="V221" s="3">
        <f>IF(ISNUMBER(AVERAGE('20250815_ETF_Options_Exhibits'!V217:V221)),AVERAGE('20250815_ETF_Options_Exhibits'!V217:V221),"")</f>
        <v/>
      </c>
      <c r="W221" s="3">
        <f>IF(ISNUMBER(AVERAGE('20250815_ETF_Options_Exhibits'!W217:W221)),AVERAGE('20250815_ETF_Options_Exhibits'!W217:W221),"")</f>
        <v/>
      </c>
      <c r="X221" s="3">
        <f>IF(ISNUMBER(AVERAGE('20250815_ETF_Options_Exhibits'!X217:X221)),AVERAGE('20250815_ETF_Options_Exhibits'!X217:X221),"")</f>
        <v/>
      </c>
      <c r="Y221" s="3">
        <f>IF(ISNUMBER(AVERAGE('20250815_ETF_Options_Exhibits'!Y217:Y221)),AVERAGE('20250815_ETF_Options_Exhibits'!Y217:Y221),"")</f>
        <v/>
      </c>
      <c r="Z221" s="3">
        <f>IF(ISNUMBER(AVERAGE('20250815_ETF_Options_Exhibits'!Z217:Z221)),AVERAGE('20250815_ETF_Options_Exhibits'!Z217:Z221),"")</f>
        <v/>
      </c>
      <c r="AA221" s="3">
        <f>IF(ISNUMBER(AVERAGE('20250815_ETF_Options_Exhibits'!AA217:AA221)),AVERAGE('20250815_ETF_Options_Exhibits'!AA217:AA221),"")</f>
        <v/>
      </c>
    </row>
    <row r="222">
      <c r="A222" s="1" t="n">
        <v>42321</v>
      </c>
      <c r="B222" s="3">
        <f>IF(ISNUMBER(AVERAGE('20250815_ETF_Options_Exhibits'!B218:B222)),AVERAGE('20250815_ETF_Options_Exhibits'!B218:B222),"")</f>
        <v/>
      </c>
      <c r="C222" s="3">
        <f>IF(ISNUMBER(AVERAGE('20250815_ETF_Options_Exhibits'!C218:C222)),AVERAGE('20250815_ETF_Options_Exhibits'!C218:C222),"")</f>
        <v/>
      </c>
      <c r="D222" s="3">
        <f>IF(ISNUMBER(AVERAGE('20250815_ETF_Options_Exhibits'!D218:D222)),AVERAGE('20250815_ETF_Options_Exhibits'!D218:D222),"")</f>
        <v/>
      </c>
      <c r="E222" s="3">
        <f>IF(ISNUMBER(AVERAGE('20250815_ETF_Options_Exhibits'!E218:E222)),AVERAGE('20250815_ETF_Options_Exhibits'!E218:E222),"")</f>
        <v/>
      </c>
      <c r="F222" s="3">
        <f>IF(ISNUMBER(AVERAGE('20250815_ETF_Options_Exhibits'!F218:F222)),AVERAGE('20250815_ETF_Options_Exhibits'!F218:F222),"")</f>
        <v/>
      </c>
      <c r="G222" s="3">
        <f>IF(ISNUMBER(AVERAGE('20250815_ETF_Options_Exhibits'!G218:G222)),AVERAGE('20250815_ETF_Options_Exhibits'!G218:G222),"")</f>
        <v/>
      </c>
      <c r="H222" s="3">
        <f>IF(ISNUMBER(AVERAGE('20250815_ETF_Options_Exhibits'!H218:H222)),AVERAGE('20250815_ETF_Options_Exhibits'!H218:H222),"")</f>
        <v/>
      </c>
      <c r="I222" s="3">
        <f>IF(ISNUMBER(AVERAGE('20250815_ETF_Options_Exhibits'!I218:I222)),AVERAGE('20250815_ETF_Options_Exhibits'!I218:I222),"")</f>
        <v/>
      </c>
      <c r="J222" s="3">
        <f>IF(ISNUMBER(AVERAGE('20250815_ETF_Options_Exhibits'!J218:J222)),AVERAGE('20250815_ETF_Options_Exhibits'!J218:J222),"")</f>
        <v/>
      </c>
      <c r="K222" s="3">
        <f>IF(ISNUMBER(AVERAGE('20250815_ETF_Options_Exhibits'!K218:K222)),AVERAGE('20250815_ETF_Options_Exhibits'!K218:K222),"")</f>
        <v/>
      </c>
      <c r="L222" s="3">
        <f>IF(ISNUMBER(AVERAGE('20250815_ETF_Options_Exhibits'!L218:L222)),AVERAGE('20250815_ETF_Options_Exhibits'!L218:L222),"")</f>
        <v/>
      </c>
      <c r="M222" s="3">
        <f>IF(ISNUMBER(AVERAGE('20250815_ETF_Options_Exhibits'!M218:M222)),AVERAGE('20250815_ETF_Options_Exhibits'!M218:M222),"")</f>
        <v/>
      </c>
      <c r="N222" s="3">
        <f>IF(ISNUMBER(AVERAGE('20250815_ETF_Options_Exhibits'!N218:N222)),AVERAGE('20250815_ETF_Options_Exhibits'!N218:N222),"")</f>
        <v/>
      </c>
      <c r="O222" s="3">
        <f>IF(ISNUMBER(AVERAGE('20250815_ETF_Options_Exhibits'!O218:O222)),AVERAGE('20250815_ETF_Options_Exhibits'!O218:O222),"")</f>
        <v/>
      </c>
      <c r="P222" s="3">
        <f>IF(ISNUMBER(AVERAGE('20250815_ETF_Options_Exhibits'!P218:P222)),AVERAGE('20250815_ETF_Options_Exhibits'!P218:P222),"")</f>
        <v/>
      </c>
      <c r="Q222" s="3">
        <f>IF(ISNUMBER(AVERAGE('20250815_ETF_Options_Exhibits'!Q218:Q222)),AVERAGE('20250815_ETF_Options_Exhibits'!Q218:Q222),"")</f>
        <v/>
      </c>
      <c r="R222" s="3">
        <f>IF(ISNUMBER(AVERAGE('20250815_ETF_Options_Exhibits'!R218:R222)),AVERAGE('20250815_ETF_Options_Exhibits'!R218:R222),"")</f>
        <v/>
      </c>
      <c r="S222" s="3">
        <f>IF(ISNUMBER(AVERAGE('20250815_ETF_Options_Exhibits'!S218:S222)),AVERAGE('20250815_ETF_Options_Exhibits'!S218:S222),"")</f>
        <v/>
      </c>
      <c r="T222" s="3">
        <f>IF(ISNUMBER(AVERAGE('20250815_ETF_Options_Exhibits'!T218:T222)),AVERAGE('20250815_ETF_Options_Exhibits'!T218:T222),"")</f>
        <v/>
      </c>
      <c r="U222" s="3">
        <f>IF(ISNUMBER(AVERAGE('20250815_ETF_Options_Exhibits'!U218:U222)),AVERAGE('20250815_ETF_Options_Exhibits'!U218:U222),"")</f>
        <v/>
      </c>
      <c r="V222" s="3">
        <f>IF(ISNUMBER(AVERAGE('20250815_ETF_Options_Exhibits'!V218:V222)),AVERAGE('20250815_ETF_Options_Exhibits'!V218:V222),"")</f>
        <v/>
      </c>
      <c r="W222" s="3">
        <f>IF(ISNUMBER(AVERAGE('20250815_ETF_Options_Exhibits'!W218:W222)),AVERAGE('20250815_ETF_Options_Exhibits'!W218:W222),"")</f>
        <v/>
      </c>
      <c r="X222" s="3">
        <f>IF(ISNUMBER(AVERAGE('20250815_ETF_Options_Exhibits'!X218:X222)),AVERAGE('20250815_ETF_Options_Exhibits'!X218:X222),"")</f>
        <v/>
      </c>
      <c r="Y222" s="3">
        <f>IF(ISNUMBER(AVERAGE('20250815_ETF_Options_Exhibits'!Y218:Y222)),AVERAGE('20250815_ETF_Options_Exhibits'!Y218:Y222),"")</f>
        <v/>
      </c>
      <c r="Z222" s="3">
        <f>IF(ISNUMBER(AVERAGE('20250815_ETF_Options_Exhibits'!Z218:Z222)),AVERAGE('20250815_ETF_Options_Exhibits'!Z218:Z222),"")</f>
        <v/>
      </c>
      <c r="AA222" s="3">
        <f>IF(ISNUMBER(AVERAGE('20250815_ETF_Options_Exhibits'!AA218:AA222)),AVERAGE('20250815_ETF_Options_Exhibits'!AA218:AA222),"")</f>
        <v/>
      </c>
    </row>
    <row r="223">
      <c r="A223" s="1" t="n">
        <v>42324</v>
      </c>
      <c r="B223" s="3">
        <f>IF(ISNUMBER(AVERAGE('20250815_ETF_Options_Exhibits'!B219:B223)),AVERAGE('20250815_ETF_Options_Exhibits'!B219:B223),"")</f>
        <v/>
      </c>
      <c r="C223" s="3">
        <f>IF(ISNUMBER(AVERAGE('20250815_ETF_Options_Exhibits'!C219:C223)),AVERAGE('20250815_ETF_Options_Exhibits'!C219:C223),"")</f>
        <v/>
      </c>
      <c r="D223" s="3">
        <f>IF(ISNUMBER(AVERAGE('20250815_ETF_Options_Exhibits'!D219:D223)),AVERAGE('20250815_ETF_Options_Exhibits'!D219:D223),"")</f>
        <v/>
      </c>
      <c r="E223" s="3">
        <f>IF(ISNUMBER(AVERAGE('20250815_ETF_Options_Exhibits'!E219:E223)),AVERAGE('20250815_ETF_Options_Exhibits'!E219:E223),"")</f>
        <v/>
      </c>
      <c r="F223" s="3">
        <f>IF(ISNUMBER(AVERAGE('20250815_ETF_Options_Exhibits'!F219:F223)),AVERAGE('20250815_ETF_Options_Exhibits'!F219:F223),"")</f>
        <v/>
      </c>
      <c r="G223" s="3">
        <f>IF(ISNUMBER(AVERAGE('20250815_ETF_Options_Exhibits'!G219:G223)),AVERAGE('20250815_ETF_Options_Exhibits'!G219:G223),"")</f>
        <v/>
      </c>
      <c r="H223" s="3">
        <f>IF(ISNUMBER(AVERAGE('20250815_ETF_Options_Exhibits'!H219:H223)),AVERAGE('20250815_ETF_Options_Exhibits'!H219:H223),"")</f>
        <v/>
      </c>
      <c r="I223" s="3">
        <f>IF(ISNUMBER(AVERAGE('20250815_ETF_Options_Exhibits'!I219:I223)),AVERAGE('20250815_ETF_Options_Exhibits'!I219:I223),"")</f>
        <v/>
      </c>
      <c r="J223" s="3">
        <f>IF(ISNUMBER(AVERAGE('20250815_ETF_Options_Exhibits'!J219:J223)),AVERAGE('20250815_ETF_Options_Exhibits'!J219:J223),"")</f>
        <v/>
      </c>
      <c r="K223" s="3">
        <f>IF(ISNUMBER(AVERAGE('20250815_ETF_Options_Exhibits'!K219:K223)),AVERAGE('20250815_ETF_Options_Exhibits'!K219:K223),"")</f>
        <v/>
      </c>
      <c r="L223" s="3">
        <f>IF(ISNUMBER(AVERAGE('20250815_ETF_Options_Exhibits'!L219:L223)),AVERAGE('20250815_ETF_Options_Exhibits'!L219:L223),"")</f>
        <v/>
      </c>
      <c r="M223" s="3">
        <f>IF(ISNUMBER(AVERAGE('20250815_ETF_Options_Exhibits'!M219:M223)),AVERAGE('20250815_ETF_Options_Exhibits'!M219:M223),"")</f>
        <v/>
      </c>
      <c r="N223" s="3">
        <f>IF(ISNUMBER(AVERAGE('20250815_ETF_Options_Exhibits'!N219:N223)),AVERAGE('20250815_ETF_Options_Exhibits'!N219:N223),"")</f>
        <v/>
      </c>
      <c r="O223" s="3">
        <f>IF(ISNUMBER(AVERAGE('20250815_ETF_Options_Exhibits'!O219:O223)),AVERAGE('20250815_ETF_Options_Exhibits'!O219:O223),"")</f>
        <v/>
      </c>
      <c r="P223" s="3">
        <f>IF(ISNUMBER(AVERAGE('20250815_ETF_Options_Exhibits'!P219:P223)),AVERAGE('20250815_ETF_Options_Exhibits'!P219:P223),"")</f>
        <v/>
      </c>
      <c r="Q223" s="3">
        <f>IF(ISNUMBER(AVERAGE('20250815_ETF_Options_Exhibits'!Q219:Q223)),AVERAGE('20250815_ETF_Options_Exhibits'!Q219:Q223),"")</f>
        <v/>
      </c>
      <c r="R223" s="3">
        <f>IF(ISNUMBER(AVERAGE('20250815_ETF_Options_Exhibits'!R219:R223)),AVERAGE('20250815_ETF_Options_Exhibits'!R219:R223),"")</f>
        <v/>
      </c>
      <c r="S223" s="3">
        <f>IF(ISNUMBER(AVERAGE('20250815_ETF_Options_Exhibits'!S219:S223)),AVERAGE('20250815_ETF_Options_Exhibits'!S219:S223),"")</f>
        <v/>
      </c>
      <c r="T223" s="3">
        <f>IF(ISNUMBER(AVERAGE('20250815_ETF_Options_Exhibits'!T219:T223)),AVERAGE('20250815_ETF_Options_Exhibits'!T219:T223),"")</f>
        <v/>
      </c>
      <c r="U223" s="3">
        <f>IF(ISNUMBER(AVERAGE('20250815_ETF_Options_Exhibits'!U219:U223)),AVERAGE('20250815_ETF_Options_Exhibits'!U219:U223),"")</f>
        <v/>
      </c>
      <c r="V223" s="3">
        <f>IF(ISNUMBER(AVERAGE('20250815_ETF_Options_Exhibits'!V219:V223)),AVERAGE('20250815_ETF_Options_Exhibits'!V219:V223),"")</f>
        <v/>
      </c>
      <c r="W223" s="3">
        <f>IF(ISNUMBER(AVERAGE('20250815_ETF_Options_Exhibits'!W219:W223)),AVERAGE('20250815_ETF_Options_Exhibits'!W219:W223),"")</f>
        <v/>
      </c>
      <c r="X223" s="3">
        <f>IF(ISNUMBER(AVERAGE('20250815_ETF_Options_Exhibits'!X219:X223)),AVERAGE('20250815_ETF_Options_Exhibits'!X219:X223),"")</f>
        <v/>
      </c>
      <c r="Y223" s="3">
        <f>IF(ISNUMBER(AVERAGE('20250815_ETF_Options_Exhibits'!Y219:Y223)),AVERAGE('20250815_ETF_Options_Exhibits'!Y219:Y223),"")</f>
        <v/>
      </c>
      <c r="Z223" s="3">
        <f>IF(ISNUMBER(AVERAGE('20250815_ETF_Options_Exhibits'!Z219:Z223)),AVERAGE('20250815_ETF_Options_Exhibits'!Z219:Z223),"")</f>
        <v/>
      </c>
      <c r="AA223" s="3">
        <f>IF(ISNUMBER(AVERAGE('20250815_ETF_Options_Exhibits'!AA219:AA223)),AVERAGE('20250815_ETF_Options_Exhibits'!AA219:AA223),"")</f>
        <v/>
      </c>
    </row>
    <row r="224">
      <c r="A224" s="1" t="n">
        <v>42325</v>
      </c>
      <c r="B224" s="3">
        <f>IF(ISNUMBER(AVERAGE('20250815_ETF_Options_Exhibits'!B220:B224)),AVERAGE('20250815_ETF_Options_Exhibits'!B220:B224),"")</f>
        <v/>
      </c>
      <c r="C224" s="3">
        <f>IF(ISNUMBER(AVERAGE('20250815_ETF_Options_Exhibits'!C220:C224)),AVERAGE('20250815_ETF_Options_Exhibits'!C220:C224),"")</f>
        <v/>
      </c>
      <c r="D224" s="3">
        <f>IF(ISNUMBER(AVERAGE('20250815_ETF_Options_Exhibits'!D220:D224)),AVERAGE('20250815_ETF_Options_Exhibits'!D220:D224),"")</f>
        <v/>
      </c>
      <c r="E224" s="3">
        <f>IF(ISNUMBER(AVERAGE('20250815_ETF_Options_Exhibits'!E220:E224)),AVERAGE('20250815_ETF_Options_Exhibits'!E220:E224),"")</f>
        <v/>
      </c>
      <c r="F224" s="3">
        <f>IF(ISNUMBER(AVERAGE('20250815_ETF_Options_Exhibits'!F220:F224)),AVERAGE('20250815_ETF_Options_Exhibits'!F220:F224),"")</f>
        <v/>
      </c>
      <c r="G224" s="3">
        <f>IF(ISNUMBER(AVERAGE('20250815_ETF_Options_Exhibits'!G220:G224)),AVERAGE('20250815_ETF_Options_Exhibits'!G220:G224),"")</f>
        <v/>
      </c>
      <c r="H224" s="3">
        <f>IF(ISNUMBER(AVERAGE('20250815_ETF_Options_Exhibits'!H220:H224)),AVERAGE('20250815_ETF_Options_Exhibits'!H220:H224),"")</f>
        <v/>
      </c>
      <c r="I224" s="3">
        <f>IF(ISNUMBER(AVERAGE('20250815_ETF_Options_Exhibits'!I220:I224)),AVERAGE('20250815_ETF_Options_Exhibits'!I220:I224),"")</f>
        <v/>
      </c>
      <c r="J224" s="3">
        <f>IF(ISNUMBER(AVERAGE('20250815_ETF_Options_Exhibits'!J220:J224)),AVERAGE('20250815_ETF_Options_Exhibits'!J220:J224),"")</f>
        <v/>
      </c>
      <c r="K224" s="3">
        <f>IF(ISNUMBER(AVERAGE('20250815_ETF_Options_Exhibits'!K220:K224)),AVERAGE('20250815_ETF_Options_Exhibits'!K220:K224),"")</f>
        <v/>
      </c>
      <c r="L224" s="3">
        <f>IF(ISNUMBER(AVERAGE('20250815_ETF_Options_Exhibits'!L220:L224)),AVERAGE('20250815_ETF_Options_Exhibits'!L220:L224),"")</f>
        <v/>
      </c>
      <c r="M224" s="3">
        <f>IF(ISNUMBER(AVERAGE('20250815_ETF_Options_Exhibits'!M220:M224)),AVERAGE('20250815_ETF_Options_Exhibits'!M220:M224),"")</f>
        <v/>
      </c>
      <c r="N224" s="3">
        <f>IF(ISNUMBER(AVERAGE('20250815_ETF_Options_Exhibits'!N220:N224)),AVERAGE('20250815_ETF_Options_Exhibits'!N220:N224),"")</f>
        <v/>
      </c>
      <c r="O224" s="3">
        <f>IF(ISNUMBER(AVERAGE('20250815_ETF_Options_Exhibits'!O220:O224)),AVERAGE('20250815_ETF_Options_Exhibits'!O220:O224),"")</f>
        <v/>
      </c>
      <c r="P224" s="3">
        <f>IF(ISNUMBER(AVERAGE('20250815_ETF_Options_Exhibits'!P220:P224)),AVERAGE('20250815_ETF_Options_Exhibits'!P220:P224),"")</f>
        <v/>
      </c>
      <c r="Q224" s="3">
        <f>IF(ISNUMBER(AVERAGE('20250815_ETF_Options_Exhibits'!Q220:Q224)),AVERAGE('20250815_ETF_Options_Exhibits'!Q220:Q224),"")</f>
        <v/>
      </c>
      <c r="R224" s="3">
        <f>IF(ISNUMBER(AVERAGE('20250815_ETF_Options_Exhibits'!R220:R224)),AVERAGE('20250815_ETF_Options_Exhibits'!R220:R224),"")</f>
        <v/>
      </c>
      <c r="S224" s="3">
        <f>IF(ISNUMBER(AVERAGE('20250815_ETF_Options_Exhibits'!S220:S224)),AVERAGE('20250815_ETF_Options_Exhibits'!S220:S224),"")</f>
        <v/>
      </c>
      <c r="T224" s="3">
        <f>IF(ISNUMBER(AVERAGE('20250815_ETF_Options_Exhibits'!T220:T224)),AVERAGE('20250815_ETF_Options_Exhibits'!T220:T224),"")</f>
        <v/>
      </c>
      <c r="U224" s="3">
        <f>IF(ISNUMBER(AVERAGE('20250815_ETF_Options_Exhibits'!U220:U224)),AVERAGE('20250815_ETF_Options_Exhibits'!U220:U224),"")</f>
        <v/>
      </c>
      <c r="V224" s="3">
        <f>IF(ISNUMBER(AVERAGE('20250815_ETF_Options_Exhibits'!V220:V224)),AVERAGE('20250815_ETF_Options_Exhibits'!V220:V224),"")</f>
        <v/>
      </c>
      <c r="W224" s="3">
        <f>IF(ISNUMBER(AVERAGE('20250815_ETF_Options_Exhibits'!W220:W224)),AVERAGE('20250815_ETF_Options_Exhibits'!W220:W224),"")</f>
        <v/>
      </c>
      <c r="X224" s="3">
        <f>IF(ISNUMBER(AVERAGE('20250815_ETF_Options_Exhibits'!X220:X224)),AVERAGE('20250815_ETF_Options_Exhibits'!X220:X224),"")</f>
        <v/>
      </c>
      <c r="Y224" s="3">
        <f>IF(ISNUMBER(AVERAGE('20250815_ETF_Options_Exhibits'!Y220:Y224)),AVERAGE('20250815_ETF_Options_Exhibits'!Y220:Y224),"")</f>
        <v/>
      </c>
      <c r="Z224" s="3">
        <f>IF(ISNUMBER(AVERAGE('20250815_ETF_Options_Exhibits'!Z220:Z224)),AVERAGE('20250815_ETF_Options_Exhibits'!Z220:Z224),"")</f>
        <v/>
      </c>
      <c r="AA224" s="3">
        <f>IF(ISNUMBER(AVERAGE('20250815_ETF_Options_Exhibits'!AA220:AA224)),AVERAGE('20250815_ETF_Options_Exhibits'!AA220:AA224),"")</f>
        <v/>
      </c>
    </row>
    <row r="225">
      <c r="A225" s="1" t="n">
        <v>42326</v>
      </c>
      <c r="B225" s="3">
        <f>IF(ISNUMBER(AVERAGE('20250815_ETF_Options_Exhibits'!B221:B225)),AVERAGE('20250815_ETF_Options_Exhibits'!B221:B225),"")</f>
        <v/>
      </c>
      <c r="C225" s="3">
        <f>IF(ISNUMBER(AVERAGE('20250815_ETF_Options_Exhibits'!C221:C225)),AVERAGE('20250815_ETF_Options_Exhibits'!C221:C225),"")</f>
        <v/>
      </c>
      <c r="D225" s="3">
        <f>IF(ISNUMBER(AVERAGE('20250815_ETF_Options_Exhibits'!D221:D225)),AVERAGE('20250815_ETF_Options_Exhibits'!D221:D225),"")</f>
        <v/>
      </c>
      <c r="E225" s="3">
        <f>IF(ISNUMBER(AVERAGE('20250815_ETF_Options_Exhibits'!E221:E225)),AVERAGE('20250815_ETF_Options_Exhibits'!E221:E225),"")</f>
        <v/>
      </c>
      <c r="F225" s="3">
        <f>IF(ISNUMBER(AVERAGE('20250815_ETF_Options_Exhibits'!F221:F225)),AVERAGE('20250815_ETF_Options_Exhibits'!F221:F225),"")</f>
        <v/>
      </c>
      <c r="G225" s="3">
        <f>IF(ISNUMBER(AVERAGE('20250815_ETF_Options_Exhibits'!G221:G225)),AVERAGE('20250815_ETF_Options_Exhibits'!G221:G225),"")</f>
        <v/>
      </c>
      <c r="H225" s="3">
        <f>IF(ISNUMBER(AVERAGE('20250815_ETF_Options_Exhibits'!H221:H225)),AVERAGE('20250815_ETF_Options_Exhibits'!H221:H225),"")</f>
        <v/>
      </c>
      <c r="I225" s="3">
        <f>IF(ISNUMBER(AVERAGE('20250815_ETF_Options_Exhibits'!I221:I225)),AVERAGE('20250815_ETF_Options_Exhibits'!I221:I225),"")</f>
        <v/>
      </c>
      <c r="J225" s="3">
        <f>IF(ISNUMBER(AVERAGE('20250815_ETF_Options_Exhibits'!J221:J225)),AVERAGE('20250815_ETF_Options_Exhibits'!J221:J225),"")</f>
        <v/>
      </c>
      <c r="K225" s="3">
        <f>IF(ISNUMBER(AVERAGE('20250815_ETF_Options_Exhibits'!K221:K225)),AVERAGE('20250815_ETF_Options_Exhibits'!K221:K225),"")</f>
        <v/>
      </c>
      <c r="L225" s="3">
        <f>IF(ISNUMBER(AVERAGE('20250815_ETF_Options_Exhibits'!L221:L225)),AVERAGE('20250815_ETF_Options_Exhibits'!L221:L225),"")</f>
        <v/>
      </c>
      <c r="M225" s="3">
        <f>IF(ISNUMBER(AVERAGE('20250815_ETF_Options_Exhibits'!M221:M225)),AVERAGE('20250815_ETF_Options_Exhibits'!M221:M225),"")</f>
        <v/>
      </c>
      <c r="N225" s="3">
        <f>IF(ISNUMBER(AVERAGE('20250815_ETF_Options_Exhibits'!N221:N225)),AVERAGE('20250815_ETF_Options_Exhibits'!N221:N225),"")</f>
        <v/>
      </c>
      <c r="O225" s="3">
        <f>IF(ISNUMBER(AVERAGE('20250815_ETF_Options_Exhibits'!O221:O225)),AVERAGE('20250815_ETF_Options_Exhibits'!O221:O225),"")</f>
        <v/>
      </c>
      <c r="P225" s="3">
        <f>IF(ISNUMBER(AVERAGE('20250815_ETF_Options_Exhibits'!P221:P225)),AVERAGE('20250815_ETF_Options_Exhibits'!P221:P225),"")</f>
        <v/>
      </c>
      <c r="Q225" s="3">
        <f>IF(ISNUMBER(AVERAGE('20250815_ETF_Options_Exhibits'!Q221:Q225)),AVERAGE('20250815_ETF_Options_Exhibits'!Q221:Q225),"")</f>
        <v/>
      </c>
      <c r="R225" s="3">
        <f>IF(ISNUMBER(AVERAGE('20250815_ETF_Options_Exhibits'!R221:R225)),AVERAGE('20250815_ETF_Options_Exhibits'!R221:R225),"")</f>
        <v/>
      </c>
      <c r="S225" s="3">
        <f>IF(ISNUMBER(AVERAGE('20250815_ETF_Options_Exhibits'!S221:S225)),AVERAGE('20250815_ETF_Options_Exhibits'!S221:S225),"")</f>
        <v/>
      </c>
      <c r="T225" s="3">
        <f>IF(ISNUMBER(AVERAGE('20250815_ETF_Options_Exhibits'!T221:T225)),AVERAGE('20250815_ETF_Options_Exhibits'!T221:T225),"")</f>
        <v/>
      </c>
      <c r="U225" s="3">
        <f>IF(ISNUMBER(AVERAGE('20250815_ETF_Options_Exhibits'!U221:U225)),AVERAGE('20250815_ETF_Options_Exhibits'!U221:U225),"")</f>
        <v/>
      </c>
      <c r="V225" s="3">
        <f>IF(ISNUMBER(AVERAGE('20250815_ETF_Options_Exhibits'!V221:V225)),AVERAGE('20250815_ETF_Options_Exhibits'!V221:V225),"")</f>
        <v/>
      </c>
      <c r="W225" s="3">
        <f>IF(ISNUMBER(AVERAGE('20250815_ETF_Options_Exhibits'!W221:W225)),AVERAGE('20250815_ETF_Options_Exhibits'!W221:W225),"")</f>
        <v/>
      </c>
      <c r="X225" s="3">
        <f>IF(ISNUMBER(AVERAGE('20250815_ETF_Options_Exhibits'!X221:X225)),AVERAGE('20250815_ETF_Options_Exhibits'!X221:X225),"")</f>
        <v/>
      </c>
      <c r="Y225" s="3">
        <f>IF(ISNUMBER(AVERAGE('20250815_ETF_Options_Exhibits'!Y221:Y225)),AVERAGE('20250815_ETF_Options_Exhibits'!Y221:Y225),"")</f>
        <v/>
      </c>
      <c r="Z225" s="3">
        <f>IF(ISNUMBER(AVERAGE('20250815_ETF_Options_Exhibits'!Z221:Z225)),AVERAGE('20250815_ETF_Options_Exhibits'!Z221:Z225),"")</f>
        <v/>
      </c>
      <c r="AA225" s="3">
        <f>IF(ISNUMBER(AVERAGE('20250815_ETF_Options_Exhibits'!AA221:AA225)),AVERAGE('20250815_ETF_Options_Exhibits'!AA221:AA225),"")</f>
        <v/>
      </c>
    </row>
    <row r="226">
      <c r="A226" s="1" t="n">
        <v>42327</v>
      </c>
      <c r="B226" s="3">
        <f>IF(ISNUMBER(AVERAGE('20250815_ETF_Options_Exhibits'!B222:B226)),AVERAGE('20250815_ETF_Options_Exhibits'!B222:B226),"")</f>
        <v/>
      </c>
      <c r="C226" s="3">
        <f>IF(ISNUMBER(AVERAGE('20250815_ETF_Options_Exhibits'!C222:C226)),AVERAGE('20250815_ETF_Options_Exhibits'!C222:C226),"")</f>
        <v/>
      </c>
      <c r="D226" s="3">
        <f>IF(ISNUMBER(AVERAGE('20250815_ETF_Options_Exhibits'!D222:D226)),AVERAGE('20250815_ETF_Options_Exhibits'!D222:D226),"")</f>
        <v/>
      </c>
      <c r="E226" s="3">
        <f>IF(ISNUMBER(AVERAGE('20250815_ETF_Options_Exhibits'!E222:E226)),AVERAGE('20250815_ETF_Options_Exhibits'!E222:E226),"")</f>
        <v/>
      </c>
      <c r="F226" s="3">
        <f>IF(ISNUMBER(AVERAGE('20250815_ETF_Options_Exhibits'!F222:F226)),AVERAGE('20250815_ETF_Options_Exhibits'!F222:F226),"")</f>
        <v/>
      </c>
      <c r="G226" s="3">
        <f>IF(ISNUMBER(AVERAGE('20250815_ETF_Options_Exhibits'!G222:G226)),AVERAGE('20250815_ETF_Options_Exhibits'!G222:G226),"")</f>
        <v/>
      </c>
      <c r="H226" s="3">
        <f>IF(ISNUMBER(AVERAGE('20250815_ETF_Options_Exhibits'!H222:H226)),AVERAGE('20250815_ETF_Options_Exhibits'!H222:H226),"")</f>
        <v/>
      </c>
      <c r="I226" s="3">
        <f>IF(ISNUMBER(AVERAGE('20250815_ETF_Options_Exhibits'!I222:I226)),AVERAGE('20250815_ETF_Options_Exhibits'!I222:I226),"")</f>
        <v/>
      </c>
      <c r="J226" s="3">
        <f>IF(ISNUMBER(AVERAGE('20250815_ETF_Options_Exhibits'!J222:J226)),AVERAGE('20250815_ETF_Options_Exhibits'!J222:J226),"")</f>
        <v/>
      </c>
      <c r="K226" s="3">
        <f>IF(ISNUMBER(AVERAGE('20250815_ETF_Options_Exhibits'!K222:K226)),AVERAGE('20250815_ETF_Options_Exhibits'!K222:K226),"")</f>
        <v/>
      </c>
      <c r="L226" s="3">
        <f>IF(ISNUMBER(AVERAGE('20250815_ETF_Options_Exhibits'!L222:L226)),AVERAGE('20250815_ETF_Options_Exhibits'!L222:L226),"")</f>
        <v/>
      </c>
      <c r="M226" s="3">
        <f>IF(ISNUMBER(AVERAGE('20250815_ETF_Options_Exhibits'!M222:M226)),AVERAGE('20250815_ETF_Options_Exhibits'!M222:M226),"")</f>
        <v/>
      </c>
      <c r="N226" s="3">
        <f>IF(ISNUMBER(AVERAGE('20250815_ETF_Options_Exhibits'!N222:N226)),AVERAGE('20250815_ETF_Options_Exhibits'!N222:N226),"")</f>
        <v/>
      </c>
      <c r="O226" s="3">
        <f>IF(ISNUMBER(AVERAGE('20250815_ETF_Options_Exhibits'!O222:O226)),AVERAGE('20250815_ETF_Options_Exhibits'!O222:O226),"")</f>
        <v/>
      </c>
      <c r="P226" s="3">
        <f>IF(ISNUMBER(AVERAGE('20250815_ETF_Options_Exhibits'!P222:P226)),AVERAGE('20250815_ETF_Options_Exhibits'!P222:P226),"")</f>
        <v/>
      </c>
      <c r="Q226" s="3">
        <f>IF(ISNUMBER(AVERAGE('20250815_ETF_Options_Exhibits'!Q222:Q226)),AVERAGE('20250815_ETF_Options_Exhibits'!Q222:Q226),"")</f>
        <v/>
      </c>
      <c r="R226" s="3">
        <f>IF(ISNUMBER(AVERAGE('20250815_ETF_Options_Exhibits'!R222:R226)),AVERAGE('20250815_ETF_Options_Exhibits'!R222:R226),"")</f>
        <v/>
      </c>
      <c r="S226" s="3">
        <f>IF(ISNUMBER(AVERAGE('20250815_ETF_Options_Exhibits'!S222:S226)),AVERAGE('20250815_ETF_Options_Exhibits'!S222:S226),"")</f>
        <v/>
      </c>
      <c r="T226" s="3">
        <f>IF(ISNUMBER(AVERAGE('20250815_ETF_Options_Exhibits'!T222:T226)),AVERAGE('20250815_ETF_Options_Exhibits'!T222:T226),"")</f>
        <v/>
      </c>
      <c r="U226" s="3">
        <f>IF(ISNUMBER(AVERAGE('20250815_ETF_Options_Exhibits'!U222:U226)),AVERAGE('20250815_ETF_Options_Exhibits'!U222:U226),"")</f>
        <v/>
      </c>
      <c r="V226" s="3">
        <f>IF(ISNUMBER(AVERAGE('20250815_ETF_Options_Exhibits'!V222:V226)),AVERAGE('20250815_ETF_Options_Exhibits'!V222:V226),"")</f>
        <v/>
      </c>
      <c r="W226" s="3">
        <f>IF(ISNUMBER(AVERAGE('20250815_ETF_Options_Exhibits'!W222:W226)),AVERAGE('20250815_ETF_Options_Exhibits'!W222:W226),"")</f>
        <v/>
      </c>
      <c r="X226" s="3">
        <f>IF(ISNUMBER(AVERAGE('20250815_ETF_Options_Exhibits'!X222:X226)),AVERAGE('20250815_ETF_Options_Exhibits'!X222:X226),"")</f>
        <v/>
      </c>
      <c r="Y226" s="3">
        <f>IF(ISNUMBER(AVERAGE('20250815_ETF_Options_Exhibits'!Y222:Y226)),AVERAGE('20250815_ETF_Options_Exhibits'!Y222:Y226),"")</f>
        <v/>
      </c>
      <c r="Z226" s="3">
        <f>IF(ISNUMBER(AVERAGE('20250815_ETF_Options_Exhibits'!Z222:Z226)),AVERAGE('20250815_ETF_Options_Exhibits'!Z222:Z226),"")</f>
        <v/>
      </c>
      <c r="AA226" s="3">
        <f>IF(ISNUMBER(AVERAGE('20250815_ETF_Options_Exhibits'!AA222:AA226)),AVERAGE('20250815_ETF_Options_Exhibits'!AA222:AA226),"")</f>
        <v/>
      </c>
    </row>
    <row r="227">
      <c r="A227" s="1" t="n">
        <v>42328</v>
      </c>
      <c r="B227" s="3">
        <f>IF(ISNUMBER(AVERAGE('20250815_ETF_Options_Exhibits'!B223:B227)),AVERAGE('20250815_ETF_Options_Exhibits'!B223:B227),"")</f>
        <v/>
      </c>
      <c r="C227" s="3">
        <f>IF(ISNUMBER(AVERAGE('20250815_ETF_Options_Exhibits'!C223:C227)),AVERAGE('20250815_ETF_Options_Exhibits'!C223:C227),"")</f>
        <v/>
      </c>
      <c r="D227" s="3">
        <f>IF(ISNUMBER(AVERAGE('20250815_ETF_Options_Exhibits'!D223:D227)),AVERAGE('20250815_ETF_Options_Exhibits'!D223:D227),"")</f>
        <v/>
      </c>
      <c r="E227" s="3">
        <f>IF(ISNUMBER(AVERAGE('20250815_ETF_Options_Exhibits'!E223:E227)),AVERAGE('20250815_ETF_Options_Exhibits'!E223:E227),"")</f>
        <v/>
      </c>
      <c r="F227" s="3">
        <f>IF(ISNUMBER(AVERAGE('20250815_ETF_Options_Exhibits'!F223:F227)),AVERAGE('20250815_ETF_Options_Exhibits'!F223:F227),"")</f>
        <v/>
      </c>
      <c r="G227" s="3">
        <f>IF(ISNUMBER(AVERAGE('20250815_ETF_Options_Exhibits'!G223:G227)),AVERAGE('20250815_ETF_Options_Exhibits'!G223:G227),"")</f>
        <v/>
      </c>
      <c r="H227" s="3">
        <f>IF(ISNUMBER(AVERAGE('20250815_ETF_Options_Exhibits'!H223:H227)),AVERAGE('20250815_ETF_Options_Exhibits'!H223:H227),"")</f>
        <v/>
      </c>
      <c r="I227" s="3">
        <f>IF(ISNUMBER(AVERAGE('20250815_ETF_Options_Exhibits'!I223:I227)),AVERAGE('20250815_ETF_Options_Exhibits'!I223:I227),"")</f>
        <v/>
      </c>
      <c r="J227" s="3">
        <f>IF(ISNUMBER(AVERAGE('20250815_ETF_Options_Exhibits'!J223:J227)),AVERAGE('20250815_ETF_Options_Exhibits'!J223:J227),"")</f>
        <v/>
      </c>
      <c r="K227" s="3">
        <f>IF(ISNUMBER(AVERAGE('20250815_ETF_Options_Exhibits'!K223:K227)),AVERAGE('20250815_ETF_Options_Exhibits'!K223:K227),"")</f>
        <v/>
      </c>
      <c r="L227" s="3">
        <f>IF(ISNUMBER(AVERAGE('20250815_ETF_Options_Exhibits'!L223:L227)),AVERAGE('20250815_ETF_Options_Exhibits'!L223:L227),"")</f>
        <v/>
      </c>
      <c r="M227" s="3">
        <f>IF(ISNUMBER(AVERAGE('20250815_ETF_Options_Exhibits'!M223:M227)),AVERAGE('20250815_ETF_Options_Exhibits'!M223:M227),"")</f>
        <v/>
      </c>
      <c r="N227" s="3">
        <f>IF(ISNUMBER(AVERAGE('20250815_ETF_Options_Exhibits'!N223:N227)),AVERAGE('20250815_ETF_Options_Exhibits'!N223:N227),"")</f>
        <v/>
      </c>
      <c r="O227" s="3">
        <f>IF(ISNUMBER(AVERAGE('20250815_ETF_Options_Exhibits'!O223:O227)),AVERAGE('20250815_ETF_Options_Exhibits'!O223:O227),"")</f>
        <v/>
      </c>
      <c r="P227" s="3">
        <f>IF(ISNUMBER(AVERAGE('20250815_ETF_Options_Exhibits'!P223:P227)),AVERAGE('20250815_ETF_Options_Exhibits'!P223:P227),"")</f>
        <v/>
      </c>
      <c r="Q227" s="3">
        <f>IF(ISNUMBER(AVERAGE('20250815_ETF_Options_Exhibits'!Q223:Q227)),AVERAGE('20250815_ETF_Options_Exhibits'!Q223:Q227),"")</f>
        <v/>
      </c>
      <c r="R227" s="3">
        <f>IF(ISNUMBER(AVERAGE('20250815_ETF_Options_Exhibits'!R223:R227)),AVERAGE('20250815_ETF_Options_Exhibits'!R223:R227),"")</f>
        <v/>
      </c>
      <c r="S227" s="3">
        <f>IF(ISNUMBER(AVERAGE('20250815_ETF_Options_Exhibits'!S223:S227)),AVERAGE('20250815_ETF_Options_Exhibits'!S223:S227),"")</f>
        <v/>
      </c>
      <c r="T227" s="3">
        <f>IF(ISNUMBER(AVERAGE('20250815_ETF_Options_Exhibits'!T223:T227)),AVERAGE('20250815_ETF_Options_Exhibits'!T223:T227),"")</f>
        <v/>
      </c>
      <c r="U227" s="3">
        <f>IF(ISNUMBER(AVERAGE('20250815_ETF_Options_Exhibits'!U223:U227)),AVERAGE('20250815_ETF_Options_Exhibits'!U223:U227),"")</f>
        <v/>
      </c>
      <c r="V227" s="3">
        <f>IF(ISNUMBER(AVERAGE('20250815_ETF_Options_Exhibits'!V223:V227)),AVERAGE('20250815_ETF_Options_Exhibits'!V223:V227),"")</f>
        <v/>
      </c>
      <c r="W227" s="3">
        <f>IF(ISNUMBER(AVERAGE('20250815_ETF_Options_Exhibits'!W223:W227)),AVERAGE('20250815_ETF_Options_Exhibits'!W223:W227),"")</f>
        <v/>
      </c>
      <c r="X227" s="3">
        <f>IF(ISNUMBER(AVERAGE('20250815_ETF_Options_Exhibits'!X223:X227)),AVERAGE('20250815_ETF_Options_Exhibits'!X223:X227),"")</f>
        <v/>
      </c>
      <c r="Y227" s="3">
        <f>IF(ISNUMBER(AVERAGE('20250815_ETF_Options_Exhibits'!Y223:Y227)),AVERAGE('20250815_ETF_Options_Exhibits'!Y223:Y227),"")</f>
        <v/>
      </c>
      <c r="Z227" s="3">
        <f>IF(ISNUMBER(AVERAGE('20250815_ETF_Options_Exhibits'!Z223:Z227)),AVERAGE('20250815_ETF_Options_Exhibits'!Z223:Z227),"")</f>
        <v/>
      </c>
      <c r="AA227" s="3">
        <f>IF(ISNUMBER(AVERAGE('20250815_ETF_Options_Exhibits'!AA223:AA227)),AVERAGE('20250815_ETF_Options_Exhibits'!AA223:AA227),"")</f>
        <v/>
      </c>
    </row>
    <row r="228">
      <c r="A228" s="1" t="n">
        <v>42331</v>
      </c>
      <c r="B228" s="3">
        <f>IF(ISNUMBER(AVERAGE('20250815_ETF_Options_Exhibits'!B224:B228)),AVERAGE('20250815_ETF_Options_Exhibits'!B224:B228),"")</f>
        <v/>
      </c>
      <c r="C228" s="3">
        <f>IF(ISNUMBER(AVERAGE('20250815_ETF_Options_Exhibits'!C224:C228)),AVERAGE('20250815_ETF_Options_Exhibits'!C224:C228),"")</f>
        <v/>
      </c>
      <c r="D228" s="3">
        <f>IF(ISNUMBER(AVERAGE('20250815_ETF_Options_Exhibits'!D224:D228)),AVERAGE('20250815_ETF_Options_Exhibits'!D224:D228),"")</f>
        <v/>
      </c>
      <c r="E228" s="3">
        <f>IF(ISNUMBER(AVERAGE('20250815_ETF_Options_Exhibits'!E224:E228)),AVERAGE('20250815_ETF_Options_Exhibits'!E224:E228),"")</f>
        <v/>
      </c>
      <c r="F228" s="3">
        <f>IF(ISNUMBER(AVERAGE('20250815_ETF_Options_Exhibits'!F224:F228)),AVERAGE('20250815_ETF_Options_Exhibits'!F224:F228),"")</f>
        <v/>
      </c>
      <c r="G228" s="3">
        <f>IF(ISNUMBER(AVERAGE('20250815_ETF_Options_Exhibits'!G224:G228)),AVERAGE('20250815_ETF_Options_Exhibits'!G224:G228),"")</f>
        <v/>
      </c>
      <c r="H228" s="3">
        <f>IF(ISNUMBER(AVERAGE('20250815_ETF_Options_Exhibits'!H224:H228)),AVERAGE('20250815_ETF_Options_Exhibits'!H224:H228),"")</f>
        <v/>
      </c>
      <c r="I228" s="3">
        <f>IF(ISNUMBER(AVERAGE('20250815_ETF_Options_Exhibits'!I224:I228)),AVERAGE('20250815_ETF_Options_Exhibits'!I224:I228),"")</f>
        <v/>
      </c>
      <c r="J228" s="3">
        <f>IF(ISNUMBER(AVERAGE('20250815_ETF_Options_Exhibits'!J224:J228)),AVERAGE('20250815_ETF_Options_Exhibits'!J224:J228),"")</f>
        <v/>
      </c>
      <c r="K228" s="3">
        <f>IF(ISNUMBER(AVERAGE('20250815_ETF_Options_Exhibits'!K224:K228)),AVERAGE('20250815_ETF_Options_Exhibits'!K224:K228),"")</f>
        <v/>
      </c>
      <c r="L228" s="3">
        <f>IF(ISNUMBER(AVERAGE('20250815_ETF_Options_Exhibits'!L224:L228)),AVERAGE('20250815_ETF_Options_Exhibits'!L224:L228),"")</f>
        <v/>
      </c>
      <c r="M228" s="3">
        <f>IF(ISNUMBER(AVERAGE('20250815_ETF_Options_Exhibits'!M224:M228)),AVERAGE('20250815_ETF_Options_Exhibits'!M224:M228),"")</f>
        <v/>
      </c>
      <c r="N228" s="3">
        <f>IF(ISNUMBER(AVERAGE('20250815_ETF_Options_Exhibits'!N224:N228)),AVERAGE('20250815_ETF_Options_Exhibits'!N224:N228),"")</f>
        <v/>
      </c>
      <c r="O228" s="3">
        <f>IF(ISNUMBER(AVERAGE('20250815_ETF_Options_Exhibits'!O224:O228)),AVERAGE('20250815_ETF_Options_Exhibits'!O224:O228),"")</f>
        <v/>
      </c>
      <c r="P228" s="3">
        <f>IF(ISNUMBER(AVERAGE('20250815_ETF_Options_Exhibits'!P224:P228)),AVERAGE('20250815_ETF_Options_Exhibits'!P224:P228),"")</f>
        <v/>
      </c>
      <c r="Q228" s="3">
        <f>IF(ISNUMBER(AVERAGE('20250815_ETF_Options_Exhibits'!Q224:Q228)),AVERAGE('20250815_ETF_Options_Exhibits'!Q224:Q228),"")</f>
        <v/>
      </c>
      <c r="R228" s="3">
        <f>IF(ISNUMBER(AVERAGE('20250815_ETF_Options_Exhibits'!R224:R228)),AVERAGE('20250815_ETF_Options_Exhibits'!R224:R228),"")</f>
        <v/>
      </c>
      <c r="S228" s="3">
        <f>IF(ISNUMBER(AVERAGE('20250815_ETF_Options_Exhibits'!S224:S228)),AVERAGE('20250815_ETF_Options_Exhibits'!S224:S228),"")</f>
        <v/>
      </c>
      <c r="T228" s="3">
        <f>IF(ISNUMBER(AVERAGE('20250815_ETF_Options_Exhibits'!T224:T228)),AVERAGE('20250815_ETF_Options_Exhibits'!T224:T228),"")</f>
        <v/>
      </c>
      <c r="U228" s="3">
        <f>IF(ISNUMBER(AVERAGE('20250815_ETF_Options_Exhibits'!U224:U228)),AVERAGE('20250815_ETF_Options_Exhibits'!U224:U228),"")</f>
        <v/>
      </c>
      <c r="V228" s="3">
        <f>IF(ISNUMBER(AVERAGE('20250815_ETF_Options_Exhibits'!V224:V228)),AVERAGE('20250815_ETF_Options_Exhibits'!V224:V228),"")</f>
        <v/>
      </c>
      <c r="W228" s="3">
        <f>IF(ISNUMBER(AVERAGE('20250815_ETF_Options_Exhibits'!W224:W228)),AVERAGE('20250815_ETF_Options_Exhibits'!W224:W228),"")</f>
        <v/>
      </c>
      <c r="X228" s="3">
        <f>IF(ISNUMBER(AVERAGE('20250815_ETF_Options_Exhibits'!X224:X228)),AVERAGE('20250815_ETF_Options_Exhibits'!X224:X228),"")</f>
        <v/>
      </c>
      <c r="Y228" s="3">
        <f>IF(ISNUMBER(AVERAGE('20250815_ETF_Options_Exhibits'!Y224:Y228)),AVERAGE('20250815_ETF_Options_Exhibits'!Y224:Y228),"")</f>
        <v/>
      </c>
      <c r="Z228" s="3">
        <f>IF(ISNUMBER(AVERAGE('20250815_ETF_Options_Exhibits'!Z224:Z228)),AVERAGE('20250815_ETF_Options_Exhibits'!Z224:Z228),"")</f>
        <v/>
      </c>
      <c r="AA228" s="3">
        <f>IF(ISNUMBER(AVERAGE('20250815_ETF_Options_Exhibits'!AA224:AA228)),AVERAGE('20250815_ETF_Options_Exhibits'!AA224:AA228),"")</f>
        <v/>
      </c>
    </row>
    <row r="229">
      <c r="A229" s="1" t="n">
        <v>42332</v>
      </c>
      <c r="B229" s="3">
        <f>IF(ISNUMBER(AVERAGE('20250815_ETF_Options_Exhibits'!B225:B229)),AVERAGE('20250815_ETF_Options_Exhibits'!B225:B229),"")</f>
        <v/>
      </c>
      <c r="C229" s="3">
        <f>IF(ISNUMBER(AVERAGE('20250815_ETF_Options_Exhibits'!C225:C229)),AVERAGE('20250815_ETF_Options_Exhibits'!C225:C229),"")</f>
        <v/>
      </c>
      <c r="D229" s="3">
        <f>IF(ISNUMBER(AVERAGE('20250815_ETF_Options_Exhibits'!D225:D229)),AVERAGE('20250815_ETF_Options_Exhibits'!D225:D229),"")</f>
        <v/>
      </c>
      <c r="E229" s="3">
        <f>IF(ISNUMBER(AVERAGE('20250815_ETF_Options_Exhibits'!E225:E229)),AVERAGE('20250815_ETF_Options_Exhibits'!E225:E229),"")</f>
        <v/>
      </c>
      <c r="F229" s="3">
        <f>IF(ISNUMBER(AVERAGE('20250815_ETF_Options_Exhibits'!F225:F229)),AVERAGE('20250815_ETF_Options_Exhibits'!F225:F229),"")</f>
        <v/>
      </c>
      <c r="G229" s="3">
        <f>IF(ISNUMBER(AVERAGE('20250815_ETF_Options_Exhibits'!G225:G229)),AVERAGE('20250815_ETF_Options_Exhibits'!G225:G229),"")</f>
        <v/>
      </c>
      <c r="H229" s="3">
        <f>IF(ISNUMBER(AVERAGE('20250815_ETF_Options_Exhibits'!H225:H229)),AVERAGE('20250815_ETF_Options_Exhibits'!H225:H229),"")</f>
        <v/>
      </c>
      <c r="I229" s="3">
        <f>IF(ISNUMBER(AVERAGE('20250815_ETF_Options_Exhibits'!I225:I229)),AVERAGE('20250815_ETF_Options_Exhibits'!I225:I229),"")</f>
        <v/>
      </c>
      <c r="J229" s="3">
        <f>IF(ISNUMBER(AVERAGE('20250815_ETF_Options_Exhibits'!J225:J229)),AVERAGE('20250815_ETF_Options_Exhibits'!J225:J229),"")</f>
        <v/>
      </c>
      <c r="K229" s="3">
        <f>IF(ISNUMBER(AVERAGE('20250815_ETF_Options_Exhibits'!K225:K229)),AVERAGE('20250815_ETF_Options_Exhibits'!K225:K229),"")</f>
        <v/>
      </c>
      <c r="L229" s="3">
        <f>IF(ISNUMBER(AVERAGE('20250815_ETF_Options_Exhibits'!L225:L229)),AVERAGE('20250815_ETF_Options_Exhibits'!L225:L229),"")</f>
        <v/>
      </c>
      <c r="M229" s="3">
        <f>IF(ISNUMBER(AVERAGE('20250815_ETF_Options_Exhibits'!M225:M229)),AVERAGE('20250815_ETF_Options_Exhibits'!M225:M229),"")</f>
        <v/>
      </c>
      <c r="N229" s="3">
        <f>IF(ISNUMBER(AVERAGE('20250815_ETF_Options_Exhibits'!N225:N229)),AVERAGE('20250815_ETF_Options_Exhibits'!N225:N229),"")</f>
        <v/>
      </c>
      <c r="O229" s="3">
        <f>IF(ISNUMBER(AVERAGE('20250815_ETF_Options_Exhibits'!O225:O229)),AVERAGE('20250815_ETF_Options_Exhibits'!O225:O229),"")</f>
        <v/>
      </c>
      <c r="P229" s="3">
        <f>IF(ISNUMBER(AVERAGE('20250815_ETF_Options_Exhibits'!P225:P229)),AVERAGE('20250815_ETF_Options_Exhibits'!P225:P229),"")</f>
        <v/>
      </c>
      <c r="Q229" s="3">
        <f>IF(ISNUMBER(AVERAGE('20250815_ETF_Options_Exhibits'!Q225:Q229)),AVERAGE('20250815_ETF_Options_Exhibits'!Q225:Q229),"")</f>
        <v/>
      </c>
      <c r="R229" s="3">
        <f>IF(ISNUMBER(AVERAGE('20250815_ETF_Options_Exhibits'!R225:R229)),AVERAGE('20250815_ETF_Options_Exhibits'!R225:R229),"")</f>
        <v/>
      </c>
      <c r="S229" s="3">
        <f>IF(ISNUMBER(AVERAGE('20250815_ETF_Options_Exhibits'!S225:S229)),AVERAGE('20250815_ETF_Options_Exhibits'!S225:S229),"")</f>
        <v/>
      </c>
      <c r="T229" s="3">
        <f>IF(ISNUMBER(AVERAGE('20250815_ETF_Options_Exhibits'!T225:T229)),AVERAGE('20250815_ETF_Options_Exhibits'!T225:T229),"")</f>
        <v/>
      </c>
      <c r="U229" s="3">
        <f>IF(ISNUMBER(AVERAGE('20250815_ETF_Options_Exhibits'!U225:U229)),AVERAGE('20250815_ETF_Options_Exhibits'!U225:U229),"")</f>
        <v/>
      </c>
      <c r="V229" s="3">
        <f>IF(ISNUMBER(AVERAGE('20250815_ETF_Options_Exhibits'!V225:V229)),AVERAGE('20250815_ETF_Options_Exhibits'!V225:V229),"")</f>
        <v/>
      </c>
      <c r="W229" s="3">
        <f>IF(ISNUMBER(AVERAGE('20250815_ETF_Options_Exhibits'!W225:W229)),AVERAGE('20250815_ETF_Options_Exhibits'!W225:W229),"")</f>
        <v/>
      </c>
      <c r="X229" s="3">
        <f>IF(ISNUMBER(AVERAGE('20250815_ETF_Options_Exhibits'!X225:X229)),AVERAGE('20250815_ETF_Options_Exhibits'!X225:X229),"")</f>
        <v/>
      </c>
      <c r="Y229" s="3">
        <f>IF(ISNUMBER(AVERAGE('20250815_ETF_Options_Exhibits'!Y225:Y229)),AVERAGE('20250815_ETF_Options_Exhibits'!Y225:Y229),"")</f>
        <v/>
      </c>
      <c r="Z229" s="3">
        <f>IF(ISNUMBER(AVERAGE('20250815_ETF_Options_Exhibits'!Z225:Z229)),AVERAGE('20250815_ETF_Options_Exhibits'!Z225:Z229),"")</f>
        <v/>
      </c>
      <c r="AA229" s="3">
        <f>IF(ISNUMBER(AVERAGE('20250815_ETF_Options_Exhibits'!AA225:AA229)),AVERAGE('20250815_ETF_Options_Exhibits'!AA225:AA229),"")</f>
        <v/>
      </c>
    </row>
    <row r="230">
      <c r="A230" s="1" t="n">
        <v>42333</v>
      </c>
      <c r="B230" s="3">
        <f>IF(ISNUMBER(AVERAGE('20250815_ETF_Options_Exhibits'!B226:B230)),AVERAGE('20250815_ETF_Options_Exhibits'!B226:B230),"")</f>
        <v/>
      </c>
      <c r="C230" s="3">
        <f>IF(ISNUMBER(AVERAGE('20250815_ETF_Options_Exhibits'!C226:C230)),AVERAGE('20250815_ETF_Options_Exhibits'!C226:C230),"")</f>
        <v/>
      </c>
      <c r="D230" s="3">
        <f>IF(ISNUMBER(AVERAGE('20250815_ETF_Options_Exhibits'!D226:D230)),AVERAGE('20250815_ETF_Options_Exhibits'!D226:D230),"")</f>
        <v/>
      </c>
      <c r="E230" s="3">
        <f>IF(ISNUMBER(AVERAGE('20250815_ETF_Options_Exhibits'!E226:E230)),AVERAGE('20250815_ETF_Options_Exhibits'!E226:E230),"")</f>
        <v/>
      </c>
      <c r="F230" s="3">
        <f>IF(ISNUMBER(AVERAGE('20250815_ETF_Options_Exhibits'!F226:F230)),AVERAGE('20250815_ETF_Options_Exhibits'!F226:F230),"")</f>
        <v/>
      </c>
      <c r="G230" s="3">
        <f>IF(ISNUMBER(AVERAGE('20250815_ETF_Options_Exhibits'!G226:G230)),AVERAGE('20250815_ETF_Options_Exhibits'!G226:G230),"")</f>
        <v/>
      </c>
      <c r="H230" s="3">
        <f>IF(ISNUMBER(AVERAGE('20250815_ETF_Options_Exhibits'!H226:H230)),AVERAGE('20250815_ETF_Options_Exhibits'!H226:H230),"")</f>
        <v/>
      </c>
      <c r="I230" s="3">
        <f>IF(ISNUMBER(AVERAGE('20250815_ETF_Options_Exhibits'!I226:I230)),AVERAGE('20250815_ETF_Options_Exhibits'!I226:I230),"")</f>
        <v/>
      </c>
      <c r="J230" s="3">
        <f>IF(ISNUMBER(AVERAGE('20250815_ETF_Options_Exhibits'!J226:J230)),AVERAGE('20250815_ETF_Options_Exhibits'!J226:J230),"")</f>
        <v/>
      </c>
      <c r="K230" s="3">
        <f>IF(ISNUMBER(AVERAGE('20250815_ETF_Options_Exhibits'!K226:K230)),AVERAGE('20250815_ETF_Options_Exhibits'!K226:K230),"")</f>
        <v/>
      </c>
      <c r="L230" s="3">
        <f>IF(ISNUMBER(AVERAGE('20250815_ETF_Options_Exhibits'!L226:L230)),AVERAGE('20250815_ETF_Options_Exhibits'!L226:L230),"")</f>
        <v/>
      </c>
      <c r="M230" s="3">
        <f>IF(ISNUMBER(AVERAGE('20250815_ETF_Options_Exhibits'!M226:M230)),AVERAGE('20250815_ETF_Options_Exhibits'!M226:M230),"")</f>
        <v/>
      </c>
      <c r="N230" s="3">
        <f>IF(ISNUMBER(AVERAGE('20250815_ETF_Options_Exhibits'!N226:N230)),AVERAGE('20250815_ETF_Options_Exhibits'!N226:N230),"")</f>
        <v/>
      </c>
      <c r="O230" s="3">
        <f>IF(ISNUMBER(AVERAGE('20250815_ETF_Options_Exhibits'!O226:O230)),AVERAGE('20250815_ETF_Options_Exhibits'!O226:O230),"")</f>
        <v/>
      </c>
      <c r="P230" s="3">
        <f>IF(ISNUMBER(AVERAGE('20250815_ETF_Options_Exhibits'!P226:P230)),AVERAGE('20250815_ETF_Options_Exhibits'!P226:P230),"")</f>
        <v/>
      </c>
      <c r="Q230" s="3">
        <f>IF(ISNUMBER(AVERAGE('20250815_ETF_Options_Exhibits'!Q226:Q230)),AVERAGE('20250815_ETF_Options_Exhibits'!Q226:Q230),"")</f>
        <v/>
      </c>
      <c r="R230" s="3">
        <f>IF(ISNUMBER(AVERAGE('20250815_ETF_Options_Exhibits'!R226:R230)),AVERAGE('20250815_ETF_Options_Exhibits'!R226:R230),"")</f>
        <v/>
      </c>
      <c r="S230" s="3">
        <f>IF(ISNUMBER(AVERAGE('20250815_ETF_Options_Exhibits'!S226:S230)),AVERAGE('20250815_ETF_Options_Exhibits'!S226:S230),"")</f>
        <v/>
      </c>
      <c r="T230" s="3">
        <f>IF(ISNUMBER(AVERAGE('20250815_ETF_Options_Exhibits'!T226:T230)),AVERAGE('20250815_ETF_Options_Exhibits'!T226:T230),"")</f>
        <v/>
      </c>
      <c r="U230" s="3">
        <f>IF(ISNUMBER(AVERAGE('20250815_ETF_Options_Exhibits'!U226:U230)),AVERAGE('20250815_ETF_Options_Exhibits'!U226:U230),"")</f>
        <v/>
      </c>
      <c r="V230" s="3">
        <f>IF(ISNUMBER(AVERAGE('20250815_ETF_Options_Exhibits'!V226:V230)),AVERAGE('20250815_ETF_Options_Exhibits'!V226:V230),"")</f>
        <v/>
      </c>
      <c r="W230" s="3">
        <f>IF(ISNUMBER(AVERAGE('20250815_ETF_Options_Exhibits'!W226:W230)),AVERAGE('20250815_ETF_Options_Exhibits'!W226:W230),"")</f>
        <v/>
      </c>
      <c r="X230" s="3">
        <f>IF(ISNUMBER(AVERAGE('20250815_ETF_Options_Exhibits'!X226:X230)),AVERAGE('20250815_ETF_Options_Exhibits'!X226:X230),"")</f>
        <v/>
      </c>
      <c r="Y230" s="3">
        <f>IF(ISNUMBER(AVERAGE('20250815_ETF_Options_Exhibits'!Y226:Y230)),AVERAGE('20250815_ETF_Options_Exhibits'!Y226:Y230),"")</f>
        <v/>
      </c>
      <c r="Z230" s="3">
        <f>IF(ISNUMBER(AVERAGE('20250815_ETF_Options_Exhibits'!Z226:Z230)),AVERAGE('20250815_ETF_Options_Exhibits'!Z226:Z230),"")</f>
        <v/>
      </c>
      <c r="AA230" s="3">
        <f>IF(ISNUMBER(AVERAGE('20250815_ETF_Options_Exhibits'!AA226:AA230)),AVERAGE('20250815_ETF_Options_Exhibits'!AA226:AA230),"")</f>
        <v/>
      </c>
    </row>
    <row r="231">
      <c r="A231" s="1" t="n">
        <v>42335</v>
      </c>
      <c r="B231" s="3">
        <f>IF(ISNUMBER(AVERAGE('20250815_ETF_Options_Exhibits'!B227:B231)),AVERAGE('20250815_ETF_Options_Exhibits'!B227:B231),"")</f>
        <v/>
      </c>
      <c r="C231" s="3">
        <f>IF(ISNUMBER(AVERAGE('20250815_ETF_Options_Exhibits'!C227:C231)),AVERAGE('20250815_ETF_Options_Exhibits'!C227:C231),"")</f>
        <v/>
      </c>
      <c r="D231" s="3">
        <f>IF(ISNUMBER(AVERAGE('20250815_ETF_Options_Exhibits'!D227:D231)),AVERAGE('20250815_ETF_Options_Exhibits'!D227:D231),"")</f>
        <v/>
      </c>
      <c r="E231" s="3">
        <f>IF(ISNUMBER(AVERAGE('20250815_ETF_Options_Exhibits'!E227:E231)),AVERAGE('20250815_ETF_Options_Exhibits'!E227:E231),"")</f>
        <v/>
      </c>
      <c r="F231" s="3">
        <f>IF(ISNUMBER(AVERAGE('20250815_ETF_Options_Exhibits'!F227:F231)),AVERAGE('20250815_ETF_Options_Exhibits'!F227:F231),"")</f>
        <v/>
      </c>
      <c r="G231" s="3">
        <f>IF(ISNUMBER(AVERAGE('20250815_ETF_Options_Exhibits'!G227:G231)),AVERAGE('20250815_ETF_Options_Exhibits'!G227:G231),"")</f>
        <v/>
      </c>
      <c r="H231" s="3">
        <f>IF(ISNUMBER(AVERAGE('20250815_ETF_Options_Exhibits'!H227:H231)),AVERAGE('20250815_ETF_Options_Exhibits'!H227:H231),"")</f>
        <v/>
      </c>
      <c r="I231" s="3">
        <f>IF(ISNUMBER(AVERAGE('20250815_ETF_Options_Exhibits'!I227:I231)),AVERAGE('20250815_ETF_Options_Exhibits'!I227:I231),"")</f>
        <v/>
      </c>
      <c r="J231" s="3">
        <f>IF(ISNUMBER(AVERAGE('20250815_ETF_Options_Exhibits'!J227:J231)),AVERAGE('20250815_ETF_Options_Exhibits'!J227:J231),"")</f>
        <v/>
      </c>
      <c r="K231" s="3">
        <f>IF(ISNUMBER(AVERAGE('20250815_ETF_Options_Exhibits'!K227:K231)),AVERAGE('20250815_ETF_Options_Exhibits'!K227:K231),"")</f>
        <v/>
      </c>
      <c r="L231" s="3">
        <f>IF(ISNUMBER(AVERAGE('20250815_ETF_Options_Exhibits'!L227:L231)),AVERAGE('20250815_ETF_Options_Exhibits'!L227:L231),"")</f>
        <v/>
      </c>
      <c r="M231" s="3">
        <f>IF(ISNUMBER(AVERAGE('20250815_ETF_Options_Exhibits'!M227:M231)),AVERAGE('20250815_ETF_Options_Exhibits'!M227:M231),"")</f>
        <v/>
      </c>
      <c r="N231" s="3">
        <f>IF(ISNUMBER(AVERAGE('20250815_ETF_Options_Exhibits'!N227:N231)),AVERAGE('20250815_ETF_Options_Exhibits'!N227:N231),"")</f>
        <v/>
      </c>
      <c r="O231" s="3">
        <f>IF(ISNUMBER(AVERAGE('20250815_ETF_Options_Exhibits'!O227:O231)),AVERAGE('20250815_ETF_Options_Exhibits'!O227:O231),"")</f>
        <v/>
      </c>
      <c r="P231" s="3">
        <f>IF(ISNUMBER(AVERAGE('20250815_ETF_Options_Exhibits'!P227:P231)),AVERAGE('20250815_ETF_Options_Exhibits'!P227:P231),"")</f>
        <v/>
      </c>
      <c r="Q231" s="3">
        <f>IF(ISNUMBER(AVERAGE('20250815_ETF_Options_Exhibits'!Q227:Q231)),AVERAGE('20250815_ETF_Options_Exhibits'!Q227:Q231),"")</f>
        <v/>
      </c>
      <c r="R231" s="3">
        <f>IF(ISNUMBER(AVERAGE('20250815_ETF_Options_Exhibits'!R227:R231)),AVERAGE('20250815_ETF_Options_Exhibits'!R227:R231),"")</f>
        <v/>
      </c>
      <c r="S231" s="3">
        <f>IF(ISNUMBER(AVERAGE('20250815_ETF_Options_Exhibits'!S227:S231)),AVERAGE('20250815_ETF_Options_Exhibits'!S227:S231),"")</f>
        <v/>
      </c>
      <c r="T231" s="3">
        <f>IF(ISNUMBER(AVERAGE('20250815_ETF_Options_Exhibits'!T227:T231)),AVERAGE('20250815_ETF_Options_Exhibits'!T227:T231),"")</f>
        <v/>
      </c>
      <c r="U231" s="3">
        <f>IF(ISNUMBER(AVERAGE('20250815_ETF_Options_Exhibits'!U227:U231)),AVERAGE('20250815_ETF_Options_Exhibits'!U227:U231),"")</f>
        <v/>
      </c>
      <c r="V231" s="3">
        <f>IF(ISNUMBER(AVERAGE('20250815_ETF_Options_Exhibits'!V227:V231)),AVERAGE('20250815_ETF_Options_Exhibits'!V227:V231),"")</f>
        <v/>
      </c>
      <c r="W231" s="3">
        <f>IF(ISNUMBER(AVERAGE('20250815_ETF_Options_Exhibits'!W227:W231)),AVERAGE('20250815_ETF_Options_Exhibits'!W227:W231),"")</f>
        <v/>
      </c>
      <c r="X231" s="3">
        <f>IF(ISNUMBER(AVERAGE('20250815_ETF_Options_Exhibits'!X227:X231)),AVERAGE('20250815_ETF_Options_Exhibits'!X227:X231),"")</f>
        <v/>
      </c>
      <c r="Y231" s="3">
        <f>IF(ISNUMBER(AVERAGE('20250815_ETF_Options_Exhibits'!Y227:Y231)),AVERAGE('20250815_ETF_Options_Exhibits'!Y227:Y231),"")</f>
        <v/>
      </c>
      <c r="Z231" s="3">
        <f>IF(ISNUMBER(AVERAGE('20250815_ETF_Options_Exhibits'!Z227:Z231)),AVERAGE('20250815_ETF_Options_Exhibits'!Z227:Z231),"")</f>
        <v/>
      </c>
      <c r="AA231" s="3">
        <f>IF(ISNUMBER(AVERAGE('20250815_ETF_Options_Exhibits'!AA227:AA231)),AVERAGE('20250815_ETF_Options_Exhibits'!AA227:AA231),"")</f>
        <v/>
      </c>
    </row>
    <row r="232">
      <c r="A232" s="1" t="n">
        <v>42338</v>
      </c>
      <c r="B232" s="3">
        <f>IF(ISNUMBER(AVERAGE('20250815_ETF_Options_Exhibits'!B228:B232)),AVERAGE('20250815_ETF_Options_Exhibits'!B228:B232),"")</f>
        <v/>
      </c>
      <c r="C232" s="3">
        <f>IF(ISNUMBER(AVERAGE('20250815_ETF_Options_Exhibits'!C228:C232)),AVERAGE('20250815_ETF_Options_Exhibits'!C228:C232),"")</f>
        <v/>
      </c>
      <c r="D232" s="3">
        <f>IF(ISNUMBER(AVERAGE('20250815_ETF_Options_Exhibits'!D228:D232)),AVERAGE('20250815_ETF_Options_Exhibits'!D228:D232),"")</f>
        <v/>
      </c>
      <c r="E232" s="3">
        <f>IF(ISNUMBER(AVERAGE('20250815_ETF_Options_Exhibits'!E228:E232)),AVERAGE('20250815_ETF_Options_Exhibits'!E228:E232),"")</f>
        <v/>
      </c>
      <c r="F232" s="3">
        <f>IF(ISNUMBER(AVERAGE('20250815_ETF_Options_Exhibits'!F228:F232)),AVERAGE('20250815_ETF_Options_Exhibits'!F228:F232),"")</f>
        <v/>
      </c>
      <c r="G232" s="3">
        <f>IF(ISNUMBER(AVERAGE('20250815_ETF_Options_Exhibits'!G228:G232)),AVERAGE('20250815_ETF_Options_Exhibits'!G228:G232),"")</f>
        <v/>
      </c>
      <c r="H232" s="3">
        <f>IF(ISNUMBER(AVERAGE('20250815_ETF_Options_Exhibits'!H228:H232)),AVERAGE('20250815_ETF_Options_Exhibits'!H228:H232),"")</f>
        <v/>
      </c>
      <c r="I232" s="3">
        <f>IF(ISNUMBER(AVERAGE('20250815_ETF_Options_Exhibits'!I228:I232)),AVERAGE('20250815_ETF_Options_Exhibits'!I228:I232),"")</f>
        <v/>
      </c>
      <c r="J232" s="3">
        <f>IF(ISNUMBER(AVERAGE('20250815_ETF_Options_Exhibits'!J228:J232)),AVERAGE('20250815_ETF_Options_Exhibits'!J228:J232),"")</f>
        <v/>
      </c>
      <c r="K232" s="3">
        <f>IF(ISNUMBER(AVERAGE('20250815_ETF_Options_Exhibits'!K228:K232)),AVERAGE('20250815_ETF_Options_Exhibits'!K228:K232),"")</f>
        <v/>
      </c>
      <c r="L232" s="3">
        <f>IF(ISNUMBER(AVERAGE('20250815_ETF_Options_Exhibits'!L228:L232)),AVERAGE('20250815_ETF_Options_Exhibits'!L228:L232),"")</f>
        <v/>
      </c>
      <c r="M232" s="3">
        <f>IF(ISNUMBER(AVERAGE('20250815_ETF_Options_Exhibits'!M228:M232)),AVERAGE('20250815_ETF_Options_Exhibits'!M228:M232),"")</f>
        <v/>
      </c>
      <c r="N232" s="3">
        <f>IF(ISNUMBER(AVERAGE('20250815_ETF_Options_Exhibits'!N228:N232)),AVERAGE('20250815_ETF_Options_Exhibits'!N228:N232),"")</f>
        <v/>
      </c>
      <c r="O232" s="3">
        <f>IF(ISNUMBER(AVERAGE('20250815_ETF_Options_Exhibits'!O228:O232)),AVERAGE('20250815_ETF_Options_Exhibits'!O228:O232),"")</f>
        <v/>
      </c>
      <c r="P232" s="3">
        <f>IF(ISNUMBER(AVERAGE('20250815_ETF_Options_Exhibits'!P228:P232)),AVERAGE('20250815_ETF_Options_Exhibits'!P228:P232),"")</f>
        <v/>
      </c>
      <c r="Q232" s="3">
        <f>IF(ISNUMBER(AVERAGE('20250815_ETF_Options_Exhibits'!Q228:Q232)),AVERAGE('20250815_ETF_Options_Exhibits'!Q228:Q232),"")</f>
        <v/>
      </c>
      <c r="R232" s="3">
        <f>IF(ISNUMBER(AVERAGE('20250815_ETF_Options_Exhibits'!R228:R232)),AVERAGE('20250815_ETF_Options_Exhibits'!R228:R232),"")</f>
        <v/>
      </c>
      <c r="S232" s="3">
        <f>IF(ISNUMBER(AVERAGE('20250815_ETF_Options_Exhibits'!S228:S232)),AVERAGE('20250815_ETF_Options_Exhibits'!S228:S232),"")</f>
        <v/>
      </c>
      <c r="T232" s="3">
        <f>IF(ISNUMBER(AVERAGE('20250815_ETF_Options_Exhibits'!T228:T232)),AVERAGE('20250815_ETF_Options_Exhibits'!T228:T232),"")</f>
        <v/>
      </c>
      <c r="U232" s="3">
        <f>IF(ISNUMBER(AVERAGE('20250815_ETF_Options_Exhibits'!U228:U232)),AVERAGE('20250815_ETF_Options_Exhibits'!U228:U232),"")</f>
        <v/>
      </c>
      <c r="V232" s="3">
        <f>IF(ISNUMBER(AVERAGE('20250815_ETF_Options_Exhibits'!V228:V232)),AVERAGE('20250815_ETF_Options_Exhibits'!V228:V232),"")</f>
        <v/>
      </c>
      <c r="W232" s="3">
        <f>IF(ISNUMBER(AVERAGE('20250815_ETF_Options_Exhibits'!W228:W232)),AVERAGE('20250815_ETF_Options_Exhibits'!W228:W232),"")</f>
        <v/>
      </c>
      <c r="X232" s="3">
        <f>IF(ISNUMBER(AVERAGE('20250815_ETF_Options_Exhibits'!X228:X232)),AVERAGE('20250815_ETF_Options_Exhibits'!X228:X232),"")</f>
        <v/>
      </c>
      <c r="Y232" s="3">
        <f>IF(ISNUMBER(AVERAGE('20250815_ETF_Options_Exhibits'!Y228:Y232)),AVERAGE('20250815_ETF_Options_Exhibits'!Y228:Y232),"")</f>
        <v/>
      </c>
      <c r="Z232" s="3">
        <f>IF(ISNUMBER(AVERAGE('20250815_ETF_Options_Exhibits'!Z228:Z232)),AVERAGE('20250815_ETF_Options_Exhibits'!Z228:Z232),"")</f>
        <v/>
      </c>
      <c r="AA232" s="3">
        <f>IF(ISNUMBER(AVERAGE('20250815_ETF_Options_Exhibits'!AA228:AA232)),AVERAGE('20250815_ETF_Options_Exhibits'!AA228:AA232),"")</f>
        <v/>
      </c>
    </row>
    <row r="233">
      <c r="A233" s="1" t="n">
        <v>42339</v>
      </c>
      <c r="B233" s="3">
        <f>IF(ISNUMBER(AVERAGE('20250815_ETF_Options_Exhibits'!B229:B233)),AVERAGE('20250815_ETF_Options_Exhibits'!B229:B233),"")</f>
        <v/>
      </c>
      <c r="C233" s="3">
        <f>IF(ISNUMBER(AVERAGE('20250815_ETF_Options_Exhibits'!C229:C233)),AVERAGE('20250815_ETF_Options_Exhibits'!C229:C233),"")</f>
        <v/>
      </c>
      <c r="D233" s="3">
        <f>IF(ISNUMBER(AVERAGE('20250815_ETF_Options_Exhibits'!D229:D233)),AVERAGE('20250815_ETF_Options_Exhibits'!D229:D233),"")</f>
        <v/>
      </c>
      <c r="E233" s="3">
        <f>IF(ISNUMBER(AVERAGE('20250815_ETF_Options_Exhibits'!E229:E233)),AVERAGE('20250815_ETF_Options_Exhibits'!E229:E233),"")</f>
        <v/>
      </c>
      <c r="F233" s="3">
        <f>IF(ISNUMBER(AVERAGE('20250815_ETF_Options_Exhibits'!F229:F233)),AVERAGE('20250815_ETF_Options_Exhibits'!F229:F233),"")</f>
        <v/>
      </c>
      <c r="G233" s="3">
        <f>IF(ISNUMBER(AVERAGE('20250815_ETF_Options_Exhibits'!G229:G233)),AVERAGE('20250815_ETF_Options_Exhibits'!G229:G233),"")</f>
        <v/>
      </c>
      <c r="H233" s="3">
        <f>IF(ISNUMBER(AVERAGE('20250815_ETF_Options_Exhibits'!H229:H233)),AVERAGE('20250815_ETF_Options_Exhibits'!H229:H233),"")</f>
        <v/>
      </c>
      <c r="I233" s="3">
        <f>IF(ISNUMBER(AVERAGE('20250815_ETF_Options_Exhibits'!I229:I233)),AVERAGE('20250815_ETF_Options_Exhibits'!I229:I233),"")</f>
        <v/>
      </c>
      <c r="J233" s="3">
        <f>IF(ISNUMBER(AVERAGE('20250815_ETF_Options_Exhibits'!J229:J233)),AVERAGE('20250815_ETF_Options_Exhibits'!J229:J233),"")</f>
        <v/>
      </c>
      <c r="K233" s="3">
        <f>IF(ISNUMBER(AVERAGE('20250815_ETF_Options_Exhibits'!K229:K233)),AVERAGE('20250815_ETF_Options_Exhibits'!K229:K233),"")</f>
        <v/>
      </c>
      <c r="L233" s="3">
        <f>IF(ISNUMBER(AVERAGE('20250815_ETF_Options_Exhibits'!L229:L233)),AVERAGE('20250815_ETF_Options_Exhibits'!L229:L233),"")</f>
        <v/>
      </c>
      <c r="M233" s="3">
        <f>IF(ISNUMBER(AVERAGE('20250815_ETF_Options_Exhibits'!M229:M233)),AVERAGE('20250815_ETF_Options_Exhibits'!M229:M233),"")</f>
        <v/>
      </c>
      <c r="N233" s="3">
        <f>IF(ISNUMBER(AVERAGE('20250815_ETF_Options_Exhibits'!N229:N233)),AVERAGE('20250815_ETF_Options_Exhibits'!N229:N233),"")</f>
        <v/>
      </c>
      <c r="O233" s="3">
        <f>IF(ISNUMBER(AVERAGE('20250815_ETF_Options_Exhibits'!O229:O233)),AVERAGE('20250815_ETF_Options_Exhibits'!O229:O233),"")</f>
        <v/>
      </c>
      <c r="P233" s="3">
        <f>IF(ISNUMBER(AVERAGE('20250815_ETF_Options_Exhibits'!P229:P233)),AVERAGE('20250815_ETF_Options_Exhibits'!P229:P233),"")</f>
        <v/>
      </c>
      <c r="Q233" s="3">
        <f>IF(ISNUMBER(AVERAGE('20250815_ETF_Options_Exhibits'!Q229:Q233)),AVERAGE('20250815_ETF_Options_Exhibits'!Q229:Q233),"")</f>
        <v/>
      </c>
      <c r="R233" s="3">
        <f>IF(ISNUMBER(AVERAGE('20250815_ETF_Options_Exhibits'!R229:R233)),AVERAGE('20250815_ETF_Options_Exhibits'!R229:R233),"")</f>
        <v/>
      </c>
      <c r="S233" s="3">
        <f>IF(ISNUMBER(AVERAGE('20250815_ETF_Options_Exhibits'!S229:S233)),AVERAGE('20250815_ETF_Options_Exhibits'!S229:S233),"")</f>
        <v/>
      </c>
      <c r="T233" s="3">
        <f>IF(ISNUMBER(AVERAGE('20250815_ETF_Options_Exhibits'!T229:T233)),AVERAGE('20250815_ETF_Options_Exhibits'!T229:T233),"")</f>
        <v/>
      </c>
      <c r="U233" s="3">
        <f>IF(ISNUMBER(AVERAGE('20250815_ETF_Options_Exhibits'!U229:U233)),AVERAGE('20250815_ETF_Options_Exhibits'!U229:U233),"")</f>
        <v/>
      </c>
      <c r="V233" s="3">
        <f>IF(ISNUMBER(AVERAGE('20250815_ETF_Options_Exhibits'!V229:V233)),AVERAGE('20250815_ETF_Options_Exhibits'!V229:V233),"")</f>
        <v/>
      </c>
      <c r="W233" s="3">
        <f>IF(ISNUMBER(AVERAGE('20250815_ETF_Options_Exhibits'!W229:W233)),AVERAGE('20250815_ETF_Options_Exhibits'!W229:W233),"")</f>
        <v/>
      </c>
      <c r="X233" s="3">
        <f>IF(ISNUMBER(AVERAGE('20250815_ETF_Options_Exhibits'!X229:X233)),AVERAGE('20250815_ETF_Options_Exhibits'!X229:X233),"")</f>
        <v/>
      </c>
      <c r="Y233" s="3">
        <f>IF(ISNUMBER(AVERAGE('20250815_ETF_Options_Exhibits'!Y229:Y233)),AVERAGE('20250815_ETF_Options_Exhibits'!Y229:Y233),"")</f>
        <v/>
      </c>
      <c r="Z233" s="3">
        <f>IF(ISNUMBER(AVERAGE('20250815_ETF_Options_Exhibits'!Z229:Z233)),AVERAGE('20250815_ETF_Options_Exhibits'!Z229:Z233),"")</f>
        <v/>
      </c>
      <c r="AA233" s="3">
        <f>IF(ISNUMBER(AVERAGE('20250815_ETF_Options_Exhibits'!AA229:AA233)),AVERAGE('20250815_ETF_Options_Exhibits'!AA229:AA233),"")</f>
        <v/>
      </c>
    </row>
    <row r="234">
      <c r="A234" s="1" t="n">
        <v>42340</v>
      </c>
      <c r="B234" s="3">
        <f>IF(ISNUMBER(AVERAGE('20250815_ETF_Options_Exhibits'!B230:B234)),AVERAGE('20250815_ETF_Options_Exhibits'!B230:B234),"")</f>
        <v/>
      </c>
      <c r="C234" s="3">
        <f>IF(ISNUMBER(AVERAGE('20250815_ETF_Options_Exhibits'!C230:C234)),AVERAGE('20250815_ETF_Options_Exhibits'!C230:C234),"")</f>
        <v/>
      </c>
      <c r="D234" s="3">
        <f>IF(ISNUMBER(AVERAGE('20250815_ETF_Options_Exhibits'!D230:D234)),AVERAGE('20250815_ETF_Options_Exhibits'!D230:D234),"")</f>
        <v/>
      </c>
      <c r="E234" s="3">
        <f>IF(ISNUMBER(AVERAGE('20250815_ETF_Options_Exhibits'!E230:E234)),AVERAGE('20250815_ETF_Options_Exhibits'!E230:E234),"")</f>
        <v/>
      </c>
      <c r="F234" s="3">
        <f>IF(ISNUMBER(AVERAGE('20250815_ETF_Options_Exhibits'!F230:F234)),AVERAGE('20250815_ETF_Options_Exhibits'!F230:F234),"")</f>
        <v/>
      </c>
      <c r="G234" s="3">
        <f>IF(ISNUMBER(AVERAGE('20250815_ETF_Options_Exhibits'!G230:G234)),AVERAGE('20250815_ETF_Options_Exhibits'!G230:G234),"")</f>
        <v/>
      </c>
      <c r="H234" s="3">
        <f>IF(ISNUMBER(AVERAGE('20250815_ETF_Options_Exhibits'!H230:H234)),AVERAGE('20250815_ETF_Options_Exhibits'!H230:H234),"")</f>
        <v/>
      </c>
      <c r="I234" s="3">
        <f>IF(ISNUMBER(AVERAGE('20250815_ETF_Options_Exhibits'!I230:I234)),AVERAGE('20250815_ETF_Options_Exhibits'!I230:I234),"")</f>
        <v/>
      </c>
      <c r="J234" s="3">
        <f>IF(ISNUMBER(AVERAGE('20250815_ETF_Options_Exhibits'!J230:J234)),AVERAGE('20250815_ETF_Options_Exhibits'!J230:J234),"")</f>
        <v/>
      </c>
      <c r="K234" s="3">
        <f>IF(ISNUMBER(AVERAGE('20250815_ETF_Options_Exhibits'!K230:K234)),AVERAGE('20250815_ETF_Options_Exhibits'!K230:K234),"")</f>
        <v/>
      </c>
      <c r="L234" s="3">
        <f>IF(ISNUMBER(AVERAGE('20250815_ETF_Options_Exhibits'!L230:L234)),AVERAGE('20250815_ETF_Options_Exhibits'!L230:L234),"")</f>
        <v/>
      </c>
      <c r="M234" s="3">
        <f>IF(ISNUMBER(AVERAGE('20250815_ETF_Options_Exhibits'!M230:M234)),AVERAGE('20250815_ETF_Options_Exhibits'!M230:M234),"")</f>
        <v/>
      </c>
      <c r="N234" s="3">
        <f>IF(ISNUMBER(AVERAGE('20250815_ETF_Options_Exhibits'!N230:N234)),AVERAGE('20250815_ETF_Options_Exhibits'!N230:N234),"")</f>
        <v/>
      </c>
      <c r="O234" s="3">
        <f>IF(ISNUMBER(AVERAGE('20250815_ETF_Options_Exhibits'!O230:O234)),AVERAGE('20250815_ETF_Options_Exhibits'!O230:O234),"")</f>
        <v/>
      </c>
      <c r="P234" s="3">
        <f>IF(ISNUMBER(AVERAGE('20250815_ETF_Options_Exhibits'!P230:P234)),AVERAGE('20250815_ETF_Options_Exhibits'!P230:P234),"")</f>
        <v/>
      </c>
      <c r="Q234" s="3">
        <f>IF(ISNUMBER(AVERAGE('20250815_ETF_Options_Exhibits'!Q230:Q234)),AVERAGE('20250815_ETF_Options_Exhibits'!Q230:Q234),"")</f>
        <v/>
      </c>
      <c r="R234" s="3">
        <f>IF(ISNUMBER(AVERAGE('20250815_ETF_Options_Exhibits'!R230:R234)),AVERAGE('20250815_ETF_Options_Exhibits'!R230:R234),"")</f>
        <v/>
      </c>
      <c r="S234" s="3">
        <f>IF(ISNUMBER(AVERAGE('20250815_ETF_Options_Exhibits'!S230:S234)),AVERAGE('20250815_ETF_Options_Exhibits'!S230:S234),"")</f>
        <v/>
      </c>
      <c r="T234" s="3">
        <f>IF(ISNUMBER(AVERAGE('20250815_ETF_Options_Exhibits'!T230:T234)),AVERAGE('20250815_ETF_Options_Exhibits'!T230:T234),"")</f>
        <v/>
      </c>
      <c r="U234" s="3">
        <f>IF(ISNUMBER(AVERAGE('20250815_ETF_Options_Exhibits'!U230:U234)),AVERAGE('20250815_ETF_Options_Exhibits'!U230:U234),"")</f>
        <v/>
      </c>
      <c r="V234" s="3">
        <f>IF(ISNUMBER(AVERAGE('20250815_ETF_Options_Exhibits'!V230:V234)),AVERAGE('20250815_ETF_Options_Exhibits'!V230:V234),"")</f>
        <v/>
      </c>
      <c r="W234" s="3">
        <f>IF(ISNUMBER(AVERAGE('20250815_ETF_Options_Exhibits'!W230:W234)),AVERAGE('20250815_ETF_Options_Exhibits'!W230:W234),"")</f>
        <v/>
      </c>
      <c r="X234" s="3">
        <f>IF(ISNUMBER(AVERAGE('20250815_ETF_Options_Exhibits'!X230:X234)),AVERAGE('20250815_ETF_Options_Exhibits'!X230:X234),"")</f>
        <v/>
      </c>
      <c r="Y234" s="3">
        <f>IF(ISNUMBER(AVERAGE('20250815_ETF_Options_Exhibits'!Y230:Y234)),AVERAGE('20250815_ETF_Options_Exhibits'!Y230:Y234),"")</f>
        <v/>
      </c>
      <c r="Z234" s="3">
        <f>IF(ISNUMBER(AVERAGE('20250815_ETF_Options_Exhibits'!Z230:Z234)),AVERAGE('20250815_ETF_Options_Exhibits'!Z230:Z234),"")</f>
        <v/>
      </c>
      <c r="AA234" s="3">
        <f>IF(ISNUMBER(AVERAGE('20250815_ETF_Options_Exhibits'!AA230:AA234)),AVERAGE('20250815_ETF_Options_Exhibits'!AA230:AA234),"")</f>
        <v/>
      </c>
    </row>
    <row r="235">
      <c r="A235" s="1" t="n">
        <v>42341</v>
      </c>
      <c r="B235" s="3">
        <f>IF(ISNUMBER(AVERAGE('20250815_ETF_Options_Exhibits'!B231:B235)),AVERAGE('20250815_ETF_Options_Exhibits'!B231:B235),"")</f>
        <v/>
      </c>
      <c r="C235" s="3">
        <f>IF(ISNUMBER(AVERAGE('20250815_ETF_Options_Exhibits'!C231:C235)),AVERAGE('20250815_ETF_Options_Exhibits'!C231:C235),"")</f>
        <v/>
      </c>
      <c r="D235" s="3">
        <f>IF(ISNUMBER(AVERAGE('20250815_ETF_Options_Exhibits'!D231:D235)),AVERAGE('20250815_ETF_Options_Exhibits'!D231:D235),"")</f>
        <v/>
      </c>
      <c r="E235" s="3">
        <f>IF(ISNUMBER(AVERAGE('20250815_ETF_Options_Exhibits'!E231:E235)),AVERAGE('20250815_ETF_Options_Exhibits'!E231:E235),"")</f>
        <v/>
      </c>
      <c r="F235" s="3">
        <f>IF(ISNUMBER(AVERAGE('20250815_ETF_Options_Exhibits'!F231:F235)),AVERAGE('20250815_ETF_Options_Exhibits'!F231:F235),"")</f>
        <v/>
      </c>
      <c r="G235" s="3">
        <f>IF(ISNUMBER(AVERAGE('20250815_ETF_Options_Exhibits'!G231:G235)),AVERAGE('20250815_ETF_Options_Exhibits'!G231:G235),"")</f>
        <v/>
      </c>
      <c r="H235" s="3">
        <f>IF(ISNUMBER(AVERAGE('20250815_ETF_Options_Exhibits'!H231:H235)),AVERAGE('20250815_ETF_Options_Exhibits'!H231:H235),"")</f>
        <v/>
      </c>
      <c r="I235" s="3">
        <f>IF(ISNUMBER(AVERAGE('20250815_ETF_Options_Exhibits'!I231:I235)),AVERAGE('20250815_ETF_Options_Exhibits'!I231:I235),"")</f>
        <v/>
      </c>
      <c r="J235" s="3">
        <f>IF(ISNUMBER(AVERAGE('20250815_ETF_Options_Exhibits'!J231:J235)),AVERAGE('20250815_ETF_Options_Exhibits'!J231:J235),"")</f>
        <v/>
      </c>
      <c r="K235" s="3">
        <f>IF(ISNUMBER(AVERAGE('20250815_ETF_Options_Exhibits'!K231:K235)),AVERAGE('20250815_ETF_Options_Exhibits'!K231:K235),"")</f>
        <v/>
      </c>
      <c r="L235" s="3">
        <f>IF(ISNUMBER(AVERAGE('20250815_ETF_Options_Exhibits'!L231:L235)),AVERAGE('20250815_ETF_Options_Exhibits'!L231:L235),"")</f>
        <v/>
      </c>
      <c r="M235" s="3">
        <f>IF(ISNUMBER(AVERAGE('20250815_ETF_Options_Exhibits'!M231:M235)),AVERAGE('20250815_ETF_Options_Exhibits'!M231:M235),"")</f>
        <v/>
      </c>
      <c r="N235" s="3">
        <f>IF(ISNUMBER(AVERAGE('20250815_ETF_Options_Exhibits'!N231:N235)),AVERAGE('20250815_ETF_Options_Exhibits'!N231:N235),"")</f>
        <v/>
      </c>
      <c r="O235" s="3">
        <f>IF(ISNUMBER(AVERAGE('20250815_ETF_Options_Exhibits'!O231:O235)),AVERAGE('20250815_ETF_Options_Exhibits'!O231:O235),"")</f>
        <v/>
      </c>
      <c r="P235" s="3">
        <f>IF(ISNUMBER(AVERAGE('20250815_ETF_Options_Exhibits'!P231:P235)),AVERAGE('20250815_ETF_Options_Exhibits'!P231:P235),"")</f>
        <v/>
      </c>
      <c r="Q235" s="3">
        <f>IF(ISNUMBER(AVERAGE('20250815_ETF_Options_Exhibits'!Q231:Q235)),AVERAGE('20250815_ETF_Options_Exhibits'!Q231:Q235),"")</f>
        <v/>
      </c>
      <c r="R235" s="3">
        <f>IF(ISNUMBER(AVERAGE('20250815_ETF_Options_Exhibits'!R231:R235)),AVERAGE('20250815_ETF_Options_Exhibits'!R231:R235),"")</f>
        <v/>
      </c>
      <c r="S235" s="3">
        <f>IF(ISNUMBER(AVERAGE('20250815_ETF_Options_Exhibits'!S231:S235)),AVERAGE('20250815_ETF_Options_Exhibits'!S231:S235),"")</f>
        <v/>
      </c>
      <c r="T235" s="3">
        <f>IF(ISNUMBER(AVERAGE('20250815_ETF_Options_Exhibits'!T231:T235)),AVERAGE('20250815_ETF_Options_Exhibits'!T231:T235),"")</f>
        <v/>
      </c>
      <c r="U235" s="3">
        <f>IF(ISNUMBER(AVERAGE('20250815_ETF_Options_Exhibits'!U231:U235)),AVERAGE('20250815_ETF_Options_Exhibits'!U231:U235),"")</f>
        <v/>
      </c>
      <c r="V235" s="3">
        <f>IF(ISNUMBER(AVERAGE('20250815_ETF_Options_Exhibits'!V231:V235)),AVERAGE('20250815_ETF_Options_Exhibits'!V231:V235),"")</f>
        <v/>
      </c>
      <c r="W235" s="3">
        <f>IF(ISNUMBER(AVERAGE('20250815_ETF_Options_Exhibits'!W231:W235)),AVERAGE('20250815_ETF_Options_Exhibits'!W231:W235),"")</f>
        <v/>
      </c>
      <c r="X235" s="3">
        <f>IF(ISNUMBER(AVERAGE('20250815_ETF_Options_Exhibits'!X231:X235)),AVERAGE('20250815_ETF_Options_Exhibits'!X231:X235),"")</f>
        <v/>
      </c>
      <c r="Y235" s="3">
        <f>IF(ISNUMBER(AVERAGE('20250815_ETF_Options_Exhibits'!Y231:Y235)),AVERAGE('20250815_ETF_Options_Exhibits'!Y231:Y235),"")</f>
        <v/>
      </c>
      <c r="Z235" s="3">
        <f>IF(ISNUMBER(AVERAGE('20250815_ETF_Options_Exhibits'!Z231:Z235)),AVERAGE('20250815_ETF_Options_Exhibits'!Z231:Z235),"")</f>
        <v/>
      </c>
      <c r="AA235" s="3">
        <f>IF(ISNUMBER(AVERAGE('20250815_ETF_Options_Exhibits'!AA231:AA235)),AVERAGE('20250815_ETF_Options_Exhibits'!AA231:AA235),"")</f>
        <v/>
      </c>
    </row>
    <row r="236">
      <c r="A236" s="1" t="n">
        <v>42342</v>
      </c>
      <c r="B236" s="3">
        <f>IF(ISNUMBER(AVERAGE('20250815_ETF_Options_Exhibits'!B232:B236)),AVERAGE('20250815_ETF_Options_Exhibits'!B232:B236),"")</f>
        <v/>
      </c>
      <c r="C236" s="3">
        <f>IF(ISNUMBER(AVERAGE('20250815_ETF_Options_Exhibits'!C232:C236)),AVERAGE('20250815_ETF_Options_Exhibits'!C232:C236),"")</f>
        <v/>
      </c>
      <c r="D236" s="3">
        <f>IF(ISNUMBER(AVERAGE('20250815_ETF_Options_Exhibits'!D232:D236)),AVERAGE('20250815_ETF_Options_Exhibits'!D232:D236),"")</f>
        <v/>
      </c>
      <c r="E236" s="3">
        <f>IF(ISNUMBER(AVERAGE('20250815_ETF_Options_Exhibits'!E232:E236)),AVERAGE('20250815_ETF_Options_Exhibits'!E232:E236),"")</f>
        <v/>
      </c>
      <c r="F236" s="3">
        <f>IF(ISNUMBER(AVERAGE('20250815_ETF_Options_Exhibits'!F232:F236)),AVERAGE('20250815_ETF_Options_Exhibits'!F232:F236),"")</f>
        <v/>
      </c>
      <c r="G236" s="3">
        <f>IF(ISNUMBER(AVERAGE('20250815_ETF_Options_Exhibits'!G232:G236)),AVERAGE('20250815_ETF_Options_Exhibits'!G232:G236),"")</f>
        <v/>
      </c>
      <c r="H236" s="3">
        <f>IF(ISNUMBER(AVERAGE('20250815_ETF_Options_Exhibits'!H232:H236)),AVERAGE('20250815_ETF_Options_Exhibits'!H232:H236),"")</f>
        <v/>
      </c>
      <c r="I236" s="3">
        <f>IF(ISNUMBER(AVERAGE('20250815_ETF_Options_Exhibits'!I232:I236)),AVERAGE('20250815_ETF_Options_Exhibits'!I232:I236),"")</f>
        <v/>
      </c>
      <c r="J236" s="3">
        <f>IF(ISNUMBER(AVERAGE('20250815_ETF_Options_Exhibits'!J232:J236)),AVERAGE('20250815_ETF_Options_Exhibits'!J232:J236),"")</f>
        <v/>
      </c>
      <c r="K236" s="3">
        <f>IF(ISNUMBER(AVERAGE('20250815_ETF_Options_Exhibits'!K232:K236)),AVERAGE('20250815_ETF_Options_Exhibits'!K232:K236),"")</f>
        <v/>
      </c>
      <c r="L236" s="3">
        <f>IF(ISNUMBER(AVERAGE('20250815_ETF_Options_Exhibits'!L232:L236)),AVERAGE('20250815_ETF_Options_Exhibits'!L232:L236),"")</f>
        <v/>
      </c>
      <c r="M236" s="3">
        <f>IF(ISNUMBER(AVERAGE('20250815_ETF_Options_Exhibits'!M232:M236)),AVERAGE('20250815_ETF_Options_Exhibits'!M232:M236),"")</f>
        <v/>
      </c>
      <c r="N236" s="3">
        <f>IF(ISNUMBER(AVERAGE('20250815_ETF_Options_Exhibits'!N232:N236)),AVERAGE('20250815_ETF_Options_Exhibits'!N232:N236),"")</f>
        <v/>
      </c>
      <c r="O236" s="3">
        <f>IF(ISNUMBER(AVERAGE('20250815_ETF_Options_Exhibits'!O232:O236)),AVERAGE('20250815_ETF_Options_Exhibits'!O232:O236),"")</f>
        <v/>
      </c>
      <c r="P236" s="3">
        <f>IF(ISNUMBER(AVERAGE('20250815_ETF_Options_Exhibits'!P232:P236)),AVERAGE('20250815_ETF_Options_Exhibits'!P232:P236),"")</f>
        <v/>
      </c>
      <c r="Q236" s="3">
        <f>IF(ISNUMBER(AVERAGE('20250815_ETF_Options_Exhibits'!Q232:Q236)),AVERAGE('20250815_ETF_Options_Exhibits'!Q232:Q236),"")</f>
        <v/>
      </c>
      <c r="R236" s="3">
        <f>IF(ISNUMBER(AVERAGE('20250815_ETF_Options_Exhibits'!R232:R236)),AVERAGE('20250815_ETF_Options_Exhibits'!R232:R236),"")</f>
        <v/>
      </c>
      <c r="S236" s="3">
        <f>IF(ISNUMBER(AVERAGE('20250815_ETF_Options_Exhibits'!S232:S236)),AVERAGE('20250815_ETF_Options_Exhibits'!S232:S236),"")</f>
        <v/>
      </c>
      <c r="T236" s="3">
        <f>IF(ISNUMBER(AVERAGE('20250815_ETF_Options_Exhibits'!T232:T236)),AVERAGE('20250815_ETF_Options_Exhibits'!T232:T236),"")</f>
        <v/>
      </c>
      <c r="U236" s="3">
        <f>IF(ISNUMBER(AVERAGE('20250815_ETF_Options_Exhibits'!U232:U236)),AVERAGE('20250815_ETF_Options_Exhibits'!U232:U236),"")</f>
        <v/>
      </c>
      <c r="V236" s="3">
        <f>IF(ISNUMBER(AVERAGE('20250815_ETF_Options_Exhibits'!V232:V236)),AVERAGE('20250815_ETF_Options_Exhibits'!V232:V236),"")</f>
        <v/>
      </c>
      <c r="W236" s="3">
        <f>IF(ISNUMBER(AVERAGE('20250815_ETF_Options_Exhibits'!W232:W236)),AVERAGE('20250815_ETF_Options_Exhibits'!W232:W236),"")</f>
        <v/>
      </c>
      <c r="X236" s="3">
        <f>IF(ISNUMBER(AVERAGE('20250815_ETF_Options_Exhibits'!X232:X236)),AVERAGE('20250815_ETF_Options_Exhibits'!X232:X236),"")</f>
        <v/>
      </c>
      <c r="Y236" s="3">
        <f>IF(ISNUMBER(AVERAGE('20250815_ETF_Options_Exhibits'!Y232:Y236)),AVERAGE('20250815_ETF_Options_Exhibits'!Y232:Y236),"")</f>
        <v/>
      </c>
      <c r="Z236" s="3">
        <f>IF(ISNUMBER(AVERAGE('20250815_ETF_Options_Exhibits'!Z232:Z236)),AVERAGE('20250815_ETF_Options_Exhibits'!Z232:Z236),"")</f>
        <v/>
      </c>
      <c r="AA236" s="3">
        <f>IF(ISNUMBER(AVERAGE('20250815_ETF_Options_Exhibits'!AA232:AA236)),AVERAGE('20250815_ETF_Options_Exhibits'!AA232:AA236),"")</f>
        <v/>
      </c>
    </row>
    <row r="237">
      <c r="A237" s="1" t="n">
        <v>42345</v>
      </c>
      <c r="B237" s="3">
        <f>IF(ISNUMBER(AVERAGE('20250815_ETF_Options_Exhibits'!B233:B237)),AVERAGE('20250815_ETF_Options_Exhibits'!B233:B237),"")</f>
        <v/>
      </c>
      <c r="C237" s="3">
        <f>IF(ISNUMBER(AVERAGE('20250815_ETF_Options_Exhibits'!C233:C237)),AVERAGE('20250815_ETF_Options_Exhibits'!C233:C237),"")</f>
        <v/>
      </c>
      <c r="D237" s="3">
        <f>IF(ISNUMBER(AVERAGE('20250815_ETF_Options_Exhibits'!D233:D237)),AVERAGE('20250815_ETF_Options_Exhibits'!D233:D237),"")</f>
        <v/>
      </c>
      <c r="E237" s="3">
        <f>IF(ISNUMBER(AVERAGE('20250815_ETF_Options_Exhibits'!E233:E237)),AVERAGE('20250815_ETF_Options_Exhibits'!E233:E237),"")</f>
        <v/>
      </c>
      <c r="F237" s="3">
        <f>IF(ISNUMBER(AVERAGE('20250815_ETF_Options_Exhibits'!F233:F237)),AVERAGE('20250815_ETF_Options_Exhibits'!F233:F237),"")</f>
        <v/>
      </c>
      <c r="G237" s="3">
        <f>IF(ISNUMBER(AVERAGE('20250815_ETF_Options_Exhibits'!G233:G237)),AVERAGE('20250815_ETF_Options_Exhibits'!G233:G237),"")</f>
        <v/>
      </c>
      <c r="H237" s="3">
        <f>IF(ISNUMBER(AVERAGE('20250815_ETF_Options_Exhibits'!H233:H237)),AVERAGE('20250815_ETF_Options_Exhibits'!H233:H237),"")</f>
        <v/>
      </c>
      <c r="I237" s="3">
        <f>IF(ISNUMBER(AVERAGE('20250815_ETF_Options_Exhibits'!I233:I237)),AVERAGE('20250815_ETF_Options_Exhibits'!I233:I237),"")</f>
        <v/>
      </c>
      <c r="J237" s="3">
        <f>IF(ISNUMBER(AVERAGE('20250815_ETF_Options_Exhibits'!J233:J237)),AVERAGE('20250815_ETF_Options_Exhibits'!J233:J237),"")</f>
        <v/>
      </c>
      <c r="K237" s="3">
        <f>IF(ISNUMBER(AVERAGE('20250815_ETF_Options_Exhibits'!K233:K237)),AVERAGE('20250815_ETF_Options_Exhibits'!K233:K237),"")</f>
        <v/>
      </c>
      <c r="L237" s="3">
        <f>IF(ISNUMBER(AVERAGE('20250815_ETF_Options_Exhibits'!L233:L237)),AVERAGE('20250815_ETF_Options_Exhibits'!L233:L237),"")</f>
        <v/>
      </c>
      <c r="M237" s="3">
        <f>IF(ISNUMBER(AVERAGE('20250815_ETF_Options_Exhibits'!M233:M237)),AVERAGE('20250815_ETF_Options_Exhibits'!M233:M237),"")</f>
        <v/>
      </c>
      <c r="N237" s="3">
        <f>IF(ISNUMBER(AVERAGE('20250815_ETF_Options_Exhibits'!N233:N237)),AVERAGE('20250815_ETF_Options_Exhibits'!N233:N237),"")</f>
        <v/>
      </c>
      <c r="O237" s="3">
        <f>IF(ISNUMBER(AVERAGE('20250815_ETF_Options_Exhibits'!O233:O237)),AVERAGE('20250815_ETF_Options_Exhibits'!O233:O237),"")</f>
        <v/>
      </c>
      <c r="P237" s="3">
        <f>IF(ISNUMBER(AVERAGE('20250815_ETF_Options_Exhibits'!P233:P237)),AVERAGE('20250815_ETF_Options_Exhibits'!P233:P237),"")</f>
        <v/>
      </c>
      <c r="Q237" s="3">
        <f>IF(ISNUMBER(AVERAGE('20250815_ETF_Options_Exhibits'!Q233:Q237)),AVERAGE('20250815_ETF_Options_Exhibits'!Q233:Q237),"")</f>
        <v/>
      </c>
      <c r="R237" s="3">
        <f>IF(ISNUMBER(AVERAGE('20250815_ETF_Options_Exhibits'!R233:R237)),AVERAGE('20250815_ETF_Options_Exhibits'!R233:R237),"")</f>
        <v/>
      </c>
      <c r="S237" s="3">
        <f>IF(ISNUMBER(AVERAGE('20250815_ETF_Options_Exhibits'!S233:S237)),AVERAGE('20250815_ETF_Options_Exhibits'!S233:S237),"")</f>
        <v/>
      </c>
      <c r="T237" s="3">
        <f>IF(ISNUMBER(AVERAGE('20250815_ETF_Options_Exhibits'!T233:T237)),AVERAGE('20250815_ETF_Options_Exhibits'!T233:T237),"")</f>
        <v/>
      </c>
      <c r="U237" s="3">
        <f>IF(ISNUMBER(AVERAGE('20250815_ETF_Options_Exhibits'!U233:U237)),AVERAGE('20250815_ETF_Options_Exhibits'!U233:U237),"")</f>
        <v/>
      </c>
      <c r="V237" s="3">
        <f>IF(ISNUMBER(AVERAGE('20250815_ETF_Options_Exhibits'!V233:V237)),AVERAGE('20250815_ETF_Options_Exhibits'!V233:V237),"")</f>
        <v/>
      </c>
      <c r="W237" s="3">
        <f>IF(ISNUMBER(AVERAGE('20250815_ETF_Options_Exhibits'!W233:W237)),AVERAGE('20250815_ETF_Options_Exhibits'!W233:W237),"")</f>
        <v/>
      </c>
      <c r="X237" s="3">
        <f>IF(ISNUMBER(AVERAGE('20250815_ETF_Options_Exhibits'!X233:X237)),AVERAGE('20250815_ETF_Options_Exhibits'!X233:X237),"")</f>
        <v/>
      </c>
      <c r="Y237" s="3">
        <f>IF(ISNUMBER(AVERAGE('20250815_ETF_Options_Exhibits'!Y233:Y237)),AVERAGE('20250815_ETF_Options_Exhibits'!Y233:Y237),"")</f>
        <v/>
      </c>
      <c r="Z237" s="3">
        <f>IF(ISNUMBER(AVERAGE('20250815_ETF_Options_Exhibits'!Z233:Z237)),AVERAGE('20250815_ETF_Options_Exhibits'!Z233:Z237),"")</f>
        <v/>
      </c>
      <c r="AA237" s="3">
        <f>IF(ISNUMBER(AVERAGE('20250815_ETF_Options_Exhibits'!AA233:AA237)),AVERAGE('20250815_ETF_Options_Exhibits'!AA233:AA237),"")</f>
        <v/>
      </c>
    </row>
    <row r="238">
      <c r="A238" s="1" t="n">
        <v>42346</v>
      </c>
      <c r="B238" s="3">
        <f>IF(ISNUMBER(AVERAGE('20250815_ETF_Options_Exhibits'!B234:B238)),AVERAGE('20250815_ETF_Options_Exhibits'!B234:B238),"")</f>
        <v/>
      </c>
      <c r="C238" s="3">
        <f>IF(ISNUMBER(AVERAGE('20250815_ETF_Options_Exhibits'!C234:C238)),AVERAGE('20250815_ETF_Options_Exhibits'!C234:C238),"")</f>
        <v/>
      </c>
      <c r="D238" s="3">
        <f>IF(ISNUMBER(AVERAGE('20250815_ETF_Options_Exhibits'!D234:D238)),AVERAGE('20250815_ETF_Options_Exhibits'!D234:D238),"")</f>
        <v/>
      </c>
      <c r="E238" s="3">
        <f>IF(ISNUMBER(AVERAGE('20250815_ETF_Options_Exhibits'!E234:E238)),AVERAGE('20250815_ETF_Options_Exhibits'!E234:E238),"")</f>
        <v/>
      </c>
      <c r="F238" s="3">
        <f>IF(ISNUMBER(AVERAGE('20250815_ETF_Options_Exhibits'!F234:F238)),AVERAGE('20250815_ETF_Options_Exhibits'!F234:F238),"")</f>
        <v/>
      </c>
      <c r="G238" s="3">
        <f>IF(ISNUMBER(AVERAGE('20250815_ETF_Options_Exhibits'!G234:G238)),AVERAGE('20250815_ETF_Options_Exhibits'!G234:G238),"")</f>
        <v/>
      </c>
      <c r="H238" s="3">
        <f>IF(ISNUMBER(AVERAGE('20250815_ETF_Options_Exhibits'!H234:H238)),AVERAGE('20250815_ETF_Options_Exhibits'!H234:H238),"")</f>
        <v/>
      </c>
      <c r="I238" s="3">
        <f>IF(ISNUMBER(AVERAGE('20250815_ETF_Options_Exhibits'!I234:I238)),AVERAGE('20250815_ETF_Options_Exhibits'!I234:I238),"")</f>
        <v/>
      </c>
      <c r="J238" s="3">
        <f>IF(ISNUMBER(AVERAGE('20250815_ETF_Options_Exhibits'!J234:J238)),AVERAGE('20250815_ETF_Options_Exhibits'!J234:J238),"")</f>
        <v/>
      </c>
      <c r="K238" s="3">
        <f>IF(ISNUMBER(AVERAGE('20250815_ETF_Options_Exhibits'!K234:K238)),AVERAGE('20250815_ETF_Options_Exhibits'!K234:K238),"")</f>
        <v/>
      </c>
      <c r="L238" s="3">
        <f>IF(ISNUMBER(AVERAGE('20250815_ETF_Options_Exhibits'!L234:L238)),AVERAGE('20250815_ETF_Options_Exhibits'!L234:L238),"")</f>
        <v/>
      </c>
      <c r="M238" s="3">
        <f>IF(ISNUMBER(AVERAGE('20250815_ETF_Options_Exhibits'!M234:M238)),AVERAGE('20250815_ETF_Options_Exhibits'!M234:M238),"")</f>
        <v/>
      </c>
      <c r="N238" s="3">
        <f>IF(ISNUMBER(AVERAGE('20250815_ETF_Options_Exhibits'!N234:N238)),AVERAGE('20250815_ETF_Options_Exhibits'!N234:N238),"")</f>
        <v/>
      </c>
      <c r="O238" s="3">
        <f>IF(ISNUMBER(AVERAGE('20250815_ETF_Options_Exhibits'!O234:O238)),AVERAGE('20250815_ETF_Options_Exhibits'!O234:O238),"")</f>
        <v/>
      </c>
      <c r="P238" s="3">
        <f>IF(ISNUMBER(AVERAGE('20250815_ETF_Options_Exhibits'!P234:P238)),AVERAGE('20250815_ETF_Options_Exhibits'!P234:P238),"")</f>
        <v/>
      </c>
      <c r="Q238" s="3">
        <f>IF(ISNUMBER(AVERAGE('20250815_ETF_Options_Exhibits'!Q234:Q238)),AVERAGE('20250815_ETF_Options_Exhibits'!Q234:Q238),"")</f>
        <v/>
      </c>
      <c r="R238" s="3">
        <f>IF(ISNUMBER(AVERAGE('20250815_ETF_Options_Exhibits'!R234:R238)),AVERAGE('20250815_ETF_Options_Exhibits'!R234:R238),"")</f>
        <v/>
      </c>
      <c r="S238" s="3">
        <f>IF(ISNUMBER(AVERAGE('20250815_ETF_Options_Exhibits'!S234:S238)),AVERAGE('20250815_ETF_Options_Exhibits'!S234:S238),"")</f>
        <v/>
      </c>
      <c r="T238" s="3">
        <f>IF(ISNUMBER(AVERAGE('20250815_ETF_Options_Exhibits'!T234:T238)),AVERAGE('20250815_ETF_Options_Exhibits'!T234:T238),"")</f>
        <v/>
      </c>
      <c r="U238" s="3">
        <f>IF(ISNUMBER(AVERAGE('20250815_ETF_Options_Exhibits'!U234:U238)),AVERAGE('20250815_ETF_Options_Exhibits'!U234:U238),"")</f>
        <v/>
      </c>
      <c r="V238" s="3">
        <f>IF(ISNUMBER(AVERAGE('20250815_ETF_Options_Exhibits'!V234:V238)),AVERAGE('20250815_ETF_Options_Exhibits'!V234:V238),"")</f>
        <v/>
      </c>
      <c r="W238" s="3">
        <f>IF(ISNUMBER(AVERAGE('20250815_ETF_Options_Exhibits'!W234:W238)),AVERAGE('20250815_ETF_Options_Exhibits'!W234:W238),"")</f>
        <v/>
      </c>
      <c r="X238" s="3">
        <f>IF(ISNUMBER(AVERAGE('20250815_ETF_Options_Exhibits'!X234:X238)),AVERAGE('20250815_ETF_Options_Exhibits'!X234:X238),"")</f>
        <v/>
      </c>
      <c r="Y238" s="3">
        <f>IF(ISNUMBER(AVERAGE('20250815_ETF_Options_Exhibits'!Y234:Y238)),AVERAGE('20250815_ETF_Options_Exhibits'!Y234:Y238),"")</f>
        <v/>
      </c>
      <c r="Z238" s="3">
        <f>IF(ISNUMBER(AVERAGE('20250815_ETF_Options_Exhibits'!Z234:Z238)),AVERAGE('20250815_ETF_Options_Exhibits'!Z234:Z238),"")</f>
        <v/>
      </c>
      <c r="AA238" s="3">
        <f>IF(ISNUMBER(AVERAGE('20250815_ETF_Options_Exhibits'!AA234:AA238)),AVERAGE('20250815_ETF_Options_Exhibits'!AA234:AA238),"")</f>
        <v/>
      </c>
    </row>
    <row r="239">
      <c r="A239" s="1" t="n">
        <v>42347</v>
      </c>
      <c r="B239" s="3">
        <f>IF(ISNUMBER(AVERAGE('20250815_ETF_Options_Exhibits'!B235:B239)),AVERAGE('20250815_ETF_Options_Exhibits'!B235:B239),"")</f>
        <v/>
      </c>
      <c r="C239" s="3">
        <f>IF(ISNUMBER(AVERAGE('20250815_ETF_Options_Exhibits'!C235:C239)),AVERAGE('20250815_ETF_Options_Exhibits'!C235:C239),"")</f>
        <v/>
      </c>
      <c r="D239" s="3">
        <f>IF(ISNUMBER(AVERAGE('20250815_ETF_Options_Exhibits'!D235:D239)),AVERAGE('20250815_ETF_Options_Exhibits'!D235:D239),"")</f>
        <v/>
      </c>
      <c r="E239" s="3">
        <f>IF(ISNUMBER(AVERAGE('20250815_ETF_Options_Exhibits'!E235:E239)),AVERAGE('20250815_ETF_Options_Exhibits'!E235:E239),"")</f>
        <v/>
      </c>
      <c r="F239" s="3">
        <f>IF(ISNUMBER(AVERAGE('20250815_ETF_Options_Exhibits'!F235:F239)),AVERAGE('20250815_ETF_Options_Exhibits'!F235:F239),"")</f>
        <v/>
      </c>
      <c r="G239" s="3">
        <f>IF(ISNUMBER(AVERAGE('20250815_ETF_Options_Exhibits'!G235:G239)),AVERAGE('20250815_ETF_Options_Exhibits'!G235:G239),"")</f>
        <v/>
      </c>
      <c r="H239" s="3">
        <f>IF(ISNUMBER(AVERAGE('20250815_ETF_Options_Exhibits'!H235:H239)),AVERAGE('20250815_ETF_Options_Exhibits'!H235:H239),"")</f>
        <v/>
      </c>
      <c r="I239" s="3">
        <f>IF(ISNUMBER(AVERAGE('20250815_ETF_Options_Exhibits'!I235:I239)),AVERAGE('20250815_ETF_Options_Exhibits'!I235:I239),"")</f>
        <v/>
      </c>
      <c r="J239" s="3">
        <f>IF(ISNUMBER(AVERAGE('20250815_ETF_Options_Exhibits'!J235:J239)),AVERAGE('20250815_ETF_Options_Exhibits'!J235:J239),"")</f>
        <v/>
      </c>
      <c r="K239" s="3">
        <f>IF(ISNUMBER(AVERAGE('20250815_ETF_Options_Exhibits'!K235:K239)),AVERAGE('20250815_ETF_Options_Exhibits'!K235:K239),"")</f>
        <v/>
      </c>
      <c r="L239" s="3">
        <f>IF(ISNUMBER(AVERAGE('20250815_ETF_Options_Exhibits'!L235:L239)),AVERAGE('20250815_ETF_Options_Exhibits'!L235:L239),"")</f>
        <v/>
      </c>
      <c r="M239" s="3">
        <f>IF(ISNUMBER(AVERAGE('20250815_ETF_Options_Exhibits'!M235:M239)),AVERAGE('20250815_ETF_Options_Exhibits'!M235:M239),"")</f>
        <v/>
      </c>
      <c r="N239" s="3">
        <f>IF(ISNUMBER(AVERAGE('20250815_ETF_Options_Exhibits'!N235:N239)),AVERAGE('20250815_ETF_Options_Exhibits'!N235:N239),"")</f>
        <v/>
      </c>
      <c r="O239" s="3">
        <f>IF(ISNUMBER(AVERAGE('20250815_ETF_Options_Exhibits'!O235:O239)),AVERAGE('20250815_ETF_Options_Exhibits'!O235:O239),"")</f>
        <v/>
      </c>
      <c r="P239" s="3">
        <f>IF(ISNUMBER(AVERAGE('20250815_ETF_Options_Exhibits'!P235:P239)),AVERAGE('20250815_ETF_Options_Exhibits'!P235:P239),"")</f>
        <v/>
      </c>
      <c r="Q239" s="3">
        <f>IF(ISNUMBER(AVERAGE('20250815_ETF_Options_Exhibits'!Q235:Q239)),AVERAGE('20250815_ETF_Options_Exhibits'!Q235:Q239),"")</f>
        <v/>
      </c>
      <c r="R239" s="3">
        <f>IF(ISNUMBER(AVERAGE('20250815_ETF_Options_Exhibits'!R235:R239)),AVERAGE('20250815_ETF_Options_Exhibits'!R235:R239),"")</f>
        <v/>
      </c>
      <c r="S239" s="3">
        <f>IF(ISNUMBER(AVERAGE('20250815_ETF_Options_Exhibits'!S235:S239)),AVERAGE('20250815_ETF_Options_Exhibits'!S235:S239),"")</f>
        <v/>
      </c>
      <c r="T239" s="3">
        <f>IF(ISNUMBER(AVERAGE('20250815_ETF_Options_Exhibits'!T235:T239)),AVERAGE('20250815_ETF_Options_Exhibits'!T235:T239),"")</f>
        <v/>
      </c>
      <c r="U239" s="3">
        <f>IF(ISNUMBER(AVERAGE('20250815_ETF_Options_Exhibits'!U235:U239)),AVERAGE('20250815_ETF_Options_Exhibits'!U235:U239),"")</f>
        <v/>
      </c>
      <c r="V239" s="3">
        <f>IF(ISNUMBER(AVERAGE('20250815_ETF_Options_Exhibits'!V235:V239)),AVERAGE('20250815_ETF_Options_Exhibits'!V235:V239),"")</f>
        <v/>
      </c>
      <c r="W239" s="3">
        <f>IF(ISNUMBER(AVERAGE('20250815_ETF_Options_Exhibits'!W235:W239)),AVERAGE('20250815_ETF_Options_Exhibits'!W235:W239),"")</f>
        <v/>
      </c>
      <c r="X239" s="3">
        <f>IF(ISNUMBER(AVERAGE('20250815_ETF_Options_Exhibits'!X235:X239)),AVERAGE('20250815_ETF_Options_Exhibits'!X235:X239),"")</f>
        <v/>
      </c>
      <c r="Y239" s="3">
        <f>IF(ISNUMBER(AVERAGE('20250815_ETF_Options_Exhibits'!Y235:Y239)),AVERAGE('20250815_ETF_Options_Exhibits'!Y235:Y239),"")</f>
        <v/>
      </c>
      <c r="Z239" s="3">
        <f>IF(ISNUMBER(AVERAGE('20250815_ETF_Options_Exhibits'!Z235:Z239)),AVERAGE('20250815_ETF_Options_Exhibits'!Z235:Z239),"")</f>
        <v/>
      </c>
      <c r="AA239" s="3">
        <f>IF(ISNUMBER(AVERAGE('20250815_ETF_Options_Exhibits'!AA235:AA239)),AVERAGE('20250815_ETF_Options_Exhibits'!AA235:AA239),"")</f>
        <v/>
      </c>
    </row>
    <row r="240">
      <c r="A240" s="1" t="n">
        <v>42348</v>
      </c>
      <c r="B240" s="3">
        <f>IF(ISNUMBER(AVERAGE('20250815_ETF_Options_Exhibits'!B236:B240)),AVERAGE('20250815_ETF_Options_Exhibits'!B236:B240),"")</f>
        <v/>
      </c>
      <c r="C240" s="3">
        <f>IF(ISNUMBER(AVERAGE('20250815_ETF_Options_Exhibits'!C236:C240)),AVERAGE('20250815_ETF_Options_Exhibits'!C236:C240),"")</f>
        <v/>
      </c>
      <c r="D240" s="3">
        <f>IF(ISNUMBER(AVERAGE('20250815_ETF_Options_Exhibits'!D236:D240)),AVERAGE('20250815_ETF_Options_Exhibits'!D236:D240),"")</f>
        <v/>
      </c>
      <c r="E240" s="3">
        <f>IF(ISNUMBER(AVERAGE('20250815_ETF_Options_Exhibits'!E236:E240)),AVERAGE('20250815_ETF_Options_Exhibits'!E236:E240),"")</f>
        <v/>
      </c>
      <c r="F240" s="3">
        <f>IF(ISNUMBER(AVERAGE('20250815_ETF_Options_Exhibits'!F236:F240)),AVERAGE('20250815_ETF_Options_Exhibits'!F236:F240),"")</f>
        <v/>
      </c>
      <c r="G240" s="3">
        <f>IF(ISNUMBER(AVERAGE('20250815_ETF_Options_Exhibits'!G236:G240)),AVERAGE('20250815_ETF_Options_Exhibits'!G236:G240),"")</f>
        <v/>
      </c>
      <c r="H240" s="3">
        <f>IF(ISNUMBER(AVERAGE('20250815_ETF_Options_Exhibits'!H236:H240)),AVERAGE('20250815_ETF_Options_Exhibits'!H236:H240),"")</f>
        <v/>
      </c>
      <c r="I240" s="3">
        <f>IF(ISNUMBER(AVERAGE('20250815_ETF_Options_Exhibits'!I236:I240)),AVERAGE('20250815_ETF_Options_Exhibits'!I236:I240),"")</f>
        <v/>
      </c>
      <c r="J240" s="3">
        <f>IF(ISNUMBER(AVERAGE('20250815_ETF_Options_Exhibits'!J236:J240)),AVERAGE('20250815_ETF_Options_Exhibits'!J236:J240),"")</f>
        <v/>
      </c>
      <c r="K240" s="3">
        <f>IF(ISNUMBER(AVERAGE('20250815_ETF_Options_Exhibits'!K236:K240)),AVERAGE('20250815_ETF_Options_Exhibits'!K236:K240),"")</f>
        <v/>
      </c>
      <c r="L240" s="3">
        <f>IF(ISNUMBER(AVERAGE('20250815_ETF_Options_Exhibits'!L236:L240)),AVERAGE('20250815_ETF_Options_Exhibits'!L236:L240),"")</f>
        <v/>
      </c>
      <c r="M240" s="3">
        <f>IF(ISNUMBER(AVERAGE('20250815_ETF_Options_Exhibits'!M236:M240)),AVERAGE('20250815_ETF_Options_Exhibits'!M236:M240),"")</f>
        <v/>
      </c>
      <c r="N240" s="3">
        <f>IF(ISNUMBER(AVERAGE('20250815_ETF_Options_Exhibits'!N236:N240)),AVERAGE('20250815_ETF_Options_Exhibits'!N236:N240),"")</f>
        <v/>
      </c>
      <c r="O240" s="3">
        <f>IF(ISNUMBER(AVERAGE('20250815_ETF_Options_Exhibits'!O236:O240)),AVERAGE('20250815_ETF_Options_Exhibits'!O236:O240),"")</f>
        <v/>
      </c>
      <c r="P240" s="3">
        <f>IF(ISNUMBER(AVERAGE('20250815_ETF_Options_Exhibits'!P236:P240)),AVERAGE('20250815_ETF_Options_Exhibits'!P236:P240),"")</f>
        <v/>
      </c>
      <c r="Q240" s="3">
        <f>IF(ISNUMBER(AVERAGE('20250815_ETF_Options_Exhibits'!Q236:Q240)),AVERAGE('20250815_ETF_Options_Exhibits'!Q236:Q240),"")</f>
        <v/>
      </c>
      <c r="R240" s="3">
        <f>IF(ISNUMBER(AVERAGE('20250815_ETF_Options_Exhibits'!R236:R240)),AVERAGE('20250815_ETF_Options_Exhibits'!R236:R240),"")</f>
        <v/>
      </c>
      <c r="S240" s="3">
        <f>IF(ISNUMBER(AVERAGE('20250815_ETF_Options_Exhibits'!S236:S240)),AVERAGE('20250815_ETF_Options_Exhibits'!S236:S240),"")</f>
        <v/>
      </c>
      <c r="T240" s="3">
        <f>IF(ISNUMBER(AVERAGE('20250815_ETF_Options_Exhibits'!T236:T240)),AVERAGE('20250815_ETF_Options_Exhibits'!T236:T240),"")</f>
        <v/>
      </c>
      <c r="U240" s="3">
        <f>IF(ISNUMBER(AVERAGE('20250815_ETF_Options_Exhibits'!U236:U240)),AVERAGE('20250815_ETF_Options_Exhibits'!U236:U240),"")</f>
        <v/>
      </c>
      <c r="V240" s="3">
        <f>IF(ISNUMBER(AVERAGE('20250815_ETF_Options_Exhibits'!V236:V240)),AVERAGE('20250815_ETF_Options_Exhibits'!V236:V240),"")</f>
        <v/>
      </c>
      <c r="W240" s="3">
        <f>IF(ISNUMBER(AVERAGE('20250815_ETF_Options_Exhibits'!W236:W240)),AVERAGE('20250815_ETF_Options_Exhibits'!W236:W240),"")</f>
        <v/>
      </c>
      <c r="X240" s="3">
        <f>IF(ISNUMBER(AVERAGE('20250815_ETF_Options_Exhibits'!X236:X240)),AVERAGE('20250815_ETF_Options_Exhibits'!X236:X240),"")</f>
        <v/>
      </c>
      <c r="Y240" s="3">
        <f>IF(ISNUMBER(AVERAGE('20250815_ETF_Options_Exhibits'!Y236:Y240)),AVERAGE('20250815_ETF_Options_Exhibits'!Y236:Y240),"")</f>
        <v/>
      </c>
      <c r="Z240" s="3">
        <f>IF(ISNUMBER(AVERAGE('20250815_ETF_Options_Exhibits'!Z236:Z240)),AVERAGE('20250815_ETF_Options_Exhibits'!Z236:Z240),"")</f>
        <v/>
      </c>
      <c r="AA240" s="3">
        <f>IF(ISNUMBER(AVERAGE('20250815_ETF_Options_Exhibits'!AA236:AA240)),AVERAGE('20250815_ETF_Options_Exhibits'!AA236:AA240),"")</f>
        <v/>
      </c>
    </row>
    <row r="241">
      <c r="A241" s="1" t="n">
        <v>42349</v>
      </c>
      <c r="B241" s="3">
        <f>IF(ISNUMBER(AVERAGE('20250815_ETF_Options_Exhibits'!B237:B241)),AVERAGE('20250815_ETF_Options_Exhibits'!B237:B241),"")</f>
        <v/>
      </c>
      <c r="C241" s="3">
        <f>IF(ISNUMBER(AVERAGE('20250815_ETF_Options_Exhibits'!C237:C241)),AVERAGE('20250815_ETF_Options_Exhibits'!C237:C241),"")</f>
        <v/>
      </c>
      <c r="D241" s="3">
        <f>IF(ISNUMBER(AVERAGE('20250815_ETF_Options_Exhibits'!D237:D241)),AVERAGE('20250815_ETF_Options_Exhibits'!D237:D241),"")</f>
        <v/>
      </c>
      <c r="E241" s="3">
        <f>IF(ISNUMBER(AVERAGE('20250815_ETF_Options_Exhibits'!E237:E241)),AVERAGE('20250815_ETF_Options_Exhibits'!E237:E241),"")</f>
        <v/>
      </c>
      <c r="F241" s="3">
        <f>IF(ISNUMBER(AVERAGE('20250815_ETF_Options_Exhibits'!F237:F241)),AVERAGE('20250815_ETF_Options_Exhibits'!F237:F241),"")</f>
        <v/>
      </c>
      <c r="G241" s="3">
        <f>IF(ISNUMBER(AVERAGE('20250815_ETF_Options_Exhibits'!G237:G241)),AVERAGE('20250815_ETF_Options_Exhibits'!G237:G241),"")</f>
        <v/>
      </c>
      <c r="H241" s="3">
        <f>IF(ISNUMBER(AVERAGE('20250815_ETF_Options_Exhibits'!H237:H241)),AVERAGE('20250815_ETF_Options_Exhibits'!H237:H241),"")</f>
        <v/>
      </c>
      <c r="I241" s="3">
        <f>IF(ISNUMBER(AVERAGE('20250815_ETF_Options_Exhibits'!I237:I241)),AVERAGE('20250815_ETF_Options_Exhibits'!I237:I241),"")</f>
        <v/>
      </c>
      <c r="J241" s="3">
        <f>IF(ISNUMBER(AVERAGE('20250815_ETF_Options_Exhibits'!J237:J241)),AVERAGE('20250815_ETF_Options_Exhibits'!J237:J241),"")</f>
        <v/>
      </c>
      <c r="K241" s="3">
        <f>IF(ISNUMBER(AVERAGE('20250815_ETF_Options_Exhibits'!K237:K241)),AVERAGE('20250815_ETF_Options_Exhibits'!K237:K241),"")</f>
        <v/>
      </c>
      <c r="L241" s="3">
        <f>IF(ISNUMBER(AVERAGE('20250815_ETF_Options_Exhibits'!L237:L241)),AVERAGE('20250815_ETF_Options_Exhibits'!L237:L241),"")</f>
        <v/>
      </c>
      <c r="M241" s="3">
        <f>IF(ISNUMBER(AVERAGE('20250815_ETF_Options_Exhibits'!M237:M241)),AVERAGE('20250815_ETF_Options_Exhibits'!M237:M241),"")</f>
        <v/>
      </c>
      <c r="N241" s="3">
        <f>IF(ISNUMBER(AVERAGE('20250815_ETF_Options_Exhibits'!N237:N241)),AVERAGE('20250815_ETF_Options_Exhibits'!N237:N241),"")</f>
        <v/>
      </c>
      <c r="O241" s="3">
        <f>IF(ISNUMBER(AVERAGE('20250815_ETF_Options_Exhibits'!O237:O241)),AVERAGE('20250815_ETF_Options_Exhibits'!O237:O241),"")</f>
        <v/>
      </c>
      <c r="P241" s="3">
        <f>IF(ISNUMBER(AVERAGE('20250815_ETF_Options_Exhibits'!P237:P241)),AVERAGE('20250815_ETF_Options_Exhibits'!P237:P241),"")</f>
        <v/>
      </c>
      <c r="Q241" s="3">
        <f>IF(ISNUMBER(AVERAGE('20250815_ETF_Options_Exhibits'!Q237:Q241)),AVERAGE('20250815_ETF_Options_Exhibits'!Q237:Q241),"")</f>
        <v/>
      </c>
      <c r="R241" s="3">
        <f>IF(ISNUMBER(AVERAGE('20250815_ETF_Options_Exhibits'!R237:R241)),AVERAGE('20250815_ETF_Options_Exhibits'!R237:R241),"")</f>
        <v/>
      </c>
      <c r="S241" s="3">
        <f>IF(ISNUMBER(AVERAGE('20250815_ETF_Options_Exhibits'!S237:S241)),AVERAGE('20250815_ETF_Options_Exhibits'!S237:S241),"")</f>
        <v/>
      </c>
      <c r="T241" s="3">
        <f>IF(ISNUMBER(AVERAGE('20250815_ETF_Options_Exhibits'!T237:T241)),AVERAGE('20250815_ETF_Options_Exhibits'!T237:T241),"")</f>
        <v/>
      </c>
      <c r="U241" s="3">
        <f>IF(ISNUMBER(AVERAGE('20250815_ETF_Options_Exhibits'!U237:U241)),AVERAGE('20250815_ETF_Options_Exhibits'!U237:U241),"")</f>
        <v/>
      </c>
      <c r="V241" s="3">
        <f>IF(ISNUMBER(AVERAGE('20250815_ETF_Options_Exhibits'!V237:V241)),AVERAGE('20250815_ETF_Options_Exhibits'!V237:V241),"")</f>
        <v/>
      </c>
      <c r="W241" s="3">
        <f>IF(ISNUMBER(AVERAGE('20250815_ETF_Options_Exhibits'!W237:W241)),AVERAGE('20250815_ETF_Options_Exhibits'!W237:W241),"")</f>
        <v/>
      </c>
      <c r="X241" s="3">
        <f>IF(ISNUMBER(AVERAGE('20250815_ETF_Options_Exhibits'!X237:X241)),AVERAGE('20250815_ETF_Options_Exhibits'!X237:X241),"")</f>
        <v/>
      </c>
      <c r="Y241" s="3">
        <f>IF(ISNUMBER(AVERAGE('20250815_ETF_Options_Exhibits'!Y237:Y241)),AVERAGE('20250815_ETF_Options_Exhibits'!Y237:Y241),"")</f>
        <v/>
      </c>
      <c r="Z241" s="3">
        <f>IF(ISNUMBER(AVERAGE('20250815_ETF_Options_Exhibits'!Z237:Z241)),AVERAGE('20250815_ETF_Options_Exhibits'!Z237:Z241),"")</f>
        <v/>
      </c>
      <c r="AA241" s="3">
        <f>IF(ISNUMBER(AVERAGE('20250815_ETF_Options_Exhibits'!AA237:AA241)),AVERAGE('20250815_ETF_Options_Exhibits'!AA237:AA241),"")</f>
        <v/>
      </c>
    </row>
    <row r="242">
      <c r="A242" s="1" t="n">
        <v>42352</v>
      </c>
      <c r="B242" s="3">
        <f>IF(ISNUMBER(AVERAGE('20250815_ETF_Options_Exhibits'!B238:B242)),AVERAGE('20250815_ETF_Options_Exhibits'!B238:B242),"")</f>
        <v/>
      </c>
      <c r="C242" s="3">
        <f>IF(ISNUMBER(AVERAGE('20250815_ETF_Options_Exhibits'!C238:C242)),AVERAGE('20250815_ETF_Options_Exhibits'!C238:C242),"")</f>
        <v/>
      </c>
      <c r="D242" s="3">
        <f>IF(ISNUMBER(AVERAGE('20250815_ETF_Options_Exhibits'!D238:D242)),AVERAGE('20250815_ETF_Options_Exhibits'!D238:D242),"")</f>
        <v/>
      </c>
      <c r="E242" s="3">
        <f>IF(ISNUMBER(AVERAGE('20250815_ETF_Options_Exhibits'!E238:E242)),AVERAGE('20250815_ETF_Options_Exhibits'!E238:E242),"")</f>
        <v/>
      </c>
      <c r="F242" s="3">
        <f>IF(ISNUMBER(AVERAGE('20250815_ETF_Options_Exhibits'!F238:F242)),AVERAGE('20250815_ETF_Options_Exhibits'!F238:F242),"")</f>
        <v/>
      </c>
      <c r="G242" s="3">
        <f>IF(ISNUMBER(AVERAGE('20250815_ETF_Options_Exhibits'!G238:G242)),AVERAGE('20250815_ETF_Options_Exhibits'!G238:G242),"")</f>
        <v/>
      </c>
      <c r="H242" s="3">
        <f>IF(ISNUMBER(AVERAGE('20250815_ETF_Options_Exhibits'!H238:H242)),AVERAGE('20250815_ETF_Options_Exhibits'!H238:H242),"")</f>
        <v/>
      </c>
      <c r="I242" s="3">
        <f>IF(ISNUMBER(AVERAGE('20250815_ETF_Options_Exhibits'!I238:I242)),AVERAGE('20250815_ETF_Options_Exhibits'!I238:I242),"")</f>
        <v/>
      </c>
      <c r="J242" s="3">
        <f>IF(ISNUMBER(AVERAGE('20250815_ETF_Options_Exhibits'!J238:J242)),AVERAGE('20250815_ETF_Options_Exhibits'!J238:J242),"")</f>
        <v/>
      </c>
      <c r="K242" s="3">
        <f>IF(ISNUMBER(AVERAGE('20250815_ETF_Options_Exhibits'!K238:K242)),AVERAGE('20250815_ETF_Options_Exhibits'!K238:K242),"")</f>
        <v/>
      </c>
      <c r="L242" s="3">
        <f>IF(ISNUMBER(AVERAGE('20250815_ETF_Options_Exhibits'!L238:L242)),AVERAGE('20250815_ETF_Options_Exhibits'!L238:L242),"")</f>
        <v/>
      </c>
      <c r="M242" s="3">
        <f>IF(ISNUMBER(AVERAGE('20250815_ETF_Options_Exhibits'!M238:M242)),AVERAGE('20250815_ETF_Options_Exhibits'!M238:M242),"")</f>
        <v/>
      </c>
      <c r="N242" s="3">
        <f>IF(ISNUMBER(AVERAGE('20250815_ETF_Options_Exhibits'!N238:N242)),AVERAGE('20250815_ETF_Options_Exhibits'!N238:N242),"")</f>
        <v/>
      </c>
      <c r="O242" s="3">
        <f>IF(ISNUMBER(AVERAGE('20250815_ETF_Options_Exhibits'!O238:O242)),AVERAGE('20250815_ETF_Options_Exhibits'!O238:O242),"")</f>
        <v/>
      </c>
      <c r="P242" s="3">
        <f>IF(ISNUMBER(AVERAGE('20250815_ETF_Options_Exhibits'!P238:P242)),AVERAGE('20250815_ETF_Options_Exhibits'!P238:P242),"")</f>
        <v/>
      </c>
      <c r="Q242" s="3">
        <f>IF(ISNUMBER(AVERAGE('20250815_ETF_Options_Exhibits'!Q238:Q242)),AVERAGE('20250815_ETF_Options_Exhibits'!Q238:Q242),"")</f>
        <v/>
      </c>
      <c r="R242" s="3">
        <f>IF(ISNUMBER(AVERAGE('20250815_ETF_Options_Exhibits'!R238:R242)),AVERAGE('20250815_ETF_Options_Exhibits'!R238:R242),"")</f>
        <v/>
      </c>
      <c r="S242" s="3">
        <f>IF(ISNUMBER(AVERAGE('20250815_ETF_Options_Exhibits'!S238:S242)),AVERAGE('20250815_ETF_Options_Exhibits'!S238:S242),"")</f>
        <v/>
      </c>
      <c r="T242" s="3">
        <f>IF(ISNUMBER(AVERAGE('20250815_ETF_Options_Exhibits'!T238:T242)),AVERAGE('20250815_ETF_Options_Exhibits'!T238:T242),"")</f>
        <v/>
      </c>
      <c r="U242" s="3">
        <f>IF(ISNUMBER(AVERAGE('20250815_ETF_Options_Exhibits'!U238:U242)),AVERAGE('20250815_ETF_Options_Exhibits'!U238:U242),"")</f>
        <v/>
      </c>
      <c r="V242" s="3">
        <f>IF(ISNUMBER(AVERAGE('20250815_ETF_Options_Exhibits'!V238:V242)),AVERAGE('20250815_ETF_Options_Exhibits'!V238:V242),"")</f>
        <v/>
      </c>
      <c r="W242" s="3">
        <f>IF(ISNUMBER(AVERAGE('20250815_ETF_Options_Exhibits'!W238:W242)),AVERAGE('20250815_ETF_Options_Exhibits'!W238:W242),"")</f>
        <v/>
      </c>
      <c r="X242" s="3">
        <f>IF(ISNUMBER(AVERAGE('20250815_ETF_Options_Exhibits'!X238:X242)),AVERAGE('20250815_ETF_Options_Exhibits'!X238:X242),"")</f>
        <v/>
      </c>
      <c r="Y242" s="3">
        <f>IF(ISNUMBER(AVERAGE('20250815_ETF_Options_Exhibits'!Y238:Y242)),AVERAGE('20250815_ETF_Options_Exhibits'!Y238:Y242),"")</f>
        <v/>
      </c>
      <c r="Z242" s="3">
        <f>IF(ISNUMBER(AVERAGE('20250815_ETF_Options_Exhibits'!Z238:Z242)),AVERAGE('20250815_ETF_Options_Exhibits'!Z238:Z242),"")</f>
        <v/>
      </c>
      <c r="AA242" s="3">
        <f>IF(ISNUMBER(AVERAGE('20250815_ETF_Options_Exhibits'!AA238:AA242)),AVERAGE('20250815_ETF_Options_Exhibits'!AA238:AA242),"")</f>
        <v/>
      </c>
    </row>
    <row r="243">
      <c r="A243" s="1" t="n">
        <v>42353</v>
      </c>
      <c r="B243" s="3">
        <f>IF(ISNUMBER(AVERAGE('20250815_ETF_Options_Exhibits'!B239:B243)),AVERAGE('20250815_ETF_Options_Exhibits'!B239:B243),"")</f>
        <v/>
      </c>
      <c r="C243" s="3">
        <f>IF(ISNUMBER(AVERAGE('20250815_ETF_Options_Exhibits'!C239:C243)),AVERAGE('20250815_ETF_Options_Exhibits'!C239:C243),"")</f>
        <v/>
      </c>
      <c r="D243" s="3">
        <f>IF(ISNUMBER(AVERAGE('20250815_ETF_Options_Exhibits'!D239:D243)),AVERAGE('20250815_ETF_Options_Exhibits'!D239:D243),"")</f>
        <v/>
      </c>
      <c r="E243" s="3">
        <f>IF(ISNUMBER(AVERAGE('20250815_ETF_Options_Exhibits'!E239:E243)),AVERAGE('20250815_ETF_Options_Exhibits'!E239:E243),"")</f>
        <v/>
      </c>
      <c r="F243" s="3">
        <f>IF(ISNUMBER(AVERAGE('20250815_ETF_Options_Exhibits'!F239:F243)),AVERAGE('20250815_ETF_Options_Exhibits'!F239:F243),"")</f>
        <v/>
      </c>
      <c r="G243" s="3">
        <f>IF(ISNUMBER(AVERAGE('20250815_ETF_Options_Exhibits'!G239:G243)),AVERAGE('20250815_ETF_Options_Exhibits'!G239:G243),"")</f>
        <v/>
      </c>
      <c r="H243" s="3">
        <f>IF(ISNUMBER(AVERAGE('20250815_ETF_Options_Exhibits'!H239:H243)),AVERAGE('20250815_ETF_Options_Exhibits'!H239:H243),"")</f>
        <v/>
      </c>
      <c r="I243" s="3">
        <f>IF(ISNUMBER(AVERAGE('20250815_ETF_Options_Exhibits'!I239:I243)),AVERAGE('20250815_ETF_Options_Exhibits'!I239:I243),"")</f>
        <v/>
      </c>
      <c r="J243" s="3">
        <f>IF(ISNUMBER(AVERAGE('20250815_ETF_Options_Exhibits'!J239:J243)),AVERAGE('20250815_ETF_Options_Exhibits'!J239:J243),"")</f>
        <v/>
      </c>
      <c r="K243" s="3">
        <f>IF(ISNUMBER(AVERAGE('20250815_ETF_Options_Exhibits'!K239:K243)),AVERAGE('20250815_ETF_Options_Exhibits'!K239:K243),"")</f>
        <v/>
      </c>
      <c r="L243" s="3">
        <f>IF(ISNUMBER(AVERAGE('20250815_ETF_Options_Exhibits'!L239:L243)),AVERAGE('20250815_ETF_Options_Exhibits'!L239:L243),"")</f>
        <v/>
      </c>
      <c r="M243" s="3">
        <f>IF(ISNUMBER(AVERAGE('20250815_ETF_Options_Exhibits'!M239:M243)),AVERAGE('20250815_ETF_Options_Exhibits'!M239:M243),"")</f>
        <v/>
      </c>
      <c r="N243" s="3">
        <f>IF(ISNUMBER(AVERAGE('20250815_ETF_Options_Exhibits'!N239:N243)),AVERAGE('20250815_ETF_Options_Exhibits'!N239:N243),"")</f>
        <v/>
      </c>
      <c r="O243" s="3">
        <f>IF(ISNUMBER(AVERAGE('20250815_ETF_Options_Exhibits'!O239:O243)),AVERAGE('20250815_ETF_Options_Exhibits'!O239:O243),"")</f>
        <v/>
      </c>
      <c r="P243" s="3">
        <f>IF(ISNUMBER(AVERAGE('20250815_ETF_Options_Exhibits'!P239:P243)),AVERAGE('20250815_ETF_Options_Exhibits'!P239:P243),"")</f>
        <v/>
      </c>
      <c r="Q243" s="3">
        <f>IF(ISNUMBER(AVERAGE('20250815_ETF_Options_Exhibits'!Q239:Q243)),AVERAGE('20250815_ETF_Options_Exhibits'!Q239:Q243),"")</f>
        <v/>
      </c>
      <c r="R243" s="3">
        <f>IF(ISNUMBER(AVERAGE('20250815_ETF_Options_Exhibits'!R239:R243)),AVERAGE('20250815_ETF_Options_Exhibits'!R239:R243),"")</f>
        <v/>
      </c>
      <c r="S243" s="3">
        <f>IF(ISNUMBER(AVERAGE('20250815_ETF_Options_Exhibits'!S239:S243)),AVERAGE('20250815_ETF_Options_Exhibits'!S239:S243),"")</f>
        <v/>
      </c>
      <c r="T243" s="3">
        <f>IF(ISNUMBER(AVERAGE('20250815_ETF_Options_Exhibits'!T239:T243)),AVERAGE('20250815_ETF_Options_Exhibits'!T239:T243),"")</f>
        <v/>
      </c>
      <c r="U243" s="3">
        <f>IF(ISNUMBER(AVERAGE('20250815_ETF_Options_Exhibits'!U239:U243)),AVERAGE('20250815_ETF_Options_Exhibits'!U239:U243),"")</f>
        <v/>
      </c>
      <c r="V243" s="3">
        <f>IF(ISNUMBER(AVERAGE('20250815_ETF_Options_Exhibits'!V239:V243)),AVERAGE('20250815_ETF_Options_Exhibits'!V239:V243),"")</f>
        <v/>
      </c>
      <c r="W243" s="3">
        <f>IF(ISNUMBER(AVERAGE('20250815_ETF_Options_Exhibits'!W239:W243)),AVERAGE('20250815_ETF_Options_Exhibits'!W239:W243),"")</f>
        <v/>
      </c>
      <c r="X243" s="3">
        <f>IF(ISNUMBER(AVERAGE('20250815_ETF_Options_Exhibits'!X239:X243)),AVERAGE('20250815_ETF_Options_Exhibits'!X239:X243),"")</f>
        <v/>
      </c>
      <c r="Y243" s="3">
        <f>IF(ISNUMBER(AVERAGE('20250815_ETF_Options_Exhibits'!Y239:Y243)),AVERAGE('20250815_ETF_Options_Exhibits'!Y239:Y243),"")</f>
        <v/>
      </c>
      <c r="Z243" s="3">
        <f>IF(ISNUMBER(AVERAGE('20250815_ETF_Options_Exhibits'!Z239:Z243)),AVERAGE('20250815_ETF_Options_Exhibits'!Z239:Z243),"")</f>
        <v/>
      </c>
      <c r="AA243" s="3">
        <f>IF(ISNUMBER(AVERAGE('20250815_ETF_Options_Exhibits'!AA239:AA243)),AVERAGE('20250815_ETF_Options_Exhibits'!AA239:AA243),"")</f>
        <v/>
      </c>
    </row>
    <row r="244">
      <c r="A244" s="1" t="n">
        <v>42354</v>
      </c>
      <c r="B244" s="3">
        <f>IF(ISNUMBER(AVERAGE('20250815_ETF_Options_Exhibits'!B240:B244)),AVERAGE('20250815_ETF_Options_Exhibits'!B240:B244),"")</f>
        <v/>
      </c>
      <c r="C244" s="3">
        <f>IF(ISNUMBER(AVERAGE('20250815_ETF_Options_Exhibits'!C240:C244)),AVERAGE('20250815_ETF_Options_Exhibits'!C240:C244),"")</f>
        <v/>
      </c>
      <c r="D244" s="3">
        <f>IF(ISNUMBER(AVERAGE('20250815_ETF_Options_Exhibits'!D240:D244)),AVERAGE('20250815_ETF_Options_Exhibits'!D240:D244),"")</f>
        <v/>
      </c>
      <c r="E244" s="3">
        <f>IF(ISNUMBER(AVERAGE('20250815_ETF_Options_Exhibits'!E240:E244)),AVERAGE('20250815_ETF_Options_Exhibits'!E240:E244),"")</f>
        <v/>
      </c>
      <c r="F244" s="3">
        <f>IF(ISNUMBER(AVERAGE('20250815_ETF_Options_Exhibits'!F240:F244)),AVERAGE('20250815_ETF_Options_Exhibits'!F240:F244),"")</f>
        <v/>
      </c>
      <c r="G244" s="3">
        <f>IF(ISNUMBER(AVERAGE('20250815_ETF_Options_Exhibits'!G240:G244)),AVERAGE('20250815_ETF_Options_Exhibits'!G240:G244),"")</f>
        <v/>
      </c>
      <c r="H244" s="3">
        <f>IF(ISNUMBER(AVERAGE('20250815_ETF_Options_Exhibits'!H240:H244)),AVERAGE('20250815_ETF_Options_Exhibits'!H240:H244),"")</f>
        <v/>
      </c>
      <c r="I244" s="3">
        <f>IF(ISNUMBER(AVERAGE('20250815_ETF_Options_Exhibits'!I240:I244)),AVERAGE('20250815_ETF_Options_Exhibits'!I240:I244),"")</f>
        <v/>
      </c>
      <c r="J244" s="3">
        <f>IF(ISNUMBER(AVERAGE('20250815_ETF_Options_Exhibits'!J240:J244)),AVERAGE('20250815_ETF_Options_Exhibits'!J240:J244),"")</f>
        <v/>
      </c>
      <c r="K244" s="3">
        <f>IF(ISNUMBER(AVERAGE('20250815_ETF_Options_Exhibits'!K240:K244)),AVERAGE('20250815_ETF_Options_Exhibits'!K240:K244),"")</f>
        <v/>
      </c>
      <c r="L244" s="3">
        <f>IF(ISNUMBER(AVERAGE('20250815_ETF_Options_Exhibits'!L240:L244)),AVERAGE('20250815_ETF_Options_Exhibits'!L240:L244),"")</f>
        <v/>
      </c>
      <c r="M244" s="3">
        <f>IF(ISNUMBER(AVERAGE('20250815_ETF_Options_Exhibits'!M240:M244)),AVERAGE('20250815_ETF_Options_Exhibits'!M240:M244),"")</f>
        <v/>
      </c>
      <c r="N244" s="3">
        <f>IF(ISNUMBER(AVERAGE('20250815_ETF_Options_Exhibits'!N240:N244)),AVERAGE('20250815_ETF_Options_Exhibits'!N240:N244),"")</f>
        <v/>
      </c>
      <c r="O244" s="3">
        <f>IF(ISNUMBER(AVERAGE('20250815_ETF_Options_Exhibits'!O240:O244)),AVERAGE('20250815_ETF_Options_Exhibits'!O240:O244),"")</f>
        <v/>
      </c>
      <c r="P244" s="3">
        <f>IF(ISNUMBER(AVERAGE('20250815_ETF_Options_Exhibits'!P240:P244)),AVERAGE('20250815_ETF_Options_Exhibits'!P240:P244),"")</f>
        <v/>
      </c>
      <c r="Q244" s="3">
        <f>IF(ISNUMBER(AVERAGE('20250815_ETF_Options_Exhibits'!Q240:Q244)),AVERAGE('20250815_ETF_Options_Exhibits'!Q240:Q244),"")</f>
        <v/>
      </c>
      <c r="R244" s="3">
        <f>IF(ISNUMBER(AVERAGE('20250815_ETF_Options_Exhibits'!R240:R244)),AVERAGE('20250815_ETF_Options_Exhibits'!R240:R244),"")</f>
        <v/>
      </c>
      <c r="S244" s="3">
        <f>IF(ISNUMBER(AVERAGE('20250815_ETF_Options_Exhibits'!S240:S244)),AVERAGE('20250815_ETF_Options_Exhibits'!S240:S244),"")</f>
        <v/>
      </c>
      <c r="T244" s="3">
        <f>IF(ISNUMBER(AVERAGE('20250815_ETF_Options_Exhibits'!T240:T244)),AVERAGE('20250815_ETF_Options_Exhibits'!T240:T244),"")</f>
        <v/>
      </c>
      <c r="U244" s="3">
        <f>IF(ISNUMBER(AVERAGE('20250815_ETF_Options_Exhibits'!U240:U244)),AVERAGE('20250815_ETF_Options_Exhibits'!U240:U244),"")</f>
        <v/>
      </c>
      <c r="V244" s="3">
        <f>IF(ISNUMBER(AVERAGE('20250815_ETF_Options_Exhibits'!V240:V244)),AVERAGE('20250815_ETF_Options_Exhibits'!V240:V244),"")</f>
        <v/>
      </c>
      <c r="W244" s="3">
        <f>IF(ISNUMBER(AVERAGE('20250815_ETF_Options_Exhibits'!W240:W244)),AVERAGE('20250815_ETF_Options_Exhibits'!W240:W244),"")</f>
        <v/>
      </c>
      <c r="X244" s="3">
        <f>IF(ISNUMBER(AVERAGE('20250815_ETF_Options_Exhibits'!X240:X244)),AVERAGE('20250815_ETF_Options_Exhibits'!X240:X244),"")</f>
        <v/>
      </c>
      <c r="Y244" s="3">
        <f>IF(ISNUMBER(AVERAGE('20250815_ETF_Options_Exhibits'!Y240:Y244)),AVERAGE('20250815_ETF_Options_Exhibits'!Y240:Y244),"")</f>
        <v/>
      </c>
      <c r="Z244" s="3">
        <f>IF(ISNUMBER(AVERAGE('20250815_ETF_Options_Exhibits'!Z240:Z244)),AVERAGE('20250815_ETF_Options_Exhibits'!Z240:Z244),"")</f>
        <v/>
      </c>
      <c r="AA244" s="3">
        <f>IF(ISNUMBER(AVERAGE('20250815_ETF_Options_Exhibits'!AA240:AA244)),AVERAGE('20250815_ETF_Options_Exhibits'!AA240:AA244),"")</f>
        <v/>
      </c>
    </row>
    <row r="245">
      <c r="A245" s="1" t="n">
        <v>42355</v>
      </c>
      <c r="B245" s="3">
        <f>IF(ISNUMBER(AVERAGE('20250815_ETF_Options_Exhibits'!B241:B245)),AVERAGE('20250815_ETF_Options_Exhibits'!B241:B245),"")</f>
        <v/>
      </c>
      <c r="C245" s="3">
        <f>IF(ISNUMBER(AVERAGE('20250815_ETF_Options_Exhibits'!C241:C245)),AVERAGE('20250815_ETF_Options_Exhibits'!C241:C245),"")</f>
        <v/>
      </c>
      <c r="D245" s="3">
        <f>IF(ISNUMBER(AVERAGE('20250815_ETF_Options_Exhibits'!D241:D245)),AVERAGE('20250815_ETF_Options_Exhibits'!D241:D245),"")</f>
        <v/>
      </c>
      <c r="E245" s="3">
        <f>IF(ISNUMBER(AVERAGE('20250815_ETF_Options_Exhibits'!E241:E245)),AVERAGE('20250815_ETF_Options_Exhibits'!E241:E245),"")</f>
        <v/>
      </c>
      <c r="F245" s="3">
        <f>IF(ISNUMBER(AVERAGE('20250815_ETF_Options_Exhibits'!F241:F245)),AVERAGE('20250815_ETF_Options_Exhibits'!F241:F245),"")</f>
        <v/>
      </c>
      <c r="G245" s="3">
        <f>IF(ISNUMBER(AVERAGE('20250815_ETF_Options_Exhibits'!G241:G245)),AVERAGE('20250815_ETF_Options_Exhibits'!G241:G245),"")</f>
        <v/>
      </c>
      <c r="H245" s="3">
        <f>IF(ISNUMBER(AVERAGE('20250815_ETF_Options_Exhibits'!H241:H245)),AVERAGE('20250815_ETF_Options_Exhibits'!H241:H245),"")</f>
        <v/>
      </c>
      <c r="I245" s="3">
        <f>IF(ISNUMBER(AVERAGE('20250815_ETF_Options_Exhibits'!I241:I245)),AVERAGE('20250815_ETF_Options_Exhibits'!I241:I245),"")</f>
        <v/>
      </c>
      <c r="J245" s="3">
        <f>IF(ISNUMBER(AVERAGE('20250815_ETF_Options_Exhibits'!J241:J245)),AVERAGE('20250815_ETF_Options_Exhibits'!J241:J245),"")</f>
        <v/>
      </c>
      <c r="K245" s="3">
        <f>IF(ISNUMBER(AVERAGE('20250815_ETF_Options_Exhibits'!K241:K245)),AVERAGE('20250815_ETF_Options_Exhibits'!K241:K245),"")</f>
        <v/>
      </c>
      <c r="L245" s="3">
        <f>IF(ISNUMBER(AVERAGE('20250815_ETF_Options_Exhibits'!L241:L245)),AVERAGE('20250815_ETF_Options_Exhibits'!L241:L245),"")</f>
        <v/>
      </c>
      <c r="M245" s="3">
        <f>IF(ISNUMBER(AVERAGE('20250815_ETF_Options_Exhibits'!M241:M245)),AVERAGE('20250815_ETF_Options_Exhibits'!M241:M245),"")</f>
        <v/>
      </c>
      <c r="N245" s="3">
        <f>IF(ISNUMBER(AVERAGE('20250815_ETF_Options_Exhibits'!N241:N245)),AVERAGE('20250815_ETF_Options_Exhibits'!N241:N245),"")</f>
        <v/>
      </c>
      <c r="O245" s="3">
        <f>IF(ISNUMBER(AVERAGE('20250815_ETF_Options_Exhibits'!O241:O245)),AVERAGE('20250815_ETF_Options_Exhibits'!O241:O245),"")</f>
        <v/>
      </c>
      <c r="P245" s="3">
        <f>IF(ISNUMBER(AVERAGE('20250815_ETF_Options_Exhibits'!P241:P245)),AVERAGE('20250815_ETF_Options_Exhibits'!P241:P245),"")</f>
        <v/>
      </c>
      <c r="Q245" s="3">
        <f>IF(ISNUMBER(AVERAGE('20250815_ETF_Options_Exhibits'!Q241:Q245)),AVERAGE('20250815_ETF_Options_Exhibits'!Q241:Q245),"")</f>
        <v/>
      </c>
      <c r="R245" s="3">
        <f>IF(ISNUMBER(AVERAGE('20250815_ETF_Options_Exhibits'!R241:R245)),AVERAGE('20250815_ETF_Options_Exhibits'!R241:R245),"")</f>
        <v/>
      </c>
      <c r="S245" s="3">
        <f>IF(ISNUMBER(AVERAGE('20250815_ETF_Options_Exhibits'!S241:S245)),AVERAGE('20250815_ETF_Options_Exhibits'!S241:S245),"")</f>
        <v/>
      </c>
      <c r="T245" s="3">
        <f>IF(ISNUMBER(AVERAGE('20250815_ETF_Options_Exhibits'!T241:T245)),AVERAGE('20250815_ETF_Options_Exhibits'!T241:T245),"")</f>
        <v/>
      </c>
      <c r="U245" s="3">
        <f>IF(ISNUMBER(AVERAGE('20250815_ETF_Options_Exhibits'!U241:U245)),AVERAGE('20250815_ETF_Options_Exhibits'!U241:U245),"")</f>
        <v/>
      </c>
      <c r="V245" s="3">
        <f>IF(ISNUMBER(AVERAGE('20250815_ETF_Options_Exhibits'!V241:V245)),AVERAGE('20250815_ETF_Options_Exhibits'!V241:V245),"")</f>
        <v/>
      </c>
      <c r="W245" s="3">
        <f>IF(ISNUMBER(AVERAGE('20250815_ETF_Options_Exhibits'!W241:W245)),AVERAGE('20250815_ETF_Options_Exhibits'!W241:W245),"")</f>
        <v/>
      </c>
      <c r="X245" s="3">
        <f>IF(ISNUMBER(AVERAGE('20250815_ETF_Options_Exhibits'!X241:X245)),AVERAGE('20250815_ETF_Options_Exhibits'!X241:X245),"")</f>
        <v/>
      </c>
      <c r="Y245" s="3">
        <f>IF(ISNUMBER(AVERAGE('20250815_ETF_Options_Exhibits'!Y241:Y245)),AVERAGE('20250815_ETF_Options_Exhibits'!Y241:Y245),"")</f>
        <v/>
      </c>
      <c r="Z245" s="3">
        <f>IF(ISNUMBER(AVERAGE('20250815_ETF_Options_Exhibits'!Z241:Z245)),AVERAGE('20250815_ETF_Options_Exhibits'!Z241:Z245),"")</f>
        <v/>
      </c>
      <c r="AA245" s="3">
        <f>IF(ISNUMBER(AVERAGE('20250815_ETF_Options_Exhibits'!AA241:AA245)),AVERAGE('20250815_ETF_Options_Exhibits'!AA241:AA245),"")</f>
        <v/>
      </c>
    </row>
    <row r="246">
      <c r="A246" s="1" t="n">
        <v>42356</v>
      </c>
      <c r="B246" s="3">
        <f>IF(ISNUMBER(AVERAGE('20250815_ETF_Options_Exhibits'!B242:B246)),AVERAGE('20250815_ETF_Options_Exhibits'!B242:B246),"")</f>
        <v/>
      </c>
      <c r="C246" s="3">
        <f>IF(ISNUMBER(AVERAGE('20250815_ETF_Options_Exhibits'!C242:C246)),AVERAGE('20250815_ETF_Options_Exhibits'!C242:C246),"")</f>
        <v/>
      </c>
      <c r="D246" s="3">
        <f>IF(ISNUMBER(AVERAGE('20250815_ETF_Options_Exhibits'!D242:D246)),AVERAGE('20250815_ETF_Options_Exhibits'!D242:D246),"")</f>
        <v/>
      </c>
      <c r="E246" s="3">
        <f>IF(ISNUMBER(AVERAGE('20250815_ETF_Options_Exhibits'!E242:E246)),AVERAGE('20250815_ETF_Options_Exhibits'!E242:E246),"")</f>
        <v/>
      </c>
      <c r="F246" s="3">
        <f>IF(ISNUMBER(AVERAGE('20250815_ETF_Options_Exhibits'!F242:F246)),AVERAGE('20250815_ETF_Options_Exhibits'!F242:F246),"")</f>
        <v/>
      </c>
      <c r="G246" s="3">
        <f>IF(ISNUMBER(AVERAGE('20250815_ETF_Options_Exhibits'!G242:G246)),AVERAGE('20250815_ETF_Options_Exhibits'!G242:G246),"")</f>
        <v/>
      </c>
      <c r="H246" s="3">
        <f>IF(ISNUMBER(AVERAGE('20250815_ETF_Options_Exhibits'!H242:H246)),AVERAGE('20250815_ETF_Options_Exhibits'!H242:H246),"")</f>
        <v/>
      </c>
      <c r="I246" s="3">
        <f>IF(ISNUMBER(AVERAGE('20250815_ETF_Options_Exhibits'!I242:I246)),AVERAGE('20250815_ETF_Options_Exhibits'!I242:I246),"")</f>
        <v/>
      </c>
      <c r="J246" s="3">
        <f>IF(ISNUMBER(AVERAGE('20250815_ETF_Options_Exhibits'!J242:J246)),AVERAGE('20250815_ETF_Options_Exhibits'!J242:J246),"")</f>
        <v/>
      </c>
      <c r="K246" s="3">
        <f>IF(ISNUMBER(AVERAGE('20250815_ETF_Options_Exhibits'!K242:K246)),AVERAGE('20250815_ETF_Options_Exhibits'!K242:K246),"")</f>
        <v/>
      </c>
      <c r="L246" s="3">
        <f>IF(ISNUMBER(AVERAGE('20250815_ETF_Options_Exhibits'!L242:L246)),AVERAGE('20250815_ETF_Options_Exhibits'!L242:L246),"")</f>
        <v/>
      </c>
      <c r="M246" s="3">
        <f>IF(ISNUMBER(AVERAGE('20250815_ETF_Options_Exhibits'!M242:M246)),AVERAGE('20250815_ETF_Options_Exhibits'!M242:M246),"")</f>
        <v/>
      </c>
      <c r="N246" s="3">
        <f>IF(ISNUMBER(AVERAGE('20250815_ETF_Options_Exhibits'!N242:N246)),AVERAGE('20250815_ETF_Options_Exhibits'!N242:N246),"")</f>
        <v/>
      </c>
      <c r="O246" s="3">
        <f>IF(ISNUMBER(AVERAGE('20250815_ETF_Options_Exhibits'!O242:O246)),AVERAGE('20250815_ETF_Options_Exhibits'!O242:O246),"")</f>
        <v/>
      </c>
      <c r="P246" s="3">
        <f>IF(ISNUMBER(AVERAGE('20250815_ETF_Options_Exhibits'!P242:P246)),AVERAGE('20250815_ETF_Options_Exhibits'!P242:P246),"")</f>
        <v/>
      </c>
      <c r="Q246" s="3">
        <f>IF(ISNUMBER(AVERAGE('20250815_ETF_Options_Exhibits'!Q242:Q246)),AVERAGE('20250815_ETF_Options_Exhibits'!Q242:Q246),"")</f>
        <v/>
      </c>
      <c r="R246" s="3">
        <f>IF(ISNUMBER(AVERAGE('20250815_ETF_Options_Exhibits'!R242:R246)),AVERAGE('20250815_ETF_Options_Exhibits'!R242:R246),"")</f>
        <v/>
      </c>
      <c r="S246" s="3">
        <f>IF(ISNUMBER(AVERAGE('20250815_ETF_Options_Exhibits'!S242:S246)),AVERAGE('20250815_ETF_Options_Exhibits'!S242:S246),"")</f>
        <v/>
      </c>
      <c r="T246" s="3">
        <f>IF(ISNUMBER(AVERAGE('20250815_ETF_Options_Exhibits'!T242:T246)),AVERAGE('20250815_ETF_Options_Exhibits'!T242:T246),"")</f>
        <v/>
      </c>
      <c r="U246" s="3">
        <f>IF(ISNUMBER(AVERAGE('20250815_ETF_Options_Exhibits'!U242:U246)),AVERAGE('20250815_ETF_Options_Exhibits'!U242:U246),"")</f>
        <v/>
      </c>
      <c r="V246" s="3">
        <f>IF(ISNUMBER(AVERAGE('20250815_ETF_Options_Exhibits'!V242:V246)),AVERAGE('20250815_ETF_Options_Exhibits'!V242:V246),"")</f>
        <v/>
      </c>
      <c r="W246" s="3">
        <f>IF(ISNUMBER(AVERAGE('20250815_ETF_Options_Exhibits'!W242:W246)),AVERAGE('20250815_ETF_Options_Exhibits'!W242:W246),"")</f>
        <v/>
      </c>
      <c r="X246" s="3">
        <f>IF(ISNUMBER(AVERAGE('20250815_ETF_Options_Exhibits'!X242:X246)),AVERAGE('20250815_ETF_Options_Exhibits'!X242:X246),"")</f>
        <v/>
      </c>
      <c r="Y246" s="3">
        <f>IF(ISNUMBER(AVERAGE('20250815_ETF_Options_Exhibits'!Y242:Y246)),AVERAGE('20250815_ETF_Options_Exhibits'!Y242:Y246),"")</f>
        <v/>
      </c>
      <c r="Z246" s="3">
        <f>IF(ISNUMBER(AVERAGE('20250815_ETF_Options_Exhibits'!Z242:Z246)),AVERAGE('20250815_ETF_Options_Exhibits'!Z242:Z246),"")</f>
        <v/>
      </c>
      <c r="AA246" s="3">
        <f>IF(ISNUMBER(AVERAGE('20250815_ETF_Options_Exhibits'!AA242:AA246)),AVERAGE('20250815_ETF_Options_Exhibits'!AA242:AA246),"")</f>
        <v/>
      </c>
    </row>
    <row r="247">
      <c r="A247" s="1" t="n">
        <v>42359</v>
      </c>
      <c r="B247" s="3">
        <f>IF(ISNUMBER(AVERAGE('20250815_ETF_Options_Exhibits'!B243:B247)),AVERAGE('20250815_ETF_Options_Exhibits'!B243:B247),"")</f>
        <v/>
      </c>
      <c r="C247" s="3">
        <f>IF(ISNUMBER(AVERAGE('20250815_ETF_Options_Exhibits'!C243:C247)),AVERAGE('20250815_ETF_Options_Exhibits'!C243:C247),"")</f>
        <v/>
      </c>
      <c r="D247" s="3">
        <f>IF(ISNUMBER(AVERAGE('20250815_ETF_Options_Exhibits'!D243:D247)),AVERAGE('20250815_ETF_Options_Exhibits'!D243:D247),"")</f>
        <v/>
      </c>
      <c r="E247" s="3">
        <f>IF(ISNUMBER(AVERAGE('20250815_ETF_Options_Exhibits'!E243:E247)),AVERAGE('20250815_ETF_Options_Exhibits'!E243:E247),"")</f>
        <v/>
      </c>
      <c r="F247" s="3">
        <f>IF(ISNUMBER(AVERAGE('20250815_ETF_Options_Exhibits'!F243:F247)),AVERAGE('20250815_ETF_Options_Exhibits'!F243:F247),"")</f>
        <v/>
      </c>
      <c r="G247" s="3">
        <f>IF(ISNUMBER(AVERAGE('20250815_ETF_Options_Exhibits'!G243:G247)),AVERAGE('20250815_ETF_Options_Exhibits'!G243:G247),"")</f>
        <v/>
      </c>
      <c r="H247" s="3">
        <f>IF(ISNUMBER(AVERAGE('20250815_ETF_Options_Exhibits'!H243:H247)),AVERAGE('20250815_ETF_Options_Exhibits'!H243:H247),"")</f>
        <v/>
      </c>
      <c r="I247" s="3">
        <f>IF(ISNUMBER(AVERAGE('20250815_ETF_Options_Exhibits'!I243:I247)),AVERAGE('20250815_ETF_Options_Exhibits'!I243:I247),"")</f>
        <v/>
      </c>
      <c r="J247" s="3">
        <f>IF(ISNUMBER(AVERAGE('20250815_ETF_Options_Exhibits'!J243:J247)),AVERAGE('20250815_ETF_Options_Exhibits'!J243:J247),"")</f>
        <v/>
      </c>
      <c r="K247" s="3">
        <f>IF(ISNUMBER(AVERAGE('20250815_ETF_Options_Exhibits'!K243:K247)),AVERAGE('20250815_ETF_Options_Exhibits'!K243:K247),"")</f>
        <v/>
      </c>
      <c r="L247" s="3">
        <f>IF(ISNUMBER(AVERAGE('20250815_ETF_Options_Exhibits'!L243:L247)),AVERAGE('20250815_ETF_Options_Exhibits'!L243:L247),"")</f>
        <v/>
      </c>
      <c r="M247" s="3">
        <f>IF(ISNUMBER(AVERAGE('20250815_ETF_Options_Exhibits'!M243:M247)),AVERAGE('20250815_ETF_Options_Exhibits'!M243:M247),"")</f>
        <v/>
      </c>
      <c r="N247" s="3">
        <f>IF(ISNUMBER(AVERAGE('20250815_ETF_Options_Exhibits'!N243:N247)),AVERAGE('20250815_ETF_Options_Exhibits'!N243:N247),"")</f>
        <v/>
      </c>
      <c r="O247" s="3">
        <f>IF(ISNUMBER(AVERAGE('20250815_ETF_Options_Exhibits'!O243:O247)),AVERAGE('20250815_ETF_Options_Exhibits'!O243:O247),"")</f>
        <v/>
      </c>
      <c r="P247" s="3">
        <f>IF(ISNUMBER(AVERAGE('20250815_ETF_Options_Exhibits'!P243:P247)),AVERAGE('20250815_ETF_Options_Exhibits'!P243:P247),"")</f>
        <v/>
      </c>
      <c r="Q247" s="3">
        <f>IF(ISNUMBER(AVERAGE('20250815_ETF_Options_Exhibits'!Q243:Q247)),AVERAGE('20250815_ETF_Options_Exhibits'!Q243:Q247),"")</f>
        <v/>
      </c>
      <c r="R247" s="3">
        <f>IF(ISNUMBER(AVERAGE('20250815_ETF_Options_Exhibits'!R243:R247)),AVERAGE('20250815_ETF_Options_Exhibits'!R243:R247),"")</f>
        <v/>
      </c>
      <c r="S247" s="3">
        <f>IF(ISNUMBER(AVERAGE('20250815_ETF_Options_Exhibits'!S243:S247)),AVERAGE('20250815_ETF_Options_Exhibits'!S243:S247),"")</f>
        <v/>
      </c>
      <c r="T247" s="3">
        <f>IF(ISNUMBER(AVERAGE('20250815_ETF_Options_Exhibits'!T243:T247)),AVERAGE('20250815_ETF_Options_Exhibits'!T243:T247),"")</f>
        <v/>
      </c>
      <c r="U247" s="3">
        <f>IF(ISNUMBER(AVERAGE('20250815_ETF_Options_Exhibits'!U243:U247)),AVERAGE('20250815_ETF_Options_Exhibits'!U243:U247),"")</f>
        <v/>
      </c>
      <c r="V247" s="3">
        <f>IF(ISNUMBER(AVERAGE('20250815_ETF_Options_Exhibits'!V243:V247)),AVERAGE('20250815_ETF_Options_Exhibits'!V243:V247),"")</f>
        <v/>
      </c>
      <c r="W247" s="3">
        <f>IF(ISNUMBER(AVERAGE('20250815_ETF_Options_Exhibits'!W243:W247)),AVERAGE('20250815_ETF_Options_Exhibits'!W243:W247),"")</f>
        <v/>
      </c>
      <c r="X247" s="3">
        <f>IF(ISNUMBER(AVERAGE('20250815_ETF_Options_Exhibits'!X243:X247)),AVERAGE('20250815_ETF_Options_Exhibits'!X243:X247),"")</f>
        <v/>
      </c>
      <c r="Y247" s="3">
        <f>IF(ISNUMBER(AVERAGE('20250815_ETF_Options_Exhibits'!Y243:Y247)),AVERAGE('20250815_ETF_Options_Exhibits'!Y243:Y247),"")</f>
        <v/>
      </c>
      <c r="Z247" s="3">
        <f>IF(ISNUMBER(AVERAGE('20250815_ETF_Options_Exhibits'!Z243:Z247)),AVERAGE('20250815_ETF_Options_Exhibits'!Z243:Z247),"")</f>
        <v/>
      </c>
      <c r="AA247" s="3">
        <f>IF(ISNUMBER(AVERAGE('20250815_ETF_Options_Exhibits'!AA243:AA247)),AVERAGE('20250815_ETF_Options_Exhibits'!AA243:AA247),"")</f>
        <v/>
      </c>
    </row>
    <row r="248">
      <c r="A248" s="1" t="n">
        <v>42360</v>
      </c>
      <c r="B248" s="3">
        <f>IF(ISNUMBER(AVERAGE('20250815_ETF_Options_Exhibits'!B244:B248)),AVERAGE('20250815_ETF_Options_Exhibits'!B244:B248),"")</f>
        <v/>
      </c>
      <c r="C248" s="3">
        <f>IF(ISNUMBER(AVERAGE('20250815_ETF_Options_Exhibits'!C244:C248)),AVERAGE('20250815_ETF_Options_Exhibits'!C244:C248),"")</f>
        <v/>
      </c>
      <c r="D248" s="3">
        <f>IF(ISNUMBER(AVERAGE('20250815_ETF_Options_Exhibits'!D244:D248)),AVERAGE('20250815_ETF_Options_Exhibits'!D244:D248),"")</f>
        <v/>
      </c>
      <c r="E248" s="3">
        <f>IF(ISNUMBER(AVERAGE('20250815_ETF_Options_Exhibits'!E244:E248)),AVERAGE('20250815_ETF_Options_Exhibits'!E244:E248),"")</f>
        <v/>
      </c>
      <c r="F248" s="3">
        <f>IF(ISNUMBER(AVERAGE('20250815_ETF_Options_Exhibits'!F244:F248)),AVERAGE('20250815_ETF_Options_Exhibits'!F244:F248),"")</f>
        <v/>
      </c>
      <c r="G248" s="3">
        <f>IF(ISNUMBER(AVERAGE('20250815_ETF_Options_Exhibits'!G244:G248)),AVERAGE('20250815_ETF_Options_Exhibits'!G244:G248),"")</f>
        <v/>
      </c>
      <c r="H248" s="3">
        <f>IF(ISNUMBER(AVERAGE('20250815_ETF_Options_Exhibits'!H244:H248)),AVERAGE('20250815_ETF_Options_Exhibits'!H244:H248),"")</f>
        <v/>
      </c>
      <c r="I248" s="3">
        <f>IF(ISNUMBER(AVERAGE('20250815_ETF_Options_Exhibits'!I244:I248)),AVERAGE('20250815_ETF_Options_Exhibits'!I244:I248),"")</f>
        <v/>
      </c>
      <c r="J248" s="3">
        <f>IF(ISNUMBER(AVERAGE('20250815_ETF_Options_Exhibits'!J244:J248)),AVERAGE('20250815_ETF_Options_Exhibits'!J244:J248),"")</f>
        <v/>
      </c>
      <c r="K248" s="3">
        <f>IF(ISNUMBER(AVERAGE('20250815_ETF_Options_Exhibits'!K244:K248)),AVERAGE('20250815_ETF_Options_Exhibits'!K244:K248),"")</f>
        <v/>
      </c>
      <c r="L248" s="3">
        <f>IF(ISNUMBER(AVERAGE('20250815_ETF_Options_Exhibits'!L244:L248)),AVERAGE('20250815_ETF_Options_Exhibits'!L244:L248),"")</f>
        <v/>
      </c>
      <c r="M248" s="3">
        <f>IF(ISNUMBER(AVERAGE('20250815_ETF_Options_Exhibits'!M244:M248)),AVERAGE('20250815_ETF_Options_Exhibits'!M244:M248),"")</f>
        <v/>
      </c>
      <c r="N248" s="3">
        <f>IF(ISNUMBER(AVERAGE('20250815_ETF_Options_Exhibits'!N244:N248)),AVERAGE('20250815_ETF_Options_Exhibits'!N244:N248),"")</f>
        <v/>
      </c>
      <c r="O248" s="3">
        <f>IF(ISNUMBER(AVERAGE('20250815_ETF_Options_Exhibits'!O244:O248)),AVERAGE('20250815_ETF_Options_Exhibits'!O244:O248),"")</f>
        <v/>
      </c>
      <c r="P248" s="3">
        <f>IF(ISNUMBER(AVERAGE('20250815_ETF_Options_Exhibits'!P244:P248)),AVERAGE('20250815_ETF_Options_Exhibits'!P244:P248),"")</f>
        <v/>
      </c>
      <c r="Q248" s="3">
        <f>IF(ISNUMBER(AVERAGE('20250815_ETF_Options_Exhibits'!Q244:Q248)),AVERAGE('20250815_ETF_Options_Exhibits'!Q244:Q248),"")</f>
        <v/>
      </c>
      <c r="R248" s="3">
        <f>IF(ISNUMBER(AVERAGE('20250815_ETF_Options_Exhibits'!R244:R248)),AVERAGE('20250815_ETF_Options_Exhibits'!R244:R248),"")</f>
        <v/>
      </c>
      <c r="S248" s="3">
        <f>IF(ISNUMBER(AVERAGE('20250815_ETF_Options_Exhibits'!S244:S248)),AVERAGE('20250815_ETF_Options_Exhibits'!S244:S248),"")</f>
        <v/>
      </c>
      <c r="T248" s="3">
        <f>IF(ISNUMBER(AVERAGE('20250815_ETF_Options_Exhibits'!T244:T248)),AVERAGE('20250815_ETF_Options_Exhibits'!T244:T248),"")</f>
        <v/>
      </c>
      <c r="U248" s="3">
        <f>IF(ISNUMBER(AVERAGE('20250815_ETF_Options_Exhibits'!U244:U248)),AVERAGE('20250815_ETF_Options_Exhibits'!U244:U248),"")</f>
        <v/>
      </c>
      <c r="V248" s="3">
        <f>IF(ISNUMBER(AVERAGE('20250815_ETF_Options_Exhibits'!V244:V248)),AVERAGE('20250815_ETF_Options_Exhibits'!V244:V248),"")</f>
        <v/>
      </c>
      <c r="W248" s="3">
        <f>IF(ISNUMBER(AVERAGE('20250815_ETF_Options_Exhibits'!W244:W248)),AVERAGE('20250815_ETF_Options_Exhibits'!W244:W248),"")</f>
        <v/>
      </c>
      <c r="X248" s="3">
        <f>IF(ISNUMBER(AVERAGE('20250815_ETF_Options_Exhibits'!X244:X248)),AVERAGE('20250815_ETF_Options_Exhibits'!X244:X248),"")</f>
        <v/>
      </c>
      <c r="Y248" s="3">
        <f>IF(ISNUMBER(AVERAGE('20250815_ETF_Options_Exhibits'!Y244:Y248)),AVERAGE('20250815_ETF_Options_Exhibits'!Y244:Y248),"")</f>
        <v/>
      </c>
      <c r="Z248" s="3">
        <f>IF(ISNUMBER(AVERAGE('20250815_ETF_Options_Exhibits'!Z244:Z248)),AVERAGE('20250815_ETF_Options_Exhibits'!Z244:Z248),"")</f>
        <v/>
      </c>
      <c r="AA248" s="3">
        <f>IF(ISNUMBER(AVERAGE('20250815_ETF_Options_Exhibits'!AA244:AA248)),AVERAGE('20250815_ETF_Options_Exhibits'!AA244:AA248),"")</f>
        <v/>
      </c>
    </row>
    <row r="249">
      <c r="A249" s="1" t="n">
        <v>42361</v>
      </c>
      <c r="B249" s="3">
        <f>IF(ISNUMBER(AVERAGE('20250815_ETF_Options_Exhibits'!B245:B249)),AVERAGE('20250815_ETF_Options_Exhibits'!B245:B249),"")</f>
        <v/>
      </c>
      <c r="C249" s="3">
        <f>IF(ISNUMBER(AVERAGE('20250815_ETF_Options_Exhibits'!C245:C249)),AVERAGE('20250815_ETF_Options_Exhibits'!C245:C249),"")</f>
        <v/>
      </c>
      <c r="D249" s="3">
        <f>IF(ISNUMBER(AVERAGE('20250815_ETF_Options_Exhibits'!D245:D249)),AVERAGE('20250815_ETF_Options_Exhibits'!D245:D249),"")</f>
        <v/>
      </c>
      <c r="E249" s="3">
        <f>IF(ISNUMBER(AVERAGE('20250815_ETF_Options_Exhibits'!E245:E249)),AVERAGE('20250815_ETF_Options_Exhibits'!E245:E249),"")</f>
        <v/>
      </c>
      <c r="F249" s="3">
        <f>IF(ISNUMBER(AVERAGE('20250815_ETF_Options_Exhibits'!F245:F249)),AVERAGE('20250815_ETF_Options_Exhibits'!F245:F249),"")</f>
        <v/>
      </c>
      <c r="G249" s="3">
        <f>IF(ISNUMBER(AVERAGE('20250815_ETF_Options_Exhibits'!G245:G249)),AVERAGE('20250815_ETF_Options_Exhibits'!G245:G249),"")</f>
        <v/>
      </c>
      <c r="H249" s="3">
        <f>IF(ISNUMBER(AVERAGE('20250815_ETF_Options_Exhibits'!H245:H249)),AVERAGE('20250815_ETF_Options_Exhibits'!H245:H249),"")</f>
        <v/>
      </c>
      <c r="I249" s="3">
        <f>IF(ISNUMBER(AVERAGE('20250815_ETF_Options_Exhibits'!I245:I249)),AVERAGE('20250815_ETF_Options_Exhibits'!I245:I249),"")</f>
        <v/>
      </c>
      <c r="J249" s="3">
        <f>IF(ISNUMBER(AVERAGE('20250815_ETF_Options_Exhibits'!J245:J249)),AVERAGE('20250815_ETF_Options_Exhibits'!J245:J249),"")</f>
        <v/>
      </c>
      <c r="K249" s="3">
        <f>IF(ISNUMBER(AVERAGE('20250815_ETF_Options_Exhibits'!K245:K249)),AVERAGE('20250815_ETF_Options_Exhibits'!K245:K249),"")</f>
        <v/>
      </c>
      <c r="L249" s="3">
        <f>IF(ISNUMBER(AVERAGE('20250815_ETF_Options_Exhibits'!L245:L249)),AVERAGE('20250815_ETF_Options_Exhibits'!L245:L249),"")</f>
        <v/>
      </c>
      <c r="M249" s="3">
        <f>IF(ISNUMBER(AVERAGE('20250815_ETF_Options_Exhibits'!M245:M249)),AVERAGE('20250815_ETF_Options_Exhibits'!M245:M249),"")</f>
        <v/>
      </c>
      <c r="N249" s="3">
        <f>IF(ISNUMBER(AVERAGE('20250815_ETF_Options_Exhibits'!N245:N249)),AVERAGE('20250815_ETF_Options_Exhibits'!N245:N249),"")</f>
        <v/>
      </c>
      <c r="O249" s="3">
        <f>IF(ISNUMBER(AVERAGE('20250815_ETF_Options_Exhibits'!O245:O249)),AVERAGE('20250815_ETF_Options_Exhibits'!O245:O249),"")</f>
        <v/>
      </c>
      <c r="P249" s="3">
        <f>IF(ISNUMBER(AVERAGE('20250815_ETF_Options_Exhibits'!P245:P249)),AVERAGE('20250815_ETF_Options_Exhibits'!P245:P249),"")</f>
        <v/>
      </c>
      <c r="Q249" s="3">
        <f>IF(ISNUMBER(AVERAGE('20250815_ETF_Options_Exhibits'!Q245:Q249)),AVERAGE('20250815_ETF_Options_Exhibits'!Q245:Q249),"")</f>
        <v/>
      </c>
      <c r="R249" s="3">
        <f>IF(ISNUMBER(AVERAGE('20250815_ETF_Options_Exhibits'!R245:R249)),AVERAGE('20250815_ETF_Options_Exhibits'!R245:R249),"")</f>
        <v/>
      </c>
      <c r="S249" s="3">
        <f>IF(ISNUMBER(AVERAGE('20250815_ETF_Options_Exhibits'!S245:S249)),AVERAGE('20250815_ETF_Options_Exhibits'!S245:S249),"")</f>
        <v/>
      </c>
      <c r="T249" s="3">
        <f>IF(ISNUMBER(AVERAGE('20250815_ETF_Options_Exhibits'!T245:T249)),AVERAGE('20250815_ETF_Options_Exhibits'!T245:T249),"")</f>
        <v/>
      </c>
      <c r="U249" s="3">
        <f>IF(ISNUMBER(AVERAGE('20250815_ETF_Options_Exhibits'!U245:U249)),AVERAGE('20250815_ETF_Options_Exhibits'!U245:U249),"")</f>
        <v/>
      </c>
      <c r="V249" s="3">
        <f>IF(ISNUMBER(AVERAGE('20250815_ETF_Options_Exhibits'!V245:V249)),AVERAGE('20250815_ETF_Options_Exhibits'!V245:V249),"")</f>
        <v/>
      </c>
      <c r="W249" s="3">
        <f>IF(ISNUMBER(AVERAGE('20250815_ETF_Options_Exhibits'!W245:W249)),AVERAGE('20250815_ETF_Options_Exhibits'!W245:W249),"")</f>
        <v/>
      </c>
      <c r="X249" s="3">
        <f>IF(ISNUMBER(AVERAGE('20250815_ETF_Options_Exhibits'!X245:X249)),AVERAGE('20250815_ETF_Options_Exhibits'!X245:X249),"")</f>
        <v/>
      </c>
      <c r="Y249" s="3">
        <f>IF(ISNUMBER(AVERAGE('20250815_ETF_Options_Exhibits'!Y245:Y249)),AVERAGE('20250815_ETF_Options_Exhibits'!Y245:Y249),"")</f>
        <v/>
      </c>
      <c r="Z249" s="3">
        <f>IF(ISNUMBER(AVERAGE('20250815_ETF_Options_Exhibits'!Z245:Z249)),AVERAGE('20250815_ETF_Options_Exhibits'!Z245:Z249),"")</f>
        <v/>
      </c>
      <c r="AA249" s="3">
        <f>IF(ISNUMBER(AVERAGE('20250815_ETF_Options_Exhibits'!AA245:AA249)),AVERAGE('20250815_ETF_Options_Exhibits'!AA245:AA249),"")</f>
        <v/>
      </c>
    </row>
    <row r="250">
      <c r="A250" s="1" t="n">
        <v>42362</v>
      </c>
      <c r="B250" s="3">
        <f>IF(ISNUMBER(AVERAGE('20250815_ETF_Options_Exhibits'!B246:B250)),AVERAGE('20250815_ETF_Options_Exhibits'!B246:B250),"")</f>
        <v/>
      </c>
      <c r="C250" s="3">
        <f>IF(ISNUMBER(AVERAGE('20250815_ETF_Options_Exhibits'!C246:C250)),AVERAGE('20250815_ETF_Options_Exhibits'!C246:C250),"")</f>
        <v/>
      </c>
      <c r="D250" s="3">
        <f>IF(ISNUMBER(AVERAGE('20250815_ETF_Options_Exhibits'!D246:D250)),AVERAGE('20250815_ETF_Options_Exhibits'!D246:D250),"")</f>
        <v/>
      </c>
      <c r="E250" s="3">
        <f>IF(ISNUMBER(AVERAGE('20250815_ETF_Options_Exhibits'!E246:E250)),AVERAGE('20250815_ETF_Options_Exhibits'!E246:E250),"")</f>
        <v/>
      </c>
      <c r="F250" s="3">
        <f>IF(ISNUMBER(AVERAGE('20250815_ETF_Options_Exhibits'!F246:F250)),AVERAGE('20250815_ETF_Options_Exhibits'!F246:F250),"")</f>
        <v/>
      </c>
      <c r="G250" s="3">
        <f>IF(ISNUMBER(AVERAGE('20250815_ETF_Options_Exhibits'!G246:G250)),AVERAGE('20250815_ETF_Options_Exhibits'!G246:G250),"")</f>
        <v/>
      </c>
      <c r="H250" s="3">
        <f>IF(ISNUMBER(AVERAGE('20250815_ETF_Options_Exhibits'!H246:H250)),AVERAGE('20250815_ETF_Options_Exhibits'!H246:H250),"")</f>
        <v/>
      </c>
      <c r="I250" s="3">
        <f>IF(ISNUMBER(AVERAGE('20250815_ETF_Options_Exhibits'!I246:I250)),AVERAGE('20250815_ETF_Options_Exhibits'!I246:I250),"")</f>
        <v/>
      </c>
      <c r="J250" s="3">
        <f>IF(ISNUMBER(AVERAGE('20250815_ETF_Options_Exhibits'!J246:J250)),AVERAGE('20250815_ETF_Options_Exhibits'!J246:J250),"")</f>
        <v/>
      </c>
      <c r="K250" s="3">
        <f>IF(ISNUMBER(AVERAGE('20250815_ETF_Options_Exhibits'!K246:K250)),AVERAGE('20250815_ETF_Options_Exhibits'!K246:K250),"")</f>
        <v/>
      </c>
      <c r="L250" s="3">
        <f>IF(ISNUMBER(AVERAGE('20250815_ETF_Options_Exhibits'!L246:L250)),AVERAGE('20250815_ETF_Options_Exhibits'!L246:L250),"")</f>
        <v/>
      </c>
      <c r="M250" s="3">
        <f>IF(ISNUMBER(AVERAGE('20250815_ETF_Options_Exhibits'!M246:M250)),AVERAGE('20250815_ETF_Options_Exhibits'!M246:M250),"")</f>
        <v/>
      </c>
      <c r="N250" s="3">
        <f>IF(ISNUMBER(AVERAGE('20250815_ETF_Options_Exhibits'!N246:N250)),AVERAGE('20250815_ETF_Options_Exhibits'!N246:N250),"")</f>
        <v/>
      </c>
      <c r="O250" s="3">
        <f>IF(ISNUMBER(AVERAGE('20250815_ETF_Options_Exhibits'!O246:O250)),AVERAGE('20250815_ETF_Options_Exhibits'!O246:O250),"")</f>
        <v/>
      </c>
      <c r="P250" s="3">
        <f>IF(ISNUMBER(AVERAGE('20250815_ETF_Options_Exhibits'!P246:P250)),AVERAGE('20250815_ETF_Options_Exhibits'!P246:P250),"")</f>
        <v/>
      </c>
      <c r="Q250" s="3">
        <f>IF(ISNUMBER(AVERAGE('20250815_ETF_Options_Exhibits'!Q246:Q250)),AVERAGE('20250815_ETF_Options_Exhibits'!Q246:Q250),"")</f>
        <v/>
      </c>
      <c r="R250" s="3">
        <f>IF(ISNUMBER(AVERAGE('20250815_ETF_Options_Exhibits'!R246:R250)),AVERAGE('20250815_ETF_Options_Exhibits'!R246:R250),"")</f>
        <v/>
      </c>
      <c r="S250" s="3">
        <f>IF(ISNUMBER(AVERAGE('20250815_ETF_Options_Exhibits'!S246:S250)),AVERAGE('20250815_ETF_Options_Exhibits'!S246:S250),"")</f>
        <v/>
      </c>
      <c r="T250" s="3">
        <f>IF(ISNUMBER(AVERAGE('20250815_ETF_Options_Exhibits'!T246:T250)),AVERAGE('20250815_ETF_Options_Exhibits'!T246:T250),"")</f>
        <v/>
      </c>
      <c r="U250" s="3">
        <f>IF(ISNUMBER(AVERAGE('20250815_ETF_Options_Exhibits'!U246:U250)),AVERAGE('20250815_ETF_Options_Exhibits'!U246:U250),"")</f>
        <v/>
      </c>
      <c r="V250" s="3">
        <f>IF(ISNUMBER(AVERAGE('20250815_ETF_Options_Exhibits'!V246:V250)),AVERAGE('20250815_ETF_Options_Exhibits'!V246:V250),"")</f>
        <v/>
      </c>
      <c r="W250" s="3">
        <f>IF(ISNUMBER(AVERAGE('20250815_ETF_Options_Exhibits'!W246:W250)),AVERAGE('20250815_ETF_Options_Exhibits'!W246:W250),"")</f>
        <v/>
      </c>
      <c r="X250" s="3">
        <f>IF(ISNUMBER(AVERAGE('20250815_ETF_Options_Exhibits'!X246:X250)),AVERAGE('20250815_ETF_Options_Exhibits'!X246:X250),"")</f>
        <v/>
      </c>
      <c r="Y250" s="3">
        <f>IF(ISNUMBER(AVERAGE('20250815_ETF_Options_Exhibits'!Y246:Y250)),AVERAGE('20250815_ETF_Options_Exhibits'!Y246:Y250),"")</f>
        <v/>
      </c>
      <c r="Z250" s="3">
        <f>IF(ISNUMBER(AVERAGE('20250815_ETF_Options_Exhibits'!Z246:Z250)),AVERAGE('20250815_ETF_Options_Exhibits'!Z246:Z250),"")</f>
        <v/>
      </c>
      <c r="AA250" s="3">
        <f>IF(ISNUMBER(AVERAGE('20250815_ETF_Options_Exhibits'!AA246:AA250)),AVERAGE('20250815_ETF_Options_Exhibits'!AA246:AA250),"")</f>
        <v/>
      </c>
    </row>
    <row r="251">
      <c r="A251" s="1" t="n">
        <v>42366</v>
      </c>
      <c r="B251" s="3">
        <f>IF(ISNUMBER(AVERAGE('20250815_ETF_Options_Exhibits'!B247:B251)),AVERAGE('20250815_ETF_Options_Exhibits'!B247:B251),"")</f>
        <v/>
      </c>
      <c r="C251" s="3">
        <f>IF(ISNUMBER(AVERAGE('20250815_ETF_Options_Exhibits'!C247:C251)),AVERAGE('20250815_ETF_Options_Exhibits'!C247:C251),"")</f>
        <v/>
      </c>
      <c r="D251" s="3">
        <f>IF(ISNUMBER(AVERAGE('20250815_ETF_Options_Exhibits'!D247:D251)),AVERAGE('20250815_ETF_Options_Exhibits'!D247:D251),"")</f>
        <v/>
      </c>
      <c r="E251" s="3">
        <f>IF(ISNUMBER(AVERAGE('20250815_ETF_Options_Exhibits'!E247:E251)),AVERAGE('20250815_ETF_Options_Exhibits'!E247:E251),"")</f>
        <v/>
      </c>
      <c r="F251" s="3">
        <f>IF(ISNUMBER(AVERAGE('20250815_ETF_Options_Exhibits'!F247:F251)),AVERAGE('20250815_ETF_Options_Exhibits'!F247:F251),"")</f>
        <v/>
      </c>
      <c r="G251" s="3">
        <f>IF(ISNUMBER(AVERAGE('20250815_ETF_Options_Exhibits'!G247:G251)),AVERAGE('20250815_ETF_Options_Exhibits'!G247:G251),"")</f>
        <v/>
      </c>
      <c r="H251" s="3">
        <f>IF(ISNUMBER(AVERAGE('20250815_ETF_Options_Exhibits'!H247:H251)),AVERAGE('20250815_ETF_Options_Exhibits'!H247:H251),"")</f>
        <v/>
      </c>
      <c r="I251" s="3">
        <f>IF(ISNUMBER(AVERAGE('20250815_ETF_Options_Exhibits'!I247:I251)),AVERAGE('20250815_ETF_Options_Exhibits'!I247:I251),"")</f>
        <v/>
      </c>
      <c r="J251" s="3">
        <f>IF(ISNUMBER(AVERAGE('20250815_ETF_Options_Exhibits'!J247:J251)),AVERAGE('20250815_ETF_Options_Exhibits'!J247:J251),"")</f>
        <v/>
      </c>
      <c r="K251" s="3">
        <f>IF(ISNUMBER(AVERAGE('20250815_ETF_Options_Exhibits'!K247:K251)),AVERAGE('20250815_ETF_Options_Exhibits'!K247:K251),"")</f>
        <v/>
      </c>
      <c r="L251" s="3">
        <f>IF(ISNUMBER(AVERAGE('20250815_ETF_Options_Exhibits'!L247:L251)),AVERAGE('20250815_ETF_Options_Exhibits'!L247:L251),"")</f>
        <v/>
      </c>
      <c r="M251" s="3">
        <f>IF(ISNUMBER(AVERAGE('20250815_ETF_Options_Exhibits'!M247:M251)),AVERAGE('20250815_ETF_Options_Exhibits'!M247:M251),"")</f>
        <v/>
      </c>
      <c r="N251" s="3">
        <f>IF(ISNUMBER(AVERAGE('20250815_ETF_Options_Exhibits'!N247:N251)),AVERAGE('20250815_ETF_Options_Exhibits'!N247:N251),"")</f>
        <v/>
      </c>
      <c r="O251" s="3">
        <f>IF(ISNUMBER(AVERAGE('20250815_ETF_Options_Exhibits'!O247:O251)),AVERAGE('20250815_ETF_Options_Exhibits'!O247:O251),"")</f>
        <v/>
      </c>
      <c r="P251" s="3">
        <f>IF(ISNUMBER(AVERAGE('20250815_ETF_Options_Exhibits'!P247:P251)),AVERAGE('20250815_ETF_Options_Exhibits'!P247:P251),"")</f>
        <v/>
      </c>
      <c r="Q251" s="3">
        <f>IF(ISNUMBER(AVERAGE('20250815_ETF_Options_Exhibits'!Q247:Q251)),AVERAGE('20250815_ETF_Options_Exhibits'!Q247:Q251),"")</f>
        <v/>
      </c>
      <c r="R251" s="3">
        <f>IF(ISNUMBER(AVERAGE('20250815_ETF_Options_Exhibits'!R247:R251)),AVERAGE('20250815_ETF_Options_Exhibits'!R247:R251),"")</f>
        <v/>
      </c>
      <c r="S251" s="3">
        <f>IF(ISNUMBER(AVERAGE('20250815_ETF_Options_Exhibits'!S247:S251)),AVERAGE('20250815_ETF_Options_Exhibits'!S247:S251),"")</f>
        <v/>
      </c>
      <c r="T251" s="3">
        <f>IF(ISNUMBER(AVERAGE('20250815_ETF_Options_Exhibits'!T247:T251)),AVERAGE('20250815_ETF_Options_Exhibits'!T247:T251),"")</f>
        <v/>
      </c>
      <c r="U251" s="3">
        <f>IF(ISNUMBER(AVERAGE('20250815_ETF_Options_Exhibits'!U247:U251)),AVERAGE('20250815_ETF_Options_Exhibits'!U247:U251),"")</f>
        <v/>
      </c>
      <c r="V251" s="3">
        <f>IF(ISNUMBER(AVERAGE('20250815_ETF_Options_Exhibits'!V247:V251)),AVERAGE('20250815_ETF_Options_Exhibits'!V247:V251),"")</f>
        <v/>
      </c>
      <c r="W251" s="3">
        <f>IF(ISNUMBER(AVERAGE('20250815_ETF_Options_Exhibits'!W247:W251)),AVERAGE('20250815_ETF_Options_Exhibits'!W247:W251),"")</f>
        <v/>
      </c>
      <c r="X251" s="3">
        <f>IF(ISNUMBER(AVERAGE('20250815_ETF_Options_Exhibits'!X247:X251)),AVERAGE('20250815_ETF_Options_Exhibits'!X247:X251),"")</f>
        <v/>
      </c>
      <c r="Y251" s="3">
        <f>IF(ISNUMBER(AVERAGE('20250815_ETF_Options_Exhibits'!Y247:Y251)),AVERAGE('20250815_ETF_Options_Exhibits'!Y247:Y251),"")</f>
        <v/>
      </c>
      <c r="Z251" s="3">
        <f>IF(ISNUMBER(AVERAGE('20250815_ETF_Options_Exhibits'!Z247:Z251)),AVERAGE('20250815_ETF_Options_Exhibits'!Z247:Z251),"")</f>
        <v/>
      </c>
      <c r="AA251" s="3">
        <f>IF(ISNUMBER(AVERAGE('20250815_ETF_Options_Exhibits'!AA247:AA251)),AVERAGE('20250815_ETF_Options_Exhibits'!AA247:AA251),"")</f>
        <v/>
      </c>
    </row>
    <row r="252">
      <c r="A252" s="1" t="n">
        <v>42367</v>
      </c>
      <c r="B252" s="3">
        <f>IF(ISNUMBER(AVERAGE('20250815_ETF_Options_Exhibits'!B248:B252)),AVERAGE('20250815_ETF_Options_Exhibits'!B248:B252),"")</f>
        <v/>
      </c>
      <c r="C252" s="3">
        <f>IF(ISNUMBER(AVERAGE('20250815_ETF_Options_Exhibits'!C248:C252)),AVERAGE('20250815_ETF_Options_Exhibits'!C248:C252),"")</f>
        <v/>
      </c>
      <c r="D252" s="3">
        <f>IF(ISNUMBER(AVERAGE('20250815_ETF_Options_Exhibits'!D248:D252)),AVERAGE('20250815_ETF_Options_Exhibits'!D248:D252),"")</f>
        <v/>
      </c>
      <c r="E252" s="3">
        <f>IF(ISNUMBER(AVERAGE('20250815_ETF_Options_Exhibits'!E248:E252)),AVERAGE('20250815_ETF_Options_Exhibits'!E248:E252),"")</f>
        <v/>
      </c>
      <c r="F252" s="3">
        <f>IF(ISNUMBER(AVERAGE('20250815_ETF_Options_Exhibits'!F248:F252)),AVERAGE('20250815_ETF_Options_Exhibits'!F248:F252),"")</f>
        <v/>
      </c>
      <c r="G252" s="3">
        <f>IF(ISNUMBER(AVERAGE('20250815_ETF_Options_Exhibits'!G248:G252)),AVERAGE('20250815_ETF_Options_Exhibits'!G248:G252),"")</f>
        <v/>
      </c>
      <c r="H252" s="3">
        <f>IF(ISNUMBER(AVERAGE('20250815_ETF_Options_Exhibits'!H248:H252)),AVERAGE('20250815_ETF_Options_Exhibits'!H248:H252),"")</f>
        <v/>
      </c>
      <c r="I252" s="3">
        <f>IF(ISNUMBER(AVERAGE('20250815_ETF_Options_Exhibits'!I248:I252)),AVERAGE('20250815_ETF_Options_Exhibits'!I248:I252),"")</f>
        <v/>
      </c>
      <c r="J252" s="3">
        <f>IF(ISNUMBER(AVERAGE('20250815_ETF_Options_Exhibits'!J248:J252)),AVERAGE('20250815_ETF_Options_Exhibits'!J248:J252),"")</f>
        <v/>
      </c>
      <c r="K252" s="3">
        <f>IF(ISNUMBER(AVERAGE('20250815_ETF_Options_Exhibits'!K248:K252)),AVERAGE('20250815_ETF_Options_Exhibits'!K248:K252),"")</f>
        <v/>
      </c>
      <c r="L252" s="3">
        <f>IF(ISNUMBER(AVERAGE('20250815_ETF_Options_Exhibits'!L248:L252)),AVERAGE('20250815_ETF_Options_Exhibits'!L248:L252),"")</f>
        <v/>
      </c>
      <c r="M252" s="3">
        <f>IF(ISNUMBER(AVERAGE('20250815_ETF_Options_Exhibits'!M248:M252)),AVERAGE('20250815_ETF_Options_Exhibits'!M248:M252),"")</f>
        <v/>
      </c>
      <c r="N252" s="3">
        <f>IF(ISNUMBER(AVERAGE('20250815_ETF_Options_Exhibits'!N248:N252)),AVERAGE('20250815_ETF_Options_Exhibits'!N248:N252),"")</f>
        <v/>
      </c>
      <c r="O252" s="3">
        <f>IF(ISNUMBER(AVERAGE('20250815_ETF_Options_Exhibits'!O248:O252)),AVERAGE('20250815_ETF_Options_Exhibits'!O248:O252),"")</f>
        <v/>
      </c>
      <c r="P252" s="3">
        <f>IF(ISNUMBER(AVERAGE('20250815_ETF_Options_Exhibits'!P248:P252)),AVERAGE('20250815_ETF_Options_Exhibits'!P248:P252),"")</f>
        <v/>
      </c>
      <c r="Q252" s="3">
        <f>IF(ISNUMBER(AVERAGE('20250815_ETF_Options_Exhibits'!Q248:Q252)),AVERAGE('20250815_ETF_Options_Exhibits'!Q248:Q252),"")</f>
        <v/>
      </c>
      <c r="R252" s="3">
        <f>IF(ISNUMBER(AVERAGE('20250815_ETF_Options_Exhibits'!R248:R252)),AVERAGE('20250815_ETF_Options_Exhibits'!R248:R252),"")</f>
        <v/>
      </c>
      <c r="S252" s="3">
        <f>IF(ISNUMBER(AVERAGE('20250815_ETF_Options_Exhibits'!S248:S252)),AVERAGE('20250815_ETF_Options_Exhibits'!S248:S252),"")</f>
        <v/>
      </c>
      <c r="T252" s="3">
        <f>IF(ISNUMBER(AVERAGE('20250815_ETF_Options_Exhibits'!T248:T252)),AVERAGE('20250815_ETF_Options_Exhibits'!T248:T252),"")</f>
        <v/>
      </c>
      <c r="U252" s="3">
        <f>IF(ISNUMBER(AVERAGE('20250815_ETF_Options_Exhibits'!U248:U252)),AVERAGE('20250815_ETF_Options_Exhibits'!U248:U252),"")</f>
        <v/>
      </c>
      <c r="V252" s="3">
        <f>IF(ISNUMBER(AVERAGE('20250815_ETF_Options_Exhibits'!V248:V252)),AVERAGE('20250815_ETF_Options_Exhibits'!V248:V252),"")</f>
        <v/>
      </c>
      <c r="W252" s="3">
        <f>IF(ISNUMBER(AVERAGE('20250815_ETF_Options_Exhibits'!W248:W252)),AVERAGE('20250815_ETF_Options_Exhibits'!W248:W252),"")</f>
        <v/>
      </c>
      <c r="X252" s="3">
        <f>IF(ISNUMBER(AVERAGE('20250815_ETF_Options_Exhibits'!X248:X252)),AVERAGE('20250815_ETF_Options_Exhibits'!X248:X252),"")</f>
        <v/>
      </c>
      <c r="Y252" s="3">
        <f>IF(ISNUMBER(AVERAGE('20250815_ETF_Options_Exhibits'!Y248:Y252)),AVERAGE('20250815_ETF_Options_Exhibits'!Y248:Y252),"")</f>
        <v/>
      </c>
      <c r="Z252" s="3">
        <f>IF(ISNUMBER(AVERAGE('20250815_ETF_Options_Exhibits'!Z248:Z252)),AVERAGE('20250815_ETF_Options_Exhibits'!Z248:Z252),"")</f>
        <v/>
      </c>
      <c r="AA252" s="3">
        <f>IF(ISNUMBER(AVERAGE('20250815_ETF_Options_Exhibits'!AA248:AA252)),AVERAGE('20250815_ETF_Options_Exhibits'!AA248:AA252),"")</f>
        <v/>
      </c>
    </row>
    <row r="253">
      <c r="A253" s="1" t="n">
        <v>42368</v>
      </c>
      <c r="B253" s="3">
        <f>IF(ISNUMBER(AVERAGE('20250815_ETF_Options_Exhibits'!B249:B253)),AVERAGE('20250815_ETF_Options_Exhibits'!B249:B253),"")</f>
        <v/>
      </c>
      <c r="C253" s="3">
        <f>IF(ISNUMBER(AVERAGE('20250815_ETF_Options_Exhibits'!C249:C253)),AVERAGE('20250815_ETF_Options_Exhibits'!C249:C253),"")</f>
        <v/>
      </c>
      <c r="D253" s="3">
        <f>IF(ISNUMBER(AVERAGE('20250815_ETF_Options_Exhibits'!D249:D253)),AVERAGE('20250815_ETF_Options_Exhibits'!D249:D253),"")</f>
        <v/>
      </c>
      <c r="E253" s="3">
        <f>IF(ISNUMBER(AVERAGE('20250815_ETF_Options_Exhibits'!E249:E253)),AVERAGE('20250815_ETF_Options_Exhibits'!E249:E253),"")</f>
        <v/>
      </c>
      <c r="F253" s="3">
        <f>IF(ISNUMBER(AVERAGE('20250815_ETF_Options_Exhibits'!F249:F253)),AVERAGE('20250815_ETF_Options_Exhibits'!F249:F253),"")</f>
        <v/>
      </c>
      <c r="G253" s="3">
        <f>IF(ISNUMBER(AVERAGE('20250815_ETF_Options_Exhibits'!G249:G253)),AVERAGE('20250815_ETF_Options_Exhibits'!G249:G253),"")</f>
        <v/>
      </c>
      <c r="H253" s="3">
        <f>IF(ISNUMBER(AVERAGE('20250815_ETF_Options_Exhibits'!H249:H253)),AVERAGE('20250815_ETF_Options_Exhibits'!H249:H253),"")</f>
        <v/>
      </c>
      <c r="I253" s="3">
        <f>IF(ISNUMBER(AVERAGE('20250815_ETF_Options_Exhibits'!I249:I253)),AVERAGE('20250815_ETF_Options_Exhibits'!I249:I253),"")</f>
        <v/>
      </c>
      <c r="J253" s="3">
        <f>IF(ISNUMBER(AVERAGE('20250815_ETF_Options_Exhibits'!J249:J253)),AVERAGE('20250815_ETF_Options_Exhibits'!J249:J253),"")</f>
        <v/>
      </c>
      <c r="K253" s="3">
        <f>IF(ISNUMBER(AVERAGE('20250815_ETF_Options_Exhibits'!K249:K253)),AVERAGE('20250815_ETF_Options_Exhibits'!K249:K253),"")</f>
        <v/>
      </c>
      <c r="L253" s="3">
        <f>IF(ISNUMBER(AVERAGE('20250815_ETF_Options_Exhibits'!L249:L253)),AVERAGE('20250815_ETF_Options_Exhibits'!L249:L253),"")</f>
        <v/>
      </c>
      <c r="M253" s="3">
        <f>IF(ISNUMBER(AVERAGE('20250815_ETF_Options_Exhibits'!M249:M253)),AVERAGE('20250815_ETF_Options_Exhibits'!M249:M253),"")</f>
        <v/>
      </c>
      <c r="N253" s="3">
        <f>IF(ISNUMBER(AVERAGE('20250815_ETF_Options_Exhibits'!N249:N253)),AVERAGE('20250815_ETF_Options_Exhibits'!N249:N253),"")</f>
        <v/>
      </c>
      <c r="O253" s="3">
        <f>IF(ISNUMBER(AVERAGE('20250815_ETF_Options_Exhibits'!O249:O253)),AVERAGE('20250815_ETF_Options_Exhibits'!O249:O253),"")</f>
        <v/>
      </c>
      <c r="P253" s="3">
        <f>IF(ISNUMBER(AVERAGE('20250815_ETF_Options_Exhibits'!P249:P253)),AVERAGE('20250815_ETF_Options_Exhibits'!P249:P253),"")</f>
        <v/>
      </c>
      <c r="Q253" s="3">
        <f>IF(ISNUMBER(AVERAGE('20250815_ETF_Options_Exhibits'!Q249:Q253)),AVERAGE('20250815_ETF_Options_Exhibits'!Q249:Q253),"")</f>
        <v/>
      </c>
      <c r="R253" s="3">
        <f>IF(ISNUMBER(AVERAGE('20250815_ETF_Options_Exhibits'!R249:R253)),AVERAGE('20250815_ETF_Options_Exhibits'!R249:R253),"")</f>
        <v/>
      </c>
      <c r="S253" s="3">
        <f>IF(ISNUMBER(AVERAGE('20250815_ETF_Options_Exhibits'!S249:S253)),AVERAGE('20250815_ETF_Options_Exhibits'!S249:S253),"")</f>
        <v/>
      </c>
      <c r="T253" s="3">
        <f>IF(ISNUMBER(AVERAGE('20250815_ETF_Options_Exhibits'!T249:T253)),AVERAGE('20250815_ETF_Options_Exhibits'!T249:T253),"")</f>
        <v/>
      </c>
      <c r="U253" s="3">
        <f>IF(ISNUMBER(AVERAGE('20250815_ETF_Options_Exhibits'!U249:U253)),AVERAGE('20250815_ETF_Options_Exhibits'!U249:U253),"")</f>
        <v/>
      </c>
      <c r="V253" s="3">
        <f>IF(ISNUMBER(AVERAGE('20250815_ETF_Options_Exhibits'!V249:V253)),AVERAGE('20250815_ETF_Options_Exhibits'!V249:V253),"")</f>
        <v/>
      </c>
      <c r="W253" s="3">
        <f>IF(ISNUMBER(AVERAGE('20250815_ETF_Options_Exhibits'!W249:W253)),AVERAGE('20250815_ETF_Options_Exhibits'!W249:W253),"")</f>
        <v/>
      </c>
      <c r="X253" s="3">
        <f>IF(ISNUMBER(AVERAGE('20250815_ETF_Options_Exhibits'!X249:X253)),AVERAGE('20250815_ETF_Options_Exhibits'!X249:X253),"")</f>
        <v/>
      </c>
      <c r="Y253" s="3">
        <f>IF(ISNUMBER(AVERAGE('20250815_ETF_Options_Exhibits'!Y249:Y253)),AVERAGE('20250815_ETF_Options_Exhibits'!Y249:Y253),"")</f>
        <v/>
      </c>
      <c r="Z253" s="3">
        <f>IF(ISNUMBER(AVERAGE('20250815_ETF_Options_Exhibits'!Z249:Z253)),AVERAGE('20250815_ETF_Options_Exhibits'!Z249:Z253),"")</f>
        <v/>
      </c>
      <c r="AA253" s="3">
        <f>IF(ISNUMBER(AVERAGE('20250815_ETF_Options_Exhibits'!AA249:AA253)),AVERAGE('20250815_ETF_Options_Exhibits'!AA249:AA253),"")</f>
        <v/>
      </c>
    </row>
    <row r="254">
      <c r="A254" s="1" t="n">
        <v>42369</v>
      </c>
      <c r="B254" s="3">
        <f>IF(ISNUMBER(AVERAGE('20250815_ETF_Options_Exhibits'!B250:B254)),AVERAGE('20250815_ETF_Options_Exhibits'!B250:B254),"")</f>
        <v/>
      </c>
      <c r="C254" s="3">
        <f>IF(ISNUMBER(AVERAGE('20250815_ETF_Options_Exhibits'!C250:C254)),AVERAGE('20250815_ETF_Options_Exhibits'!C250:C254),"")</f>
        <v/>
      </c>
      <c r="D254" s="3">
        <f>IF(ISNUMBER(AVERAGE('20250815_ETF_Options_Exhibits'!D250:D254)),AVERAGE('20250815_ETF_Options_Exhibits'!D250:D254),"")</f>
        <v/>
      </c>
      <c r="E254" s="3">
        <f>IF(ISNUMBER(AVERAGE('20250815_ETF_Options_Exhibits'!E250:E254)),AVERAGE('20250815_ETF_Options_Exhibits'!E250:E254),"")</f>
        <v/>
      </c>
      <c r="F254" s="3">
        <f>IF(ISNUMBER(AVERAGE('20250815_ETF_Options_Exhibits'!F250:F254)),AVERAGE('20250815_ETF_Options_Exhibits'!F250:F254),"")</f>
        <v/>
      </c>
      <c r="G254" s="3">
        <f>IF(ISNUMBER(AVERAGE('20250815_ETF_Options_Exhibits'!G250:G254)),AVERAGE('20250815_ETF_Options_Exhibits'!G250:G254),"")</f>
        <v/>
      </c>
      <c r="H254" s="3">
        <f>IF(ISNUMBER(AVERAGE('20250815_ETF_Options_Exhibits'!H250:H254)),AVERAGE('20250815_ETF_Options_Exhibits'!H250:H254),"")</f>
        <v/>
      </c>
      <c r="I254" s="3">
        <f>IF(ISNUMBER(AVERAGE('20250815_ETF_Options_Exhibits'!I250:I254)),AVERAGE('20250815_ETF_Options_Exhibits'!I250:I254),"")</f>
        <v/>
      </c>
      <c r="J254" s="3">
        <f>IF(ISNUMBER(AVERAGE('20250815_ETF_Options_Exhibits'!J250:J254)),AVERAGE('20250815_ETF_Options_Exhibits'!J250:J254),"")</f>
        <v/>
      </c>
      <c r="K254" s="3">
        <f>IF(ISNUMBER(AVERAGE('20250815_ETF_Options_Exhibits'!K250:K254)),AVERAGE('20250815_ETF_Options_Exhibits'!K250:K254),"")</f>
        <v/>
      </c>
      <c r="L254" s="3">
        <f>IF(ISNUMBER(AVERAGE('20250815_ETF_Options_Exhibits'!L250:L254)),AVERAGE('20250815_ETF_Options_Exhibits'!L250:L254),"")</f>
        <v/>
      </c>
      <c r="M254" s="3">
        <f>IF(ISNUMBER(AVERAGE('20250815_ETF_Options_Exhibits'!M250:M254)),AVERAGE('20250815_ETF_Options_Exhibits'!M250:M254),"")</f>
        <v/>
      </c>
      <c r="N254" s="3">
        <f>IF(ISNUMBER(AVERAGE('20250815_ETF_Options_Exhibits'!N250:N254)),AVERAGE('20250815_ETF_Options_Exhibits'!N250:N254),"")</f>
        <v/>
      </c>
      <c r="O254" s="3">
        <f>IF(ISNUMBER(AVERAGE('20250815_ETF_Options_Exhibits'!O250:O254)),AVERAGE('20250815_ETF_Options_Exhibits'!O250:O254),"")</f>
        <v/>
      </c>
      <c r="P254" s="3">
        <f>IF(ISNUMBER(AVERAGE('20250815_ETF_Options_Exhibits'!P250:P254)),AVERAGE('20250815_ETF_Options_Exhibits'!P250:P254),"")</f>
        <v/>
      </c>
      <c r="Q254" s="3">
        <f>IF(ISNUMBER(AVERAGE('20250815_ETF_Options_Exhibits'!Q250:Q254)),AVERAGE('20250815_ETF_Options_Exhibits'!Q250:Q254),"")</f>
        <v/>
      </c>
      <c r="R254" s="3">
        <f>IF(ISNUMBER(AVERAGE('20250815_ETF_Options_Exhibits'!R250:R254)),AVERAGE('20250815_ETF_Options_Exhibits'!R250:R254),"")</f>
        <v/>
      </c>
      <c r="S254" s="3">
        <f>IF(ISNUMBER(AVERAGE('20250815_ETF_Options_Exhibits'!S250:S254)),AVERAGE('20250815_ETF_Options_Exhibits'!S250:S254),"")</f>
        <v/>
      </c>
      <c r="T254" s="3">
        <f>IF(ISNUMBER(AVERAGE('20250815_ETF_Options_Exhibits'!T250:T254)),AVERAGE('20250815_ETF_Options_Exhibits'!T250:T254),"")</f>
        <v/>
      </c>
      <c r="U254" s="3">
        <f>IF(ISNUMBER(AVERAGE('20250815_ETF_Options_Exhibits'!U250:U254)),AVERAGE('20250815_ETF_Options_Exhibits'!U250:U254),"")</f>
        <v/>
      </c>
      <c r="V254" s="3">
        <f>IF(ISNUMBER(AVERAGE('20250815_ETF_Options_Exhibits'!V250:V254)),AVERAGE('20250815_ETF_Options_Exhibits'!V250:V254),"")</f>
        <v/>
      </c>
      <c r="W254" s="3">
        <f>IF(ISNUMBER(AVERAGE('20250815_ETF_Options_Exhibits'!W250:W254)),AVERAGE('20250815_ETF_Options_Exhibits'!W250:W254),"")</f>
        <v/>
      </c>
      <c r="X254" s="3">
        <f>IF(ISNUMBER(AVERAGE('20250815_ETF_Options_Exhibits'!X250:X254)),AVERAGE('20250815_ETF_Options_Exhibits'!X250:X254),"")</f>
        <v/>
      </c>
      <c r="Y254" s="3">
        <f>IF(ISNUMBER(AVERAGE('20250815_ETF_Options_Exhibits'!Y250:Y254)),AVERAGE('20250815_ETF_Options_Exhibits'!Y250:Y254),"")</f>
        <v/>
      </c>
      <c r="Z254" s="3">
        <f>IF(ISNUMBER(AVERAGE('20250815_ETF_Options_Exhibits'!Z250:Z254)),AVERAGE('20250815_ETF_Options_Exhibits'!Z250:Z254),"")</f>
        <v/>
      </c>
      <c r="AA254" s="3">
        <f>IF(ISNUMBER(AVERAGE('20250815_ETF_Options_Exhibits'!AA250:AA254)),AVERAGE('20250815_ETF_Options_Exhibits'!AA250:AA254),"")</f>
        <v/>
      </c>
    </row>
    <row r="255">
      <c r="A255" s="1" t="n">
        <v>42373</v>
      </c>
      <c r="B255" s="3">
        <f>IF(ISNUMBER(AVERAGE('20250815_ETF_Options_Exhibits'!B251:B255)),AVERAGE('20250815_ETF_Options_Exhibits'!B251:B255),"")</f>
        <v/>
      </c>
      <c r="C255" s="3">
        <f>IF(ISNUMBER(AVERAGE('20250815_ETF_Options_Exhibits'!C251:C255)),AVERAGE('20250815_ETF_Options_Exhibits'!C251:C255),"")</f>
        <v/>
      </c>
      <c r="D255" s="3">
        <f>IF(ISNUMBER(AVERAGE('20250815_ETF_Options_Exhibits'!D251:D255)),AVERAGE('20250815_ETF_Options_Exhibits'!D251:D255),"")</f>
        <v/>
      </c>
      <c r="E255" s="3">
        <f>IF(ISNUMBER(AVERAGE('20250815_ETF_Options_Exhibits'!E251:E255)),AVERAGE('20250815_ETF_Options_Exhibits'!E251:E255),"")</f>
        <v/>
      </c>
      <c r="F255" s="3">
        <f>IF(ISNUMBER(AVERAGE('20250815_ETF_Options_Exhibits'!F251:F255)),AVERAGE('20250815_ETF_Options_Exhibits'!F251:F255),"")</f>
        <v/>
      </c>
      <c r="G255" s="3">
        <f>IF(ISNUMBER(AVERAGE('20250815_ETF_Options_Exhibits'!G251:G255)),AVERAGE('20250815_ETF_Options_Exhibits'!G251:G255),"")</f>
        <v/>
      </c>
      <c r="H255" s="3">
        <f>IF(ISNUMBER(AVERAGE('20250815_ETF_Options_Exhibits'!H251:H255)),AVERAGE('20250815_ETF_Options_Exhibits'!H251:H255),"")</f>
        <v/>
      </c>
      <c r="I255" s="3">
        <f>IF(ISNUMBER(AVERAGE('20250815_ETF_Options_Exhibits'!I251:I255)),AVERAGE('20250815_ETF_Options_Exhibits'!I251:I255),"")</f>
        <v/>
      </c>
      <c r="J255" s="3">
        <f>IF(ISNUMBER(AVERAGE('20250815_ETF_Options_Exhibits'!J251:J255)),AVERAGE('20250815_ETF_Options_Exhibits'!J251:J255),"")</f>
        <v/>
      </c>
      <c r="K255" s="3">
        <f>IF(ISNUMBER(AVERAGE('20250815_ETF_Options_Exhibits'!K251:K255)),AVERAGE('20250815_ETF_Options_Exhibits'!K251:K255),"")</f>
        <v/>
      </c>
      <c r="L255" s="3">
        <f>IF(ISNUMBER(AVERAGE('20250815_ETF_Options_Exhibits'!L251:L255)),AVERAGE('20250815_ETF_Options_Exhibits'!L251:L255),"")</f>
        <v/>
      </c>
      <c r="M255" s="3">
        <f>IF(ISNUMBER(AVERAGE('20250815_ETF_Options_Exhibits'!M251:M255)),AVERAGE('20250815_ETF_Options_Exhibits'!M251:M255),"")</f>
        <v/>
      </c>
      <c r="N255" s="3">
        <f>IF(ISNUMBER(AVERAGE('20250815_ETF_Options_Exhibits'!N251:N255)),AVERAGE('20250815_ETF_Options_Exhibits'!N251:N255),"")</f>
        <v/>
      </c>
      <c r="O255" s="3">
        <f>IF(ISNUMBER(AVERAGE('20250815_ETF_Options_Exhibits'!O251:O255)),AVERAGE('20250815_ETF_Options_Exhibits'!O251:O255),"")</f>
        <v/>
      </c>
      <c r="P255" s="3">
        <f>IF(ISNUMBER(AVERAGE('20250815_ETF_Options_Exhibits'!P251:P255)),AVERAGE('20250815_ETF_Options_Exhibits'!P251:P255),"")</f>
        <v/>
      </c>
      <c r="Q255" s="3">
        <f>IF(ISNUMBER(AVERAGE('20250815_ETF_Options_Exhibits'!Q251:Q255)),AVERAGE('20250815_ETF_Options_Exhibits'!Q251:Q255),"")</f>
        <v/>
      </c>
      <c r="R255" s="3">
        <f>IF(ISNUMBER(AVERAGE('20250815_ETF_Options_Exhibits'!R251:R255)),AVERAGE('20250815_ETF_Options_Exhibits'!R251:R255),"")</f>
        <v/>
      </c>
      <c r="S255" s="3">
        <f>IF(ISNUMBER(AVERAGE('20250815_ETF_Options_Exhibits'!S251:S255)),AVERAGE('20250815_ETF_Options_Exhibits'!S251:S255),"")</f>
        <v/>
      </c>
      <c r="T255" s="3">
        <f>IF(ISNUMBER(AVERAGE('20250815_ETF_Options_Exhibits'!T251:T255)),AVERAGE('20250815_ETF_Options_Exhibits'!T251:T255),"")</f>
        <v/>
      </c>
      <c r="U255" s="3">
        <f>IF(ISNUMBER(AVERAGE('20250815_ETF_Options_Exhibits'!U251:U255)),AVERAGE('20250815_ETF_Options_Exhibits'!U251:U255),"")</f>
        <v/>
      </c>
      <c r="V255" s="3">
        <f>IF(ISNUMBER(AVERAGE('20250815_ETF_Options_Exhibits'!V251:V255)),AVERAGE('20250815_ETF_Options_Exhibits'!V251:V255),"")</f>
        <v/>
      </c>
      <c r="W255" s="3">
        <f>IF(ISNUMBER(AVERAGE('20250815_ETF_Options_Exhibits'!W251:W255)),AVERAGE('20250815_ETF_Options_Exhibits'!W251:W255),"")</f>
        <v/>
      </c>
      <c r="X255" s="3">
        <f>IF(ISNUMBER(AVERAGE('20250815_ETF_Options_Exhibits'!X251:X255)),AVERAGE('20250815_ETF_Options_Exhibits'!X251:X255),"")</f>
        <v/>
      </c>
      <c r="Y255" s="3">
        <f>IF(ISNUMBER(AVERAGE('20250815_ETF_Options_Exhibits'!Y251:Y255)),AVERAGE('20250815_ETF_Options_Exhibits'!Y251:Y255),"")</f>
        <v/>
      </c>
      <c r="Z255" s="3">
        <f>IF(ISNUMBER(AVERAGE('20250815_ETF_Options_Exhibits'!Z251:Z255)),AVERAGE('20250815_ETF_Options_Exhibits'!Z251:Z255),"")</f>
        <v/>
      </c>
      <c r="AA255" s="3">
        <f>IF(ISNUMBER(AVERAGE('20250815_ETF_Options_Exhibits'!AA251:AA255)),AVERAGE('20250815_ETF_Options_Exhibits'!AA251:AA255),"")</f>
        <v/>
      </c>
    </row>
    <row r="256">
      <c r="A256" s="1" t="n">
        <v>42374</v>
      </c>
      <c r="B256" s="3">
        <f>IF(ISNUMBER(AVERAGE('20250815_ETF_Options_Exhibits'!B252:B256)),AVERAGE('20250815_ETF_Options_Exhibits'!B252:B256),"")</f>
        <v/>
      </c>
      <c r="C256" s="3">
        <f>IF(ISNUMBER(AVERAGE('20250815_ETF_Options_Exhibits'!C252:C256)),AVERAGE('20250815_ETF_Options_Exhibits'!C252:C256),"")</f>
        <v/>
      </c>
      <c r="D256" s="3">
        <f>IF(ISNUMBER(AVERAGE('20250815_ETF_Options_Exhibits'!D252:D256)),AVERAGE('20250815_ETF_Options_Exhibits'!D252:D256),"")</f>
        <v/>
      </c>
      <c r="E256" s="3">
        <f>IF(ISNUMBER(AVERAGE('20250815_ETF_Options_Exhibits'!E252:E256)),AVERAGE('20250815_ETF_Options_Exhibits'!E252:E256),"")</f>
        <v/>
      </c>
      <c r="F256" s="3">
        <f>IF(ISNUMBER(AVERAGE('20250815_ETF_Options_Exhibits'!F252:F256)),AVERAGE('20250815_ETF_Options_Exhibits'!F252:F256),"")</f>
        <v/>
      </c>
      <c r="G256" s="3">
        <f>IF(ISNUMBER(AVERAGE('20250815_ETF_Options_Exhibits'!G252:G256)),AVERAGE('20250815_ETF_Options_Exhibits'!G252:G256),"")</f>
        <v/>
      </c>
      <c r="H256" s="3">
        <f>IF(ISNUMBER(AVERAGE('20250815_ETF_Options_Exhibits'!H252:H256)),AVERAGE('20250815_ETF_Options_Exhibits'!H252:H256),"")</f>
        <v/>
      </c>
      <c r="I256" s="3">
        <f>IF(ISNUMBER(AVERAGE('20250815_ETF_Options_Exhibits'!I252:I256)),AVERAGE('20250815_ETF_Options_Exhibits'!I252:I256),"")</f>
        <v/>
      </c>
      <c r="J256" s="3">
        <f>IF(ISNUMBER(AVERAGE('20250815_ETF_Options_Exhibits'!J252:J256)),AVERAGE('20250815_ETF_Options_Exhibits'!J252:J256),"")</f>
        <v/>
      </c>
      <c r="K256" s="3">
        <f>IF(ISNUMBER(AVERAGE('20250815_ETF_Options_Exhibits'!K252:K256)),AVERAGE('20250815_ETF_Options_Exhibits'!K252:K256),"")</f>
        <v/>
      </c>
      <c r="L256" s="3">
        <f>IF(ISNUMBER(AVERAGE('20250815_ETF_Options_Exhibits'!L252:L256)),AVERAGE('20250815_ETF_Options_Exhibits'!L252:L256),"")</f>
        <v/>
      </c>
      <c r="M256" s="3">
        <f>IF(ISNUMBER(AVERAGE('20250815_ETF_Options_Exhibits'!M252:M256)),AVERAGE('20250815_ETF_Options_Exhibits'!M252:M256),"")</f>
        <v/>
      </c>
      <c r="N256" s="3">
        <f>IF(ISNUMBER(AVERAGE('20250815_ETF_Options_Exhibits'!N252:N256)),AVERAGE('20250815_ETF_Options_Exhibits'!N252:N256),"")</f>
        <v/>
      </c>
      <c r="O256" s="3">
        <f>IF(ISNUMBER(AVERAGE('20250815_ETF_Options_Exhibits'!O252:O256)),AVERAGE('20250815_ETF_Options_Exhibits'!O252:O256),"")</f>
        <v/>
      </c>
      <c r="P256" s="3">
        <f>IF(ISNUMBER(AVERAGE('20250815_ETF_Options_Exhibits'!P252:P256)),AVERAGE('20250815_ETF_Options_Exhibits'!P252:P256),"")</f>
        <v/>
      </c>
      <c r="Q256" s="3">
        <f>IF(ISNUMBER(AVERAGE('20250815_ETF_Options_Exhibits'!Q252:Q256)),AVERAGE('20250815_ETF_Options_Exhibits'!Q252:Q256),"")</f>
        <v/>
      </c>
      <c r="R256" s="3">
        <f>IF(ISNUMBER(AVERAGE('20250815_ETF_Options_Exhibits'!R252:R256)),AVERAGE('20250815_ETF_Options_Exhibits'!R252:R256),"")</f>
        <v/>
      </c>
      <c r="S256" s="3">
        <f>IF(ISNUMBER(AVERAGE('20250815_ETF_Options_Exhibits'!S252:S256)),AVERAGE('20250815_ETF_Options_Exhibits'!S252:S256),"")</f>
        <v/>
      </c>
      <c r="T256" s="3">
        <f>IF(ISNUMBER(AVERAGE('20250815_ETF_Options_Exhibits'!T252:T256)),AVERAGE('20250815_ETF_Options_Exhibits'!T252:T256),"")</f>
        <v/>
      </c>
      <c r="U256" s="3">
        <f>IF(ISNUMBER(AVERAGE('20250815_ETF_Options_Exhibits'!U252:U256)),AVERAGE('20250815_ETF_Options_Exhibits'!U252:U256),"")</f>
        <v/>
      </c>
      <c r="V256" s="3">
        <f>IF(ISNUMBER(AVERAGE('20250815_ETF_Options_Exhibits'!V252:V256)),AVERAGE('20250815_ETF_Options_Exhibits'!V252:V256),"")</f>
        <v/>
      </c>
      <c r="W256" s="3">
        <f>IF(ISNUMBER(AVERAGE('20250815_ETF_Options_Exhibits'!W252:W256)),AVERAGE('20250815_ETF_Options_Exhibits'!W252:W256),"")</f>
        <v/>
      </c>
      <c r="X256" s="3">
        <f>IF(ISNUMBER(AVERAGE('20250815_ETF_Options_Exhibits'!X252:X256)),AVERAGE('20250815_ETF_Options_Exhibits'!X252:X256),"")</f>
        <v/>
      </c>
      <c r="Y256" s="3">
        <f>IF(ISNUMBER(AVERAGE('20250815_ETF_Options_Exhibits'!Y252:Y256)),AVERAGE('20250815_ETF_Options_Exhibits'!Y252:Y256),"")</f>
        <v/>
      </c>
      <c r="Z256" s="3">
        <f>IF(ISNUMBER(AVERAGE('20250815_ETF_Options_Exhibits'!Z252:Z256)),AVERAGE('20250815_ETF_Options_Exhibits'!Z252:Z256),"")</f>
        <v/>
      </c>
      <c r="AA256" s="3">
        <f>IF(ISNUMBER(AVERAGE('20250815_ETF_Options_Exhibits'!AA252:AA256)),AVERAGE('20250815_ETF_Options_Exhibits'!AA252:AA256),"")</f>
        <v/>
      </c>
    </row>
    <row r="257">
      <c r="A257" s="1" t="n">
        <v>42375</v>
      </c>
      <c r="B257" s="3">
        <f>IF(ISNUMBER(AVERAGE('20250815_ETF_Options_Exhibits'!B253:B257)),AVERAGE('20250815_ETF_Options_Exhibits'!B253:B257),"")</f>
        <v/>
      </c>
      <c r="C257" s="3">
        <f>IF(ISNUMBER(AVERAGE('20250815_ETF_Options_Exhibits'!C253:C257)),AVERAGE('20250815_ETF_Options_Exhibits'!C253:C257),"")</f>
        <v/>
      </c>
      <c r="D257" s="3">
        <f>IF(ISNUMBER(AVERAGE('20250815_ETF_Options_Exhibits'!D253:D257)),AVERAGE('20250815_ETF_Options_Exhibits'!D253:D257),"")</f>
        <v/>
      </c>
      <c r="E257" s="3">
        <f>IF(ISNUMBER(AVERAGE('20250815_ETF_Options_Exhibits'!E253:E257)),AVERAGE('20250815_ETF_Options_Exhibits'!E253:E257),"")</f>
        <v/>
      </c>
      <c r="F257" s="3">
        <f>IF(ISNUMBER(AVERAGE('20250815_ETF_Options_Exhibits'!F253:F257)),AVERAGE('20250815_ETF_Options_Exhibits'!F253:F257),"")</f>
        <v/>
      </c>
      <c r="G257" s="3">
        <f>IF(ISNUMBER(AVERAGE('20250815_ETF_Options_Exhibits'!G253:G257)),AVERAGE('20250815_ETF_Options_Exhibits'!G253:G257),"")</f>
        <v/>
      </c>
      <c r="H257" s="3">
        <f>IF(ISNUMBER(AVERAGE('20250815_ETF_Options_Exhibits'!H253:H257)),AVERAGE('20250815_ETF_Options_Exhibits'!H253:H257),"")</f>
        <v/>
      </c>
      <c r="I257" s="3">
        <f>IF(ISNUMBER(AVERAGE('20250815_ETF_Options_Exhibits'!I253:I257)),AVERAGE('20250815_ETF_Options_Exhibits'!I253:I257),"")</f>
        <v/>
      </c>
      <c r="J257" s="3">
        <f>IF(ISNUMBER(AVERAGE('20250815_ETF_Options_Exhibits'!J253:J257)),AVERAGE('20250815_ETF_Options_Exhibits'!J253:J257),"")</f>
        <v/>
      </c>
      <c r="K257" s="3">
        <f>IF(ISNUMBER(AVERAGE('20250815_ETF_Options_Exhibits'!K253:K257)),AVERAGE('20250815_ETF_Options_Exhibits'!K253:K257),"")</f>
        <v/>
      </c>
      <c r="L257" s="3">
        <f>IF(ISNUMBER(AVERAGE('20250815_ETF_Options_Exhibits'!L253:L257)),AVERAGE('20250815_ETF_Options_Exhibits'!L253:L257),"")</f>
        <v/>
      </c>
      <c r="M257" s="3">
        <f>IF(ISNUMBER(AVERAGE('20250815_ETF_Options_Exhibits'!M253:M257)),AVERAGE('20250815_ETF_Options_Exhibits'!M253:M257),"")</f>
        <v/>
      </c>
      <c r="N257" s="3">
        <f>IF(ISNUMBER(AVERAGE('20250815_ETF_Options_Exhibits'!N253:N257)),AVERAGE('20250815_ETF_Options_Exhibits'!N253:N257),"")</f>
        <v/>
      </c>
      <c r="O257" s="3">
        <f>IF(ISNUMBER(AVERAGE('20250815_ETF_Options_Exhibits'!O253:O257)),AVERAGE('20250815_ETF_Options_Exhibits'!O253:O257),"")</f>
        <v/>
      </c>
      <c r="P257" s="3">
        <f>IF(ISNUMBER(AVERAGE('20250815_ETF_Options_Exhibits'!P253:P257)),AVERAGE('20250815_ETF_Options_Exhibits'!P253:P257),"")</f>
        <v/>
      </c>
      <c r="Q257" s="3">
        <f>IF(ISNUMBER(AVERAGE('20250815_ETF_Options_Exhibits'!Q253:Q257)),AVERAGE('20250815_ETF_Options_Exhibits'!Q253:Q257),"")</f>
        <v/>
      </c>
      <c r="R257" s="3">
        <f>IF(ISNUMBER(AVERAGE('20250815_ETF_Options_Exhibits'!R253:R257)),AVERAGE('20250815_ETF_Options_Exhibits'!R253:R257),"")</f>
        <v/>
      </c>
      <c r="S257" s="3">
        <f>IF(ISNUMBER(AVERAGE('20250815_ETF_Options_Exhibits'!S253:S257)),AVERAGE('20250815_ETF_Options_Exhibits'!S253:S257),"")</f>
        <v/>
      </c>
      <c r="T257" s="3">
        <f>IF(ISNUMBER(AVERAGE('20250815_ETF_Options_Exhibits'!T253:T257)),AVERAGE('20250815_ETF_Options_Exhibits'!T253:T257),"")</f>
        <v/>
      </c>
      <c r="U257" s="3">
        <f>IF(ISNUMBER(AVERAGE('20250815_ETF_Options_Exhibits'!U253:U257)),AVERAGE('20250815_ETF_Options_Exhibits'!U253:U257),"")</f>
        <v/>
      </c>
      <c r="V257" s="3">
        <f>IF(ISNUMBER(AVERAGE('20250815_ETF_Options_Exhibits'!V253:V257)),AVERAGE('20250815_ETF_Options_Exhibits'!V253:V257),"")</f>
        <v/>
      </c>
      <c r="W257" s="3">
        <f>IF(ISNUMBER(AVERAGE('20250815_ETF_Options_Exhibits'!W253:W257)),AVERAGE('20250815_ETF_Options_Exhibits'!W253:W257),"")</f>
        <v/>
      </c>
      <c r="X257" s="3">
        <f>IF(ISNUMBER(AVERAGE('20250815_ETF_Options_Exhibits'!X253:X257)),AVERAGE('20250815_ETF_Options_Exhibits'!X253:X257),"")</f>
        <v/>
      </c>
      <c r="Y257" s="3">
        <f>IF(ISNUMBER(AVERAGE('20250815_ETF_Options_Exhibits'!Y253:Y257)),AVERAGE('20250815_ETF_Options_Exhibits'!Y253:Y257),"")</f>
        <v/>
      </c>
      <c r="Z257" s="3">
        <f>IF(ISNUMBER(AVERAGE('20250815_ETF_Options_Exhibits'!Z253:Z257)),AVERAGE('20250815_ETF_Options_Exhibits'!Z253:Z257),"")</f>
        <v/>
      </c>
      <c r="AA257" s="3">
        <f>IF(ISNUMBER(AVERAGE('20250815_ETF_Options_Exhibits'!AA253:AA257)),AVERAGE('20250815_ETF_Options_Exhibits'!AA253:AA257),"")</f>
        <v/>
      </c>
    </row>
    <row r="258">
      <c r="A258" s="1" t="n">
        <v>42376</v>
      </c>
      <c r="B258" s="3">
        <f>IF(ISNUMBER(AVERAGE('20250815_ETF_Options_Exhibits'!B254:B258)),AVERAGE('20250815_ETF_Options_Exhibits'!B254:B258),"")</f>
        <v/>
      </c>
      <c r="C258" s="3">
        <f>IF(ISNUMBER(AVERAGE('20250815_ETF_Options_Exhibits'!C254:C258)),AVERAGE('20250815_ETF_Options_Exhibits'!C254:C258),"")</f>
        <v/>
      </c>
      <c r="D258" s="3">
        <f>IF(ISNUMBER(AVERAGE('20250815_ETF_Options_Exhibits'!D254:D258)),AVERAGE('20250815_ETF_Options_Exhibits'!D254:D258),"")</f>
        <v/>
      </c>
      <c r="E258" s="3">
        <f>IF(ISNUMBER(AVERAGE('20250815_ETF_Options_Exhibits'!E254:E258)),AVERAGE('20250815_ETF_Options_Exhibits'!E254:E258),"")</f>
        <v/>
      </c>
      <c r="F258" s="3">
        <f>IF(ISNUMBER(AVERAGE('20250815_ETF_Options_Exhibits'!F254:F258)),AVERAGE('20250815_ETF_Options_Exhibits'!F254:F258),"")</f>
        <v/>
      </c>
      <c r="G258" s="3">
        <f>IF(ISNUMBER(AVERAGE('20250815_ETF_Options_Exhibits'!G254:G258)),AVERAGE('20250815_ETF_Options_Exhibits'!G254:G258),"")</f>
        <v/>
      </c>
      <c r="H258" s="3">
        <f>IF(ISNUMBER(AVERAGE('20250815_ETF_Options_Exhibits'!H254:H258)),AVERAGE('20250815_ETF_Options_Exhibits'!H254:H258),"")</f>
        <v/>
      </c>
      <c r="I258" s="3">
        <f>IF(ISNUMBER(AVERAGE('20250815_ETF_Options_Exhibits'!I254:I258)),AVERAGE('20250815_ETF_Options_Exhibits'!I254:I258),"")</f>
        <v/>
      </c>
      <c r="J258" s="3">
        <f>IF(ISNUMBER(AVERAGE('20250815_ETF_Options_Exhibits'!J254:J258)),AVERAGE('20250815_ETF_Options_Exhibits'!J254:J258),"")</f>
        <v/>
      </c>
      <c r="K258" s="3">
        <f>IF(ISNUMBER(AVERAGE('20250815_ETF_Options_Exhibits'!K254:K258)),AVERAGE('20250815_ETF_Options_Exhibits'!K254:K258),"")</f>
        <v/>
      </c>
      <c r="L258" s="3">
        <f>IF(ISNUMBER(AVERAGE('20250815_ETF_Options_Exhibits'!L254:L258)),AVERAGE('20250815_ETF_Options_Exhibits'!L254:L258),"")</f>
        <v/>
      </c>
      <c r="M258" s="3">
        <f>IF(ISNUMBER(AVERAGE('20250815_ETF_Options_Exhibits'!M254:M258)),AVERAGE('20250815_ETF_Options_Exhibits'!M254:M258),"")</f>
        <v/>
      </c>
      <c r="N258" s="3">
        <f>IF(ISNUMBER(AVERAGE('20250815_ETF_Options_Exhibits'!N254:N258)),AVERAGE('20250815_ETF_Options_Exhibits'!N254:N258),"")</f>
        <v/>
      </c>
      <c r="O258" s="3">
        <f>IF(ISNUMBER(AVERAGE('20250815_ETF_Options_Exhibits'!O254:O258)),AVERAGE('20250815_ETF_Options_Exhibits'!O254:O258),"")</f>
        <v/>
      </c>
      <c r="P258" s="3">
        <f>IF(ISNUMBER(AVERAGE('20250815_ETF_Options_Exhibits'!P254:P258)),AVERAGE('20250815_ETF_Options_Exhibits'!P254:P258),"")</f>
        <v/>
      </c>
      <c r="Q258" s="3">
        <f>IF(ISNUMBER(AVERAGE('20250815_ETF_Options_Exhibits'!Q254:Q258)),AVERAGE('20250815_ETF_Options_Exhibits'!Q254:Q258),"")</f>
        <v/>
      </c>
      <c r="R258" s="3">
        <f>IF(ISNUMBER(AVERAGE('20250815_ETF_Options_Exhibits'!R254:R258)),AVERAGE('20250815_ETF_Options_Exhibits'!R254:R258),"")</f>
        <v/>
      </c>
      <c r="S258" s="3">
        <f>IF(ISNUMBER(AVERAGE('20250815_ETF_Options_Exhibits'!S254:S258)),AVERAGE('20250815_ETF_Options_Exhibits'!S254:S258),"")</f>
        <v/>
      </c>
      <c r="T258" s="3">
        <f>IF(ISNUMBER(AVERAGE('20250815_ETF_Options_Exhibits'!T254:T258)),AVERAGE('20250815_ETF_Options_Exhibits'!T254:T258),"")</f>
        <v/>
      </c>
      <c r="U258" s="3">
        <f>IF(ISNUMBER(AVERAGE('20250815_ETF_Options_Exhibits'!U254:U258)),AVERAGE('20250815_ETF_Options_Exhibits'!U254:U258),"")</f>
        <v/>
      </c>
      <c r="V258" s="3">
        <f>IF(ISNUMBER(AVERAGE('20250815_ETF_Options_Exhibits'!V254:V258)),AVERAGE('20250815_ETF_Options_Exhibits'!V254:V258),"")</f>
        <v/>
      </c>
      <c r="W258" s="3">
        <f>IF(ISNUMBER(AVERAGE('20250815_ETF_Options_Exhibits'!W254:W258)),AVERAGE('20250815_ETF_Options_Exhibits'!W254:W258),"")</f>
        <v/>
      </c>
      <c r="X258" s="3">
        <f>IF(ISNUMBER(AVERAGE('20250815_ETF_Options_Exhibits'!X254:X258)),AVERAGE('20250815_ETF_Options_Exhibits'!X254:X258),"")</f>
        <v/>
      </c>
      <c r="Y258" s="3">
        <f>IF(ISNUMBER(AVERAGE('20250815_ETF_Options_Exhibits'!Y254:Y258)),AVERAGE('20250815_ETF_Options_Exhibits'!Y254:Y258),"")</f>
        <v/>
      </c>
      <c r="Z258" s="3">
        <f>IF(ISNUMBER(AVERAGE('20250815_ETF_Options_Exhibits'!Z254:Z258)),AVERAGE('20250815_ETF_Options_Exhibits'!Z254:Z258),"")</f>
        <v/>
      </c>
      <c r="AA258" s="3">
        <f>IF(ISNUMBER(AVERAGE('20250815_ETF_Options_Exhibits'!AA254:AA258)),AVERAGE('20250815_ETF_Options_Exhibits'!AA254:AA258),"")</f>
        <v/>
      </c>
    </row>
    <row r="259">
      <c r="A259" s="1" t="n">
        <v>42377</v>
      </c>
      <c r="B259" s="3">
        <f>IF(ISNUMBER(AVERAGE('20250815_ETF_Options_Exhibits'!B255:B259)),AVERAGE('20250815_ETF_Options_Exhibits'!B255:B259),"")</f>
        <v/>
      </c>
      <c r="C259" s="3">
        <f>IF(ISNUMBER(AVERAGE('20250815_ETF_Options_Exhibits'!C255:C259)),AVERAGE('20250815_ETF_Options_Exhibits'!C255:C259),"")</f>
        <v/>
      </c>
      <c r="D259" s="3">
        <f>IF(ISNUMBER(AVERAGE('20250815_ETF_Options_Exhibits'!D255:D259)),AVERAGE('20250815_ETF_Options_Exhibits'!D255:D259),"")</f>
        <v/>
      </c>
      <c r="E259" s="3">
        <f>IF(ISNUMBER(AVERAGE('20250815_ETF_Options_Exhibits'!E255:E259)),AVERAGE('20250815_ETF_Options_Exhibits'!E255:E259),"")</f>
        <v/>
      </c>
      <c r="F259" s="3">
        <f>IF(ISNUMBER(AVERAGE('20250815_ETF_Options_Exhibits'!F255:F259)),AVERAGE('20250815_ETF_Options_Exhibits'!F255:F259),"")</f>
        <v/>
      </c>
      <c r="G259" s="3">
        <f>IF(ISNUMBER(AVERAGE('20250815_ETF_Options_Exhibits'!G255:G259)),AVERAGE('20250815_ETF_Options_Exhibits'!G255:G259),"")</f>
        <v/>
      </c>
      <c r="H259" s="3">
        <f>IF(ISNUMBER(AVERAGE('20250815_ETF_Options_Exhibits'!H255:H259)),AVERAGE('20250815_ETF_Options_Exhibits'!H255:H259),"")</f>
        <v/>
      </c>
      <c r="I259" s="3">
        <f>IF(ISNUMBER(AVERAGE('20250815_ETF_Options_Exhibits'!I255:I259)),AVERAGE('20250815_ETF_Options_Exhibits'!I255:I259),"")</f>
        <v/>
      </c>
      <c r="J259" s="3">
        <f>IF(ISNUMBER(AVERAGE('20250815_ETF_Options_Exhibits'!J255:J259)),AVERAGE('20250815_ETF_Options_Exhibits'!J255:J259),"")</f>
        <v/>
      </c>
      <c r="K259" s="3">
        <f>IF(ISNUMBER(AVERAGE('20250815_ETF_Options_Exhibits'!K255:K259)),AVERAGE('20250815_ETF_Options_Exhibits'!K255:K259),"")</f>
        <v/>
      </c>
      <c r="L259" s="3">
        <f>IF(ISNUMBER(AVERAGE('20250815_ETF_Options_Exhibits'!L255:L259)),AVERAGE('20250815_ETF_Options_Exhibits'!L255:L259),"")</f>
        <v/>
      </c>
      <c r="M259" s="3">
        <f>IF(ISNUMBER(AVERAGE('20250815_ETF_Options_Exhibits'!M255:M259)),AVERAGE('20250815_ETF_Options_Exhibits'!M255:M259),"")</f>
        <v/>
      </c>
      <c r="N259" s="3">
        <f>IF(ISNUMBER(AVERAGE('20250815_ETF_Options_Exhibits'!N255:N259)),AVERAGE('20250815_ETF_Options_Exhibits'!N255:N259),"")</f>
        <v/>
      </c>
      <c r="O259" s="3">
        <f>IF(ISNUMBER(AVERAGE('20250815_ETF_Options_Exhibits'!O255:O259)),AVERAGE('20250815_ETF_Options_Exhibits'!O255:O259),"")</f>
        <v/>
      </c>
      <c r="P259" s="3">
        <f>IF(ISNUMBER(AVERAGE('20250815_ETF_Options_Exhibits'!P255:P259)),AVERAGE('20250815_ETF_Options_Exhibits'!P255:P259),"")</f>
        <v/>
      </c>
      <c r="Q259" s="3">
        <f>IF(ISNUMBER(AVERAGE('20250815_ETF_Options_Exhibits'!Q255:Q259)),AVERAGE('20250815_ETF_Options_Exhibits'!Q255:Q259),"")</f>
        <v/>
      </c>
      <c r="R259" s="3">
        <f>IF(ISNUMBER(AVERAGE('20250815_ETF_Options_Exhibits'!R255:R259)),AVERAGE('20250815_ETF_Options_Exhibits'!R255:R259),"")</f>
        <v/>
      </c>
      <c r="S259" s="3">
        <f>IF(ISNUMBER(AVERAGE('20250815_ETF_Options_Exhibits'!S255:S259)),AVERAGE('20250815_ETF_Options_Exhibits'!S255:S259),"")</f>
        <v/>
      </c>
      <c r="T259" s="3">
        <f>IF(ISNUMBER(AVERAGE('20250815_ETF_Options_Exhibits'!T255:T259)),AVERAGE('20250815_ETF_Options_Exhibits'!T255:T259),"")</f>
        <v/>
      </c>
      <c r="U259" s="3">
        <f>IF(ISNUMBER(AVERAGE('20250815_ETF_Options_Exhibits'!U255:U259)),AVERAGE('20250815_ETF_Options_Exhibits'!U255:U259),"")</f>
        <v/>
      </c>
      <c r="V259" s="3">
        <f>IF(ISNUMBER(AVERAGE('20250815_ETF_Options_Exhibits'!V255:V259)),AVERAGE('20250815_ETF_Options_Exhibits'!V255:V259),"")</f>
        <v/>
      </c>
      <c r="W259" s="3">
        <f>IF(ISNUMBER(AVERAGE('20250815_ETF_Options_Exhibits'!W255:W259)),AVERAGE('20250815_ETF_Options_Exhibits'!W255:W259),"")</f>
        <v/>
      </c>
      <c r="X259" s="3">
        <f>IF(ISNUMBER(AVERAGE('20250815_ETF_Options_Exhibits'!X255:X259)),AVERAGE('20250815_ETF_Options_Exhibits'!X255:X259),"")</f>
        <v/>
      </c>
      <c r="Y259" s="3">
        <f>IF(ISNUMBER(AVERAGE('20250815_ETF_Options_Exhibits'!Y255:Y259)),AVERAGE('20250815_ETF_Options_Exhibits'!Y255:Y259),"")</f>
        <v/>
      </c>
      <c r="Z259" s="3">
        <f>IF(ISNUMBER(AVERAGE('20250815_ETF_Options_Exhibits'!Z255:Z259)),AVERAGE('20250815_ETF_Options_Exhibits'!Z255:Z259),"")</f>
        <v/>
      </c>
      <c r="AA259" s="3">
        <f>IF(ISNUMBER(AVERAGE('20250815_ETF_Options_Exhibits'!AA255:AA259)),AVERAGE('20250815_ETF_Options_Exhibits'!AA255:AA259),"")</f>
        <v/>
      </c>
    </row>
    <row r="260">
      <c r="A260" s="1" t="n">
        <v>42380</v>
      </c>
      <c r="B260" s="3">
        <f>IF(ISNUMBER(AVERAGE('20250815_ETF_Options_Exhibits'!B256:B260)),AVERAGE('20250815_ETF_Options_Exhibits'!B256:B260),"")</f>
        <v/>
      </c>
      <c r="C260" s="3">
        <f>IF(ISNUMBER(AVERAGE('20250815_ETF_Options_Exhibits'!C256:C260)),AVERAGE('20250815_ETF_Options_Exhibits'!C256:C260),"")</f>
        <v/>
      </c>
      <c r="D260" s="3">
        <f>IF(ISNUMBER(AVERAGE('20250815_ETF_Options_Exhibits'!D256:D260)),AVERAGE('20250815_ETF_Options_Exhibits'!D256:D260),"")</f>
        <v/>
      </c>
      <c r="E260" s="3">
        <f>IF(ISNUMBER(AVERAGE('20250815_ETF_Options_Exhibits'!E256:E260)),AVERAGE('20250815_ETF_Options_Exhibits'!E256:E260),"")</f>
        <v/>
      </c>
      <c r="F260" s="3">
        <f>IF(ISNUMBER(AVERAGE('20250815_ETF_Options_Exhibits'!F256:F260)),AVERAGE('20250815_ETF_Options_Exhibits'!F256:F260),"")</f>
        <v/>
      </c>
      <c r="G260" s="3">
        <f>IF(ISNUMBER(AVERAGE('20250815_ETF_Options_Exhibits'!G256:G260)),AVERAGE('20250815_ETF_Options_Exhibits'!G256:G260),"")</f>
        <v/>
      </c>
      <c r="H260" s="3">
        <f>IF(ISNUMBER(AVERAGE('20250815_ETF_Options_Exhibits'!H256:H260)),AVERAGE('20250815_ETF_Options_Exhibits'!H256:H260),"")</f>
        <v/>
      </c>
      <c r="I260" s="3">
        <f>IF(ISNUMBER(AVERAGE('20250815_ETF_Options_Exhibits'!I256:I260)),AVERAGE('20250815_ETF_Options_Exhibits'!I256:I260),"")</f>
        <v/>
      </c>
      <c r="J260" s="3">
        <f>IF(ISNUMBER(AVERAGE('20250815_ETF_Options_Exhibits'!J256:J260)),AVERAGE('20250815_ETF_Options_Exhibits'!J256:J260),"")</f>
        <v/>
      </c>
      <c r="K260" s="3">
        <f>IF(ISNUMBER(AVERAGE('20250815_ETF_Options_Exhibits'!K256:K260)),AVERAGE('20250815_ETF_Options_Exhibits'!K256:K260),"")</f>
        <v/>
      </c>
      <c r="L260" s="3">
        <f>IF(ISNUMBER(AVERAGE('20250815_ETF_Options_Exhibits'!L256:L260)),AVERAGE('20250815_ETF_Options_Exhibits'!L256:L260),"")</f>
        <v/>
      </c>
      <c r="M260" s="3">
        <f>IF(ISNUMBER(AVERAGE('20250815_ETF_Options_Exhibits'!M256:M260)),AVERAGE('20250815_ETF_Options_Exhibits'!M256:M260),"")</f>
        <v/>
      </c>
      <c r="N260" s="3">
        <f>IF(ISNUMBER(AVERAGE('20250815_ETF_Options_Exhibits'!N256:N260)),AVERAGE('20250815_ETF_Options_Exhibits'!N256:N260),"")</f>
        <v/>
      </c>
      <c r="O260" s="3">
        <f>IF(ISNUMBER(AVERAGE('20250815_ETF_Options_Exhibits'!O256:O260)),AVERAGE('20250815_ETF_Options_Exhibits'!O256:O260),"")</f>
        <v/>
      </c>
      <c r="P260" s="3">
        <f>IF(ISNUMBER(AVERAGE('20250815_ETF_Options_Exhibits'!P256:P260)),AVERAGE('20250815_ETF_Options_Exhibits'!P256:P260),"")</f>
        <v/>
      </c>
      <c r="Q260" s="3">
        <f>IF(ISNUMBER(AVERAGE('20250815_ETF_Options_Exhibits'!Q256:Q260)),AVERAGE('20250815_ETF_Options_Exhibits'!Q256:Q260),"")</f>
        <v/>
      </c>
      <c r="R260" s="3">
        <f>IF(ISNUMBER(AVERAGE('20250815_ETF_Options_Exhibits'!R256:R260)),AVERAGE('20250815_ETF_Options_Exhibits'!R256:R260),"")</f>
        <v/>
      </c>
      <c r="S260" s="3">
        <f>IF(ISNUMBER(AVERAGE('20250815_ETF_Options_Exhibits'!S256:S260)),AVERAGE('20250815_ETF_Options_Exhibits'!S256:S260),"")</f>
        <v/>
      </c>
      <c r="T260" s="3">
        <f>IF(ISNUMBER(AVERAGE('20250815_ETF_Options_Exhibits'!T256:T260)),AVERAGE('20250815_ETF_Options_Exhibits'!T256:T260),"")</f>
        <v/>
      </c>
      <c r="U260" s="3">
        <f>IF(ISNUMBER(AVERAGE('20250815_ETF_Options_Exhibits'!U256:U260)),AVERAGE('20250815_ETF_Options_Exhibits'!U256:U260),"")</f>
        <v/>
      </c>
      <c r="V260" s="3">
        <f>IF(ISNUMBER(AVERAGE('20250815_ETF_Options_Exhibits'!V256:V260)),AVERAGE('20250815_ETF_Options_Exhibits'!V256:V260),"")</f>
        <v/>
      </c>
      <c r="W260" s="3">
        <f>IF(ISNUMBER(AVERAGE('20250815_ETF_Options_Exhibits'!W256:W260)),AVERAGE('20250815_ETF_Options_Exhibits'!W256:W260),"")</f>
        <v/>
      </c>
      <c r="X260" s="3">
        <f>IF(ISNUMBER(AVERAGE('20250815_ETF_Options_Exhibits'!X256:X260)),AVERAGE('20250815_ETF_Options_Exhibits'!X256:X260),"")</f>
        <v/>
      </c>
      <c r="Y260" s="3">
        <f>IF(ISNUMBER(AVERAGE('20250815_ETF_Options_Exhibits'!Y256:Y260)),AVERAGE('20250815_ETF_Options_Exhibits'!Y256:Y260),"")</f>
        <v/>
      </c>
      <c r="Z260" s="3">
        <f>IF(ISNUMBER(AVERAGE('20250815_ETF_Options_Exhibits'!Z256:Z260)),AVERAGE('20250815_ETF_Options_Exhibits'!Z256:Z260),"")</f>
        <v/>
      </c>
      <c r="AA260" s="3">
        <f>IF(ISNUMBER(AVERAGE('20250815_ETF_Options_Exhibits'!AA256:AA260)),AVERAGE('20250815_ETF_Options_Exhibits'!AA256:AA260),"")</f>
        <v/>
      </c>
    </row>
    <row r="261">
      <c r="A261" s="1" t="n">
        <v>42381</v>
      </c>
      <c r="B261" s="3">
        <f>IF(ISNUMBER(AVERAGE('20250815_ETF_Options_Exhibits'!B257:B261)),AVERAGE('20250815_ETF_Options_Exhibits'!B257:B261),"")</f>
        <v/>
      </c>
      <c r="C261" s="3">
        <f>IF(ISNUMBER(AVERAGE('20250815_ETF_Options_Exhibits'!C257:C261)),AVERAGE('20250815_ETF_Options_Exhibits'!C257:C261),"")</f>
        <v/>
      </c>
      <c r="D261" s="3">
        <f>IF(ISNUMBER(AVERAGE('20250815_ETF_Options_Exhibits'!D257:D261)),AVERAGE('20250815_ETF_Options_Exhibits'!D257:D261),"")</f>
        <v/>
      </c>
      <c r="E261" s="3">
        <f>IF(ISNUMBER(AVERAGE('20250815_ETF_Options_Exhibits'!E257:E261)),AVERAGE('20250815_ETF_Options_Exhibits'!E257:E261),"")</f>
        <v/>
      </c>
      <c r="F261" s="3">
        <f>IF(ISNUMBER(AVERAGE('20250815_ETF_Options_Exhibits'!F257:F261)),AVERAGE('20250815_ETF_Options_Exhibits'!F257:F261),"")</f>
        <v/>
      </c>
      <c r="G261" s="3">
        <f>IF(ISNUMBER(AVERAGE('20250815_ETF_Options_Exhibits'!G257:G261)),AVERAGE('20250815_ETF_Options_Exhibits'!G257:G261),"")</f>
        <v/>
      </c>
      <c r="H261" s="3">
        <f>IF(ISNUMBER(AVERAGE('20250815_ETF_Options_Exhibits'!H257:H261)),AVERAGE('20250815_ETF_Options_Exhibits'!H257:H261),"")</f>
        <v/>
      </c>
      <c r="I261" s="3">
        <f>IF(ISNUMBER(AVERAGE('20250815_ETF_Options_Exhibits'!I257:I261)),AVERAGE('20250815_ETF_Options_Exhibits'!I257:I261),"")</f>
        <v/>
      </c>
      <c r="J261" s="3">
        <f>IF(ISNUMBER(AVERAGE('20250815_ETF_Options_Exhibits'!J257:J261)),AVERAGE('20250815_ETF_Options_Exhibits'!J257:J261),"")</f>
        <v/>
      </c>
      <c r="K261" s="3">
        <f>IF(ISNUMBER(AVERAGE('20250815_ETF_Options_Exhibits'!K257:K261)),AVERAGE('20250815_ETF_Options_Exhibits'!K257:K261),"")</f>
        <v/>
      </c>
      <c r="L261" s="3">
        <f>IF(ISNUMBER(AVERAGE('20250815_ETF_Options_Exhibits'!L257:L261)),AVERAGE('20250815_ETF_Options_Exhibits'!L257:L261),"")</f>
        <v/>
      </c>
      <c r="M261" s="3">
        <f>IF(ISNUMBER(AVERAGE('20250815_ETF_Options_Exhibits'!M257:M261)),AVERAGE('20250815_ETF_Options_Exhibits'!M257:M261),"")</f>
        <v/>
      </c>
      <c r="N261" s="3">
        <f>IF(ISNUMBER(AVERAGE('20250815_ETF_Options_Exhibits'!N257:N261)),AVERAGE('20250815_ETF_Options_Exhibits'!N257:N261),"")</f>
        <v/>
      </c>
      <c r="O261" s="3">
        <f>IF(ISNUMBER(AVERAGE('20250815_ETF_Options_Exhibits'!O257:O261)),AVERAGE('20250815_ETF_Options_Exhibits'!O257:O261),"")</f>
        <v/>
      </c>
      <c r="P261" s="3">
        <f>IF(ISNUMBER(AVERAGE('20250815_ETF_Options_Exhibits'!P257:P261)),AVERAGE('20250815_ETF_Options_Exhibits'!P257:P261),"")</f>
        <v/>
      </c>
      <c r="Q261" s="3">
        <f>IF(ISNUMBER(AVERAGE('20250815_ETF_Options_Exhibits'!Q257:Q261)),AVERAGE('20250815_ETF_Options_Exhibits'!Q257:Q261),"")</f>
        <v/>
      </c>
      <c r="R261" s="3">
        <f>IF(ISNUMBER(AVERAGE('20250815_ETF_Options_Exhibits'!R257:R261)),AVERAGE('20250815_ETF_Options_Exhibits'!R257:R261),"")</f>
        <v/>
      </c>
      <c r="S261" s="3">
        <f>IF(ISNUMBER(AVERAGE('20250815_ETF_Options_Exhibits'!S257:S261)),AVERAGE('20250815_ETF_Options_Exhibits'!S257:S261),"")</f>
        <v/>
      </c>
      <c r="T261" s="3">
        <f>IF(ISNUMBER(AVERAGE('20250815_ETF_Options_Exhibits'!T257:T261)),AVERAGE('20250815_ETF_Options_Exhibits'!T257:T261),"")</f>
        <v/>
      </c>
      <c r="U261" s="3">
        <f>IF(ISNUMBER(AVERAGE('20250815_ETF_Options_Exhibits'!U257:U261)),AVERAGE('20250815_ETF_Options_Exhibits'!U257:U261),"")</f>
        <v/>
      </c>
      <c r="V261" s="3">
        <f>IF(ISNUMBER(AVERAGE('20250815_ETF_Options_Exhibits'!V257:V261)),AVERAGE('20250815_ETF_Options_Exhibits'!V257:V261),"")</f>
        <v/>
      </c>
      <c r="W261" s="3">
        <f>IF(ISNUMBER(AVERAGE('20250815_ETF_Options_Exhibits'!W257:W261)),AVERAGE('20250815_ETF_Options_Exhibits'!W257:W261),"")</f>
        <v/>
      </c>
      <c r="X261" s="3">
        <f>IF(ISNUMBER(AVERAGE('20250815_ETF_Options_Exhibits'!X257:X261)),AVERAGE('20250815_ETF_Options_Exhibits'!X257:X261),"")</f>
        <v/>
      </c>
      <c r="Y261" s="3">
        <f>IF(ISNUMBER(AVERAGE('20250815_ETF_Options_Exhibits'!Y257:Y261)),AVERAGE('20250815_ETF_Options_Exhibits'!Y257:Y261),"")</f>
        <v/>
      </c>
      <c r="Z261" s="3">
        <f>IF(ISNUMBER(AVERAGE('20250815_ETF_Options_Exhibits'!Z257:Z261)),AVERAGE('20250815_ETF_Options_Exhibits'!Z257:Z261),"")</f>
        <v/>
      </c>
      <c r="AA261" s="3">
        <f>IF(ISNUMBER(AVERAGE('20250815_ETF_Options_Exhibits'!AA257:AA261)),AVERAGE('20250815_ETF_Options_Exhibits'!AA257:AA261),"")</f>
        <v/>
      </c>
    </row>
    <row r="262">
      <c r="A262" s="1" t="n">
        <v>42382</v>
      </c>
      <c r="B262" s="3">
        <f>IF(ISNUMBER(AVERAGE('20250815_ETF_Options_Exhibits'!B258:B262)),AVERAGE('20250815_ETF_Options_Exhibits'!B258:B262),"")</f>
        <v/>
      </c>
      <c r="C262" s="3">
        <f>IF(ISNUMBER(AVERAGE('20250815_ETF_Options_Exhibits'!C258:C262)),AVERAGE('20250815_ETF_Options_Exhibits'!C258:C262),"")</f>
        <v/>
      </c>
      <c r="D262" s="3">
        <f>IF(ISNUMBER(AVERAGE('20250815_ETF_Options_Exhibits'!D258:D262)),AVERAGE('20250815_ETF_Options_Exhibits'!D258:D262),"")</f>
        <v/>
      </c>
      <c r="E262" s="3">
        <f>IF(ISNUMBER(AVERAGE('20250815_ETF_Options_Exhibits'!E258:E262)),AVERAGE('20250815_ETF_Options_Exhibits'!E258:E262),"")</f>
        <v/>
      </c>
      <c r="F262" s="3">
        <f>IF(ISNUMBER(AVERAGE('20250815_ETF_Options_Exhibits'!F258:F262)),AVERAGE('20250815_ETF_Options_Exhibits'!F258:F262),"")</f>
        <v/>
      </c>
      <c r="G262" s="3">
        <f>IF(ISNUMBER(AVERAGE('20250815_ETF_Options_Exhibits'!G258:G262)),AVERAGE('20250815_ETF_Options_Exhibits'!G258:G262),"")</f>
        <v/>
      </c>
      <c r="H262" s="3">
        <f>IF(ISNUMBER(AVERAGE('20250815_ETF_Options_Exhibits'!H258:H262)),AVERAGE('20250815_ETF_Options_Exhibits'!H258:H262),"")</f>
        <v/>
      </c>
      <c r="I262" s="3">
        <f>IF(ISNUMBER(AVERAGE('20250815_ETF_Options_Exhibits'!I258:I262)),AVERAGE('20250815_ETF_Options_Exhibits'!I258:I262),"")</f>
        <v/>
      </c>
      <c r="J262" s="3">
        <f>IF(ISNUMBER(AVERAGE('20250815_ETF_Options_Exhibits'!J258:J262)),AVERAGE('20250815_ETF_Options_Exhibits'!J258:J262),"")</f>
        <v/>
      </c>
      <c r="K262" s="3">
        <f>IF(ISNUMBER(AVERAGE('20250815_ETF_Options_Exhibits'!K258:K262)),AVERAGE('20250815_ETF_Options_Exhibits'!K258:K262),"")</f>
        <v/>
      </c>
      <c r="L262" s="3">
        <f>IF(ISNUMBER(AVERAGE('20250815_ETF_Options_Exhibits'!L258:L262)),AVERAGE('20250815_ETF_Options_Exhibits'!L258:L262),"")</f>
        <v/>
      </c>
      <c r="M262" s="3">
        <f>IF(ISNUMBER(AVERAGE('20250815_ETF_Options_Exhibits'!M258:M262)),AVERAGE('20250815_ETF_Options_Exhibits'!M258:M262),"")</f>
        <v/>
      </c>
      <c r="N262" s="3">
        <f>IF(ISNUMBER(AVERAGE('20250815_ETF_Options_Exhibits'!N258:N262)),AVERAGE('20250815_ETF_Options_Exhibits'!N258:N262),"")</f>
        <v/>
      </c>
      <c r="O262" s="3">
        <f>IF(ISNUMBER(AVERAGE('20250815_ETF_Options_Exhibits'!O258:O262)),AVERAGE('20250815_ETF_Options_Exhibits'!O258:O262),"")</f>
        <v/>
      </c>
      <c r="P262" s="3">
        <f>IF(ISNUMBER(AVERAGE('20250815_ETF_Options_Exhibits'!P258:P262)),AVERAGE('20250815_ETF_Options_Exhibits'!P258:P262),"")</f>
        <v/>
      </c>
      <c r="Q262" s="3">
        <f>IF(ISNUMBER(AVERAGE('20250815_ETF_Options_Exhibits'!Q258:Q262)),AVERAGE('20250815_ETF_Options_Exhibits'!Q258:Q262),"")</f>
        <v/>
      </c>
      <c r="R262" s="3">
        <f>IF(ISNUMBER(AVERAGE('20250815_ETF_Options_Exhibits'!R258:R262)),AVERAGE('20250815_ETF_Options_Exhibits'!R258:R262),"")</f>
        <v/>
      </c>
      <c r="S262" s="3">
        <f>IF(ISNUMBER(AVERAGE('20250815_ETF_Options_Exhibits'!S258:S262)),AVERAGE('20250815_ETF_Options_Exhibits'!S258:S262),"")</f>
        <v/>
      </c>
      <c r="T262" s="3">
        <f>IF(ISNUMBER(AVERAGE('20250815_ETF_Options_Exhibits'!T258:T262)),AVERAGE('20250815_ETF_Options_Exhibits'!T258:T262),"")</f>
        <v/>
      </c>
      <c r="U262" s="3">
        <f>IF(ISNUMBER(AVERAGE('20250815_ETF_Options_Exhibits'!U258:U262)),AVERAGE('20250815_ETF_Options_Exhibits'!U258:U262),"")</f>
        <v/>
      </c>
      <c r="V262" s="3">
        <f>IF(ISNUMBER(AVERAGE('20250815_ETF_Options_Exhibits'!V258:V262)),AVERAGE('20250815_ETF_Options_Exhibits'!V258:V262),"")</f>
        <v/>
      </c>
      <c r="W262" s="3">
        <f>IF(ISNUMBER(AVERAGE('20250815_ETF_Options_Exhibits'!W258:W262)),AVERAGE('20250815_ETF_Options_Exhibits'!W258:W262),"")</f>
        <v/>
      </c>
      <c r="X262" s="3">
        <f>IF(ISNUMBER(AVERAGE('20250815_ETF_Options_Exhibits'!X258:X262)),AVERAGE('20250815_ETF_Options_Exhibits'!X258:X262),"")</f>
        <v/>
      </c>
      <c r="Y262" s="3">
        <f>IF(ISNUMBER(AVERAGE('20250815_ETF_Options_Exhibits'!Y258:Y262)),AVERAGE('20250815_ETF_Options_Exhibits'!Y258:Y262),"")</f>
        <v/>
      </c>
      <c r="Z262" s="3">
        <f>IF(ISNUMBER(AVERAGE('20250815_ETF_Options_Exhibits'!Z258:Z262)),AVERAGE('20250815_ETF_Options_Exhibits'!Z258:Z262),"")</f>
        <v/>
      </c>
      <c r="AA262" s="3">
        <f>IF(ISNUMBER(AVERAGE('20250815_ETF_Options_Exhibits'!AA258:AA262)),AVERAGE('20250815_ETF_Options_Exhibits'!AA258:AA262),"")</f>
        <v/>
      </c>
    </row>
    <row r="263">
      <c r="A263" s="1" t="n">
        <v>42383</v>
      </c>
      <c r="B263" s="3">
        <f>IF(ISNUMBER(AVERAGE('20250815_ETF_Options_Exhibits'!B259:B263)),AVERAGE('20250815_ETF_Options_Exhibits'!B259:B263),"")</f>
        <v/>
      </c>
      <c r="C263" s="3">
        <f>IF(ISNUMBER(AVERAGE('20250815_ETF_Options_Exhibits'!C259:C263)),AVERAGE('20250815_ETF_Options_Exhibits'!C259:C263),"")</f>
        <v/>
      </c>
      <c r="D263" s="3">
        <f>IF(ISNUMBER(AVERAGE('20250815_ETF_Options_Exhibits'!D259:D263)),AVERAGE('20250815_ETF_Options_Exhibits'!D259:D263),"")</f>
        <v/>
      </c>
      <c r="E263" s="3">
        <f>IF(ISNUMBER(AVERAGE('20250815_ETF_Options_Exhibits'!E259:E263)),AVERAGE('20250815_ETF_Options_Exhibits'!E259:E263),"")</f>
        <v/>
      </c>
      <c r="F263" s="3">
        <f>IF(ISNUMBER(AVERAGE('20250815_ETF_Options_Exhibits'!F259:F263)),AVERAGE('20250815_ETF_Options_Exhibits'!F259:F263),"")</f>
        <v/>
      </c>
      <c r="G263" s="3">
        <f>IF(ISNUMBER(AVERAGE('20250815_ETF_Options_Exhibits'!G259:G263)),AVERAGE('20250815_ETF_Options_Exhibits'!G259:G263),"")</f>
        <v/>
      </c>
      <c r="H263" s="3">
        <f>IF(ISNUMBER(AVERAGE('20250815_ETF_Options_Exhibits'!H259:H263)),AVERAGE('20250815_ETF_Options_Exhibits'!H259:H263),"")</f>
        <v/>
      </c>
      <c r="I263" s="3">
        <f>IF(ISNUMBER(AVERAGE('20250815_ETF_Options_Exhibits'!I259:I263)),AVERAGE('20250815_ETF_Options_Exhibits'!I259:I263),"")</f>
        <v/>
      </c>
      <c r="J263" s="3">
        <f>IF(ISNUMBER(AVERAGE('20250815_ETF_Options_Exhibits'!J259:J263)),AVERAGE('20250815_ETF_Options_Exhibits'!J259:J263),"")</f>
        <v/>
      </c>
      <c r="K263" s="3">
        <f>IF(ISNUMBER(AVERAGE('20250815_ETF_Options_Exhibits'!K259:K263)),AVERAGE('20250815_ETF_Options_Exhibits'!K259:K263),"")</f>
        <v/>
      </c>
      <c r="L263" s="3">
        <f>IF(ISNUMBER(AVERAGE('20250815_ETF_Options_Exhibits'!L259:L263)),AVERAGE('20250815_ETF_Options_Exhibits'!L259:L263),"")</f>
        <v/>
      </c>
      <c r="M263" s="3">
        <f>IF(ISNUMBER(AVERAGE('20250815_ETF_Options_Exhibits'!M259:M263)),AVERAGE('20250815_ETF_Options_Exhibits'!M259:M263),"")</f>
        <v/>
      </c>
      <c r="N263" s="3">
        <f>IF(ISNUMBER(AVERAGE('20250815_ETF_Options_Exhibits'!N259:N263)),AVERAGE('20250815_ETF_Options_Exhibits'!N259:N263),"")</f>
        <v/>
      </c>
      <c r="O263" s="3">
        <f>IF(ISNUMBER(AVERAGE('20250815_ETF_Options_Exhibits'!O259:O263)),AVERAGE('20250815_ETF_Options_Exhibits'!O259:O263),"")</f>
        <v/>
      </c>
      <c r="P263" s="3">
        <f>IF(ISNUMBER(AVERAGE('20250815_ETF_Options_Exhibits'!P259:P263)),AVERAGE('20250815_ETF_Options_Exhibits'!P259:P263),"")</f>
        <v/>
      </c>
      <c r="Q263" s="3">
        <f>IF(ISNUMBER(AVERAGE('20250815_ETF_Options_Exhibits'!Q259:Q263)),AVERAGE('20250815_ETF_Options_Exhibits'!Q259:Q263),"")</f>
        <v/>
      </c>
      <c r="R263" s="3">
        <f>IF(ISNUMBER(AVERAGE('20250815_ETF_Options_Exhibits'!R259:R263)),AVERAGE('20250815_ETF_Options_Exhibits'!R259:R263),"")</f>
        <v/>
      </c>
      <c r="S263" s="3">
        <f>IF(ISNUMBER(AVERAGE('20250815_ETF_Options_Exhibits'!S259:S263)),AVERAGE('20250815_ETF_Options_Exhibits'!S259:S263),"")</f>
        <v/>
      </c>
      <c r="T263" s="3">
        <f>IF(ISNUMBER(AVERAGE('20250815_ETF_Options_Exhibits'!T259:T263)),AVERAGE('20250815_ETF_Options_Exhibits'!T259:T263),"")</f>
        <v/>
      </c>
      <c r="U263" s="3">
        <f>IF(ISNUMBER(AVERAGE('20250815_ETF_Options_Exhibits'!U259:U263)),AVERAGE('20250815_ETF_Options_Exhibits'!U259:U263),"")</f>
        <v/>
      </c>
      <c r="V263" s="3">
        <f>IF(ISNUMBER(AVERAGE('20250815_ETF_Options_Exhibits'!V259:V263)),AVERAGE('20250815_ETF_Options_Exhibits'!V259:V263),"")</f>
        <v/>
      </c>
      <c r="W263" s="3">
        <f>IF(ISNUMBER(AVERAGE('20250815_ETF_Options_Exhibits'!W259:W263)),AVERAGE('20250815_ETF_Options_Exhibits'!W259:W263),"")</f>
        <v/>
      </c>
      <c r="X263" s="3">
        <f>IF(ISNUMBER(AVERAGE('20250815_ETF_Options_Exhibits'!X259:X263)),AVERAGE('20250815_ETF_Options_Exhibits'!X259:X263),"")</f>
        <v/>
      </c>
      <c r="Y263" s="3">
        <f>IF(ISNUMBER(AVERAGE('20250815_ETF_Options_Exhibits'!Y259:Y263)),AVERAGE('20250815_ETF_Options_Exhibits'!Y259:Y263),"")</f>
        <v/>
      </c>
      <c r="Z263" s="3">
        <f>IF(ISNUMBER(AVERAGE('20250815_ETF_Options_Exhibits'!Z259:Z263)),AVERAGE('20250815_ETF_Options_Exhibits'!Z259:Z263),"")</f>
        <v/>
      </c>
      <c r="AA263" s="3">
        <f>IF(ISNUMBER(AVERAGE('20250815_ETF_Options_Exhibits'!AA259:AA263)),AVERAGE('20250815_ETF_Options_Exhibits'!AA259:AA263),"")</f>
        <v/>
      </c>
    </row>
    <row r="264">
      <c r="A264" s="1" t="n">
        <v>42384</v>
      </c>
      <c r="B264" s="3">
        <f>IF(ISNUMBER(AVERAGE('20250815_ETF_Options_Exhibits'!B260:B264)),AVERAGE('20250815_ETF_Options_Exhibits'!B260:B264),"")</f>
        <v/>
      </c>
      <c r="C264" s="3">
        <f>IF(ISNUMBER(AVERAGE('20250815_ETF_Options_Exhibits'!C260:C264)),AVERAGE('20250815_ETF_Options_Exhibits'!C260:C264),"")</f>
        <v/>
      </c>
      <c r="D264" s="3">
        <f>IF(ISNUMBER(AVERAGE('20250815_ETF_Options_Exhibits'!D260:D264)),AVERAGE('20250815_ETF_Options_Exhibits'!D260:D264),"")</f>
        <v/>
      </c>
      <c r="E264" s="3">
        <f>IF(ISNUMBER(AVERAGE('20250815_ETF_Options_Exhibits'!E260:E264)),AVERAGE('20250815_ETF_Options_Exhibits'!E260:E264),"")</f>
        <v/>
      </c>
      <c r="F264" s="3">
        <f>IF(ISNUMBER(AVERAGE('20250815_ETF_Options_Exhibits'!F260:F264)),AVERAGE('20250815_ETF_Options_Exhibits'!F260:F264),"")</f>
        <v/>
      </c>
      <c r="G264" s="3">
        <f>IF(ISNUMBER(AVERAGE('20250815_ETF_Options_Exhibits'!G260:G264)),AVERAGE('20250815_ETF_Options_Exhibits'!G260:G264),"")</f>
        <v/>
      </c>
      <c r="H264" s="3">
        <f>IF(ISNUMBER(AVERAGE('20250815_ETF_Options_Exhibits'!H260:H264)),AVERAGE('20250815_ETF_Options_Exhibits'!H260:H264),"")</f>
        <v/>
      </c>
      <c r="I264" s="3">
        <f>IF(ISNUMBER(AVERAGE('20250815_ETF_Options_Exhibits'!I260:I264)),AVERAGE('20250815_ETF_Options_Exhibits'!I260:I264),"")</f>
        <v/>
      </c>
      <c r="J264" s="3">
        <f>IF(ISNUMBER(AVERAGE('20250815_ETF_Options_Exhibits'!J260:J264)),AVERAGE('20250815_ETF_Options_Exhibits'!J260:J264),"")</f>
        <v/>
      </c>
      <c r="K264" s="3">
        <f>IF(ISNUMBER(AVERAGE('20250815_ETF_Options_Exhibits'!K260:K264)),AVERAGE('20250815_ETF_Options_Exhibits'!K260:K264),"")</f>
        <v/>
      </c>
      <c r="L264" s="3">
        <f>IF(ISNUMBER(AVERAGE('20250815_ETF_Options_Exhibits'!L260:L264)),AVERAGE('20250815_ETF_Options_Exhibits'!L260:L264),"")</f>
        <v/>
      </c>
      <c r="M264" s="3">
        <f>IF(ISNUMBER(AVERAGE('20250815_ETF_Options_Exhibits'!M260:M264)),AVERAGE('20250815_ETF_Options_Exhibits'!M260:M264),"")</f>
        <v/>
      </c>
      <c r="N264" s="3">
        <f>IF(ISNUMBER(AVERAGE('20250815_ETF_Options_Exhibits'!N260:N264)),AVERAGE('20250815_ETF_Options_Exhibits'!N260:N264),"")</f>
        <v/>
      </c>
      <c r="O264" s="3">
        <f>IF(ISNUMBER(AVERAGE('20250815_ETF_Options_Exhibits'!O260:O264)),AVERAGE('20250815_ETF_Options_Exhibits'!O260:O264),"")</f>
        <v/>
      </c>
      <c r="P264" s="3">
        <f>IF(ISNUMBER(AVERAGE('20250815_ETF_Options_Exhibits'!P260:P264)),AVERAGE('20250815_ETF_Options_Exhibits'!P260:P264),"")</f>
        <v/>
      </c>
      <c r="Q264" s="3">
        <f>IF(ISNUMBER(AVERAGE('20250815_ETF_Options_Exhibits'!Q260:Q264)),AVERAGE('20250815_ETF_Options_Exhibits'!Q260:Q264),"")</f>
        <v/>
      </c>
      <c r="R264" s="3">
        <f>IF(ISNUMBER(AVERAGE('20250815_ETF_Options_Exhibits'!R260:R264)),AVERAGE('20250815_ETF_Options_Exhibits'!R260:R264),"")</f>
        <v/>
      </c>
      <c r="S264" s="3">
        <f>IF(ISNUMBER(AVERAGE('20250815_ETF_Options_Exhibits'!S260:S264)),AVERAGE('20250815_ETF_Options_Exhibits'!S260:S264),"")</f>
        <v/>
      </c>
      <c r="T264" s="3">
        <f>IF(ISNUMBER(AVERAGE('20250815_ETF_Options_Exhibits'!T260:T264)),AVERAGE('20250815_ETF_Options_Exhibits'!T260:T264),"")</f>
        <v/>
      </c>
      <c r="U264" s="3">
        <f>IF(ISNUMBER(AVERAGE('20250815_ETF_Options_Exhibits'!U260:U264)),AVERAGE('20250815_ETF_Options_Exhibits'!U260:U264),"")</f>
        <v/>
      </c>
      <c r="V264" s="3">
        <f>IF(ISNUMBER(AVERAGE('20250815_ETF_Options_Exhibits'!V260:V264)),AVERAGE('20250815_ETF_Options_Exhibits'!V260:V264),"")</f>
        <v/>
      </c>
      <c r="W264" s="3">
        <f>IF(ISNUMBER(AVERAGE('20250815_ETF_Options_Exhibits'!W260:W264)),AVERAGE('20250815_ETF_Options_Exhibits'!W260:W264),"")</f>
        <v/>
      </c>
      <c r="X264" s="3">
        <f>IF(ISNUMBER(AVERAGE('20250815_ETF_Options_Exhibits'!X260:X264)),AVERAGE('20250815_ETF_Options_Exhibits'!X260:X264),"")</f>
        <v/>
      </c>
      <c r="Y264" s="3">
        <f>IF(ISNUMBER(AVERAGE('20250815_ETF_Options_Exhibits'!Y260:Y264)),AVERAGE('20250815_ETF_Options_Exhibits'!Y260:Y264),"")</f>
        <v/>
      </c>
      <c r="Z264" s="3">
        <f>IF(ISNUMBER(AVERAGE('20250815_ETF_Options_Exhibits'!Z260:Z264)),AVERAGE('20250815_ETF_Options_Exhibits'!Z260:Z264),"")</f>
        <v/>
      </c>
      <c r="AA264" s="3">
        <f>IF(ISNUMBER(AVERAGE('20250815_ETF_Options_Exhibits'!AA260:AA264)),AVERAGE('20250815_ETF_Options_Exhibits'!AA260:AA264),"")</f>
        <v/>
      </c>
    </row>
    <row r="265">
      <c r="A265" s="1" t="n">
        <v>42388</v>
      </c>
      <c r="B265" s="3">
        <f>IF(ISNUMBER(AVERAGE('20250815_ETF_Options_Exhibits'!B261:B265)),AVERAGE('20250815_ETF_Options_Exhibits'!B261:B265),"")</f>
        <v/>
      </c>
      <c r="C265" s="3">
        <f>IF(ISNUMBER(AVERAGE('20250815_ETF_Options_Exhibits'!C261:C265)),AVERAGE('20250815_ETF_Options_Exhibits'!C261:C265),"")</f>
        <v/>
      </c>
      <c r="D265" s="3">
        <f>IF(ISNUMBER(AVERAGE('20250815_ETF_Options_Exhibits'!D261:D265)),AVERAGE('20250815_ETF_Options_Exhibits'!D261:D265),"")</f>
        <v/>
      </c>
      <c r="E265" s="3">
        <f>IF(ISNUMBER(AVERAGE('20250815_ETF_Options_Exhibits'!E261:E265)),AVERAGE('20250815_ETF_Options_Exhibits'!E261:E265),"")</f>
        <v/>
      </c>
      <c r="F265" s="3">
        <f>IF(ISNUMBER(AVERAGE('20250815_ETF_Options_Exhibits'!F261:F265)),AVERAGE('20250815_ETF_Options_Exhibits'!F261:F265),"")</f>
        <v/>
      </c>
      <c r="G265" s="3">
        <f>IF(ISNUMBER(AVERAGE('20250815_ETF_Options_Exhibits'!G261:G265)),AVERAGE('20250815_ETF_Options_Exhibits'!G261:G265),"")</f>
        <v/>
      </c>
      <c r="H265" s="3">
        <f>IF(ISNUMBER(AVERAGE('20250815_ETF_Options_Exhibits'!H261:H265)),AVERAGE('20250815_ETF_Options_Exhibits'!H261:H265),"")</f>
        <v/>
      </c>
      <c r="I265" s="3">
        <f>IF(ISNUMBER(AVERAGE('20250815_ETF_Options_Exhibits'!I261:I265)),AVERAGE('20250815_ETF_Options_Exhibits'!I261:I265),"")</f>
        <v/>
      </c>
      <c r="J265" s="3">
        <f>IF(ISNUMBER(AVERAGE('20250815_ETF_Options_Exhibits'!J261:J265)),AVERAGE('20250815_ETF_Options_Exhibits'!J261:J265),"")</f>
        <v/>
      </c>
      <c r="K265" s="3">
        <f>IF(ISNUMBER(AVERAGE('20250815_ETF_Options_Exhibits'!K261:K265)),AVERAGE('20250815_ETF_Options_Exhibits'!K261:K265),"")</f>
        <v/>
      </c>
      <c r="L265" s="3">
        <f>IF(ISNUMBER(AVERAGE('20250815_ETF_Options_Exhibits'!L261:L265)),AVERAGE('20250815_ETF_Options_Exhibits'!L261:L265),"")</f>
        <v/>
      </c>
      <c r="M265" s="3">
        <f>IF(ISNUMBER(AVERAGE('20250815_ETF_Options_Exhibits'!M261:M265)),AVERAGE('20250815_ETF_Options_Exhibits'!M261:M265),"")</f>
        <v/>
      </c>
      <c r="N265" s="3">
        <f>IF(ISNUMBER(AVERAGE('20250815_ETF_Options_Exhibits'!N261:N265)),AVERAGE('20250815_ETF_Options_Exhibits'!N261:N265),"")</f>
        <v/>
      </c>
      <c r="O265" s="3">
        <f>IF(ISNUMBER(AVERAGE('20250815_ETF_Options_Exhibits'!O261:O265)),AVERAGE('20250815_ETF_Options_Exhibits'!O261:O265),"")</f>
        <v/>
      </c>
      <c r="P265" s="3">
        <f>IF(ISNUMBER(AVERAGE('20250815_ETF_Options_Exhibits'!P261:P265)),AVERAGE('20250815_ETF_Options_Exhibits'!P261:P265),"")</f>
        <v/>
      </c>
      <c r="Q265" s="3">
        <f>IF(ISNUMBER(AVERAGE('20250815_ETF_Options_Exhibits'!Q261:Q265)),AVERAGE('20250815_ETF_Options_Exhibits'!Q261:Q265),"")</f>
        <v/>
      </c>
      <c r="R265" s="3">
        <f>IF(ISNUMBER(AVERAGE('20250815_ETF_Options_Exhibits'!R261:R265)),AVERAGE('20250815_ETF_Options_Exhibits'!R261:R265),"")</f>
        <v/>
      </c>
      <c r="S265" s="3">
        <f>IF(ISNUMBER(AVERAGE('20250815_ETF_Options_Exhibits'!S261:S265)),AVERAGE('20250815_ETF_Options_Exhibits'!S261:S265),"")</f>
        <v/>
      </c>
      <c r="T265" s="3">
        <f>IF(ISNUMBER(AVERAGE('20250815_ETF_Options_Exhibits'!T261:T265)),AVERAGE('20250815_ETF_Options_Exhibits'!T261:T265),"")</f>
        <v/>
      </c>
      <c r="U265" s="3">
        <f>IF(ISNUMBER(AVERAGE('20250815_ETF_Options_Exhibits'!U261:U265)),AVERAGE('20250815_ETF_Options_Exhibits'!U261:U265),"")</f>
        <v/>
      </c>
      <c r="V265" s="3">
        <f>IF(ISNUMBER(AVERAGE('20250815_ETF_Options_Exhibits'!V261:V265)),AVERAGE('20250815_ETF_Options_Exhibits'!V261:V265),"")</f>
        <v/>
      </c>
      <c r="W265" s="3">
        <f>IF(ISNUMBER(AVERAGE('20250815_ETF_Options_Exhibits'!W261:W265)),AVERAGE('20250815_ETF_Options_Exhibits'!W261:W265),"")</f>
        <v/>
      </c>
      <c r="X265" s="3">
        <f>IF(ISNUMBER(AVERAGE('20250815_ETF_Options_Exhibits'!X261:X265)),AVERAGE('20250815_ETF_Options_Exhibits'!X261:X265),"")</f>
        <v/>
      </c>
      <c r="Y265" s="3">
        <f>IF(ISNUMBER(AVERAGE('20250815_ETF_Options_Exhibits'!Y261:Y265)),AVERAGE('20250815_ETF_Options_Exhibits'!Y261:Y265),"")</f>
        <v/>
      </c>
      <c r="Z265" s="3">
        <f>IF(ISNUMBER(AVERAGE('20250815_ETF_Options_Exhibits'!Z261:Z265)),AVERAGE('20250815_ETF_Options_Exhibits'!Z261:Z265),"")</f>
        <v/>
      </c>
      <c r="AA265" s="3">
        <f>IF(ISNUMBER(AVERAGE('20250815_ETF_Options_Exhibits'!AA261:AA265)),AVERAGE('20250815_ETF_Options_Exhibits'!AA261:AA265),"")</f>
        <v/>
      </c>
    </row>
    <row r="266">
      <c r="A266" s="1" t="n">
        <v>42389</v>
      </c>
      <c r="B266" s="3">
        <f>IF(ISNUMBER(AVERAGE('20250815_ETF_Options_Exhibits'!B262:B266)),AVERAGE('20250815_ETF_Options_Exhibits'!B262:B266),"")</f>
        <v/>
      </c>
      <c r="C266" s="3">
        <f>IF(ISNUMBER(AVERAGE('20250815_ETF_Options_Exhibits'!C262:C266)),AVERAGE('20250815_ETF_Options_Exhibits'!C262:C266),"")</f>
        <v/>
      </c>
      <c r="D266" s="3">
        <f>IF(ISNUMBER(AVERAGE('20250815_ETF_Options_Exhibits'!D262:D266)),AVERAGE('20250815_ETF_Options_Exhibits'!D262:D266),"")</f>
        <v/>
      </c>
      <c r="E266" s="3">
        <f>IF(ISNUMBER(AVERAGE('20250815_ETF_Options_Exhibits'!E262:E266)),AVERAGE('20250815_ETF_Options_Exhibits'!E262:E266),"")</f>
        <v/>
      </c>
      <c r="F266" s="3">
        <f>IF(ISNUMBER(AVERAGE('20250815_ETF_Options_Exhibits'!F262:F266)),AVERAGE('20250815_ETF_Options_Exhibits'!F262:F266),"")</f>
        <v/>
      </c>
      <c r="G266" s="3">
        <f>IF(ISNUMBER(AVERAGE('20250815_ETF_Options_Exhibits'!G262:G266)),AVERAGE('20250815_ETF_Options_Exhibits'!G262:G266),"")</f>
        <v/>
      </c>
      <c r="H266" s="3">
        <f>IF(ISNUMBER(AVERAGE('20250815_ETF_Options_Exhibits'!H262:H266)),AVERAGE('20250815_ETF_Options_Exhibits'!H262:H266),"")</f>
        <v/>
      </c>
      <c r="I266" s="3">
        <f>IF(ISNUMBER(AVERAGE('20250815_ETF_Options_Exhibits'!I262:I266)),AVERAGE('20250815_ETF_Options_Exhibits'!I262:I266),"")</f>
        <v/>
      </c>
      <c r="J266" s="3">
        <f>IF(ISNUMBER(AVERAGE('20250815_ETF_Options_Exhibits'!J262:J266)),AVERAGE('20250815_ETF_Options_Exhibits'!J262:J266),"")</f>
        <v/>
      </c>
      <c r="K266" s="3">
        <f>IF(ISNUMBER(AVERAGE('20250815_ETF_Options_Exhibits'!K262:K266)),AVERAGE('20250815_ETF_Options_Exhibits'!K262:K266),"")</f>
        <v/>
      </c>
      <c r="L266" s="3">
        <f>IF(ISNUMBER(AVERAGE('20250815_ETF_Options_Exhibits'!L262:L266)),AVERAGE('20250815_ETF_Options_Exhibits'!L262:L266),"")</f>
        <v/>
      </c>
      <c r="M266" s="3">
        <f>IF(ISNUMBER(AVERAGE('20250815_ETF_Options_Exhibits'!M262:M266)),AVERAGE('20250815_ETF_Options_Exhibits'!M262:M266),"")</f>
        <v/>
      </c>
      <c r="N266" s="3">
        <f>IF(ISNUMBER(AVERAGE('20250815_ETF_Options_Exhibits'!N262:N266)),AVERAGE('20250815_ETF_Options_Exhibits'!N262:N266),"")</f>
        <v/>
      </c>
      <c r="O266" s="3">
        <f>IF(ISNUMBER(AVERAGE('20250815_ETF_Options_Exhibits'!O262:O266)),AVERAGE('20250815_ETF_Options_Exhibits'!O262:O266),"")</f>
        <v/>
      </c>
      <c r="P266" s="3">
        <f>IF(ISNUMBER(AVERAGE('20250815_ETF_Options_Exhibits'!P262:P266)),AVERAGE('20250815_ETF_Options_Exhibits'!P262:P266),"")</f>
        <v/>
      </c>
      <c r="Q266" s="3">
        <f>IF(ISNUMBER(AVERAGE('20250815_ETF_Options_Exhibits'!Q262:Q266)),AVERAGE('20250815_ETF_Options_Exhibits'!Q262:Q266),"")</f>
        <v/>
      </c>
      <c r="R266" s="3">
        <f>IF(ISNUMBER(AVERAGE('20250815_ETF_Options_Exhibits'!R262:R266)),AVERAGE('20250815_ETF_Options_Exhibits'!R262:R266),"")</f>
        <v/>
      </c>
      <c r="S266" s="3">
        <f>IF(ISNUMBER(AVERAGE('20250815_ETF_Options_Exhibits'!S262:S266)),AVERAGE('20250815_ETF_Options_Exhibits'!S262:S266),"")</f>
        <v/>
      </c>
      <c r="T266" s="3">
        <f>IF(ISNUMBER(AVERAGE('20250815_ETF_Options_Exhibits'!T262:T266)),AVERAGE('20250815_ETF_Options_Exhibits'!T262:T266),"")</f>
        <v/>
      </c>
      <c r="U266" s="3">
        <f>IF(ISNUMBER(AVERAGE('20250815_ETF_Options_Exhibits'!U262:U266)),AVERAGE('20250815_ETF_Options_Exhibits'!U262:U266),"")</f>
        <v/>
      </c>
      <c r="V266" s="3">
        <f>IF(ISNUMBER(AVERAGE('20250815_ETF_Options_Exhibits'!V262:V266)),AVERAGE('20250815_ETF_Options_Exhibits'!V262:V266),"")</f>
        <v/>
      </c>
      <c r="W266" s="3">
        <f>IF(ISNUMBER(AVERAGE('20250815_ETF_Options_Exhibits'!W262:W266)),AVERAGE('20250815_ETF_Options_Exhibits'!W262:W266),"")</f>
        <v/>
      </c>
      <c r="X266" s="3">
        <f>IF(ISNUMBER(AVERAGE('20250815_ETF_Options_Exhibits'!X262:X266)),AVERAGE('20250815_ETF_Options_Exhibits'!X262:X266),"")</f>
        <v/>
      </c>
      <c r="Y266" s="3">
        <f>IF(ISNUMBER(AVERAGE('20250815_ETF_Options_Exhibits'!Y262:Y266)),AVERAGE('20250815_ETF_Options_Exhibits'!Y262:Y266),"")</f>
        <v/>
      </c>
      <c r="Z266" s="3">
        <f>IF(ISNUMBER(AVERAGE('20250815_ETF_Options_Exhibits'!Z262:Z266)),AVERAGE('20250815_ETF_Options_Exhibits'!Z262:Z266),"")</f>
        <v/>
      </c>
      <c r="AA266" s="3">
        <f>IF(ISNUMBER(AVERAGE('20250815_ETF_Options_Exhibits'!AA262:AA266)),AVERAGE('20250815_ETF_Options_Exhibits'!AA262:AA266),"")</f>
        <v/>
      </c>
    </row>
    <row r="267">
      <c r="A267" s="1" t="n">
        <v>42390</v>
      </c>
      <c r="B267" s="3">
        <f>IF(ISNUMBER(AVERAGE('20250815_ETF_Options_Exhibits'!B263:B267)),AVERAGE('20250815_ETF_Options_Exhibits'!B263:B267),"")</f>
        <v/>
      </c>
      <c r="C267" s="3">
        <f>IF(ISNUMBER(AVERAGE('20250815_ETF_Options_Exhibits'!C263:C267)),AVERAGE('20250815_ETF_Options_Exhibits'!C263:C267),"")</f>
        <v/>
      </c>
      <c r="D267" s="3">
        <f>IF(ISNUMBER(AVERAGE('20250815_ETF_Options_Exhibits'!D263:D267)),AVERAGE('20250815_ETF_Options_Exhibits'!D263:D267),"")</f>
        <v/>
      </c>
      <c r="E267" s="3">
        <f>IF(ISNUMBER(AVERAGE('20250815_ETF_Options_Exhibits'!E263:E267)),AVERAGE('20250815_ETF_Options_Exhibits'!E263:E267),"")</f>
        <v/>
      </c>
      <c r="F267" s="3">
        <f>IF(ISNUMBER(AVERAGE('20250815_ETF_Options_Exhibits'!F263:F267)),AVERAGE('20250815_ETF_Options_Exhibits'!F263:F267),"")</f>
        <v/>
      </c>
      <c r="G267" s="3">
        <f>IF(ISNUMBER(AVERAGE('20250815_ETF_Options_Exhibits'!G263:G267)),AVERAGE('20250815_ETF_Options_Exhibits'!G263:G267),"")</f>
        <v/>
      </c>
      <c r="H267" s="3">
        <f>IF(ISNUMBER(AVERAGE('20250815_ETF_Options_Exhibits'!H263:H267)),AVERAGE('20250815_ETF_Options_Exhibits'!H263:H267),"")</f>
        <v/>
      </c>
      <c r="I267" s="3">
        <f>IF(ISNUMBER(AVERAGE('20250815_ETF_Options_Exhibits'!I263:I267)),AVERAGE('20250815_ETF_Options_Exhibits'!I263:I267),"")</f>
        <v/>
      </c>
      <c r="J267" s="3">
        <f>IF(ISNUMBER(AVERAGE('20250815_ETF_Options_Exhibits'!J263:J267)),AVERAGE('20250815_ETF_Options_Exhibits'!J263:J267),"")</f>
        <v/>
      </c>
      <c r="K267" s="3">
        <f>IF(ISNUMBER(AVERAGE('20250815_ETF_Options_Exhibits'!K263:K267)),AVERAGE('20250815_ETF_Options_Exhibits'!K263:K267),"")</f>
        <v/>
      </c>
      <c r="L267" s="3">
        <f>IF(ISNUMBER(AVERAGE('20250815_ETF_Options_Exhibits'!L263:L267)),AVERAGE('20250815_ETF_Options_Exhibits'!L263:L267),"")</f>
        <v/>
      </c>
      <c r="M267" s="3">
        <f>IF(ISNUMBER(AVERAGE('20250815_ETF_Options_Exhibits'!M263:M267)),AVERAGE('20250815_ETF_Options_Exhibits'!M263:M267),"")</f>
        <v/>
      </c>
      <c r="N267" s="3">
        <f>IF(ISNUMBER(AVERAGE('20250815_ETF_Options_Exhibits'!N263:N267)),AVERAGE('20250815_ETF_Options_Exhibits'!N263:N267),"")</f>
        <v/>
      </c>
      <c r="O267" s="3">
        <f>IF(ISNUMBER(AVERAGE('20250815_ETF_Options_Exhibits'!O263:O267)),AVERAGE('20250815_ETF_Options_Exhibits'!O263:O267),"")</f>
        <v/>
      </c>
      <c r="P267" s="3">
        <f>IF(ISNUMBER(AVERAGE('20250815_ETF_Options_Exhibits'!P263:P267)),AVERAGE('20250815_ETF_Options_Exhibits'!P263:P267),"")</f>
        <v/>
      </c>
      <c r="Q267" s="3">
        <f>IF(ISNUMBER(AVERAGE('20250815_ETF_Options_Exhibits'!Q263:Q267)),AVERAGE('20250815_ETF_Options_Exhibits'!Q263:Q267),"")</f>
        <v/>
      </c>
      <c r="R267" s="3">
        <f>IF(ISNUMBER(AVERAGE('20250815_ETF_Options_Exhibits'!R263:R267)),AVERAGE('20250815_ETF_Options_Exhibits'!R263:R267),"")</f>
        <v/>
      </c>
      <c r="S267" s="3">
        <f>IF(ISNUMBER(AVERAGE('20250815_ETF_Options_Exhibits'!S263:S267)),AVERAGE('20250815_ETF_Options_Exhibits'!S263:S267),"")</f>
        <v/>
      </c>
      <c r="T267" s="3">
        <f>IF(ISNUMBER(AVERAGE('20250815_ETF_Options_Exhibits'!T263:T267)),AVERAGE('20250815_ETF_Options_Exhibits'!T263:T267),"")</f>
        <v/>
      </c>
      <c r="U267" s="3">
        <f>IF(ISNUMBER(AVERAGE('20250815_ETF_Options_Exhibits'!U263:U267)),AVERAGE('20250815_ETF_Options_Exhibits'!U263:U267),"")</f>
        <v/>
      </c>
      <c r="V267" s="3">
        <f>IF(ISNUMBER(AVERAGE('20250815_ETF_Options_Exhibits'!V263:V267)),AVERAGE('20250815_ETF_Options_Exhibits'!V263:V267),"")</f>
        <v/>
      </c>
      <c r="W267" s="3">
        <f>IF(ISNUMBER(AVERAGE('20250815_ETF_Options_Exhibits'!W263:W267)),AVERAGE('20250815_ETF_Options_Exhibits'!W263:W267),"")</f>
        <v/>
      </c>
      <c r="X267" s="3">
        <f>IF(ISNUMBER(AVERAGE('20250815_ETF_Options_Exhibits'!X263:X267)),AVERAGE('20250815_ETF_Options_Exhibits'!X263:X267),"")</f>
        <v/>
      </c>
      <c r="Y267" s="3">
        <f>IF(ISNUMBER(AVERAGE('20250815_ETF_Options_Exhibits'!Y263:Y267)),AVERAGE('20250815_ETF_Options_Exhibits'!Y263:Y267),"")</f>
        <v/>
      </c>
      <c r="Z267" s="3">
        <f>IF(ISNUMBER(AVERAGE('20250815_ETF_Options_Exhibits'!Z263:Z267)),AVERAGE('20250815_ETF_Options_Exhibits'!Z263:Z267),"")</f>
        <v/>
      </c>
      <c r="AA267" s="3">
        <f>IF(ISNUMBER(AVERAGE('20250815_ETF_Options_Exhibits'!AA263:AA267)),AVERAGE('20250815_ETF_Options_Exhibits'!AA263:AA267),"")</f>
        <v/>
      </c>
    </row>
    <row r="268">
      <c r="A268" s="1" t="n">
        <v>42391</v>
      </c>
      <c r="B268" s="3">
        <f>IF(ISNUMBER(AVERAGE('20250815_ETF_Options_Exhibits'!B264:B268)),AVERAGE('20250815_ETF_Options_Exhibits'!B264:B268),"")</f>
        <v/>
      </c>
      <c r="C268" s="3">
        <f>IF(ISNUMBER(AVERAGE('20250815_ETF_Options_Exhibits'!C264:C268)),AVERAGE('20250815_ETF_Options_Exhibits'!C264:C268),"")</f>
        <v/>
      </c>
      <c r="D268" s="3">
        <f>IF(ISNUMBER(AVERAGE('20250815_ETF_Options_Exhibits'!D264:D268)),AVERAGE('20250815_ETF_Options_Exhibits'!D264:D268),"")</f>
        <v/>
      </c>
      <c r="E268" s="3">
        <f>IF(ISNUMBER(AVERAGE('20250815_ETF_Options_Exhibits'!E264:E268)),AVERAGE('20250815_ETF_Options_Exhibits'!E264:E268),"")</f>
        <v/>
      </c>
      <c r="F268" s="3">
        <f>IF(ISNUMBER(AVERAGE('20250815_ETF_Options_Exhibits'!F264:F268)),AVERAGE('20250815_ETF_Options_Exhibits'!F264:F268),"")</f>
        <v/>
      </c>
      <c r="G268" s="3">
        <f>IF(ISNUMBER(AVERAGE('20250815_ETF_Options_Exhibits'!G264:G268)),AVERAGE('20250815_ETF_Options_Exhibits'!G264:G268),"")</f>
        <v/>
      </c>
      <c r="H268" s="3">
        <f>IF(ISNUMBER(AVERAGE('20250815_ETF_Options_Exhibits'!H264:H268)),AVERAGE('20250815_ETF_Options_Exhibits'!H264:H268),"")</f>
        <v/>
      </c>
      <c r="I268" s="3">
        <f>IF(ISNUMBER(AVERAGE('20250815_ETF_Options_Exhibits'!I264:I268)),AVERAGE('20250815_ETF_Options_Exhibits'!I264:I268),"")</f>
        <v/>
      </c>
      <c r="J268" s="3">
        <f>IF(ISNUMBER(AVERAGE('20250815_ETF_Options_Exhibits'!J264:J268)),AVERAGE('20250815_ETF_Options_Exhibits'!J264:J268),"")</f>
        <v/>
      </c>
      <c r="K268" s="3">
        <f>IF(ISNUMBER(AVERAGE('20250815_ETF_Options_Exhibits'!K264:K268)),AVERAGE('20250815_ETF_Options_Exhibits'!K264:K268),"")</f>
        <v/>
      </c>
      <c r="L268" s="3">
        <f>IF(ISNUMBER(AVERAGE('20250815_ETF_Options_Exhibits'!L264:L268)),AVERAGE('20250815_ETF_Options_Exhibits'!L264:L268),"")</f>
        <v/>
      </c>
      <c r="M268" s="3">
        <f>IF(ISNUMBER(AVERAGE('20250815_ETF_Options_Exhibits'!M264:M268)),AVERAGE('20250815_ETF_Options_Exhibits'!M264:M268),"")</f>
        <v/>
      </c>
      <c r="N268" s="3">
        <f>IF(ISNUMBER(AVERAGE('20250815_ETF_Options_Exhibits'!N264:N268)),AVERAGE('20250815_ETF_Options_Exhibits'!N264:N268),"")</f>
        <v/>
      </c>
      <c r="O268" s="3">
        <f>IF(ISNUMBER(AVERAGE('20250815_ETF_Options_Exhibits'!O264:O268)),AVERAGE('20250815_ETF_Options_Exhibits'!O264:O268),"")</f>
        <v/>
      </c>
      <c r="P268" s="3">
        <f>IF(ISNUMBER(AVERAGE('20250815_ETF_Options_Exhibits'!P264:P268)),AVERAGE('20250815_ETF_Options_Exhibits'!P264:P268),"")</f>
        <v/>
      </c>
      <c r="Q268" s="3">
        <f>IF(ISNUMBER(AVERAGE('20250815_ETF_Options_Exhibits'!Q264:Q268)),AVERAGE('20250815_ETF_Options_Exhibits'!Q264:Q268),"")</f>
        <v/>
      </c>
      <c r="R268" s="3">
        <f>IF(ISNUMBER(AVERAGE('20250815_ETF_Options_Exhibits'!R264:R268)),AVERAGE('20250815_ETF_Options_Exhibits'!R264:R268),"")</f>
        <v/>
      </c>
      <c r="S268" s="3">
        <f>IF(ISNUMBER(AVERAGE('20250815_ETF_Options_Exhibits'!S264:S268)),AVERAGE('20250815_ETF_Options_Exhibits'!S264:S268),"")</f>
        <v/>
      </c>
      <c r="T268" s="3">
        <f>IF(ISNUMBER(AVERAGE('20250815_ETF_Options_Exhibits'!T264:T268)),AVERAGE('20250815_ETF_Options_Exhibits'!T264:T268),"")</f>
        <v/>
      </c>
      <c r="U268" s="3">
        <f>IF(ISNUMBER(AVERAGE('20250815_ETF_Options_Exhibits'!U264:U268)),AVERAGE('20250815_ETF_Options_Exhibits'!U264:U268),"")</f>
        <v/>
      </c>
      <c r="V268" s="3">
        <f>IF(ISNUMBER(AVERAGE('20250815_ETF_Options_Exhibits'!V264:V268)),AVERAGE('20250815_ETF_Options_Exhibits'!V264:V268),"")</f>
        <v/>
      </c>
      <c r="W268" s="3">
        <f>IF(ISNUMBER(AVERAGE('20250815_ETF_Options_Exhibits'!W264:W268)),AVERAGE('20250815_ETF_Options_Exhibits'!W264:W268),"")</f>
        <v/>
      </c>
      <c r="X268" s="3">
        <f>IF(ISNUMBER(AVERAGE('20250815_ETF_Options_Exhibits'!X264:X268)),AVERAGE('20250815_ETF_Options_Exhibits'!X264:X268),"")</f>
        <v/>
      </c>
      <c r="Y268" s="3">
        <f>IF(ISNUMBER(AVERAGE('20250815_ETF_Options_Exhibits'!Y264:Y268)),AVERAGE('20250815_ETF_Options_Exhibits'!Y264:Y268),"")</f>
        <v/>
      </c>
      <c r="Z268" s="3">
        <f>IF(ISNUMBER(AVERAGE('20250815_ETF_Options_Exhibits'!Z264:Z268)),AVERAGE('20250815_ETF_Options_Exhibits'!Z264:Z268),"")</f>
        <v/>
      </c>
      <c r="AA268" s="3">
        <f>IF(ISNUMBER(AVERAGE('20250815_ETF_Options_Exhibits'!AA264:AA268)),AVERAGE('20250815_ETF_Options_Exhibits'!AA264:AA268),"")</f>
        <v/>
      </c>
    </row>
    <row r="269">
      <c r="A269" s="1" t="n">
        <v>42394</v>
      </c>
      <c r="B269" s="3">
        <f>IF(ISNUMBER(AVERAGE('20250815_ETF_Options_Exhibits'!B265:B269)),AVERAGE('20250815_ETF_Options_Exhibits'!B265:B269),"")</f>
        <v/>
      </c>
      <c r="C269" s="3">
        <f>IF(ISNUMBER(AVERAGE('20250815_ETF_Options_Exhibits'!C265:C269)),AVERAGE('20250815_ETF_Options_Exhibits'!C265:C269),"")</f>
        <v/>
      </c>
      <c r="D269" s="3">
        <f>IF(ISNUMBER(AVERAGE('20250815_ETF_Options_Exhibits'!D265:D269)),AVERAGE('20250815_ETF_Options_Exhibits'!D265:D269),"")</f>
        <v/>
      </c>
      <c r="E269" s="3">
        <f>IF(ISNUMBER(AVERAGE('20250815_ETF_Options_Exhibits'!E265:E269)),AVERAGE('20250815_ETF_Options_Exhibits'!E265:E269),"")</f>
        <v/>
      </c>
      <c r="F269" s="3">
        <f>IF(ISNUMBER(AVERAGE('20250815_ETF_Options_Exhibits'!F265:F269)),AVERAGE('20250815_ETF_Options_Exhibits'!F265:F269),"")</f>
        <v/>
      </c>
      <c r="G269" s="3">
        <f>IF(ISNUMBER(AVERAGE('20250815_ETF_Options_Exhibits'!G265:G269)),AVERAGE('20250815_ETF_Options_Exhibits'!G265:G269),"")</f>
        <v/>
      </c>
      <c r="H269" s="3">
        <f>IF(ISNUMBER(AVERAGE('20250815_ETF_Options_Exhibits'!H265:H269)),AVERAGE('20250815_ETF_Options_Exhibits'!H265:H269),"")</f>
        <v/>
      </c>
      <c r="I269" s="3">
        <f>IF(ISNUMBER(AVERAGE('20250815_ETF_Options_Exhibits'!I265:I269)),AVERAGE('20250815_ETF_Options_Exhibits'!I265:I269),"")</f>
        <v/>
      </c>
      <c r="J269" s="3">
        <f>IF(ISNUMBER(AVERAGE('20250815_ETF_Options_Exhibits'!J265:J269)),AVERAGE('20250815_ETF_Options_Exhibits'!J265:J269),"")</f>
        <v/>
      </c>
      <c r="K269" s="3">
        <f>IF(ISNUMBER(AVERAGE('20250815_ETF_Options_Exhibits'!K265:K269)),AVERAGE('20250815_ETF_Options_Exhibits'!K265:K269),"")</f>
        <v/>
      </c>
      <c r="L269" s="3">
        <f>IF(ISNUMBER(AVERAGE('20250815_ETF_Options_Exhibits'!L265:L269)),AVERAGE('20250815_ETF_Options_Exhibits'!L265:L269),"")</f>
        <v/>
      </c>
      <c r="M269" s="3">
        <f>IF(ISNUMBER(AVERAGE('20250815_ETF_Options_Exhibits'!M265:M269)),AVERAGE('20250815_ETF_Options_Exhibits'!M265:M269),"")</f>
        <v/>
      </c>
      <c r="N269" s="3">
        <f>IF(ISNUMBER(AVERAGE('20250815_ETF_Options_Exhibits'!N265:N269)),AVERAGE('20250815_ETF_Options_Exhibits'!N265:N269),"")</f>
        <v/>
      </c>
      <c r="O269" s="3">
        <f>IF(ISNUMBER(AVERAGE('20250815_ETF_Options_Exhibits'!O265:O269)),AVERAGE('20250815_ETF_Options_Exhibits'!O265:O269),"")</f>
        <v/>
      </c>
      <c r="P269" s="3">
        <f>IF(ISNUMBER(AVERAGE('20250815_ETF_Options_Exhibits'!P265:P269)),AVERAGE('20250815_ETF_Options_Exhibits'!P265:P269),"")</f>
        <v/>
      </c>
      <c r="Q269" s="3">
        <f>IF(ISNUMBER(AVERAGE('20250815_ETF_Options_Exhibits'!Q265:Q269)),AVERAGE('20250815_ETF_Options_Exhibits'!Q265:Q269),"")</f>
        <v/>
      </c>
      <c r="R269" s="3">
        <f>IF(ISNUMBER(AVERAGE('20250815_ETF_Options_Exhibits'!R265:R269)),AVERAGE('20250815_ETF_Options_Exhibits'!R265:R269),"")</f>
        <v/>
      </c>
      <c r="S269" s="3">
        <f>IF(ISNUMBER(AVERAGE('20250815_ETF_Options_Exhibits'!S265:S269)),AVERAGE('20250815_ETF_Options_Exhibits'!S265:S269),"")</f>
        <v/>
      </c>
      <c r="T269" s="3">
        <f>IF(ISNUMBER(AVERAGE('20250815_ETF_Options_Exhibits'!T265:T269)),AVERAGE('20250815_ETF_Options_Exhibits'!T265:T269),"")</f>
        <v/>
      </c>
      <c r="U269" s="3">
        <f>IF(ISNUMBER(AVERAGE('20250815_ETF_Options_Exhibits'!U265:U269)),AVERAGE('20250815_ETF_Options_Exhibits'!U265:U269),"")</f>
        <v/>
      </c>
      <c r="V269" s="3">
        <f>IF(ISNUMBER(AVERAGE('20250815_ETF_Options_Exhibits'!V265:V269)),AVERAGE('20250815_ETF_Options_Exhibits'!V265:V269),"")</f>
        <v/>
      </c>
      <c r="W269" s="3">
        <f>IF(ISNUMBER(AVERAGE('20250815_ETF_Options_Exhibits'!W265:W269)),AVERAGE('20250815_ETF_Options_Exhibits'!W265:W269),"")</f>
        <v/>
      </c>
      <c r="X269" s="3">
        <f>IF(ISNUMBER(AVERAGE('20250815_ETF_Options_Exhibits'!X265:X269)),AVERAGE('20250815_ETF_Options_Exhibits'!X265:X269),"")</f>
        <v/>
      </c>
      <c r="Y269" s="3">
        <f>IF(ISNUMBER(AVERAGE('20250815_ETF_Options_Exhibits'!Y265:Y269)),AVERAGE('20250815_ETF_Options_Exhibits'!Y265:Y269),"")</f>
        <v/>
      </c>
      <c r="Z269" s="3">
        <f>IF(ISNUMBER(AVERAGE('20250815_ETF_Options_Exhibits'!Z265:Z269)),AVERAGE('20250815_ETF_Options_Exhibits'!Z265:Z269),"")</f>
        <v/>
      </c>
      <c r="AA269" s="3">
        <f>IF(ISNUMBER(AVERAGE('20250815_ETF_Options_Exhibits'!AA265:AA269)),AVERAGE('20250815_ETF_Options_Exhibits'!AA265:AA269),"")</f>
        <v/>
      </c>
    </row>
    <row r="270">
      <c r="A270" s="1" t="n">
        <v>42395</v>
      </c>
      <c r="B270" s="3">
        <f>IF(ISNUMBER(AVERAGE('20250815_ETF_Options_Exhibits'!B266:B270)),AVERAGE('20250815_ETF_Options_Exhibits'!B266:B270),"")</f>
        <v/>
      </c>
      <c r="C270" s="3">
        <f>IF(ISNUMBER(AVERAGE('20250815_ETF_Options_Exhibits'!C266:C270)),AVERAGE('20250815_ETF_Options_Exhibits'!C266:C270),"")</f>
        <v/>
      </c>
      <c r="D270" s="3">
        <f>IF(ISNUMBER(AVERAGE('20250815_ETF_Options_Exhibits'!D266:D270)),AVERAGE('20250815_ETF_Options_Exhibits'!D266:D270),"")</f>
        <v/>
      </c>
      <c r="E270" s="3">
        <f>IF(ISNUMBER(AVERAGE('20250815_ETF_Options_Exhibits'!E266:E270)),AVERAGE('20250815_ETF_Options_Exhibits'!E266:E270),"")</f>
        <v/>
      </c>
      <c r="F270" s="3">
        <f>IF(ISNUMBER(AVERAGE('20250815_ETF_Options_Exhibits'!F266:F270)),AVERAGE('20250815_ETF_Options_Exhibits'!F266:F270),"")</f>
        <v/>
      </c>
      <c r="G270" s="3">
        <f>IF(ISNUMBER(AVERAGE('20250815_ETF_Options_Exhibits'!G266:G270)),AVERAGE('20250815_ETF_Options_Exhibits'!G266:G270),"")</f>
        <v/>
      </c>
      <c r="H270" s="3">
        <f>IF(ISNUMBER(AVERAGE('20250815_ETF_Options_Exhibits'!H266:H270)),AVERAGE('20250815_ETF_Options_Exhibits'!H266:H270),"")</f>
        <v/>
      </c>
      <c r="I270" s="3">
        <f>IF(ISNUMBER(AVERAGE('20250815_ETF_Options_Exhibits'!I266:I270)),AVERAGE('20250815_ETF_Options_Exhibits'!I266:I270),"")</f>
        <v/>
      </c>
      <c r="J270" s="3">
        <f>IF(ISNUMBER(AVERAGE('20250815_ETF_Options_Exhibits'!J266:J270)),AVERAGE('20250815_ETF_Options_Exhibits'!J266:J270),"")</f>
        <v/>
      </c>
      <c r="K270" s="3">
        <f>IF(ISNUMBER(AVERAGE('20250815_ETF_Options_Exhibits'!K266:K270)),AVERAGE('20250815_ETF_Options_Exhibits'!K266:K270),"")</f>
        <v/>
      </c>
      <c r="L270" s="3">
        <f>IF(ISNUMBER(AVERAGE('20250815_ETF_Options_Exhibits'!L266:L270)),AVERAGE('20250815_ETF_Options_Exhibits'!L266:L270),"")</f>
        <v/>
      </c>
      <c r="M270" s="3">
        <f>IF(ISNUMBER(AVERAGE('20250815_ETF_Options_Exhibits'!M266:M270)),AVERAGE('20250815_ETF_Options_Exhibits'!M266:M270),"")</f>
        <v/>
      </c>
      <c r="N270" s="3">
        <f>IF(ISNUMBER(AVERAGE('20250815_ETF_Options_Exhibits'!N266:N270)),AVERAGE('20250815_ETF_Options_Exhibits'!N266:N270),"")</f>
        <v/>
      </c>
      <c r="O270" s="3">
        <f>IF(ISNUMBER(AVERAGE('20250815_ETF_Options_Exhibits'!O266:O270)),AVERAGE('20250815_ETF_Options_Exhibits'!O266:O270),"")</f>
        <v/>
      </c>
      <c r="P270" s="3">
        <f>IF(ISNUMBER(AVERAGE('20250815_ETF_Options_Exhibits'!P266:P270)),AVERAGE('20250815_ETF_Options_Exhibits'!P266:P270),"")</f>
        <v/>
      </c>
      <c r="Q270" s="3">
        <f>IF(ISNUMBER(AVERAGE('20250815_ETF_Options_Exhibits'!Q266:Q270)),AVERAGE('20250815_ETF_Options_Exhibits'!Q266:Q270),"")</f>
        <v/>
      </c>
      <c r="R270" s="3">
        <f>IF(ISNUMBER(AVERAGE('20250815_ETF_Options_Exhibits'!R266:R270)),AVERAGE('20250815_ETF_Options_Exhibits'!R266:R270),"")</f>
        <v/>
      </c>
      <c r="S270" s="3">
        <f>IF(ISNUMBER(AVERAGE('20250815_ETF_Options_Exhibits'!S266:S270)),AVERAGE('20250815_ETF_Options_Exhibits'!S266:S270),"")</f>
        <v/>
      </c>
      <c r="T270" s="3">
        <f>IF(ISNUMBER(AVERAGE('20250815_ETF_Options_Exhibits'!T266:T270)),AVERAGE('20250815_ETF_Options_Exhibits'!T266:T270),"")</f>
        <v/>
      </c>
      <c r="U270" s="3">
        <f>IF(ISNUMBER(AVERAGE('20250815_ETF_Options_Exhibits'!U266:U270)),AVERAGE('20250815_ETF_Options_Exhibits'!U266:U270),"")</f>
        <v/>
      </c>
      <c r="V270" s="3">
        <f>IF(ISNUMBER(AVERAGE('20250815_ETF_Options_Exhibits'!V266:V270)),AVERAGE('20250815_ETF_Options_Exhibits'!V266:V270),"")</f>
        <v/>
      </c>
      <c r="W270" s="3">
        <f>IF(ISNUMBER(AVERAGE('20250815_ETF_Options_Exhibits'!W266:W270)),AVERAGE('20250815_ETF_Options_Exhibits'!W266:W270),"")</f>
        <v/>
      </c>
      <c r="X270" s="3">
        <f>IF(ISNUMBER(AVERAGE('20250815_ETF_Options_Exhibits'!X266:X270)),AVERAGE('20250815_ETF_Options_Exhibits'!X266:X270),"")</f>
        <v/>
      </c>
      <c r="Y270" s="3">
        <f>IF(ISNUMBER(AVERAGE('20250815_ETF_Options_Exhibits'!Y266:Y270)),AVERAGE('20250815_ETF_Options_Exhibits'!Y266:Y270),"")</f>
        <v/>
      </c>
      <c r="Z270" s="3">
        <f>IF(ISNUMBER(AVERAGE('20250815_ETF_Options_Exhibits'!Z266:Z270)),AVERAGE('20250815_ETF_Options_Exhibits'!Z266:Z270),"")</f>
        <v/>
      </c>
      <c r="AA270" s="3">
        <f>IF(ISNUMBER(AVERAGE('20250815_ETF_Options_Exhibits'!AA266:AA270)),AVERAGE('20250815_ETF_Options_Exhibits'!AA266:AA270),"")</f>
        <v/>
      </c>
    </row>
    <row r="271">
      <c r="A271" s="1" t="n">
        <v>42396</v>
      </c>
      <c r="B271" s="3">
        <f>IF(ISNUMBER(AVERAGE('20250815_ETF_Options_Exhibits'!B267:B271)),AVERAGE('20250815_ETF_Options_Exhibits'!B267:B271),"")</f>
        <v/>
      </c>
      <c r="C271" s="3">
        <f>IF(ISNUMBER(AVERAGE('20250815_ETF_Options_Exhibits'!C267:C271)),AVERAGE('20250815_ETF_Options_Exhibits'!C267:C271),"")</f>
        <v/>
      </c>
      <c r="D271" s="3">
        <f>IF(ISNUMBER(AVERAGE('20250815_ETF_Options_Exhibits'!D267:D271)),AVERAGE('20250815_ETF_Options_Exhibits'!D267:D271),"")</f>
        <v/>
      </c>
      <c r="E271" s="3">
        <f>IF(ISNUMBER(AVERAGE('20250815_ETF_Options_Exhibits'!E267:E271)),AVERAGE('20250815_ETF_Options_Exhibits'!E267:E271),"")</f>
        <v/>
      </c>
      <c r="F271" s="3">
        <f>IF(ISNUMBER(AVERAGE('20250815_ETF_Options_Exhibits'!F267:F271)),AVERAGE('20250815_ETF_Options_Exhibits'!F267:F271),"")</f>
        <v/>
      </c>
      <c r="G271" s="3">
        <f>IF(ISNUMBER(AVERAGE('20250815_ETF_Options_Exhibits'!G267:G271)),AVERAGE('20250815_ETF_Options_Exhibits'!G267:G271),"")</f>
        <v/>
      </c>
      <c r="H271" s="3">
        <f>IF(ISNUMBER(AVERAGE('20250815_ETF_Options_Exhibits'!H267:H271)),AVERAGE('20250815_ETF_Options_Exhibits'!H267:H271),"")</f>
        <v/>
      </c>
      <c r="I271" s="3">
        <f>IF(ISNUMBER(AVERAGE('20250815_ETF_Options_Exhibits'!I267:I271)),AVERAGE('20250815_ETF_Options_Exhibits'!I267:I271),"")</f>
        <v/>
      </c>
      <c r="J271" s="3">
        <f>IF(ISNUMBER(AVERAGE('20250815_ETF_Options_Exhibits'!J267:J271)),AVERAGE('20250815_ETF_Options_Exhibits'!J267:J271),"")</f>
        <v/>
      </c>
      <c r="K271" s="3">
        <f>IF(ISNUMBER(AVERAGE('20250815_ETF_Options_Exhibits'!K267:K271)),AVERAGE('20250815_ETF_Options_Exhibits'!K267:K271),"")</f>
        <v/>
      </c>
      <c r="L271" s="3">
        <f>IF(ISNUMBER(AVERAGE('20250815_ETF_Options_Exhibits'!L267:L271)),AVERAGE('20250815_ETF_Options_Exhibits'!L267:L271),"")</f>
        <v/>
      </c>
      <c r="M271" s="3">
        <f>IF(ISNUMBER(AVERAGE('20250815_ETF_Options_Exhibits'!M267:M271)),AVERAGE('20250815_ETF_Options_Exhibits'!M267:M271),"")</f>
        <v/>
      </c>
      <c r="N271" s="3">
        <f>IF(ISNUMBER(AVERAGE('20250815_ETF_Options_Exhibits'!N267:N271)),AVERAGE('20250815_ETF_Options_Exhibits'!N267:N271),"")</f>
        <v/>
      </c>
      <c r="O271" s="3">
        <f>IF(ISNUMBER(AVERAGE('20250815_ETF_Options_Exhibits'!O267:O271)),AVERAGE('20250815_ETF_Options_Exhibits'!O267:O271),"")</f>
        <v/>
      </c>
      <c r="P271" s="3">
        <f>IF(ISNUMBER(AVERAGE('20250815_ETF_Options_Exhibits'!P267:P271)),AVERAGE('20250815_ETF_Options_Exhibits'!P267:P271),"")</f>
        <v/>
      </c>
      <c r="Q271" s="3">
        <f>IF(ISNUMBER(AVERAGE('20250815_ETF_Options_Exhibits'!Q267:Q271)),AVERAGE('20250815_ETF_Options_Exhibits'!Q267:Q271),"")</f>
        <v/>
      </c>
      <c r="R271" s="3">
        <f>IF(ISNUMBER(AVERAGE('20250815_ETF_Options_Exhibits'!R267:R271)),AVERAGE('20250815_ETF_Options_Exhibits'!R267:R271),"")</f>
        <v/>
      </c>
      <c r="S271" s="3">
        <f>IF(ISNUMBER(AVERAGE('20250815_ETF_Options_Exhibits'!S267:S271)),AVERAGE('20250815_ETF_Options_Exhibits'!S267:S271),"")</f>
        <v/>
      </c>
      <c r="T271" s="3">
        <f>IF(ISNUMBER(AVERAGE('20250815_ETF_Options_Exhibits'!T267:T271)),AVERAGE('20250815_ETF_Options_Exhibits'!T267:T271),"")</f>
        <v/>
      </c>
      <c r="U271" s="3">
        <f>IF(ISNUMBER(AVERAGE('20250815_ETF_Options_Exhibits'!U267:U271)),AVERAGE('20250815_ETF_Options_Exhibits'!U267:U271),"")</f>
        <v/>
      </c>
      <c r="V271" s="3">
        <f>IF(ISNUMBER(AVERAGE('20250815_ETF_Options_Exhibits'!V267:V271)),AVERAGE('20250815_ETF_Options_Exhibits'!V267:V271),"")</f>
        <v/>
      </c>
      <c r="W271" s="3">
        <f>IF(ISNUMBER(AVERAGE('20250815_ETF_Options_Exhibits'!W267:W271)),AVERAGE('20250815_ETF_Options_Exhibits'!W267:W271),"")</f>
        <v/>
      </c>
      <c r="X271" s="3">
        <f>IF(ISNUMBER(AVERAGE('20250815_ETF_Options_Exhibits'!X267:X271)),AVERAGE('20250815_ETF_Options_Exhibits'!X267:X271),"")</f>
        <v/>
      </c>
      <c r="Y271" s="3">
        <f>IF(ISNUMBER(AVERAGE('20250815_ETF_Options_Exhibits'!Y267:Y271)),AVERAGE('20250815_ETF_Options_Exhibits'!Y267:Y271),"")</f>
        <v/>
      </c>
      <c r="Z271" s="3">
        <f>IF(ISNUMBER(AVERAGE('20250815_ETF_Options_Exhibits'!Z267:Z271)),AVERAGE('20250815_ETF_Options_Exhibits'!Z267:Z271),"")</f>
        <v/>
      </c>
      <c r="AA271" s="3">
        <f>IF(ISNUMBER(AVERAGE('20250815_ETF_Options_Exhibits'!AA267:AA271)),AVERAGE('20250815_ETF_Options_Exhibits'!AA267:AA271),"")</f>
        <v/>
      </c>
    </row>
    <row r="272">
      <c r="A272" s="1" t="n">
        <v>42397</v>
      </c>
      <c r="B272" s="3">
        <f>IF(ISNUMBER(AVERAGE('20250815_ETF_Options_Exhibits'!B268:B272)),AVERAGE('20250815_ETF_Options_Exhibits'!B268:B272),"")</f>
        <v/>
      </c>
      <c r="C272" s="3">
        <f>IF(ISNUMBER(AVERAGE('20250815_ETF_Options_Exhibits'!C268:C272)),AVERAGE('20250815_ETF_Options_Exhibits'!C268:C272),"")</f>
        <v/>
      </c>
      <c r="D272" s="3">
        <f>IF(ISNUMBER(AVERAGE('20250815_ETF_Options_Exhibits'!D268:D272)),AVERAGE('20250815_ETF_Options_Exhibits'!D268:D272),"")</f>
        <v/>
      </c>
      <c r="E272" s="3">
        <f>IF(ISNUMBER(AVERAGE('20250815_ETF_Options_Exhibits'!E268:E272)),AVERAGE('20250815_ETF_Options_Exhibits'!E268:E272),"")</f>
        <v/>
      </c>
      <c r="F272" s="3">
        <f>IF(ISNUMBER(AVERAGE('20250815_ETF_Options_Exhibits'!F268:F272)),AVERAGE('20250815_ETF_Options_Exhibits'!F268:F272),"")</f>
        <v/>
      </c>
      <c r="G272" s="3">
        <f>IF(ISNUMBER(AVERAGE('20250815_ETF_Options_Exhibits'!G268:G272)),AVERAGE('20250815_ETF_Options_Exhibits'!G268:G272),"")</f>
        <v/>
      </c>
      <c r="H272" s="3">
        <f>IF(ISNUMBER(AVERAGE('20250815_ETF_Options_Exhibits'!H268:H272)),AVERAGE('20250815_ETF_Options_Exhibits'!H268:H272),"")</f>
        <v/>
      </c>
      <c r="I272" s="3">
        <f>IF(ISNUMBER(AVERAGE('20250815_ETF_Options_Exhibits'!I268:I272)),AVERAGE('20250815_ETF_Options_Exhibits'!I268:I272),"")</f>
        <v/>
      </c>
      <c r="J272" s="3">
        <f>IF(ISNUMBER(AVERAGE('20250815_ETF_Options_Exhibits'!J268:J272)),AVERAGE('20250815_ETF_Options_Exhibits'!J268:J272),"")</f>
        <v/>
      </c>
      <c r="K272" s="3">
        <f>IF(ISNUMBER(AVERAGE('20250815_ETF_Options_Exhibits'!K268:K272)),AVERAGE('20250815_ETF_Options_Exhibits'!K268:K272),"")</f>
        <v/>
      </c>
      <c r="L272" s="3">
        <f>IF(ISNUMBER(AVERAGE('20250815_ETF_Options_Exhibits'!L268:L272)),AVERAGE('20250815_ETF_Options_Exhibits'!L268:L272),"")</f>
        <v/>
      </c>
      <c r="M272" s="3">
        <f>IF(ISNUMBER(AVERAGE('20250815_ETF_Options_Exhibits'!M268:M272)),AVERAGE('20250815_ETF_Options_Exhibits'!M268:M272),"")</f>
        <v/>
      </c>
      <c r="N272" s="3">
        <f>IF(ISNUMBER(AVERAGE('20250815_ETF_Options_Exhibits'!N268:N272)),AVERAGE('20250815_ETF_Options_Exhibits'!N268:N272),"")</f>
        <v/>
      </c>
      <c r="O272" s="3">
        <f>IF(ISNUMBER(AVERAGE('20250815_ETF_Options_Exhibits'!O268:O272)),AVERAGE('20250815_ETF_Options_Exhibits'!O268:O272),"")</f>
        <v/>
      </c>
      <c r="P272" s="3">
        <f>IF(ISNUMBER(AVERAGE('20250815_ETF_Options_Exhibits'!P268:P272)),AVERAGE('20250815_ETF_Options_Exhibits'!P268:P272),"")</f>
        <v/>
      </c>
      <c r="Q272" s="3">
        <f>IF(ISNUMBER(AVERAGE('20250815_ETF_Options_Exhibits'!Q268:Q272)),AVERAGE('20250815_ETF_Options_Exhibits'!Q268:Q272),"")</f>
        <v/>
      </c>
      <c r="R272" s="3">
        <f>IF(ISNUMBER(AVERAGE('20250815_ETF_Options_Exhibits'!R268:R272)),AVERAGE('20250815_ETF_Options_Exhibits'!R268:R272),"")</f>
        <v/>
      </c>
      <c r="S272" s="3">
        <f>IF(ISNUMBER(AVERAGE('20250815_ETF_Options_Exhibits'!S268:S272)),AVERAGE('20250815_ETF_Options_Exhibits'!S268:S272),"")</f>
        <v/>
      </c>
      <c r="T272" s="3">
        <f>IF(ISNUMBER(AVERAGE('20250815_ETF_Options_Exhibits'!T268:T272)),AVERAGE('20250815_ETF_Options_Exhibits'!T268:T272),"")</f>
        <v/>
      </c>
      <c r="U272" s="3">
        <f>IF(ISNUMBER(AVERAGE('20250815_ETF_Options_Exhibits'!U268:U272)),AVERAGE('20250815_ETF_Options_Exhibits'!U268:U272),"")</f>
        <v/>
      </c>
      <c r="V272" s="3">
        <f>IF(ISNUMBER(AVERAGE('20250815_ETF_Options_Exhibits'!V268:V272)),AVERAGE('20250815_ETF_Options_Exhibits'!V268:V272),"")</f>
        <v/>
      </c>
      <c r="W272" s="3">
        <f>IF(ISNUMBER(AVERAGE('20250815_ETF_Options_Exhibits'!W268:W272)),AVERAGE('20250815_ETF_Options_Exhibits'!W268:W272),"")</f>
        <v/>
      </c>
      <c r="X272" s="3">
        <f>IF(ISNUMBER(AVERAGE('20250815_ETF_Options_Exhibits'!X268:X272)),AVERAGE('20250815_ETF_Options_Exhibits'!X268:X272),"")</f>
        <v/>
      </c>
      <c r="Y272" s="3">
        <f>IF(ISNUMBER(AVERAGE('20250815_ETF_Options_Exhibits'!Y268:Y272)),AVERAGE('20250815_ETF_Options_Exhibits'!Y268:Y272),"")</f>
        <v/>
      </c>
      <c r="Z272" s="3">
        <f>IF(ISNUMBER(AVERAGE('20250815_ETF_Options_Exhibits'!Z268:Z272)),AVERAGE('20250815_ETF_Options_Exhibits'!Z268:Z272),"")</f>
        <v/>
      </c>
      <c r="AA272" s="3">
        <f>IF(ISNUMBER(AVERAGE('20250815_ETF_Options_Exhibits'!AA268:AA272)),AVERAGE('20250815_ETF_Options_Exhibits'!AA268:AA272),"")</f>
        <v/>
      </c>
    </row>
    <row r="273">
      <c r="A273" s="1" t="n">
        <v>42398</v>
      </c>
      <c r="B273" s="3">
        <f>IF(ISNUMBER(AVERAGE('20250815_ETF_Options_Exhibits'!B269:B273)),AVERAGE('20250815_ETF_Options_Exhibits'!B269:B273),"")</f>
        <v/>
      </c>
      <c r="C273" s="3">
        <f>IF(ISNUMBER(AVERAGE('20250815_ETF_Options_Exhibits'!C269:C273)),AVERAGE('20250815_ETF_Options_Exhibits'!C269:C273),"")</f>
        <v/>
      </c>
      <c r="D273" s="3">
        <f>IF(ISNUMBER(AVERAGE('20250815_ETF_Options_Exhibits'!D269:D273)),AVERAGE('20250815_ETF_Options_Exhibits'!D269:D273),"")</f>
        <v/>
      </c>
      <c r="E273" s="3">
        <f>IF(ISNUMBER(AVERAGE('20250815_ETF_Options_Exhibits'!E269:E273)),AVERAGE('20250815_ETF_Options_Exhibits'!E269:E273),"")</f>
        <v/>
      </c>
      <c r="F273" s="3">
        <f>IF(ISNUMBER(AVERAGE('20250815_ETF_Options_Exhibits'!F269:F273)),AVERAGE('20250815_ETF_Options_Exhibits'!F269:F273),"")</f>
        <v/>
      </c>
      <c r="G273" s="3">
        <f>IF(ISNUMBER(AVERAGE('20250815_ETF_Options_Exhibits'!G269:G273)),AVERAGE('20250815_ETF_Options_Exhibits'!G269:G273),"")</f>
        <v/>
      </c>
      <c r="H273" s="3">
        <f>IF(ISNUMBER(AVERAGE('20250815_ETF_Options_Exhibits'!H269:H273)),AVERAGE('20250815_ETF_Options_Exhibits'!H269:H273),"")</f>
        <v/>
      </c>
      <c r="I273" s="3">
        <f>IF(ISNUMBER(AVERAGE('20250815_ETF_Options_Exhibits'!I269:I273)),AVERAGE('20250815_ETF_Options_Exhibits'!I269:I273),"")</f>
        <v/>
      </c>
      <c r="J273" s="3">
        <f>IF(ISNUMBER(AVERAGE('20250815_ETF_Options_Exhibits'!J269:J273)),AVERAGE('20250815_ETF_Options_Exhibits'!J269:J273),"")</f>
        <v/>
      </c>
      <c r="K273" s="3">
        <f>IF(ISNUMBER(AVERAGE('20250815_ETF_Options_Exhibits'!K269:K273)),AVERAGE('20250815_ETF_Options_Exhibits'!K269:K273),"")</f>
        <v/>
      </c>
      <c r="L273" s="3">
        <f>IF(ISNUMBER(AVERAGE('20250815_ETF_Options_Exhibits'!L269:L273)),AVERAGE('20250815_ETF_Options_Exhibits'!L269:L273),"")</f>
        <v/>
      </c>
      <c r="M273" s="3">
        <f>IF(ISNUMBER(AVERAGE('20250815_ETF_Options_Exhibits'!M269:M273)),AVERAGE('20250815_ETF_Options_Exhibits'!M269:M273),"")</f>
        <v/>
      </c>
      <c r="N273" s="3">
        <f>IF(ISNUMBER(AVERAGE('20250815_ETF_Options_Exhibits'!N269:N273)),AVERAGE('20250815_ETF_Options_Exhibits'!N269:N273),"")</f>
        <v/>
      </c>
      <c r="O273" s="3">
        <f>IF(ISNUMBER(AVERAGE('20250815_ETF_Options_Exhibits'!O269:O273)),AVERAGE('20250815_ETF_Options_Exhibits'!O269:O273),"")</f>
        <v/>
      </c>
      <c r="P273" s="3">
        <f>IF(ISNUMBER(AVERAGE('20250815_ETF_Options_Exhibits'!P269:P273)),AVERAGE('20250815_ETF_Options_Exhibits'!P269:P273),"")</f>
        <v/>
      </c>
      <c r="Q273" s="3">
        <f>IF(ISNUMBER(AVERAGE('20250815_ETF_Options_Exhibits'!Q269:Q273)),AVERAGE('20250815_ETF_Options_Exhibits'!Q269:Q273),"")</f>
        <v/>
      </c>
      <c r="R273" s="3">
        <f>IF(ISNUMBER(AVERAGE('20250815_ETF_Options_Exhibits'!R269:R273)),AVERAGE('20250815_ETF_Options_Exhibits'!R269:R273),"")</f>
        <v/>
      </c>
      <c r="S273" s="3">
        <f>IF(ISNUMBER(AVERAGE('20250815_ETF_Options_Exhibits'!S269:S273)),AVERAGE('20250815_ETF_Options_Exhibits'!S269:S273),"")</f>
        <v/>
      </c>
      <c r="T273" s="3">
        <f>IF(ISNUMBER(AVERAGE('20250815_ETF_Options_Exhibits'!T269:T273)),AVERAGE('20250815_ETF_Options_Exhibits'!T269:T273),"")</f>
        <v/>
      </c>
      <c r="U273" s="3">
        <f>IF(ISNUMBER(AVERAGE('20250815_ETF_Options_Exhibits'!U269:U273)),AVERAGE('20250815_ETF_Options_Exhibits'!U269:U273),"")</f>
        <v/>
      </c>
      <c r="V273" s="3">
        <f>IF(ISNUMBER(AVERAGE('20250815_ETF_Options_Exhibits'!V269:V273)),AVERAGE('20250815_ETF_Options_Exhibits'!V269:V273),"")</f>
        <v/>
      </c>
      <c r="W273" s="3">
        <f>IF(ISNUMBER(AVERAGE('20250815_ETF_Options_Exhibits'!W269:W273)),AVERAGE('20250815_ETF_Options_Exhibits'!W269:W273),"")</f>
        <v/>
      </c>
      <c r="X273" s="3">
        <f>IF(ISNUMBER(AVERAGE('20250815_ETF_Options_Exhibits'!X269:X273)),AVERAGE('20250815_ETF_Options_Exhibits'!X269:X273),"")</f>
        <v/>
      </c>
      <c r="Y273" s="3">
        <f>IF(ISNUMBER(AVERAGE('20250815_ETF_Options_Exhibits'!Y269:Y273)),AVERAGE('20250815_ETF_Options_Exhibits'!Y269:Y273),"")</f>
        <v/>
      </c>
      <c r="Z273" s="3">
        <f>IF(ISNUMBER(AVERAGE('20250815_ETF_Options_Exhibits'!Z269:Z273)),AVERAGE('20250815_ETF_Options_Exhibits'!Z269:Z273),"")</f>
        <v/>
      </c>
      <c r="AA273" s="3">
        <f>IF(ISNUMBER(AVERAGE('20250815_ETF_Options_Exhibits'!AA269:AA273)),AVERAGE('20250815_ETF_Options_Exhibits'!AA269:AA273),"")</f>
        <v/>
      </c>
    </row>
    <row r="274">
      <c r="A274" s="1" t="n">
        <v>42401</v>
      </c>
      <c r="B274" s="3">
        <f>IF(ISNUMBER(AVERAGE('20250815_ETF_Options_Exhibits'!B270:B274)),AVERAGE('20250815_ETF_Options_Exhibits'!B270:B274),"")</f>
        <v/>
      </c>
      <c r="C274" s="3">
        <f>IF(ISNUMBER(AVERAGE('20250815_ETF_Options_Exhibits'!C270:C274)),AVERAGE('20250815_ETF_Options_Exhibits'!C270:C274),"")</f>
        <v/>
      </c>
      <c r="D274" s="3">
        <f>IF(ISNUMBER(AVERAGE('20250815_ETF_Options_Exhibits'!D270:D274)),AVERAGE('20250815_ETF_Options_Exhibits'!D270:D274),"")</f>
        <v/>
      </c>
      <c r="E274" s="3">
        <f>IF(ISNUMBER(AVERAGE('20250815_ETF_Options_Exhibits'!E270:E274)),AVERAGE('20250815_ETF_Options_Exhibits'!E270:E274),"")</f>
        <v/>
      </c>
      <c r="F274" s="3">
        <f>IF(ISNUMBER(AVERAGE('20250815_ETF_Options_Exhibits'!F270:F274)),AVERAGE('20250815_ETF_Options_Exhibits'!F270:F274),"")</f>
        <v/>
      </c>
      <c r="G274" s="3">
        <f>IF(ISNUMBER(AVERAGE('20250815_ETF_Options_Exhibits'!G270:G274)),AVERAGE('20250815_ETF_Options_Exhibits'!G270:G274),"")</f>
        <v/>
      </c>
      <c r="H274" s="3">
        <f>IF(ISNUMBER(AVERAGE('20250815_ETF_Options_Exhibits'!H270:H274)),AVERAGE('20250815_ETF_Options_Exhibits'!H270:H274),"")</f>
        <v/>
      </c>
      <c r="I274" s="3">
        <f>IF(ISNUMBER(AVERAGE('20250815_ETF_Options_Exhibits'!I270:I274)),AVERAGE('20250815_ETF_Options_Exhibits'!I270:I274),"")</f>
        <v/>
      </c>
      <c r="J274" s="3">
        <f>IF(ISNUMBER(AVERAGE('20250815_ETF_Options_Exhibits'!J270:J274)),AVERAGE('20250815_ETF_Options_Exhibits'!J270:J274),"")</f>
        <v/>
      </c>
      <c r="K274" s="3">
        <f>IF(ISNUMBER(AVERAGE('20250815_ETF_Options_Exhibits'!K270:K274)),AVERAGE('20250815_ETF_Options_Exhibits'!K270:K274),"")</f>
        <v/>
      </c>
      <c r="L274" s="3">
        <f>IF(ISNUMBER(AVERAGE('20250815_ETF_Options_Exhibits'!L270:L274)),AVERAGE('20250815_ETF_Options_Exhibits'!L270:L274),"")</f>
        <v/>
      </c>
      <c r="M274" s="3">
        <f>IF(ISNUMBER(AVERAGE('20250815_ETF_Options_Exhibits'!M270:M274)),AVERAGE('20250815_ETF_Options_Exhibits'!M270:M274),"")</f>
        <v/>
      </c>
      <c r="N274" s="3">
        <f>IF(ISNUMBER(AVERAGE('20250815_ETF_Options_Exhibits'!N270:N274)),AVERAGE('20250815_ETF_Options_Exhibits'!N270:N274),"")</f>
        <v/>
      </c>
      <c r="O274" s="3">
        <f>IF(ISNUMBER(AVERAGE('20250815_ETF_Options_Exhibits'!O270:O274)),AVERAGE('20250815_ETF_Options_Exhibits'!O270:O274),"")</f>
        <v/>
      </c>
      <c r="P274" s="3">
        <f>IF(ISNUMBER(AVERAGE('20250815_ETF_Options_Exhibits'!P270:P274)),AVERAGE('20250815_ETF_Options_Exhibits'!P270:P274),"")</f>
        <v/>
      </c>
      <c r="Q274" s="3">
        <f>IF(ISNUMBER(AVERAGE('20250815_ETF_Options_Exhibits'!Q270:Q274)),AVERAGE('20250815_ETF_Options_Exhibits'!Q270:Q274),"")</f>
        <v/>
      </c>
      <c r="R274" s="3">
        <f>IF(ISNUMBER(AVERAGE('20250815_ETF_Options_Exhibits'!R270:R274)),AVERAGE('20250815_ETF_Options_Exhibits'!R270:R274),"")</f>
        <v/>
      </c>
      <c r="S274" s="3">
        <f>IF(ISNUMBER(AVERAGE('20250815_ETF_Options_Exhibits'!S270:S274)),AVERAGE('20250815_ETF_Options_Exhibits'!S270:S274),"")</f>
        <v/>
      </c>
      <c r="T274" s="3">
        <f>IF(ISNUMBER(AVERAGE('20250815_ETF_Options_Exhibits'!T270:T274)),AVERAGE('20250815_ETF_Options_Exhibits'!T270:T274),"")</f>
        <v/>
      </c>
      <c r="U274" s="3">
        <f>IF(ISNUMBER(AVERAGE('20250815_ETF_Options_Exhibits'!U270:U274)),AVERAGE('20250815_ETF_Options_Exhibits'!U270:U274),"")</f>
        <v/>
      </c>
      <c r="V274" s="3">
        <f>IF(ISNUMBER(AVERAGE('20250815_ETF_Options_Exhibits'!V270:V274)),AVERAGE('20250815_ETF_Options_Exhibits'!V270:V274),"")</f>
        <v/>
      </c>
      <c r="W274" s="3">
        <f>IF(ISNUMBER(AVERAGE('20250815_ETF_Options_Exhibits'!W270:W274)),AVERAGE('20250815_ETF_Options_Exhibits'!W270:W274),"")</f>
        <v/>
      </c>
      <c r="X274" s="3">
        <f>IF(ISNUMBER(AVERAGE('20250815_ETF_Options_Exhibits'!X270:X274)),AVERAGE('20250815_ETF_Options_Exhibits'!X270:X274),"")</f>
        <v/>
      </c>
      <c r="Y274" s="3">
        <f>IF(ISNUMBER(AVERAGE('20250815_ETF_Options_Exhibits'!Y270:Y274)),AVERAGE('20250815_ETF_Options_Exhibits'!Y270:Y274),"")</f>
        <v/>
      </c>
      <c r="Z274" s="3">
        <f>IF(ISNUMBER(AVERAGE('20250815_ETF_Options_Exhibits'!Z270:Z274)),AVERAGE('20250815_ETF_Options_Exhibits'!Z270:Z274),"")</f>
        <v/>
      </c>
      <c r="AA274" s="3">
        <f>IF(ISNUMBER(AVERAGE('20250815_ETF_Options_Exhibits'!AA270:AA274)),AVERAGE('20250815_ETF_Options_Exhibits'!AA270:AA274),"")</f>
        <v/>
      </c>
    </row>
    <row r="275">
      <c r="A275" s="1" t="n">
        <v>42402</v>
      </c>
      <c r="B275" s="3">
        <f>IF(ISNUMBER(AVERAGE('20250815_ETF_Options_Exhibits'!B271:B275)),AVERAGE('20250815_ETF_Options_Exhibits'!B271:B275),"")</f>
        <v/>
      </c>
      <c r="C275" s="3">
        <f>IF(ISNUMBER(AVERAGE('20250815_ETF_Options_Exhibits'!C271:C275)),AVERAGE('20250815_ETF_Options_Exhibits'!C271:C275),"")</f>
        <v/>
      </c>
      <c r="D275" s="3">
        <f>IF(ISNUMBER(AVERAGE('20250815_ETF_Options_Exhibits'!D271:D275)),AVERAGE('20250815_ETF_Options_Exhibits'!D271:D275),"")</f>
        <v/>
      </c>
      <c r="E275" s="3">
        <f>IF(ISNUMBER(AVERAGE('20250815_ETF_Options_Exhibits'!E271:E275)),AVERAGE('20250815_ETF_Options_Exhibits'!E271:E275),"")</f>
        <v/>
      </c>
      <c r="F275" s="3">
        <f>IF(ISNUMBER(AVERAGE('20250815_ETF_Options_Exhibits'!F271:F275)),AVERAGE('20250815_ETF_Options_Exhibits'!F271:F275),"")</f>
        <v/>
      </c>
      <c r="G275" s="3">
        <f>IF(ISNUMBER(AVERAGE('20250815_ETF_Options_Exhibits'!G271:G275)),AVERAGE('20250815_ETF_Options_Exhibits'!G271:G275),"")</f>
        <v/>
      </c>
      <c r="H275" s="3">
        <f>IF(ISNUMBER(AVERAGE('20250815_ETF_Options_Exhibits'!H271:H275)),AVERAGE('20250815_ETF_Options_Exhibits'!H271:H275),"")</f>
        <v/>
      </c>
      <c r="I275" s="3">
        <f>IF(ISNUMBER(AVERAGE('20250815_ETF_Options_Exhibits'!I271:I275)),AVERAGE('20250815_ETF_Options_Exhibits'!I271:I275),"")</f>
        <v/>
      </c>
      <c r="J275" s="3">
        <f>IF(ISNUMBER(AVERAGE('20250815_ETF_Options_Exhibits'!J271:J275)),AVERAGE('20250815_ETF_Options_Exhibits'!J271:J275),"")</f>
        <v/>
      </c>
      <c r="K275" s="3">
        <f>IF(ISNUMBER(AVERAGE('20250815_ETF_Options_Exhibits'!K271:K275)),AVERAGE('20250815_ETF_Options_Exhibits'!K271:K275),"")</f>
        <v/>
      </c>
      <c r="L275" s="3">
        <f>IF(ISNUMBER(AVERAGE('20250815_ETF_Options_Exhibits'!L271:L275)),AVERAGE('20250815_ETF_Options_Exhibits'!L271:L275),"")</f>
        <v/>
      </c>
      <c r="M275" s="3">
        <f>IF(ISNUMBER(AVERAGE('20250815_ETF_Options_Exhibits'!M271:M275)),AVERAGE('20250815_ETF_Options_Exhibits'!M271:M275),"")</f>
        <v/>
      </c>
      <c r="N275" s="3">
        <f>IF(ISNUMBER(AVERAGE('20250815_ETF_Options_Exhibits'!N271:N275)),AVERAGE('20250815_ETF_Options_Exhibits'!N271:N275),"")</f>
        <v/>
      </c>
      <c r="O275" s="3">
        <f>IF(ISNUMBER(AVERAGE('20250815_ETF_Options_Exhibits'!O271:O275)),AVERAGE('20250815_ETF_Options_Exhibits'!O271:O275),"")</f>
        <v/>
      </c>
      <c r="P275" s="3">
        <f>IF(ISNUMBER(AVERAGE('20250815_ETF_Options_Exhibits'!P271:P275)),AVERAGE('20250815_ETF_Options_Exhibits'!P271:P275),"")</f>
        <v/>
      </c>
      <c r="Q275" s="3">
        <f>IF(ISNUMBER(AVERAGE('20250815_ETF_Options_Exhibits'!Q271:Q275)),AVERAGE('20250815_ETF_Options_Exhibits'!Q271:Q275),"")</f>
        <v/>
      </c>
      <c r="R275" s="3">
        <f>IF(ISNUMBER(AVERAGE('20250815_ETF_Options_Exhibits'!R271:R275)),AVERAGE('20250815_ETF_Options_Exhibits'!R271:R275),"")</f>
        <v/>
      </c>
      <c r="S275" s="3">
        <f>IF(ISNUMBER(AVERAGE('20250815_ETF_Options_Exhibits'!S271:S275)),AVERAGE('20250815_ETF_Options_Exhibits'!S271:S275),"")</f>
        <v/>
      </c>
      <c r="T275" s="3">
        <f>IF(ISNUMBER(AVERAGE('20250815_ETF_Options_Exhibits'!T271:T275)),AVERAGE('20250815_ETF_Options_Exhibits'!T271:T275),"")</f>
        <v/>
      </c>
      <c r="U275" s="3">
        <f>IF(ISNUMBER(AVERAGE('20250815_ETF_Options_Exhibits'!U271:U275)),AVERAGE('20250815_ETF_Options_Exhibits'!U271:U275),"")</f>
        <v/>
      </c>
      <c r="V275" s="3">
        <f>IF(ISNUMBER(AVERAGE('20250815_ETF_Options_Exhibits'!V271:V275)),AVERAGE('20250815_ETF_Options_Exhibits'!V271:V275),"")</f>
        <v/>
      </c>
      <c r="W275" s="3">
        <f>IF(ISNUMBER(AVERAGE('20250815_ETF_Options_Exhibits'!W271:W275)),AVERAGE('20250815_ETF_Options_Exhibits'!W271:W275),"")</f>
        <v/>
      </c>
      <c r="X275" s="3">
        <f>IF(ISNUMBER(AVERAGE('20250815_ETF_Options_Exhibits'!X271:X275)),AVERAGE('20250815_ETF_Options_Exhibits'!X271:X275),"")</f>
        <v/>
      </c>
      <c r="Y275" s="3">
        <f>IF(ISNUMBER(AVERAGE('20250815_ETF_Options_Exhibits'!Y271:Y275)),AVERAGE('20250815_ETF_Options_Exhibits'!Y271:Y275),"")</f>
        <v/>
      </c>
      <c r="Z275" s="3">
        <f>IF(ISNUMBER(AVERAGE('20250815_ETF_Options_Exhibits'!Z271:Z275)),AVERAGE('20250815_ETF_Options_Exhibits'!Z271:Z275),"")</f>
        <v/>
      </c>
      <c r="AA275" s="3">
        <f>IF(ISNUMBER(AVERAGE('20250815_ETF_Options_Exhibits'!AA271:AA275)),AVERAGE('20250815_ETF_Options_Exhibits'!AA271:AA275),"")</f>
        <v/>
      </c>
    </row>
    <row r="276">
      <c r="A276" s="1" t="n">
        <v>42403</v>
      </c>
      <c r="B276" s="3">
        <f>IF(ISNUMBER(AVERAGE('20250815_ETF_Options_Exhibits'!B272:B276)),AVERAGE('20250815_ETF_Options_Exhibits'!B272:B276),"")</f>
        <v/>
      </c>
      <c r="C276" s="3">
        <f>IF(ISNUMBER(AVERAGE('20250815_ETF_Options_Exhibits'!C272:C276)),AVERAGE('20250815_ETF_Options_Exhibits'!C272:C276),"")</f>
        <v/>
      </c>
      <c r="D276" s="3">
        <f>IF(ISNUMBER(AVERAGE('20250815_ETF_Options_Exhibits'!D272:D276)),AVERAGE('20250815_ETF_Options_Exhibits'!D272:D276),"")</f>
        <v/>
      </c>
      <c r="E276" s="3">
        <f>IF(ISNUMBER(AVERAGE('20250815_ETF_Options_Exhibits'!E272:E276)),AVERAGE('20250815_ETF_Options_Exhibits'!E272:E276),"")</f>
        <v/>
      </c>
      <c r="F276" s="3">
        <f>IF(ISNUMBER(AVERAGE('20250815_ETF_Options_Exhibits'!F272:F276)),AVERAGE('20250815_ETF_Options_Exhibits'!F272:F276),"")</f>
        <v/>
      </c>
      <c r="G276" s="3">
        <f>IF(ISNUMBER(AVERAGE('20250815_ETF_Options_Exhibits'!G272:G276)),AVERAGE('20250815_ETF_Options_Exhibits'!G272:G276),"")</f>
        <v/>
      </c>
      <c r="H276" s="3">
        <f>IF(ISNUMBER(AVERAGE('20250815_ETF_Options_Exhibits'!H272:H276)),AVERAGE('20250815_ETF_Options_Exhibits'!H272:H276),"")</f>
        <v/>
      </c>
      <c r="I276" s="3">
        <f>IF(ISNUMBER(AVERAGE('20250815_ETF_Options_Exhibits'!I272:I276)),AVERAGE('20250815_ETF_Options_Exhibits'!I272:I276),"")</f>
        <v/>
      </c>
      <c r="J276" s="3">
        <f>IF(ISNUMBER(AVERAGE('20250815_ETF_Options_Exhibits'!J272:J276)),AVERAGE('20250815_ETF_Options_Exhibits'!J272:J276),"")</f>
        <v/>
      </c>
      <c r="K276" s="3">
        <f>IF(ISNUMBER(AVERAGE('20250815_ETF_Options_Exhibits'!K272:K276)),AVERAGE('20250815_ETF_Options_Exhibits'!K272:K276),"")</f>
        <v/>
      </c>
      <c r="L276" s="3">
        <f>IF(ISNUMBER(AVERAGE('20250815_ETF_Options_Exhibits'!L272:L276)),AVERAGE('20250815_ETF_Options_Exhibits'!L272:L276),"")</f>
        <v/>
      </c>
      <c r="M276" s="3">
        <f>IF(ISNUMBER(AVERAGE('20250815_ETF_Options_Exhibits'!M272:M276)),AVERAGE('20250815_ETF_Options_Exhibits'!M272:M276),"")</f>
        <v/>
      </c>
      <c r="N276" s="3">
        <f>IF(ISNUMBER(AVERAGE('20250815_ETF_Options_Exhibits'!N272:N276)),AVERAGE('20250815_ETF_Options_Exhibits'!N272:N276),"")</f>
        <v/>
      </c>
      <c r="O276" s="3">
        <f>IF(ISNUMBER(AVERAGE('20250815_ETF_Options_Exhibits'!O272:O276)),AVERAGE('20250815_ETF_Options_Exhibits'!O272:O276),"")</f>
        <v/>
      </c>
      <c r="P276" s="3">
        <f>IF(ISNUMBER(AVERAGE('20250815_ETF_Options_Exhibits'!P272:P276)),AVERAGE('20250815_ETF_Options_Exhibits'!P272:P276),"")</f>
        <v/>
      </c>
      <c r="Q276" s="3">
        <f>IF(ISNUMBER(AVERAGE('20250815_ETF_Options_Exhibits'!Q272:Q276)),AVERAGE('20250815_ETF_Options_Exhibits'!Q272:Q276),"")</f>
        <v/>
      </c>
      <c r="R276" s="3">
        <f>IF(ISNUMBER(AVERAGE('20250815_ETF_Options_Exhibits'!R272:R276)),AVERAGE('20250815_ETF_Options_Exhibits'!R272:R276),"")</f>
        <v/>
      </c>
      <c r="S276" s="3">
        <f>IF(ISNUMBER(AVERAGE('20250815_ETF_Options_Exhibits'!S272:S276)),AVERAGE('20250815_ETF_Options_Exhibits'!S272:S276),"")</f>
        <v/>
      </c>
      <c r="T276" s="3">
        <f>IF(ISNUMBER(AVERAGE('20250815_ETF_Options_Exhibits'!T272:T276)),AVERAGE('20250815_ETF_Options_Exhibits'!T272:T276),"")</f>
        <v/>
      </c>
      <c r="U276" s="3">
        <f>IF(ISNUMBER(AVERAGE('20250815_ETF_Options_Exhibits'!U272:U276)),AVERAGE('20250815_ETF_Options_Exhibits'!U272:U276),"")</f>
        <v/>
      </c>
      <c r="V276" s="3">
        <f>IF(ISNUMBER(AVERAGE('20250815_ETF_Options_Exhibits'!V272:V276)),AVERAGE('20250815_ETF_Options_Exhibits'!V272:V276),"")</f>
        <v/>
      </c>
      <c r="W276" s="3">
        <f>IF(ISNUMBER(AVERAGE('20250815_ETF_Options_Exhibits'!W272:W276)),AVERAGE('20250815_ETF_Options_Exhibits'!W272:W276),"")</f>
        <v/>
      </c>
      <c r="X276" s="3">
        <f>IF(ISNUMBER(AVERAGE('20250815_ETF_Options_Exhibits'!X272:X276)),AVERAGE('20250815_ETF_Options_Exhibits'!X272:X276),"")</f>
        <v/>
      </c>
      <c r="Y276" s="3">
        <f>IF(ISNUMBER(AVERAGE('20250815_ETF_Options_Exhibits'!Y272:Y276)),AVERAGE('20250815_ETF_Options_Exhibits'!Y272:Y276),"")</f>
        <v/>
      </c>
      <c r="Z276" s="3">
        <f>IF(ISNUMBER(AVERAGE('20250815_ETF_Options_Exhibits'!Z272:Z276)),AVERAGE('20250815_ETF_Options_Exhibits'!Z272:Z276),"")</f>
        <v/>
      </c>
      <c r="AA276" s="3">
        <f>IF(ISNUMBER(AVERAGE('20250815_ETF_Options_Exhibits'!AA272:AA276)),AVERAGE('20250815_ETF_Options_Exhibits'!AA272:AA276),"")</f>
        <v/>
      </c>
    </row>
    <row r="277">
      <c r="A277" s="1" t="n">
        <v>42404</v>
      </c>
      <c r="B277" s="3">
        <f>IF(ISNUMBER(AVERAGE('20250815_ETF_Options_Exhibits'!B273:B277)),AVERAGE('20250815_ETF_Options_Exhibits'!B273:B277),"")</f>
        <v/>
      </c>
      <c r="C277" s="3">
        <f>IF(ISNUMBER(AVERAGE('20250815_ETF_Options_Exhibits'!C273:C277)),AVERAGE('20250815_ETF_Options_Exhibits'!C273:C277),"")</f>
        <v/>
      </c>
      <c r="D277" s="3">
        <f>IF(ISNUMBER(AVERAGE('20250815_ETF_Options_Exhibits'!D273:D277)),AVERAGE('20250815_ETF_Options_Exhibits'!D273:D277),"")</f>
        <v/>
      </c>
      <c r="E277" s="3">
        <f>IF(ISNUMBER(AVERAGE('20250815_ETF_Options_Exhibits'!E273:E277)),AVERAGE('20250815_ETF_Options_Exhibits'!E273:E277),"")</f>
        <v/>
      </c>
      <c r="F277" s="3">
        <f>IF(ISNUMBER(AVERAGE('20250815_ETF_Options_Exhibits'!F273:F277)),AVERAGE('20250815_ETF_Options_Exhibits'!F273:F277),"")</f>
        <v/>
      </c>
      <c r="G277" s="3">
        <f>IF(ISNUMBER(AVERAGE('20250815_ETF_Options_Exhibits'!G273:G277)),AVERAGE('20250815_ETF_Options_Exhibits'!G273:G277),"")</f>
        <v/>
      </c>
      <c r="H277" s="3">
        <f>IF(ISNUMBER(AVERAGE('20250815_ETF_Options_Exhibits'!H273:H277)),AVERAGE('20250815_ETF_Options_Exhibits'!H273:H277),"")</f>
        <v/>
      </c>
      <c r="I277" s="3">
        <f>IF(ISNUMBER(AVERAGE('20250815_ETF_Options_Exhibits'!I273:I277)),AVERAGE('20250815_ETF_Options_Exhibits'!I273:I277),"")</f>
        <v/>
      </c>
      <c r="J277" s="3">
        <f>IF(ISNUMBER(AVERAGE('20250815_ETF_Options_Exhibits'!J273:J277)),AVERAGE('20250815_ETF_Options_Exhibits'!J273:J277),"")</f>
        <v/>
      </c>
      <c r="K277" s="3">
        <f>IF(ISNUMBER(AVERAGE('20250815_ETF_Options_Exhibits'!K273:K277)),AVERAGE('20250815_ETF_Options_Exhibits'!K273:K277),"")</f>
        <v/>
      </c>
      <c r="L277" s="3">
        <f>IF(ISNUMBER(AVERAGE('20250815_ETF_Options_Exhibits'!L273:L277)),AVERAGE('20250815_ETF_Options_Exhibits'!L273:L277),"")</f>
        <v/>
      </c>
      <c r="M277" s="3">
        <f>IF(ISNUMBER(AVERAGE('20250815_ETF_Options_Exhibits'!M273:M277)),AVERAGE('20250815_ETF_Options_Exhibits'!M273:M277),"")</f>
        <v/>
      </c>
      <c r="N277" s="3">
        <f>IF(ISNUMBER(AVERAGE('20250815_ETF_Options_Exhibits'!N273:N277)),AVERAGE('20250815_ETF_Options_Exhibits'!N273:N277),"")</f>
        <v/>
      </c>
      <c r="O277" s="3">
        <f>IF(ISNUMBER(AVERAGE('20250815_ETF_Options_Exhibits'!O273:O277)),AVERAGE('20250815_ETF_Options_Exhibits'!O273:O277),"")</f>
        <v/>
      </c>
      <c r="P277" s="3">
        <f>IF(ISNUMBER(AVERAGE('20250815_ETF_Options_Exhibits'!P273:P277)),AVERAGE('20250815_ETF_Options_Exhibits'!P273:P277),"")</f>
        <v/>
      </c>
      <c r="Q277" s="3">
        <f>IF(ISNUMBER(AVERAGE('20250815_ETF_Options_Exhibits'!Q273:Q277)),AVERAGE('20250815_ETF_Options_Exhibits'!Q273:Q277),"")</f>
        <v/>
      </c>
      <c r="R277" s="3">
        <f>IF(ISNUMBER(AVERAGE('20250815_ETF_Options_Exhibits'!R273:R277)),AVERAGE('20250815_ETF_Options_Exhibits'!R273:R277),"")</f>
        <v/>
      </c>
      <c r="S277" s="3">
        <f>IF(ISNUMBER(AVERAGE('20250815_ETF_Options_Exhibits'!S273:S277)),AVERAGE('20250815_ETF_Options_Exhibits'!S273:S277),"")</f>
        <v/>
      </c>
      <c r="T277" s="3">
        <f>IF(ISNUMBER(AVERAGE('20250815_ETF_Options_Exhibits'!T273:T277)),AVERAGE('20250815_ETF_Options_Exhibits'!T273:T277),"")</f>
        <v/>
      </c>
      <c r="U277" s="3">
        <f>IF(ISNUMBER(AVERAGE('20250815_ETF_Options_Exhibits'!U273:U277)),AVERAGE('20250815_ETF_Options_Exhibits'!U273:U277),"")</f>
        <v/>
      </c>
      <c r="V277" s="3">
        <f>IF(ISNUMBER(AVERAGE('20250815_ETF_Options_Exhibits'!V273:V277)),AVERAGE('20250815_ETF_Options_Exhibits'!V273:V277),"")</f>
        <v/>
      </c>
      <c r="W277" s="3">
        <f>IF(ISNUMBER(AVERAGE('20250815_ETF_Options_Exhibits'!W273:W277)),AVERAGE('20250815_ETF_Options_Exhibits'!W273:W277),"")</f>
        <v/>
      </c>
      <c r="X277" s="3">
        <f>IF(ISNUMBER(AVERAGE('20250815_ETF_Options_Exhibits'!X273:X277)),AVERAGE('20250815_ETF_Options_Exhibits'!X273:X277),"")</f>
        <v/>
      </c>
      <c r="Y277" s="3">
        <f>IF(ISNUMBER(AVERAGE('20250815_ETF_Options_Exhibits'!Y273:Y277)),AVERAGE('20250815_ETF_Options_Exhibits'!Y273:Y277),"")</f>
        <v/>
      </c>
      <c r="Z277" s="3">
        <f>IF(ISNUMBER(AVERAGE('20250815_ETF_Options_Exhibits'!Z273:Z277)),AVERAGE('20250815_ETF_Options_Exhibits'!Z273:Z277),"")</f>
        <v/>
      </c>
      <c r="AA277" s="3">
        <f>IF(ISNUMBER(AVERAGE('20250815_ETF_Options_Exhibits'!AA273:AA277)),AVERAGE('20250815_ETF_Options_Exhibits'!AA273:AA277),"")</f>
        <v/>
      </c>
    </row>
    <row r="278">
      <c r="A278" s="1" t="n">
        <v>42405</v>
      </c>
      <c r="B278" s="3">
        <f>IF(ISNUMBER(AVERAGE('20250815_ETF_Options_Exhibits'!B274:B278)),AVERAGE('20250815_ETF_Options_Exhibits'!B274:B278),"")</f>
        <v/>
      </c>
      <c r="C278" s="3">
        <f>IF(ISNUMBER(AVERAGE('20250815_ETF_Options_Exhibits'!C274:C278)),AVERAGE('20250815_ETF_Options_Exhibits'!C274:C278),"")</f>
        <v/>
      </c>
      <c r="D278" s="3">
        <f>IF(ISNUMBER(AVERAGE('20250815_ETF_Options_Exhibits'!D274:D278)),AVERAGE('20250815_ETF_Options_Exhibits'!D274:D278),"")</f>
        <v/>
      </c>
      <c r="E278" s="3">
        <f>IF(ISNUMBER(AVERAGE('20250815_ETF_Options_Exhibits'!E274:E278)),AVERAGE('20250815_ETF_Options_Exhibits'!E274:E278),"")</f>
        <v/>
      </c>
      <c r="F278" s="3">
        <f>IF(ISNUMBER(AVERAGE('20250815_ETF_Options_Exhibits'!F274:F278)),AVERAGE('20250815_ETF_Options_Exhibits'!F274:F278),"")</f>
        <v/>
      </c>
      <c r="G278" s="3">
        <f>IF(ISNUMBER(AVERAGE('20250815_ETF_Options_Exhibits'!G274:G278)),AVERAGE('20250815_ETF_Options_Exhibits'!G274:G278),"")</f>
        <v/>
      </c>
      <c r="H278" s="3">
        <f>IF(ISNUMBER(AVERAGE('20250815_ETF_Options_Exhibits'!H274:H278)),AVERAGE('20250815_ETF_Options_Exhibits'!H274:H278),"")</f>
        <v/>
      </c>
      <c r="I278" s="3">
        <f>IF(ISNUMBER(AVERAGE('20250815_ETF_Options_Exhibits'!I274:I278)),AVERAGE('20250815_ETF_Options_Exhibits'!I274:I278),"")</f>
        <v/>
      </c>
      <c r="J278" s="3">
        <f>IF(ISNUMBER(AVERAGE('20250815_ETF_Options_Exhibits'!J274:J278)),AVERAGE('20250815_ETF_Options_Exhibits'!J274:J278),"")</f>
        <v/>
      </c>
      <c r="K278" s="3">
        <f>IF(ISNUMBER(AVERAGE('20250815_ETF_Options_Exhibits'!K274:K278)),AVERAGE('20250815_ETF_Options_Exhibits'!K274:K278),"")</f>
        <v/>
      </c>
      <c r="L278" s="3">
        <f>IF(ISNUMBER(AVERAGE('20250815_ETF_Options_Exhibits'!L274:L278)),AVERAGE('20250815_ETF_Options_Exhibits'!L274:L278),"")</f>
        <v/>
      </c>
      <c r="M278" s="3">
        <f>IF(ISNUMBER(AVERAGE('20250815_ETF_Options_Exhibits'!M274:M278)),AVERAGE('20250815_ETF_Options_Exhibits'!M274:M278),"")</f>
        <v/>
      </c>
      <c r="N278" s="3">
        <f>IF(ISNUMBER(AVERAGE('20250815_ETF_Options_Exhibits'!N274:N278)),AVERAGE('20250815_ETF_Options_Exhibits'!N274:N278),"")</f>
        <v/>
      </c>
      <c r="O278" s="3">
        <f>IF(ISNUMBER(AVERAGE('20250815_ETF_Options_Exhibits'!O274:O278)),AVERAGE('20250815_ETF_Options_Exhibits'!O274:O278),"")</f>
        <v/>
      </c>
      <c r="P278" s="3">
        <f>IF(ISNUMBER(AVERAGE('20250815_ETF_Options_Exhibits'!P274:P278)),AVERAGE('20250815_ETF_Options_Exhibits'!P274:P278),"")</f>
        <v/>
      </c>
      <c r="Q278" s="3">
        <f>IF(ISNUMBER(AVERAGE('20250815_ETF_Options_Exhibits'!Q274:Q278)),AVERAGE('20250815_ETF_Options_Exhibits'!Q274:Q278),"")</f>
        <v/>
      </c>
      <c r="R278" s="3">
        <f>IF(ISNUMBER(AVERAGE('20250815_ETF_Options_Exhibits'!R274:R278)),AVERAGE('20250815_ETF_Options_Exhibits'!R274:R278),"")</f>
        <v/>
      </c>
      <c r="S278" s="3">
        <f>IF(ISNUMBER(AVERAGE('20250815_ETF_Options_Exhibits'!S274:S278)),AVERAGE('20250815_ETF_Options_Exhibits'!S274:S278),"")</f>
        <v/>
      </c>
      <c r="T278" s="3">
        <f>IF(ISNUMBER(AVERAGE('20250815_ETF_Options_Exhibits'!T274:T278)),AVERAGE('20250815_ETF_Options_Exhibits'!T274:T278),"")</f>
        <v/>
      </c>
      <c r="U278" s="3">
        <f>IF(ISNUMBER(AVERAGE('20250815_ETF_Options_Exhibits'!U274:U278)),AVERAGE('20250815_ETF_Options_Exhibits'!U274:U278),"")</f>
        <v/>
      </c>
      <c r="V278" s="3">
        <f>IF(ISNUMBER(AVERAGE('20250815_ETF_Options_Exhibits'!V274:V278)),AVERAGE('20250815_ETF_Options_Exhibits'!V274:V278),"")</f>
        <v/>
      </c>
      <c r="W278" s="3">
        <f>IF(ISNUMBER(AVERAGE('20250815_ETF_Options_Exhibits'!W274:W278)),AVERAGE('20250815_ETF_Options_Exhibits'!W274:W278),"")</f>
        <v/>
      </c>
      <c r="X278" s="3">
        <f>IF(ISNUMBER(AVERAGE('20250815_ETF_Options_Exhibits'!X274:X278)),AVERAGE('20250815_ETF_Options_Exhibits'!X274:X278),"")</f>
        <v/>
      </c>
      <c r="Y278" s="3">
        <f>IF(ISNUMBER(AVERAGE('20250815_ETF_Options_Exhibits'!Y274:Y278)),AVERAGE('20250815_ETF_Options_Exhibits'!Y274:Y278),"")</f>
        <v/>
      </c>
      <c r="Z278" s="3">
        <f>IF(ISNUMBER(AVERAGE('20250815_ETF_Options_Exhibits'!Z274:Z278)),AVERAGE('20250815_ETF_Options_Exhibits'!Z274:Z278),"")</f>
        <v/>
      </c>
      <c r="AA278" s="3">
        <f>IF(ISNUMBER(AVERAGE('20250815_ETF_Options_Exhibits'!AA274:AA278)),AVERAGE('20250815_ETF_Options_Exhibits'!AA274:AA278),"")</f>
        <v/>
      </c>
    </row>
    <row r="279">
      <c r="A279" s="1" t="n">
        <v>42408</v>
      </c>
      <c r="B279" s="3">
        <f>IF(ISNUMBER(AVERAGE('20250815_ETF_Options_Exhibits'!B275:B279)),AVERAGE('20250815_ETF_Options_Exhibits'!B275:B279),"")</f>
        <v/>
      </c>
      <c r="C279" s="3">
        <f>IF(ISNUMBER(AVERAGE('20250815_ETF_Options_Exhibits'!C275:C279)),AVERAGE('20250815_ETF_Options_Exhibits'!C275:C279),"")</f>
        <v/>
      </c>
      <c r="D279" s="3">
        <f>IF(ISNUMBER(AVERAGE('20250815_ETF_Options_Exhibits'!D275:D279)),AVERAGE('20250815_ETF_Options_Exhibits'!D275:D279),"")</f>
        <v/>
      </c>
      <c r="E279" s="3">
        <f>IF(ISNUMBER(AVERAGE('20250815_ETF_Options_Exhibits'!E275:E279)),AVERAGE('20250815_ETF_Options_Exhibits'!E275:E279),"")</f>
        <v/>
      </c>
      <c r="F279" s="3">
        <f>IF(ISNUMBER(AVERAGE('20250815_ETF_Options_Exhibits'!F275:F279)),AVERAGE('20250815_ETF_Options_Exhibits'!F275:F279),"")</f>
        <v/>
      </c>
      <c r="G279" s="3">
        <f>IF(ISNUMBER(AVERAGE('20250815_ETF_Options_Exhibits'!G275:G279)),AVERAGE('20250815_ETF_Options_Exhibits'!G275:G279),"")</f>
        <v/>
      </c>
      <c r="H279" s="3">
        <f>IF(ISNUMBER(AVERAGE('20250815_ETF_Options_Exhibits'!H275:H279)),AVERAGE('20250815_ETF_Options_Exhibits'!H275:H279),"")</f>
        <v/>
      </c>
      <c r="I279" s="3">
        <f>IF(ISNUMBER(AVERAGE('20250815_ETF_Options_Exhibits'!I275:I279)),AVERAGE('20250815_ETF_Options_Exhibits'!I275:I279),"")</f>
        <v/>
      </c>
      <c r="J279" s="3">
        <f>IF(ISNUMBER(AVERAGE('20250815_ETF_Options_Exhibits'!J275:J279)),AVERAGE('20250815_ETF_Options_Exhibits'!J275:J279),"")</f>
        <v/>
      </c>
      <c r="K279" s="3">
        <f>IF(ISNUMBER(AVERAGE('20250815_ETF_Options_Exhibits'!K275:K279)),AVERAGE('20250815_ETF_Options_Exhibits'!K275:K279),"")</f>
        <v/>
      </c>
      <c r="L279" s="3">
        <f>IF(ISNUMBER(AVERAGE('20250815_ETF_Options_Exhibits'!L275:L279)),AVERAGE('20250815_ETF_Options_Exhibits'!L275:L279),"")</f>
        <v/>
      </c>
      <c r="M279" s="3">
        <f>IF(ISNUMBER(AVERAGE('20250815_ETF_Options_Exhibits'!M275:M279)),AVERAGE('20250815_ETF_Options_Exhibits'!M275:M279),"")</f>
        <v/>
      </c>
      <c r="N279" s="3">
        <f>IF(ISNUMBER(AVERAGE('20250815_ETF_Options_Exhibits'!N275:N279)),AVERAGE('20250815_ETF_Options_Exhibits'!N275:N279),"")</f>
        <v/>
      </c>
      <c r="O279" s="3">
        <f>IF(ISNUMBER(AVERAGE('20250815_ETF_Options_Exhibits'!O275:O279)),AVERAGE('20250815_ETF_Options_Exhibits'!O275:O279),"")</f>
        <v/>
      </c>
      <c r="P279" s="3">
        <f>IF(ISNUMBER(AVERAGE('20250815_ETF_Options_Exhibits'!P275:P279)),AVERAGE('20250815_ETF_Options_Exhibits'!P275:P279),"")</f>
        <v/>
      </c>
      <c r="Q279" s="3">
        <f>IF(ISNUMBER(AVERAGE('20250815_ETF_Options_Exhibits'!Q275:Q279)),AVERAGE('20250815_ETF_Options_Exhibits'!Q275:Q279),"")</f>
        <v/>
      </c>
      <c r="R279" s="3">
        <f>IF(ISNUMBER(AVERAGE('20250815_ETF_Options_Exhibits'!R275:R279)),AVERAGE('20250815_ETF_Options_Exhibits'!R275:R279),"")</f>
        <v/>
      </c>
      <c r="S279" s="3">
        <f>IF(ISNUMBER(AVERAGE('20250815_ETF_Options_Exhibits'!S275:S279)),AVERAGE('20250815_ETF_Options_Exhibits'!S275:S279),"")</f>
        <v/>
      </c>
      <c r="T279" s="3">
        <f>IF(ISNUMBER(AVERAGE('20250815_ETF_Options_Exhibits'!T275:T279)),AVERAGE('20250815_ETF_Options_Exhibits'!T275:T279),"")</f>
        <v/>
      </c>
      <c r="U279" s="3">
        <f>IF(ISNUMBER(AVERAGE('20250815_ETF_Options_Exhibits'!U275:U279)),AVERAGE('20250815_ETF_Options_Exhibits'!U275:U279),"")</f>
        <v/>
      </c>
      <c r="V279" s="3">
        <f>IF(ISNUMBER(AVERAGE('20250815_ETF_Options_Exhibits'!V275:V279)),AVERAGE('20250815_ETF_Options_Exhibits'!V275:V279),"")</f>
        <v/>
      </c>
      <c r="W279" s="3">
        <f>IF(ISNUMBER(AVERAGE('20250815_ETF_Options_Exhibits'!W275:W279)),AVERAGE('20250815_ETF_Options_Exhibits'!W275:W279),"")</f>
        <v/>
      </c>
      <c r="X279" s="3">
        <f>IF(ISNUMBER(AVERAGE('20250815_ETF_Options_Exhibits'!X275:X279)),AVERAGE('20250815_ETF_Options_Exhibits'!X275:X279),"")</f>
        <v/>
      </c>
      <c r="Y279" s="3">
        <f>IF(ISNUMBER(AVERAGE('20250815_ETF_Options_Exhibits'!Y275:Y279)),AVERAGE('20250815_ETF_Options_Exhibits'!Y275:Y279),"")</f>
        <v/>
      </c>
      <c r="Z279" s="3">
        <f>IF(ISNUMBER(AVERAGE('20250815_ETF_Options_Exhibits'!Z275:Z279)),AVERAGE('20250815_ETF_Options_Exhibits'!Z275:Z279),"")</f>
        <v/>
      </c>
      <c r="AA279" s="3">
        <f>IF(ISNUMBER(AVERAGE('20250815_ETF_Options_Exhibits'!AA275:AA279)),AVERAGE('20250815_ETF_Options_Exhibits'!AA275:AA279),"")</f>
        <v/>
      </c>
    </row>
    <row r="280">
      <c r="A280" s="1" t="n">
        <v>42409</v>
      </c>
      <c r="B280" s="3">
        <f>IF(ISNUMBER(AVERAGE('20250815_ETF_Options_Exhibits'!B276:B280)),AVERAGE('20250815_ETF_Options_Exhibits'!B276:B280),"")</f>
        <v/>
      </c>
      <c r="C280" s="3">
        <f>IF(ISNUMBER(AVERAGE('20250815_ETF_Options_Exhibits'!C276:C280)),AVERAGE('20250815_ETF_Options_Exhibits'!C276:C280),"")</f>
        <v/>
      </c>
      <c r="D280" s="3">
        <f>IF(ISNUMBER(AVERAGE('20250815_ETF_Options_Exhibits'!D276:D280)),AVERAGE('20250815_ETF_Options_Exhibits'!D276:D280),"")</f>
        <v/>
      </c>
      <c r="E280" s="3">
        <f>IF(ISNUMBER(AVERAGE('20250815_ETF_Options_Exhibits'!E276:E280)),AVERAGE('20250815_ETF_Options_Exhibits'!E276:E280),"")</f>
        <v/>
      </c>
      <c r="F280" s="3">
        <f>IF(ISNUMBER(AVERAGE('20250815_ETF_Options_Exhibits'!F276:F280)),AVERAGE('20250815_ETF_Options_Exhibits'!F276:F280),"")</f>
        <v/>
      </c>
      <c r="G280" s="3">
        <f>IF(ISNUMBER(AVERAGE('20250815_ETF_Options_Exhibits'!G276:G280)),AVERAGE('20250815_ETF_Options_Exhibits'!G276:G280),"")</f>
        <v/>
      </c>
      <c r="H280" s="3">
        <f>IF(ISNUMBER(AVERAGE('20250815_ETF_Options_Exhibits'!H276:H280)),AVERAGE('20250815_ETF_Options_Exhibits'!H276:H280),"")</f>
        <v/>
      </c>
      <c r="I280" s="3">
        <f>IF(ISNUMBER(AVERAGE('20250815_ETF_Options_Exhibits'!I276:I280)),AVERAGE('20250815_ETF_Options_Exhibits'!I276:I280),"")</f>
        <v/>
      </c>
      <c r="J280" s="3">
        <f>IF(ISNUMBER(AVERAGE('20250815_ETF_Options_Exhibits'!J276:J280)),AVERAGE('20250815_ETF_Options_Exhibits'!J276:J280),"")</f>
        <v/>
      </c>
      <c r="K280" s="3">
        <f>IF(ISNUMBER(AVERAGE('20250815_ETF_Options_Exhibits'!K276:K280)),AVERAGE('20250815_ETF_Options_Exhibits'!K276:K280),"")</f>
        <v/>
      </c>
      <c r="L280" s="3">
        <f>IF(ISNUMBER(AVERAGE('20250815_ETF_Options_Exhibits'!L276:L280)),AVERAGE('20250815_ETF_Options_Exhibits'!L276:L280),"")</f>
        <v/>
      </c>
      <c r="M280" s="3">
        <f>IF(ISNUMBER(AVERAGE('20250815_ETF_Options_Exhibits'!M276:M280)),AVERAGE('20250815_ETF_Options_Exhibits'!M276:M280),"")</f>
        <v/>
      </c>
      <c r="N280" s="3">
        <f>IF(ISNUMBER(AVERAGE('20250815_ETF_Options_Exhibits'!N276:N280)),AVERAGE('20250815_ETF_Options_Exhibits'!N276:N280),"")</f>
        <v/>
      </c>
      <c r="O280" s="3">
        <f>IF(ISNUMBER(AVERAGE('20250815_ETF_Options_Exhibits'!O276:O280)),AVERAGE('20250815_ETF_Options_Exhibits'!O276:O280),"")</f>
        <v/>
      </c>
      <c r="P280" s="3">
        <f>IF(ISNUMBER(AVERAGE('20250815_ETF_Options_Exhibits'!P276:P280)),AVERAGE('20250815_ETF_Options_Exhibits'!P276:P280),"")</f>
        <v/>
      </c>
      <c r="Q280" s="3">
        <f>IF(ISNUMBER(AVERAGE('20250815_ETF_Options_Exhibits'!Q276:Q280)),AVERAGE('20250815_ETF_Options_Exhibits'!Q276:Q280),"")</f>
        <v/>
      </c>
      <c r="R280" s="3">
        <f>IF(ISNUMBER(AVERAGE('20250815_ETF_Options_Exhibits'!R276:R280)),AVERAGE('20250815_ETF_Options_Exhibits'!R276:R280),"")</f>
        <v/>
      </c>
      <c r="S280" s="3">
        <f>IF(ISNUMBER(AVERAGE('20250815_ETF_Options_Exhibits'!S276:S280)),AVERAGE('20250815_ETF_Options_Exhibits'!S276:S280),"")</f>
        <v/>
      </c>
      <c r="T280" s="3">
        <f>IF(ISNUMBER(AVERAGE('20250815_ETF_Options_Exhibits'!T276:T280)),AVERAGE('20250815_ETF_Options_Exhibits'!T276:T280),"")</f>
        <v/>
      </c>
      <c r="U280" s="3">
        <f>IF(ISNUMBER(AVERAGE('20250815_ETF_Options_Exhibits'!U276:U280)),AVERAGE('20250815_ETF_Options_Exhibits'!U276:U280),"")</f>
        <v/>
      </c>
      <c r="V280" s="3">
        <f>IF(ISNUMBER(AVERAGE('20250815_ETF_Options_Exhibits'!V276:V280)),AVERAGE('20250815_ETF_Options_Exhibits'!V276:V280),"")</f>
        <v/>
      </c>
      <c r="W280" s="3">
        <f>IF(ISNUMBER(AVERAGE('20250815_ETF_Options_Exhibits'!W276:W280)),AVERAGE('20250815_ETF_Options_Exhibits'!W276:W280),"")</f>
        <v/>
      </c>
      <c r="X280" s="3">
        <f>IF(ISNUMBER(AVERAGE('20250815_ETF_Options_Exhibits'!X276:X280)),AVERAGE('20250815_ETF_Options_Exhibits'!X276:X280),"")</f>
        <v/>
      </c>
      <c r="Y280" s="3">
        <f>IF(ISNUMBER(AVERAGE('20250815_ETF_Options_Exhibits'!Y276:Y280)),AVERAGE('20250815_ETF_Options_Exhibits'!Y276:Y280),"")</f>
        <v/>
      </c>
      <c r="Z280" s="3">
        <f>IF(ISNUMBER(AVERAGE('20250815_ETF_Options_Exhibits'!Z276:Z280)),AVERAGE('20250815_ETF_Options_Exhibits'!Z276:Z280),"")</f>
        <v/>
      </c>
      <c r="AA280" s="3">
        <f>IF(ISNUMBER(AVERAGE('20250815_ETF_Options_Exhibits'!AA276:AA280)),AVERAGE('20250815_ETF_Options_Exhibits'!AA276:AA280),"")</f>
        <v/>
      </c>
    </row>
    <row r="281">
      <c r="A281" s="1" t="n">
        <v>42410</v>
      </c>
      <c r="B281" s="3">
        <f>IF(ISNUMBER(AVERAGE('20250815_ETF_Options_Exhibits'!B277:B281)),AVERAGE('20250815_ETF_Options_Exhibits'!B277:B281),"")</f>
        <v/>
      </c>
      <c r="C281" s="3">
        <f>IF(ISNUMBER(AVERAGE('20250815_ETF_Options_Exhibits'!C277:C281)),AVERAGE('20250815_ETF_Options_Exhibits'!C277:C281),"")</f>
        <v/>
      </c>
      <c r="D281" s="3">
        <f>IF(ISNUMBER(AVERAGE('20250815_ETF_Options_Exhibits'!D277:D281)),AVERAGE('20250815_ETF_Options_Exhibits'!D277:D281),"")</f>
        <v/>
      </c>
      <c r="E281" s="3">
        <f>IF(ISNUMBER(AVERAGE('20250815_ETF_Options_Exhibits'!E277:E281)),AVERAGE('20250815_ETF_Options_Exhibits'!E277:E281),"")</f>
        <v/>
      </c>
      <c r="F281" s="3">
        <f>IF(ISNUMBER(AVERAGE('20250815_ETF_Options_Exhibits'!F277:F281)),AVERAGE('20250815_ETF_Options_Exhibits'!F277:F281),"")</f>
        <v/>
      </c>
      <c r="G281" s="3">
        <f>IF(ISNUMBER(AVERAGE('20250815_ETF_Options_Exhibits'!G277:G281)),AVERAGE('20250815_ETF_Options_Exhibits'!G277:G281),"")</f>
        <v/>
      </c>
      <c r="H281" s="3">
        <f>IF(ISNUMBER(AVERAGE('20250815_ETF_Options_Exhibits'!H277:H281)),AVERAGE('20250815_ETF_Options_Exhibits'!H277:H281),"")</f>
        <v/>
      </c>
      <c r="I281" s="3">
        <f>IF(ISNUMBER(AVERAGE('20250815_ETF_Options_Exhibits'!I277:I281)),AVERAGE('20250815_ETF_Options_Exhibits'!I277:I281),"")</f>
        <v/>
      </c>
      <c r="J281" s="3">
        <f>IF(ISNUMBER(AVERAGE('20250815_ETF_Options_Exhibits'!J277:J281)),AVERAGE('20250815_ETF_Options_Exhibits'!J277:J281),"")</f>
        <v/>
      </c>
      <c r="K281" s="3">
        <f>IF(ISNUMBER(AVERAGE('20250815_ETF_Options_Exhibits'!K277:K281)),AVERAGE('20250815_ETF_Options_Exhibits'!K277:K281),"")</f>
        <v/>
      </c>
      <c r="L281" s="3">
        <f>IF(ISNUMBER(AVERAGE('20250815_ETF_Options_Exhibits'!L277:L281)),AVERAGE('20250815_ETF_Options_Exhibits'!L277:L281),"")</f>
        <v/>
      </c>
      <c r="M281" s="3">
        <f>IF(ISNUMBER(AVERAGE('20250815_ETF_Options_Exhibits'!M277:M281)),AVERAGE('20250815_ETF_Options_Exhibits'!M277:M281),"")</f>
        <v/>
      </c>
      <c r="N281" s="3">
        <f>IF(ISNUMBER(AVERAGE('20250815_ETF_Options_Exhibits'!N277:N281)),AVERAGE('20250815_ETF_Options_Exhibits'!N277:N281),"")</f>
        <v/>
      </c>
      <c r="O281" s="3">
        <f>IF(ISNUMBER(AVERAGE('20250815_ETF_Options_Exhibits'!O277:O281)),AVERAGE('20250815_ETF_Options_Exhibits'!O277:O281),"")</f>
        <v/>
      </c>
      <c r="P281" s="3">
        <f>IF(ISNUMBER(AVERAGE('20250815_ETF_Options_Exhibits'!P277:P281)),AVERAGE('20250815_ETF_Options_Exhibits'!P277:P281),"")</f>
        <v/>
      </c>
      <c r="Q281" s="3">
        <f>IF(ISNUMBER(AVERAGE('20250815_ETF_Options_Exhibits'!Q277:Q281)),AVERAGE('20250815_ETF_Options_Exhibits'!Q277:Q281),"")</f>
        <v/>
      </c>
      <c r="R281" s="3">
        <f>IF(ISNUMBER(AVERAGE('20250815_ETF_Options_Exhibits'!R277:R281)),AVERAGE('20250815_ETF_Options_Exhibits'!R277:R281),"")</f>
        <v/>
      </c>
      <c r="S281" s="3">
        <f>IF(ISNUMBER(AVERAGE('20250815_ETF_Options_Exhibits'!S277:S281)),AVERAGE('20250815_ETF_Options_Exhibits'!S277:S281),"")</f>
        <v/>
      </c>
      <c r="T281" s="3">
        <f>IF(ISNUMBER(AVERAGE('20250815_ETF_Options_Exhibits'!T277:T281)),AVERAGE('20250815_ETF_Options_Exhibits'!T277:T281),"")</f>
        <v/>
      </c>
      <c r="U281" s="3">
        <f>IF(ISNUMBER(AVERAGE('20250815_ETF_Options_Exhibits'!U277:U281)),AVERAGE('20250815_ETF_Options_Exhibits'!U277:U281),"")</f>
        <v/>
      </c>
      <c r="V281" s="3">
        <f>IF(ISNUMBER(AVERAGE('20250815_ETF_Options_Exhibits'!V277:V281)),AVERAGE('20250815_ETF_Options_Exhibits'!V277:V281),"")</f>
        <v/>
      </c>
      <c r="W281" s="3">
        <f>IF(ISNUMBER(AVERAGE('20250815_ETF_Options_Exhibits'!W277:W281)),AVERAGE('20250815_ETF_Options_Exhibits'!W277:W281),"")</f>
        <v/>
      </c>
      <c r="X281" s="3">
        <f>IF(ISNUMBER(AVERAGE('20250815_ETF_Options_Exhibits'!X277:X281)),AVERAGE('20250815_ETF_Options_Exhibits'!X277:X281),"")</f>
        <v/>
      </c>
      <c r="Y281" s="3">
        <f>IF(ISNUMBER(AVERAGE('20250815_ETF_Options_Exhibits'!Y277:Y281)),AVERAGE('20250815_ETF_Options_Exhibits'!Y277:Y281),"")</f>
        <v/>
      </c>
      <c r="Z281" s="3">
        <f>IF(ISNUMBER(AVERAGE('20250815_ETF_Options_Exhibits'!Z277:Z281)),AVERAGE('20250815_ETF_Options_Exhibits'!Z277:Z281),"")</f>
        <v/>
      </c>
      <c r="AA281" s="3">
        <f>IF(ISNUMBER(AVERAGE('20250815_ETF_Options_Exhibits'!AA277:AA281)),AVERAGE('20250815_ETF_Options_Exhibits'!AA277:AA281),"")</f>
        <v/>
      </c>
    </row>
    <row r="282">
      <c r="A282" s="1" t="n">
        <v>42411</v>
      </c>
      <c r="B282" s="3">
        <f>IF(ISNUMBER(AVERAGE('20250815_ETF_Options_Exhibits'!B278:B282)),AVERAGE('20250815_ETF_Options_Exhibits'!B278:B282),"")</f>
        <v/>
      </c>
      <c r="C282" s="3">
        <f>IF(ISNUMBER(AVERAGE('20250815_ETF_Options_Exhibits'!C278:C282)),AVERAGE('20250815_ETF_Options_Exhibits'!C278:C282),"")</f>
        <v/>
      </c>
      <c r="D282" s="3">
        <f>IF(ISNUMBER(AVERAGE('20250815_ETF_Options_Exhibits'!D278:D282)),AVERAGE('20250815_ETF_Options_Exhibits'!D278:D282),"")</f>
        <v/>
      </c>
      <c r="E282" s="3">
        <f>IF(ISNUMBER(AVERAGE('20250815_ETF_Options_Exhibits'!E278:E282)),AVERAGE('20250815_ETF_Options_Exhibits'!E278:E282),"")</f>
        <v/>
      </c>
      <c r="F282" s="3">
        <f>IF(ISNUMBER(AVERAGE('20250815_ETF_Options_Exhibits'!F278:F282)),AVERAGE('20250815_ETF_Options_Exhibits'!F278:F282),"")</f>
        <v/>
      </c>
      <c r="G282" s="3">
        <f>IF(ISNUMBER(AVERAGE('20250815_ETF_Options_Exhibits'!G278:G282)),AVERAGE('20250815_ETF_Options_Exhibits'!G278:G282),"")</f>
        <v/>
      </c>
      <c r="H282" s="3">
        <f>IF(ISNUMBER(AVERAGE('20250815_ETF_Options_Exhibits'!H278:H282)),AVERAGE('20250815_ETF_Options_Exhibits'!H278:H282),"")</f>
        <v/>
      </c>
      <c r="I282" s="3">
        <f>IF(ISNUMBER(AVERAGE('20250815_ETF_Options_Exhibits'!I278:I282)),AVERAGE('20250815_ETF_Options_Exhibits'!I278:I282),"")</f>
        <v/>
      </c>
      <c r="J282" s="3">
        <f>IF(ISNUMBER(AVERAGE('20250815_ETF_Options_Exhibits'!J278:J282)),AVERAGE('20250815_ETF_Options_Exhibits'!J278:J282),"")</f>
        <v/>
      </c>
      <c r="K282" s="3">
        <f>IF(ISNUMBER(AVERAGE('20250815_ETF_Options_Exhibits'!K278:K282)),AVERAGE('20250815_ETF_Options_Exhibits'!K278:K282),"")</f>
        <v/>
      </c>
      <c r="L282" s="3">
        <f>IF(ISNUMBER(AVERAGE('20250815_ETF_Options_Exhibits'!L278:L282)),AVERAGE('20250815_ETF_Options_Exhibits'!L278:L282),"")</f>
        <v/>
      </c>
      <c r="M282" s="3">
        <f>IF(ISNUMBER(AVERAGE('20250815_ETF_Options_Exhibits'!M278:M282)),AVERAGE('20250815_ETF_Options_Exhibits'!M278:M282),"")</f>
        <v/>
      </c>
      <c r="N282" s="3">
        <f>IF(ISNUMBER(AVERAGE('20250815_ETF_Options_Exhibits'!N278:N282)),AVERAGE('20250815_ETF_Options_Exhibits'!N278:N282),"")</f>
        <v/>
      </c>
      <c r="O282" s="3">
        <f>IF(ISNUMBER(AVERAGE('20250815_ETF_Options_Exhibits'!O278:O282)),AVERAGE('20250815_ETF_Options_Exhibits'!O278:O282),"")</f>
        <v/>
      </c>
      <c r="P282" s="3">
        <f>IF(ISNUMBER(AVERAGE('20250815_ETF_Options_Exhibits'!P278:P282)),AVERAGE('20250815_ETF_Options_Exhibits'!P278:P282),"")</f>
        <v/>
      </c>
      <c r="Q282" s="3">
        <f>IF(ISNUMBER(AVERAGE('20250815_ETF_Options_Exhibits'!Q278:Q282)),AVERAGE('20250815_ETF_Options_Exhibits'!Q278:Q282),"")</f>
        <v/>
      </c>
      <c r="R282" s="3">
        <f>IF(ISNUMBER(AVERAGE('20250815_ETF_Options_Exhibits'!R278:R282)),AVERAGE('20250815_ETF_Options_Exhibits'!R278:R282),"")</f>
        <v/>
      </c>
      <c r="S282" s="3">
        <f>IF(ISNUMBER(AVERAGE('20250815_ETF_Options_Exhibits'!S278:S282)),AVERAGE('20250815_ETF_Options_Exhibits'!S278:S282),"")</f>
        <v/>
      </c>
      <c r="T282" s="3">
        <f>IF(ISNUMBER(AVERAGE('20250815_ETF_Options_Exhibits'!T278:T282)),AVERAGE('20250815_ETF_Options_Exhibits'!T278:T282),"")</f>
        <v/>
      </c>
      <c r="U282" s="3">
        <f>IF(ISNUMBER(AVERAGE('20250815_ETF_Options_Exhibits'!U278:U282)),AVERAGE('20250815_ETF_Options_Exhibits'!U278:U282),"")</f>
        <v/>
      </c>
      <c r="V282" s="3">
        <f>IF(ISNUMBER(AVERAGE('20250815_ETF_Options_Exhibits'!V278:V282)),AVERAGE('20250815_ETF_Options_Exhibits'!V278:V282),"")</f>
        <v/>
      </c>
      <c r="W282" s="3">
        <f>IF(ISNUMBER(AVERAGE('20250815_ETF_Options_Exhibits'!W278:W282)),AVERAGE('20250815_ETF_Options_Exhibits'!W278:W282),"")</f>
        <v/>
      </c>
      <c r="X282" s="3">
        <f>IF(ISNUMBER(AVERAGE('20250815_ETF_Options_Exhibits'!X278:X282)),AVERAGE('20250815_ETF_Options_Exhibits'!X278:X282),"")</f>
        <v/>
      </c>
      <c r="Y282" s="3">
        <f>IF(ISNUMBER(AVERAGE('20250815_ETF_Options_Exhibits'!Y278:Y282)),AVERAGE('20250815_ETF_Options_Exhibits'!Y278:Y282),"")</f>
        <v/>
      </c>
      <c r="Z282" s="3">
        <f>IF(ISNUMBER(AVERAGE('20250815_ETF_Options_Exhibits'!Z278:Z282)),AVERAGE('20250815_ETF_Options_Exhibits'!Z278:Z282),"")</f>
        <v/>
      </c>
      <c r="AA282" s="3">
        <f>IF(ISNUMBER(AVERAGE('20250815_ETF_Options_Exhibits'!AA278:AA282)),AVERAGE('20250815_ETF_Options_Exhibits'!AA278:AA282),"")</f>
        <v/>
      </c>
    </row>
    <row r="283">
      <c r="A283" s="1" t="n">
        <v>42412</v>
      </c>
      <c r="B283" s="3">
        <f>IF(ISNUMBER(AVERAGE('20250815_ETF_Options_Exhibits'!B279:B283)),AVERAGE('20250815_ETF_Options_Exhibits'!B279:B283),"")</f>
        <v/>
      </c>
      <c r="C283" s="3">
        <f>IF(ISNUMBER(AVERAGE('20250815_ETF_Options_Exhibits'!C279:C283)),AVERAGE('20250815_ETF_Options_Exhibits'!C279:C283),"")</f>
        <v/>
      </c>
      <c r="D283" s="3">
        <f>IF(ISNUMBER(AVERAGE('20250815_ETF_Options_Exhibits'!D279:D283)),AVERAGE('20250815_ETF_Options_Exhibits'!D279:D283),"")</f>
        <v/>
      </c>
      <c r="E283" s="3">
        <f>IF(ISNUMBER(AVERAGE('20250815_ETF_Options_Exhibits'!E279:E283)),AVERAGE('20250815_ETF_Options_Exhibits'!E279:E283),"")</f>
        <v/>
      </c>
      <c r="F283" s="3">
        <f>IF(ISNUMBER(AVERAGE('20250815_ETF_Options_Exhibits'!F279:F283)),AVERAGE('20250815_ETF_Options_Exhibits'!F279:F283),"")</f>
        <v/>
      </c>
      <c r="G283" s="3">
        <f>IF(ISNUMBER(AVERAGE('20250815_ETF_Options_Exhibits'!G279:G283)),AVERAGE('20250815_ETF_Options_Exhibits'!G279:G283),"")</f>
        <v/>
      </c>
      <c r="H283" s="3">
        <f>IF(ISNUMBER(AVERAGE('20250815_ETF_Options_Exhibits'!H279:H283)),AVERAGE('20250815_ETF_Options_Exhibits'!H279:H283),"")</f>
        <v/>
      </c>
      <c r="I283" s="3">
        <f>IF(ISNUMBER(AVERAGE('20250815_ETF_Options_Exhibits'!I279:I283)),AVERAGE('20250815_ETF_Options_Exhibits'!I279:I283),"")</f>
        <v/>
      </c>
      <c r="J283" s="3">
        <f>IF(ISNUMBER(AVERAGE('20250815_ETF_Options_Exhibits'!J279:J283)),AVERAGE('20250815_ETF_Options_Exhibits'!J279:J283),"")</f>
        <v/>
      </c>
      <c r="K283" s="3">
        <f>IF(ISNUMBER(AVERAGE('20250815_ETF_Options_Exhibits'!K279:K283)),AVERAGE('20250815_ETF_Options_Exhibits'!K279:K283),"")</f>
        <v/>
      </c>
      <c r="L283" s="3">
        <f>IF(ISNUMBER(AVERAGE('20250815_ETF_Options_Exhibits'!L279:L283)),AVERAGE('20250815_ETF_Options_Exhibits'!L279:L283),"")</f>
        <v/>
      </c>
      <c r="M283" s="3">
        <f>IF(ISNUMBER(AVERAGE('20250815_ETF_Options_Exhibits'!M279:M283)),AVERAGE('20250815_ETF_Options_Exhibits'!M279:M283),"")</f>
        <v/>
      </c>
      <c r="N283" s="3">
        <f>IF(ISNUMBER(AVERAGE('20250815_ETF_Options_Exhibits'!N279:N283)),AVERAGE('20250815_ETF_Options_Exhibits'!N279:N283),"")</f>
        <v/>
      </c>
      <c r="O283" s="3">
        <f>IF(ISNUMBER(AVERAGE('20250815_ETF_Options_Exhibits'!O279:O283)),AVERAGE('20250815_ETF_Options_Exhibits'!O279:O283),"")</f>
        <v/>
      </c>
      <c r="P283" s="3">
        <f>IF(ISNUMBER(AVERAGE('20250815_ETF_Options_Exhibits'!P279:P283)),AVERAGE('20250815_ETF_Options_Exhibits'!P279:P283),"")</f>
        <v/>
      </c>
      <c r="Q283" s="3">
        <f>IF(ISNUMBER(AVERAGE('20250815_ETF_Options_Exhibits'!Q279:Q283)),AVERAGE('20250815_ETF_Options_Exhibits'!Q279:Q283),"")</f>
        <v/>
      </c>
      <c r="R283" s="3">
        <f>IF(ISNUMBER(AVERAGE('20250815_ETF_Options_Exhibits'!R279:R283)),AVERAGE('20250815_ETF_Options_Exhibits'!R279:R283),"")</f>
        <v/>
      </c>
      <c r="S283" s="3">
        <f>IF(ISNUMBER(AVERAGE('20250815_ETF_Options_Exhibits'!S279:S283)),AVERAGE('20250815_ETF_Options_Exhibits'!S279:S283),"")</f>
        <v/>
      </c>
      <c r="T283" s="3">
        <f>IF(ISNUMBER(AVERAGE('20250815_ETF_Options_Exhibits'!T279:T283)),AVERAGE('20250815_ETF_Options_Exhibits'!T279:T283),"")</f>
        <v/>
      </c>
      <c r="U283" s="3">
        <f>IF(ISNUMBER(AVERAGE('20250815_ETF_Options_Exhibits'!U279:U283)),AVERAGE('20250815_ETF_Options_Exhibits'!U279:U283),"")</f>
        <v/>
      </c>
      <c r="V283" s="3">
        <f>IF(ISNUMBER(AVERAGE('20250815_ETF_Options_Exhibits'!V279:V283)),AVERAGE('20250815_ETF_Options_Exhibits'!V279:V283),"")</f>
        <v/>
      </c>
      <c r="W283" s="3">
        <f>IF(ISNUMBER(AVERAGE('20250815_ETF_Options_Exhibits'!W279:W283)),AVERAGE('20250815_ETF_Options_Exhibits'!W279:W283),"")</f>
        <v/>
      </c>
      <c r="X283" s="3">
        <f>IF(ISNUMBER(AVERAGE('20250815_ETF_Options_Exhibits'!X279:X283)),AVERAGE('20250815_ETF_Options_Exhibits'!X279:X283),"")</f>
        <v/>
      </c>
      <c r="Y283" s="3">
        <f>IF(ISNUMBER(AVERAGE('20250815_ETF_Options_Exhibits'!Y279:Y283)),AVERAGE('20250815_ETF_Options_Exhibits'!Y279:Y283),"")</f>
        <v/>
      </c>
      <c r="Z283" s="3">
        <f>IF(ISNUMBER(AVERAGE('20250815_ETF_Options_Exhibits'!Z279:Z283)),AVERAGE('20250815_ETF_Options_Exhibits'!Z279:Z283),"")</f>
        <v/>
      </c>
      <c r="AA283" s="3">
        <f>IF(ISNUMBER(AVERAGE('20250815_ETF_Options_Exhibits'!AA279:AA283)),AVERAGE('20250815_ETF_Options_Exhibits'!AA279:AA283),"")</f>
        <v/>
      </c>
    </row>
    <row r="284">
      <c r="A284" s="1" t="n">
        <v>42416</v>
      </c>
      <c r="B284" s="3">
        <f>IF(ISNUMBER(AVERAGE('20250815_ETF_Options_Exhibits'!B280:B284)),AVERAGE('20250815_ETF_Options_Exhibits'!B280:B284),"")</f>
        <v/>
      </c>
      <c r="C284" s="3">
        <f>IF(ISNUMBER(AVERAGE('20250815_ETF_Options_Exhibits'!C280:C284)),AVERAGE('20250815_ETF_Options_Exhibits'!C280:C284),"")</f>
        <v/>
      </c>
      <c r="D284" s="3">
        <f>IF(ISNUMBER(AVERAGE('20250815_ETF_Options_Exhibits'!D280:D284)),AVERAGE('20250815_ETF_Options_Exhibits'!D280:D284),"")</f>
        <v/>
      </c>
      <c r="E284" s="3">
        <f>IF(ISNUMBER(AVERAGE('20250815_ETF_Options_Exhibits'!E280:E284)),AVERAGE('20250815_ETF_Options_Exhibits'!E280:E284),"")</f>
        <v/>
      </c>
      <c r="F284" s="3">
        <f>IF(ISNUMBER(AVERAGE('20250815_ETF_Options_Exhibits'!F280:F284)),AVERAGE('20250815_ETF_Options_Exhibits'!F280:F284),"")</f>
        <v/>
      </c>
      <c r="G284" s="3">
        <f>IF(ISNUMBER(AVERAGE('20250815_ETF_Options_Exhibits'!G280:G284)),AVERAGE('20250815_ETF_Options_Exhibits'!G280:G284),"")</f>
        <v/>
      </c>
      <c r="H284" s="3">
        <f>IF(ISNUMBER(AVERAGE('20250815_ETF_Options_Exhibits'!H280:H284)),AVERAGE('20250815_ETF_Options_Exhibits'!H280:H284),"")</f>
        <v/>
      </c>
      <c r="I284" s="3">
        <f>IF(ISNUMBER(AVERAGE('20250815_ETF_Options_Exhibits'!I280:I284)),AVERAGE('20250815_ETF_Options_Exhibits'!I280:I284),"")</f>
        <v/>
      </c>
      <c r="J284" s="3">
        <f>IF(ISNUMBER(AVERAGE('20250815_ETF_Options_Exhibits'!J280:J284)),AVERAGE('20250815_ETF_Options_Exhibits'!J280:J284),"")</f>
        <v/>
      </c>
      <c r="K284" s="3">
        <f>IF(ISNUMBER(AVERAGE('20250815_ETF_Options_Exhibits'!K280:K284)),AVERAGE('20250815_ETF_Options_Exhibits'!K280:K284),"")</f>
        <v/>
      </c>
      <c r="L284" s="3">
        <f>IF(ISNUMBER(AVERAGE('20250815_ETF_Options_Exhibits'!L280:L284)),AVERAGE('20250815_ETF_Options_Exhibits'!L280:L284),"")</f>
        <v/>
      </c>
      <c r="M284" s="3">
        <f>IF(ISNUMBER(AVERAGE('20250815_ETF_Options_Exhibits'!M280:M284)),AVERAGE('20250815_ETF_Options_Exhibits'!M280:M284),"")</f>
        <v/>
      </c>
      <c r="N284" s="3">
        <f>IF(ISNUMBER(AVERAGE('20250815_ETF_Options_Exhibits'!N280:N284)),AVERAGE('20250815_ETF_Options_Exhibits'!N280:N284),"")</f>
        <v/>
      </c>
      <c r="O284" s="3">
        <f>IF(ISNUMBER(AVERAGE('20250815_ETF_Options_Exhibits'!O280:O284)),AVERAGE('20250815_ETF_Options_Exhibits'!O280:O284),"")</f>
        <v/>
      </c>
      <c r="P284" s="3">
        <f>IF(ISNUMBER(AVERAGE('20250815_ETF_Options_Exhibits'!P280:P284)),AVERAGE('20250815_ETF_Options_Exhibits'!P280:P284),"")</f>
        <v/>
      </c>
      <c r="Q284" s="3">
        <f>IF(ISNUMBER(AVERAGE('20250815_ETF_Options_Exhibits'!Q280:Q284)),AVERAGE('20250815_ETF_Options_Exhibits'!Q280:Q284),"")</f>
        <v/>
      </c>
      <c r="R284" s="3">
        <f>IF(ISNUMBER(AVERAGE('20250815_ETF_Options_Exhibits'!R280:R284)),AVERAGE('20250815_ETF_Options_Exhibits'!R280:R284),"")</f>
        <v/>
      </c>
      <c r="S284" s="3">
        <f>IF(ISNUMBER(AVERAGE('20250815_ETF_Options_Exhibits'!S280:S284)),AVERAGE('20250815_ETF_Options_Exhibits'!S280:S284),"")</f>
        <v/>
      </c>
      <c r="T284" s="3">
        <f>IF(ISNUMBER(AVERAGE('20250815_ETF_Options_Exhibits'!T280:T284)),AVERAGE('20250815_ETF_Options_Exhibits'!T280:T284),"")</f>
        <v/>
      </c>
      <c r="U284" s="3">
        <f>IF(ISNUMBER(AVERAGE('20250815_ETF_Options_Exhibits'!U280:U284)),AVERAGE('20250815_ETF_Options_Exhibits'!U280:U284),"")</f>
        <v/>
      </c>
      <c r="V284" s="3">
        <f>IF(ISNUMBER(AVERAGE('20250815_ETF_Options_Exhibits'!V280:V284)),AVERAGE('20250815_ETF_Options_Exhibits'!V280:V284),"")</f>
        <v/>
      </c>
      <c r="W284" s="3">
        <f>IF(ISNUMBER(AVERAGE('20250815_ETF_Options_Exhibits'!W280:W284)),AVERAGE('20250815_ETF_Options_Exhibits'!W280:W284),"")</f>
        <v/>
      </c>
      <c r="X284" s="3">
        <f>IF(ISNUMBER(AVERAGE('20250815_ETF_Options_Exhibits'!X280:X284)),AVERAGE('20250815_ETF_Options_Exhibits'!X280:X284),"")</f>
        <v/>
      </c>
      <c r="Y284" s="3">
        <f>IF(ISNUMBER(AVERAGE('20250815_ETF_Options_Exhibits'!Y280:Y284)),AVERAGE('20250815_ETF_Options_Exhibits'!Y280:Y284),"")</f>
        <v/>
      </c>
      <c r="Z284" s="3">
        <f>IF(ISNUMBER(AVERAGE('20250815_ETF_Options_Exhibits'!Z280:Z284)),AVERAGE('20250815_ETF_Options_Exhibits'!Z280:Z284),"")</f>
        <v/>
      </c>
      <c r="AA284" s="3">
        <f>IF(ISNUMBER(AVERAGE('20250815_ETF_Options_Exhibits'!AA280:AA284)),AVERAGE('20250815_ETF_Options_Exhibits'!AA280:AA284),"")</f>
        <v/>
      </c>
    </row>
    <row r="285">
      <c r="A285" s="1" t="n">
        <v>42417</v>
      </c>
      <c r="B285" s="3">
        <f>IF(ISNUMBER(AVERAGE('20250815_ETF_Options_Exhibits'!B281:B285)),AVERAGE('20250815_ETF_Options_Exhibits'!B281:B285),"")</f>
        <v/>
      </c>
      <c r="C285" s="3">
        <f>IF(ISNUMBER(AVERAGE('20250815_ETF_Options_Exhibits'!C281:C285)),AVERAGE('20250815_ETF_Options_Exhibits'!C281:C285),"")</f>
        <v/>
      </c>
      <c r="D285" s="3">
        <f>IF(ISNUMBER(AVERAGE('20250815_ETF_Options_Exhibits'!D281:D285)),AVERAGE('20250815_ETF_Options_Exhibits'!D281:D285),"")</f>
        <v/>
      </c>
      <c r="E285" s="3">
        <f>IF(ISNUMBER(AVERAGE('20250815_ETF_Options_Exhibits'!E281:E285)),AVERAGE('20250815_ETF_Options_Exhibits'!E281:E285),"")</f>
        <v/>
      </c>
      <c r="F285" s="3">
        <f>IF(ISNUMBER(AVERAGE('20250815_ETF_Options_Exhibits'!F281:F285)),AVERAGE('20250815_ETF_Options_Exhibits'!F281:F285),"")</f>
        <v/>
      </c>
      <c r="G285" s="3">
        <f>IF(ISNUMBER(AVERAGE('20250815_ETF_Options_Exhibits'!G281:G285)),AVERAGE('20250815_ETF_Options_Exhibits'!G281:G285),"")</f>
        <v/>
      </c>
      <c r="H285" s="3">
        <f>IF(ISNUMBER(AVERAGE('20250815_ETF_Options_Exhibits'!H281:H285)),AVERAGE('20250815_ETF_Options_Exhibits'!H281:H285),"")</f>
        <v/>
      </c>
      <c r="I285" s="3">
        <f>IF(ISNUMBER(AVERAGE('20250815_ETF_Options_Exhibits'!I281:I285)),AVERAGE('20250815_ETF_Options_Exhibits'!I281:I285),"")</f>
        <v/>
      </c>
      <c r="J285" s="3">
        <f>IF(ISNUMBER(AVERAGE('20250815_ETF_Options_Exhibits'!J281:J285)),AVERAGE('20250815_ETF_Options_Exhibits'!J281:J285),"")</f>
        <v/>
      </c>
      <c r="K285" s="3">
        <f>IF(ISNUMBER(AVERAGE('20250815_ETF_Options_Exhibits'!K281:K285)),AVERAGE('20250815_ETF_Options_Exhibits'!K281:K285),"")</f>
        <v/>
      </c>
      <c r="L285" s="3">
        <f>IF(ISNUMBER(AVERAGE('20250815_ETF_Options_Exhibits'!L281:L285)),AVERAGE('20250815_ETF_Options_Exhibits'!L281:L285),"")</f>
        <v/>
      </c>
      <c r="M285" s="3">
        <f>IF(ISNUMBER(AVERAGE('20250815_ETF_Options_Exhibits'!M281:M285)),AVERAGE('20250815_ETF_Options_Exhibits'!M281:M285),"")</f>
        <v/>
      </c>
      <c r="N285" s="3">
        <f>IF(ISNUMBER(AVERAGE('20250815_ETF_Options_Exhibits'!N281:N285)),AVERAGE('20250815_ETF_Options_Exhibits'!N281:N285),"")</f>
        <v/>
      </c>
      <c r="O285" s="3">
        <f>IF(ISNUMBER(AVERAGE('20250815_ETF_Options_Exhibits'!O281:O285)),AVERAGE('20250815_ETF_Options_Exhibits'!O281:O285),"")</f>
        <v/>
      </c>
      <c r="P285" s="3">
        <f>IF(ISNUMBER(AVERAGE('20250815_ETF_Options_Exhibits'!P281:P285)),AVERAGE('20250815_ETF_Options_Exhibits'!P281:P285),"")</f>
        <v/>
      </c>
      <c r="Q285" s="3">
        <f>IF(ISNUMBER(AVERAGE('20250815_ETF_Options_Exhibits'!Q281:Q285)),AVERAGE('20250815_ETF_Options_Exhibits'!Q281:Q285),"")</f>
        <v/>
      </c>
      <c r="R285" s="3">
        <f>IF(ISNUMBER(AVERAGE('20250815_ETF_Options_Exhibits'!R281:R285)),AVERAGE('20250815_ETF_Options_Exhibits'!R281:R285),"")</f>
        <v/>
      </c>
      <c r="S285" s="3">
        <f>IF(ISNUMBER(AVERAGE('20250815_ETF_Options_Exhibits'!S281:S285)),AVERAGE('20250815_ETF_Options_Exhibits'!S281:S285),"")</f>
        <v/>
      </c>
      <c r="T285" s="3">
        <f>IF(ISNUMBER(AVERAGE('20250815_ETF_Options_Exhibits'!T281:T285)),AVERAGE('20250815_ETF_Options_Exhibits'!T281:T285),"")</f>
        <v/>
      </c>
      <c r="U285" s="3">
        <f>IF(ISNUMBER(AVERAGE('20250815_ETF_Options_Exhibits'!U281:U285)),AVERAGE('20250815_ETF_Options_Exhibits'!U281:U285),"")</f>
        <v/>
      </c>
      <c r="V285" s="3">
        <f>IF(ISNUMBER(AVERAGE('20250815_ETF_Options_Exhibits'!V281:V285)),AVERAGE('20250815_ETF_Options_Exhibits'!V281:V285),"")</f>
        <v/>
      </c>
      <c r="W285" s="3">
        <f>IF(ISNUMBER(AVERAGE('20250815_ETF_Options_Exhibits'!W281:W285)),AVERAGE('20250815_ETF_Options_Exhibits'!W281:W285),"")</f>
        <v/>
      </c>
      <c r="X285" s="3">
        <f>IF(ISNUMBER(AVERAGE('20250815_ETF_Options_Exhibits'!X281:X285)),AVERAGE('20250815_ETF_Options_Exhibits'!X281:X285),"")</f>
        <v/>
      </c>
      <c r="Y285" s="3">
        <f>IF(ISNUMBER(AVERAGE('20250815_ETF_Options_Exhibits'!Y281:Y285)),AVERAGE('20250815_ETF_Options_Exhibits'!Y281:Y285),"")</f>
        <v/>
      </c>
      <c r="Z285" s="3">
        <f>IF(ISNUMBER(AVERAGE('20250815_ETF_Options_Exhibits'!Z281:Z285)),AVERAGE('20250815_ETF_Options_Exhibits'!Z281:Z285),"")</f>
        <v/>
      </c>
      <c r="AA285" s="3">
        <f>IF(ISNUMBER(AVERAGE('20250815_ETF_Options_Exhibits'!AA281:AA285)),AVERAGE('20250815_ETF_Options_Exhibits'!AA281:AA285),"")</f>
        <v/>
      </c>
    </row>
    <row r="286">
      <c r="A286" s="1" t="n">
        <v>42418</v>
      </c>
      <c r="B286" s="3">
        <f>IF(ISNUMBER(AVERAGE('20250815_ETF_Options_Exhibits'!B282:B286)),AVERAGE('20250815_ETF_Options_Exhibits'!B282:B286),"")</f>
        <v/>
      </c>
      <c r="C286" s="3">
        <f>IF(ISNUMBER(AVERAGE('20250815_ETF_Options_Exhibits'!C282:C286)),AVERAGE('20250815_ETF_Options_Exhibits'!C282:C286),"")</f>
        <v/>
      </c>
      <c r="D286" s="3">
        <f>IF(ISNUMBER(AVERAGE('20250815_ETF_Options_Exhibits'!D282:D286)),AVERAGE('20250815_ETF_Options_Exhibits'!D282:D286),"")</f>
        <v/>
      </c>
      <c r="E286" s="3">
        <f>IF(ISNUMBER(AVERAGE('20250815_ETF_Options_Exhibits'!E282:E286)),AVERAGE('20250815_ETF_Options_Exhibits'!E282:E286),"")</f>
        <v/>
      </c>
      <c r="F286" s="3">
        <f>IF(ISNUMBER(AVERAGE('20250815_ETF_Options_Exhibits'!F282:F286)),AVERAGE('20250815_ETF_Options_Exhibits'!F282:F286),"")</f>
        <v/>
      </c>
      <c r="G286" s="3">
        <f>IF(ISNUMBER(AVERAGE('20250815_ETF_Options_Exhibits'!G282:G286)),AVERAGE('20250815_ETF_Options_Exhibits'!G282:G286),"")</f>
        <v/>
      </c>
      <c r="H286" s="3">
        <f>IF(ISNUMBER(AVERAGE('20250815_ETF_Options_Exhibits'!H282:H286)),AVERAGE('20250815_ETF_Options_Exhibits'!H282:H286),"")</f>
        <v/>
      </c>
      <c r="I286" s="3">
        <f>IF(ISNUMBER(AVERAGE('20250815_ETF_Options_Exhibits'!I282:I286)),AVERAGE('20250815_ETF_Options_Exhibits'!I282:I286),"")</f>
        <v/>
      </c>
      <c r="J286" s="3">
        <f>IF(ISNUMBER(AVERAGE('20250815_ETF_Options_Exhibits'!J282:J286)),AVERAGE('20250815_ETF_Options_Exhibits'!J282:J286),"")</f>
        <v/>
      </c>
      <c r="K286" s="3">
        <f>IF(ISNUMBER(AVERAGE('20250815_ETF_Options_Exhibits'!K282:K286)),AVERAGE('20250815_ETF_Options_Exhibits'!K282:K286),"")</f>
        <v/>
      </c>
      <c r="L286" s="3">
        <f>IF(ISNUMBER(AVERAGE('20250815_ETF_Options_Exhibits'!L282:L286)),AVERAGE('20250815_ETF_Options_Exhibits'!L282:L286),"")</f>
        <v/>
      </c>
      <c r="M286" s="3">
        <f>IF(ISNUMBER(AVERAGE('20250815_ETF_Options_Exhibits'!M282:M286)),AVERAGE('20250815_ETF_Options_Exhibits'!M282:M286),"")</f>
        <v/>
      </c>
      <c r="N286" s="3">
        <f>IF(ISNUMBER(AVERAGE('20250815_ETF_Options_Exhibits'!N282:N286)),AVERAGE('20250815_ETF_Options_Exhibits'!N282:N286),"")</f>
        <v/>
      </c>
      <c r="O286" s="3">
        <f>IF(ISNUMBER(AVERAGE('20250815_ETF_Options_Exhibits'!O282:O286)),AVERAGE('20250815_ETF_Options_Exhibits'!O282:O286),"")</f>
        <v/>
      </c>
      <c r="P286" s="3">
        <f>IF(ISNUMBER(AVERAGE('20250815_ETF_Options_Exhibits'!P282:P286)),AVERAGE('20250815_ETF_Options_Exhibits'!P282:P286),"")</f>
        <v/>
      </c>
      <c r="Q286" s="3">
        <f>IF(ISNUMBER(AVERAGE('20250815_ETF_Options_Exhibits'!Q282:Q286)),AVERAGE('20250815_ETF_Options_Exhibits'!Q282:Q286),"")</f>
        <v/>
      </c>
      <c r="R286" s="3">
        <f>IF(ISNUMBER(AVERAGE('20250815_ETF_Options_Exhibits'!R282:R286)),AVERAGE('20250815_ETF_Options_Exhibits'!R282:R286),"")</f>
        <v/>
      </c>
      <c r="S286" s="3">
        <f>IF(ISNUMBER(AVERAGE('20250815_ETF_Options_Exhibits'!S282:S286)),AVERAGE('20250815_ETF_Options_Exhibits'!S282:S286),"")</f>
        <v/>
      </c>
      <c r="T286" s="3">
        <f>IF(ISNUMBER(AVERAGE('20250815_ETF_Options_Exhibits'!T282:T286)),AVERAGE('20250815_ETF_Options_Exhibits'!T282:T286),"")</f>
        <v/>
      </c>
      <c r="U286" s="3">
        <f>IF(ISNUMBER(AVERAGE('20250815_ETF_Options_Exhibits'!U282:U286)),AVERAGE('20250815_ETF_Options_Exhibits'!U282:U286),"")</f>
        <v/>
      </c>
      <c r="V286" s="3">
        <f>IF(ISNUMBER(AVERAGE('20250815_ETF_Options_Exhibits'!V282:V286)),AVERAGE('20250815_ETF_Options_Exhibits'!V282:V286),"")</f>
        <v/>
      </c>
      <c r="W286" s="3">
        <f>IF(ISNUMBER(AVERAGE('20250815_ETF_Options_Exhibits'!W282:W286)),AVERAGE('20250815_ETF_Options_Exhibits'!W282:W286),"")</f>
        <v/>
      </c>
      <c r="X286" s="3">
        <f>IF(ISNUMBER(AVERAGE('20250815_ETF_Options_Exhibits'!X282:X286)),AVERAGE('20250815_ETF_Options_Exhibits'!X282:X286),"")</f>
        <v/>
      </c>
      <c r="Y286" s="3">
        <f>IF(ISNUMBER(AVERAGE('20250815_ETF_Options_Exhibits'!Y282:Y286)),AVERAGE('20250815_ETF_Options_Exhibits'!Y282:Y286),"")</f>
        <v/>
      </c>
      <c r="Z286" s="3">
        <f>IF(ISNUMBER(AVERAGE('20250815_ETF_Options_Exhibits'!Z282:Z286)),AVERAGE('20250815_ETF_Options_Exhibits'!Z282:Z286),"")</f>
        <v/>
      </c>
      <c r="AA286" s="3">
        <f>IF(ISNUMBER(AVERAGE('20250815_ETF_Options_Exhibits'!AA282:AA286)),AVERAGE('20250815_ETF_Options_Exhibits'!AA282:AA286),"")</f>
        <v/>
      </c>
    </row>
    <row r="287">
      <c r="A287" s="1" t="n">
        <v>42419</v>
      </c>
      <c r="B287" s="3">
        <f>IF(ISNUMBER(AVERAGE('20250815_ETF_Options_Exhibits'!B283:B287)),AVERAGE('20250815_ETF_Options_Exhibits'!B283:B287),"")</f>
        <v/>
      </c>
      <c r="C287" s="3">
        <f>IF(ISNUMBER(AVERAGE('20250815_ETF_Options_Exhibits'!C283:C287)),AVERAGE('20250815_ETF_Options_Exhibits'!C283:C287),"")</f>
        <v/>
      </c>
      <c r="D287" s="3">
        <f>IF(ISNUMBER(AVERAGE('20250815_ETF_Options_Exhibits'!D283:D287)),AVERAGE('20250815_ETF_Options_Exhibits'!D283:D287),"")</f>
        <v/>
      </c>
      <c r="E287" s="3">
        <f>IF(ISNUMBER(AVERAGE('20250815_ETF_Options_Exhibits'!E283:E287)),AVERAGE('20250815_ETF_Options_Exhibits'!E283:E287),"")</f>
        <v/>
      </c>
      <c r="F287" s="3">
        <f>IF(ISNUMBER(AVERAGE('20250815_ETF_Options_Exhibits'!F283:F287)),AVERAGE('20250815_ETF_Options_Exhibits'!F283:F287),"")</f>
        <v/>
      </c>
      <c r="G287" s="3">
        <f>IF(ISNUMBER(AVERAGE('20250815_ETF_Options_Exhibits'!G283:G287)),AVERAGE('20250815_ETF_Options_Exhibits'!G283:G287),"")</f>
        <v/>
      </c>
      <c r="H287" s="3">
        <f>IF(ISNUMBER(AVERAGE('20250815_ETF_Options_Exhibits'!H283:H287)),AVERAGE('20250815_ETF_Options_Exhibits'!H283:H287),"")</f>
        <v/>
      </c>
      <c r="I287" s="3">
        <f>IF(ISNUMBER(AVERAGE('20250815_ETF_Options_Exhibits'!I283:I287)),AVERAGE('20250815_ETF_Options_Exhibits'!I283:I287),"")</f>
        <v/>
      </c>
      <c r="J287" s="3">
        <f>IF(ISNUMBER(AVERAGE('20250815_ETF_Options_Exhibits'!J283:J287)),AVERAGE('20250815_ETF_Options_Exhibits'!J283:J287),"")</f>
        <v/>
      </c>
      <c r="K287" s="3">
        <f>IF(ISNUMBER(AVERAGE('20250815_ETF_Options_Exhibits'!K283:K287)),AVERAGE('20250815_ETF_Options_Exhibits'!K283:K287),"")</f>
        <v/>
      </c>
      <c r="L287" s="3">
        <f>IF(ISNUMBER(AVERAGE('20250815_ETF_Options_Exhibits'!L283:L287)),AVERAGE('20250815_ETF_Options_Exhibits'!L283:L287),"")</f>
        <v/>
      </c>
      <c r="M287" s="3">
        <f>IF(ISNUMBER(AVERAGE('20250815_ETF_Options_Exhibits'!M283:M287)),AVERAGE('20250815_ETF_Options_Exhibits'!M283:M287),"")</f>
        <v/>
      </c>
      <c r="N287" s="3">
        <f>IF(ISNUMBER(AVERAGE('20250815_ETF_Options_Exhibits'!N283:N287)),AVERAGE('20250815_ETF_Options_Exhibits'!N283:N287),"")</f>
        <v/>
      </c>
      <c r="O287" s="3">
        <f>IF(ISNUMBER(AVERAGE('20250815_ETF_Options_Exhibits'!O283:O287)),AVERAGE('20250815_ETF_Options_Exhibits'!O283:O287),"")</f>
        <v/>
      </c>
      <c r="P287" s="3">
        <f>IF(ISNUMBER(AVERAGE('20250815_ETF_Options_Exhibits'!P283:P287)),AVERAGE('20250815_ETF_Options_Exhibits'!P283:P287),"")</f>
        <v/>
      </c>
      <c r="Q287" s="3">
        <f>IF(ISNUMBER(AVERAGE('20250815_ETF_Options_Exhibits'!Q283:Q287)),AVERAGE('20250815_ETF_Options_Exhibits'!Q283:Q287),"")</f>
        <v/>
      </c>
      <c r="R287" s="3">
        <f>IF(ISNUMBER(AVERAGE('20250815_ETF_Options_Exhibits'!R283:R287)),AVERAGE('20250815_ETF_Options_Exhibits'!R283:R287),"")</f>
        <v/>
      </c>
      <c r="S287" s="3">
        <f>IF(ISNUMBER(AVERAGE('20250815_ETF_Options_Exhibits'!S283:S287)),AVERAGE('20250815_ETF_Options_Exhibits'!S283:S287),"")</f>
        <v/>
      </c>
      <c r="T287" s="3">
        <f>IF(ISNUMBER(AVERAGE('20250815_ETF_Options_Exhibits'!T283:T287)),AVERAGE('20250815_ETF_Options_Exhibits'!T283:T287),"")</f>
        <v/>
      </c>
      <c r="U287" s="3">
        <f>IF(ISNUMBER(AVERAGE('20250815_ETF_Options_Exhibits'!U283:U287)),AVERAGE('20250815_ETF_Options_Exhibits'!U283:U287),"")</f>
        <v/>
      </c>
      <c r="V287" s="3">
        <f>IF(ISNUMBER(AVERAGE('20250815_ETF_Options_Exhibits'!V283:V287)),AVERAGE('20250815_ETF_Options_Exhibits'!V283:V287),"")</f>
        <v/>
      </c>
      <c r="W287" s="3">
        <f>IF(ISNUMBER(AVERAGE('20250815_ETF_Options_Exhibits'!W283:W287)),AVERAGE('20250815_ETF_Options_Exhibits'!W283:W287),"")</f>
        <v/>
      </c>
      <c r="X287" s="3">
        <f>IF(ISNUMBER(AVERAGE('20250815_ETF_Options_Exhibits'!X283:X287)),AVERAGE('20250815_ETF_Options_Exhibits'!X283:X287),"")</f>
        <v/>
      </c>
      <c r="Y287" s="3">
        <f>IF(ISNUMBER(AVERAGE('20250815_ETF_Options_Exhibits'!Y283:Y287)),AVERAGE('20250815_ETF_Options_Exhibits'!Y283:Y287),"")</f>
        <v/>
      </c>
      <c r="Z287" s="3">
        <f>IF(ISNUMBER(AVERAGE('20250815_ETF_Options_Exhibits'!Z283:Z287)),AVERAGE('20250815_ETF_Options_Exhibits'!Z283:Z287),"")</f>
        <v/>
      </c>
      <c r="AA287" s="3">
        <f>IF(ISNUMBER(AVERAGE('20250815_ETF_Options_Exhibits'!AA283:AA287)),AVERAGE('20250815_ETF_Options_Exhibits'!AA283:AA287),"")</f>
        <v/>
      </c>
    </row>
    <row r="288">
      <c r="A288" s="1" t="n">
        <v>42422</v>
      </c>
      <c r="B288" s="3">
        <f>IF(ISNUMBER(AVERAGE('20250815_ETF_Options_Exhibits'!B284:B288)),AVERAGE('20250815_ETF_Options_Exhibits'!B284:B288),"")</f>
        <v/>
      </c>
      <c r="C288" s="3">
        <f>IF(ISNUMBER(AVERAGE('20250815_ETF_Options_Exhibits'!C284:C288)),AVERAGE('20250815_ETF_Options_Exhibits'!C284:C288),"")</f>
        <v/>
      </c>
      <c r="D288" s="3">
        <f>IF(ISNUMBER(AVERAGE('20250815_ETF_Options_Exhibits'!D284:D288)),AVERAGE('20250815_ETF_Options_Exhibits'!D284:D288),"")</f>
        <v/>
      </c>
      <c r="E288" s="3">
        <f>IF(ISNUMBER(AVERAGE('20250815_ETF_Options_Exhibits'!E284:E288)),AVERAGE('20250815_ETF_Options_Exhibits'!E284:E288),"")</f>
        <v/>
      </c>
      <c r="F288" s="3">
        <f>IF(ISNUMBER(AVERAGE('20250815_ETF_Options_Exhibits'!F284:F288)),AVERAGE('20250815_ETF_Options_Exhibits'!F284:F288),"")</f>
        <v/>
      </c>
      <c r="G288" s="3">
        <f>IF(ISNUMBER(AVERAGE('20250815_ETF_Options_Exhibits'!G284:G288)),AVERAGE('20250815_ETF_Options_Exhibits'!G284:G288),"")</f>
        <v/>
      </c>
      <c r="H288" s="3">
        <f>IF(ISNUMBER(AVERAGE('20250815_ETF_Options_Exhibits'!H284:H288)),AVERAGE('20250815_ETF_Options_Exhibits'!H284:H288),"")</f>
        <v/>
      </c>
      <c r="I288" s="3">
        <f>IF(ISNUMBER(AVERAGE('20250815_ETF_Options_Exhibits'!I284:I288)),AVERAGE('20250815_ETF_Options_Exhibits'!I284:I288),"")</f>
        <v/>
      </c>
      <c r="J288" s="3">
        <f>IF(ISNUMBER(AVERAGE('20250815_ETF_Options_Exhibits'!J284:J288)),AVERAGE('20250815_ETF_Options_Exhibits'!J284:J288),"")</f>
        <v/>
      </c>
      <c r="K288" s="3">
        <f>IF(ISNUMBER(AVERAGE('20250815_ETF_Options_Exhibits'!K284:K288)),AVERAGE('20250815_ETF_Options_Exhibits'!K284:K288),"")</f>
        <v/>
      </c>
      <c r="L288" s="3">
        <f>IF(ISNUMBER(AVERAGE('20250815_ETF_Options_Exhibits'!L284:L288)),AVERAGE('20250815_ETF_Options_Exhibits'!L284:L288),"")</f>
        <v/>
      </c>
      <c r="M288" s="3">
        <f>IF(ISNUMBER(AVERAGE('20250815_ETF_Options_Exhibits'!M284:M288)),AVERAGE('20250815_ETF_Options_Exhibits'!M284:M288),"")</f>
        <v/>
      </c>
      <c r="N288" s="3">
        <f>IF(ISNUMBER(AVERAGE('20250815_ETF_Options_Exhibits'!N284:N288)),AVERAGE('20250815_ETF_Options_Exhibits'!N284:N288),"")</f>
        <v/>
      </c>
      <c r="O288" s="3">
        <f>IF(ISNUMBER(AVERAGE('20250815_ETF_Options_Exhibits'!O284:O288)),AVERAGE('20250815_ETF_Options_Exhibits'!O284:O288),"")</f>
        <v/>
      </c>
      <c r="P288" s="3">
        <f>IF(ISNUMBER(AVERAGE('20250815_ETF_Options_Exhibits'!P284:P288)),AVERAGE('20250815_ETF_Options_Exhibits'!P284:P288),"")</f>
        <v/>
      </c>
      <c r="Q288" s="3">
        <f>IF(ISNUMBER(AVERAGE('20250815_ETF_Options_Exhibits'!Q284:Q288)),AVERAGE('20250815_ETF_Options_Exhibits'!Q284:Q288),"")</f>
        <v/>
      </c>
      <c r="R288" s="3">
        <f>IF(ISNUMBER(AVERAGE('20250815_ETF_Options_Exhibits'!R284:R288)),AVERAGE('20250815_ETF_Options_Exhibits'!R284:R288),"")</f>
        <v/>
      </c>
      <c r="S288" s="3">
        <f>IF(ISNUMBER(AVERAGE('20250815_ETF_Options_Exhibits'!S284:S288)),AVERAGE('20250815_ETF_Options_Exhibits'!S284:S288),"")</f>
        <v/>
      </c>
      <c r="T288" s="3">
        <f>IF(ISNUMBER(AVERAGE('20250815_ETF_Options_Exhibits'!T284:T288)),AVERAGE('20250815_ETF_Options_Exhibits'!T284:T288),"")</f>
        <v/>
      </c>
      <c r="U288" s="3">
        <f>IF(ISNUMBER(AVERAGE('20250815_ETF_Options_Exhibits'!U284:U288)),AVERAGE('20250815_ETF_Options_Exhibits'!U284:U288),"")</f>
        <v/>
      </c>
      <c r="V288" s="3">
        <f>IF(ISNUMBER(AVERAGE('20250815_ETF_Options_Exhibits'!V284:V288)),AVERAGE('20250815_ETF_Options_Exhibits'!V284:V288),"")</f>
        <v/>
      </c>
      <c r="W288" s="3">
        <f>IF(ISNUMBER(AVERAGE('20250815_ETF_Options_Exhibits'!W284:W288)),AVERAGE('20250815_ETF_Options_Exhibits'!W284:W288),"")</f>
        <v/>
      </c>
      <c r="X288" s="3">
        <f>IF(ISNUMBER(AVERAGE('20250815_ETF_Options_Exhibits'!X284:X288)),AVERAGE('20250815_ETF_Options_Exhibits'!X284:X288),"")</f>
        <v/>
      </c>
      <c r="Y288" s="3">
        <f>IF(ISNUMBER(AVERAGE('20250815_ETF_Options_Exhibits'!Y284:Y288)),AVERAGE('20250815_ETF_Options_Exhibits'!Y284:Y288),"")</f>
        <v/>
      </c>
      <c r="Z288" s="3">
        <f>IF(ISNUMBER(AVERAGE('20250815_ETF_Options_Exhibits'!Z284:Z288)),AVERAGE('20250815_ETF_Options_Exhibits'!Z284:Z288),"")</f>
        <v/>
      </c>
      <c r="AA288" s="3">
        <f>IF(ISNUMBER(AVERAGE('20250815_ETF_Options_Exhibits'!AA284:AA288)),AVERAGE('20250815_ETF_Options_Exhibits'!AA284:AA288),"")</f>
        <v/>
      </c>
    </row>
    <row r="289">
      <c r="A289" s="1" t="n">
        <v>42423</v>
      </c>
      <c r="B289" s="3">
        <f>IF(ISNUMBER(AVERAGE('20250815_ETF_Options_Exhibits'!B285:B289)),AVERAGE('20250815_ETF_Options_Exhibits'!B285:B289),"")</f>
        <v/>
      </c>
      <c r="C289" s="3">
        <f>IF(ISNUMBER(AVERAGE('20250815_ETF_Options_Exhibits'!C285:C289)),AVERAGE('20250815_ETF_Options_Exhibits'!C285:C289),"")</f>
        <v/>
      </c>
      <c r="D289" s="3">
        <f>IF(ISNUMBER(AVERAGE('20250815_ETF_Options_Exhibits'!D285:D289)),AVERAGE('20250815_ETF_Options_Exhibits'!D285:D289),"")</f>
        <v/>
      </c>
      <c r="E289" s="3">
        <f>IF(ISNUMBER(AVERAGE('20250815_ETF_Options_Exhibits'!E285:E289)),AVERAGE('20250815_ETF_Options_Exhibits'!E285:E289),"")</f>
        <v/>
      </c>
      <c r="F289" s="3">
        <f>IF(ISNUMBER(AVERAGE('20250815_ETF_Options_Exhibits'!F285:F289)),AVERAGE('20250815_ETF_Options_Exhibits'!F285:F289),"")</f>
        <v/>
      </c>
      <c r="G289" s="3">
        <f>IF(ISNUMBER(AVERAGE('20250815_ETF_Options_Exhibits'!G285:G289)),AVERAGE('20250815_ETF_Options_Exhibits'!G285:G289),"")</f>
        <v/>
      </c>
      <c r="H289" s="3">
        <f>IF(ISNUMBER(AVERAGE('20250815_ETF_Options_Exhibits'!H285:H289)),AVERAGE('20250815_ETF_Options_Exhibits'!H285:H289),"")</f>
        <v/>
      </c>
      <c r="I289" s="3">
        <f>IF(ISNUMBER(AVERAGE('20250815_ETF_Options_Exhibits'!I285:I289)),AVERAGE('20250815_ETF_Options_Exhibits'!I285:I289),"")</f>
        <v/>
      </c>
      <c r="J289" s="3">
        <f>IF(ISNUMBER(AVERAGE('20250815_ETF_Options_Exhibits'!J285:J289)),AVERAGE('20250815_ETF_Options_Exhibits'!J285:J289),"")</f>
        <v/>
      </c>
      <c r="K289" s="3">
        <f>IF(ISNUMBER(AVERAGE('20250815_ETF_Options_Exhibits'!K285:K289)),AVERAGE('20250815_ETF_Options_Exhibits'!K285:K289),"")</f>
        <v/>
      </c>
      <c r="L289" s="3">
        <f>IF(ISNUMBER(AVERAGE('20250815_ETF_Options_Exhibits'!L285:L289)),AVERAGE('20250815_ETF_Options_Exhibits'!L285:L289),"")</f>
        <v/>
      </c>
      <c r="M289" s="3">
        <f>IF(ISNUMBER(AVERAGE('20250815_ETF_Options_Exhibits'!M285:M289)),AVERAGE('20250815_ETF_Options_Exhibits'!M285:M289),"")</f>
        <v/>
      </c>
      <c r="N289" s="3">
        <f>IF(ISNUMBER(AVERAGE('20250815_ETF_Options_Exhibits'!N285:N289)),AVERAGE('20250815_ETF_Options_Exhibits'!N285:N289),"")</f>
        <v/>
      </c>
      <c r="O289" s="3">
        <f>IF(ISNUMBER(AVERAGE('20250815_ETF_Options_Exhibits'!O285:O289)),AVERAGE('20250815_ETF_Options_Exhibits'!O285:O289),"")</f>
        <v/>
      </c>
      <c r="P289" s="3">
        <f>IF(ISNUMBER(AVERAGE('20250815_ETF_Options_Exhibits'!P285:P289)),AVERAGE('20250815_ETF_Options_Exhibits'!P285:P289),"")</f>
        <v/>
      </c>
      <c r="Q289" s="3">
        <f>IF(ISNUMBER(AVERAGE('20250815_ETF_Options_Exhibits'!Q285:Q289)),AVERAGE('20250815_ETF_Options_Exhibits'!Q285:Q289),"")</f>
        <v/>
      </c>
      <c r="R289" s="3">
        <f>IF(ISNUMBER(AVERAGE('20250815_ETF_Options_Exhibits'!R285:R289)),AVERAGE('20250815_ETF_Options_Exhibits'!R285:R289),"")</f>
        <v/>
      </c>
      <c r="S289" s="3">
        <f>IF(ISNUMBER(AVERAGE('20250815_ETF_Options_Exhibits'!S285:S289)),AVERAGE('20250815_ETF_Options_Exhibits'!S285:S289),"")</f>
        <v/>
      </c>
      <c r="T289" s="3">
        <f>IF(ISNUMBER(AVERAGE('20250815_ETF_Options_Exhibits'!T285:T289)),AVERAGE('20250815_ETF_Options_Exhibits'!T285:T289),"")</f>
        <v/>
      </c>
      <c r="U289" s="3">
        <f>IF(ISNUMBER(AVERAGE('20250815_ETF_Options_Exhibits'!U285:U289)),AVERAGE('20250815_ETF_Options_Exhibits'!U285:U289),"")</f>
        <v/>
      </c>
      <c r="V289" s="3">
        <f>IF(ISNUMBER(AVERAGE('20250815_ETF_Options_Exhibits'!V285:V289)),AVERAGE('20250815_ETF_Options_Exhibits'!V285:V289),"")</f>
        <v/>
      </c>
      <c r="W289" s="3">
        <f>IF(ISNUMBER(AVERAGE('20250815_ETF_Options_Exhibits'!W285:W289)),AVERAGE('20250815_ETF_Options_Exhibits'!W285:W289),"")</f>
        <v/>
      </c>
      <c r="X289" s="3">
        <f>IF(ISNUMBER(AVERAGE('20250815_ETF_Options_Exhibits'!X285:X289)),AVERAGE('20250815_ETF_Options_Exhibits'!X285:X289),"")</f>
        <v/>
      </c>
      <c r="Y289" s="3">
        <f>IF(ISNUMBER(AVERAGE('20250815_ETF_Options_Exhibits'!Y285:Y289)),AVERAGE('20250815_ETF_Options_Exhibits'!Y285:Y289),"")</f>
        <v/>
      </c>
      <c r="Z289" s="3">
        <f>IF(ISNUMBER(AVERAGE('20250815_ETF_Options_Exhibits'!Z285:Z289)),AVERAGE('20250815_ETF_Options_Exhibits'!Z285:Z289),"")</f>
        <v/>
      </c>
      <c r="AA289" s="3">
        <f>IF(ISNUMBER(AVERAGE('20250815_ETF_Options_Exhibits'!AA285:AA289)),AVERAGE('20250815_ETF_Options_Exhibits'!AA285:AA289),"")</f>
        <v/>
      </c>
    </row>
    <row r="290">
      <c r="A290" s="1" t="n">
        <v>42424</v>
      </c>
      <c r="B290" s="3">
        <f>IF(ISNUMBER(AVERAGE('20250815_ETF_Options_Exhibits'!B286:B290)),AVERAGE('20250815_ETF_Options_Exhibits'!B286:B290),"")</f>
        <v/>
      </c>
      <c r="C290" s="3">
        <f>IF(ISNUMBER(AVERAGE('20250815_ETF_Options_Exhibits'!C286:C290)),AVERAGE('20250815_ETF_Options_Exhibits'!C286:C290),"")</f>
        <v/>
      </c>
      <c r="D290" s="3">
        <f>IF(ISNUMBER(AVERAGE('20250815_ETF_Options_Exhibits'!D286:D290)),AVERAGE('20250815_ETF_Options_Exhibits'!D286:D290),"")</f>
        <v/>
      </c>
      <c r="E290" s="3">
        <f>IF(ISNUMBER(AVERAGE('20250815_ETF_Options_Exhibits'!E286:E290)),AVERAGE('20250815_ETF_Options_Exhibits'!E286:E290),"")</f>
        <v/>
      </c>
      <c r="F290" s="3">
        <f>IF(ISNUMBER(AVERAGE('20250815_ETF_Options_Exhibits'!F286:F290)),AVERAGE('20250815_ETF_Options_Exhibits'!F286:F290),"")</f>
        <v/>
      </c>
      <c r="G290" s="3">
        <f>IF(ISNUMBER(AVERAGE('20250815_ETF_Options_Exhibits'!G286:G290)),AVERAGE('20250815_ETF_Options_Exhibits'!G286:G290),"")</f>
        <v/>
      </c>
      <c r="H290" s="3">
        <f>IF(ISNUMBER(AVERAGE('20250815_ETF_Options_Exhibits'!H286:H290)),AVERAGE('20250815_ETF_Options_Exhibits'!H286:H290),"")</f>
        <v/>
      </c>
      <c r="I290" s="3">
        <f>IF(ISNUMBER(AVERAGE('20250815_ETF_Options_Exhibits'!I286:I290)),AVERAGE('20250815_ETF_Options_Exhibits'!I286:I290),"")</f>
        <v/>
      </c>
      <c r="J290" s="3">
        <f>IF(ISNUMBER(AVERAGE('20250815_ETF_Options_Exhibits'!J286:J290)),AVERAGE('20250815_ETF_Options_Exhibits'!J286:J290),"")</f>
        <v/>
      </c>
      <c r="K290" s="3">
        <f>IF(ISNUMBER(AVERAGE('20250815_ETF_Options_Exhibits'!K286:K290)),AVERAGE('20250815_ETF_Options_Exhibits'!K286:K290),"")</f>
        <v/>
      </c>
      <c r="L290" s="3">
        <f>IF(ISNUMBER(AVERAGE('20250815_ETF_Options_Exhibits'!L286:L290)),AVERAGE('20250815_ETF_Options_Exhibits'!L286:L290),"")</f>
        <v/>
      </c>
      <c r="M290" s="3">
        <f>IF(ISNUMBER(AVERAGE('20250815_ETF_Options_Exhibits'!M286:M290)),AVERAGE('20250815_ETF_Options_Exhibits'!M286:M290),"")</f>
        <v/>
      </c>
      <c r="N290" s="3">
        <f>IF(ISNUMBER(AVERAGE('20250815_ETF_Options_Exhibits'!N286:N290)),AVERAGE('20250815_ETF_Options_Exhibits'!N286:N290),"")</f>
        <v/>
      </c>
      <c r="O290" s="3">
        <f>IF(ISNUMBER(AVERAGE('20250815_ETF_Options_Exhibits'!O286:O290)),AVERAGE('20250815_ETF_Options_Exhibits'!O286:O290),"")</f>
        <v/>
      </c>
      <c r="P290" s="3">
        <f>IF(ISNUMBER(AVERAGE('20250815_ETF_Options_Exhibits'!P286:P290)),AVERAGE('20250815_ETF_Options_Exhibits'!P286:P290),"")</f>
        <v/>
      </c>
      <c r="Q290" s="3">
        <f>IF(ISNUMBER(AVERAGE('20250815_ETF_Options_Exhibits'!Q286:Q290)),AVERAGE('20250815_ETF_Options_Exhibits'!Q286:Q290),"")</f>
        <v/>
      </c>
      <c r="R290" s="3">
        <f>IF(ISNUMBER(AVERAGE('20250815_ETF_Options_Exhibits'!R286:R290)),AVERAGE('20250815_ETF_Options_Exhibits'!R286:R290),"")</f>
        <v/>
      </c>
      <c r="S290" s="3">
        <f>IF(ISNUMBER(AVERAGE('20250815_ETF_Options_Exhibits'!S286:S290)),AVERAGE('20250815_ETF_Options_Exhibits'!S286:S290),"")</f>
        <v/>
      </c>
      <c r="T290" s="3">
        <f>IF(ISNUMBER(AVERAGE('20250815_ETF_Options_Exhibits'!T286:T290)),AVERAGE('20250815_ETF_Options_Exhibits'!T286:T290),"")</f>
        <v/>
      </c>
      <c r="U290" s="3">
        <f>IF(ISNUMBER(AVERAGE('20250815_ETF_Options_Exhibits'!U286:U290)),AVERAGE('20250815_ETF_Options_Exhibits'!U286:U290),"")</f>
        <v/>
      </c>
      <c r="V290" s="3">
        <f>IF(ISNUMBER(AVERAGE('20250815_ETF_Options_Exhibits'!V286:V290)),AVERAGE('20250815_ETF_Options_Exhibits'!V286:V290),"")</f>
        <v/>
      </c>
      <c r="W290" s="3">
        <f>IF(ISNUMBER(AVERAGE('20250815_ETF_Options_Exhibits'!W286:W290)),AVERAGE('20250815_ETF_Options_Exhibits'!W286:W290),"")</f>
        <v/>
      </c>
      <c r="X290" s="3">
        <f>IF(ISNUMBER(AVERAGE('20250815_ETF_Options_Exhibits'!X286:X290)),AVERAGE('20250815_ETF_Options_Exhibits'!X286:X290),"")</f>
        <v/>
      </c>
      <c r="Y290" s="3">
        <f>IF(ISNUMBER(AVERAGE('20250815_ETF_Options_Exhibits'!Y286:Y290)),AVERAGE('20250815_ETF_Options_Exhibits'!Y286:Y290),"")</f>
        <v/>
      </c>
      <c r="Z290" s="3">
        <f>IF(ISNUMBER(AVERAGE('20250815_ETF_Options_Exhibits'!Z286:Z290)),AVERAGE('20250815_ETF_Options_Exhibits'!Z286:Z290),"")</f>
        <v/>
      </c>
      <c r="AA290" s="3">
        <f>IF(ISNUMBER(AVERAGE('20250815_ETF_Options_Exhibits'!AA286:AA290)),AVERAGE('20250815_ETF_Options_Exhibits'!AA286:AA290),"")</f>
        <v/>
      </c>
    </row>
    <row r="291">
      <c r="A291" s="1" t="n">
        <v>42425</v>
      </c>
      <c r="B291" s="3">
        <f>IF(ISNUMBER(AVERAGE('20250815_ETF_Options_Exhibits'!B287:B291)),AVERAGE('20250815_ETF_Options_Exhibits'!B287:B291),"")</f>
        <v/>
      </c>
      <c r="C291" s="3">
        <f>IF(ISNUMBER(AVERAGE('20250815_ETF_Options_Exhibits'!C287:C291)),AVERAGE('20250815_ETF_Options_Exhibits'!C287:C291),"")</f>
        <v/>
      </c>
      <c r="D291" s="3">
        <f>IF(ISNUMBER(AVERAGE('20250815_ETF_Options_Exhibits'!D287:D291)),AVERAGE('20250815_ETF_Options_Exhibits'!D287:D291),"")</f>
        <v/>
      </c>
      <c r="E291" s="3">
        <f>IF(ISNUMBER(AVERAGE('20250815_ETF_Options_Exhibits'!E287:E291)),AVERAGE('20250815_ETF_Options_Exhibits'!E287:E291),"")</f>
        <v/>
      </c>
      <c r="F291" s="3">
        <f>IF(ISNUMBER(AVERAGE('20250815_ETF_Options_Exhibits'!F287:F291)),AVERAGE('20250815_ETF_Options_Exhibits'!F287:F291),"")</f>
        <v/>
      </c>
      <c r="G291" s="3">
        <f>IF(ISNUMBER(AVERAGE('20250815_ETF_Options_Exhibits'!G287:G291)),AVERAGE('20250815_ETF_Options_Exhibits'!G287:G291),"")</f>
        <v/>
      </c>
      <c r="H291" s="3">
        <f>IF(ISNUMBER(AVERAGE('20250815_ETF_Options_Exhibits'!H287:H291)),AVERAGE('20250815_ETF_Options_Exhibits'!H287:H291),"")</f>
        <v/>
      </c>
      <c r="I291" s="3">
        <f>IF(ISNUMBER(AVERAGE('20250815_ETF_Options_Exhibits'!I287:I291)),AVERAGE('20250815_ETF_Options_Exhibits'!I287:I291),"")</f>
        <v/>
      </c>
      <c r="J291" s="3">
        <f>IF(ISNUMBER(AVERAGE('20250815_ETF_Options_Exhibits'!J287:J291)),AVERAGE('20250815_ETF_Options_Exhibits'!J287:J291),"")</f>
        <v/>
      </c>
      <c r="K291" s="3">
        <f>IF(ISNUMBER(AVERAGE('20250815_ETF_Options_Exhibits'!K287:K291)),AVERAGE('20250815_ETF_Options_Exhibits'!K287:K291),"")</f>
        <v/>
      </c>
      <c r="L291" s="3">
        <f>IF(ISNUMBER(AVERAGE('20250815_ETF_Options_Exhibits'!L287:L291)),AVERAGE('20250815_ETF_Options_Exhibits'!L287:L291),"")</f>
        <v/>
      </c>
      <c r="M291" s="3">
        <f>IF(ISNUMBER(AVERAGE('20250815_ETF_Options_Exhibits'!M287:M291)),AVERAGE('20250815_ETF_Options_Exhibits'!M287:M291),"")</f>
        <v/>
      </c>
      <c r="N291" s="3">
        <f>IF(ISNUMBER(AVERAGE('20250815_ETF_Options_Exhibits'!N287:N291)),AVERAGE('20250815_ETF_Options_Exhibits'!N287:N291),"")</f>
        <v/>
      </c>
      <c r="O291" s="3">
        <f>IF(ISNUMBER(AVERAGE('20250815_ETF_Options_Exhibits'!O287:O291)),AVERAGE('20250815_ETF_Options_Exhibits'!O287:O291),"")</f>
        <v/>
      </c>
      <c r="P291" s="3">
        <f>IF(ISNUMBER(AVERAGE('20250815_ETF_Options_Exhibits'!P287:P291)),AVERAGE('20250815_ETF_Options_Exhibits'!P287:P291),"")</f>
        <v/>
      </c>
      <c r="Q291" s="3">
        <f>IF(ISNUMBER(AVERAGE('20250815_ETF_Options_Exhibits'!Q287:Q291)),AVERAGE('20250815_ETF_Options_Exhibits'!Q287:Q291),"")</f>
        <v/>
      </c>
      <c r="R291" s="3">
        <f>IF(ISNUMBER(AVERAGE('20250815_ETF_Options_Exhibits'!R287:R291)),AVERAGE('20250815_ETF_Options_Exhibits'!R287:R291),"")</f>
        <v/>
      </c>
      <c r="S291" s="3">
        <f>IF(ISNUMBER(AVERAGE('20250815_ETF_Options_Exhibits'!S287:S291)),AVERAGE('20250815_ETF_Options_Exhibits'!S287:S291),"")</f>
        <v/>
      </c>
      <c r="T291" s="3">
        <f>IF(ISNUMBER(AVERAGE('20250815_ETF_Options_Exhibits'!T287:T291)),AVERAGE('20250815_ETF_Options_Exhibits'!T287:T291),"")</f>
        <v/>
      </c>
      <c r="U291" s="3">
        <f>IF(ISNUMBER(AVERAGE('20250815_ETF_Options_Exhibits'!U287:U291)),AVERAGE('20250815_ETF_Options_Exhibits'!U287:U291),"")</f>
        <v/>
      </c>
      <c r="V291" s="3">
        <f>IF(ISNUMBER(AVERAGE('20250815_ETF_Options_Exhibits'!V287:V291)),AVERAGE('20250815_ETF_Options_Exhibits'!V287:V291),"")</f>
        <v/>
      </c>
      <c r="W291" s="3">
        <f>IF(ISNUMBER(AVERAGE('20250815_ETF_Options_Exhibits'!W287:W291)),AVERAGE('20250815_ETF_Options_Exhibits'!W287:W291),"")</f>
        <v/>
      </c>
      <c r="X291" s="3">
        <f>IF(ISNUMBER(AVERAGE('20250815_ETF_Options_Exhibits'!X287:X291)),AVERAGE('20250815_ETF_Options_Exhibits'!X287:X291),"")</f>
        <v/>
      </c>
      <c r="Y291" s="3">
        <f>IF(ISNUMBER(AVERAGE('20250815_ETF_Options_Exhibits'!Y287:Y291)),AVERAGE('20250815_ETF_Options_Exhibits'!Y287:Y291),"")</f>
        <v/>
      </c>
      <c r="Z291" s="3">
        <f>IF(ISNUMBER(AVERAGE('20250815_ETF_Options_Exhibits'!Z287:Z291)),AVERAGE('20250815_ETF_Options_Exhibits'!Z287:Z291),"")</f>
        <v/>
      </c>
      <c r="AA291" s="3">
        <f>IF(ISNUMBER(AVERAGE('20250815_ETF_Options_Exhibits'!AA287:AA291)),AVERAGE('20250815_ETF_Options_Exhibits'!AA287:AA291),"")</f>
        <v/>
      </c>
    </row>
    <row r="292">
      <c r="A292" s="1" t="n">
        <v>42426</v>
      </c>
      <c r="B292" s="3">
        <f>IF(ISNUMBER(AVERAGE('20250815_ETF_Options_Exhibits'!B288:B292)),AVERAGE('20250815_ETF_Options_Exhibits'!B288:B292),"")</f>
        <v/>
      </c>
      <c r="C292" s="3">
        <f>IF(ISNUMBER(AVERAGE('20250815_ETF_Options_Exhibits'!C288:C292)),AVERAGE('20250815_ETF_Options_Exhibits'!C288:C292),"")</f>
        <v/>
      </c>
      <c r="D292" s="3">
        <f>IF(ISNUMBER(AVERAGE('20250815_ETF_Options_Exhibits'!D288:D292)),AVERAGE('20250815_ETF_Options_Exhibits'!D288:D292),"")</f>
        <v/>
      </c>
      <c r="E292" s="3">
        <f>IF(ISNUMBER(AVERAGE('20250815_ETF_Options_Exhibits'!E288:E292)),AVERAGE('20250815_ETF_Options_Exhibits'!E288:E292),"")</f>
        <v/>
      </c>
      <c r="F292" s="3">
        <f>IF(ISNUMBER(AVERAGE('20250815_ETF_Options_Exhibits'!F288:F292)),AVERAGE('20250815_ETF_Options_Exhibits'!F288:F292),"")</f>
        <v/>
      </c>
      <c r="G292" s="3">
        <f>IF(ISNUMBER(AVERAGE('20250815_ETF_Options_Exhibits'!G288:G292)),AVERAGE('20250815_ETF_Options_Exhibits'!G288:G292),"")</f>
        <v/>
      </c>
      <c r="H292" s="3">
        <f>IF(ISNUMBER(AVERAGE('20250815_ETF_Options_Exhibits'!H288:H292)),AVERAGE('20250815_ETF_Options_Exhibits'!H288:H292),"")</f>
        <v/>
      </c>
      <c r="I292" s="3">
        <f>IF(ISNUMBER(AVERAGE('20250815_ETF_Options_Exhibits'!I288:I292)),AVERAGE('20250815_ETF_Options_Exhibits'!I288:I292),"")</f>
        <v/>
      </c>
      <c r="J292" s="3">
        <f>IF(ISNUMBER(AVERAGE('20250815_ETF_Options_Exhibits'!J288:J292)),AVERAGE('20250815_ETF_Options_Exhibits'!J288:J292),"")</f>
        <v/>
      </c>
      <c r="K292" s="3">
        <f>IF(ISNUMBER(AVERAGE('20250815_ETF_Options_Exhibits'!K288:K292)),AVERAGE('20250815_ETF_Options_Exhibits'!K288:K292),"")</f>
        <v/>
      </c>
      <c r="L292" s="3">
        <f>IF(ISNUMBER(AVERAGE('20250815_ETF_Options_Exhibits'!L288:L292)),AVERAGE('20250815_ETF_Options_Exhibits'!L288:L292),"")</f>
        <v/>
      </c>
      <c r="M292" s="3">
        <f>IF(ISNUMBER(AVERAGE('20250815_ETF_Options_Exhibits'!M288:M292)),AVERAGE('20250815_ETF_Options_Exhibits'!M288:M292),"")</f>
        <v/>
      </c>
      <c r="N292" s="3">
        <f>IF(ISNUMBER(AVERAGE('20250815_ETF_Options_Exhibits'!N288:N292)),AVERAGE('20250815_ETF_Options_Exhibits'!N288:N292),"")</f>
        <v/>
      </c>
      <c r="O292" s="3">
        <f>IF(ISNUMBER(AVERAGE('20250815_ETF_Options_Exhibits'!O288:O292)),AVERAGE('20250815_ETF_Options_Exhibits'!O288:O292),"")</f>
        <v/>
      </c>
      <c r="P292" s="3">
        <f>IF(ISNUMBER(AVERAGE('20250815_ETF_Options_Exhibits'!P288:P292)),AVERAGE('20250815_ETF_Options_Exhibits'!P288:P292),"")</f>
        <v/>
      </c>
      <c r="Q292" s="3">
        <f>IF(ISNUMBER(AVERAGE('20250815_ETF_Options_Exhibits'!Q288:Q292)),AVERAGE('20250815_ETF_Options_Exhibits'!Q288:Q292),"")</f>
        <v/>
      </c>
      <c r="R292" s="3">
        <f>IF(ISNUMBER(AVERAGE('20250815_ETF_Options_Exhibits'!R288:R292)),AVERAGE('20250815_ETF_Options_Exhibits'!R288:R292),"")</f>
        <v/>
      </c>
      <c r="S292" s="3">
        <f>IF(ISNUMBER(AVERAGE('20250815_ETF_Options_Exhibits'!S288:S292)),AVERAGE('20250815_ETF_Options_Exhibits'!S288:S292),"")</f>
        <v/>
      </c>
      <c r="T292" s="3">
        <f>IF(ISNUMBER(AVERAGE('20250815_ETF_Options_Exhibits'!T288:T292)),AVERAGE('20250815_ETF_Options_Exhibits'!T288:T292),"")</f>
        <v/>
      </c>
      <c r="U292" s="3">
        <f>IF(ISNUMBER(AVERAGE('20250815_ETF_Options_Exhibits'!U288:U292)),AVERAGE('20250815_ETF_Options_Exhibits'!U288:U292),"")</f>
        <v/>
      </c>
      <c r="V292" s="3">
        <f>IF(ISNUMBER(AVERAGE('20250815_ETF_Options_Exhibits'!V288:V292)),AVERAGE('20250815_ETF_Options_Exhibits'!V288:V292),"")</f>
        <v/>
      </c>
      <c r="W292" s="3">
        <f>IF(ISNUMBER(AVERAGE('20250815_ETF_Options_Exhibits'!W288:W292)),AVERAGE('20250815_ETF_Options_Exhibits'!W288:W292),"")</f>
        <v/>
      </c>
      <c r="X292" s="3">
        <f>IF(ISNUMBER(AVERAGE('20250815_ETF_Options_Exhibits'!X288:X292)),AVERAGE('20250815_ETF_Options_Exhibits'!X288:X292),"")</f>
        <v/>
      </c>
      <c r="Y292" s="3">
        <f>IF(ISNUMBER(AVERAGE('20250815_ETF_Options_Exhibits'!Y288:Y292)),AVERAGE('20250815_ETF_Options_Exhibits'!Y288:Y292),"")</f>
        <v/>
      </c>
      <c r="Z292" s="3">
        <f>IF(ISNUMBER(AVERAGE('20250815_ETF_Options_Exhibits'!Z288:Z292)),AVERAGE('20250815_ETF_Options_Exhibits'!Z288:Z292),"")</f>
        <v/>
      </c>
      <c r="AA292" s="3">
        <f>IF(ISNUMBER(AVERAGE('20250815_ETF_Options_Exhibits'!AA288:AA292)),AVERAGE('20250815_ETF_Options_Exhibits'!AA288:AA292),"")</f>
        <v/>
      </c>
    </row>
    <row r="293">
      <c r="A293" s="1" t="n">
        <v>42429</v>
      </c>
      <c r="B293" s="3">
        <f>IF(ISNUMBER(AVERAGE('20250815_ETF_Options_Exhibits'!B289:B293)),AVERAGE('20250815_ETF_Options_Exhibits'!B289:B293),"")</f>
        <v/>
      </c>
      <c r="C293" s="3">
        <f>IF(ISNUMBER(AVERAGE('20250815_ETF_Options_Exhibits'!C289:C293)),AVERAGE('20250815_ETF_Options_Exhibits'!C289:C293),"")</f>
        <v/>
      </c>
      <c r="D293" s="3">
        <f>IF(ISNUMBER(AVERAGE('20250815_ETF_Options_Exhibits'!D289:D293)),AVERAGE('20250815_ETF_Options_Exhibits'!D289:D293),"")</f>
        <v/>
      </c>
      <c r="E293" s="3">
        <f>IF(ISNUMBER(AVERAGE('20250815_ETF_Options_Exhibits'!E289:E293)),AVERAGE('20250815_ETF_Options_Exhibits'!E289:E293),"")</f>
        <v/>
      </c>
      <c r="F293" s="3">
        <f>IF(ISNUMBER(AVERAGE('20250815_ETF_Options_Exhibits'!F289:F293)),AVERAGE('20250815_ETF_Options_Exhibits'!F289:F293),"")</f>
        <v/>
      </c>
      <c r="G293" s="3">
        <f>IF(ISNUMBER(AVERAGE('20250815_ETF_Options_Exhibits'!G289:G293)),AVERAGE('20250815_ETF_Options_Exhibits'!G289:G293),"")</f>
        <v/>
      </c>
      <c r="H293" s="3">
        <f>IF(ISNUMBER(AVERAGE('20250815_ETF_Options_Exhibits'!H289:H293)),AVERAGE('20250815_ETF_Options_Exhibits'!H289:H293),"")</f>
        <v/>
      </c>
      <c r="I293" s="3">
        <f>IF(ISNUMBER(AVERAGE('20250815_ETF_Options_Exhibits'!I289:I293)),AVERAGE('20250815_ETF_Options_Exhibits'!I289:I293),"")</f>
        <v/>
      </c>
      <c r="J293" s="3">
        <f>IF(ISNUMBER(AVERAGE('20250815_ETF_Options_Exhibits'!J289:J293)),AVERAGE('20250815_ETF_Options_Exhibits'!J289:J293),"")</f>
        <v/>
      </c>
      <c r="K293" s="3">
        <f>IF(ISNUMBER(AVERAGE('20250815_ETF_Options_Exhibits'!K289:K293)),AVERAGE('20250815_ETF_Options_Exhibits'!K289:K293),"")</f>
        <v/>
      </c>
      <c r="L293" s="3">
        <f>IF(ISNUMBER(AVERAGE('20250815_ETF_Options_Exhibits'!L289:L293)),AVERAGE('20250815_ETF_Options_Exhibits'!L289:L293),"")</f>
        <v/>
      </c>
      <c r="M293" s="3">
        <f>IF(ISNUMBER(AVERAGE('20250815_ETF_Options_Exhibits'!M289:M293)),AVERAGE('20250815_ETF_Options_Exhibits'!M289:M293),"")</f>
        <v/>
      </c>
      <c r="N293" s="3">
        <f>IF(ISNUMBER(AVERAGE('20250815_ETF_Options_Exhibits'!N289:N293)),AVERAGE('20250815_ETF_Options_Exhibits'!N289:N293),"")</f>
        <v/>
      </c>
      <c r="O293" s="3">
        <f>IF(ISNUMBER(AVERAGE('20250815_ETF_Options_Exhibits'!O289:O293)),AVERAGE('20250815_ETF_Options_Exhibits'!O289:O293),"")</f>
        <v/>
      </c>
      <c r="P293" s="3">
        <f>IF(ISNUMBER(AVERAGE('20250815_ETF_Options_Exhibits'!P289:P293)),AVERAGE('20250815_ETF_Options_Exhibits'!P289:P293),"")</f>
        <v/>
      </c>
      <c r="Q293" s="3">
        <f>IF(ISNUMBER(AVERAGE('20250815_ETF_Options_Exhibits'!Q289:Q293)),AVERAGE('20250815_ETF_Options_Exhibits'!Q289:Q293),"")</f>
        <v/>
      </c>
      <c r="R293" s="3">
        <f>IF(ISNUMBER(AVERAGE('20250815_ETF_Options_Exhibits'!R289:R293)),AVERAGE('20250815_ETF_Options_Exhibits'!R289:R293),"")</f>
        <v/>
      </c>
      <c r="S293" s="3">
        <f>IF(ISNUMBER(AVERAGE('20250815_ETF_Options_Exhibits'!S289:S293)),AVERAGE('20250815_ETF_Options_Exhibits'!S289:S293),"")</f>
        <v/>
      </c>
      <c r="T293" s="3">
        <f>IF(ISNUMBER(AVERAGE('20250815_ETF_Options_Exhibits'!T289:T293)),AVERAGE('20250815_ETF_Options_Exhibits'!T289:T293),"")</f>
        <v/>
      </c>
      <c r="U293" s="3">
        <f>IF(ISNUMBER(AVERAGE('20250815_ETF_Options_Exhibits'!U289:U293)),AVERAGE('20250815_ETF_Options_Exhibits'!U289:U293),"")</f>
        <v/>
      </c>
      <c r="V293" s="3">
        <f>IF(ISNUMBER(AVERAGE('20250815_ETF_Options_Exhibits'!V289:V293)),AVERAGE('20250815_ETF_Options_Exhibits'!V289:V293),"")</f>
        <v/>
      </c>
      <c r="W293" s="3">
        <f>IF(ISNUMBER(AVERAGE('20250815_ETF_Options_Exhibits'!W289:W293)),AVERAGE('20250815_ETF_Options_Exhibits'!W289:W293),"")</f>
        <v/>
      </c>
      <c r="X293" s="3">
        <f>IF(ISNUMBER(AVERAGE('20250815_ETF_Options_Exhibits'!X289:X293)),AVERAGE('20250815_ETF_Options_Exhibits'!X289:X293),"")</f>
        <v/>
      </c>
      <c r="Y293" s="3">
        <f>IF(ISNUMBER(AVERAGE('20250815_ETF_Options_Exhibits'!Y289:Y293)),AVERAGE('20250815_ETF_Options_Exhibits'!Y289:Y293),"")</f>
        <v/>
      </c>
      <c r="Z293" s="3">
        <f>IF(ISNUMBER(AVERAGE('20250815_ETF_Options_Exhibits'!Z289:Z293)),AVERAGE('20250815_ETF_Options_Exhibits'!Z289:Z293),"")</f>
        <v/>
      </c>
      <c r="AA293" s="3">
        <f>IF(ISNUMBER(AVERAGE('20250815_ETF_Options_Exhibits'!AA289:AA293)),AVERAGE('20250815_ETF_Options_Exhibits'!AA289:AA293),"")</f>
        <v/>
      </c>
    </row>
    <row r="294">
      <c r="A294" s="1" t="n">
        <v>42430</v>
      </c>
      <c r="B294" s="3">
        <f>IF(ISNUMBER(AVERAGE('20250815_ETF_Options_Exhibits'!B290:B294)),AVERAGE('20250815_ETF_Options_Exhibits'!B290:B294),"")</f>
        <v/>
      </c>
      <c r="C294" s="3">
        <f>IF(ISNUMBER(AVERAGE('20250815_ETF_Options_Exhibits'!C290:C294)),AVERAGE('20250815_ETF_Options_Exhibits'!C290:C294),"")</f>
        <v/>
      </c>
      <c r="D294" s="3">
        <f>IF(ISNUMBER(AVERAGE('20250815_ETF_Options_Exhibits'!D290:D294)),AVERAGE('20250815_ETF_Options_Exhibits'!D290:D294),"")</f>
        <v/>
      </c>
      <c r="E294" s="3">
        <f>IF(ISNUMBER(AVERAGE('20250815_ETF_Options_Exhibits'!E290:E294)),AVERAGE('20250815_ETF_Options_Exhibits'!E290:E294),"")</f>
        <v/>
      </c>
      <c r="F294" s="3">
        <f>IF(ISNUMBER(AVERAGE('20250815_ETF_Options_Exhibits'!F290:F294)),AVERAGE('20250815_ETF_Options_Exhibits'!F290:F294),"")</f>
        <v/>
      </c>
      <c r="G294" s="3">
        <f>IF(ISNUMBER(AVERAGE('20250815_ETF_Options_Exhibits'!G290:G294)),AVERAGE('20250815_ETF_Options_Exhibits'!G290:G294),"")</f>
        <v/>
      </c>
      <c r="H294" s="3">
        <f>IF(ISNUMBER(AVERAGE('20250815_ETF_Options_Exhibits'!H290:H294)),AVERAGE('20250815_ETF_Options_Exhibits'!H290:H294),"")</f>
        <v/>
      </c>
      <c r="I294" s="3">
        <f>IF(ISNUMBER(AVERAGE('20250815_ETF_Options_Exhibits'!I290:I294)),AVERAGE('20250815_ETF_Options_Exhibits'!I290:I294),"")</f>
        <v/>
      </c>
      <c r="J294" s="3">
        <f>IF(ISNUMBER(AVERAGE('20250815_ETF_Options_Exhibits'!J290:J294)),AVERAGE('20250815_ETF_Options_Exhibits'!J290:J294),"")</f>
        <v/>
      </c>
      <c r="K294" s="3">
        <f>IF(ISNUMBER(AVERAGE('20250815_ETF_Options_Exhibits'!K290:K294)),AVERAGE('20250815_ETF_Options_Exhibits'!K290:K294),"")</f>
        <v/>
      </c>
      <c r="L294" s="3">
        <f>IF(ISNUMBER(AVERAGE('20250815_ETF_Options_Exhibits'!L290:L294)),AVERAGE('20250815_ETF_Options_Exhibits'!L290:L294),"")</f>
        <v/>
      </c>
      <c r="M294" s="3">
        <f>IF(ISNUMBER(AVERAGE('20250815_ETF_Options_Exhibits'!M290:M294)),AVERAGE('20250815_ETF_Options_Exhibits'!M290:M294),"")</f>
        <v/>
      </c>
      <c r="N294" s="3">
        <f>IF(ISNUMBER(AVERAGE('20250815_ETF_Options_Exhibits'!N290:N294)),AVERAGE('20250815_ETF_Options_Exhibits'!N290:N294),"")</f>
        <v/>
      </c>
      <c r="O294" s="3">
        <f>IF(ISNUMBER(AVERAGE('20250815_ETF_Options_Exhibits'!O290:O294)),AVERAGE('20250815_ETF_Options_Exhibits'!O290:O294),"")</f>
        <v/>
      </c>
      <c r="P294" s="3">
        <f>IF(ISNUMBER(AVERAGE('20250815_ETF_Options_Exhibits'!P290:P294)),AVERAGE('20250815_ETF_Options_Exhibits'!P290:P294),"")</f>
        <v/>
      </c>
      <c r="Q294" s="3">
        <f>IF(ISNUMBER(AVERAGE('20250815_ETF_Options_Exhibits'!Q290:Q294)),AVERAGE('20250815_ETF_Options_Exhibits'!Q290:Q294),"")</f>
        <v/>
      </c>
      <c r="R294" s="3">
        <f>IF(ISNUMBER(AVERAGE('20250815_ETF_Options_Exhibits'!R290:R294)),AVERAGE('20250815_ETF_Options_Exhibits'!R290:R294),"")</f>
        <v/>
      </c>
      <c r="S294" s="3">
        <f>IF(ISNUMBER(AVERAGE('20250815_ETF_Options_Exhibits'!S290:S294)),AVERAGE('20250815_ETF_Options_Exhibits'!S290:S294),"")</f>
        <v/>
      </c>
      <c r="T294" s="3">
        <f>IF(ISNUMBER(AVERAGE('20250815_ETF_Options_Exhibits'!T290:T294)),AVERAGE('20250815_ETF_Options_Exhibits'!T290:T294),"")</f>
        <v/>
      </c>
      <c r="U294" s="3">
        <f>IF(ISNUMBER(AVERAGE('20250815_ETF_Options_Exhibits'!U290:U294)),AVERAGE('20250815_ETF_Options_Exhibits'!U290:U294),"")</f>
        <v/>
      </c>
      <c r="V294" s="3">
        <f>IF(ISNUMBER(AVERAGE('20250815_ETF_Options_Exhibits'!V290:V294)),AVERAGE('20250815_ETF_Options_Exhibits'!V290:V294),"")</f>
        <v/>
      </c>
      <c r="W294" s="3">
        <f>IF(ISNUMBER(AVERAGE('20250815_ETF_Options_Exhibits'!W290:W294)),AVERAGE('20250815_ETF_Options_Exhibits'!W290:W294),"")</f>
        <v/>
      </c>
      <c r="X294" s="3">
        <f>IF(ISNUMBER(AVERAGE('20250815_ETF_Options_Exhibits'!X290:X294)),AVERAGE('20250815_ETF_Options_Exhibits'!X290:X294),"")</f>
        <v/>
      </c>
      <c r="Y294" s="3">
        <f>IF(ISNUMBER(AVERAGE('20250815_ETF_Options_Exhibits'!Y290:Y294)),AVERAGE('20250815_ETF_Options_Exhibits'!Y290:Y294),"")</f>
        <v/>
      </c>
      <c r="Z294" s="3">
        <f>IF(ISNUMBER(AVERAGE('20250815_ETF_Options_Exhibits'!Z290:Z294)),AVERAGE('20250815_ETF_Options_Exhibits'!Z290:Z294),"")</f>
        <v/>
      </c>
      <c r="AA294" s="3">
        <f>IF(ISNUMBER(AVERAGE('20250815_ETF_Options_Exhibits'!AA290:AA294)),AVERAGE('20250815_ETF_Options_Exhibits'!AA290:AA294),"")</f>
        <v/>
      </c>
    </row>
    <row r="295">
      <c r="A295" s="1" t="n">
        <v>42431</v>
      </c>
      <c r="B295" s="3">
        <f>IF(ISNUMBER(AVERAGE('20250815_ETF_Options_Exhibits'!B291:B295)),AVERAGE('20250815_ETF_Options_Exhibits'!B291:B295),"")</f>
        <v/>
      </c>
      <c r="C295" s="3">
        <f>IF(ISNUMBER(AVERAGE('20250815_ETF_Options_Exhibits'!C291:C295)),AVERAGE('20250815_ETF_Options_Exhibits'!C291:C295),"")</f>
        <v/>
      </c>
      <c r="D295" s="3">
        <f>IF(ISNUMBER(AVERAGE('20250815_ETF_Options_Exhibits'!D291:D295)),AVERAGE('20250815_ETF_Options_Exhibits'!D291:D295),"")</f>
        <v/>
      </c>
      <c r="E295" s="3">
        <f>IF(ISNUMBER(AVERAGE('20250815_ETF_Options_Exhibits'!E291:E295)),AVERAGE('20250815_ETF_Options_Exhibits'!E291:E295),"")</f>
        <v/>
      </c>
      <c r="F295" s="3">
        <f>IF(ISNUMBER(AVERAGE('20250815_ETF_Options_Exhibits'!F291:F295)),AVERAGE('20250815_ETF_Options_Exhibits'!F291:F295),"")</f>
        <v/>
      </c>
      <c r="G295" s="3">
        <f>IF(ISNUMBER(AVERAGE('20250815_ETF_Options_Exhibits'!G291:G295)),AVERAGE('20250815_ETF_Options_Exhibits'!G291:G295),"")</f>
        <v/>
      </c>
      <c r="H295" s="3">
        <f>IF(ISNUMBER(AVERAGE('20250815_ETF_Options_Exhibits'!H291:H295)),AVERAGE('20250815_ETF_Options_Exhibits'!H291:H295),"")</f>
        <v/>
      </c>
      <c r="I295" s="3">
        <f>IF(ISNUMBER(AVERAGE('20250815_ETF_Options_Exhibits'!I291:I295)),AVERAGE('20250815_ETF_Options_Exhibits'!I291:I295),"")</f>
        <v/>
      </c>
      <c r="J295" s="3">
        <f>IF(ISNUMBER(AVERAGE('20250815_ETF_Options_Exhibits'!J291:J295)),AVERAGE('20250815_ETF_Options_Exhibits'!J291:J295),"")</f>
        <v/>
      </c>
      <c r="K295" s="3">
        <f>IF(ISNUMBER(AVERAGE('20250815_ETF_Options_Exhibits'!K291:K295)),AVERAGE('20250815_ETF_Options_Exhibits'!K291:K295),"")</f>
        <v/>
      </c>
      <c r="L295" s="3">
        <f>IF(ISNUMBER(AVERAGE('20250815_ETF_Options_Exhibits'!L291:L295)),AVERAGE('20250815_ETF_Options_Exhibits'!L291:L295),"")</f>
        <v/>
      </c>
      <c r="M295" s="3">
        <f>IF(ISNUMBER(AVERAGE('20250815_ETF_Options_Exhibits'!M291:M295)),AVERAGE('20250815_ETF_Options_Exhibits'!M291:M295),"")</f>
        <v/>
      </c>
      <c r="N295" s="3">
        <f>IF(ISNUMBER(AVERAGE('20250815_ETF_Options_Exhibits'!N291:N295)),AVERAGE('20250815_ETF_Options_Exhibits'!N291:N295),"")</f>
        <v/>
      </c>
      <c r="O295" s="3">
        <f>IF(ISNUMBER(AVERAGE('20250815_ETF_Options_Exhibits'!O291:O295)),AVERAGE('20250815_ETF_Options_Exhibits'!O291:O295),"")</f>
        <v/>
      </c>
      <c r="P295" s="3">
        <f>IF(ISNUMBER(AVERAGE('20250815_ETF_Options_Exhibits'!P291:P295)),AVERAGE('20250815_ETF_Options_Exhibits'!P291:P295),"")</f>
        <v/>
      </c>
      <c r="Q295" s="3">
        <f>IF(ISNUMBER(AVERAGE('20250815_ETF_Options_Exhibits'!Q291:Q295)),AVERAGE('20250815_ETF_Options_Exhibits'!Q291:Q295),"")</f>
        <v/>
      </c>
      <c r="R295" s="3">
        <f>IF(ISNUMBER(AVERAGE('20250815_ETF_Options_Exhibits'!R291:R295)),AVERAGE('20250815_ETF_Options_Exhibits'!R291:R295),"")</f>
        <v/>
      </c>
      <c r="S295" s="3">
        <f>IF(ISNUMBER(AVERAGE('20250815_ETF_Options_Exhibits'!S291:S295)),AVERAGE('20250815_ETF_Options_Exhibits'!S291:S295),"")</f>
        <v/>
      </c>
      <c r="T295" s="3">
        <f>IF(ISNUMBER(AVERAGE('20250815_ETF_Options_Exhibits'!T291:T295)),AVERAGE('20250815_ETF_Options_Exhibits'!T291:T295),"")</f>
        <v/>
      </c>
      <c r="U295" s="3">
        <f>IF(ISNUMBER(AVERAGE('20250815_ETF_Options_Exhibits'!U291:U295)),AVERAGE('20250815_ETF_Options_Exhibits'!U291:U295),"")</f>
        <v/>
      </c>
      <c r="V295" s="3">
        <f>IF(ISNUMBER(AVERAGE('20250815_ETF_Options_Exhibits'!V291:V295)),AVERAGE('20250815_ETF_Options_Exhibits'!V291:V295),"")</f>
        <v/>
      </c>
      <c r="W295" s="3">
        <f>IF(ISNUMBER(AVERAGE('20250815_ETF_Options_Exhibits'!W291:W295)),AVERAGE('20250815_ETF_Options_Exhibits'!W291:W295),"")</f>
        <v/>
      </c>
      <c r="X295" s="3">
        <f>IF(ISNUMBER(AVERAGE('20250815_ETF_Options_Exhibits'!X291:X295)),AVERAGE('20250815_ETF_Options_Exhibits'!X291:X295),"")</f>
        <v/>
      </c>
      <c r="Y295" s="3">
        <f>IF(ISNUMBER(AVERAGE('20250815_ETF_Options_Exhibits'!Y291:Y295)),AVERAGE('20250815_ETF_Options_Exhibits'!Y291:Y295),"")</f>
        <v/>
      </c>
      <c r="Z295" s="3">
        <f>IF(ISNUMBER(AVERAGE('20250815_ETF_Options_Exhibits'!Z291:Z295)),AVERAGE('20250815_ETF_Options_Exhibits'!Z291:Z295),"")</f>
        <v/>
      </c>
      <c r="AA295" s="3">
        <f>IF(ISNUMBER(AVERAGE('20250815_ETF_Options_Exhibits'!AA291:AA295)),AVERAGE('20250815_ETF_Options_Exhibits'!AA291:AA295),"")</f>
        <v/>
      </c>
    </row>
    <row r="296">
      <c r="A296" s="1" t="n">
        <v>42432</v>
      </c>
      <c r="B296" s="3">
        <f>IF(ISNUMBER(AVERAGE('20250815_ETF_Options_Exhibits'!B292:B296)),AVERAGE('20250815_ETF_Options_Exhibits'!B292:B296),"")</f>
        <v/>
      </c>
      <c r="C296" s="3">
        <f>IF(ISNUMBER(AVERAGE('20250815_ETF_Options_Exhibits'!C292:C296)),AVERAGE('20250815_ETF_Options_Exhibits'!C292:C296),"")</f>
        <v/>
      </c>
      <c r="D296" s="3">
        <f>IF(ISNUMBER(AVERAGE('20250815_ETF_Options_Exhibits'!D292:D296)),AVERAGE('20250815_ETF_Options_Exhibits'!D292:D296),"")</f>
        <v/>
      </c>
      <c r="E296" s="3">
        <f>IF(ISNUMBER(AVERAGE('20250815_ETF_Options_Exhibits'!E292:E296)),AVERAGE('20250815_ETF_Options_Exhibits'!E292:E296),"")</f>
        <v/>
      </c>
      <c r="F296" s="3">
        <f>IF(ISNUMBER(AVERAGE('20250815_ETF_Options_Exhibits'!F292:F296)),AVERAGE('20250815_ETF_Options_Exhibits'!F292:F296),"")</f>
        <v/>
      </c>
      <c r="G296" s="3">
        <f>IF(ISNUMBER(AVERAGE('20250815_ETF_Options_Exhibits'!G292:G296)),AVERAGE('20250815_ETF_Options_Exhibits'!G292:G296),"")</f>
        <v/>
      </c>
      <c r="H296" s="3">
        <f>IF(ISNUMBER(AVERAGE('20250815_ETF_Options_Exhibits'!H292:H296)),AVERAGE('20250815_ETF_Options_Exhibits'!H292:H296),"")</f>
        <v/>
      </c>
      <c r="I296" s="3">
        <f>IF(ISNUMBER(AVERAGE('20250815_ETF_Options_Exhibits'!I292:I296)),AVERAGE('20250815_ETF_Options_Exhibits'!I292:I296),"")</f>
        <v/>
      </c>
      <c r="J296" s="3">
        <f>IF(ISNUMBER(AVERAGE('20250815_ETF_Options_Exhibits'!J292:J296)),AVERAGE('20250815_ETF_Options_Exhibits'!J292:J296),"")</f>
        <v/>
      </c>
      <c r="K296" s="3">
        <f>IF(ISNUMBER(AVERAGE('20250815_ETF_Options_Exhibits'!K292:K296)),AVERAGE('20250815_ETF_Options_Exhibits'!K292:K296),"")</f>
        <v/>
      </c>
      <c r="L296" s="3">
        <f>IF(ISNUMBER(AVERAGE('20250815_ETF_Options_Exhibits'!L292:L296)),AVERAGE('20250815_ETF_Options_Exhibits'!L292:L296),"")</f>
        <v/>
      </c>
      <c r="M296" s="3">
        <f>IF(ISNUMBER(AVERAGE('20250815_ETF_Options_Exhibits'!M292:M296)),AVERAGE('20250815_ETF_Options_Exhibits'!M292:M296),"")</f>
        <v/>
      </c>
      <c r="N296" s="3">
        <f>IF(ISNUMBER(AVERAGE('20250815_ETF_Options_Exhibits'!N292:N296)),AVERAGE('20250815_ETF_Options_Exhibits'!N292:N296),"")</f>
        <v/>
      </c>
      <c r="O296" s="3">
        <f>IF(ISNUMBER(AVERAGE('20250815_ETF_Options_Exhibits'!O292:O296)),AVERAGE('20250815_ETF_Options_Exhibits'!O292:O296),"")</f>
        <v/>
      </c>
      <c r="P296" s="3">
        <f>IF(ISNUMBER(AVERAGE('20250815_ETF_Options_Exhibits'!P292:P296)),AVERAGE('20250815_ETF_Options_Exhibits'!P292:P296),"")</f>
        <v/>
      </c>
      <c r="Q296" s="3">
        <f>IF(ISNUMBER(AVERAGE('20250815_ETF_Options_Exhibits'!Q292:Q296)),AVERAGE('20250815_ETF_Options_Exhibits'!Q292:Q296),"")</f>
        <v/>
      </c>
      <c r="R296" s="3">
        <f>IF(ISNUMBER(AVERAGE('20250815_ETF_Options_Exhibits'!R292:R296)),AVERAGE('20250815_ETF_Options_Exhibits'!R292:R296),"")</f>
        <v/>
      </c>
      <c r="S296" s="3">
        <f>IF(ISNUMBER(AVERAGE('20250815_ETF_Options_Exhibits'!S292:S296)),AVERAGE('20250815_ETF_Options_Exhibits'!S292:S296),"")</f>
        <v/>
      </c>
      <c r="T296" s="3">
        <f>IF(ISNUMBER(AVERAGE('20250815_ETF_Options_Exhibits'!T292:T296)),AVERAGE('20250815_ETF_Options_Exhibits'!T292:T296),"")</f>
        <v/>
      </c>
      <c r="U296" s="3">
        <f>IF(ISNUMBER(AVERAGE('20250815_ETF_Options_Exhibits'!U292:U296)),AVERAGE('20250815_ETF_Options_Exhibits'!U292:U296),"")</f>
        <v/>
      </c>
      <c r="V296" s="3">
        <f>IF(ISNUMBER(AVERAGE('20250815_ETF_Options_Exhibits'!V292:V296)),AVERAGE('20250815_ETF_Options_Exhibits'!V292:V296),"")</f>
        <v/>
      </c>
      <c r="W296" s="3">
        <f>IF(ISNUMBER(AVERAGE('20250815_ETF_Options_Exhibits'!W292:W296)),AVERAGE('20250815_ETF_Options_Exhibits'!W292:W296),"")</f>
        <v/>
      </c>
      <c r="X296" s="3">
        <f>IF(ISNUMBER(AVERAGE('20250815_ETF_Options_Exhibits'!X292:X296)),AVERAGE('20250815_ETF_Options_Exhibits'!X292:X296),"")</f>
        <v/>
      </c>
      <c r="Y296" s="3">
        <f>IF(ISNUMBER(AVERAGE('20250815_ETF_Options_Exhibits'!Y292:Y296)),AVERAGE('20250815_ETF_Options_Exhibits'!Y292:Y296),"")</f>
        <v/>
      </c>
      <c r="Z296" s="3">
        <f>IF(ISNUMBER(AVERAGE('20250815_ETF_Options_Exhibits'!Z292:Z296)),AVERAGE('20250815_ETF_Options_Exhibits'!Z292:Z296),"")</f>
        <v/>
      </c>
      <c r="AA296" s="3">
        <f>IF(ISNUMBER(AVERAGE('20250815_ETF_Options_Exhibits'!AA292:AA296)),AVERAGE('20250815_ETF_Options_Exhibits'!AA292:AA296),"")</f>
        <v/>
      </c>
    </row>
    <row r="297">
      <c r="A297" s="1" t="n">
        <v>42433</v>
      </c>
      <c r="B297" s="3">
        <f>IF(ISNUMBER(AVERAGE('20250815_ETF_Options_Exhibits'!B293:B297)),AVERAGE('20250815_ETF_Options_Exhibits'!B293:B297),"")</f>
        <v/>
      </c>
      <c r="C297" s="3">
        <f>IF(ISNUMBER(AVERAGE('20250815_ETF_Options_Exhibits'!C293:C297)),AVERAGE('20250815_ETF_Options_Exhibits'!C293:C297),"")</f>
        <v/>
      </c>
      <c r="D297" s="3">
        <f>IF(ISNUMBER(AVERAGE('20250815_ETF_Options_Exhibits'!D293:D297)),AVERAGE('20250815_ETF_Options_Exhibits'!D293:D297),"")</f>
        <v/>
      </c>
      <c r="E297" s="3">
        <f>IF(ISNUMBER(AVERAGE('20250815_ETF_Options_Exhibits'!E293:E297)),AVERAGE('20250815_ETF_Options_Exhibits'!E293:E297),"")</f>
        <v/>
      </c>
      <c r="F297" s="3">
        <f>IF(ISNUMBER(AVERAGE('20250815_ETF_Options_Exhibits'!F293:F297)),AVERAGE('20250815_ETF_Options_Exhibits'!F293:F297),"")</f>
        <v/>
      </c>
      <c r="G297" s="3">
        <f>IF(ISNUMBER(AVERAGE('20250815_ETF_Options_Exhibits'!G293:G297)),AVERAGE('20250815_ETF_Options_Exhibits'!G293:G297),"")</f>
        <v/>
      </c>
      <c r="H297" s="3">
        <f>IF(ISNUMBER(AVERAGE('20250815_ETF_Options_Exhibits'!H293:H297)),AVERAGE('20250815_ETF_Options_Exhibits'!H293:H297),"")</f>
        <v/>
      </c>
      <c r="I297" s="3">
        <f>IF(ISNUMBER(AVERAGE('20250815_ETF_Options_Exhibits'!I293:I297)),AVERAGE('20250815_ETF_Options_Exhibits'!I293:I297),"")</f>
        <v/>
      </c>
      <c r="J297" s="3">
        <f>IF(ISNUMBER(AVERAGE('20250815_ETF_Options_Exhibits'!J293:J297)),AVERAGE('20250815_ETF_Options_Exhibits'!J293:J297),"")</f>
        <v/>
      </c>
      <c r="K297" s="3">
        <f>IF(ISNUMBER(AVERAGE('20250815_ETF_Options_Exhibits'!K293:K297)),AVERAGE('20250815_ETF_Options_Exhibits'!K293:K297),"")</f>
        <v/>
      </c>
      <c r="L297" s="3">
        <f>IF(ISNUMBER(AVERAGE('20250815_ETF_Options_Exhibits'!L293:L297)),AVERAGE('20250815_ETF_Options_Exhibits'!L293:L297),"")</f>
        <v/>
      </c>
      <c r="M297" s="3">
        <f>IF(ISNUMBER(AVERAGE('20250815_ETF_Options_Exhibits'!M293:M297)),AVERAGE('20250815_ETF_Options_Exhibits'!M293:M297),"")</f>
        <v/>
      </c>
      <c r="N297" s="3">
        <f>IF(ISNUMBER(AVERAGE('20250815_ETF_Options_Exhibits'!N293:N297)),AVERAGE('20250815_ETF_Options_Exhibits'!N293:N297),"")</f>
        <v/>
      </c>
      <c r="O297" s="3">
        <f>IF(ISNUMBER(AVERAGE('20250815_ETF_Options_Exhibits'!O293:O297)),AVERAGE('20250815_ETF_Options_Exhibits'!O293:O297),"")</f>
        <v/>
      </c>
      <c r="P297" s="3">
        <f>IF(ISNUMBER(AVERAGE('20250815_ETF_Options_Exhibits'!P293:P297)),AVERAGE('20250815_ETF_Options_Exhibits'!P293:P297),"")</f>
        <v/>
      </c>
      <c r="Q297" s="3">
        <f>IF(ISNUMBER(AVERAGE('20250815_ETF_Options_Exhibits'!Q293:Q297)),AVERAGE('20250815_ETF_Options_Exhibits'!Q293:Q297),"")</f>
        <v/>
      </c>
      <c r="R297" s="3">
        <f>IF(ISNUMBER(AVERAGE('20250815_ETF_Options_Exhibits'!R293:R297)),AVERAGE('20250815_ETF_Options_Exhibits'!R293:R297),"")</f>
        <v/>
      </c>
      <c r="S297" s="3">
        <f>IF(ISNUMBER(AVERAGE('20250815_ETF_Options_Exhibits'!S293:S297)),AVERAGE('20250815_ETF_Options_Exhibits'!S293:S297),"")</f>
        <v/>
      </c>
      <c r="T297" s="3">
        <f>IF(ISNUMBER(AVERAGE('20250815_ETF_Options_Exhibits'!T293:T297)),AVERAGE('20250815_ETF_Options_Exhibits'!T293:T297),"")</f>
        <v/>
      </c>
      <c r="U297" s="3">
        <f>IF(ISNUMBER(AVERAGE('20250815_ETF_Options_Exhibits'!U293:U297)),AVERAGE('20250815_ETF_Options_Exhibits'!U293:U297),"")</f>
        <v/>
      </c>
      <c r="V297" s="3">
        <f>IF(ISNUMBER(AVERAGE('20250815_ETF_Options_Exhibits'!V293:V297)),AVERAGE('20250815_ETF_Options_Exhibits'!V293:V297),"")</f>
        <v/>
      </c>
      <c r="W297" s="3">
        <f>IF(ISNUMBER(AVERAGE('20250815_ETF_Options_Exhibits'!W293:W297)),AVERAGE('20250815_ETF_Options_Exhibits'!W293:W297),"")</f>
        <v/>
      </c>
      <c r="X297" s="3">
        <f>IF(ISNUMBER(AVERAGE('20250815_ETF_Options_Exhibits'!X293:X297)),AVERAGE('20250815_ETF_Options_Exhibits'!X293:X297),"")</f>
        <v/>
      </c>
      <c r="Y297" s="3">
        <f>IF(ISNUMBER(AVERAGE('20250815_ETF_Options_Exhibits'!Y293:Y297)),AVERAGE('20250815_ETF_Options_Exhibits'!Y293:Y297),"")</f>
        <v/>
      </c>
      <c r="Z297" s="3">
        <f>IF(ISNUMBER(AVERAGE('20250815_ETF_Options_Exhibits'!Z293:Z297)),AVERAGE('20250815_ETF_Options_Exhibits'!Z293:Z297),"")</f>
        <v/>
      </c>
      <c r="AA297" s="3">
        <f>IF(ISNUMBER(AVERAGE('20250815_ETF_Options_Exhibits'!AA293:AA297)),AVERAGE('20250815_ETF_Options_Exhibits'!AA293:AA297),"")</f>
        <v/>
      </c>
    </row>
    <row r="298">
      <c r="A298" s="1" t="n">
        <v>42436</v>
      </c>
      <c r="B298" s="3">
        <f>IF(ISNUMBER(AVERAGE('20250815_ETF_Options_Exhibits'!B294:B298)),AVERAGE('20250815_ETF_Options_Exhibits'!B294:B298),"")</f>
        <v/>
      </c>
      <c r="C298" s="3">
        <f>IF(ISNUMBER(AVERAGE('20250815_ETF_Options_Exhibits'!C294:C298)),AVERAGE('20250815_ETF_Options_Exhibits'!C294:C298),"")</f>
        <v/>
      </c>
      <c r="D298" s="3">
        <f>IF(ISNUMBER(AVERAGE('20250815_ETF_Options_Exhibits'!D294:D298)),AVERAGE('20250815_ETF_Options_Exhibits'!D294:D298),"")</f>
        <v/>
      </c>
      <c r="E298" s="3">
        <f>IF(ISNUMBER(AVERAGE('20250815_ETF_Options_Exhibits'!E294:E298)),AVERAGE('20250815_ETF_Options_Exhibits'!E294:E298),"")</f>
        <v/>
      </c>
      <c r="F298" s="3">
        <f>IF(ISNUMBER(AVERAGE('20250815_ETF_Options_Exhibits'!F294:F298)),AVERAGE('20250815_ETF_Options_Exhibits'!F294:F298),"")</f>
        <v/>
      </c>
      <c r="G298" s="3">
        <f>IF(ISNUMBER(AVERAGE('20250815_ETF_Options_Exhibits'!G294:G298)),AVERAGE('20250815_ETF_Options_Exhibits'!G294:G298),"")</f>
        <v/>
      </c>
      <c r="H298" s="3">
        <f>IF(ISNUMBER(AVERAGE('20250815_ETF_Options_Exhibits'!H294:H298)),AVERAGE('20250815_ETF_Options_Exhibits'!H294:H298),"")</f>
        <v/>
      </c>
      <c r="I298" s="3">
        <f>IF(ISNUMBER(AVERAGE('20250815_ETF_Options_Exhibits'!I294:I298)),AVERAGE('20250815_ETF_Options_Exhibits'!I294:I298),"")</f>
        <v/>
      </c>
      <c r="J298" s="3">
        <f>IF(ISNUMBER(AVERAGE('20250815_ETF_Options_Exhibits'!J294:J298)),AVERAGE('20250815_ETF_Options_Exhibits'!J294:J298),"")</f>
        <v/>
      </c>
      <c r="K298" s="3">
        <f>IF(ISNUMBER(AVERAGE('20250815_ETF_Options_Exhibits'!K294:K298)),AVERAGE('20250815_ETF_Options_Exhibits'!K294:K298),"")</f>
        <v/>
      </c>
      <c r="L298" s="3">
        <f>IF(ISNUMBER(AVERAGE('20250815_ETF_Options_Exhibits'!L294:L298)),AVERAGE('20250815_ETF_Options_Exhibits'!L294:L298),"")</f>
        <v/>
      </c>
      <c r="M298" s="3">
        <f>IF(ISNUMBER(AVERAGE('20250815_ETF_Options_Exhibits'!M294:M298)),AVERAGE('20250815_ETF_Options_Exhibits'!M294:M298),"")</f>
        <v/>
      </c>
      <c r="N298" s="3">
        <f>IF(ISNUMBER(AVERAGE('20250815_ETF_Options_Exhibits'!N294:N298)),AVERAGE('20250815_ETF_Options_Exhibits'!N294:N298),"")</f>
        <v/>
      </c>
      <c r="O298" s="3">
        <f>IF(ISNUMBER(AVERAGE('20250815_ETF_Options_Exhibits'!O294:O298)),AVERAGE('20250815_ETF_Options_Exhibits'!O294:O298),"")</f>
        <v/>
      </c>
      <c r="P298" s="3">
        <f>IF(ISNUMBER(AVERAGE('20250815_ETF_Options_Exhibits'!P294:P298)),AVERAGE('20250815_ETF_Options_Exhibits'!P294:P298),"")</f>
        <v/>
      </c>
      <c r="Q298" s="3">
        <f>IF(ISNUMBER(AVERAGE('20250815_ETF_Options_Exhibits'!Q294:Q298)),AVERAGE('20250815_ETF_Options_Exhibits'!Q294:Q298),"")</f>
        <v/>
      </c>
      <c r="R298" s="3">
        <f>IF(ISNUMBER(AVERAGE('20250815_ETF_Options_Exhibits'!R294:R298)),AVERAGE('20250815_ETF_Options_Exhibits'!R294:R298),"")</f>
        <v/>
      </c>
      <c r="S298" s="3">
        <f>IF(ISNUMBER(AVERAGE('20250815_ETF_Options_Exhibits'!S294:S298)),AVERAGE('20250815_ETF_Options_Exhibits'!S294:S298),"")</f>
        <v/>
      </c>
      <c r="T298" s="3">
        <f>IF(ISNUMBER(AVERAGE('20250815_ETF_Options_Exhibits'!T294:T298)),AVERAGE('20250815_ETF_Options_Exhibits'!T294:T298),"")</f>
        <v/>
      </c>
      <c r="U298" s="3">
        <f>IF(ISNUMBER(AVERAGE('20250815_ETF_Options_Exhibits'!U294:U298)),AVERAGE('20250815_ETF_Options_Exhibits'!U294:U298),"")</f>
        <v/>
      </c>
      <c r="V298" s="3">
        <f>IF(ISNUMBER(AVERAGE('20250815_ETF_Options_Exhibits'!V294:V298)),AVERAGE('20250815_ETF_Options_Exhibits'!V294:V298),"")</f>
        <v/>
      </c>
      <c r="W298" s="3">
        <f>IF(ISNUMBER(AVERAGE('20250815_ETF_Options_Exhibits'!W294:W298)),AVERAGE('20250815_ETF_Options_Exhibits'!W294:W298),"")</f>
        <v/>
      </c>
      <c r="X298" s="3">
        <f>IF(ISNUMBER(AVERAGE('20250815_ETF_Options_Exhibits'!X294:X298)),AVERAGE('20250815_ETF_Options_Exhibits'!X294:X298),"")</f>
        <v/>
      </c>
      <c r="Y298" s="3">
        <f>IF(ISNUMBER(AVERAGE('20250815_ETF_Options_Exhibits'!Y294:Y298)),AVERAGE('20250815_ETF_Options_Exhibits'!Y294:Y298),"")</f>
        <v/>
      </c>
      <c r="Z298" s="3">
        <f>IF(ISNUMBER(AVERAGE('20250815_ETF_Options_Exhibits'!Z294:Z298)),AVERAGE('20250815_ETF_Options_Exhibits'!Z294:Z298),"")</f>
        <v/>
      </c>
      <c r="AA298" s="3">
        <f>IF(ISNUMBER(AVERAGE('20250815_ETF_Options_Exhibits'!AA294:AA298)),AVERAGE('20250815_ETF_Options_Exhibits'!AA294:AA298),"")</f>
        <v/>
      </c>
    </row>
    <row r="299">
      <c r="A299" s="1" t="n">
        <v>42437</v>
      </c>
      <c r="B299" s="3">
        <f>IF(ISNUMBER(AVERAGE('20250815_ETF_Options_Exhibits'!B295:B299)),AVERAGE('20250815_ETF_Options_Exhibits'!B295:B299),"")</f>
        <v/>
      </c>
      <c r="C299" s="3">
        <f>IF(ISNUMBER(AVERAGE('20250815_ETF_Options_Exhibits'!C295:C299)),AVERAGE('20250815_ETF_Options_Exhibits'!C295:C299),"")</f>
        <v/>
      </c>
      <c r="D299" s="3">
        <f>IF(ISNUMBER(AVERAGE('20250815_ETF_Options_Exhibits'!D295:D299)),AVERAGE('20250815_ETF_Options_Exhibits'!D295:D299),"")</f>
        <v/>
      </c>
      <c r="E299" s="3">
        <f>IF(ISNUMBER(AVERAGE('20250815_ETF_Options_Exhibits'!E295:E299)),AVERAGE('20250815_ETF_Options_Exhibits'!E295:E299),"")</f>
        <v/>
      </c>
      <c r="F299" s="3">
        <f>IF(ISNUMBER(AVERAGE('20250815_ETF_Options_Exhibits'!F295:F299)),AVERAGE('20250815_ETF_Options_Exhibits'!F295:F299),"")</f>
        <v/>
      </c>
      <c r="G299" s="3">
        <f>IF(ISNUMBER(AVERAGE('20250815_ETF_Options_Exhibits'!G295:G299)),AVERAGE('20250815_ETF_Options_Exhibits'!G295:G299),"")</f>
        <v/>
      </c>
      <c r="H299" s="3">
        <f>IF(ISNUMBER(AVERAGE('20250815_ETF_Options_Exhibits'!H295:H299)),AVERAGE('20250815_ETF_Options_Exhibits'!H295:H299),"")</f>
        <v/>
      </c>
      <c r="I299" s="3">
        <f>IF(ISNUMBER(AVERAGE('20250815_ETF_Options_Exhibits'!I295:I299)),AVERAGE('20250815_ETF_Options_Exhibits'!I295:I299),"")</f>
        <v/>
      </c>
      <c r="J299" s="3">
        <f>IF(ISNUMBER(AVERAGE('20250815_ETF_Options_Exhibits'!J295:J299)),AVERAGE('20250815_ETF_Options_Exhibits'!J295:J299),"")</f>
        <v/>
      </c>
      <c r="K299" s="3">
        <f>IF(ISNUMBER(AVERAGE('20250815_ETF_Options_Exhibits'!K295:K299)),AVERAGE('20250815_ETF_Options_Exhibits'!K295:K299),"")</f>
        <v/>
      </c>
      <c r="L299" s="3">
        <f>IF(ISNUMBER(AVERAGE('20250815_ETF_Options_Exhibits'!L295:L299)),AVERAGE('20250815_ETF_Options_Exhibits'!L295:L299),"")</f>
        <v/>
      </c>
      <c r="M299" s="3">
        <f>IF(ISNUMBER(AVERAGE('20250815_ETF_Options_Exhibits'!M295:M299)),AVERAGE('20250815_ETF_Options_Exhibits'!M295:M299),"")</f>
        <v/>
      </c>
      <c r="N299" s="3">
        <f>IF(ISNUMBER(AVERAGE('20250815_ETF_Options_Exhibits'!N295:N299)),AVERAGE('20250815_ETF_Options_Exhibits'!N295:N299),"")</f>
        <v/>
      </c>
      <c r="O299" s="3">
        <f>IF(ISNUMBER(AVERAGE('20250815_ETF_Options_Exhibits'!O295:O299)),AVERAGE('20250815_ETF_Options_Exhibits'!O295:O299),"")</f>
        <v/>
      </c>
      <c r="P299" s="3">
        <f>IF(ISNUMBER(AVERAGE('20250815_ETF_Options_Exhibits'!P295:P299)),AVERAGE('20250815_ETF_Options_Exhibits'!P295:P299),"")</f>
        <v/>
      </c>
      <c r="Q299" s="3">
        <f>IF(ISNUMBER(AVERAGE('20250815_ETF_Options_Exhibits'!Q295:Q299)),AVERAGE('20250815_ETF_Options_Exhibits'!Q295:Q299),"")</f>
        <v/>
      </c>
      <c r="R299" s="3">
        <f>IF(ISNUMBER(AVERAGE('20250815_ETF_Options_Exhibits'!R295:R299)),AVERAGE('20250815_ETF_Options_Exhibits'!R295:R299),"")</f>
        <v/>
      </c>
      <c r="S299" s="3">
        <f>IF(ISNUMBER(AVERAGE('20250815_ETF_Options_Exhibits'!S295:S299)),AVERAGE('20250815_ETF_Options_Exhibits'!S295:S299),"")</f>
        <v/>
      </c>
      <c r="T299" s="3">
        <f>IF(ISNUMBER(AVERAGE('20250815_ETF_Options_Exhibits'!T295:T299)),AVERAGE('20250815_ETF_Options_Exhibits'!T295:T299),"")</f>
        <v/>
      </c>
      <c r="U299" s="3">
        <f>IF(ISNUMBER(AVERAGE('20250815_ETF_Options_Exhibits'!U295:U299)),AVERAGE('20250815_ETF_Options_Exhibits'!U295:U299),"")</f>
        <v/>
      </c>
      <c r="V299" s="3">
        <f>IF(ISNUMBER(AVERAGE('20250815_ETF_Options_Exhibits'!V295:V299)),AVERAGE('20250815_ETF_Options_Exhibits'!V295:V299),"")</f>
        <v/>
      </c>
      <c r="W299" s="3">
        <f>IF(ISNUMBER(AVERAGE('20250815_ETF_Options_Exhibits'!W295:W299)),AVERAGE('20250815_ETF_Options_Exhibits'!W295:W299),"")</f>
        <v/>
      </c>
      <c r="X299" s="3">
        <f>IF(ISNUMBER(AVERAGE('20250815_ETF_Options_Exhibits'!X295:X299)),AVERAGE('20250815_ETF_Options_Exhibits'!X295:X299),"")</f>
        <v/>
      </c>
      <c r="Y299" s="3">
        <f>IF(ISNUMBER(AVERAGE('20250815_ETF_Options_Exhibits'!Y295:Y299)),AVERAGE('20250815_ETF_Options_Exhibits'!Y295:Y299),"")</f>
        <v/>
      </c>
      <c r="Z299" s="3">
        <f>IF(ISNUMBER(AVERAGE('20250815_ETF_Options_Exhibits'!Z295:Z299)),AVERAGE('20250815_ETF_Options_Exhibits'!Z295:Z299),"")</f>
        <v/>
      </c>
      <c r="AA299" s="3">
        <f>IF(ISNUMBER(AVERAGE('20250815_ETF_Options_Exhibits'!AA295:AA299)),AVERAGE('20250815_ETF_Options_Exhibits'!AA295:AA299),"")</f>
        <v/>
      </c>
    </row>
    <row r="300">
      <c r="A300" s="1" t="n">
        <v>42438</v>
      </c>
      <c r="B300" s="3">
        <f>IF(ISNUMBER(AVERAGE('20250815_ETF_Options_Exhibits'!B296:B300)),AVERAGE('20250815_ETF_Options_Exhibits'!B296:B300),"")</f>
        <v/>
      </c>
      <c r="C300" s="3">
        <f>IF(ISNUMBER(AVERAGE('20250815_ETF_Options_Exhibits'!C296:C300)),AVERAGE('20250815_ETF_Options_Exhibits'!C296:C300),"")</f>
        <v/>
      </c>
      <c r="D300" s="3">
        <f>IF(ISNUMBER(AVERAGE('20250815_ETF_Options_Exhibits'!D296:D300)),AVERAGE('20250815_ETF_Options_Exhibits'!D296:D300),"")</f>
        <v/>
      </c>
      <c r="E300" s="3">
        <f>IF(ISNUMBER(AVERAGE('20250815_ETF_Options_Exhibits'!E296:E300)),AVERAGE('20250815_ETF_Options_Exhibits'!E296:E300),"")</f>
        <v/>
      </c>
      <c r="F300" s="3">
        <f>IF(ISNUMBER(AVERAGE('20250815_ETF_Options_Exhibits'!F296:F300)),AVERAGE('20250815_ETF_Options_Exhibits'!F296:F300),"")</f>
        <v/>
      </c>
      <c r="G300" s="3">
        <f>IF(ISNUMBER(AVERAGE('20250815_ETF_Options_Exhibits'!G296:G300)),AVERAGE('20250815_ETF_Options_Exhibits'!G296:G300),"")</f>
        <v/>
      </c>
      <c r="H300" s="3">
        <f>IF(ISNUMBER(AVERAGE('20250815_ETF_Options_Exhibits'!H296:H300)),AVERAGE('20250815_ETF_Options_Exhibits'!H296:H300),"")</f>
        <v/>
      </c>
      <c r="I300" s="3">
        <f>IF(ISNUMBER(AVERAGE('20250815_ETF_Options_Exhibits'!I296:I300)),AVERAGE('20250815_ETF_Options_Exhibits'!I296:I300),"")</f>
        <v/>
      </c>
      <c r="J300" s="3">
        <f>IF(ISNUMBER(AVERAGE('20250815_ETF_Options_Exhibits'!J296:J300)),AVERAGE('20250815_ETF_Options_Exhibits'!J296:J300),"")</f>
        <v/>
      </c>
      <c r="K300" s="3">
        <f>IF(ISNUMBER(AVERAGE('20250815_ETF_Options_Exhibits'!K296:K300)),AVERAGE('20250815_ETF_Options_Exhibits'!K296:K300),"")</f>
        <v/>
      </c>
      <c r="L300" s="3">
        <f>IF(ISNUMBER(AVERAGE('20250815_ETF_Options_Exhibits'!L296:L300)),AVERAGE('20250815_ETF_Options_Exhibits'!L296:L300),"")</f>
        <v/>
      </c>
      <c r="M300" s="3">
        <f>IF(ISNUMBER(AVERAGE('20250815_ETF_Options_Exhibits'!M296:M300)),AVERAGE('20250815_ETF_Options_Exhibits'!M296:M300),"")</f>
        <v/>
      </c>
      <c r="N300" s="3">
        <f>IF(ISNUMBER(AVERAGE('20250815_ETF_Options_Exhibits'!N296:N300)),AVERAGE('20250815_ETF_Options_Exhibits'!N296:N300),"")</f>
        <v/>
      </c>
      <c r="O300" s="3">
        <f>IF(ISNUMBER(AVERAGE('20250815_ETF_Options_Exhibits'!O296:O300)),AVERAGE('20250815_ETF_Options_Exhibits'!O296:O300),"")</f>
        <v/>
      </c>
      <c r="P300" s="3">
        <f>IF(ISNUMBER(AVERAGE('20250815_ETF_Options_Exhibits'!P296:P300)),AVERAGE('20250815_ETF_Options_Exhibits'!P296:P300),"")</f>
        <v/>
      </c>
      <c r="Q300" s="3">
        <f>IF(ISNUMBER(AVERAGE('20250815_ETF_Options_Exhibits'!Q296:Q300)),AVERAGE('20250815_ETF_Options_Exhibits'!Q296:Q300),"")</f>
        <v/>
      </c>
      <c r="R300" s="3">
        <f>IF(ISNUMBER(AVERAGE('20250815_ETF_Options_Exhibits'!R296:R300)),AVERAGE('20250815_ETF_Options_Exhibits'!R296:R300),"")</f>
        <v/>
      </c>
      <c r="S300" s="3">
        <f>IF(ISNUMBER(AVERAGE('20250815_ETF_Options_Exhibits'!S296:S300)),AVERAGE('20250815_ETF_Options_Exhibits'!S296:S300),"")</f>
        <v/>
      </c>
      <c r="T300" s="3">
        <f>IF(ISNUMBER(AVERAGE('20250815_ETF_Options_Exhibits'!T296:T300)),AVERAGE('20250815_ETF_Options_Exhibits'!T296:T300),"")</f>
        <v/>
      </c>
      <c r="U300" s="3">
        <f>IF(ISNUMBER(AVERAGE('20250815_ETF_Options_Exhibits'!U296:U300)),AVERAGE('20250815_ETF_Options_Exhibits'!U296:U300),"")</f>
        <v/>
      </c>
      <c r="V300" s="3">
        <f>IF(ISNUMBER(AVERAGE('20250815_ETF_Options_Exhibits'!V296:V300)),AVERAGE('20250815_ETF_Options_Exhibits'!V296:V300),"")</f>
        <v/>
      </c>
      <c r="W300" s="3">
        <f>IF(ISNUMBER(AVERAGE('20250815_ETF_Options_Exhibits'!W296:W300)),AVERAGE('20250815_ETF_Options_Exhibits'!W296:W300),"")</f>
        <v/>
      </c>
      <c r="X300" s="3">
        <f>IF(ISNUMBER(AVERAGE('20250815_ETF_Options_Exhibits'!X296:X300)),AVERAGE('20250815_ETF_Options_Exhibits'!X296:X300),"")</f>
        <v/>
      </c>
      <c r="Y300" s="3">
        <f>IF(ISNUMBER(AVERAGE('20250815_ETF_Options_Exhibits'!Y296:Y300)),AVERAGE('20250815_ETF_Options_Exhibits'!Y296:Y300),"")</f>
        <v/>
      </c>
      <c r="Z300" s="3">
        <f>IF(ISNUMBER(AVERAGE('20250815_ETF_Options_Exhibits'!Z296:Z300)),AVERAGE('20250815_ETF_Options_Exhibits'!Z296:Z300),"")</f>
        <v/>
      </c>
      <c r="AA300" s="3">
        <f>IF(ISNUMBER(AVERAGE('20250815_ETF_Options_Exhibits'!AA296:AA300)),AVERAGE('20250815_ETF_Options_Exhibits'!AA296:AA300),"")</f>
        <v/>
      </c>
    </row>
    <row r="301">
      <c r="A301" s="1" t="n">
        <v>42439</v>
      </c>
      <c r="B301" s="3">
        <f>IF(ISNUMBER(AVERAGE('20250815_ETF_Options_Exhibits'!B297:B301)),AVERAGE('20250815_ETF_Options_Exhibits'!B297:B301),"")</f>
        <v/>
      </c>
      <c r="C301" s="3">
        <f>IF(ISNUMBER(AVERAGE('20250815_ETF_Options_Exhibits'!C297:C301)),AVERAGE('20250815_ETF_Options_Exhibits'!C297:C301),"")</f>
        <v/>
      </c>
      <c r="D301" s="3">
        <f>IF(ISNUMBER(AVERAGE('20250815_ETF_Options_Exhibits'!D297:D301)),AVERAGE('20250815_ETF_Options_Exhibits'!D297:D301),"")</f>
        <v/>
      </c>
      <c r="E301" s="3">
        <f>IF(ISNUMBER(AVERAGE('20250815_ETF_Options_Exhibits'!E297:E301)),AVERAGE('20250815_ETF_Options_Exhibits'!E297:E301),"")</f>
        <v/>
      </c>
      <c r="F301" s="3">
        <f>IF(ISNUMBER(AVERAGE('20250815_ETF_Options_Exhibits'!F297:F301)),AVERAGE('20250815_ETF_Options_Exhibits'!F297:F301),"")</f>
        <v/>
      </c>
      <c r="G301" s="3">
        <f>IF(ISNUMBER(AVERAGE('20250815_ETF_Options_Exhibits'!G297:G301)),AVERAGE('20250815_ETF_Options_Exhibits'!G297:G301),"")</f>
        <v/>
      </c>
      <c r="H301" s="3">
        <f>IF(ISNUMBER(AVERAGE('20250815_ETF_Options_Exhibits'!H297:H301)),AVERAGE('20250815_ETF_Options_Exhibits'!H297:H301),"")</f>
        <v/>
      </c>
      <c r="I301" s="3">
        <f>IF(ISNUMBER(AVERAGE('20250815_ETF_Options_Exhibits'!I297:I301)),AVERAGE('20250815_ETF_Options_Exhibits'!I297:I301),"")</f>
        <v/>
      </c>
      <c r="J301" s="3">
        <f>IF(ISNUMBER(AVERAGE('20250815_ETF_Options_Exhibits'!J297:J301)),AVERAGE('20250815_ETF_Options_Exhibits'!J297:J301),"")</f>
        <v/>
      </c>
      <c r="K301" s="3">
        <f>IF(ISNUMBER(AVERAGE('20250815_ETF_Options_Exhibits'!K297:K301)),AVERAGE('20250815_ETF_Options_Exhibits'!K297:K301),"")</f>
        <v/>
      </c>
      <c r="L301" s="3">
        <f>IF(ISNUMBER(AVERAGE('20250815_ETF_Options_Exhibits'!L297:L301)),AVERAGE('20250815_ETF_Options_Exhibits'!L297:L301),"")</f>
        <v/>
      </c>
      <c r="M301" s="3">
        <f>IF(ISNUMBER(AVERAGE('20250815_ETF_Options_Exhibits'!M297:M301)),AVERAGE('20250815_ETF_Options_Exhibits'!M297:M301),"")</f>
        <v/>
      </c>
      <c r="N301" s="3">
        <f>IF(ISNUMBER(AVERAGE('20250815_ETF_Options_Exhibits'!N297:N301)),AVERAGE('20250815_ETF_Options_Exhibits'!N297:N301),"")</f>
        <v/>
      </c>
      <c r="O301" s="3">
        <f>IF(ISNUMBER(AVERAGE('20250815_ETF_Options_Exhibits'!O297:O301)),AVERAGE('20250815_ETF_Options_Exhibits'!O297:O301),"")</f>
        <v/>
      </c>
      <c r="P301" s="3">
        <f>IF(ISNUMBER(AVERAGE('20250815_ETF_Options_Exhibits'!P297:P301)),AVERAGE('20250815_ETF_Options_Exhibits'!P297:P301),"")</f>
        <v/>
      </c>
      <c r="Q301" s="3">
        <f>IF(ISNUMBER(AVERAGE('20250815_ETF_Options_Exhibits'!Q297:Q301)),AVERAGE('20250815_ETF_Options_Exhibits'!Q297:Q301),"")</f>
        <v/>
      </c>
      <c r="R301" s="3">
        <f>IF(ISNUMBER(AVERAGE('20250815_ETF_Options_Exhibits'!R297:R301)),AVERAGE('20250815_ETF_Options_Exhibits'!R297:R301),"")</f>
        <v/>
      </c>
      <c r="S301" s="3">
        <f>IF(ISNUMBER(AVERAGE('20250815_ETF_Options_Exhibits'!S297:S301)),AVERAGE('20250815_ETF_Options_Exhibits'!S297:S301),"")</f>
        <v/>
      </c>
      <c r="T301" s="3">
        <f>IF(ISNUMBER(AVERAGE('20250815_ETF_Options_Exhibits'!T297:T301)),AVERAGE('20250815_ETF_Options_Exhibits'!T297:T301),"")</f>
        <v/>
      </c>
      <c r="U301" s="3">
        <f>IF(ISNUMBER(AVERAGE('20250815_ETF_Options_Exhibits'!U297:U301)),AVERAGE('20250815_ETF_Options_Exhibits'!U297:U301),"")</f>
        <v/>
      </c>
      <c r="V301" s="3">
        <f>IF(ISNUMBER(AVERAGE('20250815_ETF_Options_Exhibits'!V297:V301)),AVERAGE('20250815_ETF_Options_Exhibits'!V297:V301),"")</f>
        <v/>
      </c>
      <c r="W301" s="3">
        <f>IF(ISNUMBER(AVERAGE('20250815_ETF_Options_Exhibits'!W297:W301)),AVERAGE('20250815_ETF_Options_Exhibits'!W297:W301),"")</f>
        <v/>
      </c>
      <c r="X301" s="3">
        <f>IF(ISNUMBER(AVERAGE('20250815_ETF_Options_Exhibits'!X297:X301)),AVERAGE('20250815_ETF_Options_Exhibits'!X297:X301),"")</f>
        <v/>
      </c>
      <c r="Y301" s="3">
        <f>IF(ISNUMBER(AVERAGE('20250815_ETF_Options_Exhibits'!Y297:Y301)),AVERAGE('20250815_ETF_Options_Exhibits'!Y297:Y301),"")</f>
        <v/>
      </c>
      <c r="Z301" s="3">
        <f>IF(ISNUMBER(AVERAGE('20250815_ETF_Options_Exhibits'!Z297:Z301)),AVERAGE('20250815_ETF_Options_Exhibits'!Z297:Z301),"")</f>
        <v/>
      </c>
      <c r="AA301" s="3">
        <f>IF(ISNUMBER(AVERAGE('20250815_ETF_Options_Exhibits'!AA297:AA301)),AVERAGE('20250815_ETF_Options_Exhibits'!AA297:AA301),"")</f>
        <v/>
      </c>
    </row>
    <row r="302">
      <c r="A302" s="1" t="n">
        <v>42440</v>
      </c>
      <c r="B302" s="3">
        <f>IF(ISNUMBER(AVERAGE('20250815_ETF_Options_Exhibits'!B298:B302)),AVERAGE('20250815_ETF_Options_Exhibits'!B298:B302),"")</f>
        <v/>
      </c>
      <c r="C302" s="3">
        <f>IF(ISNUMBER(AVERAGE('20250815_ETF_Options_Exhibits'!C298:C302)),AVERAGE('20250815_ETF_Options_Exhibits'!C298:C302),"")</f>
        <v/>
      </c>
      <c r="D302" s="3">
        <f>IF(ISNUMBER(AVERAGE('20250815_ETF_Options_Exhibits'!D298:D302)),AVERAGE('20250815_ETF_Options_Exhibits'!D298:D302),"")</f>
        <v/>
      </c>
      <c r="E302" s="3">
        <f>IF(ISNUMBER(AVERAGE('20250815_ETF_Options_Exhibits'!E298:E302)),AVERAGE('20250815_ETF_Options_Exhibits'!E298:E302),"")</f>
        <v/>
      </c>
      <c r="F302" s="3">
        <f>IF(ISNUMBER(AVERAGE('20250815_ETF_Options_Exhibits'!F298:F302)),AVERAGE('20250815_ETF_Options_Exhibits'!F298:F302),"")</f>
        <v/>
      </c>
      <c r="G302" s="3">
        <f>IF(ISNUMBER(AVERAGE('20250815_ETF_Options_Exhibits'!G298:G302)),AVERAGE('20250815_ETF_Options_Exhibits'!G298:G302),"")</f>
        <v/>
      </c>
      <c r="H302" s="3">
        <f>IF(ISNUMBER(AVERAGE('20250815_ETF_Options_Exhibits'!H298:H302)),AVERAGE('20250815_ETF_Options_Exhibits'!H298:H302),"")</f>
        <v/>
      </c>
      <c r="I302" s="3">
        <f>IF(ISNUMBER(AVERAGE('20250815_ETF_Options_Exhibits'!I298:I302)),AVERAGE('20250815_ETF_Options_Exhibits'!I298:I302),"")</f>
        <v/>
      </c>
      <c r="J302" s="3">
        <f>IF(ISNUMBER(AVERAGE('20250815_ETF_Options_Exhibits'!J298:J302)),AVERAGE('20250815_ETF_Options_Exhibits'!J298:J302),"")</f>
        <v/>
      </c>
      <c r="K302" s="3">
        <f>IF(ISNUMBER(AVERAGE('20250815_ETF_Options_Exhibits'!K298:K302)),AVERAGE('20250815_ETF_Options_Exhibits'!K298:K302),"")</f>
        <v/>
      </c>
      <c r="L302" s="3">
        <f>IF(ISNUMBER(AVERAGE('20250815_ETF_Options_Exhibits'!L298:L302)),AVERAGE('20250815_ETF_Options_Exhibits'!L298:L302),"")</f>
        <v/>
      </c>
      <c r="M302" s="3">
        <f>IF(ISNUMBER(AVERAGE('20250815_ETF_Options_Exhibits'!M298:M302)),AVERAGE('20250815_ETF_Options_Exhibits'!M298:M302),"")</f>
        <v/>
      </c>
      <c r="N302" s="3">
        <f>IF(ISNUMBER(AVERAGE('20250815_ETF_Options_Exhibits'!N298:N302)),AVERAGE('20250815_ETF_Options_Exhibits'!N298:N302),"")</f>
        <v/>
      </c>
      <c r="O302" s="3">
        <f>IF(ISNUMBER(AVERAGE('20250815_ETF_Options_Exhibits'!O298:O302)),AVERAGE('20250815_ETF_Options_Exhibits'!O298:O302),"")</f>
        <v/>
      </c>
      <c r="P302" s="3">
        <f>IF(ISNUMBER(AVERAGE('20250815_ETF_Options_Exhibits'!P298:P302)),AVERAGE('20250815_ETF_Options_Exhibits'!P298:P302),"")</f>
        <v/>
      </c>
      <c r="Q302" s="3">
        <f>IF(ISNUMBER(AVERAGE('20250815_ETF_Options_Exhibits'!Q298:Q302)),AVERAGE('20250815_ETF_Options_Exhibits'!Q298:Q302),"")</f>
        <v/>
      </c>
      <c r="R302" s="3">
        <f>IF(ISNUMBER(AVERAGE('20250815_ETF_Options_Exhibits'!R298:R302)),AVERAGE('20250815_ETF_Options_Exhibits'!R298:R302),"")</f>
        <v/>
      </c>
      <c r="S302" s="3">
        <f>IF(ISNUMBER(AVERAGE('20250815_ETF_Options_Exhibits'!S298:S302)),AVERAGE('20250815_ETF_Options_Exhibits'!S298:S302),"")</f>
        <v/>
      </c>
      <c r="T302" s="3">
        <f>IF(ISNUMBER(AVERAGE('20250815_ETF_Options_Exhibits'!T298:T302)),AVERAGE('20250815_ETF_Options_Exhibits'!T298:T302),"")</f>
        <v/>
      </c>
      <c r="U302" s="3">
        <f>IF(ISNUMBER(AVERAGE('20250815_ETF_Options_Exhibits'!U298:U302)),AVERAGE('20250815_ETF_Options_Exhibits'!U298:U302),"")</f>
        <v/>
      </c>
      <c r="V302" s="3">
        <f>IF(ISNUMBER(AVERAGE('20250815_ETF_Options_Exhibits'!V298:V302)),AVERAGE('20250815_ETF_Options_Exhibits'!V298:V302),"")</f>
        <v/>
      </c>
      <c r="W302" s="3">
        <f>IF(ISNUMBER(AVERAGE('20250815_ETF_Options_Exhibits'!W298:W302)),AVERAGE('20250815_ETF_Options_Exhibits'!W298:W302),"")</f>
        <v/>
      </c>
      <c r="X302" s="3">
        <f>IF(ISNUMBER(AVERAGE('20250815_ETF_Options_Exhibits'!X298:X302)),AVERAGE('20250815_ETF_Options_Exhibits'!X298:X302),"")</f>
        <v/>
      </c>
      <c r="Y302" s="3">
        <f>IF(ISNUMBER(AVERAGE('20250815_ETF_Options_Exhibits'!Y298:Y302)),AVERAGE('20250815_ETF_Options_Exhibits'!Y298:Y302),"")</f>
        <v/>
      </c>
      <c r="Z302" s="3">
        <f>IF(ISNUMBER(AVERAGE('20250815_ETF_Options_Exhibits'!Z298:Z302)),AVERAGE('20250815_ETF_Options_Exhibits'!Z298:Z302),"")</f>
        <v/>
      </c>
      <c r="AA302" s="3">
        <f>IF(ISNUMBER(AVERAGE('20250815_ETF_Options_Exhibits'!AA298:AA302)),AVERAGE('20250815_ETF_Options_Exhibits'!AA298:AA302),"")</f>
        <v/>
      </c>
    </row>
    <row r="303">
      <c r="A303" s="1" t="n">
        <v>42443</v>
      </c>
      <c r="B303" s="3">
        <f>IF(ISNUMBER(AVERAGE('20250815_ETF_Options_Exhibits'!B299:B303)),AVERAGE('20250815_ETF_Options_Exhibits'!B299:B303),"")</f>
        <v/>
      </c>
      <c r="C303" s="3">
        <f>IF(ISNUMBER(AVERAGE('20250815_ETF_Options_Exhibits'!C299:C303)),AVERAGE('20250815_ETF_Options_Exhibits'!C299:C303),"")</f>
        <v/>
      </c>
      <c r="D303" s="3">
        <f>IF(ISNUMBER(AVERAGE('20250815_ETF_Options_Exhibits'!D299:D303)),AVERAGE('20250815_ETF_Options_Exhibits'!D299:D303),"")</f>
        <v/>
      </c>
      <c r="E303" s="3">
        <f>IF(ISNUMBER(AVERAGE('20250815_ETF_Options_Exhibits'!E299:E303)),AVERAGE('20250815_ETF_Options_Exhibits'!E299:E303),"")</f>
        <v/>
      </c>
      <c r="F303" s="3">
        <f>IF(ISNUMBER(AVERAGE('20250815_ETF_Options_Exhibits'!F299:F303)),AVERAGE('20250815_ETF_Options_Exhibits'!F299:F303),"")</f>
        <v/>
      </c>
      <c r="G303" s="3">
        <f>IF(ISNUMBER(AVERAGE('20250815_ETF_Options_Exhibits'!G299:G303)),AVERAGE('20250815_ETF_Options_Exhibits'!G299:G303),"")</f>
        <v/>
      </c>
      <c r="H303" s="3">
        <f>IF(ISNUMBER(AVERAGE('20250815_ETF_Options_Exhibits'!H299:H303)),AVERAGE('20250815_ETF_Options_Exhibits'!H299:H303),"")</f>
        <v/>
      </c>
      <c r="I303" s="3">
        <f>IF(ISNUMBER(AVERAGE('20250815_ETF_Options_Exhibits'!I299:I303)),AVERAGE('20250815_ETF_Options_Exhibits'!I299:I303),"")</f>
        <v/>
      </c>
      <c r="J303" s="3">
        <f>IF(ISNUMBER(AVERAGE('20250815_ETF_Options_Exhibits'!J299:J303)),AVERAGE('20250815_ETF_Options_Exhibits'!J299:J303),"")</f>
        <v/>
      </c>
      <c r="K303" s="3">
        <f>IF(ISNUMBER(AVERAGE('20250815_ETF_Options_Exhibits'!K299:K303)),AVERAGE('20250815_ETF_Options_Exhibits'!K299:K303),"")</f>
        <v/>
      </c>
      <c r="L303" s="3">
        <f>IF(ISNUMBER(AVERAGE('20250815_ETF_Options_Exhibits'!L299:L303)),AVERAGE('20250815_ETF_Options_Exhibits'!L299:L303),"")</f>
        <v/>
      </c>
      <c r="M303" s="3">
        <f>IF(ISNUMBER(AVERAGE('20250815_ETF_Options_Exhibits'!M299:M303)),AVERAGE('20250815_ETF_Options_Exhibits'!M299:M303),"")</f>
        <v/>
      </c>
      <c r="N303" s="3">
        <f>IF(ISNUMBER(AVERAGE('20250815_ETF_Options_Exhibits'!N299:N303)),AVERAGE('20250815_ETF_Options_Exhibits'!N299:N303),"")</f>
        <v/>
      </c>
      <c r="O303" s="3">
        <f>IF(ISNUMBER(AVERAGE('20250815_ETF_Options_Exhibits'!O299:O303)),AVERAGE('20250815_ETF_Options_Exhibits'!O299:O303),"")</f>
        <v/>
      </c>
      <c r="P303" s="3">
        <f>IF(ISNUMBER(AVERAGE('20250815_ETF_Options_Exhibits'!P299:P303)),AVERAGE('20250815_ETF_Options_Exhibits'!P299:P303),"")</f>
        <v/>
      </c>
      <c r="Q303" s="3">
        <f>IF(ISNUMBER(AVERAGE('20250815_ETF_Options_Exhibits'!Q299:Q303)),AVERAGE('20250815_ETF_Options_Exhibits'!Q299:Q303),"")</f>
        <v/>
      </c>
      <c r="R303" s="3">
        <f>IF(ISNUMBER(AVERAGE('20250815_ETF_Options_Exhibits'!R299:R303)),AVERAGE('20250815_ETF_Options_Exhibits'!R299:R303),"")</f>
        <v/>
      </c>
      <c r="S303" s="3">
        <f>IF(ISNUMBER(AVERAGE('20250815_ETF_Options_Exhibits'!S299:S303)),AVERAGE('20250815_ETF_Options_Exhibits'!S299:S303),"")</f>
        <v/>
      </c>
      <c r="T303" s="3">
        <f>IF(ISNUMBER(AVERAGE('20250815_ETF_Options_Exhibits'!T299:T303)),AVERAGE('20250815_ETF_Options_Exhibits'!T299:T303),"")</f>
        <v/>
      </c>
      <c r="U303" s="3">
        <f>IF(ISNUMBER(AVERAGE('20250815_ETF_Options_Exhibits'!U299:U303)),AVERAGE('20250815_ETF_Options_Exhibits'!U299:U303),"")</f>
        <v/>
      </c>
      <c r="V303" s="3">
        <f>IF(ISNUMBER(AVERAGE('20250815_ETF_Options_Exhibits'!V299:V303)),AVERAGE('20250815_ETF_Options_Exhibits'!V299:V303),"")</f>
        <v/>
      </c>
      <c r="W303" s="3">
        <f>IF(ISNUMBER(AVERAGE('20250815_ETF_Options_Exhibits'!W299:W303)),AVERAGE('20250815_ETF_Options_Exhibits'!W299:W303),"")</f>
        <v/>
      </c>
      <c r="X303" s="3">
        <f>IF(ISNUMBER(AVERAGE('20250815_ETF_Options_Exhibits'!X299:X303)),AVERAGE('20250815_ETF_Options_Exhibits'!X299:X303),"")</f>
        <v/>
      </c>
      <c r="Y303" s="3">
        <f>IF(ISNUMBER(AVERAGE('20250815_ETF_Options_Exhibits'!Y299:Y303)),AVERAGE('20250815_ETF_Options_Exhibits'!Y299:Y303),"")</f>
        <v/>
      </c>
      <c r="Z303" s="3">
        <f>IF(ISNUMBER(AVERAGE('20250815_ETF_Options_Exhibits'!Z299:Z303)),AVERAGE('20250815_ETF_Options_Exhibits'!Z299:Z303),"")</f>
        <v/>
      </c>
      <c r="AA303" s="3">
        <f>IF(ISNUMBER(AVERAGE('20250815_ETF_Options_Exhibits'!AA299:AA303)),AVERAGE('20250815_ETF_Options_Exhibits'!AA299:AA303),"")</f>
        <v/>
      </c>
    </row>
    <row r="304">
      <c r="A304" s="1" t="n">
        <v>42444</v>
      </c>
      <c r="B304" s="3">
        <f>IF(ISNUMBER(AVERAGE('20250815_ETF_Options_Exhibits'!B300:B304)),AVERAGE('20250815_ETF_Options_Exhibits'!B300:B304),"")</f>
        <v/>
      </c>
      <c r="C304" s="3">
        <f>IF(ISNUMBER(AVERAGE('20250815_ETF_Options_Exhibits'!C300:C304)),AVERAGE('20250815_ETF_Options_Exhibits'!C300:C304),"")</f>
        <v/>
      </c>
      <c r="D304" s="3">
        <f>IF(ISNUMBER(AVERAGE('20250815_ETF_Options_Exhibits'!D300:D304)),AVERAGE('20250815_ETF_Options_Exhibits'!D300:D304),"")</f>
        <v/>
      </c>
      <c r="E304" s="3">
        <f>IF(ISNUMBER(AVERAGE('20250815_ETF_Options_Exhibits'!E300:E304)),AVERAGE('20250815_ETF_Options_Exhibits'!E300:E304),"")</f>
        <v/>
      </c>
      <c r="F304" s="3">
        <f>IF(ISNUMBER(AVERAGE('20250815_ETF_Options_Exhibits'!F300:F304)),AVERAGE('20250815_ETF_Options_Exhibits'!F300:F304),"")</f>
        <v/>
      </c>
      <c r="G304" s="3">
        <f>IF(ISNUMBER(AVERAGE('20250815_ETF_Options_Exhibits'!G300:G304)),AVERAGE('20250815_ETF_Options_Exhibits'!G300:G304),"")</f>
        <v/>
      </c>
      <c r="H304" s="3">
        <f>IF(ISNUMBER(AVERAGE('20250815_ETF_Options_Exhibits'!H300:H304)),AVERAGE('20250815_ETF_Options_Exhibits'!H300:H304),"")</f>
        <v/>
      </c>
      <c r="I304" s="3">
        <f>IF(ISNUMBER(AVERAGE('20250815_ETF_Options_Exhibits'!I300:I304)),AVERAGE('20250815_ETF_Options_Exhibits'!I300:I304),"")</f>
        <v/>
      </c>
      <c r="J304" s="3">
        <f>IF(ISNUMBER(AVERAGE('20250815_ETF_Options_Exhibits'!J300:J304)),AVERAGE('20250815_ETF_Options_Exhibits'!J300:J304),"")</f>
        <v/>
      </c>
      <c r="K304" s="3">
        <f>IF(ISNUMBER(AVERAGE('20250815_ETF_Options_Exhibits'!K300:K304)),AVERAGE('20250815_ETF_Options_Exhibits'!K300:K304),"")</f>
        <v/>
      </c>
      <c r="L304" s="3">
        <f>IF(ISNUMBER(AVERAGE('20250815_ETF_Options_Exhibits'!L300:L304)),AVERAGE('20250815_ETF_Options_Exhibits'!L300:L304),"")</f>
        <v/>
      </c>
      <c r="M304" s="3">
        <f>IF(ISNUMBER(AVERAGE('20250815_ETF_Options_Exhibits'!M300:M304)),AVERAGE('20250815_ETF_Options_Exhibits'!M300:M304),"")</f>
        <v/>
      </c>
      <c r="N304" s="3">
        <f>IF(ISNUMBER(AVERAGE('20250815_ETF_Options_Exhibits'!N300:N304)),AVERAGE('20250815_ETF_Options_Exhibits'!N300:N304),"")</f>
        <v/>
      </c>
      <c r="O304" s="3">
        <f>IF(ISNUMBER(AVERAGE('20250815_ETF_Options_Exhibits'!O300:O304)),AVERAGE('20250815_ETF_Options_Exhibits'!O300:O304),"")</f>
        <v/>
      </c>
      <c r="P304" s="3">
        <f>IF(ISNUMBER(AVERAGE('20250815_ETF_Options_Exhibits'!P300:P304)),AVERAGE('20250815_ETF_Options_Exhibits'!P300:P304),"")</f>
        <v/>
      </c>
      <c r="Q304" s="3">
        <f>IF(ISNUMBER(AVERAGE('20250815_ETF_Options_Exhibits'!Q300:Q304)),AVERAGE('20250815_ETF_Options_Exhibits'!Q300:Q304),"")</f>
        <v/>
      </c>
      <c r="R304" s="3">
        <f>IF(ISNUMBER(AVERAGE('20250815_ETF_Options_Exhibits'!R300:R304)),AVERAGE('20250815_ETF_Options_Exhibits'!R300:R304),"")</f>
        <v/>
      </c>
      <c r="S304" s="3">
        <f>IF(ISNUMBER(AVERAGE('20250815_ETF_Options_Exhibits'!S300:S304)),AVERAGE('20250815_ETF_Options_Exhibits'!S300:S304),"")</f>
        <v/>
      </c>
      <c r="T304" s="3">
        <f>IF(ISNUMBER(AVERAGE('20250815_ETF_Options_Exhibits'!T300:T304)),AVERAGE('20250815_ETF_Options_Exhibits'!T300:T304),"")</f>
        <v/>
      </c>
      <c r="U304" s="3">
        <f>IF(ISNUMBER(AVERAGE('20250815_ETF_Options_Exhibits'!U300:U304)),AVERAGE('20250815_ETF_Options_Exhibits'!U300:U304),"")</f>
        <v/>
      </c>
      <c r="V304" s="3">
        <f>IF(ISNUMBER(AVERAGE('20250815_ETF_Options_Exhibits'!V300:V304)),AVERAGE('20250815_ETF_Options_Exhibits'!V300:V304),"")</f>
        <v/>
      </c>
      <c r="W304" s="3">
        <f>IF(ISNUMBER(AVERAGE('20250815_ETF_Options_Exhibits'!W300:W304)),AVERAGE('20250815_ETF_Options_Exhibits'!W300:W304),"")</f>
        <v/>
      </c>
      <c r="X304" s="3">
        <f>IF(ISNUMBER(AVERAGE('20250815_ETF_Options_Exhibits'!X300:X304)),AVERAGE('20250815_ETF_Options_Exhibits'!X300:X304),"")</f>
        <v/>
      </c>
      <c r="Y304" s="3">
        <f>IF(ISNUMBER(AVERAGE('20250815_ETF_Options_Exhibits'!Y300:Y304)),AVERAGE('20250815_ETF_Options_Exhibits'!Y300:Y304),"")</f>
        <v/>
      </c>
      <c r="Z304" s="3">
        <f>IF(ISNUMBER(AVERAGE('20250815_ETF_Options_Exhibits'!Z300:Z304)),AVERAGE('20250815_ETF_Options_Exhibits'!Z300:Z304),"")</f>
        <v/>
      </c>
      <c r="AA304" s="3">
        <f>IF(ISNUMBER(AVERAGE('20250815_ETF_Options_Exhibits'!AA300:AA304)),AVERAGE('20250815_ETF_Options_Exhibits'!AA300:AA304),"")</f>
        <v/>
      </c>
    </row>
    <row r="305">
      <c r="A305" s="1" t="n">
        <v>42445</v>
      </c>
      <c r="B305" s="3">
        <f>IF(ISNUMBER(AVERAGE('20250815_ETF_Options_Exhibits'!B301:B305)),AVERAGE('20250815_ETF_Options_Exhibits'!B301:B305),"")</f>
        <v/>
      </c>
      <c r="C305" s="3">
        <f>IF(ISNUMBER(AVERAGE('20250815_ETF_Options_Exhibits'!C301:C305)),AVERAGE('20250815_ETF_Options_Exhibits'!C301:C305),"")</f>
        <v/>
      </c>
      <c r="D305" s="3">
        <f>IF(ISNUMBER(AVERAGE('20250815_ETF_Options_Exhibits'!D301:D305)),AVERAGE('20250815_ETF_Options_Exhibits'!D301:D305),"")</f>
        <v/>
      </c>
      <c r="E305" s="3">
        <f>IF(ISNUMBER(AVERAGE('20250815_ETF_Options_Exhibits'!E301:E305)),AVERAGE('20250815_ETF_Options_Exhibits'!E301:E305),"")</f>
        <v/>
      </c>
      <c r="F305" s="3">
        <f>IF(ISNUMBER(AVERAGE('20250815_ETF_Options_Exhibits'!F301:F305)),AVERAGE('20250815_ETF_Options_Exhibits'!F301:F305),"")</f>
        <v/>
      </c>
      <c r="G305" s="3">
        <f>IF(ISNUMBER(AVERAGE('20250815_ETF_Options_Exhibits'!G301:G305)),AVERAGE('20250815_ETF_Options_Exhibits'!G301:G305),"")</f>
        <v/>
      </c>
      <c r="H305" s="3">
        <f>IF(ISNUMBER(AVERAGE('20250815_ETF_Options_Exhibits'!H301:H305)),AVERAGE('20250815_ETF_Options_Exhibits'!H301:H305),"")</f>
        <v/>
      </c>
      <c r="I305" s="3">
        <f>IF(ISNUMBER(AVERAGE('20250815_ETF_Options_Exhibits'!I301:I305)),AVERAGE('20250815_ETF_Options_Exhibits'!I301:I305),"")</f>
        <v/>
      </c>
      <c r="J305" s="3">
        <f>IF(ISNUMBER(AVERAGE('20250815_ETF_Options_Exhibits'!J301:J305)),AVERAGE('20250815_ETF_Options_Exhibits'!J301:J305),"")</f>
        <v/>
      </c>
      <c r="K305" s="3">
        <f>IF(ISNUMBER(AVERAGE('20250815_ETF_Options_Exhibits'!K301:K305)),AVERAGE('20250815_ETF_Options_Exhibits'!K301:K305),"")</f>
        <v/>
      </c>
      <c r="L305" s="3">
        <f>IF(ISNUMBER(AVERAGE('20250815_ETF_Options_Exhibits'!L301:L305)),AVERAGE('20250815_ETF_Options_Exhibits'!L301:L305),"")</f>
        <v/>
      </c>
      <c r="M305" s="3">
        <f>IF(ISNUMBER(AVERAGE('20250815_ETF_Options_Exhibits'!M301:M305)),AVERAGE('20250815_ETF_Options_Exhibits'!M301:M305),"")</f>
        <v/>
      </c>
      <c r="N305" s="3">
        <f>IF(ISNUMBER(AVERAGE('20250815_ETF_Options_Exhibits'!N301:N305)),AVERAGE('20250815_ETF_Options_Exhibits'!N301:N305),"")</f>
        <v/>
      </c>
      <c r="O305" s="3">
        <f>IF(ISNUMBER(AVERAGE('20250815_ETF_Options_Exhibits'!O301:O305)),AVERAGE('20250815_ETF_Options_Exhibits'!O301:O305),"")</f>
        <v/>
      </c>
      <c r="P305" s="3">
        <f>IF(ISNUMBER(AVERAGE('20250815_ETF_Options_Exhibits'!P301:P305)),AVERAGE('20250815_ETF_Options_Exhibits'!P301:P305),"")</f>
        <v/>
      </c>
      <c r="Q305" s="3">
        <f>IF(ISNUMBER(AVERAGE('20250815_ETF_Options_Exhibits'!Q301:Q305)),AVERAGE('20250815_ETF_Options_Exhibits'!Q301:Q305),"")</f>
        <v/>
      </c>
      <c r="R305" s="3">
        <f>IF(ISNUMBER(AVERAGE('20250815_ETF_Options_Exhibits'!R301:R305)),AVERAGE('20250815_ETF_Options_Exhibits'!R301:R305),"")</f>
        <v/>
      </c>
      <c r="S305" s="3">
        <f>IF(ISNUMBER(AVERAGE('20250815_ETF_Options_Exhibits'!S301:S305)),AVERAGE('20250815_ETF_Options_Exhibits'!S301:S305),"")</f>
        <v/>
      </c>
      <c r="T305" s="3">
        <f>IF(ISNUMBER(AVERAGE('20250815_ETF_Options_Exhibits'!T301:T305)),AVERAGE('20250815_ETF_Options_Exhibits'!T301:T305),"")</f>
        <v/>
      </c>
      <c r="U305" s="3">
        <f>IF(ISNUMBER(AVERAGE('20250815_ETF_Options_Exhibits'!U301:U305)),AVERAGE('20250815_ETF_Options_Exhibits'!U301:U305),"")</f>
        <v/>
      </c>
      <c r="V305" s="3">
        <f>IF(ISNUMBER(AVERAGE('20250815_ETF_Options_Exhibits'!V301:V305)),AVERAGE('20250815_ETF_Options_Exhibits'!V301:V305),"")</f>
        <v/>
      </c>
      <c r="W305" s="3">
        <f>IF(ISNUMBER(AVERAGE('20250815_ETF_Options_Exhibits'!W301:W305)),AVERAGE('20250815_ETF_Options_Exhibits'!W301:W305),"")</f>
        <v/>
      </c>
      <c r="X305" s="3">
        <f>IF(ISNUMBER(AVERAGE('20250815_ETF_Options_Exhibits'!X301:X305)),AVERAGE('20250815_ETF_Options_Exhibits'!X301:X305),"")</f>
        <v/>
      </c>
      <c r="Y305" s="3">
        <f>IF(ISNUMBER(AVERAGE('20250815_ETF_Options_Exhibits'!Y301:Y305)),AVERAGE('20250815_ETF_Options_Exhibits'!Y301:Y305),"")</f>
        <v/>
      </c>
      <c r="Z305" s="3">
        <f>IF(ISNUMBER(AVERAGE('20250815_ETF_Options_Exhibits'!Z301:Z305)),AVERAGE('20250815_ETF_Options_Exhibits'!Z301:Z305),"")</f>
        <v/>
      </c>
      <c r="AA305" s="3">
        <f>IF(ISNUMBER(AVERAGE('20250815_ETF_Options_Exhibits'!AA301:AA305)),AVERAGE('20250815_ETF_Options_Exhibits'!AA301:AA305),"")</f>
        <v/>
      </c>
    </row>
    <row r="306">
      <c r="A306" s="1" t="n">
        <v>42446</v>
      </c>
      <c r="B306" s="3">
        <f>IF(ISNUMBER(AVERAGE('20250815_ETF_Options_Exhibits'!B302:B306)),AVERAGE('20250815_ETF_Options_Exhibits'!B302:B306),"")</f>
        <v/>
      </c>
      <c r="C306" s="3">
        <f>IF(ISNUMBER(AVERAGE('20250815_ETF_Options_Exhibits'!C302:C306)),AVERAGE('20250815_ETF_Options_Exhibits'!C302:C306),"")</f>
        <v/>
      </c>
      <c r="D306" s="3">
        <f>IF(ISNUMBER(AVERAGE('20250815_ETF_Options_Exhibits'!D302:D306)),AVERAGE('20250815_ETF_Options_Exhibits'!D302:D306),"")</f>
        <v/>
      </c>
      <c r="E306" s="3">
        <f>IF(ISNUMBER(AVERAGE('20250815_ETF_Options_Exhibits'!E302:E306)),AVERAGE('20250815_ETF_Options_Exhibits'!E302:E306),"")</f>
        <v/>
      </c>
      <c r="F306" s="3">
        <f>IF(ISNUMBER(AVERAGE('20250815_ETF_Options_Exhibits'!F302:F306)),AVERAGE('20250815_ETF_Options_Exhibits'!F302:F306),"")</f>
        <v/>
      </c>
      <c r="G306" s="3">
        <f>IF(ISNUMBER(AVERAGE('20250815_ETF_Options_Exhibits'!G302:G306)),AVERAGE('20250815_ETF_Options_Exhibits'!G302:G306),"")</f>
        <v/>
      </c>
      <c r="H306" s="3">
        <f>IF(ISNUMBER(AVERAGE('20250815_ETF_Options_Exhibits'!H302:H306)),AVERAGE('20250815_ETF_Options_Exhibits'!H302:H306),"")</f>
        <v/>
      </c>
      <c r="I306" s="3">
        <f>IF(ISNUMBER(AVERAGE('20250815_ETF_Options_Exhibits'!I302:I306)),AVERAGE('20250815_ETF_Options_Exhibits'!I302:I306),"")</f>
        <v/>
      </c>
      <c r="J306" s="3">
        <f>IF(ISNUMBER(AVERAGE('20250815_ETF_Options_Exhibits'!J302:J306)),AVERAGE('20250815_ETF_Options_Exhibits'!J302:J306),"")</f>
        <v/>
      </c>
      <c r="K306" s="3">
        <f>IF(ISNUMBER(AVERAGE('20250815_ETF_Options_Exhibits'!K302:K306)),AVERAGE('20250815_ETF_Options_Exhibits'!K302:K306),"")</f>
        <v/>
      </c>
      <c r="L306" s="3">
        <f>IF(ISNUMBER(AVERAGE('20250815_ETF_Options_Exhibits'!L302:L306)),AVERAGE('20250815_ETF_Options_Exhibits'!L302:L306),"")</f>
        <v/>
      </c>
      <c r="M306" s="3">
        <f>IF(ISNUMBER(AVERAGE('20250815_ETF_Options_Exhibits'!M302:M306)),AVERAGE('20250815_ETF_Options_Exhibits'!M302:M306),"")</f>
        <v/>
      </c>
      <c r="N306" s="3">
        <f>IF(ISNUMBER(AVERAGE('20250815_ETF_Options_Exhibits'!N302:N306)),AVERAGE('20250815_ETF_Options_Exhibits'!N302:N306),"")</f>
        <v/>
      </c>
      <c r="O306" s="3">
        <f>IF(ISNUMBER(AVERAGE('20250815_ETF_Options_Exhibits'!O302:O306)),AVERAGE('20250815_ETF_Options_Exhibits'!O302:O306),"")</f>
        <v/>
      </c>
      <c r="P306" s="3">
        <f>IF(ISNUMBER(AVERAGE('20250815_ETF_Options_Exhibits'!P302:P306)),AVERAGE('20250815_ETF_Options_Exhibits'!P302:P306),"")</f>
        <v/>
      </c>
      <c r="Q306" s="3">
        <f>IF(ISNUMBER(AVERAGE('20250815_ETF_Options_Exhibits'!Q302:Q306)),AVERAGE('20250815_ETF_Options_Exhibits'!Q302:Q306),"")</f>
        <v/>
      </c>
      <c r="R306" s="3">
        <f>IF(ISNUMBER(AVERAGE('20250815_ETF_Options_Exhibits'!R302:R306)),AVERAGE('20250815_ETF_Options_Exhibits'!R302:R306),"")</f>
        <v/>
      </c>
      <c r="S306" s="3">
        <f>IF(ISNUMBER(AVERAGE('20250815_ETF_Options_Exhibits'!S302:S306)),AVERAGE('20250815_ETF_Options_Exhibits'!S302:S306),"")</f>
        <v/>
      </c>
      <c r="T306" s="3">
        <f>IF(ISNUMBER(AVERAGE('20250815_ETF_Options_Exhibits'!T302:T306)),AVERAGE('20250815_ETF_Options_Exhibits'!T302:T306),"")</f>
        <v/>
      </c>
      <c r="U306" s="3">
        <f>IF(ISNUMBER(AVERAGE('20250815_ETF_Options_Exhibits'!U302:U306)),AVERAGE('20250815_ETF_Options_Exhibits'!U302:U306),"")</f>
        <v/>
      </c>
      <c r="V306" s="3">
        <f>IF(ISNUMBER(AVERAGE('20250815_ETF_Options_Exhibits'!V302:V306)),AVERAGE('20250815_ETF_Options_Exhibits'!V302:V306),"")</f>
        <v/>
      </c>
      <c r="W306" s="3">
        <f>IF(ISNUMBER(AVERAGE('20250815_ETF_Options_Exhibits'!W302:W306)),AVERAGE('20250815_ETF_Options_Exhibits'!W302:W306),"")</f>
        <v/>
      </c>
      <c r="X306" s="3">
        <f>IF(ISNUMBER(AVERAGE('20250815_ETF_Options_Exhibits'!X302:X306)),AVERAGE('20250815_ETF_Options_Exhibits'!X302:X306),"")</f>
        <v/>
      </c>
      <c r="Y306" s="3">
        <f>IF(ISNUMBER(AVERAGE('20250815_ETF_Options_Exhibits'!Y302:Y306)),AVERAGE('20250815_ETF_Options_Exhibits'!Y302:Y306),"")</f>
        <v/>
      </c>
      <c r="Z306" s="3">
        <f>IF(ISNUMBER(AVERAGE('20250815_ETF_Options_Exhibits'!Z302:Z306)),AVERAGE('20250815_ETF_Options_Exhibits'!Z302:Z306),"")</f>
        <v/>
      </c>
      <c r="AA306" s="3">
        <f>IF(ISNUMBER(AVERAGE('20250815_ETF_Options_Exhibits'!AA302:AA306)),AVERAGE('20250815_ETF_Options_Exhibits'!AA302:AA306),"")</f>
        <v/>
      </c>
    </row>
    <row r="307">
      <c r="A307" s="1" t="n">
        <v>42447</v>
      </c>
      <c r="B307" s="3">
        <f>IF(ISNUMBER(AVERAGE('20250815_ETF_Options_Exhibits'!B303:B307)),AVERAGE('20250815_ETF_Options_Exhibits'!B303:B307),"")</f>
        <v/>
      </c>
      <c r="C307" s="3">
        <f>IF(ISNUMBER(AVERAGE('20250815_ETF_Options_Exhibits'!C303:C307)),AVERAGE('20250815_ETF_Options_Exhibits'!C303:C307),"")</f>
        <v/>
      </c>
      <c r="D307" s="3">
        <f>IF(ISNUMBER(AVERAGE('20250815_ETF_Options_Exhibits'!D303:D307)),AVERAGE('20250815_ETF_Options_Exhibits'!D303:D307),"")</f>
        <v/>
      </c>
      <c r="E307" s="3">
        <f>IF(ISNUMBER(AVERAGE('20250815_ETF_Options_Exhibits'!E303:E307)),AVERAGE('20250815_ETF_Options_Exhibits'!E303:E307),"")</f>
        <v/>
      </c>
      <c r="F307" s="3">
        <f>IF(ISNUMBER(AVERAGE('20250815_ETF_Options_Exhibits'!F303:F307)),AVERAGE('20250815_ETF_Options_Exhibits'!F303:F307),"")</f>
        <v/>
      </c>
      <c r="G307" s="3">
        <f>IF(ISNUMBER(AVERAGE('20250815_ETF_Options_Exhibits'!G303:G307)),AVERAGE('20250815_ETF_Options_Exhibits'!G303:G307),"")</f>
        <v/>
      </c>
      <c r="H307" s="3">
        <f>IF(ISNUMBER(AVERAGE('20250815_ETF_Options_Exhibits'!H303:H307)),AVERAGE('20250815_ETF_Options_Exhibits'!H303:H307),"")</f>
        <v/>
      </c>
      <c r="I307" s="3">
        <f>IF(ISNUMBER(AVERAGE('20250815_ETF_Options_Exhibits'!I303:I307)),AVERAGE('20250815_ETF_Options_Exhibits'!I303:I307),"")</f>
        <v/>
      </c>
      <c r="J307" s="3">
        <f>IF(ISNUMBER(AVERAGE('20250815_ETF_Options_Exhibits'!J303:J307)),AVERAGE('20250815_ETF_Options_Exhibits'!J303:J307),"")</f>
        <v/>
      </c>
      <c r="K307" s="3">
        <f>IF(ISNUMBER(AVERAGE('20250815_ETF_Options_Exhibits'!K303:K307)),AVERAGE('20250815_ETF_Options_Exhibits'!K303:K307),"")</f>
        <v/>
      </c>
      <c r="L307" s="3">
        <f>IF(ISNUMBER(AVERAGE('20250815_ETF_Options_Exhibits'!L303:L307)),AVERAGE('20250815_ETF_Options_Exhibits'!L303:L307),"")</f>
        <v/>
      </c>
      <c r="M307" s="3">
        <f>IF(ISNUMBER(AVERAGE('20250815_ETF_Options_Exhibits'!M303:M307)),AVERAGE('20250815_ETF_Options_Exhibits'!M303:M307),"")</f>
        <v/>
      </c>
      <c r="N307" s="3">
        <f>IF(ISNUMBER(AVERAGE('20250815_ETF_Options_Exhibits'!N303:N307)),AVERAGE('20250815_ETF_Options_Exhibits'!N303:N307),"")</f>
        <v/>
      </c>
      <c r="O307" s="3">
        <f>IF(ISNUMBER(AVERAGE('20250815_ETF_Options_Exhibits'!O303:O307)),AVERAGE('20250815_ETF_Options_Exhibits'!O303:O307),"")</f>
        <v/>
      </c>
      <c r="P307" s="3">
        <f>IF(ISNUMBER(AVERAGE('20250815_ETF_Options_Exhibits'!P303:P307)),AVERAGE('20250815_ETF_Options_Exhibits'!P303:P307),"")</f>
        <v/>
      </c>
      <c r="Q307" s="3">
        <f>IF(ISNUMBER(AVERAGE('20250815_ETF_Options_Exhibits'!Q303:Q307)),AVERAGE('20250815_ETF_Options_Exhibits'!Q303:Q307),"")</f>
        <v/>
      </c>
      <c r="R307" s="3">
        <f>IF(ISNUMBER(AVERAGE('20250815_ETF_Options_Exhibits'!R303:R307)),AVERAGE('20250815_ETF_Options_Exhibits'!R303:R307),"")</f>
        <v/>
      </c>
      <c r="S307" s="3">
        <f>IF(ISNUMBER(AVERAGE('20250815_ETF_Options_Exhibits'!S303:S307)),AVERAGE('20250815_ETF_Options_Exhibits'!S303:S307),"")</f>
        <v/>
      </c>
      <c r="T307" s="3">
        <f>IF(ISNUMBER(AVERAGE('20250815_ETF_Options_Exhibits'!T303:T307)),AVERAGE('20250815_ETF_Options_Exhibits'!T303:T307),"")</f>
        <v/>
      </c>
      <c r="U307" s="3">
        <f>IF(ISNUMBER(AVERAGE('20250815_ETF_Options_Exhibits'!U303:U307)),AVERAGE('20250815_ETF_Options_Exhibits'!U303:U307),"")</f>
        <v/>
      </c>
      <c r="V307" s="3">
        <f>IF(ISNUMBER(AVERAGE('20250815_ETF_Options_Exhibits'!V303:V307)),AVERAGE('20250815_ETF_Options_Exhibits'!V303:V307),"")</f>
        <v/>
      </c>
      <c r="W307" s="3">
        <f>IF(ISNUMBER(AVERAGE('20250815_ETF_Options_Exhibits'!W303:W307)),AVERAGE('20250815_ETF_Options_Exhibits'!W303:W307),"")</f>
        <v/>
      </c>
      <c r="X307" s="3">
        <f>IF(ISNUMBER(AVERAGE('20250815_ETF_Options_Exhibits'!X303:X307)),AVERAGE('20250815_ETF_Options_Exhibits'!X303:X307),"")</f>
        <v/>
      </c>
      <c r="Y307" s="3">
        <f>IF(ISNUMBER(AVERAGE('20250815_ETF_Options_Exhibits'!Y303:Y307)),AVERAGE('20250815_ETF_Options_Exhibits'!Y303:Y307),"")</f>
        <v/>
      </c>
      <c r="Z307" s="3">
        <f>IF(ISNUMBER(AVERAGE('20250815_ETF_Options_Exhibits'!Z303:Z307)),AVERAGE('20250815_ETF_Options_Exhibits'!Z303:Z307),"")</f>
        <v/>
      </c>
      <c r="AA307" s="3">
        <f>IF(ISNUMBER(AVERAGE('20250815_ETF_Options_Exhibits'!AA303:AA307)),AVERAGE('20250815_ETF_Options_Exhibits'!AA303:AA307),"")</f>
        <v/>
      </c>
    </row>
    <row r="308">
      <c r="A308" s="1" t="n">
        <v>42450</v>
      </c>
      <c r="B308" s="3">
        <f>IF(ISNUMBER(AVERAGE('20250815_ETF_Options_Exhibits'!B304:B308)),AVERAGE('20250815_ETF_Options_Exhibits'!B304:B308),"")</f>
        <v/>
      </c>
      <c r="C308" s="3">
        <f>IF(ISNUMBER(AVERAGE('20250815_ETF_Options_Exhibits'!C304:C308)),AVERAGE('20250815_ETF_Options_Exhibits'!C304:C308),"")</f>
        <v/>
      </c>
      <c r="D308" s="3">
        <f>IF(ISNUMBER(AVERAGE('20250815_ETF_Options_Exhibits'!D304:D308)),AVERAGE('20250815_ETF_Options_Exhibits'!D304:D308),"")</f>
        <v/>
      </c>
      <c r="E308" s="3">
        <f>IF(ISNUMBER(AVERAGE('20250815_ETF_Options_Exhibits'!E304:E308)),AVERAGE('20250815_ETF_Options_Exhibits'!E304:E308),"")</f>
        <v/>
      </c>
      <c r="F308" s="3">
        <f>IF(ISNUMBER(AVERAGE('20250815_ETF_Options_Exhibits'!F304:F308)),AVERAGE('20250815_ETF_Options_Exhibits'!F304:F308),"")</f>
        <v/>
      </c>
      <c r="G308" s="3">
        <f>IF(ISNUMBER(AVERAGE('20250815_ETF_Options_Exhibits'!G304:G308)),AVERAGE('20250815_ETF_Options_Exhibits'!G304:G308),"")</f>
        <v/>
      </c>
      <c r="H308" s="3">
        <f>IF(ISNUMBER(AVERAGE('20250815_ETF_Options_Exhibits'!H304:H308)),AVERAGE('20250815_ETF_Options_Exhibits'!H304:H308),"")</f>
        <v/>
      </c>
      <c r="I308" s="3">
        <f>IF(ISNUMBER(AVERAGE('20250815_ETF_Options_Exhibits'!I304:I308)),AVERAGE('20250815_ETF_Options_Exhibits'!I304:I308),"")</f>
        <v/>
      </c>
      <c r="J308" s="3">
        <f>IF(ISNUMBER(AVERAGE('20250815_ETF_Options_Exhibits'!J304:J308)),AVERAGE('20250815_ETF_Options_Exhibits'!J304:J308),"")</f>
        <v/>
      </c>
      <c r="K308" s="3">
        <f>IF(ISNUMBER(AVERAGE('20250815_ETF_Options_Exhibits'!K304:K308)),AVERAGE('20250815_ETF_Options_Exhibits'!K304:K308),"")</f>
        <v/>
      </c>
      <c r="L308" s="3">
        <f>IF(ISNUMBER(AVERAGE('20250815_ETF_Options_Exhibits'!L304:L308)),AVERAGE('20250815_ETF_Options_Exhibits'!L304:L308),"")</f>
        <v/>
      </c>
      <c r="M308" s="3">
        <f>IF(ISNUMBER(AVERAGE('20250815_ETF_Options_Exhibits'!M304:M308)),AVERAGE('20250815_ETF_Options_Exhibits'!M304:M308),"")</f>
        <v/>
      </c>
      <c r="N308" s="3">
        <f>IF(ISNUMBER(AVERAGE('20250815_ETF_Options_Exhibits'!N304:N308)),AVERAGE('20250815_ETF_Options_Exhibits'!N304:N308),"")</f>
        <v/>
      </c>
      <c r="O308" s="3">
        <f>IF(ISNUMBER(AVERAGE('20250815_ETF_Options_Exhibits'!O304:O308)),AVERAGE('20250815_ETF_Options_Exhibits'!O304:O308),"")</f>
        <v/>
      </c>
      <c r="P308" s="3">
        <f>IF(ISNUMBER(AVERAGE('20250815_ETF_Options_Exhibits'!P304:P308)),AVERAGE('20250815_ETF_Options_Exhibits'!P304:P308),"")</f>
        <v/>
      </c>
      <c r="Q308" s="3">
        <f>IF(ISNUMBER(AVERAGE('20250815_ETF_Options_Exhibits'!Q304:Q308)),AVERAGE('20250815_ETF_Options_Exhibits'!Q304:Q308),"")</f>
        <v/>
      </c>
      <c r="R308" s="3">
        <f>IF(ISNUMBER(AVERAGE('20250815_ETF_Options_Exhibits'!R304:R308)),AVERAGE('20250815_ETF_Options_Exhibits'!R304:R308),"")</f>
        <v/>
      </c>
      <c r="S308" s="3">
        <f>IF(ISNUMBER(AVERAGE('20250815_ETF_Options_Exhibits'!S304:S308)),AVERAGE('20250815_ETF_Options_Exhibits'!S304:S308),"")</f>
        <v/>
      </c>
      <c r="T308" s="3">
        <f>IF(ISNUMBER(AVERAGE('20250815_ETF_Options_Exhibits'!T304:T308)),AVERAGE('20250815_ETF_Options_Exhibits'!T304:T308),"")</f>
        <v/>
      </c>
      <c r="U308" s="3">
        <f>IF(ISNUMBER(AVERAGE('20250815_ETF_Options_Exhibits'!U304:U308)),AVERAGE('20250815_ETF_Options_Exhibits'!U304:U308),"")</f>
        <v/>
      </c>
      <c r="V308" s="3">
        <f>IF(ISNUMBER(AVERAGE('20250815_ETF_Options_Exhibits'!V304:V308)),AVERAGE('20250815_ETF_Options_Exhibits'!V304:V308),"")</f>
        <v/>
      </c>
      <c r="W308" s="3">
        <f>IF(ISNUMBER(AVERAGE('20250815_ETF_Options_Exhibits'!W304:W308)),AVERAGE('20250815_ETF_Options_Exhibits'!W304:W308),"")</f>
        <v/>
      </c>
      <c r="X308" s="3">
        <f>IF(ISNUMBER(AVERAGE('20250815_ETF_Options_Exhibits'!X304:X308)),AVERAGE('20250815_ETF_Options_Exhibits'!X304:X308),"")</f>
        <v/>
      </c>
      <c r="Y308" s="3">
        <f>IF(ISNUMBER(AVERAGE('20250815_ETF_Options_Exhibits'!Y304:Y308)),AVERAGE('20250815_ETF_Options_Exhibits'!Y304:Y308),"")</f>
        <v/>
      </c>
      <c r="Z308" s="3">
        <f>IF(ISNUMBER(AVERAGE('20250815_ETF_Options_Exhibits'!Z304:Z308)),AVERAGE('20250815_ETF_Options_Exhibits'!Z304:Z308),"")</f>
        <v/>
      </c>
      <c r="AA308" s="3">
        <f>IF(ISNUMBER(AVERAGE('20250815_ETF_Options_Exhibits'!AA304:AA308)),AVERAGE('20250815_ETF_Options_Exhibits'!AA304:AA308),"")</f>
        <v/>
      </c>
    </row>
    <row r="309">
      <c r="A309" s="1" t="n">
        <v>42451</v>
      </c>
      <c r="B309" s="3">
        <f>IF(ISNUMBER(AVERAGE('20250815_ETF_Options_Exhibits'!B305:B309)),AVERAGE('20250815_ETF_Options_Exhibits'!B305:B309),"")</f>
        <v/>
      </c>
      <c r="C309" s="3">
        <f>IF(ISNUMBER(AVERAGE('20250815_ETF_Options_Exhibits'!C305:C309)),AVERAGE('20250815_ETF_Options_Exhibits'!C305:C309),"")</f>
        <v/>
      </c>
      <c r="D309" s="3">
        <f>IF(ISNUMBER(AVERAGE('20250815_ETF_Options_Exhibits'!D305:D309)),AVERAGE('20250815_ETF_Options_Exhibits'!D305:D309),"")</f>
        <v/>
      </c>
      <c r="E309" s="3">
        <f>IF(ISNUMBER(AVERAGE('20250815_ETF_Options_Exhibits'!E305:E309)),AVERAGE('20250815_ETF_Options_Exhibits'!E305:E309),"")</f>
        <v/>
      </c>
      <c r="F309" s="3">
        <f>IF(ISNUMBER(AVERAGE('20250815_ETF_Options_Exhibits'!F305:F309)),AVERAGE('20250815_ETF_Options_Exhibits'!F305:F309),"")</f>
        <v/>
      </c>
      <c r="G309" s="3">
        <f>IF(ISNUMBER(AVERAGE('20250815_ETF_Options_Exhibits'!G305:G309)),AVERAGE('20250815_ETF_Options_Exhibits'!G305:G309),"")</f>
        <v/>
      </c>
      <c r="H309" s="3">
        <f>IF(ISNUMBER(AVERAGE('20250815_ETF_Options_Exhibits'!H305:H309)),AVERAGE('20250815_ETF_Options_Exhibits'!H305:H309),"")</f>
        <v/>
      </c>
      <c r="I309" s="3">
        <f>IF(ISNUMBER(AVERAGE('20250815_ETF_Options_Exhibits'!I305:I309)),AVERAGE('20250815_ETF_Options_Exhibits'!I305:I309),"")</f>
        <v/>
      </c>
      <c r="J309" s="3">
        <f>IF(ISNUMBER(AVERAGE('20250815_ETF_Options_Exhibits'!J305:J309)),AVERAGE('20250815_ETF_Options_Exhibits'!J305:J309),"")</f>
        <v/>
      </c>
      <c r="K309" s="3">
        <f>IF(ISNUMBER(AVERAGE('20250815_ETF_Options_Exhibits'!K305:K309)),AVERAGE('20250815_ETF_Options_Exhibits'!K305:K309),"")</f>
        <v/>
      </c>
      <c r="L309" s="3">
        <f>IF(ISNUMBER(AVERAGE('20250815_ETF_Options_Exhibits'!L305:L309)),AVERAGE('20250815_ETF_Options_Exhibits'!L305:L309),"")</f>
        <v/>
      </c>
      <c r="M309" s="3">
        <f>IF(ISNUMBER(AVERAGE('20250815_ETF_Options_Exhibits'!M305:M309)),AVERAGE('20250815_ETF_Options_Exhibits'!M305:M309),"")</f>
        <v/>
      </c>
      <c r="N309" s="3">
        <f>IF(ISNUMBER(AVERAGE('20250815_ETF_Options_Exhibits'!N305:N309)),AVERAGE('20250815_ETF_Options_Exhibits'!N305:N309),"")</f>
        <v/>
      </c>
      <c r="O309" s="3">
        <f>IF(ISNUMBER(AVERAGE('20250815_ETF_Options_Exhibits'!O305:O309)),AVERAGE('20250815_ETF_Options_Exhibits'!O305:O309),"")</f>
        <v/>
      </c>
      <c r="P309" s="3">
        <f>IF(ISNUMBER(AVERAGE('20250815_ETF_Options_Exhibits'!P305:P309)),AVERAGE('20250815_ETF_Options_Exhibits'!P305:P309),"")</f>
        <v/>
      </c>
      <c r="Q309" s="3">
        <f>IF(ISNUMBER(AVERAGE('20250815_ETF_Options_Exhibits'!Q305:Q309)),AVERAGE('20250815_ETF_Options_Exhibits'!Q305:Q309),"")</f>
        <v/>
      </c>
      <c r="R309" s="3">
        <f>IF(ISNUMBER(AVERAGE('20250815_ETF_Options_Exhibits'!R305:R309)),AVERAGE('20250815_ETF_Options_Exhibits'!R305:R309),"")</f>
        <v/>
      </c>
      <c r="S309" s="3">
        <f>IF(ISNUMBER(AVERAGE('20250815_ETF_Options_Exhibits'!S305:S309)),AVERAGE('20250815_ETF_Options_Exhibits'!S305:S309),"")</f>
        <v/>
      </c>
      <c r="T309" s="3">
        <f>IF(ISNUMBER(AVERAGE('20250815_ETF_Options_Exhibits'!T305:T309)),AVERAGE('20250815_ETF_Options_Exhibits'!T305:T309),"")</f>
        <v/>
      </c>
      <c r="U309" s="3">
        <f>IF(ISNUMBER(AVERAGE('20250815_ETF_Options_Exhibits'!U305:U309)),AVERAGE('20250815_ETF_Options_Exhibits'!U305:U309),"")</f>
        <v/>
      </c>
      <c r="V309" s="3">
        <f>IF(ISNUMBER(AVERAGE('20250815_ETF_Options_Exhibits'!V305:V309)),AVERAGE('20250815_ETF_Options_Exhibits'!V305:V309),"")</f>
        <v/>
      </c>
      <c r="W309" s="3">
        <f>IF(ISNUMBER(AVERAGE('20250815_ETF_Options_Exhibits'!W305:W309)),AVERAGE('20250815_ETF_Options_Exhibits'!W305:W309),"")</f>
        <v/>
      </c>
      <c r="X309" s="3">
        <f>IF(ISNUMBER(AVERAGE('20250815_ETF_Options_Exhibits'!X305:X309)),AVERAGE('20250815_ETF_Options_Exhibits'!X305:X309),"")</f>
        <v/>
      </c>
      <c r="Y309" s="3">
        <f>IF(ISNUMBER(AVERAGE('20250815_ETF_Options_Exhibits'!Y305:Y309)),AVERAGE('20250815_ETF_Options_Exhibits'!Y305:Y309),"")</f>
        <v/>
      </c>
      <c r="Z309" s="3">
        <f>IF(ISNUMBER(AVERAGE('20250815_ETF_Options_Exhibits'!Z305:Z309)),AVERAGE('20250815_ETF_Options_Exhibits'!Z305:Z309),"")</f>
        <v/>
      </c>
      <c r="AA309" s="3">
        <f>IF(ISNUMBER(AVERAGE('20250815_ETF_Options_Exhibits'!AA305:AA309)),AVERAGE('20250815_ETF_Options_Exhibits'!AA305:AA309),"")</f>
        <v/>
      </c>
    </row>
    <row r="310">
      <c r="A310" s="1" t="n">
        <v>42452</v>
      </c>
      <c r="B310" s="3">
        <f>IF(ISNUMBER(AVERAGE('20250815_ETF_Options_Exhibits'!B306:B310)),AVERAGE('20250815_ETF_Options_Exhibits'!B306:B310),"")</f>
        <v/>
      </c>
      <c r="C310" s="3">
        <f>IF(ISNUMBER(AVERAGE('20250815_ETF_Options_Exhibits'!C306:C310)),AVERAGE('20250815_ETF_Options_Exhibits'!C306:C310),"")</f>
        <v/>
      </c>
      <c r="D310" s="3">
        <f>IF(ISNUMBER(AVERAGE('20250815_ETF_Options_Exhibits'!D306:D310)),AVERAGE('20250815_ETF_Options_Exhibits'!D306:D310),"")</f>
        <v/>
      </c>
      <c r="E310" s="3">
        <f>IF(ISNUMBER(AVERAGE('20250815_ETF_Options_Exhibits'!E306:E310)),AVERAGE('20250815_ETF_Options_Exhibits'!E306:E310),"")</f>
        <v/>
      </c>
      <c r="F310" s="3">
        <f>IF(ISNUMBER(AVERAGE('20250815_ETF_Options_Exhibits'!F306:F310)),AVERAGE('20250815_ETF_Options_Exhibits'!F306:F310),"")</f>
        <v/>
      </c>
      <c r="G310" s="3">
        <f>IF(ISNUMBER(AVERAGE('20250815_ETF_Options_Exhibits'!G306:G310)),AVERAGE('20250815_ETF_Options_Exhibits'!G306:G310),"")</f>
        <v/>
      </c>
      <c r="H310" s="3">
        <f>IF(ISNUMBER(AVERAGE('20250815_ETF_Options_Exhibits'!H306:H310)),AVERAGE('20250815_ETF_Options_Exhibits'!H306:H310),"")</f>
        <v/>
      </c>
      <c r="I310" s="3">
        <f>IF(ISNUMBER(AVERAGE('20250815_ETF_Options_Exhibits'!I306:I310)),AVERAGE('20250815_ETF_Options_Exhibits'!I306:I310),"")</f>
        <v/>
      </c>
      <c r="J310" s="3">
        <f>IF(ISNUMBER(AVERAGE('20250815_ETF_Options_Exhibits'!J306:J310)),AVERAGE('20250815_ETF_Options_Exhibits'!J306:J310),"")</f>
        <v/>
      </c>
      <c r="K310" s="3">
        <f>IF(ISNUMBER(AVERAGE('20250815_ETF_Options_Exhibits'!K306:K310)),AVERAGE('20250815_ETF_Options_Exhibits'!K306:K310),"")</f>
        <v/>
      </c>
      <c r="L310" s="3">
        <f>IF(ISNUMBER(AVERAGE('20250815_ETF_Options_Exhibits'!L306:L310)),AVERAGE('20250815_ETF_Options_Exhibits'!L306:L310),"")</f>
        <v/>
      </c>
      <c r="M310" s="3">
        <f>IF(ISNUMBER(AVERAGE('20250815_ETF_Options_Exhibits'!M306:M310)),AVERAGE('20250815_ETF_Options_Exhibits'!M306:M310),"")</f>
        <v/>
      </c>
      <c r="N310" s="3">
        <f>IF(ISNUMBER(AVERAGE('20250815_ETF_Options_Exhibits'!N306:N310)),AVERAGE('20250815_ETF_Options_Exhibits'!N306:N310),"")</f>
        <v/>
      </c>
      <c r="O310" s="3">
        <f>IF(ISNUMBER(AVERAGE('20250815_ETF_Options_Exhibits'!O306:O310)),AVERAGE('20250815_ETF_Options_Exhibits'!O306:O310),"")</f>
        <v/>
      </c>
      <c r="P310" s="3">
        <f>IF(ISNUMBER(AVERAGE('20250815_ETF_Options_Exhibits'!P306:P310)),AVERAGE('20250815_ETF_Options_Exhibits'!P306:P310),"")</f>
        <v/>
      </c>
      <c r="Q310" s="3">
        <f>IF(ISNUMBER(AVERAGE('20250815_ETF_Options_Exhibits'!Q306:Q310)),AVERAGE('20250815_ETF_Options_Exhibits'!Q306:Q310),"")</f>
        <v/>
      </c>
      <c r="R310" s="3">
        <f>IF(ISNUMBER(AVERAGE('20250815_ETF_Options_Exhibits'!R306:R310)),AVERAGE('20250815_ETF_Options_Exhibits'!R306:R310),"")</f>
        <v/>
      </c>
      <c r="S310" s="3">
        <f>IF(ISNUMBER(AVERAGE('20250815_ETF_Options_Exhibits'!S306:S310)),AVERAGE('20250815_ETF_Options_Exhibits'!S306:S310),"")</f>
        <v/>
      </c>
      <c r="T310" s="3">
        <f>IF(ISNUMBER(AVERAGE('20250815_ETF_Options_Exhibits'!T306:T310)),AVERAGE('20250815_ETF_Options_Exhibits'!T306:T310),"")</f>
        <v/>
      </c>
      <c r="U310" s="3">
        <f>IF(ISNUMBER(AVERAGE('20250815_ETF_Options_Exhibits'!U306:U310)),AVERAGE('20250815_ETF_Options_Exhibits'!U306:U310),"")</f>
        <v/>
      </c>
      <c r="V310" s="3">
        <f>IF(ISNUMBER(AVERAGE('20250815_ETF_Options_Exhibits'!V306:V310)),AVERAGE('20250815_ETF_Options_Exhibits'!V306:V310),"")</f>
        <v/>
      </c>
      <c r="W310" s="3">
        <f>IF(ISNUMBER(AVERAGE('20250815_ETF_Options_Exhibits'!W306:W310)),AVERAGE('20250815_ETF_Options_Exhibits'!W306:W310),"")</f>
        <v/>
      </c>
      <c r="X310" s="3">
        <f>IF(ISNUMBER(AVERAGE('20250815_ETF_Options_Exhibits'!X306:X310)),AVERAGE('20250815_ETF_Options_Exhibits'!X306:X310),"")</f>
        <v/>
      </c>
      <c r="Y310" s="3">
        <f>IF(ISNUMBER(AVERAGE('20250815_ETF_Options_Exhibits'!Y306:Y310)),AVERAGE('20250815_ETF_Options_Exhibits'!Y306:Y310),"")</f>
        <v/>
      </c>
      <c r="Z310" s="3">
        <f>IF(ISNUMBER(AVERAGE('20250815_ETF_Options_Exhibits'!Z306:Z310)),AVERAGE('20250815_ETF_Options_Exhibits'!Z306:Z310),"")</f>
        <v/>
      </c>
      <c r="AA310" s="3">
        <f>IF(ISNUMBER(AVERAGE('20250815_ETF_Options_Exhibits'!AA306:AA310)),AVERAGE('20250815_ETF_Options_Exhibits'!AA306:AA310),"")</f>
        <v/>
      </c>
    </row>
    <row r="311">
      <c r="A311" s="1" t="n">
        <v>42453</v>
      </c>
      <c r="B311" s="3">
        <f>IF(ISNUMBER(AVERAGE('20250815_ETF_Options_Exhibits'!B307:B311)),AVERAGE('20250815_ETF_Options_Exhibits'!B307:B311),"")</f>
        <v/>
      </c>
      <c r="C311" s="3">
        <f>IF(ISNUMBER(AVERAGE('20250815_ETF_Options_Exhibits'!C307:C311)),AVERAGE('20250815_ETF_Options_Exhibits'!C307:C311),"")</f>
        <v/>
      </c>
      <c r="D311" s="3">
        <f>IF(ISNUMBER(AVERAGE('20250815_ETF_Options_Exhibits'!D307:D311)),AVERAGE('20250815_ETF_Options_Exhibits'!D307:D311),"")</f>
        <v/>
      </c>
      <c r="E311" s="3">
        <f>IF(ISNUMBER(AVERAGE('20250815_ETF_Options_Exhibits'!E307:E311)),AVERAGE('20250815_ETF_Options_Exhibits'!E307:E311),"")</f>
        <v/>
      </c>
      <c r="F311" s="3">
        <f>IF(ISNUMBER(AVERAGE('20250815_ETF_Options_Exhibits'!F307:F311)),AVERAGE('20250815_ETF_Options_Exhibits'!F307:F311),"")</f>
        <v/>
      </c>
      <c r="G311" s="3">
        <f>IF(ISNUMBER(AVERAGE('20250815_ETF_Options_Exhibits'!G307:G311)),AVERAGE('20250815_ETF_Options_Exhibits'!G307:G311),"")</f>
        <v/>
      </c>
      <c r="H311" s="3">
        <f>IF(ISNUMBER(AVERAGE('20250815_ETF_Options_Exhibits'!H307:H311)),AVERAGE('20250815_ETF_Options_Exhibits'!H307:H311),"")</f>
        <v/>
      </c>
      <c r="I311" s="3">
        <f>IF(ISNUMBER(AVERAGE('20250815_ETF_Options_Exhibits'!I307:I311)),AVERAGE('20250815_ETF_Options_Exhibits'!I307:I311),"")</f>
        <v/>
      </c>
      <c r="J311" s="3">
        <f>IF(ISNUMBER(AVERAGE('20250815_ETF_Options_Exhibits'!J307:J311)),AVERAGE('20250815_ETF_Options_Exhibits'!J307:J311),"")</f>
        <v/>
      </c>
      <c r="K311" s="3">
        <f>IF(ISNUMBER(AVERAGE('20250815_ETF_Options_Exhibits'!K307:K311)),AVERAGE('20250815_ETF_Options_Exhibits'!K307:K311),"")</f>
        <v/>
      </c>
      <c r="L311" s="3">
        <f>IF(ISNUMBER(AVERAGE('20250815_ETF_Options_Exhibits'!L307:L311)),AVERAGE('20250815_ETF_Options_Exhibits'!L307:L311),"")</f>
        <v/>
      </c>
      <c r="M311" s="3">
        <f>IF(ISNUMBER(AVERAGE('20250815_ETF_Options_Exhibits'!M307:M311)),AVERAGE('20250815_ETF_Options_Exhibits'!M307:M311),"")</f>
        <v/>
      </c>
      <c r="N311" s="3">
        <f>IF(ISNUMBER(AVERAGE('20250815_ETF_Options_Exhibits'!N307:N311)),AVERAGE('20250815_ETF_Options_Exhibits'!N307:N311),"")</f>
        <v/>
      </c>
      <c r="O311" s="3">
        <f>IF(ISNUMBER(AVERAGE('20250815_ETF_Options_Exhibits'!O307:O311)),AVERAGE('20250815_ETF_Options_Exhibits'!O307:O311),"")</f>
        <v/>
      </c>
      <c r="P311" s="3">
        <f>IF(ISNUMBER(AVERAGE('20250815_ETF_Options_Exhibits'!P307:P311)),AVERAGE('20250815_ETF_Options_Exhibits'!P307:P311),"")</f>
        <v/>
      </c>
      <c r="Q311" s="3">
        <f>IF(ISNUMBER(AVERAGE('20250815_ETF_Options_Exhibits'!Q307:Q311)),AVERAGE('20250815_ETF_Options_Exhibits'!Q307:Q311),"")</f>
        <v/>
      </c>
      <c r="R311" s="3">
        <f>IF(ISNUMBER(AVERAGE('20250815_ETF_Options_Exhibits'!R307:R311)),AVERAGE('20250815_ETF_Options_Exhibits'!R307:R311),"")</f>
        <v/>
      </c>
      <c r="S311" s="3">
        <f>IF(ISNUMBER(AVERAGE('20250815_ETF_Options_Exhibits'!S307:S311)),AVERAGE('20250815_ETF_Options_Exhibits'!S307:S311),"")</f>
        <v/>
      </c>
      <c r="T311" s="3">
        <f>IF(ISNUMBER(AVERAGE('20250815_ETF_Options_Exhibits'!T307:T311)),AVERAGE('20250815_ETF_Options_Exhibits'!T307:T311),"")</f>
        <v/>
      </c>
      <c r="U311" s="3">
        <f>IF(ISNUMBER(AVERAGE('20250815_ETF_Options_Exhibits'!U307:U311)),AVERAGE('20250815_ETF_Options_Exhibits'!U307:U311),"")</f>
        <v/>
      </c>
      <c r="V311" s="3">
        <f>IF(ISNUMBER(AVERAGE('20250815_ETF_Options_Exhibits'!V307:V311)),AVERAGE('20250815_ETF_Options_Exhibits'!V307:V311),"")</f>
        <v/>
      </c>
      <c r="W311" s="3">
        <f>IF(ISNUMBER(AVERAGE('20250815_ETF_Options_Exhibits'!W307:W311)),AVERAGE('20250815_ETF_Options_Exhibits'!W307:W311),"")</f>
        <v/>
      </c>
      <c r="X311" s="3">
        <f>IF(ISNUMBER(AVERAGE('20250815_ETF_Options_Exhibits'!X307:X311)),AVERAGE('20250815_ETF_Options_Exhibits'!X307:X311),"")</f>
        <v/>
      </c>
      <c r="Y311" s="3">
        <f>IF(ISNUMBER(AVERAGE('20250815_ETF_Options_Exhibits'!Y307:Y311)),AVERAGE('20250815_ETF_Options_Exhibits'!Y307:Y311),"")</f>
        <v/>
      </c>
      <c r="Z311" s="3">
        <f>IF(ISNUMBER(AVERAGE('20250815_ETF_Options_Exhibits'!Z307:Z311)),AVERAGE('20250815_ETF_Options_Exhibits'!Z307:Z311),"")</f>
        <v/>
      </c>
      <c r="AA311" s="3">
        <f>IF(ISNUMBER(AVERAGE('20250815_ETF_Options_Exhibits'!AA307:AA311)),AVERAGE('20250815_ETF_Options_Exhibits'!AA307:AA311),"")</f>
        <v/>
      </c>
    </row>
    <row r="312">
      <c r="A312" s="1" t="n">
        <v>42457</v>
      </c>
      <c r="B312" s="3">
        <f>IF(ISNUMBER(AVERAGE('20250815_ETF_Options_Exhibits'!B308:B312)),AVERAGE('20250815_ETF_Options_Exhibits'!B308:B312),"")</f>
        <v/>
      </c>
      <c r="C312" s="3">
        <f>IF(ISNUMBER(AVERAGE('20250815_ETF_Options_Exhibits'!C308:C312)),AVERAGE('20250815_ETF_Options_Exhibits'!C308:C312),"")</f>
        <v/>
      </c>
      <c r="D312" s="3">
        <f>IF(ISNUMBER(AVERAGE('20250815_ETF_Options_Exhibits'!D308:D312)),AVERAGE('20250815_ETF_Options_Exhibits'!D308:D312),"")</f>
        <v/>
      </c>
      <c r="E312" s="3">
        <f>IF(ISNUMBER(AVERAGE('20250815_ETF_Options_Exhibits'!E308:E312)),AVERAGE('20250815_ETF_Options_Exhibits'!E308:E312),"")</f>
        <v/>
      </c>
      <c r="F312" s="3">
        <f>IF(ISNUMBER(AVERAGE('20250815_ETF_Options_Exhibits'!F308:F312)),AVERAGE('20250815_ETF_Options_Exhibits'!F308:F312),"")</f>
        <v/>
      </c>
      <c r="G312" s="3">
        <f>IF(ISNUMBER(AVERAGE('20250815_ETF_Options_Exhibits'!G308:G312)),AVERAGE('20250815_ETF_Options_Exhibits'!G308:G312),"")</f>
        <v/>
      </c>
      <c r="H312" s="3">
        <f>IF(ISNUMBER(AVERAGE('20250815_ETF_Options_Exhibits'!H308:H312)),AVERAGE('20250815_ETF_Options_Exhibits'!H308:H312),"")</f>
        <v/>
      </c>
      <c r="I312" s="3">
        <f>IF(ISNUMBER(AVERAGE('20250815_ETF_Options_Exhibits'!I308:I312)),AVERAGE('20250815_ETF_Options_Exhibits'!I308:I312),"")</f>
        <v/>
      </c>
      <c r="J312" s="3">
        <f>IF(ISNUMBER(AVERAGE('20250815_ETF_Options_Exhibits'!J308:J312)),AVERAGE('20250815_ETF_Options_Exhibits'!J308:J312),"")</f>
        <v/>
      </c>
      <c r="K312" s="3">
        <f>IF(ISNUMBER(AVERAGE('20250815_ETF_Options_Exhibits'!K308:K312)),AVERAGE('20250815_ETF_Options_Exhibits'!K308:K312),"")</f>
        <v/>
      </c>
      <c r="L312" s="3">
        <f>IF(ISNUMBER(AVERAGE('20250815_ETF_Options_Exhibits'!L308:L312)),AVERAGE('20250815_ETF_Options_Exhibits'!L308:L312),"")</f>
        <v/>
      </c>
      <c r="M312" s="3">
        <f>IF(ISNUMBER(AVERAGE('20250815_ETF_Options_Exhibits'!M308:M312)),AVERAGE('20250815_ETF_Options_Exhibits'!M308:M312),"")</f>
        <v/>
      </c>
      <c r="N312" s="3">
        <f>IF(ISNUMBER(AVERAGE('20250815_ETF_Options_Exhibits'!N308:N312)),AVERAGE('20250815_ETF_Options_Exhibits'!N308:N312),"")</f>
        <v/>
      </c>
      <c r="O312" s="3">
        <f>IF(ISNUMBER(AVERAGE('20250815_ETF_Options_Exhibits'!O308:O312)),AVERAGE('20250815_ETF_Options_Exhibits'!O308:O312),"")</f>
        <v/>
      </c>
      <c r="P312" s="3">
        <f>IF(ISNUMBER(AVERAGE('20250815_ETF_Options_Exhibits'!P308:P312)),AVERAGE('20250815_ETF_Options_Exhibits'!P308:P312),"")</f>
        <v/>
      </c>
      <c r="Q312" s="3">
        <f>IF(ISNUMBER(AVERAGE('20250815_ETF_Options_Exhibits'!Q308:Q312)),AVERAGE('20250815_ETF_Options_Exhibits'!Q308:Q312),"")</f>
        <v/>
      </c>
      <c r="R312" s="3">
        <f>IF(ISNUMBER(AVERAGE('20250815_ETF_Options_Exhibits'!R308:R312)),AVERAGE('20250815_ETF_Options_Exhibits'!R308:R312),"")</f>
        <v/>
      </c>
      <c r="S312" s="3">
        <f>IF(ISNUMBER(AVERAGE('20250815_ETF_Options_Exhibits'!S308:S312)),AVERAGE('20250815_ETF_Options_Exhibits'!S308:S312),"")</f>
        <v/>
      </c>
      <c r="T312" s="3">
        <f>IF(ISNUMBER(AVERAGE('20250815_ETF_Options_Exhibits'!T308:T312)),AVERAGE('20250815_ETF_Options_Exhibits'!T308:T312),"")</f>
        <v/>
      </c>
      <c r="U312" s="3">
        <f>IF(ISNUMBER(AVERAGE('20250815_ETF_Options_Exhibits'!U308:U312)),AVERAGE('20250815_ETF_Options_Exhibits'!U308:U312),"")</f>
        <v/>
      </c>
      <c r="V312" s="3">
        <f>IF(ISNUMBER(AVERAGE('20250815_ETF_Options_Exhibits'!V308:V312)),AVERAGE('20250815_ETF_Options_Exhibits'!V308:V312),"")</f>
        <v/>
      </c>
      <c r="W312" s="3">
        <f>IF(ISNUMBER(AVERAGE('20250815_ETF_Options_Exhibits'!W308:W312)),AVERAGE('20250815_ETF_Options_Exhibits'!W308:W312),"")</f>
        <v/>
      </c>
      <c r="X312" s="3">
        <f>IF(ISNUMBER(AVERAGE('20250815_ETF_Options_Exhibits'!X308:X312)),AVERAGE('20250815_ETF_Options_Exhibits'!X308:X312),"")</f>
        <v/>
      </c>
      <c r="Y312" s="3">
        <f>IF(ISNUMBER(AVERAGE('20250815_ETF_Options_Exhibits'!Y308:Y312)),AVERAGE('20250815_ETF_Options_Exhibits'!Y308:Y312),"")</f>
        <v/>
      </c>
      <c r="Z312" s="3">
        <f>IF(ISNUMBER(AVERAGE('20250815_ETF_Options_Exhibits'!Z308:Z312)),AVERAGE('20250815_ETF_Options_Exhibits'!Z308:Z312),"")</f>
        <v/>
      </c>
      <c r="AA312" s="3">
        <f>IF(ISNUMBER(AVERAGE('20250815_ETF_Options_Exhibits'!AA308:AA312)),AVERAGE('20250815_ETF_Options_Exhibits'!AA308:AA312),"")</f>
        <v/>
      </c>
    </row>
    <row r="313">
      <c r="A313" s="1" t="n">
        <v>42458</v>
      </c>
      <c r="B313" s="3">
        <f>IF(ISNUMBER(AVERAGE('20250815_ETF_Options_Exhibits'!B309:B313)),AVERAGE('20250815_ETF_Options_Exhibits'!B309:B313),"")</f>
        <v/>
      </c>
      <c r="C313" s="3">
        <f>IF(ISNUMBER(AVERAGE('20250815_ETF_Options_Exhibits'!C309:C313)),AVERAGE('20250815_ETF_Options_Exhibits'!C309:C313),"")</f>
        <v/>
      </c>
      <c r="D313" s="3">
        <f>IF(ISNUMBER(AVERAGE('20250815_ETF_Options_Exhibits'!D309:D313)),AVERAGE('20250815_ETF_Options_Exhibits'!D309:D313),"")</f>
        <v/>
      </c>
      <c r="E313" s="3">
        <f>IF(ISNUMBER(AVERAGE('20250815_ETF_Options_Exhibits'!E309:E313)),AVERAGE('20250815_ETF_Options_Exhibits'!E309:E313),"")</f>
        <v/>
      </c>
      <c r="F313" s="3">
        <f>IF(ISNUMBER(AVERAGE('20250815_ETF_Options_Exhibits'!F309:F313)),AVERAGE('20250815_ETF_Options_Exhibits'!F309:F313),"")</f>
        <v/>
      </c>
      <c r="G313" s="3">
        <f>IF(ISNUMBER(AVERAGE('20250815_ETF_Options_Exhibits'!G309:G313)),AVERAGE('20250815_ETF_Options_Exhibits'!G309:G313),"")</f>
        <v/>
      </c>
      <c r="H313" s="3">
        <f>IF(ISNUMBER(AVERAGE('20250815_ETF_Options_Exhibits'!H309:H313)),AVERAGE('20250815_ETF_Options_Exhibits'!H309:H313),"")</f>
        <v/>
      </c>
      <c r="I313" s="3">
        <f>IF(ISNUMBER(AVERAGE('20250815_ETF_Options_Exhibits'!I309:I313)),AVERAGE('20250815_ETF_Options_Exhibits'!I309:I313),"")</f>
        <v/>
      </c>
      <c r="J313" s="3">
        <f>IF(ISNUMBER(AVERAGE('20250815_ETF_Options_Exhibits'!J309:J313)),AVERAGE('20250815_ETF_Options_Exhibits'!J309:J313),"")</f>
        <v/>
      </c>
      <c r="K313" s="3">
        <f>IF(ISNUMBER(AVERAGE('20250815_ETF_Options_Exhibits'!K309:K313)),AVERAGE('20250815_ETF_Options_Exhibits'!K309:K313),"")</f>
        <v/>
      </c>
      <c r="L313" s="3">
        <f>IF(ISNUMBER(AVERAGE('20250815_ETF_Options_Exhibits'!L309:L313)),AVERAGE('20250815_ETF_Options_Exhibits'!L309:L313),"")</f>
        <v/>
      </c>
      <c r="M313" s="3">
        <f>IF(ISNUMBER(AVERAGE('20250815_ETF_Options_Exhibits'!M309:M313)),AVERAGE('20250815_ETF_Options_Exhibits'!M309:M313),"")</f>
        <v/>
      </c>
      <c r="N313" s="3">
        <f>IF(ISNUMBER(AVERAGE('20250815_ETF_Options_Exhibits'!N309:N313)),AVERAGE('20250815_ETF_Options_Exhibits'!N309:N313),"")</f>
        <v/>
      </c>
      <c r="O313" s="3">
        <f>IF(ISNUMBER(AVERAGE('20250815_ETF_Options_Exhibits'!O309:O313)),AVERAGE('20250815_ETF_Options_Exhibits'!O309:O313),"")</f>
        <v/>
      </c>
      <c r="P313" s="3">
        <f>IF(ISNUMBER(AVERAGE('20250815_ETF_Options_Exhibits'!P309:P313)),AVERAGE('20250815_ETF_Options_Exhibits'!P309:P313),"")</f>
        <v/>
      </c>
      <c r="Q313" s="3">
        <f>IF(ISNUMBER(AVERAGE('20250815_ETF_Options_Exhibits'!Q309:Q313)),AVERAGE('20250815_ETF_Options_Exhibits'!Q309:Q313),"")</f>
        <v/>
      </c>
      <c r="R313" s="3">
        <f>IF(ISNUMBER(AVERAGE('20250815_ETF_Options_Exhibits'!R309:R313)),AVERAGE('20250815_ETF_Options_Exhibits'!R309:R313),"")</f>
        <v/>
      </c>
      <c r="S313" s="3">
        <f>IF(ISNUMBER(AVERAGE('20250815_ETF_Options_Exhibits'!S309:S313)),AVERAGE('20250815_ETF_Options_Exhibits'!S309:S313),"")</f>
        <v/>
      </c>
      <c r="T313" s="3">
        <f>IF(ISNUMBER(AVERAGE('20250815_ETF_Options_Exhibits'!T309:T313)),AVERAGE('20250815_ETF_Options_Exhibits'!T309:T313),"")</f>
        <v/>
      </c>
      <c r="U313" s="3">
        <f>IF(ISNUMBER(AVERAGE('20250815_ETF_Options_Exhibits'!U309:U313)),AVERAGE('20250815_ETF_Options_Exhibits'!U309:U313),"")</f>
        <v/>
      </c>
      <c r="V313" s="3">
        <f>IF(ISNUMBER(AVERAGE('20250815_ETF_Options_Exhibits'!V309:V313)),AVERAGE('20250815_ETF_Options_Exhibits'!V309:V313),"")</f>
        <v/>
      </c>
      <c r="W313" s="3">
        <f>IF(ISNUMBER(AVERAGE('20250815_ETF_Options_Exhibits'!W309:W313)),AVERAGE('20250815_ETF_Options_Exhibits'!W309:W313),"")</f>
        <v/>
      </c>
      <c r="X313" s="3">
        <f>IF(ISNUMBER(AVERAGE('20250815_ETF_Options_Exhibits'!X309:X313)),AVERAGE('20250815_ETF_Options_Exhibits'!X309:X313),"")</f>
        <v/>
      </c>
      <c r="Y313" s="3">
        <f>IF(ISNUMBER(AVERAGE('20250815_ETF_Options_Exhibits'!Y309:Y313)),AVERAGE('20250815_ETF_Options_Exhibits'!Y309:Y313),"")</f>
        <v/>
      </c>
      <c r="Z313" s="3">
        <f>IF(ISNUMBER(AVERAGE('20250815_ETF_Options_Exhibits'!Z309:Z313)),AVERAGE('20250815_ETF_Options_Exhibits'!Z309:Z313),"")</f>
        <v/>
      </c>
      <c r="AA313" s="3">
        <f>IF(ISNUMBER(AVERAGE('20250815_ETF_Options_Exhibits'!AA309:AA313)),AVERAGE('20250815_ETF_Options_Exhibits'!AA309:AA313),"")</f>
        <v/>
      </c>
    </row>
    <row r="314">
      <c r="A314" s="1" t="n">
        <v>42459</v>
      </c>
      <c r="B314" s="3">
        <f>IF(ISNUMBER(AVERAGE('20250815_ETF_Options_Exhibits'!B310:B314)),AVERAGE('20250815_ETF_Options_Exhibits'!B310:B314),"")</f>
        <v/>
      </c>
      <c r="C314" s="3">
        <f>IF(ISNUMBER(AVERAGE('20250815_ETF_Options_Exhibits'!C310:C314)),AVERAGE('20250815_ETF_Options_Exhibits'!C310:C314),"")</f>
        <v/>
      </c>
      <c r="D314" s="3">
        <f>IF(ISNUMBER(AVERAGE('20250815_ETF_Options_Exhibits'!D310:D314)),AVERAGE('20250815_ETF_Options_Exhibits'!D310:D314),"")</f>
        <v/>
      </c>
      <c r="E314" s="3">
        <f>IF(ISNUMBER(AVERAGE('20250815_ETF_Options_Exhibits'!E310:E314)),AVERAGE('20250815_ETF_Options_Exhibits'!E310:E314),"")</f>
        <v/>
      </c>
      <c r="F314" s="3">
        <f>IF(ISNUMBER(AVERAGE('20250815_ETF_Options_Exhibits'!F310:F314)),AVERAGE('20250815_ETF_Options_Exhibits'!F310:F314),"")</f>
        <v/>
      </c>
      <c r="G314" s="3">
        <f>IF(ISNUMBER(AVERAGE('20250815_ETF_Options_Exhibits'!G310:G314)),AVERAGE('20250815_ETF_Options_Exhibits'!G310:G314),"")</f>
        <v/>
      </c>
      <c r="H314" s="3">
        <f>IF(ISNUMBER(AVERAGE('20250815_ETF_Options_Exhibits'!H310:H314)),AVERAGE('20250815_ETF_Options_Exhibits'!H310:H314),"")</f>
        <v/>
      </c>
      <c r="I314" s="3">
        <f>IF(ISNUMBER(AVERAGE('20250815_ETF_Options_Exhibits'!I310:I314)),AVERAGE('20250815_ETF_Options_Exhibits'!I310:I314),"")</f>
        <v/>
      </c>
      <c r="J314" s="3">
        <f>IF(ISNUMBER(AVERAGE('20250815_ETF_Options_Exhibits'!J310:J314)),AVERAGE('20250815_ETF_Options_Exhibits'!J310:J314),"")</f>
        <v/>
      </c>
      <c r="K314" s="3">
        <f>IF(ISNUMBER(AVERAGE('20250815_ETF_Options_Exhibits'!K310:K314)),AVERAGE('20250815_ETF_Options_Exhibits'!K310:K314),"")</f>
        <v/>
      </c>
      <c r="L314" s="3">
        <f>IF(ISNUMBER(AVERAGE('20250815_ETF_Options_Exhibits'!L310:L314)),AVERAGE('20250815_ETF_Options_Exhibits'!L310:L314),"")</f>
        <v/>
      </c>
      <c r="M314" s="3">
        <f>IF(ISNUMBER(AVERAGE('20250815_ETF_Options_Exhibits'!M310:M314)),AVERAGE('20250815_ETF_Options_Exhibits'!M310:M314),"")</f>
        <v/>
      </c>
      <c r="N314" s="3">
        <f>IF(ISNUMBER(AVERAGE('20250815_ETF_Options_Exhibits'!N310:N314)),AVERAGE('20250815_ETF_Options_Exhibits'!N310:N314),"")</f>
        <v/>
      </c>
      <c r="O314" s="3">
        <f>IF(ISNUMBER(AVERAGE('20250815_ETF_Options_Exhibits'!O310:O314)),AVERAGE('20250815_ETF_Options_Exhibits'!O310:O314),"")</f>
        <v/>
      </c>
      <c r="P314" s="3">
        <f>IF(ISNUMBER(AVERAGE('20250815_ETF_Options_Exhibits'!P310:P314)),AVERAGE('20250815_ETF_Options_Exhibits'!P310:P314),"")</f>
        <v/>
      </c>
      <c r="Q314" s="3">
        <f>IF(ISNUMBER(AVERAGE('20250815_ETF_Options_Exhibits'!Q310:Q314)),AVERAGE('20250815_ETF_Options_Exhibits'!Q310:Q314),"")</f>
        <v/>
      </c>
      <c r="R314" s="3">
        <f>IF(ISNUMBER(AVERAGE('20250815_ETF_Options_Exhibits'!R310:R314)),AVERAGE('20250815_ETF_Options_Exhibits'!R310:R314),"")</f>
        <v/>
      </c>
      <c r="S314" s="3">
        <f>IF(ISNUMBER(AVERAGE('20250815_ETF_Options_Exhibits'!S310:S314)),AVERAGE('20250815_ETF_Options_Exhibits'!S310:S314),"")</f>
        <v/>
      </c>
      <c r="T314" s="3">
        <f>IF(ISNUMBER(AVERAGE('20250815_ETF_Options_Exhibits'!T310:T314)),AVERAGE('20250815_ETF_Options_Exhibits'!T310:T314),"")</f>
        <v/>
      </c>
      <c r="U314" s="3">
        <f>IF(ISNUMBER(AVERAGE('20250815_ETF_Options_Exhibits'!U310:U314)),AVERAGE('20250815_ETF_Options_Exhibits'!U310:U314),"")</f>
        <v/>
      </c>
      <c r="V314" s="3">
        <f>IF(ISNUMBER(AVERAGE('20250815_ETF_Options_Exhibits'!V310:V314)),AVERAGE('20250815_ETF_Options_Exhibits'!V310:V314),"")</f>
        <v/>
      </c>
      <c r="W314" s="3">
        <f>IF(ISNUMBER(AVERAGE('20250815_ETF_Options_Exhibits'!W310:W314)),AVERAGE('20250815_ETF_Options_Exhibits'!W310:W314),"")</f>
        <v/>
      </c>
      <c r="X314" s="3">
        <f>IF(ISNUMBER(AVERAGE('20250815_ETF_Options_Exhibits'!X310:X314)),AVERAGE('20250815_ETF_Options_Exhibits'!X310:X314),"")</f>
        <v/>
      </c>
      <c r="Y314" s="3">
        <f>IF(ISNUMBER(AVERAGE('20250815_ETF_Options_Exhibits'!Y310:Y314)),AVERAGE('20250815_ETF_Options_Exhibits'!Y310:Y314),"")</f>
        <v/>
      </c>
      <c r="Z314" s="3">
        <f>IF(ISNUMBER(AVERAGE('20250815_ETF_Options_Exhibits'!Z310:Z314)),AVERAGE('20250815_ETF_Options_Exhibits'!Z310:Z314),"")</f>
        <v/>
      </c>
      <c r="AA314" s="3">
        <f>IF(ISNUMBER(AVERAGE('20250815_ETF_Options_Exhibits'!AA310:AA314)),AVERAGE('20250815_ETF_Options_Exhibits'!AA310:AA314),"")</f>
        <v/>
      </c>
    </row>
    <row r="315">
      <c r="A315" s="1" t="n">
        <v>42460</v>
      </c>
      <c r="B315" s="3">
        <f>IF(ISNUMBER(AVERAGE('20250815_ETF_Options_Exhibits'!B311:B315)),AVERAGE('20250815_ETF_Options_Exhibits'!B311:B315),"")</f>
        <v/>
      </c>
      <c r="C315" s="3">
        <f>IF(ISNUMBER(AVERAGE('20250815_ETF_Options_Exhibits'!C311:C315)),AVERAGE('20250815_ETF_Options_Exhibits'!C311:C315),"")</f>
        <v/>
      </c>
      <c r="D315" s="3">
        <f>IF(ISNUMBER(AVERAGE('20250815_ETF_Options_Exhibits'!D311:D315)),AVERAGE('20250815_ETF_Options_Exhibits'!D311:D315),"")</f>
        <v/>
      </c>
      <c r="E315" s="3">
        <f>IF(ISNUMBER(AVERAGE('20250815_ETF_Options_Exhibits'!E311:E315)),AVERAGE('20250815_ETF_Options_Exhibits'!E311:E315),"")</f>
        <v/>
      </c>
      <c r="F315" s="3">
        <f>IF(ISNUMBER(AVERAGE('20250815_ETF_Options_Exhibits'!F311:F315)),AVERAGE('20250815_ETF_Options_Exhibits'!F311:F315),"")</f>
        <v/>
      </c>
      <c r="G315" s="3">
        <f>IF(ISNUMBER(AVERAGE('20250815_ETF_Options_Exhibits'!G311:G315)),AVERAGE('20250815_ETF_Options_Exhibits'!G311:G315),"")</f>
        <v/>
      </c>
      <c r="H315" s="3">
        <f>IF(ISNUMBER(AVERAGE('20250815_ETF_Options_Exhibits'!H311:H315)),AVERAGE('20250815_ETF_Options_Exhibits'!H311:H315),"")</f>
        <v/>
      </c>
      <c r="I315" s="3">
        <f>IF(ISNUMBER(AVERAGE('20250815_ETF_Options_Exhibits'!I311:I315)),AVERAGE('20250815_ETF_Options_Exhibits'!I311:I315),"")</f>
        <v/>
      </c>
      <c r="J315" s="3">
        <f>IF(ISNUMBER(AVERAGE('20250815_ETF_Options_Exhibits'!J311:J315)),AVERAGE('20250815_ETF_Options_Exhibits'!J311:J315),"")</f>
        <v/>
      </c>
      <c r="K315" s="3">
        <f>IF(ISNUMBER(AVERAGE('20250815_ETF_Options_Exhibits'!K311:K315)),AVERAGE('20250815_ETF_Options_Exhibits'!K311:K315),"")</f>
        <v/>
      </c>
      <c r="L315" s="3">
        <f>IF(ISNUMBER(AVERAGE('20250815_ETF_Options_Exhibits'!L311:L315)),AVERAGE('20250815_ETF_Options_Exhibits'!L311:L315),"")</f>
        <v/>
      </c>
      <c r="M315" s="3">
        <f>IF(ISNUMBER(AVERAGE('20250815_ETF_Options_Exhibits'!M311:M315)),AVERAGE('20250815_ETF_Options_Exhibits'!M311:M315),"")</f>
        <v/>
      </c>
      <c r="N315" s="3">
        <f>IF(ISNUMBER(AVERAGE('20250815_ETF_Options_Exhibits'!N311:N315)),AVERAGE('20250815_ETF_Options_Exhibits'!N311:N315),"")</f>
        <v/>
      </c>
      <c r="O315" s="3">
        <f>IF(ISNUMBER(AVERAGE('20250815_ETF_Options_Exhibits'!O311:O315)),AVERAGE('20250815_ETF_Options_Exhibits'!O311:O315),"")</f>
        <v/>
      </c>
      <c r="P315" s="3">
        <f>IF(ISNUMBER(AVERAGE('20250815_ETF_Options_Exhibits'!P311:P315)),AVERAGE('20250815_ETF_Options_Exhibits'!P311:P315),"")</f>
        <v/>
      </c>
      <c r="Q315" s="3">
        <f>IF(ISNUMBER(AVERAGE('20250815_ETF_Options_Exhibits'!Q311:Q315)),AVERAGE('20250815_ETF_Options_Exhibits'!Q311:Q315),"")</f>
        <v/>
      </c>
      <c r="R315" s="3">
        <f>IF(ISNUMBER(AVERAGE('20250815_ETF_Options_Exhibits'!R311:R315)),AVERAGE('20250815_ETF_Options_Exhibits'!R311:R315),"")</f>
        <v/>
      </c>
      <c r="S315" s="3">
        <f>IF(ISNUMBER(AVERAGE('20250815_ETF_Options_Exhibits'!S311:S315)),AVERAGE('20250815_ETF_Options_Exhibits'!S311:S315),"")</f>
        <v/>
      </c>
      <c r="T315" s="3">
        <f>IF(ISNUMBER(AVERAGE('20250815_ETF_Options_Exhibits'!T311:T315)),AVERAGE('20250815_ETF_Options_Exhibits'!T311:T315),"")</f>
        <v/>
      </c>
      <c r="U315" s="3">
        <f>IF(ISNUMBER(AVERAGE('20250815_ETF_Options_Exhibits'!U311:U315)),AVERAGE('20250815_ETF_Options_Exhibits'!U311:U315),"")</f>
        <v/>
      </c>
      <c r="V315" s="3">
        <f>IF(ISNUMBER(AVERAGE('20250815_ETF_Options_Exhibits'!V311:V315)),AVERAGE('20250815_ETF_Options_Exhibits'!V311:V315),"")</f>
        <v/>
      </c>
      <c r="W315" s="3">
        <f>IF(ISNUMBER(AVERAGE('20250815_ETF_Options_Exhibits'!W311:W315)),AVERAGE('20250815_ETF_Options_Exhibits'!W311:W315),"")</f>
        <v/>
      </c>
      <c r="X315" s="3">
        <f>IF(ISNUMBER(AVERAGE('20250815_ETF_Options_Exhibits'!X311:X315)),AVERAGE('20250815_ETF_Options_Exhibits'!X311:X315),"")</f>
        <v/>
      </c>
      <c r="Y315" s="3">
        <f>IF(ISNUMBER(AVERAGE('20250815_ETF_Options_Exhibits'!Y311:Y315)),AVERAGE('20250815_ETF_Options_Exhibits'!Y311:Y315),"")</f>
        <v/>
      </c>
      <c r="Z315" s="3">
        <f>IF(ISNUMBER(AVERAGE('20250815_ETF_Options_Exhibits'!Z311:Z315)),AVERAGE('20250815_ETF_Options_Exhibits'!Z311:Z315),"")</f>
        <v/>
      </c>
      <c r="AA315" s="3">
        <f>IF(ISNUMBER(AVERAGE('20250815_ETF_Options_Exhibits'!AA311:AA315)),AVERAGE('20250815_ETF_Options_Exhibits'!AA311:AA315),"")</f>
        <v/>
      </c>
    </row>
    <row r="316">
      <c r="A316" s="1" t="n">
        <v>42461</v>
      </c>
      <c r="B316" s="3">
        <f>IF(ISNUMBER(AVERAGE('20250815_ETF_Options_Exhibits'!B312:B316)),AVERAGE('20250815_ETF_Options_Exhibits'!B312:B316),"")</f>
        <v/>
      </c>
      <c r="C316" s="3">
        <f>IF(ISNUMBER(AVERAGE('20250815_ETF_Options_Exhibits'!C312:C316)),AVERAGE('20250815_ETF_Options_Exhibits'!C312:C316),"")</f>
        <v/>
      </c>
      <c r="D316" s="3">
        <f>IF(ISNUMBER(AVERAGE('20250815_ETF_Options_Exhibits'!D312:D316)),AVERAGE('20250815_ETF_Options_Exhibits'!D312:D316),"")</f>
        <v/>
      </c>
      <c r="E316" s="3">
        <f>IF(ISNUMBER(AVERAGE('20250815_ETF_Options_Exhibits'!E312:E316)),AVERAGE('20250815_ETF_Options_Exhibits'!E312:E316),"")</f>
        <v/>
      </c>
      <c r="F316" s="3">
        <f>IF(ISNUMBER(AVERAGE('20250815_ETF_Options_Exhibits'!F312:F316)),AVERAGE('20250815_ETF_Options_Exhibits'!F312:F316),"")</f>
        <v/>
      </c>
      <c r="G316" s="3">
        <f>IF(ISNUMBER(AVERAGE('20250815_ETF_Options_Exhibits'!G312:G316)),AVERAGE('20250815_ETF_Options_Exhibits'!G312:G316),"")</f>
        <v/>
      </c>
      <c r="H316" s="3">
        <f>IF(ISNUMBER(AVERAGE('20250815_ETF_Options_Exhibits'!H312:H316)),AVERAGE('20250815_ETF_Options_Exhibits'!H312:H316),"")</f>
        <v/>
      </c>
      <c r="I316" s="3">
        <f>IF(ISNUMBER(AVERAGE('20250815_ETF_Options_Exhibits'!I312:I316)),AVERAGE('20250815_ETF_Options_Exhibits'!I312:I316),"")</f>
        <v/>
      </c>
      <c r="J316" s="3">
        <f>IF(ISNUMBER(AVERAGE('20250815_ETF_Options_Exhibits'!J312:J316)),AVERAGE('20250815_ETF_Options_Exhibits'!J312:J316),"")</f>
        <v/>
      </c>
      <c r="K316" s="3">
        <f>IF(ISNUMBER(AVERAGE('20250815_ETF_Options_Exhibits'!K312:K316)),AVERAGE('20250815_ETF_Options_Exhibits'!K312:K316),"")</f>
        <v/>
      </c>
      <c r="L316" s="3">
        <f>IF(ISNUMBER(AVERAGE('20250815_ETF_Options_Exhibits'!L312:L316)),AVERAGE('20250815_ETF_Options_Exhibits'!L312:L316),"")</f>
        <v/>
      </c>
      <c r="M316" s="3">
        <f>IF(ISNUMBER(AVERAGE('20250815_ETF_Options_Exhibits'!M312:M316)),AVERAGE('20250815_ETF_Options_Exhibits'!M312:M316),"")</f>
        <v/>
      </c>
      <c r="N316" s="3">
        <f>IF(ISNUMBER(AVERAGE('20250815_ETF_Options_Exhibits'!N312:N316)),AVERAGE('20250815_ETF_Options_Exhibits'!N312:N316),"")</f>
        <v/>
      </c>
      <c r="O316" s="3">
        <f>IF(ISNUMBER(AVERAGE('20250815_ETF_Options_Exhibits'!O312:O316)),AVERAGE('20250815_ETF_Options_Exhibits'!O312:O316),"")</f>
        <v/>
      </c>
      <c r="P316" s="3">
        <f>IF(ISNUMBER(AVERAGE('20250815_ETF_Options_Exhibits'!P312:P316)),AVERAGE('20250815_ETF_Options_Exhibits'!P312:P316),"")</f>
        <v/>
      </c>
      <c r="Q316" s="3">
        <f>IF(ISNUMBER(AVERAGE('20250815_ETF_Options_Exhibits'!Q312:Q316)),AVERAGE('20250815_ETF_Options_Exhibits'!Q312:Q316),"")</f>
        <v/>
      </c>
      <c r="R316" s="3">
        <f>IF(ISNUMBER(AVERAGE('20250815_ETF_Options_Exhibits'!R312:R316)),AVERAGE('20250815_ETF_Options_Exhibits'!R312:R316),"")</f>
        <v/>
      </c>
      <c r="S316" s="3">
        <f>IF(ISNUMBER(AVERAGE('20250815_ETF_Options_Exhibits'!S312:S316)),AVERAGE('20250815_ETF_Options_Exhibits'!S312:S316),"")</f>
        <v/>
      </c>
      <c r="T316" s="3">
        <f>IF(ISNUMBER(AVERAGE('20250815_ETF_Options_Exhibits'!T312:T316)),AVERAGE('20250815_ETF_Options_Exhibits'!T312:T316),"")</f>
        <v/>
      </c>
      <c r="U316" s="3">
        <f>IF(ISNUMBER(AVERAGE('20250815_ETF_Options_Exhibits'!U312:U316)),AVERAGE('20250815_ETF_Options_Exhibits'!U312:U316),"")</f>
        <v/>
      </c>
      <c r="V316" s="3">
        <f>IF(ISNUMBER(AVERAGE('20250815_ETF_Options_Exhibits'!V312:V316)),AVERAGE('20250815_ETF_Options_Exhibits'!V312:V316),"")</f>
        <v/>
      </c>
      <c r="W316" s="3">
        <f>IF(ISNUMBER(AVERAGE('20250815_ETF_Options_Exhibits'!W312:W316)),AVERAGE('20250815_ETF_Options_Exhibits'!W312:W316),"")</f>
        <v/>
      </c>
      <c r="X316" s="3">
        <f>IF(ISNUMBER(AVERAGE('20250815_ETF_Options_Exhibits'!X312:X316)),AVERAGE('20250815_ETF_Options_Exhibits'!X312:X316),"")</f>
        <v/>
      </c>
      <c r="Y316" s="3">
        <f>IF(ISNUMBER(AVERAGE('20250815_ETF_Options_Exhibits'!Y312:Y316)),AVERAGE('20250815_ETF_Options_Exhibits'!Y312:Y316),"")</f>
        <v/>
      </c>
      <c r="Z316" s="3">
        <f>IF(ISNUMBER(AVERAGE('20250815_ETF_Options_Exhibits'!Z312:Z316)),AVERAGE('20250815_ETF_Options_Exhibits'!Z312:Z316),"")</f>
        <v/>
      </c>
      <c r="AA316" s="3">
        <f>IF(ISNUMBER(AVERAGE('20250815_ETF_Options_Exhibits'!AA312:AA316)),AVERAGE('20250815_ETF_Options_Exhibits'!AA312:AA316),"")</f>
        <v/>
      </c>
    </row>
    <row r="317">
      <c r="A317" s="1" t="n">
        <v>42464</v>
      </c>
      <c r="B317" s="3">
        <f>IF(ISNUMBER(AVERAGE('20250815_ETF_Options_Exhibits'!B313:B317)),AVERAGE('20250815_ETF_Options_Exhibits'!B313:B317),"")</f>
        <v/>
      </c>
      <c r="C317" s="3">
        <f>IF(ISNUMBER(AVERAGE('20250815_ETF_Options_Exhibits'!C313:C317)),AVERAGE('20250815_ETF_Options_Exhibits'!C313:C317),"")</f>
        <v/>
      </c>
      <c r="D317" s="3">
        <f>IF(ISNUMBER(AVERAGE('20250815_ETF_Options_Exhibits'!D313:D317)),AVERAGE('20250815_ETF_Options_Exhibits'!D313:D317),"")</f>
        <v/>
      </c>
      <c r="E317" s="3">
        <f>IF(ISNUMBER(AVERAGE('20250815_ETF_Options_Exhibits'!E313:E317)),AVERAGE('20250815_ETF_Options_Exhibits'!E313:E317),"")</f>
        <v/>
      </c>
      <c r="F317" s="3">
        <f>IF(ISNUMBER(AVERAGE('20250815_ETF_Options_Exhibits'!F313:F317)),AVERAGE('20250815_ETF_Options_Exhibits'!F313:F317),"")</f>
        <v/>
      </c>
      <c r="G317" s="3">
        <f>IF(ISNUMBER(AVERAGE('20250815_ETF_Options_Exhibits'!G313:G317)),AVERAGE('20250815_ETF_Options_Exhibits'!G313:G317),"")</f>
        <v/>
      </c>
      <c r="H317" s="3">
        <f>IF(ISNUMBER(AVERAGE('20250815_ETF_Options_Exhibits'!H313:H317)),AVERAGE('20250815_ETF_Options_Exhibits'!H313:H317),"")</f>
        <v/>
      </c>
      <c r="I317" s="3">
        <f>IF(ISNUMBER(AVERAGE('20250815_ETF_Options_Exhibits'!I313:I317)),AVERAGE('20250815_ETF_Options_Exhibits'!I313:I317),"")</f>
        <v/>
      </c>
      <c r="J317" s="3">
        <f>IF(ISNUMBER(AVERAGE('20250815_ETF_Options_Exhibits'!J313:J317)),AVERAGE('20250815_ETF_Options_Exhibits'!J313:J317),"")</f>
        <v/>
      </c>
      <c r="K317" s="3">
        <f>IF(ISNUMBER(AVERAGE('20250815_ETF_Options_Exhibits'!K313:K317)),AVERAGE('20250815_ETF_Options_Exhibits'!K313:K317),"")</f>
        <v/>
      </c>
      <c r="L317" s="3">
        <f>IF(ISNUMBER(AVERAGE('20250815_ETF_Options_Exhibits'!L313:L317)),AVERAGE('20250815_ETF_Options_Exhibits'!L313:L317),"")</f>
        <v/>
      </c>
      <c r="M317" s="3">
        <f>IF(ISNUMBER(AVERAGE('20250815_ETF_Options_Exhibits'!M313:M317)),AVERAGE('20250815_ETF_Options_Exhibits'!M313:M317),"")</f>
        <v/>
      </c>
      <c r="N317" s="3">
        <f>IF(ISNUMBER(AVERAGE('20250815_ETF_Options_Exhibits'!N313:N317)),AVERAGE('20250815_ETF_Options_Exhibits'!N313:N317),"")</f>
        <v/>
      </c>
      <c r="O317" s="3">
        <f>IF(ISNUMBER(AVERAGE('20250815_ETF_Options_Exhibits'!O313:O317)),AVERAGE('20250815_ETF_Options_Exhibits'!O313:O317),"")</f>
        <v/>
      </c>
      <c r="P317" s="3">
        <f>IF(ISNUMBER(AVERAGE('20250815_ETF_Options_Exhibits'!P313:P317)),AVERAGE('20250815_ETF_Options_Exhibits'!P313:P317),"")</f>
        <v/>
      </c>
      <c r="Q317" s="3">
        <f>IF(ISNUMBER(AVERAGE('20250815_ETF_Options_Exhibits'!Q313:Q317)),AVERAGE('20250815_ETF_Options_Exhibits'!Q313:Q317),"")</f>
        <v/>
      </c>
      <c r="R317" s="3">
        <f>IF(ISNUMBER(AVERAGE('20250815_ETF_Options_Exhibits'!R313:R317)),AVERAGE('20250815_ETF_Options_Exhibits'!R313:R317),"")</f>
        <v/>
      </c>
      <c r="S317" s="3">
        <f>IF(ISNUMBER(AVERAGE('20250815_ETF_Options_Exhibits'!S313:S317)),AVERAGE('20250815_ETF_Options_Exhibits'!S313:S317),"")</f>
        <v/>
      </c>
      <c r="T317" s="3">
        <f>IF(ISNUMBER(AVERAGE('20250815_ETF_Options_Exhibits'!T313:T317)),AVERAGE('20250815_ETF_Options_Exhibits'!T313:T317),"")</f>
        <v/>
      </c>
      <c r="U317" s="3">
        <f>IF(ISNUMBER(AVERAGE('20250815_ETF_Options_Exhibits'!U313:U317)),AVERAGE('20250815_ETF_Options_Exhibits'!U313:U317),"")</f>
        <v/>
      </c>
      <c r="V317" s="3">
        <f>IF(ISNUMBER(AVERAGE('20250815_ETF_Options_Exhibits'!V313:V317)),AVERAGE('20250815_ETF_Options_Exhibits'!V313:V317),"")</f>
        <v/>
      </c>
      <c r="W317" s="3">
        <f>IF(ISNUMBER(AVERAGE('20250815_ETF_Options_Exhibits'!W313:W317)),AVERAGE('20250815_ETF_Options_Exhibits'!W313:W317),"")</f>
        <v/>
      </c>
      <c r="X317" s="3">
        <f>IF(ISNUMBER(AVERAGE('20250815_ETF_Options_Exhibits'!X313:X317)),AVERAGE('20250815_ETF_Options_Exhibits'!X313:X317),"")</f>
        <v/>
      </c>
      <c r="Y317" s="3">
        <f>IF(ISNUMBER(AVERAGE('20250815_ETF_Options_Exhibits'!Y313:Y317)),AVERAGE('20250815_ETF_Options_Exhibits'!Y313:Y317),"")</f>
        <v/>
      </c>
      <c r="Z317" s="3">
        <f>IF(ISNUMBER(AVERAGE('20250815_ETF_Options_Exhibits'!Z313:Z317)),AVERAGE('20250815_ETF_Options_Exhibits'!Z313:Z317),"")</f>
        <v/>
      </c>
      <c r="AA317" s="3">
        <f>IF(ISNUMBER(AVERAGE('20250815_ETF_Options_Exhibits'!AA313:AA317)),AVERAGE('20250815_ETF_Options_Exhibits'!AA313:AA317),"")</f>
        <v/>
      </c>
    </row>
    <row r="318">
      <c r="A318" s="1" t="n">
        <v>42465</v>
      </c>
      <c r="B318" s="3">
        <f>IF(ISNUMBER(AVERAGE('20250815_ETF_Options_Exhibits'!B314:B318)),AVERAGE('20250815_ETF_Options_Exhibits'!B314:B318),"")</f>
        <v/>
      </c>
      <c r="C318" s="3">
        <f>IF(ISNUMBER(AVERAGE('20250815_ETF_Options_Exhibits'!C314:C318)),AVERAGE('20250815_ETF_Options_Exhibits'!C314:C318),"")</f>
        <v/>
      </c>
      <c r="D318" s="3">
        <f>IF(ISNUMBER(AVERAGE('20250815_ETF_Options_Exhibits'!D314:D318)),AVERAGE('20250815_ETF_Options_Exhibits'!D314:D318),"")</f>
        <v/>
      </c>
      <c r="E318" s="3">
        <f>IF(ISNUMBER(AVERAGE('20250815_ETF_Options_Exhibits'!E314:E318)),AVERAGE('20250815_ETF_Options_Exhibits'!E314:E318),"")</f>
        <v/>
      </c>
      <c r="F318" s="3">
        <f>IF(ISNUMBER(AVERAGE('20250815_ETF_Options_Exhibits'!F314:F318)),AVERAGE('20250815_ETF_Options_Exhibits'!F314:F318),"")</f>
        <v/>
      </c>
      <c r="G318" s="3">
        <f>IF(ISNUMBER(AVERAGE('20250815_ETF_Options_Exhibits'!G314:G318)),AVERAGE('20250815_ETF_Options_Exhibits'!G314:G318),"")</f>
        <v/>
      </c>
      <c r="H318" s="3">
        <f>IF(ISNUMBER(AVERAGE('20250815_ETF_Options_Exhibits'!H314:H318)),AVERAGE('20250815_ETF_Options_Exhibits'!H314:H318),"")</f>
        <v/>
      </c>
      <c r="I318" s="3">
        <f>IF(ISNUMBER(AVERAGE('20250815_ETF_Options_Exhibits'!I314:I318)),AVERAGE('20250815_ETF_Options_Exhibits'!I314:I318),"")</f>
        <v/>
      </c>
      <c r="J318" s="3">
        <f>IF(ISNUMBER(AVERAGE('20250815_ETF_Options_Exhibits'!J314:J318)),AVERAGE('20250815_ETF_Options_Exhibits'!J314:J318),"")</f>
        <v/>
      </c>
      <c r="K318" s="3">
        <f>IF(ISNUMBER(AVERAGE('20250815_ETF_Options_Exhibits'!K314:K318)),AVERAGE('20250815_ETF_Options_Exhibits'!K314:K318),"")</f>
        <v/>
      </c>
      <c r="L318" s="3">
        <f>IF(ISNUMBER(AVERAGE('20250815_ETF_Options_Exhibits'!L314:L318)),AVERAGE('20250815_ETF_Options_Exhibits'!L314:L318),"")</f>
        <v/>
      </c>
      <c r="M318" s="3">
        <f>IF(ISNUMBER(AVERAGE('20250815_ETF_Options_Exhibits'!M314:M318)),AVERAGE('20250815_ETF_Options_Exhibits'!M314:M318),"")</f>
        <v/>
      </c>
      <c r="N318" s="3">
        <f>IF(ISNUMBER(AVERAGE('20250815_ETF_Options_Exhibits'!N314:N318)),AVERAGE('20250815_ETF_Options_Exhibits'!N314:N318),"")</f>
        <v/>
      </c>
      <c r="O318" s="3">
        <f>IF(ISNUMBER(AVERAGE('20250815_ETF_Options_Exhibits'!O314:O318)),AVERAGE('20250815_ETF_Options_Exhibits'!O314:O318),"")</f>
        <v/>
      </c>
      <c r="P318" s="3">
        <f>IF(ISNUMBER(AVERAGE('20250815_ETF_Options_Exhibits'!P314:P318)),AVERAGE('20250815_ETF_Options_Exhibits'!P314:P318),"")</f>
        <v/>
      </c>
      <c r="Q318" s="3">
        <f>IF(ISNUMBER(AVERAGE('20250815_ETF_Options_Exhibits'!Q314:Q318)),AVERAGE('20250815_ETF_Options_Exhibits'!Q314:Q318),"")</f>
        <v/>
      </c>
      <c r="R318" s="3">
        <f>IF(ISNUMBER(AVERAGE('20250815_ETF_Options_Exhibits'!R314:R318)),AVERAGE('20250815_ETF_Options_Exhibits'!R314:R318),"")</f>
        <v/>
      </c>
      <c r="S318" s="3">
        <f>IF(ISNUMBER(AVERAGE('20250815_ETF_Options_Exhibits'!S314:S318)),AVERAGE('20250815_ETF_Options_Exhibits'!S314:S318),"")</f>
        <v/>
      </c>
      <c r="T318" s="3">
        <f>IF(ISNUMBER(AVERAGE('20250815_ETF_Options_Exhibits'!T314:T318)),AVERAGE('20250815_ETF_Options_Exhibits'!T314:T318),"")</f>
        <v/>
      </c>
      <c r="U318" s="3">
        <f>IF(ISNUMBER(AVERAGE('20250815_ETF_Options_Exhibits'!U314:U318)),AVERAGE('20250815_ETF_Options_Exhibits'!U314:U318),"")</f>
        <v/>
      </c>
      <c r="V318" s="3">
        <f>IF(ISNUMBER(AVERAGE('20250815_ETF_Options_Exhibits'!V314:V318)),AVERAGE('20250815_ETF_Options_Exhibits'!V314:V318),"")</f>
        <v/>
      </c>
      <c r="W318" s="3">
        <f>IF(ISNUMBER(AVERAGE('20250815_ETF_Options_Exhibits'!W314:W318)),AVERAGE('20250815_ETF_Options_Exhibits'!W314:W318),"")</f>
        <v/>
      </c>
      <c r="X318" s="3">
        <f>IF(ISNUMBER(AVERAGE('20250815_ETF_Options_Exhibits'!X314:X318)),AVERAGE('20250815_ETF_Options_Exhibits'!X314:X318),"")</f>
        <v/>
      </c>
      <c r="Y318" s="3">
        <f>IF(ISNUMBER(AVERAGE('20250815_ETF_Options_Exhibits'!Y314:Y318)),AVERAGE('20250815_ETF_Options_Exhibits'!Y314:Y318),"")</f>
        <v/>
      </c>
      <c r="Z318" s="3">
        <f>IF(ISNUMBER(AVERAGE('20250815_ETF_Options_Exhibits'!Z314:Z318)),AVERAGE('20250815_ETF_Options_Exhibits'!Z314:Z318),"")</f>
        <v/>
      </c>
      <c r="AA318" s="3">
        <f>IF(ISNUMBER(AVERAGE('20250815_ETF_Options_Exhibits'!AA314:AA318)),AVERAGE('20250815_ETF_Options_Exhibits'!AA314:AA318),"")</f>
        <v/>
      </c>
    </row>
    <row r="319">
      <c r="A319" s="1" t="n">
        <v>42466</v>
      </c>
      <c r="B319" s="3">
        <f>IF(ISNUMBER(AVERAGE('20250815_ETF_Options_Exhibits'!B315:B319)),AVERAGE('20250815_ETF_Options_Exhibits'!B315:B319),"")</f>
        <v/>
      </c>
      <c r="C319" s="3">
        <f>IF(ISNUMBER(AVERAGE('20250815_ETF_Options_Exhibits'!C315:C319)),AVERAGE('20250815_ETF_Options_Exhibits'!C315:C319),"")</f>
        <v/>
      </c>
      <c r="D319" s="3">
        <f>IF(ISNUMBER(AVERAGE('20250815_ETF_Options_Exhibits'!D315:D319)),AVERAGE('20250815_ETF_Options_Exhibits'!D315:D319),"")</f>
        <v/>
      </c>
      <c r="E319" s="3">
        <f>IF(ISNUMBER(AVERAGE('20250815_ETF_Options_Exhibits'!E315:E319)),AVERAGE('20250815_ETF_Options_Exhibits'!E315:E319),"")</f>
        <v/>
      </c>
      <c r="F319" s="3">
        <f>IF(ISNUMBER(AVERAGE('20250815_ETF_Options_Exhibits'!F315:F319)),AVERAGE('20250815_ETF_Options_Exhibits'!F315:F319),"")</f>
        <v/>
      </c>
      <c r="G319" s="3">
        <f>IF(ISNUMBER(AVERAGE('20250815_ETF_Options_Exhibits'!G315:G319)),AVERAGE('20250815_ETF_Options_Exhibits'!G315:G319),"")</f>
        <v/>
      </c>
      <c r="H319" s="3">
        <f>IF(ISNUMBER(AVERAGE('20250815_ETF_Options_Exhibits'!H315:H319)),AVERAGE('20250815_ETF_Options_Exhibits'!H315:H319),"")</f>
        <v/>
      </c>
      <c r="I319" s="3">
        <f>IF(ISNUMBER(AVERAGE('20250815_ETF_Options_Exhibits'!I315:I319)),AVERAGE('20250815_ETF_Options_Exhibits'!I315:I319),"")</f>
        <v/>
      </c>
      <c r="J319" s="3">
        <f>IF(ISNUMBER(AVERAGE('20250815_ETF_Options_Exhibits'!J315:J319)),AVERAGE('20250815_ETF_Options_Exhibits'!J315:J319),"")</f>
        <v/>
      </c>
      <c r="K319" s="3">
        <f>IF(ISNUMBER(AVERAGE('20250815_ETF_Options_Exhibits'!K315:K319)),AVERAGE('20250815_ETF_Options_Exhibits'!K315:K319),"")</f>
        <v/>
      </c>
      <c r="L319" s="3">
        <f>IF(ISNUMBER(AVERAGE('20250815_ETF_Options_Exhibits'!L315:L319)),AVERAGE('20250815_ETF_Options_Exhibits'!L315:L319),"")</f>
        <v/>
      </c>
      <c r="M319" s="3">
        <f>IF(ISNUMBER(AVERAGE('20250815_ETF_Options_Exhibits'!M315:M319)),AVERAGE('20250815_ETF_Options_Exhibits'!M315:M319),"")</f>
        <v/>
      </c>
      <c r="N319" s="3">
        <f>IF(ISNUMBER(AVERAGE('20250815_ETF_Options_Exhibits'!N315:N319)),AVERAGE('20250815_ETF_Options_Exhibits'!N315:N319),"")</f>
        <v/>
      </c>
      <c r="O319" s="3">
        <f>IF(ISNUMBER(AVERAGE('20250815_ETF_Options_Exhibits'!O315:O319)),AVERAGE('20250815_ETF_Options_Exhibits'!O315:O319),"")</f>
        <v/>
      </c>
      <c r="P319" s="3">
        <f>IF(ISNUMBER(AVERAGE('20250815_ETF_Options_Exhibits'!P315:P319)),AVERAGE('20250815_ETF_Options_Exhibits'!P315:P319),"")</f>
        <v/>
      </c>
      <c r="Q319" s="3">
        <f>IF(ISNUMBER(AVERAGE('20250815_ETF_Options_Exhibits'!Q315:Q319)),AVERAGE('20250815_ETF_Options_Exhibits'!Q315:Q319),"")</f>
        <v/>
      </c>
      <c r="R319" s="3">
        <f>IF(ISNUMBER(AVERAGE('20250815_ETF_Options_Exhibits'!R315:R319)),AVERAGE('20250815_ETF_Options_Exhibits'!R315:R319),"")</f>
        <v/>
      </c>
      <c r="S319" s="3">
        <f>IF(ISNUMBER(AVERAGE('20250815_ETF_Options_Exhibits'!S315:S319)),AVERAGE('20250815_ETF_Options_Exhibits'!S315:S319),"")</f>
        <v/>
      </c>
      <c r="T319" s="3">
        <f>IF(ISNUMBER(AVERAGE('20250815_ETF_Options_Exhibits'!T315:T319)),AVERAGE('20250815_ETF_Options_Exhibits'!T315:T319),"")</f>
        <v/>
      </c>
      <c r="U319" s="3">
        <f>IF(ISNUMBER(AVERAGE('20250815_ETF_Options_Exhibits'!U315:U319)),AVERAGE('20250815_ETF_Options_Exhibits'!U315:U319),"")</f>
        <v/>
      </c>
      <c r="V319" s="3">
        <f>IF(ISNUMBER(AVERAGE('20250815_ETF_Options_Exhibits'!V315:V319)),AVERAGE('20250815_ETF_Options_Exhibits'!V315:V319),"")</f>
        <v/>
      </c>
      <c r="W319" s="3">
        <f>IF(ISNUMBER(AVERAGE('20250815_ETF_Options_Exhibits'!W315:W319)),AVERAGE('20250815_ETF_Options_Exhibits'!W315:W319),"")</f>
        <v/>
      </c>
      <c r="X319" s="3">
        <f>IF(ISNUMBER(AVERAGE('20250815_ETF_Options_Exhibits'!X315:X319)),AVERAGE('20250815_ETF_Options_Exhibits'!X315:X319),"")</f>
        <v/>
      </c>
      <c r="Y319" s="3">
        <f>IF(ISNUMBER(AVERAGE('20250815_ETF_Options_Exhibits'!Y315:Y319)),AVERAGE('20250815_ETF_Options_Exhibits'!Y315:Y319),"")</f>
        <v/>
      </c>
      <c r="Z319" s="3">
        <f>IF(ISNUMBER(AVERAGE('20250815_ETF_Options_Exhibits'!Z315:Z319)),AVERAGE('20250815_ETF_Options_Exhibits'!Z315:Z319),"")</f>
        <v/>
      </c>
      <c r="AA319" s="3">
        <f>IF(ISNUMBER(AVERAGE('20250815_ETF_Options_Exhibits'!AA315:AA319)),AVERAGE('20250815_ETF_Options_Exhibits'!AA315:AA319),"")</f>
        <v/>
      </c>
    </row>
    <row r="320">
      <c r="A320" s="1" t="n">
        <v>42467</v>
      </c>
      <c r="B320" s="3">
        <f>IF(ISNUMBER(AVERAGE('20250815_ETF_Options_Exhibits'!B316:B320)),AVERAGE('20250815_ETF_Options_Exhibits'!B316:B320),"")</f>
        <v/>
      </c>
      <c r="C320" s="3">
        <f>IF(ISNUMBER(AVERAGE('20250815_ETF_Options_Exhibits'!C316:C320)),AVERAGE('20250815_ETF_Options_Exhibits'!C316:C320),"")</f>
        <v/>
      </c>
      <c r="D320" s="3">
        <f>IF(ISNUMBER(AVERAGE('20250815_ETF_Options_Exhibits'!D316:D320)),AVERAGE('20250815_ETF_Options_Exhibits'!D316:D320),"")</f>
        <v/>
      </c>
      <c r="E320" s="3">
        <f>IF(ISNUMBER(AVERAGE('20250815_ETF_Options_Exhibits'!E316:E320)),AVERAGE('20250815_ETF_Options_Exhibits'!E316:E320),"")</f>
        <v/>
      </c>
      <c r="F320" s="3">
        <f>IF(ISNUMBER(AVERAGE('20250815_ETF_Options_Exhibits'!F316:F320)),AVERAGE('20250815_ETF_Options_Exhibits'!F316:F320),"")</f>
        <v/>
      </c>
      <c r="G320" s="3">
        <f>IF(ISNUMBER(AVERAGE('20250815_ETF_Options_Exhibits'!G316:G320)),AVERAGE('20250815_ETF_Options_Exhibits'!G316:G320),"")</f>
        <v/>
      </c>
      <c r="H320" s="3">
        <f>IF(ISNUMBER(AVERAGE('20250815_ETF_Options_Exhibits'!H316:H320)),AVERAGE('20250815_ETF_Options_Exhibits'!H316:H320),"")</f>
        <v/>
      </c>
      <c r="I320" s="3">
        <f>IF(ISNUMBER(AVERAGE('20250815_ETF_Options_Exhibits'!I316:I320)),AVERAGE('20250815_ETF_Options_Exhibits'!I316:I320),"")</f>
        <v/>
      </c>
      <c r="J320" s="3">
        <f>IF(ISNUMBER(AVERAGE('20250815_ETF_Options_Exhibits'!J316:J320)),AVERAGE('20250815_ETF_Options_Exhibits'!J316:J320),"")</f>
        <v/>
      </c>
      <c r="K320" s="3">
        <f>IF(ISNUMBER(AVERAGE('20250815_ETF_Options_Exhibits'!K316:K320)),AVERAGE('20250815_ETF_Options_Exhibits'!K316:K320),"")</f>
        <v/>
      </c>
      <c r="L320" s="3">
        <f>IF(ISNUMBER(AVERAGE('20250815_ETF_Options_Exhibits'!L316:L320)),AVERAGE('20250815_ETF_Options_Exhibits'!L316:L320),"")</f>
        <v/>
      </c>
      <c r="M320" s="3">
        <f>IF(ISNUMBER(AVERAGE('20250815_ETF_Options_Exhibits'!M316:M320)),AVERAGE('20250815_ETF_Options_Exhibits'!M316:M320),"")</f>
        <v/>
      </c>
      <c r="N320" s="3">
        <f>IF(ISNUMBER(AVERAGE('20250815_ETF_Options_Exhibits'!N316:N320)),AVERAGE('20250815_ETF_Options_Exhibits'!N316:N320),"")</f>
        <v/>
      </c>
      <c r="O320" s="3">
        <f>IF(ISNUMBER(AVERAGE('20250815_ETF_Options_Exhibits'!O316:O320)),AVERAGE('20250815_ETF_Options_Exhibits'!O316:O320),"")</f>
        <v/>
      </c>
      <c r="P320" s="3">
        <f>IF(ISNUMBER(AVERAGE('20250815_ETF_Options_Exhibits'!P316:P320)),AVERAGE('20250815_ETF_Options_Exhibits'!P316:P320),"")</f>
        <v/>
      </c>
      <c r="Q320" s="3">
        <f>IF(ISNUMBER(AVERAGE('20250815_ETF_Options_Exhibits'!Q316:Q320)),AVERAGE('20250815_ETF_Options_Exhibits'!Q316:Q320),"")</f>
        <v/>
      </c>
      <c r="R320" s="3">
        <f>IF(ISNUMBER(AVERAGE('20250815_ETF_Options_Exhibits'!R316:R320)),AVERAGE('20250815_ETF_Options_Exhibits'!R316:R320),"")</f>
        <v/>
      </c>
      <c r="S320" s="3">
        <f>IF(ISNUMBER(AVERAGE('20250815_ETF_Options_Exhibits'!S316:S320)),AVERAGE('20250815_ETF_Options_Exhibits'!S316:S320),"")</f>
        <v/>
      </c>
      <c r="T320" s="3">
        <f>IF(ISNUMBER(AVERAGE('20250815_ETF_Options_Exhibits'!T316:T320)),AVERAGE('20250815_ETF_Options_Exhibits'!T316:T320),"")</f>
        <v/>
      </c>
      <c r="U320" s="3">
        <f>IF(ISNUMBER(AVERAGE('20250815_ETF_Options_Exhibits'!U316:U320)),AVERAGE('20250815_ETF_Options_Exhibits'!U316:U320),"")</f>
        <v/>
      </c>
      <c r="V320" s="3">
        <f>IF(ISNUMBER(AVERAGE('20250815_ETF_Options_Exhibits'!V316:V320)),AVERAGE('20250815_ETF_Options_Exhibits'!V316:V320),"")</f>
        <v/>
      </c>
      <c r="W320" s="3">
        <f>IF(ISNUMBER(AVERAGE('20250815_ETF_Options_Exhibits'!W316:W320)),AVERAGE('20250815_ETF_Options_Exhibits'!W316:W320),"")</f>
        <v/>
      </c>
      <c r="X320" s="3">
        <f>IF(ISNUMBER(AVERAGE('20250815_ETF_Options_Exhibits'!X316:X320)),AVERAGE('20250815_ETF_Options_Exhibits'!X316:X320),"")</f>
        <v/>
      </c>
      <c r="Y320" s="3">
        <f>IF(ISNUMBER(AVERAGE('20250815_ETF_Options_Exhibits'!Y316:Y320)),AVERAGE('20250815_ETF_Options_Exhibits'!Y316:Y320),"")</f>
        <v/>
      </c>
      <c r="Z320" s="3">
        <f>IF(ISNUMBER(AVERAGE('20250815_ETF_Options_Exhibits'!Z316:Z320)),AVERAGE('20250815_ETF_Options_Exhibits'!Z316:Z320),"")</f>
        <v/>
      </c>
      <c r="AA320" s="3">
        <f>IF(ISNUMBER(AVERAGE('20250815_ETF_Options_Exhibits'!AA316:AA320)),AVERAGE('20250815_ETF_Options_Exhibits'!AA316:AA320),"")</f>
        <v/>
      </c>
    </row>
    <row r="321">
      <c r="A321" s="1" t="n">
        <v>42468</v>
      </c>
      <c r="B321" s="3">
        <f>IF(ISNUMBER(AVERAGE('20250815_ETF_Options_Exhibits'!B317:B321)),AVERAGE('20250815_ETF_Options_Exhibits'!B317:B321),"")</f>
        <v/>
      </c>
      <c r="C321" s="3">
        <f>IF(ISNUMBER(AVERAGE('20250815_ETF_Options_Exhibits'!C317:C321)),AVERAGE('20250815_ETF_Options_Exhibits'!C317:C321),"")</f>
        <v/>
      </c>
      <c r="D321" s="3">
        <f>IF(ISNUMBER(AVERAGE('20250815_ETF_Options_Exhibits'!D317:D321)),AVERAGE('20250815_ETF_Options_Exhibits'!D317:D321),"")</f>
        <v/>
      </c>
      <c r="E321" s="3">
        <f>IF(ISNUMBER(AVERAGE('20250815_ETF_Options_Exhibits'!E317:E321)),AVERAGE('20250815_ETF_Options_Exhibits'!E317:E321),"")</f>
        <v/>
      </c>
      <c r="F321" s="3">
        <f>IF(ISNUMBER(AVERAGE('20250815_ETF_Options_Exhibits'!F317:F321)),AVERAGE('20250815_ETF_Options_Exhibits'!F317:F321),"")</f>
        <v/>
      </c>
      <c r="G321" s="3">
        <f>IF(ISNUMBER(AVERAGE('20250815_ETF_Options_Exhibits'!G317:G321)),AVERAGE('20250815_ETF_Options_Exhibits'!G317:G321),"")</f>
        <v/>
      </c>
      <c r="H321" s="3">
        <f>IF(ISNUMBER(AVERAGE('20250815_ETF_Options_Exhibits'!H317:H321)),AVERAGE('20250815_ETF_Options_Exhibits'!H317:H321),"")</f>
        <v/>
      </c>
      <c r="I321" s="3">
        <f>IF(ISNUMBER(AVERAGE('20250815_ETF_Options_Exhibits'!I317:I321)),AVERAGE('20250815_ETF_Options_Exhibits'!I317:I321),"")</f>
        <v/>
      </c>
      <c r="J321" s="3">
        <f>IF(ISNUMBER(AVERAGE('20250815_ETF_Options_Exhibits'!J317:J321)),AVERAGE('20250815_ETF_Options_Exhibits'!J317:J321),"")</f>
        <v/>
      </c>
      <c r="K321" s="3">
        <f>IF(ISNUMBER(AVERAGE('20250815_ETF_Options_Exhibits'!K317:K321)),AVERAGE('20250815_ETF_Options_Exhibits'!K317:K321),"")</f>
        <v/>
      </c>
      <c r="L321" s="3">
        <f>IF(ISNUMBER(AVERAGE('20250815_ETF_Options_Exhibits'!L317:L321)),AVERAGE('20250815_ETF_Options_Exhibits'!L317:L321),"")</f>
        <v/>
      </c>
      <c r="M321" s="3">
        <f>IF(ISNUMBER(AVERAGE('20250815_ETF_Options_Exhibits'!M317:M321)),AVERAGE('20250815_ETF_Options_Exhibits'!M317:M321),"")</f>
        <v/>
      </c>
      <c r="N321" s="3">
        <f>IF(ISNUMBER(AVERAGE('20250815_ETF_Options_Exhibits'!N317:N321)),AVERAGE('20250815_ETF_Options_Exhibits'!N317:N321),"")</f>
        <v/>
      </c>
      <c r="O321" s="3">
        <f>IF(ISNUMBER(AVERAGE('20250815_ETF_Options_Exhibits'!O317:O321)),AVERAGE('20250815_ETF_Options_Exhibits'!O317:O321),"")</f>
        <v/>
      </c>
      <c r="P321" s="3">
        <f>IF(ISNUMBER(AVERAGE('20250815_ETF_Options_Exhibits'!P317:P321)),AVERAGE('20250815_ETF_Options_Exhibits'!P317:P321),"")</f>
        <v/>
      </c>
      <c r="Q321" s="3">
        <f>IF(ISNUMBER(AVERAGE('20250815_ETF_Options_Exhibits'!Q317:Q321)),AVERAGE('20250815_ETF_Options_Exhibits'!Q317:Q321),"")</f>
        <v/>
      </c>
      <c r="R321" s="3">
        <f>IF(ISNUMBER(AVERAGE('20250815_ETF_Options_Exhibits'!R317:R321)),AVERAGE('20250815_ETF_Options_Exhibits'!R317:R321),"")</f>
        <v/>
      </c>
      <c r="S321" s="3">
        <f>IF(ISNUMBER(AVERAGE('20250815_ETF_Options_Exhibits'!S317:S321)),AVERAGE('20250815_ETF_Options_Exhibits'!S317:S321),"")</f>
        <v/>
      </c>
      <c r="T321" s="3">
        <f>IF(ISNUMBER(AVERAGE('20250815_ETF_Options_Exhibits'!T317:T321)),AVERAGE('20250815_ETF_Options_Exhibits'!T317:T321),"")</f>
        <v/>
      </c>
      <c r="U321" s="3">
        <f>IF(ISNUMBER(AVERAGE('20250815_ETF_Options_Exhibits'!U317:U321)),AVERAGE('20250815_ETF_Options_Exhibits'!U317:U321),"")</f>
        <v/>
      </c>
      <c r="V321" s="3">
        <f>IF(ISNUMBER(AVERAGE('20250815_ETF_Options_Exhibits'!V317:V321)),AVERAGE('20250815_ETF_Options_Exhibits'!V317:V321),"")</f>
        <v/>
      </c>
      <c r="W321" s="3">
        <f>IF(ISNUMBER(AVERAGE('20250815_ETF_Options_Exhibits'!W317:W321)),AVERAGE('20250815_ETF_Options_Exhibits'!W317:W321),"")</f>
        <v/>
      </c>
      <c r="X321" s="3">
        <f>IF(ISNUMBER(AVERAGE('20250815_ETF_Options_Exhibits'!X317:X321)),AVERAGE('20250815_ETF_Options_Exhibits'!X317:X321),"")</f>
        <v/>
      </c>
      <c r="Y321" s="3">
        <f>IF(ISNUMBER(AVERAGE('20250815_ETF_Options_Exhibits'!Y317:Y321)),AVERAGE('20250815_ETF_Options_Exhibits'!Y317:Y321),"")</f>
        <v/>
      </c>
      <c r="Z321" s="3">
        <f>IF(ISNUMBER(AVERAGE('20250815_ETF_Options_Exhibits'!Z317:Z321)),AVERAGE('20250815_ETF_Options_Exhibits'!Z317:Z321),"")</f>
        <v/>
      </c>
      <c r="AA321" s="3">
        <f>IF(ISNUMBER(AVERAGE('20250815_ETF_Options_Exhibits'!AA317:AA321)),AVERAGE('20250815_ETF_Options_Exhibits'!AA317:AA321),"")</f>
        <v/>
      </c>
    </row>
    <row r="322">
      <c r="A322" s="1" t="n">
        <v>42471</v>
      </c>
      <c r="B322" s="3">
        <f>IF(ISNUMBER(AVERAGE('20250815_ETF_Options_Exhibits'!B318:B322)),AVERAGE('20250815_ETF_Options_Exhibits'!B318:B322),"")</f>
        <v/>
      </c>
      <c r="C322" s="3">
        <f>IF(ISNUMBER(AVERAGE('20250815_ETF_Options_Exhibits'!C318:C322)),AVERAGE('20250815_ETF_Options_Exhibits'!C318:C322),"")</f>
        <v/>
      </c>
      <c r="D322" s="3">
        <f>IF(ISNUMBER(AVERAGE('20250815_ETF_Options_Exhibits'!D318:D322)),AVERAGE('20250815_ETF_Options_Exhibits'!D318:D322),"")</f>
        <v/>
      </c>
      <c r="E322" s="3">
        <f>IF(ISNUMBER(AVERAGE('20250815_ETF_Options_Exhibits'!E318:E322)),AVERAGE('20250815_ETF_Options_Exhibits'!E318:E322),"")</f>
        <v/>
      </c>
      <c r="F322" s="3">
        <f>IF(ISNUMBER(AVERAGE('20250815_ETF_Options_Exhibits'!F318:F322)),AVERAGE('20250815_ETF_Options_Exhibits'!F318:F322),"")</f>
        <v/>
      </c>
      <c r="G322" s="3">
        <f>IF(ISNUMBER(AVERAGE('20250815_ETF_Options_Exhibits'!G318:G322)),AVERAGE('20250815_ETF_Options_Exhibits'!G318:G322),"")</f>
        <v/>
      </c>
      <c r="H322" s="3">
        <f>IF(ISNUMBER(AVERAGE('20250815_ETF_Options_Exhibits'!H318:H322)),AVERAGE('20250815_ETF_Options_Exhibits'!H318:H322),"")</f>
        <v/>
      </c>
      <c r="I322" s="3">
        <f>IF(ISNUMBER(AVERAGE('20250815_ETF_Options_Exhibits'!I318:I322)),AVERAGE('20250815_ETF_Options_Exhibits'!I318:I322),"")</f>
        <v/>
      </c>
      <c r="J322" s="3">
        <f>IF(ISNUMBER(AVERAGE('20250815_ETF_Options_Exhibits'!J318:J322)),AVERAGE('20250815_ETF_Options_Exhibits'!J318:J322),"")</f>
        <v/>
      </c>
      <c r="K322" s="3">
        <f>IF(ISNUMBER(AVERAGE('20250815_ETF_Options_Exhibits'!K318:K322)),AVERAGE('20250815_ETF_Options_Exhibits'!K318:K322),"")</f>
        <v/>
      </c>
      <c r="L322" s="3">
        <f>IF(ISNUMBER(AVERAGE('20250815_ETF_Options_Exhibits'!L318:L322)),AVERAGE('20250815_ETF_Options_Exhibits'!L318:L322),"")</f>
        <v/>
      </c>
      <c r="M322" s="3">
        <f>IF(ISNUMBER(AVERAGE('20250815_ETF_Options_Exhibits'!M318:M322)),AVERAGE('20250815_ETF_Options_Exhibits'!M318:M322),"")</f>
        <v/>
      </c>
      <c r="N322" s="3">
        <f>IF(ISNUMBER(AVERAGE('20250815_ETF_Options_Exhibits'!N318:N322)),AVERAGE('20250815_ETF_Options_Exhibits'!N318:N322),"")</f>
        <v/>
      </c>
      <c r="O322" s="3">
        <f>IF(ISNUMBER(AVERAGE('20250815_ETF_Options_Exhibits'!O318:O322)),AVERAGE('20250815_ETF_Options_Exhibits'!O318:O322),"")</f>
        <v/>
      </c>
      <c r="P322" s="3">
        <f>IF(ISNUMBER(AVERAGE('20250815_ETF_Options_Exhibits'!P318:P322)),AVERAGE('20250815_ETF_Options_Exhibits'!P318:P322),"")</f>
        <v/>
      </c>
      <c r="Q322" s="3">
        <f>IF(ISNUMBER(AVERAGE('20250815_ETF_Options_Exhibits'!Q318:Q322)),AVERAGE('20250815_ETF_Options_Exhibits'!Q318:Q322),"")</f>
        <v/>
      </c>
      <c r="R322" s="3">
        <f>IF(ISNUMBER(AVERAGE('20250815_ETF_Options_Exhibits'!R318:R322)),AVERAGE('20250815_ETF_Options_Exhibits'!R318:R322),"")</f>
        <v/>
      </c>
      <c r="S322" s="3">
        <f>IF(ISNUMBER(AVERAGE('20250815_ETF_Options_Exhibits'!S318:S322)),AVERAGE('20250815_ETF_Options_Exhibits'!S318:S322),"")</f>
        <v/>
      </c>
      <c r="T322" s="3">
        <f>IF(ISNUMBER(AVERAGE('20250815_ETF_Options_Exhibits'!T318:T322)),AVERAGE('20250815_ETF_Options_Exhibits'!T318:T322),"")</f>
        <v/>
      </c>
      <c r="U322" s="3">
        <f>IF(ISNUMBER(AVERAGE('20250815_ETF_Options_Exhibits'!U318:U322)),AVERAGE('20250815_ETF_Options_Exhibits'!U318:U322),"")</f>
        <v/>
      </c>
      <c r="V322" s="3">
        <f>IF(ISNUMBER(AVERAGE('20250815_ETF_Options_Exhibits'!V318:V322)),AVERAGE('20250815_ETF_Options_Exhibits'!V318:V322),"")</f>
        <v/>
      </c>
      <c r="W322" s="3">
        <f>IF(ISNUMBER(AVERAGE('20250815_ETF_Options_Exhibits'!W318:W322)),AVERAGE('20250815_ETF_Options_Exhibits'!W318:W322),"")</f>
        <v/>
      </c>
      <c r="X322" s="3">
        <f>IF(ISNUMBER(AVERAGE('20250815_ETF_Options_Exhibits'!X318:X322)),AVERAGE('20250815_ETF_Options_Exhibits'!X318:X322),"")</f>
        <v/>
      </c>
      <c r="Y322" s="3">
        <f>IF(ISNUMBER(AVERAGE('20250815_ETF_Options_Exhibits'!Y318:Y322)),AVERAGE('20250815_ETF_Options_Exhibits'!Y318:Y322),"")</f>
        <v/>
      </c>
      <c r="Z322" s="3">
        <f>IF(ISNUMBER(AVERAGE('20250815_ETF_Options_Exhibits'!Z318:Z322)),AVERAGE('20250815_ETF_Options_Exhibits'!Z318:Z322),"")</f>
        <v/>
      </c>
      <c r="AA322" s="3">
        <f>IF(ISNUMBER(AVERAGE('20250815_ETF_Options_Exhibits'!AA318:AA322)),AVERAGE('20250815_ETF_Options_Exhibits'!AA318:AA322),"")</f>
        <v/>
      </c>
    </row>
    <row r="323">
      <c r="A323" s="1" t="n">
        <v>42472</v>
      </c>
      <c r="B323" s="3">
        <f>IF(ISNUMBER(AVERAGE('20250815_ETF_Options_Exhibits'!B319:B323)),AVERAGE('20250815_ETF_Options_Exhibits'!B319:B323),"")</f>
        <v/>
      </c>
      <c r="C323" s="3">
        <f>IF(ISNUMBER(AVERAGE('20250815_ETF_Options_Exhibits'!C319:C323)),AVERAGE('20250815_ETF_Options_Exhibits'!C319:C323),"")</f>
        <v/>
      </c>
      <c r="D323" s="3">
        <f>IF(ISNUMBER(AVERAGE('20250815_ETF_Options_Exhibits'!D319:D323)),AVERAGE('20250815_ETF_Options_Exhibits'!D319:D323),"")</f>
        <v/>
      </c>
      <c r="E323" s="3">
        <f>IF(ISNUMBER(AVERAGE('20250815_ETF_Options_Exhibits'!E319:E323)),AVERAGE('20250815_ETF_Options_Exhibits'!E319:E323),"")</f>
        <v/>
      </c>
      <c r="F323" s="3">
        <f>IF(ISNUMBER(AVERAGE('20250815_ETF_Options_Exhibits'!F319:F323)),AVERAGE('20250815_ETF_Options_Exhibits'!F319:F323),"")</f>
        <v/>
      </c>
      <c r="G323" s="3">
        <f>IF(ISNUMBER(AVERAGE('20250815_ETF_Options_Exhibits'!G319:G323)),AVERAGE('20250815_ETF_Options_Exhibits'!G319:G323),"")</f>
        <v/>
      </c>
      <c r="H323" s="3">
        <f>IF(ISNUMBER(AVERAGE('20250815_ETF_Options_Exhibits'!H319:H323)),AVERAGE('20250815_ETF_Options_Exhibits'!H319:H323),"")</f>
        <v/>
      </c>
      <c r="I323" s="3">
        <f>IF(ISNUMBER(AVERAGE('20250815_ETF_Options_Exhibits'!I319:I323)),AVERAGE('20250815_ETF_Options_Exhibits'!I319:I323),"")</f>
        <v/>
      </c>
      <c r="J323" s="3">
        <f>IF(ISNUMBER(AVERAGE('20250815_ETF_Options_Exhibits'!J319:J323)),AVERAGE('20250815_ETF_Options_Exhibits'!J319:J323),"")</f>
        <v/>
      </c>
      <c r="K323" s="3">
        <f>IF(ISNUMBER(AVERAGE('20250815_ETF_Options_Exhibits'!K319:K323)),AVERAGE('20250815_ETF_Options_Exhibits'!K319:K323),"")</f>
        <v/>
      </c>
      <c r="L323" s="3">
        <f>IF(ISNUMBER(AVERAGE('20250815_ETF_Options_Exhibits'!L319:L323)),AVERAGE('20250815_ETF_Options_Exhibits'!L319:L323),"")</f>
        <v/>
      </c>
      <c r="M323" s="3">
        <f>IF(ISNUMBER(AVERAGE('20250815_ETF_Options_Exhibits'!M319:M323)),AVERAGE('20250815_ETF_Options_Exhibits'!M319:M323),"")</f>
        <v/>
      </c>
      <c r="N323" s="3">
        <f>IF(ISNUMBER(AVERAGE('20250815_ETF_Options_Exhibits'!N319:N323)),AVERAGE('20250815_ETF_Options_Exhibits'!N319:N323),"")</f>
        <v/>
      </c>
      <c r="O323" s="3">
        <f>IF(ISNUMBER(AVERAGE('20250815_ETF_Options_Exhibits'!O319:O323)),AVERAGE('20250815_ETF_Options_Exhibits'!O319:O323),"")</f>
        <v/>
      </c>
      <c r="P323" s="3">
        <f>IF(ISNUMBER(AVERAGE('20250815_ETF_Options_Exhibits'!P319:P323)),AVERAGE('20250815_ETF_Options_Exhibits'!P319:P323),"")</f>
        <v/>
      </c>
      <c r="Q323" s="3">
        <f>IF(ISNUMBER(AVERAGE('20250815_ETF_Options_Exhibits'!Q319:Q323)),AVERAGE('20250815_ETF_Options_Exhibits'!Q319:Q323),"")</f>
        <v/>
      </c>
      <c r="R323" s="3">
        <f>IF(ISNUMBER(AVERAGE('20250815_ETF_Options_Exhibits'!R319:R323)),AVERAGE('20250815_ETF_Options_Exhibits'!R319:R323),"")</f>
        <v/>
      </c>
      <c r="S323" s="3">
        <f>IF(ISNUMBER(AVERAGE('20250815_ETF_Options_Exhibits'!S319:S323)),AVERAGE('20250815_ETF_Options_Exhibits'!S319:S323),"")</f>
        <v/>
      </c>
      <c r="T323" s="3">
        <f>IF(ISNUMBER(AVERAGE('20250815_ETF_Options_Exhibits'!T319:T323)),AVERAGE('20250815_ETF_Options_Exhibits'!T319:T323),"")</f>
        <v/>
      </c>
      <c r="U323" s="3">
        <f>IF(ISNUMBER(AVERAGE('20250815_ETF_Options_Exhibits'!U319:U323)),AVERAGE('20250815_ETF_Options_Exhibits'!U319:U323),"")</f>
        <v/>
      </c>
      <c r="V323" s="3">
        <f>IF(ISNUMBER(AVERAGE('20250815_ETF_Options_Exhibits'!V319:V323)),AVERAGE('20250815_ETF_Options_Exhibits'!V319:V323),"")</f>
        <v/>
      </c>
      <c r="W323" s="3">
        <f>IF(ISNUMBER(AVERAGE('20250815_ETF_Options_Exhibits'!W319:W323)),AVERAGE('20250815_ETF_Options_Exhibits'!W319:W323),"")</f>
        <v/>
      </c>
      <c r="X323" s="3">
        <f>IF(ISNUMBER(AVERAGE('20250815_ETF_Options_Exhibits'!X319:X323)),AVERAGE('20250815_ETF_Options_Exhibits'!X319:X323),"")</f>
        <v/>
      </c>
      <c r="Y323" s="3">
        <f>IF(ISNUMBER(AVERAGE('20250815_ETF_Options_Exhibits'!Y319:Y323)),AVERAGE('20250815_ETF_Options_Exhibits'!Y319:Y323),"")</f>
        <v/>
      </c>
      <c r="Z323" s="3">
        <f>IF(ISNUMBER(AVERAGE('20250815_ETF_Options_Exhibits'!Z319:Z323)),AVERAGE('20250815_ETF_Options_Exhibits'!Z319:Z323),"")</f>
        <v/>
      </c>
      <c r="AA323" s="3">
        <f>IF(ISNUMBER(AVERAGE('20250815_ETF_Options_Exhibits'!AA319:AA323)),AVERAGE('20250815_ETF_Options_Exhibits'!AA319:AA323),"")</f>
        <v/>
      </c>
    </row>
    <row r="324">
      <c r="A324" s="1" t="n">
        <v>42473</v>
      </c>
      <c r="B324" s="3">
        <f>IF(ISNUMBER(AVERAGE('20250815_ETF_Options_Exhibits'!B320:B324)),AVERAGE('20250815_ETF_Options_Exhibits'!B320:B324),"")</f>
        <v/>
      </c>
      <c r="C324" s="3">
        <f>IF(ISNUMBER(AVERAGE('20250815_ETF_Options_Exhibits'!C320:C324)),AVERAGE('20250815_ETF_Options_Exhibits'!C320:C324),"")</f>
        <v/>
      </c>
      <c r="D324" s="3">
        <f>IF(ISNUMBER(AVERAGE('20250815_ETF_Options_Exhibits'!D320:D324)),AVERAGE('20250815_ETF_Options_Exhibits'!D320:D324),"")</f>
        <v/>
      </c>
      <c r="E324" s="3">
        <f>IF(ISNUMBER(AVERAGE('20250815_ETF_Options_Exhibits'!E320:E324)),AVERAGE('20250815_ETF_Options_Exhibits'!E320:E324),"")</f>
        <v/>
      </c>
      <c r="F324" s="3">
        <f>IF(ISNUMBER(AVERAGE('20250815_ETF_Options_Exhibits'!F320:F324)),AVERAGE('20250815_ETF_Options_Exhibits'!F320:F324),"")</f>
        <v/>
      </c>
      <c r="G324" s="3">
        <f>IF(ISNUMBER(AVERAGE('20250815_ETF_Options_Exhibits'!G320:G324)),AVERAGE('20250815_ETF_Options_Exhibits'!G320:G324),"")</f>
        <v/>
      </c>
      <c r="H324" s="3">
        <f>IF(ISNUMBER(AVERAGE('20250815_ETF_Options_Exhibits'!H320:H324)),AVERAGE('20250815_ETF_Options_Exhibits'!H320:H324),"")</f>
        <v/>
      </c>
      <c r="I324" s="3">
        <f>IF(ISNUMBER(AVERAGE('20250815_ETF_Options_Exhibits'!I320:I324)),AVERAGE('20250815_ETF_Options_Exhibits'!I320:I324),"")</f>
        <v/>
      </c>
      <c r="J324" s="3">
        <f>IF(ISNUMBER(AVERAGE('20250815_ETF_Options_Exhibits'!J320:J324)),AVERAGE('20250815_ETF_Options_Exhibits'!J320:J324),"")</f>
        <v/>
      </c>
      <c r="K324" s="3">
        <f>IF(ISNUMBER(AVERAGE('20250815_ETF_Options_Exhibits'!K320:K324)),AVERAGE('20250815_ETF_Options_Exhibits'!K320:K324),"")</f>
        <v/>
      </c>
      <c r="L324" s="3">
        <f>IF(ISNUMBER(AVERAGE('20250815_ETF_Options_Exhibits'!L320:L324)),AVERAGE('20250815_ETF_Options_Exhibits'!L320:L324),"")</f>
        <v/>
      </c>
      <c r="M324" s="3">
        <f>IF(ISNUMBER(AVERAGE('20250815_ETF_Options_Exhibits'!M320:M324)),AVERAGE('20250815_ETF_Options_Exhibits'!M320:M324),"")</f>
        <v/>
      </c>
      <c r="N324" s="3">
        <f>IF(ISNUMBER(AVERAGE('20250815_ETF_Options_Exhibits'!N320:N324)),AVERAGE('20250815_ETF_Options_Exhibits'!N320:N324),"")</f>
        <v/>
      </c>
      <c r="O324" s="3">
        <f>IF(ISNUMBER(AVERAGE('20250815_ETF_Options_Exhibits'!O320:O324)),AVERAGE('20250815_ETF_Options_Exhibits'!O320:O324),"")</f>
        <v/>
      </c>
      <c r="P324" s="3">
        <f>IF(ISNUMBER(AVERAGE('20250815_ETF_Options_Exhibits'!P320:P324)),AVERAGE('20250815_ETF_Options_Exhibits'!P320:P324),"")</f>
        <v/>
      </c>
      <c r="Q324" s="3">
        <f>IF(ISNUMBER(AVERAGE('20250815_ETF_Options_Exhibits'!Q320:Q324)),AVERAGE('20250815_ETF_Options_Exhibits'!Q320:Q324),"")</f>
        <v/>
      </c>
      <c r="R324" s="3">
        <f>IF(ISNUMBER(AVERAGE('20250815_ETF_Options_Exhibits'!R320:R324)),AVERAGE('20250815_ETF_Options_Exhibits'!R320:R324),"")</f>
        <v/>
      </c>
      <c r="S324" s="3">
        <f>IF(ISNUMBER(AVERAGE('20250815_ETF_Options_Exhibits'!S320:S324)),AVERAGE('20250815_ETF_Options_Exhibits'!S320:S324),"")</f>
        <v/>
      </c>
      <c r="T324" s="3">
        <f>IF(ISNUMBER(AVERAGE('20250815_ETF_Options_Exhibits'!T320:T324)),AVERAGE('20250815_ETF_Options_Exhibits'!T320:T324),"")</f>
        <v/>
      </c>
      <c r="U324" s="3">
        <f>IF(ISNUMBER(AVERAGE('20250815_ETF_Options_Exhibits'!U320:U324)),AVERAGE('20250815_ETF_Options_Exhibits'!U320:U324),"")</f>
        <v/>
      </c>
      <c r="V324" s="3">
        <f>IF(ISNUMBER(AVERAGE('20250815_ETF_Options_Exhibits'!V320:V324)),AVERAGE('20250815_ETF_Options_Exhibits'!V320:V324),"")</f>
        <v/>
      </c>
      <c r="W324" s="3">
        <f>IF(ISNUMBER(AVERAGE('20250815_ETF_Options_Exhibits'!W320:W324)),AVERAGE('20250815_ETF_Options_Exhibits'!W320:W324),"")</f>
        <v/>
      </c>
      <c r="X324" s="3">
        <f>IF(ISNUMBER(AVERAGE('20250815_ETF_Options_Exhibits'!X320:X324)),AVERAGE('20250815_ETF_Options_Exhibits'!X320:X324),"")</f>
        <v/>
      </c>
      <c r="Y324" s="3">
        <f>IF(ISNUMBER(AVERAGE('20250815_ETF_Options_Exhibits'!Y320:Y324)),AVERAGE('20250815_ETF_Options_Exhibits'!Y320:Y324),"")</f>
        <v/>
      </c>
      <c r="Z324" s="3">
        <f>IF(ISNUMBER(AVERAGE('20250815_ETF_Options_Exhibits'!Z320:Z324)),AVERAGE('20250815_ETF_Options_Exhibits'!Z320:Z324),"")</f>
        <v/>
      </c>
      <c r="AA324" s="3">
        <f>IF(ISNUMBER(AVERAGE('20250815_ETF_Options_Exhibits'!AA320:AA324)),AVERAGE('20250815_ETF_Options_Exhibits'!AA320:AA324),"")</f>
        <v/>
      </c>
    </row>
    <row r="325">
      <c r="A325" s="1" t="n">
        <v>42474</v>
      </c>
      <c r="B325" s="3">
        <f>IF(ISNUMBER(AVERAGE('20250815_ETF_Options_Exhibits'!B321:B325)),AVERAGE('20250815_ETF_Options_Exhibits'!B321:B325),"")</f>
        <v/>
      </c>
      <c r="C325" s="3">
        <f>IF(ISNUMBER(AVERAGE('20250815_ETF_Options_Exhibits'!C321:C325)),AVERAGE('20250815_ETF_Options_Exhibits'!C321:C325),"")</f>
        <v/>
      </c>
      <c r="D325" s="3">
        <f>IF(ISNUMBER(AVERAGE('20250815_ETF_Options_Exhibits'!D321:D325)),AVERAGE('20250815_ETF_Options_Exhibits'!D321:D325),"")</f>
        <v/>
      </c>
      <c r="E325" s="3">
        <f>IF(ISNUMBER(AVERAGE('20250815_ETF_Options_Exhibits'!E321:E325)),AVERAGE('20250815_ETF_Options_Exhibits'!E321:E325),"")</f>
        <v/>
      </c>
      <c r="F325" s="3">
        <f>IF(ISNUMBER(AVERAGE('20250815_ETF_Options_Exhibits'!F321:F325)),AVERAGE('20250815_ETF_Options_Exhibits'!F321:F325),"")</f>
        <v/>
      </c>
      <c r="G325" s="3">
        <f>IF(ISNUMBER(AVERAGE('20250815_ETF_Options_Exhibits'!G321:G325)),AVERAGE('20250815_ETF_Options_Exhibits'!G321:G325),"")</f>
        <v/>
      </c>
      <c r="H325" s="3">
        <f>IF(ISNUMBER(AVERAGE('20250815_ETF_Options_Exhibits'!H321:H325)),AVERAGE('20250815_ETF_Options_Exhibits'!H321:H325),"")</f>
        <v/>
      </c>
      <c r="I325" s="3">
        <f>IF(ISNUMBER(AVERAGE('20250815_ETF_Options_Exhibits'!I321:I325)),AVERAGE('20250815_ETF_Options_Exhibits'!I321:I325),"")</f>
        <v/>
      </c>
      <c r="J325" s="3">
        <f>IF(ISNUMBER(AVERAGE('20250815_ETF_Options_Exhibits'!J321:J325)),AVERAGE('20250815_ETF_Options_Exhibits'!J321:J325),"")</f>
        <v/>
      </c>
      <c r="K325" s="3">
        <f>IF(ISNUMBER(AVERAGE('20250815_ETF_Options_Exhibits'!K321:K325)),AVERAGE('20250815_ETF_Options_Exhibits'!K321:K325),"")</f>
        <v/>
      </c>
      <c r="L325" s="3">
        <f>IF(ISNUMBER(AVERAGE('20250815_ETF_Options_Exhibits'!L321:L325)),AVERAGE('20250815_ETF_Options_Exhibits'!L321:L325),"")</f>
        <v/>
      </c>
      <c r="M325" s="3">
        <f>IF(ISNUMBER(AVERAGE('20250815_ETF_Options_Exhibits'!M321:M325)),AVERAGE('20250815_ETF_Options_Exhibits'!M321:M325),"")</f>
        <v/>
      </c>
      <c r="N325" s="3">
        <f>IF(ISNUMBER(AVERAGE('20250815_ETF_Options_Exhibits'!N321:N325)),AVERAGE('20250815_ETF_Options_Exhibits'!N321:N325),"")</f>
        <v/>
      </c>
      <c r="O325" s="3">
        <f>IF(ISNUMBER(AVERAGE('20250815_ETF_Options_Exhibits'!O321:O325)),AVERAGE('20250815_ETF_Options_Exhibits'!O321:O325),"")</f>
        <v/>
      </c>
      <c r="P325" s="3">
        <f>IF(ISNUMBER(AVERAGE('20250815_ETF_Options_Exhibits'!P321:P325)),AVERAGE('20250815_ETF_Options_Exhibits'!P321:P325),"")</f>
        <v/>
      </c>
      <c r="Q325" s="3">
        <f>IF(ISNUMBER(AVERAGE('20250815_ETF_Options_Exhibits'!Q321:Q325)),AVERAGE('20250815_ETF_Options_Exhibits'!Q321:Q325),"")</f>
        <v/>
      </c>
      <c r="R325" s="3">
        <f>IF(ISNUMBER(AVERAGE('20250815_ETF_Options_Exhibits'!R321:R325)),AVERAGE('20250815_ETF_Options_Exhibits'!R321:R325),"")</f>
        <v/>
      </c>
      <c r="S325" s="3">
        <f>IF(ISNUMBER(AVERAGE('20250815_ETF_Options_Exhibits'!S321:S325)),AVERAGE('20250815_ETF_Options_Exhibits'!S321:S325),"")</f>
        <v/>
      </c>
      <c r="T325" s="3">
        <f>IF(ISNUMBER(AVERAGE('20250815_ETF_Options_Exhibits'!T321:T325)),AVERAGE('20250815_ETF_Options_Exhibits'!T321:T325),"")</f>
        <v/>
      </c>
      <c r="U325" s="3">
        <f>IF(ISNUMBER(AVERAGE('20250815_ETF_Options_Exhibits'!U321:U325)),AVERAGE('20250815_ETF_Options_Exhibits'!U321:U325),"")</f>
        <v/>
      </c>
      <c r="V325" s="3">
        <f>IF(ISNUMBER(AVERAGE('20250815_ETF_Options_Exhibits'!V321:V325)),AVERAGE('20250815_ETF_Options_Exhibits'!V321:V325),"")</f>
        <v/>
      </c>
      <c r="W325" s="3">
        <f>IF(ISNUMBER(AVERAGE('20250815_ETF_Options_Exhibits'!W321:W325)),AVERAGE('20250815_ETF_Options_Exhibits'!W321:W325),"")</f>
        <v/>
      </c>
      <c r="X325" s="3">
        <f>IF(ISNUMBER(AVERAGE('20250815_ETF_Options_Exhibits'!X321:X325)),AVERAGE('20250815_ETF_Options_Exhibits'!X321:X325),"")</f>
        <v/>
      </c>
      <c r="Y325" s="3">
        <f>IF(ISNUMBER(AVERAGE('20250815_ETF_Options_Exhibits'!Y321:Y325)),AVERAGE('20250815_ETF_Options_Exhibits'!Y321:Y325),"")</f>
        <v/>
      </c>
      <c r="Z325" s="3">
        <f>IF(ISNUMBER(AVERAGE('20250815_ETF_Options_Exhibits'!Z321:Z325)),AVERAGE('20250815_ETF_Options_Exhibits'!Z321:Z325),"")</f>
        <v/>
      </c>
      <c r="AA325" s="3">
        <f>IF(ISNUMBER(AVERAGE('20250815_ETF_Options_Exhibits'!AA321:AA325)),AVERAGE('20250815_ETF_Options_Exhibits'!AA321:AA325),"")</f>
        <v/>
      </c>
    </row>
    <row r="326">
      <c r="A326" s="1" t="n">
        <v>42475</v>
      </c>
      <c r="B326" s="3">
        <f>IF(ISNUMBER(AVERAGE('20250815_ETF_Options_Exhibits'!B322:B326)),AVERAGE('20250815_ETF_Options_Exhibits'!B322:B326),"")</f>
        <v/>
      </c>
      <c r="C326" s="3">
        <f>IF(ISNUMBER(AVERAGE('20250815_ETF_Options_Exhibits'!C322:C326)),AVERAGE('20250815_ETF_Options_Exhibits'!C322:C326),"")</f>
        <v/>
      </c>
      <c r="D326" s="3">
        <f>IF(ISNUMBER(AVERAGE('20250815_ETF_Options_Exhibits'!D322:D326)),AVERAGE('20250815_ETF_Options_Exhibits'!D322:D326),"")</f>
        <v/>
      </c>
      <c r="E326" s="3">
        <f>IF(ISNUMBER(AVERAGE('20250815_ETF_Options_Exhibits'!E322:E326)),AVERAGE('20250815_ETF_Options_Exhibits'!E322:E326),"")</f>
        <v/>
      </c>
      <c r="F326" s="3">
        <f>IF(ISNUMBER(AVERAGE('20250815_ETF_Options_Exhibits'!F322:F326)),AVERAGE('20250815_ETF_Options_Exhibits'!F322:F326),"")</f>
        <v/>
      </c>
      <c r="G326" s="3">
        <f>IF(ISNUMBER(AVERAGE('20250815_ETF_Options_Exhibits'!G322:G326)),AVERAGE('20250815_ETF_Options_Exhibits'!G322:G326),"")</f>
        <v/>
      </c>
      <c r="H326" s="3">
        <f>IF(ISNUMBER(AVERAGE('20250815_ETF_Options_Exhibits'!H322:H326)),AVERAGE('20250815_ETF_Options_Exhibits'!H322:H326),"")</f>
        <v/>
      </c>
      <c r="I326" s="3">
        <f>IF(ISNUMBER(AVERAGE('20250815_ETF_Options_Exhibits'!I322:I326)),AVERAGE('20250815_ETF_Options_Exhibits'!I322:I326),"")</f>
        <v/>
      </c>
      <c r="J326" s="3">
        <f>IF(ISNUMBER(AVERAGE('20250815_ETF_Options_Exhibits'!J322:J326)),AVERAGE('20250815_ETF_Options_Exhibits'!J322:J326),"")</f>
        <v/>
      </c>
      <c r="K326" s="3">
        <f>IF(ISNUMBER(AVERAGE('20250815_ETF_Options_Exhibits'!K322:K326)),AVERAGE('20250815_ETF_Options_Exhibits'!K322:K326),"")</f>
        <v/>
      </c>
      <c r="L326" s="3">
        <f>IF(ISNUMBER(AVERAGE('20250815_ETF_Options_Exhibits'!L322:L326)),AVERAGE('20250815_ETF_Options_Exhibits'!L322:L326),"")</f>
        <v/>
      </c>
      <c r="M326" s="3">
        <f>IF(ISNUMBER(AVERAGE('20250815_ETF_Options_Exhibits'!M322:M326)),AVERAGE('20250815_ETF_Options_Exhibits'!M322:M326),"")</f>
        <v/>
      </c>
      <c r="N326" s="3">
        <f>IF(ISNUMBER(AVERAGE('20250815_ETF_Options_Exhibits'!N322:N326)),AVERAGE('20250815_ETF_Options_Exhibits'!N322:N326),"")</f>
        <v/>
      </c>
      <c r="O326" s="3">
        <f>IF(ISNUMBER(AVERAGE('20250815_ETF_Options_Exhibits'!O322:O326)),AVERAGE('20250815_ETF_Options_Exhibits'!O322:O326),"")</f>
        <v/>
      </c>
      <c r="P326" s="3">
        <f>IF(ISNUMBER(AVERAGE('20250815_ETF_Options_Exhibits'!P322:P326)),AVERAGE('20250815_ETF_Options_Exhibits'!P322:P326),"")</f>
        <v/>
      </c>
      <c r="Q326" s="3">
        <f>IF(ISNUMBER(AVERAGE('20250815_ETF_Options_Exhibits'!Q322:Q326)),AVERAGE('20250815_ETF_Options_Exhibits'!Q322:Q326),"")</f>
        <v/>
      </c>
      <c r="R326" s="3">
        <f>IF(ISNUMBER(AVERAGE('20250815_ETF_Options_Exhibits'!R322:R326)),AVERAGE('20250815_ETF_Options_Exhibits'!R322:R326),"")</f>
        <v/>
      </c>
      <c r="S326" s="3">
        <f>IF(ISNUMBER(AVERAGE('20250815_ETF_Options_Exhibits'!S322:S326)),AVERAGE('20250815_ETF_Options_Exhibits'!S322:S326),"")</f>
        <v/>
      </c>
      <c r="T326" s="3">
        <f>IF(ISNUMBER(AVERAGE('20250815_ETF_Options_Exhibits'!T322:T326)),AVERAGE('20250815_ETF_Options_Exhibits'!T322:T326),"")</f>
        <v/>
      </c>
      <c r="U326" s="3">
        <f>IF(ISNUMBER(AVERAGE('20250815_ETF_Options_Exhibits'!U322:U326)),AVERAGE('20250815_ETF_Options_Exhibits'!U322:U326),"")</f>
        <v/>
      </c>
      <c r="V326" s="3">
        <f>IF(ISNUMBER(AVERAGE('20250815_ETF_Options_Exhibits'!V322:V326)),AVERAGE('20250815_ETF_Options_Exhibits'!V322:V326),"")</f>
        <v/>
      </c>
      <c r="W326" s="3">
        <f>IF(ISNUMBER(AVERAGE('20250815_ETF_Options_Exhibits'!W322:W326)),AVERAGE('20250815_ETF_Options_Exhibits'!W322:W326),"")</f>
        <v/>
      </c>
      <c r="X326" s="3">
        <f>IF(ISNUMBER(AVERAGE('20250815_ETF_Options_Exhibits'!X322:X326)),AVERAGE('20250815_ETF_Options_Exhibits'!X322:X326),"")</f>
        <v/>
      </c>
      <c r="Y326" s="3">
        <f>IF(ISNUMBER(AVERAGE('20250815_ETF_Options_Exhibits'!Y322:Y326)),AVERAGE('20250815_ETF_Options_Exhibits'!Y322:Y326),"")</f>
        <v/>
      </c>
      <c r="Z326" s="3">
        <f>IF(ISNUMBER(AVERAGE('20250815_ETF_Options_Exhibits'!Z322:Z326)),AVERAGE('20250815_ETF_Options_Exhibits'!Z322:Z326),"")</f>
        <v/>
      </c>
      <c r="AA326" s="3">
        <f>IF(ISNUMBER(AVERAGE('20250815_ETF_Options_Exhibits'!AA322:AA326)),AVERAGE('20250815_ETF_Options_Exhibits'!AA322:AA326),"")</f>
        <v/>
      </c>
    </row>
    <row r="327">
      <c r="A327" s="1" t="n">
        <v>42478</v>
      </c>
      <c r="B327" s="3">
        <f>IF(ISNUMBER(AVERAGE('20250815_ETF_Options_Exhibits'!B323:B327)),AVERAGE('20250815_ETF_Options_Exhibits'!B323:B327),"")</f>
        <v/>
      </c>
      <c r="C327" s="3">
        <f>IF(ISNUMBER(AVERAGE('20250815_ETF_Options_Exhibits'!C323:C327)),AVERAGE('20250815_ETF_Options_Exhibits'!C323:C327),"")</f>
        <v/>
      </c>
      <c r="D327" s="3">
        <f>IF(ISNUMBER(AVERAGE('20250815_ETF_Options_Exhibits'!D323:D327)),AVERAGE('20250815_ETF_Options_Exhibits'!D323:D327),"")</f>
        <v/>
      </c>
      <c r="E327" s="3">
        <f>IF(ISNUMBER(AVERAGE('20250815_ETF_Options_Exhibits'!E323:E327)),AVERAGE('20250815_ETF_Options_Exhibits'!E323:E327),"")</f>
        <v/>
      </c>
      <c r="F327" s="3">
        <f>IF(ISNUMBER(AVERAGE('20250815_ETF_Options_Exhibits'!F323:F327)),AVERAGE('20250815_ETF_Options_Exhibits'!F323:F327),"")</f>
        <v/>
      </c>
      <c r="G327" s="3">
        <f>IF(ISNUMBER(AVERAGE('20250815_ETF_Options_Exhibits'!G323:G327)),AVERAGE('20250815_ETF_Options_Exhibits'!G323:G327),"")</f>
        <v/>
      </c>
      <c r="H327" s="3">
        <f>IF(ISNUMBER(AVERAGE('20250815_ETF_Options_Exhibits'!H323:H327)),AVERAGE('20250815_ETF_Options_Exhibits'!H323:H327),"")</f>
        <v/>
      </c>
      <c r="I327" s="3">
        <f>IF(ISNUMBER(AVERAGE('20250815_ETF_Options_Exhibits'!I323:I327)),AVERAGE('20250815_ETF_Options_Exhibits'!I323:I327),"")</f>
        <v/>
      </c>
      <c r="J327" s="3">
        <f>IF(ISNUMBER(AVERAGE('20250815_ETF_Options_Exhibits'!J323:J327)),AVERAGE('20250815_ETF_Options_Exhibits'!J323:J327),"")</f>
        <v/>
      </c>
      <c r="K327" s="3">
        <f>IF(ISNUMBER(AVERAGE('20250815_ETF_Options_Exhibits'!K323:K327)),AVERAGE('20250815_ETF_Options_Exhibits'!K323:K327),"")</f>
        <v/>
      </c>
      <c r="L327" s="3">
        <f>IF(ISNUMBER(AVERAGE('20250815_ETF_Options_Exhibits'!L323:L327)),AVERAGE('20250815_ETF_Options_Exhibits'!L323:L327),"")</f>
        <v/>
      </c>
      <c r="M327" s="3">
        <f>IF(ISNUMBER(AVERAGE('20250815_ETF_Options_Exhibits'!M323:M327)),AVERAGE('20250815_ETF_Options_Exhibits'!M323:M327),"")</f>
        <v/>
      </c>
      <c r="N327" s="3">
        <f>IF(ISNUMBER(AVERAGE('20250815_ETF_Options_Exhibits'!N323:N327)),AVERAGE('20250815_ETF_Options_Exhibits'!N323:N327),"")</f>
        <v/>
      </c>
      <c r="O327" s="3">
        <f>IF(ISNUMBER(AVERAGE('20250815_ETF_Options_Exhibits'!O323:O327)),AVERAGE('20250815_ETF_Options_Exhibits'!O323:O327),"")</f>
        <v/>
      </c>
      <c r="P327" s="3">
        <f>IF(ISNUMBER(AVERAGE('20250815_ETF_Options_Exhibits'!P323:P327)),AVERAGE('20250815_ETF_Options_Exhibits'!P323:P327),"")</f>
        <v/>
      </c>
      <c r="Q327" s="3">
        <f>IF(ISNUMBER(AVERAGE('20250815_ETF_Options_Exhibits'!Q323:Q327)),AVERAGE('20250815_ETF_Options_Exhibits'!Q323:Q327),"")</f>
        <v/>
      </c>
      <c r="R327" s="3">
        <f>IF(ISNUMBER(AVERAGE('20250815_ETF_Options_Exhibits'!R323:R327)),AVERAGE('20250815_ETF_Options_Exhibits'!R323:R327),"")</f>
        <v/>
      </c>
      <c r="S327" s="3">
        <f>IF(ISNUMBER(AVERAGE('20250815_ETF_Options_Exhibits'!S323:S327)),AVERAGE('20250815_ETF_Options_Exhibits'!S323:S327),"")</f>
        <v/>
      </c>
      <c r="T327" s="3">
        <f>IF(ISNUMBER(AVERAGE('20250815_ETF_Options_Exhibits'!T323:T327)),AVERAGE('20250815_ETF_Options_Exhibits'!T323:T327),"")</f>
        <v/>
      </c>
      <c r="U327" s="3">
        <f>IF(ISNUMBER(AVERAGE('20250815_ETF_Options_Exhibits'!U323:U327)),AVERAGE('20250815_ETF_Options_Exhibits'!U323:U327),"")</f>
        <v/>
      </c>
      <c r="V327" s="3">
        <f>IF(ISNUMBER(AVERAGE('20250815_ETF_Options_Exhibits'!V323:V327)),AVERAGE('20250815_ETF_Options_Exhibits'!V323:V327),"")</f>
        <v/>
      </c>
      <c r="W327" s="3">
        <f>IF(ISNUMBER(AVERAGE('20250815_ETF_Options_Exhibits'!W323:W327)),AVERAGE('20250815_ETF_Options_Exhibits'!W323:W327),"")</f>
        <v/>
      </c>
      <c r="X327" s="3">
        <f>IF(ISNUMBER(AVERAGE('20250815_ETF_Options_Exhibits'!X323:X327)),AVERAGE('20250815_ETF_Options_Exhibits'!X323:X327),"")</f>
        <v/>
      </c>
      <c r="Y327" s="3">
        <f>IF(ISNUMBER(AVERAGE('20250815_ETF_Options_Exhibits'!Y323:Y327)),AVERAGE('20250815_ETF_Options_Exhibits'!Y323:Y327),"")</f>
        <v/>
      </c>
      <c r="Z327" s="3">
        <f>IF(ISNUMBER(AVERAGE('20250815_ETF_Options_Exhibits'!Z323:Z327)),AVERAGE('20250815_ETF_Options_Exhibits'!Z323:Z327),"")</f>
        <v/>
      </c>
      <c r="AA327" s="3">
        <f>IF(ISNUMBER(AVERAGE('20250815_ETF_Options_Exhibits'!AA323:AA327)),AVERAGE('20250815_ETF_Options_Exhibits'!AA323:AA327),"")</f>
        <v/>
      </c>
    </row>
    <row r="328">
      <c r="A328" s="1" t="n">
        <v>42479</v>
      </c>
      <c r="B328" s="3">
        <f>IF(ISNUMBER(AVERAGE('20250815_ETF_Options_Exhibits'!B324:B328)),AVERAGE('20250815_ETF_Options_Exhibits'!B324:B328),"")</f>
        <v/>
      </c>
      <c r="C328" s="3">
        <f>IF(ISNUMBER(AVERAGE('20250815_ETF_Options_Exhibits'!C324:C328)),AVERAGE('20250815_ETF_Options_Exhibits'!C324:C328),"")</f>
        <v/>
      </c>
      <c r="D328" s="3">
        <f>IF(ISNUMBER(AVERAGE('20250815_ETF_Options_Exhibits'!D324:D328)),AVERAGE('20250815_ETF_Options_Exhibits'!D324:D328),"")</f>
        <v/>
      </c>
      <c r="E328" s="3">
        <f>IF(ISNUMBER(AVERAGE('20250815_ETF_Options_Exhibits'!E324:E328)),AVERAGE('20250815_ETF_Options_Exhibits'!E324:E328),"")</f>
        <v/>
      </c>
      <c r="F328" s="3">
        <f>IF(ISNUMBER(AVERAGE('20250815_ETF_Options_Exhibits'!F324:F328)),AVERAGE('20250815_ETF_Options_Exhibits'!F324:F328),"")</f>
        <v/>
      </c>
      <c r="G328" s="3">
        <f>IF(ISNUMBER(AVERAGE('20250815_ETF_Options_Exhibits'!G324:G328)),AVERAGE('20250815_ETF_Options_Exhibits'!G324:G328),"")</f>
        <v/>
      </c>
      <c r="H328" s="3">
        <f>IF(ISNUMBER(AVERAGE('20250815_ETF_Options_Exhibits'!H324:H328)),AVERAGE('20250815_ETF_Options_Exhibits'!H324:H328),"")</f>
        <v/>
      </c>
      <c r="I328" s="3">
        <f>IF(ISNUMBER(AVERAGE('20250815_ETF_Options_Exhibits'!I324:I328)),AVERAGE('20250815_ETF_Options_Exhibits'!I324:I328),"")</f>
        <v/>
      </c>
      <c r="J328" s="3">
        <f>IF(ISNUMBER(AVERAGE('20250815_ETF_Options_Exhibits'!J324:J328)),AVERAGE('20250815_ETF_Options_Exhibits'!J324:J328),"")</f>
        <v/>
      </c>
      <c r="K328" s="3">
        <f>IF(ISNUMBER(AVERAGE('20250815_ETF_Options_Exhibits'!K324:K328)),AVERAGE('20250815_ETF_Options_Exhibits'!K324:K328),"")</f>
        <v/>
      </c>
      <c r="L328" s="3">
        <f>IF(ISNUMBER(AVERAGE('20250815_ETF_Options_Exhibits'!L324:L328)),AVERAGE('20250815_ETF_Options_Exhibits'!L324:L328),"")</f>
        <v/>
      </c>
      <c r="M328" s="3">
        <f>IF(ISNUMBER(AVERAGE('20250815_ETF_Options_Exhibits'!M324:M328)),AVERAGE('20250815_ETF_Options_Exhibits'!M324:M328),"")</f>
        <v/>
      </c>
      <c r="N328" s="3">
        <f>IF(ISNUMBER(AVERAGE('20250815_ETF_Options_Exhibits'!N324:N328)),AVERAGE('20250815_ETF_Options_Exhibits'!N324:N328),"")</f>
        <v/>
      </c>
      <c r="O328" s="3">
        <f>IF(ISNUMBER(AVERAGE('20250815_ETF_Options_Exhibits'!O324:O328)),AVERAGE('20250815_ETF_Options_Exhibits'!O324:O328),"")</f>
        <v/>
      </c>
      <c r="P328" s="3">
        <f>IF(ISNUMBER(AVERAGE('20250815_ETF_Options_Exhibits'!P324:P328)),AVERAGE('20250815_ETF_Options_Exhibits'!P324:P328),"")</f>
        <v/>
      </c>
      <c r="Q328" s="3">
        <f>IF(ISNUMBER(AVERAGE('20250815_ETF_Options_Exhibits'!Q324:Q328)),AVERAGE('20250815_ETF_Options_Exhibits'!Q324:Q328),"")</f>
        <v/>
      </c>
      <c r="R328" s="3">
        <f>IF(ISNUMBER(AVERAGE('20250815_ETF_Options_Exhibits'!R324:R328)),AVERAGE('20250815_ETF_Options_Exhibits'!R324:R328),"")</f>
        <v/>
      </c>
      <c r="S328" s="3">
        <f>IF(ISNUMBER(AVERAGE('20250815_ETF_Options_Exhibits'!S324:S328)),AVERAGE('20250815_ETF_Options_Exhibits'!S324:S328),"")</f>
        <v/>
      </c>
      <c r="T328" s="3">
        <f>IF(ISNUMBER(AVERAGE('20250815_ETF_Options_Exhibits'!T324:T328)),AVERAGE('20250815_ETF_Options_Exhibits'!T324:T328),"")</f>
        <v/>
      </c>
      <c r="U328" s="3">
        <f>IF(ISNUMBER(AVERAGE('20250815_ETF_Options_Exhibits'!U324:U328)),AVERAGE('20250815_ETF_Options_Exhibits'!U324:U328),"")</f>
        <v/>
      </c>
      <c r="V328" s="3">
        <f>IF(ISNUMBER(AVERAGE('20250815_ETF_Options_Exhibits'!V324:V328)),AVERAGE('20250815_ETF_Options_Exhibits'!V324:V328),"")</f>
        <v/>
      </c>
      <c r="W328" s="3">
        <f>IF(ISNUMBER(AVERAGE('20250815_ETF_Options_Exhibits'!W324:W328)),AVERAGE('20250815_ETF_Options_Exhibits'!W324:W328),"")</f>
        <v/>
      </c>
      <c r="X328" s="3">
        <f>IF(ISNUMBER(AVERAGE('20250815_ETF_Options_Exhibits'!X324:X328)),AVERAGE('20250815_ETF_Options_Exhibits'!X324:X328),"")</f>
        <v/>
      </c>
      <c r="Y328" s="3">
        <f>IF(ISNUMBER(AVERAGE('20250815_ETF_Options_Exhibits'!Y324:Y328)),AVERAGE('20250815_ETF_Options_Exhibits'!Y324:Y328),"")</f>
        <v/>
      </c>
      <c r="Z328" s="3">
        <f>IF(ISNUMBER(AVERAGE('20250815_ETF_Options_Exhibits'!Z324:Z328)),AVERAGE('20250815_ETF_Options_Exhibits'!Z324:Z328),"")</f>
        <v/>
      </c>
      <c r="AA328" s="3">
        <f>IF(ISNUMBER(AVERAGE('20250815_ETF_Options_Exhibits'!AA324:AA328)),AVERAGE('20250815_ETF_Options_Exhibits'!AA324:AA328),"")</f>
        <v/>
      </c>
    </row>
    <row r="329">
      <c r="A329" s="1" t="n">
        <v>42480</v>
      </c>
      <c r="B329" s="3">
        <f>IF(ISNUMBER(AVERAGE('20250815_ETF_Options_Exhibits'!B325:B329)),AVERAGE('20250815_ETF_Options_Exhibits'!B325:B329),"")</f>
        <v/>
      </c>
      <c r="C329" s="3">
        <f>IF(ISNUMBER(AVERAGE('20250815_ETF_Options_Exhibits'!C325:C329)),AVERAGE('20250815_ETF_Options_Exhibits'!C325:C329),"")</f>
        <v/>
      </c>
      <c r="D329" s="3">
        <f>IF(ISNUMBER(AVERAGE('20250815_ETF_Options_Exhibits'!D325:D329)),AVERAGE('20250815_ETF_Options_Exhibits'!D325:D329),"")</f>
        <v/>
      </c>
      <c r="E329" s="3">
        <f>IF(ISNUMBER(AVERAGE('20250815_ETF_Options_Exhibits'!E325:E329)),AVERAGE('20250815_ETF_Options_Exhibits'!E325:E329),"")</f>
        <v/>
      </c>
      <c r="F329" s="3">
        <f>IF(ISNUMBER(AVERAGE('20250815_ETF_Options_Exhibits'!F325:F329)),AVERAGE('20250815_ETF_Options_Exhibits'!F325:F329),"")</f>
        <v/>
      </c>
      <c r="G329" s="3">
        <f>IF(ISNUMBER(AVERAGE('20250815_ETF_Options_Exhibits'!G325:G329)),AVERAGE('20250815_ETF_Options_Exhibits'!G325:G329),"")</f>
        <v/>
      </c>
      <c r="H329" s="3">
        <f>IF(ISNUMBER(AVERAGE('20250815_ETF_Options_Exhibits'!H325:H329)),AVERAGE('20250815_ETF_Options_Exhibits'!H325:H329),"")</f>
        <v/>
      </c>
      <c r="I329" s="3">
        <f>IF(ISNUMBER(AVERAGE('20250815_ETF_Options_Exhibits'!I325:I329)),AVERAGE('20250815_ETF_Options_Exhibits'!I325:I329),"")</f>
        <v/>
      </c>
      <c r="J329" s="3">
        <f>IF(ISNUMBER(AVERAGE('20250815_ETF_Options_Exhibits'!J325:J329)),AVERAGE('20250815_ETF_Options_Exhibits'!J325:J329),"")</f>
        <v/>
      </c>
      <c r="K329" s="3">
        <f>IF(ISNUMBER(AVERAGE('20250815_ETF_Options_Exhibits'!K325:K329)),AVERAGE('20250815_ETF_Options_Exhibits'!K325:K329),"")</f>
        <v/>
      </c>
      <c r="L329" s="3">
        <f>IF(ISNUMBER(AVERAGE('20250815_ETF_Options_Exhibits'!L325:L329)),AVERAGE('20250815_ETF_Options_Exhibits'!L325:L329),"")</f>
        <v/>
      </c>
      <c r="M329" s="3">
        <f>IF(ISNUMBER(AVERAGE('20250815_ETF_Options_Exhibits'!M325:M329)),AVERAGE('20250815_ETF_Options_Exhibits'!M325:M329),"")</f>
        <v/>
      </c>
      <c r="N329" s="3">
        <f>IF(ISNUMBER(AVERAGE('20250815_ETF_Options_Exhibits'!N325:N329)),AVERAGE('20250815_ETF_Options_Exhibits'!N325:N329),"")</f>
        <v/>
      </c>
      <c r="O329" s="3">
        <f>IF(ISNUMBER(AVERAGE('20250815_ETF_Options_Exhibits'!O325:O329)),AVERAGE('20250815_ETF_Options_Exhibits'!O325:O329),"")</f>
        <v/>
      </c>
      <c r="P329" s="3">
        <f>IF(ISNUMBER(AVERAGE('20250815_ETF_Options_Exhibits'!P325:P329)),AVERAGE('20250815_ETF_Options_Exhibits'!P325:P329),"")</f>
        <v/>
      </c>
      <c r="Q329" s="3">
        <f>IF(ISNUMBER(AVERAGE('20250815_ETF_Options_Exhibits'!Q325:Q329)),AVERAGE('20250815_ETF_Options_Exhibits'!Q325:Q329),"")</f>
        <v/>
      </c>
      <c r="R329" s="3">
        <f>IF(ISNUMBER(AVERAGE('20250815_ETF_Options_Exhibits'!R325:R329)),AVERAGE('20250815_ETF_Options_Exhibits'!R325:R329),"")</f>
        <v/>
      </c>
      <c r="S329" s="3">
        <f>IF(ISNUMBER(AVERAGE('20250815_ETF_Options_Exhibits'!S325:S329)),AVERAGE('20250815_ETF_Options_Exhibits'!S325:S329),"")</f>
        <v/>
      </c>
      <c r="T329" s="3">
        <f>IF(ISNUMBER(AVERAGE('20250815_ETF_Options_Exhibits'!T325:T329)),AVERAGE('20250815_ETF_Options_Exhibits'!T325:T329),"")</f>
        <v/>
      </c>
      <c r="U329" s="3">
        <f>IF(ISNUMBER(AVERAGE('20250815_ETF_Options_Exhibits'!U325:U329)),AVERAGE('20250815_ETF_Options_Exhibits'!U325:U329),"")</f>
        <v/>
      </c>
      <c r="V329" s="3">
        <f>IF(ISNUMBER(AVERAGE('20250815_ETF_Options_Exhibits'!V325:V329)),AVERAGE('20250815_ETF_Options_Exhibits'!V325:V329),"")</f>
        <v/>
      </c>
      <c r="W329" s="3">
        <f>IF(ISNUMBER(AVERAGE('20250815_ETF_Options_Exhibits'!W325:W329)),AVERAGE('20250815_ETF_Options_Exhibits'!W325:W329),"")</f>
        <v/>
      </c>
      <c r="X329" s="3">
        <f>IF(ISNUMBER(AVERAGE('20250815_ETF_Options_Exhibits'!X325:X329)),AVERAGE('20250815_ETF_Options_Exhibits'!X325:X329),"")</f>
        <v/>
      </c>
      <c r="Y329" s="3">
        <f>IF(ISNUMBER(AVERAGE('20250815_ETF_Options_Exhibits'!Y325:Y329)),AVERAGE('20250815_ETF_Options_Exhibits'!Y325:Y329),"")</f>
        <v/>
      </c>
      <c r="Z329" s="3">
        <f>IF(ISNUMBER(AVERAGE('20250815_ETF_Options_Exhibits'!Z325:Z329)),AVERAGE('20250815_ETF_Options_Exhibits'!Z325:Z329),"")</f>
        <v/>
      </c>
      <c r="AA329" s="3">
        <f>IF(ISNUMBER(AVERAGE('20250815_ETF_Options_Exhibits'!AA325:AA329)),AVERAGE('20250815_ETF_Options_Exhibits'!AA325:AA329),"")</f>
        <v/>
      </c>
    </row>
    <row r="330">
      <c r="A330" s="1" t="n">
        <v>42481</v>
      </c>
      <c r="B330" s="3">
        <f>IF(ISNUMBER(AVERAGE('20250815_ETF_Options_Exhibits'!B326:B330)),AVERAGE('20250815_ETF_Options_Exhibits'!B326:B330),"")</f>
        <v/>
      </c>
      <c r="C330" s="3">
        <f>IF(ISNUMBER(AVERAGE('20250815_ETF_Options_Exhibits'!C326:C330)),AVERAGE('20250815_ETF_Options_Exhibits'!C326:C330),"")</f>
        <v/>
      </c>
      <c r="D330" s="3">
        <f>IF(ISNUMBER(AVERAGE('20250815_ETF_Options_Exhibits'!D326:D330)),AVERAGE('20250815_ETF_Options_Exhibits'!D326:D330),"")</f>
        <v/>
      </c>
      <c r="E330" s="3">
        <f>IF(ISNUMBER(AVERAGE('20250815_ETF_Options_Exhibits'!E326:E330)),AVERAGE('20250815_ETF_Options_Exhibits'!E326:E330),"")</f>
        <v/>
      </c>
      <c r="F330" s="3">
        <f>IF(ISNUMBER(AVERAGE('20250815_ETF_Options_Exhibits'!F326:F330)),AVERAGE('20250815_ETF_Options_Exhibits'!F326:F330),"")</f>
        <v/>
      </c>
      <c r="G330" s="3">
        <f>IF(ISNUMBER(AVERAGE('20250815_ETF_Options_Exhibits'!G326:G330)),AVERAGE('20250815_ETF_Options_Exhibits'!G326:G330),"")</f>
        <v/>
      </c>
      <c r="H330" s="3">
        <f>IF(ISNUMBER(AVERAGE('20250815_ETF_Options_Exhibits'!H326:H330)),AVERAGE('20250815_ETF_Options_Exhibits'!H326:H330),"")</f>
        <v/>
      </c>
      <c r="I330" s="3">
        <f>IF(ISNUMBER(AVERAGE('20250815_ETF_Options_Exhibits'!I326:I330)),AVERAGE('20250815_ETF_Options_Exhibits'!I326:I330),"")</f>
        <v/>
      </c>
      <c r="J330" s="3">
        <f>IF(ISNUMBER(AVERAGE('20250815_ETF_Options_Exhibits'!J326:J330)),AVERAGE('20250815_ETF_Options_Exhibits'!J326:J330),"")</f>
        <v/>
      </c>
      <c r="K330" s="3">
        <f>IF(ISNUMBER(AVERAGE('20250815_ETF_Options_Exhibits'!K326:K330)),AVERAGE('20250815_ETF_Options_Exhibits'!K326:K330),"")</f>
        <v/>
      </c>
      <c r="L330" s="3">
        <f>IF(ISNUMBER(AVERAGE('20250815_ETF_Options_Exhibits'!L326:L330)),AVERAGE('20250815_ETF_Options_Exhibits'!L326:L330),"")</f>
        <v/>
      </c>
      <c r="M330" s="3">
        <f>IF(ISNUMBER(AVERAGE('20250815_ETF_Options_Exhibits'!M326:M330)),AVERAGE('20250815_ETF_Options_Exhibits'!M326:M330),"")</f>
        <v/>
      </c>
      <c r="N330" s="3">
        <f>IF(ISNUMBER(AVERAGE('20250815_ETF_Options_Exhibits'!N326:N330)),AVERAGE('20250815_ETF_Options_Exhibits'!N326:N330),"")</f>
        <v/>
      </c>
      <c r="O330" s="3">
        <f>IF(ISNUMBER(AVERAGE('20250815_ETF_Options_Exhibits'!O326:O330)),AVERAGE('20250815_ETF_Options_Exhibits'!O326:O330),"")</f>
        <v/>
      </c>
      <c r="P330" s="3">
        <f>IF(ISNUMBER(AVERAGE('20250815_ETF_Options_Exhibits'!P326:P330)),AVERAGE('20250815_ETF_Options_Exhibits'!P326:P330),"")</f>
        <v/>
      </c>
      <c r="Q330" s="3">
        <f>IF(ISNUMBER(AVERAGE('20250815_ETF_Options_Exhibits'!Q326:Q330)),AVERAGE('20250815_ETF_Options_Exhibits'!Q326:Q330),"")</f>
        <v/>
      </c>
      <c r="R330" s="3">
        <f>IF(ISNUMBER(AVERAGE('20250815_ETF_Options_Exhibits'!R326:R330)),AVERAGE('20250815_ETF_Options_Exhibits'!R326:R330),"")</f>
        <v/>
      </c>
      <c r="S330" s="3">
        <f>IF(ISNUMBER(AVERAGE('20250815_ETF_Options_Exhibits'!S326:S330)),AVERAGE('20250815_ETF_Options_Exhibits'!S326:S330),"")</f>
        <v/>
      </c>
      <c r="T330" s="3">
        <f>IF(ISNUMBER(AVERAGE('20250815_ETF_Options_Exhibits'!T326:T330)),AVERAGE('20250815_ETF_Options_Exhibits'!T326:T330),"")</f>
        <v/>
      </c>
      <c r="U330" s="3">
        <f>IF(ISNUMBER(AVERAGE('20250815_ETF_Options_Exhibits'!U326:U330)),AVERAGE('20250815_ETF_Options_Exhibits'!U326:U330),"")</f>
        <v/>
      </c>
      <c r="V330" s="3">
        <f>IF(ISNUMBER(AVERAGE('20250815_ETF_Options_Exhibits'!V326:V330)),AVERAGE('20250815_ETF_Options_Exhibits'!V326:V330),"")</f>
        <v/>
      </c>
      <c r="W330" s="3">
        <f>IF(ISNUMBER(AVERAGE('20250815_ETF_Options_Exhibits'!W326:W330)),AVERAGE('20250815_ETF_Options_Exhibits'!W326:W330),"")</f>
        <v/>
      </c>
      <c r="X330" s="3">
        <f>IF(ISNUMBER(AVERAGE('20250815_ETF_Options_Exhibits'!X326:X330)),AVERAGE('20250815_ETF_Options_Exhibits'!X326:X330),"")</f>
        <v/>
      </c>
      <c r="Y330" s="3">
        <f>IF(ISNUMBER(AVERAGE('20250815_ETF_Options_Exhibits'!Y326:Y330)),AVERAGE('20250815_ETF_Options_Exhibits'!Y326:Y330),"")</f>
        <v/>
      </c>
      <c r="Z330" s="3">
        <f>IF(ISNUMBER(AVERAGE('20250815_ETF_Options_Exhibits'!Z326:Z330)),AVERAGE('20250815_ETF_Options_Exhibits'!Z326:Z330),"")</f>
        <v/>
      </c>
      <c r="AA330" s="3">
        <f>IF(ISNUMBER(AVERAGE('20250815_ETF_Options_Exhibits'!AA326:AA330)),AVERAGE('20250815_ETF_Options_Exhibits'!AA326:AA330),"")</f>
        <v/>
      </c>
    </row>
    <row r="331">
      <c r="A331" s="1" t="n">
        <v>42482</v>
      </c>
      <c r="B331" s="3">
        <f>IF(ISNUMBER(AVERAGE('20250815_ETF_Options_Exhibits'!B327:B331)),AVERAGE('20250815_ETF_Options_Exhibits'!B327:B331),"")</f>
        <v/>
      </c>
      <c r="C331" s="3">
        <f>IF(ISNUMBER(AVERAGE('20250815_ETF_Options_Exhibits'!C327:C331)),AVERAGE('20250815_ETF_Options_Exhibits'!C327:C331),"")</f>
        <v/>
      </c>
      <c r="D331" s="3">
        <f>IF(ISNUMBER(AVERAGE('20250815_ETF_Options_Exhibits'!D327:D331)),AVERAGE('20250815_ETF_Options_Exhibits'!D327:D331),"")</f>
        <v/>
      </c>
      <c r="E331" s="3">
        <f>IF(ISNUMBER(AVERAGE('20250815_ETF_Options_Exhibits'!E327:E331)),AVERAGE('20250815_ETF_Options_Exhibits'!E327:E331),"")</f>
        <v/>
      </c>
      <c r="F331" s="3">
        <f>IF(ISNUMBER(AVERAGE('20250815_ETF_Options_Exhibits'!F327:F331)),AVERAGE('20250815_ETF_Options_Exhibits'!F327:F331),"")</f>
        <v/>
      </c>
      <c r="G331" s="3">
        <f>IF(ISNUMBER(AVERAGE('20250815_ETF_Options_Exhibits'!G327:G331)),AVERAGE('20250815_ETF_Options_Exhibits'!G327:G331),"")</f>
        <v/>
      </c>
      <c r="H331" s="3">
        <f>IF(ISNUMBER(AVERAGE('20250815_ETF_Options_Exhibits'!H327:H331)),AVERAGE('20250815_ETF_Options_Exhibits'!H327:H331),"")</f>
        <v/>
      </c>
      <c r="I331" s="3">
        <f>IF(ISNUMBER(AVERAGE('20250815_ETF_Options_Exhibits'!I327:I331)),AVERAGE('20250815_ETF_Options_Exhibits'!I327:I331),"")</f>
        <v/>
      </c>
      <c r="J331" s="3">
        <f>IF(ISNUMBER(AVERAGE('20250815_ETF_Options_Exhibits'!J327:J331)),AVERAGE('20250815_ETF_Options_Exhibits'!J327:J331),"")</f>
        <v/>
      </c>
      <c r="K331" s="3">
        <f>IF(ISNUMBER(AVERAGE('20250815_ETF_Options_Exhibits'!K327:K331)),AVERAGE('20250815_ETF_Options_Exhibits'!K327:K331),"")</f>
        <v/>
      </c>
      <c r="L331" s="3">
        <f>IF(ISNUMBER(AVERAGE('20250815_ETF_Options_Exhibits'!L327:L331)),AVERAGE('20250815_ETF_Options_Exhibits'!L327:L331),"")</f>
        <v/>
      </c>
      <c r="M331" s="3">
        <f>IF(ISNUMBER(AVERAGE('20250815_ETF_Options_Exhibits'!M327:M331)),AVERAGE('20250815_ETF_Options_Exhibits'!M327:M331),"")</f>
        <v/>
      </c>
      <c r="N331" s="3">
        <f>IF(ISNUMBER(AVERAGE('20250815_ETF_Options_Exhibits'!N327:N331)),AVERAGE('20250815_ETF_Options_Exhibits'!N327:N331),"")</f>
        <v/>
      </c>
      <c r="O331" s="3">
        <f>IF(ISNUMBER(AVERAGE('20250815_ETF_Options_Exhibits'!O327:O331)),AVERAGE('20250815_ETF_Options_Exhibits'!O327:O331),"")</f>
        <v/>
      </c>
      <c r="P331" s="3">
        <f>IF(ISNUMBER(AVERAGE('20250815_ETF_Options_Exhibits'!P327:P331)),AVERAGE('20250815_ETF_Options_Exhibits'!P327:P331),"")</f>
        <v/>
      </c>
      <c r="Q331" s="3">
        <f>IF(ISNUMBER(AVERAGE('20250815_ETF_Options_Exhibits'!Q327:Q331)),AVERAGE('20250815_ETF_Options_Exhibits'!Q327:Q331),"")</f>
        <v/>
      </c>
      <c r="R331" s="3">
        <f>IF(ISNUMBER(AVERAGE('20250815_ETF_Options_Exhibits'!R327:R331)),AVERAGE('20250815_ETF_Options_Exhibits'!R327:R331),"")</f>
        <v/>
      </c>
      <c r="S331" s="3">
        <f>IF(ISNUMBER(AVERAGE('20250815_ETF_Options_Exhibits'!S327:S331)),AVERAGE('20250815_ETF_Options_Exhibits'!S327:S331),"")</f>
        <v/>
      </c>
      <c r="T331" s="3">
        <f>IF(ISNUMBER(AVERAGE('20250815_ETF_Options_Exhibits'!T327:T331)),AVERAGE('20250815_ETF_Options_Exhibits'!T327:T331),"")</f>
        <v/>
      </c>
      <c r="U331" s="3">
        <f>IF(ISNUMBER(AVERAGE('20250815_ETF_Options_Exhibits'!U327:U331)),AVERAGE('20250815_ETF_Options_Exhibits'!U327:U331),"")</f>
        <v/>
      </c>
      <c r="V331" s="3">
        <f>IF(ISNUMBER(AVERAGE('20250815_ETF_Options_Exhibits'!V327:V331)),AVERAGE('20250815_ETF_Options_Exhibits'!V327:V331),"")</f>
        <v/>
      </c>
      <c r="W331" s="3">
        <f>IF(ISNUMBER(AVERAGE('20250815_ETF_Options_Exhibits'!W327:W331)),AVERAGE('20250815_ETF_Options_Exhibits'!W327:W331),"")</f>
        <v/>
      </c>
      <c r="X331" s="3">
        <f>IF(ISNUMBER(AVERAGE('20250815_ETF_Options_Exhibits'!X327:X331)),AVERAGE('20250815_ETF_Options_Exhibits'!X327:X331),"")</f>
        <v/>
      </c>
      <c r="Y331" s="3">
        <f>IF(ISNUMBER(AVERAGE('20250815_ETF_Options_Exhibits'!Y327:Y331)),AVERAGE('20250815_ETF_Options_Exhibits'!Y327:Y331),"")</f>
        <v/>
      </c>
      <c r="Z331" s="3">
        <f>IF(ISNUMBER(AVERAGE('20250815_ETF_Options_Exhibits'!Z327:Z331)),AVERAGE('20250815_ETF_Options_Exhibits'!Z327:Z331),"")</f>
        <v/>
      </c>
      <c r="AA331" s="3">
        <f>IF(ISNUMBER(AVERAGE('20250815_ETF_Options_Exhibits'!AA327:AA331)),AVERAGE('20250815_ETF_Options_Exhibits'!AA327:AA331),"")</f>
        <v/>
      </c>
    </row>
    <row r="332">
      <c r="A332" s="1" t="n">
        <v>42485</v>
      </c>
      <c r="B332" s="3">
        <f>IF(ISNUMBER(AVERAGE('20250815_ETF_Options_Exhibits'!B328:B332)),AVERAGE('20250815_ETF_Options_Exhibits'!B328:B332),"")</f>
        <v/>
      </c>
      <c r="C332" s="3">
        <f>IF(ISNUMBER(AVERAGE('20250815_ETF_Options_Exhibits'!C328:C332)),AVERAGE('20250815_ETF_Options_Exhibits'!C328:C332),"")</f>
        <v/>
      </c>
      <c r="D332" s="3">
        <f>IF(ISNUMBER(AVERAGE('20250815_ETF_Options_Exhibits'!D328:D332)),AVERAGE('20250815_ETF_Options_Exhibits'!D328:D332),"")</f>
        <v/>
      </c>
      <c r="E332" s="3">
        <f>IF(ISNUMBER(AVERAGE('20250815_ETF_Options_Exhibits'!E328:E332)),AVERAGE('20250815_ETF_Options_Exhibits'!E328:E332),"")</f>
        <v/>
      </c>
      <c r="F332" s="3">
        <f>IF(ISNUMBER(AVERAGE('20250815_ETF_Options_Exhibits'!F328:F332)),AVERAGE('20250815_ETF_Options_Exhibits'!F328:F332),"")</f>
        <v/>
      </c>
      <c r="G332" s="3">
        <f>IF(ISNUMBER(AVERAGE('20250815_ETF_Options_Exhibits'!G328:G332)),AVERAGE('20250815_ETF_Options_Exhibits'!G328:G332),"")</f>
        <v/>
      </c>
      <c r="H332" s="3">
        <f>IF(ISNUMBER(AVERAGE('20250815_ETF_Options_Exhibits'!H328:H332)),AVERAGE('20250815_ETF_Options_Exhibits'!H328:H332),"")</f>
        <v/>
      </c>
      <c r="I332" s="3">
        <f>IF(ISNUMBER(AVERAGE('20250815_ETF_Options_Exhibits'!I328:I332)),AVERAGE('20250815_ETF_Options_Exhibits'!I328:I332),"")</f>
        <v/>
      </c>
      <c r="J332" s="3">
        <f>IF(ISNUMBER(AVERAGE('20250815_ETF_Options_Exhibits'!J328:J332)),AVERAGE('20250815_ETF_Options_Exhibits'!J328:J332),"")</f>
        <v/>
      </c>
      <c r="K332" s="3">
        <f>IF(ISNUMBER(AVERAGE('20250815_ETF_Options_Exhibits'!K328:K332)),AVERAGE('20250815_ETF_Options_Exhibits'!K328:K332),"")</f>
        <v/>
      </c>
      <c r="L332" s="3">
        <f>IF(ISNUMBER(AVERAGE('20250815_ETF_Options_Exhibits'!L328:L332)),AVERAGE('20250815_ETF_Options_Exhibits'!L328:L332),"")</f>
        <v/>
      </c>
      <c r="M332" s="3">
        <f>IF(ISNUMBER(AVERAGE('20250815_ETF_Options_Exhibits'!M328:M332)),AVERAGE('20250815_ETF_Options_Exhibits'!M328:M332),"")</f>
        <v/>
      </c>
      <c r="N332" s="3">
        <f>IF(ISNUMBER(AVERAGE('20250815_ETF_Options_Exhibits'!N328:N332)),AVERAGE('20250815_ETF_Options_Exhibits'!N328:N332),"")</f>
        <v/>
      </c>
      <c r="O332" s="3">
        <f>IF(ISNUMBER(AVERAGE('20250815_ETF_Options_Exhibits'!O328:O332)),AVERAGE('20250815_ETF_Options_Exhibits'!O328:O332),"")</f>
        <v/>
      </c>
      <c r="P332" s="3">
        <f>IF(ISNUMBER(AVERAGE('20250815_ETF_Options_Exhibits'!P328:P332)),AVERAGE('20250815_ETF_Options_Exhibits'!P328:P332),"")</f>
        <v/>
      </c>
      <c r="Q332" s="3">
        <f>IF(ISNUMBER(AVERAGE('20250815_ETF_Options_Exhibits'!Q328:Q332)),AVERAGE('20250815_ETF_Options_Exhibits'!Q328:Q332),"")</f>
        <v/>
      </c>
      <c r="R332" s="3">
        <f>IF(ISNUMBER(AVERAGE('20250815_ETF_Options_Exhibits'!R328:R332)),AVERAGE('20250815_ETF_Options_Exhibits'!R328:R332),"")</f>
        <v/>
      </c>
      <c r="S332" s="3">
        <f>IF(ISNUMBER(AVERAGE('20250815_ETF_Options_Exhibits'!S328:S332)),AVERAGE('20250815_ETF_Options_Exhibits'!S328:S332),"")</f>
        <v/>
      </c>
      <c r="T332" s="3">
        <f>IF(ISNUMBER(AVERAGE('20250815_ETF_Options_Exhibits'!T328:T332)),AVERAGE('20250815_ETF_Options_Exhibits'!T328:T332),"")</f>
        <v/>
      </c>
      <c r="U332" s="3">
        <f>IF(ISNUMBER(AVERAGE('20250815_ETF_Options_Exhibits'!U328:U332)),AVERAGE('20250815_ETF_Options_Exhibits'!U328:U332),"")</f>
        <v/>
      </c>
      <c r="V332" s="3">
        <f>IF(ISNUMBER(AVERAGE('20250815_ETF_Options_Exhibits'!V328:V332)),AVERAGE('20250815_ETF_Options_Exhibits'!V328:V332),"")</f>
        <v/>
      </c>
      <c r="W332" s="3">
        <f>IF(ISNUMBER(AVERAGE('20250815_ETF_Options_Exhibits'!W328:W332)),AVERAGE('20250815_ETF_Options_Exhibits'!W328:W332),"")</f>
        <v/>
      </c>
      <c r="X332" s="3">
        <f>IF(ISNUMBER(AVERAGE('20250815_ETF_Options_Exhibits'!X328:X332)),AVERAGE('20250815_ETF_Options_Exhibits'!X328:X332),"")</f>
        <v/>
      </c>
      <c r="Y332" s="3">
        <f>IF(ISNUMBER(AVERAGE('20250815_ETF_Options_Exhibits'!Y328:Y332)),AVERAGE('20250815_ETF_Options_Exhibits'!Y328:Y332),"")</f>
        <v/>
      </c>
      <c r="Z332" s="3">
        <f>IF(ISNUMBER(AVERAGE('20250815_ETF_Options_Exhibits'!Z328:Z332)),AVERAGE('20250815_ETF_Options_Exhibits'!Z328:Z332),"")</f>
        <v/>
      </c>
      <c r="AA332" s="3">
        <f>IF(ISNUMBER(AVERAGE('20250815_ETF_Options_Exhibits'!AA328:AA332)),AVERAGE('20250815_ETF_Options_Exhibits'!AA328:AA332),"")</f>
        <v/>
      </c>
    </row>
    <row r="333">
      <c r="A333" s="1" t="n">
        <v>42486</v>
      </c>
      <c r="B333" s="3">
        <f>IF(ISNUMBER(AVERAGE('20250815_ETF_Options_Exhibits'!B329:B333)),AVERAGE('20250815_ETF_Options_Exhibits'!B329:B333),"")</f>
        <v/>
      </c>
      <c r="C333" s="3">
        <f>IF(ISNUMBER(AVERAGE('20250815_ETF_Options_Exhibits'!C329:C333)),AVERAGE('20250815_ETF_Options_Exhibits'!C329:C333),"")</f>
        <v/>
      </c>
      <c r="D333" s="3">
        <f>IF(ISNUMBER(AVERAGE('20250815_ETF_Options_Exhibits'!D329:D333)),AVERAGE('20250815_ETF_Options_Exhibits'!D329:D333),"")</f>
        <v/>
      </c>
      <c r="E333" s="3">
        <f>IF(ISNUMBER(AVERAGE('20250815_ETF_Options_Exhibits'!E329:E333)),AVERAGE('20250815_ETF_Options_Exhibits'!E329:E333),"")</f>
        <v/>
      </c>
      <c r="F333" s="3">
        <f>IF(ISNUMBER(AVERAGE('20250815_ETF_Options_Exhibits'!F329:F333)),AVERAGE('20250815_ETF_Options_Exhibits'!F329:F333),"")</f>
        <v/>
      </c>
      <c r="G333" s="3">
        <f>IF(ISNUMBER(AVERAGE('20250815_ETF_Options_Exhibits'!G329:G333)),AVERAGE('20250815_ETF_Options_Exhibits'!G329:G333),"")</f>
        <v/>
      </c>
      <c r="H333" s="3">
        <f>IF(ISNUMBER(AVERAGE('20250815_ETF_Options_Exhibits'!H329:H333)),AVERAGE('20250815_ETF_Options_Exhibits'!H329:H333),"")</f>
        <v/>
      </c>
      <c r="I333" s="3">
        <f>IF(ISNUMBER(AVERAGE('20250815_ETF_Options_Exhibits'!I329:I333)),AVERAGE('20250815_ETF_Options_Exhibits'!I329:I333),"")</f>
        <v/>
      </c>
      <c r="J333" s="3">
        <f>IF(ISNUMBER(AVERAGE('20250815_ETF_Options_Exhibits'!J329:J333)),AVERAGE('20250815_ETF_Options_Exhibits'!J329:J333),"")</f>
        <v/>
      </c>
      <c r="K333" s="3">
        <f>IF(ISNUMBER(AVERAGE('20250815_ETF_Options_Exhibits'!K329:K333)),AVERAGE('20250815_ETF_Options_Exhibits'!K329:K333),"")</f>
        <v/>
      </c>
      <c r="L333" s="3">
        <f>IF(ISNUMBER(AVERAGE('20250815_ETF_Options_Exhibits'!L329:L333)),AVERAGE('20250815_ETF_Options_Exhibits'!L329:L333),"")</f>
        <v/>
      </c>
      <c r="M333" s="3">
        <f>IF(ISNUMBER(AVERAGE('20250815_ETF_Options_Exhibits'!M329:M333)),AVERAGE('20250815_ETF_Options_Exhibits'!M329:M333),"")</f>
        <v/>
      </c>
      <c r="N333" s="3">
        <f>IF(ISNUMBER(AVERAGE('20250815_ETF_Options_Exhibits'!N329:N333)),AVERAGE('20250815_ETF_Options_Exhibits'!N329:N333),"")</f>
        <v/>
      </c>
      <c r="O333" s="3">
        <f>IF(ISNUMBER(AVERAGE('20250815_ETF_Options_Exhibits'!O329:O333)),AVERAGE('20250815_ETF_Options_Exhibits'!O329:O333),"")</f>
        <v/>
      </c>
      <c r="P333" s="3">
        <f>IF(ISNUMBER(AVERAGE('20250815_ETF_Options_Exhibits'!P329:P333)),AVERAGE('20250815_ETF_Options_Exhibits'!P329:P333),"")</f>
        <v/>
      </c>
      <c r="Q333" s="3">
        <f>IF(ISNUMBER(AVERAGE('20250815_ETF_Options_Exhibits'!Q329:Q333)),AVERAGE('20250815_ETF_Options_Exhibits'!Q329:Q333),"")</f>
        <v/>
      </c>
      <c r="R333" s="3">
        <f>IF(ISNUMBER(AVERAGE('20250815_ETF_Options_Exhibits'!R329:R333)),AVERAGE('20250815_ETF_Options_Exhibits'!R329:R333),"")</f>
        <v/>
      </c>
      <c r="S333" s="3">
        <f>IF(ISNUMBER(AVERAGE('20250815_ETF_Options_Exhibits'!S329:S333)),AVERAGE('20250815_ETF_Options_Exhibits'!S329:S333),"")</f>
        <v/>
      </c>
      <c r="T333" s="3">
        <f>IF(ISNUMBER(AVERAGE('20250815_ETF_Options_Exhibits'!T329:T333)),AVERAGE('20250815_ETF_Options_Exhibits'!T329:T333),"")</f>
        <v/>
      </c>
      <c r="U333" s="3">
        <f>IF(ISNUMBER(AVERAGE('20250815_ETF_Options_Exhibits'!U329:U333)),AVERAGE('20250815_ETF_Options_Exhibits'!U329:U333),"")</f>
        <v/>
      </c>
      <c r="V333" s="3">
        <f>IF(ISNUMBER(AVERAGE('20250815_ETF_Options_Exhibits'!V329:V333)),AVERAGE('20250815_ETF_Options_Exhibits'!V329:V333),"")</f>
        <v/>
      </c>
      <c r="W333" s="3">
        <f>IF(ISNUMBER(AVERAGE('20250815_ETF_Options_Exhibits'!W329:W333)),AVERAGE('20250815_ETF_Options_Exhibits'!W329:W333),"")</f>
        <v/>
      </c>
      <c r="X333" s="3">
        <f>IF(ISNUMBER(AVERAGE('20250815_ETF_Options_Exhibits'!X329:X333)),AVERAGE('20250815_ETF_Options_Exhibits'!X329:X333),"")</f>
        <v/>
      </c>
      <c r="Y333" s="3">
        <f>IF(ISNUMBER(AVERAGE('20250815_ETF_Options_Exhibits'!Y329:Y333)),AVERAGE('20250815_ETF_Options_Exhibits'!Y329:Y333),"")</f>
        <v/>
      </c>
      <c r="Z333" s="3">
        <f>IF(ISNUMBER(AVERAGE('20250815_ETF_Options_Exhibits'!Z329:Z333)),AVERAGE('20250815_ETF_Options_Exhibits'!Z329:Z333),"")</f>
        <v/>
      </c>
      <c r="AA333" s="3">
        <f>IF(ISNUMBER(AVERAGE('20250815_ETF_Options_Exhibits'!AA329:AA333)),AVERAGE('20250815_ETF_Options_Exhibits'!AA329:AA333),"")</f>
        <v/>
      </c>
    </row>
    <row r="334">
      <c r="A334" s="1" t="n">
        <v>42487</v>
      </c>
      <c r="B334" s="3">
        <f>IF(ISNUMBER(AVERAGE('20250815_ETF_Options_Exhibits'!B330:B334)),AVERAGE('20250815_ETF_Options_Exhibits'!B330:B334),"")</f>
        <v/>
      </c>
      <c r="C334" s="3">
        <f>IF(ISNUMBER(AVERAGE('20250815_ETF_Options_Exhibits'!C330:C334)),AVERAGE('20250815_ETF_Options_Exhibits'!C330:C334),"")</f>
        <v/>
      </c>
      <c r="D334" s="3">
        <f>IF(ISNUMBER(AVERAGE('20250815_ETF_Options_Exhibits'!D330:D334)),AVERAGE('20250815_ETF_Options_Exhibits'!D330:D334),"")</f>
        <v/>
      </c>
      <c r="E334" s="3">
        <f>IF(ISNUMBER(AVERAGE('20250815_ETF_Options_Exhibits'!E330:E334)),AVERAGE('20250815_ETF_Options_Exhibits'!E330:E334),"")</f>
        <v/>
      </c>
      <c r="F334" s="3">
        <f>IF(ISNUMBER(AVERAGE('20250815_ETF_Options_Exhibits'!F330:F334)),AVERAGE('20250815_ETF_Options_Exhibits'!F330:F334),"")</f>
        <v/>
      </c>
      <c r="G334" s="3">
        <f>IF(ISNUMBER(AVERAGE('20250815_ETF_Options_Exhibits'!G330:G334)),AVERAGE('20250815_ETF_Options_Exhibits'!G330:G334),"")</f>
        <v/>
      </c>
      <c r="H334" s="3">
        <f>IF(ISNUMBER(AVERAGE('20250815_ETF_Options_Exhibits'!H330:H334)),AVERAGE('20250815_ETF_Options_Exhibits'!H330:H334),"")</f>
        <v/>
      </c>
      <c r="I334" s="3">
        <f>IF(ISNUMBER(AVERAGE('20250815_ETF_Options_Exhibits'!I330:I334)),AVERAGE('20250815_ETF_Options_Exhibits'!I330:I334),"")</f>
        <v/>
      </c>
      <c r="J334" s="3">
        <f>IF(ISNUMBER(AVERAGE('20250815_ETF_Options_Exhibits'!J330:J334)),AVERAGE('20250815_ETF_Options_Exhibits'!J330:J334),"")</f>
        <v/>
      </c>
      <c r="K334" s="3">
        <f>IF(ISNUMBER(AVERAGE('20250815_ETF_Options_Exhibits'!K330:K334)),AVERAGE('20250815_ETF_Options_Exhibits'!K330:K334),"")</f>
        <v/>
      </c>
      <c r="L334" s="3">
        <f>IF(ISNUMBER(AVERAGE('20250815_ETF_Options_Exhibits'!L330:L334)),AVERAGE('20250815_ETF_Options_Exhibits'!L330:L334),"")</f>
        <v/>
      </c>
      <c r="M334" s="3">
        <f>IF(ISNUMBER(AVERAGE('20250815_ETF_Options_Exhibits'!M330:M334)),AVERAGE('20250815_ETF_Options_Exhibits'!M330:M334),"")</f>
        <v/>
      </c>
      <c r="N334" s="3">
        <f>IF(ISNUMBER(AVERAGE('20250815_ETF_Options_Exhibits'!N330:N334)),AVERAGE('20250815_ETF_Options_Exhibits'!N330:N334),"")</f>
        <v/>
      </c>
      <c r="O334" s="3">
        <f>IF(ISNUMBER(AVERAGE('20250815_ETF_Options_Exhibits'!O330:O334)),AVERAGE('20250815_ETF_Options_Exhibits'!O330:O334),"")</f>
        <v/>
      </c>
      <c r="P334" s="3">
        <f>IF(ISNUMBER(AVERAGE('20250815_ETF_Options_Exhibits'!P330:P334)),AVERAGE('20250815_ETF_Options_Exhibits'!P330:P334),"")</f>
        <v/>
      </c>
      <c r="Q334" s="3">
        <f>IF(ISNUMBER(AVERAGE('20250815_ETF_Options_Exhibits'!Q330:Q334)),AVERAGE('20250815_ETF_Options_Exhibits'!Q330:Q334),"")</f>
        <v/>
      </c>
      <c r="R334" s="3">
        <f>IF(ISNUMBER(AVERAGE('20250815_ETF_Options_Exhibits'!R330:R334)),AVERAGE('20250815_ETF_Options_Exhibits'!R330:R334),"")</f>
        <v/>
      </c>
      <c r="S334" s="3">
        <f>IF(ISNUMBER(AVERAGE('20250815_ETF_Options_Exhibits'!S330:S334)),AVERAGE('20250815_ETF_Options_Exhibits'!S330:S334),"")</f>
        <v/>
      </c>
      <c r="T334" s="3">
        <f>IF(ISNUMBER(AVERAGE('20250815_ETF_Options_Exhibits'!T330:T334)),AVERAGE('20250815_ETF_Options_Exhibits'!T330:T334),"")</f>
        <v/>
      </c>
      <c r="U334" s="3">
        <f>IF(ISNUMBER(AVERAGE('20250815_ETF_Options_Exhibits'!U330:U334)),AVERAGE('20250815_ETF_Options_Exhibits'!U330:U334),"")</f>
        <v/>
      </c>
      <c r="V334" s="3">
        <f>IF(ISNUMBER(AVERAGE('20250815_ETF_Options_Exhibits'!V330:V334)),AVERAGE('20250815_ETF_Options_Exhibits'!V330:V334),"")</f>
        <v/>
      </c>
      <c r="W334" s="3">
        <f>IF(ISNUMBER(AVERAGE('20250815_ETF_Options_Exhibits'!W330:W334)),AVERAGE('20250815_ETF_Options_Exhibits'!W330:W334),"")</f>
        <v/>
      </c>
      <c r="X334" s="3">
        <f>IF(ISNUMBER(AVERAGE('20250815_ETF_Options_Exhibits'!X330:X334)),AVERAGE('20250815_ETF_Options_Exhibits'!X330:X334),"")</f>
        <v/>
      </c>
      <c r="Y334" s="3">
        <f>IF(ISNUMBER(AVERAGE('20250815_ETF_Options_Exhibits'!Y330:Y334)),AVERAGE('20250815_ETF_Options_Exhibits'!Y330:Y334),"")</f>
        <v/>
      </c>
      <c r="Z334" s="3">
        <f>IF(ISNUMBER(AVERAGE('20250815_ETF_Options_Exhibits'!Z330:Z334)),AVERAGE('20250815_ETF_Options_Exhibits'!Z330:Z334),"")</f>
        <v/>
      </c>
      <c r="AA334" s="3">
        <f>IF(ISNUMBER(AVERAGE('20250815_ETF_Options_Exhibits'!AA330:AA334)),AVERAGE('20250815_ETF_Options_Exhibits'!AA330:AA334),"")</f>
        <v/>
      </c>
    </row>
    <row r="335">
      <c r="A335" s="1" t="n">
        <v>42488</v>
      </c>
      <c r="B335" s="3">
        <f>IF(ISNUMBER(AVERAGE('20250815_ETF_Options_Exhibits'!B331:B335)),AVERAGE('20250815_ETF_Options_Exhibits'!B331:B335),"")</f>
        <v/>
      </c>
      <c r="C335" s="3">
        <f>IF(ISNUMBER(AVERAGE('20250815_ETF_Options_Exhibits'!C331:C335)),AVERAGE('20250815_ETF_Options_Exhibits'!C331:C335),"")</f>
        <v/>
      </c>
      <c r="D335" s="3">
        <f>IF(ISNUMBER(AVERAGE('20250815_ETF_Options_Exhibits'!D331:D335)),AVERAGE('20250815_ETF_Options_Exhibits'!D331:D335),"")</f>
        <v/>
      </c>
      <c r="E335" s="3">
        <f>IF(ISNUMBER(AVERAGE('20250815_ETF_Options_Exhibits'!E331:E335)),AVERAGE('20250815_ETF_Options_Exhibits'!E331:E335),"")</f>
        <v/>
      </c>
      <c r="F335" s="3">
        <f>IF(ISNUMBER(AVERAGE('20250815_ETF_Options_Exhibits'!F331:F335)),AVERAGE('20250815_ETF_Options_Exhibits'!F331:F335),"")</f>
        <v/>
      </c>
      <c r="G335" s="3">
        <f>IF(ISNUMBER(AVERAGE('20250815_ETF_Options_Exhibits'!G331:G335)),AVERAGE('20250815_ETF_Options_Exhibits'!G331:G335),"")</f>
        <v/>
      </c>
      <c r="H335" s="3">
        <f>IF(ISNUMBER(AVERAGE('20250815_ETF_Options_Exhibits'!H331:H335)),AVERAGE('20250815_ETF_Options_Exhibits'!H331:H335),"")</f>
        <v/>
      </c>
      <c r="I335" s="3">
        <f>IF(ISNUMBER(AVERAGE('20250815_ETF_Options_Exhibits'!I331:I335)),AVERAGE('20250815_ETF_Options_Exhibits'!I331:I335),"")</f>
        <v/>
      </c>
      <c r="J335" s="3">
        <f>IF(ISNUMBER(AVERAGE('20250815_ETF_Options_Exhibits'!J331:J335)),AVERAGE('20250815_ETF_Options_Exhibits'!J331:J335),"")</f>
        <v/>
      </c>
      <c r="K335" s="3">
        <f>IF(ISNUMBER(AVERAGE('20250815_ETF_Options_Exhibits'!K331:K335)),AVERAGE('20250815_ETF_Options_Exhibits'!K331:K335),"")</f>
        <v/>
      </c>
      <c r="L335" s="3">
        <f>IF(ISNUMBER(AVERAGE('20250815_ETF_Options_Exhibits'!L331:L335)),AVERAGE('20250815_ETF_Options_Exhibits'!L331:L335),"")</f>
        <v/>
      </c>
      <c r="M335" s="3">
        <f>IF(ISNUMBER(AVERAGE('20250815_ETF_Options_Exhibits'!M331:M335)),AVERAGE('20250815_ETF_Options_Exhibits'!M331:M335),"")</f>
        <v/>
      </c>
      <c r="N335" s="3">
        <f>IF(ISNUMBER(AVERAGE('20250815_ETF_Options_Exhibits'!N331:N335)),AVERAGE('20250815_ETF_Options_Exhibits'!N331:N335),"")</f>
        <v/>
      </c>
      <c r="O335" s="3">
        <f>IF(ISNUMBER(AVERAGE('20250815_ETF_Options_Exhibits'!O331:O335)),AVERAGE('20250815_ETF_Options_Exhibits'!O331:O335),"")</f>
        <v/>
      </c>
      <c r="P335" s="3">
        <f>IF(ISNUMBER(AVERAGE('20250815_ETF_Options_Exhibits'!P331:P335)),AVERAGE('20250815_ETF_Options_Exhibits'!P331:P335),"")</f>
        <v/>
      </c>
      <c r="Q335" s="3">
        <f>IF(ISNUMBER(AVERAGE('20250815_ETF_Options_Exhibits'!Q331:Q335)),AVERAGE('20250815_ETF_Options_Exhibits'!Q331:Q335),"")</f>
        <v/>
      </c>
      <c r="R335" s="3">
        <f>IF(ISNUMBER(AVERAGE('20250815_ETF_Options_Exhibits'!R331:R335)),AVERAGE('20250815_ETF_Options_Exhibits'!R331:R335),"")</f>
        <v/>
      </c>
      <c r="S335" s="3">
        <f>IF(ISNUMBER(AVERAGE('20250815_ETF_Options_Exhibits'!S331:S335)),AVERAGE('20250815_ETF_Options_Exhibits'!S331:S335),"")</f>
        <v/>
      </c>
      <c r="T335" s="3">
        <f>IF(ISNUMBER(AVERAGE('20250815_ETF_Options_Exhibits'!T331:T335)),AVERAGE('20250815_ETF_Options_Exhibits'!T331:T335),"")</f>
        <v/>
      </c>
      <c r="U335" s="3">
        <f>IF(ISNUMBER(AVERAGE('20250815_ETF_Options_Exhibits'!U331:U335)),AVERAGE('20250815_ETF_Options_Exhibits'!U331:U335),"")</f>
        <v/>
      </c>
      <c r="V335" s="3">
        <f>IF(ISNUMBER(AVERAGE('20250815_ETF_Options_Exhibits'!V331:V335)),AVERAGE('20250815_ETF_Options_Exhibits'!V331:V335),"")</f>
        <v/>
      </c>
      <c r="W335" s="3">
        <f>IF(ISNUMBER(AVERAGE('20250815_ETF_Options_Exhibits'!W331:W335)),AVERAGE('20250815_ETF_Options_Exhibits'!W331:W335),"")</f>
        <v/>
      </c>
      <c r="X335" s="3">
        <f>IF(ISNUMBER(AVERAGE('20250815_ETF_Options_Exhibits'!X331:X335)),AVERAGE('20250815_ETF_Options_Exhibits'!X331:X335),"")</f>
        <v/>
      </c>
      <c r="Y335" s="3">
        <f>IF(ISNUMBER(AVERAGE('20250815_ETF_Options_Exhibits'!Y331:Y335)),AVERAGE('20250815_ETF_Options_Exhibits'!Y331:Y335),"")</f>
        <v/>
      </c>
      <c r="Z335" s="3">
        <f>IF(ISNUMBER(AVERAGE('20250815_ETF_Options_Exhibits'!Z331:Z335)),AVERAGE('20250815_ETF_Options_Exhibits'!Z331:Z335),"")</f>
        <v/>
      </c>
      <c r="AA335" s="3">
        <f>IF(ISNUMBER(AVERAGE('20250815_ETF_Options_Exhibits'!AA331:AA335)),AVERAGE('20250815_ETF_Options_Exhibits'!AA331:AA335),"")</f>
        <v/>
      </c>
    </row>
    <row r="336">
      <c r="A336" s="1" t="n">
        <v>42489</v>
      </c>
      <c r="B336" s="3">
        <f>IF(ISNUMBER(AVERAGE('20250815_ETF_Options_Exhibits'!B332:B336)),AVERAGE('20250815_ETF_Options_Exhibits'!B332:B336),"")</f>
        <v/>
      </c>
      <c r="C336" s="3">
        <f>IF(ISNUMBER(AVERAGE('20250815_ETF_Options_Exhibits'!C332:C336)),AVERAGE('20250815_ETF_Options_Exhibits'!C332:C336),"")</f>
        <v/>
      </c>
      <c r="D336" s="3">
        <f>IF(ISNUMBER(AVERAGE('20250815_ETF_Options_Exhibits'!D332:D336)),AVERAGE('20250815_ETF_Options_Exhibits'!D332:D336),"")</f>
        <v/>
      </c>
      <c r="E336" s="3">
        <f>IF(ISNUMBER(AVERAGE('20250815_ETF_Options_Exhibits'!E332:E336)),AVERAGE('20250815_ETF_Options_Exhibits'!E332:E336),"")</f>
        <v/>
      </c>
      <c r="F336" s="3">
        <f>IF(ISNUMBER(AVERAGE('20250815_ETF_Options_Exhibits'!F332:F336)),AVERAGE('20250815_ETF_Options_Exhibits'!F332:F336),"")</f>
        <v/>
      </c>
      <c r="G336" s="3">
        <f>IF(ISNUMBER(AVERAGE('20250815_ETF_Options_Exhibits'!G332:G336)),AVERAGE('20250815_ETF_Options_Exhibits'!G332:G336),"")</f>
        <v/>
      </c>
      <c r="H336" s="3">
        <f>IF(ISNUMBER(AVERAGE('20250815_ETF_Options_Exhibits'!H332:H336)),AVERAGE('20250815_ETF_Options_Exhibits'!H332:H336),"")</f>
        <v/>
      </c>
      <c r="I336" s="3">
        <f>IF(ISNUMBER(AVERAGE('20250815_ETF_Options_Exhibits'!I332:I336)),AVERAGE('20250815_ETF_Options_Exhibits'!I332:I336),"")</f>
        <v/>
      </c>
      <c r="J336" s="3">
        <f>IF(ISNUMBER(AVERAGE('20250815_ETF_Options_Exhibits'!J332:J336)),AVERAGE('20250815_ETF_Options_Exhibits'!J332:J336),"")</f>
        <v/>
      </c>
      <c r="K336" s="3">
        <f>IF(ISNUMBER(AVERAGE('20250815_ETF_Options_Exhibits'!K332:K336)),AVERAGE('20250815_ETF_Options_Exhibits'!K332:K336),"")</f>
        <v/>
      </c>
      <c r="L336" s="3">
        <f>IF(ISNUMBER(AVERAGE('20250815_ETF_Options_Exhibits'!L332:L336)),AVERAGE('20250815_ETF_Options_Exhibits'!L332:L336),"")</f>
        <v/>
      </c>
      <c r="M336" s="3">
        <f>IF(ISNUMBER(AVERAGE('20250815_ETF_Options_Exhibits'!M332:M336)),AVERAGE('20250815_ETF_Options_Exhibits'!M332:M336),"")</f>
        <v/>
      </c>
      <c r="N336" s="3">
        <f>IF(ISNUMBER(AVERAGE('20250815_ETF_Options_Exhibits'!N332:N336)),AVERAGE('20250815_ETF_Options_Exhibits'!N332:N336),"")</f>
        <v/>
      </c>
      <c r="O336" s="3">
        <f>IF(ISNUMBER(AVERAGE('20250815_ETF_Options_Exhibits'!O332:O336)),AVERAGE('20250815_ETF_Options_Exhibits'!O332:O336),"")</f>
        <v/>
      </c>
      <c r="P336" s="3">
        <f>IF(ISNUMBER(AVERAGE('20250815_ETF_Options_Exhibits'!P332:P336)),AVERAGE('20250815_ETF_Options_Exhibits'!P332:P336),"")</f>
        <v/>
      </c>
      <c r="Q336" s="3">
        <f>IF(ISNUMBER(AVERAGE('20250815_ETF_Options_Exhibits'!Q332:Q336)),AVERAGE('20250815_ETF_Options_Exhibits'!Q332:Q336),"")</f>
        <v/>
      </c>
      <c r="R336" s="3">
        <f>IF(ISNUMBER(AVERAGE('20250815_ETF_Options_Exhibits'!R332:R336)),AVERAGE('20250815_ETF_Options_Exhibits'!R332:R336),"")</f>
        <v/>
      </c>
      <c r="S336" s="3">
        <f>IF(ISNUMBER(AVERAGE('20250815_ETF_Options_Exhibits'!S332:S336)),AVERAGE('20250815_ETF_Options_Exhibits'!S332:S336),"")</f>
        <v/>
      </c>
      <c r="T336" s="3">
        <f>IF(ISNUMBER(AVERAGE('20250815_ETF_Options_Exhibits'!T332:T336)),AVERAGE('20250815_ETF_Options_Exhibits'!T332:T336),"")</f>
        <v/>
      </c>
      <c r="U336" s="3">
        <f>IF(ISNUMBER(AVERAGE('20250815_ETF_Options_Exhibits'!U332:U336)),AVERAGE('20250815_ETF_Options_Exhibits'!U332:U336),"")</f>
        <v/>
      </c>
      <c r="V336" s="3">
        <f>IF(ISNUMBER(AVERAGE('20250815_ETF_Options_Exhibits'!V332:V336)),AVERAGE('20250815_ETF_Options_Exhibits'!V332:V336),"")</f>
        <v/>
      </c>
      <c r="W336" s="3">
        <f>IF(ISNUMBER(AVERAGE('20250815_ETF_Options_Exhibits'!W332:W336)),AVERAGE('20250815_ETF_Options_Exhibits'!W332:W336),"")</f>
        <v/>
      </c>
      <c r="X336" s="3">
        <f>IF(ISNUMBER(AVERAGE('20250815_ETF_Options_Exhibits'!X332:X336)),AVERAGE('20250815_ETF_Options_Exhibits'!X332:X336),"")</f>
        <v/>
      </c>
      <c r="Y336" s="3">
        <f>IF(ISNUMBER(AVERAGE('20250815_ETF_Options_Exhibits'!Y332:Y336)),AVERAGE('20250815_ETF_Options_Exhibits'!Y332:Y336),"")</f>
        <v/>
      </c>
      <c r="Z336" s="3">
        <f>IF(ISNUMBER(AVERAGE('20250815_ETF_Options_Exhibits'!Z332:Z336)),AVERAGE('20250815_ETF_Options_Exhibits'!Z332:Z336),"")</f>
        <v/>
      </c>
      <c r="AA336" s="3">
        <f>IF(ISNUMBER(AVERAGE('20250815_ETF_Options_Exhibits'!AA332:AA336)),AVERAGE('20250815_ETF_Options_Exhibits'!AA332:AA336),"")</f>
        <v/>
      </c>
    </row>
    <row r="337">
      <c r="A337" s="1" t="n">
        <v>42492</v>
      </c>
      <c r="B337" s="3">
        <f>IF(ISNUMBER(AVERAGE('20250815_ETF_Options_Exhibits'!B333:B337)),AVERAGE('20250815_ETF_Options_Exhibits'!B333:B337),"")</f>
        <v/>
      </c>
      <c r="C337" s="3">
        <f>IF(ISNUMBER(AVERAGE('20250815_ETF_Options_Exhibits'!C333:C337)),AVERAGE('20250815_ETF_Options_Exhibits'!C333:C337),"")</f>
        <v/>
      </c>
      <c r="D337" s="3">
        <f>IF(ISNUMBER(AVERAGE('20250815_ETF_Options_Exhibits'!D333:D337)),AVERAGE('20250815_ETF_Options_Exhibits'!D333:D337),"")</f>
        <v/>
      </c>
      <c r="E337" s="3">
        <f>IF(ISNUMBER(AVERAGE('20250815_ETF_Options_Exhibits'!E333:E337)),AVERAGE('20250815_ETF_Options_Exhibits'!E333:E337),"")</f>
        <v/>
      </c>
      <c r="F337" s="3">
        <f>IF(ISNUMBER(AVERAGE('20250815_ETF_Options_Exhibits'!F333:F337)),AVERAGE('20250815_ETF_Options_Exhibits'!F333:F337),"")</f>
        <v/>
      </c>
      <c r="G337" s="3">
        <f>IF(ISNUMBER(AVERAGE('20250815_ETF_Options_Exhibits'!G333:G337)),AVERAGE('20250815_ETF_Options_Exhibits'!G333:G337),"")</f>
        <v/>
      </c>
      <c r="H337" s="3">
        <f>IF(ISNUMBER(AVERAGE('20250815_ETF_Options_Exhibits'!H333:H337)),AVERAGE('20250815_ETF_Options_Exhibits'!H333:H337),"")</f>
        <v/>
      </c>
      <c r="I337" s="3">
        <f>IF(ISNUMBER(AVERAGE('20250815_ETF_Options_Exhibits'!I333:I337)),AVERAGE('20250815_ETF_Options_Exhibits'!I333:I337),"")</f>
        <v/>
      </c>
      <c r="J337" s="3">
        <f>IF(ISNUMBER(AVERAGE('20250815_ETF_Options_Exhibits'!J333:J337)),AVERAGE('20250815_ETF_Options_Exhibits'!J333:J337),"")</f>
        <v/>
      </c>
      <c r="K337" s="3">
        <f>IF(ISNUMBER(AVERAGE('20250815_ETF_Options_Exhibits'!K333:K337)),AVERAGE('20250815_ETF_Options_Exhibits'!K333:K337),"")</f>
        <v/>
      </c>
      <c r="L337" s="3">
        <f>IF(ISNUMBER(AVERAGE('20250815_ETF_Options_Exhibits'!L333:L337)),AVERAGE('20250815_ETF_Options_Exhibits'!L333:L337),"")</f>
        <v/>
      </c>
      <c r="M337" s="3">
        <f>IF(ISNUMBER(AVERAGE('20250815_ETF_Options_Exhibits'!M333:M337)),AVERAGE('20250815_ETF_Options_Exhibits'!M333:M337),"")</f>
        <v/>
      </c>
      <c r="N337" s="3">
        <f>IF(ISNUMBER(AVERAGE('20250815_ETF_Options_Exhibits'!N333:N337)),AVERAGE('20250815_ETF_Options_Exhibits'!N333:N337),"")</f>
        <v/>
      </c>
      <c r="O337" s="3">
        <f>IF(ISNUMBER(AVERAGE('20250815_ETF_Options_Exhibits'!O333:O337)),AVERAGE('20250815_ETF_Options_Exhibits'!O333:O337),"")</f>
        <v/>
      </c>
      <c r="P337" s="3">
        <f>IF(ISNUMBER(AVERAGE('20250815_ETF_Options_Exhibits'!P333:P337)),AVERAGE('20250815_ETF_Options_Exhibits'!P333:P337),"")</f>
        <v/>
      </c>
      <c r="Q337" s="3">
        <f>IF(ISNUMBER(AVERAGE('20250815_ETF_Options_Exhibits'!Q333:Q337)),AVERAGE('20250815_ETF_Options_Exhibits'!Q333:Q337),"")</f>
        <v/>
      </c>
      <c r="R337" s="3">
        <f>IF(ISNUMBER(AVERAGE('20250815_ETF_Options_Exhibits'!R333:R337)),AVERAGE('20250815_ETF_Options_Exhibits'!R333:R337),"")</f>
        <v/>
      </c>
      <c r="S337" s="3">
        <f>IF(ISNUMBER(AVERAGE('20250815_ETF_Options_Exhibits'!S333:S337)),AVERAGE('20250815_ETF_Options_Exhibits'!S333:S337),"")</f>
        <v/>
      </c>
      <c r="T337" s="3">
        <f>IF(ISNUMBER(AVERAGE('20250815_ETF_Options_Exhibits'!T333:T337)),AVERAGE('20250815_ETF_Options_Exhibits'!T333:T337),"")</f>
        <v/>
      </c>
      <c r="U337" s="3">
        <f>IF(ISNUMBER(AVERAGE('20250815_ETF_Options_Exhibits'!U333:U337)),AVERAGE('20250815_ETF_Options_Exhibits'!U333:U337),"")</f>
        <v/>
      </c>
      <c r="V337" s="3">
        <f>IF(ISNUMBER(AVERAGE('20250815_ETF_Options_Exhibits'!V333:V337)),AVERAGE('20250815_ETF_Options_Exhibits'!V333:V337),"")</f>
        <v/>
      </c>
      <c r="W337" s="3">
        <f>IF(ISNUMBER(AVERAGE('20250815_ETF_Options_Exhibits'!W333:W337)),AVERAGE('20250815_ETF_Options_Exhibits'!W333:W337),"")</f>
        <v/>
      </c>
      <c r="X337" s="3">
        <f>IF(ISNUMBER(AVERAGE('20250815_ETF_Options_Exhibits'!X333:X337)),AVERAGE('20250815_ETF_Options_Exhibits'!X333:X337),"")</f>
        <v/>
      </c>
      <c r="Y337" s="3">
        <f>IF(ISNUMBER(AVERAGE('20250815_ETF_Options_Exhibits'!Y333:Y337)),AVERAGE('20250815_ETF_Options_Exhibits'!Y333:Y337),"")</f>
        <v/>
      </c>
      <c r="Z337" s="3">
        <f>IF(ISNUMBER(AVERAGE('20250815_ETF_Options_Exhibits'!Z333:Z337)),AVERAGE('20250815_ETF_Options_Exhibits'!Z333:Z337),"")</f>
        <v/>
      </c>
      <c r="AA337" s="3">
        <f>IF(ISNUMBER(AVERAGE('20250815_ETF_Options_Exhibits'!AA333:AA337)),AVERAGE('20250815_ETF_Options_Exhibits'!AA333:AA337),"")</f>
        <v/>
      </c>
    </row>
    <row r="338">
      <c r="A338" s="1" t="n">
        <v>42493</v>
      </c>
      <c r="B338" s="3">
        <f>IF(ISNUMBER(AVERAGE('20250815_ETF_Options_Exhibits'!B334:B338)),AVERAGE('20250815_ETF_Options_Exhibits'!B334:B338),"")</f>
        <v/>
      </c>
      <c r="C338" s="3">
        <f>IF(ISNUMBER(AVERAGE('20250815_ETF_Options_Exhibits'!C334:C338)),AVERAGE('20250815_ETF_Options_Exhibits'!C334:C338),"")</f>
        <v/>
      </c>
      <c r="D338" s="3">
        <f>IF(ISNUMBER(AVERAGE('20250815_ETF_Options_Exhibits'!D334:D338)),AVERAGE('20250815_ETF_Options_Exhibits'!D334:D338),"")</f>
        <v/>
      </c>
      <c r="E338" s="3">
        <f>IF(ISNUMBER(AVERAGE('20250815_ETF_Options_Exhibits'!E334:E338)),AVERAGE('20250815_ETF_Options_Exhibits'!E334:E338),"")</f>
        <v/>
      </c>
      <c r="F338" s="3">
        <f>IF(ISNUMBER(AVERAGE('20250815_ETF_Options_Exhibits'!F334:F338)),AVERAGE('20250815_ETF_Options_Exhibits'!F334:F338),"")</f>
        <v/>
      </c>
      <c r="G338" s="3">
        <f>IF(ISNUMBER(AVERAGE('20250815_ETF_Options_Exhibits'!G334:G338)),AVERAGE('20250815_ETF_Options_Exhibits'!G334:G338),"")</f>
        <v/>
      </c>
      <c r="H338" s="3">
        <f>IF(ISNUMBER(AVERAGE('20250815_ETF_Options_Exhibits'!H334:H338)),AVERAGE('20250815_ETF_Options_Exhibits'!H334:H338),"")</f>
        <v/>
      </c>
      <c r="I338" s="3">
        <f>IF(ISNUMBER(AVERAGE('20250815_ETF_Options_Exhibits'!I334:I338)),AVERAGE('20250815_ETF_Options_Exhibits'!I334:I338),"")</f>
        <v/>
      </c>
      <c r="J338" s="3">
        <f>IF(ISNUMBER(AVERAGE('20250815_ETF_Options_Exhibits'!J334:J338)),AVERAGE('20250815_ETF_Options_Exhibits'!J334:J338),"")</f>
        <v/>
      </c>
      <c r="K338" s="3">
        <f>IF(ISNUMBER(AVERAGE('20250815_ETF_Options_Exhibits'!K334:K338)),AVERAGE('20250815_ETF_Options_Exhibits'!K334:K338),"")</f>
        <v/>
      </c>
      <c r="L338" s="3">
        <f>IF(ISNUMBER(AVERAGE('20250815_ETF_Options_Exhibits'!L334:L338)),AVERAGE('20250815_ETF_Options_Exhibits'!L334:L338),"")</f>
        <v/>
      </c>
      <c r="M338" s="3">
        <f>IF(ISNUMBER(AVERAGE('20250815_ETF_Options_Exhibits'!M334:M338)),AVERAGE('20250815_ETF_Options_Exhibits'!M334:M338),"")</f>
        <v/>
      </c>
      <c r="N338" s="3">
        <f>IF(ISNUMBER(AVERAGE('20250815_ETF_Options_Exhibits'!N334:N338)),AVERAGE('20250815_ETF_Options_Exhibits'!N334:N338),"")</f>
        <v/>
      </c>
      <c r="O338" s="3">
        <f>IF(ISNUMBER(AVERAGE('20250815_ETF_Options_Exhibits'!O334:O338)),AVERAGE('20250815_ETF_Options_Exhibits'!O334:O338),"")</f>
        <v/>
      </c>
      <c r="P338" s="3">
        <f>IF(ISNUMBER(AVERAGE('20250815_ETF_Options_Exhibits'!P334:P338)),AVERAGE('20250815_ETF_Options_Exhibits'!P334:P338),"")</f>
        <v/>
      </c>
      <c r="Q338" s="3">
        <f>IF(ISNUMBER(AVERAGE('20250815_ETF_Options_Exhibits'!Q334:Q338)),AVERAGE('20250815_ETF_Options_Exhibits'!Q334:Q338),"")</f>
        <v/>
      </c>
      <c r="R338" s="3">
        <f>IF(ISNUMBER(AVERAGE('20250815_ETF_Options_Exhibits'!R334:R338)),AVERAGE('20250815_ETF_Options_Exhibits'!R334:R338),"")</f>
        <v/>
      </c>
      <c r="S338" s="3">
        <f>IF(ISNUMBER(AVERAGE('20250815_ETF_Options_Exhibits'!S334:S338)),AVERAGE('20250815_ETF_Options_Exhibits'!S334:S338),"")</f>
        <v/>
      </c>
      <c r="T338" s="3">
        <f>IF(ISNUMBER(AVERAGE('20250815_ETF_Options_Exhibits'!T334:T338)),AVERAGE('20250815_ETF_Options_Exhibits'!T334:T338),"")</f>
        <v/>
      </c>
      <c r="U338" s="3">
        <f>IF(ISNUMBER(AVERAGE('20250815_ETF_Options_Exhibits'!U334:U338)),AVERAGE('20250815_ETF_Options_Exhibits'!U334:U338),"")</f>
        <v/>
      </c>
      <c r="V338" s="3">
        <f>IF(ISNUMBER(AVERAGE('20250815_ETF_Options_Exhibits'!V334:V338)),AVERAGE('20250815_ETF_Options_Exhibits'!V334:V338),"")</f>
        <v/>
      </c>
      <c r="W338" s="3">
        <f>IF(ISNUMBER(AVERAGE('20250815_ETF_Options_Exhibits'!W334:W338)),AVERAGE('20250815_ETF_Options_Exhibits'!W334:W338),"")</f>
        <v/>
      </c>
      <c r="X338" s="3">
        <f>IF(ISNUMBER(AVERAGE('20250815_ETF_Options_Exhibits'!X334:X338)),AVERAGE('20250815_ETF_Options_Exhibits'!X334:X338),"")</f>
        <v/>
      </c>
      <c r="Y338" s="3">
        <f>IF(ISNUMBER(AVERAGE('20250815_ETF_Options_Exhibits'!Y334:Y338)),AVERAGE('20250815_ETF_Options_Exhibits'!Y334:Y338),"")</f>
        <v/>
      </c>
      <c r="Z338" s="3">
        <f>IF(ISNUMBER(AVERAGE('20250815_ETF_Options_Exhibits'!Z334:Z338)),AVERAGE('20250815_ETF_Options_Exhibits'!Z334:Z338),"")</f>
        <v/>
      </c>
      <c r="AA338" s="3">
        <f>IF(ISNUMBER(AVERAGE('20250815_ETF_Options_Exhibits'!AA334:AA338)),AVERAGE('20250815_ETF_Options_Exhibits'!AA334:AA338),"")</f>
        <v/>
      </c>
    </row>
    <row r="339">
      <c r="A339" s="1" t="n">
        <v>42494</v>
      </c>
      <c r="B339" s="3">
        <f>IF(ISNUMBER(AVERAGE('20250815_ETF_Options_Exhibits'!B335:B339)),AVERAGE('20250815_ETF_Options_Exhibits'!B335:B339),"")</f>
        <v/>
      </c>
      <c r="C339" s="3">
        <f>IF(ISNUMBER(AVERAGE('20250815_ETF_Options_Exhibits'!C335:C339)),AVERAGE('20250815_ETF_Options_Exhibits'!C335:C339),"")</f>
        <v/>
      </c>
      <c r="D339" s="3">
        <f>IF(ISNUMBER(AVERAGE('20250815_ETF_Options_Exhibits'!D335:D339)),AVERAGE('20250815_ETF_Options_Exhibits'!D335:D339),"")</f>
        <v/>
      </c>
      <c r="E339" s="3">
        <f>IF(ISNUMBER(AVERAGE('20250815_ETF_Options_Exhibits'!E335:E339)),AVERAGE('20250815_ETF_Options_Exhibits'!E335:E339),"")</f>
        <v/>
      </c>
      <c r="F339" s="3">
        <f>IF(ISNUMBER(AVERAGE('20250815_ETF_Options_Exhibits'!F335:F339)),AVERAGE('20250815_ETF_Options_Exhibits'!F335:F339),"")</f>
        <v/>
      </c>
      <c r="G339" s="3">
        <f>IF(ISNUMBER(AVERAGE('20250815_ETF_Options_Exhibits'!G335:G339)),AVERAGE('20250815_ETF_Options_Exhibits'!G335:G339),"")</f>
        <v/>
      </c>
      <c r="H339" s="3">
        <f>IF(ISNUMBER(AVERAGE('20250815_ETF_Options_Exhibits'!H335:H339)),AVERAGE('20250815_ETF_Options_Exhibits'!H335:H339),"")</f>
        <v/>
      </c>
      <c r="I339" s="3">
        <f>IF(ISNUMBER(AVERAGE('20250815_ETF_Options_Exhibits'!I335:I339)),AVERAGE('20250815_ETF_Options_Exhibits'!I335:I339),"")</f>
        <v/>
      </c>
      <c r="J339" s="3">
        <f>IF(ISNUMBER(AVERAGE('20250815_ETF_Options_Exhibits'!J335:J339)),AVERAGE('20250815_ETF_Options_Exhibits'!J335:J339),"")</f>
        <v/>
      </c>
      <c r="K339" s="3">
        <f>IF(ISNUMBER(AVERAGE('20250815_ETF_Options_Exhibits'!K335:K339)),AVERAGE('20250815_ETF_Options_Exhibits'!K335:K339),"")</f>
        <v/>
      </c>
      <c r="L339" s="3">
        <f>IF(ISNUMBER(AVERAGE('20250815_ETF_Options_Exhibits'!L335:L339)),AVERAGE('20250815_ETF_Options_Exhibits'!L335:L339),"")</f>
        <v/>
      </c>
      <c r="M339" s="3">
        <f>IF(ISNUMBER(AVERAGE('20250815_ETF_Options_Exhibits'!M335:M339)),AVERAGE('20250815_ETF_Options_Exhibits'!M335:M339),"")</f>
        <v/>
      </c>
      <c r="N339" s="3">
        <f>IF(ISNUMBER(AVERAGE('20250815_ETF_Options_Exhibits'!N335:N339)),AVERAGE('20250815_ETF_Options_Exhibits'!N335:N339),"")</f>
        <v/>
      </c>
      <c r="O339" s="3">
        <f>IF(ISNUMBER(AVERAGE('20250815_ETF_Options_Exhibits'!O335:O339)),AVERAGE('20250815_ETF_Options_Exhibits'!O335:O339),"")</f>
        <v/>
      </c>
      <c r="P339" s="3">
        <f>IF(ISNUMBER(AVERAGE('20250815_ETF_Options_Exhibits'!P335:P339)),AVERAGE('20250815_ETF_Options_Exhibits'!P335:P339),"")</f>
        <v/>
      </c>
      <c r="Q339" s="3">
        <f>IF(ISNUMBER(AVERAGE('20250815_ETF_Options_Exhibits'!Q335:Q339)),AVERAGE('20250815_ETF_Options_Exhibits'!Q335:Q339),"")</f>
        <v/>
      </c>
      <c r="R339" s="3">
        <f>IF(ISNUMBER(AVERAGE('20250815_ETF_Options_Exhibits'!R335:R339)),AVERAGE('20250815_ETF_Options_Exhibits'!R335:R339),"")</f>
        <v/>
      </c>
      <c r="S339" s="3">
        <f>IF(ISNUMBER(AVERAGE('20250815_ETF_Options_Exhibits'!S335:S339)),AVERAGE('20250815_ETF_Options_Exhibits'!S335:S339),"")</f>
        <v/>
      </c>
      <c r="T339" s="3">
        <f>IF(ISNUMBER(AVERAGE('20250815_ETF_Options_Exhibits'!T335:T339)),AVERAGE('20250815_ETF_Options_Exhibits'!T335:T339),"")</f>
        <v/>
      </c>
      <c r="U339" s="3">
        <f>IF(ISNUMBER(AVERAGE('20250815_ETF_Options_Exhibits'!U335:U339)),AVERAGE('20250815_ETF_Options_Exhibits'!U335:U339),"")</f>
        <v/>
      </c>
      <c r="V339" s="3">
        <f>IF(ISNUMBER(AVERAGE('20250815_ETF_Options_Exhibits'!V335:V339)),AVERAGE('20250815_ETF_Options_Exhibits'!V335:V339),"")</f>
        <v/>
      </c>
      <c r="W339" s="3">
        <f>IF(ISNUMBER(AVERAGE('20250815_ETF_Options_Exhibits'!W335:W339)),AVERAGE('20250815_ETF_Options_Exhibits'!W335:W339),"")</f>
        <v/>
      </c>
      <c r="X339" s="3">
        <f>IF(ISNUMBER(AVERAGE('20250815_ETF_Options_Exhibits'!X335:X339)),AVERAGE('20250815_ETF_Options_Exhibits'!X335:X339),"")</f>
        <v/>
      </c>
      <c r="Y339" s="3">
        <f>IF(ISNUMBER(AVERAGE('20250815_ETF_Options_Exhibits'!Y335:Y339)),AVERAGE('20250815_ETF_Options_Exhibits'!Y335:Y339),"")</f>
        <v/>
      </c>
      <c r="Z339" s="3">
        <f>IF(ISNUMBER(AVERAGE('20250815_ETF_Options_Exhibits'!Z335:Z339)),AVERAGE('20250815_ETF_Options_Exhibits'!Z335:Z339),"")</f>
        <v/>
      </c>
      <c r="AA339" s="3">
        <f>IF(ISNUMBER(AVERAGE('20250815_ETF_Options_Exhibits'!AA335:AA339)),AVERAGE('20250815_ETF_Options_Exhibits'!AA335:AA339),"")</f>
        <v/>
      </c>
    </row>
    <row r="340">
      <c r="A340" s="1" t="n">
        <v>42495</v>
      </c>
      <c r="B340" s="3">
        <f>IF(ISNUMBER(AVERAGE('20250815_ETF_Options_Exhibits'!B336:B340)),AVERAGE('20250815_ETF_Options_Exhibits'!B336:B340),"")</f>
        <v/>
      </c>
      <c r="C340" s="3">
        <f>IF(ISNUMBER(AVERAGE('20250815_ETF_Options_Exhibits'!C336:C340)),AVERAGE('20250815_ETF_Options_Exhibits'!C336:C340),"")</f>
        <v/>
      </c>
      <c r="D340" s="3">
        <f>IF(ISNUMBER(AVERAGE('20250815_ETF_Options_Exhibits'!D336:D340)),AVERAGE('20250815_ETF_Options_Exhibits'!D336:D340),"")</f>
        <v/>
      </c>
      <c r="E340" s="3">
        <f>IF(ISNUMBER(AVERAGE('20250815_ETF_Options_Exhibits'!E336:E340)),AVERAGE('20250815_ETF_Options_Exhibits'!E336:E340),"")</f>
        <v/>
      </c>
      <c r="F340" s="3">
        <f>IF(ISNUMBER(AVERAGE('20250815_ETF_Options_Exhibits'!F336:F340)),AVERAGE('20250815_ETF_Options_Exhibits'!F336:F340),"")</f>
        <v/>
      </c>
      <c r="G340" s="3">
        <f>IF(ISNUMBER(AVERAGE('20250815_ETF_Options_Exhibits'!G336:G340)),AVERAGE('20250815_ETF_Options_Exhibits'!G336:G340),"")</f>
        <v/>
      </c>
      <c r="H340" s="3">
        <f>IF(ISNUMBER(AVERAGE('20250815_ETF_Options_Exhibits'!H336:H340)),AVERAGE('20250815_ETF_Options_Exhibits'!H336:H340),"")</f>
        <v/>
      </c>
      <c r="I340" s="3">
        <f>IF(ISNUMBER(AVERAGE('20250815_ETF_Options_Exhibits'!I336:I340)),AVERAGE('20250815_ETF_Options_Exhibits'!I336:I340),"")</f>
        <v/>
      </c>
      <c r="J340" s="3">
        <f>IF(ISNUMBER(AVERAGE('20250815_ETF_Options_Exhibits'!J336:J340)),AVERAGE('20250815_ETF_Options_Exhibits'!J336:J340),"")</f>
        <v/>
      </c>
      <c r="K340" s="3">
        <f>IF(ISNUMBER(AVERAGE('20250815_ETF_Options_Exhibits'!K336:K340)),AVERAGE('20250815_ETF_Options_Exhibits'!K336:K340),"")</f>
        <v/>
      </c>
      <c r="L340" s="3">
        <f>IF(ISNUMBER(AVERAGE('20250815_ETF_Options_Exhibits'!L336:L340)),AVERAGE('20250815_ETF_Options_Exhibits'!L336:L340),"")</f>
        <v/>
      </c>
      <c r="M340" s="3">
        <f>IF(ISNUMBER(AVERAGE('20250815_ETF_Options_Exhibits'!M336:M340)),AVERAGE('20250815_ETF_Options_Exhibits'!M336:M340),"")</f>
        <v/>
      </c>
      <c r="N340" s="3">
        <f>IF(ISNUMBER(AVERAGE('20250815_ETF_Options_Exhibits'!N336:N340)),AVERAGE('20250815_ETF_Options_Exhibits'!N336:N340),"")</f>
        <v/>
      </c>
      <c r="O340" s="3">
        <f>IF(ISNUMBER(AVERAGE('20250815_ETF_Options_Exhibits'!O336:O340)),AVERAGE('20250815_ETF_Options_Exhibits'!O336:O340),"")</f>
        <v/>
      </c>
      <c r="P340" s="3">
        <f>IF(ISNUMBER(AVERAGE('20250815_ETF_Options_Exhibits'!P336:P340)),AVERAGE('20250815_ETF_Options_Exhibits'!P336:P340),"")</f>
        <v/>
      </c>
      <c r="Q340" s="3">
        <f>IF(ISNUMBER(AVERAGE('20250815_ETF_Options_Exhibits'!Q336:Q340)),AVERAGE('20250815_ETF_Options_Exhibits'!Q336:Q340),"")</f>
        <v/>
      </c>
      <c r="R340" s="3">
        <f>IF(ISNUMBER(AVERAGE('20250815_ETF_Options_Exhibits'!R336:R340)),AVERAGE('20250815_ETF_Options_Exhibits'!R336:R340),"")</f>
        <v/>
      </c>
      <c r="S340" s="3">
        <f>IF(ISNUMBER(AVERAGE('20250815_ETF_Options_Exhibits'!S336:S340)),AVERAGE('20250815_ETF_Options_Exhibits'!S336:S340),"")</f>
        <v/>
      </c>
      <c r="T340" s="3">
        <f>IF(ISNUMBER(AVERAGE('20250815_ETF_Options_Exhibits'!T336:T340)),AVERAGE('20250815_ETF_Options_Exhibits'!T336:T340),"")</f>
        <v/>
      </c>
      <c r="U340" s="3">
        <f>IF(ISNUMBER(AVERAGE('20250815_ETF_Options_Exhibits'!U336:U340)),AVERAGE('20250815_ETF_Options_Exhibits'!U336:U340),"")</f>
        <v/>
      </c>
      <c r="V340" s="3">
        <f>IF(ISNUMBER(AVERAGE('20250815_ETF_Options_Exhibits'!V336:V340)),AVERAGE('20250815_ETF_Options_Exhibits'!V336:V340),"")</f>
        <v/>
      </c>
      <c r="W340" s="3">
        <f>IF(ISNUMBER(AVERAGE('20250815_ETF_Options_Exhibits'!W336:W340)),AVERAGE('20250815_ETF_Options_Exhibits'!W336:W340),"")</f>
        <v/>
      </c>
      <c r="X340" s="3">
        <f>IF(ISNUMBER(AVERAGE('20250815_ETF_Options_Exhibits'!X336:X340)),AVERAGE('20250815_ETF_Options_Exhibits'!X336:X340),"")</f>
        <v/>
      </c>
      <c r="Y340" s="3">
        <f>IF(ISNUMBER(AVERAGE('20250815_ETF_Options_Exhibits'!Y336:Y340)),AVERAGE('20250815_ETF_Options_Exhibits'!Y336:Y340),"")</f>
        <v/>
      </c>
      <c r="Z340" s="3">
        <f>IF(ISNUMBER(AVERAGE('20250815_ETF_Options_Exhibits'!Z336:Z340)),AVERAGE('20250815_ETF_Options_Exhibits'!Z336:Z340),"")</f>
        <v/>
      </c>
      <c r="AA340" s="3">
        <f>IF(ISNUMBER(AVERAGE('20250815_ETF_Options_Exhibits'!AA336:AA340)),AVERAGE('20250815_ETF_Options_Exhibits'!AA336:AA340),"")</f>
        <v/>
      </c>
    </row>
    <row r="341">
      <c r="A341" s="1" t="n">
        <v>42496</v>
      </c>
      <c r="B341" s="3">
        <f>IF(ISNUMBER(AVERAGE('20250815_ETF_Options_Exhibits'!B337:B341)),AVERAGE('20250815_ETF_Options_Exhibits'!B337:B341),"")</f>
        <v/>
      </c>
      <c r="C341" s="3">
        <f>IF(ISNUMBER(AVERAGE('20250815_ETF_Options_Exhibits'!C337:C341)),AVERAGE('20250815_ETF_Options_Exhibits'!C337:C341),"")</f>
        <v/>
      </c>
      <c r="D341" s="3">
        <f>IF(ISNUMBER(AVERAGE('20250815_ETF_Options_Exhibits'!D337:D341)),AVERAGE('20250815_ETF_Options_Exhibits'!D337:D341),"")</f>
        <v/>
      </c>
      <c r="E341" s="3">
        <f>IF(ISNUMBER(AVERAGE('20250815_ETF_Options_Exhibits'!E337:E341)),AVERAGE('20250815_ETF_Options_Exhibits'!E337:E341),"")</f>
        <v/>
      </c>
      <c r="F341" s="3">
        <f>IF(ISNUMBER(AVERAGE('20250815_ETF_Options_Exhibits'!F337:F341)),AVERAGE('20250815_ETF_Options_Exhibits'!F337:F341),"")</f>
        <v/>
      </c>
      <c r="G341" s="3">
        <f>IF(ISNUMBER(AVERAGE('20250815_ETF_Options_Exhibits'!G337:G341)),AVERAGE('20250815_ETF_Options_Exhibits'!G337:G341),"")</f>
        <v/>
      </c>
      <c r="H341" s="3">
        <f>IF(ISNUMBER(AVERAGE('20250815_ETF_Options_Exhibits'!H337:H341)),AVERAGE('20250815_ETF_Options_Exhibits'!H337:H341),"")</f>
        <v/>
      </c>
      <c r="I341" s="3">
        <f>IF(ISNUMBER(AVERAGE('20250815_ETF_Options_Exhibits'!I337:I341)),AVERAGE('20250815_ETF_Options_Exhibits'!I337:I341),"")</f>
        <v/>
      </c>
      <c r="J341" s="3">
        <f>IF(ISNUMBER(AVERAGE('20250815_ETF_Options_Exhibits'!J337:J341)),AVERAGE('20250815_ETF_Options_Exhibits'!J337:J341),"")</f>
        <v/>
      </c>
      <c r="K341" s="3">
        <f>IF(ISNUMBER(AVERAGE('20250815_ETF_Options_Exhibits'!K337:K341)),AVERAGE('20250815_ETF_Options_Exhibits'!K337:K341),"")</f>
        <v/>
      </c>
      <c r="L341" s="3">
        <f>IF(ISNUMBER(AVERAGE('20250815_ETF_Options_Exhibits'!L337:L341)),AVERAGE('20250815_ETF_Options_Exhibits'!L337:L341),"")</f>
        <v/>
      </c>
      <c r="M341" s="3">
        <f>IF(ISNUMBER(AVERAGE('20250815_ETF_Options_Exhibits'!M337:M341)),AVERAGE('20250815_ETF_Options_Exhibits'!M337:M341),"")</f>
        <v/>
      </c>
      <c r="N341" s="3">
        <f>IF(ISNUMBER(AVERAGE('20250815_ETF_Options_Exhibits'!N337:N341)),AVERAGE('20250815_ETF_Options_Exhibits'!N337:N341),"")</f>
        <v/>
      </c>
      <c r="O341" s="3">
        <f>IF(ISNUMBER(AVERAGE('20250815_ETF_Options_Exhibits'!O337:O341)),AVERAGE('20250815_ETF_Options_Exhibits'!O337:O341),"")</f>
        <v/>
      </c>
      <c r="P341" s="3">
        <f>IF(ISNUMBER(AVERAGE('20250815_ETF_Options_Exhibits'!P337:P341)),AVERAGE('20250815_ETF_Options_Exhibits'!P337:P341),"")</f>
        <v/>
      </c>
      <c r="Q341" s="3">
        <f>IF(ISNUMBER(AVERAGE('20250815_ETF_Options_Exhibits'!Q337:Q341)),AVERAGE('20250815_ETF_Options_Exhibits'!Q337:Q341),"")</f>
        <v/>
      </c>
      <c r="R341" s="3">
        <f>IF(ISNUMBER(AVERAGE('20250815_ETF_Options_Exhibits'!R337:R341)),AVERAGE('20250815_ETF_Options_Exhibits'!R337:R341),"")</f>
        <v/>
      </c>
      <c r="S341" s="3">
        <f>IF(ISNUMBER(AVERAGE('20250815_ETF_Options_Exhibits'!S337:S341)),AVERAGE('20250815_ETF_Options_Exhibits'!S337:S341),"")</f>
        <v/>
      </c>
      <c r="T341" s="3">
        <f>IF(ISNUMBER(AVERAGE('20250815_ETF_Options_Exhibits'!T337:T341)),AVERAGE('20250815_ETF_Options_Exhibits'!T337:T341),"")</f>
        <v/>
      </c>
      <c r="U341" s="3">
        <f>IF(ISNUMBER(AVERAGE('20250815_ETF_Options_Exhibits'!U337:U341)),AVERAGE('20250815_ETF_Options_Exhibits'!U337:U341),"")</f>
        <v/>
      </c>
      <c r="V341" s="3">
        <f>IF(ISNUMBER(AVERAGE('20250815_ETF_Options_Exhibits'!V337:V341)),AVERAGE('20250815_ETF_Options_Exhibits'!V337:V341),"")</f>
        <v/>
      </c>
      <c r="W341" s="3">
        <f>IF(ISNUMBER(AVERAGE('20250815_ETF_Options_Exhibits'!W337:W341)),AVERAGE('20250815_ETF_Options_Exhibits'!W337:W341),"")</f>
        <v/>
      </c>
      <c r="X341" s="3">
        <f>IF(ISNUMBER(AVERAGE('20250815_ETF_Options_Exhibits'!X337:X341)),AVERAGE('20250815_ETF_Options_Exhibits'!X337:X341),"")</f>
        <v/>
      </c>
      <c r="Y341" s="3">
        <f>IF(ISNUMBER(AVERAGE('20250815_ETF_Options_Exhibits'!Y337:Y341)),AVERAGE('20250815_ETF_Options_Exhibits'!Y337:Y341),"")</f>
        <v/>
      </c>
      <c r="Z341" s="3">
        <f>IF(ISNUMBER(AVERAGE('20250815_ETF_Options_Exhibits'!Z337:Z341)),AVERAGE('20250815_ETF_Options_Exhibits'!Z337:Z341),"")</f>
        <v/>
      </c>
      <c r="AA341" s="3">
        <f>IF(ISNUMBER(AVERAGE('20250815_ETF_Options_Exhibits'!AA337:AA341)),AVERAGE('20250815_ETF_Options_Exhibits'!AA337:AA341),"")</f>
        <v/>
      </c>
    </row>
    <row r="342">
      <c r="A342" s="1" t="n">
        <v>42499</v>
      </c>
      <c r="B342" s="3">
        <f>IF(ISNUMBER(AVERAGE('20250815_ETF_Options_Exhibits'!B338:B342)),AVERAGE('20250815_ETF_Options_Exhibits'!B338:B342),"")</f>
        <v/>
      </c>
      <c r="C342" s="3">
        <f>IF(ISNUMBER(AVERAGE('20250815_ETF_Options_Exhibits'!C338:C342)),AVERAGE('20250815_ETF_Options_Exhibits'!C338:C342),"")</f>
        <v/>
      </c>
      <c r="D342" s="3">
        <f>IF(ISNUMBER(AVERAGE('20250815_ETF_Options_Exhibits'!D338:D342)),AVERAGE('20250815_ETF_Options_Exhibits'!D338:D342),"")</f>
        <v/>
      </c>
      <c r="E342" s="3">
        <f>IF(ISNUMBER(AVERAGE('20250815_ETF_Options_Exhibits'!E338:E342)),AVERAGE('20250815_ETF_Options_Exhibits'!E338:E342),"")</f>
        <v/>
      </c>
      <c r="F342" s="3">
        <f>IF(ISNUMBER(AVERAGE('20250815_ETF_Options_Exhibits'!F338:F342)),AVERAGE('20250815_ETF_Options_Exhibits'!F338:F342),"")</f>
        <v/>
      </c>
      <c r="G342" s="3">
        <f>IF(ISNUMBER(AVERAGE('20250815_ETF_Options_Exhibits'!G338:G342)),AVERAGE('20250815_ETF_Options_Exhibits'!G338:G342),"")</f>
        <v/>
      </c>
      <c r="H342" s="3">
        <f>IF(ISNUMBER(AVERAGE('20250815_ETF_Options_Exhibits'!H338:H342)),AVERAGE('20250815_ETF_Options_Exhibits'!H338:H342),"")</f>
        <v/>
      </c>
      <c r="I342" s="3">
        <f>IF(ISNUMBER(AVERAGE('20250815_ETF_Options_Exhibits'!I338:I342)),AVERAGE('20250815_ETF_Options_Exhibits'!I338:I342),"")</f>
        <v/>
      </c>
      <c r="J342" s="3">
        <f>IF(ISNUMBER(AVERAGE('20250815_ETF_Options_Exhibits'!J338:J342)),AVERAGE('20250815_ETF_Options_Exhibits'!J338:J342),"")</f>
        <v/>
      </c>
      <c r="K342" s="3">
        <f>IF(ISNUMBER(AVERAGE('20250815_ETF_Options_Exhibits'!K338:K342)),AVERAGE('20250815_ETF_Options_Exhibits'!K338:K342),"")</f>
        <v/>
      </c>
      <c r="L342" s="3">
        <f>IF(ISNUMBER(AVERAGE('20250815_ETF_Options_Exhibits'!L338:L342)),AVERAGE('20250815_ETF_Options_Exhibits'!L338:L342),"")</f>
        <v/>
      </c>
      <c r="M342" s="3">
        <f>IF(ISNUMBER(AVERAGE('20250815_ETF_Options_Exhibits'!M338:M342)),AVERAGE('20250815_ETF_Options_Exhibits'!M338:M342),"")</f>
        <v/>
      </c>
      <c r="N342" s="3">
        <f>IF(ISNUMBER(AVERAGE('20250815_ETF_Options_Exhibits'!N338:N342)),AVERAGE('20250815_ETF_Options_Exhibits'!N338:N342),"")</f>
        <v/>
      </c>
      <c r="O342" s="3">
        <f>IF(ISNUMBER(AVERAGE('20250815_ETF_Options_Exhibits'!O338:O342)),AVERAGE('20250815_ETF_Options_Exhibits'!O338:O342),"")</f>
        <v/>
      </c>
      <c r="P342" s="3">
        <f>IF(ISNUMBER(AVERAGE('20250815_ETF_Options_Exhibits'!P338:P342)),AVERAGE('20250815_ETF_Options_Exhibits'!P338:P342),"")</f>
        <v/>
      </c>
      <c r="Q342" s="3">
        <f>IF(ISNUMBER(AVERAGE('20250815_ETF_Options_Exhibits'!Q338:Q342)),AVERAGE('20250815_ETF_Options_Exhibits'!Q338:Q342),"")</f>
        <v/>
      </c>
      <c r="R342" s="3">
        <f>IF(ISNUMBER(AVERAGE('20250815_ETF_Options_Exhibits'!R338:R342)),AVERAGE('20250815_ETF_Options_Exhibits'!R338:R342),"")</f>
        <v/>
      </c>
      <c r="S342" s="3">
        <f>IF(ISNUMBER(AVERAGE('20250815_ETF_Options_Exhibits'!S338:S342)),AVERAGE('20250815_ETF_Options_Exhibits'!S338:S342),"")</f>
        <v/>
      </c>
      <c r="T342" s="3">
        <f>IF(ISNUMBER(AVERAGE('20250815_ETF_Options_Exhibits'!T338:T342)),AVERAGE('20250815_ETF_Options_Exhibits'!T338:T342),"")</f>
        <v/>
      </c>
      <c r="U342" s="3">
        <f>IF(ISNUMBER(AVERAGE('20250815_ETF_Options_Exhibits'!U338:U342)),AVERAGE('20250815_ETF_Options_Exhibits'!U338:U342),"")</f>
        <v/>
      </c>
      <c r="V342" s="3">
        <f>IF(ISNUMBER(AVERAGE('20250815_ETF_Options_Exhibits'!V338:V342)),AVERAGE('20250815_ETF_Options_Exhibits'!V338:V342),"")</f>
        <v/>
      </c>
      <c r="W342" s="3">
        <f>IF(ISNUMBER(AVERAGE('20250815_ETF_Options_Exhibits'!W338:W342)),AVERAGE('20250815_ETF_Options_Exhibits'!W338:W342),"")</f>
        <v/>
      </c>
      <c r="X342" s="3">
        <f>IF(ISNUMBER(AVERAGE('20250815_ETF_Options_Exhibits'!X338:X342)),AVERAGE('20250815_ETF_Options_Exhibits'!X338:X342),"")</f>
        <v/>
      </c>
      <c r="Y342" s="3">
        <f>IF(ISNUMBER(AVERAGE('20250815_ETF_Options_Exhibits'!Y338:Y342)),AVERAGE('20250815_ETF_Options_Exhibits'!Y338:Y342),"")</f>
        <v/>
      </c>
      <c r="Z342" s="3">
        <f>IF(ISNUMBER(AVERAGE('20250815_ETF_Options_Exhibits'!Z338:Z342)),AVERAGE('20250815_ETF_Options_Exhibits'!Z338:Z342),"")</f>
        <v/>
      </c>
      <c r="AA342" s="3">
        <f>IF(ISNUMBER(AVERAGE('20250815_ETF_Options_Exhibits'!AA338:AA342)),AVERAGE('20250815_ETF_Options_Exhibits'!AA338:AA342),"")</f>
        <v/>
      </c>
    </row>
    <row r="343">
      <c r="A343" s="1" t="n">
        <v>42500</v>
      </c>
      <c r="B343" s="3">
        <f>IF(ISNUMBER(AVERAGE('20250815_ETF_Options_Exhibits'!B339:B343)),AVERAGE('20250815_ETF_Options_Exhibits'!B339:B343),"")</f>
        <v/>
      </c>
      <c r="C343" s="3">
        <f>IF(ISNUMBER(AVERAGE('20250815_ETF_Options_Exhibits'!C339:C343)),AVERAGE('20250815_ETF_Options_Exhibits'!C339:C343),"")</f>
        <v/>
      </c>
      <c r="D343" s="3">
        <f>IF(ISNUMBER(AVERAGE('20250815_ETF_Options_Exhibits'!D339:D343)),AVERAGE('20250815_ETF_Options_Exhibits'!D339:D343),"")</f>
        <v/>
      </c>
      <c r="E343" s="3">
        <f>IF(ISNUMBER(AVERAGE('20250815_ETF_Options_Exhibits'!E339:E343)),AVERAGE('20250815_ETF_Options_Exhibits'!E339:E343),"")</f>
        <v/>
      </c>
      <c r="F343" s="3">
        <f>IF(ISNUMBER(AVERAGE('20250815_ETF_Options_Exhibits'!F339:F343)),AVERAGE('20250815_ETF_Options_Exhibits'!F339:F343),"")</f>
        <v/>
      </c>
      <c r="G343" s="3">
        <f>IF(ISNUMBER(AVERAGE('20250815_ETF_Options_Exhibits'!G339:G343)),AVERAGE('20250815_ETF_Options_Exhibits'!G339:G343),"")</f>
        <v/>
      </c>
      <c r="H343" s="3">
        <f>IF(ISNUMBER(AVERAGE('20250815_ETF_Options_Exhibits'!H339:H343)),AVERAGE('20250815_ETF_Options_Exhibits'!H339:H343),"")</f>
        <v/>
      </c>
      <c r="I343" s="3">
        <f>IF(ISNUMBER(AVERAGE('20250815_ETF_Options_Exhibits'!I339:I343)),AVERAGE('20250815_ETF_Options_Exhibits'!I339:I343),"")</f>
        <v/>
      </c>
      <c r="J343" s="3">
        <f>IF(ISNUMBER(AVERAGE('20250815_ETF_Options_Exhibits'!J339:J343)),AVERAGE('20250815_ETF_Options_Exhibits'!J339:J343),"")</f>
        <v/>
      </c>
      <c r="K343" s="3">
        <f>IF(ISNUMBER(AVERAGE('20250815_ETF_Options_Exhibits'!K339:K343)),AVERAGE('20250815_ETF_Options_Exhibits'!K339:K343),"")</f>
        <v/>
      </c>
      <c r="L343" s="3">
        <f>IF(ISNUMBER(AVERAGE('20250815_ETF_Options_Exhibits'!L339:L343)),AVERAGE('20250815_ETF_Options_Exhibits'!L339:L343),"")</f>
        <v/>
      </c>
      <c r="M343" s="3">
        <f>IF(ISNUMBER(AVERAGE('20250815_ETF_Options_Exhibits'!M339:M343)),AVERAGE('20250815_ETF_Options_Exhibits'!M339:M343),"")</f>
        <v/>
      </c>
      <c r="N343" s="3">
        <f>IF(ISNUMBER(AVERAGE('20250815_ETF_Options_Exhibits'!N339:N343)),AVERAGE('20250815_ETF_Options_Exhibits'!N339:N343),"")</f>
        <v/>
      </c>
      <c r="O343" s="3">
        <f>IF(ISNUMBER(AVERAGE('20250815_ETF_Options_Exhibits'!O339:O343)),AVERAGE('20250815_ETF_Options_Exhibits'!O339:O343),"")</f>
        <v/>
      </c>
      <c r="P343" s="3">
        <f>IF(ISNUMBER(AVERAGE('20250815_ETF_Options_Exhibits'!P339:P343)),AVERAGE('20250815_ETF_Options_Exhibits'!P339:P343),"")</f>
        <v/>
      </c>
      <c r="Q343" s="3">
        <f>IF(ISNUMBER(AVERAGE('20250815_ETF_Options_Exhibits'!Q339:Q343)),AVERAGE('20250815_ETF_Options_Exhibits'!Q339:Q343),"")</f>
        <v/>
      </c>
      <c r="R343" s="3">
        <f>IF(ISNUMBER(AVERAGE('20250815_ETF_Options_Exhibits'!R339:R343)),AVERAGE('20250815_ETF_Options_Exhibits'!R339:R343),"")</f>
        <v/>
      </c>
      <c r="S343" s="3">
        <f>IF(ISNUMBER(AVERAGE('20250815_ETF_Options_Exhibits'!S339:S343)),AVERAGE('20250815_ETF_Options_Exhibits'!S339:S343),"")</f>
        <v/>
      </c>
      <c r="T343" s="3">
        <f>IF(ISNUMBER(AVERAGE('20250815_ETF_Options_Exhibits'!T339:T343)),AVERAGE('20250815_ETF_Options_Exhibits'!T339:T343),"")</f>
        <v/>
      </c>
      <c r="U343" s="3">
        <f>IF(ISNUMBER(AVERAGE('20250815_ETF_Options_Exhibits'!U339:U343)),AVERAGE('20250815_ETF_Options_Exhibits'!U339:U343),"")</f>
        <v/>
      </c>
      <c r="V343" s="3">
        <f>IF(ISNUMBER(AVERAGE('20250815_ETF_Options_Exhibits'!V339:V343)),AVERAGE('20250815_ETF_Options_Exhibits'!V339:V343),"")</f>
        <v/>
      </c>
      <c r="W343" s="3">
        <f>IF(ISNUMBER(AVERAGE('20250815_ETF_Options_Exhibits'!W339:W343)),AVERAGE('20250815_ETF_Options_Exhibits'!W339:W343),"")</f>
        <v/>
      </c>
      <c r="X343" s="3">
        <f>IF(ISNUMBER(AVERAGE('20250815_ETF_Options_Exhibits'!X339:X343)),AVERAGE('20250815_ETF_Options_Exhibits'!X339:X343),"")</f>
        <v/>
      </c>
      <c r="Y343" s="3">
        <f>IF(ISNUMBER(AVERAGE('20250815_ETF_Options_Exhibits'!Y339:Y343)),AVERAGE('20250815_ETF_Options_Exhibits'!Y339:Y343),"")</f>
        <v/>
      </c>
      <c r="Z343" s="3">
        <f>IF(ISNUMBER(AVERAGE('20250815_ETF_Options_Exhibits'!Z339:Z343)),AVERAGE('20250815_ETF_Options_Exhibits'!Z339:Z343),"")</f>
        <v/>
      </c>
      <c r="AA343" s="3">
        <f>IF(ISNUMBER(AVERAGE('20250815_ETF_Options_Exhibits'!AA339:AA343)),AVERAGE('20250815_ETF_Options_Exhibits'!AA339:AA343),"")</f>
        <v/>
      </c>
    </row>
    <row r="344">
      <c r="A344" s="1" t="n">
        <v>42501</v>
      </c>
      <c r="B344" s="3">
        <f>IF(ISNUMBER(AVERAGE('20250815_ETF_Options_Exhibits'!B340:B344)),AVERAGE('20250815_ETF_Options_Exhibits'!B340:B344),"")</f>
        <v/>
      </c>
      <c r="C344" s="3">
        <f>IF(ISNUMBER(AVERAGE('20250815_ETF_Options_Exhibits'!C340:C344)),AVERAGE('20250815_ETF_Options_Exhibits'!C340:C344),"")</f>
        <v/>
      </c>
      <c r="D344" s="3">
        <f>IF(ISNUMBER(AVERAGE('20250815_ETF_Options_Exhibits'!D340:D344)),AVERAGE('20250815_ETF_Options_Exhibits'!D340:D344),"")</f>
        <v/>
      </c>
      <c r="E344" s="3">
        <f>IF(ISNUMBER(AVERAGE('20250815_ETF_Options_Exhibits'!E340:E344)),AVERAGE('20250815_ETF_Options_Exhibits'!E340:E344),"")</f>
        <v/>
      </c>
      <c r="F344" s="3">
        <f>IF(ISNUMBER(AVERAGE('20250815_ETF_Options_Exhibits'!F340:F344)),AVERAGE('20250815_ETF_Options_Exhibits'!F340:F344),"")</f>
        <v/>
      </c>
      <c r="G344" s="3">
        <f>IF(ISNUMBER(AVERAGE('20250815_ETF_Options_Exhibits'!G340:G344)),AVERAGE('20250815_ETF_Options_Exhibits'!G340:G344),"")</f>
        <v/>
      </c>
      <c r="H344" s="3">
        <f>IF(ISNUMBER(AVERAGE('20250815_ETF_Options_Exhibits'!H340:H344)),AVERAGE('20250815_ETF_Options_Exhibits'!H340:H344),"")</f>
        <v/>
      </c>
      <c r="I344" s="3">
        <f>IF(ISNUMBER(AVERAGE('20250815_ETF_Options_Exhibits'!I340:I344)),AVERAGE('20250815_ETF_Options_Exhibits'!I340:I344),"")</f>
        <v/>
      </c>
      <c r="J344" s="3">
        <f>IF(ISNUMBER(AVERAGE('20250815_ETF_Options_Exhibits'!J340:J344)),AVERAGE('20250815_ETF_Options_Exhibits'!J340:J344),"")</f>
        <v/>
      </c>
      <c r="K344" s="3">
        <f>IF(ISNUMBER(AVERAGE('20250815_ETF_Options_Exhibits'!K340:K344)),AVERAGE('20250815_ETF_Options_Exhibits'!K340:K344),"")</f>
        <v/>
      </c>
      <c r="L344" s="3">
        <f>IF(ISNUMBER(AVERAGE('20250815_ETF_Options_Exhibits'!L340:L344)),AVERAGE('20250815_ETF_Options_Exhibits'!L340:L344),"")</f>
        <v/>
      </c>
      <c r="M344" s="3">
        <f>IF(ISNUMBER(AVERAGE('20250815_ETF_Options_Exhibits'!M340:M344)),AVERAGE('20250815_ETF_Options_Exhibits'!M340:M344),"")</f>
        <v/>
      </c>
      <c r="N344" s="3">
        <f>IF(ISNUMBER(AVERAGE('20250815_ETF_Options_Exhibits'!N340:N344)),AVERAGE('20250815_ETF_Options_Exhibits'!N340:N344),"")</f>
        <v/>
      </c>
      <c r="O344" s="3">
        <f>IF(ISNUMBER(AVERAGE('20250815_ETF_Options_Exhibits'!O340:O344)),AVERAGE('20250815_ETF_Options_Exhibits'!O340:O344),"")</f>
        <v/>
      </c>
      <c r="P344" s="3">
        <f>IF(ISNUMBER(AVERAGE('20250815_ETF_Options_Exhibits'!P340:P344)),AVERAGE('20250815_ETF_Options_Exhibits'!P340:P344),"")</f>
        <v/>
      </c>
      <c r="Q344" s="3">
        <f>IF(ISNUMBER(AVERAGE('20250815_ETF_Options_Exhibits'!Q340:Q344)),AVERAGE('20250815_ETF_Options_Exhibits'!Q340:Q344),"")</f>
        <v/>
      </c>
      <c r="R344" s="3">
        <f>IF(ISNUMBER(AVERAGE('20250815_ETF_Options_Exhibits'!R340:R344)),AVERAGE('20250815_ETF_Options_Exhibits'!R340:R344),"")</f>
        <v/>
      </c>
      <c r="S344" s="3">
        <f>IF(ISNUMBER(AVERAGE('20250815_ETF_Options_Exhibits'!S340:S344)),AVERAGE('20250815_ETF_Options_Exhibits'!S340:S344),"")</f>
        <v/>
      </c>
      <c r="T344" s="3">
        <f>IF(ISNUMBER(AVERAGE('20250815_ETF_Options_Exhibits'!T340:T344)),AVERAGE('20250815_ETF_Options_Exhibits'!T340:T344),"")</f>
        <v/>
      </c>
      <c r="U344" s="3">
        <f>IF(ISNUMBER(AVERAGE('20250815_ETF_Options_Exhibits'!U340:U344)),AVERAGE('20250815_ETF_Options_Exhibits'!U340:U344),"")</f>
        <v/>
      </c>
      <c r="V344" s="3">
        <f>IF(ISNUMBER(AVERAGE('20250815_ETF_Options_Exhibits'!V340:V344)),AVERAGE('20250815_ETF_Options_Exhibits'!V340:V344),"")</f>
        <v/>
      </c>
      <c r="W344" s="3">
        <f>IF(ISNUMBER(AVERAGE('20250815_ETF_Options_Exhibits'!W340:W344)),AVERAGE('20250815_ETF_Options_Exhibits'!W340:W344),"")</f>
        <v/>
      </c>
      <c r="X344" s="3">
        <f>IF(ISNUMBER(AVERAGE('20250815_ETF_Options_Exhibits'!X340:X344)),AVERAGE('20250815_ETF_Options_Exhibits'!X340:X344),"")</f>
        <v/>
      </c>
      <c r="Y344" s="3">
        <f>IF(ISNUMBER(AVERAGE('20250815_ETF_Options_Exhibits'!Y340:Y344)),AVERAGE('20250815_ETF_Options_Exhibits'!Y340:Y344),"")</f>
        <v/>
      </c>
      <c r="Z344" s="3">
        <f>IF(ISNUMBER(AVERAGE('20250815_ETF_Options_Exhibits'!Z340:Z344)),AVERAGE('20250815_ETF_Options_Exhibits'!Z340:Z344),"")</f>
        <v/>
      </c>
      <c r="AA344" s="3">
        <f>IF(ISNUMBER(AVERAGE('20250815_ETF_Options_Exhibits'!AA340:AA344)),AVERAGE('20250815_ETF_Options_Exhibits'!AA340:AA344),"")</f>
        <v/>
      </c>
    </row>
    <row r="345">
      <c r="A345" s="1" t="n">
        <v>42502</v>
      </c>
      <c r="B345" s="3">
        <f>IF(ISNUMBER(AVERAGE('20250815_ETF_Options_Exhibits'!B341:B345)),AVERAGE('20250815_ETF_Options_Exhibits'!B341:B345),"")</f>
        <v/>
      </c>
      <c r="C345" s="3">
        <f>IF(ISNUMBER(AVERAGE('20250815_ETF_Options_Exhibits'!C341:C345)),AVERAGE('20250815_ETF_Options_Exhibits'!C341:C345),"")</f>
        <v/>
      </c>
      <c r="D345" s="3">
        <f>IF(ISNUMBER(AVERAGE('20250815_ETF_Options_Exhibits'!D341:D345)),AVERAGE('20250815_ETF_Options_Exhibits'!D341:D345),"")</f>
        <v/>
      </c>
      <c r="E345" s="3">
        <f>IF(ISNUMBER(AVERAGE('20250815_ETF_Options_Exhibits'!E341:E345)),AVERAGE('20250815_ETF_Options_Exhibits'!E341:E345),"")</f>
        <v/>
      </c>
      <c r="F345" s="3">
        <f>IF(ISNUMBER(AVERAGE('20250815_ETF_Options_Exhibits'!F341:F345)),AVERAGE('20250815_ETF_Options_Exhibits'!F341:F345),"")</f>
        <v/>
      </c>
      <c r="G345" s="3">
        <f>IF(ISNUMBER(AVERAGE('20250815_ETF_Options_Exhibits'!G341:G345)),AVERAGE('20250815_ETF_Options_Exhibits'!G341:G345),"")</f>
        <v/>
      </c>
      <c r="H345" s="3">
        <f>IF(ISNUMBER(AVERAGE('20250815_ETF_Options_Exhibits'!H341:H345)),AVERAGE('20250815_ETF_Options_Exhibits'!H341:H345),"")</f>
        <v/>
      </c>
      <c r="I345" s="3">
        <f>IF(ISNUMBER(AVERAGE('20250815_ETF_Options_Exhibits'!I341:I345)),AVERAGE('20250815_ETF_Options_Exhibits'!I341:I345),"")</f>
        <v/>
      </c>
      <c r="J345" s="3">
        <f>IF(ISNUMBER(AVERAGE('20250815_ETF_Options_Exhibits'!J341:J345)),AVERAGE('20250815_ETF_Options_Exhibits'!J341:J345),"")</f>
        <v/>
      </c>
      <c r="K345" s="3">
        <f>IF(ISNUMBER(AVERAGE('20250815_ETF_Options_Exhibits'!K341:K345)),AVERAGE('20250815_ETF_Options_Exhibits'!K341:K345),"")</f>
        <v/>
      </c>
      <c r="L345" s="3">
        <f>IF(ISNUMBER(AVERAGE('20250815_ETF_Options_Exhibits'!L341:L345)),AVERAGE('20250815_ETF_Options_Exhibits'!L341:L345),"")</f>
        <v/>
      </c>
      <c r="M345" s="3">
        <f>IF(ISNUMBER(AVERAGE('20250815_ETF_Options_Exhibits'!M341:M345)),AVERAGE('20250815_ETF_Options_Exhibits'!M341:M345),"")</f>
        <v/>
      </c>
      <c r="N345" s="3">
        <f>IF(ISNUMBER(AVERAGE('20250815_ETF_Options_Exhibits'!N341:N345)),AVERAGE('20250815_ETF_Options_Exhibits'!N341:N345),"")</f>
        <v/>
      </c>
      <c r="O345" s="3">
        <f>IF(ISNUMBER(AVERAGE('20250815_ETF_Options_Exhibits'!O341:O345)),AVERAGE('20250815_ETF_Options_Exhibits'!O341:O345),"")</f>
        <v/>
      </c>
      <c r="P345" s="3">
        <f>IF(ISNUMBER(AVERAGE('20250815_ETF_Options_Exhibits'!P341:P345)),AVERAGE('20250815_ETF_Options_Exhibits'!P341:P345),"")</f>
        <v/>
      </c>
      <c r="Q345" s="3">
        <f>IF(ISNUMBER(AVERAGE('20250815_ETF_Options_Exhibits'!Q341:Q345)),AVERAGE('20250815_ETF_Options_Exhibits'!Q341:Q345),"")</f>
        <v/>
      </c>
      <c r="R345" s="3">
        <f>IF(ISNUMBER(AVERAGE('20250815_ETF_Options_Exhibits'!R341:R345)),AVERAGE('20250815_ETF_Options_Exhibits'!R341:R345),"")</f>
        <v/>
      </c>
      <c r="S345" s="3">
        <f>IF(ISNUMBER(AVERAGE('20250815_ETF_Options_Exhibits'!S341:S345)),AVERAGE('20250815_ETF_Options_Exhibits'!S341:S345),"")</f>
        <v/>
      </c>
      <c r="T345" s="3">
        <f>IF(ISNUMBER(AVERAGE('20250815_ETF_Options_Exhibits'!T341:T345)),AVERAGE('20250815_ETF_Options_Exhibits'!T341:T345),"")</f>
        <v/>
      </c>
      <c r="U345" s="3">
        <f>IF(ISNUMBER(AVERAGE('20250815_ETF_Options_Exhibits'!U341:U345)),AVERAGE('20250815_ETF_Options_Exhibits'!U341:U345),"")</f>
        <v/>
      </c>
      <c r="V345" s="3">
        <f>IF(ISNUMBER(AVERAGE('20250815_ETF_Options_Exhibits'!V341:V345)),AVERAGE('20250815_ETF_Options_Exhibits'!V341:V345),"")</f>
        <v/>
      </c>
      <c r="W345" s="3">
        <f>IF(ISNUMBER(AVERAGE('20250815_ETF_Options_Exhibits'!W341:W345)),AVERAGE('20250815_ETF_Options_Exhibits'!W341:W345),"")</f>
        <v/>
      </c>
      <c r="X345" s="3">
        <f>IF(ISNUMBER(AVERAGE('20250815_ETF_Options_Exhibits'!X341:X345)),AVERAGE('20250815_ETF_Options_Exhibits'!X341:X345),"")</f>
        <v/>
      </c>
      <c r="Y345" s="3">
        <f>IF(ISNUMBER(AVERAGE('20250815_ETF_Options_Exhibits'!Y341:Y345)),AVERAGE('20250815_ETF_Options_Exhibits'!Y341:Y345),"")</f>
        <v/>
      </c>
      <c r="Z345" s="3">
        <f>IF(ISNUMBER(AVERAGE('20250815_ETF_Options_Exhibits'!Z341:Z345)),AVERAGE('20250815_ETF_Options_Exhibits'!Z341:Z345),"")</f>
        <v/>
      </c>
      <c r="AA345" s="3">
        <f>IF(ISNUMBER(AVERAGE('20250815_ETF_Options_Exhibits'!AA341:AA345)),AVERAGE('20250815_ETF_Options_Exhibits'!AA341:AA345),"")</f>
        <v/>
      </c>
    </row>
    <row r="346">
      <c r="A346" s="1" t="n">
        <v>42503</v>
      </c>
      <c r="B346" s="3">
        <f>IF(ISNUMBER(AVERAGE('20250815_ETF_Options_Exhibits'!B342:B346)),AVERAGE('20250815_ETF_Options_Exhibits'!B342:B346),"")</f>
        <v/>
      </c>
      <c r="C346" s="3">
        <f>IF(ISNUMBER(AVERAGE('20250815_ETF_Options_Exhibits'!C342:C346)),AVERAGE('20250815_ETF_Options_Exhibits'!C342:C346),"")</f>
        <v/>
      </c>
      <c r="D346" s="3">
        <f>IF(ISNUMBER(AVERAGE('20250815_ETF_Options_Exhibits'!D342:D346)),AVERAGE('20250815_ETF_Options_Exhibits'!D342:D346),"")</f>
        <v/>
      </c>
      <c r="E346" s="3">
        <f>IF(ISNUMBER(AVERAGE('20250815_ETF_Options_Exhibits'!E342:E346)),AVERAGE('20250815_ETF_Options_Exhibits'!E342:E346),"")</f>
        <v/>
      </c>
      <c r="F346" s="3">
        <f>IF(ISNUMBER(AVERAGE('20250815_ETF_Options_Exhibits'!F342:F346)),AVERAGE('20250815_ETF_Options_Exhibits'!F342:F346),"")</f>
        <v/>
      </c>
      <c r="G346" s="3">
        <f>IF(ISNUMBER(AVERAGE('20250815_ETF_Options_Exhibits'!G342:G346)),AVERAGE('20250815_ETF_Options_Exhibits'!G342:G346),"")</f>
        <v/>
      </c>
      <c r="H346" s="3">
        <f>IF(ISNUMBER(AVERAGE('20250815_ETF_Options_Exhibits'!H342:H346)),AVERAGE('20250815_ETF_Options_Exhibits'!H342:H346),"")</f>
        <v/>
      </c>
      <c r="I346" s="3">
        <f>IF(ISNUMBER(AVERAGE('20250815_ETF_Options_Exhibits'!I342:I346)),AVERAGE('20250815_ETF_Options_Exhibits'!I342:I346),"")</f>
        <v/>
      </c>
      <c r="J346" s="3">
        <f>IF(ISNUMBER(AVERAGE('20250815_ETF_Options_Exhibits'!J342:J346)),AVERAGE('20250815_ETF_Options_Exhibits'!J342:J346),"")</f>
        <v/>
      </c>
      <c r="K346" s="3">
        <f>IF(ISNUMBER(AVERAGE('20250815_ETF_Options_Exhibits'!K342:K346)),AVERAGE('20250815_ETF_Options_Exhibits'!K342:K346),"")</f>
        <v/>
      </c>
      <c r="L346" s="3">
        <f>IF(ISNUMBER(AVERAGE('20250815_ETF_Options_Exhibits'!L342:L346)),AVERAGE('20250815_ETF_Options_Exhibits'!L342:L346),"")</f>
        <v/>
      </c>
      <c r="M346" s="3">
        <f>IF(ISNUMBER(AVERAGE('20250815_ETF_Options_Exhibits'!M342:M346)),AVERAGE('20250815_ETF_Options_Exhibits'!M342:M346),"")</f>
        <v/>
      </c>
      <c r="N346" s="3">
        <f>IF(ISNUMBER(AVERAGE('20250815_ETF_Options_Exhibits'!N342:N346)),AVERAGE('20250815_ETF_Options_Exhibits'!N342:N346),"")</f>
        <v/>
      </c>
      <c r="O346" s="3">
        <f>IF(ISNUMBER(AVERAGE('20250815_ETF_Options_Exhibits'!O342:O346)),AVERAGE('20250815_ETF_Options_Exhibits'!O342:O346),"")</f>
        <v/>
      </c>
      <c r="P346" s="3">
        <f>IF(ISNUMBER(AVERAGE('20250815_ETF_Options_Exhibits'!P342:P346)),AVERAGE('20250815_ETF_Options_Exhibits'!P342:P346),"")</f>
        <v/>
      </c>
      <c r="Q346" s="3">
        <f>IF(ISNUMBER(AVERAGE('20250815_ETF_Options_Exhibits'!Q342:Q346)),AVERAGE('20250815_ETF_Options_Exhibits'!Q342:Q346),"")</f>
        <v/>
      </c>
      <c r="R346" s="3">
        <f>IF(ISNUMBER(AVERAGE('20250815_ETF_Options_Exhibits'!R342:R346)),AVERAGE('20250815_ETF_Options_Exhibits'!R342:R346),"")</f>
        <v/>
      </c>
      <c r="S346" s="3">
        <f>IF(ISNUMBER(AVERAGE('20250815_ETF_Options_Exhibits'!S342:S346)),AVERAGE('20250815_ETF_Options_Exhibits'!S342:S346),"")</f>
        <v/>
      </c>
      <c r="T346" s="3">
        <f>IF(ISNUMBER(AVERAGE('20250815_ETF_Options_Exhibits'!T342:T346)),AVERAGE('20250815_ETF_Options_Exhibits'!T342:T346),"")</f>
        <v/>
      </c>
      <c r="U346" s="3">
        <f>IF(ISNUMBER(AVERAGE('20250815_ETF_Options_Exhibits'!U342:U346)),AVERAGE('20250815_ETF_Options_Exhibits'!U342:U346),"")</f>
        <v/>
      </c>
      <c r="V346" s="3">
        <f>IF(ISNUMBER(AVERAGE('20250815_ETF_Options_Exhibits'!V342:V346)),AVERAGE('20250815_ETF_Options_Exhibits'!V342:V346),"")</f>
        <v/>
      </c>
      <c r="W346" s="3">
        <f>IF(ISNUMBER(AVERAGE('20250815_ETF_Options_Exhibits'!W342:W346)),AVERAGE('20250815_ETF_Options_Exhibits'!W342:W346),"")</f>
        <v/>
      </c>
      <c r="X346" s="3">
        <f>IF(ISNUMBER(AVERAGE('20250815_ETF_Options_Exhibits'!X342:X346)),AVERAGE('20250815_ETF_Options_Exhibits'!X342:X346),"")</f>
        <v/>
      </c>
      <c r="Y346" s="3">
        <f>IF(ISNUMBER(AVERAGE('20250815_ETF_Options_Exhibits'!Y342:Y346)),AVERAGE('20250815_ETF_Options_Exhibits'!Y342:Y346),"")</f>
        <v/>
      </c>
      <c r="Z346" s="3">
        <f>IF(ISNUMBER(AVERAGE('20250815_ETF_Options_Exhibits'!Z342:Z346)),AVERAGE('20250815_ETF_Options_Exhibits'!Z342:Z346),"")</f>
        <v/>
      </c>
      <c r="AA346" s="3">
        <f>IF(ISNUMBER(AVERAGE('20250815_ETF_Options_Exhibits'!AA342:AA346)),AVERAGE('20250815_ETF_Options_Exhibits'!AA342:AA346),"")</f>
        <v/>
      </c>
    </row>
    <row r="347">
      <c r="A347" s="1" t="n">
        <v>42506</v>
      </c>
      <c r="B347" s="3">
        <f>IF(ISNUMBER(AVERAGE('20250815_ETF_Options_Exhibits'!B343:B347)),AVERAGE('20250815_ETF_Options_Exhibits'!B343:B347),"")</f>
        <v/>
      </c>
      <c r="C347" s="3">
        <f>IF(ISNUMBER(AVERAGE('20250815_ETF_Options_Exhibits'!C343:C347)),AVERAGE('20250815_ETF_Options_Exhibits'!C343:C347),"")</f>
        <v/>
      </c>
      <c r="D347" s="3">
        <f>IF(ISNUMBER(AVERAGE('20250815_ETF_Options_Exhibits'!D343:D347)),AVERAGE('20250815_ETF_Options_Exhibits'!D343:D347),"")</f>
        <v/>
      </c>
      <c r="E347" s="3">
        <f>IF(ISNUMBER(AVERAGE('20250815_ETF_Options_Exhibits'!E343:E347)),AVERAGE('20250815_ETF_Options_Exhibits'!E343:E347),"")</f>
        <v/>
      </c>
      <c r="F347" s="3">
        <f>IF(ISNUMBER(AVERAGE('20250815_ETF_Options_Exhibits'!F343:F347)),AVERAGE('20250815_ETF_Options_Exhibits'!F343:F347),"")</f>
        <v/>
      </c>
      <c r="G347" s="3">
        <f>IF(ISNUMBER(AVERAGE('20250815_ETF_Options_Exhibits'!G343:G347)),AVERAGE('20250815_ETF_Options_Exhibits'!G343:G347),"")</f>
        <v/>
      </c>
      <c r="H347" s="3">
        <f>IF(ISNUMBER(AVERAGE('20250815_ETF_Options_Exhibits'!H343:H347)),AVERAGE('20250815_ETF_Options_Exhibits'!H343:H347),"")</f>
        <v/>
      </c>
      <c r="I347" s="3">
        <f>IF(ISNUMBER(AVERAGE('20250815_ETF_Options_Exhibits'!I343:I347)),AVERAGE('20250815_ETF_Options_Exhibits'!I343:I347),"")</f>
        <v/>
      </c>
      <c r="J347" s="3">
        <f>IF(ISNUMBER(AVERAGE('20250815_ETF_Options_Exhibits'!J343:J347)),AVERAGE('20250815_ETF_Options_Exhibits'!J343:J347),"")</f>
        <v/>
      </c>
      <c r="K347" s="3">
        <f>IF(ISNUMBER(AVERAGE('20250815_ETF_Options_Exhibits'!K343:K347)),AVERAGE('20250815_ETF_Options_Exhibits'!K343:K347),"")</f>
        <v/>
      </c>
      <c r="L347" s="3">
        <f>IF(ISNUMBER(AVERAGE('20250815_ETF_Options_Exhibits'!L343:L347)),AVERAGE('20250815_ETF_Options_Exhibits'!L343:L347),"")</f>
        <v/>
      </c>
      <c r="M347" s="3">
        <f>IF(ISNUMBER(AVERAGE('20250815_ETF_Options_Exhibits'!M343:M347)),AVERAGE('20250815_ETF_Options_Exhibits'!M343:M347),"")</f>
        <v/>
      </c>
      <c r="N347" s="3">
        <f>IF(ISNUMBER(AVERAGE('20250815_ETF_Options_Exhibits'!N343:N347)),AVERAGE('20250815_ETF_Options_Exhibits'!N343:N347),"")</f>
        <v/>
      </c>
      <c r="O347" s="3">
        <f>IF(ISNUMBER(AVERAGE('20250815_ETF_Options_Exhibits'!O343:O347)),AVERAGE('20250815_ETF_Options_Exhibits'!O343:O347),"")</f>
        <v/>
      </c>
      <c r="P347" s="3">
        <f>IF(ISNUMBER(AVERAGE('20250815_ETF_Options_Exhibits'!P343:P347)),AVERAGE('20250815_ETF_Options_Exhibits'!P343:P347),"")</f>
        <v/>
      </c>
      <c r="Q347" s="3">
        <f>IF(ISNUMBER(AVERAGE('20250815_ETF_Options_Exhibits'!Q343:Q347)),AVERAGE('20250815_ETF_Options_Exhibits'!Q343:Q347),"")</f>
        <v/>
      </c>
      <c r="R347" s="3">
        <f>IF(ISNUMBER(AVERAGE('20250815_ETF_Options_Exhibits'!R343:R347)),AVERAGE('20250815_ETF_Options_Exhibits'!R343:R347),"")</f>
        <v/>
      </c>
      <c r="S347" s="3">
        <f>IF(ISNUMBER(AVERAGE('20250815_ETF_Options_Exhibits'!S343:S347)),AVERAGE('20250815_ETF_Options_Exhibits'!S343:S347),"")</f>
        <v/>
      </c>
      <c r="T347" s="3">
        <f>IF(ISNUMBER(AVERAGE('20250815_ETF_Options_Exhibits'!T343:T347)),AVERAGE('20250815_ETF_Options_Exhibits'!T343:T347),"")</f>
        <v/>
      </c>
      <c r="U347" s="3">
        <f>IF(ISNUMBER(AVERAGE('20250815_ETF_Options_Exhibits'!U343:U347)),AVERAGE('20250815_ETF_Options_Exhibits'!U343:U347),"")</f>
        <v/>
      </c>
      <c r="V347" s="3">
        <f>IF(ISNUMBER(AVERAGE('20250815_ETF_Options_Exhibits'!V343:V347)),AVERAGE('20250815_ETF_Options_Exhibits'!V343:V347),"")</f>
        <v/>
      </c>
      <c r="W347" s="3">
        <f>IF(ISNUMBER(AVERAGE('20250815_ETF_Options_Exhibits'!W343:W347)),AVERAGE('20250815_ETF_Options_Exhibits'!W343:W347),"")</f>
        <v/>
      </c>
      <c r="X347" s="3">
        <f>IF(ISNUMBER(AVERAGE('20250815_ETF_Options_Exhibits'!X343:X347)),AVERAGE('20250815_ETF_Options_Exhibits'!X343:X347),"")</f>
        <v/>
      </c>
      <c r="Y347" s="3">
        <f>IF(ISNUMBER(AVERAGE('20250815_ETF_Options_Exhibits'!Y343:Y347)),AVERAGE('20250815_ETF_Options_Exhibits'!Y343:Y347),"")</f>
        <v/>
      </c>
      <c r="Z347" s="3">
        <f>IF(ISNUMBER(AVERAGE('20250815_ETF_Options_Exhibits'!Z343:Z347)),AVERAGE('20250815_ETF_Options_Exhibits'!Z343:Z347),"")</f>
        <v/>
      </c>
      <c r="AA347" s="3">
        <f>IF(ISNUMBER(AVERAGE('20250815_ETF_Options_Exhibits'!AA343:AA347)),AVERAGE('20250815_ETF_Options_Exhibits'!AA343:AA347),"")</f>
        <v/>
      </c>
    </row>
    <row r="348">
      <c r="A348" s="1" t="n">
        <v>42507</v>
      </c>
      <c r="B348" s="3">
        <f>IF(ISNUMBER(AVERAGE('20250815_ETF_Options_Exhibits'!B344:B348)),AVERAGE('20250815_ETF_Options_Exhibits'!B344:B348),"")</f>
        <v/>
      </c>
      <c r="C348" s="3">
        <f>IF(ISNUMBER(AVERAGE('20250815_ETF_Options_Exhibits'!C344:C348)),AVERAGE('20250815_ETF_Options_Exhibits'!C344:C348),"")</f>
        <v/>
      </c>
      <c r="D348" s="3">
        <f>IF(ISNUMBER(AVERAGE('20250815_ETF_Options_Exhibits'!D344:D348)),AVERAGE('20250815_ETF_Options_Exhibits'!D344:D348),"")</f>
        <v/>
      </c>
      <c r="E348" s="3">
        <f>IF(ISNUMBER(AVERAGE('20250815_ETF_Options_Exhibits'!E344:E348)),AVERAGE('20250815_ETF_Options_Exhibits'!E344:E348),"")</f>
        <v/>
      </c>
      <c r="F348" s="3">
        <f>IF(ISNUMBER(AVERAGE('20250815_ETF_Options_Exhibits'!F344:F348)),AVERAGE('20250815_ETF_Options_Exhibits'!F344:F348),"")</f>
        <v/>
      </c>
      <c r="G348" s="3">
        <f>IF(ISNUMBER(AVERAGE('20250815_ETF_Options_Exhibits'!G344:G348)),AVERAGE('20250815_ETF_Options_Exhibits'!G344:G348),"")</f>
        <v/>
      </c>
      <c r="H348" s="3">
        <f>IF(ISNUMBER(AVERAGE('20250815_ETF_Options_Exhibits'!H344:H348)),AVERAGE('20250815_ETF_Options_Exhibits'!H344:H348),"")</f>
        <v/>
      </c>
      <c r="I348" s="3">
        <f>IF(ISNUMBER(AVERAGE('20250815_ETF_Options_Exhibits'!I344:I348)),AVERAGE('20250815_ETF_Options_Exhibits'!I344:I348),"")</f>
        <v/>
      </c>
      <c r="J348" s="3">
        <f>IF(ISNUMBER(AVERAGE('20250815_ETF_Options_Exhibits'!J344:J348)),AVERAGE('20250815_ETF_Options_Exhibits'!J344:J348),"")</f>
        <v/>
      </c>
      <c r="K348" s="3">
        <f>IF(ISNUMBER(AVERAGE('20250815_ETF_Options_Exhibits'!K344:K348)),AVERAGE('20250815_ETF_Options_Exhibits'!K344:K348),"")</f>
        <v/>
      </c>
      <c r="L348" s="3">
        <f>IF(ISNUMBER(AVERAGE('20250815_ETF_Options_Exhibits'!L344:L348)),AVERAGE('20250815_ETF_Options_Exhibits'!L344:L348),"")</f>
        <v/>
      </c>
      <c r="M348" s="3">
        <f>IF(ISNUMBER(AVERAGE('20250815_ETF_Options_Exhibits'!M344:M348)),AVERAGE('20250815_ETF_Options_Exhibits'!M344:M348),"")</f>
        <v/>
      </c>
      <c r="N348" s="3">
        <f>IF(ISNUMBER(AVERAGE('20250815_ETF_Options_Exhibits'!N344:N348)),AVERAGE('20250815_ETF_Options_Exhibits'!N344:N348),"")</f>
        <v/>
      </c>
      <c r="O348" s="3">
        <f>IF(ISNUMBER(AVERAGE('20250815_ETF_Options_Exhibits'!O344:O348)),AVERAGE('20250815_ETF_Options_Exhibits'!O344:O348),"")</f>
        <v/>
      </c>
      <c r="P348" s="3">
        <f>IF(ISNUMBER(AVERAGE('20250815_ETF_Options_Exhibits'!P344:P348)),AVERAGE('20250815_ETF_Options_Exhibits'!P344:P348),"")</f>
        <v/>
      </c>
      <c r="Q348" s="3">
        <f>IF(ISNUMBER(AVERAGE('20250815_ETF_Options_Exhibits'!Q344:Q348)),AVERAGE('20250815_ETF_Options_Exhibits'!Q344:Q348),"")</f>
        <v/>
      </c>
      <c r="R348" s="3">
        <f>IF(ISNUMBER(AVERAGE('20250815_ETF_Options_Exhibits'!R344:R348)),AVERAGE('20250815_ETF_Options_Exhibits'!R344:R348),"")</f>
        <v/>
      </c>
      <c r="S348" s="3">
        <f>IF(ISNUMBER(AVERAGE('20250815_ETF_Options_Exhibits'!S344:S348)),AVERAGE('20250815_ETF_Options_Exhibits'!S344:S348),"")</f>
        <v/>
      </c>
      <c r="T348" s="3">
        <f>IF(ISNUMBER(AVERAGE('20250815_ETF_Options_Exhibits'!T344:T348)),AVERAGE('20250815_ETF_Options_Exhibits'!T344:T348),"")</f>
        <v/>
      </c>
      <c r="U348" s="3">
        <f>IF(ISNUMBER(AVERAGE('20250815_ETF_Options_Exhibits'!U344:U348)),AVERAGE('20250815_ETF_Options_Exhibits'!U344:U348),"")</f>
        <v/>
      </c>
      <c r="V348" s="3">
        <f>IF(ISNUMBER(AVERAGE('20250815_ETF_Options_Exhibits'!V344:V348)),AVERAGE('20250815_ETF_Options_Exhibits'!V344:V348),"")</f>
        <v/>
      </c>
      <c r="W348" s="3">
        <f>IF(ISNUMBER(AVERAGE('20250815_ETF_Options_Exhibits'!W344:W348)),AVERAGE('20250815_ETF_Options_Exhibits'!W344:W348),"")</f>
        <v/>
      </c>
      <c r="X348" s="3">
        <f>IF(ISNUMBER(AVERAGE('20250815_ETF_Options_Exhibits'!X344:X348)),AVERAGE('20250815_ETF_Options_Exhibits'!X344:X348),"")</f>
        <v/>
      </c>
      <c r="Y348" s="3">
        <f>IF(ISNUMBER(AVERAGE('20250815_ETF_Options_Exhibits'!Y344:Y348)),AVERAGE('20250815_ETF_Options_Exhibits'!Y344:Y348),"")</f>
        <v/>
      </c>
      <c r="Z348" s="3">
        <f>IF(ISNUMBER(AVERAGE('20250815_ETF_Options_Exhibits'!Z344:Z348)),AVERAGE('20250815_ETF_Options_Exhibits'!Z344:Z348),"")</f>
        <v/>
      </c>
      <c r="AA348" s="3">
        <f>IF(ISNUMBER(AVERAGE('20250815_ETF_Options_Exhibits'!AA344:AA348)),AVERAGE('20250815_ETF_Options_Exhibits'!AA344:AA348),"")</f>
        <v/>
      </c>
    </row>
    <row r="349">
      <c r="A349" s="1" t="n">
        <v>42508</v>
      </c>
      <c r="B349" s="3">
        <f>IF(ISNUMBER(AVERAGE('20250815_ETF_Options_Exhibits'!B345:B349)),AVERAGE('20250815_ETF_Options_Exhibits'!B345:B349),"")</f>
        <v/>
      </c>
      <c r="C349" s="3">
        <f>IF(ISNUMBER(AVERAGE('20250815_ETF_Options_Exhibits'!C345:C349)),AVERAGE('20250815_ETF_Options_Exhibits'!C345:C349),"")</f>
        <v/>
      </c>
      <c r="D349" s="3">
        <f>IF(ISNUMBER(AVERAGE('20250815_ETF_Options_Exhibits'!D345:D349)),AVERAGE('20250815_ETF_Options_Exhibits'!D345:D349),"")</f>
        <v/>
      </c>
      <c r="E349" s="3">
        <f>IF(ISNUMBER(AVERAGE('20250815_ETF_Options_Exhibits'!E345:E349)),AVERAGE('20250815_ETF_Options_Exhibits'!E345:E349),"")</f>
        <v/>
      </c>
      <c r="F349" s="3">
        <f>IF(ISNUMBER(AVERAGE('20250815_ETF_Options_Exhibits'!F345:F349)),AVERAGE('20250815_ETF_Options_Exhibits'!F345:F349),"")</f>
        <v/>
      </c>
      <c r="G349" s="3">
        <f>IF(ISNUMBER(AVERAGE('20250815_ETF_Options_Exhibits'!G345:G349)),AVERAGE('20250815_ETF_Options_Exhibits'!G345:G349),"")</f>
        <v/>
      </c>
      <c r="H349" s="3">
        <f>IF(ISNUMBER(AVERAGE('20250815_ETF_Options_Exhibits'!H345:H349)),AVERAGE('20250815_ETF_Options_Exhibits'!H345:H349),"")</f>
        <v/>
      </c>
      <c r="I349" s="3">
        <f>IF(ISNUMBER(AVERAGE('20250815_ETF_Options_Exhibits'!I345:I349)),AVERAGE('20250815_ETF_Options_Exhibits'!I345:I349),"")</f>
        <v/>
      </c>
      <c r="J349" s="3">
        <f>IF(ISNUMBER(AVERAGE('20250815_ETF_Options_Exhibits'!J345:J349)),AVERAGE('20250815_ETF_Options_Exhibits'!J345:J349),"")</f>
        <v/>
      </c>
      <c r="K349" s="3">
        <f>IF(ISNUMBER(AVERAGE('20250815_ETF_Options_Exhibits'!K345:K349)),AVERAGE('20250815_ETF_Options_Exhibits'!K345:K349),"")</f>
        <v/>
      </c>
      <c r="L349" s="3">
        <f>IF(ISNUMBER(AVERAGE('20250815_ETF_Options_Exhibits'!L345:L349)),AVERAGE('20250815_ETF_Options_Exhibits'!L345:L349),"")</f>
        <v/>
      </c>
      <c r="M349" s="3">
        <f>IF(ISNUMBER(AVERAGE('20250815_ETF_Options_Exhibits'!M345:M349)),AVERAGE('20250815_ETF_Options_Exhibits'!M345:M349),"")</f>
        <v/>
      </c>
      <c r="N349" s="3">
        <f>IF(ISNUMBER(AVERAGE('20250815_ETF_Options_Exhibits'!N345:N349)),AVERAGE('20250815_ETF_Options_Exhibits'!N345:N349),"")</f>
        <v/>
      </c>
      <c r="O349" s="3">
        <f>IF(ISNUMBER(AVERAGE('20250815_ETF_Options_Exhibits'!O345:O349)),AVERAGE('20250815_ETF_Options_Exhibits'!O345:O349),"")</f>
        <v/>
      </c>
      <c r="P349" s="3">
        <f>IF(ISNUMBER(AVERAGE('20250815_ETF_Options_Exhibits'!P345:P349)),AVERAGE('20250815_ETF_Options_Exhibits'!P345:P349),"")</f>
        <v/>
      </c>
      <c r="Q349" s="3">
        <f>IF(ISNUMBER(AVERAGE('20250815_ETF_Options_Exhibits'!Q345:Q349)),AVERAGE('20250815_ETF_Options_Exhibits'!Q345:Q349),"")</f>
        <v/>
      </c>
      <c r="R349" s="3">
        <f>IF(ISNUMBER(AVERAGE('20250815_ETF_Options_Exhibits'!R345:R349)),AVERAGE('20250815_ETF_Options_Exhibits'!R345:R349),"")</f>
        <v/>
      </c>
      <c r="S349" s="3">
        <f>IF(ISNUMBER(AVERAGE('20250815_ETF_Options_Exhibits'!S345:S349)),AVERAGE('20250815_ETF_Options_Exhibits'!S345:S349),"")</f>
        <v/>
      </c>
      <c r="T349" s="3">
        <f>IF(ISNUMBER(AVERAGE('20250815_ETF_Options_Exhibits'!T345:T349)),AVERAGE('20250815_ETF_Options_Exhibits'!T345:T349),"")</f>
        <v/>
      </c>
      <c r="U349" s="3">
        <f>IF(ISNUMBER(AVERAGE('20250815_ETF_Options_Exhibits'!U345:U349)),AVERAGE('20250815_ETF_Options_Exhibits'!U345:U349),"")</f>
        <v/>
      </c>
      <c r="V349" s="3">
        <f>IF(ISNUMBER(AVERAGE('20250815_ETF_Options_Exhibits'!V345:V349)),AVERAGE('20250815_ETF_Options_Exhibits'!V345:V349),"")</f>
        <v/>
      </c>
      <c r="W349" s="3">
        <f>IF(ISNUMBER(AVERAGE('20250815_ETF_Options_Exhibits'!W345:W349)),AVERAGE('20250815_ETF_Options_Exhibits'!W345:W349),"")</f>
        <v/>
      </c>
      <c r="X349" s="3">
        <f>IF(ISNUMBER(AVERAGE('20250815_ETF_Options_Exhibits'!X345:X349)),AVERAGE('20250815_ETF_Options_Exhibits'!X345:X349),"")</f>
        <v/>
      </c>
      <c r="Y349" s="3">
        <f>IF(ISNUMBER(AVERAGE('20250815_ETF_Options_Exhibits'!Y345:Y349)),AVERAGE('20250815_ETF_Options_Exhibits'!Y345:Y349),"")</f>
        <v/>
      </c>
      <c r="Z349" s="3">
        <f>IF(ISNUMBER(AVERAGE('20250815_ETF_Options_Exhibits'!Z345:Z349)),AVERAGE('20250815_ETF_Options_Exhibits'!Z345:Z349),"")</f>
        <v/>
      </c>
      <c r="AA349" s="3">
        <f>IF(ISNUMBER(AVERAGE('20250815_ETF_Options_Exhibits'!AA345:AA349)),AVERAGE('20250815_ETF_Options_Exhibits'!AA345:AA349),"")</f>
        <v/>
      </c>
    </row>
    <row r="350">
      <c r="A350" s="1" t="n">
        <v>42509</v>
      </c>
      <c r="B350" s="3">
        <f>IF(ISNUMBER(AVERAGE('20250815_ETF_Options_Exhibits'!B346:B350)),AVERAGE('20250815_ETF_Options_Exhibits'!B346:B350),"")</f>
        <v/>
      </c>
      <c r="C350" s="3">
        <f>IF(ISNUMBER(AVERAGE('20250815_ETF_Options_Exhibits'!C346:C350)),AVERAGE('20250815_ETF_Options_Exhibits'!C346:C350),"")</f>
        <v/>
      </c>
      <c r="D350" s="3">
        <f>IF(ISNUMBER(AVERAGE('20250815_ETF_Options_Exhibits'!D346:D350)),AVERAGE('20250815_ETF_Options_Exhibits'!D346:D350),"")</f>
        <v/>
      </c>
      <c r="E350" s="3">
        <f>IF(ISNUMBER(AVERAGE('20250815_ETF_Options_Exhibits'!E346:E350)),AVERAGE('20250815_ETF_Options_Exhibits'!E346:E350),"")</f>
        <v/>
      </c>
      <c r="F350" s="3">
        <f>IF(ISNUMBER(AVERAGE('20250815_ETF_Options_Exhibits'!F346:F350)),AVERAGE('20250815_ETF_Options_Exhibits'!F346:F350),"")</f>
        <v/>
      </c>
      <c r="G350" s="3">
        <f>IF(ISNUMBER(AVERAGE('20250815_ETF_Options_Exhibits'!G346:G350)),AVERAGE('20250815_ETF_Options_Exhibits'!G346:G350),"")</f>
        <v/>
      </c>
      <c r="H350" s="3">
        <f>IF(ISNUMBER(AVERAGE('20250815_ETF_Options_Exhibits'!H346:H350)),AVERAGE('20250815_ETF_Options_Exhibits'!H346:H350),"")</f>
        <v/>
      </c>
      <c r="I350" s="3">
        <f>IF(ISNUMBER(AVERAGE('20250815_ETF_Options_Exhibits'!I346:I350)),AVERAGE('20250815_ETF_Options_Exhibits'!I346:I350),"")</f>
        <v/>
      </c>
      <c r="J350" s="3">
        <f>IF(ISNUMBER(AVERAGE('20250815_ETF_Options_Exhibits'!J346:J350)),AVERAGE('20250815_ETF_Options_Exhibits'!J346:J350),"")</f>
        <v/>
      </c>
      <c r="K350" s="3">
        <f>IF(ISNUMBER(AVERAGE('20250815_ETF_Options_Exhibits'!K346:K350)),AVERAGE('20250815_ETF_Options_Exhibits'!K346:K350),"")</f>
        <v/>
      </c>
      <c r="L350" s="3">
        <f>IF(ISNUMBER(AVERAGE('20250815_ETF_Options_Exhibits'!L346:L350)),AVERAGE('20250815_ETF_Options_Exhibits'!L346:L350),"")</f>
        <v/>
      </c>
      <c r="M350" s="3">
        <f>IF(ISNUMBER(AVERAGE('20250815_ETF_Options_Exhibits'!M346:M350)),AVERAGE('20250815_ETF_Options_Exhibits'!M346:M350),"")</f>
        <v/>
      </c>
      <c r="N350" s="3">
        <f>IF(ISNUMBER(AVERAGE('20250815_ETF_Options_Exhibits'!N346:N350)),AVERAGE('20250815_ETF_Options_Exhibits'!N346:N350),"")</f>
        <v/>
      </c>
      <c r="O350" s="3">
        <f>IF(ISNUMBER(AVERAGE('20250815_ETF_Options_Exhibits'!O346:O350)),AVERAGE('20250815_ETF_Options_Exhibits'!O346:O350),"")</f>
        <v/>
      </c>
      <c r="P350" s="3">
        <f>IF(ISNUMBER(AVERAGE('20250815_ETF_Options_Exhibits'!P346:P350)),AVERAGE('20250815_ETF_Options_Exhibits'!P346:P350),"")</f>
        <v/>
      </c>
      <c r="Q350" s="3">
        <f>IF(ISNUMBER(AVERAGE('20250815_ETF_Options_Exhibits'!Q346:Q350)),AVERAGE('20250815_ETF_Options_Exhibits'!Q346:Q350),"")</f>
        <v/>
      </c>
      <c r="R350" s="3">
        <f>IF(ISNUMBER(AVERAGE('20250815_ETF_Options_Exhibits'!R346:R350)),AVERAGE('20250815_ETF_Options_Exhibits'!R346:R350),"")</f>
        <v/>
      </c>
      <c r="S350" s="3">
        <f>IF(ISNUMBER(AVERAGE('20250815_ETF_Options_Exhibits'!S346:S350)),AVERAGE('20250815_ETF_Options_Exhibits'!S346:S350),"")</f>
        <v/>
      </c>
      <c r="T350" s="3">
        <f>IF(ISNUMBER(AVERAGE('20250815_ETF_Options_Exhibits'!T346:T350)),AVERAGE('20250815_ETF_Options_Exhibits'!T346:T350),"")</f>
        <v/>
      </c>
      <c r="U350" s="3">
        <f>IF(ISNUMBER(AVERAGE('20250815_ETF_Options_Exhibits'!U346:U350)),AVERAGE('20250815_ETF_Options_Exhibits'!U346:U350),"")</f>
        <v/>
      </c>
      <c r="V350" s="3">
        <f>IF(ISNUMBER(AVERAGE('20250815_ETF_Options_Exhibits'!V346:V350)),AVERAGE('20250815_ETF_Options_Exhibits'!V346:V350),"")</f>
        <v/>
      </c>
      <c r="W350" s="3">
        <f>IF(ISNUMBER(AVERAGE('20250815_ETF_Options_Exhibits'!W346:W350)),AVERAGE('20250815_ETF_Options_Exhibits'!W346:W350),"")</f>
        <v/>
      </c>
      <c r="X350" s="3">
        <f>IF(ISNUMBER(AVERAGE('20250815_ETF_Options_Exhibits'!X346:X350)),AVERAGE('20250815_ETF_Options_Exhibits'!X346:X350),"")</f>
        <v/>
      </c>
      <c r="Y350" s="3">
        <f>IF(ISNUMBER(AVERAGE('20250815_ETF_Options_Exhibits'!Y346:Y350)),AVERAGE('20250815_ETF_Options_Exhibits'!Y346:Y350),"")</f>
        <v/>
      </c>
      <c r="Z350" s="3">
        <f>IF(ISNUMBER(AVERAGE('20250815_ETF_Options_Exhibits'!Z346:Z350)),AVERAGE('20250815_ETF_Options_Exhibits'!Z346:Z350),"")</f>
        <v/>
      </c>
      <c r="AA350" s="3">
        <f>IF(ISNUMBER(AVERAGE('20250815_ETF_Options_Exhibits'!AA346:AA350)),AVERAGE('20250815_ETF_Options_Exhibits'!AA346:AA350),"")</f>
        <v/>
      </c>
    </row>
    <row r="351">
      <c r="A351" s="1" t="n">
        <v>42510</v>
      </c>
      <c r="B351" s="3">
        <f>IF(ISNUMBER(AVERAGE('20250815_ETF_Options_Exhibits'!B347:B351)),AVERAGE('20250815_ETF_Options_Exhibits'!B347:B351),"")</f>
        <v/>
      </c>
      <c r="C351" s="3">
        <f>IF(ISNUMBER(AVERAGE('20250815_ETF_Options_Exhibits'!C347:C351)),AVERAGE('20250815_ETF_Options_Exhibits'!C347:C351),"")</f>
        <v/>
      </c>
      <c r="D351" s="3">
        <f>IF(ISNUMBER(AVERAGE('20250815_ETF_Options_Exhibits'!D347:D351)),AVERAGE('20250815_ETF_Options_Exhibits'!D347:D351),"")</f>
        <v/>
      </c>
      <c r="E351" s="3">
        <f>IF(ISNUMBER(AVERAGE('20250815_ETF_Options_Exhibits'!E347:E351)),AVERAGE('20250815_ETF_Options_Exhibits'!E347:E351),"")</f>
        <v/>
      </c>
      <c r="F351" s="3">
        <f>IF(ISNUMBER(AVERAGE('20250815_ETF_Options_Exhibits'!F347:F351)),AVERAGE('20250815_ETF_Options_Exhibits'!F347:F351),"")</f>
        <v/>
      </c>
      <c r="G351" s="3">
        <f>IF(ISNUMBER(AVERAGE('20250815_ETF_Options_Exhibits'!G347:G351)),AVERAGE('20250815_ETF_Options_Exhibits'!G347:G351),"")</f>
        <v/>
      </c>
      <c r="H351" s="3">
        <f>IF(ISNUMBER(AVERAGE('20250815_ETF_Options_Exhibits'!H347:H351)),AVERAGE('20250815_ETF_Options_Exhibits'!H347:H351),"")</f>
        <v/>
      </c>
      <c r="I351" s="3">
        <f>IF(ISNUMBER(AVERAGE('20250815_ETF_Options_Exhibits'!I347:I351)),AVERAGE('20250815_ETF_Options_Exhibits'!I347:I351),"")</f>
        <v/>
      </c>
      <c r="J351" s="3">
        <f>IF(ISNUMBER(AVERAGE('20250815_ETF_Options_Exhibits'!J347:J351)),AVERAGE('20250815_ETF_Options_Exhibits'!J347:J351),"")</f>
        <v/>
      </c>
      <c r="K351" s="3">
        <f>IF(ISNUMBER(AVERAGE('20250815_ETF_Options_Exhibits'!K347:K351)),AVERAGE('20250815_ETF_Options_Exhibits'!K347:K351),"")</f>
        <v/>
      </c>
      <c r="L351" s="3">
        <f>IF(ISNUMBER(AVERAGE('20250815_ETF_Options_Exhibits'!L347:L351)),AVERAGE('20250815_ETF_Options_Exhibits'!L347:L351),"")</f>
        <v/>
      </c>
      <c r="M351" s="3">
        <f>IF(ISNUMBER(AVERAGE('20250815_ETF_Options_Exhibits'!M347:M351)),AVERAGE('20250815_ETF_Options_Exhibits'!M347:M351),"")</f>
        <v/>
      </c>
      <c r="N351" s="3">
        <f>IF(ISNUMBER(AVERAGE('20250815_ETF_Options_Exhibits'!N347:N351)),AVERAGE('20250815_ETF_Options_Exhibits'!N347:N351),"")</f>
        <v/>
      </c>
      <c r="O351" s="3">
        <f>IF(ISNUMBER(AVERAGE('20250815_ETF_Options_Exhibits'!O347:O351)),AVERAGE('20250815_ETF_Options_Exhibits'!O347:O351),"")</f>
        <v/>
      </c>
      <c r="P351" s="3">
        <f>IF(ISNUMBER(AVERAGE('20250815_ETF_Options_Exhibits'!P347:P351)),AVERAGE('20250815_ETF_Options_Exhibits'!P347:P351),"")</f>
        <v/>
      </c>
      <c r="Q351" s="3">
        <f>IF(ISNUMBER(AVERAGE('20250815_ETF_Options_Exhibits'!Q347:Q351)),AVERAGE('20250815_ETF_Options_Exhibits'!Q347:Q351),"")</f>
        <v/>
      </c>
      <c r="R351" s="3">
        <f>IF(ISNUMBER(AVERAGE('20250815_ETF_Options_Exhibits'!R347:R351)),AVERAGE('20250815_ETF_Options_Exhibits'!R347:R351),"")</f>
        <v/>
      </c>
      <c r="S351" s="3">
        <f>IF(ISNUMBER(AVERAGE('20250815_ETF_Options_Exhibits'!S347:S351)),AVERAGE('20250815_ETF_Options_Exhibits'!S347:S351),"")</f>
        <v/>
      </c>
      <c r="T351" s="3">
        <f>IF(ISNUMBER(AVERAGE('20250815_ETF_Options_Exhibits'!T347:T351)),AVERAGE('20250815_ETF_Options_Exhibits'!T347:T351),"")</f>
        <v/>
      </c>
      <c r="U351" s="3">
        <f>IF(ISNUMBER(AVERAGE('20250815_ETF_Options_Exhibits'!U347:U351)),AVERAGE('20250815_ETF_Options_Exhibits'!U347:U351),"")</f>
        <v/>
      </c>
      <c r="V351" s="3">
        <f>IF(ISNUMBER(AVERAGE('20250815_ETF_Options_Exhibits'!V347:V351)),AVERAGE('20250815_ETF_Options_Exhibits'!V347:V351),"")</f>
        <v/>
      </c>
      <c r="W351" s="3">
        <f>IF(ISNUMBER(AVERAGE('20250815_ETF_Options_Exhibits'!W347:W351)),AVERAGE('20250815_ETF_Options_Exhibits'!W347:W351),"")</f>
        <v/>
      </c>
      <c r="X351" s="3">
        <f>IF(ISNUMBER(AVERAGE('20250815_ETF_Options_Exhibits'!X347:X351)),AVERAGE('20250815_ETF_Options_Exhibits'!X347:X351),"")</f>
        <v/>
      </c>
      <c r="Y351" s="3">
        <f>IF(ISNUMBER(AVERAGE('20250815_ETF_Options_Exhibits'!Y347:Y351)),AVERAGE('20250815_ETF_Options_Exhibits'!Y347:Y351),"")</f>
        <v/>
      </c>
      <c r="Z351" s="3">
        <f>IF(ISNUMBER(AVERAGE('20250815_ETF_Options_Exhibits'!Z347:Z351)),AVERAGE('20250815_ETF_Options_Exhibits'!Z347:Z351),"")</f>
        <v/>
      </c>
      <c r="AA351" s="3">
        <f>IF(ISNUMBER(AVERAGE('20250815_ETF_Options_Exhibits'!AA347:AA351)),AVERAGE('20250815_ETF_Options_Exhibits'!AA347:AA351),"")</f>
        <v/>
      </c>
    </row>
    <row r="352">
      <c r="A352" s="1" t="n">
        <v>42513</v>
      </c>
      <c r="B352" s="3">
        <f>IF(ISNUMBER(AVERAGE('20250815_ETF_Options_Exhibits'!B348:B352)),AVERAGE('20250815_ETF_Options_Exhibits'!B348:B352),"")</f>
        <v/>
      </c>
      <c r="C352" s="3">
        <f>IF(ISNUMBER(AVERAGE('20250815_ETF_Options_Exhibits'!C348:C352)),AVERAGE('20250815_ETF_Options_Exhibits'!C348:C352),"")</f>
        <v/>
      </c>
      <c r="D352" s="3">
        <f>IF(ISNUMBER(AVERAGE('20250815_ETF_Options_Exhibits'!D348:D352)),AVERAGE('20250815_ETF_Options_Exhibits'!D348:D352),"")</f>
        <v/>
      </c>
      <c r="E352" s="3">
        <f>IF(ISNUMBER(AVERAGE('20250815_ETF_Options_Exhibits'!E348:E352)),AVERAGE('20250815_ETF_Options_Exhibits'!E348:E352),"")</f>
        <v/>
      </c>
      <c r="F352" s="3">
        <f>IF(ISNUMBER(AVERAGE('20250815_ETF_Options_Exhibits'!F348:F352)),AVERAGE('20250815_ETF_Options_Exhibits'!F348:F352),"")</f>
        <v/>
      </c>
      <c r="G352" s="3">
        <f>IF(ISNUMBER(AVERAGE('20250815_ETF_Options_Exhibits'!G348:G352)),AVERAGE('20250815_ETF_Options_Exhibits'!G348:G352),"")</f>
        <v/>
      </c>
      <c r="H352" s="3">
        <f>IF(ISNUMBER(AVERAGE('20250815_ETF_Options_Exhibits'!H348:H352)),AVERAGE('20250815_ETF_Options_Exhibits'!H348:H352),"")</f>
        <v/>
      </c>
      <c r="I352" s="3">
        <f>IF(ISNUMBER(AVERAGE('20250815_ETF_Options_Exhibits'!I348:I352)),AVERAGE('20250815_ETF_Options_Exhibits'!I348:I352),"")</f>
        <v/>
      </c>
      <c r="J352" s="3">
        <f>IF(ISNUMBER(AVERAGE('20250815_ETF_Options_Exhibits'!J348:J352)),AVERAGE('20250815_ETF_Options_Exhibits'!J348:J352),"")</f>
        <v/>
      </c>
      <c r="K352" s="3">
        <f>IF(ISNUMBER(AVERAGE('20250815_ETF_Options_Exhibits'!K348:K352)),AVERAGE('20250815_ETF_Options_Exhibits'!K348:K352),"")</f>
        <v/>
      </c>
      <c r="L352" s="3">
        <f>IF(ISNUMBER(AVERAGE('20250815_ETF_Options_Exhibits'!L348:L352)),AVERAGE('20250815_ETF_Options_Exhibits'!L348:L352),"")</f>
        <v/>
      </c>
      <c r="M352" s="3">
        <f>IF(ISNUMBER(AVERAGE('20250815_ETF_Options_Exhibits'!M348:M352)),AVERAGE('20250815_ETF_Options_Exhibits'!M348:M352),"")</f>
        <v/>
      </c>
      <c r="N352" s="3">
        <f>IF(ISNUMBER(AVERAGE('20250815_ETF_Options_Exhibits'!N348:N352)),AVERAGE('20250815_ETF_Options_Exhibits'!N348:N352),"")</f>
        <v/>
      </c>
      <c r="O352" s="3">
        <f>IF(ISNUMBER(AVERAGE('20250815_ETF_Options_Exhibits'!O348:O352)),AVERAGE('20250815_ETF_Options_Exhibits'!O348:O352),"")</f>
        <v/>
      </c>
      <c r="P352" s="3">
        <f>IF(ISNUMBER(AVERAGE('20250815_ETF_Options_Exhibits'!P348:P352)),AVERAGE('20250815_ETF_Options_Exhibits'!P348:P352),"")</f>
        <v/>
      </c>
      <c r="Q352" s="3">
        <f>IF(ISNUMBER(AVERAGE('20250815_ETF_Options_Exhibits'!Q348:Q352)),AVERAGE('20250815_ETF_Options_Exhibits'!Q348:Q352),"")</f>
        <v/>
      </c>
      <c r="R352" s="3">
        <f>IF(ISNUMBER(AVERAGE('20250815_ETF_Options_Exhibits'!R348:R352)),AVERAGE('20250815_ETF_Options_Exhibits'!R348:R352),"")</f>
        <v/>
      </c>
      <c r="S352" s="3">
        <f>IF(ISNUMBER(AVERAGE('20250815_ETF_Options_Exhibits'!S348:S352)),AVERAGE('20250815_ETF_Options_Exhibits'!S348:S352),"")</f>
        <v/>
      </c>
      <c r="T352" s="3">
        <f>IF(ISNUMBER(AVERAGE('20250815_ETF_Options_Exhibits'!T348:T352)),AVERAGE('20250815_ETF_Options_Exhibits'!T348:T352),"")</f>
        <v/>
      </c>
      <c r="U352" s="3">
        <f>IF(ISNUMBER(AVERAGE('20250815_ETF_Options_Exhibits'!U348:U352)),AVERAGE('20250815_ETF_Options_Exhibits'!U348:U352),"")</f>
        <v/>
      </c>
      <c r="V352" s="3">
        <f>IF(ISNUMBER(AVERAGE('20250815_ETF_Options_Exhibits'!V348:V352)),AVERAGE('20250815_ETF_Options_Exhibits'!V348:V352),"")</f>
        <v/>
      </c>
      <c r="W352" s="3">
        <f>IF(ISNUMBER(AVERAGE('20250815_ETF_Options_Exhibits'!W348:W352)),AVERAGE('20250815_ETF_Options_Exhibits'!W348:W352),"")</f>
        <v/>
      </c>
      <c r="X352" s="3">
        <f>IF(ISNUMBER(AVERAGE('20250815_ETF_Options_Exhibits'!X348:X352)),AVERAGE('20250815_ETF_Options_Exhibits'!X348:X352),"")</f>
        <v/>
      </c>
      <c r="Y352" s="3">
        <f>IF(ISNUMBER(AVERAGE('20250815_ETF_Options_Exhibits'!Y348:Y352)),AVERAGE('20250815_ETF_Options_Exhibits'!Y348:Y352),"")</f>
        <v/>
      </c>
      <c r="Z352" s="3">
        <f>IF(ISNUMBER(AVERAGE('20250815_ETF_Options_Exhibits'!Z348:Z352)),AVERAGE('20250815_ETF_Options_Exhibits'!Z348:Z352),"")</f>
        <v/>
      </c>
      <c r="AA352" s="3">
        <f>IF(ISNUMBER(AVERAGE('20250815_ETF_Options_Exhibits'!AA348:AA352)),AVERAGE('20250815_ETF_Options_Exhibits'!AA348:AA352),"")</f>
        <v/>
      </c>
    </row>
    <row r="353">
      <c r="A353" s="1" t="n">
        <v>42514</v>
      </c>
      <c r="B353" s="3">
        <f>IF(ISNUMBER(AVERAGE('20250815_ETF_Options_Exhibits'!B349:B353)),AVERAGE('20250815_ETF_Options_Exhibits'!B349:B353),"")</f>
        <v/>
      </c>
      <c r="C353" s="3">
        <f>IF(ISNUMBER(AVERAGE('20250815_ETF_Options_Exhibits'!C349:C353)),AVERAGE('20250815_ETF_Options_Exhibits'!C349:C353),"")</f>
        <v/>
      </c>
      <c r="D353" s="3">
        <f>IF(ISNUMBER(AVERAGE('20250815_ETF_Options_Exhibits'!D349:D353)),AVERAGE('20250815_ETF_Options_Exhibits'!D349:D353),"")</f>
        <v/>
      </c>
      <c r="E353" s="3">
        <f>IF(ISNUMBER(AVERAGE('20250815_ETF_Options_Exhibits'!E349:E353)),AVERAGE('20250815_ETF_Options_Exhibits'!E349:E353),"")</f>
        <v/>
      </c>
      <c r="F353" s="3">
        <f>IF(ISNUMBER(AVERAGE('20250815_ETF_Options_Exhibits'!F349:F353)),AVERAGE('20250815_ETF_Options_Exhibits'!F349:F353),"")</f>
        <v/>
      </c>
      <c r="G353" s="3">
        <f>IF(ISNUMBER(AVERAGE('20250815_ETF_Options_Exhibits'!G349:G353)),AVERAGE('20250815_ETF_Options_Exhibits'!G349:G353),"")</f>
        <v/>
      </c>
      <c r="H353" s="3">
        <f>IF(ISNUMBER(AVERAGE('20250815_ETF_Options_Exhibits'!H349:H353)),AVERAGE('20250815_ETF_Options_Exhibits'!H349:H353),"")</f>
        <v/>
      </c>
      <c r="I353" s="3">
        <f>IF(ISNUMBER(AVERAGE('20250815_ETF_Options_Exhibits'!I349:I353)),AVERAGE('20250815_ETF_Options_Exhibits'!I349:I353),"")</f>
        <v/>
      </c>
      <c r="J353" s="3">
        <f>IF(ISNUMBER(AVERAGE('20250815_ETF_Options_Exhibits'!J349:J353)),AVERAGE('20250815_ETF_Options_Exhibits'!J349:J353),"")</f>
        <v/>
      </c>
      <c r="K353" s="3">
        <f>IF(ISNUMBER(AVERAGE('20250815_ETF_Options_Exhibits'!K349:K353)),AVERAGE('20250815_ETF_Options_Exhibits'!K349:K353),"")</f>
        <v/>
      </c>
      <c r="L353" s="3">
        <f>IF(ISNUMBER(AVERAGE('20250815_ETF_Options_Exhibits'!L349:L353)),AVERAGE('20250815_ETF_Options_Exhibits'!L349:L353),"")</f>
        <v/>
      </c>
      <c r="M353" s="3">
        <f>IF(ISNUMBER(AVERAGE('20250815_ETF_Options_Exhibits'!M349:M353)),AVERAGE('20250815_ETF_Options_Exhibits'!M349:M353),"")</f>
        <v/>
      </c>
      <c r="N353" s="3">
        <f>IF(ISNUMBER(AVERAGE('20250815_ETF_Options_Exhibits'!N349:N353)),AVERAGE('20250815_ETF_Options_Exhibits'!N349:N353),"")</f>
        <v/>
      </c>
      <c r="O353" s="3">
        <f>IF(ISNUMBER(AVERAGE('20250815_ETF_Options_Exhibits'!O349:O353)),AVERAGE('20250815_ETF_Options_Exhibits'!O349:O353),"")</f>
        <v/>
      </c>
      <c r="P353" s="3">
        <f>IF(ISNUMBER(AVERAGE('20250815_ETF_Options_Exhibits'!P349:P353)),AVERAGE('20250815_ETF_Options_Exhibits'!P349:P353),"")</f>
        <v/>
      </c>
      <c r="Q353" s="3">
        <f>IF(ISNUMBER(AVERAGE('20250815_ETF_Options_Exhibits'!Q349:Q353)),AVERAGE('20250815_ETF_Options_Exhibits'!Q349:Q353),"")</f>
        <v/>
      </c>
      <c r="R353" s="3">
        <f>IF(ISNUMBER(AVERAGE('20250815_ETF_Options_Exhibits'!R349:R353)),AVERAGE('20250815_ETF_Options_Exhibits'!R349:R353),"")</f>
        <v/>
      </c>
      <c r="S353" s="3">
        <f>IF(ISNUMBER(AVERAGE('20250815_ETF_Options_Exhibits'!S349:S353)),AVERAGE('20250815_ETF_Options_Exhibits'!S349:S353),"")</f>
        <v/>
      </c>
      <c r="T353" s="3">
        <f>IF(ISNUMBER(AVERAGE('20250815_ETF_Options_Exhibits'!T349:T353)),AVERAGE('20250815_ETF_Options_Exhibits'!T349:T353),"")</f>
        <v/>
      </c>
      <c r="U353" s="3">
        <f>IF(ISNUMBER(AVERAGE('20250815_ETF_Options_Exhibits'!U349:U353)),AVERAGE('20250815_ETF_Options_Exhibits'!U349:U353),"")</f>
        <v/>
      </c>
      <c r="V353" s="3">
        <f>IF(ISNUMBER(AVERAGE('20250815_ETF_Options_Exhibits'!V349:V353)),AVERAGE('20250815_ETF_Options_Exhibits'!V349:V353),"")</f>
        <v/>
      </c>
      <c r="W353" s="3">
        <f>IF(ISNUMBER(AVERAGE('20250815_ETF_Options_Exhibits'!W349:W353)),AVERAGE('20250815_ETF_Options_Exhibits'!W349:W353),"")</f>
        <v/>
      </c>
      <c r="X353" s="3">
        <f>IF(ISNUMBER(AVERAGE('20250815_ETF_Options_Exhibits'!X349:X353)),AVERAGE('20250815_ETF_Options_Exhibits'!X349:X353),"")</f>
        <v/>
      </c>
      <c r="Y353" s="3">
        <f>IF(ISNUMBER(AVERAGE('20250815_ETF_Options_Exhibits'!Y349:Y353)),AVERAGE('20250815_ETF_Options_Exhibits'!Y349:Y353),"")</f>
        <v/>
      </c>
      <c r="Z353" s="3">
        <f>IF(ISNUMBER(AVERAGE('20250815_ETF_Options_Exhibits'!Z349:Z353)),AVERAGE('20250815_ETF_Options_Exhibits'!Z349:Z353),"")</f>
        <v/>
      </c>
      <c r="AA353" s="3">
        <f>IF(ISNUMBER(AVERAGE('20250815_ETF_Options_Exhibits'!AA349:AA353)),AVERAGE('20250815_ETF_Options_Exhibits'!AA349:AA353),"")</f>
        <v/>
      </c>
    </row>
    <row r="354">
      <c r="A354" s="1" t="n">
        <v>42515</v>
      </c>
      <c r="B354" s="3">
        <f>IF(ISNUMBER(AVERAGE('20250815_ETF_Options_Exhibits'!B350:B354)),AVERAGE('20250815_ETF_Options_Exhibits'!B350:B354),"")</f>
        <v/>
      </c>
      <c r="C354" s="3">
        <f>IF(ISNUMBER(AVERAGE('20250815_ETF_Options_Exhibits'!C350:C354)),AVERAGE('20250815_ETF_Options_Exhibits'!C350:C354),"")</f>
        <v/>
      </c>
      <c r="D354" s="3">
        <f>IF(ISNUMBER(AVERAGE('20250815_ETF_Options_Exhibits'!D350:D354)),AVERAGE('20250815_ETF_Options_Exhibits'!D350:D354),"")</f>
        <v/>
      </c>
      <c r="E354" s="3">
        <f>IF(ISNUMBER(AVERAGE('20250815_ETF_Options_Exhibits'!E350:E354)),AVERAGE('20250815_ETF_Options_Exhibits'!E350:E354),"")</f>
        <v/>
      </c>
      <c r="F354" s="3">
        <f>IF(ISNUMBER(AVERAGE('20250815_ETF_Options_Exhibits'!F350:F354)),AVERAGE('20250815_ETF_Options_Exhibits'!F350:F354),"")</f>
        <v/>
      </c>
      <c r="G354" s="3">
        <f>IF(ISNUMBER(AVERAGE('20250815_ETF_Options_Exhibits'!G350:G354)),AVERAGE('20250815_ETF_Options_Exhibits'!G350:G354),"")</f>
        <v/>
      </c>
      <c r="H354" s="3">
        <f>IF(ISNUMBER(AVERAGE('20250815_ETF_Options_Exhibits'!H350:H354)),AVERAGE('20250815_ETF_Options_Exhibits'!H350:H354),"")</f>
        <v/>
      </c>
      <c r="I354" s="3">
        <f>IF(ISNUMBER(AVERAGE('20250815_ETF_Options_Exhibits'!I350:I354)),AVERAGE('20250815_ETF_Options_Exhibits'!I350:I354),"")</f>
        <v/>
      </c>
      <c r="J354" s="3">
        <f>IF(ISNUMBER(AVERAGE('20250815_ETF_Options_Exhibits'!J350:J354)),AVERAGE('20250815_ETF_Options_Exhibits'!J350:J354),"")</f>
        <v/>
      </c>
      <c r="K354" s="3">
        <f>IF(ISNUMBER(AVERAGE('20250815_ETF_Options_Exhibits'!K350:K354)),AVERAGE('20250815_ETF_Options_Exhibits'!K350:K354),"")</f>
        <v/>
      </c>
      <c r="L354" s="3">
        <f>IF(ISNUMBER(AVERAGE('20250815_ETF_Options_Exhibits'!L350:L354)),AVERAGE('20250815_ETF_Options_Exhibits'!L350:L354),"")</f>
        <v/>
      </c>
      <c r="M354" s="3">
        <f>IF(ISNUMBER(AVERAGE('20250815_ETF_Options_Exhibits'!M350:M354)),AVERAGE('20250815_ETF_Options_Exhibits'!M350:M354),"")</f>
        <v/>
      </c>
      <c r="N354" s="3">
        <f>IF(ISNUMBER(AVERAGE('20250815_ETF_Options_Exhibits'!N350:N354)),AVERAGE('20250815_ETF_Options_Exhibits'!N350:N354),"")</f>
        <v/>
      </c>
      <c r="O354" s="3">
        <f>IF(ISNUMBER(AVERAGE('20250815_ETF_Options_Exhibits'!O350:O354)),AVERAGE('20250815_ETF_Options_Exhibits'!O350:O354),"")</f>
        <v/>
      </c>
      <c r="P354" s="3">
        <f>IF(ISNUMBER(AVERAGE('20250815_ETF_Options_Exhibits'!P350:P354)),AVERAGE('20250815_ETF_Options_Exhibits'!P350:P354),"")</f>
        <v/>
      </c>
      <c r="Q354" s="3">
        <f>IF(ISNUMBER(AVERAGE('20250815_ETF_Options_Exhibits'!Q350:Q354)),AVERAGE('20250815_ETF_Options_Exhibits'!Q350:Q354),"")</f>
        <v/>
      </c>
      <c r="R354" s="3">
        <f>IF(ISNUMBER(AVERAGE('20250815_ETF_Options_Exhibits'!R350:R354)),AVERAGE('20250815_ETF_Options_Exhibits'!R350:R354),"")</f>
        <v/>
      </c>
      <c r="S354" s="3">
        <f>IF(ISNUMBER(AVERAGE('20250815_ETF_Options_Exhibits'!S350:S354)),AVERAGE('20250815_ETF_Options_Exhibits'!S350:S354),"")</f>
        <v/>
      </c>
      <c r="T354" s="3">
        <f>IF(ISNUMBER(AVERAGE('20250815_ETF_Options_Exhibits'!T350:T354)),AVERAGE('20250815_ETF_Options_Exhibits'!T350:T354),"")</f>
        <v/>
      </c>
      <c r="U354" s="3">
        <f>IF(ISNUMBER(AVERAGE('20250815_ETF_Options_Exhibits'!U350:U354)),AVERAGE('20250815_ETF_Options_Exhibits'!U350:U354),"")</f>
        <v/>
      </c>
      <c r="V354" s="3">
        <f>IF(ISNUMBER(AVERAGE('20250815_ETF_Options_Exhibits'!V350:V354)),AVERAGE('20250815_ETF_Options_Exhibits'!V350:V354),"")</f>
        <v/>
      </c>
      <c r="W354" s="3">
        <f>IF(ISNUMBER(AVERAGE('20250815_ETF_Options_Exhibits'!W350:W354)),AVERAGE('20250815_ETF_Options_Exhibits'!W350:W354),"")</f>
        <v/>
      </c>
      <c r="X354" s="3">
        <f>IF(ISNUMBER(AVERAGE('20250815_ETF_Options_Exhibits'!X350:X354)),AVERAGE('20250815_ETF_Options_Exhibits'!X350:X354),"")</f>
        <v/>
      </c>
      <c r="Y354" s="3">
        <f>IF(ISNUMBER(AVERAGE('20250815_ETF_Options_Exhibits'!Y350:Y354)),AVERAGE('20250815_ETF_Options_Exhibits'!Y350:Y354),"")</f>
        <v/>
      </c>
      <c r="Z354" s="3">
        <f>IF(ISNUMBER(AVERAGE('20250815_ETF_Options_Exhibits'!Z350:Z354)),AVERAGE('20250815_ETF_Options_Exhibits'!Z350:Z354),"")</f>
        <v/>
      </c>
      <c r="AA354" s="3">
        <f>IF(ISNUMBER(AVERAGE('20250815_ETF_Options_Exhibits'!AA350:AA354)),AVERAGE('20250815_ETF_Options_Exhibits'!AA350:AA354),"")</f>
        <v/>
      </c>
    </row>
    <row r="355">
      <c r="A355" s="1" t="n">
        <v>42516</v>
      </c>
      <c r="B355" s="3">
        <f>IF(ISNUMBER(AVERAGE('20250815_ETF_Options_Exhibits'!B351:B355)),AVERAGE('20250815_ETF_Options_Exhibits'!B351:B355),"")</f>
        <v/>
      </c>
      <c r="C355" s="3">
        <f>IF(ISNUMBER(AVERAGE('20250815_ETF_Options_Exhibits'!C351:C355)),AVERAGE('20250815_ETF_Options_Exhibits'!C351:C355),"")</f>
        <v/>
      </c>
      <c r="D355" s="3">
        <f>IF(ISNUMBER(AVERAGE('20250815_ETF_Options_Exhibits'!D351:D355)),AVERAGE('20250815_ETF_Options_Exhibits'!D351:D355),"")</f>
        <v/>
      </c>
      <c r="E355" s="3">
        <f>IF(ISNUMBER(AVERAGE('20250815_ETF_Options_Exhibits'!E351:E355)),AVERAGE('20250815_ETF_Options_Exhibits'!E351:E355),"")</f>
        <v/>
      </c>
      <c r="F355" s="3">
        <f>IF(ISNUMBER(AVERAGE('20250815_ETF_Options_Exhibits'!F351:F355)),AVERAGE('20250815_ETF_Options_Exhibits'!F351:F355),"")</f>
        <v/>
      </c>
      <c r="G355" s="3">
        <f>IF(ISNUMBER(AVERAGE('20250815_ETF_Options_Exhibits'!G351:G355)),AVERAGE('20250815_ETF_Options_Exhibits'!G351:G355),"")</f>
        <v/>
      </c>
      <c r="H355" s="3">
        <f>IF(ISNUMBER(AVERAGE('20250815_ETF_Options_Exhibits'!H351:H355)),AVERAGE('20250815_ETF_Options_Exhibits'!H351:H355),"")</f>
        <v/>
      </c>
      <c r="I355" s="3">
        <f>IF(ISNUMBER(AVERAGE('20250815_ETF_Options_Exhibits'!I351:I355)),AVERAGE('20250815_ETF_Options_Exhibits'!I351:I355),"")</f>
        <v/>
      </c>
      <c r="J355" s="3">
        <f>IF(ISNUMBER(AVERAGE('20250815_ETF_Options_Exhibits'!J351:J355)),AVERAGE('20250815_ETF_Options_Exhibits'!J351:J355),"")</f>
        <v/>
      </c>
      <c r="K355" s="3">
        <f>IF(ISNUMBER(AVERAGE('20250815_ETF_Options_Exhibits'!K351:K355)),AVERAGE('20250815_ETF_Options_Exhibits'!K351:K355),"")</f>
        <v/>
      </c>
      <c r="L355" s="3">
        <f>IF(ISNUMBER(AVERAGE('20250815_ETF_Options_Exhibits'!L351:L355)),AVERAGE('20250815_ETF_Options_Exhibits'!L351:L355),"")</f>
        <v/>
      </c>
      <c r="M355" s="3">
        <f>IF(ISNUMBER(AVERAGE('20250815_ETF_Options_Exhibits'!M351:M355)),AVERAGE('20250815_ETF_Options_Exhibits'!M351:M355),"")</f>
        <v/>
      </c>
      <c r="N355" s="3">
        <f>IF(ISNUMBER(AVERAGE('20250815_ETF_Options_Exhibits'!N351:N355)),AVERAGE('20250815_ETF_Options_Exhibits'!N351:N355),"")</f>
        <v/>
      </c>
      <c r="O355" s="3">
        <f>IF(ISNUMBER(AVERAGE('20250815_ETF_Options_Exhibits'!O351:O355)),AVERAGE('20250815_ETF_Options_Exhibits'!O351:O355),"")</f>
        <v/>
      </c>
      <c r="P355" s="3">
        <f>IF(ISNUMBER(AVERAGE('20250815_ETF_Options_Exhibits'!P351:P355)),AVERAGE('20250815_ETF_Options_Exhibits'!P351:P355),"")</f>
        <v/>
      </c>
      <c r="Q355" s="3">
        <f>IF(ISNUMBER(AVERAGE('20250815_ETF_Options_Exhibits'!Q351:Q355)),AVERAGE('20250815_ETF_Options_Exhibits'!Q351:Q355),"")</f>
        <v/>
      </c>
      <c r="R355" s="3">
        <f>IF(ISNUMBER(AVERAGE('20250815_ETF_Options_Exhibits'!R351:R355)),AVERAGE('20250815_ETF_Options_Exhibits'!R351:R355),"")</f>
        <v/>
      </c>
      <c r="S355" s="3">
        <f>IF(ISNUMBER(AVERAGE('20250815_ETF_Options_Exhibits'!S351:S355)),AVERAGE('20250815_ETF_Options_Exhibits'!S351:S355),"")</f>
        <v/>
      </c>
      <c r="T355" s="3">
        <f>IF(ISNUMBER(AVERAGE('20250815_ETF_Options_Exhibits'!T351:T355)),AVERAGE('20250815_ETF_Options_Exhibits'!T351:T355),"")</f>
        <v/>
      </c>
      <c r="U355" s="3">
        <f>IF(ISNUMBER(AVERAGE('20250815_ETF_Options_Exhibits'!U351:U355)),AVERAGE('20250815_ETF_Options_Exhibits'!U351:U355),"")</f>
        <v/>
      </c>
      <c r="V355" s="3">
        <f>IF(ISNUMBER(AVERAGE('20250815_ETF_Options_Exhibits'!V351:V355)),AVERAGE('20250815_ETF_Options_Exhibits'!V351:V355),"")</f>
        <v/>
      </c>
      <c r="W355" s="3">
        <f>IF(ISNUMBER(AVERAGE('20250815_ETF_Options_Exhibits'!W351:W355)),AVERAGE('20250815_ETF_Options_Exhibits'!W351:W355),"")</f>
        <v/>
      </c>
      <c r="X355" s="3">
        <f>IF(ISNUMBER(AVERAGE('20250815_ETF_Options_Exhibits'!X351:X355)),AVERAGE('20250815_ETF_Options_Exhibits'!X351:X355),"")</f>
        <v/>
      </c>
      <c r="Y355" s="3">
        <f>IF(ISNUMBER(AVERAGE('20250815_ETF_Options_Exhibits'!Y351:Y355)),AVERAGE('20250815_ETF_Options_Exhibits'!Y351:Y355),"")</f>
        <v/>
      </c>
      <c r="Z355" s="3">
        <f>IF(ISNUMBER(AVERAGE('20250815_ETF_Options_Exhibits'!Z351:Z355)),AVERAGE('20250815_ETF_Options_Exhibits'!Z351:Z355),"")</f>
        <v/>
      </c>
      <c r="AA355" s="3">
        <f>IF(ISNUMBER(AVERAGE('20250815_ETF_Options_Exhibits'!AA351:AA355)),AVERAGE('20250815_ETF_Options_Exhibits'!AA351:AA355),"")</f>
        <v/>
      </c>
    </row>
    <row r="356">
      <c r="A356" s="1" t="n">
        <v>42517</v>
      </c>
      <c r="B356" s="3">
        <f>IF(ISNUMBER(AVERAGE('20250815_ETF_Options_Exhibits'!B352:B356)),AVERAGE('20250815_ETF_Options_Exhibits'!B352:B356),"")</f>
        <v/>
      </c>
      <c r="C356" s="3">
        <f>IF(ISNUMBER(AVERAGE('20250815_ETF_Options_Exhibits'!C352:C356)),AVERAGE('20250815_ETF_Options_Exhibits'!C352:C356),"")</f>
        <v/>
      </c>
      <c r="D356" s="3">
        <f>IF(ISNUMBER(AVERAGE('20250815_ETF_Options_Exhibits'!D352:D356)),AVERAGE('20250815_ETF_Options_Exhibits'!D352:D356),"")</f>
        <v/>
      </c>
      <c r="E356" s="3">
        <f>IF(ISNUMBER(AVERAGE('20250815_ETF_Options_Exhibits'!E352:E356)),AVERAGE('20250815_ETF_Options_Exhibits'!E352:E356),"")</f>
        <v/>
      </c>
      <c r="F356" s="3">
        <f>IF(ISNUMBER(AVERAGE('20250815_ETF_Options_Exhibits'!F352:F356)),AVERAGE('20250815_ETF_Options_Exhibits'!F352:F356),"")</f>
        <v/>
      </c>
      <c r="G356" s="3">
        <f>IF(ISNUMBER(AVERAGE('20250815_ETF_Options_Exhibits'!G352:G356)),AVERAGE('20250815_ETF_Options_Exhibits'!G352:G356),"")</f>
        <v/>
      </c>
      <c r="H356" s="3">
        <f>IF(ISNUMBER(AVERAGE('20250815_ETF_Options_Exhibits'!H352:H356)),AVERAGE('20250815_ETF_Options_Exhibits'!H352:H356),"")</f>
        <v/>
      </c>
      <c r="I356" s="3">
        <f>IF(ISNUMBER(AVERAGE('20250815_ETF_Options_Exhibits'!I352:I356)),AVERAGE('20250815_ETF_Options_Exhibits'!I352:I356),"")</f>
        <v/>
      </c>
      <c r="J356" s="3">
        <f>IF(ISNUMBER(AVERAGE('20250815_ETF_Options_Exhibits'!J352:J356)),AVERAGE('20250815_ETF_Options_Exhibits'!J352:J356),"")</f>
        <v/>
      </c>
      <c r="K356" s="3">
        <f>IF(ISNUMBER(AVERAGE('20250815_ETF_Options_Exhibits'!K352:K356)),AVERAGE('20250815_ETF_Options_Exhibits'!K352:K356),"")</f>
        <v/>
      </c>
      <c r="L356" s="3">
        <f>IF(ISNUMBER(AVERAGE('20250815_ETF_Options_Exhibits'!L352:L356)),AVERAGE('20250815_ETF_Options_Exhibits'!L352:L356),"")</f>
        <v/>
      </c>
      <c r="M356" s="3">
        <f>IF(ISNUMBER(AVERAGE('20250815_ETF_Options_Exhibits'!M352:M356)),AVERAGE('20250815_ETF_Options_Exhibits'!M352:M356),"")</f>
        <v/>
      </c>
      <c r="N356" s="3">
        <f>IF(ISNUMBER(AVERAGE('20250815_ETF_Options_Exhibits'!N352:N356)),AVERAGE('20250815_ETF_Options_Exhibits'!N352:N356),"")</f>
        <v/>
      </c>
      <c r="O356" s="3">
        <f>IF(ISNUMBER(AVERAGE('20250815_ETF_Options_Exhibits'!O352:O356)),AVERAGE('20250815_ETF_Options_Exhibits'!O352:O356),"")</f>
        <v/>
      </c>
      <c r="P356" s="3">
        <f>IF(ISNUMBER(AVERAGE('20250815_ETF_Options_Exhibits'!P352:P356)),AVERAGE('20250815_ETF_Options_Exhibits'!P352:P356),"")</f>
        <v/>
      </c>
      <c r="Q356" s="3">
        <f>IF(ISNUMBER(AVERAGE('20250815_ETF_Options_Exhibits'!Q352:Q356)),AVERAGE('20250815_ETF_Options_Exhibits'!Q352:Q356),"")</f>
        <v/>
      </c>
      <c r="R356" s="3">
        <f>IF(ISNUMBER(AVERAGE('20250815_ETF_Options_Exhibits'!R352:R356)),AVERAGE('20250815_ETF_Options_Exhibits'!R352:R356),"")</f>
        <v/>
      </c>
      <c r="S356" s="3">
        <f>IF(ISNUMBER(AVERAGE('20250815_ETF_Options_Exhibits'!S352:S356)),AVERAGE('20250815_ETF_Options_Exhibits'!S352:S356),"")</f>
        <v/>
      </c>
      <c r="T356" s="3">
        <f>IF(ISNUMBER(AVERAGE('20250815_ETF_Options_Exhibits'!T352:T356)),AVERAGE('20250815_ETF_Options_Exhibits'!T352:T356),"")</f>
        <v/>
      </c>
      <c r="U356" s="3">
        <f>IF(ISNUMBER(AVERAGE('20250815_ETF_Options_Exhibits'!U352:U356)),AVERAGE('20250815_ETF_Options_Exhibits'!U352:U356),"")</f>
        <v/>
      </c>
      <c r="V356" s="3">
        <f>IF(ISNUMBER(AVERAGE('20250815_ETF_Options_Exhibits'!V352:V356)),AVERAGE('20250815_ETF_Options_Exhibits'!V352:V356),"")</f>
        <v/>
      </c>
      <c r="W356" s="3">
        <f>IF(ISNUMBER(AVERAGE('20250815_ETF_Options_Exhibits'!W352:W356)),AVERAGE('20250815_ETF_Options_Exhibits'!W352:W356),"")</f>
        <v/>
      </c>
      <c r="X356" s="3">
        <f>IF(ISNUMBER(AVERAGE('20250815_ETF_Options_Exhibits'!X352:X356)),AVERAGE('20250815_ETF_Options_Exhibits'!X352:X356),"")</f>
        <v/>
      </c>
      <c r="Y356" s="3">
        <f>IF(ISNUMBER(AVERAGE('20250815_ETF_Options_Exhibits'!Y352:Y356)),AVERAGE('20250815_ETF_Options_Exhibits'!Y352:Y356),"")</f>
        <v/>
      </c>
      <c r="Z356" s="3">
        <f>IF(ISNUMBER(AVERAGE('20250815_ETF_Options_Exhibits'!Z352:Z356)),AVERAGE('20250815_ETF_Options_Exhibits'!Z352:Z356),"")</f>
        <v/>
      </c>
      <c r="AA356" s="3">
        <f>IF(ISNUMBER(AVERAGE('20250815_ETF_Options_Exhibits'!AA352:AA356)),AVERAGE('20250815_ETF_Options_Exhibits'!AA352:AA356),"")</f>
        <v/>
      </c>
    </row>
    <row r="357">
      <c r="A357" s="1" t="n">
        <v>42521</v>
      </c>
      <c r="B357" s="3">
        <f>IF(ISNUMBER(AVERAGE('20250815_ETF_Options_Exhibits'!B353:B357)),AVERAGE('20250815_ETF_Options_Exhibits'!B353:B357),"")</f>
        <v/>
      </c>
      <c r="C357" s="3">
        <f>IF(ISNUMBER(AVERAGE('20250815_ETF_Options_Exhibits'!C353:C357)),AVERAGE('20250815_ETF_Options_Exhibits'!C353:C357),"")</f>
        <v/>
      </c>
      <c r="D357" s="3">
        <f>IF(ISNUMBER(AVERAGE('20250815_ETF_Options_Exhibits'!D353:D357)),AVERAGE('20250815_ETF_Options_Exhibits'!D353:D357),"")</f>
        <v/>
      </c>
      <c r="E357" s="3">
        <f>IF(ISNUMBER(AVERAGE('20250815_ETF_Options_Exhibits'!E353:E357)),AVERAGE('20250815_ETF_Options_Exhibits'!E353:E357),"")</f>
        <v/>
      </c>
      <c r="F357" s="3">
        <f>IF(ISNUMBER(AVERAGE('20250815_ETF_Options_Exhibits'!F353:F357)),AVERAGE('20250815_ETF_Options_Exhibits'!F353:F357),"")</f>
        <v/>
      </c>
      <c r="G357" s="3">
        <f>IF(ISNUMBER(AVERAGE('20250815_ETF_Options_Exhibits'!G353:G357)),AVERAGE('20250815_ETF_Options_Exhibits'!G353:G357),"")</f>
        <v/>
      </c>
      <c r="H357" s="3">
        <f>IF(ISNUMBER(AVERAGE('20250815_ETF_Options_Exhibits'!H353:H357)),AVERAGE('20250815_ETF_Options_Exhibits'!H353:H357),"")</f>
        <v/>
      </c>
      <c r="I357" s="3">
        <f>IF(ISNUMBER(AVERAGE('20250815_ETF_Options_Exhibits'!I353:I357)),AVERAGE('20250815_ETF_Options_Exhibits'!I353:I357),"")</f>
        <v/>
      </c>
      <c r="J357" s="3">
        <f>IF(ISNUMBER(AVERAGE('20250815_ETF_Options_Exhibits'!J353:J357)),AVERAGE('20250815_ETF_Options_Exhibits'!J353:J357),"")</f>
        <v/>
      </c>
      <c r="K357" s="3">
        <f>IF(ISNUMBER(AVERAGE('20250815_ETF_Options_Exhibits'!K353:K357)),AVERAGE('20250815_ETF_Options_Exhibits'!K353:K357),"")</f>
        <v/>
      </c>
      <c r="L357" s="3">
        <f>IF(ISNUMBER(AVERAGE('20250815_ETF_Options_Exhibits'!L353:L357)),AVERAGE('20250815_ETF_Options_Exhibits'!L353:L357),"")</f>
        <v/>
      </c>
      <c r="M357" s="3">
        <f>IF(ISNUMBER(AVERAGE('20250815_ETF_Options_Exhibits'!M353:M357)),AVERAGE('20250815_ETF_Options_Exhibits'!M353:M357),"")</f>
        <v/>
      </c>
      <c r="N357" s="3">
        <f>IF(ISNUMBER(AVERAGE('20250815_ETF_Options_Exhibits'!N353:N357)),AVERAGE('20250815_ETF_Options_Exhibits'!N353:N357),"")</f>
        <v/>
      </c>
      <c r="O357" s="3">
        <f>IF(ISNUMBER(AVERAGE('20250815_ETF_Options_Exhibits'!O353:O357)),AVERAGE('20250815_ETF_Options_Exhibits'!O353:O357),"")</f>
        <v/>
      </c>
      <c r="P357" s="3">
        <f>IF(ISNUMBER(AVERAGE('20250815_ETF_Options_Exhibits'!P353:P357)),AVERAGE('20250815_ETF_Options_Exhibits'!P353:P357),"")</f>
        <v/>
      </c>
      <c r="Q357" s="3">
        <f>IF(ISNUMBER(AVERAGE('20250815_ETF_Options_Exhibits'!Q353:Q357)),AVERAGE('20250815_ETF_Options_Exhibits'!Q353:Q357),"")</f>
        <v/>
      </c>
      <c r="R357" s="3">
        <f>IF(ISNUMBER(AVERAGE('20250815_ETF_Options_Exhibits'!R353:R357)),AVERAGE('20250815_ETF_Options_Exhibits'!R353:R357),"")</f>
        <v/>
      </c>
      <c r="S357" s="3">
        <f>IF(ISNUMBER(AVERAGE('20250815_ETF_Options_Exhibits'!S353:S357)),AVERAGE('20250815_ETF_Options_Exhibits'!S353:S357),"")</f>
        <v/>
      </c>
      <c r="T357" s="3">
        <f>IF(ISNUMBER(AVERAGE('20250815_ETF_Options_Exhibits'!T353:T357)),AVERAGE('20250815_ETF_Options_Exhibits'!T353:T357),"")</f>
        <v/>
      </c>
      <c r="U357" s="3">
        <f>IF(ISNUMBER(AVERAGE('20250815_ETF_Options_Exhibits'!U353:U357)),AVERAGE('20250815_ETF_Options_Exhibits'!U353:U357),"")</f>
        <v/>
      </c>
      <c r="V357" s="3">
        <f>IF(ISNUMBER(AVERAGE('20250815_ETF_Options_Exhibits'!V353:V357)),AVERAGE('20250815_ETF_Options_Exhibits'!V353:V357),"")</f>
        <v/>
      </c>
      <c r="W357" s="3">
        <f>IF(ISNUMBER(AVERAGE('20250815_ETF_Options_Exhibits'!W353:W357)),AVERAGE('20250815_ETF_Options_Exhibits'!W353:W357),"")</f>
        <v/>
      </c>
      <c r="X357" s="3">
        <f>IF(ISNUMBER(AVERAGE('20250815_ETF_Options_Exhibits'!X353:X357)),AVERAGE('20250815_ETF_Options_Exhibits'!X353:X357),"")</f>
        <v/>
      </c>
      <c r="Y357" s="3">
        <f>IF(ISNUMBER(AVERAGE('20250815_ETF_Options_Exhibits'!Y353:Y357)),AVERAGE('20250815_ETF_Options_Exhibits'!Y353:Y357),"")</f>
        <v/>
      </c>
      <c r="Z357" s="3">
        <f>IF(ISNUMBER(AVERAGE('20250815_ETF_Options_Exhibits'!Z353:Z357)),AVERAGE('20250815_ETF_Options_Exhibits'!Z353:Z357),"")</f>
        <v/>
      </c>
      <c r="AA357" s="3">
        <f>IF(ISNUMBER(AVERAGE('20250815_ETF_Options_Exhibits'!AA353:AA357)),AVERAGE('20250815_ETF_Options_Exhibits'!AA353:AA357),"")</f>
        <v/>
      </c>
    </row>
    <row r="358">
      <c r="A358" s="1" t="n">
        <v>42522</v>
      </c>
      <c r="B358" s="3">
        <f>IF(ISNUMBER(AVERAGE('20250815_ETF_Options_Exhibits'!B354:B358)),AVERAGE('20250815_ETF_Options_Exhibits'!B354:B358),"")</f>
        <v/>
      </c>
      <c r="C358" s="3">
        <f>IF(ISNUMBER(AVERAGE('20250815_ETF_Options_Exhibits'!C354:C358)),AVERAGE('20250815_ETF_Options_Exhibits'!C354:C358),"")</f>
        <v/>
      </c>
      <c r="D358" s="3">
        <f>IF(ISNUMBER(AVERAGE('20250815_ETF_Options_Exhibits'!D354:D358)),AVERAGE('20250815_ETF_Options_Exhibits'!D354:D358),"")</f>
        <v/>
      </c>
      <c r="E358" s="3">
        <f>IF(ISNUMBER(AVERAGE('20250815_ETF_Options_Exhibits'!E354:E358)),AVERAGE('20250815_ETF_Options_Exhibits'!E354:E358),"")</f>
        <v/>
      </c>
      <c r="F358" s="3">
        <f>IF(ISNUMBER(AVERAGE('20250815_ETF_Options_Exhibits'!F354:F358)),AVERAGE('20250815_ETF_Options_Exhibits'!F354:F358),"")</f>
        <v/>
      </c>
      <c r="G358" s="3">
        <f>IF(ISNUMBER(AVERAGE('20250815_ETF_Options_Exhibits'!G354:G358)),AVERAGE('20250815_ETF_Options_Exhibits'!G354:G358),"")</f>
        <v/>
      </c>
      <c r="H358" s="3">
        <f>IF(ISNUMBER(AVERAGE('20250815_ETF_Options_Exhibits'!H354:H358)),AVERAGE('20250815_ETF_Options_Exhibits'!H354:H358),"")</f>
        <v/>
      </c>
      <c r="I358" s="3">
        <f>IF(ISNUMBER(AVERAGE('20250815_ETF_Options_Exhibits'!I354:I358)),AVERAGE('20250815_ETF_Options_Exhibits'!I354:I358),"")</f>
        <v/>
      </c>
      <c r="J358" s="3">
        <f>IF(ISNUMBER(AVERAGE('20250815_ETF_Options_Exhibits'!J354:J358)),AVERAGE('20250815_ETF_Options_Exhibits'!J354:J358),"")</f>
        <v/>
      </c>
      <c r="K358" s="3">
        <f>IF(ISNUMBER(AVERAGE('20250815_ETF_Options_Exhibits'!K354:K358)),AVERAGE('20250815_ETF_Options_Exhibits'!K354:K358),"")</f>
        <v/>
      </c>
      <c r="L358" s="3">
        <f>IF(ISNUMBER(AVERAGE('20250815_ETF_Options_Exhibits'!L354:L358)),AVERAGE('20250815_ETF_Options_Exhibits'!L354:L358),"")</f>
        <v/>
      </c>
      <c r="M358" s="3">
        <f>IF(ISNUMBER(AVERAGE('20250815_ETF_Options_Exhibits'!M354:M358)),AVERAGE('20250815_ETF_Options_Exhibits'!M354:M358),"")</f>
        <v/>
      </c>
      <c r="N358" s="3">
        <f>IF(ISNUMBER(AVERAGE('20250815_ETF_Options_Exhibits'!N354:N358)),AVERAGE('20250815_ETF_Options_Exhibits'!N354:N358),"")</f>
        <v/>
      </c>
      <c r="O358" s="3">
        <f>IF(ISNUMBER(AVERAGE('20250815_ETF_Options_Exhibits'!O354:O358)),AVERAGE('20250815_ETF_Options_Exhibits'!O354:O358),"")</f>
        <v/>
      </c>
      <c r="P358" s="3">
        <f>IF(ISNUMBER(AVERAGE('20250815_ETF_Options_Exhibits'!P354:P358)),AVERAGE('20250815_ETF_Options_Exhibits'!P354:P358),"")</f>
        <v/>
      </c>
      <c r="Q358" s="3">
        <f>IF(ISNUMBER(AVERAGE('20250815_ETF_Options_Exhibits'!Q354:Q358)),AVERAGE('20250815_ETF_Options_Exhibits'!Q354:Q358),"")</f>
        <v/>
      </c>
      <c r="R358" s="3">
        <f>IF(ISNUMBER(AVERAGE('20250815_ETF_Options_Exhibits'!R354:R358)),AVERAGE('20250815_ETF_Options_Exhibits'!R354:R358),"")</f>
        <v/>
      </c>
      <c r="S358" s="3">
        <f>IF(ISNUMBER(AVERAGE('20250815_ETF_Options_Exhibits'!S354:S358)),AVERAGE('20250815_ETF_Options_Exhibits'!S354:S358),"")</f>
        <v/>
      </c>
      <c r="T358" s="3">
        <f>IF(ISNUMBER(AVERAGE('20250815_ETF_Options_Exhibits'!T354:T358)),AVERAGE('20250815_ETF_Options_Exhibits'!T354:T358),"")</f>
        <v/>
      </c>
      <c r="U358" s="3">
        <f>IF(ISNUMBER(AVERAGE('20250815_ETF_Options_Exhibits'!U354:U358)),AVERAGE('20250815_ETF_Options_Exhibits'!U354:U358),"")</f>
        <v/>
      </c>
      <c r="V358" s="3">
        <f>IF(ISNUMBER(AVERAGE('20250815_ETF_Options_Exhibits'!V354:V358)),AVERAGE('20250815_ETF_Options_Exhibits'!V354:V358),"")</f>
        <v/>
      </c>
      <c r="W358" s="3">
        <f>IF(ISNUMBER(AVERAGE('20250815_ETF_Options_Exhibits'!W354:W358)),AVERAGE('20250815_ETF_Options_Exhibits'!W354:W358),"")</f>
        <v/>
      </c>
      <c r="X358" s="3">
        <f>IF(ISNUMBER(AVERAGE('20250815_ETF_Options_Exhibits'!X354:X358)),AVERAGE('20250815_ETF_Options_Exhibits'!X354:X358),"")</f>
        <v/>
      </c>
      <c r="Y358" s="3">
        <f>IF(ISNUMBER(AVERAGE('20250815_ETF_Options_Exhibits'!Y354:Y358)),AVERAGE('20250815_ETF_Options_Exhibits'!Y354:Y358),"")</f>
        <v/>
      </c>
      <c r="Z358" s="3">
        <f>IF(ISNUMBER(AVERAGE('20250815_ETF_Options_Exhibits'!Z354:Z358)),AVERAGE('20250815_ETF_Options_Exhibits'!Z354:Z358),"")</f>
        <v/>
      </c>
      <c r="AA358" s="3">
        <f>IF(ISNUMBER(AVERAGE('20250815_ETF_Options_Exhibits'!AA354:AA358)),AVERAGE('20250815_ETF_Options_Exhibits'!AA354:AA358),"")</f>
        <v/>
      </c>
    </row>
    <row r="359">
      <c r="A359" s="1" t="n">
        <v>42523</v>
      </c>
      <c r="B359" s="3">
        <f>IF(ISNUMBER(AVERAGE('20250815_ETF_Options_Exhibits'!B355:B359)),AVERAGE('20250815_ETF_Options_Exhibits'!B355:B359),"")</f>
        <v/>
      </c>
      <c r="C359" s="3">
        <f>IF(ISNUMBER(AVERAGE('20250815_ETF_Options_Exhibits'!C355:C359)),AVERAGE('20250815_ETF_Options_Exhibits'!C355:C359),"")</f>
        <v/>
      </c>
      <c r="D359" s="3">
        <f>IF(ISNUMBER(AVERAGE('20250815_ETF_Options_Exhibits'!D355:D359)),AVERAGE('20250815_ETF_Options_Exhibits'!D355:D359),"")</f>
        <v/>
      </c>
      <c r="E359" s="3">
        <f>IF(ISNUMBER(AVERAGE('20250815_ETF_Options_Exhibits'!E355:E359)),AVERAGE('20250815_ETF_Options_Exhibits'!E355:E359),"")</f>
        <v/>
      </c>
      <c r="F359" s="3">
        <f>IF(ISNUMBER(AVERAGE('20250815_ETF_Options_Exhibits'!F355:F359)),AVERAGE('20250815_ETF_Options_Exhibits'!F355:F359),"")</f>
        <v/>
      </c>
      <c r="G359" s="3">
        <f>IF(ISNUMBER(AVERAGE('20250815_ETF_Options_Exhibits'!G355:G359)),AVERAGE('20250815_ETF_Options_Exhibits'!G355:G359),"")</f>
        <v/>
      </c>
      <c r="H359" s="3">
        <f>IF(ISNUMBER(AVERAGE('20250815_ETF_Options_Exhibits'!H355:H359)),AVERAGE('20250815_ETF_Options_Exhibits'!H355:H359),"")</f>
        <v/>
      </c>
      <c r="I359" s="3">
        <f>IF(ISNUMBER(AVERAGE('20250815_ETF_Options_Exhibits'!I355:I359)),AVERAGE('20250815_ETF_Options_Exhibits'!I355:I359),"")</f>
        <v/>
      </c>
      <c r="J359" s="3">
        <f>IF(ISNUMBER(AVERAGE('20250815_ETF_Options_Exhibits'!J355:J359)),AVERAGE('20250815_ETF_Options_Exhibits'!J355:J359),"")</f>
        <v/>
      </c>
      <c r="K359" s="3">
        <f>IF(ISNUMBER(AVERAGE('20250815_ETF_Options_Exhibits'!K355:K359)),AVERAGE('20250815_ETF_Options_Exhibits'!K355:K359),"")</f>
        <v/>
      </c>
      <c r="L359" s="3">
        <f>IF(ISNUMBER(AVERAGE('20250815_ETF_Options_Exhibits'!L355:L359)),AVERAGE('20250815_ETF_Options_Exhibits'!L355:L359),"")</f>
        <v/>
      </c>
      <c r="M359" s="3">
        <f>IF(ISNUMBER(AVERAGE('20250815_ETF_Options_Exhibits'!M355:M359)),AVERAGE('20250815_ETF_Options_Exhibits'!M355:M359),"")</f>
        <v/>
      </c>
      <c r="N359" s="3">
        <f>IF(ISNUMBER(AVERAGE('20250815_ETF_Options_Exhibits'!N355:N359)),AVERAGE('20250815_ETF_Options_Exhibits'!N355:N359),"")</f>
        <v/>
      </c>
      <c r="O359" s="3">
        <f>IF(ISNUMBER(AVERAGE('20250815_ETF_Options_Exhibits'!O355:O359)),AVERAGE('20250815_ETF_Options_Exhibits'!O355:O359),"")</f>
        <v/>
      </c>
      <c r="P359" s="3">
        <f>IF(ISNUMBER(AVERAGE('20250815_ETF_Options_Exhibits'!P355:P359)),AVERAGE('20250815_ETF_Options_Exhibits'!P355:P359),"")</f>
        <v/>
      </c>
      <c r="Q359" s="3">
        <f>IF(ISNUMBER(AVERAGE('20250815_ETF_Options_Exhibits'!Q355:Q359)),AVERAGE('20250815_ETF_Options_Exhibits'!Q355:Q359),"")</f>
        <v/>
      </c>
      <c r="R359" s="3">
        <f>IF(ISNUMBER(AVERAGE('20250815_ETF_Options_Exhibits'!R355:R359)),AVERAGE('20250815_ETF_Options_Exhibits'!R355:R359),"")</f>
        <v/>
      </c>
      <c r="S359" s="3">
        <f>IF(ISNUMBER(AVERAGE('20250815_ETF_Options_Exhibits'!S355:S359)),AVERAGE('20250815_ETF_Options_Exhibits'!S355:S359),"")</f>
        <v/>
      </c>
      <c r="T359" s="3">
        <f>IF(ISNUMBER(AVERAGE('20250815_ETF_Options_Exhibits'!T355:T359)),AVERAGE('20250815_ETF_Options_Exhibits'!T355:T359),"")</f>
        <v/>
      </c>
      <c r="U359" s="3">
        <f>IF(ISNUMBER(AVERAGE('20250815_ETF_Options_Exhibits'!U355:U359)),AVERAGE('20250815_ETF_Options_Exhibits'!U355:U359),"")</f>
        <v/>
      </c>
      <c r="V359" s="3">
        <f>IF(ISNUMBER(AVERAGE('20250815_ETF_Options_Exhibits'!V355:V359)),AVERAGE('20250815_ETF_Options_Exhibits'!V355:V359),"")</f>
        <v/>
      </c>
      <c r="W359" s="3">
        <f>IF(ISNUMBER(AVERAGE('20250815_ETF_Options_Exhibits'!W355:W359)),AVERAGE('20250815_ETF_Options_Exhibits'!W355:W359),"")</f>
        <v/>
      </c>
      <c r="X359" s="3">
        <f>IF(ISNUMBER(AVERAGE('20250815_ETF_Options_Exhibits'!X355:X359)),AVERAGE('20250815_ETF_Options_Exhibits'!X355:X359),"")</f>
        <v/>
      </c>
      <c r="Y359" s="3">
        <f>IF(ISNUMBER(AVERAGE('20250815_ETF_Options_Exhibits'!Y355:Y359)),AVERAGE('20250815_ETF_Options_Exhibits'!Y355:Y359),"")</f>
        <v/>
      </c>
      <c r="Z359" s="3">
        <f>IF(ISNUMBER(AVERAGE('20250815_ETF_Options_Exhibits'!Z355:Z359)),AVERAGE('20250815_ETF_Options_Exhibits'!Z355:Z359),"")</f>
        <v/>
      </c>
      <c r="AA359" s="3">
        <f>IF(ISNUMBER(AVERAGE('20250815_ETF_Options_Exhibits'!AA355:AA359)),AVERAGE('20250815_ETF_Options_Exhibits'!AA355:AA359),"")</f>
        <v/>
      </c>
    </row>
    <row r="360">
      <c r="A360" s="1" t="n">
        <v>42524</v>
      </c>
      <c r="B360" s="3">
        <f>IF(ISNUMBER(AVERAGE('20250815_ETF_Options_Exhibits'!B356:B360)),AVERAGE('20250815_ETF_Options_Exhibits'!B356:B360),"")</f>
        <v/>
      </c>
      <c r="C360" s="3">
        <f>IF(ISNUMBER(AVERAGE('20250815_ETF_Options_Exhibits'!C356:C360)),AVERAGE('20250815_ETF_Options_Exhibits'!C356:C360),"")</f>
        <v/>
      </c>
      <c r="D360" s="3">
        <f>IF(ISNUMBER(AVERAGE('20250815_ETF_Options_Exhibits'!D356:D360)),AVERAGE('20250815_ETF_Options_Exhibits'!D356:D360),"")</f>
        <v/>
      </c>
      <c r="E360" s="3">
        <f>IF(ISNUMBER(AVERAGE('20250815_ETF_Options_Exhibits'!E356:E360)),AVERAGE('20250815_ETF_Options_Exhibits'!E356:E360),"")</f>
        <v/>
      </c>
      <c r="F360" s="3">
        <f>IF(ISNUMBER(AVERAGE('20250815_ETF_Options_Exhibits'!F356:F360)),AVERAGE('20250815_ETF_Options_Exhibits'!F356:F360),"")</f>
        <v/>
      </c>
      <c r="G360" s="3">
        <f>IF(ISNUMBER(AVERAGE('20250815_ETF_Options_Exhibits'!G356:G360)),AVERAGE('20250815_ETF_Options_Exhibits'!G356:G360),"")</f>
        <v/>
      </c>
      <c r="H360" s="3">
        <f>IF(ISNUMBER(AVERAGE('20250815_ETF_Options_Exhibits'!H356:H360)),AVERAGE('20250815_ETF_Options_Exhibits'!H356:H360),"")</f>
        <v/>
      </c>
      <c r="I360" s="3">
        <f>IF(ISNUMBER(AVERAGE('20250815_ETF_Options_Exhibits'!I356:I360)),AVERAGE('20250815_ETF_Options_Exhibits'!I356:I360),"")</f>
        <v/>
      </c>
      <c r="J360" s="3">
        <f>IF(ISNUMBER(AVERAGE('20250815_ETF_Options_Exhibits'!J356:J360)),AVERAGE('20250815_ETF_Options_Exhibits'!J356:J360),"")</f>
        <v/>
      </c>
      <c r="K360" s="3">
        <f>IF(ISNUMBER(AVERAGE('20250815_ETF_Options_Exhibits'!K356:K360)),AVERAGE('20250815_ETF_Options_Exhibits'!K356:K360),"")</f>
        <v/>
      </c>
      <c r="L360" s="3">
        <f>IF(ISNUMBER(AVERAGE('20250815_ETF_Options_Exhibits'!L356:L360)),AVERAGE('20250815_ETF_Options_Exhibits'!L356:L360),"")</f>
        <v/>
      </c>
      <c r="M360" s="3">
        <f>IF(ISNUMBER(AVERAGE('20250815_ETF_Options_Exhibits'!M356:M360)),AVERAGE('20250815_ETF_Options_Exhibits'!M356:M360),"")</f>
        <v/>
      </c>
      <c r="N360" s="3">
        <f>IF(ISNUMBER(AVERAGE('20250815_ETF_Options_Exhibits'!N356:N360)),AVERAGE('20250815_ETF_Options_Exhibits'!N356:N360),"")</f>
        <v/>
      </c>
      <c r="O360" s="3">
        <f>IF(ISNUMBER(AVERAGE('20250815_ETF_Options_Exhibits'!O356:O360)),AVERAGE('20250815_ETF_Options_Exhibits'!O356:O360),"")</f>
        <v/>
      </c>
      <c r="P360" s="3">
        <f>IF(ISNUMBER(AVERAGE('20250815_ETF_Options_Exhibits'!P356:P360)),AVERAGE('20250815_ETF_Options_Exhibits'!P356:P360),"")</f>
        <v/>
      </c>
      <c r="Q360" s="3">
        <f>IF(ISNUMBER(AVERAGE('20250815_ETF_Options_Exhibits'!Q356:Q360)),AVERAGE('20250815_ETF_Options_Exhibits'!Q356:Q360),"")</f>
        <v/>
      </c>
      <c r="R360" s="3">
        <f>IF(ISNUMBER(AVERAGE('20250815_ETF_Options_Exhibits'!R356:R360)),AVERAGE('20250815_ETF_Options_Exhibits'!R356:R360),"")</f>
        <v/>
      </c>
      <c r="S360" s="3">
        <f>IF(ISNUMBER(AVERAGE('20250815_ETF_Options_Exhibits'!S356:S360)),AVERAGE('20250815_ETF_Options_Exhibits'!S356:S360),"")</f>
        <v/>
      </c>
      <c r="T360" s="3">
        <f>IF(ISNUMBER(AVERAGE('20250815_ETF_Options_Exhibits'!T356:T360)),AVERAGE('20250815_ETF_Options_Exhibits'!T356:T360),"")</f>
        <v/>
      </c>
      <c r="U360" s="3">
        <f>IF(ISNUMBER(AVERAGE('20250815_ETF_Options_Exhibits'!U356:U360)),AVERAGE('20250815_ETF_Options_Exhibits'!U356:U360),"")</f>
        <v/>
      </c>
      <c r="V360" s="3">
        <f>IF(ISNUMBER(AVERAGE('20250815_ETF_Options_Exhibits'!V356:V360)),AVERAGE('20250815_ETF_Options_Exhibits'!V356:V360),"")</f>
        <v/>
      </c>
      <c r="W360" s="3">
        <f>IF(ISNUMBER(AVERAGE('20250815_ETF_Options_Exhibits'!W356:W360)),AVERAGE('20250815_ETF_Options_Exhibits'!W356:W360),"")</f>
        <v/>
      </c>
      <c r="X360" s="3">
        <f>IF(ISNUMBER(AVERAGE('20250815_ETF_Options_Exhibits'!X356:X360)),AVERAGE('20250815_ETF_Options_Exhibits'!X356:X360),"")</f>
        <v/>
      </c>
      <c r="Y360" s="3">
        <f>IF(ISNUMBER(AVERAGE('20250815_ETF_Options_Exhibits'!Y356:Y360)),AVERAGE('20250815_ETF_Options_Exhibits'!Y356:Y360),"")</f>
        <v/>
      </c>
      <c r="Z360" s="3">
        <f>IF(ISNUMBER(AVERAGE('20250815_ETF_Options_Exhibits'!Z356:Z360)),AVERAGE('20250815_ETF_Options_Exhibits'!Z356:Z360),"")</f>
        <v/>
      </c>
      <c r="AA360" s="3">
        <f>IF(ISNUMBER(AVERAGE('20250815_ETF_Options_Exhibits'!AA356:AA360)),AVERAGE('20250815_ETF_Options_Exhibits'!AA356:AA360),"")</f>
        <v/>
      </c>
    </row>
    <row r="361">
      <c r="A361" s="1" t="n">
        <v>42527</v>
      </c>
      <c r="B361" s="3">
        <f>IF(ISNUMBER(AVERAGE('20250815_ETF_Options_Exhibits'!B357:B361)),AVERAGE('20250815_ETF_Options_Exhibits'!B357:B361),"")</f>
        <v/>
      </c>
      <c r="C361" s="3">
        <f>IF(ISNUMBER(AVERAGE('20250815_ETF_Options_Exhibits'!C357:C361)),AVERAGE('20250815_ETF_Options_Exhibits'!C357:C361),"")</f>
        <v/>
      </c>
      <c r="D361" s="3">
        <f>IF(ISNUMBER(AVERAGE('20250815_ETF_Options_Exhibits'!D357:D361)),AVERAGE('20250815_ETF_Options_Exhibits'!D357:D361),"")</f>
        <v/>
      </c>
      <c r="E361" s="3">
        <f>IF(ISNUMBER(AVERAGE('20250815_ETF_Options_Exhibits'!E357:E361)),AVERAGE('20250815_ETF_Options_Exhibits'!E357:E361),"")</f>
        <v/>
      </c>
      <c r="F361" s="3">
        <f>IF(ISNUMBER(AVERAGE('20250815_ETF_Options_Exhibits'!F357:F361)),AVERAGE('20250815_ETF_Options_Exhibits'!F357:F361),"")</f>
        <v/>
      </c>
      <c r="G361" s="3">
        <f>IF(ISNUMBER(AVERAGE('20250815_ETF_Options_Exhibits'!G357:G361)),AVERAGE('20250815_ETF_Options_Exhibits'!G357:G361),"")</f>
        <v/>
      </c>
      <c r="H361" s="3">
        <f>IF(ISNUMBER(AVERAGE('20250815_ETF_Options_Exhibits'!H357:H361)),AVERAGE('20250815_ETF_Options_Exhibits'!H357:H361),"")</f>
        <v/>
      </c>
      <c r="I361" s="3">
        <f>IF(ISNUMBER(AVERAGE('20250815_ETF_Options_Exhibits'!I357:I361)),AVERAGE('20250815_ETF_Options_Exhibits'!I357:I361),"")</f>
        <v/>
      </c>
      <c r="J361" s="3">
        <f>IF(ISNUMBER(AVERAGE('20250815_ETF_Options_Exhibits'!J357:J361)),AVERAGE('20250815_ETF_Options_Exhibits'!J357:J361),"")</f>
        <v/>
      </c>
      <c r="K361" s="3">
        <f>IF(ISNUMBER(AVERAGE('20250815_ETF_Options_Exhibits'!K357:K361)),AVERAGE('20250815_ETF_Options_Exhibits'!K357:K361),"")</f>
        <v/>
      </c>
      <c r="L361" s="3">
        <f>IF(ISNUMBER(AVERAGE('20250815_ETF_Options_Exhibits'!L357:L361)),AVERAGE('20250815_ETF_Options_Exhibits'!L357:L361),"")</f>
        <v/>
      </c>
      <c r="M361" s="3">
        <f>IF(ISNUMBER(AVERAGE('20250815_ETF_Options_Exhibits'!M357:M361)),AVERAGE('20250815_ETF_Options_Exhibits'!M357:M361),"")</f>
        <v/>
      </c>
      <c r="N361" s="3">
        <f>IF(ISNUMBER(AVERAGE('20250815_ETF_Options_Exhibits'!N357:N361)),AVERAGE('20250815_ETF_Options_Exhibits'!N357:N361),"")</f>
        <v/>
      </c>
      <c r="O361" s="3">
        <f>IF(ISNUMBER(AVERAGE('20250815_ETF_Options_Exhibits'!O357:O361)),AVERAGE('20250815_ETF_Options_Exhibits'!O357:O361),"")</f>
        <v/>
      </c>
      <c r="P361" s="3">
        <f>IF(ISNUMBER(AVERAGE('20250815_ETF_Options_Exhibits'!P357:P361)),AVERAGE('20250815_ETF_Options_Exhibits'!P357:P361),"")</f>
        <v/>
      </c>
      <c r="Q361" s="3">
        <f>IF(ISNUMBER(AVERAGE('20250815_ETF_Options_Exhibits'!Q357:Q361)),AVERAGE('20250815_ETF_Options_Exhibits'!Q357:Q361),"")</f>
        <v/>
      </c>
      <c r="R361" s="3">
        <f>IF(ISNUMBER(AVERAGE('20250815_ETF_Options_Exhibits'!R357:R361)),AVERAGE('20250815_ETF_Options_Exhibits'!R357:R361),"")</f>
        <v/>
      </c>
      <c r="S361" s="3">
        <f>IF(ISNUMBER(AVERAGE('20250815_ETF_Options_Exhibits'!S357:S361)),AVERAGE('20250815_ETF_Options_Exhibits'!S357:S361),"")</f>
        <v/>
      </c>
      <c r="T361" s="3">
        <f>IF(ISNUMBER(AVERAGE('20250815_ETF_Options_Exhibits'!T357:T361)),AVERAGE('20250815_ETF_Options_Exhibits'!T357:T361),"")</f>
        <v/>
      </c>
      <c r="U361" s="3">
        <f>IF(ISNUMBER(AVERAGE('20250815_ETF_Options_Exhibits'!U357:U361)),AVERAGE('20250815_ETF_Options_Exhibits'!U357:U361),"")</f>
        <v/>
      </c>
      <c r="V361" s="3">
        <f>IF(ISNUMBER(AVERAGE('20250815_ETF_Options_Exhibits'!V357:V361)),AVERAGE('20250815_ETF_Options_Exhibits'!V357:V361),"")</f>
        <v/>
      </c>
      <c r="W361" s="3">
        <f>IF(ISNUMBER(AVERAGE('20250815_ETF_Options_Exhibits'!W357:W361)),AVERAGE('20250815_ETF_Options_Exhibits'!W357:W361),"")</f>
        <v/>
      </c>
      <c r="X361" s="3">
        <f>IF(ISNUMBER(AVERAGE('20250815_ETF_Options_Exhibits'!X357:X361)),AVERAGE('20250815_ETF_Options_Exhibits'!X357:X361),"")</f>
        <v/>
      </c>
      <c r="Y361" s="3">
        <f>IF(ISNUMBER(AVERAGE('20250815_ETF_Options_Exhibits'!Y357:Y361)),AVERAGE('20250815_ETF_Options_Exhibits'!Y357:Y361),"")</f>
        <v/>
      </c>
      <c r="Z361" s="3">
        <f>IF(ISNUMBER(AVERAGE('20250815_ETF_Options_Exhibits'!Z357:Z361)),AVERAGE('20250815_ETF_Options_Exhibits'!Z357:Z361),"")</f>
        <v/>
      </c>
      <c r="AA361" s="3">
        <f>IF(ISNUMBER(AVERAGE('20250815_ETF_Options_Exhibits'!AA357:AA361)),AVERAGE('20250815_ETF_Options_Exhibits'!AA357:AA361),"")</f>
        <v/>
      </c>
    </row>
    <row r="362">
      <c r="A362" s="1" t="n">
        <v>42528</v>
      </c>
      <c r="B362" s="3">
        <f>IF(ISNUMBER(AVERAGE('20250815_ETF_Options_Exhibits'!B358:B362)),AVERAGE('20250815_ETF_Options_Exhibits'!B358:B362),"")</f>
        <v/>
      </c>
      <c r="C362" s="3">
        <f>IF(ISNUMBER(AVERAGE('20250815_ETF_Options_Exhibits'!C358:C362)),AVERAGE('20250815_ETF_Options_Exhibits'!C358:C362),"")</f>
        <v/>
      </c>
      <c r="D362" s="3">
        <f>IF(ISNUMBER(AVERAGE('20250815_ETF_Options_Exhibits'!D358:D362)),AVERAGE('20250815_ETF_Options_Exhibits'!D358:D362),"")</f>
        <v/>
      </c>
      <c r="E362" s="3">
        <f>IF(ISNUMBER(AVERAGE('20250815_ETF_Options_Exhibits'!E358:E362)),AVERAGE('20250815_ETF_Options_Exhibits'!E358:E362),"")</f>
        <v/>
      </c>
      <c r="F362" s="3">
        <f>IF(ISNUMBER(AVERAGE('20250815_ETF_Options_Exhibits'!F358:F362)),AVERAGE('20250815_ETF_Options_Exhibits'!F358:F362),"")</f>
        <v/>
      </c>
      <c r="G362" s="3">
        <f>IF(ISNUMBER(AVERAGE('20250815_ETF_Options_Exhibits'!G358:G362)),AVERAGE('20250815_ETF_Options_Exhibits'!G358:G362),"")</f>
        <v/>
      </c>
      <c r="H362" s="3">
        <f>IF(ISNUMBER(AVERAGE('20250815_ETF_Options_Exhibits'!H358:H362)),AVERAGE('20250815_ETF_Options_Exhibits'!H358:H362),"")</f>
        <v/>
      </c>
      <c r="I362" s="3">
        <f>IF(ISNUMBER(AVERAGE('20250815_ETF_Options_Exhibits'!I358:I362)),AVERAGE('20250815_ETF_Options_Exhibits'!I358:I362),"")</f>
        <v/>
      </c>
      <c r="J362" s="3">
        <f>IF(ISNUMBER(AVERAGE('20250815_ETF_Options_Exhibits'!J358:J362)),AVERAGE('20250815_ETF_Options_Exhibits'!J358:J362),"")</f>
        <v/>
      </c>
      <c r="K362" s="3">
        <f>IF(ISNUMBER(AVERAGE('20250815_ETF_Options_Exhibits'!K358:K362)),AVERAGE('20250815_ETF_Options_Exhibits'!K358:K362),"")</f>
        <v/>
      </c>
      <c r="L362" s="3">
        <f>IF(ISNUMBER(AVERAGE('20250815_ETF_Options_Exhibits'!L358:L362)),AVERAGE('20250815_ETF_Options_Exhibits'!L358:L362),"")</f>
        <v/>
      </c>
      <c r="M362" s="3">
        <f>IF(ISNUMBER(AVERAGE('20250815_ETF_Options_Exhibits'!M358:M362)),AVERAGE('20250815_ETF_Options_Exhibits'!M358:M362),"")</f>
        <v/>
      </c>
      <c r="N362" s="3">
        <f>IF(ISNUMBER(AVERAGE('20250815_ETF_Options_Exhibits'!N358:N362)),AVERAGE('20250815_ETF_Options_Exhibits'!N358:N362),"")</f>
        <v/>
      </c>
      <c r="O362" s="3">
        <f>IF(ISNUMBER(AVERAGE('20250815_ETF_Options_Exhibits'!O358:O362)),AVERAGE('20250815_ETF_Options_Exhibits'!O358:O362),"")</f>
        <v/>
      </c>
      <c r="P362" s="3">
        <f>IF(ISNUMBER(AVERAGE('20250815_ETF_Options_Exhibits'!P358:P362)),AVERAGE('20250815_ETF_Options_Exhibits'!P358:P362),"")</f>
        <v/>
      </c>
      <c r="Q362" s="3">
        <f>IF(ISNUMBER(AVERAGE('20250815_ETF_Options_Exhibits'!Q358:Q362)),AVERAGE('20250815_ETF_Options_Exhibits'!Q358:Q362),"")</f>
        <v/>
      </c>
      <c r="R362" s="3">
        <f>IF(ISNUMBER(AVERAGE('20250815_ETF_Options_Exhibits'!R358:R362)),AVERAGE('20250815_ETF_Options_Exhibits'!R358:R362),"")</f>
        <v/>
      </c>
      <c r="S362" s="3">
        <f>IF(ISNUMBER(AVERAGE('20250815_ETF_Options_Exhibits'!S358:S362)),AVERAGE('20250815_ETF_Options_Exhibits'!S358:S362),"")</f>
        <v/>
      </c>
      <c r="T362" s="3">
        <f>IF(ISNUMBER(AVERAGE('20250815_ETF_Options_Exhibits'!T358:T362)),AVERAGE('20250815_ETF_Options_Exhibits'!T358:T362),"")</f>
        <v/>
      </c>
      <c r="U362" s="3">
        <f>IF(ISNUMBER(AVERAGE('20250815_ETF_Options_Exhibits'!U358:U362)),AVERAGE('20250815_ETF_Options_Exhibits'!U358:U362),"")</f>
        <v/>
      </c>
      <c r="V362" s="3">
        <f>IF(ISNUMBER(AVERAGE('20250815_ETF_Options_Exhibits'!V358:V362)),AVERAGE('20250815_ETF_Options_Exhibits'!V358:V362),"")</f>
        <v/>
      </c>
      <c r="W362" s="3">
        <f>IF(ISNUMBER(AVERAGE('20250815_ETF_Options_Exhibits'!W358:W362)),AVERAGE('20250815_ETF_Options_Exhibits'!W358:W362),"")</f>
        <v/>
      </c>
      <c r="X362" s="3">
        <f>IF(ISNUMBER(AVERAGE('20250815_ETF_Options_Exhibits'!X358:X362)),AVERAGE('20250815_ETF_Options_Exhibits'!X358:X362),"")</f>
        <v/>
      </c>
      <c r="Y362" s="3">
        <f>IF(ISNUMBER(AVERAGE('20250815_ETF_Options_Exhibits'!Y358:Y362)),AVERAGE('20250815_ETF_Options_Exhibits'!Y358:Y362),"")</f>
        <v/>
      </c>
      <c r="Z362" s="3">
        <f>IF(ISNUMBER(AVERAGE('20250815_ETF_Options_Exhibits'!Z358:Z362)),AVERAGE('20250815_ETF_Options_Exhibits'!Z358:Z362),"")</f>
        <v/>
      </c>
      <c r="AA362" s="3">
        <f>IF(ISNUMBER(AVERAGE('20250815_ETF_Options_Exhibits'!AA358:AA362)),AVERAGE('20250815_ETF_Options_Exhibits'!AA358:AA362),"")</f>
        <v/>
      </c>
    </row>
    <row r="363">
      <c r="A363" s="1" t="n">
        <v>42529</v>
      </c>
      <c r="B363" s="3">
        <f>IF(ISNUMBER(AVERAGE('20250815_ETF_Options_Exhibits'!B359:B363)),AVERAGE('20250815_ETF_Options_Exhibits'!B359:B363),"")</f>
        <v/>
      </c>
      <c r="C363" s="3">
        <f>IF(ISNUMBER(AVERAGE('20250815_ETF_Options_Exhibits'!C359:C363)),AVERAGE('20250815_ETF_Options_Exhibits'!C359:C363),"")</f>
        <v/>
      </c>
      <c r="D363" s="3">
        <f>IF(ISNUMBER(AVERAGE('20250815_ETF_Options_Exhibits'!D359:D363)),AVERAGE('20250815_ETF_Options_Exhibits'!D359:D363),"")</f>
        <v/>
      </c>
      <c r="E363" s="3">
        <f>IF(ISNUMBER(AVERAGE('20250815_ETF_Options_Exhibits'!E359:E363)),AVERAGE('20250815_ETF_Options_Exhibits'!E359:E363),"")</f>
        <v/>
      </c>
      <c r="F363" s="3">
        <f>IF(ISNUMBER(AVERAGE('20250815_ETF_Options_Exhibits'!F359:F363)),AVERAGE('20250815_ETF_Options_Exhibits'!F359:F363),"")</f>
        <v/>
      </c>
      <c r="G363" s="3">
        <f>IF(ISNUMBER(AVERAGE('20250815_ETF_Options_Exhibits'!G359:G363)),AVERAGE('20250815_ETF_Options_Exhibits'!G359:G363),"")</f>
        <v/>
      </c>
      <c r="H363" s="3">
        <f>IF(ISNUMBER(AVERAGE('20250815_ETF_Options_Exhibits'!H359:H363)),AVERAGE('20250815_ETF_Options_Exhibits'!H359:H363),"")</f>
        <v/>
      </c>
      <c r="I363" s="3">
        <f>IF(ISNUMBER(AVERAGE('20250815_ETF_Options_Exhibits'!I359:I363)),AVERAGE('20250815_ETF_Options_Exhibits'!I359:I363),"")</f>
        <v/>
      </c>
      <c r="J363" s="3">
        <f>IF(ISNUMBER(AVERAGE('20250815_ETF_Options_Exhibits'!J359:J363)),AVERAGE('20250815_ETF_Options_Exhibits'!J359:J363),"")</f>
        <v/>
      </c>
      <c r="K363" s="3">
        <f>IF(ISNUMBER(AVERAGE('20250815_ETF_Options_Exhibits'!K359:K363)),AVERAGE('20250815_ETF_Options_Exhibits'!K359:K363),"")</f>
        <v/>
      </c>
      <c r="L363" s="3">
        <f>IF(ISNUMBER(AVERAGE('20250815_ETF_Options_Exhibits'!L359:L363)),AVERAGE('20250815_ETF_Options_Exhibits'!L359:L363),"")</f>
        <v/>
      </c>
      <c r="M363" s="3">
        <f>IF(ISNUMBER(AVERAGE('20250815_ETF_Options_Exhibits'!M359:M363)),AVERAGE('20250815_ETF_Options_Exhibits'!M359:M363),"")</f>
        <v/>
      </c>
      <c r="N363" s="3">
        <f>IF(ISNUMBER(AVERAGE('20250815_ETF_Options_Exhibits'!N359:N363)),AVERAGE('20250815_ETF_Options_Exhibits'!N359:N363),"")</f>
        <v/>
      </c>
      <c r="O363" s="3">
        <f>IF(ISNUMBER(AVERAGE('20250815_ETF_Options_Exhibits'!O359:O363)),AVERAGE('20250815_ETF_Options_Exhibits'!O359:O363),"")</f>
        <v/>
      </c>
      <c r="P363" s="3">
        <f>IF(ISNUMBER(AVERAGE('20250815_ETF_Options_Exhibits'!P359:P363)),AVERAGE('20250815_ETF_Options_Exhibits'!P359:P363),"")</f>
        <v/>
      </c>
      <c r="Q363" s="3">
        <f>IF(ISNUMBER(AVERAGE('20250815_ETF_Options_Exhibits'!Q359:Q363)),AVERAGE('20250815_ETF_Options_Exhibits'!Q359:Q363),"")</f>
        <v/>
      </c>
      <c r="R363" s="3">
        <f>IF(ISNUMBER(AVERAGE('20250815_ETF_Options_Exhibits'!R359:R363)),AVERAGE('20250815_ETF_Options_Exhibits'!R359:R363),"")</f>
        <v/>
      </c>
      <c r="S363" s="3">
        <f>IF(ISNUMBER(AVERAGE('20250815_ETF_Options_Exhibits'!S359:S363)),AVERAGE('20250815_ETF_Options_Exhibits'!S359:S363),"")</f>
        <v/>
      </c>
      <c r="T363" s="3">
        <f>IF(ISNUMBER(AVERAGE('20250815_ETF_Options_Exhibits'!T359:T363)),AVERAGE('20250815_ETF_Options_Exhibits'!T359:T363),"")</f>
        <v/>
      </c>
      <c r="U363" s="3">
        <f>IF(ISNUMBER(AVERAGE('20250815_ETF_Options_Exhibits'!U359:U363)),AVERAGE('20250815_ETF_Options_Exhibits'!U359:U363),"")</f>
        <v/>
      </c>
      <c r="V363" s="3">
        <f>IF(ISNUMBER(AVERAGE('20250815_ETF_Options_Exhibits'!V359:V363)),AVERAGE('20250815_ETF_Options_Exhibits'!V359:V363),"")</f>
        <v/>
      </c>
      <c r="W363" s="3">
        <f>IF(ISNUMBER(AVERAGE('20250815_ETF_Options_Exhibits'!W359:W363)),AVERAGE('20250815_ETF_Options_Exhibits'!W359:W363),"")</f>
        <v/>
      </c>
      <c r="X363" s="3">
        <f>IF(ISNUMBER(AVERAGE('20250815_ETF_Options_Exhibits'!X359:X363)),AVERAGE('20250815_ETF_Options_Exhibits'!X359:X363),"")</f>
        <v/>
      </c>
      <c r="Y363" s="3">
        <f>IF(ISNUMBER(AVERAGE('20250815_ETF_Options_Exhibits'!Y359:Y363)),AVERAGE('20250815_ETF_Options_Exhibits'!Y359:Y363),"")</f>
        <v/>
      </c>
      <c r="Z363" s="3">
        <f>IF(ISNUMBER(AVERAGE('20250815_ETF_Options_Exhibits'!Z359:Z363)),AVERAGE('20250815_ETF_Options_Exhibits'!Z359:Z363),"")</f>
        <v/>
      </c>
      <c r="AA363" s="3">
        <f>IF(ISNUMBER(AVERAGE('20250815_ETF_Options_Exhibits'!AA359:AA363)),AVERAGE('20250815_ETF_Options_Exhibits'!AA359:AA363),"")</f>
        <v/>
      </c>
    </row>
    <row r="364">
      <c r="A364" s="1" t="n">
        <v>42530</v>
      </c>
      <c r="B364" s="3">
        <f>IF(ISNUMBER(AVERAGE('20250815_ETF_Options_Exhibits'!B360:B364)),AVERAGE('20250815_ETF_Options_Exhibits'!B360:B364),"")</f>
        <v/>
      </c>
      <c r="C364" s="3">
        <f>IF(ISNUMBER(AVERAGE('20250815_ETF_Options_Exhibits'!C360:C364)),AVERAGE('20250815_ETF_Options_Exhibits'!C360:C364),"")</f>
        <v/>
      </c>
      <c r="D364" s="3">
        <f>IF(ISNUMBER(AVERAGE('20250815_ETF_Options_Exhibits'!D360:D364)),AVERAGE('20250815_ETF_Options_Exhibits'!D360:D364),"")</f>
        <v/>
      </c>
      <c r="E364" s="3">
        <f>IF(ISNUMBER(AVERAGE('20250815_ETF_Options_Exhibits'!E360:E364)),AVERAGE('20250815_ETF_Options_Exhibits'!E360:E364),"")</f>
        <v/>
      </c>
      <c r="F364" s="3">
        <f>IF(ISNUMBER(AVERAGE('20250815_ETF_Options_Exhibits'!F360:F364)),AVERAGE('20250815_ETF_Options_Exhibits'!F360:F364),"")</f>
        <v/>
      </c>
      <c r="G364" s="3">
        <f>IF(ISNUMBER(AVERAGE('20250815_ETF_Options_Exhibits'!G360:G364)),AVERAGE('20250815_ETF_Options_Exhibits'!G360:G364),"")</f>
        <v/>
      </c>
      <c r="H364" s="3">
        <f>IF(ISNUMBER(AVERAGE('20250815_ETF_Options_Exhibits'!H360:H364)),AVERAGE('20250815_ETF_Options_Exhibits'!H360:H364),"")</f>
        <v/>
      </c>
      <c r="I364" s="3">
        <f>IF(ISNUMBER(AVERAGE('20250815_ETF_Options_Exhibits'!I360:I364)),AVERAGE('20250815_ETF_Options_Exhibits'!I360:I364),"")</f>
        <v/>
      </c>
      <c r="J364" s="3">
        <f>IF(ISNUMBER(AVERAGE('20250815_ETF_Options_Exhibits'!J360:J364)),AVERAGE('20250815_ETF_Options_Exhibits'!J360:J364),"")</f>
        <v/>
      </c>
      <c r="K364" s="3">
        <f>IF(ISNUMBER(AVERAGE('20250815_ETF_Options_Exhibits'!K360:K364)),AVERAGE('20250815_ETF_Options_Exhibits'!K360:K364),"")</f>
        <v/>
      </c>
      <c r="L364" s="3">
        <f>IF(ISNUMBER(AVERAGE('20250815_ETF_Options_Exhibits'!L360:L364)),AVERAGE('20250815_ETF_Options_Exhibits'!L360:L364),"")</f>
        <v/>
      </c>
      <c r="M364" s="3">
        <f>IF(ISNUMBER(AVERAGE('20250815_ETF_Options_Exhibits'!M360:M364)),AVERAGE('20250815_ETF_Options_Exhibits'!M360:M364),"")</f>
        <v/>
      </c>
      <c r="N364" s="3">
        <f>IF(ISNUMBER(AVERAGE('20250815_ETF_Options_Exhibits'!N360:N364)),AVERAGE('20250815_ETF_Options_Exhibits'!N360:N364),"")</f>
        <v/>
      </c>
      <c r="O364" s="3">
        <f>IF(ISNUMBER(AVERAGE('20250815_ETF_Options_Exhibits'!O360:O364)),AVERAGE('20250815_ETF_Options_Exhibits'!O360:O364),"")</f>
        <v/>
      </c>
      <c r="P364" s="3">
        <f>IF(ISNUMBER(AVERAGE('20250815_ETF_Options_Exhibits'!P360:P364)),AVERAGE('20250815_ETF_Options_Exhibits'!P360:P364),"")</f>
        <v/>
      </c>
      <c r="Q364" s="3">
        <f>IF(ISNUMBER(AVERAGE('20250815_ETF_Options_Exhibits'!Q360:Q364)),AVERAGE('20250815_ETF_Options_Exhibits'!Q360:Q364),"")</f>
        <v/>
      </c>
      <c r="R364" s="3">
        <f>IF(ISNUMBER(AVERAGE('20250815_ETF_Options_Exhibits'!R360:R364)),AVERAGE('20250815_ETF_Options_Exhibits'!R360:R364),"")</f>
        <v/>
      </c>
      <c r="S364" s="3">
        <f>IF(ISNUMBER(AVERAGE('20250815_ETF_Options_Exhibits'!S360:S364)),AVERAGE('20250815_ETF_Options_Exhibits'!S360:S364),"")</f>
        <v/>
      </c>
      <c r="T364" s="3">
        <f>IF(ISNUMBER(AVERAGE('20250815_ETF_Options_Exhibits'!T360:T364)),AVERAGE('20250815_ETF_Options_Exhibits'!T360:T364),"")</f>
        <v/>
      </c>
      <c r="U364" s="3">
        <f>IF(ISNUMBER(AVERAGE('20250815_ETF_Options_Exhibits'!U360:U364)),AVERAGE('20250815_ETF_Options_Exhibits'!U360:U364),"")</f>
        <v/>
      </c>
      <c r="V364" s="3">
        <f>IF(ISNUMBER(AVERAGE('20250815_ETF_Options_Exhibits'!V360:V364)),AVERAGE('20250815_ETF_Options_Exhibits'!V360:V364),"")</f>
        <v/>
      </c>
      <c r="W364" s="3">
        <f>IF(ISNUMBER(AVERAGE('20250815_ETF_Options_Exhibits'!W360:W364)),AVERAGE('20250815_ETF_Options_Exhibits'!W360:W364),"")</f>
        <v/>
      </c>
      <c r="X364" s="3">
        <f>IF(ISNUMBER(AVERAGE('20250815_ETF_Options_Exhibits'!X360:X364)),AVERAGE('20250815_ETF_Options_Exhibits'!X360:X364),"")</f>
        <v/>
      </c>
      <c r="Y364" s="3">
        <f>IF(ISNUMBER(AVERAGE('20250815_ETF_Options_Exhibits'!Y360:Y364)),AVERAGE('20250815_ETF_Options_Exhibits'!Y360:Y364),"")</f>
        <v/>
      </c>
      <c r="Z364" s="3">
        <f>IF(ISNUMBER(AVERAGE('20250815_ETF_Options_Exhibits'!Z360:Z364)),AVERAGE('20250815_ETF_Options_Exhibits'!Z360:Z364),"")</f>
        <v/>
      </c>
      <c r="AA364" s="3">
        <f>IF(ISNUMBER(AVERAGE('20250815_ETF_Options_Exhibits'!AA360:AA364)),AVERAGE('20250815_ETF_Options_Exhibits'!AA360:AA364),"")</f>
        <v/>
      </c>
    </row>
    <row r="365">
      <c r="A365" s="1" t="n">
        <v>42531</v>
      </c>
      <c r="B365" s="3">
        <f>IF(ISNUMBER(AVERAGE('20250815_ETF_Options_Exhibits'!B361:B365)),AVERAGE('20250815_ETF_Options_Exhibits'!B361:B365),"")</f>
        <v/>
      </c>
      <c r="C365" s="3">
        <f>IF(ISNUMBER(AVERAGE('20250815_ETF_Options_Exhibits'!C361:C365)),AVERAGE('20250815_ETF_Options_Exhibits'!C361:C365),"")</f>
        <v/>
      </c>
      <c r="D365" s="3">
        <f>IF(ISNUMBER(AVERAGE('20250815_ETF_Options_Exhibits'!D361:D365)),AVERAGE('20250815_ETF_Options_Exhibits'!D361:D365),"")</f>
        <v/>
      </c>
      <c r="E365" s="3">
        <f>IF(ISNUMBER(AVERAGE('20250815_ETF_Options_Exhibits'!E361:E365)),AVERAGE('20250815_ETF_Options_Exhibits'!E361:E365),"")</f>
        <v/>
      </c>
      <c r="F365" s="3">
        <f>IF(ISNUMBER(AVERAGE('20250815_ETF_Options_Exhibits'!F361:F365)),AVERAGE('20250815_ETF_Options_Exhibits'!F361:F365),"")</f>
        <v/>
      </c>
      <c r="G365" s="3">
        <f>IF(ISNUMBER(AVERAGE('20250815_ETF_Options_Exhibits'!G361:G365)),AVERAGE('20250815_ETF_Options_Exhibits'!G361:G365),"")</f>
        <v/>
      </c>
      <c r="H365" s="3">
        <f>IF(ISNUMBER(AVERAGE('20250815_ETF_Options_Exhibits'!H361:H365)),AVERAGE('20250815_ETF_Options_Exhibits'!H361:H365),"")</f>
        <v/>
      </c>
      <c r="I365" s="3">
        <f>IF(ISNUMBER(AVERAGE('20250815_ETF_Options_Exhibits'!I361:I365)),AVERAGE('20250815_ETF_Options_Exhibits'!I361:I365),"")</f>
        <v/>
      </c>
      <c r="J365" s="3">
        <f>IF(ISNUMBER(AVERAGE('20250815_ETF_Options_Exhibits'!J361:J365)),AVERAGE('20250815_ETF_Options_Exhibits'!J361:J365),"")</f>
        <v/>
      </c>
      <c r="K365" s="3">
        <f>IF(ISNUMBER(AVERAGE('20250815_ETF_Options_Exhibits'!K361:K365)),AVERAGE('20250815_ETF_Options_Exhibits'!K361:K365),"")</f>
        <v/>
      </c>
      <c r="L365" s="3">
        <f>IF(ISNUMBER(AVERAGE('20250815_ETF_Options_Exhibits'!L361:L365)),AVERAGE('20250815_ETF_Options_Exhibits'!L361:L365),"")</f>
        <v/>
      </c>
      <c r="M365" s="3">
        <f>IF(ISNUMBER(AVERAGE('20250815_ETF_Options_Exhibits'!M361:M365)),AVERAGE('20250815_ETF_Options_Exhibits'!M361:M365),"")</f>
        <v/>
      </c>
      <c r="N365" s="3">
        <f>IF(ISNUMBER(AVERAGE('20250815_ETF_Options_Exhibits'!N361:N365)),AVERAGE('20250815_ETF_Options_Exhibits'!N361:N365),"")</f>
        <v/>
      </c>
      <c r="O365" s="3">
        <f>IF(ISNUMBER(AVERAGE('20250815_ETF_Options_Exhibits'!O361:O365)),AVERAGE('20250815_ETF_Options_Exhibits'!O361:O365),"")</f>
        <v/>
      </c>
      <c r="P365" s="3">
        <f>IF(ISNUMBER(AVERAGE('20250815_ETF_Options_Exhibits'!P361:P365)),AVERAGE('20250815_ETF_Options_Exhibits'!P361:P365),"")</f>
        <v/>
      </c>
      <c r="Q365" s="3">
        <f>IF(ISNUMBER(AVERAGE('20250815_ETF_Options_Exhibits'!Q361:Q365)),AVERAGE('20250815_ETF_Options_Exhibits'!Q361:Q365),"")</f>
        <v/>
      </c>
      <c r="R365" s="3">
        <f>IF(ISNUMBER(AVERAGE('20250815_ETF_Options_Exhibits'!R361:R365)),AVERAGE('20250815_ETF_Options_Exhibits'!R361:R365),"")</f>
        <v/>
      </c>
      <c r="S365" s="3">
        <f>IF(ISNUMBER(AVERAGE('20250815_ETF_Options_Exhibits'!S361:S365)),AVERAGE('20250815_ETF_Options_Exhibits'!S361:S365),"")</f>
        <v/>
      </c>
      <c r="T365" s="3">
        <f>IF(ISNUMBER(AVERAGE('20250815_ETF_Options_Exhibits'!T361:T365)),AVERAGE('20250815_ETF_Options_Exhibits'!T361:T365),"")</f>
        <v/>
      </c>
      <c r="U365" s="3">
        <f>IF(ISNUMBER(AVERAGE('20250815_ETF_Options_Exhibits'!U361:U365)),AVERAGE('20250815_ETF_Options_Exhibits'!U361:U365),"")</f>
        <v/>
      </c>
      <c r="V365" s="3">
        <f>IF(ISNUMBER(AVERAGE('20250815_ETF_Options_Exhibits'!V361:V365)),AVERAGE('20250815_ETF_Options_Exhibits'!V361:V365),"")</f>
        <v/>
      </c>
      <c r="W365" s="3">
        <f>IF(ISNUMBER(AVERAGE('20250815_ETF_Options_Exhibits'!W361:W365)),AVERAGE('20250815_ETF_Options_Exhibits'!W361:W365),"")</f>
        <v/>
      </c>
      <c r="X365" s="3">
        <f>IF(ISNUMBER(AVERAGE('20250815_ETF_Options_Exhibits'!X361:X365)),AVERAGE('20250815_ETF_Options_Exhibits'!X361:X365),"")</f>
        <v/>
      </c>
      <c r="Y365" s="3">
        <f>IF(ISNUMBER(AVERAGE('20250815_ETF_Options_Exhibits'!Y361:Y365)),AVERAGE('20250815_ETF_Options_Exhibits'!Y361:Y365),"")</f>
        <v/>
      </c>
      <c r="Z365" s="3">
        <f>IF(ISNUMBER(AVERAGE('20250815_ETF_Options_Exhibits'!Z361:Z365)),AVERAGE('20250815_ETF_Options_Exhibits'!Z361:Z365),"")</f>
        <v/>
      </c>
      <c r="AA365" s="3">
        <f>IF(ISNUMBER(AVERAGE('20250815_ETF_Options_Exhibits'!AA361:AA365)),AVERAGE('20250815_ETF_Options_Exhibits'!AA361:AA365),"")</f>
        <v/>
      </c>
    </row>
    <row r="366">
      <c r="A366" s="1" t="n">
        <v>42534</v>
      </c>
      <c r="B366" s="3">
        <f>IF(ISNUMBER(AVERAGE('20250815_ETF_Options_Exhibits'!B362:B366)),AVERAGE('20250815_ETF_Options_Exhibits'!B362:B366),"")</f>
        <v/>
      </c>
      <c r="C366" s="3">
        <f>IF(ISNUMBER(AVERAGE('20250815_ETF_Options_Exhibits'!C362:C366)),AVERAGE('20250815_ETF_Options_Exhibits'!C362:C366),"")</f>
        <v/>
      </c>
      <c r="D366" s="3">
        <f>IF(ISNUMBER(AVERAGE('20250815_ETF_Options_Exhibits'!D362:D366)),AVERAGE('20250815_ETF_Options_Exhibits'!D362:D366),"")</f>
        <v/>
      </c>
      <c r="E366" s="3">
        <f>IF(ISNUMBER(AVERAGE('20250815_ETF_Options_Exhibits'!E362:E366)),AVERAGE('20250815_ETF_Options_Exhibits'!E362:E366),"")</f>
        <v/>
      </c>
      <c r="F366" s="3">
        <f>IF(ISNUMBER(AVERAGE('20250815_ETF_Options_Exhibits'!F362:F366)),AVERAGE('20250815_ETF_Options_Exhibits'!F362:F366),"")</f>
        <v/>
      </c>
      <c r="G366" s="3">
        <f>IF(ISNUMBER(AVERAGE('20250815_ETF_Options_Exhibits'!G362:G366)),AVERAGE('20250815_ETF_Options_Exhibits'!G362:G366),"")</f>
        <v/>
      </c>
      <c r="H366" s="3">
        <f>IF(ISNUMBER(AVERAGE('20250815_ETF_Options_Exhibits'!H362:H366)),AVERAGE('20250815_ETF_Options_Exhibits'!H362:H366),"")</f>
        <v/>
      </c>
      <c r="I366" s="3">
        <f>IF(ISNUMBER(AVERAGE('20250815_ETF_Options_Exhibits'!I362:I366)),AVERAGE('20250815_ETF_Options_Exhibits'!I362:I366),"")</f>
        <v/>
      </c>
      <c r="J366" s="3">
        <f>IF(ISNUMBER(AVERAGE('20250815_ETF_Options_Exhibits'!J362:J366)),AVERAGE('20250815_ETF_Options_Exhibits'!J362:J366),"")</f>
        <v/>
      </c>
      <c r="K366" s="3">
        <f>IF(ISNUMBER(AVERAGE('20250815_ETF_Options_Exhibits'!K362:K366)),AVERAGE('20250815_ETF_Options_Exhibits'!K362:K366),"")</f>
        <v/>
      </c>
      <c r="L366" s="3">
        <f>IF(ISNUMBER(AVERAGE('20250815_ETF_Options_Exhibits'!L362:L366)),AVERAGE('20250815_ETF_Options_Exhibits'!L362:L366),"")</f>
        <v/>
      </c>
      <c r="M366" s="3">
        <f>IF(ISNUMBER(AVERAGE('20250815_ETF_Options_Exhibits'!M362:M366)),AVERAGE('20250815_ETF_Options_Exhibits'!M362:M366),"")</f>
        <v/>
      </c>
      <c r="N366" s="3">
        <f>IF(ISNUMBER(AVERAGE('20250815_ETF_Options_Exhibits'!N362:N366)),AVERAGE('20250815_ETF_Options_Exhibits'!N362:N366),"")</f>
        <v/>
      </c>
      <c r="O366" s="3">
        <f>IF(ISNUMBER(AVERAGE('20250815_ETF_Options_Exhibits'!O362:O366)),AVERAGE('20250815_ETF_Options_Exhibits'!O362:O366),"")</f>
        <v/>
      </c>
      <c r="P366" s="3">
        <f>IF(ISNUMBER(AVERAGE('20250815_ETF_Options_Exhibits'!P362:P366)),AVERAGE('20250815_ETF_Options_Exhibits'!P362:P366),"")</f>
        <v/>
      </c>
      <c r="Q366" s="3">
        <f>IF(ISNUMBER(AVERAGE('20250815_ETF_Options_Exhibits'!Q362:Q366)),AVERAGE('20250815_ETF_Options_Exhibits'!Q362:Q366),"")</f>
        <v/>
      </c>
      <c r="R366" s="3">
        <f>IF(ISNUMBER(AVERAGE('20250815_ETF_Options_Exhibits'!R362:R366)),AVERAGE('20250815_ETF_Options_Exhibits'!R362:R366),"")</f>
        <v/>
      </c>
      <c r="S366" s="3">
        <f>IF(ISNUMBER(AVERAGE('20250815_ETF_Options_Exhibits'!S362:S366)),AVERAGE('20250815_ETF_Options_Exhibits'!S362:S366),"")</f>
        <v/>
      </c>
      <c r="T366" s="3">
        <f>IF(ISNUMBER(AVERAGE('20250815_ETF_Options_Exhibits'!T362:T366)),AVERAGE('20250815_ETF_Options_Exhibits'!T362:T366),"")</f>
        <v/>
      </c>
      <c r="U366" s="3">
        <f>IF(ISNUMBER(AVERAGE('20250815_ETF_Options_Exhibits'!U362:U366)),AVERAGE('20250815_ETF_Options_Exhibits'!U362:U366),"")</f>
        <v/>
      </c>
      <c r="V366" s="3">
        <f>IF(ISNUMBER(AVERAGE('20250815_ETF_Options_Exhibits'!V362:V366)),AVERAGE('20250815_ETF_Options_Exhibits'!V362:V366),"")</f>
        <v/>
      </c>
      <c r="W366" s="3">
        <f>IF(ISNUMBER(AVERAGE('20250815_ETF_Options_Exhibits'!W362:W366)),AVERAGE('20250815_ETF_Options_Exhibits'!W362:W366),"")</f>
        <v/>
      </c>
      <c r="X366" s="3">
        <f>IF(ISNUMBER(AVERAGE('20250815_ETF_Options_Exhibits'!X362:X366)),AVERAGE('20250815_ETF_Options_Exhibits'!X362:X366),"")</f>
        <v/>
      </c>
      <c r="Y366" s="3">
        <f>IF(ISNUMBER(AVERAGE('20250815_ETF_Options_Exhibits'!Y362:Y366)),AVERAGE('20250815_ETF_Options_Exhibits'!Y362:Y366),"")</f>
        <v/>
      </c>
      <c r="Z366" s="3">
        <f>IF(ISNUMBER(AVERAGE('20250815_ETF_Options_Exhibits'!Z362:Z366)),AVERAGE('20250815_ETF_Options_Exhibits'!Z362:Z366),"")</f>
        <v/>
      </c>
      <c r="AA366" s="3">
        <f>IF(ISNUMBER(AVERAGE('20250815_ETF_Options_Exhibits'!AA362:AA366)),AVERAGE('20250815_ETF_Options_Exhibits'!AA362:AA366),"")</f>
        <v/>
      </c>
    </row>
    <row r="367">
      <c r="A367" s="1" t="n">
        <v>42535</v>
      </c>
      <c r="B367" s="3">
        <f>IF(ISNUMBER(AVERAGE('20250815_ETF_Options_Exhibits'!B363:B367)),AVERAGE('20250815_ETF_Options_Exhibits'!B363:B367),"")</f>
        <v/>
      </c>
      <c r="C367" s="3">
        <f>IF(ISNUMBER(AVERAGE('20250815_ETF_Options_Exhibits'!C363:C367)),AVERAGE('20250815_ETF_Options_Exhibits'!C363:C367),"")</f>
        <v/>
      </c>
      <c r="D367" s="3">
        <f>IF(ISNUMBER(AVERAGE('20250815_ETF_Options_Exhibits'!D363:D367)),AVERAGE('20250815_ETF_Options_Exhibits'!D363:D367),"")</f>
        <v/>
      </c>
      <c r="E367" s="3">
        <f>IF(ISNUMBER(AVERAGE('20250815_ETF_Options_Exhibits'!E363:E367)),AVERAGE('20250815_ETF_Options_Exhibits'!E363:E367),"")</f>
        <v/>
      </c>
      <c r="F367" s="3">
        <f>IF(ISNUMBER(AVERAGE('20250815_ETF_Options_Exhibits'!F363:F367)),AVERAGE('20250815_ETF_Options_Exhibits'!F363:F367),"")</f>
        <v/>
      </c>
      <c r="G367" s="3">
        <f>IF(ISNUMBER(AVERAGE('20250815_ETF_Options_Exhibits'!G363:G367)),AVERAGE('20250815_ETF_Options_Exhibits'!G363:G367),"")</f>
        <v/>
      </c>
      <c r="H367" s="3">
        <f>IF(ISNUMBER(AVERAGE('20250815_ETF_Options_Exhibits'!H363:H367)),AVERAGE('20250815_ETF_Options_Exhibits'!H363:H367),"")</f>
        <v/>
      </c>
      <c r="I367" s="3">
        <f>IF(ISNUMBER(AVERAGE('20250815_ETF_Options_Exhibits'!I363:I367)),AVERAGE('20250815_ETF_Options_Exhibits'!I363:I367),"")</f>
        <v/>
      </c>
      <c r="J367" s="3">
        <f>IF(ISNUMBER(AVERAGE('20250815_ETF_Options_Exhibits'!J363:J367)),AVERAGE('20250815_ETF_Options_Exhibits'!J363:J367),"")</f>
        <v/>
      </c>
      <c r="K367" s="3">
        <f>IF(ISNUMBER(AVERAGE('20250815_ETF_Options_Exhibits'!K363:K367)),AVERAGE('20250815_ETF_Options_Exhibits'!K363:K367),"")</f>
        <v/>
      </c>
      <c r="L367" s="3">
        <f>IF(ISNUMBER(AVERAGE('20250815_ETF_Options_Exhibits'!L363:L367)),AVERAGE('20250815_ETF_Options_Exhibits'!L363:L367),"")</f>
        <v/>
      </c>
      <c r="M367" s="3">
        <f>IF(ISNUMBER(AVERAGE('20250815_ETF_Options_Exhibits'!M363:M367)),AVERAGE('20250815_ETF_Options_Exhibits'!M363:M367),"")</f>
        <v/>
      </c>
      <c r="N367" s="3">
        <f>IF(ISNUMBER(AVERAGE('20250815_ETF_Options_Exhibits'!N363:N367)),AVERAGE('20250815_ETF_Options_Exhibits'!N363:N367),"")</f>
        <v/>
      </c>
      <c r="O367" s="3">
        <f>IF(ISNUMBER(AVERAGE('20250815_ETF_Options_Exhibits'!O363:O367)),AVERAGE('20250815_ETF_Options_Exhibits'!O363:O367),"")</f>
        <v/>
      </c>
      <c r="P367" s="3">
        <f>IF(ISNUMBER(AVERAGE('20250815_ETF_Options_Exhibits'!P363:P367)),AVERAGE('20250815_ETF_Options_Exhibits'!P363:P367),"")</f>
        <v/>
      </c>
      <c r="Q367" s="3">
        <f>IF(ISNUMBER(AVERAGE('20250815_ETF_Options_Exhibits'!Q363:Q367)),AVERAGE('20250815_ETF_Options_Exhibits'!Q363:Q367),"")</f>
        <v/>
      </c>
      <c r="R367" s="3">
        <f>IF(ISNUMBER(AVERAGE('20250815_ETF_Options_Exhibits'!R363:R367)),AVERAGE('20250815_ETF_Options_Exhibits'!R363:R367),"")</f>
        <v/>
      </c>
      <c r="S367" s="3">
        <f>IF(ISNUMBER(AVERAGE('20250815_ETF_Options_Exhibits'!S363:S367)),AVERAGE('20250815_ETF_Options_Exhibits'!S363:S367),"")</f>
        <v/>
      </c>
      <c r="T367" s="3">
        <f>IF(ISNUMBER(AVERAGE('20250815_ETF_Options_Exhibits'!T363:T367)),AVERAGE('20250815_ETF_Options_Exhibits'!T363:T367),"")</f>
        <v/>
      </c>
      <c r="U367" s="3">
        <f>IF(ISNUMBER(AVERAGE('20250815_ETF_Options_Exhibits'!U363:U367)),AVERAGE('20250815_ETF_Options_Exhibits'!U363:U367),"")</f>
        <v/>
      </c>
      <c r="V367" s="3">
        <f>IF(ISNUMBER(AVERAGE('20250815_ETF_Options_Exhibits'!V363:V367)),AVERAGE('20250815_ETF_Options_Exhibits'!V363:V367),"")</f>
        <v/>
      </c>
      <c r="W367" s="3">
        <f>IF(ISNUMBER(AVERAGE('20250815_ETF_Options_Exhibits'!W363:W367)),AVERAGE('20250815_ETF_Options_Exhibits'!W363:W367),"")</f>
        <v/>
      </c>
      <c r="X367" s="3">
        <f>IF(ISNUMBER(AVERAGE('20250815_ETF_Options_Exhibits'!X363:X367)),AVERAGE('20250815_ETF_Options_Exhibits'!X363:X367),"")</f>
        <v/>
      </c>
      <c r="Y367" s="3">
        <f>IF(ISNUMBER(AVERAGE('20250815_ETF_Options_Exhibits'!Y363:Y367)),AVERAGE('20250815_ETF_Options_Exhibits'!Y363:Y367),"")</f>
        <v/>
      </c>
      <c r="Z367" s="3">
        <f>IF(ISNUMBER(AVERAGE('20250815_ETF_Options_Exhibits'!Z363:Z367)),AVERAGE('20250815_ETF_Options_Exhibits'!Z363:Z367),"")</f>
        <v/>
      </c>
      <c r="AA367" s="3">
        <f>IF(ISNUMBER(AVERAGE('20250815_ETF_Options_Exhibits'!AA363:AA367)),AVERAGE('20250815_ETF_Options_Exhibits'!AA363:AA367),"")</f>
        <v/>
      </c>
    </row>
    <row r="368">
      <c r="A368" s="1" t="n">
        <v>42536</v>
      </c>
      <c r="B368" s="3">
        <f>IF(ISNUMBER(AVERAGE('20250815_ETF_Options_Exhibits'!B364:B368)),AVERAGE('20250815_ETF_Options_Exhibits'!B364:B368),"")</f>
        <v/>
      </c>
      <c r="C368" s="3">
        <f>IF(ISNUMBER(AVERAGE('20250815_ETF_Options_Exhibits'!C364:C368)),AVERAGE('20250815_ETF_Options_Exhibits'!C364:C368),"")</f>
        <v/>
      </c>
      <c r="D368" s="3">
        <f>IF(ISNUMBER(AVERAGE('20250815_ETF_Options_Exhibits'!D364:D368)),AVERAGE('20250815_ETF_Options_Exhibits'!D364:D368),"")</f>
        <v/>
      </c>
      <c r="E368" s="3">
        <f>IF(ISNUMBER(AVERAGE('20250815_ETF_Options_Exhibits'!E364:E368)),AVERAGE('20250815_ETF_Options_Exhibits'!E364:E368),"")</f>
        <v/>
      </c>
      <c r="F368" s="3">
        <f>IF(ISNUMBER(AVERAGE('20250815_ETF_Options_Exhibits'!F364:F368)),AVERAGE('20250815_ETF_Options_Exhibits'!F364:F368),"")</f>
        <v/>
      </c>
      <c r="G368" s="3">
        <f>IF(ISNUMBER(AVERAGE('20250815_ETF_Options_Exhibits'!G364:G368)),AVERAGE('20250815_ETF_Options_Exhibits'!G364:G368),"")</f>
        <v/>
      </c>
      <c r="H368" s="3">
        <f>IF(ISNUMBER(AVERAGE('20250815_ETF_Options_Exhibits'!H364:H368)),AVERAGE('20250815_ETF_Options_Exhibits'!H364:H368),"")</f>
        <v/>
      </c>
      <c r="I368" s="3">
        <f>IF(ISNUMBER(AVERAGE('20250815_ETF_Options_Exhibits'!I364:I368)),AVERAGE('20250815_ETF_Options_Exhibits'!I364:I368),"")</f>
        <v/>
      </c>
      <c r="J368" s="3">
        <f>IF(ISNUMBER(AVERAGE('20250815_ETF_Options_Exhibits'!J364:J368)),AVERAGE('20250815_ETF_Options_Exhibits'!J364:J368),"")</f>
        <v/>
      </c>
      <c r="K368" s="3">
        <f>IF(ISNUMBER(AVERAGE('20250815_ETF_Options_Exhibits'!K364:K368)),AVERAGE('20250815_ETF_Options_Exhibits'!K364:K368),"")</f>
        <v/>
      </c>
      <c r="L368" s="3">
        <f>IF(ISNUMBER(AVERAGE('20250815_ETF_Options_Exhibits'!L364:L368)),AVERAGE('20250815_ETF_Options_Exhibits'!L364:L368),"")</f>
        <v/>
      </c>
      <c r="M368" s="3">
        <f>IF(ISNUMBER(AVERAGE('20250815_ETF_Options_Exhibits'!M364:M368)),AVERAGE('20250815_ETF_Options_Exhibits'!M364:M368),"")</f>
        <v/>
      </c>
      <c r="N368" s="3">
        <f>IF(ISNUMBER(AVERAGE('20250815_ETF_Options_Exhibits'!N364:N368)),AVERAGE('20250815_ETF_Options_Exhibits'!N364:N368),"")</f>
        <v/>
      </c>
      <c r="O368" s="3">
        <f>IF(ISNUMBER(AVERAGE('20250815_ETF_Options_Exhibits'!O364:O368)),AVERAGE('20250815_ETF_Options_Exhibits'!O364:O368),"")</f>
        <v/>
      </c>
      <c r="P368" s="3">
        <f>IF(ISNUMBER(AVERAGE('20250815_ETF_Options_Exhibits'!P364:P368)),AVERAGE('20250815_ETF_Options_Exhibits'!P364:P368),"")</f>
        <v/>
      </c>
      <c r="Q368" s="3">
        <f>IF(ISNUMBER(AVERAGE('20250815_ETF_Options_Exhibits'!Q364:Q368)),AVERAGE('20250815_ETF_Options_Exhibits'!Q364:Q368),"")</f>
        <v/>
      </c>
      <c r="R368" s="3">
        <f>IF(ISNUMBER(AVERAGE('20250815_ETF_Options_Exhibits'!R364:R368)),AVERAGE('20250815_ETF_Options_Exhibits'!R364:R368),"")</f>
        <v/>
      </c>
      <c r="S368" s="3">
        <f>IF(ISNUMBER(AVERAGE('20250815_ETF_Options_Exhibits'!S364:S368)),AVERAGE('20250815_ETF_Options_Exhibits'!S364:S368),"")</f>
        <v/>
      </c>
      <c r="T368" s="3">
        <f>IF(ISNUMBER(AVERAGE('20250815_ETF_Options_Exhibits'!T364:T368)),AVERAGE('20250815_ETF_Options_Exhibits'!T364:T368),"")</f>
        <v/>
      </c>
      <c r="U368" s="3">
        <f>IF(ISNUMBER(AVERAGE('20250815_ETF_Options_Exhibits'!U364:U368)),AVERAGE('20250815_ETF_Options_Exhibits'!U364:U368),"")</f>
        <v/>
      </c>
      <c r="V368" s="3">
        <f>IF(ISNUMBER(AVERAGE('20250815_ETF_Options_Exhibits'!V364:V368)),AVERAGE('20250815_ETF_Options_Exhibits'!V364:V368),"")</f>
        <v/>
      </c>
      <c r="W368" s="3">
        <f>IF(ISNUMBER(AVERAGE('20250815_ETF_Options_Exhibits'!W364:W368)),AVERAGE('20250815_ETF_Options_Exhibits'!W364:W368),"")</f>
        <v/>
      </c>
      <c r="X368" s="3">
        <f>IF(ISNUMBER(AVERAGE('20250815_ETF_Options_Exhibits'!X364:X368)),AVERAGE('20250815_ETF_Options_Exhibits'!X364:X368),"")</f>
        <v/>
      </c>
      <c r="Y368" s="3">
        <f>IF(ISNUMBER(AVERAGE('20250815_ETF_Options_Exhibits'!Y364:Y368)),AVERAGE('20250815_ETF_Options_Exhibits'!Y364:Y368),"")</f>
        <v/>
      </c>
      <c r="Z368" s="3">
        <f>IF(ISNUMBER(AVERAGE('20250815_ETF_Options_Exhibits'!Z364:Z368)),AVERAGE('20250815_ETF_Options_Exhibits'!Z364:Z368),"")</f>
        <v/>
      </c>
      <c r="AA368" s="3">
        <f>IF(ISNUMBER(AVERAGE('20250815_ETF_Options_Exhibits'!AA364:AA368)),AVERAGE('20250815_ETF_Options_Exhibits'!AA364:AA368),"")</f>
        <v/>
      </c>
    </row>
    <row r="369">
      <c r="A369" s="1" t="n">
        <v>42537</v>
      </c>
      <c r="B369" s="3">
        <f>IF(ISNUMBER(AVERAGE('20250815_ETF_Options_Exhibits'!B365:B369)),AVERAGE('20250815_ETF_Options_Exhibits'!B365:B369),"")</f>
        <v/>
      </c>
      <c r="C369" s="3">
        <f>IF(ISNUMBER(AVERAGE('20250815_ETF_Options_Exhibits'!C365:C369)),AVERAGE('20250815_ETF_Options_Exhibits'!C365:C369),"")</f>
        <v/>
      </c>
      <c r="D369" s="3">
        <f>IF(ISNUMBER(AVERAGE('20250815_ETF_Options_Exhibits'!D365:D369)),AVERAGE('20250815_ETF_Options_Exhibits'!D365:D369),"")</f>
        <v/>
      </c>
      <c r="E369" s="3">
        <f>IF(ISNUMBER(AVERAGE('20250815_ETF_Options_Exhibits'!E365:E369)),AVERAGE('20250815_ETF_Options_Exhibits'!E365:E369),"")</f>
        <v/>
      </c>
      <c r="F369" s="3">
        <f>IF(ISNUMBER(AVERAGE('20250815_ETF_Options_Exhibits'!F365:F369)),AVERAGE('20250815_ETF_Options_Exhibits'!F365:F369),"")</f>
        <v/>
      </c>
      <c r="G369" s="3">
        <f>IF(ISNUMBER(AVERAGE('20250815_ETF_Options_Exhibits'!G365:G369)),AVERAGE('20250815_ETF_Options_Exhibits'!G365:G369),"")</f>
        <v/>
      </c>
      <c r="H369" s="3">
        <f>IF(ISNUMBER(AVERAGE('20250815_ETF_Options_Exhibits'!H365:H369)),AVERAGE('20250815_ETF_Options_Exhibits'!H365:H369),"")</f>
        <v/>
      </c>
      <c r="I369" s="3">
        <f>IF(ISNUMBER(AVERAGE('20250815_ETF_Options_Exhibits'!I365:I369)),AVERAGE('20250815_ETF_Options_Exhibits'!I365:I369),"")</f>
        <v/>
      </c>
      <c r="J369" s="3">
        <f>IF(ISNUMBER(AVERAGE('20250815_ETF_Options_Exhibits'!J365:J369)),AVERAGE('20250815_ETF_Options_Exhibits'!J365:J369),"")</f>
        <v/>
      </c>
      <c r="K369" s="3">
        <f>IF(ISNUMBER(AVERAGE('20250815_ETF_Options_Exhibits'!K365:K369)),AVERAGE('20250815_ETF_Options_Exhibits'!K365:K369),"")</f>
        <v/>
      </c>
      <c r="L369" s="3">
        <f>IF(ISNUMBER(AVERAGE('20250815_ETF_Options_Exhibits'!L365:L369)),AVERAGE('20250815_ETF_Options_Exhibits'!L365:L369),"")</f>
        <v/>
      </c>
      <c r="M369" s="3">
        <f>IF(ISNUMBER(AVERAGE('20250815_ETF_Options_Exhibits'!M365:M369)),AVERAGE('20250815_ETF_Options_Exhibits'!M365:M369),"")</f>
        <v/>
      </c>
      <c r="N369" s="3">
        <f>IF(ISNUMBER(AVERAGE('20250815_ETF_Options_Exhibits'!N365:N369)),AVERAGE('20250815_ETF_Options_Exhibits'!N365:N369),"")</f>
        <v/>
      </c>
      <c r="O369" s="3">
        <f>IF(ISNUMBER(AVERAGE('20250815_ETF_Options_Exhibits'!O365:O369)),AVERAGE('20250815_ETF_Options_Exhibits'!O365:O369),"")</f>
        <v/>
      </c>
      <c r="P369" s="3">
        <f>IF(ISNUMBER(AVERAGE('20250815_ETF_Options_Exhibits'!P365:P369)),AVERAGE('20250815_ETF_Options_Exhibits'!P365:P369),"")</f>
        <v/>
      </c>
      <c r="Q369" s="3">
        <f>IF(ISNUMBER(AVERAGE('20250815_ETF_Options_Exhibits'!Q365:Q369)),AVERAGE('20250815_ETF_Options_Exhibits'!Q365:Q369),"")</f>
        <v/>
      </c>
      <c r="R369" s="3">
        <f>IF(ISNUMBER(AVERAGE('20250815_ETF_Options_Exhibits'!R365:R369)),AVERAGE('20250815_ETF_Options_Exhibits'!R365:R369),"")</f>
        <v/>
      </c>
      <c r="S369" s="3">
        <f>IF(ISNUMBER(AVERAGE('20250815_ETF_Options_Exhibits'!S365:S369)),AVERAGE('20250815_ETF_Options_Exhibits'!S365:S369),"")</f>
        <v/>
      </c>
      <c r="T369" s="3">
        <f>IF(ISNUMBER(AVERAGE('20250815_ETF_Options_Exhibits'!T365:T369)),AVERAGE('20250815_ETF_Options_Exhibits'!T365:T369),"")</f>
        <v/>
      </c>
      <c r="U369" s="3">
        <f>IF(ISNUMBER(AVERAGE('20250815_ETF_Options_Exhibits'!U365:U369)),AVERAGE('20250815_ETF_Options_Exhibits'!U365:U369),"")</f>
        <v/>
      </c>
      <c r="V369" s="3">
        <f>IF(ISNUMBER(AVERAGE('20250815_ETF_Options_Exhibits'!V365:V369)),AVERAGE('20250815_ETF_Options_Exhibits'!V365:V369),"")</f>
        <v/>
      </c>
      <c r="W369" s="3">
        <f>IF(ISNUMBER(AVERAGE('20250815_ETF_Options_Exhibits'!W365:W369)),AVERAGE('20250815_ETF_Options_Exhibits'!W365:W369),"")</f>
        <v/>
      </c>
      <c r="X369" s="3">
        <f>IF(ISNUMBER(AVERAGE('20250815_ETF_Options_Exhibits'!X365:X369)),AVERAGE('20250815_ETF_Options_Exhibits'!X365:X369),"")</f>
        <v/>
      </c>
      <c r="Y369" s="3">
        <f>IF(ISNUMBER(AVERAGE('20250815_ETF_Options_Exhibits'!Y365:Y369)),AVERAGE('20250815_ETF_Options_Exhibits'!Y365:Y369),"")</f>
        <v/>
      </c>
      <c r="Z369" s="3">
        <f>IF(ISNUMBER(AVERAGE('20250815_ETF_Options_Exhibits'!Z365:Z369)),AVERAGE('20250815_ETF_Options_Exhibits'!Z365:Z369),"")</f>
        <v/>
      </c>
      <c r="AA369" s="3">
        <f>IF(ISNUMBER(AVERAGE('20250815_ETF_Options_Exhibits'!AA365:AA369)),AVERAGE('20250815_ETF_Options_Exhibits'!AA365:AA369),"")</f>
        <v/>
      </c>
    </row>
    <row r="370">
      <c r="A370" s="1" t="n">
        <v>42538</v>
      </c>
      <c r="B370" s="3">
        <f>IF(ISNUMBER(AVERAGE('20250815_ETF_Options_Exhibits'!B366:B370)),AVERAGE('20250815_ETF_Options_Exhibits'!B366:B370),"")</f>
        <v/>
      </c>
      <c r="C370" s="3">
        <f>IF(ISNUMBER(AVERAGE('20250815_ETF_Options_Exhibits'!C366:C370)),AVERAGE('20250815_ETF_Options_Exhibits'!C366:C370),"")</f>
        <v/>
      </c>
      <c r="D370" s="3">
        <f>IF(ISNUMBER(AVERAGE('20250815_ETF_Options_Exhibits'!D366:D370)),AVERAGE('20250815_ETF_Options_Exhibits'!D366:D370),"")</f>
        <v/>
      </c>
      <c r="E370" s="3">
        <f>IF(ISNUMBER(AVERAGE('20250815_ETF_Options_Exhibits'!E366:E370)),AVERAGE('20250815_ETF_Options_Exhibits'!E366:E370),"")</f>
        <v/>
      </c>
      <c r="F370" s="3">
        <f>IF(ISNUMBER(AVERAGE('20250815_ETF_Options_Exhibits'!F366:F370)),AVERAGE('20250815_ETF_Options_Exhibits'!F366:F370),"")</f>
        <v/>
      </c>
      <c r="G370" s="3">
        <f>IF(ISNUMBER(AVERAGE('20250815_ETF_Options_Exhibits'!G366:G370)),AVERAGE('20250815_ETF_Options_Exhibits'!G366:G370),"")</f>
        <v/>
      </c>
      <c r="H370" s="3">
        <f>IF(ISNUMBER(AVERAGE('20250815_ETF_Options_Exhibits'!H366:H370)),AVERAGE('20250815_ETF_Options_Exhibits'!H366:H370),"")</f>
        <v/>
      </c>
      <c r="I370" s="3">
        <f>IF(ISNUMBER(AVERAGE('20250815_ETF_Options_Exhibits'!I366:I370)),AVERAGE('20250815_ETF_Options_Exhibits'!I366:I370),"")</f>
        <v/>
      </c>
      <c r="J370" s="3">
        <f>IF(ISNUMBER(AVERAGE('20250815_ETF_Options_Exhibits'!J366:J370)),AVERAGE('20250815_ETF_Options_Exhibits'!J366:J370),"")</f>
        <v/>
      </c>
      <c r="K370" s="3">
        <f>IF(ISNUMBER(AVERAGE('20250815_ETF_Options_Exhibits'!K366:K370)),AVERAGE('20250815_ETF_Options_Exhibits'!K366:K370),"")</f>
        <v/>
      </c>
      <c r="L370" s="3">
        <f>IF(ISNUMBER(AVERAGE('20250815_ETF_Options_Exhibits'!L366:L370)),AVERAGE('20250815_ETF_Options_Exhibits'!L366:L370),"")</f>
        <v/>
      </c>
      <c r="M370" s="3">
        <f>IF(ISNUMBER(AVERAGE('20250815_ETF_Options_Exhibits'!M366:M370)),AVERAGE('20250815_ETF_Options_Exhibits'!M366:M370),"")</f>
        <v/>
      </c>
      <c r="N370" s="3">
        <f>IF(ISNUMBER(AVERAGE('20250815_ETF_Options_Exhibits'!N366:N370)),AVERAGE('20250815_ETF_Options_Exhibits'!N366:N370),"")</f>
        <v/>
      </c>
      <c r="O370" s="3">
        <f>IF(ISNUMBER(AVERAGE('20250815_ETF_Options_Exhibits'!O366:O370)),AVERAGE('20250815_ETF_Options_Exhibits'!O366:O370),"")</f>
        <v/>
      </c>
      <c r="P370" s="3">
        <f>IF(ISNUMBER(AVERAGE('20250815_ETF_Options_Exhibits'!P366:P370)),AVERAGE('20250815_ETF_Options_Exhibits'!P366:P370),"")</f>
        <v/>
      </c>
      <c r="Q370" s="3">
        <f>IF(ISNUMBER(AVERAGE('20250815_ETF_Options_Exhibits'!Q366:Q370)),AVERAGE('20250815_ETF_Options_Exhibits'!Q366:Q370),"")</f>
        <v/>
      </c>
      <c r="R370" s="3">
        <f>IF(ISNUMBER(AVERAGE('20250815_ETF_Options_Exhibits'!R366:R370)),AVERAGE('20250815_ETF_Options_Exhibits'!R366:R370),"")</f>
        <v/>
      </c>
      <c r="S370" s="3">
        <f>IF(ISNUMBER(AVERAGE('20250815_ETF_Options_Exhibits'!S366:S370)),AVERAGE('20250815_ETF_Options_Exhibits'!S366:S370),"")</f>
        <v/>
      </c>
      <c r="T370" s="3">
        <f>IF(ISNUMBER(AVERAGE('20250815_ETF_Options_Exhibits'!T366:T370)),AVERAGE('20250815_ETF_Options_Exhibits'!T366:T370),"")</f>
        <v/>
      </c>
      <c r="U370" s="3">
        <f>IF(ISNUMBER(AVERAGE('20250815_ETF_Options_Exhibits'!U366:U370)),AVERAGE('20250815_ETF_Options_Exhibits'!U366:U370),"")</f>
        <v/>
      </c>
      <c r="V370" s="3">
        <f>IF(ISNUMBER(AVERAGE('20250815_ETF_Options_Exhibits'!V366:V370)),AVERAGE('20250815_ETF_Options_Exhibits'!V366:V370),"")</f>
        <v/>
      </c>
      <c r="W370" s="3">
        <f>IF(ISNUMBER(AVERAGE('20250815_ETF_Options_Exhibits'!W366:W370)),AVERAGE('20250815_ETF_Options_Exhibits'!W366:W370),"")</f>
        <v/>
      </c>
      <c r="X370" s="3">
        <f>IF(ISNUMBER(AVERAGE('20250815_ETF_Options_Exhibits'!X366:X370)),AVERAGE('20250815_ETF_Options_Exhibits'!X366:X370),"")</f>
        <v/>
      </c>
      <c r="Y370" s="3">
        <f>IF(ISNUMBER(AVERAGE('20250815_ETF_Options_Exhibits'!Y366:Y370)),AVERAGE('20250815_ETF_Options_Exhibits'!Y366:Y370),"")</f>
        <v/>
      </c>
      <c r="Z370" s="3">
        <f>IF(ISNUMBER(AVERAGE('20250815_ETF_Options_Exhibits'!Z366:Z370)),AVERAGE('20250815_ETF_Options_Exhibits'!Z366:Z370),"")</f>
        <v/>
      </c>
      <c r="AA370" s="3">
        <f>IF(ISNUMBER(AVERAGE('20250815_ETF_Options_Exhibits'!AA366:AA370)),AVERAGE('20250815_ETF_Options_Exhibits'!AA366:AA370),"")</f>
        <v/>
      </c>
    </row>
    <row r="371">
      <c r="A371" s="1" t="n">
        <v>42541</v>
      </c>
      <c r="B371" s="3">
        <f>IF(ISNUMBER(AVERAGE('20250815_ETF_Options_Exhibits'!B367:B371)),AVERAGE('20250815_ETF_Options_Exhibits'!B367:B371),"")</f>
        <v/>
      </c>
      <c r="C371" s="3">
        <f>IF(ISNUMBER(AVERAGE('20250815_ETF_Options_Exhibits'!C367:C371)),AVERAGE('20250815_ETF_Options_Exhibits'!C367:C371),"")</f>
        <v/>
      </c>
      <c r="D371" s="3">
        <f>IF(ISNUMBER(AVERAGE('20250815_ETF_Options_Exhibits'!D367:D371)),AVERAGE('20250815_ETF_Options_Exhibits'!D367:D371),"")</f>
        <v/>
      </c>
      <c r="E371" s="3">
        <f>IF(ISNUMBER(AVERAGE('20250815_ETF_Options_Exhibits'!E367:E371)),AVERAGE('20250815_ETF_Options_Exhibits'!E367:E371),"")</f>
        <v/>
      </c>
      <c r="F371" s="3">
        <f>IF(ISNUMBER(AVERAGE('20250815_ETF_Options_Exhibits'!F367:F371)),AVERAGE('20250815_ETF_Options_Exhibits'!F367:F371),"")</f>
        <v/>
      </c>
      <c r="G371" s="3">
        <f>IF(ISNUMBER(AVERAGE('20250815_ETF_Options_Exhibits'!G367:G371)),AVERAGE('20250815_ETF_Options_Exhibits'!G367:G371),"")</f>
        <v/>
      </c>
      <c r="H371" s="3">
        <f>IF(ISNUMBER(AVERAGE('20250815_ETF_Options_Exhibits'!H367:H371)),AVERAGE('20250815_ETF_Options_Exhibits'!H367:H371),"")</f>
        <v/>
      </c>
      <c r="I371" s="3">
        <f>IF(ISNUMBER(AVERAGE('20250815_ETF_Options_Exhibits'!I367:I371)),AVERAGE('20250815_ETF_Options_Exhibits'!I367:I371),"")</f>
        <v/>
      </c>
      <c r="J371" s="3">
        <f>IF(ISNUMBER(AVERAGE('20250815_ETF_Options_Exhibits'!J367:J371)),AVERAGE('20250815_ETF_Options_Exhibits'!J367:J371),"")</f>
        <v/>
      </c>
      <c r="K371" s="3">
        <f>IF(ISNUMBER(AVERAGE('20250815_ETF_Options_Exhibits'!K367:K371)),AVERAGE('20250815_ETF_Options_Exhibits'!K367:K371),"")</f>
        <v/>
      </c>
      <c r="L371" s="3">
        <f>IF(ISNUMBER(AVERAGE('20250815_ETF_Options_Exhibits'!L367:L371)),AVERAGE('20250815_ETF_Options_Exhibits'!L367:L371),"")</f>
        <v/>
      </c>
      <c r="M371" s="3">
        <f>IF(ISNUMBER(AVERAGE('20250815_ETF_Options_Exhibits'!M367:M371)),AVERAGE('20250815_ETF_Options_Exhibits'!M367:M371),"")</f>
        <v/>
      </c>
      <c r="N371" s="3">
        <f>IF(ISNUMBER(AVERAGE('20250815_ETF_Options_Exhibits'!N367:N371)),AVERAGE('20250815_ETF_Options_Exhibits'!N367:N371),"")</f>
        <v/>
      </c>
      <c r="O371" s="3">
        <f>IF(ISNUMBER(AVERAGE('20250815_ETF_Options_Exhibits'!O367:O371)),AVERAGE('20250815_ETF_Options_Exhibits'!O367:O371),"")</f>
        <v/>
      </c>
      <c r="P371" s="3">
        <f>IF(ISNUMBER(AVERAGE('20250815_ETF_Options_Exhibits'!P367:P371)),AVERAGE('20250815_ETF_Options_Exhibits'!P367:P371),"")</f>
        <v/>
      </c>
      <c r="Q371" s="3">
        <f>IF(ISNUMBER(AVERAGE('20250815_ETF_Options_Exhibits'!Q367:Q371)),AVERAGE('20250815_ETF_Options_Exhibits'!Q367:Q371),"")</f>
        <v/>
      </c>
      <c r="R371" s="3">
        <f>IF(ISNUMBER(AVERAGE('20250815_ETF_Options_Exhibits'!R367:R371)),AVERAGE('20250815_ETF_Options_Exhibits'!R367:R371),"")</f>
        <v/>
      </c>
      <c r="S371" s="3">
        <f>IF(ISNUMBER(AVERAGE('20250815_ETF_Options_Exhibits'!S367:S371)),AVERAGE('20250815_ETF_Options_Exhibits'!S367:S371),"")</f>
        <v/>
      </c>
      <c r="T371" s="3">
        <f>IF(ISNUMBER(AVERAGE('20250815_ETF_Options_Exhibits'!T367:T371)),AVERAGE('20250815_ETF_Options_Exhibits'!T367:T371),"")</f>
        <v/>
      </c>
      <c r="U371" s="3">
        <f>IF(ISNUMBER(AVERAGE('20250815_ETF_Options_Exhibits'!U367:U371)),AVERAGE('20250815_ETF_Options_Exhibits'!U367:U371),"")</f>
        <v/>
      </c>
      <c r="V371" s="3">
        <f>IF(ISNUMBER(AVERAGE('20250815_ETF_Options_Exhibits'!V367:V371)),AVERAGE('20250815_ETF_Options_Exhibits'!V367:V371),"")</f>
        <v/>
      </c>
      <c r="W371" s="3">
        <f>IF(ISNUMBER(AVERAGE('20250815_ETF_Options_Exhibits'!W367:W371)),AVERAGE('20250815_ETF_Options_Exhibits'!W367:W371),"")</f>
        <v/>
      </c>
      <c r="X371" s="3">
        <f>IF(ISNUMBER(AVERAGE('20250815_ETF_Options_Exhibits'!X367:X371)),AVERAGE('20250815_ETF_Options_Exhibits'!X367:X371),"")</f>
        <v/>
      </c>
      <c r="Y371" s="3">
        <f>IF(ISNUMBER(AVERAGE('20250815_ETF_Options_Exhibits'!Y367:Y371)),AVERAGE('20250815_ETF_Options_Exhibits'!Y367:Y371),"")</f>
        <v/>
      </c>
      <c r="Z371" s="3">
        <f>IF(ISNUMBER(AVERAGE('20250815_ETF_Options_Exhibits'!Z367:Z371)),AVERAGE('20250815_ETF_Options_Exhibits'!Z367:Z371),"")</f>
        <v/>
      </c>
      <c r="AA371" s="3">
        <f>IF(ISNUMBER(AVERAGE('20250815_ETF_Options_Exhibits'!AA367:AA371)),AVERAGE('20250815_ETF_Options_Exhibits'!AA367:AA371),"")</f>
        <v/>
      </c>
    </row>
    <row r="372">
      <c r="A372" s="1" t="n">
        <v>42542</v>
      </c>
      <c r="B372" s="3">
        <f>IF(ISNUMBER(AVERAGE('20250815_ETF_Options_Exhibits'!B368:B372)),AVERAGE('20250815_ETF_Options_Exhibits'!B368:B372),"")</f>
        <v/>
      </c>
      <c r="C372" s="3">
        <f>IF(ISNUMBER(AVERAGE('20250815_ETF_Options_Exhibits'!C368:C372)),AVERAGE('20250815_ETF_Options_Exhibits'!C368:C372),"")</f>
        <v/>
      </c>
      <c r="D372" s="3">
        <f>IF(ISNUMBER(AVERAGE('20250815_ETF_Options_Exhibits'!D368:D372)),AVERAGE('20250815_ETF_Options_Exhibits'!D368:D372),"")</f>
        <v/>
      </c>
      <c r="E372" s="3">
        <f>IF(ISNUMBER(AVERAGE('20250815_ETF_Options_Exhibits'!E368:E372)),AVERAGE('20250815_ETF_Options_Exhibits'!E368:E372),"")</f>
        <v/>
      </c>
      <c r="F372" s="3">
        <f>IF(ISNUMBER(AVERAGE('20250815_ETF_Options_Exhibits'!F368:F372)),AVERAGE('20250815_ETF_Options_Exhibits'!F368:F372),"")</f>
        <v/>
      </c>
      <c r="G372" s="3">
        <f>IF(ISNUMBER(AVERAGE('20250815_ETF_Options_Exhibits'!G368:G372)),AVERAGE('20250815_ETF_Options_Exhibits'!G368:G372),"")</f>
        <v/>
      </c>
      <c r="H372" s="3">
        <f>IF(ISNUMBER(AVERAGE('20250815_ETF_Options_Exhibits'!H368:H372)),AVERAGE('20250815_ETF_Options_Exhibits'!H368:H372),"")</f>
        <v/>
      </c>
      <c r="I372" s="3">
        <f>IF(ISNUMBER(AVERAGE('20250815_ETF_Options_Exhibits'!I368:I372)),AVERAGE('20250815_ETF_Options_Exhibits'!I368:I372),"")</f>
        <v/>
      </c>
      <c r="J372" s="3">
        <f>IF(ISNUMBER(AVERAGE('20250815_ETF_Options_Exhibits'!J368:J372)),AVERAGE('20250815_ETF_Options_Exhibits'!J368:J372),"")</f>
        <v/>
      </c>
      <c r="K372" s="3">
        <f>IF(ISNUMBER(AVERAGE('20250815_ETF_Options_Exhibits'!K368:K372)),AVERAGE('20250815_ETF_Options_Exhibits'!K368:K372),"")</f>
        <v/>
      </c>
      <c r="L372" s="3">
        <f>IF(ISNUMBER(AVERAGE('20250815_ETF_Options_Exhibits'!L368:L372)),AVERAGE('20250815_ETF_Options_Exhibits'!L368:L372),"")</f>
        <v/>
      </c>
      <c r="M372" s="3">
        <f>IF(ISNUMBER(AVERAGE('20250815_ETF_Options_Exhibits'!M368:M372)),AVERAGE('20250815_ETF_Options_Exhibits'!M368:M372),"")</f>
        <v/>
      </c>
      <c r="N372" s="3">
        <f>IF(ISNUMBER(AVERAGE('20250815_ETF_Options_Exhibits'!N368:N372)),AVERAGE('20250815_ETF_Options_Exhibits'!N368:N372),"")</f>
        <v/>
      </c>
      <c r="O372" s="3">
        <f>IF(ISNUMBER(AVERAGE('20250815_ETF_Options_Exhibits'!O368:O372)),AVERAGE('20250815_ETF_Options_Exhibits'!O368:O372),"")</f>
        <v/>
      </c>
      <c r="P372" s="3">
        <f>IF(ISNUMBER(AVERAGE('20250815_ETF_Options_Exhibits'!P368:P372)),AVERAGE('20250815_ETF_Options_Exhibits'!P368:P372),"")</f>
        <v/>
      </c>
      <c r="Q372" s="3">
        <f>IF(ISNUMBER(AVERAGE('20250815_ETF_Options_Exhibits'!Q368:Q372)),AVERAGE('20250815_ETF_Options_Exhibits'!Q368:Q372),"")</f>
        <v/>
      </c>
      <c r="R372" s="3">
        <f>IF(ISNUMBER(AVERAGE('20250815_ETF_Options_Exhibits'!R368:R372)),AVERAGE('20250815_ETF_Options_Exhibits'!R368:R372),"")</f>
        <v/>
      </c>
      <c r="S372" s="3">
        <f>IF(ISNUMBER(AVERAGE('20250815_ETF_Options_Exhibits'!S368:S372)),AVERAGE('20250815_ETF_Options_Exhibits'!S368:S372),"")</f>
        <v/>
      </c>
      <c r="T372" s="3">
        <f>IF(ISNUMBER(AVERAGE('20250815_ETF_Options_Exhibits'!T368:T372)),AVERAGE('20250815_ETF_Options_Exhibits'!T368:T372),"")</f>
        <v/>
      </c>
      <c r="U372" s="3">
        <f>IF(ISNUMBER(AVERAGE('20250815_ETF_Options_Exhibits'!U368:U372)),AVERAGE('20250815_ETF_Options_Exhibits'!U368:U372),"")</f>
        <v/>
      </c>
      <c r="V372" s="3">
        <f>IF(ISNUMBER(AVERAGE('20250815_ETF_Options_Exhibits'!V368:V372)),AVERAGE('20250815_ETF_Options_Exhibits'!V368:V372),"")</f>
        <v/>
      </c>
      <c r="W372" s="3">
        <f>IF(ISNUMBER(AVERAGE('20250815_ETF_Options_Exhibits'!W368:W372)),AVERAGE('20250815_ETF_Options_Exhibits'!W368:W372),"")</f>
        <v/>
      </c>
      <c r="X372" s="3">
        <f>IF(ISNUMBER(AVERAGE('20250815_ETF_Options_Exhibits'!X368:X372)),AVERAGE('20250815_ETF_Options_Exhibits'!X368:X372),"")</f>
        <v/>
      </c>
      <c r="Y372" s="3">
        <f>IF(ISNUMBER(AVERAGE('20250815_ETF_Options_Exhibits'!Y368:Y372)),AVERAGE('20250815_ETF_Options_Exhibits'!Y368:Y372),"")</f>
        <v/>
      </c>
      <c r="Z372" s="3">
        <f>IF(ISNUMBER(AVERAGE('20250815_ETF_Options_Exhibits'!Z368:Z372)),AVERAGE('20250815_ETF_Options_Exhibits'!Z368:Z372),"")</f>
        <v/>
      </c>
      <c r="AA372" s="3">
        <f>IF(ISNUMBER(AVERAGE('20250815_ETF_Options_Exhibits'!AA368:AA372)),AVERAGE('20250815_ETF_Options_Exhibits'!AA368:AA372),"")</f>
        <v/>
      </c>
    </row>
    <row r="373">
      <c r="A373" s="1" t="n">
        <v>42543</v>
      </c>
      <c r="B373" s="3">
        <f>IF(ISNUMBER(AVERAGE('20250815_ETF_Options_Exhibits'!B369:B373)),AVERAGE('20250815_ETF_Options_Exhibits'!B369:B373),"")</f>
        <v/>
      </c>
      <c r="C373" s="3">
        <f>IF(ISNUMBER(AVERAGE('20250815_ETF_Options_Exhibits'!C369:C373)),AVERAGE('20250815_ETF_Options_Exhibits'!C369:C373),"")</f>
        <v/>
      </c>
      <c r="D373" s="3">
        <f>IF(ISNUMBER(AVERAGE('20250815_ETF_Options_Exhibits'!D369:D373)),AVERAGE('20250815_ETF_Options_Exhibits'!D369:D373),"")</f>
        <v/>
      </c>
      <c r="E373" s="3">
        <f>IF(ISNUMBER(AVERAGE('20250815_ETF_Options_Exhibits'!E369:E373)),AVERAGE('20250815_ETF_Options_Exhibits'!E369:E373),"")</f>
        <v/>
      </c>
      <c r="F373" s="3">
        <f>IF(ISNUMBER(AVERAGE('20250815_ETF_Options_Exhibits'!F369:F373)),AVERAGE('20250815_ETF_Options_Exhibits'!F369:F373),"")</f>
        <v/>
      </c>
      <c r="G373" s="3">
        <f>IF(ISNUMBER(AVERAGE('20250815_ETF_Options_Exhibits'!G369:G373)),AVERAGE('20250815_ETF_Options_Exhibits'!G369:G373),"")</f>
        <v/>
      </c>
      <c r="H373" s="3">
        <f>IF(ISNUMBER(AVERAGE('20250815_ETF_Options_Exhibits'!H369:H373)),AVERAGE('20250815_ETF_Options_Exhibits'!H369:H373),"")</f>
        <v/>
      </c>
      <c r="I373" s="3">
        <f>IF(ISNUMBER(AVERAGE('20250815_ETF_Options_Exhibits'!I369:I373)),AVERAGE('20250815_ETF_Options_Exhibits'!I369:I373),"")</f>
        <v/>
      </c>
      <c r="J373" s="3">
        <f>IF(ISNUMBER(AVERAGE('20250815_ETF_Options_Exhibits'!J369:J373)),AVERAGE('20250815_ETF_Options_Exhibits'!J369:J373),"")</f>
        <v/>
      </c>
      <c r="K373" s="3">
        <f>IF(ISNUMBER(AVERAGE('20250815_ETF_Options_Exhibits'!K369:K373)),AVERAGE('20250815_ETF_Options_Exhibits'!K369:K373),"")</f>
        <v/>
      </c>
      <c r="L373" s="3">
        <f>IF(ISNUMBER(AVERAGE('20250815_ETF_Options_Exhibits'!L369:L373)),AVERAGE('20250815_ETF_Options_Exhibits'!L369:L373),"")</f>
        <v/>
      </c>
      <c r="M373" s="3">
        <f>IF(ISNUMBER(AVERAGE('20250815_ETF_Options_Exhibits'!M369:M373)),AVERAGE('20250815_ETF_Options_Exhibits'!M369:M373),"")</f>
        <v/>
      </c>
      <c r="N373" s="3">
        <f>IF(ISNUMBER(AVERAGE('20250815_ETF_Options_Exhibits'!N369:N373)),AVERAGE('20250815_ETF_Options_Exhibits'!N369:N373),"")</f>
        <v/>
      </c>
      <c r="O373" s="3">
        <f>IF(ISNUMBER(AVERAGE('20250815_ETF_Options_Exhibits'!O369:O373)),AVERAGE('20250815_ETF_Options_Exhibits'!O369:O373),"")</f>
        <v/>
      </c>
      <c r="P373" s="3">
        <f>IF(ISNUMBER(AVERAGE('20250815_ETF_Options_Exhibits'!P369:P373)),AVERAGE('20250815_ETF_Options_Exhibits'!P369:P373),"")</f>
        <v/>
      </c>
      <c r="Q373" s="3">
        <f>IF(ISNUMBER(AVERAGE('20250815_ETF_Options_Exhibits'!Q369:Q373)),AVERAGE('20250815_ETF_Options_Exhibits'!Q369:Q373),"")</f>
        <v/>
      </c>
      <c r="R373" s="3">
        <f>IF(ISNUMBER(AVERAGE('20250815_ETF_Options_Exhibits'!R369:R373)),AVERAGE('20250815_ETF_Options_Exhibits'!R369:R373),"")</f>
        <v/>
      </c>
      <c r="S373" s="3">
        <f>IF(ISNUMBER(AVERAGE('20250815_ETF_Options_Exhibits'!S369:S373)),AVERAGE('20250815_ETF_Options_Exhibits'!S369:S373),"")</f>
        <v/>
      </c>
      <c r="T373" s="3">
        <f>IF(ISNUMBER(AVERAGE('20250815_ETF_Options_Exhibits'!T369:T373)),AVERAGE('20250815_ETF_Options_Exhibits'!T369:T373),"")</f>
        <v/>
      </c>
      <c r="U373" s="3">
        <f>IF(ISNUMBER(AVERAGE('20250815_ETF_Options_Exhibits'!U369:U373)),AVERAGE('20250815_ETF_Options_Exhibits'!U369:U373),"")</f>
        <v/>
      </c>
      <c r="V373" s="3">
        <f>IF(ISNUMBER(AVERAGE('20250815_ETF_Options_Exhibits'!V369:V373)),AVERAGE('20250815_ETF_Options_Exhibits'!V369:V373),"")</f>
        <v/>
      </c>
      <c r="W373" s="3">
        <f>IF(ISNUMBER(AVERAGE('20250815_ETF_Options_Exhibits'!W369:W373)),AVERAGE('20250815_ETF_Options_Exhibits'!W369:W373),"")</f>
        <v/>
      </c>
      <c r="X373" s="3">
        <f>IF(ISNUMBER(AVERAGE('20250815_ETF_Options_Exhibits'!X369:X373)),AVERAGE('20250815_ETF_Options_Exhibits'!X369:X373),"")</f>
        <v/>
      </c>
      <c r="Y373" s="3">
        <f>IF(ISNUMBER(AVERAGE('20250815_ETF_Options_Exhibits'!Y369:Y373)),AVERAGE('20250815_ETF_Options_Exhibits'!Y369:Y373),"")</f>
        <v/>
      </c>
      <c r="Z373" s="3">
        <f>IF(ISNUMBER(AVERAGE('20250815_ETF_Options_Exhibits'!Z369:Z373)),AVERAGE('20250815_ETF_Options_Exhibits'!Z369:Z373),"")</f>
        <v/>
      </c>
      <c r="AA373" s="3">
        <f>IF(ISNUMBER(AVERAGE('20250815_ETF_Options_Exhibits'!AA369:AA373)),AVERAGE('20250815_ETF_Options_Exhibits'!AA369:AA373),"")</f>
        <v/>
      </c>
    </row>
    <row r="374">
      <c r="A374" s="1" t="n">
        <v>42544</v>
      </c>
      <c r="B374" s="3">
        <f>IF(ISNUMBER(AVERAGE('20250815_ETF_Options_Exhibits'!B370:B374)),AVERAGE('20250815_ETF_Options_Exhibits'!B370:B374),"")</f>
        <v/>
      </c>
      <c r="C374" s="3">
        <f>IF(ISNUMBER(AVERAGE('20250815_ETF_Options_Exhibits'!C370:C374)),AVERAGE('20250815_ETF_Options_Exhibits'!C370:C374),"")</f>
        <v/>
      </c>
      <c r="D374" s="3">
        <f>IF(ISNUMBER(AVERAGE('20250815_ETF_Options_Exhibits'!D370:D374)),AVERAGE('20250815_ETF_Options_Exhibits'!D370:D374),"")</f>
        <v/>
      </c>
      <c r="E374" s="3">
        <f>IF(ISNUMBER(AVERAGE('20250815_ETF_Options_Exhibits'!E370:E374)),AVERAGE('20250815_ETF_Options_Exhibits'!E370:E374),"")</f>
        <v/>
      </c>
      <c r="F374" s="3">
        <f>IF(ISNUMBER(AVERAGE('20250815_ETF_Options_Exhibits'!F370:F374)),AVERAGE('20250815_ETF_Options_Exhibits'!F370:F374),"")</f>
        <v/>
      </c>
      <c r="G374" s="3">
        <f>IF(ISNUMBER(AVERAGE('20250815_ETF_Options_Exhibits'!G370:G374)),AVERAGE('20250815_ETF_Options_Exhibits'!G370:G374),"")</f>
        <v/>
      </c>
      <c r="H374" s="3">
        <f>IF(ISNUMBER(AVERAGE('20250815_ETF_Options_Exhibits'!H370:H374)),AVERAGE('20250815_ETF_Options_Exhibits'!H370:H374),"")</f>
        <v/>
      </c>
      <c r="I374" s="3">
        <f>IF(ISNUMBER(AVERAGE('20250815_ETF_Options_Exhibits'!I370:I374)),AVERAGE('20250815_ETF_Options_Exhibits'!I370:I374),"")</f>
        <v/>
      </c>
      <c r="J374" s="3">
        <f>IF(ISNUMBER(AVERAGE('20250815_ETF_Options_Exhibits'!J370:J374)),AVERAGE('20250815_ETF_Options_Exhibits'!J370:J374),"")</f>
        <v/>
      </c>
      <c r="K374" s="3">
        <f>IF(ISNUMBER(AVERAGE('20250815_ETF_Options_Exhibits'!K370:K374)),AVERAGE('20250815_ETF_Options_Exhibits'!K370:K374),"")</f>
        <v/>
      </c>
      <c r="L374" s="3">
        <f>IF(ISNUMBER(AVERAGE('20250815_ETF_Options_Exhibits'!L370:L374)),AVERAGE('20250815_ETF_Options_Exhibits'!L370:L374),"")</f>
        <v/>
      </c>
      <c r="M374" s="3">
        <f>IF(ISNUMBER(AVERAGE('20250815_ETF_Options_Exhibits'!M370:M374)),AVERAGE('20250815_ETF_Options_Exhibits'!M370:M374),"")</f>
        <v/>
      </c>
      <c r="N374" s="3">
        <f>IF(ISNUMBER(AVERAGE('20250815_ETF_Options_Exhibits'!N370:N374)),AVERAGE('20250815_ETF_Options_Exhibits'!N370:N374),"")</f>
        <v/>
      </c>
      <c r="O374" s="3">
        <f>IF(ISNUMBER(AVERAGE('20250815_ETF_Options_Exhibits'!O370:O374)),AVERAGE('20250815_ETF_Options_Exhibits'!O370:O374),"")</f>
        <v/>
      </c>
      <c r="P374" s="3">
        <f>IF(ISNUMBER(AVERAGE('20250815_ETF_Options_Exhibits'!P370:P374)),AVERAGE('20250815_ETF_Options_Exhibits'!P370:P374),"")</f>
        <v/>
      </c>
      <c r="Q374" s="3">
        <f>IF(ISNUMBER(AVERAGE('20250815_ETF_Options_Exhibits'!Q370:Q374)),AVERAGE('20250815_ETF_Options_Exhibits'!Q370:Q374),"")</f>
        <v/>
      </c>
      <c r="R374" s="3">
        <f>IF(ISNUMBER(AVERAGE('20250815_ETF_Options_Exhibits'!R370:R374)),AVERAGE('20250815_ETF_Options_Exhibits'!R370:R374),"")</f>
        <v/>
      </c>
      <c r="S374" s="3">
        <f>IF(ISNUMBER(AVERAGE('20250815_ETF_Options_Exhibits'!S370:S374)),AVERAGE('20250815_ETF_Options_Exhibits'!S370:S374),"")</f>
        <v/>
      </c>
      <c r="T374" s="3">
        <f>IF(ISNUMBER(AVERAGE('20250815_ETF_Options_Exhibits'!T370:T374)),AVERAGE('20250815_ETF_Options_Exhibits'!T370:T374),"")</f>
        <v/>
      </c>
      <c r="U374" s="3">
        <f>IF(ISNUMBER(AVERAGE('20250815_ETF_Options_Exhibits'!U370:U374)),AVERAGE('20250815_ETF_Options_Exhibits'!U370:U374),"")</f>
        <v/>
      </c>
      <c r="V374" s="3">
        <f>IF(ISNUMBER(AVERAGE('20250815_ETF_Options_Exhibits'!V370:V374)),AVERAGE('20250815_ETF_Options_Exhibits'!V370:V374),"")</f>
        <v/>
      </c>
      <c r="W374" s="3">
        <f>IF(ISNUMBER(AVERAGE('20250815_ETF_Options_Exhibits'!W370:W374)),AVERAGE('20250815_ETF_Options_Exhibits'!W370:W374),"")</f>
        <v/>
      </c>
      <c r="X374" s="3">
        <f>IF(ISNUMBER(AVERAGE('20250815_ETF_Options_Exhibits'!X370:X374)),AVERAGE('20250815_ETF_Options_Exhibits'!X370:X374),"")</f>
        <v/>
      </c>
      <c r="Y374" s="3">
        <f>IF(ISNUMBER(AVERAGE('20250815_ETF_Options_Exhibits'!Y370:Y374)),AVERAGE('20250815_ETF_Options_Exhibits'!Y370:Y374),"")</f>
        <v/>
      </c>
      <c r="Z374" s="3">
        <f>IF(ISNUMBER(AVERAGE('20250815_ETF_Options_Exhibits'!Z370:Z374)),AVERAGE('20250815_ETF_Options_Exhibits'!Z370:Z374),"")</f>
        <v/>
      </c>
      <c r="AA374" s="3">
        <f>IF(ISNUMBER(AVERAGE('20250815_ETF_Options_Exhibits'!AA370:AA374)),AVERAGE('20250815_ETF_Options_Exhibits'!AA370:AA374),"")</f>
        <v/>
      </c>
    </row>
    <row r="375">
      <c r="A375" s="1" t="n">
        <v>42545</v>
      </c>
      <c r="B375" s="3">
        <f>IF(ISNUMBER(AVERAGE('20250815_ETF_Options_Exhibits'!B371:B375)),AVERAGE('20250815_ETF_Options_Exhibits'!B371:B375),"")</f>
        <v/>
      </c>
      <c r="C375" s="3">
        <f>IF(ISNUMBER(AVERAGE('20250815_ETF_Options_Exhibits'!C371:C375)),AVERAGE('20250815_ETF_Options_Exhibits'!C371:C375),"")</f>
        <v/>
      </c>
      <c r="D375" s="3">
        <f>IF(ISNUMBER(AVERAGE('20250815_ETF_Options_Exhibits'!D371:D375)),AVERAGE('20250815_ETF_Options_Exhibits'!D371:D375),"")</f>
        <v/>
      </c>
      <c r="E375" s="3">
        <f>IF(ISNUMBER(AVERAGE('20250815_ETF_Options_Exhibits'!E371:E375)),AVERAGE('20250815_ETF_Options_Exhibits'!E371:E375),"")</f>
        <v/>
      </c>
      <c r="F375" s="3">
        <f>IF(ISNUMBER(AVERAGE('20250815_ETF_Options_Exhibits'!F371:F375)),AVERAGE('20250815_ETF_Options_Exhibits'!F371:F375),"")</f>
        <v/>
      </c>
      <c r="G375" s="3">
        <f>IF(ISNUMBER(AVERAGE('20250815_ETF_Options_Exhibits'!G371:G375)),AVERAGE('20250815_ETF_Options_Exhibits'!G371:G375),"")</f>
        <v/>
      </c>
      <c r="H375" s="3">
        <f>IF(ISNUMBER(AVERAGE('20250815_ETF_Options_Exhibits'!H371:H375)),AVERAGE('20250815_ETF_Options_Exhibits'!H371:H375),"")</f>
        <v/>
      </c>
      <c r="I375" s="3">
        <f>IF(ISNUMBER(AVERAGE('20250815_ETF_Options_Exhibits'!I371:I375)),AVERAGE('20250815_ETF_Options_Exhibits'!I371:I375),"")</f>
        <v/>
      </c>
      <c r="J375" s="3">
        <f>IF(ISNUMBER(AVERAGE('20250815_ETF_Options_Exhibits'!J371:J375)),AVERAGE('20250815_ETF_Options_Exhibits'!J371:J375),"")</f>
        <v/>
      </c>
      <c r="K375" s="3">
        <f>IF(ISNUMBER(AVERAGE('20250815_ETF_Options_Exhibits'!K371:K375)),AVERAGE('20250815_ETF_Options_Exhibits'!K371:K375),"")</f>
        <v/>
      </c>
      <c r="L375" s="3">
        <f>IF(ISNUMBER(AVERAGE('20250815_ETF_Options_Exhibits'!L371:L375)),AVERAGE('20250815_ETF_Options_Exhibits'!L371:L375),"")</f>
        <v/>
      </c>
      <c r="M375" s="3">
        <f>IF(ISNUMBER(AVERAGE('20250815_ETF_Options_Exhibits'!M371:M375)),AVERAGE('20250815_ETF_Options_Exhibits'!M371:M375),"")</f>
        <v/>
      </c>
      <c r="N375" s="3">
        <f>IF(ISNUMBER(AVERAGE('20250815_ETF_Options_Exhibits'!N371:N375)),AVERAGE('20250815_ETF_Options_Exhibits'!N371:N375),"")</f>
        <v/>
      </c>
      <c r="O375" s="3">
        <f>IF(ISNUMBER(AVERAGE('20250815_ETF_Options_Exhibits'!O371:O375)),AVERAGE('20250815_ETF_Options_Exhibits'!O371:O375),"")</f>
        <v/>
      </c>
      <c r="P375" s="3">
        <f>IF(ISNUMBER(AVERAGE('20250815_ETF_Options_Exhibits'!P371:P375)),AVERAGE('20250815_ETF_Options_Exhibits'!P371:P375),"")</f>
        <v/>
      </c>
      <c r="Q375" s="3">
        <f>IF(ISNUMBER(AVERAGE('20250815_ETF_Options_Exhibits'!Q371:Q375)),AVERAGE('20250815_ETF_Options_Exhibits'!Q371:Q375),"")</f>
        <v/>
      </c>
      <c r="R375" s="3">
        <f>IF(ISNUMBER(AVERAGE('20250815_ETF_Options_Exhibits'!R371:R375)),AVERAGE('20250815_ETF_Options_Exhibits'!R371:R375),"")</f>
        <v/>
      </c>
      <c r="S375" s="3">
        <f>IF(ISNUMBER(AVERAGE('20250815_ETF_Options_Exhibits'!S371:S375)),AVERAGE('20250815_ETF_Options_Exhibits'!S371:S375),"")</f>
        <v/>
      </c>
      <c r="T375" s="3">
        <f>IF(ISNUMBER(AVERAGE('20250815_ETF_Options_Exhibits'!T371:T375)),AVERAGE('20250815_ETF_Options_Exhibits'!T371:T375),"")</f>
        <v/>
      </c>
      <c r="U375" s="3">
        <f>IF(ISNUMBER(AVERAGE('20250815_ETF_Options_Exhibits'!U371:U375)),AVERAGE('20250815_ETF_Options_Exhibits'!U371:U375),"")</f>
        <v/>
      </c>
      <c r="V375" s="3">
        <f>IF(ISNUMBER(AVERAGE('20250815_ETF_Options_Exhibits'!V371:V375)),AVERAGE('20250815_ETF_Options_Exhibits'!V371:V375),"")</f>
        <v/>
      </c>
      <c r="W375" s="3">
        <f>IF(ISNUMBER(AVERAGE('20250815_ETF_Options_Exhibits'!W371:W375)),AVERAGE('20250815_ETF_Options_Exhibits'!W371:W375),"")</f>
        <v/>
      </c>
      <c r="X375" s="3">
        <f>IF(ISNUMBER(AVERAGE('20250815_ETF_Options_Exhibits'!X371:X375)),AVERAGE('20250815_ETF_Options_Exhibits'!X371:X375),"")</f>
        <v/>
      </c>
      <c r="Y375" s="3">
        <f>IF(ISNUMBER(AVERAGE('20250815_ETF_Options_Exhibits'!Y371:Y375)),AVERAGE('20250815_ETF_Options_Exhibits'!Y371:Y375),"")</f>
        <v/>
      </c>
      <c r="Z375" s="3">
        <f>IF(ISNUMBER(AVERAGE('20250815_ETF_Options_Exhibits'!Z371:Z375)),AVERAGE('20250815_ETF_Options_Exhibits'!Z371:Z375),"")</f>
        <v/>
      </c>
      <c r="AA375" s="3">
        <f>IF(ISNUMBER(AVERAGE('20250815_ETF_Options_Exhibits'!AA371:AA375)),AVERAGE('20250815_ETF_Options_Exhibits'!AA371:AA375),"")</f>
        <v/>
      </c>
    </row>
    <row r="376">
      <c r="A376" s="1" t="n">
        <v>42548</v>
      </c>
      <c r="B376" s="3">
        <f>IF(ISNUMBER(AVERAGE('20250815_ETF_Options_Exhibits'!B372:B376)),AVERAGE('20250815_ETF_Options_Exhibits'!B372:B376),"")</f>
        <v/>
      </c>
      <c r="C376" s="3">
        <f>IF(ISNUMBER(AVERAGE('20250815_ETF_Options_Exhibits'!C372:C376)),AVERAGE('20250815_ETF_Options_Exhibits'!C372:C376),"")</f>
        <v/>
      </c>
      <c r="D376" s="3">
        <f>IF(ISNUMBER(AVERAGE('20250815_ETF_Options_Exhibits'!D372:D376)),AVERAGE('20250815_ETF_Options_Exhibits'!D372:D376),"")</f>
        <v/>
      </c>
      <c r="E376" s="3">
        <f>IF(ISNUMBER(AVERAGE('20250815_ETF_Options_Exhibits'!E372:E376)),AVERAGE('20250815_ETF_Options_Exhibits'!E372:E376),"")</f>
        <v/>
      </c>
      <c r="F376" s="3">
        <f>IF(ISNUMBER(AVERAGE('20250815_ETF_Options_Exhibits'!F372:F376)),AVERAGE('20250815_ETF_Options_Exhibits'!F372:F376),"")</f>
        <v/>
      </c>
      <c r="G376" s="3">
        <f>IF(ISNUMBER(AVERAGE('20250815_ETF_Options_Exhibits'!G372:G376)),AVERAGE('20250815_ETF_Options_Exhibits'!G372:G376),"")</f>
        <v/>
      </c>
      <c r="H376" s="3">
        <f>IF(ISNUMBER(AVERAGE('20250815_ETF_Options_Exhibits'!H372:H376)),AVERAGE('20250815_ETF_Options_Exhibits'!H372:H376),"")</f>
        <v/>
      </c>
      <c r="I376" s="3">
        <f>IF(ISNUMBER(AVERAGE('20250815_ETF_Options_Exhibits'!I372:I376)),AVERAGE('20250815_ETF_Options_Exhibits'!I372:I376),"")</f>
        <v/>
      </c>
      <c r="J376" s="3">
        <f>IF(ISNUMBER(AVERAGE('20250815_ETF_Options_Exhibits'!J372:J376)),AVERAGE('20250815_ETF_Options_Exhibits'!J372:J376),"")</f>
        <v/>
      </c>
      <c r="K376" s="3">
        <f>IF(ISNUMBER(AVERAGE('20250815_ETF_Options_Exhibits'!K372:K376)),AVERAGE('20250815_ETF_Options_Exhibits'!K372:K376),"")</f>
        <v/>
      </c>
      <c r="L376" s="3">
        <f>IF(ISNUMBER(AVERAGE('20250815_ETF_Options_Exhibits'!L372:L376)),AVERAGE('20250815_ETF_Options_Exhibits'!L372:L376),"")</f>
        <v/>
      </c>
      <c r="M376" s="3">
        <f>IF(ISNUMBER(AVERAGE('20250815_ETF_Options_Exhibits'!M372:M376)),AVERAGE('20250815_ETF_Options_Exhibits'!M372:M376),"")</f>
        <v/>
      </c>
      <c r="N376" s="3">
        <f>IF(ISNUMBER(AVERAGE('20250815_ETF_Options_Exhibits'!N372:N376)),AVERAGE('20250815_ETF_Options_Exhibits'!N372:N376),"")</f>
        <v/>
      </c>
      <c r="O376" s="3">
        <f>IF(ISNUMBER(AVERAGE('20250815_ETF_Options_Exhibits'!O372:O376)),AVERAGE('20250815_ETF_Options_Exhibits'!O372:O376),"")</f>
        <v/>
      </c>
      <c r="P376" s="3">
        <f>IF(ISNUMBER(AVERAGE('20250815_ETF_Options_Exhibits'!P372:P376)),AVERAGE('20250815_ETF_Options_Exhibits'!P372:P376),"")</f>
        <v/>
      </c>
      <c r="Q376" s="3">
        <f>IF(ISNUMBER(AVERAGE('20250815_ETF_Options_Exhibits'!Q372:Q376)),AVERAGE('20250815_ETF_Options_Exhibits'!Q372:Q376),"")</f>
        <v/>
      </c>
      <c r="R376" s="3">
        <f>IF(ISNUMBER(AVERAGE('20250815_ETF_Options_Exhibits'!R372:R376)),AVERAGE('20250815_ETF_Options_Exhibits'!R372:R376),"")</f>
        <v/>
      </c>
      <c r="S376" s="3">
        <f>IF(ISNUMBER(AVERAGE('20250815_ETF_Options_Exhibits'!S372:S376)),AVERAGE('20250815_ETF_Options_Exhibits'!S372:S376),"")</f>
        <v/>
      </c>
      <c r="T376" s="3">
        <f>IF(ISNUMBER(AVERAGE('20250815_ETF_Options_Exhibits'!T372:T376)),AVERAGE('20250815_ETF_Options_Exhibits'!T372:T376),"")</f>
        <v/>
      </c>
      <c r="U376" s="3">
        <f>IF(ISNUMBER(AVERAGE('20250815_ETF_Options_Exhibits'!U372:U376)),AVERAGE('20250815_ETF_Options_Exhibits'!U372:U376),"")</f>
        <v/>
      </c>
      <c r="V376" s="3">
        <f>IF(ISNUMBER(AVERAGE('20250815_ETF_Options_Exhibits'!V372:V376)),AVERAGE('20250815_ETF_Options_Exhibits'!V372:V376),"")</f>
        <v/>
      </c>
      <c r="W376" s="3">
        <f>IF(ISNUMBER(AVERAGE('20250815_ETF_Options_Exhibits'!W372:W376)),AVERAGE('20250815_ETF_Options_Exhibits'!W372:W376),"")</f>
        <v/>
      </c>
      <c r="X376" s="3">
        <f>IF(ISNUMBER(AVERAGE('20250815_ETF_Options_Exhibits'!X372:X376)),AVERAGE('20250815_ETF_Options_Exhibits'!X372:X376),"")</f>
        <v/>
      </c>
      <c r="Y376" s="3">
        <f>IF(ISNUMBER(AVERAGE('20250815_ETF_Options_Exhibits'!Y372:Y376)),AVERAGE('20250815_ETF_Options_Exhibits'!Y372:Y376),"")</f>
        <v/>
      </c>
      <c r="Z376" s="3">
        <f>IF(ISNUMBER(AVERAGE('20250815_ETF_Options_Exhibits'!Z372:Z376)),AVERAGE('20250815_ETF_Options_Exhibits'!Z372:Z376),"")</f>
        <v/>
      </c>
      <c r="AA376" s="3">
        <f>IF(ISNUMBER(AVERAGE('20250815_ETF_Options_Exhibits'!AA372:AA376)),AVERAGE('20250815_ETF_Options_Exhibits'!AA372:AA376),"")</f>
        <v/>
      </c>
    </row>
    <row r="377">
      <c r="A377" s="1" t="n">
        <v>42549</v>
      </c>
      <c r="B377" s="3">
        <f>IF(ISNUMBER(AVERAGE('20250815_ETF_Options_Exhibits'!B373:B377)),AVERAGE('20250815_ETF_Options_Exhibits'!B373:B377),"")</f>
        <v/>
      </c>
      <c r="C377" s="3">
        <f>IF(ISNUMBER(AVERAGE('20250815_ETF_Options_Exhibits'!C373:C377)),AVERAGE('20250815_ETF_Options_Exhibits'!C373:C377),"")</f>
        <v/>
      </c>
      <c r="D377" s="3">
        <f>IF(ISNUMBER(AVERAGE('20250815_ETF_Options_Exhibits'!D373:D377)),AVERAGE('20250815_ETF_Options_Exhibits'!D373:D377),"")</f>
        <v/>
      </c>
      <c r="E377" s="3">
        <f>IF(ISNUMBER(AVERAGE('20250815_ETF_Options_Exhibits'!E373:E377)),AVERAGE('20250815_ETF_Options_Exhibits'!E373:E377),"")</f>
        <v/>
      </c>
      <c r="F377" s="3">
        <f>IF(ISNUMBER(AVERAGE('20250815_ETF_Options_Exhibits'!F373:F377)),AVERAGE('20250815_ETF_Options_Exhibits'!F373:F377),"")</f>
        <v/>
      </c>
      <c r="G377" s="3">
        <f>IF(ISNUMBER(AVERAGE('20250815_ETF_Options_Exhibits'!G373:G377)),AVERAGE('20250815_ETF_Options_Exhibits'!G373:G377),"")</f>
        <v/>
      </c>
      <c r="H377" s="3">
        <f>IF(ISNUMBER(AVERAGE('20250815_ETF_Options_Exhibits'!H373:H377)),AVERAGE('20250815_ETF_Options_Exhibits'!H373:H377),"")</f>
        <v/>
      </c>
      <c r="I377" s="3">
        <f>IF(ISNUMBER(AVERAGE('20250815_ETF_Options_Exhibits'!I373:I377)),AVERAGE('20250815_ETF_Options_Exhibits'!I373:I377),"")</f>
        <v/>
      </c>
      <c r="J377" s="3">
        <f>IF(ISNUMBER(AVERAGE('20250815_ETF_Options_Exhibits'!J373:J377)),AVERAGE('20250815_ETF_Options_Exhibits'!J373:J377),"")</f>
        <v/>
      </c>
      <c r="K377" s="3">
        <f>IF(ISNUMBER(AVERAGE('20250815_ETF_Options_Exhibits'!K373:K377)),AVERAGE('20250815_ETF_Options_Exhibits'!K373:K377),"")</f>
        <v/>
      </c>
      <c r="L377" s="3">
        <f>IF(ISNUMBER(AVERAGE('20250815_ETF_Options_Exhibits'!L373:L377)),AVERAGE('20250815_ETF_Options_Exhibits'!L373:L377),"")</f>
        <v/>
      </c>
      <c r="M377" s="3">
        <f>IF(ISNUMBER(AVERAGE('20250815_ETF_Options_Exhibits'!M373:M377)),AVERAGE('20250815_ETF_Options_Exhibits'!M373:M377),"")</f>
        <v/>
      </c>
      <c r="N377" s="3">
        <f>IF(ISNUMBER(AVERAGE('20250815_ETF_Options_Exhibits'!N373:N377)),AVERAGE('20250815_ETF_Options_Exhibits'!N373:N377),"")</f>
        <v/>
      </c>
      <c r="O377" s="3">
        <f>IF(ISNUMBER(AVERAGE('20250815_ETF_Options_Exhibits'!O373:O377)),AVERAGE('20250815_ETF_Options_Exhibits'!O373:O377),"")</f>
        <v/>
      </c>
      <c r="P377" s="3">
        <f>IF(ISNUMBER(AVERAGE('20250815_ETF_Options_Exhibits'!P373:P377)),AVERAGE('20250815_ETF_Options_Exhibits'!P373:P377),"")</f>
        <v/>
      </c>
      <c r="Q377" s="3">
        <f>IF(ISNUMBER(AVERAGE('20250815_ETF_Options_Exhibits'!Q373:Q377)),AVERAGE('20250815_ETF_Options_Exhibits'!Q373:Q377),"")</f>
        <v/>
      </c>
      <c r="R377" s="3">
        <f>IF(ISNUMBER(AVERAGE('20250815_ETF_Options_Exhibits'!R373:R377)),AVERAGE('20250815_ETF_Options_Exhibits'!R373:R377),"")</f>
        <v/>
      </c>
      <c r="S377" s="3">
        <f>IF(ISNUMBER(AVERAGE('20250815_ETF_Options_Exhibits'!S373:S377)),AVERAGE('20250815_ETF_Options_Exhibits'!S373:S377),"")</f>
        <v/>
      </c>
      <c r="T377" s="3">
        <f>IF(ISNUMBER(AVERAGE('20250815_ETF_Options_Exhibits'!T373:T377)),AVERAGE('20250815_ETF_Options_Exhibits'!T373:T377),"")</f>
        <v/>
      </c>
      <c r="U377" s="3">
        <f>IF(ISNUMBER(AVERAGE('20250815_ETF_Options_Exhibits'!U373:U377)),AVERAGE('20250815_ETF_Options_Exhibits'!U373:U377),"")</f>
        <v/>
      </c>
      <c r="V377" s="3">
        <f>IF(ISNUMBER(AVERAGE('20250815_ETF_Options_Exhibits'!V373:V377)),AVERAGE('20250815_ETF_Options_Exhibits'!V373:V377),"")</f>
        <v/>
      </c>
      <c r="W377" s="3">
        <f>IF(ISNUMBER(AVERAGE('20250815_ETF_Options_Exhibits'!W373:W377)),AVERAGE('20250815_ETF_Options_Exhibits'!W373:W377),"")</f>
        <v/>
      </c>
      <c r="X377" s="3">
        <f>IF(ISNUMBER(AVERAGE('20250815_ETF_Options_Exhibits'!X373:X377)),AVERAGE('20250815_ETF_Options_Exhibits'!X373:X377),"")</f>
        <v/>
      </c>
      <c r="Y377" s="3">
        <f>IF(ISNUMBER(AVERAGE('20250815_ETF_Options_Exhibits'!Y373:Y377)),AVERAGE('20250815_ETF_Options_Exhibits'!Y373:Y377),"")</f>
        <v/>
      </c>
      <c r="Z377" s="3">
        <f>IF(ISNUMBER(AVERAGE('20250815_ETF_Options_Exhibits'!Z373:Z377)),AVERAGE('20250815_ETF_Options_Exhibits'!Z373:Z377),"")</f>
        <v/>
      </c>
      <c r="AA377" s="3">
        <f>IF(ISNUMBER(AVERAGE('20250815_ETF_Options_Exhibits'!AA373:AA377)),AVERAGE('20250815_ETF_Options_Exhibits'!AA373:AA377),"")</f>
        <v/>
      </c>
    </row>
    <row r="378">
      <c r="A378" s="1" t="n">
        <v>42550</v>
      </c>
      <c r="B378" s="3">
        <f>IF(ISNUMBER(AVERAGE('20250815_ETF_Options_Exhibits'!B374:B378)),AVERAGE('20250815_ETF_Options_Exhibits'!B374:B378),"")</f>
        <v/>
      </c>
      <c r="C378" s="3">
        <f>IF(ISNUMBER(AVERAGE('20250815_ETF_Options_Exhibits'!C374:C378)),AVERAGE('20250815_ETF_Options_Exhibits'!C374:C378),"")</f>
        <v/>
      </c>
      <c r="D378" s="3">
        <f>IF(ISNUMBER(AVERAGE('20250815_ETF_Options_Exhibits'!D374:D378)),AVERAGE('20250815_ETF_Options_Exhibits'!D374:D378),"")</f>
        <v/>
      </c>
      <c r="E378" s="3">
        <f>IF(ISNUMBER(AVERAGE('20250815_ETF_Options_Exhibits'!E374:E378)),AVERAGE('20250815_ETF_Options_Exhibits'!E374:E378),"")</f>
        <v/>
      </c>
      <c r="F378" s="3">
        <f>IF(ISNUMBER(AVERAGE('20250815_ETF_Options_Exhibits'!F374:F378)),AVERAGE('20250815_ETF_Options_Exhibits'!F374:F378),"")</f>
        <v/>
      </c>
      <c r="G378" s="3">
        <f>IF(ISNUMBER(AVERAGE('20250815_ETF_Options_Exhibits'!G374:G378)),AVERAGE('20250815_ETF_Options_Exhibits'!G374:G378),"")</f>
        <v/>
      </c>
      <c r="H378" s="3">
        <f>IF(ISNUMBER(AVERAGE('20250815_ETF_Options_Exhibits'!H374:H378)),AVERAGE('20250815_ETF_Options_Exhibits'!H374:H378),"")</f>
        <v/>
      </c>
      <c r="I378" s="3">
        <f>IF(ISNUMBER(AVERAGE('20250815_ETF_Options_Exhibits'!I374:I378)),AVERAGE('20250815_ETF_Options_Exhibits'!I374:I378),"")</f>
        <v/>
      </c>
      <c r="J378" s="3">
        <f>IF(ISNUMBER(AVERAGE('20250815_ETF_Options_Exhibits'!J374:J378)),AVERAGE('20250815_ETF_Options_Exhibits'!J374:J378),"")</f>
        <v/>
      </c>
      <c r="K378" s="3">
        <f>IF(ISNUMBER(AVERAGE('20250815_ETF_Options_Exhibits'!K374:K378)),AVERAGE('20250815_ETF_Options_Exhibits'!K374:K378),"")</f>
        <v/>
      </c>
      <c r="L378" s="3">
        <f>IF(ISNUMBER(AVERAGE('20250815_ETF_Options_Exhibits'!L374:L378)),AVERAGE('20250815_ETF_Options_Exhibits'!L374:L378),"")</f>
        <v/>
      </c>
      <c r="M378" s="3">
        <f>IF(ISNUMBER(AVERAGE('20250815_ETF_Options_Exhibits'!M374:M378)),AVERAGE('20250815_ETF_Options_Exhibits'!M374:M378),"")</f>
        <v/>
      </c>
      <c r="N378" s="3">
        <f>IF(ISNUMBER(AVERAGE('20250815_ETF_Options_Exhibits'!N374:N378)),AVERAGE('20250815_ETF_Options_Exhibits'!N374:N378),"")</f>
        <v/>
      </c>
      <c r="O378" s="3">
        <f>IF(ISNUMBER(AVERAGE('20250815_ETF_Options_Exhibits'!O374:O378)),AVERAGE('20250815_ETF_Options_Exhibits'!O374:O378),"")</f>
        <v/>
      </c>
      <c r="P378" s="3">
        <f>IF(ISNUMBER(AVERAGE('20250815_ETF_Options_Exhibits'!P374:P378)),AVERAGE('20250815_ETF_Options_Exhibits'!P374:P378),"")</f>
        <v/>
      </c>
      <c r="Q378" s="3">
        <f>IF(ISNUMBER(AVERAGE('20250815_ETF_Options_Exhibits'!Q374:Q378)),AVERAGE('20250815_ETF_Options_Exhibits'!Q374:Q378),"")</f>
        <v/>
      </c>
      <c r="R378" s="3">
        <f>IF(ISNUMBER(AVERAGE('20250815_ETF_Options_Exhibits'!R374:R378)),AVERAGE('20250815_ETF_Options_Exhibits'!R374:R378),"")</f>
        <v/>
      </c>
      <c r="S378" s="3">
        <f>IF(ISNUMBER(AVERAGE('20250815_ETF_Options_Exhibits'!S374:S378)),AVERAGE('20250815_ETF_Options_Exhibits'!S374:S378),"")</f>
        <v/>
      </c>
      <c r="T378" s="3">
        <f>IF(ISNUMBER(AVERAGE('20250815_ETF_Options_Exhibits'!T374:T378)),AVERAGE('20250815_ETF_Options_Exhibits'!T374:T378),"")</f>
        <v/>
      </c>
      <c r="U378" s="3">
        <f>IF(ISNUMBER(AVERAGE('20250815_ETF_Options_Exhibits'!U374:U378)),AVERAGE('20250815_ETF_Options_Exhibits'!U374:U378),"")</f>
        <v/>
      </c>
      <c r="V378" s="3">
        <f>IF(ISNUMBER(AVERAGE('20250815_ETF_Options_Exhibits'!V374:V378)),AVERAGE('20250815_ETF_Options_Exhibits'!V374:V378),"")</f>
        <v/>
      </c>
      <c r="W378" s="3">
        <f>IF(ISNUMBER(AVERAGE('20250815_ETF_Options_Exhibits'!W374:W378)),AVERAGE('20250815_ETF_Options_Exhibits'!W374:W378),"")</f>
        <v/>
      </c>
      <c r="X378" s="3">
        <f>IF(ISNUMBER(AVERAGE('20250815_ETF_Options_Exhibits'!X374:X378)),AVERAGE('20250815_ETF_Options_Exhibits'!X374:X378),"")</f>
        <v/>
      </c>
      <c r="Y378" s="3">
        <f>IF(ISNUMBER(AVERAGE('20250815_ETF_Options_Exhibits'!Y374:Y378)),AVERAGE('20250815_ETF_Options_Exhibits'!Y374:Y378),"")</f>
        <v/>
      </c>
      <c r="Z378" s="3">
        <f>IF(ISNUMBER(AVERAGE('20250815_ETF_Options_Exhibits'!Z374:Z378)),AVERAGE('20250815_ETF_Options_Exhibits'!Z374:Z378),"")</f>
        <v/>
      </c>
      <c r="AA378" s="3">
        <f>IF(ISNUMBER(AVERAGE('20250815_ETF_Options_Exhibits'!AA374:AA378)),AVERAGE('20250815_ETF_Options_Exhibits'!AA374:AA378),"")</f>
        <v/>
      </c>
    </row>
    <row r="379">
      <c r="A379" s="1" t="n">
        <v>42551</v>
      </c>
      <c r="B379" s="3">
        <f>IF(ISNUMBER(AVERAGE('20250815_ETF_Options_Exhibits'!B375:B379)),AVERAGE('20250815_ETF_Options_Exhibits'!B375:B379),"")</f>
        <v/>
      </c>
      <c r="C379" s="3">
        <f>IF(ISNUMBER(AVERAGE('20250815_ETF_Options_Exhibits'!C375:C379)),AVERAGE('20250815_ETF_Options_Exhibits'!C375:C379),"")</f>
        <v/>
      </c>
      <c r="D379" s="3">
        <f>IF(ISNUMBER(AVERAGE('20250815_ETF_Options_Exhibits'!D375:D379)),AVERAGE('20250815_ETF_Options_Exhibits'!D375:D379),"")</f>
        <v/>
      </c>
      <c r="E379" s="3">
        <f>IF(ISNUMBER(AVERAGE('20250815_ETF_Options_Exhibits'!E375:E379)),AVERAGE('20250815_ETF_Options_Exhibits'!E375:E379),"")</f>
        <v/>
      </c>
      <c r="F379" s="3">
        <f>IF(ISNUMBER(AVERAGE('20250815_ETF_Options_Exhibits'!F375:F379)),AVERAGE('20250815_ETF_Options_Exhibits'!F375:F379),"")</f>
        <v/>
      </c>
      <c r="G379" s="3">
        <f>IF(ISNUMBER(AVERAGE('20250815_ETF_Options_Exhibits'!G375:G379)),AVERAGE('20250815_ETF_Options_Exhibits'!G375:G379),"")</f>
        <v/>
      </c>
      <c r="H379" s="3">
        <f>IF(ISNUMBER(AVERAGE('20250815_ETF_Options_Exhibits'!H375:H379)),AVERAGE('20250815_ETF_Options_Exhibits'!H375:H379),"")</f>
        <v/>
      </c>
      <c r="I379" s="3">
        <f>IF(ISNUMBER(AVERAGE('20250815_ETF_Options_Exhibits'!I375:I379)),AVERAGE('20250815_ETF_Options_Exhibits'!I375:I379),"")</f>
        <v/>
      </c>
      <c r="J379" s="3">
        <f>IF(ISNUMBER(AVERAGE('20250815_ETF_Options_Exhibits'!J375:J379)),AVERAGE('20250815_ETF_Options_Exhibits'!J375:J379),"")</f>
        <v/>
      </c>
      <c r="K379" s="3">
        <f>IF(ISNUMBER(AVERAGE('20250815_ETF_Options_Exhibits'!K375:K379)),AVERAGE('20250815_ETF_Options_Exhibits'!K375:K379),"")</f>
        <v/>
      </c>
      <c r="L379" s="3">
        <f>IF(ISNUMBER(AVERAGE('20250815_ETF_Options_Exhibits'!L375:L379)),AVERAGE('20250815_ETF_Options_Exhibits'!L375:L379),"")</f>
        <v/>
      </c>
      <c r="M379" s="3">
        <f>IF(ISNUMBER(AVERAGE('20250815_ETF_Options_Exhibits'!M375:M379)),AVERAGE('20250815_ETF_Options_Exhibits'!M375:M379),"")</f>
        <v/>
      </c>
      <c r="N379" s="3">
        <f>IF(ISNUMBER(AVERAGE('20250815_ETF_Options_Exhibits'!N375:N379)),AVERAGE('20250815_ETF_Options_Exhibits'!N375:N379),"")</f>
        <v/>
      </c>
      <c r="O379" s="3">
        <f>IF(ISNUMBER(AVERAGE('20250815_ETF_Options_Exhibits'!O375:O379)),AVERAGE('20250815_ETF_Options_Exhibits'!O375:O379),"")</f>
        <v/>
      </c>
      <c r="P379" s="3">
        <f>IF(ISNUMBER(AVERAGE('20250815_ETF_Options_Exhibits'!P375:P379)),AVERAGE('20250815_ETF_Options_Exhibits'!P375:P379),"")</f>
        <v/>
      </c>
      <c r="Q379" s="3">
        <f>IF(ISNUMBER(AVERAGE('20250815_ETF_Options_Exhibits'!Q375:Q379)),AVERAGE('20250815_ETF_Options_Exhibits'!Q375:Q379),"")</f>
        <v/>
      </c>
      <c r="R379" s="3">
        <f>IF(ISNUMBER(AVERAGE('20250815_ETF_Options_Exhibits'!R375:R379)),AVERAGE('20250815_ETF_Options_Exhibits'!R375:R379),"")</f>
        <v/>
      </c>
      <c r="S379" s="3">
        <f>IF(ISNUMBER(AVERAGE('20250815_ETF_Options_Exhibits'!S375:S379)),AVERAGE('20250815_ETF_Options_Exhibits'!S375:S379),"")</f>
        <v/>
      </c>
      <c r="T379" s="3">
        <f>IF(ISNUMBER(AVERAGE('20250815_ETF_Options_Exhibits'!T375:T379)),AVERAGE('20250815_ETF_Options_Exhibits'!T375:T379),"")</f>
        <v/>
      </c>
      <c r="U379" s="3">
        <f>IF(ISNUMBER(AVERAGE('20250815_ETF_Options_Exhibits'!U375:U379)),AVERAGE('20250815_ETF_Options_Exhibits'!U375:U379),"")</f>
        <v/>
      </c>
      <c r="V379" s="3">
        <f>IF(ISNUMBER(AVERAGE('20250815_ETF_Options_Exhibits'!V375:V379)),AVERAGE('20250815_ETF_Options_Exhibits'!V375:V379),"")</f>
        <v/>
      </c>
      <c r="W379" s="3">
        <f>IF(ISNUMBER(AVERAGE('20250815_ETF_Options_Exhibits'!W375:W379)),AVERAGE('20250815_ETF_Options_Exhibits'!W375:W379),"")</f>
        <v/>
      </c>
      <c r="X379" s="3">
        <f>IF(ISNUMBER(AVERAGE('20250815_ETF_Options_Exhibits'!X375:X379)),AVERAGE('20250815_ETF_Options_Exhibits'!X375:X379),"")</f>
        <v/>
      </c>
      <c r="Y379" s="3">
        <f>IF(ISNUMBER(AVERAGE('20250815_ETF_Options_Exhibits'!Y375:Y379)),AVERAGE('20250815_ETF_Options_Exhibits'!Y375:Y379),"")</f>
        <v/>
      </c>
      <c r="Z379" s="3">
        <f>IF(ISNUMBER(AVERAGE('20250815_ETF_Options_Exhibits'!Z375:Z379)),AVERAGE('20250815_ETF_Options_Exhibits'!Z375:Z379),"")</f>
        <v/>
      </c>
      <c r="AA379" s="3">
        <f>IF(ISNUMBER(AVERAGE('20250815_ETF_Options_Exhibits'!AA375:AA379)),AVERAGE('20250815_ETF_Options_Exhibits'!AA375:AA379),"")</f>
        <v/>
      </c>
    </row>
    <row r="380">
      <c r="A380" s="1" t="n">
        <v>42552</v>
      </c>
      <c r="B380" s="3">
        <f>IF(ISNUMBER(AVERAGE('20250815_ETF_Options_Exhibits'!B376:B380)),AVERAGE('20250815_ETF_Options_Exhibits'!B376:B380),"")</f>
        <v/>
      </c>
      <c r="C380" s="3">
        <f>IF(ISNUMBER(AVERAGE('20250815_ETF_Options_Exhibits'!C376:C380)),AVERAGE('20250815_ETF_Options_Exhibits'!C376:C380),"")</f>
        <v/>
      </c>
      <c r="D380" s="3">
        <f>IF(ISNUMBER(AVERAGE('20250815_ETF_Options_Exhibits'!D376:D380)),AVERAGE('20250815_ETF_Options_Exhibits'!D376:D380),"")</f>
        <v/>
      </c>
      <c r="E380" s="3">
        <f>IF(ISNUMBER(AVERAGE('20250815_ETF_Options_Exhibits'!E376:E380)),AVERAGE('20250815_ETF_Options_Exhibits'!E376:E380),"")</f>
        <v/>
      </c>
      <c r="F380" s="3">
        <f>IF(ISNUMBER(AVERAGE('20250815_ETF_Options_Exhibits'!F376:F380)),AVERAGE('20250815_ETF_Options_Exhibits'!F376:F380),"")</f>
        <v/>
      </c>
      <c r="G380" s="3">
        <f>IF(ISNUMBER(AVERAGE('20250815_ETF_Options_Exhibits'!G376:G380)),AVERAGE('20250815_ETF_Options_Exhibits'!G376:G380),"")</f>
        <v/>
      </c>
      <c r="H380" s="3">
        <f>IF(ISNUMBER(AVERAGE('20250815_ETF_Options_Exhibits'!H376:H380)),AVERAGE('20250815_ETF_Options_Exhibits'!H376:H380),"")</f>
        <v/>
      </c>
      <c r="I380" s="3">
        <f>IF(ISNUMBER(AVERAGE('20250815_ETF_Options_Exhibits'!I376:I380)),AVERAGE('20250815_ETF_Options_Exhibits'!I376:I380),"")</f>
        <v/>
      </c>
      <c r="J380" s="3">
        <f>IF(ISNUMBER(AVERAGE('20250815_ETF_Options_Exhibits'!J376:J380)),AVERAGE('20250815_ETF_Options_Exhibits'!J376:J380),"")</f>
        <v/>
      </c>
      <c r="K380" s="3">
        <f>IF(ISNUMBER(AVERAGE('20250815_ETF_Options_Exhibits'!K376:K380)),AVERAGE('20250815_ETF_Options_Exhibits'!K376:K380),"")</f>
        <v/>
      </c>
      <c r="L380" s="3">
        <f>IF(ISNUMBER(AVERAGE('20250815_ETF_Options_Exhibits'!L376:L380)),AVERAGE('20250815_ETF_Options_Exhibits'!L376:L380),"")</f>
        <v/>
      </c>
      <c r="M380" s="3">
        <f>IF(ISNUMBER(AVERAGE('20250815_ETF_Options_Exhibits'!M376:M380)),AVERAGE('20250815_ETF_Options_Exhibits'!M376:M380),"")</f>
        <v/>
      </c>
      <c r="N380" s="3">
        <f>IF(ISNUMBER(AVERAGE('20250815_ETF_Options_Exhibits'!N376:N380)),AVERAGE('20250815_ETF_Options_Exhibits'!N376:N380),"")</f>
        <v/>
      </c>
      <c r="O380" s="3">
        <f>IF(ISNUMBER(AVERAGE('20250815_ETF_Options_Exhibits'!O376:O380)),AVERAGE('20250815_ETF_Options_Exhibits'!O376:O380),"")</f>
        <v/>
      </c>
      <c r="P380" s="3">
        <f>IF(ISNUMBER(AVERAGE('20250815_ETF_Options_Exhibits'!P376:P380)),AVERAGE('20250815_ETF_Options_Exhibits'!P376:P380),"")</f>
        <v/>
      </c>
      <c r="Q380" s="3">
        <f>IF(ISNUMBER(AVERAGE('20250815_ETF_Options_Exhibits'!Q376:Q380)),AVERAGE('20250815_ETF_Options_Exhibits'!Q376:Q380),"")</f>
        <v/>
      </c>
      <c r="R380" s="3">
        <f>IF(ISNUMBER(AVERAGE('20250815_ETF_Options_Exhibits'!R376:R380)),AVERAGE('20250815_ETF_Options_Exhibits'!R376:R380),"")</f>
        <v/>
      </c>
      <c r="S380" s="3">
        <f>IF(ISNUMBER(AVERAGE('20250815_ETF_Options_Exhibits'!S376:S380)),AVERAGE('20250815_ETF_Options_Exhibits'!S376:S380),"")</f>
        <v/>
      </c>
      <c r="T380" s="3">
        <f>IF(ISNUMBER(AVERAGE('20250815_ETF_Options_Exhibits'!T376:T380)),AVERAGE('20250815_ETF_Options_Exhibits'!T376:T380),"")</f>
        <v/>
      </c>
      <c r="U380" s="3">
        <f>IF(ISNUMBER(AVERAGE('20250815_ETF_Options_Exhibits'!U376:U380)),AVERAGE('20250815_ETF_Options_Exhibits'!U376:U380),"")</f>
        <v/>
      </c>
      <c r="V380" s="3">
        <f>IF(ISNUMBER(AVERAGE('20250815_ETF_Options_Exhibits'!V376:V380)),AVERAGE('20250815_ETF_Options_Exhibits'!V376:V380),"")</f>
        <v/>
      </c>
      <c r="W380" s="3">
        <f>IF(ISNUMBER(AVERAGE('20250815_ETF_Options_Exhibits'!W376:W380)),AVERAGE('20250815_ETF_Options_Exhibits'!W376:W380),"")</f>
        <v/>
      </c>
      <c r="X380" s="3">
        <f>IF(ISNUMBER(AVERAGE('20250815_ETF_Options_Exhibits'!X376:X380)),AVERAGE('20250815_ETF_Options_Exhibits'!X376:X380),"")</f>
        <v/>
      </c>
      <c r="Y380" s="3">
        <f>IF(ISNUMBER(AVERAGE('20250815_ETF_Options_Exhibits'!Y376:Y380)),AVERAGE('20250815_ETF_Options_Exhibits'!Y376:Y380),"")</f>
        <v/>
      </c>
      <c r="Z380" s="3">
        <f>IF(ISNUMBER(AVERAGE('20250815_ETF_Options_Exhibits'!Z376:Z380)),AVERAGE('20250815_ETF_Options_Exhibits'!Z376:Z380),"")</f>
        <v/>
      </c>
      <c r="AA380" s="3">
        <f>IF(ISNUMBER(AVERAGE('20250815_ETF_Options_Exhibits'!AA376:AA380)),AVERAGE('20250815_ETF_Options_Exhibits'!AA376:AA380),"")</f>
        <v/>
      </c>
    </row>
    <row r="381">
      <c r="A381" s="1" t="n">
        <v>42556</v>
      </c>
      <c r="B381" s="3">
        <f>IF(ISNUMBER(AVERAGE('20250815_ETF_Options_Exhibits'!B377:B381)),AVERAGE('20250815_ETF_Options_Exhibits'!B377:B381),"")</f>
        <v/>
      </c>
      <c r="C381" s="3">
        <f>IF(ISNUMBER(AVERAGE('20250815_ETF_Options_Exhibits'!C377:C381)),AVERAGE('20250815_ETF_Options_Exhibits'!C377:C381),"")</f>
        <v/>
      </c>
      <c r="D381" s="3">
        <f>IF(ISNUMBER(AVERAGE('20250815_ETF_Options_Exhibits'!D377:D381)),AVERAGE('20250815_ETF_Options_Exhibits'!D377:D381),"")</f>
        <v/>
      </c>
      <c r="E381" s="3">
        <f>IF(ISNUMBER(AVERAGE('20250815_ETF_Options_Exhibits'!E377:E381)),AVERAGE('20250815_ETF_Options_Exhibits'!E377:E381),"")</f>
        <v/>
      </c>
      <c r="F381" s="3">
        <f>IF(ISNUMBER(AVERAGE('20250815_ETF_Options_Exhibits'!F377:F381)),AVERAGE('20250815_ETF_Options_Exhibits'!F377:F381),"")</f>
        <v/>
      </c>
      <c r="G381" s="3">
        <f>IF(ISNUMBER(AVERAGE('20250815_ETF_Options_Exhibits'!G377:G381)),AVERAGE('20250815_ETF_Options_Exhibits'!G377:G381),"")</f>
        <v/>
      </c>
      <c r="H381" s="3">
        <f>IF(ISNUMBER(AVERAGE('20250815_ETF_Options_Exhibits'!H377:H381)),AVERAGE('20250815_ETF_Options_Exhibits'!H377:H381),"")</f>
        <v/>
      </c>
      <c r="I381" s="3">
        <f>IF(ISNUMBER(AVERAGE('20250815_ETF_Options_Exhibits'!I377:I381)),AVERAGE('20250815_ETF_Options_Exhibits'!I377:I381),"")</f>
        <v/>
      </c>
      <c r="J381" s="3">
        <f>IF(ISNUMBER(AVERAGE('20250815_ETF_Options_Exhibits'!J377:J381)),AVERAGE('20250815_ETF_Options_Exhibits'!J377:J381),"")</f>
        <v/>
      </c>
      <c r="K381" s="3">
        <f>IF(ISNUMBER(AVERAGE('20250815_ETF_Options_Exhibits'!K377:K381)),AVERAGE('20250815_ETF_Options_Exhibits'!K377:K381),"")</f>
        <v/>
      </c>
      <c r="L381" s="3">
        <f>IF(ISNUMBER(AVERAGE('20250815_ETF_Options_Exhibits'!L377:L381)),AVERAGE('20250815_ETF_Options_Exhibits'!L377:L381),"")</f>
        <v/>
      </c>
      <c r="M381" s="3">
        <f>IF(ISNUMBER(AVERAGE('20250815_ETF_Options_Exhibits'!M377:M381)),AVERAGE('20250815_ETF_Options_Exhibits'!M377:M381),"")</f>
        <v/>
      </c>
      <c r="N381" s="3">
        <f>IF(ISNUMBER(AVERAGE('20250815_ETF_Options_Exhibits'!N377:N381)),AVERAGE('20250815_ETF_Options_Exhibits'!N377:N381),"")</f>
        <v/>
      </c>
      <c r="O381" s="3">
        <f>IF(ISNUMBER(AVERAGE('20250815_ETF_Options_Exhibits'!O377:O381)),AVERAGE('20250815_ETF_Options_Exhibits'!O377:O381),"")</f>
        <v/>
      </c>
      <c r="P381" s="3">
        <f>IF(ISNUMBER(AVERAGE('20250815_ETF_Options_Exhibits'!P377:P381)),AVERAGE('20250815_ETF_Options_Exhibits'!P377:P381),"")</f>
        <v/>
      </c>
      <c r="Q381" s="3">
        <f>IF(ISNUMBER(AVERAGE('20250815_ETF_Options_Exhibits'!Q377:Q381)),AVERAGE('20250815_ETF_Options_Exhibits'!Q377:Q381),"")</f>
        <v/>
      </c>
      <c r="R381" s="3">
        <f>IF(ISNUMBER(AVERAGE('20250815_ETF_Options_Exhibits'!R377:R381)),AVERAGE('20250815_ETF_Options_Exhibits'!R377:R381),"")</f>
        <v/>
      </c>
      <c r="S381" s="3">
        <f>IF(ISNUMBER(AVERAGE('20250815_ETF_Options_Exhibits'!S377:S381)),AVERAGE('20250815_ETF_Options_Exhibits'!S377:S381),"")</f>
        <v/>
      </c>
      <c r="T381" s="3">
        <f>IF(ISNUMBER(AVERAGE('20250815_ETF_Options_Exhibits'!T377:T381)),AVERAGE('20250815_ETF_Options_Exhibits'!T377:T381),"")</f>
        <v/>
      </c>
      <c r="U381" s="3">
        <f>IF(ISNUMBER(AVERAGE('20250815_ETF_Options_Exhibits'!U377:U381)),AVERAGE('20250815_ETF_Options_Exhibits'!U377:U381),"")</f>
        <v/>
      </c>
      <c r="V381" s="3">
        <f>IF(ISNUMBER(AVERAGE('20250815_ETF_Options_Exhibits'!V377:V381)),AVERAGE('20250815_ETF_Options_Exhibits'!V377:V381),"")</f>
        <v/>
      </c>
      <c r="W381" s="3">
        <f>IF(ISNUMBER(AVERAGE('20250815_ETF_Options_Exhibits'!W377:W381)),AVERAGE('20250815_ETF_Options_Exhibits'!W377:W381),"")</f>
        <v/>
      </c>
      <c r="X381" s="3">
        <f>IF(ISNUMBER(AVERAGE('20250815_ETF_Options_Exhibits'!X377:X381)),AVERAGE('20250815_ETF_Options_Exhibits'!X377:X381),"")</f>
        <v/>
      </c>
      <c r="Y381" s="3">
        <f>IF(ISNUMBER(AVERAGE('20250815_ETF_Options_Exhibits'!Y377:Y381)),AVERAGE('20250815_ETF_Options_Exhibits'!Y377:Y381),"")</f>
        <v/>
      </c>
      <c r="Z381" s="3">
        <f>IF(ISNUMBER(AVERAGE('20250815_ETF_Options_Exhibits'!Z377:Z381)),AVERAGE('20250815_ETF_Options_Exhibits'!Z377:Z381),"")</f>
        <v/>
      </c>
      <c r="AA381" s="3">
        <f>IF(ISNUMBER(AVERAGE('20250815_ETF_Options_Exhibits'!AA377:AA381)),AVERAGE('20250815_ETF_Options_Exhibits'!AA377:AA381),"")</f>
        <v/>
      </c>
    </row>
    <row r="382">
      <c r="A382" s="1" t="n">
        <v>42557</v>
      </c>
      <c r="B382" s="3">
        <f>IF(ISNUMBER(AVERAGE('20250815_ETF_Options_Exhibits'!B378:B382)),AVERAGE('20250815_ETF_Options_Exhibits'!B378:B382),"")</f>
        <v/>
      </c>
      <c r="C382" s="3">
        <f>IF(ISNUMBER(AVERAGE('20250815_ETF_Options_Exhibits'!C378:C382)),AVERAGE('20250815_ETF_Options_Exhibits'!C378:C382),"")</f>
        <v/>
      </c>
      <c r="D382" s="3">
        <f>IF(ISNUMBER(AVERAGE('20250815_ETF_Options_Exhibits'!D378:D382)),AVERAGE('20250815_ETF_Options_Exhibits'!D378:D382),"")</f>
        <v/>
      </c>
      <c r="E382" s="3">
        <f>IF(ISNUMBER(AVERAGE('20250815_ETF_Options_Exhibits'!E378:E382)),AVERAGE('20250815_ETF_Options_Exhibits'!E378:E382),"")</f>
        <v/>
      </c>
      <c r="F382" s="3">
        <f>IF(ISNUMBER(AVERAGE('20250815_ETF_Options_Exhibits'!F378:F382)),AVERAGE('20250815_ETF_Options_Exhibits'!F378:F382),"")</f>
        <v/>
      </c>
      <c r="G382" s="3">
        <f>IF(ISNUMBER(AVERAGE('20250815_ETF_Options_Exhibits'!G378:G382)),AVERAGE('20250815_ETF_Options_Exhibits'!G378:G382),"")</f>
        <v/>
      </c>
      <c r="H382" s="3">
        <f>IF(ISNUMBER(AVERAGE('20250815_ETF_Options_Exhibits'!H378:H382)),AVERAGE('20250815_ETF_Options_Exhibits'!H378:H382),"")</f>
        <v/>
      </c>
      <c r="I382" s="3">
        <f>IF(ISNUMBER(AVERAGE('20250815_ETF_Options_Exhibits'!I378:I382)),AVERAGE('20250815_ETF_Options_Exhibits'!I378:I382),"")</f>
        <v/>
      </c>
      <c r="J382" s="3">
        <f>IF(ISNUMBER(AVERAGE('20250815_ETF_Options_Exhibits'!J378:J382)),AVERAGE('20250815_ETF_Options_Exhibits'!J378:J382),"")</f>
        <v/>
      </c>
      <c r="K382" s="3">
        <f>IF(ISNUMBER(AVERAGE('20250815_ETF_Options_Exhibits'!K378:K382)),AVERAGE('20250815_ETF_Options_Exhibits'!K378:K382),"")</f>
        <v/>
      </c>
      <c r="L382" s="3">
        <f>IF(ISNUMBER(AVERAGE('20250815_ETF_Options_Exhibits'!L378:L382)),AVERAGE('20250815_ETF_Options_Exhibits'!L378:L382),"")</f>
        <v/>
      </c>
      <c r="M382" s="3">
        <f>IF(ISNUMBER(AVERAGE('20250815_ETF_Options_Exhibits'!M378:M382)),AVERAGE('20250815_ETF_Options_Exhibits'!M378:M382),"")</f>
        <v/>
      </c>
      <c r="N382" s="3">
        <f>IF(ISNUMBER(AVERAGE('20250815_ETF_Options_Exhibits'!N378:N382)),AVERAGE('20250815_ETF_Options_Exhibits'!N378:N382),"")</f>
        <v/>
      </c>
      <c r="O382" s="3">
        <f>IF(ISNUMBER(AVERAGE('20250815_ETF_Options_Exhibits'!O378:O382)),AVERAGE('20250815_ETF_Options_Exhibits'!O378:O382),"")</f>
        <v/>
      </c>
      <c r="P382" s="3">
        <f>IF(ISNUMBER(AVERAGE('20250815_ETF_Options_Exhibits'!P378:P382)),AVERAGE('20250815_ETF_Options_Exhibits'!P378:P382),"")</f>
        <v/>
      </c>
      <c r="Q382" s="3">
        <f>IF(ISNUMBER(AVERAGE('20250815_ETF_Options_Exhibits'!Q378:Q382)),AVERAGE('20250815_ETF_Options_Exhibits'!Q378:Q382),"")</f>
        <v/>
      </c>
      <c r="R382" s="3">
        <f>IF(ISNUMBER(AVERAGE('20250815_ETF_Options_Exhibits'!R378:R382)),AVERAGE('20250815_ETF_Options_Exhibits'!R378:R382),"")</f>
        <v/>
      </c>
      <c r="S382" s="3">
        <f>IF(ISNUMBER(AVERAGE('20250815_ETF_Options_Exhibits'!S378:S382)),AVERAGE('20250815_ETF_Options_Exhibits'!S378:S382),"")</f>
        <v/>
      </c>
      <c r="T382" s="3">
        <f>IF(ISNUMBER(AVERAGE('20250815_ETF_Options_Exhibits'!T378:T382)),AVERAGE('20250815_ETF_Options_Exhibits'!T378:T382),"")</f>
        <v/>
      </c>
      <c r="U382" s="3">
        <f>IF(ISNUMBER(AVERAGE('20250815_ETF_Options_Exhibits'!U378:U382)),AVERAGE('20250815_ETF_Options_Exhibits'!U378:U382),"")</f>
        <v/>
      </c>
      <c r="V382" s="3">
        <f>IF(ISNUMBER(AVERAGE('20250815_ETF_Options_Exhibits'!V378:V382)),AVERAGE('20250815_ETF_Options_Exhibits'!V378:V382),"")</f>
        <v/>
      </c>
      <c r="W382" s="3">
        <f>IF(ISNUMBER(AVERAGE('20250815_ETF_Options_Exhibits'!W378:W382)),AVERAGE('20250815_ETF_Options_Exhibits'!W378:W382),"")</f>
        <v/>
      </c>
      <c r="X382" s="3">
        <f>IF(ISNUMBER(AVERAGE('20250815_ETF_Options_Exhibits'!X378:X382)),AVERAGE('20250815_ETF_Options_Exhibits'!X378:X382),"")</f>
        <v/>
      </c>
      <c r="Y382" s="3">
        <f>IF(ISNUMBER(AVERAGE('20250815_ETF_Options_Exhibits'!Y378:Y382)),AVERAGE('20250815_ETF_Options_Exhibits'!Y378:Y382),"")</f>
        <v/>
      </c>
      <c r="Z382" s="3">
        <f>IF(ISNUMBER(AVERAGE('20250815_ETF_Options_Exhibits'!Z378:Z382)),AVERAGE('20250815_ETF_Options_Exhibits'!Z378:Z382),"")</f>
        <v/>
      </c>
      <c r="AA382" s="3">
        <f>IF(ISNUMBER(AVERAGE('20250815_ETF_Options_Exhibits'!AA378:AA382)),AVERAGE('20250815_ETF_Options_Exhibits'!AA378:AA382),"")</f>
        <v/>
      </c>
    </row>
    <row r="383">
      <c r="A383" s="1" t="n">
        <v>42558</v>
      </c>
      <c r="B383" s="3">
        <f>IF(ISNUMBER(AVERAGE('20250815_ETF_Options_Exhibits'!B379:B383)),AVERAGE('20250815_ETF_Options_Exhibits'!B379:B383),"")</f>
        <v/>
      </c>
      <c r="C383" s="3">
        <f>IF(ISNUMBER(AVERAGE('20250815_ETF_Options_Exhibits'!C379:C383)),AVERAGE('20250815_ETF_Options_Exhibits'!C379:C383),"")</f>
        <v/>
      </c>
      <c r="D383" s="3">
        <f>IF(ISNUMBER(AVERAGE('20250815_ETF_Options_Exhibits'!D379:D383)),AVERAGE('20250815_ETF_Options_Exhibits'!D379:D383),"")</f>
        <v/>
      </c>
      <c r="E383" s="3">
        <f>IF(ISNUMBER(AVERAGE('20250815_ETF_Options_Exhibits'!E379:E383)),AVERAGE('20250815_ETF_Options_Exhibits'!E379:E383),"")</f>
        <v/>
      </c>
      <c r="F383" s="3">
        <f>IF(ISNUMBER(AVERAGE('20250815_ETF_Options_Exhibits'!F379:F383)),AVERAGE('20250815_ETF_Options_Exhibits'!F379:F383),"")</f>
        <v/>
      </c>
      <c r="G383" s="3">
        <f>IF(ISNUMBER(AVERAGE('20250815_ETF_Options_Exhibits'!G379:G383)),AVERAGE('20250815_ETF_Options_Exhibits'!G379:G383),"")</f>
        <v/>
      </c>
      <c r="H383" s="3">
        <f>IF(ISNUMBER(AVERAGE('20250815_ETF_Options_Exhibits'!H379:H383)),AVERAGE('20250815_ETF_Options_Exhibits'!H379:H383),"")</f>
        <v/>
      </c>
      <c r="I383" s="3">
        <f>IF(ISNUMBER(AVERAGE('20250815_ETF_Options_Exhibits'!I379:I383)),AVERAGE('20250815_ETF_Options_Exhibits'!I379:I383),"")</f>
        <v/>
      </c>
      <c r="J383" s="3">
        <f>IF(ISNUMBER(AVERAGE('20250815_ETF_Options_Exhibits'!J379:J383)),AVERAGE('20250815_ETF_Options_Exhibits'!J379:J383),"")</f>
        <v/>
      </c>
      <c r="K383" s="3">
        <f>IF(ISNUMBER(AVERAGE('20250815_ETF_Options_Exhibits'!K379:K383)),AVERAGE('20250815_ETF_Options_Exhibits'!K379:K383),"")</f>
        <v/>
      </c>
      <c r="L383" s="3">
        <f>IF(ISNUMBER(AVERAGE('20250815_ETF_Options_Exhibits'!L379:L383)),AVERAGE('20250815_ETF_Options_Exhibits'!L379:L383),"")</f>
        <v/>
      </c>
      <c r="M383" s="3">
        <f>IF(ISNUMBER(AVERAGE('20250815_ETF_Options_Exhibits'!M379:M383)),AVERAGE('20250815_ETF_Options_Exhibits'!M379:M383),"")</f>
        <v/>
      </c>
      <c r="N383" s="3">
        <f>IF(ISNUMBER(AVERAGE('20250815_ETF_Options_Exhibits'!N379:N383)),AVERAGE('20250815_ETF_Options_Exhibits'!N379:N383),"")</f>
        <v/>
      </c>
      <c r="O383" s="3">
        <f>IF(ISNUMBER(AVERAGE('20250815_ETF_Options_Exhibits'!O379:O383)),AVERAGE('20250815_ETF_Options_Exhibits'!O379:O383),"")</f>
        <v/>
      </c>
      <c r="P383" s="3">
        <f>IF(ISNUMBER(AVERAGE('20250815_ETF_Options_Exhibits'!P379:P383)),AVERAGE('20250815_ETF_Options_Exhibits'!P379:P383),"")</f>
        <v/>
      </c>
      <c r="Q383" s="3">
        <f>IF(ISNUMBER(AVERAGE('20250815_ETF_Options_Exhibits'!Q379:Q383)),AVERAGE('20250815_ETF_Options_Exhibits'!Q379:Q383),"")</f>
        <v/>
      </c>
      <c r="R383" s="3">
        <f>IF(ISNUMBER(AVERAGE('20250815_ETF_Options_Exhibits'!R379:R383)),AVERAGE('20250815_ETF_Options_Exhibits'!R379:R383),"")</f>
        <v/>
      </c>
      <c r="S383" s="3">
        <f>IF(ISNUMBER(AVERAGE('20250815_ETF_Options_Exhibits'!S379:S383)),AVERAGE('20250815_ETF_Options_Exhibits'!S379:S383),"")</f>
        <v/>
      </c>
      <c r="T383" s="3">
        <f>IF(ISNUMBER(AVERAGE('20250815_ETF_Options_Exhibits'!T379:T383)),AVERAGE('20250815_ETF_Options_Exhibits'!T379:T383),"")</f>
        <v/>
      </c>
      <c r="U383" s="3">
        <f>IF(ISNUMBER(AVERAGE('20250815_ETF_Options_Exhibits'!U379:U383)),AVERAGE('20250815_ETF_Options_Exhibits'!U379:U383),"")</f>
        <v/>
      </c>
      <c r="V383" s="3">
        <f>IF(ISNUMBER(AVERAGE('20250815_ETF_Options_Exhibits'!V379:V383)),AVERAGE('20250815_ETF_Options_Exhibits'!V379:V383),"")</f>
        <v/>
      </c>
      <c r="W383" s="3">
        <f>IF(ISNUMBER(AVERAGE('20250815_ETF_Options_Exhibits'!W379:W383)),AVERAGE('20250815_ETF_Options_Exhibits'!W379:W383),"")</f>
        <v/>
      </c>
      <c r="X383" s="3">
        <f>IF(ISNUMBER(AVERAGE('20250815_ETF_Options_Exhibits'!X379:X383)),AVERAGE('20250815_ETF_Options_Exhibits'!X379:X383),"")</f>
        <v/>
      </c>
      <c r="Y383" s="3">
        <f>IF(ISNUMBER(AVERAGE('20250815_ETF_Options_Exhibits'!Y379:Y383)),AVERAGE('20250815_ETF_Options_Exhibits'!Y379:Y383),"")</f>
        <v/>
      </c>
      <c r="Z383" s="3">
        <f>IF(ISNUMBER(AVERAGE('20250815_ETF_Options_Exhibits'!Z379:Z383)),AVERAGE('20250815_ETF_Options_Exhibits'!Z379:Z383),"")</f>
        <v/>
      </c>
      <c r="AA383" s="3">
        <f>IF(ISNUMBER(AVERAGE('20250815_ETF_Options_Exhibits'!AA379:AA383)),AVERAGE('20250815_ETF_Options_Exhibits'!AA379:AA383),"")</f>
        <v/>
      </c>
    </row>
    <row r="384">
      <c r="A384" s="1" t="n">
        <v>42559</v>
      </c>
      <c r="B384" s="3">
        <f>IF(ISNUMBER(AVERAGE('20250815_ETF_Options_Exhibits'!B380:B384)),AVERAGE('20250815_ETF_Options_Exhibits'!B380:B384),"")</f>
        <v/>
      </c>
      <c r="C384" s="3">
        <f>IF(ISNUMBER(AVERAGE('20250815_ETF_Options_Exhibits'!C380:C384)),AVERAGE('20250815_ETF_Options_Exhibits'!C380:C384),"")</f>
        <v/>
      </c>
      <c r="D384" s="3">
        <f>IF(ISNUMBER(AVERAGE('20250815_ETF_Options_Exhibits'!D380:D384)),AVERAGE('20250815_ETF_Options_Exhibits'!D380:D384),"")</f>
        <v/>
      </c>
      <c r="E384" s="3">
        <f>IF(ISNUMBER(AVERAGE('20250815_ETF_Options_Exhibits'!E380:E384)),AVERAGE('20250815_ETF_Options_Exhibits'!E380:E384),"")</f>
        <v/>
      </c>
      <c r="F384" s="3">
        <f>IF(ISNUMBER(AVERAGE('20250815_ETF_Options_Exhibits'!F380:F384)),AVERAGE('20250815_ETF_Options_Exhibits'!F380:F384),"")</f>
        <v/>
      </c>
      <c r="G384" s="3">
        <f>IF(ISNUMBER(AVERAGE('20250815_ETF_Options_Exhibits'!G380:G384)),AVERAGE('20250815_ETF_Options_Exhibits'!G380:G384),"")</f>
        <v/>
      </c>
      <c r="H384" s="3">
        <f>IF(ISNUMBER(AVERAGE('20250815_ETF_Options_Exhibits'!H380:H384)),AVERAGE('20250815_ETF_Options_Exhibits'!H380:H384),"")</f>
        <v/>
      </c>
      <c r="I384" s="3">
        <f>IF(ISNUMBER(AVERAGE('20250815_ETF_Options_Exhibits'!I380:I384)),AVERAGE('20250815_ETF_Options_Exhibits'!I380:I384),"")</f>
        <v/>
      </c>
      <c r="J384" s="3">
        <f>IF(ISNUMBER(AVERAGE('20250815_ETF_Options_Exhibits'!J380:J384)),AVERAGE('20250815_ETF_Options_Exhibits'!J380:J384),"")</f>
        <v/>
      </c>
      <c r="K384" s="3">
        <f>IF(ISNUMBER(AVERAGE('20250815_ETF_Options_Exhibits'!K380:K384)),AVERAGE('20250815_ETF_Options_Exhibits'!K380:K384),"")</f>
        <v/>
      </c>
      <c r="L384" s="3">
        <f>IF(ISNUMBER(AVERAGE('20250815_ETF_Options_Exhibits'!L380:L384)),AVERAGE('20250815_ETF_Options_Exhibits'!L380:L384),"")</f>
        <v/>
      </c>
      <c r="M384" s="3">
        <f>IF(ISNUMBER(AVERAGE('20250815_ETF_Options_Exhibits'!M380:M384)),AVERAGE('20250815_ETF_Options_Exhibits'!M380:M384),"")</f>
        <v/>
      </c>
      <c r="N384" s="3">
        <f>IF(ISNUMBER(AVERAGE('20250815_ETF_Options_Exhibits'!N380:N384)),AVERAGE('20250815_ETF_Options_Exhibits'!N380:N384),"")</f>
        <v/>
      </c>
      <c r="O384" s="3">
        <f>IF(ISNUMBER(AVERAGE('20250815_ETF_Options_Exhibits'!O380:O384)),AVERAGE('20250815_ETF_Options_Exhibits'!O380:O384),"")</f>
        <v/>
      </c>
      <c r="P384" s="3">
        <f>IF(ISNUMBER(AVERAGE('20250815_ETF_Options_Exhibits'!P380:P384)),AVERAGE('20250815_ETF_Options_Exhibits'!P380:P384),"")</f>
        <v/>
      </c>
      <c r="Q384" s="3">
        <f>IF(ISNUMBER(AVERAGE('20250815_ETF_Options_Exhibits'!Q380:Q384)),AVERAGE('20250815_ETF_Options_Exhibits'!Q380:Q384),"")</f>
        <v/>
      </c>
      <c r="R384" s="3">
        <f>IF(ISNUMBER(AVERAGE('20250815_ETF_Options_Exhibits'!R380:R384)),AVERAGE('20250815_ETF_Options_Exhibits'!R380:R384),"")</f>
        <v/>
      </c>
      <c r="S384" s="3">
        <f>IF(ISNUMBER(AVERAGE('20250815_ETF_Options_Exhibits'!S380:S384)),AVERAGE('20250815_ETF_Options_Exhibits'!S380:S384),"")</f>
        <v/>
      </c>
      <c r="T384" s="3">
        <f>IF(ISNUMBER(AVERAGE('20250815_ETF_Options_Exhibits'!T380:T384)),AVERAGE('20250815_ETF_Options_Exhibits'!T380:T384),"")</f>
        <v/>
      </c>
      <c r="U384" s="3">
        <f>IF(ISNUMBER(AVERAGE('20250815_ETF_Options_Exhibits'!U380:U384)),AVERAGE('20250815_ETF_Options_Exhibits'!U380:U384),"")</f>
        <v/>
      </c>
      <c r="V384" s="3">
        <f>IF(ISNUMBER(AVERAGE('20250815_ETF_Options_Exhibits'!V380:V384)),AVERAGE('20250815_ETF_Options_Exhibits'!V380:V384),"")</f>
        <v/>
      </c>
      <c r="W384" s="3">
        <f>IF(ISNUMBER(AVERAGE('20250815_ETF_Options_Exhibits'!W380:W384)),AVERAGE('20250815_ETF_Options_Exhibits'!W380:W384),"")</f>
        <v/>
      </c>
      <c r="X384" s="3">
        <f>IF(ISNUMBER(AVERAGE('20250815_ETF_Options_Exhibits'!X380:X384)),AVERAGE('20250815_ETF_Options_Exhibits'!X380:X384),"")</f>
        <v/>
      </c>
      <c r="Y384" s="3">
        <f>IF(ISNUMBER(AVERAGE('20250815_ETF_Options_Exhibits'!Y380:Y384)),AVERAGE('20250815_ETF_Options_Exhibits'!Y380:Y384),"")</f>
        <v/>
      </c>
      <c r="Z384" s="3">
        <f>IF(ISNUMBER(AVERAGE('20250815_ETF_Options_Exhibits'!Z380:Z384)),AVERAGE('20250815_ETF_Options_Exhibits'!Z380:Z384),"")</f>
        <v/>
      </c>
      <c r="AA384" s="3">
        <f>IF(ISNUMBER(AVERAGE('20250815_ETF_Options_Exhibits'!AA380:AA384)),AVERAGE('20250815_ETF_Options_Exhibits'!AA380:AA384),"")</f>
        <v/>
      </c>
    </row>
    <row r="385">
      <c r="A385" s="1" t="n">
        <v>42562</v>
      </c>
      <c r="B385" s="3">
        <f>IF(ISNUMBER(AVERAGE('20250815_ETF_Options_Exhibits'!B381:B385)),AVERAGE('20250815_ETF_Options_Exhibits'!B381:B385),"")</f>
        <v/>
      </c>
      <c r="C385" s="3">
        <f>IF(ISNUMBER(AVERAGE('20250815_ETF_Options_Exhibits'!C381:C385)),AVERAGE('20250815_ETF_Options_Exhibits'!C381:C385),"")</f>
        <v/>
      </c>
      <c r="D385" s="3">
        <f>IF(ISNUMBER(AVERAGE('20250815_ETF_Options_Exhibits'!D381:D385)),AVERAGE('20250815_ETF_Options_Exhibits'!D381:D385),"")</f>
        <v/>
      </c>
      <c r="E385" s="3">
        <f>IF(ISNUMBER(AVERAGE('20250815_ETF_Options_Exhibits'!E381:E385)),AVERAGE('20250815_ETF_Options_Exhibits'!E381:E385),"")</f>
        <v/>
      </c>
      <c r="F385" s="3">
        <f>IF(ISNUMBER(AVERAGE('20250815_ETF_Options_Exhibits'!F381:F385)),AVERAGE('20250815_ETF_Options_Exhibits'!F381:F385),"")</f>
        <v/>
      </c>
      <c r="G385" s="3">
        <f>IF(ISNUMBER(AVERAGE('20250815_ETF_Options_Exhibits'!G381:G385)),AVERAGE('20250815_ETF_Options_Exhibits'!G381:G385),"")</f>
        <v/>
      </c>
      <c r="H385" s="3">
        <f>IF(ISNUMBER(AVERAGE('20250815_ETF_Options_Exhibits'!H381:H385)),AVERAGE('20250815_ETF_Options_Exhibits'!H381:H385),"")</f>
        <v/>
      </c>
      <c r="I385" s="3">
        <f>IF(ISNUMBER(AVERAGE('20250815_ETF_Options_Exhibits'!I381:I385)),AVERAGE('20250815_ETF_Options_Exhibits'!I381:I385),"")</f>
        <v/>
      </c>
      <c r="J385" s="3">
        <f>IF(ISNUMBER(AVERAGE('20250815_ETF_Options_Exhibits'!J381:J385)),AVERAGE('20250815_ETF_Options_Exhibits'!J381:J385),"")</f>
        <v/>
      </c>
      <c r="K385" s="3">
        <f>IF(ISNUMBER(AVERAGE('20250815_ETF_Options_Exhibits'!K381:K385)),AVERAGE('20250815_ETF_Options_Exhibits'!K381:K385),"")</f>
        <v/>
      </c>
      <c r="L385" s="3">
        <f>IF(ISNUMBER(AVERAGE('20250815_ETF_Options_Exhibits'!L381:L385)),AVERAGE('20250815_ETF_Options_Exhibits'!L381:L385),"")</f>
        <v/>
      </c>
      <c r="M385" s="3">
        <f>IF(ISNUMBER(AVERAGE('20250815_ETF_Options_Exhibits'!M381:M385)),AVERAGE('20250815_ETF_Options_Exhibits'!M381:M385),"")</f>
        <v/>
      </c>
      <c r="N385" s="3">
        <f>IF(ISNUMBER(AVERAGE('20250815_ETF_Options_Exhibits'!N381:N385)),AVERAGE('20250815_ETF_Options_Exhibits'!N381:N385),"")</f>
        <v/>
      </c>
      <c r="O385" s="3">
        <f>IF(ISNUMBER(AVERAGE('20250815_ETF_Options_Exhibits'!O381:O385)),AVERAGE('20250815_ETF_Options_Exhibits'!O381:O385),"")</f>
        <v/>
      </c>
      <c r="P385" s="3">
        <f>IF(ISNUMBER(AVERAGE('20250815_ETF_Options_Exhibits'!P381:P385)),AVERAGE('20250815_ETF_Options_Exhibits'!P381:P385),"")</f>
        <v/>
      </c>
      <c r="Q385" s="3">
        <f>IF(ISNUMBER(AVERAGE('20250815_ETF_Options_Exhibits'!Q381:Q385)),AVERAGE('20250815_ETF_Options_Exhibits'!Q381:Q385),"")</f>
        <v/>
      </c>
      <c r="R385" s="3">
        <f>IF(ISNUMBER(AVERAGE('20250815_ETF_Options_Exhibits'!R381:R385)),AVERAGE('20250815_ETF_Options_Exhibits'!R381:R385),"")</f>
        <v/>
      </c>
      <c r="S385" s="3">
        <f>IF(ISNUMBER(AVERAGE('20250815_ETF_Options_Exhibits'!S381:S385)),AVERAGE('20250815_ETF_Options_Exhibits'!S381:S385),"")</f>
        <v/>
      </c>
      <c r="T385" s="3">
        <f>IF(ISNUMBER(AVERAGE('20250815_ETF_Options_Exhibits'!T381:T385)),AVERAGE('20250815_ETF_Options_Exhibits'!T381:T385),"")</f>
        <v/>
      </c>
      <c r="U385" s="3">
        <f>IF(ISNUMBER(AVERAGE('20250815_ETF_Options_Exhibits'!U381:U385)),AVERAGE('20250815_ETF_Options_Exhibits'!U381:U385),"")</f>
        <v/>
      </c>
      <c r="V385" s="3">
        <f>IF(ISNUMBER(AVERAGE('20250815_ETF_Options_Exhibits'!V381:V385)),AVERAGE('20250815_ETF_Options_Exhibits'!V381:V385),"")</f>
        <v/>
      </c>
      <c r="W385" s="3">
        <f>IF(ISNUMBER(AVERAGE('20250815_ETF_Options_Exhibits'!W381:W385)),AVERAGE('20250815_ETF_Options_Exhibits'!W381:W385),"")</f>
        <v/>
      </c>
      <c r="X385" s="3">
        <f>IF(ISNUMBER(AVERAGE('20250815_ETF_Options_Exhibits'!X381:X385)),AVERAGE('20250815_ETF_Options_Exhibits'!X381:X385),"")</f>
        <v/>
      </c>
      <c r="Y385" s="3">
        <f>IF(ISNUMBER(AVERAGE('20250815_ETF_Options_Exhibits'!Y381:Y385)),AVERAGE('20250815_ETF_Options_Exhibits'!Y381:Y385),"")</f>
        <v/>
      </c>
      <c r="Z385" s="3">
        <f>IF(ISNUMBER(AVERAGE('20250815_ETF_Options_Exhibits'!Z381:Z385)),AVERAGE('20250815_ETF_Options_Exhibits'!Z381:Z385),"")</f>
        <v/>
      </c>
      <c r="AA385" s="3">
        <f>IF(ISNUMBER(AVERAGE('20250815_ETF_Options_Exhibits'!AA381:AA385)),AVERAGE('20250815_ETF_Options_Exhibits'!AA381:AA385),"")</f>
        <v/>
      </c>
    </row>
    <row r="386">
      <c r="A386" s="1" t="n">
        <v>42563</v>
      </c>
      <c r="B386" s="3">
        <f>IF(ISNUMBER(AVERAGE('20250815_ETF_Options_Exhibits'!B382:B386)),AVERAGE('20250815_ETF_Options_Exhibits'!B382:B386),"")</f>
        <v/>
      </c>
      <c r="C386" s="3">
        <f>IF(ISNUMBER(AVERAGE('20250815_ETF_Options_Exhibits'!C382:C386)),AVERAGE('20250815_ETF_Options_Exhibits'!C382:C386),"")</f>
        <v/>
      </c>
      <c r="D386" s="3">
        <f>IF(ISNUMBER(AVERAGE('20250815_ETF_Options_Exhibits'!D382:D386)),AVERAGE('20250815_ETF_Options_Exhibits'!D382:D386),"")</f>
        <v/>
      </c>
      <c r="E386" s="3">
        <f>IF(ISNUMBER(AVERAGE('20250815_ETF_Options_Exhibits'!E382:E386)),AVERAGE('20250815_ETF_Options_Exhibits'!E382:E386),"")</f>
        <v/>
      </c>
      <c r="F386" s="3">
        <f>IF(ISNUMBER(AVERAGE('20250815_ETF_Options_Exhibits'!F382:F386)),AVERAGE('20250815_ETF_Options_Exhibits'!F382:F386),"")</f>
        <v/>
      </c>
      <c r="G386" s="3">
        <f>IF(ISNUMBER(AVERAGE('20250815_ETF_Options_Exhibits'!G382:G386)),AVERAGE('20250815_ETF_Options_Exhibits'!G382:G386),"")</f>
        <v/>
      </c>
      <c r="H386" s="3">
        <f>IF(ISNUMBER(AVERAGE('20250815_ETF_Options_Exhibits'!H382:H386)),AVERAGE('20250815_ETF_Options_Exhibits'!H382:H386),"")</f>
        <v/>
      </c>
      <c r="I386" s="3">
        <f>IF(ISNUMBER(AVERAGE('20250815_ETF_Options_Exhibits'!I382:I386)),AVERAGE('20250815_ETF_Options_Exhibits'!I382:I386),"")</f>
        <v/>
      </c>
      <c r="J386" s="3">
        <f>IF(ISNUMBER(AVERAGE('20250815_ETF_Options_Exhibits'!J382:J386)),AVERAGE('20250815_ETF_Options_Exhibits'!J382:J386),"")</f>
        <v/>
      </c>
      <c r="K386" s="3">
        <f>IF(ISNUMBER(AVERAGE('20250815_ETF_Options_Exhibits'!K382:K386)),AVERAGE('20250815_ETF_Options_Exhibits'!K382:K386),"")</f>
        <v/>
      </c>
      <c r="L386" s="3">
        <f>IF(ISNUMBER(AVERAGE('20250815_ETF_Options_Exhibits'!L382:L386)),AVERAGE('20250815_ETF_Options_Exhibits'!L382:L386),"")</f>
        <v/>
      </c>
      <c r="M386" s="3">
        <f>IF(ISNUMBER(AVERAGE('20250815_ETF_Options_Exhibits'!M382:M386)),AVERAGE('20250815_ETF_Options_Exhibits'!M382:M386),"")</f>
        <v/>
      </c>
      <c r="N386" s="3">
        <f>IF(ISNUMBER(AVERAGE('20250815_ETF_Options_Exhibits'!N382:N386)),AVERAGE('20250815_ETF_Options_Exhibits'!N382:N386),"")</f>
        <v/>
      </c>
      <c r="O386" s="3">
        <f>IF(ISNUMBER(AVERAGE('20250815_ETF_Options_Exhibits'!O382:O386)),AVERAGE('20250815_ETF_Options_Exhibits'!O382:O386),"")</f>
        <v/>
      </c>
      <c r="P386" s="3">
        <f>IF(ISNUMBER(AVERAGE('20250815_ETF_Options_Exhibits'!P382:P386)),AVERAGE('20250815_ETF_Options_Exhibits'!P382:P386),"")</f>
        <v/>
      </c>
      <c r="Q386" s="3">
        <f>IF(ISNUMBER(AVERAGE('20250815_ETF_Options_Exhibits'!Q382:Q386)),AVERAGE('20250815_ETF_Options_Exhibits'!Q382:Q386),"")</f>
        <v/>
      </c>
      <c r="R386" s="3">
        <f>IF(ISNUMBER(AVERAGE('20250815_ETF_Options_Exhibits'!R382:R386)),AVERAGE('20250815_ETF_Options_Exhibits'!R382:R386),"")</f>
        <v/>
      </c>
      <c r="S386" s="3">
        <f>IF(ISNUMBER(AVERAGE('20250815_ETF_Options_Exhibits'!S382:S386)),AVERAGE('20250815_ETF_Options_Exhibits'!S382:S386),"")</f>
        <v/>
      </c>
      <c r="T386" s="3">
        <f>IF(ISNUMBER(AVERAGE('20250815_ETF_Options_Exhibits'!T382:T386)),AVERAGE('20250815_ETF_Options_Exhibits'!T382:T386),"")</f>
        <v/>
      </c>
      <c r="U386" s="3">
        <f>IF(ISNUMBER(AVERAGE('20250815_ETF_Options_Exhibits'!U382:U386)),AVERAGE('20250815_ETF_Options_Exhibits'!U382:U386),"")</f>
        <v/>
      </c>
      <c r="V386" s="3">
        <f>IF(ISNUMBER(AVERAGE('20250815_ETF_Options_Exhibits'!V382:V386)),AVERAGE('20250815_ETF_Options_Exhibits'!V382:V386),"")</f>
        <v/>
      </c>
      <c r="W386" s="3">
        <f>IF(ISNUMBER(AVERAGE('20250815_ETF_Options_Exhibits'!W382:W386)),AVERAGE('20250815_ETF_Options_Exhibits'!W382:W386),"")</f>
        <v/>
      </c>
      <c r="X386" s="3">
        <f>IF(ISNUMBER(AVERAGE('20250815_ETF_Options_Exhibits'!X382:X386)),AVERAGE('20250815_ETF_Options_Exhibits'!X382:X386),"")</f>
        <v/>
      </c>
      <c r="Y386" s="3">
        <f>IF(ISNUMBER(AVERAGE('20250815_ETF_Options_Exhibits'!Y382:Y386)),AVERAGE('20250815_ETF_Options_Exhibits'!Y382:Y386),"")</f>
        <v/>
      </c>
      <c r="Z386" s="3">
        <f>IF(ISNUMBER(AVERAGE('20250815_ETF_Options_Exhibits'!Z382:Z386)),AVERAGE('20250815_ETF_Options_Exhibits'!Z382:Z386),"")</f>
        <v/>
      </c>
      <c r="AA386" s="3">
        <f>IF(ISNUMBER(AVERAGE('20250815_ETF_Options_Exhibits'!AA382:AA386)),AVERAGE('20250815_ETF_Options_Exhibits'!AA382:AA386),"")</f>
        <v/>
      </c>
    </row>
    <row r="387">
      <c r="A387" s="1" t="n">
        <v>42564</v>
      </c>
      <c r="B387" s="3">
        <f>IF(ISNUMBER(AVERAGE('20250815_ETF_Options_Exhibits'!B383:B387)),AVERAGE('20250815_ETF_Options_Exhibits'!B383:B387),"")</f>
        <v/>
      </c>
      <c r="C387" s="3">
        <f>IF(ISNUMBER(AVERAGE('20250815_ETF_Options_Exhibits'!C383:C387)),AVERAGE('20250815_ETF_Options_Exhibits'!C383:C387),"")</f>
        <v/>
      </c>
      <c r="D387" s="3">
        <f>IF(ISNUMBER(AVERAGE('20250815_ETF_Options_Exhibits'!D383:D387)),AVERAGE('20250815_ETF_Options_Exhibits'!D383:D387),"")</f>
        <v/>
      </c>
      <c r="E387" s="3">
        <f>IF(ISNUMBER(AVERAGE('20250815_ETF_Options_Exhibits'!E383:E387)),AVERAGE('20250815_ETF_Options_Exhibits'!E383:E387),"")</f>
        <v/>
      </c>
      <c r="F387" s="3">
        <f>IF(ISNUMBER(AVERAGE('20250815_ETF_Options_Exhibits'!F383:F387)),AVERAGE('20250815_ETF_Options_Exhibits'!F383:F387),"")</f>
        <v/>
      </c>
      <c r="G387" s="3">
        <f>IF(ISNUMBER(AVERAGE('20250815_ETF_Options_Exhibits'!G383:G387)),AVERAGE('20250815_ETF_Options_Exhibits'!G383:G387),"")</f>
        <v/>
      </c>
      <c r="H387" s="3">
        <f>IF(ISNUMBER(AVERAGE('20250815_ETF_Options_Exhibits'!H383:H387)),AVERAGE('20250815_ETF_Options_Exhibits'!H383:H387),"")</f>
        <v/>
      </c>
      <c r="I387" s="3">
        <f>IF(ISNUMBER(AVERAGE('20250815_ETF_Options_Exhibits'!I383:I387)),AVERAGE('20250815_ETF_Options_Exhibits'!I383:I387),"")</f>
        <v/>
      </c>
      <c r="J387" s="3">
        <f>IF(ISNUMBER(AVERAGE('20250815_ETF_Options_Exhibits'!J383:J387)),AVERAGE('20250815_ETF_Options_Exhibits'!J383:J387),"")</f>
        <v/>
      </c>
      <c r="K387" s="3">
        <f>IF(ISNUMBER(AVERAGE('20250815_ETF_Options_Exhibits'!K383:K387)),AVERAGE('20250815_ETF_Options_Exhibits'!K383:K387),"")</f>
        <v/>
      </c>
      <c r="L387" s="3">
        <f>IF(ISNUMBER(AVERAGE('20250815_ETF_Options_Exhibits'!L383:L387)),AVERAGE('20250815_ETF_Options_Exhibits'!L383:L387),"")</f>
        <v/>
      </c>
      <c r="M387" s="3">
        <f>IF(ISNUMBER(AVERAGE('20250815_ETF_Options_Exhibits'!M383:M387)),AVERAGE('20250815_ETF_Options_Exhibits'!M383:M387),"")</f>
        <v/>
      </c>
      <c r="N387" s="3">
        <f>IF(ISNUMBER(AVERAGE('20250815_ETF_Options_Exhibits'!N383:N387)),AVERAGE('20250815_ETF_Options_Exhibits'!N383:N387),"")</f>
        <v/>
      </c>
      <c r="O387" s="3">
        <f>IF(ISNUMBER(AVERAGE('20250815_ETF_Options_Exhibits'!O383:O387)),AVERAGE('20250815_ETF_Options_Exhibits'!O383:O387),"")</f>
        <v/>
      </c>
      <c r="P387" s="3">
        <f>IF(ISNUMBER(AVERAGE('20250815_ETF_Options_Exhibits'!P383:P387)),AVERAGE('20250815_ETF_Options_Exhibits'!P383:P387),"")</f>
        <v/>
      </c>
      <c r="Q387" s="3">
        <f>IF(ISNUMBER(AVERAGE('20250815_ETF_Options_Exhibits'!Q383:Q387)),AVERAGE('20250815_ETF_Options_Exhibits'!Q383:Q387),"")</f>
        <v/>
      </c>
      <c r="R387" s="3">
        <f>IF(ISNUMBER(AVERAGE('20250815_ETF_Options_Exhibits'!R383:R387)),AVERAGE('20250815_ETF_Options_Exhibits'!R383:R387),"")</f>
        <v/>
      </c>
      <c r="S387" s="3">
        <f>IF(ISNUMBER(AVERAGE('20250815_ETF_Options_Exhibits'!S383:S387)),AVERAGE('20250815_ETF_Options_Exhibits'!S383:S387),"")</f>
        <v/>
      </c>
      <c r="T387" s="3">
        <f>IF(ISNUMBER(AVERAGE('20250815_ETF_Options_Exhibits'!T383:T387)),AVERAGE('20250815_ETF_Options_Exhibits'!T383:T387),"")</f>
        <v/>
      </c>
      <c r="U387" s="3">
        <f>IF(ISNUMBER(AVERAGE('20250815_ETF_Options_Exhibits'!U383:U387)),AVERAGE('20250815_ETF_Options_Exhibits'!U383:U387),"")</f>
        <v/>
      </c>
      <c r="V387" s="3">
        <f>IF(ISNUMBER(AVERAGE('20250815_ETF_Options_Exhibits'!V383:V387)),AVERAGE('20250815_ETF_Options_Exhibits'!V383:V387),"")</f>
        <v/>
      </c>
      <c r="W387" s="3">
        <f>IF(ISNUMBER(AVERAGE('20250815_ETF_Options_Exhibits'!W383:W387)),AVERAGE('20250815_ETF_Options_Exhibits'!W383:W387),"")</f>
        <v/>
      </c>
      <c r="X387" s="3">
        <f>IF(ISNUMBER(AVERAGE('20250815_ETF_Options_Exhibits'!X383:X387)),AVERAGE('20250815_ETF_Options_Exhibits'!X383:X387),"")</f>
        <v/>
      </c>
      <c r="Y387" s="3">
        <f>IF(ISNUMBER(AVERAGE('20250815_ETF_Options_Exhibits'!Y383:Y387)),AVERAGE('20250815_ETF_Options_Exhibits'!Y383:Y387),"")</f>
        <v/>
      </c>
      <c r="Z387" s="3">
        <f>IF(ISNUMBER(AVERAGE('20250815_ETF_Options_Exhibits'!Z383:Z387)),AVERAGE('20250815_ETF_Options_Exhibits'!Z383:Z387),"")</f>
        <v/>
      </c>
      <c r="AA387" s="3">
        <f>IF(ISNUMBER(AVERAGE('20250815_ETF_Options_Exhibits'!AA383:AA387)),AVERAGE('20250815_ETF_Options_Exhibits'!AA383:AA387),"")</f>
        <v/>
      </c>
    </row>
    <row r="388">
      <c r="A388" s="1" t="n">
        <v>42565</v>
      </c>
      <c r="B388" s="3">
        <f>IF(ISNUMBER(AVERAGE('20250815_ETF_Options_Exhibits'!B384:B388)),AVERAGE('20250815_ETF_Options_Exhibits'!B384:B388),"")</f>
        <v/>
      </c>
      <c r="C388" s="3">
        <f>IF(ISNUMBER(AVERAGE('20250815_ETF_Options_Exhibits'!C384:C388)),AVERAGE('20250815_ETF_Options_Exhibits'!C384:C388),"")</f>
        <v/>
      </c>
      <c r="D388" s="3">
        <f>IF(ISNUMBER(AVERAGE('20250815_ETF_Options_Exhibits'!D384:D388)),AVERAGE('20250815_ETF_Options_Exhibits'!D384:D388),"")</f>
        <v/>
      </c>
      <c r="E388" s="3">
        <f>IF(ISNUMBER(AVERAGE('20250815_ETF_Options_Exhibits'!E384:E388)),AVERAGE('20250815_ETF_Options_Exhibits'!E384:E388),"")</f>
        <v/>
      </c>
      <c r="F388" s="3">
        <f>IF(ISNUMBER(AVERAGE('20250815_ETF_Options_Exhibits'!F384:F388)),AVERAGE('20250815_ETF_Options_Exhibits'!F384:F388),"")</f>
        <v/>
      </c>
      <c r="G388" s="3">
        <f>IF(ISNUMBER(AVERAGE('20250815_ETF_Options_Exhibits'!G384:G388)),AVERAGE('20250815_ETF_Options_Exhibits'!G384:G388),"")</f>
        <v/>
      </c>
      <c r="H388" s="3">
        <f>IF(ISNUMBER(AVERAGE('20250815_ETF_Options_Exhibits'!H384:H388)),AVERAGE('20250815_ETF_Options_Exhibits'!H384:H388),"")</f>
        <v/>
      </c>
      <c r="I388" s="3">
        <f>IF(ISNUMBER(AVERAGE('20250815_ETF_Options_Exhibits'!I384:I388)),AVERAGE('20250815_ETF_Options_Exhibits'!I384:I388),"")</f>
        <v/>
      </c>
      <c r="J388" s="3">
        <f>IF(ISNUMBER(AVERAGE('20250815_ETF_Options_Exhibits'!J384:J388)),AVERAGE('20250815_ETF_Options_Exhibits'!J384:J388),"")</f>
        <v/>
      </c>
      <c r="K388" s="3">
        <f>IF(ISNUMBER(AVERAGE('20250815_ETF_Options_Exhibits'!K384:K388)),AVERAGE('20250815_ETF_Options_Exhibits'!K384:K388),"")</f>
        <v/>
      </c>
      <c r="L388" s="3">
        <f>IF(ISNUMBER(AVERAGE('20250815_ETF_Options_Exhibits'!L384:L388)),AVERAGE('20250815_ETF_Options_Exhibits'!L384:L388),"")</f>
        <v/>
      </c>
      <c r="M388" s="3">
        <f>IF(ISNUMBER(AVERAGE('20250815_ETF_Options_Exhibits'!M384:M388)),AVERAGE('20250815_ETF_Options_Exhibits'!M384:M388),"")</f>
        <v/>
      </c>
      <c r="N388" s="3">
        <f>IF(ISNUMBER(AVERAGE('20250815_ETF_Options_Exhibits'!N384:N388)),AVERAGE('20250815_ETF_Options_Exhibits'!N384:N388),"")</f>
        <v/>
      </c>
      <c r="O388" s="3">
        <f>IF(ISNUMBER(AVERAGE('20250815_ETF_Options_Exhibits'!O384:O388)),AVERAGE('20250815_ETF_Options_Exhibits'!O384:O388),"")</f>
        <v/>
      </c>
      <c r="P388" s="3">
        <f>IF(ISNUMBER(AVERAGE('20250815_ETF_Options_Exhibits'!P384:P388)),AVERAGE('20250815_ETF_Options_Exhibits'!P384:P388),"")</f>
        <v/>
      </c>
      <c r="Q388" s="3">
        <f>IF(ISNUMBER(AVERAGE('20250815_ETF_Options_Exhibits'!Q384:Q388)),AVERAGE('20250815_ETF_Options_Exhibits'!Q384:Q388),"")</f>
        <v/>
      </c>
      <c r="R388" s="3">
        <f>IF(ISNUMBER(AVERAGE('20250815_ETF_Options_Exhibits'!R384:R388)),AVERAGE('20250815_ETF_Options_Exhibits'!R384:R388),"")</f>
        <v/>
      </c>
      <c r="S388" s="3">
        <f>IF(ISNUMBER(AVERAGE('20250815_ETF_Options_Exhibits'!S384:S388)),AVERAGE('20250815_ETF_Options_Exhibits'!S384:S388),"")</f>
        <v/>
      </c>
      <c r="T388" s="3">
        <f>IF(ISNUMBER(AVERAGE('20250815_ETF_Options_Exhibits'!T384:T388)),AVERAGE('20250815_ETF_Options_Exhibits'!T384:T388),"")</f>
        <v/>
      </c>
      <c r="U388" s="3">
        <f>IF(ISNUMBER(AVERAGE('20250815_ETF_Options_Exhibits'!U384:U388)),AVERAGE('20250815_ETF_Options_Exhibits'!U384:U388),"")</f>
        <v/>
      </c>
      <c r="V388" s="3">
        <f>IF(ISNUMBER(AVERAGE('20250815_ETF_Options_Exhibits'!V384:V388)),AVERAGE('20250815_ETF_Options_Exhibits'!V384:V388),"")</f>
        <v/>
      </c>
      <c r="W388" s="3">
        <f>IF(ISNUMBER(AVERAGE('20250815_ETF_Options_Exhibits'!W384:W388)),AVERAGE('20250815_ETF_Options_Exhibits'!W384:W388),"")</f>
        <v/>
      </c>
      <c r="X388" s="3">
        <f>IF(ISNUMBER(AVERAGE('20250815_ETF_Options_Exhibits'!X384:X388)),AVERAGE('20250815_ETF_Options_Exhibits'!X384:X388),"")</f>
        <v/>
      </c>
      <c r="Y388" s="3">
        <f>IF(ISNUMBER(AVERAGE('20250815_ETF_Options_Exhibits'!Y384:Y388)),AVERAGE('20250815_ETF_Options_Exhibits'!Y384:Y388),"")</f>
        <v/>
      </c>
      <c r="Z388" s="3">
        <f>IF(ISNUMBER(AVERAGE('20250815_ETF_Options_Exhibits'!Z384:Z388)),AVERAGE('20250815_ETF_Options_Exhibits'!Z384:Z388),"")</f>
        <v/>
      </c>
      <c r="AA388" s="3">
        <f>IF(ISNUMBER(AVERAGE('20250815_ETF_Options_Exhibits'!AA384:AA388)),AVERAGE('20250815_ETF_Options_Exhibits'!AA384:AA388),"")</f>
        <v/>
      </c>
    </row>
    <row r="389">
      <c r="A389" s="1" t="n">
        <v>42566</v>
      </c>
      <c r="B389" s="3">
        <f>IF(ISNUMBER(AVERAGE('20250815_ETF_Options_Exhibits'!B385:B389)),AVERAGE('20250815_ETF_Options_Exhibits'!B385:B389),"")</f>
        <v/>
      </c>
      <c r="C389" s="3">
        <f>IF(ISNUMBER(AVERAGE('20250815_ETF_Options_Exhibits'!C385:C389)),AVERAGE('20250815_ETF_Options_Exhibits'!C385:C389),"")</f>
        <v/>
      </c>
      <c r="D389" s="3">
        <f>IF(ISNUMBER(AVERAGE('20250815_ETF_Options_Exhibits'!D385:D389)),AVERAGE('20250815_ETF_Options_Exhibits'!D385:D389),"")</f>
        <v/>
      </c>
      <c r="E389" s="3">
        <f>IF(ISNUMBER(AVERAGE('20250815_ETF_Options_Exhibits'!E385:E389)),AVERAGE('20250815_ETF_Options_Exhibits'!E385:E389),"")</f>
        <v/>
      </c>
      <c r="F389" s="3">
        <f>IF(ISNUMBER(AVERAGE('20250815_ETF_Options_Exhibits'!F385:F389)),AVERAGE('20250815_ETF_Options_Exhibits'!F385:F389),"")</f>
        <v/>
      </c>
      <c r="G389" s="3">
        <f>IF(ISNUMBER(AVERAGE('20250815_ETF_Options_Exhibits'!G385:G389)),AVERAGE('20250815_ETF_Options_Exhibits'!G385:G389),"")</f>
        <v/>
      </c>
      <c r="H389" s="3">
        <f>IF(ISNUMBER(AVERAGE('20250815_ETF_Options_Exhibits'!H385:H389)),AVERAGE('20250815_ETF_Options_Exhibits'!H385:H389),"")</f>
        <v/>
      </c>
      <c r="I389" s="3">
        <f>IF(ISNUMBER(AVERAGE('20250815_ETF_Options_Exhibits'!I385:I389)),AVERAGE('20250815_ETF_Options_Exhibits'!I385:I389),"")</f>
        <v/>
      </c>
      <c r="J389" s="3">
        <f>IF(ISNUMBER(AVERAGE('20250815_ETF_Options_Exhibits'!J385:J389)),AVERAGE('20250815_ETF_Options_Exhibits'!J385:J389),"")</f>
        <v/>
      </c>
      <c r="K389" s="3">
        <f>IF(ISNUMBER(AVERAGE('20250815_ETF_Options_Exhibits'!K385:K389)),AVERAGE('20250815_ETF_Options_Exhibits'!K385:K389),"")</f>
        <v/>
      </c>
      <c r="L389" s="3">
        <f>IF(ISNUMBER(AVERAGE('20250815_ETF_Options_Exhibits'!L385:L389)),AVERAGE('20250815_ETF_Options_Exhibits'!L385:L389),"")</f>
        <v/>
      </c>
      <c r="M389" s="3">
        <f>IF(ISNUMBER(AVERAGE('20250815_ETF_Options_Exhibits'!M385:M389)),AVERAGE('20250815_ETF_Options_Exhibits'!M385:M389),"")</f>
        <v/>
      </c>
      <c r="N389" s="3">
        <f>IF(ISNUMBER(AVERAGE('20250815_ETF_Options_Exhibits'!N385:N389)),AVERAGE('20250815_ETF_Options_Exhibits'!N385:N389),"")</f>
        <v/>
      </c>
      <c r="O389" s="3">
        <f>IF(ISNUMBER(AVERAGE('20250815_ETF_Options_Exhibits'!O385:O389)),AVERAGE('20250815_ETF_Options_Exhibits'!O385:O389),"")</f>
        <v/>
      </c>
      <c r="P389" s="3">
        <f>IF(ISNUMBER(AVERAGE('20250815_ETF_Options_Exhibits'!P385:P389)),AVERAGE('20250815_ETF_Options_Exhibits'!P385:P389),"")</f>
        <v/>
      </c>
      <c r="Q389" s="3">
        <f>IF(ISNUMBER(AVERAGE('20250815_ETF_Options_Exhibits'!Q385:Q389)),AVERAGE('20250815_ETF_Options_Exhibits'!Q385:Q389),"")</f>
        <v/>
      </c>
      <c r="R389" s="3">
        <f>IF(ISNUMBER(AVERAGE('20250815_ETF_Options_Exhibits'!R385:R389)),AVERAGE('20250815_ETF_Options_Exhibits'!R385:R389),"")</f>
        <v/>
      </c>
      <c r="S389" s="3">
        <f>IF(ISNUMBER(AVERAGE('20250815_ETF_Options_Exhibits'!S385:S389)),AVERAGE('20250815_ETF_Options_Exhibits'!S385:S389),"")</f>
        <v/>
      </c>
      <c r="T389" s="3">
        <f>IF(ISNUMBER(AVERAGE('20250815_ETF_Options_Exhibits'!T385:T389)),AVERAGE('20250815_ETF_Options_Exhibits'!T385:T389),"")</f>
        <v/>
      </c>
      <c r="U389" s="3">
        <f>IF(ISNUMBER(AVERAGE('20250815_ETF_Options_Exhibits'!U385:U389)),AVERAGE('20250815_ETF_Options_Exhibits'!U385:U389),"")</f>
        <v/>
      </c>
      <c r="V389" s="3">
        <f>IF(ISNUMBER(AVERAGE('20250815_ETF_Options_Exhibits'!V385:V389)),AVERAGE('20250815_ETF_Options_Exhibits'!V385:V389),"")</f>
        <v/>
      </c>
      <c r="W389" s="3">
        <f>IF(ISNUMBER(AVERAGE('20250815_ETF_Options_Exhibits'!W385:W389)),AVERAGE('20250815_ETF_Options_Exhibits'!W385:W389),"")</f>
        <v/>
      </c>
      <c r="X389" s="3">
        <f>IF(ISNUMBER(AVERAGE('20250815_ETF_Options_Exhibits'!X385:X389)),AVERAGE('20250815_ETF_Options_Exhibits'!X385:X389),"")</f>
        <v/>
      </c>
      <c r="Y389" s="3">
        <f>IF(ISNUMBER(AVERAGE('20250815_ETF_Options_Exhibits'!Y385:Y389)),AVERAGE('20250815_ETF_Options_Exhibits'!Y385:Y389),"")</f>
        <v/>
      </c>
      <c r="Z389" s="3">
        <f>IF(ISNUMBER(AVERAGE('20250815_ETF_Options_Exhibits'!Z385:Z389)),AVERAGE('20250815_ETF_Options_Exhibits'!Z385:Z389),"")</f>
        <v/>
      </c>
      <c r="AA389" s="3">
        <f>IF(ISNUMBER(AVERAGE('20250815_ETF_Options_Exhibits'!AA385:AA389)),AVERAGE('20250815_ETF_Options_Exhibits'!AA385:AA389),"")</f>
        <v/>
      </c>
    </row>
    <row r="390">
      <c r="A390" s="1" t="n">
        <v>42569</v>
      </c>
      <c r="B390" s="3">
        <f>IF(ISNUMBER(AVERAGE('20250815_ETF_Options_Exhibits'!B386:B390)),AVERAGE('20250815_ETF_Options_Exhibits'!B386:B390),"")</f>
        <v/>
      </c>
      <c r="C390" s="3">
        <f>IF(ISNUMBER(AVERAGE('20250815_ETF_Options_Exhibits'!C386:C390)),AVERAGE('20250815_ETF_Options_Exhibits'!C386:C390),"")</f>
        <v/>
      </c>
      <c r="D390" s="3">
        <f>IF(ISNUMBER(AVERAGE('20250815_ETF_Options_Exhibits'!D386:D390)),AVERAGE('20250815_ETF_Options_Exhibits'!D386:D390),"")</f>
        <v/>
      </c>
      <c r="E390" s="3">
        <f>IF(ISNUMBER(AVERAGE('20250815_ETF_Options_Exhibits'!E386:E390)),AVERAGE('20250815_ETF_Options_Exhibits'!E386:E390),"")</f>
        <v/>
      </c>
      <c r="F390" s="3">
        <f>IF(ISNUMBER(AVERAGE('20250815_ETF_Options_Exhibits'!F386:F390)),AVERAGE('20250815_ETF_Options_Exhibits'!F386:F390),"")</f>
        <v/>
      </c>
      <c r="G390" s="3">
        <f>IF(ISNUMBER(AVERAGE('20250815_ETF_Options_Exhibits'!G386:G390)),AVERAGE('20250815_ETF_Options_Exhibits'!G386:G390),"")</f>
        <v/>
      </c>
      <c r="H390" s="3">
        <f>IF(ISNUMBER(AVERAGE('20250815_ETF_Options_Exhibits'!H386:H390)),AVERAGE('20250815_ETF_Options_Exhibits'!H386:H390),"")</f>
        <v/>
      </c>
      <c r="I390" s="3">
        <f>IF(ISNUMBER(AVERAGE('20250815_ETF_Options_Exhibits'!I386:I390)),AVERAGE('20250815_ETF_Options_Exhibits'!I386:I390),"")</f>
        <v/>
      </c>
      <c r="J390" s="3">
        <f>IF(ISNUMBER(AVERAGE('20250815_ETF_Options_Exhibits'!J386:J390)),AVERAGE('20250815_ETF_Options_Exhibits'!J386:J390),"")</f>
        <v/>
      </c>
      <c r="K390" s="3">
        <f>IF(ISNUMBER(AVERAGE('20250815_ETF_Options_Exhibits'!K386:K390)),AVERAGE('20250815_ETF_Options_Exhibits'!K386:K390),"")</f>
        <v/>
      </c>
      <c r="L390" s="3">
        <f>IF(ISNUMBER(AVERAGE('20250815_ETF_Options_Exhibits'!L386:L390)),AVERAGE('20250815_ETF_Options_Exhibits'!L386:L390),"")</f>
        <v/>
      </c>
      <c r="M390" s="3">
        <f>IF(ISNUMBER(AVERAGE('20250815_ETF_Options_Exhibits'!M386:M390)),AVERAGE('20250815_ETF_Options_Exhibits'!M386:M390),"")</f>
        <v/>
      </c>
      <c r="N390" s="3">
        <f>IF(ISNUMBER(AVERAGE('20250815_ETF_Options_Exhibits'!N386:N390)),AVERAGE('20250815_ETF_Options_Exhibits'!N386:N390),"")</f>
        <v/>
      </c>
      <c r="O390" s="3">
        <f>IF(ISNUMBER(AVERAGE('20250815_ETF_Options_Exhibits'!O386:O390)),AVERAGE('20250815_ETF_Options_Exhibits'!O386:O390),"")</f>
        <v/>
      </c>
      <c r="P390" s="3">
        <f>IF(ISNUMBER(AVERAGE('20250815_ETF_Options_Exhibits'!P386:P390)),AVERAGE('20250815_ETF_Options_Exhibits'!P386:P390),"")</f>
        <v/>
      </c>
      <c r="Q390" s="3">
        <f>IF(ISNUMBER(AVERAGE('20250815_ETF_Options_Exhibits'!Q386:Q390)),AVERAGE('20250815_ETF_Options_Exhibits'!Q386:Q390),"")</f>
        <v/>
      </c>
      <c r="R390" s="3">
        <f>IF(ISNUMBER(AVERAGE('20250815_ETF_Options_Exhibits'!R386:R390)),AVERAGE('20250815_ETF_Options_Exhibits'!R386:R390),"")</f>
        <v/>
      </c>
      <c r="S390" s="3">
        <f>IF(ISNUMBER(AVERAGE('20250815_ETF_Options_Exhibits'!S386:S390)),AVERAGE('20250815_ETF_Options_Exhibits'!S386:S390),"")</f>
        <v/>
      </c>
      <c r="T390" s="3">
        <f>IF(ISNUMBER(AVERAGE('20250815_ETF_Options_Exhibits'!T386:T390)),AVERAGE('20250815_ETF_Options_Exhibits'!T386:T390),"")</f>
        <v/>
      </c>
      <c r="U390" s="3">
        <f>IF(ISNUMBER(AVERAGE('20250815_ETF_Options_Exhibits'!U386:U390)),AVERAGE('20250815_ETF_Options_Exhibits'!U386:U390),"")</f>
        <v/>
      </c>
      <c r="V390" s="3">
        <f>IF(ISNUMBER(AVERAGE('20250815_ETF_Options_Exhibits'!V386:V390)),AVERAGE('20250815_ETF_Options_Exhibits'!V386:V390),"")</f>
        <v/>
      </c>
      <c r="W390" s="3">
        <f>IF(ISNUMBER(AVERAGE('20250815_ETF_Options_Exhibits'!W386:W390)),AVERAGE('20250815_ETF_Options_Exhibits'!W386:W390),"")</f>
        <v/>
      </c>
      <c r="X390" s="3">
        <f>IF(ISNUMBER(AVERAGE('20250815_ETF_Options_Exhibits'!X386:X390)),AVERAGE('20250815_ETF_Options_Exhibits'!X386:X390),"")</f>
        <v/>
      </c>
      <c r="Y390" s="3">
        <f>IF(ISNUMBER(AVERAGE('20250815_ETF_Options_Exhibits'!Y386:Y390)),AVERAGE('20250815_ETF_Options_Exhibits'!Y386:Y390),"")</f>
        <v/>
      </c>
      <c r="Z390" s="3">
        <f>IF(ISNUMBER(AVERAGE('20250815_ETF_Options_Exhibits'!Z386:Z390)),AVERAGE('20250815_ETF_Options_Exhibits'!Z386:Z390),"")</f>
        <v/>
      </c>
      <c r="AA390" s="3">
        <f>IF(ISNUMBER(AVERAGE('20250815_ETF_Options_Exhibits'!AA386:AA390)),AVERAGE('20250815_ETF_Options_Exhibits'!AA386:AA390),"")</f>
        <v/>
      </c>
    </row>
    <row r="391">
      <c r="A391" s="1" t="n">
        <v>42570</v>
      </c>
      <c r="B391" s="3">
        <f>IF(ISNUMBER(AVERAGE('20250815_ETF_Options_Exhibits'!B387:B391)),AVERAGE('20250815_ETF_Options_Exhibits'!B387:B391),"")</f>
        <v/>
      </c>
      <c r="C391" s="3">
        <f>IF(ISNUMBER(AVERAGE('20250815_ETF_Options_Exhibits'!C387:C391)),AVERAGE('20250815_ETF_Options_Exhibits'!C387:C391),"")</f>
        <v/>
      </c>
      <c r="D391" s="3">
        <f>IF(ISNUMBER(AVERAGE('20250815_ETF_Options_Exhibits'!D387:D391)),AVERAGE('20250815_ETF_Options_Exhibits'!D387:D391),"")</f>
        <v/>
      </c>
      <c r="E391" s="3">
        <f>IF(ISNUMBER(AVERAGE('20250815_ETF_Options_Exhibits'!E387:E391)),AVERAGE('20250815_ETF_Options_Exhibits'!E387:E391),"")</f>
        <v/>
      </c>
      <c r="F391" s="3">
        <f>IF(ISNUMBER(AVERAGE('20250815_ETF_Options_Exhibits'!F387:F391)),AVERAGE('20250815_ETF_Options_Exhibits'!F387:F391),"")</f>
        <v/>
      </c>
      <c r="G391" s="3">
        <f>IF(ISNUMBER(AVERAGE('20250815_ETF_Options_Exhibits'!G387:G391)),AVERAGE('20250815_ETF_Options_Exhibits'!G387:G391),"")</f>
        <v/>
      </c>
      <c r="H391" s="3">
        <f>IF(ISNUMBER(AVERAGE('20250815_ETF_Options_Exhibits'!H387:H391)),AVERAGE('20250815_ETF_Options_Exhibits'!H387:H391),"")</f>
        <v/>
      </c>
      <c r="I391" s="3">
        <f>IF(ISNUMBER(AVERAGE('20250815_ETF_Options_Exhibits'!I387:I391)),AVERAGE('20250815_ETF_Options_Exhibits'!I387:I391),"")</f>
        <v/>
      </c>
      <c r="J391" s="3">
        <f>IF(ISNUMBER(AVERAGE('20250815_ETF_Options_Exhibits'!J387:J391)),AVERAGE('20250815_ETF_Options_Exhibits'!J387:J391),"")</f>
        <v/>
      </c>
      <c r="K391" s="3">
        <f>IF(ISNUMBER(AVERAGE('20250815_ETF_Options_Exhibits'!K387:K391)),AVERAGE('20250815_ETF_Options_Exhibits'!K387:K391),"")</f>
        <v/>
      </c>
      <c r="L391" s="3">
        <f>IF(ISNUMBER(AVERAGE('20250815_ETF_Options_Exhibits'!L387:L391)),AVERAGE('20250815_ETF_Options_Exhibits'!L387:L391),"")</f>
        <v/>
      </c>
      <c r="M391" s="3">
        <f>IF(ISNUMBER(AVERAGE('20250815_ETF_Options_Exhibits'!M387:M391)),AVERAGE('20250815_ETF_Options_Exhibits'!M387:M391),"")</f>
        <v/>
      </c>
      <c r="N391" s="3">
        <f>IF(ISNUMBER(AVERAGE('20250815_ETF_Options_Exhibits'!N387:N391)),AVERAGE('20250815_ETF_Options_Exhibits'!N387:N391),"")</f>
        <v/>
      </c>
      <c r="O391" s="3">
        <f>IF(ISNUMBER(AVERAGE('20250815_ETF_Options_Exhibits'!O387:O391)),AVERAGE('20250815_ETF_Options_Exhibits'!O387:O391),"")</f>
        <v/>
      </c>
      <c r="P391" s="3">
        <f>IF(ISNUMBER(AVERAGE('20250815_ETF_Options_Exhibits'!P387:P391)),AVERAGE('20250815_ETF_Options_Exhibits'!P387:P391),"")</f>
        <v/>
      </c>
      <c r="Q391" s="3">
        <f>IF(ISNUMBER(AVERAGE('20250815_ETF_Options_Exhibits'!Q387:Q391)),AVERAGE('20250815_ETF_Options_Exhibits'!Q387:Q391),"")</f>
        <v/>
      </c>
      <c r="R391" s="3">
        <f>IF(ISNUMBER(AVERAGE('20250815_ETF_Options_Exhibits'!R387:R391)),AVERAGE('20250815_ETF_Options_Exhibits'!R387:R391),"")</f>
        <v/>
      </c>
      <c r="S391" s="3">
        <f>IF(ISNUMBER(AVERAGE('20250815_ETF_Options_Exhibits'!S387:S391)),AVERAGE('20250815_ETF_Options_Exhibits'!S387:S391),"")</f>
        <v/>
      </c>
      <c r="T391" s="3">
        <f>IF(ISNUMBER(AVERAGE('20250815_ETF_Options_Exhibits'!T387:T391)),AVERAGE('20250815_ETF_Options_Exhibits'!T387:T391),"")</f>
        <v/>
      </c>
      <c r="U391" s="3">
        <f>IF(ISNUMBER(AVERAGE('20250815_ETF_Options_Exhibits'!U387:U391)),AVERAGE('20250815_ETF_Options_Exhibits'!U387:U391),"")</f>
        <v/>
      </c>
      <c r="V391" s="3">
        <f>IF(ISNUMBER(AVERAGE('20250815_ETF_Options_Exhibits'!V387:V391)),AVERAGE('20250815_ETF_Options_Exhibits'!V387:V391),"")</f>
        <v/>
      </c>
      <c r="W391" s="3">
        <f>IF(ISNUMBER(AVERAGE('20250815_ETF_Options_Exhibits'!W387:W391)),AVERAGE('20250815_ETF_Options_Exhibits'!W387:W391),"")</f>
        <v/>
      </c>
      <c r="X391" s="3">
        <f>IF(ISNUMBER(AVERAGE('20250815_ETF_Options_Exhibits'!X387:X391)),AVERAGE('20250815_ETF_Options_Exhibits'!X387:X391),"")</f>
        <v/>
      </c>
      <c r="Y391" s="3">
        <f>IF(ISNUMBER(AVERAGE('20250815_ETF_Options_Exhibits'!Y387:Y391)),AVERAGE('20250815_ETF_Options_Exhibits'!Y387:Y391),"")</f>
        <v/>
      </c>
      <c r="Z391" s="3">
        <f>IF(ISNUMBER(AVERAGE('20250815_ETF_Options_Exhibits'!Z387:Z391)),AVERAGE('20250815_ETF_Options_Exhibits'!Z387:Z391),"")</f>
        <v/>
      </c>
      <c r="AA391" s="3">
        <f>IF(ISNUMBER(AVERAGE('20250815_ETF_Options_Exhibits'!AA387:AA391)),AVERAGE('20250815_ETF_Options_Exhibits'!AA387:AA391),"")</f>
        <v/>
      </c>
    </row>
    <row r="392">
      <c r="A392" s="1" t="n">
        <v>42571</v>
      </c>
      <c r="B392" s="3">
        <f>IF(ISNUMBER(AVERAGE('20250815_ETF_Options_Exhibits'!B388:B392)),AVERAGE('20250815_ETF_Options_Exhibits'!B388:B392),"")</f>
        <v/>
      </c>
      <c r="C392" s="3">
        <f>IF(ISNUMBER(AVERAGE('20250815_ETF_Options_Exhibits'!C388:C392)),AVERAGE('20250815_ETF_Options_Exhibits'!C388:C392),"")</f>
        <v/>
      </c>
      <c r="D392" s="3">
        <f>IF(ISNUMBER(AVERAGE('20250815_ETF_Options_Exhibits'!D388:D392)),AVERAGE('20250815_ETF_Options_Exhibits'!D388:D392),"")</f>
        <v/>
      </c>
      <c r="E392" s="3">
        <f>IF(ISNUMBER(AVERAGE('20250815_ETF_Options_Exhibits'!E388:E392)),AVERAGE('20250815_ETF_Options_Exhibits'!E388:E392),"")</f>
        <v/>
      </c>
      <c r="F392" s="3">
        <f>IF(ISNUMBER(AVERAGE('20250815_ETF_Options_Exhibits'!F388:F392)),AVERAGE('20250815_ETF_Options_Exhibits'!F388:F392),"")</f>
        <v/>
      </c>
      <c r="G392" s="3">
        <f>IF(ISNUMBER(AVERAGE('20250815_ETF_Options_Exhibits'!G388:G392)),AVERAGE('20250815_ETF_Options_Exhibits'!G388:G392),"")</f>
        <v/>
      </c>
      <c r="H392" s="3">
        <f>IF(ISNUMBER(AVERAGE('20250815_ETF_Options_Exhibits'!H388:H392)),AVERAGE('20250815_ETF_Options_Exhibits'!H388:H392),"")</f>
        <v/>
      </c>
      <c r="I392" s="3">
        <f>IF(ISNUMBER(AVERAGE('20250815_ETF_Options_Exhibits'!I388:I392)),AVERAGE('20250815_ETF_Options_Exhibits'!I388:I392),"")</f>
        <v/>
      </c>
      <c r="J392" s="3">
        <f>IF(ISNUMBER(AVERAGE('20250815_ETF_Options_Exhibits'!J388:J392)),AVERAGE('20250815_ETF_Options_Exhibits'!J388:J392),"")</f>
        <v/>
      </c>
      <c r="K392" s="3">
        <f>IF(ISNUMBER(AVERAGE('20250815_ETF_Options_Exhibits'!K388:K392)),AVERAGE('20250815_ETF_Options_Exhibits'!K388:K392),"")</f>
        <v/>
      </c>
      <c r="L392" s="3">
        <f>IF(ISNUMBER(AVERAGE('20250815_ETF_Options_Exhibits'!L388:L392)),AVERAGE('20250815_ETF_Options_Exhibits'!L388:L392),"")</f>
        <v/>
      </c>
      <c r="M392" s="3">
        <f>IF(ISNUMBER(AVERAGE('20250815_ETF_Options_Exhibits'!M388:M392)),AVERAGE('20250815_ETF_Options_Exhibits'!M388:M392),"")</f>
        <v/>
      </c>
      <c r="N392" s="3">
        <f>IF(ISNUMBER(AVERAGE('20250815_ETF_Options_Exhibits'!N388:N392)),AVERAGE('20250815_ETF_Options_Exhibits'!N388:N392),"")</f>
        <v/>
      </c>
      <c r="O392" s="3">
        <f>IF(ISNUMBER(AVERAGE('20250815_ETF_Options_Exhibits'!O388:O392)),AVERAGE('20250815_ETF_Options_Exhibits'!O388:O392),"")</f>
        <v/>
      </c>
      <c r="P392" s="3">
        <f>IF(ISNUMBER(AVERAGE('20250815_ETF_Options_Exhibits'!P388:P392)),AVERAGE('20250815_ETF_Options_Exhibits'!P388:P392),"")</f>
        <v/>
      </c>
      <c r="Q392" s="3">
        <f>IF(ISNUMBER(AVERAGE('20250815_ETF_Options_Exhibits'!Q388:Q392)),AVERAGE('20250815_ETF_Options_Exhibits'!Q388:Q392),"")</f>
        <v/>
      </c>
      <c r="R392" s="3">
        <f>IF(ISNUMBER(AVERAGE('20250815_ETF_Options_Exhibits'!R388:R392)),AVERAGE('20250815_ETF_Options_Exhibits'!R388:R392),"")</f>
        <v/>
      </c>
      <c r="S392" s="3">
        <f>IF(ISNUMBER(AVERAGE('20250815_ETF_Options_Exhibits'!S388:S392)),AVERAGE('20250815_ETF_Options_Exhibits'!S388:S392),"")</f>
        <v/>
      </c>
      <c r="T392" s="3">
        <f>IF(ISNUMBER(AVERAGE('20250815_ETF_Options_Exhibits'!T388:T392)),AVERAGE('20250815_ETF_Options_Exhibits'!T388:T392),"")</f>
        <v/>
      </c>
      <c r="U392" s="3">
        <f>IF(ISNUMBER(AVERAGE('20250815_ETF_Options_Exhibits'!U388:U392)),AVERAGE('20250815_ETF_Options_Exhibits'!U388:U392),"")</f>
        <v/>
      </c>
      <c r="V392" s="3">
        <f>IF(ISNUMBER(AVERAGE('20250815_ETF_Options_Exhibits'!V388:V392)),AVERAGE('20250815_ETF_Options_Exhibits'!V388:V392),"")</f>
        <v/>
      </c>
      <c r="W392" s="3">
        <f>IF(ISNUMBER(AVERAGE('20250815_ETF_Options_Exhibits'!W388:W392)),AVERAGE('20250815_ETF_Options_Exhibits'!W388:W392),"")</f>
        <v/>
      </c>
      <c r="X392" s="3">
        <f>IF(ISNUMBER(AVERAGE('20250815_ETF_Options_Exhibits'!X388:X392)),AVERAGE('20250815_ETF_Options_Exhibits'!X388:X392),"")</f>
        <v/>
      </c>
      <c r="Y392" s="3">
        <f>IF(ISNUMBER(AVERAGE('20250815_ETF_Options_Exhibits'!Y388:Y392)),AVERAGE('20250815_ETF_Options_Exhibits'!Y388:Y392),"")</f>
        <v/>
      </c>
      <c r="Z392" s="3">
        <f>IF(ISNUMBER(AVERAGE('20250815_ETF_Options_Exhibits'!Z388:Z392)),AVERAGE('20250815_ETF_Options_Exhibits'!Z388:Z392),"")</f>
        <v/>
      </c>
      <c r="AA392" s="3">
        <f>IF(ISNUMBER(AVERAGE('20250815_ETF_Options_Exhibits'!AA388:AA392)),AVERAGE('20250815_ETF_Options_Exhibits'!AA388:AA392),"")</f>
        <v/>
      </c>
    </row>
    <row r="393">
      <c r="A393" s="1" t="n">
        <v>42572</v>
      </c>
      <c r="B393" s="3">
        <f>IF(ISNUMBER(AVERAGE('20250815_ETF_Options_Exhibits'!B389:B393)),AVERAGE('20250815_ETF_Options_Exhibits'!B389:B393),"")</f>
        <v/>
      </c>
      <c r="C393" s="3">
        <f>IF(ISNUMBER(AVERAGE('20250815_ETF_Options_Exhibits'!C389:C393)),AVERAGE('20250815_ETF_Options_Exhibits'!C389:C393),"")</f>
        <v/>
      </c>
      <c r="D393" s="3">
        <f>IF(ISNUMBER(AVERAGE('20250815_ETF_Options_Exhibits'!D389:D393)),AVERAGE('20250815_ETF_Options_Exhibits'!D389:D393),"")</f>
        <v/>
      </c>
      <c r="E393" s="3">
        <f>IF(ISNUMBER(AVERAGE('20250815_ETF_Options_Exhibits'!E389:E393)),AVERAGE('20250815_ETF_Options_Exhibits'!E389:E393),"")</f>
        <v/>
      </c>
      <c r="F393" s="3">
        <f>IF(ISNUMBER(AVERAGE('20250815_ETF_Options_Exhibits'!F389:F393)),AVERAGE('20250815_ETF_Options_Exhibits'!F389:F393),"")</f>
        <v/>
      </c>
      <c r="G393" s="3">
        <f>IF(ISNUMBER(AVERAGE('20250815_ETF_Options_Exhibits'!G389:G393)),AVERAGE('20250815_ETF_Options_Exhibits'!G389:G393),"")</f>
        <v/>
      </c>
      <c r="H393" s="3">
        <f>IF(ISNUMBER(AVERAGE('20250815_ETF_Options_Exhibits'!H389:H393)),AVERAGE('20250815_ETF_Options_Exhibits'!H389:H393),"")</f>
        <v/>
      </c>
      <c r="I393" s="3">
        <f>IF(ISNUMBER(AVERAGE('20250815_ETF_Options_Exhibits'!I389:I393)),AVERAGE('20250815_ETF_Options_Exhibits'!I389:I393),"")</f>
        <v/>
      </c>
      <c r="J393" s="3">
        <f>IF(ISNUMBER(AVERAGE('20250815_ETF_Options_Exhibits'!J389:J393)),AVERAGE('20250815_ETF_Options_Exhibits'!J389:J393),"")</f>
        <v/>
      </c>
      <c r="K393" s="3">
        <f>IF(ISNUMBER(AVERAGE('20250815_ETF_Options_Exhibits'!K389:K393)),AVERAGE('20250815_ETF_Options_Exhibits'!K389:K393),"")</f>
        <v/>
      </c>
      <c r="L393" s="3">
        <f>IF(ISNUMBER(AVERAGE('20250815_ETF_Options_Exhibits'!L389:L393)),AVERAGE('20250815_ETF_Options_Exhibits'!L389:L393),"")</f>
        <v/>
      </c>
      <c r="M393" s="3">
        <f>IF(ISNUMBER(AVERAGE('20250815_ETF_Options_Exhibits'!M389:M393)),AVERAGE('20250815_ETF_Options_Exhibits'!M389:M393),"")</f>
        <v/>
      </c>
      <c r="N393" s="3">
        <f>IF(ISNUMBER(AVERAGE('20250815_ETF_Options_Exhibits'!N389:N393)),AVERAGE('20250815_ETF_Options_Exhibits'!N389:N393),"")</f>
        <v/>
      </c>
      <c r="O393" s="3">
        <f>IF(ISNUMBER(AVERAGE('20250815_ETF_Options_Exhibits'!O389:O393)),AVERAGE('20250815_ETF_Options_Exhibits'!O389:O393),"")</f>
        <v/>
      </c>
      <c r="P393" s="3">
        <f>IF(ISNUMBER(AVERAGE('20250815_ETF_Options_Exhibits'!P389:P393)),AVERAGE('20250815_ETF_Options_Exhibits'!P389:P393),"")</f>
        <v/>
      </c>
      <c r="Q393" s="3">
        <f>IF(ISNUMBER(AVERAGE('20250815_ETF_Options_Exhibits'!Q389:Q393)),AVERAGE('20250815_ETF_Options_Exhibits'!Q389:Q393),"")</f>
        <v/>
      </c>
      <c r="R393" s="3">
        <f>IF(ISNUMBER(AVERAGE('20250815_ETF_Options_Exhibits'!R389:R393)),AVERAGE('20250815_ETF_Options_Exhibits'!R389:R393),"")</f>
        <v/>
      </c>
      <c r="S393" s="3">
        <f>IF(ISNUMBER(AVERAGE('20250815_ETF_Options_Exhibits'!S389:S393)),AVERAGE('20250815_ETF_Options_Exhibits'!S389:S393),"")</f>
        <v/>
      </c>
      <c r="T393" s="3">
        <f>IF(ISNUMBER(AVERAGE('20250815_ETF_Options_Exhibits'!T389:T393)),AVERAGE('20250815_ETF_Options_Exhibits'!T389:T393),"")</f>
        <v/>
      </c>
      <c r="U393" s="3">
        <f>IF(ISNUMBER(AVERAGE('20250815_ETF_Options_Exhibits'!U389:U393)),AVERAGE('20250815_ETF_Options_Exhibits'!U389:U393),"")</f>
        <v/>
      </c>
      <c r="V393" s="3">
        <f>IF(ISNUMBER(AVERAGE('20250815_ETF_Options_Exhibits'!V389:V393)),AVERAGE('20250815_ETF_Options_Exhibits'!V389:V393),"")</f>
        <v/>
      </c>
      <c r="W393" s="3">
        <f>IF(ISNUMBER(AVERAGE('20250815_ETF_Options_Exhibits'!W389:W393)),AVERAGE('20250815_ETF_Options_Exhibits'!W389:W393),"")</f>
        <v/>
      </c>
      <c r="X393" s="3">
        <f>IF(ISNUMBER(AVERAGE('20250815_ETF_Options_Exhibits'!X389:X393)),AVERAGE('20250815_ETF_Options_Exhibits'!X389:X393),"")</f>
        <v/>
      </c>
      <c r="Y393" s="3">
        <f>IF(ISNUMBER(AVERAGE('20250815_ETF_Options_Exhibits'!Y389:Y393)),AVERAGE('20250815_ETF_Options_Exhibits'!Y389:Y393),"")</f>
        <v/>
      </c>
      <c r="Z393" s="3">
        <f>IF(ISNUMBER(AVERAGE('20250815_ETF_Options_Exhibits'!Z389:Z393)),AVERAGE('20250815_ETF_Options_Exhibits'!Z389:Z393),"")</f>
        <v/>
      </c>
      <c r="AA393" s="3">
        <f>IF(ISNUMBER(AVERAGE('20250815_ETF_Options_Exhibits'!AA389:AA393)),AVERAGE('20250815_ETF_Options_Exhibits'!AA389:AA393),"")</f>
        <v/>
      </c>
    </row>
    <row r="394">
      <c r="A394" s="1" t="n">
        <v>42573</v>
      </c>
      <c r="B394" s="3">
        <f>IF(ISNUMBER(AVERAGE('20250815_ETF_Options_Exhibits'!B390:B394)),AVERAGE('20250815_ETF_Options_Exhibits'!B390:B394),"")</f>
        <v/>
      </c>
      <c r="C394" s="3">
        <f>IF(ISNUMBER(AVERAGE('20250815_ETF_Options_Exhibits'!C390:C394)),AVERAGE('20250815_ETF_Options_Exhibits'!C390:C394),"")</f>
        <v/>
      </c>
      <c r="D394" s="3">
        <f>IF(ISNUMBER(AVERAGE('20250815_ETF_Options_Exhibits'!D390:D394)),AVERAGE('20250815_ETF_Options_Exhibits'!D390:D394),"")</f>
        <v/>
      </c>
      <c r="E394" s="3">
        <f>IF(ISNUMBER(AVERAGE('20250815_ETF_Options_Exhibits'!E390:E394)),AVERAGE('20250815_ETF_Options_Exhibits'!E390:E394),"")</f>
        <v/>
      </c>
      <c r="F394" s="3">
        <f>IF(ISNUMBER(AVERAGE('20250815_ETF_Options_Exhibits'!F390:F394)),AVERAGE('20250815_ETF_Options_Exhibits'!F390:F394),"")</f>
        <v/>
      </c>
      <c r="G394" s="3">
        <f>IF(ISNUMBER(AVERAGE('20250815_ETF_Options_Exhibits'!G390:G394)),AVERAGE('20250815_ETF_Options_Exhibits'!G390:G394),"")</f>
        <v/>
      </c>
      <c r="H394" s="3">
        <f>IF(ISNUMBER(AVERAGE('20250815_ETF_Options_Exhibits'!H390:H394)),AVERAGE('20250815_ETF_Options_Exhibits'!H390:H394),"")</f>
        <v/>
      </c>
      <c r="I394" s="3">
        <f>IF(ISNUMBER(AVERAGE('20250815_ETF_Options_Exhibits'!I390:I394)),AVERAGE('20250815_ETF_Options_Exhibits'!I390:I394),"")</f>
        <v/>
      </c>
      <c r="J394" s="3">
        <f>IF(ISNUMBER(AVERAGE('20250815_ETF_Options_Exhibits'!J390:J394)),AVERAGE('20250815_ETF_Options_Exhibits'!J390:J394),"")</f>
        <v/>
      </c>
      <c r="K394" s="3">
        <f>IF(ISNUMBER(AVERAGE('20250815_ETF_Options_Exhibits'!K390:K394)),AVERAGE('20250815_ETF_Options_Exhibits'!K390:K394),"")</f>
        <v/>
      </c>
      <c r="L394" s="3">
        <f>IF(ISNUMBER(AVERAGE('20250815_ETF_Options_Exhibits'!L390:L394)),AVERAGE('20250815_ETF_Options_Exhibits'!L390:L394),"")</f>
        <v/>
      </c>
      <c r="M394" s="3">
        <f>IF(ISNUMBER(AVERAGE('20250815_ETF_Options_Exhibits'!M390:M394)),AVERAGE('20250815_ETF_Options_Exhibits'!M390:M394),"")</f>
        <v/>
      </c>
      <c r="N394" s="3">
        <f>IF(ISNUMBER(AVERAGE('20250815_ETF_Options_Exhibits'!N390:N394)),AVERAGE('20250815_ETF_Options_Exhibits'!N390:N394),"")</f>
        <v/>
      </c>
      <c r="O394" s="3">
        <f>IF(ISNUMBER(AVERAGE('20250815_ETF_Options_Exhibits'!O390:O394)),AVERAGE('20250815_ETF_Options_Exhibits'!O390:O394),"")</f>
        <v/>
      </c>
      <c r="P394" s="3">
        <f>IF(ISNUMBER(AVERAGE('20250815_ETF_Options_Exhibits'!P390:P394)),AVERAGE('20250815_ETF_Options_Exhibits'!P390:P394),"")</f>
        <v/>
      </c>
      <c r="Q394" s="3">
        <f>IF(ISNUMBER(AVERAGE('20250815_ETF_Options_Exhibits'!Q390:Q394)),AVERAGE('20250815_ETF_Options_Exhibits'!Q390:Q394),"")</f>
        <v/>
      </c>
      <c r="R394" s="3">
        <f>IF(ISNUMBER(AVERAGE('20250815_ETF_Options_Exhibits'!R390:R394)),AVERAGE('20250815_ETF_Options_Exhibits'!R390:R394),"")</f>
        <v/>
      </c>
      <c r="S394" s="3">
        <f>IF(ISNUMBER(AVERAGE('20250815_ETF_Options_Exhibits'!S390:S394)),AVERAGE('20250815_ETF_Options_Exhibits'!S390:S394),"")</f>
        <v/>
      </c>
      <c r="T394" s="3">
        <f>IF(ISNUMBER(AVERAGE('20250815_ETF_Options_Exhibits'!T390:T394)),AVERAGE('20250815_ETF_Options_Exhibits'!T390:T394),"")</f>
        <v/>
      </c>
      <c r="U394" s="3">
        <f>IF(ISNUMBER(AVERAGE('20250815_ETF_Options_Exhibits'!U390:U394)),AVERAGE('20250815_ETF_Options_Exhibits'!U390:U394),"")</f>
        <v/>
      </c>
      <c r="V394" s="3">
        <f>IF(ISNUMBER(AVERAGE('20250815_ETF_Options_Exhibits'!V390:V394)),AVERAGE('20250815_ETF_Options_Exhibits'!V390:V394),"")</f>
        <v/>
      </c>
      <c r="W394" s="3">
        <f>IF(ISNUMBER(AVERAGE('20250815_ETF_Options_Exhibits'!W390:W394)),AVERAGE('20250815_ETF_Options_Exhibits'!W390:W394),"")</f>
        <v/>
      </c>
      <c r="X394" s="3">
        <f>IF(ISNUMBER(AVERAGE('20250815_ETF_Options_Exhibits'!X390:X394)),AVERAGE('20250815_ETF_Options_Exhibits'!X390:X394),"")</f>
        <v/>
      </c>
      <c r="Y394" s="3">
        <f>IF(ISNUMBER(AVERAGE('20250815_ETF_Options_Exhibits'!Y390:Y394)),AVERAGE('20250815_ETF_Options_Exhibits'!Y390:Y394),"")</f>
        <v/>
      </c>
      <c r="Z394" s="3">
        <f>IF(ISNUMBER(AVERAGE('20250815_ETF_Options_Exhibits'!Z390:Z394)),AVERAGE('20250815_ETF_Options_Exhibits'!Z390:Z394),"")</f>
        <v/>
      </c>
      <c r="AA394" s="3">
        <f>IF(ISNUMBER(AVERAGE('20250815_ETF_Options_Exhibits'!AA390:AA394)),AVERAGE('20250815_ETF_Options_Exhibits'!AA390:AA394),"")</f>
        <v/>
      </c>
    </row>
    <row r="395">
      <c r="A395" s="1" t="n">
        <v>42576</v>
      </c>
      <c r="B395" s="3">
        <f>IF(ISNUMBER(AVERAGE('20250815_ETF_Options_Exhibits'!B391:B395)),AVERAGE('20250815_ETF_Options_Exhibits'!B391:B395),"")</f>
        <v/>
      </c>
      <c r="C395" s="3">
        <f>IF(ISNUMBER(AVERAGE('20250815_ETF_Options_Exhibits'!C391:C395)),AVERAGE('20250815_ETF_Options_Exhibits'!C391:C395),"")</f>
        <v/>
      </c>
      <c r="D395" s="3">
        <f>IF(ISNUMBER(AVERAGE('20250815_ETF_Options_Exhibits'!D391:D395)),AVERAGE('20250815_ETF_Options_Exhibits'!D391:D395),"")</f>
        <v/>
      </c>
      <c r="E395" s="3">
        <f>IF(ISNUMBER(AVERAGE('20250815_ETF_Options_Exhibits'!E391:E395)),AVERAGE('20250815_ETF_Options_Exhibits'!E391:E395),"")</f>
        <v/>
      </c>
      <c r="F395" s="3">
        <f>IF(ISNUMBER(AVERAGE('20250815_ETF_Options_Exhibits'!F391:F395)),AVERAGE('20250815_ETF_Options_Exhibits'!F391:F395),"")</f>
        <v/>
      </c>
      <c r="G395" s="3">
        <f>IF(ISNUMBER(AVERAGE('20250815_ETF_Options_Exhibits'!G391:G395)),AVERAGE('20250815_ETF_Options_Exhibits'!G391:G395),"")</f>
        <v/>
      </c>
      <c r="H395" s="3">
        <f>IF(ISNUMBER(AVERAGE('20250815_ETF_Options_Exhibits'!H391:H395)),AVERAGE('20250815_ETF_Options_Exhibits'!H391:H395),"")</f>
        <v/>
      </c>
      <c r="I395" s="3">
        <f>IF(ISNUMBER(AVERAGE('20250815_ETF_Options_Exhibits'!I391:I395)),AVERAGE('20250815_ETF_Options_Exhibits'!I391:I395),"")</f>
        <v/>
      </c>
      <c r="J395" s="3">
        <f>IF(ISNUMBER(AVERAGE('20250815_ETF_Options_Exhibits'!J391:J395)),AVERAGE('20250815_ETF_Options_Exhibits'!J391:J395),"")</f>
        <v/>
      </c>
      <c r="K395" s="3">
        <f>IF(ISNUMBER(AVERAGE('20250815_ETF_Options_Exhibits'!K391:K395)),AVERAGE('20250815_ETF_Options_Exhibits'!K391:K395),"")</f>
        <v/>
      </c>
      <c r="L395" s="3">
        <f>IF(ISNUMBER(AVERAGE('20250815_ETF_Options_Exhibits'!L391:L395)),AVERAGE('20250815_ETF_Options_Exhibits'!L391:L395),"")</f>
        <v/>
      </c>
      <c r="M395" s="3">
        <f>IF(ISNUMBER(AVERAGE('20250815_ETF_Options_Exhibits'!M391:M395)),AVERAGE('20250815_ETF_Options_Exhibits'!M391:M395),"")</f>
        <v/>
      </c>
      <c r="N395" s="3">
        <f>IF(ISNUMBER(AVERAGE('20250815_ETF_Options_Exhibits'!N391:N395)),AVERAGE('20250815_ETF_Options_Exhibits'!N391:N395),"")</f>
        <v/>
      </c>
      <c r="O395" s="3">
        <f>IF(ISNUMBER(AVERAGE('20250815_ETF_Options_Exhibits'!O391:O395)),AVERAGE('20250815_ETF_Options_Exhibits'!O391:O395),"")</f>
        <v/>
      </c>
      <c r="P395" s="3">
        <f>IF(ISNUMBER(AVERAGE('20250815_ETF_Options_Exhibits'!P391:P395)),AVERAGE('20250815_ETF_Options_Exhibits'!P391:P395),"")</f>
        <v/>
      </c>
      <c r="Q395" s="3">
        <f>IF(ISNUMBER(AVERAGE('20250815_ETF_Options_Exhibits'!Q391:Q395)),AVERAGE('20250815_ETF_Options_Exhibits'!Q391:Q395),"")</f>
        <v/>
      </c>
      <c r="R395" s="3">
        <f>IF(ISNUMBER(AVERAGE('20250815_ETF_Options_Exhibits'!R391:R395)),AVERAGE('20250815_ETF_Options_Exhibits'!R391:R395),"")</f>
        <v/>
      </c>
      <c r="S395" s="3">
        <f>IF(ISNUMBER(AVERAGE('20250815_ETF_Options_Exhibits'!S391:S395)),AVERAGE('20250815_ETF_Options_Exhibits'!S391:S395),"")</f>
        <v/>
      </c>
      <c r="T395" s="3">
        <f>IF(ISNUMBER(AVERAGE('20250815_ETF_Options_Exhibits'!T391:T395)),AVERAGE('20250815_ETF_Options_Exhibits'!T391:T395),"")</f>
        <v/>
      </c>
      <c r="U395" s="3">
        <f>IF(ISNUMBER(AVERAGE('20250815_ETF_Options_Exhibits'!U391:U395)),AVERAGE('20250815_ETF_Options_Exhibits'!U391:U395),"")</f>
        <v/>
      </c>
      <c r="V395" s="3">
        <f>IF(ISNUMBER(AVERAGE('20250815_ETF_Options_Exhibits'!V391:V395)),AVERAGE('20250815_ETF_Options_Exhibits'!V391:V395),"")</f>
        <v/>
      </c>
      <c r="W395" s="3">
        <f>IF(ISNUMBER(AVERAGE('20250815_ETF_Options_Exhibits'!W391:W395)),AVERAGE('20250815_ETF_Options_Exhibits'!W391:W395),"")</f>
        <v/>
      </c>
      <c r="X395" s="3">
        <f>IF(ISNUMBER(AVERAGE('20250815_ETF_Options_Exhibits'!X391:X395)),AVERAGE('20250815_ETF_Options_Exhibits'!X391:X395),"")</f>
        <v/>
      </c>
      <c r="Y395" s="3">
        <f>IF(ISNUMBER(AVERAGE('20250815_ETF_Options_Exhibits'!Y391:Y395)),AVERAGE('20250815_ETF_Options_Exhibits'!Y391:Y395),"")</f>
        <v/>
      </c>
      <c r="Z395" s="3">
        <f>IF(ISNUMBER(AVERAGE('20250815_ETF_Options_Exhibits'!Z391:Z395)),AVERAGE('20250815_ETF_Options_Exhibits'!Z391:Z395),"")</f>
        <v/>
      </c>
      <c r="AA395" s="3">
        <f>IF(ISNUMBER(AVERAGE('20250815_ETF_Options_Exhibits'!AA391:AA395)),AVERAGE('20250815_ETF_Options_Exhibits'!AA391:AA395),"")</f>
        <v/>
      </c>
    </row>
    <row r="396">
      <c r="A396" s="1" t="n">
        <v>42577</v>
      </c>
      <c r="B396" s="3">
        <f>IF(ISNUMBER(AVERAGE('20250815_ETF_Options_Exhibits'!B392:B396)),AVERAGE('20250815_ETF_Options_Exhibits'!B392:B396),"")</f>
        <v/>
      </c>
      <c r="C396" s="3">
        <f>IF(ISNUMBER(AVERAGE('20250815_ETF_Options_Exhibits'!C392:C396)),AVERAGE('20250815_ETF_Options_Exhibits'!C392:C396),"")</f>
        <v/>
      </c>
      <c r="D396" s="3">
        <f>IF(ISNUMBER(AVERAGE('20250815_ETF_Options_Exhibits'!D392:D396)),AVERAGE('20250815_ETF_Options_Exhibits'!D392:D396),"")</f>
        <v/>
      </c>
      <c r="E396" s="3">
        <f>IF(ISNUMBER(AVERAGE('20250815_ETF_Options_Exhibits'!E392:E396)),AVERAGE('20250815_ETF_Options_Exhibits'!E392:E396),"")</f>
        <v/>
      </c>
      <c r="F396" s="3">
        <f>IF(ISNUMBER(AVERAGE('20250815_ETF_Options_Exhibits'!F392:F396)),AVERAGE('20250815_ETF_Options_Exhibits'!F392:F396),"")</f>
        <v/>
      </c>
      <c r="G396" s="3">
        <f>IF(ISNUMBER(AVERAGE('20250815_ETF_Options_Exhibits'!G392:G396)),AVERAGE('20250815_ETF_Options_Exhibits'!G392:G396),"")</f>
        <v/>
      </c>
      <c r="H396" s="3">
        <f>IF(ISNUMBER(AVERAGE('20250815_ETF_Options_Exhibits'!H392:H396)),AVERAGE('20250815_ETF_Options_Exhibits'!H392:H396),"")</f>
        <v/>
      </c>
      <c r="I396" s="3">
        <f>IF(ISNUMBER(AVERAGE('20250815_ETF_Options_Exhibits'!I392:I396)),AVERAGE('20250815_ETF_Options_Exhibits'!I392:I396),"")</f>
        <v/>
      </c>
      <c r="J396" s="3">
        <f>IF(ISNUMBER(AVERAGE('20250815_ETF_Options_Exhibits'!J392:J396)),AVERAGE('20250815_ETF_Options_Exhibits'!J392:J396),"")</f>
        <v/>
      </c>
      <c r="K396" s="3">
        <f>IF(ISNUMBER(AVERAGE('20250815_ETF_Options_Exhibits'!K392:K396)),AVERAGE('20250815_ETF_Options_Exhibits'!K392:K396),"")</f>
        <v/>
      </c>
      <c r="L396" s="3">
        <f>IF(ISNUMBER(AVERAGE('20250815_ETF_Options_Exhibits'!L392:L396)),AVERAGE('20250815_ETF_Options_Exhibits'!L392:L396),"")</f>
        <v/>
      </c>
      <c r="M396" s="3">
        <f>IF(ISNUMBER(AVERAGE('20250815_ETF_Options_Exhibits'!M392:M396)),AVERAGE('20250815_ETF_Options_Exhibits'!M392:M396),"")</f>
        <v/>
      </c>
      <c r="N396" s="3">
        <f>IF(ISNUMBER(AVERAGE('20250815_ETF_Options_Exhibits'!N392:N396)),AVERAGE('20250815_ETF_Options_Exhibits'!N392:N396),"")</f>
        <v/>
      </c>
      <c r="O396" s="3">
        <f>IF(ISNUMBER(AVERAGE('20250815_ETF_Options_Exhibits'!O392:O396)),AVERAGE('20250815_ETF_Options_Exhibits'!O392:O396),"")</f>
        <v/>
      </c>
      <c r="P396" s="3">
        <f>IF(ISNUMBER(AVERAGE('20250815_ETF_Options_Exhibits'!P392:P396)),AVERAGE('20250815_ETF_Options_Exhibits'!P392:P396),"")</f>
        <v/>
      </c>
      <c r="Q396" s="3">
        <f>IF(ISNUMBER(AVERAGE('20250815_ETF_Options_Exhibits'!Q392:Q396)),AVERAGE('20250815_ETF_Options_Exhibits'!Q392:Q396),"")</f>
        <v/>
      </c>
      <c r="R396" s="3">
        <f>IF(ISNUMBER(AVERAGE('20250815_ETF_Options_Exhibits'!R392:R396)),AVERAGE('20250815_ETF_Options_Exhibits'!R392:R396),"")</f>
        <v/>
      </c>
      <c r="S396" s="3">
        <f>IF(ISNUMBER(AVERAGE('20250815_ETF_Options_Exhibits'!S392:S396)),AVERAGE('20250815_ETF_Options_Exhibits'!S392:S396),"")</f>
        <v/>
      </c>
      <c r="T396" s="3">
        <f>IF(ISNUMBER(AVERAGE('20250815_ETF_Options_Exhibits'!T392:T396)),AVERAGE('20250815_ETF_Options_Exhibits'!T392:T396),"")</f>
        <v/>
      </c>
      <c r="U396" s="3">
        <f>IF(ISNUMBER(AVERAGE('20250815_ETF_Options_Exhibits'!U392:U396)),AVERAGE('20250815_ETF_Options_Exhibits'!U392:U396),"")</f>
        <v/>
      </c>
      <c r="V396" s="3">
        <f>IF(ISNUMBER(AVERAGE('20250815_ETF_Options_Exhibits'!V392:V396)),AVERAGE('20250815_ETF_Options_Exhibits'!V392:V396),"")</f>
        <v/>
      </c>
      <c r="W396" s="3">
        <f>IF(ISNUMBER(AVERAGE('20250815_ETF_Options_Exhibits'!W392:W396)),AVERAGE('20250815_ETF_Options_Exhibits'!W392:W396),"")</f>
        <v/>
      </c>
      <c r="X396" s="3">
        <f>IF(ISNUMBER(AVERAGE('20250815_ETF_Options_Exhibits'!X392:X396)),AVERAGE('20250815_ETF_Options_Exhibits'!X392:X396),"")</f>
        <v/>
      </c>
      <c r="Y396" s="3">
        <f>IF(ISNUMBER(AVERAGE('20250815_ETF_Options_Exhibits'!Y392:Y396)),AVERAGE('20250815_ETF_Options_Exhibits'!Y392:Y396),"")</f>
        <v/>
      </c>
      <c r="Z396" s="3">
        <f>IF(ISNUMBER(AVERAGE('20250815_ETF_Options_Exhibits'!Z392:Z396)),AVERAGE('20250815_ETF_Options_Exhibits'!Z392:Z396),"")</f>
        <v/>
      </c>
      <c r="AA396" s="3">
        <f>IF(ISNUMBER(AVERAGE('20250815_ETF_Options_Exhibits'!AA392:AA396)),AVERAGE('20250815_ETF_Options_Exhibits'!AA392:AA396),"")</f>
        <v/>
      </c>
    </row>
    <row r="397">
      <c r="A397" s="1" t="n">
        <v>42578</v>
      </c>
      <c r="B397" s="3">
        <f>IF(ISNUMBER(AVERAGE('20250815_ETF_Options_Exhibits'!B393:B397)),AVERAGE('20250815_ETF_Options_Exhibits'!B393:B397),"")</f>
        <v/>
      </c>
      <c r="C397" s="3">
        <f>IF(ISNUMBER(AVERAGE('20250815_ETF_Options_Exhibits'!C393:C397)),AVERAGE('20250815_ETF_Options_Exhibits'!C393:C397),"")</f>
        <v/>
      </c>
      <c r="D397" s="3">
        <f>IF(ISNUMBER(AVERAGE('20250815_ETF_Options_Exhibits'!D393:D397)),AVERAGE('20250815_ETF_Options_Exhibits'!D393:D397),"")</f>
        <v/>
      </c>
      <c r="E397" s="3">
        <f>IF(ISNUMBER(AVERAGE('20250815_ETF_Options_Exhibits'!E393:E397)),AVERAGE('20250815_ETF_Options_Exhibits'!E393:E397),"")</f>
        <v/>
      </c>
      <c r="F397" s="3">
        <f>IF(ISNUMBER(AVERAGE('20250815_ETF_Options_Exhibits'!F393:F397)),AVERAGE('20250815_ETF_Options_Exhibits'!F393:F397),"")</f>
        <v/>
      </c>
      <c r="G397" s="3">
        <f>IF(ISNUMBER(AVERAGE('20250815_ETF_Options_Exhibits'!G393:G397)),AVERAGE('20250815_ETF_Options_Exhibits'!G393:G397),"")</f>
        <v/>
      </c>
      <c r="H397" s="3">
        <f>IF(ISNUMBER(AVERAGE('20250815_ETF_Options_Exhibits'!H393:H397)),AVERAGE('20250815_ETF_Options_Exhibits'!H393:H397),"")</f>
        <v/>
      </c>
      <c r="I397" s="3">
        <f>IF(ISNUMBER(AVERAGE('20250815_ETF_Options_Exhibits'!I393:I397)),AVERAGE('20250815_ETF_Options_Exhibits'!I393:I397),"")</f>
        <v/>
      </c>
      <c r="J397" s="3">
        <f>IF(ISNUMBER(AVERAGE('20250815_ETF_Options_Exhibits'!J393:J397)),AVERAGE('20250815_ETF_Options_Exhibits'!J393:J397),"")</f>
        <v/>
      </c>
      <c r="K397" s="3">
        <f>IF(ISNUMBER(AVERAGE('20250815_ETF_Options_Exhibits'!K393:K397)),AVERAGE('20250815_ETF_Options_Exhibits'!K393:K397),"")</f>
        <v/>
      </c>
      <c r="L397" s="3">
        <f>IF(ISNUMBER(AVERAGE('20250815_ETF_Options_Exhibits'!L393:L397)),AVERAGE('20250815_ETF_Options_Exhibits'!L393:L397),"")</f>
        <v/>
      </c>
      <c r="M397" s="3">
        <f>IF(ISNUMBER(AVERAGE('20250815_ETF_Options_Exhibits'!M393:M397)),AVERAGE('20250815_ETF_Options_Exhibits'!M393:M397),"")</f>
        <v/>
      </c>
      <c r="N397" s="3">
        <f>IF(ISNUMBER(AVERAGE('20250815_ETF_Options_Exhibits'!N393:N397)),AVERAGE('20250815_ETF_Options_Exhibits'!N393:N397),"")</f>
        <v/>
      </c>
      <c r="O397" s="3">
        <f>IF(ISNUMBER(AVERAGE('20250815_ETF_Options_Exhibits'!O393:O397)),AVERAGE('20250815_ETF_Options_Exhibits'!O393:O397),"")</f>
        <v/>
      </c>
      <c r="P397" s="3">
        <f>IF(ISNUMBER(AVERAGE('20250815_ETF_Options_Exhibits'!P393:P397)),AVERAGE('20250815_ETF_Options_Exhibits'!P393:P397),"")</f>
        <v/>
      </c>
      <c r="Q397" s="3">
        <f>IF(ISNUMBER(AVERAGE('20250815_ETF_Options_Exhibits'!Q393:Q397)),AVERAGE('20250815_ETF_Options_Exhibits'!Q393:Q397),"")</f>
        <v/>
      </c>
      <c r="R397" s="3">
        <f>IF(ISNUMBER(AVERAGE('20250815_ETF_Options_Exhibits'!R393:R397)),AVERAGE('20250815_ETF_Options_Exhibits'!R393:R397),"")</f>
        <v/>
      </c>
      <c r="S397" s="3">
        <f>IF(ISNUMBER(AVERAGE('20250815_ETF_Options_Exhibits'!S393:S397)),AVERAGE('20250815_ETF_Options_Exhibits'!S393:S397),"")</f>
        <v/>
      </c>
      <c r="T397" s="3">
        <f>IF(ISNUMBER(AVERAGE('20250815_ETF_Options_Exhibits'!T393:T397)),AVERAGE('20250815_ETF_Options_Exhibits'!T393:T397),"")</f>
        <v/>
      </c>
      <c r="U397" s="3">
        <f>IF(ISNUMBER(AVERAGE('20250815_ETF_Options_Exhibits'!U393:U397)),AVERAGE('20250815_ETF_Options_Exhibits'!U393:U397),"")</f>
        <v/>
      </c>
      <c r="V397" s="3">
        <f>IF(ISNUMBER(AVERAGE('20250815_ETF_Options_Exhibits'!V393:V397)),AVERAGE('20250815_ETF_Options_Exhibits'!V393:V397),"")</f>
        <v/>
      </c>
      <c r="W397" s="3">
        <f>IF(ISNUMBER(AVERAGE('20250815_ETF_Options_Exhibits'!W393:W397)),AVERAGE('20250815_ETF_Options_Exhibits'!W393:W397),"")</f>
        <v/>
      </c>
      <c r="X397" s="3">
        <f>IF(ISNUMBER(AVERAGE('20250815_ETF_Options_Exhibits'!X393:X397)),AVERAGE('20250815_ETF_Options_Exhibits'!X393:X397),"")</f>
        <v/>
      </c>
      <c r="Y397" s="3">
        <f>IF(ISNUMBER(AVERAGE('20250815_ETF_Options_Exhibits'!Y393:Y397)),AVERAGE('20250815_ETF_Options_Exhibits'!Y393:Y397),"")</f>
        <v/>
      </c>
      <c r="Z397" s="3">
        <f>IF(ISNUMBER(AVERAGE('20250815_ETF_Options_Exhibits'!Z393:Z397)),AVERAGE('20250815_ETF_Options_Exhibits'!Z393:Z397),"")</f>
        <v/>
      </c>
      <c r="AA397" s="3">
        <f>IF(ISNUMBER(AVERAGE('20250815_ETF_Options_Exhibits'!AA393:AA397)),AVERAGE('20250815_ETF_Options_Exhibits'!AA393:AA397),"")</f>
        <v/>
      </c>
    </row>
    <row r="398">
      <c r="A398" s="1" t="n">
        <v>42579</v>
      </c>
      <c r="B398" s="3">
        <f>IF(ISNUMBER(AVERAGE('20250815_ETF_Options_Exhibits'!B394:B398)),AVERAGE('20250815_ETF_Options_Exhibits'!B394:B398),"")</f>
        <v/>
      </c>
      <c r="C398" s="3">
        <f>IF(ISNUMBER(AVERAGE('20250815_ETF_Options_Exhibits'!C394:C398)),AVERAGE('20250815_ETF_Options_Exhibits'!C394:C398),"")</f>
        <v/>
      </c>
      <c r="D398" s="3">
        <f>IF(ISNUMBER(AVERAGE('20250815_ETF_Options_Exhibits'!D394:D398)),AVERAGE('20250815_ETF_Options_Exhibits'!D394:D398),"")</f>
        <v/>
      </c>
      <c r="E398" s="3">
        <f>IF(ISNUMBER(AVERAGE('20250815_ETF_Options_Exhibits'!E394:E398)),AVERAGE('20250815_ETF_Options_Exhibits'!E394:E398),"")</f>
        <v/>
      </c>
      <c r="F398" s="3">
        <f>IF(ISNUMBER(AVERAGE('20250815_ETF_Options_Exhibits'!F394:F398)),AVERAGE('20250815_ETF_Options_Exhibits'!F394:F398),"")</f>
        <v/>
      </c>
      <c r="G398" s="3">
        <f>IF(ISNUMBER(AVERAGE('20250815_ETF_Options_Exhibits'!G394:G398)),AVERAGE('20250815_ETF_Options_Exhibits'!G394:G398),"")</f>
        <v/>
      </c>
      <c r="H398" s="3">
        <f>IF(ISNUMBER(AVERAGE('20250815_ETF_Options_Exhibits'!H394:H398)),AVERAGE('20250815_ETF_Options_Exhibits'!H394:H398),"")</f>
        <v/>
      </c>
      <c r="I398" s="3">
        <f>IF(ISNUMBER(AVERAGE('20250815_ETF_Options_Exhibits'!I394:I398)),AVERAGE('20250815_ETF_Options_Exhibits'!I394:I398),"")</f>
        <v/>
      </c>
      <c r="J398" s="3">
        <f>IF(ISNUMBER(AVERAGE('20250815_ETF_Options_Exhibits'!J394:J398)),AVERAGE('20250815_ETF_Options_Exhibits'!J394:J398),"")</f>
        <v/>
      </c>
      <c r="K398" s="3">
        <f>IF(ISNUMBER(AVERAGE('20250815_ETF_Options_Exhibits'!K394:K398)),AVERAGE('20250815_ETF_Options_Exhibits'!K394:K398),"")</f>
        <v/>
      </c>
      <c r="L398" s="3">
        <f>IF(ISNUMBER(AVERAGE('20250815_ETF_Options_Exhibits'!L394:L398)),AVERAGE('20250815_ETF_Options_Exhibits'!L394:L398),"")</f>
        <v/>
      </c>
      <c r="M398" s="3">
        <f>IF(ISNUMBER(AVERAGE('20250815_ETF_Options_Exhibits'!M394:M398)),AVERAGE('20250815_ETF_Options_Exhibits'!M394:M398),"")</f>
        <v/>
      </c>
      <c r="N398" s="3">
        <f>IF(ISNUMBER(AVERAGE('20250815_ETF_Options_Exhibits'!N394:N398)),AVERAGE('20250815_ETF_Options_Exhibits'!N394:N398),"")</f>
        <v/>
      </c>
      <c r="O398" s="3">
        <f>IF(ISNUMBER(AVERAGE('20250815_ETF_Options_Exhibits'!O394:O398)),AVERAGE('20250815_ETF_Options_Exhibits'!O394:O398),"")</f>
        <v/>
      </c>
      <c r="P398" s="3">
        <f>IF(ISNUMBER(AVERAGE('20250815_ETF_Options_Exhibits'!P394:P398)),AVERAGE('20250815_ETF_Options_Exhibits'!P394:P398),"")</f>
        <v/>
      </c>
      <c r="Q398" s="3">
        <f>IF(ISNUMBER(AVERAGE('20250815_ETF_Options_Exhibits'!Q394:Q398)),AVERAGE('20250815_ETF_Options_Exhibits'!Q394:Q398),"")</f>
        <v/>
      </c>
      <c r="R398" s="3">
        <f>IF(ISNUMBER(AVERAGE('20250815_ETF_Options_Exhibits'!R394:R398)),AVERAGE('20250815_ETF_Options_Exhibits'!R394:R398),"")</f>
        <v/>
      </c>
      <c r="S398" s="3">
        <f>IF(ISNUMBER(AVERAGE('20250815_ETF_Options_Exhibits'!S394:S398)),AVERAGE('20250815_ETF_Options_Exhibits'!S394:S398),"")</f>
        <v/>
      </c>
      <c r="T398" s="3">
        <f>IF(ISNUMBER(AVERAGE('20250815_ETF_Options_Exhibits'!T394:T398)),AVERAGE('20250815_ETF_Options_Exhibits'!T394:T398),"")</f>
        <v/>
      </c>
      <c r="U398" s="3">
        <f>IF(ISNUMBER(AVERAGE('20250815_ETF_Options_Exhibits'!U394:U398)),AVERAGE('20250815_ETF_Options_Exhibits'!U394:U398),"")</f>
        <v/>
      </c>
      <c r="V398" s="3">
        <f>IF(ISNUMBER(AVERAGE('20250815_ETF_Options_Exhibits'!V394:V398)),AVERAGE('20250815_ETF_Options_Exhibits'!V394:V398),"")</f>
        <v/>
      </c>
      <c r="W398" s="3">
        <f>IF(ISNUMBER(AVERAGE('20250815_ETF_Options_Exhibits'!W394:W398)),AVERAGE('20250815_ETF_Options_Exhibits'!W394:W398),"")</f>
        <v/>
      </c>
      <c r="X398" s="3">
        <f>IF(ISNUMBER(AVERAGE('20250815_ETF_Options_Exhibits'!X394:X398)),AVERAGE('20250815_ETF_Options_Exhibits'!X394:X398),"")</f>
        <v/>
      </c>
      <c r="Y398" s="3">
        <f>IF(ISNUMBER(AVERAGE('20250815_ETF_Options_Exhibits'!Y394:Y398)),AVERAGE('20250815_ETF_Options_Exhibits'!Y394:Y398),"")</f>
        <v/>
      </c>
      <c r="Z398" s="3">
        <f>IF(ISNUMBER(AVERAGE('20250815_ETF_Options_Exhibits'!Z394:Z398)),AVERAGE('20250815_ETF_Options_Exhibits'!Z394:Z398),"")</f>
        <v/>
      </c>
      <c r="AA398" s="3">
        <f>IF(ISNUMBER(AVERAGE('20250815_ETF_Options_Exhibits'!AA394:AA398)),AVERAGE('20250815_ETF_Options_Exhibits'!AA394:AA398),"")</f>
        <v/>
      </c>
    </row>
    <row r="399">
      <c r="A399" s="1" t="n">
        <v>42580</v>
      </c>
      <c r="B399" s="3">
        <f>IF(ISNUMBER(AVERAGE('20250815_ETF_Options_Exhibits'!B395:B399)),AVERAGE('20250815_ETF_Options_Exhibits'!B395:B399),"")</f>
        <v/>
      </c>
      <c r="C399" s="3">
        <f>IF(ISNUMBER(AVERAGE('20250815_ETF_Options_Exhibits'!C395:C399)),AVERAGE('20250815_ETF_Options_Exhibits'!C395:C399),"")</f>
        <v/>
      </c>
      <c r="D399" s="3">
        <f>IF(ISNUMBER(AVERAGE('20250815_ETF_Options_Exhibits'!D395:D399)),AVERAGE('20250815_ETF_Options_Exhibits'!D395:D399),"")</f>
        <v/>
      </c>
      <c r="E399" s="3">
        <f>IF(ISNUMBER(AVERAGE('20250815_ETF_Options_Exhibits'!E395:E399)),AVERAGE('20250815_ETF_Options_Exhibits'!E395:E399),"")</f>
        <v/>
      </c>
      <c r="F399" s="3">
        <f>IF(ISNUMBER(AVERAGE('20250815_ETF_Options_Exhibits'!F395:F399)),AVERAGE('20250815_ETF_Options_Exhibits'!F395:F399),"")</f>
        <v/>
      </c>
      <c r="G399" s="3">
        <f>IF(ISNUMBER(AVERAGE('20250815_ETF_Options_Exhibits'!G395:G399)),AVERAGE('20250815_ETF_Options_Exhibits'!G395:G399),"")</f>
        <v/>
      </c>
      <c r="H399" s="3">
        <f>IF(ISNUMBER(AVERAGE('20250815_ETF_Options_Exhibits'!H395:H399)),AVERAGE('20250815_ETF_Options_Exhibits'!H395:H399),"")</f>
        <v/>
      </c>
      <c r="I399" s="3">
        <f>IF(ISNUMBER(AVERAGE('20250815_ETF_Options_Exhibits'!I395:I399)),AVERAGE('20250815_ETF_Options_Exhibits'!I395:I399),"")</f>
        <v/>
      </c>
      <c r="J399" s="3">
        <f>IF(ISNUMBER(AVERAGE('20250815_ETF_Options_Exhibits'!J395:J399)),AVERAGE('20250815_ETF_Options_Exhibits'!J395:J399),"")</f>
        <v/>
      </c>
      <c r="K399" s="3">
        <f>IF(ISNUMBER(AVERAGE('20250815_ETF_Options_Exhibits'!K395:K399)),AVERAGE('20250815_ETF_Options_Exhibits'!K395:K399),"")</f>
        <v/>
      </c>
      <c r="L399" s="3">
        <f>IF(ISNUMBER(AVERAGE('20250815_ETF_Options_Exhibits'!L395:L399)),AVERAGE('20250815_ETF_Options_Exhibits'!L395:L399),"")</f>
        <v/>
      </c>
      <c r="M399" s="3">
        <f>IF(ISNUMBER(AVERAGE('20250815_ETF_Options_Exhibits'!M395:M399)),AVERAGE('20250815_ETF_Options_Exhibits'!M395:M399),"")</f>
        <v/>
      </c>
      <c r="N399" s="3">
        <f>IF(ISNUMBER(AVERAGE('20250815_ETF_Options_Exhibits'!N395:N399)),AVERAGE('20250815_ETF_Options_Exhibits'!N395:N399),"")</f>
        <v/>
      </c>
      <c r="O399" s="3">
        <f>IF(ISNUMBER(AVERAGE('20250815_ETF_Options_Exhibits'!O395:O399)),AVERAGE('20250815_ETF_Options_Exhibits'!O395:O399),"")</f>
        <v/>
      </c>
      <c r="P399" s="3">
        <f>IF(ISNUMBER(AVERAGE('20250815_ETF_Options_Exhibits'!P395:P399)),AVERAGE('20250815_ETF_Options_Exhibits'!P395:P399),"")</f>
        <v/>
      </c>
      <c r="Q399" s="3">
        <f>IF(ISNUMBER(AVERAGE('20250815_ETF_Options_Exhibits'!Q395:Q399)),AVERAGE('20250815_ETF_Options_Exhibits'!Q395:Q399),"")</f>
        <v/>
      </c>
      <c r="R399" s="3">
        <f>IF(ISNUMBER(AVERAGE('20250815_ETF_Options_Exhibits'!R395:R399)),AVERAGE('20250815_ETF_Options_Exhibits'!R395:R399),"")</f>
        <v/>
      </c>
      <c r="S399" s="3">
        <f>IF(ISNUMBER(AVERAGE('20250815_ETF_Options_Exhibits'!S395:S399)),AVERAGE('20250815_ETF_Options_Exhibits'!S395:S399),"")</f>
        <v/>
      </c>
      <c r="T399" s="3">
        <f>IF(ISNUMBER(AVERAGE('20250815_ETF_Options_Exhibits'!T395:T399)),AVERAGE('20250815_ETF_Options_Exhibits'!T395:T399),"")</f>
        <v/>
      </c>
      <c r="U399" s="3">
        <f>IF(ISNUMBER(AVERAGE('20250815_ETF_Options_Exhibits'!U395:U399)),AVERAGE('20250815_ETF_Options_Exhibits'!U395:U399),"")</f>
        <v/>
      </c>
      <c r="V399" s="3">
        <f>IF(ISNUMBER(AVERAGE('20250815_ETF_Options_Exhibits'!V395:V399)),AVERAGE('20250815_ETF_Options_Exhibits'!V395:V399),"")</f>
        <v/>
      </c>
      <c r="W399" s="3">
        <f>IF(ISNUMBER(AVERAGE('20250815_ETF_Options_Exhibits'!W395:W399)),AVERAGE('20250815_ETF_Options_Exhibits'!W395:W399),"")</f>
        <v/>
      </c>
      <c r="X399" s="3">
        <f>IF(ISNUMBER(AVERAGE('20250815_ETF_Options_Exhibits'!X395:X399)),AVERAGE('20250815_ETF_Options_Exhibits'!X395:X399),"")</f>
        <v/>
      </c>
      <c r="Y399" s="3">
        <f>IF(ISNUMBER(AVERAGE('20250815_ETF_Options_Exhibits'!Y395:Y399)),AVERAGE('20250815_ETF_Options_Exhibits'!Y395:Y399),"")</f>
        <v/>
      </c>
      <c r="Z399" s="3">
        <f>IF(ISNUMBER(AVERAGE('20250815_ETF_Options_Exhibits'!Z395:Z399)),AVERAGE('20250815_ETF_Options_Exhibits'!Z395:Z399),"")</f>
        <v/>
      </c>
      <c r="AA399" s="3">
        <f>IF(ISNUMBER(AVERAGE('20250815_ETF_Options_Exhibits'!AA395:AA399)),AVERAGE('20250815_ETF_Options_Exhibits'!AA395:AA399),"")</f>
        <v/>
      </c>
    </row>
    <row r="400">
      <c r="A400" s="1" t="n">
        <v>42583</v>
      </c>
      <c r="B400" s="3">
        <f>IF(ISNUMBER(AVERAGE('20250815_ETF_Options_Exhibits'!B396:B400)),AVERAGE('20250815_ETF_Options_Exhibits'!B396:B400),"")</f>
        <v/>
      </c>
      <c r="C400" s="3">
        <f>IF(ISNUMBER(AVERAGE('20250815_ETF_Options_Exhibits'!C396:C400)),AVERAGE('20250815_ETF_Options_Exhibits'!C396:C400),"")</f>
        <v/>
      </c>
      <c r="D400" s="3">
        <f>IF(ISNUMBER(AVERAGE('20250815_ETF_Options_Exhibits'!D396:D400)),AVERAGE('20250815_ETF_Options_Exhibits'!D396:D400),"")</f>
        <v/>
      </c>
      <c r="E400" s="3">
        <f>IF(ISNUMBER(AVERAGE('20250815_ETF_Options_Exhibits'!E396:E400)),AVERAGE('20250815_ETF_Options_Exhibits'!E396:E400),"")</f>
        <v/>
      </c>
      <c r="F400" s="3">
        <f>IF(ISNUMBER(AVERAGE('20250815_ETF_Options_Exhibits'!F396:F400)),AVERAGE('20250815_ETF_Options_Exhibits'!F396:F400),"")</f>
        <v/>
      </c>
      <c r="G400" s="3">
        <f>IF(ISNUMBER(AVERAGE('20250815_ETF_Options_Exhibits'!G396:G400)),AVERAGE('20250815_ETF_Options_Exhibits'!G396:G400),"")</f>
        <v/>
      </c>
      <c r="H400" s="3">
        <f>IF(ISNUMBER(AVERAGE('20250815_ETF_Options_Exhibits'!H396:H400)),AVERAGE('20250815_ETF_Options_Exhibits'!H396:H400),"")</f>
        <v/>
      </c>
      <c r="I400" s="3">
        <f>IF(ISNUMBER(AVERAGE('20250815_ETF_Options_Exhibits'!I396:I400)),AVERAGE('20250815_ETF_Options_Exhibits'!I396:I400),"")</f>
        <v/>
      </c>
      <c r="J400" s="3">
        <f>IF(ISNUMBER(AVERAGE('20250815_ETF_Options_Exhibits'!J396:J400)),AVERAGE('20250815_ETF_Options_Exhibits'!J396:J400),"")</f>
        <v/>
      </c>
      <c r="K400" s="3">
        <f>IF(ISNUMBER(AVERAGE('20250815_ETF_Options_Exhibits'!K396:K400)),AVERAGE('20250815_ETF_Options_Exhibits'!K396:K400),"")</f>
        <v/>
      </c>
      <c r="L400" s="3">
        <f>IF(ISNUMBER(AVERAGE('20250815_ETF_Options_Exhibits'!L396:L400)),AVERAGE('20250815_ETF_Options_Exhibits'!L396:L400),"")</f>
        <v/>
      </c>
      <c r="M400" s="3">
        <f>IF(ISNUMBER(AVERAGE('20250815_ETF_Options_Exhibits'!M396:M400)),AVERAGE('20250815_ETF_Options_Exhibits'!M396:M400),"")</f>
        <v/>
      </c>
      <c r="N400" s="3">
        <f>IF(ISNUMBER(AVERAGE('20250815_ETF_Options_Exhibits'!N396:N400)),AVERAGE('20250815_ETF_Options_Exhibits'!N396:N400),"")</f>
        <v/>
      </c>
      <c r="O400" s="3">
        <f>IF(ISNUMBER(AVERAGE('20250815_ETF_Options_Exhibits'!O396:O400)),AVERAGE('20250815_ETF_Options_Exhibits'!O396:O400),"")</f>
        <v/>
      </c>
      <c r="P400" s="3">
        <f>IF(ISNUMBER(AVERAGE('20250815_ETF_Options_Exhibits'!P396:P400)),AVERAGE('20250815_ETF_Options_Exhibits'!P396:P400),"")</f>
        <v/>
      </c>
      <c r="Q400" s="3">
        <f>IF(ISNUMBER(AVERAGE('20250815_ETF_Options_Exhibits'!Q396:Q400)),AVERAGE('20250815_ETF_Options_Exhibits'!Q396:Q400),"")</f>
        <v/>
      </c>
      <c r="R400" s="3">
        <f>IF(ISNUMBER(AVERAGE('20250815_ETF_Options_Exhibits'!R396:R400)),AVERAGE('20250815_ETF_Options_Exhibits'!R396:R400),"")</f>
        <v/>
      </c>
      <c r="S400" s="3">
        <f>IF(ISNUMBER(AVERAGE('20250815_ETF_Options_Exhibits'!S396:S400)),AVERAGE('20250815_ETF_Options_Exhibits'!S396:S400),"")</f>
        <v/>
      </c>
      <c r="T400" s="3">
        <f>IF(ISNUMBER(AVERAGE('20250815_ETF_Options_Exhibits'!T396:T400)),AVERAGE('20250815_ETF_Options_Exhibits'!T396:T400),"")</f>
        <v/>
      </c>
      <c r="U400" s="3">
        <f>IF(ISNUMBER(AVERAGE('20250815_ETF_Options_Exhibits'!U396:U400)),AVERAGE('20250815_ETF_Options_Exhibits'!U396:U400),"")</f>
        <v/>
      </c>
      <c r="V400" s="3">
        <f>IF(ISNUMBER(AVERAGE('20250815_ETF_Options_Exhibits'!V396:V400)),AVERAGE('20250815_ETF_Options_Exhibits'!V396:V400),"")</f>
        <v/>
      </c>
      <c r="W400" s="3">
        <f>IF(ISNUMBER(AVERAGE('20250815_ETF_Options_Exhibits'!W396:W400)),AVERAGE('20250815_ETF_Options_Exhibits'!W396:W400),"")</f>
        <v/>
      </c>
      <c r="X400" s="3">
        <f>IF(ISNUMBER(AVERAGE('20250815_ETF_Options_Exhibits'!X396:X400)),AVERAGE('20250815_ETF_Options_Exhibits'!X396:X400),"")</f>
        <v/>
      </c>
      <c r="Y400" s="3">
        <f>IF(ISNUMBER(AVERAGE('20250815_ETF_Options_Exhibits'!Y396:Y400)),AVERAGE('20250815_ETF_Options_Exhibits'!Y396:Y400),"")</f>
        <v/>
      </c>
      <c r="Z400" s="3">
        <f>IF(ISNUMBER(AVERAGE('20250815_ETF_Options_Exhibits'!Z396:Z400)),AVERAGE('20250815_ETF_Options_Exhibits'!Z396:Z400),"")</f>
        <v/>
      </c>
      <c r="AA400" s="3">
        <f>IF(ISNUMBER(AVERAGE('20250815_ETF_Options_Exhibits'!AA396:AA400)),AVERAGE('20250815_ETF_Options_Exhibits'!AA396:AA400),"")</f>
        <v/>
      </c>
    </row>
    <row r="401">
      <c r="A401" s="1" t="n">
        <v>42584</v>
      </c>
      <c r="B401" s="3">
        <f>IF(ISNUMBER(AVERAGE('20250815_ETF_Options_Exhibits'!B397:B401)),AVERAGE('20250815_ETF_Options_Exhibits'!B397:B401),"")</f>
        <v/>
      </c>
      <c r="C401" s="3">
        <f>IF(ISNUMBER(AVERAGE('20250815_ETF_Options_Exhibits'!C397:C401)),AVERAGE('20250815_ETF_Options_Exhibits'!C397:C401),"")</f>
        <v/>
      </c>
      <c r="D401" s="3">
        <f>IF(ISNUMBER(AVERAGE('20250815_ETF_Options_Exhibits'!D397:D401)),AVERAGE('20250815_ETF_Options_Exhibits'!D397:D401),"")</f>
        <v/>
      </c>
      <c r="E401" s="3">
        <f>IF(ISNUMBER(AVERAGE('20250815_ETF_Options_Exhibits'!E397:E401)),AVERAGE('20250815_ETF_Options_Exhibits'!E397:E401),"")</f>
        <v/>
      </c>
      <c r="F401" s="3">
        <f>IF(ISNUMBER(AVERAGE('20250815_ETF_Options_Exhibits'!F397:F401)),AVERAGE('20250815_ETF_Options_Exhibits'!F397:F401),"")</f>
        <v/>
      </c>
      <c r="G401" s="3">
        <f>IF(ISNUMBER(AVERAGE('20250815_ETF_Options_Exhibits'!G397:G401)),AVERAGE('20250815_ETF_Options_Exhibits'!G397:G401),"")</f>
        <v/>
      </c>
      <c r="H401" s="3">
        <f>IF(ISNUMBER(AVERAGE('20250815_ETF_Options_Exhibits'!H397:H401)),AVERAGE('20250815_ETF_Options_Exhibits'!H397:H401),"")</f>
        <v/>
      </c>
      <c r="I401" s="3">
        <f>IF(ISNUMBER(AVERAGE('20250815_ETF_Options_Exhibits'!I397:I401)),AVERAGE('20250815_ETF_Options_Exhibits'!I397:I401),"")</f>
        <v/>
      </c>
      <c r="J401" s="3">
        <f>IF(ISNUMBER(AVERAGE('20250815_ETF_Options_Exhibits'!J397:J401)),AVERAGE('20250815_ETF_Options_Exhibits'!J397:J401),"")</f>
        <v/>
      </c>
      <c r="K401" s="3">
        <f>IF(ISNUMBER(AVERAGE('20250815_ETF_Options_Exhibits'!K397:K401)),AVERAGE('20250815_ETF_Options_Exhibits'!K397:K401),"")</f>
        <v/>
      </c>
      <c r="L401" s="3">
        <f>IF(ISNUMBER(AVERAGE('20250815_ETF_Options_Exhibits'!L397:L401)),AVERAGE('20250815_ETF_Options_Exhibits'!L397:L401),"")</f>
        <v/>
      </c>
      <c r="M401" s="3">
        <f>IF(ISNUMBER(AVERAGE('20250815_ETF_Options_Exhibits'!M397:M401)),AVERAGE('20250815_ETF_Options_Exhibits'!M397:M401),"")</f>
        <v/>
      </c>
      <c r="N401" s="3">
        <f>IF(ISNUMBER(AVERAGE('20250815_ETF_Options_Exhibits'!N397:N401)),AVERAGE('20250815_ETF_Options_Exhibits'!N397:N401),"")</f>
        <v/>
      </c>
      <c r="O401" s="3">
        <f>IF(ISNUMBER(AVERAGE('20250815_ETF_Options_Exhibits'!O397:O401)),AVERAGE('20250815_ETF_Options_Exhibits'!O397:O401),"")</f>
        <v/>
      </c>
      <c r="P401" s="3">
        <f>IF(ISNUMBER(AVERAGE('20250815_ETF_Options_Exhibits'!P397:P401)),AVERAGE('20250815_ETF_Options_Exhibits'!P397:P401),"")</f>
        <v/>
      </c>
      <c r="Q401" s="3">
        <f>IF(ISNUMBER(AVERAGE('20250815_ETF_Options_Exhibits'!Q397:Q401)),AVERAGE('20250815_ETF_Options_Exhibits'!Q397:Q401),"")</f>
        <v/>
      </c>
      <c r="R401" s="3">
        <f>IF(ISNUMBER(AVERAGE('20250815_ETF_Options_Exhibits'!R397:R401)),AVERAGE('20250815_ETF_Options_Exhibits'!R397:R401),"")</f>
        <v/>
      </c>
      <c r="S401" s="3">
        <f>IF(ISNUMBER(AVERAGE('20250815_ETF_Options_Exhibits'!S397:S401)),AVERAGE('20250815_ETF_Options_Exhibits'!S397:S401),"")</f>
        <v/>
      </c>
      <c r="T401" s="3">
        <f>IF(ISNUMBER(AVERAGE('20250815_ETF_Options_Exhibits'!T397:T401)),AVERAGE('20250815_ETF_Options_Exhibits'!T397:T401),"")</f>
        <v/>
      </c>
      <c r="U401" s="3">
        <f>IF(ISNUMBER(AVERAGE('20250815_ETF_Options_Exhibits'!U397:U401)),AVERAGE('20250815_ETF_Options_Exhibits'!U397:U401),"")</f>
        <v/>
      </c>
      <c r="V401" s="3">
        <f>IF(ISNUMBER(AVERAGE('20250815_ETF_Options_Exhibits'!V397:V401)),AVERAGE('20250815_ETF_Options_Exhibits'!V397:V401),"")</f>
        <v/>
      </c>
      <c r="W401" s="3">
        <f>IF(ISNUMBER(AVERAGE('20250815_ETF_Options_Exhibits'!W397:W401)),AVERAGE('20250815_ETF_Options_Exhibits'!W397:W401),"")</f>
        <v/>
      </c>
      <c r="X401" s="3">
        <f>IF(ISNUMBER(AVERAGE('20250815_ETF_Options_Exhibits'!X397:X401)),AVERAGE('20250815_ETF_Options_Exhibits'!X397:X401),"")</f>
        <v/>
      </c>
      <c r="Y401" s="3">
        <f>IF(ISNUMBER(AVERAGE('20250815_ETF_Options_Exhibits'!Y397:Y401)),AVERAGE('20250815_ETF_Options_Exhibits'!Y397:Y401),"")</f>
        <v/>
      </c>
      <c r="Z401" s="3">
        <f>IF(ISNUMBER(AVERAGE('20250815_ETF_Options_Exhibits'!Z397:Z401)),AVERAGE('20250815_ETF_Options_Exhibits'!Z397:Z401),"")</f>
        <v/>
      </c>
      <c r="AA401" s="3">
        <f>IF(ISNUMBER(AVERAGE('20250815_ETF_Options_Exhibits'!AA397:AA401)),AVERAGE('20250815_ETF_Options_Exhibits'!AA397:AA401),"")</f>
        <v/>
      </c>
    </row>
    <row r="402">
      <c r="A402" s="1" t="n">
        <v>42585</v>
      </c>
      <c r="B402" s="3">
        <f>IF(ISNUMBER(AVERAGE('20250815_ETF_Options_Exhibits'!B398:B402)),AVERAGE('20250815_ETF_Options_Exhibits'!B398:B402),"")</f>
        <v/>
      </c>
      <c r="C402" s="3">
        <f>IF(ISNUMBER(AVERAGE('20250815_ETF_Options_Exhibits'!C398:C402)),AVERAGE('20250815_ETF_Options_Exhibits'!C398:C402),"")</f>
        <v/>
      </c>
      <c r="D402" s="3">
        <f>IF(ISNUMBER(AVERAGE('20250815_ETF_Options_Exhibits'!D398:D402)),AVERAGE('20250815_ETF_Options_Exhibits'!D398:D402),"")</f>
        <v/>
      </c>
      <c r="E402" s="3">
        <f>IF(ISNUMBER(AVERAGE('20250815_ETF_Options_Exhibits'!E398:E402)),AVERAGE('20250815_ETF_Options_Exhibits'!E398:E402),"")</f>
        <v/>
      </c>
      <c r="F402" s="3">
        <f>IF(ISNUMBER(AVERAGE('20250815_ETF_Options_Exhibits'!F398:F402)),AVERAGE('20250815_ETF_Options_Exhibits'!F398:F402),"")</f>
        <v/>
      </c>
      <c r="G402" s="3">
        <f>IF(ISNUMBER(AVERAGE('20250815_ETF_Options_Exhibits'!G398:G402)),AVERAGE('20250815_ETF_Options_Exhibits'!G398:G402),"")</f>
        <v/>
      </c>
      <c r="H402" s="3">
        <f>IF(ISNUMBER(AVERAGE('20250815_ETF_Options_Exhibits'!H398:H402)),AVERAGE('20250815_ETF_Options_Exhibits'!H398:H402),"")</f>
        <v/>
      </c>
      <c r="I402" s="3">
        <f>IF(ISNUMBER(AVERAGE('20250815_ETF_Options_Exhibits'!I398:I402)),AVERAGE('20250815_ETF_Options_Exhibits'!I398:I402),"")</f>
        <v/>
      </c>
      <c r="J402" s="3">
        <f>IF(ISNUMBER(AVERAGE('20250815_ETF_Options_Exhibits'!J398:J402)),AVERAGE('20250815_ETF_Options_Exhibits'!J398:J402),"")</f>
        <v/>
      </c>
      <c r="K402" s="3">
        <f>IF(ISNUMBER(AVERAGE('20250815_ETF_Options_Exhibits'!K398:K402)),AVERAGE('20250815_ETF_Options_Exhibits'!K398:K402),"")</f>
        <v/>
      </c>
      <c r="L402" s="3">
        <f>IF(ISNUMBER(AVERAGE('20250815_ETF_Options_Exhibits'!L398:L402)),AVERAGE('20250815_ETF_Options_Exhibits'!L398:L402),"")</f>
        <v/>
      </c>
      <c r="M402" s="3">
        <f>IF(ISNUMBER(AVERAGE('20250815_ETF_Options_Exhibits'!M398:M402)),AVERAGE('20250815_ETF_Options_Exhibits'!M398:M402),"")</f>
        <v/>
      </c>
      <c r="N402" s="3">
        <f>IF(ISNUMBER(AVERAGE('20250815_ETF_Options_Exhibits'!N398:N402)),AVERAGE('20250815_ETF_Options_Exhibits'!N398:N402),"")</f>
        <v/>
      </c>
      <c r="O402" s="3">
        <f>IF(ISNUMBER(AVERAGE('20250815_ETF_Options_Exhibits'!O398:O402)),AVERAGE('20250815_ETF_Options_Exhibits'!O398:O402),"")</f>
        <v/>
      </c>
      <c r="P402" s="3">
        <f>IF(ISNUMBER(AVERAGE('20250815_ETF_Options_Exhibits'!P398:P402)),AVERAGE('20250815_ETF_Options_Exhibits'!P398:P402),"")</f>
        <v/>
      </c>
      <c r="Q402" s="3">
        <f>IF(ISNUMBER(AVERAGE('20250815_ETF_Options_Exhibits'!Q398:Q402)),AVERAGE('20250815_ETF_Options_Exhibits'!Q398:Q402),"")</f>
        <v/>
      </c>
      <c r="R402" s="3">
        <f>IF(ISNUMBER(AVERAGE('20250815_ETF_Options_Exhibits'!R398:R402)),AVERAGE('20250815_ETF_Options_Exhibits'!R398:R402),"")</f>
        <v/>
      </c>
      <c r="S402" s="3">
        <f>IF(ISNUMBER(AVERAGE('20250815_ETF_Options_Exhibits'!S398:S402)),AVERAGE('20250815_ETF_Options_Exhibits'!S398:S402),"")</f>
        <v/>
      </c>
      <c r="T402" s="3">
        <f>IF(ISNUMBER(AVERAGE('20250815_ETF_Options_Exhibits'!T398:T402)),AVERAGE('20250815_ETF_Options_Exhibits'!T398:T402),"")</f>
        <v/>
      </c>
      <c r="U402" s="3">
        <f>IF(ISNUMBER(AVERAGE('20250815_ETF_Options_Exhibits'!U398:U402)),AVERAGE('20250815_ETF_Options_Exhibits'!U398:U402),"")</f>
        <v/>
      </c>
      <c r="V402" s="3">
        <f>IF(ISNUMBER(AVERAGE('20250815_ETF_Options_Exhibits'!V398:V402)),AVERAGE('20250815_ETF_Options_Exhibits'!V398:V402),"")</f>
        <v/>
      </c>
      <c r="W402" s="3">
        <f>IF(ISNUMBER(AVERAGE('20250815_ETF_Options_Exhibits'!W398:W402)),AVERAGE('20250815_ETF_Options_Exhibits'!W398:W402),"")</f>
        <v/>
      </c>
      <c r="X402" s="3">
        <f>IF(ISNUMBER(AVERAGE('20250815_ETF_Options_Exhibits'!X398:X402)),AVERAGE('20250815_ETF_Options_Exhibits'!X398:X402),"")</f>
        <v/>
      </c>
      <c r="Y402" s="3">
        <f>IF(ISNUMBER(AVERAGE('20250815_ETF_Options_Exhibits'!Y398:Y402)),AVERAGE('20250815_ETF_Options_Exhibits'!Y398:Y402),"")</f>
        <v/>
      </c>
      <c r="Z402" s="3">
        <f>IF(ISNUMBER(AVERAGE('20250815_ETF_Options_Exhibits'!Z398:Z402)),AVERAGE('20250815_ETF_Options_Exhibits'!Z398:Z402),"")</f>
        <v/>
      </c>
      <c r="AA402" s="3">
        <f>IF(ISNUMBER(AVERAGE('20250815_ETF_Options_Exhibits'!AA398:AA402)),AVERAGE('20250815_ETF_Options_Exhibits'!AA398:AA402),"")</f>
        <v/>
      </c>
    </row>
    <row r="403">
      <c r="A403" s="1" t="n">
        <v>42586</v>
      </c>
      <c r="B403" s="3">
        <f>IF(ISNUMBER(AVERAGE('20250815_ETF_Options_Exhibits'!B399:B403)),AVERAGE('20250815_ETF_Options_Exhibits'!B399:B403),"")</f>
        <v/>
      </c>
      <c r="C403" s="3">
        <f>IF(ISNUMBER(AVERAGE('20250815_ETF_Options_Exhibits'!C399:C403)),AVERAGE('20250815_ETF_Options_Exhibits'!C399:C403),"")</f>
        <v/>
      </c>
      <c r="D403" s="3">
        <f>IF(ISNUMBER(AVERAGE('20250815_ETF_Options_Exhibits'!D399:D403)),AVERAGE('20250815_ETF_Options_Exhibits'!D399:D403),"")</f>
        <v/>
      </c>
      <c r="E403" s="3">
        <f>IF(ISNUMBER(AVERAGE('20250815_ETF_Options_Exhibits'!E399:E403)),AVERAGE('20250815_ETF_Options_Exhibits'!E399:E403),"")</f>
        <v/>
      </c>
      <c r="F403" s="3">
        <f>IF(ISNUMBER(AVERAGE('20250815_ETF_Options_Exhibits'!F399:F403)),AVERAGE('20250815_ETF_Options_Exhibits'!F399:F403),"")</f>
        <v/>
      </c>
      <c r="G403" s="3">
        <f>IF(ISNUMBER(AVERAGE('20250815_ETF_Options_Exhibits'!G399:G403)),AVERAGE('20250815_ETF_Options_Exhibits'!G399:G403),"")</f>
        <v/>
      </c>
      <c r="H403" s="3">
        <f>IF(ISNUMBER(AVERAGE('20250815_ETF_Options_Exhibits'!H399:H403)),AVERAGE('20250815_ETF_Options_Exhibits'!H399:H403),"")</f>
        <v/>
      </c>
      <c r="I403" s="3">
        <f>IF(ISNUMBER(AVERAGE('20250815_ETF_Options_Exhibits'!I399:I403)),AVERAGE('20250815_ETF_Options_Exhibits'!I399:I403),"")</f>
        <v/>
      </c>
      <c r="J403" s="3">
        <f>IF(ISNUMBER(AVERAGE('20250815_ETF_Options_Exhibits'!J399:J403)),AVERAGE('20250815_ETF_Options_Exhibits'!J399:J403),"")</f>
        <v/>
      </c>
      <c r="K403" s="3">
        <f>IF(ISNUMBER(AVERAGE('20250815_ETF_Options_Exhibits'!K399:K403)),AVERAGE('20250815_ETF_Options_Exhibits'!K399:K403),"")</f>
        <v/>
      </c>
      <c r="L403" s="3">
        <f>IF(ISNUMBER(AVERAGE('20250815_ETF_Options_Exhibits'!L399:L403)),AVERAGE('20250815_ETF_Options_Exhibits'!L399:L403),"")</f>
        <v/>
      </c>
      <c r="M403" s="3">
        <f>IF(ISNUMBER(AVERAGE('20250815_ETF_Options_Exhibits'!M399:M403)),AVERAGE('20250815_ETF_Options_Exhibits'!M399:M403),"")</f>
        <v/>
      </c>
      <c r="N403" s="3">
        <f>IF(ISNUMBER(AVERAGE('20250815_ETF_Options_Exhibits'!N399:N403)),AVERAGE('20250815_ETF_Options_Exhibits'!N399:N403),"")</f>
        <v/>
      </c>
      <c r="O403" s="3">
        <f>IF(ISNUMBER(AVERAGE('20250815_ETF_Options_Exhibits'!O399:O403)),AVERAGE('20250815_ETF_Options_Exhibits'!O399:O403),"")</f>
        <v/>
      </c>
      <c r="P403" s="3">
        <f>IF(ISNUMBER(AVERAGE('20250815_ETF_Options_Exhibits'!P399:P403)),AVERAGE('20250815_ETF_Options_Exhibits'!P399:P403),"")</f>
        <v/>
      </c>
      <c r="Q403" s="3">
        <f>IF(ISNUMBER(AVERAGE('20250815_ETF_Options_Exhibits'!Q399:Q403)),AVERAGE('20250815_ETF_Options_Exhibits'!Q399:Q403),"")</f>
        <v/>
      </c>
      <c r="R403" s="3">
        <f>IF(ISNUMBER(AVERAGE('20250815_ETF_Options_Exhibits'!R399:R403)),AVERAGE('20250815_ETF_Options_Exhibits'!R399:R403),"")</f>
        <v/>
      </c>
      <c r="S403" s="3">
        <f>IF(ISNUMBER(AVERAGE('20250815_ETF_Options_Exhibits'!S399:S403)),AVERAGE('20250815_ETF_Options_Exhibits'!S399:S403),"")</f>
        <v/>
      </c>
      <c r="T403" s="3">
        <f>IF(ISNUMBER(AVERAGE('20250815_ETF_Options_Exhibits'!T399:T403)),AVERAGE('20250815_ETF_Options_Exhibits'!T399:T403),"")</f>
        <v/>
      </c>
      <c r="U403" s="3">
        <f>IF(ISNUMBER(AVERAGE('20250815_ETF_Options_Exhibits'!U399:U403)),AVERAGE('20250815_ETF_Options_Exhibits'!U399:U403),"")</f>
        <v/>
      </c>
      <c r="V403" s="3">
        <f>IF(ISNUMBER(AVERAGE('20250815_ETF_Options_Exhibits'!V399:V403)),AVERAGE('20250815_ETF_Options_Exhibits'!V399:V403),"")</f>
        <v/>
      </c>
      <c r="W403" s="3">
        <f>IF(ISNUMBER(AVERAGE('20250815_ETF_Options_Exhibits'!W399:W403)),AVERAGE('20250815_ETF_Options_Exhibits'!W399:W403),"")</f>
        <v/>
      </c>
      <c r="X403" s="3">
        <f>IF(ISNUMBER(AVERAGE('20250815_ETF_Options_Exhibits'!X399:X403)),AVERAGE('20250815_ETF_Options_Exhibits'!X399:X403),"")</f>
        <v/>
      </c>
      <c r="Y403" s="3">
        <f>IF(ISNUMBER(AVERAGE('20250815_ETF_Options_Exhibits'!Y399:Y403)),AVERAGE('20250815_ETF_Options_Exhibits'!Y399:Y403),"")</f>
        <v/>
      </c>
      <c r="Z403" s="3">
        <f>IF(ISNUMBER(AVERAGE('20250815_ETF_Options_Exhibits'!Z399:Z403)),AVERAGE('20250815_ETF_Options_Exhibits'!Z399:Z403),"")</f>
        <v/>
      </c>
      <c r="AA403" s="3">
        <f>IF(ISNUMBER(AVERAGE('20250815_ETF_Options_Exhibits'!AA399:AA403)),AVERAGE('20250815_ETF_Options_Exhibits'!AA399:AA403),"")</f>
        <v/>
      </c>
    </row>
    <row r="404">
      <c r="A404" s="1" t="n">
        <v>42587</v>
      </c>
      <c r="B404" s="3">
        <f>IF(ISNUMBER(AVERAGE('20250815_ETF_Options_Exhibits'!B400:B404)),AVERAGE('20250815_ETF_Options_Exhibits'!B400:B404),"")</f>
        <v/>
      </c>
      <c r="C404" s="3">
        <f>IF(ISNUMBER(AVERAGE('20250815_ETF_Options_Exhibits'!C400:C404)),AVERAGE('20250815_ETF_Options_Exhibits'!C400:C404),"")</f>
        <v/>
      </c>
      <c r="D404" s="3">
        <f>IF(ISNUMBER(AVERAGE('20250815_ETF_Options_Exhibits'!D400:D404)),AVERAGE('20250815_ETF_Options_Exhibits'!D400:D404),"")</f>
        <v/>
      </c>
      <c r="E404" s="3">
        <f>IF(ISNUMBER(AVERAGE('20250815_ETF_Options_Exhibits'!E400:E404)),AVERAGE('20250815_ETF_Options_Exhibits'!E400:E404),"")</f>
        <v/>
      </c>
      <c r="F404" s="3">
        <f>IF(ISNUMBER(AVERAGE('20250815_ETF_Options_Exhibits'!F400:F404)),AVERAGE('20250815_ETF_Options_Exhibits'!F400:F404),"")</f>
        <v/>
      </c>
      <c r="G404" s="3">
        <f>IF(ISNUMBER(AVERAGE('20250815_ETF_Options_Exhibits'!G400:G404)),AVERAGE('20250815_ETF_Options_Exhibits'!G400:G404),"")</f>
        <v/>
      </c>
      <c r="H404" s="3">
        <f>IF(ISNUMBER(AVERAGE('20250815_ETF_Options_Exhibits'!H400:H404)),AVERAGE('20250815_ETF_Options_Exhibits'!H400:H404),"")</f>
        <v/>
      </c>
      <c r="I404" s="3">
        <f>IF(ISNUMBER(AVERAGE('20250815_ETF_Options_Exhibits'!I400:I404)),AVERAGE('20250815_ETF_Options_Exhibits'!I400:I404),"")</f>
        <v/>
      </c>
      <c r="J404" s="3">
        <f>IF(ISNUMBER(AVERAGE('20250815_ETF_Options_Exhibits'!J400:J404)),AVERAGE('20250815_ETF_Options_Exhibits'!J400:J404),"")</f>
        <v/>
      </c>
      <c r="K404" s="3">
        <f>IF(ISNUMBER(AVERAGE('20250815_ETF_Options_Exhibits'!K400:K404)),AVERAGE('20250815_ETF_Options_Exhibits'!K400:K404),"")</f>
        <v/>
      </c>
      <c r="L404" s="3">
        <f>IF(ISNUMBER(AVERAGE('20250815_ETF_Options_Exhibits'!L400:L404)),AVERAGE('20250815_ETF_Options_Exhibits'!L400:L404),"")</f>
        <v/>
      </c>
      <c r="M404" s="3">
        <f>IF(ISNUMBER(AVERAGE('20250815_ETF_Options_Exhibits'!M400:M404)),AVERAGE('20250815_ETF_Options_Exhibits'!M400:M404),"")</f>
        <v/>
      </c>
      <c r="N404" s="3">
        <f>IF(ISNUMBER(AVERAGE('20250815_ETF_Options_Exhibits'!N400:N404)),AVERAGE('20250815_ETF_Options_Exhibits'!N400:N404),"")</f>
        <v/>
      </c>
      <c r="O404" s="3">
        <f>IF(ISNUMBER(AVERAGE('20250815_ETF_Options_Exhibits'!O400:O404)),AVERAGE('20250815_ETF_Options_Exhibits'!O400:O404),"")</f>
        <v/>
      </c>
      <c r="P404" s="3">
        <f>IF(ISNUMBER(AVERAGE('20250815_ETF_Options_Exhibits'!P400:P404)),AVERAGE('20250815_ETF_Options_Exhibits'!P400:P404),"")</f>
        <v/>
      </c>
      <c r="Q404" s="3">
        <f>IF(ISNUMBER(AVERAGE('20250815_ETF_Options_Exhibits'!Q400:Q404)),AVERAGE('20250815_ETF_Options_Exhibits'!Q400:Q404),"")</f>
        <v/>
      </c>
      <c r="R404" s="3">
        <f>IF(ISNUMBER(AVERAGE('20250815_ETF_Options_Exhibits'!R400:R404)),AVERAGE('20250815_ETF_Options_Exhibits'!R400:R404),"")</f>
        <v/>
      </c>
      <c r="S404" s="3">
        <f>IF(ISNUMBER(AVERAGE('20250815_ETF_Options_Exhibits'!S400:S404)),AVERAGE('20250815_ETF_Options_Exhibits'!S400:S404),"")</f>
        <v/>
      </c>
      <c r="T404" s="3">
        <f>IF(ISNUMBER(AVERAGE('20250815_ETF_Options_Exhibits'!T400:T404)),AVERAGE('20250815_ETF_Options_Exhibits'!T400:T404),"")</f>
        <v/>
      </c>
      <c r="U404" s="3">
        <f>IF(ISNUMBER(AVERAGE('20250815_ETF_Options_Exhibits'!U400:U404)),AVERAGE('20250815_ETF_Options_Exhibits'!U400:U404),"")</f>
        <v/>
      </c>
      <c r="V404" s="3">
        <f>IF(ISNUMBER(AVERAGE('20250815_ETF_Options_Exhibits'!V400:V404)),AVERAGE('20250815_ETF_Options_Exhibits'!V400:V404),"")</f>
        <v/>
      </c>
      <c r="W404" s="3">
        <f>IF(ISNUMBER(AVERAGE('20250815_ETF_Options_Exhibits'!W400:W404)),AVERAGE('20250815_ETF_Options_Exhibits'!W400:W404),"")</f>
        <v/>
      </c>
      <c r="X404" s="3">
        <f>IF(ISNUMBER(AVERAGE('20250815_ETF_Options_Exhibits'!X400:X404)),AVERAGE('20250815_ETF_Options_Exhibits'!X400:X404),"")</f>
        <v/>
      </c>
      <c r="Y404" s="3">
        <f>IF(ISNUMBER(AVERAGE('20250815_ETF_Options_Exhibits'!Y400:Y404)),AVERAGE('20250815_ETF_Options_Exhibits'!Y400:Y404),"")</f>
        <v/>
      </c>
      <c r="Z404" s="3">
        <f>IF(ISNUMBER(AVERAGE('20250815_ETF_Options_Exhibits'!Z400:Z404)),AVERAGE('20250815_ETF_Options_Exhibits'!Z400:Z404),"")</f>
        <v/>
      </c>
      <c r="AA404" s="3">
        <f>IF(ISNUMBER(AVERAGE('20250815_ETF_Options_Exhibits'!AA400:AA404)),AVERAGE('20250815_ETF_Options_Exhibits'!AA400:AA404),"")</f>
        <v/>
      </c>
    </row>
    <row r="405">
      <c r="A405" s="1" t="n">
        <v>42590</v>
      </c>
      <c r="B405" s="3">
        <f>IF(ISNUMBER(AVERAGE('20250815_ETF_Options_Exhibits'!B401:B405)),AVERAGE('20250815_ETF_Options_Exhibits'!B401:B405),"")</f>
        <v/>
      </c>
      <c r="C405" s="3">
        <f>IF(ISNUMBER(AVERAGE('20250815_ETF_Options_Exhibits'!C401:C405)),AVERAGE('20250815_ETF_Options_Exhibits'!C401:C405),"")</f>
        <v/>
      </c>
      <c r="D405" s="3">
        <f>IF(ISNUMBER(AVERAGE('20250815_ETF_Options_Exhibits'!D401:D405)),AVERAGE('20250815_ETF_Options_Exhibits'!D401:D405),"")</f>
        <v/>
      </c>
      <c r="E405" s="3">
        <f>IF(ISNUMBER(AVERAGE('20250815_ETF_Options_Exhibits'!E401:E405)),AVERAGE('20250815_ETF_Options_Exhibits'!E401:E405),"")</f>
        <v/>
      </c>
      <c r="F405" s="3">
        <f>IF(ISNUMBER(AVERAGE('20250815_ETF_Options_Exhibits'!F401:F405)),AVERAGE('20250815_ETF_Options_Exhibits'!F401:F405),"")</f>
        <v/>
      </c>
      <c r="G405" s="3">
        <f>IF(ISNUMBER(AVERAGE('20250815_ETF_Options_Exhibits'!G401:G405)),AVERAGE('20250815_ETF_Options_Exhibits'!G401:G405),"")</f>
        <v/>
      </c>
      <c r="H405" s="3">
        <f>IF(ISNUMBER(AVERAGE('20250815_ETF_Options_Exhibits'!H401:H405)),AVERAGE('20250815_ETF_Options_Exhibits'!H401:H405),"")</f>
        <v/>
      </c>
      <c r="I405" s="3">
        <f>IF(ISNUMBER(AVERAGE('20250815_ETF_Options_Exhibits'!I401:I405)),AVERAGE('20250815_ETF_Options_Exhibits'!I401:I405),"")</f>
        <v/>
      </c>
      <c r="J405" s="3">
        <f>IF(ISNUMBER(AVERAGE('20250815_ETF_Options_Exhibits'!J401:J405)),AVERAGE('20250815_ETF_Options_Exhibits'!J401:J405),"")</f>
        <v/>
      </c>
      <c r="K405" s="3">
        <f>IF(ISNUMBER(AVERAGE('20250815_ETF_Options_Exhibits'!K401:K405)),AVERAGE('20250815_ETF_Options_Exhibits'!K401:K405),"")</f>
        <v/>
      </c>
      <c r="L405" s="3">
        <f>IF(ISNUMBER(AVERAGE('20250815_ETF_Options_Exhibits'!L401:L405)),AVERAGE('20250815_ETF_Options_Exhibits'!L401:L405),"")</f>
        <v/>
      </c>
      <c r="M405" s="3">
        <f>IF(ISNUMBER(AVERAGE('20250815_ETF_Options_Exhibits'!M401:M405)),AVERAGE('20250815_ETF_Options_Exhibits'!M401:M405),"")</f>
        <v/>
      </c>
      <c r="N405" s="3">
        <f>IF(ISNUMBER(AVERAGE('20250815_ETF_Options_Exhibits'!N401:N405)),AVERAGE('20250815_ETF_Options_Exhibits'!N401:N405),"")</f>
        <v/>
      </c>
      <c r="O405" s="3">
        <f>IF(ISNUMBER(AVERAGE('20250815_ETF_Options_Exhibits'!O401:O405)),AVERAGE('20250815_ETF_Options_Exhibits'!O401:O405),"")</f>
        <v/>
      </c>
      <c r="P405" s="3">
        <f>IF(ISNUMBER(AVERAGE('20250815_ETF_Options_Exhibits'!P401:P405)),AVERAGE('20250815_ETF_Options_Exhibits'!P401:P405),"")</f>
        <v/>
      </c>
      <c r="Q405" s="3">
        <f>IF(ISNUMBER(AVERAGE('20250815_ETF_Options_Exhibits'!Q401:Q405)),AVERAGE('20250815_ETF_Options_Exhibits'!Q401:Q405),"")</f>
        <v/>
      </c>
      <c r="R405" s="3">
        <f>IF(ISNUMBER(AVERAGE('20250815_ETF_Options_Exhibits'!R401:R405)),AVERAGE('20250815_ETF_Options_Exhibits'!R401:R405),"")</f>
        <v/>
      </c>
      <c r="S405" s="3">
        <f>IF(ISNUMBER(AVERAGE('20250815_ETF_Options_Exhibits'!S401:S405)),AVERAGE('20250815_ETF_Options_Exhibits'!S401:S405),"")</f>
        <v/>
      </c>
      <c r="T405" s="3">
        <f>IF(ISNUMBER(AVERAGE('20250815_ETF_Options_Exhibits'!T401:T405)),AVERAGE('20250815_ETF_Options_Exhibits'!T401:T405),"")</f>
        <v/>
      </c>
      <c r="U405" s="3">
        <f>IF(ISNUMBER(AVERAGE('20250815_ETF_Options_Exhibits'!U401:U405)),AVERAGE('20250815_ETF_Options_Exhibits'!U401:U405),"")</f>
        <v/>
      </c>
      <c r="V405" s="3">
        <f>IF(ISNUMBER(AVERAGE('20250815_ETF_Options_Exhibits'!V401:V405)),AVERAGE('20250815_ETF_Options_Exhibits'!V401:V405),"")</f>
        <v/>
      </c>
      <c r="W405" s="3">
        <f>IF(ISNUMBER(AVERAGE('20250815_ETF_Options_Exhibits'!W401:W405)),AVERAGE('20250815_ETF_Options_Exhibits'!W401:W405),"")</f>
        <v/>
      </c>
      <c r="X405" s="3">
        <f>IF(ISNUMBER(AVERAGE('20250815_ETF_Options_Exhibits'!X401:X405)),AVERAGE('20250815_ETF_Options_Exhibits'!X401:X405),"")</f>
        <v/>
      </c>
      <c r="Y405" s="3">
        <f>IF(ISNUMBER(AVERAGE('20250815_ETF_Options_Exhibits'!Y401:Y405)),AVERAGE('20250815_ETF_Options_Exhibits'!Y401:Y405),"")</f>
        <v/>
      </c>
      <c r="Z405" s="3">
        <f>IF(ISNUMBER(AVERAGE('20250815_ETF_Options_Exhibits'!Z401:Z405)),AVERAGE('20250815_ETF_Options_Exhibits'!Z401:Z405),"")</f>
        <v/>
      </c>
      <c r="AA405" s="3">
        <f>IF(ISNUMBER(AVERAGE('20250815_ETF_Options_Exhibits'!AA401:AA405)),AVERAGE('20250815_ETF_Options_Exhibits'!AA401:AA405),"")</f>
        <v/>
      </c>
    </row>
    <row r="406">
      <c r="A406" s="1" t="n">
        <v>42591</v>
      </c>
      <c r="B406" s="3">
        <f>IF(ISNUMBER(AVERAGE('20250815_ETF_Options_Exhibits'!B402:B406)),AVERAGE('20250815_ETF_Options_Exhibits'!B402:B406),"")</f>
        <v/>
      </c>
      <c r="C406" s="3">
        <f>IF(ISNUMBER(AVERAGE('20250815_ETF_Options_Exhibits'!C402:C406)),AVERAGE('20250815_ETF_Options_Exhibits'!C402:C406),"")</f>
        <v/>
      </c>
      <c r="D406" s="3">
        <f>IF(ISNUMBER(AVERAGE('20250815_ETF_Options_Exhibits'!D402:D406)),AVERAGE('20250815_ETF_Options_Exhibits'!D402:D406),"")</f>
        <v/>
      </c>
      <c r="E406" s="3">
        <f>IF(ISNUMBER(AVERAGE('20250815_ETF_Options_Exhibits'!E402:E406)),AVERAGE('20250815_ETF_Options_Exhibits'!E402:E406),"")</f>
        <v/>
      </c>
      <c r="F406" s="3">
        <f>IF(ISNUMBER(AVERAGE('20250815_ETF_Options_Exhibits'!F402:F406)),AVERAGE('20250815_ETF_Options_Exhibits'!F402:F406),"")</f>
        <v/>
      </c>
      <c r="G406" s="3">
        <f>IF(ISNUMBER(AVERAGE('20250815_ETF_Options_Exhibits'!G402:G406)),AVERAGE('20250815_ETF_Options_Exhibits'!G402:G406),"")</f>
        <v/>
      </c>
      <c r="H406" s="3">
        <f>IF(ISNUMBER(AVERAGE('20250815_ETF_Options_Exhibits'!H402:H406)),AVERAGE('20250815_ETF_Options_Exhibits'!H402:H406),"")</f>
        <v/>
      </c>
      <c r="I406" s="3">
        <f>IF(ISNUMBER(AVERAGE('20250815_ETF_Options_Exhibits'!I402:I406)),AVERAGE('20250815_ETF_Options_Exhibits'!I402:I406),"")</f>
        <v/>
      </c>
      <c r="J406" s="3">
        <f>IF(ISNUMBER(AVERAGE('20250815_ETF_Options_Exhibits'!J402:J406)),AVERAGE('20250815_ETF_Options_Exhibits'!J402:J406),"")</f>
        <v/>
      </c>
      <c r="K406" s="3">
        <f>IF(ISNUMBER(AVERAGE('20250815_ETF_Options_Exhibits'!K402:K406)),AVERAGE('20250815_ETF_Options_Exhibits'!K402:K406),"")</f>
        <v/>
      </c>
      <c r="L406" s="3">
        <f>IF(ISNUMBER(AVERAGE('20250815_ETF_Options_Exhibits'!L402:L406)),AVERAGE('20250815_ETF_Options_Exhibits'!L402:L406),"")</f>
        <v/>
      </c>
      <c r="M406" s="3">
        <f>IF(ISNUMBER(AVERAGE('20250815_ETF_Options_Exhibits'!M402:M406)),AVERAGE('20250815_ETF_Options_Exhibits'!M402:M406),"")</f>
        <v/>
      </c>
      <c r="N406" s="3">
        <f>IF(ISNUMBER(AVERAGE('20250815_ETF_Options_Exhibits'!N402:N406)),AVERAGE('20250815_ETF_Options_Exhibits'!N402:N406),"")</f>
        <v/>
      </c>
      <c r="O406" s="3">
        <f>IF(ISNUMBER(AVERAGE('20250815_ETF_Options_Exhibits'!O402:O406)),AVERAGE('20250815_ETF_Options_Exhibits'!O402:O406),"")</f>
        <v/>
      </c>
      <c r="P406" s="3">
        <f>IF(ISNUMBER(AVERAGE('20250815_ETF_Options_Exhibits'!P402:P406)),AVERAGE('20250815_ETF_Options_Exhibits'!P402:P406),"")</f>
        <v/>
      </c>
      <c r="Q406" s="3">
        <f>IF(ISNUMBER(AVERAGE('20250815_ETF_Options_Exhibits'!Q402:Q406)),AVERAGE('20250815_ETF_Options_Exhibits'!Q402:Q406),"")</f>
        <v/>
      </c>
      <c r="R406" s="3">
        <f>IF(ISNUMBER(AVERAGE('20250815_ETF_Options_Exhibits'!R402:R406)),AVERAGE('20250815_ETF_Options_Exhibits'!R402:R406),"")</f>
        <v/>
      </c>
      <c r="S406" s="3">
        <f>IF(ISNUMBER(AVERAGE('20250815_ETF_Options_Exhibits'!S402:S406)),AVERAGE('20250815_ETF_Options_Exhibits'!S402:S406),"")</f>
        <v/>
      </c>
      <c r="T406" s="3">
        <f>IF(ISNUMBER(AVERAGE('20250815_ETF_Options_Exhibits'!T402:T406)),AVERAGE('20250815_ETF_Options_Exhibits'!T402:T406),"")</f>
        <v/>
      </c>
      <c r="U406" s="3">
        <f>IF(ISNUMBER(AVERAGE('20250815_ETF_Options_Exhibits'!U402:U406)),AVERAGE('20250815_ETF_Options_Exhibits'!U402:U406),"")</f>
        <v/>
      </c>
      <c r="V406" s="3">
        <f>IF(ISNUMBER(AVERAGE('20250815_ETF_Options_Exhibits'!V402:V406)),AVERAGE('20250815_ETF_Options_Exhibits'!V402:V406),"")</f>
        <v/>
      </c>
      <c r="W406" s="3">
        <f>IF(ISNUMBER(AVERAGE('20250815_ETF_Options_Exhibits'!W402:W406)),AVERAGE('20250815_ETF_Options_Exhibits'!W402:W406),"")</f>
        <v/>
      </c>
      <c r="X406" s="3">
        <f>IF(ISNUMBER(AVERAGE('20250815_ETF_Options_Exhibits'!X402:X406)),AVERAGE('20250815_ETF_Options_Exhibits'!X402:X406),"")</f>
        <v/>
      </c>
      <c r="Y406" s="3">
        <f>IF(ISNUMBER(AVERAGE('20250815_ETF_Options_Exhibits'!Y402:Y406)),AVERAGE('20250815_ETF_Options_Exhibits'!Y402:Y406),"")</f>
        <v/>
      </c>
      <c r="Z406" s="3">
        <f>IF(ISNUMBER(AVERAGE('20250815_ETF_Options_Exhibits'!Z402:Z406)),AVERAGE('20250815_ETF_Options_Exhibits'!Z402:Z406),"")</f>
        <v/>
      </c>
      <c r="AA406" s="3">
        <f>IF(ISNUMBER(AVERAGE('20250815_ETF_Options_Exhibits'!AA402:AA406)),AVERAGE('20250815_ETF_Options_Exhibits'!AA402:AA406),"")</f>
        <v/>
      </c>
    </row>
    <row r="407">
      <c r="A407" s="1" t="n">
        <v>42592</v>
      </c>
      <c r="B407" s="3">
        <f>IF(ISNUMBER(AVERAGE('20250815_ETF_Options_Exhibits'!B403:B407)),AVERAGE('20250815_ETF_Options_Exhibits'!B403:B407),"")</f>
        <v/>
      </c>
      <c r="C407" s="3">
        <f>IF(ISNUMBER(AVERAGE('20250815_ETF_Options_Exhibits'!C403:C407)),AVERAGE('20250815_ETF_Options_Exhibits'!C403:C407),"")</f>
        <v/>
      </c>
      <c r="D407" s="3">
        <f>IF(ISNUMBER(AVERAGE('20250815_ETF_Options_Exhibits'!D403:D407)),AVERAGE('20250815_ETF_Options_Exhibits'!D403:D407),"")</f>
        <v/>
      </c>
      <c r="E407" s="3">
        <f>IF(ISNUMBER(AVERAGE('20250815_ETF_Options_Exhibits'!E403:E407)),AVERAGE('20250815_ETF_Options_Exhibits'!E403:E407),"")</f>
        <v/>
      </c>
      <c r="F407" s="3">
        <f>IF(ISNUMBER(AVERAGE('20250815_ETF_Options_Exhibits'!F403:F407)),AVERAGE('20250815_ETF_Options_Exhibits'!F403:F407),"")</f>
        <v/>
      </c>
      <c r="G407" s="3">
        <f>IF(ISNUMBER(AVERAGE('20250815_ETF_Options_Exhibits'!G403:G407)),AVERAGE('20250815_ETF_Options_Exhibits'!G403:G407),"")</f>
        <v/>
      </c>
      <c r="H407" s="3">
        <f>IF(ISNUMBER(AVERAGE('20250815_ETF_Options_Exhibits'!H403:H407)),AVERAGE('20250815_ETF_Options_Exhibits'!H403:H407),"")</f>
        <v/>
      </c>
      <c r="I407" s="3">
        <f>IF(ISNUMBER(AVERAGE('20250815_ETF_Options_Exhibits'!I403:I407)),AVERAGE('20250815_ETF_Options_Exhibits'!I403:I407),"")</f>
        <v/>
      </c>
      <c r="J407" s="3">
        <f>IF(ISNUMBER(AVERAGE('20250815_ETF_Options_Exhibits'!J403:J407)),AVERAGE('20250815_ETF_Options_Exhibits'!J403:J407),"")</f>
        <v/>
      </c>
      <c r="K407" s="3">
        <f>IF(ISNUMBER(AVERAGE('20250815_ETF_Options_Exhibits'!K403:K407)),AVERAGE('20250815_ETF_Options_Exhibits'!K403:K407),"")</f>
        <v/>
      </c>
      <c r="L407" s="3">
        <f>IF(ISNUMBER(AVERAGE('20250815_ETF_Options_Exhibits'!L403:L407)),AVERAGE('20250815_ETF_Options_Exhibits'!L403:L407),"")</f>
        <v/>
      </c>
      <c r="M407" s="3">
        <f>IF(ISNUMBER(AVERAGE('20250815_ETF_Options_Exhibits'!M403:M407)),AVERAGE('20250815_ETF_Options_Exhibits'!M403:M407),"")</f>
        <v/>
      </c>
      <c r="N407" s="3">
        <f>IF(ISNUMBER(AVERAGE('20250815_ETF_Options_Exhibits'!N403:N407)),AVERAGE('20250815_ETF_Options_Exhibits'!N403:N407),"")</f>
        <v/>
      </c>
      <c r="O407" s="3">
        <f>IF(ISNUMBER(AVERAGE('20250815_ETF_Options_Exhibits'!O403:O407)),AVERAGE('20250815_ETF_Options_Exhibits'!O403:O407),"")</f>
        <v/>
      </c>
      <c r="P407" s="3">
        <f>IF(ISNUMBER(AVERAGE('20250815_ETF_Options_Exhibits'!P403:P407)),AVERAGE('20250815_ETF_Options_Exhibits'!P403:P407),"")</f>
        <v/>
      </c>
      <c r="Q407" s="3">
        <f>IF(ISNUMBER(AVERAGE('20250815_ETF_Options_Exhibits'!Q403:Q407)),AVERAGE('20250815_ETF_Options_Exhibits'!Q403:Q407),"")</f>
        <v/>
      </c>
      <c r="R407" s="3">
        <f>IF(ISNUMBER(AVERAGE('20250815_ETF_Options_Exhibits'!R403:R407)),AVERAGE('20250815_ETF_Options_Exhibits'!R403:R407),"")</f>
        <v/>
      </c>
      <c r="S407" s="3">
        <f>IF(ISNUMBER(AVERAGE('20250815_ETF_Options_Exhibits'!S403:S407)),AVERAGE('20250815_ETF_Options_Exhibits'!S403:S407),"")</f>
        <v/>
      </c>
      <c r="T407" s="3">
        <f>IF(ISNUMBER(AVERAGE('20250815_ETF_Options_Exhibits'!T403:T407)),AVERAGE('20250815_ETF_Options_Exhibits'!T403:T407),"")</f>
        <v/>
      </c>
      <c r="U407" s="3">
        <f>IF(ISNUMBER(AVERAGE('20250815_ETF_Options_Exhibits'!U403:U407)),AVERAGE('20250815_ETF_Options_Exhibits'!U403:U407),"")</f>
        <v/>
      </c>
      <c r="V407" s="3">
        <f>IF(ISNUMBER(AVERAGE('20250815_ETF_Options_Exhibits'!V403:V407)),AVERAGE('20250815_ETF_Options_Exhibits'!V403:V407),"")</f>
        <v/>
      </c>
      <c r="W407" s="3">
        <f>IF(ISNUMBER(AVERAGE('20250815_ETF_Options_Exhibits'!W403:W407)),AVERAGE('20250815_ETF_Options_Exhibits'!W403:W407),"")</f>
        <v/>
      </c>
      <c r="X407" s="3">
        <f>IF(ISNUMBER(AVERAGE('20250815_ETF_Options_Exhibits'!X403:X407)),AVERAGE('20250815_ETF_Options_Exhibits'!X403:X407),"")</f>
        <v/>
      </c>
      <c r="Y407" s="3">
        <f>IF(ISNUMBER(AVERAGE('20250815_ETF_Options_Exhibits'!Y403:Y407)),AVERAGE('20250815_ETF_Options_Exhibits'!Y403:Y407),"")</f>
        <v/>
      </c>
      <c r="Z407" s="3">
        <f>IF(ISNUMBER(AVERAGE('20250815_ETF_Options_Exhibits'!Z403:Z407)),AVERAGE('20250815_ETF_Options_Exhibits'!Z403:Z407),"")</f>
        <v/>
      </c>
      <c r="AA407" s="3">
        <f>IF(ISNUMBER(AVERAGE('20250815_ETF_Options_Exhibits'!AA403:AA407)),AVERAGE('20250815_ETF_Options_Exhibits'!AA403:AA407),"")</f>
        <v/>
      </c>
    </row>
    <row r="408">
      <c r="A408" s="1" t="n">
        <v>42593</v>
      </c>
      <c r="B408" s="3">
        <f>IF(ISNUMBER(AVERAGE('20250815_ETF_Options_Exhibits'!B404:B408)),AVERAGE('20250815_ETF_Options_Exhibits'!B404:B408),"")</f>
        <v/>
      </c>
      <c r="C408" s="3">
        <f>IF(ISNUMBER(AVERAGE('20250815_ETF_Options_Exhibits'!C404:C408)),AVERAGE('20250815_ETF_Options_Exhibits'!C404:C408),"")</f>
        <v/>
      </c>
      <c r="D408" s="3">
        <f>IF(ISNUMBER(AVERAGE('20250815_ETF_Options_Exhibits'!D404:D408)),AVERAGE('20250815_ETF_Options_Exhibits'!D404:D408),"")</f>
        <v/>
      </c>
      <c r="E408" s="3">
        <f>IF(ISNUMBER(AVERAGE('20250815_ETF_Options_Exhibits'!E404:E408)),AVERAGE('20250815_ETF_Options_Exhibits'!E404:E408),"")</f>
        <v/>
      </c>
      <c r="F408" s="3">
        <f>IF(ISNUMBER(AVERAGE('20250815_ETF_Options_Exhibits'!F404:F408)),AVERAGE('20250815_ETF_Options_Exhibits'!F404:F408),"")</f>
        <v/>
      </c>
      <c r="G408" s="3">
        <f>IF(ISNUMBER(AVERAGE('20250815_ETF_Options_Exhibits'!G404:G408)),AVERAGE('20250815_ETF_Options_Exhibits'!G404:G408),"")</f>
        <v/>
      </c>
      <c r="H408" s="3">
        <f>IF(ISNUMBER(AVERAGE('20250815_ETF_Options_Exhibits'!H404:H408)),AVERAGE('20250815_ETF_Options_Exhibits'!H404:H408),"")</f>
        <v/>
      </c>
      <c r="I408" s="3">
        <f>IF(ISNUMBER(AVERAGE('20250815_ETF_Options_Exhibits'!I404:I408)),AVERAGE('20250815_ETF_Options_Exhibits'!I404:I408),"")</f>
        <v/>
      </c>
      <c r="J408" s="3">
        <f>IF(ISNUMBER(AVERAGE('20250815_ETF_Options_Exhibits'!J404:J408)),AVERAGE('20250815_ETF_Options_Exhibits'!J404:J408),"")</f>
        <v/>
      </c>
      <c r="K408" s="3">
        <f>IF(ISNUMBER(AVERAGE('20250815_ETF_Options_Exhibits'!K404:K408)),AVERAGE('20250815_ETF_Options_Exhibits'!K404:K408),"")</f>
        <v/>
      </c>
      <c r="L408" s="3">
        <f>IF(ISNUMBER(AVERAGE('20250815_ETF_Options_Exhibits'!L404:L408)),AVERAGE('20250815_ETF_Options_Exhibits'!L404:L408),"")</f>
        <v/>
      </c>
      <c r="M408" s="3">
        <f>IF(ISNUMBER(AVERAGE('20250815_ETF_Options_Exhibits'!M404:M408)),AVERAGE('20250815_ETF_Options_Exhibits'!M404:M408),"")</f>
        <v/>
      </c>
      <c r="N408" s="3">
        <f>IF(ISNUMBER(AVERAGE('20250815_ETF_Options_Exhibits'!N404:N408)),AVERAGE('20250815_ETF_Options_Exhibits'!N404:N408),"")</f>
        <v/>
      </c>
      <c r="O408" s="3">
        <f>IF(ISNUMBER(AVERAGE('20250815_ETF_Options_Exhibits'!O404:O408)),AVERAGE('20250815_ETF_Options_Exhibits'!O404:O408),"")</f>
        <v/>
      </c>
      <c r="P408" s="3">
        <f>IF(ISNUMBER(AVERAGE('20250815_ETF_Options_Exhibits'!P404:P408)),AVERAGE('20250815_ETF_Options_Exhibits'!P404:P408),"")</f>
        <v/>
      </c>
      <c r="Q408" s="3">
        <f>IF(ISNUMBER(AVERAGE('20250815_ETF_Options_Exhibits'!Q404:Q408)),AVERAGE('20250815_ETF_Options_Exhibits'!Q404:Q408),"")</f>
        <v/>
      </c>
      <c r="R408" s="3">
        <f>IF(ISNUMBER(AVERAGE('20250815_ETF_Options_Exhibits'!R404:R408)),AVERAGE('20250815_ETF_Options_Exhibits'!R404:R408),"")</f>
        <v/>
      </c>
      <c r="S408" s="3">
        <f>IF(ISNUMBER(AVERAGE('20250815_ETF_Options_Exhibits'!S404:S408)),AVERAGE('20250815_ETF_Options_Exhibits'!S404:S408),"")</f>
        <v/>
      </c>
      <c r="T408" s="3">
        <f>IF(ISNUMBER(AVERAGE('20250815_ETF_Options_Exhibits'!T404:T408)),AVERAGE('20250815_ETF_Options_Exhibits'!T404:T408),"")</f>
        <v/>
      </c>
      <c r="U408" s="3">
        <f>IF(ISNUMBER(AVERAGE('20250815_ETF_Options_Exhibits'!U404:U408)),AVERAGE('20250815_ETF_Options_Exhibits'!U404:U408),"")</f>
        <v/>
      </c>
      <c r="V408" s="3">
        <f>IF(ISNUMBER(AVERAGE('20250815_ETF_Options_Exhibits'!V404:V408)),AVERAGE('20250815_ETF_Options_Exhibits'!V404:V408),"")</f>
        <v/>
      </c>
      <c r="W408" s="3">
        <f>IF(ISNUMBER(AVERAGE('20250815_ETF_Options_Exhibits'!W404:W408)),AVERAGE('20250815_ETF_Options_Exhibits'!W404:W408),"")</f>
        <v/>
      </c>
      <c r="X408" s="3">
        <f>IF(ISNUMBER(AVERAGE('20250815_ETF_Options_Exhibits'!X404:X408)),AVERAGE('20250815_ETF_Options_Exhibits'!X404:X408),"")</f>
        <v/>
      </c>
      <c r="Y408" s="3">
        <f>IF(ISNUMBER(AVERAGE('20250815_ETF_Options_Exhibits'!Y404:Y408)),AVERAGE('20250815_ETF_Options_Exhibits'!Y404:Y408),"")</f>
        <v/>
      </c>
      <c r="Z408" s="3">
        <f>IF(ISNUMBER(AVERAGE('20250815_ETF_Options_Exhibits'!Z404:Z408)),AVERAGE('20250815_ETF_Options_Exhibits'!Z404:Z408),"")</f>
        <v/>
      </c>
      <c r="AA408" s="3">
        <f>IF(ISNUMBER(AVERAGE('20250815_ETF_Options_Exhibits'!AA404:AA408)),AVERAGE('20250815_ETF_Options_Exhibits'!AA404:AA408),"")</f>
        <v/>
      </c>
    </row>
    <row r="409">
      <c r="A409" s="1" t="n">
        <v>42594</v>
      </c>
      <c r="B409" s="3">
        <f>IF(ISNUMBER(AVERAGE('20250815_ETF_Options_Exhibits'!B405:B409)),AVERAGE('20250815_ETF_Options_Exhibits'!B405:B409),"")</f>
        <v/>
      </c>
      <c r="C409" s="3">
        <f>IF(ISNUMBER(AVERAGE('20250815_ETF_Options_Exhibits'!C405:C409)),AVERAGE('20250815_ETF_Options_Exhibits'!C405:C409),"")</f>
        <v/>
      </c>
      <c r="D409" s="3">
        <f>IF(ISNUMBER(AVERAGE('20250815_ETF_Options_Exhibits'!D405:D409)),AVERAGE('20250815_ETF_Options_Exhibits'!D405:D409),"")</f>
        <v/>
      </c>
      <c r="E409" s="3">
        <f>IF(ISNUMBER(AVERAGE('20250815_ETF_Options_Exhibits'!E405:E409)),AVERAGE('20250815_ETF_Options_Exhibits'!E405:E409),"")</f>
        <v/>
      </c>
      <c r="F409" s="3">
        <f>IF(ISNUMBER(AVERAGE('20250815_ETF_Options_Exhibits'!F405:F409)),AVERAGE('20250815_ETF_Options_Exhibits'!F405:F409),"")</f>
        <v/>
      </c>
      <c r="G409" s="3">
        <f>IF(ISNUMBER(AVERAGE('20250815_ETF_Options_Exhibits'!G405:G409)),AVERAGE('20250815_ETF_Options_Exhibits'!G405:G409),"")</f>
        <v/>
      </c>
      <c r="H409" s="3">
        <f>IF(ISNUMBER(AVERAGE('20250815_ETF_Options_Exhibits'!H405:H409)),AVERAGE('20250815_ETF_Options_Exhibits'!H405:H409),"")</f>
        <v/>
      </c>
      <c r="I409" s="3">
        <f>IF(ISNUMBER(AVERAGE('20250815_ETF_Options_Exhibits'!I405:I409)),AVERAGE('20250815_ETF_Options_Exhibits'!I405:I409),"")</f>
        <v/>
      </c>
      <c r="J409" s="3">
        <f>IF(ISNUMBER(AVERAGE('20250815_ETF_Options_Exhibits'!J405:J409)),AVERAGE('20250815_ETF_Options_Exhibits'!J405:J409),"")</f>
        <v/>
      </c>
      <c r="K409" s="3">
        <f>IF(ISNUMBER(AVERAGE('20250815_ETF_Options_Exhibits'!K405:K409)),AVERAGE('20250815_ETF_Options_Exhibits'!K405:K409),"")</f>
        <v/>
      </c>
      <c r="L409" s="3">
        <f>IF(ISNUMBER(AVERAGE('20250815_ETF_Options_Exhibits'!L405:L409)),AVERAGE('20250815_ETF_Options_Exhibits'!L405:L409),"")</f>
        <v/>
      </c>
      <c r="M409" s="3">
        <f>IF(ISNUMBER(AVERAGE('20250815_ETF_Options_Exhibits'!M405:M409)),AVERAGE('20250815_ETF_Options_Exhibits'!M405:M409),"")</f>
        <v/>
      </c>
      <c r="N409" s="3">
        <f>IF(ISNUMBER(AVERAGE('20250815_ETF_Options_Exhibits'!N405:N409)),AVERAGE('20250815_ETF_Options_Exhibits'!N405:N409),"")</f>
        <v/>
      </c>
      <c r="O409" s="3">
        <f>IF(ISNUMBER(AVERAGE('20250815_ETF_Options_Exhibits'!O405:O409)),AVERAGE('20250815_ETF_Options_Exhibits'!O405:O409),"")</f>
        <v/>
      </c>
      <c r="P409" s="3">
        <f>IF(ISNUMBER(AVERAGE('20250815_ETF_Options_Exhibits'!P405:P409)),AVERAGE('20250815_ETF_Options_Exhibits'!P405:P409),"")</f>
        <v/>
      </c>
      <c r="Q409" s="3">
        <f>IF(ISNUMBER(AVERAGE('20250815_ETF_Options_Exhibits'!Q405:Q409)),AVERAGE('20250815_ETF_Options_Exhibits'!Q405:Q409),"")</f>
        <v/>
      </c>
      <c r="R409" s="3">
        <f>IF(ISNUMBER(AVERAGE('20250815_ETF_Options_Exhibits'!R405:R409)),AVERAGE('20250815_ETF_Options_Exhibits'!R405:R409),"")</f>
        <v/>
      </c>
      <c r="S409" s="3">
        <f>IF(ISNUMBER(AVERAGE('20250815_ETF_Options_Exhibits'!S405:S409)),AVERAGE('20250815_ETF_Options_Exhibits'!S405:S409),"")</f>
        <v/>
      </c>
      <c r="T409" s="3">
        <f>IF(ISNUMBER(AVERAGE('20250815_ETF_Options_Exhibits'!T405:T409)),AVERAGE('20250815_ETF_Options_Exhibits'!T405:T409),"")</f>
        <v/>
      </c>
      <c r="U409" s="3">
        <f>IF(ISNUMBER(AVERAGE('20250815_ETF_Options_Exhibits'!U405:U409)),AVERAGE('20250815_ETF_Options_Exhibits'!U405:U409),"")</f>
        <v/>
      </c>
      <c r="V409" s="3">
        <f>IF(ISNUMBER(AVERAGE('20250815_ETF_Options_Exhibits'!V405:V409)),AVERAGE('20250815_ETF_Options_Exhibits'!V405:V409),"")</f>
        <v/>
      </c>
      <c r="W409" s="3">
        <f>IF(ISNUMBER(AVERAGE('20250815_ETF_Options_Exhibits'!W405:W409)),AVERAGE('20250815_ETF_Options_Exhibits'!W405:W409),"")</f>
        <v/>
      </c>
      <c r="X409" s="3">
        <f>IF(ISNUMBER(AVERAGE('20250815_ETF_Options_Exhibits'!X405:X409)),AVERAGE('20250815_ETF_Options_Exhibits'!X405:X409),"")</f>
        <v/>
      </c>
      <c r="Y409" s="3">
        <f>IF(ISNUMBER(AVERAGE('20250815_ETF_Options_Exhibits'!Y405:Y409)),AVERAGE('20250815_ETF_Options_Exhibits'!Y405:Y409),"")</f>
        <v/>
      </c>
      <c r="Z409" s="3">
        <f>IF(ISNUMBER(AVERAGE('20250815_ETF_Options_Exhibits'!Z405:Z409)),AVERAGE('20250815_ETF_Options_Exhibits'!Z405:Z409),"")</f>
        <v/>
      </c>
      <c r="AA409" s="3">
        <f>IF(ISNUMBER(AVERAGE('20250815_ETF_Options_Exhibits'!AA405:AA409)),AVERAGE('20250815_ETF_Options_Exhibits'!AA405:AA409),"")</f>
        <v/>
      </c>
    </row>
    <row r="410">
      <c r="A410" s="1" t="n">
        <v>42597</v>
      </c>
      <c r="B410" s="3">
        <f>IF(ISNUMBER(AVERAGE('20250815_ETF_Options_Exhibits'!B406:B410)),AVERAGE('20250815_ETF_Options_Exhibits'!B406:B410),"")</f>
        <v/>
      </c>
      <c r="C410" s="3">
        <f>IF(ISNUMBER(AVERAGE('20250815_ETF_Options_Exhibits'!C406:C410)),AVERAGE('20250815_ETF_Options_Exhibits'!C406:C410),"")</f>
        <v/>
      </c>
      <c r="D410" s="3">
        <f>IF(ISNUMBER(AVERAGE('20250815_ETF_Options_Exhibits'!D406:D410)),AVERAGE('20250815_ETF_Options_Exhibits'!D406:D410),"")</f>
        <v/>
      </c>
      <c r="E410" s="3">
        <f>IF(ISNUMBER(AVERAGE('20250815_ETF_Options_Exhibits'!E406:E410)),AVERAGE('20250815_ETF_Options_Exhibits'!E406:E410),"")</f>
        <v/>
      </c>
      <c r="F410" s="3">
        <f>IF(ISNUMBER(AVERAGE('20250815_ETF_Options_Exhibits'!F406:F410)),AVERAGE('20250815_ETF_Options_Exhibits'!F406:F410),"")</f>
        <v/>
      </c>
      <c r="G410" s="3">
        <f>IF(ISNUMBER(AVERAGE('20250815_ETF_Options_Exhibits'!G406:G410)),AVERAGE('20250815_ETF_Options_Exhibits'!G406:G410),"")</f>
        <v/>
      </c>
      <c r="H410" s="3">
        <f>IF(ISNUMBER(AVERAGE('20250815_ETF_Options_Exhibits'!H406:H410)),AVERAGE('20250815_ETF_Options_Exhibits'!H406:H410),"")</f>
        <v/>
      </c>
      <c r="I410" s="3">
        <f>IF(ISNUMBER(AVERAGE('20250815_ETF_Options_Exhibits'!I406:I410)),AVERAGE('20250815_ETF_Options_Exhibits'!I406:I410),"")</f>
        <v/>
      </c>
      <c r="J410" s="3">
        <f>IF(ISNUMBER(AVERAGE('20250815_ETF_Options_Exhibits'!J406:J410)),AVERAGE('20250815_ETF_Options_Exhibits'!J406:J410),"")</f>
        <v/>
      </c>
      <c r="K410" s="3">
        <f>IF(ISNUMBER(AVERAGE('20250815_ETF_Options_Exhibits'!K406:K410)),AVERAGE('20250815_ETF_Options_Exhibits'!K406:K410),"")</f>
        <v/>
      </c>
      <c r="L410" s="3">
        <f>IF(ISNUMBER(AVERAGE('20250815_ETF_Options_Exhibits'!L406:L410)),AVERAGE('20250815_ETF_Options_Exhibits'!L406:L410),"")</f>
        <v/>
      </c>
      <c r="M410" s="3">
        <f>IF(ISNUMBER(AVERAGE('20250815_ETF_Options_Exhibits'!M406:M410)),AVERAGE('20250815_ETF_Options_Exhibits'!M406:M410),"")</f>
        <v/>
      </c>
      <c r="N410" s="3">
        <f>IF(ISNUMBER(AVERAGE('20250815_ETF_Options_Exhibits'!N406:N410)),AVERAGE('20250815_ETF_Options_Exhibits'!N406:N410),"")</f>
        <v/>
      </c>
      <c r="O410" s="3">
        <f>IF(ISNUMBER(AVERAGE('20250815_ETF_Options_Exhibits'!O406:O410)),AVERAGE('20250815_ETF_Options_Exhibits'!O406:O410),"")</f>
        <v/>
      </c>
      <c r="P410" s="3">
        <f>IF(ISNUMBER(AVERAGE('20250815_ETF_Options_Exhibits'!P406:P410)),AVERAGE('20250815_ETF_Options_Exhibits'!P406:P410),"")</f>
        <v/>
      </c>
      <c r="Q410" s="3">
        <f>IF(ISNUMBER(AVERAGE('20250815_ETF_Options_Exhibits'!Q406:Q410)),AVERAGE('20250815_ETF_Options_Exhibits'!Q406:Q410),"")</f>
        <v/>
      </c>
      <c r="R410" s="3">
        <f>IF(ISNUMBER(AVERAGE('20250815_ETF_Options_Exhibits'!R406:R410)),AVERAGE('20250815_ETF_Options_Exhibits'!R406:R410),"")</f>
        <v/>
      </c>
      <c r="S410" s="3">
        <f>IF(ISNUMBER(AVERAGE('20250815_ETF_Options_Exhibits'!S406:S410)),AVERAGE('20250815_ETF_Options_Exhibits'!S406:S410),"")</f>
        <v/>
      </c>
      <c r="T410" s="3">
        <f>IF(ISNUMBER(AVERAGE('20250815_ETF_Options_Exhibits'!T406:T410)),AVERAGE('20250815_ETF_Options_Exhibits'!T406:T410),"")</f>
        <v/>
      </c>
      <c r="U410" s="3">
        <f>IF(ISNUMBER(AVERAGE('20250815_ETF_Options_Exhibits'!U406:U410)),AVERAGE('20250815_ETF_Options_Exhibits'!U406:U410),"")</f>
        <v/>
      </c>
      <c r="V410" s="3">
        <f>IF(ISNUMBER(AVERAGE('20250815_ETF_Options_Exhibits'!V406:V410)),AVERAGE('20250815_ETF_Options_Exhibits'!V406:V410),"")</f>
        <v/>
      </c>
      <c r="W410" s="3">
        <f>IF(ISNUMBER(AVERAGE('20250815_ETF_Options_Exhibits'!W406:W410)),AVERAGE('20250815_ETF_Options_Exhibits'!W406:W410),"")</f>
        <v/>
      </c>
      <c r="X410" s="3">
        <f>IF(ISNUMBER(AVERAGE('20250815_ETF_Options_Exhibits'!X406:X410)),AVERAGE('20250815_ETF_Options_Exhibits'!X406:X410),"")</f>
        <v/>
      </c>
      <c r="Y410" s="3">
        <f>IF(ISNUMBER(AVERAGE('20250815_ETF_Options_Exhibits'!Y406:Y410)),AVERAGE('20250815_ETF_Options_Exhibits'!Y406:Y410),"")</f>
        <v/>
      </c>
      <c r="Z410" s="3">
        <f>IF(ISNUMBER(AVERAGE('20250815_ETF_Options_Exhibits'!Z406:Z410)),AVERAGE('20250815_ETF_Options_Exhibits'!Z406:Z410),"")</f>
        <v/>
      </c>
      <c r="AA410" s="3">
        <f>IF(ISNUMBER(AVERAGE('20250815_ETF_Options_Exhibits'!AA406:AA410)),AVERAGE('20250815_ETF_Options_Exhibits'!AA406:AA410),"")</f>
        <v/>
      </c>
    </row>
    <row r="411">
      <c r="A411" s="1" t="n">
        <v>42598</v>
      </c>
      <c r="B411" s="3">
        <f>IF(ISNUMBER(AVERAGE('20250815_ETF_Options_Exhibits'!B407:B411)),AVERAGE('20250815_ETF_Options_Exhibits'!B407:B411),"")</f>
        <v/>
      </c>
      <c r="C411" s="3">
        <f>IF(ISNUMBER(AVERAGE('20250815_ETF_Options_Exhibits'!C407:C411)),AVERAGE('20250815_ETF_Options_Exhibits'!C407:C411),"")</f>
        <v/>
      </c>
      <c r="D411" s="3">
        <f>IF(ISNUMBER(AVERAGE('20250815_ETF_Options_Exhibits'!D407:D411)),AVERAGE('20250815_ETF_Options_Exhibits'!D407:D411),"")</f>
        <v/>
      </c>
      <c r="E411" s="3">
        <f>IF(ISNUMBER(AVERAGE('20250815_ETF_Options_Exhibits'!E407:E411)),AVERAGE('20250815_ETF_Options_Exhibits'!E407:E411),"")</f>
        <v/>
      </c>
      <c r="F411" s="3">
        <f>IF(ISNUMBER(AVERAGE('20250815_ETF_Options_Exhibits'!F407:F411)),AVERAGE('20250815_ETF_Options_Exhibits'!F407:F411),"")</f>
        <v/>
      </c>
      <c r="G411" s="3">
        <f>IF(ISNUMBER(AVERAGE('20250815_ETF_Options_Exhibits'!G407:G411)),AVERAGE('20250815_ETF_Options_Exhibits'!G407:G411),"")</f>
        <v/>
      </c>
      <c r="H411" s="3">
        <f>IF(ISNUMBER(AVERAGE('20250815_ETF_Options_Exhibits'!H407:H411)),AVERAGE('20250815_ETF_Options_Exhibits'!H407:H411),"")</f>
        <v/>
      </c>
      <c r="I411" s="3">
        <f>IF(ISNUMBER(AVERAGE('20250815_ETF_Options_Exhibits'!I407:I411)),AVERAGE('20250815_ETF_Options_Exhibits'!I407:I411),"")</f>
        <v/>
      </c>
      <c r="J411" s="3">
        <f>IF(ISNUMBER(AVERAGE('20250815_ETF_Options_Exhibits'!J407:J411)),AVERAGE('20250815_ETF_Options_Exhibits'!J407:J411),"")</f>
        <v/>
      </c>
      <c r="K411" s="3">
        <f>IF(ISNUMBER(AVERAGE('20250815_ETF_Options_Exhibits'!K407:K411)),AVERAGE('20250815_ETF_Options_Exhibits'!K407:K411),"")</f>
        <v/>
      </c>
      <c r="L411" s="3">
        <f>IF(ISNUMBER(AVERAGE('20250815_ETF_Options_Exhibits'!L407:L411)),AVERAGE('20250815_ETF_Options_Exhibits'!L407:L411),"")</f>
        <v/>
      </c>
      <c r="M411" s="3">
        <f>IF(ISNUMBER(AVERAGE('20250815_ETF_Options_Exhibits'!M407:M411)),AVERAGE('20250815_ETF_Options_Exhibits'!M407:M411),"")</f>
        <v/>
      </c>
      <c r="N411" s="3">
        <f>IF(ISNUMBER(AVERAGE('20250815_ETF_Options_Exhibits'!N407:N411)),AVERAGE('20250815_ETF_Options_Exhibits'!N407:N411),"")</f>
        <v/>
      </c>
      <c r="O411" s="3">
        <f>IF(ISNUMBER(AVERAGE('20250815_ETF_Options_Exhibits'!O407:O411)),AVERAGE('20250815_ETF_Options_Exhibits'!O407:O411),"")</f>
        <v/>
      </c>
      <c r="P411" s="3">
        <f>IF(ISNUMBER(AVERAGE('20250815_ETF_Options_Exhibits'!P407:P411)),AVERAGE('20250815_ETF_Options_Exhibits'!P407:P411),"")</f>
        <v/>
      </c>
      <c r="Q411" s="3">
        <f>IF(ISNUMBER(AVERAGE('20250815_ETF_Options_Exhibits'!Q407:Q411)),AVERAGE('20250815_ETF_Options_Exhibits'!Q407:Q411),"")</f>
        <v/>
      </c>
      <c r="R411" s="3">
        <f>IF(ISNUMBER(AVERAGE('20250815_ETF_Options_Exhibits'!R407:R411)),AVERAGE('20250815_ETF_Options_Exhibits'!R407:R411),"")</f>
        <v/>
      </c>
      <c r="S411" s="3">
        <f>IF(ISNUMBER(AVERAGE('20250815_ETF_Options_Exhibits'!S407:S411)),AVERAGE('20250815_ETF_Options_Exhibits'!S407:S411),"")</f>
        <v/>
      </c>
      <c r="T411" s="3">
        <f>IF(ISNUMBER(AVERAGE('20250815_ETF_Options_Exhibits'!T407:T411)),AVERAGE('20250815_ETF_Options_Exhibits'!T407:T411),"")</f>
        <v/>
      </c>
      <c r="U411" s="3">
        <f>IF(ISNUMBER(AVERAGE('20250815_ETF_Options_Exhibits'!U407:U411)),AVERAGE('20250815_ETF_Options_Exhibits'!U407:U411),"")</f>
        <v/>
      </c>
      <c r="V411" s="3">
        <f>IF(ISNUMBER(AVERAGE('20250815_ETF_Options_Exhibits'!V407:V411)),AVERAGE('20250815_ETF_Options_Exhibits'!V407:V411),"")</f>
        <v/>
      </c>
      <c r="W411" s="3">
        <f>IF(ISNUMBER(AVERAGE('20250815_ETF_Options_Exhibits'!W407:W411)),AVERAGE('20250815_ETF_Options_Exhibits'!W407:W411),"")</f>
        <v/>
      </c>
      <c r="X411" s="3">
        <f>IF(ISNUMBER(AVERAGE('20250815_ETF_Options_Exhibits'!X407:X411)),AVERAGE('20250815_ETF_Options_Exhibits'!X407:X411),"")</f>
        <v/>
      </c>
      <c r="Y411" s="3">
        <f>IF(ISNUMBER(AVERAGE('20250815_ETF_Options_Exhibits'!Y407:Y411)),AVERAGE('20250815_ETF_Options_Exhibits'!Y407:Y411),"")</f>
        <v/>
      </c>
      <c r="Z411" s="3">
        <f>IF(ISNUMBER(AVERAGE('20250815_ETF_Options_Exhibits'!Z407:Z411)),AVERAGE('20250815_ETF_Options_Exhibits'!Z407:Z411),"")</f>
        <v/>
      </c>
      <c r="AA411" s="3">
        <f>IF(ISNUMBER(AVERAGE('20250815_ETF_Options_Exhibits'!AA407:AA411)),AVERAGE('20250815_ETF_Options_Exhibits'!AA407:AA411),"")</f>
        <v/>
      </c>
    </row>
    <row r="412">
      <c r="A412" s="1" t="n">
        <v>42599</v>
      </c>
      <c r="B412" s="3">
        <f>IF(ISNUMBER(AVERAGE('20250815_ETF_Options_Exhibits'!B408:B412)),AVERAGE('20250815_ETF_Options_Exhibits'!B408:B412),"")</f>
        <v/>
      </c>
      <c r="C412" s="3">
        <f>IF(ISNUMBER(AVERAGE('20250815_ETF_Options_Exhibits'!C408:C412)),AVERAGE('20250815_ETF_Options_Exhibits'!C408:C412),"")</f>
        <v/>
      </c>
      <c r="D412" s="3">
        <f>IF(ISNUMBER(AVERAGE('20250815_ETF_Options_Exhibits'!D408:D412)),AVERAGE('20250815_ETF_Options_Exhibits'!D408:D412),"")</f>
        <v/>
      </c>
      <c r="E412" s="3">
        <f>IF(ISNUMBER(AVERAGE('20250815_ETF_Options_Exhibits'!E408:E412)),AVERAGE('20250815_ETF_Options_Exhibits'!E408:E412),"")</f>
        <v/>
      </c>
      <c r="F412" s="3">
        <f>IF(ISNUMBER(AVERAGE('20250815_ETF_Options_Exhibits'!F408:F412)),AVERAGE('20250815_ETF_Options_Exhibits'!F408:F412),"")</f>
        <v/>
      </c>
      <c r="G412" s="3">
        <f>IF(ISNUMBER(AVERAGE('20250815_ETF_Options_Exhibits'!G408:G412)),AVERAGE('20250815_ETF_Options_Exhibits'!G408:G412),"")</f>
        <v/>
      </c>
      <c r="H412" s="3">
        <f>IF(ISNUMBER(AVERAGE('20250815_ETF_Options_Exhibits'!H408:H412)),AVERAGE('20250815_ETF_Options_Exhibits'!H408:H412),"")</f>
        <v/>
      </c>
      <c r="I412" s="3">
        <f>IF(ISNUMBER(AVERAGE('20250815_ETF_Options_Exhibits'!I408:I412)),AVERAGE('20250815_ETF_Options_Exhibits'!I408:I412),"")</f>
        <v/>
      </c>
      <c r="J412" s="3">
        <f>IF(ISNUMBER(AVERAGE('20250815_ETF_Options_Exhibits'!J408:J412)),AVERAGE('20250815_ETF_Options_Exhibits'!J408:J412),"")</f>
        <v/>
      </c>
      <c r="K412" s="3">
        <f>IF(ISNUMBER(AVERAGE('20250815_ETF_Options_Exhibits'!K408:K412)),AVERAGE('20250815_ETF_Options_Exhibits'!K408:K412),"")</f>
        <v/>
      </c>
      <c r="L412" s="3">
        <f>IF(ISNUMBER(AVERAGE('20250815_ETF_Options_Exhibits'!L408:L412)),AVERAGE('20250815_ETF_Options_Exhibits'!L408:L412),"")</f>
        <v/>
      </c>
      <c r="M412" s="3">
        <f>IF(ISNUMBER(AVERAGE('20250815_ETF_Options_Exhibits'!M408:M412)),AVERAGE('20250815_ETF_Options_Exhibits'!M408:M412),"")</f>
        <v/>
      </c>
      <c r="N412" s="3">
        <f>IF(ISNUMBER(AVERAGE('20250815_ETF_Options_Exhibits'!N408:N412)),AVERAGE('20250815_ETF_Options_Exhibits'!N408:N412),"")</f>
        <v/>
      </c>
      <c r="O412" s="3">
        <f>IF(ISNUMBER(AVERAGE('20250815_ETF_Options_Exhibits'!O408:O412)),AVERAGE('20250815_ETF_Options_Exhibits'!O408:O412),"")</f>
        <v/>
      </c>
      <c r="P412" s="3">
        <f>IF(ISNUMBER(AVERAGE('20250815_ETF_Options_Exhibits'!P408:P412)),AVERAGE('20250815_ETF_Options_Exhibits'!P408:P412),"")</f>
        <v/>
      </c>
      <c r="Q412" s="3">
        <f>IF(ISNUMBER(AVERAGE('20250815_ETF_Options_Exhibits'!Q408:Q412)),AVERAGE('20250815_ETF_Options_Exhibits'!Q408:Q412),"")</f>
        <v/>
      </c>
      <c r="R412" s="3">
        <f>IF(ISNUMBER(AVERAGE('20250815_ETF_Options_Exhibits'!R408:R412)),AVERAGE('20250815_ETF_Options_Exhibits'!R408:R412),"")</f>
        <v/>
      </c>
      <c r="S412" s="3">
        <f>IF(ISNUMBER(AVERAGE('20250815_ETF_Options_Exhibits'!S408:S412)),AVERAGE('20250815_ETF_Options_Exhibits'!S408:S412),"")</f>
        <v/>
      </c>
      <c r="T412" s="3">
        <f>IF(ISNUMBER(AVERAGE('20250815_ETF_Options_Exhibits'!T408:T412)),AVERAGE('20250815_ETF_Options_Exhibits'!T408:T412),"")</f>
        <v/>
      </c>
      <c r="U412" s="3">
        <f>IF(ISNUMBER(AVERAGE('20250815_ETF_Options_Exhibits'!U408:U412)),AVERAGE('20250815_ETF_Options_Exhibits'!U408:U412),"")</f>
        <v/>
      </c>
      <c r="V412" s="3">
        <f>IF(ISNUMBER(AVERAGE('20250815_ETF_Options_Exhibits'!V408:V412)),AVERAGE('20250815_ETF_Options_Exhibits'!V408:V412),"")</f>
        <v/>
      </c>
      <c r="W412" s="3">
        <f>IF(ISNUMBER(AVERAGE('20250815_ETF_Options_Exhibits'!W408:W412)),AVERAGE('20250815_ETF_Options_Exhibits'!W408:W412),"")</f>
        <v/>
      </c>
      <c r="X412" s="3">
        <f>IF(ISNUMBER(AVERAGE('20250815_ETF_Options_Exhibits'!X408:X412)),AVERAGE('20250815_ETF_Options_Exhibits'!X408:X412),"")</f>
        <v/>
      </c>
      <c r="Y412" s="3">
        <f>IF(ISNUMBER(AVERAGE('20250815_ETF_Options_Exhibits'!Y408:Y412)),AVERAGE('20250815_ETF_Options_Exhibits'!Y408:Y412),"")</f>
        <v/>
      </c>
      <c r="Z412" s="3">
        <f>IF(ISNUMBER(AVERAGE('20250815_ETF_Options_Exhibits'!Z408:Z412)),AVERAGE('20250815_ETF_Options_Exhibits'!Z408:Z412),"")</f>
        <v/>
      </c>
      <c r="AA412" s="3">
        <f>IF(ISNUMBER(AVERAGE('20250815_ETF_Options_Exhibits'!AA408:AA412)),AVERAGE('20250815_ETF_Options_Exhibits'!AA408:AA412),"")</f>
        <v/>
      </c>
    </row>
    <row r="413">
      <c r="A413" s="1" t="n">
        <v>42600</v>
      </c>
      <c r="B413" s="3">
        <f>IF(ISNUMBER(AVERAGE('20250815_ETF_Options_Exhibits'!B409:B413)),AVERAGE('20250815_ETF_Options_Exhibits'!B409:B413),"")</f>
        <v/>
      </c>
      <c r="C413" s="3">
        <f>IF(ISNUMBER(AVERAGE('20250815_ETF_Options_Exhibits'!C409:C413)),AVERAGE('20250815_ETF_Options_Exhibits'!C409:C413),"")</f>
        <v/>
      </c>
      <c r="D413" s="3">
        <f>IF(ISNUMBER(AVERAGE('20250815_ETF_Options_Exhibits'!D409:D413)),AVERAGE('20250815_ETF_Options_Exhibits'!D409:D413),"")</f>
        <v/>
      </c>
      <c r="E413" s="3">
        <f>IF(ISNUMBER(AVERAGE('20250815_ETF_Options_Exhibits'!E409:E413)),AVERAGE('20250815_ETF_Options_Exhibits'!E409:E413),"")</f>
        <v/>
      </c>
      <c r="F413" s="3">
        <f>IF(ISNUMBER(AVERAGE('20250815_ETF_Options_Exhibits'!F409:F413)),AVERAGE('20250815_ETF_Options_Exhibits'!F409:F413),"")</f>
        <v/>
      </c>
      <c r="G413" s="3">
        <f>IF(ISNUMBER(AVERAGE('20250815_ETF_Options_Exhibits'!G409:G413)),AVERAGE('20250815_ETF_Options_Exhibits'!G409:G413),"")</f>
        <v/>
      </c>
      <c r="H413" s="3">
        <f>IF(ISNUMBER(AVERAGE('20250815_ETF_Options_Exhibits'!H409:H413)),AVERAGE('20250815_ETF_Options_Exhibits'!H409:H413),"")</f>
        <v/>
      </c>
      <c r="I413" s="3">
        <f>IF(ISNUMBER(AVERAGE('20250815_ETF_Options_Exhibits'!I409:I413)),AVERAGE('20250815_ETF_Options_Exhibits'!I409:I413),"")</f>
        <v/>
      </c>
      <c r="J413" s="3">
        <f>IF(ISNUMBER(AVERAGE('20250815_ETF_Options_Exhibits'!J409:J413)),AVERAGE('20250815_ETF_Options_Exhibits'!J409:J413),"")</f>
        <v/>
      </c>
      <c r="K413" s="3">
        <f>IF(ISNUMBER(AVERAGE('20250815_ETF_Options_Exhibits'!K409:K413)),AVERAGE('20250815_ETF_Options_Exhibits'!K409:K413),"")</f>
        <v/>
      </c>
      <c r="L413" s="3">
        <f>IF(ISNUMBER(AVERAGE('20250815_ETF_Options_Exhibits'!L409:L413)),AVERAGE('20250815_ETF_Options_Exhibits'!L409:L413),"")</f>
        <v/>
      </c>
      <c r="M413" s="3">
        <f>IF(ISNUMBER(AVERAGE('20250815_ETF_Options_Exhibits'!M409:M413)),AVERAGE('20250815_ETF_Options_Exhibits'!M409:M413),"")</f>
        <v/>
      </c>
      <c r="N413" s="3">
        <f>IF(ISNUMBER(AVERAGE('20250815_ETF_Options_Exhibits'!N409:N413)),AVERAGE('20250815_ETF_Options_Exhibits'!N409:N413),"")</f>
        <v/>
      </c>
      <c r="O413" s="3">
        <f>IF(ISNUMBER(AVERAGE('20250815_ETF_Options_Exhibits'!O409:O413)),AVERAGE('20250815_ETF_Options_Exhibits'!O409:O413),"")</f>
        <v/>
      </c>
      <c r="P413" s="3">
        <f>IF(ISNUMBER(AVERAGE('20250815_ETF_Options_Exhibits'!P409:P413)),AVERAGE('20250815_ETF_Options_Exhibits'!P409:P413),"")</f>
        <v/>
      </c>
      <c r="Q413" s="3">
        <f>IF(ISNUMBER(AVERAGE('20250815_ETF_Options_Exhibits'!Q409:Q413)),AVERAGE('20250815_ETF_Options_Exhibits'!Q409:Q413),"")</f>
        <v/>
      </c>
      <c r="R413" s="3">
        <f>IF(ISNUMBER(AVERAGE('20250815_ETF_Options_Exhibits'!R409:R413)),AVERAGE('20250815_ETF_Options_Exhibits'!R409:R413),"")</f>
        <v/>
      </c>
      <c r="S413" s="3">
        <f>IF(ISNUMBER(AVERAGE('20250815_ETF_Options_Exhibits'!S409:S413)),AVERAGE('20250815_ETF_Options_Exhibits'!S409:S413),"")</f>
        <v/>
      </c>
      <c r="T413" s="3">
        <f>IF(ISNUMBER(AVERAGE('20250815_ETF_Options_Exhibits'!T409:T413)),AVERAGE('20250815_ETF_Options_Exhibits'!T409:T413),"")</f>
        <v/>
      </c>
      <c r="U413" s="3">
        <f>IF(ISNUMBER(AVERAGE('20250815_ETF_Options_Exhibits'!U409:U413)),AVERAGE('20250815_ETF_Options_Exhibits'!U409:U413),"")</f>
        <v/>
      </c>
      <c r="V413" s="3">
        <f>IF(ISNUMBER(AVERAGE('20250815_ETF_Options_Exhibits'!V409:V413)),AVERAGE('20250815_ETF_Options_Exhibits'!V409:V413),"")</f>
        <v/>
      </c>
      <c r="W413" s="3">
        <f>IF(ISNUMBER(AVERAGE('20250815_ETF_Options_Exhibits'!W409:W413)),AVERAGE('20250815_ETF_Options_Exhibits'!W409:W413),"")</f>
        <v/>
      </c>
      <c r="X413" s="3">
        <f>IF(ISNUMBER(AVERAGE('20250815_ETF_Options_Exhibits'!X409:X413)),AVERAGE('20250815_ETF_Options_Exhibits'!X409:X413),"")</f>
        <v/>
      </c>
      <c r="Y413" s="3">
        <f>IF(ISNUMBER(AVERAGE('20250815_ETF_Options_Exhibits'!Y409:Y413)),AVERAGE('20250815_ETF_Options_Exhibits'!Y409:Y413),"")</f>
        <v/>
      </c>
      <c r="Z413" s="3">
        <f>IF(ISNUMBER(AVERAGE('20250815_ETF_Options_Exhibits'!Z409:Z413)),AVERAGE('20250815_ETF_Options_Exhibits'!Z409:Z413),"")</f>
        <v/>
      </c>
      <c r="AA413" s="3">
        <f>IF(ISNUMBER(AVERAGE('20250815_ETF_Options_Exhibits'!AA409:AA413)),AVERAGE('20250815_ETF_Options_Exhibits'!AA409:AA413),"")</f>
        <v/>
      </c>
    </row>
    <row r="414">
      <c r="A414" s="1" t="n">
        <v>42601</v>
      </c>
      <c r="B414" s="3">
        <f>IF(ISNUMBER(AVERAGE('20250815_ETF_Options_Exhibits'!B410:B414)),AVERAGE('20250815_ETF_Options_Exhibits'!B410:B414),"")</f>
        <v/>
      </c>
      <c r="C414" s="3">
        <f>IF(ISNUMBER(AVERAGE('20250815_ETF_Options_Exhibits'!C410:C414)),AVERAGE('20250815_ETF_Options_Exhibits'!C410:C414),"")</f>
        <v/>
      </c>
      <c r="D414" s="3">
        <f>IF(ISNUMBER(AVERAGE('20250815_ETF_Options_Exhibits'!D410:D414)),AVERAGE('20250815_ETF_Options_Exhibits'!D410:D414),"")</f>
        <v/>
      </c>
      <c r="E414" s="3">
        <f>IF(ISNUMBER(AVERAGE('20250815_ETF_Options_Exhibits'!E410:E414)),AVERAGE('20250815_ETF_Options_Exhibits'!E410:E414),"")</f>
        <v/>
      </c>
      <c r="F414" s="3">
        <f>IF(ISNUMBER(AVERAGE('20250815_ETF_Options_Exhibits'!F410:F414)),AVERAGE('20250815_ETF_Options_Exhibits'!F410:F414),"")</f>
        <v/>
      </c>
      <c r="G414" s="3">
        <f>IF(ISNUMBER(AVERAGE('20250815_ETF_Options_Exhibits'!G410:G414)),AVERAGE('20250815_ETF_Options_Exhibits'!G410:G414),"")</f>
        <v/>
      </c>
      <c r="H414" s="3">
        <f>IF(ISNUMBER(AVERAGE('20250815_ETF_Options_Exhibits'!H410:H414)),AVERAGE('20250815_ETF_Options_Exhibits'!H410:H414),"")</f>
        <v/>
      </c>
      <c r="I414" s="3">
        <f>IF(ISNUMBER(AVERAGE('20250815_ETF_Options_Exhibits'!I410:I414)),AVERAGE('20250815_ETF_Options_Exhibits'!I410:I414),"")</f>
        <v/>
      </c>
      <c r="J414" s="3">
        <f>IF(ISNUMBER(AVERAGE('20250815_ETF_Options_Exhibits'!J410:J414)),AVERAGE('20250815_ETF_Options_Exhibits'!J410:J414),"")</f>
        <v/>
      </c>
      <c r="K414" s="3">
        <f>IF(ISNUMBER(AVERAGE('20250815_ETF_Options_Exhibits'!K410:K414)),AVERAGE('20250815_ETF_Options_Exhibits'!K410:K414),"")</f>
        <v/>
      </c>
      <c r="L414" s="3">
        <f>IF(ISNUMBER(AVERAGE('20250815_ETF_Options_Exhibits'!L410:L414)),AVERAGE('20250815_ETF_Options_Exhibits'!L410:L414),"")</f>
        <v/>
      </c>
      <c r="M414" s="3">
        <f>IF(ISNUMBER(AVERAGE('20250815_ETF_Options_Exhibits'!M410:M414)),AVERAGE('20250815_ETF_Options_Exhibits'!M410:M414),"")</f>
        <v/>
      </c>
      <c r="N414" s="3">
        <f>IF(ISNUMBER(AVERAGE('20250815_ETF_Options_Exhibits'!N410:N414)),AVERAGE('20250815_ETF_Options_Exhibits'!N410:N414),"")</f>
        <v/>
      </c>
      <c r="O414" s="3">
        <f>IF(ISNUMBER(AVERAGE('20250815_ETF_Options_Exhibits'!O410:O414)),AVERAGE('20250815_ETF_Options_Exhibits'!O410:O414),"")</f>
        <v/>
      </c>
      <c r="P414" s="3">
        <f>IF(ISNUMBER(AVERAGE('20250815_ETF_Options_Exhibits'!P410:P414)),AVERAGE('20250815_ETF_Options_Exhibits'!P410:P414),"")</f>
        <v/>
      </c>
      <c r="Q414" s="3">
        <f>IF(ISNUMBER(AVERAGE('20250815_ETF_Options_Exhibits'!Q410:Q414)),AVERAGE('20250815_ETF_Options_Exhibits'!Q410:Q414),"")</f>
        <v/>
      </c>
      <c r="R414" s="3">
        <f>IF(ISNUMBER(AVERAGE('20250815_ETF_Options_Exhibits'!R410:R414)),AVERAGE('20250815_ETF_Options_Exhibits'!R410:R414),"")</f>
        <v/>
      </c>
      <c r="S414" s="3">
        <f>IF(ISNUMBER(AVERAGE('20250815_ETF_Options_Exhibits'!S410:S414)),AVERAGE('20250815_ETF_Options_Exhibits'!S410:S414),"")</f>
        <v/>
      </c>
      <c r="T414" s="3">
        <f>IF(ISNUMBER(AVERAGE('20250815_ETF_Options_Exhibits'!T410:T414)),AVERAGE('20250815_ETF_Options_Exhibits'!T410:T414),"")</f>
        <v/>
      </c>
      <c r="U414" s="3">
        <f>IF(ISNUMBER(AVERAGE('20250815_ETF_Options_Exhibits'!U410:U414)),AVERAGE('20250815_ETF_Options_Exhibits'!U410:U414),"")</f>
        <v/>
      </c>
      <c r="V414" s="3">
        <f>IF(ISNUMBER(AVERAGE('20250815_ETF_Options_Exhibits'!V410:V414)),AVERAGE('20250815_ETF_Options_Exhibits'!V410:V414),"")</f>
        <v/>
      </c>
      <c r="W414" s="3">
        <f>IF(ISNUMBER(AVERAGE('20250815_ETF_Options_Exhibits'!W410:W414)),AVERAGE('20250815_ETF_Options_Exhibits'!W410:W414),"")</f>
        <v/>
      </c>
      <c r="X414" s="3">
        <f>IF(ISNUMBER(AVERAGE('20250815_ETF_Options_Exhibits'!X410:X414)),AVERAGE('20250815_ETF_Options_Exhibits'!X410:X414),"")</f>
        <v/>
      </c>
      <c r="Y414" s="3">
        <f>IF(ISNUMBER(AVERAGE('20250815_ETF_Options_Exhibits'!Y410:Y414)),AVERAGE('20250815_ETF_Options_Exhibits'!Y410:Y414),"")</f>
        <v/>
      </c>
      <c r="Z414" s="3">
        <f>IF(ISNUMBER(AVERAGE('20250815_ETF_Options_Exhibits'!Z410:Z414)),AVERAGE('20250815_ETF_Options_Exhibits'!Z410:Z414),"")</f>
        <v/>
      </c>
      <c r="AA414" s="3">
        <f>IF(ISNUMBER(AVERAGE('20250815_ETF_Options_Exhibits'!AA410:AA414)),AVERAGE('20250815_ETF_Options_Exhibits'!AA410:AA414),"")</f>
        <v/>
      </c>
    </row>
    <row r="415">
      <c r="A415" s="1" t="n">
        <v>42604</v>
      </c>
      <c r="B415" s="3">
        <f>IF(ISNUMBER(AVERAGE('20250815_ETF_Options_Exhibits'!B411:B415)),AVERAGE('20250815_ETF_Options_Exhibits'!B411:B415),"")</f>
        <v/>
      </c>
      <c r="C415" s="3">
        <f>IF(ISNUMBER(AVERAGE('20250815_ETF_Options_Exhibits'!C411:C415)),AVERAGE('20250815_ETF_Options_Exhibits'!C411:C415),"")</f>
        <v/>
      </c>
      <c r="D415" s="3">
        <f>IF(ISNUMBER(AVERAGE('20250815_ETF_Options_Exhibits'!D411:D415)),AVERAGE('20250815_ETF_Options_Exhibits'!D411:D415),"")</f>
        <v/>
      </c>
      <c r="E415" s="3">
        <f>IF(ISNUMBER(AVERAGE('20250815_ETF_Options_Exhibits'!E411:E415)),AVERAGE('20250815_ETF_Options_Exhibits'!E411:E415),"")</f>
        <v/>
      </c>
      <c r="F415" s="3">
        <f>IF(ISNUMBER(AVERAGE('20250815_ETF_Options_Exhibits'!F411:F415)),AVERAGE('20250815_ETF_Options_Exhibits'!F411:F415),"")</f>
        <v/>
      </c>
      <c r="G415" s="3">
        <f>IF(ISNUMBER(AVERAGE('20250815_ETF_Options_Exhibits'!G411:G415)),AVERAGE('20250815_ETF_Options_Exhibits'!G411:G415),"")</f>
        <v/>
      </c>
      <c r="H415" s="3">
        <f>IF(ISNUMBER(AVERAGE('20250815_ETF_Options_Exhibits'!H411:H415)),AVERAGE('20250815_ETF_Options_Exhibits'!H411:H415),"")</f>
        <v/>
      </c>
      <c r="I415" s="3">
        <f>IF(ISNUMBER(AVERAGE('20250815_ETF_Options_Exhibits'!I411:I415)),AVERAGE('20250815_ETF_Options_Exhibits'!I411:I415),"")</f>
        <v/>
      </c>
      <c r="J415" s="3">
        <f>IF(ISNUMBER(AVERAGE('20250815_ETF_Options_Exhibits'!J411:J415)),AVERAGE('20250815_ETF_Options_Exhibits'!J411:J415),"")</f>
        <v/>
      </c>
      <c r="K415" s="3">
        <f>IF(ISNUMBER(AVERAGE('20250815_ETF_Options_Exhibits'!K411:K415)),AVERAGE('20250815_ETF_Options_Exhibits'!K411:K415),"")</f>
        <v/>
      </c>
      <c r="L415" s="3">
        <f>IF(ISNUMBER(AVERAGE('20250815_ETF_Options_Exhibits'!L411:L415)),AVERAGE('20250815_ETF_Options_Exhibits'!L411:L415),"")</f>
        <v/>
      </c>
      <c r="M415" s="3">
        <f>IF(ISNUMBER(AVERAGE('20250815_ETF_Options_Exhibits'!M411:M415)),AVERAGE('20250815_ETF_Options_Exhibits'!M411:M415),"")</f>
        <v/>
      </c>
      <c r="N415" s="3">
        <f>IF(ISNUMBER(AVERAGE('20250815_ETF_Options_Exhibits'!N411:N415)),AVERAGE('20250815_ETF_Options_Exhibits'!N411:N415),"")</f>
        <v/>
      </c>
      <c r="O415" s="3">
        <f>IF(ISNUMBER(AVERAGE('20250815_ETF_Options_Exhibits'!O411:O415)),AVERAGE('20250815_ETF_Options_Exhibits'!O411:O415),"")</f>
        <v/>
      </c>
      <c r="P415" s="3">
        <f>IF(ISNUMBER(AVERAGE('20250815_ETF_Options_Exhibits'!P411:P415)),AVERAGE('20250815_ETF_Options_Exhibits'!P411:P415),"")</f>
        <v/>
      </c>
      <c r="Q415" s="3">
        <f>IF(ISNUMBER(AVERAGE('20250815_ETF_Options_Exhibits'!Q411:Q415)),AVERAGE('20250815_ETF_Options_Exhibits'!Q411:Q415),"")</f>
        <v/>
      </c>
      <c r="R415" s="3">
        <f>IF(ISNUMBER(AVERAGE('20250815_ETF_Options_Exhibits'!R411:R415)),AVERAGE('20250815_ETF_Options_Exhibits'!R411:R415),"")</f>
        <v/>
      </c>
      <c r="S415" s="3">
        <f>IF(ISNUMBER(AVERAGE('20250815_ETF_Options_Exhibits'!S411:S415)),AVERAGE('20250815_ETF_Options_Exhibits'!S411:S415),"")</f>
        <v/>
      </c>
      <c r="T415" s="3">
        <f>IF(ISNUMBER(AVERAGE('20250815_ETF_Options_Exhibits'!T411:T415)),AVERAGE('20250815_ETF_Options_Exhibits'!T411:T415),"")</f>
        <v/>
      </c>
      <c r="U415" s="3">
        <f>IF(ISNUMBER(AVERAGE('20250815_ETF_Options_Exhibits'!U411:U415)),AVERAGE('20250815_ETF_Options_Exhibits'!U411:U415),"")</f>
        <v/>
      </c>
      <c r="V415" s="3">
        <f>IF(ISNUMBER(AVERAGE('20250815_ETF_Options_Exhibits'!V411:V415)),AVERAGE('20250815_ETF_Options_Exhibits'!V411:V415),"")</f>
        <v/>
      </c>
      <c r="W415" s="3">
        <f>IF(ISNUMBER(AVERAGE('20250815_ETF_Options_Exhibits'!W411:W415)),AVERAGE('20250815_ETF_Options_Exhibits'!W411:W415),"")</f>
        <v/>
      </c>
      <c r="X415" s="3">
        <f>IF(ISNUMBER(AVERAGE('20250815_ETF_Options_Exhibits'!X411:X415)),AVERAGE('20250815_ETF_Options_Exhibits'!X411:X415),"")</f>
        <v/>
      </c>
      <c r="Y415" s="3">
        <f>IF(ISNUMBER(AVERAGE('20250815_ETF_Options_Exhibits'!Y411:Y415)),AVERAGE('20250815_ETF_Options_Exhibits'!Y411:Y415),"")</f>
        <v/>
      </c>
      <c r="Z415" s="3">
        <f>IF(ISNUMBER(AVERAGE('20250815_ETF_Options_Exhibits'!Z411:Z415)),AVERAGE('20250815_ETF_Options_Exhibits'!Z411:Z415),"")</f>
        <v/>
      </c>
      <c r="AA415" s="3">
        <f>IF(ISNUMBER(AVERAGE('20250815_ETF_Options_Exhibits'!AA411:AA415)),AVERAGE('20250815_ETF_Options_Exhibits'!AA411:AA415),"")</f>
        <v/>
      </c>
    </row>
    <row r="416">
      <c r="A416" s="1" t="n">
        <v>42605</v>
      </c>
      <c r="B416" s="3">
        <f>IF(ISNUMBER(AVERAGE('20250815_ETF_Options_Exhibits'!B412:B416)),AVERAGE('20250815_ETF_Options_Exhibits'!B412:B416),"")</f>
        <v/>
      </c>
      <c r="C416" s="3">
        <f>IF(ISNUMBER(AVERAGE('20250815_ETF_Options_Exhibits'!C412:C416)),AVERAGE('20250815_ETF_Options_Exhibits'!C412:C416),"")</f>
        <v/>
      </c>
      <c r="D416" s="3">
        <f>IF(ISNUMBER(AVERAGE('20250815_ETF_Options_Exhibits'!D412:D416)),AVERAGE('20250815_ETF_Options_Exhibits'!D412:D416),"")</f>
        <v/>
      </c>
      <c r="E416" s="3">
        <f>IF(ISNUMBER(AVERAGE('20250815_ETF_Options_Exhibits'!E412:E416)),AVERAGE('20250815_ETF_Options_Exhibits'!E412:E416),"")</f>
        <v/>
      </c>
      <c r="F416" s="3">
        <f>IF(ISNUMBER(AVERAGE('20250815_ETF_Options_Exhibits'!F412:F416)),AVERAGE('20250815_ETF_Options_Exhibits'!F412:F416),"")</f>
        <v/>
      </c>
      <c r="G416" s="3">
        <f>IF(ISNUMBER(AVERAGE('20250815_ETF_Options_Exhibits'!G412:G416)),AVERAGE('20250815_ETF_Options_Exhibits'!G412:G416),"")</f>
        <v/>
      </c>
      <c r="H416" s="3">
        <f>IF(ISNUMBER(AVERAGE('20250815_ETF_Options_Exhibits'!H412:H416)),AVERAGE('20250815_ETF_Options_Exhibits'!H412:H416),"")</f>
        <v/>
      </c>
      <c r="I416" s="3">
        <f>IF(ISNUMBER(AVERAGE('20250815_ETF_Options_Exhibits'!I412:I416)),AVERAGE('20250815_ETF_Options_Exhibits'!I412:I416),"")</f>
        <v/>
      </c>
      <c r="J416" s="3">
        <f>IF(ISNUMBER(AVERAGE('20250815_ETF_Options_Exhibits'!J412:J416)),AVERAGE('20250815_ETF_Options_Exhibits'!J412:J416),"")</f>
        <v/>
      </c>
      <c r="K416" s="3">
        <f>IF(ISNUMBER(AVERAGE('20250815_ETF_Options_Exhibits'!K412:K416)),AVERAGE('20250815_ETF_Options_Exhibits'!K412:K416),"")</f>
        <v/>
      </c>
      <c r="L416" s="3">
        <f>IF(ISNUMBER(AVERAGE('20250815_ETF_Options_Exhibits'!L412:L416)),AVERAGE('20250815_ETF_Options_Exhibits'!L412:L416),"")</f>
        <v/>
      </c>
      <c r="M416" s="3">
        <f>IF(ISNUMBER(AVERAGE('20250815_ETF_Options_Exhibits'!M412:M416)),AVERAGE('20250815_ETF_Options_Exhibits'!M412:M416),"")</f>
        <v/>
      </c>
      <c r="N416" s="3">
        <f>IF(ISNUMBER(AVERAGE('20250815_ETF_Options_Exhibits'!N412:N416)),AVERAGE('20250815_ETF_Options_Exhibits'!N412:N416),"")</f>
        <v/>
      </c>
      <c r="O416" s="3">
        <f>IF(ISNUMBER(AVERAGE('20250815_ETF_Options_Exhibits'!O412:O416)),AVERAGE('20250815_ETF_Options_Exhibits'!O412:O416),"")</f>
        <v/>
      </c>
      <c r="P416" s="3">
        <f>IF(ISNUMBER(AVERAGE('20250815_ETF_Options_Exhibits'!P412:P416)),AVERAGE('20250815_ETF_Options_Exhibits'!P412:P416),"")</f>
        <v/>
      </c>
      <c r="Q416" s="3">
        <f>IF(ISNUMBER(AVERAGE('20250815_ETF_Options_Exhibits'!Q412:Q416)),AVERAGE('20250815_ETF_Options_Exhibits'!Q412:Q416),"")</f>
        <v/>
      </c>
      <c r="R416" s="3">
        <f>IF(ISNUMBER(AVERAGE('20250815_ETF_Options_Exhibits'!R412:R416)),AVERAGE('20250815_ETF_Options_Exhibits'!R412:R416),"")</f>
        <v/>
      </c>
      <c r="S416" s="3">
        <f>IF(ISNUMBER(AVERAGE('20250815_ETF_Options_Exhibits'!S412:S416)),AVERAGE('20250815_ETF_Options_Exhibits'!S412:S416),"")</f>
        <v/>
      </c>
      <c r="T416" s="3">
        <f>IF(ISNUMBER(AVERAGE('20250815_ETF_Options_Exhibits'!T412:T416)),AVERAGE('20250815_ETF_Options_Exhibits'!T412:T416),"")</f>
        <v/>
      </c>
      <c r="U416" s="3">
        <f>IF(ISNUMBER(AVERAGE('20250815_ETF_Options_Exhibits'!U412:U416)),AVERAGE('20250815_ETF_Options_Exhibits'!U412:U416),"")</f>
        <v/>
      </c>
      <c r="V416" s="3">
        <f>IF(ISNUMBER(AVERAGE('20250815_ETF_Options_Exhibits'!V412:V416)),AVERAGE('20250815_ETF_Options_Exhibits'!V412:V416),"")</f>
        <v/>
      </c>
      <c r="W416" s="3">
        <f>IF(ISNUMBER(AVERAGE('20250815_ETF_Options_Exhibits'!W412:W416)),AVERAGE('20250815_ETF_Options_Exhibits'!W412:W416),"")</f>
        <v/>
      </c>
      <c r="X416" s="3">
        <f>IF(ISNUMBER(AVERAGE('20250815_ETF_Options_Exhibits'!X412:X416)),AVERAGE('20250815_ETF_Options_Exhibits'!X412:X416),"")</f>
        <v/>
      </c>
      <c r="Y416" s="3">
        <f>IF(ISNUMBER(AVERAGE('20250815_ETF_Options_Exhibits'!Y412:Y416)),AVERAGE('20250815_ETF_Options_Exhibits'!Y412:Y416),"")</f>
        <v/>
      </c>
      <c r="Z416" s="3">
        <f>IF(ISNUMBER(AVERAGE('20250815_ETF_Options_Exhibits'!Z412:Z416)),AVERAGE('20250815_ETF_Options_Exhibits'!Z412:Z416),"")</f>
        <v/>
      </c>
      <c r="AA416" s="3">
        <f>IF(ISNUMBER(AVERAGE('20250815_ETF_Options_Exhibits'!AA412:AA416)),AVERAGE('20250815_ETF_Options_Exhibits'!AA412:AA416),"")</f>
        <v/>
      </c>
    </row>
    <row r="417">
      <c r="A417" s="1" t="n">
        <v>42606</v>
      </c>
      <c r="B417" s="3">
        <f>IF(ISNUMBER(AVERAGE('20250815_ETF_Options_Exhibits'!B413:B417)),AVERAGE('20250815_ETF_Options_Exhibits'!B413:B417),"")</f>
        <v/>
      </c>
      <c r="C417" s="3">
        <f>IF(ISNUMBER(AVERAGE('20250815_ETF_Options_Exhibits'!C413:C417)),AVERAGE('20250815_ETF_Options_Exhibits'!C413:C417),"")</f>
        <v/>
      </c>
      <c r="D417" s="3">
        <f>IF(ISNUMBER(AVERAGE('20250815_ETF_Options_Exhibits'!D413:D417)),AVERAGE('20250815_ETF_Options_Exhibits'!D413:D417),"")</f>
        <v/>
      </c>
      <c r="E417" s="3">
        <f>IF(ISNUMBER(AVERAGE('20250815_ETF_Options_Exhibits'!E413:E417)),AVERAGE('20250815_ETF_Options_Exhibits'!E413:E417),"")</f>
        <v/>
      </c>
      <c r="F417" s="3">
        <f>IF(ISNUMBER(AVERAGE('20250815_ETF_Options_Exhibits'!F413:F417)),AVERAGE('20250815_ETF_Options_Exhibits'!F413:F417),"")</f>
        <v/>
      </c>
      <c r="G417" s="3">
        <f>IF(ISNUMBER(AVERAGE('20250815_ETF_Options_Exhibits'!G413:G417)),AVERAGE('20250815_ETF_Options_Exhibits'!G413:G417),"")</f>
        <v/>
      </c>
      <c r="H417" s="3">
        <f>IF(ISNUMBER(AVERAGE('20250815_ETF_Options_Exhibits'!H413:H417)),AVERAGE('20250815_ETF_Options_Exhibits'!H413:H417),"")</f>
        <v/>
      </c>
      <c r="I417" s="3">
        <f>IF(ISNUMBER(AVERAGE('20250815_ETF_Options_Exhibits'!I413:I417)),AVERAGE('20250815_ETF_Options_Exhibits'!I413:I417),"")</f>
        <v/>
      </c>
      <c r="J417" s="3">
        <f>IF(ISNUMBER(AVERAGE('20250815_ETF_Options_Exhibits'!J413:J417)),AVERAGE('20250815_ETF_Options_Exhibits'!J413:J417),"")</f>
        <v/>
      </c>
      <c r="K417" s="3">
        <f>IF(ISNUMBER(AVERAGE('20250815_ETF_Options_Exhibits'!K413:K417)),AVERAGE('20250815_ETF_Options_Exhibits'!K413:K417),"")</f>
        <v/>
      </c>
      <c r="L417" s="3">
        <f>IF(ISNUMBER(AVERAGE('20250815_ETF_Options_Exhibits'!L413:L417)),AVERAGE('20250815_ETF_Options_Exhibits'!L413:L417),"")</f>
        <v/>
      </c>
      <c r="M417" s="3">
        <f>IF(ISNUMBER(AVERAGE('20250815_ETF_Options_Exhibits'!M413:M417)),AVERAGE('20250815_ETF_Options_Exhibits'!M413:M417),"")</f>
        <v/>
      </c>
      <c r="N417" s="3">
        <f>IF(ISNUMBER(AVERAGE('20250815_ETF_Options_Exhibits'!N413:N417)),AVERAGE('20250815_ETF_Options_Exhibits'!N413:N417),"")</f>
        <v/>
      </c>
      <c r="O417" s="3">
        <f>IF(ISNUMBER(AVERAGE('20250815_ETF_Options_Exhibits'!O413:O417)),AVERAGE('20250815_ETF_Options_Exhibits'!O413:O417),"")</f>
        <v/>
      </c>
      <c r="P417" s="3">
        <f>IF(ISNUMBER(AVERAGE('20250815_ETF_Options_Exhibits'!P413:P417)),AVERAGE('20250815_ETF_Options_Exhibits'!P413:P417),"")</f>
        <v/>
      </c>
      <c r="Q417" s="3">
        <f>IF(ISNUMBER(AVERAGE('20250815_ETF_Options_Exhibits'!Q413:Q417)),AVERAGE('20250815_ETF_Options_Exhibits'!Q413:Q417),"")</f>
        <v/>
      </c>
      <c r="R417" s="3">
        <f>IF(ISNUMBER(AVERAGE('20250815_ETF_Options_Exhibits'!R413:R417)),AVERAGE('20250815_ETF_Options_Exhibits'!R413:R417),"")</f>
        <v/>
      </c>
      <c r="S417" s="3">
        <f>IF(ISNUMBER(AVERAGE('20250815_ETF_Options_Exhibits'!S413:S417)),AVERAGE('20250815_ETF_Options_Exhibits'!S413:S417),"")</f>
        <v/>
      </c>
      <c r="T417" s="3">
        <f>IF(ISNUMBER(AVERAGE('20250815_ETF_Options_Exhibits'!T413:T417)),AVERAGE('20250815_ETF_Options_Exhibits'!T413:T417),"")</f>
        <v/>
      </c>
      <c r="U417" s="3">
        <f>IF(ISNUMBER(AVERAGE('20250815_ETF_Options_Exhibits'!U413:U417)),AVERAGE('20250815_ETF_Options_Exhibits'!U413:U417),"")</f>
        <v/>
      </c>
      <c r="V417" s="3">
        <f>IF(ISNUMBER(AVERAGE('20250815_ETF_Options_Exhibits'!V413:V417)),AVERAGE('20250815_ETF_Options_Exhibits'!V413:V417),"")</f>
        <v/>
      </c>
      <c r="W417" s="3">
        <f>IF(ISNUMBER(AVERAGE('20250815_ETF_Options_Exhibits'!W413:W417)),AVERAGE('20250815_ETF_Options_Exhibits'!W413:W417),"")</f>
        <v/>
      </c>
      <c r="X417" s="3">
        <f>IF(ISNUMBER(AVERAGE('20250815_ETF_Options_Exhibits'!X413:X417)),AVERAGE('20250815_ETF_Options_Exhibits'!X413:X417),"")</f>
        <v/>
      </c>
      <c r="Y417" s="3">
        <f>IF(ISNUMBER(AVERAGE('20250815_ETF_Options_Exhibits'!Y413:Y417)),AVERAGE('20250815_ETF_Options_Exhibits'!Y413:Y417),"")</f>
        <v/>
      </c>
      <c r="Z417" s="3">
        <f>IF(ISNUMBER(AVERAGE('20250815_ETF_Options_Exhibits'!Z413:Z417)),AVERAGE('20250815_ETF_Options_Exhibits'!Z413:Z417),"")</f>
        <v/>
      </c>
      <c r="AA417" s="3">
        <f>IF(ISNUMBER(AVERAGE('20250815_ETF_Options_Exhibits'!AA413:AA417)),AVERAGE('20250815_ETF_Options_Exhibits'!AA413:AA417),"")</f>
        <v/>
      </c>
    </row>
    <row r="418">
      <c r="A418" s="1" t="n">
        <v>42607</v>
      </c>
      <c r="B418" s="3">
        <f>IF(ISNUMBER(AVERAGE('20250815_ETF_Options_Exhibits'!B414:B418)),AVERAGE('20250815_ETF_Options_Exhibits'!B414:B418),"")</f>
        <v/>
      </c>
      <c r="C418" s="3">
        <f>IF(ISNUMBER(AVERAGE('20250815_ETF_Options_Exhibits'!C414:C418)),AVERAGE('20250815_ETF_Options_Exhibits'!C414:C418),"")</f>
        <v/>
      </c>
      <c r="D418" s="3">
        <f>IF(ISNUMBER(AVERAGE('20250815_ETF_Options_Exhibits'!D414:D418)),AVERAGE('20250815_ETF_Options_Exhibits'!D414:D418),"")</f>
        <v/>
      </c>
      <c r="E418" s="3">
        <f>IF(ISNUMBER(AVERAGE('20250815_ETF_Options_Exhibits'!E414:E418)),AVERAGE('20250815_ETF_Options_Exhibits'!E414:E418),"")</f>
        <v/>
      </c>
      <c r="F418" s="3">
        <f>IF(ISNUMBER(AVERAGE('20250815_ETF_Options_Exhibits'!F414:F418)),AVERAGE('20250815_ETF_Options_Exhibits'!F414:F418),"")</f>
        <v/>
      </c>
      <c r="G418" s="3">
        <f>IF(ISNUMBER(AVERAGE('20250815_ETF_Options_Exhibits'!G414:G418)),AVERAGE('20250815_ETF_Options_Exhibits'!G414:G418),"")</f>
        <v/>
      </c>
      <c r="H418" s="3">
        <f>IF(ISNUMBER(AVERAGE('20250815_ETF_Options_Exhibits'!H414:H418)),AVERAGE('20250815_ETF_Options_Exhibits'!H414:H418),"")</f>
        <v/>
      </c>
      <c r="I418" s="3">
        <f>IF(ISNUMBER(AVERAGE('20250815_ETF_Options_Exhibits'!I414:I418)),AVERAGE('20250815_ETF_Options_Exhibits'!I414:I418),"")</f>
        <v/>
      </c>
      <c r="J418" s="3">
        <f>IF(ISNUMBER(AVERAGE('20250815_ETF_Options_Exhibits'!J414:J418)),AVERAGE('20250815_ETF_Options_Exhibits'!J414:J418),"")</f>
        <v/>
      </c>
      <c r="K418" s="3">
        <f>IF(ISNUMBER(AVERAGE('20250815_ETF_Options_Exhibits'!K414:K418)),AVERAGE('20250815_ETF_Options_Exhibits'!K414:K418),"")</f>
        <v/>
      </c>
      <c r="L418" s="3">
        <f>IF(ISNUMBER(AVERAGE('20250815_ETF_Options_Exhibits'!L414:L418)),AVERAGE('20250815_ETF_Options_Exhibits'!L414:L418),"")</f>
        <v/>
      </c>
      <c r="M418" s="3">
        <f>IF(ISNUMBER(AVERAGE('20250815_ETF_Options_Exhibits'!M414:M418)),AVERAGE('20250815_ETF_Options_Exhibits'!M414:M418),"")</f>
        <v/>
      </c>
      <c r="N418" s="3">
        <f>IF(ISNUMBER(AVERAGE('20250815_ETF_Options_Exhibits'!N414:N418)),AVERAGE('20250815_ETF_Options_Exhibits'!N414:N418),"")</f>
        <v/>
      </c>
      <c r="O418" s="3">
        <f>IF(ISNUMBER(AVERAGE('20250815_ETF_Options_Exhibits'!O414:O418)),AVERAGE('20250815_ETF_Options_Exhibits'!O414:O418),"")</f>
        <v/>
      </c>
      <c r="P418" s="3">
        <f>IF(ISNUMBER(AVERAGE('20250815_ETF_Options_Exhibits'!P414:P418)),AVERAGE('20250815_ETF_Options_Exhibits'!P414:P418),"")</f>
        <v/>
      </c>
      <c r="Q418" s="3">
        <f>IF(ISNUMBER(AVERAGE('20250815_ETF_Options_Exhibits'!Q414:Q418)),AVERAGE('20250815_ETF_Options_Exhibits'!Q414:Q418),"")</f>
        <v/>
      </c>
      <c r="R418" s="3">
        <f>IF(ISNUMBER(AVERAGE('20250815_ETF_Options_Exhibits'!R414:R418)),AVERAGE('20250815_ETF_Options_Exhibits'!R414:R418),"")</f>
        <v/>
      </c>
      <c r="S418" s="3">
        <f>IF(ISNUMBER(AVERAGE('20250815_ETF_Options_Exhibits'!S414:S418)),AVERAGE('20250815_ETF_Options_Exhibits'!S414:S418),"")</f>
        <v/>
      </c>
      <c r="T418" s="3">
        <f>IF(ISNUMBER(AVERAGE('20250815_ETF_Options_Exhibits'!T414:T418)),AVERAGE('20250815_ETF_Options_Exhibits'!T414:T418),"")</f>
        <v/>
      </c>
      <c r="U418" s="3">
        <f>IF(ISNUMBER(AVERAGE('20250815_ETF_Options_Exhibits'!U414:U418)),AVERAGE('20250815_ETF_Options_Exhibits'!U414:U418),"")</f>
        <v/>
      </c>
      <c r="V418" s="3">
        <f>IF(ISNUMBER(AVERAGE('20250815_ETF_Options_Exhibits'!V414:V418)),AVERAGE('20250815_ETF_Options_Exhibits'!V414:V418),"")</f>
        <v/>
      </c>
      <c r="W418" s="3">
        <f>IF(ISNUMBER(AVERAGE('20250815_ETF_Options_Exhibits'!W414:W418)),AVERAGE('20250815_ETF_Options_Exhibits'!W414:W418),"")</f>
        <v/>
      </c>
      <c r="X418" s="3">
        <f>IF(ISNUMBER(AVERAGE('20250815_ETF_Options_Exhibits'!X414:X418)),AVERAGE('20250815_ETF_Options_Exhibits'!X414:X418),"")</f>
        <v/>
      </c>
      <c r="Y418" s="3">
        <f>IF(ISNUMBER(AVERAGE('20250815_ETF_Options_Exhibits'!Y414:Y418)),AVERAGE('20250815_ETF_Options_Exhibits'!Y414:Y418),"")</f>
        <v/>
      </c>
      <c r="Z418" s="3">
        <f>IF(ISNUMBER(AVERAGE('20250815_ETF_Options_Exhibits'!Z414:Z418)),AVERAGE('20250815_ETF_Options_Exhibits'!Z414:Z418),"")</f>
        <v/>
      </c>
      <c r="AA418" s="3">
        <f>IF(ISNUMBER(AVERAGE('20250815_ETF_Options_Exhibits'!AA414:AA418)),AVERAGE('20250815_ETF_Options_Exhibits'!AA414:AA418),"")</f>
        <v/>
      </c>
    </row>
    <row r="419">
      <c r="A419" s="1" t="n">
        <v>42608</v>
      </c>
      <c r="B419" s="3">
        <f>IF(ISNUMBER(AVERAGE('20250815_ETF_Options_Exhibits'!B415:B419)),AVERAGE('20250815_ETF_Options_Exhibits'!B415:B419),"")</f>
        <v/>
      </c>
      <c r="C419" s="3">
        <f>IF(ISNUMBER(AVERAGE('20250815_ETF_Options_Exhibits'!C415:C419)),AVERAGE('20250815_ETF_Options_Exhibits'!C415:C419),"")</f>
        <v/>
      </c>
      <c r="D419" s="3">
        <f>IF(ISNUMBER(AVERAGE('20250815_ETF_Options_Exhibits'!D415:D419)),AVERAGE('20250815_ETF_Options_Exhibits'!D415:D419),"")</f>
        <v/>
      </c>
      <c r="E419" s="3">
        <f>IF(ISNUMBER(AVERAGE('20250815_ETF_Options_Exhibits'!E415:E419)),AVERAGE('20250815_ETF_Options_Exhibits'!E415:E419),"")</f>
        <v/>
      </c>
      <c r="F419" s="3">
        <f>IF(ISNUMBER(AVERAGE('20250815_ETF_Options_Exhibits'!F415:F419)),AVERAGE('20250815_ETF_Options_Exhibits'!F415:F419),"")</f>
        <v/>
      </c>
      <c r="G419" s="3">
        <f>IF(ISNUMBER(AVERAGE('20250815_ETF_Options_Exhibits'!G415:G419)),AVERAGE('20250815_ETF_Options_Exhibits'!G415:G419),"")</f>
        <v/>
      </c>
      <c r="H419" s="3">
        <f>IF(ISNUMBER(AVERAGE('20250815_ETF_Options_Exhibits'!H415:H419)),AVERAGE('20250815_ETF_Options_Exhibits'!H415:H419),"")</f>
        <v/>
      </c>
      <c r="I419" s="3">
        <f>IF(ISNUMBER(AVERAGE('20250815_ETF_Options_Exhibits'!I415:I419)),AVERAGE('20250815_ETF_Options_Exhibits'!I415:I419),"")</f>
        <v/>
      </c>
      <c r="J419" s="3">
        <f>IF(ISNUMBER(AVERAGE('20250815_ETF_Options_Exhibits'!J415:J419)),AVERAGE('20250815_ETF_Options_Exhibits'!J415:J419),"")</f>
        <v/>
      </c>
      <c r="K419" s="3">
        <f>IF(ISNUMBER(AVERAGE('20250815_ETF_Options_Exhibits'!K415:K419)),AVERAGE('20250815_ETF_Options_Exhibits'!K415:K419),"")</f>
        <v/>
      </c>
      <c r="L419" s="3">
        <f>IF(ISNUMBER(AVERAGE('20250815_ETF_Options_Exhibits'!L415:L419)),AVERAGE('20250815_ETF_Options_Exhibits'!L415:L419),"")</f>
        <v/>
      </c>
      <c r="M419" s="3">
        <f>IF(ISNUMBER(AVERAGE('20250815_ETF_Options_Exhibits'!M415:M419)),AVERAGE('20250815_ETF_Options_Exhibits'!M415:M419),"")</f>
        <v/>
      </c>
      <c r="N419" s="3">
        <f>IF(ISNUMBER(AVERAGE('20250815_ETF_Options_Exhibits'!N415:N419)),AVERAGE('20250815_ETF_Options_Exhibits'!N415:N419),"")</f>
        <v/>
      </c>
      <c r="O419" s="3">
        <f>IF(ISNUMBER(AVERAGE('20250815_ETF_Options_Exhibits'!O415:O419)),AVERAGE('20250815_ETF_Options_Exhibits'!O415:O419),"")</f>
        <v/>
      </c>
      <c r="P419" s="3">
        <f>IF(ISNUMBER(AVERAGE('20250815_ETF_Options_Exhibits'!P415:P419)),AVERAGE('20250815_ETF_Options_Exhibits'!P415:P419),"")</f>
        <v/>
      </c>
      <c r="Q419" s="3">
        <f>IF(ISNUMBER(AVERAGE('20250815_ETF_Options_Exhibits'!Q415:Q419)),AVERAGE('20250815_ETF_Options_Exhibits'!Q415:Q419),"")</f>
        <v/>
      </c>
      <c r="R419" s="3">
        <f>IF(ISNUMBER(AVERAGE('20250815_ETF_Options_Exhibits'!R415:R419)),AVERAGE('20250815_ETF_Options_Exhibits'!R415:R419),"")</f>
        <v/>
      </c>
      <c r="S419" s="3">
        <f>IF(ISNUMBER(AVERAGE('20250815_ETF_Options_Exhibits'!S415:S419)),AVERAGE('20250815_ETF_Options_Exhibits'!S415:S419),"")</f>
        <v/>
      </c>
      <c r="T419" s="3">
        <f>IF(ISNUMBER(AVERAGE('20250815_ETF_Options_Exhibits'!T415:T419)),AVERAGE('20250815_ETF_Options_Exhibits'!T415:T419),"")</f>
        <v/>
      </c>
      <c r="U419" s="3">
        <f>IF(ISNUMBER(AVERAGE('20250815_ETF_Options_Exhibits'!U415:U419)),AVERAGE('20250815_ETF_Options_Exhibits'!U415:U419),"")</f>
        <v/>
      </c>
      <c r="V419" s="3">
        <f>IF(ISNUMBER(AVERAGE('20250815_ETF_Options_Exhibits'!V415:V419)),AVERAGE('20250815_ETF_Options_Exhibits'!V415:V419),"")</f>
        <v/>
      </c>
      <c r="W419" s="3">
        <f>IF(ISNUMBER(AVERAGE('20250815_ETF_Options_Exhibits'!W415:W419)),AVERAGE('20250815_ETF_Options_Exhibits'!W415:W419),"")</f>
        <v/>
      </c>
      <c r="X419" s="3">
        <f>IF(ISNUMBER(AVERAGE('20250815_ETF_Options_Exhibits'!X415:X419)),AVERAGE('20250815_ETF_Options_Exhibits'!X415:X419),"")</f>
        <v/>
      </c>
      <c r="Y419" s="3">
        <f>IF(ISNUMBER(AVERAGE('20250815_ETF_Options_Exhibits'!Y415:Y419)),AVERAGE('20250815_ETF_Options_Exhibits'!Y415:Y419),"")</f>
        <v/>
      </c>
      <c r="Z419" s="3">
        <f>IF(ISNUMBER(AVERAGE('20250815_ETF_Options_Exhibits'!Z415:Z419)),AVERAGE('20250815_ETF_Options_Exhibits'!Z415:Z419),"")</f>
        <v/>
      </c>
      <c r="AA419" s="3">
        <f>IF(ISNUMBER(AVERAGE('20250815_ETF_Options_Exhibits'!AA415:AA419)),AVERAGE('20250815_ETF_Options_Exhibits'!AA415:AA419),"")</f>
        <v/>
      </c>
    </row>
    <row r="420">
      <c r="A420" s="1" t="n">
        <v>42611</v>
      </c>
      <c r="B420" s="3">
        <f>IF(ISNUMBER(AVERAGE('20250815_ETF_Options_Exhibits'!B416:B420)),AVERAGE('20250815_ETF_Options_Exhibits'!B416:B420),"")</f>
        <v/>
      </c>
      <c r="C420" s="3">
        <f>IF(ISNUMBER(AVERAGE('20250815_ETF_Options_Exhibits'!C416:C420)),AVERAGE('20250815_ETF_Options_Exhibits'!C416:C420),"")</f>
        <v/>
      </c>
      <c r="D420" s="3">
        <f>IF(ISNUMBER(AVERAGE('20250815_ETF_Options_Exhibits'!D416:D420)),AVERAGE('20250815_ETF_Options_Exhibits'!D416:D420),"")</f>
        <v/>
      </c>
      <c r="E420" s="3">
        <f>IF(ISNUMBER(AVERAGE('20250815_ETF_Options_Exhibits'!E416:E420)),AVERAGE('20250815_ETF_Options_Exhibits'!E416:E420),"")</f>
        <v/>
      </c>
      <c r="F420" s="3">
        <f>IF(ISNUMBER(AVERAGE('20250815_ETF_Options_Exhibits'!F416:F420)),AVERAGE('20250815_ETF_Options_Exhibits'!F416:F420),"")</f>
        <v/>
      </c>
      <c r="G420" s="3">
        <f>IF(ISNUMBER(AVERAGE('20250815_ETF_Options_Exhibits'!G416:G420)),AVERAGE('20250815_ETF_Options_Exhibits'!G416:G420),"")</f>
        <v/>
      </c>
      <c r="H420" s="3">
        <f>IF(ISNUMBER(AVERAGE('20250815_ETF_Options_Exhibits'!H416:H420)),AVERAGE('20250815_ETF_Options_Exhibits'!H416:H420),"")</f>
        <v/>
      </c>
      <c r="I420" s="3">
        <f>IF(ISNUMBER(AVERAGE('20250815_ETF_Options_Exhibits'!I416:I420)),AVERAGE('20250815_ETF_Options_Exhibits'!I416:I420),"")</f>
        <v/>
      </c>
      <c r="J420" s="3">
        <f>IF(ISNUMBER(AVERAGE('20250815_ETF_Options_Exhibits'!J416:J420)),AVERAGE('20250815_ETF_Options_Exhibits'!J416:J420),"")</f>
        <v/>
      </c>
      <c r="K420" s="3">
        <f>IF(ISNUMBER(AVERAGE('20250815_ETF_Options_Exhibits'!K416:K420)),AVERAGE('20250815_ETF_Options_Exhibits'!K416:K420),"")</f>
        <v/>
      </c>
      <c r="L420" s="3">
        <f>IF(ISNUMBER(AVERAGE('20250815_ETF_Options_Exhibits'!L416:L420)),AVERAGE('20250815_ETF_Options_Exhibits'!L416:L420),"")</f>
        <v/>
      </c>
      <c r="M420" s="3">
        <f>IF(ISNUMBER(AVERAGE('20250815_ETF_Options_Exhibits'!M416:M420)),AVERAGE('20250815_ETF_Options_Exhibits'!M416:M420),"")</f>
        <v/>
      </c>
      <c r="N420" s="3">
        <f>IF(ISNUMBER(AVERAGE('20250815_ETF_Options_Exhibits'!N416:N420)),AVERAGE('20250815_ETF_Options_Exhibits'!N416:N420),"")</f>
        <v/>
      </c>
      <c r="O420" s="3">
        <f>IF(ISNUMBER(AVERAGE('20250815_ETF_Options_Exhibits'!O416:O420)),AVERAGE('20250815_ETF_Options_Exhibits'!O416:O420),"")</f>
        <v/>
      </c>
      <c r="P420" s="3">
        <f>IF(ISNUMBER(AVERAGE('20250815_ETF_Options_Exhibits'!P416:P420)),AVERAGE('20250815_ETF_Options_Exhibits'!P416:P420),"")</f>
        <v/>
      </c>
      <c r="Q420" s="3">
        <f>IF(ISNUMBER(AVERAGE('20250815_ETF_Options_Exhibits'!Q416:Q420)),AVERAGE('20250815_ETF_Options_Exhibits'!Q416:Q420),"")</f>
        <v/>
      </c>
      <c r="R420" s="3">
        <f>IF(ISNUMBER(AVERAGE('20250815_ETF_Options_Exhibits'!R416:R420)),AVERAGE('20250815_ETF_Options_Exhibits'!R416:R420),"")</f>
        <v/>
      </c>
      <c r="S420" s="3">
        <f>IF(ISNUMBER(AVERAGE('20250815_ETF_Options_Exhibits'!S416:S420)),AVERAGE('20250815_ETF_Options_Exhibits'!S416:S420),"")</f>
        <v/>
      </c>
      <c r="T420" s="3">
        <f>IF(ISNUMBER(AVERAGE('20250815_ETF_Options_Exhibits'!T416:T420)),AVERAGE('20250815_ETF_Options_Exhibits'!T416:T420),"")</f>
        <v/>
      </c>
      <c r="U420" s="3">
        <f>IF(ISNUMBER(AVERAGE('20250815_ETF_Options_Exhibits'!U416:U420)),AVERAGE('20250815_ETF_Options_Exhibits'!U416:U420),"")</f>
        <v/>
      </c>
      <c r="V420" s="3">
        <f>IF(ISNUMBER(AVERAGE('20250815_ETF_Options_Exhibits'!V416:V420)),AVERAGE('20250815_ETF_Options_Exhibits'!V416:V420),"")</f>
        <v/>
      </c>
      <c r="W420" s="3">
        <f>IF(ISNUMBER(AVERAGE('20250815_ETF_Options_Exhibits'!W416:W420)),AVERAGE('20250815_ETF_Options_Exhibits'!W416:W420),"")</f>
        <v/>
      </c>
      <c r="X420" s="3">
        <f>IF(ISNUMBER(AVERAGE('20250815_ETF_Options_Exhibits'!X416:X420)),AVERAGE('20250815_ETF_Options_Exhibits'!X416:X420),"")</f>
        <v/>
      </c>
      <c r="Y420" s="3">
        <f>IF(ISNUMBER(AVERAGE('20250815_ETF_Options_Exhibits'!Y416:Y420)),AVERAGE('20250815_ETF_Options_Exhibits'!Y416:Y420),"")</f>
        <v/>
      </c>
      <c r="Z420" s="3">
        <f>IF(ISNUMBER(AVERAGE('20250815_ETF_Options_Exhibits'!Z416:Z420)),AVERAGE('20250815_ETF_Options_Exhibits'!Z416:Z420),"")</f>
        <v/>
      </c>
      <c r="AA420" s="3">
        <f>IF(ISNUMBER(AVERAGE('20250815_ETF_Options_Exhibits'!AA416:AA420)),AVERAGE('20250815_ETF_Options_Exhibits'!AA416:AA420),"")</f>
        <v/>
      </c>
    </row>
    <row r="421">
      <c r="A421" s="1" t="n">
        <v>42612</v>
      </c>
      <c r="B421" s="3">
        <f>IF(ISNUMBER(AVERAGE('20250815_ETF_Options_Exhibits'!B417:B421)),AVERAGE('20250815_ETF_Options_Exhibits'!B417:B421),"")</f>
        <v/>
      </c>
      <c r="C421" s="3">
        <f>IF(ISNUMBER(AVERAGE('20250815_ETF_Options_Exhibits'!C417:C421)),AVERAGE('20250815_ETF_Options_Exhibits'!C417:C421),"")</f>
        <v/>
      </c>
      <c r="D421" s="3">
        <f>IF(ISNUMBER(AVERAGE('20250815_ETF_Options_Exhibits'!D417:D421)),AVERAGE('20250815_ETF_Options_Exhibits'!D417:D421),"")</f>
        <v/>
      </c>
      <c r="E421" s="3">
        <f>IF(ISNUMBER(AVERAGE('20250815_ETF_Options_Exhibits'!E417:E421)),AVERAGE('20250815_ETF_Options_Exhibits'!E417:E421),"")</f>
        <v/>
      </c>
      <c r="F421" s="3">
        <f>IF(ISNUMBER(AVERAGE('20250815_ETF_Options_Exhibits'!F417:F421)),AVERAGE('20250815_ETF_Options_Exhibits'!F417:F421),"")</f>
        <v/>
      </c>
      <c r="G421" s="3">
        <f>IF(ISNUMBER(AVERAGE('20250815_ETF_Options_Exhibits'!G417:G421)),AVERAGE('20250815_ETF_Options_Exhibits'!G417:G421),"")</f>
        <v/>
      </c>
      <c r="H421" s="3">
        <f>IF(ISNUMBER(AVERAGE('20250815_ETF_Options_Exhibits'!H417:H421)),AVERAGE('20250815_ETF_Options_Exhibits'!H417:H421),"")</f>
        <v/>
      </c>
      <c r="I421" s="3">
        <f>IF(ISNUMBER(AVERAGE('20250815_ETF_Options_Exhibits'!I417:I421)),AVERAGE('20250815_ETF_Options_Exhibits'!I417:I421),"")</f>
        <v/>
      </c>
      <c r="J421" s="3">
        <f>IF(ISNUMBER(AVERAGE('20250815_ETF_Options_Exhibits'!J417:J421)),AVERAGE('20250815_ETF_Options_Exhibits'!J417:J421),"")</f>
        <v/>
      </c>
      <c r="K421" s="3">
        <f>IF(ISNUMBER(AVERAGE('20250815_ETF_Options_Exhibits'!K417:K421)),AVERAGE('20250815_ETF_Options_Exhibits'!K417:K421),"")</f>
        <v/>
      </c>
      <c r="L421" s="3">
        <f>IF(ISNUMBER(AVERAGE('20250815_ETF_Options_Exhibits'!L417:L421)),AVERAGE('20250815_ETF_Options_Exhibits'!L417:L421),"")</f>
        <v/>
      </c>
      <c r="M421" s="3">
        <f>IF(ISNUMBER(AVERAGE('20250815_ETF_Options_Exhibits'!M417:M421)),AVERAGE('20250815_ETF_Options_Exhibits'!M417:M421),"")</f>
        <v/>
      </c>
      <c r="N421" s="3">
        <f>IF(ISNUMBER(AVERAGE('20250815_ETF_Options_Exhibits'!N417:N421)),AVERAGE('20250815_ETF_Options_Exhibits'!N417:N421),"")</f>
        <v/>
      </c>
      <c r="O421" s="3">
        <f>IF(ISNUMBER(AVERAGE('20250815_ETF_Options_Exhibits'!O417:O421)),AVERAGE('20250815_ETF_Options_Exhibits'!O417:O421),"")</f>
        <v/>
      </c>
      <c r="P421" s="3">
        <f>IF(ISNUMBER(AVERAGE('20250815_ETF_Options_Exhibits'!P417:P421)),AVERAGE('20250815_ETF_Options_Exhibits'!P417:P421),"")</f>
        <v/>
      </c>
      <c r="Q421" s="3">
        <f>IF(ISNUMBER(AVERAGE('20250815_ETF_Options_Exhibits'!Q417:Q421)),AVERAGE('20250815_ETF_Options_Exhibits'!Q417:Q421),"")</f>
        <v/>
      </c>
      <c r="R421" s="3">
        <f>IF(ISNUMBER(AVERAGE('20250815_ETF_Options_Exhibits'!R417:R421)),AVERAGE('20250815_ETF_Options_Exhibits'!R417:R421),"")</f>
        <v/>
      </c>
      <c r="S421" s="3">
        <f>IF(ISNUMBER(AVERAGE('20250815_ETF_Options_Exhibits'!S417:S421)),AVERAGE('20250815_ETF_Options_Exhibits'!S417:S421),"")</f>
        <v/>
      </c>
      <c r="T421" s="3">
        <f>IF(ISNUMBER(AVERAGE('20250815_ETF_Options_Exhibits'!T417:T421)),AVERAGE('20250815_ETF_Options_Exhibits'!T417:T421),"")</f>
        <v/>
      </c>
      <c r="U421" s="3">
        <f>IF(ISNUMBER(AVERAGE('20250815_ETF_Options_Exhibits'!U417:U421)),AVERAGE('20250815_ETF_Options_Exhibits'!U417:U421),"")</f>
        <v/>
      </c>
      <c r="V421" s="3">
        <f>IF(ISNUMBER(AVERAGE('20250815_ETF_Options_Exhibits'!V417:V421)),AVERAGE('20250815_ETF_Options_Exhibits'!V417:V421),"")</f>
        <v/>
      </c>
      <c r="W421" s="3">
        <f>IF(ISNUMBER(AVERAGE('20250815_ETF_Options_Exhibits'!W417:W421)),AVERAGE('20250815_ETF_Options_Exhibits'!W417:W421),"")</f>
        <v/>
      </c>
      <c r="X421" s="3">
        <f>IF(ISNUMBER(AVERAGE('20250815_ETF_Options_Exhibits'!X417:X421)),AVERAGE('20250815_ETF_Options_Exhibits'!X417:X421),"")</f>
        <v/>
      </c>
      <c r="Y421" s="3">
        <f>IF(ISNUMBER(AVERAGE('20250815_ETF_Options_Exhibits'!Y417:Y421)),AVERAGE('20250815_ETF_Options_Exhibits'!Y417:Y421),"")</f>
        <v/>
      </c>
      <c r="Z421" s="3">
        <f>IF(ISNUMBER(AVERAGE('20250815_ETF_Options_Exhibits'!Z417:Z421)),AVERAGE('20250815_ETF_Options_Exhibits'!Z417:Z421),"")</f>
        <v/>
      </c>
      <c r="AA421" s="3">
        <f>IF(ISNUMBER(AVERAGE('20250815_ETF_Options_Exhibits'!AA417:AA421)),AVERAGE('20250815_ETF_Options_Exhibits'!AA417:AA421),"")</f>
        <v/>
      </c>
    </row>
    <row r="422">
      <c r="A422" s="1" t="n">
        <v>42613</v>
      </c>
      <c r="B422" s="3">
        <f>IF(ISNUMBER(AVERAGE('20250815_ETF_Options_Exhibits'!B418:B422)),AVERAGE('20250815_ETF_Options_Exhibits'!B418:B422),"")</f>
        <v/>
      </c>
      <c r="C422" s="3">
        <f>IF(ISNUMBER(AVERAGE('20250815_ETF_Options_Exhibits'!C418:C422)),AVERAGE('20250815_ETF_Options_Exhibits'!C418:C422),"")</f>
        <v/>
      </c>
      <c r="D422" s="3">
        <f>IF(ISNUMBER(AVERAGE('20250815_ETF_Options_Exhibits'!D418:D422)),AVERAGE('20250815_ETF_Options_Exhibits'!D418:D422),"")</f>
        <v/>
      </c>
      <c r="E422" s="3">
        <f>IF(ISNUMBER(AVERAGE('20250815_ETF_Options_Exhibits'!E418:E422)),AVERAGE('20250815_ETF_Options_Exhibits'!E418:E422),"")</f>
        <v/>
      </c>
      <c r="F422" s="3">
        <f>IF(ISNUMBER(AVERAGE('20250815_ETF_Options_Exhibits'!F418:F422)),AVERAGE('20250815_ETF_Options_Exhibits'!F418:F422),"")</f>
        <v/>
      </c>
      <c r="G422" s="3">
        <f>IF(ISNUMBER(AVERAGE('20250815_ETF_Options_Exhibits'!G418:G422)),AVERAGE('20250815_ETF_Options_Exhibits'!G418:G422),"")</f>
        <v/>
      </c>
      <c r="H422" s="3">
        <f>IF(ISNUMBER(AVERAGE('20250815_ETF_Options_Exhibits'!H418:H422)),AVERAGE('20250815_ETF_Options_Exhibits'!H418:H422),"")</f>
        <v/>
      </c>
      <c r="I422" s="3">
        <f>IF(ISNUMBER(AVERAGE('20250815_ETF_Options_Exhibits'!I418:I422)),AVERAGE('20250815_ETF_Options_Exhibits'!I418:I422),"")</f>
        <v/>
      </c>
      <c r="J422" s="3">
        <f>IF(ISNUMBER(AVERAGE('20250815_ETF_Options_Exhibits'!J418:J422)),AVERAGE('20250815_ETF_Options_Exhibits'!J418:J422),"")</f>
        <v/>
      </c>
      <c r="K422" s="3">
        <f>IF(ISNUMBER(AVERAGE('20250815_ETF_Options_Exhibits'!K418:K422)),AVERAGE('20250815_ETF_Options_Exhibits'!K418:K422),"")</f>
        <v/>
      </c>
      <c r="L422" s="3">
        <f>IF(ISNUMBER(AVERAGE('20250815_ETF_Options_Exhibits'!L418:L422)),AVERAGE('20250815_ETF_Options_Exhibits'!L418:L422),"")</f>
        <v/>
      </c>
      <c r="M422" s="3">
        <f>IF(ISNUMBER(AVERAGE('20250815_ETF_Options_Exhibits'!M418:M422)),AVERAGE('20250815_ETF_Options_Exhibits'!M418:M422),"")</f>
        <v/>
      </c>
      <c r="N422" s="3">
        <f>IF(ISNUMBER(AVERAGE('20250815_ETF_Options_Exhibits'!N418:N422)),AVERAGE('20250815_ETF_Options_Exhibits'!N418:N422),"")</f>
        <v/>
      </c>
      <c r="O422" s="3">
        <f>IF(ISNUMBER(AVERAGE('20250815_ETF_Options_Exhibits'!O418:O422)),AVERAGE('20250815_ETF_Options_Exhibits'!O418:O422),"")</f>
        <v/>
      </c>
      <c r="P422" s="3">
        <f>IF(ISNUMBER(AVERAGE('20250815_ETF_Options_Exhibits'!P418:P422)),AVERAGE('20250815_ETF_Options_Exhibits'!P418:P422),"")</f>
        <v/>
      </c>
      <c r="Q422" s="3">
        <f>IF(ISNUMBER(AVERAGE('20250815_ETF_Options_Exhibits'!Q418:Q422)),AVERAGE('20250815_ETF_Options_Exhibits'!Q418:Q422),"")</f>
        <v/>
      </c>
      <c r="R422" s="3">
        <f>IF(ISNUMBER(AVERAGE('20250815_ETF_Options_Exhibits'!R418:R422)),AVERAGE('20250815_ETF_Options_Exhibits'!R418:R422),"")</f>
        <v/>
      </c>
      <c r="S422" s="3">
        <f>IF(ISNUMBER(AVERAGE('20250815_ETF_Options_Exhibits'!S418:S422)),AVERAGE('20250815_ETF_Options_Exhibits'!S418:S422),"")</f>
        <v/>
      </c>
      <c r="T422" s="3">
        <f>IF(ISNUMBER(AVERAGE('20250815_ETF_Options_Exhibits'!T418:T422)),AVERAGE('20250815_ETF_Options_Exhibits'!T418:T422),"")</f>
        <v/>
      </c>
      <c r="U422" s="3">
        <f>IF(ISNUMBER(AVERAGE('20250815_ETF_Options_Exhibits'!U418:U422)),AVERAGE('20250815_ETF_Options_Exhibits'!U418:U422),"")</f>
        <v/>
      </c>
      <c r="V422" s="3">
        <f>IF(ISNUMBER(AVERAGE('20250815_ETF_Options_Exhibits'!V418:V422)),AVERAGE('20250815_ETF_Options_Exhibits'!V418:V422),"")</f>
        <v/>
      </c>
      <c r="W422" s="3">
        <f>IF(ISNUMBER(AVERAGE('20250815_ETF_Options_Exhibits'!W418:W422)),AVERAGE('20250815_ETF_Options_Exhibits'!W418:W422),"")</f>
        <v/>
      </c>
      <c r="X422" s="3">
        <f>IF(ISNUMBER(AVERAGE('20250815_ETF_Options_Exhibits'!X418:X422)),AVERAGE('20250815_ETF_Options_Exhibits'!X418:X422),"")</f>
        <v/>
      </c>
      <c r="Y422" s="3">
        <f>IF(ISNUMBER(AVERAGE('20250815_ETF_Options_Exhibits'!Y418:Y422)),AVERAGE('20250815_ETF_Options_Exhibits'!Y418:Y422),"")</f>
        <v/>
      </c>
      <c r="Z422" s="3">
        <f>IF(ISNUMBER(AVERAGE('20250815_ETF_Options_Exhibits'!Z418:Z422)),AVERAGE('20250815_ETF_Options_Exhibits'!Z418:Z422),"")</f>
        <v/>
      </c>
      <c r="AA422" s="3">
        <f>IF(ISNUMBER(AVERAGE('20250815_ETF_Options_Exhibits'!AA418:AA422)),AVERAGE('20250815_ETF_Options_Exhibits'!AA418:AA422),"")</f>
        <v/>
      </c>
    </row>
    <row r="423">
      <c r="A423" s="1" t="n">
        <v>42614</v>
      </c>
      <c r="B423" s="3">
        <f>IF(ISNUMBER(AVERAGE('20250815_ETF_Options_Exhibits'!B419:B423)),AVERAGE('20250815_ETF_Options_Exhibits'!B419:B423),"")</f>
        <v/>
      </c>
      <c r="C423" s="3">
        <f>IF(ISNUMBER(AVERAGE('20250815_ETF_Options_Exhibits'!C419:C423)),AVERAGE('20250815_ETF_Options_Exhibits'!C419:C423),"")</f>
        <v/>
      </c>
      <c r="D423" s="3">
        <f>IF(ISNUMBER(AVERAGE('20250815_ETF_Options_Exhibits'!D419:D423)),AVERAGE('20250815_ETF_Options_Exhibits'!D419:D423),"")</f>
        <v/>
      </c>
      <c r="E423" s="3">
        <f>IF(ISNUMBER(AVERAGE('20250815_ETF_Options_Exhibits'!E419:E423)),AVERAGE('20250815_ETF_Options_Exhibits'!E419:E423),"")</f>
        <v/>
      </c>
      <c r="F423" s="3">
        <f>IF(ISNUMBER(AVERAGE('20250815_ETF_Options_Exhibits'!F419:F423)),AVERAGE('20250815_ETF_Options_Exhibits'!F419:F423),"")</f>
        <v/>
      </c>
      <c r="G423" s="3">
        <f>IF(ISNUMBER(AVERAGE('20250815_ETF_Options_Exhibits'!G419:G423)),AVERAGE('20250815_ETF_Options_Exhibits'!G419:G423),"")</f>
        <v/>
      </c>
      <c r="H423" s="3">
        <f>IF(ISNUMBER(AVERAGE('20250815_ETF_Options_Exhibits'!H419:H423)),AVERAGE('20250815_ETF_Options_Exhibits'!H419:H423),"")</f>
        <v/>
      </c>
      <c r="I423" s="3">
        <f>IF(ISNUMBER(AVERAGE('20250815_ETF_Options_Exhibits'!I419:I423)),AVERAGE('20250815_ETF_Options_Exhibits'!I419:I423),"")</f>
        <v/>
      </c>
      <c r="J423" s="3">
        <f>IF(ISNUMBER(AVERAGE('20250815_ETF_Options_Exhibits'!J419:J423)),AVERAGE('20250815_ETF_Options_Exhibits'!J419:J423),"")</f>
        <v/>
      </c>
      <c r="K423" s="3">
        <f>IF(ISNUMBER(AVERAGE('20250815_ETF_Options_Exhibits'!K419:K423)),AVERAGE('20250815_ETF_Options_Exhibits'!K419:K423),"")</f>
        <v/>
      </c>
      <c r="L423" s="3">
        <f>IF(ISNUMBER(AVERAGE('20250815_ETF_Options_Exhibits'!L419:L423)),AVERAGE('20250815_ETF_Options_Exhibits'!L419:L423),"")</f>
        <v/>
      </c>
      <c r="M423" s="3">
        <f>IF(ISNUMBER(AVERAGE('20250815_ETF_Options_Exhibits'!M419:M423)),AVERAGE('20250815_ETF_Options_Exhibits'!M419:M423),"")</f>
        <v/>
      </c>
      <c r="N423" s="3">
        <f>IF(ISNUMBER(AVERAGE('20250815_ETF_Options_Exhibits'!N419:N423)),AVERAGE('20250815_ETF_Options_Exhibits'!N419:N423),"")</f>
        <v/>
      </c>
      <c r="O423" s="3">
        <f>IF(ISNUMBER(AVERAGE('20250815_ETF_Options_Exhibits'!O419:O423)),AVERAGE('20250815_ETF_Options_Exhibits'!O419:O423),"")</f>
        <v/>
      </c>
      <c r="P423" s="3">
        <f>IF(ISNUMBER(AVERAGE('20250815_ETF_Options_Exhibits'!P419:P423)),AVERAGE('20250815_ETF_Options_Exhibits'!P419:P423),"")</f>
        <v/>
      </c>
      <c r="Q423" s="3">
        <f>IF(ISNUMBER(AVERAGE('20250815_ETF_Options_Exhibits'!Q419:Q423)),AVERAGE('20250815_ETF_Options_Exhibits'!Q419:Q423),"")</f>
        <v/>
      </c>
      <c r="R423" s="3">
        <f>IF(ISNUMBER(AVERAGE('20250815_ETF_Options_Exhibits'!R419:R423)),AVERAGE('20250815_ETF_Options_Exhibits'!R419:R423),"")</f>
        <v/>
      </c>
      <c r="S423" s="3">
        <f>IF(ISNUMBER(AVERAGE('20250815_ETF_Options_Exhibits'!S419:S423)),AVERAGE('20250815_ETF_Options_Exhibits'!S419:S423),"")</f>
        <v/>
      </c>
      <c r="T423" s="3">
        <f>IF(ISNUMBER(AVERAGE('20250815_ETF_Options_Exhibits'!T419:T423)),AVERAGE('20250815_ETF_Options_Exhibits'!T419:T423),"")</f>
        <v/>
      </c>
      <c r="U423" s="3">
        <f>IF(ISNUMBER(AVERAGE('20250815_ETF_Options_Exhibits'!U419:U423)),AVERAGE('20250815_ETF_Options_Exhibits'!U419:U423),"")</f>
        <v/>
      </c>
      <c r="V423" s="3">
        <f>IF(ISNUMBER(AVERAGE('20250815_ETF_Options_Exhibits'!V419:V423)),AVERAGE('20250815_ETF_Options_Exhibits'!V419:V423),"")</f>
        <v/>
      </c>
      <c r="W423" s="3">
        <f>IF(ISNUMBER(AVERAGE('20250815_ETF_Options_Exhibits'!W419:W423)),AVERAGE('20250815_ETF_Options_Exhibits'!W419:W423),"")</f>
        <v/>
      </c>
      <c r="X423" s="3">
        <f>IF(ISNUMBER(AVERAGE('20250815_ETF_Options_Exhibits'!X419:X423)),AVERAGE('20250815_ETF_Options_Exhibits'!X419:X423),"")</f>
        <v/>
      </c>
      <c r="Y423" s="3">
        <f>IF(ISNUMBER(AVERAGE('20250815_ETF_Options_Exhibits'!Y419:Y423)),AVERAGE('20250815_ETF_Options_Exhibits'!Y419:Y423),"")</f>
        <v/>
      </c>
      <c r="Z423" s="3">
        <f>IF(ISNUMBER(AVERAGE('20250815_ETF_Options_Exhibits'!Z419:Z423)),AVERAGE('20250815_ETF_Options_Exhibits'!Z419:Z423),"")</f>
        <v/>
      </c>
      <c r="AA423" s="3">
        <f>IF(ISNUMBER(AVERAGE('20250815_ETF_Options_Exhibits'!AA419:AA423)),AVERAGE('20250815_ETF_Options_Exhibits'!AA419:AA423),"")</f>
        <v/>
      </c>
    </row>
    <row r="424">
      <c r="A424" s="1" t="n">
        <v>42615</v>
      </c>
      <c r="B424" s="3">
        <f>IF(ISNUMBER(AVERAGE('20250815_ETF_Options_Exhibits'!B420:B424)),AVERAGE('20250815_ETF_Options_Exhibits'!B420:B424),"")</f>
        <v/>
      </c>
      <c r="C424" s="3">
        <f>IF(ISNUMBER(AVERAGE('20250815_ETF_Options_Exhibits'!C420:C424)),AVERAGE('20250815_ETF_Options_Exhibits'!C420:C424),"")</f>
        <v/>
      </c>
      <c r="D424" s="3">
        <f>IF(ISNUMBER(AVERAGE('20250815_ETF_Options_Exhibits'!D420:D424)),AVERAGE('20250815_ETF_Options_Exhibits'!D420:D424),"")</f>
        <v/>
      </c>
      <c r="E424" s="3">
        <f>IF(ISNUMBER(AVERAGE('20250815_ETF_Options_Exhibits'!E420:E424)),AVERAGE('20250815_ETF_Options_Exhibits'!E420:E424),"")</f>
        <v/>
      </c>
      <c r="F424" s="3">
        <f>IF(ISNUMBER(AVERAGE('20250815_ETF_Options_Exhibits'!F420:F424)),AVERAGE('20250815_ETF_Options_Exhibits'!F420:F424),"")</f>
        <v/>
      </c>
      <c r="G424" s="3">
        <f>IF(ISNUMBER(AVERAGE('20250815_ETF_Options_Exhibits'!G420:G424)),AVERAGE('20250815_ETF_Options_Exhibits'!G420:G424),"")</f>
        <v/>
      </c>
      <c r="H424" s="3">
        <f>IF(ISNUMBER(AVERAGE('20250815_ETF_Options_Exhibits'!H420:H424)),AVERAGE('20250815_ETF_Options_Exhibits'!H420:H424),"")</f>
        <v/>
      </c>
      <c r="I424" s="3">
        <f>IF(ISNUMBER(AVERAGE('20250815_ETF_Options_Exhibits'!I420:I424)),AVERAGE('20250815_ETF_Options_Exhibits'!I420:I424),"")</f>
        <v/>
      </c>
      <c r="J424" s="3">
        <f>IF(ISNUMBER(AVERAGE('20250815_ETF_Options_Exhibits'!J420:J424)),AVERAGE('20250815_ETF_Options_Exhibits'!J420:J424),"")</f>
        <v/>
      </c>
      <c r="K424" s="3">
        <f>IF(ISNUMBER(AVERAGE('20250815_ETF_Options_Exhibits'!K420:K424)),AVERAGE('20250815_ETF_Options_Exhibits'!K420:K424),"")</f>
        <v/>
      </c>
      <c r="L424" s="3">
        <f>IF(ISNUMBER(AVERAGE('20250815_ETF_Options_Exhibits'!L420:L424)),AVERAGE('20250815_ETF_Options_Exhibits'!L420:L424),"")</f>
        <v/>
      </c>
      <c r="M424" s="3">
        <f>IF(ISNUMBER(AVERAGE('20250815_ETF_Options_Exhibits'!M420:M424)),AVERAGE('20250815_ETF_Options_Exhibits'!M420:M424),"")</f>
        <v/>
      </c>
      <c r="N424" s="3">
        <f>IF(ISNUMBER(AVERAGE('20250815_ETF_Options_Exhibits'!N420:N424)),AVERAGE('20250815_ETF_Options_Exhibits'!N420:N424),"")</f>
        <v/>
      </c>
      <c r="O424" s="3">
        <f>IF(ISNUMBER(AVERAGE('20250815_ETF_Options_Exhibits'!O420:O424)),AVERAGE('20250815_ETF_Options_Exhibits'!O420:O424),"")</f>
        <v/>
      </c>
      <c r="P424" s="3">
        <f>IF(ISNUMBER(AVERAGE('20250815_ETF_Options_Exhibits'!P420:P424)),AVERAGE('20250815_ETF_Options_Exhibits'!P420:P424),"")</f>
        <v/>
      </c>
      <c r="Q424" s="3">
        <f>IF(ISNUMBER(AVERAGE('20250815_ETF_Options_Exhibits'!Q420:Q424)),AVERAGE('20250815_ETF_Options_Exhibits'!Q420:Q424),"")</f>
        <v/>
      </c>
      <c r="R424" s="3">
        <f>IF(ISNUMBER(AVERAGE('20250815_ETF_Options_Exhibits'!R420:R424)),AVERAGE('20250815_ETF_Options_Exhibits'!R420:R424),"")</f>
        <v/>
      </c>
      <c r="S424" s="3">
        <f>IF(ISNUMBER(AVERAGE('20250815_ETF_Options_Exhibits'!S420:S424)),AVERAGE('20250815_ETF_Options_Exhibits'!S420:S424),"")</f>
        <v/>
      </c>
      <c r="T424" s="3">
        <f>IF(ISNUMBER(AVERAGE('20250815_ETF_Options_Exhibits'!T420:T424)),AVERAGE('20250815_ETF_Options_Exhibits'!T420:T424),"")</f>
        <v/>
      </c>
      <c r="U424" s="3">
        <f>IF(ISNUMBER(AVERAGE('20250815_ETF_Options_Exhibits'!U420:U424)),AVERAGE('20250815_ETF_Options_Exhibits'!U420:U424),"")</f>
        <v/>
      </c>
      <c r="V424" s="3">
        <f>IF(ISNUMBER(AVERAGE('20250815_ETF_Options_Exhibits'!V420:V424)),AVERAGE('20250815_ETF_Options_Exhibits'!V420:V424),"")</f>
        <v/>
      </c>
      <c r="W424" s="3">
        <f>IF(ISNUMBER(AVERAGE('20250815_ETF_Options_Exhibits'!W420:W424)),AVERAGE('20250815_ETF_Options_Exhibits'!W420:W424),"")</f>
        <v/>
      </c>
      <c r="X424" s="3">
        <f>IF(ISNUMBER(AVERAGE('20250815_ETF_Options_Exhibits'!X420:X424)),AVERAGE('20250815_ETF_Options_Exhibits'!X420:X424),"")</f>
        <v/>
      </c>
      <c r="Y424" s="3">
        <f>IF(ISNUMBER(AVERAGE('20250815_ETF_Options_Exhibits'!Y420:Y424)),AVERAGE('20250815_ETF_Options_Exhibits'!Y420:Y424),"")</f>
        <v/>
      </c>
      <c r="Z424" s="3">
        <f>IF(ISNUMBER(AVERAGE('20250815_ETF_Options_Exhibits'!Z420:Z424)),AVERAGE('20250815_ETF_Options_Exhibits'!Z420:Z424),"")</f>
        <v/>
      </c>
      <c r="AA424" s="3">
        <f>IF(ISNUMBER(AVERAGE('20250815_ETF_Options_Exhibits'!AA420:AA424)),AVERAGE('20250815_ETF_Options_Exhibits'!AA420:AA424),"")</f>
        <v/>
      </c>
    </row>
    <row r="425">
      <c r="A425" s="1" t="n">
        <v>42619</v>
      </c>
      <c r="B425" s="3">
        <f>IF(ISNUMBER(AVERAGE('20250815_ETF_Options_Exhibits'!B421:B425)),AVERAGE('20250815_ETF_Options_Exhibits'!B421:B425),"")</f>
        <v/>
      </c>
      <c r="C425" s="3">
        <f>IF(ISNUMBER(AVERAGE('20250815_ETF_Options_Exhibits'!C421:C425)),AVERAGE('20250815_ETF_Options_Exhibits'!C421:C425),"")</f>
        <v/>
      </c>
      <c r="D425" s="3">
        <f>IF(ISNUMBER(AVERAGE('20250815_ETF_Options_Exhibits'!D421:D425)),AVERAGE('20250815_ETF_Options_Exhibits'!D421:D425),"")</f>
        <v/>
      </c>
      <c r="E425" s="3">
        <f>IF(ISNUMBER(AVERAGE('20250815_ETF_Options_Exhibits'!E421:E425)),AVERAGE('20250815_ETF_Options_Exhibits'!E421:E425),"")</f>
        <v/>
      </c>
      <c r="F425" s="3">
        <f>IF(ISNUMBER(AVERAGE('20250815_ETF_Options_Exhibits'!F421:F425)),AVERAGE('20250815_ETF_Options_Exhibits'!F421:F425),"")</f>
        <v/>
      </c>
      <c r="G425" s="3">
        <f>IF(ISNUMBER(AVERAGE('20250815_ETF_Options_Exhibits'!G421:G425)),AVERAGE('20250815_ETF_Options_Exhibits'!G421:G425),"")</f>
        <v/>
      </c>
      <c r="H425" s="3">
        <f>IF(ISNUMBER(AVERAGE('20250815_ETF_Options_Exhibits'!H421:H425)),AVERAGE('20250815_ETF_Options_Exhibits'!H421:H425),"")</f>
        <v/>
      </c>
      <c r="I425" s="3">
        <f>IF(ISNUMBER(AVERAGE('20250815_ETF_Options_Exhibits'!I421:I425)),AVERAGE('20250815_ETF_Options_Exhibits'!I421:I425),"")</f>
        <v/>
      </c>
      <c r="J425" s="3">
        <f>IF(ISNUMBER(AVERAGE('20250815_ETF_Options_Exhibits'!J421:J425)),AVERAGE('20250815_ETF_Options_Exhibits'!J421:J425),"")</f>
        <v/>
      </c>
      <c r="K425" s="3">
        <f>IF(ISNUMBER(AVERAGE('20250815_ETF_Options_Exhibits'!K421:K425)),AVERAGE('20250815_ETF_Options_Exhibits'!K421:K425),"")</f>
        <v/>
      </c>
      <c r="L425" s="3">
        <f>IF(ISNUMBER(AVERAGE('20250815_ETF_Options_Exhibits'!L421:L425)),AVERAGE('20250815_ETF_Options_Exhibits'!L421:L425),"")</f>
        <v/>
      </c>
      <c r="M425" s="3">
        <f>IF(ISNUMBER(AVERAGE('20250815_ETF_Options_Exhibits'!M421:M425)),AVERAGE('20250815_ETF_Options_Exhibits'!M421:M425),"")</f>
        <v/>
      </c>
      <c r="N425" s="3">
        <f>IF(ISNUMBER(AVERAGE('20250815_ETF_Options_Exhibits'!N421:N425)),AVERAGE('20250815_ETF_Options_Exhibits'!N421:N425),"")</f>
        <v/>
      </c>
      <c r="O425" s="3">
        <f>IF(ISNUMBER(AVERAGE('20250815_ETF_Options_Exhibits'!O421:O425)),AVERAGE('20250815_ETF_Options_Exhibits'!O421:O425),"")</f>
        <v/>
      </c>
      <c r="P425" s="3">
        <f>IF(ISNUMBER(AVERAGE('20250815_ETF_Options_Exhibits'!P421:P425)),AVERAGE('20250815_ETF_Options_Exhibits'!P421:P425),"")</f>
        <v/>
      </c>
      <c r="Q425" s="3">
        <f>IF(ISNUMBER(AVERAGE('20250815_ETF_Options_Exhibits'!Q421:Q425)),AVERAGE('20250815_ETF_Options_Exhibits'!Q421:Q425),"")</f>
        <v/>
      </c>
      <c r="R425" s="3">
        <f>IF(ISNUMBER(AVERAGE('20250815_ETF_Options_Exhibits'!R421:R425)),AVERAGE('20250815_ETF_Options_Exhibits'!R421:R425),"")</f>
        <v/>
      </c>
      <c r="S425" s="3">
        <f>IF(ISNUMBER(AVERAGE('20250815_ETF_Options_Exhibits'!S421:S425)),AVERAGE('20250815_ETF_Options_Exhibits'!S421:S425),"")</f>
        <v/>
      </c>
      <c r="T425" s="3">
        <f>IF(ISNUMBER(AVERAGE('20250815_ETF_Options_Exhibits'!T421:T425)),AVERAGE('20250815_ETF_Options_Exhibits'!T421:T425),"")</f>
        <v/>
      </c>
      <c r="U425" s="3">
        <f>IF(ISNUMBER(AVERAGE('20250815_ETF_Options_Exhibits'!U421:U425)),AVERAGE('20250815_ETF_Options_Exhibits'!U421:U425),"")</f>
        <v/>
      </c>
      <c r="V425" s="3">
        <f>IF(ISNUMBER(AVERAGE('20250815_ETF_Options_Exhibits'!V421:V425)),AVERAGE('20250815_ETF_Options_Exhibits'!V421:V425),"")</f>
        <v/>
      </c>
      <c r="W425" s="3">
        <f>IF(ISNUMBER(AVERAGE('20250815_ETF_Options_Exhibits'!W421:W425)),AVERAGE('20250815_ETF_Options_Exhibits'!W421:W425),"")</f>
        <v/>
      </c>
      <c r="X425" s="3">
        <f>IF(ISNUMBER(AVERAGE('20250815_ETF_Options_Exhibits'!X421:X425)),AVERAGE('20250815_ETF_Options_Exhibits'!X421:X425),"")</f>
        <v/>
      </c>
      <c r="Y425" s="3">
        <f>IF(ISNUMBER(AVERAGE('20250815_ETF_Options_Exhibits'!Y421:Y425)),AVERAGE('20250815_ETF_Options_Exhibits'!Y421:Y425),"")</f>
        <v/>
      </c>
      <c r="Z425" s="3">
        <f>IF(ISNUMBER(AVERAGE('20250815_ETF_Options_Exhibits'!Z421:Z425)),AVERAGE('20250815_ETF_Options_Exhibits'!Z421:Z425),"")</f>
        <v/>
      </c>
      <c r="AA425" s="3">
        <f>IF(ISNUMBER(AVERAGE('20250815_ETF_Options_Exhibits'!AA421:AA425)),AVERAGE('20250815_ETF_Options_Exhibits'!AA421:AA425),"")</f>
        <v/>
      </c>
    </row>
    <row r="426">
      <c r="A426" s="1" t="n">
        <v>42620</v>
      </c>
      <c r="B426" s="3">
        <f>IF(ISNUMBER(AVERAGE('20250815_ETF_Options_Exhibits'!B422:B426)),AVERAGE('20250815_ETF_Options_Exhibits'!B422:B426),"")</f>
        <v/>
      </c>
      <c r="C426" s="3">
        <f>IF(ISNUMBER(AVERAGE('20250815_ETF_Options_Exhibits'!C422:C426)),AVERAGE('20250815_ETF_Options_Exhibits'!C422:C426),"")</f>
        <v/>
      </c>
      <c r="D426" s="3">
        <f>IF(ISNUMBER(AVERAGE('20250815_ETF_Options_Exhibits'!D422:D426)),AVERAGE('20250815_ETF_Options_Exhibits'!D422:D426),"")</f>
        <v/>
      </c>
      <c r="E426" s="3">
        <f>IF(ISNUMBER(AVERAGE('20250815_ETF_Options_Exhibits'!E422:E426)),AVERAGE('20250815_ETF_Options_Exhibits'!E422:E426),"")</f>
        <v/>
      </c>
      <c r="F426" s="3">
        <f>IF(ISNUMBER(AVERAGE('20250815_ETF_Options_Exhibits'!F422:F426)),AVERAGE('20250815_ETF_Options_Exhibits'!F422:F426),"")</f>
        <v/>
      </c>
      <c r="G426" s="3">
        <f>IF(ISNUMBER(AVERAGE('20250815_ETF_Options_Exhibits'!G422:G426)),AVERAGE('20250815_ETF_Options_Exhibits'!G422:G426),"")</f>
        <v/>
      </c>
      <c r="H426" s="3">
        <f>IF(ISNUMBER(AVERAGE('20250815_ETF_Options_Exhibits'!H422:H426)),AVERAGE('20250815_ETF_Options_Exhibits'!H422:H426),"")</f>
        <v/>
      </c>
      <c r="I426" s="3">
        <f>IF(ISNUMBER(AVERAGE('20250815_ETF_Options_Exhibits'!I422:I426)),AVERAGE('20250815_ETF_Options_Exhibits'!I422:I426),"")</f>
        <v/>
      </c>
      <c r="J426" s="3">
        <f>IF(ISNUMBER(AVERAGE('20250815_ETF_Options_Exhibits'!J422:J426)),AVERAGE('20250815_ETF_Options_Exhibits'!J422:J426),"")</f>
        <v/>
      </c>
      <c r="K426" s="3">
        <f>IF(ISNUMBER(AVERAGE('20250815_ETF_Options_Exhibits'!K422:K426)),AVERAGE('20250815_ETF_Options_Exhibits'!K422:K426),"")</f>
        <v/>
      </c>
      <c r="L426" s="3">
        <f>IF(ISNUMBER(AVERAGE('20250815_ETF_Options_Exhibits'!L422:L426)),AVERAGE('20250815_ETF_Options_Exhibits'!L422:L426),"")</f>
        <v/>
      </c>
      <c r="M426" s="3">
        <f>IF(ISNUMBER(AVERAGE('20250815_ETF_Options_Exhibits'!M422:M426)),AVERAGE('20250815_ETF_Options_Exhibits'!M422:M426),"")</f>
        <v/>
      </c>
      <c r="N426" s="3">
        <f>IF(ISNUMBER(AVERAGE('20250815_ETF_Options_Exhibits'!N422:N426)),AVERAGE('20250815_ETF_Options_Exhibits'!N422:N426),"")</f>
        <v/>
      </c>
      <c r="O426" s="3">
        <f>IF(ISNUMBER(AVERAGE('20250815_ETF_Options_Exhibits'!O422:O426)),AVERAGE('20250815_ETF_Options_Exhibits'!O422:O426),"")</f>
        <v/>
      </c>
      <c r="P426" s="3">
        <f>IF(ISNUMBER(AVERAGE('20250815_ETF_Options_Exhibits'!P422:P426)),AVERAGE('20250815_ETF_Options_Exhibits'!P422:P426),"")</f>
        <v/>
      </c>
      <c r="Q426" s="3">
        <f>IF(ISNUMBER(AVERAGE('20250815_ETF_Options_Exhibits'!Q422:Q426)),AVERAGE('20250815_ETF_Options_Exhibits'!Q422:Q426),"")</f>
        <v/>
      </c>
      <c r="R426" s="3">
        <f>IF(ISNUMBER(AVERAGE('20250815_ETF_Options_Exhibits'!R422:R426)),AVERAGE('20250815_ETF_Options_Exhibits'!R422:R426),"")</f>
        <v/>
      </c>
      <c r="S426" s="3">
        <f>IF(ISNUMBER(AVERAGE('20250815_ETF_Options_Exhibits'!S422:S426)),AVERAGE('20250815_ETF_Options_Exhibits'!S422:S426),"")</f>
        <v/>
      </c>
      <c r="T426" s="3">
        <f>IF(ISNUMBER(AVERAGE('20250815_ETF_Options_Exhibits'!T422:T426)),AVERAGE('20250815_ETF_Options_Exhibits'!T422:T426),"")</f>
        <v/>
      </c>
      <c r="U426" s="3">
        <f>IF(ISNUMBER(AVERAGE('20250815_ETF_Options_Exhibits'!U422:U426)),AVERAGE('20250815_ETF_Options_Exhibits'!U422:U426),"")</f>
        <v/>
      </c>
      <c r="V426" s="3">
        <f>IF(ISNUMBER(AVERAGE('20250815_ETF_Options_Exhibits'!V422:V426)),AVERAGE('20250815_ETF_Options_Exhibits'!V422:V426),"")</f>
        <v/>
      </c>
      <c r="W426" s="3">
        <f>IF(ISNUMBER(AVERAGE('20250815_ETF_Options_Exhibits'!W422:W426)),AVERAGE('20250815_ETF_Options_Exhibits'!W422:W426),"")</f>
        <v/>
      </c>
      <c r="X426" s="3">
        <f>IF(ISNUMBER(AVERAGE('20250815_ETF_Options_Exhibits'!X422:X426)),AVERAGE('20250815_ETF_Options_Exhibits'!X422:X426),"")</f>
        <v/>
      </c>
      <c r="Y426" s="3">
        <f>IF(ISNUMBER(AVERAGE('20250815_ETF_Options_Exhibits'!Y422:Y426)),AVERAGE('20250815_ETF_Options_Exhibits'!Y422:Y426),"")</f>
        <v/>
      </c>
      <c r="Z426" s="3">
        <f>IF(ISNUMBER(AVERAGE('20250815_ETF_Options_Exhibits'!Z422:Z426)),AVERAGE('20250815_ETF_Options_Exhibits'!Z422:Z426),"")</f>
        <v/>
      </c>
      <c r="AA426" s="3">
        <f>IF(ISNUMBER(AVERAGE('20250815_ETF_Options_Exhibits'!AA422:AA426)),AVERAGE('20250815_ETF_Options_Exhibits'!AA422:AA426),"")</f>
        <v/>
      </c>
    </row>
    <row r="427">
      <c r="A427" s="1" t="n">
        <v>42621</v>
      </c>
      <c r="B427" s="3">
        <f>IF(ISNUMBER(AVERAGE('20250815_ETF_Options_Exhibits'!B423:B427)),AVERAGE('20250815_ETF_Options_Exhibits'!B423:B427),"")</f>
        <v/>
      </c>
      <c r="C427" s="3">
        <f>IF(ISNUMBER(AVERAGE('20250815_ETF_Options_Exhibits'!C423:C427)),AVERAGE('20250815_ETF_Options_Exhibits'!C423:C427),"")</f>
        <v/>
      </c>
      <c r="D427" s="3">
        <f>IF(ISNUMBER(AVERAGE('20250815_ETF_Options_Exhibits'!D423:D427)),AVERAGE('20250815_ETF_Options_Exhibits'!D423:D427),"")</f>
        <v/>
      </c>
      <c r="E427" s="3">
        <f>IF(ISNUMBER(AVERAGE('20250815_ETF_Options_Exhibits'!E423:E427)),AVERAGE('20250815_ETF_Options_Exhibits'!E423:E427),"")</f>
        <v/>
      </c>
      <c r="F427" s="3">
        <f>IF(ISNUMBER(AVERAGE('20250815_ETF_Options_Exhibits'!F423:F427)),AVERAGE('20250815_ETF_Options_Exhibits'!F423:F427),"")</f>
        <v/>
      </c>
      <c r="G427" s="3">
        <f>IF(ISNUMBER(AVERAGE('20250815_ETF_Options_Exhibits'!G423:G427)),AVERAGE('20250815_ETF_Options_Exhibits'!G423:G427),"")</f>
        <v/>
      </c>
      <c r="H427" s="3">
        <f>IF(ISNUMBER(AVERAGE('20250815_ETF_Options_Exhibits'!H423:H427)),AVERAGE('20250815_ETF_Options_Exhibits'!H423:H427),"")</f>
        <v/>
      </c>
      <c r="I427" s="3">
        <f>IF(ISNUMBER(AVERAGE('20250815_ETF_Options_Exhibits'!I423:I427)),AVERAGE('20250815_ETF_Options_Exhibits'!I423:I427),"")</f>
        <v/>
      </c>
      <c r="J427" s="3">
        <f>IF(ISNUMBER(AVERAGE('20250815_ETF_Options_Exhibits'!J423:J427)),AVERAGE('20250815_ETF_Options_Exhibits'!J423:J427),"")</f>
        <v/>
      </c>
      <c r="K427" s="3">
        <f>IF(ISNUMBER(AVERAGE('20250815_ETF_Options_Exhibits'!K423:K427)),AVERAGE('20250815_ETF_Options_Exhibits'!K423:K427),"")</f>
        <v/>
      </c>
      <c r="L427" s="3">
        <f>IF(ISNUMBER(AVERAGE('20250815_ETF_Options_Exhibits'!L423:L427)),AVERAGE('20250815_ETF_Options_Exhibits'!L423:L427),"")</f>
        <v/>
      </c>
      <c r="M427" s="3">
        <f>IF(ISNUMBER(AVERAGE('20250815_ETF_Options_Exhibits'!M423:M427)),AVERAGE('20250815_ETF_Options_Exhibits'!M423:M427),"")</f>
        <v/>
      </c>
      <c r="N427" s="3">
        <f>IF(ISNUMBER(AVERAGE('20250815_ETF_Options_Exhibits'!N423:N427)),AVERAGE('20250815_ETF_Options_Exhibits'!N423:N427),"")</f>
        <v/>
      </c>
      <c r="O427" s="3">
        <f>IF(ISNUMBER(AVERAGE('20250815_ETF_Options_Exhibits'!O423:O427)),AVERAGE('20250815_ETF_Options_Exhibits'!O423:O427),"")</f>
        <v/>
      </c>
      <c r="P427" s="3">
        <f>IF(ISNUMBER(AVERAGE('20250815_ETF_Options_Exhibits'!P423:P427)),AVERAGE('20250815_ETF_Options_Exhibits'!P423:P427),"")</f>
        <v/>
      </c>
      <c r="Q427" s="3">
        <f>IF(ISNUMBER(AVERAGE('20250815_ETF_Options_Exhibits'!Q423:Q427)),AVERAGE('20250815_ETF_Options_Exhibits'!Q423:Q427),"")</f>
        <v/>
      </c>
      <c r="R427" s="3">
        <f>IF(ISNUMBER(AVERAGE('20250815_ETF_Options_Exhibits'!R423:R427)),AVERAGE('20250815_ETF_Options_Exhibits'!R423:R427),"")</f>
        <v/>
      </c>
      <c r="S427" s="3">
        <f>IF(ISNUMBER(AVERAGE('20250815_ETF_Options_Exhibits'!S423:S427)),AVERAGE('20250815_ETF_Options_Exhibits'!S423:S427),"")</f>
        <v/>
      </c>
      <c r="T427" s="3">
        <f>IF(ISNUMBER(AVERAGE('20250815_ETF_Options_Exhibits'!T423:T427)),AVERAGE('20250815_ETF_Options_Exhibits'!T423:T427),"")</f>
        <v/>
      </c>
      <c r="U427" s="3">
        <f>IF(ISNUMBER(AVERAGE('20250815_ETF_Options_Exhibits'!U423:U427)),AVERAGE('20250815_ETF_Options_Exhibits'!U423:U427),"")</f>
        <v/>
      </c>
      <c r="V427" s="3">
        <f>IF(ISNUMBER(AVERAGE('20250815_ETF_Options_Exhibits'!V423:V427)),AVERAGE('20250815_ETF_Options_Exhibits'!V423:V427),"")</f>
        <v/>
      </c>
      <c r="W427" s="3">
        <f>IF(ISNUMBER(AVERAGE('20250815_ETF_Options_Exhibits'!W423:W427)),AVERAGE('20250815_ETF_Options_Exhibits'!W423:W427),"")</f>
        <v/>
      </c>
      <c r="X427" s="3">
        <f>IF(ISNUMBER(AVERAGE('20250815_ETF_Options_Exhibits'!X423:X427)),AVERAGE('20250815_ETF_Options_Exhibits'!X423:X427),"")</f>
        <v/>
      </c>
      <c r="Y427" s="3">
        <f>IF(ISNUMBER(AVERAGE('20250815_ETF_Options_Exhibits'!Y423:Y427)),AVERAGE('20250815_ETF_Options_Exhibits'!Y423:Y427),"")</f>
        <v/>
      </c>
      <c r="Z427" s="3">
        <f>IF(ISNUMBER(AVERAGE('20250815_ETF_Options_Exhibits'!Z423:Z427)),AVERAGE('20250815_ETF_Options_Exhibits'!Z423:Z427),"")</f>
        <v/>
      </c>
      <c r="AA427" s="3">
        <f>IF(ISNUMBER(AVERAGE('20250815_ETF_Options_Exhibits'!AA423:AA427)),AVERAGE('20250815_ETF_Options_Exhibits'!AA423:AA427),"")</f>
        <v/>
      </c>
    </row>
    <row r="428">
      <c r="A428" s="1" t="n">
        <v>42622</v>
      </c>
      <c r="B428" s="3">
        <f>IF(ISNUMBER(AVERAGE('20250815_ETF_Options_Exhibits'!B424:B428)),AVERAGE('20250815_ETF_Options_Exhibits'!B424:B428),"")</f>
        <v/>
      </c>
      <c r="C428" s="3">
        <f>IF(ISNUMBER(AVERAGE('20250815_ETF_Options_Exhibits'!C424:C428)),AVERAGE('20250815_ETF_Options_Exhibits'!C424:C428),"")</f>
        <v/>
      </c>
      <c r="D428" s="3">
        <f>IF(ISNUMBER(AVERAGE('20250815_ETF_Options_Exhibits'!D424:D428)),AVERAGE('20250815_ETF_Options_Exhibits'!D424:D428),"")</f>
        <v/>
      </c>
      <c r="E428" s="3">
        <f>IF(ISNUMBER(AVERAGE('20250815_ETF_Options_Exhibits'!E424:E428)),AVERAGE('20250815_ETF_Options_Exhibits'!E424:E428),"")</f>
        <v/>
      </c>
      <c r="F428" s="3">
        <f>IF(ISNUMBER(AVERAGE('20250815_ETF_Options_Exhibits'!F424:F428)),AVERAGE('20250815_ETF_Options_Exhibits'!F424:F428),"")</f>
        <v/>
      </c>
      <c r="G428" s="3">
        <f>IF(ISNUMBER(AVERAGE('20250815_ETF_Options_Exhibits'!G424:G428)),AVERAGE('20250815_ETF_Options_Exhibits'!G424:G428),"")</f>
        <v/>
      </c>
      <c r="H428" s="3">
        <f>IF(ISNUMBER(AVERAGE('20250815_ETF_Options_Exhibits'!H424:H428)),AVERAGE('20250815_ETF_Options_Exhibits'!H424:H428),"")</f>
        <v/>
      </c>
      <c r="I428" s="3">
        <f>IF(ISNUMBER(AVERAGE('20250815_ETF_Options_Exhibits'!I424:I428)),AVERAGE('20250815_ETF_Options_Exhibits'!I424:I428),"")</f>
        <v/>
      </c>
      <c r="J428" s="3">
        <f>IF(ISNUMBER(AVERAGE('20250815_ETF_Options_Exhibits'!J424:J428)),AVERAGE('20250815_ETF_Options_Exhibits'!J424:J428),"")</f>
        <v/>
      </c>
      <c r="K428" s="3">
        <f>IF(ISNUMBER(AVERAGE('20250815_ETF_Options_Exhibits'!K424:K428)),AVERAGE('20250815_ETF_Options_Exhibits'!K424:K428),"")</f>
        <v/>
      </c>
      <c r="L428" s="3">
        <f>IF(ISNUMBER(AVERAGE('20250815_ETF_Options_Exhibits'!L424:L428)),AVERAGE('20250815_ETF_Options_Exhibits'!L424:L428),"")</f>
        <v/>
      </c>
      <c r="M428" s="3">
        <f>IF(ISNUMBER(AVERAGE('20250815_ETF_Options_Exhibits'!M424:M428)),AVERAGE('20250815_ETF_Options_Exhibits'!M424:M428),"")</f>
        <v/>
      </c>
      <c r="N428" s="3">
        <f>IF(ISNUMBER(AVERAGE('20250815_ETF_Options_Exhibits'!N424:N428)),AVERAGE('20250815_ETF_Options_Exhibits'!N424:N428),"")</f>
        <v/>
      </c>
      <c r="O428" s="3">
        <f>IF(ISNUMBER(AVERAGE('20250815_ETF_Options_Exhibits'!O424:O428)),AVERAGE('20250815_ETF_Options_Exhibits'!O424:O428),"")</f>
        <v/>
      </c>
      <c r="P428" s="3">
        <f>IF(ISNUMBER(AVERAGE('20250815_ETF_Options_Exhibits'!P424:P428)),AVERAGE('20250815_ETF_Options_Exhibits'!P424:P428),"")</f>
        <v/>
      </c>
      <c r="Q428" s="3">
        <f>IF(ISNUMBER(AVERAGE('20250815_ETF_Options_Exhibits'!Q424:Q428)),AVERAGE('20250815_ETF_Options_Exhibits'!Q424:Q428),"")</f>
        <v/>
      </c>
      <c r="R428" s="3">
        <f>IF(ISNUMBER(AVERAGE('20250815_ETF_Options_Exhibits'!R424:R428)),AVERAGE('20250815_ETF_Options_Exhibits'!R424:R428),"")</f>
        <v/>
      </c>
      <c r="S428" s="3">
        <f>IF(ISNUMBER(AVERAGE('20250815_ETF_Options_Exhibits'!S424:S428)),AVERAGE('20250815_ETF_Options_Exhibits'!S424:S428),"")</f>
        <v/>
      </c>
      <c r="T428" s="3">
        <f>IF(ISNUMBER(AVERAGE('20250815_ETF_Options_Exhibits'!T424:T428)),AVERAGE('20250815_ETF_Options_Exhibits'!T424:T428),"")</f>
        <v/>
      </c>
      <c r="U428" s="3">
        <f>IF(ISNUMBER(AVERAGE('20250815_ETF_Options_Exhibits'!U424:U428)),AVERAGE('20250815_ETF_Options_Exhibits'!U424:U428),"")</f>
        <v/>
      </c>
      <c r="V428" s="3">
        <f>IF(ISNUMBER(AVERAGE('20250815_ETF_Options_Exhibits'!V424:V428)),AVERAGE('20250815_ETF_Options_Exhibits'!V424:V428),"")</f>
        <v/>
      </c>
      <c r="W428" s="3">
        <f>IF(ISNUMBER(AVERAGE('20250815_ETF_Options_Exhibits'!W424:W428)),AVERAGE('20250815_ETF_Options_Exhibits'!W424:W428),"")</f>
        <v/>
      </c>
      <c r="X428" s="3">
        <f>IF(ISNUMBER(AVERAGE('20250815_ETF_Options_Exhibits'!X424:X428)),AVERAGE('20250815_ETF_Options_Exhibits'!X424:X428),"")</f>
        <v/>
      </c>
      <c r="Y428" s="3">
        <f>IF(ISNUMBER(AVERAGE('20250815_ETF_Options_Exhibits'!Y424:Y428)),AVERAGE('20250815_ETF_Options_Exhibits'!Y424:Y428),"")</f>
        <v/>
      </c>
      <c r="Z428" s="3">
        <f>IF(ISNUMBER(AVERAGE('20250815_ETF_Options_Exhibits'!Z424:Z428)),AVERAGE('20250815_ETF_Options_Exhibits'!Z424:Z428),"")</f>
        <v/>
      </c>
      <c r="AA428" s="3">
        <f>IF(ISNUMBER(AVERAGE('20250815_ETF_Options_Exhibits'!AA424:AA428)),AVERAGE('20250815_ETF_Options_Exhibits'!AA424:AA428),"")</f>
        <v/>
      </c>
    </row>
    <row r="429">
      <c r="A429" s="1" t="n">
        <v>42625</v>
      </c>
      <c r="B429" s="3">
        <f>IF(ISNUMBER(AVERAGE('20250815_ETF_Options_Exhibits'!B425:B429)),AVERAGE('20250815_ETF_Options_Exhibits'!B425:B429),"")</f>
        <v/>
      </c>
      <c r="C429" s="3">
        <f>IF(ISNUMBER(AVERAGE('20250815_ETF_Options_Exhibits'!C425:C429)),AVERAGE('20250815_ETF_Options_Exhibits'!C425:C429),"")</f>
        <v/>
      </c>
      <c r="D429" s="3">
        <f>IF(ISNUMBER(AVERAGE('20250815_ETF_Options_Exhibits'!D425:D429)),AVERAGE('20250815_ETF_Options_Exhibits'!D425:D429),"")</f>
        <v/>
      </c>
      <c r="E429" s="3">
        <f>IF(ISNUMBER(AVERAGE('20250815_ETF_Options_Exhibits'!E425:E429)),AVERAGE('20250815_ETF_Options_Exhibits'!E425:E429),"")</f>
        <v/>
      </c>
      <c r="F429" s="3">
        <f>IF(ISNUMBER(AVERAGE('20250815_ETF_Options_Exhibits'!F425:F429)),AVERAGE('20250815_ETF_Options_Exhibits'!F425:F429),"")</f>
        <v/>
      </c>
      <c r="G429" s="3">
        <f>IF(ISNUMBER(AVERAGE('20250815_ETF_Options_Exhibits'!G425:G429)),AVERAGE('20250815_ETF_Options_Exhibits'!G425:G429),"")</f>
        <v/>
      </c>
      <c r="H429" s="3">
        <f>IF(ISNUMBER(AVERAGE('20250815_ETF_Options_Exhibits'!H425:H429)),AVERAGE('20250815_ETF_Options_Exhibits'!H425:H429),"")</f>
        <v/>
      </c>
      <c r="I429" s="3">
        <f>IF(ISNUMBER(AVERAGE('20250815_ETF_Options_Exhibits'!I425:I429)),AVERAGE('20250815_ETF_Options_Exhibits'!I425:I429),"")</f>
        <v/>
      </c>
      <c r="J429" s="3">
        <f>IF(ISNUMBER(AVERAGE('20250815_ETF_Options_Exhibits'!J425:J429)),AVERAGE('20250815_ETF_Options_Exhibits'!J425:J429),"")</f>
        <v/>
      </c>
      <c r="K429" s="3">
        <f>IF(ISNUMBER(AVERAGE('20250815_ETF_Options_Exhibits'!K425:K429)),AVERAGE('20250815_ETF_Options_Exhibits'!K425:K429),"")</f>
        <v/>
      </c>
      <c r="L429" s="3">
        <f>IF(ISNUMBER(AVERAGE('20250815_ETF_Options_Exhibits'!L425:L429)),AVERAGE('20250815_ETF_Options_Exhibits'!L425:L429),"")</f>
        <v/>
      </c>
      <c r="M429" s="3">
        <f>IF(ISNUMBER(AVERAGE('20250815_ETF_Options_Exhibits'!M425:M429)),AVERAGE('20250815_ETF_Options_Exhibits'!M425:M429),"")</f>
        <v/>
      </c>
      <c r="N429" s="3">
        <f>IF(ISNUMBER(AVERAGE('20250815_ETF_Options_Exhibits'!N425:N429)),AVERAGE('20250815_ETF_Options_Exhibits'!N425:N429),"")</f>
        <v/>
      </c>
      <c r="O429" s="3">
        <f>IF(ISNUMBER(AVERAGE('20250815_ETF_Options_Exhibits'!O425:O429)),AVERAGE('20250815_ETF_Options_Exhibits'!O425:O429),"")</f>
        <v/>
      </c>
      <c r="P429" s="3">
        <f>IF(ISNUMBER(AVERAGE('20250815_ETF_Options_Exhibits'!P425:P429)),AVERAGE('20250815_ETF_Options_Exhibits'!P425:P429),"")</f>
        <v/>
      </c>
      <c r="Q429" s="3">
        <f>IF(ISNUMBER(AVERAGE('20250815_ETF_Options_Exhibits'!Q425:Q429)),AVERAGE('20250815_ETF_Options_Exhibits'!Q425:Q429),"")</f>
        <v/>
      </c>
      <c r="R429" s="3">
        <f>IF(ISNUMBER(AVERAGE('20250815_ETF_Options_Exhibits'!R425:R429)),AVERAGE('20250815_ETF_Options_Exhibits'!R425:R429),"")</f>
        <v/>
      </c>
      <c r="S429" s="3">
        <f>IF(ISNUMBER(AVERAGE('20250815_ETF_Options_Exhibits'!S425:S429)),AVERAGE('20250815_ETF_Options_Exhibits'!S425:S429),"")</f>
        <v/>
      </c>
      <c r="T429" s="3">
        <f>IF(ISNUMBER(AVERAGE('20250815_ETF_Options_Exhibits'!T425:T429)),AVERAGE('20250815_ETF_Options_Exhibits'!T425:T429),"")</f>
        <v/>
      </c>
      <c r="U429" s="3">
        <f>IF(ISNUMBER(AVERAGE('20250815_ETF_Options_Exhibits'!U425:U429)),AVERAGE('20250815_ETF_Options_Exhibits'!U425:U429),"")</f>
        <v/>
      </c>
      <c r="V429" s="3">
        <f>IF(ISNUMBER(AVERAGE('20250815_ETF_Options_Exhibits'!V425:V429)),AVERAGE('20250815_ETF_Options_Exhibits'!V425:V429),"")</f>
        <v/>
      </c>
      <c r="W429" s="3">
        <f>IF(ISNUMBER(AVERAGE('20250815_ETF_Options_Exhibits'!W425:W429)),AVERAGE('20250815_ETF_Options_Exhibits'!W425:W429),"")</f>
        <v/>
      </c>
      <c r="X429" s="3">
        <f>IF(ISNUMBER(AVERAGE('20250815_ETF_Options_Exhibits'!X425:X429)),AVERAGE('20250815_ETF_Options_Exhibits'!X425:X429),"")</f>
        <v/>
      </c>
      <c r="Y429" s="3">
        <f>IF(ISNUMBER(AVERAGE('20250815_ETF_Options_Exhibits'!Y425:Y429)),AVERAGE('20250815_ETF_Options_Exhibits'!Y425:Y429),"")</f>
        <v/>
      </c>
      <c r="Z429" s="3">
        <f>IF(ISNUMBER(AVERAGE('20250815_ETF_Options_Exhibits'!Z425:Z429)),AVERAGE('20250815_ETF_Options_Exhibits'!Z425:Z429),"")</f>
        <v/>
      </c>
      <c r="AA429" s="3">
        <f>IF(ISNUMBER(AVERAGE('20250815_ETF_Options_Exhibits'!AA425:AA429)),AVERAGE('20250815_ETF_Options_Exhibits'!AA425:AA429),"")</f>
        <v/>
      </c>
    </row>
    <row r="430">
      <c r="A430" s="1" t="n">
        <v>42626</v>
      </c>
      <c r="B430" s="3">
        <f>IF(ISNUMBER(AVERAGE('20250815_ETF_Options_Exhibits'!B426:B430)),AVERAGE('20250815_ETF_Options_Exhibits'!B426:B430),"")</f>
        <v/>
      </c>
      <c r="C430" s="3">
        <f>IF(ISNUMBER(AVERAGE('20250815_ETF_Options_Exhibits'!C426:C430)),AVERAGE('20250815_ETF_Options_Exhibits'!C426:C430),"")</f>
        <v/>
      </c>
      <c r="D430" s="3">
        <f>IF(ISNUMBER(AVERAGE('20250815_ETF_Options_Exhibits'!D426:D430)),AVERAGE('20250815_ETF_Options_Exhibits'!D426:D430),"")</f>
        <v/>
      </c>
      <c r="E430" s="3">
        <f>IF(ISNUMBER(AVERAGE('20250815_ETF_Options_Exhibits'!E426:E430)),AVERAGE('20250815_ETF_Options_Exhibits'!E426:E430),"")</f>
        <v/>
      </c>
      <c r="F430" s="3">
        <f>IF(ISNUMBER(AVERAGE('20250815_ETF_Options_Exhibits'!F426:F430)),AVERAGE('20250815_ETF_Options_Exhibits'!F426:F430),"")</f>
        <v/>
      </c>
      <c r="G430" s="3">
        <f>IF(ISNUMBER(AVERAGE('20250815_ETF_Options_Exhibits'!G426:G430)),AVERAGE('20250815_ETF_Options_Exhibits'!G426:G430),"")</f>
        <v/>
      </c>
      <c r="H430" s="3">
        <f>IF(ISNUMBER(AVERAGE('20250815_ETF_Options_Exhibits'!H426:H430)),AVERAGE('20250815_ETF_Options_Exhibits'!H426:H430),"")</f>
        <v/>
      </c>
      <c r="I430" s="3">
        <f>IF(ISNUMBER(AVERAGE('20250815_ETF_Options_Exhibits'!I426:I430)),AVERAGE('20250815_ETF_Options_Exhibits'!I426:I430),"")</f>
        <v/>
      </c>
      <c r="J430" s="3">
        <f>IF(ISNUMBER(AVERAGE('20250815_ETF_Options_Exhibits'!J426:J430)),AVERAGE('20250815_ETF_Options_Exhibits'!J426:J430),"")</f>
        <v/>
      </c>
      <c r="K430" s="3">
        <f>IF(ISNUMBER(AVERAGE('20250815_ETF_Options_Exhibits'!K426:K430)),AVERAGE('20250815_ETF_Options_Exhibits'!K426:K430),"")</f>
        <v/>
      </c>
      <c r="L430" s="3">
        <f>IF(ISNUMBER(AVERAGE('20250815_ETF_Options_Exhibits'!L426:L430)),AVERAGE('20250815_ETF_Options_Exhibits'!L426:L430),"")</f>
        <v/>
      </c>
      <c r="M430" s="3">
        <f>IF(ISNUMBER(AVERAGE('20250815_ETF_Options_Exhibits'!M426:M430)),AVERAGE('20250815_ETF_Options_Exhibits'!M426:M430),"")</f>
        <v/>
      </c>
      <c r="N430" s="3">
        <f>IF(ISNUMBER(AVERAGE('20250815_ETF_Options_Exhibits'!N426:N430)),AVERAGE('20250815_ETF_Options_Exhibits'!N426:N430),"")</f>
        <v/>
      </c>
      <c r="O430" s="3">
        <f>IF(ISNUMBER(AVERAGE('20250815_ETF_Options_Exhibits'!O426:O430)),AVERAGE('20250815_ETF_Options_Exhibits'!O426:O430),"")</f>
        <v/>
      </c>
      <c r="P430" s="3">
        <f>IF(ISNUMBER(AVERAGE('20250815_ETF_Options_Exhibits'!P426:P430)),AVERAGE('20250815_ETF_Options_Exhibits'!P426:P430),"")</f>
        <v/>
      </c>
      <c r="Q430" s="3">
        <f>IF(ISNUMBER(AVERAGE('20250815_ETF_Options_Exhibits'!Q426:Q430)),AVERAGE('20250815_ETF_Options_Exhibits'!Q426:Q430),"")</f>
        <v/>
      </c>
      <c r="R430" s="3">
        <f>IF(ISNUMBER(AVERAGE('20250815_ETF_Options_Exhibits'!R426:R430)),AVERAGE('20250815_ETF_Options_Exhibits'!R426:R430),"")</f>
        <v/>
      </c>
      <c r="S430" s="3">
        <f>IF(ISNUMBER(AVERAGE('20250815_ETF_Options_Exhibits'!S426:S430)),AVERAGE('20250815_ETF_Options_Exhibits'!S426:S430),"")</f>
        <v/>
      </c>
      <c r="T430" s="3">
        <f>IF(ISNUMBER(AVERAGE('20250815_ETF_Options_Exhibits'!T426:T430)),AVERAGE('20250815_ETF_Options_Exhibits'!T426:T430),"")</f>
        <v/>
      </c>
      <c r="U430" s="3">
        <f>IF(ISNUMBER(AVERAGE('20250815_ETF_Options_Exhibits'!U426:U430)),AVERAGE('20250815_ETF_Options_Exhibits'!U426:U430),"")</f>
        <v/>
      </c>
      <c r="V430" s="3">
        <f>IF(ISNUMBER(AVERAGE('20250815_ETF_Options_Exhibits'!V426:V430)),AVERAGE('20250815_ETF_Options_Exhibits'!V426:V430),"")</f>
        <v/>
      </c>
      <c r="W430" s="3">
        <f>IF(ISNUMBER(AVERAGE('20250815_ETF_Options_Exhibits'!W426:W430)),AVERAGE('20250815_ETF_Options_Exhibits'!W426:W430),"")</f>
        <v/>
      </c>
      <c r="X430" s="3">
        <f>IF(ISNUMBER(AVERAGE('20250815_ETF_Options_Exhibits'!X426:X430)),AVERAGE('20250815_ETF_Options_Exhibits'!X426:X430),"")</f>
        <v/>
      </c>
      <c r="Y430" s="3">
        <f>IF(ISNUMBER(AVERAGE('20250815_ETF_Options_Exhibits'!Y426:Y430)),AVERAGE('20250815_ETF_Options_Exhibits'!Y426:Y430),"")</f>
        <v/>
      </c>
      <c r="Z430" s="3">
        <f>IF(ISNUMBER(AVERAGE('20250815_ETF_Options_Exhibits'!Z426:Z430)),AVERAGE('20250815_ETF_Options_Exhibits'!Z426:Z430),"")</f>
        <v/>
      </c>
      <c r="AA430" s="3">
        <f>IF(ISNUMBER(AVERAGE('20250815_ETF_Options_Exhibits'!AA426:AA430)),AVERAGE('20250815_ETF_Options_Exhibits'!AA426:AA430),"")</f>
        <v/>
      </c>
    </row>
    <row r="431">
      <c r="A431" s="1" t="n">
        <v>42627</v>
      </c>
      <c r="B431" s="3">
        <f>IF(ISNUMBER(AVERAGE('20250815_ETF_Options_Exhibits'!B427:B431)),AVERAGE('20250815_ETF_Options_Exhibits'!B427:B431),"")</f>
        <v/>
      </c>
      <c r="C431" s="3">
        <f>IF(ISNUMBER(AVERAGE('20250815_ETF_Options_Exhibits'!C427:C431)),AVERAGE('20250815_ETF_Options_Exhibits'!C427:C431),"")</f>
        <v/>
      </c>
      <c r="D431" s="3">
        <f>IF(ISNUMBER(AVERAGE('20250815_ETF_Options_Exhibits'!D427:D431)),AVERAGE('20250815_ETF_Options_Exhibits'!D427:D431),"")</f>
        <v/>
      </c>
      <c r="E431" s="3">
        <f>IF(ISNUMBER(AVERAGE('20250815_ETF_Options_Exhibits'!E427:E431)),AVERAGE('20250815_ETF_Options_Exhibits'!E427:E431),"")</f>
        <v/>
      </c>
      <c r="F431" s="3">
        <f>IF(ISNUMBER(AVERAGE('20250815_ETF_Options_Exhibits'!F427:F431)),AVERAGE('20250815_ETF_Options_Exhibits'!F427:F431),"")</f>
        <v/>
      </c>
      <c r="G431" s="3">
        <f>IF(ISNUMBER(AVERAGE('20250815_ETF_Options_Exhibits'!G427:G431)),AVERAGE('20250815_ETF_Options_Exhibits'!G427:G431),"")</f>
        <v/>
      </c>
      <c r="H431" s="3">
        <f>IF(ISNUMBER(AVERAGE('20250815_ETF_Options_Exhibits'!H427:H431)),AVERAGE('20250815_ETF_Options_Exhibits'!H427:H431),"")</f>
        <v/>
      </c>
      <c r="I431" s="3">
        <f>IF(ISNUMBER(AVERAGE('20250815_ETF_Options_Exhibits'!I427:I431)),AVERAGE('20250815_ETF_Options_Exhibits'!I427:I431),"")</f>
        <v/>
      </c>
      <c r="J431" s="3">
        <f>IF(ISNUMBER(AVERAGE('20250815_ETF_Options_Exhibits'!J427:J431)),AVERAGE('20250815_ETF_Options_Exhibits'!J427:J431),"")</f>
        <v/>
      </c>
      <c r="K431" s="3">
        <f>IF(ISNUMBER(AVERAGE('20250815_ETF_Options_Exhibits'!K427:K431)),AVERAGE('20250815_ETF_Options_Exhibits'!K427:K431),"")</f>
        <v/>
      </c>
      <c r="L431" s="3">
        <f>IF(ISNUMBER(AVERAGE('20250815_ETF_Options_Exhibits'!L427:L431)),AVERAGE('20250815_ETF_Options_Exhibits'!L427:L431),"")</f>
        <v/>
      </c>
      <c r="M431" s="3">
        <f>IF(ISNUMBER(AVERAGE('20250815_ETF_Options_Exhibits'!M427:M431)),AVERAGE('20250815_ETF_Options_Exhibits'!M427:M431),"")</f>
        <v/>
      </c>
      <c r="N431" s="3">
        <f>IF(ISNUMBER(AVERAGE('20250815_ETF_Options_Exhibits'!N427:N431)),AVERAGE('20250815_ETF_Options_Exhibits'!N427:N431),"")</f>
        <v/>
      </c>
      <c r="O431" s="3">
        <f>IF(ISNUMBER(AVERAGE('20250815_ETF_Options_Exhibits'!O427:O431)),AVERAGE('20250815_ETF_Options_Exhibits'!O427:O431),"")</f>
        <v/>
      </c>
      <c r="P431" s="3">
        <f>IF(ISNUMBER(AVERAGE('20250815_ETF_Options_Exhibits'!P427:P431)),AVERAGE('20250815_ETF_Options_Exhibits'!P427:P431),"")</f>
        <v/>
      </c>
      <c r="Q431" s="3">
        <f>IF(ISNUMBER(AVERAGE('20250815_ETF_Options_Exhibits'!Q427:Q431)),AVERAGE('20250815_ETF_Options_Exhibits'!Q427:Q431),"")</f>
        <v/>
      </c>
      <c r="R431" s="3">
        <f>IF(ISNUMBER(AVERAGE('20250815_ETF_Options_Exhibits'!R427:R431)),AVERAGE('20250815_ETF_Options_Exhibits'!R427:R431),"")</f>
        <v/>
      </c>
      <c r="S431" s="3">
        <f>IF(ISNUMBER(AVERAGE('20250815_ETF_Options_Exhibits'!S427:S431)),AVERAGE('20250815_ETF_Options_Exhibits'!S427:S431),"")</f>
        <v/>
      </c>
      <c r="T431" s="3">
        <f>IF(ISNUMBER(AVERAGE('20250815_ETF_Options_Exhibits'!T427:T431)),AVERAGE('20250815_ETF_Options_Exhibits'!T427:T431),"")</f>
        <v/>
      </c>
      <c r="U431" s="3">
        <f>IF(ISNUMBER(AVERAGE('20250815_ETF_Options_Exhibits'!U427:U431)),AVERAGE('20250815_ETF_Options_Exhibits'!U427:U431),"")</f>
        <v/>
      </c>
      <c r="V431" s="3">
        <f>IF(ISNUMBER(AVERAGE('20250815_ETF_Options_Exhibits'!V427:V431)),AVERAGE('20250815_ETF_Options_Exhibits'!V427:V431),"")</f>
        <v/>
      </c>
      <c r="W431" s="3">
        <f>IF(ISNUMBER(AVERAGE('20250815_ETF_Options_Exhibits'!W427:W431)),AVERAGE('20250815_ETF_Options_Exhibits'!W427:W431),"")</f>
        <v/>
      </c>
      <c r="X431" s="3">
        <f>IF(ISNUMBER(AVERAGE('20250815_ETF_Options_Exhibits'!X427:X431)),AVERAGE('20250815_ETF_Options_Exhibits'!X427:X431),"")</f>
        <v/>
      </c>
      <c r="Y431" s="3">
        <f>IF(ISNUMBER(AVERAGE('20250815_ETF_Options_Exhibits'!Y427:Y431)),AVERAGE('20250815_ETF_Options_Exhibits'!Y427:Y431),"")</f>
        <v/>
      </c>
      <c r="Z431" s="3">
        <f>IF(ISNUMBER(AVERAGE('20250815_ETF_Options_Exhibits'!Z427:Z431)),AVERAGE('20250815_ETF_Options_Exhibits'!Z427:Z431),"")</f>
        <v/>
      </c>
      <c r="AA431" s="3">
        <f>IF(ISNUMBER(AVERAGE('20250815_ETF_Options_Exhibits'!AA427:AA431)),AVERAGE('20250815_ETF_Options_Exhibits'!AA427:AA431),"")</f>
        <v/>
      </c>
    </row>
    <row r="432">
      <c r="A432" s="1" t="n">
        <v>42628</v>
      </c>
      <c r="B432" s="3">
        <f>IF(ISNUMBER(AVERAGE('20250815_ETF_Options_Exhibits'!B428:B432)),AVERAGE('20250815_ETF_Options_Exhibits'!B428:B432),"")</f>
        <v/>
      </c>
      <c r="C432" s="3">
        <f>IF(ISNUMBER(AVERAGE('20250815_ETF_Options_Exhibits'!C428:C432)),AVERAGE('20250815_ETF_Options_Exhibits'!C428:C432),"")</f>
        <v/>
      </c>
      <c r="D432" s="3">
        <f>IF(ISNUMBER(AVERAGE('20250815_ETF_Options_Exhibits'!D428:D432)),AVERAGE('20250815_ETF_Options_Exhibits'!D428:D432),"")</f>
        <v/>
      </c>
      <c r="E432" s="3">
        <f>IF(ISNUMBER(AVERAGE('20250815_ETF_Options_Exhibits'!E428:E432)),AVERAGE('20250815_ETF_Options_Exhibits'!E428:E432),"")</f>
        <v/>
      </c>
      <c r="F432" s="3">
        <f>IF(ISNUMBER(AVERAGE('20250815_ETF_Options_Exhibits'!F428:F432)),AVERAGE('20250815_ETF_Options_Exhibits'!F428:F432),"")</f>
        <v/>
      </c>
      <c r="G432" s="3">
        <f>IF(ISNUMBER(AVERAGE('20250815_ETF_Options_Exhibits'!G428:G432)),AVERAGE('20250815_ETF_Options_Exhibits'!G428:G432),"")</f>
        <v/>
      </c>
      <c r="H432" s="3">
        <f>IF(ISNUMBER(AVERAGE('20250815_ETF_Options_Exhibits'!H428:H432)),AVERAGE('20250815_ETF_Options_Exhibits'!H428:H432),"")</f>
        <v/>
      </c>
      <c r="I432" s="3">
        <f>IF(ISNUMBER(AVERAGE('20250815_ETF_Options_Exhibits'!I428:I432)),AVERAGE('20250815_ETF_Options_Exhibits'!I428:I432),"")</f>
        <v/>
      </c>
      <c r="J432" s="3">
        <f>IF(ISNUMBER(AVERAGE('20250815_ETF_Options_Exhibits'!J428:J432)),AVERAGE('20250815_ETF_Options_Exhibits'!J428:J432),"")</f>
        <v/>
      </c>
      <c r="K432" s="3">
        <f>IF(ISNUMBER(AVERAGE('20250815_ETF_Options_Exhibits'!K428:K432)),AVERAGE('20250815_ETF_Options_Exhibits'!K428:K432),"")</f>
        <v/>
      </c>
      <c r="L432" s="3">
        <f>IF(ISNUMBER(AVERAGE('20250815_ETF_Options_Exhibits'!L428:L432)),AVERAGE('20250815_ETF_Options_Exhibits'!L428:L432),"")</f>
        <v/>
      </c>
      <c r="M432" s="3">
        <f>IF(ISNUMBER(AVERAGE('20250815_ETF_Options_Exhibits'!M428:M432)),AVERAGE('20250815_ETF_Options_Exhibits'!M428:M432),"")</f>
        <v/>
      </c>
      <c r="N432" s="3">
        <f>IF(ISNUMBER(AVERAGE('20250815_ETF_Options_Exhibits'!N428:N432)),AVERAGE('20250815_ETF_Options_Exhibits'!N428:N432),"")</f>
        <v/>
      </c>
      <c r="O432" s="3">
        <f>IF(ISNUMBER(AVERAGE('20250815_ETF_Options_Exhibits'!O428:O432)),AVERAGE('20250815_ETF_Options_Exhibits'!O428:O432),"")</f>
        <v/>
      </c>
      <c r="P432" s="3">
        <f>IF(ISNUMBER(AVERAGE('20250815_ETF_Options_Exhibits'!P428:P432)),AVERAGE('20250815_ETF_Options_Exhibits'!P428:P432),"")</f>
        <v/>
      </c>
      <c r="Q432" s="3">
        <f>IF(ISNUMBER(AVERAGE('20250815_ETF_Options_Exhibits'!Q428:Q432)),AVERAGE('20250815_ETF_Options_Exhibits'!Q428:Q432),"")</f>
        <v/>
      </c>
      <c r="R432" s="3">
        <f>IF(ISNUMBER(AVERAGE('20250815_ETF_Options_Exhibits'!R428:R432)),AVERAGE('20250815_ETF_Options_Exhibits'!R428:R432),"")</f>
        <v/>
      </c>
      <c r="S432" s="3">
        <f>IF(ISNUMBER(AVERAGE('20250815_ETF_Options_Exhibits'!S428:S432)),AVERAGE('20250815_ETF_Options_Exhibits'!S428:S432),"")</f>
        <v/>
      </c>
      <c r="T432" s="3">
        <f>IF(ISNUMBER(AVERAGE('20250815_ETF_Options_Exhibits'!T428:T432)),AVERAGE('20250815_ETF_Options_Exhibits'!T428:T432),"")</f>
        <v/>
      </c>
      <c r="U432" s="3">
        <f>IF(ISNUMBER(AVERAGE('20250815_ETF_Options_Exhibits'!U428:U432)),AVERAGE('20250815_ETF_Options_Exhibits'!U428:U432),"")</f>
        <v/>
      </c>
      <c r="V432" s="3">
        <f>IF(ISNUMBER(AVERAGE('20250815_ETF_Options_Exhibits'!V428:V432)),AVERAGE('20250815_ETF_Options_Exhibits'!V428:V432),"")</f>
        <v/>
      </c>
      <c r="W432" s="3">
        <f>IF(ISNUMBER(AVERAGE('20250815_ETF_Options_Exhibits'!W428:W432)),AVERAGE('20250815_ETF_Options_Exhibits'!W428:W432),"")</f>
        <v/>
      </c>
      <c r="X432" s="3">
        <f>IF(ISNUMBER(AVERAGE('20250815_ETF_Options_Exhibits'!X428:X432)),AVERAGE('20250815_ETF_Options_Exhibits'!X428:X432),"")</f>
        <v/>
      </c>
      <c r="Y432" s="3">
        <f>IF(ISNUMBER(AVERAGE('20250815_ETF_Options_Exhibits'!Y428:Y432)),AVERAGE('20250815_ETF_Options_Exhibits'!Y428:Y432),"")</f>
        <v/>
      </c>
      <c r="Z432" s="3">
        <f>IF(ISNUMBER(AVERAGE('20250815_ETF_Options_Exhibits'!Z428:Z432)),AVERAGE('20250815_ETF_Options_Exhibits'!Z428:Z432),"")</f>
        <v/>
      </c>
      <c r="AA432" s="3">
        <f>IF(ISNUMBER(AVERAGE('20250815_ETF_Options_Exhibits'!AA428:AA432)),AVERAGE('20250815_ETF_Options_Exhibits'!AA428:AA432),"")</f>
        <v/>
      </c>
    </row>
    <row r="433">
      <c r="A433" s="1" t="n">
        <v>42629</v>
      </c>
      <c r="B433" s="3">
        <f>IF(ISNUMBER(AVERAGE('20250815_ETF_Options_Exhibits'!B429:B433)),AVERAGE('20250815_ETF_Options_Exhibits'!B429:B433),"")</f>
        <v/>
      </c>
      <c r="C433" s="3">
        <f>IF(ISNUMBER(AVERAGE('20250815_ETF_Options_Exhibits'!C429:C433)),AVERAGE('20250815_ETF_Options_Exhibits'!C429:C433),"")</f>
        <v/>
      </c>
      <c r="D433" s="3">
        <f>IF(ISNUMBER(AVERAGE('20250815_ETF_Options_Exhibits'!D429:D433)),AVERAGE('20250815_ETF_Options_Exhibits'!D429:D433),"")</f>
        <v/>
      </c>
      <c r="E433" s="3">
        <f>IF(ISNUMBER(AVERAGE('20250815_ETF_Options_Exhibits'!E429:E433)),AVERAGE('20250815_ETF_Options_Exhibits'!E429:E433),"")</f>
        <v/>
      </c>
      <c r="F433" s="3">
        <f>IF(ISNUMBER(AVERAGE('20250815_ETF_Options_Exhibits'!F429:F433)),AVERAGE('20250815_ETF_Options_Exhibits'!F429:F433),"")</f>
        <v/>
      </c>
      <c r="G433" s="3">
        <f>IF(ISNUMBER(AVERAGE('20250815_ETF_Options_Exhibits'!G429:G433)),AVERAGE('20250815_ETF_Options_Exhibits'!G429:G433),"")</f>
        <v/>
      </c>
      <c r="H433" s="3">
        <f>IF(ISNUMBER(AVERAGE('20250815_ETF_Options_Exhibits'!H429:H433)),AVERAGE('20250815_ETF_Options_Exhibits'!H429:H433),"")</f>
        <v/>
      </c>
      <c r="I433" s="3">
        <f>IF(ISNUMBER(AVERAGE('20250815_ETF_Options_Exhibits'!I429:I433)),AVERAGE('20250815_ETF_Options_Exhibits'!I429:I433),"")</f>
        <v/>
      </c>
      <c r="J433" s="3">
        <f>IF(ISNUMBER(AVERAGE('20250815_ETF_Options_Exhibits'!J429:J433)),AVERAGE('20250815_ETF_Options_Exhibits'!J429:J433),"")</f>
        <v/>
      </c>
      <c r="K433" s="3">
        <f>IF(ISNUMBER(AVERAGE('20250815_ETF_Options_Exhibits'!K429:K433)),AVERAGE('20250815_ETF_Options_Exhibits'!K429:K433),"")</f>
        <v/>
      </c>
      <c r="L433" s="3">
        <f>IF(ISNUMBER(AVERAGE('20250815_ETF_Options_Exhibits'!L429:L433)),AVERAGE('20250815_ETF_Options_Exhibits'!L429:L433),"")</f>
        <v/>
      </c>
      <c r="M433" s="3">
        <f>IF(ISNUMBER(AVERAGE('20250815_ETF_Options_Exhibits'!M429:M433)),AVERAGE('20250815_ETF_Options_Exhibits'!M429:M433),"")</f>
        <v/>
      </c>
      <c r="N433" s="3">
        <f>IF(ISNUMBER(AVERAGE('20250815_ETF_Options_Exhibits'!N429:N433)),AVERAGE('20250815_ETF_Options_Exhibits'!N429:N433),"")</f>
        <v/>
      </c>
      <c r="O433" s="3">
        <f>IF(ISNUMBER(AVERAGE('20250815_ETF_Options_Exhibits'!O429:O433)),AVERAGE('20250815_ETF_Options_Exhibits'!O429:O433),"")</f>
        <v/>
      </c>
      <c r="P433" s="3">
        <f>IF(ISNUMBER(AVERAGE('20250815_ETF_Options_Exhibits'!P429:P433)),AVERAGE('20250815_ETF_Options_Exhibits'!P429:P433),"")</f>
        <v/>
      </c>
      <c r="Q433" s="3">
        <f>IF(ISNUMBER(AVERAGE('20250815_ETF_Options_Exhibits'!Q429:Q433)),AVERAGE('20250815_ETF_Options_Exhibits'!Q429:Q433),"")</f>
        <v/>
      </c>
      <c r="R433" s="3">
        <f>IF(ISNUMBER(AVERAGE('20250815_ETF_Options_Exhibits'!R429:R433)),AVERAGE('20250815_ETF_Options_Exhibits'!R429:R433),"")</f>
        <v/>
      </c>
      <c r="S433" s="3">
        <f>IF(ISNUMBER(AVERAGE('20250815_ETF_Options_Exhibits'!S429:S433)),AVERAGE('20250815_ETF_Options_Exhibits'!S429:S433),"")</f>
        <v/>
      </c>
      <c r="T433" s="3">
        <f>IF(ISNUMBER(AVERAGE('20250815_ETF_Options_Exhibits'!T429:T433)),AVERAGE('20250815_ETF_Options_Exhibits'!T429:T433),"")</f>
        <v/>
      </c>
      <c r="U433" s="3">
        <f>IF(ISNUMBER(AVERAGE('20250815_ETF_Options_Exhibits'!U429:U433)),AVERAGE('20250815_ETF_Options_Exhibits'!U429:U433),"")</f>
        <v/>
      </c>
      <c r="V433" s="3">
        <f>IF(ISNUMBER(AVERAGE('20250815_ETF_Options_Exhibits'!V429:V433)),AVERAGE('20250815_ETF_Options_Exhibits'!V429:V433),"")</f>
        <v/>
      </c>
      <c r="W433" s="3">
        <f>IF(ISNUMBER(AVERAGE('20250815_ETF_Options_Exhibits'!W429:W433)),AVERAGE('20250815_ETF_Options_Exhibits'!W429:W433),"")</f>
        <v/>
      </c>
      <c r="X433" s="3">
        <f>IF(ISNUMBER(AVERAGE('20250815_ETF_Options_Exhibits'!X429:X433)),AVERAGE('20250815_ETF_Options_Exhibits'!X429:X433),"")</f>
        <v/>
      </c>
      <c r="Y433" s="3">
        <f>IF(ISNUMBER(AVERAGE('20250815_ETF_Options_Exhibits'!Y429:Y433)),AVERAGE('20250815_ETF_Options_Exhibits'!Y429:Y433),"")</f>
        <v/>
      </c>
      <c r="Z433" s="3">
        <f>IF(ISNUMBER(AVERAGE('20250815_ETF_Options_Exhibits'!Z429:Z433)),AVERAGE('20250815_ETF_Options_Exhibits'!Z429:Z433),"")</f>
        <v/>
      </c>
      <c r="AA433" s="3">
        <f>IF(ISNUMBER(AVERAGE('20250815_ETF_Options_Exhibits'!AA429:AA433)),AVERAGE('20250815_ETF_Options_Exhibits'!AA429:AA433),"")</f>
        <v/>
      </c>
    </row>
    <row r="434">
      <c r="A434" s="1" t="n">
        <v>42632</v>
      </c>
      <c r="B434" s="3">
        <f>IF(ISNUMBER(AVERAGE('20250815_ETF_Options_Exhibits'!B430:B434)),AVERAGE('20250815_ETF_Options_Exhibits'!B430:B434),"")</f>
        <v/>
      </c>
      <c r="C434" s="3">
        <f>IF(ISNUMBER(AVERAGE('20250815_ETF_Options_Exhibits'!C430:C434)),AVERAGE('20250815_ETF_Options_Exhibits'!C430:C434),"")</f>
        <v/>
      </c>
      <c r="D434" s="3">
        <f>IF(ISNUMBER(AVERAGE('20250815_ETF_Options_Exhibits'!D430:D434)),AVERAGE('20250815_ETF_Options_Exhibits'!D430:D434),"")</f>
        <v/>
      </c>
      <c r="E434" s="3">
        <f>IF(ISNUMBER(AVERAGE('20250815_ETF_Options_Exhibits'!E430:E434)),AVERAGE('20250815_ETF_Options_Exhibits'!E430:E434),"")</f>
        <v/>
      </c>
      <c r="F434" s="3">
        <f>IF(ISNUMBER(AVERAGE('20250815_ETF_Options_Exhibits'!F430:F434)),AVERAGE('20250815_ETF_Options_Exhibits'!F430:F434),"")</f>
        <v/>
      </c>
      <c r="G434" s="3">
        <f>IF(ISNUMBER(AVERAGE('20250815_ETF_Options_Exhibits'!G430:G434)),AVERAGE('20250815_ETF_Options_Exhibits'!G430:G434),"")</f>
        <v/>
      </c>
      <c r="H434" s="3">
        <f>IF(ISNUMBER(AVERAGE('20250815_ETF_Options_Exhibits'!H430:H434)),AVERAGE('20250815_ETF_Options_Exhibits'!H430:H434),"")</f>
        <v/>
      </c>
      <c r="I434" s="3">
        <f>IF(ISNUMBER(AVERAGE('20250815_ETF_Options_Exhibits'!I430:I434)),AVERAGE('20250815_ETF_Options_Exhibits'!I430:I434),"")</f>
        <v/>
      </c>
      <c r="J434" s="3">
        <f>IF(ISNUMBER(AVERAGE('20250815_ETF_Options_Exhibits'!J430:J434)),AVERAGE('20250815_ETF_Options_Exhibits'!J430:J434),"")</f>
        <v/>
      </c>
      <c r="K434" s="3">
        <f>IF(ISNUMBER(AVERAGE('20250815_ETF_Options_Exhibits'!K430:K434)),AVERAGE('20250815_ETF_Options_Exhibits'!K430:K434),"")</f>
        <v/>
      </c>
      <c r="L434" s="3">
        <f>IF(ISNUMBER(AVERAGE('20250815_ETF_Options_Exhibits'!L430:L434)),AVERAGE('20250815_ETF_Options_Exhibits'!L430:L434),"")</f>
        <v/>
      </c>
      <c r="M434" s="3">
        <f>IF(ISNUMBER(AVERAGE('20250815_ETF_Options_Exhibits'!M430:M434)),AVERAGE('20250815_ETF_Options_Exhibits'!M430:M434),"")</f>
        <v/>
      </c>
      <c r="N434" s="3">
        <f>IF(ISNUMBER(AVERAGE('20250815_ETF_Options_Exhibits'!N430:N434)),AVERAGE('20250815_ETF_Options_Exhibits'!N430:N434),"")</f>
        <v/>
      </c>
      <c r="O434" s="3">
        <f>IF(ISNUMBER(AVERAGE('20250815_ETF_Options_Exhibits'!O430:O434)),AVERAGE('20250815_ETF_Options_Exhibits'!O430:O434),"")</f>
        <v/>
      </c>
      <c r="P434" s="3">
        <f>IF(ISNUMBER(AVERAGE('20250815_ETF_Options_Exhibits'!P430:P434)),AVERAGE('20250815_ETF_Options_Exhibits'!P430:P434),"")</f>
        <v/>
      </c>
      <c r="Q434" s="3">
        <f>IF(ISNUMBER(AVERAGE('20250815_ETF_Options_Exhibits'!Q430:Q434)),AVERAGE('20250815_ETF_Options_Exhibits'!Q430:Q434),"")</f>
        <v/>
      </c>
      <c r="R434" s="3">
        <f>IF(ISNUMBER(AVERAGE('20250815_ETF_Options_Exhibits'!R430:R434)),AVERAGE('20250815_ETF_Options_Exhibits'!R430:R434),"")</f>
        <v/>
      </c>
      <c r="S434" s="3">
        <f>IF(ISNUMBER(AVERAGE('20250815_ETF_Options_Exhibits'!S430:S434)),AVERAGE('20250815_ETF_Options_Exhibits'!S430:S434),"")</f>
        <v/>
      </c>
      <c r="T434" s="3">
        <f>IF(ISNUMBER(AVERAGE('20250815_ETF_Options_Exhibits'!T430:T434)),AVERAGE('20250815_ETF_Options_Exhibits'!T430:T434),"")</f>
        <v/>
      </c>
      <c r="U434" s="3">
        <f>IF(ISNUMBER(AVERAGE('20250815_ETF_Options_Exhibits'!U430:U434)),AVERAGE('20250815_ETF_Options_Exhibits'!U430:U434),"")</f>
        <v/>
      </c>
      <c r="V434" s="3">
        <f>IF(ISNUMBER(AVERAGE('20250815_ETF_Options_Exhibits'!V430:V434)),AVERAGE('20250815_ETF_Options_Exhibits'!V430:V434),"")</f>
        <v/>
      </c>
      <c r="W434" s="3">
        <f>IF(ISNUMBER(AVERAGE('20250815_ETF_Options_Exhibits'!W430:W434)),AVERAGE('20250815_ETF_Options_Exhibits'!W430:W434),"")</f>
        <v/>
      </c>
      <c r="X434" s="3">
        <f>IF(ISNUMBER(AVERAGE('20250815_ETF_Options_Exhibits'!X430:X434)),AVERAGE('20250815_ETF_Options_Exhibits'!X430:X434),"")</f>
        <v/>
      </c>
      <c r="Y434" s="3">
        <f>IF(ISNUMBER(AVERAGE('20250815_ETF_Options_Exhibits'!Y430:Y434)),AVERAGE('20250815_ETF_Options_Exhibits'!Y430:Y434),"")</f>
        <v/>
      </c>
      <c r="Z434" s="3">
        <f>IF(ISNUMBER(AVERAGE('20250815_ETF_Options_Exhibits'!Z430:Z434)),AVERAGE('20250815_ETF_Options_Exhibits'!Z430:Z434),"")</f>
        <v/>
      </c>
      <c r="AA434" s="3">
        <f>IF(ISNUMBER(AVERAGE('20250815_ETF_Options_Exhibits'!AA430:AA434)),AVERAGE('20250815_ETF_Options_Exhibits'!AA430:AA434),"")</f>
        <v/>
      </c>
    </row>
    <row r="435">
      <c r="A435" s="1" t="n">
        <v>42633</v>
      </c>
      <c r="B435" s="3">
        <f>IF(ISNUMBER(AVERAGE('20250815_ETF_Options_Exhibits'!B431:B435)),AVERAGE('20250815_ETF_Options_Exhibits'!B431:B435),"")</f>
        <v/>
      </c>
      <c r="C435" s="3">
        <f>IF(ISNUMBER(AVERAGE('20250815_ETF_Options_Exhibits'!C431:C435)),AVERAGE('20250815_ETF_Options_Exhibits'!C431:C435),"")</f>
        <v/>
      </c>
      <c r="D435" s="3">
        <f>IF(ISNUMBER(AVERAGE('20250815_ETF_Options_Exhibits'!D431:D435)),AVERAGE('20250815_ETF_Options_Exhibits'!D431:D435),"")</f>
        <v/>
      </c>
      <c r="E435" s="3">
        <f>IF(ISNUMBER(AVERAGE('20250815_ETF_Options_Exhibits'!E431:E435)),AVERAGE('20250815_ETF_Options_Exhibits'!E431:E435),"")</f>
        <v/>
      </c>
      <c r="F435" s="3">
        <f>IF(ISNUMBER(AVERAGE('20250815_ETF_Options_Exhibits'!F431:F435)),AVERAGE('20250815_ETF_Options_Exhibits'!F431:F435),"")</f>
        <v/>
      </c>
      <c r="G435" s="3">
        <f>IF(ISNUMBER(AVERAGE('20250815_ETF_Options_Exhibits'!G431:G435)),AVERAGE('20250815_ETF_Options_Exhibits'!G431:G435),"")</f>
        <v/>
      </c>
      <c r="H435" s="3">
        <f>IF(ISNUMBER(AVERAGE('20250815_ETF_Options_Exhibits'!H431:H435)),AVERAGE('20250815_ETF_Options_Exhibits'!H431:H435),"")</f>
        <v/>
      </c>
      <c r="I435" s="3">
        <f>IF(ISNUMBER(AVERAGE('20250815_ETF_Options_Exhibits'!I431:I435)),AVERAGE('20250815_ETF_Options_Exhibits'!I431:I435),"")</f>
        <v/>
      </c>
      <c r="J435" s="3">
        <f>IF(ISNUMBER(AVERAGE('20250815_ETF_Options_Exhibits'!J431:J435)),AVERAGE('20250815_ETF_Options_Exhibits'!J431:J435),"")</f>
        <v/>
      </c>
      <c r="K435" s="3">
        <f>IF(ISNUMBER(AVERAGE('20250815_ETF_Options_Exhibits'!K431:K435)),AVERAGE('20250815_ETF_Options_Exhibits'!K431:K435),"")</f>
        <v/>
      </c>
      <c r="L435" s="3">
        <f>IF(ISNUMBER(AVERAGE('20250815_ETF_Options_Exhibits'!L431:L435)),AVERAGE('20250815_ETF_Options_Exhibits'!L431:L435),"")</f>
        <v/>
      </c>
      <c r="M435" s="3">
        <f>IF(ISNUMBER(AVERAGE('20250815_ETF_Options_Exhibits'!M431:M435)),AVERAGE('20250815_ETF_Options_Exhibits'!M431:M435),"")</f>
        <v/>
      </c>
      <c r="N435" s="3">
        <f>IF(ISNUMBER(AVERAGE('20250815_ETF_Options_Exhibits'!N431:N435)),AVERAGE('20250815_ETF_Options_Exhibits'!N431:N435),"")</f>
        <v/>
      </c>
      <c r="O435" s="3">
        <f>IF(ISNUMBER(AVERAGE('20250815_ETF_Options_Exhibits'!O431:O435)),AVERAGE('20250815_ETF_Options_Exhibits'!O431:O435),"")</f>
        <v/>
      </c>
      <c r="P435" s="3">
        <f>IF(ISNUMBER(AVERAGE('20250815_ETF_Options_Exhibits'!P431:P435)),AVERAGE('20250815_ETF_Options_Exhibits'!P431:P435),"")</f>
        <v/>
      </c>
      <c r="Q435" s="3">
        <f>IF(ISNUMBER(AVERAGE('20250815_ETF_Options_Exhibits'!Q431:Q435)),AVERAGE('20250815_ETF_Options_Exhibits'!Q431:Q435),"")</f>
        <v/>
      </c>
      <c r="R435" s="3">
        <f>IF(ISNUMBER(AVERAGE('20250815_ETF_Options_Exhibits'!R431:R435)),AVERAGE('20250815_ETF_Options_Exhibits'!R431:R435),"")</f>
        <v/>
      </c>
      <c r="S435" s="3">
        <f>IF(ISNUMBER(AVERAGE('20250815_ETF_Options_Exhibits'!S431:S435)),AVERAGE('20250815_ETF_Options_Exhibits'!S431:S435),"")</f>
        <v/>
      </c>
      <c r="T435" s="3">
        <f>IF(ISNUMBER(AVERAGE('20250815_ETF_Options_Exhibits'!T431:T435)),AVERAGE('20250815_ETF_Options_Exhibits'!T431:T435),"")</f>
        <v/>
      </c>
      <c r="U435" s="3">
        <f>IF(ISNUMBER(AVERAGE('20250815_ETF_Options_Exhibits'!U431:U435)),AVERAGE('20250815_ETF_Options_Exhibits'!U431:U435),"")</f>
        <v/>
      </c>
      <c r="V435" s="3">
        <f>IF(ISNUMBER(AVERAGE('20250815_ETF_Options_Exhibits'!V431:V435)),AVERAGE('20250815_ETF_Options_Exhibits'!V431:V435),"")</f>
        <v/>
      </c>
      <c r="W435" s="3">
        <f>IF(ISNUMBER(AVERAGE('20250815_ETF_Options_Exhibits'!W431:W435)),AVERAGE('20250815_ETF_Options_Exhibits'!W431:W435),"")</f>
        <v/>
      </c>
      <c r="X435" s="3">
        <f>IF(ISNUMBER(AVERAGE('20250815_ETF_Options_Exhibits'!X431:X435)),AVERAGE('20250815_ETF_Options_Exhibits'!X431:X435),"")</f>
        <v/>
      </c>
      <c r="Y435" s="3">
        <f>IF(ISNUMBER(AVERAGE('20250815_ETF_Options_Exhibits'!Y431:Y435)),AVERAGE('20250815_ETF_Options_Exhibits'!Y431:Y435),"")</f>
        <v/>
      </c>
      <c r="Z435" s="3">
        <f>IF(ISNUMBER(AVERAGE('20250815_ETF_Options_Exhibits'!Z431:Z435)),AVERAGE('20250815_ETF_Options_Exhibits'!Z431:Z435),"")</f>
        <v/>
      </c>
      <c r="AA435" s="3">
        <f>IF(ISNUMBER(AVERAGE('20250815_ETF_Options_Exhibits'!AA431:AA435)),AVERAGE('20250815_ETF_Options_Exhibits'!AA431:AA435),"")</f>
        <v/>
      </c>
    </row>
    <row r="436">
      <c r="A436" s="1" t="n">
        <v>42634</v>
      </c>
      <c r="B436" s="3">
        <f>IF(ISNUMBER(AVERAGE('20250815_ETF_Options_Exhibits'!B432:B436)),AVERAGE('20250815_ETF_Options_Exhibits'!B432:B436),"")</f>
        <v/>
      </c>
      <c r="C436" s="3">
        <f>IF(ISNUMBER(AVERAGE('20250815_ETF_Options_Exhibits'!C432:C436)),AVERAGE('20250815_ETF_Options_Exhibits'!C432:C436),"")</f>
        <v/>
      </c>
      <c r="D436" s="3">
        <f>IF(ISNUMBER(AVERAGE('20250815_ETF_Options_Exhibits'!D432:D436)),AVERAGE('20250815_ETF_Options_Exhibits'!D432:D436),"")</f>
        <v/>
      </c>
      <c r="E436" s="3">
        <f>IF(ISNUMBER(AVERAGE('20250815_ETF_Options_Exhibits'!E432:E436)),AVERAGE('20250815_ETF_Options_Exhibits'!E432:E436),"")</f>
        <v/>
      </c>
      <c r="F436" s="3">
        <f>IF(ISNUMBER(AVERAGE('20250815_ETF_Options_Exhibits'!F432:F436)),AVERAGE('20250815_ETF_Options_Exhibits'!F432:F436),"")</f>
        <v/>
      </c>
      <c r="G436" s="3">
        <f>IF(ISNUMBER(AVERAGE('20250815_ETF_Options_Exhibits'!G432:G436)),AVERAGE('20250815_ETF_Options_Exhibits'!G432:G436),"")</f>
        <v/>
      </c>
      <c r="H436" s="3">
        <f>IF(ISNUMBER(AVERAGE('20250815_ETF_Options_Exhibits'!H432:H436)),AVERAGE('20250815_ETF_Options_Exhibits'!H432:H436),"")</f>
        <v/>
      </c>
      <c r="I436" s="3">
        <f>IF(ISNUMBER(AVERAGE('20250815_ETF_Options_Exhibits'!I432:I436)),AVERAGE('20250815_ETF_Options_Exhibits'!I432:I436),"")</f>
        <v/>
      </c>
      <c r="J436" s="3">
        <f>IF(ISNUMBER(AVERAGE('20250815_ETF_Options_Exhibits'!J432:J436)),AVERAGE('20250815_ETF_Options_Exhibits'!J432:J436),"")</f>
        <v/>
      </c>
      <c r="K436" s="3">
        <f>IF(ISNUMBER(AVERAGE('20250815_ETF_Options_Exhibits'!K432:K436)),AVERAGE('20250815_ETF_Options_Exhibits'!K432:K436),"")</f>
        <v/>
      </c>
      <c r="L436" s="3">
        <f>IF(ISNUMBER(AVERAGE('20250815_ETF_Options_Exhibits'!L432:L436)),AVERAGE('20250815_ETF_Options_Exhibits'!L432:L436),"")</f>
        <v/>
      </c>
      <c r="M436" s="3">
        <f>IF(ISNUMBER(AVERAGE('20250815_ETF_Options_Exhibits'!M432:M436)),AVERAGE('20250815_ETF_Options_Exhibits'!M432:M436),"")</f>
        <v/>
      </c>
      <c r="N436" s="3">
        <f>IF(ISNUMBER(AVERAGE('20250815_ETF_Options_Exhibits'!N432:N436)),AVERAGE('20250815_ETF_Options_Exhibits'!N432:N436),"")</f>
        <v/>
      </c>
      <c r="O436" s="3">
        <f>IF(ISNUMBER(AVERAGE('20250815_ETF_Options_Exhibits'!O432:O436)),AVERAGE('20250815_ETF_Options_Exhibits'!O432:O436),"")</f>
        <v/>
      </c>
      <c r="P436" s="3">
        <f>IF(ISNUMBER(AVERAGE('20250815_ETF_Options_Exhibits'!P432:P436)),AVERAGE('20250815_ETF_Options_Exhibits'!P432:P436),"")</f>
        <v/>
      </c>
      <c r="Q436" s="3">
        <f>IF(ISNUMBER(AVERAGE('20250815_ETF_Options_Exhibits'!Q432:Q436)),AVERAGE('20250815_ETF_Options_Exhibits'!Q432:Q436),"")</f>
        <v/>
      </c>
      <c r="R436" s="3">
        <f>IF(ISNUMBER(AVERAGE('20250815_ETF_Options_Exhibits'!R432:R436)),AVERAGE('20250815_ETF_Options_Exhibits'!R432:R436),"")</f>
        <v/>
      </c>
      <c r="S436" s="3">
        <f>IF(ISNUMBER(AVERAGE('20250815_ETF_Options_Exhibits'!S432:S436)),AVERAGE('20250815_ETF_Options_Exhibits'!S432:S436),"")</f>
        <v/>
      </c>
      <c r="T436" s="3">
        <f>IF(ISNUMBER(AVERAGE('20250815_ETF_Options_Exhibits'!T432:T436)),AVERAGE('20250815_ETF_Options_Exhibits'!T432:T436),"")</f>
        <v/>
      </c>
      <c r="U436" s="3">
        <f>IF(ISNUMBER(AVERAGE('20250815_ETF_Options_Exhibits'!U432:U436)),AVERAGE('20250815_ETF_Options_Exhibits'!U432:U436),"")</f>
        <v/>
      </c>
      <c r="V436" s="3">
        <f>IF(ISNUMBER(AVERAGE('20250815_ETF_Options_Exhibits'!V432:V436)),AVERAGE('20250815_ETF_Options_Exhibits'!V432:V436),"")</f>
        <v/>
      </c>
      <c r="W436" s="3">
        <f>IF(ISNUMBER(AVERAGE('20250815_ETF_Options_Exhibits'!W432:W436)),AVERAGE('20250815_ETF_Options_Exhibits'!W432:W436),"")</f>
        <v/>
      </c>
      <c r="X436" s="3">
        <f>IF(ISNUMBER(AVERAGE('20250815_ETF_Options_Exhibits'!X432:X436)),AVERAGE('20250815_ETF_Options_Exhibits'!X432:X436),"")</f>
        <v/>
      </c>
      <c r="Y436" s="3">
        <f>IF(ISNUMBER(AVERAGE('20250815_ETF_Options_Exhibits'!Y432:Y436)),AVERAGE('20250815_ETF_Options_Exhibits'!Y432:Y436),"")</f>
        <v/>
      </c>
      <c r="Z436" s="3">
        <f>IF(ISNUMBER(AVERAGE('20250815_ETF_Options_Exhibits'!Z432:Z436)),AVERAGE('20250815_ETF_Options_Exhibits'!Z432:Z436),"")</f>
        <v/>
      </c>
      <c r="AA436" s="3">
        <f>IF(ISNUMBER(AVERAGE('20250815_ETF_Options_Exhibits'!AA432:AA436)),AVERAGE('20250815_ETF_Options_Exhibits'!AA432:AA436),"")</f>
        <v/>
      </c>
    </row>
    <row r="437">
      <c r="A437" s="1" t="n">
        <v>42635</v>
      </c>
      <c r="B437" s="3">
        <f>IF(ISNUMBER(AVERAGE('20250815_ETF_Options_Exhibits'!B433:B437)),AVERAGE('20250815_ETF_Options_Exhibits'!B433:B437),"")</f>
        <v/>
      </c>
      <c r="C437" s="3">
        <f>IF(ISNUMBER(AVERAGE('20250815_ETF_Options_Exhibits'!C433:C437)),AVERAGE('20250815_ETF_Options_Exhibits'!C433:C437),"")</f>
        <v/>
      </c>
      <c r="D437" s="3">
        <f>IF(ISNUMBER(AVERAGE('20250815_ETF_Options_Exhibits'!D433:D437)),AVERAGE('20250815_ETF_Options_Exhibits'!D433:D437),"")</f>
        <v/>
      </c>
      <c r="E437" s="3">
        <f>IF(ISNUMBER(AVERAGE('20250815_ETF_Options_Exhibits'!E433:E437)),AVERAGE('20250815_ETF_Options_Exhibits'!E433:E437),"")</f>
        <v/>
      </c>
      <c r="F437" s="3">
        <f>IF(ISNUMBER(AVERAGE('20250815_ETF_Options_Exhibits'!F433:F437)),AVERAGE('20250815_ETF_Options_Exhibits'!F433:F437),"")</f>
        <v/>
      </c>
      <c r="G437" s="3">
        <f>IF(ISNUMBER(AVERAGE('20250815_ETF_Options_Exhibits'!G433:G437)),AVERAGE('20250815_ETF_Options_Exhibits'!G433:G437),"")</f>
        <v/>
      </c>
      <c r="H437" s="3">
        <f>IF(ISNUMBER(AVERAGE('20250815_ETF_Options_Exhibits'!H433:H437)),AVERAGE('20250815_ETF_Options_Exhibits'!H433:H437),"")</f>
        <v/>
      </c>
      <c r="I437" s="3">
        <f>IF(ISNUMBER(AVERAGE('20250815_ETF_Options_Exhibits'!I433:I437)),AVERAGE('20250815_ETF_Options_Exhibits'!I433:I437),"")</f>
        <v/>
      </c>
      <c r="J437" s="3">
        <f>IF(ISNUMBER(AVERAGE('20250815_ETF_Options_Exhibits'!J433:J437)),AVERAGE('20250815_ETF_Options_Exhibits'!J433:J437),"")</f>
        <v/>
      </c>
      <c r="K437" s="3">
        <f>IF(ISNUMBER(AVERAGE('20250815_ETF_Options_Exhibits'!K433:K437)),AVERAGE('20250815_ETF_Options_Exhibits'!K433:K437),"")</f>
        <v/>
      </c>
      <c r="L437" s="3">
        <f>IF(ISNUMBER(AVERAGE('20250815_ETF_Options_Exhibits'!L433:L437)),AVERAGE('20250815_ETF_Options_Exhibits'!L433:L437),"")</f>
        <v/>
      </c>
      <c r="M437" s="3">
        <f>IF(ISNUMBER(AVERAGE('20250815_ETF_Options_Exhibits'!M433:M437)),AVERAGE('20250815_ETF_Options_Exhibits'!M433:M437),"")</f>
        <v/>
      </c>
      <c r="N437" s="3">
        <f>IF(ISNUMBER(AVERAGE('20250815_ETF_Options_Exhibits'!N433:N437)),AVERAGE('20250815_ETF_Options_Exhibits'!N433:N437),"")</f>
        <v/>
      </c>
      <c r="O437" s="3">
        <f>IF(ISNUMBER(AVERAGE('20250815_ETF_Options_Exhibits'!O433:O437)),AVERAGE('20250815_ETF_Options_Exhibits'!O433:O437),"")</f>
        <v/>
      </c>
      <c r="P437" s="3">
        <f>IF(ISNUMBER(AVERAGE('20250815_ETF_Options_Exhibits'!P433:P437)),AVERAGE('20250815_ETF_Options_Exhibits'!P433:P437),"")</f>
        <v/>
      </c>
      <c r="Q437" s="3">
        <f>IF(ISNUMBER(AVERAGE('20250815_ETF_Options_Exhibits'!Q433:Q437)),AVERAGE('20250815_ETF_Options_Exhibits'!Q433:Q437),"")</f>
        <v/>
      </c>
      <c r="R437" s="3">
        <f>IF(ISNUMBER(AVERAGE('20250815_ETF_Options_Exhibits'!R433:R437)),AVERAGE('20250815_ETF_Options_Exhibits'!R433:R437),"")</f>
        <v/>
      </c>
      <c r="S437" s="3">
        <f>IF(ISNUMBER(AVERAGE('20250815_ETF_Options_Exhibits'!S433:S437)),AVERAGE('20250815_ETF_Options_Exhibits'!S433:S437),"")</f>
        <v/>
      </c>
      <c r="T437" s="3">
        <f>IF(ISNUMBER(AVERAGE('20250815_ETF_Options_Exhibits'!T433:T437)),AVERAGE('20250815_ETF_Options_Exhibits'!T433:T437),"")</f>
        <v/>
      </c>
      <c r="U437" s="3">
        <f>IF(ISNUMBER(AVERAGE('20250815_ETF_Options_Exhibits'!U433:U437)),AVERAGE('20250815_ETF_Options_Exhibits'!U433:U437),"")</f>
        <v/>
      </c>
      <c r="V437" s="3">
        <f>IF(ISNUMBER(AVERAGE('20250815_ETF_Options_Exhibits'!V433:V437)),AVERAGE('20250815_ETF_Options_Exhibits'!V433:V437),"")</f>
        <v/>
      </c>
      <c r="W437" s="3">
        <f>IF(ISNUMBER(AVERAGE('20250815_ETF_Options_Exhibits'!W433:W437)),AVERAGE('20250815_ETF_Options_Exhibits'!W433:W437),"")</f>
        <v/>
      </c>
      <c r="X437" s="3">
        <f>IF(ISNUMBER(AVERAGE('20250815_ETF_Options_Exhibits'!X433:X437)),AVERAGE('20250815_ETF_Options_Exhibits'!X433:X437),"")</f>
        <v/>
      </c>
      <c r="Y437" s="3">
        <f>IF(ISNUMBER(AVERAGE('20250815_ETF_Options_Exhibits'!Y433:Y437)),AVERAGE('20250815_ETF_Options_Exhibits'!Y433:Y437),"")</f>
        <v/>
      </c>
      <c r="Z437" s="3">
        <f>IF(ISNUMBER(AVERAGE('20250815_ETF_Options_Exhibits'!Z433:Z437)),AVERAGE('20250815_ETF_Options_Exhibits'!Z433:Z437),"")</f>
        <v/>
      </c>
      <c r="AA437" s="3">
        <f>IF(ISNUMBER(AVERAGE('20250815_ETF_Options_Exhibits'!AA433:AA437)),AVERAGE('20250815_ETF_Options_Exhibits'!AA433:AA437),"")</f>
        <v/>
      </c>
    </row>
    <row r="438">
      <c r="A438" s="1" t="n">
        <v>42636</v>
      </c>
      <c r="B438" s="3">
        <f>IF(ISNUMBER(AVERAGE('20250815_ETF_Options_Exhibits'!B434:B438)),AVERAGE('20250815_ETF_Options_Exhibits'!B434:B438),"")</f>
        <v/>
      </c>
      <c r="C438" s="3">
        <f>IF(ISNUMBER(AVERAGE('20250815_ETF_Options_Exhibits'!C434:C438)),AVERAGE('20250815_ETF_Options_Exhibits'!C434:C438),"")</f>
        <v/>
      </c>
      <c r="D438" s="3">
        <f>IF(ISNUMBER(AVERAGE('20250815_ETF_Options_Exhibits'!D434:D438)),AVERAGE('20250815_ETF_Options_Exhibits'!D434:D438),"")</f>
        <v/>
      </c>
      <c r="E438" s="3">
        <f>IF(ISNUMBER(AVERAGE('20250815_ETF_Options_Exhibits'!E434:E438)),AVERAGE('20250815_ETF_Options_Exhibits'!E434:E438),"")</f>
        <v/>
      </c>
      <c r="F438" s="3">
        <f>IF(ISNUMBER(AVERAGE('20250815_ETF_Options_Exhibits'!F434:F438)),AVERAGE('20250815_ETF_Options_Exhibits'!F434:F438),"")</f>
        <v/>
      </c>
      <c r="G438" s="3">
        <f>IF(ISNUMBER(AVERAGE('20250815_ETF_Options_Exhibits'!G434:G438)),AVERAGE('20250815_ETF_Options_Exhibits'!G434:G438),"")</f>
        <v/>
      </c>
      <c r="H438" s="3">
        <f>IF(ISNUMBER(AVERAGE('20250815_ETF_Options_Exhibits'!H434:H438)),AVERAGE('20250815_ETF_Options_Exhibits'!H434:H438),"")</f>
        <v/>
      </c>
      <c r="I438" s="3">
        <f>IF(ISNUMBER(AVERAGE('20250815_ETF_Options_Exhibits'!I434:I438)),AVERAGE('20250815_ETF_Options_Exhibits'!I434:I438),"")</f>
        <v/>
      </c>
      <c r="J438" s="3">
        <f>IF(ISNUMBER(AVERAGE('20250815_ETF_Options_Exhibits'!J434:J438)),AVERAGE('20250815_ETF_Options_Exhibits'!J434:J438),"")</f>
        <v/>
      </c>
      <c r="K438" s="3">
        <f>IF(ISNUMBER(AVERAGE('20250815_ETF_Options_Exhibits'!K434:K438)),AVERAGE('20250815_ETF_Options_Exhibits'!K434:K438),"")</f>
        <v/>
      </c>
      <c r="L438" s="3">
        <f>IF(ISNUMBER(AVERAGE('20250815_ETF_Options_Exhibits'!L434:L438)),AVERAGE('20250815_ETF_Options_Exhibits'!L434:L438),"")</f>
        <v/>
      </c>
      <c r="M438" s="3">
        <f>IF(ISNUMBER(AVERAGE('20250815_ETF_Options_Exhibits'!M434:M438)),AVERAGE('20250815_ETF_Options_Exhibits'!M434:M438),"")</f>
        <v/>
      </c>
      <c r="N438" s="3">
        <f>IF(ISNUMBER(AVERAGE('20250815_ETF_Options_Exhibits'!N434:N438)),AVERAGE('20250815_ETF_Options_Exhibits'!N434:N438),"")</f>
        <v/>
      </c>
      <c r="O438" s="3">
        <f>IF(ISNUMBER(AVERAGE('20250815_ETF_Options_Exhibits'!O434:O438)),AVERAGE('20250815_ETF_Options_Exhibits'!O434:O438),"")</f>
        <v/>
      </c>
      <c r="P438" s="3">
        <f>IF(ISNUMBER(AVERAGE('20250815_ETF_Options_Exhibits'!P434:P438)),AVERAGE('20250815_ETF_Options_Exhibits'!P434:P438),"")</f>
        <v/>
      </c>
      <c r="Q438" s="3">
        <f>IF(ISNUMBER(AVERAGE('20250815_ETF_Options_Exhibits'!Q434:Q438)),AVERAGE('20250815_ETF_Options_Exhibits'!Q434:Q438),"")</f>
        <v/>
      </c>
      <c r="R438" s="3">
        <f>IF(ISNUMBER(AVERAGE('20250815_ETF_Options_Exhibits'!R434:R438)),AVERAGE('20250815_ETF_Options_Exhibits'!R434:R438),"")</f>
        <v/>
      </c>
      <c r="S438" s="3">
        <f>IF(ISNUMBER(AVERAGE('20250815_ETF_Options_Exhibits'!S434:S438)),AVERAGE('20250815_ETF_Options_Exhibits'!S434:S438),"")</f>
        <v/>
      </c>
      <c r="T438" s="3">
        <f>IF(ISNUMBER(AVERAGE('20250815_ETF_Options_Exhibits'!T434:T438)),AVERAGE('20250815_ETF_Options_Exhibits'!T434:T438),"")</f>
        <v/>
      </c>
      <c r="U438" s="3">
        <f>IF(ISNUMBER(AVERAGE('20250815_ETF_Options_Exhibits'!U434:U438)),AVERAGE('20250815_ETF_Options_Exhibits'!U434:U438),"")</f>
        <v/>
      </c>
      <c r="V438" s="3">
        <f>IF(ISNUMBER(AVERAGE('20250815_ETF_Options_Exhibits'!V434:V438)),AVERAGE('20250815_ETF_Options_Exhibits'!V434:V438),"")</f>
        <v/>
      </c>
      <c r="W438" s="3">
        <f>IF(ISNUMBER(AVERAGE('20250815_ETF_Options_Exhibits'!W434:W438)),AVERAGE('20250815_ETF_Options_Exhibits'!W434:W438),"")</f>
        <v/>
      </c>
      <c r="X438" s="3">
        <f>IF(ISNUMBER(AVERAGE('20250815_ETF_Options_Exhibits'!X434:X438)),AVERAGE('20250815_ETF_Options_Exhibits'!X434:X438),"")</f>
        <v/>
      </c>
      <c r="Y438" s="3">
        <f>IF(ISNUMBER(AVERAGE('20250815_ETF_Options_Exhibits'!Y434:Y438)),AVERAGE('20250815_ETF_Options_Exhibits'!Y434:Y438),"")</f>
        <v/>
      </c>
      <c r="Z438" s="3">
        <f>IF(ISNUMBER(AVERAGE('20250815_ETF_Options_Exhibits'!Z434:Z438)),AVERAGE('20250815_ETF_Options_Exhibits'!Z434:Z438),"")</f>
        <v/>
      </c>
      <c r="AA438" s="3">
        <f>IF(ISNUMBER(AVERAGE('20250815_ETF_Options_Exhibits'!AA434:AA438)),AVERAGE('20250815_ETF_Options_Exhibits'!AA434:AA438),"")</f>
        <v/>
      </c>
    </row>
    <row r="439">
      <c r="A439" s="1" t="n">
        <v>42639</v>
      </c>
      <c r="B439" s="3">
        <f>IF(ISNUMBER(AVERAGE('20250815_ETF_Options_Exhibits'!B435:B439)),AVERAGE('20250815_ETF_Options_Exhibits'!B435:B439),"")</f>
        <v/>
      </c>
      <c r="C439" s="3">
        <f>IF(ISNUMBER(AVERAGE('20250815_ETF_Options_Exhibits'!C435:C439)),AVERAGE('20250815_ETF_Options_Exhibits'!C435:C439),"")</f>
        <v/>
      </c>
      <c r="D439" s="3">
        <f>IF(ISNUMBER(AVERAGE('20250815_ETF_Options_Exhibits'!D435:D439)),AVERAGE('20250815_ETF_Options_Exhibits'!D435:D439),"")</f>
        <v/>
      </c>
      <c r="E439" s="3">
        <f>IF(ISNUMBER(AVERAGE('20250815_ETF_Options_Exhibits'!E435:E439)),AVERAGE('20250815_ETF_Options_Exhibits'!E435:E439),"")</f>
        <v/>
      </c>
      <c r="F439" s="3">
        <f>IF(ISNUMBER(AVERAGE('20250815_ETF_Options_Exhibits'!F435:F439)),AVERAGE('20250815_ETF_Options_Exhibits'!F435:F439),"")</f>
        <v/>
      </c>
      <c r="G439" s="3">
        <f>IF(ISNUMBER(AVERAGE('20250815_ETF_Options_Exhibits'!G435:G439)),AVERAGE('20250815_ETF_Options_Exhibits'!G435:G439),"")</f>
        <v/>
      </c>
      <c r="H439" s="3">
        <f>IF(ISNUMBER(AVERAGE('20250815_ETF_Options_Exhibits'!H435:H439)),AVERAGE('20250815_ETF_Options_Exhibits'!H435:H439),"")</f>
        <v/>
      </c>
      <c r="I439" s="3">
        <f>IF(ISNUMBER(AVERAGE('20250815_ETF_Options_Exhibits'!I435:I439)),AVERAGE('20250815_ETF_Options_Exhibits'!I435:I439),"")</f>
        <v/>
      </c>
      <c r="J439" s="3">
        <f>IF(ISNUMBER(AVERAGE('20250815_ETF_Options_Exhibits'!J435:J439)),AVERAGE('20250815_ETF_Options_Exhibits'!J435:J439),"")</f>
        <v/>
      </c>
      <c r="K439" s="3">
        <f>IF(ISNUMBER(AVERAGE('20250815_ETF_Options_Exhibits'!K435:K439)),AVERAGE('20250815_ETF_Options_Exhibits'!K435:K439),"")</f>
        <v/>
      </c>
      <c r="L439" s="3">
        <f>IF(ISNUMBER(AVERAGE('20250815_ETF_Options_Exhibits'!L435:L439)),AVERAGE('20250815_ETF_Options_Exhibits'!L435:L439),"")</f>
        <v/>
      </c>
      <c r="M439" s="3">
        <f>IF(ISNUMBER(AVERAGE('20250815_ETF_Options_Exhibits'!M435:M439)),AVERAGE('20250815_ETF_Options_Exhibits'!M435:M439),"")</f>
        <v/>
      </c>
      <c r="N439" s="3">
        <f>IF(ISNUMBER(AVERAGE('20250815_ETF_Options_Exhibits'!N435:N439)),AVERAGE('20250815_ETF_Options_Exhibits'!N435:N439),"")</f>
        <v/>
      </c>
      <c r="O439" s="3">
        <f>IF(ISNUMBER(AVERAGE('20250815_ETF_Options_Exhibits'!O435:O439)),AVERAGE('20250815_ETF_Options_Exhibits'!O435:O439),"")</f>
        <v/>
      </c>
      <c r="P439" s="3">
        <f>IF(ISNUMBER(AVERAGE('20250815_ETF_Options_Exhibits'!P435:P439)),AVERAGE('20250815_ETF_Options_Exhibits'!P435:P439),"")</f>
        <v/>
      </c>
      <c r="Q439" s="3">
        <f>IF(ISNUMBER(AVERAGE('20250815_ETF_Options_Exhibits'!Q435:Q439)),AVERAGE('20250815_ETF_Options_Exhibits'!Q435:Q439),"")</f>
        <v/>
      </c>
      <c r="R439" s="3">
        <f>IF(ISNUMBER(AVERAGE('20250815_ETF_Options_Exhibits'!R435:R439)),AVERAGE('20250815_ETF_Options_Exhibits'!R435:R439),"")</f>
        <v/>
      </c>
      <c r="S439" s="3">
        <f>IF(ISNUMBER(AVERAGE('20250815_ETF_Options_Exhibits'!S435:S439)),AVERAGE('20250815_ETF_Options_Exhibits'!S435:S439),"")</f>
        <v/>
      </c>
      <c r="T439" s="3">
        <f>IF(ISNUMBER(AVERAGE('20250815_ETF_Options_Exhibits'!T435:T439)),AVERAGE('20250815_ETF_Options_Exhibits'!T435:T439),"")</f>
        <v/>
      </c>
      <c r="U439" s="3">
        <f>IF(ISNUMBER(AVERAGE('20250815_ETF_Options_Exhibits'!U435:U439)),AVERAGE('20250815_ETF_Options_Exhibits'!U435:U439),"")</f>
        <v/>
      </c>
      <c r="V439" s="3">
        <f>IF(ISNUMBER(AVERAGE('20250815_ETF_Options_Exhibits'!V435:V439)),AVERAGE('20250815_ETF_Options_Exhibits'!V435:V439),"")</f>
        <v/>
      </c>
      <c r="W439" s="3">
        <f>IF(ISNUMBER(AVERAGE('20250815_ETF_Options_Exhibits'!W435:W439)),AVERAGE('20250815_ETF_Options_Exhibits'!W435:W439),"")</f>
        <v/>
      </c>
      <c r="X439" s="3">
        <f>IF(ISNUMBER(AVERAGE('20250815_ETF_Options_Exhibits'!X435:X439)),AVERAGE('20250815_ETF_Options_Exhibits'!X435:X439),"")</f>
        <v/>
      </c>
      <c r="Y439" s="3">
        <f>IF(ISNUMBER(AVERAGE('20250815_ETF_Options_Exhibits'!Y435:Y439)),AVERAGE('20250815_ETF_Options_Exhibits'!Y435:Y439),"")</f>
        <v/>
      </c>
      <c r="Z439" s="3">
        <f>IF(ISNUMBER(AVERAGE('20250815_ETF_Options_Exhibits'!Z435:Z439)),AVERAGE('20250815_ETF_Options_Exhibits'!Z435:Z439),"")</f>
        <v/>
      </c>
      <c r="AA439" s="3">
        <f>IF(ISNUMBER(AVERAGE('20250815_ETF_Options_Exhibits'!AA435:AA439)),AVERAGE('20250815_ETF_Options_Exhibits'!AA435:AA439),"")</f>
        <v/>
      </c>
    </row>
    <row r="440">
      <c r="A440" s="1" t="n">
        <v>42640</v>
      </c>
      <c r="B440" s="3">
        <f>IF(ISNUMBER(AVERAGE('20250815_ETF_Options_Exhibits'!B436:B440)),AVERAGE('20250815_ETF_Options_Exhibits'!B436:B440),"")</f>
        <v/>
      </c>
      <c r="C440" s="3">
        <f>IF(ISNUMBER(AVERAGE('20250815_ETF_Options_Exhibits'!C436:C440)),AVERAGE('20250815_ETF_Options_Exhibits'!C436:C440),"")</f>
        <v/>
      </c>
      <c r="D440" s="3">
        <f>IF(ISNUMBER(AVERAGE('20250815_ETF_Options_Exhibits'!D436:D440)),AVERAGE('20250815_ETF_Options_Exhibits'!D436:D440),"")</f>
        <v/>
      </c>
      <c r="E440" s="3">
        <f>IF(ISNUMBER(AVERAGE('20250815_ETF_Options_Exhibits'!E436:E440)),AVERAGE('20250815_ETF_Options_Exhibits'!E436:E440),"")</f>
        <v/>
      </c>
      <c r="F440" s="3">
        <f>IF(ISNUMBER(AVERAGE('20250815_ETF_Options_Exhibits'!F436:F440)),AVERAGE('20250815_ETF_Options_Exhibits'!F436:F440),"")</f>
        <v/>
      </c>
      <c r="G440" s="3">
        <f>IF(ISNUMBER(AVERAGE('20250815_ETF_Options_Exhibits'!G436:G440)),AVERAGE('20250815_ETF_Options_Exhibits'!G436:G440),"")</f>
        <v/>
      </c>
      <c r="H440" s="3">
        <f>IF(ISNUMBER(AVERAGE('20250815_ETF_Options_Exhibits'!H436:H440)),AVERAGE('20250815_ETF_Options_Exhibits'!H436:H440),"")</f>
        <v/>
      </c>
      <c r="I440" s="3">
        <f>IF(ISNUMBER(AVERAGE('20250815_ETF_Options_Exhibits'!I436:I440)),AVERAGE('20250815_ETF_Options_Exhibits'!I436:I440),"")</f>
        <v/>
      </c>
      <c r="J440" s="3">
        <f>IF(ISNUMBER(AVERAGE('20250815_ETF_Options_Exhibits'!J436:J440)),AVERAGE('20250815_ETF_Options_Exhibits'!J436:J440),"")</f>
        <v/>
      </c>
      <c r="K440" s="3">
        <f>IF(ISNUMBER(AVERAGE('20250815_ETF_Options_Exhibits'!K436:K440)),AVERAGE('20250815_ETF_Options_Exhibits'!K436:K440),"")</f>
        <v/>
      </c>
      <c r="L440" s="3">
        <f>IF(ISNUMBER(AVERAGE('20250815_ETF_Options_Exhibits'!L436:L440)),AVERAGE('20250815_ETF_Options_Exhibits'!L436:L440),"")</f>
        <v/>
      </c>
      <c r="M440" s="3">
        <f>IF(ISNUMBER(AVERAGE('20250815_ETF_Options_Exhibits'!M436:M440)),AVERAGE('20250815_ETF_Options_Exhibits'!M436:M440),"")</f>
        <v/>
      </c>
      <c r="N440" s="3">
        <f>IF(ISNUMBER(AVERAGE('20250815_ETF_Options_Exhibits'!N436:N440)),AVERAGE('20250815_ETF_Options_Exhibits'!N436:N440),"")</f>
        <v/>
      </c>
      <c r="O440" s="3">
        <f>IF(ISNUMBER(AVERAGE('20250815_ETF_Options_Exhibits'!O436:O440)),AVERAGE('20250815_ETF_Options_Exhibits'!O436:O440),"")</f>
        <v/>
      </c>
      <c r="P440" s="3">
        <f>IF(ISNUMBER(AVERAGE('20250815_ETF_Options_Exhibits'!P436:P440)),AVERAGE('20250815_ETF_Options_Exhibits'!P436:P440),"")</f>
        <v/>
      </c>
      <c r="Q440" s="3">
        <f>IF(ISNUMBER(AVERAGE('20250815_ETF_Options_Exhibits'!Q436:Q440)),AVERAGE('20250815_ETF_Options_Exhibits'!Q436:Q440),"")</f>
        <v/>
      </c>
      <c r="R440" s="3">
        <f>IF(ISNUMBER(AVERAGE('20250815_ETF_Options_Exhibits'!R436:R440)),AVERAGE('20250815_ETF_Options_Exhibits'!R436:R440),"")</f>
        <v/>
      </c>
      <c r="S440" s="3">
        <f>IF(ISNUMBER(AVERAGE('20250815_ETF_Options_Exhibits'!S436:S440)),AVERAGE('20250815_ETF_Options_Exhibits'!S436:S440),"")</f>
        <v/>
      </c>
      <c r="T440" s="3">
        <f>IF(ISNUMBER(AVERAGE('20250815_ETF_Options_Exhibits'!T436:T440)),AVERAGE('20250815_ETF_Options_Exhibits'!T436:T440),"")</f>
        <v/>
      </c>
      <c r="U440" s="3">
        <f>IF(ISNUMBER(AVERAGE('20250815_ETF_Options_Exhibits'!U436:U440)),AVERAGE('20250815_ETF_Options_Exhibits'!U436:U440),"")</f>
        <v/>
      </c>
      <c r="V440" s="3">
        <f>IF(ISNUMBER(AVERAGE('20250815_ETF_Options_Exhibits'!V436:V440)),AVERAGE('20250815_ETF_Options_Exhibits'!V436:V440),"")</f>
        <v/>
      </c>
      <c r="W440" s="3">
        <f>IF(ISNUMBER(AVERAGE('20250815_ETF_Options_Exhibits'!W436:W440)),AVERAGE('20250815_ETF_Options_Exhibits'!W436:W440),"")</f>
        <v/>
      </c>
      <c r="X440" s="3">
        <f>IF(ISNUMBER(AVERAGE('20250815_ETF_Options_Exhibits'!X436:X440)),AVERAGE('20250815_ETF_Options_Exhibits'!X436:X440),"")</f>
        <v/>
      </c>
      <c r="Y440" s="3">
        <f>IF(ISNUMBER(AVERAGE('20250815_ETF_Options_Exhibits'!Y436:Y440)),AVERAGE('20250815_ETF_Options_Exhibits'!Y436:Y440),"")</f>
        <v/>
      </c>
      <c r="Z440" s="3">
        <f>IF(ISNUMBER(AVERAGE('20250815_ETF_Options_Exhibits'!Z436:Z440)),AVERAGE('20250815_ETF_Options_Exhibits'!Z436:Z440),"")</f>
        <v/>
      </c>
      <c r="AA440" s="3">
        <f>IF(ISNUMBER(AVERAGE('20250815_ETF_Options_Exhibits'!AA436:AA440)),AVERAGE('20250815_ETF_Options_Exhibits'!AA436:AA440),"")</f>
        <v/>
      </c>
    </row>
    <row r="441">
      <c r="A441" s="1" t="n">
        <v>42641</v>
      </c>
      <c r="B441" s="3">
        <f>IF(ISNUMBER(AVERAGE('20250815_ETF_Options_Exhibits'!B437:B441)),AVERAGE('20250815_ETF_Options_Exhibits'!B437:B441),"")</f>
        <v/>
      </c>
      <c r="C441" s="3">
        <f>IF(ISNUMBER(AVERAGE('20250815_ETF_Options_Exhibits'!C437:C441)),AVERAGE('20250815_ETF_Options_Exhibits'!C437:C441),"")</f>
        <v/>
      </c>
      <c r="D441" s="3">
        <f>IF(ISNUMBER(AVERAGE('20250815_ETF_Options_Exhibits'!D437:D441)),AVERAGE('20250815_ETF_Options_Exhibits'!D437:D441),"")</f>
        <v/>
      </c>
      <c r="E441" s="3">
        <f>IF(ISNUMBER(AVERAGE('20250815_ETF_Options_Exhibits'!E437:E441)),AVERAGE('20250815_ETF_Options_Exhibits'!E437:E441),"")</f>
        <v/>
      </c>
      <c r="F441" s="3">
        <f>IF(ISNUMBER(AVERAGE('20250815_ETF_Options_Exhibits'!F437:F441)),AVERAGE('20250815_ETF_Options_Exhibits'!F437:F441),"")</f>
        <v/>
      </c>
      <c r="G441" s="3">
        <f>IF(ISNUMBER(AVERAGE('20250815_ETF_Options_Exhibits'!G437:G441)),AVERAGE('20250815_ETF_Options_Exhibits'!G437:G441),"")</f>
        <v/>
      </c>
      <c r="H441" s="3">
        <f>IF(ISNUMBER(AVERAGE('20250815_ETF_Options_Exhibits'!H437:H441)),AVERAGE('20250815_ETF_Options_Exhibits'!H437:H441),"")</f>
        <v/>
      </c>
      <c r="I441" s="3">
        <f>IF(ISNUMBER(AVERAGE('20250815_ETF_Options_Exhibits'!I437:I441)),AVERAGE('20250815_ETF_Options_Exhibits'!I437:I441),"")</f>
        <v/>
      </c>
      <c r="J441" s="3">
        <f>IF(ISNUMBER(AVERAGE('20250815_ETF_Options_Exhibits'!J437:J441)),AVERAGE('20250815_ETF_Options_Exhibits'!J437:J441),"")</f>
        <v/>
      </c>
      <c r="K441" s="3">
        <f>IF(ISNUMBER(AVERAGE('20250815_ETF_Options_Exhibits'!K437:K441)),AVERAGE('20250815_ETF_Options_Exhibits'!K437:K441),"")</f>
        <v/>
      </c>
      <c r="L441" s="3">
        <f>IF(ISNUMBER(AVERAGE('20250815_ETF_Options_Exhibits'!L437:L441)),AVERAGE('20250815_ETF_Options_Exhibits'!L437:L441),"")</f>
        <v/>
      </c>
      <c r="M441" s="3">
        <f>IF(ISNUMBER(AVERAGE('20250815_ETF_Options_Exhibits'!M437:M441)),AVERAGE('20250815_ETF_Options_Exhibits'!M437:M441),"")</f>
        <v/>
      </c>
      <c r="N441" s="3">
        <f>IF(ISNUMBER(AVERAGE('20250815_ETF_Options_Exhibits'!N437:N441)),AVERAGE('20250815_ETF_Options_Exhibits'!N437:N441),"")</f>
        <v/>
      </c>
      <c r="O441" s="3">
        <f>IF(ISNUMBER(AVERAGE('20250815_ETF_Options_Exhibits'!O437:O441)),AVERAGE('20250815_ETF_Options_Exhibits'!O437:O441),"")</f>
        <v/>
      </c>
      <c r="P441" s="3">
        <f>IF(ISNUMBER(AVERAGE('20250815_ETF_Options_Exhibits'!P437:P441)),AVERAGE('20250815_ETF_Options_Exhibits'!P437:P441),"")</f>
        <v/>
      </c>
      <c r="Q441" s="3">
        <f>IF(ISNUMBER(AVERAGE('20250815_ETF_Options_Exhibits'!Q437:Q441)),AVERAGE('20250815_ETF_Options_Exhibits'!Q437:Q441),"")</f>
        <v/>
      </c>
      <c r="R441" s="3">
        <f>IF(ISNUMBER(AVERAGE('20250815_ETF_Options_Exhibits'!R437:R441)),AVERAGE('20250815_ETF_Options_Exhibits'!R437:R441),"")</f>
        <v/>
      </c>
      <c r="S441" s="3">
        <f>IF(ISNUMBER(AVERAGE('20250815_ETF_Options_Exhibits'!S437:S441)),AVERAGE('20250815_ETF_Options_Exhibits'!S437:S441),"")</f>
        <v/>
      </c>
      <c r="T441" s="3">
        <f>IF(ISNUMBER(AVERAGE('20250815_ETF_Options_Exhibits'!T437:T441)),AVERAGE('20250815_ETF_Options_Exhibits'!T437:T441),"")</f>
        <v/>
      </c>
      <c r="U441" s="3">
        <f>IF(ISNUMBER(AVERAGE('20250815_ETF_Options_Exhibits'!U437:U441)),AVERAGE('20250815_ETF_Options_Exhibits'!U437:U441),"")</f>
        <v/>
      </c>
      <c r="V441" s="3">
        <f>IF(ISNUMBER(AVERAGE('20250815_ETF_Options_Exhibits'!V437:V441)),AVERAGE('20250815_ETF_Options_Exhibits'!V437:V441),"")</f>
        <v/>
      </c>
      <c r="W441" s="3">
        <f>IF(ISNUMBER(AVERAGE('20250815_ETF_Options_Exhibits'!W437:W441)),AVERAGE('20250815_ETF_Options_Exhibits'!W437:W441),"")</f>
        <v/>
      </c>
      <c r="X441" s="3">
        <f>IF(ISNUMBER(AVERAGE('20250815_ETF_Options_Exhibits'!X437:X441)),AVERAGE('20250815_ETF_Options_Exhibits'!X437:X441),"")</f>
        <v/>
      </c>
      <c r="Y441" s="3">
        <f>IF(ISNUMBER(AVERAGE('20250815_ETF_Options_Exhibits'!Y437:Y441)),AVERAGE('20250815_ETF_Options_Exhibits'!Y437:Y441),"")</f>
        <v/>
      </c>
      <c r="Z441" s="3">
        <f>IF(ISNUMBER(AVERAGE('20250815_ETF_Options_Exhibits'!Z437:Z441)),AVERAGE('20250815_ETF_Options_Exhibits'!Z437:Z441),"")</f>
        <v/>
      </c>
      <c r="AA441" s="3">
        <f>IF(ISNUMBER(AVERAGE('20250815_ETF_Options_Exhibits'!AA437:AA441)),AVERAGE('20250815_ETF_Options_Exhibits'!AA437:AA441),"")</f>
        <v/>
      </c>
    </row>
    <row r="442">
      <c r="A442" s="1" t="n">
        <v>42642</v>
      </c>
      <c r="B442" s="3">
        <f>IF(ISNUMBER(AVERAGE('20250815_ETF_Options_Exhibits'!B438:B442)),AVERAGE('20250815_ETF_Options_Exhibits'!B438:B442),"")</f>
        <v/>
      </c>
      <c r="C442" s="3">
        <f>IF(ISNUMBER(AVERAGE('20250815_ETF_Options_Exhibits'!C438:C442)),AVERAGE('20250815_ETF_Options_Exhibits'!C438:C442),"")</f>
        <v/>
      </c>
      <c r="D442" s="3">
        <f>IF(ISNUMBER(AVERAGE('20250815_ETF_Options_Exhibits'!D438:D442)),AVERAGE('20250815_ETF_Options_Exhibits'!D438:D442),"")</f>
        <v/>
      </c>
      <c r="E442" s="3">
        <f>IF(ISNUMBER(AVERAGE('20250815_ETF_Options_Exhibits'!E438:E442)),AVERAGE('20250815_ETF_Options_Exhibits'!E438:E442),"")</f>
        <v/>
      </c>
      <c r="F442" s="3">
        <f>IF(ISNUMBER(AVERAGE('20250815_ETF_Options_Exhibits'!F438:F442)),AVERAGE('20250815_ETF_Options_Exhibits'!F438:F442),"")</f>
        <v/>
      </c>
      <c r="G442" s="3">
        <f>IF(ISNUMBER(AVERAGE('20250815_ETF_Options_Exhibits'!G438:G442)),AVERAGE('20250815_ETF_Options_Exhibits'!G438:G442),"")</f>
        <v/>
      </c>
      <c r="H442" s="3">
        <f>IF(ISNUMBER(AVERAGE('20250815_ETF_Options_Exhibits'!H438:H442)),AVERAGE('20250815_ETF_Options_Exhibits'!H438:H442),"")</f>
        <v/>
      </c>
      <c r="I442" s="3">
        <f>IF(ISNUMBER(AVERAGE('20250815_ETF_Options_Exhibits'!I438:I442)),AVERAGE('20250815_ETF_Options_Exhibits'!I438:I442),"")</f>
        <v/>
      </c>
      <c r="J442" s="3">
        <f>IF(ISNUMBER(AVERAGE('20250815_ETF_Options_Exhibits'!J438:J442)),AVERAGE('20250815_ETF_Options_Exhibits'!J438:J442),"")</f>
        <v/>
      </c>
      <c r="K442" s="3">
        <f>IF(ISNUMBER(AVERAGE('20250815_ETF_Options_Exhibits'!K438:K442)),AVERAGE('20250815_ETF_Options_Exhibits'!K438:K442),"")</f>
        <v/>
      </c>
      <c r="L442" s="3">
        <f>IF(ISNUMBER(AVERAGE('20250815_ETF_Options_Exhibits'!L438:L442)),AVERAGE('20250815_ETF_Options_Exhibits'!L438:L442),"")</f>
        <v/>
      </c>
      <c r="M442" s="3">
        <f>IF(ISNUMBER(AVERAGE('20250815_ETF_Options_Exhibits'!M438:M442)),AVERAGE('20250815_ETF_Options_Exhibits'!M438:M442),"")</f>
        <v/>
      </c>
      <c r="N442" s="3">
        <f>IF(ISNUMBER(AVERAGE('20250815_ETF_Options_Exhibits'!N438:N442)),AVERAGE('20250815_ETF_Options_Exhibits'!N438:N442),"")</f>
        <v/>
      </c>
      <c r="O442" s="3">
        <f>IF(ISNUMBER(AVERAGE('20250815_ETF_Options_Exhibits'!O438:O442)),AVERAGE('20250815_ETF_Options_Exhibits'!O438:O442),"")</f>
        <v/>
      </c>
      <c r="P442" s="3">
        <f>IF(ISNUMBER(AVERAGE('20250815_ETF_Options_Exhibits'!P438:P442)),AVERAGE('20250815_ETF_Options_Exhibits'!P438:P442),"")</f>
        <v/>
      </c>
      <c r="Q442" s="3">
        <f>IF(ISNUMBER(AVERAGE('20250815_ETF_Options_Exhibits'!Q438:Q442)),AVERAGE('20250815_ETF_Options_Exhibits'!Q438:Q442),"")</f>
        <v/>
      </c>
      <c r="R442" s="3">
        <f>IF(ISNUMBER(AVERAGE('20250815_ETF_Options_Exhibits'!R438:R442)),AVERAGE('20250815_ETF_Options_Exhibits'!R438:R442),"")</f>
        <v/>
      </c>
      <c r="S442" s="3">
        <f>IF(ISNUMBER(AVERAGE('20250815_ETF_Options_Exhibits'!S438:S442)),AVERAGE('20250815_ETF_Options_Exhibits'!S438:S442),"")</f>
        <v/>
      </c>
      <c r="T442" s="3">
        <f>IF(ISNUMBER(AVERAGE('20250815_ETF_Options_Exhibits'!T438:T442)),AVERAGE('20250815_ETF_Options_Exhibits'!T438:T442),"")</f>
        <v/>
      </c>
      <c r="U442" s="3">
        <f>IF(ISNUMBER(AVERAGE('20250815_ETF_Options_Exhibits'!U438:U442)),AVERAGE('20250815_ETF_Options_Exhibits'!U438:U442),"")</f>
        <v/>
      </c>
      <c r="V442" s="3">
        <f>IF(ISNUMBER(AVERAGE('20250815_ETF_Options_Exhibits'!V438:V442)),AVERAGE('20250815_ETF_Options_Exhibits'!V438:V442),"")</f>
        <v/>
      </c>
      <c r="W442" s="3">
        <f>IF(ISNUMBER(AVERAGE('20250815_ETF_Options_Exhibits'!W438:W442)),AVERAGE('20250815_ETF_Options_Exhibits'!W438:W442),"")</f>
        <v/>
      </c>
      <c r="X442" s="3">
        <f>IF(ISNUMBER(AVERAGE('20250815_ETF_Options_Exhibits'!X438:X442)),AVERAGE('20250815_ETF_Options_Exhibits'!X438:X442),"")</f>
        <v/>
      </c>
      <c r="Y442" s="3">
        <f>IF(ISNUMBER(AVERAGE('20250815_ETF_Options_Exhibits'!Y438:Y442)),AVERAGE('20250815_ETF_Options_Exhibits'!Y438:Y442),"")</f>
        <v/>
      </c>
      <c r="Z442" s="3">
        <f>IF(ISNUMBER(AVERAGE('20250815_ETF_Options_Exhibits'!Z438:Z442)),AVERAGE('20250815_ETF_Options_Exhibits'!Z438:Z442),"")</f>
        <v/>
      </c>
      <c r="AA442" s="3">
        <f>IF(ISNUMBER(AVERAGE('20250815_ETF_Options_Exhibits'!AA438:AA442)),AVERAGE('20250815_ETF_Options_Exhibits'!AA438:AA442),"")</f>
        <v/>
      </c>
    </row>
    <row r="443">
      <c r="A443" s="1" t="n">
        <v>42643</v>
      </c>
      <c r="B443" s="3">
        <f>IF(ISNUMBER(AVERAGE('20250815_ETF_Options_Exhibits'!B439:B443)),AVERAGE('20250815_ETF_Options_Exhibits'!B439:B443),"")</f>
        <v/>
      </c>
      <c r="C443" s="3">
        <f>IF(ISNUMBER(AVERAGE('20250815_ETF_Options_Exhibits'!C439:C443)),AVERAGE('20250815_ETF_Options_Exhibits'!C439:C443),"")</f>
        <v/>
      </c>
      <c r="D443" s="3">
        <f>IF(ISNUMBER(AVERAGE('20250815_ETF_Options_Exhibits'!D439:D443)),AVERAGE('20250815_ETF_Options_Exhibits'!D439:D443),"")</f>
        <v/>
      </c>
      <c r="E443" s="3">
        <f>IF(ISNUMBER(AVERAGE('20250815_ETF_Options_Exhibits'!E439:E443)),AVERAGE('20250815_ETF_Options_Exhibits'!E439:E443),"")</f>
        <v/>
      </c>
      <c r="F443" s="3">
        <f>IF(ISNUMBER(AVERAGE('20250815_ETF_Options_Exhibits'!F439:F443)),AVERAGE('20250815_ETF_Options_Exhibits'!F439:F443),"")</f>
        <v/>
      </c>
      <c r="G443" s="3">
        <f>IF(ISNUMBER(AVERAGE('20250815_ETF_Options_Exhibits'!G439:G443)),AVERAGE('20250815_ETF_Options_Exhibits'!G439:G443),"")</f>
        <v/>
      </c>
      <c r="H443" s="3">
        <f>IF(ISNUMBER(AVERAGE('20250815_ETF_Options_Exhibits'!H439:H443)),AVERAGE('20250815_ETF_Options_Exhibits'!H439:H443),"")</f>
        <v/>
      </c>
      <c r="I443" s="3">
        <f>IF(ISNUMBER(AVERAGE('20250815_ETF_Options_Exhibits'!I439:I443)),AVERAGE('20250815_ETF_Options_Exhibits'!I439:I443),"")</f>
        <v/>
      </c>
      <c r="J443" s="3">
        <f>IF(ISNUMBER(AVERAGE('20250815_ETF_Options_Exhibits'!J439:J443)),AVERAGE('20250815_ETF_Options_Exhibits'!J439:J443),"")</f>
        <v/>
      </c>
      <c r="K443" s="3">
        <f>IF(ISNUMBER(AVERAGE('20250815_ETF_Options_Exhibits'!K439:K443)),AVERAGE('20250815_ETF_Options_Exhibits'!K439:K443),"")</f>
        <v/>
      </c>
      <c r="L443" s="3">
        <f>IF(ISNUMBER(AVERAGE('20250815_ETF_Options_Exhibits'!L439:L443)),AVERAGE('20250815_ETF_Options_Exhibits'!L439:L443),"")</f>
        <v/>
      </c>
      <c r="M443" s="3">
        <f>IF(ISNUMBER(AVERAGE('20250815_ETF_Options_Exhibits'!M439:M443)),AVERAGE('20250815_ETF_Options_Exhibits'!M439:M443),"")</f>
        <v/>
      </c>
      <c r="N443" s="3">
        <f>IF(ISNUMBER(AVERAGE('20250815_ETF_Options_Exhibits'!N439:N443)),AVERAGE('20250815_ETF_Options_Exhibits'!N439:N443),"")</f>
        <v/>
      </c>
      <c r="O443" s="3">
        <f>IF(ISNUMBER(AVERAGE('20250815_ETF_Options_Exhibits'!O439:O443)),AVERAGE('20250815_ETF_Options_Exhibits'!O439:O443),"")</f>
        <v/>
      </c>
      <c r="P443" s="3">
        <f>IF(ISNUMBER(AVERAGE('20250815_ETF_Options_Exhibits'!P439:P443)),AVERAGE('20250815_ETF_Options_Exhibits'!P439:P443),"")</f>
        <v/>
      </c>
      <c r="Q443" s="3">
        <f>IF(ISNUMBER(AVERAGE('20250815_ETF_Options_Exhibits'!Q439:Q443)),AVERAGE('20250815_ETF_Options_Exhibits'!Q439:Q443),"")</f>
        <v/>
      </c>
      <c r="R443" s="3">
        <f>IF(ISNUMBER(AVERAGE('20250815_ETF_Options_Exhibits'!R439:R443)),AVERAGE('20250815_ETF_Options_Exhibits'!R439:R443),"")</f>
        <v/>
      </c>
      <c r="S443" s="3">
        <f>IF(ISNUMBER(AVERAGE('20250815_ETF_Options_Exhibits'!S439:S443)),AVERAGE('20250815_ETF_Options_Exhibits'!S439:S443),"")</f>
        <v/>
      </c>
      <c r="T443" s="3">
        <f>IF(ISNUMBER(AVERAGE('20250815_ETF_Options_Exhibits'!T439:T443)),AVERAGE('20250815_ETF_Options_Exhibits'!T439:T443),"")</f>
        <v/>
      </c>
      <c r="U443" s="3">
        <f>IF(ISNUMBER(AVERAGE('20250815_ETF_Options_Exhibits'!U439:U443)),AVERAGE('20250815_ETF_Options_Exhibits'!U439:U443),"")</f>
        <v/>
      </c>
      <c r="V443" s="3">
        <f>IF(ISNUMBER(AVERAGE('20250815_ETF_Options_Exhibits'!V439:V443)),AVERAGE('20250815_ETF_Options_Exhibits'!V439:V443),"")</f>
        <v/>
      </c>
      <c r="W443" s="3">
        <f>IF(ISNUMBER(AVERAGE('20250815_ETF_Options_Exhibits'!W439:W443)),AVERAGE('20250815_ETF_Options_Exhibits'!W439:W443),"")</f>
        <v/>
      </c>
      <c r="X443" s="3">
        <f>IF(ISNUMBER(AVERAGE('20250815_ETF_Options_Exhibits'!X439:X443)),AVERAGE('20250815_ETF_Options_Exhibits'!X439:X443),"")</f>
        <v/>
      </c>
      <c r="Y443" s="3">
        <f>IF(ISNUMBER(AVERAGE('20250815_ETF_Options_Exhibits'!Y439:Y443)),AVERAGE('20250815_ETF_Options_Exhibits'!Y439:Y443),"")</f>
        <v/>
      </c>
      <c r="Z443" s="3">
        <f>IF(ISNUMBER(AVERAGE('20250815_ETF_Options_Exhibits'!Z439:Z443)),AVERAGE('20250815_ETF_Options_Exhibits'!Z439:Z443),"")</f>
        <v/>
      </c>
      <c r="AA443" s="3">
        <f>IF(ISNUMBER(AVERAGE('20250815_ETF_Options_Exhibits'!AA439:AA443)),AVERAGE('20250815_ETF_Options_Exhibits'!AA439:AA443),"")</f>
        <v/>
      </c>
    </row>
    <row r="444">
      <c r="A444" s="1" t="n">
        <v>42646</v>
      </c>
      <c r="B444" s="3">
        <f>IF(ISNUMBER(AVERAGE('20250815_ETF_Options_Exhibits'!B440:B444)),AVERAGE('20250815_ETF_Options_Exhibits'!B440:B444),"")</f>
        <v/>
      </c>
      <c r="C444" s="3">
        <f>IF(ISNUMBER(AVERAGE('20250815_ETF_Options_Exhibits'!C440:C444)),AVERAGE('20250815_ETF_Options_Exhibits'!C440:C444),"")</f>
        <v/>
      </c>
      <c r="D444" s="3">
        <f>IF(ISNUMBER(AVERAGE('20250815_ETF_Options_Exhibits'!D440:D444)),AVERAGE('20250815_ETF_Options_Exhibits'!D440:D444),"")</f>
        <v/>
      </c>
      <c r="E444" s="3">
        <f>IF(ISNUMBER(AVERAGE('20250815_ETF_Options_Exhibits'!E440:E444)),AVERAGE('20250815_ETF_Options_Exhibits'!E440:E444),"")</f>
        <v/>
      </c>
      <c r="F444" s="3">
        <f>IF(ISNUMBER(AVERAGE('20250815_ETF_Options_Exhibits'!F440:F444)),AVERAGE('20250815_ETF_Options_Exhibits'!F440:F444),"")</f>
        <v/>
      </c>
      <c r="G444" s="3">
        <f>IF(ISNUMBER(AVERAGE('20250815_ETF_Options_Exhibits'!G440:G444)),AVERAGE('20250815_ETF_Options_Exhibits'!G440:G444),"")</f>
        <v/>
      </c>
      <c r="H444" s="3">
        <f>IF(ISNUMBER(AVERAGE('20250815_ETF_Options_Exhibits'!H440:H444)),AVERAGE('20250815_ETF_Options_Exhibits'!H440:H444),"")</f>
        <v/>
      </c>
      <c r="I444" s="3">
        <f>IF(ISNUMBER(AVERAGE('20250815_ETF_Options_Exhibits'!I440:I444)),AVERAGE('20250815_ETF_Options_Exhibits'!I440:I444),"")</f>
        <v/>
      </c>
      <c r="J444" s="3">
        <f>IF(ISNUMBER(AVERAGE('20250815_ETF_Options_Exhibits'!J440:J444)),AVERAGE('20250815_ETF_Options_Exhibits'!J440:J444),"")</f>
        <v/>
      </c>
      <c r="K444" s="3">
        <f>IF(ISNUMBER(AVERAGE('20250815_ETF_Options_Exhibits'!K440:K444)),AVERAGE('20250815_ETF_Options_Exhibits'!K440:K444),"")</f>
        <v/>
      </c>
      <c r="L444" s="3">
        <f>IF(ISNUMBER(AVERAGE('20250815_ETF_Options_Exhibits'!L440:L444)),AVERAGE('20250815_ETF_Options_Exhibits'!L440:L444),"")</f>
        <v/>
      </c>
      <c r="M444" s="3">
        <f>IF(ISNUMBER(AVERAGE('20250815_ETF_Options_Exhibits'!M440:M444)),AVERAGE('20250815_ETF_Options_Exhibits'!M440:M444),"")</f>
        <v/>
      </c>
      <c r="N444" s="3">
        <f>IF(ISNUMBER(AVERAGE('20250815_ETF_Options_Exhibits'!N440:N444)),AVERAGE('20250815_ETF_Options_Exhibits'!N440:N444),"")</f>
        <v/>
      </c>
      <c r="O444" s="3">
        <f>IF(ISNUMBER(AVERAGE('20250815_ETF_Options_Exhibits'!O440:O444)),AVERAGE('20250815_ETF_Options_Exhibits'!O440:O444),"")</f>
        <v/>
      </c>
      <c r="P444" s="3">
        <f>IF(ISNUMBER(AVERAGE('20250815_ETF_Options_Exhibits'!P440:P444)),AVERAGE('20250815_ETF_Options_Exhibits'!P440:P444),"")</f>
        <v/>
      </c>
      <c r="Q444" s="3">
        <f>IF(ISNUMBER(AVERAGE('20250815_ETF_Options_Exhibits'!Q440:Q444)),AVERAGE('20250815_ETF_Options_Exhibits'!Q440:Q444),"")</f>
        <v/>
      </c>
      <c r="R444" s="3">
        <f>IF(ISNUMBER(AVERAGE('20250815_ETF_Options_Exhibits'!R440:R444)),AVERAGE('20250815_ETF_Options_Exhibits'!R440:R444),"")</f>
        <v/>
      </c>
      <c r="S444" s="3">
        <f>IF(ISNUMBER(AVERAGE('20250815_ETF_Options_Exhibits'!S440:S444)),AVERAGE('20250815_ETF_Options_Exhibits'!S440:S444),"")</f>
        <v/>
      </c>
      <c r="T444" s="3">
        <f>IF(ISNUMBER(AVERAGE('20250815_ETF_Options_Exhibits'!T440:T444)),AVERAGE('20250815_ETF_Options_Exhibits'!T440:T444),"")</f>
        <v/>
      </c>
      <c r="U444" s="3">
        <f>IF(ISNUMBER(AVERAGE('20250815_ETF_Options_Exhibits'!U440:U444)),AVERAGE('20250815_ETF_Options_Exhibits'!U440:U444),"")</f>
        <v/>
      </c>
      <c r="V444" s="3">
        <f>IF(ISNUMBER(AVERAGE('20250815_ETF_Options_Exhibits'!V440:V444)),AVERAGE('20250815_ETF_Options_Exhibits'!V440:V444),"")</f>
        <v/>
      </c>
      <c r="W444" s="3">
        <f>IF(ISNUMBER(AVERAGE('20250815_ETF_Options_Exhibits'!W440:W444)),AVERAGE('20250815_ETF_Options_Exhibits'!W440:W444),"")</f>
        <v/>
      </c>
      <c r="X444" s="3">
        <f>IF(ISNUMBER(AVERAGE('20250815_ETF_Options_Exhibits'!X440:X444)),AVERAGE('20250815_ETF_Options_Exhibits'!X440:X444),"")</f>
        <v/>
      </c>
      <c r="Y444" s="3">
        <f>IF(ISNUMBER(AVERAGE('20250815_ETF_Options_Exhibits'!Y440:Y444)),AVERAGE('20250815_ETF_Options_Exhibits'!Y440:Y444),"")</f>
        <v/>
      </c>
      <c r="Z444" s="3">
        <f>IF(ISNUMBER(AVERAGE('20250815_ETF_Options_Exhibits'!Z440:Z444)),AVERAGE('20250815_ETF_Options_Exhibits'!Z440:Z444),"")</f>
        <v/>
      </c>
      <c r="AA444" s="3">
        <f>IF(ISNUMBER(AVERAGE('20250815_ETF_Options_Exhibits'!AA440:AA444)),AVERAGE('20250815_ETF_Options_Exhibits'!AA440:AA444),"")</f>
        <v/>
      </c>
    </row>
    <row r="445">
      <c r="A445" s="1" t="n">
        <v>42647</v>
      </c>
      <c r="B445" s="3">
        <f>IF(ISNUMBER(AVERAGE('20250815_ETF_Options_Exhibits'!B441:B445)),AVERAGE('20250815_ETF_Options_Exhibits'!B441:B445),"")</f>
        <v/>
      </c>
      <c r="C445" s="3">
        <f>IF(ISNUMBER(AVERAGE('20250815_ETF_Options_Exhibits'!C441:C445)),AVERAGE('20250815_ETF_Options_Exhibits'!C441:C445),"")</f>
        <v/>
      </c>
      <c r="D445" s="3">
        <f>IF(ISNUMBER(AVERAGE('20250815_ETF_Options_Exhibits'!D441:D445)),AVERAGE('20250815_ETF_Options_Exhibits'!D441:D445),"")</f>
        <v/>
      </c>
      <c r="E445" s="3">
        <f>IF(ISNUMBER(AVERAGE('20250815_ETF_Options_Exhibits'!E441:E445)),AVERAGE('20250815_ETF_Options_Exhibits'!E441:E445),"")</f>
        <v/>
      </c>
      <c r="F445" s="3">
        <f>IF(ISNUMBER(AVERAGE('20250815_ETF_Options_Exhibits'!F441:F445)),AVERAGE('20250815_ETF_Options_Exhibits'!F441:F445),"")</f>
        <v/>
      </c>
      <c r="G445" s="3">
        <f>IF(ISNUMBER(AVERAGE('20250815_ETF_Options_Exhibits'!G441:G445)),AVERAGE('20250815_ETF_Options_Exhibits'!G441:G445),"")</f>
        <v/>
      </c>
      <c r="H445" s="3">
        <f>IF(ISNUMBER(AVERAGE('20250815_ETF_Options_Exhibits'!H441:H445)),AVERAGE('20250815_ETF_Options_Exhibits'!H441:H445),"")</f>
        <v/>
      </c>
      <c r="I445" s="3">
        <f>IF(ISNUMBER(AVERAGE('20250815_ETF_Options_Exhibits'!I441:I445)),AVERAGE('20250815_ETF_Options_Exhibits'!I441:I445),"")</f>
        <v/>
      </c>
      <c r="J445" s="3">
        <f>IF(ISNUMBER(AVERAGE('20250815_ETF_Options_Exhibits'!J441:J445)),AVERAGE('20250815_ETF_Options_Exhibits'!J441:J445),"")</f>
        <v/>
      </c>
      <c r="K445" s="3">
        <f>IF(ISNUMBER(AVERAGE('20250815_ETF_Options_Exhibits'!K441:K445)),AVERAGE('20250815_ETF_Options_Exhibits'!K441:K445),"")</f>
        <v/>
      </c>
      <c r="L445" s="3">
        <f>IF(ISNUMBER(AVERAGE('20250815_ETF_Options_Exhibits'!L441:L445)),AVERAGE('20250815_ETF_Options_Exhibits'!L441:L445),"")</f>
        <v/>
      </c>
      <c r="M445" s="3">
        <f>IF(ISNUMBER(AVERAGE('20250815_ETF_Options_Exhibits'!M441:M445)),AVERAGE('20250815_ETF_Options_Exhibits'!M441:M445),"")</f>
        <v/>
      </c>
      <c r="N445" s="3">
        <f>IF(ISNUMBER(AVERAGE('20250815_ETF_Options_Exhibits'!N441:N445)),AVERAGE('20250815_ETF_Options_Exhibits'!N441:N445),"")</f>
        <v/>
      </c>
      <c r="O445" s="3">
        <f>IF(ISNUMBER(AVERAGE('20250815_ETF_Options_Exhibits'!O441:O445)),AVERAGE('20250815_ETF_Options_Exhibits'!O441:O445),"")</f>
        <v/>
      </c>
      <c r="P445" s="3">
        <f>IF(ISNUMBER(AVERAGE('20250815_ETF_Options_Exhibits'!P441:P445)),AVERAGE('20250815_ETF_Options_Exhibits'!P441:P445),"")</f>
        <v/>
      </c>
      <c r="Q445" s="3">
        <f>IF(ISNUMBER(AVERAGE('20250815_ETF_Options_Exhibits'!Q441:Q445)),AVERAGE('20250815_ETF_Options_Exhibits'!Q441:Q445),"")</f>
        <v/>
      </c>
      <c r="R445" s="3">
        <f>IF(ISNUMBER(AVERAGE('20250815_ETF_Options_Exhibits'!R441:R445)),AVERAGE('20250815_ETF_Options_Exhibits'!R441:R445),"")</f>
        <v/>
      </c>
      <c r="S445" s="3">
        <f>IF(ISNUMBER(AVERAGE('20250815_ETF_Options_Exhibits'!S441:S445)),AVERAGE('20250815_ETF_Options_Exhibits'!S441:S445),"")</f>
        <v/>
      </c>
      <c r="T445" s="3">
        <f>IF(ISNUMBER(AVERAGE('20250815_ETF_Options_Exhibits'!T441:T445)),AVERAGE('20250815_ETF_Options_Exhibits'!T441:T445),"")</f>
        <v/>
      </c>
      <c r="U445" s="3">
        <f>IF(ISNUMBER(AVERAGE('20250815_ETF_Options_Exhibits'!U441:U445)),AVERAGE('20250815_ETF_Options_Exhibits'!U441:U445),"")</f>
        <v/>
      </c>
      <c r="V445" s="3">
        <f>IF(ISNUMBER(AVERAGE('20250815_ETF_Options_Exhibits'!V441:V445)),AVERAGE('20250815_ETF_Options_Exhibits'!V441:V445),"")</f>
        <v/>
      </c>
      <c r="W445" s="3">
        <f>IF(ISNUMBER(AVERAGE('20250815_ETF_Options_Exhibits'!W441:W445)),AVERAGE('20250815_ETF_Options_Exhibits'!W441:W445),"")</f>
        <v/>
      </c>
      <c r="X445" s="3">
        <f>IF(ISNUMBER(AVERAGE('20250815_ETF_Options_Exhibits'!X441:X445)),AVERAGE('20250815_ETF_Options_Exhibits'!X441:X445),"")</f>
        <v/>
      </c>
      <c r="Y445" s="3">
        <f>IF(ISNUMBER(AVERAGE('20250815_ETF_Options_Exhibits'!Y441:Y445)),AVERAGE('20250815_ETF_Options_Exhibits'!Y441:Y445),"")</f>
        <v/>
      </c>
      <c r="Z445" s="3">
        <f>IF(ISNUMBER(AVERAGE('20250815_ETF_Options_Exhibits'!Z441:Z445)),AVERAGE('20250815_ETF_Options_Exhibits'!Z441:Z445),"")</f>
        <v/>
      </c>
      <c r="AA445" s="3">
        <f>IF(ISNUMBER(AVERAGE('20250815_ETF_Options_Exhibits'!AA441:AA445)),AVERAGE('20250815_ETF_Options_Exhibits'!AA441:AA445),"")</f>
        <v/>
      </c>
    </row>
    <row r="446">
      <c r="A446" s="1" t="n">
        <v>42648</v>
      </c>
      <c r="B446" s="3">
        <f>IF(ISNUMBER(AVERAGE('20250815_ETF_Options_Exhibits'!B442:B446)),AVERAGE('20250815_ETF_Options_Exhibits'!B442:B446),"")</f>
        <v/>
      </c>
      <c r="C446" s="3">
        <f>IF(ISNUMBER(AVERAGE('20250815_ETF_Options_Exhibits'!C442:C446)),AVERAGE('20250815_ETF_Options_Exhibits'!C442:C446),"")</f>
        <v/>
      </c>
      <c r="D446" s="3">
        <f>IF(ISNUMBER(AVERAGE('20250815_ETF_Options_Exhibits'!D442:D446)),AVERAGE('20250815_ETF_Options_Exhibits'!D442:D446),"")</f>
        <v/>
      </c>
      <c r="E446" s="3">
        <f>IF(ISNUMBER(AVERAGE('20250815_ETF_Options_Exhibits'!E442:E446)),AVERAGE('20250815_ETF_Options_Exhibits'!E442:E446),"")</f>
        <v/>
      </c>
      <c r="F446" s="3">
        <f>IF(ISNUMBER(AVERAGE('20250815_ETF_Options_Exhibits'!F442:F446)),AVERAGE('20250815_ETF_Options_Exhibits'!F442:F446),"")</f>
        <v/>
      </c>
      <c r="G446" s="3">
        <f>IF(ISNUMBER(AVERAGE('20250815_ETF_Options_Exhibits'!G442:G446)),AVERAGE('20250815_ETF_Options_Exhibits'!G442:G446),"")</f>
        <v/>
      </c>
      <c r="H446" s="3">
        <f>IF(ISNUMBER(AVERAGE('20250815_ETF_Options_Exhibits'!H442:H446)),AVERAGE('20250815_ETF_Options_Exhibits'!H442:H446),"")</f>
        <v/>
      </c>
      <c r="I446" s="3">
        <f>IF(ISNUMBER(AVERAGE('20250815_ETF_Options_Exhibits'!I442:I446)),AVERAGE('20250815_ETF_Options_Exhibits'!I442:I446),"")</f>
        <v/>
      </c>
      <c r="J446" s="3">
        <f>IF(ISNUMBER(AVERAGE('20250815_ETF_Options_Exhibits'!J442:J446)),AVERAGE('20250815_ETF_Options_Exhibits'!J442:J446),"")</f>
        <v/>
      </c>
      <c r="K446" s="3">
        <f>IF(ISNUMBER(AVERAGE('20250815_ETF_Options_Exhibits'!K442:K446)),AVERAGE('20250815_ETF_Options_Exhibits'!K442:K446),"")</f>
        <v/>
      </c>
      <c r="L446" s="3">
        <f>IF(ISNUMBER(AVERAGE('20250815_ETF_Options_Exhibits'!L442:L446)),AVERAGE('20250815_ETF_Options_Exhibits'!L442:L446),"")</f>
        <v/>
      </c>
      <c r="M446" s="3">
        <f>IF(ISNUMBER(AVERAGE('20250815_ETF_Options_Exhibits'!M442:M446)),AVERAGE('20250815_ETF_Options_Exhibits'!M442:M446),"")</f>
        <v/>
      </c>
      <c r="N446" s="3">
        <f>IF(ISNUMBER(AVERAGE('20250815_ETF_Options_Exhibits'!N442:N446)),AVERAGE('20250815_ETF_Options_Exhibits'!N442:N446),"")</f>
        <v/>
      </c>
      <c r="O446" s="3">
        <f>IF(ISNUMBER(AVERAGE('20250815_ETF_Options_Exhibits'!O442:O446)),AVERAGE('20250815_ETF_Options_Exhibits'!O442:O446),"")</f>
        <v/>
      </c>
      <c r="P446" s="3">
        <f>IF(ISNUMBER(AVERAGE('20250815_ETF_Options_Exhibits'!P442:P446)),AVERAGE('20250815_ETF_Options_Exhibits'!P442:P446),"")</f>
        <v/>
      </c>
      <c r="Q446" s="3">
        <f>IF(ISNUMBER(AVERAGE('20250815_ETF_Options_Exhibits'!Q442:Q446)),AVERAGE('20250815_ETF_Options_Exhibits'!Q442:Q446),"")</f>
        <v/>
      </c>
      <c r="R446" s="3">
        <f>IF(ISNUMBER(AVERAGE('20250815_ETF_Options_Exhibits'!R442:R446)),AVERAGE('20250815_ETF_Options_Exhibits'!R442:R446),"")</f>
        <v/>
      </c>
      <c r="S446" s="3">
        <f>IF(ISNUMBER(AVERAGE('20250815_ETF_Options_Exhibits'!S442:S446)),AVERAGE('20250815_ETF_Options_Exhibits'!S442:S446),"")</f>
        <v/>
      </c>
      <c r="T446" s="3">
        <f>IF(ISNUMBER(AVERAGE('20250815_ETF_Options_Exhibits'!T442:T446)),AVERAGE('20250815_ETF_Options_Exhibits'!T442:T446),"")</f>
        <v/>
      </c>
      <c r="U446" s="3">
        <f>IF(ISNUMBER(AVERAGE('20250815_ETF_Options_Exhibits'!U442:U446)),AVERAGE('20250815_ETF_Options_Exhibits'!U442:U446),"")</f>
        <v/>
      </c>
      <c r="V446" s="3">
        <f>IF(ISNUMBER(AVERAGE('20250815_ETF_Options_Exhibits'!V442:V446)),AVERAGE('20250815_ETF_Options_Exhibits'!V442:V446),"")</f>
        <v/>
      </c>
      <c r="W446" s="3">
        <f>IF(ISNUMBER(AVERAGE('20250815_ETF_Options_Exhibits'!W442:W446)),AVERAGE('20250815_ETF_Options_Exhibits'!W442:W446),"")</f>
        <v/>
      </c>
      <c r="X446" s="3">
        <f>IF(ISNUMBER(AVERAGE('20250815_ETF_Options_Exhibits'!X442:X446)),AVERAGE('20250815_ETF_Options_Exhibits'!X442:X446),"")</f>
        <v/>
      </c>
      <c r="Y446" s="3">
        <f>IF(ISNUMBER(AVERAGE('20250815_ETF_Options_Exhibits'!Y442:Y446)),AVERAGE('20250815_ETF_Options_Exhibits'!Y442:Y446),"")</f>
        <v/>
      </c>
      <c r="Z446" s="3">
        <f>IF(ISNUMBER(AVERAGE('20250815_ETF_Options_Exhibits'!Z442:Z446)),AVERAGE('20250815_ETF_Options_Exhibits'!Z442:Z446),"")</f>
        <v/>
      </c>
      <c r="AA446" s="3">
        <f>IF(ISNUMBER(AVERAGE('20250815_ETF_Options_Exhibits'!AA442:AA446)),AVERAGE('20250815_ETF_Options_Exhibits'!AA442:AA446),"")</f>
        <v/>
      </c>
    </row>
    <row r="447">
      <c r="A447" s="1" t="n">
        <v>42649</v>
      </c>
      <c r="B447" s="3">
        <f>IF(ISNUMBER(AVERAGE('20250815_ETF_Options_Exhibits'!B443:B447)),AVERAGE('20250815_ETF_Options_Exhibits'!B443:B447),"")</f>
        <v/>
      </c>
      <c r="C447" s="3">
        <f>IF(ISNUMBER(AVERAGE('20250815_ETF_Options_Exhibits'!C443:C447)),AVERAGE('20250815_ETF_Options_Exhibits'!C443:C447),"")</f>
        <v/>
      </c>
      <c r="D447" s="3">
        <f>IF(ISNUMBER(AVERAGE('20250815_ETF_Options_Exhibits'!D443:D447)),AVERAGE('20250815_ETF_Options_Exhibits'!D443:D447),"")</f>
        <v/>
      </c>
      <c r="E447" s="3">
        <f>IF(ISNUMBER(AVERAGE('20250815_ETF_Options_Exhibits'!E443:E447)),AVERAGE('20250815_ETF_Options_Exhibits'!E443:E447),"")</f>
        <v/>
      </c>
      <c r="F447" s="3">
        <f>IF(ISNUMBER(AVERAGE('20250815_ETF_Options_Exhibits'!F443:F447)),AVERAGE('20250815_ETF_Options_Exhibits'!F443:F447),"")</f>
        <v/>
      </c>
      <c r="G447" s="3">
        <f>IF(ISNUMBER(AVERAGE('20250815_ETF_Options_Exhibits'!G443:G447)),AVERAGE('20250815_ETF_Options_Exhibits'!G443:G447),"")</f>
        <v/>
      </c>
      <c r="H447" s="3">
        <f>IF(ISNUMBER(AVERAGE('20250815_ETF_Options_Exhibits'!H443:H447)),AVERAGE('20250815_ETF_Options_Exhibits'!H443:H447),"")</f>
        <v/>
      </c>
      <c r="I447" s="3">
        <f>IF(ISNUMBER(AVERAGE('20250815_ETF_Options_Exhibits'!I443:I447)),AVERAGE('20250815_ETF_Options_Exhibits'!I443:I447),"")</f>
        <v/>
      </c>
      <c r="J447" s="3">
        <f>IF(ISNUMBER(AVERAGE('20250815_ETF_Options_Exhibits'!J443:J447)),AVERAGE('20250815_ETF_Options_Exhibits'!J443:J447),"")</f>
        <v/>
      </c>
      <c r="K447" s="3">
        <f>IF(ISNUMBER(AVERAGE('20250815_ETF_Options_Exhibits'!K443:K447)),AVERAGE('20250815_ETF_Options_Exhibits'!K443:K447),"")</f>
        <v/>
      </c>
      <c r="L447" s="3">
        <f>IF(ISNUMBER(AVERAGE('20250815_ETF_Options_Exhibits'!L443:L447)),AVERAGE('20250815_ETF_Options_Exhibits'!L443:L447),"")</f>
        <v/>
      </c>
      <c r="M447" s="3">
        <f>IF(ISNUMBER(AVERAGE('20250815_ETF_Options_Exhibits'!M443:M447)),AVERAGE('20250815_ETF_Options_Exhibits'!M443:M447),"")</f>
        <v/>
      </c>
      <c r="N447" s="3">
        <f>IF(ISNUMBER(AVERAGE('20250815_ETF_Options_Exhibits'!N443:N447)),AVERAGE('20250815_ETF_Options_Exhibits'!N443:N447),"")</f>
        <v/>
      </c>
      <c r="O447" s="3">
        <f>IF(ISNUMBER(AVERAGE('20250815_ETF_Options_Exhibits'!O443:O447)),AVERAGE('20250815_ETF_Options_Exhibits'!O443:O447),"")</f>
        <v/>
      </c>
      <c r="P447" s="3">
        <f>IF(ISNUMBER(AVERAGE('20250815_ETF_Options_Exhibits'!P443:P447)),AVERAGE('20250815_ETF_Options_Exhibits'!P443:P447),"")</f>
        <v/>
      </c>
      <c r="Q447" s="3">
        <f>IF(ISNUMBER(AVERAGE('20250815_ETF_Options_Exhibits'!Q443:Q447)),AVERAGE('20250815_ETF_Options_Exhibits'!Q443:Q447),"")</f>
        <v/>
      </c>
      <c r="R447" s="3">
        <f>IF(ISNUMBER(AVERAGE('20250815_ETF_Options_Exhibits'!R443:R447)),AVERAGE('20250815_ETF_Options_Exhibits'!R443:R447),"")</f>
        <v/>
      </c>
      <c r="S447" s="3">
        <f>IF(ISNUMBER(AVERAGE('20250815_ETF_Options_Exhibits'!S443:S447)),AVERAGE('20250815_ETF_Options_Exhibits'!S443:S447),"")</f>
        <v/>
      </c>
      <c r="T447" s="3">
        <f>IF(ISNUMBER(AVERAGE('20250815_ETF_Options_Exhibits'!T443:T447)),AVERAGE('20250815_ETF_Options_Exhibits'!T443:T447),"")</f>
        <v/>
      </c>
      <c r="U447" s="3">
        <f>IF(ISNUMBER(AVERAGE('20250815_ETF_Options_Exhibits'!U443:U447)),AVERAGE('20250815_ETF_Options_Exhibits'!U443:U447),"")</f>
        <v/>
      </c>
      <c r="V447" s="3">
        <f>IF(ISNUMBER(AVERAGE('20250815_ETF_Options_Exhibits'!V443:V447)),AVERAGE('20250815_ETF_Options_Exhibits'!V443:V447),"")</f>
        <v/>
      </c>
      <c r="W447" s="3">
        <f>IF(ISNUMBER(AVERAGE('20250815_ETF_Options_Exhibits'!W443:W447)),AVERAGE('20250815_ETF_Options_Exhibits'!W443:W447),"")</f>
        <v/>
      </c>
      <c r="X447" s="3">
        <f>IF(ISNUMBER(AVERAGE('20250815_ETF_Options_Exhibits'!X443:X447)),AVERAGE('20250815_ETF_Options_Exhibits'!X443:X447),"")</f>
        <v/>
      </c>
      <c r="Y447" s="3">
        <f>IF(ISNUMBER(AVERAGE('20250815_ETF_Options_Exhibits'!Y443:Y447)),AVERAGE('20250815_ETF_Options_Exhibits'!Y443:Y447),"")</f>
        <v/>
      </c>
      <c r="Z447" s="3">
        <f>IF(ISNUMBER(AVERAGE('20250815_ETF_Options_Exhibits'!Z443:Z447)),AVERAGE('20250815_ETF_Options_Exhibits'!Z443:Z447),"")</f>
        <v/>
      </c>
      <c r="AA447" s="3">
        <f>IF(ISNUMBER(AVERAGE('20250815_ETF_Options_Exhibits'!AA443:AA447)),AVERAGE('20250815_ETF_Options_Exhibits'!AA443:AA447),"")</f>
        <v/>
      </c>
    </row>
    <row r="448">
      <c r="A448" s="1" t="n">
        <v>42650</v>
      </c>
      <c r="B448" s="3">
        <f>IF(ISNUMBER(AVERAGE('20250815_ETF_Options_Exhibits'!B444:B448)),AVERAGE('20250815_ETF_Options_Exhibits'!B444:B448),"")</f>
        <v/>
      </c>
      <c r="C448" s="3">
        <f>IF(ISNUMBER(AVERAGE('20250815_ETF_Options_Exhibits'!C444:C448)),AVERAGE('20250815_ETF_Options_Exhibits'!C444:C448),"")</f>
        <v/>
      </c>
      <c r="D448" s="3">
        <f>IF(ISNUMBER(AVERAGE('20250815_ETF_Options_Exhibits'!D444:D448)),AVERAGE('20250815_ETF_Options_Exhibits'!D444:D448),"")</f>
        <v/>
      </c>
      <c r="E448" s="3">
        <f>IF(ISNUMBER(AVERAGE('20250815_ETF_Options_Exhibits'!E444:E448)),AVERAGE('20250815_ETF_Options_Exhibits'!E444:E448),"")</f>
        <v/>
      </c>
      <c r="F448" s="3">
        <f>IF(ISNUMBER(AVERAGE('20250815_ETF_Options_Exhibits'!F444:F448)),AVERAGE('20250815_ETF_Options_Exhibits'!F444:F448),"")</f>
        <v/>
      </c>
      <c r="G448" s="3">
        <f>IF(ISNUMBER(AVERAGE('20250815_ETF_Options_Exhibits'!G444:G448)),AVERAGE('20250815_ETF_Options_Exhibits'!G444:G448),"")</f>
        <v/>
      </c>
      <c r="H448" s="3">
        <f>IF(ISNUMBER(AVERAGE('20250815_ETF_Options_Exhibits'!H444:H448)),AVERAGE('20250815_ETF_Options_Exhibits'!H444:H448),"")</f>
        <v/>
      </c>
      <c r="I448" s="3">
        <f>IF(ISNUMBER(AVERAGE('20250815_ETF_Options_Exhibits'!I444:I448)),AVERAGE('20250815_ETF_Options_Exhibits'!I444:I448),"")</f>
        <v/>
      </c>
      <c r="J448" s="3">
        <f>IF(ISNUMBER(AVERAGE('20250815_ETF_Options_Exhibits'!J444:J448)),AVERAGE('20250815_ETF_Options_Exhibits'!J444:J448),"")</f>
        <v/>
      </c>
      <c r="K448" s="3">
        <f>IF(ISNUMBER(AVERAGE('20250815_ETF_Options_Exhibits'!K444:K448)),AVERAGE('20250815_ETF_Options_Exhibits'!K444:K448),"")</f>
        <v/>
      </c>
      <c r="L448" s="3">
        <f>IF(ISNUMBER(AVERAGE('20250815_ETF_Options_Exhibits'!L444:L448)),AVERAGE('20250815_ETF_Options_Exhibits'!L444:L448),"")</f>
        <v/>
      </c>
      <c r="M448" s="3">
        <f>IF(ISNUMBER(AVERAGE('20250815_ETF_Options_Exhibits'!M444:M448)),AVERAGE('20250815_ETF_Options_Exhibits'!M444:M448),"")</f>
        <v/>
      </c>
      <c r="N448" s="3">
        <f>IF(ISNUMBER(AVERAGE('20250815_ETF_Options_Exhibits'!N444:N448)),AVERAGE('20250815_ETF_Options_Exhibits'!N444:N448),"")</f>
        <v/>
      </c>
      <c r="O448" s="3">
        <f>IF(ISNUMBER(AVERAGE('20250815_ETF_Options_Exhibits'!O444:O448)),AVERAGE('20250815_ETF_Options_Exhibits'!O444:O448),"")</f>
        <v/>
      </c>
      <c r="P448" s="3">
        <f>IF(ISNUMBER(AVERAGE('20250815_ETF_Options_Exhibits'!P444:P448)),AVERAGE('20250815_ETF_Options_Exhibits'!P444:P448),"")</f>
        <v/>
      </c>
      <c r="Q448" s="3">
        <f>IF(ISNUMBER(AVERAGE('20250815_ETF_Options_Exhibits'!Q444:Q448)),AVERAGE('20250815_ETF_Options_Exhibits'!Q444:Q448),"")</f>
        <v/>
      </c>
      <c r="R448" s="3">
        <f>IF(ISNUMBER(AVERAGE('20250815_ETF_Options_Exhibits'!R444:R448)),AVERAGE('20250815_ETF_Options_Exhibits'!R444:R448),"")</f>
        <v/>
      </c>
      <c r="S448" s="3">
        <f>IF(ISNUMBER(AVERAGE('20250815_ETF_Options_Exhibits'!S444:S448)),AVERAGE('20250815_ETF_Options_Exhibits'!S444:S448),"")</f>
        <v/>
      </c>
      <c r="T448" s="3">
        <f>IF(ISNUMBER(AVERAGE('20250815_ETF_Options_Exhibits'!T444:T448)),AVERAGE('20250815_ETF_Options_Exhibits'!T444:T448),"")</f>
        <v/>
      </c>
      <c r="U448" s="3">
        <f>IF(ISNUMBER(AVERAGE('20250815_ETF_Options_Exhibits'!U444:U448)),AVERAGE('20250815_ETF_Options_Exhibits'!U444:U448),"")</f>
        <v/>
      </c>
      <c r="V448" s="3">
        <f>IF(ISNUMBER(AVERAGE('20250815_ETF_Options_Exhibits'!V444:V448)),AVERAGE('20250815_ETF_Options_Exhibits'!V444:V448),"")</f>
        <v/>
      </c>
      <c r="W448" s="3">
        <f>IF(ISNUMBER(AVERAGE('20250815_ETF_Options_Exhibits'!W444:W448)),AVERAGE('20250815_ETF_Options_Exhibits'!W444:W448),"")</f>
        <v/>
      </c>
      <c r="X448" s="3">
        <f>IF(ISNUMBER(AVERAGE('20250815_ETF_Options_Exhibits'!X444:X448)),AVERAGE('20250815_ETF_Options_Exhibits'!X444:X448),"")</f>
        <v/>
      </c>
      <c r="Y448" s="3">
        <f>IF(ISNUMBER(AVERAGE('20250815_ETF_Options_Exhibits'!Y444:Y448)),AVERAGE('20250815_ETF_Options_Exhibits'!Y444:Y448),"")</f>
        <v/>
      </c>
      <c r="Z448" s="3">
        <f>IF(ISNUMBER(AVERAGE('20250815_ETF_Options_Exhibits'!Z444:Z448)),AVERAGE('20250815_ETF_Options_Exhibits'!Z444:Z448),"")</f>
        <v/>
      </c>
      <c r="AA448" s="3">
        <f>IF(ISNUMBER(AVERAGE('20250815_ETF_Options_Exhibits'!AA444:AA448)),AVERAGE('20250815_ETF_Options_Exhibits'!AA444:AA448),"")</f>
        <v/>
      </c>
    </row>
    <row r="449">
      <c r="A449" s="1" t="n">
        <v>42653</v>
      </c>
      <c r="B449" s="3">
        <f>IF(ISNUMBER(AVERAGE('20250815_ETF_Options_Exhibits'!B445:B449)),AVERAGE('20250815_ETF_Options_Exhibits'!B445:B449),"")</f>
        <v/>
      </c>
      <c r="C449" s="3">
        <f>IF(ISNUMBER(AVERAGE('20250815_ETF_Options_Exhibits'!C445:C449)),AVERAGE('20250815_ETF_Options_Exhibits'!C445:C449),"")</f>
        <v/>
      </c>
      <c r="D449" s="3">
        <f>IF(ISNUMBER(AVERAGE('20250815_ETF_Options_Exhibits'!D445:D449)),AVERAGE('20250815_ETF_Options_Exhibits'!D445:D449),"")</f>
        <v/>
      </c>
      <c r="E449" s="3">
        <f>IF(ISNUMBER(AVERAGE('20250815_ETF_Options_Exhibits'!E445:E449)),AVERAGE('20250815_ETF_Options_Exhibits'!E445:E449),"")</f>
        <v/>
      </c>
      <c r="F449" s="3">
        <f>IF(ISNUMBER(AVERAGE('20250815_ETF_Options_Exhibits'!F445:F449)),AVERAGE('20250815_ETF_Options_Exhibits'!F445:F449),"")</f>
        <v/>
      </c>
      <c r="G449" s="3">
        <f>IF(ISNUMBER(AVERAGE('20250815_ETF_Options_Exhibits'!G445:G449)),AVERAGE('20250815_ETF_Options_Exhibits'!G445:G449),"")</f>
        <v/>
      </c>
      <c r="H449" s="3">
        <f>IF(ISNUMBER(AVERAGE('20250815_ETF_Options_Exhibits'!H445:H449)),AVERAGE('20250815_ETF_Options_Exhibits'!H445:H449),"")</f>
        <v/>
      </c>
      <c r="I449" s="3">
        <f>IF(ISNUMBER(AVERAGE('20250815_ETF_Options_Exhibits'!I445:I449)),AVERAGE('20250815_ETF_Options_Exhibits'!I445:I449),"")</f>
        <v/>
      </c>
      <c r="J449" s="3">
        <f>IF(ISNUMBER(AVERAGE('20250815_ETF_Options_Exhibits'!J445:J449)),AVERAGE('20250815_ETF_Options_Exhibits'!J445:J449),"")</f>
        <v/>
      </c>
      <c r="K449" s="3">
        <f>IF(ISNUMBER(AVERAGE('20250815_ETF_Options_Exhibits'!K445:K449)),AVERAGE('20250815_ETF_Options_Exhibits'!K445:K449),"")</f>
        <v/>
      </c>
      <c r="L449" s="3">
        <f>IF(ISNUMBER(AVERAGE('20250815_ETF_Options_Exhibits'!L445:L449)),AVERAGE('20250815_ETF_Options_Exhibits'!L445:L449),"")</f>
        <v/>
      </c>
      <c r="M449" s="3">
        <f>IF(ISNUMBER(AVERAGE('20250815_ETF_Options_Exhibits'!M445:M449)),AVERAGE('20250815_ETF_Options_Exhibits'!M445:M449),"")</f>
        <v/>
      </c>
      <c r="N449" s="3">
        <f>IF(ISNUMBER(AVERAGE('20250815_ETF_Options_Exhibits'!N445:N449)),AVERAGE('20250815_ETF_Options_Exhibits'!N445:N449),"")</f>
        <v/>
      </c>
      <c r="O449" s="3">
        <f>IF(ISNUMBER(AVERAGE('20250815_ETF_Options_Exhibits'!O445:O449)),AVERAGE('20250815_ETF_Options_Exhibits'!O445:O449),"")</f>
        <v/>
      </c>
      <c r="P449" s="3">
        <f>IF(ISNUMBER(AVERAGE('20250815_ETF_Options_Exhibits'!P445:P449)),AVERAGE('20250815_ETF_Options_Exhibits'!P445:P449),"")</f>
        <v/>
      </c>
      <c r="Q449" s="3">
        <f>IF(ISNUMBER(AVERAGE('20250815_ETF_Options_Exhibits'!Q445:Q449)),AVERAGE('20250815_ETF_Options_Exhibits'!Q445:Q449),"")</f>
        <v/>
      </c>
      <c r="R449" s="3">
        <f>IF(ISNUMBER(AVERAGE('20250815_ETF_Options_Exhibits'!R445:R449)),AVERAGE('20250815_ETF_Options_Exhibits'!R445:R449),"")</f>
        <v/>
      </c>
      <c r="S449" s="3">
        <f>IF(ISNUMBER(AVERAGE('20250815_ETF_Options_Exhibits'!S445:S449)),AVERAGE('20250815_ETF_Options_Exhibits'!S445:S449),"")</f>
        <v/>
      </c>
      <c r="T449" s="3">
        <f>IF(ISNUMBER(AVERAGE('20250815_ETF_Options_Exhibits'!T445:T449)),AVERAGE('20250815_ETF_Options_Exhibits'!T445:T449),"")</f>
        <v/>
      </c>
      <c r="U449" s="3">
        <f>IF(ISNUMBER(AVERAGE('20250815_ETF_Options_Exhibits'!U445:U449)),AVERAGE('20250815_ETF_Options_Exhibits'!U445:U449),"")</f>
        <v/>
      </c>
      <c r="V449" s="3">
        <f>IF(ISNUMBER(AVERAGE('20250815_ETF_Options_Exhibits'!V445:V449)),AVERAGE('20250815_ETF_Options_Exhibits'!V445:V449),"")</f>
        <v/>
      </c>
      <c r="W449" s="3">
        <f>IF(ISNUMBER(AVERAGE('20250815_ETF_Options_Exhibits'!W445:W449)),AVERAGE('20250815_ETF_Options_Exhibits'!W445:W449),"")</f>
        <v/>
      </c>
      <c r="X449" s="3">
        <f>IF(ISNUMBER(AVERAGE('20250815_ETF_Options_Exhibits'!X445:X449)),AVERAGE('20250815_ETF_Options_Exhibits'!X445:X449),"")</f>
        <v/>
      </c>
      <c r="Y449" s="3">
        <f>IF(ISNUMBER(AVERAGE('20250815_ETF_Options_Exhibits'!Y445:Y449)),AVERAGE('20250815_ETF_Options_Exhibits'!Y445:Y449),"")</f>
        <v/>
      </c>
      <c r="Z449" s="3">
        <f>IF(ISNUMBER(AVERAGE('20250815_ETF_Options_Exhibits'!Z445:Z449)),AVERAGE('20250815_ETF_Options_Exhibits'!Z445:Z449),"")</f>
        <v/>
      </c>
      <c r="AA449" s="3">
        <f>IF(ISNUMBER(AVERAGE('20250815_ETF_Options_Exhibits'!AA445:AA449)),AVERAGE('20250815_ETF_Options_Exhibits'!AA445:AA449),"")</f>
        <v/>
      </c>
    </row>
    <row r="450">
      <c r="A450" s="1" t="n">
        <v>42654</v>
      </c>
      <c r="B450" s="3">
        <f>IF(ISNUMBER(AVERAGE('20250815_ETF_Options_Exhibits'!B446:B450)),AVERAGE('20250815_ETF_Options_Exhibits'!B446:B450),"")</f>
        <v/>
      </c>
      <c r="C450" s="3">
        <f>IF(ISNUMBER(AVERAGE('20250815_ETF_Options_Exhibits'!C446:C450)),AVERAGE('20250815_ETF_Options_Exhibits'!C446:C450),"")</f>
        <v/>
      </c>
      <c r="D450" s="3">
        <f>IF(ISNUMBER(AVERAGE('20250815_ETF_Options_Exhibits'!D446:D450)),AVERAGE('20250815_ETF_Options_Exhibits'!D446:D450),"")</f>
        <v/>
      </c>
      <c r="E450" s="3">
        <f>IF(ISNUMBER(AVERAGE('20250815_ETF_Options_Exhibits'!E446:E450)),AVERAGE('20250815_ETF_Options_Exhibits'!E446:E450),"")</f>
        <v/>
      </c>
      <c r="F450" s="3">
        <f>IF(ISNUMBER(AVERAGE('20250815_ETF_Options_Exhibits'!F446:F450)),AVERAGE('20250815_ETF_Options_Exhibits'!F446:F450),"")</f>
        <v/>
      </c>
      <c r="G450" s="3">
        <f>IF(ISNUMBER(AVERAGE('20250815_ETF_Options_Exhibits'!G446:G450)),AVERAGE('20250815_ETF_Options_Exhibits'!G446:G450),"")</f>
        <v/>
      </c>
      <c r="H450" s="3">
        <f>IF(ISNUMBER(AVERAGE('20250815_ETF_Options_Exhibits'!H446:H450)),AVERAGE('20250815_ETF_Options_Exhibits'!H446:H450),"")</f>
        <v/>
      </c>
      <c r="I450" s="3">
        <f>IF(ISNUMBER(AVERAGE('20250815_ETF_Options_Exhibits'!I446:I450)),AVERAGE('20250815_ETF_Options_Exhibits'!I446:I450),"")</f>
        <v/>
      </c>
      <c r="J450" s="3">
        <f>IF(ISNUMBER(AVERAGE('20250815_ETF_Options_Exhibits'!J446:J450)),AVERAGE('20250815_ETF_Options_Exhibits'!J446:J450),"")</f>
        <v/>
      </c>
      <c r="K450" s="3">
        <f>IF(ISNUMBER(AVERAGE('20250815_ETF_Options_Exhibits'!K446:K450)),AVERAGE('20250815_ETF_Options_Exhibits'!K446:K450),"")</f>
        <v/>
      </c>
      <c r="L450" s="3">
        <f>IF(ISNUMBER(AVERAGE('20250815_ETF_Options_Exhibits'!L446:L450)),AVERAGE('20250815_ETF_Options_Exhibits'!L446:L450),"")</f>
        <v/>
      </c>
      <c r="M450" s="3">
        <f>IF(ISNUMBER(AVERAGE('20250815_ETF_Options_Exhibits'!M446:M450)),AVERAGE('20250815_ETF_Options_Exhibits'!M446:M450),"")</f>
        <v/>
      </c>
      <c r="N450" s="3">
        <f>IF(ISNUMBER(AVERAGE('20250815_ETF_Options_Exhibits'!N446:N450)),AVERAGE('20250815_ETF_Options_Exhibits'!N446:N450),"")</f>
        <v/>
      </c>
      <c r="O450" s="3">
        <f>IF(ISNUMBER(AVERAGE('20250815_ETF_Options_Exhibits'!O446:O450)),AVERAGE('20250815_ETF_Options_Exhibits'!O446:O450),"")</f>
        <v/>
      </c>
      <c r="P450" s="3">
        <f>IF(ISNUMBER(AVERAGE('20250815_ETF_Options_Exhibits'!P446:P450)),AVERAGE('20250815_ETF_Options_Exhibits'!P446:P450),"")</f>
        <v/>
      </c>
      <c r="Q450" s="3">
        <f>IF(ISNUMBER(AVERAGE('20250815_ETF_Options_Exhibits'!Q446:Q450)),AVERAGE('20250815_ETF_Options_Exhibits'!Q446:Q450),"")</f>
        <v/>
      </c>
      <c r="R450" s="3">
        <f>IF(ISNUMBER(AVERAGE('20250815_ETF_Options_Exhibits'!R446:R450)),AVERAGE('20250815_ETF_Options_Exhibits'!R446:R450),"")</f>
        <v/>
      </c>
      <c r="S450" s="3">
        <f>IF(ISNUMBER(AVERAGE('20250815_ETF_Options_Exhibits'!S446:S450)),AVERAGE('20250815_ETF_Options_Exhibits'!S446:S450),"")</f>
        <v/>
      </c>
      <c r="T450" s="3">
        <f>IF(ISNUMBER(AVERAGE('20250815_ETF_Options_Exhibits'!T446:T450)),AVERAGE('20250815_ETF_Options_Exhibits'!T446:T450),"")</f>
        <v/>
      </c>
      <c r="U450" s="3">
        <f>IF(ISNUMBER(AVERAGE('20250815_ETF_Options_Exhibits'!U446:U450)),AVERAGE('20250815_ETF_Options_Exhibits'!U446:U450),"")</f>
        <v/>
      </c>
      <c r="V450" s="3">
        <f>IF(ISNUMBER(AVERAGE('20250815_ETF_Options_Exhibits'!V446:V450)),AVERAGE('20250815_ETF_Options_Exhibits'!V446:V450),"")</f>
        <v/>
      </c>
      <c r="W450" s="3">
        <f>IF(ISNUMBER(AVERAGE('20250815_ETF_Options_Exhibits'!W446:W450)),AVERAGE('20250815_ETF_Options_Exhibits'!W446:W450),"")</f>
        <v/>
      </c>
      <c r="X450" s="3">
        <f>IF(ISNUMBER(AVERAGE('20250815_ETF_Options_Exhibits'!X446:X450)),AVERAGE('20250815_ETF_Options_Exhibits'!X446:X450),"")</f>
        <v/>
      </c>
      <c r="Y450" s="3">
        <f>IF(ISNUMBER(AVERAGE('20250815_ETF_Options_Exhibits'!Y446:Y450)),AVERAGE('20250815_ETF_Options_Exhibits'!Y446:Y450),"")</f>
        <v/>
      </c>
      <c r="Z450" s="3">
        <f>IF(ISNUMBER(AVERAGE('20250815_ETF_Options_Exhibits'!Z446:Z450)),AVERAGE('20250815_ETF_Options_Exhibits'!Z446:Z450),"")</f>
        <v/>
      </c>
      <c r="AA450" s="3">
        <f>IF(ISNUMBER(AVERAGE('20250815_ETF_Options_Exhibits'!AA446:AA450)),AVERAGE('20250815_ETF_Options_Exhibits'!AA446:AA450),"")</f>
        <v/>
      </c>
    </row>
    <row r="451">
      <c r="A451" s="1" t="n">
        <v>42655</v>
      </c>
      <c r="B451" s="3">
        <f>IF(ISNUMBER(AVERAGE('20250815_ETF_Options_Exhibits'!B447:B451)),AVERAGE('20250815_ETF_Options_Exhibits'!B447:B451),"")</f>
        <v/>
      </c>
      <c r="C451" s="3">
        <f>IF(ISNUMBER(AVERAGE('20250815_ETF_Options_Exhibits'!C447:C451)),AVERAGE('20250815_ETF_Options_Exhibits'!C447:C451),"")</f>
        <v/>
      </c>
      <c r="D451" s="3">
        <f>IF(ISNUMBER(AVERAGE('20250815_ETF_Options_Exhibits'!D447:D451)),AVERAGE('20250815_ETF_Options_Exhibits'!D447:D451),"")</f>
        <v/>
      </c>
      <c r="E451" s="3">
        <f>IF(ISNUMBER(AVERAGE('20250815_ETF_Options_Exhibits'!E447:E451)),AVERAGE('20250815_ETF_Options_Exhibits'!E447:E451),"")</f>
        <v/>
      </c>
      <c r="F451" s="3">
        <f>IF(ISNUMBER(AVERAGE('20250815_ETF_Options_Exhibits'!F447:F451)),AVERAGE('20250815_ETF_Options_Exhibits'!F447:F451),"")</f>
        <v/>
      </c>
      <c r="G451" s="3">
        <f>IF(ISNUMBER(AVERAGE('20250815_ETF_Options_Exhibits'!G447:G451)),AVERAGE('20250815_ETF_Options_Exhibits'!G447:G451),"")</f>
        <v/>
      </c>
      <c r="H451" s="3">
        <f>IF(ISNUMBER(AVERAGE('20250815_ETF_Options_Exhibits'!H447:H451)),AVERAGE('20250815_ETF_Options_Exhibits'!H447:H451),"")</f>
        <v/>
      </c>
      <c r="I451" s="3">
        <f>IF(ISNUMBER(AVERAGE('20250815_ETF_Options_Exhibits'!I447:I451)),AVERAGE('20250815_ETF_Options_Exhibits'!I447:I451),"")</f>
        <v/>
      </c>
      <c r="J451" s="3">
        <f>IF(ISNUMBER(AVERAGE('20250815_ETF_Options_Exhibits'!J447:J451)),AVERAGE('20250815_ETF_Options_Exhibits'!J447:J451),"")</f>
        <v/>
      </c>
      <c r="K451" s="3">
        <f>IF(ISNUMBER(AVERAGE('20250815_ETF_Options_Exhibits'!K447:K451)),AVERAGE('20250815_ETF_Options_Exhibits'!K447:K451),"")</f>
        <v/>
      </c>
      <c r="L451" s="3">
        <f>IF(ISNUMBER(AVERAGE('20250815_ETF_Options_Exhibits'!L447:L451)),AVERAGE('20250815_ETF_Options_Exhibits'!L447:L451),"")</f>
        <v/>
      </c>
      <c r="M451" s="3">
        <f>IF(ISNUMBER(AVERAGE('20250815_ETF_Options_Exhibits'!M447:M451)),AVERAGE('20250815_ETF_Options_Exhibits'!M447:M451),"")</f>
        <v/>
      </c>
      <c r="N451" s="3">
        <f>IF(ISNUMBER(AVERAGE('20250815_ETF_Options_Exhibits'!N447:N451)),AVERAGE('20250815_ETF_Options_Exhibits'!N447:N451),"")</f>
        <v/>
      </c>
      <c r="O451" s="3">
        <f>IF(ISNUMBER(AVERAGE('20250815_ETF_Options_Exhibits'!O447:O451)),AVERAGE('20250815_ETF_Options_Exhibits'!O447:O451),"")</f>
        <v/>
      </c>
      <c r="P451" s="3">
        <f>IF(ISNUMBER(AVERAGE('20250815_ETF_Options_Exhibits'!P447:P451)),AVERAGE('20250815_ETF_Options_Exhibits'!P447:P451),"")</f>
        <v/>
      </c>
      <c r="Q451" s="3">
        <f>IF(ISNUMBER(AVERAGE('20250815_ETF_Options_Exhibits'!Q447:Q451)),AVERAGE('20250815_ETF_Options_Exhibits'!Q447:Q451),"")</f>
        <v/>
      </c>
      <c r="R451" s="3">
        <f>IF(ISNUMBER(AVERAGE('20250815_ETF_Options_Exhibits'!R447:R451)),AVERAGE('20250815_ETF_Options_Exhibits'!R447:R451),"")</f>
        <v/>
      </c>
      <c r="S451" s="3">
        <f>IF(ISNUMBER(AVERAGE('20250815_ETF_Options_Exhibits'!S447:S451)),AVERAGE('20250815_ETF_Options_Exhibits'!S447:S451),"")</f>
        <v/>
      </c>
      <c r="T451" s="3">
        <f>IF(ISNUMBER(AVERAGE('20250815_ETF_Options_Exhibits'!T447:T451)),AVERAGE('20250815_ETF_Options_Exhibits'!T447:T451),"")</f>
        <v/>
      </c>
      <c r="U451" s="3">
        <f>IF(ISNUMBER(AVERAGE('20250815_ETF_Options_Exhibits'!U447:U451)),AVERAGE('20250815_ETF_Options_Exhibits'!U447:U451),"")</f>
        <v/>
      </c>
      <c r="V451" s="3">
        <f>IF(ISNUMBER(AVERAGE('20250815_ETF_Options_Exhibits'!V447:V451)),AVERAGE('20250815_ETF_Options_Exhibits'!V447:V451),"")</f>
        <v/>
      </c>
      <c r="W451" s="3">
        <f>IF(ISNUMBER(AVERAGE('20250815_ETF_Options_Exhibits'!W447:W451)),AVERAGE('20250815_ETF_Options_Exhibits'!W447:W451),"")</f>
        <v/>
      </c>
      <c r="X451" s="3">
        <f>IF(ISNUMBER(AVERAGE('20250815_ETF_Options_Exhibits'!X447:X451)),AVERAGE('20250815_ETF_Options_Exhibits'!X447:X451),"")</f>
        <v/>
      </c>
      <c r="Y451" s="3">
        <f>IF(ISNUMBER(AVERAGE('20250815_ETF_Options_Exhibits'!Y447:Y451)),AVERAGE('20250815_ETF_Options_Exhibits'!Y447:Y451),"")</f>
        <v/>
      </c>
      <c r="Z451" s="3">
        <f>IF(ISNUMBER(AVERAGE('20250815_ETF_Options_Exhibits'!Z447:Z451)),AVERAGE('20250815_ETF_Options_Exhibits'!Z447:Z451),"")</f>
        <v/>
      </c>
      <c r="AA451" s="3">
        <f>IF(ISNUMBER(AVERAGE('20250815_ETF_Options_Exhibits'!AA447:AA451)),AVERAGE('20250815_ETF_Options_Exhibits'!AA447:AA451),"")</f>
        <v/>
      </c>
    </row>
    <row r="452">
      <c r="A452" s="1" t="n">
        <v>42656</v>
      </c>
      <c r="B452" s="3">
        <f>IF(ISNUMBER(AVERAGE('20250815_ETF_Options_Exhibits'!B448:B452)),AVERAGE('20250815_ETF_Options_Exhibits'!B448:B452),"")</f>
        <v/>
      </c>
      <c r="C452" s="3">
        <f>IF(ISNUMBER(AVERAGE('20250815_ETF_Options_Exhibits'!C448:C452)),AVERAGE('20250815_ETF_Options_Exhibits'!C448:C452),"")</f>
        <v/>
      </c>
      <c r="D452" s="3">
        <f>IF(ISNUMBER(AVERAGE('20250815_ETF_Options_Exhibits'!D448:D452)),AVERAGE('20250815_ETF_Options_Exhibits'!D448:D452),"")</f>
        <v/>
      </c>
      <c r="E452" s="3">
        <f>IF(ISNUMBER(AVERAGE('20250815_ETF_Options_Exhibits'!E448:E452)),AVERAGE('20250815_ETF_Options_Exhibits'!E448:E452),"")</f>
        <v/>
      </c>
      <c r="F452" s="3">
        <f>IF(ISNUMBER(AVERAGE('20250815_ETF_Options_Exhibits'!F448:F452)),AVERAGE('20250815_ETF_Options_Exhibits'!F448:F452),"")</f>
        <v/>
      </c>
      <c r="G452" s="3">
        <f>IF(ISNUMBER(AVERAGE('20250815_ETF_Options_Exhibits'!G448:G452)),AVERAGE('20250815_ETF_Options_Exhibits'!G448:G452),"")</f>
        <v/>
      </c>
      <c r="H452" s="3">
        <f>IF(ISNUMBER(AVERAGE('20250815_ETF_Options_Exhibits'!H448:H452)),AVERAGE('20250815_ETF_Options_Exhibits'!H448:H452),"")</f>
        <v/>
      </c>
      <c r="I452" s="3">
        <f>IF(ISNUMBER(AVERAGE('20250815_ETF_Options_Exhibits'!I448:I452)),AVERAGE('20250815_ETF_Options_Exhibits'!I448:I452),"")</f>
        <v/>
      </c>
      <c r="J452" s="3">
        <f>IF(ISNUMBER(AVERAGE('20250815_ETF_Options_Exhibits'!J448:J452)),AVERAGE('20250815_ETF_Options_Exhibits'!J448:J452),"")</f>
        <v/>
      </c>
      <c r="K452" s="3">
        <f>IF(ISNUMBER(AVERAGE('20250815_ETF_Options_Exhibits'!K448:K452)),AVERAGE('20250815_ETF_Options_Exhibits'!K448:K452),"")</f>
        <v/>
      </c>
      <c r="L452" s="3">
        <f>IF(ISNUMBER(AVERAGE('20250815_ETF_Options_Exhibits'!L448:L452)),AVERAGE('20250815_ETF_Options_Exhibits'!L448:L452),"")</f>
        <v/>
      </c>
      <c r="M452" s="3">
        <f>IF(ISNUMBER(AVERAGE('20250815_ETF_Options_Exhibits'!M448:M452)),AVERAGE('20250815_ETF_Options_Exhibits'!M448:M452),"")</f>
        <v/>
      </c>
      <c r="N452" s="3">
        <f>IF(ISNUMBER(AVERAGE('20250815_ETF_Options_Exhibits'!N448:N452)),AVERAGE('20250815_ETF_Options_Exhibits'!N448:N452),"")</f>
        <v/>
      </c>
      <c r="O452" s="3">
        <f>IF(ISNUMBER(AVERAGE('20250815_ETF_Options_Exhibits'!O448:O452)),AVERAGE('20250815_ETF_Options_Exhibits'!O448:O452),"")</f>
        <v/>
      </c>
      <c r="P452" s="3">
        <f>IF(ISNUMBER(AVERAGE('20250815_ETF_Options_Exhibits'!P448:P452)),AVERAGE('20250815_ETF_Options_Exhibits'!P448:P452),"")</f>
        <v/>
      </c>
      <c r="Q452" s="3">
        <f>IF(ISNUMBER(AVERAGE('20250815_ETF_Options_Exhibits'!Q448:Q452)),AVERAGE('20250815_ETF_Options_Exhibits'!Q448:Q452),"")</f>
        <v/>
      </c>
      <c r="R452" s="3">
        <f>IF(ISNUMBER(AVERAGE('20250815_ETF_Options_Exhibits'!R448:R452)),AVERAGE('20250815_ETF_Options_Exhibits'!R448:R452),"")</f>
        <v/>
      </c>
      <c r="S452" s="3">
        <f>IF(ISNUMBER(AVERAGE('20250815_ETF_Options_Exhibits'!S448:S452)),AVERAGE('20250815_ETF_Options_Exhibits'!S448:S452),"")</f>
        <v/>
      </c>
      <c r="T452" s="3">
        <f>IF(ISNUMBER(AVERAGE('20250815_ETF_Options_Exhibits'!T448:T452)),AVERAGE('20250815_ETF_Options_Exhibits'!T448:T452),"")</f>
        <v/>
      </c>
      <c r="U452" s="3">
        <f>IF(ISNUMBER(AVERAGE('20250815_ETF_Options_Exhibits'!U448:U452)),AVERAGE('20250815_ETF_Options_Exhibits'!U448:U452),"")</f>
        <v/>
      </c>
      <c r="V452" s="3">
        <f>IF(ISNUMBER(AVERAGE('20250815_ETF_Options_Exhibits'!V448:V452)),AVERAGE('20250815_ETF_Options_Exhibits'!V448:V452),"")</f>
        <v/>
      </c>
      <c r="W452" s="3">
        <f>IF(ISNUMBER(AVERAGE('20250815_ETF_Options_Exhibits'!W448:W452)),AVERAGE('20250815_ETF_Options_Exhibits'!W448:W452),"")</f>
        <v/>
      </c>
      <c r="X452" s="3">
        <f>IF(ISNUMBER(AVERAGE('20250815_ETF_Options_Exhibits'!X448:X452)),AVERAGE('20250815_ETF_Options_Exhibits'!X448:X452),"")</f>
        <v/>
      </c>
      <c r="Y452" s="3">
        <f>IF(ISNUMBER(AVERAGE('20250815_ETF_Options_Exhibits'!Y448:Y452)),AVERAGE('20250815_ETF_Options_Exhibits'!Y448:Y452),"")</f>
        <v/>
      </c>
      <c r="Z452" s="3">
        <f>IF(ISNUMBER(AVERAGE('20250815_ETF_Options_Exhibits'!Z448:Z452)),AVERAGE('20250815_ETF_Options_Exhibits'!Z448:Z452),"")</f>
        <v/>
      </c>
      <c r="AA452" s="3">
        <f>IF(ISNUMBER(AVERAGE('20250815_ETF_Options_Exhibits'!AA448:AA452)),AVERAGE('20250815_ETF_Options_Exhibits'!AA448:AA452),"")</f>
        <v/>
      </c>
    </row>
    <row r="453">
      <c r="A453" s="1" t="n">
        <v>42657</v>
      </c>
      <c r="B453" s="3">
        <f>IF(ISNUMBER(AVERAGE('20250815_ETF_Options_Exhibits'!B449:B453)),AVERAGE('20250815_ETF_Options_Exhibits'!B449:B453),"")</f>
        <v/>
      </c>
      <c r="C453" s="3">
        <f>IF(ISNUMBER(AVERAGE('20250815_ETF_Options_Exhibits'!C449:C453)),AVERAGE('20250815_ETF_Options_Exhibits'!C449:C453),"")</f>
        <v/>
      </c>
      <c r="D453" s="3">
        <f>IF(ISNUMBER(AVERAGE('20250815_ETF_Options_Exhibits'!D449:D453)),AVERAGE('20250815_ETF_Options_Exhibits'!D449:D453),"")</f>
        <v/>
      </c>
      <c r="E453" s="3">
        <f>IF(ISNUMBER(AVERAGE('20250815_ETF_Options_Exhibits'!E449:E453)),AVERAGE('20250815_ETF_Options_Exhibits'!E449:E453),"")</f>
        <v/>
      </c>
      <c r="F453" s="3">
        <f>IF(ISNUMBER(AVERAGE('20250815_ETF_Options_Exhibits'!F449:F453)),AVERAGE('20250815_ETF_Options_Exhibits'!F449:F453),"")</f>
        <v/>
      </c>
      <c r="G453" s="3">
        <f>IF(ISNUMBER(AVERAGE('20250815_ETF_Options_Exhibits'!G449:G453)),AVERAGE('20250815_ETF_Options_Exhibits'!G449:G453),"")</f>
        <v/>
      </c>
      <c r="H453" s="3">
        <f>IF(ISNUMBER(AVERAGE('20250815_ETF_Options_Exhibits'!H449:H453)),AVERAGE('20250815_ETF_Options_Exhibits'!H449:H453),"")</f>
        <v/>
      </c>
      <c r="I453" s="3">
        <f>IF(ISNUMBER(AVERAGE('20250815_ETF_Options_Exhibits'!I449:I453)),AVERAGE('20250815_ETF_Options_Exhibits'!I449:I453),"")</f>
        <v/>
      </c>
      <c r="J453" s="3">
        <f>IF(ISNUMBER(AVERAGE('20250815_ETF_Options_Exhibits'!J449:J453)),AVERAGE('20250815_ETF_Options_Exhibits'!J449:J453),"")</f>
        <v/>
      </c>
      <c r="K453" s="3">
        <f>IF(ISNUMBER(AVERAGE('20250815_ETF_Options_Exhibits'!K449:K453)),AVERAGE('20250815_ETF_Options_Exhibits'!K449:K453),"")</f>
        <v/>
      </c>
      <c r="L453" s="3">
        <f>IF(ISNUMBER(AVERAGE('20250815_ETF_Options_Exhibits'!L449:L453)),AVERAGE('20250815_ETF_Options_Exhibits'!L449:L453),"")</f>
        <v/>
      </c>
      <c r="M453" s="3">
        <f>IF(ISNUMBER(AVERAGE('20250815_ETF_Options_Exhibits'!M449:M453)),AVERAGE('20250815_ETF_Options_Exhibits'!M449:M453),"")</f>
        <v/>
      </c>
      <c r="N453" s="3">
        <f>IF(ISNUMBER(AVERAGE('20250815_ETF_Options_Exhibits'!N449:N453)),AVERAGE('20250815_ETF_Options_Exhibits'!N449:N453),"")</f>
        <v/>
      </c>
      <c r="O453" s="3">
        <f>IF(ISNUMBER(AVERAGE('20250815_ETF_Options_Exhibits'!O449:O453)),AVERAGE('20250815_ETF_Options_Exhibits'!O449:O453),"")</f>
        <v/>
      </c>
      <c r="P453" s="3">
        <f>IF(ISNUMBER(AVERAGE('20250815_ETF_Options_Exhibits'!P449:P453)),AVERAGE('20250815_ETF_Options_Exhibits'!P449:P453),"")</f>
        <v/>
      </c>
      <c r="Q453" s="3">
        <f>IF(ISNUMBER(AVERAGE('20250815_ETF_Options_Exhibits'!Q449:Q453)),AVERAGE('20250815_ETF_Options_Exhibits'!Q449:Q453),"")</f>
        <v/>
      </c>
      <c r="R453" s="3">
        <f>IF(ISNUMBER(AVERAGE('20250815_ETF_Options_Exhibits'!R449:R453)),AVERAGE('20250815_ETF_Options_Exhibits'!R449:R453),"")</f>
        <v/>
      </c>
      <c r="S453" s="3">
        <f>IF(ISNUMBER(AVERAGE('20250815_ETF_Options_Exhibits'!S449:S453)),AVERAGE('20250815_ETF_Options_Exhibits'!S449:S453),"")</f>
        <v/>
      </c>
      <c r="T453" s="3">
        <f>IF(ISNUMBER(AVERAGE('20250815_ETF_Options_Exhibits'!T449:T453)),AVERAGE('20250815_ETF_Options_Exhibits'!T449:T453),"")</f>
        <v/>
      </c>
      <c r="U453" s="3">
        <f>IF(ISNUMBER(AVERAGE('20250815_ETF_Options_Exhibits'!U449:U453)),AVERAGE('20250815_ETF_Options_Exhibits'!U449:U453),"")</f>
        <v/>
      </c>
      <c r="V453" s="3">
        <f>IF(ISNUMBER(AVERAGE('20250815_ETF_Options_Exhibits'!V449:V453)),AVERAGE('20250815_ETF_Options_Exhibits'!V449:V453),"")</f>
        <v/>
      </c>
      <c r="W453" s="3">
        <f>IF(ISNUMBER(AVERAGE('20250815_ETF_Options_Exhibits'!W449:W453)),AVERAGE('20250815_ETF_Options_Exhibits'!W449:W453),"")</f>
        <v/>
      </c>
      <c r="X453" s="3">
        <f>IF(ISNUMBER(AVERAGE('20250815_ETF_Options_Exhibits'!X449:X453)),AVERAGE('20250815_ETF_Options_Exhibits'!X449:X453),"")</f>
        <v/>
      </c>
      <c r="Y453" s="3">
        <f>IF(ISNUMBER(AVERAGE('20250815_ETF_Options_Exhibits'!Y449:Y453)),AVERAGE('20250815_ETF_Options_Exhibits'!Y449:Y453),"")</f>
        <v/>
      </c>
      <c r="Z453" s="3">
        <f>IF(ISNUMBER(AVERAGE('20250815_ETF_Options_Exhibits'!Z449:Z453)),AVERAGE('20250815_ETF_Options_Exhibits'!Z449:Z453),"")</f>
        <v/>
      </c>
      <c r="AA453" s="3">
        <f>IF(ISNUMBER(AVERAGE('20250815_ETF_Options_Exhibits'!AA449:AA453)),AVERAGE('20250815_ETF_Options_Exhibits'!AA449:AA453),"")</f>
        <v/>
      </c>
    </row>
    <row r="454">
      <c r="A454" s="1" t="n">
        <v>42660</v>
      </c>
      <c r="B454" s="3">
        <f>IF(ISNUMBER(AVERAGE('20250815_ETF_Options_Exhibits'!B450:B454)),AVERAGE('20250815_ETF_Options_Exhibits'!B450:B454),"")</f>
        <v/>
      </c>
      <c r="C454" s="3">
        <f>IF(ISNUMBER(AVERAGE('20250815_ETF_Options_Exhibits'!C450:C454)),AVERAGE('20250815_ETF_Options_Exhibits'!C450:C454),"")</f>
        <v/>
      </c>
      <c r="D454" s="3">
        <f>IF(ISNUMBER(AVERAGE('20250815_ETF_Options_Exhibits'!D450:D454)),AVERAGE('20250815_ETF_Options_Exhibits'!D450:D454),"")</f>
        <v/>
      </c>
      <c r="E454" s="3">
        <f>IF(ISNUMBER(AVERAGE('20250815_ETF_Options_Exhibits'!E450:E454)),AVERAGE('20250815_ETF_Options_Exhibits'!E450:E454),"")</f>
        <v/>
      </c>
      <c r="F454" s="3">
        <f>IF(ISNUMBER(AVERAGE('20250815_ETF_Options_Exhibits'!F450:F454)),AVERAGE('20250815_ETF_Options_Exhibits'!F450:F454),"")</f>
        <v/>
      </c>
      <c r="G454" s="3">
        <f>IF(ISNUMBER(AVERAGE('20250815_ETF_Options_Exhibits'!G450:G454)),AVERAGE('20250815_ETF_Options_Exhibits'!G450:G454),"")</f>
        <v/>
      </c>
      <c r="H454" s="3">
        <f>IF(ISNUMBER(AVERAGE('20250815_ETF_Options_Exhibits'!H450:H454)),AVERAGE('20250815_ETF_Options_Exhibits'!H450:H454),"")</f>
        <v/>
      </c>
      <c r="I454" s="3">
        <f>IF(ISNUMBER(AVERAGE('20250815_ETF_Options_Exhibits'!I450:I454)),AVERAGE('20250815_ETF_Options_Exhibits'!I450:I454),"")</f>
        <v/>
      </c>
      <c r="J454" s="3">
        <f>IF(ISNUMBER(AVERAGE('20250815_ETF_Options_Exhibits'!J450:J454)),AVERAGE('20250815_ETF_Options_Exhibits'!J450:J454),"")</f>
        <v/>
      </c>
      <c r="K454" s="3">
        <f>IF(ISNUMBER(AVERAGE('20250815_ETF_Options_Exhibits'!K450:K454)),AVERAGE('20250815_ETF_Options_Exhibits'!K450:K454),"")</f>
        <v/>
      </c>
      <c r="L454" s="3">
        <f>IF(ISNUMBER(AVERAGE('20250815_ETF_Options_Exhibits'!L450:L454)),AVERAGE('20250815_ETF_Options_Exhibits'!L450:L454),"")</f>
        <v/>
      </c>
      <c r="M454" s="3">
        <f>IF(ISNUMBER(AVERAGE('20250815_ETF_Options_Exhibits'!M450:M454)),AVERAGE('20250815_ETF_Options_Exhibits'!M450:M454),"")</f>
        <v/>
      </c>
      <c r="N454" s="3">
        <f>IF(ISNUMBER(AVERAGE('20250815_ETF_Options_Exhibits'!N450:N454)),AVERAGE('20250815_ETF_Options_Exhibits'!N450:N454),"")</f>
        <v/>
      </c>
      <c r="O454" s="3">
        <f>IF(ISNUMBER(AVERAGE('20250815_ETF_Options_Exhibits'!O450:O454)),AVERAGE('20250815_ETF_Options_Exhibits'!O450:O454),"")</f>
        <v/>
      </c>
      <c r="P454" s="3">
        <f>IF(ISNUMBER(AVERAGE('20250815_ETF_Options_Exhibits'!P450:P454)),AVERAGE('20250815_ETF_Options_Exhibits'!P450:P454),"")</f>
        <v/>
      </c>
      <c r="Q454" s="3">
        <f>IF(ISNUMBER(AVERAGE('20250815_ETF_Options_Exhibits'!Q450:Q454)),AVERAGE('20250815_ETF_Options_Exhibits'!Q450:Q454),"")</f>
        <v/>
      </c>
      <c r="R454" s="3">
        <f>IF(ISNUMBER(AVERAGE('20250815_ETF_Options_Exhibits'!R450:R454)),AVERAGE('20250815_ETF_Options_Exhibits'!R450:R454),"")</f>
        <v/>
      </c>
      <c r="S454" s="3">
        <f>IF(ISNUMBER(AVERAGE('20250815_ETF_Options_Exhibits'!S450:S454)),AVERAGE('20250815_ETF_Options_Exhibits'!S450:S454),"")</f>
        <v/>
      </c>
      <c r="T454" s="3">
        <f>IF(ISNUMBER(AVERAGE('20250815_ETF_Options_Exhibits'!T450:T454)),AVERAGE('20250815_ETF_Options_Exhibits'!T450:T454),"")</f>
        <v/>
      </c>
      <c r="U454" s="3">
        <f>IF(ISNUMBER(AVERAGE('20250815_ETF_Options_Exhibits'!U450:U454)),AVERAGE('20250815_ETF_Options_Exhibits'!U450:U454),"")</f>
        <v/>
      </c>
      <c r="V454" s="3">
        <f>IF(ISNUMBER(AVERAGE('20250815_ETF_Options_Exhibits'!V450:V454)),AVERAGE('20250815_ETF_Options_Exhibits'!V450:V454),"")</f>
        <v/>
      </c>
      <c r="W454" s="3">
        <f>IF(ISNUMBER(AVERAGE('20250815_ETF_Options_Exhibits'!W450:W454)),AVERAGE('20250815_ETF_Options_Exhibits'!W450:W454),"")</f>
        <v/>
      </c>
      <c r="X454" s="3">
        <f>IF(ISNUMBER(AVERAGE('20250815_ETF_Options_Exhibits'!X450:X454)),AVERAGE('20250815_ETF_Options_Exhibits'!X450:X454),"")</f>
        <v/>
      </c>
      <c r="Y454" s="3">
        <f>IF(ISNUMBER(AVERAGE('20250815_ETF_Options_Exhibits'!Y450:Y454)),AVERAGE('20250815_ETF_Options_Exhibits'!Y450:Y454),"")</f>
        <v/>
      </c>
      <c r="Z454" s="3">
        <f>IF(ISNUMBER(AVERAGE('20250815_ETF_Options_Exhibits'!Z450:Z454)),AVERAGE('20250815_ETF_Options_Exhibits'!Z450:Z454),"")</f>
        <v/>
      </c>
      <c r="AA454" s="3">
        <f>IF(ISNUMBER(AVERAGE('20250815_ETF_Options_Exhibits'!AA450:AA454)),AVERAGE('20250815_ETF_Options_Exhibits'!AA450:AA454),"")</f>
        <v/>
      </c>
    </row>
    <row r="455">
      <c r="A455" s="1" t="n">
        <v>42661</v>
      </c>
      <c r="B455" s="3">
        <f>IF(ISNUMBER(AVERAGE('20250815_ETF_Options_Exhibits'!B451:B455)),AVERAGE('20250815_ETF_Options_Exhibits'!B451:B455),"")</f>
        <v/>
      </c>
      <c r="C455" s="3">
        <f>IF(ISNUMBER(AVERAGE('20250815_ETF_Options_Exhibits'!C451:C455)),AVERAGE('20250815_ETF_Options_Exhibits'!C451:C455),"")</f>
        <v/>
      </c>
      <c r="D455" s="3">
        <f>IF(ISNUMBER(AVERAGE('20250815_ETF_Options_Exhibits'!D451:D455)),AVERAGE('20250815_ETF_Options_Exhibits'!D451:D455),"")</f>
        <v/>
      </c>
      <c r="E455" s="3">
        <f>IF(ISNUMBER(AVERAGE('20250815_ETF_Options_Exhibits'!E451:E455)),AVERAGE('20250815_ETF_Options_Exhibits'!E451:E455),"")</f>
        <v/>
      </c>
      <c r="F455" s="3">
        <f>IF(ISNUMBER(AVERAGE('20250815_ETF_Options_Exhibits'!F451:F455)),AVERAGE('20250815_ETF_Options_Exhibits'!F451:F455),"")</f>
        <v/>
      </c>
      <c r="G455" s="3">
        <f>IF(ISNUMBER(AVERAGE('20250815_ETF_Options_Exhibits'!G451:G455)),AVERAGE('20250815_ETF_Options_Exhibits'!G451:G455),"")</f>
        <v/>
      </c>
      <c r="H455" s="3">
        <f>IF(ISNUMBER(AVERAGE('20250815_ETF_Options_Exhibits'!H451:H455)),AVERAGE('20250815_ETF_Options_Exhibits'!H451:H455),"")</f>
        <v/>
      </c>
      <c r="I455" s="3">
        <f>IF(ISNUMBER(AVERAGE('20250815_ETF_Options_Exhibits'!I451:I455)),AVERAGE('20250815_ETF_Options_Exhibits'!I451:I455),"")</f>
        <v/>
      </c>
      <c r="J455" s="3">
        <f>IF(ISNUMBER(AVERAGE('20250815_ETF_Options_Exhibits'!J451:J455)),AVERAGE('20250815_ETF_Options_Exhibits'!J451:J455),"")</f>
        <v/>
      </c>
      <c r="K455" s="3">
        <f>IF(ISNUMBER(AVERAGE('20250815_ETF_Options_Exhibits'!K451:K455)),AVERAGE('20250815_ETF_Options_Exhibits'!K451:K455),"")</f>
        <v/>
      </c>
      <c r="L455" s="3">
        <f>IF(ISNUMBER(AVERAGE('20250815_ETF_Options_Exhibits'!L451:L455)),AVERAGE('20250815_ETF_Options_Exhibits'!L451:L455),"")</f>
        <v/>
      </c>
      <c r="M455" s="3">
        <f>IF(ISNUMBER(AVERAGE('20250815_ETF_Options_Exhibits'!M451:M455)),AVERAGE('20250815_ETF_Options_Exhibits'!M451:M455),"")</f>
        <v/>
      </c>
      <c r="N455" s="3">
        <f>IF(ISNUMBER(AVERAGE('20250815_ETF_Options_Exhibits'!N451:N455)),AVERAGE('20250815_ETF_Options_Exhibits'!N451:N455),"")</f>
        <v/>
      </c>
      <c r="O455" s="3">
        <f>IF(ISNUMBER(AVERAGE('20250815_ETF_Options_Exhibits'!O451:O455)),AVERAGE('20250815_ETF_Options_Exhibits'!O451:O455),"")</f>
        <v/>
      </c>
      <c r="P455" s="3">
        <f>IF(ISNUMBER(AVERAGE('20250815_ETF_Options_Exhibits'!P451:P455)),AVERAGE('20250815_ETF_Options_Exhibits'!P451:P455),"")</f>
        <v/>
      </c>
      <c r="Q455" s="3">
        <f>IF(ISNUMBER(AVERAGE('20250815_ETF_Options_Exhibits'!Q451:Q455)),AVERAGE('20250815_ETF_Options_Exhibits'!Q451:Q455),"")</f>
        <v/>
      </c>
      <c r="R455" s="3">
        <f>IF(ISNUMBER(AVERAGE('20250815_ETF_Options_Exhibits'!R451:R455)),AVERAGE('20250815_ETF_Options_Exhibits'!R451:R455),"")</f>
        <v/>
      </c>
      <c r="S455" s="3">
        <f>IF(ISNUMBER(AVERAGE('20250815_ETF_Options_Exhibits'!S451:S455)),AVERAGE('20250815_ETF_Options_Exhibits'!S451:S455),"")</f>
        <v/>
      </c>
      <c r="T455" s="3">
        <f>IF(ISNUMBER(AVERAGE('20250815_ETF_Options_Exhibits'!T451:T455)),AVERAGE('20250815_ETF_Options_Exhibits'!T451:T455),"")</f>
        <v/>
      </c>
      <c r="U455" s="3">
        <f>IF(ISNUMBER(AVERAGE('20250815_ETF_Options_Exhibits'!U451:U455)),AVERAGE('20250815_ETF_Options_Exhibits'!U451:U455),"")</f>
        <v/>
      </c>
      <c r="V455" s="3">
        <f>IF(ISNUMBER(AVERAGE('20250815_ETF_Options_Exhibits'!V451:V455)),AVERAGE('20250815_ETF_Options_Exhibits'!V451:V455),"")</f>
        <v/>
      </c>
      <c r="W455" s="3">
        <f>IF(ISNUMBER(AVERAGE('20250815_ETF_Options_Exhibits'!W451:W455)),AVERAGE('20250815_ETF_Options_Exhibits'!W451:W455),"")</f>
        <v/>
      </c>
      <c r="X455" s="3">
        <f>IF(ISNUMBER(AVERAGE('20250815_ETF_Options_Exhibits'!X451:X455)),AVERAGE('20250815_ETF_Options_Exhibits'!X451:X455),"")</f>
        <v/>
      </c>
      <c r="Y455" s="3">
        <f>IF(ISNUMBER(AVERAGE('20250815_ETF_Options_Exhibits'!Y451:Y455)),AVERAGE('20250815_ETF_Options_Exhibits'!Y451:Y455),"")</f>
        <v/>
      </c>
      <c r="Z455" s="3">
        <f>IF(ISNUMBER(AVERAGE('20250815_ETF_Options_Exhibits'!Z451:Z455)),AVERAGE('20250815_ETF_Options_Exhibits'!Z451:Z455),"")</f>
        <v/>
      </c>
      <c r="AA455" s="3">
        <f>IF(ISNUMBER(AVERAGE('20250815_ETF_Options_Exhibits'!AA451:AA455)),AVERAGE('20250815_ETF_Options_Exhibits'!AA451:AA455),"")</f>
        <v/>
      </c>
    </row>
    <row r="456">
      <c r="A456" s="1" t="n">
        <v>42662</v>
      </c>
      <c r="B456" s="3">
        <f>IF(ISNUMBER(AVERAGE('20250815_ETF_Options_Exhibits'!B452:B456)),AVERAGE('20250815_ETF_Options_Exhibits'!B452:B456),"")</f>
        <v/>
      </c>
      <c r="C456" s="3">
        <f>IF(ISNUMBER(AVERAGE('20250815_ETF_Options_Exhibits'!C452:C456)),AVERAGE('20250815_ETF_Options_Exhibits'!C452:C456),"")</f>
        <v/>
      </c>
      <c r="D456" s="3">
        <f>IF(ISNUMBER(AVERAGE('20250815_ETF_Options_Exhibits'!D452:D456)),AVERAGE('20250815_ETF_Options_Exhibits'!D452:D456),"")</f>
        <v/>
      </c>
      <c r="E456" s="3">
        <f>IF(ISNUMBER(AVERAGE('20250815_ETF_Options_Exhibits'!E452:E456)),AVERAGE('20250815_ETF_Options_Exhibits'!E452:E456),"")</f>
        <v/>
      </c>
      <c r="F456" s="3">
        <f>IF(ISNUMBER(AVERAGE('20250815_ETF_Options_Exhibits'!F452:F456)),AVERAGE('20250815_ETF_Options_Exhibits'!F452:F456),"")</f>
        <v/>
      </c>
      <c r="G456" s="3">
        <f>IF(ISNUMBER(AVERAGE('20250815_ETF_Options_Exhibits'!G452:G456)),AVERAGE('20250815_ETF_Options_Exhibits'!G452:G456),"")</f>
        <v/>
      </c>
      <c r="H456" s="3">
        <f>IF(ISNUMBER(AVERAGE('20250815_ETF_Options_Exhibits'!H452:H456)),AVERAGE('20250815_ETF_Options_Exhibits'!H452:H456),"")</f>
        <v/>
      </c>
      <c r="I456" s="3">
        <f>IF(ISNUMBER(AVERAGE('20250815_ETF_Options_Exhibits'!I452:I456)),AVERAGE('20250815_ETF_Options_Exhibits'!I452:I456),"")</f>
        <v/>
      </c>
      <c r="J456" s="3">
        <f>IF(ISNUMBER(AVERAGE('20250815_ETF_Options_Exhibits'!J452:J456)),AVERAGE('20250815_ETF_Options_Exhibits'!J452:J456),"")</f>
        <v/>
      </c>
      <c r="K456" s="3">
        <f>IF(ISNUMBER(AVERAGE('20250815_ETF_Options_Exhibits'!K452:K456)),AVERAGE('20250815_ETF_Options_Exhibits'!K452:K456),"")</f>
        <v/>
      </c>
      <c r="L456" s="3">
        <f>IF(ISNUMBER(AVERAGE('20250815_ETF_Options_Exhibits'!L452:L456)),AVERAGE('20250815_ETF_Options_Exhibits'!L452:L456),"")</f>
        <v/>
      </c>
      <c r="M456" s="3">
        <f>IF(ISNUMBER(AVERAGE('20250815_ETF_Options_Exhibits'!M452:M456)),AVERAGE('20250815_ETF_Options_Exhibits'!M452:M456),"")</f>
        <v/>
      </c>
      <c r="N456" s="3">
        <f>IF(ISNUMBER(AVERAGE('20250815_ETF_Options_Exhibits'!N452:N456)),AVERAGE('20250815_ETF_Options_Exhibits'!N452:N456),"")</f>
        <v/>
      </c>
      <c r="O456" s="3">
        <f>IF(ISNUMBER(AVERAGE('20250815_ETF_Options_Exhibits'!O452:O456)),AVERAGE('20250815_ETF_Options_Exhibits'!O452:O456),"")</f>
        <v/>
      </c>
      <c r="P456" s="3">
        <f>IF(ISNUMBER(AVERAGE('20250815_ETF_Options_Exhibits'!P452:P456)),AVERAGE('20250815_ETF_Options_Exhibits'!P452:P456),"")</f>
        <v/>
      </c>
      <c r="Q456" s="3">
        <f>IF(ISNUMBER(AVERAGE('20250815_ETF_Options_Exhibits'!Q452:Q456)),AVERAGE('20250815_ETF_Options_Exhibits'!Q452:Q456),"")</f>
        <v/>
      </c>
      <c r="R456" s="3">
        <f>IF(ISNUMBER(AVERAGE('20250815_ETF_Options_Exhibits'!R452:R456)),AVERAGE('20250815_ETF_Options_Exhibits'!R452:R456),"")</f>
        <v/>
      </c>
      <c r="S456" s="3">
        <f>IF(ISNUMBER(AVERAGE('20250815_ETF_Options_Exhibits'!S452:S456)),AVERAGE('20250815_ETF_Options_Exhibits'!S452:S456),"")</f>
        <v/>
      </c>
      <c r="T456" s="3">
        <f>IF(ISNUMBER(AVERAGE('20250815_ETF_Options_Exhibits'!T452:T456)),AVERAGE('20250815_ETF_Options_Exhibits'!T452:T456),"")</f>
        <v/>
      </c>
      <c r="U456" s="3">
        <f>IF(ISNUMBER(AVERAGE('20250815_ETF_Options_Exhibits'!U452:U456)),AVERAGE('20250815_ETF_Options_Exhibits'!U452:U456),"")</f>
        <v/>
      </c>
      <c r="V456" s="3">
        <f>IF(ISNUMBER(AVERAGE('20250815_ETF_Options_Exhibits'!V452:V456)),AVERAGE('20250815_ETF_Options_Exhibits'!V452:V456),"")</f>
        <v/>
      </c>
      <c r="W456" s="3">
        <f>IF(ISNUMBER(AVERAGE('20250815_ETF_Options_Exhibits'!W452:W456)),AVERAGE('20250815_ETF_Options_Exhibits'!W452:W456),"")</f>
        <v/>
      </c>
      <c r="X456" s="3">
        <f>IF(ISNUMBER(AVERAGE('20250815_ETF_Options_Exhibits'!X452:X456)),AVERAGE('20250815_ETF_Options_Exhibits'!X452:X456),"")</f>
        <v/>
      </c>
      <c r="Y456" s="3">
        <f>IF(ISNUMBER(AVERAGE('20250815_ETF_Options_Exhibits'!Y452:Y456)),AVERAGE('20250815_ETF_Options_Exhibits'!Y452:Y456),"")</f>
        <v/>
      </c>
      <c r="Z456" s="3">
        <f>IF(ISNUMBER(AVERAGE('20250815_ETF_Options_Exhibits'!Z452:Z456)),AVERAGE('20250815_ETF_Options_Exhibits'!Z452:Z456),"")</f>
        <v/>
      </c>
      <c r="AA456" s="3">
        <f>IF(ISNUMBER(AVERAGE('20250815_ETF_Options_Exhibits'!AA452:AA456)),AVERAGE('20250815_ETF_Options_Exhibits'!AA452:AA456),"")</f>
        <v/>
      </c>
    </row>
    <row r="457">
      <c r="A457" s="1" t="n">
        <v>42663</v>
      </c>
      <c r="B457" s="3">
        <f>IF(ISNUMBER(AVERAGE('20250815_ETF_Options_Exhibits'!B453:B457)),AVERAGE('20250815_ETF_Options_Exhibits'!B453:B457),"")</f>
        <v/>
      </c>
      <c r="C457" s="3">
        <f>IF(ISNUMBER(AVERAGE('20250815_ETF_Options_Exhibits'!C453:C457)),AVERAGE('20250815_ETF_Options_Exhibits'!C453:C457),"")</f>
        <v/>
      </c>
      <c r="D457" s="3">
        <f>IF(ISNUMBER(AVERAGE('20250815_ETF_Options_Exhibits'!D453:D457)),AVERAGE('20250815_ETF_Options_Exhibits'!D453:D457),"")</f>
        <v/>
      </c>
      <c r="E457" s="3">
        <f>IF(ISNUMBER(AVERAGE('20250815_ETF_Options_Exhibits'!E453:E457)),AVERAGE('20250815_ETF_Options_Exhibits'!E453:E457),"")</f>
        <v/>
      </c>
      <c r="F457" s="3">
        <f>IF(ISNUMBER(AVERAGE('20250815_ETF_Options_Exhibits'!F453:F457)),AVERAGE('20250815_ETF_Options_Exhibits'!F453:F457),"")</f>
        <v/>
      </c>
      <c r="G457" s="3">
        <f>IF(ISNUMBER(AVERAGE('20250815_ETF_Options_Exhibits'!G453:G457)),AVERAGE('20250815_ETF_Options_Exhibits'!G453:G457),"")</f>
        <v/>
      </c>
      <c r="H457" s="3">
        <f>IF(ISNUMBER(AVERAGE('20250815_ETF_Options_Exhibits'!H453:H457)),AVERAGE('20250815_ETF_Options_Exhibits'!H453:H457),"")</f>
        <v/>
      </c>
      <c r="I457" s="3">
        <f>IF(ISNUMBER(AVERAGE('20250815_ETF_Options_Exhibits'!I453:I457)),AVERAGE('20250815_ETF_Options_Exhibits'!I453:I457),"")</f>
        <v/>
      </c>
      <c r="J457" s="3">
        <f>IF(ISNUMBER(AVERAGE('20250815_ETF_Options_Exhibits'!J453:J457)),AVERAGE('20250815_ETF_Options_Exhibits'!J453:J457),"")</f>
        <v/>
      </c>
      <c r="K457" s="3">
        <f>IF(ISNUMBER(AVERAGE('20250815_ETF_Options_Exhibits'!K453:K457)),AVERAGE('20250815_ETF_Options_Exhibits'!K453:K457),"")</f>
        <v/>
      </c>
      <c r="L457" s="3">
        <f>IF(ISNUMBER(AVERAGE('20250815_ETF_Options_Exhibits'!L453:L457)),AVERAGE('20250815_ETF_Options_Exhibits'!L453:L457),"")</f>
        <v/>
      </c>
      <c r="M457" s="3">
        <f>IF(ISNUMBER(AVERAGE('20250815_ETF_Options_Exhibits'!M453:M457)),AVERAGE('20250815_ETF_Options_Exhibits'!M453:M457),"")</f>
        <v/>
      </c>
      <c r="N457" s="3">
        <f>IF(ISNUMBER(AVERAGE('20250815_ETF_Options_Exhibits'!N453:N457)),AVERAGE('20250815_ETF_Options_Exhibits'!N453:N457),"")</f>
        <v/>
      </c>
      <c r="O457" s="3">
        <f>IF(ISNUMBER(AVERAGE('20250815_ETF_Options_Exhibits'!O453:O457)),AVERAGE('20250815_ETF_Options_Exhibits'!O453:O457),"")</f>
        <v/>
      </c>
      <c r="P457" s="3">
        <f>IF(ISNUMBER(AVERAGE('20250815_ETF_Options_Exhibits'!P453:P457)),AVERAGE('20250815_ETF_Options_Exhibits'!P453:P457),"")</f>
        <v/>
      </c>
      <c r="Q457" s="3">
        <f>IF(ISNUMBER(AVERAGE('20250815_ETF_Options_Exhibits'!Q453:Q457)),AVERAGE('20250815_ETF_Options_Exhibits'!Q453:Q457),"")</f>
        <v/>
      </c>
      <c r="R457" s="3">
        <f>IF(ISNUMBER(AVERAGE('20250815_ETF_Options_Exhibits'!R453:R457)),AVERAGE('20250815_ETF_Options_Exhibits'!R453:R457),"")</f>
        <v/>
      </c>
      <c r="S457" s="3">
        <f>IF(ISNUMBER(AVERAGE('20250815_ETF_Options_Exhibits'!S453:S457)),AVERAGE('20250815_ETF_Options_Exhibits'!S453:S457),"")</f>
        <v/>
      </c>
      <c r="T457" s="3">
        <f>IF(ISNUMBER(AVERAGE('20250815_ETF_Options_Exhibits'!T453:T457)),AVERAGE('20250815_ETF_Options_Exhibits'!T453:T457),"")</f>
        <v/>
      </c>
      <c r="U457" s="3">
        <f>IF(ISNUMBER(AVERAGE('20250815_ETF_Options_Exhibits'!U453:U457)),AVERAGE('20250815_ETF_Options_Exhibits'!U453:U457),"")</f>
        <v/>
      </c>
      <c r="V457" s="3">
        <f>IF(ISNUMBER(AVERAGE('20250815_ETF_Options_Exhibits'!V453:V457)),AVERAGE('20250815_ETF_Options_Exhibits'!V453:V457),"")</f>
        <v/>
      </c>
      <c r="W457" s="3">
        <f>IF(ISNUMBER(AVERAGE('20250815_ETF_Options_Exhibits'!W453:W457)),AVERAGE('20250815_ETF_Options_Exhibits'!W453:W457),"")</f>
        <v/>
      </c>
      <c r="X457" s="3">
        <f>IF(ISNUMBER(AVERAGE('20250815_ETF_Options_Exhibits'!X453:X457)),AVERAGE('20250815_ETF_Options_Exhibits'!X453:X457),"")</f>
        <v/>
      </c>
      <c r="Y457" s="3">
        <f>IF(ISNUMBER(AVERAGE('20250815_ETF_Options_Exhibits'!Y453:Y457)),AVERAGE('20250815_ETF_Options_Exhibits'!Y453:Y457),"")</f>
        <v/>
      </c>
      <c r="Z457" s="3">
        <f>IF(ISNUMBER(AVERAGE('20250815_ETF_Options_Exhibits'!Z453:Z457)),AVERAGE('20250815_ETF_Options_Exhibits'!Z453:Z457),"")</f>
        <v/>
      </c>
      <c r="AA457" s="3">
        <f>IF(ISNUMBER(AVERAGE('20250815_ETF_Options_Exhibits'!AA453:AA457)),AVERAGE('20250815_ETF_Options_Exhibits'!AA453:AA457),"")</f>
        <v/>
      </c>
    </row>
    <row r="458">
      <c r="A458" s="1" t="n">
        <v>42664</v>
      </c>
      <c r="B458" s="3">
        <f>IF(ISNUMBER(AVERAGE('20250815_ETF_Options_Exhibits'!B454:B458)),AVERAGE('20250815_ETF_Options_Exhibits'!B454:B458),"")</f>
        <v/>
      </c>
      <c r="C458" s="3">
        <f>IF(ISNUMBER(AVERAGE('20250815_ETF_Options_Exhibits'!C454:C458)),AVERAGE('20250815_ETF_Options_Exhibits'!C454:C458),"")</f>
        <v/>
      </c>
      <c r="D458" s="3">
        <f>IF(ISNUMBER(AVERAGE('20250815_ETF_Options_Exhibits'!D454:D458)),AVERAGE('20250815_ETF_Options_Exhibits'!D454:D458),"")</f>
        <v/>
      </c>
      <c r="E458" s="3">
        <f>IF(ISNUMBER(AVERAGE('20250815_ETF_Options_Exhibits'!E454:E458)),AVERAGE('20250815_ETF_Options_Exhibits'!E454:E458),"")</f>
        <v/>
      </c>
      <c r="F458" s="3">
        <f>IF(ISNUMBER(AVERAGE('20250815_ETF_Options_Exhibits'!F454:F458)),AVERAGE('20250815_ETF_Options_Exhibits'!F454:F458),"")</f>
        <v/>
      </c>
      <c r="G458" s="3">
        <f>IF(ISNUMBER(AVERAGE('20250815_ETF_Options_Exhibits'!G454:G458)),AVERAGE('20250815_ETF_Options_Exhibits'!G454:G458),"")</f>
        <v/>
      </c>
      <c r="H458" s="3">
        <f>IF(ISNUMBER(AVERAGE('20250815_ETF_Options_Exhibits'!H454:H458)),AVERAGE('20250815_ETF_Options_Exhibits'!H454:H458),"")</f>
        <v/>
      </c>
      <c r="I458" s="3">
        <f>IF(ISNUMBER(AVERAGE('20250815_ETF_Options_Exhibits'!I454:I458)),AVERAGE('20250815_ETF_Options_Exhibits'!I454:I458),"")</f>
        <v/>
      </c>
      <c r="J458" s="3">
        <f>IF(ISNUMBER(AVERAGE('20250815_ETF_Options_Exhibits'!J454:J458)),AVERAGE('20250815_ETF_Options_Exhibits'!J454:J458),"")</f>
        <v/>
      </c>
      <c r="K458" s="3">
        <f>IF(ISNUMBER(AVERAGE('20250815_ETF_Options_Exhibits'!K454:K458)),AVERAGE('20250815_ETF_Options_Exhibits'!K454:K458),"")</f>
        <v/>
      </c>
      <c r="L458" s="3">
        <f>IF(ISNUMBER(AVERAGE('20250815_ETF_Options_Exhibits'!L454:L458)),AVERAGE('20250815_ETF_Options_Exhibits'!L454:L458),"")</f>
        <v/>
      </c>
      <c r="M458" s="3">
        <f>IF(ISNUMBER(AVERAGE('20250815_ETF_Options_Exhibits'!M454:M458)),AVERAGE('20250815_ETF_Options_Exhibits'!M454:M458),"")</f>
        <v/>
      </c>
      <c r="N458" s="3">
        <f>IF(ISNUMBER(AVERAGE('20250815_ETF_Options_Exhibits'!N454:N458)),AVERAGE('20250815_ETF_Options_Exhibits'!N454:N458),"")</f>
        <v/>
      </c>
      <c r="O458" s="3">
        <f>IF(ISNUMBER(AVERAGE('20250815_ETF_Options_Exhibits'!O454:O458)),AVERAGE('20250815_ETF_Options_Exhibits'!O454:O458),"")</f>
        <v/>
      </c>
      <c r="P458" s="3">
        <f>IF(ISNUMBER(AVERAGE('20250815_ETF_Options_Exhibits'!P454:P458)),AVERAGE('20250815_ETF_Options_Exhibits'!P454:P458),"")</f>
        <v/>
      </c>
      <c r="Q458" s="3">
        <f>IF(ISNUMBER(AVERAGE('20250815_ETF_Options_Exhibits'!Q454:Q458)),AVERAGE('20250815_ETF_Options_Exhibits'!Q454:Q458),"")</f>
        <v/>
      </c>
      <c r="R458" s="3">
        <f>IF(ISNUMBER(AVERAGE('20250815_ETF_Options_Exhibits'!R454:R458)),AVERAGE('20250815_ETF_Options_Exhibits'!R454:R458),"")</f>
        <v/>
      </c>
      <c r="S458" s="3">
        <f>IF(ISNUMBER(AVERAGE('20250815_ETF_Options_Exhibits'!S454:S458)),AVERAGE('20250815_ETF_Options_Exhibits'!S454:S458),"")</f>
        <v/>
      </c>
      <c r="T458" s="3">
        <f>IF(ISNUMBER(AVERAGE('20250815_ETF_Options_Exhibits'!T454:T458)),AVERAGE('20250815_ETF_Options_Exhibits'!T454:T458),"")</f>
        <v/>
      </c>
      <c r="U458" s="3">
        <f>IF(ISNUMBER(AVERAGE('20250815_ETF_Options_Exhibits'!U454:U458)),AVERAGE('20250815_ETF_Options_Exhibits'!U454:U458),"")</f>
        <v/>
      </c>
      <c r="V458" s="3">
        <f>IF(ISNUMBER(AVERAGE('20250815_ETF_Options_Exhibits'!V454:V458)),AVERAGE('20250815_ETF_Options_Exhibits'!V454:V458),"")</f>
        <v/>
      </c>
      <c r="W458" s="3">
        <f>IF(ISNUMBER(AVERAGE('20250815_ETF_Options_Exhibits'!W454:W458)),AVERAGE('20250815_ETF_Options_Exhibits'!W454:W458),"")</f>
        <v/>
      </c>
      <c r="X458" s="3">
        <f>IF(ISNUMBER(AVERAGE('20250815_ETF_Options_Exhibits'!X454:X458)),AVERAGE('20250815_ETF_Options_Exhibits'!X454:X458),"")</f>
        <v/>
      </c>
      <c r="Y458" s="3">
        <f>IF(ISNUMBER(AVERAGE('20250815_ETF_Options_Exhibits'!Y454:Y458)),AVERAGE('20250815_ETF_Options_Exhibits'!Y454:Y458),"")</f>
        <v/>
      </c>
      <c r="Z458" s="3">
        <f>IF(ISNUMBER(AVERAGE('20250815_ETF_Options_Exhibits'!Z454:Z458)),AVERAGE('20250815_ETF_Options_Exhibits'!Z454:Z458),"")</f>
        <v/>
      </c>
      <c r="AA458" s="3">
        <f>IF(ISNUMBER(AVERAGE('20250815_ETF_Options_Exhibits'!AA454:AA458)),AVERAGE('20250815_ETF_Options_Exhibits'!AA454:AA458),"")</f>
        <v/>
      </c>
    </row>
    <row r="459">
      <c r="A459" s="1" t="n">
        <v>42667</v>
      </c>
      <c r="B459" s="3">
        <f>IF(ISNUMBER(AVERAGE('20250815_ETF_Options_Exhibits'!B455:B459)),AVERAGE('20250815_ETF_Options_Exhibits'!B455:B459),"")</f>
        <v/>
      </c>
      <c r="C459" s="3">
        <f>IF(ISNUMBER(AVERAGE('20250815_ETF_Options_Exhibits'!C455:C459)),AVERAGE('20250815_ETF_Options_Exhibits'!C455:C459),"")</f>
        <v/>
      </c>
      <c r="D459" s="3">
        <f>IF(ISNUMBER(AVERAGE('20250815_ETF_Options_Exhibits'!D455:D459)),AVERAGE('20250815_ETF_Options_Exhibits'!D455:D459),"")</f>
        <v/>
      </c>
      <c r="E459" s="3">
        <f>IF(ISNUMBER(AVERAGE('20250815_ETF_Options_Exhibits'!E455:E459)),AVERAGE('20250815_ETF_Options_Exhibits'!E455:E459),"")</f>
        <v/>
      </c>
      <c r="F459" s="3">
        <f>IF(ISNUMBER(AVERAGE('20250815_ETF_Options_Exhibits'!F455:F459)),AVERAGE('20250815_ETF_Options_Exhibits'!F455:F459),"")</f>
        <v/>
      </c>
      <c r="G459" s="3">
        <f>IF(ISNUMBER(AVERAGE('20250815_ETF_Options_Exhibits'!G455:G459)),AVERAGE('20250815_ETF_Options_Exhibits'!G455:G459),"")</f>
        <v/>
      </c>
      <c r="H459" s="3">
        <f>IF(ISNUMBER(AVERAGE('20250815_ETF_Options_Exhibits'!H455:H459)),AVERAGE('20250815_ETF_Options_Exhibits'!H455:H459),"")</f>
        <v/>
      </c>
      <c r="I459" s="3">
        <f>IF(ISNUMBER(AVERAGE('20250815_ETF_Options_Exhibits'!I455:I459)),AVERAGE('20250815_ETF_Options_Exhibits'!I455:I459),"")</f>
        <v/>
      </c>
      <c r="J459" s="3">
        <f>IF(ISNUMBER(AVERAGE('20250815_ETF_Options_Exhibits'!J455:J459)),AVERAGE('20250815_ETF_Options_Exhibits'!J455:J459),"")</f>
        <v/>
      </c>
      <c r="K459" s="3">
        <f>IF(ISNUMBER(AVERAGE('20250815_ETF_Options_Exhibits'!K455:K459)),AVERAGE('20250815_ETF_Options_Exhibits'!K455:K459),"")</f>
        <v/>
      </c>
      <c r="L459" s="3">
        <f>IF(ISNUMBER(AVERAGE('20250815_ETF_Options_Exhibits'!L455:L459)),AVERAGE('20250815_ETF_Options_Exhibits'!L455:L459),"")</f>
        <v/>
      </c>
      <c r="M459" s="3">
        <f>IF(ISNUMBER(AVERAGE('20250815_ETF_Options_Exhibits'!M455:M459)),AVERAGE('20250815_ETF_Options_Exhibits'!M455:M459),"")</f>
        <v/>
      </c>
      <c r="N459" s="3">
        <f>IF(ISNUMBER(AVERAGE('20250815_ETF_Options_Exhibits'!N455:N459)),AVERAGE('20250815_ETF_Options_Exhibits'!N455:N459),"")</f>
        <v/>
      </c>
      <c r="O459" s="3">
        <f>IF(ISNUMBER(AVERAGE('20250815_ETF_Options_Exhibits'!O455:O459)),AVERAGE('20250815_ETF_Options_Exhibits'!O455:O459),"")</f>
        <v/>
      </c>
      <c r="P459" s="3">
        <f>IF(ISNUMBER(AVERAGE('20250815_ETF_Options_Exhibits'!P455:P459)),AVERAGE('20250815_ETF_Options_Exhibits'!P455:P459),"")</f>
        <v/>
      </c>
      <c r="Q459" s="3">
        <f>IF(ISNUMBER(AVERAGE('20250815_ETF_Options_Exhibits'!Q455:Q459)),AVERAGE('20250815_ETF_Options_Exhibits'!Q455:Q459),"")</f>
        <v/>
      </c>
      <c r="R459" s="3">
        <f>IF(ISNUMBER(AVERAGE('20250815_ETF_Options_Exhibits'!R455:R459)),AVERAGE('20250815_ETF_Options_Exhibits'!R455:R459),"")</f>
        <v/>
      </c>
      <c r="S459" s="3">
        <f>IF(ISNUMBER(AVERAGE('20250815_ETF_Options_Exhibits'!S455:S459)),AVERAGE('20250815_ETF_Options_Exhibits'!S455:S459),"")</f>
        <v/>
      </c>
      <c r="T459" s="3">
        <f>IF(ISNUMBER(AVERAGE('20250815_ETF_Options_Exhibits'!T455:T459)),AVERAGE('20250815_ETF_Options_Exhibits'!T455:T459),"")</f>
        <v/>
      </c>
      <c r="U459" s="3">
        <f>IF(ISNUMBER(AVERAGE('20250815_ETF_Options_Exhibits'!U455:U459)),AVERAGE('20250815_ETF_Options_Exhibits'!U455:U459),"")</f>
        <v/>
      </c>
      <c r="V459" s="3">
        <f>IF(ISNUMBER(AVERAGE('20250815_ETF_Options_Exhibits'!V455:V459)),AVERAGE('20250815_ETF_Options_Exhibits'!V455:V459),"")</f>
        <v/>
      </c>
      <c r="W459" s="3">
        <f>IF(ISNUMBER(AVERAGE('20250815_ETF_Options_Exhibits'!W455:W459)),AVERAGE('20250815_ETF_Options_Exhibits'!W455:W459),"")</f>
        <v/>
      </c>
      <c r="X459" s="3">
        <f>IF(ISNUMBER(AVERAGE('20250815_ETF_Options_Exhibits'!X455:X459)),AVERAGE('20250815_ETF_Options_Exhibits'!X455:X459),"")</f>
        <v/>
      </c>
      <c r="Y459" s="3">
        <f>IF(ISNUMBER(AVERAGE('20250815_ETF_Options_Exhibits'!Y455:Y459)),AVERAGE('20250815_ETF_Options_Exhibits'!Y455:Y459),"")</f>
        <v/>
      </c>
      <c r="Z459" s="3">
        <f>IF(ISNUMBER(AVERAGE('20250815_ETF_Options_Exhibits'!Z455:Z459)),AVERAGE('20250815_ETF_Options_Exhibits'!Z455:Z459),"")</f>
        <v/>
      </c>
      <c r="AA459" s="3">
        <f>IF(ISNUMBER(AVERAGE('20250815_ETF_Options_Exhibits'!AA455:AA459)),AVERAGE('20250815_ETF_Options_Exhibits'!AA455:AA459),"")</f>
        <v/>
      </c>
    </row>
    <row r="460">
      <c r="A460" s="1" t="n">
        <v>42668</v>
      </c>
      <c r="B460" s="3">
        <f>IF(ISNUMBER(AVERAGE('20250815_ETF_Options_Exhibits'!B456:B460)),AVERAGE('20250815_ETF_Options_Exhibits'!B456:B460),"")</f>
        <v/>
      </c>
      <c r="C460" s="3">
        <f>IF(ISNUMBER(AVERAGE('20250815_ETF_Options_Exhibits'!C456:C460)),AVERAGE('20250815_ETF_Options_Exhibits'!C456:C460),"")</f>
        <v/>
      </c>
      <c r="D460" s="3">
        <f>IF(ISNUMBER(AVERAGE('20250815_ETF_Options_Exhibits'!D456:D460)),AVERAGE('20250815_ETF_Options_Exhibits'!D456:D460),"")</f>
        <v/>
      </c>
      <c r="E460" s="3">
        <f>IF(ISNUMBER(AVERAGE('20250815_ETF_Options_Exhibits'!E456:E460)),AVERAGE('20250815_ETF_Options_Exhibits'!E456:E460),"")</f>
        <v/>
      </c>
      <c r="F460" s="3">
        <f>IF(ISNUMBER(AVERAGE('20250815_ETF_Options_Exhibits'!F456:F460)),AVERAGE('20250815_ETF_Options_Exhibits'!F456:F460),"")</f>
        <v/>
      </c>
      <c r="G460" s="3">
        <f>IF(ISNUMBER(AVERAGE('20250815_ETF_Options_Exhibits'!G456:G460)),AVERAGE('20250815_ETF_Options_Exhibits'!G456:G460),"")</f>
        <v/>
      </c>
      <c r="H460" s="3">
        <f>IF(ISNUMBER(AVERAGE('20250815_ETF_Options_Exhibits'!H456:H460)),AVERAGE('20250815_ETF_Options_Exhibits'!H456:H460),"")</f>
        <v/>
      </c>
      <c r="I460" s="3">
        <f>IF(ISNUMBER(AVERAGE('20250815_ETF_Options_Exhibits'!I456:I460)),AVERAGE('20250815_ETF_Options_Exhibits'!I456:I460),"")</f>
        <v/>
      </c>
      <c r="J460" s="3">
        <f>IF(ISNUMBER(AVERAGE('20250815_ETF_Options_Exhibits'!J456:J460)),AVERAGE('20250815_ETF_Options_Exhibits'!J456:J460),"")</f>
        <v/>
      </c>
      <c r="K460" s="3">
        <f>IF(ISNUMBER(AVERAGE('20250815_ETF_Options_Exhibits'!K456:K460)),AVERAGE('20250815_ETF_Options_Exhibits'!K456:K460),"")</f>
        <v/>
      </c>
      <c r="L460" s="3">
        <f>IF(ISNUMBER(AVERAGE('20250815_ETF_Options_Exhibits'!L456:L460)),AVERAGE('20250815_ETF_Options_Exhibits'!L456:L460),"")</f>
        <v/>
      </c>
      <c r="M460" s="3">
        <f>IF(ISNUMBER(AVERAGE('20250815_ETF_Options_Exhibits'!M456:M460)),AVERAGE('20250815_ETF_Options_Exhibits'!M456:M460),"")</f>
        <v/>
      </c>
      <c r="N460" s="3">
        <f>IF(ISNUMBER(AVERAGE('20250815_ETF_Options_Exhibits'!N456:N460)),AVERAGE('20250815_ETF_Options_Exhibits'!N456:N460),"")</f>
        <v/>
      </c>
      <c r="O460" s="3">
        <f>IF(ISNUMBER(AVERAGE('20250815_ETF_Options_Exhibits'!O456:O460)),AVERAGE('20250815_ETF_Options_Exhibits'!O456:O460),"")</f>
        <v/>
      </c>
      <c r="P460" s="3">
        <f>IF(ISNUMBER(AVERAGE('20250815_ETF_Options_Exhibits'!P456:P460)),AVERAGE('20250815_ETF_Options_Exhibits'!P456:P460),"")</f>
        <v/>
      </c>
      <c r="Q460" s="3">
        <f>IF(ISNUMBER(AVERAGE('20250815_ETF_Options_Exhibits'!Q456:Q460)),AVERAGE('20250815_ETF_Options_Exhibits'!Q456:Q460),"")</f>
        <v/>
      </c>
      <c r="R460" s="3">
        <f>IF(ISNUMBER(AVERAGE('20250815_ETF_Options_Exhibits'!R456:R460)),AVERAGE('20250815_ETF_Options_Exhibits'!R456:R460),"")</f>
        <v/>
      </c>
      <c r="S460" s="3">
        <f>IF(ISNUMBER(AVERAGE('20250815_ETF_Options_Exhibits'!S456:S460)),AVERAGE('20250815_ETF_Options_Exhibits'!S456:S460),"")</f>
        <v/>
      </c>
      <c r="T460" s="3">
        <f>IF(ISNUMBER(AVERAGE('20250815_ETF_Options_Exhibits'!T456:T460)),AVERAGE('20250815_ETF_Options_Exhibits'!T456:T460),"")</f>
        <v/>
      </c>
      <c r="U460" s="3">
        <f>IF(ISNUMBER(AVERAGE('20250815_ETF_Options_Exhibits'!U456:U460)),AVERAGE('20250815_ETF_Options_Exhibits'!U456:U460),"")</f>
        <v/>
      </c>
      <c r="V460" s="3">
        <f>IF(ISNUMBER(AVERAGE('20250815_ETF_Options_Exhibits'!V456:V460)),AVERAGE('20250815_ETF_Options_Exhibits'!V456:V460),"")</f>
        <v/>
      </c>
      <c r="W460" s="3">
        <f>IF(ISNUMBER(AVERAGE('20250815_ETF_Options_Exhibits'!W456:W460)),AVERAGE('20250815_ETF_Options_Exhibits'!W456:W460),"")</f>
        <v/>
      </c>
      <c r="X460" s="3">
        <f>IF(ISNUMBER(AVERAGE('20250815_ETF_Options_Exhibits'!X456:X460)),AVERAGE('20250815_ETF_Options_Exhibits'!X456:X460),"")</f>
        <v/>
      </c>
      <c r="Y460" s="3">
        <f>IF(ISNUMBER(AVERAGE('20250815_ETF_Options_Exhibits'!Y456:Y460)),AVERAGE('20250815_ETF_Options_Exhibits'!Y456:Y460),"")</f>
        <v/>
      </c>
      <c r="Z460" s="3">
        <f>IF(ISNUMBER(AVERAGE('20250815_ETF_Options_Exhibits'!Z456:Z460)),AVERAGE('20250815_ETF_Options_Exhibits'!Z456:Z460),"")</f>
        <v/>
      </c>
      <c r="AA460" s="3">
        <f>IF(ISNUMBER(AVERAGE('20250815_ETF_Options_Exhibits'!AA456:AA460)),AVERAGE('20250815_ETF_Options_Exhibits'!AA456:AA460),"")</f>
        <v/>
      </c>
    </row>
    <row r="461">
      <c r="A461" s="1" t="n">
        <v>42669</v>
      </c>
      <c r="B461" s="3">
        <f>IF(ISNUMBER(AVERAGE('20250815_ETF_Options_Exhibits'!B457:B461)),AVERAGE('20250815_ETF_Options_Exhibits'!B457:B461),"")</f>
        <v/>
      </c>
      <c r="C461" s="3">
        <f>IF(ISNUMBER(AVERAGE('20250815_ETF_Options_Exhibits'!C457:C461)),AVERAGE('20250815_ETF_Options_Exhibits'!C457:C461),"")</f>
        <v/>
      </c>
      <c r="D461" s="3">
        <f>IF(ISNUMBER(AVERAGE('20250815_ETF_Options_Exhibits'!D457:D461)),AVERAGE('20250815_ETF_Options_Exhibits'!D457:D461),"")</f>
        <v/>
      </c>
      <c r="E461" s="3">
        <f>IF(ISNUMBER(AVERAGE('20250815_ETF_Options_Exhibits'!E457:E461)),AVERAGE('20250815_ETF_Options_Exhibits'!E457:E461),"")</f>
        <v/>
      </c>
      <c r="F461" s="3">
        <f>IF(ISNUMBER(AVERAGE('20250815_ETF_Options_Exhibits'!F457:F461)),AVERAGE('20250815_ETF_Options_Exhibits'!F457:F461),"")</f>
        <v/>
      </c>
      <c r="G461" s="3">
        <f>IF(ISNUMBER(AVERAGE('20250815_ETF_Options_Exhibits'!G457:G461)),AVERAGE('20250815_ETF_Options_Exhibits'!G457:G461),"")</f>
        <v/>
      </c>
      <c r="H461" s="3">
        <f>IF(ISNUMBER(AVERAGE('20250815_ETF_Options_Exhibits'!H457:H461)),AVERAGE('20250815_ETF_Options_Exhibits'!H457:H461),"")</f>
        <v/>
      </c>
      <c r="I461" s="3">
        <f>IF(ISNUMBER(AVERAGE('20250815_ETF_Options_Exhibits'!I457:I461)),AVERAGE('20250815_ETF_Options_Exhibits'!I457:I461),"")</f>
        <v/>
      </c>
      <c r="J461" s="3">
        <f>IF(ISNUMBER(AVERAGE('20250815_ETF_Options_Exhibits'!J457:J461)),AVERAGE('20250815_ETF_Options_Exhibits'!J457:J461),"")</f>
        <v/>
      </c>
      <c r="K461" s="3">
        <f>IF(ISNUMBER(AVERAGE('20250815_ETF_Options_Exhibits'!K457:K461)),AVERAGE('20250815_ETF_Options_Exhibits'!K457:K461),"")</f>
        <v/>
      </c>
      <c r="L461" s="3">
        <f>IF(ISNUMBER(AVERAGE('20250815_ETF_Options_Exhibits'!L457:L461)),AVERAGE('20250815_ETF_Options_Exhibits'!L457:L461),"")</f>
        <v/>
      </c>
      <c r="M461" s="3">
        <f>IF(ISNUMBER(AVERAGE('20250815_ETF_Options_Exhibits'!M457:M461)),AVERAGE('20250815_ETF_Options_Exhibits'!M457:M461),"")</f>
        <v/>
      </c>
      <c r="N461" s="3">
        <f>IF(ISNUMBER(AVERAGE('20250815_ETF_Options_Exhibits'!N457:N461)),AVERAGE('20250815_ETF_Options_Exhibits'!N457:N461),"")</f>
        <v/>
      </c>
      <c r="O461" s="3">
        <f>IF(ISNUMBER(AVERAGE('20250815_ETF_Options_Exhibits'!O457:O461)),AVERAGE('20250815_ETF_Options_Exhibits'!O457:O461),"")</f>
        <v/>
      </c>
      <c r="P461" s="3">
        <f>IF(ISNUMBER(AVERAGE('20250815_ETF_Options_Exhibits'!P457:P461)),AVERAGE('20250815_ETF_Options_Exhibits'!P457:P461),"")</f>
        <v/>
      </c>
      <c r="Q461" s="3">
        <f>IF(ISNUMBER(AVERAGE('20250815_ETF_Options_Exhibits'!Q457:Q461)),AVERAGE('20250815_ETF_Options_Exhibits'!Q457:Q461),"")</f>
        <v/>
      </c>
      <c r="R461" s="3">
        <f>IF(ISNUMBER(AVERAGE('20250815_ETF_Options_Exhibits'!R457:R461)),AVERAGE('20250815_ETF_Options_Exhibits'!R457:R461),"")</f>
        <v/>
      </c>
      <c r="S461" s="3">
        <f>IF(ISNUMBER(AVERAGE('20250815_ETF_Options_Exhibits'!S457:S461)),AVERAGE('20250815_ETF_Options_Exhibits'!S457:S461),"")</f>
        <v/>
      </c>
      <c r="T461" s="3">
        <f>IF(ISNUMBER(AVERAGE('20250815_ETF_Options_Exhibits'!T457:T461)),AVERAGE('20250815_ETF_Options_Exhibits'!T457:T461),"")</f>
        <v/>
      </c>
      <c r="U461" s="3">
        <f>IF(ISNUMBER(AVERAGE('20250815_ETF_Options_Exhibits'!U457:U461)),AVERAGE('20250815_ETF_Options_Exhibits'!U457:U461),"")</f>
        <v/>
      </c>
      <c r="V461" s="3">
        <f>IF(ISNUMBER(AVERAGE('20250815_ETF_Options_Exhibits'!V457:V461)),AVERAGE('20250815_ETF_Options_Exhibits'!V457:V461),"")</f>
        <v/>
      </c>
      <c r="W461" s="3">
        <f>IF(ISNUMBER(AVERAGE('20250815_ETF_Options_Exhibits'!W457:W461)),AVERAGE('20250815_ETF_Options_Exhibits'!W457:W461),"")</f>
        <v/>
      </c>
      <c r="X461" s="3">
        <f>IF(ISNUMBER(AVERAGE('20250815_ETF_Options_Exhibits'!X457:X461)),AVERAGE('20250815_ETF_Options_Exhibits'!X457:X461),"")</f>
        <v/>
      </c>
      <c r="Y461" s="3">
        <f>IF(ISNUMBER(AVERAGE('20250815_ETF_Options_Exhibits'!Y457:Y461)),AVERAGE('20250815_ETF_Options_Exhibits'!Y457:Y461),"")</f>
        <v/>
      </c>
      <c r="Z461" s="3">
        <f>IF(ISNUMBER(AVERAGE('20250815_ETF_Options_Exhibits'!Z457:Z461)),AVERAGE('20250815_ETF_Options_Exhibits'!Z457:Z461),"")</f>
        <v/>
      </c>
      <c r="AA461" s="3">
        <f>IF(ISNUMBER(AVERAGE('20250815_ETF_Options_Exhibits'!AA457:AA461)),AVERAGE('20250815_ETF_Options_Exhibits'!AA457:AA461),"")</f>
        <v/>
      </c>
    </row>
    <row r="462">
      <c r="A462" s="1" t="n">
        <v>42670</v>
      </c>
      <c r="B462" s="3">
        <f>IF(ISNUMBER(AVERAGE('20250815_ETF_Options_Exhibits'!B458:B462)),AVERAGE('20250815_ETF_Options_Exhibits'!B458:B462),"")</f>
        <v/>
      </c>
      <c r="C462" s="3">
        <f>IF(ISNUMBER(AVERAGE('20250815_ETF_Options_Exhibits'!C458:C462)),AVERAGE('20250815_ETF_Options_Exhibits'!C458:C462),"")</f>
        <v/>
      </c>
      <c r="D462" s="3">
        <f>IF(ISNUMBER(AVERAGE('20250815_ETF_Options_Exhibits'!D458:D462)),AVERAGE('20250815_ETF_Options_Exhibits'!D458:D462),"")</f>
        <v/>
      </c>
      <c r="E462" s="3">
        <f>IF(ISNUMBER(AVERAGE('20250815_ETF_Options_Exhibits'!E458:E462)),AVERAGE('20250815_ETF_Options_Exhibits'!E458:E462),"")</f>
        <v/>
      </c>
      <c r="F462" s="3">
        <f>IF(ISNUMBER(AVERAGE('20250815_ETF_Options_Exhibits'!F458:F462)),AVERAGE('20250815_ETF_Options_Exhibits'!F458:F462),"")</f>
        <v/>
      </c>
      <c r="G462" s="3">
        <f>IF(ISNUMBER(AVERAGE('20250815_ETF_Options_Exhibits'!G458:G462)),AVERAGE('20250815_ETF_Options_Exhibits'!G458:G462),"")</f>
        <v/>
      </c>
      <c r="H462" s="3">
        <f>IF(ISNUMBER(AVERAGE('20250815_ETF_Options_Exhibits'!H458:H462)),AVERAGE('20250815_ETF_Options_Exhibits'!H458:H462),"")</f>
        <v/>
      </c>
      <c r="I462" s="3">
        <f>IF(ISNUMBER(AVERAGE('20250815_ETF_Options_Exhibits'!I458:I462)),AVERAGE('20250815_ETF_Options_Exhibits'!I458:I462),"")</f>
        <v/>
      </c>
      <c r="J462" s="3">
        <f>IF(ISNUMBER(AVERAGE('20250815_ETF_Options_Exhibits'!J458:J462)),AVERAGE('20250815_ETF_Options_Exhibits'!J458:J462),"")</f>
        <v/>
      </c>
      <c r="K462" s="3">
        <f>IF(ISNUMBER(AVERAGE('20250815_ETF_Options_Exhibits'!K458:K462)),AVERAGE('20250815_ETF_Options_Exhibits'!K458:K462),"")</f>
        <v/>
      </c>
      <c r="L462" s="3">
        <f>IF(ISNUMBER(AVERAGE('20250815_ETF_Options_Exhibits'!L458:L462)),AVERAGE('20250815_ETF_Options_Exhibits'!L458:L462),"")</f>
        <v/>
      </c>
      <c r="M462" s="3">
        <f>IF(ISNUMBER(AVERAGE('20250815_ETF_Options_Exhibits'!M458:M462)),AVERAGE('20250815_ETF_Options_Exhibits'!M458:M462),"")</f>
        <v/>
      </c>
      <c r="N462" s="3">
        <f>IF(ISNUMBER(AVERAGE('20250815_ETF_Options_Exhibits'!N458:N462)),AVERAGE('20250815_ETF_Options_Exhibits'!N458:N462),"")</f>
        <v/>
      </c>
      <c r="O462" s="3">
        <f>IF(ISNUMBER(AVERAGE('20250815_ETF_Options_Exhibits'!O458:O462)),AVERAGE('20250815_ETF_Options_Exhibits'!O458:O462),"")</f>
        <v/>
      </c>
      <c r="P462" s="3">
        <f>IF(ISNUMBER(AVERAGE('20250815_ETF_Options_Exhibits'!P458:P462)),AVERAGE('20250815_ETF_Options_Exhibits'!P458:P462),"")</f>
        <v/>
      </c>
      <c r="Q462" s="3">
        <f>IF(ISNUMBER(AVERAGE('20250815_ETF_Options_Exhibits'!Q458:Q462)),AVERAGE('20250815_ETF_Options_Exhibits'!Q458:Q462),"")</f>
        <v/>
      </c>
      <c r="R462" s="3">
        <f>IF(ISNUMBER(AVERAGE('20250815_ETF_Options_Exhibits'!R458:R462)),AVERAGE('20250815_ETF_Options_Exhibits'!R458:R462),"")</f>
        <v/>
      </c>
      <c r="S462" s="3">
        <f>IF(ISNUMBER(AVERAGE('20250815_ETF_Options_Exhibits'!S458:S462)),AVERAGE('20250815_ETF_Options_Exhibits'!S458:S462),"")</f>
        <v/>
      </c>
      <c r="T462" s="3">
        <f>IF(ISNUMBER(AVERAGE('20250815_ETF_Options_Exhibits'!T458:T462)),AVERAGE('20250815_ETF_Options_Exhibits'!T458:T462),"")</f>
        <v/>
      </c>
      <c r="U462" s="3">
        <f>IF(ISNUMBER(AVERAGE('20250815_ETF_Options_Exhibits'!U458:U462)),AVERAGE('20250815_ETF_Options_Exhibits'!U458:U462),"")</f>
        <v/>
      </c>
      <c r="V462" s="3">
        <f>IF(ISNUMBER(AVERAGE('20250815_ETF_Options_Exhibits'!V458:V462)),AVERAGE('20250815_ETF_Options_Exhibits'!V458:V462),"")</f>
        <v/>
      </c>
      <c r="W462" s="3">
        <f>IF(ISNUMBER(AVERAGE('20250815_ETF_Options_Exhibits'!W458:W462)),AVERAGE('20250815_ETF_Options_Exhibits'!W458:W462),"")</f>
        <v/>
      </c>
      <c r="X462" s="3">
        <f>IF(ISNUMBER(AVERAGE('20250815_ETF_Options_Exhibits'!X458:X462)),AVERAGE('20250815_ETF_Options_Exhibits'!X458:X462),"")</f>
        <v/>
      </c>
      <c r="Y462" s="3">
        <f>IF(ISNUMBER(AVERAGE('20250815_ETF_Options_Exhibits'!Y458:Y462)),AVERAGE('20250815_ETF_Options_Exhibits'!Y458:Y462),"")</f>
        <v/>
      </c>
      <c r="Z462" s="3">
        <f>IF(ISNUMBER(AVERAGE('20250815_ETF_Options_Exhibits'!Z458:Z462)),AVERAGE('20250815_ETF_Options_Exhibits'!Z458:Z462),"")</f>
        <v/>
      </c>
      <c r="AA462" s="3">
        <f>IF(ISNUMBER(AVERAGE('20250815_ETF_Options_Exhibits'!AA458:AA462)),AVERAGE('20250815_ETF_Options_Exhibits'!AA458:AA462),"")</f>
        <v/>
      </c>
    </row>
    <row r="463">
      <c r="A463" s="1" t="n">
        <v>42671</v>
      </c>
      <c r="B463" s="3">
        <f>IF(ISNUMBER(AVERAGE('20250815_ETF_Options_Exhibits'!B459:B463)),AVERAGE('20250815_ETF_Options_Exhibits'!B459:B463),"")</f>
        <v/>
      </c>
      <c r="C463" s="3">
        <f>IF(ISNUMBER(AVERAGE('20250815_ETF_Options_Exhibits'!C459:C463)),AVERAGE('20250815_ETF_Options_Exhibits'!C459:C463),"")</f>
        <v/>
      </c>
      <c r="D463" s="3">
        <f>IF(ISNUMBER(AVERAGE('20250815_ETF_Options_Exhibits'!D459:D463)),AVERAGE('20250815_ETF_Options_Exhibits'!D459:D463),"")</f>
        <v/>
      </c>
      <c r="E463" s="3">
        <f>IF(ISNUMBER(AVERAGE('20250815_ETF_Options_Exhibits'!E459:E463)),AVERAGE('20250815_ETF_Options_Exhibits'!E459:E463),"")</f>
        <v/>
      </c>
      <c r="F463" s="3">
        <f>IF(ISNUMBER(AVERAGE('20250815_ETF_Options_Exhibits'!F459:F463)),AVERAGE('20250815_ETF_Options_Exhibits'!F459:F463),"")</f>
        <v/>
      </c>
      <c r="G463" s="3">
        <f>IF(ISNUMBER(AVERAGE('20250815_ETF_Options_Exhibits'!G459:G463)),AVERAGE('20250815_ETF_Options_Exhibits'!G459:G463),"")</f>
        <v/>
      </c>
      <c r="H463" s="3">
        <f>IF(ISNUMBER(AVERAGE('20250815_ETF_Options_Exhibits'!H459:H463)),AVERAGE('20250815_ETF_Options_Exhibits'!H459:H463),"")</f>
        <v/>
      </c>
      <c r="I463" s="3">
        <f>IF(ISNUMBER(AVERAGE('20250815_ETF_Options_Exhibits'!I459:I463)),AVERAGE('20250815_ETF_Options_Exhibits'!I459:I463),"")</f>
        <v/>
      </c>
      <c r="J463" s="3">
        <f>IF(ISNUMBER(AVERAGE('20250815_ETF_Options_Exhibits'!J459:J463)),AVERAGE('20250815_ETF_Options_Exhibits'!J459:J463),"")</f>
        <v/>
      </c>
      <c r="K463" s="3">
        <f>IF(ISNUMBER(AVERAGE('20250815_ETF_Options_Exhibits'!K459:K463)),AVERAGE('20250815_ETF_Options_Exhibits'!K459:K463),"")</f>
        <v/>
      </c>
      <c r="L463" s="3">
        <f>IF(ISNUMBER(AVERAGE('20250815_ETF_Options_Exhibits'!L459:L463)),AVERAGE('20250815_ETF_Options_Exhibits'!L459:L463),"")</f>
        <v/>
      </c>
      <c r="M463" s="3">
        <f>IF(ISNUMBER(AVERAGE('20250815_ETF_Options_Exhibits'!M459:M463)),AVERAGE('20250815_ETF_Options_Exhibits'!M459:M463),"")</f>
        <v/>
      </c>
      <c r="N463" s="3">
        <f>IF(ISNUMBER(AVERAGE('20250815_ETF_Options_Exhibits'!N459:N463)),AVERAGE('20250815_ETF_Options_Exhibits'!N459:N463),"")</f>
        <v/>
      </c>
      <c r="O463" s="3">
        <f>IF(ISNUMBER(AVERAGE('20250815_ETF_Options_Exhibits'!O459:O463)),AVERAGE('20250815_ETF_Options_Exhibits'!O459:O463),"")</f>
        <v/>
      </c>
      <c r="P463" s="3">
        <f>IF(ISNUMBER(AVERAGE('20250815_ETF_Options_Exhibits'!P459:P463)),AVERAGE('20250815_ETF_Options_Exhibits'!P459:P463),"")</f>
        <v/>
      </c>
      <c r="Q463" s="3">
        <f>IF(ISNUMBER(AVERAGE('20250815_ETF_Options_Exhibits'!Q459:Q463)),AVERAGE('20250815_ETF_Options_Exhibits'!Q459:Q463),"")</f>
        <v/>
      </c>
      <c r="R463" s="3">
        <f>IF(ISNUMBER(AVERAGE('20250815_ETF_Options_Exhibits'!R459:R463)),AVERAGE('20250815_ETF_Options_Exhibits'!R459:R463),"")</f>
        <v/>
      </c>
      <c r="S463" s="3">
        <f>IF(ISNUMBER(AVERAGE('20250815_ETF_Options_Exhibits'!S459:S463)),AVERAGE('20250815_ETF_Options_Exhibits'!S459:S463),"")</f>
        <v/>
      </c>
      <c r="T463" s="3">
        <f>IF(ISNUMBER(AVERAGE('20250815_ETF_Options_Exhibits'!T459:T463)),AVERAGE('20250815_ETF_Options_Exhibits'!T459:T463),"")</f>
        <v/>
      </c>
      <c r="U463" s="3">
        <f>IF(ISNUMBER(AVERAGE('20250815_ETF_Options_Exhibits'!U459:U463)),AVERAGE('20250815_ETF_Options_Exhibits'!U459:U463),"")</f>
        <v/>
      </c>
      <c r="V463" s="3">
        <f>IF(ISNUMBER(AVERAGE('20250815_ETF_Options_Exhibits'!V459:V463)),AVERAGE('20250815_ETF_Options_Exhibits'!V459:V463),"")</f>
        <v/>
      </c>
      <c r="W463" s="3">
        <f>IF(ISNUMBER(AVERAGE('20250815_ETF_Options_Exhibits'!W459:W463)),AVERAGE('20250815_ETF_Options_Exhibits'!W459:W463),"")</f>
        <v/>
      </c>
      <c r="X463" s="3">
        <f>IF(ISNUMBER(AVERAGE('20250815_ETF_Options_Exhibits'!X459:X463)),AVERAGE('20250815_ETF_Options_Exhibits'!X459:X463),"")</f>
        <v/>
      </c>
      <c r="Y463" s="3">
        <f>IF(ISNUMBER(AVERAGE('20250815_ETF_Options_Exhibits'!Y459:Y463)),AVERAGE('20250815_ETF_Options_Exhibits'!Y459:Y463),"")</f>
        <v/>
      </c>
      <c r="Z463" s="3">
        <f>IF(ISNUMBER(AVERAGE('20250815_ETF_Options_Exhibits'!Z459:Z463)),AVERAGE('20250815_ETF_Options_Exhibits'!Z459:Z463),"")</f>
        <v/>
      </c>
      <c r="AA463" s="3">
        <f>IF(ISNUMBER(AVERAGE('20250815_ETF_Options_Exhibits'!AA459:AA463)),AVERAGE('20250815_ETF_Options_Exhibits'!AA459:AA463),"")</f>
        <v/>
      </c>
    </row>
    <row r="464">
      <c r="A464" s="1" t="n">
        <v>42674</v>
      </c>
      <c r="B464" s="3">
        <f>IF(ISNUMBER(AVERAGE('20250815_ETF_Options_Exhibits'!B460:B464)),AVERAGE('20250815_ETF_Options_Exhibits'!B460:B464),"")</f>
        <v/>
      </c>
      <c r="C464" s="3">
        <f>IF(ISNUMBER(AVERAGE('20250815_ETF_Options_Exhibits'!C460:C464)),AVERAGE('20250815_ETF_Options_Exhibits'!C460:C464),"")</f>
        <v/>
      </c>
      <c r="D464" s="3">
        <f>IF(ISNUMBER(AVERAGE('20250815_ETF_Options_Exhibits'!D460:D464)),AVERAGE('20250815_ETF_Options_Exhibits'!D460:D464),"")</f>
        <v/>
      </c>
      <c r="E464" s="3">
        <f>IF(ISNUMBER(AVERAGE('20250815_ETF_Options_Exhibits'!E460:E464)),AVERAGE('20250815_ETF_Options_Exhibits'!E460:E464),"")</f>
        <v/>
      </c>
      <c r="F464" s="3">
        <f>IF(ISNUMBER(AVERAGE('20250815_ETF_Options_Exhibits'!F460:F464)),AVERAGE('20250815_ETF_Options_Exhibits'!F460:F464),"")</f>
        <v/>
      </c>
      <c r="G464" s="3">
        <f>IF(ISNUMBER(AVERAGE('20250815_ETF_Options_Exhibits'!G460:G464)),AVERAGE('20250815_ETF_Options_Exhibits'!G460:G464),"")</f>
        <v/>
      </c>
      <c r="H464" s="3">
        <f>IF(ISNUMBER(AVERAGE('20250815_ETF_Options_Exhibits'!H460:H464)),AVERAGE('20250815_ETF_Options_Exhibits'!H460:H464),"")</f>
        <v/>
      </c>
      <c r="I464" s="3">
        <f>IF(ISNUMBER(AVERAGE('20250815_ETF_Options_Exhibits'!I460:I464)),AVERAGE('20250815_ETF_Options_Exhibits'!I460:I464),"")</f>
        <v/>
      </c>
      <c r="J464" s="3">
        <f>IF(ISNUMBER(AVERAGE('20250815_ETF_Options_Exhibits'!J460:J464)),AVERAGE('20250815_ETF_Options_Exhibits'!J460:J464),"")</f>
        <v/>
      </c>
      <c r="K464" s="3">
        <f>IF(ISNUMBER(AVERAGE('20250815_ETF_Options_Exhibits'!K460:K464)),AVERAGE('20250815_ETF_Options_Exhibits'!K460:K464),"")</f>
        <v/>
      </c>
      <c r="L464" s="3">
        <f>IF(ISNUMBER(AVERAGE('20250815_ETF_Options_Exhibits'!L460:L464)),AVERAGE('20250815_ETF_Options_Exhibits'!L460:L464),"")</f>
        <v/>
      </c>
      <c r="M464" s="3">
        <f>IF(ISNUMBER(AVERAGE('20250815_ETF_Options_Exhibits'!M460:M464)),AVERAGE('20250815_ETF_Options_Exhibits'!M460:M464),"")</f>
        <v/>
      </c>
      <c r="N464" s="3">
        <f>IF(ISNUMBER(AVERAGE('20250815_ETF_Options_Exhibits'!N460:N464)),AVERAGE('20250815_ETF_Options_Exhibits'!N460:N464),"")</f>
        <v/>
      </c>
      <c r="O464" s="3">
        <f>IF(ISNUMBER(AVERAGE('20250815_ETF_Options_Exhibits'!O460:O464)),AVERAGE('20250815_ETF_Options_Exhibits'!O460:O464),"")</f>
        <v/>
      </c>
      <c r="P464" s="3">
        <f>IF(ISNUMBER(AVERAGE('20250815_ETF_Options_Exhibits'!P460:P464)),AVERAGE('20250815_ETF_Options_Exhibits'!P460:P464),"")</f>
        <v/>
      </c>
      <c r="Q464" s="3">
        <f>IF(ISNUMBER(AVERAGE('20250815_ETF_Options_Exhibits'!Q460:Q464)),AVERAGE('20250815_ETF_Options_Exhibits'!Q460:Q464),"")</f>
        <v/>
      </c>
      <c r="R464" s="3">
        <f>IF(ISNUMBER(AVERAGE('20250815_ETF_Options_Exhibits'!R460:R464)),AVERAGE('20250815_ETF_Options_Exhibits'!R460:R464),"")</f>
        <v/>
      </c>
      <c r="S464" s="3">
        <f>IF(ISNUMBER(AVERAGE('20250815_ETF_Options_Exhibits'!S460:S464)),AVERAGE('20250815_ETF_Options_Exhibits'!S460:S464),"")</f>
        <v/>
      </c>
      <c r="T464" s="3">
        <f>IF(ISNUMBER(AVERAGE('20250815_ETF_Options_Exhibits'!T460:T464)),AVERAGE('20250815_ETF_Options_Exhibits'!T460:T464),"")</f>
        <v/>
      </c>
      <c r="U464" s="3">
        <f>IF(ISNUMBER(AVERAGE('20250815_ETF_Options_Exhibits'!U460:U464)),AVERAGE('20250815_ETF_Options_Exhibits'!U460:U464),"")</f>
        <v/>
      </c>
      <c r="V464" s="3">
        <f>IF(ISNUMBER(AVERAGE('20250815_ETF_Options_Exhibits'!V460:V464)),AVERAGE('20250815_ETF_Options_Exhibits'!V460:V464),"")</f>
        <v/>
      </c>
      <c r="W464" s="3">
        <f>IF(ISNUMBER(AVERAGE('20250815_ETF_Options_Exhibits'!W460:W464)),AVERAGE('20250815_ETF_Options_Exhibits'!W460:W464),"")</f>
        <v/>
      </c>
      <c r="X464" s="3">
        <f>IF(ISNUMBER(AVERAGE('20250815_ETF_Options_Exhibits'!X460:X464)),AVERAGE('20250815_ETF_Options_Exhibits'!X460:X464),"")</f>
        <v/>
      </c>
      <c r="Y464" s="3">
        <f>IF(ISNUMBER(AVERAGE('20250815_ETF_Options_Exhibits'!Y460:Y464)),AVERAGE('20250815_ETF_Options_Exhibits'!Y460:Y464),"")</f>
        <v/>
      </c>
      <c r="Z464" s="3">
        <f>IF(ISNUMBER(AVERAGE('20250815_ETF_Options_Exhibits'!Z460:Z464)),AVERAGE('20250815_ETF_Options_Exhibits'!Z460:Z464),"")</f>
        <v/>
      </c>
      <c r="AA464" s="3">
        <f>IF(ISNUMBER(AVERAGE('20250815_ETF_Options_Exhibits'!AA460:AA464)),AVERAGE('20250815_ETF_Options_Exhibits'!AA460:AA464),"")</f>
        <v/>
      </c>
    </row>
    <row r="465">
      <c r="A465" s="1" t="n">
        <v>42675</v>
      </c>
      <c r="B465" s="3">
        <f>IF(ISNUMBER(AVERAGE('20250815_ETF_Options_Exhibits'!B461:B465)),AVERAGE('20250815_ETF_Options_Exhibits'!B461:B465),"")</f>
        <v/>
      </c>
      <c r="C465" s="3">
        <f>IF(ISNUMBER(AVERAGE('20250815_ETF_Options_Exhibits'!C461:C465)),AVERAGE('20250815_ETF_Options_Exhibits'!C461:C465),"")</f>
        <v/>
      </c>
      <c r="D465" s="3">
        <f>IF(ISNUMBER(AVERAGE('20250815_ETF_Options_Exhibits'!D461:D465)),AVERAGE('20250815_ETF_Options_Exhibits'!D461:D465),"")</f>
        <v/>
      </c>
      <c r="E465" s="3">
        <f>IF(ISNUMBER(AVERAGE('20250815_ETF_Options_Exhibits'!E461:E465)),AVERAGE('20250815_ETF_Options_Exhibits'!E461:E465),"")</f>
        <v/>
      </c>
      <c r="F465" s="3">
        <f>IF(ISNUMBER(AVERAGE('20250815_ETF_Options_Exhibits'!F461:F465)),AVERAGE('20250815_ETF_Options_Exhibits'!F461:F465),"")</f>
        <v/>
      </c>
      <c r="G465" s="3">
        <f>IF(ISNUMBER(AVERAGE('20250815_ETF_Options_Exhibits'!G461:G465)),AVERAGE('20250815_ETF_Options_Exhibits'!G461:G465),"")</f>
        <v/>
      </c>
      <c r="H465" s="3">
        <f>IF(ISNUMBER(AVERAGE('20250815_ETF_Options_Exhibits'!H461:H465)),AVERAGE('20250815_ETF_Options_Exhibits'!H461:H465),"")</f>
        <v/>
      </c>
      <c r="I465" s="3">
        <f>IF(ISNUMBER(AVERAGE('20250815_ETF_Options_Exhibits'!I461:I465)),AVERAGE('20250815_ETF_Options_Exhibits'!I461:I465),"")</f>
        <v/>
      </c>
      <c r="J465" s="3">
        <f>IF(ISNUMBER(AVERAGE('20250815_ETF_Options_Exhibits'!J461:J465)),AVERAGE('20250815_ETF_Options_Exhibits'!J461:J465),"")</f>
        <v/>
      </c>
      <c r="K465" s="3">
        <f>IF(ISNUMBER(AVERAGE('20250815_ETF_Options_Exhibits'!K461:K465)),AVERAGE('20250815_ETF_Options_Exhibits'!K461:K465),"")</f>
        <v/>
      </c>
      <c r="L465" s="3">
        <f>IF(ISNUMBER(AVERAGE('20250815_ETF_Options_Exhibits'!L461:L465)),AVERAGE('20250815_ETF_Options_Exhibits'!L461:L465),"")</f>
        <v/>
      </c>
      <c r="M465" s="3">
        <f>IF(ISNUMBER(AVERAGE('20250815_ETF_Options_Exhibits'!M461:M465)),AVERAGE('20250815_ETF_Options_Exhibits'!M461:M465),"")</f>
        <v/>
      </c>
      <c r="N465" s="3">
        <f>IF(ISNUMBER(AVERAGE('20250815_ETF_Options_Exhibits'!N461:N465)),AVERAGE('20250815_ETF_Options_Exhibits'!N461:N465),"")</f>
        <v/>
      </c>
      <c r="O465" s="3">
        <f>IF(ISNUMBER(AVERAGE('20250815_ETF_Options_Exhibits'!O461:O465)),AVERAGE('20250815_ETF_Options_Exhibits'!O461:O465),"")</f>
        <v/>
      </c>
      <c r="P465" s="3">
        <f>IF(ISNUMBER(AVERAGE('20250815_ETF_Options_Exhibits'!P461:P465)),AVERAGE('20250815_ETF_Options_Exhibits'!P461:P465),"")</f>
        <v/>
      </c>
      <c r="Q465" s="3">
        <f>IF(ISNUMBER(AVERAGE('20250815_ETF_Options_Exhibits'!Q461:Q465)),AVERAGE('20250815_ETF_Options_Exhibits'!Q461:Q465),"")</f>
        <v/>
      </c>
      <c r="R465" s="3">
        <f>IF(ISNUMBER(AVERAGE('20250815_ETF_Options_Exhibits'!R461:R465)),AVERAGE('20250815_ETF_Options_Exhibits'!R461:R465),"")</f>
        <v/>
      </c>
      <c r="S465" s="3">
        <f>IF(ISNUMBER(AVERAGE('20250815_ETF_Options_Exhibits'!S461:S465)),AVERAGE('20250815_ETF_Options_Exhibits'!S461:S465),"")</f>
        <v/>
      </c>
      <c r="T465" s="3">
        <f>IF(ISNUMBER(AVERAGE('20250815_ETF_Options_Exhibits'!T461:T465)),AVERAGE('20250815_ETF_Options_Exhibits'!T461:T465),"")</f>
        <v/>
      </c>
      <c r="U465" s="3">
        <f>IF(ISNUMBER(AVERAGE('20250815_ETF_Options_Exhibits'!U461:U465)),AVERAGE('20250815_ETF_Options_Exhibits'!U461:U465),"")</f>
        <v/>
      </c>
      <c r="V465" s="3">
        <f>IF(ISNUMBER(AVERAGE('20250815_ETF_Options_Exhibits'!V461:V465)),AVERAGE('20250815_ETF_Options_Exhibits'!V461:V465),"")</f>
        <v/>
      </c>
      <c r="W465" s="3">
        <f>IF(ISNUMBER(AVERAGE('20250815_ETF_Options_Exhibits'!W461:W465)),AVERAGE('20250815_ETF_Options_Exhibits'!W461:W465),"")</f>
        <v/>
      </c>
      <c r="X465" s="3">
        <f>IF(ISNUMBER(AVERAGE('20250815_ETF_Options_Exhibits'!X461:X465)),AVERAGE('20250815_ETF_Options_Exhibits'!X461:X465),"")</f>
        <v/>
      </c>
      <c r="Y465" s="3">
        <f>IF(ISNUMBER(AVERAGE('20250815_ETF_Options_Exhibits'!Y461:Y465)),AVERAGE('20250815_ETF_Options_Exhibits'!Y461:Y465),"")</f>
        <v/>
      </c>
      <c r="Z465" s="3">
        <f>IF(ISNUMBER(AVERAGE('20250815_ETF_Options_Exhibits'!Z461:Z465)),AVERAGE('20250815_ETF_Options_Exhibits'!Z461:Z465),"")</f>
        <v/>
      </c>
      <c r="AA465" s="3">
        <f>IF(ISNUMBER(AVERAGE('20250815_ETF_Options_Exhibits'!AA461:AA465)),AVERAGE('20250815_ETF_Options_Exhibits'!AA461:AA465),"")</f>
        <v/>
      </c>
    </row>
    <row r="466">
      <c r="A466" s="1" t="n">
        <v>42676</v>
      </c>
      <c r="B466" s="3">
        <f>IF(ISNUMBER(AVERAGE('20250815_ETF_Options_Exhibits'!B462:B466)),AVERAGE('20250815_ETF_Options_Exhibits'!B462:B466),"")</f>
        <v/>
      </c>
      <c r="C466" s="3">
        <f>IF(ISNUMBER(AVERAGE('20250815_ETF_Options_Exhibits'!C462:C466)),AVERAGE('20250815_ETF_Options_Exhibits'!C462:C466),"")</f>
        <v/>
      </c>
      <c r="D466" s="3">
        <f>IF(ISNUMBER(AVERAGE('20250815_ETF_Options_Exhibits'!D462:D466)),AVERAGE('20250815_ETF_Options_Exhibits'!D462:D466),"")</f>
        <v/>
      </c>
      <c r="E466" s="3">
        <f>IF(ISNUMBER(AVERAGE('20250815_ETF_Options_Exhibits'!E462:E466)),AVERAGE('20250815_ETF_Options_Exhibits'!E462:E466),"")</f>
        <v/>
      </c>
      <c r="F466" s="3">
        <f>IF(ISNUMBER(AVERAGE('20250815_ETF_Options_Exhibits'!F462:F466)),AVERAGE('20250815_ETF_Options_Exhibits'!F462:F466),"")</f>
        <v/>
      </c>
      <c r="G466" s="3">
        <f>IF(ISNUMBER(AVERAGE('20250815_ETF_Options_Exhibits'!G462:G466)),AVERAGE('20250815_ETF_Options_Exhibits'!G462:G466),"")</f>
        <v/>
      </c>
      <c r="H466" s="3">
        <f>IF(ISNUMBER(AVERAGE('20250815_ETF_Options_Exhibits'!H462:H466)),AVERAGE('20250815_ETF_Options_Exhibits'!H462:H466),"")</f>
        <v/>
      </c>
      <c r="I466" s="3">
        <f>IF(ISNUMBER(AVERAGE('20250815_ETF_Options_Exhibits'!I462:I466)),AVERAGE('20250815_ETF_Options_Exhibits'!I462:I466),"")</f>
        <v/>
      </c>
      <c r="J466" s="3">
        <f>IF(ISNUMBER(AVERAGE('20250815_ETF_Options_Exhibits'!J462:J466)),AVERAGE('20250815_ETF_Options_Exhibits'!J462:J466),"")</f>
        <v/>
      </c>
      <c r="K466" s="3">
        <f>IF(ISNUMBER(AVERAGE('20250815_ETF_Options_Exhibits'!K462:K466)),AVERAGE('20250815_ETF_Options_Exhibits'!K462:K466),"")</f>
        <v/>
      </c>
      <c r="L466" s="3">
        <f>IF(ISNUMBER(AVERAGE('20250815_ETF_Options_Exhibits'!L462:L466)),AVERAGE('20250815_ETF_Options_Exhibits'!L462:L466),"")</f>
        <v/>
      </c>
      <c r="M466" s="3">
        <f>IF(ISNUMBER(AVERAGE('20250815_ETF_Options_Exhibits'!M462:M466)),AVERAGE('20250815_ETF_Options_Exhibits'!M462:M466),"")</f>
        <v/>
      </c>
      <c r="N466" s="3">
        <f>IF(ISNUMBER(AVERAGE('20250815_ETF_Options_Exhibits'!N462:N466)),AVERAGE('20250815_ETF_Options_Exhibits'!N462:N466),"")</f>
        <v/>
      </c>
      <c r="O466" s="3">
        <f>IF(ISNUMBER(AVERAGE('20250815_ETF_Options_Exhibits'!O462:O466)),AVERAGE('20250815_ETF_Options_Exhibits'!O462:O466),"")</f>
        <v/>
      </c>
      <c r="P466" s="3">
        <f>IF(ISNUMBER(AVERAGE('20250815_ETF_Options_Exhibits'!P462:P466)),AVERAGE('20250815_ETF_Options_Exhibits'!P462:P466),"")</f>
        <v/>
      </c>
      <c r="Q466" s="3">
        <f>IF(ISNUMBER(AVERAGE('20250815_ETF_Options_Exhibits'!Q462:Q466)),AVERAGE('20250815_ETF_Options_Exhibits'!Q462:Q466),"")</f>
        <v/>
      </c>
      <c r="R466" s="3">
        <f>IF(ISNUMBER(AVERAGE('20250815_ETF_Options_Exhibits'!R462:R466)),AVERAGE('20250815_ETF_Options_Exhibits'!R462:R466),"")</f>
        <v/>
      </c>
      <c r="S466" s="3">
        <f>IF(ISNUMBER(AVERAGE('20250815_ETF_Options_Exhibits'!S462:S466)),AVERAGE('20250815_ETF_Options_Exhibits'!S462:S466),"")</f>
        <v/>
      </c>
      <c r="T466" s="3">
        <f>IF(ISNUMBER(AVERAGE('20250815_ETF_Options_Exhibits'!T462:T466)),AVERAGE('20250815_ETF_Options_Exhibits'!T462:T466),"")</f>
        <v/>
      </c>
      <c r="U466" s="3">
        <f>IF(ISNUMBER(AVERAGE('20250815_ETF_Options_Exhibits'!U462:U466)),AVERAGE('20250815_ETF_Options_Exhibits'!U462:U466),"")</f>
        <v/>
      </c>
      <c r="V466" s="3">
        <f>IF(ISNUMBER(AVERAGE('20250815_ETF_Options_Exhibits'!V462:V466)),AVERAGE('20250815_ETF_Options_Exhibits'!V462:V466),"")</f>
        <v/>
      </c>
      <c r="W466" s="3">
        <f>IF(ISNUMBER(AVERAGE('20250815_ETF_Options_Exhibits'!W462:W466)),AVERAGE('20250815_ETF_Options_Exhibits'!W462:W466),"")</f>
        <v/>
      </c>
      <c r="X466" s="3">
        <f>IF(ISNUMBER(AVERAGE('20250815_ETF_Options_Exhibits'!X462:X466)),AVERAGE('20250815_ETF_Options_Exhibits'!X462:X466),"")</f>
        <v/>
      </c>
      <c r="Y466" s="3">
        <f>IF(ISNUMBER(AVERAGE('20250815_ETF_Options_Exhibits'!Y462:Y466)),AVERAGE('20250815_ETF_Options_Exhibits'!Y462:Y466),"")</f>
        <v/>
      </c>
      <c r="Z466" s="3">
        <f>IF(ISNUMBER(AVERAGE('20250815_ETF_Options_Exhibits'!Z462:Z466)),AVERAGE('20250815_ETF_Options_Exhibits'!Z462:Z466),"")</f>
        <v/>
      </c>
      <c r="AA466" s="3">
        <f>IF(ISNUMBER(AVERAGE('20250815_ETF_Options_Exhibits'!AA462:AA466)),AVERAGE('20250815_ETF_Options_Exhibits'!AA462:AA466),"")</f>
        <v/>
      </c>
    </row>
    <row r="467">
      <c r="A467" s="1" t="n">
        <v>42677</v>
      </c>
      <c r="B467" s="3">
        <f>IF(ISNUMBER(AVERAGE('20250815_ETF_Options_Exhibits'!B463:B467)),AVERAGE('20250815_ETF_Options_Exhibits'!B463:B467),"")</f>
        <v/>
      </c>
      <c r="C467" s="3">
        <f>IF(ISNUMBER(AVERAGE('20250815_ETF_Options_Exhibits'!C463:C467)),AVERAGE('20250815_ETF_Options_Exhibits'!C463:C467),"")</f>
        <v/>
      </c>
      <c r="D467" s="3">
        <f>IF(ISNUMBER(AVERAGE('20250815_ETF_Options_Exhibits'!D463:D467)),AVERAGE('20250815_ETF_Options_Exhibits'!D463:D467),"")</f>
        <v/>
      </c>
      <c r="E467" s="3">
        <f>IF(ISNUMBER(AVERAGE('20250815_ETF_Options_Exhibits'!E463:E467)),AVERAGE('20250815_ETF_Options_Exhibits'!E463:E467),"")</f>
        <v/>
      </c>
      <c r="F467" s="3">
        <f>IF(ISNUMBER(AVERAGE('20250815_ETF_Options_Exhibits'!F463:F467)),AVERAGE('20250815_ETF_Options_Exhibits'!F463:F467),"")</f>
        <v/>
      </c>
      <c r="G467" s="3">
        <f>IF(ISNUMBER(AVERAGE('20250815_ETF_Options_Exhibits'!G463:G467)),AVERAGE('20250815_ETF_Options_Exhibits'!G463:G467),"")</f>
        <v/>
      </c>
      <c r="H467" s="3">
        <f>IF(ISNUMBER(AVERAGE('20250815_ETF_Options_Exhibits'!H463:H467)),AVERAGE('20250815_ETF_Options_Exhibits'!H463:H467),"")</f>
        <v/>
      </c>
      <c r="I467" s="3">
        <f>IF(ISNUMBER(AVERAGE('20250815_ETF_Options_Exhibits'!I463:I467)),AVERAGE('20250815_ETF_Options_Exhibits'!I463:I467),"")</f>
        <v/>
      </c>
      <c r="J467" s="3">
        <f>IF(ISNUMBER(AVERAGE('20250815_ETF_Options_Exhibits'!J463:J467)),AVERAGE('20250815_ETF_Options_Exhibits'!J463:J467),"")</f>
        <v/>
      </c>
      <c r="K467" s="3">
        <f>IF(ISNUMBER(AVERAGE('20250815_ETF_Options_Exhibits'!K463:K467)),AVERAGE('20250815_ETF_Options_Exhibits'!K463:K467),"")</f>
        <v/>
      </c>
      <c r="L467" s="3">
        <f>IF(ISNUMBER(AVERAGE('20250815_ETF_Options_Exhibits'!L463:L467)),AVERAGE('20250815_ETF_Options_Exhibits'!L463:L467),"")</f>
        <v/>
      </c>
      <c r="M467" s="3">
        <f>IF(ISNUMBER(AVERAGE('20250815_ETF_Options_Exhibits'!M463:M467)),AVERAGE('20250815_ETF_Options_Exhibits'!M463:M467),"")</f>
        <v/>
      </c>
      <c r="N467" s="3">
        <f>IF(ISNUMBER(AVERAGE('20250815_ETF_Options_Exhibits'!N463:N467)),AVERAGE('20250815_ETF_Options_Exhibits'!N463:N467),"")</f>
        <v/>
      </c>
      <c r="O467" s="3">
        <f>IF(ISNUMBER(AVERAGE('20250815_ETF_Options_Exhibits'!O463:O467)),AVERAGE('20250815_ETF_Options_Exhibits'!O463:O467),"")</f>
        <v/>
      </c>
      <c r="P467" s="3">
        <f>IF(ISNUMBER(AVERAGE('20250815_ETF_Options_Exhibits'!P463:P467)),AVERAGE('20250815_ETF_Options_Exhibits'!P463:P467),"")</f>
        <v/>
      </c>
      <c r="Q467" s="3">
        <f>IF(ISNUMBER(AVERAGE('20250815_ETF_Options_Exhibits'!Q463:Q467)),AVERAGE('20250815_ETF_Options_Exhibits'!Q463:Q467),"")</f>
        <v/>
      </c>
      <c r="R467" s="3">
        <f>IF(ISNUMBER(AVERAGE('20250815_ETF_Options_Exhibits'!R463:R467)),AVERAGE('20250815_ETF_Options_Exhibits'!R463:R467),"")</f>
        <v/>
      </c>
      <c r="S467" s="3">
        <f>IF(ISNUMBER(AVERAGE('20250815_ETF_Options_Exhibits'!S463:S467)),AVERAGE('20250815_ETF_Options_Exhibits'!S463:S467),"")</f>
        <v/>
      </c>
      <c r="T467" s="3">
        <f>IF(ISNUMBER(AVERAGE('20250815_ETF_Options_Exhibits'!T463:T467)),AVERAGE('20250815_ETF_Options_Exhibits'!T463:T467),"")</f>
        <v/>
      </c>
      <c r="U467" s="3">
        <f>IF(ISNUMBER(AVERAGE('20250815_ETF_Options_Exhibits'!U463:U467)),AVERAGE('20250815_ETF_Options_Exhibits'!U463:U467),"")</f>
        <v/>
      </c>
      <c r="V467" s="3">
        <f>IF(ISNUMBER(AVERAGE('20250815_ETF_Options_Exhibits'!V463:V467)),AVERAGE('20250815_ETF_Options_Exhibits'!V463:V467),"")</f>
        <v/>
      </c>
      <c r="W467" s="3">
        <f>IF(ISNUMBER(AVERAGE('20250815_ETF_Options_Exhibits'!W463:W467)),AVERAGE('20250815_ETF_Options_Exhibits'!W463:W467),"")</f>
        <v/>
      </c>
      <c r="X467" s="3">
        <f>IF(ISNUMBER(AVERAGE('20250815_ETF_Options_Exhibits'!X463:X467)),AVERAGE('20250815_ETF_Options_Exhibits'!X463:X467),"")</f>
        <v/>
      </c>
      <c r="Y467" s="3">
        <f>IF(ISNUMBER(AVERAGE('20250815_ETF_Options_Exhibits'!Y463:Y467)),AVERAGE('20250815_ETF_Options_Exhibits'!Y463:Y467),"")</f>
        <v/>
      </c>
      <c r="Z467" s="3">
        <f>IF(ISNUMBER(AVERAGE('20250815_ETF_Options_Exhibits'!Z463:Z467)),AVERAGE('20250815_ETF_Options_Exhibits'!Z463:Z467),"")</f>
        <v/>
      </c>
      <c r="AA467" s="3">
        <f>IF(ISNUMBER(AVERAGE('20250815_ETF_Options_Exhibits'!AA463:AA467)),AVERAGE('20250815_ETF_Options_Exhibits'!AA463:AA467),"")</f>
        <v/>
      </c>
    </row>
    <row r="468">
      <c r="A468" s="1" t="n">
        <v>42678</v>
      </c>
      <c r="B468" s="3">
        <f>IF(ISNUMBER(AVERAGE('20250815_ETF_Options_Exhibits'!B464:B468)),AVERAGE('20250815_ETF_Options_Exhibits'!B464:B468),"")</f>
        <v/>
      </c>
      <c r="C468" s="3">
        <f>IF(ISNUMBER(AVERAGE('20250815_ETF_Options_Exhibits'!C464:C468)),AVERAGE('20250815_ETF_Options_Exhibits'!C464:C468),"")</f>
        <v/>
      </c>
      <c r="D468" s="3">
        <f>IF(ISNUMBER(AVERAGE('20250815_ETF_Options_Exhibits'!D464:D468)),AVERAGE('20250815_ETF_Options_Exhibits'!D464:D468),"")</f>
        <v/>
      </c>
      <c r="E468" s="3">
        <f>IF(ISNUMBER(AVERAGE('20250815_ETF_Options_Exhibits'!E464:E468)),AVERAGE('20250815_ETF_Options_Exhibits'!E464:E468),"")</f>
        <v/>
      </c>
      <c r="F468" s="3">
        <f>IF(ISNUMBER(AVERAGE('20250815_ETF_Options_Exhibits'!F464:F468)),AVERAGE('20250815_ETF_Options_Exhibits'!F464:F468),"")</f>
        <v/>
      </c>
      <c r="G468" s="3">
        <f>IF(ISNUMBER(AVERAGE('20250815_ETF_Options_Exhibits'!G464:G468)),AVERAGE('20250815_ETF_Options_Exhibits'!G464:G468),"")</f>
        <v/>
      </c>
      <c r="H468" s="3">
        <f>IF(ISNUMBER(AVERAGE('20250815_ETF_Options_Exhibits'!H464:H468)),AVERAGE('20250815_ETF_Options_Exhibits'!H464:H468),"")</f>
        <v/>
      </c>
      <c r="I468" s="3">
        <f>IF(ISNUMBER(AVERAGE('20250815_ETF_Options_Exhibits'!I464:I468)),AVERAGE('20250815_ETF_Options_Exhibits'!I464:I468),"")</f>
        <v/>
      </c>
      <c r="J468" s="3">
        <f>IF(ISNUMBER(AVERAGE('20250815_ETF_Options_Exhibits'!J464:J468)),AVERAGE('20250815_ETF_Options_Exhibits'!J464:J468),"")</f>
        <v/>
      </c>
      <c r="K468" s="3">
        <f>IF(ISNUMBER(AVERAGE('20250815_ETF_Options_Exhibits'!K464:K468)),AVERAGE('20250815_ETF_Options_Exhibits'!K464:K468),"")</f>
        <v/>
      </c>
      <c r="L468" s="3">
        <f>IF(ISNUMBER(AVERAGE('20250815_ETF_Options_Exhibits'!L464:L468)),AVERAGE('20250815_ETF_Options_Exhibits'!L464:L468),"")</f>
        <v/>
      </c>
      <c r="M468" s="3">
        <f>IF(ISNUMBER(AVERAGE('20250815_ETF_Options_Exhibits'!M464:M468)),AVERAGE('20250815_ETF_Options_Exhibits'!M464:M468),"")</f>
        <v/>
      </c>
      <c r="N468" s="3">
        <f>IF(ISNUMBER(AVERAGE('20250815_ETF_Options_Exhibits'!N464:N468)),AVERAGE('20250815_ETF_Options_Exhibits'!N464:N468),"")</f>
        <v/>
      </c>
      <c r="O468" s="3">
        <f>IF(ISNUMBER(AVERAGE('20250815_ETF_Options_Exhibits'!O464:O468)),AVERAGE('20250815_ETF_Options_Exhibits'!O464:O468),"")</f>
        <v/>
      </c>
      <c r="P468" s="3">
        <f>IF(ISNUMBER(AVERAGE('20250815_ETF_Options_Exhibits'!P464:P468)),AVERAGE('20250815_ETF_Options_Exhibits'!P464:P468),"")</f>
        <v/>
      </c>
      <c r="Q468" s="3">
        <f>IF(ISNUMBER(AVERAGE('20250815_ETF_Options_Exhibits'!Q464:Q468)),AVERAGE('20250815_ETF_Options_Exhibits'!Q464:Q468),"")</f>
        <v/>
      </c>
      <c r="R468" s="3">
        <f>IF(ISNUMBER(AVERAGE('20250815_ETF_Options_Exhibits'!R464:R468)),AVERAGE('20250815_ETF_Options_Exhibits'!R464:R468),"")</f>
        <v/>
      </c>
      <c r="S468" s="3">
        <f>IF(ISNUMBER(AVERAGE('20250815_ETF_Options_Exhibits'!S464:S468)),AVERAGE('20250815_ETF_Options_Exhibits'!S464:S468),"")</f>
        <v/>
      </c>
      <c r="T468" s="3">
        <f>IF(ISNUMBER(AVERAGE('20250815_ETF_Options_Exhibits'!T464:T468)),AVERAGE('20250815_ETF_Options_Exhibits'!T464:T468),"")</f>
        <v/>
      </c>
      <c r="U468" s="3">
        <f>IF(ISNUMBER(AVERAGE('20250815_ETF_Options_Exhibits'!U464:U468)),AVERAGE('20250815_ETF_Options_Exhibits'!U464:U468),"")</f>
        <v/>
      </c>
      <c r="V468" s="3">
        <f>IF(ISNUMBER(AVERAGE('20250815_ETF_Options_Exhibits'!V464:V468)),AVERAGE('20250815_ETF_Options_Exhibits'!V464:V468),"")</f>
        <v/>
      </c>
      <c r="W468" s="3">
        <f>IF(ISNUMBER(AVERAGE('20250815_ETF_Options_Exhibits'!W464:W468)),AVERAGE('20250815_ETF_Options_Exhibits'!W464:W468),"")</f>
        <v/>
      </c>
      <c r="X468" s="3">
        <f>IF(ISNUMBER(AVERAGE('20250815_ETF_Options_Exhibits'!X464:X468)),AVERAGE('20250815_ETF_Options_Exhibits'!X464:X468),"")</f>
        <v/>
      </c>
      <c r="Y468" s="3">
        <f>IF(ISNUMBER(AVERAGE('20250815_ETF_Options_Exhibits'!Y464:Y468)),AVERAGE('20250815_ETF_Options_Exhibits'!Y464:Y468),"")</f>
        <v/>
      </c>
      <c r="Z468" s="3">
        <f>IF(ISNUMBER(AVERAGE('20250815_ETF_Options_Exhibits'!Z464:Z468)),AVERAGE('20250815_ETF_Options_Exhibits'!Z464:Z468),"")</f>
        <v/>
      </c>
      <c r="AA468" s="3">
        <f>IF(ISNUMBER(AVERAGE('20250815_ETF_Options_Exhibits'!AA464:AA468)),AVERAGE('20250815_ETF_Options_Exhibits'!AA464:AA468),"")</f>
        <v/>
      </c>
    </row>
    <row r="469">
      <c r="A469" s="1" t="n">
        <v>42681</v>
      </c>
      <c r="B469" s="3">
        <f>IF(ISNUMBER(AVERAGE('20250815_ETF_Options_Exhibits'!B465:B469)),AVERAGE('20250815_ETF_Options_Exhibits'!B465:B469),"")</f>
        <v/>
      </c>
      <c r="C469" s="3">
        <f>IF(ISNUMBER(AVERAGE('20250815_ETF_Options_Exhibits'!C465:C469)),AVERAGE('20250815_ETF_Options_Exhibits'!C465:C469),"")</f>
        <v/>
      </c>
      <c r="D469" s="3">
        <f>IF(ISNUMBER(AVERAGE('20250815_ETF_Options_Exhibits'!D465:D469)),AVERAGE('20250815_ETF_Options_Exhibits'!D465:D469),"")</f>
        <v/>
      </c>
      <c r="E469" s="3">
        <f>IF(ISNUMBER(AVERAGE('20250815_ETF_Options_Exhibits'!E465:E469)),AVERAGE('20250815_ETF_Options_Exhibits'!E465:E469),"")</f>
        <v/>
      </c>
      <c r="F469" s="3">
        <f>IF(ISNUMBER(AVERAGE('20250815_ETF_Options_Exhibits'!F465:F469)),AVERAGE('20250815_ETF_Options_Exhibits'!F465:F469),"")</f>
        <v/>
      </c>
      <c r="G469" s="3">
        <f>IF(ISNUMBER(AVERAGE('20250815_ETF_Options_Exhibits'!G465:G469)),AVERAGE('20250815_ETF_Options_Exhibits'!G465:G469),"")</f>
        <v/>
      </c>
      <c r="H469" s="3">
        <f>IF(ISNUMBER(AVERAGE('20250815_ETF_Options_Exhibits'!H465:H469)),AVERAGE('20250815_ETF_Options_Exhibits'!H465:H469),"")</f>
        <v/>
      </c>
      <c r="I469" s="3">
        <f>IF(ISNUMBER(AVERAGE('20250815_ETF_Options_Exhibits'!I465:I469)),AVERAGE('20250815_ETF_Options_Exhibits'!I465:I469),"")</f>
        <v/>
      </c>
      <c r="J469" s="3">
        <f>IF(ISNUMBER(AVERAGE('20250815_ETF_Options_Exhibits'!J465:J469)),AVERAGE('20250815_ETF_Options_Exhibits'!J465:J469),"")</f>
        <v/>
      </c>
      <c r="K469" s="3">
        <f>IF(ISNUMBER(AVERAGE('20250815_ETF_Options_Exhibits'!K465:K469)),AVERAGE('20250815_ETF_Options_Exhibits'!K465:K469),"")</f>
        <v/>
      </c>
      <c r="L469" s="3">
        <f>IF(ISNUMBER(AVERAGE('20250815_ETF_Options_Exhibits'!L465:L469)),AVERAGE('20250815_ETF_Options_Exhibits'!L465:L469),"")</f>
        <v/>
      </c>
      <c r="M469" s="3">
        <f>IF(ISNUMBER(AVERAGE('20250815_ETF_Options_Exhibits'!M465:M469)),AVERAGE('20250815_ETF_Options_Exhibits'!M465:M469),"")</f>
        <v/>
      </c>
      <c r="N469" s="3">
        <f>IF(ISNUMBER(AVERAGE('20250815_ETF_Options_Exhibits'!N465:N469)),AVERAGE('20250815_ETF_Options_Exhibits'!N465:N469),"")</f>
        <v/>
      </c>
      <c r="O469" s="3">
        <f>IF(ISNUMBER(AVERAGE('20250815_ETF_Options_Exhibits'!O465:O469)),AVERAGE('20250815_ETF_Options_Exhibits'!O465:O469),"")</f>
        <v/>
      </c>
      <c r="P469" s="3">
        <f>IF(ISNUMBER(AVERAGE('20250815_ETF_Options_Exhibits'!P465:P469)),AVERAGE('20250815_ETF_Options_Exhibits'!P465:P469),"")</f>
        <v/>
      </c>
      <c r="Q469" s="3">
        <f>IF(ISNUMBER(AVERAGE('20250815_ETF_Options_Exhibits'!Q465:Q469)),AVERAGE('20250815_ETF_Options_Exhibits'!Q465:Q469),"")</f>
        <v/>
      </c>
      <c r="R469" s="3">
        <f>IF(ISNUMBER(AVERAGE('20250815_ETF_Options_Exhibits'!R465:R469)),AVERAGE('20250815_ETF_Options_Exhibits'!R465:R469),"")</f>
        <v/>
      </c>
      <c r="S469" s="3">
        <f>IF(ISNUMBER(AVERAGE('20250815_ETF_Options_Exhibits'!S465:S469)),AVERAGE('20250815_ETF_Options_Exhibits'!S465:S469),"")</f>
        <v/>
      </c>
      <c r="T469" s="3">
        <f>IF(ISNUMBER(AVERAGE('20250815_ETF_Options_Exhibits'!T465:T469)),AVERAGE('20250815_ETF_Options_Exhibits'!T465:T469),"")</f>
        <v/>
      </c>
      <c r="U469" s="3">
        <f>IF(ISNUMBER(AVERAGE('20250815_ETF_Options_Exhibits'!U465:U469)),AVERAGE('20250815_ETF_Options_Exhibits'!U465:U469),"")</f>
        <v/>
      </c>
      <c r="V469" s="3">
        <f>IF(ISNUMBER(AVERAGE('20250815_ETF_Options_Exhibits'!V465:V469)),AVERAGE('20250815_ETF_Options_Exhibits'!V465:V469),"")</f>
        <v/>
      </c>
      <c r="W469" s="3">
        <f>IF(ISNUMBER(AVERAGE('20250815_ETF_Options_Exhibits'!W465:W469)),AVERAGE('20250815_ETF_Options_Exhibits'!W465:W469),"")</f>
        <v/>
      </c>
      <c r="X469" s="3">
        <f>IF(ISNUMBER(AVERAGE('20250815_ETF_Options_Exhibits'!X465:X469)),AVERAGE('20250815_ETF_Options_Exhibits'!X465:X469),"")</f>
        <v/>
      </c>
      <c r="Y469" s="3">
        <f>IF(ISNUMBER(AVERAGE('20250815_ETF_Options_Exhibits'!Y465:Y469)),AVERAGE('20250815_ETF_Options_Exhibits'!Y465:Y469),"")</f>
        <v/>
      </c>
      <c r="Z469" s="3">
        <f>IF(ISNUMBER(AVERAGE('20250815_ETF_Options_Exhibits'!Z465:Z469)),AVERAGE('20250815_ETF_Options_Exhibits'!Z465:Z469),"")</f>
        <v/>
      </c>
      <c r="AA469" s="3">
        <f>IF(ISNUMBER(AVERAGE('20250815_ETF_Options_Exhibits'!AA465:AA469)),AVERAGE('20250815_ETF_Options_Exhibits'!AA465:AA469),"")</f>
        <v/>
      </c>
    </row>
    <row r="470">
      <c r="A470" s="1" t="n">
        <v>42682</v>
      </c>
      <c r="B470" s="3">
        <f>IF(ISNUMBER(AVERAGE('20250815_ETF_Options_Exhibits'!B466:B470)),AVERAGE('20250815_ETF_Options_Exhibits'!B466:B470),"")</f>
        <v/>
      </c>
      <c r="C470" s="3">
        <f>IF(ISNUMBER(AVERAGE('20250815_ETF_Options_Exhibits'!C466:C470)),AVERAGE('20250815_ETF_Options_Exhibits'!C466:C470),"")</f>
        <v/>
      </c>
      <c r="D470" s="3">
        <f>IF(ISNUMBER(AVERAGE('20250815_ETF_Options_Exhibits'!D466:D470)),AVERAGE('20250815_ETF_Options_Exhibits'!D466:D470),"")</f>
        <v/>
      </c>
      <c r="E470" s="3">
        <f>IF(ISNUMBER(AVERAGE('20250815_ETF_Options_Exhibits'!E466:E470)),AVERAGE('20250815_ETF_Options_Exhibits'!E466:E470),"")</f>
        <v/>
      </c>
      <c r="F470" s="3">
        <f>IF(ISNUMBER(AVERAGE('20250815_ETF_Options_Exhibits'!F466:F470)),AVERAGE('20250815_ETF_Options_Exhibits'!F466:F470),"")</f>
        <v/>
      </c>
      <c r="G470" s="3">
        <f>IF(ISNUMBER(AVERAGE('20250815_ETF_Options_Exhibits'!G466:G470)),AVERAGE('20250815_ETF_Options_Exhibits'!G466:G470),"")</f>
        <v/>
      </c>
      <c r="H470" s="3">
        <f>IF(ISNUMBER(AVERAGE('20250815_ETF_Options_Exhibits'!H466:H470)),AVERAGE('20250815_ETF_Options_Exhibits'!H466:H470),"")</f>
        <v/>
      </c>
      <c r="I470" s="3">
        <f>IF(ISNUMBER(AVERAGE('20250815_ETF_Options_Exhibits'!I466:I470)),AVERAGE('20250815_ETF_Options_Exhibits'!I466:I470),"")</f>
        <v/>
      </c>
      <c r="J470" s="3">
        <f>IF(ISNUMBER(AVERAGE('20250815_ETF_Options_Exhibits'!J466:J470)),AVERAGE('20250815_ETF_Options_Exhibits'!J466:J470),"")</f>
        <v/>
      </c>
      <c r="K470" s="3">
        <f>IF(ISNUMBER(AVERAGE('20250815_ETF_Options_Exhibits'!K466:K470)),AVERAGE('20250815_ETF_Options_Exhibits'!K466:K470),"")</f>
        <v/>
      </c>
      <c r="L470" s="3">
        <f>IF(ISNUMBER(AVERAGE('20250815_ETF_Options_Exhibits'!L466:L470)),AVERAGE('20250815_ETF_Options_Exhibits'!L466:L470),"")</f>
        <v/>
      </c>
      <c r="M470" s="3">
        <f>IF(ISNUMBER(AVERAGE('20250815_ETF_Options_Exhibits'!M466:M470)),AVERAGE('20250815_ETF_Options_Exhibits'!M466:M470),"")</f>
        <v/>
      </c>
      <c r="N470" s="3">
        <f>IF(ISNUMBER(AVERAGE('20250815_ETF_Options_Exhibits'!N466:N470)),AVERAGE('20250815_ETF_Options_Exhibits'!N466:N470),"")</f>
        <v/>
      </c>
      <c r="O470" s="3">
        <f>IF(ISNUMBER(AVERAGE('20250815_ETF_Options_Exhibits'!O466:O470)),AVERAGE('20250815_ETF_Options_Exhibits'!O466:O470),"")</f>
        <v/>
      </c>
      <c r="P470" s="3">
        <f>IF(ISNUMBER(AVERAGE('20250815_ETF_Options_Exhibits'!P466:P470)),AVERAGE('20250815_ETF_Options_Exhibits'!P466:P470),"")</f>
        <v/>
      </c>
      <c r="Q470" s="3">
        <f>IF(ISNUMBER(AVERAGE('20250815_ETF_Options_Exhibits'!Q466:Q470)),AVERAGE('20250815_ETF_Options_Exhibits'!Q466:Q470),"")</f>
        <v/>
      </c>
      <c r="R470" s="3">
        <f>IF(ISNUMBER(AVERAGE('20250815_ETF_Options_Exhibits'!R466:R470)),AVERAGE('20250815_ETF_Options_Exhibits'!R466:R470),"")</f>
        <v/>
      </c>
      <c r="S470" s="3">
        <f>IF(ISNUMBER(AVERAGE('20250815_ETF_Options_Exhibits'!S466:S470)),AVERAGE('20250815_ETF_Options_Exhibits'!S466:S470),"")</f>
        <v/>
      </c>
      <c r="T470" s="3">
        <f>IF(ISNUMBER(AVERAGE('20250815_ETF_Options_Exhibits'!T466:T470)),AVERAGE('20250815_ETF_Options_Exhibits'!T466:T470),"")</f>
        <v/>
      </c>
      <c r="U470" s="3">
        <f>IF(ISNUMBER(AVERAGE('20250815_ETF_Options_Exhibits'!U466:U470)),AVERAGE('20250815_ETF_Options_Exhibits'!U466:U470),"")</f>
        <v/>
      </c>
      <c r="V470" s="3">
        <f>IF(ISNUMBER(AVERAGE('20250815_ETF_Options_Exhibits'!V466:V470)),AVERAGE('20250815_ETF_Options_Exhibits'!V466:V470),"")</f>
        <v/>
      </c>
      <c r="W470" s="3">
        <f>IF(ISNUMBER(AVERAGE('20250815_ETF_Options_Exhibits'!W466:W470)),AVERAGE('20250815_ETF_Options_Exhibits'!W466:W470),"")</f>
        <v/>
      </c>
      <c r="X470" s="3">
        <f>IF(ISNUMBER(AVERAGE('20250815_ETF_Options_Exhibits'!X466:X470)),AVERAGE('20250815_ETF_Options_Exhibits'!X466:X470),"")</f>
        <v/>
      </c>
      <c r="Y470" s="3">
        <f>IF(ISNUMBER(AVERAGE('20250815_ETF_Options_Exhibits'!Y466:Y470)),AVERAGE('20250815_ETF_Options_Exhibits'!Y466:Y470),"")</f>
        <v/>
      </c>
      <c r="Z470" s="3">
        <f>IF(ISNUMBER(AVERAGE('20250815_ETF_Options_Exhibits'!Z466:Z470)),AVERAGE('20250815_ETF_Options_Exhibits'!Z466:Z470),"")</f>
        <v/>
      </c>
      <c r="AA470" s="3">
        <f>IF(ISNUMBER(AVERAGE('20250815_ETF_Options_Exhibits'!AA466:AA470)),AVERAGE('20250815_ETF_Options_Exhibits'!AA466:AA470),"")</f>
        <v/>
      </c>
    </row>
    <row r="471">
      <c r="A471" s="1" t="n">
        <v>42683</v>
      </c>
      <c r="B471" s="3">
        <f>IF(ISNUMBER(AVERAGE('20250815_ETF_Options_Exhibits'!B467:B471)),AVERAGE('20250815_ETF_Options_Exhibits'!B467:B471),"")</f>
        <v/>
      </c>
      <c r="C471" s="3">
        <f>IF(ISNUMBER(AVERAGE('20250815_ETF_Options_Exhibits'!C467:C471)),AVERAGE('20250815_ETF_Options_Exhibits'!C467:C471),"")</f>
        <v/>
      </c>
      <c r="D471" s="3">
        <f>IF(ISNUMBER(AVERAGE('20250815_ETF_Options_Exhibits'!D467:D471)),AVERAGE('20250815_ETF_Options_Exhibits'!D467:D471),"")</f>
        <v/>
      </c>
      <c r="E471" s="3">
        <f>IF(ISNUMBER(AVERAGE('20250815_ETF_Options_Exhibits'!E467:E471)),AVERAGE('20250815_ETF_Options_Exhibits'!E467:E471),"")</f>
        <v/>
      </c>
      <c r="F471" s="3">
        <f>IF(ISNUMBER(AVERAGE('20250815_ETF_Options_Exhibits'!F467:F471)),AVERAGE('20250815_ETF_Options_Exhibits'!F467:F471),"")</f>
        <v/>
      </c>
      <c r="G471" s="3">
        <f>IF(ISNUMBER(AVERAGE('20250815_ETF_Options_Exhibits'!G467:G471)),AVERAGE('20250815_ETF_Options_Exhibits'!G467:G471),"")</f>
        <v/>
      </c>
      <c r="H471" s="3">
        <f>IF(ISNUMBER(AVERAGE('20250815_ETF_Options_Exhibits'!H467:H471)),AVERAGE('20250815_ETF_Options_Exhibits'!H467:H471),"")</f>
        <v/>
      </c>
      <c r="I471" s="3">
        <f>IF(ISNUMBER(AVERAGE('20250815_ETF_Options_Exhibits'!I467:I471)),AVERAGE('20250815_ETF_Options_Exhibits'!I467:I471),"")</f>
        <v/>
      </c>
      <c r="J471" s="3">
        <f>IF(ISNUMBER(AVERAGE('20250815_ETF_Options_Exhibits'!J467:J471)),AVERAGE('20250815_ETF_Options_Exhibits'!J467:J471),"")</f>
        <v/>
      </c>
      <c r="K471" s="3">
        <f>IF(ISNUMBER(AVERAGE('20250815_ETF_Options_Exhibits'!K467:K471)),AVERAGE('20250815_ETF_Options_Exhibits'!K467:K471),"")</f>
        <v/>
      </c>
      <c r="L471" s="3">
        <f>IF(ISNUMBER(AVERAGE('20250815_ETF_Options_Exhibits'!L467:L471)),AVERAGE('20250815_ETF_Options_Exhibits'!L467:L471),"")</f>
        <v/>
      </c>
      <c r="M471" s="3">
        <f>IF(ISNUMBER(AVERAGE('20250815_ETF_Options_Exhibits'!M467:M471)),AVERAGE('20250815_ETF_Options_Exhibits'!M467:M471),"")</f>
        <v/>
      </c>
      <c r="N471" s="3">
        <f>IF(ISNUMBER(AVERAGE('20250815_ETF_Options_Exhibits'!N467:N471)),AVERAGE('20250815_ETF_Options_Exhibits'!N467:N471),"")</f>
        <v/>
      </c>
      <c r="O471" s="3">
        <f>IF(ISNUMBER(AVERAGE('20250815_ETF_Options_Exhibits'!O467:O471)),AVERAGE('20250815_ETF_Options_Exhibits'!O467:O471),"")</f>
        <v/>
      </c>
      <c r="P471" s="3">
        <f>IF(ISNUMBER(AVERAGE('20250815_ETF_Options_Exhibits'!P467:P471)),AVERAGE('20250815_ETF_Options_Exhibits'!P467:P471),"")</f>
        <v/>
      </c>
      <c r="Q471" s="3">
        <f>IF(ISNUMBER(AVERAGE('20250815_ETF_Options_Exhibits'!Q467:Q471)),AVERAGE('20250815_ETF_Options_Exhibits'!Q467:Q471),"")</f>
        <v/>
      </c>
      <c r="R471" s="3">
        <f>IF(ISNUMBER(AVERAGE('20250815_ETF_Options_Exhibits'!R467:R471)),AVERAGE('20250815_ETF_Options_Exhibits'!R467:R471),"")</f>
        <v/>
      </c>
      <c r="S471" s="3">
        <f>IF(ISNUMBER(AVERAGE('20250815_ETF_Options_Exhibits'!S467:S471)),AVERAGE('20250815_ETF_Options_Exhibits'!S467:S471),"")</f>
        <v/>
      </c>
      <c r="T471" s="3">
        <f>IF(ISNUMBER(AVERAGE('20250815_ETF_Options_Exhibits'!T467:T471)),AVERAGE('20250815_ETF_Options_Exhibits'!T467:T471),"")</f>
        <v/>
      </c>
      <c r="U471" s="3">
        <f>IF(ISNUMBER(AVERAGE('20250815_ETF_Options_Exhibits'!U467:U471)),AVERAGE('20250815_ETF_Options_Exhibits'!U467:U471),"")</f>
        <v/>
      </c>
      <c r="V471" s="3">
        <f>IF(ISNUMBER(AVERAGE('20250815_ETF_Options_Exhibits'!V467:V471)),AVERAGE('20250815_ETF_Options_Exhibits'!V467:V471),"")</f>
        <v/>
      </c>
      <c r="W471" s="3">
        <f>IF(ISNUMBER(AVERAGE('20250815_ETF_Options_Exhibits'!W467:W471)),AVERAGE('20250815_ETF_Options_Exhibits'!W467:W471),"")</f>
        <v/>
      </c>
      <c r="X471" s="3">
        <f>IF(ISNUMBER(AVERAGE('20250815_ETF_Options_Exhibits'!X467:X471)),AVERAGE('20250815_ETF_Options_Exhibits'!X467:X471),"")</f>
        <v/>
      </c>
      <c r="Y471" s="3">
        <f>IF(ISNUMBER(AVERAGE('20250815_ETF_Options_Exhibits'!Y467:Y471)),AVERAGE('20250815_ETF_Options_Exhibits'!Y467:Y471),"")</f>
        <v/>
      </c>
      <c r="Z471" s="3">
        <f>IF(ISNUMBER(AVERAGE('20250815_ETF_Options_Exhibits'!Z467:Z471)),AVERAGE('20250815_ETF_Options_Exhibits'!Z467:Z471),"")</f>
        <v/>
      </c>
      <c r="AA471" s="3">
        <f>IF(ISNUMBER(AVERAGE('20250815_ETF_Options_Exhibits'!AA467:AA471)),AVERAGE('20250815_ETF_Options_Exhibits'!AA467:AA471),"")</f>
        <v/>
      </c>
    </row>
    <row r="472">
      <c r="A472" s="1" t="n">
        <v>42684</v>
      </c>
      <c r="B472" s="3">
        <f>IF(ISNUMBER(AVERAGE('20250815_ETF_Options_Exhibits'!B468:B472)),AVERAGE('20250815_ETF_Options_Exhibits'!B468:B472),"")</f>
        <v/>
      </c>
      <c r="C472" s="3">
        <f>IF(ISNUMBER(AVERAGE('20250815_ETF_Options_Exhibits'!C468:C472)),AVERAGE('20250815_ETF_Options_Exhibits'!C468:C472),"")</f>
        <v/>
      </c>
      <c r="D472" s="3">
        <f>IF(ISNUMBER(AVERAGE('20250815_ETF_Options_Exhibits'!D468:D472)),AVERAGE('20250815_ETF_Options_Exhibits'!D468:D472),"")</f>
        <v/>
      </c>
      <c r="E472" s="3">
        <f>IF(ISNUMBER(AVERAGE('20250815_ETF_Options_Exhibits'!E468:E472)),AVERAGE('20250815_ETF_Options_Exhibits'!E468:E472),"")</f>
        <v/>
      </c>
      <c r="F472" s="3">
        <f>IF(ISNUMBER(AVERAGE('20250815_ETF_Options_Exhibits'!F468:F472)),AVERAGE('20250815_ETF_Options_Exhibits'!F468:F472),"")</f>
        <v/>
      </c>
      <c r="G472" s="3">
        <f>IF(ISNUMBER(AVERAGE('20250815_ETF_Options_Exhibits'!G468:G472)),AVERAGE('20250815_ETF_Options_Exhibits'!G468:G472),"")</f>
        <v/>
      </c>
      <c r="H472" s="3">
        <f>IF(ISNUMBER(AVERAGE('20250815_ETF_Options_Exhibits'!H468:H472)),AVERAGE('20250815_ETF_Options_Exhibits'!H468:H472),"")</f>
        <v/>
      </c>
      <c r="I472" s="3">
        <f>IF(ISNUMBER(AVERAGE('20250815_ETF_Options_Exhibits'!I468:I472)),AVERAGE('20250815_ETF_Options_Exhibits'!I468:I472),"")</f>
        <v/>
      </c>
      <c r="J472" s="3">
        <f>IF(ISNUMBER(AVERAGE('20250815_ETF_Options_Exhibits'!J468:J472)),AVERAGE('20250815_ETF_Options_Exhibits'!J468:J472),"")</f>
        <v/>
      </c>
      <c r="K472" s="3">
        <f>IF(ISNUMBER(AVERAGE('20250815_ETF_Options_Exhibits'!K468:K472)),AVERAGE('20250815_ETF_Options_Exhibits'!K468:K472),"")</f>
        <v/>
      </c>
      <c r="L472" s="3">
        <f>IF(ISNUMBER(AVERAGE('20250815_ETF_Options_Exhibits'!L468:L472)),AVERAGE('20250815_ETF_Options_Exhibits'!L468:L472),"")</f>
        <v/>
      </c>
      <c r="M472" s="3">
        <f>IF(ISNUMBER(AVERAGE('20250815_ETF_Options_Exhibits'!M468:M472)),AVERAGE('20250815_ETF_Options_Exhibits'!M468:M472),"")</f>
        <v/>
      </c>
      <c r="N472" s="3">
        <f>IF(ISNUMBER(AVERAGE('20250815_ETF_Options_Exhibits'!N468:N472)),AVERAGE('20250815_ETF_Options_Exhibits'!N468:N472),"")</f>
        <v/>
      </c>
      <c r="O472" s="3">
        <f>IF(ISNUMBER(AVERAGE('20250815_ETF_Options_Exhibits'!O468:O472)),AVERAGE('20250815_ETF_Options_Exhibits'!O468:O472),"")</f>
        <v/>
      </c>
      <c r="P472" s="3">
        <f>IF(ISNUMBER(AVERAGE('20250815_ETF_Options_Exhibits'!P468:P472)),AVERAGE('20250815_ETF_Options_Exhibits'!P468:P472),"")</f>
        <v/>
      </c>
      <c r="Q472" s="3">
        <f>IF(ISNUMBER(AVERAGE('20250815_ETF_Options_Exhibits'!Q468:Q472)),AVERAGE('20250815_ETF_Options_Exhibits'!Q468:Q472),"")</f>
        <v/>
      </c>
      <c r="R472" s="3">
        <f>IF(ISNUMBER(AVERAGE('20250815_ETF_Options_Exhibits'!R468:R472)),AVERAGE('20250815_ETF_Options_Exhibits'!R468:R472),"")</f>
        <v/>
      </c>
      <c r="S472" s="3">
        <f>IF(ISNUMBER(AVERAGE('20250815_ETF_Options_Exhibits'!S468:S472)),AVERAGE('20250815_ETF_Options_Exhibits'!S468:S472),"")</f>
        <v/>
      </c>
      <c r="T472" s="3">
        <f>IF(ISNUMBER(AVERAGE('20250815_ETF_Options_Exhibits'!T468:T472)),AVERAGE('20250815_ETF_Options_Exhibits'!T468:T472),"")</f>
        <v/>
      </c>
      <c r="U472" s="3">
        <f>IF(ISNUMBER(AVERAGE('20250815_ETF_Options_Exhibits'!U468:U472)),AVERAGE('20250815_ETF_Options_Exhibits'!U468:U472),"")</f>
        <v/>
      </c>
      <c r="V472" s="3">
        <f>IF(ISNUMBER(AVERAGE('20250815_ETF_Options_Exhibits'!V468:V472)),AVERAGE('20250815_ETF_Options_Exhibits'!V468:V472),"")</f>
        <v/>
      </c>
      <c r="W472" s="3">
        <f>IF(ISNUMBER(AVERAGE('20250815_ETF_Options_Exhibits'!W468:W472)),AVERAGE('20250815_ETF_Options_Exhibits'!W468:W472),"")</f>
        <v/>
      </c>
      <c r="X472" s="3">
        <f>IF(ISNUMBER(AVERAGE('20250815_ETF_Options_Exhibits'!X468:X472)),AVERAGE('20250815_ETF_Options_Exhibits'!X468:X472),"")</f>
        <v/>
      </c>
      <c r="Y472" s="3">
        <f>IF(ISNUMBER(AVERAGE('20250815_ETF_Options_Exhibits'!Y468:Y472)),AVERAGE('20250815_ETF_Options_Exhibits'!Y468:Y472),"")</f>
        <v/>
      </c>
      <c r="Z472" s="3">
        <f>IF(ISNUMBER(AVERAGE('20250815_ETF_Options_Exhibits'!Z468:Z472)),AVERAGE('20250815_ETF_Options_Exhibits'!Z468:Z472),"")</f>
        <v/>
      </c>
      <c r="AA472" s="3">
        <f>IF(ISNUMBER(AVERAGE('20250815_ETF_Options_Exhibits'!AA468:AA472)),AVERAGE('20250815_ETF_Options_Exhibits'!AA468:AA472),"")</f>
        <v/>
      </c>
    </row>
    <row r="473">
      <c r="A473" s="1" t="n">
        <v>42685</v>
      </c>
      <c r="B473" s="3">
        <f>IF(ISNUMBER(AVERAGE('20250815_ETF_Options_Exhibits'!B469:B473)),AVERAGE('20250815_ETF_Options_Exhibits'!B469:B473),"")</f>
        <v/>
      </c>
      <c r="C473" s="3">
        <f>IF(ISNUMBER(AVERAGE('20250815_ETF_Options_Exhibits'!C469:C473)),AVERAGE('20250815_ETF_Options_Exhibits'!C469:C473),"")</f>
        <v/>
      </c>
      <c r="D473" s="3">
        <f>IF(ISNUMBER(AVERAGE('20250815_ETF_Options_Exhibits'!D469:D473)),AVERAGE('20250815_ETF_Options_Exhibits'!D469:D473),"")</f>
        <v/>
      </c>
      <c r="E473" s="3">
        <f>IF(ISNUMBER(AVERAGE('20250815_ETF_Options_Exhibits'!E469:E473)),AVERAGE('20250815_ETF_Options_Exhibits'!E469:E473),"")</f>
        <v/>
      </c>
      <c r="F473" s="3">
        <f>IF(ISNUMBER(AVERAGE('20250815_ETF_Options_Exhibits'!F469:F473)),AVERAGE('20250815_ETF_Options_Exhibits'!F469:F473),"")</f>
        <v/>
      </c>
      <c r="G473" s="3">
        <f>IF(ISNUMBER(AVERAGE('20250815_ETF_Options_Exhibits'!G469:G473)),AVERAGE('20250815_ETF_Options_Exhibits'!G469:G473),"")</f>
        <v/>
      </c>
      <c r="H473" s="3">
        <f>IF(ISNUMBER(AVERAGE('20250815_ETF_Options_Exhibits'!H469:H473)),AVERAGE('20250815_ETF_Options_Exhibits'!H469:H473),"")</f>
        <v/>
      </c>
      <c r="I473" s="3">
        <f>IF(ISNUMBER(AVERAGE('20250815_ETF_Options_Exhibits'!I469:I473)),AVERAGE('20250815_ETF_Options_Exhibits'!I469:I473),"")</f>
        <v/>
      </c>
      <c r="J473" s="3">
        <f>IF(ISNUMBER(AVERAGE('20250815_ETF_Options_Exhibits'!J469:J473)),AVERAGE('20250815_ETF_Options_Exhibits'!J469:J473),"")</f>
        <v/>
      </c>
      <c r="K473" s="3">
        <f>IF(ISNUMBER(AVERAGE('20250815_ETF_Options_Exhibits'!K469:K473)),AVERAGE('20250815_ETF_Options_Exhibits'!K469:K473),"")</f>
        <v/>
      </c>
      <c r="L473" s="3">
        <f>IF(ISNUMBER(AVERAGE('20250815_ETF_Options_Exhibits'!L469:L473)),AVERAGE('20250815_ETF_Options_Exhibits'!L469:L473),"")</f>
        <v/>
      </c>
      <c r="M473" s="3">
        <f>IF(ISNUMBER(AVERAGE('20250815_ETF_Options_Exhibits'!M469:M473)),AVERAGE('20250815_ETF_Options_Exhibits'!M469:M473),"")</f>
        <v/>
      </c>
      <c r="N473" s="3">
        <f>IF(ISNUMBER(AVERAGE('20250815_ETF_Options_Exhibits'!N469:N473)),AVERAGE('20250815_ETF_Options_Exhibits'!N469:N473),"")</f>
        <v/>
      </c>
      <c r="O473" s="3">
        <f>IF(ISNUMBER(AVERAGE('20250815_ETF_Options_Exhibits'!O469:O473)),AVERAGE('20250815_ETF_Options_Exhibits'!O469:O473),"")</f>
        <v/>
      </c>
      <c r="P473" s="3">
        <f>IF(ISNUMBER(AVERAGE('20250815_ETF_Options_Exhibits'!P469:P473)),AVERAGE('20250815_ETF_Options_Exhibits'!P469:P473),"")</f>
        <v/>
      </c>
      <c r="Q473" s="3">
        <f>IF(ISNUMBER(AVERAGE('20250815_ETF_Options_Exhibits'!Q469:Q473)),AVERAGE('20250815_ETF_Options_Exhibits'!Q469:Q473),"")</f>
        <v/>
      </c>
      <c r="R473" s="3">
        <f>IF(ISNUMBER(AVERAGE('20250815_ETF_Options_Exhibits'!R469:R473)),AVERAGE('20250815_ETF_Options_Exhibits'!R469:R473),"")</f>
        <v/>
      </c>
      <c r="S473" s="3">
        <f>IF(ISNUMBER(AVERAGE('20250815_ETF_Options_Exhibits'!S469:S473)),AVERAGE('20250815_ETF_Options_Exhibits'!S469:S473),"")</f>
        <v/>
      </c>
      <c r="T473" s="3">
        <f>IF(ISNUMBER(AVERAGE('20250815_ETF_Options_Exhibits'!T469:T473)),AVERAGE('20250815_ETF_Options_Exhibits'!T469:T473),"")</f>
        <v/>
      </c>
      <c r="U473" s="3">
        <f>IF(ISNUMBER(AVERAGE('20250815_ETF_Options_Exhibits'!U469:U473)),AVERAGE('20250815_ETF_Options_Exhibits'!U469:U473),"")</f>
        <v/>
      </c>
      <c r="V473" s="3">
        <f>IF(ISNUMBER(AVERAGE('20250815_ETF_Options_Exhibits'!V469:V473)),AVERAGE('20250815_ETF_Options_Exhibits'!V469:V473),"")</f>
        <v/>
      </c>
      <c r="W473" s="3">
        <f>IF(ISNUMBER(AVERAGE('20250815_ETF_Options_Exhibits'!W469:W473)),AVERAGE('20250815_ETF_Options_Exhibits'!W469:W473),"")</f>
        <v/>
      </c>
      <c r="X473" s="3">
        <f>IF(ISNUMBER(AVERAGE('20250815_ETF_Options_Exhibits'!X469:X473)),AVERAGE('20250815_ETF_Options_Exhibits'!X469:X473),"")</f>
        <v/>
      </c>
      <c r="Y473" s="3">
        <f>IF(ISNUMBER(AVERAGE('20250815_ETF_Options_Exhibits'!Y469:Y473)),AVERAGE('20250815_ETF_Options_Exhibits'!Y469:Y473),"")</f>
        <v/>
      </c>
      <c r="Z473" s="3">
        <f>IF(ISNUMBER(AVERAGE('20250815_ETF_Options_Exhibits'!Z469:Z473)),AVERAGE('20250815_ETF_Options_Exhibits'!Z469:Z473),"")</f>
        <v/>
      </c>
      <c r="AA473" s="3">
        <f>IF(ISNUMBER(AVERAGE('20250815_ETF_Options_Exhibits'!AA469:AA473)),AVERAGE('20250815_ETF_Options_Exhibits'!AA469:AA473),"")</f>
        <v/>
      </c>
    </row>
    <row r="474">
      <c r="A474" s="1" t="n">
        <v>42688</v>
      </c>
      <c r="B474" s="3">
        <f>IF(ISNUMBER(AVERAGE('20250815_ETF_Options_Exhibits'!B470:B474)),AVERAGE('20250815_ETF_Options_Exhibits'!B470:B474),"")</f>
        <v/>
      </c>
      <c r="C474" s="3">
        <f>IF(ISNUMBER(AVERAGE('20250815_ETF_Options_Exhibits'!C470:C474)),AVERAGE('20250815_ETF_Options_Exhibits'!C470:C474),"")</f>
        <v/>
      </c>
      <c r="D474" s="3">
        <f>IF(ISNUMBER(AVERAGE('20250815_ETF_Options_Exhibits'!D470:D474)),AVERAGE('20250815_ETF_Options_Exhibits'!D470:D474),"")</f>
        <v/>
      </c>
      <c r="E474" s="3">
        <f>IF(ISNUMBER(AVERAGE('20250815_ETF_Options_Exhibits'!E470:E474)),AVERAGE('20250815_ETF_Options_Exhibits'!E470:E474),"")</f>
        <v/>
      </c>
      <c r="F474" s="3">
        <f>IF(ISNUMBER(AVERAGE('20250815_ETF_Options_Exhibits'!F470:F474)),AVERAGE('20250815_ETF_Options_Exhibits'!F470:F474),"")</f>
        <v/>
      </c>
      <c r="G474" s="3">
        <f>IF(ISNUMBER(AVERAGE('20250815_ETF_Options_Exhibits'!G470:G474)),AVERAGE('20250815_ETF_Options_Exhibits'!G470:G474),"")</f>
        <v/>
      </c>
      <c r="H474" s="3">
        <f>IF(ISNUMBER(AVERAGE('20250815_ETF_Options_Exhibits'!H470:H474)),AVERAGE('20250815_ETF_Options_Exhibits'!H470:H474),"")</f>
        <v/>
      </c>
      <c r="I474" s="3">
        <f>IF(ISNUMBER(AVERAGE('20250815_ETF_Options_Exhibits'!I470:I474)),AVERAGE('20250815_ETF_Options_Exhibits'!I470:I474),"")</f>
        <v/>
      </c>
      <c r="J474" s="3">
        <f>IF(ISNUMBER(AVERAGE('20250815_ETF_Options_Exhibits'!J470:J474)),AVERAGE('20250815_ETF_Options_Exhibits'!J470:J474),"")</f>
        <v/>
      </c>
      <c r="K474" s="3">
        <f>IF(ISNUMBER(AVERAGE('20250815_ETF_Options_Exhibits'!K470:K474)),AVERAGE('20250815_ETF_Options_Exhibits'!K470:K474),"")</f>
        <v/>
      </c>
      <c r="L474" s="3">
        <f>IF(ISNUMBER(AVERAGE('20250815_ETF_Options_Exhibits'!L470:L474)),AVERAGE('20250815_ETF_Options_Exhibits'!L470:L474),"")</f>
        <v/>
      </c>
      <c r="M474" s="3">
        <f>IF(ISNUMBER(AVERAGE('20250815_ETF_Options_Exhibits'!M470:M474)),AVERAGE('20250815_ETF_Options_Exhibits'!M470:M474),"")</f>
        <v/>
      </c>
      <c r="N474" s="3">
        <f>IF(ISNUMBER(AVERAGE('20250815_ETF_Options_Exhibits'!N470:N474)),AVERAGE('20250815_ETF_Options_Exhibits'!N470:N474),"")</f>
        <v/>
      </c>
      <c r="O474" s="3">
        <f>IF(ISNUMBER(AVERAGE('20250815_ETF_Options_Exhibits'!O470:O474)),AVERAGE('20250815_ETF_Options_Exhibits'!O470:O474),"")</f>
        <v/>
      </c>
      <c r="P474" s="3">
        <f>IF(ISNUMBER(AVERAGE('20250815_ETF_Options_Exhibits'!P470:P474)),AVERAGE('20250815_ETF_Options_Exhibits'!P470:P474),"")</f>
        <v/>
      </c>
      <c r="Q474" s="3">
        <f>IF(ISNUMBER(AVERAGE('20250815_ETF_Options_Exhibits'!Q470:Q474)),AVERAGE('20250815_ETF_Options_Exhibits'!Q470:Q474),"")</f>
        <v/>
      </c>
      <c r="R474" s="3">
        <f>IF(ISNUMBER(AVERAGE('20250815_ETF_Options_Exhibits'!R470:R474)),AVERAGE('20250815_ETF_Options_Exhibits'!R470:R474),"")</f>
        <v/>
      </c>
      <c r="S474" s="3">
        <f>IF(ISNUMBER(AVERAGE('20250815_ETF_Options_Exhibits'!S470:S474)),AVERAGE('20250815_ETF_Options_Exhibits'!S470:S474),"")</f>
        <v/>
      </c>
      <c r="T474" s="3">
        <f>IF(ISNUMBER(AVERAGE('20250815_ETF_Options_Exhibits'!T470:T474)),AVERAGE('20250815_ETF_Options_Exhibits'!T470:T474),"")</f>
        <v/>
      </c>
      <c r="U474" s="3">
        <f>IF(ISNUMBER(AVERAGE('20250815_ETF_Options_Exhibits'!U470:U474)),AVERAGE('20250815_ETF_Options_Exhibits'!U470:U474),"")</f>
        <v/>
      </c>
      <c r="V474" s="3">
        <f>IF(ISNUMBER(AVERAGE('20250815_ETF_Options_Exhibits'!V470:V474)),AVERAGE('20250815_ETF_Options_Exhibits'!V470:V474),"")</f>
        <v/>
      </c>
      <c r="W474" s="3">
        <f>IF(ISNUMBER(AVERAGE('20250815_ETF_Options_Exhibits'!W470:W474)),AVERAGE('20250815_ETF_Options_Exhibits'!W470:W474),"")</f>
        <v/>
      </c>
      <c r="X474" s="3">
        <f>IF(ISNUMBER(AVERAGE('20250815_ETF_Options_Exhibits'!X470:X474)),AVERAGE('20250815_ETF_Options_Exhibits'!X470:X474),"")</f>
        <v/>
      </c>
      <c r="Y474" s="3">
        <f>IF(ISNUMBER(AVERAGE('20250815_ETF_Options_Exhibits'!Y470:Y474)),AVERAGE('20250815_ETF_Options_Exhibits'!Y470:Y474),"")</f>
        <v/>
      </c>
      <c r="Z474" s="3">
        <f>IF(ISNUMBER(AVERAGE('20250815_ETF_Options_Exhibits'!Z470:Z474)),AVERAGE('20250815_ETF_Options_Exhibits'!Z470:Z474),"")</f>
        <v/>
      </c>
      <c r="AA474" s="3">
        <f>IF(ISNUMBER(AVERAGE('20250815_ETF_Options_Exhibits'!AA470:AA474)),AVERAGE('20250815_ETF_Options_Exhibits'!AA470:AA474),"")</f>
        <v/>
      </c>
    </row>
    <row r="475">
      <c r="A475" s="1" t="n">
        <v>42689</v>
      </c>
      <c r="B475" s="3">
        <f>IF(ISNUMBER(AVERAGE('20250815_ETF_Options_Exhibits'!B471:B475)),AVERAGE('20250815_ETF_Options_Exhibits'!B471:B475),"")</f>
        <v/>
      </c>
      <c r="C475" s="3">
        <f>IF(ISNUMBER(AVERAGE('20250815_ETF_Options_Exhibits'!C471:C475)),AVERAGE('20250815_ETF_Options_Exhibits'!C471:C475),"")</f>
        <v/>
      </c>
      <c r="D475" s="3">
        <f>IF(ISNUMBER(AVERAGE('20250815_ETF_Options_Exhibits'!D471:D475)),AVERAGE('20250815_ETF_Options_Exhibits'!D471:D475),"")</f>
        <v/>
      </c>
      <c r="E475" s="3">
        <f>IF(ISNUMBER(AVERAGE('20250815_ETF_Options_Exhibits'!E471:E475)),AVERAGE('20250815_ETF_Options_Exhibits'!E471:E475),"")</f>
        <v/>
      </c>
      <c r="F475" s="3">
        <f>IF(ISNUMBER(AVERAGE('20250815_ETF_Options_Exhibits'!F471:F475)),AVERAGE('20250815_ETF_Options_Exhibits'!F471:F475),"")</f>
        <v/>
      </c>
      <c r="G475" s="3">
        <f>IF(ISNUMBER(AVERAGE('20250815_ETF_Options_Exhibits'!G471:G475)),AVERAGE('20250815_ETF_Options_Exhibits'!G471:G475),"")</f>
        <v/>
      </c>
      <c r="H475" s="3">
        <f>IF(ISNUMBER(AVERAGE('20250815_ETF_Options_Exhibits'!H471:H475)),AVERAGE('20250815_ETF_Options_Exhibits'!H471:H475),"")</f>
        <v/>
      </c>
      <c r="I475" s="3">
        <f>IF(ISNUMBER(AVERAGE('20250815_ETF_Options_Exhibits'!I471:I475)),AVERAGE('20250815_ETF_Options_Exhibits'!I471:I475),"")</f>
        <v/>
      </c>
      <c r="J475" s="3">
        <f>IF(ISNUMBER(AVERAGE('20250815_ETF_Options_Exhibits'!J471:J475)),AVERAGE('20250815_ETF_Options_Exhibits'!J471:J475),"")</f>
        <v/>
      </c>
      <c r="K475" s="3">
        <f>IF(ISNUMBER(AVERAGE('20250815_ETF_Options_Exhibits'!K471:K475)),AVERAGE('20250815_ETF_Options_Exhibits'!K471:K475),"")</f>
        <v/>
      </c>
      <c r="L475" s="3">
        <f>IF(ISNUMBER(AVERAGE('20250815_ETF_Options_Exhibits'!L471:L475)),AVERAGE('20250815_ETF_Options_Exhibits'!L471:L475),"")</f>
        <v/>
      </c>
      <c r="M475" s="3">
        <f>IF(ISNUMBER(AVERAGE('20250815_ETF_Options_Exhibits'!M471:M475)),AVERAGE('20250815_ETF_Options_Exhibits'!M471:M475),"")</f>
        <v/>
      </c>
      <c r="N475" s="3">
        <f>IF(ISNUMBER(AVERAGE('20250815_ETF_Options_Exhibits'!N471:N475)),AVERAGE('20250815_ETF_Options_Exhibits'!N471:N475),"")</f>
        <v/>
      </c>
      <c r="O475" s="3">
        <f>IF(ISNUMBER(AVERAGE('20250815_ETF_Options_Exhibits'!O471:O475)),AVERAGE('20250815_ETF_Options_Exhibits'!O471:O475),"")</f>
        <v/>
      </c>
      <c r="P475" s="3">
        <f>IF(ISNUMBER(AVERAGE('20250815_ETF_Options_Exhibits'!P471:P475)),AVERAGE('20250815_ETF_Options_Exhibits'!P471:P475),"")</f>
        <v/>
      </c>
      <c r="Q475" s="3">
        <f>IF(ISNUMBER(AVERAGE('20250815_ETF_Options_Exhibits'!Q471:Q475)),AVERAGE('20250815_ETF_Options_Exhibits'!Q471:Q475),"")</f>
        <v/>
      </c>
      <c r="R475" s="3">
        <f>IF(ISNUMBER(AVERAGE('20250815_ETF_Options_Exhibits'!R471:R475)),AVERAGE('20250815_ETF_Options_Exhibits'!R471:R475),"")</f>
        <v/>
      </c>
      <c r="S475" s="3">
        <f>IF(ISNUMBER(AVERAGE('20250815_ETF_Options_Exhibits'!S471:S475)),AVERAGE('20250815_ETF_Options_Exhibits'!S471:S475),"")</f>
        <v/>
      </c>
      <c r="T475" s="3">
        <f>IF(ISNUMBER(AVERAGE('20250815_ETF_Options_Exhibits'!T471:T475)),AVERAGE('20250815_ETF_Options_Exhibits'!T471:T475),"")</f>
        <v/>
      </c>
      <c r="U475" s="3">
        <f>IF(ISNUMBER(AVERAGE('20250815_ETF_Options_Exhibits'!U471:U475)),AVERAGE('20250815_ETF_Options_Exhibits'!U471:U475),"")</f>
        <v/>
      </c>
      <c r="V475" s="3">
        <f>IF(ISNUMBER(AVERAGE('20250815_ETF_Options_Exhibits'!V471:V475)),AVERAGE('20250815_ETF_Options_Exhibits'!V471:V475),"")</f>
        <v/>
      </c>
      <c r="W475" s="3">
        <f>IF(ISNUMBER(AVERAGE('20250815_ETF_Options_Exhibits'!W471:W475)),AVERAGE('20250815_ETF_Options_Exhibits'!W471:W475),"")</f>
        <v/>
      </c>
      <c r="X475" s="3">
        <f>IF(ISNUMBER(AVERAGE('20250815_ETF_Options_Exhibits'!X471:X475)),AVERAGE('20250815_ETF_Options_Exhibits'!X471:X475),"")</f>
        <v/>
      </c>
      <c r="Y475" s="3">
        <f>IF(ISNUMBER(AVERAGE('20250815_ETF_Options_Exhibits'!Y471:Y475)),AVERAGE('20250815_ETF_Options_Exhibits'!Y471:Y475),"")</f>
        <v/>
      </c>
      <c r="Z475" s="3">
        <f>IF(ISNUMBER(AVERAGE('20250815_ETF_Options_Exhibits'!Z471:Z475)),AVERAGE('20250815_ETF_Options_Exhibits'!Z471:Z475),"")</f>
        <v/>
      </c>
      <c r="AA475" s="3">
        <f>IF(ISNUMBER(AVERAGE('20250815_ETF_Options_Exhibits'!AA471:AA475)),AVERAGE('20250815_ETF_Options_Exhibits'!AA471:AA475),"")</f>
        <v/>
      </c>
    </row>
    <row r="476">
      <c r="A476" s="1" t="n">
        <v>42690</v>
      </c>
      <c r="B476" s="3">
        <f>IF(ISNUMBER(AVERAGE('20250815_ETF_Options_Exhibits'!B472:B476)),AVERAGE('20250815_ETF_Options_Exhibits'!B472:B476),"")</f>
        <v/>
      </c>
      <c r="C476" s="3">
        <f>IF(ISNUMBER(AVERAGE('20250815_ETF_Options_Exhibits'!C472:C476)),AVERAGE('20250815_ETF_Options_Exhibits'!C472:C476),"")</f>
        <v/>
      </c>
      <c r="D476" s="3">
        <f>IF(ISNUMBER(AVERAGE('20250815_ETF_Options_Exhibits'!D472:D476)),AVERAGE('20250815_ETF_Options_Exhibits'!D472:D476),"")</f>
        <v/>
      </c>
      <c r="E476" s="3">
        <f>IF(ISNUMBER(AVERAGE('20250815_ETF_Options_Exhibits'!E472:E476)),AVERAGE('20250815_ETF_Options_Exhibits'!E472:E476),"")</f>
        <v/>
      </c>
      <c r="F476" s="3">
        <f>IF(ISNUMBER(AVERAGE('20250815_ETF_Options_Exhibits'!F472:F476)),AVERAGE('20250815_ETF_Options_Exhibits'!F472:F476),"")</f>
        <v/>
      </c>
      <c r="G476" s="3">
        <f>IF(ISNUMBER(AVERAGE('20250815_ETF_Options_Exhibits'!G472:G476)),AVERAGE('20250815_ETF_Options_Exhibits'!G472:G476),"")</f>
        <v/>
      </c>
      <c r="H476" s="3">
        <f>IF(ISNUMBER(AVERAGE('20250815_ETF_Options_Exhibits'!H472:H476)),AVERAGE('20250815_ETF_Options_Exhibits'!H472:H476),"")</f>
        <v/>
      </c>
      <c r="I476" s="3">
        <f>IF(ISNUMBER(AVERAGE('20250815_ETF_Options_Exhibits'!I472:I476)),AVERAGE('20250815_ETF_Options_Exhibits'!I472:I476),"")</f>
        <v/>
      </c>
      <c r="J476" s="3">
        <f>IF(ISNUMBER(AVERAGE('20250815_ETF_Options_Exhibits'!J472:J476)),AVERAGE('20250815_ETF_Options_Exhibits'!J472:J476),"")</f>
        <v/>
      </c>
      <c r="K476" s="3">
        <f>IF(ISNUMBER(AVERAGE('20250815_ETF_Options_Exhibits'!K472:K476)),AVERAGE('20250815_ETF_Options_Exhibits'!K472:K476),"")</f>
        <v/>
      </c>
      <c r="L476" s="3">
        <f>IF(ISNUMBER(AVERAGE('20250815_ETF_Options_Exhibits'!L472:L476)),AVERAGE('20250815_ETF_Options_Exhibits'!L472:L476),"")</f>
        <v/>
      </c>
      <c r="M476" s="3">
        <f>IF(ISNUMBER(AVERAGE('20250815_ETF_Options_Exhibits'!M472:M476)),AVERAGE('20250815_ETF_Options_Exhibits'!M472:M476),"")</f>
        <v/>
      </c>
      <c r="N476" s="3">
        <f>IF(ISNUMBER(AVERAGE('20250815_ETF_Options_Exhibits'!N472:N476)),AVERAGE('20250815_ETF_Options_Exhibits'!N472:N476),"")</f>
        <v/>
      </c>
      <c r="O476" s="3">
        <f>IF(ISNUMBER(AVERAGE('20250815_ETF_Options_Exhibits'!O472:O476)),AVERAGE('20250815_ETF_Options_Exhibits'!O472:O476),"")</f>
        <v/>
      </c>
      <c r="P476" s="3">
        <f>IF(ISNUMBER(AVERAGE('20250815_ETF_Options_Exhibits'!P472:P476)),AVERAGE('20250815_ETF_Options_Exhibits'!P472:P476),"")</f>
        <v/>
      </c>
      <c r="Q476" s="3">
        <f>IF(ISNUMBER(AVERAGE('20250815_ETF_Options_Exhibits'!Q472:Q476)),AVERAGE('20250815_ETF_Options_Exhibits'!Q472:Q476),"")</f>
        <v/>
      </c>
      <c r="R476" s="3">
        <f>IF(ISNUMBER(AVERAGE('20250815_ETF_Options_Exhibits'!R472:R476)),AVERAGE('20250815_ETF_Options_Exhibits'!R472:R476),"")</f>
        <v/>
      </c>
      <c r="S476" s="3">
        <f>IF(ISNUMBER(AVERAGE('20250815_ETF_Options_Exhibits'!S472:S476)),AVERAGE('20250815_ETF_Options_Exhibits'!S472:S476),"")</f>
        <v/>
      </c>
      <c r="T476" s="3">
        <f>IF(ISNUMBER(AVERAGE('20250815_ETF_Options_Exhibits'!T472:T476)),AVERAGE('20250815_ETF_Options_Exhibits'!T472:T476),"")</f>
        <v/>
      </c>
      <c r="U476" s="3">
        <f>IF(ISNUMBER(AVERAGE('20250815_ETF_Options_Exhibits'!U472:U476)),AVERAGE('20250815_ETF_Options_Exhibits'!U472:U476),"")</f>
        <v/>
      </c>
      <c r="V476" s="3">
        <f>IF(ISNUMBER(AVERAGE('20250815_ETF_Options_Exhibits'!V472:V476)),AVERAGE('20250815_ETF_Options_Exhibits'!V472:V476),"")</f>
        <v/>
      </c>
      <c r="W476" s="3">
        <f>IF(ISNUMBER(AVERAGE('20250815_ETF_Options_Exhibits'!W472:W476)),AVERAGE('20250815_ETF_Options_Exhibits'!W472:W476),"")</f>
        <v/>
      </c>
      <c r="X476" s="3">
        <f>IF(ISNUMBER(AVERAGE('20250815_ETF_Options_Exhibits'!X472:X476)),AVERAGE('20250815_ETF_Options_Exhibits'!X472:X476),"")</f>
        <v/>
      </c>
      <c r="Y476" s="3">
        <f>IF(ISNUMBER(AVERAGE('20250815_ETF_Options_Exhibits'!Y472:Y476)),AVERAGE('20250815_ETF_Options_Exhibits'!Y472:Y476),"")</f>
        <v/>
      </c>
      <c r="Z476" s="3">
        <f>IF(ISNUMBER(AVERAGE('20250815_ETF_Options_Exhibits'!Z472:Z476)),AVERAGE('20250815_ETF_Options_Exhibits'!Z472:Z476),"")</f>
        <v/>
      </c>
      <c r="AA476" s="3">
        <f>IF(ISNUMBER(AVERAGE('20250815_ETF_Options_Exhibits'!AA472:AA476)),AVERAGE('20250815_ETF_Options_Exhibits'!AA472:AA476),"")</f>
        <v/>
      </c>
    </row>
    <row r="477">
      <c r="A477" s="1" t="n">
        <v>42691</v>
      </c>
      <c r="B477" s="3">
        <f>IF(ISNUMBER(AVERAGE('20250815_ETF_Options_Exhibits'!B473:B477)),AVERAGE('20250815_ETF_Options_Exhibits'!B473:B477),"")</f>
        <v/>
      </c>
      <c r="C477" s="3">
        <f>IF(ISNUMBER(AVERAGE('20250815_ETF_Options_Exhibits'!C473:C477)),AVERAGE('20250815_ETF_Options_Exhibits'!C473:C477),"")</f>
        <v/>
      </c>
      <c r="D477" s="3">
        <f>IF(ISNUMBER(AVERAGE('20250815_ETF_Options_Exhibits'!D473:D477)),AVERAGE('20250815_ETF_Options_Exhibits'!D473:D477),"")</f>
        <v/>
      </c>
      <c r="E477" s="3">
        <f>IF(ISNUMBER(AVERAGE('20250815_ETF_Options_Exhibits'!E473:E477)),AVERAGE('20250815_ETF_Options_Exhibits'!E473:E477),"")</f>
        <v/>
      </c>
      <c r="F477" s="3">
        <f>IF(ISNUMBER(AVERAGE('20250815_ETF_Options_Exhibits'!F473:F477)),AVERAGE('20250815_ETF_Options_Exhibits'!F473:F477),"")</f>
        <v/>
      </c>
      <c r="G477" s="3">
        <f>IF(ISNUMBER(AVERAGE('20250815_ETF_Options_Exhibits'!G473:G477)),AVERAGE('20250815_ETF_Options_Exhibits'!G473:G477),"")</f>
        <v/>
      </c>
      <c r="H477" s="3">
        <f>IF(ISNUMBER(AVERAGE('20250815_ETF_Options_Exhibits'!H473:H477)),AVERAGE('20250815_ETF_Options_Exhibits'!H473:H477),"")</f>
        <v/>
      </c>
      <c r="I477" s="3">
        <f>IF(ISNUMBER(AVERAGE('20250815_ETF_Options_Exhibits'!I473:I477)),AVERAGE('20250815_ETF_Options_Exhibits'!I473:I477),"")</f>
        <v/>
      </c>
      <c r="J477" s="3">
        <f>IF(ISNUMBER(AVERAGE('20250815_ETF_Options_Exhibits'!J473:J477)),AVERAGE('20250815_ETF_Options_Exhibits'!J473:J477),"")</f>
        <v/>
      </c>
      <c r="K477" s="3">
        <f>IF(ISNUMBER(AVERAGE('20250815_ETF_Options_Exhibits'!K473:K477)),AVERAGE('20250815_ETF_Options_Exhibits'!K473:K477),"")</f>
        <v/>
      </c>
      <c r="L477" s="3">
        <f>IF(ISNUMBER(AVERAGE('20250815_ETF_Options_Exhibits'!L473:L477)),AVERAGE('20250815_ETF_Options_Exhibits'!L473:L477),"")</f>
        <v/>
      </c>
      <c r="M477" s="3">
        <f>IF(ISNUMBER(AVERAGE('20250815_ETF_Options_Exhibits'!M473:M477)),AVERAGE('20250815_ETF_Options_Exhibits'!M473:M477),"")</f>
        <v/>
      </c>
      <c r="N477" s="3">
        <f>IF(ISNUMBER(AVERAGE('20250815_ETF_Options_Exhibits'!N473:N477)),AVERAGE('20250815_ETF_Options_Exhibits'!N473:N477),"")</f>
        <v/>
      </c>
      <c r="O477" s="3">
        <f>IF(ISNUMBER(AVERAGE('20250815_ETF_Options_Exhibits'!O473:O477)),AVERAGE('20250815_ETF_Options_Exhibits'!O473:O477),"")</f>
        <v/>
      </c>
      <c r="P477" s="3">
        <f>IF(ISNUMBER(AVERAGE('20250815_ETF_Options_Exhibits'!P473:P477)),AVERAGE('20250815_ETF_Options_Exhibits'!P473:P477),"")</f>
        <v/>
      </c>
      <c r="Q477" s="3">
        <f>IF(ISNUMBER(AVERAGE('20250815_ETF_Options_Exhibits'!Q473:Q477)),AVERAGE('20250815_ETF_Options_Exhibits'!Q473:Q477),"")</f>
        <v/>
      </c>
      <c r="R477" s="3">
        <f>IF(ISNUMBER(AVERAGE('20250815_ETF_Options_Exhibits'!R473:R477)),AVERAGE('20250815_ETF_Options_Exhibits'!R473:R477),"")</f>
        <v/>
      </c>
      <c r="S477" s="3">
        <f>IF(ISNUMBER(AVERAGE('20250815_ETF_Options_Exhibits'!S473:S477)),AVERAGE('20250815_ETF_Options_Exhibits'!S473:S477),"")</f>
        <v/>
      </c>
      <c r="T477" s="3">
        <f>IF(ISNUMBER(AVERAGE('20250815_ETF_Options_Exhibits'!T473:T477)),AVERAGE('20250815_ETF_Options_Exhibits'!T473:T477),"")</f>
        <v/>
      </c>
      <c r="U477" s="3">
        <f>IF(ISNUMBER(AVERAGE('20250815_ETF_Options_Exhibits'!U473:U477)),AVERAGE('20250815_ETF_Options_Exhibits'!U473:U477),"")</f>
        <v/>
      </c>
      <c r="V477" s="3">
        <f>IF(ISNUMBER(AVERAGE('20250815_ETF_Options_Exhibits'!V473:V477)),AVERAGE('20250815_ETF_Options_Exhibits'!V473:V477),"")</f>
        <v/>
      </c>
      <c r="W477" s="3">
        <f>IF(ISNUMBER(AVERAGE('20250815_ETF_Options_Exhibits'!W473:W477)),AVERAGE('20250815_ETF_Options_Exhibits'!W473:W477),"")</f>
        <v/>
      </c>
      <c r="X477" s="3">
        <f>IF(ISNUMBER(AVERAGE('20250815_ETF_Options_Exhibits'!X473:X477)),AVERAGE('20250815_ETF_Options_Exhibits'!X473:X477),"")</f>
        <v/>
      </c>
      <c r="Y477" s="3">
        <f>IF(ISNUMBER(AVERAGE('20250815_ETF_Options_Exhibits'!Y473:Y477)),AVERAGE('20250815_ETF_Options_Exhibits'!Y473:Y477),"")</f>
        <v/>
      </c>
      <c r="Z477" s="3">
        <f>IF(ISNUMBER(AVERAGE('20250815_ETF_Options_Exhibits'!Z473:Z477)),AVERAGE('20250815_ETF_Options_Exhibits'!Z473:Z477),"")</f>
        <v/>
      </c>
      <c r="AA477" s="3">
        <f>IF(ISNUMBER(AVERAGE('20250815_ETF_Options_Exhibits'!AA473:AA477)),AVERAGE('20250815_ETF_Options_Exhibits'!AA473:AA477),"")</f>
        <v/>
      </c>
    </row>
    <row r="478">
      <c r="A478" s="1" t="n">
        <v>42692</v>
      </c>
      <c r="B478" s="3">
        <f>IF(ISNUMBER(AVERAGE('20250815_ETF_Options_Exhibits'!B474:B478)),AVERAGE('20250815_ETF_Options_Exhibits'!B474:B478),"")</f>
        <v/>
      </c>
      <c r="C478" s="3">
        <f>IF(ISNUMBER(AVERAGE('20250815_ETF_Options_Exhibits'!C474:C478)),AVERAGE('20250815_ETF_Options_Exhibits'!C474:C478),"")</f>
        <v/>
      </c>
      <c r="D478" s="3">
        <f>IF(ISNUMBER(AVERAGE('20250815_ETF_Options_Exhibits'!D474:D478)),AVERAGE('20250815_ETF_Options_Exhibits'!D474:D478),"")</f>
        <v/>
      </c>
      <c r="E478" s="3">
        <f>IF(ISNUMBER(AVERAGE('20250815_ETF_Options_Exhibits'!E474:E478)),AVERAGE('20250815_ETF_Options_Exhibits'!E474:E478),"")</f>
        <v/>
      </c>
      <c r="F478" s="3">
        <f>IF(ISNUMBER(AVERAGE('20250815_ETF_Options_Exhibits'!F474:F478)),AVERAGE('20250815_ETF_Options_Exhibits'!F474:F478),"")</f>
        <v/>
      </c>
      <c r="G478" s="3">
        <f>IF(ISNUMBER(AVERAGE('20250815_ETF_Options_Exhibits'!G474:G478)),AVERAGE('20250815_ETF_Options_Exhibits'!G474:G478),"")</f>
        <v/>
      </c>
      <c r="H478" s="3">
        <f>IF(ISNUMBER(AVERAGE('20250815_ETF_Options_Exhibits'!H474:H478)),AVERAGE('20250815_ETF_Options_Exhibits'!H474:H478),"")</f>
        <v/>
      </c>
      <c r="I478" s="3">
        <f>IF(ISNUMBER(AVERAGE('20250815_ETF_Options_Exhibits'!I474:I478)),AVERAGE('20250815_ETF_Options_Exhibits'!I474:I478),"")</f>
        <v/>
      </c>
      <c r="J478" s="3">
        <f>IF(ISNUMBER(AVERAGE('20250815_ETF_Options_Exhibits'!J474:J478)),AVERAGE('20250815_ETF_Options_Exhibits'!J474:J478),"")</f>
        <v/>
      </c>
      <c r="K478" s="3">
        <f>IF(ISNUMBER(AVERAGE('20250815_ETF_Options_Exhibits'!K474:K478)),AVERAGE('20250815_ETF_Options_Exhibits'!K474:K478),"")</f>
        <v/>
      </c>
      <c r="L478" s="3">
        <f>IF(ISNUMBER(AVERAGE('20250815_ETF_Options_Exhibits'!L474:L478)),AVERAGE('20250815_ETF_Options_Exhibits'!L474:L478),"")</f>
        <v/>
      </c>
      <c r="M478" s="3">
        <f>IF(ISNUMBER(AVERAGE('20250815_ETF_Options_Exhibits'!M474:M478)),AVERAGE('20250815_ETF_Options_Exhibits'!M474:M478),"")</f>
        <v/>
      </c>
      <c r="N478" s="3">
        <f>IF(ISNUMBER(AVERAGE('20250815_ETF_Options_Exhibits'!N474:N478)),AVERAGE('20250815_ETF_Options_Exhibits'!N474:N478),"")</f>
        <v/>
      </c>
      <c r="O478" s="3">
        <f>IF(ISNUMBER(AVERAGE('20250815_ETF_Options_Exhibits'!O474:O478)),AVERAGE('20250815_ETF_Options_Exhibits'!O474:O478),"")</f>
        <v/>
      </c>
      <c r="P478" s="3">
        <f>IF(ISNUMBER(AVERAGE('20250815_ETF_Options_Exhibits'!P474:P478)),AVERAGE('20250815_ETF_Options_Exhibits'!P474:P478),"")</f>
        <v/>
      </c>
      <c r="Q478" s="3">
        <f>IF(ISNUMBER(AVERAGE('20250815_ETF_Options_Exhibits'!Q474:Q478)),AVERAGE('20250815_ETF_Options_Exhibits'!Q474:Q478),"")</f>
        <v/>
      </c>
      <c r="R478" s="3">
        <f>IF(ISNUMBER(AVERAGE('20250815_ETF_Options_Exhibits'!R474:R478)),AVERAGE('20250815_ETF_Options_Exhibits'!R474:R478),"")</f>
        <v/>
      </c>
      <c r="S478" s="3">
        <f>IF(ISNUMBER(AVERAGE('20250815_ETF_Options_Exhibits'!S474:S478)),AVERAGE('20250815_ETF_Options_Exhibits'!S474:S478),"")</f>
        <v/>
      </c>
      <c r="T478" s="3">
        <f>IF(ISNUMBER(AVERAGE('20250815_ETF_Options_Exhibits'!T474:T478)),AVERAGE('20250815_ETF_Options_Exhibits'!T474:T478),"")</f>
        <v/>
      </c>
      <c r="U478" s="3">
        <f>IF(ISNUMBER(AVERAGE('20250815_ETF_Options_Exhibits'!U474:U478)),AVERAGE('20250815_ETF_Options_Exhibits'!U474:U478),"")</f>
        <v/>
      </c>
      <c r="V478" s="3">
        <f>IF(ISNUMBER(AVERAGE('20250815_ETF_Options_Exhibits'!V474:V478)),AVERAGE('20250815_ETF_Options_Exhibits'!V474:V478),"")</f>
        <v/>
      </c>
      <c r="W478" s="3">
        <f>IF(ISNUMBER(AVERAGE('20250815_ETF_Options_Exhibits'!W474:W478)),AVERAGE('20250815_ETF_Options_Exhibits'!W474:W478),"")</f>
        <v/>
      </c>
      <c r="X478" s="3">
        <f>IF(ISNUMBER(AVERAGE('20250815_ETF_Options_Exhibits'!X474:X478)),AVERAGE('20250815_ETF_Options_Exhibits'!X474:X478),"")</f>
        <v/>
      </c>
      <c r="Y478" s="3">
        <f>IF(ISNUMBER(AVERAGE('20250815_ETF_Options_Exhibits'!Y474:Y478)),AVERAGE('20250815_ETF_Options_Exhibits'!Y474:Y478),"")</f>
        <v/>
      </c>
      <c r="Z478" s="3">
        <f>IF(ISNUMBER(AVERAGE('20250815_ETF_Options_Exhibits'!Z474:Z478)),AVERAGE('20250815_ETF_Options_Exhibits'!Z474:Z478),"")</f>
        <v/>
      </c>
      <c r="AA478" s="3">
        <f>IF(ISNUMBER(AVERAGE('20250815_ETF_Options_Exhibits'!AA474:AA478)),AVERAGE('20250815_ETF_Options_Exhibits'!AA474:AA478),"")</f>
        <v/>
      </c>
    </row>
    <row r="479">
      <c r="A479" s="1" t="n">
        <v>42695</v>
      </c>
      <c r="B479" s="3">
        <f>IF(ISNUMBER(AVERAGE('20250815_ETF_Options_Exhibits'!B475:B479)),AVERAGE('20250815_ETF_Options_Exhibits'!B475:B479),"")</f>
        <v/>
      </c>
      <c r="C479" s="3">
        <f>IF(ISNUMBER(AVERAGE('20250815_ETF_Options_Exhibits'!C475:C479)),AVERAGE('20250815_ETF_Options_Exhibits'!C475:C479),"")</f>
        <v/>
      </c>
      <c r="D479" s="3">
        <f>IF(ISNUMBER(AVERAGE('20250815_ETF_Options_Exhibits'!D475:D479)),AVERAGE('20250815_ETF_Options_Exhibits'!D475:D479),"")</f>
        <v/>
      </c>
      <c r="E479" s="3">
        <f>IF(ISNUMBER(AVERAGE('20250815_ETF_Options_Exhibits'!E475:E479)),AVERAGE('20250815_ETF_Options_Exhibits'!E475:E479),"")</f>
        <v/>
      </c>
      <c r="F479" s="3">
        <f>IF(ISNUMBER(AVERAGE('20250815_ETF_Options_Exhibits'!F475:F479)),AVERAGE('20250815_ETF_Options_Exhibits'!F475:F479),"")</f>
        <v/>
      </c>
      <c r="G479" s="3">
        <f>IF(ISNUMBER(AVERAGE('20250815_ETF_Options_Exhibits'!G475:G479)),AVERAGE('20250815_ETF_Options_Exhibits'!G475:G479),"")</f>
        <v/>
      </c>
      <c r="H479" s="3">
        <f>IF(ISNUMBER(AVERAGE('20250815_ETF_Options_Exhibits'!H475:H479)),AVERAGE('20250815_ETF_Options_Exhibits'!H475:H479),"")</f>
        <v/>
      </c>
      <c r="I479" s="3">
        <f>IF(ISNUMBER(AVERAGE('20250815_ETF_Options_Exhibits'!I475:I479)),AVERAGE('20250815_ETF_Options_Exhibits'!I475:I479),"")</f>
        <v/>
      </c>
      <c r="J479" s="3">
        <f>IF(ISNUMBER(AVERAGE('20250815_ETF_Options_Exhibits'!J475:J479)),AVERAGE('20250815_ETF_Options_Exhibits'!J475:J479),"")</f>
        <v/>
      </c>
      <c r="K479" s="3">
        <f>IF(ISNUMBER(AVERAGE('20250815_ETF_Options_Exhibits'!K475:K479)),AVERAGE('20250815_ETF_Options_Exhibits'!K475:K479),"")</f>
        <v/>
      </c>
      <c r="L479" s="3">
        <f>IF(ISNUMBER(AVERAGE('20250815_ETF_Options_Exhibits'!L475:L479)),AVERAGE('20250815_ETF_Options_Exhibits'!L475:L479),"")</f>
        <v/>
      </c>
      <c r="M479" s="3">
        <f>IF(ISNUMBER(AVERAGE('20250815_ETF_Options_Exhibits'!M475:M479)),AVERAGE('20250815_ETF_Options_Exhibits'!M475:M479),"")</f>
        <v/>
      </c>
      <c r="N479" s="3">
        <f>IF(ISNUMBER(AVERAGE('20250815_ETF_Options_Exhibits'!N475:N479)),AVERAGE('20250815_ETF_Options_Exhibits'!N475:N479),"")</f>
        <v/>
      </c>
      <c r="O479" s="3">
        <f>IF(ISNUMBER(AVERAGE('20250815_ETF_Options_Exhibits'!O475:O479)),AVERAGE('20250815_ETF_Options_Exhibits'!O475:O479),"")</f>
        <v/>
      </c>
      <c r="P479" s="3">
        <f>IF(ISNUMBER(AVERAGE('20250815_ETF_Options_Exhibits'!P475:P479)),AVERAGE('20250815_ETF_Options_Exhibits'!P475:P479),"")</f>
        <v/>
      </c>
      <c r="Q479" s="3">
        <f>IF(ISNUMBER(AVERAGE('20250815_ETF_Options_Exhibits'!Q475:Q479)),AVERAGE('20250815_ETF_Options_Exhibits'!Q475:Q479),"")</f>
        <v/>
      </c>
      <c r="R479" s="3">
        <f>IF(ISNUMBER(AVERAGE('20250815_ETF_Options_Exhibits'!R475:R479)),AVERAGE('20250815_ETF_Options_Exhibits'!R475:R479),"")</f>
        <v/>
      </c>
      <c r="S479" s="3">
        <f>IF(ISNUMBER(AVERAGE('20250815_ETF_Options_Exhibits'!S475:S479)),AVERAGE('20250815_ETF_Options_Exhibits'!S475:S479),"")</f>
        <v/>
      </c>
      <c r="T479" s="3">
        <f>IF(ISNUMBER(AVERAGE('20250815_ETF_Options_Exhibits'!T475:T479)),AVERAGE('20250815_ETF_Options_Exhibits'!T475:T479),"")</f>
        <v/>
      </c>
      <c r="U479" s="3">
        <f>IF(ISNUMBER(AVERAGE('20250815_ETF_Options_Exhibits'!U475:U479)),AVERAGE('20250815_ETF_Options_Exhibits'!U475:U479),"")</f>
        <v/>
      </c>
      <c r="V479" s="3">
        <f>IF(ISNUMBER(AVERAGE('20250815_ETF_Options_Exhibits'!V475:V479)),AVERAGE('20250815_ETF_Options_Exhibits'!V475:V479),"")</f>
        <v/>
      </c>
      <c r="W479" s="3">
        <f>IF(ISNUMBER(AVERAGE('20250815_ETF_Options_Exhibits'!W475:W479)),AVERAGE('20250815_ETF_Options_Exhibits'!W475:W479),"")</f>
        <v/>
      </c>
      <c r="X479" s="3">
        <f>IF(ISNUMBER(AVERAGE('20250815_ETF_Options_Exhibits'!X475:X479)),AVERAGE('20250815_ETF_Options_Exhibits'!X475:X479),"")</f>
        <v/>
      </c>
      <c r="Y479" s="3">
        <f>IF(ISNUMBER(AVERAGE('20250815_ETF_Options_Exhibits'!Y475:Y479)),AVERAGE('20250815_ETF_Options_Exhibits'!Y475:Y479),"")</f>
        <v/>
      </c>
      <c r="Z479" s="3">
        <f>IF(ISNUMBER(AVERAGE('20250815_ETF_Options_Exhibits'!Z475:Z479)),AVERAGE('20250815_ETF_Options_Exhibits'!Z475:Z479),"")</f>
        <v/>
      </c>
      <c r="AA479" s="3">
        <f>IF(ISNUMBER(AVERAGE('20250815_ETF_Options_Exhibits'!AA475:AA479)),AVERAGE('20250815_ETF_Options_Exhibits'!AA475:AA479),"")</f>
        <v/>
      </c>
    </row>
    <row r="480">
      <c r="A480" s="1" t="n">
        <v>42696</v>
      </c>
      <c r="B480" s="3">
        <f>IF(ISNUMBER(AVERAGE('20250815_ETF_Options_Exhibits'!B476:B480)),AVERAGE('20250815_ETF_Options_Exhibits'!B476:B480),"")</f>
        <v/>
      </c>
      <c r="C480" s="3">
        <f>IF(ISNUMBER(AVERAGE('20250815_ETF_Options_Exhibits'!C476:C480)),AVERAGE('20250815_ETF_Options_Exhibits'!C476:C480),"")</f>
        <v/>
      </c>
      <c r="D480" s="3">
        <f>IF(ISNUMBER(AVERAGE('20250815_ETF_Options_Exhibits'!D476:D480)),AVERAGE('20250815_ETF_Options_Exhibits'!D476:D480),"")</f>
        <v/>
      </c>
      <c r="E480" s="3">
        <f>IF(ISNUMBER(AVERAGE('20250815_ETF_Options_Exhibits'!E476:E480)),AVERAGE('20250815_ETF_Options_Exhibits'!E476:E480),"")</f>
        <v/>
      </c>
      <c r="F480" s="3">
        <f>IF(ISNUMBER(AVERAGE('20250815_ETF_Options_Exhibits'!F476:F480)),AVERAGE('20250815_ETF_Options_Exhibits'!F476:F480),"")</f>
        <v/>
      </c>
      <c r="G480" s="3">
        <f>IF(ISNUMBER(AVERAGE('20250815_ETF_Options_Exhibits'!G476:G480)),AVERAGE('20250815_ETF_Options_Exhibits'!G476:G480),"")</f>
        <v/>
      </c>
      <c r="H480" s="3">
        <f>IF(ISNUMBER(AVERAGE('20250815_ETF_Options_Exhibits'!H476:H480)),AVERAGE('20250815_ETF_Options_Exhibits'!H476:H480),"")</f>
        <v/>
      </c>
      <c r="I480" s="3">
        <f>IF(ISNUMBER(AVERAGE('20250815_ETF_Options_Exhibits'!I476:I480)),AVERAGE('20250815_ETF_Options_Exhibits'!I476:I480),"")</f>
        <v/>
      </c>
      <c r="J480" s="3">
        <f>IF(ISNUMBER(AVERAGE('20250815_ETF_Options_Exhibits'!J476:J480)),AVERAGE('20250815_ETF_Options_Exhibits'!J476:J480),"")</f>
        <v/>
      </c>
      <c r="K480" s="3">
        <f>IF(ISNUMBER(AVERAGE('20250815_ETF_Options_Exhibits'!K476:K480)),AVERAGE('20250815_ETF_Options_Exhibits'!K476:K480),"")</f>
        <v/>
      </c>
      <c r="L480" s="3">
        <f>IF(ISNUMBER(AVERAGE('20250815_ETF_Options_Exhibits'!L476:L480)),AVERAGE('20250815_ETF_Options_Exhibits'!L476:L480),"")</f>
        <v/>
      </c>
      <c r="M480" s="3">
        <f>IF(ISNUMBER(AVERAGE('20250815_ETF_Options_Exhibits'!M476:M480)),AVERAGE('20250815_ETF_Options_Exhibits'!M476:M480),"")</f>
        <v/>
      </c>
      <c r="N480" s="3">
        <f>IF(ISNUMBER(AVERAGE('20250815_ETF_Options_Exhibits'!N476:N480)),AVERAGE('20250815_ETF_Options_Exhibits'!N476:N480),"")</f>
        <v/>
      </c>
      <c r="O480" s="3">
        <f>IF(ISNUMBER(AVERAGE('20250815_ETF_Options_Exhibits'!O476:O480)),AVERAGE('20250815_ETF_Options_Exhibits'!O476:O480),"")</f>
        <v/>
      </c>
      <c r="P480" s="3">
        <f>IF(ISNUMBER(AVERAGE('20250815_ETF_Options_Exhibits'!P476:P480)),AVERAGE('20250815_ETF_Options_Exhibits'!P476:P480),"")</f>
        <v/>
      </c>
      <c r="Q480" s="3">
        <f>IF(ISNUMBER(AVERAGE('20250815_ETF_Options_Exhibits'!Q476:Q480)),AVERAGE('20250815_ETF_Options_Exhibits'!Q476:Q480),"")</f>
        <v/>
      </c>
      <c r="R480" s="3">
        <f>IF(ISNUMBER(AVERAGE('20250815_ETF_Options_Exhibits'!R476:R480)),AVERAGE('20250815_ETF_Options_Exhibits'!R476:R480),"")</f>
        <v/>
      </c>
      <c r="S480" s="3">
        <f>IF(ISNUMBER(AVERAGE('20250815_ETF_Options_Exhibits'!S476:S480)),AVERAGE('20250815_ETF_Options_Exhibits'!S476:S480),"")</f>
        <v/>
      </c>
      <c r="T480" s="3">
        <f>IF(ISNUMBER(AVERAGE('20250815_ETF_Options_Exhibits'!T476:T480)),AVERAGE('20250815_ETF_Options_Exhibits'!T476:T480),"")</f>
        <v/>
      </c>
      <c r="U480" s="3">
        <f>IF(ISNUMBER(AVERAGE('20250815_ETF_Options_Exhibits'!U476:U480)),AVERAGE('20250815_ETF_Options_Exhibits'!U476:U480),"")</f>
        <v/>
      </c>
      <c r="V480" s="3">
        <f>IF(ISNUMBER(AVERAGE('20250815_ETF_Options_Exhibits'!V476:V480)),AVERAGE('20250815_ETF_Options_Exhibits'!V476:V480),"")</f>
        <v/>
      </c>
      <c r="W480" s="3">
        <f>IF(ISNUMBER(AVERAGE('20250815_ETF_Options_Exhibits'!W476:W480)),AVERAGE('20250815_ETF_Options_Exhibits'!W476:W480),"")</f>
        <v/>
      </c>
      <c r="X480" s="3">
        <f>IF(ISNUMBER(AVERAGE('20250815_ETF_Options_Exhibits'!X476:X480)),AVERAGE('20250815_ETF_Options_Exhibits'!X476:X480),"")</f>
        <v/>
      </c>
      <c r="Y480" s="3">
        <f>IF(ISNUMBER(AVERAGE('20250815_ETF_Options_Exhibits'!Y476:Y480)),AVERAGE('20250815_ETF_Options_Exhibits'!Y476:Y480),"")</f>
        <v/>
      </c>
      <c r="Z480" s="3">
        <f>IF(ISNUMBER(AVERAGE('20250815_ETF_Options_Exhibits'!Z476:Z480)),AVERAGE('20250815_ETF_Options_Exhibits'!Z476:Z480),"")</f>
        <v/>
      </c>
      <c r="AA480" s="3">
        <f>IF(ISNUMBER(AVERAGE('20250815_ETF_Options_Exhibits'!AA476:AA480)),AVERAGE('20250815_ETF_Options_Exhibits'!AA476:AA480),"")</f>
        <v/>
      </c>
    </row>
    <row r="481">
      <c r="A481" s="1" t="n">
        <v>42697</v>
      </c>
      <c r="B481" s="3">
        <f>IF(ISNUMBER(AVERAGE('20250815_ETF_Options_Exhibits'!B477:B481)),AVERAGE('20250815_ETF_Options_Exhibits'!B477:B481),"")</f>
        <v/>
      </c>
      <c r="C481" s="3">
        <f>IF(ISNUMBER(AVERAGE('20250815_ETF_Options_Exhibits'!C477:C481)),AVERAGE('20250815_ETF_Options_Exhibits'!C477:C481),"")</f>
        <v/>
      </c>
      <c r="D481" s="3">
        <f>IF(ISNUMBER(AVERAGE('20250815_ETF_Options_Exhibits'!D477:D481)),AVERAGE('20250815_ETF_Options_Exhibits'!D477:D481),"")</f>
        <v/>
      </c>
      <c r="E481" s="3">
        <f>IF(ISNUMBER(AVERAGE('20250815_ETF_Options_Exhibits'!E477:E481)),AVERAGE('20250815_ETF_Options_Exhibits'!E477:E481),"")</f>
        <v/>
      </c>
      <c r="F481" s="3">
        <f>IF(ISNUMBER(AVERAGE('20250815_ETF_Options_Exhibits'!F477:F481)),AVERAGE('20250815_ETF_Options_Exhibits'!F477:F481),"")</f>
        <v/>
      </c>
      <c r="G481" s="3">
        <f>IF(ISNUMBER(AVERAGE('20250815_ETF_Options_Exhibits'!G477:G481)),AVERAGE('20250815_ETF_Options_Exhibits'!G477:G481),"")</f>
        <v/>
      </c>
      <c r="H481" s="3">
        <f>IF(ISNUMBER(AVERAGE('20250815_ETF_Options_Exhibits'!H477:H481)),AVERAGE('20250815_ETF_Options_Exhibits'!H477:H481),"")</f>
        <v/>
      </c>
      <c r="I481" s="3">
        <f>IF(ISNUMBER(AVERAGE('20250815_ETF_Options_Exhibits'!I477:I481)),AVERAGE('20250815_ETF_Options_Exhibits'!I477:I481),"")</f>
        <v/>
      </c>
      <c r="J481" s="3">
        <f>IF(ISNUMBER(AVERAGE('20250815_ETF_Options_Exhibits'!J477:J481)),AVERAGE('20250815_ETF_Options_Exhibits'!J477:J481),"")</f>
        <v/>
      </c>
      <c r="K481" s="3">
        <f>IF(ISNUMBER(AVERAGE('20250815_ETF_Options_Exhibits'!K477:K481)),AVERAGE('20250815_ETF_Options_Exhibits'!K477:K481),"")</f>
        <v/>
      </c>
      <c r="L481" s="3">
        <f>IF(ISNUMBER(AVERAGE('20250815_ETF_Options_Exhibits'!L477:L481)),AVERAGE('20250815_ETF_Options_Exhibits'!L477:L481),"")</f>
        <v/>
      </c>
      <c r="M481" s="3">
        <f>IF(ISNUMBER(AVERAGE('20250815_ETF_Options_Exhibits'!M477:M481)),AVERAGE('20250815_ETF_Options_Exhibits'!M477:M481),"")</f>
        <v/>
      </c>
      <c r="N481" s="3">
        <f>IF(ISNUMBER(AVERAGE('20250815_ETF_Options_Exhibits'!N477:N481)),AVERAGE('20250815_ETF_Options_Exhibits'!N477:N481),"")</f>
        <v/>
      </c>
      <c r="O481" s="3">
        <f>IF(ISNUMBER(AVERAGE('20250815_ETF_Options_Exhibits'!O477:O481)),AVERAGE('20250815_ETF_Options_Exhibits'!O477:O481),"")</f>
        <v/>
      </c>
      <c r="P481" s="3">
        <f>IF(ISNUMBER(AVERAGE('20250815_ETF_Options_Exhibits'!P477:P481)),AVERAGE('20250815_ETF_Options_Exhibits'!P477:P481),"")</f>
        <v/>
      </c>
      <c r="Q481" s="3">
        <f>IF(ISNUMBER(AVERAGE('20250815_ETF_Options_Exhibits'!Q477:Q481)),AVERAGE('20250815_ETF_Options_Exhibits'!Q477:Q481),"")</f>
        <v/>
      </c>
      <c r="R481" s="3">
        <f>IF(ISNUMBER(AVERAGE('20250815_ETF_Options_Exhibits'!R477:R481)),AVERAGE('20250815_ETF_Options_Exhibits'!R477:R481),"")</f>
        <v/>
      </c>
      <c r="S481" s="3">
        <f>IF(ISNUMBER(AVERAGE('20250815_ETF_Options_Exhibits'!S477:S481)),AVERAGE('20250815_ETF_Options_Exhibits'!S477:S481),"")</f>
        <v/>
      </c>
      <c r="T481" s="3">
        <f>IF(ISNUMBER(AVERAGE('20250815_ETF_Options_Exhibits'!T477:T481)),AVERAGE('20250815_ETF_Options_Exhibits'!T477:T481),"")</f>
        <v/>
      </c>
      <c r="U481" s="3">
        <f>IF(ISNUMBER(AVERAGE('20250815_ETF_Options_Exhibits'!U477:U481)),AVERAGE('20250815_ETF_Options_Exhibits'!U477:U481),"")</f>
        <v/>
      </c>
      <c r="V481" s="3">
        <f>IF(ISNUMBER(AVERAGE('20250815_ETF_Options_Exhibits'!V477:V481)),AVERAGE('20250815_ETF_Options_Exhibits'!V477:V481),"")</f>
        <v/>
      </c>
      <c r="W481" s="3">
        <f>IF(ISNUMBER(AVERAGE('20250815_ETF_Options_Exhibits'!W477:W481)),AVERAGE('20250815_ETF_Options_Exhibits'!W477:W481),"")</f>
        <v/>
      </c>
      <c r="X481" s="3">
        <f>IF(ISNUMBER(AVERAGE('20250815_ETF_Options_Exhibits'!X477:X481)),AVERAGE('20250815_ETF_Options_Exhibits'!X477:X481),"")</f>
        <v/>
      </c>
      <c r="Y481" s="3">
        <f>IF(ISNUMBER(AVERAGE('20250815_ETF_Options_Exhibits'!Y477:Y481)),AVERAGE('20250815_ETF_Options_Exhibits'!Y477:Y481),"")</f>
        <v/>
      </c>
      <c r="Z481" s="3">
        <f>IF(ISNUMBER(AVERAGE('20250815_ETF_Options_Exhibits'!Z477:Z481)),AVERAGE('20250815_ETF_Options_Exhibits'!Z477:Z481),"")</f>
        <v/>
      </c>
      <c r="AA481" s="3">
        <f>IF(ISNUMBER(AVERAGE('20250815_ETF_Options_Exhibits'!AA477:AA481)),AVERAGE('20250815_ETF_Options_Exhibits'!AA477:AA481),"")</f>
        <v/>
      </c>
    </row>
    <row r="482">
      <c r="A482" s="1" t="n">
        <v>42699</v>
      </c>
      <c r="B482" s="3">
        <f>IF(ISNUMBER(AVERAGE('20250815_ETF_Options_Exhibits'!B478:B482)),AVERAGE('20250815_ETF_Options_Exhibits'!B478:B482),"")</f>
        <v/>
      </c>
      <c r="C482" s="3">
        <f>IF(ISNUMBER(AVERAGE('20250815_ETF_Options_Exhibits'!C478:C482)),AVERAGE('20250815_ETF_Options_Exhibits'!C478:C482),"")</f>
        <v/>
      </c>
      <c r="D482" s="3">
        <f>IF(ISNUMBER(AVERAGE('20250815_ETF_Options_Exhibits'!D478:D482)),AVERAGE('20250815_ETF_Options_Exhibits'!D478:D482),"")</f>
        <v/>
      </c>
      <c r="E482" s="3">
        <f>IF(ISNUMBER(AVERAGE('20250815_ETF_Options_Exhibits'!E478:E482)),AVERAGE('20250815_ETF_Options_Exhibits'!E478:E482),"")</f>
        <v/>
      </c>
      <c r="F482" s="3">
        <f>IF(ISNUMBER(AVERAGE('20250815_ETF_Options_Exhibits'!F478:F482)),AVERAGE('20250815_ETF_Options_Exhibits'!F478:F482),"")</f>
        <v/>
      </c>
      <c r="G482" s="3">
        <f>IF(ISNUMBER(AVERAGE('20250815_ETF_Options_Exhibits'!G478:G482)),AVERAGE('20250815_ETF_Options_Exhibits'!G478:G482),"")</f>
        <v/>
      </c>
      <c r="H482" s="3">
        <f>IF(ISNUMBER(AVERAGE('20250815_ETF_Options_Exhibits'!H478:H482)),AVERAGE('20250815_ETF_Options_Exhibits'!H478:H482),"")</f>
        <v/>
      </c>
      <c r="I482" s="3">
        <f>IF(ISNUMBER(AVERAGE('20250815_ETF_Options_Exhibits'!I478:I482)),AVERAGE('20250815_ETF_Options_Exhibits'!I478:I482),"")</f>
        <v/>
      </c>
      <c r="J482" s="3">
        <f>IF(ISNUMBER(AVERAGE('20250815_ETF_Options_Exhibits'!J478:J482)),AVERAGE('20250815_ETF_Options_Exhibits'!J478:J482),"")</f>
        <v/>
      </c>
      <c r="K482" s="3">
        <f>IF(ISNUMBER(AVERAGE('20250815_ETF_Options_Exhibits'!K478:K482)),AVERAGE('20250815_ETF_Options_Exhibits'!K478:K482),"")</f>
        <v/>
      </c>
      <c r="L482" s="3">
        <f>IF(ISNUMBER(AVERAGE('20250815_ETF_Options_Exhibits'!L478:L482)),AVERAGE('20250815_ETF_Options_Exhibits'!L478:L482),"")</f>
        <v/>
      </c>
      <c r="M482" s="3">
        <f>IF(ISNUMBER(AVERAGE('20250815_ETF_Options_Exhibits'!M478:M482)),AVERAGE('20250815_ETF_Options_Exhibits'!M478:M482),"")</f>
        <v/>
      </c>
      <c r="N482" s="3">
        <f>IF(ISNUMBER(AVERAGE('20250815_ETF_Options_Exhibits'!N478:N482)),AVERAGE('20250815_ETF_Options_Exhibits'!N478:N482),"")</f>
        <v/>
      </c>
      <c r="O482" s="3">
        <f>IF(ISNUMBER(AVERAGE('20250815_ETF_Options_Exhibits'!O478:O482)),AVERAGE('20250815_ETF_Options_Exhibits'!O478:O482),"")</f>
        <v/>
      </c>
      <c r="P482" s="3">
        <f>IF(ISNUMBER(AVERAGE('20250815_ETF_Options_Exhibits'!P478:P482)),AVERAGE('20250815_ETF_Options_Exhibits'!P478:P482),"")</f>
        <v/>
      </c>
      <c r="Q482" s="3">
        <f>IF(ISNUMBER(AVERAGE('20250815_ETF_Options_Exhibits'!Q478:Q482)),AVERAGE('20250815_ETF_Options_Exhibits'!Q478:Q482),"")</f>
        <v/>
      </c>
      <c r="R482" s="3">
        <f>IF(ISNUMBER(AVERAGE('20250815_ETF_Options_Exhibits'!R478:R482)),AVERAGE('20250815_ETF_Options_Exhibits'!R478:R482),"")</f>
        <v/>
      </c>
      <c r="S482" s="3">
        <f>IF(ISNUMBER(AVERAGE('20250815_ETF_Options_Exhibits'!S478:S482)),AVERAGE('20250815_ETF_Options_Exhibits'!S478:S482),"")</f>
        <v/>
      </c>
      <c r="T482" s="3">
        <f>IF(ISNUMBER(AVERAGE('20250815_ETF_Options_Exhibits'!T478:T482)),AVERAGE('20250815_ETF_Options_Exhibits'!T478:T482),"")</f>
        <v/>
      </c>
      <c r="U482" s="3">
        <f>IF(ISNUMBER(AVERAGE('20250815_ETF_Options_Exhibits'!U478:U482)),AVERAGE('20250815_ETF_Options_Exhibits'!U478:U482),"")</f>
        <v/>
      </c>
      <c r="V482" s="3">
        <f>IF(ISNUMBER(AVERAGE('20250815_ETF_Options_Exhibits'!V478:V482)),AVERAGE('20250815_ETF_Options_Exhibits'!V478:V482),"")</f>
        <v/>
      </c>
      <c r="W482" s="3">
        <f>IF(ISNUMBER(AVERAGE('20250815_ETF_Options_Exhibits'!W478:W482)),AVERAGE('20250815_ETF_Options_Exhibits'!W478:W482),"")</f>
        <v/>
      </c>
      <c r="X482" s="3">
        <f>IF(ISNUMBER(AVERAGE('20250815_ETF_Options_Exhibits'!X478:X482)),AVERAGE('20250815_ETF_Options_Exhibits'!X478:X482),"")</f>
        <v/>
      </c>
      <c r="Y482" s="3">
        <f>IF(ISNUMBER(AVERAGE('20250815_ETF_Options_Exhibits'!Y478:Y482)),AVERAGE('20250815_ETF_Options_Exhibits'!Y478:Y482),"")</f>
        <v/>
      </c>
      <c r="Z482" s="3">
        <f>IF(ISNUMBER(AVERAGE('20250815_ETF_Options_Exhibits'!Z478:Z482)),AVERAGE('20250815_ETF_Options_Exhibits'!Z478:Z482),"")</f>
        <v/>
      </c>
      <c r="AA482" s="3">
        <f>IF(ISNUMBER(AVERAGE('20250815_ETF_Options_Exhibits'!AA478:AA482)),AVERAGE('20250815_ETF_Options_Exhibits'!AA478:AA482),"")</f>
        <v/>
      </c>
    </row>
    <row r="483">
      <c r="A483" s="1" t="n">
        <v>42702</v>
      </c>
      <c r="B483" s="3">
        <f>IF(ISNUMBER(AVERAGE('20250815_ETF_Options_Exhibits'!B479:B483)),AVERAGE('20250815_ETF_Options_Exhibits'!B479:B483),"")</f>
        <v/>
      </c>
      <c r="C483" s="3">
        <f>IF(ISNUMBER(AVERAGE('20250815_ETF_Options_Exhibits'!C479:C483)),AVERAGE('20250815_ETF_Options_Exhibits'!C479:C483),"")</f>
        <v/>
      </c>
      <c r="D483" s="3">
        <f>IF(ISNUMBER(AVERAGE('20250815_ETF_Options_Exhibits'!D479:D483)),AVERAGE('20250815_ETF_Options_Exhibits'!D479:D483),"")</f>
        <v/>
      </c>
      <c r="E483" s="3">
        <f>IF(ISNUMBER(AVERAGE('20250815_ETF_Options_Exhibits'!E479:E483)),AVERAGE('20250815_ETF_Options_Exhibits'!E479:E483),"")</f>
        <v/>
      </c>
      <c r="F483" s="3">
        <f>IF(ISNUMBER(AVERAGE('20250815_ETF_Options_Exhibits'!F479:F483)),AVERAGE('20250815_ETF_Options_Exhibits'!F479:F483),"")</f>
        <v/>
      </c>
      <c r="G483" s="3">
        <f>IF(ISNUMBER(AVERAGE('20250815_ETF_Options_Exhibits'!G479:G483)),AVERAGE('20250815_ETF_Options_Exhibits'!G479:G483),"")</f>
        <v/>
      </c>
      <c r="H483" s="3">
        <f>IF(ISNUMBER(AVERAGE('20250815_ETF_Options_Exhibits'!H479:H483)),AVERAGE('20250815_ETF_Options_Exhibits'!H479:H483),"")</f>
        <v/>
      </c>
      <c r="I483" s="3">
        <f>IF(ISNUMBER(AVERAGE('20250815_ETF_Options_Exhibits'!I479:I483)),AVERAGE('20250815_ETF_Options_Exhibits'!I479:I483),"")</f>
        <v/>
      </c>
      <c r="J483" s="3">
        <f>IF(ISNUMBER(AVERAGE('20250815_ETF_Options_Exhibits'!J479:J483)),AVERAGE('20250815_ETF_Options_Exhibits'!J479:J483),"")</f>
        <v/>
      </c>
      <c r="K483" s="3">
        <f>IF(ISNUMBER(AVERAGE('20250815_ETF_Options_Exhibits'!K479:K483)),AVERAGE('20250815_ETF_Options_Exhibits'!K479:K483),"")</f>
        <v/>
      </c>
      <c r="L483" s="3">
        <f>IF(ISNUMBER(AVERAGE('20250815_ETF_Options_Exhibits'!L479:L483)),AVERAGE('20250815_ETF_Options_Exhibits'!L479:L483),"")</f>
        <v/>
      </c>
      <c r="M483" s="3">
        <f>IF(ISNUMBER(AVERAGE('20250815_ETF_Options_Exhibits'!M479:M483)),AVERAGE('20250815_ETF_Options_Exhibits'!M479:M483),"")</f>
        <v/>
      </c>
      <c r="N483" s="3">
        <f>IF(ISNUMBER(AVERAGE('20250815_ETF_Options_Exhibits'!N479:N483)),AVERAGE('20250815_ETF_Options_Exhibits'!N479:N483),"")</f>
        <v/>
      </c>
      <c r="O483" s="3">
        <f>IF(ISNUMBER(AVERAGE('20250815_ETF_Options_Exhibits'!O479:O483)),AVERAGE('20250815_ETF_Options_Exhibits'!O479:O483),"")</f>
        <v/>
      </c>
      <c r="P483" s="3">
        <f>IF(ISNUMBER(AVERAGE('20250815_ETF_Options_Exhibits'!P479:P483)),AVERAGE('20250815_ETF_Options_Exhibits'!P479:P483),"")</f>
        <v/>
      </c>
      <c r="Q483" s="3">
        <f>IF(ISNUMBER(AVERAGE('20250815_ETF_Options_Exhibits'!Q479:Q483)),AVERAGE('20250815_ETF_Options_Exhibits'!Q479:Q483),"")</f>
        <v/>
      </c>
      <c r="R483" s="3">
        <f>IF(ISNUMBER(AVERAGE('20250815_ETF_Options_Exhibits'!R479:R483)),AVERAGE('20250815_ETF_Options_Exhibits'!R479:R483),"")</f>
        <v/>
      </c>
      <c r="S483" s="3">
        <f>IF(ISNUMBER(AVERAGE('20250815_ETF_Options_Exhibits'!S479:S483)),AVERAGE('20250815_ETF_Options_Exhibits'!S479:S483),"")</f>
        <v/>
      </c>
      <c r="T483" s="3">
        <f>IF(ISNUMBER(AVERAGE('20250815_ETF_Options_Exhibits'!T479:T483)),AVERAGE('20250815_ETF_Options_Exhibits'!T479:T483),"")</f>
        <v/>
      </c>
      <c r="U483" s="3">
        <f>IF(ISNUMBER(AVERAGE('20250815_ETF_Options_Exhibits'!U479:U483)),AVERAGE('20250815_ETF_Options_Exhibits'!U479:U483),"")</f>
        <v/>
      </c>
      <c r="V483" s="3">
        <f>IF(ISNUMBER(AVERAGE('20250815_ETF_Options_Exhibits'!V479:V483)),AVERAGE('20250815_ETF_Options_Exhibits'!V479:V483),"")</f>
        <v/>
      </c>
      <c r="W483" s="3">
        <f>IF(ISNUMBER(AVERAGE('20250815_ETF_Options_Exhibits'!W479:W483)),AVERAGE('20250815_ETF_Options_Exhibits'!W479:W483),"")</f>
        <v/>
      </c>
      <c r="X483" s="3">
        <f>IF(ISNUMBER(AVERAGE('20250815_ETF_Options_Exhibits'!X479:X483)),AVERAGE('20250815_ETF_Options_Exhibits'!X479:X483),"")</f>
        <v/>
      </c>
      <c r="Y483" s="3">
        <f>IF(ISNUMBER(AVERAGE('20250815_ETF_Options_Exhibits'!Y479:Y483)),AVERAGE('20250815_ETF_Options_Exhibits'!Y479:Y483),"")</f>
        <v/>
      </c>
      <c r="Z483" s="3">
        <f>IF(ISNUMBER(AVERAGE('20250815_ETF_Options_Exhibits'!Z479:Z483)),AVERAGE('20250815_ETF_Options_Exhibits'!Z479:Z483),"")</f>
        <v/>
      </c>
      <c r="AA483" s="3">
        <f>IF(ISNUMBER(AVERAGE('20250815_ETF_Options_Exhibits'!AA479:AA483)),AVERAGE('20250815_ETF_Options_Exhibits'!AA479:AA483),"")</f>
        <v/>
      </c>
    </row>
    <row r="484">
      <c r="A484" s="1" t="n">
        <v>42703</v>
      </c>
      <c r="B484" s="3">
        <f>IF(ISNUMBER(AVERAGE('20250815_ETF_Options_Exhibits'!B480:B484)),AVERAGE('20250815_ETF_Options_Exhibits'!B480:B484),"")</f>
        <v/>
      </c>
      <c r="C484" s="3">
        <f>IF(ISNUMBER(AVERAGE('20250815_ETF_Options_Exhibits'!C480:C484)),AVERAGE('20250815_ETF_Options_Exhibits'!C480:C484),"")</f>
        <v/>
      </c>
      <c r="D484" s="3">
        <f>IF(ISNUMBER(AVERAGE('20250815_ETF_Options_Exhibits'!D480:D484)),AVERAGE('20250815_ETF_Options_Exhibits'!D480:D484),"")</f>
        <v/>
      </c>
      <c r="E484" s="3">
        <f>IF(ISNUMBER(AVERAGE('20250815_ETF_Options_Exhibits'!E480:E484)),AVERAGE('20250815_ETF_Options_Exhibits'!E480:E484),"")</f>
        <v/>
      </c>
      <c r="F484" s="3">
        <f>IF(ISNUMBER(AVERAGE('20250815_ETF_Options_Exhibits'!F480:F484)),AVERAGE('20250815_ETF_Options_Exhibits'!F480:F484),"")</f>
        <v/>
      </c>
      <c r="G484" s="3">
        <f>IF(ISNUMBER(AVERAGE('20250815_ETF_Options_Exhibits'!G480:G484)),AVERAGE('20250815_ETF_Options_Exhibits'!G480:G484),"")</f>
        <v/>
      </c>
      <c r="H484" s="3">
        <f>IF(ISNUMBER(AVERAGE('20250815_ETF_Options_Exhibits'!H480:H484)),AVERAGE('20250815_ETF_Options_Exhibits'!H480:H484),"")</f>
        <v/>
      </c>
      <c r="I484" s="3">
        <f>IF(ISNUMBER(AVERAGE('20250815_ETF_Options_Exhibits'!I480:I484)),AVERAGE('20250815_ETF_Options_Exhibits'!I480:I484),"")</f>
        <v/>
      </c>
      <c r="J484" s="3">
        <f>IF(ISNUMBER(AVERAGE('20250815_ETF_Options_Exhibits'!J480:J484)),AVERAGE('20250815_ETF_Options_Exhibits'!J480:J484),"")</f>
        <v/>
      </c>
      <c r="K484" s="3">
        <f>IF(ISNUMBER(AVERAGE('20250815_ETF_Options_Exhibits'!K480:K484)),AVERAGE('20250815_ETF_Options_Exhibits'!K480:K484),"")</f>
        <v/>
      </c>
      <c r="L484" s="3">
        <f>IF(ISNUMBER(AVERAGE('20250815_ETF_Options_Exhibits'!L480:L484)),AVERAGE('20250815_ETF_Options_Exhibits'!L480:L484),"")</f>
        <v/>
      </c>
      <c r="M484" s="3">
        <f>IF(ISNUMBER(AVERAGE('20250815_ETF_Options_Exhibits'!M480:M484)),AVERAGE('20250815_ETF_Options_Exhibits'!M480:M484),"")</f>
        <v/>
      </c>
      <c r="N484" s="3">
        <f>IF(ISNUMBER(AVERAGE('20250815_ETF_Options_Exhibits'!N480:N484)),AVERAGE('20250815_ETF_Options_Exhibits'!N480:N484),"")</f>
        <v/>
      </c>
      <c r="O484" s="3">
        <f>IF(ISNUMBER(AVERAGE('20250815_ETF_Options_Exhibits'!O480:O484)),AVERAGE('20250815_ETF_Options_Exhibits'!O480:O484),"")</f>
        <v/>
      </c>
      <c r="P484" s="3">
        <f>IF(ISNUMBER(AVERAGE('20250815_ETF_Options_Exhibits'!P480:P484)),AVERAGE('20250815_ETF_Options_Exhibits'!P480:P484),"")</f>
        <v/>
      </c>
      <c r="Q484" s="3">
        <f>IF(ISNUMBER(AVERAGE('20250815_ETF_Options_Exhibits'!Q480:Q484)),AVERAGE('20250815_ETF_Options_Exhibits'!Q480:Q484),"")</f>
        <v/>
      </c>
      <c r="R484" s="3">
        <f>IF(ISNUMBER(AVERAGE('20250815_ETF_Options_Exhibits'!R480:R484)),AVERAGE('20250815_ETF_Options_Exhibits'!R480:R484),"")</f>
        <v/>
      </c>
      <c r="S484" s="3">
        <f>IF(ISNUMBER(AVERAGE('20250815_ETF_Options_Exhibits'!S480:S484)),AVERAGE('20250815_ETF_Options_Exhibits'!S480:S484),"")</f>
        <v/>
      </c>
      <c r="T484" s="3">
        <f>IF(ISNUMBER(AVERAGE('20250815_ETF_Options_Exhibits'!T480:T484)),AVERAGE('20250815_ETF_Options_Exhibits'!T480:T484),"")</f>
        <v/>
      </c>
      <c r="U484" s="3">
        <f>IF(ISNUMBER(AVERAGE('20250815_ETF_Options_Exhibits'!U480:U484)),AVERAGE('20250815_ETF_Options_Exhibits'!U480:U484),"")</f>
        <v/>
      </c>
      <c r="V484" s="3">
        <f>IF(ISNUMBER(AVERAGE('20250815_ETF_Options_Exhibits'!V480:V484)),AVERAGE('20250815_ETF_Options_Exhibits'!V480:V484),"")</f>
        <v/>
      </c>
      <c r="W484" s="3">
        <f>IF(ISNUMBER(AVERAGE('20250815_ETF_Options_Exhibits'!W480:W484)),AVERAGE('20250815_ETF_Options_Exhibits'!W480:W484),"")</f>
        <v/>
      </c>
      <c r="X484" s="3">
        <f>IF(ISNUMBER(AVERAGE('20250815_ETF_Options_Exhibits'!X480:X484)),AVERAGE('20250815_ETF_Options_Exhibits'!X480:X484),"")</f>
        <v/>
      </c>
      <c r="Y484" s="3">
        <f>IF(ISNUMBER(AVERAGE('20250815_ETF_Options_Exhibits'!Y480:Y484)),AVERAGE('20250815_ETF_Options_Exhibits'!Y480:Y484),"")</f>
        <v/>
      </c>
      <c r="Z484" s="3">
        <f>IF(ISNUMBER(AVERAGE('20250815_ETF_Options_Exhibits'!Z480:Z484)),AVERAGE('20250815_ETF_Options_Exhibits'!Z480:Z484),"")</f>
        <v/>
      </c>
      <c r="AA484" s="3">
        <f>IF(ISNUMBER(AVERAGE('20250815_ETF_Options_Exhibits'!AA480:AA484)),AVERAGE('20250815_ETF_Options_Exhibits'!AA480:AA484),"")</f>
        <v/>
      </c>
    </row>
    <row r="485">
      <c r="A485" s="1" t="n">
        <v>42704</v>
      </c>
      <c r="B485" s="3">
        <f>IF(ISNUMBER(AVERAGE('20250815_ETF_Options_Exhibits'!B481:B485)),AVERAGE('20250815_ETF_Options_Exhibits'!B481:B485),"")</f>
        <v/>
      </c>
      <c r="C485" s="3">
        <f>IF(ISNUMBER(AVERAGE('20250815_ETF_Options_Exhibits'!C481:C485)),AVERAGE('20250815_ETF_Options_Exhibits'!C481:C485),"")</f>
        <v/>
      </c>
      <c r="D485" s="3">
        <f>IF(ISNUMBER(AVERAGE('20250815_ETF_Options_Exhibits'!D481:D485)),AVERAGE('20250815_ETF_Options_Exhibits'!D481:D485),"")</f>
        <v/>
      </c>
      <c r="E485" s="3">
        <f>IF(ISNUMBER(AVERAGE('20250815_ETF_Options_Exhibits'!E481:E485)),AVERAGE('20250815_ETF_Options_Exhibits'!E481:E485),"")</f>
        <v/>
      </c>
      <c r="F485" s="3">
        <f>IF(ISNUMBER(AVERAGE('20250815_ETF_Options_Exhibits'!F481:F485)),AVERAGE('20250815_ETF_Options_Exhibits'!F481:F485),"")</f>
        <v/>
      </c>
      <c r="G485" s="3">
        <f>IF(ISNUMBER(AVERAGE('20250815_ETF_Options_Exhibits'!G481:G485)),AVERAGE('20250815_ETF_Options_Exhibits'!G481:G485),"")</f>
        <v/>
      </c>
      <c r="H485" s="3">
        <f>IF(ISNUMBER(AVERAGE('20250815_ETF_Options_Exhibits'!H481:H485)),AVERAGE('20250815_ETF_Options_Exhibits'!H481:H485),"")</f>
        <v/>
      </c>
      <c r="I485" s="3">
        <f>IF(ISNUMBER(AVERAGE('20250815_ETF_Options_Exhibits'!I481:I485)),AVERAGE('20250815_ETF_Options_Exhibits'!I481:I485),"")</f>
        <v/>
      </c>
      <c r="J485" s="3">
        <f>IF(ISNUMBER(AVERAGE('20250815_ETF_Options_Exhibits'!J481:J485)),AVERAGE('20250815_ETF_Options_Exhibits'!J481:J485),"")</f>
        <v/>
      </c>
      <c r="K485" s="3">
        <f>IF(ISNUMBER(AVERAGE('20250815_ETF_Options_Exhibits'!K481:K485)),AVERAGE('20250815_ETF_Options_Exhibits'!K481:K485),"")</f>
        <v/>
      </c>
      <c r="L485" s="3">
        <f>IF(ISNUMBER(AVERAGE('20250815_ETF_Options_Exhibits'!L481:L485)),AVERAGE('20250815_ETF_Options_Exhibits'!L481:L485),"")</f>
        <v/>
      </c>
      <c r="M485" s="3">
        <f>IF(ISNUMBER(AVERAGE('20250815_ETF_Options_Exhibits'!M481:M485)),AVERAGE('20250815_ETF_Options_Exhibits'!M481:M485),"")</f>
        <v/>
      </c>
      <c r="N485" s="3">
        <f>IF(ISNUMBER(AVERAGE('20250815_ETF_Options_Exhibits'!N481:N485)),AVERAGE('20250815_ETF_Options_Exhibits'!N481:N485),"")</f>
        <v/>
      </c>
      <c r="O485" s="3">
        <f>IF(ISNUMBER(AVERAGE('20250815_ETF_Options_Exhibits'!O481:O485)),AVERAGE('20250815_ETF_Options_Exhibits'!O481:O485),"")</f>
        <v/>
      </c>
      <c r="P485" s="3">
        <f>IF(ISNUMBER(AVERAGE('20250815_ETF_Options_Exhibits'!P481:P485)),AVERAGE('20250815_ETF_Options_Exhibits'!P481:P485),"")</f>
        <v/>
      </c>
      <c r="Q485" s="3">
        <f>IF(ISNUMBER(AVERAGE('20250815_ETF_Options_Exhibits'!Q481:Q485)),AVERAGE('20250815_ETF_Options_Exhibits'!Q481:Q485),"")</f>
        <v/>
      </c>
      <c r="R485" s="3">
        <f>IF(ISNUMBER(AVERAGE('20250815_ETF_Options_Exhibits'!R481:R485)),AVERAGE('20250815_ETF_Options_Exhibits'!R481:R485),"")</f>
        <v/>
      </c>
      <c r="S485" s="3">
        <f>IF(ISNUMBER(AVERAGE('20250815_ETF_Options_Exhibits'!S481:S485)),AVERAGE('20250815_ETF_Options_Exhibits'!S481:S485),"")</f>
        <v/>
      </c>
      <c r="T485" s="3">
        <f>IF(ISNUMBER(AVERAGE('20250815_ETF_Options_Exhibits'!T481:T485)),AVERAGE('20250815_ETF_Options_Exhibits'!T481:T485),"")</f>
        <v/>
      </c>
      <c r="U485" s="3">
        <f>IF(ISNUMBER(AVERAGE('20250815_ETF_Options_Exhibits'!U481:U485)),AVERAGE('20250815_ETF_Options_Exhibits'!U481:U485),"")</f>
        <v/>
      </c>
      <c r="V485" s="3">
        <f>IF(ISNUMBER(AVERAGE('20250815_ETF_Options_Exhibits'!V481:V485)),AVERAGE('20250815_ETF_Options_Exhibits'!V481:V485),"")</f>
        <v/>
      </c>
      <c r="W485" s="3">
        <f>IF(ISNUMBER(AVERAGE('20250815_ETF_Options_Exhibits'!W481:W485)),AVERAGE('20250815_ETF_Options_Exhibits'!W481:W485),"")</f>
        <v/>
      </c>
      <c r="X485" s="3">
        <f>IF(ISNUMBER(AVERAGE('20250815_ETF_Options_Exhibits'!X481:X485)),AVERAGE('20250815_ETF_Options_Exhibits'!X481:X485),"")</f>
        <v/>
      </c>
      <c r="Y485" s="3">
        <f>IF(ISNUMBER(AVERAGE('20250815_ETF_Options_Exhibits'!Y481:Y485)),AVERAGE('20250815_ETF_Options_Exhibits'!Y481:Y485),"")</f>
        <v/>
      </c>
      <c r="Z485" s="3">
        <f>IF(ISNUMBER(AVERAGE('20250815_ETF_Options_Exhibits'!Z481:Z485)),AVERAGE('20250815_ETF_Options_Exhibits'!Z481:Z485),"")</f>
        <v/>
      </c>
      <c r="AA485" s="3">
        <f>IF(ISNUMBER(AVERAGE('20250815_ETF_Options_Exhibits'!AA481:AA485)),AVERAGE('20250815_ETF_Options_Exhibits'!AA481:AA485),"")</f>
        <v/>
      </c>
    </row>
    <row r="486">
      <c r="A486" s="1" t="n">
        <v>42705</v>
      </c>
      <c r="B486" s="3">
        <f>IF(ISNUMBER(AVERAGE('20250815_ETF_Options_Exhibits'!B482:B486)),AVERAGE('20250815_ETF_Options_Exhibits'!B482:B486),"")</f>
        <v/>
      </c>
      <c r="C486" s="3">
        <f>IF(ISNUMBER(AVERAGE('20250815_ETF_Options_Exhibits'!C482:C486)),AVERAGE('20250815_ETF_Options_Exhibits'!C482:C486),"")</f>
        <v/>
      </c>
      <c r="D486" s="3">
        <f>IF(ISNUMBER(AVERAGE('20250815_ETF_Options_Exhibits'!D482:D486)),AVERAGE('20250815_ETF_Options_Exhibits'!D482:D486),"")</f>
        <v/>
      </c>
      <c r="E486" s="3">
        <f>IF(ISNUMBER(AVERAGE('20250815_ETF_Options_Exhibits'!E482:E486)),AVERAGE('20250815_ETF_Options_Exhibits'!E482:E486),"")</f>
        <v/>
      </c>
      <c r="F486" s="3">
        <f>IF(ISNUMBER(AVERAGE('20250815_ETF_Options_Exhibits'!F482:F486)),AVERAGE('20250815_ETF_Options_Exhibits'!F482:F486),"")</f>
        <v/>
      </c>
      <c r="G486" s="3">
        <f>IF(ISNUMBER(AVERAGE('20250815_ETF_Options_Exhibits'!G482:G486)),AVERAGE('20250815_ETF_Options_Exhibits'!G482:G486),"")</f>
        <v/>
      </c>
      <c r="H486" s="3">
        <f>IF(ISNUMBER(AVERAGE('20250815_ETF_Options_Exhibits'!H482:H486)),AVERAGE('20250815_ETF_Options_Exhibits'!H482:H486),"")</f>
        <v/>
      </c>
      <c r="I486" s="3">
        <f>IF(ISNUMBER(AVERAGE('20250815_ETF_Options_Exhibits'!I482:I486)),AVERAGE('20250815_ETF_Options_Exhibits'!I482:I486),"")</f>
        <v/>
      </c>
      <c r="J486" s="3">
        <f>IF(ISNUMBER(AVERAGE('20250815_ETF_Options_Exhibits'!J482:J486)),AVERAGE('20250815_ETF_Options_Exhibits'!J482:J486),"")</f>
        <v/>
      </c>
      <c r="K486" s="3">
        <f>IF(ISNUMBER(AVERAGE('20250815_ETF_Options_Exhibits'!K482:K486)),AVERAGE('20250815_ETF_Options_Exhibits'!K482:K486),"")</f>
        <v/>
      </c>
      <c r="L486" s="3">
        <f>IF(ISNUMBER(AVERAGE('20250815_ETF_Options_Exhibits'!L482:L486)),AVERAGE('20250815_ETF_Options_Exhibits'!L482:L486),"")</f>
        <v/>
      </c>
      <c r="M486" s="3">
        <f>IF(ISNUMBER(AVERAGE('20250815_ETF_Options_Exhibits'!M482:M486)),AVERAGE('20250815_ETF_Options_Exhibits'!M482:M486),"")</f>
        <v/>
      </c>
      <c r="N486" s="3">
        <f>IF(ISNUMBER(AVERAGE('20250815_ETF_Options_Exhibits'!N482:N486)),AVERAGE('20250815_ETF_Options_Exhibits'!N482:N486),"")</f>
        <v/>
      </c>
      <c r="O486" s="3">
        <f>IF(ISNUMBER(AVERAGE('20250815_ETF_Options_Exhibits'!O482:O486)),AVERAGE('20250815_ETF_Options_Exhibits'!O482:O486),"")</f>
        <v/>
      </c>
      <c r="P486" s="3">
        <f>IF(ISNUMBER(AVERAGE('20250815_ETF_Options_Exhibits'!P482:P486)),AVERAGE('20250815_ETF_Options_Exhibits'!P482:P486),"")</f>
        <v/>
      </c>
      <c r="Q486" s="3">
        <f>IF(ISNUMBER(AVERAGE('20250815_ETF_Options_Exhibits'!Q482:Q486)),AVERAGE('20250815_ETF_Options_Exhibits'!Q482:Q486),"")</f>
        <v/>
      </c>
      <c r="R486" s="3">
        <f>IF(ISNUMBER(AVERAGE('20250815_ETF_Options_Exhibits'!R482:R486)),AVERAGE('20250815_ETF_Options_Exhibits'!R482:R486),"")</f>
        <v/>
      </c>
      <c r="S486" s="3">
        <f>IF(ISNUMBER(AVERAGE('20250815_ETF_Options_Exhibits'!S482:S486)),AVERAGE('20250815_ETF_Options_Exhibits'!S482:S486),"")</f>
        <v/>
      </c>
      <c r="T486" s="3">
        <f>IF(ISNUMBER(AVERAGE('20250815_ETF_Options_Exhibits'!T482:T486)),AVERAGE('20250815_ETF_Options_Exhibits'!T482:T486),"")</f>
        <v/>
      </c>
      <c r="U486" s="3">
        <f>IF(ISNUMBER(AVERAGE('20250815_ETF_Options_Exhibits'!U482:U486)),AVERAGE('20250815_ETF_Options_Exhibits'!U482:U486),"")</f>
        <v/>
      </c>
      <c r="V486" s="3">
        <f>IF(ISNUMBER(AVERAGE('20250815_ETF_Options_Exhibits'!V482:V486)),AVERAGE('20250815_ETF_Options_Exhibits'!V482:V486),"")</f>
        <v/>
      </c>
      <c r="W486" s="3">
        <f>IF(ISNUMBER(AVERAGE('20250815_ETF_Options_Exhibits'!W482:W486)),AVERAGE('20250815_ETF_Options_Exhibits'!W482:W486),"")</f>
        <v/>
      </c>
      <c r="X486" s="3">
        <f>IF(ISNUMBER(AVERAGE('20250815_ETF_Options_Exhibits'!X482:X486)),AVERAGE('20250815_ETF_Options_Exhibits'!X482:X486),"")</f>
        <v/>
      </c>
      <c r="Y486" s="3">
        <f>IF(ISNUMBER(AVERAGE('20250815_ETF_Options_Exhibits'!Y482:Y486)),AVERAGE('20250815_ETF_Options_Exhibits'!Y482:Y486),"")</f>
        <v/>
      </c>
      <c r="Z486" s="3">
        <f>IF(ISNUMBER(AVERAGE('20250815_ETF_Options_Exhibits'!Z482:Z486)),AVERAGE('20250815_ETF_Options_Exhibits'!Z482:Z486),"")</f>
        <v/>
      </c>
      <c r="AA486" s="3">
        <f>IF(ISNUMBER(AVERAGE('20250815_ETF_Options_Exhibits'!AA482:AA486)),AVERAGE('20250815_ETF_Options_Exhibits'!AA482:AA486),"")</f>
        <v/>
      </c>
    </row>
    <row r="487">
      <c r="A487" s="1" t="n">
        <v>42706</v>
      </c>
      <c r="B487" s="3">
        <f>IF(ISNUMBER(AVERAGE('20250815_ETF_Options_Exhibits'!B483:B487)),AVERAGE('20250815_ETF_Options_Exhibits'!B483:B487),"")</f>
        <v/>
      </c>
      <c r="C487" s="3">
        <f>IF(ISNUMBER(AVERAGE('20250815_ETF_Options_Exhibits'!C483:C487)),AVERAGE('20250815_ETF_Options_Exhibits'!C483:C487),"")</f>
        <v/>
      </c>
      <c r="D487" s="3">
        <f>IF(ISNUMBER(AVERAGE('20250815_ETF_Options_Exhibits'!D483:D487)),AVERAGE('20250815_ETF_Options_Exhibits'!D483:D487),"")</f>
        <v/>
      </c>
      <c r="E487" s="3">
        <f>IF(ISNUMBER(AVERAGE('20250815_ETF_Options_Exhibits'!E483:E487)),AVERAGE('20250815_ETF_Options_Exhibits'!E483:E487),"")</f>
        <v/>
      </c>
      <c r="F487" s="3">
        <f>IF(ISNUMBER(AVERAGE('20250815_ETF_Options_Exhibits'!F483:F487)),AVERAGE('20250815_ETF_Options_Exhibits'!F483:F487),"")</f>
        <v/>
      </c>
      <c r="G487" s="3">
        <f>IF(ISNUMBER(AVERAGE('20250815_ETF_Options_Exhibits'!G483:G487)),AVERAGE('20250815_ETF_Options_Exhibits'!G483:G487),"")</f>
        <v/>
      </c>
      <c r="H487" s="3">
        <f>IF(ISNUMBER(AVERAGE('20250815_ETF_Options_Exhibits'!H483:H487)),AVERAGE('20250815_ETF_Options_Exhibits'!H483:H487),"")</f>
        <v/>
      </c>
      <c r="I487" s="3">
        <f>IF(ISNUMBER(AVERAGE('20250815_ETF_Options_Exhibits'!I483:I487)),AVERAGE('20250815_ETF_Options_Exhibits'!I483:I487),"")</f>
        <v/>
      </c>
      <c r="J487" s="3">
        <f>IF(ISNUMBER(AVERAGE('20250815_ETF_Options_Exhibits'!J483:J487)),AVERAGE('20250815_ETF_Options_Exhibits'!J483:J487),"")</f>
        <v/>
      </c>
      <c r="K487" s="3">
        <f>IF(ISNUMBER(AVERAGE('20250815_ETF_Options_Exhibits'!K483:K487)),AVERAGE('20250815_ETF_Options_Exhibits'!K483:K487),"")</f>
        <v/>
      </c>
      <c r="L487" s="3">
        <f>IF(ISNUMBER(AVERAGE('20250815_ETF_Options_Exhibits'!L483:L487)),AVERAGE('20250815_ETF_Options_Exhibits'!L483:L487),"")</f>
        <v/>
      </c>
      <c r="M487" s="3">
        <f>IF(ISNUMBER(AVERAGE('20250815_ETF_Options_Exhibits'!M483:M487)),AVERAGE('20250815_ETF_Options_Exhibits'!M483:M487),"")</f>
        <v/>
      </c>
      <c r="N487" s="3">
        <f>IF(ISNUMBER(AVERAGE('20250815_ETF_Options_Exhibits'!N483:N487)),AVERAGE('20250815_ETF_Options_Exhibits'!N483:N487),"")</f>
        <v/>
      </c>
      <c r="O487" s="3">
        <f>IF(ISNUMBER(AVERAGE('20250815_ETF_Options_Exhibits'!O483:O487)),AVERAGE('20250815_ETF_Options_Exhibits'!O483:O487),"")</f>
        <v/>
      </c>
      <c r="P487" s="3">
        <f>IF(ISNUMBER(AVERAGE('20250815_ETF_Options_Exhibits'!P483:P487)),AVERAGE('20250815_ETF_Options_Exhibits'!P483:P487),"")</f>
        <v/>
      </c>
      <c r="Q487" s="3">
        <f>IF(ISNUMBER(AVERAGE('20250815_ETF_Options_Exhibits'!Q483:Q487)),AVERAGE('20250815_ETF_Options_Exhibits'!Q483:Q487),"")</f>
        <v/>
      </c>
      <c r="R487" s="3">
        <f>IF(ISNUMBER(AVERAGE('20250815_ETF_Options_Exhibits'!R483:R487)),AVERAGE('20250815_ETF_Options_Exhibits'!R483:R487),"")</f>
        <v/>
      </c>
      <c r="S487" s="3">
        <f>IF(ISNUMBER(AVERAGE('20250815_ETF_Options_Exhibits'!S483:S487)),AVERAGE('20250815_ETF_Options_Exhibits'!S483:S487),"")</f>
        <v/>
      </c>
      <c r="T487" s="3">
        <f>IF(ISNUMBER(AVERAGE('20250815_ETF_Options_Exhibits'!T483:T487)),AVERAGE('20250815_ETF_Options_Exhibits'!T483:T487),"")</f>
        <v/>
      </c>
      <c r="U487" s="3">
        <f>IF(ISNUMBER(AVERAGE('20250815_ETF_Options_Exhibits'!U483:U487)),AVERAGE('20250815_ETF_Options_Exhibits'!U483:U487),"")</f>
        <v/>
      </c>
      <c r="V487" s="3">
        <f>IF(ISNUMBER(AVERAGE('20250815_ETF_Options_Exhibits'!V483:V487)),AVERAGE('20250815_ETF_Options_Exhibits'!V483:V487),"")</f>
        <v/>
      </c>
      <c r="W487" s="3">
        <f>IF(ISNUMBER(AVERAGE('20250815_ETF_Options_Exhibits'!W483:W487)),AVERAGE('20250815_ETF_Options_Exhibits'!W483:W487),"")</f>
        <v/>
      </c>
      <c r="X487" s="3">
        <f>IF(ISNUMBER(AVERAGE('20250815_ETF_Options_Exhibits'!X483:X487)),AVERAGE('20250815_ETF_Options_Exhibits'!X483:X487),"")</f>
        <v/>
      </c>
      <c r="Y487" s="3">
        <f>IF(ISNUMBER(AVERAGE('20250815_ETF_Options_Exhibits'!Y483:Y487)),AVERAGE('20250815_ETF_Options_Exhibits'!Y483:Y487),"")</f>
        <v/>
      </c>
      <c r="Z487" s="3">
        <f>IF(ISNUMBER(AVERAGE('20250815_ETF_Options_Exhibits'!Z483:Z487)),AVERAGE('20250815_ETF_Options_Exhibits'!Z483:Z487),"")</f>
        <v/>
      </c>
      <c r="AA487" s="3">
        <f>IF(ISNUMBER(AVERAGE('20250815_ETF_Options_Exhibits'!AA483:AA487)),AVERAGE('20250815_ETF_Options_Exhibits'!AA483:AA487),"")</f>
        <v/>
      </c>
    </row>
    <row r="488">
      <c r="A488" s="1" t="n">
        <v>42709</v>
      </c>
      <c r="B488" s="3">
        <f>IF(ISNUMBER(AVERAGE('20250815_ETF_Options_Exhibits'!B484:B488)),AVERAGE('20250815_ETF_Options_Exhibits'!B484:B488),"")</f>
        <v/>
      </c>
      <c r="C488" s="3">
        <f>IF(ISNUMBER(AVERAGE('20250815_ETF_Options_Exhibits'!C484:C488)),AVERAGE('20250815_ETF_Options_Exhibits'!C484:C488),"")</f>
        <v/>
      </c>
      <c r="D488" s="3">
        <f>IF(ISNUMBER(AVERAGE('20250815_ETF_Options_Exhibits'!D484:D488)),AVERAGE('20250815_ETF_Options_Exhibits'!D484:D488),"")</f>
        <v/>
      </c>
      <c r="E488" s="3">
        <f>IF(ISNUMBER(AVERAGE('20250815_ETF_Options_Exhibits'!E484:E488)),AVERAGE('20250815_ETF_Options_Exhibits'!E484:E488),"")</f>
        <v/>
      </c>
      <c r="F488" s="3">
        <f>IF(ISNUMBER(AVERAGE('20250815_ETF_Options_Exhibits'!F484:F488)),AVERAGE('20250815_ETF_Options_Exhibits'!F484:F488),"")</f>
        <v/>
      </c>
      <c r="G488" s="3">
        <f>IF(ISNUMBER(AVERAGE('20250815_ETF_Options_Exhibits'!G484:G488)),AVERAGE('20250815_ETF_Options_Exhibits'!G484:G488),"")</f>
        <v/>
      </c>
      <c r="H488" s="3">
        <f>IF(ISNUMBER(AVERAGE('20250815_ETF_Options_Exhibits'!H484:H488)),AVERAGE('20250815_ETF_Options_Exhibits'!H484:H488),"")</f>
        <v/>
      </c>
      <c r="I488" s="3">
        <f>IF(ISNUMBER(AVERAGE('20250815_ETF_Options_Exhibits'!I484:I488)),AVERAGE('20250815_ETF_Options_Exhibits'!I484:I488),"")</f>
        <v/>
      </c>
      <c r="J488" s="3">
        <f>IF(ISNUMBER(AVERAGE('20250815_ETF_Options_Exhibits'!J484:J488)),AVERAGE('20250815_ETF_Options_Exhibits'!J484:J488),"")</f>
        <v/>
      </c>
      <c r="K488" s="3">
        <f>IF(ISNUMBER(AVERAGE('20250815_ETF_Options_Exhibits'!K484:K488)),AVERAGE('20250815_ETF_Options_Exhibits'!K484:K488),"")</f>
        <v/>
      </c>
      <c r="L488" s="3">
        <f>IF(ISNUMBER(AVERAGE('20250815_ETF_Options_Exhibits'!L484:L488)),AVERAGE('20250815_ETF_Options_Exhibits'!L484:L488),"")</f>
        <v/>
      </c>
      <c r="M488" s="3">
        <f>IF(ISNUMBER(AVERAGE('20250815_ETF_Options_Exhibits'!M484:M488)),AVERAGE('20250815_ETF_Options_Exhibits'!M484:M488),"")</f>
        <v/>
      </c>
      <c r="N488" s="3">
        <f>IF(ISNUMBER(AVERAGE('20250815_ETF_Options_Exhibits'!N484:N488)),AVERAGE('20250815_ETF_Options_Exhibits'!N484:N488),"")</f>
        <v/>
      </c>
      <c r="O488" s="3">
        <f>IF(ISNUMBER(AVERAGE('20250815_ETF_Options_Exhibits'!O484:O488)),AVERAGE('20250815_ETF_Options_Exhibits'!O484:O488),"")</f>
        <v/>
      </c>
      <c r="P488" s="3">
        <f>IF(ISNUMBER(AVERAGE('20250815_ETF_Options_Exhibits'!P484:P488)),AVERAGE('20250815_ETF_Options_Exhibits'!P484:P488),"")</f>
        <v/>
      </c>
      <c r="Q488" s="3">
        <f>IF(ISNUMBER(AVERAGE('20250815_ETF_Options_Exhibits'!Q484:Q488)),AVERAGE('20250815_ETF_Options_Exhibits'!Q484:Q488),"")</f>
        <v/>
      </c>
      <c r="R488" s="3">
        <f>IF(ISNUMBER(AVERAGE('20250815_ETF_Options_Exhibits'!R484:R488)),AVERAGE('20250815_ETF_Options_Exhibits'!R484:R488),"")</f>
        <v/>
      </c>
      <c r="S488" s="3">
        <f>IF(ISNUMBER(AVERAGE('20250815_ETF_Options_Exhibits'!S484:S488)),AVERAGE('20250815_ETF_Options_Exhibits'!S484:S488),"")</f>
        <v/>
      </c>
      <c r="T488" s="3">
        <f>IF(ISNUMBER(AVERAGE('20250815_ETF_Options_Exhibits'!T484:T488)),AVERAGE('20250815_ETF_Options_Exhibits'!T484:T488),"")</f>
        <v/>
      </c>
      <c r="U488" s="3">
        <f>IF(ISNUMBER(AVERAGE('20250815_ETF_Options_Exhibits'!U484:U488)),AVERAGE('20250815_ETF_Options_Exhibits'!U484:U488),"")</f>
        <v/>
      </c>
      <c r="V488" s="3">
        <f>IF(ISNUMBER(AVERAGE('20250815_ETF_Options_Exhibits'!V484:V488)),AVERAGE('20250815_ETF_Options_Exhibits'!V484:V488),"")</f>
        <v/>
      </c>
      <c r="W488" s="3">
        <f>IF(ISNUMBER(AVERAGE('20250815_ETF_Options_Exhibits'!W484:W488)),AVERAGE('20250815_ETF_Options_Exhibits'!W484:W488),"")</f>
        <v/>
      </c>
      <c r="X488" s="3">
        <f>IF(ISNUMBER(AVERAGE('20250815_ETF_Options_Exhibits'!X484:X488)),AVERAGE('20250815_ETF_Options_Exhibits'!X484:X488),"")</f>
        <v/>
      </c>
      <c r="Y488" s="3">
        <f>IF(ISNUMBER(AVERAGE('20250815_ETF_Options_Exhibits'!Y484:Y488)),AVERAGE('20250815_ETF_Options_Exhibits'!Y484:Y488),"")</f>
        <v/>
      </c>
      <c r="Z488" s="3">
        <f>IF(ISNUMBER(AVERAGE('20250815_ETF_Options_Exhibits'!Z484:Z488)),AVERAGE('20250815_ETF_Options_Exhibits'!Z484:Z488),"")</f>
        <v/>
      </c>
      <c r="AA488" s="3">
        <f>IF(ISNUMBER(AVERAGE('20250815_ETF_Options_Exhibits'!AA484:AA488)),AVERAGE('20250815_ETF_Options_Exhibits'!AA484:AA488),"")</f>
        <v/>
      </c>
    </row>
    <row r="489">
      <c r="A489" s="1" t="n">
        <v>42710</v>
      </c>
      <c r="B489" s="3">
        <f>IF(ISNUMBER(AVERAGE('20250815_ETF_Options_Exhibits'!B485:B489)),AVERAGE('20250815_ETF_Options_Exhibits'!B485:B489),"")</f>
        <v/>
      </c>
      <c r="C489" s="3">
        <f>IF(ISNUMBER(AVERAGE('20250815_ETF_Options_Exhibits'!C485:C489)),AVERAGE('20250815_ETF_Options_Exhibits'!C485:C489),"")</f>
        <v/>
      </c>
      <c r="D489" s="3">
        <f>IF(ISNUMBER(AVERAGE('20250815_ETF_Options_Exhibits'!D485:D489)),AVERAGE('20250815_ETF_Options_Exhibits'!D485:D489),"")</f>
        <v/>
      </c>
      <c r="E489" s="3">
        <f>IF(ISNUMBER(AVERAGE('20250815_ETF_Options_Exhibits'!E485:E489)),AVERAGE('20250815_ETF_Options_Exhibits'!E485:E489),"")</f>
        <v/>
      </c>
      <c r="F489" s="3">
        <f>IF(ISNUMBER(AVERAGE('20250815_ETF_Options_Exhibits'!F485:F489)),AVERAGE('20250815_ETF_Options_Exhibits'!F485:F489),"")</f>
        <v/>
      </c>
      <c r="G489" s="3">
        <f>IF(ISNUMBER(AVERAGE('20250815_ETF_Options_Exhibits'!G485:G489)),AVERAGE('20250815_ETF_Options_Exhibits'!G485:G489),"")</f>
        <v/>
      </c>
      <c r="H489" s="3">
        <f>IF(ISNUMBER(AVERAGE('20250815_ETF_Options_Exhibits'!H485:H489)),AVERAGE('20250815_ETF_Options_Exhibits'!H485:H489),"")</f>
        <v/>
      </c>
      <c r="I489" s="3">
        <f>IF(ISNUMBER(AVERAGE('20250815_ETF_Options_Exhibits'!I485:I489)),AVERAGE('20250815_ETF_Options_Exhibits'!I485:I489),"")</f>
        <v/>
      </c>
      <c r="J489" s="3">
        <f>IF(ISNUMBER(AVERAGE('20250815_ETF_Options_Exhibits'!J485:J489)),AVERAGE('20250815_ETF_Options_Exhibits'!J485:J489),"")</f>
        <v/>
      </c>
      <c r="K489" s="3">
        <f>IF(ISNUMBER(AVERAGE('20250815_ETF_Options_Exhibits'!K485:K489)),AVERAGE('20250815_ETF_Options_Exhibits'!K485:K489),"")</f>
        <v/>
      </c>
      <c r="L489" s="3">
        <f>IF(ISNUMBER(AVERAGE('20250815_ETF_Options_Exhibits'!L485:L489)),AVERAGE('20250815_ETF_Options_Exhibits'!L485:L489),"")</f>
        <v/>
      </c>
      <c r="M489" s="3">
        <f>IF(ISNUMBER(AVERAGE('20250815_ETF_Options_Exhibits'!M485:M489)),AVERAGE('20250815_ETF_Options_Exhibits'!M485:M489),"")</f>
        <v/>
      </c>
      <c r="N489" s="3">
        <f>IF(ISNUMBER(AVERAGE('20250815_ETF_Options_Exhibits'!N485:N489)),AVERAGE('20250815_ETF_Options_Exhibits'!N485:N489),"")</f>
        <v/>
      </c>
      <c r="O489" s="3">
        <f>IF(ISNUMBER(AVERAGE('20250815_ETF_Options_Exhibits'!O485:O489)),AVERAGE('20250815_ETF_Options_Exhibits'!O485:O489),"")</f>
        <v/>
      </c>
      <c r="P489" s="3">
        <f>IF(ISNUMBER(AVERAGE('20250815_ETF_Options_Exhibits'!P485:P489)),AVERAGE('20250815_ETF_Options_Exhibits'!P485:P489),"")</f>
        <v/>
      </c>
      <c r="Q489" s="3">
        <f>IF(ISNUMBER(AVERAGE('20250815_ETF_Options_Exhibits'!Q485:Q489)),AVERAGE('20250815_ETF_Options_Exhibits'!Q485:Q489),"")</f>
        <v/>
      </c>
      <c r="R489" s="3">
        <f>IF(ISNUMBER(AVERAGE('20250815_ETF_Options_Exhibits'!R485:R489)),AVERAGE('20250815_ETF_Options_Exhibits'!R485:R489),"")</f>
        <v/>
      </c>
      <c r="S489" s="3">
        <f>IF(ISNUMBER(AVERAGE('20250815_ETF_Options_Exhibits'!S485:S489)),AVERAGE('20250815_ETF_Options_Exhibits'!S485:S489),"")</f>
        <v/>
      </c>
      <c r="T489" s="3">
        <f>IF(ISNUMBER(AVERAGE('20250815_ETF_Options_Exhibits'!T485:T489)),AVERAGE('20250815_ETF_Options_Exhibits'!T485:T489),"")</f>
        <v/>
      </c>
      <c r="U489" s="3">
        <f>IF(ISNUMBER(AVERAGE('20250815_ETF_Options_Exhibits'!U485:U489)),AVERAGE('20250815_ETF_Options_Exhibits'!U485:U489),"")</f>
        <v/>
      </c>
      <c r="V489" s="3">
        <f>IF(ISNUMBER(AVERAGE('20250815_ETF_Options_Exhibits'!V485:V489)),AVERAGE('20250815_ETF_Options_Exhibits'!V485:V489),"")</f>
        <v/>
      </c>
      <c r="W489" s="3">
        <f>IF(ISNUMBER(AVERAGE('20250815_ETF_Options_Exhibits'!W485:W489)),AVERAGE('20250815_ETF_Options_Exhibits'!W485:W489),"")</f>
        <v/>
      </c>
      <c r="X489" s="3">
        <f>IF(ISNUMBER(AVERAGE('20250815_ETF_Options_Exhibits'!X485:X489)),AVERAGE('20250815_ETF_Options_Exhibits'!X485:X489),"")</f>
        <v/>
      </c>
      <c r="Y489" s="3">
        <f>IF(ISNUMBER(AVERAGE('20250815_ETF_Options_Exhibits'!Y485:Y489)),AVERAGE('20250815_ETF_Options_Exhibits'!Y485:Y489),"")</f>
        <v/>
      </c>
      <c r="Z489" s="3">
        <f>IF(ISNUMBER(AVERAGE('20250815_ETF_Options_Exhibits'!Z485:Z489)),AVERAGE('20250815_ETF_Options_Exhibits'!Z485:Z489),"")</f>
        <v/>
      </c>
      <c r="AA489" s="3">
        <f>IF(ISNUMBER(AVERAGE('20250815_ETF_Options_Exhibits'!AA485:AA489)),AVERAGE('20250815_ETF_Options_Exhibits'!AA485:AA489),"")</f>
        <v/>
      </c>
    </row>
    <row r="490">
      <c r="A490" s="1" t="n">
        <v>42711</v>
      </c>
      <c r="B490" s="3">
        <f>IF(ISNUMBER(AVERAGE('20250815_ETF_Options_Exhibits'!B486:B490)),AVERAGE('20250815_ETF_Options_Exhibits'!B486:B490),"")</f>
        <v/>
      </c>
      <c r="C490" s="3">
        <f>IF(ISNUMBER(AVERAGE('20250815_ETF_Options_Exhibits'!C486:C490)),AVERAGE('20250815_ETF_Options_Exhibits'!C486:C490),"")</f>
        <v/>
      </c>
      <c r="D490" s="3">
        <f>IF(ISNUMBER(AVERAGE('20250815_ETF_Options_Exhibits'!D486:D490)),AVERAGE('20250815_ETF_Options_Exhibits'!D486:D490),"")</f>
        <v/>
      </c>
      <c r="E490" s="3">
        <f>IF(ISNUMBER(AVERAGE('20250815_ETF_Options_Exhibits'!E486:E490)),AVERAGE('20250815_ETF_Options_Exhibits'!E486:E490),"")</f>
        <v/>
      </c>
      <c r="F490" s="3">
        <f>IF(ISNUMBER(AVERAGE('20250815_ETF_Options_Exhibits'!F486:F490)),AVERAGE('20250815_ETF_Options_Exhibits'!F486:F490),"")</f>
        <v/>
      </c>
      <c r="G490" s="3">
        <f>IF(ISNUMBER(AVERAGE('20250815_ETF_Options_Exhibits'!G486:G490)),AVERAGE('20250815_ETF_Options_Exhibits'!G486:G490),"")</f>
        <v/>
      </c>
      <c r="H490" s="3">
        <f>IF(ISNUMBER(AVERAGE('20250815_ETF_Options_Exhibits'!H486:H490)),AVERAGE('20250815_ETF_Options_Exhibits'!H486:H490),"")</f>
        <v/>
      </c>
      <c r="I490" s="3">
        <f>IF(ISNUMBER(AVERAGE('20250815_ETF_Options_Exhibits'!I486:I490)),AVERAGE('20250815_ETF_Options_Exhibits'!I486:I490),"")</f>
        <v/>
      </c>
      <c r="J490" s="3">
        <f>IF(ISNUMBER(AVERAGE('20250815_ETF_Options_Exhibits'!J486:J490)),AVERAGE('20250815_ETF_Options_Exhibits'!J486:J490),"")</f>
        <v/>
      </c>
      <c r="K490" s="3">
        <f>IF(ISNUMBER(AVERAGE('20250815_ETF_Options_Exhibits'!K486:K490)),AVERAGE('20250815_ETF_Options_Exhibits'!K486:K490),"")</f>
        <v/>
      </c>
      <c r="L490" s="3">
        <f>IF(ISNUMBER(AVERAGE('20250815_ETF_Options_Exhibits'!L486:L490)),AVERAGE('20250815_ETF_Options_Exhibits'!L486:L490),"")</f>
        <v/>
      </c>
      <c r="M490" s="3">
        <f>IF(ISNUMBER(AVERAGE('20250815_ETF_Options_Exhibits'!M486:M490)),AVERAGE('20250815_ETF_Options_Exhibits'!M486:M490),"")</f>
        <v/>
      </c>
      <c r="N490" s="3">
        <f>IF(ISNUMBER(AVERAGE('20250815_ETF_Options_Exhibits'!N486:N490)),AVERAGE('20250815_ETF_Options_Exhibits'!N486:N490),"")</f>
        <v/>
      </c>
      <c r="O490" s="3">
        <f>IF(ISNUMBER(AVERAGE('20250815_ETF_Options_Exhibits'!O486:O490)),AVERAGE('20250815_ETF_Options_Exhibits'!O486:O490),"")</f>
        <v/>
      </c>
      <c r="P490" s="3">
        <f>IF(ISNUMBER(AVERAGE('20250815_ETF_Options_Exhibits'!P486:P490)),AVERAGE('20250815_ETF_Options_Exhibits'!P486:P490),"")</f>
        <v/>
      </c>
      <c r="Q490" s="3">
        <f>IF(ISNUMBER(AVERAGE('20250815_ETF_Options_Exhibits'!Q486:Q490)),AVERAGE('20250815_ETF_Options_Exhibits'!Q486:Q490),"")</f>
        <v/>
      </c>
      <c r="R490" s="3">
        <f>IF(ISNUMBER(AVERAGE('20250815_ETF_Options_Exhibits'!R486:R490)),AVERAGE('20250815_ETF_Options_Exhibits'!R486:R490),"")</f>
        <v/>
      </c>
      <c r="S490" s="3">
        <f>IF(ISNUMBER(AVERAGE('20250815_ETF_Options_Exhibits'!S486:S490)),AVERAGE('20250815_ETF_Options_Exhibits'!S486:S490),"")</f>
        <v/>
      </c>
      <c r="T490" s="3">
        <f>IF(ISNUMBER(AVERAGE('20250815_ETF_Options_Exhibits'!T486:T490)),AVERAGE('20250815_ETF_Options_Exhibits'!T486:T490),"")</f>
        <v/>
      </c>
      <c r="U490" s="3">
        <f>IF(ISNUMBER(AVERAGE('20250815_ETF_Options_Exhibits'!U486:U490)),AVERAGE('20250815_ETF_Options_Exhibits'!U486:U490),"")</f>
        <v/>
      </c>
      <c r="V490" s="3">
        <f>IF(ISNUMBER(AVERAGE('20250815_ETF_Options_Exhibits'!V486:V490)),AVERAGE('20250815_ETF_Options_Exhibits'!V486:V490),"")</f>
        <v/>
      </c>
      <c r="W490" s="3">
        <f>IF(ISNUMBER(AVERAGE('20250815_ETF_Options_Exhibits'!W486:W490)),AVERAGE('20250815_ETF_Options_Exhibits'!W486:W490),"")</f>
        <v/>
      </c>
      <c r="X490" s="3">
        <f>IF(ISNUMBER(AVERAGE('20250815_ETF_Options_Exhibits'!X486:X490)),AVERAGE('20250815_ETF_Options_Exhibits'!X486:X490),"")</f>
        <v/>
      </c>
      <c r="Y490" s="3">
        <f>IF(ISNUMBER(AVERAGE('20250815_ETF_Options_Exhibits'!Y486:Y490)),AVERAGE('20250815_ETF_Options_Exhibits'!Y486:Y490),"")</f>
        <v/>
      </c>
      <c r="Z490" s="3">
        <f>IF(ISNUMBER(AVERAGE('20250815_ETF_Options_Exhibits'!Z486:Z490)),AVERAGE('20250815_ETF_Options_Exhibits'!Z486:Z490),"")</f>
        <v/>
      </c>
      <c r="AA490" s="3">
        <f>IF(ISNUMBER(AVERAGE('20250815_ETF_Options_Exhibits'!AA486:AA490)),AVERAGE('20250815_ETF_Options_Exhibits'!AA486:AA490),"")</f>
        <v/>
      </c>
    </row>
    <row r="491">
      <c r="A491" s="1" t="n">
        <v>42712</v>
      </c>
      <c r="B491" s="3">
        <f>IF(ISNUMBER(AVERAGE('20250815_ETF_Options_Exhibits'!B487:B491)),AVERAGE('20250815_ETF_Options_Exhibits'!B487:B491),"")</f>
        <v/>
      </c>
      <c r="C491" s="3">
        <f>IF(ISNUMBER(AVERAGE('20250815_ETF_Options_Exhibits'!C487:C491)),AVERAGE('20250815_ETF_Options_Exhibits'!C487:C491),"")</f>
        <v/>
      </c>
      <c r="D491" s="3">
        <f>IF(ISNUMBER(AVERAGE('20250815_ETF_Options_Exhibits'!D487:D491)),AVERAGE('20250815_ETF_Options_Exhibits'!D487:D491),"")</f>
        <v/>
      </c>
      <c r="E491" s="3">
        <f>IF(ISNUMBER(AVERAGE('20250815_ETF_Options_Exhibits'!E487:E491)),AVERAGE('20250815_ETF_Options_Exhibits'!E487:E491),"")</f>
        <v/>
      </c>
      <c r="F491" s="3">
        <f>IF(ISNUMBER(AVERAGE('20250815_ETF_Options_Exhibits'!F487:F491)),AVERAGE('20250815_ETF_Options_Exhibits'!F487:F491),"")</f>
        <v/>
      </c>
      <c r="G491" s="3">
        <f>IF(ISNUMBER(AVERAGE('20250815_ETF_Options_Exhibits'!G487:G491)),AVERAGE('20250815_ETF_Options_Exhibits'!G487:G491),"")</f>
        <v/>
      </c>
      <c r="H491" s="3">
        <f>IF(ISNUMBER(AVERAGE('20250815_ETF_Options_Exhibits'!H487:H491)),AVERAGE('20250815_ETF_Options_Exhibits'!H487:H491),"")</f>
        <v/>
      </c>
      <c r="I491" s="3">
        <f>IF(ISNUMBER(AVERAGE('20250815_ETF_Options_Exhibits'!I487:I491)),AVERAGE('20250815_ETF_Options_Exhibits'!I487:I491),"")</f>
        <v/>
      </c>
      <c r="J491" s="3">
        <f>IF(ISNUMBER(AVERAGE('20250815_ETF_Options_Exhibits'!J487:J491)),AVERAGE('20250815_ETF_Options_Exhibits'!J487:J491),"")</f>
        <v/>
      </c>
      <c r="K491" s="3">
        <f>IF(ISNUMBER(AVERAGE('20250815_ETF_Options_Exhibits'!K487:K491)),AVERAGE('20250815_ETF_Options_Exhibits'!K487:K491),"")</f>
        <v/>
      </c>
      <c r="L491" s="3">
        <f>IF(ISNUMBER(AVERAGE('20250815_ETF_Options_Exhibits'!L487:L491)),AVERAGE('20250815_ETF_Options_Exhibits'!L487:L491),"")</f>
        <v/>
      </c>
      <c r="M491" s="3">
        <f>IF(ISNUMBER(AVERAGE('20250815_ETF_Options_Exhibits'!M487:M491)),AVERAGE('20250815_ETF_Options_Exhibits'!M487:M491),"")</f>
        <v/>
      </c>
      <c r="N491" s="3">
        <f>IF(ISNUMBER(AVERAGE('20250815_ETF_Options_Exhibits'!N487:N491)),AVERAGE('20250815_ETF_Options_Exhibits'!N487:N491),"")</f>
        <v/>
      </c>
      <c r="O491" s="3">
        <f>IF(ISNUMBER(AVERAGE('20250815_ETF_Options_Exhibits'!O487:O491)),AVERAGE('20250815_ETF_Options_Exhibits'!O487:O491),"")</f>
        <v/>
      </c>
      <c r="P491" s="3">
        <f>IF(ISNUMBER(AVERAGE('20250815_ETF_Options_Exhibits'!P487:P491)),AVERAGE('20250815_ETF_Options_Exhibits'!P487:P491),"")</f>
        <v/>
      </c>
      <c r="Q491" s="3">
        <f>IF(ISNUMBER(AVERAGE('20250815_ETF_Options_Exhibits'!Q487:Q491)),AVERAGE('20250815_ETF_Options_Exhibits'!Q487:Q491),"")</f>
        <v/>
      </c>
      <c r="R491" s="3">
        <f>IF(ISNUMBER(AVERAGE('20250815_ETF_Options_Exhibits'!R487:R491)),AVERAGE('20250815_ETF_Options_Exhibits'!R487:R491),"")</f>
        <v/>
      </c>
      <c r="S491" s="3">
        <f>IF(ISNUMBER(AVERAGE('20250815_ETF_Options_Exhibits'!S487:S491)),AVERAGE('20250815_ETF_Options_Exhibits'!S487:S491),"")</f>
        <v/>
      </c>
      <c r="T491" s="3">
        <f>IF(ISNUMBER(AVERAGE('20250815_ETF_Options_Exhibits'!T487:T491)),AVERAGE('20250815_ETF_Options_Exhibits'!T487:T491),"")</f>
        <v/>
      </c>
      <c r="U491" s="3">
        <f>IF(ISNUMBER(AVERAGE('20250815_ETF_Options_Exhibits'!U487:U491)),AVERAGE('20250815_ETF_Options_Exhibits'!U487:U491),"")</f>
        <v/>
      </c>
      <c r="V491" s="3">
        <f>IF(ISNUMBER(AVERAGE('20250815_ETF_Options_Exhibits'!V487:V491)),AVERAGE('20250815_ETF_Options_Exhibits'!V487:V491),"")</f>
        <v/>
      </c>
      <c r="W491" s="3">
        <f>IF(ISNUMBER(AVERAGE('20250815_ETF_Options_Exhibits'!W487:W491)),AVERAGE('20250815_ETF_Options_Exhibits'!W487:W491),"")</f>
        <v/>
      </c>
      <c r="X491" s="3">
        <f>IF(ISNUMBER(AVERAGE('20250815_ETF_Options_Exhibits'!X487:X491)),AVERAGE('20250815_ETF_Options_Exhibits'!X487:X491),"")</f>
        <v/>
      </c>
      <c r="Y491" s="3">
        <f>IF(ISNUMBER(AVERAGE('20250815_ETF_Options_Exhibits'!Y487:Y491)),AVERAGE('20250815_ETF_Options_Exhibits'!Y487:Y491),"")</f>
        <v/>
      </c>
      <c r="Z491" s="3">
        <f>IF(ISNUMBER(AVERAGE('20250815_ETF_Options_Exhibits'!Z487:Z491)),AVERAGE('20250815_ETF_Options_Exhibits'!Z487:Z491),"")</f>
        <v/>
      </c>
      <c r="AA491" s="3">
        <f>IF(ISNUMBER(AVERAGE('20250815_ETF_Options_Exhibits'!AA487:AA491)),AVERAGE('20250815_ETF_Options_Exhibits'!AA487:AA491),"")</f>
        <v/>
      </c>
    </row>
    <row r="492">
      <c r="A492" s="1" t="n">
        <v>42713</v>
      </c>
      <c r="B492" s="3">
        <f>IF(ISNUMBER(AVERAGE('20250815_ETF_Options_Exhibits'!B488:B492)),AVERAGE('20250815_ETF_Options_Exhibits'!B488:B492),"")</f>
        <v/>
      </c>
      <c r="C492" s="3">
        <f>IF(ISNUMBER(AVERAGE('20250815_ETF_Options_Exhibits'!C488:C492)),AVERAGE('20250815_ETF_Options_Exhibits'!C488:C492),"")</f>
        <v/>
      </c>
      <c r="D492" s="3">
        <f>IF(ISNUMBER(AVERAGE('20250815_ETF_Options_Exhibits'!D488:D492)),AVERAGE('20250815_ETF_Options_Exhibits'!D488:D492),"")</f>
        <v/>
      </c>
      <c r="E492" s="3">
        <f>IF(ISNUMBER(AVERAGE('20250815_ETF_Options_Exhibits'!E488:E492)),AVERAGE('20250815_ETF_Options_Exhibits'!E488:E492),"")</f>
        <v/>
      </c>
      <c r="F492" s="3">
        <f>IF(ISNUMBER(AVERAGE('20250815_ETF_Options_Exhibits'!F488:F492)),AVERAGE('20250815_ETF_Options_Exhibits'!F488:F492),"")</f>
        <v/>
      </c>
      <c r="G492" s="3">
        <f>IF(ISNUMBER(AVERAGE('20250815_ETF_Options_Exhibits'!G488:G492)),AVERAGE('20250815_ETF_Options_Exhibits'!G488:G492),"")</f>
        <v/>
      </c>
      <c r="H492" s="3">
        <f>IF(ISNUMBER(AVERAGE('20250815_ETF_Options_Exhibits'!H488:H492)),AVERAGE('20250815_ETF_Options_Exhibits'!H488:H492),"")</f>
        <v/>
      </c>
      <c r="I492" s="3">
        <f>IF(ISNUMBER(AVERAGE('20250815_ETF_Options_Exhibits'!I488:I492)),AVERAGE('20250815_ETF_Options_Exhibits'!I488:I492),"")</f>
        <v/>
      </c>
      <c r="J492" s="3">
        <f>IF(ISNUMBER(AVERAGE('20250815_ETF_Options_Exhibits'!J488:J492)),AVERAGE('20250815_ETF_Options_Exhibits'!J488:J492),"")</f>
        <v/>
      </c>
      <c r="K492" s="3">
        <f>IF(ISNUMBER(AVERAGE('20250815_ETF_Options_Exhibits'!K488:K492)),AVERAGE('20250815_ETF_Options_Exhibits'!K488:K492),"")</f>
        <v/>
      </c>
      <c r="L492" s="3">
        <f>IF(ISNUMBER(AVERAGE('20250815_ETF_Options_Exhibits'!L488:L492)),AVERAGE('20250815_ETF_Options_Exhibits'!L488:L492),"")</f>
        <v/>
      </c>
      <c r="M492" s="3">
        <f>IF(ISNUMBER(AVERAGE('20250815_ETF_Options_Exhibits'!M488:M492)),AVERAGE('20250815_ETF_Options_Exhibits'!M488:M492),"")</f>
        <v/>
      </c>
      <c r="N492" s="3">
        <f>IF(ISNUMBER(AVERAGE('20250815_ETF_Options_Exhibits'!N488:N492)),AVERAGE('20250815_ETF_Options_Exhibits'!N488:N492),"")</f>
        <v/>
      </c>
      <c r="O492" s="3">
        <f>IF(ISNUMBER(AVERAGE('20250815_ETF_Options_Exhibits'!O488:O492)),AVERAGE('20250815_ETF_Options_Exhibits'!O488:O492),"")</f>
        <v/>
      </c>
      <c r="P492" s="3">
        <f>IF(ISNUMBER(AVERAGE('20250815_ETF_Options_Exhibits'!P488:P492)),AVERAGE('20250815_ETF_Options_Exhibits'!P488:P492),"")</f>
        <v/>
      </c>
      <c r="Q492" s="3">
        <f>IF(ISNUMBER(AVERAGE('20250815_ETF_Options_Exhibits'!Q488:Q492)),AVERAGE('20250815_ETF_Options_Exhibits'!Q488:Q492),"")</f>
        <v/>
      </c>
      <c r="R492" s="3">
        <f>IF(ISNUMBER(AVERAGE('20250815_ETF_Options_Exhibits'!R488:R492)),AVERAGE('20250815_ETF_Options_Exhibits'!R488:R492),"")</f>
        <v/>
      </c>
      <c r="S492" s="3">
        <f>IF(ISNUMBER(AVERAGE('20250815_ETF_Options_Exhibits'!S488:S492)),AVERAGE('20250815_ETF_Options_Exhibits'!S488:S492),"")</f>
        <v/>
      </c>
      <c r="T492" s="3">
        <f>IF(ISNUMBER(AVERAGE('20250815_ETF_Options_Exhibits'!T488:T492)),AVERAGE('20250815_ETF_Options_Exhibits'!T488:T492),"")</f>
        <v/>
      </c>
      <c r="U492" s="3">
        <f>IF(ISNUMBER(AVERAGE('20250815_ETF_Options_Exhibits'!U488:U492)),AVERAGE('20250815_ETF_Options_Exhibits'!U488:U492),"")</f>
        <v/>
      </c>
      <c r="V492" s="3">
        <f>IF(ISNUMBER(AVERAGE('20250815_ETF_Options_Exhibits'!V488:V492)),AVERAGE('20250815_ETF_Options_Exhibits'!V488:V492),"")</f>
        <v/>
      </c>
      <c r="W492" s="3">
        <f>IF(ISNUMBER(AVERAGE('20250815_ETF_Options_Exhibits'!W488:W492)),AVERAGE('20250815_ETF_Options_Exhibits'!W488:W492),"")</f>
        <v/>
      </c>
      <c r="X492" s="3">
        <f>IF(ISNUMBER(AVERAGE('20250815_ETF_Options_Exhibits'!X488:X492)),AVERAGE('20250815_ETF_Options_Exhibits'!X488:X492),"")</f>
        <v/>
      </c>
      <c r="Y492" s="3">
        <f>IF(ISNUMBER(AVERAGE('20250815_ETF_Options_Exhibits'!Y488:Y492)),AVERAGE('20250815_ETF_Options_Exhibits'!Y488:Y492),"")</f>
        <v/>
      </c>
      <c r="Z492" s="3">
        <f>IF(ISNUMBER(AVERAGE('20250815_ETF_Options_Exhibits'!Z488:Z492)),AVERAGE('20250815_ETF_Options_Exhibits'!Z488:Z492),"")</f>
        <v/>
      </c>
      <c r="AA492" s="3">
        <f>IF(ISNUMBER(AVERAGE('20250815_ETF_Options_Exhibits'!AA488:AA492)),AVERAGE('20250815_ETF_Options_Exhibits'!AA488:AA492),"")</f>
        <v/>
      </c>
    </row>
    <row r="493">
      <c r="A493" s="1" t="n">
        <v>42716</v>
      </c>
      <c r="B493" s="3">
        <f>IF(ISNUMBER(AVERAGE('20250815_ETF_Options_Exhibits'!B489:B493)),AVERAGE('20250815_ETF_Options_Exhibits'!B489:B493),"")</f>
        <v/>
      </c>
      <c r="C493" s="3">
        <f>IF(ISNUMBER(AVERAGE('20250815_ETF_Options_Exhibits'!C489:C493)),AVERAGE('20250815_ETF_Options_Exhibits'!C489:C493),"")</f>
        <v/>
      </c>
      <c r="D493" s="3">
        <f>IF(ISNUMBER(AVERAGE('20250815_ETF_Options_Exhibits'!D489:D493)),AVERAGE('20250815_ETF_Options_Exhibits'!D489:D493),"")</f>
        <v/>
      </c>
      <c r="E493" s="3">
        <f>IF(ISNUMBER(AVERAGE('20250815_ETF_Options_Exhibits'!E489:E493)),AVERAGE('20250815_ETF_Options_Exhibits'!E489:E493),"")</f>
        <v/>
      </c>
      <c r="F493" s="3">
        <f>IF(ISNUMBER(AVERAGE('20250815_ETF_Options_Exhibits'!F489:F493)),AVERAGE('20250815_ETF_Options_Exhibits'!F489:F493),"")</f>
        <v/>
      </c>
      <c r="G493" s="3">
        <f>IF(ISNUMBER(AVERAGE('20250815_ETF_Options_Exhibits'!G489:G493)),AVERAGE('20250815_ETF_Options_Exhibits'!G489:G493),"")</f>
        <v/>
      </c>
      <c r="H493" s="3">
        <f>IF(ISNUMBER(AVERAGE('20250815_ETF_Options_Exhibits'!H489:H493)),AVERAGE('20250815_ETF_Options_Exhibits'!H489:H493),"")</f>
        <v/>
      </c>
      <c r="I493" s="3">
        <f>IF(ISNUMBER(AVERAGE('20250815_ETF_Options_Exhibits'!I489:I493)),AVERAGE('20250815_ETF_Options_Exhibits'!I489:I493),"")</f>
        <v/>
      </c>
      <c r="J493" s="3">
        <f>IF(ISNUMBER(AVERAGE('20250815_ETF_Options_Exhibits'!J489:J493)),AVERAGE('20250815_ETF_Options_Exhibits'!J489:J493),"")</f>
        <v/>
      </c>
      <c r="K493" s="3">
        <f>IF(ISNUMBER(AVERAGE('20250815_ETF_Options_Exhibits'!K489:K493)),AVERAGE('20250815_ETF_Options_Exhibits'!K489:K493),"")</f>
        <v/>
      </c>
      <c r="L493" s="3">
        <f>IF(ISNUMBER(AVERAGE('20250815_ETF_Options_Exhibits'!L489:L493)),AVERAGE('20250815_ETF_Options_Exhibits'!L489:L493),"")</f>
        <v/>
      </c>
      <c r="M493" s="3">
        <f>IF(ISNUMBER(AVERAGE('20250815_ETF_Options_Exhibits'!M489:M493)),AVERAGE('20250815_ETF_Options_Exhibits'!M489:M493),"")</f>
        <v/>
      </c>
      <c r="N493" s="3">
        <f>IF(ISNUMBER(AVERAGE('20250815_ETF_Options_Exhibits'!N489:N493)),AVERAGE('20250815_ETF_Options_Exhibits'!N489:N493),"")</f>
        <v/>
      </c>
      <c r="O493" s="3">
        <f>IF(ISNUMBER(AVERAGE('20250815_ETF_Options_Exhibits'!O489:O493)),AVERAGE('20250815_ETF_Options_Exhibits'!O489:O493),"")</f>
        <v/>
      </c>
      <c r="P493" s="3">
        <f>IF(ISNUMBER(AVERAGE('20250815_ETF_Options_Exhibits'!P489:P493)),AVERAGE('20250815_ETF_Options_Exhibits'!P489:P493),"")</f>
        <v/>
      </c>
      <c r="Q493" s="3">
        <f>IF(ISNUMBER(AVERAGE('20250815_ETF_Options_Exhibits'!Q489:Q493)),AVERAGE('20250815_ETF_Options_Exhibits'!Q489:Q493),"")</f>
        <v/>
      </c>
      <c r="R493" s="3">
        <f>IF(ISNUMBER(AVERAGE('20250815_ETF_Options_Exhibits'!R489:R493)),AVERAGE('20250815_ETF_Options_Exhibits'!R489:R493),"")</f>
        <v/>
      </c>
      <c r="S493" s="3">
        <f>IF(ISNUMBER(AVERAGE('20250815_ETF_Options_Exhibits'!S489:S493)),AVERAGE('20250815_ETF_Options_Exhibits'!S489:S493),"")</f>
        <v/>
      </c>
      <c r="T493" s="3">
        <f>IF(ISNUMBER(AVERAGE('20250815_ETF_Options_Exhibits'!T489:T493)),AVERAGE('20250815_ETF_Options_Exhibits'!T489:T493),"")</f>
        <v/>
      </c>
      <c r="U493" s="3">
        <f>IF(ISNUMBER(AVERAGE('20250815_ETF_Options_Exhibits'!U489:U493)),AVERAGE('20250815_ETF_Options_Exhibits'!U489:U493),"")</f>
        <v/>
      </c>
      <c r="V493" s="3">
        <f>IF(ISNUMBER(AVERAGE('20250815_ETF_Options_Exhibits'!V489:V493)),AVERAGE('20250815_ETF_Options_Exhibits'!V489:V493),"")</f>
        <v/>
      </c>
      <c r="W493" s="3">
        <f>IF(ISNUMBER(AVERAGE('20250815_ETF_Options_Exhibits'!W489:W493)),AVERAGE('20250815_ETF_Options_Exhibits'!W489:W493),"")</f>
        <v/>
      </c>
      <c r="X493" s="3">
        <f>IF(ISNUMBER(AVERAGE('20250815_ETF_Options_Exhibits'!X489:X493)),AVERAGE('20250815_ETF_Options_Exhibits'!X489:X493),"")</f>
        <v/>
      </c>
      <c r="Y493" s="3">
        <f>IF(ISNUMBER(AVERAGE('20250815_ETF_Options_Exhibits'!Y489:Y493)),AVERAGE('20250815_ETF_Options_Exhibits'!Y489:Y493),"")</f>
        <v/>
      </c>
      <c r="Z493" s="3">
        <f>IF(ISNUMBER(AVERAGE('20250815_ETF_Options_Exhibits'!Z489:Z493)),AVERAGE('20250815_ETF_Options_Exhibits'!Z489:Z493),"")</f>
        <v/>
      </c>
      <c r="AA493" s="3">
        <f>IF(ISNUMBER(AVERAGE('20250815_ETF_Options_Exhibits'!AA489:AA493)),AVERAGE('20250815_ETF_Options_Exhibits'!AA489:AA493),"")</f>
        <v/>
      </c>
    </row>
    <row r="494">
      <c r="A494" s="1" t="n">
        <v>42717</v>
      </c>
      <c r="B494" s="3">
        <f>IF(ISNUMBER(AVERAGE('20250815_ETF_Options_Exhibits'!B490:B494)),AVERAGE('20250815_ETF_Options_Exhibits'!B490:B494),"")</f>
        <v/>
      </c>
      <c r="C494" s="3">
        <f>IF(ISNUMBER(AVERAGE('20250815_ETF_Options_Exhibits'!C490:C494)),AVERAGE('20250815_ETF_Options_Exhibits'!C490:C494),"")</f>
        <v/>
      </c>
      <c r="D494" s="3">
        <f>IF(ISNUMBER(AVERAGE('20250815_ETF_Options_Exhibits'!D490:D494)),AVERAGE('20250815_ETF_Options_Exhibits'!D490:D494),"")</f>
        <v/>
      </c>
      <c r="E494" s="3">
        <f>IF(ISNUMBER(AVERAGE('20250815_ETF_Options_Exhibits'!E490:E494)),AVERAGE('20250815_ETF_Options_Exhibits'!E490:E494),"")</f>
        <v/>
      </c>
      <c r="F494" s="3">
        <f>IF(ISNUMBER(AVERAGE('20250815_ETF_Options_Exhibits'!F490:F494)),AVERAGE('20250815_ETF_Options_Exhibits'!F490:F494),"")</f>
        <v/>
      </c>
      <c r="G494" s="3">
        <f>IF(ISNUMBER(AVERAGE('20250815_ETF_Options_Exhibits'!G490:G494)),AVERAGE('20250815_ETF_Options_Exhibits'!G490:G494),"")</f>
        <v/>
      </c>
      <c r="H494" s="3">
        <f>IF(ISNUMBER(AVERAGE('20250815_ETF_Options_Exhibits'!H490:H494)),AVERAGE('20250815_ETF_Options_Exhibits'!H490:H494),"")</f>
        <v/>
      </c>
      <c r="I494" s="3">
        <f>IF(ISNUMBER(AVERAGE('20250815_ETF_Options_Exhibits'!I490:I494)),AVERAGE('20250815_ETF_Options_Exhibits'!I490:I494),"")</f>
        <v/>
      </c>
      <c r="J494" s="3">
        <f>IF(ISNUMBER(AVERAGE('20250815_ETF_Options_Exhibits'!J490:J494)),AVERAGE('20250815_ETF_Options_Exhibits'!J490:J494),"")</f>
        <v/>
      </c>
      <c r="K494" s="3">
        <f>IF(ISNUMBER(AVERAGE('20250815_ETF_Options_Exhibits'!K490:K494)),AVERAGE('20250815_ETF_Options_Exhibits'!K490:K494),"")</f>
        <v/>
      </c>
      <c r="L494" s="3">
        <f>IF(ISNUMBER(AVERAGE('20250815_ETF_Options_Exhibits'!L490:L494)),AVERAGE('20250815_ETF_Options_Exhibits'!L490:L494),"")</f>
        <v/>
      </c>
      <c r="M494" s="3">
        <f>IF(ISNUMBER(AVERAGE('20250815_ETF_Options_Exhibits'!M490:M494)),AVERAGE('20250815_ETF_Options_Exhibits'!M490:M494),"")</f>
        <v/>
      </c>
      <c r="N494" s="3">
        <f>IF(ISNUMBER(AVERAGE('20250815_ETF_Options_Exhibits'!N490:N494)),AVERAGE('20250815_ETF_Options_Exhibits'!N490:N494),"")</f>
        <v/>
      </c>
      <c r="O494" s="3">
        <f>IF(ISNUMBER(AVERAGE('20250815_ETF_Options_Exhibits'!O490:O494)),AVERAGE('20250815_ETF_Options_Exhibits'!O490:O494),"")</f>
        <v/>
      </c>
      <c r="P494" s="3">
        <f>IF(ISNUMBER(AVERAGE('20250815_ETF_Options_Exhibits'!P490:P494)),AVERAGE('20250815_ETF_Options_Exhibits'!P490:P494),"")</f>
        <v/>
      </c>
      <c r="Q494" s="3">
        <f>IF(ISNUMBER(AVERAGE('20250815_ETF_Options_Exhibits'!Q490:Q494)),AVERAGE('20250815_ETF_Options_Exhibits'!Q490:Q494),"")</f>
        <v/>
      </c>
      <c r="R494" s="3">
        <f>IF(ISNUMBER(AVERAGE('20250815_ETF_Options_Exhibits'!R490:R494)),AVERAGE('20250815_ETF_Options_Exhibits'!R490:R494),"")</f>
        <v/>
      </c>
      <c r="S494" s="3">
        <f>IF(ISNUMBER(AVERAGE('20250815_ETF_Options_Exhibits'!S490:S494)),AVERAGE('20250815_ETF_Options_Exhibits'!S490:S494),"")</f>
        <v/>
      </c>
      <c r="T494" s="3">
        <f>IF(ISNUMBER(AVERAGE('20250815_ETF_Options_Exhibits'!T490:T494)),AVERAGE('20250815_ETF_Options_Exhibits'!T490:T494),"")</f>
        <v/>
      </c>
      <c r="U494" s="3">
        <f>IF(ISNUMBER(AVERAGE('20250815_ETF_Options_Exhibits'!U490:U494)),AVERAGE('20250815_ETF_Options_Exhibits'!U490:U494),"")</f>
        <v/>
      </c>
      <c r="V494" s="3">
        <f>IF(ISNUMBER(AVERAGE('20250815_ETF_Options_Exhibits'!V490:V494)),AVERAGE('20250815_ETF_Options_Exhibits'!V490:V494),"")</f>
        <v/>
      </c>
      <c r="W494" s="3">
        <f>IF(ISNUMBER(AVERAGE('20250815_ETF_Options_Exhibits'!W490:W494)),AVERAGE('20250815_ETF_Options_Exhibits'!W490:W494),"")</f>
        <v/>
      </c>
      <c r="X494" s="3">
        <f>IF(ISNUMBER(AVERAGE('20250815_ETF_Options_Exhibits'!X490:X494)),AVERAGE('20250815_ETF_Options_Exhibits'!X490:X494),"")</f>
        <v/>
      </c>
      <c r="Y494" s="3">
        <f>IF(ISNUMBER(AVERAGE('20250815_ETF_Options_Exhibits'!Y490:Y494)),AVERAGE('20250815_ETF_Options_Exhibits'!Y490:Y494),"")</f>
        <v/>
      </c>
      <c r="Z494" s="3">
        <f>IF(ISNUMBER(AVERAGE('20250815_ETF_Options_Exhibits'!Z490:Z494)),AVERAGE('20250815_ETF_Options_Exhibits'!Z490:Z494),"")</f>
        <v/>
      </c>
      <c r="AA494" s="3">
        <f>IF(ISNUMBER(AVERAGE('20250815_ETF_Options_Exhibits'!AA490:AA494)),AVERAGE('20250815_ETF_Options_Exhibits'!AA490:AA494),"")</f>
        <v/>
      </c>
    </row>
    <row r="495">
      <c r="A495" s="1" t="n">
        <v>42718</v>
      </c>
      <c r="B495" s="3">
        <f>IF(ISNUMBER(AVERAGE('20250815_ETF_Options_Exhibits'!B491:B495)),AVERAGE('20250815_ETF_Options_Exhibits'!B491:B495),"")</f>
        <v/>
      </c>
      <c r="C495" s="3">
        <f>IF(ISNUMBER(AVERAGE('20250815_ETF_Options_Exhibits'!C491:C495)),AVERAGE('20250815_ETF_Options_Exhibits'!C491:C495),"")</f>
        <v/>
      </c>
      <c r="D495" s="3">
        <f>IF(ISNUMBER(AVERAGE('20250815_ETF_Options_Exhibits'!D491:D495)),AVERAGE('20250815_ETF_Options_Exhibits'!D491:D495),"")</f>
        <v/>
      </c>
      <c r="E495" s="3">
        <f>IF(ISNUMBER(AVERAGE('20250815_ETF_Options_Exhibits'!E491:E495)),AVERAGE('20250815_ETF_Options_Exhibits'!E491:E495),"")</f>
        <v/>
      </c>
      <c r="F495" s="3">
        <f>IF(ISNUMBER(AVERAGE('20250815_ETF_Options_Exhibits'!F491:F495)),AVERAGE('20250815_ETF_Options_Exhibits'!F491:F495),"")</f>
        <v/>
      </c>
      <c r="G495" s="3">
        <f>IF(ISNUMBER(AVERAGE('20250815_ETF_Options_Exhibits'!G491:G495)),AVERAGE('20250815_ETF_Options_Exhibits'!G491:G495),"")</f>
        <v/>
      </c>
      <c r="H495" s="3">
        <f>IF(ISNUMBER(AVERAGE('20250815_ETF_Options_Exhibits'!H491:H495)),AVERAGE('20250815_ETF_Options_Exhibits'!H491:H495),"")</f>
        <v/>
      </c>
      <c r="I495" s="3">
        <f>IF(ISNUMBER(AVERAGE('20250815_ETF_Options_Exhibits'!I491:I495)),AVERAGE('20250815_ETF_Options_Exhibits'!I491:I495),"")</f>
        <v/>
      </c>
      <c r="J495" s="3">
        <f>IF(ISNUMBER(AVERAGE('20250815_ETF_Options_Exhibits'!J491:J495)),AVERAGE('20250815_ETF_Options_Exhibits'!J491:J495),"")</f>
        <v/>
      </c>
      <c r="K495" s="3">
        <f>IF(ISNUMBER(AVERAGE('20250815_ETF_Options_Exhibits'!K491:K495)),AVERAGE('20250815_ETF_Options_Exhibits'!K491:K495),"")</f>
        <v/>
      </c>
      <c r="L495" s="3">
        <f>IF(ISNUMBER(AVERAGE('20250815_ETF_Options_Exhibits'!L491:L495)),AVERAGE('20250815_ETF_Options_Exhibits'!L491:L495),"")</f>
        <v/>
      </c>
      <c r="M495" s="3">
        <f>IF(ISNUMBER(AVERAGE('20250815_ETF_Options_Exhibits'!M491:M495)),AVERAGE('20250815_ETF_Options_Exhibits'!M491:M495),"")</f>
        <v/>
      </c>
      <c r="N495" s="3">
        <f>IF(ISNUMBER(AVERAGE('20250815_ETF_Options_Exhibits'!N491:N495)),AVERAGE('20250815_ETF_Options_Exhibits'!N491:N495),"")</f>
        <v/>
      </c>
      <c r="O495" s="3">
        <f>IF(ISNUMBER(AVERAGE('20250815_ETF_Options_Exhibits'!O491:O495)),AVERAGE('20250815_ETF_Options_Exhibits'!O491:O495),"")</f>
        <v/>
      </c>
      <c r="P495" s="3">
        <f>IF(ISNUMBER(AVERAGE('20250815_ETF_Options_Exhibits'!P491:P495)),AVERAGE('20250815_ETF_Options_Exhibits'!P491:P495),"")</f>
        <v/>
      </c>
      <c r="Q495" s="3">
        <f>IF(ISNUMBER(AVERAGE('20250815_ETF_Options_Exhibits'!Q491:Q495)),AVERAGE('20250815_ETF_Options_Exhibits'!Q491:Q495),"")</f>
        <v/>
      </c>
      <c r="R495" s="3">
        <f>IF(ISNUMBER(AVERAGE('20250815_ETF_Options_Exhibits'!R491:R495)),AVERAGE('20250815_ETF_Options_Exhibits'!R491:R495),"")</f>
        <v/>
      </c>
      <c r="S495" s="3">
        <f>IF(ISNUMBER(AVERAGE('20250815_ETF_Options_Exhibits'!S491:S495)),AVERAGE('20250815_ETF_Options_Exhibits'!S491:S495),"")</f>
        <v/>
      </c>
      <c r="T495" s="3">
        <f>IF(ISNUMBER(AVERAGE('20250815_ETF_Options_Exhibits'!T491:T495)),AVERAGE('20250815_ETF_Options_Exhibits'!T491:T495),"")</f>
        <v/>
      </c>
      <c r="U495" s="3">
        <f>IF(ISNUMBER(AVERAGE('20250815_ETF_Options_Exhibits'!U491:U495)),AVERAGE('20250815_ETF_Options_Exhibits'!U491:U495),"")</f>
        <v/>
      </c>
      <c r="V495" s="3">
        <f>IF(ISNUMBER(AVERAGE('20250815_ETF_Options_Exhibits'!V491:V495)),AVERAGE('20250815_ETF_Options_Exhibits'!V491:V495),"")</f>
        <v/>
      </c>
      <c r="W495" s="3">
        <f>IF(ISNUMBER(AVERAGE('20250815_ETF_Options_Exhibits'!W491:W495)),AVERAGE('20250815_ETF_Options_Exhibits'!W491:W495),"")</f>
        <v/>
      </c>
      <c r="X495" s="3">
        <f>IF(ISNUMBER(AVERAGE('20250815_ETF_Options_Exhibits'!X491:X495)),AVERAGE('20250815_ETF_Options_Exhibits'!X491:X495),"")</f>
        <v/>
      </c>
      <c r="Y495" s="3">
        <f>IF(ISNUMBER(AVERAGE('20250815_ETF_Options_Exhibits'!Y491:Y495)),AVERAGE('20250815_ETF_Options_Exhibits'!Y491:Y495),"")</f>
        <v/>
      </c>
      <c r="Z495" s="3">
        <f>IF(ISNUMBER(AVERAGE('20250815_ETF_Options_Exhibits'!Z491:Z495)),AVERAGE('20250815_ETF_Options_Exhibits'!Z491:Z495),"")</f>
        <v/>
      </c>
      <c r="AA495" s="3">
        <f>IF(ISNUMBER(AVERAGE('20250815_ETF_Options_Exhibits'!AA491:AA495)),AVERAGE('20250815_ETF_Options_Exhibits'!AA491:AA495),"")</f>
        <v/>
      </c>
    </row>
    <row r="496">
      <c r="A496" s="1" t="n">
        <v>42719</v>
      </c>
      <c r="B496" s="3">
        <f>IF(ISNUMBER(AVERAGE('20250815_ETF_Options_Exhibits'!B492:B496)),AVERAGE('20250815_ETF_Options_Exhibits'!B492:B496),"")</f>
        <v/>
      </c>
      <c r="C496" s="3">
        <f>IF(ISNUMBER(AVERAGE('20250815_ETF_Options_Exhibits'!C492:C496)),AVERAGE('20250815_ETF_Options_Exhibits'!C492:C496),"")</f>
        <v/>
      </c>
      <c r="D496" s="3">
        <f>IF(ISNUMBER(AVERAGE('20250815_ETF_Options_Exhibits'!D492:D496)),AVERAGE('20250815_ETF_Options_Exhibits'!D492:D496),"")</f>
        <v/>
      </c>
      <c r="E496" s="3">
        <f>IF(ISNUMBER(AVERAGE('20250815_ETF_Options_Exhibits'!E492:E496)),AVERAGE('20250815_ETF_Options_Exhibits'!E492:E496),"")</f>
        <v/>
      </c>
      <c r="F496" s="3">
        <f>IF(ISNUMBER(AVERAGE('20250815_ETF_Options_Exhibits'!F492:F496)),AVERAGE('20250815_ETF_Options_Exhibits'!F492:F496),"")</f>
        <v/>
      </c>
      <c r="G496" s="3">
        <f>IF(ISNUMBER(AVERAGE('20250815_ETF_Options_Exhibits'!G492:G496)),AVERAGE('20250815_ETF_Options_Exhibits'!G492:G496),"")</f>
        <v/>
      </c>
      <c r="H496" s="3">
        <f>IF(ISNUMBER(AVERAGE('20250815_ETF_Options_Exhibits'!H492:H496)),AVERAGE('20250815_ETF_Options_Exhibits'!H492:H496),"")</f>
        <v/>
      </c>
      <c r="I496" s="3">
        <f>IF(ISNUMBER(AVERAGE('20250815_ETF_Options_Exhibits'!I492:I496)),AVERAGE('20250815_ETF_Options_Exhibits'!I492:I496),"")</f>
        <v/>
      </c>
      <c r="J496" s="3">
        <f>IF(ISNUMBER(AVERAGE('20250815_ETF_Options_Exhibits'!J492:J496)),AVERAGE('20250815_ETF_Options_Exhibits'!J492:J496),"")</f>
        <v/>
      </c>
      <c r="K496" s="3">
        <f>IF(ISNUMBER(AVERAGE('20250815_ETF_Options_Exhibits'!K492:K496)),AVERAGE('20250815_ETF_Options_Exhibits'!K492:K496),"")</f>
        <v/>
      </c>
      <c r="L496" s="3">
        <f>IF(ISNUMBER(AVERAGE('20250815_ETF_Options_Exhibits'!L492:L496)),AVERAGE('20250815_ETF_Options_Exhibits'!L492:L496),"")</f>
        <v/>
      </c>
      <c r="M496" s="3">
        <f>IF(ISNUMBER(AVERAGE('20250815_ETF_Options_Exhibits'!M492:M496)),AVERAGE('20250815_ETF_Options_Exhibits'!M492:M496),"")</f>
        <v/>
      </c>
      <c r="N496" s="3">
        <f>IF(ISNUMBER(AVERAGE('20250815_ETF_Options_Exhibits'!N492:N496)),AVERAGE('20250815_ETF_Options_Exhibits'!N492:N496),"")</f>
        <v/>
      </c>
      <c r="O496" s="3">
        <f>IF(ISNUMBER(AVERAGE('20250815_ETF_Options_Exhibits'!O492:O496)),AVERAGE('20250815_ETF_Options_Exhibits'!O492:O496),"")</f>
        <v/>
      </c>
      <c r="P496" s="3">
        <f>IF(ISNUMBER(AVERAGE('20250815_ETF_Options_Exhibits'!P492:P496)),AVERAGE('20250815_ETF_Options_Exhibits'!P492:P496),"")</f>
        <v/>
      </c>
      <c r="Q496" s="3">
        <f>IF(ISNUMBER(AVERAGE('20250815_ETF_Options_Exhibits'!Q492:Q496)),AVERAGE('20250815_ETF_Options_Exhibits'!Q492:Q496),"")</f>
        <v/>
      </c>
      <c r="R496" s="3">
        <f>IF(ISNUMBER(AVERAGE('20250815_ETF_Options_Exhibits'!R492:R496)),AVERAGE('20250815_ETF_Options_Exhibits'!R492:R496),"")</f>
        <v/>
      </c>
      <c r="S496" s="3">
        <f>IF(ISNUMBER(AVERAGE('20250815_ETF_Options_Exhibits'!S492:S496)),AVERAGE('20250815_ETF_Options_Exhibits'!S492:S496),"")</f>
        <v/>
      </c>
      <c r="T496" s="3">
        <f>IF(ISNUMBER(AVERAGE('20250815_ETF_Options_Exhibits'!T492:T496)),AVERAGE('20250815_ETF_Options_Exhibits'!T492:T496),"")</f>
        <v/>
      </c>
      <c r="U496" s="3">
        <f>IF(ISNUMBER(AVERAGE('20250815_ETF_Options_Exhibits'!U492:U496)),AVERAGE('20250815_ETF_Options_Exhibits'!U492:U496),"")</f>
        <v/>
      </c>
      <c r="V496" s="3">
        <f>IF(ISNUMBER(AVERAGE('20250815_ETF_Options_Exhibits'!V492:V496)),AVERAGE('20250815_ETF_Options_Exhibits'!V492:V496),"")</f>
        <v/>
      </c>
      <c r="W496" s="3">
        <f>IF(ISNUMBER(AVERAGE('20250815_ETF_Options_Exhibits'!W492:W496)),AVERAGE('20250815_ETF_Options_Exhibits'!W492:W496),"")</f>
        <v/>
      </c>
      <c r="X496" s="3">
        <f>IF(ISNUMBER(AVERAGE('20250815_ETF_Options_Exhibits'!X492:X496)),AVERAGE('20250815_ETF_Options_Exhibits'!X492:X496),"")</f>
        <v/>
      </c>
      <c r="Y496" s="3">
        <f>IF(ISNUMBER(AVERAGE('20250815_ETF_Options_Exhibits'!Y492:Y496)),AVERAGE('20250815_ETF_Options_Exhibits'!Y492:Y496),"")</f>
        <v/>
      </c>
      <c r="Z496" s="3">
        <f>IF(ISNUMBER(AVERAGE('20250815_ETF_Options_Exhibits'!Z492:Z496)),AVERAGE('20250815_ETF_Options_Exhibits'!Z492:Z496),"")</f>
        <v/>
      </c>
      <c r="AA496" s="3">
        <f>IF(ISNUMBER(AVERAGE('20250815_ETF_Options_Exhibits'!AA492:AA496)),AVERAGE('20250815_ETF_Options_Exhibits'!AA492:AA496),"")</f>
        <v/>
      </c>
    </row>
    <row r="497">
      <c r="A497" s="1" t="n">
        <v>42720</v>
      </c>
      <c r="B497" s="3">
        <f>IF(ISNUMBER(AVERAGE('20250815_ETF_Options_Exhibits'!B493:B497)),AVERAGE('20250815_ETF_Options_Exhibits'!B493:B497),"")</f>
        <v/>
      </c>
      <c r="C497" s="3">
        <f>IF(ISNUMBER(AVERAGE('20250815_ETF_Options_Exhibits'!C493:C497)),AVERAGE('20250815_ETF_Options_Exhibits'!C493:C497),"")</f>
        <v/>
      </c>
      <c r="D497" s="3">
        <f>IF(ISNUMBER(AVERAGE('20250815_ETF_Options_Exhibits'!D493:D497)),AVERAGE('20250815_ETF_Options_Exhibits'!D493:D497),"")</f>
        <v/>
      </c>
      <c r="E497" s="3">
        <f>IF(ISNUMBER(AVERAGE('20250815_ETF_Options_Exhibits'!E493:E497)),AVERAGE('20250815_ETF_Options_Exhibits'!E493:E497),"")</f>
        <v/>
      </c>
      <c r="F497" s="3">
        <f>IF(ISNUMBER(AVERAGE('20250815_ETF_Options_Exhibits'!F493:F497)),AVERAGE('20250815_ETF_Options_Exhibits'!F493:F497),"")</f>
        <v/>
      </c>
      <c r="G497" s="3">
        <f>IF(ISNUMBER(AVERAGE('20250815_ETF_Options_Exhibits'!G493:G497)),AVERAGE('20250815_ETF_Options_Exhibits'!G493:G497),"")</f>
        <v/>
      </c>
      <c r="H497" s="3">
        <f>IF(ISNUMBER(AVERAGE('20250815_ETF_Options_Exhibits'!H493:H497)),AVERAGE('20250815_ETF_Options_Exhibits'!H493:H497),"")</f>
        <v/>
      </c>
      <c r="I497" s="3">
        <f>IF(ISNUMBER(AVERAGE('20250815_ETF_Options_Exhibits'!I493:I497)),AVERAGE('20250815_ETF_Options_Exhibits'!I493:I497),"")</f>
        <v/>
      </c>
      <c r="J497" s="3">
        <f>IF(ISNUMBER(AVERAGE('20250815_ETF_Options_Exhibits'!J493:J497)),AVERAGE('20250815_ETF_Options_Exhibits'!J493:J497),"")</f>
        <v/>
      </c>
      <c r="K497" s="3">
        <f>IF(ISNUMBER(AVERAGE('20250815_ETF_Options_Exhibits'!K493:K497)),AVERAGE('20250815_ETF_Options_Exhibits'!K493:K497),"")</f>
        <v/>
      </c>
      <c r="L497" s="3">
        <f>IF(ISNUMBER(AVERAGE('20250815_ETF_Options_Exhibits'!L493:L497)),AVERAGE('20250815_ETF_Options_Exhibits'!L493:L497),"")</f>
        <v/>
      </c>
      <c r="M497" s="3">
        <f>IF(ISNUMBER(AVERAGE('20250815_ETF_Options_Exhibits'!M493:M497)),AVERAGE('20250815_ETF_Options_Exhibits'!M493:M497),"")</f>
        <v/>
      </c>
      <c r="N497" s="3">
        <f>IF(ISNUMBER(AVERAGE('20250815_ETF_Options_Exhibits'!N493:N497)),AVERAGE('20250815_ETF_Options_Exhibits'!N493:N497),"")</f>
        <v/>
      </c>
      <c r="O497" s="3">
        <f>IF(ISNUMBER(AVERAGE('20250815_ETF_Options_Exhibits'!O493:O497)),AVERAGE('20250815_ETF_Options_Exhibits'!O493:O497),"")</f>
        <v/>
      </c>
      <c r="P497" s="3">
        <f>IF(ISNUMBER(AVERAGE('20250815_ETF_Options_Exhibits'!P493:P497)),AVERAGE('20250815_ETF_Options_Exhibits'!P493:P497),"")</f>
        <v/>
      </c>
      <c r="Q497" s="3">
        <f>IF(ISNUMBER(AVERAGE('20250815_ETF_Options_Exhibits'!Q493:Q497)),AVERAGE('20250815_ETF_Options_Exhibits'!Q493:Q497),"")</f>
        <v/>
      </c>
      <c r="R497" s="3">
        <f>IF(ISNUMBER(AVERAGE('20250815_ETF_Options_Exhibits'!R493:R497)),AVERAGE('20250815_ETF_Options_Exhibits'!R493:R497),"")</f>
        <v/>
      </c>
      <c r="S497" s="3">
        <f>IF(ISNUMBER(AVERAGE('20250815_ETF_Options_Exhibits'!S493:S497)),AVERAGE('20250815_ETF_Options_Exhibits'!S493:S497),"")</f>
        <v/>
      </c>
      <c r="T497" s="3">
        <f>IF(ISNUMBER(AVERAGE('20250815_ETF_Options_Exhibits'!T493:T497)),AVERAGE('20250815_ETF_Options_Exhibits'!T493:T497),"")</f>
        <v/>
      </c>
      <c r="U497" s="3">
        <f>IF(ISNUMBER(AVERAGE('20250815_ETF_Options_Exhibits'!U493:U497)),AVERAGE('20250815_ETF_Options_Exhibits'!U493:U497),"")</f>
        <v/>
      </c>
      <c r="V497" s="3">
        <f>IF(ISNUMBER(AVERAGE('20250815_ETF_Options_Exhibits'!V493:V497)),AVERAGE('20250815_ETF_Options_Exhibits'!V493:V497),"")</f>
        <v/>
      </c>
      <c r="W497" s="3">
        <f>IF(ISNUMBER(AVERAGE('20250815_ETF_Options_Exhibits'!W493:W497)),AVERAGE('20250815_ETF_Options_Exhibits'!W493:W497),"")</f>
        <v/>
      </c>
      <c r="X497" s="3">
        <f>IF(ISNUMBER(AVERAGE('20250815_ETF_Options_Exhibits'!X493:X497)),AVERAGE('20250815_ETF_Options_Exhibits'!X493:X497),"")</f>
        <v/>
      </c>
      <c r="Y497" s="3">
        <f>IF(ISNUMBER(AVERAGE('20250815_ETF_Options_Exhibits'!Y493:Y497)),AVERAGE('20250815_ETF_Options_Exhibits'!Y493:Y497),"")</f>
        <v/>
      </c>
      <c r="Z497" s="3">
        <f>IF(ISNUMBER(AVERAGE('20250815_ETF_Options_Exhibits'!Z493:Z497)),AVERAGE('20250815_ETF_Options_Exhibits'!Z493:Z497),"")</f>
        <v/>
      </c>
      <c r="AA497" s="3">
        <f>IF(ISNUMBER(AVERAGE('20250815_ETF_Options_Exhibits'!AA493:AA497)),AVERAGE('20250815_ETF_Options_Exhibits'!AA493:AA497),"")</f>
        <v/>
      </c>
    </row>
    <row r="498">
      <c r="A498" s="1" t="n">
        <v>42723</v>
      </c>
      <c r="B498" s="3">
        <f>IF(ISNUMBER(AVERAGE('20250815_ETF_Options_Exhibits'!B494:B498)),AVERAGE('20250815_ETF_Options_Exhibits'!B494:B498),"")</f>
        <v/>
      </c>
      <c r="C498" s="3">
        <f>IF(ISNUMBER(AVERAGE('20250815_ETF_Options_Exhibits'!C494:C498)),AVERAGE('20250815_ETF_Options_Exhibits'!C494:C498),"")</f>
        <v/>
      </c>
      <c r="D498" s="3">
        <f>IF(ISNUMBER(AVERAGE('20250815_ETF_Options_Exhibits'!D494:D498)),AVERAGE('20250815_ETF_Options_Exhibits'!D494:D498),"")</f>
        <v/>
      </c>
      <c r="E498" s="3">
        <f>IF(ISNUMBER(AVERAGE('20250815_ETF_Options_Exhibits'!E494:E498)),AVERAGE('20250815_ETF_Options_Exhibits'!E494:E498),"")</f>
        <v/>
      </c>
      <c r="F498" s="3">
        <f>IF(ISNUMBER(AVERAGE('20250815_ETF_Options_Exhibits'!F494:F498)),AVERAGE('20250815_ETF_Options_Exhibits'!F494:F498),"")</f>
        <v/>
      </c>
      <c r="G498" s="3">
        <f>IF(ISNUMBER(AVERAGE('20250815_ETF_Options_Exhibits'!G494:G498)),AVERAGE('20250815_ETF_Options_Exhibits'!G494:G498),"")</f>
        <v/>
      </c>
      <c r="H498" s="3">
        <f>IF(ISNUMBER(AVERAGE('20250815_ETF_Options_Exhibits'!H494:H498)),AVERAGE('20250815_ETF_Options_Exhibits'!H494:H498),"")</f>
        <v/>
      </c>
      <c r="I498" s="3">
        <f>IF(ISNUMBER(AVERAGE('20250815_ETF_Options_Exhibits'!I494:I498)),AVERAGE('20250815_ETF_Options_Exhibits'!I494:I498),"")</f>
        <v/>
      </c>
      <c r="J498" s="3">
        <f>IF(ISNUMBER(AVERAGE('20250815_ETF_Options_Exhibits'!J494:J498)),AVERAGE('20250815_ETF_Options_Exhibits'!J494:J498),"")</f>
        <v/>
      </c>
      <c r="K498" s="3">
        <f>IF(ISNUMBER(AVERAGE('20250815_ETF_Options_Exhibits'!K494:K498)),AVERAGE('20250815_ETF_Options_Exhibits'!K494:K498),"")</f>
        <v/>
      </c>
      <c r="L498" s="3">
        <f>IF(ISNUMBER(AVERAGE('20250815_ETF_Options_Exhibits'!L494:L498)),AVERAGE('20250815_ETF_Options_Exhibits'!L494:L498),"")</f>
        <v/>
      </c>
      <c r="M498" s="3">
        <f>IF(ISNUMBER(AVERAGE('20250815_ETF_Options_Exhibits'!M494:M498)),AVERAGE('20250815_ETF_Options_Exhibits'!M494:M498),"")</f>
        <v/>
      </c>
      <c r="N498" s="3">
        <f>IF(ISNUMBER(AVERAGE('20250815_ETF_Options_Exhibits'!N494:N498)),AVERAGE('20250815_ETF_Options_Exhibits'!N494:N498),"")</f>
        <v/>
      </c>
      <c r="O498" s="3">
        <f>IF(ISNUMBER(AVERAGE('20250815_ETF_Options_Exhibits'!O494:O498)),AVERAGE('20250815_ETF_Options_Exhibits'!O494:O498),"")</f>
        <v/>
      </c>
      <c r="P498" s="3">
        <f>IF(ISNUMBER(AVERAGE('20250815_ETF_Options_Exhibits'!P494:P498)),AVERAGE('20250815_ETF_Options_Exhibits'!P494:P498),"")</f>
        <v/>
      </c>
      <c r="Q498" s="3">
        <f>IF(ISNUMBER(AVERAGE('20250815_ETF_Options_Exhibits'!Q494:Q498)),AVERAGE('20250815_ETF_Options_Exhibits'!Q494:Q498),"")</f>
        <v/>
      </c>
      <c r="R498" s="3">
        <f>IF(ISNUMBER(AVERAGE('20250815_ETF_Options_Exhibits'!R494:R498)),AVERAGE('20250815_ETF_Options_Exhibits'!R494:R498),"")</f>
        <v/>
      </c>
      <c r="S498" s="3">
        <f>IF(ISNUMBER(AVERAGE('20250815_ETF_Options_Exhibits'!S494:S498)),AVERAGE('20250815_ETF_Options_Exhibits'!S494:S498),"")</f>
        <v/>
      </c>
      <c r="T498" s="3">
        <f>IF(ISNUMBER(AVERAGE('20250815_ETF_Options_Exhibits'!T494:T498)),AVERAGE('20250815_ETF_Options_Exhibits'!T494:T498),"")</f>
        <v/>
      </c>
      <c r="U498" s="3">
        <f>IF(ISNUMBER(AVERAGE('20250815_ETF_Options_Exhibits'!U494:U498)),AVERAGE('20250815_ETF_Options_Exhibits'!U494:U498),"")</f>
        <v/>
      </c>
      <c r="V498" s="3">
        <f>IF(ISNUMBER(AVERAGE('20250815_ETF_Options_Exhibits'!V494:V498)),AVERAGE('20250815_ETF_Options_Exhibits'!V494:V498),"")</f>
        <v/>
      </c>
      <c r="W498" s="3">
        <f>IF(ISNUMBER(AVERAGE('20250815_ETF_Options_Exhibits'!W494:W498)),AVERAGE('20250815_ETF_Options_Exhibits'!W494:W498),"")</f>
        <v/>
      </c>
      <c r="X498" s="3">
        <f>IF(ISNUMBER(AVERAGE('20250815_ETF_Options_Exhibits'!X494:X498)),AVERAGE('20250815_ETF_Options_Exhibits'!X494:X498),"")</f>
        <v/>
      </c>
      <c r="Y498" s="3">
        <f>IF(ISNUMBER(AVERAGE('20250815_ETF_Options_Exhibits'!Y494:Y498)),AVERAGE('20250815_ETF_Options_Exhibits'!Y494:Y498),"")</f>
        <v/>
      </c>
      <c r="Z498" s="3">
        <f>IF(ISNUMBER(AVERAGE('20250815_ETF_Options_Exhibits'!Z494:Z498)),AVERAGE('20250815_ETF_Options_Exhibits'!Z494:Z498),"")</f>
        <v/>
      </c>
      <c r="AA498" s="3">
        <f>IF(ISNUMBER(AVERAGE('20250815_ETF_Options_Exhibits'!AA494:AA498)),AVERAGE('20250815_ETF_Options_Exhibits'!AA494:AA498),"")</f>
        <v/>
      </c>
    </row>
    <row r="499">
      <c r="A499" s="1" t="n">
        <v>42724</v>
      </c>
      <c r="B499" s="3">
        <f>IF(ISNUMBER(AVERAGE('20250815_ETF_Options_Exhibits'!B495:B499)),AVERAGE('20250815_ETF_Options_Exhibits'!B495:B499),"")</f>
        <v/>
      </c>
      <c r="C499" s="3">
        <f>IF(ISNUMBER(AVERAGE('20250815_ETF_Options_Exhibits'!C495:C499)),AVERAGE('20250815_ETF_Options_Exhibits'!C495:C499),"")</f>
        <v/>
      </c>
      <c r="D499" s="3">
        <f>IF(ISNUMBER(AVERAGE('20250815_ETF_Options_Exhibits'!D495:D499)),AVERAGE('20250815_ETF_Options_Exhibits'!D495:D499),"")</f>
        <v/>
      </c>
      <c r="E499" s="3">
        <f>IF(ISNUMBER(AVERAGE('20250815_ETF_Options_Exhibits'!E495:E499)),AVERAGE('20250815_ETF_Options_Exhibits'!E495:E499),"")</f>
        <v/>
      </c>
      <c r="F499" s="3">
        <f>IF(ISNUMBER(AVERAGE('20250815_ETF_Options_Exhibits'!F495:F499)),AVERAGE('20250815_ETF_Options_Exhibits'!F495:F499),"")</f>
        <v/>
      </c>
      <c r="G499" s="3">
        <f>IF(ISNUMBER(AVERAGE('20250815_ETF_Options_Exhibits'!G495:G499)),AVERAGE('20250815_ETF_Options_Exhibits'!G495:G499),"")</f>
        <v/>
      </c>
      <c r="H499" s="3">
        <f>IF(ISNUMBER(AVERAGE('20250815_ETF_Options_Exhibits'!H495:H499)),AVERAGE('20250815_ETF_Options_Exhibits'!H495:H499),"")</f>
        <v/>
      </c>
      <c r="I499" s="3">
        <f>IF(ISNUMBER(AVERAGE('20250815_ETF_Options_Exhibits'!I495:I499)),AVERAGE('20250815_ETF_Options_Exhibits'!I495:I499),"")</f>
        <v/>
      </c>
      <c r="J499" s="3">
        <f>IF(ISNUMBER(AVERAGE('20250815_ETF_Options_Exhibits'!J495:J499)),AVERAGE('20250815_ETF_Options_Exhibits'!J495:J499),"")</f>
        <v/>
      </c>
      <c r="K499" s="3">
        <f>IF(ISNUMBER(AVERAGE('20250815_ETF_Options_Exhibits'!K495:K499)),AVERAGE('20250815_ETF_Options_Exhibits'!K495:K499),"")</f>
        <v/>
      </c>
      <c r="L499" s="3">
        <f>IF(ISNUMBER(AVERAGE('20250815_ETF_Options_Exhibits'!L495:L499)),AVERAGE('20250815_ETF_Options_Exhibits'!L495:L499),"")</f>
        <v/>
      </c>
      <c r="M499" s="3">
        <f>IF(ISNUMBER(AVERAGE('20250815_ETF_Options_Exhibits'!M495:M499)),AVERAGE('20250815_ETF_Options_Exhibits'!M495:M499),"")</f>
        <v/>
      </c>
      <c r="N499" s="3">
        <f>IF(ISNUMBER(AVERAGE('20250815_ETF_Options_Exhibits'!N495:N499)),AVERAGE('20250815_ETF_Options_Exhibits'!N495:N499),"")</f>
        <v/>
      </c>
      <c r="O499" s="3">
        <f>IF(ISNUMBER(AVERAGE('20250815_ETF_Options_Exhibits'!O495:O499)),AVERAGE('20250815_ETF_Options_Exhibits'!O495:O499),"")</f>
        <v/>
      </c>
      <c r="P499" s="3">
        <f>IF(ISNUMBER(AVERAGE('20250815_ETF_Options_Exhibits'!P495:P499)),AVERAGE('20250815_ETF_Options_Exhibits'!P495:P499),"")</f>
        <v/>
      </c>
      <c r="Q499" s="3">
        <f>IF(ISNUMBER(AVERAGE('20250815_ETF_Options_Exhibits'!Q495:Q499)),AVERAGE('20250815_ETF_Options_Exhibits'!Q495:Q499),"")</f>
        <v/>
      </c>
      <c r="R499" s="3">
        <f>IF(ISNUMBER(AVERAGE('20250815_ETF_Options_Exhibits'!R495:R499)),AVERAGE('20250815_ETF_Options_Exhibits'!R495:R499),"")</f>
        <v/>
      </c>
      <c r="S499" s="3">
        <f>IF(ISNUMBER(AVERAGE('20250815_ETF_Options_Exhibits'!S495:S499)),AVERAGE('20250815_ETF_Options_Exhibits'!S495:S499),"")</f>
        <v/>
      </c>
      <c r="T499" s="3">
        <f>IF(ISNUMBER(AVERAGE('20250815_ETF_Options_Exhibits'!T495:T499)),AVERAGE('20250815_ETF_Options_Exhibits'!T495:T499),"")</f>
        <v/>
      </c>
      <c r="U499" s="3">
        <f>IF(ISNUMBER(AVERAGE('20250815_ETF_Options_Exhibits'!U495:U499)),AVERAGE('20250815_ETF_Options_Exhibits'!U495:U499),"")</f>
        <v/>
      </c>
      <c r="V499" s="3">
        <f>IF(ISNUMBER(AVERAGE('20250815_ETF_Options_Exhibits'!V495:V499)),AVERAGE('20250815_ETF_Options_Exhibits'!V495:V499),"")</f>
        <v/>
      </c>
      <c r="W499" s="3">
        <f>IF(ISNUMBER(AVERAGE('20250815_ETF_Options_Exhibits'!W495:W499)),AVERAGE('20250815_ETF_Options_Exhibits'!W495:W499),"")</f>
        <v/>
      </c>
      <c r="X499" s="3">
        <f>IF(ISNUMBER(AVERAGE('20250815_ETF_Options_Exhibits'!X495:X499)),AVERAGE('20250815_ETF_Options_Exhibits'!X495:X499),"")</f>
        <v/>
      </c>
      <c r="Y499" s="3">
        <f>IF(ISNUMBER(AVERAGE('20250815_ETF_Options_Exhibits'!Y495:Y499)),AVERAGE('20250815_ETF_Options_Exhibits'!Y495:Y499),"")</f>
        <v/>
      </c>
      <c r="Z499" s="3">
        <f>IF(ISNUMBER(AVERAGE('20250815_ETF_Options_Exhibits'!Z495:Z499)),AVERAGE('20250815_ETF_Options_Exhibits'!Z495:Z499),"")</f>
        <v/>
      </c>
      <c r="AA499" s="3">
        <f>IF(ISNUMBER(AVERAGE('20250815_ETF_Options_Exhibits'!AA495:AA499)),AVERAGE('20250815_ETF_Options_Exhibits'!AA495:AA499),"")</f>
        <v/>
      </c>
    </row>
    <row r="500">
      <c r="A500" s="1" t="n">
        <v>42725</v>
      </c>
      <c r="B500" s="3">
        <f>IF(ISNUMBER(AVERAGE('20250815_ETF_Options_Exhibits'!B496:B500)),AVERAGE('20250815_ETF_Options_Exhibits'!B496:B500),"")</f>
        <v/>
      </c>
      <c r="C500" s="3">
        <f>IF(ISNUMBER(AVERAGE('20250815_ETF_Options_Exhibits'!C496:C500)),AVERAGE('20250815_ETF_Options_Exhibits'!C496:C500),"")</f>
        <v/>
      </c>
      <c r="D500" s="3">
        <f>IF(ISNUMBER(AVERAGE('20250815_ETF_Options_Exhibits'!D496:D500)),AVERAGE('20250815_ETF_Options_Exhibits'!D496:D500),"")</f>
        <v/>
      </c>
      <c r="E500" s="3">
        <f>IF(ISNUMBER(AVERAGE('20250815_ETF_Options_Exhibits'!E496:E500)),AVERAGE('20250815_ETF_Options_Exhibits'!E496:E500),"")</f>
        <v/>
      </c>
      <c r="F500" s="3">
        <f>IF(ISNUMBER(AVERAGE('20250815_ETF_Options_Exhibits'!F496:F500)),AVERAGE('20250815_ETF_Options_Exhibits'!F496:F500),"")</f>
        <v/>
      </c>
      <c r="G500" s="3">
        <f>IF(ISNUMBER(AVERAGE('20250815_ETF_Options_Exhibits'!G496:G500)),AVERAGE('20250815_ETF_Options_Exhibits'!G496:G500),"")</f>
        <v/>
      </c>
      <c r="H500" s="3">
        <f>IF(ISNUMBER(AVERAGE('20250815_ETF_Options_Exhibits'!H496:H500)),AVERAGE('20250815_ETF_Options_Exhibits'!H496:H500),"")</f>
        <v/>
      </c>
      <c r="I500" s="3">
        <f>IF(ISNUMBER(AVERAGE('20250815_ETF_Options_Exhibits'!I496:I500)),AVERAGE('20250815_ETF_Options_Exhibits'!I496:I500),"")</f>
        <v/>
      </c>
      <c r="J500" s="3">
        <f>IF(ISNUMBER(AVERAGE('20250815_ETF_Options_Exhibits'!J496:J500)),AVERAGE('20250815_ETF_Options_Exhibits'!J496:J500),"")</f>
        <v/>
      </c>
      <c r="K500" s="3">
        <f>IF(ISNUMBER(AVERAGE('20250815_ETF_Options_Exhibits'!K496:K500)),AVERAGE('20250815_ETF_Options_Exhibits'!K496:K500),"")</f>
        <v/>
      </c>
      <c r="L500" s="3">
        <f>IF(ISNUMBER(AVERAGE('20250815_ETF_Options_Exhibits'!L496:L500)),AVERAGE('20250815_ETF_Options_Exhibits'!L496:L500),"")</f>
        <v/>
      </c>
      <c r="M500" s="3">
        <f>IF(ISNUMBER(AVERAGE('20250815_ETF_Options_Exhibits'!M496:M500)),AVERAGE('20250815_ETF_Options_Exhibits'!M496:M500),"")</f>
        <v/>
      </c>
      <c r="N500" s="3">
        <f>IF(ISNUMBER(AVERAGE('20250815_ETF_Options_Exhibits'!N496:N500)),AVERAGE('20250815_ETF_Options_Exhibits'!N496:N500),"")</f>
        <v/>
      </c>
      <c r="O500" s="3">
        <f>IF(ISNUMBER(AVERAGE('20250815_ETF_Options_Exhibits'!O496:O500)),AVERAGE('20250815_ETF_Options_Exhibits'!O496:O500),"")</f>
        <v/>
      </c>
      <c r="P500" s="3">
        <f>IF(ISNUMBER(AVERAGE('20250815_ETF_Options_Exhibits'!P496:P500)),AVERAGE('20250815_ETF_Options_Exhibits'!P496:P500),"")</f>
        <v/>
      </c>
      <c r="Q500" s="3">
        <f>IF(ISNUMBER(AVERAGE('20250815_ETF_Options_Exhibits'!Q496:Q500)),AVERAGE('20250815_ETF_Options_Exhibits'!Q496:Q500),"")</f>
        <v/>
      </c>
      <c r="R500" s="3">
        <f>IF(ISNUMBER(AVERAGE('20250815_ETF_Options_Exhibits'!R496:R500)),AVERAGE('20250815_ETF_Options_Exhibits'!R496:R500),"")</f>
        <v/>
      </c>
      <c r="S500" s="3">
        <f>IF(ISNUMBER(AVERAGE('20250815_ETF_Options_Exhibits'!S496:S500)),AVERAGE('20250815_ETF_Options_Exhibits'!S496:S500),"")</f>
        <v/>
      </c>
      <c r="T500" s="3">
        <f>IF(ISNUMBER(AVERAGE('20250815_ETF_Options_Exhibits'!T496:T500)),AVERAGE('20250815_ETF_Options_Exhibits'!T496:T500),"")</f>
        <v/>
      </c>
      <c r="U500" s="3">
        <f>IF(ISNUMBER(AVERAGE('20250815_ETF_Options_Exhibits'!U496:U500)),AVERAGE('20250815_ETF_Options_Exhibits'!U496:U500),"")</f>
        <v/>
      </c>
      <c r="V500" s="3">
        <f>IF(ISNUMBER(AVERAGE('20250815_ETF_Options_Exhibits'!V496:V500)),AVERAGE('20250815_ETF_Options_Exhibits'!V496:V500),"")</f>
        <v/>
      </c>
      <c r="W500" s="3">
        <f>IF(ISNUMBER(AVERAGE('20250815_ETF_Options_Exhibits'!W496:W500)),AVERAGE('20250815_ETF_Options_Exhibits'!W496:W500),"")</f>
        <v/>
      </c>
      <c r="X500" s="3">
        <f>IF(ISNUMBER(AVERAGE('20250815_ETF_Options_Exhibits'!X496:X500)),AVERAGE('20250815_ETF_Options_Exhibits'!X496:X500),"")</f>
        <v/>
      </c>
      <c r="Y500" s="3">
        <f>IF(ISNUMBER(AVERAGE('20250815_ETF_Options_Exhibits'!Y496:Y500)),AVERAGE('20250815_ETF_Options_Exhibits'!Y496:Y500),"")</f>
        <v/>
      </c>
      <c r="Z500" s="3">
        <f>IF(ISNUMBER(AVERAGE('20250815_ETF_Options_Exhibits'!Z496:Z500)),AVERAGE('20250815_ETF_Options_Exhibits'!Z496:Z500),"")</f>
        <v/>
      </c>
      <c r="AA500" s="3">
        <f>IF(ISNUMBER(AVERAGE('20250815_ETF_Options_Exhibits'!AA496:AA500)),AVERAGE('20250815_ETF_Options_Exhibits'!AA496:AA500),"")</f>
        <v/>
      </c>
    </row>
    <row r="501">
      <c r="A501" s="1" t="n">
        <v>42726</v>
      </c>
      <c r="B501" s="3">
        <f>IF(ISNUMBER(AVERAGE('20250815_ETF_Options_Exhibits'!B497:B501)),AVERAGE('20250815_ETF_Options_Exhibits'!B497:B501),"")</f>
        <v/>
      </c>
      <c r="C501" s="3">
        <f>IF(ISNUMBER(AVERAGE('20250815_ETF_Options_Exhibits'!C497:C501)),AVERAGE('20250815_ETF_Options_Exhibits'!C497:C501),"")</f>
        <v/>
      </c>
      <c r="D501" s="3">
        <f>IF(ISNUMBER(AVERAGE('20250815_ETF_Options_Exhibits'!D497:D501)),AVERAGE('20250815_ETF_Options_Exhibits'!D497:D501),"")</f>
        <v/>
      </c>
      <c r="E501" s="3">
        <f>IF(ISNUMBER(AVERAGE('20250815_ETF_Options_Exhibits'!E497:E501)),AVERAGE('20250815_ETF_Options_Exhibits'!E497:E501),"")</f>
        <v/>
      </c>
      <c r="F501" s="3">
        <f>IF(ISNUMBER(AVERAGE('20250815_ETF_Options_Exhibits'!F497:F501)),AVERAGE('20250815_ETF_Options_Exhibits'!F497:F501),"")</f>
        <v/>
      </c>
      <c r="G501" s="3">
        <f>IF(ISNUMBER(AVERAGE('20250815_ETF_Options_Exhibits'!G497:G501)),AVERAGE('20250815_ETF_Options_Exhibits'!G497:G501),"")</f>
        <v/>
      </c>
      <c r="H501" s="3">
        <f>IF(ISNUMBER(AVERAGE('20250815_ETF_Options_Exhibits'!H497:H501)),AVERAGE('20250815_ETF_Options_Exhibits'!H497:H501),"")</f>
        <v/>
      </c>
      <c r="I501" s="3">
        <f>IF(ISNUMBER(AVERAGE('20250815_ETF_Options_Exhibits'!I497:I501)),AVERAGE('20250815_ETF_Options_Exhibits'!I497:I501),"")</f>
        <v/>
      </c>
      <c r="J501" s="3">
        <f>IF(ISNUMBER(AVERAGE('20250815_ETF_Options_Exhibits'!J497:J501)),AVERAGE('20250815_ETF_Options_Exhibits'!J497:J501),"")</f>
        <v/>
      </c>
      <c r="K501" s="3">
        <f>IF(ISNUMBER(AVERAGE('20250815_ETF_Options_Exhibits'!K497:K501)),AVERAGE('20250815_ETF_Options_Exhibits'!K497:K501),"")</f>
        <v/>
      </c>
      <c r="L501" s="3">
        <f>IF(ISNUMBER(AVERAGE('20250815_ETF_Options_Exhibits'!L497:L501)),AVERAGE('20250815_ETF_Options_Exhibits'!L497:L501),"")</f>
        <v/>
      </c>
      <c r="M501" s="3">
        <f>IF(ISNUMBER(AVERAGE('20250815_ETF_Options_Exhibits'!M497:M501)),AVERAGE('20250815_ETF_Options_Exhibits'!M497:M501),"")</f>
        <v/>
      </c>
      <c r="N501" s="3">
        <f>IF(ISNUMBER(AVERAGE('20250815_ETF_Options_Exhibits'!N497:N501)),AVERAGE('20250815_ETF_Options_Exhibits'!N497:N501),"")</f>
        <v/>
      </c>
      <c r="O501" s="3">
        <f>IF(ISNUMBER(AVERAGE('20250815_ETF_Options_Exhibits'!O497:O501)),AVERAGE('20250815_ETF_Options_Exhibits'!O497:O501),"")</f>
        <v/>
      </c>
      <c r="P501" s="3">
        <f>IF(ISNUMBER(AVERAGE('20250815_ETF_Options_Exhibits'!P497:P501)),AVERAGE('20250815_ETF_Options_Exhibits'!P497:P501),"")</f>
        <v/>
      </c>
      <c r="Q501" s="3">
        <f>IF(ISNUMBER(AVERAGE('20250815_ETF_Options_Exhibits'!Q497:Q501)),AVERAGE('20250815_ETF_Options_Exhibits'!Q497:Q501),"")</f>
        <v/>
      </c>
      <c r="R501" s="3">
        <f>IF(ISNUMBER(AVERAGE('20250815_ETF_Options_Exhibits'!R497:R501)),AVERAGE('20250815_ETF_Options_Exhibits'!R497:R501),"")</f>
        <v/>
      </c>
      <c r="S501" s="3">
        <f>IF(ISNUMBER(AVERAGE('20250815_ETF_Options_Exhibits'!S497:S501)),AVERAGE('20250815_ETF_Options_Exhibits'!S497:S501),"")</f>
        <v/>
      </c>
      <c r="T501" s="3">
        <f>IF(ISNUMBER(AVERAGE('20250815_ETF_Options_Exhibits'!T497:T501)),AVERAGE('20250815_ETF_Options_Exhibits'!T497:T501),"")</f>
        <v/>
      </c>
      <c r="U501" s="3">
        <f>IF(ISNUMBER(AVERAGE('20250815_ETF_Options_Exhibits'!U497:U501)),AVERAGE('20250815_ETF_Options_Exhibits'!U497:U501),"")</f>
        <v/>
      </c>
      <c r="V501" s="3">
        <f>IF(ISNUMBER(AVERAGE('20250815_ETF_Options_Exhibits'!V497:V501)),AVERAGE('20250815_ETF_Options_Exhibits'!V497:V501),"")</f>
        <v/>
      </c>
      <c r="W501" s="3">
        <f>IF(ISNUMBER(AVERAGE('20250815_ETF_Options_Exhibits'!W497:W501)),AVERAGE('20250815_ETF_Options_Exhibits'!W497:W501),"")</f>
        <v/>
      </c>
      <c r="X501" s="3">
        <f>IF(ISNUMBER(AVERAGE('20250815_ETF_Options_Exhibits'!X497:X501)),AVERAGE('20250815_ETF_Options_Exhibits'!X497:X501),"")</f>
        <v/>
      </c>
      <c r="Y501" s="3">
        <f>IF(ISNUMBER(AVERAGE('20250815_ETF_Options_Exhibits'!Y497:Y501)),AVERAGE('20250815_ETF_Options_Exhibits'!Y497:Y501),"")</f>
        <v/>
      </c>
      <c r="Z501" s="3">
        <f>IF(ISNUMBER(AVERAGE('20250815_ETF_Options_Exhibits'!Z497:Z501)),AVERAGE('20250815_ETF_Options_Exhibits'!Z497:Z501),"")</f>
        <v/>
      </c>
      <c r="AA501" s="3">
        <f>IF(ISNUMBER(AVERAGE('20250815_ETF_Options_Exhibits'!AA497:AA501)),AVERAGE('20250815_ETF_Options_Exhibits'!AA497:AA501),"")</f>
        <v/>
      </c>
    </row>
    <row r="502">
      <c r="A502" s="1" t="n">
        <v>42727</v>
      </c>
      <c r="B502" s="3">
        <f>IF(ISNUMBER(AVERAGE('20250815_ETF_Options_Exhibits'!B498:B502)),AVERAGE('20250815_ETF_Options_Exhibits'!B498:B502),"")</f>
        <v/>
      </c>
      <c r="C502" s="3">
        <f>IF(ISNUMBER(AVERAGE('20250815_ETF_Options_Exhibits'!C498:C502)),AVERAGE('20250815_ETF_Options_Exhibits'!C498:C502),"")</f>
        <v/>
      </c>
      <c r="D502" s="3">
        <f>IF(ISNUMBER(AVERAGE('20250815_ETF_Options_Exhibits'!D498:D502)),AVERAGE('20250815_ETF_Options_Exhibits'!D498:D502),"")</f>
        <v/>
      </c>
      <c r="E502" s="3">
        <f>IF(ISNUMBER(AVERAGE('20250815_ETF_Options_Exhibits'!E498:E502)),AVERAGE('20250815_ETF_Options_Exhibits'!E498:E502),"")</f>
        <v/>
      </c>
      <c r="F502" s="3">
        <f>IF(ISNUMBER(AVERAGE('20250815_ETF_Options_Exhibits'!F498:F502)),AVERAGE('20250815_ETF_Options_Exhibits'!F498:F502),"")</f>
        <v/>
      </c>
      <c r="G502" s="3">
        <f>IF(ISNUMBER(AVERAGE('20250815_ETF_Options_Exhibits'!G498:G502)),AVERAGE('20250815_ETF_Options_Exhibits'!G498:G502),"")</f>
        <v/>
      </c>
      <c r="H502" s="3">
        <f>IF(ISNUMBER(AVERAGE('20250815_ETF_Options_Exhibits'!H498:H502)),AVERAGE('20250815_ETF_Options_Exhibits'!H498:H502),"")</f>
        <v/>
      </c>
      <c r="I502" s="3">
        <f>IF(ISNUMBER(AVERAGE('20250815_ETF_Options_Exhibits'!I498:I502)),AVERAGE('20250815_ETF_Options_Exhibits'!I498:I502),"")</f>
        <v/>
      </c>
      <c r="J502" s="3">
        <f>IF(ISNUMBER(AVERAGE('20250815_ETF_Options_Exhibits'!J498:J502)),AVERAGE('20250815_ETF_Options_Exhibits'!J498:J502),"")</f>
        <v/>
      </c>
      <c r="K502" s="3">
        <f>IF(ISNUMBER(AVERAGE('20250815_ETF_Options_Exhibits'!K498:K502)),AVERAGE('20250815_ETF_Options_Exhibits'!K498:K502),"")</f>
        <v/>
      </c>
      <c r="L502" s="3">
        <f>IF(ISNUMBER(AVERAGE('20250815_ETF_Options_Exhibits'!L498:L502)),AVERAGE('20250815_ETF_Options_Exhibits'!L498:L502),"")</f>
        <v/>
      </c>
      <c r="M502" s="3">
        <f>IF(ISNUMBER(AVERAGE('20250815_ETF_Options_Exhibits'!M498:M502)),AVERAGE('20250815_ETF_Options_Exhibits'!M498:M502),"")</f>
        <v/>
      </c>
      <c r="N502" s="3">
        <f>IF(ISNUMBER(AVERAGE('20250815_ETF_Options_Exhibits'!N498:N502)),AVERAGE('20250815_ETF_Options_Exhibits'!N498:N502),"")</f>
        <v/>
      </c>
      <c r="O502" s="3">
        <f>IF(ISNUMBER(AVERAGE('20250815_ETF_Options_Exhibits'!O498:O502)),AVERAGE('20250815_ETF_Options_Exhibits'!O498:O502),"")</f>
        <v/>
      </c>
      <c r="P502" s="3">
        <f>IF(ISNUMBER(AVERAGE('20250815_ETF_Options_Exhibits'!P498:P502)),AVERAGE('20250815_ETF_Options_Exhibits'!P498:P502),"")</f>
        <v/>
      </c>
      <c r="Q502" s="3">
        <f>IF(ISNUMBER(AVERAGE('20250815_ETF_Options_Exhibits'!Q498:Q502)),AVERAGE('20250815_ETF_Options_Exhibits'!Q498:Q502),"")</f>
        <v/>
      </c>
      <c r="R502" s="3">
        <f>IF(ISNUMBER(AVERAGE('20250815_ETF_Options_Exhibits'!R498:R502)),AVERAGE('20250815_ETF_Options_Exhibits'!R498:R502),"")</f>
        <v/>
      </c>
      <c r="S502" s="3">
        <f>IF(ISNUMBER(AVERAGE('20250815_ETF_Options_Exhibits'!S498:S502)),AVERAGE('20250815_ETF_Options_Exhibits'!S498:S502),"")</f>
        <v/>
      </c>
      <c r="T502" s="3">
        <f>IF(ISNUMBER(AVERAGE('20250815_ETF_Options_Exhibits'!T498:T502)),AVERAGE('20250815_ETF_Options_Exhibits'!T498:T502),"")</f>
        <v/>
      </c>
      <c r="U502" s="3">
        <f>IF(ISNUMBER(AVERAGE('20250815_ETF_Options_Exhibits'!U498:U502)),AVERAGE('20250815_ETF_Options_Exhibits'!U498:U502),"")</f>
        <v/>
      </c>
      <c r="V502" s="3">
        <f>IF(ISNUMBER(AVERAGE('20250815_ETF_Options_Exhibits'!V498:V502)),AVERAGE('20250815_ETF_Options_Exhibits'!V498:V502),"")</f>
        <v/>
      </c>
      <c r="W502" s="3">
        <f>IF(ISNUMBER(AVERAGE('20250815_ETF_Options_Exhibits'!W498:W502)),AVERAGE('20250815_ETF_Options_Exhibits'!W498:W502),"")</f>
        <v/>
      </c>
      <c r="X502" s="3">
        <f>IF(ISNUMBER(AVERAGE('20250815_ETF_Options_Exhibits'!X498:X502)),AVERAGE('20250815_ETF_Options_Exhibits'!X498:X502),"")</f>
        <v/>
      </c>
      <c r="Y502" s="3">
        <f>IF(ISNUMBER(AVERAGE('20250815_ETF_Options_Exhibits'!Y498:Y502)),AVERAGE('20250815_ETF_Options_Exhibits'!Y498:Y502),"")</f>
        <v/>
      </c>
      <c r="Z502" s="3">
        <f>IF(ISNUMBER(AVERAGE('20250815_ETF_Options_Exhibits'!Z498:Z502)),AVERAGE('20250815_ETF_Options_Exhibits'!Z498:Z502),"")</f>
        <v/>
      </c>
      <c r="AA502" s="3">
        <f>IF(ISNUMBER(AVERAGE('20250815_ETF_Options_Exhibits'!AA498:AA502)),AVERAGE('20250815_ETF_Options_Exhibits'!AA498:AA502),"")</f>
        <v/>
      </c>
    </row>
    <row r="503">
      <c r="A503" s="1" t="n">
        <v>42731</v>
      </c>
      <c r="B503" s="3">
        <f>IF(ISNUMBER(AVERAGE('20250815_ETF_Options_Exhibits'!B499:B503)),AVERAGE('20250815_ETF_Options_Exhibits'!B499:B503),"")</f>
        <v/>
      </c>
      <c r="C503" s="3">
        <f>IF(ISNUMBER(AVERAGE('20250815_ETF_Options_Exhibits'!C499:C503)),AVERAGE('20250815_ETF_Options_Exhibits'!C499:C503),"")</f>
        <v/>
      </c>
      <c r="D503" s="3">
        <f>IF(ISNUMBER(AVERAGE('20250815_ETF_Options_Exhibits'!D499:D503)),AVERAGE('20250815_ETF_Options_Exhibits'!D499:D503),"")</f>
        <v/>
      </c>
      <c r="E503" s="3">
        <f>IF(ISNUMBER(AVERAGE('20250815_ETF_Options_Exhibits'!E499:E503)),AVERAGE('20250815_ETF_Options_Exhibits'!E499:E503),"")</f>
        <v/>
      </c>
      <c r="F503" s="3">
        <f>IF(ISNUMBER(AVERAGE('20250815_ETF_Options_Exhibits'!F499:F503)),AVERAGE('20250815_ETF_Options_Exhibits'!F499:F503),"")</f>
        <v/>
      </c>
      <c r="G503" s="3">
        <f>IF(ISNUMBER(AVERAGE('20250815_ETF_Options_Exhibits'!G499:G503)),AVERAGE('20250815_ETF_Options_Exhibits'!G499:G503),"")</f>
        <v/>
      </c>
      <c r="H503" s="3">
        <f>IF(ISNUMBER(AVERAGE('20250815_ETF_Options_Exhibits'!H499:H503)),AVERAGE('20250815_ETF_Options_Exhibits'!H499:H503),"")</f>
        <v/>
      </c>
      <c r="I503" s="3">
        <f>IF(ISNUMBER(AVERAGE('20250815_ETF_Options_Exhibits'!I499:I503)),AVERAGE('20250815_ETF_Options_Exhibits'!I499:I503),"")</f>
        <v/>
      </c>
      <c r="J503" s="3">
        <f>IF(ISNUMBER(AVERAGE('20250815_ETF_Options_Exhibits'!J499:J503)),AVERAGE('20250815_ETF_Options_Exhibits'!J499:J503),"")</f>
        <v/>
      </c>
      <c r="K503" s="3">
        <f>IF(ISNUMBER(AVERAGE('20250815_ETF_Options_Exhibits'!K499:K503)),AVERAGE('20250815_ETF_Options_Exhibits'!K499:K503),"")</f>
        <v/>
      </c>
      <c r="L503" s="3">
        <f>IF(ISNUMBER(AVERAGE('20250815_ETF_Options_Exhibits'!L499:L503)),AVERAGE('20250815_ETF_Options_Exhibits'!L499:L503),"")</f>
        <v/>
      </c>
      <c r="M503" s="3">
        <f>IF(ISNUMBER(AVERAGE('20250815_ETF_Options_Exhibits'!M499:M503)),AVERAGE('20250815_ETF_Options_Exhibits'!M499:M503),"")</f>
        <v/>
      </c>
      <c r="N503" s="3">
        <f>IF(ISNUMBER(AVERAGE('20250815_ETF_Options_Exhibits'!N499:N503)),AVERAGE('20250815_ETF_Options_Exhibits'!N499:N503),"")</f>
        <v/>
      </c>
      <c r="O503" s="3">
        <f>IF(ISNUMBER(AVERAGE('20250815_ETF_Options_Exhibits'!O499:O503)),AVERAGE('20250815_ETF_Options_Exhibits'!O499:O503),"")</f>
        <v/>
      </c>
      <c r="P503" s="3">
        <f>IF(ISNUMBER(AVERAGE('20250815_ETF_Options_Exhibits'!P499:P503)),AVERAGE('20250815_ETF_Options_Exhibits'!P499:P503),"")</f>
        <v/>
      </c>
      <c r="Q503" s="3">
        <f>IF(ISNUMBER(AVERAGE('20250815_ETF_Options_Exhibits'!Q499:Q503)),AVERAGE('20250815_ETF_Options_Exhibits'!Q499:Q503),"")</f>
        <v/>
      </c>
      <c r="R503" s="3">
        <f>IF(ISNUMBER(AVERAGE('20250815_ETF_Options_Exhibits'!R499:R503)),AVERAGE('20250815_ETF_Options_Exhibits'!R499:R503),"")</f>
        <v/>
      </c>
      <c r="S503" s="3">
        <f>IF(ISNUMBER(AVERAGE('20250815_ETF_Options_Exhibits'!S499:S503)),AVERAGE('20250815_ETF_Options_Exhibits'!S499:S503),"")</f>
        <v/>
      </c>
      <c r="T503" s="3">
        <f>IF(ISNUMBER(AVERAGE('20250815_ETF_Options_Exhibits'!T499:T503)),AVERAGE('20250815_ETF_Options_Exhibits'!T499:T503),"")</f>
        <v/>
      </c>
      <c r="U503" s="3">
        <f>IF(ISNUMBER(AVERAGE('20250815_ETF_Options_Exhibits'!U499:U503)),AVERAGE('20250815_ETF_Options_Exhibits'!U499:U503),"")</f>
        <v/>
      </c>
      <c r="V503" s="3">
        <f>IF(ISNUMBER(AVERAGE('20250815_ETF_Options_Exhibits'!V499:V503)),AVERAGE('20250815_ETF_Options_Exhibits'!V499:V503),"")</f>
        <v/>
      </c>
      <c r="W503" s="3">
        <f>IF(ISNUMBER(AVERAGE('20250815_ETF_Options_Exhibits'!W499:W503)),AVERAGE('20250815_ETF_Options_Exhibits'!W499:W503),"")</f>
        <v/>
      </c>
      <c r="X503" s="3">
        <f>IF(ISNUMBER(AVERAGE('20250815_ETF_Options_Exhibits'!X499:X503)),AVERAGE('20250815_ETF_Options_Exhibits'!X499:X503),"")</f>
        <v/>
      </c>
      <c r="Y503" s="3">
        <f>IF(ISNUMBER(AVERAGE('20250815_ETF_Options_Exhibits'!Y499:Y503)),AVERAGE('20250815_ETF_Options_Exhibits'!Y499:Y503),"")</f>
        <v/>
      </c>
      <c r="Z503" s="3">
        <f>IF(ISNUMBER(AVERAGE('20250815_ETF_Options_Exhibits'!Z499:Z503)),AVERAGE('20250815_ETF_Options_Exhibits'!Z499:Z503),"")</f>
        <v/>
      </c>
      <c r="AA503" s="3">
        <f>IF(ISNUMBER(AVERAGE('20250815_ETF_Options_Exhibits'!AA499:AA503)),AVERAGE('20250815_ETF_Options_Exhibits'!AA499:AA503),"")</f>
        <v/>
      </c>
    </row>
    <row r="504">
      <c r="A504" s="1" t="n">
        <v>42732</v>
      </c>
      <c r="B504" s="3">
        <f>IF(ISNUMBER(AVERAGE('20250815_ETF_Options_Exhibits'!B500:B504)),AVERAGE('20250815_ETF_Options_Exhibits'!B500:B504),"")</f>
        <v/>
      </c>
      <c r="C504" s="3">
        <f>IF(ISNUMBER(AVERAGE('20250815_ETF_Options_Exhibits'!C500:C504)),AVERAGE('20250815_ETF_Options_Exhibits'!C500:C504),"")</f>
        <v/>
      </c>
      <c r="D504" s="3">
        <f>IF(ISNUMBER(AVERAGE('20250815_ETF_Options_Exhibits'!D500:D504)),AVERAGE('20250815_ETF_Options_Exhibits'!D500:D504),"")</f>
        <v/>
      </c>
      <c r="E504" s="3">
        <f>IF(ISNUMBER(AVERAGE('20250815_ETF_Options_Exhibits'!E500:E504)),AVERAGE('20250815_ETF_Options_Exhibits'!E500:E504),"")</f>
        <v/>
      </c>
      <c r="F504" s="3">
        <f>IF(ISNUMBER(AVERAGE('20250815_ETF_Options_Exhibits'!F500:F504)),AVERAGE('20250815_ETF_Options_Exhibits'!F500:F504),"")</f>
        <v/>
      </c>
      <c r="G504" s="3">
        <f>IF(ISNUMBER(AVERAGE('20250815_ETF_Options_Exhibits'!G500:G504)),AVERAGE('20250815_ETF_Options_Exhibits'!G500:G504),"")</f>
        <v/>
      </c>
      <c r="H504" s="3">
        <f>IF(ISNUMBER(AVERAGE('20250815_ETF_Options_Exhibits'!H500:H504)),AVERAGE('20250815_ETF_Options_Exhibits'!H500:H504),"")</f>
        <v/>
      </c>
      <c r="I504" s="3">
        <f>IF(ISNUMBER(AVERAGE('20250815_ETF_Options_Exhibits'!I500:I504)),AVERAGE('20250815_ETF_Options_Exhibits'!I500:I504),"")</f>
        <v/>
      </c>
      <c r="J504" s="3">
        <f>IF(ISNUMBER(AVERAGE('20250815_ETF_Options_Exhibits'!J500:J504)),AVERAGE('20250815_ETF_Options_Exhibits'!J500:J504),"")</f>
        <v/>
      </c>
      <c r="K504" s="3">
        <f>IF(ISNUMBER(AVERAGE('20250815_ETF_Options_Exhibits'!K500:K504)),AVERAGE('20250815_ETF_Options_Exhibits'!K500:K504),"")</f>
        <v/>
      </c>
      <c r="L504" s="3">
        <f>IF(ISNUMBER(AVERAGE('20250815_ETF_Options_Exhibits'!L500:L504)),AVERAGE('20250815_ETF_Options_Exhibits'!L500:L504),"")</f>
        <v/>
      </c>
      <c r="M504" s="3">
        <f>IF(ISNUMBER(AVERAGE('20250815_ETF_Options_Exhibits'!M500:M504)),AVERAGE('20250815_ETF_Options_Exhibits'!M500:M504),"")</f>
        <v/>
      </c>
      <c r="N504" s="3">
        <f>IF(ISNUMBER(AVERAGE('20250815_ETF_Options_Exhibits'!N500:N504)),AVERAGE('20250815_ETF_Options_Exhibits'!N500:N504),"")</f>
        <v/>
      </c>
      <c r="O504" s="3">
        <f>IF(ISNUMBER(AVERAGE('20250815_ETF_Options_Exhibits'!O500:O504)),AVERAGE('20250815_ETF_Options_Exhibits'!O500:O504),"")</f>
        <v/>
      </c>
      <c r="P504" s="3">
        <f>IF(ISNUMBER(AVERAGE('20250815_ETF_Options_Exhibits'!P500:P504)),AVERAGE('20250815_ETF_Options_Exhibits'!P500:P504),"")</f>
        <v/>
      </c>
      <c r="Q504" s="3">
        <f>IF(ISNUMBER(AVERAGE('20250815_ETF_Options_Exhibits'!Q500:Q504)),AVERAGE('20250815_ETF_Options_Exhibits'!Q500:Q504),"")</f>
        <v/>
      </c>
      <c r="R504" s="3">
        <f>IF(ISNUMBER(AVERAGE('20250815_ETF_Options_Exhibits'!R500:R504)),AVERAGE('20250815_ETF_Options_Exhibits'!R500:R504),"")</f>
        <v/>
      </c>
      <c r="S504" s="3">
        <f>IF(ISNUMBER(AVERAGE('20250815_ETF_Options_Exhibits'!S500:S504)),AVERAGE('20250815_ETF_Options_Exhibits'!S500:S504),"")</f>
        <v/>
      </c>
      <c r="T504" s="3">
        <f>IF(ISNUMBER(AVERAGE('20250815_ETF_Options_Exhibits'!T500:T504)),AVERAGE('20250815_ETF_Options_Exhibits'!T500:T504),"")</f>
        <v/>
      </c>
      <c r="U504" s="3">
        <f>IF(ISNUMBER(AVERAGE('20250815_ETF_Options_Exhibits'!U500:U504)),AVERAGE('20250815_ETF_Options_Exhibits'!U500:U504),"")</f>
        <v/>
      </c>
      <c r="V504" s="3">
        <f>IF(ISNUMBER(AVERAGE('20250815_ETF_Options_Exhibits'!V500:V504)),AVERAGE('20250815_ETF_Options_Exhibits'!V500:V504),"")</f>
        <v/>
      </c>
      <c r="W504" s="3">
        <f>IF(ISNUMBER(AVERAGE('20250815_ETF_Options_Exhibits'!W500:W504)),AVERAGE('20250815_ETF_Options_Exhibits'!W500:W504),"")</f>
        <v/>
      </c>
      <c r="X504" s="3">
        <f>IF(ISNUMBER(AVERAGE('20250815_ETF_Options_Exhibits'!X500:X504)),AVERAGE('20250815_ETF_Options_Exhibits'!X500:X504),"")</f>
        <v/>
      </c>
      <c r="Y504" s="3">
        <f>IF(ISNUMBER(AVERAGE('20250815_ETF_Options_Exhibits'!Y500:Y504)),AVERAGE('20250815_ETF_Options_Exhibits'!Y500:Y504),"")</f>
        <v/>
      </c>
      <c r="Z504" s="3">
        <f>IF(ISNUMBER(AVERAGE('20250815_ETF_Options_Exhibits'!Z500:Z504)),AVERAGE('20250815_ETF_Options_Exhibits'!Z500:Z504),"")</f>
        <v/>
      </c>
      <c r="AA504" s="3">
        <f>IF(ISNUMBER(AVERAGE('20250815_ETF_Options_Exhibits'!AA500:AA504)),AVERAGE('20250815_ETF_Options_Exhibits'!AA500:AA504),"")</f>
        <v/>
      </c>
    </row>
    <row r="505">
      <c r="A505" s="1" t="n">
        <v>42733</v>
      </c>
      <c r="B505" s="3">
        <f>IF(ISNUMBER(AVERAGE('20250815_ETF_Options_Exhibits'!B501:B505)),AVERAGE('20250815_ETF_Options_Exhibits'!B501:B505),"")</f>
        <v/>
      </c>
      <c r="C505" s="3">
        <f>IF(ISNUMBER(AVERAGE('20250815_ETF_Options_Exhibits'!C501:C505)),AVERAGE('20250815_ETF_Options_Exhibits'!C501:C505),"")</f>
        <v/>
      </c>
      <c r="D505" s="3">
        <f>IF(ISNUMBER(AVERAGE('20250815_ETF_Options_Exhibits'!D501:D505)),AVERAGE('20250815_ETF_Options_Exhibits'!D501:D505),"")</f>
        <v/>
      </c>
      <c r="E505" s="3">
        <f>IF(ISNUMBER(AVERAGE('20250815_ETF_Options_Exhibits'!E501:E505)),AVERAGE('20250815_ETF_Options_Exhibits'!E501:E505),"")</f>
        <v/>
      </c>
      <c r="F505" s="3">
        <f>IF(ISNUMBER(AVERAGE('20250815_ETF_Options_Exhibits'!F501:F505)),AVERAGE('20250815_ETF_Options_Exhibits'!F501:F505),"")</f>
        <v/>
      </c>
      <c r="G505" s="3">
        <f>IF(ISNUMBER(AVERAGE('20250815_ETF_Options_Exhibits'!G501:G505)),AVERAGE('20250815_ETF_Options_Exhibits'!G501:G505),"")</f>
        <v/>
      </c>
      <c r="H505" s="3">
        <f>IF(ISNUMBER(AVERAGE('20250815_ETF_Options_Exhibits'!H501:H505)),AVERAGE('20250815_ETF_Options_Exhibits'!H501:H505),"")</f>
        <v/>
      </c>
      <c r="I505" s="3">
        <f>IF(ISNUMBER(AVERAGE('20250815_ETF_Options_Exhibits'!I501:I505)),AVERAGE('20250815_ETF_Options_Exhibits'!I501:I505),"")</f>
        <v/>
      </c>
      <c r="J505" s="3">
        <f>IF(ISNUMBER(AVERAGE('20250815_ETF_Options_Exhibits'!J501:J505)),AVERAGE('20250815_ETF_Options_Exhibits'!J501:J505),"")</f>
        <v/>
      </c>
      <c r="K505" s="3">
        <f>IF(ISNUMBER(AVERAGE('20250815_ETF_Options_Exhibits'!K501:K505)),AVERAGE('20250815_ETF_Options_Exhibits'!K501:K505),"")</f>
        <v/>
      </c>
      <c r="L505" s="3">
        <f>IF(ISNUMBER(AVERAGE('20250815_ETF_Options_Exhibits'!L501:L505)),AVERAGE('20250815_ETF_Options_Exhibits'!L501:L505),"")</f>
        <v/>
      </c>
      <c r="M505" s="3">
        <f>IF(ISNUMBER(AVERAGE('20250815_ETF_Options_Exhibits'!M501:M505)),AVERAGE('20250815_ETF_Options_Exhibits'!M501:M505),"")</f>
        <v/>
      </c>
      <c r="N505" s="3">
        <f>IF(ISNUMBER(AVERAGE('20250815_ETF_Options_Exhibits'!N501:N505)),AVERAGE('20250815_ETF_Options_Exhibits'!N501:N505),"")</f>
        <v/>
      </c>
      <c r="O505" s="3">
        <f>IF(ISNUMBER(AVERAGE('20250815_ETF_Options_Exhibits'!O501:O505)),AVERAGE('20250815_ETF_Options_Exhibits'!O501:O505),"")</f>
        <v/>
      </c>
      <c r="P505" s="3">
        <f>IF(ISNUMBER(AVERAGE('20250815_ETF_Options_Exhibits'!P501:P505)),AVERAGE('20250815_ETF_Options_Exhibits'!P501:P505),"")</f>
        <v/>
      </c>
      <c r="Q505" s="3">
        <f>IF(ISNUMBER(AVERAGE('20250815_ETF_Options_Exhibits'!Q501:Q505)),AVERAGE('20250815_ETF_Options_Exhibits'!Q501:Q505),"")</f>
        <v/>
      </c>
      <c r="R505" s="3">
        <f>IF(ISNUMBER(AVERAGE('20250815_ETF_Options_Exhibits'!R501:R505)),AVERAGE('20250815_ETF_Options_Exhibits'!R501:R505),"")</f>
        <v/>
      </c>
      <c r="S505" s="3">
        <f>IF(ISNUMBER(AVERAGE('20250815_ETF_Options_Exhibits'!S501:S505)),AVERAGE('20250815_ETF_Options_Exhibits'!S501:S505),"")</f>
        <v/>
      </c>
      <c r="T505" s="3">
        <f>IF(ISNUMBER(AVERAGE('20250815_ETF_Options_Exhibits'!T501:T505)),AVERAGE('20250815_ETF_Options_Exhibits'!T501:T505),"")</f>
        <v/>
      </c>
      <c r="U505" s="3">
        <f>IF(ISNUMBER(AVERAGE('20250815_ETF_Options_Exhibits'!U501:U505)),AVERAGE('20250815_ETF_Options_Exhibits'!U501:U505),"")</f>
        <v/>
      </c>
      <c r="V505" s="3">
        <f>IF(ISNUMBER(AVERAGE('20250815_ETF_Options_Exhibits'!V501:V505)),AVERAGE('20250815_ETF_Options_Exhibits'!V501:V505),"")</f>
        <v/>
      </c>
      <c r="W505" s="3">
        <f>IF(ISNUMBER(AVERAGE('20250815_ETF_Options_Exhibits'!W501:W505)),AVERAGE('20250815_ETF_Options_Exhibits'!W501:W505),"")</f>
        <v/>
      </c>
      <c r="X505" s="3">
        <f>IF(ISNUMBER(AVERAGE('20250815_ETF_Options_Exhibits'!X501:X505)),AVERAGE('20250815_ETF_Options_Exhibits'!X501:X505),"")</f>
        <v/>
      </c>
      <c r="Y505" s="3">
        <f>IF(ISNUMBER(AVERAGE('20250815_ETF_Options_Exhibits'!Y501:Y505)),AVERAGE('20250815_ETF_Options_Exhibits'!Y501:Y505),"")</f>
        <v/>
      </c>
      <c r="Z505" s="3">
        <f>IF(ISNUMBER(AVERAGE('20250815_ETF_Options_Exhibits'!Z501:Z505)),AVERAGE('20250815_ETF_Options_Exhibits'!Z501:Z505),"")</f>
        <v/>
      </c>
      <c r="AA505" s="3">
        <f>IF(ISNUMBER(AVERAGE('20250815_ETF_Options_Exhibits'!AA501:AA505)),AVERAGE('20250815_ETF_Options_Exhibits'!AA501:AA505),"")</f>
        <v/>
      </c>
    </row>
    <row r="506">
      <c r="A506" s="1" t="n">
        <v>42734</v>
      </c>
      <c r="B506" s="3">
        <f>IF(ISNUMBER(AVERAGE('20250815_ETF_Options_Exhibits'!B502:B506)),AVERAGE('20250815_ETF_Options_Exhibits'!B502:B506),"")</f>
        <v/>
      </c>
      <c r="C506" s="3">
        <f>IF(ISNUMBER(AVERAGE('20250815_ETF_Options_Exhibits'!C502:C506)),AVERAGE('20250815_ETF_Options_Exhibits'!C502:C506),"")</f>
        <v/>
      </c>
      <c r="D506" s="3">
        <f>IF(ISNUMBER(AVERAGE('20250815_ETF_Options_Exhibits'!D502:D506)),AVERAGE('20250815_ETF_Options_Exhibits'!D502:D506),"")</f>
        <v/>
      </c>
      <c r="E506" s="3">
        <f>IF(ISNUMBER(AVERAGE('20250815_ETF_Options_Exhibits'!E502:E506)),AVERAGE('20250815_ETF_Options_Exhibits'!E502:E506),"")</f>
        <v/>
      </c>
      <c r="F506" s="3">
        <f>IF(ISNUMBER(AVERAGE('20250815_ETF_Options_Exhibits'!F502:F506)),AVERAGE('20250815_ETF_Options_Exhibits'!F502:F506),"")</f>
        <v/>
      </c>
      <c r="G506" s="3">
        <f>IF(ISNUMBER(AVERAGE('20250815_ETF_Options_Exhibits'!G502:G506)),AVERAGE('20250815_ETF_Options_Exhibits'!G502:G506),"")</f>
        <v/>
      </c>
      <c r="H506" s="3">
        <f>IF(ISNUMBER(AVERAGE('20250815_ETF_Options_Exhibits'!H502:H506)),AVERAGE('20250815_ETF_Options_Exhibits'!H502:H506),"")</f>
        <v/>
      </c>
      <c r="I506" s="3">
        <f>IF(ISNUMBER(AVERAGE('20250815_ETF_Options_Exhibits'!I502:I506)),AVERAGE('20250815_ETF_Options_Exhibits'!I502:I506),"")</f>
        <v/>
      </c>
      <c r="J506" s="3">
        <f>IF(ISNUMBER(AVERAGE('20250815_ETF_Options_Exhibits'!J502:J506)),AVERAGE('20250815_ETF_Options_Exhibits'!J502:J506),"")</f>
        <v/>
      </c>
      <c r="K506" s="3">
        <f>IF(ISNUMBER(AVERAGE('20250815_ETF_Options_Exhibits'!K502:K506)),AVERAGE('20250815_ETF_Options_Exhibits'!K502:K506),"")</f>
        <v/>
      </c>
      <c r="L506" s="3">
        <f>IF(ISNUMBER(AVERAGE('20250815_ETF_Options_Exhibits'!L502:L506)),AVERAGE('20250815_ETF_Options_Exhibits'!L502:L506),"")</f>
        <v/>
      </c>
      <c r="M506" s="3">
        <f>IF(ISNUMBER(AVERAGE('20250815_ETF_Options_Exhibits'!M502:M506)),AVERAGE('20250815_ETF_Options_Exhibits'!M502:M506),"")</f>
        <v/>
      </c>
      <c r="N506" s="3">
        <f>IF(ISNUMBER(AVERAGE('20250815_ETF_Options_Exhibits'!N502:N506)),AVERAGE('20250815_ETF_Options_Exhibits'!N502:N506),"")</f>
        <v/>
      </c>
      <c r="O506" s="3">
        <f>IF(ISNUMBER(AVERAGE('20250815_ETF_Options_Exhibits'!O502:O506)),AVERAGE('20250815_ETF_Options_Exhibits'!O502:O506),"")</f>
        <v/>
      </c>
      <c r="P506" s="3">
        <f>IF(ISNUMBER(AVERAGE('20250815_ETF_Options_Exhibits'!P502:P506)),AVERAGE('20250815_ETF_Options_Exhibits'!P502:P506),"")</f>
        <v/>
      </c>
      <c r="Q506" s="3">
        <f>IF(ISNUMBER(AVERAGE('20250815_ETF_Options_Exhibits'!Q502:Q506)),AVERAGE('20250815_ETF_Options_Exhibits'!Q502:Q506),"")</f>
        <v/>
      </c>
      <c r="R506" s="3">
        <f>IF(ISNUMBER(AVERAGE('20250815_ETF_Options_Exhibits'!R502:R506)),AVERAGE('20250815_ETF_Options_Exhibits'!R502:R506),"")</f>
        <v/>
      </c>
      <c r="S506" s="3">
        <f>IF(ISNUMBER(AVERAGE('20250815_ETF_Options_Exhibits'!S502:S506)),AVERAGE('20250815_ETF_Options_Exhibits'!S502:S506),"")</f>
        <v/>
      </c>
      <c r="T506" s="3">
        <f>IF(ISNUMBER(AVERAGE('20250815_ETF_Options_Exhibits'!T502:T506)),AVERAGE('20250815_ETF_Options_Exhibits'!T502:T506),"")</f>
        <v/>
      </c>
      <c r="U506" s="3">
        <f>IF(ISNUMBER(AVERAGE('20250815_ETF_Options_Exhibits'!U502:U506)),AVERAGE('20250815_ETF_Options_Exhibits'!U502:U506),"")</f>
        <v/>
      </c>
      <c r="V506" s="3">
        <f>IF(ISNUMBER(AVERAGE('20250815_ETF_Options_Exhibits'!V502:V506)),AVERAGE('20250815_ETF_Options_Exhibits'!V502:V506),"")</f>
        <v/>
      </c>
      <c r="W506" s="3">
        <f>IF(ISNUMBER(AVERAGE('20250815_ETF_Options_Exhibits'!W502:W506)),AVERAGE('20250815_ETF_Options_Exhibits'!W502:W506),"")</f>
        <v/>
      </c>
      <c r="X506" s="3">
        <f>IF(ISNUMBER(AVERAGE('20250815_ETF_Options_Exhibits'!X502:X506)),AVERAGE('20250815_ETF_Options_Exhibits'!X502:X506),"")</f>
        <v/>
      </c>
      <c r="Y506" s="3">
        <f>IF(ISNUMBER(AVERAGE('20250815_ETF_Options_Exhibits'!Y502:Y506)),AVERAGE('20250815_ETF_Options_Exhibits'!Y502:Y506),"")</f>
        <v/>
      </c>
      <c r="Z506" s="3">
        <f>IF(ISNUMBER(AVERAGE('20250815_ETF_Options_Exhibits'!Z502:Z506)),AVERAGE('20250815_ETF_Options_Exhibits'!Z502:Z506),"")</f>
        <v/>
      </c>
      <c r="AA506" s="3">
        <f>IF(ISNUMBER(AVERAGE('20250815_ETF_Options_Exhibits'!AA502:AA506)),AVERAGE('20250815_ETF_Options_Exhibits'!AA502:AA506),"")</f>
        <v/>
      </c>
    </row>
    <row r="507">
      <c r="A507" s="1" t="n">
        <v>42738</v>
      </c>
      <c r="B507" s="3">
        <f>IF(ISNUMBER(AVERAGE('20250815_ETF_Options_Exhibits'!B503:B507)),AVERAGE('20250815_ETF_Options_Exhibits'!B503:B507),"")</f>
        <v/>
      </c>
      <c r="C507" s="3">
        <f>IF(ISNUMBER(AVERAGE('20250815_ETF_Options_Exhibits'!C503:C507)),AVERAGE('20250815_ETF_Options_Exhibits'!C503:C507),"")</f>
        <v/>
      </c>
      <c r="D507" s="3">
        <f>IF(ISNUMBER(AVERAGE('20250815_ETF_Options_Exhibits'!D503:D507)),AVERAGE('20250815_ETF_Options_Exhibits'!D503:D507),"")</f>
        <v/>
      </c>
      <c r="E507" s="3">
        <f>IF(ISNUMBER(AVERAGE('20250815_ETF_Options_Exhibits'!E503:E507)),AVERAGE('20250815_ETF_Options_Exhibits'!E503:E507),"")</f>
        <v/>
      </c>
      <c r="F507" s="3">
        <f>IF(ISNUMBER(AVERAGE('20250815_ETF_Options_Exhibits'!F503:F507)),AVERAGE('20250815_ETF_Options_Exhibits'!F503:F507),"")</f>
        <v/>
      </c>
      <c r="G507" s="3">
        <f>IF(ISNUMBER(AVERAGE('20250815_ETF_Options_Exhibits'!G503:G507)),AVERAGE('20250815_ETF_Options_Exhibits'!G503:G507),"")</f>
        <v/>
      </c>
      <c r="H507" s="3">
        <f>IF(ISNUMBER(AVERAGE('20250815_ETF_Options_Exhibits'!H503:H507)),AVERAGE('20250815_ETF_Options_Exhibits'!H503:H507),"")</f>
        <v/>
      </c>
      <c r="I507" s="3">
        <f>IF(ISNUMBER(AVERAGE('20250815_ETF_Options_Exhibits'!I503:I507)),AVERAGE('20250815_ETF_Options_Exhibits'!I503:I507),"")</f>
        <v/>
      </c>
      <c r="J507" s="3">
        <f>IF(ISNUMBER(AVERAGE('20250815_ETF_Options_Exhibits'!J503:J507)),AVERAGE('20250815_ETF_Options_Exhibits'!J503:J507),"")</f>
        <v/>
      </c>
      <c r="K507" s="3">
        <f>IF(ISNUMBER(AVERAGE('20250815_ETF_Options_Exhibits'!K503:K507)),AVERAGE('20250815_ETF_Options_Exhibits'!K503:K507),"")</f>
        <v/>
      </c>
      <c r="L507" s="3">
        <f>IF(ISNUMBER(AVERAGE('20250815_ETF_Options_Exhibits'!L503:L507)),AVERAGE('20250815_ETF_Options_Exhibits'!L503:L507),"")</f>
        <v/>
      </c>
      <c r="M507" s="3">
        <f>IF(ISNUMBER(AVERAGE('20250815_ETF_Options_Exhibits'!M503:M507)),AVERAGE('20250815_ETF_Options_Exhibits'!M503:M507),"")</f>
        <v/>
      </c>
      <c r="N507" s="3">
        <f>IF(ISNUMBER(AVERAGE('20250815_ETF_Options_Exhibits'!N503:N507)),AVERAGE('20250815_ETF_Options_Exhibits'!N503:N507),"")</f>
        <v/>
      </c>
      <c r="O507" s="3">
        <f>IF(ISNUMBER(AVERAGE('20250815_ETF_Options_Exhibits'!O503:O507)),AVERAGE('20250815_ETF_Options_Exhibits'!O503:O507),"")</f>
        <v/>
      </c>
      <c r="P507" s="3">
        <f>IF(ISNUMBER(AVERAGE('20250815_ETF_Options_Exhibits'!P503:P507)),AVERAGE('20250815_ETF_Options_Exhibits'!P503:P507),"")</f>
        <v/>
      </c>
      <c r="Q507" s="3">
        <f>IF(ISNUMBER(AVERAGE('20250815_ETF_Options_Exhibits'!Q503:Q507)),AVERAGE('20250815_ETF_Options_Exhibits'!Q503:Q507),"")</f>
        <v/>
      </c>
      <c r="R507" s="3">
        <f>IF(ISNUMBER(AVERAGE('20250815_ETF_Options_Exhibits'!R503:R507)),AVERAGE('20250815_ETF_Options_Exhibits'!R503:R507),"")</f>
        <v/>
      </c>
      <c r="S507" s="3">
        <f>IF(ISNUMBER(AVERAGE('20250815_ETF_Options_Exhibits'!S503:S507)),AVERAGE('20250815_ETF_Options_Exhibits'!S503:S507),"")</f>
        <v/>
      </c>
      <c r="T507" s="3">
        <f>IF(ISNUMBER(AVERAGE('20250815_ETF_Options_Exhibits'!T503:T507)),AVERAGE('20250815_ETF_Options_Exhibits'!T503:T507),"")</f>
        <v/>
      </c>
      <c r="U507" s="3">
        <f>IF(ISNUMBER(AVERAGE('20250815_ETF_Options_Exhibits'!U503:U507)),AVERAGE('20250815_ETF_Options_Exhibits'!U503:U507),"")</f>
        <v/>
      </c>
      <c r="V507" s="3">
        <f>IF(ISNUMBER(AVERAGE('20250815_ETF_Options_Exhibits'!V503:V507)),AVERAGE('20250815_ETF_Options_Exhibits'!V503:V507),"")</f>
        <v/>
      </c>
      <c r="W507" s="3">
        <f>IF(ISNUMBER(AVERAGE('20250815_ETF_Options_Exhibits'!W503:W507)),AVERAGE('20250815_ETF_Options_Exhibits'!W503:W507),"")</f>
        <v/>
      </c>
      <c r="X507" s="3">
        <f>IF(ISNUMBER(AVERAGE('20250815_ETF_Options_Exhibits'!X503:X507)),AVERAGE('20250815_ETF_Options_Exhibits'!X503:X507),"")</f>
        <v/>
      </c>
      <c r="Y507" s="3">
        <f>IF(ISNUMBER(AVERAGE('20250815_ETF_Options_Exhibits'!Y503:Y507)),AVERAGE('20250815_ETF_Options_Exhibits'!Y503:Y507),"")</f>
        <v/>
      </c>
      <c r="Z507" s="3">
        <f>IF(ISNUMBER(AVERAGE('20250815_ETF_Options_Exhibits'!Z503:Z507)),AVERAGE('20250815_ETF_Options_Exhibits'!Z503:Z507),"")</f>
        <v/>
      </c>
      <c r="AA507" s="3">
        <f>IF(ISNUMBER(AVERAGE('20250815_ETF_Options_Exhibits'!AA503:AA507)),AVERAGE('20250815_ETF_Options_Exhibits'!AA503:AA507),"")</f>
        <v/>
      </c>
    </row>
    <row r="508">
      <c r="A508" s="1" t="n">
        <v>42739</v>
      </c>
      <c r="B508" s="3">
        <f>IF(ISNUMBER(AVERAGE('20250815_ETF_Options_Exhibits'!B504:B508)),AVERAGE('20250815_ETF_Options_Exhibits'!B504:B508),"")</f>
        <v/>
      </c>
      <c r="C508" s="3">
        <f>IF(ISNUMBER(AVERAGE('20250815_ETF_Options_Exhibits'!C504:C508)),AVERAGE('20250815_ETF_Options_Exhibits'!C504:C508),"")</f>
        <v/>
      </c>
      <c r="D508" s="3">
        <f>IF(ISNUMBER(AVERAGE('20250815_ETF_Options_Exhibits'!D504:D508)),AVERAGE('20250815_ETF_Options_Exhibits'!D504:D508),"")</f>
        <v/>
      </c>
      <c r="E508" s="3">
        <f>IF(ISNUMBER(AVERAGE('20250815_ETF_Options_Exhibits'!E504:E508)),AVERAGE('20250815_ETF_Options_Exhibits'!E504:E508),"")</f>
        <v/>
      </c>
      <c r="F508" s="3">
        <f>IF(ISNUMBER(AVERAGE('20250815_ETF_Options_Exhibits'!F504:F508)),AVERAGE('20250815_ETF_Options_Exhibits'!F504:F508),"")</f>
        <v/>
      </c>
      <c r="G508" s="3">
        <f>IF(ISNUMBER(AVERAGE('20250815_ETF_Options_Exhibits'!G504:G508)),AVERAGE('20250815_ETF_Options_Exhibits'!G504:G508),"")</f>
        <v/>
      </c>
      <c r="H508" s="3">
        <f>IF(ISNUMBER(AVERAGE('20250815_ETF_Options_Exhibits'!H504:H508)),AVERAGE('20250815_ETF_Options_Exhibits'!H504:H508),"")</f>
        <v/>
      </c>
      <c r="I508" s="3">
        <f>IF(ISNUMBER(AVERAGE('20250815_ETF_Options_Exhibits'!I504:I508)),AVERAGE('20250815_ETF_Options_Exhibits'!I504:I508),"")</f>
        <v/>
      </c>
      <c r="J508" s="3">
        <f>IF(ISNUMBER(AVERAGE('20250815_ETF_Options_Exhibits'!J504:J508)),AVERAGE('20250815_ETF_Options_Exhibits'!J504:J508),"")</f>
        <v/>
      </c>
      <c r="K508" s="3">
        <f>IF(ISNUMBER(AVERAGE('20250815_ETF_Options_Exhibits'!K504:K508)),AVERAGE('20250815_ETF_Options_Exhibits'!K504:K508),"")</f>
        <v/>
      </c>
      <c r="L508" s="3">
        <f>IF(ISNUMBER(AVERAGE('20250815_ETF_Options_Exhibits'!L504:L508)),AVERAGE('20250815_ETF_Options_Exhibits'!L504:L508),"")</f>
        <v/>
      </c>
      <c r="M508" s="3">
        <f>IF(ISNUMBER(AVERAGE('20250815_ETF_Options_Exhibits'!M504:M508)),AVERAGE('20250815_ETF_Options_Exhibits'!M504:M508),"")</f>
        <v/>
      </c>
      <c r="N508" s="3">
        <f>IF(ISNUMBER(AVERAGE('20250815_ETF_Options_Exhibits'!N504:N508)),AVERAGE('20250815_ETF_Options_Exhibits'!N504:N508),"")</f>
        <v/>
      </c>
      <c r="O508" s="3">
        <f>IF(ISNUMBER(AVERAGE('20250815_ETF_Options_Exhibits'!O504:O508)),AVERAGE('20250815_ETF_Options_Exhibits'!O504:O508),"")</f>
        <v/>
      </c>
      <c r="P508" s="3">
        <f>IF(ISNUMBER(AVERAGE('20250815_ETF_Options_Exhibits'!P504:P508)),AVERAGE('20250815_ETF_Options_Exhibits'!P504:P508),"")</f>
        <v/>
      </c>
      <c r="Q508" s="3">
        <f>IF(ISNUMBER(AVERAGE('20250815_ETF_Options_Exhibits'!Q504:Q508)),AVERAGE('20250815_ETF_Options_Exhibits'!Q504:Q508),"")</f>
        <v/>
      </c>
      <c r="R508" s="3">
        <f>IF(ISNUMBER(AVERAGE('20250815_ETF_Options_Exhibits'!R504:R508)),AVERAGE('20250815_ETF_Options_Exhibits'!R504:R508),"")</f>
        <v/>
      </c>
      <c r="S508" s="3">
        <f>IF(ISNUMBER(AVERAGE('20250815_ETF_Options_Exhibits'!S504:S508)),AVERAGE('20250815_ETF_Options_Exhibits'!S504:S508),"")</f>
        <v/>
      </c>
      <c r="T508" s="3">
        <f>IF(ISNUMBER(AVERAGE('20250815_ETF_Options_Exhibits'!T504:T508)),AVERAGE('20250815_ETF_Options_Exhibits'!T504:T508),"")</f>
        <v/>
      </c>
      <c r="U508" s="3">
        <f>IF(ISNUMBER(AVERAGE('20250815_ETF_Options_Exhibits'!U504:U508)),AVERAGE('20250815_ETF_Options_Exhibits'!U504:U508),"")</f>
        <v/>
      </c>
      <c r="V508" s="3">
        <f>IF(ISNUMBER(AVERAGE('20250815_ETF_Options_Exhibits'!V504:V508)),AVERAGE('20250815_ETF_Options_Exhibits'!V504:V508),"")</f>
        <v/>
      </c>
      <c r="W508" s="3">
        <f>IF(ISNUMBER(AVERAGE('20250815_ETF_Options_Exhibits'!W504:W508)),AVERAGE('20250815_ETF_Options_Exhibits'!W504:W508),"")</f>
        <v/>
      </c>
      <c r="X508" s="3">
        <f>IF(ISNUMBER(AVERAGE('20250815_ETF_Options_Exhibits'!X504:X508)),AVERAGE('20250815_ETF_Options_Exhibits'!X504:X508),"")</f>
        <v/>
      </c>
      <c r="Y508" s="3">
        <f>IF(ISNUMBER(AVERAGE('20250815_ETF_Options_Exhibits'!Y504:Y508)),AVERAGE('20250815_ETF_Options_Exhibits'!Y504:Y508),"")</f>
        <v/>
      </c>
      <c r="Z508" s="3">
        <f>IF(ISNUMBER(AVERAGE('20250815_ETF_Options_Exhibits'!Z504:Z508)),AVERAGE('20250815_ETF_Options_Exhibits'!Z504:Z508),"")</f>
        <v/>
      </c>
      <c r="AA508" s="3">
        <f>IF(ISNUMBER(AVERAGE('20250815_ETF_Options_Exhibits'!AA504:AA508)),AVERAGE('20250815_ETF_Options_Exhibits'!AA504:AA508),"")</f>
        <v/>
      </c>
    </row>
    <row r="509">
      <c r="A509" s="1" t="n">
        <v>42740</v>
      </c>
      <c r="B509" s="3">
        <f>IF(ISNUMBER(AVERAGE('20250815_ETF_Options_Exhibits'!B505:B509)),AVERAGE('20250815_ETF_Options_Exhibits'!B505:B509),"")</f>
        <v/>
      </c>
      <c r="C509" s="3">
        <f>IF(ISNUMBER(AVERAGE('20250815_ETF_Options_Exhibits'!C505:C509)),AVERAGE('20250815_ETF_Options_Exhibits'!C505:C509),"")</f>
        <v/>
      </c>
      <c r="D509" s="3">
        <f>IF(ISNUMBER(AVERAGE('20250815_ETF_Options_Exhibits'!D505:D509)),AVERAGE('20250815_ETF_Options_Exhibits'!D505:D509),"")</f>
        <v/>
      </c>
      <c r="E509" s="3">
        <f>IF(ISNUMBER(AVERAGE('20250815_ETF_Options_Exhibits'!E505:E509)),AVERAGE('20250815_ETF_Options_Exhibits'!E505:E509),"")</f>
        <v/>
      </c>
      <c r="F509" s="3">
        <f>IF(ISNUMBER(AVERAGE('20250815_ETF_Options_Exhibits'!F505:F509)),AVERAGE('20250815_ETF_Options_Exhibits'!F505:F509),"")</f>
        <v/>
      </c>
      <c r="G509" s="3">
        <f>IF(ISNUMBER(AVERAGE('20250815_ETF_Options_Exhibits'!G505:G509)),AVERAGE('20250815_ETF_Options_Exhibits'!G505:G509),"")</f>
        <v/>
      </c>
      <c r="H509" s="3">
        <f>IF(ISNUMBER(AVERAGE('20250815_ETF_Options_Exhibits'!H505:H509)),AVERAGE('20250815_ETF_Options_Exhibits'!H505:H509),"")</f>
        <v/>
      </c>
      <c r="I509" s="3">
        <f>IF(ISNUMBER(AVERAGE('20250815_ETF_Options_Exhibits'!I505:I509)),AVERAGE('20250815_ETF_Options_Exhibits'!I505:I509),"")</f>
        <v/>
      </c>
      <c r="J509" s="3">
        <f>IF(ISNUMBER(AVERAGE('20250815_ETF_Options_Exhibits'!J505:J509)),AVERAGE('20250815_ETF_Options_Exhibits'!J505:J509),"")</f>
        <v/>
      </c>
      <c r="K509" s="3">
        <f>IF(ISNUMBER(AVERAGE('20250815_ETF_Options_Exhibits'!K505:K509)),AVERAGE('20250815_ETF_Options_Exhibits'!K505:K509),"")</f>
        <v/>
      </c>
      <c r="L509" s="3">
        <f>IF(ISNUMBER(AVERAGE('20250815_ETF_Options_Exhibits'!L505:L509)),AVERAGE('20250815_ETF_Options_Exhibits'!L505:L509),"")</f>
        <v/>
      </c>
      <c r="M509" s="3">
        <f>IF(ISNUMBER(AVERAGE('20250815_ETF_Options_Exhibits'!M505:M509)),AVERAGE('20250815_ETF_Options_Exhibits'!M505:M509),"")</f>
        <v/>
      </c>
      <c r="N509" s="3">
        <f>IF(ISNUMBER(AVERAGE('20250815_ETF_Options_Exhibits'!N505:N509)),AVERAGE('20250815_ETF_Options_Exhibits'!N505:N509),"")</f>
        <v/>
      </c>
      <c r="O509" s="3">
        <f>IF(ISNUMBER(AVERAGE('20250815_ETF_Options_Exhibits'!O505:O509)),AVERAGE('20250815_ETF_Options_Exhibits'!O505:O509),"")</f>
        <v/>
      </c>
      <c r="P509" s="3">
        <f>IF(ISNUMBER(AVERAGE('20250815_ETF_Options_Exhibits'!P505:P509)),AVERAGE('20250815_ETF_Options_Exhibits'!P505:P509),"")</f>
        <v/>
      </c>
      <c r="Q509" s="3">
        <f>IF(ISNUMBER(AVERAGE('20250815_ETF_Options_Exhibits'!Q505:Q509)),AVERAGE('20250815_ETF_Options_Exhibits'!Q505:Q509),"")</f>
        <v/>
      </c>
      <c r="R509" s="3">
        <f>IF(ISNUMBER(AVERAGE('20250815_ETF_Options_Exhibits'!R505:R509)),AVERAGE('20250815_ETF_Options_Exhibits'!R505:R509),"")</f>
        <v/>
      </c>
      <c r="S509" s="3">
        <f>IF(ISNUMBER(AVERAGE('20250815_ETF_Options_Exhibits'!S505:S509)),AVERAGE('20250815_ETF_Options_Exhibits'!S505:S509),"")</f>
        <v/>
      </c>
      <c r="T509" s="3">
        <f>IF(ISNUMBER(AVERAGE('20250815_ETF_Options_Exhibits'!T505:T509)),AVERAGE('20250815_ETF_Options_Exhibits'!T505:T509),"")</f>
        <v/>
      </c>
      <c r="U509" s="3">
        <f>IF(ISNUMBER(AVERAGE('20250815_ETF_Options_Exhibits'!U505:U509)),AVERAGE('20250815_ETF_Options_Exhibits'!U505:U509),"")</f>
        <v/>
      </c>
      <c r="V509" s="3">
        <f>IF(ISNUMBER(AVERAGE('20250815_ETF_Options_Exhibits'!V505:V509)),AVERAGE('20250815_ETF_Options_Exhibits'!V505:V509),"")</f>
        <v/>
      </c>
      <c r="W509" s="3">
        <f>IF(ISNUMBER(AVERAGE('20250815_ETF_Options_Exhibits'!W505:W509)),AVERAGE('20250815_ETF_Options_Exhibits'!W505:W509),"")</f>
        <v/>
      </c>
      <c r="X509" s="3">
        <f>IF(ISNUMBER(AVERAGE('20250815_ETF_Options_Exhibits'!X505:X509)),AVERAGE('20250815_ETF_Options_Exhibits'!X505:X509),"")</f>
        <v/>
      </c>
      <c r="Y509" s="3">
        <f>IF(ISNUMBER(AVERAGE('20250815_ETF_Options_Exhibits'!Y505:Y509)),AVERAGE('20250815_ETF_Options_Exhibits'!Y505:Y509),"")</f>
        <v/>
      </c>
      <c r="Z509" s="3">
        <f>IF(ISNUMBER(AVERAGE('20250815_ETF_Options_Exhibits'!Z505:Z509)),AVERAGE('20250815_ETF_Options_Exhibits'!Z505:Z509),"")</f>
        <v/>
      </c>
      <c r="AA509" s="3">
        <f>IF(ISNUMBER(AVERAGE('20250815_ETF_Options_Exhibits'!AA505:AA509)),AVERAGE('20250815_ETF_Options_Exhibits'!AA505:AA509),"")</f>
        <v/>
      </c>
    </row>
    <row r="510">
      <c r="A510" s="1" t="n">
        <v>42741</v>
      </c>
      <c r="B510" s="3">
        <f>IF(ISNUMBER(AVERAGE('20250815_ETF_Options_Exhibits'!B506:B510)),AVERAGE('20250815_ETF_Options_Exhibits'!B506:B510),"")</f>
        <v/>
      </c>
      <c r="C510" s="3">
        <f>IF(ISNUMBER(AVERAGE('20250815_ETF_Options_Exhibits'!C506:C510)),AVERAGE('20250815_ETF_Options_Exhibits'!C506:C510),"")</f>
        <v/>
      </c>
      <c r="D510" s="3">
        <f>IF(ISNUMBER(AVERAGE('20250815_ETF_Options_Exhibits'!D506:D510)),AVERAGE('20250815_ETF_Options_Exhibits'!D506:D510),"")</f>
        <v/>
      </c>
      <c r="E510" s="3">
        <f>IF(ISNUMBER(AVERAGE('20250815_ETF_Options_Exhibits'!E506:E510)),AVERAGE('20250815_ETF_Options_Exhibits'!E506:E510),"")</f>
        <v/>
      </c>
      <c r="F510" s="3">
        <f>IF(ISNUMBER(AVERAGE('20250815_ETF_Options_Exhibits'!F506:F510)),AVERAGE('20250815_ETF_Options_Exhibits'!F506:F510),"")</f>
        <v/>
      </c>
      <c r="G510" s="3">
        <f>IF(ISNUMBER(AVERAGE('20250815_ETF_Options_Exhibits'!G506:G510)),AVERAGE('20250815_ETF_Options_Exhibits'!G506:G510),"")</f>
        <v/>
      </c>
      <c r="H510" s="3">
        <f>IF(ISNUMBER(AVERAGE('20250815_ETF_Options_Exhibits'!H506:H510)),AVERAGE('20250815_ETF_Options_Exhibits'!H506:H510),"")</f>
        <v/>
      </c>
      <c r="I510" s="3">
        <f>IF(ISNUMBER(AVERAGE('20250815_ETF_Options_Exhibits'!I506:I510)),AVERAGE('20250815_ETF_Options_Exhibits'!I506:I510),"")</f>
        <v/>
      </c>
      <c r="J510" s="3">
        <f>IF(ISNUMBER(AVERAGE('20250815_ETF_Options_Exhibits'!J506:J510)),AVERAGE('20250815_ETF_Options_Exhibits'!J506:J510),"")</f>
        <v/>
      </c>
      <c r="K510" s="3">
        <f>IF(ISNUMBER(AVERAGE('20250815_ETF_Options_Exhibits'!K506:K510)),AVERAGE('20250815_ETF_Options_Exhibits'!K506:K510),"")</f>
        <v/>
      </c>
      <c r="L510" s="3">
        <f>IF(ISNUMBER(AVERAGE('20250815_ETF_Options_Exhibits'!L506:L510)),AVERAGE('20250815_ETF_Options_Exhibits'!L506:L510),"")</f>
        <v/>
      </c>
      <c r="M510" s="3">
        <f>IF(ISNUMBER(AVERAGE('20250815_ETF_Options_Exhibits'!M506:M510)),AVERAGE('20250815_ETF_Options_Exhibits'!M506:M510),"")</f>
        <v/>
      </c>
      <c r="N510" s="3">
        <f>IF(ISNUMBER(AVERAGE('20250815_ETF_Options_Exhibits'!N506:N510)),AVERAGE('20250815_ETF_Options_Exhibits'!N506:N510),"")</f>
        <v/>
      </c>
      <c r="O510" s="3">
        <f>IF(ISNUMBER(AVERAGE('20250815_ETF_Options_Exhibits'!O506:O510)),AVERAGE('20250815_ETF_Options_Exhibits'!O506:O510),"")</f>
        <v/>
      </c>
      <c r="P510" s="3">
        <f>IF(ISNUMBER(AVERAGE('20250815_ETF_Options_Exhibits'!P506:P510)),AVERAGE('20250815_ETF_Options_Exhibits'!P506:P510),"")</f>
        <v/>
      </c>
      <c r="Q510" s="3">
        <f>IF(ISNUMBER(AVERAGE('20250815_ETF_Options_Exhibits'!Q506:Q510)),AVERAGE('20250815_ETF_Options_Exhibits'!Q506:Q510),"")</f>
        <v/>
      </c>
      <c r="R510" s="3">
        <f>IF(ISNUMBER(AVERAGE('20250815_ETF_Options_Exhibits'!R506:R510)),AVERAGE('20250815_ETF_Options_Exhibits'!R506:R510),"")</f>
        <v/>
      </c>
      <c r="S510" s="3">
        <f>IF(ISNUMBER(AVERAGE('20250815_ETF_Options_Exhibits'!S506:S510)),AVERAGE('20250815_ETF_Options_Exhibits'!S506:S510),"")</f>
        <v/>
      </c>
      <c r="T510" s="3">
        <f>IF(ISNUMBER(AVERAGE('20250815_ETF_Options_Exhibits'!T506:T510)),AVERAGE('20250815_ETF_Options_Exhibits'!T506:T510),"")</f>
        <v/>
      </c>
      <c r="U510" s="3">
        <f>IF(ISNUMBER(AVERAGE('20250815_ETF_Options_Exhibits'!U506:U510)),AVERAGE('20250815_ETF_Options_Exhibits'!U506:U510),"")</f>
        <v/>
      </c>
      <c r="V510" s="3">
        <f>IF(ISNUMBER(AVERAGE('20250815_ETF_Options_Exhibits'!V506:V510)),AVERAGE('20250815_ETF_Options_Exhibits'!V506:V510),"")</f>
        <v/>
      </c>
      <c r="W510" s="3">
        <f>IF(ISNUMBER(AVERAGE('20250815_ETF_Options_Exhibits'!W506:W510)),AVERAGE('20250815_ETF_Options_Exhibits'!W506:W510),"")</f>
        <v/>
      </c>
      <c r="X510" s="3">
        <f>IF(ISNUMBER(AVERAGE('20250815_ETF_Options_Exhibits'!X506:X510)),AVERAGE('20250815_ETF_Options_Exhibits'!X506:X510),"")</f>
        <v/>
      </c>
      <c r="Y510" s="3">
        <f>IF(ISNUMBER(AVERAGE('20250815_ETF_Options_Exhibits'!Y506:Y510)),AVERAGE('20250815_ETF_Options_Exhibits'!Y506:Y510),"")</f>
        <v/>
      </c>
      <c r="Z510" s="3">
        <f>IF(ISNUMBER(AVERAGE('20250815_ETF_Options_Exhibits'!Z506:Z510)),AVERAGE('20250815_ETF_Options_Exhibits'!Z506:Z510),"")</f>
        <v/>
      </c>
      <c r="AA510" s="3">
        <f>IF(ISNUMBER(AVERAGE('20250815_ETF_Options_Exhibits'!AA506:AA510)),AVERAGE('20250815_ETF_Options_Exhibits'!AA506:AA510),"")</f>
        <v/>
      </c>
    </row>
    <row r="511">
      <c r="A511" s="1" t="n">
        <v>42744</v>
      </c>
      <c r="B511" s="3">
        <f>IF(ISNUMBER(AVERAGE('20250815_ETF_Options_Exhibits'!B507:B511)),AVERAGE('20250815_ETF_Options_Exhibits'!B507:B511),"")</f>
        <v/>
      </c>
      <c r="C511" s="3">
        <f>IF(ISNUMBER(AVERAGE('20250815_ETF_Options_Exhibits'!C507:C511)),AVERAGE('20250815_ETF_Options_Exhibits'!C507:C511),"")</f>
        <v/>
      </c>
      <c r="D511" s="3">
        <f>IF(ISNUMBER(AVERAGE('20250815_ETF_Options_Exhibits'!D507:D511)),AVERAGE('20250815_ETF_Options_Exhibits'!D507:D511),"")</f>
        <v/>
      </c>
      <c r="E511" s="3">
        <f>IF(ISNUMBER(AVERAGE('20250815_ETF_Options_Exhibits'!E507:E511)),AVERAGE('20250815_ETF_Options_Exhibits'!E507:E511),"")</f>
        <v/>
      </c>
      <c r="F511" s="3">
        <f>IF(ISNUMBER(AVERAGE('20250815_ETF_Options_Exhibits'!F507:F511)),AVERAGE('20250815_ETF_Options_Exhibits'!F507:F511),"")</f>
        <v/>
      </c>
      <c r="G511" s="3">
        <f>IF(ISNUMBER(AVERAGE('20250815_ETF_Options_Exhibits'!G507:G511)),AVERAGE('20250815_ETF_Options_Exhibits'!G507:G511),"")</f>
        <v/>
      </c>
      <c r="H511" s="3">
        <f>IF(ISNUMBER(AVERAGE('20250815_ETF_Options_Exhibits'!H507:H511)),AVERAGE('20250815_ETF_Options_Exhibits'!H507:H511),"")</f>
        <v/>
      </c>
      <c r="I511" s="3">
        <f>IF(ISNUMBER(AVERAGE('20250815_ETF_Options_Exhibits'!I507:I511)),AVERAGE('20250815_ETF_Options_Exhibits'!I507:I511),"")</f>
        <v/>
      </c>
      <c r="J511" s="3">
        <f>IF(ISNUMBER(AVERAGE('20250815_ETF_Options_Exhibits'!J507:J511)),AVERAGE('20250815_ETF_Options_Exhibits'!J507:J511),"")</f>
        <v/>
      </c>
      <c r="K511" s="3">
        <f>IF(ISNUMBER(AVERAGE('20250815_ETF_Options_Exhibits'!K507:K511)),AVERAGE('20250815_ETF_Options_Exhibits'!K507:K511),"")</f>
        <v/>
      </c>
      <c r="L511" s="3">
        <f>IF(ISNUMBER(AVERAGE('20250815_ETF_Options_Exhibits'!L507:L511)),AVERAGE('20250815_ETF_Options_Exhibits'!L507:L511),"")</f>
        <v/>
      </c>
      <c r="M511" s="3">
        <f>IF(ISNUMBER(AVERAGE('20250815_ETF_Options_Exhibits'!M507:M511)),AVERAGE('20250815_ETF_Options_Exhibits'!M507:M511),"")</f>
        <v/>
      </c>
      <c r="N511" s="3">
        <f>IF(ISNUMBER(AVERAGE('20250815_ETF_Options_Exhibits'!N507:N511)),AVERAGE('20250815_ETF_Options_Exhibits'!N507:N511),"")</f>
        <v/>
      </c>
      <c r="O511" s="3">
        <f>IF(ISNUMBER(AVERAGE('20250815_ETF_Options_Exhibits'!O507:O511)),AVERAGE('20250815_ETF_Options_Exhibits'!O507:O511),"")</f>
        <v/>
      </c>
      <c r="P511" s="3">
        <f>IF(ISNUMBER(AVERAGE('20250815_ETF_Options_Exhibits'!P507:P511)),AVERAGE('20250815_ETF_Options_Exhibits'!P507:P511),"")</f>
        <v/>
      </c>
      <c r="Q511" s="3">
        <f>IF(ISNUMBER(AVERAGE('20250815_ETF_Options_Exhibits'!Q507:Q511)),AVERAGE('20250815_ETF_Options_Exhibits'!Q507:Q511),"")</f>
        <v/>
      </c>
      <c r="R511" s="3">
        <f>IF(ISNUMBER(AVERAGE('20250815_ETF_Options_Exhibits'!R507:R511)),AVERAGE('20250815_ETF_Options_Exhibits'!R507:R511),"")</f>
        <v/>
      </c>
      <c r="S511" s="3">
        <f>IF(ISNUMBER(AVERAGE('20250815_ETF_Options_Exhibits'!S507:S511)),AVERAGE('20250815_ETF_Options_Exhibits'!S507:S511),"")</f>
        <v/>
      </c>
      <c r="T511" s="3">
        <f>IF(ISNUMBER(AVERAGE('20250815_ETF_Options_Exhibits'!T507:T511)),AVERAGE('20250815_ETF_Options_Exhibits'!T507:T511),"")</f>
        <v/>
      </c>
      <c r="U511" s="3">
        <f>IF(ISNUMBER(AVERAGE('20250815_ETF_Options_Exhibits'!U507:U511)),AVERAGE('20250815_ETF_Options_Exhibits'!U507:U511),"")</f>
        <v/>
      </c>
      <c r="V511" s="3">
        <f>IF(ISNUMBER(AVERAGE('20250815_ETF_Options_Exhibits'!V507:V511)),AVERAGE('20250815_ETF_Options_Exhibits'!V507:V511),"")</f>
        <v/>
      </c>
      <c r="W511" s="3">
        <f>IF(ISNUMBER(AVERAGE('20250815_ETF_Options_Exhibits'!W507:W511)),AVERAGE('20250815_ETF_Options_Exhibits'!W507:W511),"")</f>
        <v/>
      </c>
      <c r="X511" s="3">
        <f>IF(ISNUMBER(AVERAGE('20250815_ETF_Options_Exhibits'!X507:X511)),AVERAGE('20250815_ETF_Options_Exhibits'!X507:X511),"")</f>
        <v/>
      </c>
      <c r="Y511" s="3">
        <f>IF(ISNUMBER(AVERAGE('20250815_ETF_Options_Exhibits'!Y507:Y511)),AVERAGE('20250815_ETF_Options_Exhibits'!Y507:Y511),"")</f>
        <v/>
      </c>
      <c r="Z511" s="3">
        <f>IF(ISNUMBER(AVERAGE('20250815_ETF_Options_Exhibits'!Z507:Z511)),AVERAGE('20250815_ETF_Options_Exhibits'!Z507:Z511),"")</f>
        <v/>
      </c>
      <c r="AA511" s="3">
        <f>IF(ISNUMBER(AVERAGE('20250815_ETF_Options_Exhibits'!AA507:AA511)),AVERAGE('20250815_ETF_Options_Exhibits'!AA507:AA511),"")</f>
        <v/>
      </c>
    </row>
    <row r="512">
      <c r="A512" s="1" t="n">
        <v>42745</v>
      </c>
      <c r="B512" s="3">
        <f>IF(ISNUMBER(AVERAGE('20250815_ETF_Options_Exhibits'!B508:B512)),AVERAGE('20250815_ETF_Options_Exhibits'!B508:B512),"")</f>
        <v/>
      </c>
      <c r="C512" s="3">
        <f>IF(ISNUMBER(AVERAGE('20250815_ETF_Options_Exhibits'!C508:C512)),AVERAGE('20250815_ETF_Options_Exhibits'!C508:C512),"")</f>
        <v/>
      </c>
      <c r="D512" s="3">
        <f>IF(ISNUMBER(AVERAGE('20250815_ETF_Options_Exhibits'!D508:D512)),AVERAGE('20250815_ETF_Options_Exhibits'!D508:D512),"")</f>
        <v/>
      </c>
      <c r="E512" s="3">
        <f>IF(ISNUMBER(AVERAGE('20250815_ETF_Options_Exhibits'!E508:E512)),AVERAGE('20250815_ETF_Options_Exhibits'!E508:E512),"")</f>
        <v/>
      </c>
      <c r="F512" s="3">
        <f>IF(ISNUMBER(AVERAGE('20250815_ETF_Options_Exhibits'!F508:F512)),AVERAGE('20250815_ETF_Options_Exhibits'!F508:F512),"")</f>
        <v/>
      </c>
      <c r="G512" s="3">
        <f>IF(ISNUMBER(AVERAGE('20250815_ETF_Options_Exhibits'!G508:G512)),AVERAGE('20250815_ETF_Options_Exhibits'!G508:G512),"")</f>
        <v/>
      </c>
      <c r="H512" s="3">
        <f>IF(ISNUMBER(AVERAGE('20250815_ETF_Options_Exhibits'!H508:H512)),AVERAGE('20250815_ETF_Options_Exhibits'!H508:H512),"")</f>
        <v/>
      </c>
      <c r="I512" s="3">
        <f>IF(ISNUMBER(AVERAGE('20250815_ETF_Options_Exhibits'!I508:I512)),AVERAGE('20250815_ETF_Options_Exhibits'!I508:I512),"")</f>
        <v/>
      </c>
      <c r="J512" s="3">
        <f>IF(ISNUMBER(AVERAGE('20250815_ETF_Options_Exhibits'!J508:J512)),AVERAGE('20250815_ETF_Options_Exhibits'!J508:J512),"")</f>
        <v/>
      </c>
      <c r="K512" s="3">
        <f>IF(ISNUMBER(AVERAGE('20250815_ETF_Options_Exhibits'!K508:K512)),AVERAGE('20250815_ETF_Options_Exhibits'!K508:K512),"")</f>
        <v/>
      </c>
      <c r="L512" s="3">
        <f>IF(ISNUMBER(AVERAGE('20250815_ETF_Options_Exhibits'!L508:L512)),AVERAGE('20250815_ETF_Options_Exhibits'!L508:L512),"")</f>
        <v/>
      </c>
      <c r="M512" s="3">
        <f>IF(ISNUMBER(AVERAGE('20250815_ETF_Options_Exhibits'!M508:M512)),AVERAGE('20250815_ETF_Options_Exhibits'!M508:M512),"")</f>
        <v/>
      </c>
      <c r="N512" s="3">
        <f>IF(ISNUMBER(AVERAGE('20250815_ETF_Options_Exhibits'!N508:N512)),AVERAGE('20250815_ETF_Options_Exhibits'!N508:N512),"")</f>
        <v/>
      </c>
      <c r="O512" s="3">
        <f>IF(ISNUMBER(AVERAGE('20250815_ETF_Options_Exhibits'!O508:O512)),AVERAGE('20250815_ETF_Options_Exhibits'!O508:O512),"")</f>
        <v/>
      </c>
      <c r="P512" s="3">
        <f>IF(ISNUMBER(AVERAGE('20250815_ETF_Options_Exhibits'!P508:P512)),AVERAGE('20250815_ETF_Options_Exhibits'!P508:P512),"")</f>
        <v/>
      </c>
      <c r="Q512" s="3">
        <f>IF(ISNUMBER(AVERAGE('20250815_ETF_Options_Exhibits'!Q508:Q512)),AVERAGE('20250815_ETF_Options_Exhibits'!Q508:Q512),"")</f>
        <v/>
      </c>
      <c r="R512" s="3">
        <f>IF(ISNUMBER(AVERAGE('20250815_ETF_Options_Exhibits'!R508:R512)),AVERAGE('20250815_ETF_Options_Exhibits'!R508:R512),"")</f>
        <v/>
      </c>
      <c r="S512" s="3">
        <f>IF(ISNUMBER(AVERAGE('20250815_ETF_Options_Exhibits'!S508:S512)),AVERAGE('20250815_ETF_Options_Exhibits'!S508:S512),"")</f>
        <v/>
      </c>
      <c r="T512" s="3">
        <f>IF(ISNUMBER(AVERAGE('20250815_ETF_Options_Exhibits'!T508:T512)),AVERAGE('20250815_ETF_Options_Exhibits'!T508:T512),"")</f>
        <v/>
      </c>
      <c r="U512" s="3">
        <f>IF(ISNUMBER(AVERAGE('20250815_ETF_Options_Exhibits'!U508:U512)),AVERAGE('20250815_ETF_Options_Exhibits'!U508:U512),"")</f>
        <v/>
      </c>
      <c r="V512" s="3">
        <f>IF(ISNUMBER(AVERAGE('20250815_ETF_Options_Exhibits'!V508:V512)),AVERAGE('20250815_ETF_Options_Exhibits'!V508:V512),"")</f>
        <v/>
      </c>
      <c r="W512" s="3">
        <f>IF(ISNUMBER(AVERAGE('20250815_ETF_Options_Exhibits'!W508:W512)),AVERAGE('20250815_ETF_Options_Exhibits'!W508:W512),"")</f>
        <v/>
      </c>
      <c r="X512" s="3">
        <f>IF(ISNUMBER(AVERAGE('20250815_ETF_Options_Exhibits'!X508:X512)),AVERAGE('20250815_ETF_Options_Exhibits'!X508:X512),"")</f>
        <v/>
      </c>
      <c r="Y512" s="3">
        <f>IF(ISNUMBER(AVERAGE('20250815_ETF_Options_Exhibits'!Y508:Y512)),AVERAGE('20250815_ETF_Options_Exhibits'!Y508:Y512),"")</f>
        <v/>
      </c>
      <c r="Z512" s="3">
        <f>IF(ISNUMBER(AVERAGE('20250815_ETF_Options_Exhibits'!Z508:Z512)),AVERAGE('20250815_ETF_Options_Exhibits'!Z508:Z512),"")</f>
        <v/>
      </c>
      <c r="AA512" s="3">
        <f>IF(ISNUMBER(AVERAGE('20250815_ETF_Options_Exhibits'!AA508:AA512)),AVERAGE('20250815_ETF_Options_Exhibits'!AA508:AA512),"")</f>
        <v/>
      </c>
    </row>
    <row r="513">
      <c r="A513" s="1" t="n">
        <v>42746</v>
      </c>
      <c r="B513" s="3">
        <f>IF(ISNUMBER(AVERAGE('20250815_ETF_Options_Exhibits'!B509:B513)),AVERAGE('20250815_ETF_Options_Exhibits'!B509:B513),"")</f>
        <v/>
      </c>
      <c r="C513" s="3">
        <f>IF(ISNUMBER(AVERAGE('20250815_ETF_Options_Exhibits'!C509:C513)),AVERAGE('20250815_ETF_Options_Exhibits'!C509:C513),"")</f>
        <v/>
      </c>
      <c r="D513" s="3">
        <f>IF(ISNUMBER(AVERAGE('20250815_ETF_Options_Exhibits'!D509:D513)),AVERAGE('20250815_ETF_Options_Exhibits'!D509:D513),"")</f>
        <v/>
      </c>
      <c r="E513" s="3">
        <f>IF(ISNUMBER(AVERAGE('20250815_ETF_Options_Exhibits'!E509:E513)),AVERAGE('20250815_ETF_Options_Exhibits'!E509:E513),"")</f>
        <v/>
      </c>
      <c r="F513" s="3">
        <f>IF(ISNUMBER(AVERAGE('20250815_ETF_Options_Exhibits'!F509:F513)),AVERAGE('20250815_ETF_Options_Exhibits'!F509:F513),"")</f>
        <v/>
      </c>
      <c r="G513" s="3">
        <f>IF(ISNUMBER(AVERAGE('20250815_ETF_Options_Exhibits'!G509:G513)),AVERAGE('20250815_ETF_Options_Exhibits'!G509:G513),"")</f>
        <v/>
      </c>
      <c r="H513" s="3">
        <f>IF(ISNUMBER(AVERAGE('20250815_ETF_Options_Exhibits'!H509:H513)),AVERAGE('20250815_ETF_Options_Exhibits'!H509:H513),"")</f>
        <v/>
      </c>
      <c r="I513" s="3">
        <f>IF(ISNUMBER(AVERAGE('20250815_ETF_Options_Exhibits'!I509:I513)),AVERAGE('20250815_ETF_Options_Exhibits'!I509:I513),"")</f>
        <v/>
      </c>
      <c r="J513" s="3">
        <f>IF(ISNUMBER(AVERAGE('20250815_ETF_Options_Exhibits'!J509:J513)),AVERAGE('20250815_ETF_Options_Exhibits'!J509:J513),"")</f>
        <v/>
      </c>
      <c r="K513" s="3">
        <f>IF(ISNUMBER(AVERAGE('20250815_ETF_Options_Exhibits'!K509:K513)),AVERAGE('20250815_ETF_Options_Exhibits'!K509:K513),"")</f>
        <v/>
      </c>
      <c r="L513" s="3">
        <f>IF(ISNUMBER(AVERAGE('20250815_ETF_Options_Exhibits'!L509:L513)),AVERAGE('20250815_ETF_Options_Exhibits'!L509:L513),"")</f>
        <v/>
      </c>
      <c r="M513" s="3">
        <f>IF(ISNUMBER(AVERAGE('20250815_ETF_Options_Exhibits'!M509:M513)),AVERAGE('20250815_ETF_Options_Exhibits'!M509:M513),"")</f>
        <v/>
      </c>
      <c r="N513" s="3">
        <f>IF(ISNUMBER(AVERAGE('20250815_ETF_Options_Exhibits'!N509:N513)),AVERAGE('20250815_ETF_Options_Exhibits'!N509:N513),"")</f>
        <v/>
      </c>
      <c r="O513" s="3">
        <f>IF(ISNUMBER(AVERAGE('20250815_ETF_Options_Exhibits'!O509:O513)),AVERAGE('20250815_ETF_Options_Exhibits'!O509:O513),"")</f>
        <v/>
      </c>
      <c r="P513" s="3">
        <f>IF(ISNUMBER(AVERAGE('20250815_ETF_Options_Exhibits'!P509:P513)),AVERAGE('20250815_ETF_Options_Exhibits'!P509:P513),"")</f>
        <v/>
      </c>
      <c r="Q513" s="3">
        <f>IF(ISNUMBER(AVERAGE('20250815_ETF_Options_Exhibits'!Q509:Q513)),AVERAGE('20250815_ETF_Options_Exhibits'!Q509:Q513),"")</f>
        <v/>
      </c>
      <c r="R513" s="3">
        <f>IF(ISNUMBER(AVERAGE('20250815_ETF_Options_Exhibits'!R509:R513)),AVERAGE('20250815_ETF_Options_Exhibits'!R509:R513),"")</f>
        <v/>
      </c>
      <c r="S513" s="3">
        <f>IF(ISNUMBER(AVERAGE('20250815_ETF_Options_Exhibits'!S509:S513)),AVERAGE('20250815_ETF_Options_Exhibits'!S509:S513),"")</f>
        <v/>
      </c>
      <c r="T513" s="3">
        <f>IF(ISNUMBER(AVERAGE('20250815_ETF_Options_Exhibits'!T509:T513)),AVERAGE('20250815_ETF_Options_Exhibits'!T509:T513),"")</f>
        <v/>
      </c>
      <c r="U513" s="3">
        <f>IF(ISNUMBER(AVERAGE('20250815_ETF_Options_Exhibits'!U509:U513)),AVERAGE('20250815_ETF_Options_Exhibits'!U509:U513),"")</f>
        <v/>
      </c>
      <c r="V513" s="3">
        <f>IF(ISNUMBER(AVERAGE('20250815_ETF_Options_Exhibits'!V509:V513)),AVERAGE('20250815_ETF_Options_Exhibits'!V509:V513),"")</f>
        <v/>
      </c>
      <c r="W513" s="3">
        <f>IF(ISNUMBER(AVERAGE('20250815_ETF_Options_Exhibits'!W509:W513)),AVERAGE('20250815_ETF_Options_Exhibits'!W509:W513),"")</f>
        <v/>
      </c>
      <c r="X513" s="3">
        <f>IF(ISNUMBER(AVERAGE('20250815_ETF_Options_Exhibits'!X509:X513)),AVERAGE('20250815_ETF_Options_Exhibits'!X509:X513),"")</f>
        <v/>
      </c>
      <c r="Y513" s="3">
        <f>IF(ISNUMBER(AVERAGE('20250815_ETF_Options_Exhibits'!Y509:Y513)),AVERAGE('20250815_ETF_Options_Exhibits'!Y509:Y513),"")</f>
        <v/>
      </c>
      <c r="Z513" s="3">
        <f>IF(ISNUMBER(AVERAGE('20250815_ETF_Options_Exhibits'!Z509:Z513)),AVERAGE('20250815_ETF_Options_Exhibits'!Z509:Z513),"")</f>
        <v/>
      </c>
      <c r="AA513" s="3">
        <f>IF(ISNUMBER(AVERAGE('20250815_ETF_Options_Exhibits'!AA509:AA513)),AVERAGE('20250815_ETF_Options_Exhibits'!AA509:AA513),"")</f>
        <v/>
      </c>
    </row>
    <row r="514">
      <c r="A514" s="1" t="n">
        <v>42747</v>
      </c>
      <c r="B514" s="3">
        <f>IF(ISNUMBER(AVERAGE('20250815_ETF_Options_Exhibits'!B510:B514)),AVERAGE('20250815_ETF_Options_Exhibits'!B510:B514),"")</f>
        <v/>
      </c>
      <c r="C514" s="3">
        <f>IF(ISNUMBER(AVERAGE('20250815_ETF_Options_Exhibits'!C510:C514)),AVERAGE('20250815_ETF_Options_Exhibits'!C510:C514),"")</f>
        <v/>
      </c>
      <c r="D514" s="3">
        <f>IF(ISNUMBER(AVERAGE('20250815_ETF_Options_Exhibits'!D510:D514)),AVERAGE('20250815_ETF_Options_Exhibits'!D510:D514),"")</f>
        <v/>
      </c>
      <c r="E514" s="3">
        <f>IF(ISNUMBER(AVERAGE('20250815_ETF_Options_Exhibits'!E510:E514)),AVERAGE('20250815_ETF_Options_Exhibits'!E510:E514),"")</f>
        <v/>
      </c>
      <c r="F514" s="3">
        <f>IF(ISNUMBER(AVERAGE('20250815_ETF_Options_Exhibits'!F510:F514)),AVERAGE('20250815_ETF_Options_Exhibits'!F510:F514),"")</f>
        <v/>
      </c>
      <c r="G514" s="3">
        <f>IF(ISNUMBER(AVERAGE('20250815_ETF_Options_Exhibits'!G510:G514)),AVERAGE('20250815_ETF_Options_Exhibits'!G510:G514),"")</f>
        <v/>
      </c>
      <c r="H514" s="3">
        <f>IF(ISNUMBER(AVERAGE('20250815_ETF_Options_Exhibits'!H510:H514)),AVERAGE('20250815_ETF_Options_Exhibits'!H510:H514),"")</f>
        <v/>
      </c>
      <c r="I514" s="3">
        <f>IF(ISNUMBER(AVERAGE('20250815_ETF_Options_Exhibits'!I510:I514)),AVERAGE('20250815_ETF_Options_Exhibits'!I510:I514),"")</f>
        <v/>
      </c>
      <c r="J514" s="3">
        <f>IF(ISNUMBER(AVERAGE('20250815_ETF_Options_Exhibits'!J510:J514)),AVERAGE('20250815_ETF_Options_Exhibits'!J510:J514),"")</f>
        <v/>
      </c>
      <c r="K514" s="3">
        <f>IF(ISNUMBER(AVERAGE('20250815_ETF_Options_Exhibits'!K510:K514)),AVERAGE('20250815_ETF_Options_Exhibits'!K510:K514),"")</f>
        <v/>
      </c>
      <c r="L514" s="3">
        <f>IF(ISNUMBER(AVERAGE('20250815_ETF_Options_Exhibits'!L510:L514)),AVERAGE('20250815_ETF_Options_Exhibits'!L510:L514),"")</f>
        <v/>
      </c>
      <c r="M514" s="3">
        <f>IF(ISNUMBER(AVERAGE('20250815_ETF_Options_Exhibits'!M510:M514)),AVERAGE('20250815_ETF_Options_Exhibits'!M510:M514),"")</f>
        <v/>
      </c>
      <c r="N514" s="3">
        <f>IF(ISNUMBER(AVERAGE('20250815_ETF_Options_Exhibits'!N510:N514)),AVERAGE('20250815_ETF_Options_Exhibits'!N510:N514),"")</f>
        <v/>
      </c>
      <c r="O514" s="3">
        <f>IF(ISNUMBER(AVERAGE('20250815_ETF_Options_Exhibits'!O510:O514)),AVERAGE('20250815_ETF_Options_Exhibits'!O510:O514),"")</f>
        <v/>
      </c>
      <c r="P514" s="3">
        <f>IF(ISNUMBER(AVERAGE('20250815_ETF_Options_Exhibits'!P510:P514)),AVERAGE('20250815_ETF_Options_Exhibits'!P510:P514),"")</f>
        <v/>
      </c>
      <c r="Q514" s="3">
        <f>IF(ISNUMBER(AVERAGE('20250815_ETF_Options_Exhibits'!Q510:Q514)),AVERAGE('20250815_ETF_Options_Exhibits'!Q510:Q514),"")</f>
        <v/>
      </c>
      <c r="R514" s="3">
        <f>IF(ISNUMBER(AVERAGE('20250815_ETF_Options_Exhibits'!R510:R514)),AVERAGE('20250815_ETF_Options_Exhibits'!R510:R514),"")</f>
        <v/>
      </c>
      <c r="S514" s="3">
        <f>IF(ISNUMBER(AVERAGE('20250815_ETF_Options_Exhibits'!S510:S514)),AVERAGE('20250815_ETF_Options_Exhibits'!S510:S514),"")</f>
        <v/>
      </c>
      <c r="T514" s="3">
        <f>IF(ISNUMBER(AVERAGE('20250815_ETF_Options_Exhibits'!T510:T514)),AVERAGE('20250815_ETF_Options_Exhibits'!T510:T514),"")</f>
        <v/>
      </c>
      <c r="U514" s="3">
        <f>IF(ISNUMBER(AVERAGE('20250815_ETF_Options_Exhibits'!U510:U514)),AVERAGE('20250815_ETF_Options_Exhibits'!U510:U514),"")</f>
        <v/>
      </c>
      <c r="V514" s="3">
        <f>IF(ISNUMBER(AVERAGE('20250815_ETF_Options_Exhibits'!V510:V514)),AVERAGE('20250815_ETF_Options_Exhibits'!V510:V514),"")</f>
        <v/>
      </c>
      <c r="W514" s="3">
        <f>IF(ISNUMBER(AVERAGE('20250815_ETF_Options_Exhibits'!W510:W514)),AVERAGE('20250815_ETF_Options_Exhibits'!W510:W514),"")</f>
        <v/>
      </c>
      <c r="X514" s="3">
        <f>IF(ISNUMBER(AVERAGE('20250815_ETF_Options_Exhibits'!X510:X514)),AVERAGE('20250815_ETF_Options_Exhibits'!X510:X514),"")</f>
        <v/>
      </c>
      <c r="Y514" s="3">
        <f>IF(ISNUMBER(AVERAGE('20250815_ETF_Options_Exhibits'!Y510:Y514)),AVERAGE('20250815_ETF_Options_Exhibits'!Y510:Y514),"")</f>
        <v/>
      </c>
      <c r="Z514" s="3">
        <f>IF(ISNUMBER(AVERAGE('20250815_ETF_Options_Exhibits'!Z510:Z514)),AVERAGE('20250815_ETF_Options_Exhibits'!Z510:Z514),"")</f>
        <v/>
      </c>
      <c r="AA514" s="3">
        <f>IF(ISNUMBER(AVERAGE('20250815_ETF_Options_Exhibits'!AA510:AA514)),AVERAGE('20250815_ETF_Options_Exhibits'!AA510:AA514),"")</f>
        <v/>
      </c>
    </row>
    <row r="515">
      <c r="A515" s="1" t="n">
        <v>42748</v>
      </c>
      <c r="B515" s="3">
        <f>IF(ISNUMBER(AVERAGE('20250815_ETF_Options_Exhibits'!B511:B515)),AVERAGE('20250815_ETF_Options_Exhibits'!B511:B515),"")</f>
        <v/>
      </c>
      <c r="C515" s="3">
        <f>IF(ISNUMBER(AVERAGE('20250815_ETF_Options_Exhibits'!C511:C515)),AVERAGE('20250815_ETF_Options_Exhibits'!C511:C515),"")</f>
        <v/>
      </c>
      <c r="D515" s="3">
        <f>IF(ISNUMBER(AVERAGE('20250815_ETF_Options_Exhibits'!D511:D515)),AVERAGE('20250815_ETF_Options_Exhibits'!D511:D515),"")</f>
        <v/>
      </c>
      <c r="E515" s="3">
        <f>IF(ISNUMBER(AVERAGE('20250815_ETF_Options_Exhibits'!E511:E515)),AVERAGE('20250815_ETF_Options_Exhibits'!E511:E515),"")</f>
        <v/>
      </c>
      <c r="F515" s="3">
        <f>IF(ISNUMBER(AVERAGE('20250815_ETF_Options_Exhibits'!F511:F515)),AVERAGE('20250815_ETF_Options_Exhibits'!F511:F515),"")</f>
        <v/>
      </c>
      <c r="G515" s="3">
        <f>IF(ISNUMBER(AVERAGE('20250815_ETF_Options_Exhibits'!G511:G515)),AVERAGE('20250815_ETF_Options_Exhibits'!G511:G515),"")</f>
        <v/>
      </c>
      <c r="H515" s="3">
        <f>IF(ISNUMBER(AVERAGE('20250815_ETF_Options_Exhibits'!H511:H515)),AVERAGE('20250815_ETF_Options_Exhibits'!H511:H515),"")</f>
        <v/>
      </c>
      <c r="I515" s="3">
        <f>IF(ISNUMBER(AVERAGE('20250815_ETF_Options_Exhibits'!I511:I515)),AVERAGE('20250815_ETF_Options_Exhibits'!I511:I515),"")</f>
        <v/>
      </c>
      <c r="J515" s="3">
        <f>IF(ISNUMBER(AVERAGE('20250815_ETF_Options_Exhibits'!J511:J515)),AVERAGE('20250815_ETF_Options_Exhibits'!J511:J515),"")</f>
        <v/>
      </c>
      <c r="K515" s="3">
        <f>IF(ISNUMBER(AVERAGE('20250815_ETF_Options_Exhibits'!K511:K515)),AVERAGE('20250815_ETF_Options_Exhibits'!K511:K515),"")</f>
        <v/>
      </c>
      <c r="L515" s="3">
        <f>IF(ISNUMBER(AVERAGE('20250815_ETF_Options_Exhibits'!L511:L515)),AVERAGE('20250815_ETF_Options_Exhibits'!L511:L515),"")</f>
        <v/>
      </c>
      <c r="M515" s="3">
        <f>IF(ISNUMBER(AVERAGE('20250815_ETF_Options_Exhibits'!M511:M515)),AVERAGE('20250815_ETF_Options_Exhibits'!M511:M515),"")</f>
        <v/>
      </c>
      <c r="N515" s="3">
        <f>IF(ISNUMBER(AVERAGE('20250815_ETF_Options_Exhibits'!N511:N515)),AVERAGE('20250815_ETF_Options_Exhibits'!N511:N515),"")</f>
        <v/>
      </c>
      <c r="O515" s="3">
        <f>IF(ISNUMBER(AVERAGE('20250815_ETF_Options_Exhibits'!O511:O515)),AVERAGE('20250815_ETF_Options_Exhibits'!O511:O515),"")</f>
        <v/>
      </c>
      <c r="P515" s="3">
        <f>IF(ISNUMBER(AVERAGE('20250815_ETF_Options_Exhibits'!P511:P515)),AVERAGE('20250815_ETF_Options_Exhibits'!P511:P515),"")</f>
        <v/>
      </c>
      <c r="Q515" s="3">
        <f>IF(ISNUMBER(AVERAGE('20250815_ETF_Options_Exhibits'!Q511:Q515)),AVERAGE('20250815_ETF_Options_Exhibits'!Q511:Q515),"")</f>
        <v/>
      </c>
      <c r="R515" s="3">
        <f>IF(ISNUMBER(AVERAGE('20250815_ETF_Options_Exhibits'!R511:R515)),AVERAGE('20250815_ETF_Options_Exhibits'!R511:R515),"")</f>
        <v/>
      </c>
      <c r="S515" s="3">
        <f>IF(ISNUMBER(AVERAGE('20250815_ETF_Options_Exhibits'!S511:S515)),AVERAGE('20250815_ETF_Options_Exhibits'!S511:S515),"")</f>
        <v/>
      </c>
      <c r="T515" s="3">
        <f>IF(ISNUMBER(AVERAGE('20250815_ETF_Options_Exhibits'!T511:T515)),AVERAGE('20250815_ETF_Options_Exhibits'!T511:T515),"")</f>
        <v/>
      </c>
      <c r="U515" s="3">
        <f>IF(ISNUMBER(AVERAGE('20250815_ETF_Options_Exhibits'!U511:U515)),AVERAGE('20250815_ETF_Options_Exhibits'!U511:U515),"")</f>
        <v/>
      </c>
      <c r="V515" s="3">
        <f>IF(ISNUMBER(AVERAGE('20250815_ETF_Options_Exhibits'!V511:V515)),AVERAGE('20250815_ETF_Options_Exhibits'!V511:V515),"")</f>
        <v/>
      </c>
      <c r="W515" s="3">
        <f>IF(ISNUMBER(AVERAGE('20250815_ETF_Options_Exhibits'!W511:W515)),AVERAGE('20250815_ETF_Options_Exhibits'!W511:W515),"")</f>
        <v/>
      </c>
      <c r="X515" s="3">
        <f>IF(ISNUMBER(AVERAGE('20250815_ETF_Options_Exhibits'!X511:X515)),AVERAGE('20250815_ETF_Options_Exhibits'!X511:X515),"")</f>
        <v/>
      </c>
      <c r="Y515" s="3">
        <f>IF(ISNUMBER(AVERAGE('20250815_ETF_Options_Exhibits'!Y511:Y515)),AVERAGE('20250815_ETF_Options_Exhibits'!Y511:Y515),"")</f>
        <v/>
      </c>
      <c r="Z515" s="3">
        <f>IF(ISNUMBER(AVERAGE('20250815_ETF_Options_Exhibits'!Z511:Z515)),AVERAGE('20250815_ETF_Options_Exhibits'!Z511:Z515),"")</f>
        <v/>
      </c>
      <c r="AA515" s="3">
        <f>IF(ISNUMBER(AVERAGE('20250815_ETF_Options_Exhibits'!AA511:AA515)),AVERAGE('20250815_ETF_Options_Exhibits'!AA511:AA515),"")</f>
        <v/>
      </c>
    </row>
    <row r="516">
      <c r="A516" s="1" t="n">
        <v>42752</v>
      </c>
      <c r="B516" s="3">
        <f>IF(ISNUMBER(AVERAGE('20250815_ETF_Options_Exhibits'!B512:B516)),AVERAGE('20250815_ETF_Options_Exhibits'!B512:B516),"")</f>
        <v/>
      </c>
      <c r="C516" s="3">
        <f>IF(ISNUMBER(AVERAGE('20250815_ETF_Options_Exhibits'!C512:C516)),AVERAGE('20250815_ETF_Options_Exhibits'!C512:C516),"")</f>
        <v/>
      </c>
      <c r="D516" s="3">
        <f>IF(ISNUMBER(AVERAGE('20250815_ETF_Options_Exhibits'!D512:D516)),AVERAGE('20250815_ETF_Options_Exhibits'!D512:D516),"")</f>
        <v/>
      </c>
      <c r="E516" s="3">
        <f>IF(ISNUMBER(AVERAGE('20250815_ETF_Options_Exhibits'!E512:E516)),AVERAGE('20250815_ETF_Options_Exhibits'!E512:E516),"")</f>
        <v/>
      </c>
      <c r="F516" s="3">
        <f>IF(ISNUMBER(AVERAGE('20250815_ETF_Options_Exhibits'!F512:F516)),AVERAGE('20250815_ETF_Options_Exhibits'!F512:F516),"")</f>
        <v/>
      </c>
      <c r="G516" s="3">
        <f>IF(ISNUMBER(AVERAGE('20250815_ETF_Options_Exhibits'!G512:G516)),AVERAGE('20250815_ETF_Options_Exhibits'!G512:G516),"")</f>
        <v/>
      </c>
      <c r="H516" s="3">
        <f>IF(ISNUMBER(AVERAGE('20250815_ETF_Options_Exhibits'!H512:H516)),AVERAGE('20250815_ETF_Options_Exhibits'!H512:H516),"")</f>
        <v/>
      </c>
      <c r="I516" s="3">
        <f>IF(ISNUMBER(AVERAGE('20250815_ETF_Options_Exhibits'!I512:I516)),AVERAGE('20250815_ETF_Options_Exhibits'!I512:I516),"")</f>
        <v/>
      </c>
      <c r="J516" s="3">
        <f>IF(ISNUMBER(AVERAGE('20250815_ETF_Options_Exhibits'!J512:J516)),AVERAGE('20250815_ETF_Options_Exhibits'!J512:J516),"")</f>
        <v/>
      </c>
      <c r="K516" s="3">
        <f>IF(ISNUMBER(AVERAGE('20250815_ETF_Options_Exhibits'!K512:K516)),AVERAGE('20250815_ETF_Options_Exhibits'!K512:K516),"")</f>
        <v/>
      </c>
      <c r="L516" s="3">
        <f>IF(ISNUMBER(AVERAGE('20250815_ETF_Options_Exhibits'!L512:L516)),AVERAGE('20250815_ETF_Options_Exhibits'!L512:L516),"")</f>
        <v/>
      </c>
      <c r="M516" s="3">
        <f>IF(ISNUMBER(AVERAGE('20250815_ETF_Options_Exhibits'!M512:M516)),AVERAGE('20250815_ETF_Options_Exhibits'!M512:M516),"")</f>
        <v/>
      </c>
      <c r="N516" s="3">
        <f>IF(ISNUMBER(AVERAGE('20250815_ETF_Options_Exhibits'!N512:N516)),AVERAGE('20250815_ETF_Options_Exhibits'!N512:N516),"")</f>
        <v/>
      </c>
      <c r="O516" s="3">
        <f>IF(ISNUMBER(AVERAGE('20250815_ETF_Options_Exhibits'!O512:O516)),AVERAGE('20250815_ETF_Options_Exhibits'!O512:O516),"")</f>
        <v/>
      </c>
      <c r="P516" s="3">
        <f>IF(ISNUMBER(AVERAGE('20250815_ETF_Options_Exhibits'!P512:P516)),AVERAGE('20250815_ETF_Options_Exhibits'!P512:P516),"")</f>
        <v/>
      </c>
      <c r="Q516" s="3">
        <f>IF(ISNUMBER(AVERAGE('20250815_ETF_Options_Exhibits'!Q512:Q516)),AVERAGE('20250815_ETF_Options_Exhibits'!Q512:Q516),"")</f>
        <v/>
      </c>
      <c r="R516" s="3">
        <f>IF(ISNUMBER(AVERAGE('20250815_ETF_Options_Exhibits'!R512:R516)),AVERAGE('20250815_ETF_Options_Exhibits'!R512:R516),"")</f>
        <v/>
      </c>
      <c r="S516" s="3">
        <f>IF(ISNUMBER(AVERAGE('20250815_ETF_Options_Exhibits'!S512:S516)),AVERAGE('20250815_ETF_Options_Exhibits'!S512:S516),"")</f>
        <v/>
      </c>
      <c r="T516" s="3">
        <f>IF(ISNUMBER(AVERAGE('20250815_ETF_Options_Exhibits'!T512:T516)),AVERAGE('20250815_ETF_Options_Exhibits'!T512:T516),"")</f>
        <v/>
      </c>
      <c r="U516" s="3">
        <f>IF(ISNUMBER(AVERAGE('20250815_ETF_Options_Exhibits'!U512:U516)),AVERAGE('20250815_ETF_Options_Exhibits'!U512:U516),"")</f>
        <v/>
      </c>
      <c r="V516" s="3">
        <f>IF(ISNUMBER(AVERAGE('20250815_ETF_Options_Exhibits'!V512:V516)),AVERAGE('20250815_ETF_Options_Exhibits'!V512:V516),"")</f>
        <v/>
      </c>
      <c r="W516" s="3">
        <f>IF(ISNUMBER(AVERAGE('20250815_ETF_Options_Exhibits'!W512:W516)),AVERAGE('20250815_ETF_Options_Exhibits'!W512:W516),"")</f>
        <v/>
      </c>
      <c r="X516" s="3">
        <f>IF(ISNUMBER(AVERAGE('20250815_ETF_Options_Exhibits'!X512:X516)),AVERAGE('20250815_ETF_Options_Exhibits'!X512:X516),"")</f>
        <v/>
      </c>
      <c r="Y516" s="3">
        <f>IF(ISNUMBER(AVERAGE('20250815_ETF_Options_Exhibits'!Y512:Y516)),AVERAGE('20250815_ETF_Options_Exhibits'!Y512:Y516),"")</f>
        <v/>
      </c>
      <c r="Z516" s="3">
        <f>IF(ISNUMBER(AVERAGE('20250815_ETF_Options_Exhibits'!Z512:Z516)),AVERAGE('20250815_ETF_Options_Exhibits'!Z512:Z516),"")</f>
        <v/>
      </c>
      <c r="AA516" s="3">
        <f>IF(ISNUMBER(AVERAGE('20250815_ETF_Options_Exhibits'!AA512:AA516)),AVERAGE('20250815_ETF_Options_Exhibits'!AA512:AA516),"")</f>
        <v/>
      </c>
    </row>
    <row r="517">
      <c r="A517" s="1" t="n">
        <v>42753</v>
      </c>
      <c r="B517" s="3">
        <f>IF(ISNUMBER(AVERAGE('20250815_ETF_Options_Exhibits'!B513:B517)),AVERAGE('20250815_ETF_Options_Exhibits'!B513:B517),"")</f>
        <v/>
      </c>
      <c r="C517" s="3">
        <f>IF(ISNUMBER(AVERAGE('20250815_ETF_Options_Exhibits'!C513:C517)),AVERAGE('20250815_ETF_Options_Exhibits'!C513:C517),"")</f>
        <v/>
      </c>
      <c r="D517" s="3">
        <f>IF(ISNUMBER(AVERAGE('20250815_ETF_Options_Exhibits'!D513:D517)),AVERAGE('20250815_ETF_Options_Exhibits'!D513:D517),"")</f>
        <v/>
      </c>
      <c r="E517" s="3">
        <f>IF(ISNUMBER(AVERAGE('20250815_ETF_Options_Exhibits'!E513:E517)),AVERAGE('20250815_ETF_Options_Exhibits'!E513:E517),"")</f>
        <v/>
      </c>
      <c r="F517" s="3">
        <f>IF(ISNUMBER(AVERAGE('20250815_ETF_Options_Exhibits'!F513:F517)),AVERAGE('20250815_ETF_Options_Exhibits'!F513:F517),"")</f>
        <v/>
      </c>
      <c r="G517" s="3">
        <f>IF(ISNUMBER(AVERAGE('20250815_ETF_Options_Exhibits'!G513:G517)),AVERAGE('20250815_ETF_Options_Exhibits'!G513:G517),"")</f>
        <v/>
      </c>
      <c r="H517" s="3">
        <f>IF(ISNUMBER(AVERAGE('20250815_ETF_Options_Exhibits'!H513:H517)),AVERAGE('20250815_ETF_Options_Exhibits'!H513:H517),"")</f>
        <v/>
      </c>
      <c r="I517" s="3">
        <f>IF(ISNUMBER(AVERAGE('20250815_ETF_Options_Exhibits'!I513:I517)),AVERAGE('20250815_ETF_Options_Exhibits'!I513:I517),"")</f>
        <v/>
      </c>
      <c r="J517" s="3">
        <f>IF(ISNUMBER(AVERAGE('20250815_ETF_Options_Exhibits'!J513:J517)),AVERAGE('20250815_ETF_Options_Exhibits'!J513:J517),"")</f>
        <v/>
      </c>
      <c r="K517" s="3">
        <f>IF(ISNUMBER(AVERAGE('20250815_ETF_Options_Exhibits'!K513:K517)),AVERAGE('20250815_ETF_Options_Exhibits'!K513:K517),"")</f>
        <v/>
      </c>
      <c r="L517" s="3">
        <f>IF(ISNUMBER(AVERAGE('20250815_ETF_Options_Exhibits'!L513:L517)),AVERAGE('20250815_ETF_Options_Exhibits'!L513:L517),"")</f>
        <v/>
      </c>
      <c r="M517" s="3">
        <f>IF(ISNUMBER(AVERAGE('20250815_ETF_Options_Exhibits'!M513:M517)),AVERAGE('20250815_ETF_Options_Exhibits'!M513:M517),"")</f>
        <v/>
      </c>
      <c r="N517" s="3">
        <f>IF(ISNUMBER(AVERAGE('20250815_ETF_Options_Exhibits'!N513:N517)),AVERAGE('20250815_ETF_Options_Exhibits'!N513:N517),"")</f>
        <v/>
      </c>
      <c r="O517" s="3">
        <f>IF(ISNUMBER(AVERAGE('20250815_ETF_Options_Exhibits'!O513:O517)),AVERAGE('20250815_ETF_Options_Exhibits'!O513:O517),"")</f>
        <v/>
      </c>
      <c r="P517" s="3">
        <f>IF(ISNUMBER(AVERAGE('20250815_ETF_Options_Exhibits'!P513:P517)),AVERAGE('20250815_ETF_Options_Exhibits'!P513:P517),"")</f>
        <v/>
      </c>
      <c r="Q517" s="3">
        <f>IF(ISNUMBER(AVERAGE('20250815_ETF_Options_Exhibits'!Q513:Q517)),AVERAGE('20250815_ETF_Options_Exhibits'!Q513:Q517),"")</f>
        <v/>
      </c>
      <c r="R517" s="3">
        <f>IF(ISNUMBER(AVERAGE('20250815_ETF_Options_Exhibits'!R513:R517)),AVERAGE('20250815_ETF_Options_Exhibits'!R513:R517),"")</f>
        <v/>
      </c>
      <c r="S517" s="3">
        <f>IF(ISNUMBER(AVERAGE('20250815_ETF_Options_Exhibits'!S513:S517)),AVERAGE('20250815_ETF_Options_Exhibits'!S513:S517),"")</f>
        <v/>
      </c>
      <c r="T517" s="3">
        <f>IF(ISNUMBER(AVERAGE('20250815_ETF_Options_Exhibits'!T513:T517)),AVERAGE('20250815_ETF_Options_Exhibits'!T513:T517),"")</f>
        <v/>
      </c>
      <c r="U517" s="3">
        <f>IF(ISNUMBER(AVERAGE('20250815_ETF_Options_Exhibits'!U513:U517)),AVERAGE('20250815_ETF_Options_Exhibits'!U513:U517),"")</f>
        <v/>
      </c>
      <c r="V517" s="3">
        <f>IF(ISNUMBER(AVERAGE('20250815_ETF_Options_Exhibits'!V513:V517)),AVERAGE('20250815_ETF_Options_Exhibits'!V513:V517),"")</f>
        <v/>
      </c>
      <c r="W517" s="3">
        <f>IF(ISNUMBER(AVERAGE('20250815_ETF_Options_Exhibits'!W513:W517)),AVERAGE('20250815_ETF_Options_Exhibits'!W513:W517),"")</f>
        <v/>
      </c>
      <c r="X517" s="3">
        <f>IF(ISNUMBER(AVERAGE('20250815_ETF_Options_Exhibits'!X513:X517)),AVERAGE('20250815_ETF_Options_Exhibits'!X513:X517),"")</f>
        <v/>
      </c>
      <c r="Y517" s="3">
        <f>IF(ISNUMBER(AVERAGE('20250815_ETF_Options_Exhibits'!Y513:Y517)),AVERAGE('20250815_ETF_Options_Exhibits'!Y513:Y517),"")</f>
        <v/>
      </c>
      <c r="Z517" s="3">
        <f>IF(ISNUMBER(AVERAGE('20250815_ETF_Options_Exhibits'!Z513:Z517)),AVERAGE('20250815_ETF_Options_Exhibits'!Z513:Z517),"")</f>
        <v/>
      </c>
      <c r="AA517" s="3">
        <f>IF(ISNUMBER(AVERAGE('20250815_ETF_Options_Exhibits'!AA513:AA517)),AVERAGE('20250815_ETF_Options_Exhibits'!AA513:AA517),"")</f>
        <v/>
      </c>
    </row>
    <row r="518">
      <c r="A518" s="1" t="n">
        <v>42754</v>
      </c>
      <c r="B518" s="3">
        <f>IF(ISNUMBER(AVERAGE('20250815_ETF_Options_Exhibits'!B514:B518)),AVERAGE('20250815_ETF_Options_Exhibits'!B514:B518),"")</f>
        <v/>
      </c>
      <c r="C518" s="3">
        <f>IF(ISNUMBER(AVERAGE('20250815_ETF_Options_Exhibits'!C514:C518)),AVERAGE('20250815_ETF_Options_Exhibits'!C514:C518),"")</f>
        <v/>
      </c>
      <c r="D518" s="3">
        <f>IF(ISNUMBER(AVERAGE('20250815_ETF_Options_Exhibits'!D514:D518)),AVERAGE('20250815_ETF_Options_Exhibits'!D514:D518),"")</f>
        <v/>
      </c>
      <c r="E518" s="3">
        <f>IF(ISNUMBER(AVERAGE('20250815_ETF_Options_Exhibits'!E514:E518)),AVERAGE('20250815_ETF_Options_Exhibits'!E514:E518),"")</f>
        <v/>
      </c>
      <c r="F518" s="3">
        <f>IF(ISNUMBER(AVERAGE('20250815_ETF_Options_Exhibits'!F514:F518)),AVERAGE('20250815_ETF_Options_Exhibits'!F514:F518),"")</f>
        <v/>
      </c>
      <c r="G518" s="3">
        <f>IF(ISNUMBER(AVERAGE('20250815_ETF_Options_Exhibits'!G514:G518)),AVERAGE('20250815_ETF_Options_Exhibits'!G514:G518),"")</f>
        <v/>
      </c>
      <c r="H518" s="3">
        <f>IF(ISNUMBER(AVERAGE('20250815_ETF_Options_Exhibits'!H514:H518)),AVERAGE('20250815_ETF_Options_Exhibits'!H514:H518),"")</f>
        <v/>
      </c>
      <c r="I518" s="3">
        <f>IF(ISNUMBER(AVERAGE('20250815_ETF_Options_Exhibits'!I514:I518)),AVERAGE('20250815_ETF_Options_Exhibits'!I514:I518),"")</f>
        <v/>
      </c>
      <c r="J518" s="3">
        <f>IF(ISNUMBER(AVERAGE('20250815_ETF_Options_Exhibits'!J514:J518)),AVERAGE('20250815_ETF_Options_Exhibits'!J514:J518),"")</f>
        <v/>
      </c>
      <c r="K518" s="3">
        <f>IF(ISNUMBER(AVERAGE('20250815_ETF_Options_Exhibits'!K514:K518)),AVERAGE('20250815_ETF_Options_Exhibits'!K514:K518),"")</f>
        <v/>
      </c>
      <c r="L518" s="3">
        <f>IF(ISNUMBER(AVERAGE('20250815_ETF_Options_Exhibits'!L514:L518)),AVERAGE('20250815_ETF_Options_Exhibits'!L514:L518),"")</f>
        <v/>
      </c>
      <c r="M518" s="3">
        <f>IF(ISNUMBER(AVERAGE('20250815_ETF_Options_Exhibits'!M514:M518)),AVERAGE('20250815_ETF_Options_Exhibits'!M514:M518),"")</f>
        <v/>
      </c>
      <c r="N518" s="3">
        <f>IF(ISNUMBER(AVERAGE('20250815_ETF_Options_Exhibits'!N514:N518)),AVERAGE('20250815_ETF_Options_Exhibits'!N514:N518),"")</f>
        <v/>
      </c>
      <c r="O518" s="3">
        <f>IF(ISNUMBER(AVERAGE('20250815_ETF_Options_Exhibits'!O514:O518)),AVERAGE('20250815_ETF_Options_Exhibits'!O514:O518),"")</f>
        <v/>
      </c>
      <c r="P518" s="3">
        <f>IF(ISNUMBER(AVERAGE('20250815_ETF_Options_Exhibits'!P514:P518)),AVERAGE('20250815_ETF_Options_Exhibits'!P514:P518),"")</f>
        <v/>
      </c>
      <c r="Q518" s="3">
        <f>IF(ISNUMBER(AVERAGE('20250815_ETF_Options_Exhibits'!Q514:Q518)),AVERAGE('20250815_ETF_Options_Exhibits'!Q514:Q518),"")</f>
        <v/>
      </c>
      <c r="R518" s="3">
        <f>IF(ISNUMBER(AVERAGE('20250815_ETF_Options_Exhibits'!R514:R518)),AVERAGE('20250815_ETF_Options_Exhibits'!R514:R518),"")</f>
        <v/>
      </c>
      <c r="S518" s="3">
        <f>IF(ISNUMBER(AVERAGE('20250815_ETF_Options_Exhibits'!S514:S518)),AVERAGE('20250815_ETF_Options_Exhibits'!S514:S518),"")</f>
        <v/>
      </c>
      <c r="T518" s="3">
        <f>IF(ISNUMBER(AVERAGE('20250815_ETF_Options_Exhibits'!T514:T518)),AVERAGE('20250815_ETF_Options_Exhibits'!T514:T518),"")</f>
        <v/>
      </c>
      <c r="U518" s="3">
        <f>IF(ISNUMBER(AVERAGE('20250815_ETF_Options_Exhibits'!U514:U518)),AVERAGE('20250815_ETF_Options_Exhibits'!U514:U518),"")</f>
        <v/>
      </c>
      <c r="V518" s="3">
        <f>IF(ISNUMBER(AVERAGE('20250815_ETF_Options_Exhibits'!V514:V518)),AVERAGE('20250815_ETF_Options_Exhibits'!V514:V518),"")</f>
        <v/>
      </c>
      <c r="W518" s="3">
        <f>IF(ISNUMBER(AVERAGE('20250815_ETF_Options_Exhibits'!W514:W518)),AVERAGE('20250815_ETF_Options_Exhibits'!W514:W518),"")</f>
        <v/>
      </c>
      <c r="X518" s="3">
        <f>IF(ISNUMBER(AVERAGE('20250815_ETF_Options_Exhibits'!X514:X518)),AVERAGE('20250815_ETF_Options_Exhibits'!X514:X518),"")</f>
        <v/>
      </c>
      <c r="Y518" s="3">
        <f>IF(ISNUMBER(AVERAGE('20250815_ETF_Options_Exhibits'!Y514:Y518)),AVERAGE('20250815_ETF_Options_Exhibits'!Y514:Y518),"")</f>
        <v/>
      </c>
      <c r="Z518" s="3">
        <f>IF(ISNUMBER(AVERAGE('20250815_ETF_Options_Exhibits'!Z514:Z518)),AVERAGE('20250815_ETF_Options_Exhibits'!Z514:Z518),"")</f>
        <v/>
      </c>
      <c r="AA518" s="3">
        <f>IF(ISNUMBER(AVERAGE('20250815_ETF_Options_Exhibits'!AA514:AA518)),AVERAGE('20250815_ETF_Options_Exhibits'!AA514:AA518),"")</f>
        <v/>
      </c>
    </row>
    <row r="519">
      <c r="A519" s="1" t="n">
        <v>42755</v>
      </c>
      <c r="B519" s="3">
        <f>IF(ISNUMBER(AVERAGE('20250815_ETF_Options_Exhibits'!B515:B519)),AVERAGE('20250815_ETF_Options_Exhibits'!B515:B519),"")</f>
        <v/>
      </c>
      <c r="C519" s="3">
        <f>IF(ISNUMBER(AVERAGE('20250815_ETF_Options_Exhibits'!C515:C519)),AVERAGE('20250815_ETF_Options_Exhibits'!C515:C519),"")</f>
        <v/>
      </c>
      <c r="D519" s="3">
        <f>IF(ISNUMBER(AVERAGE('20250815_ETF_Options_Exhibits'!D515:D519)),AVERAGE('20250815_ETF_Options_Exhibits'!D515:D519),"")</f>
        <v/>
      </c>
      <c r="E519" s="3">
        <f>IF(ISNUMBER(AVERAGE('20250815_ETF_Options_Exhibits'!E515:E519)),AVERAGE('20250815_ETF_Options_Exhibits'!E515:E519),"")</f>
        <v/>
      </c>
      <c r="F519" s="3">
        <f>IF(ISNUMBER(AVERAGE('20250815_ETF_Options_Exhibits'!F515:F519)),AVERAGE('20250815_ETF_Options_Exhibits'!F515:F519),"")</f>
        <v/>
      </c>
      <c r="G519" s="3">
        <f>IF(ISNUMBER(AVERAGE('20250815_ETF_Options_Exhibits'!G515:G519)),AVERAGE('20250815_ETF_Options_Exhibits'!G515:G519),"")</f>
        <v/>
      </c>
      <c r="H519" s="3">
        <f>IF(ISNUMBER(AVERAGE('20250815_ETF_Options_Exhibits'!H515:H519)),AVERAGE('20250815_ETF_Options_Exhibits'!H515:H519),"")</f>
        <v/>
      </c>
      <c r="I519" s="3">
        <f>IF(ISNUMBER(AVERAGE('20250815_ETF_Options_Exhibits'!I515:I519)),AVERAGE('20250815_ETF_Options_Exhibits'!I515:I519),"")</f>
        <v/>
      </c>
      <c r="J519" s="3">
        <f>IF(ISNUMBER(AVERAGE('20250815_ETF_Options_Exhibits'!J515:J519)),AVERAGE('20250815_ETF_Options_Exhibits'!J515:J519),"")</f>
        <v/>
      </c>
      <c r="K519" s="3">
        <f>IF(ISNUMBER(AVERAGE('20250815_ETF_Options_Exhibits'!K515:K519)),AVERAGE('20250815_ETF_Options_Exhibits'!K515:K519),"")</f>
        <v/>
      </c>
      <c r="L519" s="3">
        <f>IF(ISNUMBER(AVERAGE('20250815_ETF_Options_Exhibits'!L515:L519)),AVERAGE('20250815_ETF_Options_Exhibits'!L515:L519),"")</f>
        <v/>
      </c>
      <c r="M519" s="3">
        <f>IF(ISNUMBER(AVERAGE('20250815_ETF_Options_Exhibits'!M515:M519)),AVERAGE('20250815_ETF_Options_Exhibits'!M515:M519),"")</f>
        <v/>
      </c>
      <c r="N519" s="3">
        <f>IF(ISNUMBER(AVERAGE('20250815_ETF_Options_Exhibits'!N515:N519)),AVERAGE('20250815_ETF_Options_Exhibits'!N515:N519),"")</f>
        <v/>
      </c>
      <c r="O519" s="3">
        <f>IF(ISNUMBER(AVERAGE('20250815_ETF_Options_Exhibits'!O515:O519)),AVERAGE('20250815_ETF_Options_Exhibits'!O515:O519),"")</f>
        <v/>
      </c>
      <c r="P519" s="3">
        <f>IF(ISNUMBER(AVERAGE('20250815_ETF_Options_Exhibits'!P515:P519)),AVERAGE('20250815_ETF_Options_Exhibits'!P515:P519),"")</f>
        <v/>
      </c>
      <c r="Q519" s="3">
        <f>IF(ISNUMBER(AVERAGE('20250815_ETF_Options_Exhibits'!Q515:Q519)),AVERAGE('20250815_ETF_Options_Exhibits'!Q515:Q519),"")</f>
        <v/>
      </c>
      <c r="R519" s="3">
        <f>IF(ISNUMBER(AVERAGE('20250815_ETF_Options_Exhibits'!R515:R519)),AVERAGE('20250815_ETF_Options_Exhibits'!R515:R519),"")</f>
        <v/>
      </c>
      <c r="S519" s="3">
        <f>IF(ISNUMBER(AVERAGE('20250815_ETF_Options_Exhibits'!S515:S519)),AVERAGE('20250815_ETF_Options_Exhibits'!S515:S519),"")</f>
        <v/>
      </c>
      <c r="T519" s="3">
        <f>IF(ISNUMBER(AVERAGE('20250815_ETF_Options_Exhibits'!T515:T519)),AVERAGE('20250815_ETF_Options_Exhibits'!T515:T519),"")</f>
        <v/>
      </c>
      <c r="U519" s="3">
        <f>IF(ISNUMBER(AVERAGE('20250815_ETF_Options_Exhibits'!U515:U519)),AVERAGE('20250815_ETF_Options_Exhibits'!U515:U519),"")</f>
        <v/>
      </c>
      <c r="V519" s="3">
        <f>IF(ISNUMBER(AVERAGE('20250815_ETF_Options_Exhibits'!V515:V519)),AVERAGE('20250815_ETF_Options_Exhibits'!V515:V519),"")</f>
        <v/>
      </c>
      <c r="W519" s="3">
        <f>IF(ISNUMBER(AVERAGE('20250815_ETF_Options_Exhibits'!W515:W519)),AVERAGE('20250815_ETF_Options_Exhibits'!W515:W519),"")</f>
        <v/>
      </c>
      <c r="X519" s="3">
        <f>IF(ISNUMBER(AVERAGE('20250815_ETF_Options_Exhibits'!X515:X519)),AVERAGE('20250815_ETF_Options_Exhibits'!X515:X519),"")</f>
        <v/>
      </c>
      <c r="Y519" s="3">
        <f>IF(ISNUMBER(AVERAGE('20250815_ETF_Options_Exhibits'!Y515:Y519)),AVERAGE('20250815_ETF_Options_Exhibits'!Y515:Y519),"")</f>
        <v/>
      </c>
      <c r="Z519" s="3">
        <f>IF(ISNUMBER(AVERAGE('20250815_ETF_Options_Exhibits'!Z515:Z519)),AVERAGE('20250815_ETF_Options_Exhibits'!Z515:Z519),"")</f>
        <v/>
      </c>
      <c r="AA519" s="3">
        <f>IF(ISNUMBER(AVERAGE('20250815_ETF_Options_Exhibits'!AA515:AA519)),AVERAGE('20250815_ETF_Options_Exhibits'!AA515:AA519),"")</f>
        <v/>
      </c>
    </row>
    <row r="520">
      <c r="A520" s="1" t="n">
        <v>42758</v>
      </c>
      <c r="B520" s="3">
        <f>IF(ISNUMBER(AVERAGE('20250815_ETF_Options_Exhibits'!B516:B520)),AVERAGE('20250815_ETF_Options_Exhibits'!B516:B520),"")</f>
        <v/>
      </c>
      <c r="C520" s="3">
        <f>IF(ISNUMBER(AVERAGE('20250815_ETF_Options_Exhibits'!C516:C520)),AVERAGE('20250815_ETF_Options_Exhibits'!C516:C520),"")</f>
        <v/>
      </c>
      <c r="D520" s="3">
        <f>IF(ISNUMBER(AVERAGE('20250815_ETF_Options_Exhibits'!D516:D520)),AVERAGE('20250815_ETF_Options_Exhibits'!D516:D520),"")</f>
        <v/>
      </c>
      <c r="E520" s="3">
        <f>IF(ISNUMBER(AVERAGE('20250815_ETF_Options_Exhibits'!E516:E520)),AVERAGE('20250815_ETF_Options_Exhibits'!E516:E520),"")</f>
        <v/>
      </c>
      <c r="F520" s="3">
        <f>IF(ISNUMBER(AVERAGE('20250815_ETF_Options_Exhibits'!F516:F520)),AVERAGE('20250815_ETF_Options_Exhibits'!F516:F520),"")</f>
        <v/>
      </c>
      <c r="G520" s="3">
        <f>IF(ISNUMBER(AVERAGE('20250815_ETF_Options_Exhibits'!G516:G520)),AVERAGE('20250815_ETF_Options_Exhibits'!G516:G520),"")</f>
        <v/>
      </c>
      <c r="H520" s="3">
        <f>IF(ISNUMBER(AVERAGE('20250815_ETF_Options_Exhibits'!H516:H520)),AVERAGE('20250815_ETF_Options_Exhibits'!H516:H520),"")</f>
        <v/>
      </c>
      <c r="I520" s="3">
        <f>IF(ISNUMBER(AVERAGE('20250815_ETF_Options_Exhibits'!I516:I520)),AVERAGE('20250815_ETF_Options_Exhibits'!I516:I520),"")</f>
        <v/>
      </c>
      <c r="J520" s="3">
        <f>IF(ISNUMBER(AVERAGE('20250815_ETF_Options_Exhibits'!J516:J520)),AVERAGE('20250815_ETF_Options_Exhibits'!J516:J520),"")</f>
        <v/>
      </c>
      <c r="K520" s="3">
        <f>IF(ISNUMBER(AVERAGE('20250815_ETF_Options_Exhibits'!K516:K520)),AVERAGE('20250815_ETF_Options_Exhibits'!K516:K520),"")</f>
        <v/>
      </c>
      <c r="L520" s="3">
        <f>IF(ISNUMBER(AVERAGE('20250815_ETF_Options_Exhibits'!L516:L520)),AVERAGE('20250815_ETF_Options_Exhibits'!L516:L520),"")</f>
        <v/>
      </c>
      <c r="M520" s="3">
        <f>IF(ISNUMBER(AVERAGE('20250815_ETF_Options_Exhibits'!M516:M520)),AVERAGE('20250815_ETF_Options_Exhibits'!M516:M520),"")</f>
        <v/>
      </c>
      <c r="N520" s="3">
        <f>IF(ISNUMBER(AVERAGE('20250815_ETF_Options_Exhibits'!N516:N520)),AVERAGE('20250815_ETF_Options_Exhibits'!N516:N520),"")</f>
        <v/>
      </c>
      <c r="O520" s="3">
        <f>IF(ISNUMBER(AVERAGE('20250815_ETF_Options_Exhibits'!O516:O520)),AVERAGE('20250815_ETF_Options_Exhibits'!O516:O520),"")</f>
        <v/>
      </c>
      <c r="P520" s="3">
        <f>IF(ISNUMBER(AVERAGE('20250815_ETF_Options_Exhibits'!P516:P520)),AVERAGE('20250815_ETF_Options_Exhibits'!P516:P520),"")</f>
        <v/>
      </c>
      <c r="Q520" s="3">
        <f>IF(ISNUMBER(AVERAGE('20250815_ETF_Options_Exhibits'!Q516:Q520)),AVERAGE('20250815_ETF_Options_Exhibits'!Q516:Q520),"")</f>
        <v/>
      </c>
      <c r="R520" s="3">
        <f>IF(ISNUMBER(AVERAGE('20250815_ETF_Options_Exhibits'!R516:R520)),AVERAGE('20250815_ETF_Options_Exhibits'!R516:R520),"")</f>
        <v/>
      </c>
      <c r="S520" s="3">
        <f>IF(ISNUMBER(AVERAGE('20250815_ETF_Options_Exhibits'!S516:S520)),AVERAGE('20250815_ETF_Options_Exhibits'!S516:S520),"")</f>
        <v/>
      </c>
      <c r="T520" s="3">
        <f>IF(ISNUMBER(AVERAGE('20250815_ETF_Options_Exhibits'!T516:T520)),AVERAGE('20250815_ETF_Options_Exhibits'!T516:T520),"")</f>
        <v/>
      </c>
      <c r="U520" s="3">
        <f>IF(ISNUMBER(AVERAGE('20250815_ETF_Options_Exhibits'!U516:U520)),AVERAGE('20250815_ETF_Options_Exhibits'!U516:U520),"")</f>
        <v/>
      </c>
      <c r="V520" s="3">
        <f>IF(ISNUMBER(AVERAGE('20250815_ETF_Options_Exhibits'!V516:V520)),AVERAGE('20250815_ETF_Options_Exhibits'!V516:V520),"")</f>
        <v/>
      </c>
      <c r="W520" s="3">
        <f>IF(ISNUMBER(AVERAGE('20250815_ETF_Options_Exhibits'!W516:W520)),AVERAGE('20250815_ETF_Options_Exhibits'!W516:W520),"")</f>
        <v/>
      </c>
      <c r="X520" s="3">
        <f>IF(ISNUMBER(AVERAGE('20250815_ETF_Options_Exhibits'!X516:X520)),AVERAGE('20250815_ETF_Options_Exhibits'!X516:X520),"")</f>
        <v/>
      </c>
      <c r="Y520" s="3">
        <f>IF(ISNUMBER(AVERAGE('20250815_ETF_Options_Exhibits'!Y516:Y520)),AVERAGE('20250815_ETF_Options_Exhibits'!Y516:Y520),"")</f>
        <v/>
      </c>
      <c r="Z520" s="3">
        <f>IF(ISNUMBER(AVERAGE('20250815_ETF_Options_Exhibits'!Z516:Z520)),AVERAGE('20250815_ETF_Options_Exhibits'!Z516:Z520),"")</f>
        <v/>
      </c>
      <c r="AA520" s="3">
        <f>IF(ISNUMBER(AVERAGE('20250815_ETF_Options_Exhibits'!AA516:AA520)),AVERAGE('20250815_ETF_Options_Exhibits'!AA516:AA520),"")</f>
        <v/>
      </c>
    </row>
    <row r="521">
      <c r="A521" s="1" t="n">
        <v>42759</v>
      </c>
      <c r="B521" s="3">
        <f>IF(ISNUMBER(AVERAGE('20250815_ETF_Options_Exhibits'!B517:B521)),AVERAGE('20250815_ETF_Options_Exhibits'!B517:B521),"")</f>
        <v/>
      </c>
      <c r="C521" s="3">
        <f>IF(ISNUMBER(AVERAGE('20250815_ETF_Options_Exhibits'!C517:C521)),AVERAGE('20250815_ETF_Options_Exhibits'!C517:C521),"")</f>
        <v/>
      </c>
      <c r="D521" s="3">
        <f>IF(ISNUMBER(AVERAGE('20250815_ETF_Options_Exhibits'!D517:D521)),AVERAGE('20250815_ETF_Options_Exhibits'!D517:D521),"")</f>
        <v/>
      </c>
      <c r="E521" s="3">
        <f>IF(ISNUMBER(AVERAGE('20250815_ETF_Options_Exhibits'!E517:E521)),AVERAGE('20250815_ETF_Options_Exhibits'!E517:E521),"")</f>
        <v/>
      </c>
      <c r="F521" s="3">
        <f>IF(ISNUMBER(AVERAGE('20250815_ETF_Options_Exhibits'!F517:F521)),AVERAGE('20250815_ETF_Options_Exhibits'!F517:F521),"")</f>
        <v/>
      </c>
      <c r="G521" s="3">
        <f>IF(ISNUMBER(AVERAGE('20250815_ETF_Options_Exhibits'!G517:G521)),AVERAGE('20250815_ETF_Options_Exhibits'!G517:G521),"")</f>
        <v/>
      </c>
      <c r="H521" s="3">
        <f>IF(ISNUMBER(AVERAGE('20250815_ETF_Options_Exhibits'!H517:H521)),AVERAGE('20250815_ETF_Options_Exhibits'!H517:H521),"")</f>
        <v/>
      </c>
      <c r="I521" s="3">
        <f>IF(ISNUMBER(AVERAGE('20250815_ETF_Options_Exhibits'!I517:I521)),AVERAGE('20250815_ETF_Options_Exhibits'!I517:I521),"")</f>
        <v/>
      </c>
      <c r="J521" s="3">
        <f>IF(ISNUMBER(AVERAGE('20250815_ETF_Options_Exhibits'!J517:J521)),AVERAGE('20250815_ETF_Options_Exhibits'!J517:J521),"")</f>
        <v/>
      </c>
      <c r="K521" s="3">
        <f>IF(ISNUMBER(AVERAGE('20250815_ETF_Options_Exhibits'!K517:K521)),AVERAGE('20250815_ETF_Options_Exhibits'!K517:K521),"")</f>
        <v/>
      </c>
      <c r="L521" s="3">
        <f>IF(ISNUMBER(AVERAGE('20250815_ETF_Options_Exhibits'!L517:L521)),AVERAGE('20250815_ETF_Options_Exhibits'!L517:L521),"")</f>
        <v/>
      </c>
      <c r="M521" s="3">
        <f>IF(ISNUMBER(AVERAGE('20250815_ETF_Options_Exhibits'!M517:M521)),AVERAGE('20250815_ETF_Options_Exhibits'!M517:M521),"")</f>
        <v/>
      </c>
      <c r="N521" s="3">
        <f>IF(ISNUMBER(AVERAGE('20250815_ETF_Options_Exhibits'!N517:N521)),AVERAGE('20250815_ETF_Options_Exhibits'!N517:N521),"")</f>
        <v/>
      </c>
      <c r="O521" s="3">
        <f>IF(ISNUMBER(AVERAGE('20250815_ETF_Options_Exhibits'!O517:O521)),AVERAGE('20250815_ETF_Options_Exhibits'!O517:O521),"")</f>
        <v/>
      </c>
      <c r="P521" s="3">
        <f>IF(ISNUMBER(AVERAGE('20250815_ETF_Options_Exhibits'!P517:P521)),AVERAGE('20250815_ETF_Options_Exhibits'!P517:P521),"")</f>
        <v/>
      </c>
      <c r="Q521" s="3">
        <f>IF(ISNUMBER(AVERAGE('20250815_ETF_Options_Exhibits'!Q517:Q521)),AVERAGE('20250815_ETF_Options_Exhibits'!Q517:Q521),"")</f>
        <v/>
      </c>
      <c r="R521" s="3">
        <f>IF(ISNUMBER(AVERAGE('20250815_ETF_Options_Exhibits'!R517:R521)),AVERAGE('20250815_ETF_Options_Exhibits'!R517:R521),"")</f>
        <v/>
      </c>
      <c r="S521" s="3">
        <f>IF(ISNUMBER(AVERAGE('20250815_ETF_Options_Exhibits'!S517:S521)),AVERAGE('20250815_ETF_Options_Exhibits'!S517:S521),"")</f>
        <v/>
      </c>
      <c r="T521" s="3">
        <f>IF(ISNUMBER(AVERAGE('20250815_ETF_Options_Exhibits'!T517:T521)),AVERAGE('20250815_ETF_Options_Exhibits'!T517:T521),"")</f>
        <v/>
      </c>
      <c r="U521" s="3">
        <f>IF(ISNUMBER(AVERAGE('20250815_ETF_Options_Exhibits'!U517:U521)),AVERAGE('20250815_ETF_Options_Exhibits'!U517:U521),"")</f>
        <v/>
      </c>
      <c r="V521" s="3">
        <f>IF(ISNUMBER(AVERAGE('20250815_ETF_Options_Exhibits'!V517:V521)),AVERAGE('20250815_ETF_Options_Exhibits'!V517:V521),"")</f>
        <v/>
      </c>
      <c r="W521" s="3">
        <f>IF(ISNUMBER(AVERAGE('20250815_ETF_Options_Exhibits'!W517:W521)),AVERAGE('20250815_ETF_Options_Exhibits'!W517:W521),"")</f>
        <v/>
      </c>
      <c r="X521" s="3">
        <f>IF(ISNUMBER(AVERAGE('20250815_ETF_Options_Exhibits'!X517:X521)),AVERAGE('20250815_ETF_Options_Exhibits'!X517:X521),"")</f>
        <v/>
      </c>
      <c r="Y521" s="3">
        <f>IF(ISNUMBER(AVERAGE('20250815_ETF_Options_Exhibits'!Y517:Y521)),AVERAGE('20250815_ETF_Options_Exhibits'!Y517:Y521),"")</f>
        <v/>
      </c>
      <c r="Z521" s="3">
        <f>IF(ISNUMBER(AVERAGE('20250815_ETF_Options_Exhibits'!Z517:Z521)),AVERAGE('20250815_ETF_Options_Exhibits'!Z517:Z521),"")</f>
        <v/>
      </c>
      <c r="AA521" s="3">
        <f>IF(ISNUMBER(AVERAGE('20250815_ETF_Options_Exhibits'!AA517:AA521)),AVERAGE('20250815_ETF_Options_Exhibits'!AA517:AA521),"")</f>
        <v/>
      </c>
    </row>
    <row r="522">
      <c r="A522" s="1" t="n">
        <v>42760</v>
      </c>
      <c r="B522" s="3">
        <f>IF(ISNUMBER(AVERAGE('20250815_ETF_Options_Exhibits'!B518:B522)),AVERAGE('20250815_ETF_Options_Exhibits'!B518:B522),"")</f>
        <v/>
      </c>
      <c r="C522" s="3">
        <f>IF(ISNUMBER(AVERAGE('20250815_ETF_Options_Exhibits'!C518:C522)),AVERAGE('20250815_ETF_Options_Exhibits'!C518:C522),"")</f>
        <v/>
      </c>
      <c r="D522" s="3">
        <f>IF(ISNUMBER(AVERAGE('20250815_ETF_Options_Exhibits'!D518:D522)),AVERAGE('20250815_ETF_Options_Exhibits'!D518:D522),"")</f>
        <v/>
      </c>
      <c r="E522" s="3">
        <f>IF(ISNUMBER(AVERAGE('20250815_ETF_Options_Exhibits'!E518:E522)),AVERAGE('20250815_ETF_Options_Exhibits'!E518:E522),"")</f>
        <v/>
      </c>
      <c r="F522" s="3">
        <f>IF(ISNUMBER(AVERAGE('20250815_ETF_Options_Exhibits'!F518:F522)),AVERAGE('20250815_ETF_Options_Exhibits'!F518:F522),"")</f>
        <v/>
      </c>
      <c r="G522" s="3">
        <f>IF(ISNUMBER(AVERAGE('20250815_ETF_Options_Exhibits'!G518:G522)),AVERAGE('20250815_ETF_Options_Exhibits'!G518:G522),"")</f>
        <v/>
      </c>
      <c r="H522" s="3">
        <f>IF(ISNUMBER(AVERAGE('20250815_ETF_Options_Exhibits'!H518:H522)),AVERAGE('20250815_ETF_Options_Exhibits'!H518:H522),"")</f>
        <v/>
      </c>
      <c r="I522" s="3">
        <f>IF(ISNUMBER(AVERAGE('20250815_ETF_Options_Exhibits'!I518:I522)),AVERAGE('20250815_ETF_Options_Exhibits'!I518:I522),"")</f>
        <v/>
      </c>
      <c r="J522" s="3">
        <f>IF(ISNUMBER(AVERAGE('20250815_ETF_Options_Exhibits'!J518:J522)),AVERAGE('20250815_ETF_Options_Exhibits'!J518:J522),"")</f>
        <v/>
      </c>
      <c r="K522" s="3">
        <f>IF(ISNUMBER(AVERAGE('20250815_ETF_Options_Exhibits'!K518:K522)),AVERAGE('20250815_ETF_Options_Exhibits'!K518:K522),"")</f>
        <v/>
      </c>
      <c r="L522" s="3">
        <f>IF(ISNUMBER(AVERAGE('20250815_ETF_Options_Exhibits'!L518:L522)),AVERAGE('20250815_ETF_Options_Exhibits'!L518:L522),"")</f>
        <v/>
      </c>
      <c r="M522" s="3">
        <f>IF(ISNUMBER(AVERAGE('20250815_ETF_Options_Exhibits'!M518:M522)),AVERAGE('20250815_ETF_Options_Exhibits'!M518:M522),"")</f>
        <v/>
      </c>
      <c r="N522" s="3">
        <f>IF(ISNUMBER(AVERAGE('20250815_ETF_Options_Exhibits'!N518:N522)),AVERAGE('20250815_ETF_Options_Exhibits'!N518:N522),"")</f>
        <v/>
      </c>
      <c r="O522" s="3">
        <f>IF(ISNUMBER(AVERAGE('20250815_ETF_Options_Exhibits'!O518:O522)),AVERAGE('20250815_ETF_Options_Exhibits'!O518:O522),"")</f>
        <v/>
      </c>
      <c r="P522" s="3">
        <f>IF(ISNUMBER(AVERAGE('20250815_ETF_Options_Exhibits'!P518:P522)),AVERAGE('20250815_ETF_Options_Exhibits'!P518:P522),"")</f>
        <v/>
      </c>
      <c r="Q522" s="3">
        <f>IF(ISNUMBER(AVERAGE('20250815_ETF_Options_Exhibits'!Q518:Q522)),AVERAGE('20250815_ETF_Options_Exhibits'!Q518:Q522),"")</f>
        <v/>
      </c>
      <c r="R522" s="3">
        <f>IF(ISNUMBER(AVERAGE('20250815_ETF_Options_Exhibits'!R518:R522)),AVERAGE('20250815_ETF_Options_Exhibits'!R518:R522),"")</f>
        <v/>
      </c>
      <c r="S522" s="3">
        <f>IF(ISNUMBER(AVERAGE('20250815_ETF_Options_Exhibits'!S518:S522)),AVERAGE('20250815_ETF_Options_Exhibits'!S518:S522),"")</f>
        <v/>
      </c>
      <c r="T522" s="3">
        <f>IF(ISNUMBER(AVERAGE('20250815_ETF_Options_Exhibits'!T518:T522)),AVERAGE('20250815_ETF_Options_Exhibits'!T518:T522),"")</f>
        <v/>
      </c>
      <c r="U522" s="3">
        <f>IF(ISNUMBER(AVERAGE('20250815_ETF_Options_Exhibits'!U518:U522)),AVERAGE('20250815_ETF_Options_Exhibits'!U518:U522),"")</f>
        <v/>
      </c>
      <c r="V522" s="3">
        <f>IF(ISNUMBER(AVERAGE('20250815_ETF_Options_Exhibits'!V518:V522)),AVERAGE('20250815_ETF_Options_Exhibits'!V518:V522),"")</f>
        <v/>
      </c>
      <c r="W522" s="3">
        <f>IF(ISNUMBER(AVERAGE('20250815_ETF_Options_Exhibits'!W518:W522)),AVERAGE('20250815_ETF_Options_Exhibits'!W518:W522),"")</f>
        <v/>
      </c>
      <c r="X522" s="3">
        <f>IF(ISNUMBER(AVERAGE('20250815_ETF_Options_Exhibits'!X518:X522)),AVERAGE('20250815_ETF_Options_Exhibits'!X518:X522),"")</f>
        <v/>
      </c>
      <c r="Y522" s="3">
        <f>IF(ISNUMBER(AVERAGE('20250815_ETF_Options_Exhibits'!Y518:Y522)),AVERAGE('20250815_ETF_Options_Exhibits'!Y518:Y522),"")</f>
        <v/>
      </c>
      <c r="Z522" s="3">
        <f>IF(ISNUMBER(AVERAGE('20250815_ETF_Options_Exhibits'!Z518:Z522)),AVERAGE('20250815_ETF_Options_Exhibits'!Z518:Z522),"")</f>
        <v/>
      </c>
      <c r="AA522" s="3">
        <f>IF(ISNUMBER(AVERAGE('20250815_ETF_Options_Exhibits'!AA518:AA522)),AVERAGE('20250815_ETF_Options_Exhibits'!AA518:AA522),"")</f>
        <v/>
      </c>
    </row>
    <row r="523">
      <c r="A523" s="1" t="n">
        <v>42761</v>
      </c>
      <c r="B523" s="3">
        <f>IF(ISNUMBER(AVERAGE('20250815_ETF_Options_Exhibits'!B519:B523)),AVERAGE('20250815_ETF_Options_Exhibits'!B519:B523),"")</f>
        <v/>
      </c>
      <c r="C523" s="3">
        <f>IF(ISNUMBER(AVERAGE('20250815_ETF_Options_Exhibits'!C519:C523)),AVERAGE('20250815_ETF_Options_Exhibits'!C519:C523),"")</f>
        <v/>
      </c>
      <c r="D523" s="3">
        <f>IF(ISNUMBER(AVERAGE('20250815_ETF_Options_Exhibits'!D519:D523)),AVERAGE('20250815_ETF_Options_Exhibits'!D519:D523),"")</f>
        <v/>
      </c>
      <c r="E523" s="3">
        <f>IF(ISNUMBER(AVERAGE('20250815_ETF_Options_Exhibits'!E519:E523)),AVERAGE('20250815_ETF_Options_Exhibits'!E519:E523),"")</f>
        <v/>
      </c>
      <c r="F523" s="3">
        <f>IF(ISNUMBER(AVERAGE('20250815_ETF_Options_Exhibits'!F519:F523)),AVERAGE('20250815_ETF_Options_Exhibits'!F519:F523),"")</f>
        <v/>
      </c>
      <c r="G523" s="3">
        <f>IF(ISNUMBER(AVERAGE('20250815_ETF_Options_Exhibits'!G519:G523)),AVERAGE('20250815_ETF_Options_Exhibits'!G519:G523),"")</f>
        <v/>
      </c>
      <c r="H523" s="3">
        <f>IF(ISNUMBER(AVERAGE('20250815_ETF_Options_Exhibits'!H519:H523)),AVERAGE('20250815_ETF_Options_Exhibits'!H519:H523),"")</f>
        <v/>
      </c>
      <c r="I523" s="3">
        <f>IF(ISNUMBER(AVERAGE('20250815_ETF_Options_Exhibits'!I519:I523)),AVERAGE('20250815_ETF_Options_Exhibits'!I519:I523),"")</f>
        <v/>
      </c>
      <c r="J523" s="3">
        <f>IF(ISNUMBER(AVERAGE('20250815_ETF_Options_Exhibits'!J519:J523)),AVERAGE('20250815_ETF_Options_Exhibits'!J519:J523),"")</f>
        <v/>
      </c>
      <c r="K523" s="3">
        <f>IF(ISNUMBER(AVERAGE('20250815_ETF_Options_Exhibits'!K519:K523)),AVERAGE('20250815_ETF_Options_Exhibits'!K519:K523),"")</f>
        <v/>
      </c>
      <c r="L523" s="3">
        <f>IF(ISNUMBER(AVERAGE('20250815_ETF_Options_Exhibits'!L519:L523)),AVERAGE('20250815_ETF_Options_Exhibits'!L519:L523),"")</f>
        <v/>
      </c>
      <c r="M523" s="3">
        <f>IF(ISNUMBER(AVERAGE('20250815_ETF_Options_Exhibits'!M519:M523)),AVERAGE('20250815_ETF_Options_Exhibits'!M519:M523),"")</f>
        <v/>
      </c>
      <c r="N523" s="3">
        <f>IF(ISNUMBER(AVERAGE('20250815_ETF_Options_Exhibits'!N519:N523)),AVERAGE('20250815_ETF_Options_Exhibits'!N519:N523),"")</f>
        <v/>
      </c>
      <c r="O523" s="3">
        <f>IF(ISNUMBER(AVERAGE('20250815_ETF_Options_Exhibits'!O519:O523)),AVERAGE('20250815_ETF_Options_Exhibits'!O519:O523),"")</f>
        <v/>
      </c>
      <c r="P523" s="3">
        <f>IF(ISNUMBER(AVERAGE('20250815_ETF_Options_Exhibits'!P519:P523)),AVERAGE('20250815_ETF_Options_Exhibits'!P519:P523),"")</f>
        <v/>
      </c>
      <c r="Q523" s="3">
        <f>IF(ISNUMBER(AVERAGE('20250815_ETF_Options_Exhibits'!Q519:Q523)),AVERAGE('20250815_ETF_Options_Exhibits'!Q519:Q523),"")</f>
        <v/>
      </c>
      <c r="R523" s="3">
        <f>IF(ISNUMBER(AVERAGE('20250815_ETF_Options_Exhibits'!R519:R523)),AVERAGE('20250815_ETF_Options_Exhibits'!R519:R523),"")</f>
        <v/>
      </c>
      <c r="S523" s="3">
        <f>IF(ISNUMBER(AVERAGE('20250815_ETF_Options_Exhibits'!S519:S523)),AVERAGE('20250815_ETF_Options_Exhibits'!S519:S523),"")</f>
        <v/>
      </c>
      <c r="T523" s="3">
        <f>IF(ISNUMBER(AVERAGE('20250815_ETF_Options_Exhibits'!T519:T523)),AVERAGE('20250815_ETF_Options_Exhibits'!T519:T523),"")</f>
        <v/>
      </c>
      <c r="U523" s="3">
        <f>IF(ISNUMBER(AVERAGE('20250815_ETF_Options_Exhibits'!U519:U523)),AVERAGE('20250815_ETF_Options_Exhibits'!U519:U523),"")</f>
        <v/>
      </c>
      <c r="V523" s="3">
        <f>IF(ISNUMBER(AVERAGE('20250815_ETF_Options_Exhibits'!V519:V523)),AVERAGE('20250815_ETF_Options_Exhibits'!V519:V523),"")</f>
        <v/>
      </c>
      <c r="W523" s="3">
        <f>IF(ISNUMBER(AVERAGE('20250815_ETF_Options_Exhibits'!W519:W523)),AVERAGE('20250815_ETF_Options_Exhibits'!W519:W523),"")</f>
        <v/>
      </c>
      <c r="X523" s="3">
        <f>IF(ISNUMBER(AVERAGE('20250815_ETF_Options_Exhibits'!X519:X523)),AVERAGE('20250815_ETF_Options_Exhibits'!X519:X523),"")</f>
        <v/>
      </c>
      <c r="Y523" s="3">
        <f>IF(ISNUMBER(AVERAGE('20250815_ETF_Options_Exhibits'!Y519:Y523)),AVERAGE('20250815_ETF_Options_Exhibits'!Y519:Y523),"")</f>
        <v/>
      </c>
      <c r="Z523" s="3">
        <f>IF(ISNUMBER(AVERAGE('20250815_ETF_Options_Exhibits'!Z519:Z523)),AVERAGE('20250815_ETF_Options_Exhibits'!Z519:Z523),"")</f>
        <v/>
      </c>
      <c r="AA523" s="3">
        <f>IF(ISNUMBER(AVERAGE('20250815_ETF_Options_Exhibits'!AA519:AA523)),AVERAGE('20250815_ETF_Options_Exhibits'!AA519:AA523),"")</f>
        <v/>
      </c>
    </row>
    <row r="524">
      <c r="A524" s="1" t="n">
        <v>42762</v>
      </c>
      <c r="B524" s="3">
        <f>IF(ISNUMBER(AVERAGE('20250815_ETF_Options_Exhibits'!B520:B524)),AVERAGE('20250815_ETF_Options_Exhibits'!B520:B524),"")</f>
        <v/>
      </c>
      <c r="C524" s="3">
        <f>IF(ISNUMBER(AVERAGE('20250815_ETF_Options_Exhibits'!C520:C524)),AVERAGE('20250815_ETF_Options_Exhibits'!C520:C524),"")</f>
        <v/>
      </c>
      <c r="D524" s="3">
        <f>IF(ISNUMBER(AVERAGE('20250815_ETF_Options_Exhibits'!D520:D524)),AVERAGE('20250815_ETF_Options_Exhibits'!D520:D524),"")</f>
        <v/>
      </c>
      <c r="E524" s="3">
        <f>IF(ISNUMBER(AVERAGE('20250815_ETF_Options_Exhibits'!E520:E524)),AVERAGE('20250815_ETF_Options_Exhibits'!E520:E524),"")</f>
        <v/>
      </c>
      <c r="F524" s="3">
        <f>IF(ISNUMBER(AVERAGE('20250815_ETF_Options_Exhibits'!F520:F524)),AVERAGE('20250815_ETF_Options_Exhibits'!F520:F524),"")</f>
        <v/>
      </c>
      <c r="G524" s="3">
        <f>IF(ISNUMBER(AVERAGE('20250815_ETF_Options_Exhibits'!G520:G524)),AVERAGE('20250815_ETF_Options_Exhibits'!G520:G524),"")</f>
        <v/>
      </c>
      <c r="H524" s="3">
        <f>IF(ISNUMBER(AVERAGE('20250815_ETF_Options_Exhibits'!H520:H524)),AVERAGE('20250815_ETF_Options_Exhibits'!H520:H524),"")</f>
        <v/>
      </c>
      <c r="I524" s="3">
        <f>IF(ISNUMBER(AVERAGE('20250815_ETF_Options_Exhibits'!I520:I524)),AVERAGE('20250815_ETF_Options_Exhibits'!I520:I524),"")</f>
        <v/>
      </c>
      <c r="J524" s="3">
        <f>IF(ISNUMBER(AVERAGE('20250815_ETF_Options_Exhibits'!J520:J524)),AVERAGE('20250815_ETF_Options_Exhibits'!J520:J524),"")</f>
        <v/>
      </c>
      <c r="K524" s="3">
        <f>IF(ISNUMBER(AVERAGE('20250815_ETF_Options_Exhibits'!K520:K524)),AVERAGE('20250815_ETF_Options_Exhibits'!K520:K524),"")</f>
        <v/>
      </c>
      <c r="L524" s="3">
        <f>IF(ISNUMBER(AVERAGE('20250815_ETF_Options_Exhibits'!L520:L524)),AVERAGE('20250815_ETF_Options_Exhibits'!L520:L524),"")</f>
        <v/>
      </c>
      <c r="M524" s="3">
        <f>IF(ISNUMBER(AVERAGE('20250815_ETF_Options_Exhibits'!M520:M524)),AVERAGE('20250815_ETF_Options_Exhibits'!M520:M524),"")</f>
        <v/>
      </c>
      <c r="N524" s="3">
        <f>IF(ISNUMBER(AVERAGE('20250815_ETF_Options_Exhibits'!N520:N524)),AVERAGE('20250815_ETF_Options_Exhibits'!N520:N524),"")</f>
        <v/>
      </c>
      <c r="O524" s="3">
        <f>IF(ISNUMBER(AVERAGE('20250815_ETF_Options_Exhibits'!O520:O524)),AVERAGE('20250815_ETF_Options_Exhibits'!O520:O524),"")</f>
        <v/>
      </c>
      <c r="P524" s="3">
        <f>IF(ISNUMBER(AVERAGE('20250815_ETF_Options_Exhibits'!P520:P524)),AVERAGE('20250815_ETF_Options_Exhibits'!P520:P524),"")</f>
        <v/>
      </c>
      <c r="Q524" s="3">
        <f>IF(ISNUMBER(AVERAGE('20250815_ETF_Options_Exhibits'!Q520:Q524)),AVERAGE('20250815_ETF_Options_Exhibits'!Q520:Q524),"")</f>
        <v/>
      </c>
      <c r="R524" s="3">
        <f>IF(ISNUMBER(AVERAGE('20250815_ETF_Options_Exhibits'!R520:R524)),AVERAGE('20250815_ETF_Options_Exhibits'!R520:R524),"")</f>
        <v/>
      </c>
      <c r="S524" s="3">
        <f>IF(ISNUMBER(AVERAGE('20250815_ETF_Options_Exhibits'!S520:S524)),AVERAGE('20250815_ETF_Options_Exhibits'!S520:S524),"")</f>
        <v/>
      </c>
      <c r="T524" s="3">
        <f>IF(ISNUMBER(AVERAGE('20250815_ETF_Options_Exhibits'!T520:T524)),AVERAGE('20250815_ETF_Options_Exhibits'!T520:T524),"")</f>
        <v/>
      </c>
      <c r="U524" s="3">
        <f>IF(ISNUMBER(AVERAGE('20250815_ETF_Options_Exhibits'!U520:U524)),AVERAGE('20250815_ETF_Options_Exhibits'!U520:U524),"")</f>
        <v/>
      </c>
      <c r="V524" s="3">
        <f>IF(ISNUMBER(AVERAGE('20250815_ETF_Options_Exhibits'!V520:V524)),AVERAGE('20250815_ETF_Options_Exhibits'!V520:V524),"")</f>
        <v/>
      </c>
      <c r="W524" s="3">
        <f>IF(ISNUMBER(AVERAGE('20250815_ETF_Options_Exhibits'!W520:W524)),AVERAGE('20250815_ETF_Options_Exhibits'!W520:W524),"")</f>
        <v/>
      </c>
      <c r="X524" s="3">
        <f>IF(ISNUMBER(AVERAGE('20250815_ETF_Options_Exhibits'!X520:X524)),AVERAGE('20250815_ETF_Options_Exhibits'!X520:X524),"")</f>
        <v/>
      </c>
      <c r="Y524" s="3">
        <f>IF(ISNUMBER(AVERAGE('20250815_ETF_Options_Exhibits'!Y520:Y524)),AVERAGE('20250815_ETF_Options_Exhibits'!Y520:Y524),"")</f>
        <v/>
      </c>
      <c r="Z524" s="3">
        <f>IF(ISNUMBER(AVERAGE('20250815_ETF_Options_Exhibits'!Z520:Z524)),AVERAGE('20250815_ETF_Options_Exhibits'!Z520:Z524),"")</f>
        <v/>
      </c>
      <c r="AA524" s="3">
        <f>IF(ISNUMBER(AVERAGE('20250815_ETF_Options_Exhibits'!AA520:AA524)),AVERAGE('20250815_ETF_Options_Exhibits'!AA520:AA524),"")</f>
        <v/>
      </c>
    </row>
    <row r="525">
      <c r="A525" s="1" t="n">
        <v>42765</v>
      </c>
      <c r="B525" s="3">
        <f>IF(ISNUMBER(AVERAGE('20250815_ETF_Options_Exhibits'!B521:B525)),AVERAGE('20250815_ETF_Options_Exhibits'!B521:B525),"")</f>
        <v/>
      </c>
      <c r="C525" s="3">
        <f>IF(ISNUMBER(AVERAGE('20250815_ETF_Options_Exhibits'!C521:C525)),AVERAGE('20250815_ETF_Options_Exhibits'!C521:C525),"")</f>
        <v/>
      </c>
      <c r="D525" s="3">
        <f>IF(ISNUMBER(AVERAGE('20250815_ETF_Options_Exhibits'!D521:D525)),AVERAGE('20250815_ETF_Options_Exhibits'!D521:D525),"")</f>
        <v/>
      </c>
      <c r="E525" s="3">
        <f>IF(ISNUMBER(AVERAGE('20250815_ETF_Options_Exhibits'!E521:E525)),AVERAGE('20250815_ETF_Options_Exhibits'!E521:E525),"")</f>
        <v/>
      </c>
      <c r="F525" s="3">
        <f>IF(ISNUMBER(AVERAGE('20250815_ETF_Options_Exhibits'!F521:F525)),AVERAGE('20250815_ETF_Options_Exhibits'!F521:F525),"")</f>
        <v/>
      </c>
      <c r="G525" s="3">
        <f>IF(ISNUMBER(AVERAGE('20250815_ETF_Options_Exhibits'!G521:G525)),AVERAGE('20250815_ETF_Options_Exhibits'!G521:G525),"")</f>
        <v/>
      </c>
      <c r="H525" s="3">
        <f>IF(ISNUMBER(AVERAGE('20250815_ETF_Options_Exhibits'!H521:H525)),AVERAGE('20250815_ETF_Options_Exhibits'!H521:H525),"")</f>
        <v/>
      </c>
      <c r="I525" s="3">
        <f>IF(ISNUMBER(AVERAGE('20250815_ETF_Options_Exhibits'!I521:I525)),AVERAGE('20250815_ETF_Options_Exhibits'!I521:I525),"")</f>
        <v/>
      </c>
      <c r="J525" s="3">
        <f>IF(ISNUMBER(AVERAGE('20250815_ETF_Options_Exhibits'!J521:J525)),AVERAGE('20250815_ETF_Options_Exhibits'!J521:J525),"")</f>
        <v/>
      </c>
      <c r="K525" s="3">
        <f>IF(ISNUMBER(AVERAGE('20250815_ETF_Options_Exhibits'!K521:K525)),AVERAGE('20250815_ETF_Options_Exhibits'!K521:K525),"")</f>
        <v/>
      </c>
      <c r="L525" s="3">
        <f>IF(ISNUMBER(AVERAGE('20250815_ETF_Options_Exhibits'!L521:L525)),AVERAGE('20250815_ETF_Options_Exhibits'!L521:L525),"")</f>
        <v/>
      </c>
      <c r="M525" s="3">
        <f>IF(ISNUMBER(AVERAGE('20250815_ETF_Options_Exhibits'!M521:M525)),AVERAGE('20250815_ETF_Options_Exhibits'!M521:M525),"")</f>
        <v/>
      </c>
      <c r="N525" s="3">
        <f>IF(ISNUMBER(AVERAGE('20250815_ETF_Options_Exhibits'!N521:N525)),AVERAGE('20250815_ETF_Options_Exhibits'!N521:N525),"")</f>
        <v/>
      </c>
      <c r="O525" s="3">
        <f>IF(ISNUMBER(AVERAGE('20250815_ETF_Options_Exhibits'!O521:O525)),AVERAGE('20250815_ETF_Options_Exhibits'!O521:O525),"")</f>
        <v/>
      </c>
      <c r="P525" s="3">
        <f>IF(ISNUMBER(AVERAGE('20250815_ETF_Options_Exhibits'!P521:P525)),AVERAGE('20250815_ETF_Options_Exhibits'!P521:P525),"")</f>
        <v/>
      </c>
      <c r="Q525" s="3">
        <f>IF(ISNUMBER(AVERAGE('20250815_ETF_Options_Exhibits'!Q521:Q525)),AVERAGE('20250815_ETF_Options_Exhibits'!Q521:Q525),"")</f>
        <v/>
      </c>
      <c r="R525" s="3">
        <f>IF(ISNUMBER(AVERAGE('20250815_ETF_Options_Exhibits'!R521:R525)),AVERAGE('20250815_ETF_Options_Exhibits'!R521:R525),"")</f>
        <v/>
      </c>
      <c r="S525" s="3">
        <f>IF(ISNUMBER(AVERAGE('20250815_ETF_Options_Exhibits'!S521:S525)),AVERAGE('20250815_ETF_Options_Exhibits'!S521:S525),"")</f>
        <v/>
      </c>
      <c r="T525" s="3">
        <f>IF(ISNUMBER(AVERAGE('20250815_ETF_Options_Exhibits'!T521:T525)),AVERAGE('20250815_ETF_Options_Exhibits'!T521:T525),"")</f>
        <v/>
      </c>
      <c r="U525" s="3">
        <f>IF(ISNUMBER(AVERAGE('20250815_ETF_Options_Exhibits'!U521:U525)),AVERAGE('20250815_ETF_Options_Exhibits'!U521:U525),"")</f>
        <v/>
      </c>
      <c r="V525" s="3">
        <f>IF(ISNUMBER(AVERAGE('20250815_ETF_Options_Exhibits'!V521:V525)),AVERAGE('20250815_ETF_Options_Exhibits'!V521:V525),"")</f>
        <v/>
      </c>
      <c r="W525" s="3">
        <f>IF(ISNUMBER(AVERAGE('20250815_ETF_Options_Exhibits'!W521:W525)),AVERAGE('20250815_ETF_Options_Exhibits'!W521:W525),"")</f>
        <v/>
      </c>
      <c r="X525" s="3">
        <f>IF(ISNUMBER(AVERAGE('20250815_ETF_Options_Exhibits'!X521:X525)),AVERAGE('20250815_ETF_Options_Exhibits'!X521:X525),"")</f>
        <v/>
      </c>
      <c r="Y525" s="3">
        <f>IF(ISNUMBER(AVERAGE('20250815_ETF_Options_Exhibits'!Y521:Y525)),AVERAGE('20250815_ETF_Options_Exhibits'!Y521:Y525),"")</f>
        <v/>
      </c>
      <c r="Z525" s="3">
        <f>IF(ISNUMBER(AVERAGE('20250815_ETF_Options_Exhibits'!Z521:Z525)),AVERAGE('20250815_ETF_Options_Exhibits'!Z521:Z525),"")</f>
        <v/>
      </c>
      <c r="AA525" s="3">
        <f>IF(ISNUMBER(AVERAGE('20250815_ETF_Options_Exhibits'!AA521:AA525)),AVERAGE('20250815_ETF_Options_Exhibits'!AA521:AA525),"")</f>
        <v/>
      </c>
    </row>
    <row r="526">
      <c r="A526" s="1" t="n">
        <v>42766</v>
      </c>
      <c r="B526" s="3">
        <f>IF(ISNUMBER(AVERAGE('20250815_ETF_Options_Exhibits'!B522:B526)),AVERAGE('20250815_ETF_Options_Exhibits'!B522:B526),"")</f>
        <v/>
      </c>
      <c r="C526" s="3">
        <f>IF(ISNUMBER(AVERAGE('20250815_ETF_Options_Exhibits'!C522:C526)),AVERAGE('20250815_ETF_Options_Exhibits'!C522:C526),"")</f>
        <v/>
      </c>
      <c r="D526" s="3">
        <f>IF(ISNUMBER(AVERAGE('20250815_ETF_Options_Exhibits'!D522:D526)),AVERAGE('20250815_ETF_Options_Exhibits'!D522:D526),"")</f>
        <v/>
      </c>
      <c r="E526" s="3">
        <f>IF(ISNUMBER(AVERAGE('20250815_ETF_Options_Exhibits'!E522:E526)),AVERAGE('20250815_ETF_Options_Exhibits'!E522:E526),"")</f>
        <v/>
      </c>
      <c r="F526" s="3">
        <f>IF(ISNUMBER(AVERAGE('20250815_ETF_Options_Exhibits'!F522:F526)),AVERAGE('20250815_ETF_Options_Exhibits'!F522:F526),"")</f>
        <v/>
      </c>
      <c r="G526" s="3">
        <f>IF(ISNUMBER(AVERAGE('20250815_ETF_Options_Exhibits'!G522:G526)),AVERAGE('20250815_ETF_Options_Exhibits'!G522:G526),"")</f>
        <v/>
      </c>
      <c r="H526" s="3">
        <f>IF(ISNUMBER(AVERAGE('20250815_ETF_Options_Exhibits'!H522:H526)),AVERAGE('20250815_ETF_Options_Exhibits'!H522:H526),"")</f>
        <v/>
      </c>
      <c r="I526" s="3">
        <f>IF(ISNUMBER(AVERAGE('20250815_ETF_Options_Exhibits'!I522:I526)),AVERAGE('20250815_ETF_Options_Exhibits'!I522:I526),"")</f>
        <v/>
      </c>
      <c r="J526" s="3">
        <f>IF(ISNUMBER(AVERAGE('20250815_ETF_Options_Exhibits'!J522:J526)),AVERAGE('20250815_ETF_Options_Exhibits'!J522:J526),"")</f>
        <v/>
      </c>
      <c r="K526" s="3">
        <f>IF(ISNUMBER(AVERAGE('20250815_ETF_Options_Exhibits'!K522:K526)),AVERAGE('20250815_ETF_Options_Exhibits'!K522:K526),"")</f>
        <v/>
      </c>
      <c r="L526" s="3">
        <f>IF(ISNUMBER(AVERAGE('20250815_ETF_Options_Exhibits'!L522:L526)),AVERAGE('20250815_ETF_Options_Exhibits'!L522:L526),"")</f>
        <v/>
      </c>
      <c r="M526" s="3">
        <f>IF(ISNUMBER(AVERAGE('20250815_ETF_Options_Exhibits'!M522:M526)),AVERAGE('20250815_ETF_Options_Exhibits'!M522:M526),"")</f>
        <v/>
      </c>
      <c r="N526" s="3">
        <f>IF(ISNUMBER(AVERAGE('20250815_ETF_Options_Exhibits'!N522:N526)),AVERAGE('20250815_ETF_Options_Exhibits'!N522:N526),"")</f>
        <v/>
      </c>
      <c r="O526" s="3">
        <f>IF(ISNUMBER(AVERAGE('20250815_ETF_Options_Exhibits'!O522:O526)),AVERAGE('20250815_ETF_Options_Exhibits'!O522:O526),"")</f>
        <v/>
      </c>
      <c r="P526" s="3">
        <f>IF(ISNUMBER(AVERAGE('20250815_ETF_Options_Exhibits'!P522:P526)),AVERAGE('20250815_ETF_Options_Exhibits'!P522:P526),"")</f>
        <v/>
      </c>
      <c r="Q526" s="3">
        <f>IF(ISNUMBER(AVERAGE('20250815_ETF_Options_Exhibits'!Q522:Q526)),AVERAGE('20250815_ETF_Options_Exhibits'!Q522:Q526),"")</f>
        <v/>
      </c>
      <c r="R526" s="3">
        <f>IF(ISNUMBER(AVERAGE('20250815_ETF_Options_Exhibits'!R522:R526)),AVERAGE('20250815_ETF_Options_Exhibits'!R522:R526),"")</f>
        <v/>
      </c>
      <c r="S526" s="3">
        <f>IF(ISNUMBER(AVERAGE('20250815_ETF_Options_Exhibits'!S522:S526)),AVERAGE('20250815_ETF_Options_Exhibits'!S522:S526),"")</f>
        <v/>
      </c>
      <c r="T526" s="3">
        <f>IF(ISNUMBER(AVERAGE('20250815_ETF_Options_Exhibits'!T522:T526)),AVERAGE('20250815_ETF_Options_Exhibits'!T522:T526),"")</f>
        <v/>
      </c>
      <c r="U526" s="3">
        <f>IF(ISNUMBER(AVERAGE('20250815_ETF_Options_Exhibits'!U522:U526)),AVERAGE('20250815_ETF_Options_Exhibits'!U522:U526),"")</f>
        <v/>
      </c>
      <c r="V526" s="3">
        <f>IF(ISNUMBER(AVERAGE('20250815_ETF_Options_Exhibits'!V522:V526)),AVERAGE('20250815_ETF_Options_Exhibits'!V522:V526),"")</f>
        <v/>
      </c>
      <c r="W526" s="3">
        <f>IF(ISNUMBER(AVERAGE('20250815_ETF_Options_Exhibits'!W522:W526)),AVERAGE('20250815_ETF_Options_Exhibits'!W522:W526),"")</f>
        <v/>
      </c>
      <c r="X526" s="3">
        <f>IF(ISNUMBER(AVERAGE('20250815_ETF_Options_Exhibits'!X522:X526)),AVERAGE('20250815_ETF_Options_Exhibits'!X522:X526),"")</f>
        <v/>
      </c>
      <c r="Y526" s="3">
        <f>IF(ISNUMBER(AVERAGE('20250815_ETF_Options_Exhibits'!Y522:Y526)),AVERAGE('20250815_ETF_Options_Exhibits'!Y522:Y526),"")</f>
        <v/>
      </c>
      <c r="Z526" s="3">
        <f>IF(ISNUMBER(AVERAGE('20250815_ETF_Options_Exhibits'!Z522:Z526)),AVERAGE('20250815_ETF_Options_Exhibits'!Z522:Z526),"")</f>
        <v/>
      </c>
      <c r="AA526" s="3">
        <f>IF(ISNUMBER(AVERAGE('20250815_ETF_Options_Exhibits'!AA522:AA526)),AVERAGE('20250815_ETF_Options_Exhibits'!AA522:AA526),"")</f>
        <v/>
      </c>
    </row>
    <row r="527">
      <c r="A527" s="1" t="n">
        <v>42767</v>
      </c>
      <c r="B527" s="3">
        <f>IF(ISNUMBER(AVERAGE('20250815_ETF_Options_Exhibits'!B523:B527)),AVERAGE('20250815_ETF_Options_Exhibits'!B523:B527),"")</f>
        <v/>
      </c>
      <c r="C527" s="3">
        <f>IF(ISNUMBER(AVERAGE('20250815_ETF_Options_Exhibits'!C523:C527)),AVERAGE('20250815_ETF_Options_Exhibits'!C523:C527),"")</f>
        <v/>
      </c>
      <c r="D527" s="3">
        <f>IF(ISNUMBER(AVERAGE('20250815_ETF_Options_Exhibits'!D523:D527)),AVERAGE('20250815_ETF_Options_Exhibits'!D523:D527),"")</f>
        <v/>
      </c>
      <c r="E527" s="3">
        <f>IF(ISNUMBER(AVERAGE('20250815_ETF_Options_Exhibits'!E523:E527)),AVERAGE('20250815_ETF_Options_Exhibits'!E523:E527),"")</f>
        <v/>
      </c>
      <c r="F527" s="3">
        <f>IF(ISNUMBER(AVERAGE('20250815_ETF_Options_Exhibits'!F523:F527)),AVERAGE('20250815_ETF_Options_Exhibits'!F523:F527),"")</f>
        <v/>
      </c>
      <c r="G527" s="3">
        <f>IF(ISNUMBER(AVERAGE('20250815_ETF_Options_Exhibits'!G523:G527)),AVERAGE('20250815_ETF_Options_Exhibits'!G523:G527),"")</f>
        <v/>
      </c>
      <c r="H527" s="3">
        <f>IF(ISNUMBER(AVERAGE('20250815_ETF_Options_Exhibits'!H523:H527)),AVERAGE('20250815_ETF_Options_Exhibits'!H523:H527),"")</f>
        <v/>
      </c>
      <c r="I527" s="3">
        <f>IF(ISNUMBER(AVERAGE('20250815_ETF_Options_Exhibits'!I523:I527)),AVERAGE('20250815_ETF_Options_Exhibits'!I523:I527),"")</f>
        <v/>
      </c>
      <c r="J527" s="3">
        <f>IF(ISNUMBER(AVERAGE('20250815_ETF_Options_Exhibits'!J523:J527)),AVERAGE('20250815_ETF_Options_Exhibits'!J523:J527),"")</f>
        <v/>
      </c>
      <c r="K527" s="3">
        <f>IF(ISNUMBER(AVERAGE('20250815_ETF_Options_Exhibits'!K523:K527)),AVERAGE('20250815_ETF_Options_Exhibits'!K523:K527),"")</f>
        <v/>
      </c>
      <c r="L527" s="3">
        <f>IF(ISNUMBER(AVERAGE('20250815_ETF_Options_Exhibits'!L523:L527)),AVERAGE('20250815_ETF_Options_Exhibits'!L523:L527),"")</f>
        <v/>
      </c>
      <c r="M527" s="3">
        <f>IF(ISNUMBER(AVERAGE('20250815_ETF_Options_Exhibits'!M523:M527)),AVERAGE('20250815_ETF_Options_Exhibits'!M523:M527),"")</f>
        <v/>
      </c>
      <c r="N527" s="3">
        <f>IF(ISNUMBER(AVERAGE('20250815_ETF_Options_Exhibits'!N523:N527)),AVERAGE('20250815_ETF_Options_Exhibits'!N523:N527),"")</f>
        <v/>
      </c>
      <c r="O527" s="3">
        <f>IF(ISNUMBER(AVERAGE('20250815_ETF_Options_Exhibits'!O523:O527)),AVERAGE('20250815_ETF_Options_Exhibits'!O523:O527),"")</f>
        <v/>
      </c>
      <c r="P527" s="3">
        <f>IF(ISNUMBER(AVERAGE('20250815_ETF_Options_Exhibits'!P523:P527)),AVERAGE('20250815_ETF_Options_Exhibits'!P523:P527),"")</f>
        <v/>
      </c>
      <c r="Q527" s="3">
        <f>IF(ISNUMBER(AVERAGE('20250815_ETF_Options_Exhibits'!Q523:Q527)),AVERAGE('20250815_ETF_Options_Exhibits'!Q523:Q527),"")</f>
        <v/>
      </c>
      <c r="R527" s="3">
        <f>IF(ISNUMBER(AVERAGE('20250815_ETF_Options_Exhibits'!R523:R527)),AVERAGE('20250815_ETF_Options_Exhibits'!R523:R527),"")</f>
        <v/>
      </c>
      <c r="S527" s="3">
        <f>IF(ISNUMBER(AVERAGE('20250815_ETF_Options_Exhibits'!S523:S527)),AVERAGE('20250815_ETF_Options_Exhibits'!S523:S527),"")</f>
        <v/>
      </c>
      <c r="T527" s="3">
        <f>IF(ISNUMBER(AVERAGE('20250815_ETF_Options_Exhibits'!T523:T527)),AVERAGE('20250815_ETF_Options_Exhibits'!T523:T527),"")</f>
        <v/>
      </c>
      <c r="U527" s="3">
        <f>IF(ISNUMBER(AVERAGE('20250815_ETF_Options_Exhibits'!U523:U527)),AVERAGE('20250815_ETF_Options_Exhibits'!U523:U527),"")</f>
        <v/>
      </c>
      <c r="V527" s="3">
        <f>IF(ISNUMBER(AVERAGE('20250815_ETF_Options_Exhibits'!V523:V527)),AVERAGE('20250815_ETF_Options_Exhibits'!V523:V527),"")</f>
        <v/>
      </c>
      <c r="W527" s="3">
        <f>IF(ISNUMBER(AVERAGE('20250815_ETF_Options_Exhibits'!W523:W527)),AVERAGE('20250815_ETF_Options_Exhibits'!W523:W527),"")</f>
        <v/>
      </c>
      <c r="X527" s="3">
        <f>IF(ISNUMBER(AVERAGE('20250815_ETF_Options_Exhibits'!X523:X527)),AVERAGE('20250815_ETF_Options_Exhibits'!X523:X527),"")</f>
        <v/>
      </c>
      <c r="Y527" s="3">
        <f>IF(ISNUMBER(AVERAGE('20250815_ETF_Options_Exhibits'!Y523:Y527)),AVERAGE('20250815_ETF_Options_Exhibits'!Y523:Y527),"")</f>
        <v/>
      </c>
      <c r="Z527" s="3">
        <f>IF(ISNUMBER(AVERAGE('20250815_ETF_Options_Exhibits'!Z523:Z527)),AVERAGE('20250815_ETF_Options_Exhibits'!Z523:Z527),"")</f>
        <v/>
      </c>
      <c r="AA527" s="3">
        <f>IF(ISNUMBER(AVERAGE('20250815_ETF_Options_Exhibits'!AA523:AA527)),AVERAGE('20250815_ETF_Options_Exhibits'!AA523:AA527),"")</f>
        <v/>
      </c>
    </row>
    <row r="528">
      <c r="A528" s="1" t="n">
        <v>42768</v>
      </c>
      <c r="B528" s="3">
        <f>IF(ISNUMBER(AVERAGE('20250815_ETF_Options_Exhibits'!B524:B528)),AVERAGE('20250815_ETF_Options_Exhibits'!B524:B528),"")</f>
        <v/>
      </c>
      <c r="C528" s="3">
        <f>IF(ISNUMBER(AVERAGE('20250815_ETF_Options_Exhibits'!C524:C528)),AVERAGE('20250815_ETF_Options_Exhibits'!C524:C528),"")</f>
        <v/>
      </c>
      <c r="D528" s="3">
        <f>IF(ISNUMBER(AVERAGE('20250815_ETF_Options_Exhibits'!D524:D528)),AVERAGE('20250815_ETF_Options_Exhibits'!D524:D528),"")</f>
        <v/>
      </c>
      <c r="E528" s="3">
        <f>IF(ISNUMBER(AVERAGE('20250815_ETF_Options_Exhibits'!E524:E528)),AVERAGE('20250815_ETF_Options_Exhibits'!E524:E528),"")</f>
        <v/>
      </c>
      <c r="F528" s="3">
        <f>IF(ISNUMBER(AVERAGE('20250815_ETF_Options_Exhibits'!F524:F528)),AVERAGE('20250815_ETF_Options_Exhibits'!F524:F528),"")</f>
        <v/>
      </c>
      <c r="G528" s="3">
        <f>IF(ISNUMBER(AVERAGE('20250815_ETF_Options_Exhibits'!G524:G528)),AVERAGE('20250815_ETF_Options_Exhibits'!G524:G528),"")</f>
        <v/>
      </c>
      <c r="H528" s="3">
        <f>IF(ISNUMBER(AVERAGE('20250815_ETF_Options_Exhibits'!H524:H528)),AVERAGE('20250815_ETF_Options_Exhibits'!H524:H528),"")</f>
        <v/>
      </c>
      <c r="I528" s="3">
        <f>IF(ISNUMBER(AVERAGE('20250815_ETF_Options_Exhibits'!I524:I528)),AVERAGE('20250815_ETF_Options_Exhibits'!I524:I528),"")</f>
        <v/>
      </c>
      <c r="J528" s="3">
        <f>IF(ISNUMBER(AVERAGE('20250815_ETF_Options_Exhibits'!J524:J528)),AVERAGE('20250815_ETF_Options_Exhibits'!J524:J528),"")</f>
        <v/>
      </c>
      <c r="K528" s="3">
        <f>IF(ISNUMBER(AVERAGE('20250815_ETF_Options_Exhibits'!K524:K528)),AVERAGE('20250815_ETF_Options_Exhibits'!K524:K528),"")</f>
        <v/>
      </c>
      <c r="L528" s="3">
        <f>IF(ISNUMBER(AVERAGE('20250815_ETF_Options_Exhibits'!L524:L528)),AVERAGE('20250815_ETF_Options_Exhibits'!L524:L528),"")</f>
        <v/>
      </c>
      <c r="M528" s="3">
        <f>IF(ISNUMBER(AVERAGE('20250815_ETF_Options_Exhibits'!M524:M528)),AVERAGE('20250815_ETF_Options_Exhibits'!M524:M528),"")</f>
        <v/>
      </c>
      <c r="N528" s="3">
        <f>IF(ISNUMBER(AVERAGE('20250815_ETF_Options_Exhibits'!N524:N528)),AVERAGE('20250815_ETF_Options_Exhibits'!N524:N528),"")</f>
        <v/>
      </c>
      <c r="O528" s="3">
        <f>IF(ISNUMBER(AVERAGE('20250815_ETF_Options_Exhibits'!O524:O528)),AVERAGE('20250815_ETF_Options_Exhibits'!O524:O528),"")</f>
        <v/>
      </c>
      <c r="P528" s="3">
        <f>IF(ISNUMBER(AVERAGE('20250815_ETF_Options_Exhibits'!P524:P528)),AVERAGE('20250815_ETF_Options_Exhibits'!P524:P528),"")</f>
        <v/>
      </c>
      <c r="Q528" s="3">
        <f>IF(ISNUMBER(AVERAGE('20250815_ETF_Options_Exhibits'!Q524:Q528)),AVERAGE('20250815_ETF_Options_Exhibits'!Q524:Q528),"")</f>
        <v/>
      </c>
      <c r="R528" s="3">
        <f>IF(ISNUMBER(AVERAGE('20250815_ETF_Options_Exhibits'!R524:R528)),AVERAGE('20250815_ETF_Options_Exhibits'!R524:R528),"")</f>
        <v/>
      </c>
      <c r="S528" s="3">
        <f>IF(ISNUMBER(AVERAGE('20250815_ETF_Options_Exhibits'!S524:S528)),AVERAGE('20250815_ETF_Options_Exhibits'!S524:S528),"")</f>
        <v/>
      </c>
      <c r="T528" s="3">
        <f>IF(ISNUMBER(AVERAGE('20250815_ETF_Options_Exhibits'!T524:T528)),AVERAGE('20250815_ETF_Options_Exhibits'!T524:T528),"")</f>
        <v/>
      </c>
      <c r="U528" s="3">
        <f>IF(ISNUMBER(AVERAGE('20250815_ETF_Options_Exhibits'!U524:U528)),AVERAGE('20250815_ETF_Options_Exhibits'!U524:U528),"")</f>
        <v/>
      </c>
      <c r="V528" s="3">
        <f>IF(ISNUMBER(AVERAGE('20250815_ETF_Options_Exhibits'!V524:V528)),AVERAGE('20250815_ETF_Options_Exhibits'!V524:V528),"")</f>
        <v/>
      </c>
      <c r="W528" s="3">
        <f>IF(ISNUMBER(AVERAGE('20250815_ETF_Options_Exhibits'!W524:W528)),AVERAGE('20250815_ETF_Options_Exhibits'!W524:W528),"")</f>
        <v/>
      </c>
      <c r="X528" s="3">
        <f>IF(ISNUMBER(AVERAGE('20250815_ETF_Options_Exhibits'!X524:X528)),AVERAGE('20250815_ETF_Options_Exhibits'!X524:X528),"")</f>
        <v/>
      </c>
      <c r="Y528" s="3">
        <f>IF(ISNUMBER(AVERAGE('20250815_ETF_Options_Exhibits'!Y524:Y528)),AVERAGE('20250815_ETF_Options_Exhibits'!Y524:Y528),"")</f>
        <v/>
      </c>
      <c r="Z528" s="3">
        <f>IF(ISNUMBER(AVERAGE('20250815_ETF_Options_Exhibits'!Z524:Z528)),AVERAGE('20250815_ETF_Options_Exhibits'!Z524:Z528),"")</f>
        <v/>
      </c>
      <c r="AA528" s="3">
        <f>IF(ISNUMBER(AVERAGE('20250815_ETF_Options_Exhibits'!AA524:AA528)),AVERAGE('20250815_ETF_Options_Exhibits'!AA524:AA528),"")</f>
        <v/>
      </c>
    </row>
    <row r="529">
      <c r="A529" s="1" t="n">
        <v>42769</v>
      </c>
      <c r="B529" s="3">
        <f>IF(ISNUMBER(AVERAGE('20250815_ETF_Options_Exhibits'!B525:B529)),AVERAGE('20250815_ETF_Options_Exhibits'!B525:B529),"")</f>
        <v/>
      </c>
      <c r="C529" s="3">
        <f>IF(ISNUMBER(AVERAGE('20250815_ETF_Options_Exhibits'!C525:C529)),AVERAGE('20250815_ETF_Options_Exhibits'!C525:C529),"")</f>
        <v/>
      </c>
      <c r="D529" s="3">
        <f>IF(ISNUMBER(AVERAGE('20250815_ETF_Options_Exhibits'!D525:D529)),AVERAGE('20250815_ETF_Options_Exhibits'!D525:D529),"")</f>
        <v/>
      </c>
      <c r="E529" s="3">
        <f>IF(ISNUMBER(AVERAGE('20250815_ETF_Options_Exhibits'!E525:E529)),AVERAGE('20250815_ETF_Options_Exhibits'!E525:E529),"")</f>
        <v/>
      </c>
      <c r="F529" s="3">
        <f>IF(ISNUMBER(AVERAGE('20250815_ETF_Options_Exhibits'!F525:F529)),AVERAGE('20250815_ETF_Options_Exhibits'!F525:F529),"")</f>
        <v/>
      </c>
      <c r="G529" s="3">
        <f>IF(ISNUMBER(AVERAGE('20250815_ETF_Options_Exhibits'!G525:G529)),AVERAGE('20250815_ETF_Options_Exhibits'!G525:G529),"")</f>
        <v/>
      </c>
      <c r="H529" s="3">
        <f>IF(ISNUMBER(AVERAGE('20250815_ETF_Options_Exhibits'!H525:H529)),AVERAGE('20250815_ETF_Options_Exhibits'!H525:H529),"")</f>
        <v/>
      </c>
      <c r="I529" s="3">
        <f>IF(ISNUMBER(AVERAGE('20250815_ETF_Options_Exhibits'!I525:I529)),AVERAGE('20250815_ETF_Options_Exhibits'!I525:I529),"")</f>
        <v/>
      </c>
      <c r="J529" s="3">
        <f>IF(ISNUMBER(AVERAGE('20250815_ETF_Options_Exhibits'!J525:J529)),AVERAGE('20250815_ETF_Options_Exhibits'!J525:J529),"")</f>
        <v/>
      </c>
      <c r="K529" s="3">
        <f>IF(ISNUMBER(AVERAGE('20250815_ETF_Options_Exhibits'!K525:K529)),AVERAGE('20250815_ETF_Options_Exhibits'!K525:K529),"")</f>
        <v/>
      </c>
      <c r="L529" s="3">
        <f>IF(ISNUMBER(AVERAGE('20250815_ETF_Options_Exhibits'!L525:L529)),AVERAGE('20250815_ETF_Options_Exhibits'!L525:L529),"")</f>
        <v/>
      </c>
      <c r="M529" s="3">
        <f>IF(ISNUMBER(AVERAGE('20250815_ETF_Options_Exhibits'!M525:M529)),AVERAGE('20250815_ETF_Options_Exhibits'!M525:M529),"")</f>
        <v/>
      </c>
      <c r="N529" s="3">
        <f>IF(ISNUMBER(AVERAGE('20250815_ETF_Options_Exhibits'!N525:N529)),AVERAGE('20250815_ETF_Options_Exhibits'!N525:N529),"")</f>
        <v/>
      </c>
      <c r="O529" s="3">
        <f>IF(ISNUMBER(AVERAGE('20250815_ETF_Options_Exhibits'!O525:O529)),AVERAGE('20250815_ETF_Options_Exhibits'!O525:O529),"")</f>
        <v/>
      </c>
      <c r="P529" s="3">
        <f>IF(ISNUMBER(AVERAGE('20250815_ETF_Options_Exhibits'!P525:P529)),AVERAGE('20250815_ETF_Options_Exhibits'!P525:P529),"")</f>
        <v/>
      </c>
      <c r="Q529" s="3">
        <f>IF(ISNUMBER(AVERAGE('20250815_ETF_Options_Exhibits'!Q525:Q529)),AVERAGE('20250815_ETF_Options_Exhibits'!Q525:Q529),"")</f>
        <v/>
      </c>
      <c r="R529" s="3">
        <f>IF(ISNUMBER(AVERAGE('20250815_ETF_Options_Exhibits'!R525:R529)),AVERAGE('20250815_ETF_Options_Exhibits'!R525:R529),"")</f>
        <v/>
      </c>
      <c r="S529" s="3">
        <f>IF(ISNUMBER(AVERAGE('20250815_ETF_Options_Exhibits'!S525:S529)),AVERAGE('20250815_ETF_Options_Exhibits'!S525:S529),"")</f>
        <v/>
      </c>
      <c r="T529" s="3">
        <f>IF(ISNUMBER(AVERAGE('20250815_ETF_Options_Exhibits'!T525:T529)),AVERAGE('20250815_ETF_Options_Exhibits'!T525:T529),"")</f>
        <v/>
      </c>
      <c r="U529" s="3">
        <f>IF(ISNUMBER(AVERAGE('20250815_ETF_Options_Exhibits'!U525:U529)),AVERAGE('20250815_ETF_Options_Exhibits'!U525:U529),"")</f>
        <v/>
      </c>
      <c r="V529" s="3">
        <f>IF(ISNUMBER(AVERAGE('20250815_ETF_Options_Exhibits'!V525:V529)),AVERAGE('20250815_ETF_Options_Exhibits'!V525:V529),"")</f>
        <v/>
      </c>
      <c r="W529" s="3">
        <f>IF(ISNUMBER(AVERAGE('20250815_ETF_Options_Exhibits'!W525:W529)),AVERAGE('20250815_ETF_Options_Exhibits'!W525:W529),"")</f>
        <v/>
      </c>
      <c r="X529" s="3">
        <f>IF(ISNUMBER(AVERAGE('20250815_ETF_Options_Exhibits'!X525:X529)),AVERAGE('20250815_ETF_Options_Exhibits'!X525:X529),"")</f>
        <v/>
      </c>
      <c r="Y529" s="3">
        <f>IF(ISNUMBER(AVERAGE('20250815_ETF_Options_Exhibits'!Y525:Y529)),AVERAGE('20250815_ETF_Options_Exhibits'!Y525:Y529),"")</f>
        <v/>
      </c>
      <c r="Z529" s="3">
        <f>IF(ISNUMBER(AVERAGE('20250815_ETF_Options_Exhibits'!Z525:Z529)),AVERAGE('20250815_ETF_Options_Exhibits'!Z525:Z529),"")</f>
        <v/>
      </c>
      <c r="AA529" s="3">
        <f>IF(ISNUMBER(AVERAGE('20250815_ETF_Options_Exhibits'!AA525:AA529)),AVERAGE('20250815_ETF_Options_Exhibits'!AA525:AA529),"")</f>
        <v/>
      </c>
    </row>
    <row r="530">
      <c r="A530" s="1" t="n">
        <v>42772</v>
      </c>
      <c r="B530" s="3">
        <f>IF(ISNUMBER(AVERAGE('20250815_ETF_Options_Exhibits'!B526:B530)),AVERAGE('20250815_ETF_Options_Exhibits'!B526:B530),"")</f>
        <v/>
      </c>
      <c r="C530" s="3">
        <f>IF(ISNUMBER(AVERAGE('20250815_ETF_Options_Exhibits'!C526:C530)),AVERAGE('20250815_ETF_Options_Exhibits'!C526:C530),"")</f>
        <v/>
      </c>
      <c r="D530" s="3">
        <f>IF(ISNUMBER(AVERAGE('20250815_ETF_Options_Exhibits'!D526:D530)),AVERAGE('20250815_ETF_Options_Exhibits'!D526:D530),"")</f>
        <v/>
      </c>
      <c r="E530" s="3">
        <f>IF(ISNUMBER(AVERAGE('20250815_ETF_Options_Exhibits'!E526:E530)),AVERAGE('20250815_ETF_Options_Exhibits'!E526:E530),"")</f>
        <v/>
      </c>
      <c r="F530" s="3">
        <f>IF(ISNUMBER(AVERAGE('20250815_ETF_Options_Exhibits'!F526:F530)),AVERAGE('20250815_ETF_Options_Exhibits'!F526:F530),"")</f>
        <v/>
      </c>
      <c r="G530" s="3">
        <f>IF(ISNUMBER(AVERAGE('20250815_ETF_Options_Exhibits'!G526:G530)),AVERAGE('20250815_ETF_Options_Exhibits'!G526:G530),"")</f>
        <v/>
      </c>
      <c r="H530" s="3">
        <f>IF(ISNUMBER(AVERAGE('20250815_ETF_Options_Exhibits'!H526:H530)),AVERAGE('20250815_ETF_Options_Exhibits'!H526:H530),"")</f>
        <v/>
      </c>
      <c r="I530" s="3">
        <f>IF(ISNUMBER(AVERAGE('20250815_ETF_Options_Exhibits'!I526:I530)),AVERAGE('20250815_ETF_Options_Exhibits'!I526:I530),"")</f>
        <v/>
      </c>
      <c r="J530" s="3">
        <f>IF(ISNUMBER(AVERAGE('20250815_ETF_Options_Exhibits'!J526:J530)),AVERAGE('20250815_ETF_Options_Exhibits'!J526:J530),"")</f>
        <v/>
      </c>
      <c r="K530" s="3">
        <f>IF(ISNUMBER(AVERAGE('20250815_ETF_Options_Exhibits'!K526:K530)),AVERAGE('20250815_ETF_Options_Exhibits'!K526:K530),"")</f>
        <v/>
      </c>
      <c r="L530" s="3">
        <f>IF(ISNUMBER(AVERAGE('20250815_ETF_Options_Exhibits'!L526:L530)),AVERAGE('20250815_ETF_Options_Exhibits'!L526:L530),"")</f>
        <v/>
      </c>
      <c r="M530" s="3">
        <f>IF(ISNUMBER(AVERAGE('20250815_ETF_Options_Exhibits'!M526:M530)),AVERAGE('20250815_ETF_Options_Exhibits'!M526:M530),"")</f>
        <v/>
      </c>
      <c r="N530" s="3">
        <f>IF(ISNUMBER(AVERAGE('20250815_ETF_Options_Exhibits'!N526:N530)),AVERAGE('20250815_ETF_Options_Exhibits'!N526:N530),"")</f>
        <v/>
      </c>
      <c r="O530" s="3">
        <f>IF(ISNUMBER(AVERAGE('20250815_ETF_Options_Exhibits'!O526:O530)),AVERAGE('20250815_ETF_Options_Exhibits'!O526:O530),"")</f>
        <v/>
      </c>
      <c r="P530" s="3">
        <f>IF(ISNUMBER(AVERAGE('20250815_ETF_Options_Exhibits'!P526:P530)),AVERAGE('20250815_ETF_Options_Exhibits'!P526:P530),"")</f>
        <v/>
      </c>
      <c r="Q530" s="3">
        <f>IF(ISNUMBER(AVERAGE('20250815_ETF_Options_Exhibits'!Q526:Q530)),AVERAGE('20250815_ETF_Options_Exhibits'!Q526:Q530),"")</f>
        <v/>
      </c>
      <c r="R530" s="3">
        <f>IF(ISNUMBER(AVERAGE('20250815_ETF_Options_Exhibits'!R526:R530)),AVERAGE('20250815_ETF_Options_Exhibits'!R526:R530),"")</f>
        <v/>
      </c>
      <c r="S530" s="3">
        <f>IF(ISNUMBER(AVERAGE('20250815_ETF_Options_Exhibits'!S526:S530)),AVERAGE('20250815_ETF_Options_Exhibits'!S526:S530),"")</f>
        <v/>
      </c>
      <c r="T530" s="3">
        <f>IF(ISNUMBER(AVERAGE('20250815_ETF_Options_Exhibits'!T526:T530)),AVERAGE('20250815_ETF_Options_Exhibits'!T526:T530),"")</f>
        <v/>
      </c>
      <c r="U530" s="3">
        <f>IF(ISNUMBER(AVERAGE('20250815_ETF_Options_Exhibits'!U526:U530)),AVERAGE('20250815_ETF_Options_Exhibits'!U526:U530),"")</f>
        <v/>
      </c>
      <c r="V530" s="3">
        <f>IF(ISNUMBER(AVERAGE('20250815_ETF_Options_Exhibits'!V526:V530)),AVERAGE('20250815_ETF_Options_Exhibits'!V526:V530),"")</f>
        <v/>
      </c>
      <c r="W530" s="3">
        <f>IF(ISNUMBER(AVERAGE('20250815_ETF_Options_Exhibits'!W526:W530)),AVERAGE('20250815_ETF_Options_Exhibits'!W526:W530),"")</f>
        <v/>
      </c>
      <c r="X530" s="3">
        <f>IF(ISNUMBER(AVERAGE('20250815_ETF_Options_Exhibits'!X526:X530)),AVERAGE('20250815_ETF_Options_Exhibits'!X526:X530),"")</f>
        <v/>
      </c>
      <c r="Y530" s="3">
        <f>IF(ISNUMBER(AVERAGE('20250815_ETF_Options_Exhibits'!Y526:Y530)),AVERAGE('20250815_ETF_Options_Exhibits'!Y526:Y530),"")</f>
        <v/>
      </c>
      <c r="Z530" s="3">
        <f>IF(ISNUMBER(AVERAGE('20250815_ETF_Options_Exhibits'!Z526:Z530)),AVERAGE('20250815_ETF_Options_Exhibits'!Z526:Z530),"")</f>
        <v/>
      </c>
      <c r="AA530" s="3">
        <f>IF(ISNUMBER(AVERAGE('20250815_ETF_Options_Exhibits'!AA526:AA530)),AVERAGE('20250815_ETF_Options_Exhibits'!AA526:AA530),"")</f>
        <v/>
      </c>
    </row>
    <row r="531">
      <c r="A531" s="1" t="n">
        <v>42773</v>
      </c>
      <c r="B531" s="3">
        <f>IF(ISNUMBER(AVERAGE('20250815_ETF_Options_Exhibits'!B527:B531)),AVERAGE('20250815_ETF_Options_Exhibits'!B527:B531),"")</f>
        <v/>
      </c>
      <c r="C531" s="3">
        <f>IF(ISNUMBER(AVERAGE('20250815_ETF_Options_Exhibits'!C527:C531)),AVERAGE('20250815_ETF_Options_Exhibits'!C527:C531),"")</f>
        <v/>
      </c>
      <c r="D531" s="3">
        <f>IF(ISNUMBER(AVERAGE('20250815_ETF_Options_Exhibits'!D527:D531)),AVERAGE('20250815_ETF_Options_Exhibits'!D527:D531),"")</f>
        <v/>
      </c>
      <c r="E531" s="3">
        <f>IF(ISNUMBER(AVERAGE('20250815_ETF_Options_Exhibits'!E527:E531)),AVERAGE('20250815_ETF_Options_Exhibits'!E527:E531),"")</f>
        <v/>
      </c>
      <c r="F531" s="3">
        <f>IF(ISNUMBER(AVERAGE('20250815_ETF_Options_Exhibits'!F527:F531)),AVERAGE('20250815_ETF_Options_Exhibits'!F527:F531),"")</f>
        <v/>
      </c>
      <c r="G531" s="3">
        <f>IF(ISNUMBER(AVERAGE('20250815_ETF_Options_Exhibits'!G527:G531)),AVERAGE('20250815_ETF_Options_Exhibits'!G527:G531),"")</f>
        <v/>
      </c>
      <c r="H531" s="3">
        <f>IF(ISNUMBER(AVERAGE('20250815_ETF_Options_Exhibits'!H527:H531)),AVERAGE('20250815_ETF_Options_Exhibits'!H527:H531),"")</f>
        <v/>
      </c>
      <c r="I531" s="3">
        <f>IF(ISNUMBER(AVERAGE('20250815_ETF_Options_Exhibits'!I527:I531)),AVERAGE('20250815_ETF_Options_Exhibits'!I527:I531),"")</f>
        <v/>
      </c>
      <c r="J531" s="3">
        <f>IF(ISNUMBER(AVERAGE('20250815_ETF_Options_Exhibits'!J527:J531)),AVERAGE('20250815_ETF_Options_Exhibits'!J527:J531),"")</f>
        <v/>
      </c>
      <c r="K531" s="3">
        <f>IF(ISNUMBER(AVERAGE('20250815_ETF_Options_Exhibits'!K527:K531)),AVERAGE('20250815_ETF_Options_Exhibits'!K527:K531),"")</f>
        <v/>
      </c>
      <c r="L531" s="3">
        <f>IF(ISNUMBER(AVERAGE('20250815_ETF_Options_Exhibits'!L527:L531)),AVERAGE('20250815_ETF_Options_Exhibits'!L527:L531),"")</f>
        <v/>
      </c>
      <c r="M531" s="3">
        <f>IF(ISNUMBER(AVERAGE('20250815_ETF_Options_Exhibits'!M527:M531)),AVERAGE('20250815_ETF_Options_Exhibits'!M527:M531),"")</f>
        <v/>
      </c>
      <c r="N531" s="3">
        <f>IF(ISNUMBER(AVERAGE('20250815_ETF_Options_Exhibits'!N527:N531)),AVERAGE('20250815_ETF_Options_Exhibits'!N527:N531),"")</f>
        <v/>
      </c>
      <c r="O531" s="3">
        <f>IF(ISNUMBER(AVERAGE('20250815_ETF_Options_Exhibits'!O527:O531)),AVERAGE('20250815_ETF_Options_Exhibits'!O527:O531),"")</f>
        <v/>
      </c>
      <c r="P531" s="3">
        <f>IF(ISNUMBER(AVERAGE('20250815_ETF_Options_Exhibits'!P527:P531)),AVERAGE('20250815_ETF_Options_Exhibits'!P527:P531),"")</f>
        <v/>
      </c>
      <c r="Q531" s="3">
        <f>IF(ISNUMBER(AVERAGE('20250815_ETF_Options_Exhibits'!Q527:Q531)),AVERAGE('20250815_ETF_Options_Exhibits'!Q527:Q531),"")</f>
        <v/>
      </c>
      <c r="R531" s="3">
        <f>IF(ISNUMBER(AVERAGE('20250815_ETF_Options_Exhibits'!R527:R531)),AVERAGE('20250815_ETF_Options_Exhibits'!R527:R531),"")</f>
        <v/>
      </c>
      <c r="S531" s="3">
        <f>IF(ISNUMBER(AVERAGE('20250815_ETF_Options_Exhibits'!S527:S531)),AVERAGE('20250815_ETF_Options_Exhibits'!S527:S531),"")</f>
        <v/>
      </c>
      <c r="T531" s="3">
        <f>IF(ISNUMBER(AVERAGE('20250815_ETF_Options_Exhibits'!T527:T531)),AVERAGE('20250815_ETF_Options_Exhibits'!T527:T531),"")</f>
        <v/>
      </c>
      <c r="U531" s="3">
        <f>IF(ISNUMBER(AVERAGE('20250815_ETF_Options_Exhibits'!U527:U531)),AVERAGE('20250815_ETF_Options_Exhibits'!U527:U531),"")</f>
        <v/>
      </c>
      <c r="V531" s="3">
        <f>IF(ISNUMBER(AVERAGE('20250815_ETF_Options_Exhibits'!V527:V531)),AVERAGE('20250815_ETF_Options_Exhibits'!V527:V531),"")</f>
        <v/>
      </c>
      <c r="W531" s="3">
        <f>IF(ISNUMBER(AVERAGE('20250815_ETF_Options_Exhibits'!W527:W531)),AVERAGE('20250815_ETF_Options_Exhibits'!W527:W531),"")</f>
        <v/>
      </c>
      <c r="X531" s="3">
        <f>IF(ISNUMBER(AVERAGE('20250815_ETF_Options_Exhibits'!X527:X531)),AVERAGE('20250815_ETF_Options_Exhibits'!X527:X531),"")</f>
        <v/>
      </c>
      <c r="Y531" s="3">
        <f>IF(ISNUMBER(AVERAGE('20250815_ETF_Options_Exhibits'!Y527:Y531)),AVERAGE('20250815_ETF_Options_Exhibits'!Y527:Y531),"")</f>
        <v/>
      </c>
      <c r="Z531" s="3">
        <f>IF(ISNUMBER(AVERAGE('20250815_ETF_Options_Exhibits'!Z527:Z531)),AVERAGE('20250815_ETF_Options_Exhibits'!Z527:Z531),"")</f>
        <v/>
      </c>
      <c r="AA531" s="3">
        <f>IF(ISNUMBER(AVERAGE('20250815_ETF_Options_Exhibits'!AA527:AA531)),AVERAGE('20250815_ETF_Options_Exhibits'!AA527:AA531),"")</f>
        <v/>
      </c>
    </row>
    <row r="532">
      <c r="A532" s="1" t="n">
        <v>42774</v>
      </c>
      <c r="B532" s="3">
        <f>IF(ISNUMBER(AVERAGE('20250815_ETF_Options_Exhibits'!B528:B532)),AVERAGE('20250815_ETF_Options_Exhibits'!B528:B532),"")</f>
        <v/>
      </c>
      <c r="C532" s="3">
        <f>IF(ISNUMBER(AVERAGE('20250815_ETF_Options_Exhibits'!C528:C532)),AVERAGE('20250815_ETF_Options_Exhibits'!C528:C532),"")</f>
        <v/>
      </c>
      <c r="D532" s="3">
        <f>IF(ISNUMBER(AVERAGE('20250815_ETF_Options_Exhibits'!D528:D532)),AVERAGE('20250815_ETF_Options_Exhibits'!D528:D532),"")</f>
        <v/>
      </c>
      <c r="E532" s="3">
        <f>IF(ISNUMBER(AVERAGE('20250815_ETF_Options_Exhibits'!E528:E532)),AVERAGE('20250815_ETF_Options_Exhibits'!E528:E532),"")</f>
        <v/>
      </c>
      <c r="F532" s="3">
        <f>IF(ISNUMBER(AVERAGE('20250815_ETF_Options_Exhibits'!F528:F532)),AVERAGE('20250815_ETF_Options_Exhibits'!F528:F532),"")</f>
        <v/>
      </c>
      <c r="G532" s="3">
        <f>IF(ISNUMBER(AVERAGE('20250815_ETF_Options_Exhibits'!G528:G532)),AVERAGE('20250815_ETF_Options_Exhibits'!G528:G532),"")</f>
        <v/>
      </c>
      <c r="H532" s="3">
        <f>IF(ISNUMBER(AVERAGE('20250815_ETF_Options_Exhibits'!H528:H532)),AVERAGE('20250815_ETF_Options_Exhibits'!H528:H532),"")</f>
        <v/>
      </c>
      <c r="I532" s="3">
        <f>IF(ISNUMBER(AVERAGE('20250815_ETF_Options_Exhibits'!I528:I532)),AVERAGE('20250815_ETF_Options_Exhibits'!I528:I532),"")</f>
        <v/>
      </c>
      <c r="J532" s="3">
        <f>IF(ISNUMBER(AVERAGE('20250815_ETF_Options_Exhibits'!J528:J532)),AVERAGE('20250815_ETF_Options_Exhibits'!J528:J532),"")</f>
        <v/>
      </c>
      <c r="K532" s="3">
        <f>IF(ISNUMBER(AVERAGE('20250815_ETF_Options_Exhibits'!K528:K532)),AVERAGE('20250815_ETF_Options_Exhibits'!K528:K532),"")</f>
        <v/>
      </c>
      <c r="L532" s="3">
        <f>IF(ISNUMBER(AVERAGE('20250815_ETF_Options_Exhibits'!L528:L532)),AVERAGE('20250815_ETF_Options_Exhibits'!L528:L532),"")</f>
        <v/>
      </c>
      <c r="M532" s="3">
        <f>IF(ISNUMBER(AVERAGE('20250815_ETF_Options_Exhibits'!M528:M532)),AVERAGE('20250815_ETF_Options_Exhibits'!M528:M532),"")</f>
        <v/>
      </c>
      <c r="N532" s="3">
        <f>IF(ISNUMBER(AVERAGE('20250815_ETF_Options_Exhibits'!N528:N532)),AVERAGE('20250815_ETF_Options_Exhibits'!N528:N532),"")</f>
        <v/>
      </c>
      <c r="O532" s="3">
        <f>IF(ISNUMBER(AVERAGE('20250815_ETF_Options_Exhibits'!O528:O532)),AVERAGE('20250815_ETF_Options_Exhibits'!O528:O532),"")</f>
        <v/>
      </c>
      <c r="P532" s="3">
        <f>IF(ISNUMBER(AVERAGE('20250815_ETF_Options_Exhibits'!P528:P532)),AVERAGE('20250815_ETF_Options_Exhibits'!P528:P532),"")</f>
        <v/>
      </c>
      <c r="Q532" s="3">
        <f>IF(ISNUMBER(AVERAGE('20250815_ETF_Options_Exhibits'!Q528:Q532)),AVERAGE('20250815_ETF_Options_Exhibits'!Q528:Q532),"")</f>
        <v/>
      </c>
      <c r="R532" s="3">
        <f>IF(ISNUMBER(AVERAGE('20250815_ETF_Options_Exhibits'!R528:R532)),AVERAGE('20250815_ETF_Options_Exhibits'!R528:R532),"")</f>
        <v/>
      </c>
      <c r="S532" s="3">
        <f>IF(ISNUMBER(AVERAGE('20250815_ETF_Options_Exhibits'!S528:S532)),AVERAGE('20250815_ETF_Options_Exhibits'!S528:S532),"")</f>
        <v/>
      </c>
      <c r="T532" s="3">
        <f>IF(ISNUMBER(AVERAGE('20250815_ETF_Options_Exhibits'!T528:T532)),AVERAGE('20250815_ETF_Options_Exhibits'!T528:T532),"")</f>
        <v/>
      </c>
      <c r="U532" s="3">
        <f>IF(ISNUMBER(AVERAGE('20250815_ETF_Options_Exhibits'!U528:U532)),AVERAGE('20250815_ETF_Options_Exhibits'!U528:U532),"")</f>
        <v/>
      </c>
      <c r="V532" s="3">
        <f>IF(ISNUMBER(AVERAGE('20250815_ETF_Options_Exhibits'!V528:V532)),AVERAGE('20250815_ETF_Options_Exhibits'!V528:V532),"")</f>
        <v/>
      </c>
      <c r="W532" s="3">
        <f>IF(ISNUMBER(AVERAGE('20250815_ETF_Options_Exhibits'!W528:W532)),AVERAGE('20250815_ETF_Options_Exhibits'!W528:W532),"")</f>
        <v/>
      </c>
      <c r="X532" s="3">
        <f>IF(ISNUMBER(AVERAGE('20250815_ETF_Options_Exhibits'!X528:X532)),AVERAGE('20250815_ETF_Options_Exhibits'!X528:X532),"")</f>
        <v/>
      </c>
      <c r="Y532" s="3">
        <f>IF(ISNUMBER(AVERAGE('20250815_ETF_Options_Exhibits'!Y528:Y532)),AVERAGE('20250815_ETF_Options_Exhibits'!Y528:Y532),"")</f>
        <v/>
      </c>
      <c r="Z532" s="3">
        <f>IF(ISNUMBER(AVERAGE('20250815_ETF_Options_Exhibits'!Z528:Z532)),AVERAGE('20250815_ETF_Options_Exhibits'!Z528:Z532),"")</f>
        <v/>
      </c>
      <c r="AA532" s="3">
        <f>IF(ISNUMBER(AVERAGE('20250815_ETF_Options_Exhibits'!AA528:AA532)),AVERAGE('20250815_ETF_Options_Exhibits'!AA528:AA532),"")</f>
        <v/>
      </c>
    </row>
    <row r="533">
      <c r="A533" s="1" t="n">
        <v>42775</v>
      </c>
      <c r="B533" s="3">
        <f>IF(ISNUMBER(AVERAGE('20250815_ETF_Options_Exhibits'!B529:B533)),AVERAGE('20250815_ETF_Options_Exhibits'!B529:B533),"")</f>
        <v/>
      </c>
      <c r="C533" s="3">
        <f>IF(ISNUMBER(AVERAGE('20250815_ETF_Options_Exhibits'!C529:C533)),AVERAGE('20250815_ETF_Options_Exhibits'!C529:C533),"")</f>
        <v/>
      </c>
      <c r="D533" s="3">
        <f>IF(ISNUMBER(AVERAGE('20250815_ETF_Options_Exhibits'!D529:D533)),AVERAGE('20250815_ETF_Options_Exhibits'!D529:D533),"")</f>
        <v/>
      </c>
      <c r="E533" s="3">
        <f>IF(ISNUMBER(AVERAGE('20250815_ETF_Options_Exhibits'!E529:E533)),AVERAGE('20250815_ETF_Options_Exhibits'!E529:E533),"")</f>
        <v/>
      </c>
      <c r="F533" s="3">
        <f>IF(ISNUMBER(AVERAGE('20250815_ETF_Options_Exhibits'!F529:F533)),AVERAGE('20250815_ETF_Options_Exhibits'!F529:F533),"")</f>
        <v/>
      </c>
      <c r="G533" s="3">
        <f>IF(ISNUMBER(AVERAGE('20250815_ETF_Options_Exhibits'!G529:G533)),AVERAGE('20250815_ETF_Options_Exhibits'!G529:G533),"")</f>
        <v/>
      </c>
      <c r="H533" s="3">
        <f>IF(ISNUMBER(AVERAGE('20250815_ETF_Options_Exhibits'!H529:H533)),AVERAGE('20250815_ETF_Options_Exhibits'!H529:H533),"")</f>
        <v/>
      </c>
      <c r="I533" s="3">
        <f>IF(ISNUMBER(AVERAGE('20250815_ETF_Options_Exhibits'!I529:I533)),AVERAGE('20250815_ETF_Options_Exhibits'!I529:I533),"")</f>
        <v/>
      </c>
      <c r="J533" s="3">
        <f>IF(ISNUMBER(AVERAGE('20250815_ETF_Options_Exhibits'!J529:J533)),AVERAGE('20250815_ETF_Options_Exhibits'!J529:J533),"")</f>
        <v/>
      </c>
      <c r="K533" s="3">
        <f>IF(ISNUMBER(AVERAGE('20250815_ETF_Options_Exhibits'!K529:K533)),AVERAGE('20250815_ETF_Options_Exhibits'!K529:K533),"")</f>
        <v/>
      </c>
      <c r="L533" s="3">
        <f>IF(ISNUMBER(AVERAGE('20250815_ETF_Options_Exhibits'!L529:L533)),AVERAGE('20250815_ETF_Options_Exhibits'!L529:L533),"")</f>
        <v/>
      </c>
      <c r="M533" s="3">
        <f>IF(ISNUMBER(AVERAGE('20250815_ETF_Options_Exhibits'!M529:M533)),AVERAGE('20250815_ETF_Options_Exhibits'!M529:M533),"")</f>
        <v/>
      </c>
      <c r="N533" s="3">
        <f>IF(ISNUMBER(AVERAGE('20250815_ETF_Options_Exhibits'!N529:N533)),AVERAGE('20250815_ETF_Options_Exhibits'!N529:N533),"")</f>
        <v/>
      </c>
      <c r="O533" s="3">
        <f>IF(ISNUMBER(AVERAGE('20250815_ETF_Options_Exhibits'!O529:O533)),AVERAGE('20250815_ETF_Options_Exhibits'!O529:O533),"")</f>
        <v/>
      </c>
      <c r="P533" s="3">
        <f>IF(ISNUMBER(AVERAGE('20250815_ETF_Options_Exhibits'!P529:P533)),AVERAGE('20250815_ETF_Options_Exhibits'!P529:P533),"")</f>
        <v/>
      </c>
      <c r="Q533" s="3">
        <f>IF(ISNUMBER(AVERAGE('20250815_ETF_Options_Exhibits'!Q529:Q533)),AVERAGE('20250815_ETF_Options_Exhibits'!Q529:Q533),"")</f>
        <v/>
      </c>
      <c r="R533" s="3">
        <f>IF(ISNUMBER(AVERAGE('20250815_ETF_Options_Exhibits'!R529:R533)),AVERAGE('20250815_ETF_Options_Exhibits'!R529:R533),"")</f>
        <v/>
      </c>
      <c r="S533" s="3">
        <f>IF(ISNUMBER(AVERAGE('20250815_ETF_Options_Exhibits'!S529:S533)),AVERAGE('20250815_ETF_Options_Exhibits'!S529:S533),"")</f>
        <v/>
      </c>
      <c r="T533" s="3">
        <f>IF(ISNUMBER(AVERAGE('20250815_ETF_Options_Exhibits'!T529:T533)),AVERAGE('20250815_ETF_Options_Exhibits'!T529:T533),"")</f>
        <v/>
      </c>
      <c r="U533" s="3">
        <f>IF(ISNUMBER(AVERAGE('20250815_ETF_Options_Exhibits'!U529:U533)),AVERAGE('20250815_ETF_Options_Exhibits'!U529:U533),"")</f>
        <v/>
      </c>
      <c r="V533" s="3">
        <f>IF(ISNUMBER(AVERAGE('20250815_ETF_Options_Exhibits'!V529:V533)),AVERAGE('20250815_ETF_Options_Exhibits'!V529:V533),"")</f>
        <v/>
      </c>
      <c r="W533" s="3">
        <f>IF(ISNUMBER(AVERAGE('20250815_ETF_Options_Exhibits'!W529:W533)),AVERAGE('20250815_ETF_Options_Exhibits'!W529:W533),"")</f>
        <v/>
      </c>
      <c r="X533" s="3">
        <f>IF(ISNUMBER(AVERAGE('20250815_ETF_Options_Exhibits'!X529:X533)),AVERAGE('20250815_ETF_Options_Exhibits'!X529:X533),"")</f>
        <v/>
      </c>
      <c r="Y533" s="3">
        <f>IF(ISNUMBER(AVERAGE('20250815_ETF_Options_Exhibits'!Y529:Y533)),AVERAGE('20250815_ETF_Options_Exhibits'!Y529:Y533),"")</f>
        <v/>
      </c>
      <c r="Z533" s="3">
        <f>IF(ISNUMBER(AVERAGE('20250815_ETF_Options_Exhibits'!Z529:Z533)),AVERAGE('20250815_ETF_Options_Exhibits'!Z529:Z533),"")</f>
        <v/>
      </c>
      <c r="AA533" s="3">
        <f>IF(ISNUMBER(AVERAGE('20250815_ETF_Options_Exhibits'!AA529:AA533)),AVERAGE('20250815_ETF_Options_Exhibits'!AA529:AA533),"")</f>
        <v/>
      </c>
    </row>
    <row r="534">
      <c r="A534" s="1" t="n">
        <v>42776</v>
      </c>
      <c r="B534" s="3">
        <f>IF(ISNUMBER(AVERAGE('20250815_ETF_Options_Exhibits'!B530:B534)),AVERAGE('20250815_ETF_Options_Exhibits'!B530:B534),"")</f>
        <v/>
      </c>
      <c r="C534" s="3">
        <f>IF(ISNUMBER(AVERAGE('20250815_ETF_Options_Exhibits'!C530:C534)),AVERAGE('20250815_ETF_Options_Exhibits'!C530:C534),"")</f>
        <v/>
      </c>
      <c r="D534" s="3">
        <f>IF(ISNUMBER(AVERAGE('20250815_ETF_Options_Exhibits'!D530:D534)),AVERAGE('20250815_ETF_Options_Exhibits'!D530:D534),"")</f>
        <v/>
      </c>
      <c r="E534" s="3">
        <f>IF(ISNUMBER(AVERAGE('20250815_ETF_Options_Exhibits'!E530:E534)),AVERAGE('20250815_ETF_Options_Exhibits'!E530:E534),"")</f>
        <v/>
      </c>
      <c r="F534" s="3">
        <f>IF(ISNUMBER(AVERAGE('20250815_ETF_Options_Exhibits'!F530:F534)),AVERAGE('20250815_ETF_Options_Exhibits'!F530:F534),"")</f>
        <v/>
      </c>
      <c r="G534" s="3">
        <f>IF(ISNUMBER(AVERAGE('20250815_ETF_Options_Exhibits'!G530:G534)),AVERAGE('20250815_ETF_Options_Exhibits'!G530:G534),"")</f>
        <v/>
      </c>
      <c r="H534" s="3">
        <f>IF(ISNUMBER(AVERAGE('20250815_ETF_Options_Exhibits'!H530:H534)),AVERAGE('20250815_ETF_Options_Exhibits'!H530:H534),"")</f>
        <v/>
      </c>
      <c r="I534" s="3">
        <f>IF(ISNUMBER(AVERAGE('20250815_ETF_Options_Exhibits'!I530:I534)),AVERAGE('20250815_ETF_Options_Exhibits'!I530:I534),"")</f>
        <v/>
      </c>
      <c r="J534" s="3">
        <f>IF(ISNUMBER(AVERAGE('20250815_ETF_Options_Exhibits'!J530:J534)),AVERAGE('20250815_ETF_Options_Exhibits'!J530:J534),"")</f>
        <v/>
      </c>
      <c r="K534" s="3">
        <f>IF(ISNUMBER(AVERAGE('20250815_ETF_Options_Exhibits'!K530:K534)),AVERAGE('20250815_ETF_Options_Exhibits'!K530:K534),"")</f>
        <v/>
      </c>
      <c r="L534" s="3">
        <f>IF(ISNUMBER(AVERAGE('20250815_ETF_Options_Exhibits'!L530:L534)),AVERAGE('20250815_ETF_Options_Exhibits'!L530:L534),"")</f>
        <v/>
      </c>
      <c r="M534" s="3">
        <f>IF(ISNUMBER(AVERAGE('20250815_ETF_Options_Exhibits'!M530:M534)),AVERAGE('20250815_ETF_Options_Exhibits'!M530:M534),"")</f>
        <v/>
      </c>
      <c r="N534" s="3">
        <f>IF(ISNUMBER(AVERAGE('20250815_ETF_Options_Exhibits'!N530:N534)),AVERAGE('20250815_ETF_Options_Exhibits'!N530:N534),"")</f>
        <v/>
      </c>
      <c r="O534" s="3">
        <f>IF(ISNUMBER(AVERAGE('20250815_ETF_Options_Exhibits'!O530:O534)),AVERAGE('20250815_ETF_Options_Exhibits'!O530:O534),"")</f>
        <v/>
      </c>
      <c r="P534" s="3">
        <f>IF(ISNUMBER(AVERAGE('20250815_ETF_Options_Exhibits'!P530:P534)),AVERAGE('20250815_ETF_Options_Exhibits'!P530:P534),"")</f>
        <v/>
      </c>
      <c r="Q534" s="3">
        <f>IF(ISNUMBER(AVERAGE('20250815_ETF_Options_Exhibits'!Q530:Q534)),AVERAGE('20250815_ETF_Options_Exhibits'!Q530:Q534),"")</f>
        <v/>
      </c>
      <c r="R534" s="3">
        <f>IF(ISNUMBER(AVERAGE('20250815_ETF_Options_Exhibits'!R530:R534)),AVERAGE('20250815_ETF_Options_Exhibits'!R530:R534),"")</f>
        <v/>
      </c>
      <c r="S534" s="3">
        <f>IF(ISNUMBER(AVERAGE('20250815_ETF_Options_Exhibits'!S530:S534)),AVERAGE('20250815_ETF_Options_Exhibits'!S530:S534),"")</f>
        <v/>
      </c>
      <c r="T534" s="3">
        <f>IF(ISNUMBER(AVERAGE('20250815_ETF_Options_Exhibits'!T530:T534)),AVERAGE('20250815_ETF_Options_Exhibits'!T530:T534),"")</f>
        <v/>
      </c>
      <c r="U534" s="3">
        <f>IF(ISNUMBER(AVERAGE('20250815_ETF_Options_Exhibits'!U530:U534)),AVERAGE('20250815_ETF_Options_Exhibits'!U530:U534),"")</f>
        <v/>
      </c>
      <c r="V534" s="3">
        <f>IF(ISNUMBER(AVERAGE('20250815_ETF_Options_Exhibits'!V530:V534)),AVERAGE('20250815_ETF_Options_Exhibits'!V530:V534),"")</f>
        <v/>
      </c>
      <c r="W534" s="3">
        <f>IF(ISNUMBER(AVERAGE('20250815_ETF_Options_Exhibits'!W530:W534)),AVERAGE('20250815_ETF_Options_Exhibits'!W530:W534),"")</f>
        <v/>
      </c>
      <c r="X534" s="3">
        <f>IF(ISNUMBER(AVERAGE('20250815_ETF_Options_Exhibits'!X530:X534)),AVERAGE('20250815_ETF_Options_Exhibits'!X530:X534),"")</f>
        <v/>
      </c>
      <c r="Y534" s="3">
        <f>IF(ISNUMBER(AVERAGE('20250815_ETF_Options_Exhibits'!Y530:Y534)),AVERAGE('20250815_ETF_Options_Exhibits'!Y530:Y534),"")</f>
        <v/>
      </c>
      <c r="Z534" s="3">
        <f>IF(ISNUMBER(AVERAGE('20250815_ETF_Options_Exhibits'!Z530:Z534)),AVERAGE('20250815_ETF_Options_Exhibits'!Z530:Z534),"")</f>
        <v/>
      </c>
      <c r="AA534" s="3">
        <f>IF(ISNUMBER(AVERAGE('20250815_ETF_Options_Exhibits'!AA530:AA534)),AVERAGE('20250815_ETF_Options_Exhibits'!AA530:AA534),"")</f>
        <v/>
      </c>
    </row>
    <row r="535">
      <c r="A535" s="1" t="n">
        <v>42779</v>
      </c>
      <c r="B535" s="3">
        <f>IF(ISNUMBER(AVERAGE('20250815_ETF_Options_Exhibits'!B531:B535)),AVERAGE('20250815_ETF_Options_Exhibits'!B531:B535),"")</f>
        <v/>
      </c>
      <c r="C535" s="3">
        <f>IF(ISNUMBER(AVERAGE('20250815_ETF_Options_Exhibits'!C531:C535)),AVERAGE('20250815_ETF_Options_Exhibits'!C531:C535),"")</f>
        <v/>
      </c>
      <c r="D535" s="3">
        <f>IF(ISNUMBER(AVERAGE('20250815_ETF_Options_Exhibits'!D531:D535)),AVERAGE('20250815_ETF_Options_Exhibits'!D531:D535),"")</f>
        <v/>
      </c>
      <c r="E535" s="3">
        <f>IF(ISNUMBER(AVERAGE('20250815_ETF_Options_Exhibits'!E531:E535)),AVERAGE('20250815_ETF_Options_Exhibits'!E531:E535),"")</f>
        <v/>
      </c>
      <c r="F535" s="3">
        <f>IF(ISNUMBER(AVERAGE('20250815_ETF_Options_Exhibits'!F531:F535)),AVERAGE('20250815_ETF_Options_Exhibits'!F531:F535),"")</f>
        <v/>
      </c>
      <c r="G535" s="3">
        <f>IF(ISNUMBER(AVERAGE('20250815_ETF_Options_Exhibits'!G531:G535)),AVERAGE('20250815_ETF_Options_Exhibits'!G531:G535),"")</f>
        <v/>
      </c>
      <c r="H535" s="3">
        <f>IF(ISNUMBER(AVERAGE('20250815_ETF_Options_Exhibits'!H531:H535)),AVERAGE('20250815_ETF_Options_Exhibits'!H531:H535),"")</f>
        <v/>
      </c>
      <c r="I535" s="3">
        <f>IF(ISNUMBER(AVERAGE('20250815_ETF_Options_Exhibits'!I531:I535)),AVERAGE('20250815_ETF_Options_Exhibits'!I531:I535),"")</f>
        <v/>
      </c>
      <c r="J535" s="3">
        <f>IF(ISNUMBER(AVERAGE('20250815_ETF_Options_Exhibits'!J531:J535)),AVERAGE('20250815_ETF_Options_Exhibits'!J531:J535),"")</f>
        <v/>
      </c>
      <c r="K535" s="3">
        <f>IF(ISNUMBER(AVERAGE('20250815_ETF_Options_Exhibits'!K531:K535)),AVERAGE('20250815_ETF_Options_Exhibits'!K531:K535),"")</f>
        <v/>
      </c>
      <c r="L535" s="3">
        <f>IF(ISNUMBER(AVERAGE('20250815_ETF_Options_Exhibits'!L531:L535)),AVERAGE('20250815_ETF_Options_Exhibits'!L531:L535),"")</f>
        <v/>
      </c>
      <c r="M535" s="3">
        <f>IF(ISNUMBER(AVERAGE('20250815_ETF_Options_Exhibits'!M531:M535)),AVERAGE('20250815_ETF_Options_Exhibits'!M531:M535),"")</f>
        <v/>
      </c>
      <c r="N535" s="3">
        <f>IF(ISNUMBER(AVERAGE('20250815_ETF_Options_Exhibits'!N531:N535)),AVERAGE('20250815_ETF_Options_Exhibits'!N531:N535),"")</f>
        <v/>
      </c>
      <c r="O535" s="3">
        <f>IF(ISNUMBER(AVERAGE('20250815_ETF_Options_Exhibits'!O531:O535)),AVERAGE('20250815_ETF_Options_Exhibits'!O531:O535),"")</f>
        <v/>
      </c>
      <c r="P535" s="3">
        <f>IF(ISNUMBER(AVERAGE('20250815_ETF_Options_Exhibits'!P531:P535)),AVERAGE('20250815_ETF_Options_Exhibits'!P531:P535),"")</f>
        <v/>
      </c>
      <c r="Q535" s="3">
        <f>IF(ISNUMBER(AVERAGE('20250815_ETF_Options_Exhibits'!Q531:Q535)),AVERAGE('20250815_ETF_Options_Exhibits'!Q531:Q535),"")</f>
        <v/>
      </c>
      <c r="R535" s="3">
        <f>IF(ISNUMBER(AVERAGE('20250815_ETF_Options_Exhibits'!R531:R535)),AVERAGE('20250815_ETF_Options_Exhibits'!R531:R535),"")</f>
        <v/>
      </c>
      <c r="S535" s="3">
        <f>IF(ISNUMBER(AVERAGE('20250815_ETF_Options_Exhibits'!S531:S535)),AVERAGE('20250815_ETF_Options_Exhibits'!S531:S535),"")</f>
        <v/>
      </c>
      <c r="T535" s="3">
        <f>IF(ISNUMBER(AVERAGE('20250815_ETF_Options_Exhibits'!T531:T535)),AVERAGE('20250815_ETF_Options_Exhibits'!T531:T535),"")</f>
        <v/>
      </c>
      <c r="U535" s="3">
        <f>IF(ISNUMBER(AVERAGE('20250815_ETF_Options_Exhibits'!U531:U535)),AVERAGE('20250815_ETF_Options_Exhibits'!U531:U535),"")</f>
        <v/>
      </c>
      <c r="V535" s="3">
        <f>IF(ISNUMBER(AVERAGE('20250815_ETF_Options_Exhibits'!V531:V535)),AVERAGE('20250815_ETF_Options_Exhibits'!V531:V535),"")</f>
        <v/>
      </c>
      <c r="W535" s="3">
        <f>IF(ISNUMBER(AVERAGE('20250815_ETF_Options_Exhibits'!W531:W535)),AVERAGE('20250815_ETF_Options_Exhibits'!W531:W535),"")</f>
        <v/>
      </c>
      <c r="X535" s="3">
        <f>IF(ISNUMBER(AVERAGE('20250815_ETF_Options_Exhibits'!X531:X535)),AVERAGE('20250815_ETF_Options_Exhibits'!X531:X535),"")</f>
        <v/>
      </c>
      <c r="Y535" s="3">
        <f>IF(ISNUMBER(AVERAGE('20250815_ETF_Options_Exhibits'!Y531:Y535)),AVERAGE('20250815_ETF_Options_Exhibits'!Y531:Y535),"")</f>
        <v/>
      </c>
      <c r="Z535" s="3">
        <f>IF(ISNUMBER(AVERAGE('20250815_ETF_Options_Exhibits'!Z531:Z535)),AVERAGE('20250815_ETF_Options_Exhibits'!Z531:Z535),"")</f>
        <v/>
      </c>
      <c r="AA535" s="3">
        <f>IF(ISNUMBER(AVERAGE('20250815_ETF_Options_Exhibits'!AA531:AA535)),AVERAGE('20250815_ETF_Options_Exhibits'!AA531:AA535),"")</f>
        <v/>
      </c>
    </row>
    <row r="536">
      <c r="A536" s="1" t="n">
        <v>42780</v>
      </c>
      <c r="B536" s="3">
        <f>IF(ISNUMBER(AVERAGE('20250815_ETF_Options_Exhibits'!B532:B536)),AVERAGE('20250815_ETF_Options_Exhibits'!B532:B536),"")</f>
        <v/>
      </c>
      <c r="C536" s="3">
        <f>IF(ISNUMBER(AVERAGE('20250815_ETF_Options_Exhibits'!C532:C536)),AVERAGE('20250815_ETF_Options_Exhibits'!C532:C536),"")</f>
        <v/>
      </c>
      <c r="D536" s="3">
        <f>IF(ISNUMBER(AVERAGE('20250815_ETF_Options_Exhibits'!D532:D536)),AVERAGE('20250815_ETF_Options_Exhibits'!D532:D536),"")</f>
        <v/>
      </c>
      <c r="E536" s="3">
        <f>IF(ISNUMBER(AVERAGE('20250815_ETF_Options_Exhibits'!E532:E536)),AVERAGE('20250815_ETF_Options_Exhibits'!E532:E536),"")</f>
        <v/>
      </c>
      <c r="F536" s="3">
        <f>IF(ISNUMBER(AVERAGE('20250815_ETF_Options_Exhibits'!F532:F536)),AVERAGE('20250815_ETF_Options_Exhibits'!F532:F536),"")</f>
        <v/>
      </c>
      <c r="G536" s="3">
        <f>IF(ISNUMBER(AVERAGE('20250815_ETF_Options_Exhibits'!G532:G536)),AVERAGE('20250815_ETF_Options_Exhibits'!G532:G536),"")</f>
        <v/>
      </c>
      <c r="H536" s="3">
        <f>IF(ISNUMBER(AVERAGE('20250815_ETF_Options_Exhibits'!H532:H536)),AVERAGE('20250815_ETF_Options_Exhibits'!H532:H536),"")</f>
        <v/>
      </c>
      <c r="I536" s="3">
        <f>IF(ISNUMBER(AVERAGE('20250815_ETF_Options_Exhibits'!I532:I536)),AVERAGE('20250815_ETF_Options_Exhibits'!I532:I536),"")</f>
        <v/>
      </c>
      <c r="J536" s="3">
        <f>IF(ISNUMBER(AVERAGE('20250815_ETF_Options_Exhibits'!J532:J536)),AVERAGE('20250815_ETF_Options_Exhibits'!J532:J536),"")</f>
        <v/>
      </c>
      <c r="K536" s="3">
        <f>IF(ISNUMBER(AVERAGE('20250815_ETF_Options_Exhibits'!K532:K536)),AVERAGE('20250815_ETF_Options_Exhibits'!K532:K536),"")</f>
        <v/>
      </c>
      <c r="L536" s="3">
        <f>IF(ISNUMBER(AVERAGE('20250815_ETF_Options_Exhibits'!L532:L536)),AVERAGE('20250815_ETF_Options_Exhibits'!L532:L536),"")</f>
        <v/>
      </c>
      <c r="M536" s="3">
        <f>IF(ISNUMBER(AVERAGE('20250815_ETF_Options_Exhibits'!M532:M536)),AVERAGE('20250815_ETF_Options_Exhibits'!M532:M536),"")</f>
        <v/>
      </c>
      <c r="N536" s="3">
        <f>IF(ISNUMBER(AVERAGE('20250815_ETF_Options_Exhibits'!N532:N536)),AVERAGE('20250815_ETF_Options_Exhibits'!N532:N536),"")</f>
        <v/>
      </c>
      <c r="O536" s="3">
        <f>IF(ISNUMBER(AVERAGE('20250815_ETF_Options_Exhibits'!O532:O536)),AVERAGE('20250815_ETF_Options_Exhibits'!O532:O536),"")</f>
        <v/>
      </c>
      <c r="P536" s="3">
        <f>IF(ISNUMBER(AVERAGE('20250815_ETF_Options_Exhibits'!P532:P536)),AVERAGE('20250815_ETF_Options_Exhibits'!P532:P536),"")</f>
        <v/>
      </c>
      <c r="Q536" s="3">
        <f>IF(ISNUMBER(AVERAGE('20250815_ETF_Options_Exhibits'!Q532:Q536)),AVERAGE('20250815_ETF_Options_Exhibits'!Q532:Q536),"")</f>
        <v/>
      </c>
      <c r="R536" s="3">
        <f>IF(ISNUMBER(AVERAGE('20250815_ETF_Options_Exhibits'!R532:R536)),AVERAGE('20250815_ETF_Options_Exhibits'!R532:R536),"")</f>
        <v/>
      </c>
      <c r="S536" s="3">
        <f>IF(ISNUMBER(AVERAGE('20250815_ETF_Options_Exhibits'!S532:S536)),AVERAGE('20250815_ETF_Options_Exhibits'!S532:S536),"")</f>
        <v/>
      </c>
      <c r="T536" s="3">
        <f>IF(ISNUMBER(AVERAGE('20250815_ETF_Options_Exhibits'!T532:T536)),AVERAGE('20250815_ETF_Options_Exhibits'!T532:T536),"")</f>
        <v/>
      </c>
      <c r="U536" s="3">
        <f>IF(ISNUMBER(AVERAGE('20250815_ETF_Options_Exhibits'!U532:U536)),AVERAGE('20250815_ETF_Options_Exhibits'!U532:U536),"")</f>
        <v/>
      </c>
      <c r="V536" s="3">
        <f>IF(ISNUMBER(AVERAGE('20250815_ETF_Options_Exhibits'!V532:V536)),AVERAGE('20250815_ETF_Options_Exhibits'!V532:V536),"")</f>
        <v/>
      </c>
      <c r="W536" s="3">
        <f>IF(ISNUMBER(AVERAGE('20250815_ETF_Options_Exhibits'!W532:W536)),AVERAGE('20250815_ETF_Options_Exhibits'!W532:W536),"")</f>
        <v/>
      </c>
      <c r="X536" s="3">
        <f>IF(ISNUMBER(AVERAGE('20250815_ETF_Options_Exhibits'!X532:X536)),AVERAGE('20250815_ETF_Options_Exhibits'!X532:X536),"")</f>
        <v/>
      </c>
      <c r="Y536" s="3">
        <f>IF(ISNUMBER(AVERAGE('20250815_ETF_Options_Exhibits'!Y532:Y536)),AVERAGE('20250815_ETF_Options_Exhibits'!Y532:Y536),"")</f>
        <v/>
      </c>
      <c r="Z536" s="3">
        <f>IF(ISNUMBER(AVERAGE('20250815_ETF_Options_Exhibits'!Z532:Z536)),AVERAGE('20250815_ETF_Options_Exhibits'!Z532:Z536),"")</f>
        <v/>
      </c>
      <c r="AA536" s="3">
        <f>IF(ISNUMBER(AVERAGE('20250815_ETF_Options_Exhibits'!AA532:AA536)),AVERAGE('20250815_ETF_Options_Exhibits'!AA532:AA536),"")</f>
        <v/>
      </c>
    </row>
    <row r="537">
      <c r="A537" s="1" t="n">
        <v>42781</v>
      </c>
      <c r="B537" s="3">
        <f>IF(ISNUMBER(AVERAGE('20250815_ETF_Options_Exhibits'!B533:B537)),AVERAGE('20250815_ETF_Options_Exhibits'!B533:B537),"")</f>
        <v/>
      </c>
      <c r="C537" s="3">
        <f>IF(ISNUMBER(AVERAGE('20250815_ETF_Options_Exhibits'!C533:C537)),AVERAGE('20250815_ETF_Options_Exhibits'!C533:C537),"")</f>
        <v/>
      </c>
      <c r="D537" s="3">
        <f>IF(ISNUMBER(AVERAGE('20250815_ETF_Options_Exhibits'!D533:D537)),AVERAGE('20250815_ETF_Options_Exhibits'!D533:D537),"")</f>
        <v/>
      </c>
      <c r="E537" s="3">
        <f>IF(ISNUMBER(AVERAGE('20250815_ETF_Options_Exhibits'!E533:E537)),AVERAGE('20250815_ETF_Options_Exhibits'!E533:E537),"")</f>
        <v/>
      </c>
      <c r="F537" s="3">
        <f>IF(ISNUMBER(AVERAGE('20250815_ETF_Options_Exhibits'!F533:F537)),AVERAGE('20250815_ETF_Options_Exhibits'!F533:F537),"")</f>
        <v/>
      </c>
      <c r="G537" s="3">
        <f>IF(ISNUMBER(AVERAGE('20250815_ETF_Options_Exhibits'!G533:G537)),AVERAGE('20250815_ETF_Options_Exhibits'!G533:G537),"")</f>
        <v/>
      </c>
      <c r="H537" s="3">
        <f>IF(ISNUMBER(AVERAGE('20250815_ETF_Options_Exhibits'!H533:H537)),AVERAGE('20250815_ETF_Options_Exhibits'!H533:H537),"")</f>
        <v/>
      </c>
      <c r="I537" s="3">
        <f>IF(ISNUMBER(AVERAGE('20250815_ETF_Options_Exhibits'!I533:I537)),AVERAGE('20250815_ETF_Options_Exhibits'!I533:I537),"")</f>
        <v/>
      </c>
      <c r="J537" s="3">
        <f>IF(ISNUMBER(AVERAGE('20250815_ETF_Options_Exhibits'!J533:J537)),AVERAGE('20250815_ETF_Options_Exhibits'!J533:J537),"")</f>
        <v/>
      </c>
      <c r="K537" s="3">
        <f>IF(ISNUMBER(AVERAGE('20250815_ETF_Options_Exhibits'!K533:K537)),AVERAGE('20250815_ETF_Options_Exhibits'!K533:K537),"")</f>
        <v/>
      </c>
      <c r="L537" s="3">
        <f>IF(ISNUMBER(AVERAGE('20250815_ETF_Options_Exhibits'!L533:L537)),AVERAGE('20250815_ETF_Options_Exhibits'!L533:L537),"")</f>
        <v/>
      </c>
      <c r="M537" s="3">
        <f>IF(ISNUMBER(AVERAGE('20250815_ETF_Options_Exhibits'!M533:M537)),AVERAGE('20250815_ETF_Options_Exhibits'!M533:M537),"")</f>
        <v/>
      </c>
      <c r="N537" s="3">
        <f>IF(ISNUMBER(AVERAGE('20250815_ETF_Options_Exhibits'!N533:N537)),AVERAGE('20250815_ETF_Options_Exhibits'!N533:N537),"")</f>
        <v/>
      </c>
      <c r="O537" s="3">
        <f>IF(ISNUMBER(AVERAGE('20250815_ETF_Options_Exhibits'!O533:O537)),AVERAGE('20250815_ETF_Options_Exhibits'!O533:O537),"")</f>
        <v/>
      </c>
      <c r="P537" s="3">
        <f>IF(ISNUMBER(AVERAGE('20250815_ETF_Options_Exhibits'!P533:P537)),AVERAGE('20250815_ETF_Options_Exhibits'!P533:P537),"")</f>
        <v/>
      </c>
      <c r="Q537" s="3">
        <f>IF(ISNUMBER(AVERAGE('20250815_ETF_Options_Exhibits'!Q533:Q537)),AVERAGE('20250815_ETF_Options_Exhibits'!Q533:Q537),"")</f>
        <v/>
      </c>
      <c r="R537" s="3">
        <f>IF(ISNUMBER(AVERAGE('20250815_ETF_Options_Exhibits'!R533:R537)),AVERAGE('20250815_ETF_Options_Exhibits'!R533:R537),"")</f>
        <v/>
      </c>
      <c r="S537" s="3">
        <f>IF(ISNUMBER(AVERAGE('20250815_ETF_Options_Exhibits'!S533:S537)),AVERAGE('20250815_ETF_Options_Exhibits'!S533:S537),"")</f>
        <v/>
      </c>
      <c r="T537" s="3">
        <f>IF(ISNUMBER(AVERAGE('20250815_ETF_Options_Exhibits'!T533:T537)),AVERAGE('20250815_ETF_Options_Exhibits'!T533:T537),"")</f>
        <v/>
      </c>
      <c r="U537" s="3">
        <f>IF(ISNUMBER(AVERAGE('20250815_ETF_Options_Exhibits'!U533:U537)),AVERAGE('20250815_ETF_Options_Exhibits'!U533:U537),"")</f>
        <v/>
      </c>
      <c r="V537" s="3">
        <f>IF(ISNUMBER(AVERAGE('20250815_ETF_Options_Exhibits'!V533:V537)),AVERAGE('20250815_ETF_Options_Exhibits'!V533:V537),"")</f>
        <v/>
      </c>
      <c r="W537" s="3">
        <f>IF(ISNUMBER(AVERAGE('20250815_ETF_Options_Exhibits'!W533:W537)),AVERAGE('20250815_ETF_Options_Exhibits'!W533:W537),"")</f>
        <v/>
      </c>
      <c r="X537" s="3">
        <f>IF(ISNUMBER(AVERAGE('20250815_ETF_Options_Exhibits'!X533:X537)),AVERAGE('20250815_ETF_Options_Exhibits'!X533:X537),"")</f>
        <v/>
      </c>
      <c r="Y537" s="3">
        <f>IF(ISNUMBER(AVERAGE('20250815_ETF_Options_Exhibits'!Y533:Y537)),AVERAGE('20250815_ETF_Options_Exhibits'!Y533:Y537),"")</f>
        <v/>
      </c>
      <c r="Z537" s="3">
        <f>IF(ISNUMBER(AVERAGE('20250815_ETF_Options_Exhibits'!Z533:Z537)),AVERAGE('20250815_ETF_Options_Exhibits'!Z533:Z537),"")</f>
        <v/>
      </c>
      <c r="AA537" s="3">
        <f>IF(ISNUMBER(AVERAGE('20250815_ETF_Options_Exhibits'!AA533:AA537)),AVERAGE('20250815_ETF_Options_Exhibits'!AA533:AA537),"")</f>
        <v/>
      </c>
    </row>
    <row r="538">
      <c r="A538" s="1" t="n">
        <v>42782</v>
      </c>
      <c r="B538" s="3">
        <f>IF(ISNUMBER(AVERAGE('20250815_ETF_Options_Exhibits'!B534:B538)),AVERAGE('20250815_ETF_Options_Exhibits'!B534:B538),"")</f>
        <v/>
      </c>
      <c r="C538" s="3">
        <f>IF(ISNUMBER(AVERAGE('20250815_ETF_Options_Exhibits'!C534:C538)),AVERAGE('20250815_ETF_Options_Exhibits'!C534:C538),"")</f>
        <v/>
      </c>
      <c r="D538" s="3">
        <f>IF(ISNUMBER(AVERAGE('20250815_ETF_Options_Exhibits'!D534:D538)),AVERAGE('20250815_ETF_Options_Exhibits'!D534:D538),"")</f>
        <v/>
      </c>
      <c r="E538" s="3">
        <f>IF(ISNUMBER(AVERAGE('20250815_ETF_Options_Exhibits'!E534:E538)),AVERAGE('20250815_ETF_Options_Exhibits'!E534:E538),"")</f>
        <v/>
      </c>
      <c r="F538" s="3">
        <f>IF(ISNUMBER(AVERAGE('20250815_ETF_Options_Exhibits'!F534:F538)),AVERAGE('20250815_ETF_Options_Exhibits'!F534:F538),"")</f>
        <v/>
      </c>
      <c r="G538" s="3">
        <f>IF(ISNUMBER(AVERAGE('20250815_ETF_Options_Exhibits'!G534:G538)),AVERAGE('20250815_ETF_Options_Exhibits'!G534:G538),"")</f>
        <v/>
      </c>
      <c r="H538" s="3">
        <f>IF(ISNUMBER(AVERAGE('20250815_ETF_Options_Exhibits'!H534:H538)),AVERAGE('20250815_ETF_Options_Exhibits'!H534:H538),"")</f>
        <v/>
      </c>
      <c r="I538" s="3">
        <f>IF(ISNUMBER(AVERAGE('20250815_ETF_Options_Exhibits'!I534:I538)),AVERAGE('20250815_ETF_Options_Exhibits'!I534:I538),"")</f>
        <v/>
      </c>
      <c r="J538" s="3">
        <f>IF(ISNUMBER(AVERAGE('20250815_ETF_Options_Exhibits'!J534:J538)),AVERAGE('20250815_ETF_Options_Exhibits'!J534:J538),"")</f>
        <v/>
      </c>
      <c r="K538" s="3">
        <f>IF(ISNUMBER(AVERAGE('20250815_ETF_Options_Exhibits'!K534:K538)),AVERAGE('20250815_ETF_Options_Exhibits'!K534:K538),"")</f>
        <v/>
      </c>
      <c r="L538" s="3">
        <f>IF(ISNUMBER(AVERAGE('20250815_ETF_Options_Exhibits'!L534:L538)),AVERAGE('20250815_ETF_Options_Exhibits'!L534:L538),"")</f>
        <v/>
      </c>
      <c r="M538" s="3">
        <f>IF(ISNUMBER(AVERAGE('20250815_ETF_Options_Exhibits'!M534:M538)),AVERAGE('20250815_ETF_Options_Exhibits'!M534:M538),"")</f>
        <v/>
      </c>
      <c r="N538" s="3">
        <f>IF(ISNUMBER(AVERAGE('20250815_ETF_Options_Exhibits'!N534:N538)),AVERAGE('20250815_ETF_Options_Exhibits'!N534:N538),"")</f>
        <v/>
      </c>
      <c r="O538" s="3">
        <f>IF(ISNUMBER(AVERAGE('20250815_ETF_Options_Exhibits'!O534:O538)),AVERAGE('20250815_ETF_Options_Exhibits'!O534:O538),"")</f>
        <v/>
      </c>
      <c r="P538" s="3">
        <f>IF(ISNUMBER(AVERAGE('20250815_ETF_Options_Exhibits'!P534:P538)),AVERAGE('20250815_ETF_Options_Exhibits'!P534:P538),"")</f>
        <v/>
      </c>
      <c r="Q538" s="3">
        <f>IF(ISNUMBER(AVERAGE('20250815_ETF_Options_Exhibits'!Q534:Q538)),AVERAGE('20250815_ETF_Options_Exhibits'!Q534:Q538),"")</f>
        <v/>
      </c>
      <c r="R538" s="3">
        <f>IF(ISNUMBER(AVERAGE('20250815_ETF_Options_Exhibits'!R534:R538)),AVERAGE('20250815_ETF_Options_Exhibits'!R534:R538),"")</f>
        <v/>
      </c>
      <c r="S538" s="3">
        <f>IF(ISNUMBER(AVERAGE('20250815_ETF_Options_Exhibits'!S534:S538)),AVERAGE('20250815_ETF_Options_Exhibits'!S534:S538),"")</f>
        <v/>
      </c>
      <c r="T538" s="3">
        <f>IF(ISNUMBER(AVERAGE('20250815_ETF_Options_Exhibits'!T534:T538)),AVERAGE('20250815_ETF_Options_Exhibits'!T534:T538),"")</f>
        <v/>
      </c>
      <c r="U538" s="3">
        <f>IF(ISNUMBER(AVERAGE('20250815_ETF_Options_Exhibits'!U534:U538)),AVERAGE('20250815_ETF_Options_Exhibits'!U534:U538),"")</f>
        <v/>
      </c>
      <c r="V538" s="3">
        <f>IF(ISNUMBER(AVERAGE('20250815_ETF_Options_Exhibits'!V534:V538)),AVERAGE('20250815_ETF_Options_Exhibits'!V534:V538),"")</f>
        <v/>
      </c>
      <c r="W538" s="3">
        <f>IF(ISNUMBER(AVERAGE('20250815_ETF_Options_Exhibits'!W534:W538)),AVERAGE('20250815_ETF_Options_Exhibits'!W534:W538),"")</f>
        <v/>
      </c>
      <c r="X538" s="3">
        <f>IF(ISNUMBER(AVERAGE('20250815_ETF_Options_Exhibits'!X534:X538)),AVERAGE('20250815_ETF_Options_Exhibits'!X534:X538),"")</f>
        <v/>
      </c>
      <c r="Y538" s="3">
        <f>IF(ISNUMBER(AVERAGE('20250815_ETF_Options_Exhibits'!Y534:Y538)),AVERAGE('20250815_ETF_Options_Exhibits'!Y534:Y538),"")</f>
        <v/>
      </c>
      <c r="Z538" s="3">
        <f>IF(ISNUMBER(AVERAGE('20250815_ETF_Options_Exhibits'!Z534:Z538)),AVERAGE('20250815_ETF_Options_Exhibits'!Z534:Z538),"")</f>
        <v/>
      </c>
      <c r="AA538" s="3">
        <f>IF(ISNUMBER(AVERAGE('20250815_ETF_Options_Exhibits'!AA534:AA538)),AVERAGE('20250815_ETF_Options_Exhibits'!AA534:AA538),"")</f>
        <v/>
      </c>
    </row>
    <row r="539">
      <c r="A539" s="1" t="n">
        <v>42783</v>
      </c>
      <c r="B539" s="3">
        <f>IF(ISNUMBER(AVERAGE('20250815_ETF_Options_Exhibits'!B535:B539)),AVERAGE('20250815_ETF_Options_Exhibits'!B535:B539),"")</f>
        <v/>
      </c>
      <c r="C539" s="3">
        <f>IF(ISNUMBER(AVERAGE('20250815_ETF_Options_Exhibits'!C535:C539)),AVERAGE('20250815_ETF_Options_Exhibits'!C535:C539),"")</f>
        <v/>
      </c>
      <c r="D539" s="3">
        <f>IF(ISNUMBER(AVERAGE('20250815_ETF_Options_Exhibits'!D535:D539)),AVERAGE('20250815_ETF_Options_Exhibits'!D535:D539),"")</f>
        <v/>
      </c>
      <c r="E539" s="3">
        <f>IF(ISNUMBER(AVERAGE('20250815_ETF_Options_Exhibits'!E535:E539)),AVERAGE('20250815_ETF_Options_Exhibits'!E535:E539),"")</f>
        <v/>
      </c>
      <c r="F539" s="3">
        <f>IF(ISNUMBER(AVERAGE('20250815_ETF_Options_Exhibits'!F535:F539)),AVERAGE('20250815_ETF_Options_Exhibits'!F535:F539),"")</f>
        <v/>
      </c>
      <c r="G539" s="3">
        <f>IF(ISNUMBER(AVERAGE('20250815_ETF_Options_Exhibits'!G535:G539)),AVERAGE('20250815_ETF_Options_Exhibits'!G535:G539),"")</f>
        <v/>
      </c>
      <c r="H539" s="3">
        <f>IF(ISNUMBER(AVERAGE('20250815_ETF_Options_Exhibits'!H535:H539)),AVERAGE('20250815_ETF_Options_Exhibits'!H535:H539),"")</f>
        <v/>
      </c>
      <c r="I539" s="3">
        <f>IF(ISNUMBER(AVERAGE('20250815_ETF_Options_Exhibits'!I535:I539)),AVERAGE('20250815_ETF_Options_Exhibits'!I535:I539),"")</f>
        <v/>
      </c>
      <c r="J539" s="3">
        <f>IF(ISNUMBER(AVERAGE('20250815_ETF_Options_Exhibits'!J535:J539)),AVERAGE('20250815_ETF_Options_Exhibits'!J535:J539),"")</f>
        <v/>
      </c>
      <c r="K539" s="3">
        <f>IF(ISNUMBER(AVERAGE('20250815_ETF_Options_Exhibits'!K535:K539)),AVERAGE('20250815_ETF_Options_Exhibits'!K535:K539),"")</f>
        <v/>
      </c>
      <c r="L539" s="3">
        <f>IF(ISNUMBER(AVERAGE('20250815_ETF_Options_Exhibits'!L535:L539)),AVERAGE('20250815_ETF_Options_Exhibits'!L535:L539),"")</f>
        <v/>
      </c>
      <c r="M539" s="3">
        <f>IF(ISNUMBER(AVERAGE('20250815_ETF_Options_Exhibits'!M535:M539)),AVERAGE('20250815_ETF_Options_Exhibits'!M535:M539),"")</f>
        <v/>
      </c>
      <c r="N539" s="3">
        <f>IF(ISNUMBER(AVERAGE('20250815_ETF_Options_Exhibits'!N535:N539)),AVERAGE('20250815_ETF_Options_Exhibits'!N535:N539),"")</f>
        <v/>
      </c>
      <c r="O539" s="3">
        <f>IF(ISNUMBER(AVERAGE('20250815_ETF_Options_Exhibits'!O535:O539)),AVERAGE('20250815_ETF_Options_Exhibits'!O535:O539),"")</f>
        <v/>
      </c>
      <c r="P539" s="3">
        <f>IF(ISNUMBER(AVERAGE('20250815_ETF_Options_Exhibits'!P535:P539)),AVERAGE('20250815_ETF_Options_Exhibits'!P535:P539),"")</f>
        <v/>
      </c>
      <c r="Q539" s="3">
        <f>IF(ISNUMBER(AVERAGE('20250815_ETF_Options_Exhibits'!Q535:Q539)),AVERAGE('20250815_ETF_Options_Exhibits'!Q535:Q539),"")</f>
        <v/>
      </c>
      <c r="R539" s="3">
        <f>IF(ISNUMBER(AVERAGE('20250815_ETF_Options_Exhibits'!R535:R539)),AVERAGE('20250815_ETF_Options_Exhibits'!R535:R539),"")</f>
        <v/>
      </c>
      <c r="S539" s="3">
        <f>IF(ISNUMBER(AVERAGE('20250815_ETF_Options_Exhibits'!S535:S539)),AVERAGE('20250815_ETF_Options_Exhibits'!S535:S539),"")</f>
        <v/>
      </c>
      <c r="T539" s="3">
        <f>IF(ISNUMBER(AVERAGE('20250815_ETF_Options_Exhibits'!T535:T539)),AVERAGE('20250815_ETF_Options_Exhibits'!T535:T539),"")</f>
        <v/>
      </c>
      <c r="U539" s="3">
        <f>IF(ISNUMBER(AVERAGE('20250815_ETF_Options_Exhibits'!U535:U539)),AVERAGE('20250815_ETF_Options_Exhibits'!U535:U539),"")</f>
        <v/>
      </c>
      <c r="V539" s="3">
        <f>IF(ISNUMBER(AVERAGE('20250815_ETF_Options_Exhibits'!V535:V539)),AVERAGE('20250815_ETF_Options_Exhibits'!V535:V539),"")</f>
        <v/>
      </c>
      <c r="W539" s="3">
        <f>IF(ISNUMBER(AVERAGE('20250815_ETF_Options_Exhibits'!W535:W539)),AVERAGE('20250815_ETF_Options_Exhibits'!W535:W539),"")</f>
        <v/>
      </c>
      <c r="X539" s="3">
        <f>IF(ISNUMBER(AVERAGE('20250815_ETF_Options_Exhibits'!X535:X539)),AVERAGE('20250815_ETF_Options_Exhibits'!X535:X539),"")</f>
        <v/>
      </c>
      <c r="Y539" s="3">
        <f>IF(ISNUMBER(AVERAGE('20250815_ETF_Options_Exhibits'!Y535:Y539)),AVERAGE('20250815_ETF_Options_Exhibits'!Y535:Y539),"")</f>
        <v/>
      </c>
      <c r="Z539" s="3">
        <f>IF(ISNUMBER(AVERAGE('20250815_ETF_Options_Exhibits'!Z535:Z539)),AVERAGE('20250815_ETF_Options_Exhibits'!Z535:Z539),"")</f>
        <v/>
      </c>
      <c r="AA539" s="3">
        <f>IF(ISNUMBER(AVERAGE('20250815_ETF_Options_Exhibits'!AA535:AA539)),AVERAGE('20250815_ETF_Options_Exhibits'!AA535:AA539),"")</f>
        <v/>
      </c>
    </row>
    <row r="540">
      <c r="A540" s="1" t="n">
        <v>42787</v>
      </c>
      <c r="B540" s="3">
        <f>IF(ISNUMBER(AVERAGE('20250815_ETF_Options_Exhibits'!B536:B540)),AVERAGE('20250815_ETF_Options_Exhibits'!B536:B540),"")</f>
        <v/>
      </c>
      <c r="C540" s="3">
        <f>IF(ISNUMBER(AVERAGE('20250815_ETF_Options_Exhibits'!C536:C540)),AVERAGE('20250815_ETF_Options_Exhibits'!C536:C540),"")</f>
        <v/>
      </c>
      <c r="D540" s="3">
        <f>IF(ISNUMBER(AVERAGE('20250815_ETF_Options_Exhibits'!D536:D540)),AVERAGE('20250815_ETF_Options_Exhibits'!D536:D540),"")</f>
        <v/>
      </c>
      <c r="E540" s="3">
        <f>IF(ISNUMBER(AVERAGE('20250815_ETF_Options_Exhibits'!E536:E540)),AVERAGE('20250815_ETF_Options_Exhibits'!E536:E540),"")</f>
        <v/>
      </c>
      <c r="F540" s="3">
        <f>IF(ISNUMBER(AVERAGE('20250815_ETF_Options_Exhibits'!F536:F540)),AVERAGE('20250815_ETF_Options_Exhibits'!F536:F540),"")</f>
        <v/>
      </c>
      <c r="G540" s="3">
        <f>IF(ISNUMBER(AVERAGE('20250815_ETF_Options_Exhibits'!G536:G540)),AVERAGE('20250815_ETF_Options_Exhibits'!G536:G540),"")</f>
        <v/>
      </c>
      <c r="H540" s="3">
        <f>IF(ISNUMBER(AVERAGE('20250815_ETF_Options_Exhibits'!H536:H540)),AVERAGE('20250815_ETF_Options_Exhibits'!H536:H540),"")</f>
        <v/>
      </c>
      <c r="I540" s="3">
        <f>IF(ISNUMBER(AVERAGE('20250815_ETF_Options_Exhibits'!I536:I540)),AVERAGE('20250815_ETF_Options_Exhibits'!I536:I540),"")</f>
        <v/>
      </c>
      <c r="J540" s="3">
        <f>IF(ISNUMBER(AVERAGE('20250815_ETF_Options_Exhibits'!J536:J540)),AVERAGE('20250815_ETF_Options_Exhibits'!J536:J540),"")</f>
        <v/>
      </c>
      <c r="K540" s="3">
        <f>IF(ISNUMBER(AVERAGE('20250815_ETF_Options_Exhibits'!K536:K540)),AVERAGE('20250815_ETF_Options_Exhibits'!K536:K540),"")</f>
        <v/>
      </c>
      <c r="L540" s="3">
        <f>IF(ISNUMBER(AVERAGE('20250815_ETF_Options_Exhibits'!L536:L540)),AVERAGE('20250815_ETF_Options_Exhibits'!L536:L540),"")</f>
        <v/>
      </c>
      <c r="M540" s="3">
        <f>IF(ISNUMBER(AVERAGE('20250815_ETF_Options_Exhibits'!M536:M540)),AVERAGE('20250815_ETF_Options_Exhibits'!M536:M540),"")</f>
        <v/>
      </c>
      <c r="N540" s="3">
        <f>IF(ISNUMBER(AVERAGE('20250815_ETF_Options_Exhibits'!N536:N540)),AVERAGE('20250815_ETF_Options_Exhibits'!N536:N540),"")</f>
        <v/>
      </c>
      <c r="O540" s="3">
        <f>IF(ISNUMBER(AVERAGE('20250815_ETF_Options_Exhibits'!O536:O540)),AVERAGE('20250815_ETF_Options_Exhibits'!O536:O540),"")</f>
        <v/>
      </c>
      <c r="P540" s="3">
        <f>IF(ISNUMBER(AVERAGE('20250815_ETF_Options_Exhibits'!P536:P540)),AVERAGE('20250815_ETF_Options_Exhibits'!P536:P540),"")</f>
        <v/>
      </c>
      <c r="Q540" s="3">
        <f>IF(ISNUMBER(AVERAGE('20250815_ETF_Options_Exhibits'!Q536:Q540)),AVERAGE('20250815_ETF_Options_Exhibits'!Q536:Q540),"")</f>
        <v/>
      </c>
      <c r="R540" s="3">
        <f>IF(ISNUMBER(AVERAGE('20250815_ETF_Options_Exhibits'!R536:R540)),AVERAGE('20250815_ETF_Options_Exhibits'!R536:R540),"")</f>
        <v/>
      </c>
      <c r="S540" s="3">
        <f>IF(ISNUMBER(AVERAGE('20250815_ETF_Options_Exhibits'!S536:S540)),AVERAGE('20250815_ETF_Options_Exhibits'!S536:S540),"")</f>
        <v/>
      </c>
      <c r="T540" s="3">
        <f>IF(ISNUMBER(AVERAGE('20250815_ETF_Options_Exhibits'!T536:T540)),AVERAGE('20250815_ETF_Options_Exhibits'!T536:T540),"")</f>
        <v/>
      </c>
      <c r="U540" s="3">
        <f>IF(ISNUMBER(AVERAGE('20250815_ETF_Options_Exhibits'!U536:U540)),AVERAGE('20250815_ETF_Options_Exhibits'!U536:U540),"")</f>
        <v/>
      </c>
      <c r="V540" s="3">
        <f>IF(ISNUMBER(AVERAGE('20250815_ETF_Options_Exhibits'!V536:V540)),AVERAGE('20250815_ETF_Options_Exhibits'!V536:V540),"")</f>
        <v/>
      </c>
      <c r="W540" s="3">
        <f>IF(ISNUMBER(AVERAGE('20250815_ETF_Options_Exhibits'!W536:W540)),AVERAGE('20250815_ETF_Options_Exhibits'!W536:W540),"")</f>
        <v/>
      </c>
      <c r="X540" s="3">
        <f>IF(ISNUMBER(AVERAGE('20250815_ETF_Options_Exhibits'!X536:X540)),AVERAGE('20250815_ETF_Options_Exhibits'!X536:X540),"")</f>
        <v/>
      </c>
      <c r="Y540" s="3">
        <f>IF(ISNUMBER(AVERAGE('20250815_ETF_Options_Exhibits'!Y536:Y540)),AVERAGE('20250815_ETF_Options_Exhibits'!Y536:Y540),"")</f>
        <v/>
      </c>
      <c r="Z540" s="3">
        <f>IF(ISNUMBER(AVERAGE('20250815_ETF_Options_Exhibits'!Z536:Z540)),AVERAGE('20250815_ETF_Options_Exhibits'!Z536:Z540),"")</f>
        <v/>
      </c>
      <c r="AA540" s="3">
        <f>IF(ISNUMBER(AVERAGE('20250815_ETF_Options_Exhibits'!AA536:AA540)),AVERAGE('20250815_ETF_Options_Exhibits'!AA536:AA540),"")</f>
        <v/>
      </c>
    </row>
    <row r="541">
      <c r="A541" s="1" t="n">
        <v>42788</v>
      </c>
      <c r="B541" s="3">
        <f>IF(ISNUMBER(AVERAGE('20250815_ETF_Options_Exhibits'!B537:B541)),AVERAGE('20250815_ETF_Options_Exhibits'!B537:B541),"")</f>
        <v/>
      </c>
      <c r="C541" s="3">
        <f>IF(ISNUMBER(AVERAGE('20250815_ETF_Options_Exhibits'!C537:C541)),AVERAGE('20250815_ETF_Options_Exhibits'!C537:C541),"")</f>
        <v/>
      </c>
      <c r="D541" s="3">
        <f>IF(ISNUMBER(AVERAGE('20250815_ETF_Options_Exhibits'!D537:D541)),AVERAGE('20250815_ETF_Options_Exhibits'!D537:D541),"")</f>
        <v/>
      </c>
      <c r="E541" s="3">
        <f>IF(ISNUMBER(AVERAGE('20250815_ETF_Options_Exhibits'!E537:E541)),AVERAGE('20250815_ETF_Options_Exhibits'!E537:E541),"")</f>
        <v/>
      </c>
      <c r="F541" s="3">
        <f>IF(ISNUMBER(AVERAGE('20250815_ETF_Options_Exhibits'!F537:F541)),AVERAGE('20250815_ETF_Options_Exhibits'!F537:F541),"")</f>
        <v/>
      </c>
      <c r="G541" s="3">
        <f>IF(ISNUMBER(AVERAGE('20250815_ETF_Options_Exhibits'!G537:G541)),AVERAGE('20250815_ETF_Options_Exhibits'!G537:G541),"")</f>
        <v/>
      </c>
      <c r="H541" s="3">
        <f>IF(ISNUMBER(AVERAGE('20250815_ETF_Options_Exhibits'!H537:H541)),AVERAGE('20250815_ETF_Options_Exhibits'!H537:H541),"")</f>
        <v/>
      </c>
      <c r="I541" s="3">
        <f>IF(ISNUMBER(AVERAGE('20250815_ETF_Options_Exhibits'!I537:I541)),AVERAGE('20250815_ETF_Options_Exhibits'!I537:I541),"")</f>
        <v/>
      </c>
      <c r="J541" s="3">
        <f>IF(ISNUMBER(AVERAGE('20250815_ETF_Options_Exhibits'!J537:J541)),AVERAGE('20250815_ETF_Options_Exhibits'!J537:J541),"")</f>
        <v/>
      </c>
      <c r="K541" s="3">
        <f>IF(ISNUMBER(AVERAGE('20250815_ETF_Options_Exhibits'!K537:K541)),AVERAGE('20250815_ETF_Options_Exhibits'!K537:K541),"")</f>
        <v/>
      </c>
      <c r="L541" s="3">
        <f>IF(ISNUMBER(AVERAGE('20250815_ETF_Options_Exhibits'!L537:L541)),AVERAGE('20250815_ETF_Options_Exhibits'!L537:L541),"")</f>
        <v/>
      </c>
      <c r="M541" s="3">
        <f>IF(ISNUMBER(AVERAGE('20250815_ETF_Options_Exhibits'!M537:M541)),AVERAGE('20250815_ETF_Options_Exhibits'!M537:M541),"")</f>
        <v/>
      </c>
      <c r="N541" s="3">
        <f>IF(ISNUMBER(AVERAGE('20250815_ETF_Options_Exhibits'!N537:N541)),AVERAGE('20250815_ETF_Options_Exhibits'!N537:N541),"")</f>
        <v/>
      </c>
      <c r="O541" s="3">
        <f>IF(ISNUMBER(AVERAGE('20250815_ETF_Options_Exhibits'!O537:O541)),AVERAGE('20250815_ETF_Options_Exhibits'!O537:O541),"")</f>
        <v/>
      </c>
      <c r="P541" s="3">
        <f>IF(ISNUMBER(AVERAGE('20250815_ETF_Options_Exhibits'!P537:P541)),AVERAGE('20250815_ETF_Options_Exhibits'!P537:P541),"")</f>
        <v/>
      </c>
      <c r="Q541" s="3">
        <f>IF(ISNUMBER(AVERAGE('20250815_ETF_Options_Exhibits'!Q537:Q541)),AVERAGE('20250815_ETF_Options_Exhibits'!Q537:Q541),"")</f>
        <v/>
      </c>
      <c r="R541" s="3">
        <f>IF(ISNUMBER(AVERAGE('20250815_ETF_Options_Exhibits'!R537:R541)),AVERAGE('20250815_ETF_Options_Exhibits'!R537:R541),"")</f>
        <v/>
      </c>
      <c r="S541" s="3">
        <f>IF(ISNUMBER(AVERAGE('20250815_ETF_Options_Exhibits'!S537:S541)),AVERAGE('20250815_ETF_Options_Exhibits'!S537:S541),"")</f>
        <v/>
      </c>
      <c r="T541" s="3">
        <f>IF(ISNUMBER(AVERAGE('20250815_ETF_Options_Exhibits'!T537:T541)),AVERAGE('20250815_ETF_Options_Exhibits'!T537:T541),"")</f>
        <v/>
      </c>
      <c r="U541" s="3">
        <f>IF(ISNUMBER(AVERAGE('20250815_ETF_Options_Exhibits'!U537:U541)),AVERAGE('20250815_ETF_Options_Exhibits'!U537:U541),"")</f>
        <v/>
      </c>
      <c r="V541" s="3">
        <f>IF(ISNUMBER(AVERAGE('20250815_ETF_Options_Exhibits'!V537:V541)),AVERAGE('20250815_ETF_Options_Exhibits'!V537:V541),"")</f>
        <v/>
      </c>
      <c r="W541" s="3">
        <f>IF(ISNUMBER(AVERAGE('20250815_ETF_Options_Exhibits'!W537:W541)),AVERAGE('20250815_ETF_Options_Exhibits'!W537:W541),"")</f>
        <v/>
      </c>
      <c r="X541" s="3">
        <f>IF(ISNUMBER(AVERAGE('20250815_ETF_Options_Exhibits'!X537:X541)),AVERAGE('20250815_ETF_Options_Exhibits'!X537:X541),"")</f>
        <v/>
      </c>
      <c r="Y541" s="3">
        <f>IF(ISNUMBER(AVERAGE('20250815_ETF_Options_Exhibits'!Y537:Y541)),AVERAGE('20250815_ETF_Options_Exhibits'!Y537:Y541),"")</f>
        <v/>
      </c>
      <c r="Z541" s="3">
        <f>IF(ISNUMBER(AVERAGE('20250815_ETF_Options_Exhibits'!Z537:Z541)),AVERAGE('20250815_ETF_Options_Exhibits'!Z537:Z541),"")</f>
        <v/>
      </c>
      <c r="AA541" s="3">
        <f>IF(ISNUMBER(AVERAGE('20250815_ETF_Options_Exhibits'!AA537:AA541)),AVERAGE('20250815_ETF_Options_Exhibits'!AA537:AA541),"")</f>
        <v/>
      </c>
    </row>
    <row r="542">
      <c r="A542" s="1" t="n">
        <v>42789</v>
      </c>
      <c r="B542" s="3">
        <f>IF(ISNUMBER(AVERAGE('20250815_ETF_Options_Exhibits'!B538:B542)),AVERAGE('20250815_ETF_Options_Exhibits'!B538:B542),"")</f>
        <v/>
      </c>
      <c r="C542" s="3">
        <f>IF(ISNUMBER(AVERAGE('20250815_ETF_Options_Exhibits'!C538:C542)),AVERAGE('20250815_ETF_Options_Exhibits'!C538:C542),"")</f>
        <v/>
      </c>
      <c r="D542" s="3">
        <f>IF(ISNUMBER(AVERAGE('20250815_ETF_Options_Exhibits'!D538:D542)),AVERAGE('20250815_ETF_Options_Exhibits'!D538:D542),"")</f>
        <v/>
      </c>
      <c r="E542" s="3">
        <f>IF(ISNUMBER(AVERAGE('20250815_ETF_Options_Exhibits'!E538:E542)),AVERAGE('20250815_ETF_Options_Exhibits'!E538:E542),"")</f>
        <v/>
      </c>
      <c r="F542" s="3">
        <f>IF(ISNUMBER(AVERAGE('20250815_ETF_Options_Exhibits'!F538:F542)),AVERAGE('20250815_ETF_Options_Exhibits'!F538:F542),"")</f>
        <v/>
      </c>
      <c r="G542" s="3">
        <f>IF(ISNUMBER(AVERAGE('20250815_ETF_Options_Exhibits'!G538:G542)),AVERAGE('20250815_ETF_Options_Exhibits'!G538:G542),"")</f>
        <v/>
      </c>
      <c r="H542" s="3">
        <f>IF(ISNUMBER(AVERAGE('20250815_ETF_Options_Exhibits'!H538:H542)),AVERAGE('20250815_ETF_Options_Exhibits'!H538:H542),"")</f>
        <v/>
      </c>
      <c r="I542" s="3">
        <f>IF(ISNUMBER(AVERAGE('20250815_ETF_Options_Exhibits'!I538:I542)),AVERAGE('20250815_ETF_Options_Exhibits'!I538:I542),"")</f>
        <v/>
      </c>
      <c r="J542" s="3">
        <f>IF(ISNUMBER(AVERAGE('20250815_ETF_Options_Exhibits'!J538:J542)),AVERAGE('20250815_ETF_Options_Exhibits'!J538:J542),"")</f>
        <v/>
      </c>
      <c r="K542" s="3">
        <f>IF(ISNUMBER(AVERAGE('20250815_ETF_Options_Exhibits'!K538:K542)),AVERAGE('20250815_ETF_Options_Exhibits'!K538:K542),"")</f>
        <v/>
      </c>
      <c r="L542" s="3">
        <f>IF(ISNUMBER(AVERAGE('20250815_ETF_Options_Exhibits'!L538:L542)),AVERAGE('20250815_ETF_Options_Exhibits'!L538:L542),"")</f>
        <v/>
      </c>
      <c r="M542" s="3">
        <f>IF(ISNUMBER(AVERAGE('20250815_ETF_Options_Exhibits'!M538:M542)),AVERAGE('20250815_ETF_Options_Exhibits'!M538:M542),"")</f>
        <v/>
      </c>
      <c r="N542" s="3">
        <f>IF(ISNUMBER(AVERAGE('20250815_ETF_Options_Exhibits'!N538:N542)),AVERAGE('20250815_ETF_Options_Exhibits'!N538:N542),"")</f>
        <v/>
      </c>
      <c r="O542" s="3">
        <f>IF(ISNUMBER(AVERAGE('20250815_ETF_Options_Exhibits'!O538:O542)),AVERAGE('20250815_ETF_Options_Exhibits'!O538:O542),"")</f>
        <v/>
      </c>
      <c r="P542" s="3">
        <f>IF(ISNUMBER(AVERAGE('20250815_ETF_Options_Exhibits'!P538:P542)),AVERAGE('20250815_ETF_Options_Exhibits'!P538:P542),"")</f>
        <v/>
      </c>
      <c r="Q542" s="3">
        <f>IF(ISNUMBER(AVERAGE('20250815_ETF_Options_Exhibits'!Q538:Q542)),AVERAGE('20250815_ETF_Options_Exhibits'!Q538:Q542),"")</f>
        <v/>
      </c>
      <c r="R542" s="3">
        <f>IF(ISNUMBER(AVERAGE('20250815_ETF_Options_Exhibits'!R538:R542)),AVERAGE('20250815_ETF_Options_Exhibits'!R538:R542),"")</f>
        <v/>
      </c>
      <c r="S542" s="3">
        <f>IF(ISNUMBER(AVERAGE('20250815_ETF_Options_Exhibits'!S538:S542)),AVERAGE('20250815_ETF_Options_Exhibits'!S538:S542),"")</f>
        <v/>
      </c>
      <c r="T542" s="3">
        <f>IF(ISNUMBER(AVERAGE('20250815_ETF_Options_Exhibits'!T538:T542)),AVERAGE('20250815_ETF_Options_Exhibits'!T538:T542),"")</f>
        <v/>
      </c>
      <c r="U542" s="3">
        <f>IF(ISNUMBER(AVERAGE('20250815_ETF_Options_Exhibits'!U538:U542)),AVERAGE('20250815_ETF_Options_Exhibits'!U538:U542),"")</f>
        <v/>
      </c>
      <c r="V542" s="3">
        <f>IF(ISNUMBER(AVERAGE('20250815_ETF_Options_Exhibits'!V538:V542)),AVERAGE('20250815_ETF_Options_Exhibits'!V538:V542),"")</f>
        <v/>
      </c>
      <c r="W542" s="3">
        <f>IF(ISNUMBER(AVERAGE('20250815_ETF_Options_Exhibits'!W538:W542)),AVERAGE('20250815_ETF_Options_Exhibits'!W538:W542),"")</f>
        <v/>
      </c>
      <c r="X542" s="3">
        <f>IF(ISNUMBER(AVERAGE('20250815_ETF_Options_Exhibits'!X538:X542)),AVERAGE('20250815_ETF_Options_Exhibits'!X538:X542),"")</f>
        <v/>
      </c>
      <c r="Y542" s="3">
        <f>IF(ISNUMBER(AVERAGE('20250815_ETF_Options_Exhibits'!Y538:Y542)),AVERAGE('20250815_ETF_Options_Exhibits'!Y538:Y542),"")</f>
        <v/>
      </c>
      <c r="Z542" s="3">
        <f>IF(ISNUMBER(AVERAGE('20250815_ETF_Options_Exhibits'!Z538:Z542)),AVERAGE('20250815_ETF_Options_Exhibits'!Z538:Z542),"")</f>
        <v/>
      </c>
      <c r="AA542" s="3">
        <f>IF(ISNUMBER(AVERAGE('20250815_ETF_Options_Exhibits'!AA538:AA542)),AVERAGE('20250815_ETF_Options_Exhibits'!AA538:AA542),"")</f>
        <v/>
      </c>
    </row>
    <row r="543">
      <c r="A543" s="1" t="n">
        <v>42790</v>
      </c>
      <c r="B543" s="3">
        <f>IF(ISNUMBER(AVERAGE('20250815_ETF_Options_Exhibits'!B539:B543)),AVERAGE('20250815_ETF_Options_Exhibits'!B539:B543),"")</f>
        <v/>
      </c>
      <c r="C543" s="3">
        <f>IF(ISNUMBER(AVERAGE('20250815_ETF_Options_Exhibits'!C539:C543)),AVERAGE('20250815_ETF_Options_Exhibits'!C539:C543),"")</f>
        <v/>
      </c>
      <c r="D543" s="3">
        <f>IF(ISNUMBER(AVERAGE('20250815_ETF_Options_Exhibits'!D539:D543)),AVERAGE('20250815_ETF_Options_Exhibits'!D539:D543),"")</f>
        <v/>
      </c>
      <c r="E543" s="3">
        <f>IF(ISNUMBER(AVERAGE('20250815_ETF_Options_Exhibits'!E539:E543)),AVERAGE('20250815_ETF_Options_Exhibits'!E539:E543),"")</f>
        <v/>
      </c>
      <c r="F543" s="3">
        <f>IF(ISNUMBER(AVERAGE('20250815_ETF_Options_Exhibits'!F539:F543)),AVERAGE('20250815_ETF_Options_Exhibits'!F539:F543),"")</f>
        <v/>
      </c>
      <c r="G543" s="3">
        <f>IF(ISNUMBER(AVERAGE('20250815_ETF_Options_Exhibits'!G539:G543)),AVERAGE('20250815_ETF_Options_Exhibits'!G539:G543),"")</f>
        <v/>
      </c>
      <c r="H543" s="3">
        <f>IF(ISNUMBER(AVERAGE('20250815_ETF_Options_Exhibits'!H539:H543)),AVERAGE('20250815_ETF_Options_Exhibits'!H539:H543),"")</f>
        <v/>
      </c>
      <c r="I543" s="3">
        <f>IF(ISNUMBER(AVERAGE('20250815_ETF_Options_Exhibits'!I539:I543)),AVERAGE('20250815_ETF_Options_Exhibits'!I539:I543),"")</f>
        <v/>
      </c>
      <c r="J543" s="3">
        <f>IF(ISNUMBER(AVERAGE('20250815_ETF_Options_Exhibits'!J539:J543)),AVERAGE('20250815_ETF_Options_Exhibits'!J539:J543),"")</f>
        <v/>
      </c>
      <c r="K543" s="3">
        <f>IF(ISNUMBER(AVERAGE('20250815_ETF_Options_Exhibits'!K539:K543)),AVERAGE('20250815_ETF_Options_Exhibits'!K539:K543),"")</f>
        <v/>
      </c>
      <c r="L543" s="3">
        <f>IF(ISNUMBER(AVERAGE('20250815_ETF_Options_Exhibits'!L539:L543)),AVERAGE('20250815_ETF_Options_Exhibits'!L539:L543),"")</f>
        <v/>
      </c>
      <c r="M543" s="3">
        <f>IF(ISNUMBER(AVERAGE('20250815_ETF_Options_Exhibits'!M539:M543)),AVERAGE('20250815_ETF_Options_Exhibits'!M539:M543),"")</f>
        <v/>
      </c>
      <c r="N543" s="3">
        <f>IF(ISNUMBER(AVERAGE('20250815_ETF_Options_Exhibits'!N539:N543)),AVERAGE('20250815_ETF_Options_Exhibits'!N539:N543),"")</f>
        <v/>
      </c>
      <c r="O543" s="3">
        <f>IF(ISNUMBER(AVERAGE('20250815_ETF_Options_Exhibits'!O539:O543)),AVERAGE('20250815_ETF_Options_Exhibits'!O539:O543),"")</f>
        <v/>
      </c>
      <c r="P543" s="3">
        <f>IF(ISNUMBER(AVERAGE('20250815_ETF_Options_Exhibits'!P539:P543)),AVERAGE('20250815_ETF_Options_Exhibits'!P539:P543),"")</f>
        <v/>
      </c>
      <c r="Q543" s="3">
        <f>IF(ISNUMBER(AVERAGE('20250815_ETF_Options_Exhibits'!Q539:Q543)),AVERAGE('20250815_ETF_Options_Exhibits'!Q539:Q543),"")</f>
        <v/>
      </c>
      <c r="R543" s="3">
        <f>IF(ISNUMBER(AVERAGE('20250815_ETF_Options_Exhibits'!R539:R543)),AVERAGE('20250815_ETF_Options_Exhibits'!R539:R543),"")</f>
        <v/>
      </c>
      <c r="S543" s="3">
        <f>IF(ISNUMBER(AVERAGE('20250815_ETF_Options_Exhibits'!S539:S543)),AVERAGE('20250815_ETF_Options_Exhibits'!S539:S543),"")</f>
        <v/>
      </c>
      <c r="T543" s="3">
        <f>IF(ISNUMBER(AVERAGE('20250815_ETF_Options_Exhibits'!T539:T543)),AVERAGE('20250815_ETF_Options_Exhibits'!T539:T543),"")</f>
        <v/>
      </c>
      <c r="U543" s="3">
        <f>IF(ISNUMBER(AVERAGE('20250815_ETF_Options_Exhibits'!U539:U543)),AVERAGE('20250815_ETF_Options_Exhibits'!U539:U543),"")</f>
        <v/>
      </c>
      <c r="V543" s="3">
        <f>IF(ISNUMBER(AVERAGE('20250815_ETF_Options_Exhibits'!V539:V543)),AVERAGE('20250815_ETF_Options_Exhibits'!V539:V543),"")</f>
        <v/>
      </c>
      <c r="W543" s="3">
        <f>IF(ISNUMBER(AVERAGE('20250815_ETF_Options_Exhibits'!W539:W543)),AVERAGE('20250815_ETF_Options_Exhibits'!W539:W543),"")</f>
        <v/>
      </c>
      <c r="X543" s="3">
        <f>IF(ISNUMBER(AVERAGE('20250815_ETF_Options_Exhibits'!X539:X543)),AVERAGE('20250815_ETF_Options_Exhibits'!X539:X543),"")</f>
        <v/>
      </c>
      <c r="Y543" s="3">
        <f>IF(ISNUMBER(AVERAGE('20250815_ETF_Options_Exhibits'!Y539:Y543)),AVERAGE('20250815_ETF_Options_Exhibits'!Y539:Y543),"")</f>
        <v/>
      </c>
      <c r="Z543" s="3">
        <f>IF(ISNUMBER(AVERAGE('20250815_ETF_Options_Exhibits'!Z539:Z543)),AVERAGE('20250815_ETF_Options_Exhibits'!Z539:Z543),"")</f>
        <v/>
      </c>
      <c r="AA543" s="3">
        <f>IF(ISNUMBER(AVERAGE('20250815_ETF_Options_Exhibits'!AA539:AA543)),AVERAGE('20250815_ETF_Options_Exhibits'!AA539:AA543),"")</f>
        <v/>
      </c>
    </row>
    <row r="544">
      <c r="A544" s="1" t="n">
        <v>42793</v>
      </c>
      <c r="B544" s="3">
        <f>IF(ISNUMBER(AVERAGE('20250815_ETF_Options_Exhibits'!B540:B544)),AVERAGE('20250815_ETF_Options_Exhibits'!B540:B544),"")</f>
        <v/>
      </c>
      <c r="C544" s="3">
        <f>IF(ISNUMBER(AVERAGE('20250815_ETF_Options_Exhibits'!C540:C544)),AVERAGE('20250815_ETF_Options_Exhibits'!C540:C544),"")</f>
        <v/>
      </c>
      <c r="D544" s="3">
        <f>IF(ISNUMBER(AVERAGE('20250815_ETF_Options_Exhibits'!D540:D544)),AVERAGE('20250815_ETF_Options_Exhibits'!D540:D544),"")</f>
        <v/>
      </c>
      <c r="E544" s="3">
        <f>IF(ISNUMBER(AVERAGE('20250815_ETF_Options_Exhibits'!E540:E544)),AVERAGE('20250815_ETF_Options_Exhibits'!E540:E544),"")</f>
        <v/>
      </c>
      <c r="F544" s="3">
        <f>IF(ISNUMBER(AVERAGE('20250815_ETF_Options_Exhibits'!F540:F544)),AVERAGE('20250815_ETF_Options_Exhibits'!F540:F544),"")</f>
        <v/>
      </c>
      <c r="G544" s="3">
        <f>IF(ISNUMBER(AVERAGE('20250815_ETF_Options_Exhibits'!G540:G544)),AVERAGE('20250815_ETF_Options_Exhibits'!G540:G544),"")</f>
        <v/>
      </c>
      <c r="H544" s="3">
        <f>IF(ISNUMBER(AVERAGE('20250815_ETF_Options_Exhibits'!H540:H544)),AVERAGE('20250815_ETF_Options_Exhibits'!H540:H544),"")</f>
        <v/>
      </c>
      <c r="I544" s="3">
        <f>IF(ISNUMBER(AVERAGE('20250815_ETF_Options_Exhibits'!I540:I544)),AVERAGE('20250815_ETF_Options_Exhibits'!I540:I544),"")</f>
        <v/>
      </c>
      <c r="J544" s="3">
        <f>IF(ISNUMBER(AVERAGE('20250815_ETF_Options_Exhibits'!J540:J544)),AVERAGE('20250815_ETF_Options_Exhibits'!J540:J544),"")</f>
        <v/>
      </c>
      <c r="K544" s="3">
        <f>IF(ISNUMBER(AVERAGE('20250815_ETF_Options_Exhibits'!K540:K544)),AVERAGE('20250815_ETF_Options_Exhibits'!K540:K544),"")</f>
        <v/>
      </c>
      <c r="L544" s="3">
        <f>IF(ISNUMBER(AVERAGE('20250815_ETF_Options_Exhibits'!L540:L544)),AVERAGE('20250815_ETF_Options_Exhibits'!L540:L544),"")</f>
        <v/>
      </c>
      <c r="M544" s="3">
        <f>IF(ISNUMBER(AVERAGE('20250815_ETF_Options_Exhibits'!M540:M544)),AVERAGE('20250815_ETF_Options_Exhibits'!M540:M544),"")</f>
        <v/>
      </c>
      <c r="N544" s="3">
        <f>IF(ISNUMBER(AVERAGE('20250815_ETF_Options_Exhibits'!N540:N544)),AVERAGE('20250815_ETF_Options_Exhibits'!N540:N544),"")</f>
        <v/>
      </c>
      <c r="O544" s="3">
        <f>IF(ISNUMBER(AVERAGE('20250815_ETF_Options_Exhibits'!O540:O544)),AVERAGE('20250815_ETF_Options_Exhibits'!O540:O544),"")</f>
        <v/>
      </c>
      <c r="P544" s="3">
        <f>IF(ISNUMBER(AVERAGE('20250815_ETF_Options_Exhibits'!P540:P544)),AVERAGE('20250815_ETF_Options_Exhibits'!P540:P544),"")</f>
        <v/>
      </c>
      <c r="Q544" s="3">
        <f>IF(ISNUMBER(AVERAGE('20250815_ETF_Options_Exhibits'!Q540:Q544)),AVERAGE('20250815_ETF_Options_Exhibits'!Q540:Q544),"")</f>
        <v/>
      </c>
      <c r="R544" s="3">
        <f>IF(ISNUMBER(AVERAGE('20250815_ETF_Options_Exhibits'!R540:R544)),AVERAGE('20250815_ETF_Options_Exhibits'!R540:R544),"")</f>
        <v/>
      </c>
      <c r="S544" s="3">
        <f>IF(ISNUMBER(AVERAGE('20250815_ETF_Options_Exhibits'!S540:S544)),AVERAGE('20250815_ETF_Options_Exhibits'!S540:S544),"")</f>
        <v/>
      </c>
      <c r="T544" s="3">
        <f>IF(ISNUMBER(AVERAGE('20250815_ETF_Options_Exhibits'!T540:T544)),AVERAGE('20250815_ETF_Options_Exhibits'!T540:T544),"")</f>
        <v/>
      </c>
      <c r="U544" s="3">
        <f>IF(ISNUMBER(AVERAGE('20250815_ETF_Options_Exhibits'!U540:U544)),AVERAGE('20250815_ETF_Options_Exhibits'!U540:U544),"")</f>
        <v/>
      </c>
      <c r="V544" s="3">
        <f>IF(ISNUMBER(AVERAGE('20250815_ETF_Options_Exhibits'!V540:V544)),AVERAGE('20250815_ETF_Options_Exhibits'!V540:V544),"")</f>
        <v/>
      </c>
      <c r="W544" s="3">
        <f>IF(ISNUMBER(AVERAGE('20250815_ETF_Options_Exhibits'!W540:W544)),AVERAGE('20250815_ETF_Options_Exhibits'!W540:W544),"")</f>
        <v/>
      </c>
      <c r="X544" s="3">
        <f>IF(ISNUMBER(AVERAGE('20250815_ETF_Options_Exhibits'!X540:X544)),AVERAGE('20250815_ETF_Options_Exhibits'!X540:X544),"")</f>
        <v/>
      </c>
      <c r="Y544" s="3">
        <f>IF(ISNUMBER(AVERAGE('20250815_ETF_Options_Exhibits'!Y540:Y544)),AVERAGE('20250815_ETF_Options_Exhibits'!Y540:Y544),"")</f>
        <v/>
      </c>
      <c r="Z544" s="3">
        <f>IF(ISNUMBER(AVERAGE('20250815_ETF_Options_Exhibits'!Z540:Z544)),AVERAGE('20250815_ETF_Options_Exhibits'!Z540:Z544),"")</f>
        <v/>
      </c>
      <c r="AA544" s="3">
        <f>IF(ISNUMBER(AVERAGE('20250815_ETF_Options_Exhibits'!AA540:AA544)),AVERAGE('20250815_ETF_Options_Exhibits'!AA540:AA544),"")</f>
        <v/>
      </c>
    </row>
    <row r="545">
      <c r="A545" s="1" t="n">
        <v>42794</v>
      </c>
      <c r="B545" s="3">
        <f>IF(ISNUMBER(AVERAGE('20250815_ETF_Options_Exhibits'!B541:B545)),AVERAGE('20250815_ETF_Options_Exhibits'!B541:B545),"")</f>
        <v/>
      </c>
      <c r="C545" s="3">
        <f>IF(ISNUMBER(AVERAGE('20250815_ETF_Options_Exhibits'!C541:C545)),AVERAGE('20250815_ETF_Options_Exhibits'!C541:C545),"")</f>
        <v/>
      </c>
      <c r="D545" s="3">
        <f>IF(ISNUMBER(AVERAGE('20250815_ETF_Options_Exhibits'!D541:D545)),AVERAGE('20250815_ETF_Options_Exhibits'!D541:D545),"")</f>
        <v/>
      </c>
      <c r="E545" s="3">
        <f>IF(ISNUMBER(AVERAGE('20250815_ETF_Options_Exhibits'!E541:E545)),AVERAGE('20250815_ETF_Options_Exhibits'!E541:E545),"")</f>
        <v/>
      </c>
      <c r="F545" s="3">
        <f>IF(ISNUMBER(AVERAGE('20250815_ETF_Options_Exhibits'!F541:F545)),AVERAGE('20250815_ETF_Options_Exhibits'!F541:F545),"")</f>
        <v/>
      </c>
      <c r="G545" s="3">
        <f>IF(ISNUMBER(AVERAGE('20250815_ETF_Options_Exhibits'!G541:G545)),AVERAGE('20250815_ETF_Options_Exhibits'!G541:G545),"")</f>
        <v/>
      </c>
      <c r="H545" s="3">
        <f>IF(ISNUMBER(AVERAGE('20250815_ETF_Options_Exhibits'!H541:H545)),AVERAGE('20250815_ETF_Options_Exhibits'!H541:H545),"")</f>
        <v/>
      </c>
      <c r="I545" s="3">
        <f>IF(ISNUMBER(AVERAGE('20250815_ETF_Options_Exhibits'!I541:I545)),AVERAGE('20250815_ETF_Options_Exhibits'!I541:I545),"")</f>
        <v/>
      </c>
      <c r="J545" s="3">
        <f>IF(ISNUMBER(AVERAGE('20250815_ETF_Options_Exhibits'!J541:J545)),AVERAGE('20250815_ETF_Options_Exhibits'!J541:J545),"")</f>
        <v/>
      </c>
      <c r="K545" s="3">
        <f>IF(ISNUMBER(AVERAGE('20250815_ETF_Options_Exhibits'!K541:K545)),AVERAGE('20250815_ETF_Options_Exhibits'!K541:K545),"")</f>
        <v/>
      </c>
      <c r="L545" s="3">
        <f>IF(ISNUMBER(AVERAGE('20250815_ETF_Options_Exhibits'!L541:L545)),AVERAGE('20250815_ETF_Options_Exhibits'!L541:L545),"")</f>
        <v/>
      </c>
      <c r="M545" s="3">
        <f>IF(ISNUMBER(AVERAGE('20250815_ETF_Options_Exhibits'!M541:M545)),AVERAGE('20250815_ETF_Options_Exhibits'!M541:M545),"")</f>
        <v/>
      </c>
      <c r="N545" s="3">
        <f>IF(ISNUMBER(AVERAGE('20250815_ETF_Options_Exhibits'!N541:N545)),AVERAGE('20250815_ETF_Options_Exhibits'!N541:N545),"")</f>
        <v/>
      </c>
      <c r="O545" s="3">
        <f>IF(ISNUMBER(AVERAGE('20250815_ETF_Options_Exhibits'!O541:O545)),AVERAGE('20250815_ETF_Options_Exhibits'!O541:O545),"")</f>
        <v/>
      </c>
      <c r="P545" s="3">
        <f>IF(ISNUMBER(AVERAGE('20250815_ETF_Options_Exhibits'!P541:P545)),AVERAGE('20250815_ETF_Options_Exhibits'!P541:P545),"")</f>
        <v/>
      </c>
      <c r="Q545" s="3">
        <f>IF(ISNUMBER(AVERAGE('20250815_ETF_Options_Exhibits'!Q541:Q545)),AVERAGE('20250815_ETF_Options_Exhibits'!Q541:Q545),"")</f>
        <v/>
      </c>
      <c r="R545" s="3">
        <f>IF(ISNUMBER(AVERAGE('20250815_ETF_Options_Exhibits'!R541:R545)),AVERAGE('20250815_ETF_Options_Exhibits'!R541:R545),"")</f>
        <v/>
      </c>
      <c r="S545" s="3">
        <f>IF(ISNUMBER(AVERAGE('20250815_ETF_Options_Exhibits'!S541:S545)),AVERAGE('20250815_ETF_Options_Exhibits'!S541:S545),"")</f>
        <v/>
      </c>
      <c r="T545" s="3">
        <f>IF(ISNUMBER(AVERAGE('20250815_ETF_Options_Exhibits'!T541:T545)),AVERAGE('20250815_ETF_Options_Exhibits'!T541:T545),"")</f>
        <v/>
      </c>
      <c r="U545" s="3">
        <f>IF(ISNUMBER(AVERAGE('20250815_ETF_Options_Exhibits'!U541:U545)),AVERAGE('20250815_ETF_Options_Exhibits'!U541:U545),"")</f>
        <v/>
      </c>
      <c r="V545" s="3">
        <f>IF(ISNUMBER(AVERAGE('20250815_ETF_Options_Exhibits'!V541:V545)),AVERAGE('20250815_ETF_Options_Exhibits'!V541:V545),"")</f>
        <v/>
      </c>
      <c r="W545" s="3">
        <f>IF(ISNUMBER(AVERAGE('20250815_ETF_Options_Exhibits'!W541:W545)),AVERAGE('20250815_ETF_Options_Exhibits'!W541:W545),"")</f>
        <v/>
      </c>
      <c r="X545" s="3">
        <f>IF(ISNUMBER(AVERAGE('20250815_ETF_Options_Exhibits'!X541:X545)),AVERAGE('20250815_ETF_Options_Exhibits'!X541:X545),"")</f>
        <v/>
      </c>
      <c r="Y545" s="3">
        <f>IF(ISNUMBER(AVERAGE('20250815_ETF_Options_Exhibits'!Y541:Y545)),AVERAGE('20250815_ETF_Options_Exhibits'!Y541:Y545),"")</f>
        <v/>
      </c>
      <c r="Z545" s="3">
        <f>IF(ISNUMBER(AVERAGE('20250815_ETF_Options_Exhibits'!Z541:Z545)),AVERAGE('20250815_ETF_Options_Exhibits'!Z541:Z545),"")</f>
        <v/>
      </c>
      <c r="AA545" s="3">
        <f>IF(ISNUMBER(AVERAGE('20250815_ETF_Options_Exhibits'!AA541:AA545)),AVERAGE('20250815_ETF_Options_Exhibits'!AA541:AA545),"")</f>
        <v/>
      </c>
    </row>
    <row r="546">
      <c r="A546" s="1" t="n">
        <v>42795</v>
      </c>
      <c r="B546" s="3">
        <f>IF(ISNUMBER(AVERAGE('20250815_ETF_Options_Exhibits'!B542:B546)),AVERAGE('20250815_ETF_Options_Exhibits'!B542:B546),"")</f>
        <v/>
      </c>
      <c r="C546" s="3">
        <f>IF(ISNUMBER(AVERAGE('20250815_ETF_Options_Exhibits'!C542:C546)),AVERAGE('20250815_ETF_Options_Exhibits'!C542:C546),"")</f>
        <v/>
      </c>
      <c r="D546" s="3">
        <f>IF(ISNUMBER(AVERAGE('20250815_ETF_Options_Exhibits'!D542:D546)),AVERAGE('20250815_ETF_Options_Exhibits'!D542:D546),"")</f>
        <v/>
      </c>
      <c r="E546" s="3">
        <f>IF(ISNUMBER(AVERAGE('20250815_ETF_Options_Exhibits'!E542:E546)),AVERAGE('20250815_ETF_Options_Exhibits'!E542:E546),"")</f>
        <v/>
      </c>
      <c r="F546" s="3">
        <f>IF(ISNUMBER(AVERAGE('20250815_ETF_Options_Exhibits'!F542:F546)),AVERAGE('20250815_ETF_Options_Exhibits'!F542:F546),"")</f>
        <v/>
      </c>
      <c r="G546" s="3">
        <f>IF(ISNUMBER(AVERAGE('20250815_ETF_Options_Exhibits'!G542:G546)),AVERAGE('20250815_ETF_Options_Exhibits'!G542:G546),"")</f>
        <v/>
      </c>
      <c r="H546" s="3">
        <f>IF(ISNUMBER(AVERAGE('20250815_ETF_Options_Exhibits'!H542:H546)),AVERAGE('20250815_ETF_Options_Exhibits'!H542:H546),"")</f>
        <v/>
      </c>
      <c r="I546" s="3">
        <f>IF(ISNUMBER(AVERAGE('20250815_ETF_Options_Exhibits'!I542:I546)),AVERAGE('20250815_ETF_Options_Exhibits'!I542:I546),"")</f>
        <v/>
      </c>
      <c r="J546" s="3">
        <f>IF(ISNUMBER(AVERAGE('20250815_ETF_Options_Exhibits'!J542:J546)),AVERAGE('20250815_ETF_Options_Exhibits'!J542:J546),"")</f>
        <v/>
      </c>
      <c r="K546" s="3">
        <f>IF(ISNUMBER(AVERAGE('20250815_ETF_Options_Exhibits'!K542:K546)),AVERAGE('20250815_ETF_Options_Exhibits'!K542:K546),"")</f>
        <v/>
      </c>
      <c r="L546" s="3">
        <f>IF(ISNUMBER(AVERAGE('20250815_ETF_Options_Exhibits'!L542:L546)),AVERAGE('20250815_ETF_Options_Exhibits'!L542:L546),"")</f>
        <v/>
      </c>
      <c r="M546" s="3">
        <f>IF(ISNUMBER(AVERAGE('20250815_ETF_Options_Exhibits'!M542:M546)),AVERAGE('20250815_ETF_Options_Exhibits'!M542:M546),"")</f>
        <v/>
      </c>
      <c r="N546" s="3">
        <f>IF(ISNUMBER(AVERAGE('20250815_ETF_Options_Exhibits'!N542:N546)),AVERAGE('20250815_ETF_Options_Exhibits'!N542:N546),"")</f>
        <v/>
      </c>
      <c r="O546" s="3">
        <f>IF(ISNUMBER(AVERAGE('20250815_ETF_Options_Exhibits'!O542:O546)),AVERAGE('20250815_ETF_Options_Exhibits'!O542:O546),"")</f>
        <v/>
      </c>
      <c r="P546" s="3">
        <f>IF(ISNUMBER(AVERAGE('20250815_ETF_Options_Exhibits'!P542:P546)),AVERAGE('20250815_ETF_Options_Exhibits'!P542:P546),"")</f>
        <v/>
      </c>
      <c r="Q546" s="3">
        <f>IF(ISNUMBER(AVERAGE('20250815_ETF_Options_Exhibits'!Q542:Q546)),AVERAGE('20250815_ETF_Options_Exhibits'!Q542:Q546),"")</f>
        <v/>
      </c>
      <c r="R546" s="3">
        <f>IF(ISNUMBER(AVERAGE('20250815_ETF_Options_Exhibits'!R542:R546)),AVERAGE('20250815_ETF_Options_Exhibits'!R542:R546),"")</f>
        <v/>
      </c>
      <c r="S546" s="3">
        <f>IF(ISNUMBER(AVERAGE('20250815_ETF_Options_Exhibits'!S542:S546)),AVERAGE('20250815_ETF_Options_Exhibits'!S542:S546),"")</f>
        <v/>
      </c>
      <c r="T546" s="3">
        <f>IF(ISNUMBER(AVERAGE('20250815_ETF_Options_Exhibits'!T542:T546)),AVERAGE('20250815_ETF_Options_Exhibits'!T542:T546),"")</f>
        <v/>
      </c>
      <c r="U546" s="3">
        <f>IF(ISNUMBER(AVERAGE('20250815_ETF_Options_Exhibits'!U542:U546)),AVERAGE('20250815_ETF_Options_Exhibits'!U542:U546),"")</f>
        <v/>
      </c>
      <c r="V546" s="3">
        <f>IF(ISNUMBER(AVERAGE('20250815_ETF_Options_Exhibits'!V542:V546)),AVERAGE('20250815_ETF_Options_Exhibits'!V542:V546),"")</f>
        <v/>
      </c>
      <c r="W546" s="3">
        <f>IF(ISNUMBER(AVERAGE('20250815_ETF_Options_Exhibits'!W542:W546)),AVERAGE('20250815_ETF_Options_Exhibits'!W542:W546),"")</f>
        <v/>
      </c>
      <c r="X546" s="3">
        <f>IF(ISNUMBER(AVERAGE('20250815_ETF_Options_Exhibits'!X542:X546)),AVERAGE('20250815_ETF_Options_Exhibits'!X542:X546),"")</f>
        <v/>
      </c>
      <c r="Y546" s="3">
        <f>IF(ISNUMBER(AVERAGE('20250815_ETF_Options_Exhibits'!Y542:Y546)),AVERAGE('20250815_ETF_Options_Exhibits'!Y542:Y546),"")</f>
        <v/>
      </c>
      <c r="Z546" s="3">
        <f>IF(ISNUMBER(AVERAGE('20250815_ETF_Options_Exhibits'!Z542:Z546)),AVERAGE('20250815_ETF_Options_Exhibits'!Z542:Z546),"")</f>
        <v/>
      </c>
      <c r="AA546" s="3">
        <f>IF(ISNUMBER(AVERAGE('20250815_ETF_Options_Exhibits'!AA542:AA546)),AVERAGE('20250815_ETF_Options_Exhibits'!AA542:AA546),"")</f>
        <v/>
      </c>
    </row>
    <row r="547">
      <c r="A547" s="1" t="n">
        <v>42796</v>
      </c>
      <c r="B547" s="3">
        <f>IF(ISNUMBER(AVERAGE('20250815_ETF_Options_Exhibits'!B543:B547)),AVERAGE('20250815_ETF_Options_Exhibits'!B543:B547),"")</f>
        <v/>
      </c>
      <c r="C547" s="3">
        <f>IF(ISNUMBER(AVERAGE('20250815_ETF_Options_Exhibits'!C543:C547)),AVERAGE('20250815_ETF_Options_Exhibits'!C543:C547),"")</f>
        <v/>
      </c>
      <c r="D547" s="3">
        <f>IF(ISNUMBER(AVERAGE('20250815_ETF_Options_Exhibits'!D543:D547)),AVERAGE('20250815_ETF_Options_Exhibits'!D543:D547),"")</f>
        <v/>
      </c>
      <c r="E547" s="3">
        <f>IF(ISNUMBER(AVERAGE('20250815_ETF_Options_Exhibits'!E543:E547)),AVERAGE('20250815_ETF_Options_Exhibits'!E543:E547),"")</f>
        <v/>
      </c>
      <c r="F547" s="3">
        <f>IF(ISNUMBER(AVERAGE('20250815_ETF_Options_Exhibits'!F543:F547)),AVERAGE('20250815_ETF_Options_Exhibits'!F543:F547),"")</f>
        <v/>
      </c>
      <c r="G547" s="3">
        <f>IF(ISNUMBER(AVERAGE('20250815_ETF_Options_Exhibits'!G543:G547)),AVERAGE('20250815_ETF_Options_Exhibits'!G543:G547),"")</f>
        <v/>
      </c>
      <c r="H547" s="3">
        <f>IF(ISNUMBER(AVERAGE('20250815_ETF_Options_Exhibits'!H543:H547)),AVERAGE('20250815_ETF_Options_Exhibits'!H543:H547),"")</f>
        <v/>
      </c>
      <c r="I547" s="3">
        <f>IF(ISNUMBER(AVERAGE('20250815_ETF_Options_Exhibits'!I543:I547)),AVERAGE('20250815_ETF_Options_Exhibits'!I543:I547),"")</f>
        <v/>
      </c>
      <c r="J547" s="3">
        <f>IF(ISNUMBER(AVERAGE('20250815_ETF_Options_Exhibits'!J543:J547)),AVERAGE('20250815_ETF_Options_Exhibits'!J543:J547),"")</f>
        <v/>
      </c>
      <c r="K547" s="3">
        <f>IF(ISNUMBER(AVERAGE('20250815_ETF_Options_Exhibits'!K543:K547)),AVERAGE('20250815_ETF_Options_Exhibits'!K543:K547),"")</f>
        <v/>
      </c>
      <c r="L547" s="3">
        <f>IF(ISNUMBER(AVERAGE('20250815_ETF_Options_Exhibits'!L543:L547)),AVERAGE('20250815_ETF_Options_Exhibits'!L543:L547),"")</f>
        <v/>
      </c>
      <c r="M547" s="3">
        <f>IF(ISNUMBER(AVERAGE('20250815_ETF_Options_Exhibits'!M543:M547)),AVERAGE('20250815_ETF_Options_Exhibits'!M543:M547),"")</f>
        <v/>
      </c>
      <c r="N547" s="3">
        <f>IF(ISNUMBER(AVERAGE('20250815_ETF_Options_Exhibits'!N543:N547)),AVERAGE('20250815_ETF_Options_Exhibits'!N543:N547),"")</f>
        <v/>
      </c>
      <c r="O547" s="3">
        <f>IF(ISNUMBER(AVERAGE('20250815_ETF_Options_Exhibits'!O543:O547)),AVERAGE('20250815_ETF_Options_Exhibits'!O543:O547),"")</f>
        <v/>
      </c>
      <c r="P547" s="3">
        <f>IF(ISNUMBER(AVERAGE('20250815_ETF_Options_Exhibits'!P543:P547)),AVERAGE('20250815_ETF_Options_Exhibits'!P543:P547),"")</f>
        <v/>
      </c>
      <c r="Q547" s="3">
        <f>IF(ISNUMBER(AVERAGE('20250815_ETF_Options_Exhibits'!Q543:Q547)),AVERAGE('20250815_ETF_Options_Exhibits'!Q543:Q547),"")</f>
        <v/>
      </c>
      <c r="R547" s="3">
        <f>IF(ISNUMBER(AVERAGE('20250815_ETF_Options_Exhibits'!R543:R547)),AVERAGE('20250815_ETF_Options_Exhibits'!R543:R547),"")</f>
        <v/>
      </c>
      <c r="S547" s="3">
        <f>IF(ISNUMBER(AVERAGE('20250815_ETF_Options_Exhibits'!S543:S547)),AVERAGE('20250815_ETF_Options_Exhibits'!S543:S547),"")</f>
        <v/>
      </c>
      <c r="T547" s="3">
        <f>IF(ISNUMBER(AVERAGE('20250815_ETF_Options_Exhibits'!T543:T547)),AVERAGE('20250815_ETF_Options_Exhibits'!T543:T547),"")</f>
        <v/>
      </c>
      <c r="U547" s="3">
        <f>IF(ISNUMBER(AVERAGE('20250815_ETF_Options_Exhibits'!U543:U547)),AVERAGE('20250815_ETF_Options_Exhibits'!U543:U547),"")</f>
        <v/>
      </c>
      <c r="V547" s="3">
        <f>IF(ISNUMBER(AVERAGE('20250815_ETF_Options_Exhibits'!V543:V547)),AVERAGE('20250815_ETF_Options_Exhibits'!V543:V547),"")</f>
        <v/>
      </c>
      <c r="W547" s="3">
        <f>IF(ISNUMBER(AVERAGE('20250815_ETF_Options_Exhibits'!W543:W547)),AVERAGE('20250815_ETF_Options_Exhibits'!W543:W547),"")</f>
        <v/>
      </c>
      <c r="X547" s="3">
        <f>IF(ISNUMBER(AVERAGE('20250815_ETF_Options_Exhibits'!X543:X547)),AVERAGE('20250815_ETF_Options_Exhibits'!X543:X547),"")</f>
        <v/>
      </c>
      <c r="Y547" s="3">
        <f>IF(ISNUMBER(AVERAGE('20250815_ETF_Options_Exhibits'!Y543:Y547)),AVERAGE('20250815_ETF_Options_Exhibits'!Y543:Y547),"")</f>
        <v/>
      </c>
      <c r="Z547" s="3">
        <f>IF(ISNUMBER(AVERAGE('20250815_ETF_Options_Exhibits'!Z543:Z547)),AVERAGE('20250815_ETF_Options_Exhibits'!Z543:Z547),"")</f>
        <v/>
      </c>
      <c r="AA547" s="3">
        <f>IF(ISNUMBER(AVERAGE('20250815_ETF_Options_Exhibits'!AA543:AA547)),AVERAGE('20250815_ETF_Options_Exhibits'!AA543:AA547),"")</f>
        <v/>
      </c>
    </row>
    <row r="548">
      <c r="A548" s="1" t="n">
        <v>42797</v>
      </c>
      <c r="B548" s="3">
        <f>IF(ISNUMBER(AVERAGE('20250815_ETF_Options_Exhibits'!B544:B548)),AVERAGE('20250815_ETF_Options_Exhibits'!B544:B548),"")</f>
        <v/>
      </c>
      <c r="C548" s="3">
        <f>IF(ISNUMBER(AVERAGE('20250815_ETF_Options_Exhibits'!C544:C548)),AVERAGE('20250815_ETF_Options_Exhibits'!C544:C548),"")</f>
        <v/>
      </c>
      <c r="D548" s="3">
        <f>IF(ISNUMBER(AVERAGE('20250815_ETF_Options_Exhibits'!D544:D548)),AVERAGE('20250815_ETF_Options_Exhibits'!D544:D548),"")</f>
        <v/>
      </c>
      <c r="E548" s="3">
        <f>IF(ISNUMBER(AVERAGE('20250815_ETF_Options_Exhibits'!E544:E548)),AVERAGE('20250815_ETF_Options_Exhibits'!E544:E548),"")</f>
        <v/>
      </c>
      <c r="F548" s="3">
        <f>IF(ISNUMBER(AVERAGE('20250815_ETF_Options_Exhibits'!F544:F548)),AVERAGE('20250815_ETF_Options_Exhibits'!F544:F548),"")</f>
        <v/>
      </c>
      <c r="G548" s="3">
        <f>IF(ISNUMBER(AVERAGE('20250815_ETF_Options_Exhibits'!G544:G548)),AVERAGE('20250815_ETF_Options_Exhibits'!G544:G548),"")</f>
        <v/>
      </c>
      <c r="H548" s="3">
        <f>IF(ISNUMBER(AVERAGE('20250815_ETF_Options_Exhibits'!H544:H548)),AVERAGE('20250815_ETF_Options_Exhibits'!H544:H548),"")</f>
        <v/>
      </c>
      <c r="I548" s="3">
        <f>IF(ISNUMBER(AVERAGE('20250815_ETF_Options_Exhibits'!I544:I548)),AVERAGE('20250815_ETF_Options_Exhibits'!I544:I548),"")</f>
        <v/>
      </c>
      <c r="J548" s="3">
        <f>IF(ISNUMBER(AVERAGE('20250815_ETF_Options_Exhibits'!J544:J548)),AVERAGE('20250815_ETF_Options_Exhibits'!J544:J548),"")</f>
        <v/>
      </c>
      <c r="K548" s="3">
        <f>IF(ISNUMBER(AVERAGE('20250815_ETF_Options_Exhibits'!K544:K548)),AVERAGE('20250815_ETF_Options_Exhibits'!K544:K548),"")</f>
        <v/>
      </c>
      <c r="L548" s="3">
        <f>IF(ISNUMBER(AVERAGE('20250815_ETF_Options_Exhibits'!L544:L548)),AVERAGE('20250815_ETF_Options_Exhibits'!L544:L548),"")</f>
        <v/>
      </c>
      <c r="M548" s="3">
        <f>IF(ISNUMBER(AVERAGE('20250815_ETF_Options_Exhibits'!M544:M548)),AVERAGE('20250815_ETF_Options_Exhibits'!M544:M548),"")</f>
        <v/>
      </c>
      <c r="N548" s="3">
        <f>IF(ISNUMBER(AVERAGE('20250815_ETF_Options_Exhibits'!N544:N548)),AVERAGE('20250815_ETF_Options_Exhibits'!N544:N548),"")</f>
        <v/>
      </c>
      <c r="O548" s="3">
        <f>IF(ISNUMBER(AVERAGE('20250815_ETF_Options_Exhibits'!O544:O548)),AVERAGE('20250815_ETF_Options_Exhibits'!O544:O548),"")</f>
        <v/>
      </c>
      <c r="P548" s="3">
        <f>IF(ISNUMBER(AVERAGE('20250815_ETF_Options_Exhibits'!P544:P548)),AVERAGE('20250815_ETF_Options_Exhibits'!P544:P548),"")</f>
        <v/>
      </c>
      <c r="Q548" s="3">
        <f>IF(ISNUMBER(AVERAGE('20250815_ETF_Options_Exhibits'!Q544:Q548)),AVERAGE('20250815_ETF_Options_Exhibits'!Q544:Q548),"")</f>
        <v/>
      </c>
      <c r="R548" s="3">
        <f>IF(ISNUMBER(AVERAGE('20250815_ETF_Options_Exhibits'!R544:R548)),AVERAGE('20250815_ETF_Options_Exhibits'!R544:R548),"")</f>
        <v/>
      </c>
      <c r="S548" s="3">
        <f>IF(ISNUMBER(AVERAGE('20250815_ETF_Options_Exhibits'!S544:S548)),AVERAGE('20250815_ETF_Options_Exhibits'!S544:S548),"")</f>
        <v/>
      </c>
      <c r="T548" s="3">
        <f>IF(ISNUMBER(AVERAGE('20250815_ETF_Options_Exhibits'!T544:T548)),AVERAGE('20250815_ETF_Options_Exhibits'!T544:T548),"")</f>
        <v/>
      </c>
      <c r="U548" s="3">
        <f>IF(ISNUMBER(AVERAGE('20250815_ETF_Options_Exhibits'!U544:U548)),AVERAGE('20250815_ETF_Options_Exhibits'!U544:U548),"")</f>
        <v/>
      </c>
      <c r="V548" s="3">
        <f>IF(ISNUMBER(AVERAGE('20250815_ETF_Options_Exhibits'!V544:V548)),AVERAGE('20250815_ETF_Options_Exhibits'!V544:V548),"")</f>
        <v/>
      </c>
      <c r="W548" s="3">
        <f>IF(ISNUMBER(AVERAGE('20250815_ETF_Options_Exhibits'!W544:W548)),AVERAGE('20250815_ETF_Options_Exhibits'!W544:W548),"")</f>
        <v/>
      </c>
      <c r="X548" s="3">
        <f>IF(ISNUMBER(AVERAGE('20250815_ETF_Options_Exhibits'!X544:X548)),AVERAGE('20250815_ETF_Options_Exhibits'!X544:X548),"")</f>
        <v/>
      </c>
      <c r="Y548" s="3">
        <f>IF(ISNUMBER(AVERAGE('20250815_ETF_Options_Exhibits'!Y544:Y548)),AVERAGE('20250815_ETF_Options_Exhibits'!Y544:Y548),"")</f>
        <v/>
      </c>
      <c r="Z548" s="3">
        <f>IF(ISNUMBER(AVERAGE('20250815_ETF_Options_Exhibits'!Z544:Z548)),AVERAGE('20250815_ETF_Options_Exhibits'!Z544:Z548),"")</f>
        <v/>
      </c>
      <c r="AA548" s="3">
        <f>IF(ISNUMBER(AVERAGE('20250815_ETF_Options_Exhibits'!AA544:AA548)),AVERAGE('20250815_ETF_Options_Exhibits'!AA544:AA548),"")</f>
        <v/>
      </c>
    </row>
    <row r="549">
      <c r="A549" s="1" t="n">
        <v>42800</v>
      </c>
      <c r="B549" s="3">
        <f>IF(ISNUMBER(AVERAGE('20250815_ETF_Options_Exhibits'!B545:B549)),AVERAGE('20250815_ETF_Options_Exhibits'!B545:B549),"")</f>
        <v/>
      </c>
      <c r="C549" s="3">
        <f>IF(ISNUMBER(AVERAGE('20250815_ETF_Options_Exhibits'!C545:C549)),AVERAGE('20250815_ETF_Options_Exhibits'!C545:C549),"")</f>
        <v/>
      </c>
      <c r="D549" s="3">
        <f>IF(ISNUMBER(AVERAGE('20250815_ETF_Options_Exhibits'!D545:D549)),AVERAGE('20250815_ETF_Options_Exhibits'!D545:D549),"")</f>
        <v/>
      </c>
      <c r="E549" s="3">
        <f>IF(ISNUMBER(AVERAGE('20250815_ETF_Options_Exhibits'!E545:E549)),AVERAGE('20250815_ETF_Options_Exhibits'!E545:E549),"")</f>
        <v/>
      </c>
      <c r="F549" s="3">
        <f>IF(ISNUMBER(AVERAGE('20250815_ETF_Options_Exhibits'!F545:F549)),AVERAGE('20250815_ETF_Options_Exhibits'!F545:F549),"")</f>
        <v/>
      </c>
      <c r="G549" s="3">
        <f>IF(ISNUMBER(AVERAGE('20250815_ETF_Options_Exhibits'!G545:G549)),AVERAGE('20250815_ETF_Options_Exhibits'!G545:G549),"")</f>
        <v/>
      </c>
      <c r="H549" s="3">
        <f>IF(ISNUMBER(AVERAGE('20250815_ETF_Options_Exhibits'!H545:H549)),AVERAGE('20250815_ETF_Options_Exhibits'!H545:H549),"")</f>
        <v/>
      </c>
      <c r="I549" s="3">
        <f>IF(ISNUMBER(AVERAGE('20250815_ETF_Options_Exhibits'!I545:I549)),AVERAGE('20250815_ETF_Options_Exhibits'!I545:I549),"")</f>
        <v/>
      </c>
      <c r="J549" s="3">
        <f>IF(ISNUMBER(AVERAGE('20250815_ETF_Options_Exhibits'!J545:J549)),AVERAGE('20250815_ETF_Options_Exhibits'!J545:J549),"")</f>
        <v/>
      </c>
      <c r="K549" s="3">
        <f>IF(ISNUMBER(AVERAGE('20250815_ETF_Options_Exhibits'!K545:K549)),AVERAGE('20250815_ETF_Options_Exhibits'!K545:K549),"")</f>
        <v/>
      </c>
      <c r="L549" s="3">
        <f>IF(ISNUMBER(AVERAGE('20250815_ETF_Options_Exhibits'!L545:L549)),AVERAGE('20250815_ETF_Options_Exhibits'!L545:L549),"")</f>
        <v/>
      </c>
      <c r="M549" s="3">
        <f>IF(ISNUMBER(AVERAGE('20250815_ETF_Options_Exhibits'!M545:M549)),AVERAGE('20250815_ETF_Options_Exhibits'!M545:M549),"")</f>
        <v/>
      </c>
      <c r="N549" s="3">
        <f>IF(ISNUMBER(AVERAGE('20250815_ETF_Options_Exhibits'!N545:N549)),AVERAGE('20250815_ETF_Options_Exhibits'!N545:N549),"")</f>
        <v/>
      </c>
      <c r="O549" s="3">
        <f>IF(ISNUMBER(AVERAGE('20250815_ETF_Options_Exhibits'!O545:O549)),AVERAGE('20250815_ETF_Options_Exhibits'!O545:O549),"")</f>
        <v/>
      </c>
      <c r="P549" s="3">
        <f>IF(ISNUMBER(AVERAGE('20250815_ETF_Options_Exhibits'!P545:P549)),AVERAGE('20250815_ETF_Options_Exhibits'!P545:P549),"")</f>
        <v/>
      </c>
      <c r="Q549" s="3">
        <f>IF(ISNUMBER(AVERAGE('20250815_ETF_Options_Exhibits'!Q545:Q549)),AVERAGE('20250815_ETF_Options_Exhibits'!Q545:Q549),"")</f>
        <v/>
      </c>
      <c r="R549" s="3">
        <f>IF(ISNUMBER(AVERAGE('20250815_ETF_Options_Exhibits'!R545:R549)),AVERAGE('20250815_ETF_Options_Exhibits'!R545:R549),"")</f>
        <v/>
      </c>
      <c r="S549" s="3">
        <f>IF(ISNUMBER(AVERAGE('20250815_ETF_Options_Exhibits'!S545:S549)),AVERAGE('20250815_ETF_Options_Exhibits'!S545:S549),"")</f>
        <v/>
      </c>
      <c r="T549" s="3">
        <f>IF(ISNUMBER(AVERAGE('20250815_ETF_Options_Exhibits'!T545:T549)),AVERAGE('20250815_ETF_Options_Exhibits'!T545:T549),"")</f>
        <v/>
      </c>
      <c r="U549" s="3">
        <f>IF(ISNUMBER(AVERAGE('20250815_ETF_Options_Exhibits'!U545:U549)),AVERAGE('20250815_ETF_Options_Exhibits'!U545:U549),"")</f>
        <v/>
      </c>
      <c r="V549" s="3">
        <f>IF(ISNUMBER(AVERAGE('20250815_ETF_Options_Exhibits'!V545:V549)),AVERAGE('20250815_ETF_Options_Exhibits'!V545:V549),"")</f>
        <v/>
      </c>
      <c r="W549" s="3">
        <f>IF(ISNUMBER(AVERAGE('20250815_ETF_Options_Exhibits'!W545:W549)),AVERAGE('20250815_ETF_Options_Exhibits'!W545:W549),"")</f>
        <v/>
      </c>
      <c r="X549" s="3">
        <f>IF(ISNUMBER(AVERAGE('20250815_ETF_Options_Exhibits'!X545:X549)),AVERAGE('20250815_ETF_Options_Exhibits'!X545:X549),"")</f>
        <v/>
      </c>
      <c r="Y549" s="3">
        <f>IF(ISNUMBER(AVERAGE('20250815_ETF_Options_Exhibits'!Y545:Y549)),AVERAGE('20250815_ETF_Options_Exhibits'!Y545:Y549),"")</f>
        <v/>
      </c>
      <c r="Z549" s="3">
        <f>IF(ISNUMBER(AVERAGE('20250815_ETF_Options_Exhibits'!Z545:Z549)),AVERAGE('20250815_ETF_Options_Exhibits'!Z545:Z549),"")</f>
        <v/>
      </c>
      <c r="AA549" s="3">
        <f>IF(ISNUMBER(AVERAGE('20250815_ETF_Options_Exhibits'!AA545:AA549)),AVERAGE('20250815_ETF_Options_Exhibits'!AA545:AA549),"")</f>
        <v/>
      </c>
    </row>
    <row r="550">
      <c r="A550" s="1" t="n">
        <v>42801</v>
      </c>
      <c r="B550" s="3">
        <f>IF(ISNUMBER(AVERAGE('20250815_ETF_Options_Exhibits'!B546:B550)),AVERAGE('20250815_ETF_Options_Exhibits'!B546:B550),"")</f>
        <v/>
      </c>
      <c r="C550" s="3">
        <f>IF(ISNUMBER(AVERAGE('20250815_ETF_Options_Exhibits'!C546:C550)),AVERAGE('20250815_ETF_Options_Exhibits'!C546:C550),"")</f>
        <v/>
      </c>
      <c r="D550" s="3">
        <f>IF(ISNUMBER(AVERAGE('20250815_ETF_Options_Exhibits'!D546:D550)),AVERAGE('20250815_ETF_Options_Exhibits'!D546:D550),"")</f>
        <v/>
      </c>
      <c r="E550" s="3">
        <f>IF(ISNUMBER(AVERAGE('20250815_ETF_Options_Exhibits'!E546:E550)),AVERAGE('20250815_ETF_Options_Exhibits'!E546:E550),"")</f>
        <v/>
      </c>
      <c r="F550" s="3">
        <f>IF(ISNUMBER(AVERAGE('20250815_ETF_Options_Exhibits'!F546:F550)),AVERAGE('20250815_ETF_Options_Exhibits'!F546:F550),"")</f>
        <v/>
      </c>
      <c r="G550" s="3">
        <f>IF(ISNUMBER(AVERAGE('20250815_ETF_Options_Exhibits'!G546:G550)),AVERAGE('20250815_ETF_Options_Exhibits'!G546:G550),"")</f>
        <v/>
      </c>
      <c r="H550" s="3">
        <f>IF(ISNUMBER(AVERAGE('20250815_ETF_Options_Exhibits'!H546:H550)),AVERAGE('20250815_ETF_Options_Exhibits'!H546:H550),"")</f>
        <v/>
      </c>
      <c r="I550" s="3">
        <f>IF(ISNUMBER(AVERAGE('20250815_ETF_Options_Exhibits'!I546:I550)),AVERAGE('20250815_ETF_Options_Exhibits'!I546:I550),"")</f>
        <v/>
      </c>
      <c r="J550" s="3">
        <f>IF(ISNUMBER(AVERAGE('20250815_ETF_Options_Exhibits'!J546:J550)),AVERAGE('20250815_ETF_Options_Exhibits'!J546:J550),"")</f>
        <v/>
      </c>
      <c r="K550" s="3">
        <f>IF(ISNUMBER(AVERAGE('20250815_ETF_Options_Exhibits'!K546:K550)),AVERAGE('20250815_ETF_Options_Exhibits'!K546:K550),"")</f>
        <v/>
      </c>
      <c r="L550" s="3">
        <f>IF(ISNUMBER(AVERAGE('20250815_ETF_Options_Exhibits'!L546:L550)),AVERAGE('20250815_ETF_Options_Exhibits'!L546:L550),"")</f>
        <v/>
      </c>
      <c r="M550" s="3">
        <f>IF(ISNUMBER(AVERAGE('20250815_ETF_Options_Exhibits'!M546:M550)),AVERAGE('20250815_ETF_Options_Exhibits'!M546:M550),"")</f>
        <v/>
      </c>
      <c r="N550" s="3">
        <f>IF(ISNUMBER(AVERAGE('20250815_ETF_Options_Exhibits'!N546:N550)),AVERAGE('20250815_ETF_Options_Exhibits'!N546:N550),"")</f>
        <v/>
      </c>
      <c r="O550" s="3">
        <f>IF(ISNUMBER(AVERAGE('20250815_ETF_Options_Exhibits'!O546:O550)),AVERAGE('20250815_ETF_Options_Exhibits'!O546:O550),"")</f>
        <v/>
      </c>
      <c r="P550" s="3">
        <f>IF(ISNUMBER(AVERAGE('20250815_ETF_Options_Exhibits'!P546:P550)),AVERAGE('20250815_ETF_Options_Exhibits'!P546:P550),"")</f>
        <v/>
      </c>
      <c r="Q550" s="3">
        <f>IF(ISNUMBER(AVERAGE('20250815_ETF_Options_Exhibits'!Q546:Q550)),AVERAGE('20250815_ETF_Options_Exhibits'!Q546:Q550),"")</f>
        <v/>
      </c>
      <c r="R550" s="3">
        <f>IF(ISNUMBER(AVERAGE('20250815_ETF_Options_Exhibits'!R546:R550)),AVERAGE('20250815_ETF_Options_Exhibits'!R546:R550),"")</f>
        <v/>
      </c>
      <c r="S550" s="3">
        <f>IF(ISNUMBER(AVERAGE('20250815_ETF_Options_Exhibits'!S546:S550)),AVERAGE('20250815_ETF_Options_Exhibits'!S546:S550),"")</f>
        <v/>
      </c>
      <c r="T550" s="3">
        <f>IF(ISNUMBER(AVERAGE('20250815_ETF_Options_Exhibits'!T546:T550)),AVERAGE('20250815_ETF_Options_Exhibits'!T546:T550),"")</f>
        <v/>
      </c>
      <c r="U550" s="3">
        <f>IF(ISNUMBER(AVERAGE('20250815_ETF_Options_Exhibits'!U546:U550)),AVERAGE('20250815_ETF_Options_Exhibits'!U546:U550),"")</f>
        <v/>
      </c>
      <c r="V550" s="3">
        <f>IF(ISNUMBER(AVERAGE('20250815_ETF_Options_Exhibits'!V546:V550)),AVERAGE('20250815_ETF_Options_Exhibits'!V546:V550),"")</f>
        <v/>
      </c>
      <c r="W550" s="3">
        <f>IF(ISNUMBER(AVERAGE('20250815_ETF_Options_Exhibits'!W546:W550)),AVERAGE('20250815_ETF_Options_Exhibits'!W546:W550),"")</f>
        <v/>
      </c>
      <c r="X550" s="3">
        <f>IF(ISNUMBER(AVERAGE('20250815_ETF_Options_Exhibits'!X546:X550)),AVERAGE('20250815_ETF_Options_Exhibits'!X546:X550),"")</f>
        <v/>
      </c>
      <c r="Y550" s="3">
        <f>IF(ISNUMBER(AVERAGE('20250815_ETF_Options_Exhibits'!Y546:Y550)),AVERAGE('20250815_ETF_Options_Exhibits'!Y546:Y550),"")</f>
        <v/>
      </c>
      <c r="Z550" s="3">
        <f>IF(ISNUMBER(AVERAGE('20250815_ETF_Options_Exhibits'!Z546:Z550)),AVERAGE('20250815_ETF_Options_Exhibits'!Z546:Z550),"")</f>
        <v/>
      </c>
      <c r="AA550" s="3">
        <f>IF(ISNUMBER(AVERAGE('20250815_ETF_Options_Exhibits'!AA546:AA550)),AVERAGE('20250815_ETF_Options_Exhibits'!AA546:AA550),"")</f>
        <v/>
      </c>
    </row>
    <row r="551">
      <c r="A551" s="1" t="n">
        <v>42802</v>
      </c>
      <c r="B551" s="3">
        <f>IF(ISNUMBER(AVERAGE('20250815_ETF_Options_Exhibits'!B547:B551)),AVERAGE('20250815_ETF_Options_Exhibits'!B547:B551),"")</f>
        <v/>
      </c>
      <c r="C551" s="3">
        <f>IF(ISNUMBER(AVERAGE('20250815_ETF_Options_Exhibits'!C547:C551)),AVERAGE('20250815_ETF_Options_Exhibits'!C547:C551),"")</f>
        <v/>
      </c>
      <c r="D551" s="3">
        <f>IF(ISNUMBER(AVERAGE('20250815_ETF_Options_Exhibits'!D547:D551)),AVERAGE('20250815_ETF_Options_Exhibits'!D547:D551),"")</f>
        <v/>
      </c>
      <c r="E551" s="3">
        <f>IF(ISNUMBER(AVERAGE('20250815_ETF_Options_Exhibits'!E547:E551)),AVERAGE('20250815_ETF_Options_Exhibits'!E547:E551),"")</f>
        <v/>
      </c>
      <c r="F551" s="3">
        <f>IF(ISNUMBER(AVERAGE('20250815_ETF_Options_Exhibits'!F547:F551)),AVERAGE('20250815_ETF_Options_Exhibits'!F547:F551),"")</f>
        <v/>
      </c>
      <c r="G551" s="3">
        <f>IF(ISNUMBER(AVERAGE('20250815_ETF_Options_Exhibits'!G547:G551)),AVERAGE('20250815_ETF_Options_Exhibits'!G547:G551),"")</f>
        <v/>
      </c>
      <c r="H551" s="3">
        <f>IF(ISNUMBER(AVERAGE('20250815_ETF_Options_Exhibits'!H547:H551)),AVERAGE('20250815_ETF_Options_Exhibits'!H547:H551),"")</f>
        <v/>
      </c>
      <c r="I551" s="3">
        <f>IF(ISNUMBER(AVERAGE('20250815_ETF_Options_Exhibits'!I547:I551)),AVERAGE('20250815_ETF_Options_Exhibits'!I547:I551),"")</f>
        <v/>
      </c>
      <c r="J551" s="3">
        <f>IF(ISNUMBER(AVERAGE('20250815_ETF_Options_Exhibits'!J547:J551)),AVERAGE('20250815_ETF_Options_Exhibits'!J547:J551),"")</f>
        <v/>
      </c>
      <c r="K551" s="3">
        <f>IF(ISNUMBER(AVERAGE('20250815_ETF_Options_Exhibits'!K547:K551)),AVERAGE('20250815_ETF_Options_Exhibits'!K547:K551),"")</f>
        <v/>
      </c>
      <c r="L551" s="3">
        <f>IF(ISNUMBER(AVERAGE('20250815_ETF_Options_Exhibits'!L547:L551)),AVERAGE('20250815_ETF_Options_Exhibits'!L547:L551),"")</f>
        <v/>
      </c>
      <c r="M551" s="3">
        <f>IF(ISNUMBER(AVERAGE('20250815_ETF_Options_Exhibits'!M547:M551)),AVERAGE('20250815_ETF_Options_Exhibits'!M547:M551),"")</f>
        <v/>
      </c>
      <c r="N551" s="3">
        <f>IF(ISNUMBER(AVERAGE('20250815_ETF_Options_Exhibits'!N547:N551)),AVERAGE('20250815_ETF_Options_Exhibits'!N547:N551),"")</f>
        <v/>
      </c>
      <c r="O551" s="3">
        <f>IF(ISNUMBER(AVERAGE('20250815_ETF_Options_Exhibits'!O547:O551)),AVERAGE('20250815_ETF_Options_Exhibits'!O547:O551),"")</f>
        <v/>
      </c>
      <c r="P551" s="3">
        <f>IF(ISNUMBER(AVERAGE('20250815_ETF_Options_Exhibits'!P547:P551)),AVERAGE('20250815_ETF_Options_Exhibits'!P547:P551),"")</f>
        <v/>
      </c>
      <c r="Q551" s="3">
        <f>IF(ISNUMBER(AVERAGE('20250815_ETF_Options_Exhibits'!Q547:Q551)),AVERAGE('20250815_ETF_Options_Exhibits'!Q547:Q551),"")</f>
        <v/>
      </c>
      <c r="R551" s="3">
        <f>IF(ISNUMBER(AVERAGE('20250815_ETF_Options_Exhibits'!R547:R551)),AVERAGE('20250815_ETF_Options_Exhibits'!R547:R551),"")</f>
        <v/>
      </c>
      <c r="S551" s="3">
        <f>IF(ISNUMBER(AVERAGE('20250815_ETF_Options_Exhibits'!S547:S551)),AVERAGE('20250815_ETF_Options_Exhibits'!S547:S551),"")</f>
        <v/>
      </c>
      <c r="T551" s="3">
        <f>IF(ISNUMBER(AVERAGE('20250815_ETF_Options_Exhibits'!T547:T551)),AVERAGE('20250815_ETF_Options_Exhibits'!T547:T551),"")</f>
        <v/>
      </c>
      <c r="U551" s="3">
        <f>IF(ISNUMBER(AVERAGE('20250815_ETF_Options_Exhibits'!U547:U551)),AVERAGE('20250815_ETF_Options_Exhibits'!U547:U551),"")</f>
        <v/>
      </c>
      <c r="V551" s="3">
        <f>IF(ISNUMBER(AVERAGE('20250815_ETF_Options_Exhibits'!V547:V551)),AVERAGE('20250815_ETF_Options_Exhibits'!V547:V551),"")</f>
        <v/>
      </c>
      <c r="W551" s="3">
        <f>IF(ISNUMBER(AVERAGE('20250815_ETF_Options_Exhibits'!W547:W551)),AVERAGE('20250815_ETF_Options_Exhibits'!W547:W551),"")</f>
        <v/>
      </c>
      <c r="X551" s="3">
        <f>IF(ISNUMBER(AVERAGE('20250815_ETF_Options_Exhibits'!X547:X551)),AVERAGE('20250815_ETF_Options_Exhibits'!X547:X551),"")</f>
        <v/>
      </c>
      <c r="Y551" s="3">
        <f>IF(ISNUMBER(AVERAGE('20250815_ETF_Options_Exhibits'!Y547:Y551)),AVERAGE('20250815_ETF_Options_Exhibits'!Y547:Y551),"")</f>
        <v/>
      </c>
      <c r="Z551" s="3">
        <f>IF(ISNUMBER(AVERAGE('20250815_ETF_Options_Exhibits'!Z547:Z551)),AVERAGE('20250815_ETF_Options_Exhibits'!Z547:Z551),"")</f>
        <v/>
      </c>
      <c r="AA551" s="3">
        <f>IF(ISNUMBER(AVERAGE('20250815_ETF_Options_Exhibits'!AA547:AA551)),AVERAGE('20250815_ETF_Options_Exhibits'!AA547:AA551),"")</f>
        <v/>
      </c>
    </row>
    <row r="552">
      <c r="A552" s="1" t="n">
        <v>42803</v>
      </c>
      <c r="B552" s="3">
        <f>IF(ISNUMBER(AVERAGE('20250815_ETF_Options_Exhibits'!B548:B552)),AVERAGE('20250815_ETF_Options_Exhibits'!B548:B552),"")</f>
        <v/>
      </c>
      <c r="C552" s="3">
        <f>IF(ISNUMBER(AVERAGE('20250815_ETF_Options_Exhibits'!C548:C552)),AVERAGE('20250815_ETF_Options_Exhibits'!C548:C552),"")</f>
        <v/>
      </c>
      <c r="D552" s="3">
        <f>IF(ISNUMBER(AVERAGE('20250815_ETF_Options_Exhibits'!D548:D552)),AVERAGE('20250815_ETF_Options_Exhibits'!D548:D552),"")</f>
        <v/>
      </c>
      <c r="E552" s="3">
        <f>IF(ISNUMBER(AVERAGE('20250815_ETF_Options_Exhibits'!E548:E552)),AVERAGE('20250815_ETF_Options_Exhibits'!E548:E552),"")</f>
        <v/>
      </c>
      <c r="F552" s="3">
        <f>IF(ISNUMBER(AVERAGE('20250815_ETF_Options_Exhibits'!F548:F552)),AVERAGE('20250815_ETF_Options_Exhibits'!F548:F552),"")</f>
        <v/>
      </c>
      <c r="G552" s="3">
        <f>IF(ISNUMBER(AVERAGE('20250815_ETF_Options_Exhibits'!G548:G552)),AVERAGE('20250815_ETF_Options_Exhibits'!G548:G552),"")</f>
        <v/>
      </c>
      <c r="H552" s="3">
        <f>IF(ISNUMBER(AVERAGE('20250815_ETF_Options_Exhibits'!H548:H552)),AVERAGE('20250815_ETF_Options_Exhibits'!H548:H552),"")</f>
        <v/>
      </c>
      <c r="I552" s="3">
        <f>IF(ISNUMBER(AVERAGE('20250815_ETF_Options_Exhibits'!I548:I552)),AVERAGE('20250815_ETF_Options_Exhibits'!I548:I552),"")</f>
        <v/>
      </c>
      <c r="J552" s="3">
        <f>IF(ISNUMBER(AVERAGE('20250815_ETF_Options_Exhibits'!J548:J552)),AVERAGE('20250815_ETF_Options_Exhibits'!J548:J552),"")</f>
        <v/>
      </c>
      <c r="K552" s="3">
        <f>IF(ISNUMBER(AVERAGE('20250815_ETF_Options_Exhibits'!K548:K552)),AVERAGE('20250815_ETF_Options_Exhibits'!K548:K552),"")</f>
        <v/>
      </c>
      <c r="L552" s="3">
        <f>IF(ISNUMBER(AVERAGE('20250815_ETF_Options_Exhibits'!L548:L552)),AVERAGE('20250815_ETF_Options_Exhibits'!L548:L552),"")</f>
        <v/>
      </c>
      <c r="M552" s="3">
        <f>IF(ISNUMBER(AVERAGE('20250815_ETF_Options_Exhibits'!M548:M552)),AVERAGE('20250815_ETF_Options_Exhibits'!M548:M552),"")</f>
        <v/>
      </c>
      <c r="N552" s="3">
        <f>IF(ISNUMBER(AVERAGE('20250815_ETF_Options_Exhibits'!N548:N552)),AVERAGE('20250815_ETF_Options_Exhibits'!N548:N552),"")</f>
        <v/>
      </c>
      <c r="O552" s="3">
        <f>IF(ISNUMBER(AVERAGE('20250815_ETF_Options_Exhibits'!O548:O552)),AVERAGE('20250815_ETF_Options_Exhibits'!O548:O552),"")</f>
        <v/>
      </c>
      <c r="P552" s="3">
        <f>IF(ISNUMBER(AVERAGE('20250815_ETF_Options_Exhibits'!P548:P552)),AVERAGE('20250815_ETF_Options_Exhibits'!P548:P552),"")</f>
        <v/>
      </c>
      <c r="Q552" s="3">
        <f>IF(ISNUMBER(AVERAGE('20250815_ETF_Options_Exhibits'!Q548:Q552)),AVERAGE('20250815_ETF_Options_Exhibits'!Q548:Q552),"")</f>
        <v/>
      </c>
      <c r="R552" s="3">
        <f>IF(ISNUMBER(AVERAGE('20250815_ETF_Options_Exhibits'!R548:R552)),AVERAGE('20250815_ETF_Options_Exhibits'!R548:R552),"")</f>
        <v/>
      </c>
      <c r="S552" s="3">
        <f>IF(ISNUMBER(AVERAGE('20250815_ETF_Options_Exhibits'!S548:S552)),AVERAGE('20250815_ETF_Options_Exhibits'!S548:S552),"")</f>
        <v/>
      </c>
      <c r="T552" s="3">
        <f>IF(ISNUMBER(AVERAGE('20250815_ETF_Options_Exhibits'!T548:T552)),AVERAGE('20250815_ETF_Options_Exhibits'!T548:T552),"")</f>
        <v/>
      </c>
      <c r="U552" s="3">
        <f>IF(ISNUMBER(AVERAGE('20250815_ETF_Options_Exhibits'!U548:U552)),AVERAGE('20250815_ETF_Options_Exhibits'!U548:U552),"")</f>
        <v/>
      </c>
      <c r="V552" s="3">
        <f>IF(ISNUMBER(AVERAGE('20250815_ETF_Options_Exhibits'!V548:V552)),AVERAGE('20250815_ETF_Options_Exhibits'!V548:V552),"")</f>
        <v/>
      </c>
      <c r="W552" s="3">
        <f>IF(ISNUMBER(AVERAGE('20250815_ETF_Options_Exhibits'!W548:W552)),AVERAGE('20250815_ETF_Options_Exhibits'!W548:W552),"")</f>
        <v/>
      </c>
      <c r="X552" s="3">
        <f>IF(ISNUMBER(AVERAGE('20250815_ETF_Options_Exhibits'!X548:X552)),AVERAGE('20250815_ETF_Options_Exhibits'!X548:X552),"")</f>
        <v/>
      </c>
      <c r="Y552" s="3">
        <f>IF(ISNUMBER(AVERAGE('20250815_ETF_Options_Exhibits'!Y548:Y552)),AVERAGE('20250815_ETF_Options_Exhibits'!Y548:Y552),"")</f>
        <v/>
      </c>
      <c r="Z552" s="3">
        <f>IF(ISNUMBER(AVERAGE('20250815_ETF_Options_Exhibits'!Z548:Z552)),AVERAGE('20250815_ETF_Options_Exhibits'!Z548:Z552),"")</f>
        <v/>
      </c>
      <c r="AA552" s="3">
        <f>IF(ISNUMBER(AVERAGE('20250815_ETF_Options_Exhibits'!AA548:AA552)),AVERAGE('20250815_ETF_Options_Exhibits'!AA548:AA552),"")</f>
        <v/>
      </c>
    </row>
    <row r="553">
      <c r="A553" s="1" t="n">
        <v>42804</v>
      </c>
      <c r="B553" s="3">
        <f>IF(ISNUMBER(AVERAGE('20250815_ETF_Options_Exhibits'!B549:B553)),AVERAGE('20250815_ETF_Options_Exhibits'!B549:B553),"")</f>
        <v/>
      </c>
      <c r="C553" s="3">
        <f>IF(ISNUMBER(AVERAGE('20250815_ETF_Options_Exhibits'!C549:C553)),AVERAGE('20250815_ETF_Options_Exhibits'!C549:C553),"")</f>
        <v/>
      </c>
      <c r="D553" s="3">
        <f>IF(ISNUMBER(AVERAGE('20250815_ETF_Options_Exhibits'!D549:D553)),AVERAGE('20250815_ETF_Options_Exhibits'!D549:D553),"")</f>
        <v/>
      </c>
      <c r="E553" s="3">
        <f>IF(ISNUMBER(AVERAGE('20250815_ETF_Options_Exhibits'!E549:E553)),AVERAGE('20250815_ETF_Options_Exhibits'!E549:E553),"")</f>
        <v/>
      </c>
      <c r="F553" s="3">
        <f>IF(ISNUMBER(AVERAGE('20250815_ETF_Options_Exhibits'!F549:F553)),AVERAGE('20250815_ETF_Options_Exhibits'!F549:F553),"")</f>
        <v/>
      </c>
      <c r="G553" s="3">
        <f>IF(ISNUMBER(AVERAGE('20250815_ETF_Options_Exhibits'!G549:G553)),AVERAGE('20250815_ETF_Options_Exhibits'!G549:G553),"")</f>
        <v/>
      </c>
      <c r="H553" s="3">
        <f>IF(ISNUMBER(AVERAGE('20250815_ETF_Options_Exhibits'!H549:H553)),AVERAGE('20250815_ETF_Options_Exhibits'!H549:H553),"")</f>
        <v/>
      </c>
      <c r="I553" s="3">
        <f>IF(ISNUMBER(AVERAGE('20250815_ETF_Options_Exhibits'!I549:I553)),AVERAGE('20250815_ETF_Options_Exhibits'!I549:I553),"")</f>
        <v/>
      </c>
      <c r="J553" s="3">
        <f>IF(ISNUMBER(AVERAGE('20250815_ETF_Options_Exhibits'!J549:J553)),AVERAGE('20250815_ETF_Options_Exhibits'!J549:J553),"")</f>
        <v/>
      </c>
      <c r="K553" s="3">
        <f>IF(ISNUMBER(AVERAGE('20250815_ETF_Options_Exhibits'!K549:K553)),AVERAGE('20250815_ETF_Options_Exhibits'!K549:K553),"")</f>
        <v/>
      </c>
      <c r="L553" s="3">
        <f>IF(ISNUMBER(AVERAGE('20250815_ETF_Options_Exhibits'!L549:L553)),AVERAGE('20250815_ETF_Options_Exhibits'!L549:L553),"")</f>
        <v/>
      </c>
      <c r="M553" s="3">
        <f>IF(ISNUMBER(AVERAGE('20250815_ETF_Options_Exhibits'!M549:M553)),AVERAGE('20250815_ETF_Options_Exhibits'!M549:M553),"")</f>
        <v/>
      </c>
      <c r="N553" s="3">
        <f>IF(ISNUMBER(AVERAGE('20250815_ETF_Options_Exhibits'!N549:N553)),AVERAGE('20250815_ETF_Options_Exhibits'!N549:N553),"")</f>
        <v/>
      </c>
      <c r="O553" s="3">
        <f>IF(ISNUMBER(AVERAGE('20250815_ETF_Options_Exhibits'!O549:O553)),AVERAGE('20250815_ETF_Options_Exhibits'!O549:O553),"")</f>
        <v/>
      </c>
      <c r="P553" s="3">
        <f>IF(ISNUMBER(AVERAGE('20250815_ETF_Options_Exhibits'!P549:P553)),AVERAGE('20250815_ETF_Options_Exhibits'!P549:P553),"")</f>
        <v/>
      </c>
      <c r="Q553" s="3">
        <f>IF(ISNUMBER(AVERAGE('20250815_ETF_Options_Exhibits'!Q549:Q553)),AVERAGE('20250815_ETF_Options_Exhibits'!Q549:Q553),"")</f>
        <v/>
      </c>
      <c r="R553" s="3">
        <f>IF(ISNUMBER(AVERAGE('20250815_ETF_Options_Exhibits'!R549:R553)),AVERAGE('20250815_ETF_Options_Exhibits'!R549:R553),"")</f>
        <v/>
      </c>
      <c r="S553" s="3">
        <f>IF(ISNUMBER(AVERAGE('20250815_ETF_Options_Exhibits'!S549:S553)),AVERAGE('20250815_ETF_Options_Exhibits'!S549:S553),"")</f>
        <v/>
      </c>
      <c r="T553" s="3">
        <f>IF(ISNUMBER(AVERAGE('20250815_ETF_Options_Exhibits'!T549:T553)),AVERAGE('20250815_ETF_Options_Exhibits'!T549:T553),"")</f>
        <v/>
      </c>
      <c r="U553" s="3">
        <f>IF(ISNUMBER(AVERAGE('20250815_ETF_Options_Exhibits'!U549:U553)),AVERAGE('20250815_ETF_Options_Exhibits'!U549:U553),"")</f>
        <v/>
      </c>
      <c r="V553" s="3">
        <f>IF(ISNUMBER(AVERAGE('20250815_ETF_Options_Exhibits'!V549:V553)),AVERAGE('20250815_ETF_Options_Exhibits'!V549:V553),"")</f>
        <v/>
      </c>
      <c r="W553" s="3">
        <f>IF(ISNUMBER(AVERAGE('20250815_ETF_Options_Exhibits'!W549:W553)),AVERAGE('20250815_ETF_Options_Exhibits'!W549:W553),"")</f>
        <v/>
      </c>
      <c r="X553" s="3">
        <f>IF(ISNUMBER(AVERAGE('20250815_ETF_Options_Exhibits'!X549:X553)),AVERAGE('20250815_ETF_Options_Exhibits'!X549:X553),"")</f>
        <v/>
      </c>
      <c r="Y553" s="3">
        <f>IF(ISNUMBER(AVERAGE('20250815_ETF_Options_Exhibits'!Y549:Y553)),AVERAGE('20250815_ETF_Options_Exhibits'!Y549:Y553),"")</f>
        <v/>
      </c>
      <c r="Z553" s="3">
        <f>IF(ISNUMBER(AVERAGE('20250815_ETF_Options_Exhibits'!Z549:Z553)),AVERAGE('20250815_ETF_Options_Exhibits'!Z549:Z553),"")</f>
        <v/>
      </c>
      <c r="AA553" s="3">
        <f>IF(ISNUMBER(AVERAGE('20250815_ETF_Options_Exhibits'!AA549:AA553)),AVERAGE('20250815_ETF_Options_Exhibits'!AA549:AA553),"")</f>
        <v/>
      </c>
    </row>
    <row r="554">
      <c r="A554" s="1" t="n">
        <v>42807</v>
      </c>
      <c r="B554" s="3">
        <f>IF(ISNUMBER(AVERAGE('20250815_ETF_Options_Exhibits'!B550:B554)),AVERAGE('20250815_ETF_Options_Exhibits'!B550:B554),"")</f>
        <v/>
      </c>
      <c r="C554" s="3">
        <f>IF(ISNUMBER(AVERAGE('20250815_ETF_Options_Exhibits'!C550:C554)),AVERAGE('20250815_ETF_Options_Exhibits'!C550:C554),"")</f>
        <v/>
      </c>
      <c r="D554" s="3">
        <f>IF(ISNUMBER(AVERAGE('20250815_ETF_Options_Exhibits'!D550:D554)),AVERAGE('20250815_ETF_Options_Exhibits'!D550:D554),"")</f>
        <v/>
      </c>
      <c r="E554" s="3">
        <f>IF(ISNUMBER(AVERAGE('20250815_ETF_Options_Exhibits'!E550:E554)),AVERAGE('20250815_ETF_Options_Exhibits'!E550:E554),"")</f>
        <v/>
      </c>
      <c r="F554" s="3">
        <f>IF(ISNUMBER(AVERAGE('20250815_ETF_Options_Exhibits'!F550:F554)),AVERAGE('20250815_ETF_Options_Exhibits'!F550:F554),"")</f>
        <v/>
      </c>
      <c r="G554" s="3">
        <f>IF(ISNUMBER(AVERAGE('20250815_ETF_Options_Exhibits'!G550:G554)),AVERAGE('20250815_ETF_Options_Exhibits'!G550:G554),"")</f>
        <v/>
      </c>
      <c r="H554" s="3">
        <f>IF(ISNUMBER(AVERAGE('20250815_ETF_Options_Exhibits'!H550:H554)),AVERAGE('20250815_ETF_Options_Exhibits'!H550:H554),"")</f>
        <v/>
      </c>
      <c r="I554" s="3">
        <f>IF(ISNUMBER(AVERAGE('20250815_ETF_Options_Exhibits'!I550:I554)),AVERAGE('20250815_ETF_Options_Exhibits'!I550:I554),"")</f>
        <v/>
      </c>
      <c r="J554" s="3">
        <f>IF(ISNUMBER(AVERAGE('20250815_ETF_Options_Exhibits'!J550:J554)),AVERAGE('20250815_ETF_Options_Exhibits'!J550:J554),"")</f>
        <v/>
      </c>
      <c r="K554" s="3">
        <f>IF(ISNUMBER(AVERAGE('20250815_ETF_Options_Exhibits'!K550:K554)),AVERAGE('20250815_ETF_Options_Exhibits'!K550:K554),"")</f>
        <v/>
      </c>
      <c r="L554" s="3">
        <f>IF(ISNUMBER(AVERAGE('20250815_ETF_Options_Exhibits'!L550:L554)),AVERAGE('20250815_ETF_Options_Exhibits'!L550:L554),"")</f>
        <v/>
      </c>
      <c r="M554" s="3">
        <f>IF(ISNUMBER(AVERAGE('20250815_ETF_Options_Exhibits'!M550:M554)),AVERAGE('20250815_ETF_Options_Exhibits'!M550:M554),"")</f>
        <v/>
      </c>
      <c r="N554" s="3">
        <f>IF(ISNUMBER(AVERAGE('20250815_ETF_Options_Exhibits'!N550:N554)),AVERAGE('20250815_ETF_Options_Exhibits'!N550:N554),"")</f>
        <v/>
      </c>
      <c r="O554" s="3">
        <f>IF(ISNUMBER(AVERAGE('20250815_ETF_Options_Exhibits'!O550:O554)),AVERAGE('20250815_ETF_Options_Exhibits'!O550:O554),"")</f>
        <v/>
      </c>
      <c r="P554" s="3">
        <f>IF(ISNUMBER(AVERAGE('20250815_ETF_Options_Exhibits'!P550:P554)),AVERAGE('20250815_ETF_Options_Exhibits'!P550:P554),"")</f>
        <v/>
      </c>
      <c r="Q554" s="3">
        <f>IF(ISNUMBER(AVERAGE('20250815_ETF_Options_Exhibits'!Q550:Q554)),AVERAGE('20250815_ETF_Options_Exhibits'!Q550:Q554),"")</f>
        <v/>
      </c>
      <c r="R554" s="3">
        <f>IF(ISNUMBER(AVERAGE('20250815_ETF_Options_Exhibits'!R550:R554)),AVERAGE('20250815_ETF_Options_Exhibits'!R550:R554),"")</f>
        <v/>
      </c>
      <c r="S554" s="3">
        <f>IF(ISNUMBER(AVERAGE('20250815_ETF_Options_Exhibits'!S550:S554)),AVERAGE('20250815_ETF_Options_Exhibits'!S550:S554),"")</f>
        <v/>
      </c>
      <c r="T554" s="3">
        <f>IF(ISNUMBER(AVERAGE('20250815_ETF_Options_Exhibits'!T550:T554)),AVERAGE('20250815_ETF_Options_Exhibits'!T550:T554),"")</f>
        <v/>
      </c>
      <c r="U554" s="3">
        <f>IF(ISNUMBER(AVERAGE('20250815_ETF_Options_Exhibits'!U550:U554)),AVERAGE('20250815_ETF_Options_Exhibits'!U550:U554),"")</f>
        <v/>
      </c>
      <c r="V554" s="3">
        <f>IF(ISNUMBER(AVERAGE('20250815_ETF_Options_Exhibits'!V550:V554)),AVERAGE('20250815_ETF_Options_Exhibits'!V550:V554),"")</f>
        <v/>
      </c>
      <c r="W554" s="3">
        <f>IF(ISNUMBER(AVERAGE('20250815_ETF_Options_Exhibits'!W550:W554)),AVERAGE('20250815_ETF_Options_Exhibits'!W550:W554),"")</f>
        <v/>
      </c>
      <c r="X554" s="3">
        <f>IF(ISNUMBER(AVERAGE('20250815_ETF_Options_Exhibits'!X550:X554)),AVERAGE('20250815_ETF_Options_Exhibits'!X550:X554),"")</f>
        <v/>
      </c>
      <c r="Y554" s="3">
        <f>IF(ISNUMBER(AVERAGE('20250815_ETF_Options_Exhibits'!Y550:Y554)),AVERAGE('20250815_ETF_Options_Exhibits'!Y550:Y554),"")</f>
        <v/>
      </c>
      <c r="Z554" s="3">
        <f>IF(ISNUMBER(AVERAGE('20250815_ETF_Options_Exhibits'!Z550:Z554)),AVERAGE('20250815_ETF_Options_Exhibits'!Z550:Z554),"")</f>
        <v/>
      </c>
      <c r="AA554" s="3">
        <f>IF(ISNUMBER(AVERAGE('20250815_ETF_Options_Exhibits'!AA550:AA554)),AVERAGE('20250815_ETF_Options_Exhibits'!AA550:AA554),"")</f>
        <v/>
      </c>
    </row>
    <row r="555">
      <c r="A555" s="1" t="n">
        <v>42808</v>
      </c>
      <c r="B555" s="3">
        <f>IF(ISNUMBER(AVERAGE('20250815_ETF_Options_Exhibits'!B551:B555)),AVERAGE('20250815_ETF_Options_Exhibits'!B551:B555),"")</f>
        <v/>
      </c>
      <c r="C555" s="3">
        <f>IF(ISNUMBER(AVERAGE('20250815_ETF_Options_Exhibits'!C551:C555)),AVERAGE('20250815_ETF_Options_Exhibits'!C551:C555),"")</f>
        <v/>
      </c>
      <c r="D555" s="3">
        <f>IF(ISNUMBER(AVERAGE('20250815_ETF_Options_Exhibits'!D551:D555)),AVERAGE('20250815_ETF_Options_Exhibits'!D551:D555),"")</f>
        <v/>
      </c>
      <c r="E555" s="3">
        <f>IF(ISNUMBER(AVERAGE('20250815_ETF_Options_Exhibits'!E551:E555)),AVERAGE('20250815_ETF_Options_Exhibits'!E551:E555),"")</f>
        <v/>
      </c>
      <c r="F555" s="3">
        <f>IF(ISNUMBER(AVERAGE('20250815_ETF_Options_Exhibits'!F551:F555)),AVERAGE('20250815_ETF_Options_Exhibits'!F551:F555),"")</f>
        <v/>
      </c>
      <c r="G555" s="3">
        <f>IF(ISNUMBER(AVERAGE('20250815_ETF_Options_Exhibits'!G551:G555)),AVERAGE('20250815_ETF_Options_Exhibits'!G551:G555),"")</f>
        <v/>
      </c>
      <c r="H555" s="3">
        <f>IF(ISNUMBER(AVERAGE('20250815_ETF_Options_Exhibits'!H551:H555)),AVERAGE('20250815_ETF_Options_Exhibits'!H551:H555),"")</f>
        <v/>
      </c>
      <c r="I555" s="3">
        <f>IF(ISNUMBER(AVERAGE('20250815_ETF_Options_Exhibits'!I551:I555)),AVERAGE('20250815_ETF_Options_Exhibits'!I551:I555),"")</f>
        <v/>
      </c>
      <c r="J555" s="3">
        <f>IF(ISNUMBER(AVERAGE('20250815_ETF_Options_Exhibits'!J551:J555)),AVERAGE('20250815_ETF_Options_Exhibits'!J551:J555),"")</f>
        <v/>
      </c>
      <c r="K555" s="3">
        <f>IF(ISNUMBER(AVERAGE('20250815_ETF_Options_Exhibits'!K551:K555)),AVERAGE('20250815_ETF_Options_Exhibits'!K551:K555),"")</f>
        <v/>
      </c>
      <c r="L555" s="3">
        <f>IF(ISNUMBER(AVERAGE('20250815_ETF_Options_Exhibits'!L551:L555)),AVERAGE('20250815_ETF_Options_Exhibits'!L551:L555),"")</f>
        <v/>
      </c>
      <c r="M555" s="3">
        <f>IF(ISNUMBER(AVERAGE('20250815_ETF_Options_Exhibits'!M551:M555)),AVERAGE('20250815_ETF_Options_Exhibits'!M551:M555),"")</f>
        <v/>
      </c>
      <c r="N555" s="3">
        <f>IF(ISNUMBER(AVERAGE('20250815_ETF_Options_Exhibits'!N551:N555)),AVERAGE('20250815_ETF_Options_Exhibits'!N551:N555),"")</f>
        <v/>
      </c>
      <c r="O555" s="3">
        <f>IF(ISNUMBER(AVERAGE('20250815_ETF_Options_Exhibits'!O551:O555)),AVERAGE('20250815_ETF_Options_Exhibits'!O551:O555),"")</f>
        <v/>
      </c>
      <c r="P555" s="3">
        <f>IF(ISNUMBER(AVERAGE('20250815_ETF_Options_Exhibits'!P551:P555)),AVERAGE('20250815_ETF_Options_Exhibits'!P551:P555),"")</f>
        <v/>
      </c>
      <c r="Q555" s="3">
        <f>IF(ISNUMBER(AVERAGE('20250815_ETF_Options_Exhibits'!Q551:Q555)),AVERAGE('20250815_ETF_Options_Exhibits'!Q551:Q555),"")</f>
        <v/>
      </c>
      <c r="R555" s="3">
        <f>IF(ISNUMBER(AVERAGE('20250815_ETF_Options_Exhibits'!R551:R555)),AVERAGE('20250815_ETF_Options_Exhibits'!R551:R555),"")</f>
        <v/>
      </c>
      <c r="S555" s="3">
        <f>IF(ISNUMBER(AVERAGE('20250815_ETF_Options_Exhibits'!S551:S555)),AVERAGE('20250815_ETF_Options_Exhibits'!S551:S555),"")</f>
        <v/>
      </c>
      <c r="T555" s="3">
        <f>IF(ISNUMBER(AVERAGE('20250815_ETF_Options_Exhibits'!T551:T555)),AVERAGE('20250815_ETF_Options_Exhibits'!T551:T555),"")</f>
        <v/>
      </c>
      <c r="U555" s="3">
        <f>IF(ISNUMBER(AVERAGE('20250815_ETF_Options_Exhibits'!U551:U555)),AVERAGE('20250815_ETF_Options_Exhibits'!U551:U555),"")</f>
        <v/>
      </c>
      <c r="V555" s="3">
        <f>IF(ISNUMBER(AVERAGE('20250815_ETF_Options_Exhibits'!V551:V555)),AVERAGE('20250815_ETF_Options_Exhibits'!V551:V555),"")</f>
        <v/>
      </c>
      <c r="W555" s="3">
        <f>IF(ISNUMBER(AVERAGE('20250815_ETF_Options_Exhibits'!W551:W555)),AVERAGE('20250815_ETF_Options_Exhibits'!W551:W555),"")</f>
        <v/>
      </c>
      <c r="X555" s="3">
        <f>IF(ISNUMBER(AVERAGE('20250815_ETF_Options_Exhibits'!X551:X555)),AVERAGE('20250815_ETF_Options_Exhibits'!X551:X555),"")</f>
        <v/>
      </c>
      <c r="Y555" s="3">
        <f>IF(ISNUMBER(AVERAGE('20250815_ETF_Options_Exhibits'!Y551:Y555)),AVERAGE('20250815_ETF_Options_Exhibits'!Y551:Y555),"")</f>
        <v/>
      </c>
      <c r="Z555" s="3">
        <f>IF(ISNUMBER(AVERAGE('20250815_ETF_Options_Exhibits'!Z551:Z555)),AVERAGE('20250815_ETF_Options_Exhibits'!Z551:Z555),"")</f>
        <v/>
      </c>
      <c r="AA555" s="3">
        <f>IF(ISNUMBER(AVERAGE('20250815_ETF_Options_Exhibits'!AA551:AA555)),AVERAGE('20250815_ETF_Options_Exhibits'!AA551:AA555),"")</f>
        <v/>
      </c>
    </row>
    <row r="556">
      <c r="A556" s="1" t="n">
        <v>42809</v>
      </c>
      <c r="B556" s="3">
        <f>IF(ISNUMBER(AVERAGE('20250815_ETF_Options_Exhibits'!B552:B556)),AVERAGE('20250815_ETF_Options_Exhibits'!B552:B556),"")</f>
        <v/>
      </c>
      <c r="C556" s="3">
        <f>IF(ISNUMBER(AVERAGE('20250815_ETF_Options_Exhibits'!C552:C556)),AVERAGE('20250815_ETF_Options_Exhibits'!C552:C556),"")</f>
        <v/>
      </c>
      <c r="D556" s="3">
        <f>IF(ISNUMBER(AVERAGE('20250815_ETF_Options_Exhibits'!D552:D556)),AVERAGE('20250815_ETF_Options_Exhibits'!D552:D556),"")</f>
        <v/>
      </c>
      <c r="E556" s="3">
        <f>IF(ISNUMBER(AVERAGE('20250815_ETF_Options_Exhibits'!E552:E556)),AVERAGE('20250815_ETF_Options_Exhibits'!E552:E556),"")</f>
        <v/>
      </c>
      <c r="F556" s="3">
        <f>IF(ISNUMBER(AVERAGE('20250815_ETF_Options_Exhibits'!F552:F556)),AVERAGE('20250815_ETF_Options_Exhibits'!F552:F556),"")</f>
        <v/>
      </c>
      <c r="G556" s="3">
        <f>IF(ISNUMBER(AVERAGE('20250815_ETF_Options_Exhibits'!G552:G556)),AVERAGE('20250815_ETF_Options_Exhibits'!G552:G556),"")</f>
        <v/>
      </c>
      <c r="H556" s="3">
        <f>IF(ISNUMBER(AVERAGE('20250815_ETF_Options_Exhibits'!H552:H556)),AVERAGE('20250815_ETF_Options_Exhibits'!H552:H556),"")</f>
        <v/>
      </c>
      <c r="I556" s="3">
        <f>IF(ISNUMBER(AVERAGE('20250815_ETF_Options_Exhibits'!I552:I556)),AVERAGE('20250815_ETF_Options_Exhibits'!I552:I556),"")</f>
        <v/>
      </c>
      <c r="J556" s="3">
        <f>IF(ISNUMBER(AVERAGE('20250815_ETF_Options_Exhibits'!J552:J556)),AVERAGE('20250815_ETF_Options_Exhibits'!J552:J556),"")</f>
        <v/>
      </c>
      <c r="K556" s="3">
        <f>IF(ISNUMBER(AVERAGE('20250815_ETF_Options_Exhibits'!K552:K556)),AVERAGE('20250815_ETF_Options_Exhibits'!K552:K556),"")</f>
        <v/>
      </c>
      <c r="L556" s="3">
        <f>IF(ISNUMBER(AVERAGE('20250815_ETF_Options_Exhibits'!L552:L556)),AVERAGE('20250815_ETF_Options_Exhibits'!L552:L556),"")</f>
        <v/>
      </c>
      <c r="M556" s="3">
        <f>IF(ISNUMBER(AVERAGE('20250815_ETF_Options_Exhibits'!M552:M556)),AVERAGE('20250815_ETF_Options_Exhibits'!M552:M556),"")</f>
        <v/>
      </c>
      <c r="N556" s="3">
        <f>IF(ISNUMBER(AVERAGE('20250815_ETF_Options_Exhibits'!N552:N556)),AVERAGE('20250815_ETF_Options_Exhibits'!N552:N556),"")</f>
        <v/>
      </c>
      <c r="O556" s="3">
        <f>IF(ISNUMBER(AVERAGE('20250815_ETF_Options_Exhibits'!O552:O556)),AVERAGE('20250815_ETF_Options_Exhibits'!O552:O556),"")</f>
        <v/>
      </c>
      <c r="P556" s="3">
        <f>IF(ISNUMBER(AVERAGE('20250815_ETF_Options_Exhibits'!P552:P556)),AVERAGE('20250815_ETF_Options_Exhibits'!P552:P556),"")</f>
        <v/>
      </c>
      <c r="Q556" s="3">
        <f>IF(ISNUMBER(AVERAGE('20250815_ETF_Options_Exhibits'!Q552:Q556)),AVERAGE('20250815_ETF_Options_Exhibits'!Q552:Q556),"")</f>
        <v/>
      </c>
      <c r="R556" s="3">
        <f>IF(ISNUMBER(AVERAGE('20250815_ETF_Options_Exhibits'!R552:R556)),AVERAGE('20250815_ETF_Options_Exhibits'!R552:R556),"")</f>
        <v/>
      </c>
      <c r="S556" s="3">
        <f>IF(ISNUMBER(AVERAGE('20250815_ETF_Options_Exhibits'!S552:S556)),AVERAGE('20250815_ETF_Options_Exhibits'!S552:S556),"")</f>
        <v/>
      </c>
      <c r="T556" s="3">
        <f>IF(ISNUMBER(AVERAGE('20250815_ETF_Options_Exhibits'!T552:T556)),AVERAGE('20250815_ETF_Options_Exhibits'!T552:T556),"")</f>
        <v/>
      </c>
      <c r="U556" s="3">
        <f>IF(ISNUMBER(AVERAGE('20250815_ETF_Options_Exhibits'!U552:U556)),AVERAGE('20250815_ETF_Options_Exhibits'!U552:U556),"")</f>
        <v/>
      </c>
      <c r="V556" s="3">
        <f>IF(ISNUMBER(AVERAGE('20250815_ETF_Options_Exhibits'!V552:V556)),AVERAGE('20250815_ETF_Options_Exhibits'!V552:V556),"")</f>
        <v/>
      </c>
      <c r="W556" s="3">
        <f>IF(ISNUMBER(AVERAGE('20250815_ETF_Options_Exhibits'!W552:W556)),AVERAGE('20250815_ETF_Options_Exhibits'!W552:W556),"")</f>
        <v/>
      </c>
      <c r="X556" s="3">
        <f>IF(ISNUMBER(AVERAGE('20250815_ETF_Options_Exhibits'!X552:X556)),AVERAGE('20250815_ETF_Options_Exhibits'!X552:X556),"")</f>
        <v/>
      </c>
      <c r="Y556" s="3">
        <f>IF(ISNUMBER(AVERAGE('20250815_ETF_Options_Exhibits'!Y552:Y556)),AVERAGE('20250815_ETF_Options_Exhibits'!Y552:Y556),"")</f>
        <v/>
      </c>
      <c r="Z556" s="3">
        <f>IF(ISNUMBER(AVERAGE('20250815_ETF_Options_Exhibits'!Z552:Z556)),AVERAGE('20250815_ETF_Options_Exhibits'!Z552:Z556),"")</f>
        <v/>
      </c>
      <c r="AA556" s="3">
        <f>IF(ISNUMBER(AVERAGE('20250815_ETF_Options_Exhibits'!AA552:AA556)),AVERAGE('20250815_ETF_Options_Exhibits'!AA552:AA556),"")</f>
        <v/>
      </c>
    </row>
    <row r="557">
      <c r="A557" s="1" t="n">
        <v>42810</v>
      </c>
      <c r="B557" s="3">
        <f>IF(ISNUMBER(AVERAGE('20250815_ETF_Options_Exhibits'!B553:B557)),AVERAGE('20250815_ETF_Options_Exhibits'!B553:B557),"")</f>
        <v/>
      </c>
      <c r="C557" s="3">
        <f>IF(ISNUMBER(AVERAGE('20250815_ETF_Options_Exhibits'!C553:C557)),AVERAGE('20250815_ETF_Options_Exhibits'!C553:C557),"")</f>
        <v/>
      </c>
      <c r="D557" s="3">
        <f>IF(ISNUMBER(AVERAGE('20250815_ETF_Options_Exhibits'!D553:D557)),AVERAGE('20250815_ETF_Options_Exhibits'!D553:D557),"")</f>
        <v/>
      </c>
      <c r="E557" s="3">
        <f>IF(ISNUMBER(AVERAGE('20250815_ETF_Options_Exhibits'!E553:E557)),AVERAGE('20250815_ETF_Options_Exhibits'!E553:E557),"")</f>
        <v/>
      </c>
      <c r="F557" s="3">
        <f>IF(ISNUMBER(AVERAGE('20250815_ETF_Options_Exhibits'!F553:F557)),AVERAGE('20250815_ETF_Options_Exhibits'!F553:F557),"")</f>
        <v/>
      </c>
      <c r="G557" s="3">
        <f>IF(ISNUMBER(AVERAGE('20250815_ETF_Options_Exhibits'!G553:G557)),AVERAGE('20250815_ETF_Options_Exhibits'!G553:G557),"")</f>
        <v/>
      </c>
      <c r="H557" s="3">
        <f>IF(ISNUMBER(AVERAGE('20250815_ETF_Options_Exhibits'!H553:H557)),AVERAGE('20250815_ETF_Options_Exhibits'!H553:H557),"")</f>
        <v/>
      </c>
      <c r="I557" s="3">
        <f>IF(ISNUMBER(AVERAGE('20250815_ETF_Options_Exhibits'!I553:I557)),AVERAGE('20250815_ETF_Options_Exhibits'!I553:I557),"")</f>
        <v/>
      </c>
      <c r="J557" s="3">
        <f>IF(ISNUMBER(AVERAGE('20250815_ETF_Options_Exhibits'!J553:J557)),AVERAGE('20250815_ETF_Options_Exhibits'!J553:J557),"")</f>
        <v/>
      </c>
      <c r="K557" s="3">
        <f>IF(ISNUMBER(AVERAGE('20250815_ETF_Options_Exhibits'!K553:K557)),AVERAGE('20250815_ETF_Options_Exhibits'!K553:K557),"")</f>
        <v/>
      </c>
      <c r="L557" s="3">
        <f>IF(ISNUMBER(AVERAGE('20250815_ETF_Options_Exhibits'!L553:L557)),AVERAGE('20250815_ETF_Options_Exhibits'!L553:L557),"")</f>
        <v/>
      </c>
      <c r="M557" s="3">
        <f>IF(ISNUMBER(AVERAGE('20250815_ETF_Options_Exhibits'!M553:M557)),AVERAGE('20250815_ETF_Options_Exhibits'!M553:M557),"")</f>
        <v/>
      </c>
      <c r="N557" s="3">
        <f>IF(ISNUMBER(AVERAGE('20250815_ETF_Options_Exhibits'!N553:N557)),AVERAGE('20250815_ETF_Options_Exhibits'!N553:N557),"")</f>
        <v/>
      </c>
      <c r="O557" s="3">
        <f>IF(ISNUMBER(AVERAGE('20250815_ETF_Options_Exhibits'!O553:O557)),AVERAGE('20250815_ETF_Options_Exhibits'!O553:O557),"")</f>
        <v/>
      </c>
      <c r="P557" s="3">
        <f>IF(ISNUMBER(AVERAGE('20250815_ETF_Options_Exhibits'!P553:P557)),AVERAGE('20250815_ETF_Options_Exhibits'!P553:P557),"")</f>
        <v/>
      </c>
      <c r="Q557" s="3">
        <f>IF(ISNUMBER(AVERAGE('20250815_ETF_Options_Exhibits'!Q553:Q557)),AVERAGE('20250815_ETF_Options_Exhibits'!Q553:Q557),"")</f>
        <v/>
      </c>
      <c r="R557" s="3">
        <f>IF(ISNUMBER(AVERAGE('20250815_ETF_Options_Exhibits'!R553:R557)),AVERAGE('20250815_ETF_Options_Exhibits'!R553:R557),"")</f>
        <v/>
      </c>
      <c r="S557" s="3">
        <f>IF(ISNUMBER(AVERAGE('20250815_ETF_Options_Exhibits'!S553:S557)),AVERAGE('20250815_ETF_Options_Exhibits'!S553:S557),"")</f>
        <v/>
      </c>
      <c r="T557" s="3">
        <f>IF(ISNUMBER(AVERAGE('20250815_ETF_Options_Exhibits'!T553:T557)),AVERAGE('20250815_ETF_Options_Exhibits'!T553:T557),"")</f>
        <v/>
      </c>
      <c r="U557" s="3">
        <f>IF(ISNUMBER(AVERAGE('20250815_ETF_Options_Exhibits'!U553:U557)),AVERAGE('20250815_ETF_Options_Exhibits'!U553:U557),"")</f>
        <v/>
      </c>
      <c r="V557" s="3">
        <f>IF(ISNUMBER(AVERAGE('20250815_ETF_Options_Exhibits'!V553:V557)),AVERAGE('20250815_ETF_Options_Exhibits'!V553:V557),"")</f>
        <v/>
      </c>
      <c r="W557" s="3">
        <f>IF(ISNUMBER(AVERAGE('20250815_ETF_Options_Exhibits'!W553:W557)),AVERAGE('20250815_ETF_Options_Exhibits'!W553:W557),"")</f>
        <v/>
      </c>
      <c r="X557" s="3">
        <f>IF(ISNUMBER(AVERAGE('20250815_ETF_Options_Exhibits'!X553:X557)),AVERAGE('20250815_ETF_Options_Exhibits'!X553:X557),"")</f>
        <v/>
      </c>
      <c r="Y557" s="3">
        <f>IF(ISNUMBER(AVERAGE('20250815_ETF_Options_Exhibits'!Y553:Y557)),AVERAGE('20250815_ETF_Options_Exhibits'!Y553:Y557),"")</f>
        <v/>
      </c>
      <c r="Z557" s="3">
        <f>IF(ISNUMBER(AVERAGE('20250815_ETF_Options_Exhibits'!Z553:Z557)),AVERAGE('20250815_ETF_Options_Exhibits'!Z553:Z557),"")</f>
        <v/>
      </c>
      <c r="AA557" s="3">
        <f>IF(ISNUMBER(AVERAGE('20250815_ETF_Options_Exhibits'!AA553:AA557)),AVERAGE('20250815_ETF_Options_Exhibits'!AA553:AA557),"")</f>
        <v/>
      </c>
    </row>
    <row r="558">
      <c r="A558" s="1" t="n">
        <v>42811</v>
      </c>
      <c r="B558" s="3">
        <f>IF(ISNUMBER(AVERAGE('20250815_ETF_Options_Exhibits'!B554:B558)),AVERAGE('20250815_ETF_Options_Exhibits'!B554:B558),"")</f>
        <v/>
      </c>
      <c r="C558" s="3">
        <f>IF(ISNUMBER(AVERAGE('20250815_ETF_Options_Exhibits'!C554:C558)),AVERAGE('20250815_ETF_Options_Exhibits'!C554:C558),"")</f>
        <v/>
      </c>
      <c r="D558" s="3">
        <f>IF(ISNUMBER(AVERAGE('20250815_ETF_Options_Exhibits'!D554:D558)),AVERAGE('20250815_ETF_Options_Exhibits'!D554:D558),"")</f>
        <v/>
      </c>
      <c r="E558" s="3">
        <f>IF(ISNUMBER(AVERAGE('20250815_ETF_Options_Exhibits'!E554:E558)),AVERAGE('20250815_ETF_Options_Exhibits'!E554:E558),"")</f>
        <v/>
      </c>
      <c r="F558" s="3">
        <f>IF(ISNUMBER(AVERAGE('20250815_ETF_Options_Exhibits'!F554:F558)),AVERAGE('20250815_ETF_Options_Exhibits'!F554:F558),"")</f>
        <v/>
      </c>
      <c r="G558" s="3">
        <f>IF(ISNUMBER(AVERAGE('20250815_ETF_Options_Exhibits'!G554:G558)),AVERAGE('20250815_ETF_Options_Exhibits'!G554:G558),"")</f>
        <v/>
      </c>
      <c r="H558" s="3">
        <f>IF(ISNUMBER(AVERAGE('20250815_ETF_Options_Exhibits'!H554:H558)),AVERAGE('20250815_ETF_Options_Exhibits'!H554:H558),"")</f>
        <v/>
      </c>
      <c r="I558" s="3">
        <f>IF(ISNUMBER(AVERAGE('20250815_ETF_Options_Exhibits'!I554:I558)),AVERAGE('20250815_ETF_Options_Exhibits'!I554:I558),"")</f>
        <v/>
      </c>
      <c r="J558" s="3">
        <f>IF(ISNUMBER(AVERAGE('20250815_ETF_Options_Exhibits'!J554:J558)),AVERAGE('20250815_ETF_Options_Exhibits'!J554:J558),"")</f>
        <v/>
      </c>
      <c r="K558" s="3">
        <f>IF(ISNUMBER(AVERAGE('20250815_ETF_Options_Exhibits'!K554:K558)),AVERAGE('20250815_ETF_Options_Exhibits'!K554:K558),"")</f>
        <v/>
      </c>
      <c r="L558" s="3">
        <f>IF(ISNUMBER(AVERAGE('20250815_ETF_Options_Exhibits'!L554:L558)),AVERAGE('20250815_ETF_Options_Exhibits'!L554:L558),"")</f>
        <v/>
      </c>
      <c r="M558" s="3">
        <f>IF(ISNUMBER(AVERAGE('20250815_ETF_Options_Exhibits'!M554:M558)),AVERAGE('20250815_ETF_Options_Exhibits'!M554:M558),"")</f>
        <v/>
      </c>
      <c r="N558" s="3">
        <f>IF(ISNUMBER(AVERAGE('20250815_ETF_Options_Exhibits'!N554:N558)),AVERAGE('20250815_ETF_Options_Exhibits'!N554:N558),"")</f>
        <v/>
      </c>
      <c r="O558" s="3">
        <f>IF(ISNUMBER(AVERAGE('20250815_ETF_Options_Exhibits'!O554:O558)),AVERAGE('20250815_ETF_Options_Exhibits'!O554:O558),"")</f>
        <v/>
      </c>
      <c r="P558" s="3">
        <f>IF(ISNUMBER(AVERAGE('20250815_ETF_Options_Exhibits'!P554:P558)),AVERAGE('20250815_ETF_Options_Exhibits'!P554:P558),"")</f>
        <v/>
      </c>
      <c r="Q558" s="3">
        <f>IF(ISNUMBER(AVERAGE('20250815_ETF_Options_Exhibits'!Q554:Q558)),AVERAGE('20250815_ETF_Options_Exhibits'!Q554:Q558),"")</f>
        <v/>
      </c>
      <c r="R558" s="3">
        <f>IF(ISNUMBER(AVERAGE('20250815_ETF_Options_Exhibits'!R554:R558)),AVERAGE('20250815_ETF_Options_Exhibits'!R554:R558),"")</f>
        <v/>
      </c>
      <c r="S558" s="3">
        <f>IF(ISNUMBER(AVERAGE('20250815_ETF_Options_Exhibits'!S554:S558)),AVERAGE('20250815_ETF_Options_Exhibits'!S554:S558),"")</f>
        <v/>
      </c>
      <c r="T558" s="3">
        <f>IF(ISNUMBER(AVERAGE('20250815_ETF_Options_Exhibits'!T554:T558)),AVERAGE('20250815_ETF_Options_Exhibits'!T554:T558),"")</f>
        <v/>
      </c>
      <c r="U558" s="3">
        <f>IF(ISNUMBER(AVERAGE('20250815_ETF_Options_Exhibits'!U554:U558)),AVERAGE('20250815_ETF_Options_Exhibits'!U554:U558),"")</f>
        <v/>
      </c>
      <c r="V558" s="3">
        <f>IF(ISNUMBER(AVERAGE('20250815_ETF_Options_Exhibits'!V554:V558)),AVERAGE('20250815_ETF_Options_Exhibits'!V554:V558),"")</f>
        <v/>
      </c>
      <c r="W558" s="3">
        <f>IF(ISNUMBER(AVERAGE('20250815_ETF_Options_Exhibits'!W554:W558)),AVERAGE('20250815_ETF_Options_Exhibits'!W554:W558),"")</f>
        <v/>
      </c>
      <c r="X558" s="3">
        <f>IF(ISNUMBER(AVERAGE('20250815_ETF_Options_Exhibits'!X554:X558)),AVERAGE('20250815_ETF_Options_Exhibits'!X554:X558),"")</f>
        <v/>
      </c>
      <c r="Y558" s="3">
        <f>IF(ISNUMBER(AVERAGE('20250815_ETF_Options_Exhibits'!Y554:Y558)),AVERAGE('20250815_ETF_Options_Exhibits'!Y554:Y558),"")</f>
        <v/>
      </c>
      <c r="Z558" s="3">
        <f>IF(ISNUMBER(AVERAGE('20250815_ETF_Options_Exhibits'!Z554:Z558)),AVERAGE('20250815_ETF_Options_Exhibits'!Z554:Z558),"")</f>
        <v/>
      </c>
      <c r="AA558" s="3">
        <f>IF(ISNUMBER(AVERAGE('20250815_ETF_Options_Exhibits'!AA554:AA558)),AVERAGE('20250815_ETF_Options_Exhibits'!AA554:AA558),"")</f>
        <v/>
      </c>
    </row>
    <row r="559">
      <c r="A559" s="1" t="n">
        <v>42814</v>
      </c>
      <c r="B559" s="3">
        <f>IF(ISNUMBER(AVERAGE('20250815_ETF_Options_Exhibits'!B555:B559)),AVERAGE('20250815_ETF_Options_Exhibits'!B555:B559),"")</f>
        <v/>
      </c>
      <c r="C559" s="3">
        <f>IF(ISNUMBER(AVERAGE('20250815_ETF_Options_Exhibits'!C555:C559)),AVERAGE('20250815_ETF_Options_Exhibits'!C555:C559),"")</f>
        <v/>
      </c>
      <c r="D559" s="3">
        <f>IF(ISNUMBER(AVERAGE('20250815_ETF_Options_Exhibits'!D555:D559)),AVERAGE('20250815_ETF_Options_Exhibits'!D555:D559),"")</f>
        <v/>
      </c>
      <c r="E559" s="3">
        <f>IF(ISNUMBER(AVERAGE('20250815_ETF_Options_Exhibits'!E555:E559)),AVERAGE('20250815_ETF_Options_Exhibits'!E555:E559),"")</f>
        <v/>
      </c>
      <c r="F559" s="3">
        <f>IF(ISNUMBER(AVERAGE('20250815_ETF_Options_Exhibits'!F555:F559)),AVERAGE('20250815_ETF_Options_Exhibits'!F555:F559),"")</f>
        <v/>
      </c>
      <c r="G559" s="3">
        <f>IF(ISNUMBER(AVERAGE('20250815_ETF_Options_Exhibits'!G555:G559)),AVERAGE('20250815_ETF_Options_Exhibits'!G555:G559),"")</f>
        <v/>
      </c>
      <c r="H559" s="3">
        <f>IF(ISNUMBER(AVERAGE('20250815_ETF_Options_Exhibits'!H555:H559)),AVERAGE('20250815_ETF_Options_Exhibits'!H555:H559),"")</f>
        <v/>
      </c>
      <c r="I559" s="3">
        <f>IF(ISNUMBER(AVERAGE('20250815_ETF_Options_Exhibits'!I555:I559)),AVERAGE('20250815_ETF_Options_Exhibits'!I555:I559),"")</f>
        <v/>
      </c>
      <c r="J559" s="3">
        <f>IF(ISNUMBER(AVERAGE('20250815_ETF_Options_Exhibits'!J555:J559)),AVERAGE('20250815_ETF_Options_Exhibits'!J555:J559),"")</f>
        <v/>
      </c>
      <c r="K559" s="3">
        <f>IF(ISNUMBER(AVERAGE('20250815_ETF_Options_Exhibits'!K555:K559)),AVERAGE('20250815_ETF_Options_Exhibits'!K555:K559),"")</f>
        <v/>
      </c>
      <c r="L559" s="3">
        <f>IF(ISNUMBER(AVERAGE('20250815_ETF_Options_Exhibits'!L555:L559)),AVERAGE('20250815_ETF_Options_Exhibits'!L555:L559),"")</f>
        <v/>
      </c>
      <c r="M559" s="3">
        <f>IF(ISNUMBER(AVERAGE('20250815_ETF_Options_Exhibits'!M555:M559)),AVERAGE('20250815_ETF_Options_Exhibits'!M555:M559),"")</f>
        <v/>
      </c>
      <c r="N559" s="3">
        <f>IF(ISNUMBER(AVERAGE('20250815_ETF_Options_Exhibits'!N555:N559)),AVERAGE('20250815_ETF_Options_Exhibits'!N555:N559),"")</f>
        <v/>
      </c>
      <c r="O559" s="3">
        <f>IF(ISNUMBER(AVERAGE('20250815_ETF_Options_Exhibits'!O555:O559)),AVERAGE('20250815_ETF_Options_Exhibits'!O555:O559),"")</f>
        <v/>
      </c>
      <c r="P559" s="3">
        <f>IF(ISNUMBER(AVERAGE('20250815_ETF_Options_Exhibits'!P555:P559)),AVERAGE('20250815_ETF_Options_Exhibits'!P555:P559),"")</f>
        <v/>
      </c>
      <c r="Q559" s="3">
        <f>IF(ISNUMBER(AVERAGE('20250815_ETF_Options_Exhibits'!Q555:Q559)),AVERAGE('20250815_ETF_Options_Exhibits'!Q555:Q559),"")</f>
        <v/>
      </c>
      <c r="R559" s="3">
        <f>IF(ISNUMBER(AVERAGE('20250815_ETF_Options_Exhibits'!R555:R559)),AVERAGE('20250815_ETF_Options_Exhibits'!R555:R559),"")</f>
        <v/>
      </c>
      <c r="S559" s="3">
        <f>IF(ISNUMBER(AVERAGE('20250815_ETF_Options_Exhibits'!S555:S559)),AVERAGE('20250815_ETF_Options_Exhibits'!S555:S559),"")</f>
        <v/>
      </c>
      <c r="T559" s="3">
        <f>IF(ISNUMBER(AVERAGE('20250815_ETF_Options_Exhibits'!T555:T559)),AVERAGE('20250815_ETF_Options_Exhibits'!T555:T559),"")</f>
        <v/>
      </c>
      <c r="U559" s="3">
        <f>IF(ISNUMBER(AVERAGE('20250815_ETF_Options_Exhibits'!U555:U559)),AVERAGE('20250815_ETF_Options_Exhibits'!U555:U559),"")</f>
        <v/>
      </c>
      <c r="V559" s="3">
        <f>IF(ISNUMBER(AVERAGE('20250815_ETF_Options_Exhibits'!V555:V559)),AVERAGE('20250815_ETF_Options_Exhibits'!V555:V559),"")</f>
        <v/>
      </c>
      <c r="W559" s="3">
        <f>IF(ISNUMBER(AVERAGE('20250815_ETF_Options_Exhibits'!W555:W559)),AVERAGE('20250815_ETF_Options_Exhibits'!W555:W559),"")</f>
        <v/>
      </c>
      <c r="X559" s="3">
        <f>IF(ISNUMBER(AVERAGE('20250815_ETF_Options_Exhibits'!X555:X559)),AVERAGE('20250815_ETF_Options_Exhibits'!X555:X559),"")</f>
        <v/>
      </c>
      <c r="Y559" s="3">
        <f>IF(ISNUMBER(AVERAGE('20250815_ETF_Options_Exhibits'!Y555:Y559)),AVERAGE('20250815_ETF_Options_Exhibits'!Y555:Y559),"")</f>
        <v/>
      </c>
      <c r="Z559" s="3">
        <f>IF(ISNUMBER(AVERAGE('20250815_ETF_Options_Exhibits'!Z555:Z559)),AVERAGE('20250815_ETF_Options_Exhibits'!Z555:Z559),"")</f>
        <v/>
      </c>
      <c r="AA559" s="3">
        <f>IF(ISNUMBER(AVERAGE('20250815_ETF_Options_Exhibits'!AA555:AA559)),AVERAGE('20250815_ETF_Options_Exhibits'!AA555:AA559),"")</f>
        <v/>
      </c>
    </row>
    <row r="560">
      <c r="A560" s="1" t="n">
        <v>42815</v>
      </c>
      <c r="B560" s="3">
        <f>IF(ISNUMBER(AVERAGE('20250815_ETF_Options_Exhibits'!B556:B560)),AVERAGE('20250815_ETF_Options_Exhibits'!B556:B560),"")</f>
        <v/>
      </c>
      <c r="C560" s="3">
        <f>IF(ISNUMBER(AVERAGE('20250815_ETF_Options_Exhibits'!C556:C560)),AVERAGE('20250815_ETF_Options_Exhibits'!C556:C560),"")</f>
        <v/>
      </c>
      <c r="D560" s="3">
        <f>IF(ISNUMBER(AVERAGE('20250815_ETF_Options_Exhibits'!D556:D560)),AVERAGE('20250815_ETF_Options_Exhibits'!D556:D560),"")</f>
        <v/>
      </c>
      <c r="E560" s="3">
        <f>IF(ISNUMBER(AVERAGE('20250815_ETF_Options_Exhibits'!E556:E560)),AVERAGE('20250815_ETF_Options_Exhibits'!E556:E560),"")</f>
        <v/>
      </c>
      <c r="F560" s="3">
        <f>IF(ISNUMBER(AVERAGE('20250815_ETF_Options_Exhibits'!F556:F560)),AVERAGE('20250815_ETF_Options_Exhibits'!F556:F560),"")</f>
        <v/>
      </c>
      <c r="G560" s="3">
        <f>IF(ISNUMBER(AVERAGE('20250815_ETF_Options_Exhibits'!G556:G560)),AVERAGE('20250815_ETF_Options_Exhibits'!G556:G560),"")</f>
        <v/>
      </c>
      <c r="H560" s="3">
        <f>IF(ISNUMBER(AVERAGE('20250815_ETF_Options_Exhibits'!H556:H560)),AVERAGE('20250815_ETF_Options_Exhibits'!H556:H560),"")</f>
        <v/>
      </c>
      <c r="I560" s="3">
        <f>IF(ISNUMBER(AVERAGE('20250815_ETF_Options_Exhibits'!I556:I560)),AVERAGE('20250815_ETF_Options_Exhibits'!I556:I560),"")</f>
        <v/>
      </c>
      <c r="J560" s="3">
        <f>IF(ISNUMBER(AVERAGE('20250815_ETF_Options_Exhibits'!J556:J560)),AVERAGE('20250815_ETF_Options_Exhibits'!J556:J560),"")</f>
        <v/>
      </c>
      <c r="K560" s="3">
        <f>IF(ISNUMBER(AVERAGE('20250815_ETF_Options_Exhibits'!K556:K560)),AVERAGE('20250815_ETF_Options_Exhibits'!K556:K560),"")</f>
        <v/>
      </c>
      <c r="L560" s="3">
        <f>IF(ISNUMBER(AVERAGE('20250815_ETF_Options_Exhibits'!L556:L560)),AVERAGE('20250815_ETF_Options_Exhibits'!L556:L560),"")</f>
        <v/>
      </c>
      <c r="M560" s="3">
        <f>IF(ISNUMBER(AVERAGE('20250815_ETF_Options_Exhibits'!M556:M560)),AVERAGE('20250815_ETF_Options_Exhibits'!M556:M560),"")</f>
        <v/>
      </c>
      <c r="N560" s="3">
        <f>IF(ISNUMBER(AVERAGE('20250815_ETF_Options_Exhibits'!N556:N560)),AVERAGE('20250815_ETF_Options_Exhibits'!N556:N560),"")</f>
        <v/>
      </c>
      <c r="O560" s="3">
        <f>IF(ISNUMBER(AVERAGE('20250815_ETF_Options_Exhibits'!O556:O560)),AVERAGE('20250815_ETF_Options_Exhibits'!O556:O560),"")</f>
        <v/>
      </c>
      <c r="P560" s="3">
        <f>IF(ISNUMBER(AVERAGE('20250815_ETF_Options_Exhibits'!P556:P560)),AVERAGE('20250815_ETF_Options_Exhibits'!P556:P560),"")</f>
        <v/>
      </c>
      <c r="Q560" s="3">
        <f>IF(ISNUMBER(AVERAGE('20250815_ETF_Options_Exhibits'!Q556:Q560)),AVERAGE('20250815_ETF_Options_Exhibits'!Q556:Q560),"")</f>
        <v/>
      </c>
      <c r="R560" s="3">
        <f>IF(ISNUMBER(AVERAGE('20250815_ETF_Options_Exhibits'!R556:R560)),AVERAGE('20250815_ETF_Options_Exhibits'!R556:R560),"")</f>
        <v/>
      </c>
      <c r="S560" s="3">
        <f>IF(ISNUMBER(AVERAGE('20250815_ETF_Options_Exhibits'!S556:S560)),AVERAGE('20250815_ETF_Options_Exhibits'!S556:S560),"")</f>
        <v/>
      </c>
      <c r="T560" s="3">
        <f>IF(ISNUMBER(AVERAGE('20250815_ETF_Options_Exhibits'!T556:T560)),AVERAGE('20250815_ETF_Options_Exhibits'!T556:T560),"")</f>
        <v/>
      </c>
      <c r="U560" s="3">
        <f>IF(ISNUMBER(AVERAGE('20250815_ETF_Options_Exhibits'!U556:U560)),AVERAGE('20250815_ETF_Options_Exhibits'!U556:U560),"")</f>
        <v/>
      </c>
      <c r="V560" s="3">
        <f>IF(ISNUMBER(AVERAGE('20250815_ETF_Options_Exhibits'!V556:V560)),AVERAGE('20250815_ETF_Options_Exhibits'!V556:V560),"")</f>
        <v/>
      </c>
      <c r="W560" s="3">
        <f>IF(ISNUMBER(AVERAGE('20250815_ETF_Options_Exhibits'!W556:W560)),AVERAGE('20250815_ETF_Options_Exhibits'!W556:W560),"")</f>
        <v/>
      </c>
      <c r="X560" s="3">
        <f>IF(ISNUMBER(AVERAGE('20250815_ETF_Options_Exhibits'!X556:X560)),AVERAGE('20250815_ETF_Options_Exhibits'!X556:X560),"")</f>
        <v/>
      </c>
      <c r="Y560" s="3">
        <f>IF(ISNUMBER(AVERAGE('20250815_ETF_Options_Exhibits'!Y556:Y560)),AVERAGE('20250815_ETF_Options_Exhibits'!Y556:Y560),"")</f>
        <v/>
      </c>
      <c r="Z560" s="3">
        <f>IF(ISNUMBER(AVERAGE('20250815_ETF_Options_Exhibits'!Z556:Z560)),AVERAGE('20250815_ETF_Options_Exhibits'!Z556:Z560),"")</f>
        <v/>
      </c>
      <c r="AA560" s="3">
        <f>IF(ISNUMBER(AVERAGE('20250815_ETF_Options_Exhibits'!AA556:AA560)),AVERAGE('20250815_ETF_Options_Exhibits'!AA556:AA560),"")</f>
        <v/>
      </c>
    </row>
    <row r="561">
      <c r="A561" s="1" t="n">
        <v>42816</v>
      </c>
      <c r="B561" s="3">
        <f>IF(ISNUMBER(AVERAGE('20250815_ETF_Options_Exhibits'!B557:B561)),AVERAGE('20250815_ETF_Options_Exhibits'!B557:B561),"")</f>
        <v/>
      </c>
      <c r="C561" s="3">
        <f>IF(ISNUMBER(AVERAGE('20250815_ETF_Options_Exhibits'!C557:C561)),AVERAGE('20250815_ETF_Options_Exhibits'!C557:C561),"")</f>
        <v/>
      </c>
      <c r="D561" s="3">
        <f>IF(ISNUMBER(AVERAGE('20250815_ETF_Options_Exhibits'!D557:D561)),AVERAGE('20250815_ETF_Options_Exhibits'!D557:D561),"")</f>
        <v/>
      </c>
      <c r="E561" s="3">
        <f>IF(ISNUMBER(AVERAGE('20250815_ETF_Options_Exhibits'!E557:E561)),AVERAGE('20250815_ETF_Options_Exhibits'!E557:E561),"")</f>
        <v/>
      </c>
      <c r="F561" s="3">
        <f>IF(ISNUMBER(AVERAGE('20250815_ETF_Options_Exhibits'!F557:F561)),AVERAGE('20250815_ETF_Options_Exhibits'!F557:F561),"")</f>
        <v/>
      </c>
      <c r="G561" s="3">
        <f>IF(ISNUMBER(AVERAGE('20250815_ETF_Options_Exhibits'!G557:G561)),AVERAGE('20250815_ETF_Options_Exhibits'!G557:G561),"")</f>
        <v/>
      </c>
      <c r="H561" s="3">
        <f>IF(ISNUMBER(AVERAGE('20250815_ETF_Options_Exhibits'!H557:H561)),AVERAGE('20250815_ETF_Options_Exhibits'!H557:H561),"")</f>
        <v/>
      </c>
      <c r="I561" s="3">
        <f>IF(ISNUMBER(AVERAGE('20250815_ETF_Options_Exhibits'!I557:I561)),AVERAGE('20250815_ETF_Options_Exhibits'!I557:I561),"")</f>
        <v/>
      </c>
      <c r="J561" s="3">
        <f>IF(ISNUMBER(AVERAGE('20250815_ETF_Options_Exhibits'!J557:J561)),AVERAGE('20250815_ETF_Options_Exhibits'!J557:J561),"")</f>
        <v/>
      </c>
      <c r="K561" s="3">
        <f>IF(ISNUMBER(AVERAGE('20250815_ETF_Options_Exhibits'!K557:K561)),AVERAGE('20250815_ETF_Options_Exhibits'!K557:K561),"")</f>
        <v/>
      </c>
      <c r="L561" s="3">
        <f>IF(ISNUMBER(AVERAGE('20250815_ETF_Options_Exhibits'!L557:L561)),AVERAGE('20250815_ETF_Options_Exhibits'!L557:L561),"")</f>
        <v/>
      </c>
      <c r="M561" s="3">
        <f>IF(ISNUMBER(AVERAGE('20250815_ETF_Options_Exhibits'!M557:M561)),AVERAGE('20250815_ETF_Options_Exhibits'!M557:M561),"")</f>
        <v/>
      </c>
      <c r="N561" s="3">
        <f>IF(ISNUMBER(AVERAGE('20250815_ETF_Options_Exhibits'!N557:N561)),AVERAGE('20250815_ETF_Options_Exhibits'!N557:N561),"")</f>
        <v/>
      </c>
      <c r="O561" s="3">
        <f>IF(ISNUMBER(AVERAGE('20250815_ETF_Options_Exhibits'!O557:O561)),AVERAGE('20250815_ETF_Options_Exhibits'!O557:O561),"")</f>
        <v/>
      </c>
      <c r="P561" s="3">
        <f>IF(ISNUMBER(AVERAGE('20250815_ETF_Options_Exhibits'!P557:P561)),AVERAGE('20250815_ETF_Options_Exhibits'!P557:P561),"")</f>
        <v/>
      </c>
      <c r="Q561" s="3">
        <f>IF(ISNUMBER(AVERAGE('20250815_ETF_Options_Exhibits'!Q557:Q561)),AVERAGE('20250815_ETF_Options_Exhibits'!Q557:Q561),"")</f>
        <v/>
      </c>
      <c r="R561" s="3">
        <f>IF(ISNUMBER(AVERAGE('20250815_ETF_Options_Exhibits'!R557:R561)),AVERAGE('20250815_ETF_Options_Exhibits'!R557:R561),"")</f>
        <v/>
      </c>
      <c r="S561" s="3">
        <f>IF(ISNUMBER(AVERAGE('20250815_ETF_Options_Exhibits'!S557:S561)),AVERAGE('20250815_ETF_Options_Exhibits'!S557:S561),"")</f>
        <v/>
      </c>
      <c r="T561" s="3">
        <f>IF(ISNUMBER(AVERAGE('20250815_ETF_Options_Exhibits'!T557:T561)),AVERAGE('20250815_ETF_Options_Exhibits'!T557:T561),"")</f>
        <v/>
      </c>
      <c r="U561" s="3">
        <f>IF(ISNUMBER(AVERAGE('20250815_ETF_Options_Exhibits'!U557:U561)),AVERAGE('20250815_ETF_Options_Exhibits'!U557:U561),"")</f>
        <v/>
      </c>
      <c r="V561" s="3">
        <f>IF(ISNUMBER(AVERAGE('20250815_ETF_Options_Exhibits'!V557:V561)),AVERAGE('20250815_ETF_Options_Exhibits'!V557:V561),"")</f>
        <v/>
      </c>
      <c r="W561" s="3">
        <f>IF(ISNUMBER(AVERAGE('20250815_ETF_Options_Exhibits'!W557:W561)),AVERAGE('20250815_ETF_Options_Exhibits'!W557:W561),"")</f>
        <v/>
      </c>
      <c r="X561" s="3">
        <f>IF(ISNUMBER(AVERAGE('20250815_ETF_Options_Exhibits'!X557:X561)),AVERAGE('20250815_ETF_Options_Exhibits'!X557:X561),"")</f>
        <v/>
      </c>
      <c r="Y561" s="3">
        <f>IF(ISNUMBER(AVERAGE('20250815_ETF_Options_Exhibits'!Y557:Y561)),AVERAGE('20250815_ETF_Options_Exhibits'!Y557:Y561),"")</f>
        <v/>
      </c>
      <c r="Z561" s="3">
        <f>IF(ISNUMBER(AVERAGE('20250815_ETF_Options_Exhibits'!Z557:Z561)),AVERAGE('20250815_ETF_Options_Exhibits'!Z557:Z561),"")</f>
        <v/>
      </c>
      <c r="AA561" s="3">
        <f>IF(ISNUMBER(AVERAGE('20250815_ETF_Options_Exhibits'!AA557:AA561)),AVERAGE('20250815_ETF_Options_Exhibits'!AA557:AA561),"")</f>
        <v/>
      </c>
    </row>
    <row r="562">
      <c r="A562" s="1" t="n">
        <v>42817</v>
      </c>
      <c r="B562" s="3">
        <f>IF(ISNUMBER(AVERAGE('20250815_ETF_Options_Exhibits'!B558:B562)),AVERAGE('20250815_ETF_Options_Exhibits'!B558:B562),"")</f>
        <v/>
      </c>
      <c r="C562" s="3">
        <f>IF(ISNUMBER(AVERAGE('20250815_ETF_Options_Exhibits'!C558:C562)),AVERAGE('20250815_ETF_Options_Exhibits'!C558:C562),"")</f>
        <v/>
      </c>
      <c r="D562" s="3">
        <f>IF(ISNUMBER(AVERAGE('20250815_ETF_Options_Exhibits'!D558:D562)),AVERAGE('20250815_ETF_Options_Exhibits'!D558:D562),"")</f>
        <v/>
      </c>
      <c r="E562" s="3">
        <f>IF(ISNUMBER(AVERAGE('20250815_ETF_Options_Exhibits'!E558:E562)),AVERAGE('20250815_ETF_Options_Exhibits'!E558:E562),"")</f>
        <v/>
      </c>
      <c r="F562" s="3">
        <f>IF(ISNUMBER(AVERAGE('20250815_ETF_Options_Exhibits'!F558:F562)),AVERAGE('20250815_ETF_Options_Exhibits'!F558:F562),"")</f>
        <v/>
      </c>
      <c r="G562" s="3">
        <f>IF(ISNUMBER(AVERAGE('20250815_ETF_Options_Exhibits'!G558:G562)),AVERAGE('20250815_ETF_Options_Exhibits'!G558:G562),"")</f>
        <v/>
      </c>
      <c r="H562" s="3">
        <f>IF(ISNUMBER(AVERAGE('20250815_ETF_Options_Exhibits'!H558:H562)),AVERAGE('20250815_ETF_Options_Exhibits'!H558:H562),"")</f>
        <v/>
      </c>
      <c r="I562" s="3">
        <f>IF(ISNUMBER(AVERAGE('20250815_ETF_Options_Exhibits'!I558:I562)),AVERAGE('20250815_ETF_Options_Exhibits'!I558:I562),"")</f>
        <v/>
      </c>
      <c r="J562" s="3">
        <f>IF(ISNUMBER(AVERAGE('20250815_ETF_Options_Exhibits'!J558:J562)),AVERAGE('20250815_ETF_Options_Exhibits'!J558:J562),"")</f>
        <v/>
      </c>
      <c r="K562" s="3">
        <f>IF(ISNUMBER(AVERAGE('20250815_ETF_Options_Exhibits'!K558:K562)),AVERAGE('20250815_ETF_Options_Exhibits'!K558:K562),"")</f>
        <v/>
      </c>
      <c r="L562" s="3">
        <f>IF(ISNUMBER(AVERAGE('20250815_ETF_Options_Exhibits'!L558:L562)),AVERAGE('20250815_ETF_Options_Exhibits'!L558:L562),"")</f>
        <v/>
      </c>
      <c r="M562" s="3">
        <f>IF(ISNUMBER(AVERAGE('20250815_ETF_Options_Exhibits'!M558:M562)),AVERAGE('20250815_ETF_Options_Exhibits'!M558:M562),"")</f>
        <v/>
      </c>
      <c r="N562" s="3">
        <f>IF(ISNUMBER(AVERAGE('20250815_ETF_Options_Exhibits'!N558:N562)),AVERAGE('20250815_ETF_Options_Exhibits'!N558:N562),"")</f>
        <v/>
      </c>
      <c r="O562" s="3">
        <f>IF(ISNUMBER(AVERAGE('20250815_ETF_Options_Exhibits'!O558:O562)),AVERAGE('20250815_ETF_Options_Exhibits'!O558:O562),"")</f>
        <v/>
      </c>
      <c r="P562" s="3">
        <f>IF(ISNUMBER(AVERAGE('20250815_ETF_Options_Exhibits'!P558:P562)),AVERAGE('20250815_ETF_Options_Exhibits'!P558:P562),"")</f>
        <v/>
      </c>
      <c r="Q562" s="3">
        <f>IF(ISNUMBER(AVERAGE('20250815_ETF_Options_Exhibits'!Q558:Q562)),AVERAGE('20250815_ETF_Options_Exhibits'!Q558:Q562),"")</f>
        <v/>
      </c>
      <c r="R562" s="3">
        <f>IF(ISNUMBER(AVERAGE('20250815_ETF_Options_Exhibits'!R558:R562)),AVERAGE('20250815_ETF_Options_Exhibits'!R558:R562),"")</f>
        <v/>
      </c>
      <c r="S562" s="3">
        <f>IF(ISNUMBER(AVERAGE('20250815_ETF_Options_Exhibits'!S558:S562)),AVERAGE('20250815_ETF_Options_Exhibits'!S558:S562),"")</f>
        <v/>
      </c>
      <c r="T562" s="3">
        <f>IF(ISNUMBER(AVERAGE('20250815_ETF_Options_Exhibits'!T558:T562)),AVERAGE('20250815_ETF_Options_Exhibits'!T558:T562),"")</f>
        <v/>
      </c>
      <c r="U562" s="3">
        <f>IF(ISNUMBER(AVERAGE('20250815_ETF_Options_Exhibits'!U558:U562)),AVERAGE('20250815_ETF_Options_Exhibits'!U558:U562),"")</f>
        <v/>
      </c>
      <c r="V562" s="3">
        <f>IF(ISNUMBER(AVERAGE('20250815_ETF_Options_Exhibits'!V558:V562)),AVERAGE('20250815_ETF_Options_Exhibits'!V558:V562),"")</f>
        <v/>
      </c>
      <c r="W562" s="3">
        <f>IF(ISNUMBER(AVERAGE('20250815_ETF_Options_Exhibits'!W558:W562)),AVERAGE('20250815_ETF_Options_Exhibits'!W558:W562),"")</f>
        <v/>
      </c>
      <c r="X562" s="3">
        <f>IF(ISNUMBER(AVERAGE('20250815_ETF_Options_Exhibits'!X558:X562)),AVERAGE('20250815_ETF_Options_Exhibits'!X558:X562),"")</f>
        <v/>
      </c>
      <c r="Y562" s="3">
        <f>IF(ISNUMBER(AVERAGE('20250815_ETF_Options_Exhibits'!Y558:Y562)),AVERAGE('20250815_ETF_Options_Exhibits'!Y558:Y562),"")</f>
        <v/>
      </c>
      <c r="Z562" s="3">
        <f>IF(ISNUMBER(AVERAGE('20250815_ETF_Options_Exhibits'!Z558:Z562)),AVERAGE('20250815_ETF_Options_Exhibits'!Z558:Z562),"")</f>
        <v/>
      </c>
      <c r="AA562" s="3">
        <f>IF(ISNUMBER(AVERAGE('20250815_ETF_Options_Exhibits'!AA558:AA562)),AVERAGE('20250815_ETF_Options_Exhibits'!AA558:AA562),"")</f>
        <v/>
      </c>
    </row>
    <row r="563">
      <c r="A563" s="1" t="n">
        <v>42818</v>
      </c>
      <c r="B563" s="3">
        <f>IF(ISNUMBER(AVERAGE('20250815_ETF_Options_Exhibits'!B559:B563)),AVERAGE('20250815_ETF_Options_Exhibits'!B559:B563),"")</f>
        <v/>
      </c>
      <c r="C563" s="3">
        <f>IF(ISNUMBER(AVERAGE('20250815_ETF_Options_Exhibits'!C559:C563)),AVERAGE('20250815_ETF_Options_Exhibits'!C559:C563),"")</f>
        <v/>
      </c>
      <c r="D563" s="3">
        <f>IF(ISNUMBER(AVERAGE('20250815_ETF_Options_Exhibits'!D559:D563)),AVERAGE('20250815_ETF_Options_Exhibits'!D559:D563),"")</f>
        <v/>
      </c>
      <c r="E563" s="3">
        <f>IF(ISNUMBER(AVERAGE('20250815_ETF_Options_Exhibits'!E559:E563)),AVERAGE('20250815_ETF_Options_Exhibits'!E559:E563),"")</f>
        <v/>
      </c>
      <c r="F563" s="3">
        <f>IF(ISNUMBER(AVERAGE('20250815_ETF_Options_Exhibits'!F559:F563)),AVERAGE('20250815_ETF_Options_Exhibits'!F559:F563),"")</f>
        <v/>
      </c>
      <c r="G563" s="3">
        <f>IF(ISNUMBER(AVERAGE('20250815_ETF_Options_Exhibits'!G559:G563)),AVERAGE('20250815_ETF_Options_Exhibits'!G559:G563),"")</f>
        <v/>
      </c>
      <c r="H563" s="3">
        <f>IF(ISNUMBER(AVERAGE('20250815_ETF_Options_Exhibits'!H559:H563)),AVERAGE('20250815_ETF_Options_Exhibits'!H559:H563),"")</f>
        <v/>
      </c>
      <c r="I563" s="3">
        <f>IF(ISNUMBER(AVERAGE('20250815_ETF_Options_Exhibits'!I559:I563)),AVERAGE('20250815_ETF_Options_Exhibits'!I559:I563),"")</f>
        <v/>
      </c>
      <c r="J563" s="3">
        <f>IF(ISNUMBER(AVERAGE('20250815_ETF_Options_Exhibits'!J559:J563)),AVERAGE('20250815_ETF_Options_Exhibits'!J559:J563),"")</f>
        <v/>
      </c>
      <c r="K563" s="3">
        <f>IF(ISNUMBER(AVERAGE('20250815_ETF_Options_Exhibits'!K559:K563)),AVERAGE('20250815_ETF_Options_Exhibits'!K559:K563),"")</f>
        <v/>
      </c>
      <c r="L563" s="3">
        <f>IF(ISNUMBER(AVERAGE('20250815_ETF_Options_Exhibits'!L559:L563)),AVERAGE('20250815_ETF_Options_Exhibits'!L559:L563),"")</f>
        <v/>
      </c>
      <c r="M563" s="3">
        <f>IF(ISNUMBER(AVERAGE('20250815_ETF_Options_Exhibits'!M559:M563)),AVERAGE('20250815_ETF_Options_Exhibits'!M559:M563),"")</f>
        <v/>
      </c>
      <c r="N563" s="3">
        <f>IF(ISNUMBER(AVERAGE('20250815_ETF_Options_Exhibits'!N559:N563)),AVERAGE('20250815_ETF_Options_Exhibits'!N559:N563),"")</f>
        <v/>
      </c>
      <c r="O563" s="3">
        <f>IF(ISNUMBER(AVERAGE('20250815_ETF_Options_Exhibits'!O559:O563)),AVERAGE('20250815_ETF_Options_Exhibits'!O559:O563),"")</f>
        <v/>
      </c>
      <c r="P563" s="3">
        <f>IF(ISNUMBER(AVERAGE('20250815_ETF_Options_Exhibits'!P559:P563)),AVERAGE('20250815_ETF_Options_Exhibits'!P559:P563),"")</f>
        <v/>
      </c>
      <c r="Q563" s="3">
        <f>IF(ISNUMBER(AVERAGE('20250815_ETF_Options_Exhibits'!Q559:Q563)),AVERAGE('20250815_ETF_Options_Exhibits'!Q559:Q563),"")</f>
        <v/>
      </c>
      <c r="R563" s="3">
        <f>IF(ISNUMBER(AVERAGE('20250815_ETF_Options_Exhibits'!R559:R563)),AVERAGE('20250815_ETF_Options_Exhibits'!R559:R563),"")</f>
        <v/>
      </c>
      <c r="S563" s="3">
        <f>IF(ISNUMBER(AVERAGE('20250815_ETF_Options_Exhibits'!S559:S563)),AVERAGE('20250815_ETF_Options_Exhibits'!S559:S563),"")</f>
        <v/>
      </c>
      <c r="T563" s="3">
        <f>IF(ISNUMBER(AVERAGE('20250815_ETF_Options_Exhibits'!T559:T563)),AVERAGE('20250815_ETF_Options_Exhibits'!T559:T563),"")</f>
        <v/>
      </c>
      <c r="U563" s="3">
        <f>IF(ISNUMBER(AVERAGE('20250815_ETF_Options_Exhibits'!U559:U563)),AVERAGE('20250815_ETF_Options_Exhibits'!U559:U563),"")</f>
        <v/>
      </c>
      <c r="V563" s="3">
        <f>IF(ISNUMBER(AVERAGE('20250815_ETF_Options_Exhibits'!V559:V563)),AVERAGE('20250815_ETF_Options_Exhibits'!V559:V563),"")</f>
        <v/>
      </c>
      <c r="W563" s="3">
        <f>IF(ISNUMBER(AVERAGE('20250815_ETF_Options_Exhibits'!W559:W563)),AVERAGE('20250815_ETF_Options_Exhibits'!W559:W563),"")</f>
        <v/>
      </c>
      <c r="X563" s="3">
        <f>IF(ISNUMBER(AVERAGE('20250815_ETF_Options_Exhibits'!X559:X563)),AVERAGE('20250815_ETF_Options_Exhibits'!X559:X563),"")</f>
        <v/>
      </c>
      <c r="Y563" s="3">
        <f>IF(ISNUMBER(AVERAGE('20250815_ETF_Options_Exhibits'!Y559:Y563)),AVERAGE('20250815_ETF_Options_Exhibits'!Y559:Y563),"")</f>
        <v/>
      </c>
      <c r="Z563" s="3">
        <f>IF(ISNUMBER(AVERAGE('20250815_ETF_Options_Exhibits'!Z559:Z563)),AVERAGE('20250815_ETF_Options_Exhibits'!Z559:Z563),"")</f>
        <v/>
      </c>
      <c r="AA563" s="3">
        <f>IF(ISNUMBER(AVERAGE('20250815_ETF_Options_Exhibits'!AA559:AA563)),AVERAGE('20250815_ETF_Options_Exhibits'!AA559:AA563),"")</f>
        <v/>
      </c>
    </row>
    <row r="564">
      <c r="A564" s="1" t="n">
        <v>42821</v>
      </c>
      <c r="B564" s="3">
        <f>IF(ISNUMBER(AVERAGE('20250815_ETF_Options_Exhibits'!B560:B564)),AVERAGE('20250815_ETF_Options_Exhibits'!B560:B564),"")</f>
        <v/>
      </c>
      <c r="C564" s="3">
        <f>IF(ISNUMBER(AVERAGE('20250815_ETF_Options_Exhibits'!C560:C564)),AVERAGE('20250815_ETF_Options_Exhibits'!C560:C564),"")</f>
        <v/>
      </c>
      <c r="D564" s="3">
        <f>IF(ISNUMBER(AVERAGE('20250815_ETF_Options_Exhibits'!D560:D564)),AVERAGE('20250815_ETF_Options_Exhibits'!D560:D564),"")</f>
        <v/>
      </c>
      <c r="E564" s="3">
        <f>IF(ISNUMBER(AVERAGE('20250815_ETF_Options_Exhibits'!E560:E564)),AVERAGE('20250815_ETF_Options_Exhibits'!E560:E564),"")</f>
        <v/>
      </c>
      <c r="F564" s="3">
        <f>IF(ISNUMBER(AVERAGE('20250815_ETF_Options_Exhibits'!F560:F564)),AVERAGE('20250815_ETF_Options_Exhibits'!F560:F564),"")</f>
        <v/>
      </c>
      <c r="G564" s="3">
        <f>IF(ISNUMBER(AVERAGE('20250815_ETF_Options_Exhibits'!G560:G564)),AVERAGE('20250815_ETF_Options_Exhibits'!G560:G564),"")</f>
        <v/>
      </c>
      <c r="H564" s="3">
        <f>IF(ISNUMBER(AVERAGE('20250815_ETF_Options_Exhibits'!H560:H564)),AVERAGE('20250815_ETF_Options_Exhibits'!H560:H564),"")</f>
        <v/>
      </c>
      <c r="I564" s="3">
        <f>IF(ISNUMBER(AVERAGE('20250815_ETF_Options_Exhibits'!I560:I564)),AVERAGE('20250815_ETF_Options_Exhibits'!I560:I564),"")</f>
        <v/>
      </c>
      <c r="J564" s="3">
        <f>IF(ISNUMBER(AVERAGE('20250815_ETF_Options_Exhibits'!J560:J564)),AVERAGE('20250815_ETF_Options_Exhibits'!J560:J564),"")</f>
        <v/>
      </c>
      <c r="K564" s="3">
        <f>IF(ISNUMBER(AVERAGE('20250815_ETF_Options_Exhibits'!K560:K564)),AVERAGE('20250815_ETF_Options_Exhibits'!K560:K564),"")</f>
        <v/>
      </c>
      <c r="L564" s="3">
        <f>IF(ISNUMBER(AVERAGE('20250815_ETF_Options_Exhibits'!L560:L564)),AVERAGE('20250815_ETF_Options_Exhibits'!L560:L564),"")</f>
        <v/>
      </c>
      <c r="M564" s="3">
        <f>IF(ISNUMBER(AVERAGE('20250815_ETF_Options_Exhibits'!M560:M564)),AVERAGE('20250815_ETF_Options_Exhibits'!M560:M564),"")</f>
        <v/>
      </c>
      <c r="N564" s="3">
        <f>IF(ISNUMBER(AVERAGE('20250815_ETF_Options_Exhibits'!N560:N564)),AVERAGE('20250815_ETF_Options_Exhibits'!N560:N564),"")</f>
        <v/>
      </c>
      <c r="O564" s="3">
        <f>IF(ISNUMBER(AVERAGE('20250815_ETF_Options_Exhibits'!O560:O564)),AVERAGE('20250815_ETF_Options_Exhibits'!O560:O564),"")</f>
        <v/>
      </c>
      <c r="P564" s="3">
        <f>IF(ISNUMBER(AVERAGE('20250815_ETF_Options_Exhibits'!P560:P564)),AVERAGE('20250815_ETF_Options_Exhibits'!P560:P564),"")</f>
        <v/>
      </c>
      <c r="Q564" s="3">
        <f>IF(ISNUMBER(AVERAGE('20250815_ETF_Options_Exhibits'!Q560:Q564)),AVERAGE('20250815_ETF_Options_Exhibits'!Q560:Q564),"")</f>
        <v/>
      </c>
      <c r="R564" s="3">
        <f>IF(ISNUMBER(AVERAGE('20250815_ETF_Options_Exhibits'!R560:R564)),AVERAGE('20250815_ETF_Options_Exhibits'!R560:R564),"")</f>
        <v/>
      </c>
      <c r="S564" s="3">
        <f>IF(ISNUMBER(AVERAGE('20250815_ETF_Options_Exhibits'!S560:S564)),AVERAGE('20250815_ETF_Options_Exhibits'!S560:S564),"")</f>
        <v/>
      </c>
      <c r="T564" s="3">
        <f>IF(ISNUMBER(AVERAGE('20250815_ETF_Options_Exhibits'!T560:T564)),AVERAGE('20250815_ETF_Options_Exhibits'!T560:T564),"")</f>
        <v/>
      </c>
      <c r="U564" s="3">
        <f>IF(ISNUMBER(AVERAGE('20250815_ETF_Options_Exhibits'!U560:U564)),AVERAGE('20250815_ETF_Options_Exhibits'!U560:U564),"")</f>
        <v/>
      </c>
      <c r="V564" s="3">
        <f>IF(ISNUMBER(AVERAGE('20250815_ETF_Options_Exhibits'!V560:V564)),AVERAGE('20250815_ETF_Options_Exhibits'!V560:V564),"")</f>
        <v/>
      </c>
      <c r="W564" s="3">
        <f>IF(ISNUMBER(AVERAGE('20250815_ETF_Options_Exhibits'!W560:W564)),AVERAGE('20250815_ETF_Options_Exhibits'!W560:W564),"")</f>
        <v/>
      </c>
      <c r="X564" s="3">
        <f>IF(ISNUMBER(AVERAGE('20250815_ETF_Options_Exhibits'!X560:X564)),AVERAGE('20250815_ETF_Options_Exhibits'!X560:X564),"")</f>
        <v/>
      </c>
      <c r="Y564" s="3">
        <f>IF(ISNUMBER(AVERAGE('20250815_ETF_Options_Exhibits'!Y560:Y564)),AVERAGE('20250815_ETF_Options_Exhibits'!Y560:Y564),"")</f>
        <v/>
      </c>
      <c r="Z564" s="3">
        <f>IF(ISNUMBER(AVERAGE('20250815_ETF_Options_Exhibits'!Z560:Z564)),AVERAGE('20250815_ETF_Options_Exhibits'!Z560:Z564),"")</f>
        <v/>
      </c>
      <c r="AA564" s="3">
        <f>IF(ISNUMBER(AVERAGE('20250815_ETF_Options_Exhibits'!AA560:AA564)),AVERAGE('20250815_ETF_Options_Exhibits'!AA560:AA564),"")</f>
        <v/>
      </c>
    </row>
    <row r="565">
      <c r="A565" s="1" t="n">
        <v>42822</v>
      </c>
      <c r="B565" s="3">
        <f>IF(ISNUMBER(AVERAGE('20250815_ETF_Options_Exhibits'!B561:B565)),AVERAGE('20250815_ETF_Options_Exhibits'!B561:B565),"")</f>
        <v/>
      </c>
      <c r="C565" s="3">
        <f>IF(ISNUMBER(AVERAGE('20250815_ETF_Options_Exhibits'!C561:C565)),AVERAGE('20250815_ETF_Options_Exhibits'!C561:C565),"")</f>
        <v/>
      </c>
      <c r="D565" s="3">
        <f>IF(ISNUMBER(AVERAGE('20250815_ETF_Options_Exhibits'!D561:D565)),AVERAGE('20250815_ETF_Options_Exhibits'!D561:D565),"")</f>
        <v/>
      </c>
      <c r="E565" s="3">
        <f>IF(ISNUMBER(AVERAGE('20250815_ETF_Options_Exhibits'!E561:E565)),AVERAGE('20250815_ETF_Options_Exhibits'!E561:E565),"")</f>
        <v/>
      </c>
      <c r="F565" s="3">
        <f>IF(ISNUMBER(AVERAGE('20250815_ETF_Options_Exhibits'!F561:F565)),AVERAGE('20250815_ETF_Options_Exhibits'!F561:F565),"")</f>
        <v/>
      </c>
      <c r="G565" s="3">
        <f>IF(ISNUMBER(AVERAGE('20250815_ETF_Options_Exhibits'!G561:G565)),AVERAGE('20250815_ETF_Options_Exhibits'!G561:G565),"")</f>
        <v/>
      </c>
      <c r="H565" s="3">
        <f>IF(ISNUMBER(AVERAGE('20250815_ETF_Options_Exhibits'!H561:H565)),AVERAGE('20250815_ETF_Options_Exhibits'!H561:H565),"")</f>
        <v/>
      </c>
      <c r="I565" s="3">
        <f>IF(ISNUMBER(AVERAGE('20250815_ETF_Options_Exhibits'!I561:I565)),AVERAGE('20250815_ETF_Options_Exhibits'!I561:I565),"")</f>
        <v/>
      </c>
      <c r="J565" s="3">
        <f>IF(ISNUMBER(AVERAGE('20250815_ETF_Options_Exhibits'!J561:J565)),AVERAGE('20250815_ETF_Options_Exhibits'!J561:J565),"")</f>
        <v/>
      </c>
      <c r="K565" s="3">
        <f>IF(ISNUMBER(AVERAGE('20250815_ETF_Options_Exhibits'!K561:K565)),AVERAGE('20250815_ETF_Options_Exhibits'!K561:K565),"")</f>
        <v/>
      </c>
      <c r="L565" s="3">
        <f>IF(ISNUMBER(AVERAGE('20250815_ETF_Options_Exhibits'!L561:L565)),AVERAGE('20250815_ETF_Options_Exhibits'!L561:L565),"")</f>
        <v/>
      </c>
      <c r="M565" s="3">
        <f>IF(ISNUMBER(AVERAGE('20250815_ETF_Options_Exhibits'!M561:M565)),AVERAGE('20250815_ETF_Options_Exhibits'!M561:M565),"")</f>
        <v/>
      </c>
      <c r="N565" s="3">
        <f>IF(ISNUMBER(AVERAGE('20250815_ETF_Options_Exhibits'!N561:N565)),AVERAGE('20250815_ETF_Options_Exhibits'!N561:N565),"")</f>
        <v/>
      </c>
      <c r="O565" s="3">
        <f>IF(ISNUMBER(AVERAGE('20250815_ETF_Options_Exhibits'!O561:O565)),AVERAGE('20250815_ETF_Options_Exhibits'!O561:O565),"")</f>
        <v/>
      </c>
      <c r="P565" s="3">
        <f>IF(ISNUMBER(AVERAGE('20250815_ETF_Options_Exhibits'!P561:P565)),AVERAGE('20250815_ETF_Options_Exhibits'!P561:P565),"")</f>
        <v/>
      </c>
      <c r="Q565" s="3">
        <f>IF(ISNUMBER(AVERAGE('20250815_ETF_Options_Exhibits'!Q561:Q565)),AVERAGE('20250815_ETF_Options_Exhibits'!Q561:Q565),"")</f>
        <v/>
      </c>
      <c r="R565" s="3">
        <f>IF(ISNUMBER(AVERAGE('20250815_ETF_Options_Exhibits'!R561:R565)),AVERAGE('20250815_ETF_Options_Exhibits'!R561:R565),"")</f>
        <v/>
      </c>
      <c r="S565" s="3">
        <f>IF(ISNUMBER(AVERAGE('20250815_ETF_Options_Exhibits'!S561:S565)),AVERAGE('20250815_ETF_Options_Exhibits'!S561:S565),"")</f>
        <v/>
      </c>
      <c r="T565" s="3">
        <f>IF(ISNUMBER(AVERAGE('20250815_ETF_Options_Exhibits'!T561:T565)),AVERAGE('20250815_ETF_Options_Exhibits'!T561:T565),"")</f>
        <v/>
      </c>
      <c r="U565" s="3">
        <f>IF(ISNUMBER(AVERAGE('20250815_ETF_Options_Exhibits'!U561:U565)),AVERAGE('20250815_ETF_Options_Exhibits'!U561:U565),"")</f>
        <v/>
      </c>
      <c r="V565" s="3">
        <f>IF(ISNUMBER(AVERAGE('20250815_ETF_Options_Exhibits'!V561:V565)),AVERAGE('20250815_ETF_Options_Exhibits'!V561:V565),"")</f>
        <v/>
      </c>
      <c r="W565" s="3">
        <f>IF(ISNUMBER(AVERAGE('20250815_ETF_Options_Exhibits'!W561:W565)),AVERAGE('20250815_ETF_Options_Exhibits'!W561:W565),"")</f>
        <v/>
      </c>
      <c r="X565" s="3">
        <f>IF(ISNUMBER(AVERAGE('20250815_ETF_Options_Exhibits'!X561:X565)),AVERAGE('20250815_ETF_Options_Exhibits'!X561:X565),"")</f>
        <v/>
      </c>
      <c r="Y565" s="3">
        <f>IF(ISNUMBER(AVERAGE('20250815_ETF_Options_Exhibits'!Y561:Y565)),AVERAGE('20250815_ETF_Options_Exhibits'!Y561:Y565),"")</f>
        <v/>
      </c>
      <c r="Z565" s="3">
        <f>IF(ISNUMBER(AVERAGE('20250815_ETF_Options_Exhibits'!Z561:Z565)),AVERAGE('20250815_ETF_Options_Exhibits'!Z561:Z565),"")</f>
        <v/>
      </c>
      <c r="AA565" s="3">
        <f>IF(ISNUMBER(AVERAGE('20250815_ETF_Options_Exhibits'!AA561:AA565)),AVERAGE('20250815_ETF_Options_Exhibits'!AA561:AA565),"")</f>
        <v/>
      </c>
    </row>
    <row r="566">
      <c r="A566" s="1" t="n">
        <v>42823</v>
      </c>
      <c r="B566" s="3">
        <f>IF(ISNUMBER(AVERAGE('20250815_ETF_Options_Exhibits'!B562:B566)),AVERAGE('20250815_ETF_Options_Exhibits'!B562:B566),"")</f>
        <v/>
      </c>
      <c r="C566" s="3">
        <f>IF(ISNUMBER(AVERAGE('20250815_ETF_Options_Exhibits'!C562:C566)),AVERAGE('20250815_ETF_Options_Exhibits'!C562:C566),"")</f>
        <v/>
      </c>
      <c r="D566" s="3">
        <f>IF(ISNUMBER(AVERAGE('20250815_ETF_Options_Exhibits'!D562:D566)),AVERAGE('20250815_ETF_Options_Exhibits'!D562:D566),"")</f>
        <v/>
      </c>
      <c r="E566" s="3">
        <f>IF(ISNUMBER(AVERAGE('20250815_ETF_Options_Exhibits'!E562:E566)),AVERAGE('20250815_ETF_Options_Exhibits'!E562:E566),"")</f>
        <v/>
      </c>
      <c r="F566" s="3">
        <f>IF(ISNUMBER(AVERAGE('20250815_ETF_Options_Exhibits'!F562:F566)),AVERAGE('20250815_ETF_Options_Exhibits'!F562:F566),"")</f>
        <v/>
      </c>
      <c r="G566" s="3">
        <f>IF(ISNUMBER(AVERAGE('20250815_ETF_Options_Exhibits'!G562:G566)),AVERAGE('20250815_ETF_Options_Exhibits'!G562:G566),"")</f>
        <v/>
      </c>
      <c r="H566" s="3">
        <f>IF(ISNUMBER(AVERAGE('20250815_ETF_Options_Exhibits'!H562:H566)),AVERAGE('20250815_ETF_Options_Exhibits'!H562:H566),"")</f>
        <v/>
      </c>
      <c r="I566" s="3">
        <f>IF(ISNUMBER(AVERAGE('20250815_ETF_Options_Exhibits'!I562:I566)),AVERAGE('20250815_ETF_Options_Exhibits'!I562:I566),"")</f>
        <v/>
      </c>
      <c r="J566" s="3">
        <f>IF(ISNUMBER(AVERAGE('20250815_ETF_Options_Exhibits'!J562:J566)),AVERAGE('20250815_ETF_Options_Exhibits'!J562:J566),"")</f>
        <v/>
      </c>
      <c r="K566" s="3">
        <f>IF(ISNUMBER(AVERAGE('20250815_ETF_Options_Exhibits'!K562:K566)),AVERAGE('20250815_ETF_Options_Exhibits'!K562:K566),"")</f>
        <v/>
      </c>
      <c r="L566" s="3">
        <f>IF(ISNUMBER(AVERAGE('20250815_ETF_Options_Exhibits'!L562:L566)),AVERAGE('20250815_ETF_Options_Exhibits'!L562:L566),"")</f>
        <v/>
      </c>
      <c r="M566" s="3">
        <f>IF(ISNUMBER(AVERAGE('20250815_ETF_Options_Exhibits'!M562:M566)),AVERAGE('20250815_ETF_Options_Exhibits'!M562:M566),"")</f>
        <v/>
      </c>
      <c r="N566" s="3">
        <f>IF(ISNUMBER(AVERAGE('20250815_ETF_Options_Exhibits'!N562:N566)),AVERAGE('20250815_ETF_Options_Exhibits'!N562:N566),"")</f>
        <v/>
      </c>
      <c r="O566" s="3">
        <f>IF(ISNUMBER(AVERAGE('20250815_ETF_Options_Exhibits'!O562:O566)),AVERAGE('20250815_ETF_Options_Exhibits'!O562:O566),"")</f>
        <v/>
      </c>
      <c r="P566" s="3">
        <f>IF(ISNUMBER(AVERAGE('20250815_ETF_Options_Exhibits'!P562:P566)),AVERAGE('20250815_ETF_Options_Exhibits'!P562:P566),"")</f>
        <v/>
      </c>
      <c r="Q566" s="3">
        <f>IF(ISNUMBER(AVERAGE('20250815_ETF_Options_Exhibits'!Q562:Q566)),AVERAGE('20250815_ETF_Options_Exhibits'!Q562:Q566),"")</f>
        <v/>
      </c>
      <c r="R566" s="3">
        <f>IF(ISNUMBER(AVERAGE('20250815_ETF_Options_Exhibits'!R562:R566)),AVERAGE('20250815_ETF_Options_Exhibits'!R562:R566),"")</f>
        <v/>
      </c>
      <c r="S566" s="3">
        <f>IF(ISNUMBER(AVERAGE('20250815_ETF_Options_Exhibits'!S562:S566)),AVERAGE('20250815_ETF_Options_Exhibits'!S562:S566),"")</f>
        <v/>
      </c>
      <c r="T566" s="3">
        <f>IF(ISNUMBER(AVERAGE('20250815_ETF_Options_Exhibits'!T562:T566)),AVERAGE('20250815_ETF_Options_Exhibits'!T562:T566),"")</f>
        <v/>
      </c>
      <c r="U566" s="3">
        <f>IF(ISNUMBER(AVERAGE('20250815_ETF_Options_Exhibits'!U562:U566)),AVERAGE('20250815_ETF_Options_Exhibits'!U562:U566),"")</f>
        <v/>
      </c>
      <c r="V566" s="3">
        <f>IF(ISNUMBER(AVERAGE('20250815_ETF_Options_Exhibits'!V562:V566)),AVERAGE('20250815_ETF_Options_Exhibits'!V562:V566),"")</f>
        <v/>
      </c>
      <c r="W566" s="3">
        <f>IF(ISNUMBER(AVERAGE('20250815_ETF_Options_Exhibits'!W562:W566)),AVERAGE('20250815_ETF_Options_Exhibits'!W562:W566),"")</f>
        <v/>
      </c>
      <c r="X566" s="3">
        <f>IF(ISNUMBER(AVERAGE('20250815_ETF_Options_Exhibits'!X562:X566)),AVERAGE('20250815_ETF_Options_Exhibits'!X562:X566),"")</f>
        <v/>
      </c>
      <c r="Y566" s="3">
        <f>IF(ISNUMBER(AVERAGE('20250815_ETF_Options_Exhibits'!Y562:Y566)),AVERAGE('20250815_ETF_Options_Exhibits'!Y562:Y566),"")</f>
        <v/>
      </c>
      <c r="Z566" s="3">
        <f>IF(ISNUMBER(AVERAGE('20250815_ETF_Options_Exhibits'!Z562:Z566)),AVERAGE('20250815_ETF_Options_Exhibits'!Z562:Z566),"")</f>
        <v/>
      </c>
      <c r="AA566" s="3">
        <f>IF(ISNUMBER(AVERAGE('20250815_ETF_Options_Exhibits'!AA562:AA566)),AVERAGE('20250815_ETF_Options_Exhibits'!AA562:AA566),"")</f>
        <v/>
      </c>
    </row>
    <row r="567">
      <c r="A567" s="1" t="n">
        <v>42824</v>
      </c>
      <c r="B567" s="3">
        <f>IF(ISNUMBER(AVERAGE('20250815_ETF_Options_Exhibits'!B563:B567)),AVERAGE('20250815_ETF_Options_Exhibits'!B563:B567),"")</f>
        <v/>
      </c>
      <c r="C567" s="3">
        <f>IF(ISNUMBER(AVERAGE('20250815_ETF_Options_Exhibits'!C563:C567)),AVERAGE('20250815_ETF_Options_Exhibits'!C563:C567),"")</f>
        <v/>
      </c>
      <c r="D567" s="3">
        <f>IF(ISNUMBER(AVERAGE('20250815_ETF_Options_Exhibits'!D563:D567)),AVERAGE('20250815_ETF_Options_Exhibits'!D563:D567),"")</f>
        <v/>
      </c>
      <c r="E567" s="3">
        <f>IF(ISNUMBER(AVERAGE('20250815_ETF_Options_Exhibits'!E563:E567)),AVERAGE('20250815_ETF_Options_Exhibits'!E563:E567),"")</f>
        <v/>
      </c>
      <c r="F567" s="3">
        <f>IF(ISNUMBER(AVERAGE('20250815_ETF_Options_Exhibits'!F563:F567)),AVERAGE('20250815_ETF_Options_Exhibits'!F563:F567),"")</f>
        <v/>
      </c>
      <c r="G567" s="3">
        <f>IF(ISNUMBER(AVERAGE('20250815_ETF_Options_Exhibits'!G563:G567)),AVERAGE('20250815_ETF_Options_Exhibits'!G563:G567),"")</f>
        <v/>
      </c>
      <c r="H567" s="3">
        <f>IF(ISNUMBER(AVERAGE('20250815_ETF_Options_Exhibits'!H563:H567)),AVERAGE('20250815_ETF_Options_Exhibits'!H563:H567),"")</f>
        <v/>
      </c>
      <c r="I567" s="3">
        <f>IF(ISNUMBER(AVERAGE('20250815_ETF_Options_Exhibits'!I563:I567)),AVERAGE('20250815_ETF_Options_Exhibits'!I563:I567),"")</f>
        <v/>
      </c>
      <c r="J567" s="3">
        <f>IF(ISNUMBER(AVERAGE('20250815_ETF_Options_Exhibits'!J563:J567)),AVERAGE('20250815_ETF_Options_Exhibits'!J563:J567),"")</f>
        <v/>
      </c>
      <c r="K567" s="3">
        <f>IF(ISNUMBER(AVERAGE('20250815_ETF_Options_Exhibits'!K563:K567)),AVERAGE('20250815_ETF_Options_Exhibits'!K563:K567),"")</f>
        <v/>
      </c>
      <c r="L567" s="3">
        <f>IF(ISNUMBER(AVERAGE('20250815_ETF_Options_Exhibits'!L563:L567)),AVERAGE('20250815_ETF_Options_Exhibits'!L563:L567),"")</f>
        <v/>
      </c>
      <c r="M567" s="3">
        <f>IF(ISNUMBER(AVERAGE('20250815_ETF_Options_Exhibits'!M563:M567)),AVERAGE('20250815_ETF_Options_Exhibits'!M563:M567),"")</f>
        <v/>
      </c>
      <c r="N567" s="3">
        <f>IF(ISNUMBER(AVERAGE('20250815_ETF_Options_Exhibits'!N563:N567)),AVERAGE('20250815_ETF_Options_Exhibits'!N563:N567),"")</f>
        <v/>
      </c>
      <c r="O567" s="3">
        <f>IF(ISNUMBER(AVERAGE('20250815_ETF_Options_Exhibits'!O563:O567)),AVERAGE('20250815_ETF_Options_Exhibits'!O563:O567),"")</f>
        <v/>
      </c>
      <c r="P567" s="3">
        <f>IF(ISNUMBER(AVERAGE('20250815_ETF_Options_Exhibits'!P563:P567)),AVERAGE('20250815_ETF_Options_Exhibits'!P563:P567),"")</f>
        <v/>
      </c>
      <c r="Q567" s="3">
        <f>IF(ISNUMBER(AVERAGE('20250815_ETF_Options_Exhibits'!Q563:Q567)),AVERAGE('20250815_ETF_Options_Exhibits'!Q563:Q567),"")</f>
        <v/>
      </c>
      <c r="R567" s="3">
        <f>IF(ISNUMBER(AVERAGE('20250815_ETF_Options_Exhibits'!R563:R567)),AVERAGE('20250815_ETF_Options_Exhibits'!R563:R567),"")</f>
        <v/>
      </c>
      <c r="S567" s="3">
        <f>IF(ISNUMBER(AVERAGE('20250815_ETF_Options_Exhibits'!S563:S567)),AVERAGE('20250815_ETF_Options_Exhibits'!S563:S567),"")</f>
        <v/>
      </c>
      <c r="T567" s="3">
        <f>IF(ISNUMBER(AVERAGE('20250815_ETF_Options_Exhibits'!T563:T567)),AVERAGE('20250815_ETF_Options_Exhibits'!T563:T567),"")</f>
        <v/>
      </c>
      <c r="U567" s="3">
        <f>IF(ISNUMBER(AVERAGE('20250815_ETF_Options_Exhibits'!U563:U567)),AVERAGE('20250815_ETF_Options_Exhibits'!U563:U567),"")</f>
        <v/>
      </c>
      <c r="V567" s="3">
        <f>IF(ISNUMBER(AVERAGE('20250815_ETF_Options_Exhibits'!V563:V567)),AVERAGE('20250815_ETF_Options_Exhibits'!V563:V567),"")</f>
        <v/>
      </c>
      <c r="W567" s="3">
        <f>IF(ISNUMBER(AVERAGE('20250815_ETF_Options_Exhibits'!W563:W567)),AVERAGE('20250815_ETF_Options_Exhibits'!W563:W567),"")</f>
        <v/>
      </c>
      <c r="X567" s="3">
        <f>IF(ISNUMBER(AVERAGE('20250815_ETF_Options_Exhibits'!X563:X567)),AVERAGE('20250815_ETF_Options_Exhibits'!X563:X567),"")</f>
        <v/>
      </c>
      <c r="Y567" s="3">
        <f>IF(ISNUMBER(AVERAGE('20250815_ETF_Options_Exhibits'!Y563:Y567)),AVERAGE('20250815_ETF_Options_Exhibits'!Y563:Y567),"")</f>
        <v/>
      </c>
      <c r="Z567" s="3">
        <f>IF(ISNUMBER(AVERAGE('20250815_ETF_Options_Exhibits'!Z563:Z567)),AVERAGE('20250815_ETF_Options_Exhibits'!Z563:Z567),"")</f>
        <v/>
      </c>
      <c r="AA567" s="3">
        <f>IF(ISNUMBER(AVERAGE('20250815_ETF_Options_Exhibits'!AA563:AA567)),AVERAGE('20250815_ETF_Options_Exhibits'!AA563:AA567),"")</f>
        <v/>
      </c>
    </row>
    <row r="568">
      <c r="A568" s="1" t="n">
        <v>42825</v>
      </c>
      <c r="B568" s="3">
        <f>IF(ISNUMBER(AVERAGE('20250815_ETF_Options_Exhibits'!B564:B568)),AVERAGE('20250815_ETF_Options_Exhibits'!B564:B568),"")</f>
        <v/>
      </c>
      <c r="C568" s="3">
        <f>IF(ISNUMBER(AVERAGE('20250815_ETF_Options_Exhibits'!C564:C568)),AVERAGE('20250815_ETF_Options_Exhibits'!C564:C568),"")</f>
        <v/>
      </c>
      <c r="D568" s="3">
        <f>IF(ISNUMBER(AVERAGE('20250815_ETF_Options_Exhibits'!D564:D568)),AVERAGE('20250815_ETF_Options_Exhibits'!D564:D568),"")</f>
        <v/>
      </c>
      <c r="E568" s="3">
        <f>IF(ISNUMBER(AVERAGE('20250815_ETF_Options_Exhibits'!E564:E568)),AVERAGE('20250815_ETF_Options_Exhibits'!E564:E568),"")</f>
        <v/>
      </c>
      <c r="F568" s="3">
        <f>IF(ISNUMBER(AVERAGE('20250815_ETF_Options_Exhibits'!F564:F568)),AVERAGE('20250815_ETF_Options_Exhibits'!F564:F568),"")</f>
        <v/>
      </c>
      <c r="G568" s="3">
        <f>IF(ISNUMBER(AVERAGE('20250815_ETF_Options_Exhibits'!G564:G568)),AVERAGE('20250815_ETF_Options_Exhibits'!G564:G568),"")</f>
        <v/>
      </c>
      <c r="H568" s="3">
        <f>IF(ISNUMBER(AVERAGE('20250815_ETF_Options_Exhibits'!H564:H568)),AVERAGE('20250815_ETF_Options_Exhibits'!H564:H568),"")</f>
        <v/>
      </c>
      <c r="I568" s="3">
        <f>IF(ISNUMBER(AVERAGE('20250815_ETF_Options_Exhibits'!I564:I568)),AVERAGE('20250815_ETF_Options_Exhibits'!I564:I568),"")</f>
        <v/>
      </c>
      <c r="J568" s="3">
        <f>IF(ISNUMBER(AVERAGE('20250815_ETF_Options_Exhibits'!J564:J568)),AVERAGE('20250815_ETF_Options_Exhibits'!J564:J568),"")</f>
        <v/>
      </c>
      <c r="K568" s="3">
        <f>IF(ISNUMBER(AVERAGE('20250815_ETF_Options_Exhibits'!K564:K568)),AVERAGE('20250815_ETF_Options_Exhibits'!K564:K568),"")</f>
        <v/>
      </c>
      <c r="L568" s="3">
        <f>IF(ISNUMBER(AVERAGE('20250815_ETF_Options_Exhibits'!L564:L568)),AVERAGE('20250815_ETF_Options_Exhibits'!L564:L568),"")</f>
        <v/>
      </c>
      <c r="M568" s="3">
        <f>IF(ISNUMBER(AVERAGE('20250815_ETF_Options_Exhibits'!M564:M568)),AVERAGE('20250815_ETF_Options_Exhibits'!M564:M568),"")</f>
        <v/>
      </c>
      <c r="N568" s="3">
        <f>IF(ISNUMBER(AVERAGE('20250815_ETF_Options_Exhibits'!N564:N568)),AVERAGE('20250815_ETF_Options_Exhibits'!N564:N568),"")</f>
        <v/>
      </c>
      <c r="O568" s="3">
        <f>IF(ISNUMBER(AVERAGE('20250815_ETF_Options_Exhibits'!O564:O568)),AVERAGE('20250815_ETF_Options_Exhibits'!O564:O568),"")</f>
        <v/>
      </c>
      <c r="P568" s="3">
        <f>IF(ISNUMBER(AVERAGE('20250815_ETF_Options_Exhibits'!P564:P568)),AVERAGE('20250815_ETF_Options_Exhibits'!P564:P568),"")</f>
        <v/>
      </c>
      <c r="Q568" s="3">
        <f>IF(ISNUMBER(AVERAGE('20250815_ETF_Options_Exhibits'!Q564:Q568)),AVERAGE('20250815_ETF_Options_Exhibits'!Q564:Q568),"")</f>
        <v/>
      </c>
      <c r="R568" s="3">
        <f>IF(ISNUMBER(AVERAGE('20250815_ETF_Options_Exhibits'!R564:R568)),AVERAGE('20250815_ETF_Options_Exhibits'!R564:R568),"")</f>
        <v/>
      </c>
      <c r="S568" s="3">
        <f>IF(ISNUMBER(AVERAGE('20250815_ETF_Options_Exhibits'!S564:S568)),AVERAGE('20250815_ETF_Options_Exhibits'!S564:S568),"")</f>
        <v/>
      </c>
      <c r="T568" s="3">
        <f>IF(ISNUMBER(AVERAGE('20250815_ETF_Options_Exhibits'!T564:T568)),AVERAGE('20250815_ETF_Options_Exhibits'!T564:T568),"")</f>
        <v/>
      </c>
      <c r="U568" s="3">
        <f>IF(ISNUMBER(AVERAGE('20250815_ETF_Options_Exhibits'!U564:U568)),AVERAGE('20250815_ETF_Options_Exhibits'!U564:U568),"")</f>
        <v/>
      </c>
      <c r="V568" s="3">
        <f>IF(ISNUMBER(AVERAGE('20250815_ETF_Options_Exhibits'!V564:V568)),AVERAGE('20250815_ETF_Options_Exhibits'!V564:V568),"")</f>
        <v/>
      </c>
      <c r="W568" s="3">
        <f>IF(ISNUMBER(AVERAGE('20250815_ETF_Options_Exhibits'!W564:W568)),AVERAGE('20250815_ETF_Options_Exhibits'!W564:W568),"")</f>
        <v/>
      </c>
      <c r="X568" s="3">
        <f>IF(ISNUMBER(AVERAGE('20250815_ETF_Options_Exhibits'!X564:X568)),AVERAGE('20250815_ETF_Options_Exhibits'!X564:X568),"")</f>
        <v/>
      </c>
      <c r="Y568" s="3">
        <f>IF(ISNUMBER(AVERAGE('20250815_ETF_Options_Exhibits'!Y564:Y568)),AVERAGE('20250815_ETF_Options_Exhibits'!Y564:Y568),"")</f>
        <v/>
      </c>
      <c r="Z568" s="3">
        <f>IF(ISNUMBER(AVERAGE('20250815_ETF_Options_Exhibits'!Z564:Z568)),AVERAGE('20250815_ETF_Options_Exhibits'!Z564:Z568),"")</f>
        <v/>
      </c>
      <c r="AA568" s="3">
        <f>IF(ISNUMBER(AVERAGE('20250815_ETF_Options_Exhibits'!AA564:AA568)),AVERAGE('20250815_ETF_Options_Exhibits'!AA564:AA568),"")</f>
        <v/>
      </c>
    </row>
    <row r="569">
      <c r="A569" s="1" t="n">
        <v>42828</v>
      </c>
      <c r="B569" s="3">
        <f>IF(ISNUMBER(AVERAGE('20250815_ETF_Options_Exhibits'!B565:B569)),AVERAGE('20250815_ETF_Options_Exhibits'!B565:B569),"")</f>
        <v/>
      </c>
      <c r="C569" s="3">
        <f>IF(ISNUMBER(AVERAGE('20250815_ETF_Options_Exhibits'!C565:C569)),AVERAGE('20250815_ETF_Options_Exhibits'!C565:C569),"")</f>
        <v/>
      </c>
      <c r="D569" s="3">
        <f>IF(ISNUMBER(AVERAGE('20250815_ETF_Options_Exhibits'!D565:D569)),AVERAGE('20250815_ETF_Options_Exhibits'!D565:D569),"")</f>
        <v/>
      </c>
      <c r="E569" s="3">
        <f>IF(ISNUMBER(AVERAGE('20250815_ETF_Options_Exhibits'!E565:E569)),AVERAGE('20250815_ETF_Options_Exhibits'!E565:E569),"")</f>
        <v/>
      </c>
      <c r="F569" s="3">
        <f>IF(ISNUMBER(AVERAGE('20250815_ETF_Options_Exhibits'!F565:F569)),AVERAGE('20250815_ETF_Options_Exhibits'!F565:F569),"")</f>
        <v/>
      </c>
      <c r="G569" s="3">
        <f>IF(ISNUMBER(AVERAGE('20250815_ETF_Options_Exhibits'!G565:G569)),AVERAGE('20250815_ETF_Options_Exhibits'!G565:G569),"")</f>
        <v/>
      </c>
      <c r="H569" s="3">
        <f>IF(ISNUMBER(AVERAGE('20250815_ETF_Options_Exhibits'!H565:H569)),AVERAGE('20250815_ETF_Options_Exhibits'!H565:H569),"")</f>
        <v/>
      </c>
      <c r="I569" s="3">
        <f>IF(ISNUMBER(AVERAGE('20250815_ETF_Options_Exhibits'!I565:I569)),AVERAGE('20250815_ETF_Options_Exhibits'!I565:I569),"")</f>
        <v/>
      </c>
      <c r="J569" s="3">
        <f>IF(ISNUMBER(AVERAGE('20250815_ETF_Options_Exhibits'!J565:J569)),AVERAGE('20250815_ETF_Options_Exhibits'!J565:J569),"")</f>
        <v/>
      </c>
      <c r="K569" s="3">
        <f>IF(ISNUMBER(AVERAGE('20250815_ETF_Options_Exhibits'!K565:K569)),AVERAGE('20250815_ETF_Options_Exhibits'!K565:K569),"")</f>
        <v/>
      </c>
      <c r="L569" s="3">
        <f>IF(ISNUMBER(AVERAGE('20250815_ETF_Options_Exhibits'!L565:L569)),AVERAGE('20250815_ETF_Options_Exhibits'!L565:L569),"")</f>
        <v/>
      </c>
      <c r="M569" s="3">
        <f>IF(ISNUMBER(AVERAGE('20250815_ETF_Options_Exhibits'!M565:M569)),AVERAGE('20250815_ETF_Options_Exhibits'!M565:M569),"")</f>
        <v/>
      </c>
      <c r="N569" s="3">
        <f>IF(ISNUMBER(AVERAGE('20250815_ETF_Options_Exhibits'!N565:N569)),AVERAGE('20250815_ETF_Options_Exhibits'!N565:N569),"")</f>
        <v/>
      </c>
      <c r="O569" s="3">
        <f>IF(ISNUMBER(AVERAGE('20250815_ETF_Options_Exhibits'!O565:O569)),AVERAGE('20250815_ETF_Options_Exhibits'!O565:O569),"")</f>
        <v/>
      </c>
      <c r="P569" s="3">
        <f>IF(ISNUMBER(AVERAGE('20250815_ETF_Options_Exhibits'!P565:P569)),AVERAGE('20250815_ETF_Options_Exhibits'!P565:P569),"")</f>
        <v/>
      </c>
      <c r="Q569" s="3">
        <f>IF(ISNUMBER(AVERAGE('20250815_ETF_Options_Exhibits'!Q565:Q569)),AVERAGE('20250815_ETF_Options_Exhibits'!Q565:Q569),"")</f>
        <v/>
      </c>
      <c r="R569" s="3">
        <f>IF(ISNUMBER(AVERAGE('20250815_ETF_Options_Exhibits'!R565:R569)),AVERAGE('20250815_ETF_Options_Exhibits'!R565:R569),"")</f>
        <v/>
      </c>
      <c r="S569" s="3">
        <f>IF(ISNUMBER(AVERAGE('20250815_ETF_Options_Exhibits'!S565:S569)),AVERAGE('20250815_ETF_Options_Exhibits'!S565:S569),"")</f>
        <v/>
      </c>
      <c r="T569" s="3">
        <f>IF(ISNUMBER(AVERAGE('20250815_ETF_Options_Exhibits'!T565:T569)),AVERAGE('20250815_ETF_Options_Exhibits'!T565:T569),"")</f>
        <v/>
      </c>
      <c r="U569" s="3">
        <f>IF(ISNUMBER(AVERAGE('20250815_ETF_Options_Exhibits'!U565:U569)),AVERAGE('20250815_ETF_Options_Exhibits'!U565:U569),"")</f>
        <v/>
      </c>
      <c r="V569" s="3">
        <f>IF(ISNUMBER(AVERAGE('20250815_ETF_Options_Exhibits'!V565:V569)),AVERAGE('20250815_ETF_Options_Exhibits'!V565:V569),"")</f>
        <v/>
      </c>
      <c r="W569" s="3">
        <f>IF(ISNUMBER(AVERAGE('20250815_ETF_Options_Exhibits'!W565:W569)),AVERAGE('20250815_ETF_Options_Exhibits'!W565:W569),"")</f>
        <v/>
      </c>
      <c r="X569" s="3">
        <f>IF(ISNUMBER(AVERAGE('20250815_ETF_Options_Exhibits'!X565:X569)),AVERAGE('20250815_ETF_Options_Exhibits'!X565:X569),"")</f>
        <v/>
      </c>
      <c r="Y569" s="3">
        <f>IF(ISNUMBER(AVERAGE('20250815_ETF_Options_Exhibits'!Y565:Y569)),AVERAGE('20250815_ETF_Options_Exhibits'!Y565:Y569),"")</f>
        <v/>
      </c>
      <c r="Z569" s="3">
        <f>IF(ISNUMBER(AVERAGE('20250815_ETF_Options_Exhibits'!Z565:Z569)),AVERAGE('20250815_ETF_Options_Exhibits'!Z565:Z569),"")</f>
        <v/>
      </c>
      <c r="AA569" s="3">
        <f>IF(ISNUMBER(AVERAGE('20250815_ETF_Options_Exhibits'!AA565:AA569)),AVERAGE('20250815_ETF_Options_Exhibits'!AA565:AA569),"")</f>
        <v/>
      </c>
    </row>
    <row r="570">
      <c r="A570" s="1" t="n">
        <v>42829</v>
      </c>
      <c r="B570" s="3">
        <f>IF(ISNUMBER(AVERAGE('20250815_ETF_Options_Exhibits'!B566:B570)),AVERAGE('20250815_ETF_Options_Exhibits'!B566:B570),"")</f>
        <v/>
      </c>
      <c r="C570" s="3">
        <f>IF(ISNUMBER(AVERAGE('20250815_ETF_Options_Exhibits'!C566:C570)),AVERAGE('20250815_ETF_Options_Exhibits'!C566:C570),"")</f>
        <v/>
      </c>
      <c r="D570" s="3">
        <f>IF(ISNUMBER(AVERAGE('20250815_ETF_Options_Exhibits'!D566:D570)),AVERAGE('20250815_ETF_Options_Exhibits'!D566:D570),"")</f>
        <v/>
      </c>
      <c r="E570" s="3">
        <f>IF(ISNUMBER(AVERAGE('20250815_ETF_Options_Exhibits'!E566:E570)),AVERAGE('20250815_ETF_Options_Exhibits'!E566:E570),"")</f>
        <v/>
      </c>
      <c r="F570" s="3">
        <f>IF(ISNUMBER(AVERAGE('20250815_ETF_Options_Exhibits'!F566:F570)),AVERAGE('20250815_ETF_Options_Exhibits'!F566:F570),"")</f>
        <v/>
      </c>
      <c r="G570" s="3">
        <f>IF(ISNUMBER(AVERAGE('20250815_ETF_Options_Exhibits'!G566:G570)),AVERAGE('20250815_ETF_Options_Exhibits'!G566:G570),"")</f>
        <v/>
      </c>
      <c r="H570" s="3">
        <f>IF(ISNUMBER(AVERAGE('20250815_ETF_Options_Exhibits'!H566:H570)),AVERAGE('20250815_ETF_Options_Exhibits'!H566:H570),"")</f>
        <v/>
      </c>
      <c r="I570" s="3">
        <f>IF(ISNUMBER(AVERAGE('20250815_ETF_Options_Exhibits'!I566:I570)),AVERAGE('20250815_ETF_Options_Exhibits'!I566:I570),"")</f>
        <v/>
      </c>
      <c r="J570" s="3">
        <f>IF(ISNUMBER(AVERAGE('20250815_ETF_Options_Exhibits'!J566:J570)),AVERAGE('20250815_ETF_Options_Exhibits'!J566:J570),"")</f>
        <v/>
      </c>
      <c r="K570" s="3">
        <f>IF(ISNUMBER(AVERAGE('20250815_ETF_Options_Exhibits'!K566:K570)),AVERAGE('20250815_ETF_Options_Exhibits'!K566:K570),"")</f>
        <v/>
      </c>
      <c r="L570" s="3">
        <f>IF(ISNUMBER(AVERAGE('20250815_ETF_Options_Exhibits'!L566:L570)),AVERAGE('20250815_ETF_Options_Exhibits'!L566:L570),"")</f>
        <v/>
      </c>
      <c r="M570" s="3">
        <f>IF(ISNUMBER(AVERAGE('20250815_ETF_Options_Exhibits'!M566:M570)),AVERAGE('20250815_ETF_Options_Exhibits'!M566:M570),"")</f>
        <v/>
      </c>
      <c r="N570" s="3">
        <f>IF(ISNUMBER(AVERAGE('20250815_ETF_Options_Exhibits'!N566:N570)),AVERAGE('20250815_ETF_Options_Exhibits'!N566:N570),"")</f>
        <v/>
      </c>
      <c r="O570" s="3">
        <f>IF(ISNUMBER(AVERAGE('20250815_ETF_Options_Exhibits'!O566:O570)),AVERAGE('20250815_ETF_Options_Exhibits'!O566:O570),"")</f>
        <v/>
      </c>
      <c r="P570" s="3">
        <f>IF(ISNUMBER(AVERAGE('20250815_ETF_Options_Exhibits'!P566:P570)),AVERAGE('20250815_ETF_Options_Exhibits'!P566:P570),"")</f>
        <v/>
      </c>
      <c r="Q570" s="3">
        <f>IF(ISNUMBER(AVERAGE('20250815_ETF_Options_Exhibits'!Q566:Q570)),AVERAGE('20250815_ETF_Options_Exhibits'!Q566:Q570),"")</f>
        <v/>
      </c>
      <c r="R570" s="3">
        <f>IF(ISNUMBER(AVERAGE('20250815_ETF_Options_Exhibits'!R566:R570)),AVERAGE('20250815_ETF_Options_Exhibits'!R566:R570),"")</f>
        <v/>
      </c>
      <c r="S570" s="3">
        <f>IF(ISNUMBER(AVERAGE('20250815_ETF_Options_Exhibits'!S566:S570)),AVERAGE('20250815_ETF_Options_Exhibits'!S566:S570),"")</f>
        <v/>
      </c>
      <c r="T570" s="3">
        <f>IF(ISNUMBER(AVERAGE('20250815_ETF_Options_Exhibits'!T566:T570)),AVERAGE('20250815_ETF_Options_Exhibits'!T566:T570),"")</f>
        <v/>
      </c>
      <c r="U570" s="3">
        <f>IF(ISNUMBER(AVERAGE('20250815_ETF_Options_Exhibits'!U566:U570)),AVERAGE('20250815_ETF_Options_Exhibits'!U566:U570),"")</f>
        <v/>
      </c>
      <c r="V570" s="3">
        <f>IF(ISNUMBER(AVERAGE('20250815_ETF_Options_Exhibits'!V566:V570)),AVERAGE('20250815_ETF_Options_Exhibits'!V566:V570),"")</f>
        <v/>
      </c>
      <c r="W570" s="3">
        <f>IF(ISNUMBER(AVERAGE('20250815_ETF_Options_Exhibits'!W566:W570)),AVERAGE('20250815_ETF_Options_Exhibits'!W566:W570),"")</f>
        <v/>
      </c>
      <c r="X570" s="3">
        <f>IF(ISNUMBER(AVERAGE('20250815_ETF_Options_Exhibits'!X566:X570)),AVERAGE('20250815_ETF_Options_Exhibits'!X566:X570),"")</f>
        <v/>
      </c>
      <c r="Y570" s="3">
        <f>IF(ISNUMBER(AVERAGE('20250815_ETF_Options_Exhibits'!Y566:Y570)),AVERAGE('20250815_ETF_Options_Exhibits'!Y566:Y570),"")</f>
        <v/>
      </c>
      <c r="Z570" s="3">
        <f>IF(ISNUMBER(AVERAGE('20250815_ETF_Options_Exhibits'!Z566:Z570)),AVERAGE('20250815_ETF_Options_Exhibits'!Z566:Z570),"")</f>
        <v/>
      </c>
      <c r="AA570" s="3">
        <f>IF(ISNUMBER(AVERAGE('20250815_ETF_Options_Exhibits'!AA566:AA570)),AVERAGE('20250815_ETF_Options_Exhibits'!AA566:AA570),"")</f>
        <v/>
      </c>
    </row>
    <row r="571">
      <c r="A571" s="1" t="n">
        <v>42830</v>
      </c>
      <c r="B571" s="3">
        <f>IF(ISNUMBER(AVERAGE('20250815_ETF_Options_Exhibits'!B567:B571)),AVERAGE('20250815_ETF_Options_Exhibits'!B567:B571),"")</f>
        <v/>
      </c>
      <c r="C571" s="3">
        <f>IF(ISNUMBER(AVERAGE('20250815_ETF_Options_Exhibits'!C567:C571)),AVERAGE('20250815_ETF_Options_Exhibits'!C567:C571),"")</f>
        <v/>
      </c>
      <c r="D571" s="3">
        <f>IF(ISNUMBER(AVERAGE('20250815_ETF_Options_Exhibits'!D567:D571)),AVERAGE('20250815_ETF_Options_Exhibits'!D567:D571),"")</f>
        <v/>
      </c>
      <c r="E571" s="3">
        <f>IF(ISNUMBER(AVERAGE('20250815_ETF_Options_Exhibits'!E567:E571)),AVERAGE('20250815_ETF_Options_Exhibits'!E567:E571),"")</f>
        <v/>
      </c>
      <c r="F571" s="3">
        <f>IF(ISNUMBER(AVERAGE('20250815_ETF_Options_Exhibits'!F567:F571)),AVERAGE('20250815_ETF_Options_Exhibits'!F567:F571),"")</f>
        <v/>
      </c>
      <c r="G571" s="3">
        <f>IF(ISNUMBER(AVERAGE('20250815_ETF_Options_Exhibits'!G567:G571)),AVERAGE('20250815_ETF_Options_Exhibits'!G567:G571),"")</f>
        <v/>
      </c>
      <c r="H571" s="3">
        <f>IF(ISNUMBER(AVERAGE('20250815_ETF_Options_Exhibits'!H567:H571)),AVERAGE('20250815_ETF_Options_Exhibits'!H567:H571),"")</f>
        <v/>
      </c>
      <c r="I571" s="3">
        <f>IF(ISNUMBER(AVERAGE('20250815_ETF_Options_Exhibits'!I567:I571)),AVERAGE('20250815_ETF_Options_Exhibits'!I567:I571),"")</f>
        <v/>
      </c>
      <c r="J571" s="3">
        <f>IF(ISNUMBER(AVERAGE('20250815_ETF_Options_Exhibits'!J567:J571)),AVERAGE('20250815_ETF_Options_Exhibits'!J567:J571),"")</f>
        <v/>
      </c>
      <c r="K571" s="3">
        <f>IF(ISNUMBER(AVERAGE('20250815_ETF_Options_Exhibits'!K567:K571)),AVERAGE('20250815_ETF_Options_Exhibits'!K567:K571),"")</f>
        <v/>
      </c>
      <c r="L571" s="3">
        <f>IF(ISNUMBER(AVERAGE('20250815_ETF_Options_Exhibits'!L567:L571)),AVERAGE('20250815_ETF_Options_Exhibits'!L567:L571),"")</f>
        <v/>
      </c>
      <c r="M571" s="3">
        <f>IF(ISNUMBER(AVERAGE('20250815_ETF_Options_Exhibits'!M567:M571)),AVERAGE('20250815_ETF_Options_Exhibits'!M567:M571),"")</f>
        <v/>
      </c>
      <c r="N571" s="3">
        <f>IF(ISNUMBER(AVERAGE('20250815_ETF_Options_Exhibits'!N567:N571)),AVERAGE('20250815_ETF_Options_Exhibits'!N567:N571),"")</f>
        <v/>
      </c>
      <c r="O571" s="3">
        <f>IF(ISNUMBER(AVERAGE('20250815_ETF_Options_Exhibits'!O567:O571)),AVERAGE('20250815_ETF_Options_Exhibits'!O567:O571),"")</f>
        <v/>
      </c>
      <c r="P571" s="3">
        <f>IF(ISNUMBER(AVERAGE('20250815_ETF_Options_Exhibits'!P567:P571)),AVERAGE('20250815_ETF_Options_Exhibits'!P567:P571),"")</f>
        <v/>
      </c>
      <c r="Q571" s="3">
        <f>IF(ISNUMBER(AVERAGE('20250815_ETF_Options_Exhibits'!Q567:Q571)),AVERAGE('20250815_ETF_Options_Exhibits'!Q567:Q571),"")</f>
        <v/>
      </c>
      <c r="R571" s="3">
        <f>IF(ISNUMBER(AVERAGE('20250815_ETF_Options_Exhibits'!R567:R571)),AVERAGE('20250815_ETF_Options_Exhibits'!R567:R571),"")</f>
        <v/>
      </c>
      <c r="S571" s="3">
        <f>IF(ISNUMBER(AVERAGE('20250815_ETF_Options_Exhibits'!S567:S571)),AVERAGE('20250815_ETF_Options_Exhibits'!S567:S571),"")</f>
        <v/>
      </c>
      <c r="T571" s="3">
        <f>IF(ISNUMBER(AVERAGE('20250815_ETF_Options_Exhibits'!T567:T571)),AVERAGE('20250815_ETF_Options_Exhibits'!T567:T571),"")</f>
        <v/>
      </c>
      <c r="U571" s="3">
        <f>IF(ISNUMBER(AVERAGE('20250815_ETF_Options_Exhibits'!U567:U571)),AVERAGE('20250815_ETF_Options_Exhibits'!U567:U571),"")</f>
        <v/>
      </c>
      <c r="V571" s="3">
        <f>IF(ISNUMBER(AVERAGE('20250815_ETF_Options_Exhibits'!V567:V571)),AVERAGE('20250815_ETF_Options_Exhibits'!V567:V571),"")</f>
        <v/>
      </c>
      <c r="W571" s="3">
        <f>IF(ISNUMBER(AVERAGE('20250815_ETF_Options_Exhibits'!W567:W571)),AVERAGE('20250815_ETF_Options_Exhibits'!W567:W571),"")</f>
        <v/>
      </c>
      <c r="X571" s="3">
        <f>IF(ISNUMBER(AVERAGE('20250815_ETF_Options_Exhibits'!X567:X571)),AVERAGE('20250815_ETF_Options_Exhibits'!X567:X571),"")</f>
        <v/>
      </c>
      <c r="Y571" s="3">
        <f>IF(ISNUMBER(AVERAGE('20250815_ETF_Options_Exhibits'!Y567:Y571)),AVERAGE('20250815_ETF_Options_Exhibits'!Y567:Y571),"")</f>
        <v/>
      </c>
      <c r="Z571" s="3">
        <f>IF(ISNUMBER(AVERAGE('20250815_ETF_Options_Exhibits'!Z567:Z571)),AVERAGE('20250815_ETF_Options_Exhibits'!Z567:Z571),"")</f>
        <v/>
      </c>
      <c r="AA571" s="3">
        <f>IF(ISNUMBER(AVERAGE('20250815_ETF_Options_Exhibits'!AA567:AA571)),AVERAGE('20250815_ETF_Options_Exhibits'!AA567:AA571),"")</f>
        <v/>
      </c>
    </row>
    <row r="572">
      <c r="A572" s="1" t="n">
        <v>42831</v>
      </c>
      <c r="B572" s="3">
        <f>IF(ISNUMBER(AVERAGE('20250815_ETF_Options_Exhibits'!B568:B572)),AVERAGE('20250815_ETF_Options_Exhibits'!B568:B572),"")</f>
        <v/>
      </c>
      <c r="C572" s="3">
        <f>IF(ISNUMBER(AVERAGE('20250815_ETF_Options_Exhibits'!C568:C572)),AVERAGE('20250815_ETF_Options_Exhibits'!C568:C572),"")</f>
        <v/>
      </c>
      <c r="D572" s="3">
        <f>IF(ISNUMBER(AVERAGE('20250815_ETF_Options_Exhibits'!D568:D572)),AVERAGE('20250815_ETF_Options_Exhibits'!D568:D572),"")</f>
        <v/>
      </c>
      <c r="E572" s="3">
        <f>IF(ISNUMBER(AVERAGE('20250815_ETF_Options_Exhibits'!E568:E572)),AVERAGE('20250815_ETF_Options_Exhibits'!E568:E572),"")</f>
        <v/>
      </c>
      <c r="F572" s="3">
        <f>IF(ISNUMBER(AVERAGE('20250815_ETF_Options_Exhibits'!F568:F572)),AVERAGE('20250815_ETF_Options_Exhibits'!F568:F572),"")</f>
        <v/>
      </c>
      <c r="G572" s="3">
        <f>IF(ISNUMBER(AVERAGE('20250815_ETF_Options_Exhibits'!G568:G572)),AVERAGE('20250815_ETF_Options_Exhibits'!G568:G572),"")</f>
        <v/>
      </c>
      <c r="H572" s="3">
        <f>IF(ISNUMBER(AVERAGE('20250815_ETF_Options_Exhibits'!H568:H572)),AVERAGE('20250815_ETF_Options_Exhibits'!H568:H572),"")</f>
        <v/>
      </c>
      <c r="I572" s="3">
        <f>IF(ISNUMBER(AVERAGE('20250815_ETF_Options_Exhibits'!I568:I572)),AVERAGE('20250815_ETF_Options_Exhibits'!I568:I572),"")</f>
        <v/>
      </c>
      <c r="J572" s="3">
        <f>IF(ISNUMBER(AVERAGE('20250815_ETF_Options_Exhibits'!J568:J572)),AVERAGE('20250815_ETF_Options_Exhibits'!J568:J572),"")</f>
        <v/>
      </c>
      <c r="K572" s="3">
        <f>IF(ISNUMBER(AVERAGE('20250815_ETF_Options_Exhibits'!K568:K572)),AVERAGE('20250815_ETF_Options_Exhibits'!K568:K572),"")</f>
        <v/>
      </c>
      <c r="L572" s="3">
        <f>IF(ISNUMBER(AVERAGE('20250815_ETF_Options_Exhibits'!L568:L572)),AVERAGE('20250815_ETF_Options_Exhibits'!L568:L572),"")</f>
        <v/>
      </c>
      <c r="M572" s="3">
        <f>IF(ISNUMBER(AVERAGE('20250815_ETF_Options_Exhibits'!M568:M572)),AVERAGE('20250815_ETF_Options_Exhibits'!M568:M572),"")</f>
        <v/>
      </c>
      <c r="N572" s="3">
        <f>IF(ISNUMBER(AVERAGE('20250815_ETF_Options_Exhibits'!N568:N572)),AVERAGE('20250815_ETF_Options_Exhibits'!N568:N572),"")</f>
        <v/>
      </c>
      <c r="O572" s="3">
        <f>IF(ISNUMBER(AVERAGE('20250815_ETF_Options_Exhibits'!O568:O572)),AVERAGE('20250815_ETF_Options_Exhibits'!O568:O572),"")</f>
        <v/>
      </c>
      <c r="P572" s="3">
        <f>IF(ISNUMBER(AVERAGE('20250815_ETF_Options_Exhibits'!P568:P572)),AVERAGE('20250815_ETF_Options_Exhibits'!P568:P572),"")</f>
        <v/>
      </c>
      <c r="Q572" s="3">
        <f>IF(ISNUMBER(AVERAGE('20250815_ETF_Options_Exhibits'!Q568:Q572)),AVERAGE('20250815_ETF_Options_Exhibits'!Q568:Q572),"")</f>
        <v/>
      </c>
      <c r="R572" s="3">
        <f>IF(ISNUMBER(AVERAGE('20250815_ETF_Options_Exhibits'!R568:R572)),AVERAGE('20250815_ETF_Options_Exhibits'!R568:R572),"")</f>
        <v/>
      </c>
      <c r="S572" s="3">
        <f>IF(ISNUMBER(AVERAGE('20250815_ETF_Options_Exhibits'!S568:S572)),AVERAGE('20250815_ETF_Options_Exhibits'!S568:S572),"")</f>
        <v/>
      </c>
      <c r="T572" s="3">
        <f>IF(ISNUMBER(AVERAGE('20250815_ETF_Options_Exhibits'!T568:T572)),AVERAGE('20250815_ETF_Options_Exhibits'!T568:T572),"")</f>
        <v/>
      </c>
      <c r="U572" s="3">
        <f>IF(ISNUMBER(AVERAGE('20250815_ETF_Options_Exhibits'!U568:U572)),AVERAGE('20250815_ETF_Options_Exhibits'!U568:U572),"")</f>
        <v/>
      </c>
      <c r="V572" s="3">
        <f>IF(ISNUMBER(AVERAGE('20250815_ETF_Options_Exhibits'!V568:V572)),AVERAGE('20250815_ETF_Options_Exhibits'!V568:V572),"")</f>
        <v/>
      </c>
      <c r="W572" s="3">
        <f>IF(ISNUMBER(AVERAGE('20250815_ETF_Options_Exhibits'!W568:W572)),AVERAGE('20250815_ETF_Options_Exhibits'!W568:W572),"")</f>
        <v/>
      </c>
      <c r="X572" s="3">
        <f>IF(ISNUMBER(AVERAGE('20250815_ETF_Options_Exhibits'!X568:X572)),AVERAGE('20250815_ETF_Options_Exhibits'!X568:X572),"")</f>
        <v/>
      </c>
      <c r="Y572" s="3">
        <f>IF(ISNUMBER(AVERAGE('20250815_ETF_Options_Exhibits'!Y568:Y572)),AVERAGE('20250815_ETF_Options_Exhibits'!Y568:Y572),"")</f>
        <v/>
      </c>
      <c r="Z572" s="3">
        <f>IF(ISNUMBER(AVERAGE('20250815_ETF_Options_Exhibits'!Z568:Z572)),AVERAGE('20250815_ETF_Options_Exhibits'!Z568:Z572),"")</f>
        <v/>
      </c>
      <c r="AA572" s="3">
        <f>IF(ISNUMBER(AVERAGE('20250815_ETF_Options_Exhibits'!AA568:AA572)),AVERAGE('20250815_ETF_Options_Exhibits'!AA568:AA572),"")</f>
        <v/>
      </c>
    </row>
    <row r="573">
      <c r="A573" s="1" t="n">
        <v>42832</v>
      </c>
      <c r="B573" s="3">
        <f>IF(ISNUMBER(AVERAGE('20250815_ETF_Options_Exhibits'!B569:B573)),AVERAGE('20250815_ETF_Options_Exhibits'!B569:B573),"")</f>
        <v/>
      </c>
      <c r="C573" s="3">
        <f>IF(ISNUMBER(AVERAGE('20250815_ETF_Options_Exhibits'!C569:C573)),AVERAGE('20250815_ETF_Options_Exhibits'!C569:C573),"")</f>
        <v/>
      </c>
      <c r="D573" s="3">
        <f>IF(ISNUMBER(AVERAGE('20250815_ETF_Options_Exhibits'!D569:D573)),AVERAGE('20250815_ETF_Options_Exhibits'!D569:D573),"")</f>
        <v/>
      </c>
      <c r="E573" s="3">
        <f>IF(ISNUMBER(AVERAGE('20250815_ETF_Options_Exhibits'!E569:E573)),AVERAGE('20250815_ETF_Options_Exhibits'!E569:E573),"")</f>
        <v/>
      </c>
      <c r="F573" s="3">
        <f>IF(ISNUMBER(AVERAGE('20250815_ETF_Options_Exhibits'!F569:F573)),AVERAGE('20250815_ETF_Options_Exhibits'!F569:F573),"")</f>
        <v/>
      </c>
      <c r="G573" s="3">
        <f>IF(ISNUMBER(AVERAGE('20250815_ETF_Options_Exhibits'!G569:G573)),AVERAGE('20250815_ETF_Options_Exhibits'!G569:G573),"")</f>
        <v/>
      </c>
      <c r="H573" s="3">
        <f>IF(ISNUMBER(AVERAGE('20250815_ETF_Options_Exhibits'!H569:H573)),AVERAGE('20250815_ETF_Options_Exhibits'!H569:H573),"")</f>
        <v/>
      </c>
      <c r="I573" s="3">
        <f>IF(ISNUMBER(AVERAGE('20250815_ETF_Options_Exhibits'!I569:I573)),AVERAGE('20250815_ETF_Options_Exhibits'!I569:I573),"")</f>
        <v/>
      </c>
      <c r="J573" s="3">
        <f>IF(ISNUMBER(AVERAGE('20250815_ETF_Options_Exhibits'!J569:J573)),AVERAGE('20250815_ETF_Options_Exhibits'!J569:J573),"")</f>
        <v/>
      </c>
      <c r="K573" s="3">
        <f>IF(ISNUMBER(AVERAGE('20250815_ETF_Options_Exhibits'!K569:K573)),AVERAGE('20250815_ETF_Options_Exhibits'!K569:K573),"")</f>
        <v/>
      </c>
      <c r="L573" s="3">
        <f>IF(ISNUMBER(AVERAGE('20250815_ETF_Options_Exhibits'!L569:L573)),AVERAGE('20250815_ETF_Options_Exhibits'!L569:L573),"")</f>
        <v/>
      </c>
      <c r="M573" s="3">
        <f>IF(ISNUMBER(AVERAGE('20250815_ETF_Options_Exhibits'!M569:M573)),AVERAGE('20250815_ETF_Options_Exhibits'!M569:M573),"")</f>
        <v/>
      </c>
      <c r="N573" s="3">
        <f>IF(ISNUMBER(AVERAGE('20250815_ETF_Options_Exhibits'!N569:N573)),AVERAGE('20250815_ETF_Options_Exhibits'!N569:N573),"")</f>
        <v/>
      </c>
      <c r="O573" s="3">
        <f>IF(ISNUMBER(AVERAGE('20250815_ETF_Options_Exhibits'!O569:O573)),AVERAGE('20250815_ETF_Options_Exhibits'!O569:O573),"")</f>
        <v/>
      </c>
      <c r="P573" s="3">
        <f>IF(ISNUMBER(AVERAGE('20250815_ETF_Options_Exhibits'!P569:P573)),AVERAGE('20250815_ETF_Options_Exhibits'!P569:P573),"")</f>
        <v/>
      </c>
      <c r="Q573" s="3">
        <f>IF(ISNUMBER(AVERAGE('20250815_ETF_Options_Exhibits'!Q569:Q573)),AVERAGE('20250815_ETF_Options_Exhibits'!Q569:Q573),"")</f>
        <v/>
      </c>
      <c r="R573" s="3">
        <f>IF(ISNUMBER(AVERAGE('20250815_ETF_Options_Exhibits'!R569:R573)),AVERAGE('20250815_ETF_Options_Exhibits'!R569:R573),"")</f>
        <v/>
      </c>
      <c r="S573" s="3">
        <f>IF(ISNUMBER(AVERAGE('20250815_ETF_Options_Exhibits'!S569:S573)),AVERAGE('20250815_ETF_Options_Exhibits'!S569:S573),"")</f>
        <v/>
      </c>
      <c r="T573" s="3">
        <f>IF(ISNUMBER(AVERAGE('20250815_ETF_Options_Exhibits'!T569:T573)),AVERAGE('20250815_ETF_Options_Exhibits'!T569:T573),"")</f>
        <v/>
      </c>
      <c r="U573" s="3">
        <f>IF(ISNUMBER(AVERAGE('20250815_ETF_Options_Exhibits'!U569:U573)),AVERAGE('20250815_ETF_Options_Exhibits'!U569:U573),"")</f>
        <v/>
      </c>
      <c r="V573" s="3">
        <f>IF(ISNUMBER(AVERAGE('20250815_ETF_Options_Exhibits'!V569:V573)),AVERAGE('20250815_ETF_Options_Exhibits'!V569:V573),"")</f>
        <v/>
      </c>
      <c r="W573" s="3">
        <f>IF(ISNUMBER(AVERAGE('20250815_ETF_Options_Exhibits'!W569:W573)),AVERAGE('20250815_ETF_Options_Exhibits'!W569:W573),"")</f>
        <v/>
      </c>
      <c r="X573" s="3">
        <f>IF(ISNUMBER(AVERAGE('20250815_ETF_Options_Exhibits'!X569:X573)),AVERAGE('20250815_ETF_Options_Exhibits'!X569:X573),"")</f>
        <v/>
      </c>
      <c r="Y573" s="3">
        <f>IF(ISNUMBER(AVERAGE('20250815_ETF_Options_Exhibits'!Y569:Y573)),AVERAGE('20250815_ETF_Options_Exhibits'!Y569:Y573),"")</f>
        <v/>
      </c>
      <c r="Z573" s="3">
        <f>IF(ISNUMBER(AVERAGE('20250815_ETF_Options_Exhibits'!Z569:Z573)),AVERAGE('20250815_ETF_Options_Exhibits'!Z569:Z573),"")</f>
        <v/>
      </c>
      <c r="AA573" s="3">
        <f>IF(ISNUMBER(AVERAGE('20250815_ETF_Options_Exhibits'!AA569:AA573)),AVERAGE('20250815_ETF_Options_Exhibits'!AA569:AA573),"")</f>
        <v/>
      </c>
    </row>
    <row r="574">
      <c r="A574" s="1" t="n">
        <v>42835</v>
      </c>
      <c r="B574" s="3">
        <f>IF(ISNUMBER(AVERAGE('20250815_ETF_Options_Exhibits'!B570:B574)),AVERAGE('20250815_ETF_Options_Exhibits'!B570:B574),"")</f>
        <v/>
      </c>
      <c r="C574" s="3">
        <f>IF(ISNUMBER(AVERAGE('20250815_ETF_Options_Exhibits'!C570:C574)),AVERAGE('20250815_ETF_Options_Exhibits'!C570:C574),"")</f>
        <v/>
      </c>
      <c r="D574" s="3">
        <f>IF(ISNUMBER(AVERAGE('20250815_ETF_Options_Exhibits'!D570:D574)),AVERAGE('20250815_ETF_Options_Exhibits'!D570:D574),"")</f>
        <v/>
      </c>
      <c r="E574" s="3">
        <f>IF(ISNUMBER(AVERAGE('20250815_ETF_Options_Exhibits'!E570:E574)),AVERAGE('20250815_ETF_Options_Exhibits'!E570:E574),"")</f>
        <v/>
      </c>
      <c r="F574" s="3">
        <f>IF(ISNUMBER(AVERAGE('20250815_ETF_Options_Exhibits'!F570:F574)),AVERAGE('20250815_ETF_Options_Exhibits'!F570:F574),"")</f>
        <v/>
      </c>
      <c r="G574" s="3">
        <f>IF(ISNUMBER(AVERAGE('20250815_ETF_Options_Exhibits'!G570:G574)),AVERAGE('20250815_ETF_Options_Exhibits'!G570:G574),"")</f>
        <v/>
      </c>
      <c r="H574" s="3">
        <f>IF(ISNUMBER(AVERAGE('20250815_ETF_Options_Exhibits'!H570:H574)),AVERAGE('20250815_ETF_Options_Exhibits'!H570:H574),"")</f>
        <v/>
      </c>
      <c r="I574" s="3">
        <f>IF(ISNUMBER(AVERAGE('20250815_ETF_Options_Exhibits'!I570:I574)),AVERAGE('20250815_ETF_Options_Exhibits'!I570:I574),"")</f>
        <v/>
      </c>
      <c r="J574" s="3">
        <f>IF(ISNUMBER(AVERAGE('20250815_ETF_Options_Exhibits'!J570:J574)),AVERAGE('20250815_ETF_Options_Exhibits'!J570:J574),"")</f>
        <v/>
      </c>
      <c r="K574" s="3">
        <f>IF(ISNUMBER(AVERAGE('20250815_ETF_Options_Exhibits'!K570:K574)),AVERAGE('20250815_ETF_Options_Exhibits'!K570:K574),"")</f>
        <v/>
      </c>
      <c r="L574" s="3">
        <f>IF(ISNUMBER(AVERAGE('20250815_ETF_Options_Exhibits'!L570:L574)),AVERAGE('20250815_ETF_Options_Exhibits'!L570:L574),"")</f>
        <v/>
      </c>
      <c r="M574" s="3">
        <f>IF(ISNUMBER(AVERAGE('20250815_ETF_Options_Exhibits'!M570:M574)),AVERAGE('20250815_ETF_Options_Exhibits'!M570:M574),"")</f>
        <v/>
      </c>
      <c r="N574" s="3">
        <f>IF(ISNUMBER(AVERAGE('20250815_ETF_Options_Exhibits'!N570:N574)),AVERAGE('20250815_ETF_Options_Exhibits'!N570:N574),"")</f>
        <v/>
      </c>
      <c r="O574" s="3">
        <f>IF(ISNUMBER(AVERAGE('20250815_ETF_Options_Exhibits'!O570:O574)),AVERAGE('20250815_ETF_Options_Exhibits'!O570:O574),"")</f>
        <v/>
      </c>
      <c r="P574" s="3">
        <f>IF(ISNUMBER(AVERAGE('20250815_ETF_Options_Exhibits'!P570:P574)),AVERAGE('20250815_ETF_Options_Exhibits'!P570:P574),"")</f>
        <v/>
      </c>
      <c r="Q574" s="3">
        <f>IF(ISNUMBER(AVERAGE('20250815_ETF_Options_Exhibits'!Q570:Q574)),AVERAGE('20250815_ETF_Options_Exhibits'!Q570:Q574),"")</f>
        <v/>
      </c>
      <c r="R574" s="3">
        <f>IF(ISNUMBER(AVERAGE('20250815_ETF_Options_Exhibits'!R570:R574)),AVERAGE('20250815_ETF_Options_Exhibits'!R570:R574),"")</f>
        <v/>
      </c>
      <c r="S574" s="3">
        <f>IF(ISNUMBER(AVERAGE('20250815_ETF_Options_Exhibits'!S570:S574)),AVERAGE('20250815_ETF_Options_Exhibits'!S570:S574),"")</f>
        <v/>
      </c>
      <c r="T574" s="3">
        <f>IF(ISNUMBER(AVERAGE('20250815_ETF_Options_Exhibits'!T570:T574)),AVERAGE('20250815_ETF_Options_Exhibits'!T570:T574),"")</f>
        <v/>
      </c>
      <c r="U574" s="3">
        <f>IF(ISNUMBER(AVERAGE('20250815_ETF_Options_Exhibits'!U570:U574)),AVERAGE('20250815_ETF_Options_Exhibits'!U570:U574),"")</f>
        <v/>
      </c>
      <c r="V574" s="3">
        <f>IF(ISNUMBER(AVERAGE('20250815_ETF_Options_Exhibits'!V570:V574)),AVERAGE('20250815_ETF_Options_Exhibits'!V570:V574),"")</f>
        <v/>
      </c>
      <c r="W574" s="3">
        <f>IF(ISNUMBER(AVERAGE('20250815_ETF_Options_Exhibits'!W570:W574)),AVERAGE('20250815_ETF_Options_Exhibits'!W570:W574),"")</f>
        <v/>
      </c>
      <c r="X574" s="3">
        <f>IF(ISNUMBER(AVERAGE('20250815_ETF_Options_Exhibits'!X570:X574)),AVERAGE('20250815_ETF_Options_Exhibits'!X570:X574),"")</f>
        <v/>
      </c>
      <c r="Y574" s="3">
        <f>IF(ISNUMBER(AVERAGE('20250815_ETF_Options_Exhibits'!Y570:Y574)),AVERAGE('20250815_ETF_Options_Exhibits'!Y570:Y574),"")</f>
        <v/>
      </c>
      <c r="Z574" s="3">
        <f>IF(ISNUMBER(AVERAGE('20250815_ETF_Options_Exhibits'!Z570:Z574)),AVERAGE('20250815_ETF_Options_Exhibits'!Z570:Z574),"")</f>
        <v/>
      </c>
      <c r="AA574" s="3">
        <f>IF(ISNUMBER(AVERAGE('20250815_ETF_Options_Exhibits'!AA570:AA574)),AVERAGE('20250815_ETF_Options_Exhibits'!AA570:AA574),"")</f>
        <v/>
      </c>
    </row>
    <row r="575">
      <c r="A575" s="1" t="n">
        <v>42836</v>
      </c>
      <c r="B575" s="3">
        <f>IF(ISNUMBER(AVERAGE('20250815_ETF_Options_Exhibits'!B571:B575)),AVERAGE('20250815_ETF_Options_Exhibits'!B571:B575),"")</f>
        <v/>
      </c>
      <c r="C575" s="3">
        <f>IF(ISNUMBER(AVERAGE('20250815_ETF_Options_Exhibits'!C571:C575)),AVERAGE('20250815_ETF_Options_Exhibits'!C571:C575),"")</f>
        <v/>
      </c>
      <c r="D575" s="3">
        <f>IF(ISNUMBER(AVERAGE('20250815_ETF_Options_Exhibits'!D571:D575)),AVERAGE('20250815_ETF_Options_Exhibits'!D571:D575),"")</f>
        <v/>
      </c>
      <c r="E575" s="3">
        <f>IF(ISNUMBER(AVERAGE('20250815_ETF_Options_Exhibits'!E571:E575)),AVERAGE('20250815_ETF_Options_Exhibits'!E571:E575),"")</f>
        <v/>
      </c>
      <c r="F575" s="3">
        <f>IF(ISNUMBER(AVERAGE('20250815_ETF_Options_Exhibits'!F571:F575)),AVERAGE('20250815_ETF_Options_Exhibits'!F571:F575),"")</f>
        <v/>
      </c>
      <c r="G575" s="3">
        <f>IF(ISNUMBER(AVERAGE('20250815_ETF_Options_Exhibits'!G571:G575)),AVERAGE('20250815_ETF_Options_Exhibits'!G571:G575),"")</f>
        <v/>
      </c>
      <c r="H575" s="3">
        <f>IF(ISNUMBER(AVERAGE('20250815_ETF_Options_Exhibits'!H571:H575)),AVERAGE('20250815_ETF_Options_Exhibits'!H571:H575),"")</f>
        <v/>
      </c>
      <c r="I575" s="3">
        <f>IF(ISNUMBER(AVERAGE('20250815_ETF_Options_Exhibits'!I571:I575)),AVERAGE('20250815_ETF_Options_Exhibits'!I571:I575),"")</f>
        <v/>
      </c>
      <c r="J575" s="3">
        <f>IF(ISNUMBER(AVERAGE('20250815_ETF_Options_Exhibits'!J571:J575)),AVERAGE('20250815_ETF_Options_Exhibits'!J571:J575),"")</f>
        <v/>
      </c>
      <c r="K575" s="3">
        <f>IF(ISNUMBER(AVERAGE('20250815_ETF_Options_Exhibits'!K571:K575)),AVERAGE('20250815_ETF_Options_Exhibits'!K571:K575),"")</f>
        <v/>
      </c>
      <c r="L575" s="3">
        <f>IF(ISNUMBER(AVERAGE('20250815_ETF_Options_Exhibits'!L571:L575)),AVERAGE('20250815_ETF_Options_Exhibits'!L571:L575),"")</f>
        <v/>
      </c>
      <c r="M575" s="3">
        <f>IF(ISNUMBER(AVERAGE('20250815_ETF_Options_Exhibits'!M571:M575)),AVERAGE('20250815_ETF_Options_Exhibits'!M571:M575),"")</f>
        <v/>
      </c>
      <c r="N575" s="3">
        <f>IF(ISNUMBER(AVERAGE('20250815_ETF_Options_Exhibits'!N571:N575)),AVERAGE('20250815_ETF_Options_Exhibits'!N571:N575),"")</f>
        <v/>
      </c>
      <c r="O575" s="3">
        <f>IF(ISNUMBER(AVERAGE('20250815_ETF_Options_Exhibits'!O571:O575)),AVERAGE('20250815_ETF_Options_Exhibits'!O571:O575),"")</f>
        <v/>
      </c>
      <c r="P575" s="3">
        <f>IF(ISNUMBER(AVERAGE('20250815_ETF_Options_Exhibits'!P571:P575)),AVERAGE('20250815_ETF_Options_Exhibits'!P571:P575),"")</f>
        <v/>
      </c>
      <c r="Q575" s="3">
        <f>IF(ISNUMBER(AVERAGE('20250815_ETF_Options_Exhibits'!Q571:Q575)),AVERAGE('20250815_ETF_Options_Exhibits'!Q571:Q575),"")</f>
        <v/>
      </c>
      <c r="R575" s="3">
        <f>IF(ISNUMBER(AVERAGE('20250815_ETF_Options_Exhibits'!R571:R575)),AVERAGE('20250815_ETF_Options_Exhibits'!R571:R575),"")</f>
        <v/>
      </c>
      <c r="S575" s="3">
        <f>IF(ISNUMBER(AVERAGE('20250815_ETF_Options_Exhibits'!S571:S575)),AVERAGE('20250815_ETF_Options_Exhibits'!S571:S575),"")</f>
        <v/>
      </c>
      <c r="T575" s="3">
        <f>IF(ISNUMBER(AVERAGE('20250815_ETF_Options_Exhibits'!T571:T575)),AVERAGE('20250815_ETF_Options_Exhibits'!T571:T575),"")</f>
        <v/>
      </c>
      <c r="U575" s="3">
        <f>IF(ISNUMBER(AVERAGE('20250815_ETF_Options_Exhibits'!U571:U575)),AVERAGE('20250815_ETF_Options_Exhibits'!U571:U575),"")</f>
        <v/>
      </c>
      <c r="V575" s="3">
        <f>IF(ISNUMBER(AVERAGE('20250815_ETF_Options_Exhibits'!V571:V575)),AVERAGE('20250815_ETF_Options_Exhibits'!V571:V575),"")</f>
        <v/>
      </c>
      <c r="W575" s="3">
        <f>IF(ISNUMBER(AVERAGE('20250815_ETF_Options_Exhibits'!W571:W575)),AVERAGE('20250815_ETF_Options_Exhibits'!W571:W575),"")</f>
        <v/>
      </c>
      <c r="X575" s="3">
        <f>IF(ISNUMBER(AVERAGE('20250815_ETF_Options_Exhibits'!X571:X575)),AVERAGE('20250815_ETF_Options_Exhibits'!X571:X575),"")</f>
        <v/>
      </c>
      <c r="Y575" s="3">
        <f>IF(ISNUMBER(AVERAGE('20250815_ETF_Options_Exhibits'!Y571:Y575)),AVERAGE('20250815_ETF_Options_Exhibits'!Y571:Y575),"")</f>
        <v/>
      </c>
      <c r="Z575" s="3">
        <f>IF(ISNUMBER(AVERAGE('20250815_ETF_Options_Exhibits'!Z571:Z575)),AVERAGE('20250815_ETF_Options_Exhibits'!Z571:Z575),"")</f>
        <v/>
      </c>
      <c r="AA575" s="3">
        <f>IF(ISNUMBER(AVERAGE('20250815_ETF_Options_Exhibits'!AA571:AA575)),AVERAGE('20250815_ETF_Options_Exhibits'!AA571:AA575),"")</f>
        <v/>
      </c>
    </row>
    <row r="576">
      <c r="A576" s="1" t="n">
        <v>42837</v>
      </c>
      <c r="B576" s="3">
        <f>IF(ISNUMBER(AVERAGE('20250815_ETF_Options_Exhibits'!B572:B576)),AVERAGE('20250815_ETF_Options_Exhibits'!B572:B576),"")</f>
        <v/>
      </c>
      <c r="C576" s="3">
        <f>IF(ISNUMBER(AVERAGE('20250815_ETF_Options_Exhibits'!C572:C576)),AVERAGE('20250815_ETF_Options_Exhibits'!C572:C576),"")</f>
        <v/>
      </c>
      <c r="D576" s="3">
        <f>IF(ISNUMBER(AVERAGE('20250815_ETF_Options_Exhibits'!D572:D576)),AVERAGE('20250815_ETF_Options_Exhibits'!D572:D576),"")</f>
        <v/>
      </c>
      <c r="E576" s="3">
        <f>IF(ISNUMBER(AVERAGE('20250815_ETF_Options_Exhibits'!E572:E576)),AVERAGE('20250815_ETF_Options_Exhibits'!E572:E576),"")</f>
        <v/>
      </c>
      <c r="F576" s="3">
        <f>IF(ISNUMBER(AVERAGE('20250815_ETF_Options_Exhibits'!F572:F576)),AVERAGE('20250815_ETF_Options_Exhibits'!F572:F576),"")</f>
        <v/>
      </c>
      <c r="G576" s="3">
        <f>IF(ISNUMBER(AVERAGE('20250815_ETF_Options_Exhibits'!G572:G576)),AVERAGE('20250815_ETF_Options_Exhibits'!G572:G576),"")</f>
        <v/>
      </c>
      <c r="H576" s="3">
        <f>IF(ISNUMBER(AVERAGE('20250815_ETF_Options_Exhibits'!H572:H576)),AVERAGE('20250815_ETF_Options_Exhibits'!H572:H576),"")</f>
        <v/>
      </c>
      <c r="I576" s="3">
        <f>IF(ISNUMBER(AVERAGE('20250815_ETF_Options_Exhibits'!I572:I576)),AVERAGE('20250815_ETF_Options_Exhibits'!I572:I576),"")</f>
        <v/>
      </c>
      <c r="J576" s="3">
        <f>IF(ISNUMBER(AVERAGE('20250815_ETF_Options_Exhibits'!J572:J576)),AVERAGE('20250815_ETF_Options_Exhibits'!J572:J576),"")</f>
        <v/>
      </c>
      <c r="K576" s="3">
        <f>IF(ISNUMBER(AVERAGE('20250815_ETF_Options_Exhibits'!K572:K576)),AVERAGE('20250815_ETF_Options_Exhibits'!K572:K576),"")</f>
        <v/>
      </c>
      <c r="L576" s="3">
        <f>IF(ISNUMBER(AVERAGE('20250815_ETF_Options_Exhibits'!L572:L576)),AVERAGE('20250815_ETF_Options_Exhibits'!L572:L576),"")</f>
        <v/>
      </c>
      <c r="M576" s="3">
        <f>IF(ISNUMBER(AVERAGE('20250815_ETF_Options_Exhibits'!M572:M576)),AVERAGE('20250815_ETF_Options_Exhibits'!M572:M576),"")</f>
        <v/>
      </c>
      <c r="N576" s="3">
        <f>IF(ISNUMBER(AVERAGE('20250815_ETF_Options_Exhibits'!N572:N576)),AVERAGE('20250815_ETF_Options_Exhibits'!N572:N576),"")</f>
        <v/>
      </c>
      <c r="O576" s="3">
        <f>IF(ISNUMBER(AVERAGE('20250815_ETF_Options_Exhibits'!O572:O576)),AVERAGE('20250815_ETF_Options_Exhibits'!O572:O576),"")</f>
        <v/>
      </c>
      <c r="P576" s="3">
        <f>IF(ISNUMBER(AVERAGE('20250815_ETF_Options_Exhibits'!P572:P576)),AVERAGE('20250815_ETF_Options_Exhibits'!P572:P576),"")</f>
        <v/>
      </c>
      <c r="Q576" s="3">
        <f>IF(ISNUMBER(AVERAGE('20250815_ETF_Options_Exhibits'!Q572:Q576)),AVERAGE('20250815_ETF_Options_Exhibits'!Q572:Q576),"")</f>
        <v/>
      </c>
      <c r="R576" s="3">
        <f>IF(ISNUMBER(AVERAGE('20250815_ETF_Options_Exhibits'!R572:R576)),AVERAGE('20250815_ETF_Options_Exhibits'!R572:R576),"")</f>
        <v/>
      </c>
      <c r="S576" s="3">
        <f>IF(ISNUMBER(AVERAGE('20250815_ETF_Options_Exhibits'!S572:S576)),AVERAGE('20250815_ETF_Options_Exhibits'!S572:S576),"")</f>
        <v/>
      </c>
      <c r="T576" s="3">
        <f>IF(ISNUMBER(AVERAGE('20250815_ETF_Options_Exhibits'!T572:T576)),AVERAGE('20250815_ETF_Options_Exhibits'!T572:T576),"")</f>
        <v/>
      </c>
      <c r="U576" s="3">
        <f>IF(ISNUMBER(AVERAGE('20250815_ETF_Options_Exhibits'!U572:U576)),AVERAGE('20250815_ETF_Options_Exhibits'!U572:U576),"")</f>
        <v/>
      </c>
      <c r="V576" s="3">
        <f>IF(ISNUMBER(AVERAGE('20250815_ETF_Options_Exhibits'!V572:V576)),AVERAGE('20250815_ETF_Options_Exhibits'!V572:V576),"")</f>
        <v/>
      </c>
      <c r="W576" s="3">
        <f>IF(ISNUMBER(AVERAGE('20250815_ETF_Options_Exhibits'!W572:W576)),AVERAGE('20250815_ETF_Options_Exhibits'!W572:W576),"")</f>
        <v/>
      </c>
      <c r="X576" s="3">
        <f>IF(ISNUMBER(AVERAGE('20250815_ETF_Options_Exhibits'!X572:X576)),AVERAGE('20250815_ETF_Options_Exhibits'!X572:X576),"")</f>
        <v/>
      </c>
      <c r="Y576" s="3">
        <f>IF(ISNUMBER(AVERAGE('20250815_ETF_Options_Exhibits'!Y572:Y576)),AVERAGE('20250815_ETF_Options_Exhibits'!Y572:Y576),"")</f>
        <v/>
      </c>
      <c r="Z576" s="3">
        <f>IF(ISNUMBER(AVERAGE('20250815_ETF_Options_Exhibits'!Z572:Z576)),AVERAGE('20250815_ETF_Options_Exhibits'!Z572:Z576),"")</f>
        <v/>
      </c>
      <c r="AA576" s="3">
        <f>IF(ISNUMBER(AVERAGE('20250815_ETF_Options_Exhibits'!AA572:AA576)),AVERAGE('20250815_ETF_Options_Exhibits'!AA572:AA576),"")</f>
        <v/>
      </c>
    </row>
    <row r="577">
      <c r="A577" s="1" t="n">
        <v>42838</v>
      </c>
      <c r="B577" s="3">
        <f>IF(ISNUMBER(AVERAGE('20250815_ETF_Options_Exhibits'!B573:B577)),AVERAGE('20250815_ETF_Options_Exhibits'!B573:B577),"")</f>
        <v/>
      </c>
      <c r="C577" s="3">
        <f>IF(ISNUMBER(AVERAGE('20250815_ETF_Options_Exhibits'!C573:C577)),AVERAGE('20250815_ETF_Options_Exhibits'!C573:C577),"")</f>
        <v/>
      </c>
      <c r="D577" s="3">
        <f>IF(ISNUMBER(AVERAGE('20250815_ETF_Options_Exhibits'!D573:D577)),AVERAGE('20250815_ETF_Options_Exhibits'!D573:D577),"")</f>
        <v/>
      </c>
      <c r="E577" s="3">
        <f>IF(ISNUMBER(AVERAGE('20250815_ETF_Options_Exhibits'!E573:E577)),AVERAGE('20250815_ETF_Options_Exhibits'!E573:E577),"")</f>
        <v/>
      </c>
      <c r="F577" s="3">
        <f>IF(ISNUMBER(AVERAGE('20250815_ETF_Options_Exhibits'!F573:F577)),AVERAGE('20250815_ETF_Options_Exhibits'!F573:F577),"")</f>
        <v/>
      </c>
      <c r="G577" s="3">
        <f>IF(ISNUMBER(AVERAGE('20250815_ETF_Options_Exhibits'!G573:G577)),AVERAGE('20250815_ETF_Options_Exhibits'!G573:G577),"")</f>
        <v/>
      </c>
      <c r="H577" s="3">
        <f>IF(ISNUMBER(AVERAGE('20250815_ETF_Options_Exhibits'!H573:H577)),AVERAGE('20250815_ETF_Options_Exhibits'!H573:H577),"")</f>
        <v/>
      </c>
      <c r="I577" s="3">
        <f>IF(ISNUMBER(AVERAGE('20250815_ETF_Options_Exhibits'!I573:I577)),AVERAGE('20250815_ETF_Options_Exhibits'!I573:I577),"")</f>
        <v/>
      </c>
      <c r="J577" s="3">
        <f>IF(ISNUMBER(AVERAGE('20250815_ETF_Options_Exhibits'!J573:J577)),AVERAGE('20250815_ETF_Options_Exhibits'!J573:J577),"")</f>
        <v/>
      </c>
      <c r="K577" s="3">
        <f>IF(ISNUMBER(AVERAGE('20250815_ETF_Options_Exhibits'!K573:K577)),AVERAGE('20250815_ETF_Options_Exhibits'!K573:K577),"")</f>
        <v/>
      </c>
      <c r="L577" s="3">
        <f>IF(ISNUMBER(AVERAGE('20250815_ETF_Options_Exhibits'!L573:L577)),AVERAGE('20250815_ETF_Options_Exhibits'!L573:L577),"")</f>
        <v/>
      </c>
      <c r="M577" s="3">
        <f>IF(ISNUMBER(AVERAGE('20250815_ETF_Options_Exhibits'!M573:M577)),AVERAGE('20250815_ETF_Options_Exhibits'!M573:M577),"")</f>
        <v/>
      </c>
      <c r="N577" s="3">
        <f>IF(ISNUMBER(AVERAGE('20250815_ETF_Options_Exhibits'!N573:N577)),AVERAGE('20250815_ETF_Options_Exhibits'!N573:N577),"")</f>
        <v/>
      </c>
      <c r="O577" s="3">
        <f>IF(ISNUMBER(AVERAGE('20250815_ETF_Options_Exhibits'!O573:O577)),AVERAGE('20250815_ETF_Options_Exhibits'!O573:O577),"")</f>
        <v/>
      </c>
      <c r="P577" s="3">
        <f>IF(ISNUMBER(AVERAGE('20250815_ETF_Options_Exhibits'!P573:P577)),AVERAGE('20250815_ETF_Options_Exhibits'!P573:P577),"")</f>
        <v/>
      </c>
      <c r="Q577" s="3">
        <f>IF(ISNUMBER(AVERAGE('20250815_ETF_Options_Exhibits'!Q573:Q577)),AVERAGE('20250815_ETF_Options_Exhibits'!Q573:Q577),"")</f>
        <v/>
      </c>
      <c r="R577" s="3">
        <f>IF(ISNUMBER(AVERAGE('20250815_ETF_Options_Exhibits'!R573:R577)),AVERAGE('20250815_ETF_Options_Exhibits'!R573:R577),"")</f>
        <v/>
      </c>
      <c r="S577" s="3">
        <f>IF(ISNUMBER(AVERAGE('20250815_ETF_Options_Exhibits'!S573:S577)),AVERAGE('20250815_ETF_Options_Exhibits'!S573:S577),"")</f>
        <v/>
      </c>
      <c r="T577" s="3">
        <f>IF(ISNUMBER(AVERAGE('20250815_ETF_Options_Exhibits'!T573:T577)),AVERAGE('20250815_ETF_Options_Exhibits'!T573:T577),"")</f>
        <v/>
      </c>
      <c r="U577" s="3">
        <f>IF(ISNUMBER(AVERAGE('20250815_ETF_Options_Exhibits'!U573:U577)),AVERAGE('20250815_ETF_Options_Exhibits'!U573:U577),"")</f>
        <v/>
      </c>
      <c r="V577" s="3">
        <f>IF(ISNUMBER(AVERAGE('20250815_ETF_Options_Exhibits'!V573:V577)),AVERAGE('20250815_ETF_Options_Exhibits'!V573:V577),"")</f>
        <v/>
      </c>
      <c r="W577" s="3">
        <f>IF(ISNUMBER(AVERAGE('20250815_ETF_Options_Exhibits'!W573:W577)),AVERAGE('20250815_ETF_Options_Exhibits'!W573:W577),"")</f>
        <v/>
      </c>
      <c r="X577" s="3">
        <f>IF(ISNUMBER(AVERAGE('20250815_ETF_Options_Exhibits'!X573:X577)),AVERAGE('20250815_ETF_Options_Exhibits'!X573:X577),"")</f>
        <v/>
      </c>
      <c r="Y577" s="3">
        <f>IF(ISNUMBER(AVERAGE('20250815_ETF_Options_Exhibits'!Y573:Y577)),AVERAGE('20250815_ETF_Options_Exhibits'!Y573:Y577),"")</f>
        <v/>
      </c>
      <c r="Z577" s="3">
        <f>IF(ISNUMBER(AVERAGE('20250815_ETF_Options_Exhibits'!Z573:Z577)),AVERAGE('20250815_ETF_Options_Exhibits'!Z573:Z577),"")</f>
        <v/>
      </c>
      <c r="AA577" s="3">
        <f>IF(ISNUMBER(AVERAGE('20250815_ETF_Options_Exhibits'!AA573:AA577)),AVERAGE('20250815_ETF_Options_Exhibits'!AA573:AA577),"")</f>
        <v/>
      </c>
    </row>
    <row r="578">
      <c r="A578" s="1" t="n">
        <v>42842</v>
      </c>
      <c r="B578" s="3">
        <f>IF(ISNUMBER(AVERAGE('20250815_ETF_Options_Exhibits'!B574:B578)),AVERAGE('20250815_ETF_Options_Exhibits'!B574:B578),"")</f>
        <v/>
      </c>
      <c r="C578" s="3">
        <f>IF(ISNUMBER(AVERAGE('20250815_ETF_Options_Exhibits'!C574:C578)),AVERAGE('20250815_ETF_Options_Exhibits'!C574:C578),"")</f>
        <v/>
      </c>
      <c r="D578" s="3">
        <f>IF(ISNUMBER(AVERAGE('20250815_ETF_Options_Exhibits'!D574:D578)),AVERAGE('20250815_ETF_Options_Exhibits'!D574:D578),"")</f>
        <v/>
      </c>
      <c r="E578" s="3">
        <f>IF(ISNUMBER(AVERAGE('20250815_ETF_Options_Exhibits'!E574:E578)),AVERAGE('20250815_ETF_Options_Exhibits'!E574:E578),"")</f>
        <v/>
      </c>
      <c r="F578" s="3">
        <f>IF(ISNUMBER(AVERAGE('20250815_ETF_Options_Exhibits'!F574:F578)),AVERAGE('20250815_ETF_Options_Exhibits'!F574:F578),"")</f>
        <v/>
      </c>
      <c r="G578" s="3">
        <f>IF(ISNUMBER(AVERAGE('20250815_ETF_Options_Exhibits'!G574:G578)),AVERAGE('20250815_ETF_Options_Exhibits'!G574:G578),"")</f>
        <v/>
      </c>
      <c r="H578" s="3">
        <f>IF(ISNUMBER(AVERAGE('20250815_ETF_Options_Exhibits'!H574:H578)),AVERAGE('20250815_ETF_Options_Exhibits'!H574:H578),"")</f>
        <v/>
      </c>
      <c r="I578" s="3">
        <f>IF(ISNUMBER(AVERAGE('20250815_ETF_Options_Exhibits'!I574:I578)),AVERAGE('20250815_ETF_Options_Exhibits'!I574:I578),"")</f>
        <v/>
      </c>
      <c r="J578" s="3">
        <f>IF(ISNUMBER(AVERAGE('20250815_ETF_Options_Exhibits'!J574:J578)),AVERAGE('20250815_ETF_Options_Exhibits'!J574:J578),"")</f>
        <v/>
      </c>
      <c r="K578" s="3">
        <f>IF(ISNUMBER(AVERAGE('20250815_ETF_Options_Exhibits'!K574:K578)),AVERAGE('20250815_ETF_Options_Exhibits'!K574:K578),"")</f>
        <v/>
      </c>
      <c r="L578" s="3">
        <f>IF(ISNUMBER(AVERAGE('20250815_ETF_Options_Exhibits'!L574:L578)),AVERAGE('20250815_ETF_Options_Exhibits'!L574:L578),"")</f>
        <v/>
      </c>
      <c r="M578" s="3">
        <f>IF(ISNUMBER(AVERAGE('20250815_ETF_Options_Exhibits'!M574:M578)),AVERAGE('20250815_ETF_Options_Exhibits'!M574:M578),"")</f>
        <v/>
      </c>
      <c r="N578" s="3">
        <f>IF(ISNUMBER(AVERAGE('20250815_ETF_Options_Exhibits'!N574:N578)),AVERAGE('20250815_ETF_Options_Exhibits'!N574:N578),"")</f>
        <v/>
      </c>
      <c r="O578" s="3">
        <f>IF(ISNUMBER(AVERAGE('20250815_ETF_Options_Exhibits'!O574:O578)),AVERAGE('20250815_ETF_Options_Exhibits'!O574:O578),"")</f>
        <v/>
      </c>
      <c r="P578" s="3">
        <f>IF(ISNUMBER(AVERAGE('20250815_ETF_Options_Exhibits'!P574:P578)),AVERAGE('20250815_ETF_Options_Exhibits'!P574:P578),"")</f>
        <v/>
      </c>
      <c r="Q578" s="3">
        <f>IF(ISNUMBER(AVERAGE('20250815_ETF_Options_Exhibits'!Q574:Q578)),AVERAGE('20250815_ETF_Options_Exhibits'!Q574:Q578),"")</f>
        <v/>
      </c>
      <c r="R578" s="3">
        <f>IF(ISNUMBER(AVERAGE('20250815_ETF_Options_Exhibits'!R574:R578)),AVERAGE('20250815_ETF_Options_Exhibits'!R574:R578),"")</f>
        <v/>
      </c>
      <c r="S578" s="3">
        <f>IF(ISNUMBER(AVERAGE('20250815_ETF_Options_Exhibits'!S574:S578)),AVERAGE('20250815_ETF_Options_Exhibits'!S574:S578),"")</f>
        <v/>
      </c>
      <c r="T578" s="3">
        <f>IF(ISNUMBER(AVERAGE('20250815_ETF_Options_Exhibits'!T574:T578)),AVERAGE('20250815_ETF_Options_Exhibits'!T574:T578),"")</f>
        <v/>
      </c>
      <c r="U578" s="3">
        <f>IF(ISNUMBER(AVERAGE('20250815_ETF_Options_Exhibits'!U574:U578)),AVERAGE('20250815_ETF_Options_Exhibits'!U574:U578),"")</f>
        <v/>
      </c>
      <c r="V578" s="3">
        <f>IF(ISNUMBER(AVERAGE('20250815_ETF_Options_Exhibits'!V574:V578)),AVERAGE('20250815_ETF_Options_Exhibits'!V574:V578),"")</f>
        <v/>
      </c>
      <c r="W578" s="3">
        <f>IF(ISNUMBER(AVERAGE('20250815_ETF_Options_Exhibits'!W574:W578)),AVERAGE('20250815_ETF_Options_Exhibits'!W574:W578),"")</f>
        <v/>
      </c>
      <c r="X578" s="3">
        <f>IF(ISNUMBER(AVERAGE('20250815_ETF_Options_Exhibits'!X574:X578)),AVERAGE('20250815_ETF_Options_Exhibits'!X574:X578),"")</f>
        <v/>
      </c>
      <c r="Y578" s="3">
        <f>IF(ISNUMBER(AVERAGE('20250815_ETF_Options_Exhibits'!Y574:Y578)),AVERAGE('20250815_ETF_Options_Exhibits'!Y574:Y578),"")</f>
        <v/>
      </c>
      <c r="Z578" s="3">
        <f>IF(ISNUMBER(AVERAGE('20250815_ETF_Options_Exhibits'!Z574:Z578)),AVERAGE('20250815_ETF_Options_Exhibits'!Z574:Z578),"")</f>
        <v/>
      </c>
      <c r="AA578" s="3">
        <f>IF(ISNUMBER(AVERAGE('20250815_ETF_Options_Exhibits'!AA574:AA578)),AVERAGE('20250815_ETF_Options_Exhibits'!AA574:AA578),"")</f>
        <v/>
      </c>
    </row>
    <row r="579">
      <c r="A579" s="1" t="n">
        <v>42843</v>
      </c>
      <c r="B579" s="3">
        <f>IF(ISNUMBER(AVERAGE('20250815_ETF_Options_Exhibits'!B575:B579)),AVERAGE('20250815_ETF_Options_Exhibits'!B575:B579),"")</f>
        <v/>
      </c>
      <c r="C579" s="3">
        <f>IF(ISNUMBER(AVERAGE('20250815_ETF_Options_Exhibits'!C575:C579)),AVERAGE('20250815_ETF_Options_Exhibits'!C575:C579),"")</f>
        <v/>
      </c>
      <c r="D579" s="3">
        <f>IF(ISNUMBER(AVERAGE('20250815_ETF_Options_Exhibits'!D575:D579)),AVERAGE('20250815_ETF_Options_Exhibits'!D575:D579),"")</f>
        <v/>
      </c>
      <c r="E579" s="3">
        <f>IF(ISNUMBER(AVERAGE('20250815_ETF_Options_Exhibits'!E575:E579)),AVERAGE('20250815_ETF_Options_Exhibits'!E575:E579),"")</f>
        <v/>
      </c>
      <c r="F579" s="3">
        <f>IF(ISNUMBER(AVERAGE('20250815_ETF_Options_Exhibits'!F575:F579)),AVERAGE('20250815_ETF_Options_Exhibits'!F575:F579),"")</f>
        <v/>
      </c>
      <c r="G579" s="3">
        <f>IF(ISNUMBER(AVERAGE('20250815_ETF_Options_Exhibits'!G575:G579)),AVERAGE('20250815_ETF_Options_Exhibits'!G575:G579),"")</f>
        <v/>
      </c>
      <c r="H579" s="3">
        <f>IF(ISNUMBER(AVERAGE('20250815_ETF_Options_Exhibits'!H575:H579)),AVERAGE('20250815_ETF_Options_Exhibits'!H575:H579),"")</f>
        <v/>
      </c>
      <c r="I579" s="3">
        <f>IF(ISNUMBER(AVERAGE('20250815_ETF_Options_Exhibits'!I575:I579)),AVERAGE('20250815_ETF_Options_Exhibits'!I575:I579),"")</f>
        <v/>
      </c>
      <c r="J579" s="3">
        <f>IF(ISNUMBER(AVERAGE('20250815_ETF_Options_Exhibits'!J575:J579)),AVERAGE('20250815_ETF_Options_Exhibits'!J575:J579),"")</f>
        <v/>
      </c>
      <c r="K579" s="3">
        <f>IF(ISNUMBER(AVERAGE('20250815_ETF_Options_Exhibits'!K575:K579)),AVERAGE('20250815_ETF_Options_Exhibits'!K575:K579),"")</f>
        <v/>
      </c>
      <c r="L579" s="3">
        <f>IF(ISNUMBER(AVERAGE('20250815_ETF_Options_Exhibits'!L575:L579)),AVERAGE('20250815_ETF_Options_Exhibits'!L575:L579),"")</f>
        <v/>
      </c>
      <c r="M579" s="3">
        <f>IF(ISNUMBER(AVERAGE('20250815_ETF_Options_Exhibits'!M575:M579)),AVERAGE('20250815_ETF_Options_Exhibits'!M575:M579),"")</f>
        <v/>
      </c>
      <c r="N579" s="3">
        <f>IF(ISNUMBER(AVERAGE('20250815_ETF_Options_Exhibits'!N575:N579)),AVERAGE('20250815_ETF_Options_Exhibits'!N575:N579),"")</f>
        <v/>
      </c>
      <c r="O579" s="3">
        <f>IF(ISNUMBER(AVERAGE('20250815_ETF_Options_Exhibits'!O575:O579)),AVERAGE('20250815_ETF_Options_Exhibits'!O575:O579),"")</f>
        <v/>
      </c>
      <c r="P579" s="3">
        <f>IF(ISNUMBER(AVERAGE('20250815_ETF_Options_Exhibits'!P575:P579)),AVERAGE('20250815_ETF_Options_Exhibits'!P575:P579),"")</f>
        <v/>
      </c>
      <c r="Q579" s="3">
        <f>IF(ISNUMBER(AVERAGE('20250815_ETF_Options_Exhibits'!Q575:Q579)),AVERAGE('20250815_ETF_Options_Exhibits'!Q575:Q579),"")</f>
        <v/>
      </c>
      <c r="R579" s="3">
        <f>IF(ISNUMBER(AVERAGE('20250815_ETF_Options_Exhibits'!R575:R579)),AVERAGE('20250815_ETF_Options_Exhibits'!R575:R579),"")</f>
        <v/>
      </c>
      <c r="S579" s="3">
        <f>IF(ISNUMBER(AVERAGE('20250815_ETF_Options_Exhibits'!S575:S579)),AVERAGE('20250815_ETF_Options_Exhibits'!S575:S579),"")</f>
        <v/>
      </c>
      <c r="T579" s="3">
        <f>IF(ISNUMBER(AVERAGE('20250815_ETF_Options_Exhibits'!T575:T579)),AVERAGE('20250815_ETF_Options_Exhibits'!T575:T579),"")</f>
        <v/>
      </c>
      <c r="U579" s="3">
        <f>IF(ISNUMBER(AVERAGE('20250815_ETF_Options_Exhibits'!U575:U579)),AVERAGE('20250815_ETF_Options_Exhibits'!U575:U579),"")</f>
        <v/>
      </c>
      <c r="V579" s="3">
        <f>IF(ISNUMBER(AVERAGE('20250815_ETF_Options_Exhibits'!V575:V579)),AVERAGE('20250815_ETF_Options_Exhibits'!V575:V579),"")</f>
        <v/>
      </c>
      <c r="W579" s="3">
        <f>IF(ISNUMBER(AVERAGE('20250815_ETF_Options_Exhibits'!W575:W579)),AVERAGE('20250815_ETF_Options_Exhibits'!W575:W579),"")</f>
        <v/>
      </c>
      <c r="X579" s="3">
        <f>IF(ISNUMBER(AVERAGE('20250815_ETF_Options_Exhibits'!X575:X579)),AVERAGE('20250815_ETF_Options_Exhibits'!X575:X579),"")</f>
        <v/>
      </c>
      <c r="Y579" s="3">
        <f>IF(ISNUMBER(AVERAGE('20250815_ETF_Options_Exhibits'!Y575:Y579)),AVERAGE('20250815_ETF_Options_Exhibits'!Y575:Y579),"")</f>
        <v/>
      </c>
      <c r="Z579" s="3">
        <f>IF(ISNUMBER(AVERAGE('20250815_ETF_Options_Exhibits'!Z575:Z579)),AVERAGE('20250815_ETF_Options_Exhibits'!Z575:Z579),"")</f>
        <v/>
      </c>
      <c r="AA579" s="3">
        <f>IF(ISNUMBER(AVERAGE('20250815_ETF_Options_Exhibits'!AA575:AA579)),AVERAGE('20250815_ETF_Options_Exhibits'!AA575:AA579),"")</f>
        <v/>
      </c>
    </row>
    <row r="580">
      <c r="A580" s="1" t="n">
        <v>42844</v>
      </c>
      <c r="B580" s="3">
        <f>IF(ISNUMBER(AVERAGE('20250815_ETF_Options_Exhibits'!B576:B580)),AVERAGE('20250815_ETF_Options_Exhibits'!B576:B580),"")</f>
        <v/>
      </c>
      <c r="C580" s="3">
        <f>IF(ISNUMBER(AVERAGE('20250815_ETF_Options_Exhibits'!C576:C580)),AVERAGE('20250815_ETF_Options_Exhibits'!C576:C580),"")</f>
        <v/>
      </c>
      <c r="D580" s="3">
        <f>IF(ISNUMBER(AVERAGE('20250815_ETF_Options_Exhibits'!D576:D580)),AVERAGE('20250815_ETF_Options_Exhibits'!D576:D580),"")</f>
        <v/>
      </c>
      <c r="E580" s="3">
        <f>IF(ISNUMBER(AVERAGE('20250815_ETF_Options_Exhibits'!E576:E580)),AVERAGE('20250815_ETF_Options_Exhibits'!E576:E580),"")</f>
        <v/>
      </c>
      <c r="F580" s="3">
        <f>IF(ISNUMBER(AVERAGE('20250815_ETF_Options_Exhibits'!F576:F580)),AVERAGE('20250815_ETF_Options_Exhibits'!F576:F580),"")</f>
        <v/>
      </c>
      <c r="G580" s="3">
        <f>IF(ISNUMBER(AVERAGE('20250815_ETF_Options_Exhibits'!G576:G580)),AVERAGE('20250815_ETF_Options_Exhibits'!G576:G580),"")</f>
        <v/>
      </c>
      <c r="H580" s="3">
        <f>IF(ISNUMBER(AVERAGE('20250815_ETF_Options_Exhibits'!H576:H580)),AVERAGE('20250815_ETF_Options_Exhibits'!H576:H580),"")</f>
        <v/>
      </c>
      <c r="I580" s="3">
        <f>IF(ISNUMBER(AVERAGE('20250815_ETF_Options_Exhibits'!I576:I580)),AVERAGE('20250815_ETF_Options_Exhibits'!I576:I580),"")</f>
        <v/>
      </c>
      <c r="J580" s="3">
        <f>IF(ISNUMBER(AVERAGE('20250815_ETF_Options_Exhibits'!J576:J580)),AVERAGE('20250815_ETF_Options_Exhibits'!J576:J580),"")</f>
        <v/>
      </c>
      <c r="K580" s="3">
        <f>IF(ISNUMBER(AVERAGE('20250815_ETF_Options_Exhibits'!K576:K580)),AVERAGE('20250815_ETF_Options_Exhibits'!K576:K580),"")</f>
        <v/>
      </c>
      <c r="L580" s="3">
        <f>IF(ISNUMBER(AVERAGE('20250815_ETF_Options_Exhibits'!L576:L580)),AVERAGE('20250815_ETF_Options_Exhibits'!L576:L580),"")</f>
        <v/>
      </c>
      <c r="M580" s="3">
        <f>IF(ISNUMBER(AVERAGE('20250815_ETF_Options_Exhibits'!M576:M580)),AVERAGE('20250815_ETF_Options_Exhibits'!M576:M580),"")</f>
        <v/>
      </c>
      <c r="N580" s="3">
        <f>IF(ISNUMBER(AVERAGE('20250815_ETF_Options_Exhibits'!N576:N580)),AVERAGE('20250815_ETF_Options_Exhibits'!N576:N580),"")</f>
        <v/>
      </c>
      <c r="O580" s="3">
        <f>IF(ISNUMBER(AVERAGE('20250815_ETF_Options_Exhibits'!O576:O580)),AVERAGE('20250815_ETF_Options_Exhibits'!O576:O580),"")</f>
        <v/>
      </c>
      <c r="P580" s="3">
        <f>IF(ISNUMBER(AVERAGE('20250815_ETF_Options_Exhibits'!P576:P580)),AVERAGE('20250815_ETF_Options_Exhibits'!P576:P580),"")</f>
        <v/>
      </c>
      <c r="Q580" s="3">
        <f>IF(ISNUMBER(AVERAGE('20250815_ETF_Options_Exhibits'!Q576:Q580)),AVERAGE('20250815_ETF_Options_Exhibits'!Q576:Q580),"")</f>
        <v/>
      </c>
      <c r="R580" s="3">
        <f>IF(ISNUMBER(AVERAGE('20250815_ETF_Options_Exhibits'!R576:R580)),AVERAGE('20250815_ETF_Options_Exhibits'!R576:R580),"")</f>
        <v/>
      </c>
      <c r="S580" s="3">
        <f>IF(ISNUMBER(AVERAGE('20250815_ETF_Options_Exhibits'!S576:S580)),AVERAGE('20250815_ETF_Options_Exhibits'!S576:S580),"")</f>
        <v/>
      </c>
      <c r="T580" s="3">
        <f>IF(ISNUMBER(AVERAGE('20250815_ETF_Options_Exhibits'!T576:T580)),AVERAGE('20250815_ETF_Options_Exhibits'!T576:T580),"")</f>
        <v/>
      </c>
      <c r="U580" s="3">
        <f>IF(ISNUMBER(AVERAGE('20250815_ETF_Options_Exhibits'!U576:U580)),AVERAGE('20250815_ETF_Options_Exhibits'!U576:U580),"")</f>
        <v/>
      </c>
      <c r="V580" s="3">
        <f>IF(ISNUMBER(AVERAGE('20250815_ETF_Options_Exhibits'!V576:V580)),AVERAGE('20250815_ETF_Options_Exhibits'!V576:V580),"")</f>
        <v/>
      </c>
      <c r="W580" s="3">
        <f>IF(ISNUMBER(AVERAGE('20250815_ETF_Options_Exhibits'!W576:W580)),AVERAGE('20250815_ETF_Options_Exhibits'!W576:W580),"")</f>
        <v/>
      </c>
      <c r="X580" s="3">
        <f>IF(ISNUMBER(AVERAGE('20250815_ETF_Options_Exhibits'!X576:X580)),AVERAGE('20250815_ETF_Options_Exhibits'!X576:X580),"")</f>
        <v/>
      </c>
      <c r="Y580" s="3">
        <f>IF(ISNUMBER(AVERAGE('20250815_ETF_Options_Exhibits'!Y576:Y580)),AVERAGE('20250815_ETF_Options_Exhibits'!Y576:Y580),"")</f>
        <v/>
      </c>
      <c r="Z580" s="3">
        <f>IF(ISNUMBER(AVERAGE('20250815_ETF_Options_Exhibits'!Z576:Z580)),AVERAGE('20250815_ETF_Options_Exhibits'!Z576:Z580),"")</f>
        <v/>
      </c>
      <c r="AA580" s="3">
        <f>IF(ISNUMBER(AVERAGE('20250815_ETF_Options_Exhibits'!AA576:AA580)),AVERAGE('20250815_ETF_Options_Exhibits'!AA576:AA580),"")</f>
        <v/>
      </c>
    </row>
    <row r="581">
      <c r="A581" s="1" t="n">
        <v>42845</v>
      </c>
      <c r="B581" s="3">
        <f>IF(ISNUMBER(AVERAGE('20250815_ETF_Options_Exhibits'!B577:B581)),AVERAGE('20250815_ETF_Options_Exhibits'!B577:B581),"")</f>
        <v/>
      </c>
      <c r="C581" s="3">
        <f>IF(ISNUMBER(AVERAGE('20250815_ETF_Options_Exhibits'!C577:C581)),AVERAGE('20250815_ETF_Options_Exhibits'!C577:C581),"")</f>
        <v/>
      </c>
      <c r="D581" s="3">
        <f>IF(ISNUMBER(AVERAGE('20250815_ETF_Options_Exhibits'!D577:D581)),AVERAGE('20250815_ETF_Options_Exhibits'!D577:D581),"")</f>
        <v/>
      </c>
      <c r="E581" s="3">
        <f>IF(ISNUMBER(AVERAGE('20250815_ETF_Options_Exhibits'!E577:E581)),AVERAGE('20250815_ETF_Options_Exhibits'!E577:E581),"")</f>
        <v/>
      </c>
      <c r="F581" s="3">
        <f>IF(ISNUMBER(AVERAGE('20250815_ETF_Options_Exhibits'!F577:F581)),AVERAGE('20250815_ETF_Options_Exhibits'!F577:F581),"")</f>
        <v/>
      </c>
      <c r="G581" s="3">
        <f>IF(ISNUMBER(AVERAGE('20250815_ETF_Options_Exhibits'!G577:G581)),AVERAGE('20250815_ETF_Options_Exhibits'!G577:G581),"")</f>
        <v/>
      </c>
      <c r="H581" s="3">
        <f>IF(ISNUMBER(AVERAGE('20250815_ETF_Options_Exhibits'!H577:H581)),AVERAGE('20250815_ETF_Options_Exhibits'!H577:H581),"")</f>
        <v/>
      </c>
      <c r="I581" s="3">
        <f>IF(ISNUMBER(AVERAGE('20250815_ETF_Options_Exhibits'!I577:I581)),AVERAGE('20250815_ETF_Options_Exhibits'!I577:I581),"")</f>
        <v/>
      </c>
      <c r="J581" s="3">
        <f>IF(ISNUMBER(AVERAGE('20250815_ETF_Options_Exhibits'!J577:J581)),AVERAGE('20250815_ETF_Options_Exhibits'!J577:J581),"")</f>
        <v/>
      </c>
      <c r="K581" s="3">
        <f>IF(ISNUMBER(AVERAGE('20250815_ETF_Options_Exhibits'!K577:K581)),AVERAGE('20250815_ETF_Options_Exhibits'!K577:K581),"")</f>
        <v/>
      </c>
      <c r="L581" s="3">
        <f>IF(ISNUMBER(AVERAGE('20250815_ETF_Options_Exhibits'!L577:L581)),AVERAGE('20250815_ETF_Options_Exhibits'!L577:L581),"")</f>
        <v/>
      </c>
      <c r="M581" s="3">
        <f>IF(ISNUMBER(AVERAGE('20250815_ETF_Options_Exhibits'!M577:M581)),AVERAGE('20250815_ETF_Options_Exhibits'!M577:M581),"")</f>
        <v/>
      </c>
      <c r="N581" s="3">
        <f>IF(ISNUMBER(AVERAGE('20250815_ETF_Options_Exhibits'!N577:N581)),AVERAGE('20250815_ETF_Options_Exhibits'!N577:N581),"")</f>
        <v/>
      </c>
      <c r="O581" s="3">
        <f>IF(ISNUMBER(AVERAGE('20250815_ETF_Options_Exhibits'!O577:O581)),AVERAGE('20250815_ETF_Options_Exhibits'!O577:O581),"")</f>
        <v/>
      </c>
      <c r="P581" s="3">
        <f>IF(ISNUMBER(AVERAGE('20250815_ETF_Options_Exhibits'!P577:P581)),AVERAGE('20250815_ETF_Options_Exhibits'!P577:P581),"")</f>
        <v/>
      </c>
      <c r="Q581" s="3">
        <f>IF(ISNUMBER(AVERAGE('20250815_ETF_Options_Exhibits'!Q577:Q581)),AVERAGE('20250815_ETF_Options_Exhibits'!Q577:Q581),"")</f>
        <v/>
      </c>
      <c r="R581" s="3">
        <f>IF(ISNUMBER(AVERAGE('20250815_ETF_Options_Exhibits'!R577:R581)),AVERAGE('20250815_ETF_Options_Exhibits'!R577:R581),"")</f>
        <v/>
      </c>
      <c r="S581" s="3">
        <f>IF(ISNUMBER(AVERAGE('20250815_ETF_Options_Exhibits'!S577:S581)),AVERAGE('20250815_ETF_Options_Exhibits'!S577:S581),"")</f>
        <v/>
      </c>
      <c r="T581" s="3">
        <f>IF(ISNUMBER(AVERAGE('20250815_ETF_Options_Exhibits'!T577:T581)),AVERAGE('20250815_ETF_Options_Exhibits'!T577:T581),"")</f>
        <v/>
      </c>
      <c r="U581" s="3">
        <f>IF(ISNUMBER(AVERAGE('20250815_ETF_Options_Exhibits'!U577:U581)),AVERAGE('20250815_ETF_Options_Exhibits'!U577:U581),"")</f>
        <v/>
      </c>
      <c r="V581" s="3">
        <f>IF(ISNUMBER(AVERAGE('20250815_ETF_Options_Exhibits'!V577:V581)),AVERAGE('20250815_ETF_Options_Exhibits'!V577:V581),"")</f>
        <v/>
      </c>
      <c r="W581" s="3">
        <f>IF(ISNUMBER(AVERAGE('20250815_ETF_Options_Exhibits'!W577:W581)),AVERAGE('20250815_ETF_Options_Exhibits'!W577:W581),"")</f>
        <v/>
      </c>
      <c r="X581" s="3">
        <f>IF(ISNUMBER(AVERAGE('20250815_ETF_Options_Exhibits'!X577:X581)),AVERAGE('20250815_ETF_Options_Exhibits'!X577:X581),"")</f>
        <v/>
      </c>
      <c r="Y581" s="3">
        <f>IF(ISNUMBER(AVERAGE('20250815_ETF_Options_Exhibits'!Y577:Y581)),AVERAGE('20250815_ETF_Options_Exhibits'!Y577:Y581),"")</f>
        <v/>
      </c>
      <c r="Z581" s="3">
        <f>IF(ISNUMBER(AVERAGE('20250815_ETF_Options_Exhibits'!Z577:Z581)),AVERAGE('20250815_ETF_Options_Exhibits'!Z577:Z581),"")</f>
        <v/>
      </c>
      <c r="AA581" s="3">
        <f>IF(ISNUMBER(AVERAGE('20250815_ETF_Options_Exhibits'!AA577:AA581)),AVERAGE('20250815_ETF_Options_Exhibits'!AA577:AA581),"")</f>
        <v/>
      </c>
    </row>
    <row r="582">
      <c r="A582" s="1" t="n">
        <v>42846</v>
      </c>
      <c r="B582" s="3">
        <f>IF(ISNUMBER(AVERAGE('20250815_ETF_Options_Exhibits'!B578:B582)),AVERAGE('20250815_ETF_Options_Exhibits'!B578:B582),"")</f>
        <v/>
      </c>
      <c r="C582" s="3">
        <f>IF(ISNUMBER(AVERAGE('20250815_ETF_Options_Exhibits'!C578:C582)),AVERAGE('20250815_ETF_Options_Exhibits'!C578:C582),"")</f>
        <v/>
      </c>
      <c r="D582" s="3">
        <f>IF(ISNUMBER(AVERAGE('20250815_ETF_Options_Exhibits'!D578:D582)),AVERAGE('20250815_ETF_Options_Exhibits'!D578:D582),"")</f>
        <v/>
      </c>
      <c r="E582" s="3">
        <f>IF(ISNUMBER(AVERAGE('20250815_ETF_Options_Exhibits'!E578:E582)),AVERAGE('20250815_ETF_Options_Exhibits'!E578:E582),"")</f>
        <v/>
      </c>
      <c r="F582" s="3">
        <f>IF(ISNUMBER(AVERAGE('20250815_ETF_Options_Exhibits'!F578:F582)),AVERAGE('20250815_ETF_Options_Exhibits'!F578:F582),"")</f>
        <v/>
      </c>
      <c r="G582" s="3">
        <f>IF(ISNUMBER(AVERAGE('20250815_ETF_Options_Exhibits'!G578:G582)),AVERAGE('20250815_ETF_Options_Exhibits'!G578:G582),"")</f>
        <v/>
      </c>
      <c r="H582" s="3">
        <f>IF(ISNUMBER(AVERAGE('20250815_ETF_Options_Exhibits'!H578:H582)),AVERAGE('20250815_ETF_Options_Exhibits'!H578:H582),"")</f>
        <v/>
      </c>
      <c r="I582" s="3">
        <f>IF(ISNUMBER(AVERAGE('20250815_ETF_Options_Exhibits'!I578:I582)),AVERAGE('20250815_ETF_Options_Exhibits'!I578:I582),"")</f>
        <v/>
      </c>
      <c r="J582" s="3">
        <f>IF(ISNUMBER(AVERAGE('20250815_ETF_Options_Exhibits'!J578:J582)),AVERAGE('20250815_ETF_Options_Exhibits'!J578:J582),"")</f>
        <v/>
      </c>
      <c r="K582" s="3">
        <f>IF(ISNUMBER(AVERAGE('20250815_ETF_Options_Exhibits'!K578:K582)),AVERAGE('20250815_ETF_Options_Exhibits'!K578:K582),"")</f>
        <v/>
      </c>
      <c r="L582" s="3">
        <f>IF(ISNUMBER(AVERAGE('20250815_ETF_Options_Exhibits'!L578:L582)),AVERAGE('20250815_ETF_Options_Exhibits'!L578:L582),"")</f>
        <v/>
      </c>
      <c r="M582" s="3">
        <f>IF(ISNUMBER(AVERAGE('20250815_ETF_Options_Exhibits'!M578:M582)),AVERAGE('20250815_ETF_Options_Exhibits'!M578:M582),"")</f>
        <v/>
      </c>
      <c r="N582" s="3">
        <f>IF(ISNUMBER(AVERAGE('20250815_ETF_Options_Exhibits'!N578:N582)),AVERAGE('20250815_ETF_Options_Exhibits'!N578:N582),"")</f>
        <v/>
      </c>
      <c r="O582" s="3">
        <f>IF(ISNUMBER(AVERAGE('20250815_ETF_Options_Exhibits'!O578:O582)),AVERAGE('20250815_ETF_Options_Exhibits'!O578:O582),"")</f>
        <v/>
      </c>
      <c r="P582" s="3">
        <f>IF(ISNUMBER(AVERAGE('20250815_ETF_Options_Exhibits'!P578:P582)),AVERAGE('20250815_ETF_Options_Exhibits'!P578:P582),"")</f>
        <v/>
      </c>
      <c r="Q582" s="3">
        <f>IF(ISNUMBER(AVERAGE('20250815_ETF_Options_Exhibits'!Q578:Q582)),AVERAGE('20250815_ETF_Options_Exhibits'!Q578:Q582),"")</f>
        <v/>
      </c>
      <c r="R582" s="3">
        <f>IF(ISNUMBER(AVERAGE('20250815_ETF_Options_Exhibits'!R578:R582)),AVERAGE('20250815_ETF_Options_Exhibits'!R578:R582),"")</f>
        <v/>
      </c>
      <c r="S582" s="3">
        <f>IF(ISNUMBER(AVERAGE('20250815_ETF_Options_Exhibits'!S578:S582)),AVERAGE('20250815_ETF_Options_Exhibits'!S578:S582),"")</f>
        <v/>
      </c>
      <c r="T582" s="3">
        <f>IF(ISNUMBER(AVERAGE('20250815_ETF_Options_Exhibits'!T578:T582)),AVERAGE('20250815_ETF_Options_Exhibits'!T578:T582),"")</f>
        <v/>
      </c>
      <c r="U582" s="3">
        <f>IF(ISNUMBER(AVERAGE('20250815_ETF_Options_Exhibits'!U578:U582)),AVERAGE('20250815_ETF_Options_Exhibits'!U578:U582),"")</f>
        <v/>
      </c>
      <c r="V582" s="3">
        <f>IF(ISNUMBER(AVERAGE('20250815_ETF_Options_Exhibits'!V578:V582)),AVERAGE('20250815_ETF_Options_Exhibits'!V578:V582),"")</f>
        <v/>
      </c>
      <c r="W582" s="3">
        <f>IF(ISNUMBER(AVERAGE('20250815_ETF_Options_Exhibits'!W578:W582)),AVERAGE('20250815_ETF_Options_Exhibits'!W578:W582),"")</f>
        <v/>
      </c>
      <c r="X582" s="3">
        <f>IF(ISNUMBER(AVERAGE('20250815_ETF_Options_Exhibits'!X578:X582)),AVERAGE('20250815_ETF_Options_Exhibits'!X578:X582),"")</f>
        <v/>
      </c>
      <c r="Y582" s="3">
        <f>IF(ISNUMBER(AVERAGE('20250815_ETF_Options_Exhibits'!Y578:Y582)),AVERAGE('20250815_ETF_Options_Exhibits'!Y578:Y582),"")</f>
        <v/>
      </c>
      <c r="Z582" s="3">
        <f>IF(ISNUMBER(AVERAGE('20250815_ETF_Options_Exhibits'!Z578:Z582)),AVERAGE('20250815_ETF_Options_Exhibits'!Z578:Z582),"")</f>
        <v/>
      </c>
      <c r="AA582" s="3">
        <f>IF(ISNUMBER(AVERAGE('20250815_ETF_Options_Exhibits'!AA578:AA582)),AVERAGE('20250815_ETF_Options_Exhibits'!AA578:AA582),"")</f>
        <v/>
      </c>
    </row>
    <row r="583">
      <c r="A583" s="1" t="n">
        <v>42849</v>
      </c>
      <c r="B583" s="3">
        <f>IF(ISNUMBER(AVERAGE('20250815_ETF_Options_Exhibits'!B579:B583)),AVERAGE('20250815_ETF_Options_Exhibits'!B579:B583),"")</f>
        <v/>
      </c>
      <c r="C583" s="3">
        <f>IF(ISNUMBER(AVERAGE('20250815_ETF_Options_Exhibits'!C579:C583)),AVERAGE('20250815_ETF_Options_Exhibits'!C579:C583),"")</f>
        <v/>
      </c>
      <c r="D583" s="3">
        <f>IF(ISNUMBER(AVERAGE('20250815_ETF_Options_Exhibits'!D579:D583)),AVERAGE('20250815_ETF_Options_Exhibits'!D579:D583),"")</f>
        <v/>
      </c>
      <c r="E583" s="3">
        <f>IF(ISNUMBER(AVERAGE('20250815_ETF_Options_Exhibits'!E579:E583)),AVERAGE('20250815_ETF_Options_Exhibits'!E579:E583),"")</f>
        <v/>
      </c>
      <c r="F583" s="3">
        <f>IF(ISNUMBER(AVERAGE('20250815_ETF_Options_Exhibits'!F579:F583)),AVERAGE('20250815_ETF_Options_Exhibits'!F579:F583),"")</f>
        <v/>
      </c>
      <c r="G583" s="3">
        <f>IF(ISNUMBER(AVERAGE('20250815_ETF_Options_Exhibits'!G579:G583)),AVERAGE('20250815_ETF_Options_Exhibits'!G579:G583),"")</f>
        <v/>
      </c>
      <c r="H583" s="3">
        <f>IF(ISNUMBER(AVERAGE('20250815_ETF_Options_Exhibits'!H579:H583)),AVERAGE('20250815_ETF_Options_Exhibits'!H579:H583),"")</f>
        <v/>
      </c>
      <c r="I583" s="3">
        <f>IF(ISNUMBER(AVERAGE('20250815_ETF_Options_Exhibits'!I579:I583)),AVERAGE('20250815_ETF_Options_Exhibits'!I579:I583),"")</f>
        <v/>
      </c>
      <c r="J583" s="3">
        <f>IF(ISNUMBER(AVERAGE('20250815_ETF_Options_Exhibits'!J579:J583)),AVERAGE('20250815_ETF_Options_Exhibits'!J579:J583),"")</f>
        <v/>
      </c>
      <c r="K583" s="3">
        <f>IF(ISNUMBER(AVERAGE('20250815_ETF_Options_Exhibits'!K579:K583)),AVERAGE('20250815_ETF_Options_Exhibits'!K579:K583),"")</f>
        <v/>
      </c>
      <c r="L583" s="3">
        <f>IF(ISNUMBER(AVERAGE('20250815_ETF_Options_Exhibits'!L579:L583)),AVERAGE('20250815_ETF_Options_Exhibits'!L579:L583),"")</f>
        <v/>
      </c>
      <c r="M583" s="3">
        <f>IF(ISNUMBER(AVERAGE('20250815_ETF_Options_Exhibits'!M579:M583)),AVERAGE('20250815_ETF_Options_Exhibits'!M579:M583),"")</f>
        <v/>
      </c>
      <c r="N583" s="3">
        <f>IF(ISNUMBER(AVERAGE('20250815_ETF_Options_Exhibits'!N579:N583)),AVERAGE('20250815_ETF_Options_Exhibits'!N579:N583),"")</f>
        <v/>
      </c>
      <c r="O583" s="3">
        <f>IF(ISNUMBER(AVERAGE('20250815_ETF_Options_Exhibits'!O579:O583)),AVERAGE('20250815_ETF_Options_Exhibits'!O579:O583),"")</f>
        <v/>
      </c>
      <c r="P583" s="3">
        <f>IF(ISNUMBER(AVERAGE('20250815_ETF_Options_Exhibits'!P579:P583)),AVERAGE('20250815_ETF_Options_Exhibits'!P579:P583),"")</f>
        <v/>
      </c>
      <c r="Q583" s="3">
        <f>IF(ISNUMBER(AVERAGE('20250815_ETF_Options_Exhibits'!Q579:Q583)),AVERAGE('20250815_ETF_Options_Exhibits'!Q579:Q583),"")</f>
        <v/>
      </c>
      <c r="R583" s="3">
        <f>IF(ISNUMBER(AVERAGE('20250815_ETF_Options_Exhibits'!R579:R583)),AVERAGE('20250815_ETF_Options_Exhibits'!R579:R583),"")</f>
        <v/>
      </c>
      <c r="S583" s="3">
        <f>IF(ISNUMBER(AVERAGE('20250815_ETF_Options_Exhibits'!S579:S583)),AVERAGE('20250815_ETF_Options_Exhibits'!S579:S583),"")</f>
        <v/>
      </c>
      <c r="T583" s="3">
        <f>IF(ISNUMBER(AVERAGE('20250815_ETF_Options_Exhibits'!T579:T583)),AVERAGE('20250815_ETF_Options_Exhibits'!T579:T583),"")</f>
        <v/>
      </c>
      <c r="U583" s="3">
        <f>IF(ISNUMBER(AVERAGE('20250815_ETF_Options_Exhibits'!U579:U583)),AVERAGE('20250815_ETF_Options_Exhibits'!U579:U583),"")</f>
        <v/>
      </c>
      <c r="V583" s="3">
        <f>IF(ISNUMBER(AVERAGE('20250815_ETF_Options_Exhibits'!V579:V583)),AVERAGE('20250815_ETF_Options_Exhibits'!V579:V583),"")</f>
        <v/>
      </c>
      <c r="W583" s="3">
        <f>IF(ISNUMBER(AVERAGE('20250815_ETF_Options_Exhibits'!W579:W583)),AVERAGE('20250815_ETF_Options_Exhibits'!W579:W583),"")</f>
        <v/>
      </c>
      <c r="X583" s="3">
        <f>IF(ISNUMBER(AVERAGE('20250815_ETF_Options_Exhibits'!X579:X583)),AVERAGE('20250815_ETF_Options_Exhibits'!X579:X583),"")</f>
        <v/>
      </c>
      <c r="Y583" s="3">
        <f>IF(ISNUMBER(AVERAGE('20250815_ETF_Options_Exhibits'!Y579:Y583)),AVERAGE('20250815_ETF_Options_Exhibits'!Y579:Y583),"")</f>
        <v/>
      </c>
      <c r="Z583" s="3">
        <f>IF(ISNUMBER(AVERAGE('20250815_ETF_Options_Exhibits'!Z579:Z583)),AVERAGE('20250815_ETF_Options_Exhibits'!Z579:Z583),"")</f>
        <v/>
      </c>
      <c r="AA583" s="3">
        <f>IF(ISNUMBER(AVERAGE('20250815_ETF_Options_Exhibits'!AA579:AA583)),AVERAGE('20250815_ETF_Options_Exhibits'!AA579:AA583),"")</f>
        <v/>
      </c>
    </row>
    <row r="584">
      <c r="A584" s="1" t="n">
        <v>42850</v>
      </c>
      <c r="B584" s="3">
        <f>IF(ISNUMBER(AVERAGE('20250815_ETF_Options_Exhibits'!B580:B584)),AVERAGE('20250815_ETF_Options_Exhibits'!B580:B584),"")</f>
        <v/>
      </c>
      <c r="C584" s="3">
        <f>IF(ISNUMBER(AVERAGE('20250815_ETF_Options_Exhibits'!C580:C584)),AVERAGE('20250815_ETF_Options_Exhibits'!C580:C584),"")</f>
        <v/>
      </c>
      <c r="D584" s="3">
        <f>IF(ISNUMBER(AVERAGE('20250815_ETF_Options_Exhibits'!D580:D584)),AVERAGE('20250815_ETF_Options_Exhibits'!D580:D584),"")</f>
        <v/>
      </c>
      <c r="E584" s="3">
        <f>IF(ISNUMBER(AVERAGE('20250815_ETF_Options_Exhibits'!E580:E584)),AVERAGE('20250815_ETF_Options_Exhibits'!E580:E584),"")</f>
        <v/>
      </c>
      <c r="F584" s="3">
        <f>IF(ISNUMBER(AVERAGE('20250815_ETF_Options_Exhibits'!F580:F584)),AVERAGE('20250815_ETF_Options_Exhibits'!F580:F584),"")</f>
        <v/>
      </c>
      <c r="G584" s="3">
        <f>IF(ISNUMBER(AVERAGE('20250815_ETF_Options_Exhibits'!G580:G584)),AVERAGE('20250815_ETF_Options_Exhibits'!G580:G584),"")</f>
        <v/>
      </c>
      <c r="H584" s="3">
        <f>IF(ISNUMBER(AVERAGE('20250815_ETF_Options_Exhibits'!H580:H584)),AVERAGE('20250815_ETF_Options_Exhibits'!H580:H584),"")</f>
        <v/>
      </c>
      <c r="I584" s="3">
        <f>IF(ISNUMBER(AVERAGE('20250815_ETF_Options_Exhibits'!I580:I584)),AVERAGE('20250815_ETF_Options_Exhibits'!I580:I584),"")</f>
        <v/>
      </c>
      <c r="J584" s="3">
        <f>IF(ISNUMBER(AVERAGE('20250815_ETF_Options_Exhibits'!J580:J584)),AVERAGE('20250815_ETF_Options_Exhibits'!J580:J584),"")</f>
        <v/>
      </c>
      <c r="K584" s="3">
        <f>IF(ISNUMBER(AVERAGE('20250815_ETF_Options_Exhibits'!K580:K584)),AVERAGE('20250815_ETF_Options_Exhibits'!K580:K584),"")</f>
        <v/>
      </c>
      <c r="L584" s="3">
        <f>IF(ISNUMBER(AVERAGE('20250815_ETF_Options_Exhibits'!L580:L584)),AVERAGE('20250815_ETF_Options_Exhibits'!L580:L584),"")</f>
        <v/>
      </c>
      <c r="M584" s="3">
        <f>IF(ISNUMBER(AVERAGE('20250815_ETF_Options_Exhibits'!M580:M584)),AVERAGE('20250815_ETF_Options_Exhibits'!M580:M584),"")</f>
        <v/>
      </c>
      <c r="N584" s="3">
        <f>IF(ISNUMBER(AVERAGE('20250815_ETF_Options_Exhibits'!N580:N584)),AVERAGE('20250815_ETF_Options_Exhibits'!N580:N584),"")</f>
        <v/>
      </c>
      <c r="O584" s="3">
        <f>IF(ISNUMBER(AVERAGE('20250815_ETF_Options_Exhibits'!O580:O584)),AVERAGE('20250815_ETF_Options_Exhibits'!O580:O584),"")</f>
        <v/>
      </c>
      <c r="P584" s="3">
        <f>IF(ISNUMBER(AVERAGE('20250815_ETF_Options_Exhibits'!P580:P584)),AVERAGE('20250815_ETF_Options_Exhibits'!P580:P584),"")</f>
        <v/>
      </c>
      <c r="Q584" s="3">
        <f>IF(ISNUMBER(AVERAGE('20250815_ETF_Options_Exhibits'!Q580:Q584)),AVERAGE('20250815_ETF_Options_Exhibits'!Q580:Q584),"")</f>
        <v/>
      </c>
      <c r="R584" s="3">
        <f>IF(ISNUMBER(AVERAGE('20250815_ETF_Options_Exhibits'!R580:R584)),AVERAGE('20250815_ETF_Options_Exhibits'!R580:R584),"")</f>
        <v/>
      </c>
      <c r="S584" s="3">
        <f>IF(ISNUMBER(AVERAGE('20250815_ETF_Options_Exhibits'!S580:S584)),AVERAGE('20250815_ETF_Options_Exhibits'!S580:S584),"")</f>
        <v/>
      </c>
      <c r="T584" s="3">
        <f>IF(ISNUMBER(AVERAGE('20250815_ETF_Options_Exhibits'!T580:T584)),AVERAGE('20250815_ETF_Options_Exhibits'!T580:T584),"")</f>
        <v/>
      </c>
      <c r="U584" s="3">
        <f>IF(ISNUMBER(AVERAGE('20250815_ETF_Options_Exhibits'!U580:U584)),AVERAGE('20250815_ETF_Options_Exhibits'!U580:U584),"")</f>
        <v/>
      </c>
      <c r="V584" s="3">
        <f>IF(ISNUMBER(AVERAGE('20250815_ETF_Options_Exhibits'!V580:V584)),AVERAGE('20250815_ETF_Options_Exhibits'!V580:V584),"")</f>
        <v/>
      </c>
      <c r="W584" s="3">
        <f>IF(ISNUMBER(AVERAGE('20250815_ETF_Options_Exhibits'!W580:W584)),AVERAGE('20250815_ETF_Options_Exhibits'!W580:W584),"")</f>
        <v/>
      </c>
      <c r="X584" s="3">
        <f>IF(ISNUMBER(AVERAGE('20250815_ETF_Options_Exhibits'!X580:X584)),AVERAGE('20250815_ETF_Options_Exhibits'!X580:X584),"")</f>
        <v/>
      </c>
      <c r="Y584" s="3">
        <f>IF(ISNUMBER(AVERAGE('20250815_ETF_Options_Exhibits'!Y580:Y584)),AVERAGE('20250815_ETF_Options_Exhibits'!Y580:Y584),"")</f>
        <v/>
      </c>
      <c r="Z584" s="3">
        <f>IF(ISNUMBER(AVERAGE('20250815_ETF_Options_Exhibits'!Z580:Z584)),AVERAGE('20250815_ETF_Options_Exhibits'!Z580:Z584),"")</f>
        <v/>
      </c>
      <c r="AA584" s="3">
        <f>IF(ISNUMBER(AVERAGE('20250815_ETF_Options_Exhibits'!AA580:AA584)),AVERAGE('20250815_ETF_Options_Exhibits'!AA580:AA584),"")</f>
        <v/>
      </c>
    </row>
    <row r="585">
      <c r="A585" s="1" t="n">
        <v>42851</v>
      </c>
      <c r="B585" s="3">
        <f>IF(ISNUMBER(AVERAGE('20250815_ETF_Options_Exhibits'!B581:B585)),AVERAGE('20250815_ETF_Options_Exhibits'!B581:B585),"")</f>
        <v/>
      </c>
      <c r="C585" s="3">
        <f>IF(ISNUMBER(AVERAGE('20250815_ETF_Options_Exhibits'!C581:C585)),AVERAGE('20250815_ETF_Options_Exhibits'!C581:C585),"")</f>
        <v/>
      </c>
      <c r="D585" s="3">
        <f>IF(ISNUMBER(AVERAGE('20250815_ETF_Options_Exhibits'!D581:D585)),AVERAGE('20250815_ETF_Options_Exhibits'!D581:D585),"")</f>
        <v/>
      </c>
      <c r="E585" s="3">
        <f>IF(ISNUMBER(AVERAGE('20250815_ETF_Options_Exhibits'!E581:E585)),AVERAGE('20250815_ETF_Options_Exhibits'!E581:E585),"")</f>
        <v/>
      </c>
      <c r="F585" s="3">
        <f>IF(ISNUMBER(AVERAGE('20250815_ETF_Options_Exhibits'!F581:F585)),AVERAGE('20250815_ETF_Options_Exhibits'!F581:F585),"")</f>
        <v/>
      </c>
      <c r="G585" s="3">
        <f>IF(ISNUMBER(AVERAGE('20250815_ETF_Options_Exhibits'!G581:G585)),AVERAGE('20250815_ETF_Options_Exhibits'!G581:G585),"")</f>
        <v/>
      </c>
      <c r="H585" s="3">
        <f>IF(ISNUMBER(AVERAGE('20250815_ETF_Options_Exhibits'!H581:H585)),AVERAGE('20250815_ETF_Options_Exhibits'!H581:H585),"")</f>
        <v/>
      </c>
      <c r="I585" s="3">
        <f>IF(ISNUMBER(AVERAGE('20250815_ETF_Options_Exhibits'!I581:I585)),AVERAGE('20250815_ETF_Options_Exhibits'!I581:I585),"")</f>
        <v/>
      </c>
      <c r="J585" s="3">
        <f>IF(ISNUMBER(AVERAGE('20250815_ETF_Options_Exhibits'!J581:J585)),AVERAGE('20250815_ETF_Options_Exhibits'!J581:J585),"")</f>
        <v/>
      </c>
      <c r="K585" s="3">
        <f>IF(ISNUMBER(AVERAGE('20250815_ETF_Options_Exhibits'!K581:K585)),AVERAGE('20250815_ETF_Options_Exhibits'!K581:K585),"")</f>
        <v/>
      </c>
      <c r="L585" s="3">
        <f>IF(ISNUMBER(AVERAGE('20250815_ETF_Options_Exhibits'!L581:L585)),AVERAGE('20250815_ETF_Options_Exhibits'!L581:L585),"")</f>
        <v/>
      </c>
      <c r="M585" s="3">
        <f>IF(ISNUMBER(AVERAGE('20250815_ETF_Options_Exhibits'!M581:M585)),AVERAGE('20250815_ETF_Options_Exhibits'!M581:M585),"")</f>
        <v/>
      </c>
      <c r="N585" s="3">
        <f>IF(ISNUMBER(AVERAGE('20250815_ETF_Options_Exhibits'!N581:N585)),AVERAGE('20250815_ETF_Options_Exhibits'!N581:N585),"")</f>
        <v/>
      </c>
      <c r="O585" s="3">
        <f>IF(ISNUMBER(AVERAGE('20250815_ETF_Options_Exhibits'!O581:O585)),AVERAGE('20250815_ETF_Options_Exhibits'!O581:O585),"")</f>
        <v/>
      </c>
      <c r="P585" s="3">
        <f>IF(ISNUMBER(AVERAGE('20250815_ETF_Options_Exhibits'!P581:P585)),AVERAGE('20250815_ETF_Options_Exhibits'!P581:P585),"")</f>
        <v/>
      </c>
      <c r="Q585" s="3">
        <f>IF(ISNUMBER(AVERAGE('20250815_ETF_Options_Exhibits'!Q581:Q585)),AVERAGE('20250815_ETF_Options_Exhibits'!Q581:Q585),"")</f>
        <v/>
      </c>
      <c r="R585" s="3">
        <f>IF(ISNUMBER(AVERAGE('20250815_ETF_Options_Exhibits'!R581:R585)),AVERAGE('20250815_ETF_Options_Exhibits'!R581:R585),"")</f>
        <v/>
      </c>
      <c r="S585" s="3">
        <f>IF(ISNUMBER(AVERAGE('20250815_ETF_Options_Exhibits'!S581:S585)),AVERAGE('20250815_ETF_Options_Exhibits'!S581:S585),"")</f>
        <v/>
      </c>
      <c r="T585" s="3">
        <f>IF(ISNUMBER(AVERAGE('20250815_ETF_Options_Exhibits'!T581:T585)),AVERAGE('20250815_ETF_Options_Exhibits'!T581:T585),"")</f>
        <v/>
      </c>
      <c r="U585" s="3">
        <f>IF(ISNUMBER(AVERAGE('20250815_ETF_Options_Exhibits'!U581:U585)),AVERAGE('20250815_ETF_Options_Exhibits'!U581:U585),"")</f>
        <v/>
      </c>
      <c r="V585" s="3">
        <f>IF(ISNUMBER(AVERAGE('20250815_ETF_Options_Exhibits'!V581:V585)),AVERAGE('20250815_ETF_Options_Exhibits'!V581:V585),"")</f>
        <v/>
      </c>
      <c r="W585" s="3">
        <f>IF(ISNUMBER(AVERAGE('20250815_ETF_Options_Exhibits'!W581:W585)),AVERAGE('20250815_ETF_Options_Exhibits'!W581:W585),"")</f>
        <v/>
      </c>
      <c r="X585" s="3">
        <f>IF(ISNUMBER(AVERAGE('20250815_ETF_Options_Exhibits'!X581:X585)),AVERAGE('20250815_ETF_Options_Exhibits'!X581:X585),"")</f>
        <v/>
      </c>
      <c r="Y585" s="3">
        <f>IF(ISNUMBER(AVERAGE('20250815_ETF_Options_Exhibits'!Y581:Y585)),AVERAGE('20250815_ETF_Options_Exhibits'!Y581:Y585),"")</f>
        <v/>
      </c>
      <c r="Z585" s="3">
        <f>IF(ISNUMBER(AVERAGE('20250815_ETF_Options_Exhibits'!Z581:Z585)),AVERAGE('20250815_ETF_Options_Exhibits'!Z581:Z585),"")</f>
        <v/>
      </c>
      <c r="AA585" s="3">
        <f>IF(ISNUMBER(AVERAGE('20250815_ETF_Options_Exhibits'!AA581:AA585)),AVERAGE('20250815_ETF_Options_Exhibits'!AA581:AA585),"")</f>
        <v/>
      </c>
    </row>
    <row r="586">
      <c r="A586" s="1" t="n">
        <v>42852</v>
      </c>
      <c r="B586" s="3">
        <f>IF(ISNUMBER(AVERAGE('20250815_ETF_Options_Exhibits'!B582:B586)),AVERAGE('20250815_ETF_Options_Exhibits'!B582:B586),"")</f>
        <v/>
      </c>
      <c r="C586" s="3">
        <f>IF(ISNUMBER(AVERAGE('20250815_ETF_Options_Exhibits'!C582:C586)),AVERAGE('20250815_ETF_Options_Exhibits'!C582:C586),"")</f>
        <v/>
      </c>
      <c r="D586" s="3">
        <f>IF(ISNUMBER(AVERAGE('20250815_ETF_Options_Exhibits'!D582:D586)),AVERAGE('20250815_ETF_Options_Exhibits'!D582:D586),"")</f>
        <v/>
      </c>
      <c r="E586" s="3">
        <f>IF(ISNUMBER(AVERAGE('20250815_ETF_Options_Exhibits'!E582:E586)),AVERAGE('20250815_ETF_Options_Exhibits'!E582:E586),"")</f>
        <v/>
      </c>
      <c r="F586" s="3">
        <f>IF(ISNUMBER(AVERAGE('20250815_ETF_Options_Exhibits'!F582:F586)),AVERAGE('20250815_ETF_Options_Exhibits'!F582:F586),"")</f>
        <v/>
      </c>
      <c r="G586" s="3">
        <f>IF(ISNUMBER(AVERAGE('20250815_ETF_Options_Exhibits'!G582:G586)),AVERAGE('20250815_ETF_Options_Exhibits'!G582:G586),"")</f>
        <v/>
      </c>
      <c r="H586" s="3">
        <f>IF(ISNUMBER(AVERAGE('20250815_ETF_Options_Exhibits'!H582:H586)),AVERAGE('20250815_ETF_Options_Exhibits'!H582:H586),"")</f>
        <v/>
      </c>
      <c r="I586" s="3">
        <f>IF(ISNUMBER(AVERAGE('20250815_ETF_Options_Exhibits'!I582:I586)),AVERAGE('20250815_ETF_Options_Exhibits'!I582:I586),"")</f>
        <v/>
      </c>
      <c r="J586" s="3">
        <f>IF(ISNUMBER(AVERAGE('20250815_ETF_Options_Exhibits'!J582:J586)),AVERAGE('20250815_ETF_Options_Exhibits'!J582:J586),"")</f>
        <v/>
      </c>
      <c r="K586" s="3">
        <f>IF(ISNUMBER(AVERAGE('20250815_ETF_Options_Exhibits'!K582:K586)),AVERAGE('20250815_ETF_Options_Exhibits'!K582:K586),"")</f>
        <v/>
      </c>
      <c r="L586" s="3">
        <f>IF(ISNUMBER(AVERAGE('20250815_ETF_Options_Exhibits'!L582:L586)),AVERAGE('20250815_ETF_Options_Exhibits'!L582:L586),"")</f>
        <v/>
      </c>
      <c r="M586" s="3">
        <f>IF(ISNUMBER(AVERAGE('20250815_ETF_Options_Exhibits'!M582:M586)),AVERAGE('20250815_ETF_Options_Exhibits'!M582:M586),"")</f>
        <v/>
      </c>
      <c r="N586" s="3">
        <f>IF(ISNUMBER(AVERAGE('20250815_ETF_Options_Exhibits'!N582:N586)),AVERAGE('20250815_ETF_Options_Exhibits'!N582:N586),"")</f>
        <v/>
      </c>
      <c r="O586" s="3">
        <f>IF(ISNUMBER(AVERAGE('20250815_ETF_Options_Exhibits'!O582:O586)),AVERAGE('20250815_ETF_Options_Exhibits'!O582:O586),"")</f>
        <v/>
      </c>
      <c r="P586" s="3">
        <f>IF(ISNUMBER(AVERAGE('20250815_ETF_Options_Exhibits'!P582:P586)),AVERAGE('20250815_ETF_Options_Exhibits'!P582:P586),"")</f>
        <v/>
      </c>
      <c r="Q586" s="3">
        <f>IF(ISNUMBER(AVERAGE('20250815_ETF_Options_Exhibits'!Q582:Q586)),AVERAGE('20250815_ETF_Options_Exhibits'!Q582:Q586),"")</f>
        <v/>
      </c>
      <c r="R586" s="3">
        <f>IF(ISNUMBER(AVERAGE('20250815_ETF_Options_Exhibits'!R582:R586)),AVERAGE('20250815_ETF_Options_Exhibits'!R582:R586),"")</f>
        <v/>
      </c>
      <c r="S586" s="3">
        <f>IF(ISNUMBER(AVERAGE('20250815_ETF_Options_Exhibits'!S582:S586)),AVERAGE('20250815_ETF_Options_Exhibits'!S582:S586),"")</f>
        <v/>
      </c>
      <c r="T586" s="3">
        <f>IF(ISNUMBER(AVERAGE('20250815_ETF_Options_Exhibits'!T582:T586)),AVERAGE('20250815_ETF_Options_Exhibits'!T582:T586),"")</f>
        <v/>
      </c>
      <c r="U586" s="3">
        <f>IF(ISNUMBER(AVERAGE('20250815_ETF_Options_Exhibits'!U582:U586)),AVERAGE('20250815_ETF_Options_Exhibits'!U582:U586),"")</f>
        <v/>
      </c>
      <c r="V586" s="3">
        <f>IF(ISNUMBER(AVERAGE('20250815_ETF_Options_Exhibits'!V582:V586)),AVERAGE('20250815_ETF_Options_Exhibits'!V582:V586),"")</f>
        <v/>
      </c>
      <c r="W586" s="3">
        <f>IF(ISNUMBER(AVERAGE('20250815_ETF_Options_Exhibits'!W582:W586)),AVERAGE('20250815_ETF_Options_Exhibits'!W582:W586),"")</f>
        <v/>
      </c>
      <c r="X586" s="3">
        <f>IF(ISNUMBER(AVERAGE('20250815_ETF_Options_Exhibits'!X582:X586)),AVERAGE('20250815_ETF_Options_Exhibits'!X582:X586),"")</f>
        <v/>
      </c>
      <c r="Y586" s="3">
        <f>IF(ISNUMBER(AVERAGE('20250815_ETF_Options_Exhibits'!Y582:Y586)),AVERAGE('20250815_ETF_Options_Exhibits'!Y582:Y586),"")</f>
        <v/>
      </c>
      <c r="Z586" s="3">
        <f>IF(ISNUMBER(AVERAGE('20250815_ETF_Options_Exhibits'!Z582:Z586)),AVERAGE('20250815_ETF_Options_Exhibits'!Z582:Z586),"")</f>
        <v/>
      </c>
      <c r="AA586" s="3">
        <f>IF(ISNUMBER(AVERAGE('20250815_ETF_Options_Exhibits'!AA582:AA586)),AVERAGE('20250815_ETF_Options_Exhibits'!AA582:AA586),"")</f>
        <v/>
      </c>
    </row>
    <row r="587">
      <c r="A587" s="1" t="n">
        <v>42853</v>
      </c>
      <c r="B587" s="3">
        <f>IF(ISNUMBER(AVERAGE('20250815_ETF_Options_Exhibits'!B583:B587)),AVERAGE('20250815_ETF_Options_Exhibits'!B583:B587),"")</f>
        <v/>
      </c>
      <c r="C587" s="3">
        <f>IF(ISNUMBER(AVERAGE('20250815_ETF_Options_Exhibits'!C583:C587)),AVERAGE('20250815_ETF_Options_Exhibits'!C583:C587),"")</f>
        <v/>
      </c>
      <c r="D587" s="3">
        <f>IF(ISNUMBER(AVERAGE('20250815_ETF_Options_Exhibits'!D583:D587)),AVERAGE('20250815_ETF_Options_Exhibits'!D583:D587),"")</f>
        <v/>
      </c>
      <c r="E587" s="3">
        <f>IF(ISNUMBER(AVERAGE('20250815_ETF_Options_Exhibits'!E583:E587)),AVERAGE('20250815_ETF_Options_Exhibits'!E583:E587),"")</f>
        <v/>
      </c>
      <c r="F587" s="3">
        <f>IF(ISNUMBER(AVERAGE('20250815_ETF_Options_Exhibits'!F583:F587)),AVERAGE('20250815_ETF_Options_Exhibits'!F583:F587),"")</f>
        <v/>
      </c>
      <c r="G587" s="3">
        <f>IF(ISNUMBER(AVERAGE('20250815_ETF_Options_Exhibits'!G583:G587)),AVERAGE('20250815_ETF_Options_Exhibits'!G583:G587),"")</f>
        <v/>
      </c>
      <c r="H587" s="3">
        <f>IF(ISNUMBER(AVERAGE('20250815_ETF_Options_Exhibits'!H583:H587)),AVERAGE('20250815_ETF_Options_Exhibits'!H583:H587),"")</f>
        <v/>
      </c>
      <c r="I587" s="3">
        <f>IF(ISNUMBER(AVERAGE('20250815_ETF_Options_Exhibits'!I583:I587)),AVERAGE('20250815_ETF_Options_Exhibits'!I583:I587),"")</f>
        <v/>
      </c>
      <c r="J587" s="3">
        <f>IF(ISNUMBER(AVERAGE('20250815_ETF_Options_Exhibits'!J583:J587)),AVERAGE('20250815_ETF_Options_Exhibits'!J583:J587),"")</f>
        <v/>
      </c>
      <c r="K587" s="3">
        <f>IF(ISNUMBER(AVERAGE('20250815_ETF_Options_Exhibits'!K583:K587)),AVERAGE('20250815_ETF_Options_Exhibits'!K583:K587),"")</f>
        <v/>
      </c>
      <c r="L587" s="3">
        <f>IF(ISNUMBER(AVERAGE('20250815_ETF_Options_Exhibits'!L583:L587)),AVERAGE('20250815_ETF_Options_Exhibits'!L583:L587),"")</f>
        <v/>
      </c>
      <c r="M587" s="3">
        <f>IF(ISNUMBER(AVERAGE('20250815_ETF_Options_Exhibits'!M583:M587)),AVERAGE('20250815_ETF_Options_Exhibits'!M583:M587),"")</f>
        <v/>
      </c>
      <c r="N587" s="3">
        <f>IF(ISNUMBER(AVERAGE('20250815_ETF_Options_Exhibits'!N583:N587)),AVERAGE('20250815_ETF_Options_Exhibits'!N583:N587),"")</f>
        <v/>
      </c>
      <c r="O587" s="3">
        <f>IF(ISNUMBER(AVERAGE('20250815_ETF_Options_Exhibits'!O583:O587)),AVERAGE('20250815_ETF_Options_Exhibits'!O583:O587),"")</f>
        <v/>
      </c>
      <c r="P587" s="3">
        <f>IF(ISNUMBER(AVERAGE('20250815_ETF_Options_Exhibits'!P583:P587)),AVERAGE('20250815_ETF_Options_Exhibits'!P583:P587),"")</f>
        <v/>
      </c>
      <c r="Q587" s="3">
        <f>IF(ISNUMBER(AVERAGE('20250815_ETF_Options_Exhibits'!Q583:Q587)),AVERAGE('20250815_ETF_Options_Exhibits'!Q583:Q587),"")</f>
        <v/>
      </c>
      <c r="R587" s="3">
        <f>IF(ISNUMBER(AVERAGE('20250815_ETF_Options_Exhibits'!R583:R587)),AVERAGE('20250815_ETF_Options_Exhibits'!R583:R587),"")</f>
        <v/>
      </c>
      <c r="S587" s="3">
        <f>IF(ISNUMBER(AVERAGE('20250815_ETF_Options_Exhibits'!S583:S587)),AVERAGE('20250815_ETF_Options_Exhibits'!S583:S587),"")</f>
        <v/>
      </c>
      <c r="T587" s="3">
        <f>IF(ISNUMBER(AVERAGE('20250815_ETF_Options_Exhibits'!T583:T587)),AVERAGE('20250815_ETF_Options_Exhibits'!T583:T587),"")</f>
        <v/>
      </c>
      <c r="U587" s="3">
        <f>IF(ISNUMBER(AVERAGE('20250815_ETF_Options_Exhibits'!U583:U587)),AVERAGE('20250815_ETF_Options_Exhibits'!U583:U587),"")</f>
        <v/>
      </c>
      <c r="V587" s="3">
        <f>IF(ISNUMBER(AVERAGE('20250815_ETF_Options_Exhibits'!V583:V587)),AVERAGE('20250815_ETF_Options_Exhibits'!V583:V587),"")</f>
        <v/>
      </c>
      <c r="W587" s="3">
        <f>IF(ISNUMBER(AVERAGE('20250815_ETF_Options_Exhibits'!W583:W587)),AVERAGE('20250815_ETF_Options_Exhibits'!W583:W587),"")</f>
        <v/>
      </c>
      <c r="X587" s="3">
        <f>IF(ISNUMBER(AVERAGE('20250815_ETF_Options_Exhibits'!X583:X587)),AVERAGE('20250815_ETF_Options_Exhibits'!X583:X587),"")</f>
        <v/>
      </c>
      <c r="Y587" s="3">
        <f>IF(ISNUMBER(AVERAGE('20250815_ETF_Options_Exhibits'!Y583:Y587)),AVERAGE('20250815_ETF_Options_Exhibits'!Y583:Y587),"")</f>
        <v/>
      </c>
      <c r="Z587" s="3">
        <f>IF(ISNUMBER(AVERAGE('20250815_ETF_Options_Exhibits'!Z583:Z587)),AVERAGE('20250815_ETF_Options_Exhibits'!Z583:Z587),"")</f>
        <v/>
      </c>
      <c r="AA587" s="3">
        <f>IF(ISNUMBER(AVERAGE('20250815_ETF_Options_Exhibits'!AA583:AA587)),AVERAGE('20250815_ETF_Options_Exhibits'!AA583:AA587),"")</f>
        <v/>
      </c>
    </row>
    <row r="588">
      <c r="A588" s="1" t="n">
        <v>42856</v>
      </c>
      <c r="B588" s="3">
        <f>IF(ISNUMBER(AVERAGE('20250815_ETF_Options_Exhibits'!B584:B588)),AVERAGE('20250815_ETF_Options_Exhibits'!B584:B588),"")</f>
        <v/>
      </c>
      <c r="C588" s="3">
        <f>IF(ISNUMBER(AVERAGE('20250815_ETF_Options_Exhibits'!C584:C588)),AVERAGE('20250815_ETF_Options_Exhibits'!C584:C588),"")</f>
        <v/>
      </c>
      <c r="D588" s="3">
        <f>IF(ISNUMBER(AVERAGE('20250815_ETF_Options_Exhibits'!D584:D588)),AVERAGE('20250815_ETF_Options_Exhibits'!D584:D588),"")</f>
        <v/>
      </c>
      <c r="E588" s="3">
        <f>IF(ISNUMBER(AVERAGE('20250815_ETF_Options_Exhibits'!E584:E588)),AVERAGE('20250815_ETF_Options_Exhibits'!E584:E588),"")</f>
        <v/>
      </c>
      <c r="F588" s="3">
        <f>IF(ISNUMBER(AVERAGE('20250815_ETF_Options_Exhibits'!F584:F588)),AVERAGE('20250815_ETF_Options_Exhibits'!F584:F588),"")</f>
        <v/>
      </c>
      <c r="G588" s="3">
        <f>IF(ISNUMBER(AVERAGE('20250815_ETF_Options_Exhibits'!G584:G588)),AVERAGE('20250815_ETF_Options_Exhibits'!G584:G588),"")</f>
        <v/>
      </c>
      <c r="H588" s="3">
        <f>IF(ISNUMBER(AVERAGE('20250815_ETF_Options_Exhibits'!H584:H588)),AVERAGE('20250815_ETF_Options_Exhibits'!H584:H588),"")</f>
        <v/>
      </c>
      <c r="I588" s="3">
        <f>IF(ISNUMBER(AVERAGE('20250815_ETF_Options_Exhibits'!I584:I588)),AVERAGE('20250815_ETF_Options_Exhibits'!I584:I588),"")</f>
        <v/>
      </c>
      <c r="J588" s="3">
        <f>IF(ISNUMBER(AVERAGE('20250815_ETF_Options_Exhibits'!J584:J588)),AVERAGE('20250815_ETF_Options_Exhibits'!J584:J588),"")</f>
        <v/>
      </c>
      <c r="K588" s="3">
        <f>IF(ISNUMBER(AVERAGE('20250815_ETF_Options_Exhibits'!K584:K588)),AVERAGE('20250815_ETF_Options_Exhibits'!K584:K588),"")</f>
        <v/>
      </c>
      <c r="L588" s="3">
        <f>IF(ISNUMBER(AVERAGE('20250815_ETF_Options_Exhibits'!L584:L588)),AVERAGE('20250815_ETF_Options_Exhibits'!L584:L588),"")</f>
        <v/>
      </c>
      <c r="M588" s="3">
        <f>IF(ISNUMBER(AVERAGE('20250815_ETF_Options_Exhibits'!M584:M588)),AVERAGE('20250815_ETF_Options_Exhibits'!M584:M588),"")</f>
        <v/>
      </c>
      <c r="N588" s="3">
        <f>IF(ISNUMBER(AVERAGE('20250815_ETF_Options_Exhibits'!N584:N588)),AVERAGE('20250815_ETF_Options_Exhibits'!N584:N588),"")</f>
        <v/>
      </c>
      <c r="O588" s="3">
        <f>IF(ISNUMBER(AVERAGE('20250815_ETF_Options_Exhibits'!O584:O588)),AVERAGE('20250815_ETF_Options_Exhibits'!O584:O588),"")</f>
        <v/>
      </c>
      <c r="P588" s="3">
        <f>IF(ISNUMBER(AVERAGE('20250815_ETF_Options_Exhibits'!P584:P588)),AVERAGE('20250815_ETF_Options_Exhibits'!P584:P588),"")</f>
        <v/>
      </c>
      <c r="Q588" s="3">
        <f>IF(ISNUMBER(AVERAGE('20250815_ETF_Options_Exhibits'!Q584:Q588)),AVERAGE('20250815_ETF_Options_Exhibits'!Q584:Q588),"")</f>
        <v/>
      </c>
      <c r="R588" s="3">
        <f>IF(ISNUMBER(AVERAGE('20250815_ETF_Options_Exhibits'!R584:R588)),AVERAGE('20250815_ETF_Options_Exhibits'!R584:R588),"")</f>
        <v/>
      </c>
      <c r="S588" s="3">
        <f>IF(ISNUMBER(AVERAGE('20250815_ETF_Options_Exhibits'!S584:S588)),AVERAGE('20250815_ETF_Options_Exhibits'!S584:S588),"")</f>
        <v/>
      </c>
      <c r="T588" s="3">
        <f>IF(ISNUMBER(AVERAGE('20250815_ETF_Options_Exhibits'!T584:T588)),AVERAGE('20250815_ETF_Options_Exhibits'!T584:T588),"")</f>
        <v/>
      </c>
      <c r="U588" s="3">
        <f>IF(ISNUMBER(AVERAGE('20250815_ETF_Options_Exhibits'!U584:U588)),AVERAGE('20250815_ETF_Options_Exhibits'!U584:U588),"")</f>
        <v/>
      </c>
      <c r="V588" s="3">
        <f>IF(ISNUMBER(AVERAGE('20250815_ETF_Options_Exhibits'!V584:V588)),AVERAGE('20250815_ETF_Options_Exhibits'!V584:V588),"")</f>
        <v/>
      </c>
      <c r="W588" s="3">
        <f>IF(ISNUMBER(AVERAGE('20250815_ETF_Options_Exhibits'!W584:W588)),AVERAGE('20250815_ETF_Options_Exhibits'!W584:W588),"")</f>
        <v/>
      </c>
      <c r="X588" s="3">
        <f>IF(ISNUMBER(AVERAGE('20250815_ETF_Options_Exhibits'!X584:X588)),AVERAGE('20250815_ETF_Options_Exhibits'!X584:X588),"")</f>
        <v/>
      </c>
      <c r="Y588" s="3">
        <f>IF(ISNUMBER(AVERAGE('20250815_ETF_Options_Exhibits'!Y584:Y588)),AVERAGE('20250815_ETF_Options_Exhibits'!Y584:Y588),"")</f>
        <v/>
      </c>
      <c r="Z588" s="3">
        <f>IF(ISNUMBER(AVERAGE('20250815_ETF_Options_Exhibits'!Z584:Z588)),AVERAGE('20250815_ETF_Options_Exhibits'!Z584:Z588),"")</f>
        <v/>
      </c>
      <c r="AA588" s="3">
        <f>IF(ISNUMBER(AVERAGE('20250815_ETF_Options_Exhibits'!AA584:AA588)),AVERAGE('20250815_ETF_Options_Exhibits'!AA584:AA588),"")</f>
        <v/>
      </c>
    </row>
    <row r="589">
      <c r="A589" s="1" t="n">
        <v>42857</v>
      </c>
      <c r="B589" s="3">
        <f>IF(ISNUMBER(AVERAGE('20250815_ETF_Options_Exhibits'!B585:B589)),AVERAGE('20250815_ETF_Options_Exhibits'!B585:B589),"")</f>
        <v/>
      </c>
      <c r="C589" s="3">
        <f>IF(ISNUMBER(AVERAGE('20250815_ETF_Options_Exhibits'!C585:C589)),AVERAGE('20250815_ETF_Options_Exhibits'!C585:C589),"")</f>
        <v/>
      </c>
      <c r="D589" s="3">
        <f>IF(ISNUMBER(AVERAGE('20250815_ETF_Options_Exhibits'!D585:D589)),AVERAGE('20250815_ETF_Options_Exhibits'!D585:D589),"")</f>
        <v/>
      </c>
      <c r="E589" s="3">
        <f>IF(ISNUMBER(AVERAGE('20250815_ETF_Options_Exhibits'!E585:E589)),AVERAGE('20250815_ETF_Options_Exhibits'!E585:E589),"")</f>
        <v/>
      </c>
      <c r="F589" s="3">
        <f>IF(ISNUMBER(AVERAGE('20250815_ETF_Options_Exhibits'!F585:F589)),AVERAGE('20250815_ETF_Options_Exhibits'!F585:F589),"")</f>
        <v/>
      </c>
      <c r="G589" s="3">
        <f>IF(ISNUMBER(AVERAGE('20250815_ETF_Options_Exhibits'!G585:G589)),AVERAGE('20250815_ETF_Options_Exhibits'!G585:G589),"")</f>
        <v/>
      </c>
      <c r="H589" s="3">
        <f>IF(ISNUMBER(AVERAGE('20250815_ETF_Options_Exhibits'!H585:H589)),AVERAGE('20250815_ETF_Options_Exhibits'!H585:H589),"")</f>
        <v/>
      </c>
      <c r="I589" s="3">
        <f>IF(ISNUMBER(AVERAGE('20250815_ETF_Options_Exhibits'!I585:I589)),AVERAGE('20250815_ETF_Options_Exhibits'!I585:I589),"")</f>
        <v/>
      </c>
      <c r="J589" s="3">
        <f>IF(ISNUMBER(AVERAGE('20250815_ETF_Options_Exhibits'!J585:J589)),AVERAGE('20250815_ETF_Options_Exhibits'!J585:J589),"")</f>
        <v/>
      </c>
      <c r="K589" s="3">
        <f>IF(ISNUMBER(AVERAGE('20250815_ETF_Options_Exhibits'!K585:K589)),AVERAGE('20250815_ETF_Options_Exhibits'!K585:K589),"")</f>
        <v/>
      </c>
      <c r="L589" s="3">
        <f>IF(ISNUMBER(AVERAGE('20250815_ETF_Options_Exhibits'!L585:L589)),AVERAGE('20250815_ETF_Options_Exhibits'!L585:L589),"")</f>
        <v/>
      </c>
      <c r="M589" s="3">
        <f>IF(ISNUMBER(AVERAGE('20250815_ETF_Options_Exhibits'!M585:M589)),AVERAGE('20250815_ETF_Options_Exhibits'!M585:M589),"")</f>
        <v/>
      </c>
      <c r="N589" s="3">
        <f>IF(ISNUMBER(AVERAGE('20250815_ETF_Options_Exhibits'!N585:N589)),AVERAGE('20250815_ETF_Options_Exhibits'!N585:N589),"")</f>
        <v/>
      </c>
      <c r="O589" s="3">
        <f>IF(ISNUMBER(AVERAGE('20250815_ETF_Options_Exhibits'!O585:O589)),AVERAGE('20250815_ETF_Options_Exhibits'!O585:O589),"")</f>
        <v/>
      </c>
      <c r="P589" s="3">
        <f>IF(ISNUMBER(AVERAGE('20250815_ETF_Options_Exhibits'!P585:P589)),AVERAGE('20250815_ETF_Options_Exhibits'!P585:P589),"")</f>
        <v/>
      </c>
      <c r="Q589" s="3">
        <f>IF(ISNUMBER(AVERAGE('20250815_ETF_Options_Exhibits'!Q585:Q589)),AVERAGE('20250815_ETF_Options_Exhibits'!Q585:Q589),"")</f>
        <v/>
      </c>
      <c r="R589" s="3">
        <f>IF(ISNUMBER(AVERAGE('20250815_ETF_Options_Exhibits'!R585:R589)),AVERAGE('20250815_ETF_Options_Exhibits'!R585:R589),"")</f>
        <v/>
      </c>
      <c r="S589" s="3">
        <f>IF(ISNUMBER(AVERAGE('20250815_ETF_Options_Exhibits'!S585:S589)),AVERAGE('20250815_ETF_Options_Exhibits'!S585:S589),"")</f>
        <v/>
      </c>
      <c r="T589" s="3">
        <f>IF(ISNUMBER(AVERAGE('20250815_ETF_Options_Exhibits'!T585:T589)),AVERAGE('20250815_ETF_Options_Exhibits'!T585:T589),"")</f>
        <v/>
      </c>
      <c r="U589" s="3">
        <f>IF(ISNUMBER(AVERAGE('20250815_ETF_Options_Exhibits'!U585:U589)),AVERAGE('20250815_ETF_Options_Exhibits'!U585:U589),"")</f>
        <v/>
      </c>
      <c r="V589" s="3">
        <f>IF(ISNUMBER(AVERAGE('20250815_ETF_Options_Exhibits'!V585:V589)),AVERAGE('20250815_ETF_Options_Exhibits'!V585:V589),"")</f>
        <v/>
      </c>
      <c r="W589" s="3">
        <f>IF(ISNUMBER(AVERAGE('20250815_ETF_Options_Exhibits'!W585:W589)),AVERAGE('20250815_ETF_Options_Exhibits'!W585:W589),"")</f>
        <v/>
      </c>
      <c r="X589" s="3">
        <f>IF(ISNUMBER(AVERAGE('20250815_ETF_Options_Exhibits'!X585:X589)),AVERAGE('20250815_ETF_Options_Exhibits'!X585:X589),"")</f>
        <v/>
      </c>
      <c r="Y589" s="3">
        <f>IF(ISNUMBER(AVERAGE('20250815_ETF_Options_Exhibits'!Y585:Y589)),AVERAGE('20250815_ETF_Options_Exhibits'!Y585:Y589),"")</f>
        <v/>
      </c>
      <c r="Z589" s="3">
        <f>IF(ISNUMBER(AVERAGE('20250815_ETF_Options_Exhibits'!Z585:Z589)),AVERAGE('20250815_ETF_Options_Exhibits'!Z585:Z589),"")</f>
        <v/>
      </c>
      <c r="AA589" s="3">
        <f>IF(ISNUMBER(AVERAGE('20250815_ETF_Options_Exhibits'!AA585:AA589)),AVERAGE('20250815_ETF_Options_Exhibits'!AA585:AA589),"")</f>
        <v/>
      </c>
    </row>
    <row r="590">
      <c r="A590" s="1" t="n">
        <v>42858</v>
      </c>
      <c r="B590" s="3">
        <f>IF(ISNUMBER(AVERAGE('20250815_ETF_Options_Exhibits'!B586:B590)),AVERAGE('20250815_ETF_Options_Exhibits'!B586:B590),"")</f>
        <v/>
      </c>
      <c r="C590" s="3">
        <f>IF(ISNUMBER(AVERAGE('20250815_ETF_Options_Exhibits'!C586:C590)),AVERAGE('20250815_ETF_Options_Exhibits'!C586:C590),"")</f>
        <v/>
      </c>
      <c r="D590" s="3">
        <f>IF(ISNUMBER(AVERAGE('20250815_ETF_Options_Exhibits'!D586:D590)),AVERAGE('20250815_ETF_Options_Exhibits'!D586:D590),"")</f>
        <v/>
      </c>
      <c r="E590" s="3">
        <f>IF(ISNUMBER(AVERAGE('20250815_ETF_Options_Exhibits'!E586:E590)),AVERAGE('20250815_ETF_Options_Exhibits'!E586:E590),"")</f>
        <v/>
      </c>
      <c r="F590" s="3">
        <f>IF(ISNUMBER(AVERAGE('20250815_ETF_Options_Exhibits'!F586:F590)),AVERAGE('20250815_ETF_Options_Exhibits'!F586:F590),"")</f>
        <v/>
      </c>
      <c r="G590" s="3">
        <f>IF(ISNUMBER(AVERAGE('20250815_ETF_Options_Exhibits'!G586:G590)),AVERAGE('20250815_ETF_Options_Exhibits'!G586:G590),"")</f>
        <v/>
      </c>
      <c r="H590" s="3">
        <f>IF(ISNUMBER(AVERAGE('20250815_ETF_Options_Exhibits'!H586:H590)),AVERAGE('20250815_ETF_Options_Exhibits'!H586:H590),"")</f>
        <v/>
      </c>
      <c r="I590" s="3">
        <f>IF(ISNUMBER(AVERAGE('20250815_ETF_Options_Exhibits'!I586:I590)),AVERAGE('20250815_ETF_Options_Exhibits'!I586:I590),"")</f>
        <v/>
      </c>
      <c r="J590" s="3">
        <f>IF(ISNUMBER(AVERAGE('20250815_ETF_Options_Exhibits'!J586:J590)),AVERAGE('20250815_ETF_Options_Exhibits'!J586:J590),"")</f>
        <v/>
      </c>
      <c r="K590" s="3">
        <f>IF(ISNUMBER(AVERAGE('20250815_ETF_Options_Exhibits'!K586:K590)),AVERAGE('20250815_ETF_Options_Exhibits'!K586:K590),"")</f>
        <v/>
      </c>
      <c r="L590" s="3">
        <f>IF(ISNUMBER(AVERAGE('20250815_ETF_Options_Exhibits'!L586:L590)),AVERAGE('20250815_ETF_Options_Exhibits'!L586:L590),"")</f>
        <v/>
      </c>
      <c r="M590" s="3">
        <f>IF(ISNUMBER(AVERAGE('20250815_ETF_Options_Exhibits'!M586:M590)),AVERAGE('20250815_ETF_Options_Exhibits'!M586:M590),"")</f>
        <v/>
      </c>
      <c r="N590" s="3">
        <f>IF(ISNUMBER(AVERAGE('20250815_ETF_Options_Exhibits'!N586:N590)),AVERAGE('20250815_ETF_Options_Exhibits'!N586:N590),"")</f>
        <v/>
      </c>
      <c r="O590" s="3">
        <f>IF(ISNUMBER(AVERAGE('20250815_ETF_Options_Exhibits'!O586:O590)),AVERAGE('20250815_ETF_Options_Exhibits'!O586:O590),"")</f>
        <v/>
      </c>
      <c r="P590" s="3">
        <f>IF(ISNUMBER(AVERAGE('20250815_ETF_Options_Exhibits'!P586:P590)),AVERAGE('20250815_ETF_Options_Exhibits'!P586:P590),"")</f>
        <v/>
      </c>
      <c r="Q590" s="3">
        <f>IF(ISNUMBER(AVERAGE('20250815_ETF_Options_Exhibits'!Q586:Q590)),AVERAGE('20250815_ETF_Options_Exhibits'!Q586:Q590),"")</f>
        <v/>
      </c>
      <c r="R590" s="3">
        <f>IF(ISNUMBER(AVERAGE('20250815_ETF_Options_Exhibits'!R586:R590)),AVERAGE('20250815_ETF_Options_Exhibits'!R586:R590),"")</f>
        <v/>
      </c>
      <c r="S590" s="3">
        <f>IF(ISNUMBER(AVERAGE('20250815_ETF_Options_Exhibits'!S586:S590)),AVERAGE('20250815_ETF_Options_Exhibits'!S586:S590),"")</f>
        <v/>
      </c>
      <c r="T590" s="3">
        <f>IF(ISNUMBER(AVERAGE('20250815_ETF_Options_Exhibits'!T586:T590)),AVERAGE('20250815_ETF_Options_Exhibits'!T586:T590),"")</f>
        <v/>
      </c>
      <c r="U590" s="3">
        <f>IF(ISNUMBER(AVERAGE('20250815_ETF_Options_Exhibits'!U586:U590)),AVERAGE('20250815_ETF_Options_Exhibits'!U586:U590),"")</f>
        <v/>
      </c>
      <c r="V590" s="3">
        <f>IF(ISNUMBER(AVERAGE('20250815_ETF_Options_Exhibits'!V586:V590)),AVERAGE('20250815_ETF_Options_Exhibits'!V586:V590),"")</f>
        <v/>
      </c>
      <c r="W590" s="3">
        <f>IF(ISNUMBER(AVERAGE('20250815_ETF_Options_Exhibits'!W586:W590)),AVERAGE('20250815_ETF_Options_Exhibits'!W586:W590),"")</f>
        <v/>
      </c>
      <c r="X590" s="3">
        <f>IF(ISNUMBER(AVERAGE('20250815_ETF_Options_Exhibits'!X586:X590)),AVERAGE('20250815_ETF_Options_Exhibits'!X586:X590),"")</f>
        <v/>
      </c>
      <c r="Y590" s="3">
        <f>IF(ISNUMBER(AVERAGE('20250815_ETF_Options_Exhibits'!Y586:Y590)),AVERAGE('20250815_ETF_Options_Exhibits'!Y586:Y590),"")</f>
        <v/>
      </c>
      <c r="Z590" s="3">
        <f>IF(ISNUMBER(AVERAGE('20250815_ETF_Options_Exhibits'!Z586:Z590)),AVERAGE('20250815_ETF_Options_Exhibits'!Z586:Z590),"")</f>
        <v/>
      </c>
      <c r="AA590" s="3">
        <f>IF(ISNUMBER(AVERAGE('20250815_ETF_Options_Exhibits'!AA586:AA590)),AVERAGE('20250815_ETF_Options_Exhibits'!AA586:AA590),"")</f>
        <v/>
      </c>
    </row>
    <row r="591">
      <c r="A591" s="1" t="n">
        <v>42859</v>
      </c>
      <c r="B591" s="3">
        <f>IF(ISNUMBER(AVERAGE('20250815_ETF_Options_Exhibits'!B587:B591)),AVERAGE('20250815_ETF_Options_Exhibits'!B587:B591),"")</f>
        <v/>
      </c>
      <c r="C591" s="3">
        <f>IF(ISNUMBER(AVERAGE('20250815_ETF_Options_Exhibits'!C587:C591)),AVERAGE('20250815_ETF_Options_Exhibits'!C587:C591),"")</f>
        <v/>
      </c>
      <c r="D591" s="3">
        <f>IF(ISNUMBER(AVERAGE('20250815_ETF_Options_Exhibits'!D587:D591)),AVERAGE('20250815_ETF_Options_Exhibits'!D587:D591),"")</f>
        <v/>
      </c>
      <c r="E591" s="3">
        <f>IF(ISNUMBER(AVERAGE('20250815_ETF_Options_Exhibits'!E587:E591)),AVERAGE('20250815_ETF_Options_Exhibits'!E587:E591),"")</f>
        <v/>
      </c>
      <c r="F591" s="3">
        <f>IF(ISNUMBER(AVERAGE('20250815_ETF_Options_Exhibits'!F587:F591)),AVERAGE('20250815_ETF_Options_Exhibits'!F587:F591),"")</f>
        <v/>
      </c>
      <c r="G591" s="3">
        <f>IF(ISNUMBER(AVERAGE('20250815_ETF_Options_Exhibits'!G587:G591)),AVERAGE('20250815_ETF_Options_Exhibits'!G587:G591),"")</f>
        <v/>
      </c>
      <c r="H591" s="3">
        <f>IF(ISNUMBER(AVERAGE('20250815_ETF_Options_Exhibits'!H587:H591)),AVERAGE('20250815_ETF_Options_Exhibits'!H587:H591),"")</f>
        <v/>
      </c>
      <c r="I591" s="3">
        <f>IF(ISNUMBER(AVERAGE('20250815_ETF_Options_Exhibits'!I587:I591)),AVERAGE('20250815_ETF_Options_Exhibits'!I587:I591),"")</f>
        <v/>
      </c>
      <c r="J591" s="3">
        <f>IF(ISNUMBER(AVERAGE('20250815_ETF_Options_Exhibits'!J587:J591)),AVERAGE('20250815_ETF_Options_Exhibits'!J587:J591),"")</f>
        <v/>
      </c>
      <c r="K591" s="3">
        <f>IF(ISNUMBER(AVERAGE('20250815_ETF_Options_Exhibits'!K587:K591)),AVERAGE('20250815_ETF_Options_Exhibits'!K587:K591),"")</f>
        <v/>
      </c>
      <c r="L591" s="3">
        <f>IF(ISNUMBER(AVERAGE('20250815_ETF_Options_Exhibits'!L587:L591)),AVERAGE('20250815_ETF_Options_Exhibits'!L587:L591),"")</f>
        <v/>
      </c>
      <c r="M591" s="3">
        <f>IF(ISNUMBER(AVERAGE('20250815_ETF_Options_Exhibits'!M587:M591)),AVERAGE('20250815_ETF_Options_Exhibits'!M587:M591),"")</f>
        <v/>
      </c>
      <c r="N591" s="3">
        <f>IF(ISNUMBER(AVERAGE('20250815_ETF_Options_Exhibits'!N587:N591)),AVERAGE('20250815_ETF_Options_Exhibits'!N587:N591),"")</f>
        <v/>
      </c>
      <c r="O591" s="3">
        <f>IF(ISNUMBER(AVERAGE('20250815_ETF_Options_Exhibits'!O587:O591)),AVERAGE('20250815_ETF_Options_Exhibits'!O587:O591),"")</f>
        <v/>
      </c>
      <c r="P591" s="3">
        <f>IF(ISNUMBER(AVERAGE('20250815_ETF_Options_Exhibits'!P587:P591)),AVERAGE('20250815_ETF_Options_Exhibits'!P587:P591),"")</f>
        <v/>
      </c>
      <c r="Q591" s="3">
        <f>IF(ISNUMBER(AVERAGE('20250815_ETF_Options_Exhibits'!Q587:Q591)),AVERAGE('20250815_ETF_Options_Exhibits'!Q587:Q591),"")</f>
        <v/>
      </c>
      <c r="R591" s="3">
        <f>IF(ISNUMBER(AVERAGE('20250815_ETF_Options_Exhibits'!R587:R591)),AVERAGE('20250815_ETF_Options_Exhibits'!R587:R591),"")</f>
        <v/>
      </c>
      <c r="S591" s="3">
        <f>IF(ISNUMBER(AVERAGE('20250815_ETF_Options_Exhibits'!S587:S591)),AVERAGE('20250815_ETF_Options_Exhibits'!S587:S591),"")</f>
        <v/>
      </c>
      <c r="T591" s="3">
        <f>IF(ISNUMBER(AVERAGE('20250815_ETF_Options_Exhibits'!T587:T591)),AVERAGE('20250815_ETF_Options_Exhibits'!T587:T591),"")</f>
        <v/>
      </c>
      <c r="U591" s="3">
        <f>IF(ISNUMBER(AVERAGE('20250815_ETF_Options_Exhibits'!U587:U591)),AVERAGE('20250815_ETF_Options_Exhibits'!U587:U591),"")</f>
        <v/>
      </c>
      <c r="V591" s="3">
        <f>IF(ISNUMBER(AVERAGE('20250815_ETF_Options_Exhibits'!V587:V591)),AVERAGE('20250815_ETF_Options_Exhibits'!V587:V591),"")</f>
        <v/>
      </c>
      <c r="W591" s="3">
        <f>IF(ISNUMBER(AVERAGE('20250815_ETF_Options_Exhibits'!W587:W591)),AVERAGE('20250815_ETF_Options_Exhibits'!W587:W591),"")</f>
        <v/>
      </c>
      <c r="X591" s="3">
        <f>IF(ISNUMBER(AVERAGE('20250815_ETF_Options_Exhibits'!X587:X591)),AVERAGE('20250815_ETF_Options_Exhibits'!X587:X591),"")</f>
        <v/>
      </c>
      <c r="Y591" s="3">
        <f>IF(ISNUMBER(AVERAGE('20250815_ETF_Options_Exhibits'!Y587:Y591)),AVERAGE('20250815_ETF_Options_Exhibits'!Y587:Y591),"")</f>
        <v/>
      </c>
      <c r="Z591" s="3">
        <f>IF(ISNUMBER(AVERAGE('20250815_ETF_Options_Exhibits'!Z587:Z591)),AVERAGE('20250815_ETF_Options_Exhibits'!Z587:Z591),"")</f>
        <v/>
      </c>
      <c r="AA591" s="3">
        <f>IF(ISNUMBER(AVERAGE('20250815_ETF_Options_Exhibits'!AA587:AA591)),AVERAGE('20250815_ETF_Options_Exhibits'!AA587:AA591),"")</f>
        <v/>
      </c>
    </row>
    <row r="592">
      <c r="A592" s="1" t="n">
        <v>42860</v>
      </c>
      <c r="B592" s="3">
        <f>IF(ISNUMBER(AVERAGE('20250815_ETF_Options_Exhibits'!B588:B592)),AVERAGE('20250815_ETF_Options_Exhibits'!B588:B592),"")</f>
        <v/>
      </c>
      <c r="C592" s="3">
        <f>IF(ISNUMBER(AVERAGE('20250815_ETF_Options_Exhibits'!C588:C592)),AVERAGE('20250815_ETF_Options_Exhibits'!C588:C592),"")</f>
        <v/>
      </c>
      <c r="D592" s="3">
        <f>IF(ISNUMBER(AVERAGE('20250815_ETF_Options_Exhibits'!D588:D592)),AVERAGE('20250815_ETF_Options_Exhibits'!D588:D592),"")</f>
        <v/>
      </c>
      <c r="E592" s="3">
        <f>IF(ISNUMBER(AVERAGE('20250815_ETF_Options_Exhibits'!E588:E592)),AVERAGE('20250815_ETF_Options_Exhibits'!E588:E592),"")</f>
        <v/>
      </c>
      <c r="F592" s="3">
        <f>IF(ISNUMBER(AVERAGE('20250815_ETF_Options_Exhibits'!F588:F592)),AVERAGE('20250815_ETF_Options_Exhibits'!F588:F592),"")</f>
        <v/>
      </c>
      <c r="G592" s="3">
        <f>IF(ISNUMBER(AVERAGE('20250815_ETF_Options_Exhibits'!G588:G592)),AVERAGE('20250815_ETF_Options_Exhibits'!G588:G592),"")</f>
        <v/>
      </c>
      <c r="H592" s="3">
        <f>IF(ISNUMBER(AVERAGE('20250815_ETF_Options_Exhibits'!H588:H592)),AVERAGE('20250815_ETF_Options_Exhibits'!H588:H592),"")</f>
        <v/>
      </c>
      <c r="I592" s="3">
        <f>IF(ISNUMBER(AVERAGE('20250815_ETF_Options_Exhibits'!I588:I592)),AVERAGE('20250815_ETF_Options_Exhibits'!I588:I592),"")</f>
        <v/>
      </c>
      <c r="J592" s="3">
        <f>IF(ISNUMBER(AVERAGE('20250815_ETF_Options_Exhibits'!J588:J592)),AVERAGE('20250815_ETF_Options_Exhibits'!J588:J592),"")</f>
        <v/>
      </c>
      <c r="K592" s="3">
        <f>IF(ISNUMBER(AVERAGE('20250815_ETF_Options_Exhibits'!K588:K592)),AVERAGE('20250815_ETF_Options_Exhibits'!K588:K592),"")</f>
        <v/>
      </c>
      <c r="L592" s="3">
        <f>IF(ISNUMBER(AVERAGE('20250815_ETF_Options_Exhibits'!L588:L592)),AVERAGE('20250815_ETF_Options_Exhibits'!L588:L592),"")</f>
        <v/>
      </c>
      <c r="M592" s="3">
        <f>IF(ISNUMBER(AVERAGE('20250815_ETF_Options_Exhibits'!M588:M592)),AVERAGE('20250815_ETF_Options_Exhibits'!M588:M592),"")</f>
        <v/>
      </c>
      <c r="N592" s="3">
        <f>IF(ISNUMBER(AVERAGE('20250815_ETF_Options_Exhibits'!N588:N592)),AVERAGE('20250815_ETF_Options_Exhibits'!N588:N592),"")</f>
        <v/>
      </c>
      <c r="O592" s="3">
        <f>IF(ISNUMBER(AVERAGE('20250815_ETF_Options_Exhibits'!O588:O592)),AVERAGE('20250815_ETF_Options_Exhibits'!O588:O592),"")</f>
        <v/>
      </c>
      <c r="P592" s="3">
        <f>IF(ISNUMBER(AVERAGE('20250815_ETF_Options_Exhibits'!P588:P592)),AVERAGE('20250815_ETF_Options_Exhibits'!P588:P592),"")</f>
        <v/>
      </c>
      <c r="Q592" s="3">
        <f>IF(ISNUMBER(AVERAGE('20250815_ETF_Options_Exhibits'!Q588:Q592)),AVERAGE('20250815_ETF_Options_Exhibits'!Q588:Q592),"")</f>
        <v/>
      </c>
      <c r="R592" s="3">
        <f>IF(ISNUMBER(AVERAGE('20250815_ETF_Options_Exhibits'!R588:R592)),AVERAGE('20250815_ETF_Options_Exhibits'!R588:R592),"")</f>
        <v/>
      </c>
      <c r="S592" s="3">
        <f>IF(ISNUMBER(AVERAGE('20250815_ETF_Options_Exhibits'!S588:S592)),AVERAGE('20250815_ETF_Options_Exhibits'!S588:S592),"")</f>
        <v/>
      </c>
      <c r="T592" s="3">
        <f>IF(ISNUMBER(AVERAGE('20250815_ETF_Options_Exhibits'!T588:T592)),AVERAGE('20250815_ETF_Options_Exhibits'!T588:T592),"")</f>
        <v/>
      </c>
      <c r="U592" s="3">
        <f>IF(ISNUMBER(AVERAGE('20250815_ETF_Options_Exhibits'!U588:U592)),AVERAGE('20250815_ETF_Options_Exhibits'!U588:U592),"")</f>
        <v/>
      </c>
      <c r="V592" s="3">
        <f>IF(ISNUMBER(AVERAGE('20250815_ETF_Options_Exhibits'!V588:V592)),AVERAGE('20250815_ETF_Options_Exhibits'!V588:V592),"")</f>
        <v/>
      </c>
      <c r="W592" s="3">
        <f>IF(ISNUMBER(AVERAGE('20250815_ETF_Options_Exhibits'!W588:W592)),AVERAGE('20250815_ETF_Options_Exhibits'!W588:W592),"")</f>
        <v/>
      </c>
      <c r="X592" s="3">
        <f>IF(ISNUMBER(AVERAGE('20250815_ETF_Options_Exhibits'!X588:X592)),AVERAGE('20250815_ETF_Options_Exhibits'!X588:X592),"")</f>
        <v/>
      </c>
      <c r="Y592" s="3">
        <f>IF(ISNUMBER(AVERAGE('20250815_ETF_Options_Exhibits'!Y588:Y592)),AVERAGE('20250815_ETF_Options_Exhibits'!Y588:Y592),"")</f>
        <v/>
      </c>
      <c r="Z592" s="3">
        <f>IF(ISNUMBER(AVERAGE('20250815_ETF_Options_Exhibits'!Z588:Z592)),AVERAGE('20250815_ETF_Options_Exhibits'!Z588:Z592),"")</f>
        <v/>
      </c>
      <c r="AA592" s="3">
        <f>IF(ISNUMBER(AVERAGE('20250815_ETF_Options_Exhibits'!AA588:AA592)),AVERAGE('20250815_ETF_Options_Exhibits'!AA588:AA592),"")</f>
        <v/>
      </c>
    </row>
    <row r="593">
      <c r="A593" s="1" t="n">
        <v>42863</v>
      </c>
      <c r="B593" s="3">
        <f>IF(ISNUMBER(AVERAGE('20250815_ETF_Options_Exhibits'!B589:B593)),AVERAGE('20250815_ETF_Options_Exhibits'!B589:B593),"")</f>
        <v/>
      </c>
      <c r="C593" s="3">
        <f>IF(ISNUMBER(AVERAGE('20250815_ETF_Options_Exhibits'!C589:C593)),AVERAGE('20250815_ETF_Options_Exhibits'!C589:C593),"")</f>
        <v/>
      </c>
      <c r="D593" s="3">
        <f>IF(ISNUMBER(AVERAGE('20250815_ETF_Options_Exhibits'!D589:D593)),AVERAGE('20250815_ETF_Options_Exhibits'!D589:D593),"")</f>
        <v/>
      </c>
      <c r="E593" s="3">
        <f>IF(ISNUMBER(AVERAGE('20250815_ETF_Options_Exhibits'!E589:E593)),AVERAGE('20250815_ETF_Options_Exhibits'!E589:E593),"")</f>
        <v/>
      </c>
      <c r="F593" s="3">
        <f>IF(ISNUMBER(AVERAGE('20250815_ETF_Options_Exhibits'!F589:F593)),AVERAGE('20250815_ETF_Options_Exhibits'!F589:F593),"")</f>
        <v/>
      </c>
      <c r="G593" s="3">
        <f>IF(ISNUMBER(AVERAGE('20250815_ETF_Options_Exhibits'!G589:G593)),AVERAGE('20250815_ETF_Options_Exhibits'!G589:G593),"")</f>
        <v/>
      </c>
      <c r="H593" s="3">
        <f>IF(ISNUMBER(AVERAGE('20250815_ETF_Options_Exhibits'!H589:H593)),AVERAGE('20250815_ETF_Options_Exhibits'!H589:H593),"")</f>
        <v/>
      </c>
      <c r="I593" s="3">
        <f>IF(ISNUMBER(AVERAGE('20250815_ETF_Options_Exhibits'!I589:I593)),AVERAGE('20250815_ETF_Options_Exhibits'!I589:I593),"")</f>
        <v/>
      </c>
      <c r="J593" s="3">
        <f>IF(ISNUMBER(AVERAGE('20250815_ETF_Options_Exhibits'!J589:J593)),AVERAGE('20250815_ETF_Options_Exhibits'!J589:J593),"")</f>
        <v/>
      </c>
      <c r="K593" s="3">
        <f>IF(ISNUMBER(AVERAGE('20250815_ETF_Options_Exhibits'!K589:K593)),AVERAGE('20250815_ETF_Options_Exhibits'!K589:K593),"")</f>
        <v/>
      </c>
      <c r="L593" s="3">
        <f>IF(ISNUMBER(AVERAGE('20250815_ETF_Options_Exhibits'!L589:L593)),AVERAGE('20250815_ETF_Options_Exhibits'!L589:L593),"")</f>
        <v/>
      </c>
      <c r="M593" s="3">
        <f>IF(ISNUMBER(AVERAGE('20250815_ETF_Options_Exhibits'!M589:M593)),AVERAGE('20250815_ETF_Options_Exhibits'!M589:M593),"")</f>
        <v/>
      </c>
      <c r="N593" s="3">
        <f>IF(ISNUMBER(AVERAGE('20250815_ETF_Options_Exhibits'!N589:N593)),AVERAGE('20250815_ETF_Options_Exhibits'!N589:N593),"")</f>
        <v/>
      </c>
      <c r="O593" s="3">
        <f>IF(ISNUMBER(AVERAGE('20250815_ETF_Options_Exhibits'!O589:O593)),AVERAGE('20250815_ETF_Options_Exhibits'!O589:O593),"")</f>
        <v/>
      </c>
      <c r="P593" s="3">
        <f>IF(ISNUMBER(AVERAGE('20250815_ETF_Options_Exhibits'!P589:P593)),AVERAGE('20250815_ETF_Options_Exhibits'!P589:P593),"")</f>
        <v/>
      </c>
      <c r="Q593" s="3">
        <f>IF(ISNUMBER(AVERAGE('20250815_ETF_Options_Exhibits'!Q589:Q593)),AVERAGE('20250815_ETF_Options_Exhibits'!Q589:Q593),"")</f>
        <v/>
      </c>
      <c r="R593" s="3">
        <f>IF(ISNUMBER(AVERAGE('20250815_ETF_Options_Exhibits'!R589:R593)),AVERAGE('20250815_ETF_Options_Exhibits'!R589:R593),"")</f>
        <v/>
      </c>
      <c r="S593" s="3">
        <f>IF(ISNUMBER(AVERAGE('20250815_ETF_Options_Exhibits'!S589:S593)),AVERAGE('20250815_ETF_Options_Exhibits'!S589:S593),"")</f>
        <v/>
      </c>
      <c r="T593" s="3">
        <f>IF(ISNUMBER(AVERAGE('20250815_ETF_Options_Exhibits'!T589:T593)),AVERAGE('20250815_ETF_Options_Exhibits'!T589:T593),"")</f>
        <v/>
      </c>
      <c r="U593" s="3">
        <f>IF(ISNUMBER(AVERAGE('20250815_ETF_Options_Exhibits'!U589:U593)),AVERAGE('20250815_ETF_Options_Exhibits'!U589:U593),"")</f>
        <v/>
      </c>
      <c r="V593" s="3">
        <f>IF(ISNUMBER(AVERAGE('20250815_ETF_Options_Exhibits'!V589:V593)),AVERAGE('20250815_ETF_Options_Exhibits'!V589:V593),"")</f>
        <v/>
      </c>
      <c r="W593" s="3">
        <f>IF(ISNUMBER(AVERAGE('20250815_ETF_Options_Exhibits'!W589:W593)),AVERAGE('20250815_ETF_Options_Exhibits'!W589:W593),"")</f>
        <v/>
      </c>
      <c r="X593" s="3">
        <f>IF(ISNUMBER(AVERAGE('20250815_ETF_Options_Exhibits'!X589:X593)),AVERAGE('20250815_ETF_Options_Exhibits'!X589:X593),"")</f>
        <v/>
      </c>
      <c r="Y593" s="3">
        <f>IF(ISNUMBER(AVERAGE('20250815_ETF_Options_Exhibits'!Y589:Y593)),AVERAGE('20250815_ETF_Options_Exhibits'!Y589:Y593),"")</f>
        <v/>
      </c>
      <c r="Z593" s="3">
        <f>IF(ISNUMBER(AVERAGE('20250815_ETF_Options_Exhibits'!Z589:Z593)),AVERAGE('20250815_ETF_Options_Exhibits'!Z589:Z593),"")</f>
        <v/>
      </c>
      <c r="AA593" s="3">
        <f>IF(ISNUMBER(AVERAGE('20250815_ETF_Options_Exhibits'!AA589:AA593)),AVERAGE('20250815_ETF_Options_Exhibits'!AA589:AA593),"")</f>
        <v/>
      </c>
    </row>
    <row r="594">
      <c r="A594" s="1" t="n">
        <v>42864</v>
      </c>
      <c r="B594" s="3">
        <f>IF(ISNUMBER(AVERAGE('20250815_ETF_Options_Exhibits'!B590:B594)),AVERAGE('20250815_ETF_Options_Exhibits'!B590:B594),"")</f>
        <v/>
      </c>
      <c r="C594" s="3">
        <f>IF(ISNUMBER(AVERAGE('20250815_ETF_Options_Exhibits'!C590:C594)),AVERAGE('20250815_ETF_Options_Exhibits'!C590:C594),"")</f>
        <v/>
      </c>
      <c r="D594" s="3">
        <f>IF(ISNUMBER(AVERAGE('20250815_ETF_Options_Exhibits'!D590:D594)),AVERAGE('20250815_ETF_Options_Exhibits'!D590:D594),"")</f>
        <v/>
      </c>
      <c r="E594" s="3">
        <f>IF(ISNUMBER(AVERAGE('20250815_ETF_Options_Exhibits'!E590:E594)),AVERAGE('20250815_ETF_Options_Exhibits'!E590:E594),"")</f>
        <v/>
      </c>
      <c r="F594" s="3">
        <f>IF(ISNUMBER(AVERAGE('20250815_ETF_Options_Exhibits'!F590:F594)),AVERAGE('20250815_ETF_Options_Exhibits'!F590:F594),"")</f>
        <v/>
      </c>
      <c r="G594" s="3">
        <f>IF(ISNUMBER(AVERAGE('20250815_ETF_Options_Exhibits'!G590:G594)),AVERAGE('20250815_ETF_Options_Exhibits'!G590:G594),"")</f>
        <v/>
      </c>
      <c r="H594" s="3">
        <f>IF(ISNUMBER(AVERAGE('20250815_ETF_Options_Exhibits'!H590:H594)),AVERAGE('20250815_ETF_Options_Exhibits'!H590:H594),"")</f>
        <v/>
      </c>
      <c r="I594" s="3">
        <f>IF(ISNUMBER(AVERAGE('20250815_ETF_Options_Exhibits'!I590:I594)),AVERAGE('20250815_ETF_Options_Exhibits'!I590:I594),"")</f>
        <v/>
      </c>
      <c r="J594" s="3">
        <f>IF(ISNUMBER(AVERAGE('20250815_ETF_Options_Exhibits'!J590:J594)),AVERAGE('20250815_ETF_Options_Exhibits'!J590:J594),"")</f>
        <v/>
      </c>
      <c r="K594" s="3">
        <f>IF(ISNUMBER(AVERAGE('20250815_ETF_Options_Exhibits'!K590:K594)),AVERAGE('20250815_ETF_Options_Exhibits'!K590:K594),"")</f>
        <v/>
      </c>
      <c r="L594" s="3">
        <f>IF(ISNUMBER(AVERAGE('20250815_ETF_Options_Exhibits'!L590:L594)),AVERAGE('20250815_ETF_Options_Exhibits'!L590:L594),"")</f>
        <v/>
      </c>
      <c r="M594" s="3">
        <f>IF(ISNUMBER(AVERAGE('20250815_ETF_Options_Exhibits'!M590:M594)),AVERAGE('20250815_ETF_Options_Exhibits'!M590:M594),"")</f>
        <v/>
      </c>
      <c r="N594" s="3">
        <f>IF(ISNUMBER(AVERAGE('20250815_ETF_Options_Exhibits'!N590:N594)),AVERAGE('20250815_ETF_Options_Exhibits'!N590:N594),"")</f>
        <v/>
      </c>
      <c r="O594" s="3">
        <f>IF(ISNUMBER(AVERAGE('20250815_ETF_Options_Exhibits'!O590:O594)),AVERAGE('20250815_ETF_Options_Exhibits'!O590:O594),"")</f>
        <v/>
      </c>
      <c r="P594" s="3">
        <f>IF(ISNUMBER(AVERAGE('20250815_ETF_Options_Exhibits'!P590:P594)),AVERAGE('20250815_ETF_Options_Exhibits'!P590:P594),"")</f>
        <v/>
      </c>
      <c r="Q594" s="3">
        <f>IF(ISNUMBER(AVERAGE('20250815_ETF_Options_Exhibits'!Q590:Q594)),AVERAGE('20250815_ETF_Options_Exhibits'!Q590:Q594),"")</f>
        <v/>
      </c>
      <c r="R594" s="3">
        <f>IF(ISNUMBER(AVERAGE('20250815_ETF_Options_Exhibits'!R590:R594)),AVERAGE('20250815_ETF_Options_Exhibits'!R590:R594),"")</f>
        <v/>
      </c>
      <c r="S594" s="3">
        <f>IF(ISNUMBER(AVERAGE('20250815_ETF_Options_Exhibits'!S590:S594)),AVERAGE('20250815_ETF_Options_Exhibits'!S590:S594),"")</f>
        <v/>
      </c>
      <c r="T594" s="3">
        <f>IF(ISNUMBER(AVERAGE('20250815_ETF_Options_Exhibits'!T590:T594)),AVERAGE('20250815_ETF_Options_Exhibits'!T590:T594),"")</f>
        <v/>
      </c>
      <c r="U594" s="3">
        <f>IF(ISNUMBER(AVERAGE('20250815_ETF_Options_Exhibits'!U590:U594)),AVERAGE('20250815_ETF_Options_Exhibits'!U590:U594),"")</f>
        <v/>
      </c>
      <c r="V594" s="3">
        <f>IF(ISNUMBER(AVERAGE('20250815_ETF_Options_Exhibits'!V590:V594)),AVERAGE('20250815_ETF_Options_Exhibits'!V590:V594),"")</f>
        <v/>
      </c>
      <c r="W594" s="3">
        <f>IF(ISNUMBER(AVERAGE('20250815_ETF_Options_Exhibits'!W590:W594)),AVERAGE('20250815_ETF_Options_Exhibits'!W590:W594),"")</f>
        <v/>
      </c>
      <c r="X594" s="3">
        <f>IF(ISNUMBER(AVERAGE('20250815_ETF_Options_Exhibits'!X590:X594)),AVERAGE('20250815_ETF_Options_Exhibits'!X590:X594),"")</f>
        <v/>
      </c>
      <c r="Y594" s="3">
        <f>IF(ISNUMBER(AVERAGE('20250815_ETF_Options_Exhibits'!Y590:Y594)),AVERAGE('20250815_ETF_Options_Exhibits'!Y590:Y594),"")</f>
        <v/>
      </c>
      <c r="Z594" s="3">
        <f>IF(ISNUMBER(AVERAGE('20250815_ETF_Options_Exhibits'!Z590:Z594)),AVERAGE('20250815_ETF_Options_Exhibits'!Z590:Z594),"")</f>
        <v/>
      </c>
      <c r="AA594" s="3">
        <f>IF(ISNUMBER(AVERAGE('20250815_ETF_Options_Exhibits'!AA590:AA594)),AVERAGE('20250815_ETF_Options_Exhibits'!AA590:AA594),"")</f>
        <v/>
      </c>
    </row>
    <row r="595">
      <c r="A595" s="1" t="n">
        <v>42865</v>
      </c>
      <c r="B595" s="3">
        <f>IF(ISNUMBER(AVERAGE('20250815_ETF_Options_Exhibits'!B591:B595)),AVERAGE('20250815_ETF_Options_Exhibits'!B591:B595),"")</f>
        <v/>
      </c>
      <c r="C595" s="3">
        <f>IF(ISNUMBER(AVERAGE('20250815_ETF_Options_Exhibits'!C591:C595)),AVERAGE('20250815_ETF_Options_Exhibits'!C591:C595),"")</f>
        <v/>
      </c>
      <c r="D595" s="3">
        <f>IF(ISNUMBER(AVERAGE('20250815_ETF_Options_Exhibits'!D591:D595)),AVERAGE('20250815_ETF_Options_Exhibits'!D591:D595),"")</f>
        <v/>
      </c>
      <c r="E595" s="3">
        <f>IF(ISNUMBER(AVERAGE('20250815_ETF_Options_Exhibits'!E591:E595)),AVERAGE('20250815_ETF_Options_Exhibits'!E591:E595),"")</f>
        <v/>
      </c>
      <c r="F595" s="3">
        <f>IF(ISNUMBER(AVERAGE('20250815_ETF_Options_Exhibits'!F591:F595)),AVERAGE('20250815_ETF_Options_Exhibits'!F591:F595),"")</f>
        <v/>
      </c>
      <c r="G595" s="3">
        <f>IF(ISNUMBER(AVERAGE('20250815_ETF_Options_Exhibits'!G591:G595)),AVERAGE('20250815_ETF_Options_Exhibits'!G591:G595),"")</f>
        <v/>
      </c>
      <c r="H595" s="3">
        <f>IF(ISNUMBER(AVERAGE('20250815_ETF_Options_Exhibits'!H591:H595)),AVERAGE('20250815_ETF_Options_Exhibits'!H591:H595),"")</f>
        <v/>
      </c>
      <c r="I595" s="3">
        <f>IF(ISNUMBER(AVERAGE('20250815_ETF_Options_Exhibits'!I591:I595)),AVERAGE('20250815_ETF_Options_Exhibits'!I591:I595),"")</f>
        <v/>
      </c>
      <c r="J595" s="3">
        <f>IF(ISNUMBER(AVERAGE('20250815_ETF_Options_Exhibits'!J591:J595)),AVERAGE('20250815_ETF_Options_Exhibits'!J591:J595),"")</f>
        <v/>
      </c>
      <c r="K595" s="3">
        <f>IF(ISNUMBER(AVERAGE('20250815_ETF_Options_Exhibits'!K591:K595)),AVERAGE('20250815_ETF_Options_Exhibits'!K591:K595),"")</f>
        <v/>
      </c>
      <c r="L595" s="3">
        <f>IF(ISNUMBER(AVERAGE('20250815_ETF_Options_Exhibits'!L591:L595)),AVERAGE('20250815_ETF_Options_Exhibits'!L591:L595),"")</f>
        <v/>
      </c>
      <c r="M595" s="3">
        <f>IF(ISNUMBER(AVERAGE('20250815_ETF_Options_Exhibits'!M591:M595)),AVERAGE('20250815_ETF_Options_Exhibits'!M591:M595),"")</f>
        <v/>
      </c>
      <c r="N595" s="3">
        <f>IF(ISNUMBER(AVERAGE('20250815_ETF_Options_Exhibits'!N591:N595)),AVERAGE('20250815_ETF_Options_Exhibits'!N591:N595),"")</f>
        <v/>
      </c>
      <c r="O595" s="3">
        <f>IF(ISNUMBER(AVERAGE('20250815_ETF_Options_Exhibits'!O591:O595)),AVERAGE('20250815_ETF_Options_Exhibits'!O591:O595),"")</f>
        <v/>
      </c>
      <c r="P595" s="3">
        <f>IF(ISNUMBER(AVERAGE('20250815_ETF_Options_Exhibits'!P591:P595)),AVERAGE('20250815_ETF_Options_Exhibits'!P591:P595),"")</f>
        <v/>
      </c>
      <c r="Q595" s="3">
        <f>IF(ISNUMBER(AVERAGE('20250815_ETF_Options_Exhibits'!Q591:Q595)),AVERAGE('20250815_ETF_Options_Exhibits'!Q591:Q595),"")</f>
        <v/>
      </c>
      <c r="R595" s="3">
        <f>IF(ISNUMBER(AVERAGE('20250815_ETF_Options_Exhibits'!R591:R595)),AVERAGE('20250815_ETF_Options_Exhibits'!R591:R595),"")</f>
        <v/>
      </c>
      <c r="S595" s="3">
        <f>IF(ISNUMBER(AVERAGE('20250815_ETF_Options_Exhibits'!S591:S595)),AVERAGE('20250815_ETF_Options_Exhibits'!S591:S595),"")</f>
        <v/>
      </c>
      <c r="T595" s="3">
        <f>IF(ISNUMBER(AVERAGE('20250815_ETF_Options_Exhibits'!T591:T595)),AVERAGE('20250815_ETF_Options_Exhibits'!T591:T595),"")</f>
        <v/>
      </c>
      <c r="U595" s="3">
        <f>IF(ISNUMBER(AVERAGE('20250815_ETF_Options_Exhibits'!U591:U595)),AVERAGE('20250815_ETF_Options_Exhibits'!U591:U595),"")</f>
        <v/>
      </c>
      <c r="V595" s="3">
        <f>IF(ISNUMBER(AVERAGE('20250815_ETF_Options_Exhibits'!V591:V595)),AVERAGE('20250815_ETF_Options_Exhibits'!V591:V595),"")</f>
        <v/>
      </c>
      <c r="W595" s="3">
        <f>IF(ISNUMBER(AVERAGE('20250815_ETF_Options_Exhibits'!W591:W595)),AVERAGE('20250815_ETF_Options_Exhibits'!W591:W595),"")</f>
        <v/>
      </c>
      <c r="X595" s="3">
        <f>IF(ISNUMBER(AVERAGE('20250815_ETF_Options_Exhibits'!X591:X595)),AVERAGE('20250815_ETF_Options_Exhibits'!X591:X595),"")</f>
        <v/>
      </c>
      <c r="Y595" s="3">
        <f>IF(ISNUMBER(AVERAGE('20250815_ETF_Options_Exhibits'!Y591:Y595)),AVERAGE('20250815_ETF_Options_Exhibits'!Y591:Y595),"")</f>
        <v/>
      </c>
      <c r="Z595" s="3">
        <f>IF(ISNUMBER(AVERAGE('20250815_ETF_Options_Exhibits'!Z591:Z595)),AVERAGE('20250815_ETF_Options_Exhibits'!Z591:Z595),"")</f>
        <v/>
      </c>
      <c r="AA595" s="3">
        <f>IF(ISNUMBER(AVERAGE('20250815_ETF_Options_Exhibits'!AA591:AA595)),AVERAGE('20250815_ETF_Options_Exhibits'!AA591:AA595),"")</f>
        <v/>
      </c>
    </row>
    <row r="596">
      <c r="A596" s="1" t="n">
        <v>42866</v>
      </c>
      <c r="B596" s="3">
        <f>IF(ISNUMBER(AVERAGE('20250815_ETF_Options_Exhibits'!B592:B596)),AVERAGE('20250815_ETF_Options_Exhibits'!B592:B596),"")</f>
        <v/>
      </c>
      <c r="C596" s="3">
        <f>IF(ISNUMBER(AVERAGE('20250815_ETF_Options_Exhibits'!C592:C596)),AVERAGE('20250815_ETF_Options_Exhibits'!C592:C596),"")</f>
        <v/>
      </c>
      <c r="D596" s="3">
        <f>IF(ISNUMBER(AVERAGE('20250815_ETF_Options_Exhibits'!D592:D596)),AVERAGE('20250815_ETF_Options_Exhibits'!D592:D596),"")</f>
        <v/>
      </c>
      <c r="E596" s="3">
        <f>IF(ISNUMBER(AVERAGE('20250815_ETF_Options_Exhibits'!E592:E596)),AVERAGE('20250815_ETF_Options_Exhibits'!E592:E596),"")</f>
        <v/>
      </c>
      <c r="F596" s="3">
        <f>IF(ISNUMBER(AVERAGE('20250815_ETF_Options_Exhibits'!F592:F596)),AVERAGE('20250815_ETF_Options_Exhibits'!F592:F596),"")</f>
        <v/>
      </c>
      <c r="G596" s="3">
        <f>IF(ISNUMBER(AVERAGE('20250815_ETF_Options_Exhibits'!G592:G596)),AVERAGE('20250815_ETF_Options_Exhibits'!G592:G596),"")</f>
        <v/>
      </c>
      <c r="H596" s="3">
        <f>IF(ISNUMBER(AVERAGE('20250815_ETF_Options_Exhibits'!H592:H596)),AVERAGE('20250815_ETF_Options_Exhibits'!H592:H596),"")</f>
        <v/>
      </c>
      <c r="I596" s="3">
        <f>IF(ISNUMBER(AVERAGE('20250815_ETF_Options_Exhibits'!I592:I596)),AVERAGE('20250815_ETF_Options_Exhibits'!I592:I596),"")</f>
        <v/>
      </c>
      <c r="J596" s="3">
        <f>IF(ISNUMBER(AVERAGE('20250815_ETF_Options_Exhibits'!J592:J596)),AVERAGE('20250815_ETF_Options_Exhibits'!J592:J596),"")</f>
        <v/>
      </c>
      <c r="K596" s="3">
        <f>IF(ISNUMBER(AVERAGE('20250815_ETF_Options_Exhibits'!K592:K596)),AVERAGE('20250815_ETF_Options_Exhibits'!K592:K596),"")</f>
        <v/>
      </c>
      <c r="L596" s="3">
        <f>IF(ISNUMBER(AVERAGE('20250815_ETF_Options_Exhibits'!L592:L596)),AVERAGE('20250815_ETF_Options_Exhibits'!L592:L596),"")</f>
        <v/>
      </c>
      <c r="M596" s="3">
        <f>IF(ISNUMBER(AVERAGE('20250815_ETF_Options_Exhibits'!M592:M596)),AVERAGE('20250815_ETF_Options_Exhibits'!M592:M596),"")</f>
        <v/>
      </c>
      <c r="N596" s="3">
        <f>IF(ISNUMBER(AVERAGE('20250815_ETF_Options_Exhibits'!N592:N596)),AVERAGE('20250815_ETF_Options_Exhibits'!N592:N596),"")</f>
        <v/>
      </c>
      <c r="O596" s="3">
        <f>IF(ISNUMBER(AVERAGE('20250815_ETF_Options_Exhibits'!O592:O596)),AVERAGE('20250815_ETF_Options_Exhibits'!O592:O596),"")</f>
        <v/>
      </c>
      <c r="P596" s="3">
        <f>IF(ISNUMBER(AVERAGE('20250815_ETF_Options_Exhibits'!P592:P596)),AVERAGE('20250815_ETF_Options_Exhibits'!P592:P596),"")</f>
        <v/>
      </c>
      <c r="Q596" s="3">
        <f>IF(ISNUMBER(AVERAGE('20250815_ETF_Options_Exhibits'!Q592:Q596)),AVERAGE('20250815_ETF_Options_Exhibits'!Q592:Q596),"")</f>
        <v/>
      </c>
      <c r="R596" s="3">
        <f>IF(ISNUMBER(AVERAGE('20250815_ETF_Options_Exhibits'!R592:R596)),AVERAGE('20250815_ETF_Options_Exhibits'!R592:R596),"")</f>
        <v/>
      </c>
      <c r="S596" s="3">
        <f>IF(ISNUMBER(AVERAGE('20250815_ETF_Options_Exhibits'!S592:S596)),AVERAGE('20250815_ETF_Options_Exhibits'!S592:S596),"")</f>
        <v/>
      </c>
      <c r="T596" s="3">
        <f>IF(ISNUMBER(AVERAGE('20250815_ETF_Options_Exhibits'!T592:T596)),AVERAGE('20250815_ETF_Options_Exhibits'!T592:T596),"")</f>
        <v/>
      </c>
      <c r="U596" s="3">
        <f>IF(ISNUMBER(AVERAGE('20250815_ETF_Options_Exhibits'!U592:U596)),AVERAGE('20250815_ETF_Options_Exhibits'!U592:U596),"")</f>
        <v/>
      </c>
      <c r="V596" s="3">
        <f>IF(ISNUMBER(AVERAGE('20250815_ETF_Options_Exhibits'!V592:V596)),AVERAGE('20250815_ETF_Options_Exhibits'!V592:V596),"")</f>
        <v/>
      </c>
      <c r="W596" s="3">
        <f>IF(ISNUMBER(AVERAGE('20250815_ETF_Options_Exhibits'!W592:W596)),AVERAGE('20250815_ETF_Options_Exhibits'!W592:W596),"")</f>
        <v/>
      </c>
      <c r="X596" s="3">
        <f>IF(ISNUMBER(AVERAGE('20250815_ETF_Options_Exhibits'!X592:X596)),AVERAGE('20250815_ETF_Options_Exhibits'!X592:X596),"")</f>
        <v/>
      </c>
      <c r="Y596" s="3">
        <f>IF(ISNUMBER(AVERAGE('20250815_ETF_Options_Exhibits'!Y592:Y596)),AVERAGE('20250815_ETF_Options_Exhibits'!Y592:Y596),"")</f>
        <v/>
      </c>
      <c r="Z596" s="3">
        <f>IF(ISNUMBER(AVERAGE('20250815_ETF_Options_Exhibits'!Z592:Z596)),AVERAGE('20250815_ETF_Options_Exhibits'!Z592:Z596),"")</f>
        <v/>
      </c>
      <c r="AA596" s="3">
        <f>IF(ISNUMBER(AVERAGE('20250815_ETF_Options_Exhibits'!AA592:AA596)),AVERAGE('20250815_ETF_Options_Exhibits'!AA592:AA596),"")</f>
        <v/>
      </c>
    </row>
    <row r="597">
      <c r="A597" s="1" t="n">
        <v>42867</v>
      </c>
      <c r="B597" s="3">
        <f>IF(ISNUMBER(AVERAGE('20250815_ETF_Options_Exhibits'!B593:B597)),AVERAGE('20250815_ETF_Options_Exhibits'!B593:B597),"")</f>
        <v/>
      </c>
      <c r="C597" s="3">
        <f>IF(ISNUMBER(AVERAGE('20250815_ETF_Options_Exhibits'!C593:C597)),AVERAGE('20250815_ETF_Options_Exhibits'!C593:C597),"")</f>
        <v/>
      </c>
      <c r="D597" s="3">
        <f>IF(ISNUMBER(AVERAGE('20250815_ETF_Options_Exhibits'!D593:D597)),AVERAGE('20250815_ETF_Options_Exhibits'!D593:D597),"")</f>
        <v/>
      </c>
      <c r="E597" s="3">
        <f>IF(ISNUMBER(AVERAGE('20250815_ETF_Options_Exhibits'!E593:E597)),AVERAGE('20250815_ETF_Options_Exhibits'!E593:E597),"")</f>
        <v/>
      </c>
      <c r="F597" s="3">
        <f>IF(ISNUMBER(AVERAGE('20250815_ETF_Options_Exhibits'!F593:F597)),AVERAGE('20250815_ETF_Options_Exhibits'!F593:F597),"")</f>
        <v/>
      </c>
      <c r="G597" s="3">
        <f>IF(ISNUMBER(AVERAGE('20250815_ETF_Options_Exhibits'!G593:G597)),AVERAGE('20250815_ETF_Options_Exhibits'!G593:G597),"")</f>
        <v/>
      </c>
      <c r="H597" s="3">
        <f>IF(ISNUMBER(AVERAGE('20250815_ETF_Options_Exhibits'!H593:H597)),AVERAGE('20250815_ETF_Options_Exhibits'!H593:H597),"")</f>
        <v/>
      </c>
      <c r="I597" s="3">
        <f>IF(ISNUMBER(AVERAGE('20250815_ETF_Options_Exhibits'!I593:I597)),AVERAGE('20250815_ETF_Options_Exhibits'!I593:I597),"")</f>
        <v/>
      </c>
      <c r="J597" s="3">
        <f>IF(ISNUMBER(AVERAGE('20250815_ETF_Options_Exhibits'!J593:J597)),AVERAGE('20250815_ETF_Options_Exhibits'!J593:J597),"")</f>
        <v/>
      </c>
      <c r="K597" s="3">
        <f>IF(ISNUMBER(AVERAGE('20250815_ETF_Options_Exhibits'!K593:K597)),AVERAGE('20250815_ETF_Options_Exhibits'!K593:K597),"")</f>
        <v/>
      </c>
      <c r="L597" s="3">
        <f>IF(ISNUMBER(AVERAGE('20250815_ETF_Options_Exhibits'!L593:L597)),AVERAGE('20250815_ETF_Options_Exhibits'!L593:L597),"")</f>
        <v/>
      </c>
      <c r="M597" s="3">
        <f>IF(ISNUMBER(AVERAGE('20250815_ETF_Options_Exhibits'!M593:M597)),AVERAGE('20250815_ETF_Options_Exhibits'!M593:M597),"")</f>
        <v/>
      </c>
      <c r="N597" s="3">
        <f>IF(ISNUMBER(AVERAGE('20250815_ETF_Options_Exhibits'!N593:N597)),AVERAGE('20250815_ETF_Options_Exhibits'!N593:N597),"")</f>
        <v/>
      </c>
      <c r="O597" s="3">
        <f>IF(ISNUMBER(AVERAGE('20250815_ETF_Options_Exhibits'!O593:O597)),AVERAGE('20250815_ETF_Options_Exhibits'!O593:O597),"")</f>
        <v/>
      </c>
      <c r="P597" s="3">
        <f>IF(ISNUMBER(AVERAGE('20250815_ETF_Options_Exhibits'!P593:P597)),AVERAGE('20250815_ETF_Options_Exhibits'!P593:P597),"")</f>
        <v/>
      </c>
      <c r="Q597" s="3">
        <f>IF(ISNUMBER(AVERAGE('20250815_ETF_Options_Exhibits'!Q593:Q597)),AVERAGE('20250815_ETF_Options_Exhibits'!Q593:Q597),"")</f>
        <v/>
      </c>
      <c r="R597" s="3">
        <f>IF(ISNUMBER(AVERAGE('20250815_ETF_Options_Exhibits'!R593:R597)),AVERAGE('20250815_ETF_Options_Exhibits'!R593:R597),"")</f>
        <v/>
      </c>
      <c r="S597" s="3">
        <f>IF(ISNUMBER(AVERAGE('20250815_ETF_Options_Exhibits'!S593:S597)),AVERAGE('20250815_ETF_Options_Exhibits'!S593:S597),"")</f>
        <v/>
      </c>
      <c r="T597" s="3">
        <f>IF(ISNUMBER(AVERAGE('20250815_ETF_Options_Exhibits'!T593:T597)),AVERAGE('20250815_ETF_Options_Exhibits'!T593:T597),"")</f>
        <v/>
      </c>
      <c r="U597" s="3">
        <f>IF(ISNUMBER(AVERAGE('20250815_ETF_Options_Exhibits'!U593:U597)),AVERAGE('20250815_ETF_Options_Exhibits'!U593:U597),"")</f>
        <v/>
      </c>
      <c r="V597" s="3">
        <f>IF(ISNUMBER(AVERAGE('20250815_ETF_Options_Exhibits'!V593:V597)),AVERAGE('20250815_ETF_Options_Exhibits'!V593:V597),"")</f>
        <v/>
      </c>
      <c r="W597" s="3">
        <f>IF(ISNUMBER(AVERAGE('20250815_ETF_Options_Exhibits'!W593:W597)),AVERAGE('20250815_ETF_Options_Exhibits'!W593:W597),"")</f>
        <v/>
      </c>
      <c r="X597" s="3">
        <f>IF(ISNUMBER(AVERAGE('20250815_ETF_Options_Exhibits'!X593:X597)),AVERAGE('20250815_ETF_Options_Exhibits'!X593:X597),"")</f>
        <v/>
      </c>
      <c r="Y597" s="3">
        <f>IF(ISNUMBER(AVERAGE('20250815_ETF_Options_Exhibits'!Y593:Y597)),AVERAGE('20250815_ETF_Options_Exhibits'!Y593:Y597),"")</f>
        <v/>
      </c>
      <c r="Z597" s="3">
        <f>IF(ISNUMBER(AVERAGE('20250815_ETF_Options_Exhibits'!Z593:Z597)),AVERAGE('20250815_ETF_Options_Exhibits'!Z593:Z597),"")</f>
        <v/>
      </c>
      <c r="AA597" s="3">
        <f>IF(ISNUMBER(AVERAGE('20250815_ETF_Options_Exhibits'!AA593:AA597)),AVERAGE('20250815_ETF_Options_Exhibits'!AA593:AA597),"")</f>
        <v/>
      </c>
    </row>
    <row r="598">
      <c r="A598" s="1" t="n">
        <v>42870</v>
      </c>
      <c r="B598" s="3">
        <f>IF(ISNUMBER(AVERAGE('20250815_ETF_Options_Exhibits'!B594:B598)),AVERAGE('20250815_ETF_Options_Exhibits'!B594:B598),"")</f>
        <v/>
      </c>
      <c r="C598" s="3">
        <f>IF(ISNUMBER(AVERAGE('20250815_ETF_Options_Exhibits'!C594:C598)),AVERAGE('20250815_ETF_Options_Exhibits'!C594:C598),"")</f>
        <v/>
      </c>
      <c r="D598" s="3">
        <f>IF(ISNUMBER(AVERAGE('20250815_ETF_Options_Exhibits'!D594:D598)),AVERAGE('20250815_ETF_Options_Exhibits'!D594:D598),"")</f>
        <v/>
      </c>
      <c r="E598" s="3">
        <f>IF(ISNUMBER(AVERAGE('20250815_ETF_Options_Exhibits'!E594:E598)),AVERAGE('20250815_ETF_Options_Exhibits'!E594:E598),"")</f>
        <v/>
      </c>
      <c r="F598" s="3">
        <f>IF(ISNUMBER(AVERAGE('20250815_ETF_Options_Exhibits'!F594:F598)),AVERAGE('20250815_ETF_Options_Exhibits'!F594:F598),"")</f>
        <v/>
      </c>
      <c r="G598" s="3">
        <f>IF(ISNUMBER(AVERAGE('20250815_ETF_Options_Exhibits'!G594:G598)),AVERAGE('20250815_ETF_Options_Exhibits'!G594:G598),"")</f>
        <v/>
      </c>
      <c r="H598" s="3">
        <f>IF(ISNUMBER(AVERAGE('20250815_ETF_Options_Exhibits'!H594:H598)),AVERAGE('20250815_ETF_Options_Exhibits'!H594:H598),"")</f>
        <v/>
      </c>
      <c r="I598" s="3">
        <f>IF(ISNUMBER(AVERAGE('20250815_ETF_Options_Exhibits'!I594:I598)),AVERAGE('20250815_ETF_Options_Exhibits'!I594:I598),"")</f>
        <v/>
      </c>
      <c r="J598" s="3">
        <f>IF(ISNUMBER(AVERAGE('20250815_ETF_Options_Exhibits'!J594:J598)),AVERAGE('20250815_ETF_Options_Exhibits'!J594:J598),"")</f>
        <v/>
      </c>
      <c r="K598" s="3">
        <f>IF(ISNUMBER(AVERAGE('20250815_ETF_Options_Exhibits'!K594:K598)),AVERAGE('20250815_ETF_Options_Exhibits'!K594:K598),"")</f>
        <v/>
      </c>
      <c r="L598" s="3">
        <f>IF(ISNUMBER(AVERAGE('20250815_ETF_Options_Exhibits'!L594:L598)),AVERAGE('20250815_ETF_Options_Exhibits'!L594:L598),"")</f>
        <v/>
      </c>
      <c r="M598" s="3">
        <f>IF(ISNUMBER(AVERAGE('20250815_ETF_Options_Exhibits'!M594:M598)),AVERAGE('20250815_ETF_Options_Exhibits'!M594:M598),"")</f>
        <v/>
      </c>
      <c r="N598" s="3">
        <f>IF(ISNUMBER(AVERAGE('20250815_ETF_Options_Exhibits'!N594:N598)),AVERAGE('20250815_ETF_Options_Exhibits'!N594:N598),"")</f>
        <v/>
      </c>
      <c r="O598" s="3">
        <f>IF(ISNUMBER(AVERAGE('20250815_ETF_Options_Exhibits'!O594:O598)),AVERAGE('20250815_ETF_Options_Exhibits'!O594:O598),"")</f>
        <v/>
      </c>
      <c r="P598" s="3">
        <f>IF(ISNUMBER(AVERAGE('20250815_ETF_Options_Exhibits'!P594:P598)),AVERAGE('20250815_ETF_Options_Exhibits'!P594:P598),"")</f>
        <v/>
      </c>
      <c r="Q598" s="3">
        <f>IF(ISNUMBER(AVERAGE('20250815_ETF_Options_Exhibits'!Q594:Q598)),AVERAGE('20250815_ETF_Options_Exhibits'!Q594:Q598),"")</f>
        <v/>
      </c>
      <c r="R598" s="3">
        <f>IF(ISNUMBER(AVERAGE('20250815_ETF_Options_Exhibits'!R594:R598)),AVERAGE('20250815_ETF_Options_Exhibits'!R594:R598),"")</f>
        <v/>
      </c>
      <c r="S598" s="3">
        <f>IF(ISNUMBER(AVERAGE('20250815_ETF_Options_Exhibits'!S594:S598)),AVERAGE('20250815_ETF_Options_Exhibits'!S594:S598),"")</f>
        <v/>
      </c>
      <c r="T598" s="3">
        <f>IF(ISNUMBER(AVERAGE('20250815_ETF_Options_Exhibits'!T594:T598)),AVERAGE('20250815_ETF_Options_Exhibits'!T594:T598),"")</f>
        <v/>
      </c>
      <c r="U598" s="3">
        <f>IF(ISNUMBER(AVERAGE('20250815_ETF_Options_Exhibits'!U594:U598)),AVERAGE('20250815_ETF_Options_Exhibits'!U594:U598),"")</f>
        <v/>
      </c>
      <c r="V598" s="3">
        <f>IF(ISNUMBER(AVERAGE('20250815_ETF_Options_Exhibits'!V594:V598)),AVERAGE('20250815_ETF_Options_Exhibits'!V594:V598),"")</f>
        <v/>
      </c>
      <c r="W598" s="3">
        <f>IF(ISNUMBER(AVERAGE('20250815_ETF_Options_Exhibits'!W594:W598)),AVERAGE('20250815_ETF_Options_Exhibits'!W594:W598),"")</f>
        <v/>
      </c>
      <c r="X598" s="3">
        <f>IF(ISNUMBER(AVERAGE('20250815_ETF_Options_Exhibits'!X594:X598)),AVERAGE('20250815_ETF_Options_Exhibits'!X594:X598),"")</f>
        <v/>
      </c>
      <c r="Y598" s="3">
        <f>IF(ISNUMBER(AVERAGE('20250815_ETF_Options_Exhibits'!Y594:Y598)),AVERAGE('20250815_ETF_Options_Exhibits'!Y594:Y598),"")</f>
        <v/>
      </c>
      <c r="Z598" s="3">
        <f>IF(ISNUMBER(AVERAGE('20250815_ETF_Options_Exhibits'!Z594:Z598)),AVERAGE('20250815_ETF_Options_Exhibits'!Z594:Z598),"")</f>
        <v/>
      </c>
      <c r="AA598" s="3">
        <f>IF(ISNUMBER(AVERAGE('20250815_ETF_Options_Exhibits'!AA594:AA598)),AVERAGE('20250815_ETF_Options_Exhibits'!AA594:AA598),"")</f>
        <v/>
      </c>
    </row>
    <row r="599">
      <c r="A599" s="1" t="n">
        <v>42871</v>
      </c>
      <c r="B599" s="3">
        <f>IF(ISNUMBER(AVERAGE('20250815_ETF_Options_Exhibits'!B595:B599)),AVERAGE('20250815_ETF_Options_Exhibits'!B595:B599),"")</f>
        <v/>
      </c>
      <c r="C599" s="3">
        <f>IF(ISNUMBER(AVERAGE('20250815_ETF_Options_Exhibits'!C595:C599)),AVERAGE('20250815_ETF_Options_Exhibits'!C595:C599),"")</f>
        <v/>
      </c>
      <c r="D599" s="3">
        <f>IF(ISNUMBER(AVERAGE('20250815_ETF_Options_Exhibits'!D595:D599)),AVERAGE('20250815_ETF_Options_Exhibits'!D595:D599),"")</f>
        <v/>
      </c>
      <c r="E599" s="3">
        <f>IF(ISNUMBER(AVERAGE('20250815_ETF_Options_Exhibits'!E595:E599)),AVERAGE('20250815_ETF_Options_Exhibits'!E595:E599),"")</f>
        <v/>
      </c>
      <c r="F599" s="3">
        <f>IF(ISNUMBER(AVERAGE('20250815_ETF_Options_Exhibits'!F595:F599)),AVERAGE('20250815_ETF_Options_Exhibits'!F595:F599),"")</f>
        <v/>
      </c>
      <c r="G599" s="3">
        <f>IF(ISNUMBER(AVERAGE('20250815_ETF_Options_Exhibits'!G595:G599)),AVERAGE('20250815_ETF_Options_Exhibits'!G595:G599),"")</f>
        <v/>
      </c>
      <c r="H599" s="3">
        <f>IF(ISNUMBER(AVERAGE('20250815_ETF_Options_Exhibits'!H595:H599)),AVERAGE('20250815_ETF_Options_Exhibits'!H595:H599),"")</f>
        <v/>
      </c>
      <c r="I599" s="3">
        <f>IF(ISNUMBER(AVERAGE('20250815_ETF_Options_Exhibits'!I595:I599)),AVERAGE('20250815_ETF_Options_Exhibits'!I595:I599),"")</f>
        <v/>
      </c>
      <c r="J599" s="3">
        <f>IF(ISNUMBER(AVERAGE('20250815_ETF_Options_Exhibits'!J595:J599)),AVERAGE('20250815_ETF_Options_Exhibits'!J595:J599),"")</f>
        <v/>
      </c>
      <c r="K599" s="3">
        <f>IF(ISNUMBER(AVERAGE('20250815_ETF_Options_Exhibits'!K595:K599)),AVERAGE('20250815_ETF_Options_Exhibits'!K595:K599),"")</f>
        <v/>
      </c>
      <c r="L599" s="3">
        <f>IF(ISNUMBER(AVERAGE('20250815_ETF_Options_Exhibits'!L595:L599)),AVERAGE('20250815_ETF_Options_Exhibits'!L595:L599),"")</f>
        <v/>
      </c>
      <c r="M599" s="3">
        <f>IF(ISNUMBER(AVERAGE('20250815_ETF_Options_Exhibits'!M595:M599)),AVERAGE('20250815_ETF_Options_Exhibits'!M595:M599),"")</f>
        <v/>
      </c>
      <c r="N599" s="3">
        <f>IF(ISNUMBER(AVERAGE('20250815_ETF_Options_Exhibits'!N595:N599)),AVERAGE('20250815_ETF_Options_Exhibits'!N595:N599),"")</f>
        <v/>
      </c>
      <c r="O599" s="3">
        <f>IF(ISNUMBER(AVERAGE('20250815_ETF_Options_Exhibits'!O595:O599)),AVERAGE('20250815_ETF_Options_Exhibits'!O595:O599),"")</f>
        <v/>
      </c>
      <c r="P599" s="3">
        <f>IF(ISNUMBER(AVERAGE('20250815_ETF_Options_Exhibits'!P595:P599)),AVERAGE('20250815_ETF_Options_Exhibits'!P595:P599),"")</f>
        <v/>
      </c>
      <c r="Q599" s="3">
        <f>IF(ISNUMBER(AVERAGE('20250815_ETF_Options_Exhibits'!Q595:Q599)),AVERAGE('20250815_ETF_Options_Exhibits'!Q595:Q599),"")</f>
        <v/>
      </c>
      <c r="R599" s="3">
        <f>IF(ISNUMBER(AVERAGE('20250815_ETF_Options_Exhibits'!R595:R599)),AVERAGE('20250815_ETF_Options_Exhibits'!R595:R599),"")</f>
        <v/>
      </c>
      <c r="S599" s="3">
        <f>IF(ISNUMBER(AVERAGE('20250815_ETF_Options_Exhibits'!S595:S599)),AVERAGE('20250815_ETF_Options_Exhibits'!S595:S599),"")</f>
        <v/>
      </c>
      <c r="T599" s="3">
        <f>IF(ISNUMBER(AVERAGE('20250815_ETF_Options_Exhibits'!T595:T599)),AVERAGE('20250815_ETF_Options_Exhibits'!T595:T599),"")</f>
        <v/>
      </c>
      <c r="U599" s="3">
        <f>IF(ISNUMBER(AVERAGE('20250815_ETF_Options_Exhibits'!U595:U599)),AVERAGE('20250815_ETF_Options_Exhibits'!U595:U599),"")</f>
        <v/>
      </c>
      <c r="V599" s="3">
        <f>IF(ISNUMBER(AVERAGE('20250815_ETF_Options_Exhibits'!V595:V599)),AVERAGE('20250815_ETF_Options_Exhibits'!V595:V599),"")</f>
        <v/>
      </c>
      <c r="W599" s="3">
        <f>IF(ISNUMBER(AVERAGE('20250815_ETF_Options_Exhibits'!W595:W599)),AVERAGE('20250815_ETF_Options_Exhibits'!W595:W599),"")</f>
        <v/>
      </c>
      <c r="X599" s="3">
        <f>IF(ISNUMBER(AVERAGE('20250815_ETF_Options_Exhibits'!X595:X599)),AVERAGE('20250815_ETF_Options_Exhibits'!X595:X599),"")</f>
        <v/>
      </c>
      <c r="Y599" s="3">
        <f>IF(ISNUMBER(AVERAGE('20250815_ETF_Options_Exhibits'!Y595:Y599)),AVERAGE('20250815_ETF_Options_Exhibits'!Y595:Y599),"")</f>
        <v/>
      </c>
      <c r="Z599" s="3">
        <f>IF(ISNUMBER(AVERAGE('20250815_ETF_Options_Exhibits'!Z595:Z599)),AVERAGE('20250815_ETF_Options_Exhibits'!Z595:Z599),"")</f>
        <v/>
      </c>
      <c r="AA599" s="3">
        <f>IF(ISNUMBER(AVERAGE('20250815_ETF_Options_Exhibits'!AA595:AA599)),AVERAGE('20250815_ETF_Options_Exhibits'!AA595:AA599),"")</f>
        <v/>
      </c>
    </row>
    <row r="600">
      <c r="A600" s="1" t="n">
        <v>42872</v>
      </c>
      <c r="B600" s="3">
        <f>IF(ISNUMBER(AVERAGE('20250815_ETF_Options_Exhibits'!B596:B600)),AVERAGE('20250815_ETF_Options_Exhibits'!B596:B600),"")</f>
        <v/>
      </c>
      <c r="C600" s="3">
        <f>IF(ISNUMBER(AVERAGE('20250815_ETF_Options_Exhibits'!C596:C600)),AVERAGE('20250815_ETF_Options_Exhibits'!C596:C600),"")</f>
        <v/>
      </c>
      <c r="D600" s="3">
        <f>IF(ISNUMBER(AVERAGE('20250815_ETF_Options_Exhibits'!D596:D600)),AVERAGE('20250815_ETF_Options_Exhibits'!D596:D600),"")</f>
        <v/>
      </c>
      <c r="E600" s="3">
        <f>IF(ISNUMBER(AVERAGE('20250815_ETF_Options_Exhibits'!E596:E600)),AVERAGE('20250815_ETF_Options_Exhibits'!E596:E600),"")</f>
        <v/>
      </c>
      <c r="F600" s="3">
        <f>IF(ISNUMBER(AVERAGE('20250815_ETF_Options_Exhibits'!F596:F600)),AVERAGE('20250815_ETF_Options_Exhibits'!F596:F600),"")</f>
        <v/>
      </c>
      <c r="G600" s="3">
        <f>IF(ISNUMBER(AVERAGE('20250815_ETF_Options_Exhibits'!G596:G600)),AVERAGE('20250815_ETF_Options_Exhibits'!G596:G600),"")</f>
        <v/>
      </c>
      <c r="H600" s="3">
        <f>IF(ISNUMBER(AVERAGE('20250815_ETF_Options_Exhibits'!H596:H600)),AVERAGE('20250815_ETF_Options_Exhibits'!H596:H600),"")</f>
        <v/>
      </c>
      <c r="I600" s="3">
        <f>IF(ISNUMBER(AVERAGE('20250815_ETF_Options_Exhibits'!I596:I600)),AVERAGE('20250815_ETF_Options_Exhibits'!I596:I600),"")</f>
        <v/>
      </c>
      <c r="J600" s="3">
        <f>IF(ISNUMBER(AVERAGE('20250815_ETF_Options_Exhibits'!J596:J600)),AVERAGE('20250815_ETF_Options_Exhibits'!J596:J600),"")</f>
        <v/>
      </c>
      <c r="K600" s="3">
        <f>IF(ISNUMBER(AVERAGE('20250815_ETF_Options_Exhibits'!K596:K600)),AVERAGE('20250815_ETF_Options_Exhibits'!K596:K600),"")</f>
        <v/>
      </c>
      <c r="L600" s="3">
        <f>IF(ISNUMBER(AVERAGE('20250815_ETF_Options_Exhibits'!L596:L600)),AVERAGE('20250815_ETF_Options_Exhibits'!L596:L600),"")</f>
        <v/>
      </c>
      <c r="M600" s="3">
        <f>IF(ISNUMBER(AVERAGE('20250815_ETF_Options_Exhibits'!M596:M600)),AVERAGE('20250815_ETF_Options_Exhibits'!M596:M600),"")</f>
        <v/>
      </c>
      <c r="N600" s="3">
        <f>IF(ISNUMBER(AVERAGE('20250815_ETF_Options_Exhibits'!N596:N600)),AVERAGE('20250815_ETF_Options_Exhibits'!N596:N600),"")</f>
        <v/>
      </c>
      <c r="O600" s="3">
        <f>IF(ISNUMBER(AVERAGE('20250815_ETF_Options_Exhibits'!O596:O600)),AVERAGE('20250815_ETF_Options_Exhibits'!O596:O600),"")</f>
        <v/>
      </c>
      <c r="P600" s="3">
        <f>IF(ISNUMBER(AVERAGE('20250815_ETF_Options_Exhibits'!P596:P600)),AVERAGE('20250815_ETF_Options_Exhibits'!P596:P600),"")</f>
        <v/>
      </c>
      <c r="Q600" s="3">
        <f>IF(ISNUMBER(AVERAGE('20250815_ETF_Options_Exhibits'!Q596:Q600)),AVERAGE('20250815_ETF_Options_Exhibits'!Q596:Q600),"")</f>
        <v/>
      </c>
      <c r="R600" s="3">
        <f>IF(ISNUMBER(AVERAGE('20250815_ETF_Options_Exhibits'!R596:R600)),AVERAGE('20250815_ETF_Options_Exhibits'!R596:R600),"")</f>
        <v/>
      </c>
      <c r="S600" s="3">
        <f>IF(ISNUMBER(AVERAGE('20250815_ETF_Options_Exhibits'!S596:S600)),AVERAGE('20250815_ETF_Options_Exhibits'!S596:S600),"")</f>
        <v/>
      </c>
      <c r="T600" s="3">
        <f>IF(ISNUMBER(AVERAGE('20250815_ETF_Options_Exhibits'!T596:T600)),AVERAGE('20250815_ETF_Options_Exhibits'!T596:T600),"")</f>
        <v/>
      </c>
      <c r="U600" s="3">
        <f>IF(ISNUMBER(AVERAGE('20250815_ETF_Options_Exhibits'!U596:U600)),AVERAGE('20250815_ETF_Options_Exhibits'!U596:U600),"")</f>
        <v/>
      </c>
      <c r="V600" s="3">
        <f>IF(ISNUMBER(AVERAGE('20250815_ETF_Options_Exhibits'!V596:V600)),AVERAGE('20250815_ETF_Options_Exhibits'!V596:V600),"")</f>
        <v/>
      </c>
      <c r="W600" s="3">
        <f>IF(ISNUMBER(AVERAGE('20250815_ETF_Options_Exhibits'!W596:W600)),AVERAGE('20250815_ETF_Options_Exhibits'!W596:W600),"")</f>
        <v/>
      </c>
      <c r="X600" s="3">
        <f>IF(ISNUMBER(AVERAGE('20250815_ETF_Options_Exhibits'!X596:X600)),AVERAGE('20250815_ETF_Options_Exhibits'!X596:X600),"")</f>
        <v/>
      </c>
      <c r="Y600" s="3">
        <f>IF(ISNUMBER(AVERAGE('20250815_ETF_Options_Exhibits'!Y596:Y600)),AVERAGE('20250815_ETF_Options_Exhibits'!Y596:Y600),"")</f>
        <v/>
      </c>
      <c r="Z600" s="3">
        <f>IF(ISNUMBER(AVERAGE('20250815_ETF_Options_Exhibits'!Z596:Z600)),AVERAGE('20250815_ETF_Options_Exhibits'!Z596:Z600),"")</f>
        <v/>
      </c>
      <c r="AA600" s="3">
        <f>IF(ISNUMBER(AVERAGE('20250815_ETF_Options_Exhibits'!AA596:AA600)),AVERAGE('20250815_ETF_Options_Exhibits'!AA596:AA600),"")</f>
        <v/>
      </c>
    </row>
    <row r="601">
      <c r="A601" s="1" t="n">
        <v>42873</v>
      </c>
      <c r="B601" s="3">
        <f>IF(ISNUMBER(AVERAGE('20250815_ETF_Options_Exhibits'!B597:B601)),AVERAGE('20250815_ETF_Options_Exhibits'!B597:B601),"")</f>
        <v/>
      </c>
      <c r="C601" s="3">
        <f>IF(ISNUMBER(AVERAGE('20250815_ETF_Options_Exhibits'!C597:C601)),AVERAGE('20250815_ETF_Options_Exhibits'!C597:C601),"")</f>
        <v/>
      </c>
      <c r="D601" s="3">
        <f>IF(ISNUMBER(AVERAGE('20250815_ETF_Options_Exhibits'!D597:D601)),AVERAGE('20250815_ETF_Options_Exhibits'!D597:D601),"")</f>
        <v/>
      </c>
      <c r="E601" s="3">
        <f>IF(ISNUMBER(AVERAGE('20250815_ETF_Options_Exhibits'!E597:E601)),AVERAGE('20250815_ETF_Options_Exhibits'!E597:E601),"")</f>
        <v/>
      </c>
      <c r="F601" s="3">
        <f>IF(ISNUMBER(AVERAGE('20250815_ETF_Options_Exhibits'!F597:F601)),AVERAGE('20250815_ETF_Options_Exhibits'!F597:F601),"")</f>
        <v/>
      </c>
      <c r="G601" s="3">
        <f>IF(ISNUMBER(AVERAGE('20250815_ETF_Options_Exhibits'!G597:G601)),AVERAGE('20250815_ETF_Options_Exhibits'!G597:G601),"")</f>
        <v/>
      </c>
      <c r="H601" s="3">
        <f>IF(ISNUMBER(AVERAGE('20250815_ETF_Options_Exhibits'!H597:H601)),AVERAGE('20250815_ETF_Options_Exhibits'!H597:H601),"")</f>
        <v/>
      </c>
      <c r="I601" s="3">
        <f>IF(ISNUMBER(AVERAGE('20250815_ETF_Options_Exhibits'!I597:I601)),AVERAGE('20250815_ETF_Options_Exhibits'!I597:I601),"")</f>
        <v/>
      </c>
      <c r="J601" s="3">
        <f>IF(ISNUMBER(AVERAGE('20250815_ETF_Options_Exhibits'!J597:J601)),AVERAGE('20250815_ETF_Options_Exhibits'!J597:J601),"")</f>
        <v/>
      </c>
      <c r="K601" s="3">
        <f>IF(ISNUMBER(AVERAGE('20250815_ETF_Options_Exhibits'!K597:K601)),AVERAGE('20250815_ETF_Options_Exhibits'!K597:K601),"")</f>
        <v/>
      </c>
      <c r="L601" s="3">
        <f>IF(ISNUMBER(AVERAGE('20250815_ETF_Options_Exhibits'!L597:L601)),AVERAGE('20250815_ETF_Options_Exhibits'!L597:L601),"")</f>
        <v/>
      </c>
      <c r="M601" s="3">
        <f>IF(ISNUMBER(AVERAGE('20250815_ETF_Options_Exhibits'!M597:M601)),AVERAGE('20250815_ETF_Options_Exhibits'!M597:M601),"")</f>
        <v/>
      </c>
      <c r="N601" s="3">
        <f>IF(ISNUMBER(AVERAGE('20250815_ETF_Options_Exhibits'!N597:N601)),AVERAGE('20250815_ETF_Options_Exhibits'!N597:N601),"")</f>
        <v/>
      </c>
      <c r="O601" s="3">
        <f>IF(ISNUMBER(AVERAGE('20250815_ETF_Options_Exhibits'!O597:O601)),AVERAGE('20250815_ETF_Options_Exhibits'!O597:O601),"")</f>
        <v/>
      </c>
      <c r="P601" s="3">
        <f>IF(ISNUMBER(AVERAGE('20250815_ETF_Options_Exhibits'!P597:P601)),AVERAGE('20250815_ETF_Options_Exhibits'!P597:P601),"")</f>
        <v/>
      </c>
      <c r="Q601" s="3">
        <f>IF(ISNUMBER(AVERAGE('20250815_ETF_Options_Exhibits'!Q597:Q601)),AVERAGE('20250815_ETF_Options_Exhibits'!Q597:Q601),"")</f>
        <v/>
      </c>
      <c r="R601" s="3">
        <f>IF(ISNUMBER(AVERAGE('20250815_ETF_Options_Exhibits'!R597:R601)),AVERAGE('20250815_ETF_Options_Exhibits'!R597:R601),"")</f>
        <v/>
      </c>
      <c r="S601" s="3">
        <f>IF(ISNUMBER(AVERAGE('20250815_ETF_Options_Exhibits'!S597:S601)),AVERAGE('20250815_ETF_Options_Exhibits'!S597:S601),"")</f>
        <v/>
      </c>
      <c r="T601" s="3">
        <f>IF(ISNUMBER(AVERAGE('20250815_ETF_Options_Exhibits'!T597:T601)),AVERAGE('20250815_ETF_Options_Exhibits'!T597:T601),"")</f>
        <v/>
      </c>
      <c r="U601" s="3">
        <f>IF(ISNUMBER(AVERAGE('20250815_ETF_Options_Exhibits'!U597:U601)),AVERAGE('20250815_ETF_Options_Exhibits'!U597:U601),"")</f>
        <v/>
      </c>
      <c r="V601" s="3">
        <f>IF(ISNUMBER(AVERAGE('20250815_ETF_Options_Exhibits'!V597:V601)),AVERAGE('20250815_ETF_Options_Exhibits'!V597:V601),"")</f>
        <v/>
      </c>
      <c r="W601" s="3">
        <f>IF(ISNUMBER(AVERAGE('20250815_ETF_Options_Exhibits'!W597:W601)),AVERAGE('20250815_ETF_Options_Exhibits'!W597:W601),"")</f>
        <v/>
      </c>
      <c r="X601" s="3">
        <f>IF(ISNUMBER(AVERAGE('20250815_ETF_Options_Exhibits'!X597:X601)),AVERAGE('20250815_ETF_Options_Exhibits'!X597:X601),"")</f>
        <v/>
      </c>
      <c r="Y601" s="3">
        <f>IF(ISNUMBER(AVERAGE('20250815_ETF_Options_Exhibits'!Y597:Y601)),AVERAGE('20250815_ETF_Options_Exhibits'!Y597:Y601),"")</f>
        <v/>
      </c>
      <c r="Z601" s="3">
        <f>IF(ISNUMBER(AVERAGE('20250815_ETF_Options_Exhibits'!Z597:Z601)),AVERAGE('20250815_ETF_Options_Exhibits'!Z597:Z601),"")</f>
        <v/>
      </c>
      <c r="AA601" s="3">
        <f>IF(ISNUMBER(AVERAGE('20250815_ETF_Options_Exhibits'!AA597:AA601)),AVERAGE('20250815_ETF_Options_Exhibits'!AA597:AA601),"")</f>
        <v/>
      </c>
    </row>
    <row r="602">
      <c r="A602" s="1" t="n">
        <v>42874</v>
      </c>
      <c r="B602" s="3">
        <f>IF(ISNUMBER(AVERAGE('20250815_ETF_Options_Exhibits'!B598:B602)),AVERAGE('20250815_ETF_Options_Exhibits'!B598:B602),"")</f>
        <v/>
      </c>
      <c r="C602" s="3">
        <f>IF(ISNUMBER(AVERAGE('20250815_ETF_Options_Exhibits'!C598:C602)),AVERAGE('20250815_ETF_Options_Exhibits'!C598:C602),"")</f>
        <v/>
      </c>
      <c r="D602" s="3">
        <f>IF(ISNUMBER(AVERAGE('20250815_ETF_Options_Exhibits'!D598:D602)),AVERAGE('20250815_ETF_Options_Exhibits'!D598:D602),"")</f>
        <v/>
      </c>
      <c r="E602" s="3">
        <f>IF(ISNUMBER(AVERAGE('20250815_ETF_Options_Exhibits'!E598:E602)),AVERAGE('20250815_ETF_Options_Exhibits'!E598:E602),"")</f>
        <v/>
      </c>
      <c r="F602" s="3">
        <f>IF(ISNUMBER(AVERAGE('20250815_ETF_Options_Exhibits'!F598:F602)),AVERAGE('20250815_ETF_Options_Exhibits'!F598:F602),"")</f>
        <v/>
      </c>
      <c r="G602" s="3">
        <f>IF(ISNUMBER(AVERAGE('20250815_ETF_Options_Exhibits'!G598:G602)),AVERAGE('20250815_ETF_Options_Exhibits'!G598:G602),"")</f>
        <v/>
      </c>
      <c r="H602" s="3">
        <f>IF(ISNUMBER(AVERAGE('20250815_ETF_Options_Exhibits'!H598:H602)),AVERAGE('20250815_ETF_Options_Exhibits'!H598:H602),"")</f>
        <v/>
      </c>
      <c r="I602" s="3">
        <f>IF(ISNUMBER(AVERAGE('20250815_ETF_Options_Exhibits'!I598:I602)),AVERAGE('20250815_ETF_Options_Exhibits'!I598:I602),"")</f>
        <v/>
      </c>
      <c r="J602" s="3">
        <f>IF(ISNUMBER(AVERAGE('20250815_ETF_Options_Exhibits'!J598:J602)),AVERAGE('20250815_ETF_Options_Exhibits'!J598:J602),"")</f>
        <v/>
      </c>
      <c r="K602" s="3">
        <f>IF(ISNUMBER(AVERAGE('20250815_ETF_Options_Exhibits'!K598:K602)),AVERAGE('20250815_ETF_Options_Exhibits'!K598:K602),"")</f>
        <v/>
      </c>
      <c r="L602" s="3">
        <f>IF(ISNUMBER(AVERAGE('20250815_ETF_Options_Exhibits'!L598:L602)),AVERAGE('20250815_ETF_Options_Exhibits'!L598:L602),"")</f>
        <v/>
      </c>
      <c r="M602" s="3">
        <f>IF(ISNUMBER(AVERAGE('20250815_ETF_Options_Exhibits'!M598:M602)),AVERAGE('20250815_ETF_Options_Exhibits'!M598:M602),"")</f>
        <v/>
      </c>
      <c r="N602" s="3">
        <f>IF(ISNUMBER(AVERAGE('20250815_ETF_Options_Exhibits'!N598:N602)),AVERAGE('20250815_ETF_Options_Exhibits'!N598:N602),"")</f>
        <v/>
      </c>
      <c r="O602" s="3">
        <f>IF(ISNUMBER(AVERAGE('20250815_ETF_Options_Exhibits'!O598:O602)),AVERAGE('20250815_ETF_Options_Exhibits'!O598:O602),"")</f>
        <v/>
      </c>
      <c r="P602" s="3">
        <f>IF(ISNUMBER(AVERAGE('20250815_ETF_Options_Exhibits'!P598:P602)),AVERAGE('20250815_ETF_Options_Exhibits'!P598:P602),"")</f>
        <v/>
      </c>
      <c r="Q602" s="3">
        <f>IF(ISNUMBER(AVERAGE('20250815_ETF_Options_Exhibits'!Q598:Q602)),AVERAGE('20250815_ETF_Options_Exhibits'!Q598:Q602),"")</f>
        <v/>
      </c>
      <c r="R602" s="3">
        <f>IF(ISNUMBER(AVERAGE('20250815_ETF_Options_Exhibits'!R598:R602)),AVERAGE('20250815_ETF_Options_Exhibits'!R598:R602),"")</f>
        <v/>
      </c>
      <c r="S602" s="3">
        <f>IF(ISNUMBER(AVERAGE('20250815_ETF_Options_Exhibits'!S598:S602)),AVERAGE('20250815_ETF_Options_Exhibits'!S598:S602),"")</f>
        <v/>
      </c>
      <c r="T602" s="3">
        <f>IF(ISNUMBER(AVERAGE('20250815_ETF_Options_Exhibits'!T598:T602)),AVERAGE('20250815_ETF_Options_Exhibits'!T598:T602),"")</f>
        <v/>
      </c>
      <c r="U602" s="3">
        <f>IF(ISNUMBER(AVERAGE('20250815_ETF_Options_Exhibits'!U598:U602)),AVERAGE('20250815_ETF_Options_Exhibits'!U598:U602),"")</f>
        <v/>
      </c>
      <c r="V602" s="3">
        <f>IF(ISNUMBER(AVERAGE('20250815_ETF_Options_Exhibits'!V598:V602)),AVERAGE('20250815_ETF_Options_Exhibits'!V598:V602),"")</f>
        <v/>
      </c>
      <c r="W602" s="3">
        <f>IF(ISNUMBER(AVERAGE('20250815_ETF_Options_Exhibits'!W598:W602)),AVERAGE('20250815_ETF_Options_Exhibits'!W598:W602),"")</f>
        <v/>
      </c>
      <c r="X602" s="3">
        <f>IF(ISNUMBER(AVERAGE('20250815_ETF_Options_Exhibits'!X598:X602)),AVERAGE('20250815_ETF_Options_Exhibits'!X598:X602),"")</f>
        <v/>
      </c>
      <c r="Y602" s="3">
        <f>IF(ISNUMBER(AVERAGE('20250815_ETF_Options_Exhibits'!Y598:Y602)),AVERAGE('20250815_ETF_Options_Exhibits'!Y598:Y602),"")</f>
        <v/>
      </c>
      <c r="Z602" s="3">
        <f>IF(ISNUMBER(AVERAGE('20250815_ETF_Options_Exhibits'!Z598:Z602)),AVERAGE('20250815_ETF_Options_Exhibits'!Z598:Z602),"")</f>
        <v/>
      </c>
      <c r="AA602" s="3">
        <f>IF(ISNUMBER(AVERAGE('20250815_ETF_Options_Exhibits'!AA598:AA602)),AVERAGE('20250815_ETF_Options_Exhibits'!AA598:AA602),"")</f>
        <v/>
      </c>
    </row>
    <row r="603">
      <c r="A603" s="1" t="n">
        <v>42877</v>
      </c>
      <c r="B603" s="3">
        <f>IF(ISNUMBER(AVERAGE('20250815_ETF_Options_Exhibits'!B599:B603)),AVERAGE('20250815_ETF_Options_Exhibits'!B599:B603),"")</f>
        <v/>
      </c>
      <c r="C603" s="3">
        <f>IF(ISNUMBER(AVERAGE('20250815_ETF_Options_Exhibits'!C599:C603)),AVERAGE('20250815_ETF_Options_Exhibits'!C599:C603),"")</f>
        <v/>
      </c>
      <c r="D603" s="3">
        <f>IF(ISNUMBER(AVERAGE('20250815_ETF_Options_Exhibits'!D599:D603)),AVERAGE('20250815_ETF_Options_Exhibits'!D599:D603),"")</f>
        <v/>
      </c>
      <c r="E603" s="3">
        <f>IF(ISNUMBER(AVERAGE('20250815_ETF_Options_Exhibits'!E599:E603)),AVERAGE('20250815_ETF_Options_Exhibits'!E599:E603),"")</f>
        <v/>
      </c>
      <c r="F603" s="3">
        <f>IF(ISNUMBER(AVERAGE('20250815_ETF_Options_Exhibits'!F599:F603)),AVERAGE('20250815_ETF_Options_Exhibits'!F599:F603),"")</f>
        <v/>
      </c>
      <c r="G603" s="3">
        <f>IF(ISNUMBER(AVERAGE('20250815_ETF_Options_Exhibits'!G599:G603)),AVERAGE('20250815_ETF_Options_Exhibits'!G599:G603),"")</f>
        <v/>
      </c>
      <c r="H603" s="3">
        <f>IF(ISNUMBER(AVERAGE('20250815_ETF_Options_Exhibits'!H599:H603)),AVERAGE('20250815_ETF_Options_Exhibits'!H599:H603),"")</f>
        <v/>
      </c>
      <c r="I603" s="3">
        <f>IF(ISNUMBER(AVERAGE('20250815_ETF_Options_Exhibits'!I599:I603)),AVERAGE('20250815_ETF_Options_Exhibits'!I599:I603),"")</f>
        <v/>
      </c>
      <c r="J603" s="3">
        <f>IF(ISNUMBER(AVERAGE('20250815_ETF_Options_Exhibits'!J599:J603)),AVERAGE('20250815_ETF_Options_Exhibits'!J599:J603),"")</f>
        <v/>
      </c>
      <c r="K603" s="3">
        <f>IF(ISNUMBER(AVERAGE('20250815_ETF_Options_Exhibits'!K599:K603)),AVERAGE('20250815_ETF_Options_Exhibits'!K599:K603),"")</f>
        <v/>
      </c>
      <c r="L603" s="3">
        <f>IF(ISNUMBER(AVERAGE('20250815_ETF_Options_Exhibits'!L599:L603)),AVERAGE('20250815_ETF_Options_Exhibits'!L599:L603),"")</f>
        <v/>
      </c>
      <c r="M603" s="3">
        <f>IF(ISNUMBER(AVERAGE('20250815_ETF_Options_Exhibits'!M599:M603)),AVERAGE('20250815_ETF_Options_Exhibits'!M599:M603),"")</f>
        <v/>
      </c>
      <c r="N603" s="3">
        <f>IF(ISNUMBER(AVERAGE('20250815_ETF_Options_Exhibits'!N599:N603)),AVERAGE('20250815_ETF_Options_Exhibits'!N599:N603),"")</f>
        <v/>
      </c>
      <c r="O603" s="3">
        <f>IF(ISNUMBER(AVERAGE('20250815_ETF_Options_Exhibits'!O599:O603)),AVERAGE('20250815_ETF_Options_Exhibits'!O599:O603),"")</f>
        <v/>
      </c>
      <c r="P603" s="3">
        <f>IF(ISNUMBER(AVERAGE('20250815_ETF_Options_Exhibits'!P599:P603)),AVERAGE('20250815_ETF_Options_Exhibits'!P599:P603),"")</f>
        <v/>
      </c>
      <c r="Q603" s="3">
        <f>IF(ISNUMBER(AVERAGE('20250815_ETF_Options_Exhibits'!Q599:Q603)),AVERAGE('20250815_ETF_Options_Exhibits'!Q599:Q603),"")</f>
        <v/>
      </c>
      <c r="R603" s="3">
        <f>IF(ISNUMBER(AVERAGE('20250815_ETF_Options_Exhibits'!R599:R603)),AVERAGE('20250815_ETF_Options_Exhibits'!R599:R603),"")</f>
        <v/>
      </c>
      <c r="S603" s="3">
        <f>IF(ISNUMBER(AVERAGE('20250815_ETF_Options_Exhibits'!S599:S603)),AVERAGE('20250815_ETF_Options_Exhibits'!S599:S603),"")</f>
        <v/>
      </c>
      <c r="T603" s="3">
        <f>IF(ISNUMBER(AVERAGE('20250815_ETF_Options_Exhibits'!T599:T603)),AVERAGE('20250815_ETF_Options_Exhibits'!T599:T603),"")</f>
        <v/>
      </c>
      <c r="U603" s="3">
        <f>IF(ISNUMBER(AVERAGE('20250815_ETF_Options_Exhibits'!U599:U603)),AVERAGE('20250815_ETF_Options_Exhibits'!U599:U603),"")</f>
        <v/>
      </c>
      <c r="V603" s="3">
        <f>IF(ISNUMBER(AVERAGE('20250815_ETF_Options_Exhibits'!V599:V603)),AVERAGE('20250815_ETF_Options_Exhibits'!V599:V603),"")</f>
        <v/>
      </c>
      <c r="W603" s="3">
        <f>IF(ISNUMBER(AVERAGE('20250815_ETF_Options_Exhibits'!W599:W603)),AVERAGE('20250815_ETF_Options_Exhibits'!W599:W603),"")</f>
        <v/>
      </c>
      <c r="X603" s="3">
        <f>IF(ISNUMBER(AVERAGE('20250815_ETF_Options_Exhibits'!X599:X603)),AVERAGE('20250815_ETF_Options_Exhibits'!X599:X603),"")</f>
        <v/>
      </c>
      <c r="Y603" s="3">
        <f>IF(ISNUMBER(AVERAGE('20250815_ETF_Options_Exhibits'!Y599:Y603)),AVERAGE('20250815_ETF_Options_Exhibits'!Y599:Y603),"")</f>
        <v/>
      </c>
      <c r="Z603" s="3">
        <f>IF(ISNUMBER(AVERAGE('20250815_ETF_Options_Exhibits'!Z599:Z603)),AVERAGE('20250815_ETF_Options_Exhibits'!Z599:Z603),"")</f>
        <v/>
      </c>
      <c r="AA603" s="3">
        <f>IF(ISNUMBER(AVERAGE('20250815_ETF_Options_Exhibits'!AA599:AA603)),AVERAGE('20250815_ETF_Options_Exhibits'!AA599:AA603),"")</f>
        <v/>
      </c>
    </row>
    <row r="604">
      <c r="A604" s="1" t="n">
        <v>42878</v>
      </c>
      <c r="B604" s="3">
        <f>IF(ISNUMBER(AVERAGE('20250815_ETF_Options_Exhibits'!B600:B604)),AVERAGE('20250815_ETF_Options_Exhibits'!B600:B604),"")</f>
        <v/>
      </c>
      <c r="C604" s="3">
        <f>IF(ISNUMBER(AVERAGE('20250815_ETF_Options_Exhibits'!C600:C604)),AVERAGE('20250815_ETF_Options_Exhibits'!C600:C604),"")</f>
        <v/>
      </c>
      <c r="D604" s="3">
        <f>IF(ISNUMBER(AVERAGE('20250815_ETF_Options_Exhibits'!D600:D604)),AVERAGE('20250815_ETF_Options_Exhibits'!D600:D604),"")</f>
        <v/>
      </c>
      <c r="E604" s="3">
        <f>IF(ISNUMBER(AVERAGE('20250815_ETF_Options_Exhibits'!E600:E604)),AVERAGE('20250815_ETF_Options_Exhibits'!E600:E604),"")</f>
        <v/>
      </c>
      <c r="F604" s="3">
        <f>IF(ISNUMBER(AVERAGE('20250815_ETF_Options_Exhibits'!F600:F604)),AVERAGE('20250815_ETF_Options_Exhibits'!F600:F604),"")</f>
        <v/>
      </c>
      <c r="G604" s="3">
        <f>IF(ISNUMBER(AVERAGE('20250815_ETF_Options_Exhibits'!G600:G604)),AVERAGE('20250815_ETF_Options_Exhibits'!G600:G604),"")</f>
        <v/>
      </c>
      <c r="H604" s="3">
        <f>IF(ISNUMBER(AVERAGE('20250815_ETF_Options_Exhibits'!H600:H604)),AVERAGE('20250815_ETF_Options_Exhibits'!H600:H604),"")</f>
        <v/>
      </c>
      <c r="I604" s="3">
        <f>IF(ISNUMBER(AVERAGE('20250815_ETF_Options_Exhibits'!I600:I604)),AVERAGE('20250815_ETF_Options_Exhibits'!I600:I604),"")</f>
        <v/>
      </c>
      <c r="J604" s="3">
        <f>IF(ISNUMBER(AVERAGE('20250815_ETF_Options_Exhibits'!J600:J604)),AVERAGE('20250815_ETF_Options_Exhibits'!J600:J604),"")</f>
        <v/>
      </c>
      <c r="K604" s="3">
        <f>IF(ISNUMBER(AVERAGE('20250815_ETF_Options_Exhibits'!K600:K604)),AVERAGE('20250815_ETF_Options_Exhibits'!K600:K604),"")</f>
        <v/>
      </c>
      <c r="L604" s="3">
        <f>IF(ISNUMBER(AVERAGE('20250815_ETF_Options_Exhibits'!L600:L604)),AVERAGE('20250815_ETF_Options_Exhibits'!L600:L604),"")</f>
        <v/>
      </c>
      <c r="M604" s="3">
        <f>IF(ISNUMBER(AVERAGE('20250815_ETF_Options_Exhibits'!M600:M604)),AVERAGE('20250815_ETF_Options_Exhibits'!M600:M604),"")</f>
        <v/>
      </c>
      <c r="N604" s="3">
        <f>IF(ISNUMBER(AVERAGE('20250815_ETF_Options_Exhibits'!N600:N604)),AVERAGE('20250815_ETF_Options_Exhibits'!N600:N604),"")</f>
        <v/>
      </c>
      <c r="O604" s="3">
        <f>IF(ISNUMBER(AVERAGE('20250815_ETF_Options_Exhibits'!O600:O604)),AVERAGE('20250815_ETF_Options_Exhibits'!O600:O604),"")</f>
        <v/>
      </c>
      <c r="P604" s="3">
        <f>IF(ISNUMBER(AVERAGE('20250815_ETF_Options_Exhibits'!P600:P604)),AVERAGE('20250815_ETF_Options_Exhibits'!P600:P604),"")</f>
        <v/>
      </c>
      <c r="Q604" s="3">
        <f>IF(ISNUMBER(AVERAGE('20250815_ETF_Options_Exhibits'!Q600:Q604)),AVERAGE('20250815_ETF_Options_Exhibits'!Q600:Q604),"")</f>
        <v/>
      </c>
      <c r="R604" s="3">
        <f>IF(ISNUMBER(AVERAGE('20250815_ETF_Options_Exhibits'!R600:R604)),AVERAGE('20250815_ETF_Options_Exhibits'!R600:R604),"")</f>
        <v/>
      </c>
      <c r="S604" s="3">
        <f>IF(ISNUMBER(AVERAGE('20250815_ETF_Options_Exhibits'!S600:S604)),AVERAGE('20250815_ETF_Options_Exhibits'!S600:S604),"")</f>
        <v/>
      </c>
      <c r="T604" s="3">
        <f>IF(ISNUMBER(AVERAGE('20250815_ETF_Options_Exhibits'!T600:T604)),AVERAGE('20250815_ETF_Options_Exhibits'!T600:T604),"")</f>
        <v/>
      </c>
      <c r="U604" s="3">
        <f>IF(ISNUMBER(AVERAGE('20250815_ETF_Options_Exhibits'!U600:U604)),AVERAGE('20250815_ETF_Options_Exhibits'!U600:U604),"")</f>
        <v/>
      </c>
      <c r="V604" s="3">
        <f>IF(ISNUMBER(AVERAGE('20250815_ETF_Options_Exhibits'!V600:V604)),AVERAGE('20250815_ETF_Options_Exhibits'!V600:V604),"")</f>
        <v/>
      </c>
      <c r="W604" s="3">
        <f>IF(ISNUMBER(AVERAGE('20250815_ETF_Options_Exhibits'!W600:W604)),AVERAGE('20250815_ETF_Options_Exhibits'!W600:W604),"")</f>
        <v/>
      </c>
      <c r="X604" s="3">
        <f>IF(ISNUMBER(AVERAGE('20250815_ETF_Options_Exhibits'!X600:X604)),AVERAGE('20250815_ETF_Options_Exhibits'!X600:X604),"")</f>
        <v/>
      </c>
      <c r="Y604" s="3">
        <f>IF(ISNUMBER(AVERAGE('20250815_ETF_Options_Exhibits'!Y600:Y604)),AVERAGE('20250815_ETF_Options_Exhibits'!Y600:Y604),"")</f>
        <v/>
      </c>
      <c r="Z604" s="3">
        <f>IF(ISNUMBER(AVERAGE('20250815_ETF_Options_Exhibits'!Z600:Z604)),AVERAGE('20250815_ETF_Options_Exhibits'!Z600:Z604),"")</f>
        <v/>
      </c>
      <c r="AA604" s="3">
        <f>IF(ISNUMBER(AVERAGE('20250815_ETF_Options_Exhibits'!AA600:AA604)),AVERAGE('20250815_ETF_Options_Exhibits'!AA600:AA604),"")</f>
        <v/>
      </c>
    </row>
    <row r="605">
      <c r="A605" s="1" t="n">
        <v>42879</v>
      </c>
      <c r="B605" s="3">
        <f>IF(ISNUMBER(AVERAGE('20250815_ETF_Options_Exhibits'!B601:B605)),AVERAGE('20250815_ETF_Options_Exhibits'!B601:B605),"")</f>
        <v/>
      </c>
      <c r="C605" s="3">
        <f>IF(ISNUMBER(AVERAGE('20250815_ETF_Options_Exhibits'!C601:C605)),AVERAGE('20250815_ETF_Options_Exhibits'!C601:C605),"")</f>
        <v/>
      </c>
      <c r="D605" s="3">
        <f>IF(ISNUMBER(AVERAGE('20250815_ETF_Options_Exhibits'!D601:D605)),AVERAGE('20250815_ETF_Options_Exhibits'!D601:D605),"")</f>
        <v/>
      </c>
      <c r="E605" s="3">
        <f>IF(ISNUMBER(AVERAGE('20250815_ETF_Options_Exhibits'!E601:E605)),AVERAGE('20250815_ETF_Options_Exhibits'!E601:E605),"")</f>
        <v/>
      </c>
      <c r="F605" s="3">
        <f>IF(ISNUMBER(AVERAGE('20250815_ETF_Options_Exhibits'!F601:F605)),AVERAGE('20250815_ETF_Options_Exhibits'!F601:F605),"")</f>
        <v/>
      </c>
      <c r="G605" s="3">
        <f>IF(ISNUMBER(AVERAGE('20250815_ETF_Options_Exhibits'!G601:G605)),AVERAGE('20250815_ETF_Options_Exhibits'!G601:G605),"")</f>
        <v/>
      </c>
      <c r="H605" s="3">
        <f>IF(ISNUMBER(AVERAGE('20250815_ETF_Options_Exhibits'!H601:H605)),AVERAGE('20250815_ETF_Options_Exhibits'!H601:H605),"")</f>
        <v/>
      </c>
      <c r="I605" s="3">
        <f>IF(ISNUMBER(AVERAGE('20250815_ETF_Options_Exhibits'!I601:I605)),AVERAGE('20250815_ETF_Options_Exhibits'!I601:I605),"")</f>
        <v/>
      </c>
      <c r="J605" s="3">
        <f>IF(ISNUMBER(AVERAGE('20250815_ETF_Options_Exhibits'!J601:J605)),AVERAGE('20250815_ETF_Options_Exhibits'!J601:J605),"")</f>
        <v/>
      </c>
      <c r="K605" s="3">
        <f>IF(ISNUMBER(AVERAGE('20250815_ETF_Options_Exhibits'!K601:K605)),AVERAGE('20250815_ETF_Options_Exhibits'!K601:K605),"")</f>
        <v/>
      </c>
      <c r="L605" s="3">
        <f>IF(ISNUMBER(AVERAGE('20250815_ETF_Options_Exhibits'!L601:L605)),AVERAGE('20250815_ETF_Options_Exhibits'!L601:L605),"")</f>
        <v/>
      </c>
      <c r="M605" s="3">
        <f>IF(ISNUMBER(AVERAGE('20250815_ETF_Options_Exhibits'!M601:M605)),AVERAGE('20250815_ETF_Options_Exhibits'!M601:M605),"")</f>
        <v/>
      </c>
      <c r="N605" s="3">
        <f>IF(ISNUMBER(AVERAGE('20250815_ETF_Options_Exhibits'!N601:N605)),AVERAGE('20250815_ETF_Options_Exhibits'!N601:N605),"")</f>
        <v/>
      </c>
      <c r="O605" s="3">
        <f>IF(ISNUMBER(AVERAGE('20250815_ETF_Options_Exhibits'!O601:O605)),AVERAGE('20250815_ETF_Options_Exhibits'!O601:O605),"")</f>
        <v/>
      </c>
      <c r="P605" s="3">
        <f>IF(ISNUMBER(AVERAGE('20250815_ETF_Options_Exhibits'!P601:P605)),AVERAGE('20250815_ETF_Options_Exhibits'!P601:P605),"")</f>
        <v/>
      </c>
      <c r="Q605" s="3">
        <f>IF(ISNUMBER(AVERAGE('20250815_ETF_Options_Exhibits'!Q601:Q605)),AVERAGE('20250815_ETF_Options_Exhibits'!Q601:Q605),"")</f>
        <v/>
      </c>
      <c r="R605" s="3">
        <f>IF(ISNUMBER(AVERAGE('20250815_ETF_Options_Exhibits'!R601:R605)),AVERAGE('20250815_ETF_Options_Exhibits'!R601:R605),"")</f>
        <v/>
      </c>
      <c r="S605" s="3">
        <f>IF(ISNUMBER(AVERAGE('20250815_ETF_Options_Exhibits'!S601:S605)),AVERAGE('20250815_ETF_Options_Exhibits'!S601:S605),"")</f>
        <v/>
      </c>
      <c r="T605" s="3">
        <f>IF(ISNUMBER(AVERAGE('20250815_ETF_Options_Exhibits'!T601:T605)),AVERAGE('20250815_ETF_Options_Exhibits'!T601:T605),"")</f>
        <v/>
      </c>
      <c r="U605" s="3">
        <f>IF(ISNUMBER(AVERAGE('20250815_ETF_Options_Exhibits'!U601:U605)),AVERAGE('20250815_ETF_Options_Exhibits'!U601:U605),"")</f>
        <v/>
      </c>
      <c r="V605" s="3">
        <f>IF(ISNUMBER(AVERAGE('20250815_ETF_Options_Exhibits'!V601:V605)),AVERAGE('20250815_ETF_Options_Exhibits'!V601:V605),"")</f>
        <v/>
      </c>
      <c r="W605" s="3">
        <f>IF(ISNUMBER(AVERAGE('20250815_ETF_Options_Exhibits'!W601:W605)),AVERAGE('20250815_ETF_Options_Exhibits'!W601:W605),"")</f>
        <v/>
      </c>
      <c r="X605" s="3">
        <f>IF(ISNUMBER(AVERAGE('20250815_ETF_Options_Exhibits'!X601:X605)),AVERAGE('20250815_ETF_Options_Exhibits'!X601:X605),"")</f>
        <v/>
      </c>
      <c r="Y605" s="3">
        <f>IF(ISNUMBER(AVERAGE('20250815_ETF_Options_Exhibits'!Y601:Y605)),AVERAGE('20250815_ETF_Options_Exhibits'!Y601:Y605),"")</f>
        <v/>
      </c>
      <c r="Z605" s="3">
        <f>IF(ISNUMBER(AVERAGE('20250815_ETF_Options_Exhibits'!Z601:Z605)),AVERAGE('20250815_ETF_Options_Exhibits'!Z601:Z605),"")</f>
        <v/>
      </c>
      <c r="AA605" s="3">
        <f>IF(ISNUMBER(AVERAGE('20250815_ETF_Options_Exhibits'!AA601:AA605)),AVERAGE('20250815_ETF_Options_Exhibits'!AA601:AA605),"")</f>
        <v/>
      </c>
    </row>
    <row r="606">
      <c r="A606" s="1" t="n">
        <v>42880</v>
      </c>
      <c r="B606" s="3">
        <f>IF(ISNUMBER(AVERAGE('20250815_ETF_Options_Exhibits'!B602:B606)),AVERAGE('20250815_ETF_Options_Exhibits'!B602:B606),"")</f>
        <v/>
      </c>
      <c r="C606" s="3">
        <f>IF(ISNUMBER(AVERAGE('20250815_ETF_Options_Exhibits'!C602:C606)),AVERAGE('20250815_ETF_Options_Exhibits'!C602:C606),"")</f>
        <v/>
      </c>
      <c r="D606" s="3">
        <f>IF(ISNUMBER(AVERAGE('20250815_ETF_Options_Exhibits'!D602:D606)),AVERAGE('20250815_ETF_Options_Exhibits'!D602:D606),"")</f>
        <v/>
      </c>
      <c r="E606" s="3">
        <f>IF(ISNUMBER(AVERAGE('20250815_ETF_Options_Exhibits'!E602:E606)),AVERAGE('20250815_ETF_Options_Exhibits'!E602:E606),"")</f>
        <v/>
      </c>
      <c r="F606" s="3">
        <f>IF(ISNUMBER(AVERAGE('20250815_ETF_Options_Exhibits'!F602:F606)),AVERAGE('20250815_ETF_Options_Exhibits'!F602:F606),"")</f>
        <v/>
      </c>
      <c r="G606" s="3">
        <f>IF(ISNUMBER(AVERAGE('20250815_ETF_Options_Exhibits'!G602:G606)),AVERAGE('20250815_ETF_Options_Exhibits'!G602:G606),"")</f>
        <v/>
      </c>
      <c r="H606" s="3">
        <f>IF(ISNUMBER(AVERAGE('20250815_ETF_Options_Exhibits'!H602:H606)),AVERAGE('20250815_ETF_Options_Exhibits'!H602:H606),"")</f>
        <v/>
      </c>
      <c r="I606" s="3">
        <f>IF(ISNUMBER(AVERAGE('20250815_ETF_Options_Exhibits'!I602:I606)),AVERAGE('20250815_ETF_Options_Exhibits'!I602:I606),"")</f>
        <v/>
      </c>
      <c r="J606" s="3">
        <f>IF(ISNUMBER(AVERAGE('20250815_ETF_Options_Exhibits'!J602:J606)),AVERAGE('20250815_ETF_Options_Exhibits'!J602:J606),"")</f>
        <v/>
      </c>
      <c r="K606" s="3">
        <f>IF(ISNUMBER(AVERAGE('20250815_ETF_Options_Exhibits'!K602:K606)),AVERAGE('20250815_ETF_Options_Exhibits'!K602:K606),"")</f>
        <v/>
      </c>
      <c r="L606" s="3">
        <f>IF(ISNUMBER(AVERAGE('20250815_ETF_Options_Exhibits'!L602:L606)),AVERAGE('20250815_ETF_Options_Exhibits'!L602:L606),"")</f>
        <v/>
      </c>
      <c r="M606" s="3">
        <f>IF(ISNUMBER(AVERAGE('20250815_ETF_Options_Exhibits'!M602:M606)),AVERAGE('20250815_ETF_Options_Exhibits'!M602:M606),"")</f>
        <v/>
      </c>
      <c r="N606" s="3">
        <f>IF(ISNUMBER(AVERAGE('20250815_ETF_Options_Exhibits'!N602:N606)),AVERAGE('20250815_ETF_Options_Exhibits'!N602:N606),"")</f>
        <v/>
      </c>
      <c r="O606" s="3">
        <f>IF(ISNUMBER(AVERAGE('20250815_ETF_Options_Exhibits'!O602:O606)),AVERAGE('20250815_ETF_Options_Exhibits'!O602:O606),"")</f>
        <v/>
      </c>
      <c r="P606" s="3">
        <f>IF(ISNUMBER(AVERAGE('20250815_ETF_Options_Exhibits'!P602:P606)),AVERAGE('20250815_ETF_Options_Exhibits'!P602:P606),"")</f>
        <v/>
      </c>
      <c r="Q606" s="3">
        <f>IF(ISNUMBER(AVERAGE('20250815_ETF_Options_Exhibits'!Q602:Q606)),AVERAGE('20250815_ETF_Options_Exhibits'!Q602:Q606),"")</f>
        <v/>
      </c>
      <c r="R606" s="3">
        <f>IF(ISNUMBER(AVERAGE('20250815_ETF_Options_Exhibits'!R602:R606)),AVERAGE('20250815_ETF_Options_Exhibits'!R602:R606),"")</f>
        <v/>
      </c>
      <c r="S606" s="3">
        <f>IF(ISNUMBER(AVERAGE('20250815_ETF_Options_Exhibits'!S602:S606)),AVERAGE('20250815_ETF_Options_Exhibits'!S602:S606),"")</f>
        <v/>
      </c>
      <c r="T606" s="3">
        <f>IF(ISNUMBER(AVERAGE('20250815_ETF_Options_Exhibits'!T602:T606)),AVERAGE('20250815_ETF_Options_Exhibits'!T602:T606),"")</f>
        <v/>
      </c>
      <c r="U606" s="3">
        <f>IF(ISNUMBER(AVERAGE('20250815_ETF_Options_Exhibits'!U602:U606)),AVERAGE('20250815_ETF_Options_Exhibits'!U602:U606),"")</f>
        <v/>
      </c>
      <c r="V606" s="3">
        <f>IF(ISNUMBER(AVERAGE('20250815_ETF_Options_Exhibits'!V602:V606)),AVERAGE('20250815_ETF_Options_Exhibits'!V602:V606),"")</f>
        <v/>
      </c>
      <c r="W606" s="3">
        <f>IF(ISNUMBER(AVERAGE('20250815_ETF_Options_Exhibits'!W602:W606)),AVERAGE('20250815_ETF_Options_Exhibits'!W602:W606),"")</f>
        <v/>
      </c>
      <c r="X606" s="3">
        <f>IF(ISNUMBER(AVERAGE('20250815_ETF_Options_Exhibits'!X602:X606)),AVERAGE('20250815_ETF_Options_Exhibits'!X602:X606),"")</f>
        <v/>
      </c>
      <c r="Y606" s="3">
        <f>IF(ISNUMBER(AVERAGE('20250815_ETF_Options_Exhibits'!Y602:Y606)),AVERAGE('20250815_ETF_Options_Exhibits'!Y602:Y606),"")</f>
        <v/>
      </c>
      <c r="Z606" s="3">
        <f>IF(ISNUMBER(AVERAGE('20250815_ETF_Options_Exhibits'!Z602:Z606)),AVERAGE('20250815_ETF_Options_Exhibits'!Z602:Z606),"")</f>
        <v/>
      </c>
      <c r="AA606" s="3">
        <f>IF(ISNUMBER(AVERAGE('20250815_ETF_Options_Exhibits'!AA602:AA606)),AVERAGE('20250815_ETF_Options_Exhibits'!AA602:AA606),"")</f>
        <v/>
      </c>
    </row>
    <row r="607">
      <c r="A607" s="1" t="n">
        <v>42881</v>
      </c>
      <c r="B607" s="3">
        <f>IF(ISNUMBER(AVERAGE('20250815_ETF_Options_Exhibits'!B603:B607)),AVERAGE('20250815_ETF_Options_Exhibits'!B603:B607),"")</f>
        <v/>
      </c>
      <c r="C607" s="3">
        <f>IF(ISNUMBER(AVERAGE('20250815_ETF_Options_Exhibits'!C603:C607)),AVERAGE('20250815_ETF_Options_Exhibits'!C603:C607),"")</f>
        <v/>
      </c>
      <c r="D607" s="3">
        <f>IF(ISNUMBER(AVERAGE('20250815_ETF_Options_Exhibits'!D603:D607)),AVERAGE('20250815_ETF_Options_Exhibits'!D603:D607),"")</f>
        <v/>
      </c>
      <c r="E607" s="3">
        <f>IF(ISNUMBER(AVERAGE('20250815_ETF_Options_Exhibits'!E603:E607)),AVERAGE('20250815_ETF_Options_Exhibits'!E603:E607),"")</f>
        <v/>
      </c>
      <c r="F607" s="3">
        <f>IF(ISNUMBER(AVERAGE('20250815_ETF_Options_Exhibits'!F603:F607)),AVERAGE('20250815_ETF_Options_Exhibits'!F603:F607),"")</f>
        <v/>
      </c>
      <c r="G607" s="3">
        <f>IF(ISNUMBER(AVERAGE('20250815_ETF_Options_Exhibits'!G603:G607)),AVERAGE('20250815_ETF_Options_Exhibits'!G603:G607),"")</f>
        <v/>
      </c>
      <c r="H607" s="3">
        <f>IF(ISNUMBER(AVERAGE('20250815_ETF_Options_Exhibits'!H603:H607)),AVERAGE('20250815_ETF_Options_Exhibits'!H603:H607),"")</f>
        <v/>
      </c>
      <c r="I607" s="3">
        <f>IF(ISNUMBER(AVERAGE('20250815_ETF_Options_Exhibits'!I603:I607)),AVERAGE('20250815_ETF_Options_Exhibits'!I603:I607),"")</f>
        <v/>
      </c>
      <c r="J607" s="3">
        <f>IF(ISNUMBER(AVERAGE('20250815_ETF_Options_Exhibits'!J603:J607)),AVERAGE('20250815_ETF_Options_Exhibits'!J603:J607),"")</f>
        <v/>
      </c>
      <c r="K607" s="3">
        <f>IF(ISNUMBER(AVERAGE('20250815_ETF_Options_Exhibits'!K603:K607)),AVERAGE('20250815_ETF_Options_Exhibits'!K603:K607),"")</f>
        <v/>
      </c>
      <c r="L607" s="3">
        <f>IF(ISNUMBER(AVERAGE('20250815_ETF_Options_Exhibits'!L603:L607)),AVERAGE('20250815_ETF_Options_Exhibits'!L603:L607),"")</f>
        <v/>
      </c>
      <c r="M607" s="3">
        <f>IF(ISNUMBER(AVERAGE('20250815_ETF_Options_Exhibits'!M603:M607)),AVERAGE('20250815_ETF_Options_Exhibits'!M603:M607),"")</f>
        <v/>
      </c>
      <c r="N607" s="3">
        <f>IF(ISNUMBER(AVERAGE('20250815_ETF_Options_Exhibits'!N603:N607)),AVERAGE('20250815_ETF_Options_Exhibits'!N603:N607),"")</f>
        <v/>
      </c>
      <c r="O607" s="3">
        <f>IF(ISNUMBER(AVERAGE('20250815_ETF_Options_Exhibits'!O603:O607)),AVERAGE('20250815_ETF_Options_Exhibits'!O603:O607),"")</f>
        <v/>
      </c>
      <c r="P607" s="3">
        <f>IF(ISNUMBER(AVERAGE('20250815_ETF_Options_Exhibits'!P603:P607)),AVERAGE('20250815_ETF_Options_Exhibits'!P603:P607),"")</f>
        <v/>
      </c>
      <c r="Q607" s="3">
        <f>IF(ISNUMBER(AVERAGE('20250815_ETF_Options_Exhibits'!Q603:Q607)),AVERAGE('20250815_ETF_Options_Exhibits'!Q603:Q607),"")</f>
        <v/>
      </c>
      <c r="R607" s="3">
        <f>IF(ISNUMBER(AVERAGE('20250815_ETF_Options_Exhibits'!R603:R607)),AVERAGE('20250815_ETF_Options_Exhibits'!R603:R607),"")</f>
        <v/>
      </c>
      <c r="S607" s="3">
        <f>IF(ISNUMBER(AVERAGE('20250815_ETF_Options_Exhibits'!S603:S607)),AVERAGE('20250815_ETF_Options_Exhibits'!S603:S607),"")</f>
        <v/>
      </c>
      <c r="T607" s="3">
        <f>IF(ISNUMBER(AVERAGE('20250815_ETF_Options_Exhibits'!T603:T607)),AVERAGE('20250815_ETF_Options_Exhibits'!T603:T607),"")</f>
        <v/>
      </c>
      <c r="U607" s="3">
        <f>IF(ISNUMBER(AVERAGE('20250815_ETF_Options_Exhibits'!U603:U607)),AVERAGE('20250815_ETF_Options_Exhibits'!U603:U607),"")</f>
        <v/>
      </c>
      <c r="V607" s="3">
        <f>IF(ISNUMBER(AVERAGE('20250815_ETF_Options_Exhibits'!V603:V607)),AVERAGE('20250815_ETF_Options_Exhibits'!V603:V607),"")</f>
        <v/>
      </c>
      <c r="W607" s="3">
        <f>IF(ISNUMBER(AVERAGE('20250815_ETF_Options_Exhibits'!W603:W607)),AVERAGE('20250815_ETF_Options_Exhibits'!W603:W607),"")</f>
        <v/>
      </c>
      <c r="X607" s="3">
        <f>IF(ISNUMBER(AVERAGE('20250815_ETF_Options_Exhibits'!X603:X607)),AVERAGE('20250815_ETF_Options_Exhibits'!X603:X607),"")</f>
        <v/>
      </c>
      <c r="Y607" s="3">
        <f>IF(ISNUMBER(AVERAGE('20250815_ETF_Options_Exhibits'!Y603:Y607)),AVERAGE('20250815_ETF_Options_Exhibits'!Y603:Y607),"")</f>
        <v/>
      </c>
      <c r="Z607" s="3">
        <f>IF(ISNUMBER(AVERAGE('20250815_ETF_Options_Exhibits'!Z603:Z607)),AVERAGE('20250815_ETF_Options_Exhibits'!Z603:Z607),"")</f>
        <v/>
      </c>
      <c r="AA607" s="3">
        <f>IF(ISNUMBER(AVERAGE('20250815_ETF_Options_Exhibits'!AA603:AA607)),AVERAGE('20250815_ETF_Options_Exhibits'!AA603:AA607),"")</f>
        <v/>
      </c>
    </row>
    <row r="608">
      <c r="A608" s="1" t="n">
        <v>42885</v>
      </c>
      <c r="B608" s="3">
        <f>IF(ISNUMBER(AVERAGE('20250815_ETF_Options_Exhibits'!B604:B608)),AVERAGE('20250815_ETF_Options_Exhibits'!B604:B608),"")</f>
        <v/>
      </c>
      <c r="C608" s="3">
        <f>IF(ISNUMBER(AVERAGE('20250815_ETF_Options_Exhibits'!C604:C608)),AVERAGE('20250815_ETF_Options_Exhibits'!C604:C608),"")</f>
        <v/>
      </c>
      <c r="D608" s="3">
        <f>IF(ISNUMBER(AVERAGE('20250815_ETF_Options_Exhibits'!D604:D608)),AVERAGE('20250815_ETF_Options_Exhibits'!D604:D608),"")</f>
        <v/>
      </c>
      <c r="E608" s="3">
        <f>IF(ISNUMBER(AVERAGE('20250815_ETF_Options_Exhibits'!E604:E608)),AVERAGE('20250815_ETF_Options_Exhibits'!E604:E608),"")</f>
        <v/>
      </c>
      <c r="F608" s="3">
        <f>IF(ISNUMBER(AVERAGE('20250815_ETF_Options_Exhibits'!F604:F608)),AVERAGE('20250815_ETF_Options_Exhibits'!F604:F608),"")</f>
        <v/>
      </c>
      <c r="G608" s="3">
        <f>IF(ISNUMBER(AVERAGE('20250815_ETF_Options_Exhibits'!G604:G608)),AVERAGE('20250815_ETF_Options_Exhibits'!G604:G608),"")</f>
        <v/>
      </c>
      <c r="H608" s="3">
        <f>IF(ISNUMBER(AVERAGE('20250815_ETF_Options_Exhibits'!H604:H608)),AVERAGE('20250815_ETF_Options_Exhibits'!H604:H608),"")</f>
        <v/>
      </c>
      <c r="I608" s="3">
        <f>IF(ISNUMBER(AVERAGE('20250815_ETF_Options_Exhibits'!I604:I608)),AVERAGE('20250815_ETF_Options_Exhibits'!I604:I608),"")</f>
        <v/>
      </c>
      <c r="J608" s="3">
        <f>IF(ISNUMBER(AVERAGE('20250815_ETF_Options_Exhibits'!J604:J608)),AVERAGE('20250815_ETF_Options_Exhibits'!J604:J608),"")</f>
        <v/>
      </c>
      <c r="K608" s="3">
        <f>IF(ISNUMBER(AVERAGE('20250815_ETF_Options_Exhibits'!K604:K608)),AVERAGE('20250815_ETF_Options_Exhibits'!K604:K608),"")</f>
        <v/>
      </c>
      <c r="L608" s="3">
        <f>IF(ISNUMBER(AVERAGE('20250815_ETF_Options_Exhibits'!L604:L608)),AVERAGE('20250815_ETF_Options_Exhibits'!L604:L608),"")</f>
        <v/>
      </c>
      <c r="M608" s="3">
        <f>IF(ISNUMBER(AVERAGE('20250815_ETF_Options_Exhibits'!M604:M608)),AVERAGE('20250815_ETF_Options_Exhibits'!M604:M608),"")</f>
        <v/>
      </c>
      <c r="N608" s="3">
        <f>IF(ISNUMBER(AVERAGE('20250815_ETF_Options_Exhibits'!N604:N608)),AVERAGE('20250815_ETF_Options_Exhibits'!N604:N608),"")</f>
        <v/>
      </c>
      <c r="O608" s="3">
        <f>IF(ISNUMBER(AVERAGE('20250815_ETF_Options_Exhibits'!O604:O608)),AVERAGE('20250815_ETF_Options_Exhibits'!O604:O608),"")</f>
        <v/>
      </c>
      <c r="P608" s="3">
        <f>IF(ISNUMBER(AVERAGE('20250815_ETF_Options_Exhibits'!P604:P608)),AVERAGE('20250815_ETF_Options_Exhibits'!P604:P608),"")</f>
        <v/>
      </c>
      <c r="Q608" s="3">
        <f>IF(ISNUMBER(AVERAGE('20250815_ETF_Options_Exhibits'!Q604:Q608)),AVERAGE('20250815_ETF_Options_Exhibits'!Q604:Q608),"")</f>
        <v/>
      </c>
      <c r="R608" s="3">
        <f>IF(ISNUMBER(AVERAGE('20250815_ETF_Options_Exhibits'!R604:R608)),AVERAGE('20250815_ETF_Options_Exhibits'!R604:R608),"")</f>
        <v/>
      </c>
      <c r="S608" s="3">
        <f>IF(ISNUMBER(AVERAGE('20250815_ETF_Options_Exhibits'!S604:S608)),AVERAGE('20250815_ETF_Options_Exhibits'!S604:S608),"")</f>
        <v/>
      </c>
      <c r="T608" s="3">
        <f>IF(ISNUMBER(AVERAGE('20250815_ETF_Options_Exhibits'!T604:T608)),AVERAGE('20250815_ETF_Options_Exhibits'!T604:T608),"")</f>
        <v/>
      </c>
      <c r="U608" s="3">
        <f>IF(ISNUMBER(AVERAGE('20250815_ETF_Options_Exhibits'!U604:U608)),AVERAGE('20250815_ETF_Options_Exhibits'!U604:U608),"")</f>
        <v/>
      </c>
      <c r="V608" s="3">
        <f>IF(ISNUMBER(AVERAGE('20250815_ETF_Options_Exhibits'!V604:V608)),AVERAGE('20250815_ETF_Options_Exhibits'!V604:V608),"")</f>
        <v/>
      </c>
      <c r="W608" s="3">
        <f>IF(ISNUMBER(AVERAGE('20250815_ETF_Options_Exhibits'!W604:W608)),AVERAGE('20250815_ETF_Options_Exhibits'!W604:W608),"")</f>
        <v/>
      </c>
      <c r="X608" s="3">
        <f>IF(ISNUMBER(AVERAGE('20250815_ETF_Options_Exhibits'!X604:X608)),AVERAGE('20250815_ETF_Options_Exhibits'!X604:X608),"")</f>
        <v/>
      </c>
      <c r="Y608" s="3">
        <f>IF(ISNUMBER(AVERAGE('20250815_ETF_Options_Exhibits'!Y604:Y608)),AVERAGE('20250815_ETF_Options_Exhibits'!Y604:Y608),"")</f>
        <v/>
      </c>
      <c r="Z608" s="3">
        <f>IF(ISNUMBER(AVERAGE('20250815_ETF_Options_Exhibits'!Z604:Z608)),AVERAGE('20250815_ETF_Options_Exhibits'!Z604:Z608),"")</f>
        <v/>
      </c>
      <c r="AA608" s="3">
        <f>IF(ISNUMBER(AVERAGE('20250815_ETF_Options_Exhibits'!AA604:AA608)),AVERAGE('20250815_ETF_Options_Exhibits'!AA604:AA608),"")</f>
        <v/>
      </c>
    </row>
    <row r="609">
      <c r="A609" s="1" t="n">
        <v>42886</v>
      </c>
      <c r="B609" s="3">
        <f>IF(ISNUMBER(AVERAGE('20250815_ETF_Options_Exhibits'!B605:B609)),AVERAGE('20250815_ETF_Options_Exhibits'!B605:B609),"")</f>
        <v/>
      </c>
      <c r="C609" s="3">
        <f>IF(ISNUMBER(AVERAGE('20250815_ETF_Options_Exhibits'!C605:C609)),AVERAGE('20250815_ETF_Options_Exhibits'!C605:C609),"")</f>
        <v/>
      </c>
      <c r="D609" s="3">
        <f>IF(ISNUMBER(AVERAGE('20250815_ETF_Options_Exhibits'!D605:D609)),AVERAGE('20250815_ETF_Options_Exhibits'!D605:D609),"")</f>
        <v/>
      </c>
      <c r="E609" s="3">
        <f>IF(ISNUMBER(AVERAGE('20250815_ETF_Options_Exhibits'!E605:E609)),AVERAGE('20250815_ETF_Options_Exhibits'!E605:E609),"")</f>
        <v/>
      </c>
      <c r="F609" s="3">
        <f>IF(ISNUMBER(AVERAGE('20250815_ETF_Options_Exhibits'!F605:F609)),AVERAGE('20250815_ETF_Options_Exhibits'!F605:F609),"")</f>
        <v/>
      </c>
      <c r="G609" s="3">
        <f>IF(ISNUMBER(AVERAGE('20250815_ETF_Options_Exhibits'!G605:G609)),AVERAGE('20250815_ETF_Options_Exhibits'!G605:G609),"")</f>
        <v/>
      </c>
      <c r="H609" s="3">
        <f>IF(ISNUMBER(AVERAGE('20250815_ETF_Options_Exhibits'!H605:H609)),AVERAGE('20250815_ETF_Options_Exhibits'!H605:H609),"")</f>
        <v/>
      </c>
      <c r="I609" s="3">
        <f>IF(ISNUMBER(AVERAGE('20250815_ETF_Options_Exhibits'!I605:I609)),AVERAGE('20250815_ETF_Options_Exhibits'!I605:I609),"")</f>
        <v/>
      </c>
      <c r="J609" s="3">
        <f>IF(ISNUMBER(AVERAGE('20250815_ETF_Options_Exhibits'!J605:J609)),AVERAGE('20250815_ETF_Options_Exhibits'!J605:J609),"")</f>
        <v/>
      </c>
      <c r="K609" s="3">
        <f>IF(ISNUMBER(AVERAGE('20250815_ETF_Options_Exhibits'!K605:K609)),AVERAGE('20250815_ETF_Options_Exhibits'!K605:K609),"")</f>
        <v/>
      </c>
      <c r="L609" s="3">
        <f>IF(ISNUMBER(AVERAGE('20250815_ETF_Options_Exhibits'!L605:L609)),AVERAGE('20250815_ETF_Options_Exhibits'!L605:L609),"")</f>
        <v/>
      </c>
      <c r="M609" s="3">
        <f>IF(ISNUMBER(AVERAGE('20250815_ETF_Options_Exhibits'!M605:M609)),AVERAGE('20250815_ETF_Options_Exhibits'!M605:M609),"")</f>
        <v/>
      </c>
      <c r="N609" s="3">
        <f>IF(ISNUMBER(AVERAGE('20250815_ETF_Options_Exhibits'!N605:N609)),AVERAGE('20250815_ETF_Options_Exhibits'!N605:N609),"")</f>
        <v/>
      </c>
      <c r="O609" s="3">
        <f>IF(ISNUMBER(AVERAGE('20250815_ETF_Options_Exhibits'!O605:O609)),AVERAGE('20250815_ETF_Options_Exhibits'!O605:O609),"")</f>
        <v/>
      </c>
      <c r="P609" s="3">
        <f>IF(ISNUMBER(AVERAGE('20250815_ETF_Options_Exhibits'!P605:P609)),AVERAGE('20250815_ETF_Options_Exhibits'!P605:P609),"")</f>
        <v/>
      </c>
      <c r="Q609" s="3">
        <f>IF(ISNUMBER(AVERAGE('20250815_ETF_Options_Exhibits'!Q605:Q609)),AVERAGE('20250815_ETF_Options_Exhibits'!Q605:Q609),"")</f>
        <v/>
      </c>
      <c r="R609" s="3">
        <f>IF(ISNUMBER(AVERAGE('20250815_ETF_Options_Exhibits'!R605:R609)),AVERAGE('20250815_ETF_Options_Exhibits'!R605:R609),"")</f>
        <v/>
      </c>
      <c r="S609" s="3">
        <f>IF(ISNUMBER(AVERAGE('20250815_ETF_Options_Exhibits'!S605:S609)),AVERAGE('20250815_ETF_Options_Exhibits'!S605:S609),"")</f>
        <v/>
      </c>
      <c r="T609" s="3">
        <f>IF(ISNUMBER(AVERAGE('20250815_ETF_Options_Exhibits'!T605:T609)),AVERAGE('20250815_ETF_Options_Exhibits'!T605:T609),"")</f>
        <v/>
      </c>
      <c r="U609" s="3">
        <f>IF(ISNUMBER(AVERAGE('20250815_ETF_Options_Exhibits'!U605:U609)),AVERAGE('20250815_ETF_Options_Exhibits'!U605:U609),"")</f>
        <v/>
      </c>
      <c r="V609" s="3">
        <f>IF(ISNUMBER(AVERAGE('20250815_ETF_Options_Exhibits'!V605:V609)),AVERAGE('20250815_ETF_Options_Exhibits'!V605:V609),"")</f>
        <v/>
      </c>
      <c r="W609" s="3">
        <f>IF(ISNUMBER(AVERAGE('20250815_ETF_Options_Exhibits'!W605:W609)),AVERAGE('20250815_ETF_Options_Exhibits'!W605:W609),"")</f>
        <v/>
      </c>
      <c r="X609" s="3">
        <f>IF(ISNUMBER(AVERAGE('20250815_ETF_Options_Exhibits'!X605:X609)),AVERAGE('20250815_ETF_Options_Exhibits'!X605:X609),"")</f>
        <v/>
      </c>
      <c r="Y609" s="3">
        <f>IF(ISNUMBER(AVERAGE('20250815_ETF_Options_Exhibits'!Y605:Y609)),AVERAGE('20250815_ETF_Options_Exhibits'!Y605:Y609),"")</f>
        <v/>
      </c>
      <c r="Z609" s="3">
        <f>IF(ISNUMBER(AVERAGE('20250815_ETF_Options_Exhibits'!Z605:Z609)),AVERAGE('20250815_ETF_Options_Exhibits'!Z605:Z609),"")</f>
        <v/>
      </c>
      <c r="AA609" s="3">
        <f>IF(ISNUMBER(AVERAGE('20250815_ETF_Options_Exhibits'!AA605:AA609)),AVERAGE('20250815_ETF_Options_Exhibits'!AA605:AA609),"")</f>
        <v/>
      </c>
    </row>
    <row r="610">
      <c r="A610" s="1" t="n">
        <v>42887</v>
      </c>
      <c r="B610" s="3">
        <f>IF(ISNUMBER(AVERAGE('20250815_ETF_Options_Exhibits'!B606:B610)),AVERAGE('20250815_ETF_Options_Exhibits'!B606:B610),"")</f>
        <v/>
      </c>
      <c r="C610" s="3">
        <f>IF(ISNUMBER(AVERAGE('20250815_ETF_Options_Exhibits'!C606:C610)),AVERAGE('20250815_ETF_Options_Exhibits'!C606:C610),"")</f>
        <v/>
      </c>
      <c r="D610" s="3">
        <f>IF(ISNUMBER(AVERAGE('20250815_ETF_Options_Exhibits'!D606:D610)),AVERAGE('20250815_ETF_Options_Exhibits'!D606:D610),"")</f>
        <v/>
      </c>
      <c r="E610" s="3">
        <f>IF(ISNUMBER(AVERAGE('20250815_ETF_Options_Exhibits'!E606:E610)),AVERAGE('20250815_ETF_Options_Exhibits'!E606:E610),"")</f>
        <v/>
      </c>
      <c r="F610" s="3">
        <f>IF(ISNUMBER(AVERAGE('20250815_ETF_Options_Exhibits'!F606:F610)),AVERAGE('20250815_ETF_Options_Exhibits'!F606:F610),"")</f>
        <v/>
      </c>
      <c r="G610" s="3">
        <f>IF(ISNUMBER(AVERAGE('20250815_ETF_Options_Exhibits'!G606:G610)),AVERAGE('20250815_ETF_Options_Exhibits'!G606:G610),"")</f>
        <v/>
      </c>
      <c r="H610" s="3">
        <f>IF(ISNUMBER(AVERAGE('20250815_ETF_Options_Exhibits'!H606:H610)),AVERAGE('20250815_ETF_Options_Exhibits'!H606:H610),"")</f>
        <v/>
      </c>
      <c r="I610" s="3">
        <f>IF(ISNUMBER(AVERAGE('20250815_ETF_Options_Exhibits'!I606:I610)),AVERAGE('20250815_ETF_Options_Exhibits'!I606:I610),"")</f>
        <v/>
      </c>
      <c r="J610" s="3">
        <f>IF(ISNUMBER(AVERAGE('20250815_ETF_Options_Exhibits'!J606:J610)),AVERAGE('20250815_ETF_Options_Exhibits'!J606:J610),"")</f>
        <v/>
      </c>
      <c r="K610" s="3">
        <f>IF(ISNUMBER(AVERAGE('20250815_ETF_Options_Exhibits'!K606:K610)),AVERAGE('20250815_ETF_Options_Exhibits'!K606:K610),"")</f>
        <v/>
      </c>
      <c r="L610" s="3">
        <f>IF(ISNUMBER(AVERAGE('20250815_ETF_Options_Exhibits'!L606:L610)),AVERAGE('20250815_ETF_Options_Exhibits'!L606:L610),"")</f>
        <v/>
      </c>
      <c r="M610" s="3">
        <f>IF(ISNUMBER(AVERAGE('20250815_ETF_Options_Exhibits'!M606:M610)),AVERAGE('20250815_ETF_Options_Exhibits'!M606:M610),"")</f>
        <v/>
      </c>
      <c r="N610" s="3">
        <f>IF(ISNUMBER(AVERAGE('20250815_ETF_Options_Exhibits'!N606:N610)),AVERAGE('20250815_ETF_Options_Exhibits'!N606:N610),"")</f>
        <v/>
      </c>
      <c r="O610" s="3">
        <f>IF(ISNUMBER(AVERAGE('20250815_ETF_Options_Exhibits'!O606:O610)),AVERAGE('20250815_ETF_Options_Exhibits'!O606:O610),"")</f>
        <v/>
      </c>
      <c r="P610" s="3">
        <f>IF(ISNUMBER(AVERAGE('20250815_ETF_Options_Exhibits'!P606:P610)),AVERAGE('20250815_ETF_Options_Exhibits'!P606:P610),"")</f>
        <v/>
      </c>
      <c r="Q610" s="3">
        <f>IF(ISNUMBER(AVERAGE('20250815_ETF_Options_Exhibits'!Q606:Q610)),AVERAGE('20250815_ETF_Options_Exhibits'!Q606:Q610),"")</f>
        <v/>
      </c>
      <c r="R610" s="3">
        <f>IF(ISNUMBER(AVERAGE('20250815_ETF_Options_Exhibits'!R606:R610)),AVERAGE('20250815_ETF_Options_Exhibits'!R606:R610),"")</f>
        <v/>
      </c>
      <c r="S610" s="3">
        <f>IF(ISNUMBER(AVERAGE('20250815_ETF_Options_Exhibits'!S606:S610)),AVERAGE('20250815_ETF_Options_Exhibits'!S606:S610),"")</f>
        <v/>
      </c>
      <c r="T610" s="3">
        <f>IF(ISNUMBER(AVERAGE('20250815_ETF_Options_Exhibits'!T606:T610)),AVERAGE('20250815_ETF_Options_Exhibits'!T606:T610),"")</f>
        <v/>
      </c>
      <c r="U610" s="3">
        <f>IF(ISNUMBER(AVERAGE('20250815_ETF_Options_Exhibits'!U606:U610)),AVERAGE('20250815_ETF_Options_Exhibits'!U606:U610),"")</f>
        <v/>
      </c>
      <c r="V610" s="3">
        <f>IF(ISNUMBER(AVERAGE('20250815_ETF_Options_Exhibits'!V606:V610)),AVERAGE('20250815_ETF_Options_Exhibits'!V606:V610),"")</f>
        <v/>
      </c>
      <c r="W610" s="3">
        <f>IF(ISNUMBER(AVERAGE('20250815_ETF_Options_Exhibits'!W606:W610)),AVERAGE('20250815_ETF_Options_Exhibits'!W606:W610),"")</f>
        <v/>
      </c>
      <c r="X610" s="3">
        <f>IF(ISNUMBER(AVERAGE('20250815_ETF_Options_Exhibits'!X606:X610)),AVERAGE('20250815_ETF_Options_Exhibits'!X606:X610),"")</f>
        <v/>
      </c>
      <c r="Y610" s="3">
        <f>IF(ISNUMBER(AVERAGE('20250815_ETF_Options_Exhibits'!Y606:Y610)),AVERAGE('20250815_ETF_Options_Exhibits'!Y606:Y610),"")</f>
        <v/>
      </c>
      <c r="Z610" s="3">
        <f>IF(ISNUMBER(AVERAGE('20250815_ETF_Options_Exhibits'!Z606:Z610)),AVERAGE('20250815_ETF_Options_Exhibits'!Z606:Z610),"")</f>
        <v/>
      </c>
      <c r="AA610" s="3">
        <f>IF(ISNUMBER(AVERAGE('20250815_ETF_Options_Exhibits'!AA606:AA610)),AVERAGE('20250815_ETF_Options_Exhibits'!AA606:AA610),"")</f>
        <v/>
      </c>
    </row>
    <row r="611">
      <c r="A611" s="1" t="n">
        <v>42888</v>
      </c>
      <c r="B611" s="3">
        <f>IF(ISNUMBER(AVERAGE('20250815_ETF_Options_Exhibits'!B607:B611)),AVERAGE('20250815_ETF_Options_Exhibits'!B607:B611),"")</f>
        <v/>
      </c>
      <c r="C611" s="3">
        <f>IF(ISNUMBER(AVERAGE('20250815_ETF_Options_Exhibits'!C607:C611)),AVERAGE('20250815_ETF_Options_Exhibits'!C607:C611),"")</f>
        <v/>
      </c>
      <c r="D611" s="3">
        <f>IF(ISNUMBER(AVERAGE('20250815_ETF_Options_Exhibits'!D607:D611)),AVERAGE('20250815_ETF_Options_Exhibits'!D607:D611),"")</f>
        <v/>
      </c>
      <c r="E611" s="3">
        <f>IF(ISNUMBER(AVERAGE('20250815_ETF_Options_Exhibits'!E607:E611)),AVERAGE('20250815_ETF_Options_Exhibits'!E607:E611),"")</f>
        <v/>
      </c>
      <c r="F611" s="3">
        <f>IF(ISNUMBER(AVERAGE('20250815_ETF_Options_Exhibits'!F607:F611)),AVERAGE('20250815_ETF_Options_Exhibits'!F607:F611),"")</f>
        <v/>
      </c>
      <c r="G611" s="3">
        <f>IF(ISNUMBER(AVERAGE('20250815_ETF_Options_Exhibits'!G607:G611)),AVERAGE('20250815_ETF_Options_Exhibits'!G607:G611),"")</f>
        <v/>
      </c>
      <c r="H611" s="3">
        <f>IF(ISNUMBER(AVERAGE('20250815_ETF_Options_Exhibits'!H607:H611)),AVERAGE('20250815_ETF_Options_Exhibits'!H607:H611),"")</f>
        <v/>
      </c>
      <c r="I611" s="3">
        <f>IF(ISNUMBER(AVERAGE('20250815_ETF_Options_Exhibits'!I607:I611)),AVERAGE('20250815_ETF_Options_Exhibits'!I607:I611),"")</f>
        <v/>
      </c>
      <c r="J611" s="3">
        <f>IF(ISNUMBER(AVERAGE('20250815_ETF_Options_Exhibits'!J607:J611)),AVERAGE('20250815_ETF_Options_Exhibits'!J607:J611),"")</f>
        <v/>
      </c>
      <c r="K611" s="3">
        <f>IF(ISNUMBER(AVERAGE('20250815_ETF_Options_Exhibits'!K607:K611)),AVERAGE('20250815_ETF_Options_Exhibits'!K607:K611),"")</f>
        <v/>
      </c>
      <c r="L611" s="3">
        <f>IF(ISNUMBER(AVERAGE('20250815_ETF_Options_Exhibits'!L607:L611)),AVERAGE('20250815_ETF_Options_Exhibits'!L607:L611),"")</f>
        <v/>
      </c>
      <c r="M611" s="3">
        <f>IF(ISNUMBER(AVERAGE('20250815_ETF_Options_Exhibits'!M607:M611)),AVERAGE('20250815_ETF_Options_Exhibits'!M607:M611),"")</f>
        <v/>
      </c>
      <c r="N611" s="3">
        <f>IF(ISNUMBER(AVERAGE('20250815_ETF_Options_Exhibits'!N607:N611)),AVERAGE('20250815_ETF_Options_Exhibits'!N607:N611),"")</f>
        <v/>
      </c>
      <c r="O611" s="3">
        <f>IF(ISNUMBER(AVERAGE('20250815_ETF_Options_Exhibits'!O607:O611)),AVERAGE('20250815_ETF_Options_Exhibits'!O607:O611),"")</f>
        <v/>
      </c>
      <c r="P611" s="3">
        <f>IF(ISNUMBER(AVERAGE('20250815_ETF_Options_Exhibits'!P607:P611)),AVERAGE('20250815_ETF_Options_Exhibits'!P607:P611),"")</f>
        <v/>
      </c>
      <c r="Q611" s="3">
        <f>IF(ISNUMBER(AVERAGE('20250815_ETF_Options_Exhibits'!Q607:Q611)),AVERAGE('20250815_ETF_Options_Exhibits'!Q607:Q611),"")</f>
        <v/>
      </c>
      <c r="R611" s="3">
        <f>IF(ISNUMBER(AVERAGE('20250815_ETF_Options_Exhibits'!R607:R611)),AVERAGE('20250815_ETF_Options_Exhibits'!R607:R611),"")</f>
        <v/>
      </c>
      <c r="S611" s="3">
        <f>IF(ISNUMBER(AVERAGE('20250815_ETF_Options_Exhibits'!S607:S611)),AVERAGE('20250815_ETF_Options_Exhibits'!S607:S611),"")</f>
        <v/>
      </c>
      <c r="T611" s="3">
        <f>IF(ISNUMBER(AVERAGE('20250815_ETF_Options_Exhibits'!T607:T611)),AVERAGE('20250815_ETF_Options_Exhibits'!T607:T611),"")</f>
        <v/>
      </c>
      <c r="U611" s="3">
        <f>IF(ISNUMBER(AVERAGE('20250815_ETF_Options_Exhibits'!U607:U611)),AVERAGE('20250815_ETF_Options_Exhibits'!U607:U611),"")</f>
        <v/>
      </c>
      <c r="V611" s="3">
        <f>IF(ISNUMBER(AVERAGE('20250815_ETF_Options_Exhibits'!V607:V611)),AVERAGE('20250815_ETF_Options_Exhibits'!V607:V611),"")</f>
        <v/>
      </c>
      <c r="W611" s="3">
        <f>IF(ISNUMBER(AVERAGE('20250815_ETF_Options_Exhibits'!W607:W611)),AVERAGE('20250815_ETF_Options_Exhibits'!W607:W611),"")</f>
        <v/>
      </c>
      <c r="X611" s="3">
        <f>IF(ISNUMBER(AVERAGE('20250815_ETF_Options_Exhibits'!X607:X611)),AVERAGE('20250815_ETF_Options_Exhibits'!X607:X611),"")</f>
        <v/>
      </c>
      <c r="Y611" s="3">
        <f>IF(ISNUMBER(AVERAGE('20250815_ETF_Options_Exhibits'!Y607:Y611)),AVERAGE('20250815_ETF_Options_Exhibits'!Y607:Y611),"")</f>
        <v/>
      </c>
      <c r="Z611" s="3">
        <f>IF(ISNUMBER(AVERAGE('20250815_ETF_Options_Exhibits'!Z607:Z611)),AVERAGE('20250815_ETF_Options_Exhibits'!Z607:Z611),"")</f>
        <v/>
      </c>
      <c r="AA611" s="3">
        <f>IF(ISNUMBER(AVERAGE('20250815_ETF_Options_Exhibits'!AA607:AA611)),AVERAGE('20250815_ETF_Options_Exhibits'!AA607:AA611),"")</f>
        <v/>
      </c>
    </row>
    <row r="612">
      <c r="A612" s="1" t="n">
        <v>42891</v>
      </c>
      <c r="B612" s="3">
        <f>IF(ISNUMBER(AVERAGE('20250815_ETF_Options_Exhibits'!B608:B612)),AVERAGE('20250815_ETF_Options_Exhibits'!B608:B612),"")</f>
        <v/>
      </c>
      <c r="C612" s="3">
        <f>IF(ISNUMBER(AVERAGE('20250815_ETF_Options_Exhibits'!C608:C612)),AVERAGE('20250815_ETF_Options_Exhibits'!C608:C612),"")</f>
        <v/>
      </c>
      <c r="D612" s="3">
        <f>IF(ISNUMBER(AVERAGE('20250815_ETF_Options_Exhibits'!D608:D612)),AVERAGE('20250815_ETF_Options_Exhibits'!D608:D612),"")</f>
        <v/>
      </c>
      <c r="E612" s="3">
        <f>IF(ISNUMBER(AVERAGE('20250815_ETF_Options_Exhibits'!E608:E612)),AVERAGE('20250815_ETF_Options_Exhibits'!E608:E612),"")</f>
        <v/>
      </c>
      <c r="F612" s="3">
        <f>IF(ISNUMBER(AVERAGE('20250815_ETF_Options_Exhibits'!F608:F612)),AVERAGE('20250815_ETF_Options_Exhibits'!F608:F612),"")</f>
        <v/>
      </c>
      <c r="G612" s="3">
        <f>IF(ISNUMBER(AVERAGE('20250815_ETF_Options_Exhibits'!G608:G612)),AVERAGE('20250815_ETF_Options_Exhibits'!G608:G612),"")</f>
        <v/>
      </c>
      <c r="H612" s="3">
        <f>IF(ISNUMBER(AVERAGE('20250815_ETF_Options_Exhibits'!H608:H612)),AVERAGE('20250815_ETF_Options_Exhibits'!H608:H612),"")</f>
        <v/>
      </c>
      <c r="I612" s="3">
        <f>IF(ISNUMBER(AVERAGE('20250815_ETF_Options_Exhibits'!I608:I612)),AVERAGE('20250815_ETF_Options_Exhibits'!I608:I612),"")</f>
        <v/>
      </c>
      <c r="J612" s="3">
        <f>IF(ISNUMBER(AVERAGE('20250815_ETF_Options_Exhibits'!J608:J612)),AVERAGE('20250815_ETF_Options_Exhibits'!J608:J612),"")</f>
        <v/>
      </c>
      <c r="K612" s="3">
        <f>IF(ISNUMBER(AVERAGE('20250815_ETF_Options_Exhibits'!K608:K612)),AVERAGE('20250815_ETF_Options_Exhibits'!K608:K612),"")</f>
        <v/>
      </c>
      <c r="L612" s="3">
        <f>IF(ISNUMBER(AVERAGE('20250815_ETF_Options_Exhibits'!L608:L612)),AVERAGE('20250815_ETF_Options_Exhibits'!L608:L612),"")</f>
        <v/>
      </c>
      <c r="M612" s="3">
        <f>IF(ISNUMBER(AVERAGE('20250815_ETF_Options_Exhibits'!M608:M612)),AVERAGE('20250815_ETF_Options_Exhibits'!M608:M612),"")</f>
        <v/>
      </c>
      <c r="N612" s="3">
        <f>IF(ISNUMBER(AVERAGE('20250815_ETF_Options_Exhibits'!N608:N612)),AVERAGE('20250815_ETF_Options_Exhibits'!N608:N612),"")</f>
        <v/>
      </c>
      <c r="O612" s="3">
        <f>IF(ISNUMBER(AVERAGE('20250815_ETF_Options_Exhibits'!O608:O612)),AVERAGE('20250815_ETF_Options_Exhibits'!O608:O612),"")</f>
        <v/>
      </c>
      <c r="P612" s="3">
        <f>IF(ISNUMBER(AVERAGE('20250815_ETF_Options_Exhibits'!P608:P612)),AVERAGE('20250815_ETF_Options_Exhibits'!P608:P612),"")</f>
        <v/>
      </c>
      <c r="Q612" s="3">
        <f>IF(ISNUMBER(AVERAGE('20250815_ETF_Options_Exhibits'!Q608:Q612)),AVERAGE('20250815_ETF_Options_Exhibits'!Q608:Q612),"")</f>
        <v/>
      </c>
      <c r="R612" s="3">
        <f>IF(ISNUMBER(AVERAGE('20250815_ETF_Options_Exhibits'!R608:R612)),AVERAGE('20250815_ETF_Options_Exhibits'!R608:R612),"")</f>
        <v/>
      </c>
      <c r="S612" s="3">
        <f>IF(ISNUMBER(AVERAGE('20250815_ETF_Options_Exhibits'!S608:S612)),AVERAGE('20250815_ETF_Options_Exhibits'!S608:S612),"")</f>
        <v/>
      </c>
      <c r="T612" s="3">
        <f>IF(ISNUMBER(AVERAGE('20250815_ETF_Options_Exhibits'!T608:T612)),AVERAGE('20250815_ETF_Options_Exhibits'!T608:T612),"")</f>
        <v/>
      </c>
      <c r="U612" s="3">
        <f>IF(ISNUMBER(AVERAGE('20250815_ETF_Options_Exhibits'!U608:U612)),AVERAGE('20250815_ETF_Options_Exhibits'!U608:U612),"")</f>
        <v/>
      </c>
      <c r="V612" s="3">
        <f>IF(ISNUMBER(AVERAGE('20250815_ETF_Options_Exhibits'!V608:V612)),AVERAGE('20250815_ETF_Options_Exhibits'!V608:V612),"")</f>
        <v/>
      </c>
      <c r="W612" s="3">
        <f>IF(ISNUMBER(AVERAGE('20250815_ETF_Options_Exhibits'!W608:W612)),AVERAGE('20250815_ETF_Options_Exhibits'!W608:W612),"")</f>
        <v/>
      </c>
      <c r="X612" s="3">
        <f>IF(ISNUMBER(AVERAGE('20250815_ETF_Options_Exhibits'!X608:X612)),AVERAGE('20250815_ETF_Options_Exhibits'!X608:X612),"")</f>
        <v/>
      </c>
      <c r="Y612" s="3">
        <f>IF(ISNUMBER(AVERAGE('20250815_ETF_Options_Exhibits'!Y608:Y612)),AVERAGE('20250815_ETF_Options_Exhibits'!Y608:Y612),"")</f>
        <v/>
      </c>
      <c r="Z612" s="3">
        <f>IF(ISNUMBER(AVERAGE('20250815_ETF_Options_Exhibits'!Z608:Z612)),AVERAGE('20250815_ETF_Options_Exhibits'!Z608:Z612),"")</f>
        <v/>
      </c>
      <c r="AA612" s="3">
        <f>IF(ISNUMBER(AVERAGE('20250815_ETF_Options_Exhibits'!AA608:AA612)),AVERAGE('20250815_ETF_Options_Exhibits'!AA608:AA612),"")</f>
        <v/>
      </c>
    </row>
    <row r="613">
      <c r="A613" s="1" t="n">
        <v>42892</v>
      </c>
      <c r="B613" s="3">
        <f>IF(ISNUMBER(AVERAGE('20250815_ETF_Options_Exhibits'!B609:B613)),AVERAGE('20250815_ETF_Options_Exhibits'!B609:B613),"")</f>
        <v/>
      </c>
      <c r="C613" s="3">
        <f>IF(ISNUMBER(AVERAGE('20250815_ETF_Options_Exhibits'!C609:C613)),AVERAGE('20250815_ETF_Options_Exhibits'!C609:C613),"")</f>
        <v/>
      </c>
      <c r="D613" s="3">
        <f>IF(ISNUMBER(AVERAGE('20250815_ETF_Options_Exhibits'!D609:D613)),AVERAGE('20250815_ETF_Options_Exhibits'!D609:D613),"")</f>
        <v/>
      </c>
      <c r="E613" s="3">
        <f>IF(ISNUMBER(AVERAGE('20250815_ETF_Options_Exhibits'!E609:E613)),AVERAGE('20250815_ETF_Options_Exhibits'!E609:E613),"")</f>
        <v/>
      </c>
      <c r="F613" s="3">
        <f>IF(ISNUMBER(AVERAGE('20250815_ETF_Options_Exhibits'!F609:F613)),AVERAGE('20250815_ETF_Options_Exhibits'!F609:F613),"")</f>
        <v/>
      </c>
      <c r="G613" s="3">
        <f>IF(ISNUMBER(AVERAGE('20250815_ETF_Options_Exhibits'!G609:G613)),AVERAGE('20250815_ETF_Options_Exhibits'!G609:G613),"")</f>
        <v/>
      </c>
      <c r="H613" s="3">
        <f>IF(ISNUMBER(AVERAGE('20250815_ETF_Options_Exhibits'!H609:H613)),AVERAGE('20250815_ETF_Options_Exhibits'!H609:H613),"")</f>
        <v/>
      </c>
      <c r="I613" s="3">
        <f>IF(ISNUMBER(AVERAGE('20250815_ETF_Options_Exhibits'!I609:I613)),AVERAGE('20250815_ETF_Options_Exhibits'!I609:I613),"")</f>
        <v/>
      </c>
      <c r="J613" s="3">
        <f>IF(ISNUMBER(AVERAGE('20250815_ETF_Options_Exhibits'!J609:J613)),AVERAGE('20250815_ETF_Options_Exhibits'!J609:J613),"")</f>
        <v/>
      </c>
      <c r="K613" s="3">
        <f>IF(ISNUMBER(AVERAGE('20250815_ETF_Options_Exhibits'!K609:K613)),AVERAGE('20250815_ETF_Options_Exhibits'!K609:K613),"")</f>
        <v/>
      </c>
      <c r="L613" s="3">
        <f>IF(ISNUMBER(AVERAGE('20250815_ETF_Options_Exhibits'!L609:L613)),AVERAGE('20250815_ETF_Options_Exhibits'!L609:L613),"")</f>
        <v/>
      </c>
      <c r="M613" s="3">
        <f>IF(ISNUMBER(AVERAGE('20250815_ETF_Options_Exhibits'!M609:M613)),AVERAGE('20250815_ETF_Options_Exhibits'!M609:M613),"")</f>
        <v/>
      </c>
      <c r="N613" s="3">
        <f>IF(ISNUMBER(AVERAGE('20250815_ETF_Options_Exhibits'!N609:N613)),AVERAGE('20250815_ETF_Options_Exhibits'!N609:N613),"")</f>
        <v/>
      </c>
      <c r="O613" s="3">
        <f>IF(ISNUMBER(AVERAGE('20250815_ETF_Options_Exhibits'!O609:O613)),AVERAGE('20250815_ETF_Options_Exhibits'!O609:O613),"")</f>
        <v/>
      </c>
      <c r="P613" s="3">
        <f>IF(ISNUMBER(AVERAGE('20250815_ETF_Options_Exhibits'!P609:P613)),AVERAGE('20250815_ETF_Options_Exhibits'!P609:P613),"")</f>
        <v/>
      </c>
      <c r="Q613" s="3">
        <f>IF(ISNUMBER(AVERAGE('20250815_ETF_Options_Exhibits'!Q609:Q613)),AVERAGE('20250815_ETF_Options_Exhibits'!Q609:Q613),"")</f>
        <v/>
      </c>
      <c r="R613" s="3">
        <f>IF(ISNUMBER(AVERAGE('20250815_ETF_Options_Exhibits'!R609:R613)),AVERAGE('20250815_ETF_Options_Exhibits'!R609:R613),"")</f>
        <v/>
      </c>
      <c r="S613" s="3">
        <f>IF(ISNUMBER(AVERAGE('20250815_ETF_Options_Exhibits'!S609:S613)),AVERAGE('20250815_ETF_Options_Exhibits'!S609:S613),"")</f>
        <v/>
      </c>
      <c r="T613" s="3">
        <f>IF(ISNUMBER(AVERAGE('20250815_ETF_Options_Exhibits'!T609:T613)),AVERAGE('20250815_ETF_Options_Exhibits'!T609:T613),"")</f>
        <v/>
      </c>
      <c r="U613" s="3">
        <f>IF(ISNUMBER(AVERAGE('20250815_ETF_Options_Exhibits'!U609:U613)),AVERAGE('20250815_ETF_Options_Exhibits'!U609:U613),"")</f>
        <v/>
      </c>
      <c r="V613" s="3">
        <f>IF(ISNUMBER(AVERAGE('20250815_ETF_Options_Exhibits'!V609:V613)),AVERAGE('20250815_ETF_Options_Exhibits'!V609:V613),"")</f>
        <v/>
      </c>
      <c r="W613" s="3">
        <f>IF(ISNUMBER(AVERAGE('20250815_ETF_Options_Exhibits'!W609:W613)),AVERAGE('20250815_ETF_Options_Exhibits'!W609:W613),"")</f>
        <v/>
      </c>
      <c r="X613" s="3">
        <f>IF(ISNUMBER(AVERAGE('20250815_ETF_Options_Exhibits'!X609:X613)),AVERAGE('20250815_ETF_Options_Exhibits'!X609:X613),"")</f>
        <v/>
      </c>
      <c r="Y613" s="3">
        <f>IF(ISNUMBER(AVERAGE('20250815_ETF_Options_Exhibits'!Y609:Y613)),AVERAGE('20250815_ETF_Options_Exhibits'!Y609:Y613),"")</f>
        <v/>
      </c>
      <c r="Z613" s="3">
        <f>IF(ISNUMBER(AVERAGE('20250815_ETF_Options_Exhibits'!Z609:Z613)),AVERAGE('20250815_ETF_Options_Exhibits'!Z609:Z613),"")</f>
        <v/>
      </c>
      <c r="AA613" s="3">
        <f>IF(ISNUMBER(AVERAGE('20250815_ETF_Options_Exhibits'!AA609:AA613)),AVERAGE('20250815_ETF_Options_Exhibits'!AA609:AA613),"")</f>
        <v/>
      </c>
    </row>
    <row r="614">
      <c r="A614" s="1" t="n">
        <v>42893</v>
      </c>
      <c r="B614" s="3">
        <f>IF(ISNUMBER(AVERAGE('20250815_ETF_Options_Exhibits'!B610:B614)),AVERAGE('20250815_ETF_Options_Exhibits'!B610:B614),"")</f>
        <v/>
      </c>
      <c r="C614" s="3">
        <f>IF(ISNUMBER(AVERAGE('20250815_ETF_Options_Exhibits'!C610:C614)),AVERAGE('20250815_ETF_Options_Exhibits'!C610:C614),"")</f>
        <v/>
      </c>
      <c r="D614" s="3">
        <f>IF(ISNUMBER(AVERAGE('20250815_ETF_Options_Exhibits'!D610:D614)),AVERAGE('20250815_ETF_Options_Exhibits'!D610:D614),"")</f>
        <v/>
      </c>
      <c r="E614" s="3">
        <f>IF(ISNUMBER(AVERAGE('20250815_ETF_Options_Exhibits'!E610:E614)),AVERAGE('20250815_ETF_Options_Exhibits'!E610:E614),"")</f>
        <v/>
      </c>
      <c r="F614" s="3">
        <f>IF(ISNUMBER(AVERAGE('20250815_ETF_Options_Exhibits'!F610:F614)),AVERAGE('20250815_ETF_Options_Exhibits'!F610:F614),"")</f>
        <v/>
      </c>
      <c r="G614" s="3">
        <f>IF(ISNUMBER(AVERAGE('20250815_ETF_Options_Exhibits'!G610:G614)),AVERAGE('20250815_ETF_Options_Exhibits'!G610:G614),"")</f>
        <v/>
      </c>
      <c r="H614" s="3">
        <f>IF(ISNUMBER(AVERAGE('20250815_ETF_Options_Exhibits'!H610:H614)),AVERAGE('20250815_ETF_Options_Exhibits'!H610:H614),"")</f>
        <v/>
      </c>
      <c r="I614" s="3">
        <f>IF(ISNUMBER(AVERAGE('20250815_ETF_Options_Exhibits'!I610:I614)),AVERAGE('20250815_ETF_Options_Exhibits'!I610:I614),"")</f>
        <v/>
      </c>
      <c r="J614" s="3">
        <f>IF(ISNUMBER(AVERAGE('20250815_ETF_Options_Exhibits'!J610:J614)),AVERAGE('20250815_ETF_Options_Exhibits'!J610:J614),"")</f>
        <v/>
      </c>
      <c r="K614" s="3">
        <f>IF(ISNUMBER(AVERAGE('20250815_ETF_Options_Exhibits'!K610:K614)),AVERAGE('20250815_ETF_Options_Exhibits'!K610:K614),"")</f>
        <v/>
      </c>
      <c r="L614" s="3">
        <f>IF(ISNUMBER(AVERAGE('20250815_ETF_Options_Exhibits'!L610:L614)),AVERAGE('20250815_ETF_Options_Exhibits'!L610:L614),"")</f>
        <v/>
      </c>
      <c r="M614" s="3">
        <f>IF(ISNUMBER(AVERAGE('20250815_ETF_Options_Exhibits'!M610:M614)),AVERAGE('20250815_ETF_Options_Exhibits'!M610:M614),"")</f>
        <v/>
      </c>
      <c r="N614" s="3">
        <f>IF(ISNUMBER(AVERAGE('20250815_ETF_Options_Exhibits'!N610:N614)),AVERAGE('20250815_ETF_Options_Exhibits'!N610:N614),"")</f>
        <v/>
      </c>
      <c r="O614" s="3">
        <f>IF(ISNUMBER(AVERAGE('20250815_ETF_Options_Exhibits'!O610:O614)),AVERAGE('20250815_ETF_Options_Exhibits'!O610:O614),"")</f>
        <v/>
      </c>
      <c r="P614" s="3">
        <f>IF(ISNUMBER(AVERAGE('20250815_ETF_Options_Exhibits'!P610:P614)),AVERAGE('20250815_ETF_Options_Exhibits'!P610:P614),"")</f>
        <v/>
      </c>
      <c r="Q614" s="3">
        <f>IF(ISNUMBER(AVERAGE('20250815_ETF_Options_Exhibits'!Q610:Q614)),AVERAGE('20250815_ETF_Options_Exhibits'!Q610:Q614),"")</f>
        <v/>
      </c>
      <c r="R614" s="3">
        <f>IF(ISNUMBER(AVERAGE('20250815_ETF_Options_Exhibits'!R610:R614)),AVERAGE('20250815_ETF_Options_Exhibits'!R610:R614),"")</f>
        <v/>
      </c>
      <c r="S614" s="3">
        <f>IF(ISNUMBER(AVERAGE('20250815_ETF_Options_Exhibits'!S610:S614)),AVERAGE('20250815_ETF_Options_Exhibits'!S610:S614),"")</f>
        <v/>
      </c>
      <c r="T614" s="3">
        <f>IF(ISNUMBER(AVERAGE('20250815_ETF_Options_Exhibits'!T610:T614)),AVERAGE('20250815_ETF_Options_Exhibits'!T610:T614),"")</f>
        <v/>
      </c>
      <c r="U614" s="3">
        <f>IF(ISNUMBER(AVERAGE('20250815_ETF_Options_Exhibits'!U610:U614)),AVERAGE('20250815_ETF_Options_Exhibits'!U610:U614),"")</f>
        <v/>
      </c>
      <c r="V614" s="3">
        <f>IF(ISNUMBER(AVERAGE('20250815_ETF_Options_Exhibits'!V610:V614)),AVERAGE('20250815_ETF_Options_Exhibits'!V610:V614),"")</f>
        <v/>
      </c>
      <c r="W614" s="3">
        <f>IF(ISNUMBER(AVERAGE('20250815_ETF_Options_Exhibits'!W610:W614)),AVERAGE('20250815_ETF_Options_Exhibits'!W610:W614),"")</f>
        <v/>
      </c>
      <c r="X614" s="3">
        <f>IF(ISNUMBER(AVERAGE('20250815_ETF_Options_Exhibits'!X610:X614)),AVERAGE('20250815_ETF_Options_Exhibits'!X610:X614),"")</f>
        <v/>
      </c>
      <c r="Y614" s="3">
        <f>IF(ISNUMBER(AVERAGE('20250815_ETF_Options_Exhibits'!Y610:Y614)),AVERAGE('20250815_ETF_Options_Exhibits'!Y610:Y614),"")</f>
        <v/>
      </c>
      <c r="Z614" s="3">
        <f>IF(ISNUMBER(AVERAGE('20250815_ETF_Options_Exhibits'!Z610:Z614)),AVERAGE('20250815_ETF_Options_Exhibits'!Z610:Z614),"")</f>
        <v/>
      </c>
      <c r="AA614" s="3">
        <f>IF(ISNUMBER(AVERAGE('20250815_ETF_Options_Exhibits'!AA610:AA614)),AVERAGE('20250815_ETF_Options_Exhibits'!AA610:AA614),"")</f>
        <v/>
      </c>
    </row>
    <row r="615">
      <c r="A615" s="1" t="n">
        <v>42894</v>
      </c>
      <c r="B615" s="3">
        <f>IF(ISNUMBER(AVERAGE('20250815_ETF_Options_Exhibits'!B611:B615)),AVERAGE('20250815_ETF_Options_Exhibits'!B611:B615),"")</f>
        <v/>
      </c>
      <c r="C615" s="3">
        <f>IF(ISNUMBER(AVERAGE('20250815_ETF_Options_Exhibits'!C611:C615)),AVERAGE('20250815_ETF_Options_Exhibits'!C611:C615),"")</f>
        <v/>
      </c>
      <c r="D615" s="3">
        <f>IF(ISNUMBER(AVERAGE('20250815_ETF_Options_Exhibits'!D611:D615)),AVERAGE('20250815_ETF_Options_Exhibits'!D611:D615),"")</f>
        <v/>
      </c>
      <c r="E615" s="3">
        <f>IF(ISNUMBER(AVERAGE('20250815_ETF_Options_Exhibits'!E611:E615)),AVERAGE('20250815_ETF_Options_Exhibits'!E611:E615),"")</f>
        <v/>
      </c>
      <c r="F615" s="3">
        <f>IF(ISNUMBER(AVERAGE('20250815_ETF_Options_Exhibits'!F611:F615)),AVERAGE('20250815_ETF_Options_Exhibits'!F611:F615),"")</f>
        <v/>
      </c>
      <c r="G615" s="3">
        <f>IF(ISNUMBER(AVERAGE('20250815_ETF_Options_Exhibits'!G611:G615)),AVERAGE('20250815_ETF_Options_Exhibits'!G611:G615),"")</f>
        <v/>
      </c>
      <c r="H615" s="3">
        <f>IF(ISNUMBER(AVERAGE('20250815_ETF_Options_Exhibits'!H611:H615)),AVERAGE('20250815_ETF_Options_Exhibits'!H611:H615),"")</f>
        <v/>
      </c>
      <c r="I615" s="3">
        <f>IF(ISNUMBER(AVERAGE('20250815_ETF_Options_Exhibits'!I611:I615)),AVERAGE('20250815_ETF_Options_Exhibits'!I611:I615),"")</f>
        <v/>
      </c>
      <c r="J615" s="3">
        <f>IF(ISNUMBER(AVERAGE('20250815_ETF_Options_Exhibits'!J611:J615)),AVERAGE('20250815_ETF_Options_Exhibits'!J611:J615),"")</f>
        <v/>
      </c>
      <c r="K615" s="3">
        <f>IF(ISNUMBER(AVERAGE('20250815_ETF_Options_Exhibits'!K611:K615)),AVERAGE('20250815_ETF_Options_Exhibits'!K611:K615),"")</f>
        <v/>
      </c>
      <c r="L615" s="3">
        <f>IF(ISNUMBER(AVERAGE('20250815_ETF_Options_Exhibits'!L611:L615)),AVERAGE('20250815_ETF_Options_Exhibits'!L611:L615),"")</f>
        <v/>
      </c>
      <c r="M615" s="3">
        <f>IF(ISNUMBER(AVERAGE('20250815_ETF_Options_Exhibits'!M611:M615)),AVERAGE('20250815_ETF_Options_Exhibits'!M611:M615),"")</f>
        <v/>
      </c>
      <c r="N615" s="3">
        <f>IF(ISNUMBER(AVERAGE('20250815_ETF_Options_Exhibits'!N611:N615)),AVERAGE('20250815_ETF_Options_Exhibits'!N611:N615),"")</f>
        <v/>
      </c>
      <c r="O615" s="3">
        <f>IF(ISNUMBER(AVERAGE('20250815_ETF_Options_Exhibits'!O611:O615)),AVERAGE('20250815_ETF_Options_Exhibits'!O611:O615),"")</f>
        <v/>
      </c>
      <c r="P615" s="3">
        <f>IF(ISNUMBER(AVERAGE('20250815_ETF_Options_Exhibits'!P611:P615)),AVERAGE('20250815_ETF_Options_Exhibits'!P611:P615),"")</f>
        <v/>
      </c>
      <c r="Q615" s="3">
        <f>IF(ISNUMBER(AVERAGE('20250815_ETF_Options_Exhibits'!Q611:Q615)),AVERAGE('20250815_ETF_Options_Exhibits'!Q611:Q615),"")</f>
        <v/>
      </c>
      <c r="R615" s="3">
        <f>IF(ISNUMBER(AVERAGE('20250815_ETF_Options_Exhibits'!R611:R615)),AVERAGE('20250815_ETF_Options_Exhibits'!R611:R615),"")</f>
        <v/>
      </c>
      <c r="S615" s="3">
        <f>IF(ISNUMBER(AVERAGE('20250815_ETF_Options_Exhibits'!S611:S615)),AVERAGE('20250815_ETF_Options_Exhibits'!S611:S615),"")</f>
        <v/>
      </c>
      <c r="T615" s="3">
        <f>IF(ISNUMBER(AVERAGE('20250815_ETF_Options_Exhibits'!T611:T615)),AVERAGE('20250815_ETF_Options_Exhibits'!T611:T615),"")</f>
        <v/>
      </c>
      <c r="U615" s="3">
        <f>IF(ISNUMBER(AVERAGE('20250815_ETF_Options_Exhibits'!U611:U615)),AVERAGE('20250815_ETF_Options_Exhibits'!U611:U615),"")</f>
        <v/>
      </c>
      <c r="V615" s="3">
        <f>IF(ISNUMBER(AVERAGE('20250815_ETF_Options_Exhibits'!V611:V615)),AVERAGE('20250815_ETF_Options_Exhibits'!V611:V615),"")</f>
        <v/>
      </c>
      <c r="W615" s="3">
        <f>IF(ISNUMBER(AVERAGE('20250815_ETF_Options_Exhibits'!W611:W615)),AVERAGE('20250815_ETF_Options_Exhibits'!W611:W615),"")</f>
        <v/>
      </c>
      <c r="X615" s="3">
        <f>IF(ISNUMBER(AVERAGE('20250815_ETF_Options_Exhibits'!X611:X615)),AVERAGE('20250815_ETF_Options_Exhibits'!X611:X615),"")</f>
        <v/>
      </c>
      <c r="Y615" s="3">
        <f>IF(ISNUMBER(AVERAGE('20250815_ETF_Options_Exhibits'!Y611:Y615)),AVERAGE('20250815_ETF_Options_Exhibits'!Y611:Y615),"")</f>
        <v/>
      </c>
      <c r="Z615" s="3">
        <f>IF(ISNUMBER(AVERAGE('20250815_ETF_Options_Exhibits'!Z611:Z615)),AVERAGE('20250815_ETF_Options_Exhibits'!Z611:Z615),"")</f>
        <v/>
      </c>
      <c r="AA615" s="3">
        <f>IF(ISNUMBER(AVERAGE('20250815_ETF_Options_Exhibits'!AA611:AA615)),AVERAGE('20250815_ETF_Options_Exhibits'!AA611:AA615),"")</f>
        <v/>
      </c>
    </row>
    <row r="616">
      <c r="A616" s="1" t="n">
        <v>42895</v>
      </c>
      <c r="B616" s="3">
        <f>IF(ISNUMBER(AVERAGE('20250815_ETF_Options_Exhibits'!B612:B616)),AVERAGE('20250815_ETF_Options_Exhibits'!B612:B616),"")</f>
        <v/>
      </c>
      <c r="C616" s="3">
        <f>IF(ISNUMBER(AVERAGE('20250815_ETF_Options_Exhibits'!C612:C616)),AVERAGE('20250815_ETF_Options_Exhibits'!C612:C616),"")</f>
        <v/>
      </c>
      <c r="D616" s="3">
        <f>IF(ISNUMBER(AVERAGE('20250815_ETF_Options_Exhibits'!D612:D616)),AVERAGE('20250815_ETF_Options_Exhibits'!D612:D616),"")</f>
        <v/>
      </c>
      <c r="E616" s="3">
        <f>IF(ISNUMBER(AVERAGE('20250815_ETF_Options_Exhibits'!E612:E616)),AVERAGE('20250815_ETF_Options_Exhibits'!E612:E616),"")</f>
        <v/>
      </c>
      <c r="F616" s="3">
        <f>IF(ISNUMBER(AVERAGE('20250815_ETF_Options_Exhibits'!F612:F616)),AVERAGE('20250815_ETF_Options_Exhibits'!F612:F616),"")</f>
        <v/>
      </c>
      <c r="G616" s="3">
        <f>IF(ISNUMBER(AVERAGE('20250815_ETF_Options_Exhibits'!G612:G616)),AVERAGE('20250815_ETF_Options_Exhibits'!G612:G616),"")</f>
        <v/>
      </c>
      <c r="H616" s="3">
        <f>IF(ISNUMBER(AVERAGE('20250815_ETF_Options_Exhibits'!H612:H616)),AVERAGE('20250815_ETF_Options_Exhibits'!H612:H616),"")</f>
        <v/>
      </c>
      <c r="I616" s="3">
        <f>IF(ISNUMBER(AVERAGE('20250815_ETF_Options_Exhibits'!I612:I616)),AVERAGE('20250815_ETF_Options_Exhibits'!I612:I616),"")</f>
        <v/>
      </c>
      <c r="J616" s="3">
        <f>IF(ISNUMBER(AVERAGE('20250815_ETF_Options_Exhibits'!J612:J616)),AVERAGE('20250815_ETF_Options_Exhibits'!J612:J616),"")</f>
        <v/>
      </c>
      <c r="K616" s="3">
        <f>IF(ISNUMBER(AVERAGE('20250815_ETF_Options_Exhibits'!K612:K616)),AVERAGE('20250815_ETF_Options_Exhibits'!K612:K616),"")</f>
        <v/>
      </c>
      <c r="L616" s="3">
        <f>IF(ISNUMBER(AVERAGE('20250815_ETF_Options_Exhibits'!L612:L616)),AVERAGE('20250815_ETF_Options_Exhibits'!L612:L616),"")</f>
        <v/>
      </c>
      <c r="M616" s="3">
        <f>IF(ISNUMBER(AVERAGE('20250815_ETF_Options_Exhibits'!M612:M616)),AVERAGE('20250815_ETF_Options_Exhibits'!M612:M616),"")</f>
        <v/>
      </c>
      <c r="N616" s="3">
        <f>IF(ISNUMBER(AVERAGE('20250815_ETF_Options_Exhibits'!N612:N616)),AVERAGE('20250815_ETF_Options_Exhibits'!N612:N616),"")</f>
        <v/>
      </c>
      <c r="O616" s="3">
        <f>IF(ISNUMBER(AVERAGE('20250815_ETF_Options_Exhibits'!O612:O616)),AVERAGE('20250815_ETF_Options_Exhibits'!O612:O616),"")</f>
        <v/>
      </c>
      <c r="P616" s="3">
        <f>IF(ISNUMBER(AVERAGE('20250815_ETF_Options_Exhibits'!P612:P616)),AVERAGE('20250815_ETF_Options_Exhibits'!P612:P616),"")</f>
        <v/>
      </c>
      <c r="Q616" s="3">
        <f>IF(ISNUMBER(AVERAGE('20250815_ETF_Options_Exhibits'!Q612:Q616)),AVERAGE('20250815_ETF_Options_Exhibits'!Q612:Q616),"")</f>
        <v/>
      </c>
      <c r="R616" s="3">
        <f>IF(ISNUMBER(AVERAGE('20250815_ETF_Options_Exhibits'!R612:R616)),AVERAGE('20250815_ETF_Options_Exhibits'!R612:R616),"")</f>
        <v/>
      </c>
      <c r="S616" s="3">
        <f>IF(ISNUMBER(AVERAGE('20250815_ETF_Options_Exhibits'!S612:S616)),AVERAGE('20250815_ETF_Options_Exhibits'!S612:S616),"")</f>
        <v/>
      </c>
      <c r="T616" s="3">
        <f>IF(ISNUMBER(AVERAGE('20250815_ETF_Options_Exhibits'!T612:T616)),AVERAGE('20250815_ETF_Options_Exhibits'!T612:T616),"")</f>
        <v/>
      </c>
      <c r="U616" s="3">
        <f>IF(ISNUMBER(AVERAGE('20250815_ETF_Options_Exhibits'!U612:U616)),AVERAGE('20250815_ETF_Options_Exhibits'!U612:U616),"")</f>
        <v/>
      </c>
      <c r="V616" s="3">
        <f>IF(ISNUMBER(AVERAGE('20250815_ETF_Options_Exhibits'!V612:V616)),AVERAGE('20250815_ETF_Options_Exhibits'!V612:V616),"")</f>
        <v/>
      </c>
      <c r="W616" s="3">
        <f>IF(ISNUMBER(AVERAGE('20250815_ETF_Options_Exhibits'!W612:W616)),AVERAGE('20250815_ETF_Options_Exhibits'!W612:W616),"")</f>
        <v/>
      </c>
      <c r="X616" s="3">
        <f>IF(ISNUMBER(AVERAGE('20250815_ETF_Options_Exhibits'!X612:X616)),AVERAGE('20250815_ETF_Options_Exhibits'!X612:X616),"")</f>
        <v/>
      </c>
      <c r="Y616" s="3">
        <f>IF(ISNUMBER(AVERAGE('20250815_ETF_Options_Exhibits'!Y612:Y616)),AVERAGE('20250815_ETF_Options_Exhibits'!Y612:Y616),"")</f>
        <v/>
      </c>
      <c r="Z616" s="3">
        <f>IF(ISNUMBER(AVERAGE('20250815_ETF_Options_Exhibits'!Z612:Z616)),AVERAGE('20250815_ETF_Options_Exhibits'!Z612:Z616),"")</f>
        <v/>
      </c>
      <c r="AA616" s="3">
        <f>IF(ISNUMBER(AVERAGE('20250815_ETF_Options_Exhibits'!AA612:AA616)),AVERAGE('20250815_ETF_Options_Exhibits'!AA612:AA616),"")</f>
        <v/>
      </c>
    </row>
    <row r="617">
      <c r="A617" s="1" t="n">
        <v>42898</v>
      </c>
      <c r="B617" s="3">
        <f>IF(ISNUMBER(AVERAGE('20250815_ETF_Options_Exhibits'!B613:B617)),AVERAGE('20250815_ETF_Options_Exhibits'!B613:B617),"")</f>
        <v/>
      </c>
      <c r="C617" s="3">
        <f>IF(ISNUMBER(AVERAGE('20250815_ETF_Options_Exhibits'!C613:C617)),AVERAGE('20250815_ETF_Options_Exhibits'!C613:C617),"")</f>
        <v/>
      </c>
      <c r="D617" s="3">
        <f>IF(ISNUMBER(AVERAGE('20250815_ETF_Options_Exhibits'!D613:D617)),AVERAGE('20250815_ETF_Options_Exhibits'!D613:D617),"")</f>
        <v/>
      </c>
      <c r="E617" s="3">
        <f>IF(ISNUMBER(AVERAGE('20250815_ETF_Options_Exhibits'!E613:E617)),AVERAGE('20250815_ETF_Options_Exhibits'!E613:E617),"")</f>
        <v/>
      </c>
      <c r="F617" s="3">
        <f>IF(ISNUMBER(AVERAGE('20250815_ETF_Options_Exhibits'!F613:F617)),AVERAGE('20250815_ETF_Options_Exhibits'!F613:F617),"")</f>
        <v/>
      </c>
      <c r="G617" s="3">
        <f>IF(ISNUMBER(AVERAGE('20250815_ETF_Options_Exhibits'!G613:G617)),AVERAGE('20250815_ETF_Options_Exhibits'!G613:G617),"")</f>
        <v/>
      </c>
      <c r="H617" s="3">
        <f>IF(ISNUMBER(AVERAGE('20250815_ETF_Options_Exhibits'!H613:H617)),AVERAGE('20250815_ETF_Options_Exhibits'!H613:H617),"")</f>
        <v/>
      </c>
      <c r="I617" s="3">
        <f>IF(ISNUMBER(AVERAGE('20250815_ETF_Options_Exhibits'!I613:I617)),AVERAGE('20250815_ETF_Options_Exhibits'!I613:I617),"")</f>
        <v/>
      </c>
      <c r="J617" s="3">
        <f>IF(ISNUMBER(AVERAGE('20250815_ETF_Options_Exhibits'!J613:J617)),AVERAGE('20250815_ETF_Options_Exhibits'!J613:J617),"")</f>
        <v/>
      </c>
      <c r="K617" s="3">
        <f>IF(ISNUMBER(AVERAGE('20250815_ETF_Options_Exhibits'!K613:K617)),AVERAGE('20250815_ETF_Options_Exhibits'!K613:K617),"")</f>
        <v/>
      </c>
      <c r="L617" s="3">
        <f>IF(ISNUMBER(AVERAGE('20250815_ETF_Options_Exhibits'!L613:L617)),AVERAGE('20250815_ETF_Options_Exhibits'!L613:L617),"")</f>
        <v/>
      </c>
      <c r="M617" s="3">
        <f>IF(ISNUMBER(AVERAGE('20250815_ETF_Options_Exhibits'!M613:M617)),AVERAGE('20250815_ETF_Options_Exhibits'!M613:M617),"")</f>
        <v/>
      </c>
      <c r="N617" s="3">
        <f>IF(ISNUMBER(AVERAGE('20250815_ETF_Options_Exhibits'!N613:N617)),AVERAGE('20250815_ETF_Options_Exhibits'!N613:N617),"")</f>
        <v/>
      </c>
      <c r="O617" s="3">
        <f>IF(ISNUMBER(AVERAGE('20250815_ETF_Options_Exhibits'!O613:O617)),AVERAGE('20250815_ETF_Options_Exhibits'!O613:O617),"")</f>
        <v/>
      </c>
      <c r="P617" s="3">
        <f>IF(ISNUMBER(AVERAGE('20250815_ETF_Options_Exhibits'!P613:P617)),AVERAGE('20250815_ETF_Options_Exhibits'!P613:P617),"")</f>
        <v/>
      </c>
      <c r="Q617" s="3">
        <f>IF(ISNUMBER(AVERAGE('20250815_ETF_Options_Exhibits'!Q613:Q617)),AVERAGE('20250815_ETF_Options_Exhibits'!Q613:Q617),"")</f>
        <v/>
      </c>
      <c r="R617" s="3">
        <f>IF(ISNUMBER(AVERAGE('20250815_ETF_Options_Exhibits'!R613:R617)),AVERAGE('20250815_ETF_Options_Exhibits'!R613:R617),"")</f>
        <v/>
      </c>
      <c r="S617" s="3">
        <f>IF(ISNUMBER(AVERAGE('20250815_ETF_Options_Exhibits'!S613:S617)),AVERAGE('20250815_ETF_Options_Exhibits'!S613:S617),"")</f>
        <v/>
      </c>
      <c r="T617" s="3">
        <f>IF(ISNUMBER(AVERAGE('20250815_ETF_Options_Exhibits'!T613:T617)),AVERAGE('20250815_ETF_Options_Exhibits'!T613:T617),"")</f>
        <v/>
      </c>
      <c r="U617" s="3">
        <f>IF(ISNUMBER(AVERAGE('20250815_ETF_Options_Exhibits'!U613:U617)),AVERAGE('20250815_ETF_Options_Exhibits'!U613:U617),"")</f>
        <v/>
      </c>
      <c r="V617" s="3">
        <f>IF(ISNUMBER(AVERAGE('20250815_ETF_Options_Exhibits'!V613:V617)),AVERAGE('20250815_ETF_Options_Exhibits'!V613:V617),"")</f>
        <v/>
      </c>
      <c r="W617" s="3">
        <f>IF(ISNUMBER(AVERAGE('20250815_ETF_Options_Exhibits'!W613:W617)),AVERAGE('20250815_ETF_Options_Exhibits'!W613:W617),"")</f>
        <v/>
      </c>
      <c r="X617" s="3">
        <f>IF(ISNUMBER(AVERAGE('20250815_ETF_Options_Exhibits'!X613:X617)),AVERAGE('20250815_ETF_Options_Exhibits'!X613:X617),"")</f>
        <v/>
      </c>
      <c r="Y617" s="3">
        <f>IF(ISNUMBER(AVERAGE('20250815_ETF_Options_Exhibits'!Y613:Y617)),AVERAGE('20250815_ETF_Options_Exhibits'!Y613:Y617),"")</f>
        <v/>
      </c>
      <c r="Z617" s="3">
        <f>IF(ISNUMBER(AVERAGE('20250815_ETF_Options_Exhibits'!Z613:Z617)),AVERAGE('20250815_ETF_Options_Exhibits'!Z613:Z617),"")</f>
        <v/>
      </c>
      <c r="AA617" s="3">
        <f>IF(ISNUMBER(AVERAGE('20250815_ETF_Options_Exhibits'!AA613:AA617)),AVERAGE('20250815_ETF_Options_Exhibits'!AA613:AA617),"")</f>
        <v/>
      </c>
    </row>
    <row r="618">
      <c r="A618" s="1" t="n">
        <v>42899</v>
      </c>
      <c r="B618" s="3">
        <f>IF(ISNUMBER(AVERAGE('20250815_ETF_Options_Exhibits'!B614:B618)),AVERAGE('20250815_ETF_Options_Exhibits'!B614:B618),"")</f>
        <v/>
      </c>
      <c r="C618" s="3">
        <f>IF(ISNUMBER(AVERAGE('20250815_ETF_Options_Exhibits'!C614:C618)),AVERAGE('20250815_ETF_Options_Exhibits'!C614:C618),"")</f>
        <v/>
      </c>
      <c r="D618" s="3">
        <f>IF(ISNUMBER(AVERAGE('20250815_ETF_Options_Exhibits'!D614:D618)),AVERAGE('20250815_ETF_Options_Exhibits'!D614:D618),"")</f>
        <v/>
      </c>
      <c r="E618" s="3">
        <f>IF(ISNUMBER(AVERAGE('20250815_ETF_Options_Exhibits'!E614:E618)),AVERAGE('20250815_ETF_Options_Exhibits'!E614:E618),"")</f>
        <v/>
      </c>
      <c r="F618" s="3">
        <f>IF(ISNUMBER(AVERAGE('20250815_ETF_Options_Exhibits'!F614:F618)),AVERAGE('20250815_ETF_Options_Exhibits'!F614:F618),"")</f>
        <v/>
      </c>
      <c r="G618" s="3">
        <f>IF(ISNUMBER(AVERAGE('20250815_ETF_Options_Exhibits'!G614:G618)),AVERAGE('20250815_ETF_Options_Exhibits'!G614:G618),"")</f>
        <v/>
      </c>
      <c r="H618" s="3">
        <f>IF(ISNUMBER(AVERAGE('20250815_ETF_Options_Exhibits'!H614:H618)),AVERAGE('20250815_ETF_Options_Exhibits'!H614:H618),"")</f>
        <v/>
      </c>
      <c r="I618" s="3">
        <f>IF(ISNUMBER(AVERAGE('20250815_ETF_Options_Exhibits'!I614:I618)),AVERAGE('20250815_ETF_Options_Exhibits'!I614:I618),"")</f>
        <v/>
      </c>
      <c r="J618" s="3">
        <f>IF(ISNUMBER(AVERAGE('20250815_ETF_Options_Exhibits'!J614:J618)),AVERAGE('20250815_ETF_Options_Exhibits'!J614:J618),"")</f>
        <v/>
      </c>
      <c r="K618" s="3">
        <f>IF(ISNUMBER(AVERAGE('20250815_ETF_Options_Exhibits'!K614:K618)),AVERAGE('20250815_ETF_Options_Exhibits'!K614:K618),"")</f>
        <v/>
      </c>
      <c r="L618" s="3">
        <f>IF(ISNUMBER(AVERAGE('20250815_ETF_Options_Exhibits'!L614:L618)),AVERAGE('20250815_ETF_Options_Exhibits'!L614:L618),"")</f>
        <v/>
      </c>
      <c r="M618" s="3">
        <f>IF(ISNUMBER(AVERAGE('20250815_ETF_Options_Exhibits'!M614:M618)),AVERAGE('20250815_ETF_Options_Exhibits'!M614:M618),"")</f>
        <v/>
      </c>
      <c r="N618" s="3">
        <f>IF(ISNUMBER(AVERAGE('20250815_ETF_Options_Exhibits'!N614:N618)),AVERAGE('20250815_ETF_Options_Exhibits'!N614:N618),"")</f>
        <v/>
      </c>
      <c r="O618" s="3">
        <f>IF(ISNUMBER(AVERAGE('20250815_ETF_Options_Exhibits'!O614:O618)),AVERAGE('20250815_ETF_Options_Exhibits'!O614:O618),"")</f>
        <v/>
      </c>
      <c r="P618" s="3">
        <f>IF(ISNUMBER(AVERAGE('20250815_ETF_Options_Exhibits'!P614:P618)),AVERAGE('20250815_ETF_Options_Exhibits'!P614:P618),"")</f>
        <v/>
      </c>
      <c r="Q618" s="3">
        <f>IF(ISNUMBER(AVERAGE('20250815_ETF_Options_Exhibits'!Q614:Q618)),AVERAGE('20250815_ETF_Options_Exhibits'!Q614:Q618),"")</f>
        <v/>
      </c>
      <c r="R618" s="3">
        <f>IF(ISNUMBER(AVERAGE('20250815_ETF_Options_Exhibits'!R614:R618)),AVERAGE('20250815_ETF_Options_Exhibits'!R614:R618),"")</f>
        <v/>
      </c>
      <c r="S618" s="3">
        <f>IF(ISNUMBER(AVERAGE('20250815_ETF_Options_Exhibits'!S614:S618)),AVERAGE('20250815_ETF_Options_Exhibits'!S614:S618),"")</f>
        <v/>
      </c>
      <c r="T618" s="3">
        <f>IF(ISNUMBER(AVERAGE('20250815_ETF_Options_Exhibits'!T614:T618)),AVERAGE('20250815_ETF_Options_Exhibits'!T614:T618),"")</f>
        <v/>
      </c>
      <c r="U618" s="3">
        <f>IF(ISNUMBER(AVERAGE('20250815_ETF_Options_Exhibits'!U614:U618)),AVERAGE('20250815_ETF_Options_Exhibits'!U614:U618),"")</f>
        <v/>
      </c>
      <c r="V618" s="3">
        <f>IF(ISNUMBER(AVERAGE('20250815_ETF_Options_Exhibits'!V614:V618)),AVERAGE('20250815_ETF_Options_Exhibits'!V614:V618),"")</f>
        <v/>
      </c>
      <c r="W618" s="3">
        <f>IF(ISNUMBER(AVERAGE('20250815_ETF_Options_Exhibits'!W614:W618)),AVERAGE('20250815_ETF_Options_Exhibits'!W614:W618),"")</f>
        <v/>
      </c>
      <c r="X618" s="3">
        <f>IF(ISNUMBER(AVERAGE('20250815_ETF_Options_Exhibits'!X614:X618)),AVERAGE('20250815_ETF_Options_Exhibits'!X614:X618),"")</f>
        <v/>
      </c>
      <c r="Y618" s="3">
        <f>IF(ISNUMBER(AVERAGE('20250815_ETF_Options_Exhibits'!Y614:Y618)),AVERAGE('20250815_ETF_Options_Exhibits'!Y614:Y618),"")</f>
        <v/>
      </c>
      <c r="Z618" s="3">
        <f>IF(ISNUMBER(AVERAGE('20250815_ETF_Options_Exhibits'!Z614:Z618)),AVERAGE('20250815_ETF_Options_Exhibits'!Z614:Z618),"")</f>
        <v/>
      </c>
      <c r="AA618" s="3">
        <f>IF(ISNUMBER(AVERAGE('20250815_ETF_Options_Exhibits'!AA614:AA618)),AVERAGE('20250815_ETF_Options_Exhibits'!AA614:AA618),"")</f>
        <v/>
      </c>
    </row>
    <row r="619">
      <c r="A619" s="1" t="n">
        <v>42900</v>
      </c>
      <c r="B619" s="3">
        <f>IF(ISNUMBER(AVERAGE('20250815_ETF_Options_Exhibits'!B615:B619)),AVERAGE('20250815_ETF_Options_Exhibits'!B615:B619),"")</f>
        <v/>
      </c>
      <c r="C619" s="3">
        <f>IF(ISNUMBER(AVERAGE('20250815_ETF_Options_Exhibits'!C615:C619)),AVERAGE('20250815_ETF_Options_Exhibits'!C615:C619),"")</f>
        <v/>
      </c>
      <c r="D619" s="3">
        <f>IF(ISNUMBER(AVERAGE('20250815_ETF_Options_Exhibits'!D615:D619)),AVERAGE('20250815_ETF_Options_Exhibits'!D615:D619),"")</f>
        <v/>
      </c>
      <c r="E619" s="3">
        <f>IF(ISNUMBER(AVERAGE('20250815_ETF_Options_Exhibits'!E615:E619)),AVERAGE('20250815_ETF_Options_Exhibits'!E615:E619),"")</f>
        <v/>
      </c>
      <c r="F619" s="3">
        <f>IF(ISNUMBER(AVERAGE('20250815_ETF_Options_Exhibits'!F615:F619)),AVERAGE('20250815_ETF_Options_Exhibits'!F615:F619),"")</f>
        <v/>
      </c>
      <c r="G619" s="3">
        <f>IF(ISNUMBER(AVERAGE('20250815_ETF_Options_Exhibits'!G615:G619)),AVERAGE('20250815_ETF_Options_Exhibits'!G615:G619),"")</f>
        <v/>
      </c>
      <c r="H619" s="3">
        <f>IF(ISNUMBER(AVERAGE('20250815_ETF_Options_Exhibits'!H615:H619)),AVERAGE('20250815_ETF_Options_Exhibits'!H615:H619),"")</f>
        <v/>
      </c>
      <c r="I619" s="3">
        <f>IF(ISNUMBER(AVERAGE('20250815_ETF_Options_Exhibits'!I615:I619)),AVERAGE('20250815_ETF_Options_Exhibits'!I615:I619),"")</f>
        <v/>
      </c>
      <c r="J619" s="3">
        <f>IF(ISNUMBER(AVERAGE('20250815_ETF_Options_Exhibits'!J615:J619)),AVERAGE('20250815_ETF_Options_Exhibits'!J615:J619),"")</f>
        <v/>
      </c>
      <c r="K619" s="3">
        <f>IF(ISNUMBER(AVERAGE('20250815_ETF_Options_Exhibits'!K615:K619)),AVERAGE('20250815_ETF_Options_Exhibits'!K615:K619),"")</f>
        <v/>
      </c>
      <c r="L619" s="3">
        <f>IF(ISNUMBER(AVERAGE('20250815_ETF_Options_Exhibits'!L615:L619)),AVERAGE('20250815_ETF_Options_Exhibits'!L615:L619),"")</f>
        <v/>
      </c>
      <c r="M619" s="3">
        <f>IF(ISNUMBER(AVERAGE('20250815_ETF_Options_Exhibits'!M615:M619)),AVERAGE('20250815_ETF_Options_Exhibits'!M615:M619),"")</f>
        <v/>
      </c>
      <c r="N619" s="3">
        <f>IF(ISNUMBER(AVERAGE('20250815_ETF_Options_Exhibits'!N615:N619)),AVERAGE('20250815_ETF_Options_Exhibits'!N615:N619),"")</f>
        <v/>
      </c>
      <c r="O619" s="3">
        <f>IF(ISNUMBER(AVERAGE('20250815_ETF_Options_Exhibits'!O615:O619)),AVERAGE('20250815_ETF_Options_Exhibits'!O615:O619),"")</f>
        <v/>
      </c>
      <c r="P619" s="3">
        <f>IF(ISNUMBER(AVERAGE('20250815_ETF_Options_Exhibits'!P615:P619)),AVERAGE('20250815_ETF_Options_Exhibits'!P615:P619),"")</f>
        <v/>
      </c>
      <c r="Q619" s="3">
        <f>IF(ISNUMBER(AVERAGE('20250815_ETF_Options_Exhibits'!Q615:Q619)),AVERAGE('20250815_ETF_Options_Exhibits'!Q615:Q619),"")</f>
        <v/>
      </c>
      <c r="R619" s="3">
        <f>IF(ISNUMBER(AVERAGE('20250815_ETF_Options_Exhibits'!R615:R619)),AVERAGE('20250815_ETF_Options_Exhibits'!R615:R619),"")</f>
        <v/>
      </c>
      <c r="S619" s="3">
        <f>IF(ISNUMBER(AVERAGE('20250815_ETF_Options_Exhibits'!S615:S619)),AVERAGE('20250815_ETF_Options_Exhibits'!S615:S619),"")</f>
        <v/>
      </c>
      <c r="T619" s="3">
        <f>IF(ISNUMBER(AVERAGE('20250815_ETF_Options_Exhibits'!T615:T619)),AVERAGE('20250815_ETF_Options_Exhibits'!T615:T619),"")</f>
        <v/>
      </c>
      <c r="U619" s="3">
        <f>IF(ISNUMBER(AVERAGE('20250815_ETF_Options_Exhibits'!U615:U619)),AVERAGE('20250815_ETF_Options_Exhibits'!U615:U619),"")</f>
        <v/>
      </c>
      <c r="V619" s="3">
        <f>IF(ISNUMBER(AVERAGE('20250815_ETF_Options_Exhibits'!V615:V619)),AVERAGE('20250815_ETF_Options_Exhibits'!V615:V619),"")</f>
        <v/>
      </c>
      <c r="W619" s="3">
        <f>IF(ISNUMBER(AVERAGE('20250815_ETF_Options_Exhibits'!W615:W619)),AVERAGE('20250815_ETF_Options_Exhibits'!W615:W619),"")</f>
        <v/>
      </c>
      <c r="X619" s="3">
        <f>IF(ISNUMBER(AVERAGE('20250815_ETF_Options_Exhibits'!X615:X619)),AVERAGE('20250815_ETF_Options_Exhibits'!X615:X619),"")</f>
        <v/>
      </c>
      <c r="Y619" s="3">
        <f>IF(ISNUMBER(AVERAGE('20250815_ETF_Options_Exhibits'!Y615:Y619)),AVERAGE('20250815_ETF_Options_Exhibits'!Y615:Y619),"")</f>
        <v/>
      </c>
      <c r="Z619" s="3">
        <f>IF(ISNUMBER(AVERAGE('20250815_ETF_Options_Exhibits'!Z615:Z619)),AVERAGE('20250815_ETF_Options_Exhibits'!Z615:Z619),"")</f>
        <v/>
      </c>
      <c r="AA619" s="3">
        <f>IF(ISNUMBER(AVERAGE('20250815_ETF_Options_Exhibits'!AA615:AA619)),AVERAGE('20250815_ETF_Options_Exhibits'!AA615:AA619),"")</f>
        <v/>
      </c>
    </row>
    <row r="620">
      <c r="A620" s="1" t="n">
        <v>42901</v>
      </c>
      <c r="B620" s="3">
        <f>IF(ISNUMBER(AVERAGE('20250815_ETF_Options_Exhibits'!B616:B620)),AVERAGE('20250815_ETF_Options_Exhibits'!B616:B620),"")</f>
        <v/>
      </c>
      <c r="C620" s="3">
        <f>IF(ISNUMBER(AVERAGE('20250815_ETF_Options_Exhibits'!C616:C620)),AVERAGE('20250815_ETF_Options_Exhibits'!C616:C620),"")</f>
        <v/>
      </c>
      <c r="D620" s="3">
        <f>IF(ISNUMBER(AVERAGE('20250815_ETF_Options_Exhibits'!D616:D620)),AVERAGE('20250815_ETF_Options_Exhibits'!D616:D620),"")</f>
        <v/>
      </c>
      <c r="E620" s="3">
        <f>IF(ISNUMBER(AVERAGE('20250815_ETF_Options_Exhibits'!E616:E620)),AVERAGE('20250815_ETF_Options_Exhibits'!E616:E620),"")</f>
        <v/>
      </c>
      <c r="F620" s="3">
        <f>IF(ISNUMBER(AVERAGE('20250815_ETF_Options_Exhibits'!F616:F620)),AVERAGE('20250815_ETF_Options_Exhibits'!F616:F620),"")</f>
        <v/>
      </c>
      <c r="G620" s="3">
        <f>IF(ISNUMBER(AVERAGE('20250815_ETF_Options_Exhibits'!G616:G620)),AVERAGE('20250815_ETF_Options_Exhibits'!G616:G620),"")</f>
        <v/>
      </c>
      <c r="H620" s="3">
        <f>IF(ISNUMBER(AVERAGE('20250815_ETF_Options_Exhibits'!H616:H620)),AVERAGE('20250815_ETF_Options_Exhibits'!H616:H620),"")</f>
        <v/>
      </c>
      <c r="I620" s="3">
        <f>IF(ISNUMBER(AVERAGE('20250815_ETF_Options_Exhibits'!I616:I620)),AVERAGE('20250815_ETF_Options_Exhibits'!I616:I620),"")</f>
        <v/>
      </c>
      <c r="J620" s="3">
        <f>IF(ISNUMBER(AVERAGE('20250815_ETF_Options_Exhibits'!J616:J620)),AVERAGE('20250815_ETF_Options_Exhibits'!J616:J620),"")</f>
        <v/>
      </c>
      <c r="K620" s="3">
        <f>IF(ISNUMBER(AVERAGE('20250815_ETF_Options_Exhibits'!K616:K620)),AVERAGE('20250815_ETF_Options_Exhibits'!K616:K620),"")</f>
        <v/>
      </c>
      <c r="L620" s="3">
        <f>IF(ISNUMBER(AVERAGE('20250815_ETF_Options_Exhibits'!L616:L620)),AVERAGE('20250815_ETF_Options_Exhibits'!L616:L620),"")</f>
        <v/>
      </c>
      <c r="M620" s="3">
        <f>IF(ISNUMBER(AVERAGE('20250815_ETF_Options_Exhibits'!M616:M620)),AVERAGE('20250815_ETF_Options_Exhibits'!M616:M620),"")</f>
        <v/>
      </c>
      <c r="N620" s="3">
        <f>IF(ISNUMBER(AVERAGE('20250815_ETF_Options_Exhibits'!N616:N620)),AVERAGE('20250815_ETF_Options_Exhibits'!N616:N620),"")</f>
        <v/>
      </c>
      <c r="O620" s="3">
        <f>IF(ISNUMBER(AVERAGE('20250815_ETF_Options_Exhibits'!O616:O620)),AVERAGE('20250815_ETF_Options_Exhibits'!O616:O620),"")</f>
        <v/>
      </c>
      <c r="P620" s="3">
        <f>IF(ISNUMBER(AVERAGE('20250815_ETF_Options_Exhibits'!P616:P620)),AVERAGE('20250815_ETF_Options_Exhibits'!P616:P620),"")</f>
        <v/>
      </c>
      <c r="Q620" s="3">
        <f>IF(ISNUMBER(AVERAGE('20250815_ETF_Options_Exhibits'!Q616:Q620)),AVERAGE('20250815_ETF_Options_Exhibits'!Q616:Q620),"")</f>
        <v/>
      </c>
      <c r="R620" s="3">
        <f>IF(ISNUMBER(AVERAGE('20250815_ETF_Options_Exhibits'!R616:R620)),AVERAGE('20250815_ETF_Options_Exhibits'!R616:R620),"")</f>
        <v/>
      </c>
      <c r="S620" s="3">
        <f>IF(ISNUMBER(AVERAGE('20250815_ETF_Options_Exhibits'!S616:S620)),AVERAGE('20250815_ETF_Options_Exhibits'!S616:S620),"")</f>
        <v/>
      </c>
      <c r="T620" s="3">
        <f>IF(ISNUMBER(AVERAGE('20250815_ETF_Options_Exhibits'!T616:T620)),AVERAGE('20250815_ETF_Options_Exhibits'!T616:T620),"")</f>
        <v/>
      </c>
      <c r="U620" s="3">
        <f>IF(ISNUMBER(AVERAGE('20250815_ETF_Options_Exhibits'!U616:U620)),AVERAGE('20250815_ETF_Options_Exhibits'!U616:U620),"")</f>
        <v/>
      </c>
      <c r="V620" s="3">
        <f>IF(ISNUMBER(AVERAGE('20250815_ETF_Options_Exhibits'!V616:V620)),AVERAGE('20250815_ETF_Options_Exhibits'!V616:V620),"")</f>
        <v/>
      </c>
      <c r="W620" s="3">
        <f>IF(ISNUMBER(AVERAGE('20250815_ETF_Options_Exhibits'!W616:W620)),AVERAGE('20250815_ETF_Options_Exhibits'!W616:W620),"")</f>
        <v/>
      </c>
      <c r="X620" s="3">
        <f>IF(ISNUMBER(AVERAGE('20250815_ETF_Options_Exhibits'!X616:X620)),AVERAGE('20250815_ETF_Options_Exhibits'!X616:X620),"")</f>
        <v/>
      </c>
      <c r="Y620" s="3">
        <f>IF(ISNUMBER(AVERAGE('20250815_ETF_Options_Exhibits'!Y616:Y620)),AVERAGE('20250815_ETF_Options_Exhibits'!Y616:Y620),"")</f>
        <v/>
      </c>
      <c r="Z620" s="3">
        <f>IF(ISNUMBER(AVERAGE('20250815_ETF_Options_Exhibits'!Z616:Z620)),AVERAGE('20250815_ETF_Options_Exhibits'!Z616:Z620),"")</f>
        <v/>
      </c>
      <c r="AA620" s="3">
        <f>IF(ISNUMBER(AVERAGE('20250815_ETF_Options_Exhibits'!AA616:AA620)),AVERAGE('20250815_ETF_Options_Exhibits'!AA616:AA620),"")</f>
        <v/>
      </c>
    </row>
    <row r="621">
      <c r="A621" s="1" t="n">
        <v>42902</v>
      </c>
      <c r="B621" s="3">
        <f>IF(ISNUMBER(AVERAGE('20250815_ETF_Options_Exhibits'!B617:B621)),AVERAGE('20250815_ETF_Options_Exhibits'!B617:B621),"")</f>
        <v/>
      </c>
      <c r="C621" s="3">
        <f>IF(ISNUMBER(AVERAGE('20250815_ETF_Options_Exhibits'!C617:C621)),AVERAGE('20250815_ETF_Options_Exhibits'!C617:C621),"")</f>
        <v/>
      </c>
      <c r="D621" s="3">
        <f>IF(ISNUMBER(AVERAGE('20250815_ETF_Options_Exhibits'!D617:D621)),AVERAGE('20250815_ETF_Options_Exhibits'!D617:D621),"")</f>
        <v/>
      </c>
      <c r="E621" s="3">
        <f>IF(ISNUMBER(AVERAGE('20250815_ETF_Options_Exhibits'!E617:E621)),AVERAGE('20250815_ETF_Options_Exhibits'!E617:E621),"")</f>
        <v/>
      </c>
      <c r="F621" s="3">
        <f>IF(ISNUMBER(AVERAGE('20250815_ETF_Options_Exhibits'!F617:F621)),AVERAGE('20250815_ETF_Options_Exhibits'!F617:F621),"")</f>
        <v/>
      </c>
      <c r="G621" s="3">
        <f>IF(ISNUMBER(AVERAGE('20250815_ETF_Options_Exhibits'!G617:G621)),AVERAGE('20250815_ETF_Options_Exhibits'!G617:G621),"")</f>
        <v/>
      </c>
      <c r="H621" s="3">
        <f>IF(ISNUMBER(AVERAGE('20250815_ETF_Options_Exhibits'!H617:H621)),AVERAGE('20250815_ETF_Options_Exhibits'!H617:H621),"")</f>
        <v/>
      </c>
      <c r="I621" s="3">
        <f>IF(ISNUMBER(AVERAGE('20250815_ETF_Options_Exhibits'!I617:I621)),AVERAGE('20250815_ETF_Options_Exhibits'!I617:I621),"")</f>
        <v/>
      </c>
      <c r="J621" s="3">
        <f>IF(ISNUMBER(AVERAGE('20250815_ETF_Options_Exhibits'!J617:J621)),AVERAGE('20250815_ETF_Options_Exhibits'!J617:J621),"")</f>
        <v/>
      </c>
      <c r="K621" s="3">
        <f>IF(ISNUMBER(AVERAGE('20250815_ETF_Options_Exhibits'!K617:K621)),AVERAGE('20250815_ETF_Options_Exhibits'!K617:K621),"")</f>
        <v/>
      </c>
      <c r="L621" s="3">
        <f>IF(ISNUMBER(AVERAGE('20250815_ETF_Options_Exhibits'!L617:L621)),AVERAGE('20250815_ETF_Options_Exhibits'!L617:L621),"")</f>
        <v/>
      </c>
      <c r="M621" s="3">
        <f>IF(ISNUMBER(AVERAGE('20250815_ETF_Options_Exhibits'!M617:M621)),AVERAGE('20250815_ETF_Options_Exhibits'!M617:M621),"")</f>
        <v/>
      </c>
      <c r="N621" s="3">
        <f>IF(ISNUMBER(AVERAGE('20250815_ETF_Options_Exhibits'!N617:N621)),AVERAGE('20250815_ETF_Options_Exhibits'!N617:N621),"")</f>
        <v/>
      </c>
      <c r="O621" s="3">
        <f>IF(ISNUMBER(AVERAGE('20250815_ETF_Options_Exhibits'!O617:O621)),AVERAGE('20250815_ETF_Options_Exhibits'!O617:O621),"")</f>
        <v/>
      </c>
      <c r="P621" s="3">
        <f>IF(ISNUMBER(AVERAGE('20250815_ETF_Options_Exhibits'!P617:P621)),AVERAGE('20250815_ETF_Options_Exhibits'!P617:P621),"")</f>
        <v/>
      </c>
      <c r="Q621" s="3">
        <f>IF(ISNUMBER(AVERAGE('20250815_ETF_Options_Exhibits'!Q617:Q621)),AVERAGE('20250815_ETF_Options_Exhibits'!Q617:Q621),"")</f>
        <v/>
      </c>
      <c r="R621" s="3">
        <f>IF(ISNUMBER(AVERAGE('20250815_ETF_Options_Exhibits'!R617:R621)),AVERAGE('20250815_ETF_Options_Exhibits'!R617:R621),"")</f>
        <v/>
      </c>
      <c r="S621" s="3">
        <f>IF(ISNUMBER(AVERAGE('20250815_ETF_Options_Exhibits'!S617:S621)),AVERAGE('20250815_ETF_Options_Exhibits'!S617:S621),"")</f>
        <v/>
      </c>
      <c r="T621" s="3">
        <f>IF(ISNUMBER(AVERAGE('20250815_ETF_Options_Exhibits'!T617:T621)),AVERAGE('20250815_ETF_Options_Exhibits'!T617:T621),"")</f>
        <v/>
      </c>
      <c r="U621" s="3">
        <f>IF(ISNUMBER(AVERAGE('20250815_ETF_Options_Exhibits'!U617:U621)),AVERAGE('20250815_ETF_Options_Exhibits'!U617:U621),"")</f>
        <v/>
      </c>
      <c r="V621" s="3">
        <f>IF(ISNUMBER(AVERAGE('20250815_ETF_Options_Exhibits'!V617:V621)),AVERAGE('20250815_ETF_Options_Exhibits'!V617:V621),"")</f>
        <v/>
      </c>
      <c r="W621" s="3">
        <f>IF(ISNUMBER(AVERAGE('20250815_ETF_Options_Exhibits'!W617:W621)),AVERAGE('20250815_ETF_Options_Exhibits'!W617:W621),"")</f>
        <v/>
      </c>
      <c r="X621" s="3">
        <f>IF(ISNUMBER(AVERAGE('20250815_ETF_Options_Exhibits'!X617:X621)),AVERAGE('20250815_ETF_Options_Exhibits'!X617:X621),"")</f>
        <v/>
      </c>
      <c r="Y621" s="3">
        <f>IF(ISNUMBER(AVERAGE('20250815_ETF_Options_Exhibits'!Y617:Y621)),AVERAGE('20250815_ETF_Options_Exhibits'!Y617:Y621),"")</f>
        <v/>
      </c>
      <c r="Z621" s="3">
        <f>IF(ISNUMBER(AVERAGE('20250815_ETF_Options_Exhibits'!Z617:Z621)),AVERAGE('20250815_ETF_Options_Exhibits'!Z617:Z621),"")</f>
        <v/>
      </c>
      <c r="AA621" s="3">
        <f>IF(ISNUMBER(AVERAGE('20250815_ETF_Options_Exhibits'!AA617:AA621)),AVERAGE('20250815_ETF_Options_Exhibits'!AA617:AA621),"")</f>
        <v/>
      </c>
    </row>
    <row r="622">
      <c r="A622" s="1" t="n">
        <v>42905</v>
      </c>
      <c r="B622" s="3">
        <f>IF(ISNUMBER(AVERAGE('20250815_ETF_Options_Exhibits'!B618:B622)),AVERAGE('20250815_ETF_Options_Exhibits'!B618:B622),"")</f>
        <v/>
      </c>
      <c r="C622" s="3">
        <f>IF(ISNUMBER(AVERAGE('20250815_ETF_Options_Exhibits'!C618:C622)),AVERAGE('20250815_ETF_Options_Exhibits'!C618:C622),"")</f>
        <v/>
      </c>
      <c r="D622" s="3">
        <f>IF(ISNUMBER(AVERAGE('20250815_ETF_Options_Exhibits'!D618:D622)),AVERAGE('20250815_ETF_Options_Exhibits'!D618:D622),"")</f>
        <v/>
      </c>
      <c r="E622" s="3">
        <f>IF(ISNUMBER(AVERAGE('20250815_ETF_Options_Exhibits'!E618:E622)),AVERAGE('20250815_ETF_Options_Exhibits'!E618:E622),"")</f>
        <v/>
      </c>
      <c r="F622" s="3">
        <f>IF(ISNUMBER(AVERAGE('20250815_ETF_Options_Exhibits'!F618:F622)),AVERAGE('20250815_ETF_Options_Exhibits'!F618:F622),"")</f>
        <v/>
      </c>
      <c r="G622" s="3">
        <f>IF(ISNUMBER(AVERAGE('20250815_ETF_Options_Exhibits'!G618:G622)),AVERAGE('20250815_ETF_Options_Exhibits'!G618:G622),"")</f>
        <v/>
      </c>
      <c r="H622" s="3">
        <f>IF(ISNUMBER(AVERAGE('20250815_ETF_Options_Exhibits'!H618:H622)),AVERAGE('20250815_ETF_Options_Exhibits'!H618:H622),"")</f>
        <v/>
      </c>
      <c r="I622" s="3">
        <f>IF(ISNUMBER(AVERAGE('20250815_ETF_Options_Exhibits'!I618:I622)),AVERAGE('20250815_ETF_Options_Exhibits'!I618:I622),"")</f>
        <v/>
      </c>
      <c r="J622" s="3">
        <f>IF(ISNUMBER(AVERAGE('20250815_ETF_Options_Exhibits'!J618:J622)),AVERAGE('20250815_ETF_Options_Exhibits'!J618:J622),"")</f>
        <v/>
      </c>
      <c r="K622" s="3">
        <f>IF(ISNUMBER(AVERAGE('20250815_ETF_Options_Exhibits'!K618:K622)),AVERAGE('20250815_ETF_Options_Exhibits'!K618:K622),"")</f>
        <v/>
      </c>
      <c r="L622" s="3">
        <f>IF(ISNUMBER(AVERAGE('20250815_ETF_Options_Exhibits'!L618:L622)),AVERAGE('20250815_ETF_Options_Exhibits'!L618:L622),"")</f>
        <v/>
      </c>
      <c r="M622" s="3">
        <f>IF(ISNUMBER(AVERAGE('20250815_ETF_Options_Exhibits'!M618:M622)),AVERAGE('20250815_ETF_Options_Exhibits'!M618:M622),"")</f>
        <v/>
      </c>
      <c r="N622" s="3">
        <f>IF(ISNUMBER(AVERAGE('20250815_ETF_Options_Exhibits'!N618:N622)),AVERAGE('20250815_ETF_Options_Exhibits'!N618:N622),"")</f>
        <v/>
      </c>
      <c r="O622" s="3">
        <f>IF(ISNUMBER(AVERAGE('20250815_ETF_Options_Exhibits'!O618:O622)),AVERAGE('20250815_ETF_Options_Exhibits'!O618:O622),"")</f>
        <v/>
      </c>
      <c r="P622" s="3">
        <f>IF(ISNUMBER(AVERAGE('20250815_ETF_Options_Exhibits'!P618:P622)),AVERAGE('20250815_ETF_Options_Exhibits'!P618:P622),"")</f>
        <v/>
      </c>
      <c r="Q622" s="3">
        <f>IF(ISNUMBER(AVERAGE('20250815_ETF_Options_Exhibits'!Q618:Q622)),AVERAGE('20250815_ETF_Options_Exhibits'!Q618:Q622),"")</f>
        <v/>
      </c>
      <c r="R622" s="3">
        <f>IF(ISNUMBER(AVERAGE('20250815_ETF_Options_Exhibits'!R618:R622)),AVERAGE('20250815_ETF_Options_Exhibits'!R618:R622),"")</f>
        <v/>
      </c>
      <c r="S622" s="3">
        <f>IF(ISNUMBER(AVERAGE('20250815_ETF_Options_Exhibits'!S618:S622)),AVERAGE('20250815_ETF_Options_Exhibits'!S618:S622),"")</f>
        <v/>
      </c>
      <c r="T622" s="3">
        <f>IF(ISNUMBER(AVERAGE('20250815_ETF_Options_Exhibits'!T618:T622)),AVERAGE('20250815_ETF_Options_Exhibits'!T618:T622),"")</f>
        <v/>
      </c>
      <c r="U622" s="3">
        <f>IF(ISNUMBER(AVERAGE('20250815_ETF_Options_Exhibits'!U618:U622)),AVERAGE('20250815_ETF_Options_Exhibits'!U618:U622),"")</f>
        <v/>
      </c>
      <c r="V622" s="3">
        <f>IF(ISNUMBER(AVERAGE('20250815_ETF_Options_Exhibits'!V618:V622)),AVERAGE('20250815_ETF_Options_Exhibits'!V618:V622),"")</f>
        <v/>
      </c>
      <c r="W622" s="3">
        <f>IF(ISNUMBER(AVERAGE('20250815_ETF_Options_Exhibits'!W618:W622)),AVERAGE('20250815_ETF_Options_Exhibits'!W618:W622),"")</f>
        <v/>
      </c>
      <c r="X622" s="3">
        <f>IF(ISNUMBER(AVERAGE('20250815_ETF_Options_Exhibits'!X618:X622)),AVERAGE('20250815_ETF_Options_Exhibits'!X618:X622),"")</f>
        <v/>
      </c>
      <c r="Y622" s="3">
        <f>IF(ISNUMBER(AVERAGE('20250815_ETF_Options_Exhibits'!Y618:Y622)),AVERAGE('20250815_ETF_Options_Exhibits'!Y618:Y622),"")</f>
        <v/>
      </c>
      <c r="Z622" s="3">
        <f>IF(ISNUMBER(AVERAGE('20250815_ETF_Options_Exhibits'!Z618:Z622)),AVERAGE('20250815_ETF_Options_Exhibits'!Z618:Z622),"")</f>
        <v/>
      </c>
      <c r="AA622" s="3">
        <f>IF(ISNUMBER(AVERAGE('20250815_ETF_Options_Exhibits'!AA618:AA622)),AVERAGE('20250815_ETF_Options_Exhibits'!AA618:AA622),"")</f>
        <v/>
      </c>
    </row>
    <row r="623">
      <c r="A623" s="1" t="n">
        <v>42906</v>
      </c>
      <c r="B623" s="3">
        <f>IF(ISNUMBER(AVERAGE('20250815_ETF_Options_Exhibits'!B619:B623)),AVERAGE('20250815_ETF_Options_Exhibits'!B619:B623),"")</f>
        <v/>
      </c>
      <c r="C623" s="3">
        <f>IF(ISNUMBER(AVERAGE('20250815_ETF_Options_Exhibits'!C619:C623)),AVERAGE('20250815_ETF_Options_Exhibits'!C619:C623),"")</f>
        <v/>
      </c>
      <c r="D623" s="3">
        <f>IF(ISNUMBER(AVERAGE('20250815_ETF_Options_Exhibits'!D619:D623)),AVERAGE('20250815_ETF_Options_Exhibits'!D619:D623),"")</f>
        <v/>
      </c>
      <c r="E623" s="3">
        <f>IF(ISNUMBER(AVERAGE('20250815_ETF_Options_Exhibits'!E619:E623)),AVERAGE('20250815_ETF_Options_Exhibits'!E619:E623),"")</f>
        <v/>
      </c>
      <c r="F623" s="3">
        <f>IF(ISNUMBER(AVERAGE('20250815_ETF_Options_Exhibits'!F619:F623)),AVERAGE('20250815_ETF_Options_Exhibits'!F619:F623),"")</f>
        <v/>
      </c>
      <c r="G623" s="3">
        <f>IF(ISNUMBER(AVERAGE('20250815_ETF_Options_Exhibits'!G619:G623)),AVERAGE('20250815_ETF_Options_Exhibits'!G619:G623),"")</f>
        <v/>
      </c>
      <c r="H623" s="3">
        <f>IF(ISNUMBER(AVERAGE('20250815_ETF_Options_Exhibits'!H619:H623)),AVERAGE('20250815_ETF_Options_Exhibits'!H619:H623),"")</f>
        <v/>
      </c>
      <c r="I623" s="3">
        <f>IF(ISNUMBER(AVERAGE('20250815_ETF_Options_Exhibits'!I619:I623)),AVERAGE('20250815_ETF_Options_Exhibits'!I619:I623),"")</f>
        <v/>
      </c>
      <c r="J623" s="3">
        <f>IF(ISNUMBER(AVERAGE('20250815_ETF_Options_Exhibits'!J619:J623)),AVERAGE('20250815_ETF_Options_Exhibits'!J619:J623),"")</f>
        <v/>
      </c>
      <c r="K623" s="3">
        <f>IF(ISNUMBER(AVERAGE('20250815_ETF_Options_Exhibits'!K619:K623)),AVERAGE('20250815_ETF_Options_Exhibits'!K619:K623),"")</f>
        <v/>
      </c>
      <c r="L623" s="3">
        <f>IF(ISNUMBER(AVERAGE('20250815_ETF_Options_Exhibits'!L619:L623)),AVERAGE('20250815_ETF_Options_Exhibits'!L619:L623),"")</f>
        <v/>
      </c>
      <c r="M623" s="3">
        <f>IF(ISNUMBER(AVERAGE('20250815_ETF_Options_Exhibits'!M619:M623)),AVERAGE('20250815_ETF_Options_Exhibits'!M619:M623),"")</f>
        <v/>
      </c>
      <c r="N623" s="3">
        <f>IF(ISNUMBER(AVERAGE('20250815_ETF_Options_Exhibits'!N619:N623)),AVERAGE('20250815_ETF_Options_Exhibits'!N619:N623),"")</f>
        <v/>
      </c>
      <c r="O623" s="3">
        <f>IF(ISNUMBER(AVERAGE('20250815_ETF_Options_Exhibits'!O619:O623)),AVERAGE('20250815_ETF_Options_Exhibits'!O619:O623),"")</f>
        <v/>
      </c>
      <c r="P623" s="3">
        <f>IF(ISNUMBER(AVERAGE('20250815_ETF_Options_Exhibits'!P619:P623)),AVERAGE('20250815_ETF_Options_Exhibits'!P619:P623),"")</f>
        <v/>
      </c>
      <c r="Q623" s="3">
        <f>IF(ISNUMBER(AVERAGE('20250815_ETF_Options_Exhibits'!Q619:Q623)),AVERAGE('20250815_ETF_Options_Exhibits'!Q619:Q623),"")</f>
        <v/>
      </c>
      <c r="R623" s="3">
        <f>IF(ISNUMBER(AVERAGE('20250815_ETF_Options_Exhibits'!R619:R623)),AVERAGE('20250815_ETF_Options_Exhibits'!R619:R623),"")</f>
        <v/>
      </c>
      <c r="S623" s="3">
        <f>IF(ISNUMBER(AVERAGE('20250815_ETF_Options_Exhibits'!S619:S623)),AVERAGE('20250815_ETF_Options_Exhibits'!S619:S623),"")</f>
        <v/>
      </c>
      <c r="T623" s="3">
        <f>IF(ISNUMBER(AVERAGE('20250815_ETF_Options_Exhibits'!T619:T623)),AVERAGE('20250815_ETF_Options_Exhibits'!T619:T623),"")</f>
        <v/>
      </c>
      <c r="U623" s="3">
        <f>IF(ISNUMBER(AVERAGE('20250815_ETF_Options_Exhibits'!U619:U623)),AVERAGE('20250815_ETF_Options_Exhibits'!U619:U623),"")</f>
        <v/>
      </c>
      <c r="V623" s="3">
        <f>IF(ISNUMBER(AVERAGE('20250815_ETF_Options_Exhibits'!V619:V623)),AVERAGE('20250815_ETF_Options_Exhibits'!V619:V623),"")</f>
        <v/>
      </c>
      <c r="W623" s="3">
        <f>IF(ISNUMBER(AVERAGE('20250815_ETF_Options_Exhibits'!W619:W623)),AVERAGE('20250815_ETF_Options_Exhibits'!W619:W623),"")</f>
        <v/>
      </c>
      <c r="X623" s="3">
        <f>IF(ISNUMBER(AVERAGE('20250815_ETF_Options_Exhibits'!X619:X623)),AVERAGE('20250815_ETF_Options_Exhibits'!X619:X623),"")</f>
        <v/>
      </c>
      <c r="Y623" s="3">
        <f>IF(ISNUMBER(AVERAGE('20250815_ETF_Options_Exhibits'!Y619:Y623)),AVERAGE('20250815_ETF_Options_Exhibits'!Y619:Y623),"")</f>
        <v/>
      </c>
      <c r="Z623" s="3">
        <f>IF(ISNUMBER(AVERAGE('20250815_ETF_Options_Exhibits'!Z619:Z623)),AVERAGE('20250815_ETF_Options_Exhibits'!Z619:Z623),"")</f>
        <v/>
      </c>
      <c r="AA623" s="3">
        <f>IF(ISNUMBER(AVERAGE('20250815_ETF_Options_Exhibits'!AA619:AA623)),AVERAGE('20250815_ETF_Options_Exhibits'!AA619:AA623),"")</f>
        <v/>
      </c>
    </row>
    <row r="624">
      <c r="A624" s="1" t="n">
        <v>42907</v>
      </c>
      <c r="B624" s="3">
        <f>IF(ISNUMBER(AVERAGE('20250815_ETF_Options_Exhibits'!B620:B624)),AVERAGE('20250815_ETF_Options_Exhibits'!B620:B624),"")</f>
        <v/>
      </c>
      <c r="C624" s="3">
        <f>IF(ISNUMBER(AVERAGE('20250815_ETF_Options_Exhibits'!C620:C624)),AVERAGE('20250815_ETF_Options_Exhibits'!C620:C624),"")</f>
        <v/>
      </c>
      <c r="D624" s="3">
        <f>IF(ISNUMBER(AVERAGE('20250815_ETF_Options_Exhibits'!D620:D624)),AVERAGE('20250815_ETF_Options_Exhibits'!D620:D624),"")</f>
        <v/>
      </c>
      <c r="E624" s="3">
        <f>IF(ISNUMBER(AVERAGE('20250815_ETF_Options_Exhibits'!E620:E624)),AVERAGE('20250815_ETF_Options_Exhibits'!E620:E624),"")</f>
        <v/>
      </c>
      <c r="F624" s="3">
        <f>IF(ISNUMBER(AVERAGE('20250815_ETF_Options_Exhibits'!F620:F624)),AVERAGE('20250815_ETF_Options_Exhibits'!F620:F624),"")</f>
        <v/>
      </c>
      <c r="G624" s="3">
        <f>IF(ISNUMBER(AVERAGE('20250815_ETF_Options_Exhibits'!G620:G624)),AVERAGE('20250815_ETF_Options_Exhibits'!G620:G624),"")</f>
        <v/>
      </c>
      <c r="H624" s="3">
        <f>IF(ISNUMBER(AVERAGE('20250815_ETF_Options_Exhibits'!H620:H624)),AVERAGE('20250815_ETF_Options_Exhibits'!H620:H624),"")</f>
        <v/>
      </c>
      <c r="I624" s="3">
        <f>IF(ISNUMBER(AVERAGE('20250815_ETF_Options_Exhibits'!I620:I624)),AVERAGE('20250815_ETF_Options_Exhibits'!I620:I624),"")</f>
        <v/>
      </c>
      <c r="J624" s="3">
        <f>IF(ISNUMBER(AVERAGE('20250815_ETF_Options_Exhibits'!J620:J624)),AVERAGE('20250815_ETF_Options_Exhibits'!J620:J624),"")</f>
        <v/>
      </c>
      <c r="K624" s="3">
        <f>IF(ISNUMBER(AVERAGE('20250815_ETF_Options_Exhibits'!K620:K624)),AVERAGE('20250815_ETF_Options_Exhibits'!K620:K624),"")</f>
        <v/>
      </c>
      <c r="L624" s="3">
        <f>IF(ISNUMBER(AVERAGE('20250815_ETF_Options_Exhibits'!L620:L624)),AVERAGE('20250815_ETF_Options_Exhibits'!L620:L624),"")</f>
        <v/>
      </c>
      <c r="M624" s="3">
        <f>IF(ISNUMBER(AVERAGE('20250815_ETF_Options_Exhibits'!M620:M624)),AVERAGE('20250815_ETF_Options_Exhibits'!M620:M624),"")</f>
        <v/>
      </c>
      <c r="N624" s="3">
        <f>IF(ISNUMBER(AVERAGE('20250815_ETF_Options_Exhibits'!N620:N624)),AVERAGE('20250815_ETF_Options_Exhibits'!N620:N624),"")</f>
        <v/>
      </c>
      <c r="O624" s="3">
        <f>IF(ISNUMBER(AVERAGE('20250815_ETF_Options_Exhibits'!O620:O624)),AVERAGE('20250815_ETF_Options_Exhibits'!O620:O624),"")</f>
        <v/>
      </c>
      <c r="P624" s="3">
        <f>IF(ISNUMBER(AVERAGE('20250815_ETF_Options_Exhibits'!P620:P624)),AVERAGE('20250815_ETF_Options_Exhibits'!P620:P624),"")</f>
        <v/>
      </c>
      <c r="Q624" s="3">
        <f>IF(ISNUMBER(AVERAGE('20250815_ETF_Options_Exhibits'!Q620:Q624)),AVERAGE('20250815_ETF_Options_Exhibits'!Q620:Q624),"")</f>
        <v/>
      </c>
      <c r="R624" s="3">
        <f>IF(ISNUMBER(AVERAGE('20250815_ETF_Options_Exhibits'!R620:R624)),AVERAGE('20250815_ETF_Options_Exhibits'!R620:R624),"")</f>
        <v/>
      </c>
      <c r="S624" s="3">
        <f>IF(ISNUMBER(AVERAGE('20250815_ETF_Options_Exhibits'!S620:S624)),AVERAGE('20250815_ETF_Options_Exhibits'!S620:S624),"")</f>
        <v/>
      </c>
      <c r="T624" s="3">
        <f>IF(ISNUMBER(AVERAGE('20250815_ETF_Options_Exhibits'!T620:T624)),AVERAGE('20250815_ETF_Options_Exhibits'!T620:T624),"")</f>
        <v/>
      </c>
      <c r="U624" s="3">
        <f>IF(ISNUMBER(AVERAGE('20250815_ETF_Options_Exhibits'!U620:U624)),AVERAGE('20250815_ETF_Options_Exhibits'!U620:U624),"")</f>
        <v/>
      </c>
      <c r="V624" s="3">
        <f>IF(ISNUMBER(AVERAGE('20250815_ETF_Options_Exhibits'!V620:V624)),AVERAGE('20250815_ETF_Options_Exhibits'!V620:V624),"")</f>
        <v/>
      </c>
      <c r="W624" s="3">
        <f>IF(ISNUMBER(AVERAGE('20250815_ETF_Options_Exhibits'!W620:W624)),AVERAGE('20250815_ETF_Options_Exhibits'!W620:W624),"")</f>
        <v/>
      </c>
      <c r="X624" s="3">
        <f>IF(ISNUMBER(AVERAGE('20250815_ETF_Options_Exhibits'!X620:X624)),AVERAGE('20250815_ETF_Options_Exhibits'!X620:X624),"")</f>
        <v/>
      </c>
      <c r="Y624" s="3">
        <f>IF(ISNUMBER(AVERAGE('20250815_ETF_Options_Exhibits'!Y620:Y624)),AVERAGE('20250815_ETF_Options_Exhibits'!Y620:Y624),"")</f>
        <v/>
      </c>
      <c r="Z624" s="3">
        <f>IF(ISNUMBER(AVERAGE('20250815_ETF_Options_Exhibits'!Z620:Z624)),AVERAGE('20250815_ETF_Options_Exhibits'!Z620:Z624),"")</f>
        <v/>
      </c>
      <c r="AA624" s="3">
        <f>IF(ISNUMBER(AVERAGE('20250815_ETF_Options_Exhibits'!AA620:AA624)),AVERAGE('20250815_ETF_Options_Exhibits'!AA620:AA624),"")</f>
        <v/>
      </c>
    </row>
    <row r="625">
      <c r="A625" s="1" t="n">
        <v>42908</v>
      </c>
      <c r="B625" s="3">
        <f>IF(ISNUMBER(AVERAGE('20250815_ETF_Options_Exhibits'!B621:B625)),AVERAGE('20250815_ETF_Options_Exhibits'!B621:B625),"")</f>
        <v/>
      </c>
      <c r="C625" s="3">
        <f>IF(ISNUMBER(AVERAGE('20250815_ETF_Options_Exhibits'!C621:C625)),AVERAGE('20250815_ETF_Options_Exhibits'!C621:C625),"")</f>
        <v/>
      </c>
      <c r="D625" s="3">
        <f>IF(ISNUMBER(AVERAGE('20250815_ETF_Options_Exhibits'!D621:D625)),AVERAGE('20250815_ETF_Options_Exhibits'!D621:D625),"")</f>
        <v/>
      </c>
      <c r="E625" s="3">
        <f>IF(ISNUMBER(AVERAGE('20250815_ETF_Options_Exhibits'!E621:E625)),AVERAGE('20250815_ETF_Options_Exhibits'!E621:E625),"")</f>
        <v/>
      </c>
      <c r="F625" s="3">
        <f>IF(ISNUMBER(AVERAGE('20250815_ETF_Options_Exhibits'!F621:F625)),AVERAGE('20250815_ETF_Options_Exhibits'!F621:F625),"")</f>
        <v/>
      </c>
      <c r="G625" s="3">
        <f>IF(ISNUMBER(AVERAGE('20250815_ETF_Options_Exhibits'!G621:G625)),AVERAGE('20250815_ETF_Options_Exhibits'!G621:G625),"")</f>
        <v/>
      </c>
      <c r="H625" s="3">
        <f>IF(ISNUMBER(AVERAGE('20250815_ETF_Options_Exhibits'!H621:H625)),AVERAGE('20250815_ETF_Options_Exhibits'!H621:H625),"")</f>
        <v/>
      </c>
      <c r="I625" s="3">
        <f>IF(ISNUMBER(AVERAGE('20250815_ETF_Options_Exhibits'!I621:I625)),AVERAGE('20250815_ETF_Options_Exhibits'!I621:I625),"")</f>
        <v/>
      </c>
      <c r="J625" s="3">
        <f>IF(ISNUMBER(AVERAGE('20250815_ETF_Options_Exhibits'!J621:J625)),AVERAGE('20250815_ETF_Options_Exhibits'!J621:J625),"")</f>
        <v/>
      </c>
      <c r="K625" s="3">
        <f>IF(ISNUMBER(AVERAGE('20250815_ETF_Options_Exhibits'!K621:K625)),AVERAGE('20250815_ETF_Options_Exhibits'!K621:K625),"")</f>
        <v/>
      </c>
      <c r="L625" s="3">
        <f>IF(ISNUMBER(AVERAGE('20250815_ETF_Options_Exhibits'!L621:L625)),AVERAGE('20250815_ETF_Options_Exhibits'!L621:L625),"")</f>
        <v/>
      </c>
      <c r="M625" s="3">
        <f>IF(ISNUMBER(AVERAGE('20250815_ETF_Options_Exhibits'!M621:M625)),AVERAGE('20250815_ETF_Options_Exhibits'!M621:M625),"")</f>
        <v/>
      </c>
      <c r="N625" s="3">
        <f>IF(ISNUMBER(AVERAGE('20250815_ETF_Options_Exhibits'!N621:N625)),AVERAGE('20250815_ETF_Options_Exhibits'!N621:N625),"")</f>
        <v/>
      </c>
      <c r="O625" s="3">
        <f>IF(ISNUMBER(AVERAGE('20250815_ETF_Options_Exhibits'!O621:O625)),AVERAGE('20250815_ETF_Options_Exhibits'!O621:O625),"")</f>
        <v/>
      </c>
      <c r="P625" s="3">
        <f>IF(ISNUMBER(AVERAGE('20250815_ETF_Options_Exhibits'!P621:P625)),AVERAGE('20250815_ETF_Options_Exhibits'!P621:P625),"")</f>
        <v/>
      </c>
      <c r="Q625" s="3">
        <f>IF(ISNUMBER(AVERAGE('20250815_ETF_Options_Exhibits'!Q621:Q625)),AVERAGE('20250815_ETF_Options_Exhibits'!Q621:Q625),"")</f>
        <v/>
      </c>
      <c r="R625" s="3">
        <f>IF(ISNUMBER(AVERAGE('20250815_ETF_Options_Exhibits'!R621:R625)),AVERAGE('20250815_ETF_Options_Exhibits'!R621:R625),"")</f>
        <v/>
      </c>
      <c r="S625" s="3">
        <f>IF(ISNUMBER(AVERAGE('20250815_ETF_Options_Exhibits'!S621:S625)),AVERAGE('20250815_ETF_Options_Exhibits'!S621:S625),"")</f>
        <v/>
      </c>
      <c r="T625" s="3">
        <f>IF(ISNUMBER(AVERAGE('20250815_ETF_Options_Exhibits'!T621:T625)),AVERAGE('20250815_ETF_Options_Exhibits'!T621:T625),"")</f>
        <v/>
      </c>
      <c r="U625" s="3">
        <f>IF(ISNUMBER(AVERAGE('20250815_ETF_Options_Exhibits'!U621:U625)),AVERAGE('20250815_ETF_Options_Exhibits'!U621:U625),"")</f>
        <v/>
      </c>
      <c r="V625" s="3">
        <f>IF(ISNUMBER(AVERAGE('20250815_ETF_Options_Exhibits'!V621:V625)),AVERAGE('20250815_ETF_Options_Exhibits'!V621:V625),"")</f>
        <v/>
      </c>
      <c r="W625" s="3">
        <f>IF(ISNUMBER(AVERAGE('20250815_ETF_Options_Exhibits'!W621:W625)),AVERAGE('20250815_ETF_Options_Exhibits'!W621:W625),"")</f>
        <v/>
      </c>
      <c r="X625" s="3">
        <f>IF(ISNUMBER(AVERAGE('20250815_ETF_Options_Exhibits'!X621:X625)),AVERAGE('20250815_ETF_Options_Exhibits'!X621:X625),"")</f>
        <v/>
      </c>
      <c r="Y625" s="3">
        <f>IF(ISNUMBER(AVERAGE('20250815_ETF_Options_Exhibits'!Y621:Y625)),AVERAGE('20250815_ETF_Options_Exhibits'!Y621:Y625),"")</f>
        <v/>
      </c>
      <c r="Z625" s="3">
        <f>IF(ISNUMBER(AVERAGE('20250815_ETF_Options_Exhibits'!Z621:Z625)),AVERAGE('20250815_ETF_Options_Exhibits'!Z621:Z625),"")</f>
        <v/>
      </c>
      <c r="AA625" s="3">
        <f>IF(ISNUMBER(AVERAGE('20250815_ETF_Options_Exhibits'!AA621:AA625)),AVERAGE('20250815_ETF_Options_Exhibits'!AA621:AA625),"")</f>
        <v/>
      </c>
    </row>
    <row r="626">
      <c r="A626" s="1" t="n">
        <v>42909</v>
      </c>
      <c r="B626" s="3">
        <f>IF(ISNUMBER(AVERAGE('20250815_ETF_Options_Exhibits'!B622:B626)),AVERAGE('20250815_ETF_Options_Exhibits'!B622:B626),"")</f>
        <v/>
      </c>
      <c r="C626" s="3">
        <f>IF(ISNUMBER(AVERAGE('20250815_ETF_Options_Exhibits'!C622:C626)),AVERAGE('20250815_ETF_Options_Exhibits'!C622:C626),"")</f>
        <v/>
      </c>
      <c r="D626" s="3">
        <f>IF(ISNUMBER(AVERAGE('20250815_ETF_Options_Exhibits'!D622:D626)),AVERAGE('20250815_ETF_Options_Exhibits'!D622:D626),"")</f>
        <v/>
      </c>
      <c r="E626" s="3">
        <f>IF(ISNUMBER(AVERAGE('20250815_ETF_Options_Exhibits'!E622:E626)),AVERAGE('20250815_ETF_Options_Exhibits'!E622:E626),"")</f>
        <v/>
      </c>
      <c r="F626" s="3">
        <f>IF(ISNUMBER(AVERAGE('20250815_ETF_Options_Exhibits'!F622:F626)),AVERAGE('20250815_ETF_Options_Exhibits'!F622:F626),"")</f>
        <v/>
      </c>
      <c r="G626" s="3">
        <f>IF(ISNUMBER(AVERAGE('20250815_ETF_Options_Exhibits'!G622:G626)),AVERAGE('20250815_ETF_Options_Exhibits'!G622:G626),"")</f>
        <v/>
      </c>
      <c r="H626" s="3">
        <f>IF(ISNUMBER(AVERAGE('20250815_ETF_Options_Exhibits'!H622:H626)),AVERAGE('20250815_ETF_Options_Exhibits'!H622:H626),"")</f>
        <v/>
      </c>
      <c r="I626" s="3">
        <f>IF(ISNUMBER(AVERAGE('20250815_ETF_Options_Exhibits'!I622:I626)),AVERAGE('20250815_ETF_Options_Exhibits'!I622:I626),"")</f>
        <v/>
      </c>
      <c r="J626" s="3">
        <f>IF(ISNUMBER(AVERAGE('20250815_ETF_Options_Exhibits'!J622:J626)),AVERAGE('20250815_ETF_Options_Exhibits'!J622:J626),"")</f>
        <v/>
      </c>
      <c r="K626" s="3">
        <f>IF(ISNUMBER(AVERAGE('20250815_ETF_Options_Exhibits'!K622:K626)),AVERAGE('20250815_ETF_Options_Exhibits'!K622:K626),"")</f>
        <v/>
      </c>
      <c r="L626" s="3">
        <f>IF(ISNUMBER(AVERAGE('20250815_ETF_Options_Exhibits'!L622:L626)),AVERAGE('20250815_ETF_Options_Exhibits'!L622:L626),"")</f>
        <v/>
      </c>
      <c r="M626" s="3">
        <f>IF(ISNUMBER(AVERAGE('20250815_ETF_Options_Exhibits'!M622:M626)),AVERAGE('20250815_ETF_Options_Exhibits'!M622:M626),"")</f>
        <v/>
      </c>
      <c r="N626" s="3">
        <f>IF(ISNUMBER(AVERAGE('20250815_ETF_Options_Exhibits'!N622:N626)),AVERAGE('20250815_ETF_Options_Exhibits'!N622:N626),"")</f>
        <v/>
      </c>
      <c r="O626" s="3">
        <f>IF(ISNUMBER(AVERAGE('20250815_ETF_Options_Exhibits'!O622:O626)),AVERAGE('20250815_ETF_Options_Exhibits'!O622:O626),"")</f>
        <v/>
      </c>
      <c r="P626" s="3">
        <f>IF(ISNUMBER(AVERAGE('20250815_ETF_Options_Exhibits'!P622:P626)),AVERAGE('20250815_ETF_Options_Exhibits'!P622:P626),"")</f>
        <v/>
      </c>
      <c r="Q626" s="3">
        <f>IF(ISNUMBER(AVERAGE('20250815_ETF_Options_Exhibits'!Q622:Q626)),AVERAGE('20250815_ETF_Options_Exhibits'!Q622:Q626),"")</f>
        <v/>
      </c>
      <c r="R626" s="3">
        <f>IF(ISNUMBER(AVERAGE('20250815_ETF_Options_Exhibits'!R622:R626)),AVERAGE('20250815_ETF_Options_Exhibits'!R622:R626),"")</f>
        <v/>
      </c>
      <c r="S626" s="3">
        <f>IF(ISNUMBER(AVERAGE('20250815_ETF_Options_Exhibits'!S622:S626)),AVERAGE('20250815_ETF_Options_Exhibits'!S622:S626),"")</f>
        <v/>
      </c>
      <c r="T626" s="3">
        <f>IF(ISNUMBER(AVERAGE('20250815_ETF_Options_Exhibits'!T622:T626)),AVERAGE('20250815_ETF_Options_Exhibits'!T622:T626),"")</f>
        <v/>
      </c>
      <c r="U626" s="3">
        <f>IF(ISNUMBER(AVERAGE('20250815_ETF_Options_Exhibits'!U622:U626)),AVERAGE('20250815_ETF_Options_Exhibits'!U622:U626),"")</f>
        <v/>
      </c>
      <c r="V626" s="3">
        <f>IF(ISNUMBER(AVERAGE('20250815_ETF_Options_Exhibits'!V622:V626)),AVERAGE('20250815_ETF_Options_Exhibits'!V622:V626),"")</f>
        <v/>
      </c>
      <c r="W626" s="3">
        <f>IF(ISNUMBER(AVERAGE('20250815_ETF_Options_Exhibits'!W622:W626)),AVERAGE('20250815_ETF_Options_Exhibits'!W622:W626),"")</f>
        <v/>
      </c>
      <c r="X626" s="3">
        <f>IF(ISNUMBER(AVERAGE('20250815_ETF_Options_Exhibits'!X622:X626)),AVERAGE('20250815_ETF_Options_Exhibits'!X622:X626),"")</f>
        <v/>
      </c>
      <c r="Y626" s="3">
        <f>IF(ISNUMBER(AVERAGE('20250815_ETF_Options_Exhibits'!Y622:Y626)),AVERAGE('20250815_ETF_Options_Exhibits'!Y622:Y626),"")</f>
        <v/>
      </c>
      <c r="Z626" s="3">
        <f>IF(ISNUMBER(AVERAGE('20250815_ETF_Options_Exhibits'!Z622:Z626)),AVERAGE('20250815_ETF_Options_Exhibits'!Z622:Z626),"")</f>
        <v/>
      </c>
      <c r="AA626" s="3">
        <f>IF(ISNUMBER(AVERAGE('20250815_ETF_Options_Exhibits'!AA622:AA626)),AVERAGE('20250815_ETF_Options_Exhibits'!AA622:AA626),"")</f>
        <v/>
      </c>
    </row>
    <row r="627">
      <c r="A627" s="1" t="n">
        <v>42912</v>
      </c>
      <c r="B627" s="3">
        <f>IF(ISNUMBER(AVERAGE('20250815_ETF_Options_Exhibits'!B623:B627)),AVERAGE('20250815_ETF_Options_Exhibits'!B623:B627),"")</f>
        <v/>
      </c>
      <c r="C627" s="3">
        <f>IF(ISNUMBER(AVERAGE('20250815_ETF_Options_Exhibits'!C623:C627)),AVERAGE('20250815_ETF_Options_Exhibits'!C623:C627),"")</f>
        <v/>
      </c>
      <c r="D627" s="3">
        <f>IF(ISNUMBER(AVERAGE('20250815_ETF_Options_Exhibits'!D623:D627)),AVERAGE('20250815_ETF_Options_Exhibits'!D623:D627),"")</f>
        <v/>
      </c>
      <c r="E627" s="3">
        <f>IF(ISNUMBER(AVERAGE('20250815_ETF_Options_Exhibits'!E623:E627)),AVERAGE('20250815_ETF_Options_Exhibits'!E623:E627),"")</f>
        <v/>
      </c>
      <c r="F627" s="3">
        <f>IF(ISNUMBER(AVERAGE('20250815_ETF_Options_Exhibits'!F623:F627)),AVERAGE('20250815_ETF_Options_Exhibits'!F623:F627),"")</f>
        <v/>
      </c>
      <c r="G627" s="3">
        <f>IF(ISNUMBER(AVERAGE('20250815_ETF_Options_Exhibits'!G623:G627)),AVERAGE('20250815_ETF_Options_Exhibits'!G623:G627),"")</f>
        <v/>
      </c>
      <c r="H627" s="3">
        <f>IF(ISNUMBER(AVERAGE('20250815_ETF_Options_Exhibits'!H623:H627)),AVERAGE('20250815_ETF_Options_Exhibits'!H623:H627),"")</f>
        <v/>
      </c>
      <c r="I627" s="3">
        <f>IF(ISNUMBER(AVERAGE('20250815_ETF_Options_Exhibits'!I623:I627)),AVERAGE('20250815_ETF_Options_Exhibits'!I623:I627),"")</f>
        <v/>
      </c>
      <c r="J627" s="3">
        <f>IF(ISNUMBER(AVERAGE('20250815_ETF_Options_Exhibits'!J623:J627)),AVERAGE('20250815_ETF_Options_Exhibits'!J623:J627),"")</f>
        <v/>
      </c>
      <c r="K627" s="3">
        <f>IF(ISNUMBER(AVERAGE('20250815_ETF_Options_Exhibits'!K623:K627)),AVERAGE('20250815_ETF_Options_Exhibits'!K623:K627),"")</f>
        <v/>
      </c>
      <c r="L627" s="3">
        <f>IF(ISNUMBER(AVERAGE('20250815_ETF_Options_Exhibits'!L623:L627)),AVERAGE('20250815_ETF_Options_Exhibits'!L623:L627),"")</f>
        <v/>
      </c>
      <c r="M627" s="3">
        <f>IF(ISNUMBER(AVERAGE('20250815_ETF_Options_Exhibits'!M623:M627)),AVERAGE('20250815_ETF_Options_Exhibits'!M623:M627),"")</f>
        <v/>
      </c>
      <c r="N627" s="3">
        <f>IF(ISNUMBER(AVERAGE('20250815_ETF_Options_Exhibits'!N623:N627)),AVERAGE('20250815_ETF_Options_Exhibits'!N623:N627),"")</f>
        <v/>
      </c>
      <c r="O627" s="3">
        <f>IF(ISNUMBER(AVERAGE('20250815_ETF_Options_Exhibits'!O623:O627)),AVERAGE('20250815_ETF_Options_Exhibits'!O623:O627),"")</f>
        <v/>
      </c>
      <c r="P627" s="3">
        <f>IF(ISNUMBER(AVERAGE('20250815_ETF_Options_Exhibits'!P623:P627)),AVERAGE('20250815_ETF_Options_Exhibits'!P623:P627),"")</f>
        <v/>
      </c>
      <c r="Q627" s="3">
        <f>IF(ISNUMBER(AVERAGE('20250815_ETF_Options_Exhibits'!Q623:Q627)),AVERAGE('20250815_ETF_Options_Exhibits'!Q623:Q627),"")</f>
        <v/>
      </c>
      <c r="R627" s="3">
        <f>IF(ISNUMBER(AVERAGE('20250815_ETF_Options_Exhibits'!R623:R627)),AVERAGE('20250815_ETF_Options_Exhibits'!R623:R627),"")</f>
        <v/>
      </c>
      <c r="S627" s="3">
        <f>IF(ISNUMBER(AVERAGE('20250815_ETF_Options_Exhibits'!S623:S627)),AVERAGE('20250815_ETF_Options_Exhibits'!S623:S627),"")</f>
        <v/>
      </c>
      <c r="T627" s="3">
        <f>IF(ISNUMBER(AVERAGE('20250815_ETF_Options_Exhibits'!T623:T627)),AVERAGE('20250815_ETF_Options_Exhibits'!T623:T627),"")</f>
        <v/>
      </c>
      <c r="U627" s="3">
        <f>IF(ISNUMBER(AVERAGE('20250815_ETF_Options_Exhibits'!U623:U627)),AVERAGE('20250815_ETF_Options_Exhibits'!U623:U627),"")</f>
        <v/>
      </c>
      <c r="V627" s="3">
        <f>IF(ISNUMBER(AVERAGE('20250815_ETF_Options_Exhibits'!V623:V627)),AVERAGE('20250815_ETF_Options_Exhibits'!V623:V627),"")</f>
        <v/>
      </c>
      <c r="W627" s="3">
        <f>IF(ISNUMBER(AVERAGE('20250815_ETF_Options_Exhibits'!W623:W627)),AVERAGE('20250815_ETF_Options_Exhibits'!W623:W627),"")</f>
        <v/>
      </c>
      <c r="X627" s="3">
        <f>IF(ISNUMBER(AVERAGE('20250815_ETF_Options_Exhibits'!X623:X627)),AVERAGE('20250815_ETF_Options_Exhibits'!X623:X627),"")</f>
        <v/>
      </c>
      <c r="Y627" s="3">
        <f>IF(ISNUMBER(AVERAGE('20250815_ETF_Options_Exhibits'!Y623:Y627)),AVERAGE('20250815_ETF_Options_Exhibits'!Y623:Y627),"")</f>
        <v/>
      </c>
      <c r="Z627" s="3">
        <f>IF(ISNUMBER(AVERAGE('20250815_ETF_Options_Exhibits'!Z623:Z627)),AVERAGE('20250815_ETF_Options_Exhibits'!Z623:Z627),"")</f>
        <v/>
      </c>
      <c r="AA627" s="3">
        <f>IF(ISNUMBER(AVERAGE('20250815_ETF_Options_Exhibits'!AA623:AA627)),AVERAGE('20250815_ETF_Options_Exhibits'!AA623:AA627),"")</f>
        <v/>
      </c>
    </row>
    <row r="628">
      <c r="A628" s="1" t="n">
        <v>42913</v>
      </c>
      <c r="B628" s="3">
        <f>IF(ISNUMBER(AVERAGE('20250815_ETF_Options_Exhibits'!B624:B628)),AVERAGE('20250815_ETF_Options_Exhibits'!B624:B628),"")</f>
        <v/>
      </c>
      <c r="C628" s="3">
        <f>IF(ISNUMBER(AVERAGE('20250815_ETF_Options_Exhibits'!C624:C628)),AVERAGE('20250815_ETF_Options_Exhibits'!C624:C628),"")</f>
        <v/>
      </c>
      <c r="D628" s="3">
        <f>IF(ISNUMBER(AVERAGE('20250815_ETF_Options_Exhibits'!D624:D628)),AVERAGE('20250815_ETF_Options_Exhibits'!D624:D628),"")</f>
        <v/>
      </c>
      <c r="E628" s="3">
        <f>IF(ISNUMBER(AVERAGE('20250815_ETF_Options_Exhibits'!E624:E628)),AVERAGE('20250815_ETF_Options_Exhibits'!E624:E628),"")</f>
        <v/>
      </c>
      <c r="F628" s="3">
        <f>IF(ISNUMBER(AVERAGE('20250815_ETF_Options_Exhibits'!F624:F628)),AVERAGE('20250815_ETF_Options_Exhibits'!F624:F628),"")</f>
        <v/>
      </c>
      <c r="G628" s="3">
        <f>IF(ISNUMBER(AVERAGE('20250815_ETF_Options_Exhibits'!G624:G628)),AVERAGE('20250815_ETF_Options_Exhibits'!G624:G628),"")</f>
        <v/>
      </c>
      <c r="H628" s="3">
        <f>IF(ISNUMBER(AVERAGE('20250815_ETF_Options_Exhibits'!H624:H628)),AVERAGE('20250815_ETF_Options_Exhibits'!H624:H628),"")</f>
        <v/>
      </c>
      <c r="I628" s="3">
        <f>IF(ISNUMBER(AVERAGE('20250815_ETF_Options_Exhibits'!I624:I628)),AVERAGE('20250815_ETF_Options_Exhibits'!I624:I628),"")</f>
        <v/>
      </c>
      <c r="J628" s="3">
        <f>IF(ISNUMBER(AVERAGE('20250815_ETF_Options_Exhibits'!J624:J628)),AVERAGE('20250815_ETF_Options_Exhibits'!J624:J628),"")</f>
        <v/>
      </c>
      <c r="K628" s="3">
        <f>IF(ISNUMBER(AVERAGE('20250815_ETF_Options_Exhibits'!K624:K628)),AVERAGE('20250815_ETF_Options_Exhibits'!K624:K628),"")</f>
        <v/>
      </c>
      <c r="L628" s="3">
        <f>IF(ISNUMBER(AVERAGE('20250815_ETF_Options_Exhibits'!L624:L628)),AVERAGE('20250815_ETF_Options_Exhibits'!L624:L628),"")</f>
        <v/>
      </c>
      <c r="M628" s="3">
        <f>IF(ISNUMBER(AVERAGE('20250815_ETF_Options_Exhibits'!M624:M628)),AVERAGE('20250815_ETF_Options_Exhibits'!M624:M628),"")</f>
        <v/>
      </c>
      <c r="N628" s="3">
        <f>IF(ISNUMBER(AVERAGE('20250815_ETF_Options_Exhibits'!N624:N628)),AVERAGE('20250815_ETF_Options_Exhibits'!N624:N628),"")</f>
        <v/>
      </c>
      <c r="O628" s="3">
        <f>IF(ISNUMBER(AVERAGE('20250815_ETF_Options_Exhibits'!O624:O628)),AVERAGE('20250815_ETF_Options_Exhibits'!O624:O628),"")</f>
        <v/>
      </c>
      <c r="P628" s="3">
        <f>IF(ISNUMBER(AVERAGE('20250815_ETF_Options_Exhibits'!P624:P628)),AVERAGE('20250815_ETF_Options_Exhibits'!P624:P628),"")</f>
        <v/>
      </c>
      <c r="Q628" s="3">
        <f>IF(ISNUMBER(AVERAGE('20250815_ETF_Options_Exhibits'!Q624:Q628)),AVERAGE('20250815_ETF_Options_Exhibits'!Q624:Q628),"")</f>
        <v/>
      </c>
      <c r="R628" s="3">
        <f>IF(ISNUMBER(AVERAGE('20250815_ETF_Options_Exhibits'!R624:R628)),AVERAGE('20250815_ETF_Options_Exhibits'!R624:R628),"")</f>
        <v/>
      </c>
      <c r="S628" s="3">
        <f>IF(ISNUMBER(AVERAGE('20250815_ETF_Options_Exhibits'!S624:S628)),AVERAGE('20250815_ETF_Options_Exhibits'!S624:S628),"")</f>
        <v/>
      </c>
      <c r="T628" s="3">
        <f>IF(ISNUMBER(AVERAGE('20250815_ETF_Options_Exhibits'!T624:T628)),AVERAGE('20250815_ETF_Options_Exhibits'!T624:T628),"")</f>
        <v/>
      </c>
      <c r="U628" s="3">
        <f>IF(ISNUMBER(AVERAGE('20250815_ETF_Options_Exhibits'!U624:U628)),AVERAGE('20250815_ETF_Options_Exhibits'!U624:U628),"")</f>
        <v/>
      </c>
      <c r="V628" s="3">
        <f>IF(ISNUMBER(AVERAGE('20250815_ETF_Options_Exhibits'!V624:V628)),AVERAGE('20250815_ETF_Options_Exhibits'!V624:V628),"")</f>
        <v/>
      </c>
      <c r="W628" s="3">
        <f>IF(ISNUMBER(AVERAGE('20250815_ETF_Options_Exhibits'!W624:W628)),AVERAGE('20250815_ETF_Options_Exhibits'!W624:W628),"")</f>
        <v/>
      </c>
      <c r="X628" s="3">
        <f>IF(ISNUMBER(AVERAGE('20250815_ETF_Options_Exhibits'!X624:X628)),AVERAGE('20250815_ETF_Options_Exhibits'!X624:X628),"")</f>
        <v/>
      </c>
      <c r="Y628" s="3">
        <f>IF(ISNUMBER(AVERAGE('20250815_ETF_Options_Exhibits'!Y624:Y628)),AVERAGE('20250815_ETF_Options_Exhibits'!Y624:Y628),"")</f>
        <v/>
      </c>
      <c r="Z628" s="3">
        <f>IF(ISNUMBER(AVERAGE('20250815_ETF_Options_Exhibits'!Z624:Z628)),AVERAGE('20250815_ETF_Options_Exhibits'!Z624:Z628),"")</f>
        <v/>
      </c>
      <c r="AA628" s="3">
        <f>IF(ISNUMBER(AVERAGE('20250815_ETF_Options_Exhibits'!AA624:AA628)),AVERAGE('20250815_ETF_Options_Exhibits'!AA624:AA628),"")</f>
        <v/>
      </c>
    </row>
    <row r="629">
      <c r="A629" s="1" t="n">
        <v>42914</v>
      </c>
      <c r="B629" s="3">
        <f>IF(ISNUMBER(AVERAGE('20250815_ETF_Options_Exhibits'!B625:B629)),AVERAGE('20250815_ETF_Options_Exhibits'!B625:B629),"")</f>
        <v/>
      </c>
      <c r="C629" s="3">
        <f>IF(ISNUMBER(AVERAGE('20250815_ETF_Options_Exhibits'!C625:C629)),AVERAGE('20250815_ETF_Options_Exhibits'!C625:C629),"")</f>
        <v/>
      </c>
      <c r="D629" s="3">
        <f>IF(ISNUMBER(AVERAGE('20250815_ETF_Options_Exhibits'!D625:D629)),AVERAGE('20250815_ETF_Options_Exhibits'!D625:D629),"")</f>
        <v/>
      </c>
      <c r="E629" s="3">
        <f>IF(ISNUMBER(AVERAGE('20250815_ETF_Options_Exhibits'!E625:E629)),AVERAGE('20250815_ETF_Options_Exhibits'!E625:E629),"")</f>
        <v/>
      </c>
      <c r="F629" s="3">
        <f>IF(ISNUMBER(AVERAGE('20250815_ETF_Options_Exhibits'!F625:F629)),AVERAGE('20250815_ETF_Options_Exhibits'!F625:F629),"")</f>
        <v/>
      </c>
      <c r="G629" s="3">
        <f>IF(ISNUMBER(AVERAGE('20250815_ETF_Options_Exhibits'!G625:G629)),AVERAGE('20250815_ETF_Options_Exhibits'!G625:G629),"")</f>
        <v/>
      </c>
      <c r="H629" s="3">
        <f>IF(ISNUMBER(AVERAGE('20250815_ETF_Options_Exhibits'!H625:H629)),AVERAGE('20250815_ETF_Options_Exhibits'!H625:H629),"")</f>
        <v/>
      </c>
      <c r="I629" s="3">
        <f>IF(ISNUMBER(AVERAGE('20250815_ETF_Options_Exhibits'!I625:I629)),AVERAGE('20250815_ETF_Options_Exhibits'!I625:I629),"")</f>
        <v/>
      </c>
      <c r="J629" s="3">
        <f>IF(ISNUMBER(AVERAGE('20250815_ETF_Options_Exhibits'!J625:J629)),AVERAGE('20250815_ETF_Options_Exhibits'!J625:J629),"")</f>
        <v/>
      </c>
      <c r="K629" s="3">
        <f>IF(ISNUMBER(AVERAGE('20250815_ETF_Options_Exhibits'!K625:K629)),AVERAGE('20250815_ETF_Options_Exhibits'!K625:K629),"")</f>
        <v/>
      </c>
      <c r="L629" s="3">
        <f>IF(ISNUMBER(AVERAGE('20250815_ETF_Options_Exhibits'!L625:L629)),AVERAGE('20250815_ETF_Options_Exhibits'!L625:L629),"")</f>
        <v/>
      </c>
      <c r="M629" s="3">
        <f>IF(ISNUMBER(AVERAGE('20250815_ETF_Options_Exhibits'!M625:M629)),AVERAGE('20250815_ETF_Options_Exhibits'!M625:M629),"")</f>
        <v/>
      </c>
      <c r="N629" s="3">
        <f>IF(ISNUMBER(AVERAGE('20250815_ETF_Options_Exhibits'!N625:N629)),AVERAGE('20250815_ETF_Options_Exhibits'!N625:N629),"")</f>
        <v/>
      </c>
      <c r="O629" s="3">
        <f>IF(ISNUMBER(AVERAGE('20250815_ETF_Options_Exhibits'!O625:O629)),AVERAGE('20250815_ETF_Options_Exhibits'!O625:O629),"")</f>
        <v/>
      </c>
      <c r="P629" s="3">
        <f>IF(ISNUMBER(AVERAGE('20250815_ETF_Options_Exhibits'!P625:P629)),AVERAGE('20250815_ETF_Options_Exhibits'!P625:P629),"")</f>
        <v/>
      </c>
      <c r="Q629" s="3">
        <f>IF(ISNUMBER(AVERAGE('20250815_ETF_Options_Exhibits'!Q625:Q629)),AVERAGE('20250815_ETF_Options_Exhibits'!Q625:Q629),"")</f>
        <v/>
      </c>
      <c r="R629" s="3">
        <f>IF(ISNUMBER(AVERAGE('20250815_ETF_Options_Exhibits'!R625:R629)),AVERAGE('20250815_ETF_Options_Exhibits'!R625:R629),"")</f>
        <v/>
      </c>
      <c r="S629" s="3">
        <f>IF(ISNUMBER(AVERAGE('20250815_ETF_Options_Exhibits'!S625:S629)),AVERAGE('20250815_ETF_Options_Exhibits'!S625:S629),"")</f>
        <v/>
      </c>
      <c r="T629" s="3">
        <f>IF(ISNUMBER(AVERAGE('20250815_ETF_Options_Exhibits'!T625:T629)),AVERAGE('20250815_ETF_Options_Exhibits'!T625:T629),"")</f>
        <v/>
      </c>
      <c r="U629" s="3">
        <f>IF(ISNUMBER(AVERAGE('20250815_ETF_Options_Exhibits'!U625:U629)),AVERAGE('20250815_ETF_Options_Exhibits'!U625:U629),"")</f>
        <v/>
      </c>
      <c r="V629" s="3">
        <f>IF(ISNUMBER(AVERAGE('20250815_ETF_Options_Exhibits'!V625:V629)),AVERAGE('20250815_ETF_Options_Exhibits'!V625:V629),"")</f>
        <v/>
      </c>
      <c r="W629" s="3">
        <f>IF(ISNUMBER(AVERAGE('20250815_ETF_Options_Exhibits'!W625:W629)),AVERAGE('20250815_ETF_Options_Exhibits'!W625:W629),"")</f>
        <v/>
      </c>
      <c r="X629" s="3">
        <f>IF(ISNUMBER(AVERAGE('20250815_ETF_Options_Exhibits'!X625:X629)),AVERAGE('20250815_ETF_Options_Exhibits'!X625:X629),"")</f>
        <v/>
      </c>
      <c r="Y629" s="3">
        <f>IF(ISNUMBER(AVERAGE('20250815_ETF_Options_Exhibits'!Y625:Y629)),AVERAGE('20250815_ETF_Options_Exhibits'!Y625:Y629),"")</f>
        <v/>
      </c>
      <c r="Z629" s="3">
        <f>IF(ISNUMBER(AVERAGE('20250815_ETF_Options_Exhibits'!Z625:Z629)),AVERAGE('20250815_ETF_Options_Exhibits'!Z625:Z629),"")</f>
        <v/>
      </c>
      <c r="AA629" s="3">
        <f>IF(ISNUMBER(AVERAGE('20250815_ETF_Options_Exhibits'!AA625:AA629)),AVERAGE('20250815_ETF_Options_Exhibits'!AA625:AA629),"")</f>
        <v/>
      </c>
    </row>
    <row r="630">
      <c r="A630" s="1" t="n">
        <v>42915</v>
      </c>
      <c r="B630" s="3">
        <f>IF(ISNUMBER(AVERAGE('20250815_ETF_Options_Exhibits'!B626:B630)),AVERAGE('20250815_ETF_Options_Exhibits'!B626:B630),"")</f>
        <v/>
      </c>
      <c r="C630" s="3">
        <f>IF(ISNUMBER(AVERAGE('20250815_ETF_Options_Exhibits'!C626:C630)),AVERAGE('20250815_ETF_Options_Exhibits'!C626:C630),"")</f>
        <v/>
      </c>
      <c r="D630" s="3">
        <f>IF(ISNUMBER(AVERAGE('20250815_ETF_Options_Exhibits'!D626:D630)),AVERAGE('20250815_ETF_Options_Exhibits'!D626:D630),"")</f>
        <v/>
      </c>
      <c r="E630" s="3">
        <f>IF(ISNUMBER(AVERAGE('20250815_ETF_Options_Exhibits'!E626:E630)),AVERAGE('20250815_ETF_Options_Exhibits'!E626:E630),"")</f>
        <v/>
      </c>
      <c r="F630" s="3">
        <f>IF(ISNUMBER(AVERAGE('20250815_ETF_Options_Exhibits'!F626:F630)),AVERAGE('20250815_ETF_Options_Exhibits'!F626:F630),"")</f>
        <v/>
      </c>
      <c r="G630" s="3">
        <f>IF(ISNUMBER(AVERAGE('20250815_ETF_Options_Exhibits'!G626:G630)),AVERAGE('20250815_ETF_Options_Exhibits'!G626:G630),"")</f>
        <v/>
      </c>
      <c r="H630" s="3">
        <f>IF(ISNUMBER(AVERAGE('20250815_ETF_Options_Exhibits'!H626:H630)),AVERAGE('20250815_ETF_Options_Exhibits'!H626:H630),"")</f>
        <v/>
      </c>
      <c r="I630" s="3">
        <f>IF(ISNUMBER(AVERAGE('20250815_ETF_Options_Exhibits'!I626:I630)),AVERAGE('20250815_ETF_Options_Exhibits'!I626:I630),"")</f>
        <v/>
      </c>
      <c r="J630" s="3">
        <f>IF(ISNUMBER(AVERAGE('20250815_ETF_Options_Exhibits'!J626:J630)),AVERAGE('20250815_ETF_Options_Exhibits'!J626:J630),"")</f>
        <v/>
      </c>
      <c r="K630" s="3">
        <f>IF(ISNUMBER(AVERAGE('20250815_ETF_Options_Exhibits'!K626:K630)),AVERAGE('20250815_ETF_Options_Exhibits'!K626:K630),"")</f>
        <v/>
      </c>
      <c r="L630" s="3">
        <f>IF(ISNUMBER(AVERAGE('20250815_ETF_Options_Exhibits'!L626:L630)),AVERAGE('20250815_ETF_Options_Exhibits'!L626:L630),"")</f>
        <v/>
      </c>
      <c r="M630" s="3">
        <f>IF(ISNUMBER(AVERAGE('20250815_ETF_Options_Exhibits'!M626:M630)),AVERAGE('20250815_ETF_Options_Exhibits'!M626:M630),"")</f>
        <v/>
      </c>
      <c r="N630" s="3">
        <f>IF(ISNUMBER(AVERAGE('20250815_ETF_Options_Exhibits'!N626:N630)),AVERAGE('20250815_ETF_Options_Exhibits'!N626:N630),"")</f>
        <v/>
      </c>
      <c r="O630" s="3">
        <f>IF(ISNUMBER(AVERAGE('20250815_ETF_Options_Exhibits'!O626:O630)),AVERAGE('20250815_ETF_Options_Exhibits'!O626:O630),"")</f>
        <v/>
      </c>
      <c r="P630" s="3">
        <f>IF(ISNUMBER(AVERAGE('20250815_ETF_Options_Exhibits'!P626:P630)),AVERAGE('20250815_ETF_Options_Exhibits'!P626:P630),"")</f>
        <v/>
      </c>
      <c r="Q630" s="3">
        <f>IF(ISNUMBER(AVERAGE('20250815_ETF_Options_Exhibits'!Q626:Q630)),AVERAGE('20250815_ETF_Options_Exhibits'!Q626:Q630),"")</f>
        <v/>
      </c>
      <c r="R630" s="3">
        <f>IF(ISNUMBER(AVERAGE('20250815_ETF_Options_Exhibits'!R626:R630)),AVERAGE('20250815_ETF_Options_Exhibits'!R626:R630),"")</f>
        <v/>
      </c>
      <c r="S630" s="3">
        <f>IF(ISNUMBER(AVERAGE('20250815_ETF_Options_Exhibits'!S626:S630)),AVERAGE('20250815_ETF_Options_Exhibits'!S626:S630),"")</f>
        <v/>
      </c>
      <c r="T630" s="3">
        <f>IF(ISNUMBER(AVERAGE('20250815_ETF_Options_Exhibits'!T626:T630)),AVERAGE('20250815_ETF_Options_Exhibits'!T626:T630),"")</f>
        <v/>
      </c>
      <c r="U630" s="3">
        <f>IF(ISNUMBER(AVERAGE('20250815_ETF_Options_Exhibits'!U626:U630)),AVERAGE('20250815_ETF_Options_Exhibits'!U626:U630),"")</f>
        <v/>
      </c>
      <c r="V630" s="3">
        <f>IF(ISNUMBER(AVERAGE('20250815_ETF_Options_Exhibits'!V626:V630)),AVERAGE('20250815_ETF_Options_Exhibits'!V626:V630),"")</f>
        <v/>
      </c>
      <c r="W630" s="3">
        <f>IF(ISNUMBER(AVERAGE('20250815_ETF_Options_Exhibits'!W626:W630)),AVERAGE('20250815_ETF_Options_Exhibits'!W626:W630),"")</f>
        <v/>
      </c>
      <c r="X630" s="3">
        <f>IF(ISNUMBER(AVERAGE('20250815_ETF_Options_Exhibits'!X626:X630)),AVERAGE('20250815_ETF_Options_Exhibits'!X626:X630),"")</f>
        <v/>
      </c>
      <c r="Y630" s="3">
        <f>IF(ISNUMBER(AVERAGE('20250815_ETF_Options_Exhibits'!Y626:Y630)),AVERAGE('20250815_ETF_Options_Exhibits'!Y626:Y630),"")</f>
        <v/>
      </c>
      <c r="Z630" s="3">
        <f>IF(ISNUMBER(AVERAGE('20250815_ETF_Options_Exhibits'!Z626:Z630)),AVERAGE('20250815_ETF_Options_Exhibits'!Z626:Z630),"")</f>
        <v/>
      </c>
      <c r="AA630" s="3">
        <f>IF(ISNUMBER(AVERAGE('20250815_ETF_Options_Exhibits'!AA626:AA630)),AVERAGE('20250815_ETF_Options_Exhibits'!AA626:AA630),"")</f>
        <v/>
      </c>
    </row>
    <row r="631">
      <c r="A631" s="1" t="n">
        <v>42916</v>
      </c>
      <c r="B631" s="3">
        <f>IF(ISNUMBER(AVERAGE('20250815_ETF_Options_Exhibits'!B627:B631)),AVERAGE('20250815_ETF_Options_Exhibits'!B627:B631),"")</f>
        <v/>
      </c>
      <c r="C631" s="3">
        <f>IF(ISNUMBER(AVERAGE('20250815_ETF_Options_Exhibits'!C627:C631)),AVERAGE('20250815_ETF_Options_Exhibits'!C627:C631),"")</f>
        <v/>
      </c>
      <c r="D631" s="3">
        <f>IF(ISNUMBER(AVERAGE('20250815_ETF_Options_Exhibits'!D627:D631)),AVERAGE('20250815_ETF_Options_Exhibits'!D627:D631),"")</f>
        <v/>
      </c>
      <c r="E631" s="3">
        <f>IF(ISNUMBER(AVERAGE('20250815_ETF_Options_Exhibits'!E627:E631)),AVERAGE('20250815_ETF_Options_Exhibits'!E627:E631),"")</f>
        <v/>
      </c>
      <c r="F631" s="3">
        <f>IF(ISNUMBER(AVERAGE('20250815_ETF_Options_Exhibits'!F627:F631)),AVERAGE('20250815_ETF_Options_Exhibits'!F627:F631),"")</f>
        <v/>
      </c>
      <c r="G631" s="3">
        <f>IF(ISNUMBER(AVERAGE('20250815_ETF_Options_Exhibits'!G627:G631)),AVERAGE('20250815_ETF_Options_Exhibits'!G627:G631),"")</f>
        <v/>
      </c>
      <c r="H631" s="3">
        <f>IF(ISNUMBER(AVERAGE('20250815_ETF_Options_Exhibits'!H627:H631)),AVERAGE('20250815_ETF_Options_Exhibits'!H627:H631),"")</f>
        <v/>
      </c>
      <c r="I631" s="3">
        <f>IF(ISNUMBER(AVERAGE('20250815_ETF_Options_Exhibits'!I627:I631)),AVERAGE('20250815_ETF_Options_Exhibits'!I627:I631),"")</f>
        <v/>
      </c>
      <c r="J631" s="3">
        <f>IF(ISNUMBER(AVERAGE('20250815_ETF_Options_Exhibits'!J627:J631)),AVERAGE('20250815_ETF_Options_Exhibits'!J627:J631),"")</f>
        <v/>
      </c>
      <c r="K631" s="3">
        <f>IF(ISNUMBER(AVERAGE('20250815_ETF_Options_Exhibits'!K627:K631)),AVERAGE('20250815_ETF_Options_Exhibits'!K627:K631),"")</f>
        <v/>
      </c>
      <c r="L631" s="3">
        <f>IF(ISNUMBER(AVERAGE('20250815_ETF_Options_Exhibits'!L627:L631)),AVERAGE('20250815_ETF_Options_Exhibits'!L627:L631),"")</f>
        <v/>
      </c>
      <c r="M631" s="3">
        <f>IF(ISNUMBER(AVERAGE('20250815_ETF_Options_Exhibits'!M627:M631)),AVERAGE('20250815_ETF_Options_Exhibits'!M627:M631),"")</f>
        <v/>
      </c>
      <c r="N631" s="3">
        <f>IF(ISNUMBER(AVERAGE('20250815_ETF_Options_Exhibits'!N627:N631)),AVERAGE('20250815_ETF_Options_Exhibits'!N627:N631),"")</f>
        <v/>
      </c>
      <c r="O631" s="3">
        <f>IF(ISNUMBER(AVERAGE('20250815_ETF_Options_Exhibits'!O627:O631)),AVERAGE('20250815_ETF_Options_Exhibits'!O627:O631),"")</f>
        <v/>
      </c>
      <c r="P631" s="3">
        <f>IF(ISNUMBER(AVERAGE('20250815_ETF_Options_Exhibits'!P627:P631)),AVERAGE('20250815_ETF_Options_Exhibits'!P627:P631),"")</f>
        <v/>
      </c>
      <c r="Q631" s="3">
        <f>IF(ISNUMBER(AVERAGE('20250815_ETF_Options_Exhibits'!Q627:Q631)),AVERAGE('20250815_ETF_Options_Exhibits'!Q627:Q631),"")</f>
        <v/>
      </c>
      <c r="R631" s="3">
        <f>IF(ISNUMBER(AVERAGE('20250815_ETF_Options_Exhibits'!R627:R631)),AVERAGE('20250815_ETF_Options_Exhibits'!R627:R631),"")</f>
        <v/>
      </c>
      <c r="S631" s="3">
        <f>IF(ISNUMBER(AVERAGE('20250815_ETF_Options_Exhibits'!S627:S631)),AVERAGE('20250815_ETF_Options_Exhibits'!S627:S631),"")</f>
        <v/>
      </c>
      <c r="T631" s="3">
        <f>IF(ISNUMBER(AVERAGE('20250815_ETF_Options_Exhibits'!T627:T631)),AVERAGE('20250815_ETF_Options_Exhibits'!T627:T631),"")</f>
        <v/>
      </c>
      <c r="U631" s="3">
        <f>IF(ISNUMBER(AVERAGE('20250815_ETF_Options_Exhibits'!U627:U631)),AVERAGE('20250815_ETF_Options_Exhibits'!U627:U631),"")</f>
        <v/>
      </c>
      <c r="V631" s="3">
        <f>IF(ISNUMBER(AVERAGE('20250815_ETF_Options_Exhibits'!V627:V631)),AVERAGE('20250815_ETF_Options_Exhibits'!V627:V631),"")</f>
        <v/>
      </c>
      <c r="W631" s="3">
        <f>IF(ISNUMBER(AVERAGE('20250815_ETF_Options_Exhibits'!W627:W631)),AVERAGE('20250815_ETF_Options_Exhibits'!W627:W631),"")</f>
        <v/>
      </c>
      <c r="X631" s="3">
        <f>IF(ISNUMBER(AVERAGE('20250815_ETF_Options_Exhibits'!X627:X631)),AVERAGE('20250815_ETF_Options_Exhibits'!X627:X631),"")</f>
        <v/>
      </c>
      <c r="Y631" s="3">
        <f>IF(ISNUMBER(AVERAGE('20250815_ETF_Options_Exhibits'!Y627:Y631)),AVERAGE('20250815_ETF_Options_Exhibits'!Y627:Y631),"")</f>
        <v/>
      </c>
      <c r="Z631" s="3">
        <f>IF(ISNUMBER(AVERAGE('20250815_ETF_Options_Exhibits'!Z627:Z631)),AVERAGE('20250815_ETF_Options_Exhibits'!Z627:Z631),"")</f>
        <v/>
      </c>
      <c r="AA631" s="3">
        <f>IF(ISNUMBER(AVERAGE('20250815_ETF_Options_Exhibits'!AA627:AA631)),AVERAGE('20250815_ETF_Options_Exhibits'!AA627:AA631),"")</f>
        <v/>
      </c>
    </row>
    <row r="632">
      <c r="A632" s="1" t="n">
        <v>42919</v>
      </c>
      <c r="B632" s="3">
        <f>IF(ISNUMBER(AVERAGE('20250815_ETF_Options_Exhibits'!B628:B632)),AVERAGE('20250815_ETF_Options_Exhibits'!B628:B632),"")</f>
        <v/>
      </c>
      <c r="C632" s="3">
        <f>IF(ISNUMBER(AVERAGE('20250815_ETF_Options_Exhibits'!C628:C632)),AVERAGE('20250815_ETF_Options_Exhibits'!C628:C632),"")</f>
        <v/>
      </c>
      <c r="D632" s="3">
        <f>IF(ISNUMBER(AVERAGE('20250815_ETF_Options_Exhibits'!D628:D632)),AVERAGE('20250815_ETF_Options_Exhibits'!D628:D632),"")</f>
        <v/>
      </c>
      <c r="E632" s="3">
        <f>IF(ISNUMBER(AVERAGE('20250815_ETF_Options_Exhibits'!E628:E632)),AVERAGE('20250815_ETF_Options_Exhibits'!E628:E632),"")</f>
        <v/>
      </c>
      <c r="F632" s="3">
        <f>IF(ISNUMBER(AVERAGE('20250815_ETF_Options_Exhibits'!F628:F632)),AVERAGE('20250815_ETF_Options_Exhibits'!F628:F632),"")</f>
        <v/>
      </c>
      <c r="G632" s="3">
        <f>IF(ISNUMBER(AVERAGE('20250815_ETF_Options_Exhibits'!G628:G632)),AVERAGE('20250815_ETF_Options_Exhibits'!G628:G632),"")</f>
        <v/>
      </c>
      <c r="H632" s="3">
        <f>IF(ISNUMBER(AVERAGE('20250815_ETF_Options_Exhibits'!H628:H632)),AVERAGE('20250815_ETF_Options_Exhibits'!H628:H632),"")</f>
        <v/>
      </c>
      <c r="I632" s="3">
        <f>IF(ISNUMBER(AVERAGE('20250815_ETF_Options_Exhibits'!I628:I632)),AVERAGE('20250815_ETF_Options_Exhibits'!I628:I632),"")</f>
        <v/>
      </c>
      <c r="J632" s="3">
        <f>IF(ISNUMBER(AVERAGE('20250815_ETF_Options_Exhibits'!J628:J632)),AVERAGE('20250815_ETF_Options_Exhibits'!J628:J632),"")</f>
        <v/>
      </c>
      <c r="K632" s="3">
        <f>IF(ISNUMBER(AVERAGE('20250815_ETF_Options_Exhibits'!K628:K632)),AVERAGE('20250815_ETF_Options_Exhibits'!K628:K632),"")</f>
        <v/>
      </c>
      <c r="L632" s="3">
        <f>IF(ISNUMBER(AVERAGE('20250815_ETF_Options_Exhibits'!L628:L632)),AVERAGE('20250815_ETF_Options_Exhibits'!L628:L632),"")</f>
        <v/>
      </c>
      <c r="M632" s="3">
        <f>IF(ISNUMBER(AVERAGE('20250815_ETF_Options_Exhibits'!M628:M632)),AVERAGE('20250815_ETF_Options_Exhibits'!M628:M632),"")</f>
        <v/>
      </c>
      <c r="N632" s="3">
        <f>IF(ISNUMBER(AVERAGE('20250815_ETF_Options_Exhibits'!N628:N632)),AVERAGE('20250815_ETF_Options_Exhibits'!N628:N632),"")</f>
        <v/>
      </c>
      <c r="O632" s="3">
        <f>IF(ISNUMBER(AVERAGE('20250815_ETF_Options_Exhibits'!O628:O632)),AVERAGE('20250815_ETF_Options_Exhibits'!O628:O632),"")</f>
        <v/>
      </c>
      <c r="P632" s="3">
        <f>IF(ISNUMBER(AVERAGE('20250815_ETF_Options_Exhibits'!P628:P632)),AVERAGE('20250815_ETF_Options_Exhibits'!P628:P632),"")</f>
        <v/>
      </c>
      <c r="Q632" s="3">
        <f>IF(ISNUMBER(AVERAGE('20250815_ETF_Options_Exhibits'!Q628:Q632)),AVERAGE('20250815_ETF_Options_Exhibits'!Q628:Q632),"")</f>
        <v/>
      </c>
      <c r="R632" s="3">
        <f>IF(ISNUMBER(AVERAGE('20250815_ETF_Options_Exhibits'!R628:R632)),AVERAGE('20250815_ETF_Options_Exhibits'!R628:R632),"")</f>
        <v/>
      </c>
      <c r="S632" s="3">
        <f>IF(ISNUMBER(AVERAGE('20250815_ETF_Options_Exhibits'!S628:S632)),AVERAGE('20250815_ETF_Options_Exhibits'!S628:S632),"")</f>
        <v/>
      </c>
      <c r="T632" s="3">
        <f>IF(ISNUMBER(AVERAGE('20250815_ETF_Options_Exhibits'!T628:T632)),AVERAGE('20250815_ETF_Options_Exhibits'!T628:T632),"")</f>
        <v/>
      </c>
      <c r="U632" s="3">
        <f>IF(ISNUMBER(AVERAGE('20250815_ETF_Options_Exhibits'!U628:U632)),AVERAGE('20250815_ETF_Options_Exhibits'!U628:U632),"")</f>
        <v/>
      </c>
      <c r="V632" s="3">
        <f>IF(ISNUMBER(AVERAGE('20250815_ETF_Options_Exhibits'!V628:V632)),AVERAGE('20250815_ETF_Options_Exhibits'!V628:V632),"")</f>
        <v/>
      </c>
      <c r="W632" s="3">
        <f>IF(ISNUMBER(AVERAGE('20250815_ETF_Options_Exhibits'!W628:W632)),AVERAGE('20250815_ETF_Options_Exhibits'!W628:W632),"")</f>
        <v/>
      </c>
      <c r="X632" s="3">
        <f>IF(ISNUMBER(AVERAGE('20250815_ETF_Options_Exhibits'!X628:X632)),AVERAGE('20250815_ETF_Options_Exhibits'!X628:X632),"")</f>
        <v/>
      </c>
      <c r="Y632" s="3">
        <f>IF(ISNUMBER(AVERAGE('20250815_ETF_Options_Exhibits'!Y628:Y632)),AVERAGE('20250815_ETF_Options_Exhibits'!Y628:Y632),"")</f>
        <v/>
      </c>
      <c r="Z632" s="3">
        <f>IF(ISNUMBER(AVERAGE('20250815_ETF_Options_Exhibits'!Z628:Z632)),AVERAGE('20250815_ETF_Options_Exhibits'!Z628:Z632),"")</f>
        <v/>
      </c>
      <c r="AA632" s="3">
        <f>IF(ISNUMBER(AVERAGE('20250815_ETF_Options_Exhibits'!AA628:AA632)),AVERAGE('20250815_ETF_Options_Exhibits'!AA628:AA632),"")</f>
        <v/>
      </c>
    </row>
    <row r="633">
      <c r="A633" s="1" t="n">
        <v>42921</v>
      </c>
      <c r="B633" s="3">
        <f>IF(ISNUMBER(AVERAGE('20250815_ETF_Options_Exhibits'!B629:B633)),AVERAGE('20250815_ETF_Options_Exhibits'!B629:B633),"")</f>
        <v/>
      </c>
      <c r="C633" s="3">
        <f>IF(ISNUMBER(AVERAGE('20250815_ETF_Options_Exhibits'!C629:C633)),AVERAGE('20250815_ETF_Options_Exhibits'!C629:C633),"")</f>
        <v/>
      </c>
      <c r="D633" s="3">
        <f>IF(ISNUMBER(AVERAGE('20250815_ETF_Options_Exhibits'!D629:D633)),AVERAGE('20250815_ETF_Options_Exhibits'!D629:D633),"")</f>
        <v/>
      </c>
      <c r="E633" s="3">
        <f>IF(ISNUMBER(AVERAGE('20250815_ETF_Options_Exhibits'!E629:E633)),AVERAGE('20250815_ETF_Options_Exhibits'!E629:E633),"")</f>
        <v/>
      </c>
      <c r="F633" s="3">
        <f>IF(ISNUMBER(AVERAGE('20250815_ETF_Options_Exhibits'!F629:F633)),AVERAGE('20250815_ETF_Options_Exhibits'!F629:F633),"")</f>
        <v/>
      </c>
      <c r="G633" s="3">
        <f>IF(ISNUMBER(AVERAGE('20250815_ETF_Options_Exhibits'!G629:G633)),AVERAGE('20250815_ETF_Options_Exhibits'!G629:G633),"")</f>
        <v/>
      </c>
      <c r="H633" s="3">
        <f>IF(ISNUMBER(AVERAGE('20250815_ETF_Options_Exhibits'!H629:H633)),AVERAGE('20250815_ETF_Options_Exhibits'!H629:H633),"")</f>
        <v/>
      </c>
      <c r="I633" s="3">
        <f>IF(ISNUMBER(AVERAGE('20250815_ETF_Options_Exhibits'!I629:I633)),AVERAGE('20250815_ETF_Options_Exhibits'!I629:I633),"")</f>
        <v/>
      </c>
      <c r="J633" s="3">
        <f>IF(ISNUMBER(AVERAGE('20250815_ETF_Options_Exhibits'!J629:J633)),AVERAGE('20250815_ETF_Options_Exhibits'!J629:J633),"")</f>
        <v/>
      </c>
      <c r="K633" s="3">
        <f>IF(ISNUMBER(AVERAGE('20250815_ETF_Options_Exhibits'!K629:K633)),AVERAGE('20250815_ETF_Options_Exhibits'!K629:K633),"")</f>
        <v/>
      </c>
      <c r="L633" s="3">
        <f>IF(ISNUMBER(AVERAGE('20250815_ETF_Options_Exhibits'!L629:L633)),AVERAGE('20250815_ETF_Options_Exhibits'!L629:L633),"")</f>
        <v/>
      </c>
      <c r="M633" s="3">
        <f>IF(ISNUMBER(AVERAGE('20250815_ETF_Options_Exhibits'!M629:M633)),AVERAGE('20250815_ETF_Options_Exhibits'!M629:M633),"")</f>
        <v/>
      </c>
      <c r="N633" s="3">
        <f>IF(ISNUMBER(AVERAGE('20250815_ETF_Options_Exhibits'!N629:N633)),AVERAGE('20250815_ETF_Options_Exhibits'!N629:N633),"")</f>
        <v/>
      </c>
      <c r="O633" s="3">
        <f>IF(ISNUMBER(AVERAGE('20250815_ETF_Options_Exhibits'!O629:O633)),AVERAGE('20250815_ETF_Options_Exhibits'!O629:O633),"")</f>
        <v/>
      </c>
      <c r="P633" s="3">
        <f>IF(ISNUMBER(AVERAGE('20250815_ETF_Options_Exhibits'!P629:P633)),AVERAGE('20250815_ETF_Options_Exhibits'!P629:P633),"")</f>
        <v/>
      </c>
      <c r="Q633" s="3">
        <f>IF(ISNUMBER(AVERAGE('20250815_ETF_Options_Exhibits'!Q629:Q633)),AVERAGE('20250815_ETF_Options_Exhibits'!Q629:Q633),"")</f>
        <v/>
      </c>
      <c r="R633" s="3">
        <f>IF(ISNUMBER(AVERAGE('20250815_ETF_Options_Exhibits'!R629:R633)),AVERAGE('20250815_ETF_Options_Exhibits'!R629:R633),"")</f>
        <v/>
      </c>
      <c r="S633" s="3">
        <f>IF(ISNUMBER(AVERAGE('20250815_ETF_Options_Exhibits'!S629:S633)),AVERAGE('20250815_ETF_Options_Exhibits'!S629:S633),"")</f>
        <v/>
      </c>
      <c r="T633" s="3">
        <f>IF(ISNUMBER(AVERAGE('20250815_ETF_Options_Exhibits'!T629:T633)),AVERAGE('20250815_ETF_Options_Exhibits'!T629:T633),"")</f>
        <v/>
      </c>
      <c r="U633" s="3">
        <f>IF(ISNUMBER(AVERAGE('20250815_ETF_Options_Exhibits'!U629:U633)),AVERAGE('20250815_ETF_Options_Exhibits'!U629:U633),"")</f>
        <v/>
      </c>
      <c r="V633" s="3">
        <f>IF(ISNUMBER(AVERAGE('20250815_ETF_Options_Exhibits'!V629:V633)),AVERAGE('20250815_ETF_Options_Exhibits'!V629:V633),"")</f>
        <v/>
      </c>
      <c r="W633" s="3">
        <f>IF(ISNUMBER(AVERAGE('20250815_ETF_Options_Exhibits'!W629:W633)),AVERAGE('20250815_ETF_Options_Exhibits'!W629:W633),"")</f>
        <v/>
      </c>
      <c r="X633" s="3">
        <f>IF(ISNUMBER(AVERAGE('20250815_ETF_Options_Exhibits'!X629:X633)),AVERAGE('20250815_ETF_Options_Exhibits'!X629:X633),"")</f>
        <v/>
      </c>
      <c r="Y633" s="3">
        <f>IF(ISNUMBER(AVERAGE('20250815_ETF_Options_Exhibits'!Y629:Y633)),AVERAGE('20250815_ETF_Options_Exhibits'!Y629:Y633),"")</f>
        <v/>
      </c>
      <c r="Z633" s="3">
        <f>IF(ISNUMBER(AVERAGE('20250815_ETF_Options_Exhibits'!Z629:Z633)),AVERAGE('20250815_ETF_Options_Exhibits'!Z629:Z633),"")</f>
        <v/>
      </c>
      <c r="AA633" s="3">
        <f>IF(ISNUMBER(AVERAGE('20250815_ETF_Options_Exhibits'!AA629:AA633)),AVERAGE('20250815_ETF_Options_Exhibits'!AA629:AA633),"")</f>
        <v/>
      </c>
    </row>
    <row r="634">
      <c r="A634" s="1" t="n">
        <v>42922</v>
      </c>
      <c r="B634" s="3">
        <f>IF(ISNUMBER(AVERAGE('20250815_ETF_Options_Exhibits'!B630:B634)),AVERAGE('20250815_ETF_Options_Exhibits'!B630:B634),"")</f>
        <v/>
      </c>
      <c r="C634" s="3">
        <f>IF(ISNUMBER(AVERAGE('20250815_ETF_Options_Exhibits'!C630:C634)),AVERAGE('20250815_ETF_Options_Exhibits'!C630:C634),"")</f>
        <v/>
      </c>
      <c r="D634" s="3">
        <f>IF(ISNUMBER(AVERAGE('20250815_ETF_Options_Exhibits'!D630:D634)),AVERAGE('20250815_ETF_Options_Exhibits'!D630:D634),"")</f>
        <v/>
      </c>
      <c r="E634" s="3">
        <f>IF(ISNUMBER(AVERAGE('20250815_ETF_Options_Exhibits'!E630:E634)),AVERAGE('20250815_ETF_Options_Exhibits'!E630:E634),"")</f>
        <v/>
      </c>
      <c r="F634" s="3">
        <f>IF(ISNUMBER(AVERAGE('20250815_ETF_Options_Exhibits'!F630:F634)),AVERAGE('20250815_ETF_Options_Exhibits'!F630:F634),"")</f>
        <v/>
      </c>
      <c r="G634" s="3">
        <f>IF(ISNUMBER(AVERAGE('20250815_ETF_Options_Exhibits'!G630:G634)),AVERAGE('20250815_ETF_Options_Exhibits'!G630:G634),"")</f>
        <v/>
      </c>
      <c r="H634" s="3">
        <f>IF(ISNUMBER(AVERAGE('20250815_ETF_Options_Exhibits'!H630:H634)),AVERAGE('20250815_ETF_Options_Exhibits'!H630:H634),"")</f>
        <v/>
      </c>
      <c r="I634" s="3">
        <f>IF(ISNUMBER(AVERAGE('20250815_ETF_Options_Exhibits'!I630:I634)),AVERAGE('20250815_ETF_Options_Exhibits'!I630:I634),"")</f>
        <v/>
      </c>
      <c r="J634" s="3">
        <f>IF(ISNUMBER(AVERAGE('20250815_ETF_Options_Exhibits'!J630:J634)),AVERAGE('20250815_ETF_Options_Exhibits'!J630:J634),"")</f>
        <v/>
      </c>
      <c r="K634" s="3">
        <f>IF(ISNUMBER(AVERAGE('20250815_ETF_Options_Exhibits'!K630:K634)),AVERAGE('20250815_ETF_Options_Exhibits'!K630:K634),"")</f>
        <v/>
      </c>
      <c r="L634" s="3">
        <f>IF(ISNUMBER(AVERAGE('20250815_ETF_Options_Exhibits'!L630:L634)),AVERAGE('20250815_ETF_Options_Exhibits'!L630:L634),"")</f>
        <v/>
      </c>
      <c r="M634" s="3">
        <f>IF(ISNUMBER(AVERAGE('20250815_ETF_Options_Exhibits'!M630:M634)),AVERAGE('20250815_ETF_Options_Exhibits'!M630:M634),"")</f>
        <v/>
      </c>
      <c r="N634" s="3">
        <f>IF(ISNUMBER(AVERAGE('20250815_ETF_Options_Exhibits'!N630:N634)),AVERAGE('20250815_ETF_Options_Exhibits'!N630:N634),"")</f>
        <v/>
      </c>
      <c r="O634" s="3">
        <f>IF(ISNUMBER(AVERAGE('20250815_ETF_Options_Exhibits'!O630:O634)),AVERAGE('20250815_ETF_Options_Exhibits'!O630:O634),"")</f>
        <v/>
      </c>
      <c r="P634" s="3">
        <f>IF(ISNUMBER(AVERAGE('20250815_ETF_Options_Exhibits'!P630:P634)),AVERAGE('20250815_ETF_Options_Exhibits'!P630:P634),"")</f>
        <v/>
      </c>
      <c r="Q634" s="3">
        <f>IF(ISNUMBER(AVERAGE('20250815_ETF_Options_Exhibits'!Q630:Q634)),AVERAGE('20250815_ETF_Options_Exhibits'!Q630:Q634),"")</f>
        <v/>
      </c>
      <c r="R634" s="3">
        <f>IF(ISNUMBER(AVERAGE('20250815_ETF_Options_Exhibits'!R630:R634)),AVERAGE('20250815_ETF_Options_Exhibits'!R630:R634),"")</f>
        <v/>
      </c>
      <c r="S634" s="3">
        <f>IF(ISNUMBER(AVERAGE('20250815_ETF_Options_Exhibits'!S630:S634)),AVERAGE('20250815_ETF_Options_Exhibits'!S630:S634),"")</f>
        <v/>
      </c>
      <c r="T634" s="3">
        <f>IF(ISNUMBER(AVERAGE('20250815_ETF_Options_Exhibits'!T630:T634)),AVERAGE('20250815_ETF_Options_Exhibits'!T630:T634),"")</f>
        <v/>
      </c>
      <c r="U634" s="3">
        <f>IF(ISNUMBER(AVERAGE('20250815_ETF_Options_Exhibits'!U630:U634)),AVERAGE('20250815_ETF_Options_Exhibits'!U630:U634),"")</f>
        <v/>
      </c>
      <c r="V634" s="3">
        <f>IF(ISNUMBER(AVERAGE('20250815_ETF_Options_Exhibits'!V630:V634)),AVERAGE('20250815_ETF_Options_Exhibits'!V630:V634),"")</f>
        <v/>
      </c>
      <c r="W634" s="3">
        <f>IF(ISNUMBER(AVERAGE('20250815_ETF_Options_Exhibits'!W630:W634)),AVERAGE('20250815_ETF_Options_Exhibits'!W630:W634),"")</f>
        <v/>
      </c>
      <c r="X634" s="3">
        <f>IF(ISNUMBER(AVERAGE('20250815_ETF_Options_Exhibits'!X630:X634)),AVERAGE('20250815_ETF_Options_Exhibits'!X630:X634),"")</f>
        <v/>
      </c>
      <c r="Y634" s="3">
        <f>IF(ISNUMBER(AVERAGE('20250815_ETF_Options_Exhibits'!Y630:Y634)),AVERAGE('20250815_ETF_Options_Exhibits'!Y630:Y634),"")</f>
        <v/>
      </c>
      <c r="Z634" s="3">
        <f>IF(ISNUMBER(AVERAGE('20250815_ETF_Options_Exhibits'!Z630:Z634)),AVERAGE('20250815_ETF_Options_Exhibits'!Z630:Z634),"")</f>
        <v/>
      </c>
      <c r="AA634" s="3">
        <f>IF(ISNUMBER(AVERAGE('20250815_ETF_Options_Exhibits'!AA630:AA634)),AVERAGE('20250815_ETF_Options_Exhibits'!AA630:AA634),"")</f>
        <v/>
      </c>
    </row>
    <row r="635">
      <c r="A635" s="1" t="n">
        <v>42923</v>
      </c>
      <c r="B635" s="3">
        <f>IF(ISNUMBER(AVERAGE('20250815_ETF_Options_Exhibits'!B631:B635)),AVERAGE('20250815_ETF_Options_Exhibits'!B631:B635),"")</f>
        <v/>
      </c>
      <c r="C635" s="3">
        <f>IF(ISNUMBER(AVERAGE('20250815_ETF_Options_Exhibits'!C631:C635)),AVERAGE('20250815_ETF_Options_Exhibits'!C631:C635),"")</f>
        <v/>
      </c>
      <c r="D635" s="3">
        <f>IF(ISNUMBER(AVERAGE('20250815_ETF_Options_Exhibits'!D631:D635)),AVERAGE('20250815_ETF_Options_Exhibits'!D631:D635),"")</f>
        <v/>
      </c>
      <c r="E635" s="3">
        <f>IF(ISNUMBER(AVERAGE('20250815_ETF_Options_Exhibits'!E631:E635)),AVERAGE('20250815_ETF_Options_Exhibits'!E631:E635),"")</f>
        <v/>
      </c>
      <c r="F635" s="3">
        <f>IF(ISNUMBER(AVERAGE('20250815_ETF_Options_Exhibits'!F631:F635)),AVERAGE('20250815_ETF_Options_Exhibits'!F631:F635),"")</f>
        <v/>
      </c>
      <c r="G635" s="3">
        <f>IF(ISNUMBER(AVERAGE('20250815_ETF_Options_Exhibits'!G631:G635)),AVERAGE('20250815_ETF_Options_Exhibits'!G631:G635),"")</f>
        <v/>
      </c>
      <c r="H635" s="3">
        <f>IF(ISNUMBER(AVERAGE('20250815_ETF_Options_Exhibits'!H631:H635)),AVERAGE('20250815_ETF_Options_Exhibits'!H631:H635),"")</f>
        <v/>
      </c>
      <c r="I635" s="3">
        <f>IF(ISNUMBER(AVERAGE('20250815_ETF_Options_Exhibits'!I631:I635)),AVERAGE('20250815_ETF_Options_Exhibits'!I631:I635),"")</f>
        <v/>
      </c>
      <c r="J635" s="3">
        <f>IF(ISNUMBER(AVERAGE('20250815_ETF_Options_Exhibits'!J631:J635)),AVERAGE('20250815_ETF_Options_Exhibits'!J631:J635),"")</f>
        <v/>
      </c>
      <c r="K635" s="3">
        <f>IF(ISNUMBER(AVERAGE('20250815_ETF_Options_Exhibits'!K631:K635)),AVERAGE('20250815_ETF_Options_Exhibits'!K631:K635),"")</f>
        <v/>
      </c>
      <c r="L635" s="3">
        <f>IF(ISNUMBER(AVERAGE('20250815_ETF_Options_Exhibits'!L631:L635)),AVERAGE('20250815_ETF_Options_Exhibits'!L631:L635),"")</f>
        <v/>
      </c>
      <c r="M635" s="3">
        <f>IF(ISNUMBER(AVERAGE('20250815_ETF_Options_Exhibits'!M631:M635)),AVERAGE('20250815_ETF_Options_Exhibits'!M631:M635),"")</f>
        <v/>
      </c>
      <c r="N635" s="3">
        <f>IF(ISNUMBER(AVERAGE('20250815_ETF_Options_Exhibits'!N631:N635)),AVERAGE('20250815_ETF_Options_Exhibits'!N631:N635),"")</f>
        <v/>
      </c>
      <c r="O635" s="3">
        <f>IF(ISNUMBER(AVERAGE('20250815_ETF_Options_Exhibits'!O631:O635)),AVERAGE('20250815_ETF_Options_Exhibits'!O631:O635),"")</f>
        <v/>
      </c>
      <c r="P635" s="3">
        <f>IF(ISNUMBER(AVERAGE('20250815_ETF_Options_Exhibits'!P631:P635)),AVERAGE('20250815_ETF_Options_Exhibits'!P631:P635),"")</f>
        <v/>
      </c>
      <c r="Q635" s="3">
        <f>IF(ISNUMBER(AVERAGE('20250815_ETF_Options_Exhibits'!Q631:Q635)),AVERAGE('20250815_ETF_Options_Exhibits'!Q631:Q635),"")</f>
        <v/>
      </c>
      <c r="R635" s="3">
        <f>IF(ISNUMBER(AVERAGE('20250815_ETF_Options_Exhibits'!R631:R635)),AVERAGE('20250815_ETF_Options_Exhibits'!R631:R635),"")</f>
        <v/>
      </c>
      <c r="S635" s="3">
        <f>IF(ISNUMBER(AVERAGE('20250815_ETF_Options_Exhibits'!S631:S635)),AVERAGE('20250815_ETF_Options_Exhibits'!S631:S635),"")</f>
        <v/>
      </c>
      <c r="T635" s="3">
        <f>IF(ISNUMBER(AVERAGE('20250815_ETF_Options_Exhibits'!T631:T635)),AVERAGE('20250815_ETF_Options_Exhibits'!T631:T635),"")</f>
        <v/>
      </c>
      <c r="U635" s="3">
        <f>IF(ISNUMBER(AVERAGE('20250815_ETF_Options_Exhibits'!U631:U635)),AVERAGE('20250815_ETF_Options_Exhibits'!U631:U635),"")</f>
        <v/>
      </c>
      <c r="V635" s="3">
        <f>IF(ISNUMBER(AVERAGE('20250815_ETF_Options_Exhibits'!V631:V635)),AVERAGE('20250815_ETF_Options_Exhibits'!V631:V635),"")</f>
        <v/>
      </c>
      <c r="W635" s="3">
        <f>IF(ISNUMBER(AVERAGE('20250815_ETF_Options_Exhibits'!W631:W635)),AVERAGE('20250815_ETF_Options_Exhibits'!W631:W635),"")</f>
        <v/>
      </c>
      <c r="X635" s="3">
        <f>IF(ISNUMBER(AVERAGE('20250815_ETF_Options_Exhibits'!X631:X635)),AVERAGE('20250815_ETF_Options_Exhibits'!X631:X635),"")</f>
        <v/>
      </c>
      <c r="Y635" s="3">
        <f>IF(ISNUMBER(AVERAGE('20250815_ETF_Options_Exhibits'!Y631:Y635)),AVERAGE('20250815_ETF_Options_Exhibits'!Y631:Y635),"")</f>
        <v/>
      </c>
      <c r="Z635" s="3">
        <f>IF(ISNUMBER(AVERAGE('20250815_ETF_Options_Exhibits'!Z631:Z635)),AVERAGE('20250815_ETF_Options_Exhibits'!Z631:Z635),"")</f>
        <v/>
      </c>
      <c r="AA635" s="3">
        <f>IF(ISNUMBER(AVERAGE('20250815_ETF_Options_Exhibits'!AA631:AA635)),AVERAGE('20250815_ETF_Options_Exhibits'!AA631:AA635),"")</f>
        <v/>
      </c>
    </row>
    <row r="636">
      <c r="A636" s="1" t="n">
        <v>42926</v>
      </c>
      <c r="B636" s="3">
        <f>IF(ISNUMBER(AVERAGE('20250815_ETF_Options_Exhibits'!B632:B636)),AVERAGE('20250815_ETF_Options_Exhibits'!B632:B636),"")</f>
        <v/>
      </c>
      <c r="C636" s="3">
        <f>IF(ISNUMBER(AVERAGE('20250815_ETF_Options_Exhibits'!C632:C636)),AVERAGE('20250815_ETF_Options_Exhibits'!C632:C636),"")</f>
        <v/>
      </c>
      <c r="D636" s="3">
        <f>IF(ISNUMBER(AVERAGE('20250815_ETF_Options_Exhibits'!D632:D636)),AVERAGE('20250815_ETF_Options_Exhibits'!D632:D636),"")</f>
        <v/>
      </c>
      <c r="E636" s="3">
        <f>IF(ISNUMBER(AVERAGE('20250815_ETF_Options_Exhibits'!E632:E636)),AVERAGE('20250815_ETF_Options_Exhibits'!E632:E636),"")</f>
        <v/>
      </c>
      <c r="F636" s="3">
        <f>IF(ISNUMBER(AVERAGE('20250815_ETF_Options_Exhibits'!F632:F636)),AVERAGE('20250815_ETF_Options_Exhibits'!F632:F636),"")</f>
        <v/>
      </c>
      <c r="G636" s="3">
        <f>IF(ISNUMBER(AVERAGE('20250815_ETF_Options_Exhibits'!G632:G636)),AVERAGE('20250815_ETF_Options_Exhibits'!G632:G636),"")</f>
        <v/>
      </c>
      <c r="H636" s="3">
        <f>IF(ISNUMBER(AVERAGE('20250815_ETF_Options_Exhibits'!H632:H636)),AVERAGE('20250815_ETF_Options_Exhibits'!H632:H636),"")</f>
        <v/>
      </c>
      <c r="I636" s="3">
        <f>IF(ISNUMBER(AVERAGE('20250815_ETF_Options_Exhibits'!I632:I636)),AVERAGE('20250815_ETF_Options_Exhibits'!I632:I636),"")</f>
        <v/>
      </c>
      <c r="J636" s="3">
        <f>IF(ISNUMBER(AVERAGE('20250815_ETF_Options_Exhibits'!J632:J636)),AVERAGE('20250815_ETF_Options_Exhibits'!J632:J636),"")</f>
        <v/>
      </c>
      <c r="K636" s="3">
        <f>IF(ISNUMBER(AVERAGE('20250815_ETF_Options_Exhibits'!K632:K636)),AVERAGE('20250815_ETF_Options_Exhibits'!K632:K636),"")</f>
        <v/>
      </c>
      <c r="L636" s="3">
        <f>IF(ISNUMBER(AVERAGE('20250815_ETF_Options_Exhibits'!L632:L636)),AVERAGE('20250815_ETF_Options_Exhibits'!L632:L636),"")</f>
        <v/>
      </c>
      <c r="M636" s="3">
        <f>IF(ISNUMBER(AVERAGE('20250815_ETF_Options_Exhibits'!M632:M636)),AVERAGE('20250815_ETF_Options_Exhibits'!M632:M636),"")</f>
        <v/>
      </c>
      <c r="N636" s="3">
        <f>IF(ISNUMBER(AVERAGE('20250815_ETF_Options_Exhibits'!N632:N636)),AVERAGE('20250815_ETF_Options_Exhibits'!N632:N636),"")</f>
        <v/>
      </c>
      <c r="O636" s="3">
        <f>IF(ISNUMBER(AVERAGE('20250815_ETF_Options_Exhibits'!O632:O636)),AVERAGE('20250815_ETF_Options_Exhibits'!O632:O636),"")</f>
        <v/>
      </c>
      <c r="P636" s="3">
        <f>IF(ISNUMBER(AVERAGE('20250815_ETF_Options_Exhibits'!P632:P636)),AVERAGE('20250815_ETF_Options_Exhibits'!P632:P636),"")</f>
        <v/>
      </c>
      <c r="Q636" s="3">
        <f>IF(ISNUMBER(AVERAGE('20250815_ETF_Options_Exhibits'!Q632:Q636)),AVERAGE('20250815_ETF_Options_Exhibits'!Q632:Q636),"")</f>
        <v/>
      </c>
      <c r="R636" s="3">
        <f>IF(ISNUMBER(AVERAGE('20250815_ETF_Options_Exhibits'!R632:R636)),AVERAGE('20250815_ETF_Options_Exhibits'!R632:R636),"")</f>
        <v/>
      </c>
      <c r="S636" s="3">
        <f>IF(ISNUMBER(AVERAGE('20250815_ETF_Options_Exhibits'!S632:S636)),AVERAGE('20250815_ETF_Options_Exhibits'!S632:S636),"")</f>
        <v/>
      </c>
      <c r="T636" s="3">
        <f>IF(ISNUMBER(AVERAGE('20250815_ETF_Options_Exhibits'!T632:T636)),AVERAGE('20250815_ETF_Options_Exhibits'!T632:T636),"")</f>
        <v/>
      </c>
      <c r="U636" s="3">
        <f>IF(ISNUMBER(AVERAGE('20250815_ETF_Options_Exhibits'!U632:U636)),AVERAGE('20250815_ETF_Options_Exhibits'!U632:U636),"")</f>
        <v/>
      </c>
      <c r="V636" s="3">
        <f>IF(ISNUMBER(AVERAGE('20250815_ETF_Options_Exhibits'!V632:V636)),AVERAGE('20250815_ETF_Options_Exhibits'!V632:V636),"")</f>
        <v/>
      </c>
      <c r="W636" s="3">
        <f>IF(ISNUMBER(AVERAGE('20250815_ETF_Options_Exhibits'!W632:W636)),AVERAGE('20250815_ETF_Options_Exhibits'!W632:W636),"")</f>
        <v/>
      </c>
      <c r="X636" s="3">
        <f>IF(ISNUMBER(AVERAGE('20250815_ETF_Options_Exhibits'!X632:X636)),AVERAGE('20250815_ETF_Options_Exhibits'!X632:X636),"")</f>
        <v/>
      </c>
      <c r="Y636" s="3">
        <f>IF(ISNUMBER(AVERAGE('20250815_ETF_Options_Exhibits'!Y632:Y636)),AVERAGE('20250815_ETF_Options_Exhibits'!Y632:Y636),"")</f>
        <v/>
      </c>
      <c r="Z636" s="3">
        <f>IF(ISNUMBER(AVERAGE('20250815_ETF_Options_Exhibits'!Z632:Z636)),AVERAGE('20250815_ETF_Options_Exhibits'!Z632:Z636),"")</f>
        <v/>
      </c>
      <c r="AA636" s="3">
        <f>IF(ISNUMBER(AVERAGE('20250815_ETF_Options_Exhibits'!AA632:AA636)),AVERAGE('20250815_ETF_Options_Exhibits'!AA632:AA636),"")</f>
        <v/>
      </c>
    </row>
    <row r="637">
      <c r="A637" s="1" t="n">
        <v>42927</v>
      </c>
      <c r="B637" s="3">
        <f>IF(ISNUMBER(AVERAGE('20250815_ETF_Options_Exhibits'!B633:B637)),AVERAGE('20250815_ETF_Options_Exhibits'!B633:B637),"")</f>
        <v/>
      </c>
      <c r="C637" s="3">
        <f>IF(ISNUMBER(AVERAGE('20250815_ETF_Options_Exhibits'!C633:C637)),AVERAGE('20250815_ETF_Options_Exhibits'!C633:C637),"")</f>
        <v/>
      </c>
      <c r="D637" s="3">
        <f>IF(ISNUMBER(AVERAGE('20250815_ETF_Options_Exhibits'!D633:D637)),AVERAGE('20250815_ETF_Options_Exhibits'!D633:D637),"")</f>
        <v/>
      </c>
      <c r="E637" s="3">
        <f>IF(ISNUMBER(AVERAGE('20250815_ETF_Options_Exhibits'!E633:E637)),AVERAGE('20250815_ETF_Options_Exhibits'!E633:E637),"")</f>
        <v/>
      </c>
      <c r="F637" s="3">
        <f>IF(ISNUMBER(AVERAGE('20250815_ETF_Options_Exhibits'!F633:F637)),AVERAGE('20250815_ETF_Options_Exhibits'!F633:F637),"")</f>
        <v/>
      </c>
      <c r="G637" s="3">
        <f>IF(ISNUMBER(AVERAGE('20250815_ETF_Options_Exhibits'!G633:G637)),AVERAGE('20250815_ETF_Options_Exhibits'!G633:G637),"")</f>
        <v/>
      </c>
      <c r="H637" s="3">
        <f>IF(ISNUMBER(AVERAGE('20250815_ETF_Options_Exhibits'!H633:H637)),AVERAGE('20250815_ETF_Options_Exhibits'!H633:H637),"")</f>
        <v/>
      </c>
      <c r="I637" s="3">
        <f>IF(ISNUMBER(AVERAGE('20250815_ETF_Options_Exhibits'!I633:I637)),AVERAGE('20250815_ETF_Options_Exhibits'!I633:I637),"")</f>
        <v/>
      </c>
      <c r="J637" s="3">
        <f>IF(ISNUMBER(AVERAGE('20250815_ETF_Options_Exhibits'!J633:J637)),AVERAGE('20250815_ETF_Options_Exhibits'!J633:J637),"")</f>
        <v/>
      </c>
      <c r="K637" s="3">
        <f>IF(ISNUMBER(AVERAGE('20250815_ETF_Options_Exhibits'!K633:K637)),AVERAGE('20250815_ETF_Options_Exhibits'!K633:K637),"")</f>
        <v/>
      </c>
      <c r="L637" s="3">
        <f>IF(ISNUMBER(AVERAGE('20250815_ETF_Options_Exhibits'!L633:L637)),AVERAGE('20250815_ETF_Options_Exhibits'!L633:L637),"")</f>
        <v/>
      </c>
      <c r="M637" s="3">
        <f>IF(ISNUMBER(AVERAGE('20250815_ETF_Options_Exhibits'!M633:M637)),AVERAGE('20250815_ETF_Options_Exhibits'!M633:M637),"")</f>
        <v/>
      </c>
      <c r="N637" s="3">
        <f>IF(ISNUMBER(AVERAGE('20250815_ETF_Options_Exhibits'!N633:N637)),AVERAGE('20250815_ETF_Options_Exhibits'!N633:N637),"")</f>
        <v/>
      </c>
      <c r="O637" s="3">
        <f>IF(ISNUMBER(AVERAGE('20250815_ETF_Options_Exhibits'!O633:O637)),AVERAGE('20250815_ETF_Options_Exhibits'!O633:O637),"")</f>
        <v/>
      </c>
      <c r="P637" s="3">
        <f>IF(ISNUMBER(AVERAGE('20250815_ETF_Options_Exhibits'!P633:P637)),AVERAGE('20250815_ETF_Options_Exhibits'!P633:P637),"")</f>
        <v/>
      </c>
      <c r="Q637" s="3">
        <f>IF(ISNUMBER(AVERAGE('20250815_ETF_Options_Exhibits'!Q633:Q637)),AVERAGE('20250815_ETF_Options_Exhibits'!Q633:Q637),"")</f>
        <v/>
      </c>
      <c r="R637" s="3">
        <f>IF(ISNUMBER(AVERAGE('20250815_ETF_Options_Exhibits'!R633:R637)),AVERAGE('20250815_ETF_Options_Exhibits'!R633:R637),"")</f>
        <v/>
      </c>
      <c r="S637" s="3">
        <f>IF(ISNUMBER(AVERAGE('20250815_ETF_Options_Exhibits'!S633:S637)),AVERAGE('20250815_ETF_Options_Exhibits'!S633:S637),"")</f>
        <v/>
      </c>
      <c r="T637" s="3">
        <f>IF(ISNUMBER(AVERAGE('20250815_ETF_Options_Exhibits'!T633:T637)),AVERAGE('20250815_ETF_Options_Exhibits'!T633:T637),"")</f>
        <v/>
      </c>
      <c r="U637" s="3">
        <f>IF(ISNUMBER(AVERAGE('20250815_ETF_Options_Exhibits'!U633:U637)),AVERAGE('20250815_ETF_Options_Exhibits'!U633:U637),"")</f>
        <v/>
      </c>
      <c r="V637" s="3">
        <f>IF(ISNUMBER(AVERAGE('20250815_ETF_Options_Exhibits'!V633:V637)),AVERAGE('20250815_ETF_Options_Exhibits'!V633:V637),"")</f>
        <v/>
      </c>
      <c r="W637" s="3">
        <f>IF(ISNUMBER(AVERAGE('20250815_ETF_Options_Exhibits'!W633:W637)),AVERAGE('20250815_ETF_Options_Exhibits'!W633:W637),"")</f>
        <v/>
      </c>
      <c r="X637" s="3">
        <f>IF(ISNUMBER(AVERAGE('20250815_ETF_Options_Exhibits'!X633:X637)),AVERAGE('20250815_ETF_Options_Exhibits'!X633:X637),"")</f>
        <v/>
      </c>
      <c r="Y637" s="3">
        <f>IF(ISNUMBER(AVERAGE('20250815_ETF_Options_Exhibits'!Y633:Y637)),AVERAGE('20250815_ETF_Options_Exhibits'!Y633:Y637),"")</f>
        <v/>
      </c>
      <c r="Z637" s="3">
        <f>IF(ISNUMBER(AVERAGE('20250815_ETF_Options_Exhibits'!Z633:Z637)),AVERAGE('20250815_ETF_Options_Exhibits'!Z633:Z637),"")</f>
        <v/>
      </c>
      <c r="AA637" s="3">
        <f>IF(ISNUMBER(AVERAGE('20250815_ETF_Options_Exhibits'!AA633:AA637)),AVERAGE('20250815_ETF_Options_Exhibits'!AA633:AA637),"")</f>
        <v/>
      </c>
    </row>
    <row r="638">
      <c r="A638" s="1" t="n">
        <v>42928</v>
      </c>
      <c r="B638" s="3">
        <f>IF(ISNUMBER(AVERAGE('20250815_ETF_Options_Exhibits'!B634:B638)),AVERAGE('20250815_ETF_Options_Exhibits'!B634:B638),"")</f>
        <v/>
      </c>
      <c r="C638" s="3">
        <f>IF(ISNUMBER(AVERAGE('20250815_ETF_Options_Exhibits'!C634:C638)),AVERAGE('20250815_ETF_Options_Exhibits'!C634:C638),"")</f>
        <v/>
      </c>
      <c r="D638" s="3">
        <f>IF(ISNUMBER(AVERAGE('20250815_ETF_Options_Exhibits'!D634:D638)),AVERAGE('20250815_ETF_Options_Exhibits'!D634:D638),"")</f>
        <v/>
      </c>
      <c r="E638" s="3">
        <f>IF(ISNUMBER(AVERAGE('20250815_ETF_Options_Exhibits'!E634:E638)),AVERAGE('20250815_ETF_Options_Exhibits'!E634:E638),"")</f>
        <v/>
      </c>
      <c r="F638" s="3">
        <f>IF(ISNUMBER(AVERAGE('20250815_ETF_Options_Exhibits'!F634:F638)),AVERAGE('20250815_ETF_Options_Exhibits'!F634:F638),"")</f>
        <v/>
      </c>
      <c r="G638" s="3">
        <f>IF(ISNUMBER(AVERAGE('20250815_ETF_Options_Exhibits'!G634:G638)),AVERAGE('20250815_ETF_Options_Exhibits'!G634:G638),"")</f>
        <v/>
      </c>
      <c r="H638" s="3">
        <f>IF(ISNUMBER(AVERAGE('20250815_ETF_Options_Exhibits'!H634:H638)),AVERAGE('20250815_ETF_Options_Exhibits'!H634:H638),"")</f>
        <v/>
      </c>
      <c r="I638" s="3">
        <f>IF(ISNUMBER(AVERAGE('20250815_ETF_Options_Exhibits'!I634:I638)),AVERAGE('20250815_ETF_Options_Exhibits'!I634:I638),"")</f>
        <v/>
      </c>
      <c r="J638" s="3">
        <f>IF(ISNUMBER(AVERAGE('20250815_ETF_Options_Exhibits'!J634:J638)),AVERAGE('20250815_ETF_Options_Exhibits'!J634:J638),"")</f>
        <v/>
      </c>
      <c r="K638" s="3">
        <f>IF(ISNUMBER(AVERAGE('20250815_ETF_Options_Exhibits'!K634:K638)),AVERAGE('20250815_ETF_Options_Exhibits'!K634:K638),"")</f>
        <v/>
      </c>
      <c r="L638" s="3">
        <f>IF(ISNUMBER(AVERAGE('20250815_ETF_Options_Exhibits'!L634:L638)),AVERAGE('20250815_ETF_Options_Exhibits'!L634:L638),"")</f>
        <v/>
      </c>
      <c r="M638" s="3">
        <f>IF(ISNUMBER(AVERAGE('20250815_ETF_Options_Exhibits'!M634:M638)),AVERAGE('20250815_ETF_Options_Exhibits'!M634:M638),"")</f>
        <v/>
      </c>
      <c r="N638" s="3">
        <f>IF(ISNUMBER(AVERAGE('20250815_ETF_Options_Exhibits'!N634:N638)),AVERAGE('20250815_ETF_Options_Exhibits'!N634:N638),"")</f>
        <v/>
      </c>
      <c r="O638" s="3">
        <f>IF(ISNUMBER(AVERAGE('20250815_ETF_Options_Exhibits'!O634:O638)),AVERAGE('20250815_ETF_Options_Exhibits'!O634:O638),"")</f>
        <v/>
      </c>
      <c r="P638" s="3">
        <f>IF(ISNUMBER(AVERAGE('20250815_ETF_Options_Exhibits'!P634:P638)),AVERAGE('20250815_ETF_Options_Exhibits'!P634:P638),"")</f>
        <v/>
      </c>
      <c r="Q638" s="3">
        <f>IF(ISNUMBER(AVERAGE('20250815_ETF_Options_Exhibits'!Q634:Q638)),AVERAGE('20250815_ETF_Options_Exhibits'!Q634:Q638),"")</f>
        <v/>
      </c>
      <c r="R638" s="3">
        <f>IF(ISNUMBER(AVERAGE('20250815_ETF_Options_Exhibits'!R634:R638)),AVERAGE('20250815_ETF_Options_Exhibits'!R634:R638),"")</f>
        <v/>
      </c>
      <c r="S638" s="3">
        <f>IF(ISNUMBER(AVERAGE('20250815_ETF_Options_Exhibits'!S634:S638)),AVERAGE('20250815_ETF_Options_Exhibits'!S634:S638),"")</f>
        <v/>
      </c>
      <c r="T638" s="3">
        <f>IF(ISNUMBER(AVERAGE('20250815_ETF_Options_Exhibits'!T634:T638)),AVERAGE('20250815_ETF_Options_Exhibits'!T634:T638),"")</f>
        <v/>
      </c>
      <c r="U638" s="3">
        <f>IF(ISNUMBER(AVERAGE('20250815_ETF_Options_Exhibits'!U634:U638)),AVERAGE('20250815_ETF_Options_Exhibits'!U634:U638),"")</f>
        <v/>
      </c>
      <c r="V638" s="3">
        <f>IF(ISNUMBER(AVERAGE('20250815_ETF_Options_Exhibits'!V634:V638)),AVERAGE('20250815_ETF_Options_Exhibits'!V634:V638),"")</f>
        <v/>
      </c>
      <c r="W638" s="3">
        <f>IF(ISNUMBER(AVERAGE('20250815_ETF_Options_Exhibits'!W634:W638)),AVERAGE('20250815_ETF_Options_Exhibits'!W634:W638),"")</f>
        <v/>
      </c>
      <c r="X638" s="3">
        <f>IF(ISNUMBER(AVERAGE('20250815_ETF_Options_Exhibits'!X634:X638)),AVERAGE('20250815_ETF_Options_Exhibits'!X634:X638),"")</f>
        <v/>
      </c>
      <c r="Y638" s="3">
        <f>IF(ISNUMBER(AVERAGE('20250815_ETF_Options_Exhibits'!Y634:Y638)),AVERAGE('20250815_ETF_Options_Exhibits'!Y634:Y638),"")</f>
        <v/>
      </c>
      <c r="Z638" s="3">
        <f>IF(ISNUMBER(AVERAGE('20250815_ETF_Options_Exhibits'!Z634:Z638)),AVERAGE('20250815_ETF_Options_Exhibits'!Z634:Z638),"")</f>
        <v/>
      </c>
      <c r="AA638" s="3">
        <f>IF(ISNUMBER(AVERAGE('20250815_ETF_Options_Exhibits'!AA634:AA638)),AVERAGE('20250815_ETF_Options_Exhibits'!AA634:AA638),"")</f>
        <v/>
      </c>
    </row>
    <row r="639">
      <c r="A639" s="1" t="n">
        <v>42929</v>
      </c>
      <c r="B639" s="3">
        <f>IF(ISNUMBER(AVERAGE('20250815_ETF_Options_Exhibits'!B635:B639)),AVERAGE('20250815_ETF_Options_Exhibits'!B635:B639),"")</f>
        <v/>
      </c>
      <c r="C639" s="3">
        <f>IF(ISNUMBER(AVERAGE('20250815_ETF_Options_Exhibits'!C635:C639)),AVERAGE('20250815_ETF_Options_Exhibits'!C635:C639),"")</f>
        <v/>
      </c>
      <c r="D639" s="3">
        <f>IF(ISNUMBER(AVERAGE('20250815_ETF_Options_Exhibits'!D635:D639)),AVERAGE('20250815_ETF_Options_Exhibits'!D635:D639),"")</f>
        <v/>
      </c>
      <c r="E639" s="3">
        <f>IF(ISNUMBER(AVERAGE('20250815_ETF_Options_Exhibits'!E635:E639)),AVERAGE('20250815_ETF_Options_Exhibits'!E635:E639),"")</f>
        <v/>
      </c>
      <c r="F639" s="3">
        <f>IF(ISNUMBER(AVERAGE('20250815_ETF_Options_Exhibits'!F635:F639)),AVERAGE('20250815_ETF_Options_Exhibits'!F635:F639),"")</f>
        <v/>
      </c>
      <c r="G639" s="3">
        <f>IF(ISNUMBER(AVERAGE('20250815_ETF_Options_Exhibits'!G635:G639)),AVERAGE('20250815_ETF_Options_Exhibits'!G635:G639),"")</f>
        <v/>
      </c>
      <c r="H639" s="3">
        <f>IF(ISNUMBER(AVERAGE('20250815_ETF_Options_Exhibits'!H635:H639)),AVERAGE('20250815_ETF_Options_Exhibits'!H635:H639),"")</f>
        <v/>
      </c>
      <c r="I639" s="3">
        <f>IF(ISNUMBER(AVERAGE('20250815_ETF_Options_Exhibits'!I635:I639)),AVERAGE('20250815_ETF_Options_Exhibits'!I635:I639),"")</f>
        <v/>
      </c>
      <c r="J639" s="3">
        <f>IF(ISNUMBER(AVERAGE('20250815_ETF_Options_Exhibits'!J635:J639)),AVERAGE('20250815_ETF_Options_Exhibits'!J635:J639),"")</f>
        <v/>
      </c>
      <c r="K639" s="3">
        <f>IF(ISNUMBER(AVERAGE('20250815_ETF_Options_Exhibits'!K635:K639)),AVERAGE('20250815_ETF_Options_Exhibits'!K635:K639),"")</f>
        <v/>
      </c>
      <c r="L639" s="3">
        <f>IF(ISNUMBER(AVERAGE('20250815_ETF_Options_Exhibits'!L635:L639)),AVERAGE('20250815_ETF_Options_Exhibits'!L635:L639),"")</f>
        <v/>
      </c>
      <c r="M639" s="3">
        <f>IF(ISNUMBER(AVERAGE('20250815_ETF_Options_Exhibits'!M635:M639)),AVERAGE('20250815_ETF_Options_Exhibits'!M635:M639),"")</f>
        <v/>
      </c>
      <c r="N639" s="3">
        <f>IF(ISNUMBER(AVERAGE('20250815_ETF_Options_Exhibits'!N635:N639)),AVERAGE('20250815_ETF_Options_Exhibits'!N635:N639),"")</f>
        <v/>
      </c>
      <c r="O639" s="3">
        <f>IF(ISNUMBER(AVERAGE('20250815_ETF_Options_Exhibits'!O635:O639)),AVERAGE('20250815_ETF_Options_Exhibits'!O635:O639),"")</f>
        <v/>
      </c>
      <c r="P639" s="3">
        <f>IF(ISNUMBER(AVERAGE('20250815_ETF_Options_Exhibits'!P635:P639)),AVERAGE('20250815_ETF_Options_Exhibits'!P635:P639),"")</f>
        <v/>
      </c>
      <c r="Q639" s="3">
        <f>IF(ISNUMBER(AVERAGE('20250815_ETF_Options_Exhibits'!Q635:Q639)),AVERAGE('20250815_ETF_Options_Exhibits'!Q635:Q639),"")</f>
        <v/>
      </c>
      <c r="R639" s="3">
        <f>IF(ISNUMBER(AVERAGE('20250815_ETF_Options_Exhibits'!R635:R639)),AVERAGE('20250815_ETF_Options_Exhibits'!R635:R639),"")</f>
        <v/>
      </c>
      <c r="S639" s="3">
        <f>IF(ISNUMBER(AVERAGE('20250815_ETF_Options_Exhibits'!S635:S639)),AVERAGE('20250815_ETF_Options_Exhibits'!S635:S639),"")</f>
        <v/>
      </c>
      <c r="T639" s="3">
        <f>IF(ISNUMBER(AVERAGE('20250815_ETF_Options_Exhibits'!T635:T639)),AVERAGE('20250815_ETF_Options_Exhibits'!T635:T639),"")</f>
        <v/>
      </c>
      <c r="U639" s="3">
        <f>IF(ISNUMBER(AVERAGE('20250815_ETF_Options_Exhibits'!U635:U639)),AVERAGE('20250815_ETF_Options_Exhibits'!U635:U639),"")</f>
        <v/>
      </c>
      <c r="V639" s="3">
        <f>IF(ISNUMBER(AVERAGE('20250815_ETF_Options_Exhibits'!V635:V639)),AVERAGE('20250815_ETF_Options_Exhibits'!V635:V639),"")</f>
        <v/>
      </c>
      <c r="W639" s="3">
        <f>IF(ISNUMBER(AVERAGE('20250815_ETF_Options_Exhibits'!W635:W639)),AVERAGE('20250815_ETF_Options_Exhibits'!W635:W639),"")</f>
        <v/>
      </c>
      <c r="X639" s="3">
        <f>IF(ISNUMBER(AVERAGE('20250815_ETF_Options_Exhibits'!X635:X639)),AVERAGE('20250815_ETF_Options_Exhibits'!X635:X639),"")</f>
        <v/>
      </c>
      <c r="Y639" s="3">
        <f>IF(ISNUMBER(AVERAGE('20250815_ETF_Options_Exhibits'!Y635:Y639)),AVERAGE('20250815_ETF_Options_Exhibits'!Y635:Y639),"")</f>
        <v/>
      </c>
      <c r="Z639" s="3">
        <f>IF(ISNUMBER(AVERAGE('20250815_ETF_Options_Exhibits'!Z635:Z639)),AVERAGE('20250815_ETF_Options_Exhibits'!Z635:Z639),"")</f>
        <v/>
      </c>
      <c r="AA639" s="3">
        <f>IF(ISNUMBER(AVERAGE('20250815_ETF_Options_Exhibits'!AA635:AA639)),AVERAGE('20250815_ETF_Options_Exhibits'!AA635:AA639),"")</f>
        <v/>
      </c>
    </row>
    <row r="640">
      <c r="A640" s="1" t="n">
        <v>42930</v>
      </c>
      <c r="B640" s="3">
        <f>IF(ISNUMBER(AVERAGE('20250815_ETF_Options_Exhibits'!B636:B640)),AVERAGE('20250815_ETF_Options_Exhibits'!B636:B640),"")</f>
        <v/>
      </c>
      <c r="C640" s="3">
        <f>IF(ISNUMBER(AVERAGE('20250815_ETF_Options_Exhibits'!C636:C640)),AVERAGE('20250815_ETF_Options_Exhibits'!C636:C640),"")</f>
        <v/>
      </c>
      <c r="D640" s="3">
        <f>IF(ISNUMBER(AVERAGE('20250815_ETF_Options_Exhibits'!D636:D640)),AVERAGE('20250815_ETF_Options_Exhibits'!D636:D640),"")</f>
        <v/>
      </c>
      <c r="E640" s="3">
        <f>IF(ISNUMBER(AVERAGE('20250815_ETF_Options_Exhibits'!E636:E640)),AVERAGE('20250815_ETF_Options_Exhibits'!E636:E640),"")</f>
        <v/>
      </c>
      <c r="F640" s="3">
        <f>IF(ISNUMBER(AVERAGE('20250815_ETF_Options_Exhibits'!F636:F640)),AVERAGE('20250815_ETF_Options_Exhibits'!F636:F640),"")</f>
        <v/>
      </c>
      <c r="G640" s="3">
        <f>IF(ISNUMBER(AVERAGE('20250815_ETF_Options_Exhibits'!G636:G640)),AVERAGE('20250815_ETF_Options_Exhibits'!G636:G640),"")</f>
        <v/>
      </c>
      <c r="H640" s="3">
        <f>IF(ISNUMBER(AVERAGE('20250815_ETF_Options_Exhibits'!H636:H640)),AVERAGE('20250815_ETF_Options_Exhibits'!H636:H640),"")</f>
        <v/>
      </c>
      <c r="I640" s="3">
        <f>IF(ISNUMBER(AVERAGE('20250815_ETF_Options_Exhibits'!I636:I640)),AVERAGE('20250815_ETF_Options_Exhibits'!I636:I640),"")</f>
        <v/>
      </c>
      <c r="J640" s="3">
        <f>IF(ISNUMBER(AVERAGE('20250815_ETF_Options_Exhibits'!J636:J640)),AVERAGE('20250815_ETF_Options_Exhibits'!J636:J640),"")</f>
        <v/>
      </c>
      <c r="K640" s="3">
        <f>IF(ISNUMBER(AVERAGE('20250815_ETF_Options_Exhibits'!K636:K640)),AVERAGE('20250815_ETF_Options_Exhibits'!K636:K640),"")</f>
        <v/>
      </c>
      <c r="L640" s="3">
        <f>IF(ISNUMBER(AVERAGE('20250815_ETF_Options_Exhibits'!L636:L640)),AVERAGE('20250815_ETF_Options_Exhibits'!L636:L640),"")</f>
        <v/>
      </c>
      <c r="M640" s="3">
        <f>IF(ISNUMBER(AVERAGE('20250815_ETF_Options_Exhibits'!M636:M640)),AVERAGE('20250815_ETF_Options_Exhibits'!M636:M640),"")</f>
        <v/>
      </c>
      <c r="N640" s="3">
        <f>IF(ISNUMBER(AVERAGE('20250815_ETF_Options_Exhibits'!N636:N640)),AVERAGE('20250815_ETF_Options_Exhibits'!N636:N640),"")</f>
        <v/>
      </c>
      <c r="O640" s="3">
        <f>IF(ISNUMBER(AVERAGE('20250815_ETF_Options_Exhibits'!O636:O640)),AVERAGE('20250815_ETF_Options_Exhibits'!O636:O640),"")</f>
        <v/>
      </c>
      <c r="P640" s="3">
        <f>IF(ISNUMBER(AVERAGE('20250815_ETF_Options_Exhibits'!P636:P640)),AVERAGE('20250815_ETF_Options_Exhibits'!P636:P640),"")</f>
        <v/>
      </c>
      <c r="Q640" s="3">
        <f>IF(ISNUMBER(AVERAGE('20250815_ETF_Options_Exhibits'!Q636:Q640)),AVERAGE('20250815_ETF_Options_Exhibits'!Q636:Q640),"")</f>
        <v/>
      </c>
      <c r="R640" s="3">
        <f>IF(ISNUMBER(AVERAGE('20250815_ETF_Options_Exhibits'!R636:R640)),AVERAGE('20250815_ETF_Options_Exhibits'!R636:R640),"")</f>
        <v/>
      </c>
      <c r="S640" s="3">
        <f>IF(ISNUMBER(AVERAGE('20250815_ETF_Options_Exhibits'!S636:S640)),AVERAGE('20250815_ETF_Options_Exhibits'!S636:S640),"")</f>
        <v/>
      </c>
      <c r="T640" s="3">
        <f>IF(ISNUMBER(AVERAGE('20250815_ETF_Options_Exhibits'!T636:T640)),AVERAGE('20250815_ETF_Options_Exhibits'!T636:T640),"")</f>
        <v/>
      </c>
      <c r="U640" s="3">
        <f>IF(ISNUMBER(AVERAGE('20250815_ETF_Options_Exhibits'!U636:U640)),AVERAGE('20250815_ETF_Options_Exhibits'!U636:U640),"")</f>
        <v/>
      </c>
      <c r="V640" s="3">
        <f>IF(ISNUMBER(AVERAGE('20250815_ETF_Options_Exhibits'!V636:V640)),AVERAGE('20250815_ETF_Options_Exhibits'!V636:V640),"")</f>
        <v/>
      </c>
      <c r="W640" s="3">
        <f>IF(ISNUMBER(AVERAGE('20250815_ETF_Options_Exhibits'!W636:W640)),AVERAGE('20250815_ETF_Options_Exhibits'!W636:W640),"")</f>
        <v/>
      </c>
      <c r="X640" s="3">
        <f>IF(ISNUMBER(AVERAGE('20250815_ETF_Options_Exhibits'!X636:X640)),AVERAGE('20250815_ETF_Options_Exhibits'!X636:X640),"")</f>
        <v/>
      </c>
      <c r="Y640" s="3">
        <f>IF(ISNUMBER(AVERAGE('20250815_ETF_Options_Exhibits'!Y636:Y640)),AVERAGE('20250815_ETF_Options_Exhibits'!Y636:Y640),"")</f>
        <v/>
      </c>
      <c r="Z640" s="3">
        <f>IF(ISNUMBER(AVERAGE('20250815_ETF_Options_Exhibits'!Z636:Z640)),AVERAGE('20250815_ETF_Options_Exhibits'!Z636:Z640),"")</f>
        <v/>
      </c>
      <c r="AA640" s="3">
        <f>IF(ISNUMBER(AVERAGE('20250815_ETF_Options_Exhibits'!AA636:AA640)),AVERAGE('20250815_ETF_Options_Exhibits'!AA636:AA640),"")</f>
        <v/>
      </c>
    </row>
    <row r="641">
      <c r="A641" s="1" t="n">
        <v>42933</v>
      </c>
      <c r="B641" s="3">
        <f>IF(ISNUMBER(AVERAGE('20250815_ETF_Options_Exhibits'!B637:B641)),AVERAGE('20250815_ETF_Options_Exhibits'!B637:B641),"")</f>
        <v/>
      </c>
      <c r="C641" s="3">
        <f>IF(ISNUMBER(AVERAGE('20250815_ETF_Options_Exhibits'!C637:C641)),AVERAGE('20250815_ETF_Options_Exhibits'!C637:C641),"")</f>
        <v/>
      </c>
      <c r="D641" s="3">
        <f>IF(ISNUMBER(AVERAGE('20250815_ETF_Options_Exhibits'!D637:D641)),AVERAGE('20250815_ETF_Options_Exhibits'!D637:D641),"")</f>
        <v/>
      </c>
      <c r="E641" s="3">
        <f>IF(ISNUMBER(AVERAGE('20250815_ETF_Options_Exhibits'!E637:E641)),AVERAGE('20250815_ETF_Options_Exhibits'!E637:E641),"")</f>
        <v/>
      </c>
      <c r="F641" s="3">
        <f>IF(ISNUMBER(AVERAGE('20250815_ETF_Options_Exhibits'!F637:F641)),AVERAGE('20250815_ETF_Options_Exhibits'!F637:F641),"")</f>
        <v/>
      </c>
      <c r="G641" s="3">
        <f>IF(ISNUMBER(AVERAGE('20250815_ETF_Options_Exhibits'!G637:G641)),AVERAGE('20250815_ETF_Options_Exhibits'!G637:G641),"")</f>
        <v/>
      </c>
      <c r="H641" s="3">
        <f>IF(ISNUMBER(AVERAGE('20250815_ETF_Options_Exhibits'!H637:H641)),AVERAGE('20250815_ETF_Options_Exhibits'!H637:H641),"")</f>
        <v/>
      </c>
      <c r="I641" s="3">
        <f>IF(ISNUMBER(AVERAGE('20250815_ETF_Options_Exhibits'!I637:I641)),AVERAGE('20250815_ETF_Options_Exhibits'!I637:I641),"")</f>
        <v/>
      </c>
      <c r="J641" s="3">
        <f>IF(ISNUMBER(AVERAGE('20250815_ETF_Options_Exhibits'!J637:J641)),AVERAGE('20250815_ETF_Options_Exhibits'!J637:J641),"")</f>
        <v/>
      </c>
      <c r="K641" s="3">
        <f>IF(ISNUMBER(AVERAGE('20250815_ETF_Options_Exhibits'!K637:K641)),AVERAGE('20250815_ETF_Options_Exhibits'!K637:K641),"")</f>
        <v/>
      </c>
      <c r="L641" s="3">
        <f>IF(ISNUMBER(AVERAGE('20250815_ETF_Options_Exhibits'!L637:L641)),AVERAGE('20250815_ETF_Options_Exhibits'!L637:L641),"")</f>
        <v/>
      </c>
      <c r="M641" s="3">
        <f>IF(ISNUMBER(AVERAGE('20250815_ETF_Options_Exhibits'!M637:M641)),AVERAGE('20250815_ETF_Options_Exhibits'!M637:M641),"")</f>
        <v/>
      </c>
      <c r="N641" s="3">
        <f>IF(ISNUMBER(AVERAGE('20250815_ETF_Options_Exhibits'!N637:N641)),AVERAGE('20250815_ETF_Options_Exhibits'!N637:N641),"")</f>
        <v/>
      </c>
      <c r="O641" s="3">
        <f>IF(ISNUMBER(AVERAGE('20250815_ETF_Options_Exhibits'!O637:O641)),AVERAGE('20250815_ETF_Options_Exhibits'!O637:O641),"")</f>
        <v/>
      </c>
      <c r="P641" s="3">
        <f>IF(ISNUMBER(AVERAGE('20250815_ETF_Options_Exhibits'!P637:P641)),AVERAGE('20250815_ETF_Options_Exhibits'!P637:P641),"")</f>
        <v/>
      </c>
      <c r="Q641" s="3">
        <f>IF(ISNUMBER(AVERAGE('20250815_ETF_Options_Exhibits'!Q637:Q641)),AVERAGE('20250815_ETF_Options_Exhibits'!Q637:Q641),"")</f>
        <v/>
      </c>
      <c r="R641" s="3">
        <f>IF(ISNUMBER(AVERAGE('20250815_ETF_Options_Exhibits'!R637:R641)),AVERAGE('20250815_ETF_Options_Exhibits'!R637:R641),"")</f>
        <v/>
      </c>
      <c r="S641" s="3">
        <f>IF(ISNUMBER(AVERAGE('20250815_ETF_Options_Exhibits'!S637:S641)),AVERAGE('20250815_ETF_Options_Exhibits'!S637:S641),"")</f>
        <v/>
      </c>
      <c r="T641" s="3">
        <f>IF(ISNUMBER(AVERAGE('20250815_ETF_Options_Exhibits'!T637:T641)),AVERAGE('20250815_ETF_Options_Exhibits'!T637:T641),"")</f>
        <v/>
      </c>
      <c r="U641" s="3">
        <f>IF(ISNUMBER(AVERAGE('20250815_ETF_Options_Exhibits'!U637:U641)),AVERAGE('20250815_ETF_Options_Exhibits'!U637:U641),"")</f>
        <v/>
      </c>
      <c r="V641" s="3">
        <f>IF(ISNUMBER(AVERAGE('20250815_ETF_Options_Exhibits'!V637:V641)),AVERAGE('20250815_ETF_Options_Exhibits'!V637:V641),"")</f>
        <v/>
      </c>
      <c r="W641" s="3">
        <f>IF(ISNUMBER(AVERAGE('20250815_ETF_Options_Exhibits'!W637:W641)),AVERAGE('20250815_ETF_Options_Exhibits'!W637:W641),"")</f>
        <v/>
      </c>
      <c r="X641" s="3">
        <f>IF(ISNUMBER(AVERAGE('20250815_ETF_Options_Exhibits'!X637:X641)),AVERAGE('20250815_ETF_Options_Exhibits'!X637:X641),"")</f>
        <v/>
      </c>
      <c r="Y641" s="3">
        <f>IF(ISNUMBER(AVERAGE('20250815_ETF_Options_Exhibits'!Y637:Y641)),AVERAGE('20250815_ETF_Options_Exhibits'!Y637:Y641),"")</f>
        <v/>
      </c>
      <c r="Z641" s="3">
        <f>IF(ISNUMBER(AVERAGE('20250815_ETF_Options_Exhibits'!Z637:Z641)),AVERAGE('20250815_ETF_Options_Exhibits'!Z637:Z641),"")</f>
        <v/>
      </c>
      <c r="AA641" s="3">
        <f>IF(ISNUMBER(AVERAGE('20250815_ETF_Options_Exhibits'!AA637:AA641)),AVERAGE('20250815_ETF_Options_Exhibits'!AA637:AA641),"")</f>
        <v/>
      </c>
    </row>
    <row r="642">
      <c r="A642" s="1" t="n">
        <v>42934</v>
      </c>
      <c r="B642" s="3">
        <f>IF(ISNUMBER(AVERAGE('20250815_ETF_Options_Exhibits'!B638:B642)),AVERAGE('20250815_ETF_Options_Exhibits'!B638:B642),"")</f>
        <v/>
      </c>
      <c r="C642" s="3">
        <f>IF(ISNUMBER(AVERAGE('20250815_ETF_Options_Exhibits'!C638:C642)),AVERAGE('20250815_ETF_Options_Exhibits'!C638:C642),"")</f>
        <v/>
      </c>
      <c r="D642" s="3">
        <f>IF(ISNUMBER(AVERAGE('20250815_ETF_Options_Exhibits'!D638:D642)),AVERAGE('20250815_ETF_Options_Exhibits'!D638:D642),"")</f>
        <v/>
      </c>
      <c r="E642" s="3">
        <f>IF(ISNUMBER(AVERAGE('20250815_ETF_Options_Exhibits'!E638:E642)),AVERAGE('20250815_ETF_Options_Exhibits'!E638:E642),"")</f>
        <v/>
      </c>
      <c r="F642" s="3">
        <f>IF(ISNUMBER(AVERAGE('20250815_ETF_Options_Exhibits'!F638:F642)),AVERAGE('20250815_ETF_Options_Exhibits'!F638:F642),"")</f>
        <v/>
      </c>
      <c r="G642" s="3">
        <f>IF(ISNUMBER(AVERAGE('20250815_ETF_Options_Exhibits'!G638:G642)),AVERAGE('20250815_ETF_Options_Exhibits'!G638:G642),"")</f>
        <v/>
      </c>
      <c r="H642" s="3">
        <f>IF(ISNUMBER(AVERAGE('20250815_ETF_Options_Exhibits'!H638:H642)),AVERAGE('20250815_ETF_Options_Exhibits'!H638:H642),"")</f>
        <v/>
      </c>
      <c r="I642" s="3">
        <f>IF(ISNUMBER(AVERAGE('20250815_ETF_Options_Exhibits'!I638:I642)),AVERAGE('20250815_ETF_Options_Exhibits'!I638:I642),"")</f>
        <v/>
      </c>
      <c r="J642" s="3">
        <f>IF(ISNUMBER(AVERAGE('20250815_ETF_Options_Exhibits'!J638:J642)),AVERAGE('20250815_ETF_Options_Exhibits'!J638:J642),"")</f>
        <v/>
      </c>
      <c r="K642" s="3">
        <f>IF(ISNUMBER(AVERAGE('20250815_ETF_Options_Exhibits'!K638:K642)),AVERAGE('20250815_ETF_Options_Exhibits'!K638:K642),"")</f>
        <v/>
      </c>
      <c r="L642" s="3">
        <f>IF(ISNUMBER(AVERAGE('20250815_ETF_Options_Exhibits'!L638:L642)),AVERAGE('20250815_ETF_Options_Exhibits'!L638:L642),"")</f>
        <v/>
      </c>
      <c r="M642" s="3">
        <f>IF(ISNUMBER(AVERAGE('20250815_ETF_Options_Exhibits'!M638:M642)),AVERAGE('20250815_ETF_Options_Exhibits'!M638:M642),"")</f>
        <v/>
      </c>
      <c r="N642" s="3">
        <f>IF(ISNUMBER(AVERAGE('20250815_ETF_Options_Exhibits'!N638:N642)),AVERAGE('20250815_ETF_Options_Exhibits'!N638:N642),"")</f>
        <v/>
      </c>
      <c r="O642" s="3">
        <f>IF(ISNUMBER(AVERAGE('20250815_ETF_Options_Exhibits'!O638:O642)),AVERAGE('20250815_ETF_Options_Exhibits'!O638:O642),"")</f>
        <v/>
      </c>
      <c r="P642" s="3">
        <f>IF(ISNUMBER(AVERAGE('20250815_ETF_Options_Exhibits'!P638:P642)),AVERAGE('20250815_ETF_Options_Exhibits'!P638:P642),"")</f>
        <v/>
      </c>
      <c r="Q642" s="3">
        <f>IF(ISNUMBER(AVERAGE('20250815_ETF_Options_Exhibits'!Q638:Q642)),AVERAGE('20250815_ETF_Options_Exhibits'!Q638:Q642),"")</f>
        <v/>
      </c>
      <c r="R642" s="3">
        <f>IF(ISNUMBER(AVERAGE('20250815_ETF_Options_Exhibits'!R638:R642)),AVERAGE('20250815_ETF_Options_Exhibits'!R638:R642),"")</f>
        <v/>
      </c>
      <c r="S642" s="3">
        <f>IF(ISNUMBER(AVERAGE('20250815_ETF_Options_Exhibits'!S638:S642)),AVERAGE('20250815_ETF_Options_Exhibits'!S638:S642),"")</f>
        <v/>
      </c>
      <c r="T642" s="3">
        <f>IF(ISNUMBER(AVERAGE('20250815_ETF_Options_Exhibits'!T638:T642)),AVERAGE('20250815_ETF_Options_Exhibits'!T638:T642),"")</f>
        <v/>
      </c>
      <c r="U642" s="3">
        <f>IF(ISNUMBER(AVERAGE('20250815_ETF_Options_Exhibits'!U638:U642)),AVERAGE('20250815_ETF_Options_Exhibits'!U638:U642),"")</f>
        <v/>
      </c>
      <c r="V642" s="3">
        <f>IF(ISNUMBER(AVERAGE('20250815_ETF_Options_Exhibits'!V638:V642)),AVERAGE('20250815_ETF_Options_Exhibits'!V638:V642),"")</f>
        <v/>
      </c>
      <c r="W642" s="3">
        <f>IF(ISNUMBER(AVERAGE('20250815_ETF_Options_Exhibits'!W638:W642)),AVERAGE('20250815_ETF_Options_Exhibits'!W638:W642),"")</f>
        <v/>
      </c>
      <c r="X642" s="3">
        <f>IF(ISNUMBER(AVERAGE('20250815_ETF_Options_Exhibits'!X638:X642)),AVERAGE('20250815_ETF_Options_Exhibits'!X638:X642),"")</f>
        <v/>
      </c>
      <c r="Y642" s="3">
        <f>IF(ISNUMBER(AVERAGE('20250815_ETF_Options_Exhibits'!Y638:Y642)),AVERAGE('20250815_ETF_Options_Exhibits'!Y638:Y642),"")</f>
        <v/>
      </c>
      <c r="Z642" s="3">
        <f>IF(ISNUMBER(AVERAGE('20250815_ETF_Options_Exhibits'!Z638:Z642)),AVERAGE('20250815_ETF_Options_Exhibits'!Z638:Z642),"")</f>
        <v/>
      </c>
      <c r="AA642" s="3">
        <f>IF(ISNUMBER(AVERAGE('20250815_ETF_Options_Exhibits'!AA638:AA642)),AVERAGE('20250815_ETF_Options_Exhibits'!AA638:AA642),"")</f>
        <v/>
      </c>
    </row>
    <row r="643">
      <c r="A643" s="1" t="n">
        <v>42935</v>
      </c>
      <c r="B643" s="3">
        <f>IF(ISNUMBER(AVERAGE('20250815_ETF_Options_Exhibits'!B639:B643)),AVERAGE('20250815_ETF_Options_Exhibits'!B639:B643),"")</f>
        <v/>
      </c>
      <c r="C643" s="3">
        <f>IF(ISNUMBER(AVERAGE('20250815_ETF_Options_Exhibits'!C639:C643)),AVERAGE('20250815_ETF_Options_Exhibits'!C639:C643),"")</f>
        <v/>
      </c>
      <c r="D643" s="3">
        <f>IF(ISNUMBER(AVERAGE('20250815_ETF_Options_Exhibits'!D639:D643)),AVERAGE('20250815_ETF_Options_Exhibits'!D639:D643),"")</f>
        <v/>
      </c>
      <c r="E643" s="3">
        <f>IF(ISNUMBER(AVERAGE('20250815_ETF_Options_Exhibits'!E639:E643)),AVERAGE('20250815_ETF_Options_Exhibits'!E639:E643),"")</f>
        <v/>
      </c>
      <c r="F643" s="3">
        <f>IF(ISNUMBER(AVERAGE('20250815_ETF_Options_Exhibits'!F639:F643)),AVERAGE('20250815_ETF_Options_Exhibits'!F639:F643),"")</f>
        <v/>
      </c>
      <c r="G643" s="3">
        <f>IF(ISNUMBER(AVERAGE('20250815_ETF_Options_Exhibits'!G639:G643)),AVERAGE('20250815_ETF_Options_Exhibits'!G639:G643),"")</f>
        <v/>
      </c>
      <c r="H643" s="3">
        <f>IF(ISNUMBER(AVERAGE('20250815_ETF_Options_Exhibits'!H639:H643)),AVERAGE('20250815_ETF_Options_Exhibits'!H639:H643),"")</f>
        <v/>
      </c>
      <c r="I643" s="3">
        <f>IF(ISNUMBER(AVERAGE('20250815_ETF_Options_Exhibits'!I639:I643)),AVERAGE('20250815_ETF_Options_Exhibits'!I639:I643),"")</f>
        <v/>
      </c>
      <c r="J643" s="3">
        <f>IF(ISNUMBER(AVERAGE('20250815_ETF_Options_Exhibits'!J639:J643)),AVERAGE('20250815_ETF_Options_Exhibits'!J639:J643),"")</f>
        <v/>
      </c>
      <c r="K643" s="3">
        <f>IF(ISNUMBER(AVERAGE('20250815_ETF_Options_Exhibits'!K639:K643)),AVERAGE('20250815_ETF_Options_Exhibits'!K639:K643),"")</f>
        <v/>
      </c>
      <c r="L643" s="3">
        <f>IF(ISNUMBER(AVERAGE('20250815_ETF_Options_Exhibits'!L639:L643)),AVERAGE('20250815_ETF_Options_Exhibits'!L639:L643),"")</f>
        <v/>
      </c>
      <c r="M643" s="3">
        <f>IF(ISNUMBER(AVERAGE('20250815_ETF_Options_Exhibits'!M639:M643)),AVERAGE('20250815_ETF_Options_Exhibits'!M639:M643),"")</f>
        <v/>
      </c>
      <c r="N643" s="3">
        <f>IF(ISNUMBER(AVERAGE('20250815_ETF_Options_Exhibits'!N639:N643)),AVERAGE('20250815_ETF_Options_Exhibits'!N639:N643),"")</f>
        <v/>
      </c>
      <c r="O643" s="3">
        <f>IF(ISNUMBER(AVERAGE('20250815_ETF_Options_Exhibits'!O639:O643)),AVERAGE('20250815_ETF_Options_Exhibits'!O639:O643),"")</f>
        <v/>
      </c>
      <c r="P643" s="3">
        <f>IF(ISNUMBER(AVERAGE('20250815_ETF_Options_Exhibits'!P639:P643)),AVERAGE('20250815_ETF_Options_Exhibits'!P639:P643),"")</f>
        <v/>
      </c>
      <c r="Q643" s="3">
        <f>IF(ISNUMBER(AVERAGE('20250815_ETF_Options_Exhibits'!Q639:Q643)),AVERAGE('20250815_ETF_Options_Exhibits'!Q639:Q643),"")</f>
        <v/>
      </c>
      <c r="R643" s="3">
        <f>IF(ISNUMBER(AVERAGE('20250815_ETF_Options_Exhibits'!R639:R643)),AVERAGE('20250815_ETF_Options_Exhibits'!R639:R643),"")</f>
        <v/>
      </c>
      <c r="S643" s="3">
        <f>IF(ISNUMBER(AVERAGE('20250815_ETF_Options_Exhibits'!S639:S643)),AVERAGE('20250815_ETF_Options_Exhibits'!S639:S643),"")</f>
        <v/>
      </c>
      <c r="T643" s="3">
        <f>IF(ISNUMBER(AVERAGE('20250815_ETF_Options_Exhibits'!T639:T643)),AVERAGE('20250815_ETF_Options_Exhibits'!T639:T643),"")</f>
        <v/>
      </c>
      <c r="U643" s="3">
        <f>IF(ISNUMBER(AVERAGE('20250815_ETF_Options_Exhibits'!U639:U643)),AVERAGE('20250815_ETF_Options_Exhibits'!U639:U643),"")</f>
        <v/>
      </c>
      <c r="V643" s="3">
        <f>IF(ISNUMBER(AVERAGE('20250815_ETF_Options_Exhibits'!V639:V643)),AVERAGE('20250815_ETF_Options_Exhibits'!V639:V643),"")</f>
        <v/>
      </c>
      <c r="W643" s="3">
        <f>IF(ISNUMBER(AVERAGE('20250815_ETF_Options_Exhibits'!W639:W643)),AVERAGE('20250815_ETF_Options_Exhibits'!W639:W643),"")</f>
        <v/>
      </c>
      <c r="X643" s="3">
        <f>IF(ISNUMBER(AVERAGE('20250815_ETF_Options_Exhibits'!X639:X643)),AVERAGE('20250815_ETF_Options_Exhibits'!X639:X643),"")</f>
        <v/>
      </c>
      <c r="Y643" s="3">
        <f>IF(ISNUMBER(AVERAGE('20250815_ETF_Options_Exhibits'!Y639:Y643)),AVERAGE('20250815_ETF_Options_Exhibits'!Y639:Y643),"")</f>
        <v/>
      </c>
      <c r="Z643" s="3">
        <f>IF(ISNUMBER(AVERAGE('20250815_ETF_Options_Exhibits'!Z639:Z643)),AVERAGE('20250815_ETF_Options_Exhibits'!Z639:Z643),"")</f>
        <v/>
      </c>
      <c r="AA643" s="3">
        <f>IF(ISNUMBER(AVERAGE('20250815_ETF_Options_Exhibits'!AA639:AA643)),AVERAGE('20250815_ETF_Options_Exhibits'!AA639:AA643),"")</f>
        <v/>
      </c>
    </row>
    <row r="644">
      <c r="A644" s="1" t="n">
        <v>42936</v>
      </c>
      <c r="B644" s="3">
        <f>IF(ISNUMBER(AVERAGE('20250815_ETF_Options_Exhibits'!B640:B644)),AVERAGE('20250815_ETF_Options_Exhibits'!B640:B644),"")</f>
        <v/>
      </c>
      <c r="C644" s="3">
        <f>IF(ISNUMBER(AVERAGE('20250815_ETF_Options_Exhibits'!C640:C644)),AVERAGE('20250815_ETF_Options_Exhibits'!C640:C644),"")</f>
        <v/>
      </c>
      <c r="D644" s="3">
        <f>IF(ISNUMBER(AVERAGE('20250815_ETF_Options_Exhibits'!D640:D644)),AVERAGE('20250815_ETF_Options_Exhibits'!D640:D644),"")</f>
        <v/>
      </c>
      <c r="E644" s="3">
        <f>IF(ISNUMBER(AVERAGE('20250815_ETF_Options_Exhibits'!E640:E644)),AVERAGE('20250815_ETF_Options_Exhibits'!E640:E644),"")</f>
        <v/>
      </c>
      <c r="F644" s="3">
        <f>IF(ISNUMBER(AVERAGE('20250815_ETF_Options_Exhibits'!F640:F644)),AVERAGE('20250815_ETF_Options_Exhibits'!F640:F644),"")</f>
        <v/>
      </c>
      <c r="G644" s="3">
        <f>IF(ISNUMBER(AVERAGE('20250815_ETF_Options_Exhibits'!G640:G644)),AVERAGE('20250815_ETF_Options_Exhibits'!G640:G644),"")</f>
        <v/>
      </c>
      <c r="H644" s="3">
        <f>IF(ISNUMBER(AVERAGE('20250815_ETF_Options_Exhibits'!H640:H644)),AVERAGE('20250815_ETF_Options_Exhibits'!H640:H644),"")</f>
        <v/>
      </c>
      <c r="I644" s="3">
        <f>IF(ISNUMBER(AVERAGE('20250815_ETF_Options_Exhibits'!I640:I644)),AVERAGE('20250815_ETF_Options_Exhibits'!I640:I644),"")</f>
        <v/>
      </c>
      <c r="J644" s="3">
        <f>IF(ISNUMBER(AVERAGE('20250815_ETF_Options_Exhibits'!J640:J644)),AVERAGE('20250815_ETF_Options_Exhibits'!J640:J644),"")</f>
        <v/>
      </c>
      <c r="K644" s="3">
        <f>IF(ISNUMBER(AVERAGE('20250815_ETF_Options_Exhibits'!K640:K644)),AVERAGE('20250815_ETF_Options_Exhibits'!K640:K644),"")</f>
        <v/>
      </c>
      <c r="L644" s="3">
        <f>IF(ISNUMBER(AVERAGE('20250815_ETF_Options_Exhibits'!L640:L644)),AVERAGE('20250815_ETF_Options_Exhibits'!L640:L644),"")</f>
        <v/>
      </c>
      <c r="M644" s="3">
        <f>IF(ISNUMBER(AVERAGE('20250815_ETF_Options_Exhibits'!M640:M644)),AVERAGE('20250815_ETF_Options_Exhibits'!M640:M644),"")</f>
        <v/>
      </c>
      <c r="N644" s="3">
        <f>IF(ISNUMBER(AVERAGE('20250815_ETF_Options_Exhibits'!N640:N644)),AVERAGE('20250815_ETF_Options_Exhibits'!N640:N644),"")</f>
        <v/>
      </c>
      <c r="O644" s="3">
        <f>IF(ISNUMBER(AVERAGE('20250815_ETF_Options_Exhibits'!O640:O644)),AVERAGE('20250815_ETF_Options_Exhibits'!O640:O644),"")</f>
        <v/>
      </c>
      <c r="P644" s="3">
        <f>IF(ISNUMBER(AVERAGE('20250815_ETF_Options_Exhibits'!P640:P644)),AVERAGE('20250815_ETF_Options_Exhibits'!P640:P644),"")</f>
        <v/>
      </c>
      <c r="Q644" s="3">
        <f>IF(ISNUMBER(AVERAGE('20250815_ETF_Options_Exhibits'!Q640:Q644)),AVERAGE('20250815_ETF_Options_Exhibits'!Q640:Q644),"")</f>
        <v/>
      </c>
      <c r="R644" s="3">
        <f>IF(ISNUMBER(AVERAGE('20250815_ETF_Options_Exhibits'!R640:R644)),AVERAGE('20250815_ETF_Options_Exhibits'!R640:R644),"")</f>
        <v/>
      </c>
      <c r="S644" s="3">
        <f>IF(ISNUMBER(AVERAGE('20250815_ETF_Options_Exhibits'!S640:S644)),AVERAGE('20250815_ETF_Options_Exhibits'!S640:S644),"")</f>
        <v/>
      </c>
      <c r="T644" s="3">
        <f>IF(ISNUMBER(AVERAGE('20250815_ETF_Options_Exhibits'!T640:T644)),AVERAGE('20250815_ETF_Options_Exhibits'!T640:T644),"")</f>
        <v/>
      </c>
      <c r="U644" s="3">
        <f>IF(ISNUMBER(AVERAGE('20250815_ETF_Options_Exhibits'!U640:U644)),AVERAGE('20250815_ETF_Options_Exhibits'!U640:U644),"")</f>
        <v/>
      </c>
      <c r="V644" s="3">
        <f>IF(ISNUMBER(AVERAGE('20250815_ETF_Options_Exhibits'!V640:V644)),AVERAGE('20250815_ETF_Options_Exhibits'!V640:V644),"")</f>
        <v/>
      </c>
      <c r="W644" s="3">
        <f>IF(ISNUMBER(AVERAGE('20250815_ETF_Options_Exhibits'!W640:W644)),AVERAGE('20250815_ETF_Options_Exhibits'!W640:W644),"")</f>
        <v/>
      </c>
      <c r="X644" s="3">
        <f>IF(ISNUMBER(AVERAGE('20250815_ETF_Options_Exhibits'!X640:X644)),AVERAGE('20250815_ETF_Options_Exhibits'!X640:X644),"")</f>
        <v/>
      </c>
      <c r="Y644" s="3">
        <f>IF(ISNUMBER(AVERAGE('20250815_ETF_Options_Exhibits'!Y640:Y644)),AVERAGE('20250815_ETF_Options_Exhibits'!Y640:Y644),"")</f>
        <v/>
      </c>
      <c r="Z644" s="3">
        <f>IF(ISNUMBER(AVERAGE('20250815_ETF_Options_Exhibits'!Z640:Z644)),AVERAGE('20250815_ETF_Options_Exhibits'!Z640:Z644),"")</f>
        <v/>
      </c>
      <c r="AA644" s="3">
        <f>IF(ISNUMBER(AVERAGE('20250815_ETF_Options_Exhibits'!AA640:AA644)),AVERAGE('20250815_ETF_Options_Exhibits'!AA640:AA644),"")</f>
        <v/>
      </c>
    </row>
    <row r="645">
      <c r="A645" s="1" t="n">
        <v>42937</v>
      </c>
      <c r="B645" s="3">
        <f>IF(ISNUMBER(AVERAGE('20250815_ETF_Options_Exhibits'!B641:B645)),AVERAGE('20250815_ETF_Options_Exhibits'!B641:B645),"")</f>
        <v/>
      </c>
      <c r="C645" s="3">
        <f>IF(ISNUMBER(AVERAGE('20250815_ETF_Options_Exhibits'!C641:C645)),AVERAGE('20250815_ETF_Options_Exhibits'!C641:C645),"")</f>
        <v/>
      </c>
      <c r="D645" s="3">
        <f>IF(ISNUMBER(AVERAGE('20250815_ETF_Options_Exhibits'!D641:D645)),AVERAGE('20250815_ETF_Options_Exhibits'!D641:D645),"")</f>
        <v/>
      </c>
      <c r="E645" s="3">
        <f>IF(ISNUMBER(AVERAGE('20250815_ETF_Options_Exhibits'!E641:E645)),AVERAGE('20250815_ETF_Options_Exhibits'!E641:E645),"")</f>
        <v/>
      </c>
      <c r="F645" s="3">
        <f>IF(ISNUMBER(AVERAGE('20250815_ETF_Options_Exhibits'!F641:F645)),AVERAGE('20250815_ETF_Options_Exhibits'!F641:F645),"")</f>
        <v/>
      </c>
      <c r="G645" s="3">
        <f>IF(ISNUMBER(AVERAGE('20250815_ETF_Options_Exhibits'!G641:G645)),AVERAGE('20250815_ETF_Options_Exhibits'!G641:G645),"")</f>
        <v/>
      </c>
      <c r="H645" s="3">
        <f>IF(ISNUMBER(AVERAGE('20250815_ETF_Options_Exhibits'!H641:H645)),AVERAGE('20250815_ETF_Options_Exhibits'!H641:H645),"")</f>
        <v/>
      </c>
      <c r="I645" s="3">
        <f>IF(ISNUMBER(AVERAGE('20250815_ETF_Options_Exhibits'!I641:I645)),AVERAGE('20250815_ETF_Options_Exhibits'!I641:I645),"")</f>
        <v/>
      </c>
      <c r="J645" s="3">
        <f>IF(ISNUMBER(AVERAGE('20250815_ETF_Options_Exhibits'!J641:J645)),AVERAGE('20250815_ETF_Options_Exhibits'!J641:J645),"")</f>
        <v/>
      </c>
      <c r="K645" s="3">
        <f>IF(ISNUMBER(AVERAGE('20250815_ETF_Options_Exhibits'!K641:K645)),AVERAGE('20250815_ETF_Options_Exhibits'!K641:K645),"")</f>
        <v/>
      </c>
      <c r="L645" s="3">
        <f>IF(ISNUMBER(AVERAGE('20250815_ETF_Options_Exhibits'!L641:L645)),AVERAGE('20250815_ETF_Options_Exhibits'!L641:L645),"")</f>
        <v/>
      </c>
      <c r="M645" s="3">
        <f>IF(ISNUMBER(AVERAGE('20250815_ETF_Options_Exhibits'!M641:M645)),AVERAGE('20250815_ETF_Options_Exhibits'!M641:M645),"")</f>
        <v/>
      </c>
      <c r="N645" s="3">
        <f>IF(ISNUMBER(AVERAGE('20250815_ETF_Options_Exhibits'!N641:N645)),AVERAGE('20250815_ETF_Options_Exhibits'!N641:N645),"")</f>
        <v/>
      </c>
      <c r="O645" s="3">
        <f>IF(ISNUMBER(AVERAGE('20250815_ETF_Options_Exhibits'!O641:O645)),AVERAGE('20250815_ETF_Options_Exhibits'!O641:O645),"")</f>
        <v/>
      </c>
      <c r="P645" s="3">
        <f>IF(ISNUMBER(AVERAGE('20250815_ETF_Options_Exhibits'!P641:P645)),AVERAGE('20250815_ETF_Options_Exhibits'!P641:P645),"")</f>
        <v/>
      </c>
      <c r="Q645" s="3">
        <f>IF(ISNUMBER(AVERAGE('20250815_ETF_Options_Exhibits'!Q641:Q645)),AVERAGE('20250815_ETF_Options_Exhibits'!Q641:Q645),"")</f>
        <v/>
      </c>
      <c r="R645" s="3">
        <f>IF(ISNUMBER(AVERAGE('20250815_ETF_Options_Exhibits'!R641:R645)),AVERAGE('20250815_ETF_Options_Exhibits'!R641:R645),"")</f>
        <v/>
      </c>
      <c r="S645" s="3">
        <f>IF(ISNUMBER(AVERAGE('20250815_ETF_Options_Exhibits'!S641:S645)),AVERAGE('20250815_ETF_Options_Exhibits'!S641:S645),"")</f>
        <v/>
      </c>
      <c r="T645" s="3">
        <f>IF(ISNUMBER(AVERAGE('20250815_ETF_Options_Exhibits'!T641:T645)),AVERAGE('20250815_ETF_Options_Exhibits'!T641:T645),"")</f>
        <v/>
      </c>
      <c r="U645" s="3">
        <f>IF(ISNUMBER(AVERAGE('20250815_ETF_Options_Exhibits'!U641:U645)),AVERAGE('20250815_ETF_Options_Exhibits'!U641:U645),"")</f>
        <v/>
      </c>
      <c r="V645" s="3">
        <f>IF(ISNUMBER(AVERAGE('20250815_ETF_Options_Exhibits'!V641:V645)),AVERAGE('20250815_ETF_Options_Exhibits'!V641:V645),"")</f>
        <v/>
      </c>
      <c r="W645" s="3">
        <f>IF(ISNUMBER(AVERAGE('20250815_ETF_Options_Exhibits'!W641:W645)),AVERAGE('20250815_ETF_Options_Exhibits'!W641:W645),"")</f>
        <v/>
      </c>
      <c r="X645" s="3">
        <f>IF(ISNUMBER(AVERAGE('20250815_ETF_Options_Exhibits'!X641:X645)),AVERAGE('20250815_ETF_Options_Exhibits'!X641:X645),"")</f>
        <v/>
      </c>
      <c r="Y645" s="3">
        <f>IF(ISNUMBER(AVERAGE('20250815_ETF_Options_Exhibits'!Y641:Y645)),AVERAGE('20250815_ETF_Options_Exhibits'!Y641:Y645),"")</f>
        <v/>
      </c>
      <c r="Z645" s="3">
        <f>IF(ISNUMBER(AVERAGE('20250815_ETF_Options_Exhibits'!Z641:Z645)),AVERAGE('20250815_ETF_Options_Exhibits'!Z641:Z645),"")</f>
        <v/>
      </c>
      <c r="AA645" s="3">
        <f>IF(ISNUMBER(AVERAGE('20250815_ETF_Options_Exhibits'!AA641:AA645)),AVERAGE('20250815_ETF_Options_Exhibits'!AA641:AA645),"")</f>
        <v/>
      </c>
    </row>
    <row r="646">
      <c r="A646" s="1" t="n">
        <v>42940</v>
      </c>
      <c r="B646" s="3">
        <f>IF(ISNUMBER(AVERAGE('20250815_ETF_Options_Exhibits'!B642:B646)),AVERAGE('20250815_ETF_Options_Exhibits'!B642:B646),"")</f>
        <v/>
      </c>
      <c r="C646" s="3">
        <f>IF(ISNUMBER(AVERAGE('20250815_ETF_Options_Exhibits'!C642:C646)),AVERAGE('20250815_ETF_Options_Exhibits'!C642:C646),"")</f>
        <v/>
      </c>
      <c r="D646" s="3">
        <f>IF(ISNUMBER(AVERAGE('20250815_ETF_Options_Exhibits'!D642:D646)),AVERAGE('20250815_ETF_Options_Exhibits'!D642:D646),"")</f>
        <v/>
      </c>
      <c r="E646" s="3">
        <f>IF(ISNUMBER(AVERAGE('20250815_ETF_Options_Exhibits'!E642:E646)),AVERAGE('20250815_ETF_Options_Exhibits'!E642:E646),"")</f>
        <v/>
      </c>
      <c r="F646" s="3">
        <f>IF(ISNUMBER(AVERAGE('20250815_ETF_Options_Exhibits'!F642:F646)),AVERAGE('20250815_ETF_Options_Exhibits'!F642:F646),"")</f>
        <v/>
      </c>
      <c r="G646" s="3">
        <f>IF(ISNUMBER(AVERAGE('20250815_ETF_Options_Exhibits'!G642:G646)),AVERAGE('20250815_ETF_Options_Exhibits'!G642:G646),"")</f>
        <v/>
      </c>
      <c r="H646" s="3">
        <f>IF(ISNUMBER(AVERAGE('20250815_ETF_Options_Exhibits'!H642:H646)),AVERAGE('20250815_ETF_Options_Exhibits'!H642:H646),"")</f>
        <v/>
      </c>
      <c r="I646" s="3">
        <f>IF(ISNUMBER(AVERAGE('20250815_ETF_Options_Exhibits'!I642:I646)),AVERAGE('20250815_ETF_Options_Exhibits'!I642:I646),"")</f>
        <v/>
      </c>
      <c r="J646" s="3">
        <f>IF(ISNUMBER(AVERAGE('20250815_ETF_Options_Exhibits'!J642:J646)),AVERAGE('20250815_ETF_Options_Exhibits'!J642:J646),"")</f>
        <v/>
      </c>
      <c r="K646" s="3">
        <f>IF(ISNUMBER(AVERAGE('20250815_ETF_Options_Exhibits'!K642:K646)),AVERAGE('20250815_ETF_Options_Exhibits'!K642:K646),"")</f>
        <v/>
      </c>
      <c r="L646" s="3">
        <f>IF(ISNUMBER(AVERAGE('20250815_ETF_Options_Exhibits'!L642:L646)),AVERAGE('20250815_ETF_Options_Exhibits'!L642:L646),"")</f>
        <v/>
      </c>
      <c r="M646" s="3">
        <f>IF(ISNUMBER(AVERAGE('20250815_ETF_Options_Exhibits'!M642:M646)),AVERAGE('20250815_ETF_Options_Exhibits'!M642:M646),"")</f>
        <v/>
      </c>
      <c r="N646" s="3">
        <f>IF(ISNUMBER(AVERAGE('20250815_ETF_Options_Exhibits'!N642:N646)),AVERAGE('20250815_ETF_Options_Exhibits'!N642:N646),"")</f>
        <v/>
      </c>
      <c r="O646" s="3">
        <f>IF(ISNUMBER(AVERAGE('20250815_ETF_Options_Exhibits'!O642:O646)),AVERAGE('20250815_ETF_Options_Exhibits'!O642:O646),"")</f>
        <v/>
      </c>
      <c r="P646" s="3">
        <f>IF(ISNUMBER(AVERAGE('20250815_ETF_Options_Exhibits'!P642:P646)),AVERAGE('20250815_ETF_Options_Exhibits'!P642:P646),"")</f>
        <v/>
      </c>
      <c r="Q646" s="3">
        <f>IF(ISNUMBER(AVERAGE('20250815_ETF_Options_Exhibits'!Q642:Q646)),AVERAGE('20250815_ETF_Options_Exhibits'!Q642:Q646),"")</f>
        <v/>
      </c>
      <c r="R646" s="3">
        <f>IF(ISNUMBER(AVERAGE('20250815_ETF_Options_Exhibits'!R642:R646)),AVERAGE('20250815_ETF_Options_Exhibits'!R642:R646),"")</f>
        <v/>
      </c>
      <c r="S646" s="3">
        <f>IF(ISNUMBER(AVERAGE('20250815_ETF_Options_Exhibits'!S642:S646)),AVERAGE('20250815_ETF_Options_Exhibits'!S642:S646),"")</f>
        <v/>
      </c>
      <c r="T646" s="3">
        <f>IF(ISNUMBER(AVERAGE('20250815_ETF_Options_Exhibits'!T642:T646)),AVERAGE('20250815_ETF_Options_Exhibits'!T642:T646),"")</f>
        <v/>
      </c>
      <c r="U646" s="3">
        <f>IF(ISNUMBER(AVERAGE('20250815_ETF_Options_Exhibits'!U642:U646)),AVERAGE('20250815_ETF_Options_Exhibits'!U642:U646),"")</f>
        <v/>
      </c>
      <c r="V646" s="3">
        <f>IF(ISNUMBER(AVERAGE('20250815_ETF_Options_Exhibits'!V642:V646)),AVERAGE('20250815_ETF_Options_Exhibits'!V642:V646),"")</f>
        <v/>
      </c>
      <c r="W646" s="3">
        <f>IF(ISNUMBER(AVERAGE('20250815_ETF_Options_Exhibits'!W642:W646)),AVERAGE('20250815_ETF_Options_Exhibits'!W642:W646),"")</f>
        <v/>
      </c>
      <c r="X646" s="3">
        <f>IF(ISNUMBER(AVERAGE('20250815_ETF_Options_Exhibits'!X642:X646)),AVERAGE('20250815_ETF_Options_Exhibits'!X642:X646),"")</f>
        <v/>
      </c>
      <c r="Y646" s="3">
        <f>IF(ISNUMBER(AVERAGE('20250815_ETF_Options_Exhibits'!Y642:Y646)),AVERAGE('20250815_ETF_Options_Exhibits'!Y642:Y646),"")</f>
        <v/>
      </c>
      <c r="Z646" s="3">
        <f>IF(ISNUMBER(AVERAGE('20250815_ETF_Options_Exhibits'!Z642:Z646)),AVERAGE('20250815_ETF_Options_Exhibits'!Z642:Z646),"")</f>
        <v/>
      </c>
      <c r="AA646" s="3">
        <f>IF(ISNUMBER(AVERAGE('20250815_ETF_Options_Exhibits'!AA642:AA646)),AVERAGE('20250815_ETF_Options_Exhibits'!AA642:AA646),"")</f>
        <v/>
      </c>
    </row>
    <row r="647">
      <c r="A647" s="1" t="n">
        <v>42941</v>
      </c>
      <c r="B647" s="3">
        <f>IF(ISNUMBER(AVERAGE('20250815_ETF_Options_Exhibits'!B643:B647)),AVERAGE('20250815_ETF_Options_Exhibits'!B643:B647),"")</f>
        <v/>
      </c>
      <c r="C647" s="3">
        <f>IF(ISNUMBER(AVERAGE('20250815_ETF_Options_Exhibits'!C643:C647)),AVERAGE('20250815_ETF_Options_Exhibits'!C643:C647),"")</f>
        <v/>
      </c>
      <c r="D647" s="3">
        <f>IF(ISNUMBER(AVERAGE('20250815_ETF_Options_Exhibits'!D643:D647)),AVERAGE('20250815_ETF_Options_Exhibits'!D643:D647),"")</f>
        <v/>
      </c>
      <c r="E647" s="3">
        <f>IF(ISNUMBER(AVERAGE('20250815_ETF_Options_Exhibits'!E643:E647)),AVERAGE('20250815_ETF_Options_Exhibits'!E643:E647),"")</f>
        <v/>
      </c>
      <c r="F647" s="3">
        <f>IF(ISNUMBER(AVERAGE('20250815_ETF_Options_Exhibits'!F643:F647)),AVERAGE('20250815_ETF_Options_Exhibits'!F643:F647),"")</f>
        <v/>
      </c>
      <c r="G647" s="3">
        <f>IF(ISNUMBER(AVERAGE('20250815_ETF_Options_Exhibits'!G643:G647)),AVERAGE('20250815_ETF_Options_Exhibits'!G643:G647),"")</f>
        <v/>
      </c>
      <c r="H647" s="3">
        <f>IF(ISNUMBER(AVERAGE('20250815_ETF_Options_Exhibits'!H643:H647)),AVERAGE('20250815_ETF_Options_Exhibits'!H643:H647),"")</f>
        <v/>
      </c>
      <c r="I647" s="3">
        <f>IF(ISNUMBER(AVERAGE('20250815_ETF_Options_Exhibits'!I643:I647)),AVERAGE('20250815_ETF_Options_Exhibits'!I643:I647),"")</f>
        <v/>
      </c>
      <c r="J647" s="3">
        <f>IF(ISNUMBER(AVERAGE('20250815_ETF_Options_Exhibits'!J643:J647)),AVERAGE('20250815_ETF_Options_Exhibits'!J643:J647),"")</f>
        <v/>
      </c>
      <c r="K647" s="3">
        <f>IF(ISNUMBER(AVERAGE('20250815_ETF_Options_Exhibits'!K643:K647)),AVERAGE('20250815_ETF_Options_Exhibits'!K643:K647),"")</f>
        <v/>
      </c>
      <c r="L647" s="3">
        <f>IF(ISNUMBER(AVERAGE('20250815_ETF_Options_Exhibits'!L643:L647)),AVERAGE('20250815_ETF_Options_Exhibits'!L643:L647),"")</f>
        <v/>
      </c>
      <c r="M647" s="3">
        <f>IF(ISNUMBER(AVERAGE('20250815_ETF_Options_Exhibits'!M643:M647)),AVERAGE('20250815_ETF_Options_Exhibits'!M643:M647),"")</f>
        <v/>
      </c>
      <c r="N647" s="3">
        <f>IF(ISNUMBER(AVERAGE('20250815_ETF_Options_Exhibits'!N643:N647)),AVERAGE('20250815_ETF_Options_Exhibits'!N643:N647),"")</f>
        <v/>
      </c>
      <c r="O647" s="3">
        <f>IF(ISNUMBER(AVERAGE('20250815_ETF_Options_Exhibits'!O643:O647)),AVERAGE('20250815_ETF_Options_Exhibits'!O643:O647),"")</f>
        <v/>
      </c>
      <c r="P647" s="3">
        <f>IF(ISNUMBER(AVERAGE('20250815_ETF_Options_Exhibits'!P643:P647)),AVERAGE('20250815_ETF_Options_Exhibits'!P643:P647),"")</f>
        <v/>
      </c>
      <c r="Q647" s="3">
        <f>IF(ISNUMBER(AVERAGE('20250815_ETF_Options_Exhibits'!Q643:Q647)),AVERAGE('20250815_ETF_Options_Exhibits'!Q643:Q647),"")</f>
        <v/>
      </c>
      <c r="R647" s="3">
        <f>IF(ISNUMBER(AVERAGE('20250815_ETF_Options_Exhibits'!R643:R647)),AVERAGE('20250815_ETF_Options_Exhibits'!R643:R647),"")</f>
        <v/>
      </c>
      <c r="S647" s="3">
        <f>IF(ISNUMBER(AVERAGE('20250815_ETF_Options_Exhibits'!S643:S647)),AVERAGE('20250815_ETF_Options_Exhibits'!S643:S647),"")</f>
        <v/>
      </c>
      <c r="T647" s="3">
        <f>IF(ISNUMBER(AVERAGE('20250815_ETF_Options_Exhibits'!T643:T647)),AVERAGE('20250815_ETF_Options_Exhibits'!T643:T647),"")</f>
        <v/>
      </c>
      <c r="U647" s="3">
        <f>IF(ISNUMBER(AVERAGE('20250815_ETF_Options_Exhibits'!U643:U647)),AVERAGE('20250815_ETF_Options_Exhibits'!U643:U647),"")</f>
        <v/>
      </c>
      <c r="V647" s="3">
        <f>IF(ISNUMBER(AVERAGE('20250815_ETF_Options_Exhibits'!V643:V647)),AVERAGE('20250815_ETF_Options_Exhibits'!V643:V647),"")</f>
        <v/>
      </c>
      <c r="W647" s="3">
        <f>IF(ISNUMBER(AVERAGE('20250815_ETF_Options_Exhibits'!W643:W647)),AVERAGE('20250815_ETF_Options_Exhibits'!W643:W647),"")</f>
        <v/>
      </c>
      <c r="X647" s="3">
        <f>IF(ISNUMBER(AVERAGE('20250815_ETF_Options_Exhibits'!X643:X647)),AVERAGE('20250815_ETF_Options_Exhibits'!X643:X647),"")</f>
        <v/>
      </c>
      <c r="Y647" s="3">
        <f>IF(ISNUMBER(AVERAGE('20250815_ETF_Options_Exhibits'!Y643:Y647)),AVERAGE('20250815_ETF_Options_Exhibits'!Y643:Y647),"")</f>
        <v/>
      </c>
      <c r="Z647" s="3">
        <f>IF(ISNUMBER(AVERAGE('20250815_ETF_Options_Exhibits'!Z643:Z647)),AVERAGE('20250815_ETF_Options_Exhibits'!Z643:Z647),"")</f>
        <v/>
      </c>
      <c r="AA647" s="3">
        <f>IF(ISNUMBER(AVERAGE('20250815_ETF_Options_Exhibits'!AA643:AA647)),AVERAGE('20250815_ETF_Options_Exhibits'!AA643:AA647),"")</f>
        <v/>
      </c>
    </row>
    <row r="648">
      <c r="A648" s="1" t="n">
        <v>42942</v>
      </c>
      <c r="B648" s="3">
        <f>IF(ISNUMBER(AVERAGE('20250815_ETF_Options_Exhibits'!B644:B648)),AVERAGE('20250815_ETF_Options_Exhibits'!B644:B648),"")</f>
        <v/>
      </c>
      <c r="C648" s="3">
        <f>IF(ISNUMBER(AVERAGE('20250815_ETF_Options_Exhibits'!C644:C648)),AVERAGE('20250815_ETF_Options_Exhibits'!C644:C648),"")</f>
        <v/>
      </c>
      <c r="D648" s="3">
        <f>IF(ISNUMBER(AVERAGE('20250815_ETF_Options_Exhibits'!D644:D648)),AVERAGE('20250815_ETF_Options_Exhibits'!D644:D648),"")</f>
        <v/>
      </c>
      <c r="E648" s="3">
        <f>IF(ISNUMBER(AVERAGE('20250815_ETF_Options_Exhibits'!E644:E648)),AVERAGE('20250815_ETF_Options_Exhibits'!E644:E648),"")</f>
        <v/>
      </c>
      <c r="F648" s="3">
        <f>IF(ISNUMBER(AVERAGE('20250815_ETF_Options_Exhibits'!F644:F648)),AVERAGE('20250815_ETF_Options_Exhibits'!F644:F648),"")</f>
        <v/>
      </c>
      <c r="G648" s="3">
        <f>IF(ISNUMBER(AVERAGE('20250815_ETF_Options_Exhibits'!G644:G648)),AVERAGE('20250815_ETF_Options_Exhibits'!G644:G648),"")</f>
        <v/>
      </c>
      <c r="H648" s="3">
        <f>IF(ISNUMBER(AVERAGE('20250815_ETF_Options_Exhibits'!H644:H648)),AVERAGE('20250815_ETF_Options_Exhibits'!H644:H648),"")</f>
        <v/>
      </c>
      <c r="I648" s="3">
        <f>IF(ISNUMBER(AVERAGE('20250815_ETF_Options_Exhibits'!I644:I648)),AVERAGE('20250815_ETF_Options_Exhibits'!I644:I648),"")</f>
        <v/>
      </c>
      <c r="J648" s="3">
        <f>IF(ISNUMBER(AVERAGE('20250815_ETF_Options_Exhibits'!J644:J648)),AVERAGE('20250815_ETF_Options_Exhibits'!J644:J648),"")</f>
        <v/>
      </c>
      <c r="K648" s="3">
        <f>IF(ISNUMBER(AVERAGE('20250815_ETF_Options_Exhibits'!K644:K648)),AVERAGE('20250815_ETF_Options_Exhibits'!K644:K648),"")</f>
        <v/>
      </c>
      <c r="L648" s="3">
        <f>IF(ISNUMBER(AVERAGE('20250815_ETF_Options_Exhibits'!L644:L648)),AVERAGE('20250815_ETF_Options_Exhibits'!L644:L648),"")</f>
        <v/>
      </c>
      <c r="M648" s="3">
        <f>IF(ISNUMBER(AVERAGE('20250815_ETF_Options_Exhibits'!M644:M648)),AVERAGE('20250815_ETF_Options_Exhibits'!M644:M648),"")</f>
        <v/>
      </c>
      <c r="N648" s="3">
        <f>IF(ISNUMBER(AVERAGE('20250815_ETF_Options_Exhibits'!N644:N648)),AVERAGE('20250815_ETF_Options_Exhibits'!N644:N648),"")</f>
        <v/>
      </c>
      <c r="O648" s="3">
        <f>IF(ISNUMBER(AVERAGE('20250815_ETF_Options_Exhibits'!O644:O648)),AVERAGE('20250815_ETF_Options_Exhibits'!O644:O648),"")</f>
        <v/>
      </c>
      <c r="P648" s="3">
        <f>IF(ISNUMBER(AVERAGE('20250815_ETF_Options_Exhibits'!P644:P648)),AVERAGE('20250815_ETF_Options_Exhibits'!P644:P648),"")</f>
        <v/>
      </c>
      <c r="Q648" s="3">
        <f>IF(ISNUMBER(AVERAGE('20250815_ETF_Options_Exhibits'!Q644:Q648)),AVERAGE('20250815_ETF_Options_Exhibits'!Q644:Q648),"")</f>
        <v/>
      </c>
      <c r="R648" s="3">
        <f>IF(ISNUMBER(AVERAGE('20250815_ETF_Options_Exhibits'!R644:R648)),AVERAGE('20250815_ETF_Options_Exhibits'!R644:R648),"")</f>
        <v/>
      </c>
      <c r="S648" s="3">
        <f>IF(ISNUMBER(AVERAGE('20250815_ETF_Options_Exhibits'!S644:S648)),AVERAGE('20250815_ETF_Options_Exhibits'!S644:S648),"")</f>
        <v/>
      </c>
      <c r="T648" s="3">
        <f>IF(ISNUMBER(AVERAGE('20250815_ETF_Options_Exhibits'!T644:T648)),AVERAGE('20250815_ETF_Options_Exhibits'!T644:T648),"")</f>
        <v/>
      </c>
      <c r="U648" s="3">
        <f>IF(ISNUMBER(AVERAGE('20250815_ETF_Options_Exhibits'!U644:U648)),AVERAGE('20250815_ETF_Options_Exhibits'!U644:U648),"")</f>
        <v/>
      </c>
      <c r="V648" s="3">
        <f>IF(ISNUMBER(AVERAGE('20250815_ETF_Options_Exhibits'!V644:V648)),AVERAGE('20250815_ETF_Options_Exhibits'!V644:V648),"")</f>
        <v/>
      </c>
      <c r="W648" s="3">
        <f>IF(ISNUMBER(AVERAGE('20250815_ETF_Options_Exhibits'!W644:W648)),AVERAGE('20250815_ETF_Options_Exhibits'!W644:W648),"")</f>
        <v/>
      </c>
      <c r="X648" s="3">
        <f>IF(ISNUMBER(AVERAGE('20250815_ETF_Options_Exhibits'!X644:X648)),AVERAGE('20250815_ETF_Options_Exhibits'!X644:X648),"")</f>
        <v/>
      </c>
      <c r="Y648" s="3">
        <f>IF(ISNUMBER(AVERAGE('20250815_ETF_Options_Exhibits'!Y644:Y648)),AVERAGE('20250815_ETF_Options_Exhibits'!Y644:Y648),"")</f>
        <v/>
      </c>
      <c r="Z648" s="3">
        <f>IF(ISNUMBER(AVERAGE('20250815_ETF_Options_Exhibits'!Z644:Z648)),AVERAGE('20250815_ETF_Options_Exhibits'!Z644:Z648),"")</f>
        <v/>
      </c>
      <c r="AA648" s="3">
        <f>IF(ISNUMBER(AVERAGE('20250815_ETF_Options_Exhibits'!AA644:AA648)),AVERAGE('20250815_ETF_Options_Exhibits'!AA644:AA648),"")</f>
        <v/>
      </c>
    </row>
    <row r="649">
      <c r="A649" s="1" t="n">
        <v>42943</v>
      </c>
      <c r="B649" s="3">
        <f>IF(ISNUMBER(AVERAGE('20250815_ETF_Options_Exhibits'!B645:B649)),AVERAGE('20250815_ETF_Options_Exhibits'!B645:B649),"")</f>
        <v/>
      </c>
      <c r="C649" s="3">
        <f>IF(ISNUMBER(AVERAGE('20250815_ETF_Options_Exhibits'!C645:C649)),AVERAGE('20250815_ETF_Options_Exhibits'!C645:C649),"")</f>
        <v/>
      </c>
      <c r="D649" s="3">
        <f>IF(ISNUMBER(AVERAGE('20250815_ETF_Options_Exhibits'!D645:D649)),AVERAGE('20250815_ETF_Options_Exhibits'!D645:D649),"")</f>
        <v/>
      </c>
      <c r="E649" s="3">
        <f>IF(ISNUMBER(AVERAGE('20250815_ETF_Options_Exhibits'!E645:E649)),AVERAGE('20250815_ETF_Options_Exhibits'!E645:E649),"")</f>
        <v/>
      </c>
      <c r="F649" s="3">
        <f>IF(ISNUMBER(AVERAGE('20250815_ETF_Options_Exhibits'!F645:F649)),AVERAGE('20250815_ETF_Options_Exhibits'!F645:F649),"")</f>
        <v/>
      </c>
      <c r="G649" s="3">
        <f>IF(ISNUMBER(AVERAGE('20250815_ETF_Options_Exhibits'!G645:G649)),AVERAGE('20250815_ETF_Options_Exhibits'!G645:G649),"")</f>
        <v/>
      </c>
      <c r="H649" s="3">
        <f>IF(ISNUMBER(AVERAGE('20250815_ETF_Options_Exhibits'!H645:H649)),AVERAGE('20250815_ETF_Options_Exhibits'!H645:H649),"")</f>
        <v/>
      </c>
      <c r="I649" s="3">
        <f>IF(ISNUMBER(AVERAGE('20250815_ETF_Options_Exhibits'!I645:I649)),AVERAGE('20250815_ETF_Options_Exhibits'!I645:I649),"")</f>
        <v/>
      </c>
      <c r="J649" s="3">
        <f>IF(ISNUMBER(AVERAGE('20250815_ETF_Options_Exhibits'!J645:J649)),AVERAGE('20250815_ETF_Options_Exhibits'!J645:J649),"")</f>
        <v/>
      </c>
      <c r="K649" s="3">
        <f>IF(ISNUMBER(AVERAGE('20250815_ETF_Options_Exhibits'!K645:K649)),AVERAGE('20250815_ETF_Options_Exhibits'!K645:K649),"")</f>
        <v/>
      </c>
      <c r="L649" s="3">
        <f>IF(ISNUMBER(AVERAGE('20250815_ETF_Options_Exhibits'!L645:L649)),AVERAGE('20250815_ETF_Options_Exhibits'!L645:L649),"")</f>
        <v/>
      </c>
      <c r="M649" s="3">
        <f>IF(ISNUMBER(AVERAGE('20250815_ETF_Options_Exhibits'!M645:M649)),AVERAGE('20250815_ETF_Options_Exhibits'!M645:M649),"")</f>
        <v/>
      </c>
      <c r="N649" s="3">
        <f>IF(ISNUMBER(AVERAGE('20250815_ETF_Options_Exhibits'!N645:N649)),AVERAGE('20250815_ETF_Options_Exhibits'!N645:N649),"")</f>
        <v/>
      </c>
      <c r="O649" s="3">
        <f>IF(ISNUMBER(AVERAGE('20250815_ETF_Options_Exhibits'!O645:O649)),AVERAGE('20250815_ETF_Options_Exhibits'!O645:O649),"")</f>
        <v/>
      </c>
      <c r="P649" s="3">
        <f>IF(ISNUMBER(AVERAGE('20250815_ETF_Options_Exhibits'!P645:P649)),AVERAGE('20250815_ETF_Options_Exhibits'!P645:P649),"")</f>
        <v/>
      </c>
      <c r="Q649" s="3">
        <f>IF(ISNUMBER(AVERAGE('20250815_ETF_Options_Exhibits'!Q645:Q649)),AVERAGE('20250815_ETF_Options_Exhibits'!Q645:Q649),"")</f>
        <v/>
      </c>
      <c r="R649" s="3">
        <f>IF(ISNUMBER(AVERAGE('20250815_ETF_Options_Exhibits'!R645:R649)),AVERAGE('20250815_ETF_Options_Exhibits'!R645:R649),"")</f>
        <v/>
      </c>
      <c r="S649" s="3">
        <f>IF(ISNUMBER(AVERAGE('20250815_ETF_Options_Exhibits'!S645:S649)),AVERAGE('20250815_ETF_Options_Exhibits'!S645:S649),"")</f>
        <v/>
      </c>
      <c r="T649" s="3">
        <f>IF(ISNUMBER(AVERAGE('20250815_ETF_Options_Exhibits'!T645:T649)),AVERAGE('20250815_ETF_Options_Exhibits'!T645:T649),"")</f>
        <v/>
      </c>
      <c r="U649" s="3">
        <f>IF(ISNUMBER(AVERAGE('20250815_ETF_Options_Exhibits'!U645:U649)),AVERAGE('20250815_ETF_Options_Exhibits'!U645:U649),"")</f>
        <v/>
      </c>
      <c r="V649" s="3">
        <f>IF(ISNUMBER(AVERAGE('20250815_ETF_Options_Exhibits'!V645:V649)),AVERAGE('20250815_ETF_Options_Exhibits'!V645:V649),"")</f>
        <v/>
      </c>
      <c r="W649" s="3">
        <f>IF(ISNUMBER(AVERAGE('20250815_ETF_Options_Exhibits'!W645:W649)),AVERAGE('20250815_ETF_Options_Exhibits'!W645:W649),"")</f>
        <v/>
      </c>
      <c r="X649" s="3">
        <f>IF(ISNUMBER(AVERAGE('20250815_ETF_Options_Exhibits'!X645:X649)),AVERAGE('20250815_ETF_Options_Exhibits'!X645:X649),"")</f>
        <v/>
      </c>
      <c r="Y649" s="3">
        <f>IF(ISNUMBER(AVERAGE('20250815_ETF_Options_Exhibits'!Y645:Y649)),AVERAGE('20250815_ETF_Options_Exhibits'!Y645:Y649),"")</f>
        <v/>
      </c>
      <c r="Z649" s="3">
        <f>IF(ISNUMBER(AVERAGE('20250815_ETF_Options_Exhibits'!Z645:Z649)),AVERAGE('20250815_ETF_Options_Exhibits'!Z645:Z649),"")</f>
        <v/>
      </c>
      <c r="AA649" s="3">
        <f>IF(ISNUMBER(AVERAGE('20250815_ETF_Options_Exhibits'!AA645:AA649)),AVERAGE('20250815_ETF_Options_Exhibits'!AA645:AA649),"")</f>
        <v/>
      </c>
    </row>
    <row r="650">
      <c r="A650" s="1" t="n">
        <v>42944</v>
      </c>
      <c r="B650" s="3">
        <f>IF(ISNUMBER(AVERAGE('20250815_ETF_Options_Exhibits'!B646:B650)),AVERAGE('20250815_ETF_Options_Exhibits'!B646:B650),"")</f>
        <v/>
      </c>
      <c r="C650" s="3">
        <f>IF(ISNUMBER(AVERAGE('20250815_ETF_Options_Exhibits'!C646:C650)),AVERAGE('20250815_ETF_Options_Exhibits'!C646:C650),"")</f>
        <v/>
      </c>
      <c r="D650" s="3">
        <f>IF(ISNUMBER(AVERAGE('20250815_ETF_Options_Exhibits'!D646:D650)),AVERAGE('20250815_ETF_Options_Exhibits'!D646:D650),"")</f>
        <v/>
      </c>
      <c r="E650" s="3">
        <f>IF(ISNUMBER(AVERAGE('20250815_ETF_Options_Exhibits'!E646:E650)),AVERAGE('20250815_ETF_Options_Exhibits'!E646:E650),"")</f>
        <v/>
      </c>
      <c r="F650" s="3">
        <f>IF(ISNUMBER(AVERAGE('20250815_ETF_Options_Exhibits'!F646:F650)),AVERAGE('20250815_ETF_Options_Exhibits'!F646:F650),"")</f>
        <v/>
      </c>
      <c r="G650" s="3">
        <f>IF(ISNUMBER(AVERAGE('20250815_ETF_Options_Exhibits'!G646:G650)),AVERAGE('20250815_ETF_Options_Exhibits'!G646:G650),"")</f>
        <v/>
      </c>
      <c r="H650" s="3">
        <f>IF(ISNUMBER(AVERAGE('20250815_ETF_Options_Exhibits'!H646:H650)),AVERAGE('20250815_ETF_Options_Exhibits'!H646:H650),"")</f>
        <v/>
      </c>
      <c r="I650" s="3">
        <f>IF(ISNUMBER(AVERAGE('20250815_ETF_Options_Exhibits'!I646:I650)),AVERAGE('20250815_ETF_Options_Exhibits'!I646:I650),"")</f>
        <v/>
      </c>
      <c r="J650" s="3">
        <f>IF(ISNUMBER(AVERAGE('20250815_ETF_Options_Exhibits'!J646:J650)),AVERAGE('20250815_ETF_Options_Exhibits'!J646:J650),"")</f>
        <v/>
      </c>
      <c r="K650" s="3">
        <f>IF(ISNUMBER(AVERAGE('20250815_ETF_Options_Exhibits'!K646:K650)),AVERAGE('20250815_ETF_Options_Exhibits'!K646:K650),"")</f>
        <v/>
      </c>
      <c r="L650" s="3">
        <f>IF(ISNUMBER(AVERAGE('20250815_ETF_Options_Exhibits'!L646:L650)),AVERAGE('20250815_ETF_Options_Exhibits'!L646:L650),"")</f>
        <v/>
      </c>
      <c r="M650" s="3">
        <f>IF(ISNUMBER(AVERAGE('20250815_ETF_Options_Exhibits'!M646:M650)),AVERAGE('20250815_ETF_Options_Exhibits'!M646:M650),"")</f>
        <v/>
      </c>
      <c r="N650" s="3">
        <f>IF(ISNUMBER(AVERAGE('20250815_ETF_Options_Exhibits'!N646:N650)),AVERAGE('20250815_ETF_Options_Exhibits'!N646:N650),"")</f>
        <v/>
      </c>
      <c r="O650" s="3">
        <f>IF(ISNUMBER(AVERAGE('20250815_ETF_Options_Exhibits'!O646:O650)),AVERAGE('20250815_ETF_Options_Exhibits'!O646:O650),"")</f>
        <v/>
      </c>
      <c r="P650" s="3">
        <f>IF(ISNUMBER(AVERAGE('20250815_ETF_Options_Exhibits'!P646:P650)),AVERAGE('20250815_ETF_Options_Exhibits'!P646:P650),"")</f>
        <v/>
      </c>
      <c r="Q650" s="3">
        <f>IF(ISNUMBER(AVERAGE('20250815_ETF_Options_Exhibits'!Q646:Q650)),AVERAGE('20250815_ETF_Options_Exhibits'!Q646:Q650),"")</f>
        <v/>
      </c>
      <c r="R650" s="3">
        <f>IF(ISNUMBER(AVERAGE('20250815_ETF_Options_Exhibits'!R646:R650)),AVERAGE('20250815_ETF_Options_Exhibits'!R646:R650),"")</f>
        <v/>
      </c>
      <c r="S650" s="3">
        <f>IF(ISNUMBER(AVERAGE('20250815_ETF_Options_Exhibits'!S646:S650)),AVERAGE('20250815_ETF_Options_Exhibits'!S646:S650),"")</f>
        <v/>
      </c>
      <c r="T650" s="3">
        <f>IF(ISNUMBER(AVERAGE('20250815_ETF_Options_Exhibits'!T646:T650)),AVERAGE('20250815_ETF_Options_Exhibits'!T646:T650),"")</f>
        <v/>
      </c>
      <c r="U650" s="3">
        <f>IF(ISNUMBER(AVERAGE('20250815_ETF_Options_Exhibits'!U646:U650)),AVERAGE('20250815_ETF_Options_Exhibits'!U646:U650),"")</f>
        <v/>
      </c>
      <c r="V650" s="3">
        <f>IF(ISNUMBER(AVERAGE('20250815_ETF_Options_Exhibits'!V646:V650)),AVERAGE('20250815_ETF_Options_Exhibits'!V646:V650),"")</f>
        <v/>
      </c>
      <c r="W650" s="3">
        <f>IF(ISNUMBER(AVERAGE('20250815_ETF_Options_Exhibits'!W646:W650)),AVERAGE('20250815_ETF_Options_Exhibits'!W646:W650),"")</f>
        <v/>
      </c>
      <c r="X650" s="3">
        <f>IF(ISNUMBER(AVERAGE('20250815_ETF_Options_Exhibits'!X646:X650)),AVERAGE('20250815_ETF_Options_Exhibits'!X646:X650),"")</f>
        <v/>
      </c>
      <c r="Y650" s="3">
        <f>IF(ISNUMBER(AVERAGE('20250815_ETF_Options_Exhibits'!Y646:Y650)),AVERAGE('20250815_ETF_Options_Exhibits'!Y646:Y650),"")</f>
        <v/>
      </c>
      <c r="Z650" s="3">
        <f>IF(ISNUMBER(AVERAGE('20250815_ETF_Options_Exhibits'!Z646:Z650)),AVERAGE('20250815_ETF_Options_Exhibits'!Z646:Z650),"")</f>
        <v/>
      </c>
      <c r="AA650" s="3">
        <f>IF(ISNUMBER(AVERAGE('20250815_ETF_Options_Exhibits'!AA646:AA650)),AVERAGE('20250815_ETF_Options_Exhibits'!AA646:AA650),"")</f>
        <v/>
      </c>
    </row>
    <row r="651">
      <c r="A651" s="1" t="n">
        <v>42947</v>
      </c>
      <c r="B651" s="3">
        <f>IF(ISNUMBER(AVERAGE('20250815_ETF_Options_Exhibits'!B647:B651)),AVERAGE('20250815_ETF_Options_Exhibits'!B647:B651),"")</f>
        <v/>
      </c>
      <c r="C651" s="3">
        <f>IF(ISNUMBER(AVERAGE('20250815_ETF_Options_Exhibits'!C647:C651)),AVERAGE('20250815_ETF_Options_Exhibits'!C647:C651),"")</f>
        <v/>
      </c>
      <c r="D651" s="3">
        <f>IF(ISNUMBER(AVERAGE('20250815_ETF_Options_Exhibits'!D647:D651)),AVERAGE('20250815_ETF_Options_Exhibits'!D647:D651),"")</f>
        <v/>
      </c>
      <c r="E651" s="3">
        <f>IF(ISNUMBER(AVERAGE('20250815_ETF_Options_Exhibits'!E647:E651)),AVERAGE('20250815_ETF_Options_Exhibits'!E647:E651),"")</f>
        <v/>
      </c>
      <c r="F651" s="3">
        <f>IF(ISNUMBER(AVERAGE('20250815_ETF_Options_Exhibits'!F647:F651)),AVERAGE('20250815_ETF_Options_Exhibits'!F647:F651),"")</f>
        <v/>
      </c>
      <c r="G651" s="3">
        <f>IF(ISNUMBER(AVERAGE('20250815_ETF_Options_Exhibits'!G647:G651)),AVERAGE('20250815_ETF_Options_Exhibits'!G647:G651),"")</f>
        <v/>
      </c>
      <c r="H651" s="3">
        <f>IF(ISNUMBER(AVERAGE('20250815_ETF_Options_Exhibits'!H647:H651)),AVERAGE('20250815_ETF_Options_Exhibits'!H647:H651),"")</f>
        <v/>
      </c>
      <c r="I651" s="3">
        <f>IF(ISNUMBER(AVERAGE('20250815_ETF_Options_Exhibits'!I647:I651)),AVERAGE('20250815_ETF_Options_Exhibits'!I647:I651),"")</f>
        <v/>
      </c>
      <c r="J651" s="3">
        <f>IF(ISNUMBER(AVERAGE('20250815_ETF_Options_Exhibits'!J647:J651)),AVERAGE('20250815_ETF_Options_Exhibits'!J647:J651),"")</f>
        <v/>
      </c>
      <c r="K651" s="3">
        <f>IF(ISNUMBER(AVERAGE('20250815_ETF_Options_Exhibits'!K647:K651)),AVERAGE('20250815_ETF_Options_Exhibits'!K647:K651),"")</f>
        <v/>
      </c>
      <c r="L651" s="3">
        <f>IF(ISNUMBER(AVERAGE('20250815_ETF_Options_Exhibits'!L647:L651)),AVERAGE('20250815_ETF_Options_Exhibits'!L647:L651),"")</f>
        <v/>
      </c>
      <c r="M651" s="3">
        <f>IF(ISNUMBER(AVERAGE('20250815_ETF_Options_Exhibits'!M647:M651)),AVERAGE('20250815_ETF_Options_Exhibits'!M647:M651),"")</f>
        <v/>
      </c>
      <c r="N651" s="3">
        <f>IF(ISNUMBER(AVERAGE('20250815_ETF_Options_Exhibits'!N647:N651)),AVERAGE('20250815_ETF_Options_Exhibits'!N647:N651),"")</f>
        <v/>
      </c>
      <c r="O651" s="3">
        <f>IF(ISNUMBER(AVERAGE('20250815_ETF_Options_Exhibits'!O647:O651)),AVERAGE('20250815_ETF_Options_Exhibits'!O647:O651),"")</f>
        <v/>
      </c>
      <c r="P651" s="3">
        <f>IF(ISNUMBER(AVERAGE('20250815_ETF_Options_Exhibits'!P647:P651)),AVERAGE('20250815_ETF_Options_Exhibits'!P647:P651),"")</f>
        <v/>
      </c>
      <c r="Q651" s="3">
        <f>IF(ISNUMBER(AVERAGE('20250815_ETF_Options_Exhibits'!Q647:Q651)),AVERAGE('20250815_ETF_Options_Exhibits'!Q647:Q651),"")</f>
        <v/>
      </c>
      <c r="R651" s="3">
        <f>IF(ISNUMBER(AVERAGE('20250815_ETF_Options_Exhibits'!R647:R651)),AVERAGE('20250815_ETF_Options_Exhibits'!R647:R651),"")</f>
        <v/>
      </c>
      <c r="S651" s="3">
        <f>IF(ISNUMBER(AVERAGE('20250815_ETF_Options_Exhibits'!S647:S651)),AVERAGE('20250815_ETF_Options_Exhibits'!S647:S651),"")</f>
        <v/>
      </c>
      <c r="T651" s="3">
        <f>IF(ISNUMBER(AVERAGE('20250815_ETF_Options_Exhibits'!T647:T651)),AVERAGE('20250815_ETF_Options_Exhibits'!T647:T651),"")</f>
        <v/>
      </c>
      <c r="U651" s="3">
        <f>IF(ISNUMBER(AVERAGE('20250815_ETF_Options_Exhibits'!U647:U651)),AVERAGE('20250815_ETF_Options_Exhibits'!U647:U651),"")</f>
        <v/>
      </c>
      <c r="V651" s="3">
        <f>IF(ISNUMBER(AVERAGE('20250815_ETF_Options_Exhibits'!V647:V651)),AVERAGE('20250815_ETF_Options_Exhibits'!V647:V651),"")</f>
        <v/>
      </c>
      <c r="W651" s="3">
        <f>IF(ISNUMBER(AVERAGE('20250815_ETF_Options_Exhibits'!W647:W651)),AVERAGE('20250815_ETF_Options_Exhibits'!W647:W651),"")</f>
        <v/>
      </c>
      <c r="X651" s="3">
        <f>IF(ISNUMBER(AVERAGE('20250815_ETF_Options_Exhibits'!X647:X651)),AVERAGE('20250815_ETF_Options_Exhibits'!X647:X651),"")</f>
        <v/>
      </c>
      <c r="Y651" s="3">
        <f>IF(ISNUMBER(AVERAGE('20250815_ETF_Options_Exhibits'!Y647:Y651)),AVERAGE('20250815_ETF_Options_Exhibits'!Y647:Y651),"")</f>
        <v/>
      </c>
      <c r="Z651" s="3">
        <f>IF(ISNUMBER(AVERAGE('20250815_ETF_Options_Exhibits'!Z647:Z651)),AVERAGE('20250815_ETF_Options_Exhibits'!Z647:Z651),"")</f>
        <v/>
      </c>
      <c r="AA651" s="3">
        <f>IF(ISNUMBER(AVERAGE('20250815_ETF_Options_Exhibits'!AA647:AA651)),AVERAGE('20250815_ETF_Options_Exhibits'!AA647:AA651),"")</f>
        <v/>
      </c>
    </row>
    <row r="652">
      <c r="A652" s="1" t="n">
        <v>42948</v>
      </c>
      <c r="B652" s="3">
        <f>IF(ISNUMBER(AVERAGE('20250815_ETF_Options_Exhibits'!B648:B652)),AVERAGE('20250815_ETF_Options_Exhibits'!B648:B652),"")</f>
        <v/>
      </c>
      <c r="C652" s="3">
        <f>IF(ISNUMBER(AVERAGE('20250815_ETF_Options_Exhibits'!C648:C652)),AVERAGE('20250815_ETF_Options_Exhibits'!C648:C652),"")</f>
        <v/>
      </c>
      <c r="D652" s="3">
        <f>IF(ISNUMBER(AVERAGE('20250815_ETF_Options_Exhibits'!D648:D652)),AVERAGE('20250815_ETF_Options_Exhibits'!D648:D652),"")</f>
        <v/>
      </c>
      <c r="E652" s="3">
        <f>IF(ISNUMBER(AVERAGE('20250815_ETF_Options_Exhibits'!E648:E652)),AVERAGE('20250815_ETF_Options_Exhibits'!E648:E652),"")</f>
        <v/>
      </c>
      <c r="F652" s="3">
        <f>IF(ISNUMBER(AVERAGE('20250815_ETF_Options_Exhibits'!F648:F652)),AVERAGE('20250815_ETF_Options_Exhibits'!F648:F652),"")</f>
        <v/>
      </c>
      <c r="G652" s="3">
        <f>IF(ISNUMBER(AVERAGE('20250815_ETF_Options_Exhibits'!G648:G652)),AVERAGE('20250815_ETF_Options_Exhibits'!G648:G652),"")</f>
        <v/>
      </c>
      <c r="H652" s="3">
        <f>IF(ISNUMBER(AVERAGE('20250815_ETF_Options_Exhibits'!H648:H652)),AVERAGE('20250815_ETF_Options_Exhibits'!H648:H652),"")</f>
        <v/>
      </c>
      <c r="I652" s="3">
        <f>IF(ISNUMBER(AVERAGE('20250815_ETF_Options_Exhibits'!I648:I652)),AVERAGE('20250815_ETF_Options_Exhibits'!I648:I652),"")</f>
        <v/>
      </c>
      <c r="J652" s="3">
        <f>IF(ISNUMBER(AVERAGE('20250815_ETF_Options_Exhibits'!J648:J652)),AVERAGE('20250815_ETF_Options_Exhibits'!J648:J652),"")</f>
        <v/>
      </c>
      <c r="K652" s="3">
        <f>IF(ISNUMBER(AVERAGE('20250815_ETF_Options_Exhibits'!K648:K652)),AVERAGE('20250815_ETF_Options_Exhibits'!K648:K652),"")</f>
        <v/>
      </c>
      <c r="L652" s="3">
        <f>IF(ISNUMBER(AVERAGE('20250815_ETF_Options_Exhibits'!L648:L652)),AVERAGE('20250815_ETF_Options_Exhibits'!L648:L652),"")</f>
        <v/>
      </c>
      <c r="M652" s="3">
        <f>IF(ISNUMBER(AVERAGE('20250815_ETF_Options_Exhibits'!M648:M652)),AVERAGE('20250815_ETF_Options_Exhibits'!M648:M652),"")</f>
        <v/>
      </c>
      <c r="N652" s="3">
        <f>IF(ISNUMBER(AVERAGE('20250815_ETF_Options_Exhibits'!N648:N652)),AVERAGE('20250815_ETF_Options_Exhibits'!N648:N652),"")</f>
        <v/>
      </c>
      <c r="O652" s="3">
        <f>IF(ISNUMBER(AVERAGE('20250815_ETF_Options_Exhibits'!O648:O652)),AVERAGE('20250815_ETF_Options_Exhibits'!O648:O652),"")</f>
        <v/>
      </c>
      <c r="P652" s="3">
        <f>IF(ISNUMBER(AVERAGE('20250815_ETF_Options_Exhibits'!P648:P652)),AVERAGE('20250815_ETF_Options_Exhibits'!P648:P652),"")</f>
        <v/>
      </c>
      <c r="Q652" s="3">
        <f>IF(ISNUMBER(AVERAGE('20250815_ETF_Options_Exhibits'!Q648:Q652)),AVERAGE('20250815_ETF_Options_Exhibits'!Q648:Q652),"")</f>
        <v/>
      </c>
      <c r="R652" s="3">
        <f>IF(ISNUMBER(AVERAGE('20250815_ETF_Options_Exhibits'!R648:R652)),AVERAGE('20250815_ETF_Options_Exhibits'!R648:R652),"")</f>
        <v/>
      </c>
      <c r="S652" s="3">
        <f>IF(ISNUMBER(AVERAGE('20250815_ETF_Options_Exhibits'!S648:S652)),AVERAGE('20250815_ETF_Options_Exhibits'!S648:S652),"")</f>
        <v/>
      </c>
      <c r="T652" s="3">
        <f>IF(ISNUMBER(AVERAGE('20250815_ETF_Options_Exhibits'!T648:T652)),AVERAGE('20250815_ETF_Options_Exhibits'!T648:T652),"")</f>
        <v/>
      </c>
      <c r="U652" s="3">
        <f>IF(ISNUMBER(AVERAGE('20250815_ETF_Options_Exhibits'!U648:U652)),AVERAGE('20250815_ETF_Options_Exhibits'!U648:U652),"")</f>
        <v/>
      </c>
      <c r="V652" s="3">
        <f>IF(ISNUMBER(AVERAGE('20250815_ETF_Options_Exhibits'!V648:V652)),AVERAGE('20250815_ETF_Options_Exhibits'!V648:V652),"")</f>
        <v/>
      </c>
      <c r="W652" s="3">
        <f>IF(ISNUMBER(AVERAGE('20250815_ETF_Options_Exhibits'!W648:W652)),AVERAGE('20250815_ETF_Options_Exhibits'!W648:W652),"")</f>
        <v/>
      </c>
      <c r="X652" s="3">
        <f>IF(ISNUMBER(AVERAGE('20250815_ETF_Options_Exhibits'!X648:X652)),AVERAGE('20250815_ETF_Options_Exhibits'!X648:X652),"")</f>
        <v/>
      </c>
      <c r="Y652" s="3">
        <f>IF(ISNUMBER(AVERAGE('20250815_ETF_Options_Exhibits'!Y648:Y652)),AVERAGE('20250815_ETF_Options_Exhibits'!Y648:Y652),"")</f>
        <v/>
      </c>
      <c r="Z652" s="3">
        <f>IF(ISNUMBER(AVERAGE('20250815_ETF_Options_Exhibits'!Z648:Z652)),AVERAGE('20250815_ETF_Options_Exhibits'!Z648:Z652),"")</f>
        <v/>
      </c>
      <c r="AA652" s="3">
        <f>IF(ISNUMBER(AVERAGE('20250815_ETF_Options_Exhibits'!AA648:AA652)),AVERAGE('20250815_ETF_Options_Exhibits'!AA648:AA652),"")</f>
        <v/>
      </c>
    </row>
    <row r="653">
      <c r="A653" s="1" t="n">
        <v>42949</v>
      </c>
      <c r="B653" s="3">
        <f>IF(ISNUMBER(AVERAGE('20250815_ETF_Options_Exhibits'!B649:B653)),AVERAGE('20250815_ETF_Options_Exhibits'!B649:B653),"")</f>
        <v/>
      </c>
      <c r="C653" s="3">
        <f>IF(ISNUMBER(AVERAGE('20250815_ETF_Options_Exhibits'!C649:C653)),AVERAGE('20250815_ETF_Options_Exhibits'!C649:C653),"")</f>
        <v/>
      </c>
      <c r="D653" s="3">
        <f>IF(ISNUMBER(AVERAGE('20250815_ETF_Options_Exhibits'!D649:D653)),AVERAGE('20250815_ETF_Options_Exhibits'!D649:D653),"")</f>
        <v/>
      </c>
      <c r="E653" s="3">
        <f>IF(ISNUMBER(AVERAGE('20250815_ETF_Options_Exhibits'!E649:E653)),AVERAGE('20250815_ETF_Options_Exhibits'!E649:E653),"")</f>
        <v/>
      </c>
      <c r="F653" s="3">
        <f>IF(ISNUMBER(AVERAGE('20250815_ETF_Options_Exhibits'!F649:F653)),AVERAGE('20250815_ETF_Options_Exhibits'!F649:F653),"")</f>
        <v/>
      </c>
      <c r="G653" s="3">
        <f>IF(ISNUMBER(AVERAGE('20250815_ETF_Options_Exhibits'!G649:G653)),AVERAGE('20250815_ETF_Options_Exhibits'!G649:G653),"")</f>
        <v/>
      </c>
      <c r="H653" s="3">
        <f>IF(ISNUMBER(AVERAGE('20250815_ETF_Options_Exhibits'!H649:H653)),AVERAGE('20250815_ETF_Options_Exhibits'!H649:H653),"")</f>
        <v/>
      </c>
      <c r="I653" s="3">
        <f>IF(ISNUMBER(AVERAGE('20250815_ETF_Options_Exhibits'!I649:I653)),AVERAGE('20250815_ETF_Options_Exhibits'!I649:I653),"")</f>
        <v/>
      </c>
      <c r="J653" s="3">
        <f>IF(ISNUMBER(AVERAGE('20250815_ETF_Options_Exhibits'!J649:J653)),AVERAGE('20250815_ETF_Options_Exhibits'!J649:J653),"")</f>
        <v/>
      </c>
      <c r="K653" s="3">
        <f>IF(ISNUMBER(AVERAGE('20250815_ETF_Options_Exhibits'!K649:K653)),AVERAGE('20250815_ETF_Options_Exhibits'!K649:K653),"")</f>
        <v/>
      </c>
      <c r="L653" s="3">
        <f>IF(ISNUMBER(AVERAGE('20250815_ETF_Options_Exhibits'!L649:L653)),AVERAGE('20250815_ETF_Options_Exhibits'!L649:L653),"")</f>
        <v/>
      </c>
      <c r="M653" s="3">
        <f>IF(ISNUMBER(AVERAGE('20250815_ETF_Options_Exhibits'!M649:M653)),AVERAGE('20250815_ETF_Options_Exhibits'!M649:M653),"")</f>
        <v/>
      </c>
      <c r="N653" s="3">
        <f>IF(ISNUMBER(AVERAGE('20250815_ETF_Options_Exhibits'!N649:N653)),AVERAGE('20250815_ETF_Options_Exhibits'!N649:N653),"")</f>
        <v/>
      </c>
      <c r="O653" s="3">
        <f>IF(ISNUMBER(AVERAGE('20250815_ETF_Options_Exhibits'!O649:O653)),AVERAGE('20250815_ETF_Options_Exhibits'!O649:O653),"")</f>
        <v/>
      </c>
      <c r="P653" s="3">
        <f>IF(ISNUMBER(AVERAGE('20250815_ETF_Options_Exhibits'!P649:P653)),AVERAGE('20250815_ETF_Options_Exhibits'!P649:P653),"")</f>
        <v/>
      </c>
      <c r="Q653" s="3">
        <f>IF(ISNUMBER(AVERAGE('20250815_ETF_Options_Exhibits'!Q649:Q653)),AVERAGE('20250815_ETF_Options_Exhibits'!Q649:Q653),"")</f>
        <v/>
      </c>
      <c r="R653" s="3">
        <f>IF(ISNUMBER(AVERAGE('20250815_ETF_Options_Exhibits'!R649:R653)),AVERAGE('20250815_ETF_Options_Exhibits'!R649:R653),"")</f>
        <v/>
      </c>
      <c r="S653" s="3">
        <f>IF(ISNUMBER(AVERAGE('20250815_ETF_Options_Exhibits'!S649:S653)),AVERAGE('20250815_ETF_Options_Exhibits'!S649:S653),"")</f>
        <v/>
      </c>
      <c r="T653" s="3">
        <f>IF(ISNUMBER(AVERAGE('20250815_ETF_Options_Exhibits'!T649:T653)),AVERAGE('20250815_ETF_Options_Exhibits'!T649:T653),"")</f>
        <v/>
      </c>
      <c r="U653" s="3">
        <f>IF(ISNUMBER(AVERAGE('20250815_ETF_Options_Exhibits'!U649:U653)),AVERAGE('20250815_ETF_Options_Exhibits'!U649:U653),"")</f>
        <v/>
      </c>
      <c r="V653" s="3">
        <f>IF(ISNUMBER(AVERAGE('20250815_ETF_Options_Exhibits'!V649:V653)),AVERAGE('20250815_ETF_Options_Exhibits'!V649:V653),"")</f>
        <v/>
      </c>
      <c r="W653" s="3">
        <f>IF(ISNUMBER(AVERAGE('20250815_ETF_Options_Exhibits'!W649:W653)),AVERAGE('20250815_ETF_Options_Exhibits'!W649:W653),"")</f>
        <v/>
      </c>
      <c r="X653" s="3">
        <f>IF(ISNUMBER(AVERAGE('20250815_ETF_Options_Exhibits'!X649:X653)),AVERAGE('20250815_ETF_Options_Exhibits'!X649:X653),"")</f>
        <v/>
      </c>
      <c r="Y653" s="3">
        <f>IF(ISNUMBER(AVERAGE('20250815_ETF_Options_Exhibits'!Y649:Y653)),AVERAGE('20250815_ETF_Options_Exhibits'!Y649:Y653),"")</f>
        <v/>
      </c>
      <c r="Z653" s="3">
        <f>IF(ISNUMBER(AVERAGE('20250815_ETF_Options_Exhibits'!Z649:Z653)),AVERAGE('20250815_ETF_Options_Exhibits'!Z649:Z653),"")</f>
        <v/>
      </c>
      <c r="AA653" s="3">
        <f>IF(ISNUMBER(AVERAGE('20250815_ETF_Options_Exhibits'!AA649:AA653)),AVERAGE('20250815_ETF_Options_Exhibits'!AA649:AA653),"")</f>
        <v/>
      </c>
    </row>
    <row r="654">
      <c r="A654" s="1" t="n">
        <v>42950</v>
      </c>
      <c r="B654" s="3">
        <f>IF(ISNUMBER(AVERAGE('20250815_ETF_Options_Exhibits'!B650:B654)),AVERAGE('20250815_ETF_Options_Exhibits'!B650:B654),"")</f>
        <v/>
      </c>
      <c r="C654" s="3">
        <f>IF(ISNUMBER(AVERAGE('20250815_ETF_Options_Exhibits'!C650:C654)),AVERAGE('20250815_ETF_Options_Exhibits'!C650:C654),"")</f>
        <v/>
      </c>
      <c r="D654" s="3">
        <f>IF(ISNUMBER(AVERAGE('20250815_ETF_Options_Exhibits'!D650:D654)),AVERAGE('20250815_ETF_Options_Exhibits'!D650:D654),"")</f>
        <v/>
      </c>
      <c r="E654" s="3">
        <f>IF(ISNUMBER(AVERAGE('20250815_ETF_Options_Exhibits'!E650:E654)),AVERAGE('20250815_ETF_Options_Exhibits'!E650:E654),"")</f>
        <v/>
      </c>
      <c r="F654" s="3">
        <f>IF(ISNUMBER(AVERAGE('20250815_ETF_Options_Exhibits'!F650:F654)),AVERAGE('20250815_ETF_Options_Exhibits'!F650:F654),"")</f>
        <v/>
      </c>
      <c r="G654" s="3">
        <f>IF(ISNUMBER(AVERAGE('20250815_ETF_Options_Exhibits'!G650:G654)),AVERAGE('20250815_ETF_Options_Exhibits'!G650:G654),"")</f>
        <v/>
      </c>
      <c r="H654" s="3">
        <f>IF(ISNUMBER(AVERAGE('20250815_ETF_Options_Exhibits'!H650:H654)),AVERAGE('20250815_ETF_Options_Exhibits'!H650:H654),"")</f>
        <v/>
      </c>
      <c r="I654" s="3">
        <f>IF(ISNUMBER(AVERAGE('20250815_ETF_Options_Exhibits'!I650:I654)),AVERAGE('20250815_ETF_Options_Exhibits'!I650:I654),"")</f>
        <v/>
      </c>
      <c r="J654" s="3">
        <f>IF(ISNUMBER(AVERAGE('20250815_ETF_Options_Exhibits'!J650:J654)),AVERAGE('20250815_ETF_Options_Exhibits'!J650:J654),"")</f>
        <v/>
      </c>
      <c r="K654" s="3">
        <f>IF(ISNUMBER(AVERAGE('20250815_ETF_Options_Exhibits'!K650:K654)),AVERAGE('20250815_ETF_Options_Exhibits'!K650:K654),"")</f>
        <v/>
      </c>
      <c r="L654" s="3">
        <f>IF(ISNUMBER(AVERAGE('20250815_ETF_Options_Exhibits'!L650:L654)),AVERAGE('20250815_ETF_Options_Exhibits'!L650:L654),"")</f>
        <v/>
      </c>
      <c r="M654" s="3">
        <f>IF(ISNUMBER(AVERAGE('20250815_ETF_Options_Exhibits'!M650:M654)),AVERAGE('20250815_ETF_Options_Exhibits'!M650:M654),"")</f>
        <v/>
      </c>
      <c r="N654" s="3">
        <f>IF(ISNUMBER(AVERAGE('20250815_ETF_Options_Exhibits'!N650:N654)),AVERAGE('20250815_ETF_Options_Exhibits'!N650:N654),"")</f>
        <v/>
      </c>
      <c r="O654" s="3">
        <f>IF(ISNUMBER(AVERAGE('20250815_ETF_Options_Exhibits'!O650:O654)),AVERAGE('20250815_ETF_Options_Exhibits'!O650:O654),"")</f>
        <v/>
      </c>
      <c r="P654" s="3">
        <f>IF(ISNUMBER(AVERAGE('20250815_ETF_Options_Exhibits'!P650:P654)),AVERAGE('20250815_ETF_Options_Exhibits'!P650:P654),"")</f>
        <v/>
      </c>
      <c r="Q654" s="3">
        <f>IF(ISNUMBER(AVERAGE('20250815_ETF_Options_Exhibits'!Q650:Q654)),AVERAGE('20250815_ETF_Options_Exhibits'!Q650:Q654),"")</f>
        <v/>
      </c>
      <c r="R654" s="3">
        <f>IF(ISNUMBER(AVERAGE('20250815_ETF_Options_Exhibits'!R650:R654)),AVERAGE('20250815_ETF_Options_Exhibits'!R650:R654),"")</f>
        <v/>
      </c>
      <c r="S654" s="3">
        <f>IF(ISNUMBER(AVERAGE('20250815_ETF_Options_Exhibits'!S650:S654)),AVERAGE('20250815_ETF_Options_Exhibits'!S650:S654),"")</f>
        <v/>
      </c>
      <c r="T654" s="3">
        <f>IF(ISNUMBER(AVERAGE('20250815_ETF_Options_Exhibits'!T650:T654)),AVERAGE('20250815_ETF_Options_Exhibits'!T650:T654),"")</f>
        <v/>
      </c>
      <c r="U654" s="3">
        <f>IF(ISNUMBER(AVERAGE('20250815_ETF_Options_Exhibits'!U650:U654)),AVERAGE('20250815_ETF_Options_Exhibits'!U650:U654),"")</f>
        <v/>
      </c>
      <c r="V654" s="3">
        <f>IF(ISNUMBER(AVERAGE('20250815_ETF_Options_Exhibits'!V650:V654)),AVERAGE('20250815_ETF_Options_Exhibits'!V650:V654),"")</f>
        <v/>
      </c>
      <c r="W654" s="3">
        <f>IF(ISNUMBER(AVERAGE('20250815_ETF_Options_Exhibits'!W650:W654)),AVERAGE('20250815_ETF_Options_Exhibits'!W650:W654),"")</f>
        <v/>
      </c>
      <c r="X654" s="3">
        <f>IF(ISNUMBER(AVERAGE('20250815_ETF_Options_Exhibits'!X650:X654)),AVERAGE('20250815_ETF_Options_Exhibits'!X650:X654),"")</f>
        <v/>
      </c>
      <c r="Y654" s="3">
        <f>IF(ISNUMBER(AVERAGE('20250815_ETF_Options_Exhibits'!Y650:Y654)),AVERAGE('20250815_ETF_Options_Exhibits'!Y650:Y654),"")</f>
        <v/>
      </c>
      <c r="Z654" s="3">
        <f>IF(ISNUMBER(AVERAGE('20250815_ETF_Options_Exhibits'!Z650:Z654)),AVERAGE('20250815_ETF_Options_Exhibits'!Z650:Z654),"")</f>
        <v/>
      </c>
      <c r="AA654" s="3">
        <f>IF(ISNUMBER(AVERAGE('20250815_ETF_Options_Exhibits'!AA650:AA654)),AVERAGE('20250815_ETF_Options_Exhibits'!AA650:AA654),"")</f>
        <v/>
      </c>
    </row>
    <row r="655">
      <c r="A655" s="1" t="n">
        <v>42951</v>
      </c>
      <c r="B655" s="3">
        <f>IF(ISNUMBER(AVERAGE('20250815_ETF_Options_Exhibits'!B651:B655)),AVERAGE('20250815_ETF_Options_Exhibits'!B651:B655),"")</f>
        <v/>
      </c>
      <c r="C655" s="3">
        <f>IF(ISNUMBER(AVERAGE('20250815_ETF_Options_Exhibits'!C651:C655)),AVERAGE('20250815_ETF_Options_Exhibits'!C651:C655),"")</f>
        <v/>
      </c>
      <c r="D655" s="3">
        <f>IF(ISNUMBER(AVERAGE('20250815_ETF_Options_Exhibits'!D651:D655)),AVERAGE('20250815_ETF_Options_Exhibits'!D651:D655),"")</f>
        <v/>
      </c>
      <c r="E655" s="3">
        <f>IF(ISNUMBER(AVERAGE('20250815_ETF_Options_Exhibits'!E651:E655)),AVERAGE('20250815_ETF_Options_Exhibits'!E651:E655),"")</f>
        <v/>
      </c>
      <c r="F655" s="3">
        <f>IF(ISNUMBER(AVERAGE('20250815_ETF_Options_Exhibits'!F651:F655)),AVERAGE('20250815_ETF_Options_Exhibits'!F651:F655),"")</f>
        <v/>
      </c>
      <c r="G655" s="3">
        <f>IF(ISNUMBER(AVERAGE('20250815_ETF_Options_Exhibits'!G651:G655)),AVERAGE('20250815_ETF_Options_Exhibits'!G651:G655),"")</f>
        <v/>
      </c>
      <c r="H655" s="3">
        <f>IF(ISNUMBER(AVERAGE('20250815_ETF_Options_Exhibits'!H651:H655)),AVERAGE('20250815_ETF_Options_Exhibits'!H651:H655),"")</f>
        <v/>
      </c>
      <c r="I655" s="3">
        <f>IF(ISNUMBER(AVERAGE('20250815_ETF_Options_Exhibits'!I651:I655)),AVERAGE('20250815_ETF_Options_Exhibits'!I651:I655),"")</f>
        <v/>
      </c>
      <c r="J655" s="3">
        <f>IF(ISNUMBER(AVERAGE('20250815_ETF_Options_Exhibits'!J651:J655)),AVERAGE('20250815_ETF_Options_Exhibits'!J651:J655),"")</f>
        <v/>
      </c>
      <c r="K655" s="3">
        <f>IF(ISNUMBER(AVERAGE('20250815_ETF_Options_Exhibits'!K651:K655)),AVERAGE('20250815_ETF_Options_Exhibits'!K651:K655),"")</f>
        <v/>
      </c>
      <c r="L655" s="3">
        <f>IF(ISNUMBER(AVERAGE('20250815_ETF_Options_Exhibits'!L651:L655)),AVERAGE('20250815_ETF_Options_Exhibits'!L651:L655),"")</f>
        <v/>
      </c>
      <c r="M655" s="3">
        <f>IF(ISNUMBER(AVERAGE('20250815_ETF_Options_Exhibits'!M651:M655)),AVERAGE('20250815_ETF_Options_Exhibits'!M651:M655),"")</f>
        <v/>
      </c>
      <c r="N655" s="3">
        <f>IF(ISNUMBER(AVERAGE('20250815_ETF_Options_Exhibits'!N651:N655)),AVERAGE('20250815_ETF_Options_Exhibits'!N651:N655),"")</f>
        <v/>
      </c>
      <c r="O655" s="3">
        <f>IF(ISNUMBER(AVERAGE('20250815_ETF_Options_Exhibits'!O651:O655)),AVERAGE('20250815_ETF_Options_Exhibits'!O651:O655),"")</f>
        <v/>
      </c>
      <c r="P655" s="3">
        <f>IF(ISNUMBER(AVERAGE('20250815_ETF_Options_Exhibits'!P651:P655)),AVERAGE('20250815_ETF_Options_Exhibits'!P651:P655),"")</f>
        <v/>
      </c>
      <c r="Q655" s="3">
        <f>IF(ISNUMBER(AVERAGE('20250815_ETF_Options_Exhibits'!Q651:Q655)),AVERAGE('20250815_ETF_Options_Exhibits'!Q651:Q655),"")</f>
        <v/>
      </c>
      <c r="R655" s="3">
        <f>IF(ISNUMBER(AVERAGE('20250815_ETF_Options_Exhibits'!R651:R655)),AVERAGE('20250815_ETF_Options_Exhibits'!R651:R655),"")</f>
        <v/>
      </c>
      <c r="S655" s="3">
        <f>IF(ISNUMBER(AVERAGE('20250815_ETF_Options_Exhibits'!S651:S655)),AVERAGE('20250815_ETF_Options_Exhibits'!S651:S655),"")</f>
        <v/>
      </c>
      <c r="T655" s="3">
        <f>IF(ISNUMBER(AVERAGE('20250815_ETF_Options_Exhibits'!T651:T655)),AVERAGE('20250815_ETF_Options_Exhibits'!T651:T655),"")</f>
        <v/>
      </c>
      <c r="U655" s="3">
        <f>IF(ISNUMBER(AVERAGE('20250815_ETF_Options_Exhibits'!U651:U655)),AVERAGE('20250815_ETF_Options_Exhibits'!U651:U655),"")</f>
        <v/>
      </c>
      <c r="V655" s="3">
        <f>IF(ISNUMBER(AVERAGE('20250815_ETF_Options_Exhibits'!V651:V655)),AVERAGE('20250815_ETF_Options_Exhibits'!V651:V655),"")</f>
        <v/>
      </c>
      <c r="W655" s="3">
        <f>IF(ISNUMBER(AVERAGE('20250815_ETF_Options_Exhibits'!W651:W655)),AVERAGE('20250815_ETF_Options_Exhibits'!W651:W655),"")</f>
        <v/>
      </c>
      <c r="X655" s="3">
        <f>IF(ISNUMBER(AVERAGE('20250815_ETF_Options_Exhibits'!X651:X655)),AVERAGE('20250815_ETF_Options_Exhibits'!X651:X655),"")</f>
        <v/>
      </c>
      <c r="Y655" s="3">
        <f>IF(ISNUMBER(AVERAGE('20250815_ETF_Options_Exhibits'!Y651:Y655)),AVERAGE('20250815_ETF_Options_Exhibits'!Y651:Y655),"")</f>
        <v/>
      </c>
      <c r="Z655" s="3">
        <f>IF(ISNUMBER(AVERAGE('20250815_ETF_Options_Exhibits'!Z651:Z655)),AVERAGE('20250815_ETF_Options_Exhibits'!Z651:Z655),"")</f>
        <v/>
      </c>
      <c r="AA655" s="3">
        <f>IF(ISNUMBER(AVERAGE('20250815_ETF_Options_Exhibits'!AA651:AA655)),AVERAGE('20250815_ETF_Options_Exhibits'!AA651:AA655),"")</f>
        <v/>
      </c>
    </row>
    <row r="656">
      <c r="A656" s="1" t="n">
        <v>42954</v>
      </c>
      <c r="B656" s="3">
        <f>IF(ISNUMBER(AVERAGE('20250815_ETF_Options_Exhibits'!B652:B656)),AVERAGE('20250815_ETF_Options_Exhibits'!B652:B656),"")</f>
        <v/>
      </c>
      <c r="C656" s="3">
        <f>IF(ISNUMBER(AVERAGE('20250815_ETF_Options_Exhibits'!C652:C656)),AVERAGE('20250815_ETF_Options_Exhibits'!C652:C656),"")</f>
        <v/>
      </c>
      <c r="D656" s="3">
        <f>IF(ISNUMBER(AVERAGE('20250815_ETF_Options_Exhibits'!D652:D656)),AVERAGE('20250815_ETF_Options_Exhibits'!D652:D656),"")</f>
        <v/>
      </c>
      <c r="E656" s="3">
        <f>IF(ISNUMBER(AVERAGE('20250815_ETF_Options_Exhibits'!E652:E656)),AVERAGE('20250815_ETF_Options_Exhibits'!E652:E656),"")</f>
        <v/>
      </c>
      <c r="F656" s="3">
        <f>IF(ISNUMBER(AVERAGE('20250815_ETF_Options_Exhibits'!F652:F656)),AVERAGE('20250815_ETF_Options_Exhibits'!F652:F656),"")</f>
        <v/>
      </c>
      <c r="G656" s="3">
        <f>IF(ISNUMBER(AVERAGE('20250815_ETF_Options_Exhibits'!G652:G656)),AVERAGE('20250815_ETF_Options_Exhibits'!G652:G656),"")</f>
        <v/>
      </c>
      <c r="H656" s="3">
        <f>IF(ISNUMBER(AVERAGE('20250815_ETF_Options_Exhibits'!H652:H656)),AVERAGE('20250815_ETF_Options_Exhibits'!H652:H656),"")</f>
        <v/>
      </c>
      <c r="I656" s="3">
        <f>IF(ISNUMBER(AVERAGE('20250815_ETF_Options_Exhibits'!I652:I656)),AVERAGE('20250815_ETF_Options_Exhibits'!I652:I656),"")</f>
        <v/>
      </c>
      <c r="J656" s="3">
        <f>IF(ISNUMBER(AVERAGE('20250815_ETF_Options_Exhibits'!J652:J656)),AVERAGE('20250815_ETF_Options_Exhibits'!J652:J656),"")</f>
        <v/>
      </c>
      <c r="K656" s="3">
        <f>IF(ISNUMBER(AVERAGE('20250815_ETF_Options_Exhibits'!K652:K656)),AVERAGE('20250815_ETF_Options_Exhibits'!K652:K656),"")</f>
        <v/>
      </c>
      <c r="L656" s="3">
        <f>IF(ISNUMBER(AVERAGE('20250815_ETF_Options_Exhibits'!L652:L656)),AVERAGE('20250815_ETF_Options_Exhibits'!L652:L656),"")</f>
        <v/>
      </c>
      <c r="M656" s="3">
        <f>IF(ISNUMBER(AVERAGE('20250815_ETF_Options_Exhibits'!M652:M656)),AVERAGE('20250815_ETF_Options_Exhibits'!M652:M656),"")</f>
        <v/>
      </c>
      <c r="N656" s="3">
        <f>IF(ISNUMBER(AVERAGE('20250815_ETF_Options_Exhibits'!N652:N656)),AVERAGE('20250815_ETF_Options_Exhibits'!N652:N656),"")</f>
        <v/>
      </c>
      <c r="O656" s="3">
        <f>IF(ISNUMBER(AVERAGE('20250815_ETF_Options_Exhibits'!O652:O656)),AVERAGE('20250815_ETF_Options_Exhibits'!O652:O656),"")</f>
        <v/>
      </c>
      <c r="P656" s="3">
        <f>IF(ISNUMBER(AVERAGE('20250815_ETF_Options_Exhibits'!P652:P656)),AVERAGE('20250815_ETF_Options_Exhibits'!P652:P656),"")</f>
        <v/>
      </c>
      <c r="Q656" s="3">
        <f>IF(ISNUMBER(AVERAGE('20250815_ETF_Options_Exhibits'!Q652:Q656)),AVERAGE('20250815_ETF_Options_Exhibits'!Q652:Q656),"")</f>
        <v/>
      </c>
      <c r="R656" s="3">
        <f>IF(ISNUMBER(AVERAGE('20250815_ETF_Options_Exhibits'!R652:R656)),AVERAGE('20250815_ETF_Options_Exhibits'!R652:R656),"")</f>
        <v/>
      </c>
      <c r="S656" s="3">
        <f>IF(ISNUMBER(AVERAGE('20250815_ETF_Options_Exhibits'!S652:S656)),AVERAGE('20250815_ETF_Options_Exhibits'!S652:S656),"")</f>
        <v/>
      </c>
      <c r="T656" s="3">
        <f>IF(ISNUMBER(AVERAGE('20250815_ETF_Options_Exhibits'!T652:T656)),AVERAGE('20250815_ETF_Options_Exhibits'!T652:T656),"")</f>
        <v/>
      </c>
      <c r="U656" s="3">
        <f>IF(ISNUMBER(AVERAGE('20250815_ETF_Options_Exhibits'!U652:U656)),AVERAGE('20250815_ETF_Options_Exhibits'!U652:U656),"")</f>
        <v/>
      </c>
      <c r="V656" s="3">
        <f>IF(ISNUMBER(AVERAGE('20250815_ETF_Options_Exhibits'!V652:V656)),AVERAGE('20250815_ETF_Options_Exhibits'!V652:V656),"")</f>
        <v/>
      </c>
      <c r="W656" s="3">
        <f>IF(ISNUMBER(AVERAGE('20250815_ETF_Options_Exhibits'!W652:W656)),AVERAGE('20250815_ETF_Options_Exhibits'!W652:W656),"")</f>
        <v/>
      </c>
      <c r="X656" s="3">
        <f>IF(ISNUMBER(AVERAGE('20250815_ETF_Options_Exhibits'!X652:X656)),AVERAGE('20250815_ETF_Options_Exhibits'!X652:X656),"")</f>
        <v/>
      </c>
      <c r="Y656" s="3">
        <f>IF(ISNUMBER(AVERAGE('20250815_ETF_Options_Exhibits'!Y652:Y656)),AVERAGE('20250815_ETF_Options_Exhibits'!Y652:Y656),"")</f>
        <v/>
      </c>
      <c r="Z656" s="3">
        <f>IF(ISNUMBER(AVERAGE('20250815_ETF_Options_Exhibits'!Z652:Z656)),AVERAGE('20250815_ETF_Options_Exhibits'!Z652:Z656),"")</f>
        <v/>
      </c>
      <c r="AA656" s="3">
        <f>IF(ISNUMBER(AVERAGE('20250815_ETF_Options_Exhibits'!AA652:AA656)),AVERAGE('20250815_ETF_Options_Exhibits'!AA652:AA656),"")</f>
        <v/>
      </c>
    </row>
    <row r="657">
      <c r="A657" s="1" t="n">
        <v>42955</v>
      </c>
      <c r="B657" s="3">
        <f>IF(ISNUMBER(AVERAGE('20250815_ETF_Options_Exhibits'!B653:B657)),AVERAGE('20250815_ETF_Options_Exhibits'!B653:B657),"")</f>
        <v/>
      </c>
      <c r="C657" s="3">
        <f>IF(ISNUMBER(AVERAGE('20250815_ETF_Options_Exhibits'!C653:C657)),AVERAGE('20250815_ETF_Options_Exhibits'!C653:C657),"")</f>
        <v/>
      </c>
      <c r="D657" s="3">
        <f>IF(ISNUMBER(AVERAGE('20250815_ETF_Options_Exhibits'!D653:D657)),AVERAGE('20250815_ETF_Options_Exhibits'!D653:D657),"")</f>
        <v/>
      </c>
      <c r="E657" s="3">
        <f>IF(ISNUMBER(AVERAGE('20250815_ETF_Options_Exhibits'!E653:E657)),AVERAGE('20250815_ETF_Options_Exhibits'!E653:E657),"")</f>
        <v/>
      </c>
      <c r="F657" s="3">
        <f>IF(ISNUMBER(AVERAGE('20250815_ETF_Options_Exhibits'!F653:F657)),AVERAGE('20250815_ETF_Options_Exhibits'!F653:F657),"")</f>
        <v/>
      </c>
      <c r="G657" s="3">
        <f>IF(ISNUMBER(AVERAGE('20250815_ETF_Options_Exhibits'!G653:G657)),AVERAGE('20250815_ETF_Options_Exhibits'!G653:G657),"")</f>
        <v/>
      </c>
      <c r="H657" s="3">
        <f>IF(ISNUMBER(AVERAGE('20250815_ETF_Options_Exhibits'!H653:H657)),AVERAGE('20250815_ETF_Options_Exhibits'!H653:H657),"")</f>
        <v/>
      </c>
      <c r="I657" s="3">
        <f>IF(ISNUMBER(AVERAGE('20250815_ETF_Options_Exhibits'!I653:I657)),AVERAGE('20250815_ETF_Options_Exhibits'!I653:I657),"")</f>
        <v/>
      </c>
      <c r="J657" s="3">
        <f>IF(ISNUMBER(AVERAGE('20250815_ETF_Options_Exhibits'!J653:J657)),AVERAGE('20250815_ETF_Options_Exhibits'!J653:J657),"")</f>
        <v/>
      </c>
      <c r="K657" s="3">
        <f>IF(ISNUMBER(AVERAGE('20250815_ETF_Options_Exhibits'!K653:K657)),AVERAGE('20250815_ETF_Options_Exhibits'!K653:K657),"")</f>
        <v/>
      </c>
      <c r="L657" s="3">
        <f>IF(ISNUMBER(AVERAGE('20250815_ETF_Options_Exhibits'!L653:L657)),AVERAGE('20250815_ETF_Options_Exhibits'!L653:L657),"")</f>
        <v/>
      </c>
      <c r="M657" s="3">
        <f>IF(ISNUMBER(AVERAGE('20250815_ETF_Options_Exhibits'!M653:M657)),AVERAGE('20250815_ETF_Options_Exhibits'!M653:M657),"")</f>
        <v/>
      </c>
      <c r="N657" s="3">
        <f>IF(ISNUMBER(AVERAGE('20250815_ETF_Options_Exhibits'!N653:N657)),AVERAGE('20250815_ETF_Options_Exhibits'!N653:N657),"")</f>
        <v/>
      </c>
      <c r="O657" s="3">
        <f>IF(ISNUMBER(AVERAGE('20250815_ETF_Options_Exhibits'!O653:O657)),AVERAGE('20250815_ETF_Options_Exhibits'!O653:O657),"")</f>
        <v/>
      </c>
      <c r="P657" s="3">
        <f>IF(ISNUMBER(AVERAGE('20250815_ETF_Options_Exhibits'!P653:P657)),AVERAGE('20250815_ETF_Options_Exhibits'!P653:P657),"")</f>
        <v/>
      </c>
      <c r="Q657" s="3">
        <f>IF(ISNUMBER(AVERAGE('20250815_ETF_Options_Exhibits'!Q653:Q657)),AVERAGE('20250815_ETF_Options_Exhibits'!Q653:Q657),"")</f>
        <v/>
      </c>
      <c r="R657" s="3">
        <f>IF(ISNUMBER(AVERAGE('20250815_ETF_Options_Exhibits'!R653:R657)),AVERAGE('20250815_ETF_Options_Exhibits'!R653:R657),"")</f>
        <v/>
      </c>
      <c r="S657" s="3">
        <f>IF(ISNUMBER(AVERAGE('20250815_ETF_Options_Exhibits'!S653:S657)),AVERAGE('20250815_ETF_Options_Exhibits'!S653:S657),"")</f>
        <v/>
      </c>
      <c r="T657" s="3">
        <f>IF(ISNUMBER(AVERAGE('20250815_ETF_Options_Exhibits'!T653:T657)),AVERAGE('20250815_ETF_Options_Exhibits'!T653:T657),"")</f>
        <v/>
      </c>
      <c r="U657" s="3">
        <f>IF(ISNUMBER(AVERAGE('20250815_ETF_Options_Exhibits'!U653:U657)),AVERAGE('20250815_ETF_Options_Exhibits'!U653:U657),"")</f>
        <v/>
      </c>
      <c r="V657" s="3">
        <f>IF(ISNUMBER(AVERAGE('20250815_ETF_Options_Exhibits'!V653:V657)),AVERAGE('20250815_ETF_Options_Exhibits'!V653:V657),"")</f>
        <v/>
      </c>
      <c r="W657" s="3">
        <f>IF(ISNUMBER(AVERAGE('20250815_ETF_Options_Exhibits'!W653:W657)),AVERAGE('20250815_ETF_Options_Exhibits'!W653:W657),"")</f>
        <v/>
      </c>
      <c r="X657" s="3">
        <f>IF(ISNUMBER(AVERAGE('20250815_ETF_Options_Exhibits'!X653:X657)),AVERAGE('20250815_ETF_Options_Exhibits'!X653:X657),"")</f>
        <v/>
      </c>
      <c r="Y657" s="3">
        <f>IF(ISNUMBER(AVERAGE('20250815_ETF_Options_Exhibits'!Y653:Y657)),AVERAGE('20250815_ETF_Options_Exhibits'!Y653:Y657),"")</f>
        <v/>
      </c>
      <c r="Z657" s="3">
        <f>IF(ISNUMBER(AVERAGE('20250815_ETF_Options_Exhibits'!Z653:Z657)),AVERAGE('20250815_ETF_Options_Exhibits'!Z653:Z657),"")</f>
        <v/>
      </c>
      <c r="AA657" s="3">
        <f>IF(ISNUMBER(AVERAGE('20250815_ETF_Options_Exhibits'!AA653:AA657)),AVERAGE('20250815_ETF_Options_Exhibits'!AA653:AA657),"")</f>
        <v/>
      </c>
    </row>
    <row r="658">
      <c r="A658" s="1" t="n">
        <v>42956</v>
      </c>
      <c r="B658" s="3">
        <f>IF(ISNUMBER(AVERAGE('20250815_ETF_Options_Exhibits'!B654:B658)),AVERAGE('20250815_ETF_Options_Exhibits'!B654:B658),"")</f>
        <v/>
      </c>
      <c r="C658" s="3">
        <f>IF(ISNUMBER(AVERAGE('20250815_ETF_Options_Exhibits'!C654:C658)),AVERAGE('20250815_ETF_Options_Exhibits'!C654:C658),"")</f>
        <v/>
      </c>
      <c r="D658" s="3">
        <f>IF(ISNUMBER(AVERAGE('20250815_ETF_Options_Exhibits'!D654:D658)),AVERAGE('20250815_ETF_Options_Exhibits'!D654:D658),"")</f>
        <v/>
      </c>
      <c r="E658" s="3">
        <f>IF(ISNUMBER(AVERAGE('20250815_ETF_Options_Exhibits'!E654:E658)),AVERAGE('20250815_ETF_Options_Exhibits'!E654:E658),"")</f>
        <v/>
      </c>
      <c r="F658" s="3">
        <f>IF(ISNUMBER(AVERAGE('20250815_ETF_Options_Exhibits'!F654:F658)),AVERAGE('20250815_ETF_Options_Exhibits'!F654:F658),"")</f>
        <v/>
      </c>
      <c r="G658" s="3">
        <f>IF(ISNUMBER(AVERAGE('20250815_ETF_Options_Exhibits'!G654:G658)),AVERAGE('20250815_ETF_Options_Exhibits'!G654:G658),"")</f>
        <v/>
      </c>
      <c r="H658" s="3">
        <f>IF(ISNUMBER(AVERAGE('20250815_ETF_Options_Exhibits'!H654:H658)),AVERAGE('20250815_ETF_Options_Exhibits'!H654:H658),"")</f>
        <v/>
      </c>
      <c r="I658" s="3">
        <f>IF(ISNUMBER(AVERAGE('20250815_ETF_Options_Exhibits'!I654:I658)),AVERAGE('20250815_ETF_Options_Exhibits'!I654:I658),"")</f>
        <v/>
      </c>
      <c r="J658" s="3">
        <f>IF(ISNUMBER(AVERAGE('20250815_ETF_Options_Exhibits'!J654:J658)),AVERAGE('20250815_ETF_Options_Exhibits'!J654:J658),"")</f>
        <v/>
      </c>
      <c r="K658" s="3">
        <f>IF(ISNUMBER(AVERAGE('20250815_ETF_Options_Exhibits'!K654:K658)),AVERAGE('20250815_ETF_Options_Exhibits'!K654:K658),"")</f>
        <v/>
      </c>
      <c r="L658" s="3">
        <f>IF(ISNUMBER(AVERAGE('20250815_ETF_Options_Exhibits'!L654:L658)),AVERAGE('20250815_ETF_Options_Exhibits'!L654:L658),"")</f>
        <v/>
      </c>
      <c r="M658" s="3">
        <f>IF(ISNUMBER(AVERAGE('20250815_ETF_Options_Exhibits'!M654:M658)),AVERAGE('20250815_ETF_Options_Exhibits'!M654:M658),"")</f>
        <v/>
      </c>
      <c r="N658" s="3">
        <f>IF(ISNUMBER(AVERAGE('20250815_ETF_Options_Exhibits'!N654:N658)),AVERAGE('20250815_ETF_Options_Exhibits'!N654:N658),"")</f>
        <v/>
      </c>
      <c r="O658" s="3">
        <f>IF(ISNUMBER(AVERAGE('20250815_ETF_Options_Exhibits'!O654:O658)),AVERAGE('20250815_ETF_Options_Exhibits'!O654:O658),"")</f>
        <v/>
      </c>
      <c r="P658" s="3">
        <f>IF(ISNUMBER(AVERAGE('20250815_ETF_Options_Exhibits'!P654:P658)),AVERAGE('20250815_ETF_Options_Exhibits'!P654:P658),"")</f>
        <v/>
      </c>
      <c r="Q658" s="3">
        <f>IF(ISNUMBER(AVERAGE('20250815_ETF_Options_Exhibits'!Q654:Q658)),AVERAGE('20250815_ETF_Options_Exhibits'!Q654:Q658),"")</f>
        <v/>
      </c>
      <c r="R658" s="3">
        <f>IF(ISNUMBER(AVERAGE('20250815_ETF_Options_Exhibits'!R654:R658)),AVERAGE('20250815_ETF_Options_Exhibits'!R654:R658),"")</f>
        <v/>
      </c>
      <c r="S658" s="3">
        <f>IF(ISNUMBER(AVERAGE('20250815_ETF_Options_Exhibits'!S654:S658)),AVERAGE('20250815_ETF_Options_Exhibits'!S654:S658),"")</f>
        <v/>
      </c>
      <c r="T658" s="3">
        <f>IF(ISNUMBER(AVERAGE('20250815_ETF_Options_Exhibits'!T654:T658)),AVERAGE('20250815_ETF_Options_Exhibits'!T654:T658),"")</f>
        <v/>
      </c>
      <c r="U658" s="3">
        <f>IF(ISNUMBER(AVERAGE('20250815_ETF_Options_Exhibits'!U654:U658)),AVERAGE('20250815_ETF_Options_Exhibits'!U654:U658),"")</f>
        <v/>
      </c>
      <c r="V658" s="3">
        <f>IF(ISNUMBER(AVERAGE('20250815_ETF_Options_Exhibits'!V654:V658)),AVERAGE('20250815_ETF_Options_Exhibits'!V654:V658),"")</f>
        <v/>
      </c>
      <c r="W658" s="3">
        <f>IF(ISNUMBER(AVERAGE('20250815_ETF_Options_Exhibits'!W654:W658)),AVERAGE('20250815_ETF_Options_Exhibits'!W654:W658),"")</f>
        <v/>
      </c>
      <c r="X658" s="3">
        <f>IF(ISNUMBER(AVERAGE('20250815_ETF_Options_Exhibits'!X654:X658)),AVERAGE('20250815_ETF_Options_Exhibits'!X654:X658),"")</f>
        <v/>
      </c>
      <c r="Y658" s="3">
        <f>IF(ISNUMBER(AVERAGE('20250815_ETF_Options_Exhibits'!Y654:Y658)),AVERAGE('20250815_ETF_Options_Exhibits'!Y654:Y658),"")</f>
        <v/>
      </c>
      <c r="Z658" s="3">
        <f>IF(ISNUMBER(AVERAGE('20250815_ETF_Options_Exhibits'!Z654:Z658)),AVERAGE('20250815_ETF_Options_Exhibits'!Z654:Z658),"")</f>
        <v/>
      </c>
      <c r="AA658" s="3">
        <f>IF(ISNUMBER(AVERAGE('20250815_ETF_Options_Exhibits'!AA654:AA658)),AVERAGE('20250815_ETF_Options_Exhibits'!AA654:AA658),"")</f>
        <v/>
      </c>
    </row>
    <row r="659">
      <c r="A659" s="1" t="n">
        <v>42957</v>
      </c>
      <c r="B659" s="3">
        <f>IF(ISNUMBER(AVERAGE('20250815_ETF_Options_Exhibits'!B655:B659)),AVERAGE('20250815_ETF_Options_Exhibits'!B655:B659),"")</f>
        <v/>
      </c>
      <c r="C659" s="3">
        <f>IF(ISNUMBER(AVERAGE('20250815_ETF_Options_Exhibits'!C655:C659)),AVERAGE('20250815_ETF_Options_Exhibits'!C655:C659),"")</f>
        <v/>
      </c>
      <c r="D659" s="3">
        <f>IF(ISNUMBER(AVERAGE('20250815_ETF_Options_Exhibits'!D655:D659)),AVERAGE('20250815_ETF_Options_Exhibits'!D655:D659),"")</f>
        <v/>
      </c>
      <c r="E659" s="3">
        <f>IF(ISNUMBER(AVERAGE('20250815_ETF_Options_Exhibits'!E655:E659)),AVERAGE('20250815_ETF_Options_Exhibits'!E655:E659),"")</f>
        <v/>
      </c>
      <c r="F659" s="3">
        <f>IF(ISNUMBER(AVERAGE('20250815_ETF_Options_Exhibits'!F655:F659)),AVERAGE('20250815_ETF_Options_Exhibits'!F655:F659),"")</f>
        <v/>
      </c>
      <c r="G659" s="3">
        <f>IF(ISNUMBER(AVERAGE('20250815_ETF_Options_Exhibits'!G655:G659)),AVERAGE('20250815_ETF_Options_Exhibits'!G655:G659),"")</f>
        <v/>
      </c>
      <c r="H659" s="3">
        <f>IF(ISNUMBER(AVERAGE('20250815_ETF_Options_Exhibits'!H655:H659)),AVERAGE('20250815_ETF_Options_Exhibits'!H655:H659),"")</f>
        <v/>
      </c>
      <c r="I659" s="3">
        <f>IF(ISNUMBER(AVERAGE('20250815_ETF_Options_Exhibits'!I655:I659)),AVERAGE('20250815_ETF_Options_Exhibits'!I655:I659),"")</f>
        <v/>
      </c>
      <c r="J659" s="3">
        <f>IF(ISNUMBER(AVERAGE('20250815_ETF_Options_Exhibits'!J655:J659)),AVERAGE('20250815_ETF_Options_Exhibits'!J655:J659),"")</f>
        <v/>
      </c>
      <c r="K659" s="3">
        <f>IF(ISNUMBER(AVERAGE('20250815_ETF_Options_Exhibits'!K655:K659)),AVERAGE('20250815_ETF_Options_Exhibits'!K655:K659),"")</f>
        <v/>
      </c>
      <c r="L659" s="3">
        <f>IF(ISNUMBER(AVERAGE('20250815_ETF_Options_Exhibits'!L655:L659)),AVERAGE('20250815_ETF_Options_Exhibits'!L655:L659),"")</f>
        <v/>
      </c>
      <c r="M659" s="3">
        <f>IF(ISNUMBER(AVERAGE('20250815_ETF_Options_Exhibits'!M655:M659)),AVERAGE('20250815_ETF_Options_Exhibits'!M655:M659),"")</f>
        <v/>
      </c>
      <c r="N659" s="3">
        <f>IF(ISNUMBER(AVERAGE('20250815_ETF_Options_Exhibits'!N655:N659)),AVERAGE('20250815_ETF_Options_Exhibits'!N655:N659),"")</f>
        <v/>
      </c>
      <c r="O659" s="3">
        <f>IF(ISNUMBER(AVERAGE('20250815_ETF_Options_Exhibits'!O655:O659)),AVERAGE('20250815_ETF_Options_Exhibits'!O655:O659),"")</f>
        <v/>
      </c>
      <c r="P659" s="3">
        <f>IF(ISNUMBER(AVERAGE('20250815_ETF_Options_Exhibits'!P655:P659)),AVERAGE('20250815_ETF_Options_Exhibits'!P655:P659),"")</f>
        <v/>
      </c>
      <c r="Q659" s="3">
        <f>IF(ISNUMBER(AVERAGE('20250815_ETF_Options_Exhibits'!Q655:Q659)),AVERAGE('20250815_ETF_Options_Exhibits'!Q655:Q659),"")</f>
        <v/>
      </c>
      <c r="R659" s="3">
        <f>IF(ISNUMBER(AVERAGE('20250815_ETF_Options_Exhibits'!R655:R659)),AVERAGE('20250815_ETF_Options_Exhibits'!R655:R659),"")</f>
        <v/>
      </c>
      <c r="S659" s="3">
        <f>IF(ISNUMBER(AVERAGE('20250815_ETF_Options_Exhibits'!S655:S659)),AVERAGE('20250815_ETF_Options_Exhibits'!S655:S659),"")</f>
        <v/>
      </c>
      <c r="T659" s="3">
        <f>IF(ISNUMBER(AVERAGE('20250815_ETF_Options_Exhibits'!T655:T659)),AVERAGE('20250815_ETF_Options_Exhibits'!T655:T659),"")</f>
        <v/>
      </c>
      <c r="U659" s="3">
        <f>IF(ISNUMBER(AVERAGE('20250815_ETF_Options_Exhibits'!U655:U659)),AVERAGE('20250815_ETF_Options_Exhibits'!U655:U659),"")</f>
        <v/>
      </c>
      <c r="V659" s="3">
        <f>IF(ISNUMBER(AVERAGE('20250815_ETF_Options_Exhibits'!V655:V659)),AVERAGE('20250815_ETF_Options_Exhibits'!V655:V659),"")</f>
        <v/>
      </c>
      <c r="W659" s="3">
        <f>IF(ISNUMBER(AVERAGE('20250815_ETF_Options_Exhibits'!W655:W659)),AVERAGE('20250815_ETF_Options_Exhibits'!W655:W659),"")</f>
        <v/>
      </c>
      <c r="X659" s="3">
        <f>IF(ISNUMBER(AVERAGE('20250815_ETF_Options_Exhibits'!X655:X659)),AVERAGE('20250815_ETF_Options_Exhibits'!X655:X659),"")</f>
        <v/>
      </c>
      <c r="Y659" s="3">
        <f>IF(ISNUMBER(AVERAGE('20250815_ETF_Options_Exhibits'!Y655:Y659)),AVERAGE('20250815_ETF_Options_Exhibits'!Y655:Y659),"")</f>
        <v/>
      </c>
      <c r="Z659" s="3">
        <f>IF(ISNUMBER(AVERAGE('20250815_ETF_Options_Exhibits'!Z655:Z659)),AVERAGE('20250815_ETF_Options_Exhibits'!Z655:Z659),"")</f>
        <v/>
      </c>
      <c r="AA659" s="3">
        <f>IF(ISNUMBER(AVERAGE('20250815_ETF_Options_Exhibits'!AA655:AA659)),AVERAGE('20250815_ETF_Options_Exhibits'!AA655:AA659),"")</f>
        <v/>
      </c>
    </row>
    <row r="660">
      <c r="A660" s="1" t="n">
        <v>42958</v>
      </c>
      <c r="B660" s="3">
        <f>IF(ISNUMBER(AVERAGE('20250815_ETF_Options_Exhibits'!B656:B660)),AVERAGE('20250815_ETF_Options_Exhibits'!B656:B660),"")</f>
        <v/>
      </c>
      <c r="C660" s="3">
        <f>IF(ISNUMBER(AVERAGE('20250815_ETF_Options_Exhibits'!C656:C660)),AVERAGE('20250815_ETF_Options_Exhibits'!C656:C660),"")</f>
        <v/>
      </c>
      <c r="D660" s="3">
        <f>IF(ISNUMBER(AVERAGE('20250815_ETF_Options_Exhibits'!D656:D660)),AVERAGE('20250815_ETF_Options_Exhibits'!D656:D660),"")</f>
        <v/>
      </c>
      <c r="E660" s="3">
        <f>IF(ISNUMBER(AVERAGE('20250815_ETF_Options_Exhibits'!E656:E660)),AVERAGE('20250815_ETF_Options_Exhibits'!E656:E660),"")</f>
        <v/>
      </c>
      <c r="F660" s="3">
        <f>IF(ISNUMBER(AVERAGE('20250815_ETF_Options_Exhibits'!F656:F660)),AVERAGE('20250815_ETF_Options_Exhibits'!F656:F660),"")</f>
        <v/>
      </c>
      <c r="G660" s="3">
        <f>IF(ISNUMBER(AVERAGE('20250815_ETF_Options_Exhibits'!G656:G660)),AVERAGE('20250815_ETF_Options_Exhibits'!G656:G660),"")</f>
        <v/>
      </c>
      <c r="H660" s="3">
        <f>IF(ISNUMBER(AVERAGE('20250815_ETF_Options_Exhibits'!H656:H660)),AVERAGE('20250815_ETF_Options_Exhibits'!H656:H660),"")</f>
        <v/>
      </c>
      <c r="I660" s="3">
        <f>IF(ISNUMBER(AVERAGE('20250815_ETF_Options_Exhibits'!I656:I660)),AVERAGE('20250815_ETF_Options_Exhibits'!I656:I660),"")</f>
        <v/>
      </c>
      <c r="J660" s="3">
        <f>IF(ISNUMBER(AVERAGE('20250815_ETF_Options_Exhibits'!J656:J660)),AVERAGE('20250815_ETF_Options_Exhibits'!J656:J660),"")</f>
        <v/>
      </c>
      <c r="K660" s="3">
        <f>IF(ISNUMBER(AVERAGE('20250815_ETF_Options_Exhibits'!K656:K660)),AVERAGE('20250815_ETF_Options_Exhibits'!K656:K660),"")</f>
        <v/>
      </c>
      <c r="L660" s="3">
        <f>IF(ISNUMBER(AVERAGE('20250815_ETF_Options_Exhibits'!L656:L660)),AVERAGE('20250815_ETF_Options_Exhibits'!L656:L660),"")</f>
        <v/>
      </c>
      <c r="M660" s="3">
        <f>IF(ISNUMBER(AVERAGE('20250815_ETF_Options_Exhibits'!M656:M660)),AVERAGE('20250815_ETF_Options_Exhibits'!M656:M660),"")</f>
        <v/>
      </c>
      <c r="N660" s="3">
        <f>IF(ISNUMBER(AVERAGE('20250815_ETF_Options_Exhibits'!N656:N660)),AVERAGE('20250815_ETF_Options_Exhibits'!N656:N660),"")</f>
        <v/>
      </c>
      <c r="O660" s="3">
        <f>IF(ISNUMBER(AVERAGE('20250815_ETF_Options_Exhibits'!O656:O660)),AVERAGE('20250815_ETF_Options_Exhibits'!O656:O660),"")</f>
        <v/>
      </c>
      <c r="P660" s="3">
        <f>IF(ISNUMBER(AVERAGE('20250815_ETF_Options_Exhibits'!P656:P660)),AVERAGE('20250815_ETF_Options_Exhibits'!P656:P660),"")</f>
        <v/>
      </c>
      <c r="Q660" s="3">
        <f>IF(ISNUMBER(AVERAGE('20250815_ETF_Options_Exhibits'!Q656:Q660)),AVERAGE('20250815_ETF_Options_Exhibits'!Q656:Q660),"")</f>
        <v/>
      </c>
      <c r="R660" s="3">
        <f>IF(ISNUMBER(AVERAGE('20250815_ETF_Options_Exhibits'!R656:R660)),AVERAGE('20250815_ETF_Options_Exhibits'!R656:R660),"")</f>
        <v/>
      </c>
      <c r="S660" s="3">
        <f>IF(ISNUMBER(AVERAGE('20250815_ETF_Options_Exhibits'!S656:S660)),AVERAGE('20250815_ETF_Options_Exhibits'!S656:S660),"")</f>
        <v/>
      </c>
      <c r="T660" s="3">
        <f>IF(ISNUMBER(AVERAGE('20250815_ETF_Options_Exhibits'!T656:T660)),AVERAGE('20250815_ETF_Options_Exhibits'!T656:T660),"")</f>
        <v/>
      </c>
      <c r="U660" s="3">
        <f>IF(ISNUMBER(AVERAGE('20250815_ETF_Options_Exhibits'!U656:U660)),AVERAGE('20250815_ETF_Options_Exhibits'!U656:U660),"")</f>
        <v/>
      </c>
      <c r="V660" s="3">
        <f>IF(ISNUMBER(AVERAGE('20250815_ETF_Options_Exhibits'!V656:V660)),AVERAGE('20250815_ETF_Options_Exhibits'!V656:V660),"")</f>
        <v/>
      </c>
      <c r="W660" s="3">
        <f>IF(ISNUMBER(AVERAGE('20250815_ETF_Options_Exhibits'!W656:W660)),AVERAGE('20250815_ETF_Options_Exhibits'!W656:W660),"")</f>
        <v/>
      </c>
      <c r="X660" s="3">
        <f>IF(ISNUMBER(AVERAGE('20250815_ETF_Options_Exhibits'!X656:X660)),AVERAGE('20250815_ETF_Options_Exhibits'!X656:X660),"")</f>
        <v/>
      </c>
      <c r="Y660" s="3">
        <f>IF(ISNUMBER(AVERAGE('20250815_ETF_Options_Exhibits'!Y656:Y660)),AVERAGE('20250815_ETF_Options_Exhibits'!Y656:Y660),"")</f>
        <v/>
      </c>
      <c r="Z660" s="3">
        <f>IF(ISNUMBER(AVERAGE('20250815_ETF_Options_Exhibits'!Z656:Z660)),AVERAGE('20250815_ETF_Options_Exhibits'!Z656:Z660),"")</f>
        <v/>
      </c>
      <c r="AA660" s="3">
        <f>IF(ISNUMBER(AVERAGE('20250815_ETF_Options_Exhibits'!AA656:AA660)),AVERAGE('20250815_ETF_Options_Exhibits'!AA656:AA660),"")</f>
        <v/>
      </c>
    </row>
    <row r="661">
      <c r="A661" s="1" t="n">
        <v>42961</v>
      </c>
      <c r="B661" s="3">
        <f>IF(ISNUMBER(AVERAGE('20250815_ETF_Options_Exhibits'!B657:B661)),AVERAGE('20250815_ETF_Options_Exhibits'!B657:B661),"")</f>
        <v/>
      </c>
      <c r="C661" s="3">
        <f>IF(ISNUMBER(AVERAGE('20250815_ETF_Options_Exhibits'!C657:C661)),AVERAGE('20250815_ETF_Options_Exhibits'!C657:C661),"")</f>
        <v/>
      </c>
      <c r="D661" s="3">
        <f>IF(ISNUMBER(AVERAGE('20250815_ETF_Options_Exhibits'!D657:D661)),AVERAGE('20250815_ETF_Options_Exhibits'!D657:D661),"")</f>
        <v/>
      </c>
      <c r="E661" s="3">
        <f>IF(ISNUMBER(AVERAGE('20250815_ETF_Options_Exhibits'!E657:E661)),AVERAGE('20250815_ETF_Options_Exhibits'!E657:E661),"")</f>
        <v/>
      </c>
      <c r="F661" s="3">
        <f>IF(ISNUMBER(AVERAGE('20250815_ETF_Options_Exhibits'!F657:F661)),AVERAGE('20250815_ETF_Options_Exhibits'!F657:F661),"")</f>
        <v/>
      </c>
      <c r="G661" s="3">
        <f>IF(ISNUMBER(AVERAGE('20250815_ETF_Options_Exhibits'!G657:G661)),AVERAGE('20250815_ETF_Options_Exhibits'!G657:G661),"")</f>
        <v/>
      </c>
      <c r="H661" s="3">
        <f>IF(ISNUMBER(AVERAGE('20250815_ETF_Options_Exhibits'!H657:H661)),AVERAGE('20250815_ETF_Options_Exhibits'!H657:H661),"")</f>
        <v/>
      </c>
      <c r="I661" s="3">
        <f>IF(ISNUMBER(AVERAGE('20250815_ETF_Options_Exhibits'!I657:I661)),AVERAGE('20250815_ETF_Options_Exhibits'!I657:I661),"")</f>
        <v/>
      </c>
      <c r="J661" s="3">
        <f>IF(ISNUMBER(AVERAGE('20250815_ETF_Options_Exhibits'!J657:J661)),AVERAGE('20250815_ETF_Options_Exhibits'!J657:J661),"")</f>
        <v/>
      </c>
      <c r="K661" s="3">
        <f>IF(ISNUMBER(AVERAGE('20250815_ETF_Options_Exhibits'!K657:K661)),AVERAGE('20250815_ETF_Options_Exhibits'!K657:K661),"")</f>
        <v/>
      </c>
      <c r="L661" s="3">
        <f>IF(ISNUMBER(AVERAGE('20250815_ETF_Options_Exhibits'!L657:L661)),AVERAGE('20250815_ETF_Options_Exhibits'!L657:L661),"")</f>
        <v/>
      </c>
      <c r="M661" s="3">
        <f>IF(ISNUMBER(AVERAGE('20250815_ETF_Options_Exhibits'!M657:M661)),AVERAGE('20250815_ETF_Options_Exhibits'!M657:M661),"")</f>
        <v/>
      </c>
      <c r="N661" s="3">
        <f>IF(ISNUMBER(AVERAGE('20250815_ETF_Options_Exhibits'!N657:N661)),AVERAGE('20250815_ETF_Options_Exhibits'!N657:N661),"")</f>
        <v/>
      </c>
      <c r="O661" s="3">
        <f>IF(ISNUMBER(AVERAGE('20250815_ETF_Options_Exhibits'!O657:O661)),AVERAGE('20250815_ETF_Options_Exhibits'!O657:O661),"")</f>
        <v/>
      </c>
      <c r="P661" s="3">
        <f>IF(ISNUMBER(AVERAGE('20250815_ETF_Options_Exhibits'!P657:P661)),AVERAGE('20250815_ETF_Options_Exhibits'!P657:P661),"")</f>
        <v/>
      </c>
      <c r="Q661" s="3">
        <f>IF(ISNUMBER(AVERAGE('20250815_ETF_Options_Exhibits'!Q657:Q661)),AVERAGE('20250815_ETF_Options_Exhibits'!Q657:Q661),"")</f>
        <v/>
      </c>
      <c r="R661" s="3">
        <f>IF(ISNUMBER(AVERAGE('20250815_ETF_Options_Exhibits'!R657:R661)),AVERAGE('20250815_ETF_Options_Exhibits'!R657:R661),"")</f>
        <v/>
      </c>
      <c r="S661" s="3">
        <f>IF(ISNUMBER(AVERAGE('20250815_ETF_Options_Exhibits'!S657:S661)),AVERAGE('20250815_ETF_Options_Exhibits'!S657:S661),"")</f>
        <v/>
      </c>
      <c r="T661" s="3">
        <f>IF(ISNUMBER(AVERAGE('20250815_ETF_Options_Exhibits'!T657:T661)),AVERAGE('20250815_ETF_Options_Exhibits'!T657:T661),"")</f>
        <v/>
      </c>
      <c r="U661" s="3">
        <f>IF(ISNUMBER(AVERAGE('20250815_ETF_Options_Exhibits'!U657:U661)),AVERAGE('20250815_ETF_Options_Exhibits'!U657:U661),"")</f>
        <v/>
      </c>
      <c r="V661" s="3">
        <f>IF(ISNUMBER(AVERAGE('20250815_ETF_Options_Exhibits'!V657:V661)),AVERAGE('20250815_ETF_Options_Exhibits'!V657:V661),"")</f>
        <v/>
      </c>
      <c r="W661" s="3">
        <f>IF(ISNUMBER(AVERAGE('20250815_ETF_Options_Exhibits'!W657:W661)),AVERAGE('20250815_ETF_Options_Exhibits'!W657:W661),"")</f>
        <v/>
      </c>
      <c r="X661" s="3">
        <f>IF(ISNUMBER(AVERAGE('20250815_ETF_Options_Exhibits'!X657:X661)),AVERAGE('20250815_ETF_Options_Exhibits'!X657:X661),"")</f>
        <v/>
      </c>
      <c r="Y661" s="3">
        <f>IF(ISNUMBER(AVERAGE('20250815_ETF_Options_Exhibits'!Y657:Y661)),AVERAGE('20250815_ETF_Options_Exhibits'!Y657:Y661),"")</f>
        <v/>
      </c>
      <c r="Z661" s="3">
        <f>IF(ISNUMBER(AVERAGE('20250815_ETF_Options_Exhibits'!Z657:Z661)),AVERAGE('20250815_ETF_Options_Exhibits'!Z657:Z661),"")</f>
        <v/>
      </c>
      <c r="AA661" s="3">
        <f>IF(ISNUMBER(AVERAGE('20250815_ETF_Options_Exhibits'!AA657:AA661)),AVERAGE('20250815_ETF_Options_Exhibits'!AA657:AA661),"")</f>
        <v/>
      </c>
    </row>
    <row r="662">
      <c r="A662" s="1" t="n">
        <v>42962</v>
      </c>
      <c r="B662" s="3">
        <f>IF(ISNUMBER(AVERAGE('20250815_ETF_Options_Exhibits'!B658:B662)),AVERAGE('20250815_ETF_Options_Exhibits'!B658:B662),"")</f>
        <v/>
      </c>
      <c r="C662" s="3">
        <f>IF(ISNUMBER(AVERAGE('20250815_ETF_Options_Exhibits'!C658:C662)),AVERAGE('20250815_ETF_Options_Exhibits'!C658:C662),"")</f>
        <v/>
      </c>
      <c r="D662" s="3">
        <f>IF(ISNUMBER(AVERAGE('20250815_ETF_Options_Exhibits'!D658:D662)),AVERAGE('20250815_ETF_Options_Exhibits'!D658:D662),"")</f>
        <v/>
      </c>
      <c r="E662" s="3">
        <f>IF(ISNUMBER(AVERAGE('20250815_ETF_Options_Exhibits'!E658:E662)),AVERAGE('20250815_ETF_Options_Exhibits'!E658:E662),"")</f>
        <v/>
      </c>
      <c r="F662" s="3">
        <f>IF(ISNUMBER(AVERAGE('20250815_ETF_Options_Exhibits'!F658:F662)),AVERAGE('20250815_ETF_Options_Exhibits'!F658:F662),"")</f>
        <v/>
      </c>
      <c r="G662" s="3">
        <f>IF(ISNUMBER(AVERAGE('20250815_ETF_Options_Exhibits'!G658:G662)),AVERAGE('20250815_ETF_Options_Exhibits'!G658:G662),"")</f>
        <v/>
      </c>
      <c r="H662" s="3">
        <f>IF(ISNUMBER(AVERAGE('20250815_ETF_Options_Exhibits'!H658:H662)),AVERAGE('20250815_ETF_Options_Exhibits'!H658:H662),"")</f>
        <v/>
      </c>
      <c r="I662" s="3">
        <f>IF(ISNUMBER(AVERAGE('20250815_ETF_Options_Exhibits'!I658:I662)),AVERAGE('20250815_ETF_Options_Exhibits'!I658:I662),"")</f>
        <v/>
      </c>
      <c r="J662" s="3">
        <f>IF(ISNUMBER(AVERAGE('20250815_ETF_Options_Exhibits'!J658:J662)),AVERAGE('20250815_ETF_Options_Exhibits'!J658:J662),"")</f>
        <v/>
      </c>
      <c r="K662" s="3">
        <f>IF(ISNUMBER(AVERAGE('20250815_ETF_Options_Exhibits'!K658:K662)),AVERAGE('20250815_ETF_Options_Exhibits'!K658:K662),"")</f>
        <v/>
      </c>
      <c r="L662" s="3">
        <f>IF(ISNUMBER(AVERAGE('20250815_ETF_Options_Exhibits'!L658:L662)),AVERAGE('20250815_ETF_Options_Exhibits'!L658:L662),"")</f>
        <v/>
      </c>
      <c r="M662" s="3">
        <f>IF(ISNUMBER(AVERAGE('20250815_ETF_Options_Exhibits'!M658:M662)),AVERAGE('20250815_ETF_Options_Exhibits'!M658:M662),"")</f>
        <v/>
      </c>
      <c r="N662" s="3">
        <f>IF(ISNUMBER(AVERAGE('20250815_ETF_Options_Exhibits'!N658:N662)),AVERAGE('20250815_ETF_Options_Exhibits'!N658:N662),"")</f>
        <v/>
      </c>
      <c r="O662" s="3">
        <f>IF(ISNUMBER(AVERAGE('20250815_ETF_Options_Exhibits'!O658:O662)),AVERAGE('20250815_ETF_Options_Exhibits'!O658:O662),"")</f>
        <v/>
      </c>
      <c r="P662" s="3">
        <f>IF(ISNUMBER(AVERAGE('20250815_ETF_Options_Exhibits'!P658:P662)),AVERAGE('20250815_ETF_Options_Exhibits'!P658:P662),"")</f>
        <v/>
      </c>
      <c r="Q662" s="3">
        <f>IF(ISNUMBER(AVERAGE('20250815_ETF_Options_Exhibits'!Q658:Q662)),AVERAGE('20250815_ETF_Options_Exhibits'!Q658:Q662),"")</f>
        <v/>
      </c>
      <c r="R662" s="3">
        <f>IF(ISNUMBER(AVERAGE('20250815_ETF_Options_Exhibits'!R658:R662)),AVERAGE('20250815_ETF_Options_Exhibits'!R658:R662),"")</f>
        <v/>
      </c>
      <c r="S662" s="3">
        <f>IF(ISNUMBER(AVERAGE('20250815_ETF_Options_Exhibits'!S658:S662)),AVERAGE('20250815_ETF_Options_Exhibits'!S658:S662),"")</f>
        <v/>
      </c>
      <c r="T662" s="3">
        <f>IF(ISNUMBER(AVERAGE('20250815_ETF_Options_Exhibits'!T658:T662)),AVERAGE('20250815_ETF_Options_Exhibits'!T658:T662),"")</f>
        <v/>
      </c>
      <c r="U662" s="3">
        <f>IF(ISNUMBER(AVERAGE('20250815_ETF_Options_Exhibits'!U658:U662)),AVERAGE('20250815_ETF_Options_Exhibits'!U658:U662),"")</f>
        <v/>
      </c>
      <c r="V662" s="3">
        <f>IF(ISNUMBER(AVERAGE('20250815_ETF_Options_Exhibits'!V658:V662)),AVERAGE('20250815_ETF_Options_Exhibits'!V658:V662),"")</f>
        <v/>
      </c>
      <c r="W662" s="3">
        <f>IF(ISNUMBER(AVERAGE('20250815_ETF_Options_Exhibits'!W658:W662)),AVERAGE('20250815_ETF_Options_Exhibits'!W658:W662),"")</f>
        <v/>
      </c>
      <c r="X662" s="3">
        <f>IF(ISNUMBER(AVERAGE('20250815_ETF_Options_Exhibits'!X658:X662)),AVERAGE('20250815_ETF_Options_Exhibits'!X658:X662),"")</f>
        <v/>
      </c>
      <c r="Y662" s="3">
        <f>IF(ISNUMBER(AVERAGE('20250815_ETF_Options_Exhibits'!Y658:Y662)),AVERAGE('20250815_ETF_Options_Exhibits'!Y658:Y662),"")</f>
        <v/>
      </c>
      <c r="Z662" s="3">
        <f>IF(ISNUMBER(AVERAGE('20250815_ETF_Options_Exhibits'!Z658:Z662)),AVERAGE('20250815_ETF_Options_Exhibits'!Z658:Z662),"")</f>
        <v/>
      </c>
      <c r="AA662" s="3">
        <f>IF(ISNUMBER(AVERAGE('20250815_ETF_Options_Exhibits'!AA658:AA662)),AVERAGE('20250815_ETF_Options_Exhibits'!AA658:AA662),"")</f>
        <v/>
      </c>
    </row>
    <row r="663">
      <c r="A663" s="1" t="n">
        <v>42963</v>
      </c>
      <c r="B663" s="3">
        <f>IF(ISNUMBER(AVERAGE('20250815_ETF_Options_Exhibits'!B659:B663)),AVERAGE('20250815_ETF_Options_Exhibits'!B659:B663),"")</f>
        <v/>
      </c>
      <c r="C663" s="3">
        <f>IF(ISNUMBER(AVERAGE('20250815_ETF_Options_Exhibits'!C659:C663)),AVERAGE('20250815_ETF_Options_Exhibits'!C659:C663),"")</f>
        <v/>
      </c>
      <c r="D663" s="3">
        <f>IF(ISNUMBER(AVERAGE('20250815_ETF_Options_Exhibits'!D659:D663)),AVERAGE('20250815_ETF_Options_Exhibits'!D659:D663),"")</f>
        <v/>
      </c>
      <c r="E663" s="3">
        <f>IF(ISNUMBER(AVERAGE('20250815_ETF_Options_Exhibits'!E659:E663)),AVERAGE('20250815_ETF_Options_Exhibits'!E659:E663),"")</f>
        <v/>
      </c>
      <c r="F663" s="3">
        <f>IF(ISNUMBER(AVERAGE('20250815_ETF_Options_Exhibits'!F659:F663)),AVERAGE('20250815_ETF_Options_Exhibits'!F659:F663),"")</f>
        <v/>
      </c>
      <c r="G663" s="3">
        <f>IF(ISNUMBER(AVERAGE('20250815_ETF_Options_Exhibits'!G659:G663)),AVERAGE('20250815_ETF_Options_Exhibits'!G659:G663),"")</f>
        <v/>
      </c>
      <c r="H663" s="3">
        <f>IF(ISNUMBER(AVERAGE('20250815_ETF_Options_Exhibits'!H659:H663)),AVERAGE('20250815_ETF_Options_Exhibits'!H659:H663),"")</f>
        <v/>
      </c>
      <c r="I663" s="3">
        <f>IF(ISNUMBER(AVERAGE('20250815_ETF_Options_Exhibits'!I659:I663)),AVERAGE('20250815_ETF_Options_Exhibits'!I659:I663),"")</f>
        <v/>
      </c>
      <c r="J663" s="3">
        <f>IF(ISNUMBER(AVERAGE('20250815_ETF_Options_Exhibits'!J659:J663)),AVERAGE('20250815_ETF_Options_Exhibits'!J659:J663),"")</f>
        <v/>
      </c>
      <c r="K663" s="3">
        <f>IF(ISNUMBER(AVERAGE('20250815_ETF_Options_Exhibits'!K659:K663)),AVERAGE('20250815_ETF_Options_Exhibits'!K659:K663),"")</f>
        <v/>
      </c>
      <c r="L663" s="3">
        <f>IF(ISNUMBER(AVERAGE('20250815_ETF_Options_Exhibits'!L659:L663)),AVERAGE('20250815_ETF_Options_Exhibits'!L659:L663),"")</f>
        <v/>
      </c>
      <c r="M663" s="3">
        <f>IF(ISNUMBER(AVERAGE('20250815_ETF_Options_Exhibits'!M659:M663)),AVERAGE('20250815_ETF_Options_Exhibits'!M659:M663),"")</f>
        <v/>
      </c>
      <c r="N663" s="3">
        <f>IF(ISNUMBER(AVERAGE('20250815_ETF_Options_Exhibits'!N659:N663)),AVERAGE('20250815_ETF_Options_Exhibits'!N659:N663),"")</f>
        <v/>
      </c>
      <c r="O663" s="3">
        <f>IF(ISNUMBER(AVERAGE('20250815_ETF_Options_Exhibits'!O659:O663)),AVERAGE('20250815_ETF_Options_Exhibits'!O659:O663),"")</f>
        <v/>
      </c>
      <c r="P663" s="3">
        <f>IF(ISNUMBER(AVERAGE('20250815_ETF_Options_Exhibits'!P659:P663)),AVERAGE('20250815_ETF_Options_Exhibits'!P659:P663),"")</f>
        <v/>
      </c>
      <c r="Q663" s="3">
        <f>IF(ISNUMBER(AVERAGE('20250815_ETF_Options_Exhibits'!Q659:Q663)),AVERAGE('20250815_ETF_Options_Exhibits'!Q659:Q663),"")</f>
        <v/>
      </c>
      <c r="R663" s="3">
        <f>IF(ISNUMBER(AVERAGE('20250815_ETF_Options_Exhibits'!R659:R663)),AVERAGE('20250815_ETF_Options_Exhibits'!R659:R663),"")</f>
        <v/>
      </c>
      <c r="S663" s="3">
        <f>IF(ISNUMBER(AVERAGE('20250815_ETF_Options_Exhibits'!S659:S663)),AVERAGE('20250815_ETF_Options_Exhibits'!S659:S663),"")</f>
        <v/>
      </c>
      <c r="T663" s="3">
        <f>IF(ISNUMBER(AVERAGE('20250815_ETF_Options_Exhibits'!T659:T663)),AVERAGE('20250815_ETF_Options_Exhibits'!T659:T663),"")</f>
        <v/>
      </c>
      <c r="U663" s="3">
        <f>IF(ISNUMBER(AVERAGE('20250815_ETF_Options_Exhibits'!U659:U663)),AVERAGE('20250815_ETF_Options_Exhibits'!U659:U663),"")</f>
        <v/>
      </c>
      <c r="V663" s="3">
        <f>IF(ISNUMBER(AVERAGE('20250815_ETF_Options_Exhibits'!V659:V663)),AVERAGE('20250815_ETF_Options_Exhibits'!V659:V663),"")</f>
        <v/>
      </c>
      <c r="W663" s="3">
        <f>IF(ISNUMBER(AVERAGE('20250815_ETF_Options_Exhibits'!W659:W663)),AVERAGE('20250815_ETF_Options_Exhibits'!W659:W663),"")</f>
        <v/>
      </c>
      <c r="X663" s="3">
        <f>IF(ISNUMBER(AVERAGE('20250815_ETF_Options_Exhibits'!X659:X663)),AVERAGE('20250815_ETF_Options_Exhibits'!X659:X663),"")</f>
        <v/>
      </c>
      <c r="Y663" s="3">
        <f>IF(ISNUMBER(AVERAGE('20250815_ETF_Options_Exhibits'!Y659:Y663)),AVERAGE('20250815_ETF_Options_Exhibits'!Y659:Y663),"")</f>
        <v/>
      </c>
      <c r="Z663" s="3">
        <f>IF(ISNUMBER(AVERAGE('20250815_ETF_Options_Exhibits'!Z659:Z663)),AVERAGE('20250815_ETF_Options_Exhibits'!Z659:Z663),"")</f>
        <v/>
      </c>
      <c r="AA663" s="3">
        <f>IF(ISNUMBER(AVERAGE('20250815_ETF_Options_Exhibits'!AA659:AA663)),AVERAGE('20250815_ETF_Options_Exhibits'!AA659:AA663),"")</f>
        <v/>
      </c>
    </row>
    <row r="664">
      <c r="A664" s="1" t="n">
        <v>42964</v>
      </c>
      <c r="B664" s="3">
        <f>IF(ISNUMBER(AVERAGE('20250815_ETF_Options_Exhibits'!B660:B664)),AVERAGE('20250815_ETF_Options_Exhibits'!B660:B664),"")</f>
        <v/>
      </c>
      <c r="C664" s="3">
        <f>IF(ISNUMBER(AVERAGE('20250815_ETF_Options_Exhibits'!C660:C664)),AVERAGE('20250815_ETF_Options_Exhibits'!C660:C664),"")</f>
        <v/>
      </c>
      <c r="D664" s="3">
        <f>IF(ISNUMBER(AVERAGE('20250815_ETF_Options_Exhibits'!D660:D664)),AVERAGE('20250815_ETF_Options_Exhibits'!D660:D664),"")</f>
        <v/>
      </c>
      <c r="E664" s="3">
        <f>IF(ISNUMBER(AVERAGE('20250815_ETF_Options_Exhibits'!E660:E664)),AVERAGE('20250815_ETF_Options_Exhibits'!E660:E664),"")</f>
        <v/>
      </c>
      <c r="F664" s="3">
        <f>IF(ISNUMBER(AVERAGE('20250815_ETF_Options_Exhibits'!F660:F664)),AVERAGE('20250815_ETF_Options_Exhibits'!F660:F664),"")</f>
        <v/>
      </c>
      <c r="G664" s="3">
        <f>IF(ISNUMBER(AVERAGE('20250815_ETF_Options_Exhibits'!G660:G664)),AVERAGE('20250815_ETF_Options_Exhibits'!G660:G664),"")</f>
        <v/>
      </c>
      <c r="H664" s="3">
        <f>IF(ISNUMBER(AVERAGE('20250815_ETF_Options_Exhibits'!H660:H664)),AVERAGE('20250815_ETF_Options_Exhibits'!H660:H664),"")</f>
        <v/>
      </c>
      <c r="I664" s="3">
        <f>IF(ISNUMBER(AVERAGE('20250815_ETF_Options_Exhibits'!I660:I664)),AVERAGE('20250815_ETF_Options_Exhibits'!I660:I664),"")</f>
        <v/>
      </c>
      <c r="J664" s="3">
        <f>IF(ISNUMBER(AVERAGE('20250815_ETF_Options_Exhibits'!J660:J664)),AVERAGE('20250815_ETF_Options_Exhibits'!J660:J664),"")</f>
        <v/>
      </c>
      <c r="K664" s="3">
        <f>IF(ISNUMBER(AVERAGE('20250815_ETF_Options_Exhibits'!K660:K664)),AVERAGE('20250815_ETF_Options_Exhibits'!K660:K664),"")</f>
        <v/>
      </c>
      <c r="L664" s="3">
        <f>IF(ISNUMBER(AVERAGE('20250815_ETF_Options_Exhibits'!L660:L664)),AVERAGE('20250815_ETF_Options_Exhibits'!L660:L664),"")</f>
        <v/>
      </c>
      <c r="M664" s="3">
        <f>IF(ISNUMBER(AVERAGE('20250815_ETF_Options_Exhibits'!M660:M664)),AVERAGE('20250815_ETF_Options_Exhibits'!M660:M664),"")</f>
        <v/>
      </c>
      <c r="N664" s="3">
        <f>IF(ISNUMBER(AVERAGE('20250815_ETF_Options_Exhibits'!N660:N664)),AVERAGE('20250815_ETF_Options_Exhibits'!N660:N664),"")</f>
        <v/>
      </c>
      <c r="O664" s="3">
        <f>IF(ISNUMBER(AVERAGE('20250815_ETF_Options_Exhibits'!O660:O664)),AVERAGE('20250815_ETF_Options_Exhibits'!O660:O664),"")</f>
        <v/>
      </c>
      <c r="P664" s="3">
        <f>IF(ISNUMBER(AVERAGE('20250815_ETF_Options_Exhibits'!P660:P664)),AVERAGE('20250815_ETF_Options_Exhibits'!P660:P664),"")</f>
        <v/>
      </c>
      <c r="Q664" s="3">
        <f>IF(ISNUMBER(AVERAGE('20250815_ETF_Options_Exhibits'!Q660:Q664)),AVERAGE('20250815_ETF_Options_Exhibits'!Q660:Q664),"")</f>
        <v/>
      </c>
      <c r="R664" s="3">
        <f>IF(ISNUMBER(AVERAGE('20250815_ETF_Options_Exhibits'!R660:R664)),AVERAGE('20250815_ETF_Options_Exhibits'!R660:R664),"")</f>
        <v/>
      </c>
      <c r="S664" s="3">
        <f>IF(ISNUMBER(AVERAGE('20250815_ETF_Options_Exhibits'!S660:S664)),AVERAGE('20250815_ETF_Options_Exhibits'!S660:S664),"")</f>
        <v/>
      </c>
      <c r="T664" s="3">
        <f>IF(ISNUMBER(AVERAGE('20250815_ETF_Options_Exhibits'!T660:T664)),AVERAGE('20250815_ETF_Options_Exhibits'!T660:T664),"")</f>
        <v/>
      </c>
      <c r="U664" s="3">
        <f>IF(ISNUMBER(AVERAGE('20250815_ETF_Options_Exhibits'!U660:U664)),AVERAGE('20250815_ETF_Options_Exhibits'!U660:U664),"")</f>
        <v/>
      </c>
      <c r="V664" s="3">
        <f>IF(ISNUMBER(AVERAGE('20250815_ETF_Options_Exhibits'!V660:V664)),AVERAGE('20250815_ETF_Options_Exhibits'!V660:V664),"")</f>
        <v/>
      </c>
      <c r="W664" s="3">
        <f>IF(ISNUMBER(AVERAGE('20250815_ETF_Options_Exhibits'!W660:W664)),AVERAGE('20250815_ETF_Options_Exhibits'!W660:W664),"")</f>
        <v/>
      </c>
      <c r="X664" s="3">
        <f>IF(ISNUMBER(AVERAGE('20250815_ETF_Options_Exhibits'!X660:X664)),AVERAGE('20250815_ETF_Options_Exhibits'!X660:X664),"")</f>
        <v/>
      </c>
      <c r="Y664" s="3">
        <f>IF(ISNUMBER(AVERAGE('20250815_ETF_Options_Exhibits'!Y660:Y664)),AVERAGE('20250815_ETF_Options_Exhibits'!Y660:Y664),"")</f>
        <v/>
      </c>
      <c r="Z664" s="3">
        <f>IF(ISNUMBER(AVERAGE('20250815_ETF_Options_Exhibits'!Z660:Z664)),AVERAGE('20250815_ETF_Options_Exhibits'!Z660:Z664),"")</f>
        <v/>
      </c>
      <c r="AA664" s="3">
        <f>IF(ISNUMBER(AVERAGE('20250815_ETF_Options_Exhibits'!AA660:AA664)),AVERAGE('20250815_ETF_Options_Exhibits'!AA660:AA664),"")</f>
        <v/>
      </c>
    </row>
    <row r="665">
      <c r="A665" s="1" t="n">
        <v>42965</v>
      </c>
      <c r="B665" s="3">
        <f>IF(ISNUMBER(AVERAGE('20250815_ETF_Options_Exhibits'!B661:B665)),AVERAGE('20250815_ETF_Options_Exhibits'!B661:B665),"")</f>
        <v/>
      </c>
      <c r="C665" s="3">
        <f>IF(ISNUMBER(AVERAGE('20250815_ETF_Options_Exhibits'!C661:C665)),AVERAGE('20250815_ETF_Options_Exhibits'!C661:C665),"")</f>
        <v/>
      </c>
      <c r="D665" s="3">
        <f>IF(ISNUMBER(AVERAGE('20250815_ETF_Options_Exhibits'!D661:D665)),AVERAGE('20250815_ETF_Options_Exhibits'!D661:D665),"")</f>
        <v/>
      </c>
      <c r="E665" s="3">
        <f>IF(ISNUMBER(AVERAGE('20250815_ETF_Options_Exhibits'!E661:E665)),AVERAGE('20250815_ETF_Options_Exhibits'!E661:E665),"")</f>
        <v/>
      </c>
      <c r="F665" s="3">
        <f>IF(ISNUMBER(AVERAGE('20250815_ETF_Options_Exhibits'!F661:F665)),AVERAGE('20250815_ETF_Options_Exhibits'!F661:F665),"")</f>
        <v/>
      </c>
      <c r="G665" s="3">
        <f>IF(ISNUMBER(AVERAGE('20250815_ETF_Options_Exhibits'!G661:G665)),AVERAGE('20250815_ETF_Options_Exhibits'!G661:G665),"")</f>
        <v/>
      </c>
      <c r="H665" s="3">
        <f>IF(ISNUMBER(AVERAGE('20250815_ETF_Options_Exhibits'!H661:H665)),AVERAGE('20250815_ETF_Options_Exhibits'!H661:H665),"")</f>
        <v/>
      </c>
      <c r="I665" s="3">
        <f>IF(ISNUMBER(AVERAGE('20250815_ETF_Options_Exhibits'!I661:I665)),AVERAGE('20250815_ETF_Options_Exhibits'!I661:I665),"")</f>
        <v/>
      </c>
      <c r="J665" s="3">
        <f>IF(ISNUMBER(AVERAGE('20250815_ETF_Options_Exhibits'!J661:J665)),AVERAGE('20250815_ETF_Options_Exhibits'!J661:J665),"")</f>
        <v/>
      </c>
      <c r="K665" s="3">
        <f>IF(ISNUMBER(AVERAGE('20250815_ETF_Options_Exhibits'!K661:K665)),AVERAGE('20250815_ETF_Options_Exhibits'!K661:K665),"")</f>
        <v/>
      </c>
      <c r="L665" s="3">
        <f>IF(ISNUMBER(AVERAGE('20250815_ETF_Options_Exhibits'!L661:L665)),AVERAGE('20250815_ETF_Options_Exhibits'!L661:L665),"")</f>
        <v/>
      </c>
      <c r="M665" s="3">
        <f>IF(ISNUMBER(AVERAGE('20250815_ETF_Options_Exhibits'!M661:M665)),AVERAGE('20250815_ETF_Options_Exhibits'!M661:M665),"")</f>
        <v/>
      </c>
      <c r="N665" s="3">
        <f>IF(ISNUMBER(AVERAGE('20250815_ETF_Options_Exhibits'!N661:N665)),AVERAGE('20250815_ETF_Options_Exhibits'!N661:N665),"")</f>
        <v/>
      </c>
      <c r="O665" s="3">
        <f>IF(ISNUMBER(AVERAGE('20250815_ETF_Options_Exhibits'!O661:O665)),AVERAGE('20250815_ETF_Options_Exhibits'!O661:O665),"")</f>
        <v/>
      </c>
      <c r="P665" s="3">
        <f>IF(ISNUMBER(AVERAGE('20250815_ETF_Options_Exhibits'!P661:P665)),AVERAGE('20250815_ETF_Options_Exhibits'!P661:P665),"")</f>
        <v/>
      </c>
      <c r="Q665" s="3">
        <f>IF(ISNUMBER(AVERAGE('20250815_ETF_Options_Exhibits'!Q661:Q665)),AVERAGE('20250815_ETF_Options_Exhibits'!Q661:Q665),"")</f>
        <v/>
      </c>
      <c r="R665" s="3">
        <f>IF(ISNUMBER(AVERAGE('20250815_ETF_Options_Exhibits'!R661:R665)),AVERAGE('20250815_ETF_Options_Exhibits'!R661:R665),"")</f>
        <v/>
      </c>
      <c r="S665" s="3">
        <f>IF(ISNUMBER(AVERAGE('20250815_ETF_Options_Exhibits'!S661:S665)),AVERAGE('20250815_ETF_Options_Exhibits'!S661:S665),"")</f>
        <v/>
      </c>
      <c r="T665" s="3">
        <f>IF(ISNUMBER(AVERAGE('20250815_ETF_Options_Exhibits'!T661:T665)),AVERAGE('20250815_ETF_Options_Exhibits'!T661:T665),"")</f>
        <v/>
      </c>
      <c r="U665" s="3">
        <f>IF(ISNUMBER(AVERAGE('20250815_ETF_Options_Exhibits'!U661:U665)),AVERAGE('20250815_ETF_Options_Exhibits'!U661:U665),"")</f>
        <v/>
      </c>
      <c r="V665" s="3">
        <f>IF(ISNUMBER(AVERAGE('20250815_ETF_Options_Exhibits'!V661:V665)),AVERAGE('20250815_ETF_Options_Exhibits'!V661:V665),"")</f>
        <v/>
      </c>
      <c r="W665" s="3">
        <f>IF(ISNUMBER(AVERAGE('20250815_ETF_Options_Exhibits'!W661:W665)),AVERAGE('20250815_ETF_Options_Exhibits'!W661:W665),"")</f>
        <v/>
      </c>
      <c r="X665" s="3">
        <f>IF(ISNUMBER(AVERAGE('20250815_ETF_Options_Exhibits'!X661:X665)),AVERAGE('20250815_ETF_Options_Exhibits'!X661:X665),"")</f>
        <v/>
      </c>
      <c r="Y665" s="3">
        <f>IF(ISNUMBER(AVERAGE('20250815_ETF_Options_Exhibits'!Y661:Y665)),AVERAGE('20250815_ETF_Options_Exhibits'!Y661:Y665),"")</f>
        <v/>
      </c>
      <c r="Z665" s="3">
        <f>IF(ISNUMBER(AVERAGE('20250815_ETF_Options_Exhibits'!Z661:Z665)),AVERAGE('20250815_ETF_Options_Exhibits'!Z661:Z665),"")</f>
        <v/>
      </c>
      <c r="AA665" s="3">
        <f>IF(ISNUMBER(AVERAGE('20250815_ETF_Options_Exhibits'!AA661:AA665)),AVERAGE('20250815_ETF_Options_Exhibits'!AA661:AA665),"")</f>
        <v/>
      </c>
    </row>
    <row r="666">
      <c r="A666" s="1" t="n">
        <v>42968</v>
      </c>
      <c r="B666" s="3">
        <f>IF(ISNUMBER(AVERAGE('20250815_ETF_Options_Exhibits'!B662:B666)),AVERAGE('20250815_ETF_Options_Exhibits'!B662:B666),"")</f>
        <v/>
      </c>
      <c r="C666" s="3">
        <f>IF(ISNUMBER(AVERAGE('20250815_ETF_Options_Exhibits'!C662:C666)),AVERAGE('20250815_ETF_Options_Exhibits'!C662:C666),"")</f>
        <v/>
      </c>
      <c r="D666" s="3">
        <f>IF(ISNUMBER(AVERAGE('20250815_ETF_Options_Exhibits'!D662:D666)),AVERAGE('20250815_ETF_Options_Exhibits'!D662:D666),"")</f>
        <v/>
      </c>
      <c r="E666" s="3">
        <f>IF(ISNUMBER(AVERAGE('20250815_ETF_Options_Exhibits'!E662:E666)),AVERAGE('20250815_ETF_Options_Exhibits'!E662:E666),"")</f>
        <v/>
      </c>
      <c r="F666" s="3">
        <f>IF(ISNUMBER(AVERAGE('20250815_ETF_Options_Exhibits'!F662:F666)),AVERAGE('20250815_ETF_Options_Exhibits'!F662:F666),"")</f>
        <v/>
      </c>
      <c r="G666" s="3">
        <f>IF(ISNUMBER(AVERAGE('20250815_ETF_Options_Exhibits'!G662:G666)),AVERAGE('20250815_ETF_Options_Exhibits'!G662:G666),"")</f>
        <v/>
      </c>
      <c r="H666" s="3">
        <f>IF(ISNUMBER(AVERAGE('20250815_ETF_Options_Exhibits'!H662:H666)),AVERAGE('20250815_ETF_Options_Exhibits'!H662:H666),"")</f>
        <v/>
      </c>
      <c r="I666" s="3">
        <f>IF(ISNUMBER(AVERAGE('20250815_ETF_Options_Exhibits'!I662:I666)),AVERAGE('20250815_ETF_Options_Exhibits'!I662:I666),"")</f>
        <v/>
      </c>
      <c r="J666" s="3">
        <f>IF(ISNUMBER(AVERAGE('20250815_ETF_Options_Exhibits'!J662:J666)),AVERAGE('20250815_ETF_Options_Exhibits'!J662:J666),"")</f>
        <v/>
      </c>
      <c r="K666" s="3">
        <f>IF(ISNUMBER(AVERAGE('20250815_ETF_Options_Exhibits'!K662:K666)),AVERAGE('20250815_ETF_Options_Exhibits'!K662:K666),"")</f>
        <v/>
      </c>
      <c r="L666" s="3">
        <f>IF(ISNUMBER(AVERAGE('20250815_ETF_Options_Exhibits'!L662:L666)),AVERAGE('20250815_ETF_Options_Exhibits'!L662:L666),"")</f>
        <v/>
      </c>
      <c r="M666" s="3">
        <f>IF(ISNUMBER(AVERAGE('20250815_ETF_Options_Exhibits'!M662:M666)),AVERAGE('20250815_ETF_Options_Exhibits'!M662:M666),"")</f>
        <v/>
      </c>
      <c r="N666" s="3">
        <f>IF(ISNUMBER(AVERAGE('20250815_ETF_Options_Exhibits'!N662:N666)),AVERAGE('20250815_ETF_Options_Exhibits'!N662:N666),"")</f>
        <v/>
      </c>
      <c r="O666" s="3">
        <f>IF(ISNUMBER(AVERAGE('20250815_ETF_Options_Exhibits'!O662:O666)),AVERAGE('20250815_ETF_Options_Exhibits'!O662:O666),"")</f>
        <v/>
      </c>
      <c r="P666" s="3">
        <f>IF(ISNUMBER(AVERAGE('20250815_ETF_Options_Exhibits'!P662:P666)),AVERAGE('20250815_ETF_Options_Exhibits'!P662:P666),"")</f>
        <v/>
      </c>
      <c r="Q666" s="3">
        <f>IF(ISNUMBER(AVERAGE('20250815_ETF_Options_Exhibits'!Q662:Q666)),AVERAGE('20250815_ETF_Options_Exhibits'!Q662:Q666),"")</f>
        <v/>
      </c>
      <c r="R666" s="3">
        <f>IF(ISNUMBER(AVERAGE('20250815_ETF_Options_Exhibits'!R662:R666)),AVERAGE('20250815_ETF_Options_Exhibits'!R662:R666),"")</f>
        <v/>
      </c>
      <c r="S666" s="3">
        <f>IF(ISNUMBER(AVERAGE('20250815_ETF_Options_Exhibits'!S662:S666)),AVERAGE('20250815_ETF_Options_Exhibits'!S662:S666),"")</f>
        <v/>
      </c>
      <c r="T666" s="3">
        <f>IF(ISNUMBER(AVERAGE('20250815_ETF_Options_Exhibits'!T662:T666)),AVERAGE('20250815_ETF_Options_Exhibits'!T662:T666),"")</f>
        <v/>
      </c>
      <c r="U666" s="3">
        <f>IF(ISNUMBER(AVERAGE('20250815_ETF_Options_Exhibits'!U662:U666)),AVERAGE('20250815_ETF_Options_Exhibits'!U662:U666),"")</f>
        <v/>
      </c>
      <c r="V666" s="3">
        <f>IF(ISNUMBER(AVERAGE('20250815_ETF_Options_Exhibits'!V662:V666)),AVERAGE('20250815_ETF_Options_Exhibits'!V662:V666),"")</f>
        <v/>
      </c>
      <c r="W666" s="3">
        <f>IF(ISNUMBER(AVERAGE('20250815_ETF_Options_Exhibits'!W662:W666)),AVERAGE('20250815_ETF_Options_Exhibits'!W662:W666),"")</f>
        <v/>
      </c>
      <c r="X666" s="3">
        <f>IF(ISNUMBER(AVERAGE('20250815_ETF_Options_Exhibits'!X662:X666)),AVERAGE('20250815_ETF_Options_Exhibits'!X662:X666),"")</f>
        <v/>
      </c>
      <c r="Y666" s="3">
        <f>IF(ISNUMBER(AVERAGE('20250815_ETF_Options_Exhibits'!Y662:Y666)),AVERAGE('20250815_ETF_Options_Exhibits'!Y662:Y666),"")</f>
        <v/>
      </c>
      <c r="Z666" s="3">
        <f>IF(ISNUMBER(AVERAGE('20250815_ETF_Options_Exhibits'!Z662:Z666)),AVERAGE('20250815_ETF_Options_Exhibits'!Z662:Z666),"")</f>
        <v/>
      </c>
      <c r="AA666" s="3">
        <f>IF(ISNUMBER(AVERAGE('20250815_ETF_Options_Exhibits'!AA662:AA666)),AVERAGE('20250815_ETF_Options_Exhibits'!AA662:AA666),"")</f>
        <v/>
      </c>
    </row>
    <row r="667">
      <c r="A667" s="1" t="n">
        <v>42969</v>
      </c>
      <c r="B667" s="3">
        <f>IF(ISNUMBER(AVERAGE('20250815_ETF_Options_Exhibits'!B663:B667)),AVERAGE('20250815_ETF_Options_Exhibits'!B663:B667),"")</f>
        <v/>
      </c>
      <c r="C667" s="3">
        <f>IF(ISNUMBER(AVERAGE('20250815_ETF_Options_Exhibits'!C663:C667)),AVERAGE('20250815_ETF_Options_Exhibits'!C663:C667),"")</f>
        <v/>
      </c>
      <c r="D667" s="3">
        <f>IF(ISNUMBER(AVERAGE('20250815_ETF_Options_Exhibits'!D663:D667)),AVERAGE('20250815_ETF_Options_Exhibits'!D663:D667),"")</f>
        <v/>
      </c>
      <c r="E667" s="3">
        <f>IF(ISNUMBER(AVERAGE('20250815_ETF_Options_Exhibits'!E663:E667)),AVERAGE('20250815_ETF_Options_Exhibits'!E663:E667),"")</f>
        <v/>
      </c>
      <c r="F667" s="3">
        <f>IF(ISNUMBER(AVERAGE('20250815_ETF_Options_Exhibits'!F663:F667)),AVERAGE('20250815_ETF_Options_Exhibits'!F663:F667),"")</f>
        <v/>
      </c>
      <c r="G667" s="3">
        <f>IF(ISNUMBER(AVERAGE('20250815_ETF_Options_Exhibits'!G663:G667)),AVERAGE('20250815_ETF_Options_Exhibits'!G663:G667),"")</f>
        <v/>
      </c>
      <c r="H667" s="3">
        <f>IF(ISNUMBER(AVERAGE('20250815_ETF_Options_Exhibits'!H663:H667)),AVERAGE('20250815_ETF_Options_Exhibits'!H663:H667),"")</f>
        <v/>
      </c>
      <c r="I667" s="3">
        <f>IF(ISNUMBER(AVERAGE('20250815_ETF_Options_Exhibits'!I663:I667)),AVERAGE('20250815_ETF_Options_Exhibits'!I663:I667),"")</f>
        <v/>
      </c>
      <c r="J667" s="3">
        <f>IF(ISNUMBER(AVERAGE('20250815_ETF_Options_Exhibits'!J663:J667)),AVERAGE('20250815_ETF_Options_Exhibits'!J663:J667),"")</f>
        <v/>
      </c>
      <c r="K667" s="3">
        <f>IF(ISNUMBER(AVERAGE('20250815_ETF_Options_Exhibits'!K663:K667)),AVERAGE('20250815_ETF_Options_Exhibits'!K663:K667),"")</f>
        <v/>
      </c>
      <c r="L667" s="3">
        <f>IF(ISNUMBER(AVERAGE('20250815_ETF_Options_Exhibits'!L663:L667)),AVERAGE('20250815_ETF_Options_Exhibits'!L663:L667),"")</f>
        <v/>
      </c>
      <c r="M667" s="3">
        <f>IF(ISNUMBER(AVERAGE('20250815_ETF_Options_Exhibits'!M663:M667)),AVERAGE('20250815_ETF_Options_Exhibits'!M663:M667),"")</f>
        <v/>
      </c>
      <c r="N667" s="3">
        <f>IF(ISNUMBER(AVERAGE('20250815_ETF_Options_Exhibits'!N663:N667)),AVERAGE('20250815_ETF_Options_Exhibits'!N663:N667),"")</f>
        <v/>
      </c>
      <c r="O667" s="3">
        <f>IF(ISNUMBER(AVERAGE('20250815_ETF_Options_Exhibits'!O663:O667)),AVERAGE('20250815_ETF_Options_Exhibits'!O663:O667),"")</f>
        <v/>
      </c>
      <c r="P667" s="3">
        <f>IF(ISNUMBER(AVERAGE('20250815_ETF_Options_Exhibits'!P663:P667)),AVERAGE('20250815_ETF_Options_Exhibits'!P663:P667),"")</f>
        <v/>
      </c>
      <c r="Q667" s="3">
        <f>IF(ISNUMBER(AVERAGE('20250815_ETF_Options_Exhibits'!Q663:Q667)),AVERAGE('20250815_ETF_Options_Exhibits'!Q663:Q667),"")</f>
        <v/>
      </c>
      <c r="R667" s="3">
        <f>IF(ISNUMBER(AVERAGE('20250815_ETF_Options_Exhibits'!R663:R667)),AVERAGE('20250815_ETF_Options_Exhibits'!R663:R667),"")</f>
        <v/>
      </c>
      <c r="S667" s="3">
        <f>IF(ISNUMBER(AVERAGE('20250815_ETF_Options_Exhibits'!S663:S667)),AVERAGE('20250815_ETF_Options_Exhibits'!S663:S667),"")</f>
        <v/>
      </c>
      <c r="T667" s="3">
        <f>IF(ISNUMBER(AVERAGE('20250815_ETF_Options_Exhibits'!T663:T667)),AVERAGE('20250815_ETF_Options_Exhibits'!T663:T667),"")</f>
        <v/>
      </c>
      <c r="U667" s="3">
        <f>IF(ISNUMBER(AVERAGE('20250815_ETF_Options_Exhibits'!U663:U667)),AVERAGE('20250815_ETF_Options_Exhibits'!U663:U667),"")</f>
        <v/>
      </c>
      <c r="V667" s="3">
        <f>IF(ISNUMBER(AVERAGE('20250815_ETF_Options_Exhibits'!V663:V667)),AVERAGE('20250815_ETF_Options_Exhibits'!V663:V667),"")</f>
        <v/>
      </c>
      <c r="W667" s="3">
        <f>IF(ISNUMBER(AVERAGE('20250815_ETF_Options_Exhibits'!W663:W667)),AVERAGE('20250815_ETF_Options_Exhibits'!W663:W667),"")</f>
        <v/>
      </c>
      <c r="X667" s="3">
        <f>IF(ISNUMBER(AVERAGE('20250815_ETF_Options_Exhibits'!X663:X667)),AVERAGE('20250815_ETF_Options_Exhibits'!X663:X667),"")</f>
        <v/>
      </c>
      <c r="Y667" s="3">
        <f>IF(ISNUMBER(AVERAGE('20250815_ETF_Options_Exhibits'!Y663:Y667)),AVERAGE('20250815_ETF_Options_Exhibits'!Y663:Y667),"")</f>
        <v/>
      </c>
      <c r="Z667" s="3">
        <f>IF(ISNUMBER(AVERAGE('20250815_ETF_Options_Exhibits'!Z663:Z667)),AVERAGE('20250815_ETF_Options_Exhibits'!Z663:Z667),"")</f>
        <v/>
      </c>
      <c r="AA667" s="3">
        <f>IF(ISNUMBER(AVERAGE('20250815_ETF_Options_Exhibits'!AA663:AA667)),AVERAGE('20250815_ETF_Options_Exhibits'!AA663:AA667),"")</f>
        <v/>
      </c>
    </row>
    <row r="668">
      <c r="A668" s="1" t="n">
        <v>42970</v>
      </c>
      <c r="B668" s="3">
        <f>IF(ISNUMBER(AVERAGE('20250815_ETF_Options_Exhibits'!B664:B668)),AVERAGE('20250815_ETF_Options_Exhibits'!B664:B668),"")</f>
        <v/>
      </c>
      <c r="C668" s="3">
        <f>IF(ISNUMBER(AVERAGE('20250815_ETF_Options_Exhibits'!C664:C668)),AVERAGE('20250815_ETF_Options_Exhibits'!C664:C668),"")</f>
        <v/>
      </c>
      <c r="D668" s="3">
        <f>IF(ISNUMBER(AVERAGE('20250815_ETF_Options_Exhibits'!D664:D668)),AVERAGE('20250815_ETF_Options_Exhibits'!D664:D668),"")</f>
        <v/>
      </c>
      <c r="E668" s="3">
        <f>IF(ISNUMBER(AVERAGE('20250815_ETF_Options_Exhibits'!E664:E668)),AVERAGE('20250815_ETF_Options_Exhibits'!E664:E668),"")</f>
        <v/>
      </c>
      <c r="F668" s="3">
        <f>IF(ISNUMBER(AVERAGE('20250815_ETF_Options_Exhibits'!F664:F668)),AVERAGE('20250815_ETF_Options_Exhibits'!F664:F668),"")</f>
        <v/>
      </c>
      <c r="G668" s="3">
        <f>IF(ISNUMBER(AVERAGE('20250815_ETF_Options_Exhibits'!G664:G668)),AVERAGE('20250815_ETF_Options_Exhibits'!G664:G668),"")</f>
        <v/>
      </c>
      <c r="H668" s="3">
        <f>IF(ISNUMBER(AVERAGE('20250815_ETF_Options_Exhibits'!H664:H668)),AVERAGE('20250815_ETF_Options_Exhibits'!H664:H668),"")</f>
        <v/>
      </c>
      <c r="I668" s="3">
        <f>IF(ISNUMBER(AVERAGE('20250815_ETF_Options_Exhibits'!I664:I668)),AVERAGE('20250815_ETF_Options_Exhibits'!I664:I668),"")</f>
        <v/>
      </c>
      <c r="J668" s="3">
        <f>IF(ISNUMBER(AVERAGE('20250815_ETF_Options_Exhibits'!J664:J668)),AVERAGE('20250815_ETF_Options_Exhibits'!J664:J668),"")</f>
        <v/>
      </c>
      <c r="K668" s="3">
        <f>IF(ISNUMBER(AVERAGE('20250815_ETF_Options_Exhibits'!K664:K668)),AVERAGE('20250815_ETF_Options_Exhibits'!K664:K668),"")</f>
        <v/>
      </c>
      <c r="L668" s="3">
        <f>IF(ISNUMBER(AVERAGE('20250815_ETF_Options_Exhibits'!L664:L668)),AVERAGE('20250815_ETF_Options_Exhibits'!L664:L668),"")</f>
        <v/>
      </c>
      <c r="M668" s="3">
        <f>IF(ISNUMBER(AVERAGE('20250815_ETF_Options_Exhibits'!M664:M668)),AVERAGE('20250815_ETF_Options_Exhibits'!M664:M668),"")</f>
        <v/>
      </c>
      <c r="N668" s="3">
        <f>IF(ISNUMBER(AVERAGE('20250815_ETF_Options_Exhibits'!N664:N668)),AVERAGE('20250815_ETF_Options_Exhibits'!N664:N668),"")</f>
        <v/>
      </c>
      <c r="O668" s="3">
        <f>IF(ISNUMBER(AVERAGE('20250815_ETF_Options_Exhibits'!O664:O668)),AVERAGE('20250815_ETF_Options_Exhibits'!O664:O668),"")</f>
        <v/>
      </c>
      <c r="P668" s="3">
        <f>IF(ISNUMBER(AVERAGE('20250815_ETF_Options_Exhibits'!P664:P668)),AVERAGE('20250815_ETF_Options_Exhibits'!P664:P668),"")</f>
        <v/>
      </c>
      <c r="Q668" s="3">
        <f>IF(ISNUMBER(AVERAGE('20250815_ETF_Options_Exhibits'!Q664:Q668)),AVERAGE('20250815_ETF_Options_Exhibits'!Q664:Q668),"")</f>
        <v/>
      </c>
      <c r="R668" s="3">
        <f>IF(ISNUMBER(AVERAGE('20250815_ETF_Options_Exhibits'!R664:R668)),AVERAGE('20250815_ETF_Options_Exhibits'!R664:R668),"")</f>
        <v/>
      </c>
      <c r="S668" s="3">
        <f>IF(ISNUMBER(AVERAGE('20250815_ETF_Options_Exhibits'!S664:S668)),AVERAGE('20250815_ETF_Options_Exhibits'!S664:S668),"")</f>
        <v/>
      </c>
      <c r="T668" s="3">
        <f>IF(ISNUMBER(AVERAGE('20250815_ETF_Options_Exhibits'!T664:T668)),AVERAGE('20250815_ETF_Options_Exhibits'!T664:T668),"")</f>
        <v/>
      </c>
      <c r="U668" s="3">
        <f>IF(ISNUMBER(AVERAGE('20250815_ETF_Options_Exhibits'!U664:U668)),AVERAGE('20250815_ETF_Options_Exhibits'!U664:U668),"")</f>
        <v/>
      </c>
      <c r="V668" s="3">
        <f>IF(ISNUMBER(AVERAGE('20250815_ETF_Options_Exhibits'!V664:V668)),AVERAGE('20250815_ETF_Options_Exhibits'!V664:V668),"")</f>
        <v/>
      </c>
      <c r="W668" s="3">
        <f>IF(ISNUMBER(AVERAGE('20250815_ETF_Options_Exhibits'!W664:W668)),AVERAGE('20250815_ETF_Options_Exhibits'!W664:W668),"")</f>
        <v/>
      </c>
      <c r="X668" s="3">
        <f>IF(ISNUMBER(AVERAGE('20250815_ETF_Options_Exhibits'!X664:X668)),AVERAGE('20250815_ETF_Options_Exhibits'!X664:X668),"")</f>
        <v/>
      </c>
      <c r="Y668" s="3">
        <f>IF(ISNUMBER(AVERAGE('20250815_ETF_Options_Exhibits'!Y664:Y668)),AVERAGE('20250815_ETF_Options_Exhibits'!Y664:Y668),"")</f>
        <v/>
      </c>
      <c r="Z668" s="3">
        <f>IF(ISNUMBER(AVERAGE('20250815_ETF_Options_Exhibits'!Z664:Z668)),AVERAGE('20250815_ETF_Options_Exhibits'!Z664:Z668),"")</f>
        <v/>
      </c>
      <c r="AA668" s="3">
        <f>IF(ISNUMBER(AVERAGE('20250815_ETF_Options_Exhibits'!AA664:AA668)),AVERAGE('20250815_ETF_Options_Exhibits'!AA664:AA668),"")</f>
        <v/>
      </c>
    </row>
    <row r="669">
      <c r="A669" s="1" t="n">
        <v>42971</v>
      </c>
      <c r="B669" s="3">
        <f>IF(ISNUMBER(AVERAGE('20250815_ETF_Options_Exhibits'!B665:B669)),AVERAGE('20250815_ETF_Options_Exhibits'!B665:B669),"")</f>
        <v/>
      </c>
      <c r="C669" s="3">
        <f>IF(ISNUMBER(AVERAGE('20250815_ETF_Options_Exhibits'!C665:C669)),AVERAGE('20250815_ETF_Options_Exhibits'!C665:C669),"")</f>
        <v/>
      </c>
      <c r="D669" s="3">
        <f>IF(ISNUMBER(AVERAGE('20250815_ETF_Options_Exhibits'!D665:D669)),AVERAGE('20250815_ETF_Options_Exhibits'!D665:D669),"")</f>
        <v/>
      </c>
      <c r="E669" s="3">
        <f>IF(ISNUMBER(AVERAGE('20250815_ETF_Options_Exhibits'!E665:E669)),AVERAGE('20250815_ETF_Options_Exhibits'!E665:E669),"")</f>
        <v/>
      </c>
      <c r="F669" s="3">
        <f>IF(ISNUMBER(AVERAGE('20250815_ETF_Options_Exhibits'!F665:F669)),AVERAGE('20250815_ETF_Options_Exhibits'!F665:F669),"")</f>
        <v/>
      </c>
      <c r="G669" s="3">
        <f>IF(ISNUMBER(AVERAGE('20250815_ETF_Options_Exhibits'!G665:G669)),AVERAGE('20250815_ETF_Options_Exhibits'!G665:G669),"")</f>
        <v/>
      </c>
      <c r="H669" s="3">
        <f>IF(ISNUMBER(AVERAGE('20250815_ETF_Options_Exhibits'!H665:H669)),AVERAGE('20250815_ETF_Options_Exhibits'!H665:H669),"")</f>
        <v/>
      </c>
      <c r="I669" s="3">
        <f>IF(ISNUMBER(AVERAGE('20250815_ETF_Options_Exhibits'!I665:I669)),AVERAGE('20250815_ETF_Options_Exhibits'!I665:I669),"")</f>
        <v/>
      </c>
      <c r="J669" s="3">
        <f>IF(ISNUMBER(AVERAGE('20250815_ETF_Options_Exhibits'!J665:J669)),AVERAGE('20250815_ETF_Options_Exhibits'!J665:J669),"")</f>
        <v/>
      </c>
      <c r="K669" s="3">
        <f>IF(ISNUMBER(AVERAGE('20250815_ETF_Options_Exhibits'!K665:K669)),AVERAGE('20250815_ETF_Options_Exhibits'!K665:K669),"")</f>
        <v/>
      </c>
      <c r="L669" s="3">
        <f>IF(ISNUMBER(AVERAGE('20250815_ETF_Options_Exhibits'!L665:L669)),AVERAGE('20250815_ETF_Options_Exhibits'!L665:L669),"")</f>
        <v/>
      </c>
      <c r="M669" s="3">
        <f>IF(ISNUMBER(AVERAGE('20250815_ETF_Options_Exhibits'!M665:M669)),AVERAGE('20250815_ETF_Options_Exhibits'!M665:M669),"")</f>
        <v/>
      </c>
      <c r="N669" s="3">
        <f>IF(ISNUMBER(AVERAGE('20250815_ETF_Options_Exhibits'!N665:N669)),AVERAGE('20250815_ETF_Options_Exhibits'!N665:N669),"")</f>
        <v/>
      </c>
      <c r="O669" s="3">
        <f>IF(ISNUMBER(AVERAGE('20250815_ETF_Options_Exhibits'!O665:O669)),AVERAGE('20250815_ETF_Options_Exhibits'!O665:O669),"")</f>
        <v/>
      </c>
      <c r="P669" s="3">
        <f>IF(ISNUMBER(AVERAGE('20250815_ETF_Options_Exhibits'!P665:P669)),AVERAGE('20250815_ETF_Options_Exhibits'!P665:P669),"")</f>
        <v/>
      </c>
      <c r="Q669" s="3">
        <f>IF(ISNUMBER(AVERAGE('20250815_ETF_Options_Exhibits'!Q665:Q669)),AVERAGE('20250815_ETF_Options_Exhibits'!Q665:Q669),"")</f>
        <v/>
      </c>
      <c r="R669" s="3">
        <f>IF(ISNUMBER(AVERAGE('20250815_ETF_Options_Exhibits'!R665:R669)),AVERAGE('20250815_ETF_Options_Exhibits'!R665:R669),"")</f>
        <v/>
      </c>
      <c r="S669" s="3">
        <f>IF(ISNUMBER(AVERAGE('20250815_ETF_Options_Exhibits'!S665:S669)),AVERAGE('20250815_ETF_Options_Exhibits'!S665:S669),"")</f>
        <v/>
      </c>
      <c r="T669" s="3">
        <f>IF(ISNUMBER(AVERAGE('20250815_ETF_Options_Exhibits'!T665:T669)),AVERAGE('20250815_ETF_Options_Exhibits'!T665:T669),"")</f>
        <v/>
      </c>
      <c r="U669" s="3">
        <f>IF(ISNUMBER(AVERAGE('20250815_ETF_Options_Exhibits'!U665:U669)),AVERAGE('20250815_ETF_Options_Exhibits'!U665:U669),"")</f>
        <v/>
      </c>
      <c r="V669" s="3">
        <f>IF(ISNUMBER(AVERAGE('20250815_ETF_Options_Exhibits'!V665:V669)),AVERAGE('20250815_ETF_Options_Exhibits'!V665:V669),"")</f>
        <v/>
      </c>
      <c r="W669" s="3">
        <f>IF(ISNUMBER(AVERAGE('20250815_ETF_Options_Exhibits'!W665:W669)),AVERAGE('20250815_ETF_Options_Exhibits'!W665:W669),"")</f>
        <v/>
      </c>
      <c r="X669" s="3">
        <f>IF(ISNUMBER(AVERAGE('20250815_ETF_Options_Exhibits'!X665:X669)),AVERAGE('20250815_ETF_Options_Exhibits'!X665:X669),"")</f>
        <v/>
      </c>
      <c r="Y669" s="3">
        <f>IF(ISNUMBER(AVERAGE('20250815_ETF_Options_Exhibits'!Y665:Y669)),AVERAGE('20250815_ETF_Options_Exhibits'!Y665:Y669),"")</f>
        <v/>
      </c>
      <c r="Z669" s="3">
        <f>IF(ISNUMBER(AVERAGE('20250815_ETF_Options_Exhibits'!Z665:Z669)),AVERAGE('20250815_ETF_Options_Exhibits'!Z665:Z669),"")</f>
        <v/>
      </c>
      <c r="AA669" s="3">
        <f>IF(ISNUMBER(AVERAGE('20250815_ETF_Options_Exhibits'!AA665:AA669)),AVERAGE('20250815_ETF_Options_Exhibits'!AA665:AA669),"")</f>
        <v/>
      </c>
    </row>
    <row r="670">
      <c r="A670" s="1" t="n">
        <v>42972</v>
      </c>
      <c r="B670" s="3">
        <f>IF(ISNUMBER(AVERAGE('20250815_ETF_Options_Exhibits'!B666:B670)),AVERAGE('20250815_ETF_Options_Exhibits'!B666:B670),"")</f>
        <v/>
      </c>
      <c r="C670" s="3">
        <f>IF(ISNUMBER(AVERAGE('20250815_ETF_Options_Exhibits'!C666:C670)),AVERAGE('20250815_ETF_Options_Exhibits'!C666:C670),"")</f>
        <v/>
      </c>
      <c r="D670" s="3">
        <f>IF(ISNUMBER(AVERAGE('20250815_ETF_Options_Exhibits'!D666:D670)),AVERAGE('20250815_ETF_Options_Exhibits'!D666:D670),"")</f>
        <v/>
      </c>
      <c r="E670" s="3">
        <f>IF(ISNUMBER(AVERAGE('20250815_ETF_Options_Exhibits'!E666:E670)),AVERAGE('20250815_ETF_Options_Exhibits'!E666:E670),"")</f>
        <v/>
      </c>
      <c r="F670" s="3">
        <f>IF(ISNUMBER(AVERAGE('20250815_ETF_Options_Exhibits'!F666:F670)),AVERAGE('20250815_ETF_Options_Exhibits'!F666:F670),"")</f>
        <v/>
      </c>
      <c r="G670" s="3">
        <f>IF(ISNUMBER(AVERAGE('20250815_ETF_Options_Exhibits'!G666:G670)),AVERAGE('20250815_ETF_Options_Exhibits'!G666:G670),"")</f>
        <v/>
      </c>
      <c r="H670" s="3">
        <f>IF(ISNUMBER(AVERAGE('20250815_ETF_Options_Exhibits'!H666:H670)),AVERAGE('20250815_ETF_Options_Exhibits'!H666:H670),"")</f>
        <v/>
      </c>
      <c r="I670" s="3">
        <f>IF(ISNUMBER(AVERAGE('20250815_ETF_Options_Exhibits'!I666:I670)),AVERAGE('20250815_ETF_Options_Exhibits'!I666:I670),"")</f>
        <v/>
      </c>
      <c r="J670" s="3">
        <f>IF(ISNUMBER(AVERAGE('20250815_ETF_Options_Exhibits'!J666:J670)),AVERAGE('20250815_ETF_Options_Exhibits'!J666:J670),"")</f>
        <v/>
      </c>
      <c r="K670" s="3">
        <f>IF(ISNUMBER(AVERAGE('20250815_ETF_Options_Exhibits'!K666:K670)),AVERAGE('20250815_ETF_Options_Exhibits'!K666:K670),"")</f>
        <v/>
      </c>
      <c r="L670" s="3">
        <f>IF(ISNUMBER(AVERAGE('20250815_ETF_Options_Exhibits'!L666:L670)),AVERAGE('20250815_ETF_Options_Exhibits'!L666:L670),"")</f>
        <v/>
      </c>
      <c r="M670" s="3">
        <f>IF(ISNUMBER(AVERAGE('20250815_ETF_Options_Exhibits'!M666:M670)),AVERAGE('20250815_ETF_Options_Exhibits'!M666:M670),"")</f>
        <v/>
      </c>
      <c r="N670" s="3">
        <f>IF(ISNUMBER(AVERAGE('20250815_ETF_Options_Exhibits'!N666:N670)),AVERAGE('20250815_ETF_Options_Exhibits'!N666:N670),"")</f>
        <v/>
      </c>
      <c r="O670" s="3">
        <f>IF(ISNUMBER(AVERAGE('20250815_ETF_Options_Exhibits'!O666:O670)),AVERAGE('20250815_ETF_Options_Exhibits'!O666:O670),"")</f>
        <v/>
      </c>
      <c r="P670" s="3">
        <f>IF(ISNUMBER(AVERAGE('20250815_ETF_Options_Exhibits'!P666:P670)),AVERAGE('20250815_ETF_Options_Exhibits'!P666:P670),"")</f>
        <v/>
      </c>
      <c r="Q670" s="3">
        <f>IF(ISNUMBER(AVERAGE('20250815_ETF_Options_Exhibits'!Q666:Q670)),AVERAGE('20250815_ETF_Options_Exhibits'!Q666:Q670),"")</f>
        <v/>
      </c>
      <c r="R670" s="3">
        <f>IF(ISNUMBER(AVERAGE('20250815_ETF_Options_Exhibits'!R666:R670)),AVERAGE('20250815_ETF_Options_Exhibits'!R666:R670),"")</f>
        <v/>
      </c>
      <c r="S670" s="3">
        <f>IF(ISNUMBER(AVERAGE('20250815_ETF_Options_Exhibits'!S666:S670)),AVERAGE('20250815_ETF_Options_Exhibits'!S666:S670),"")</f>
        <v/>
      </c>
      <c r="T670" s="3">
        <f>IF(ISNUMBER(AVERAGE('20250815_ETF_Options_Exhibits'!T666:T670)),AVERAGE('20250815_ETF_Options_Exhibits'!T666:T670),"")</f>
        <v/>
      </c>
      <c r="U670" s="3">
        <f>IF(ISNUMBER(AVERAGE('20250815_ETF_Options_Exhibits'!U666:U670)),AVERAGE('20250815_ETF_Options_Exhibits'!U666:U670),"")</f>
        <v/>
      </c>
      <c r="V670" s="3">
        <f>IF(ISNUMBER(AVERAGE('20250815_ETF_Options_Exhibits'!V666:V670)),AVERAGE('20250815_ETF_Options_Exhibits'!V666:V670),"")</f>
        <v/>
      </c>
      <c r="W670" s="3">
        <f>IF(ISNUMBER(AVERAGE('20250815_ETF_Options_Exhibits'!W666:W670)),AVERAGE('20250815_ETF_Options_Exhibits'!W666:W670),"")</f>
        <v/>
      </c>
      <c r="X670" s="3">
        <f>IF(ISNUMBER(AVERAGE('20250815_ETF_Options_Exhibits'!X666:X670)),AVERAGE('20250815_ETF_Options_Exhibits'!X666:X670),"")</f>
        <v/>
      </c>
      <c r="Y670" s="3">
        <f>IF(ISNUMBER(AVERAGE('20250815_ETF_Options_Exhibits'!Y666:Y670)),AVERAGE('20250815_ETF_Options_Exhibits'!Y666:Y670),"")</f>
        <v/>
      </c>
      <c r="Z670" s="3">
        <f>IF(ISNUMBER(AVERAGE('20250815_ETF_Options_Exhibits'!Z666:Z670)),AVERAGE('20250815_ETF_Options_Exhibits'!Z666:Z670),"")</f>
        <v/>
      </c>
      <c r="AA670" s="3">
        <f>IF(ISNUMBER(AVERAGE('20250815_ETF_Options_Exhibits'!AA666:AA670)),AVERAGE('20250815_ETF_Options_Exhibits'!AA666:AA670),"")</f>
        <v/>
      </c>
    </row>
    <row r="671">
      <c r="A671" s="1" t="n">
        <v>42975</v>
      </c>
      <c r="B671" s="3">
        <f>IF(ISNUMBER(AVERAGE('20250815_ETF_Options_Exhibits'!B667:B671)),AVERAGE('20250815_ETF_Options_Exhibits'!B667:B671),"")</f>
        <v/>
      </c>
      <c r="C671" s="3">
        <f>IF(ISNUMBER(AVERAGE('20250815_ETF_Options_Exhibits'!C667:C671)),AVERAGE('20250815_ETF_Options_Exhibits'!C667:C671),"")</f>
        <v/>
      </c>
      <c r="D671" s="3">
        <f>IF(ISNUMBER(AVERAGE('20250815_ETF_Options_Exhibits'!D667:D671)),AVERAGE('20250815_ETF_Options_Exhibits'!D667:D671),"")</f>
        <v/>
      </c>
      <c r="E671" s="3">
        <f>IF(ISNUMBER(AVERAGE('20250815_ETF_Options_Exhibits'!E667:E671)),AVERAGE('20250815_ETF_Options_Exhibits'!E667:E671),"")</f>
        <v/>
      </c>
      <c r="F671" s="3">
        <f>IF(ISNUMBER(AVERAGE('20250815_ETF_Options_Exhibits'!F667:F671)),AVERAGE('20250815_ETF_Options_Exhibits'!F667:F671),"")</f>
        <v/>
      </c>
      <c r="G671" s="3">
        <f>IF(ISNUMBER(AVERAGE('20250815_ETF_Options_Exhibits'!G667:G671)),AVERAGE('20250815_ETF_Options_Exhibits'!G667:G671),"")</f>
        <v/>
      </c>
      <c r="H671" s="3">
        <f>IF(ISNUMBER(AVERAGE('20250815_ETF_Options_Exhibits'!H667:H671)),AVERAGE('20250815_ETF_Options_Exhibits'!H667:H671),"")</f>
        <v/>
      </c>
      <c r="I671" s="3">
        <f>IF(ISNUMBER(AVERAGE('20250815_ETF_Options_Exhibits'!I667:I671)),AVERAGE('20250815_ETF_Options_Exhibits'!I667:I671),"")</f>
        <v/>
      </c>
      <c r="J671" s="3">
        <f>IF(ISNUMBER(AVERAGE('20250815_ETF_Options_Exhibits'!J667:J671)),AVERAGE('20250815_ETF_Options_Exhibits'!J667:J671),"")</f>
        <v/>
      </c>
      <c r="K671" s="3">
        <f>IF(ISNUMBER(AVERAGE('20250815_ETF_Options_Exhibits'!K667:K671)),AVERAGE('20250815_ETF_Options_Exhibits'!K667:K671),"")</f>
        <v/>
      </c>
      <c r="L671" s="3">
        <f>IF(ISNUMBER(AVERAGE('20250815_ETF_Options_Exhibits'!L667:L671)),AVERAGE('20250815_ETF_Options_Exhibits'!L667:L671),"")</f>
        <v/>
      </c>
      <c r="M671" s="3">
        <f>IF(ISNUMBER(AVERAGE('20250815_ETF_Options_Exhibits'!M667:M671)),AVERAGE('20250815_ETF_Options_Exhibits'!M667:M671),"")</f>
        <v/>
      </c>
      <c r="N671" s="3">
        <f>IF(ISNUMBER(AVERAGE('20250815_ETF_Options_Exhibits'!N667:N671)),AVERAGE('20250815_ETF_Options_Exhibits'!N667:N671),"")</f>
        <v/>
      </c>
      <c r="O671" s="3">
        <f>IF(ISNUMBER(AVERAGE('20250815_ETF_Options_Exhibits'!O667:O671)),AVERAGE('20250815_ETF_Options_Exhibits'!O667:O671),"")</f>
        <v/>
      </c>
      <c r="P671" s="3">
        <f>IF(ISNUMBER(AVERAGE('20250815_ETF_Options_Exhibits'!P667:P671)),AVERAGE('20250815_ETF_Options_Exhibits'!P667:P671),"")</f>
        <v/>
      </c>
      <c r="Q671" s="3">
        <f>IF(ISNUMBER(AVERAGE('20250815_ETF_Options_Exhibits'!Q667:Q671)),AVERAGE('20250815_ETF_Options_Exhibits'!Q667:Q671),"")</f>
        <v/>
      </c>
      <c r="R671" s="3">
        <f>IF(ISNUMBER(AVERAGE('20250815_ETF_Options_Exhibits'!R667:R671)),AVERAGE('20250815_ETF_Options_Exhibits'!R667:R671),"")</f>
        <v/>
      </c>
      <c r="S671" s="3">
        <f>IF(ISNUMBER(AVERAGE('20250815_ETF_Options_Exhibits'!S667:S671)),AVERAGE('20250815_ETF_Options_Exhibits'!S667:S671),"")</f>
        <v/>
      </c>
      <c r="T671" s="3">
        <f>IF(ISNUMBER(AVERAGE('20250815_ETF_Options_Exhibits'!T667:T671)),AVERAGE('20250815_ETF_Options_Exhibits'!T667:T671),"")</f>
        <v/>
      </c>
      <c r="U671" s="3">
        <f>IF(ISNUMBER(AVERAGE('20250815_ETF_Options_Exhibits'!U667:U671)),AVERAGE('20250815_ETF_Options_Exhibits'!U667:U671),"")</f>
        <v/>
      </c>
      <c r="V671" s="3">
        <f>IF(ISNUMBER(AVERAGE('20250815_ETF_Options_Exhibits'!V667:V671)),AVERAGE('20250815_ETF_Options_Exhibits'!V667:V671),"")</f>
        <v/>
      </c>
      <c r="W671" s="3">
        <f>IF(ISNUMBER(AVERAGE('20250815_ETF_Options_Exhibits'!W667:W671)),AVERAGE('20250815_ETF_Options_Exhibits'!W667:W671),"")</f>
        <v/>
      </c>
      <c r="X671" s="3">
        <f>IF(ISNUMBER(AVERAGE('20250815_ETF_Options_Exhibits'!X667:X671)),AVERAGE('20250815_ETF_Options_Exhibits'!X667:X671),"")</f>
        <v/>
      </c>
      <c r="Y671" s="3">
        <f>IF(ISNUMBER(AVERAGE('20250815_ETF_Options_Exhibits'!Y667:Y671)),AVERAGE('20250815_ETF_Options_Exhibits'!Y667:Y671),"")</f>
        <v/>
      </c>
      <c r="Z671" s="3">
        <f>IF(ISNUMBER(AVERAGE('20250815_ETF_Options_Exhibits'!Z667:Z671)),AVERAGE('20250815_ETF_Options_Exhibits'!Z667:Z671),"")</f>
        <v/>
      </c>
      <c r="AA671" s="3">
        <f>IF(ISNUMBER(AVERAGE('20250815_ETF_Options_Exhibits'!AA667:AA671)),AVERAGE('20250815_ETF_Options_Exhibits'!AA667:AA671),"")</f>
        <v/>
      </c>
    </row>
    <row r="672">
      <c r="A672" s="1" t="n">
        <v>42976</v>
      </c>
      <c r="B672" s="3">
        <f>IF(ISNUMBER(AVERAGE('20250815_ETF_Options_Exhibits'!B668:B672)),AVERAGE('20250815_ETF_Options_Exhibits'!B668:B672),"")</f>
        <v/>
      </c>
      <c r="C672" s="3">
        <f>IF(ISNUMBER(AVERAGE('20250815_ETF_Options_Exhibits'!C668:C672)),AVERAGE('20250815_ETF_Options_Exhibits'!C668:C672),"")</f>
        <v/>
      </c>
      <c r="D672" s="3">
        <f>IF(ISNUMBER(AVERAGE('20250815_ETF_Options_Exhibits'!D668:D672)),AVERAGE('20250815_ETF_Options_Exhibits'!D668:D672),"")</f>
        <v/>
      </c>
      <c r="E672" s="3">
        <f>IF(ISNUMBER(AVERAGE('20250815_ETF_Options_Exhibits'!E668:E672)),AVERAGE('20250815_ETF_Options_Exhibits'!E668:E672),"")</f>
        <v/>
      </c>
      <c r="F672" s="3">
        <f>IF(ISNUMBER(AVERAGE('20250815_ETF_Options_Exhibits'!F668:F672)),AVERAGE('20250815_ETF_Options_Exhibits'!F668:F672),"")</f>
        <v/>
      </c>
      <c r="G672" s="3">
        <f>IF(ISNUMBER(AVERAGE('20250815_ETF_Options_Exhibits'!G668:G672)),AVERAGE('20250815_ETF_Options_Exhibits'!G668:G672),"")</f>
        <v/>
      </c>
      <c r="H672" s="3">
        <f>IF(ISNUMBER(AVERAGE('20250815_ETF_Options_Exhibits'!H668:H672)),AVERAGE('20250815_ETF_Options_Exhibits'!H668:H672),"")</f>
        <v/>
      </c>
      <c r="I672" s="3">
        <f>IF(ISNUMBER(AVERAGE('20250815_ETF_Options_Exhibits'!I668:I672)),AVERAGE('20250815_ETF_Options_Exhibits'!I668:I672),"")</f>
        <v/>
      </c>
      <c r="J672" s="3">
        <f>IF(ISNUMBER(AVERAGE('20250815_ETF_Options_Exhibits'!J668:J672)),AVERAGE('20250815_ETF_Options_Exhibits'!J668:J672),"")</f>
        <v/>
      </c>
      <c r="K672" s="3">
        <f>IF(ISNUMBER(AVERAGE('20250815_ETF_Options_Exhibits'!K668:K672)),AVERAGE('20250815_ETF_Options_Exhibits'!K668:K672),"")</f>
        <v/>
      </c>
      <c r="L672" s="3">
        <f>IF(ISNUMBER(AVERAGE('20250815_ETF_Options_Exhibits'!L668:L672)),AVERAGE('20250815_ETF_Options_Exhibits'!L668:L672),"")</f>
        <v/>
      </c>
      <c r="M672" s="3">
        <f>IF(ISNUMBER(AVERAGE('20250815_ETF_Options_Exhibits'!M668:M672)),AVERAGE('20250815_ETF_Options_Exhibits'!M668:M672),"")</f>
        <v/>
      </c>
      <c r="N672" s="3">
        <f>IF(ISNUMBER(AVERAGE('20250815_ETF_Options_Exhibits'!N668:N672)),AVERAGE('20250815_ETF_Options_Exhibits'!N668:N672),"")</f>
        <v/>
      </c>
      <c r="O672" s="3">
        <f>IF(ISNUMBER(AVERAGE('20250815_ETF_Options_Exhibits'!O668:O672)),AVERAGE('20250815_ETF_Options_Exhibits'!O668:O672),"")</f>
        <v/>
      </c>
      <c r="P672" s="3">
        <f>IF(ISNUMBER(AVERAGE('20250815_ETF_Options_Exhibits'!P668:P672)),AVERAGE('20250815_ETF_Options_Exhibits'!P668:P672),"")</f>
        <v/>
      </c>
      <c r="Q672" s="3">
        <f>IF(ISNUMBER(AVERAGE('20250815_ETF_Options_Exhibits'!Q668:Q672)),AVERAGE('20250815_ETF_Options_Exhibits'!Q668:Q672),"")</f>
        <v/>
      </c>
      <c r="R672" s="3">
        <f>IF(ISNUMBER(AVERAGE('20250815_ETF_Options_Exhibits'!R668:R672)),AVERAGE('20250815_ETF_Options_Exhibits'!R668:R672),"")</f>
        <v/>
      </c>
      <c r="S672" s="3">
        <f>IF(ISNUMBER(AVERAGE('20250815_ETF_Options_Exhibits'!S668:S672)),AVERAGE('20250815_ETF_Options_Exhibits'!S668:S672),"")</f>
        <v/>
      </c>
      <c r="T672" s="3">
        <f>IF(ISNUMBER(AVERAGE('20250815_ETF_Options_Exhibits'!T668:T672)),AVERAGE('20250815_ETF_Options_Exhibits'!T668:T672),"")</f>
        <v/>
      </c>
      <c r="U672" s="3">
        <f>IF(ISNUMBER(AVERAGE('20250815_ETF_Options_Exhibits'!U668:U672)),AVERAGE('20250815_ETF_Options_Exhibits'!U668:U672),"")</f>
        <v/>
      </c>
      <c r="V672" s="3">
        <f>IF(ISNUMBER(AVERAGE('20250815_ETF_Options_Exhibits'!V668:V672)),AVERAGE('20250815_ETF_Options_Exhibits'!V668:V672),"")</f>
        <v/>
      </c>
      <c r="W672" s="3">
        <f>IF(ISNUMBER(AVERAGE('20250815_ETF_Options_Exhibits'!W668:W672)),AVERAGE('20250815_ETF_Options_Exhibits'!W668:W672),"")</f>
        <v/>
      </c>
      <c r="X672" s="3">
        <f>IF(ISNUMBER(AVERAGE('20250815_ETF_Options_Exhibits'!X668:X672)),AVERAGE('20250815_ETF_Options_Exhibits'!X668:X672),"")</f>
        <v/>
      </c>
      <c r="Y672" s="3">
        <f>IF(ISNUMBER(AVERAGE('20250815_ETF_Options_Exhibits'!Y668:Y672)),AVERAGE('20250815_ETF_Options_Exhibits'!Y668:Y672),"")</f>
        <v/>
      </c>
      <c r="Z672" s="3">
        <f>IF(ISNUMBER(AVERAGE('20250815_ETF_Options_Exhibits'!Z668:Z672)),AVERAGE('20250815_ETF_Options_Exhibits'!Z668:Z672),"")</f>
        <v/>
      </c>
      <c r="AA672" s="3">
        <f>IF(ISNUMBER(AVERAGE('20250815_ETF_Options_Exhibits'!AA668:AA672)),AVERAGE('20250815_ETF_Options_Exhibits'!AA668:AA672),"")</f>
        <v/>
      </c>
    </row>
    <row r="673">
      <c r="A673" s="1" t="n">
        <v>42977</v>
      </c>
      <c r="B673" s="3">
        <f>IF(ISNUMBER(AVERAGE('20250815_ETF_Options_Exhibits'!B669:B673)),AVERAGE('20250815_ETF_Options_Exhibits'!B669:B673),"")</f>
        <v/>
      </c>
      <c r="C673" s="3">
        <f>IF(ISNUMBER(AVERAGE('20250815_ETF_Options_Exhibits'!C669:C673)),AVERAGE('20250815_ETF_Options_Exhibits'!C669:C673),"")</f>
        <v/>
      </c>
      <c r="D673" s="3">
        <f>IF(ISNUMBER(AVERAGE('20250815_ETF_Options_Exhibits'!D669:D673)),AVERAGE('20250815_ETF_Options_Exhibits'!D669:D673),"")</f>
        <v/>
      </c>
      <c r="E673" s="3">
        <f>IF(ISNUMBER(AVERAGE('20250815_ETF_Options_Exhibits'!E669:E673)),AVERAGE('20250815_ETF_Options_Exhibits'!E669:E673),"")</f>
        <v/>
      </c>
      <c r="F673" s="3">
        <f>IF(ISNUMBER(AVERAGE('20250815_ETF_Options_Exhibits'!F669:F673)),AVERAGE('20250815_ETF_Options_Exhibits'!F669:F673),"")</f>
        <v/>
      </c>
      <c r="G673" s="3">
        <f>IF(ISNUMBER(AVERAGE('20250815_ETF_Options_Exhibits'!G669:G673)),AVERAGE('20250815_ETF_Options_Exhibits'!G669:G673),"")</f>
        <v/>
      </c>
      <c r="H673" s="3">
        <f>IF(ISNUMBER(AVERAGE('20250815_ETF_Options_Exhibits'!H669:H673)),AVERAGE('20250815_ETF_Options_Exhibits'!H669:H673),"")</f>
        <v/>
      </c>
      <c r="I673" s="3">
        <f>IF(ISNUMBER(AVERAGE('20250815_ETF_Options_Exhibits'!I669:I673)),AVERAGE('20250815_ETF_Options_Exhibits'!I669:I673),"")</f>
        <v/>
      </c>
      <c r="J673" s="3">
        <f>IF(ISNUMBER(AVERAGE('20250815_ETF_Options_Exhibits'!J669:J673)),AVERAGE('20250815_ETF_Options_Exhibits'!J669:J673),"")</f>
        <v/>
      </c>
      <c r="K673" s="3">
        <f>IF(ISNUMBER(AVERAGE('20250815_ETF_Options_Exhibits'!K669:K673)),AVERAGE('20250815_ETF_Options_Exhibits'!K669:K673),"")</f>
        <v/>
      </c>
      <c r="L673" s="3">
        <f>IF(ISNUMBER(AVERAGE('20250815_ETF_Options_Exhibits'!L669:L673)),AVERAGE('20250815_ETF_Options_Exhibits'!L669:L673),"")</f>
        <v/>
      </c>
      <c r="M673" s="3">
        <f>IF(ISNUMBER(AVERAGE('20250815_ETF_Options_Exhibits'!M669:M673)),AVERAGE('20250815_ETF_Options_Exhibits'!M669:M673),"")</f>
        <v/>
      </c>
      <c r="N673" s="3">
        <f>IF(ISNUMBER(AVERAGE('20250815_ETF_Options_Exhibits'!N669:N673)),AVERAGE('20250815_ETF_Options_Exhibits'!N669:N673),"")</f>
        <v/>
      </c>
      <c r="O673" s="3">
        <f>IF(ISNUMBER(AVERAGE('20250815_ETF_Options_Exhibits'!O669:O673)),AVERAGE('20250815_ETF_Options_Exhibits'!O669:O673),"")</f>
        <v/>
      </c>
      <c r="P673" s="3">
        <f>IF(ISNUMBER(AVERAGE('20250815_ETF_Options_Exhibits'!P669:P673)),AVERAGE('20250815_ETF_Options_Exhibits'!P669:P673),"")</f>
        <v/>
      </c>
      <c r="Q673" s="3">
        <f>IF(ISNUMBER(AVERAGE('20250815_ETF_Options_Exhibits'!Q669:Q673)),AVERAGE('20250815_ETF_Options_Exhibits'!Q669:Q673),"")</f>
        <v/>
      </c>
      <c r="R673" s="3">
        <f>IF(ISNUMBER(AVERAGE('20250815_ETF_Options_Exhibits'!R669:R673)),AVERAGE('20250815_ETF_Options_Exhibits'!R669:R673),"")</f>
        <v/>
      </c>
      <c r="S673" s="3">
        <f>IF(ISNUMBER(AVERAGE('20250815_ETF_Options_Exhibits'!S669:S673)),AVERAGE('20250815_ETF_Options_Exhibits'!S669:S673),"")</f>
        <v/>
      </c>
      <c r="T673" s="3">
        <f>IF(ISNUMBER(AVERAGE('20250815_ETF_Options_Exhibits'!T669:T673)),AVERAGE('20250815_ETF_Options_Exhibits'!T669:T673),"")</f>
        <v/>
      </c>
      <c r="U673" s="3">
        <f>IF(ISNUMBER(AVERAGE('20250815_ETF_Options_Exhibits'!U669:U673)),AVERAGE('20250815_ETF_Options_Exhibits'!U669:U673),"")</f>
        <v/>
      </c>
      <c r="V673" s="3">
        <f>IF(ISNUMBER(AVERAGE('20250815_ETF_Options_Exhibits'!V669:V673)),AVERAGE('20250815_ETF_Options_Exhibits'!V669:V673),"")</f>
        <v/>
      </c>
      <c r="W673" s="3">
        <f>IF(ISNUMBER(AVERAGE('20250815_ETF_Options_Exhibits'!W669:W673)),AVERAGE('20250815_ETF_Options_Exhibits'!W669:W673),"")</f>
        <v/>
      </c>
      <c r="X673" s="3">
        <f>IF(ISNUMBER(AVERAGE('20250815_ETF_Options_Exhibits'!X669:X673)),AVERAGE('20250815_ETF_Options_Exhibits'!X669:X673),"")</f>
        <v/>
      </c>
      <c r="Y673" s="3">
        <f>IF(ISNUMBER(AVERAGE('20250815_ETF_Options_Exhibits'!Y669:Y673)),AVERAGE('20250815_ETF_Options_Exhibits'!Y669:Y673),"")</f>
        <v/>
      </c>
      <c r="Z673" s="3">
        <f>IF(ISNUMBER(AVERAGE('20250815_ETF_Options_Exhibits'!Z669:Z673)),AVERAGE('20250815_ETF_Options_Exhibits'!Z669:Z673),"")</f>
        <v/>
      </c>
      <c r="AA673" s="3">
        <f>IF(ISNUMBER(AVERAGE('20250815_ETF_Options_Exhibits'!AA669:AA673)),AVERAGE('20250815_ETF_Options_Exhibits'!AA669:AA673),"")</f>
        <v/>
      </c>
    </row>
    <row r="674">
      <c r="A674" s="1" t="n">
        <v>42978</v>
      </c>
      <c r="B674" s="3">
        <f>IF(ISNUMBER(AVERAGE('20250815_ETF_Options_Exhibits'!B670:B674)),AVERAGE('20250815_ETF_Options_Exhibits'!B670:B674),"")</f>
        <v/>
      </c>
      <c r="C674" s="3">
        <f>IF(ISNUMBER(AVERAGE('20250815_ETF_Options_Exhibits'!C670:C674)),AVERAGE('20250815_ETF_Options_Exhibits'!C670:C674),"")</f>
        <v/>
      </c>
      <c r="D674" s="3">
        <f>IF(ISNUMBER(AVERAGE('20250815_ETF_Options_Exhibits'!D670:D674)),AVERAGE('20250815_ETF_Options_Exhibits'!D670:D674),"")</f>
        <v/>
      </c>
      <c r="E674" s="3">
        <f>IF(ISNUMBER(AVERAGE('20250815_ETF_Options_Exhibits'!E670:E674)),AVERAGE('20250815_ETF_Options_Exhibits'!E670:E674),"")</f>
        <v/>
      </c>
      <c r="F674" s="3">
        <f>IF(ISNUMBER(AVERAGE('20250815_ETF_Options_Exhibits'!F670:F674)),AVERAGE('20250815_ETF_Options_Exhibits'!F670:F674),"")</f>
        <v/>
      </c>
      <c r="G674" s="3">
        <f>IF(ISNUMBER(AVERAGE('20250815_ETF_Options_Exhibits'!G670:G674)),AVERAGE('20250815_ETF_Options_Exhibits'!G670:G674),"")</f>
        <v/>
      </c>
      <c r="H674" s="3">
        <f>IF(ISNUMBER(AVERAGE('20250815_ETF_Options_Exhibits'!H670:H674)),AVERAGE('20250815_ETF_Options_Exhibits'!H670:H674),"")</f>
        <v/>
      </c>
      <c r="I674" s="3">
        <f>IF(ISNUMBER(AVERAGE('20250815_ETF_Options_Exhibits'!I670:I674)),AVERAGE('20250815_ETF_Options_Exhibits'!I670:I674),"")</f>
        <v/>
      </c>
      <c r="J674" s="3">
        <f>IF(ISNUMBER(AVERAGE('20250815_ETF_Options_Exhibits'!J670:J674)),AVERAGE('20250815_ETF_Options_Exhibits'!J670:J674),"")</f>
        <v/>
      </c>
      <c r="K674" s="3">
        <f>IF(ISNUMBER(AVERAGE('20250815_ETF_Options_Exhibits'!K670:K674)),AVERAGE('20250815_ETF_Options_Exhibits'!K670:K674),"")</f>
        <v/>
      </c>
      <c r="L674" s="3">
        <f>IF(ISNUMBER(AVERAGE('20250815_ETF_Options_Exhibits'!L670:L674)),AVERAGE('20250815_ETF_Options_Exhibits'!L670:L674),"")</f>
        <v/>
      </c>
      <c r="M674" s="3">
        <f>IF(ISNUMBER(AVERAGE('20250815_ETF_Options_Exhibits'!M670:M674)),AVERAGE('20250815_ETF_Options_Exhibits'!M670:M674),"")</f>
        <v/>
      </c>
      <c r="N674" s="3">
        <f>IF(ISNUMBER(AVERAGE('20250815_ETF_Options_Exhibits'!N670:N674)),AVERAGE('20250815_ETF_Options_Exhibits'!N670:N674),"")</f>
        <v/>
      </c>
      <c r="O674" s="3">
        <f>IF(ISNUMBER(AVERAGE('20250815_ETF_Options_Exhibits'!O670:O674)),AVERAGE('20250815_ETF_Options_Exhibits'!O670:O674),"")</f>
        <v/>
      </c>
      <c r="P674" s="3">
        <f>IF(ISNUMBER(AVERAGE('20250815_ETF_Options_Exhibits'!P670:P674)),AVERAGE('20250815_ETF_Options_Exhibits'!P670:P674),"")</f>
        <v/>
      </c>
      <c r="Q674" s="3">
        <f>IF(ISNUMBER(AVERAGE('20250815_ETF_Options_Exhibits'!Q670:Q674)),AVERAGE('20250815_ETF_Options_Exhibits'!Q670:Q674),"")</f>
        <v/>
      </c>
      <c r="R674" s="3">
        <f>IF(ISNUMBER(AVERAGE('20250815_ETF_Options_Exhibits'!R670:R674)),AVERAGE('20250815_ETF_Options_Exhibits'!R670:R674),"")</f>
        <v/>
      </c>
      <c r="S674" s="3">
        <f>IF(ISNUMBER(AVERAGE('20250815_ETF_Options_Exhibits'!S670:S674)),AVERAGE('20250815_ETF_Options_Exhibits'!S670:S674),"")</f>
        <v/>
      </c>
      <c r="T674" s="3">
        <f>IF(ISNUMBER(AVERAGE('20250815_ETF_Options_Exhibits'!T670:T674)),AVERAGE('20250815_ETF_Options_Exhibits'!T670:T674),"")</f>
        <v/>
      </c>
      <c r="U674" s="3">
        <f>IF(ISNUMBER(AVERAGE('20250815_ETF_Options_Exhibits'!U670:U674)),AVERAGE('20250815_ETF_Options_Exhibits'!U670:U674),"")</f>
        <v/>
      </c>
      <c r="V674" s="3">
        <f>IF(ISNUMBER(AVERAGE('20250815_ETF_Options_Exhibits'!V670:V674)),AVERAGE('20250815_ETF_Options_Exhibits'!V670:V674),"")</f>
        <v/>
      </c>
      <c r="W674" s="3">
        <f>IF(ISNUMBER(AVERAGE('20250815_ETF_Options_Exhibits'!W670:W674)),AVERAGE('20250815_ETF_Options_Exhibits'!W670:W674),"")</f>
        <v/>
      </c>
      <c r="X674" s="3">
        <f>IF(ISNUMBER(AVERAGE('20250815_ETF_Options_Exhibits'!X670:X674)),AVERAGE('20250815_ETF_Options_Exhibits'!X670:X674),"")</f>
        <v/>
      </c>
      <c r="Y674" s="3">
        <f>IF(ISNUMBER(AVERAGE('20250815_ETF_Options_Exhibits'!Y670:Y674)),AVERAGE('20250815_ETF_Options_Exhibits'!Y670:Y674),"")</f>
        <v/>
      </c>
      <c r="Z674" s="3">
        <f>IF(ISNUMBER(AVERAGE('20250815_ETF_Options_Exhibits'!Z670:Z674)),AVERAGE('20250815_ETF_Options_Exhibits'!Z670:Z674),"")</f>
        <v/>
      </c>
      <c r="AA674" s="3">
        <f>IF(ISNUMBER(AVERAGE('20250815_ETF_Options_Exhibits'!AA670:AA674)),AVERAGE('20250815_ETF_Options_Exhibits'!AA670:AA674),"")</f>
        <v/>
      </c>
    </row>
    <row r="675">
      <c r="A675" s="1" t="n">
        <v>42979</v>
      </c>
      <c r="B675" s="3">
        <f>IF(ISNUMBER(AVERAGE('20250815_ETF_Options_Exhibits'!B671:B675)),AVERAGE('20250815_ETF_Options_Exhibits'!B671:B675),"")</f>
        <v/>
      </c>
      <c r="C675" s="3">
        <f>IF(ISNUMBER(AVERAGE('20250815_ETF_Options_Exhibits'!C671:C675)),AVERAGE('20250815_ETF_Options_Exhibits'!C671:C675),"")</f>
        <v/>
      </c>
      <c r="D675" s="3">
        <f>IF(ISNUMBER(AVERAGE('20250815_ETF_Options_Exhibits'!D671:D675)),AVERAGE('20250815_ETF_Options_Exhibits'!D671:D675),"")</f>
        <v/>
      </c>
      <c r="E675" s="3">
        <f>IF(ISNUMBER(AVERAGE('20250815_ETF_Options_Exhibits'!E671:E675)),AVERAGE('20250815_ETF_Options_Exhibits'!E671:E675),"")</f>
        <v/>
      </c>
      <c r="F675" s="3">
        <f>IF(ISNUMBER(AVERAGE('20250815_ETF_Options_Exhibits'!F671:F675)),AVERAGE('20250815_ETF_Options_Exhibits'!F671:F675),"")</f>
        <v/>
      </c>
      <c r="G675" s="3">
        <f>IF(ISNUMBER(AVERAGE('20250815_ETF_Options_Exhibits'!G671:G675)),AVERAGE('20250815_ETF_Options_Exhibits'!G671:G675),"")</f>
        <v/>
      </c>
      <c r="H675" s="3">
        <f>IF(ISNUMBER(AVERAGE('20250815_ETF_Options_Exhibits'!H671:H675)),AVERAGE('20250815_ETF_Options_Exhibits'!H671:H675),"")</f>
        <v/>
      </c>
      <c r="I675" s="3">
        <f>IF(ISNUMBER(AVERAGE('20250815_ETF_Options_Exhibits'!I671:I675)),AVERAGE('20250815_ETF_Options_Exhibits'!I671:I675),"")</f>
        <v/>
      </c>
      <c r="J675" s="3">
        <f>IF(ISNUMBER(AVERAGE('20250815_ETF_Options_Exhibits'!J671:J675)),AVERAGE('20250815_ETF_Options_Exhibits'!J671:J675),"")</f>
        <v/>
      </c>
      <c r="K675" s="3">
        <f>IF(ISNUMBER(AVERAGE('20250815_ETF_Options_Exhibits'!K671:K675)),AVERAGE('20250815_ETF_Options_Exhibits'!K671:K675),"")</f>
        <v/>
      </c>
      <c r="L675" s="3">
        <f>IF(ISNUMBER(AVERAGE('20250815_ETF_Options_Exhibits'!L671:L675)),AVERAGE('20250815_ETF_Options_Exhibits'!L671:L675),"")</f>
        <v/>
      </c>
      <c r="M675" s="3">
        <f>IF(ISNUMBER(AVERAGE('20250815_ETF_Options_Exhibits'!M671:M675)),AVERAGE('20250815_ETF_Options_Exhibits'!M671:M675),"")</f>
        <v/>
      </c>
      <c r="N675" s="3">
        <f>IF(ISNUMBER(AVERAGE('20250815_ETF_Options_Exhibits'!N671:N675)),AVERAGE('20250815_ETF_Options_Exhibits'!N671:N675),"")</f>
        <v/>
      </c>
      <c r="O675" s="3">
        <f>IF(ISNUMBER(AVERAGE('20250815_ETF_Options_Exhibits'!O671:O675)),AVERAGE('20250815_ETF_Options_Exhibits'!O671:O675),"")</f>
        <v/>
      </c>
      <c r="P675" s="3">
        <f>IF(ISNUMBER(AVERAGE('20250815_ETF_Options_Exhibits'!P671:P675)),AVERAGE('20250815_ETF_Options_Exhibits'!P671:P675),"")</f>
        <v/>
      </c>
      <c r="Q675" s="3">
        <f>IF(ISNUMBER(AVERAGE('20250815_ETF_Options_Exhibits'!Q671:Q675)),AVERAGE('20250815_ETF_Options_Exhibits'!Q671:Q675),"")</f>
        <v/>
      </c>
      <c r="R675" s="3">
        <f>IF(ISNUMBER(AVERAGE('20250815_ETF_Options_Exhibits'!R671:R675)),AVERAGE('20250815_ETF_Options_Exhibits'!R671:R675),"")</f>
        <v/>
      </c>
      <c r="S675" s="3">
        <f>IF(ISNUMBER(AVERAGE('20250815_ETF_Options_Exhibits'!S671:S675)),AVERAGE('20250815_ETF_Options_Exhibits'!S671:S675),"")</f>
        <v/>
      </c>
      <c r="T675" s="3">
        <f>IF(ISNUMBER(AVERAGE('20250815_ETF_Options_Exhibits'!T671:T675)),AVERAGE('20250815_ETF_Options_Exhibits'!T671:T675),"")</f>
        <v/>
      </c>
      <c r="U675" s="3">
        <f>IF(ISNUMBER(AVERAGE('20250815_ETF_Options_Exhibits'!U671:U675)),AVERAGE('20250815_ETF_Options_Exhibits'!U671:U675),"")</f>
        <v/>
      </c>
      <c r="V675" s="3">
        <f>IF(ISNUMBER(AVERAGE('20250815_ETF_Options_Exhibits'!V671:V675)),AVERAGE('20250815_ETF_Options_Exhibits'!V671:V675),"")</f>
        <v/>
      </c>
      <c r="W675" s="3">
        <f>IF(ISNUMBER(AVERAGE('20250815_ETF_Options_Exhibits'!W671:W675)),AVERAGE('20250815_ETF_Options_Exhibits'!W671:W675),"")</f>
        <v/>
      </c>
      <c r="X675" s="3">
        <f>IF(ISNUMBER(AVERAGE('20250815_ETF_Options_Exhibits'!X671:X675)),AVERAGE('20250815_ETF_Options_Exhibits'!X671:X675),"")</f>
        <v/>
      </c>
      <c r="Y675" s="3">
        <f>IF(ISNUMBER(AVERAGE('20250815_ETF_Options_Exhibits'!Y671:Y675)),AVERAGE('20250815_ETF_Options_Exhibits'!Y671:Y675),"")</f>
        <v/>
      </c>
      <c r="Z675" s="3">
        <f>IF(ISNUMBER(AVERAGE('20250815_ETF_Options_Exhibits'!Z671:Z675)),AVERAGE('20250815_ETF_Options_Exhibits'!Z671:Z675),"")</f>
        <v/>
      </c>
      <c r="AA675" s="3">
        <f>IF(ISNUMBER(AVERAGE('20250815_ETF_Options_Exhibits'!AA671:AA675)),AVERAGE('20250815_ETF_Options_Exhibits'!AA671:AA675),"")</f>
        <v/>
      </c>
    </row>
    <row r="676">
      <c r="A676" s="1" t="n">
        <v>42983</v>
      </c>
      <c r="B676" s="3">
        <f>IF(ISNUMBER(AVERAGE('20250815_ETF_Options_Exhibits'!B672:B676)),AVERAGE('20250815_ETF_Options_Exhibits'!B672:B676),"")</f>
        <v/>
      </c>
      <c r="C676" s="3">
        <f>IF(ISNUMBER(AVERAGE('20250815_ETF_Options_Exhibits'!C672:C676)),AVERAGE('20250815_ETF_Options_Exhibits'!C672:C676),"")</f>
        <v/>
      </c>
      <c r="D676" s="3">
        <f>IF(ISNUMBER(AVERAGE('20250815_ETF_Options_Exhibits'!D672:D676)),AVERAGE('20250815_ETF_Options_Exhibits'!D672:D676),"")</f>
        <v/>
      </c>
      <c r="E676" s="3">
        <f>IF(ISNUMBER(AVERAGE('20250815_ETF_Options_Exhibits'!E672:E676)),AVERAGE('20250815_ETF_Options_Exhibits'!E672:E676),"")</f>
        <v/>
      </c>
      <c r="F676" s="3">
        <f>IF(ISNUMBER(AVERAGE('20250815_ETF_Options_Exhibits'!F672:F676)),AVERAGE('20250815_ETF_Options_Exhibits'!F672:F676),"")</f>
        <v/>
      </c>
      <c r="G676" s="3">
        <f>IF(ISNUMBER(AVERAGE('20250815_ETF_Options_Exhibits'!G672:G676)),AVERAGE('20250815_ETF_Options_Exhibits'!G672:G676),"")</f>
        <v/>
      </c>
      <c r="H676" s="3">
        <f>IF(ISNUMBER(AVERAGE('20250815_ETF_Options_Exhibits'!H672:H676)),AVERAGE('20250815_ETF_Options_Exhibits'!H672:H676),"")</f>
        <v/>
      </c>
      <c r="I676" s="3">
        <f>IF(ISNUMBER(AVERAGE('20250815_ETF_Options_Exhibits'!I672:I676)),AVERAGE('20250815_ETF_Options_Exhibits'!I672:I676),"")</f>
        <v/>
      </c>
      <c r="J676" s="3">
        <f>IF(ISNUMBER(AVERAGE('20250815_ETF_Options_Exhibits'!J672:J676)),AVERAGE('20250815_ETF_Options_Exhibits'!J672:J676),"")</f>
        <v/>
      </c>
      <c r="K676" s="3">
        <f>IF(ISNUMBER(AVERAGE('20250815_ETF_Options_Exhibits'!K672:K676)),AVERAGE('20250815_ETF_Options_Exhibits'!K672:K676),"")</f>
        <v/>
      </c>
      <c r="L676" s="3">
        <f>IF(ISNUMBER(AVERAGE('20250815_ETF_Options_Exhibits'!L672:L676)),AVERAGE('20250815_ETF_Options_Exhibits'!L672:L676),"")</f>
        <v/>
      </c>
      <c r="M676" s="3">
        <f>IF(ISNUMBER(AVERAGE('20250815_ETF_Options_Exhibits'!M672:M676)),AVERAGE('20250815_ETF_Options_Exhibits'!M672:M676),"")</f>
        <v/>
      </c>
      <c r="N676" s="3">
        <f>IF(ISNUMBER(AVERAGE('20250815_ETF_Options_Exhibits'!N672:N676)),AVERAGE('20250815_ETF_Options_Exhibits'!N672:N676),"")</f>
        <v/>
      </c>
      <c r="O676" s="3">
        <f>IF(ISNUMBER(AVERAGE('20250815_ETF_Options_Exhibits'!O672:O676)),AVERAGE('20250815_ETF_Options_Exhibits'!O672:O676),"")</f>
        <v/>
      </c>
      <c r="P676" s="3">
        <f>IF(ISNUMBER(AVERAGE('20250815_ETF_Options_Exhibits'!P672:P676)),AVERAGE('20250815_ETF_Options_Exhibits'!P672:P676),"")</f>
        <v/>
      </c>
      <c r="Q676" s="3">
        <f>IF(ISNUMBER(AVERAGE('20250815_ETF_Options_Exhibits'!Q672:Q676)),AVERAGE('20250815_ETF_Options_Exhibits'!Q672:Q676),"")</f>
        <v/>
      </c>
      <c r="R676" s="3">
        <f>IF(ISNUMBER(AVERAGE('20250815_ETF_Options_Exhibits'!R672:R676)),AVERAGE('20250815_ETF_Options_Exhibits'!R672:R676),"")</f>
        <v/>
      </c>
      <c r="S676" s="3">
        <f>IF(ISNUMBER(AVERAGE('20250815_ETF_Options_Exhibits'!S672:S676)),AVERAGE('20250815_ETF_Options_Exhibits'!S672:S676),"")</f>
        <v/>
      </c>
      <c r="T676" s="3">
        <f>IF(ISNUMBER(AVERAGE('20250815_ETF_Options_Exhibits'!T672:T676)),AVERAGE('20250815_ETF_Options_Exhibits'!T672:T676),"")</f>
        <v/>
      </c>
      <c r="U676" s="3">
        <f>IF(ISNUMBER(AVERAGE('20250815_ETF_Options_Exhibits'!U672:U676)),AVERAGE('20250815_ETF_Options_Exhibits'!U672:U676),"")</f>
        <v/>
      </c>
      <c r="V676" s="3">
        <f>IF(ISNUMBER(AVERAGE('20250815_ETF_Options_Exhibits'!V672:V676)),AVERAGE('20250815_ETF_Options_Exhibits'!V672:V676),"")</f>
        <v/>
      </c>
      <c r="W676" s="3">
        <f>IF(ISNUMBER(AVERAGE('20250815_ETF_Options_Exhibits'!W672:W676)),AVERAGE('20250815_ETF_Options_Exhibits'!W672:W676),"")</f>
        <v/>
      </c>
      <c r="X676" s="3">
        <f>IF(ISNUMBER(AVERAGE('20250815_ETF_Options_Exhibits'!X672:X676)),AVERAGE('20250815_ETF_Options_Exhibits'!X672:X676),"")</f>
        <v/>
      </c>
      <c r="Y676" s="3">
        <f>IF(ISNUMBER(AVERAGE('20250815_ETF_Options_Exhibits'!Y672:Y676)),AVERAGE('20250815_ETF_Options_Exhibits'!Y672:Y676),"")</f>
        <v/>
      </c>
      <c r="Z676" s="3">
        <f>IF(ISNUMBER(AVERAGE('20250815_ETF_Options_Exhibits'!Z672:Z676)),AVERAGE('20250815_ETF_Options_Exhibits'!Z672:Z676),"")</f>
        <v/>
      </c>
      <c r="AA676" s="3">
        <f>IF(ISNUMBER(AVERAGE('20250815_ETF_Options_Exhibits'!AA672:AA676)),AVERAGE('20250815_ETF_Options_Exhibits'!AA672:AA676),"")</f>
        <v/>
      </c>
    </row>
    <row r="677">
      <c r="A677" s="1" t="n">
        <v>42984</v>
      </c>
      <c r="B677" s="3">
        <f>IF(ISNUMBER(AVERAGE('20250815_ETF_Options_Exhibits'!B673:B677)),AVERAGE('20250815_ETF_Options_Exhibits'!B673:B677),"")</f>
        <v/>
      </c>
      <c r="C677" s="3">
        <f>IF(ISNUMBER(AVERAGE('20250815_ETF_Options_Exhibits'!C673:C677)),AVERAGE('20250815_ETF_Options_Exhibits'!C673:C677),"")</f>
        <v/>
      </c>
      <c r="D677" s="3">
        <f>IF(ISNUMBER(AVERAGE('20250815_ETF_Options_Exhibits'!D673:D677)),AVERAGE('20250815_ETF_Options_Exhibits'!D673:D677),"")</f>
        <v/>
      </c>
      <c r="E677" s="3">
        <f>IF(ISNUMBER(AVERAGE('20250815_ETF_Options_Exhibits'!E673:E677)),AVERAGE('20250815_ETF_Options_Exhibits'!E673:E677),"")</f>
        <v/>
      </c>
      <c r="F677" s="3">
        <f>IF(ISNUMBER(AVERAGE('20250815_ETF_Options_Exhibits'!F673:F677)),AVERAGE('20250815_ETF_Options_Exhibits'!F673:F677),"")</f>
        <v/>
      </c>
      <c r="G677" s="3">
        <f>IF(ISNUMBER(AVERAGE('20250815_ETF_Options_Exhibits'!G673:G677)),AVERAGE('20250815_ETF_Options_Exhibits'!G673:G677),"")</f>
        <v/>
      </c>
      <c r="H677" s="3">
        <f>IF(ISNUMBER(AVERAGE('20250815_ETF_Options_Exhibits'!H673:H677)),AVERAGE('20250815_ETF_Options_Exhibits'!H673:H677),"")</f>
        <v/>
      </c>
      <c r="I677" s="3">
        <f>IF(ISNUMBER(AVERAGE('20250815_ETF_Options_Exhibits'!I673:I677)),AVERAGE('20250815_ETF_Options_Exhibits'!I673:I677),"")</f>
        <v/>
      </c>
      <c r="J677" s="3">
        <f>IF(ISNUMBER(AVERAGE('20250815_ETF_Options_Exhibits'!J673:J677)),AVERAGE('20250815_ETF_Options_Exhibits'!J673:J677),"")</f>
        <v/>
      </c>
      <c r="K677" s="3">
        <f>IF(ISNUMBER(AVERAGE('20250815_ETF_Options_Exhibits'!K673:K677)),AVERAGE('20250815_ETF_Options_Exhibits'!K673:K677),"")</f>
        <v/>
      </c>
      <c r="L677" s="3">
        <f>IF(ISNUMBER(AVERAGE('20250815_ETF_Options_Exhibits'!L673:L677)),AVERAGE('20250815_ETF_Options_Exhibits'!L673:L677),"")</f>
        <v/>
      </c>
      <c r="M677" s="3">
        <f>IF(ISNUMBER(AVERAGE('20250815_ETF_Options_Exhibits'!M673:M677)),AVERAGE('20250815_ETF_Options_Exhibits'!M673:M677),"")</f>
        <v/>
      </c>
      <c r="N677" s="3">
        <f>IF(ISNUMBER(AVERAGE('20250815_ETF_Options_Exhibits'!N673:N677)),AVERAGE('20250815_ETF_Options_Exhibits'!N673:N677),"")</f>
        <v/>
      </c>
      <c r="O677" s="3">
        <f>IF(ISNUMBER(AVERAGE('20250815_ETF_Options_Exhibits'!O673:O677)),AVERAGE('20250815_ETF_Options_Exhibits'!O673:O677),"")</f>
        <v/>
      </c>
      <c r="P677" s="3">
        <f>IF(ISNUMBER(AVERAGE('20250815_ETF_Options_Exhibits'!P673:P677)),AVERAGE('20250815_ETF_Options_Exhibits'!P673:P677),"")</f>
        <v/>
      </c>
      <c r="Q677" s="3">
        <f>IF(ISNUMBER(AVERAGE('20250815_ETF_Options_Exhibits'!Q673:Q677)),AVERAGE('20250815_ETF_Options_Exhibits'!Q673:Q677),"")</f>
        <v/>
      </c>
      <c r="R677" s="3">
        <f>IF(ISNUMBER(AVERAGE('20250815_ETF_Options_Exhibits'!R673:R677)),AVERAGE('20250815_ETF_Options_Exhibits'!R673:R677),"")</f>
        <v/>
      </c>
      <c r="S677" s="3">
        <f>IF(ISNUMBER(AVERAGE('20250815_ETF_Options_Exhibits'!S673:S677)),AVERAGE('20250815_ETF_Options_Exhibits'!S673:S677),"")</f>
        <v/>
      </c>
      <c r="T677" s="3">
        <f>IF(ISNUMBER(AVERAGE('20250815_ETF_Options_Exhibits'!T673:T677)),AVERAGE('20250815_ETF_Options_Exhibits'!T673:T677),"")</f>
        <v/>
      </c>
      <c r="U677" s="3">
        <f>IF(ISNUMBER(AVERAGE('20250815_ETF_Options_Exhibits'!U673:U677)),AVERAGE('20250815_ETF_Options_Exhibits'!U673:U677),"")</f>
        <v/>
      </c>
      <c r="V677" s="3">
        <f>IF(ISNUMBER(AVERAGE('20250815_ETF_Options_Exhibits'!V673:V677)),AVERAGE('20250815_ETF_Options_Exhibits'!V673:V677),"")</f>
        <v/>
      </c>
      <c r="W677" s="3">
        <f>IF(ISNUMBER(AVERAGE('20250815_ETF_Options_Exhibits'!W673:W677)),AVERAGE('20250815_ETF_Options_Exhibits'!W673:W677),"")</f>
        <v/>
      </c>
      <c r="X677" s="3">
        <f>IF(ISNUMBER(AVERAGE('20250815_ETF_Options_Exhibits'!X673:X677)),AVERAGE('20250815_ETF_Options_Exhibits'!X673:X677),"")</f>
        <v/>
      </c>
      <c r="Y677" s="3">
        <f>IF(ISNUMBER(AVERAGE('20250815_ETF_Options_Exhibits'!Y673:Y677)),AVERAGE('20250815_ETF_Options_Exhibits'!Y673:Y677),"")</f>
        <v/>
      </c>
      <c r="Z677" s="3">
        <f>IF(ISNUMBER(AVERAGE('20250815_ETF_Options_Exhibits'!Z673:Z677)),AVERAGE('20250815_ETF_Options_Exhibits'!Z673:Z677),"")</f>
        <v/>
      </c>
      <c r="AA677" s="3">
        <f>IF(ISNUMBER(AVERAGE('20250815_ETF_Options_Exhibits'!AA673:AA677)),AVERAGE('20250815_ETF_Options_Exhibits'!AA673:AA677),"")</f>
        <v/>
      </c>
    </row>
    <row r="678">
      <c r="A678" s="1" t="n">
        <v>42985</v>
      </c>
      <c r="B678" s="3">
        <f>IF(ISNUMBER(AVERAGE('20250815_ETF_Options_Exhibits'!B674:B678)),AVERAGE('20250815_ETF_Options_Exhibits'!B674:B678),"")</f>
        <v/>
      </c>
      <c r="C678" s="3">
        <f>IF(ISNUMBER(AVERAGE('20250815_ETF_Options_Exhibits'!C674:C678)),AVERAGE('20250815_ETF_Options_Exhibits'!C674:C678),"")</f>
        <v/>
      </c>
      <c r="D678" s="3">
        <f>IF(ISNUMBER(AVERAGE('20250815_ETF_Options_Exhibits'!D674:D678)),AVERAGE('20250815_ETF_Options_Exhibits'!D674:D678),"")</f>
        <v/>
      </c>
      <c r="E678" s="3">
        <f>IF(ISNUMBER(AVERAGE('20250815_ETF_Options_Exhibits'!E674:E678)),AVERAGE('20250815_ETF_Options_Exhibits'!E674:E678),"")</f>
        <v/>
      </c>
      <c r="F678" s="3">
        <f>IF(ISNUMBER(AVERAGE('20250815_ETF_Options_Exhibits'!F674:F678)),AVERAGE('20250815_ETF_Options_Exhibits'!F674:F678),"")</f>
        <v/>
      </c>
      <c r="G678" s="3">
        <f>IF(ISNUMBER(AVERAGE('20250815_ETF_Options_Exhibits'!G674:G678)),AVERAGE('20250815_ETF_Options_Exhibits'!G674:G678),"")</f>
        <v/>
      </c>
      <c r="H678" s="3">
        <f>IF(ISNUMBER(AVERAGE('20250815_ETF_Options_Exhibits'!H674:H678)),AVERAGE('20250815_ETF_Options_Exhibits'!H674:H678),"")</f>
        <v/>
      </c>
      <c r="I678" s="3">
        <f>IF(ISNUMBER(AVERAGE('20250815_ETF_Options_Exhibits'!I674:I678)),AVERAGE('20250815_ETF_Options_Exhibits'!I674:I678),"")</f>
        <v/>
      </c>
      <c r="J678" s="3">
        <f>IF(ISNUMBER(AVERAGE('20250815_ETF_Options_Exhibits'!J674:J678)),AVERAGE('20250815_ETF_Options_Exhibits'!J674:J678),"")</f>
        <v/>
      </c>
      <c r="K678" s="3">
        <f>IF(ISNUMBER(AVERAGE('20250815_ETF_Options_Exhibits'!K674:K678)),AVERAGE('20250815_ETF_Options_Exhibits'!K674:K678),"")</f>
        <v/>
      </c>
      <c r="L678" s="3">
        <f>IF(ISNUMBER(AVERAGE('20250815_ETF_Options_Exhibits'!L674:L678)),AVERAGE('20250815_ETF_Options_Exhibits'!L674:L678),"")</f>
        <v/>
      </c>
      <c r="M678" s="3">
        <f>IF(ISNUMBER(AVERAGE('20250815_ETF_Options_Exhibits'!M674:M678)),AVERAGE('20250815_ETF_Options_Exhibits'!M674:M678),"")</f>
        <v/>
      </c>
      <c r="N678" s="3">
        <f>IF(ISNUMBER(AVERAGE('20250815_ETF_Options_Exhibits'!N674:N678)),AVERAGE('20250815_ETF_Options_Exhibits'!N674:N678),"")</f>
        <v/>
      </c>
      <c r="O678" s="3">
        <f>IF(ISNUMBER(AVERAGE('20250815_ETF_Options_Exhibits'!O674:O678)),AVERAGE('20250815_ETF_Options_Exhibits'!O674:O678),"")</f>
        <v/>
      </c>
      <c r="P678" s="3">
        <f>IF(ISNUMBER(AVERAGE('20250815_ETF_Options_Exhibits'!P674:P678)),AVERAGE('20250815_ETF_Options_Exhibits'!P674:P678),"")</f>
        <v/>
      </c>
      <c r="Q678" s="3">
        <f>IF(ISNUMBER(AVERAGE('20250815_ETF_Options_Exhibits'!Q674:Q678)),AVERAGE('20250815_ETF_Options_Exhibits'!Q674:Q678),"")</f>
        <v/>
      </c>
      <c r="R678" s="3">
        <f>IF(ISNUMBER(AVERAGE('20250815_ETF_Options_Exhibits'!R674:R678)),AVERAGE('20250815_ETF_Options_Exhibits'!R674:R678),"")</f>
        <v/>
      </c>
      <c r="S678" s="3">
        <f>IF(ISNUMBER(AVERAGE('20250815_ETF_Options_Exhibits'!S674:S678)),AVERAGE('20250815_ETF_Options_Exhibits'!S674:S678),"")</f>
        <v/>
      </c>
      <c r="T678" s="3">
        <f>IF(ISNUMBER(AVERAGE('20250815_ETF_Options_Exhibits'!T674:T678)),AVERAGE('20250815_ETF_Options_Exhibits'!T674:T678),"")</f>
        <v/>
      </c>
      <c r="U678" s="3">
        <f>IF(ISNUMBER(AVERAGE('20250815_ETF_Options_Exhibits'!U674:U678)),AVERAGE('20250815_ETF_Options_Exhibits'!U674:U678),"")</f>
        <v/>
      </c>
      <c r="V678" s="3">
        <f>IF(ISNUMBER(AVERAGE('20250815_ETF_Options_Exhibits'!V674:V678)),AVERAGE('20250815_ETF_Options_Exhibits'!V674:V678),"")</f>
        <v/>
      </c>
      <c r="W678" s="3">
        <f>IF(ISNUMBER(AVERAGE('20250815_ETF_Options_Exhibits'!W674:W678)),AVERAGE('20250815_ETF_Options_Exhibits'!W674:W678),"")</f>
        <v/>
      </c>
      <c r="X678" s="3">
        <f>IF(ISNUMBER(AVERAGE('20250815_ETF_Options_Exhibits'!X674:X678)),AVERAGE('20250815_ETF_Options_Exhibits'!X674:X678),"")</f>
        <v/>
      </c>
      <c r="Y678" s="3">
        <f>IF(ISNUMBER(AVERAGE('20250815_ETF_Options_Exhibits'!Y674:Y678)),AVERAGE('20250815_ETF_Options_Exhibits'!Y674:Y678),"")</f>
        <v/>
      </c>
      <c r="Z678" s="3">
        <f>IF(ISNUMBER(AVERAGE('20250815_ETF_Options_Exhibits'!Z674:Z678)),AVERAGE('20250815_ETF_Options_Exhibits'!Z674:Z678),"")</f>
        <v/>
      </c>
      <c r="AA678" s="3">
        <f>IF(ISNUMBER(AVERAGE('20250815_ETF_Options_Exhibits'!AA674:AA678)),AVERAGE('20250815_ETF_Options_Exhibits'!AA674:AA678),"")</f>
        <v/>
      </c>
    </row>
    <row r="679">
      <c r="A679" s="1" t="n">
        <v>42986</v>
      </c>
      <c r="B679" s="3">
        <f>IF(ISNUMBER(AVERAGE('20250815_ETF_Options_Exhibits'!B675:B679)),AVERAGE('20250815_ETF_Options_Exhibits'!B675:B679),"")</f>
        <v/>
      </c>
      <c r="C679" s="3">
        <f>IF(ISNUMBER(AVERAGE('20250815_ETF_Options_Exhibits'!C675:C679)),AVERAGE('20250815_ETF_Options_Exhibits'!C675:C679),"")</f>
        <v/>
      </c>
      <c r="D679" s="3">
        <f>IF(ISNUMBER(AVERAGE('20250815_ETF_Options_Exhibits'!D675:D679)),AVERAGE('20250815_ETF_Options_Exhibits'!D675:D679),"")</f>
        <v/>
      </c>
      <c r="E679" s="3">
        <f>IF(ISNUMBER(AVERAGE('20250815_ETF_Options_Exhibits'!E675:E679)),AVERAGE('20250815_ETF_Options_Exhibits'!E675:E679),"")</f>
        <v/>
      </c>
      <c r="F679" s="3">
        <f>IF(ISNUMBER(AVERAGE('20250815_ETF_Options_Exhibits'!F675:F679)),AVERAGE('20250815_ETF_Options_Exhibits'!F675:F679),"")</f>
        <v/>
      </c>
      <c r="G679" s="3">
        <f>IF(ISNUMBER(AVERAGE('20250815_ETF_Options_Exhibits'!G675:G679)),AVERAGE('20250815_ETF_Options_Exhibits'!G675:G679),"")</f>
        <v/>
      </c>
      <c r="H679" s="3">
        <f>IF(ISNUMBER(AVERAGE('20250815_ETF_Options_Exhibits'!H675:H679)),AVERAGE('20250815_ETF_Options_Exhibits'!H675:H679),"")</f>
        <v/>
      </c>
      <c r="I679" s="3">
        <f>IF(ISNUMBER(AVERAGE('20250815_ETF_Options_Exhibits'!I675:I679)),AVERAGE('20250815_ETF_Options_Exhibits'!I675:I679),"")</f>
        <v/>
      </c>
      <c r="J679" s="3">
        <f>IF(ISNUMBER(AVERAGE('20250815_ETF_Options_Exhibits'!J675:J679)),AVERAGE('20250815_ETF_Options_Exhibits'!J675:J679),"")</f>
        <v/>
      </c>
      <c r="K679" s="3">
        <f>IF(ISNUMBER(AVERAGE('20250815_ETF_Options_Exhibits'!K675:K679)),AVERAGE('20250815_ETF_Options_Exhibits'!K675:K679),"")</f>
        <v/>
      </c>
      <c r="L679" s="3">
        <f>IF(ISNUMBER(AVERAGE('20250815_ETF_Options_Exhibits'!L675:L679)),AVERAGE('20250815_ETF_Options_Exhibits'!L675:L679),"")</f>
        <v/>
      </c>
      <c r="M679" s="3">
        <f>IF(ISNUMBER(AVERAGE('20250815_ETF_Options_Exhibits'!M675:M679)),AVERAGE('20250815_ETF_Options_Exhibits'!M675:M679),"")</f>
        <v/>
      </c>
      <c r="N679" s="3">
        <f>IF(ISNUMBER(AVERAGE('20250815_ETF_Options_Exhibits'!N675:N679)),AVERAGE('20250815_ETF_Options_Exhibits'!N675:N679),"")</f>
        <v/>
      </c>
      <c r="O679" s="3">
        <f>IF(ISNUMBER(AVERAGE('20250815_ETF_Options_Exhibits'!O675:O679)),AVERAGE('20250815_ETF_Options_Exhibits'!O675:O679),"")</f>
        <v/>
      </c>
      <c r="P679" s="3">
        <f>IF(ISNUMBER(AVERAGE('20250815_ETF_Options_Exhibits'!P675:P679)),AVERAGE('20250815_ETF_Options_Exhibits'!P675:P679),"")</f>
        <v/>
      </c>
      <c r="Q679" s="3">
        <f>IF(ISNUMBER(AVERAGE('20250815_ETF_Options_Exhibits'!Q675:Q679)),AVERAGE('20250815_ETF_Options_Exhibits'!Q675:Q679),"")</f>
        <v/>
      </c>
      <c r="R679" s="3">
        <f>IF(ISNUMBER(AVERAGE('20250815_ETF_Options_Exhibits'!R675:R679)),AVERAGE('20250815_ETF_Options_Exhibits'!R675:R679),"")</f>
        <v/>
      </c>
      <c r="S679" s="3">
        <f>IF(ISNUMBER(AVERAGE('20250815_ETF_Options_Exhibits'!S675:S679)),AVERAGE('20250815_ETF_Options_Exhibits'!S675:S679),"")</f>
        <v/>
      </c>
      <c r="T679" s="3">
        <f>IF(ISNUMBER(AVERAGE('20250815_ETF_Options_Exhibits'!T675:T679)),AVERAGE('20250815_ETF_Options_Exhibits'!T675:T679),"")</f>
        <v/>
      </c>
      <c r="U679" s="3">
        <f>IF(ISNUMBER(AVERAGE('20250815_ETF_Options_Exhibits'!U675:U679)),AVERAGE('20250815_ETF_Options_Exhibits'!U675:U679),"")</f>
        <v/>
      </c>
      <c r="V679" s="3">
        <f>IF(ISNUMBER(AVERAGE('20250815_ETF_Options_Exhibits'!V675:V679)),AVERAGE('20250815_ETF_Options_Exhibits'!V675:V679),"")</f>
        <v/>
      </c>
      <c r="W679" s="3">
        <f>IF(ISNUMBER(AVERAGE('20250815_ETF_Options_Exhibits'!W675:W679)),AVERAGE('20250815_ETF_Options_Exhibits'!W675:W679),"")</f>
        <v/>
      </c>
      <c r="X679" s="3">
        <f>IF(ISNUMBER(AVERAGE('20250815_ETF_Options_Exhibits'!X675:X679)),AVERAGE('20250815_ETF_Options_Exhibits'!X675:X679),"")</f>
        <v/>
      </c>
      <c r="Y679" s="3">
        <f>IF(ISNUMBER(AVERAGE('20250815_ETF_Options_Exhibits'!Y675:Y679)),AVERAGE('20250815_ETF_Options_Exhibits'!Y675:Y679),"")</f>
        <v/>
      </c>
      <c r="Z679" s="3">
        <f>IF(ISNUMBER(AVERAGE('20250815_ETF_Options_Exhibits'!Z675:Z679)),AVERAGE('20250815_ETF_Options_Exhibits'!Z675:Z679),"")</f>
        <v/>
      </c>
      <c r="AA679" s="3">
        <f>IF(ISNUMBER(AVERAGE('20250815_ETF_Options_Exhibits'!AA675:AA679)),AVERAGE('20250815_ETF_Options_Exhibits'!AA675:AA679),"")</f>
        <v/>
      </c>
    </row>
    <row r="680">
      <c r="A680" s="1" t="n">
        <v>42989</v>
      </c>
      <c r="B680" s="3">
        <f>IF(ISNUMBER(AVERAGE('20250815_ETF_Options_Exhibits'!B676:B680)),AVERAGE('20250815_ETF_Options_Exhibits'!B676:B680),"")</f>
        <v/>
      </c>
      <c r="C680" s="3">
        <f>IF(ISNUMBER(AVERAGE('20250815_ETF_Options_Exhibits'!C676:C680)),AVERAGE('20250815_ETF_Options_Exhibits'!C676:C680),"")</f>
        <v/>
      </c>
      <c r="D680" s="3">
        <f>IF(ISNUMBER(AVERAGE('20250815_ETF_Options_Exhibits'!D676:D680)),AVERAGE('20250815_ETF_Options_Exhibits'!D676:D680),"")</f>
        <v/>
      </c>
      <c r="E680" s="3">
        <f>IF(ISNUMBER(AVERAGE('20250815_ETF_Options_Exhibits'!E676:E680)),AVERAGE('20250815_ETF_Options_Exhibits'!E676:E680),"")</f>
        <v/>
      </c>
      <c r="F680" s="3">
        <f>IF(ISNUMBER(AVERAGE('20250815_ETF_Options_Exhibits'!F676:F680)),AVERAGE('20250815_ETF_Options_Exhibits'!F676:F680),"")</f>
        <v/>
      </c>
      <c r="G680" s="3">
        <f>IF(ISNUMBER(AVERAGE('20250815_ETF_Options_Exhibits'!G676:G680)),AVERAGE('20250815_ETF_Options_Exhibits'!G676:G680),"")</f>
        <v/>
      </c>
      <c r="H680" s="3">
        <f>IF(ISNUMBER(AVERAGE('20250815_ETF_Options_Exhibits'!H676:H680)),AVERAGE('20250815_ETF_Options_Exhibits'!H676:H680),"")</f>
        <v/>
      </c>
      <c r="I680" s="3">
        <f>IF(ISNUMBER(AVERAGE('20250815_ETF_Options_Exhibits'!I676:I680)),AVERAGE('20250815_ETF_Options_Exhibits'!I676:I680),"")</f>
        <v/>
      </c>
      <c r="J680" s="3">
        <f>IF(ISNUMBER(AVERAGE('20250815_ETF_Options_Exhibits'!J676:J680)),AVERAGE('20250815_ETF_Options_Exhibits'!J676:J680),"")</f>
        <v/>
      </c>
      <c r="K680" s="3">
        <f>IF(ISNUMBER(AVERAGE('20250815_ETF_Options_Exhibits'!K676:K680)),AVERAGE('20250815_ETF_Options_Exhibits'!K676:K680),"")</f>
        <v/>
      </c>
      <c r="L680" s="3">
        <f>IF(ISNUMBER(AVERAGE('20250815_ETF_Options_Exhibits'!L676:L680)),AVERAGE('20250815_ETF_Options_Exhibits'!L676:L680),"")</f>
        <v/>
      </c>
      <c r="M680" s="3">
        <f>IF(ISNUMBER(AVERAGE('20250815_ETF_Options_Exhibits'!M676:M680)),AVERAGE('20250815_ETF_Options_Exhibits'!M676:M680),"")</f>
        <v/>
      </c>
      <c r="N680" s="3">
        <f>IF(ISNUMBER(AVERAGE('20250815_ETF_Options_Exhibits'!N676:N680)),AVERAGE('20250815_ETF_Options_Exhibits'!N676:N680),"")</f>
        <v/>
      </c>
      <c r="O680" s="3">
        <f>IF(ISNUMBER(AVERAGE('20250815_ETF_Options_Exhibits'!O676:O680)),AVERAGE('20250815_ETF_Options_Exhibits'!O676:O680),"")</f>
        <v/>
      </c>
      <c r="P680" s="3">
        <f>IF(ISNUMBER(AVERAGE('20250815_ETF_Options_Exhibits'!P676:P680)),AVERAGE('20250815_ETF_Options_Exhibits'!P676:P680),"")</f>
        <v/>
      </c>
      <c r="Q680" s="3">
        <f>IF(ISNUMBER(AVERAGE('20250815_ETF_Options_Exhibits'!Q676:Q680)),AVERAGE('20250815_ETF_Options_Exhibits'!Q676:Q680),"")</f>
        <v/>
      </c>
      <c r="R680" s="3">
        <f>IF(ISNUMBER(AVERAGE('20250815_ETF_Options_Exhibits'!R676:R680)),AVERAGE('20250815_ETF_Options_Exhibits'!R676:R680),"")</f>
        <v/>
      </c>
      <c r="S680" s="3">
        <f>IF(ISNUMBER(AVERAGE('20250815_ETF_Options_Exhibits'!S676:S680)),AVERAGE('20250815_ETF_Options_Exhibits'!S676:S680),"")</f>
        <v/>
      </c>
      <c r="T680" s="3">
        <f>IF(ISNUMBER(AVERAGE('20250815_ETF_Options_Exhibits'!T676:T680)),AVERAGE('20250815_ETF_Options_Exhibits'!T676:T680),"")</f>
        <v/>
      </c>
      <c r="U680" s="3">
        <f>IF(ISNUMBER(AVERAGE('20250815_ETF_Options_Exhibits'!U676:U680)),AVERAGE('20250815_ETF_Options_Exhibits'!U676:U680),"")</f>
        <v/>
      </c>
      <c r="V680" s="3">
        <f>IF(ISNUMBER(AVERAGE('20250815_ETF_Options_Exhibits'!V676:V680)),AVERAGE('20250815_ETF_Options_Exhibits'!V676:V680),"")</f>
        <v/>
      </c>
      <c r="W680" s="3">
        <f>IF(ISNUMBER(AVERAGE('20250815_ETF_Options_Exhibits'!W676:W680)),AVERAGE('20250815_ETF_Options_Exhibits'!W676:W680),"")</f>
        <v/>
      </c>
      <c r="X680" s="3">
        <f>IF(ISNUMBER(AVERAGE('20250815_ETF_Options_Exhibits'!X676:X680)),AVERAGE('20250815_ETF_Options_Exhibits'!X676:X680),"")</f>
        <v/>
      </c>
      <c r="Y680" s="3">
        <f>IF(ISNUMBER(AVERAGE('20250815_ETF_Options_Exhibits'!Y676:Y680)),AVERAGE('20250815_ETF_Options_Exhibits'!Y676:Y680),"")</f>
        <v/>
      </c>
      <c r="Z680" s="3">
        <f>IF(ISNUMBER(AVERAGE('20250815_ETF_Options_Exhibits'!Z676:Z680)),AVERAGE('20250815_ETF_Options_Exhibits'!Z676:Z680),"")</f>
        <v/>
      </c>
      <c r="AA680" s="3">
        <f>IF(ISNUMBER(AVERAGE('20250815_ETF_Options_Exhibits'!AA676:AA680)),AVERAGE('20250815_ETF_Options_Exhibits'!AA676:AA680),"")</f>
        <v/>
      </c>
    </row>
    <row r="681">
      <c r="A681" s="1" t="n">
        <v>42990</v>
      </c>
      <c r="B681" s="3">
        <f>IF(ISNUMBER(AVERAGE('20250815_ETF_Options_Exhibits'!B677:B681)),AVERAGE('20250815_ETF_Options_Exhibits'!B677:B681),"")</f>
        <v/>
      </c>
      <c r="C681" s="3">
        <f>IF(ISNUMBER(AVERAGE('20250815_ETF_Options_Exhibits'!C677:C681)),AVERAGE('20250815_ETF_Options_Exhibits'!C677:C681),"")</f>
        <v/>
      </c>
      <c r="D681" s="3">
        <f>IF(ISNUMBER(AVERAGE('20250815_ETF_Options_Exhibits'!D677:D681)),AVERAGE('20250815_ETF_Options_Exhibits'!D677:D681),"")</f>
        <v/>
      </c>
      <c r="E681" s="3">
        <f>IF(ISNUMBER(AVERAGE('20250815_ETF_Options_Exhibits'!E677:E681)),AVERAGE('20250815_ETF_Options_Exhibits'!E677:E681),"")</f>
        <v/>
      </c>
      <c r="F681" s="3">
        <f>IF(ISNUMBER(AVERAGE('20250815_ETF_Options_Exhibits'!F677:F681)),AVERAGE('20250815_ETF_Options_Exhibits'!F677:F681),"")</f>
        <v/>
      </c>
      <c r="G681" s="3">
        <f>IF(ISNUMBER(AVERAGE('20250815_ETF_Options_Exhibits'!G677:G681)),AVERAGE('20250815_ETF_Options_Exhibits'!G677:G681),"")</f>
        <v/>
      </c>
      <c r="H681" s="3">
        <f>IF(ISNUMBER(AVERAGE('20250815_ETF_Options_Exhibits'!H677:H681)),AVERAGE('20250815_ETF_Options_Exhibits'!H677:H681),"")</f>
        <v/>
      </c>
      <c r="I681" s="3">
        <f>IF(ISNUMBER(AVERAGE('20250815_ETF_Options_Exhibits'!I677:I681)),AVERAGE('20250815_ETF_Options_Exhibits'!I677:I681),"")</f>
        <v/>
      </c>
      <c r="J681" s="3">
        <f>IF(ISNUMBER(AVERAGE('20250815_ETF_Options_Exhibits'!J677:J681)),AVERAGE('20250815_ETF_Options_Exhibits'!J677:J681),"")</f>
        <v/>
      </c>
      <c r="K681" s="3">
        <f>IF(ISNUMBER(AVERAGE('20250815_ETF_Options_Exhibits'!K677:K681)),AVERAGE('20250815_ETF_Options_Exhibits'!K677:K681),"")</f>
        <v/>
      </c>
      <c r="L681" s="3">
        <f>IF(ISNUMBER(AVERAGE('20250815_ETF_Options_Exhibits'!L677:L681)),AVERAGE('20250815_ETF_Options_Exhibits'!L677:L681),"")</f>
        <v/>
      </c>
      <c r="M681" s="3">
        <f>IF(ISNUMBER(AVERAGE('20250815_ETF_Options_Exhibits'!M677:M681)),AVERAGE('20250815_ETF_Options_Exhibits'!M677:M681),"")</f>
        <v/>
      </c>
      <c r="N681" s="3">
        <f>IF(ISNUMBER(AVERAGE('20250815_ETF_Options_Exhibits'!N677:N681)),AVERAGE('20250815_ETF_Options_Exhibits'!N677:N681),"")</f>
        <v/>
      </c>
      <c r="O681" s="3">
        <f>IF(ISNUMBER(AVERAGE('20250815_ETF_Options_Exhibits'!O677:O681)),AVERAGE('20250815_ETF_Options_Exhibits'!O677:O681),"")</f>
        <v/>
      </c>
      <c r="P681" s="3">
        <f>IF(ISNUMBER(AVERAGE('20250815_ETF_Options_Exhibits'!P677:P681)),AVERAGE('20250815_ETF_Options_Exhibits'!P677:P681),"")</f>
        <v/>
      </c>
      <c r="Q681" s="3">
        <f>IF(ISNUMBER(AVERAGE('20250815_ETF_Options_Exhibits'!Q677:Q681)),AVERAGE('20250815_ETF_Options_Exhibits'!Q677:Q681),"")</f>
        <v/>
      </c>
      <c r="R681" s="3">
        <f>IF(ISNUMBER(AVERAGE('20250815_ETF_Options_Exhibits'!R677:R681)),AVERAGE('20250815_ETF_Options_Exhibits'!R677:R681),"")</f>
        <v/>
      </c>
      <c r="S681" s="3">
        <f>IF(ISNUMBER(AVERAGE('20250815_ETF_Options_Exhibits'!S677:S681)),AVERAGE('20250815_ETF_Options_Exhibits'!S677:S681),"")</f>
        <v/>
      </c>
      <c r="T681" s="3">
        <f>IF(ISNUMBER(AVERAGE('20250815_ETF_Options_Exhibits'!T677:T681)),AVERAGE('20250815_ETF_Options_Exhibits'!T677:T681),"")</f>
        <v/>
      </c>
      <c r="U681" s="3">
        <f>IF(ISNUMBER(AVERAGE('20250815_ETF_Options_Exhibits'!U677:U681)),AVERAGE('20250815_ETF_Options_Exhibits'!U677:U681),"")</f>
        <v/>
      </c>
      <c r="V681" s="3">
        <f>IF(ISNUMBER(AVERAGE('20250815_ETF_Options_Exhibits'!V677:V681)),AVERAGE('20250815_ETF_Options_Exhibits'!V677:V681),"")</f>
        <v/>
      </c>
      <c r="W681" s="3">
        <f>IF(ISNUMBER(AVERAGE('20250815_ETF_Options_Exhibits'!W677:W681)),AVERAGE('20250815_ETF_Options_Exhibits'!W677:W681),"")</f>
        <v/>
      </c>
      <c r="X681" s="3">
        <f>IF(ISNUMBER(AVERAGE('20250815_ETF_Options_Exhibits'!X677:X681)),AVERAGE('20250815_ETF_Options_Exhibits'!X677:X681),"")</f>
        <v/>
      </c>
      <c r="Y681" s="3">
        <f>IF(ISNUMBER(AVERAGE('20250815_ETF_Options_Exhibits'!Y677:Y681)),AVERAGE('20250815_ETF_Options_Exhibits'!Y677:Y681),"")</f>
        <v/>
      </c>
      <c r="Z681" s="3">
        <f>IF(ISNUMBER(AVERAGE('20250815_ETF_Options_Exhibits'!Z677:Z681)),AVERAGE('20250815_ETF_Options_Exhibits'!Z677:Z681),"")</f>
        <v/>
      </c>
      <c r="AA681" s="3">
        <f>IF(ISNUMBER(AVERAGE('20250815_ETF_Options_Exhibits'!AA677:AA681)),AVERAGE('20250815_ETF_Options_Exhibits'!AA677:AA681),"")</f>
        <v/>
      </c>
    </row>
    <row r="682">
      <c r="A682" s="1" t="n">
        <v>42991</v>
      </c>
      <c r="B682" s="3">
        <f>IF(ISNUMBER(AVERAGE('20250815_ETF_Options_Exhibits'!B678:B682)),AVERAGE('20250815_ETF_Options_Exhibits'!B678:B682),"")</f>
        <v/>
      </c>
      <c r="C682" s="3">
        <f>IF(ISNUMBER(AVERAGE('20250815_ETF_Options_Exhibits'!C678:C682)),AVERAGE('20250815_ETF_Options_Exhibits'!C678:C682),"")</f>
        <v/>
      </c>
      <c r="D682" s="3">
        <f>IF(ISNUMBER(AVERAGE('20250815_ETF_Options_Exhibits'!D678:D682)),AVERAGE('20250815_ETF_Options_Exhibits'!D678:D682),"")</f>
        <v/>
      </c>
      <c r="E682" s="3">
        <f>IF(ISNUMBER(AVERAGE('20250815_ETF_Options_Exhibits'!E678:E682)),AVERAGE('20250815_ETF_Options_Exhibits'!E678:E682),"")</f>
        <v/>
      </c>
      <c r="F682" s="3">
        <f>IF(ISNUMBER(AVERAGE('20250815_ETF_Options_Exhibits'!F678:F682)),AVERAGE('20250815_ETF_Options_Exhibits'!F678:F682),"")</f>
        <v/>
      </c>
      <c r="G682" s="3">
        <f>IF(ISNUMBER(AVERAGE('20250815_ETF_Options_Exhibits'!G678:G682)),AVERAGE('20250815_ETF_Options_Exhibits'!G678:G682),"")</f>
        <v/>
      </c>
      <c r="H682" s="3">
        <f>IF(ISNUMBER(AVERAGE('20250815_ETF_Options_Exhibits'!H678:H682)),AVERAGE('20250815_ETF_Options_Exhibits'!H678:H682),"")</f>
        <v/>
      </c>
      <c r="I682" s="3">
        <f>IF(ISNUMBER(AVERAGE('20250815_ETF_Options_Exhibits'!I678:I682)),AVERAGE('20250815_ETF_Options_Exhibits'!I678:I682),"")</f>
        <v/>
      </c>
      <c r="J682" s="3">
        <f>IF(ISNUMBER(AVERAGE('20250815_ETF_Options_Exhibits'!J678:J682)),AVERAGE('20250815_ETF_Options_Exhibits'!J678:J682),"")</f>
        <v/>
      </c>
      <c r="K682" s="3">
        <f>IF(ISNUMBER(AVERAGE('20250815_ETF_Options_Exhibits'!K678:K682)),AVERAGE('20250815_ETF_Options_Exhibits'!K678:K682),"")</f>
        <v/>
      </c>
      <c r="L682" s="3">
        <f>IF(ISNUMBER(AVERAGE('20250815_ETF_Options_Exhibits'!L678:L682)),AVERAGE('20250815_ETF_Options_Exhibits'!L678:L682),"")</f>
        <v/>
      </c>
      <c r="M682" s="3">
        <f>IF(ISNUMBER(AVERAGE('20250815_ETF_Options_Exhibits'!M678:M682)),AVERAGE('20250815_ETF_Options_Exhibits'!M678:M682),"")</f>
        <v/>
      </c>
      <c r="N682" s="3">
        <f>IF(ISNUMBER(AVERAGE('20250815_ETF_Options_Exhibits'!N678:N682)),AVERAGE('20250815_ETF_Options_Exhibits'!N678:N682),"")</f>
        <v/>
      </c>
      <c r="O682" s="3">
        <f>IF(ISNUMBER(AVERAGE('20250815_ETF_Options_Exhibits'!O678:O682)),AVERAGE('20250815_ETF_Options_Exhibits'!O678:O682),"")</f>
        <v/>
      </c>
      <c r="P682" s="3">
        <f>IF(ISNUMBER(AVERAGE('20250815_ETF_Options_Exhibits'!P678:P682)),AVERAGE('20250815_ETF_Options_Exhibits'!P678:P682),"")</f>
        <v/>
      </c>
      <c r="Q682" s="3">
        <f>IF(ISNUMBER(AVERAGE('20250815_ETF_Options_Exhibits'!Q678:Q682)),AVERAGE('20250815_ETF_Options_Exhibits'!Q678:Q682),"")</f>
        <v/>
      </c>
      <c r="R682" s="3">
        <f>IF(ISNUMBER(AVERAGE('20250815_ETF_Options_Exhibits'!R678:R682)),AVERAGE('20250815_ETF_Options_Exhibits'!R678:R682),"")</f>
        <v/>
      </c>
      <c r="S682" s="3">
        <f>IF(ISNUMBER(AVERAGE('20250815_ETF_Options_Exhibits'!S678:S682)),AVERAGE('20250815_ETF_Options_Exhibits'!S678:S682),"")</f>
        <v/>
      </c>
      <c r="T682" s="3">
        <f>IF(ISNUMBER(AVERAGE('20250815_ETF_Options_Exhibits'!T678:T682)),AVERAGE('20250815_ETF_Options_Exhibits'!T678:T682),"")</f>
        <v/>
      </c>
      <c r="U682" s="3">
        <f>IF(ISNUMBER(AVERAGE('20250815_ETF_Options_Exhibits'!U678:U682)),AVERAGE('20250815_ETF_Options_Exhibits'!U678:U682),"")</f>
        <v/>
      </c>
      <c r="V682" s="3">
        <f>IF(ISNUMBER(AVERAGE('20250815_ETF_Options_Exhibits'!V678:V682)),AVERAGE('20250815_ETF_Options_Exhibits'!V678:V682),"")</f>
        <v/>
      </c>
      <c r="W682" s="3">
        <f>IF(ISNUMBER(AVERAGE('20250815_ETF_Options_Exhibits'!W678:W682)),AVERAGE('20250815_ETF_Options_Exhibits'!W678:W682),"")</f>
        <v/>
      </c>
      <c r="X682" s="3">
        <f>IF(ISNUMBER(AVERAGE('20250815_ETF_Options_Exhibits'!X678:X682)),AVERAGE('20250815_ETF_Options_Exhibits'!X678:X682),"")</f>
        <v/>
      </c>
      <c r="Y682" s="3">
        <f>IF(ISNUMBER(AVERAGE('20250815_ETF_Options_Exhibits'!Y678:Y682)),AVERAGE('20250815_ETF_Options_Exhibits'!Y678:Y682),"")</f>
        <v/>
      </c>
      <c r="Z682" s="3">
        <f>IF(ISNUMBER(AVERAGE('20250815_ETF_Options_Exhibits'!Z678:Z682)),AVERAGE('20250815_ETF_Options_Exhibits'!Z678:Z682),"")</f>
        <v/>
      </c>
      <c r="AA682" s="3">
        <f>IF(ISNUMBER(AVERAGE('20250815_ETF_Options_Exhibits'!AA678:AA682)),AVERAGE('20250815_ETF_Options_Exhibits'!AA678:AA682),"")</f>
        <v/>
      </c>
    </row>
    <row r="683">
      <c r="A683" s="1" t="n">
        <v>42992</v>
      </c>
      <c r="B683" s="3">
        <f>IF(ISNUMBER(AVERAGE('20250815_ETF_Options_Exhibits'!B679:B683)),AVERAGE('20250815_ETF_Options_Exhibits'!B679:B683),"")</f>
        <v/>
      </c>
      <c r="C683" s="3">
        <f>IF(ISNUMBER(AVERAGE('20250815_ETF_Options_Exhibits'!C679:C683)),AVERAGE('20250815_ETF_Options_Exhibits'!C679:C683),"")</f>
        <v/>
      </c>
      <c r="D683" s="3">
        <f>IF(ISNUMBER(AVERAGE('20250815_ETF_Options_Exhibits'!D679:D683)),AVERAGE('20250815_ETF_Options_Exhibits'!D679:D683),"")</f>
        <v/>
      </c>
      <c r="E683" s="3">
        <f>IF(ISNUMBER(AVERAGE('20250815_ETF_Options_Exhibits'!E679:E683)),AVERAGE('20250815_ETF_Options_Exhibits'!E679:E683),"")</f>
        <v/>
      </c>
      <c r="F683" s="3">
        <f>IF(ISNUMBER(AVERAGE('20250815_ETF_Options_Exhibits'!F679:F683)),AVERAGE('20250815_ETF_Options_Exhibits'!F679:F683),"")</f>
        <v/>
      </c>
      <c r="G683" s="3">
        <f>IF(ISNUMBER(AVERAGE('20250815_ETF_Options_Exhibits'!G679:G683)),AVERAGE('20250815_ETF_Options_Exhibits'!G679:G683),"")</f>
        <v/>
      </c>
      <c r="H683" s="3">
        <f>IF(ISNUMBER(AVERAGE('20250815_ETF_Options_Exhibits'!H679:H683)),AVERAGE('20250815_ETF_Options_Exhibits'!H679:H683),"")</f>
        <v/>
      </c>
      <c r="I683" s="3">
        <f>IF(ISNUMBER(AVERAGE('20250815_ETF_Options_Exhibits'!I679:I683)),AVERAGE('20250815_ETF_Options_Exhibits'!I679:I683),"")</f>
        <v/>
      </c>
      <c r="J683" s="3">
        <f>IF(ISNUMBER(AVERAGE('20250815_ETF_Options_Exhibits'!J679:J683)),AVERAGE('20250815_ETF_Options_Exhibits'!J679:J683),"")</f>
        <v/>
      </c>
      <c r="K683" s="3">
        <f>IF(ISNUMBER(AVERAGE('20250815_ETF_Options_Exhibits'!K679:K683)),AVERAGE('20250815_ETF_Options_Exhibits'!K679:K683),"")</f>
        <v/>
      </c>
      <c r="L683" s="3">
        <f>IF(ISNUMBER(AVERAGE('20250815_ETF_Options_Exhibits'!L679:L683)),AVERAGE('20250815_ETF_Options_Exhibits'!L679:L683),"")</f>
        <v/>
      </c>
      <c r="M683" s="3">
        <f>IF(ISNUMBER(AVERAGE('20250815_ETF_Options_Exhibits'!M679:M683)),AVERAGE('20250815_ETF_Options_Exhibits'!M679:M683),"")</f>
        <v/>
      </c>
      <c r="N683" s="3">
        <f>IF(ISNUMBER(AVERAGE('20250815_ETF_Options_Exhibits'!N679:N683)),AVERAGE('20250815_ETF_Options_Exhibits'!N679:N683),"")</f>
        <v/>
      </c>
      <c r="O683" s="3">
        <f>IF(ISNUMBER(AVERAGE('20250815_ETF_Options_Exhibits'!O679:O683)),AVERAGE('20250815_ETF_Options_Exhibits'!O679:O683),"")</f>
        <v/>
      </c>
      <c r="P683" s="3">
        <f>IF(ISNUMBER(AVERAGE('20250815_ETF_Options_Exhibits'!P679:P683)),AVERAGE('20250815_ETF_Options_Exhibits'!P679:P683),"")</f>
        <v/>
      </c>
      <c r="Q683" s="3">
        <f>IF(ISNUMBER(AVERAGE('20250815_ETF_Options_Exhibits'!Q679:Q683)),AVERAGE('20250815_ETF_Options_Exhibits'!Q679:Q683),"")</f>
        <v/>
      </c>
      <c r="R683" s="3">
        <f>IF(ISNUMBER(AVERAGE('20250815_ETF_Options_Exhibits'!R679:R683)),AVERAGE('20250815_ETF_Options_Exhibits'!R679:R683),"")</f>
        <v/>
      </c>
      <c r="S683" s="3">
        <f>IF(ISNUMBER(AVERAGE('20250815_ETF_Options_Exhibits'!S679:S683)),AVERAGE('20250815_ETF_Options_Exhibits'!S679:S683),"")</f>
        <v/>
      </c>
      <c r="T683" s="3">
        <f>IF(ISNUMBER(AVERAGE('20250815_ETF_Options_Exhibits'!T679:T683)),AVERAGE('20250815_ETF_Options_Exhibits'!T679:T683),"")</f>
        <v/>
      </c>
      <c r="U683" s="3">
        <f>IF(ISNUMBER(AVERAGE('20250815_ETF_Options_Exhibits'!U679:U683)),AVERAGE('20250815_ETF_Options_Exhibits'!U679:U683),"")</f>
        <v/>
      </c>
      <c r="V683" s="3">
        <f>IF(ISNUMBER(AVERAGE('20250815_ETF_Options_Exhibits'!V679:V683)),AVERAGE('20250815_ETF_Options_Exhibits'!V679:V683),"")</f>
        <v/>
      </c>
      <c r="W683" s="3">
        <f>IF(ISNUMBER(AVERAGE('20250815_ETF_Options_Exhibits'!W679:W683)),AVERAGE('20250815_ETF_Options_Exhibits'!W679:W683),"")</f>
        <v/>
      </c>
      <c r="X683" s="3">
        <f>IF(ISNUMBER(AVERAGE('20250815_ETF_Options_Exhibits'!X679:X683)),AVERAGE('20250815_ETF_Options_Exhibits'!X679:X683),"")</f>
        <v/>
      </c>
      <c r="Y683" s="3">
        <f>IF(ISNUMBER(AVERAGE('20250815_ETF_Options_Exhibits'!Y679:Y683)),AVERAGE('20250815_ETF_Options_Exhibits'!Y679:Y683),"")</f>
        <v/>
      </c>
      <c r="Z683" s="3">
        <f>IF(ISNUMBER(AVERAGE('20250815_ETF_Options_Exhibits'!Z679:Z683)),AVERAGE('20250815_ETF_Options_Exhibits'!Z679:Z683),"")</f>
        <v/>
      </c>
      <c r="AA683" s="3">
        <f>IF(ISNUMBER(AVERAGE('20250815_ETF_Options_Exhibits'!AA679:AA683)),AVERAGE('20250815_ETF_Options_Exhibits'!AA679:AA683),"")</f>
        <v/>
      </c>
    </row>
    <row r="684">
      <c r="A684" s="1" t="n">
        <v>42993</v>
      </c>
      <c r="B684" s="3">
        <f>IF(ISNUMBER(AVERAGE('20250815_ETF_Options_Exhibits'!B680:B684)),AVERAGE('20250815_ETF_Options_Exhibits'!B680:B684),"")</f>
        <v/>
      </c>
      <c r="C684" s="3">
        <f>IF(ISNUMBER(AVERAGE('20250815_ETF_Options_Exhibits'!C680:C684)),AVERAGE('20250815_ETF_Options_Exhibits'!C680:C684),"")</f>
        <v/>
      </c>
      <c r="D684" s="3">
        <f>IF(ISNUMBER(AVERAGE('20250815_ETF_Options_Exhibits'!D680:D684)),AVERAGE('20250815_ETF_Options_Exhibits'!D680:D684),"")</f>
        <v/>
      </c>
      <c r="E684" s="3">
        <f>IF(ISNUMBER(AVERAGE('20250815_ETF_Options_Exhibits'!E680:E684)),AVERAGE('20250815_ETF_Options_Exhibits'!E680:E684),"")</f>
        <v/>
      </c>
      <c r="F684" s="3">
        <f>IF(ISNUMBER(AVERAGE('20250815_ETF_Options_Exhibits'!F680:F684)),AVERAGE('20250815_ETF_Options_Exhibits'!F680:F684),"")</f>
        <v/>
      </c>
      <c r="G684" s="3">
        <f>IF(ISNUMBER(AVERAGE('20250815_ETF_Options_Exhibits'!G680:G684)),AVERAGE('20250815_ETF_Options_Exhibits'!G680:G684),"")</f>
        <v/>
      </c>
      <c r="H684" s="3">
        <f>IF(ISNUMBER(AVERAGE('20250815_ETF_Options_Exhibits'!H680:H684)),AVERAGE('20250815_ETF_Options_Exhibits'!H680:H684),"")</f>
        <v/>
      </c>
      <c r="I684" s="3">
        <f>IF(ISNUMBER(AVERAGE('20250815_ETF_Options_Exhibits'!I680:I684)),AVERAGE('20250815_ETF_Options_Exhibits'!I680:I684),"")</f>
        <v/>
      </c>
      <c r="J684" s="3">
        <f>IF(ISNUMBER(AVERAGE('20250815_ETF_Options_Exhibits'!J680:J684)),AVERAGE('20250815_ETF_Options_Exhibits'!J680:J684),"")</f>
        <v/>
      </c>
      <c r="K684" s="3">
        <f>IF(ISNUMBER(AVERAGE('20250815_ETF_Options_Exhibits'!K680:K684)),AVERAGE('20250815_ETF_Options_Exhibits'!K680:K684),"")</f>
        <v/>
      </c>
      <c r="L684" s="3">
        <f>IF(ISNUMBER(AVERAGE('20250815_ETF_Options_Exhibits'!L680:L684)),AVERAGE('20250815_ETF_Options_Exhibits'!L680:L684),"")</f>
        <v/>
      </c>
      <c r="M684" s="3">
        <f>IF(ISNUMBER(AVERAGE('20250815_ETF_Options_Exhibits'!M680:M684)),AVERAGE('20250815_ETF_Options_Exhibits'!M680:M684),"")</f>
        <v/>
      </c>
      <c r="N684" s="3">
        <f>IF(ISNUMBER(AVERAGE('20250815_ETF_Options_Exhibits'!N680:N684)),AVERAGE('20250815_ETF_Options_Exhibits'!N680:N684),"")</f>
        <v/>
      </c>
      <c r="O684" s="3">
        <f>IF(ISNUMBER(AVERAGE('20250815_ETF_Options_Exhibits'!O680:O684)),AVERAGE('20250815_ETF_Options_Exhibits'!O680:O684),"")</f>
        <v/>
      </c>
      <c r="P684" s="3">
        <f>IF(ISNUMBER(AVERAGE('20250815_ETF_Options_Exhibits'!P680:P684)),AVERAGE('20250815_ETF_Options_Exhibits'!P680:P684),"")</f>
        <v/>
      </c>
      <c r="Q684" s="3">
        <f>IF(ISNUMBER(AVERAGE('20250815_ETF_Options_Exhibits'!Q680:Q684)),AVERAGE('20250815_ETF_Options_Exhibits'!Q680:Q684),"")</f>
        <v/>
      </c>
      <c r="R684" s="3">
        <f>IF(ISNUMBER(AVERAGE('20250815_ETF_Options_Exhibits'!R680:R684)),AVERAGE('20250815_ETF_Options_Exhibits'!R680:R684),"")</f>
        <v/>
      </c>
      <c r="S684" s="3">
        <f>IF(ISNUMBER(AVERAGE('20250815_ETF_Options_Exhibits'!S680:S684)),AVERAGE('20250815_ETF_Options_Exhibits'!S680:S684),"")</f>
        <v/>
      </c>
      <c r="T684" s="3">
        <f>IF(ISNUMBER(AVERAGE('20250815_ETF_Options_Exhibits'!T680:T684)),AVERAGE('20250815_ETF_Options_Exhibits'!T680:T684),"")</f>
        <v/>
      </c>
      <c r="U684" s="3">
        <f>IF(ISNUMBER(AVERAGE('20250815_ETF_Options_Exhibits'!U680:U684)),AVERAGE('20250815_ETF_Options_Exhibits'!U680:U684),"")</f>
        <v/>
      </c>
      <c r="V684" s="3">
        <f>IF(ISNUMBER(AVERAGE('20250815_ETF_Options_Exhibits'!V680:V684)),AVERAGE('20250815_ETF_Options_Exhibits'!V680:V684),"")</f>
        <v/>
      </c>
      <c r="W684" s="3">
        <f>IF(ISNUMBER(AVERAGE('20250815_ETF_Options_Exhibits'!W680:W684)),AVERAGE('20250815_ETF_Options_Exhibits'!W680:W684),"")</f>
        <v/>
      </c>
      <c r="X684" s="3">
        <f>IF(ISNUMBER(AVERAGE('20250815_ETF_Options_Exhibits'!X680:X684)),AVERAGE('20250815_ETF_Options_Exhibits'!X680:X684),"")</f>
        <v/>
      </c>
      <c r="Y684" s="3">
        <f>IF(ISNUMBER(AVERAGE('20250815_ETF_Options_Exhibits'!Y680:Y684)),AVERAGE('20250815_ETF_Options_Exhibits'!Y680:Y684),"")</f>
        <v/>
      </c>
      <c r="Z684" s="3">
        <f>IF(ISNUMBER(AVERAGE('20250815_ETF_Options_Exhibits'!Z680:Z684)),AVERAGE('20250815_ETF_Options_Exhibits'!Z680:Z684),"")</f>
        <v/>
      </c>
      <c r="AA684" s="3">
        <f>IF(ISNUMBER(AVERAGE('20250815_ETF_Options_Exhibits'!AA680:AA684)),AVERAGE('20250815_ETF_Options_Exhibits'!AA680:AA684),"")</f>
        <v/>
      </c>
    </row>
    <row r="685">
      <c r="A685" s="1" t="n">
        <v>42996</v>
      </c>
      <c r="B685" s="3">
        <f>IF(ISNUMBER(AVERAGE('20250815_ETF_Options_Exhibits'!B681:B685)),AVERAGE('20250815_ETF_Options_Exhibits'!B681:B685),"")</f>
        <v/>
      </c>
      <c r="C685" s="3">
        <f>IF(ISNUMBER(AVERAGE('20250815_ETF_Options_Exhibits'!C681:C685)),AVERAGE('20250815_ETF_Options_Exhibits'!C681:C685),"")</f>
        <v/>
      </c>
      <c r="D685" s="3">
        <f>IF(ISNUMBER(AVERAGE('20250815_ETF_Options_Exhibits'!D681:D685)),AVERAGE('20250815_ETF_Options_Exhibits'!D681:D685),"")</f>
        <v/>
      </c>
      <c r="E685" s="3">
        <f>IF(ISNUMBER(AVERAGE('20250815_ETF_Options_Exhibits'!E681:E685)),AVERAGE('20250815_ETF_Options_Exhibits'!E681:E685),"")</f>
        <v/>
      </c>
      <c r="F685" s="3">
        <f>IF(ISNUMBER(AVERAGE('20250815_ETF_Options_Exhibits'!F681:F685)),AVERAGE('20250815_ETF_Options_Exhibits'!F681:F685),"")</f>
        <v/>
      </c>
      <c r="G685" s="3">
        <f>IF(ISNUMBER(AVERAGE('20250815_ETF_Options_Exhibits'!G681:G685)),AVERAGE('20250815_ETF_Options_Exhibits'!G681:G685),"")</f>
        <v/>
      </c>
      <c r="H685" s="3">
        <f>IF(ISNUMBER(AVERAGE('20250815_ETF_Options_Exhibits'!H681:H685)),AVERAGE('20250815_ETF_Options_Exhibits'!H681:H685),"")</f>
        <v/>
      </c>
      <c r="I685" s="3">
        <f>IF(ISNUMBER(AVERAGE('20250815_ETF_Options_Exhibits'!I681:I685)),AVERAGE('20250815_ETF_Options_Exhibits'!I681:I685),"")</f>
        <v/>
      </c>
      <c r="J685" s="3">
        <f>IF(ISNUMBER(AVERAGE('20250815_ETF_Options_Exhibits'!J681:J685)),AVERAGE('20250815_ETF_Options_Exhibits'!J681:J685),"")</f>
        <v/>
      </c>
      <c r="K685" s="3">
        <f>IF(ISNUMBER(AVERAGE('20250815_ETF_Options_Exhibits'!K681:K685)),AVERAGE('20250815_ETF_Options_Exhibits'!K681:K685),"")</f>
        <v/>
      </c>
      <c r="L685" s="3">
        <f>IF(ISNUMBER(AVERAGE('20250815_ETF_Options_Exhibits'!L681:L685)),AVERAGE('20250815_ETF_Options_Exhibits'!L681:L685),"")</f>
        <v/>
      </c>
      <c r="M685" s="3">
        <f>IF(ISNUMBER(AVERAGE('20250815_ETF_Options_Exhibits'!M681:M685)),AVERAGE('20250815_ETF_Options_Exhibits'!M681:M685),"")</f>
        <v/>
      </c>
      <c r="N685" s="3">
        <f>IF(ISNUMBER(AVERAGE('20250815_ETF_Options_Exhibits'!N681:N685)),AVERAGE('20250815_ETF_Options_Exhibits'!N681:N685),"")</f>
        <v/>
      </c>
      <c r="O685" s="3">
        <f>IF(ISNUMBER(AVERAGE('20250815_ETF_Options_Exhibits'!O681:O685)),AVERAGE('20250815_ETF_Options_Exhibits'!O681:O685),"")</f>
        <v/>
      </c>
      <c r="P685" s="3">
        <f>IF(ISNUMBER(AVERAGE('20250815_ETF_Options_Exhibits'!P681:P685)),AVERAGE('20250815_ETF_Options_Exhibits'!P681:P685),"")</f>
        <v/>
      </c>
      <c r="Q685" s="3">
        <f>IF(ISNUMBER(AVERAGE('20250815_ETF_Options_Exhibits'!Q681:Q685)),AVERAGE('20250815_ETF_Options_Exhibits'!Q681:Q685),"")</f>
        <v/>
      </c>
      <c r="R685" s="3">
        <f>IF(ISNUMBER(AVERAGE('20250815_ETF_Options_Exhibits'!R681:R685)),AVERAGE('20250815_ETF_Options_Exhibits'!R681:R685),"")</f>
        <v/>
      </c>
      <c r="S685" s="3">
        <f>IF(ISNUMBER(AVERAGE('20250815_ETF_Options_Exhibits'!S681:S685)),AVERAGE('20250815_ETF_Options_Exhibits'!S681:S685),"")</f>
        <v/>
      </c>
      <c r="T685" s="3">
        <f>IF(ISNUMBER(AVERAGE('20250815_ETF_Options_Exhibits'!T681:T685)),AVERAGE('20250815_ETF_Options_Exhibits'!T681:T685),"")</f>
        <v/>
      </c>
      <c r="U685" s="3">
        <f>IF(ISNUMBER(AVERAGE('20250815_ETF_Options_Exhibits'!U681:U685)),AVERAGE('20250815_ETF_Options_Exhibits'!U681:U685),"")</f>
        <v/>
      </c>
      <c r="V685" s="3">
        <f>IF(ISNUMBER(AVERAGE('20250815_ETF_Options_Exhibits'!V681:V685)),AVERAGE('20250815_ETF_Options_Exhibits'!V681:V685),"")</f>
        <v/>
      </c>
      <c r="W685" s="3">
        <f>IF(ISNUMBER(AVERAGE('20250815_ETF_Options_Exhibits'!W681:W685)),AVERAGE('20250815_ETF_Options_Exhibits'!W681:W685),"")</f>
        <v/>
      </c>
      <c r="X685" s="3">
        <f>IF(ISNUMBER(AVERAGE('20250815_ETF_Options_Exhibits'!X681:X685)),AVERAGE('20250815_ETF_Options_Exhibits'!X681:X685),"")</f>
        <v/>
      </c>
      <c r="Y685" s="3">
        <f>IF(ISNUMBER(AVERAGE('20250815_ETF_Options_Exhibits'!Y681:Y685)),AVERAGE('20250815_ETF_Options_Exhibits'!Y681:Y685),"")</f>
        <v/>
      </c>
      <c r="Z685" s="3">
        <f>IF(ISNUMBER(AVERAGE('20250815_ETF_Options_Exhibits'!Z681:Z685)),AVERAGE('20250815_ETF_Options_Exhibits'!Z681:Z685),"")</f>
        <v/>
      </c>
      <c r="AA685" s="3">
        <f>IF(ISNUMBER(AVERAGE('20250815_ETF_Options_Exhibits'!AA681:AA685)),AVERAGE('20250815_ETF_Options_Exhibits'!AA681:AA685),"")</f>
        <v/>
      </c>
    </row>
    <row r="686">
      <c r="A686" s="1" t="n">
        <v>42997</v>
      </c>
      <c r="B686" s="3">
        <f>IF(ISNUMBER(AVERAGE('20250815_ETF_Options_Exhibits'!B682:B686)),AVERAGE('20250815_ETF_Options_Exhibits'!B682:B686),"")</f>
        <v/>
      </c>
      <c r="C686" s="3">
        <f>IF(ISNUMBER(AVERAGE('20250815_ETF_Options_Exhibits'!C682:C686)),AVERAGE('20250815_ETF_Options_Exhibits'!C682:C686),"")</f>
        <v/>
      </c>
      <c r="D686" s="3">
        <f>IF(ISNUMBER(AVERAGE('20250815_ETF_Options_Exhibits'!D682:D686)),AVERAGE('20250815_ETF_Options_Exhibits'!D682:D686),"")</f>
        <v/>
      </c>
      <c r="E686" s="3">
        <f>IF(ISNUMBER(AVERAGE('20250815_ETF_Options_Exhibits'!E682:E686)),AVERAGE('20250815_ETF_Options_Exhibits'!E682:E686),"")</f>
        <v/>
      </c>
      <c r="F686" s="3">
        <f>IF(ISNUMBER(AVERAGE('20250815_ETF_Options_Exhibits'!F682:F686)),AVERAGE('20250815_ETF_Options_Exhibits'!F682:F686),"")</f>
        <v/>
      </c>
      <c r="G686" s="3">
        <f>IF(ISNUMBER(AVERAGE('20250815_ETF_Options_Exhibits'!G682:G686)),AVERAGE('20250815_ETF_Options_Exhibits'!G682:G686),"")</f>
        <v/>
      </c>
      <c r="H686" s="3">
        <f>IF(ISNUMBER(AVERAGE('20250815_ETF_Options_Exhibits'!H682:H686)),AVERAGE('20250815_ETF_Options_Exhibits'!H682:H686),"")</f>
        <v/>
      </c>
      <c r="I686" s="3">
        <f>IF(ISNUMBER(AVERAGE('20250815_ETF_Options_Exhibits'!I682:I686)),AVERAGE('20250815_ETF_Options_Exhibits'!I682:I686),"")</f>
        <v/>
      </c>
      <c r="J686" s="3">
        <f>IF(ISNUMBER(AVERAGE('20250815_ETF_Options_Exhibits'!J682:J686)),AVERAGE('20250815_ETF_Options_Exhibits'!J682:J686),"")</f>
        <v/>
      </c>
      <c r="K686" s="3">
        <f>IF(ISNUMBER(AVERAGE('20250815_ETF_Options_Exhibits'!K682:K686)),AVERAGE('20250815_ETF_Options_Exhibits'!K682:K686),"")</f>
        <v/>
      </c>
      <c r="L686" s="3">
        <f>IF(ISNUMBER(AVERAGE('20250815_ETF_Options_Exhibits'!L682:L686)),AVERAGE('20250815_ETF_Options_Exhibits'!L682:L686),"")</f>
        <v/>
      </c>
      <c r="M686" s="3">
        <f>IF(ISNUMBER(AVERAGE('20250815_ETF_Options_Exhibits'!M682:M686)),AVERAGE('20250815_ETF_Options_Exhibits'!M682:M686),"")</f>
        <v/>
      </c>
      <c r="N686" s="3">
        <f>IF(ISNUMBER(AVERAGE('20250815_ETF_Options_Exhibits'!N682:N686)),AVERAGE('20250815_ETF_Options_Exhibits'!N682:N686),"")</f>
        <v/>
      </c>
      <c r="O686" s="3">
        <f>IF(ISNUMBER(AVERAGE('20250815_ETF_Options_Exhibits'!O682:O686)),AVERAGE('20250815_ETF_Options_Exhibits'!O682:O686),"")</f>
        <v/>
      </c>
      <c r="P686" s="3">
        <f>IF(ISNUMBER(AVERAGE('20250815_ETF_Options_Exhibits'!P682:P686)),AVERAGE('20250815_ETF_Options_Exhibits'!P682:P686),"")</f>
        <v/>
      </c>
      <c r="Q686" s="3">
        <f>IF(ISNUMBER(AVERAGE('20250815_ETF_Options_Exhibits'!Q682:Q686)),AVERAGE('20250815_ETF_Options_Exhibits'!Q682:Q686),"")</f>
        <v/>
      </c>
      <c r="R686" s="3">
        <f>IF(ISNUMBER(AVERAGE('20250815_ETF_Options_Exhibits'!R682:R686)),AVERAGE('20250815_ETF_Options_Exhibits'!R682:R686),"")</f>
        <v/>
      </c>
      <c r="S686" s="3">
        <f>IF(ISNUMBER(AVERAGE('20250815_ETF_Options_Exhibits'!S682:S686)),AVERAGE('20250815_ETF_Options_Exhibits'!S682:S686),"")</f>
        <v/>
      </c>
      <c r="T686" s="3">
        <f>IF(ISNUMBER(AVERAGE('20250815_ETF_Options_Exhibits'!T682:T686)),AVERAGE('20250815_ETF_Options_Exhibits'!T682:T686),"")</f>
        <v/>
      </c>
      <c r="U686" s="3">
        <f>IF(ISNUMBER(AVERAGE('20250815_ETF_Options_Exhibits'!U682:U686)),AVERAGE('20250815_ETF_Options_Exhibits'!U682:U686),"")</f>
        <v/>
      </c>
      <c r="V686" s="3">
        <f>IF(ISNUMBER(AVERAGE('20250815_ETF_Options_Exhibits'!V682:V686)),AVERAGE('20250815_ETF_Options_Exhibits'!V682:V686),"")</f>
        <v/>
      </c>
      <c r="W686" s="3">
        <f>IF(ISNUMBER(AVERAGE('20250815_ETF_Options_Exhibits'!W682:W686)),AVERAGE('20250815_ETF_Options_Exhibits'!W682:W686),"")</f>
        <v/>
      </c>
      <c r="X686" s="3">
        <f>IF(ISNUMBER(AVERAGE('20250815_ETF_Options_Exhibits'!X682:X686)),AVERAGE('20250815_ETF_Options_Exhibits'!X682:X686),"")</f>
        <v/>
      </c>
      <c r="Y686" s="3">
        <f>IF(ISNUMBER(AVERAGE('20250815_ETF_Options_Exhibits'!Y682:Y686)),AVERAGE('20250815_ETF_Options_Exhibits'!Y682:Y686),"")</f>
        <v/>
      </c>
      <c r="Z686" s="3">
        <f>IF(ISNUMBER(AVERAGE('20250815_ETF_Options_Exhibits'!Z682:Z686)),AVERAGE('20250815_ETF_Options_Exhibits'!Z682:Z686),"")</f>
        <v/>
      </c>
      <c r="AA686" s="3">
        <f>IF(ISNUMBER(AVERAGE('20250815_ETF_Options_Exhibits'!AA682:AA686)),AVERAGE('20250815_ETF_Options_Exhibits'!AA682:AA686),"")</f>
        <v/>
      </c>
    </row>
    <row r="687">
      <c r="A687" s="1" t="n">
        <v>42998</v>
      </c>
      <c r="B687" s="3">
        <f>IF(ISNUMBER(AVERAGE('20250815_ETF_Options_Exhibits'!B683:B687)),AVERAGE('20250815_ETF_Options_Exhibits'!B683:B687),"")</f>
        <v/>
      </c>
      <c r="C687" s="3">
        <f>IF(ISNUMBER(AVERAGE('20250815_ETF_Options_Exhibits'!C683:C687)),AVERAGE('20250815_ETF_Options_Exhibits'!C683:C687),"")</f>
        <v/>
      </c>
      <c r="D687" s="3">
        <f>IF(ISNUMBER(AVERAGE('20250815_ETF_Options_Exhibits'!D683:D687)),AVERAGE('20250815_ETF_Options_Exhibits'!D683:D687),"")</f>
        <v/>
      </c>
      <c r="E687" s="3">
        <f>IF(ISNUMBER(AVERAGE('20250815_ETF_Options_Exhibits'!E683:E687)),AVERAGE('20250815_ETF_Options_Exhibits'!E683:E687),"")</f>
        <v/>
      </c>
      <c r="F687" s="3">
        <f>IF(ISNUMBER(AVERAGE('20250815_ETF_Options_Exhibits'!F683:F687)),AVERAGE('20250815_ETF_Options_Exhibits'!F683:F687),"")</f>
        <v/>
      </c>
      <c r="G687" s="3">
        <f>IF(ISNUMBER(AVERAGE('20250815_ETF_Options_Exhibits'!G683:G687)),AVERAGE('20250815_ETF_Options_Exhibits'!G683:G687),"")</f>
        <v/>
      </c>
      <c r="H687" s="3">
        <f>IF(ISNUMBER(AVERAGE('20250815_ETF_Options_Exhibits'!H683:H687)),AVERAGE('20250815_ETF_Options_Exhibits'!H683:H687),"")</f>
        <v/>
      </c>
      <c r="I687" s="3">
        <f>IF(ISNUMBER(AVERAGE('20250815_ETF_Options_Exhibits'!I683:I687)),AVERAGE('20250815_ETF_Options_Exhibits'!I683:I687),"")</f>
        <v/>
      </c>
      <c r="J687" s="3">
        <f>IF(ISNUMBER(AVERAGE('20250815_ETF_Options_Exhibits'!J683:J687)),AVERAGE('20250815_ETF_Options_Exhibits'!J683:J687),"")</f>
        <v/>
      </c>
      <c r="K687" s="3">
        <f>IF(ISNUMBER(AVERAGE('20250815_ETF_Options_Exhibits'!K683:K687)),AVERAGE('20250815_ETF_Options_Exhibits'!K683:K687),"")</f>
        <v/>
      </c>
      <c r="L687" s="3">
        <f>IF(ISNUMBER(AVERAGE('20250815_ETF_Options_Exhibits'!L683:L687)),AVERAGE('20250815_ETF_Options_Exhibits'!L683:L687),"")</f>
        <v/>
      </c>
      <c r="M687" s="3">
        <f>IF(ISNUMBER(AVERAGE('20250815_ETF_Options_Exhibits'!M683:M687)),AVERAGE('20250815_ETF_Options_Exhibits'!M683:M687),"")</f>
        <v/>
      </c>
      <c r="N687" s="3">
        <f>IF(ISNUMBER(AVERAGE('20250815_ETF_Options_Exhibits'!N683:N687)),AVERAGE('20250815_ETF_Options_Exhibits'!N683:N687),"")</f>
        <v/>
      </c>
      <c r="O687" s="3">
        <f>IF(ISNUMBER(AVERAGE('20250815_ETF_Options_Exhibits'!O683:O687)),AVERAGE('20250815_ETF_Options_Exhibits'!O683:O687),"")</f>
        <v/>
      </c>
      <c r="P687" s="3">
        <f>IF(ISNUMBER(AVERAGE('20250815_ETF_Options_Exhibits'!P683:P687)),AVERAGE('20250815_ETF_Options_Exhibits'!P683:P687),"")</f>
        <v/>
      </c>
      <c r="Q687" s="3">
        <f>IF(ISNUMBER(AVERAGE('20250815_ETF_Options_Exhibits'!Q683:Q687)),AVERAGE('20250815_ETF_Options_Exhibits'!Q683:Q687),"")</f>
        <v/>
      </c>
      <c r="R687" s="3">
        <f>IF(ISNUMBER(AVERAGE('20250815_ETF_Options_Exhibits'!R683:R687)),AVERAGE('20250815_ETF_Options_Exhibits'!R683:R687),"")</f>
        <v/>
      </c>
      <c r="S687" s="3">
        <f>IF(ISNUMBER(AVERAGE('20250815_ETF_Options_Exhibits'!S683:S687)),AVERAGE('20250815_ETF_Options_Exhibits'!S683:S687),"")</f>
        <v/>
      </c>
      <c r="T687" s="3">
        <f>IF(ISNUMBER(AVERAGE('20250815_ETF_Options_Exhibits'!T683:T687)),AVERAGE('20250815_ETF_Options_Exhibits'!T683:T687),"")</f>
        <v/>
      </c>
      <c r="U687" s="3">
        <f>IF(ISNUMBER(AVERAGE('20250815_ETF_Options_Exhibits'!U683:U687)),AVERAGE('20250815_ETF_Options_Exhibits'!U683:U687),"")</f>
        <v/>
      </c>
      <c r="V687" s="3">
        <f>IF(ISNUMBER(AVERAGE('20250815_ETF_Options_Exhibits'!V683:V687)),AVERAGE('20250815_ETF_Options_Exhibits'!V683:V687),"")</f>
        <v/>
      </c>
      <c r="W687" s="3">
        <f>IF(ISNUMBER(AVERAGE('20250815_ETF_Options_Exhibits'!W683:W687)),AVERAGE('20250815_ETF_Options_Exhibits'!W683:W687),"")</f>
        <v/>
      </c>
      <c r="X687" s="3">
        <f>IF(ISNUMBER(AVERAGE('20250815_ETF_Options_Exhibits'!X683:X687)),AVERAGE('20250815_ETF_Options_Exhibits'!X683:X687),"")</f>
        <v/>
      </c>
      <c r="Y687" s="3">
        <f>IF(ISNUMBER(AVERAGE('20250815_ETF_Options_Exhibits'!Y683:Y687)),AVERAGE('20250815_ETF_Options_Exhibits'!Y683:Y687),"")</f>
        <v/>
      </c>
      <c r="Z687" s="3">
        <f>IF(ISNUMBER(AVERAGE('20250815_ETF_Options_Exhibits'!Z683:Z687)),AVERAGE('20250815_ETF_Options_Exhibits'!Z683:Z687),"")</f>
        <v/>
      </c>
      <c r="AA687" s="3">
        <f>IF(ISNUMBER(AVERAGE('20250815_ETF_Options_Exhibits'!AA683:AA687)),AVERAGE('20250815_ETF_Options_Exhibits'!AA683:AA687),"")</f>
        <v/>
      </c>
    </row>
    <row r="688">
      <c r="A688" s="1" t="n">
        <v>42999</v>
      </c>
      <c r="B688" s="3">
        <f>IF(ISNUMBER(AVERAGE('20250815_ETF_Options_Exhibits'!B684:B688)),AVERAGE('20250815_ETF_Options_Exhibits'!B684:B688),"")</f>
        <v/>
      </c>
      <c r="C688" s="3">
        <f>IF(ISNUMBER(AVERAGE('20250815_ETF_Options_Exhibits'!C684:C688)),AVERAGE('20250815_ETF_Options_Exhibits'!C684:C688),"")</f>
        <v/>
      </c>
      <c r="D688" s="3">
        <f>IF(ISNUMBER(AVERAGE('20250815_ETF_Options_Exhibits'!D684:D688)),AVERAGE('20250815_ETF_Options_Exhibits'!D684:D688),"")</f>
        <v/>
      </c>
      <c r="E688" s="3">
        <f>IF(ISNUMBER(AVERAGE('20250815_ETF_Options_Exhibits'!E684:E688)),AVERAGE('20250815_ETF_Options_Exhibits'!E684:E688),"")</f>
        <v/>
      </c>
      <c r="F688" s="3">
        <f>IF(ISNUMBER(AVERAGE('20250815_ETF_Options_Exhibits'!F684:F688)),AVERAGE('20250815_ETF_Options_Exhibits'!F684:F688),"")</f>
        <v/>
      </c>
      <c r="G688" s="3">
        <f>IF(ISNUMBER(AVERAGE('20250815_ETF_Options_Exhibits'!G684:G688)),AVERAGE('20250815_ETF_Options_Exhibits'!G684:G688),"")</f>
        <v/>
      </c>
      <c r="H688" s="3">
        <f>IF(ISNUMBER(AVERAGE('20250815_ETF_Options_Exhibits'!H684:H688)),AVERAGE('20250815_ETF_Options_Exhibits'!H684:H688),"")</f>
        <v/>
      </c>
      <c r="I688" s="3">
        <f>IF(ISNUMBER(AVERAGE('20250815_ETF_Options_Exhibits'!I684:I688)),AVERAGE('20250815_ETF_Options_Exhibits'!I684:I688),"")</f>
        <v/>
      </c>
      <c r="J688" s="3">
        <f>IF(ISNUMBER(AVERAGE('20250815_ETF_Options_Exhibits'!J684:J688)),AVERAGE('20250815_ETF_Options_Exhibits'!J684:J688),"")</f>
        <v/>
      </c>
      <c r="K688" s="3">
        <f>IF(ISNUMBER(AVERAGE('20250815_ETF_Options_Exhibits'!K684:K688)),AVERAGE('20250815_ETF_Options_Exhibits'!K684:K688),"")</f>
        <v/>
      </c>
      <c r="L688" s="3">
        <f>IF(ISNUMBER(AVERAGE('20250815_ETF_Options_Exhibits'!L684:L688)),AVERAGE('20250815_ETF_Options_Exhibits'!L684:L688),"")</f>
        <v/>
      </c>
      <c r="M688" s="3">
        <f>IF(ISNUMBER(AVERAGE('20250815_ETF_Options_Exhibits'!M684:M688)),AVERAGE('20250815_ETF_Options_Exhibits'!M684:M688),"")</f>
        <v/>
      </c>
      <c r="N688" s="3">
        <f>IF(ISNUMBER(AVERAGE('20250815_ETF_Options_Exhibits'!N684:N688)),AVERAGE('20250815_ETF_Options_Exhibits'!N684:N688),"")</f>
        <v/>
      </c>
      <c r="O688" s="3">
        <f>IF(ISNUMBER(AVERAGE('20250815_ETF_Options_Exhibits'!O684:O688)),AVERAGE('20250815_ETF_Options_Exhibits'!O684:O688),"")</f>
        <v/>
      </c>
      <c r="P688" s="3">
        <f>IF(ISNUMBER(AVERAGE('20250815_ETF_Options_Exhibits'!P684:P688)),AVERAGE('20250815_ETF_Options_Exhibits'!P684:P688),"")</f>
        <v/>
      </c>
      <c r="Q688" s="3">
        <f>IF(ISNUMBER(AVERAGE('20250815_ETF_Options_Exhibits'!Q684:Q688)),AVERAGE('20250815_ETF_Options_Exhibits'!Q684:Q688),"")</f>
        <v/>
      </c>
      <c r="R688" s="3">
        <f>IF(ISNUMBER(AVERAGE('20250815_ETF_Options_Exhibits'!R684:R688)),AVERAGE('20250815_ETF_Options_Exhibits'!R684:R688),"")</f>
        <v/>
      </c>
      <c r="S688" s="3">
        <f>IF(ISNUMBER(AVERAGE('20250815_ETF_Options_Exhibits'!S684:S688)),AVERAGE('20250815_ETF_Options_Exhibits'!S684:S688),"")</f>
        <v/>
      </c>
      <c r="T688" s="3">
        <f>IF(ISNUMBER(AVERAGE('20250815_ETF_Options_Exhibits'!T684:T688)),AVERAGE('20250815_ETF_Options_Exhibits'!T684:T688),"")</f>
        <v/>
      </c>
      <c r="U688" s="3">
        <f>IF(ISNUMBER(AVERAGE('20250815_ETF_Options_Exhibits'!U684:U688)),AVERAGE('20250815_ETF_Options_Exhibits'!U684:U688),"")</f>
        <v/>
      </c>
      <c r="V688" s="3">
        <f>IF(ISNUMBER(AVERAGE('20250815_ETF_Options_Exhibits'!V684:V688)),AVERAGE('20250815_ETF_Options_Exhibits'!V684:V688),"")</f>
        <v/>
      </c>
      <c r="W688" s="3">
        <f>IF(ISNUMBER(AVERAGE('20250815_ETF_Options_Exhibits'!W684:W688)),AVERAGE('20250815_ETF_Options_Exhibits'!W684:W688),"")</f>
        <v/>
      </c>
      <c r="X688" s="3">
        <f>IF(ISNUMBER(AVERAGE('20250815_ETF_Options_Exhibits'!X684:X688)),AVERAGE('20250815_ETF_Options_Exhibits'!X684:X688),"")</f>
        <v/>
      </c>
      <c r="Y688" s="3">
        <f>IF(ISNUMBER(AVERAGE('20250815_ETF_Options_Exhibits'!Y684:Y688)),AVERAGE('20250815_ETF_Options_Exhibits'!Y684:Y688),"")</f>
        <v/>
      </c>
      <c r="Z688" s="3">
        <f>IF(ISNUMBER(AVERAGE('20250815_ETF_Options_Exhibits'!Z684:Z688)),AVERAGE('20250815_ETF_Options_Exhibits'!Z684:Z688),"")</f>
        <v/>
      </c>
      <c r="AA688" s="3">
        <f>IF(ISNUMBER(AVERAGE('20250815_ETF_Options_Exhibits'!AA684:AA688)),AVERAGE('20250815_ETF_Options_Exhibits'!AA684:AA688),"")</f>
        <v/>
      </c>
    </row>
    <row r="689">
      <c r="A689" s="1" t="n">
        <v>43000</v>
      </c>
      <c r="B689" s="3">
        <f>IF(ISNUMBER(AVERAGE('20250815_ETF_Options_Exhibits'!B685:B689)),AVERAGE('20250815_ETF_Options_Exhibits'!B685:B689),"")</f>
        <v/>
      </c>
      <c r="C689" s="3">
        <f>IF(ISNUMBER(AVERAGE('20250815_ETF_Options_Exhibits'!C685:C689)),AVERAGE('20250815_ETF_Options_Exhibits'!C685:C689),"")</f>
        <v/>
      </c>
      <c r="D689" s="3">
        <f>IF(ISNUMBER(AVERAGE('20250815_ETF_Options_Exhibits'!D685:D689)),AVERAGE('20250815_ETF_Options_Exhibits'!D685:D689),"")</f>
        <v/>
      </c>
      <c r="E689" s="3">
        <f>IF(ISNUMBER(AVERAGE('20250815_ETF_Options_Exhibits'!E685:E689)),AVERAGE('20250815_ETF_Options_Exhibits'!E685:E689),"")</f>
        <v/>
      </c>
      <c r="F689" s="3">
        <f>IF(ISNUMBER(AVERAGE('20250815_ETF_Options_Exhibits'!F685:F689)),AVERAGE('20250815_ETF_Options_Exhibits'!F685:F689),"")</f>
        <v/>
      </c>
      <c r="G689" s="3">
        <f>IF(ISNUMBER(AVERAGE('20250815_ETF_Options_Exhibits'!G685:G689)),AVERAGE('20250815_ETF_Options_Exhibits'!G685:G689),"")</f>
        <v/>
      </c>
      <c r="H689" s="3">
        <f>IF(ISNUMBER(AVERAGE('20250815_ETF_Options_Exhibits'!H685:H689)),AVERAGE('20250815_ETF_Options_Exhibits'!H685:H689),"")</f>
        <v/>
      </c>
      <c r="I689" s="3">
        <f>IF(ISNUMBER(AVERAGE('20250815_ETF_Options_Exhibits'!I685:I689)),AVERAGE('20250815_ETF_Options_Exhibits'!I685:I689),"")</f>
        <v/>
      </c>
      <c r="J689" s="3">
        <f>IF(ISNUMBER(AVERAGE('20250815_ETF_Options_Exhibits'!J685:J689)),AVERAGE('20250815_ETF_Options_Exhibits'!J685:J689),"")</f>
        <v/>
      </c>
      <c r="K689" s="3">
        <f>IF(ISNUMBER(AVERAGE('20250815_ETF_Options_Exhibits'!K685:K689)),AVERAGE('20250815_ETF_Options_Exhibits'!K685:K689),"")</f>
        <v/>
      </c>
      <c r="L689" s="3">
        <f>IF(ISNUMBER(AVERAGE('20250815_ETF_Options_Exhibits'!L685:L689)),AVERAGE('20250815_ETF_Options_Exhibits'!L685:L689),"")</f>
        <v/>
      </c>
      <c r="M689" s="3">
        <f>IF(ISNUMBER(AVERAGE('20250815_ETF_Options_Exhibits'!M685:M689)),AVERAGE('20250815_ETF_Options_Exhibits'!M685:M689),"")</f>
        <v/>
      </c>
      <c r="N689" s="3">
        <f>IF(ISNUMBER(AVERAGE('20250815_ETF_Options_Exhibits'!N685:N689)),AVERAGE('20250815_ETF_Options_Exhibits'!N685:N689),"")</f>
        <v/>
      </c>
      <c r="O689" s="3">
        <f>IF(ISNUMBER(AVERAGE('20250815_ETF_Options_Exhibits'!O685:O689)),AVERAGE('20250815_ETF_Options_Exhibits'!O685:O689),"")</f>
        <v/>
      </c>
      <c r="P689" s="3">
        <f>IF(ISNUMBER(AVERAGE('20250815_ETF_Options_Exhibits'!P685:P689)),AVERAGE('20250815_ETF_Options_Exhibits'!P685:P689),"")</f>
        <v/>
      </c>
      <c r="Q689" s="3">
        <f>IF(ISNUMBER(AVERAGE('20250815_ETF_Options_Exhibits'!Q685:Q689)),AVERAGE('20250815_ETF_Options_Exhibits'!Q685:Q689),"")</f>
        <v/>
      </c>
      <c r="R689" s="3">
        <f>IF(ISNUMBER(AVERAGE('20250815_ETF_Options_Exhibits'!R685:R689)),AVERAGE('20250815_ETF_Options_Exhibits'!R685:R689),"")</f>
        <v/>
      </c>
      <c r="S689" s="3">
        <f>IF(ISNUMBER(AVERAGE('20250815_ETF_Options_Exhibits'!S685:S689)),AVERAGE('20250815_ETF_Options_Exhibits'!S685:S689),"")</f>
        <v/>
      </c>
      <c r="T689" s="3">
        <f>IF(ISNUMBER(AVERAGE('20250815_ETF_Options_Exhibits'!T685:T689)),AVERAGE('20250815_ETF_Options_Exhibits'!T685:T689),"")</f>
        <v/>
      </c>
      <c r="U689" s="3">
        <f>IF(ISNUMBER(AVERAGE('20250815_ETF_Options_Exhibits'!U685:U689)),AVERAGE('20250815_ETF_Options_Exhibits'!U685:U689),"")</f>
        <v/>
      </c>
      <c r="V689" s="3">
        <f>IF(ISNUMBER(AVERAGE('20250815_ETF_Options_Exhibits'!V685:V689)),AVERAGE('20250815_ETF_Options_Exhibits'!V685:V689),"")</f>
        <v/>
      </c>
      <c r="W689" s="3">
        <f>IF(ISNUMBER(AVERAGE('20250815_ETF_Options_Exhibits'!W685:W689)),AVERAGE('20250815_ETF_Options_Exhibits'!W685:W689),"")</f>
        <v/>
      </c>
      <c r="X689" s="3">
        <f>IF(ISNUMBER(AVERAGE('20250815_ETF_Options_Exhibits'!X685:X689)),AVERAGE('20250815_ETF_Options_Exhibits'!X685:X689),"")</f>
        <v/>
      </c>
      <c r="Y689" s="3">
        <f>IF(ISNUMBER(AVERAGE('20250815_ETF_Options_Exhibits'!Y685:Y689)),AVERAGE('20250815_ETF_Options_Exhibits'!Y685:Y689),"")</f>
        <v/>
      </c>
      <c r="Z689" s="3">
        <f>IF(ISNUMBER(AVERAGE('20250815_ETF_Options_Exhibits'!Z685:Z689)),AVERAGE('20250815_ETF_Options_Exhibits'!Z685:Z689),"")</f>
        <v/>
      </c>
      <c r="AA689" s="3">
        <f>IF(ISNUMBER(AVERAGE('20250815_ETF_Options_Exhibits'!AA685:AA689)),AVERAGE('20250815_ETF_Options_Exhibits'!AA685:AA689),"")</f>
        <v/>
      </c>
    </row>
    <row r="690">
      <c r="A690" s="1" t="n">
        <v>43003</v>
      </c>
      <c r="B690" s="3">
        <f>IF(ISNUMBER(AVERAGE('20250815_ETF_Options_Exhibits'!B686:B690)),AVERAGE('20250815_ETF_Options_Exhibits'!B686:B690),"")</f>
        <v/>
      </c>
      <c r="C690" s="3">
        <f>IF(ISNUMBER(AVERAGE('20250815_ETF_Options_Exhibits'!C686:C690)),AVERAGE('20250815_ETF_Options_Exhibits'!C686:C690),"")</f>
        <v/>
      </c>
      <c r="D690" s="3">
        <f>IF(ISNUMBER(AVERAGE('20250815_ETF_Options_Exhibits'!D686:D690)),AVERAGE('20250815_ETF_Options_Exhibits'!D686:D690),"")</f>
        <v/>
      </c>
      <c r="E690" s="3">
        <f>IF(ISNUMBER(AVERAGE('20250815_ETF_Options_Exhibits'!E686:E690)),AVERAGE('20250815_ETF_Options_Exhibits'!E686:E690),"")</f>
        <v/>
      </c>
      <c r="F690" s="3">
        <f>IF(ISNUMBER(AVERAGE('20250815_ETF_Options_Exhibits'!F686:F690)),AVERAGE('20250815_ETF_Options_Exhibits'!F686:F690),"")</f>
        <v/>
      </c>
      <c r="G690" s="3">
        <f>IF(ISNUMBER(AVERAGE('20250815_ETF_Options_Exhibits'!G686:G690)),AVERAGE('20250815_ETF_Options_Exhibits'!G686:G690),"")</f>
        <v/>
      </c>
      <c r="H690" s="3">
        <f>IF(ISNUMBER(AVERAGE('20250815_ETF_Options_Exhibits'!H686:H690)),AVERAGE('20250815_ETF_Options_Exhibits'!H686:H690),"")</f>
        <v/>
      </c>
      <c r="I690" s="3">
        <f>IF(ISNUMBER(AVERAGE('20250815_ETF_Options_Exhibits'!I686:I690)),AVERAGE('20250815_ETF_Options_Exhibits'!I686:I690),"")</f>
        <v/>
      </c>
      <c r="J690" s="3">
        <f>IF(ISNUMBER(AVERAGE('20250815_ETF_Options_Exhibits'!J686:J690)),AVERAGE('20250815_ETF_Options_Exhibits'!J686:J690),"")</f>
        <v/>
      </c>
      <c r="K690" s="3">
        <f>IF(ISNUMBER(AVERAGE('20250815_ETF_Options_Exhibits'!K686:K690)),AVERAGE('20250815_ETF_Options_Exhibits'!K686:K690),"")</f>
        <v/>
      </c>
      <c r="L690" s="3">
        <f>IF(ISNUMBER(AVERAGE('20250815_ETF_Options_Exhibits'!L686:L690)),AVERAGE('20250815_ETF_Options_Exhibits'!L686:L690),"")</f>
        <v/>
      </c>
      <c r="M690" s="3">
        <f>IF(ISNUMBER(AVERAGE('20250815_ETF_Options_Exhibits'!M686:M690)),AVERAGE('20250815_ETF_Options_Exhibits'!M686:M690),"")</f>
        <v/>
      </c>
      <c r="N690" s="3">
        <f>IF(ISNUMBER(AVERAGE('20250815_ETF_Options_Exhibits'!N686:N690)),AVERAGE('20250815_ETF_Options_Exhibits'!N686:N690),"")</f>
        <v/>
      </c>
      <c r="O690" s="3">
        <f>IF(ISNUMBER(AVERAGE('20250815_ETF_Options_Exhibits'!O686:O690)),AVERAGE('20250815_ETF_Options_Exhibits'!O686:O690),"")</f>
        <v/>
      </c>
      <c r="P690" s="3">
        <f>IF(ISNUMBER(AVERAGE('20250815_ETF_Options_Exhibits'!P686:P690)),AVERAGE('20250815_ETF_Options_Exhibits'!P686:P690),"")</f>
        <v/>
      </c>
      <c r="Q690" s="3">
        <f>IF(ISNUMBER(AVERAGE('20250815_ETF_Options_Exhibits'!Q686:Q690)),AVERAGE('20250815_ETF_Options_Exhibits'!Q686:Q690),"")</f>
        <v/>
      </c>
      <c r="R690" s="3">
        <f>IF(ISNUMBER(AVERAGE('20250815_ETF_Options_Exhibits'!R686:R690)),AVERAGE('20250815_ETF_Options_Exhibits'!R686:R690),"")</f>
        <v/>
      </c>
      <c r="S690" s="3">
        <f>IF(ISNUMBER(AVERAGE('20250815_ETF_Options_Exhibits'!S686:S690)),AVERAGE('20250815_ETF_Options_Exhibits'!S686:S690),"")</f>
        <v/>
      </c>
      <c r="T690" s="3">
        <f>IF(ISNUMBER(AVERAGE('20250815_ETF_Options_Exhibits'!T686:T690)),AVERAGE('20250815_ETF_Options_Exhibits'!T686:T690),"")</f>
        <v/>
      </c>
      <c r="U690" s="3">
        <f>IF(ISNUMBER(AVERAGE('20250815_ETF_Options_Exhibits'!U686:U690)),AVERAGE('20250815_ETF_Options_Exhibits'!U686:U690),"")</f>
        <v/>
      </c>
      <c r="V690" s="3">
        <f>IF(ISNUMBER(AVERAGE('20250815_ETF_Options_Exhibits'!V686:V690)),AVERAGE('20250815_ETF_Options_Exhibits'!V686:V690),"")</f>
        <v/>
      </c>
      <c r="W690" s="3">
        <f>IF(ISNUMBER(AVERAGE('20250815_ETF_Options_Exhibits'!W686:W690)),AVERAGE('20250815_ETF_Options_Exhibits'!W686:W690),"")</f>
        <v/>
      </c>
      <c r="X690" s="3">
        <f>IF(ISNUMBER(AVERAGE('20250815_ETF_Options_Exhibits'!X686:X690)),AVERAGE('20250815_ETF_Options_Exhibits'!X686:X690),"")</f>
        <v/>
      </c>
      <c r="Y690" s="3">
        <f>IF(ISNUMBER(AVERAGE('20250815_ETF_Options_Exhibits'!Y686:Y690)),AVERAGE('20250815_ETF_Options_Exhibits'!Y686:Y690),"")</f>
        <v/>
      </c>
      <c r="Z690" s="3">
        <f>IF(ISNUMBER(AVERAGE('20250815_ETF_Options_Exhibits'!Z686:Z690)),AVERAGE('20250815_ETF_Options_Exhibits'!Z686:Z690),"")</f>
        <v/>
      </c>
      <c r="AA690" s="3">
        <f>IF(ISNUMBER(AVERAGE('20250815_ETF_Options_Exhibits'!AA686:AA690)),AVERAGE('20250815_ETF_Options_Exhibits'!AA686:AA690),"")</f>
        <v/>
      </c>
    </row>
    <row r="691">
      <c r="A691" s="1" t="n">
        <v>43004</v>
      </c>
      <c r="B691" s="3">
        <f>IF(ISNUMBER(AVERAGE('20250815_ETF_Options_Exhibits'!B687:B691)),AVERAGE('20250815_ETF_Options_Exhibits'!B687:B691),"")</f>
        <v/>
      </c>
      <c r="C691" s="3">
        <f>IF(ISNUMBER(AVERAGE('20250815_ETF_Options_Exhibits'!C687:C691)),AVERAGE('20250815_ETF_Options_Exhibits'!C687:C691),"")</f>
        <v/>
      </c>
      <c r="D691" s="3">
        <f>IF(ISNUMBER(AVERAGE('20250815_ETF_Options_Exhibits'!D687:D691)),AVERAGE('20250815_ETF_Options_Exhibits'!D687:D691),"")</f>
        <v/>
      </c>
      <c r="E691" s="3">
        <f>IF(ISNUMBER(AVERAGE('20250815_ETF_Options_Exhibits'!E687:E691)),AVERAGE('20250815_ETF_Options_Exhibits'!E687:E691),"")</f>
        <v/>
      </c>
      <c r="F691" s="3">
        <f>IF(ISNUMBER(AVERAGE('20250815_ETF_Options_Exhibits'!F687:F691)),AVERAGE('20250815_ETF_Options_Exhibits'!F687:F691),"")</f>
        <v/>
      </c>
      <c r="G691" s="3">
        <f>IF(ISNUMBER(AVERAGE('20250815_ETF_Options_Exhibits'!G687:G691)),AVERAGE('20250815_ETF_Options_Exhibits'!G687:G691),"")</f>
        <v/>
      </c>
      <c r="H691" s="3">
        <f>IF(ISNUMBER(AVERAGE('20250815_ETF_Options_Exhibits'!H687:H691)),AVERAGE('20250815_ETF_Options_Exhibits'!H687:H691),"")</f>
        <v/>
      </c>
      <c r="I691" s="3">
        <f>IF(ISNUMBER(AVERAGE('20250815_ETF_Options_Exhibits'!I687:I691)),AVERAGE('20250815_ETF_Options_Exhibits'!I687:I691),"")</f>
        <v/>
      </c>
      <c r="J691" s="3">
        <f>IF(ISNUMBER(AVERAGE('20250815_ETF_Options_Exhibits'!J687:J691)),AVERAGE('20250815_ETF_Options_Exhibits'!J687:J691),"")</f>
        <v/>
      </c>
      <c r="K691" s="3">
        <f>IF(ISNUMBER(AVERAGE('20250815_ETF_Options_Exhibits'!K687:K691)),AVERAGE('20250815_ETF_Options_Exhibits'!K687:K691),"")</f>
        <v/>
      </c>
      <c r="L691" s="3">
        <f>IF(ISNUMBER(AVERAGE('20250815_ETF_Options_Exhibits'!L687:L691)),AVERAGE('20250815_ETF_Options_Exhibits'!L687:L691),"")</f>
        <v/>
      </c>
      <c r="M691" s="3">
        <f>IF(ISNUMBER(AVERAGE('20250815_ETF_Options_Exhibits'!M687:M691)),AVERAGE('20250815_ETF_Options_Exhibits'!M687:M691),"")</f>
        <v/>
      </c>
      <c r="N691" s="3">
        <f>IF(ISNUMBER(AVERAGE('20250815_ETF_Options_Exhibits'!N687:N691)),AVERAGE('20250815_ETF_Options_Exhibits'!N687:N691),"")</f>
        <v/>
      </c>
      <c r="O691" s="3">
        <f>IF(ISNUMBER(AVERAGE('20250815_ETF_Options_Exhibits'!O687:O691)),AVERAGE('20250815_ETF_Options_Exhibits'!O687:O691),"")</f>
        <v/>
      </c>
      <c r="P691" s="3">
        <f>IF(ISNUMBER(AVERAGE('20250815_ETF_Options_Exhibits'!P687:P691)),AVERAGE('20250815_ETF_Options_Exhibits'!P687:P691),"")</f>
        <v/>
      </c>
      <c r="Q691" s="3">
        <f>IF(ISNUMBER(AVERAGE('20250815_ETF_Options_Exhibits'!Q687:Q691)),AVERAGE('20250815_ETF_Options_Exhibits'!Q687:Q691),"")</f>
        <v/>
      </c>
      <c r="R691" s="3">
        <f>IF(ISNUMBER(AVERAGE('20250815_ETF_Options_Exhibits'!R687:R691)),AVERAGE('20250815_ETF_Options_Exhibits'!R687:R691),"")</f>
        <v/>
      </c>
      <c r="S691" s="3">
        <f>IF(ISNUMBER(AVERAGE('20250815_ETF_Options_Exhibits'!S687:S691)),AVERAGE('20250815_ETF_Options_Exhibits'!S687:S691),"")</f>
        <v/>
      </c>
      <c r="T691" s="3">
        <f>IF(ISNUMBER(AVERAGE('20250815_ETF_Options_Exhibits'!T687:T691)),AVERAGE('20250815_ETF_Options_Exhibits'!T687:T691),"")</f>
        <v/>
      </c>
      <c r="U691" s="3">
        <f>IF(ISNUMBER(AVERAGE('20250815_ETF_Options_Exhibits'!U687:U691)),AVERAGE('20250815_ETF_Options_Exhibits'!U687:U691),"")</f>
        <v/>
      </c>
      <c r="V691" s="3">
        <f>IF(ISNUMBER(AVERAGE('20250815_ETF_Options_Exhibits'!V687:V691)),AVERAGE('20250815_ETF_Options_Exhibits'!V687:V691),"")</f>
        <v/>
      </c>
      <c r="W691" s="3">
        <f>IF(ISNUMBER(AVERAGE('20250815_ETF_Options_Exhibits'!W687:W691)),AVERAGE('20250815_ETF_Options_Exhibits'!W687:W691),"")</f>
        <v/>
      </c>
      <c r="X691" s="3">
        <f>IF(ISNUMBER(AVERAGE('20250815_ETF_Options_Exhibits'!X687:X691)),AVERAGE('20250815_ETF_Options_Exhibits'!X687:X691),"")</f>
        <v/>
      </c>
      <c r="Y691" s="3">
        <f>IF(ISNUMBER(AVERAGE('20250815_ETF_Options_Exhibits'!Y687:Y691)),AVERAGE('20250815_ETF_Options_Exhibits'!Y687:Y691),"")</f>
        <v/>
      </c>
      <c r="Z691" s="3">
        <f>IF(ISNUMBER(AVERAGE('20250815_ETF_Options_Exhibits'!Z687:Z691)),AVERAGE('20250815_ETF_Options_Exhibits'!Z687:Z691),"")</f>
        <v/>
      </c>
      <c r="AA691" s="3">
        <f>IF(ISNUMBER(AVERAGE('20250815_ETF_Options_Exhibits'!AA687:AA691)),AVERAGE('20250815_ETF_Options_Exhibits'!AA687:AA691),"")</f>
        <v/>
      </c>
    </row>
    <row r="692">
      <c r="A692" s="1" t="n">
        <v>43005</v>
      </c>
      <c r="B692" s="3">
        <f>IF(ISNUMBER(AVERAGE('20250815_ETF_Options_Exhibits'!B688:B692)),AVERAGE('20250815_ETF_Options_Exhibits'!B688:B692),"")</f>
        <v/>
      </c>
      <c r="C692" s="3">
        <f>IF(ISNUMBER(AVERAGE('20250815_ETF_Options_Exhibits'!C688:C692)),AVERAGE('20250815_ETF_Options_Exhibits'!C688:C692),"")</f>
        <v/>
      </c>
      <c r="D692" s="3">
        <f>IF(ISNUMBER(AVERAGE('20250815_ETF_Options_Exhibits'!D688:D692)),AVERAGE('20250815_ETF_Options_Exhibits'!D688:D692),"")</f>
        <v/>
      </c>
      <c r="E692" s="3">
        <f>IF(ISNUMBER(AVERAGE('20250815_ETF_Options_Exhibits'!E688:E692)),AVERAGE('20250815_ETF_Options_Exhibits'!E688:E692),"")</f>
        <v/>
      </c>
      <c r="F692" s="3">
        <f>IF(ISNUMBER(AVERAGE('20250815_ETF_Options_Exhibits'!F688:F692)),AVERAGE('20250815_ETF_Options_Exhibits'!F688:F692),"")</f>
        <v/>
      </c>
      <c r="G692" s="3">
        <f>IF(ISNUMBER(AVERAGE('20250815_ETF_Options_Exhibits'!G688:G692)),AVERAGE('20250815_ETF_Options_Exhibits'!G688:G692),"")</f>
        <v/>
      </c>
      <c r="H692" s="3">
        <f>IF(ISNUMBER(AVERAGE('20250815_ETF_Options_Exhibits'!H688:H692)),AVERAGE('20250815_ETF_Options_Exhibits'!H688:H692),"")</f>
        <v/>
      </c>
      <c r="I692" s="3">
        <f>IF(ISNUMBER(AVERAGE('20250815_ETF_Options_Exhibits'!I688:I692)),AVERAGE('20250815_ETF_Options_Exhibits'!I688:I692),"")</f>
        <v/>
      </c>
      <c r="J692" s="3">
        <f>IF(ISNUMBER(AVERAGE('20250815_ETF_Options_Exhibits'!J688:J692)),AVERAGE('20250815_ETF_Options_Exhibits'!J688:J692),"")</f>
        <v/>
      </c>
      <c r="K692" s="3">
        <f>IF(ISNUMBER(AVERAGE('20250815_ETF_Options_Exhibits'!K688:K692)),AVERAGE('20250815_ETF_Options_Exhibits'!K688:K692),"")</f>
        <v/>
      </c>
      <c r="L692" s="3">
        <f>IF(ISNUMBER(AVERAGE('20250815_ETF_Options_Exhibits'!L688:L692)),AVERAGE('20250815_ETF_Options_Exhibits'!L688:L692),"")</f>
        <v/>
      </c>
      <c r="M692" s="3">
        <f>IF(ISNUMBER(AVERAGE('20250815_ETF_Options_Exhibits'!M688:M692)),AVERAGE('20250815_ETF_Options_Exhibits'!M688:M692),"")</f>
        <v/>
      </c>
      <c r="N692" s="3">
        <f>IF(ISNUMBER(AVERAGE('20250815_ETF_Options_Exhibits'!N688:N692)),AVERAGE('20250815_ETF_Options_Exhibits'!N688:N692),"")</f>
        <v/>
      </c>
      <c r="O692" s="3">
        <f>IF(ISNUMBER(AVERAGE('20250815_ETF_Options_Exhibits'!O688:O692)),AVERAGE('20250815_ETF_Options_Exhibits'!O688:O692),"")</f>
        <v/>
      </c>
      <c r="P692" s="3">
        <f>IF(ISNUMBER(AVERAGE('20250815_ETF_Options_Exhibits'!P688:P692)),AVERAGE('20250815_ETF_Options_Exhibits'!P688:P692),"")</f>
        <v/>
      </c>
      <c r="Q692" s="3">
        <f>IF(ISNUMBER(AVERAGE('20250815_ETF_Options_Exhibits'!Q688:Q692)),AVERAGE('20250815_ETF_Options_Exhibits'!Q688:Q692),"")</f>
        <v/>
      </c>
      <c r="R692" s="3">
        <f>IF(ISNUMBER(AVERAGE('20250815_ETF_Options_Exhibits'!R688:R692)),AVERAGE('20250815_ETF_Options_Exhibits'!R688:R692),"")</f>
        <v/>
      </c>
      <c r="S692" s="3">
        <f>IF(ISNUMBER(AVERAGE('20250815_ETF_Options_Exhibits'!S688:S692)),AVERAGE('20250815_ETF_Options_Exhibits'!S688:S692),"")</f>
        <v/>
      </c>
      <c r="T692" s="3">
        <f>IF(ISNUMBER(AVERAGE('20250815_ETF_Options_Exhibits'!T688:T692)),AVERAGE('20250815_ETF_Options_Exhibits'!T688:T692),"")</f>
        <v/>
      </c>
      <c r="U692" s="3">
        <f>IF(ISNUMBER(AVERAGE('20250815_ETF_Options_Exhibits'!U688:U692)),AVERAGE('20250815_ETF_Options_Exhibits'!U688:U692),"")</f>
        <v/>
      </c>
      <c r="V692" s="3">
        <f>IF(ISNUMBER(AVERAGE('20250815_ETF_Options_Exhibits'!V688:V692)),AVERAGE('20250815_ETF_Options_Exhibits'!V688:V692),"")</f>
        <v/>
      </c>
      <c r="W692" s="3">
        <f>IF(ISNUMBER(AVERAGE('20250815_ETF_Options_Exhibits'!W688:W692)),AVERAGE('20250815_ETF_Options_Exhibits'!W688:W692),"")</f>
        <v/>
      </c>
      <c r="X692" s="3">
        <f>IF(ISNUMBER(AVERAGE('20250815_ETF_Options_Exhibits'!X688:X692)),AVERAGE('20250815_ETF_Options_Exhibits'!X688:X692),"")</f>
        <v/>
      </c>
      <c r="Y692" s="3">
        <f>IF(ISNUMBER(AVERAGE('20250815_ETF_Options_Exhibits'!Y688:Y692)),AVERAGE('20250815_ETF_Options_Exhibits'!Y688:Y692),"")</f>
        <v/>
      </c>
      <c r="Z692" s="3">
        <f>IF(ISNUMBER(AVERAGE('20250815_ETF_Options_Exhibits'!Z688:Z692)),AVERAGE('20250815_ETF_Options_Exhibits'!Z688:Z692),"")</f>
        <v/>
      </c>
      <c r="AA692" s="3">
        <f>IF(ISNUMBER(AVERAGE('20250815_ETF_Options_Exhibits'!AA688:AA692)),AVERAGE('20250815_ETF_Options_Exhibits'!AA688:AA692),"")</f>
        <v/>
      </c>
    </row>
    <row r="693">
      <c r="A693" s="1" t="n">
        <v>43006</v>
      </c>
      <c r="B693" s="3">
        <f>IF(ISNUMBER(AVERAGE('20250815_ETF_Options_Exhibits'!B689:B693)),AVERAGE('20250815_ETF_Options_Exhibits'!B689:B693),"")</f>
        <v/>
      </c>
      <c r="C693" s="3">
        <f>IF(ISNUMBER(AVERAGE('20250815_ETF_Options_Exhibits'!C689:C693)),AVERAGE('20250815_ETF_Options_Exhibits'!C689:C693),"")</f>
        <v/>
      </c>
      <c r="D693" s="3">
        <f>IF(ISNUMBER(AVERAGE('20250815_ETF_Options_Exhibits'!D689:D693)),AVERAGE('20250815_ETF_Options_Exhibits'!D689:D693),"")</f>
        <v/>
      </c>
      <c r="E693" s="3">
        <f>IF(ISNUMBER(AVERAGE('20250815_ETF_Options_Exhibits'!E689:E693)),AVERAGE('20250815_ETF_Options_Exhibits'!E689:E693),"")</f>
        <v/>
      </c>
      <c r="F693" s="3">
        <f>IF(ISNUMBER(AVERAGE('20250815_ETF_Options_Exhibits'!F689:F693)),AVERAGE('20250815_ETF_Options_Exhibits'!F689:F693),"")</f>
        <v/>
      </c>
      <c r="G693" s="3">
        <f>IF(ISNUMBER(AVERAGE('20250815_ETF_Options_Exhibits'!G689:G693)),AVERAGE('20250815_ETF_Options_Exhibits'!G689:G693),"")</f>
        <v/>
      </c>
      <c r="H693" s="3">
        <f>IF(ISNUMBER(AVERAGE('20250815_ETF_Options_Exhibits'!H689:H693)),AVERAGE('20250815_ETF_Options_Exhibits'!H689:H693),"")</f>
        <v/>
      </c>
      <c r="I693" s="3">
        <f>IF(ISNUMBER(AVERAGE('20250815_ETF_Options_Exhibits'!I689:I693)),AVERAGE('20250815_ETF_Options_Exhibits'!I689:I693),"")</f>
        <v/>
      </c>
      <c r="J693" s="3">
        <f>IF(ISNUMBER(AVERAGE('20250815_ETF_Options_Exhibits'!J689:J693)),AVERAGE('20250815_ETF_Options_Exhibits'!J689:J693),"")</f>
        <v/>
      </c>
      <c r="K693" s="3">
        <f>IF(ISNUMBER(AVERAGE('20250815_ETF_Options_Exhibits'!K689:K693)),AVERAGE('20250815_ETF_Options_Exhibits'!K689:K693),"")</f>
        <v/>
      </c>
      <c r="L693" s="3">
        <f>IF(ISNUMBER(AVERAGE('20250815_ETF_Options_Exhibits'!L689:L693)),AVERAGE('20250815_ETF_Options_Exhibits'!L689:L693),"")</f>
        <v/>
      </c>
      <c r="M693" s="3">
        <f>IF(ISNUMBER(AVERAGE('20250815_ETF_Options_Exhibits'!M689:M693)),AVERAGE('20250815_ETF_Options_Exhibits'!M689:M693),"")</f>
        <v/>
      </c>
      <c r="N693" s="3">
        <f>IF(ISNUMBER(AVERAGE('20250815_ETF_Options_Exhibits'!N689:N693)),AVERAGE('20250815_ETF_Options_Exhibits'!N689:N693),"")</f>
        <v/>
      </c>
      <c r="O693" s="3">
        <f>IF(ISNUMBER(AVERAGE('20250815_ETF_Options_Exhibits'!O689:O693)),AVERAGE('20250815_ETF_Options_Exhibits'!O689:O693),"")</f>
        <v/>
      </c>
      <c r="P693" s="3">
        <f>IF(ISNUMBER(AVERAGE('20250815_ETF_Options_Exhibits'!P689:P693)),AVERAGE('20250815_ETF_Options_Exhibits'!P689:P693),"")</f>
        <v/>
      </c>
      <c r="Q693" s="3">
        <f>IF(ISNUMBER(AVERAGE('20250815_ETF_Options_Exhibits'!Q689:Q693)),AVERAGE('20250815_ETF_Options_Exhibits'!Q689:Q693),"")</f>
        <v/>
      </c>
      <c r="R693" s="3">
        <f>IF(ISNUMBER(AVERAGE('20250815_ETF_Options_Exhibits'!R689:R693)),AVERAGE('20250815_ETF_Options_Exhibits'!R689:R693),"")</f>
        <v/>
      </c>
      <c r="S693" s="3">
        <f>IF(ISNUMBER(AVERAGE('20250815_ETF_Options_Exhibits'!S689:S693)),AVERAGE('20250815_ETF_Options_Exhibits'!S689:S693),"")</f>
        <v/>
      </c>
      <c r="T693" s="3">
        <f>IF(ISNUMBER(AVERAGE('20250815_ETF_Options_Exhibits'!T689:T693)),AVERAGE('20250815_ETF_Options_Exhibits'!T689:T693),"")</f>
        <v/>
      </c>
      <c r="U693" s="3">
        <f>IF(ISNUMBER(AVERAGE('20250815_ETF_Options_Exhibits'!U689:U693)),AVERAGE('20250815_ETF_Options_Exhibits'!U689:U693),"")</f>
        <v/>
      </c>
      <c r="V693" s="3">
        <f>IF(ISNUMBER(AVERAGE('20250815_ETF_Options_Exhibits'!V689:V693)),AVERAGE('20250815_ETF_Options_Exhibits'!V689:V693),"")</f>
        <v/>
      </c>
      <c r="W693" s="3">
        <f>IF(ISNUMBER(AVERAGE('20250815_ETF_Options_Exhibits'!W689:W693)),AVERAGE('20250815_ETF_Options_Exhibits'!W689:W693),"")</f>
        <v/>
      </c>
      <c r="X693" s="3">
        <f>IF(ISNUMBER(AVERAGE('20250815_ETF_Options_Exhibits'!X689:X693)),AVERAGE('20250815_ETF_Options_Exhibits'!X689:X693),"")</f>
        <v/>
      </c>
      <c r="Y693" s="3">
        <f>IF(ISNUMBER(AVERAGE('20250815_ETF_Options_Exhibits'!Y689:Y693)),AVERAGE('20250815_ETF_Options_Exhibits'!Y689:Y693),"")</f>
        <v/>
      </c>
      <c r="Z693" s="3">
        <f>IF(ISNUMBER(AVERAGE('20250815_ETF_Options_Exhibits'!Z689:Z693)),AVERAGE('20250815_ETF_Options_Exhibits'!Z689:Z693),"")</f>
        <v/>
      </c>
      <c r="AA693" s="3">
        <f>IF(ISNUMBER(AVERAGE('20250815_ETF_Options_Exhibits'!AA689:AA693)),AVERAGE('20250815_ETF_Options_Exhibits'!AA689:AA693),"")</f>
        <v/>
      </c>
    </row>
    <row r="694">
      <c r="A694" s="1" t="n">
        <v>43007</v>
      </c>
      <c r="B694" s="3">
        <f>IF(ISNUMBER(AVERAGE('20250815_ETF_Options_Exhibits'!B690:B694)),AVERAGE('20250815_ETF_Options_Exhibits'!B690:B694),"")</f>
        <v/>
      </c>
      <c r="C694" s="3">
        <f>IF(ISNUMBER(AVERAGE('20250815_ETF_Options_Exhibits'!C690:C694)),AVERAGE('20250815_ETF_Options_Exhibits'!C690:C694),"")</f>
        <v/>
      </c>
      <c r="D694" s="3">
        <f>IF(ISNUMBER(AVERAGE('20250815_ETF_Options_Exhibits'!D690:D694)),AVERAGE('20250815_ETF_Options_Exhibits'!D690:D694),"")</f>
        <v/>
      </c>
      <c r="E694" s="3">
        <f>IF(ISNUMBER(AVERAGE('20250815_ETF_Options_Exhibits'!E690:E694)),AVERAGE('20250815_ETF_Options_Exhibits'!E690:E694),"")</f>
        <v/>
      </c>
      <c r="F694" s="3">
        <f>IF(ISNUMBER(AVERAGE('20250815_ETF_Options_Exhibits'!F690:F694)),AVERAGE('20250815_ETF_Options_Exhibits'!F690:F694),"")</f>
        <v/>
      </c>
      <c r="G694" s="3">
        <f>IF(ISNUMBER(AVERAGE('20250815_ETF_Options_Exhibits'!G690:G694)),AVERAGE('20250815_ETF_Options_Exhibits'!G690:G694),"")</f>
        <v/>
      </c>
      <c r="H694" s="3">
        <f>IF(ISNUMBER(AVERAGE('20250815_ETF_Options_Exhibits'!H690:H694)),AVERAGE('20250815_ETF_Options_Exhibits'!H690:H694),"")</f>
        <v/>
      </c>
      <c r="I694" s="3">
        <f>IF(ISNUMBER(AVERAGE('20250815_ETF_Options_Exhibits'!I690:I694)),AVERAGE('20250815_ETF_Options_Exhibits'!I690:I694),"")</f>
        <v/>
      </c>
      <c r="J694" s="3">
        <f>IF(ISNUMBER(AVERAGE('20250815_ETF_Options_Exhibits'!J690:J694)),AVERAGE('20250815_ETF_Options_Exhibits'!J690:J694),"")</f>
        <v/>
      </c>
      <c r="K694" s="3">
        <f>IF(ISNUMBER(AVERAGE('20250815_ETF_Options_Exhibits'!K690:K694)),AVERAGE('20250815_ETF_Options_Exhibits'!K690:K694),"")</f>
        <v/>
      </c>
      <c r="L694" s="3">
        <f>IF(ISNUMBER(AVERAGE('20250815_ETF_Options_Exhibits'!L690:L694)),AVERAGE('20250815_ETF_Options_Exhibits'!L690:L694),"")</f>
        <v/>
      </c>
      <c r="M694" s="3">
        <f>IF(ISNUMBER(AVERAGE('20250815_ETF_Options_Exhibits'!M690:M694)),AVERAGE('20250815_ETF_Options_Exhibits'!M690:M694),"")</f>
        <v/>
      </c>
      <c r="N694" s="3">
        <f>IF(ISNUMBER(AVERAGE('20250815_ETF_Options_Exhibits'!N690:N694)),AVERAGE('20250815_ETF_Options_Exhibits'!N690:N694),"")</f>
        <v/>
      </c>
      <c r="O694" s="3">
        <f>IF(ISNUMBER(AVERAGE('20250815_ETF_Options_Exhibits'!O690:O694)),AVERAGE('20250815_ETF_Options_Exhibits'!O690:O694),"")</f>
        <v/>
      </c>
      <c r="P694" s="3">
        <f>IF(ISNUMBER(AVERAGE('20250815_ETF_Options_Exhibits'!P690:P694)),AVERAGE('20250815_ETF_Options_Exhibits'!P690:P694),"")</f>
        <v/>
      </c>
      <c r="Q694" s="3">
        <f>IF(ISNUMBER(AVERAGE('20250815_ETF_Options_Exhibits'!Q690:Q694)),AVERAGE('20250815_ETF_Options_Exhibits'!Q690:Q694),"")</f>
        <v/>
      </c>
      <c r="R694" s="3">
        <f>IF(ISNUMBER(AVERAGE('20250815_ETF_Options_Exhibits'!R690:R694)),AVERAGE('20250815_ETF_Options_Exhibits'!R690:R694),"")</f>
        <v/>
      </c>
      <c r="S694" s="3">
        <f>IF(ISNUMBER(AVERAGE('20250815_ETF_Options_Exhibits'!S690:S694)),AVERAGE('20250815_ETF_Options_Exhibits'!S690:S694),"")</f>
        <v/>
      </c>
      <c r="T694" s="3">
        <f>IF(ISNUMBER(AVERAGE('20250815_ETF_Options_Exhibits'!T690:T694)),AVERAGE('20250815_ETF_Options_Exhibits'!T690:T694),"")</f>
        <v/>
      </c>
      <c r="U694" s="3">
        <f>IF(ISNUMBER(AVERAGE('20250815_ETF_Options_Exhibits'!U690:U694)),AVERAGE('20250815_ETF_Options_Exhibits'!U690:U694),"")</f>
        <v/>
      </c>
      <c r="V694" s="3">
        <f>IF(ISNUMBER(AVERAGE('20250815_ETF_Options_Exhibits'!V690:V694)),AVERAGE('20250815_ETF_Options_Exhibits'!V690:V694),"")</f>
        <v/>
      </c>
      <c r="W694" s="3">
        <f>IF(ISNUMBER(AVERAGE('20250815_ETF_Options_Exhibits'!W690:W694)),AVERAGE('20250815_ETF_Options_Exhibits'!W690:W694),"")</f>
        <v/>
      </c>
      <c r="X694" s="3">
        <f>IF(ISNUMBER(AVERAGE('20250815_ETF_Options_Exhibits'!X690:X694)),AVERAGE('20250815_ETF_Options_Exhibits'!X690:X694),"")</f>
        <v/>
      </c>
      <c r="Y694" s="3">
        <f>IF(ISNUMBER(AVERAGE('20250815_ETF_Options_Exhibits'!Y690:Y694)),AVERAGE('20250815_ETF_Options_Exhibits'!Y690:Y694),"")</f>
        <v/>
      </c>
      <c r="Z694" s="3">
        <f>IF(ISNUMBER(AVERAGE('20250815_ETF_Options_Exhibits'!Z690:Z694)),AVERAGE('20250815_ETF_Options_Exhibits'!Z690:Z694),"")</f>
        <v/>
      </c>
      <c r="AA694" s="3">
        <f>IF(ISNUMBER(AVERAGE('20250815_ETF_Options_Exhibits'!AA690:AA694)),AVERAGE('20250815_ETF_Options_Exhibits'!AA690:AA694),"")</f>
        <v/>
      </c>
    </row>
    <row r="695">
      <c r="A695" s="1" t="n">
        <v>43010</v>
      </c>
      <c r="B695" s="3">
        <f>IF(ISNUMBER(AVERAGE('20250815_ETF_Options_Exhibits'!B691:B695)),AVERAGE('20250815_ETF_Options_Exhibits'!B691:B695),"")</f>
        <v/>
      </c>
      <c r="C695" s="3">
        <f>IF(ISNUMBER(AVERAGE('20250815_ETF_Options_Exhibits'!C691:C695)),AVERAGE('20250815_ETF_Options_Exhibits'!C691:C695),"")</f>
        <v/>
      </c>
      <c r="D695" s="3">
        <f>IF(ISNUMBER(AVERAGE('20250815_ETF_Options_Exhibits'!D691:D695)),AVERAGE('20250815_ETF_Options_Exhibits'!D691:D695),"")</f>
        <v/>
      </c>
      <c r="E695" s="3">
        <f>IF(ISNUMBER(AVERAGE('20250815_ETF_Options_Exhibits'!E691:E695)),AVERAGE('20250815_ETF_Options_Exhibits'!E691:E695),"")</f>
        <v/>
      </c>
      <c r="F695" s="3">
        <f>IF(ISNUMBER(AVERAGE('20250815_ETF_Options_Exhibits'!F691:F695)),AVERAGE('20250815_ETF_Options_Exhibits'!F691:F695),"")</f>
        <v/>
      </c>
      <c r="G695" s="3">
        <f>IF(ISNUMBER(AVERAGE('20250815_ETF_Options_Exhibits'!G691:G695)),AVERAGE('20250815_ETF_Options_Exhibits'!G691:G695),"")</f>
        <v/>
      </c>
      <c r="H695" s="3">
        <f>IF(ISNUMBER(AVERAGE('20250815_ETF_Options_Exhibits'!H691:H695)),AVERAGE('20250815_ETF_Options_Exhibits'!H691:H695),"")</f>
        <v/>
      </c>
      <c r="I695" s="3">
        <f>IF(ISNUMBER(AVERAGE('20250815_ETF_Options_Exhibits'!I691:I695)),AVERAGE('20250815_ETF_Options_Exhibits'!I691:I695),"")</f>
        <v/>
      </c>
      <c r="J695" s="3">
        <f>IF(ISNUMBER(AVERAGE('20250815_ETF_Options_Exhibits'!J691:J695)),AVERAGE('20250815_ETF_Options_Exhibits'!J691:J695),"")</f>
        <v/>
      </c>
      <c r="K695" s="3">
        <f>IF(ISNUMBER(AVERAGE('20250815_ETF_Options_Exhibits'!K691:K695)),AVERAGE('20250815_ETF_Options_Exhibits'!K691:K695),"")</f>
        <v/>
      </c>
      <c r="L695" s="3">
        <f>IF(ISNUMBER(AVERAGE('20250815_ETF_Options_Exhibits'!L691:L695)),AVERAGE('20250815_ETF_Options_Exhibits'!L691:L695),"")</f>
        <v/>
      </c>
      <c r="M695" s="3">
        <f>IF(ISNUMBER(AVERAGE('20250815_ETF_Options_Exhibits'!M691:M695)),AVERAGE('20250815_ETF_Options_Exhibits'!M691:M695),"")</f>
        <v/>
      </c>
      <c r="N695" s="3">
        <f>IF(ISNUMBER(AVERAGE('20250815_ETF_Options_Exhibits'!N691:N695)),AVERAGE('20250815_ETF_Options_Exhibits'!N691:N695),"")</f>
        <v/>
      </c>
      <c r="O695" s="3">
        <f>IF(ISNUMBER(AVERAGE('20250815_ETF_Options_Exhibits'!O691:O695)),AVERAGE('20250815_ETF_Options_Exhibits'!O691:O695),"")</f>
        <v/>
      </c>
      <c r="P695" s="3">
        <f>IF(ISNUMBER(AVERAGE('20250815_ETF_Options_Exhibits'!P691:P695)),AVERAGE('20250815_ETF_Options_Exhibits'!P691:P695),"")</f>
        <v/>
      </c>
      <c r="Q695" s="3">
        <f>IF(ISNUMBER(AVERAGE('20250815_ETF_Options_Exhibits'!Q691:Q695)),AVERAGE('20250815_ETF_Options_Exhibits'!Q691:Q695),"")</f>
        <v/>
      </c>
      <c r="R695" s="3">
        <f>IF(ISNUMBER(AVERAGE('20250815_ETF_Options_Exhibits'!R691:R695)),AVERAGE('20250815_ETF_Options_Exhibits'!R691:R695),"")</f>
        <v/>
      </c>
      <c r="S695" s="3">
        <f>IF(ISNUMBER(AVERAGE('20250815_ETF_Options_Exhibits'!S691:S695)),AVERAGE('20250815_ETF_Options_Exhibits'!S691:S695),"")</f>
        <v/>
      </c>
      <c r="T695" s="3">
        <f>IF(ISNUMBER(AVERAGE('20250815_ETF_Options_Exhibits'!T691:T695)),AVERAGE('20250815_ETF_Options_Exhibits'!T691:T695),"")</f>
        <v/>
      </c>
      <c r="U695" s="3">
        <f>IF(ISNUMBER(AVERAGE('20250815_ETF_Options_Exhibits'!U691:U695)),AVERAGE('20250815_ETF_Options_Exhibits'!U691:U695),"")</f>
        <v/>
      </c>
      <c r="V695" s="3">
        <f>IF(ISNUMBER(AVERAGE('20250815_ETF_Options_Exhibits'!V691:V695)),AVERAGE('20250815_ETF_Options_Exhibits'!V691:V695),"")</f>
        <v/>
      </c>
      <c r="W695" s="3">
        <f>IF(ISNUMBER(AVERAGE('20250815_ETF_Options_Exhibits'!W691:W695)),AVERAGE('20250815_ETF_Options_Exhibits'!W691:W695),"")</f>
        <v/>
      </c>
      <c r="X695" s="3">
        <f>IF(ISNUMBER(AVERAGE('20250815_ETF_Options_Exhibits'!X691:X695)),AVERAGE('20250815_ETF_Options_Exhibits'!X691:X695),"")</f>
        <v/>
      </c>
      <c r="Y695" s="3">
        <f>IF(ISNUMBER(AVERAGE('20250815_ETF_Options_Exhibits'!Y691:Y695)),AVERAGE('20250815_ETF_Options_Exhibits'!Y691:Y695),"")</f>
        <v/>
      </c>
      <c r="Z695" s="3">
        <f>IF(ISNUMBER(AVERAGE('20250815_ETF_Options_Exhibits'!Z691:Z695)),AVERAGE('20250815_ETF_Options_Exhibits'!Z691:Z695),"")</f>
        <v/>
      </c>
      <c r="AA695" s="3">
        <f>IF(ISNUMBER(AVERAGE('20250815_ETF_Options_Exhibits'!AA691:AA695)),AVERAGE('20250815_ETF_Options_Exhibits'!AA691:AA695),"")</f>
        <v/>
      </c>
    </row>
    <row r="696">
      <c r="A696" s="1" t="n">
        <v>43011</v>
      </c>
      <c r="B696" s="3">
        <f>IF(ISNUMBER(AVERAGE('20250815_ETF_Options_Exhibits'!B692:B696)),AVERAGE('20250815_ETF_Options_Exhibits'!B692:B696),"")</f>
        <v/>
      </c>
      <c r="C696" s="3">
        <f>IF(ISNUMBER(AVERAGE('20250815_ETF_Options_Exhibits'!C692:C696)),AVERAGE('20250815_ETF_Options_Exhibits'!C692:C696),"")</f>
        <v/>
      </c>
      <c r="D696" s="3">
        <f>IF(ISNUMBER(AVERAGE('20250815_ETF_Options_Exhibits'!D692:D696)),AVERAGE('20250815_ETF_Options_Exhibits'!D692:D696),"")</f>
        <v/>
      </c>
      <c r="E696" s="3">
        <f>IF(ISNUMBER(AVERAGE('20250815_ETF_Options_Exhibits'!E692:E696)),AVERAGE('20250815_ETF_Options_Exhibits'!E692:E696),"")</f>
        <v/>
      </c>
      <c r="F696" s="3">
        <f>IF(ISNUMBER(AVERAGE('20250815_ETF_Options_Exhibits'!F692:F696)),AVERAGE('20250815_ETF_Options_Exhibits'!F692:F696),"")</f>
        <v/>
      </c>
      <c r="G696" s="3">
        <f>IF(ISNUMBER(AVERAGE('20250815_ETF_Options_Exhibits'!G692:G696)),AVERAGE('20250815_ETF_Options_Exhibits'!G692:G696),"")</f>
        <v/>
      </c>
      <c r="H696" s="3">
        <f>IF(ISNUMBER(AVERAGE('20250815_ETF_Options_Exhibits'!H692:H696)),AVERAGE('20250815_ETF_Options_Exhibits'!H692:H696),"")</f>
        <v/>
      </c>
      <c r="I696" s="3">
        <f>IF(ISNUMBER(AVERAGE('20250815_ETF_Options_Exhibits'!I692:I696)),AVERAGE('20250815_ETF_Options_Exhibits'!I692:I696),"")</f>
        <v/>
      </c>
      <c r="J696" s="3">
        <f>IF(ISNUMBER(AVERAGE('20250815_ETF_Options_Exhibits'!J692:J696)),AVERAGE('20250815_ETF_Options_Exhibits'!J692:J696),"")</f>
        <v/>
      </c>
      <c r="K696" s="3">
        <f>IF(ISNUMBER(AVERAGE('20250815_ETF_Options_Exhibits'!K692:K696)),AVERAGE('20250815_ETF_Options_Exhibits'!K692:K696),"")</f>
        <v/>
      </c>
      <c r="L696" s="3">
        <f>IF(ISNUMBER(AVERAGE('20250815_ETF_Options_Exhibits'!L692:L696)),AVERAGE('20250815_ETF_Options_Exhibits'!L692:L696),"")</f>
        <v/>
      </c>
      <c r="M696" s="3">
        <f>IF(ISNUMBER(AVERAGE('20250815_ETF_Options_Exhibits'!M692:M696)),AVERAGE('20250815_ETF_Options_Exhibits'!M692:M696),"")</f>
        <v/>
      </c>
      <c r="N696" s="3">
        <f>IF(ISNUMBER(AVERAGE('20250815_ETF_Options_Exhibits'!N692:N696)),AVERAGE('20250815_ETF_Options_Exhibits'!N692:N696),"")</f>
        <v/>
      </c>
      <c r="O696" s="3">
        <f>IF(ISNUMBER(AVERAGE('20250815_ETF_Options_Exhibits'!O692:O696)),AVERAGE('20250815_ETF_Options_Exhibits'!O692:O696),"")</f>
        <v/>
      </c>
      <c r="P696" s="3">
        <f>IF(ISNUMBER(AVERAGE('20250815_ETF_Options_Exhibits'!P692:P696)),AVERAGE('20250815_ETF_Options_Exhibits'!P692:P696),"")</f>
        <v/>
      </c>
      <c r="Q696" s="3">
        <f>IF(ISNUMBER(AVERAGE('20250815_ETF_Options_Exhibits'!Q692:Q696)),AVERAGE('20250815_ETF_Options_Exhibits'!Q692:Q696),"")</f>
        <v/>
      </c>
      <c r="R696" s="3">
        <f>IF(ISNUMBER(AVERAGE('20250815_ETF_Options_Exhibits'!R692:R696)),AVERAGE('20250815_ETF_Options_Exhibits'!R692:R696),"")</f>
        <v/>
      </c>
      <c r="S696" s="3">
        <f>IF(ISNUMBER(AVERAGE('20250815_ETF_Options_Exhibits'!S692:S696)),AVERAGE('20250815_ETF_Options_Exhibits'!S692:S696),"")</f>
        <v/>
      </c>
      <c r="T696" s="3">
        <f>IF(ISNUMBER(AVERAGE('20250815_ETF_Options_Exhibits'!T692:T696)),AVERAGE('20250815_ETF_Options_Exhibits'!T692:T696),"")</f>
        <v/>
      </c>
      <c r="U696" s="3">
        <f>IF(ISNUMBER(AVERAGE('20250815_ETF_Options_Exhibits'!U692:U696)),AVERAGE('20250815_ETF_Options_Exhibits'!U692:U696),"")</f>
        <v/>
      </c>
      <c r="V696" s="3">
        <f>IF(ISNUMBER(AVERAGE('20250815_ETF_Options_Exhibits'!V692:V696)),AVERAGE('20250815_ETF_Options_Exhibits'!V692:V696),"")</f>
        <v/>
      </c>
      <c r="W696" s="3">
        <f>IF(ISNUMBER(AVERAGE('20250815_ETF_Options_Exhibits'!W692:W696)),AVERAGE('20250815_ETF_Options_Exhibits'!W692:W696),"")</f>
        <v/>
      </c>
      <c r="X696" s="3">
        <f>IF(ISNUMBER(AVERAGE('20250815_ETF_Options_Exhibits'!X692:X696)),AVERAGE('20250815_ETF_Options_Exhibits'!X692:X696),"")</f>
        <v/>
      </c>
      <c r="Y696" s="3">
        <f>IF(ISNUMBER(AVERAGE('20250815_ETF_Options_Exhibits'!Y692:Y696)),AVERAGE('20250815_ETF_Options_Exhibits'!Y692:Y696),"")</f>
        <v/>
      </c>
      <c r="Z696" s="3">
        <f>IF(ISNUMBER(AVERAGE('20250815_ETF_Options_Exhibits'!Z692:Z696)),AVERAGE('20250815_ETF_Options_Exhibits'!Z692:Z696),"")</f>
        <v/>
      </c>
      <c r="AA696" s="3">
        <f>IF(ISNUMBER(AVERAGE('20250815_ETF_Options_Exhibits'!AA692:AA696)),AVERAGE('20250815_ETF_Options_Exhibits'!AA692:AA696),"")</f>
        <v/>
      </c>
    </row>
    <row r="697">
      <c r="A697" s="1" t="n">
        <v>43012</v>
      </c>
      <c r="B697" s="3">
        <f>IF(ISNUMBER(AVERAGE('20250815_ETF_Options_Exhibits'!B693:B697)),AVERAGE('20250815_ETF_Options_Exhibits'!B693:B697),"")</f>
        <v/>
      </c>
      <c r="C697" s="3">
        <f>IF(ISNUMBER(AVERAGE('20250815_ETF_Options_Exhibits'!C693:C697)),AVERAGE('20250815_ETF_Options_Exhibits'!C693:C697),"")</f>
        <v/>
      </c>
      <c r="D697" s="3">
        <f>IF(ISNUMBER(AVERAGE('20250815_ETF_Options_Exhibits'!D693:D697)),AVERAGE('20250815_ETF_Options_Exhibits'!D693:D697),"")</f>
        <v/>
      </c>
      <c r="E697" s="3">
        <f>IF(ISNUMBER(AVERAGE('20250815_ETF_Options_Exhibits'!E693:E697)),AVERAGE('20250815_ETF_Options_Exhibits'!E693:E697),"")</f>
        <v/>
      </c>
      <c r="F697" s="3">
        <f>IF(ISNUMBER(AVERAGE('20250815_ETF_Options_Exhibits'!F693:F697)),AVERAGE('20250815_ETF_Options_Exhibits'!F693:F697),"")</f>
        <v/>
      </c>
      <c r="G697" s="3">
        <f>IF(ISNUMBER(AVERAGE('20250815_ETF_Options_Exhibits'!G693:G697)),AVERAGE('20250815_ETF_Options_Exhibits'!G693:G697),"")</f>
        <v/>
      </c>
      <c r="H697" s="3">
        <f>IF(ISNUMBER(AVERAGE('20250815_ETF_Options_Exhibits'!H693:H697)),AVERAGE('20250815_ETF_Options_Exhibits'!H693:H697),"")</f>
        <v/>
      </c>
      <c r="I697" s="3">
        <f>IF(ISNUMBER(AVERAGE('20250815_ETF_Options_Exhibits'!I693:I697)),AVERAGE('20250815_ETF_Options_Exhibits'!I693:I697),"")</f>
        <v/>
      </c>
      <c r="J697" s="3">
        <f>IF(ISNUMBER(AVERAGE('20250815_ETF_Options_Exhibits'!J693:J697)),AVERAGE('20250815_ETF_Options_Exhibits'!J693:J697),"")</f>
        <v/>
      </c>
      <c r="K697" s="3">
        <f>IF(ISNUMBER(AVERAGE('20250815_ETF_Options_Exhibits'!K693:K697)),AVERAGE('20250815_ETF_Options_Exhibits'!K693:K697),"")</f>
        <v/>
      </c>
      <c r="L697" s="3">
        <f>IF(ISNUMBER(AVERAGE('20250815_ETF_Options_Exhibits'!L693:L697)),AVERAGE('20250815_ETF_Options_Exhibits'!L693:L697),"")</f>
        <v/>
      </c>
      <c r="M697" s="3">
        <f>IF(ISNUMBER(AVERAGE('20250815_ETF_Options_Exhibits'!M693:M697)),AVERAGE('20250815_ETF_Options_Exhibits'!M693:M697),"")</f>
        <v/>
      </c>
      <c r="N697" s="3">
        <f>IF(ISNUMBER(AVERAGE('20250815_ETF_Options_Exhibits'!N693:N697)),AVERAGE('20250815_ETF_Options_Exhibits'!N693:N697),"")</f>
        <v/>
      </c>
      <c r="O697" s="3">
        <f>IF(ISNUMBER(AVERAGE('20250815_ETF_Options_Exhibits'!O693:O697)),AVERAGE('20250815_ETF_Options_Exhibits'!O693:O697),"")</f>
        <v/>
      </c>
      <c r="P697" s="3">
        <f>IF(ISNUMBER(AVERAGE('20250815_ETF_Options_Exhibits'!P693:P697)),AVERAGE('20250815_ETF_Options_Exhibits'!P693:P697),"")</f>
        <v/>
      </c>
      <c r="Q697" s="3">
        <f>IF(ISNUMBER(AVERAGE('20250815_ETF_Options_Exhibits'!Q693:Q697)),AVERAGE('20250815_ETF_Options_Exhibits'!Q693:Q697),"")</f>
        <v/>
      </c>
      <c r="R697" s="3">
        <f>IF(ISNUMBER(AVERAGE('20250815_ETF_Options_Exhibits'!R693:R697)),AVERAGE('20250815_ETF_Options_Exhibits'!R693:R697),"")</f>
        <v/>
      </c>
      <c r="S697" s="3">
        <f>IF(ISNUMBER(AVERAGE('20250815_ETF_Options_Exhibits'!S693:S697)),AVERAGE('20250815_ETF_Options_Exhibits'!S693:S697),"")</f>
        <v/>
      </c>
      <c r="T697" s="3">
        <f>IF(ISNUMBER(AVERAGE('20250815_ETF_Options_Exhibits'!T693:T697)),AVERAGE('20250815_ETF_Options_Exhibits'!T693:T697),"")</f>
        <v/>
      </c>
      <c r="U697" s="3">
        <f>IF(ISNUMBER(AVERAGE('20250815_ETF_Options_Exhibits'!U693:U697)),AVERAGE('20250815_ETF_Options_Exhibits'!U693:U697),"")</f>
        <v/>
      </c>
      <c r="V697" s="3">
        <f>IF(ISNUMBER(AVERAGE('20250815_ETF_Options_Exhibits'!V693:V697)),AVERAGE('20250815_ETF_Options_Exhibits'!V693:V697),"")</f>
        <v/>
      </c>
      <c r="W697" s="3">
        <f>IF(ISNUMBER(AVERAGE('20250815_ETF_Options_Exhibits'!W693:W697)),AVERAGE('20250815_ETF_Options_Exhibits'!W693:W697),"")</f>
        <v/>
      </c>
      <c r="X697" s="3">
        <f>IF(ISNUMBER(AVERAGE('20250815_ETF_Options_Exhibits'!X693:X697)),AVERAGE('20250815_ETF_Options_Exhibits'!X693:X697),"")</f>
        <v/>
      </c>
      <c r="Y697" s="3">
        <f>IF(ISNUMBER(AVERAGE('20250815_ETF_Options_Exhibits'!Y693:Y697)),AVERAGE('20250815_ETF_Options_Exhibits'!Y693:Y697),"")</f>
        <v/>
      </c>
      <c r="Z697" s="3">
        <f>IF(ISNUMBER(AVERAGE('20250815_ETF_Options_Exhibits'!Z693:Z697)),AVERAGE('20250815_ETF_Options_Exhibits'!Z693:Z697),"")</f>
        <v/>
      </c>
      <c r="AA697" s="3">
        <f>IF(ISNUMBER(AVERAGE('20250815_ETF_Options_Exhibits'!AA693:AA697)),AVERAGE('20250815_ETF_Options_Exhibits'!AA693:AA697),"")</f>
        <v/>
      </c>
    </row>
    <row r="698">
      <c r="A698" s="1" t="n">
        <v>43013</v>
      </c>
      <c r="B698" s="3">
        <f>IF(ISNUMBER(AVERAGE('20250815_ETF_Options_Exhibits'!B694:B698)),AVERAGE('20250815_ETF_Options_Exhibits'!B694:B698),"")</f>
        <v/>
      </c>
      <c r="C698" s="3">
        <f>IF(ISNUMBER(AVERAGE('20250815_ETF_Options_Exhibits'!C694:C698)),AVERAGE('20250815_ETF_Options_Exhibits'!C694:C698),"")</f>
        <v/>
      </c>
      <c r="D698" s="3">
        <f>IF(ISNUMBER(AVERAGE('20250815_ETF_Options_Exhibits'!D694:D698)),AVERAGE('20250815_ETF_Options_Exhibits'!D694:D698),"")</f>
        <v/>
      </c>
      <c r="E698" s="3">
        <f>IF(ISNUMBER(AVERAGE('20250815_ETF_Options_Exhibits'!E694:E698)),AVERAGE('20250815_ETF_Options_Exhibits'!E694:E698),"")</f>
        <v/>
      </c>
      <c r="F698" s="3">
        <f>IF(ISNUMBER(AVERAGE('20250815_ETF_Options_Exhibits'!F694:F698)),AVERAGE('20250815_ETF_Options_Exhibits'!F694:F698),"")</f>
        <v/>
      </c>
      <c r="G698" s="3">
        <f>IF(ISNUMBER(AVERAGE('20250815_ETF_Options_Exhibits'!G694:G698)),AVERAGE('20250815_ETF_Options_Exhibits'!G694:G698),"")</f>
        <v/>
      </c>
      <c r="H698" s="3">
        <f>IF(ISNUMBER(AVERAGE('20250815_ETF_Options_Exhibits'!H694:H698)),AVERAGE('20250815_ETF_Options_Exhibits'!H694:H698),"")</f>
        <v/>
      </c>
      <c r="I698" s="3">
        <f>IF(ISNUMBER(AVERAGE('20250815_ETF_Options_Exhibits'!I694:I698)),AVERAGE('20250815_ETF_Options_Exhibits'!I694:I698),"")</f>
        <v/>
      </c>
      <c r="J698" s="3">
        <f>IF(ISNUMBER(AVERAGE('20250815_ETF_Options_Exhibits'!J694:J698)),AVERAGE('20250815_ETF_Options_Exhibits'!J694:J698),"")</f>
        <v/>
      </c>
      <c r="K698" s="3">
        <f>IF(ISNUMBER(AVERAGE('20250815_ETF_Options_Exhibits'!K694:K698)),AVERAGE('20250815_ETF_Options_Exhibits'!K694:K698),"")</f>
        <v/>
      </c>
      <c r="L698" s="3">
        <f>IF(ISNUMBER(AVERAGE('20250815_ETF_Options_Exhibits'!L694:L698)),AVERAGE('20250815_ETF_Options_Exhibits'!L694:L698),"")</f>
        <v/>
      </c>
      <c r="M698" s="3">
        <f>IF(ISNUMBER(AVERAGE('20250815_ETF_Options_Exhibits'!M694:M698)),AVERAGE('20250815_ETF_Options_Exhibits'!M694:M698),"")</f>
        <v/>
      </c>
      <c r="N698" s="3">
        <f>IF(ISNUMBER(AVERAGE('20250815_ETF_Options_Exhibits'!N694:N698)),AVERAGE('20250815_ETF_Options_Exhibits'!N694:N698),"")</f>
        <v/>
      </c>
      <c r="O698" s="3">
        <f>IF(ISNUMBER(AVERAGE('20250815_ETF_Options_Exhibits'!O694:O698)),AVERAGE('20250815_ETF_Options_Exhibits'!O694:O698),"")</f>
        <v/>
      </c>
      <c r="P698" s="3">
        <f>IF(ISNUMBER(AVERAGE('20250815_ETF_Options_Exhibits'!P694:P698)),AVERAGE('20250815_ETF_Options_Exhibits'!P694:P698),"")</f>
        <v/>
      </c>
      <c r="Q698" s="3">
        <f>IF(ISNUMBER(AVERAGE('20250815_ETF_Options_Exhibits'!Q694:Q698)),AVERAGE('20250815_ETF_Options_Exhibits'!Q694:Q698),"")</f>
        <v/>
      </c>
      <c r="R698" s="3">
        <f>IF(ISNUMBER(AVERAGE('20250815_ETF_Options_Exhibits'!R694:R698)),AVERAGE('20250815_ETF_Options_Exhibits'!R694:R698),"")</f>
        <v/>
      </c>
      <c r="S698" s="3">
        <f>IF(ISNUMBER(AVERAGE('20250815_ETF_Options_Exhibits'!S694:S698)),AVERAGE('20250815_ETF_Options_Exhibits'!S694:S698),"")</f>
        <v/>
      </c>
      <c r="T698" s="3">
        <f>IF(ISNUMBER(AVERAGE('20250815_ETF_Options_Exhibits'!T694:T698)),AVERAGE('20250815_ETF_Options_Exhibits'!T694:T698),"")</f>
        <v/>
      </c>
      <c r="U698" s="3">
        <f>IF(ISNUMBER(AVERAGE('20250815_ETF_Options_Exhibits'!U694:U698)),AVERAGE('20250815_ETF_Options_Exhibits'!U694:U698),"")</f>
        <v/>
      </c>
      <c r="V698" s="3">
        <f>IF(ISNUMBER(AVERAGE('20250815_ETF_Options_Exhibits'!V694:V698)),AVERAGE('20250815_ETF_Options_Exhibits'!V694:V698),"")</f>
        <v/>
      </c>
      <c r="W698" s="3">
        <f>IF(ISNUMBER(AVERAGE('20250815_ETF_Options_Exhibits'!W694:W698)),AVERAGE('20250815_ETF_Options_Exhibits'!W694:W698),"")</f>
        <v/>
      </c>
      <c r="X698" s="3">
        <f>IF(ISNUMBER(AVERAGE('20250815_ETF_Options_Exhibits'!X694:X698)),AVERAGE('20250815_ETF_Options_Exhibits'!X694:X698),"")</f>
        <v/>
      </c>
      <c r="Y698" s="3">
        <f>IF(ISNUMBER(AVERAGE('20250815_ETF_Options_Exhibits'!Y694:Y698)),AVERAGE('20250815_ETF_Options_Exhibits'!Y694:Y698),"")</f>
        <v/>
      </c>
      <c r="Z698" s="3">
        <f>IF(ISNUMBER(AVERAGE('20250815_ETF_Options_Exhibits'!Z694:Z698)),AVERAGE('20250815_ETF_Options_Exhibits'!Z694:Z698),"")</f>
        <v/>
      </c>
      <c r="AA698" s="3">
        <f>IF(ISNUMBER(AVERAGE('20250815_ETF_Options_Exhibits'!AA694:AA698)),AVERAGE('20250815_ETF_Options_Exhibits'!AA694:AA698),"")</f>
        <v/>
      </c>
    </row>
    <row r="699">
      <c r="A699" s="1" t="n">
        <v>43014</v>
      </c>
      <c r="B699" s="3">
        <f>IF(ISNUMBER(AVERAGE('20250815_ETF_Options_Exhibits'!B695:B699)),AVERAGE('20250815_ETF_Options_Exhibits'!B695:B699),"")</f>
        <v/>
      </c>
      <c r="C699" s="3">
        <f>IF(ISNUMBER(AVERAGE('20250815_ETF_Options_Exhibits'!C695:C699)),AVERAGE('20250815_ETF_Options_Exhibits'!C695:C699),"")</f>
        <v/>
      </c>
      <c r="D699" s="3">
        <f>IF(ISNUMBER(AVERAGE('20250815_ETF_Options_Exhibits'!D695:D699)),AVERAGE('20250815_ETF_Options_Exhibits'!D695:D699),"")</f>
        <v/>
      </c>
      <c r="E699" s="3">
        <f>IF(ISNUMBER(AVERAGE('20250815_ETF_Options_Exhibits'!E695:E699)),AVERAGE('20250815_ETF_Options_Exhibits'!E695:E699),"")</f>
        <v/>
      </c>
      <c r="F699" s="3">
        <f>IF(ISNUMBER(AVERAGE('20250815_ETF_Options_Exhibits'!F695:F699)),AVERAGE('20250815_ETF_Options_Exhibits'!F695:F699),"")</f>
        <v/>
      </c>
      <c r="G699" s="3">
        <f>IF(ISNUMBER(AVERAGE('20250815_ETF_Options_Exhibits'!G695:G699)),AVERAGE('20250815_ETF_Options_Exhibits'!G695:G699),"")</f>
        <v/>
      </c>
      <c r="H699" s="3">
        <f>IF(ISNUMBER(AVERAGE('20250815_ETF_Options_Exhibits'!H695:H699)),AVERAGE('20250815_ETF_Options_Exhibits'!H695:H699),"")</f>
        <v/>
      </c>
      <c r="I699" s="3">
        <f>IF(ISNUMBER(AVERAGE('20250815_ETF_Options_Exhibits'!I695:I699)),AVERAGE('20250815_ETF_Options_Exhibits'!I695:I699),"")</f>
        <v/>
      </c>
      <c r="J699" s="3">
        <f>IF(ISNUMBER(AVERAGE('20250815_ETF_Options_Exhibits'!J695:J699)),AVERAGE('20250815_ETF_Options_Exhibits'!J695:J699),"")</f>
        <v/>
      </c>
      <c r="K699" s="3">
        <f>IF(ISNUMBER(AVERAGE('20250815_ETF_Options_Exhibits'!K695:K699)),AVERAGE('20250815_ETF_Options_Exhibits'!K695:K699),"")</f>
        <v/>
      </c>
      <c r="L699" s="3">
        <f>IF(ISNUMBER(AVERAGE('20250815_ETF_Options_Exhibits'!L695:L699)),AVERAGE('20250815_ETF_Options_Exhibits'!L695:L699),"")</f>
        <v/>
      </c>
      <c r="M699" s="3">
        <f>IF(ISNUMBER(AVERAGE('20250815_ETF_Options_Exhibits'!M695:M699)),AVERAGE('20250815_ETF_Options_Exhibits'!M695:M699),"")</f>
        <v/>
      </c>
      <c r="N699" s="3">
        <f>IF(ISNUMBER(AVERAGE('20250815_ETF_Options_Exhibits'!N695:N699)),AVERAGE('20250815_ETF_Options_Exhibits'!N695:N699),"")</f>
        <v/>
      </c>
      <c r="O699" s="3">
        <f>IF(ISNUMBER(AVERAGE('20250815_ETF_Options_Exhibits'!O695:O699)),AVERAGE('20250815_ETF_Options_Exhibits'!O695:O699),"")</f>
        <v/>
      </c>
      <c r="P699" s="3">
        <f>IF(ISNUMBER(AVERAGE('20250815_ETF_Options_Exhibits'!P695:P699)),AVERAGE('20250815_ETF_Options_Exhibits'!P695:P699),"")</f>
        <v/>
      </c>
      <c r="Q699" s="3">
        <f>IF(ISNUMBER(AVERAGE('20250815_ETF_Options_Exhibits'!Q695:Q699)),AVERAGE('20250815_ETF_Options_Exhibits'!Q695:Q699),"")</f>
        <v/>
      </c>
      <c r="R699" s="3">
        <f>IF(ISNUMBER(AVERAGE('20250815_ETF_Options_Exhibits'!R695:R699)),AVERAGE('20250815_ETF_Options_Exhibits'!R695:R699),"")</f>
        <v/>
      </c>
      <c r="S699" s="3">
        <f>IF(ISNUMBER(AVERAGE('20250815_ETF_Options_Exhibits'!S695:S699)),AVERAGE('20250815_ETF_Options_Exhibits'!S695:S699),"")</f>
        <v/>
      </c>
      <c r="T699" s="3">
        <f>IF(ISNUMBER(AVERAGE('20250815_ETF_Options_Exhibits'!T695:T699)),AVERAGE('20250815_ETF_Options_Exhibits'!T695:T699),"")</f>
        <v/>
      </c>
      <c r="U699" s="3">
        <f>IF(ISNUMBER(AVERAGE('20250815_ETF_Options_Exhibits'!U695:U699)),AVERAGE('20250815_ETF_Options_Exhibits'!U695:U699),"")</f>
        <v/>
      </c>
      <c r="V699" s="3">
        <f>IF(ISNUMBER(AVERAGE('20250815_ETF_Options_Exhibits'!V695:V699)),AVERAGE('20250815_ETF_Options_Exhibits'!V695:V699),"")</f>
        <v/>
      </c>
      <c r="W699" s="3">
        <f>IF(ISNUMBER(AVERAGE('20250815_ETF_Options_Exhibits'!W695:W699)),AVERAGE('20250815_ETF_Options_Exhibits'!W695:W699),"")</f>
        <v/>
      </c>
      <c r="X699" s="3">
        <f>IF(ISNUMBER(AVERAGE('20250815_ETF_Options_Exhibits'!X695:X699)),AVERAGE('20250815_ETF_Options_Exhibits'!X695:X699),"")</f>
        <v/>
      </c>
      <c r="Y699" s="3">
        <f>IF(ISNUMBER(AVERAGE('20250815_ETF_Options_Exhibits'!Y695:Y699)),AVERAGE('20250815_ETF_Options_Exhibits'!Y695:Y699),"")</f>
        <v/>
      </c>
      <c r="Z699" s="3">
        <f>IF(ISNUMBER(AVERAGE('20250815_ETF_Options_Exhibits'!Z695:Z699)),AVERAGE('20250815_ETF_Options_Exhibits'!Z695:Z699),"")</f>
        <v/>
      </c>
      <c r="AA699" s="3">
        <f>IF(ISNUMBER(AVERAGE('20250815_ETF_Options_Exhibits'!AA695:AA699)),AVERAGE('20250815_ETF_Options_Exhibits'!AA695:AA699),"")</f>
        <v/>
      </c>
    </row>
    <row r="700">
      <c r="A700" s="1" t="n">
        <v>43017</v>
      </c>
      <c r="B700" s="3">
        <f>IF(ISNUMBER(AVERAGE('20250815_ETF_Options_Exhibits'!B696:B700)),AVERAGE('20250815_ETF_Options_Exhibits'!B696:B700),"")</f>
        <v/>
      </c>
      <c r="C700" s="3">
        <f>IF(ISNUMBER(AVERAGE('20250815_ETF_Options_Exhibits'!C696:C700)),AVERAGE('20250815_ETF_Options_Exhibits'!C696:C700),"")</f>
        <v/>
      </c>
      <c r="D700" s="3">
        <f>IF(ISNUMBER(AVERAGE('20250815_ETF_Options_Exhibits'!D696:D700)),AVERAGE('20250815_ETF_Options_Exhibits'!D696:D700),"")</f>
        <v/>
      </c>
      <c r="E700" s="3">
        <f>IF(ISNUMBER(AVERAGE('20250815_ETF_Options_Exhibits'!E696:E700)),AVERAGE('20250815_ETF_Options_Exhibits'!E696:E700),"")</f>
        <v/>
      </c>
      <c r="F700" s="3">
        <f>IF(ISNUMBER(AVERAGE('20250815_ETF_Options_Exhibits'!F696:F700)),AVERAGE('20250815_ETF_Options_Exhibits'!F696:F700),"")</f>
        <v/>
      </c>
      <c r="G700" s="3">
        <f>IF(ISNUMBER(AVERAGE('20250815_ETF_Options_Exhibits'!G696:G700)),AVERAGE('20250815_ETF_Options_Exhibits'!G696:G700),"")</f>
        <v/>
      </c>
      <c r="H700" s="3">
        <f>IF(ISNUMBER(AVERAGE('20250815_ETF_Options_Exhibits'!H696:H700)),AVERAGE('20250815_ETF_Options_Exhibits'!H696:H700),"")</f>
        <v/>
      </c>
      <c r="I700" s="3">
        <f>IF(ISNUMBER(AVERAGE('20250815_ETF_Options_Exhibits'!I696:I700)),AVERAGE('20250815_ETF_Options_Exhibits'!I696:I700),"")</f>
        <v/>
      </c>
      <c r="J700" s="3">
        <f>IF(ISNUMBER(AVERAGE('20250815_ETF_Options_Exhibits'!J696:J700)),AVERAGE('20250815_ETF_Options_Exhibits'!J696:J700),"")</f>
        <v/>
      </c>
      <c r="K700" s="3">
        <f>IF(ISNUMBER(AVERAGE('20250815_ETF_Options_Exhibits'!K696:K700)),AVERAGE('20250815_ETF_Options_Exhibits'!K696:K700),"")</f>
        <v/>
      </c>
      <c r="L700" s="3">
        <f>IF(ISNUMBER(AVERAGE('20250815_ETF_Options_Exhibits'!L696:L700)),AVERAGE('20250815_ETF_Options_Exhibits'!L696:L700),"")</f>
        <v/>
      </c>
      <c r="M700" s="3">
        <f>IF(ISNUMBER(AVERAGE('20250815_ETF_Options_Exhibits'!M696:M700)),AVERAGE('20250815_ETF_Options_Exhibits'!M696:M700),"")</f>
        <v/>
      </c>
      <c r="N700" s="3">
        <f>IF(ISNUMBER(AVERAGE('20250815_ETF_Options_Exhibits'!N696:N700)),AVERAGE('20250815_ETF_Options_Exhibits'!N696:N700),"")</f>
        <v/>
      </c>
      <c r="O700" s="3">
        <f>IF(ISNUMBER(AVERAGE('20250815_ETF_Options_Exhibits'!O696:O700)),AVERAGE('20250815_ETF_Options_Exhibits'!O696:O700),"")</f>
        <v/>
      </c>
      <c r="P700" s="3">
        <f>IF(ISNUMBER(AVERAGE('20250815_ETF_Options_Exhibits'!P696:P700)),AVERAGE('20250815_ETF_Options_Exhibits'!P696:P700),"")</f>
        <v/>
      </c>
      <c r="Q700" s="3">
        <f>IF(ISNUMBER(AVERAGE('20250815_ETF_Options_Exhibits'!Q696:Q700)),AVERAGE('20250815_ETF_Options_Exhibits'!Q696:Q700),"")</f>
        <v/>
      </c>
      <c r="R700" s="3">
        <f>IF(ISNUMBER(AVERAGE('20250815_ETF_Options_Exhibits'!R696:R700)),AVERAGE('20250815_ETF_Options_Exhibits'!R696:R700),"")</f>
        <v/>
      </c>
      <c r="S700" s="3">
        <f>IF(ISNUMBER(AVERAGE('20250815_ETF_Options_Exhibits'!S696:S700)),AVERAGE('20250815_ETF_Options_Exhibits'!S696:S700),"")</f>
        <v/>
      </c>
      <c r="T700" s="3">
        <f>IF(ISNUMBER(AVERAGE('20250815_ETF_Options_Exhibits'!T696:T700)),AVERAGE('20250815_ETF_Options_Exhibits'!T696:T700),"")</f>
        <v/>
      </c>
      <c r="U700" s="3">
        <f>IF(ISNUMBER(AVERAGE('20250815_ETF_Options_Exhibits'!U696:U700)),AVERAGE('20250815_ETF_Options_Exhibits'!U696:U700),"")</f>
        <v/>
      </c>
      <c r="V700" s="3">
        <f>IF(ISNUMBER(AVERAGE('20250815_ETF_Options_Exhibits'!V696:V700)),AVERAGE('20250815_ETF_Options_Exhibits'!V696:V700),"")</f>
        <v/>
      </c>
      <c r="W700" s="3">
        <f>IF(ISNUMBER(AVERAGE('20250815_ETF_Options_Exhibits'!W696:W700)),AVERAGE('20250815_ETF_Options_Exhibits'!W696:W700),"")</f>
        <v/>
      </c>
      <c r="X700" s="3">
        <f>IF(ISNUMBER(AVERAGE('20250815_ETF_Options_Exhibits'!X696:X700)),AVERAGE('20250815_ETF_Options_Exhibits'!X696:X700),"")</f>
        <v/>
      </c>
      <c r="Y700" s="3">
        <f>IF(ISNUMBER(AVERAGE('20250815_ETF_Options_Exhibits'!Y696:Y700)),AVERAGE('20250815_ETF_Options_Exhibits'!Y696:Y700),"")</f>
        <v/>
      </c>
      <c r="Z700" s="3">
        <f>IF(ISNUMBER(AVERAGE('20250815_ETF_Options_Exhibits'!Z696:Z700)),AVERAGE('20250815_ETF_Options_Exhibits'!Z696:Z700),"")</f>
        <v/>
      </c>
      <c r="AA700" s="3">
        <f>IF(ISNUMBER(AVERAGE('20250815_ETF_Options_Exhibits'!AA696:AA700)),AVERAGE('20250815_ETF_Options_Exhibits'!AA696:AA700),"")</f>
        <v/>
      </c>
    </row>
    <row r="701">
      <c r="A701" s="1" t="n">
        <v>43018</v>
      </c>
      <c r="B701" s="3">
        <f>IF(ISNUMBER(AVERAGE('20250815_ETF_Options_Exhibits'!B697:B701)),AVERAGE('20250815_ETF_Options_Exhibits'!B697:B701),"")</f>
        <v/>
      </c>
      <c r="C701" s="3">
        <f>IF(ISNUMBER(AVERAGE('20250815_ETF_Options_Exhibits'!C697:C701)),AVERAGE('20250815_ETF_Options_Exhibits'!C697:C701),"")</f>
        <v/>
      </c>
      <c r="D701" s="3">
        <f>IF(ISNUMBER(AVERAGE('20250815_ETF_Options_Exhibits'!D697:D701)),AVERAGE('20250815_ETF_Options_Exhibits'!D697:D701),"")</f>
        <v/>
      </c>
      <c r="E701" s="3">
        <f>IF(ISNUMBER(AVERAGE('20250815_ETF_Options_Exhibits'!E697:E701)),AVERAGE('20250815_ETF_Options_Exhibits'!E697:E701),"")</f>
        <v/>
      </c>
      <c r="F701" s="3">
        <f>IF(ISNUMBER(AVERAGE('20250815_ETF_Options_Exhibits'!F697:F701)),AVERAGE('20250815_ETF_Options_Exhibits'!F697:F701),"")</f>
        <v/>
      </c>
      <c r="G701" s="3">
        <f>IF(ISNUMBER(AVERAGE('20250815_ETF_Options_Exhibits'!G697:G701)),AVERAGE('20250815_ETF_Options_Exhibits'!G697:G701),"")</f>
        <v/>
      </c>
      <c r="H701" s="3">
        <f>IF(ISNUMBER(AVERAGE('20250815_ETF_Options_Exhibits'!H697:H701)),AVERAGE('20250815_ETF_Options_Exhibits'!H697:H701),"")</f>
        <v/>
      </c>
      <c r="I701" s="3">
        <f>IF(ISNUMBER(AVERAGE('20250815_ETF_Options_Exhibits'!I697:I701)),AVERAGE('20250815_ETF_Options_Exhibits'!I697:I701),"")</f>
        <v/>
      </c>
      <c r="J701" s="3">
        <f>IF(ISNUMBER(AVERAGE('20250815_ETF_Options_Exhibits'!J697:J701)),AVERAGE('20250815_ETF_Options_Exhibits'!J697:J701),"")</f>
        <v/>
      </c>
      <c r="K701" s="3">
        <f>IF(ISNUMBER(AVERAGE('20250815_ETF_Options_Exhibits'!K697:K701)),AVERAGE('20250815_ETF_Options_Exhibits'!K697:K701),"")</f>
        <v/>
      </c>
      <c r="L701" s="3">
        <f>IF(ISNUMBER(AVERAGE('20250815_ETF_Options_Exhibits'!L697:L701)),AVERAGE('20250815_ETF_Options_Exhibits'!L697:L701),"")</f>
        <v/>
      </c>
      <c r="M701" s="3">
        <f>IF(ISNUMBER(AVERAGE('20250815_ETF_Options_Exhibits'!M697:M701)),AVERAGE('20250815_ETF_Options_Exhibits'!M697:M701),"")</f>
        <v/>
      </c>
      <c r="N701" s="3">
        <f>IF(ISNUMBER(AVERAGE('20250815_ETF_Options_Exhibits'!N697:N701)),AVERAGE('20250815_ETF_Options_Exhibits'!N697:N701),"")</f>
        <v/>
      </c>
      <c r="O701" s="3">
        <f>IF(ISNUMBER(AVERAGE('20250815_ETF_Options_Exhibits'!O697:O701)),AVERAGE('20250815_ETF_Options_Exhibits'!O697:O701),"")</f>
        <v/>
      </c>
      <c r="P701" s="3">
        <f>IF(ISNUMBER(AVERAGE('20250815_ETF_Options_Exhibits'!P697:P701)),AVERAGE('20250815_ETF_Options_Exhibits'!P697:P701),"")</f>
        <v/>
      </c>
      <c r="Q701" s="3">
        <f>IF(ISNUMBER(AVERAGE('20250815_ETF_Options_Exhibits'!Q697:Q701)),AVERAGE('20250815_ETF_Options_Exhibits'!Q697:Q701),"")</f>
        <v/>
      </c>
      <c r="R701" s="3">
        <f>IF(ISNUMBER(AVERAGE('20250815_ETF_Options_Exhibits'!R697:R701)),AVERAGE('20250815_ETF_Options_Exhibits'!R697:R701),"")</f>
        <v/>
      </c>
      <c r="S701" s="3">
        <f>IF(ISNUMBER(AVERAGE('20250815_ETF_Options_Exhibits'!S697:S701)),AVERAGE('20250815_ETF_Options_Exhibits'!S697:S701),"")</f>
        <v/>
      </c>
      <c r="T701" s="3">
        <f>IF(ISNUMBER(AVERAGE('20250815_ETF_Options_Exhibits'!T697:T701)),AVERAGE('20250815_ETF_Options_Exhibits'!T697:T701),"")</f>
        <v/>
      </c>
      <c r="U701" s="3">
        <f>IF(ISNUMBER(AVERAGE('20250815_ETF_Options_Exhibits'!U697:U701)),AVERAGE('20250815_ETF_Options_Exhibits'!U697:U701),"")</f>
        <v/>
      </c>
      <c r="V701" s="3">
        <f>IF(ISNUMBER(AVERAGE('20250815_ETF_Options_Exhibits'!V697:V701)),AVERAGE('20250815_ETF_Options_Exhibits'!V697:V701),"")</f>
        <v/>
      </c>
      <c r="W701" s="3">
        <f>IF(ISNUMBER(AVERAGE('20250815_ETF_Options_Exhibits'!W697:W701)),AVERAGE('20250815_ETF_Options_Exhibits'!W697:W701),"")</f>
        <v/>
      </c>
      <c r="X701" s="3">
        <f>IF(ISNUMBER(AVERAGE('20250815_ETF_Options_Exhibits'!X697:X701)),AVERAGE('20250815_ETF_Options_Exhibits'!X697:X701),"")</f>
        <v/>
      </c>
      <c r="Y701" s="3">
        <f>IF(ISNUMBER(AVERAGE('20250815_ETF_Options_Exhibits'!Y697:Y701)),AVERAGE('20250815_ETF_Options_Exhibits'!Y697:Y701),"")</f>
        <v/>
      </c>
      <c r="Z701" s="3">
        <f>IF(ISNUMBER(AVERAGE('20250815_ETF_Options_Exhibits'!Z697:Z701)),AVERAGE('20250815_ETF_Options_Exhibits'!Z697:Z701),"")</f>
        <v/>
      </c>
      <c r="AA701" s="3">
        <f>IF(ISNUMBER(AVERAGE('20250815_ETF_Options_Exhibits'!AA697:AA701)),AVERAGE('20250815_ETF_Options_Exhibits'!AA697:AA701),"")</f>
        <v/>
      </c>
    </row>
    <row r="702">
      <c r="A702" s="1" t="n">
        <v>43019</v>
      </c>
      <c r="B702" s="3">
        <f>IF(ISNUMBER(AVERAGE('20250815_ETF_Options_Exhibits'!B698:B702)),AVERAGE('20250815_ETF_Options_Exhibits'!B698:B702),"")</f>
        <v/>
      </c>
      <c r="C702" s="3">
        <f>IF(ISNUMBER(AVERAGE('20250815_ETF_Options_Exhibits'!C698:C702)),AVERAGE('20250815_ETF_Options_Exhibits'!C698:C702),"")</f>
        <v/>
      </c>
      <c r="D702" s="3">
        <f>IF(ISNUMBER(AVERAGE('20250815_ETF_Options_Exhibits'!D698:D702)),AVERAGE('20250815_ETF_Options_Exhibits'!D698:D702),"")</f>
        <v/>
      </c>
      <c r="E702" s="3">
        <f>IF(ISNUMBER(AVERAGE('20250815_ETF_Options_Exhibits'!E698:E702)),AVERAGE('20250815_ETF_Options_Exhibits'!E698:E702),"")</f>
        <v/>
      </c>
      <c r="F702" s="3">
        <f>IF(ISNUMBER(AVERAGE('20250815_ETF_Options_Exhibits'!F698:F702)),AVERAGE('20250815_ETF_Options_Exhibits'!F698:F702),"")</f>
        <v/>
      </c>
      <c r="G702" s="3">
        <f>IF(ISNUMBER(AVERAGE('20250815_ETF_Options_Exhibits'!G698:G702)),AVERAGE('20250815_ETF_Options_Exhibits'!G698:G702),"")</f>
        <v/>
      </c>
      <c r="H702" s="3">
        <f>IF(ISNUMBER(AVERAGE('20250815_ETF_Options_Exhibits'!H698:H702)),AVERAGE('20250815_ETF_Options_Exhibits'!H698:H702),"")</f>
        <v/>
      </c>
      <c r="I702" s="3">
        <f>IF(ISNUMBER(AVERAGE('20250815_ETF_Options_Exhibits'!I698:I702)),AVERAGE('20250815_ETF_Options_Exhibits'!I698:I702),"")</f>
        <v/>
      </c>
      <c r="J702" s="3">
        <f>IF(ISNUMBER(AVERAGE('20250815_ETF_Options_Exhibits'!J698:J702)),AVERAGE('20250815_ETF_Options_Exhibits'!J698:J702),"")</f>
        <v/>
      </c>
      <c r="K702" s="3">
        <f>IF(ISNUMBER(AVERAGE('20250815_ETF_Options_Exhibits'!K698:K702)),AVERAGE('20250815_ETF_Options_Exhibits'!K698:K702),"")</f>
        <v/>
      </c>
      <c r="L702" s="3">
        <f>IF(ISNUMBER(AVERAGE('20250815_ETF_Options_Exhibits'!L698:L702)),AVERAGE('20250815_ETF_Options_Exhibits'!L698:L702),"")</f>
        <v/>
      </c>
      <c r="M702" s="3">
        <f>IF(ISNUMBER(AVERAGE('20250815_ETF_Options_Exhibits'!M698:M702)),AVERAGE('20250815_ETF_Options_Exhibits'!M698:M702),"")</f>
        <v/>
      </c>
      <c r="N702" s="3">
        <f>IF(ISNUMBER(AVERAGE('20250815_ETF_Options_Exhibits'!N698:N702)),AVERAGE('20250815_ETF_Options_Exhibits'!N698:N702),"")</f>
        <v/>
      </c>
      <c r="O702" s="3">
        <f>IF(ISNUMBER(AVERAGE('20250815_ETF_Options_Exhibits'!O698:O702)),AVERAGE('20250815_ETF_Options_Exhibits'!O698:O702),"")</f>
        <v/>
      </c>
      <c r="P702" s="3">
        <f>IF(ISNUMBER(AVERAGE('20250815_ETF_Options_Exhibits'!P698:P702)),AVERAGE('20250815_ETF_Options_Exhibits'!P698:P702),"")</f>
        <v/>
      </c>
      <c r="Q702" s="3">
        <f>IF(ISNUMBER(AVERAGE('20250815_ETF_Options_Exhibits'!Q698:Q702)),AVERAGE('20250815_ETF_Options_Exhibits'!Q698:Q702),"")</f>
        <v/>
      </c>
      <c r="R702" s="3">
        <f>IF(ISNUMBER(AVERAGE('20250815_ETF_Options_Exhibits'!R698:R702)),AVERAGE('20250815_ETF_Options_Exhibits'!R698:R702),"")</f>
        <v/>
      </c>
      <c r="S702" s="3">
        <f>IF(ISNUMBER(AVERAGE('20250815_ETF_Options_Exhibits'!S698:S702)),AVERAGE('20250815_ETF_Options_Exhibits'!S698:S702),"")</f>
        <v/>
      </c>
      <c r="T702" s="3">
        <f>IF(ISNUMBER(AVERAGE('20250815_ETF_Options_Exhibits'!T698:T702)),AVERAGE('20250815_ETF_Options_Exhibits'!T698:T702),"")</f>
        <v/>
      </c>
      <c r="U702" s="3">
        <f>IF(ISNUMBER(AVERAGE('20250815_ETF_Options_Exhibits'!U698:U702)),AVERAGE('20250815_ETF_Options_Exhibits'!U698:U702),"")</f>
        <v/>
      </c>
      <c r="V702" s="3">
        <f>IF(ISNUMBER(AVERAGE('20250815_ETF_Options_Exhibits'!V698:V702)),AVERAGE('20250815_ETF_Options_Exhibits'!V698:V702),"")</f>
        <v/>
      </c>
      <c r="W702" s="3">
        <f>IF(ISNUMBER(AVERAGE('20250815_ETF_Options_Exhibits'!W698:W702)),AVERAGE('20250815_ETF_Options_Exhibits'!W698:W702),"")</f>
        <v/>
      </c>
      <c r="X702" s="3">
        <f>IF(ISNUMBER(AVERAGE('20250815_ETF_Options_Exhibits'!X698:X702)),AVERAGE('20250815_ETF_Options_Exhibits'!X698:X702),"")</f>
        <v/>
      </c>
      <c r="Y702" s="3">
        <f>IF(ISNUMBER(AVERAGE('20250815_ETF_Options_Exhibits'!Y698:Y702)),AVERAGE('20250815_ETF_Options_Exhibits'!Y698:Y702),"")</f>
        <v/>
      </c>
      <c r="Z702" s="3">
        <f>IF(ISNUMBER(AVERAGE('20250815_ETF_Options_Exhibits'!Z698:Z702)),AVERAGE('20250815_ETF_Options_Exhibits'!Z698:Z702),"")</f>
        <v/>
      </c>
      <c r="AA702" s="3">
        <f>IF(ISNUMBER(AVERAGE('20250815_ETF_Options_Exhibits'!AA698:AA702)),AVERAGE('20250815_ETF_Options_Exhibits'!AA698:AA702),"")</f>
        <v/>
      </c>
    </row>
    <row r="703">
      <c r="A703" s="1" t="n">
        <v>43020</v>
      </c>
      <c r="B703" s="3">
        <f>IF(ISNUMBER(AVERAGE('20250815_ETF_Options_Exhibits'!B699:B703)),AVERAGE('20250815_ETF_Options_Exhibits'!B699:B703),"")</f>
        <v/>
      </c>
      <c r="C703" s="3">
        <f>IF(ISNUMBER(AVERAGE('20250815_ETF_Options_Exhibits'!C699:C703)),AVERAGE('20250815_ETF_Options_Exhibits'!C699:C703),"")</f>
        <v/>
      </c>
      <c r="D703" s="3">
        <f>IF(ISNUMBER(AVERAGE('20250815_ETF_Options_Exhibits'!D699:D703)),AVERAGE('20250815_ETF_Options_Exhibits'!D699:D703),"")</f>
        <v/>
      </c>
      <c r="E703" s="3">
        <f>IF(ISNUMBER(AVERAGE('20250815_ETF_Options_Exhibits'!E699:E703)),AVERAGE('20250815_ETF_Options_Exhibits'!E699:E703),"")</f>
        <v/>
      </c>
      <c r="F703" s="3">
        <f>IF(ISNUMBER(AVERAGE('20250815_ETF_Options_Exhibits'!F699:F703)),AVERAGE('20250815_ETF_Options_Exhibits'!F699:F703),"")</f>
        <v/>
      </c>
      <c r="G703" s="3">
        <f>IF(ISNUMBER(AVERAGE('20250815_ETF_Options_Exhibits'!G699:G703)),AVERAGE('20250815_ETF_Options_Exhibits'!G699:G703),"")</f>
        <v/>
      </c>
      <c r="H703" s="3">
        <f>IF(ISNUMBER(AVERAGE('20250815_ETF_Options_Exhibits'!H699:H703)),AVERAGE('20250815_ETF_Options_Exhibits'!H699:H703),"")</f>
        <v/>
      </c>
      <c r="I703" s="3">
        <f>IF(ISNUMBER(AVERAGE('20250815_ETF_Options_Exhibits'!I699:I703)),AVERAGE('20250815_ETF_Options_Exhibits'!I699:I703),"")</f>
        <v/>
      </c>
      <c r="J703" s="3">
        <f>IF(ISNUMBER(AVERAGE('20250815_ETF_Options_Exhibits'!J699:J703)),AVERAGE('20250815_ETF_Options_Exhibits'!J699:J703),"")</f>
        <v/>
      </c>
      <c r="K703" s="3">
        <f>IF(ISNUMBER(AVERAGE('20250815_ETF_Options_Exhibits'!K699:K703)),AVERAGE('20250815_ETF_Options_Exhibits'!K699:K703),"")</f>
        <v/>
      </c>
      <c r="L703" s="3">
        <f>IF(ISNUMBER(AVERAGE('20250815_ETF_Options_Exhibits'!L699:L703)),AVERAGE('20250815_ETF_Options_Exhibits'!L699:L703),"")</f>
        <v/>
      </c>
      <c r="M703" s="3">
        <f>IF(ISNUMBER(AVERAGE('20250815_ETF_Options_Exhibits'!M699:M703)),AVERAGE('20250815_ETF_Options_Exhibits'!M699:M703),"")</f>
        <v/>
      </c>
      <c r="N703" s="3">
        <f>IF(ISNUMBER(AVERAGE('20250815_ETF_Options_Exhibits'!N699:N703)),AVERAGE('20250815_ETF_Options_Exhibits'!N699:N703),"")</f>
        <v/>
      </c>
      <c r="O703" s="3">
        <f>IF(ISNUMBER(AVERAGE('20250815_ETF_Options_Exhibits'!O699:O703)),AVERAGE('20250815_ETF_Options_Exhibits'!O699:O703),"")</f>
        <v/>
      </c>
      <c r="P703" s="3">
        <f>IF(ISNUMBER(AVERAGE('20250815_ETF_Options_Exhibits'!P699:P703)),AVERAGE('20250815_ETF_Options_Exhibits'!P699:P703),"")</f>
        <v/>
      </c>
      <c r="Q703" s="3">
        <f>IF(ISNUMBER(AVERAGE('20250815_ETF_Options_Exhibits'!Q699:Q703)),AVERAGE('20250815_ETF_Options_Exhibits'!Q699:Q703),"")</f>
        <v/>
      </c>
      <c r="R703" s="3">
        <f>IF(ISNUMBER(AVERAGE('20250815_ETF_Options_Exhibits'!R699:R703)),AVERAGE('20250815_ETF_Options_Exhibits'!R699:R703),"")</f>
        <v/>
      </c>
      <c r="S703" s="3">
        <f>IF(ISNUMBER(AVERAGE('20250815_ETF_Options_Exhibits'!S699:S703)),AVERAGE('20250815_ETF_Options_Exhibits'!S699:S703),"")</f>
        <v/>
      </c>
      <c r="T703" s="3">
        <f>IF(ISNUMBER(AVERAGE('20250815_ETF_Options_Exhibits'!T699:T703)),AVERAGE('20250815_ETF_Options_Exhibits'!T699:T703),"")</f>
        <v/>
      </c>
      <c r="U703" s="3">
        <f>IF(ISNUMBER(AVERAGE('20250815_ETF_Options_Exhibits'!U699:U703)),AVERAGE('20250815_ETF_Options_Exhibits'!U699:U703),"")</f>
        <v/>
      </c>
      <c r="V703" s="3">
        <f>IF(ISNUMBER(AVERAGE('20250815_ETF_Options_Exhibits'!V699:V703)),AVERAGE('20250815_ETF_Options_Exhibits'!V699:V703),"")</f>
        <v/>
      </c>
      <c r="W703" s="3">
        <f>IF(ISNUMBER(AVERAGE('20250815_ETF_Options_Exhibits'!W699:W703)),AVERAGE('20250815_ETF_Options_Exhibits'!W699:W703),"")</f>
        <v/>
      </c>
      <c r="X703" s="3">
        <f>IF(ISNUMBER(AVERAGE('20250815_ETF_Options_Exhibits'!X699:X703)),AVERAGE('20250815_ETF_Options_Exhibits'!X699:X703),"")</f>
        <v/>
      </c>
      <c r="Y703" s="3">
        <f>IF(ISNUMBER(AVERAGE('20250815_ETF_Options_Exhibits'!Y699:Y703)),AVERAGE('20250815_ETF_Options_Exhibits'!Y699:Y703),"")</f>
        <v/>
      </c>
      <c r="Z703" s="3">
        <f>IF(ISNUMBER(AVERAGE('20250815_ETF_Options_Exhibits'!Z699:Z703)),AVERAGE('20250815_ETF_Options_Exhibits'!Z699:Z703),"")</f>
        <v/>
      </c>
      <c r="AA703" s="3">
        <f>IF(ISNUMBER(AVERAGE('20250815_ETF_Options_Exhibits'!AA699:AA703)),AVERAGE('20250815_ETF_Options_Exhibits'!AA699:AA703),"")</f>
        <v/>
      </c>
    </row>
    <row r="704">
      <c r="A704" s="1" t="n">
        <v>43021</v>
      </c>
      <c r="B704" s="3">
        <f>IF(ISNUMBER(AVERAGE('20250815_ETF_Options_Exhibits'!B700:B704)),AVERAGE('20250815_ETF_Options_Exhibits'!B700:B704),"")</f>
        <v/>
      </c>
      <c r="C704" s="3">
        <f>IF(ISNUMBER(AVERAGE('20250815_ETF_Options_Exhibits'!C700:C704)),AVERAGE('20250815_ETF_Options_Exhibits'!C700:C704),"")</f>
        <v/>
      </c>
      <c r="D704" s="3">
        <f>IF(ISNUMBER(AVERAGE('20250815_ETF_Options_Exhibits'!D700:D704)),AVERAGE('20250815_ETF_Options_Exhibits'!D700:D704),"")</f>
        <v/>
      </c>
      <c r="E704" s="3">
        <f>IF(ISNUMBER(AVERAGE('20250815_ETF_Options_Exhibits'!E700:E704)),AVERAGE('20250815_ETF_Options_Exhibits'!E700:E704),"")</f>
        <v/>
      </c>
      <c r="F704" s="3">
        <f>IF(ISNUMBER(AVERAGE('20250815_ETF_Options_Exhibits'!F700:F704)),AVERAGE('20250815_ETF_Options_Exhibits'!F700:F704),"")</f>
        <v/>
      </c>
      <c r="G704" s="3">
        <f>IF(ISNUMBER(AVERAGE('20250815_ETF_Options_Exhibits'!G700:G704)),AVERAGE('20250815_ETF_Options_Exhibits'!G700:G704),"")</f>
        <v/>
      </c>
      <c r="H704" s="3">
        <f>IF(ISNUMBER(AVERAGE('20250815_ETF_Options_Exhibits'!H700:H704)),AVERAGE('20250815_ETF_Options_Exhibits'!H700:H704),"")</f>
        <v/>
      </c>
      <c r="I704" s="3">
        <f>IF(ISNUMBER(AVERAGE('20250815_ETF_Options_Exhibits'!I700:I704)),AVERAGE('20250815_ETF_Options_Exhibits'!I700:I704),"")</f>
        <v/>
      </c>
      <c r="J704" s="3">
        <f>IF(ISNUMBER(AVERAGE('20250815_ETF_Options_Exhibits'!J700:J704)),AVERAGE('20250815_ETF_Options_Exhibits'!J700:J704),"")</f>
        <v/>
      </c>
      <c r="K704" s="3">
        <f>IF(ISNUMBER(AVERAGE('20250815_ETF_Options_Exhibits'!K700:K704)),AVERAGE('20250815_ETF_Options_Exhibits'!K700:K704),"")</f>
        <v/>
      </c>
      <c r="L704" s="3">
        <f>IF(ISNUMBER(AVERAGE('20250815_ETF_Options_Exhibits'!L700:L704)),AVERAGE('20250815_ETF_Options_Exhibits'!L700:L704),"")</f>
        <v/>
      </c>
      <c r="M704" s="3">
        <f>IF(ISNUMBER(AVERAGE('20250815_ETF_Options_Exhibits'!M700:M704)),AVERAGE('20250815_ETF_Options_Exhibits'!M700:M704),"")</f>
        <v/>
      </c>
      <c r="N704" s="3">
        <f>IF(ISNUMBER(AVERAGE('20250815_ETF_Options_Exhibits'!N700:N704)),AVERAGE('20250815_ETF_Options_Exhibits'!N700:N704),"")</f>
        <v/>
      </c>
      <c r="O704" s="3">
        <f>IF(ISNUMBER(AVERAGE('20250815_ETF_Options_Exhibits'!O700:O704)),AVERAGE('20250815_ETF_Options_Exhibits'!O700:O704),"")</f>
        <v/>
      </c>
      <c r="P704" s="3">
        <f>IF(ISNUMBER(AVERAGE('20250815_ETF_Options_Exhibits'!P700:P704)),AVERAGE('20250815_ETF_Options_Exhibits'!P700:P704),"")</f>
        <v/>
      </c>
      <c r="Q704" s="3">
        <f>IF(ISNUMBER(AVERAGE('20250815_ETF_Options_Exhibits'!Q700:Q704)),AVERAGE('20250815_ETF_Options_Exhibits'!Q700:Q704),"")</f>
        <v/>
      </c>
      <c r="R704" s="3">
        <f>IF(ISNUMBER(AVERAGE('20250815_ETF_Options_Exhibits'!R700:R704)),AVERAGE('20250815_ETF_Options_Exhibits'!R700:R704),"")</f>
        <v/>
      </c>
      <c r="S704" s="3">
        <f>IF(ISNUMBER(AVERAGE('20250815_ETF_Options_Exhibits'!S700:S704)),AVERAGE('20250815_ETF_Options_Exhibits'!S700:S704),"")</f>
        <v/>
      </c>
      <c r="T704" s="3">
        <f>IF(ISNUMBER(AVERAGE('20250815_ETF_Options_Exhibits'!T700:T704)),AVERAGE('20250815_ETF_Options_Exhibits'!T700:T704),"")</f>
        <v/>
      </c>
      <c r="U704" s="3">
        <f>IF(ISNUMBER(AVERAGE('20250815_ETF_Options_Exhibits'!U700:U704)),AVERAGE('20250815_ETF_Options_Exhibits'!U700:U704),"")</f>
        <v/>
      </c>
      <c r="V704" s="3">
        <f>IF(ISNUMBER(AVERAGE('20250815_ETF_Options_Exhibits'!V700:V704)),AVERAGE('20250815_ETF_Options_Exhibits'!V700:V704),"")</f>
        <v/>
      </c>
      <c r="W704" s="3">
        <f>IF(ISNUMBER(AVERAGE('20250815_ETF_Options_Exhibits'!W700:W704)),AVERAGE('20250815_ETF_Options_Exhibits'!W700:W704),"")</f>
        <v/>
      </c>
      <c r="X704" s="3">
        <f>IF(ISNUMBER(AVERAGE('20250815_ETF_Options_Exhibits'!X700:X704)),AVERAGE('20250815_ETF_Options_Exhibits'!X700:X704),"")</f>
        <v/>
      </c>
      <c r="Y704" s="3">
        <f>IF(ISNUMBER(AVERAGE('20250815_ETF_Options_Exhibits'!Y700:Y704)),AVERAGE('20250815_ETF_Options_Exhibits'!Y700:Y704),"")</f>
        <v/>
      </c>
      <c r="Z704" s="3">
        <f>IF(ISNUMBER(AVERAGE('20250815_ETF_Options_Exhibits'!Z700:Z704)),AVERAGE('20250815_ETF_Options_Exhibits'!Z700:Z704),"")</f>
        <v/>
      </c>
      <c r="AA704" s="3">
        <f>IF(ISNUMBER(AVERAGE('20250815_ETF_Options_Exhibits'!AA700:AA704)),AVERAGE('20250815_ETF_Options_Exhibits'!AA700:AA704),"")</f>
        <v/>
      </c>
    </row>
    <row r="705">
      <c r="A705" s="1" t="n">
        <v>43024</v>
      </c>
      <c r="B705" s="3">
        <f>IF(ISNUMBER(AVERAGE('20250815_ETF_Options_Exhibits'!B701:B705)),AVERAGE('20250815_ETF_Options_Exhibits'!B701:B705),"")</f>
        <v/>
      </c>
      <c r="C705" s="3">
        <f>IF(ISNUMBER(AVERAGE('20250815_ETF_Options_Exhibits'!C701:C705)),AVERAGE('20250815_ETF_Options_Exhibits'!C701:C705),"")</f>
        <v/>
      </c>
      <c r="D705" s="3">
        <f>IF(ISNUMBER(AVERAGE('20250815_ETF_Options_Exhibits'!D701:D705)),AVERAGE('20250815_ETF_Options_Exhibits'!D701:D705),"")</f>
        <v/>
      </c>
      <c r="E705" s="3">
        <f>IF(ISNUMBER(AVERAGE('20250815_ETF_Options_Exhibits'!E701:E705)),AVERAGE('20250815_ETF_Options_Exhibits'!E701:E705),"")</f>
        <v/>
      </c>
      <c r="F705" s="3">
        <f>IF(ISNUMBER(AVERAGE('20250815_ETF_Options_Exhibits'!F701:F705)),AVERAGE('20250815_ETF_Options_Exhibits'!F701:F705),"")</f>
        <v/>
      </c>
      <c r="G705" s="3">
        <f>IF(ISNUMBER(AVERAGE('20250815_ETF_Options_Exhibits'!G701:G705)),AVERAGE('20250815_ETF_Options_Exhibits'!G701:G705),"")</f>
        <v/>
      </c>
      <c r="H705" s="3">
        <f>IF(ISNUMBER(AVERAGE('20250815_ETF_Options_Exhibits'!H701:H705)),AVERAGE('20250815_ETF_Options_Exhibits'!H701:H705),"")</f>
        <v/>
      </c>
      <c r="I705" s="3">
        <f>IF(ISNUMBER(AVERAGE('20250815_ETF_Options_Exhibits'!I701:I705)),AVERAGE('20250815_ETF_Options_Exhibits'!I701:I705),"")</f>
        <v/>
      </c>
      <c r="J705" s="3">
        <f>IF(ISNUMBER(AVERAGE('20250815_ETF_Options_Exhibits'!J701:J705)),AVERAGE('20250815_ETF_Options_Exhibits'!J701:J705),"")</f>
        <v/>
      </c>
      <c r="K705" s="3">
        <f>IF(ISNUMBER(AVERAGE('20250815_ETF_Options_Exhibits'!K701:K705)),AVERAGE('20250815_ETF_Options_Exhibits'!K701:K705),"")</f>
        <v/>
      </c>
      <c r="L705" s="3">
        <f>IF(ISNUMBER(AVERAGE('20250815_ETF_Options_Exhibits'!L701:L705)),AVERAGE('20250815_ETF_Options_Exhibits'!L701:L705),"")</f>
        <v/>
      </c>
      <c r="M705" s="3">
        <f>IF(ISNUMBER(AVERAGE('20250815_ETF_Options_Exhibits'!M701:M705)),AVERAGE('20250815_ETF_Options_Exhibits'!M701:M705),"")</f>
        <v/>
      </c>
      <c r="N705" s="3">
        <f>IF(ISNUMBER(AVERAGE('20250815_ETF_Options_Exhibits'!N701:N705)),AVERAGE('20250815_ETF_Options_Exhibits'!N701:N705),"")</f>
        <v/>
      </c>
      <c r="O705" s="3">
        <f>IF(ISNUMBER(AVERAGE('20250815_ETF_Options_Exhibits'!O701:O705)),AVERAGE('20250815_ETF_Options_Exhibits'!O701:O705),"")</f>
        <v/>
      </c>
      <c r="P705" s="3">
        <f>IF(ISNUMBER(AVERAGE('20250815_ETF_Options_Exhibits'!P701:P705)),AVERAGE('20250815_ETF_Options_Exhibits'!P701:P705),"")</f>
        <v/>
      </c>
      <c r="Q705" s="3">
        <f>IF(ISNUMBER(AVERAGE('20250815_ETF_Options_Exhibits'!Q701:Q705)),AVERAGE('20250815_ETF_Options_Exhibits'!Q701:Q705),"")</f>
        <v/>
      </c>
      <c r="R705" s="3">
        <f>IF(ISNUMBER(AVERAGE('20250815_ETF_Options_Exhibits'!R701:R705)),AVERAGE('20250815_ETF_Options_Exhibits'!R701:R705),"")</f>
        <v/>
      </c>
      <c r="S705" s="3">
        <f>IF(ISNUMBER(AVERAGE('20250815_ETF_Options_Exhibits'!S701:S705)),AVERAGE('20250815_ETF_Options_Exhibits'!S701:S705),"")</f>
        <v/>
      </c>
      <c r="T705" s="3">
        <f>IF(ISNUMBER(AVERAGE('20250815_ETF_Options_Exhibits'!T701:T705)),AVERAGE('20250815_ETF_Options_Exhibits'!T701:T705),"")</f>
        <v/>
      </c>
      <c r="U705" s="3">
        <f>IF(ISNUMBER(AVERAGE('20250815_ETF_Options_Exhibits'!U701:U705)),AVERAGE('20250815_ETF_Options_Exhibits'!U701:U705),"")</f>
        <v/>
      </c>
      <c r="V705" s="3">
        <f>IF(ISNUMBER(AVERAGE('20250815_ETF_Options_Exhibits'!V701:V705)),AVERAGE('20250815_ETF_Options_Exhibits'!V701:V705),"")</f>
        <v/>
      </c>
      <c r="W705" s="3">
        <f>IF(ISNUMBER(AVERAGE('20250815_ETF_Options_Exhibits'!W701:W705)),AVERAGE('20250815_ETF_Options_Exhibits'!W701:W705),"")</f>
        <v/>
      </c>
      <c r="X705" s="3">
        <f>IF(ISNUMBER(AVERAGE('20250815_ETF_Options_Exhibits'!X701:X705)),AVERAGE('20250815_ETF_Options_Exhibits'!X701:X705),"")</f>
        <v/>
      </c>
      <c r="Y705" s="3">
        <f>IF(ISNUMBER(AVERAGE('20250815_ETF_Options_Exhibits'!Y701:Y705)),AVERAGE('20250815_ETF_Options_Exhibits'!Y701:Y705),"")</f>
        <v/>
      </c>
      <c r="Z705" s="3">
        <f>IF(ISNUMBER(AVERAGE('20250815_ETF_Options_Exhibits'!Z701:Z705)),AVERAGE('20250815_ETF_Options_Exhibits'!Z701:Z705),"")</f>
        <v/>
      </c>
      <c r="AA705" s="3">
        <f>IF(ISNUMBER(AVERAGE('20250815_ETF_Options_Exhibits'!AA701:AA705)),AVERAGE('20250815_ETF_Options_Exhibits'!AA701:AA705),"")</f>
        <v/>
      </c>
    </row>
    <row r="706">
      <c r="A706" s="1" t="n">
        <v>43025</v>
      </c>
      <c r="B706" s="3">
        <f>IF(ISNUMBER(AVERAGE('20250815_ETF_Options_Exhibits'!B702:B706)),AVERAGE('20250815_ETF_Options_Exhibits'!B702:B706),"")</f>
        <v/>
      </c>
      <c r="C706" s="3">
        <f>IF(ISNUMBER(AVERAGE('20250815_ETF_Options_Exhibits'!C702:C706)),AVERAGE('20250815_ETF_Options_Exhibits'!C702:C706),"")</f>
        <v/>
      </c>
      <c r="D706" s="3">
        <f>IF(ISNUMBER(AVERAGE('20250815_ETF_Options_Exhibits'!D702:D706)),AVERAGE('20250815_ETF_Options_Exhibits'!D702:D706),"")</f>
        <v/>
      </c>
      <c r="E706" s="3">
        <f>IF(ISNUMBER(AVERAGE('20250815_ETF_Options_Exhibits'!E702:E706)),AVERAGE('20250815_ETF_Options_Exhibits'!E702:E706),"")</f>
        <v/>
      </c>
      <c r="F706" s="3">
        <f>IF(ISNUMBER(AVERAGE('20250815_ETF_Options_Exhibits'!F702:F706)),AVERAGE('20250815_ETF_Options_Exhibits'!F702:F706),"")</f>
        <v/>
      </c>
      <c r="G706" s="3">
        <f>IF(ISNUMBER(AVERAGE('20250815_ETF_Options_Exhibits'!G702:G706)),AVERAGE('20250815_ETF_Options_Exhibits'!G702:G706),"")</f>
        <v/>
      </c>
      <c r="H706" s="3">
        <f>IF(ISNUMBER(AVERAGE('20250815_ETF_Options_Exhibits'!H702:H706)),AVERAGE('20250815_ETF_Options_Exhibits'!H702:H706),"")</f>
        <v/>
      </c>
      <c r="I706" s="3">
        <f>IF(ISNUMBER(AVERAGE('20250815_ETF_Options_Exhibits'!I702:I706)),AVERAGE('20250815_ETF_Options_Exhibits'!I702:I706),"")</f>
        <v/>
      </c>
      <c r="J706" s="3">
        <f>IF(ISNUMBER(AVERAGE('20250815_ETF_Options_Exhibits'!J702:J706)),AVERAGE('20250815_ETF_Options_Exhibits'!J702:J706),"")</f>
        <v/>
      </c>
      <c r="K706" s="3">
        <f>IF(ISNUMBER(AVERAGE('20250815_ETF_Options_Exhibits'!K702:K706)),AVERAGE('20250815_ETF_Options_Exhibits'!K702:K706),"")</f>
        <v/>
      </c>
      <c r="L706" s="3">
        <f>IF(ISNUMBER(AVERAGE('20250815_ETF_Options_Exhibits'!L702:L706)),AVERAGE('20250815_ETF_Options_Exhibits'!L702:L706),"")</f>
        <v/>
      </c>
      <c r="M706" s="3">
        <f>IF(ISNUMBER(AVERAGE('20250815_ETF_Options_Exhibits'!M702:M706)),AVERAGE('20250815_ETF_Options_Exhibits'!M702:M706),"")</f>
        <v/>
      </c>
      <c r="N706" s="3">
        <f>IF(ISNUMBER(AVERAGE('20250815_ETF_Options_Exhibits'!N702:N706)),AVERAGE('20250815_ETF_Options_Exhibits'!N702:N706),"")</f>
        <v/>
      </c>
      <c r="O706" s="3">
        <f>IF(ISNUMBER(AVERAGE('20250815_ETF_Options_Exhibits'!O702:O706)),AVERAGE('20250815_ETF_Options_Exhibits'!O702:O706),"")</f>
        <v/>
      </c>
      <c r="P706" s="3">
        <f>IF(ISNUMBER(AVERAGE('20250815_ETF_Options_Exhibits'!P702:P706)),AVERAGE('20250815_ETF_Options_Exhibits'!P702:P706),"")</f>
        <v/>
      </c>
      <c r="Q706" s="3">
        <f>IF(ISNUMBER(AVERAGE('20250815_ETF_Options_Exhibits'!Q702:Q706)),AVERAGE('20250815_ETF_Options_Exhibits'!Q702:Q706),"")</f>
        <v/>
      </c>
      <c r="R706" s="3">
        <f>IF(ISNUMBER(AVERAGE('20250815_ETF_Options_Exhibits'!R702:R706)),AVERAGE('20250815_ETF_Options_Exhibits'!R702:R706),"")</f>
        <v/>
      </c>
      <c r="S706" s="3">
        <f>IF(ISNUMBER(AVERAGE('20250815_ETF_Options_Exhibits'!S702:S706)),AVERAGE('20250815_ETF_Options_Exhibits'!S702:S706),"")</f>
        <v/>
      </c>
      <c r="T706" s="3">
        <f>IF(ISNUMBER(AVERAGE('20250815_ETF_Options_Exhibits'!T702:T706)),AVERAGE('20250815_ETF_Options_Exhibits'!T702:T706),"")</f>
        <v/>
      </c>
      <c r="U706" s="3">
        <f>IF(ISNUMBER(AVERAGE('20250815_ETF_Options_Exhibits'!U702:U706)),AVERAGE('20250815_ETF_Options_Exhibits'!U702:U706),"")</f>
        <v/>
      </c>
      <c r="V706" s="3">
        <f>IF(ISNUMBER(AVERAGE('20250815_ETF_Options_Exhibits'!V702:V706)),AVERAGE('20250815_ETF_Options_Exhibits'!V702:V706),"")</f>
        <v/>
      </c>
      <c r="W706" s="3">
        <f>IF(ISNUMBER(AVERAGE('20250815_ETF_Options_Exhibits'!W702:W706)),AVERAGE('20250815_ETF_Options_Exhibits'!W702:W706),"")</f>
        <v/>
      </c>
      <c r="X706" s="3">
        <f>IF(ISNUMBER(AVERAGE('20250815_ETF_Options_Exhibits'!X702:X706)),AVERAGE('20250815_ETF_Options_Exhibits'!X702:X706),"")</f>
        <v/>
      </c>
      <c r="Y706" s="3">
        <f>IF(ISNUMBER(AVERAGE('20250815_ETF_Options_Exhibits'!Y702:Y706)),AVERAGE('20250815_ETF_Options_Exhibits'!Y702:Y706),"")</f>
        <v/>
      </c>
      <c r="Z706" s="3">
        <f>IF(ISNUMBER(AVERAGE('20250815_ETF_Options_Exhibits'!Z702:Z706)),AVERAGE('20250815_ETF_Options_Exhibits'!Z702:Z706),"")</f>
        <v/>
      </c>
      <c r="AA706" s="3">
        <f>IF(ISNUMBER(AVERAGE('20250815_ETF_Options_Exhibits'!AA702:AA706)),AVERAGE('20250815_ETF_Options_Exhibits'!AA702:AA706),"")</f>
        <v/>
      </c>
    </row>
    <row r="707">
      <c r="A707" s="1" t="n">
        <v>43026</v>
      </c>
      <c r="B707" s="3">
        <f>IF(ISNUMBER(AVERAGE('20250815_ETF_Options_Exhibits'!B703:B707)),AVERAGE('20250815_ETF_Options_Exhibits'!B703:B707),"")</f>
        <v/>
      </c>
      <c r="C707" s="3">
        <f>IF(ISNUMBER(AVERAGE('20250815_ETF_Options_Exhibits'!C703:C707)),AVERAGE('20250815_ETF_Options_Exhibits'!C703:C707),"")</f>
        <v/>
      </c>
      <c r="D707" s="3">
        <f>IF(ISNUMBER(AVERAGE('20250815_ETF_Options_Exhibits'!D703:D707)),AVERAGE('20250815_ETF_Options_Exhibits'!D703:D707),"")</f>
        <v/>
      </c>
      <c r="E707" s="3">
        <f>IF(ISNUMBER(AVERAGE('20250815_ETF_Options_Exhibits'!E703:E707)),AVERAGE('20250815_ETF_Options_Exhibits'!E703:E707),"")</f>
        <v/>
      </c>
      <c r="F707" s="3">
        <f>IF(ISNUMBER(AVERAGE('20250815_ETF_Options_Exhibits'!F703:F707)),AVERAGE('20250815_ETF_Options_Exhibits'!F703:F707),"")</f>
        <v/>
      </c>
      <c r="G707" s="3">
        <f>IF(ISNUMBER(AVERAGE('20250815_ETF_Options_Exhibits'!G703:G707)),AVERAGE('20250815_ETF_Options_Exhibits'!G703:G707),"")</f>
        <v/>
      </c>
      <c r="H707" s="3">
        <f>IF(ISNUMBER(AVERAGE('20250815_ETF_Options_Exhibits'!H703:H707)),AVERAGE('20250815_ETF_Options_Exhibits'!H703:H707),"")</f>
        <v/>
      </c>
      <c r="I707" s="3">
        <f>IF(ISNUMBER(AVERAGE('20250815_ETF_Options_Exhibits'!I703:I707)),AVERAGE('20250815_ETF_Options_Exhibits'!I703:I707),"")</f>
        <v/>
      </c>
      <c r="J707" s="3">
        <f>IF(ISNUMBER(AVERAGE('20250815_ETF_Options_Exhibits'!J703:J707)),AVERAGE('20250815_ETF_Options_Exhibits'!J703:J707),"")</f>
        <v/>
      </c>
      <c r="K707" s="3">
        <f>IF(ISNUMBER(AVERAGE('20250815_ETF_Options_Exhibits'!K703:K707)),AVERAGE('20250815_ETF_Options_Exhibits'!K703:K707),"")</f>
        <v/>
      </c>
      <c r="L707" s="3">
        <f>IF(ISNUMBER(AVERAGE('20250815_ETF_Options_Exhibits'!L703:L707)),AVERAGE('20250815_ETF_Options_Exhibits'!L703:L707),"")</f>
        <v/>
      </c>
      <c r="M707" s="3">
        <f>IF(ISNUMBER(AVERAGE('20250815_ETF_Options_Exhibits'!M703:M707)),AVERAGE('20250815_ETF_Options_Exhibits'!M703:M707),"")</f>
        <v/>
      </c>
      <c r="N707" s="3">
        <f>IF(ISNUMBER(AVERAGE('20250815_ETF_Options_Exhibits'!N703:N707)),AVERAGE('20250815_ETF_Options_Exhibits'!N703:N707),"")</f>
        <v/>
      </c>
      <c r="O707" s="3">
        <f>IF(ISNUMBER(AVERAGE('20250815_ETF_Options_Exhibits'!O703:O707)),AVERAGE('20250815_ETF_Options_Exhibits'!O703:O707),"")</f>
        <v/>
      </c>
      <c r="P707" s="3">
        <f>IF(ISNUMBER(AVERAGE('20250815_ETF_Options_Exhibits'!P703:P707)),AVERAGE('20250815_ETF_Options_Exhibits'!P703:P707),"")</f>
        <v/>
      </c>
      <c r="Q707" s="3">
        <f>IF(ISNUMBER(AVERAGE('20250815_ETF_Options_Exhibits'!Q703:Q707)),AVERAGE('20250815_ETF_Options_Exhibits'!Q703:Q707),"")</f>
        <v/>
      </c>
      <c r="R707" s="3">
        <f>IF(ISNUMBER(AVERAGE('20250815_ETF_Options_Exhibits'!R703:R707)),AVERAGE('20250815_ETF_Options_Exhibits'!R703:R707),"")</f>
        <v/>
      </c>
      <c r="S707" s="3">
        <f>IF(ISNUMBER(AVERAGE('20250815_ETF_Options_Exhibits'!S703:S707)),AVERAGE('20250815_ETF_Options_Exhibits'!S703:S707),"")</f>
        <v/>
      </c>
      <c r="T707" s="3">
        <f>IF(ISNUMBER(AVERAGE('20250815_ETF_Options_Exhibits'!T703:T707)),AVERAGE('20250815_ETF_Options_Exhibits'!T703:T707),"")</f>
        <v/>
      </c>
      <c r="U707" s="3">
        <f>IF(ISNUMBER(AVERAGE('20250815_ETF_Options_Exhibits'!U703:U707)),AVERAGE('20250815_ETF_Options_Exhibits'!U703:U707),"")</f>
        <v/>
      </c>
      <c r="V707" s="3">
        <f>IF(ISNUMBER(AVERAGE('20250815_ETF_Options_Exhibits'!V703:V707)),AVERAGE('20250815_ETF_Options_Exhibits'!V703:V707),"")</f>
        <v/>
      </c>
      <c r="W707" s="3">
        <f>IF(ISNUMBER(AVERAGE('20250815_ETF_Options_Exhibits'!W703:W707)),AVERAGE('20250815_ETF_Options_Exhibits'!W703:W707),"")</f>
        <v/>
      </c>
      <c r="X707" s="3">
        <f>IF(ISNUMBER(AVERAGE('20250815_ETF_Options_Exhibits'!X703:X707)),AVERAGE('20250815_ETF_Options_Exhibits'!X703:X707),"")</f>
        <v/>
      </c>
      <c r="Y707" s="3">
        <f>IF(ISNUMBER(AVERAGE('20250815_ETF_Options_Exhibits'!Y703:Y707)),AVERAGE('20250815_ETF_Options_Exhibits'!Y703:Y707),"")</f>
        <v/>
      </c>
      <c r="Z707" s="3">
        <f>IF(ISNUMBER(AVERAGE('20250815_ETF_Options_Exhibits'!Z703:Z707)),AVERAGE('20250815_ETF_Options_Exhibits'!Z703:Z707),"")</f>
        <v/>
      </c>
      <c r="AA707" s="3">
        <f>IF(ISNUMBER(AVERAGE('20250815_ETF_Options_Exhibits'!AA703:AA707)),AVERAGE('20250815_ETF_Options_Exhibits'!AA703:AA707),"")</f>
        <v/>
      </c>
    </row>
    <row r="708">
      <c r="A708" s="1" t="n">
        <v>43027</v>
      </c>
      <c r="B708" s="3">
        <f>IF(ISNUMBER(AVERAGE('20250815_ETF_Options_Exhibits'!B704:B708)),AVERAGE('20250815_ETF_Options_Exhibits'!B704:B708),"")</f>
        <v/>
      </c>
      <c r="C708" s="3">
        <f>IF(ISNUMBER(AVERAGE('20250815_ETF_Options_Exhibits'!C704:C708)),AVERAGE('20250815_ETF_Options_Exhibits'!C704:C708),"")</f>
        <v/>
      </c>
      <c r="D708" s="3">
        <f>IF(ISNUMBER(AVERAGE('20250815_ETF_Options_Exhibits'!D704:D708)),AVERAGE('20250815_ETF_Options_Exhibits'!D704:D708),"")</f>
        <v/>
      </c>
      <c r="E708" s="3">
        <f>IF(ISNUMBER(AVERAGE('20250815_ETF_Options_Exhibits'!E704:E708)),AVERAGE('20250815_ETF_Options_Exhibits'!E704:E708),"")</f>
        <v/>
      </c>
      <c r="F708" s="3">
        <f>IF(ISNUMBER(AVERAGE('20250815_ETF_Options_Exhibits'!F704:F708)),AVERAGE('20250815_ETF_Options_Exhibits'!F704:F708),"")</f>
        <v/>
      </c>
      <c r="G708" s="3">
        <f>IF(ISNUMBER(AVERAGE('20250815_ETF_Options_Exhibits'!G704:G708)),AVERAGE('20250815_ETF_Options_Exhibits'!G704:G708),"")</f>
        <v/>
      </c>
      <c r="H708" s="3">
        <f>IF(ISNUMBER(AVERAGE('20250815_ETF_Options_Exhibits'!H704:H708)),AVERAGE('20250815_ETF_Options_Exhibits'!H704:H708),"")</f>
        <v/>
      </c>
      <c r="I708" s="3">
        <f>IF(ISNUMBER(AVERAGE('20250815_ETF_Options_Exhibits'!I704:I708)),AVERAGE('20250815_ETF_Options_Exhibits'!I704:I708),"")</f>
        <v/>
      </c>
      <c r="J708" s="3">
        <f>IF(ISNUMBER(AVERAGE('20250815_ETF_Options_Exhibits'!J704:J708)),AVERAGE('20250815_ETF_Options_Exhibits'!J704:J708),"")</f>
        <v/>
      </c>
      <c r="K708" s="3">
        <f>IF(ISNUMBER(AVERAGE('20250815_ETF_Options_Exhibits'!K704:K708)),AVERAGE('20250815_ETF_Options_Exhibits'!K704:K708),"")</f>
        <v/>
      </c>
      <c r="L708" s="3">
        <f>IF(ISNUMBER(AVERAGE('20250815_ETF_Options_Exhibits'!L704:L708)),AVERAGE('20250815_ETF_Options_Exhibits'!L704:L708),"")</f>
        <v/>
      </c>
      <c r="M708" s="3">
        <f>IF(ISNUMBER(AVERAGE('20250815_ETF_Options_Exhibits'!M704:M708)),AVERAGE('20250815_ETF_Options_Exhibits'!M704:M708),"")</f>
        <v/>
      </c>
      <c r="N708" s="3">
        <f>IF(ISNUMBER(AVERAGE('20250815_ETF_Options_Exhibits'!N704:N708)),AVERAGE('20250815_ETF_Options_Exhibits'!N704:N708),"")</f>
        <v/>
      </c>
      <c r="O708" s="3">
        <f>IF(ISNUMBER(AVERAGE('20250815_ETF_Options_Exhibits'!O704:O708)),AVERAGE('20250815_ETF_Options_Exhibits'!O704:O708),"")</f>
        <v/>
      </c>
      <c r="P708" s="3">
        <f>IF(ISNUMBER(AVERAGE('20250815_ETF_Options_Exhibits'!P704:P708)),AVERAGE('20250815_ETF_Options_Exhibits'!P704:P708),"")</f>
        <v/>
      </c>
      <c r="Q708" s="3">
        <f>IF(ISNUMBER(AVERAGE('20250815_ETF_Options_Exhibits'!Q704:Q708)),AVERAGE('20250815_ETF_Options_Exhibits'!Q704:Q708),"")</f>
        <v/>
      </c>
      <c r="R708" s="3">
        <f>IF(ISNUMBER(AVERAGE('20250815_ETF_Options_Exhibits'!R704:R708)),AVERAGE('20250815_ETF_Options_Exhibits'!R704:R708),"")</f>
        <v/>
      </c>
      <c r="S708" s="3">
        <f>IF(ISNUMBER(AVERAGE('20250815_ETF_Options_Exhibits'!S704:S708)),AVERAGE('20250815_ETF_Options_Exhibits'!S704:S708),"")</f>
        <v/>
      </c>
      <c r="T708" s="3">
        <f>IF(ISNUMBER(AVERAGE('20250815_ETF_Options_Exhibits'!T704:T708)),AVERAGE('20250815_ETF_Options_Exhibits'!T704:T708),"")</f>
        <v/>
      </c>
      <c r="U708" s="3">
        <f>IF(ISNUMBER(AVERAGE('20250815_ETF_Options_Exhibits'!U704:U708)),AVERAGE('20250815_ETF_Options_Exhibits'!U704:U708),"")</f>
        <v/>
      </c>
      <c r="V708" s="3">
        <f>IF(ISNUMBER(AVERAGE('20250815_ETF_Options_Exhibits'!V704:V708)),AVERAGE('20250815_ETF_Options_Exhibits'!V704:V708),"")</f>
        <v/>
      </c>
      <c r="W708" s="3">
        <f>IF(ISNUMBER(AVERAGE('20250815_ETF_Options_Exhibits'!W704:W708)),AVERAGE('20250815_ETF_Options_Exhibits'!W704:W708),"")</f>
        <v/>
      </c>
      <c r="X708" s="3">
        <f>IF(ISNUMBER(AVERAGE('20250815_ETF_Options_Exhibits'!X704:X708)),AVERAGE('20250815_ETF_Options_Exhibits'!X704:X708),"")</f>
        <v/>
      </c>
      <c r="Y708" s="3">
        <f>IF(ISNUMBER(AVERAGE('20250815_ETF_Options_Exhibits'!Y704:Y708)),AVERAGE('20250815_ETF_Options_Exhibits'!Y704:Y708),"")</f>
        <v/>
      </c>
      <c r="Z708" s="3">
        <f>IF(ISNUMBER(AVERAGE('20250815_ETF_Options_Exhibits'!Z704:Z708)),AVERAGE('20250815_ETF_Options_Exhibits'!Z704:Z708),"")</f>
        <v/>
      </c>
      <c r="AA708" s="3">
        <f>IF(ISNUMBER(AVERAGE('20250815_ETF_Options_Exhibits'!AA704:AA708)),AVERAGE('20250815_ETF_Options_Exhibits'!AA704:AA708),"")</f>
        <v/>
      </c>
    </row>
    <row r="709">
      <c r="A709" s="1" t="n">
        <v>43028</v>
      </c>
      <c r="B709" s="3">
        <f>IF(ISNUMBER(AVERAGE('20250815_ETF_Options_Exhibits'!B705:B709)),AVERAGE('20250815_ETF_Options_Exhibits'!B705:B709),"")</f>
        <v/>
      </c>
      <c r="C709" s="3">
        <f>IF(ISNUMBER(AVERAGE('20250815_ETF_Options_Exhibits'!C705:C709)),AVERAGE('20250815_ETF_Options_Exhibits'!C705:C709),"")</f>
        <v/>
      </c>
      <c r="D709" s="3">
        <f>IF(ISNUMBER(AVERAGE('20250815_ETF_Options_Exhibits'!D705:D709)),AVERAGE('20250815_ETF_Options_Exhibits'!D705:D709),"")</f>
        <v/>
      </c>
      <c r="E709" s="3">
        <f>IF(ISNUMBER(AVERAGE('20250815_ETF_Options_Exhibits'!E705:E709)),AVERAGE('20250815_ETF_Options_Exhibits'!E705:E709),"")</f>
        <v/>
      </c>
      <c r="F709" s="3">
        <f>IF(ISNUMBER(AVERAGE('20250815_ETF_Options_Exhibits'!F705:F709)),AVERAGE('20250815_ETF_Options_Exhibits'!F705:F709),"")</f>
        <v/>
      </c>
      <c r="G709" s="3">
        <f>IF(ISNUMBER(AVERAGE('20250815_ETF_Options_Exhibits'!G705:G709)),AVERAGE('20250815_ETF_Options_Exhibits'!G705:G709),"")</f>
        <v/>
      </c>
      <c r="H709" s="3">
        <f>IF(ISNUMBER(AVERAGE('20250815_ETF_Options_Exhibits'!H705:H709)),AVERAGE('20250815_ETF_Options_Exhibits'!H705:H709),"")</f>
        <v/>
      </c>
      <c r="I709" s="3">
        <f>IF(ISNUMBER(AVERAGE('20250815_ETF_Options_Exhibits'!I705:I709)),AVERAGE('20250815_ETF_Options_Exhibits'!I705:I709),"")</f>
        <v/>
      </c>
      <c r="J709" s="3">
        <f>IF(ISNUMBER(AVERAGE('20250815_ETF_Options_Exhibits'!J705:J709)),AVERAGE('20250815_ETF_Options_Exhibits'!J705:J709),"")</f>
        <v/>
      </c>
      <c r="K709" s="3">
        <f>IF(ISNUMBER(AVERAGE('20250815_ETF_Options_Exhibits'!K705:K709)),AVERAGE('20250815_ETF_Options_Exhibits'!K705:K709),"")</f>
        <v/>
      </c>
      <c r="L709" s="3">
        <f>IF(ISNUMBER(AVERAGE('20250815_ETF_Options_Exhibits'!L705:L709)),AVERAGE('20250815_ETF_Options_Exhibits'!L705:L709),"")</f>
        <v/>
      </c>
      <c r="M709" s="3">
        <f>IF(ISNUMBER(AVERAGE('20250815_ETF_Options_Exhibits'!M705:M709)),AVERAGE('20250815_ETF_Options_Exhibits'!M705:M709),"")</f>
        <v/>
      </c>
      <c r="N709" s="3">
        <f>IF(ISNUMBER(AVERAGE('20250815_ETF_Options_Exhibits'!N705:N709)),AVERAGE('20250815_ETF_Options_Exhibits'!N705:N709),"")</f>
        <v/>
      </c>
      <c r="O709" s="3">
        <f>IF(ISNUMBER(AVERAGE('20250815_ETF_Options_Exhibits'!O705:O709)),AVERAGE('20250815_ETF_Options_Exhibits'!O705:O709),"")</f>
        <v/>
      </c>
      <c r="P709" s="3">
        <f>IF(ISNUMBER(AVERAGE('20250815_ETF_Options_Exhibits'!P705:P709)),AVERAGE('20250815_ETF_Options_Exhibits'!P705:P709),"")</f>
        <v/>
      </c>
      <c r="Q709" s="3">
        <f>IF(ISNUMBER(AVERAGE('20250815_ETF_Options_Exhibits'!Q705:Q709)),AVERAGE('20250815_ETF_Options_Exhibits'!Q705:Q709),"")</f>
        <v/>
      </c>
      <c r="R709" s="3">
        <f>IF(ISNUMBER(AVERAGE('20250815_ETF_Options_Exhibits'!R705:R709)),AVERAGE('20250815_ETF_Options_Exhibits'!R705:R709),"")</f>
        <v/>
      </c>
      <c r="S709" s="3">
        <f>IF(ISNUMBER(AVERAGE('20250815_ETF_Options_Exhibits'!S705:S709)),AVERAGE('20250815_ETF_Options_Exhibits'!S705:S709),"")</f>
        <v/>
      </c>
      <c r="T709" s="3">
        <f>IF(ISNUMBER(AVERAGE('20250815_ETF_Options_Exhibits'!T705:T709)),AVERAGE('20250815_ETF_Options_Exhibits'!T705:T709),"")</f>
        <v/>
      </c>
      <c r="U709" s="3">
        <f>IF(ISNUMBER(AVERAGE('20250815_ETF_Options_Exhibits'!U705:U709)),AVERAGE('20250815_ETF_Options_Exhibits'!U705:U709),"")</f>
        <v/>
      </c>
      <c r="V709" s="3">
        <f>IF(ISNUMBER(AVERAGE('20250815_ETF_Options_Exhibits'!V705:V709)),AVERAGE('20250815_ETF_Options_Exhibits'!V705:V709),"")</f>
        <v/>
      </c>
      <c r="W709" s="3">
        <f>IF(ISNUMBER(AVERAGE('20250815_ETF_Options_Exhibits'!W705:W709)),AVERAGE('20250815_ETF_Options_Exhibits'!W705:W709),"")</f>
        <v/>
      </c>
      <c r="X709" s="3">
        <f>IF(ISNUMBER(AVERAGE('20250815_ETF_Options_Exhibits'!X705:X709)),AVERAGE('20250815_ETF_Options_Exhibits'!X705:X709),"")</f>
        <v/>
      </c>
      <c r="Y709" s="3">
        <f>IF(ISNUMBER(AVERAGE('20250815_ETF_Options_Exhibits'!Y705:Y709)),AVERAGE('20250815_ETF_Options_Exhibits'!Y705:Y709),"")</f>
        <v/>
      </c>
      <c r="Z709" s="3">
        <f>IF(ISNUMBER(AVERAGE('20250815_ETF_Options_Exhibits'!Z705:Z709)),AVERAGE('20250815_ETF_Options_Exhibits'!Z705:Z709),"")</f>
        <v/>
      </c>
      <c r="AA709" s="3">
        <f>IF(ISNUMBER(AVERAGE('20250815_ETF_Options_Exhibits'!AA705:AA709)),AVERAGE('20250815_ETF_Options_Exhibits'!AA705:AA709),"")</f>
        <v/>
      </c>
    </row>
    <row r="710">
      <c r="A710" s="1" t="n">
        <v>43031</v>
      </c>
      <c r="B710" s="3">
        <f>IF(ISNUMBER(AVERAGE('20250815_ETF_Options_Exhibits'!B706:B710)),AVERAGE('20250815_ETF_Options_Exhibits'!B706:B710),"")</f>
        <v/>
      </c>
      <c r="C710" s="3">
        <f>IF(ISNUMBER(AVERAGE('20250815_ETF_Options_Exhibits'!C706:C710)),AVERAGE('20250815_ETF_Options_Exhibits'!C706:C710),"")</f>
        <v/>
      </c>
      <c r="D710" s="3">
        <f>IF(ISNUMBER(AVERAGE('20250815_ETF_Options_Exhibits'!D706:D710)),AVERAGE('20250815_ETF_Options_Exhibits'!D706:D710),"")</f>
        <v/>
      </c>
      <c r="E710" s="3">
        <f>IF(ISNUMBER(AVERAGE('20250815_ETF_Options_Exhibits'!E706:E710)),AVERAGE('20250815_ETF_Options_Exhibits'!E706:E710),"")</f>
        <v/>
      </c>
      <c r="F710" s="3">
        <f>IF(ISNUMBER(AVERAGE('20250815_ETF_Options_Exhibits'!F706:F710)),AVERAGE('20250815_ETF_Options_Exhibits'!F706:F710),"")</f>
        <v/>
      </c>
      <c r="G710" s="3">
        <f>IF(ISNUMBER(AVERAGE('20250815_ETF_Options_Exhibits'!G706:G710)),AVERAGE('20250815_ETF_Options_Exhibits'!G706:G710),"")</f>
        <v/>
      </c>
      <c r="H710" s="3">
        <f>IF(ISNUMBER(AVERAGE('20250815_ETF_Options_Exhibits'!H706:H710)),AVERAGE('20250815_ETF_Options_Exhibits'!H706:H710),"")</f>
        <v/>
      </c>
      <c r="I710" s="3">
        <f>IF(ISNUMBER(AVERAGE('20250815_ETF_Options_Exhibits'!I706:I710)),AVERAGE('20250815_ETF_Options_Exhibits'!I706:I710),"")</f>
        <v/>
      </c>
      <c r="J710" s="3">
        <f>IF(ISNUMBER(AVERAGE('20250815_ETF_Options_Exhibits'!J706:J710)),AVERAGE('20250815_ETF_Options_Exhibits'!J706:J710),"")</f>
        <v/>
      </c>
      <c r="K710" s="3">
        <f>IF(ISNUMBER(AVERAGE('20250815_ETF_Options_Exhibits'!K706:K710)),AVERAGE('20250815_ETF_Options_Exhibits'!K706:K710),"")</f>
        <v/>
      </c>
      <c r="L710" s="3">
        <f>IF(ISNUMBER(AVERAGE('20250815_ETF_Options_Exhibits'!L706:L710)),AVERAGE('20250815_ETF_Options_Exhibits'!L706:L710),"")</f>
        <v/>
      </c>
      <c r="M710" s="3">
        <f>IF(ISNUMBER(AVERAGE('20250815_ETF_Options_Exhibits'!M706:M710)),AVERAGE('20250815_ETF_Options_Exhibits'!M706:M710),"")</f>
        <v/>
      </c>
      <c r="N710" s="3">
        <f>IF(ISNUMBER(AVERAGE('20250815_ETF_Options_Exhibits'!N706:N710)),AVERAGE('20250815_ETF_Options_Exhibits'!N706:N710),"")</f>
        <v/>
      </c>
      <c r="O710" s="3">
        <f>IF(ISNUMBER(AVERAGE('20250815_ETF_Options_Exhibits'!O706:O710)),AVERAGE('20250815_ETF_Options_Exhibits'!O706:O710),"")</f>
        <v/>
      </c>
      <c r="P710" s="3">
        <f>IF(ISNUMBER(AVERAGE('20250815_ETF_Options_Exhibits'!P706:P710)),AVERAGE('20250815_ETF_Options_Exhibits'!P706:P710),"")</f>
        <v/>
      </c>
      <c r="Q710" s="3">
        <f>IF(ISNUMBER(AVERAGE('20250815_ETF_Options_Exhibits'!Q706:Q710)),AVERAGE('20250815_ETF_Options_Exhibits'!Q706:Q710),"")</f>
        <v/>
      </c>
      <c r="R710" s="3">
        <f>IF(ISNUMBER(AVERAGE('20250815_ETF_Options_Exhibits'!R706:R710)),AVERAGE('20250815_ETF_Options_Exhibits'!R706:R710),"")</f>
        <v/>
      </c>
      <c r="S710" s="3">
        <f>IF(ISNUMBER(AVERAGE('20250815_ETF_Options_Exhibits'!S706:S710)),AVERAGE('20250815_ETF_Options_Exhibits'!S706:S710),"")</f>
        <v/>
      </c>
      <c r="T710" s="3">
        <f>IF(ISNUMBER(AVERAGE('20250815_ETF_Options_Exhibits'!T706:T710)),AVERAGE('20250815_ETF_Options_Exhibits'!T706:T710),"")</f>
        <v/>
      </c>
      <c r="U710" s="3">
        <f>IF(ISNUMBER(AVERAGE('20250815_ETF_Options_Exhibits'!U706:U710)),AVERAGE('20250815_ETF_Options_Exhibits'!U706:U710),"")</f>
        <v/>
      </c>
      <c r="V710" s="3">
        <f>IF(ISNUMBER(AVERAGE('20250815_ETF_Options_Exhibits'!V706:V710)),AVERAGE('20250815_ETF_Options_Exhibits'!V706:V710),"")</f>
        <v/>
      </c>
      <c r="W710" s="3">
        <f>IF(ISNUMBER(AVERAGE('20250815_ETF_Options_Exhibits'!W706:W710)),AVERAGE('20250815_ETF_Options_Exhibits'!W706:W710),"")</f>
        <v/>
      </c>
      <c r="X710" s="3">
        <f>IF(ISNUMBER(AVERAGE('20250815_ETF_Options_Exhibits'!X706:X710)),AVERAGE('20250815_ETF_Options_Exhibits'!X706:X710),"")</f>
        <v/>
      </c>
      <c r="Y710" s="3">
        <f>IF(ISNUMBER(AVERAGE('20250815_ETF_Options_Exhibits'!Y706:Y710)),AVERAGE('20250815_ETF_Options_Exhibits'!Y706:Y710),"")</f>
        <v/>
      </c>
      <c r="Z710" s="3">
        <f>IF(ISNUMBER(AVERAGE('20250815_ETF_Options_Exhibits'!Z706:Z710)),AVERAGE('20250815_ETF_Options_Exhibits'!Z706:Z710),"")</f>
        <v/>
      </c>
      <c r="AA710" s="3">
        <f>IF(ISNUMBER(AVERAGE('20250815_ETF_Options_Exhibits'!AA706:AA710)),AVERAGE('20250815_ETF_Options_Exhibits'!AA706:AA710),"")</f>
        <v/>
      </c>
    </row>
    <row r="711">
      <c r="A711" s="1" t="n">
        <v>43032</v>
      </c>
      <c r="B711" s="3">
        <f>IF(ISNUMBER(AVERAGE('20250815_ETF_Options_Exhibits'!B707:B711)),AVERAGE('20250815_ETF_Options_Exhibits'!B707:B711),"")</f>
        <v/>
      </c>
      <c r="C711" s="3">
        <f>IF(ISNUMBER(AVERAGE('20250815_ETF_Options_Exhibits'!C707:C711)),AVERAGE('20250815_ETF_Options_Exhibits'!C707:C711),"")</f>
        <v/>
      </c>
      <c r="D711" s="3">
        <f>IF(ISNUMBER(AVERAGE('20250815_ETF_Options_Exhibits'!D707:D711)),AVERAGE('20250815_ETF_Options_Exhibits'!D707:D711),"")</f>
        <v/>
      </c>
      <c r="E711" s="3">
        <f>IF(ISNUMBER(AVERAGE('20250815_ETF_Options_Exhibits'!E707:E711)),AVERAGE('20250815_ETF_Options_Exhibits'!E707:E711),"")</f>
        <v/>
      </c>
      <c r="F711" s="3">
        <f>IF(ISNUMBER(AVERAGE('20250815_ETF_Options_Exhibits'!F707:F711)),AVERAGE('20250815_ETF_Options_Exhibits'!F707:F711),"")</f>
        <v/>
      </c>
      <c r="G711" s="3">
        <f>IF(ISNUMBER(AVERAGE('20250815_ETF_Options_Exhibits'!G707:G711)),AVERAGE('20250815_ETF_Options_Exhibits'!G707:G711),"")</f>
        <v/>
      </c>
      <c r="H711" s="3">
        <f>IF(ISNUMBER(AVERAGE('20250815_ETF_Options_Exhibits'!H707:H711)),AVERAGE('20250815_ETF_Options_Exhibits'!H707:H711),"")</f>
        <v/>
      </c>
      <c r="I711" s="3">
        <f>IF(ISNUMBER(AVERAGE('20250815_ETF_Options_Exhibits'!I707:I711)),AVERAGE('20250815_ETF_Options_Exhibits'!I707:I711),"")</f>
        <v/>
      </c>
      <c r="J711" s="3">
        <f>IF(ISNUMBER(AVERAGE('20250815_ETF_Options_Exhibits'!J707:J711)),AVERAGE('20250815_ETF_Options_Exhibits'!J707:J711),"")</f>
        <v/>
      </c>
      <c r="K711" s="3">
        <f>IF(ISNUMBER(AVERAGE('20250815_ETF_Options_Exhibits'!K707:K711)),AVERAGE('20250815_ETF_Options_Exhibits'!K707:K711),"")</f>
        <v/>
      </c>
      <c r="L711" s="3">
        <f>IF(ISNUMBER(AVERAGE('20250815_ETF_Options_Exhibits'!L707:L711)),AVERAGE('20250815_ETF_Options_Exhibits'!L707:L711),"")</f>
        <v/>
      </c>
      <c r="M711" s="3">
        <f>IF(ISNUMBER(AVERAGE('20250815_ETF_Options_Exhibits'!M707:M711)),AVERAGE('20250815_ETF_Options_Exhibits'!M707:M711),"")</f>
        <v/>
      </c>
      <c r="N711" s="3">
        <f>IF(ISNUMBER(AVERAGE('20250815_ETF_Options_Exhibits'!N707:N711)),AVERAGE('20250815_ETF_Options_Exhibits'!N707:N711),"")</f>
        <v/>
      </c>
      <c r="O711" s="3">
        <f>IF(ISNUMBER(AVERAGE('20250815_ETF_Options_Exhibits'!O707:O711)),AVERAGE('20250815_ETF_Options_Exhibits'!O707:O711),"")</f>
        <v/>
      </c>
      <c r="P711" s="3">
        <f>IF(ISNUMBER(AVERAGE('20250815_ETF_Options_Exhibits'!P707:P711)),AVERAGE('20250815_ETF_Options_Exhibits'!P707:P711),"")</f>
        <v/>
      </c>
      <c r="Q711" s="3">
        <f>IF(ISNUMBER(AVERAGE('20250815_ETF_Options_Exhibits'!Q707:Q711)),AVERAGE('20250815_ETF_Options_Exhibits'!Q707:Q711),"")</f>
        <v/>
      </c>
      <c r="R711" s="3">
        <f>IF(ISNUMBER(AVERAGE('20250815_ETF_Options_Exhibits'!R707:R711)),AVERAGE('20250815_ETF_Options_Exhibits'!R707:R711),"")</f>
        <v/>
      </c>
      <c r="S711" s="3">
        <f>IF(ISNUMBER(AVERAGE('20250815_ETF_Options_Exhibits'!S707:S711)),AVERAGE('20250815_ETF_Options_Exhibits'!S707:S711),"")</f>
        <v/>
      </c>
      <c r="T711" s="3">
        <f>IF(ISNUMBER(AVERAGE('20250815_ETF_Options_Exhibits'!T707:T711)),AVERAGE('20250815_ETF_Options_Exhibits'!T707:T711),"")</f>
        <v/>
      </c>
      <c r="U711" s="3">
        <f>IF(ISNUMBER(AVERAGE('20250815_ETF_Options_Exhibits'!U707:U711)),AVERAGE('20250815_ETF_Options_Exhibits'!U707:U711),"")</f>
        <v/>
      </c>
      <c r="V711" s="3">
        <f>IF(ISNUMBER(AVERAGE('20250815_ETF_Options_Exhibits'!V707:V711)),AVERAGE('20250815_ETF_Options_Exhibits'!V707:V711),"")</f>
        <v/>
      </c>
      <c r="W711" s="3">
        <f>IF(ISNUMBER(AVERAGE('20250815_ETF_Options_Exhibits'!W707:W711)),AVERAGE('20250815_ETF_Options_Exhibits'!W707:W711),"")</f>
        <v/>
      </c>
      <c r="X711" s="3">
        <f>IF(ISNUMBER(AVERAGE('20250815_ETF_Options_Exhibits'!X707:X711)),AVERAGE('20250815_ETF_Options_Exhibits'!X707:X711),"")</f>
        <v/>
      </c>
      <c r="Y711" s="3">
        <f>IF(ISNUMBER(AVERAGE('20250815_ETF_Options_Exhibits'!Y707:Y711)),AVERAGE('20250815_ETF_Options_Exhibits'!Y707:Y711),"")</f>
        <v/>
      </c>
      <c r="Z711" s="3">
        <f>IF(ISNUMBER(AVERAGE('20250815_ETF_Options_Exhibits'!Z707:Z711)),AVERAGE('20250815_ETF_Options_Exhibits'!Z707:Z711),"")</f>
        <v/>
      </c>
      <c r="AA711" s="3">
        <f>IF(ISNUMBER(AVERAGE('20250815_ETF_Options_Exhibits'!AA707:AA711)),AVERAGE('20250815_ETF_Options_Exhibits'!AA707:AA711),"")</f>
        <v/>
      </c>
    </row>
    <row r="712">
      <c r="A712" s="1" t="n">
        <v>43033</v>
      </c>
      <c r="B712" s="3">
        <f>IF(ISNUMBER(AVERAGE('20250815_ETF_Options_Exhibits'!B708:B712)),AVERAGE('20250815_ETF_Options_Exhibits'!B708:B712),"")</f>
        <v/>
      </c>
      <c r="C712" s="3">
        <f>IF(ISNUMBER(AVERAGE('20250815_ETF_Options_Exhibits'!C708:C712)),AVERAGE('20250815_ETF_Options_Exhibits'!C708:C712),"")</f>
        <v/>
      </c>
      <c r="D712" s="3">
        <f>IF(ISNUMBER(AVERAGE('20250815_ETF_Options_Exhibits'!D708:D712)),AVERAGE('20250815_ETF_Options_Exhibits'!D708:D712),"")</f>
        <v/>
      </c>
      <c r="E712" s="3">
        <f>IF(ISNUMBER(AVERAGE('20250815_ETF_Options_Exhibits'!E708:E712)),AVERAGE('20250815_ETF_Options_Exhibits'!E708:E712),"")</f>
        <v/>
      </c>
      <c r="F712" s="3">
        <f>IF(ISNUMBER(AVERAGE('20250815_ETF_Options_Exhibits'!F708:F712)),AVERAGE('20250815_ETF_Options_Exhibits'!F708:F712),"")</f>
        <v/>
      </c>
      <c r="G712" s="3">
        <f>IF(ISNUMBER(AVERAGE('20250815_ETF_Options_Exhibits'!G708:G712)),AVERAGE('20250815_ETF_Options_Exhibits'!G708:G712),"")</f>
        <v/>
      </c>
      <c r="H712" s="3">
        <f>IF(ISNUMBER(AVERAGE('20250815_ETF_Options_Exhibits'!H708:H712)),AVERAGE('20250815_ETF_Options_Exhibits'!H708:H712),"")</f>
        <v/>
      </c>
      <c r="I712" s="3">
        <f>IF(ISNUMBER(AVERAGE('20250815_ETF_Options_Exhibits'!I708:I712)),AVERAGE('20250815_ETF_Options_Exhibits'!I708:I712),"")</f>
        <v/>
      </c>
      <c r="J712" s="3">
        <f>IF(ISNUMBER(AVERAGE('20250815_ETF_Options_Exhibits'!J708:J712)),AVERAGE('20250815_ETF_Options_Exhibits'!J708:J712),"")</f>
        <v/>
      </c>
      <c r="K712" s="3">
        <f>IF(ISNUMBER(AVERAGE('20250815_ETF_Options_Exhibits'!K708:K712)),AVERAGE('20250815_ETF_Options_Exhibits'!K708:K712),"")</f>
        <v/>
      </c>
      <c r="L712" s="3">
        <f>IF(ISNUMBER(AVERAGE('20250815_ETF_Options_Exhibits'!L708:L712)),AVERAGE('20250815_ETF_Options_Exhibits'!L708:L712),"")</f>
        <v/>
      </c>
      <c r="M712" s="3">
        <f>IF(ISNUMBER(AVERAGE('20250815_ETF_Options_Exhibits'!M708:M712)),AVERAGE('20250815_ETF_Options_Exhibits'!M708:M712),"")</f>
        <v/>
      </c>
      <c r="N712" s="3">
        <f>IF(ISNUMBER(AVERAGE('20250815_ETF_Options_Exhibits'!N708:N712)),AVERAGE('20250815_ETF_Options_Exhibits'!N708:N712),"")</f>
        <v/>
      </c>
      <c r="O712" s="3">
        <f>IF(ISNUMBER(AVERAGE('20250815_ETF_Options_Exhibits'!O708:O712)),AVERAGE('20250815_ETF_Options_Exhibits'!O708:O712),"")</f>
        <v/>
      </c>
      <c r="P712" s="3">
        <f>IF(ISNUMBER(AVERAGE('20250815_ETF_Options_Exhibits'!P708:P712)),AVERAGE('20250815_ETF_Options_Exhibits'!P708:P712),"")</f>
        <v/>
      </c>
      <c r="Q712" s="3">
        <f>IF(ISNUMBER(AVERAGE('20250815_ETF_Options_Exhibits'!Q708:Q712)),AVERAGE('20250815_ETF_Options_Exhibits'!Q708:Q712),"")</f>
        <v/>
      </c>
      <c r="R712" s="3">
        <f>IF(ISNUMBER(AVERAGE('20250815_ETF_Options_Exhibits'!R708:R712)),AVERAGE('20250815_ETF_Options_Exhibits'!R708:R712),"")</f>
        <v/>
      </c>
      <c r="S712" s="3">
        <f>IF(ISNUMBER(AVERAGE('20250815_ETF_Options_Exhibits'!S708:S712)),AVERAGE('20250815_ETF_Options_Exhibits'!S708:S712),"")</f>
        <v/>
      </c>
      <c r="T712" s="3">
        <f>IF(ISNUMBER(AVERAGE('20250815_ETF_Options_Exhibits'!T708:T712)),AVERAGE('20250815_ETF_Options_Exhibits'!T708:T712),"")</f>
        <v/>
      </c>
      <c r="U712" s="3">
        <f>IF(ISNUMBER(AVERAGE('20250815_ETF_Options_Exhibits'!U708:U712)),AVERAGE('20250815_ETF_Options_Exhibits'!U708:U712),"")</f>
        <v/>
      </c>
      <c r="V712" s="3">
        <f>IF(ISNUMBER(AVERAGE('20250815_ETF_Options_Exhibits'!V708:V712)),AVERAGE('20250815_ETF_Options_Exhibits'!V708:V712),"")</f>
        <v/>
      </c>
      <c r="W712" s="3">
        <f>IF(ISNUMBER(AVERAGE('20250815_ETF_Options_Exhibits'!W708:W712)),AVERAGE('20250815_ETF_Options_Exhibits'!W708:W712),"")</f>
        <v/>
      </c>
      <c r="X712" s="3">
        <f>IF(ISNUMBER(AVERAGE('20250815_ETF_Options_Exhibits'!X708:X712)),AVERAGE('20250815_ETF_Options_Exhibits'!X708:X712),"")</f>
        <v/>
      </c>
      <c r="Y712" s="3">
        <f>IF(ISNUMBER(AVERAGE('20250815_ETF_Options_Exhibits'!Y708:Y712)),AVERAGE('20250815_ETF_Options_Exhibits'!Y708:Y712),"")</f>
        <v/>
      </c>
      <c r="Z712" s="3">
        <f>IF(ISNUMBER(AVERAGE('20250815_ETF_Options_Exhibits'!Z708:Z712)),AVERAGE('20250815_ETF_Options_Exhibits'!Z708:Z712),"")</f>
        <v/>
      </c>
      <c r="AA712" s="3">
        <f>IF(ISNUMBER(AVERAGE('20250815_ETF_Options_Exhibits'!AA708:AA712)),AVERAGE('20250815_ETF_Options_Exhibits'!AA708:AA712),"")</f>
        <v/>
      </c>
    </row>
    <row r="713">
      <c r="A713" s="1" t="n">
        <v>43034</v>
      </c>
      <c r="B713" s="3">
        <f>IF(ISNUMBER(AVERAGE('20250815_ETF_Options_Exhibits'!B709:B713)),AVERAGE('20250815_ETF_Options_Exhibits'!B709:B713),"")</f>
        <v/>
      </c>
      <c r="C713" s="3">
        <f>IF(ISNUMBER(AVERAGE('20250815_ETF_Options_Exhibits'!C709:C713)),AVERAGE('20250815_ETF_Options_Exhibits'!C709:C713),"")</f>
        <v/>
      </c>
      <c r="D713" s="3">
        <f>IF(ISNUMBER(AVERAGE('20250815_ETF_Options_Exhibits'!D709:D713)),AVERAGE('20250815_ETF_Options_Exhibits'!D709:D713),"")</f>
        <v/>
      </c>
      <c r="E713" s="3">
        <f>IF(ISNUMBER(AVERAGE('20250815_ETF_Options_Exhibits'!E709:E713)),AVERAGE('20250815_ETF_Options_Exhibits'!E709:E713),"")</f>
        <v/>
      </c>
      <c r="F713" s="3">
        <f>IF(ISNUMBER(AVERAGE('20250815_ETF_Options_Exhibits'!F709:F713)),AVERAGE('20250815_ETF_Options_Exhibits'!F709:F713),"")</f>
        <v/>
      </c>
      <c r="G713" s="3">
        <f>IF(ISNUMBER(AVERAGE('20250815_ETF_Options_Exhibits'!G709:G713)),AVERAGE('20250815_ETF_Options_Exhibits'!G709:G713),"")</f>
        <v/>
      </c>
      <c r="H713" s="3">
        <f>IF(ISNUMBER(AVERAGE('20250815_ETF_Options_Exhibits'!H709:H713)),AVERAGE('20250815_ETF_Options_Exhibits'!H709:H713),"")</f>
        <v/>
      </c>
      <c r="I713" s="3">
        <f>IF(ISNUMBER(AVERAGE('20250815_ETF_Options_Exhibits'!I709:I713)),AVERAGE('20250815_ETF_Options_Exhibits'!I709:I713),"")</f>
        <v/>
      </c>
      <c r="J713" s="3">
        <f>IF(ISNUMBER(AVERAGE('20250815_ETF_Options_Exhibits'!J709:J713)),AVERAGE('20250815_ETF_Options_Exhibits'!J709:J713),"")</f>
        <v/>
      </c>
      <c r="K713" s="3">
        <f>IF(ISNUMBER(AVERAGE('20250815_ETF_Options_Exhibits'!K709:K713)),AVERAGE('20250815_ETF_Options_Exhibits'!K709:K713),"")</f>
        <v/>
      </c>
      <c r="L713" s="3">
        <f>IF(ISNUMBER(AVERAGE('20250815_ETF_Options_Exhibits'!L709:L713)),AVERAGE('20250815_ETF_Options_Exhibits'!L709:L713),"")</f>
        <v/>
      </c>
      <c r="M713" s="3">
        <f>IF(ISNUMBER(AVERAGE('20250815_ETF_Options_Exhibits'!M709:M713)),AVERAGE('20250815_ETF_Options_Exhibits'!M709:M713),"")</f>
        <v/>
      </c>
      <c r="N713" s="3">
        <f>IF(ISNUMBER(AVERAGE('20250815_ETF_Options_Exhibits'!N709:N713)),AVERAGE('20250815_ETF_Options_Exhibits'!N709:N713),"")</f>
        <v/>
      </c>
      <c r="O713" s="3">
        <f>IF(ISNUMBER(AVERAGE('20250815_ETF_Options_Exhibits'!O709:O713)),AVERAGE('20250815_ETF_Options_Exhibits'!O709:O713),"")</f>
        <v/>
      </c>
      <c r="P713" s="3">
        <f>IF(ISNUMBER(AVERAGE('20250815_ETF_Options_Exhibits'!P709:P713)),AVERAGE('20250815_ETF_Options_Exhibits'!P709:P713),"")</f>
        <v/>
      </c>
      <c r="Q713" s="3">
        <f>IF(ISNUMBER(AVERAGE('20250815_ETF_Options_Exhibits'!Q709:Q713)),AVERAGE('20250815_ETF_Options_Exhibits'!Q709:Q713),"")</f>
        <v/>
      </c>
      <c r="R713" s="3">
        <f>IF(ISNUMBER(AVERAGE('20250815_ETF_Options_Exhibits'!R709:R713)),AVERAGE('20250815_ETF_Options_Exhibits'!R709:R713),"")</f>
        <v/>
      </c>
      <c r="S713" s="3">
        <f>IF(ISNUMBER(AVERAGE('20250815_ETF_Options_Exhibits'!S709:S713)),AVERAGE('20250815_ETF_Options_Exhibits'!S709:S713),"")</f>
        <v/>
      </c>
      <c r="T713" s="3">
        <f>IF(ISNUMBER(AVERAGE('20250815_ETF_Options_Exhibits'!T709:T713)),AVERAGE('20250815_ETF_Options_Exhibits'!T709:T713),"")</f>
        <v/>
      </c>
      <c r="U713" s="3">
        <f>IF(ISNUMBER(AVERAGE('20250815_ETF_Options_Exhibits'!U709:U713)),AVERAGE('20250815_ETF_Options_Exhibits'!U709:U713),"")</f>
        <v/>
      </c>
      <c r="V713" s="3">
        <f>IF(ISNUMBER(AVERAGE('20250815_ETF_Options_Exhibits'!V709:V713)),AVERAGE('20250815_ETF_Options_Exhibits'!V709:V713),"")</f>
        <v/>
      </c>
      <c r="W713" s="3">
        <f>IF(ISNUMBER(AVERAGE('20250815_ETF_Options_Exhibits'!W709:W713)),AVERAGE('20250815_ETF_Options_Exhibits'!W709:W713),"")</f>
        <v/>
      </c>
      <c r="X713" s="3">
        <f>IF(ISNUMBER(AVERAGE('20250815_ETF_Options_Exhibits'!X709:X713)),AVERAGE('20250815_ETF_Options_Exhibits'!X709:X713),"")</f>
        <v/>
      </c>
      <c r="Y713" s="3">
        <f>IF(ISNUMBER(AVERAGE('20250815_ETF_Options_Exhibits'!Y709:Y713)),AVERAGE('20250815_ETF_Options_Exhibits'!Y709:Y713),"")</f>
        <v/>
      </c>
      <c r="Z713" s="3">
        <f>IF(ISNUMBER(AVERAGE('20250815_ETF_Options_Exhibits'!Z709:Z713)),AVERAGE('20250815_ETF_Options_Exhibits'!Z709:Z713),"")</f>
        <v/>
      </c>
      <c r="AA713" s="3">
        <f>IF(ISNUMBER(AVERAGE('20250815_ETF_Options_Exhibits'!AA709:AA713)),AVERAGE('20250815_ETF_Options_Exhibits'!AA709:AA713),"")</f>
        <v/>
      </c>
    </row>
    <row r="714">
      <c r="A714" s="1" t="n">
        <v>43035</v>
      </c>
      <c r="B714" s="3">
        <f>IF(ISNUMBER(AVERAGE('20250815_ETF_Options_Exhibits'!B710:B714)),AVERAGE('20250815_ETF_Options_Exhibits'!B710:B714),"")</f>
        <v/>
      </c>
      <c r="C714" s="3">
        <f>IF(ISNUMBER(AVERAGE('20250815_ETF_Options_Exhibits'!C710:C714)),AVERAGE('20250815_ETF_Options_Exhibits'!C710:C714),"")</f>
        <v/>
      </c>
      <c r="D714" s="3">
        <f>IF(ISNUMBER(AVERAGE('20250815_ETF_Options_Exhibits'!D710:D714)),AVERAGE('20250815_ETF_Options_Exhibits'!D710:D714),"")</f>
        <v/>
      </c>
      <c r="E714" s="3">
        <f>IF(ISNUMBER(AVERAGE('20250815_ETF_Options_Exhibits'!E710:E714)),AVERAGE('20250815_ETF_Options_Exhibits'!E710:E714),"")</f>
        <v/>
      </c>
      <c r="F714" s="3">
        <f>IF(ISNUMBER(AVERAGE('20250815_ETF_Options_Exhibits'!F710:F714)),AVERAGE('20250815_ETF_Options_Exhibits'!F710:F714),"")</f>
        <v/>
      </c>
      <c r="G714" s="3">
        <f>IF(ISNUMBER(AVERAGE('20250815_ETF_Options_Exhibits'!G710:G714)),AVERAGE('20250815_ETF_Options_Exhibits'!G710:G714),"")</f>
        <v/>
      </c>
      <c r="H714" s="3">
        <f>IF(ISNUMBER(AVERAGE('20250815_ETF_Options_Exhibits'!H710:H714)),AVERAGE('20250815_ETF_Options_Exhibits'!H710:H714),"")</f>
        <v/>
      </c>
      <c r="I714" s="3">
        <f>IF(ISNUMBER(AVERAGE('20250815_ETF_Options_Exhibits'!I710:I714)),AVERAGE('20250815_ETF_Options_Exhibits'!I710:I714),"")</f>
        <v/>
      </c>
      <c r="J714" s="3">
        <f>IF(ISNUMBER(AVERAGE('20250815_ETF_Options_Exhibits'!J710:J714)),AVERAGE('20250815_ETF_Options_Exhibits'!J710:J714),"")</f>
        <v/>
      </c>
      <c r="K714" s="3">
        <f>IF(ISNUMBER(AVERAGE('20250815_ETF_Options_Exhibits'!K710:K714)),AVERAGE('20250815_ETF_Options_Exhibits'!K710:K714),"")</f>
        <v/>
      </c>
      <c r="L714" s="3">
        <f>IF(ISNUMBER(AVERAGE('20250815_ETF_Options_Exhibits'!L710:L714)),AVERAGE('20250815_ETF_Options_Exhibits'!L710:L714),"")</f>
        <v/>
      </c>
      <c r="M714" s="3">
        <f>IF(ISNUMBER(AVERAGE('20250815_ETF_Options_Exhibits'!M710:M714)),AVERAGE('20250815_ETF_Options_Exhibits'!M710:M714),"")</f>
        <v/>
      </c>
      <c r="N714" s="3">
        <f>IF(ISNUMBER(AVERAGE('20250815_ETF_Options_Exhibits'!N710:N714)),AVERAGE('20250815_ETF_Options_Exhibits'!N710:N714),"")</f>
        <v/>
      </c>
      <c r="O714" s="3">
        <f>IF(ISNUMBER(AVERAGE('20250815_ETF_Options_Exhibits'!O710:O714)),AVERAGE('20250815_ETF_Options_Exhibits'!O710:O714),"")</f>
        <v/>
      </c>
      <c r="P714" s="3">
        <f>IF(ISNUMBER(AVERAGE('20250815_ETF_Options_Exhibits'!P710:P714)),AVERAGE('20250815_ETF_Options_Exhibits'!P710:P714),"")</f>
        <v/>
      </c>
      <c r="Q714" s="3">
        <f>IF(ISNUMBER(AVERAGE('20250815_ETF_Options_Exhibits'!Q710:Q714)),AVERAGE('20250815_ETF_Options_Exhibits'!Q710:Q714),"")</f>
        <v/>
      </c>
      <c r="R714" s="3">
        <f>IF(ISNUMBER(AVERAGE('20250815_ETF_Options_Exhibits'!R710:R714)),AVERAGE('20250815_ETF_Options_Exhibits'!R710:R714),"")</f>
        <v/>
      </c>
      <c r="S714" s="3">
        <f>IF(ISNUMBER(AVERAGE('20250815_ETF_Options_Exhibits'!S710:S714)),AVERAGE('20250815_ETF_Options_Exhibits'!S710:S714),"")</f>
        <v/>
      </c>
      <c r="T714" s="3">
        <f>IF(ISNUMBER(AVERAGE('20250815_ETF_Options_Exhibits'!T710:T714)),AVERAGE('20250815_ETF_Options_Exhibits'!T710:T714),"")</f>
        <v/>
      </c>
      <c r="U714" s="3">
        <f>IF(ISNUMBER(AVERAGE('20250815_ETF_Options_Exhibits'!U710:U714)),AVERAGE('20250815_ETF_Options_Exhibits'!U710:U714),"")</f>
        <v/>
      </c>
      <c r="V714" s="3">
        <f>IF(ISNUMBER(AVERAGE('20250815_ETF_Options_Exhibits'!V710:V714)),AVERAGE('20250815_ETF_Options_Exhibits'!V710:V714),"")</f>
        <v/>
      </c>
      <c r="W714" s="3">
        <f>IF(ISNUMBER(AVERAGE('20250815_ETF_Options_Exhibits'!W710:W714)),AVERAGE('20250815_ETF_Options_Exhibits'!W710:W714),"")</f>
        <v/>
      </c>
      <c r="X714" s="3">
        <f>IF(ISNUMBER(AVERAGE('20250815_ETF_Options_Exhibits'!X710:X714)),AVERAGE('20250815_ETF_Options_Exhibits'!X710:X714),"")</f>
        <v/>
      </c>
      <c r="Y714" s="3">
        <f>IF(ISNUMBER(AVERAGE('20250815_ETF_Options_Exhibits'!Y710:Y714)),AVERAGE('20250815_ETF_Options_Exhibits'!Y710:Y714),"")</f>
        <v/>
      </c>
      <c r="Z714" s="3">
        <f>IF(ISNUMBER(AVERAGE('20250815_ETF_Options_Exhibits'!Z710:Z714)),AVERAGE('20250815_ETF_Options_Exhibits'!Z710:Z714),"")</f>
        <v/>
      </c>
      <c r="AA714" s="3">
        <f>IF(ISNUMBER(AVERAGE('20250815_ETF_Options_Exhibits'!AA710:AA714)),AVERAGE('20250815_ETF_Options_Exhibits'!AA710:AA714),"")</f>
        <v/>
      </c>
    </row>
    <row r="715">
      <c r="A715" s="1" t="n">
        <v>43038</v>
      </c>
      <c r="B715" s="3">
        <f>IF(ISNUMBER(AVERAGE('20250815_ETF_Options_Exhibits'!B711:B715)),AVERAGE('20250815_ETF_Options_Exhibits'!B711:B715),"")</f>
        <v/>
      </c>
      <c r="C715" s="3">
        <f>IF(ISNUMBER(AVERAGE('20250815_ETF_Options_Exhibits'!C711:C715)),AVERAGE('20250815_ETF_Options_Exhibits'!C711:C715),"")</f>
        <v/>
      </c>
      <c r="D715" s="3">
        <f>IF(ISNUMBER(AVERAGE('20250815_ETF_Options_Exhibits'!D711:D715)),AVERAGE('20250815_ETF_Options_Exhibits'!D711:D715),"")</f>
        <v/>
      </c>
      <c r="E715" s="3">
        <f>IF(ISNUMBER(AVERAGE('20250815_ETF_Options_Exhibits'!E711:E715)),AVERAGE('20250815_ETF_Options_Exhibits'!E711:E715),"")</f>
        <v/>
      </c>
      <c r="F715" s="3">
        <f>IF(ISNUMBER(AVERAGE('20250815_ETF_Options_Exhibits'!F711:F715)),AVERAGE('20250815_ETF_Options_Exhibits'!F711:F715),"")</f>
        <v/>
      </c>
      <c r="G715" s="3">
        <f>IF(ISNUMBER(AVERAGE('20250815_ETF_Options_Exhibits'!G711:G715)),AVERAGE('20250815_ETF_Options_Exhibits'!G711:G715),"")</f>
        <v/>
      </c>
      <c r="H715" s="3">
        <f>IF(ISNUMBER(AVERAGE('20250815_ETF_Options_Exhibits'!H711:H715)),AVERAGE('20250815_ETF_Options_Exhibits'!H711:H715),"")</f>
        <v/>
      </c>
      <c r="I715" s="3">
        <f>IF(ISNUMBER(AVERAGE('20250815_ETF_Options_Exhibits'!I711:I715)),AVERAGE('20250815_ETF_Options_Exhibits'!I711:I715),"")</f>
        <v/>
      </c>
      <c r="J715" s="3">
        <f>IF(ISNUMBER(AVERAGE('20250815_ETF_Options_Exhibits'!J711:J715)),AVERAGE('20250815_ETF_Options_Exhibits'!J711:J715),"")</f>
        <v/>
      </c>
      <c r="K715" s="3">
        <f>IF(ISNUMBER(AVERAGE('20250815_ETF_Options_Exhibits'!K711:K715)),AVERAGE('20250815_ETF_Options_Exhibits'!K711:K715),"")</f>
        <v/>
      </c>
      <c r="L715" s="3">
        <f>IF(ISNUMBER(AVERAGE('20250815_ETF_Options_Exhibits'!L711:L715)),AVERAGE('20250815_ETF_Options_Exhibits'!L711:L715),"")</f>
        <v/>
      </c>
      <c r="M715" s="3">
        <f>IF(ISNUMBER(AVERAGE('20250815_ETF_Options_Exhibits'!M711:M715)),AVERAGE('20250815_ETF_Options_Exhibits'!M711:M715),"")</f>
        <v/>
      </c>
      <c r="N715" s="3">
        <f>IF(ISNUMBER(AVERAGE('20250815_ETF_Options_Exhibits'!N711:N715)),AVERAGE('20250815_ETF_Options_Exhibits'!N711:N715),"")</f>
        <v/>
      </c>
      <c r="O715" s="3">
        <f>IF(ISNUMBER(AVERAGE('20250815_ETF_Options_Exhibits'!O711:O715)),AVERAGE('20250815_ETF_Options_Exhibits'!O711:O715),"")</f>
        <v/>
      </c>
      <c r="P715" s="3">
        <f>IF(ISNUMBER(AVERAGE('20250815_ETF_Options_Exhibits'!P711:P715)),AVERAGE('20250815_ETF_Options_Exhibits'!P711:P715),"")</f>
        <v/>
      </c>
      <c r="Q715" s="3">
        <f>IF(ISNUMBER(AVERAGE('20250815_ETF_Options_Exhibits'!Q711:Q715)),AVERAGE('20250815_ETF_Options_Exhibits'!Q711:Q715),"")</f>
        <v/>
      </c>
      <c r="R715" s="3">
        <f>IF(ISNUMBER(AVERAGE('20250815_ETF_Options_Exhibits'!R711:R715)),AVERAGE('20250815_ETF_Options_Exhibits'!R711:R715),"")</f>
        <v/>
      </c>
      <c r="S715" s="3">
        <f>IF(ISNUMBER(AVERAGE('20250815_ETF_Options_Exhibits'!S711:S715)),AVERAGE('20250815_ETF_Options_Exhibits'!S711:S715),"")</f>
        <v/>
      </c>
      <c r="T715" s="3">
        <f>IF(ISNUMBER(AVERAGE('20250815_ETF_Options_Exhibits'!T711:T715)),AVERAGE('20250815_ETF_Options_Exhibits'!T711:T715),"")</f>
        <v/>
      </c>
      <c r="U715" s="3">
        <f>IF(ISNUMBER(AVERAGE('20250815_ETF_Options_Exhibits'!U711:U715)),AVERAGE('20250815_ETF_Options_Exhibits'!U711:U715),"")</f>
        <v/>
      </c>
      <c r="V715" s="3">
        <f>IF(ISNUMBER(AVERAGE('20250815_ETF_Options_Exhibits'!V711:V715)),AVERAGE('20250815_ETF_Options_Exhibits'!V711:V715),"")</f>
        <v/>
      </c>
      <c r="W715" s="3">
        <f>IF(ISNUMBER(AVERAGE('20250815_ETF_Options_Exhibits'!W711:W715)),AVERAGE('20250815_ETF_Options_Exhibits'!W711:W715),"")</f>
        <v/>
      </c>
      <c r="X715" s="3">
        <f>IF(ISNUMBER(AVERAGE('20250815_ETF_Options_Exhibits'!X711:X715)),AVERAGE('20250815_ETF_Options_Exhibits'!X711:X715),"")</f>
        <v/>
      </c>
      <c r="Y715" s="3">
        <f>IF(ISNUMBER(AVERAGE('20250815_ETF_Options_Exhibits'!Y711:Y715)),AVERAGE('20250815_ETF_Options_Exhibits'!Y711:Y715),"")</f>
        <v/>
      </c>
      <c r="Z715" s="3">
        <f>IF(ISNUMBER(AVERAGE('20250815_ETF_Options_Exhibits'!Z711:Z715)),AVERAGE('20250815_ETF_Options_Exhibits'!Z711:Z715),"")</f>
        <v/>
      </c>
      <c r="AA715" s="3">
        <f>IF(ISNUMBER(AVERAGE('20250815_ETF_Options_Exhibits'!AA711:AA715)),AVERAGE('20250815_ETF_Options_Exhibits'!AA711:AA715),"")</f>
        <v/>
      </c>
    </row>
    <row r="716">
      <c r="A716" s="1" t="n">
        <v>43039</v>
      </c>
      <c r="B716" s="3">
        <f>IF(ISNUMBER(AVERAGE('20250815_ETF_Options_Exhibits'!B712:B716)),AVERAGE('20250815_ETF_Options_Exhibits'!B712:B716),"")</f>
        <v/>
      </c>
      <c r="C716" s="3">
        <f>IF(ISNUMBER(AVERAGE('20250815_ETF_Options_Exhibits'!C712:C716)),AVERAGE('20250815_ETF_Options_Exhibits'!C712:C716),"")</f>
        <v/>
      </c>
      <c r="D716" s="3">
        <f>IF(ISNUMBER(AVERAGE('20250815_ETF_Options_Exhibits'!D712:D716)),AVERAGE('20250815_ETF_Options_Exhibits'!D712:D716),"")</f>
        <v/>
      </c>
      <c r="E716" s="3">
        <f>IF(ISNUMBER(AVERAGE('20250815_ETF_Options_Exhibits'!E712:E716)),AVERAGE('20250815_ETF_Options_Exhibits'!E712:E716),"")</f>
        <v/>
      </c>
      <c r="F716" s="3">
        <f>IF(ISNUMBER(AVERAGE('20250815_ETF_Options_Exhibits'!F712:F716)),AVERAGE('20250815_ETF_Options_Exhibits'!F712:F716),"")</f>
        <v/>
      </c>
      <c r="G716" s="3">
        <f>IF(ISNUMBER(AVERAGE('20250815_ETF_Options_Exhibits'!G712:G716)),AVERAGE('20250815_ETF_Options_Exhibits'!G712:G716),"")</f>
        <v/>
      </c>
      <c r="H716" s="3">
        <f>IF(ISNUMBER(AVERAGE('20250815_ETF_Options_Exhibits'!H712:H716)),AVERAGE('20250815_ETF_Options_Exhibits'!H712:H716),"")</f>
        <v/>
      </c>
      <c r="I716" s="3">
        <f>IF(ISNUMBER(AVERAGE('20250815_ETF_Options_Exhibits'!I712:I716)),AVERAGE('20250815_ETF_Options_Exhibits'!I712:I716),"")</f>
        <v/>
      </c>
      <c r="J716" s="3">
        <f>IF(ISNUMBER(AVERAGE('20250815_ETF_Options_Exhibits'!J712:J716)),AVERAGE('20250815_ETF_Options_Exhibits'!J712:J716),"")</f>
        <v/>
      </c>
      <c r="K716" s="3">
        <f>IF(ISNUMBER(AVERAGE('20250815_ETF_Options_Exhibits'!K712:K716)),AVERAGE('20250815_ETF_Options_Exhibits'!K712:K716),"")</f>
        <v/>
      </c>
      <c r="L716" s="3">
        <f>IF(ISNUMBER(AVERAGE('20250815_ETF_Options_Exhibits'!L712:L716)),AVERAGE('20250815_ETF_Options_Exhibits'!L712:L716),"")</f>
        <v/>
      </c>
      <c r="M716" s="3">
        <f>IF(ISNUMBER(AVERAGE('20250815_ETF_Options_Exhibits'!M712:M716)),AVERAGE('20250815_ETF_Options_Exhibits'!M712:M716),"")</f>
        <v/>
      </c>
      <c r="N716" s="3">
        <f>IF(ISNUMBER(AVERAGE('20250815_ETF_Options_Exhibits'!N712:N716)),AVERAGE('20250815_ETF_Options_Exhibits'!N712:N716),"")</f>
        <v/>
      </c>
      <c r="O716" s="3">
        <f>IF(ISNUMBER(AVERAGE('20250815_ETF_Options_Exhibits'!O712:O716)),AVERAGE('20250815_ETF_Options_Exhibits'!O712:O716),"")</f>
        <v/>
      </c>
      <c r="P716" s="3">
        <f>IF(ISNUMBER(AVERAGE('20250815_ETF_Options_Exhibits'!P712:P716)),AVERAGE('20250815_ETF_Options_Exhibits'!P712:P716),"")</f>
        <v/>
      </c>
      <c r="Q716" s="3">
        <f>IF(ISNUMBER(AVERAGE('20250815_ETF_Options_Exhibits'!Q712:Q716)),AVERAGE('20250815_ETF_Options_Exhibits'!Q712:Q716),"")</f>
        <v/>
      </c>
      <c r="R716" s="3">
        <f>IF(ISNUMBER(AVERAGE('20250815_ETF_Options_Exhibits'!R712:R716)),AVERAGE('20250815_ETF_Options_Exhibits'!R712:R716),"")</f>
        <v/>
      </c>
      <c r="S716" s="3">
        <f>IF(ISNUMBER(AVERAGE('20250815_ETF_Options_Exhibits'!S712:S716)),AVERAGE('20250815_ETF_Options_Exhibits'!S712:S716),"")</f>
        <v/>
      </c>
      <c r="T716" s="3">
        <f>IF(ISNUMBER(AVERAGE('20250815_ETF_Options_Exhibits'!T712:T716)),AVERAGE('20250815_ETF_Options_Exhibits'!T712:T716),"")</f>
        <v/>
      </c>
      <c r="U716" s="3">
        <f>IF(ISNUMBER(AVERAGE('20250815_ETF_Options_Exhibits'!U712:U716)),AVERAGE('20250815_ETF_Options_Exhibits'!U712:U716),"")</f>
        <v/>
      </c>
      <c r="V716" s="3">
        <f>IF(ISNUMBER(AVERAGE('20250815_ETF_Options_Exhibits'!V712:V716)),AVERAGE('20250815_ETF_Options_Exhibits'!V712:V716),"")</f>
        <v/>
      </c>
      <c r="W716" s="3">
        <f>IF(ISNUMBER(AVERAGE('20250815_ETF_Options_Exhibits'!W712:W716)),AVERAGE('20250815_ETF_Options_Exhibits'!W712:W716),"")</f>
        <v/>
      </c>
      <c r="X716" s="3">
        <f>IF(ISNUMBER(AVERAGE('20250815_ETF_Options_Exhibits'!X712:X716)),AVERAGE('20250815_ETF_Options_Exhibits'!X712:X716),"")</f>
        <v/>
      </c>
      <c r="Y716" s="3">
        <f>IF(ISNUMBER(AVERAGE('20250815_ETF_Options_Exhibits'!Y712:Y716)),AVERAGE('20250815_ETF_Options_Exhibits'!Y712:Y716),"")</f>
        <v/>
      </c>
      <c r="Z716" s="3">
        <f>IF(ISNUMBER(AVERAGE('20250815_ETF_Options_Exhibits'!Z712:Z716)),AVERAGE('20250815_ETF_Options_Exhibits'!Z712:Z716),"")</f>
        <v/>
      </c>
      <c r="AA716" s="3">
        <f>IF(ISNUMBER(AVERAGE('20250815_ETF_Options_Exhibits'!AA712:AA716)),AVERAGE('20250815_ETF_Options_Exhibits'!AA712:AA716),"")</f>
        <v/>
      </c>
    </row>
    <row r="717">
      <c r="A717" s="1" t="n">
        <v>43040</v>
      </c>
      <c r="B717" s="3">
        <f>IF(ISNUMBER(AVERAGE('20250815_ETF_Options_Exhibits'!B713:B717)),AVERAGE('20250815_ETF_Options_Exhibits'!B713:B717),"")</f>
        <v/>
      </c>
      <c r="C717" s="3">
        <f>IF(ISNUMBER(AVERAGE('20250815_ETF_Options_Exhibits'!C713:C717)),AVERAGE('20250815_ETF_Options_Exhibits'!C713:C717),"")</f>
        <v/>
      </c>
      <c r="D717" s="3">
        <f>IF(ISNUMBER(AVERAGE('20250815_ETF_Options_Exhibits'!D713:D717)),AVERAGE('20250815_ETF_Options_Exhibits'!D713:D717),"")</f>
        <v/>
      </c>
      <c r="E717" s="3">
        <f>IF(ISNUMBER(AVERAGE('20250815_ETF_Options_Exhibits'!E713:E717)),AVERAGE('20250815_ETF_Options_Exhibits'!E713:E717),"")</f>
        <v/>
      </c>
      <c r="F717" s="3">
        <f>IF(ISNUMBER(AVERAGE('20250815_ETF_Options_Exhibits'!F713:F717)),AVERAGE('20250815_ETF_Options_Exhibits'!F713:F717),"")</f>
        <v/>
      </c>
      <c r="G717" s="3">
        <f>IF(ISNUMBER(AVERAGE('20250815_ETF_Options_Exhibits'!G713:G717)),AVERAGE('20250815_ETF_Options_Exhibits'!G713:G717),"")</f>
        <v/>
      </c>
      <c r="H717" s="3">
        <f>IF(ISNUMBER(AVERAGE('20250815_ETF_Options_Exhibits'!H713:H717)),AVERAGE('20250815_ETF_Options_Exhibits'!H713:H717),"")</f>
        <v/>
      </c>
      <c r="I717" s="3">
        <f>IF(ISNUMBER(AVERAGE('20250815_ETF_Options_Exhibits'!I713:I717)),AVERAGE('20250815_ETF_Options_Exhibits'!I713:I717),"")</f>
        <v/>
      </c>
      <c r="J717" s="3">
        <f>IF(ISNUMBER(AVERAGE('20250815_ETF_Options_Exhibits'!J713:J717)),AVERAGE('20250815_ETF_Options_Exhibits'!J713:J717),"")</f>
        <v/>
      </c>
      <c r="K717" s="3">
        <f>IF(ISNUMBER(AVERAGE('20250815_ETF_Options_Exhibits'!K713:K717)),AVERAGE('20250815_ETF_Options_Exhibits'!K713:K717),"")</f>
        <v/>
      </c>
      <c r="L717" s="3">
        <f>IF(ISNUMBER(AVERAGE('20250815_ETF_Options_Exhibits'!L713:L717)),AVERAGE('20250815_ETF_Options_Exhibits'!L713:L717),"")</f>
        <v/>
      </c>
      <c r="M717" s="3">
        <f>IF(ISNUMBER(AVERAGE('20250815_ETF_Options_Exhibits'!M713:M717)),AVERAGE('20250815_ETF_Options_Exhibits'!M713:M717),"")</f>
        <v/>
      </c>
      <c r="N717" s="3">
        <f>IF(ISNUMBER(AVERAGE('20250815_ETF_Options_Exhibits'!N713:N717)),AVERAGE('20250815_ETF_Options_Exhibits'!N713:N717),"")</f>
        <v/>
      </c>
      <c r="O717" s="3">
        <f>IF(ISNUMBER(AVERAGE('20250815_ETF_Options_Exhibits'!O713:O717)),AVERAGE('20250815_ETF_Options_Exhibits'!O713:O717),"")</f>
        <v/>
      </c>
      <c r="P717" s="3">
        <f>IF(ISNUMBER(AVERAGE('20250815_ETF_Options_Exhibits'!P713:P717)),AVERAGE('20250815_ETF_Options_Exhibits'!P713:P717),"")</f>
        <v/>
      </c>
      <c r="Q717" s="3">
        <f>IF(ISNUMBER(AVERAGE('20250815_ETF_Options_Exhibits'!Q713:Q717)),AVERAGE('20250815_ETF_Options_Exhibits'!Q713:Q717),"")</f>
        <v/>
      </c>
      <c r="R717" s="3">
        <f>IF(ISNUMBER(AVERAGE('20250815_ETF_Options_Exhibits'!R713:R717)),AVERAGE('20250815_ETF_Options_Exhibits'!R713:R717),"")</f>
        <v/>
      </c>
      <c r="S717" s="3">
        <f>IF(ISNUMBER(AVERAGE('20250815_ETF_Options_Exhibits'!S713:S717)),AVERAGE('20250815_ETF_Options_Exhibits'!S713:S717),"")</f>
        <v/>
      </c>
      <c r="T717" s="3">
        <f>IF(ISNUMBER(AVERAGE('20250815_ETF_Options_Exhibits'!T713:T717)),AVERAGE('20250815_ETF_Options_Exhibits'!T713:T717),"")</f>
        <v/>
      </c>
      <c r="U717" s="3">
        <f>IF(ISNUMBER(AVERAGE('20250815_ETF_Options_Exhibits'!U713:U717)),AVERAGE('20250815_ETF_Options_Exhibits'!U713:U717),"")</f>
        <v/>
      </c>
      <c r="V717" s="3">
        <f>IF(ISNUMBER(AVERAGE('20250815_ETF_Options_Exhibits'!V713:V717)),AVERAGE('20250815_ETF_Options_Exhibits'!V713:V717),"")</f>
        <v/>
      </c>
      <c r="W717" s="3">
        <f>IF(ISNUMBER(AVERAGE('20250815_ETF_Options_Exhibits'!W713:W717)),AVERAGE('20250815_ETF_Options_Exhibits'!W713:W717),"")</f>
        <v/>
      </c>
      <c r="X717" s="3">
        <f>IF(ISNUMBER(AVERAGE('20250815_ETF_Options_Exhibits'!X713:X717)),AVERAGE('20250815_ETF_Options_Exhibits'!X713:X717),"")</f>
        <v/>
      </c>
      <c r="Y717" s="3">
        <f>IF(ISNUMBER(AVERAGE('20250815_ETF_Options_Exhibits'!Y713:Y717)),AVERAGE('20250815_ETF_Options_Exhibits'!Y713:Y717),"")</f>
        <v/>
      </c>
      <c r="Z717" s="3">
        <f>IF(ISNUMBER(AVERAGE('20250815_ETF_Options_Exhibits'!Z713:Z717)),AVERAGE('20250815_ETF_Options_Exhibits'!Z713:Z717),"")</f>
        <v/>
      </c>
      <c r="AA717" s="3">
        <f>IF(ISNUMBER(AVERAGE('20250815_ETF_Options_Exhibits'!AA713:AA717)),AVERAGE('20250815_ETF_Options_Exhibits'!AA713:AA717),"")</f>
        <v/>
      </c>
    </row>
    <row r="718">
      <c r="A718" s="1" t="n">
        <v>43041</v>
      </c>
      <c r="B718" s="3">
        <f>IF(ISNUMBER(AVERAGE('20250815_ETF_Options_Exhibits'!B714:B718)),AVERAGE('20250815_ETF_Options_Exhibits'!B714:B718),"")</f>
        <v/>
      </c>
      <c r="C718" s="3">
        <f>IF(ISNUMBER(AVERAGE('20250815_ETF_Options_Exhibits'!C714:C718)),AVERAGE('20250815_ETF_Options_Exhibits'!C714:C718),"")</f>
        <v/>
      </c>
      <c r="D718" s="3">
        <f>IF(ISNUMBER(AVERAGE('20250815_ETF_Options_Exhibits'!D714:D718)),AVERAGE('20250815_ETF_Options_Exhibits'!D714:D718),"")</f>
        <v/>
      </c>
      <c r="E718" s="3">
        <f>IF(ISNUMBER(AVERAGE('20250815_ETF_Options_Exhibits'!E714:E718)),AVERAGE('20250815_ETF_Options_Exhibits'!E714:E718),"")</f>
        <v/>
      </c>
      <c r="F718" s="3">
        <f>IF(ISNUMBER(AVERAGE('20250815_ETF_Options_Exhibits'!F714:F718)),AVERAGE('20250815_ETF_Options_Exhibits'!F714:F718),"")</f>
        <v/>
      </c>
      <c r="G718" s="3">
        <f>IF(ISNUMBER(AVERAGE('20250815_ETF_Options_Exhibits'!G714:G718)),AVERAGE('20250815_ETF_Options_Exhibits'!G714:G718),"")</f>
        <v/>
      </c>
      <c r="H718" s="3">
        <f>IF(ISNUMBER(AVERAGE('20250815_ETF_Options_Exhibits'!H714:H718)),AVERAGE('20250815_ETF_Options_Exhibits'!H714:H718),"")</f>
        <v/>
      </c>
      <c r="I718" s="3">
        <f>IF(ISNUMBER(AVERAGE('20250815_ETF_Options_Exhibits'!I714:I718)),AVERAGE('20250815_ETF_Options_Exhibits'!I714:I718),"")</f>
        <v/>
      </c>
      <c r="J718" s="3">
        <f>IF(ISNUMBER(AVERAGE('20250815_ETF_Options_Exhibits'!J714:J718)),AVERAGE('20250815_ETF_Options_Exhibits'!J714:J718),"")</f>
        <v/>
      </c>
      <c r="K718" s="3">
        <f>IF(ISNUMBER(AVERAGE('20250815_ETF_Options_Exhibits'!K714:K718)),AVERAGE('20250815_ETF_Options_Exhibits'!K714:K718),"")</f>
        <v/>
      </c>
      <c r="L718" s="3">
        <f>IF(ISNUMBER(AVERAGE('20250815_ETF_Options_Exhibits'!L714:L718)),AVERAGE('20250815_ETF_Options_Exhibits'!L714:L718),"")</f>
        <v/>
      </c>
      <c r="M718" s="3">
        <f>IF(ISNUMBER(AVERAGE('20250815_ETF_Options_Exhibits'!M714:M718)),AVERAGE('20250815_ETF_Options_Exhibits'!M714:M718),"")</f>
        <v/>
      </c>
      <c r="N718" s="3">
        <f>IF(ISNUMBER(AVERAGE('20250815_ETF_Options_Exhibits'!N714:N718)),AVERAGE('20250815_ETF_Options_Exhibits'!N714:N718),"")</f>
        <v/>
      </c>
      <c r="O718" s="3">
        <f>IF(ISNUMBER(AVERAGE('20250815_ETF_Options_Exhibits'!O714:O718)),AVERAGE('20250815_ETF_Options_Exhibits'!O714:O718),"")</f>
        <v/>
      </c>
      <c r="P718" s="3">
        <f>IF(ISNUMBER(AVERAGE('20250815_ETF_Options_Exhibits'!P714:P718)),AVERAGE('20250815_ETF_Options_Exhibits'!P714:P718),"")</f>
        <v/>
      </c>
      <c r="Q718" s="3">
        <f>IF(ISNUMBER(AVERAGE('20250815_ETF_Options_Exhibits'!Q714:Q718)),AVERAGE('20250815_ETF_Options_Exhibits'!Q714:Q718),"")</f>
        <v/>
      </c>
      <c r="R718" s="3">
        <f>IF(ISNUMBER(AVERAGE('20250815_ETF_Options_Exhibits'!R714:R718)),AVERAGE('20250815_ETF_Options_Exhibits'!R714:R718),"")</f>
        <v/>
      </c>
      <c r="S718" s="3">
        <f>IF(ISNUMBER(AVERAGE('20250815_ETF_Options_Exhibits'!S714:S718)),AVERAGE('20250815_ETF_Options_Exhibits'!S714:S718),"")</f>
        <v/>
      </c>
      <c r="T718" s="3">
        <f>IF(ISNUMBER(AVERAGE('20250815_ETF_Options_Exhibits'!T714:T718)),AVERAGE('20250815_ETF_Options_Exhibits'!T714:T718),"")</f>
        <v/>
      </c>
      <c r="U718" s="3">
        <f>IF(ISNUMBER(AVERAGE('20250815_ETF_Options_Exhibits'!U714:U718)),AVERAGE('20250815_ETF_Options_Exhibits'!U714:U718),"")</f>
        <v/>
      </c>
      <c r="V718" s="3">
        <f>IF(ISNUMBER(AVERAGE('20250815_ETF_Options_Exhibits'!V714:V718)),AVERAGE('20250815_ETF_Options_Exhibits'!V714:V718),"")</f>
        <v/>
      </c>
      <c r="W718" s="3">
        <f>IF(ISNUMBER(AVERAGE('20250815_ETF_Options_Exhibits'!W714:W718)),AVERAGE('20250815_ETF_Options_Exhibits'!W714:W718),"")</f>
        <v/>
      </c>
      <c r="X718" s="3">
        <f>IF(ISNUMBER(AVERAGE('20250815_ETF_Options_Exhibits'!X714:X718)),AVERAGE('20250815_ETF_Options_Exhibits'!X714:X718),"")</f>
        <v/>
      </c>
      <c r="Y718" s="3">
        <f>IF(ISNUMBER(AVERAGE('20250815_ETF_Options_Exhibits'!Y714:Y718)),AVERAGE('20250815_ETF_Options_Exhibits'!Y714:Y718),"")</f>
        <v/>
      </c>
      <c r="Z718" s="3">
        <f>IF(ISNUMBER(AVERAGE('20250815_ETF_Options_Exhibits'!Z714:Z718)),AVERAGE('20250815_ETF_Options_Exhibits'!Z714:Z718),"")</f>
        <v/>
      </c>
      <c r="AA718" s="3">
        <f>IF(ISNUMBER(AVERAGE('20250815_ETF_Options_Exhibits'!AA714:AA718)),AVERAGE('20250815_ETF_Options_Exhibits'!AA714:AA718),"")</f>
        <v/>
      </c>
    </row>
    <row r="719">
      <c r="A719" s="1" t="n">
        <v>43042</v>
      </c>
      <c r="B719" s="3">
        <f>IF(ISNUMBER(AVERAGE('20250815_ETF_Options_Exhibits'!B715:B719)),AVERAGE('20250815_ETF_Options_Exhibits'!B715:B719),"")</f>
        <v/>
      </c>
      <c r="C719" s="3">
        <f>IF(ISNUMBER(AVERAGE('20250815_ETF_Options_Exhibits'!C715:C719)),AVERAGE('20250815_ETF_Options_Exhibits'!C715:C719),"")</f>
        <v/>
      </c>
      <c r="D719" s="3">
        <f>IF(ISNUMBER(AVERAGE('20250815_ETF_Options_Exhibits'!D715:D719)),AVERAGE('20250815_ETF_Options_Exhibits'!D715:D719),"")</f>
        <v/>
      </c>
      <c r="E719" s="3">
        <f>IF(ISNUMBER(AVERAGE('20250815_ETF_Options_Exhibits'!E715:E719)),AVERAGE('20250815_ETF_Options_Exhibits'!E715:E719),"")</f>
        <v/>
      </c>
      <c r="F719" s="3">
        <f>IF(ISNUMBER(AVERAGE('20250815_ETF_Options_Exhibits'!F715:F719)),AVERAGE('20250815_ETF_Options_Exhibits'!F715:F719),"")</f>
        <v/>
      </c>
      <c r="G719" s="3">
        <f>IF(ISNUMBER(AVERAGE('20250815_ETF_Options_Exhibits'!G715:G719)),AVERAGE('20250815_ETF_Options_Exhibits'!G715:G719),"")</f>
        <v/>
      </c>
      <c r="H719" s="3">
        <f>IF(ISNUMBER(AVERAGE('20250815_ETF_Options_Exhibits'!H715:H719)),AVERAGE('20250815_ETF_Options_Exhibits'!H715:H719),"")</f>
        <v/>
      </c>
      <c r="I719" s="3">
        <f>IF(ISNUMBER(AVERAGE('20250815_ETF_Options_Exhibits'!I715:I719)),AVERAGE('20250815_ETF_Options_Exhibits'!I715:I719),"")</f>
        <v/>
      </c>
      <c r="J719" s="3">
        <f>IF(ISNUMBER(AVERAGE('20250815_ETF_Options_Exhibits'!J715:J719)),AVERAGE('20250815_ETF_Options_Exhibits'!J715:J719),"")</f>
        <v/>
      </c>
      <c r="K719" s="3">
        <f>IF(ISNUMBER(AVERAGE('20250815_ETF_Options_Exhibits'!K715:K719)),AVERAGE('20250815_ETF_Options_Exhibits'!K715:K719),"")</f>
        <v/>
      </c>
      <c r="L719" s="3">
        <f>IF(ISNUMBER(AVERAGE('20250815_ETF_Options_Exhibits'!L715:L719)),AVERAGE('20250815_ETF_Options_Exhibits'!L715:L719),"")</f>
        <v/>
      </c>
      <c r="M719" s="3">
        <f>IF(ISNUMBER(AVERAGE('20250815_ETF_Options_Exhibits'!M715:M719)),AVERAGE('20250815_ETF_Options_Exhibits'!M715:M719),"")</f>
        <v/>
      </c>
      <c r="N719" s="3">
        <f>IF(ISNUMBER(AVERAGE('20250815_ETF_Options_Exhibits'!N715:N719)),AVERAGE('20250815_ETF_Options_Exhibits'!N715:N719),"")</f>
        <v/>
      </c>
      <c r="O719" s="3">
        <f>IF(ISNUMBER(AVERAGE('20250815_ETF_Options_Exhibits'!O715:O719)),AVERAGE('20250815_ETF_Options_Exhibits'!O715:O719),"")</f>
        <v/>
      </c>
      <c r="P719" s="3">
        <f>IF(ISNUMBER(AVERAGE('20250815_ETF_Options_Exhibits'!P715:P719)),AVERAGE('20250815_ETF_Options_Exhibits'!P715:P719),"")</f>
        <v/>
      </c>
      <c r="Q719" s="3">
        <f>IF(ISNUMBER(AVERAGE('20250815_ETF_Options_Exhibits'!Q715:Q719)),AVERAGE('20250815_ETF_Options_Exhibits'!Q715:Q719),"")</f>
        <v/>
      </c>
      <c r="R719" s="3">
        <f>IF(ISNUMBER(AVERAGE('20250815_ETF_Options_Exhibits'!R715:R719)),AVERAGE('20250815_ETF_Options_Exhibits'!R715:R719),"")</f>
        <v/>
      </c>
      <c r="S719" s="3">
        <f>IF(ISNUMBER(AVERAGE('20250815_ETF_Options_Exhibits'!S715:S719)),AVERAGE('20250815_ETF_Options_Exhibits'!S715:S719),"")</f>
        <v/>
      </c>
      <c r="T719" s="3">
        <f>IF(ISNUMBER(AVERAGE('20250815_ETF_Options_Exhibits'!T715:T719)),AVERAGE('20250815_ETF_Options_Exhibits'!T715:T719),"")</f>
        <v/>
      </c>
      <c r="U719" s="3">
        <f>IF(ISNUMBER(AVERAGE('20250815_ETF_Options_Exhibits'!U715:U719)),AVERAGE('20250815_ETF_Options_Exhibits'!U715:U719),"")</f>
        <v/>
      </c>
      <c r="V719" s="3">
        <f>IF(ISNUMBER(AVERAGE('20250815_ETF_Options_Exhibits'!V715:V719)),AVERAGE('20250815_ETF_Options_Exhibits'!V715:V719),"")</f>
        <v/>
      </c>
      <c r="W719" s="3">
        <f>IF(ISNUMBER(AVERAGE('20250815_ETF_Options_Exhibits'!W715:W719)),AVERAGE('20250815_ETF_Options_Exhibits'!W715:W719),"")</f>
        <v/>
      </c>
      <c r="X719" s="3">
        <f>IF(ISNUMBER(AVERAGE('20250815_ETF_Options_Exhibits'!X715:X719)),AVERAGE('20250815_ETF_Options_Exhibits'!X715:X719),"")</f>
        <v/>
      </c>
      <c r="Y719" s="3">
        <f>IF(ISNUMBER(AVERAGE('20250815_ETF_Options_Exhibits'!Y715:Y719)),AVERAGE('20250815_ETF_Options_Exhibits'!Y715:Y719),"")</f>
        <v/>
      </c>
      <c r="Z719" s="3">
        <f>IF(ISNUMBER(AVERAGE('20250815_ETF_Options_Exhibits'!Z715:Z719)),AVERAGE('20250815_ETF_Options_Exhibits'!Z715:Z719),"")</f>
        <v/>
      </c>
      <c r="AA719" s="3">
        <f>IF(ISNUMBER(AVERAGE('20250815_ETF_Options_Exhibits'!AA715:AA719)),AVERAGE('20250815_ETF_Options_Exhibits'!AA715:AA719),"")</f>
        <v/>
      </c>
    </row>
    <row r="720">
      <c r="A720" s="1" t="n">
        <v>43045</v>
      </c>
      <c r="B720" s="3">
        <f>IF(ISNUMBER(AVERAGE('20250815_ETF_Options_Exhibits'!B716:B720)),AVERAGE('20250815_ETF_Options_Exhibits'!B716:B720),"")</f>
        <v/>
      </c>
      <c r="C720" s="3">
        <f>IF(ISNUMBER(AVERAGE('20250815_ETF_Options_Exhibits'!C716:C720)),AVERAGE('20250815_ETF_Options_Exhibits'!C716:C720),"")</f>
        <v/>
      </c>
      <c r="D720" s="3">
        <f>IF(ISNUMBER(AVERAGE('20250815_ETF_Options_Exhibits'!D716:D720)),AVERAGE('20250815_ETF_Options_Exhibits'!D716:D720),"")</f>
        <v/>
      </c>
      <c r="E720" s="3">
        <f>IF(ISNUMBER(AVERAGE('20250815_ETF_Options_Exhibits'!E716:E720)),AVERAGE('20250815_ETF_Options_Exhibits'!E716:E720),"")</f>
        <v/>
      </c>
      <c r="F720" s="3">
        <f>IF(ISNUMBER(AVERAGE('20250815_ETF_Options_Exhibits'!F716:F720)),AVERAGE('20250815_ETF_Options_Exhibits'!F716:F720),"")</f>
        <v/>
      </c>
      <c r="G720" s="3">
        <f>IF(ISNUMBER(AVERAGE('20250815_ETF_Options_Exhibits'!G716:G720)),AVERAGE('20250815_ETF_Options_Exhibits'!G716:G720),"")</f>
        <v/>
      </c>
      <c r="H720" s="3">
        <f>IF(ISNUMBER(AVERAGE('20250815_ETF_Options_Exhibits'!H716:H720)),AVERAGE('20250815_ETF_Options_Exhibits'!H716:H720),"")</f>
        <v/>
      </c>
      <c r="I720" s="3">
        <f>IF(ISNUMBER(AVERAGE('20250815_ETF_Options_Exhibits'!I716:I720)),AVERAGE('20250815_ETF_Options_Exhibits'!I716:I720),"")</f>
        <v/>
      </c>
      <c r="J720" s="3">
        <f>IF(ISNUMBER(AVERAGE('20250815_ETF_Options_Exhibits'!J716:J720)),AVERAGE('20250815_ETF_Options_Exhibits'!J716:J720),"")</f>
        <v/>
      </c>
      <c r="K720" s="3">
        <f>IF(ISNUMBER(AVERAGE('20250815_ETF_Options_Exhibits'!K716:K720)),AVERAGE('20250815_ETF_Options_Exhibits'!K716:K720),"")</f>
        <v/>
      </c>
      <c r="L720" s="3">
        <f>IF(ISNUMBER(AVERAGE('20250815_ETF_Options_Exhibits'!L716:L720)),AVERAGE('20250815_ETF_Options_Exhibits'!L716:L720),"")</f>
        <v/>
      </c>
      <c r="M720" s="3">
        <f>IF(ISNUMBER(AVERAGE('20250815_ETF_Options_Exhibits'!M716:M720)),AVERAGE('20250815_ETF_Options_Exhibits'!M716:M720),"")</f>
        <v/>
      </c>
      <c r="N720" s="3">
        <f>IF(ISNUMBER(AVERAGE('20250815_ETF_Options_Exhibits'!N716:N720)),AVERAGE('20250815_ETF_Options_Exhibits'!N716:N720),"")</f>
        <v/>
      </c>
      <c r="O720" s="3">
        <f>IF(ISNUMBER(AVERAGE('20250815_ETF_Options_Exhibits'!O716:O720)),AVERAGE('20250815_ETF_Options_Exhibits'!O716:O720),"")</f>
        <v/>
      </c>
      <c r="P720" s="3">
        <f>IF(ISNUMBER(AVERAGE('20250815_ETF_Options_Exhibits'!P716:P720)),AVERAGE('20250815_ETF_Options_Exhibits'!P716:P720),"")</f>
        <v/>
      </c>
      <c r="Q720" s="3">
        <f>IF(ISNUMBER(AVERAGE('20250815_ETF_Options_Exhibits'!Q716:Q720)),AVERAGE('20250815_ETF_Options_Exhibits'!Q716:Q720),"")</f>
        <v/>
      </c>
      <c r="R720" s="3">
        <f>IF(ISNUMBER(AVERAGE('20250815_ETF_Options_Exhibits'!R716:R720)),AVERAGE('20250815_ETF_Options_Exhibits'!R716:R720),"")</f>
        <v/>
      </c>
      <c r="S720" s="3">
        <f>IF(ISNUMBER(AVERAGE('20250815_ETF_Options_Exhibits'!S716:S720)),AVERAGE('20250815_ETF_Options_Exhibits'!S716:S720),"")</f>
        <v/>
      </c>
      <c r="T720" s="3">
        <f>IF(ISNUMBER(AVERAGE('20250815_ETF_Options_Exhibits'!T716:T720)),AVERAGE('20250815_ETF_Options_Exhibits'!T716:T720),"")</f>
        <v/>
      </c>
      <c r="U720" s="3">
        <f>IF(ISNUMBER(AVERAGE('20250815_ETF_Options_Exhibits'!U716:U720)),AVERAGE('20250815_ETF_Options_Exhibits'!U716:U720),"")</f>
        <v/>
      </c>
      <c r="V720" s="3">
        <f>IF(ISNUMBER(AVERAGE('20250815_ETF_Options_Exhibits'!V716:V720)),AVERAGE('20250815_ETF_Options_Exhibits'!V716:V720),"")</f>
        <v/>
      </c>
      <c r="W720" s="3">
        <f>IF(ISNUMBER(AVERAGE('20250815_ETF_Options_Exhibits'!W716:W720)),AVERAGE('20250815_ETF_Options_Exhibits'!W716:W720),"")</f>
        <v/>
      </c>
      <c r="X720" s="3">
        <f>IF(ISNUMBER(AVERAGE('20250815_ETF_Options_Exhibits'!X716:X720)),AVERAGE('20250815_ETF_Options_Exhibits'!X716:X720),"")</f>
        <v/>
      </c>
      <c r="Y720" s="3">
        <f>IF(ISNUMBER(AVERAGE('20250815_ETF_Options_Exhibits'!Y716:Y720)),AVERAGE('20250815_ETF_Options_Exhibits'!Y716:Y720),"")</f>
        <v/>
      </c>
      <c r="Z720" s="3">
        <f>IF(ISNUMBER(AVERAGE('20250815_ETF_Options_Exhibits'!Z716:Z720)),AVERAGE('20250815_ETF_Options_Exhibits'!Z716:Z720),"")</f>
        <v/>
      </c>
      <c r="AA720" s="3">
        <f>IF(ISNUMBER(AVERAGE('20250815_ETF_Options_Exhibits'!AA716:AA720)),AVERAGE('20250815_ETF_Options_Exhibits'!AA716:AA720),"")</f>
        <v/>
      </c>
    </row>
    <row r="721">
      <c r="A721" s="1" t="n">
        <v>43046</v>
      </c>
      <c r="B721" s="3">
        <f>IF(ISNUMBER(AVERAGE('20250815_ETF_Options_Exhibits'!B717:B721)),AVERAGE('20250815_ETF_Options_Exhibits'!B717:B721),"")</f>
        <v/>
      </c>
      <c r="C721" s="3">
        <f>IF(ISNUMBER(AVERAGE('20250815_ETF_Options_Exhibits'!C717:C721)),AVERAGE('20250815_ETF_Options_Exhibits'!C717:C721),"")</f>
        <v/>
      </c>
      <c r="D721" s="3">
        <f>IF(ISNUMBER(AVERAGE('20250815_ETF_Options_Exhibits'!D717:D721)),AVERAGE('20250815_ETF_Options_Exhibits'!D717:D721),"")</f>
        <v/>
      </c>
      <c r="E721" s="3">
        <f>IF(ISNUMBER(AVERAGE('20250815_ETF_Options_Exhibits'!E717:E721)),AVERAGE('20250815_ETF_Options_Exhibits'!E717:E721),"")</f>
        <v/>
      </c>
      <c r="F721" s="3">
        <f>IF(ISNUMBER(AVERAGE('20250815_ETF_Options_Exhibits'!F717:F721)),AVERAGE('20250815_ETF_Options_Exhibits'!F717:F721),"")</f>
        <v/>
      </c>
      <c r="G721" s="3">
        <f>IF(ISNUMBER(AVERAGE('20250815_ETF_Options_Exhibits'!G717:G721)),AVERAGE('20250815_ETF_Options_Exhibits'!G717:G721),"")</f>
        <v/>
      </c>
      <c r="H721" s="3">
        <f>IF(ISNUMBER(AVERAGE('20250815_ETF_Options_Exhibits'!H717:H721)),AVERAGE('20250815_ETF_Options_Exhibits'!H717:H721),"")</f>
        <v/>
      </c>
      <c r="I721" s="3">
        <f>IF(ISNUMBER(AVERAGE('20250815_ETF_Options_Exhibits'!I717:I721)),AVERAGE('20250815_ETF_Options_Exhibits'!I717:I721),"")</f>
        <v/>
      </c>
      <c r="J721" s="3">
        <f>IF(ISNUMBER(AVERAGE('20250815_ETF_Options_Exhibits'!J717:J721)),AVERAGE('20250815_ETF_Options_Exhibits'!J717:J721),"")</f>
        <v/>
      </c>
      <c r="K721" s="3">
        <f>IF(ISNUMBER(AVERAGE('20250815_ETF_Options_Exhibits'!K717:K721)),AVERAGE('20250815_ETF_Options_Exhibits'!K717:K721),"")</f>
        <v/>
      </c>
      <c r="L721" s="3">
        <f>IF(ISNUMBER(AVERAGE('20250815_ETF_Options_Exhibits'!L717:L721)),AVERAGE('20250815_ETF_Options_Exhibits'!L717:L721),"")</f>
        <v/>
      </c>
      <c r="M721" s="3">
        <f>IF(ISNUMBER(AVERAGE('20250815_ETF_Options_Exhibits'!M717:M721)),AVERAGE('20250815_ETF_Options_Exhibits'!M717:M721),"")</f>
        <v/>
      </c>
      <c r="N721" s="3">
        <f>IF(ISNUMBER(AVERAGE('20250815_ETF_Options_Exhibits'!N717:N721)),AVERAGE('20250815_ETF_Options_Exhibits'!N717:N721),"")</f>
        <v/>
      </c>
      <c r="O721" s="3">
        <f>IF(ISNUMBER(AVERAGE('20250815_ETF_Options_Exhibits'!O717:O721)),AVERAGE('20250815_ETF_Options_Exhibits'!O717:O721),"")</f>
        <v/>
      </c>
      <c r="P721" s="3">
        <f>IF(ISNUMBER(AVERAGE('20250815_ETF_Options_Exhibits'!P717:P721)),AVERAGE('20250815_ETF_Options_Exhibits'!P717:P721),"")</f>
        <v/>
      </c>
      <c r="Q721" s="3">
        <f>IF(ISNUMBER(AVERAGE('20250815_ETF_Options_Exhibits'!Q717:Q721)),AVERAGE('20250815_ETF_Options_Exhibits'!Q717:Q721),"")</f>
        <v/>
      </c>
      <c r="R721" s="3">
        <f>IF(ISNUMBER(AVERAGE('20250815_ETF_Options_Exhibits'!R717:R721)),AVERAGE('20250815_ETF_Options_Exhibits'!R717:R721),"")</f>
        <v/>
      </c>
      <c r="S721" s="3">
        <f>IF(ISNUMBER(AVERAGE('20250815_ETF_Options_Exhibits'!S717:S721)),AVERAGE('20250815_ETF_Options_Exhibits'!S717:S721),"")</f>
        <v/>
      </c>
      <c r="T721" s="3">
        <f>IF(ISNUMBER(AVERAGE('20250815_ETF_Options_Exhibits'!T717:T721)),AVERAGE('20250815_ETF_Options_Exhibits'!T717:T721),"")</f>
        <v/>
      </c>
      <c r="U721" s="3">
        <f>IF(ISNUMBER(AVERAGE('20250815_ETF_Options_Exhibits'!U717:U721)),AVERAGE('20250815_ETF_Options_Exhibits'!U717:U721),"")</f>
        <v/>
      </c>
      <c r="V721" s="3">
        <f>IF(ISNUMBER(AVERAGE('20250815_ETF_Options_Exhibits'!V717:V721)),AVERAGE('20250815_ETF_Options_Exhibits'!V717:V721),"")</f>
        <v/>
      </c>
      <c r="W721" s="3">
        <f>IF(ISNUMBER(AVERAGE('20250815_ETF_Options_Exhibits'!W717:W721)),AVERAGE('20250815_ETF_Options_Exhibits'!W717:W721),"")</f>
        <v/>
      </c>
      <c r="X721" s="3">
        <f>IF(ISNUMBER(AVERAGE('20250815_ETF_Options_Exhibits'!X717:X721)),AVERAGE('20250815_ETF_Options_Exhibits'!X717:X721),"")</f>
        <v/>
      </c>
      <c r="Y721" s="3">
        <f>IF(ISNUMBER(AVERAGE('20250815_ETF_Options_Exhibits'!Y717:Y721)),AVERAGE('20250815_ETF_Options_Exhibits'!Y717:Y721),"")</f>
        <v/>
      </c>
      <c r="Z721" s="3">
        <f>IF(ISNUMBER(AVERAGE('20250815_ETF_Options_Exhibits'!Z717:Z721)),AVERAGE('20250815_ETF_Options_Exhibits'!Z717:Z721),"")</f>
        <v/>
      </c>
      <c r="AA721" s="3">
        <f>IF(ISNUMBER(AVERAGE('20250815_ETF_Options_Exhibits'!AA717:AA721)),AVERAGE('20250815_ETF_Options_Exhibits'!AA717:AA721),"")</f>
        <v/>
      </c>
    </row>
    <row r="722">
      <c r="A722" s="1" t="n">
        <v>43047</v>
      </c>
      <c r="B722" s="3">
        <f>IF(ISNUMBER(AVERAGE('20250815_ETF_Options_Exhibits'!B718:B722)),AVERAGE('20250815_ETF_Options_Exhibits'!B718:B722),"")</f>
        <v/>
      </c>
      <c r="C722" s="3">
        <f>IF(ISNUMBER(AVERAGE('20250815_ETF_Options_Exhibits'!C718:C722)),AVERAGE('20250815_ETF_Options_Exhibits'!C718:C722),"")</f>
        <v/>
      </c>
      <c r="D722" s="3">
        <f>IF(ISNUMBER(AVERAGE('20250815_ETF_Options_Exhibits'!D718:D722)),AVERAGE('20250815_ETF_Options_Exhibits'!D718:D722),"")</f>
        <v/>
      </c>
      <c r="E722" s="3">
        <f>IF(ISNUMBER(AVERAGE('20250815_ETF_Options_Exhibits'!E718:E722)),AVERAGE('20250815_ETF_Options_Exhibits'!E718:E722),"")</f>
        <v/>
      </c>
      <c r="F722" s="3">
        <f>IF(ISNUMBER(AVERAGE('20250815_ETF_Options_Exhibits'!F718:F722)),AVERAGE('20250815_ETF_Options_Exhibits'!F718:F722),"")</f>
        <v/>
      </c>
      <c r="G722" s="3">
        <f>IF(ISNUMBER(AVERAGE('20250815_ETF_Options_Exhibits'!G718:G722)),AVERAGE('20250815_ETF_Options_Exhibits'!G718:G722),"")</f>
        <v/>
      </c>
      <c r="H722" s="3">
        <f>IF(ISNUMBER(AVERAGE('20250815_ETF_Options_Exhibits'!H718:H722)),AVERAGE('20250815_ETF_Options_Exhibits'!H718:H722),"")</f>
        <v/>
      </c>
      <c r="I722" s="3">
        <f>IF(ISNUMBER(AVERAGE('20250815_ETF_Options_Exhibits'!I718:I722)),AVERAGE('20250815_ETF_Options_Exhibits'!I718:I722),"")</f>
        <v/>
      </c>
      <c r="J722" s="3">
        <f>IF(ISNUMBER(AVERAGE('20250815_ETF_Options_Exhibits'!J718:J722)),AVERAGE('20250815_ETF_Options_Exhibits'!J718:J722),"")</f>
        <v/>
      </c>
      <c r="K722" s="3">
        <f>IF(ISNUMBER(AVERAGE('20250815_ETF_Options_Exhibits'!K718:K722)),AVERAGE('20250815_ETF_Options_Exhibits'!K718:K722),"")</f>
        <v/>
      </c>
      <c r="L722" s="3">
        <f>IF(ISNUMBER(AVERAGE('20250815_ETF_Options_Exhibits'!L718:L722)),AVERAGE('20250815_ETF_Options_Exhibits'!L718:L722),"")</f>
        <v/>
      </c>
      <c r="M722" s="3">
        <f>IF(ISNUMBER(AVERAGE('20250815_ETF_Options_Exhibits'!M718:M722)),AVERAGE('20250815_ETF_Options_Exhibits'!M718:M722),"")</f>
        <v/>
      </c>
      <c r="N722" s="3">
        <f>IF(ISNUMBER(AVERAGE('20250815_ETF_Options_Exhibits'!N718:N722)),AVERAGE('20250815_ETF_Options_Exhibits'!N718:N722),"")</f>
        <v/>
      </c>
      <c r="O722" s="3">
        <f>IF(ISNUMBER(AVERAGE('20250815_ETF_Options_Exhibits'!O718:O722)),AVERAGE('20250815_ETF_Options_Exhibits'!O718:O722),"")</f>
        <v/>
      </c>
      <c r="P722" s="3">
        <f>IF(ISNUMBER(AVERAGE('20250815_ETF_Options_Exhibits'!P718:P722)),AVERAGE('20250815_ETF_Options_Exhibits'!P718:P722),"")</f>
        <v/>
      </c>
      <c r="Q722" s="3">
        <f>IF(ISNUMBER(AVERAGE('20250815_ETF_Options_Exhibits'!Q718:Q722)),AVERAGE('20250815_ETF_Options_Exhibits'!Q718:Q722),"")</f>
        <v/>
      </c>
      <c r="R722" s="3">
        <f>IF(ISNUMBER(AVERAGE('20250815_ETF_Options_Exhibits'!R718:R722)),AVERAGE('20250815_ETF_Options_Exhibits'!R718:R722),"")</f>
        <v/>
      </c>
      <c r="S722" s="3">
        <f>IF(ISNUMBER(AVERAGE('20250815_ETF_Options_Exhibits'!S718:S722)),AVERAGE('20250815_ETF_Options_Exhibits'!S718:S722),"")</f>
        <v/>
      </c>
      <c r="T722" s="3">
        <f>IF(ISNUMBER(AVERAGE('20250815_ETF_Options_Exhibits'!T718:T722)),AVERAGE('20250815_ETF_Options_Exhibits'!T718:T722),"")</f>
        <v/>
      </c>
      <c r="U722" s="3">
        <f>IF(ISNUMBER(AVERAGE('20250815_ETF_Options_Exhibits'!U718:U722)),AVERAGE('20250815_ETF_Options_Exhibits'!U718:U722),"")</f>
        <v/>
      </c>
      <c r="V722" s="3">
        <f>IF(ISNUMBER(AVERAGE('20250815_ETF_Options_Exhibits'!V718:V722)),AVERAGE('20250815_ETF_Options_Exhibits'!V718:V722),"")</f>
        <v/>
      </c>
      <c r="W722" s="3">
        <f>IF(ISNUMBER(AVERAGE('20250815_ETF_Options_Exhibits'!W718:W722)),AVERAGE('20250815_ETF_Options_Exhibits'!W718:W722),"")</f>
        <v/>
      </c>
      <c r="X722" s="3">
        <f>IF(ISNUMBER(AVERAGE('20250815_ETF_Options_Exhibits'!X718:X722)),AVERAGE('20250815_ETF_Options_Exhibits'!X718:X722),"")</f>
        <v/>
      </c>
      <c r="Y722" s="3">
        <f>IF(ISNUMBER(AVERAGE('20250815_ETF_Options_Exhibits'!Y718:Y722)),AVERAGE('20250815_ETF_Options_Exhibits'!Y718:Y722),"")</f>
        <v/>
      </c>
      <c r="Z722" s="3">
        <f>IF(ISNUMBER(AVERAGE('20250815_ETF_Options_Exhibits'!Z718:Z722)),AVERAGE('20250815_ETF_Options_Exhibits'!Z718:Z722),"")</f>
        <v/>
      </c>
      <c r="AA722" s="3">
        <f>IF(ISNUMBER(AVERAGE('20250815_ETF_Options_Exhibits'!AA718:AA722)),AVERAGE('20250815_ETF_Options_Exhibits'!AA718:AA722),"")</f>
        <v/>
      </c>
    </row>
    <row r="723">
      <c r="A723" s="1" t="n">
        <v>43048</v>
      </c>
      <c r="B723" s="3">
        <f>IF(ISNUMBER(AVERAGE('20250815_ETF_Options_Exhibits'!B719:B723)),AVERAGE('20250815_ETF_Options_Exhibits'!B719:B723),"")</f>
        <v/>
      </c>
      <c r="C723" s="3">
        <f>IF(ISNUMBER(AVERAGE('20250815_ETF_Options_Exhibits'!C719:C723)),AVERAGE('20250815_ETF_Options_Exhibits'!C719:C723),"")</f>
        <v/>
      </c>
      <c r="D723" s="3">
        <f>IF(ISNUMBER(AVERAGE('20250815_ETF_Options_Exhibits'!D719:D723)),AVERAGE('20250815_ETF_Options_Exhibits'!D719:D723),"")</f>
        <v/>
      </c>
      <c r="E723" s="3">
        <f>IF(ISNUMBER(AVERAGE('20250815_ETF_Options_Exhibits'!E719:E723)),AVERAGE('20250815_ETF_Options_Exhibits'!E719:E723),"")</f>
        <v/>
      </c>
      <c r="F723" s="3">
        <f>IF(ISNUMBER(AVERAGE('20250815_ETF_Options_Exhibits'!F719:F723)),AVERAGE('20250815_ETF_Options_Exhibits'!F719:F723),"")</f>
        <v/>
      </c>
      <c r="G723" s="3">
        <f>IF(ISNUMBER(AVERAGE('20250815_ETF_Options_Exhibits'!G719:G723)),AVERAGE('20250815_ETF_Options_Exhibits'!G719:G723),"")</f>
        <v/>
      </c>
      <c r="H723" s="3">
        <f>IF(ISNUMBER(AVERAGE('20250815_ETF_Options_Exhibits'!H719:H723)),AVERAGE('20250815_ETF_Options_Exhibits'!H719:H723),"")</f>
        <v/>
      </c>
      <c r="I723" s="3">
        <f>IF(ISNUMBER(AVERAGE('20250815_ETF_Options_Exhibits'!I719:I723)),AVERAGE('20250815_ETF_Options_Exhibits'!I719:I723),"")</f>
        <v/>
      </c>
      <c r="J723" s="3">
        <f>IF(ISNUMBER(AVERAGE('20250815_ETF_Options_Exhibits'!J719:J723)),AVERAGE('20250815_ETF_Options_Exhibits'!J719:J723),"")</f>
        <v/>
      </c>
      <c r="K723" s="3">
        <f>IF(ISNUMBER(AVERAGE('20250815_ETF_Options_Exhibits'!K719:K723)),AVERAGE('20250815_ETF_Options_Exhibits'!K719:K723),"")</f>
        <v/>
      </c>
      <c r="L723" s="3">
        <f>IF(ISNUMBER(AVERAGE('20250815_ETF_Options_Exhibits'!L719:L723)),AVERAGE('20250815_ETF_Options_Exhibits'!L719:L723),"")</f>
        <v/>
      </c>
      <c r="M723" s="3">
        <f>IF(ISNUMBER(AVERAGE('20250815_ETF_Options_Exhibits'!M719:M723)),AVERAGE('20250815_ETF_Options_Exhibits'!M719:M723),"")</f>
        <v/>
      </c>
      <c r="N723" s="3">
        <f>IF(ISNUMBER(AVERAGE('20250815_ETF_Options_Exhibits'!N719:N723)),AVERAGE('20250815_ETF_Options_Exhibits'!N719:N723),"")</f>
        <v/>
      </c>
      <c r="O723" s="3">
        <f>IF(ISNUMBER(AVERAGE('20250815_ETF_Options_Exhibits'!O719:O723)),AVERAGE('20250815_ETF_Options_Exhibits'!O719:O723),"")</f>
        <v/>
      </c>
      <c r="P723" s="3">
        <f>IF(ISNUMBER(AVERAGE('20250815_ETF_Options_Exhibits'!P719:P723)),AVERAGE('20250815_ETF_Options_Exhibits'!P719:P723),"")</f>
        <v/>
      </c>
      <c r="Q723" s="3">
        <f>IF(ISNUMBER(AVERAGE('20250815_ETF_Options_Exhibits'!Q719:Q723)),AVERAGE('20250815_ETF_Options_Exhibits'!Q719:Q723),"")</f>
        <v/>
      </c>
      <c r="R723" s="3">
        <f>IF(ISNUMBER(AVERAGE('20250815_ETF_Options_Exhibits'!R719:R723)),AVERAGE('20250815_ETF_Options_Exhibits'!R719:R723),"")</f>
        <v/>
      </c>
      <c r="S723" s="3">
        <f>IF(ISNUMBER(AVERAGE('20250815_ETF_Options_Exhibits'!S719:S723)),AVERAGE('20250815_ETF_Options_Exhibits'!S719:S723),"")</f>
        <v/>
      </c>
      <c r="T723" s="3">
        <f>IF(ISNUMBER(AVERAGE('20250815_ETF_Options_Exhibits'!T719:T723)),AVERAGE('20250815_ETF_Options_Exhibits'!T719:T723),"")</f>
        <v/>
      </c>
      <c r="U723" s="3">
        <f>IF(ISNUMBER(AVERAGE('20250815_ETF_Options_Exhibits'!U719:U723)),AVERAGE('20250815_ETF_Options_Exhibits'!U719:U723),"")</f>
        <v/>
      </c>
      <c r="V723" s="3">
        <f>IF(ISNUMBER(AVERAGE('20250815_ETF_Options_Exhibits'!V719:V723)),AVERAGE('20250815_ETF_Options_Exhibits'!V719:V723),"")</f>
        <v/>
      </c>
      <c r="W723" s="3">
        <f>IF(ISNUMBER(AVERAGE('20250815_ETF_Options_Exhibits'!W719:W723)),AVERAGE('20250815_ETF_Options_Exhibits'!W719:W723),"")</f>
        <v/>
      </c>
      <c r="X723" s="3">
        <f>IF(ISNUMBER(AVERAGE('20250815_ETF_Options_Exhibits'!X719:X723)),AVERAGE('20250815_ETF_Options_Exhibits'!X719:X723),"")</f>
        <v/>
      </c>
      <c r="Y723" s="3">
        <f>IF(ISNUMBER(AVERAGE('20250815_ETF_Options_Exhibits'!Y719:Y723)),AVERAGE('20250815_ETF_Options_Exhibits'!Y719:Y723),"")</f>
        <v/>
      </c>
      <c r="Z723" s="3">
        <f>IF(ISNUMBER(AVERAGE('20250815_ETF_Options_Exhibits'!Z719:Z723)),AVERAGE('20250815_ETF_Options_Exhibits'!Z719:Z723),"")</f>
        <v/>
      </c>
      <c r="AA723" s="3">
        <f>IF(ISNUMBER(AVERAGE('20250815_ETF_Options_Exhibits'!AA719:AA723)),AVERAGE('20250815_ETF_Options_Exhibits'!AA719:AA723),"")</f>
        <v/>
      </c>
    </row>
    <row r="724">
      <c r="A724" s="1" t="n">
        <v>43049</v>
      </c>
      <c r="B724" s="3">
        <f>IF(ISNUMBER(AVERAGE('20250815_ETF_Options_Exhibits'!B720:B724)),AVERAGE('20250815_ETF_Options_Exhibits'!B720:B724),"")</f>
        <v/>
      </c>
      <c r="C724" s="3">
        <f>IF(ISNUMBER(AVERAGE('20250815_ETF_Options_Exhibits'!C720:C724)),AVERAGE('20250815_ETF_Options_Exhibits'!C720:C724),"")</f>
        <v/>
      </c>
      <c r="D724" s="3">
        <f>IF(ISNUMBER(AVERAGE('20250815_ETF_Options_Exhibits'!D720:D724)),AVERAGE('20250815_ETF_Options_Exhibits'!D720:D724),"")</f>
        <v/>
      </c>
      <c r="E724" s="3">
        <f>IF(ISNUMBER(AVERAGE('20250815_ETF_Options_Exhibits'!E720:E724)),AVERAGE('20250815_ETF_Options_Exhibits'!E720:E724),"")</f>
        <v/>
      </c>
      <c r="F724" s="3">
        <f>IF(ISNUMBER(AVERAGE('20250815_ETF_Options_Exhibits'!F720:F724)),AVERAGE('20250815_ETF_Options_Exhibits'!F720:F724),"")</f>
        <v/>
      </c>
      <c r="G724" s="3">
        <f>IF(ISNUMBER(AVERAGE('20250815_ETF_Options_Exhibits'!G720:G724)),AVERAGE('20250815_ETF_Options_Exhibits'!G720:G724),"")</f>
        <v/>
      </c>
      <c r="H724" s="3">
        <f>IF(ISNUMBER(AVERAGE('20250815_ETF_Options_Exhibits'!H720:H724)),AVERAGE('20250815_ETF_Options_Exhibits'!H720:H724),"")</f>
        <v/>
      </c>
      <c r="I724" s="3">
        <f>IF(ISNUMBER(AVERAGE('20250815_ETF_Options_Exhibits'!I720:I724)),AVERAGE('20250815_ETF_Options_Exhibits'!I720:I724),"")</f>
        <v/>
      </c>
      <c r="J724" s="3">
        <f>IF(ISNUMBER(AVERAGE('20250815_ETF_Options_Exhibits'!J720:J724)),AVERAGE('20250815_ETF_Options_Exhibits'!J720:J724),"")</f>
        <v/>
      </c>
      <c r="K724" s="3">
        <f>IF(ISNUMBER(AVERAGE('20250815_ETF_Options_Exhibits'!K720:K724)),AVERAGE('20250815_ETF_Options_Exhibits'!K720:K724),"")</f>
        <v/>
      </c>
      <c r="L724" s="3">
        <f>IF(ISNUMBER(AVERAGE('20250815_ETF_Options_Exhibits'!L720:L724)),AVERAGE('20250815_ETF_Options_Exhibits'!L720:L724),"")</f>
        <v/>
      </c>
      <c r="M724" s="3">
        <f>IF(ISNUMBER(AVERAGE('20250815_ETF_Options_Exhibits'!M720:M724)),AVERAGE('20250815_ETF_Options_Exhibits'!M720:M724),"")</f>
        <v/>
      </c>
      <c r="N724" s="3">
        <f>IF(ISNUMBER(AVERAGE('20250815_ETF_Options_Exhibits'!N720:N724)),AVERAGE('20250815_ETF_Options_Exhibits'!N720:N724),"")</f>
        <v/>
      </c>
      <c r="O724" s="3">
        <f>IF(ISNUMBER(AVERAGE('20250815_ETF_Options_Exhibits'!O720:O724)),AVERAGE('20250815_ETF_Options_Exhibits'!O720:O724),"")</f>
        <v/>
      </c>
      <c r="P724" s="3">
        <f>IF(ISNUMBER(AVERAGE('20250815_ETF_Options_Exhibits'!P720:P724)),AVERAGE('20250815_ETF_Options_Exhibits'!P720:P724),"")</f>
        <v/>
      </c>
      <c r="Q724" s="3">
        <f>IF(ISNUMBER(AVERAGE('20250815_ETF_Options_Exhibits'!Q720:Q724)),AVERAGE('20250815_ETF_Options_Exhibits'!Q720:Q724),"")</f>
        <v/>
      </c>
      <c r="R724" s="3">
        <f>IF(ISNUMBER(AVERAGE('20250815_ETF_Options_Exhibits'!R720:R724)),AVERAGE('20250815_ETF_Options_Exhibits'!R720:R724),"")</f>
        <v/>
      </c>
      <c r="S724" s="3">
        <f>IF(ISNUMBER(AVERAGE('20250815_ETF_Options_Exhibits'!S720:S724)),AVERAGE('20250815_ETF_Options_Exhibits'!S720:S724),"")</f>
        <v/>
      </c>
      <c r="T724" s="3">
        <f>IF(ISNUMBER(AVERAGE('20250815_ETF_Options_Exhibits'!T720:T724)),AVERAGE('20250815_ETF_Options_Exhibits'!T720:T724),"")</f>
        <v/>
      </c>
      <c r="U724" s="3">
        <f>IF(ISNUMBER(AVERAGE('20250815_ETF_Options_Exhibits'!U720:U724)),AVERAGE('20250815_ETF_Options_Exhibits'!U720:U724),"")</f>
        <v/>
      </c>
      <c r="V724" s="3">
        <f>IF(ISNUMBER(AVERAGE('20250815_ETF_Options_Exhibits'!V720:V724)),AVERAGE('20250815_ETF_Options_Exhibits'!V720:V724),"")</f>
        <v/>
      </c>
      <c r="W724" s="3">
        <f>IF(ISNUMBER(AVERAGE('20250815_ETF_Options_Exhibits'!W720:W724)),AVERAGE('20250815_ETF_Options_Exhibits'!W720:W724),"")</f>
        <v/>
      </c>
      <c r="X724" s="3">
        <f>IF(ISNUMBER(AVERAGE('20250815_ETF_Options_Exhibits'!X720:X724)),AVERAGE('20250815_ETF_Options_Exhibits'!X720:X724),"")</f>
        <v/>
      </c>
      <c r="Y724" s="3">
        <f>IF(ISNUMBER(AVERAGE('20250815_ETF_Options_Exhibits'!Y720:Y724)),AVERAGE('20250815_ETF_Options_Exhibits'!Y720:Y724),"")</f>
        <v/>
      </c>
      <c r="Z724" s="3">
        <f>IF(ISNUMBER(AVERAGE('20250815_ETF_Options_Exhibits'!Z720:Z724)),AVERAGE('20250815_ETF_Options_Exhibits'!Z720:Z724),"")</f>
        <v/>
      </c>
      <c r="AA724" s="3">
        <f>IF(ISNUMBER(AVERAGE('20250815_ETF_Options_Exhibits'!AA720:AA724)),AVERAGE('20250815_ETF_Options_Exhibits'!AA720:AA724),"")</f>
        <v/>
      </c>
    </row>
    <row r="725">
      <c r="A725" s="1" t="n">
        <v>43052</v>
      </c>
      <c r="B725" s="3">
        <f>IF(ISNUMBER(AVERAGE('20250815_ETF_Options_Exhibits'!B721:B725)),AVERAGE('20250815_ETF_Options_Exhibits'!B721:B725),"")</f>
        <v/>
      </c>
      <c r="C725" s="3">
        <f>IF(ISNUMBER(AVERAGE('20250815_ETF_Options_Exhibits'!C721:C725)),AVERAGE('20250815_ETF_Options_Exhibits'!C721:C725),"")</f>
        <v/>
      </c>
      <c r="D725" s="3">
        <f>IF(ISNUMBER(AVERAGE('20250815_ETF_Options_Exhibits'!D721:D725)),AVERAGE('20250815_ETF_Options_Exhibits'!D721:D725),"")</f>
        <v/>
      </c>
      <c r="E725" s="3">
        <f>IF(ISNUMBER(AVERAGE('20250815_ETF_Options_Exhibits'!E721:E725)),AVERAGE('20250815_ETF_Options_Exhibits'!E721:E725),"")</f>
        <v/>
      </c>
      <c r="F725" s="3">
        <f>IF(ISNUMBER(AVERAGE('20250815_ETF_Options_Exhibits'!F721:F725)),AVERAGE('20250815_ETF_Options_Exhibits'!F721:F725),"")</f>
        <v/>
      </c>
      <c r="G725" s="3">
        <f>IF(ISNUMBER(AVERAGE('20250815_ETF_Options_Exhibits'!G721:G725)),AVERAGE('20250815_ETF_Options_Exhibits'!G721:G725),"")</f>
        <v/>
      </c>
      <c r="H725" s="3">
        <f>IF(ISNUMBER(AVERAGE('20250815_ETF_Options_Exhibits'!H721:H725)),AVERAGE('20250815_ETF_Options_Exhibits'!H721:H725),"")</f>
        <v/>
      </c>
      <c r="I725" s="3">
        <f>IF(ISNUMBER(AVERAGE('20250815_ETF_Options_Exhibits'!I721:I725)),AVERAGE('20250815_ETF_Options_Exhibits'!I721:I725),"")</f>
        <v/>
      </c>
      <c r="J725" s="3">
        <f>IF(ISNUMBER(AVERAGE('20250815_ETF_Options_Exhibits'!J721:J725)),AVERAGE('20250815_ETF_Options_Exhibits'!J721:J725),"")</f>
        <v/>
      </c>
      <c r="K725" s="3">
        <f>IF(ISNUMBER(AVERAGE('20250815_ETF_Options_Exhibits'!K721:K725)),AVERAGE('20250815_ETF_Options_Exhibits'!K721:K725),"")</f>
        <v/>
      </c>
      <c r="L725" s="3">
        <f>IF(ISNUMBER(AVERAGE('20250815_ETF_Options_Exhibits'!L721:L725)),AVERAGE('20250815_ETF_Options_Exhibits'!L721:L725),"")</f>
        <v/>
      </c>
      <c r="M725" s="3">
        <f>IF(ISNUMBER(AVERAGE('20250815_ETF_Options_Exhibits'!M721:M725)),AVERAGE('20250815_ETF_Options_Exhibits'!M721:M725),"")</f>
        <v/>
      </c>
      <c r="N725" s="3">
        <f>IF(ISNUMBER(AVERAGE('20250815_ETF_Options_Exhibits'!N721:N725)),AVERAGE('20250815_ETF_Options_Exhibits'!N721:N725),"")</f>
        <v/>
      </c>
      <c r="O725" s="3">
        <f>IF(ISNUMBER(AVERAGE('20250815_ETF_Options_Exhibits'!O721:O725)),AVERAGE('20250815_ETF_Options_Exhibits'!O721:O725),"")</f>
        <v/>
      </c>
      <c r="P725" s="3">
        <f>IF(ISNUMBER(AVERAGE('20250815_ETF_Options_Exhibits'!P721:P725)),AVERAGE('20250815_ETF_Options_Exhibits'!P721:P725),"")</f>
        <v/>
      </c>
      <c r="Q725" s="3">
        <f>IF(ISNUMBER(AVERAGE('20250815_ETF_Options_Exhibits'!Q721:Q725)),AVERAGE('20250815_ETF_Options_Exhibits'!Q721:Q725),"")</f>
        <v/>
      </c>
      <c r="R725" s="3">
        <f>IF(ISNUMBER(AVERAGE('20250815_ETF_Options_Exhibits'!R721:R725)),AVERAGE('20250815_ETF_Options_Exhibits'!R721:R725),"")</f>
        <v/>
      </c>
      <c r="S725" s="3">
        <f>IF(ISNUMBER(AVERAGE('20250815_ETF_Options_Exhibits'!S721:S725)),AVERAGE('20250815_ETF_Options_Exhibits'!S721:S725),"")</f>
        <v/>
      </c>
      <c r="T725" s="3">
        <f>IF(ISNUMBER(AVERAGE('20250815_ETF_Options_Exhibits'!T721:T725)),AVERAGE('20250815_ETF_Options_Exhibits'!T721:T725),"")</f>
        <v/>
      </c>
      <c r="U725" s="3">
        <f>IF(ISNUMBER(AVERAGE('20250815_ETF_Options_Exhibits'!U721:U725)),AVERAGE('20250815_ETF_Options_Exhibits'!U721:U725),"")</f>
        <v/>
      </c>
      <c r="V725" s="3">
        <f>IF(ISNUMBER(AVERAGE('20250815_ETF_Options_Exhibits'!V721:V725)),AVERAGE('20250815_ETF_Options_Exhibits'!V721:V725),"")</f>
        <v/>
      </c>
      <c r="W725" s="3">
        <f>IF(ISNUMBER(AVERAGE('20250815_ETF_Options_Exhibits'!W721:W725)),AVERAGE('20250815_ETF_Options_Exhibits'!W721:W725),"")</f>
        <v/>
      </c>
      <c r="X725" s="3">
        <f>IF(ISNUMBER(AVERAGE('20250815_ETF_Options_Exhibits'!X721:X725)),AVERAGE('20250815_ETF_Options_Exhibits'!X721:X725),"")</f>
        <v/>
      </c>
      <c r="Y725" s="3">
        <f>IF(ISNUMBER(AVERAGE('20250815_ETF_Options_Exhibits'!Y721:Y725)),AVERAGE('20250815_ETF_Options_Exhibits'!Y721:Y725),"")</f>
        <v/>
      </c>
      <c r="Z725" s="3">
        <f>IF(ISNUMBER(AVERAGE('20250815_ETF_Options_Exhibits'!Z721:Z725)),AVERAGE('20250815_ETF_Options_Exhibits'!Z721:Z725),"")</f>
        <v/>
      </c>
      <c r="AA725" s="3">
        <f>IF(ISNUMBER(AVERAGE('20250815_ETF_Options_Exhibits'!AA721:AA725)),AVERAGE('20250815_ETF_Options_Exhibits'!AA721:AA725),"")</f>
        <v/>
      </c>
    </row>
    <row r="726">
      <c r="A726" s="1" t="n">
        <v>43053</v>
      </c>
      <c r="B726" s="3">
        <f>IF(ISNUMBER(AVERAGE('20250815_ETF_Options_Exhibits'!B722:B726)),AVERAGE('20250815_ETF_Options_Exhibits'!B722:B726),"")</f>
        <v/>
      </c>
      <c r="C726" s="3">
        <f>IF(ISNUMBER(AVERAGE('20250815_ETF_Options_Exhibits'!C722:C726)),AVERAGE('20250815_ETF_Options_Exhibits'!C722:C726),"")</f>
        <v/>
      </c>
      <c r="D726" s="3">
        <f>IF(ISNUMBER(AVERAGE('20250815_ETF_Options_Exhibits'!D722:D726)),AVERAGE('20250815_ETF_Options_Exhibits'!D722:D726),"")</f>
        <v/>
      </c>
      <c r="E726" s="3">
        <f>IF(ISNUMBER(AVERAGE('20250815_ETF_Options_Exhibits'!E722:E726)),AVERAGE('20250815_ETF_Options_Exhibits'!E722:E726),"")</f>
        <v/>
      </c>
      <c r="F726" s="3">
        <f>IF(ISNUMBER(AVERAGE('20250815_ETF_Options_Exhibits'!F722:F726)),AVERAGE('20250815_ETF_Options_Exhibits'!F722:F726),"")</f>
        <v/>
      </c>
      <c r="G726" s="3">
        <f>IF(ISNUMBER(AVERAGE('20250815_ETF_Options_Exhibits'!G722:G726)),AVERAGE('20250815_ETF_Options_Exhibits'!G722:G726),"")</f>
        <v/>
      </c>
      <c r="H726" s="3">
        <f>IF(ISNUMBER(AVERAGE('20250815_ETF_Options_Exhibits'!H722:H726)),AVERAGE('20250815_ETF_Options_Exhibits'!H722:H726),"")</f>
        <v/>
      </c>
      <c r="I726" s="3">
        <f>IF(ISNUMBER(AVERAGE('20250815_ETF_Options_Exhibits'!I722:I726)),AVERAGE('20250815_ETF_Options_Exhibits'!I722:I726),"")</f>
        <v/>
      </c>
      <c r="J726" s="3">
        <f>IF(ISNUMBER(AVERAGE('20250815_ETF_Options_Exhibits'!J722:J726)),AVERAGE('20250815_ETF_Options_Exhibits'!J722:J726),"")</f>
        <v/>
      </c>
      <c r="K726" s="3">
        <f>IF(ISNUMBER(AVERAGE('20250815_ETF_Options_Exhibits'!K722:K726)),AVERAGE('20250815_ETF_Options_Exhibits'!K722:K726),"")</f>
        <v/>
      </c>
      <c r="L726" s="3">
        <f>IF(ISNUMBER(AVERAGE('20250815_ETF_Options_Exhibits'!L722:L726)),AVERAGE('20250815_ETF_Options_Exhibits'!L722:L726),"")</f>
        <v/>
      </c>
      <c r="M726" s="3">
        <f>IF(ISNUMBER(AVERAGE('20250815_ETF_Options_Exhibits'!M722:M726)),AVERAGE('20250815_ETF_Options_Exhibits'!M722:M726),"")</f>
        <v/>
      </c>
      <c r="N726" s="3">
        <f>IF(ISNUMBER(AVERAGE('20250815_ETF_Options_Exhibits'!N722:N726)),AVERAGE('20250815_ETF_Options_Exhibits'!N722:N726),"")</f>
        <v/>
      </c>
      <c r="O726" s="3">
        <f>IF(ISNUMBER(AVERAGE('20250815_ETF_Options_Exhibits'!O722:O726)),AVERAGE('20250815_ETF_Options_Exhibits'!O722:O726),"")</f>
        <v/>
      </c>
      <c r="P726" s="3">
        <f>IF(ISNUMBER(AVERAGE('20250815_ETF_Options_Exhibits'!P722:P726)),AVERAGE('20250815_ETF_Options_Exhibits'!P722:P726),"")</f>
        <v/>
      </c>
      <c r="Q726" s="3">
        <f>IF(ISNUMBER(AVERAGE('20250815_ETF_Options_Exhibits'!Q722:Q726)),AVERAGE('20250815_ETF_Options_Exhibits'!Q722:Q726),"")</f>
        <v/>
      </c>
      <c r="R726" s="3">
        <f>IF(ISNUMBER(AVERAGE('20250815_ETF_Options_Exhibits'!R722:R726)),AVERAGE('20250815_ETF_Options_Exhibits'!R722:R726),"")</f>
        <v/>
      </c>
      <c r="S726" s="3">
        <f>IF(ISNUMBER(AVERAGE('20250815_ETF_Options_Exhibits'!S722:S726)),AVERAGE('20250815_ETF_Options_Exhibits'!S722:S726),"")</f>
        <v/>
      </c>
      <c r="T726" s="3">
        <f>IF(ISNUMBER(AVERAGE('20250815_ETF_Options_Exhibits'!T722:T726)),AVERAGE('20250815_ETF_Options_Exhibits'!T722:T726),"")</f>
        <v/>
      </c>
      <c r="U726" s="3">
        <f>IF(ISNUMBER(AVERAGE('20250815_ETF_Options_Exhibits'!U722:U726)),AVERAGE('20250815_ETF_Options_Exhibits'!U722:U726),"")</f>
        <v/>
      </c>
      <c r="V726" s="3">
        <f>IF(ISNUMBER(AVERAGE('20250815_ETF_Options_Exhibits'!V722:V726)),AVERAGE('20250815_ETF_Options_Exhibits'!V722:V726),"")</f>
        <v/>
      </c>
      <c r="W726" s="3">
        <f>IF(ISNUMBER(AVERAGE('20250815_ETF_Options_Exhibits'!W722:W726)),AVERAGE('20250815_ETF_Options_Exhibits'!W722:W726),"")</f>
        <v/>
      </c>
      <c r="X726" s="3">
        <f>IF(ISNUMBER(AVERAGE('20250815_ETF_Options_Exhibits'!X722:X726)),AVERAGE('20250815_ETF_Options_Exhibits'!X722:X726),"")</f>
        <v/>
      </c>
      <c r="Y726" s="3">
        <f>IF(ISNUMBER(AVERAGE('20250815_ETF_Options_Exhibits'!Y722:Y726)),AVERAGE('20250815_ETF_Options_Exhibits'!Y722:Y726),"")</f>
        <v/>
      </c>
      <c r="Z726" s="3">
        <f>IF(ISNUMBER(AVERAGE('20250815_ETF_Options_Exhibits'!Z722:Z726)),AVERAGE('20250815_ETF_Options_Exhibits'!Z722:Z726),"")</f>
        <v/>
      </c>
      <c r="AA726" s="3">
        <f>IF(ISNUMBER(AVERAGE('20250815_ETF_Options_Exhibits'!AA722:AA726)),AVERAGE('20250815_ETF_Options_Exhibits'!AA722:AA726),"")</f>
        <v/>
      </c>
    </row>
    <row r="727">
      <c r="A727" s="1" t="n">
        <v>43054</v>
      </c>
      <c r="B727" s="3">
        <f>IF(ISNUMBER(AVERAGE('20250815_ETF_Options_Exhibits'!B723:B727)),AVERAGE('20250815_ETF_Options_Exhibits'!B723:B727),"")</f>
        <v/>
      </c>
      <c r="C727" s="3">
        <f>IF(ISNUMBER(AVERAGE('20250815_ETF_Options_Exhibits'!C723:C727)),AVERAGE('20250815_ETF_Options_Exhibits'!C723:C727),"")</f>
        <v/>
      </c>
      <c r="D727" s="3">
        <f>IF(ISNUMBER(AVERAGE('20250815_ETF_Options_Exhibits'!D723:D727)),AVERAGE('20250815_ETF_Options_Exhibits'!D723:D727),"")</f>
        <v/>
      </c>
      <c r="E727" s="3">
        <f>IF(ISNUMBER(AVERAGE('20250815_ETF_Options_Exhibits'!E723:E727)),AVERAGE('20250815_ETF_Options_Exhibits'!E723:E727),"")</f>
        <v/>
      </c>
      <c r="F727" s="3">
        <f>IF(ISNUMBER(AVERAGE('20250815_ETF_Options_Exhibits'!F723:F727)),AVERAGE('20250815_ETF_Options_Exhibits'!F723:F727),"")</f>
        <v/>
      </c>
      <c r="G727" s="3">
        <f>IF(ISNUMBER(AVERAGE('20250815_ETF_Options_Exhibits'!G723:G727)),AVERAGE('20250815_ETF_Options_Exhibits'!G723:G727),"")</f>
        <v/>
      </c>
      <c r="H727" s="3">
        <f>IF(ISNUMBER(AVERAGE('20250815_ETF_Options_Exhibits'!H723:H727)),AVERAGE('20250815_ETF_Options_Exhibits'!H723:H727),"")</f>
        <v/>
      </c>
      <c r="I727" s="3">
        <f>IF(ISNUMBER(AVERAGE('20250815_ETF_Options_Exhibits'!I723:I727)),AVERAGE('20250815_ETF_Options_Exhibits'!I723:I727),"")</f>
        <v/>
      </c>
      <c r="J727" s="3">
        <f>IF(ISNUMBER(AVERAGE('20250815_ETF_Options_Exhibits'!J723:J727)),AVERAGE('20250815_ETF_Options_Exhibits'!J723:J727),"")</f>
        <v/>
      </c>
      <c r="K727" s="3">
        <f>IF(ISNUMBER(AVERAGE('20250815_ETF_Options_Exhibits'!K723:K727)),AVERAGE('20250815_ETF_Options_Exhibits'!K723:K727),"")</f>
        <v/>
      </c>
      <c r="L727" s="3">
        <f>IF(ISNUMBER(AVERAGE('20250815_ETF_Options_Exhibits'!L723:L727)),AVERAGE('20250815_ETF_Options_Exhibits'!L723:L727),"")</f>
        <v/>
      </c>
      <c r="M727" s="3">
        <f>IF(ISNUMBER(AVERAGE('20250815_ETF_Options_Exhibits'!M723:M727)),AVERAGE('20250815_ETF_Options_Exhibits'!M723:M727),"")</f>
        <v/>
      </c>
      <c r="N727" s="3">
        <f>IF(ISNUMBER(AVERAGE('20250815_ETF_Options_Exhibits'!N723:N727)),AVERAGE('20250815_ETF_Options_Exhibits'!N723:N727),"")</f>
        <v/>
      </c>
      <c r="O727" s="3">
        <f>IF(ISNUMBER(AVERAGE('20250815_ETF_Options_Exhibits'!O723:O727)),AVERAGE('20250815_ETF_Options_Exhibits'!O723:O727),"")</f>
        <v/>
      </c>
      <c r="P727" s="3">
        <f>IF(ISNUMBER(AVERAGE('20250815_ETF_Options_Exhibits'!P723:P727)),AVERAGE('20250815_ETF_Options_Exhibits'!P723:P727),"")</f>
        <v/>
      </c>
      <c r="Q727" s="3">
        <f>IF(ISNUMBER(AVERAGE('20250815_ETF_Options_Exhibits'!Q723:Q727)),AVERAGE('20250815_ETF_Options_Exhibits'!Q723:Q727),"")</f>
        <v/>
      </c>
      <c r="R727" s="3">
        <f>IF(ISNUMBER(AVERAGE('20250815_ETF_Options_Exhibits'!R723:R727)),AVERAGE('20250815_ETF_Options_Exhibits'!R723:R727),"")</f>
        <v/>
      </c>
      <c r="S727" s="3">
        <f>IF(ISNUMBER(AVERAGE('20250815_ETF_Options_Exhibits'!S723:S727)),AVERAGE('20250815_ETF_Options_Exhibits'!S723:S727),"")</f>
        <v/>
      </c>
      <c r="T727" s="3">
        <f>IF(ISNUMBER(AVERAGE('20250815_ETF_Options_Exhibits'!T723:T727)),AVERAGE('20250815_ETF_Options_Exhibits'!T723:T727),"")</f>
        <v/>
      </c>
      <c r="U727" s="3">
        <f>IF(ISNUMBER(AVERAGE('20250815_ETF_Options_Exhibits'!U723:U727)),AVERAGE('20250815_ETF_Options_Exhibits'!U723:U727),"")</f>
        <v/>
      </c>
      <c r="V727" s="3">
        <f>IF(ISNUMBER(AVERAGE('20250815_ETF_Options_Exhibits'!V723:V727)),AVERAGE('20250815_ETF_Options_Exhibits'!V723:V727),"")</f>
        <v/>
      </c>
      <c r="W727" s="3">
        <f>IF(ISNUMBER(AVERAGE('20250815_ETF_Options_Exhibits'!W723:W727)),AVERAGE('20250815_ETF_Options_Exhibits'!W723:W727),"")</f>
        <v/>
      </c>
      <c r="X727" s="3">
        <f>IF(ISNUMBER(AVERAGE('20250815_ETF_Options_Exhibits'!X723:X727)),AVERAGE('20250815_ETF_Options_Exhibits'!X723:X727),"")</f>
        <v/>
      </c>
      <c r="Y727" s="3">
        <f>IF(ISNUMBER(AVERAGE('20250815_ETF_Options_Exhibits'!Y723:Y727)),AVERAGE('20250815_ETF_Options_Exhibits'!Y723:Y727),"")</f>
        <v/>
      </c>
      <c r="Z727" s="3">
        <f>IF(ISNUMBER(AVERAGE('20250815_ETF_Options_Exhibits'!Z723:Z727)),AVERAGE('20250815_ETF_Options_Exhibits'!Z723:Z727),"")</f>
        <v/>
      </c>
      <c r="AA727" s="3">
        <f>IF(ISNUMBER(AVERAGE('20250815_ETF_Options_Exhibits'!AA723:AA727)),AVERAGE('20250815_ETF_Options_Exhibits'!AA723:AA727),"")</f>
        <v/>
      </c>
    </row>
    <row r="728">
      <c r="A728" s="1" t="n">
        <v>43055</v>
      </c>
      <c r="B728" s="3">
        <f>IF(ISNUMBER(AVERAGE('20250815_ETF_Options_Exhibits'!B724:B728)),AVERAGE('20250815_ETF_Options_Exhibits'!B724:B728),"")</f>
        <v/>
      </c>
      <c r="C728" s="3">
        <f>IF(ISNUMBER(AVERAGE('20250815_ETF_Options_Exhibits'!C724:C728)),AVERAGE('20250815_ETF_Options_Exhibits'!C724:C728),"")</f>
        <v/>
      </c>
      <c r="D728" s="3">
        <f>IF(ISNUMBER(AVERAGE('20250815_ETF_Options_Exhibits'!D724:D728)),AVERAGE('20250815_ETF_Options_Exhibits'!D724:D728),"")</f>
        <v/>
      </c>
      <c r="E728" s="3">
        <f>IF(ISNUMBER(AVERAGE('20250815_ETF_Options_Exhibits'!E724:E728)),AVERAGE('20250815_ETF_Options_Exhibits'!E724:E728),"")</f>
        <v/>
      </c>
      <c r="F728" s="3">
        <f>IF(ISNUMBER(AVERAGE('20250815_ETF_Options_Exhibits'!F724:F728)),AVERAGE('20250815_ETF_Options_Exhibits'!F724:F728),"")</f>
        <v/>
      </c>
      <c r="G728" s="3">
        <f>IF(ISNUMBER(AVERAGE('20250815_ETF_Options_Exhibits'!G724:G728)),AVERAGE('20250815_ETF_Options_Exhibits'!G724:G728),"")</f>
        <v/>
      </c>
      <c r="H728" s="3">
        <f>IF(ISNUMBER(AVERAGE('20250815_ETF_Options_Exhibits'!H724:H728)),AVERAGE('20250815_ETF_Options_Exhibits'!H724:H728),"")</f>
        <v/>
      </c>
      <c r="I728" s="3">
        <f>IF(ISNUMBER(AVERAGE('20250815_ETF_Options_Exhibits'!I724:I728)),AVERAGE('20250815_ETF_Options_Exhibits'!I724:I728),"")</f>
        <v/>
      </c>
      <c r="J728" s="3">
        <f>IF(ISNUMBER(AVERAGE('20250815_ETF_Options_Exhibits'!J724:J728)),AVERAGE('20250815_ETF_Options_Exhibits'!J724:J728),"")</f>
        <v/>
      </c>
      <c r="K728" s="3">
        <f>IF(ISNUMBER(AVERAGE('20250815_ETF_Options_Exhibits'!K724:K728)),AVERAGE('20250815_ETF_Options_Exhibits'!K724:K728),"")</f>
        <v/>
      </c>
      <c r="L728" s="3">
        <f>IF(ISNUMBER(AVERAGE('20250815_ETF_Options_Exhibits'!L724:L728)),AVERAGE('20250815_ETF_Options_Exhibits'!L724:L728),"")</f>
        <v/>
      </c>
      <c r="M728" s="3">
        <f>IF(ISNUMBER(AVERAGE('20250815_ETF_Options_Exhibits'!M724:M728)),AVERAGE('20250815_ETF_Options_Exhibits'!M724:M728),"")</f>
        <v/>
      </c>
      <c r="N728" s="3">
        <f>IF(ISNUMBER(AVERAGE('20250815_ETF_Options_Exhibits'!N724:N728)),AVERAGE('20250815_ETF_Options_Exhibits'!N724:N728),"")</f>
        <v/>
      </c>
      <c r="O728" s="3">
        <f>IF(ISNUMBER(AVERAGE('20250815_ETF_Options_Exhibits'!O724:O728)),AVERAGE('20250815_ETF_Options_Exhibits'!O724:O728),"")</f>
        <v/>
      </c>
      <c r="P728" s="3">
        <f>IF(ISNUMBER(AVERAGE('20250815_ETF_Options_Exhibits'!P724:P728)),AVERAGE('20250815_ETF_Options_Exhibits'!P724:P728),"")</f>
        <v/>
      </c>
      <c r="Q728" s="3">
        <f>IF(ISNUMBER(AVERAGE('20250815_ETF_Options_Exhibits'!Q724:Q728)),AVERAGE('20250815_ETF_Options_Exhibits'!Q724:Q728),"")</f>
        <v/>
      </c>
      <c r="R728" s="3">
        <f>IF(ISNUMBER(AVERAGE('20250815_ETF_Options_Exhibits'!R724:R728)),AVERAGE('20250815_ETF_Options_Exhibits'!R724:R728),"")</f>
        <v/>
      </c>
      <c r="S728" s="3">
        <f>IF(ISNUMBER(AVERAGE('20250815_ETF_Options_Exhibits'!S724:S728)),AVERAGE('20250815_ETF_Options_Exhibits'!S724:S728),"")</f>
        <v/>
      </c>
      <c r="T728" s="3">
        <f>IF(ISNUMBER(AVERAGE('20250815_ETF_Options_Exhibits'!T724:T728)),AVERAGE('20250815_ETF_Options_Exhibits'!T724:T728),"")</f>
        <v/>
      </c>
      <c r="U728" s="3">
        <f>IF(ISNUMBER(AVERAGE('20250815_ETF_Options_Exhibits'!U724:U728)),AVERAGE('20250815_ETF_Options_Exhibits'!U724:U728),"")</f>
        <v/>
      </c>
      <c r="V728" s="3">
        <f>IF(ISNUMBER(AVERAGE('20250815_ETF_Options_Exhibits'!V724:V728)),AVERAGE('20250815_ETF_Options_Exhibits'!V724:V728),"")</f>
        <v/>
      </c>
      <c r="W728" s="3">
        <f>IF(ISNUMBER(AVERAGE('20250815_ETF_Options_Exhibits'!W724:W728)),AVERAGE('20250815_ETF_Options_Exhibits'!W724:W728),"")</f>
        <v/>
      </c>
      <c r="X728" s="3">
        <f>IF(ISNUMBER(AVERAGE('20250815_ETF_Options_Exhibits'!X724:X728)),AVERAGE('20250815_ETF_Options_Exhibits'!X724:X728),"")</f>
        <v/>
      </c>
      <c r="Y728" s="3">
        <f>IF(ISNUMBER(AVERAGE('20250815_ETF_Options_Exhibits'!Y724:Y728)),AVERAGE('20250815_ETF_Options_Exhibits'!Y724:Y728),"")</f>
        <v/>
      </c>
      <c r="Z728" s="3">
        <f>IF(ISNUMBER(AVERAGE('20250815_ETF_Options_Exhibits'!Z724:Z728)),AVERAGE('20250815_ETF_Options_Exhibits'!Z724:Z728),"")</f>
        <v/>
      </c>
      <c r="AA728" s="3">
        <f>IF(ISNUMBER(AVERAGE('20250815_ETF_Options_Exhibits'!AA724:AA728)),AVERAGE('20250815_ETF_Options_Exhibits'!AA724:AA728),"")</f>
        <v/>
      </c>
    </row>
    <row r="729">
      <c r="A729" s="1" t="n">
        <v>43056</v>
      </c>
      <c r="B729" s="3">
        <f>IF(ISNUMBER(AVERAGE('20250815_ETF_Options_Exhibits'!B725:B729)),AVERAGE('20250815_ETF_Options_Exhibits'!B725:B729),"")</f>
        <v/>
      </c>
      <c r="C729" s="3">
        <f>IF(ISNUMBER(AVERAGE('20250815_ETF_Options_Exhibits'!C725:C729)),AVERAGE('20250815_ETF_Options_Exhibits'!C725:C729),"")</f>
        <v/>
      </c>
      <c r="D729" s="3">
        <f>IF(ISNUMBER(AVERAGE('20250815_ETF_Options_Exhibits'!D725:D729)),AVERAGE('20250815_ETF_Options_Exhibits'!D725:D729),"")</f>
        <v/>
      </c>
      <c r="E729" s="3">
        <f>IF(ISNUMBER(AVERAGE('20250815_ETF_Options_Exhibits'!E725:E729)),AVERAGE('20250815_ETF_Options_Exhibits'!E725:E729),"")</f>
        <v/>
      </c>
      <c r="F729" s="3">
        <f>IF(ISNUMBER(AVERAGE('20250815_ETF_Options_Exhibits'!F725:F729)),AVERAGE('20250815_ETF_Options_Exhibits'!F725:F729),"")</f>
        <v/>
      </c>
      <c r="G729" s="3">
        <f>IF(ISNUMBER(AVERAGE('20250815_ETF_Options_Exhibits'!G725:G729)),AVERAGE('20250815_ETF_Options_Exhibits'!G725:G729),"")</f>
        <v/>
      </c>
      <c r="H729" s="3">
        <f>IF(ISNUMBER(AVERAGE('20250815_ETF_Options_Exhibits'!H725:H729)),AVERAGE('20250815_ETF_Options_Exhibits'!H725:H729),"")</f>
        <v/>
      </c>
      <c r="I729" s="3">
        <f>IF(ISNUMBER(AVERAGE('20250815_ETF_Options_Exhibits'!I725:I729)),AVERAGE('20250815_ETF_Options_Exhibits'!I725:I729),"")</f>
        <v/>
      </c>
      <c r="J729" s="3">
        <f>IF(ISNUMBER(AVERAGE('20250815_ETF_Options_Exhibits'!J725:J729)),AVERAGE('20250815_ETF_Options_Exhibits'!J725:J729),"")</f>
        <v/>
      </c>
      <c r="K729" s="3">
        <f>IF(ISNUMBER(AVERAGE('20250815_ETF_Options_Exhibits'!K725:K729)),AVERAGE('20250815_ETF_Options_Exhibits'!K725:K729),"")</f>
        <v/>
      </c>
      <c r="L729" s="3">
        <f>IF(ISNUMBER(AVERAGE('20250815_ETF_Options_Exhibits'!L725:L729)),AVERAGE('20250815_ETF_Options_Exhibits'!L725:L729),"")</f>
        <v/>
      </c>
      <c r="M729" s="3">
        <f>IF(ISNUMBER(AVERAGE('20250815_ETF_Options_Exhibits'!M725:M729)),AVERAGE('20250815_ETF_Options_Exhibits'!M725:M729),"")</f>
        <v/>
      </c>
      <c r="N729" s="3">
        <f>IF(ISNUMBER(AVERAGE('20250815_ETF_Options_Exhibits'!N725:N729)),AVERAGE('20250815_ETF_Options_Exhibits'!N725:N729),"")</f>
        <v/>
      </c>
      <c r="O729" s="3">
        <f>IF(ISNUMBER(AVERAGE('20250815_ETF_Options_Exhibits'!O725:O729)),AVERAGE('20250815_ETF_Options_Exhibits'!O725:O729),"")</f>
        <v/>
      </c>
      <c r="P729" s="3">
        <f>IF(ISNUMBER(AVERAGE('20250815_ETF_Options_Exhibits'!P725:P729)),AVERAGE('20250815_ETF_Options_Exhibits'!P725:P729),"")</f>
        <v/>
      </c>
      <c r="Q729" s="3">
        <f>IF(ISNUMBER(AVERAGE('20250815_ETF_Options_Exhibits'!Q725:Q729)),AVERAGE('20250815_ETF_Options_Exhibits'!Q725:Q729),"")</f>
        <v/>
      </c>
      <c r="R729" s="3">
        <f>IF(ISNUMBER(AVERAGE('20250815_ETF_Options_Exhibits'!R725:R729)),AVERAGE('20250815_ETF_Options_Exhibits'!R725:R729),"")</f>
        <v/>
      </c>
      <c r="S729" s="3">
        <f>IF(ISNUMBER(AVERAGE('20250815_ETF_Options_Exhibits'!S725:S729)),AVERAGE('20250815_ETF_Options_Exhibits'!S725:S729),"")</f>
        <v/>
      </c>
      <c r="T729" s="3">
        <f>IF(ISNUMBER(AVERAGE('20250815_ETF_Options_Exhibits'!T725:T729)),AVERAGE('20250815_ETF_Options_Exhibits'!T725:T729),"")</f>
        <v/>
      </c>
      <c r="U729" s="3">
        <f>IF(ISNUMBER(AVERAGE('20250815_ETF_Options_Exhibits'!U725:U729)),AVERAGE('20250815_ETF_Options_Exhibits'!U725:U729),"")</f>
        <v/>
      </c>
      <c r="V729" s="3">
        <f>IF(ISNUMBER(AVERAGE('20250815_ETF_Options_Exhibits'!V725:V729)),AVERAGE('20250815_ETF_Options_Exhibits'!V725:V729),"")</f>
        <v/>
      </c>
      <c r="W729" s="3">
        <f>IF(ISNUMBER(AVERAGE('20250815_ETF_Options_Exhibits'!W725:W729)),AVERAGE('20250815_ETF_Options_Exhibits'!W725:W729),"")</f>
        <v/>
      </c>
      <c r="X729" s="3">
        <f>IF(ISNUMBER(AVERAGE('20250815_ETF_Options_Exhibits'!X725:X729)),AVERAGE('20250815_ETF_Options_Exhibits'!X725:X729),"")</f>
        <v/>
      </c>
      <c r="Y729" s="3">
        <f>IF(ISNUMBER(AVERAGE('20250815_ETF_Options_Exhibits'!Y725:Y729)),AVERAGE('20250815_ETF_Options_Exhibits'!Y725:Y729),"")</f>
        <v/>
      </c>
      <c r="Z729" s="3">
        <f>IF(ISNUMBER(AVERAGE('20250815_ETF_Options_Exhibits'!Z725:Z729)),AVERAGE('20250815_ETF_Options_Exhibits'!Z725:Z729),"")</f>
        <v/>
      </c>
      <c r="AA729" s="3">
        <f>IF(ISNUMBER(AVERAGE('20250815_ETF_Options_Exhibits'!AA725:AA729)),AVERAGE('20250815_ETF_Options_Exhibits'!AA725:AA729),"")</f>
        <v/>
      </c>
    </row>
    <row r="730">
      <c r="A730" s="1" t="n">
        <v>43059</v>
      </c>
      <c r="B730" s="3">
        <f>IF(ISNUMBER(AVERAGE('20250815_ETF_Options_Exhibits'!B726:B730)),AVERAGE('20250815_ETF_Options_Exhibits'!B726:B730),"")</f>
        <v/>
      </c>
      <c r="C730" s="3">
        <f>IF(ISNUMBER(AVERAGE('20250815_ETF_Options_Exhibits'!C726:C730)),AVERAGE('20250815_ETF_Options_Exhibits'!C726:C730),"")</f>
        <v/>
      </c>
      <c r="D730" s="3">
        <f>IF(ISNUMBER(AVERAGE('20250815_ETF_Options_Exhibits'!D726:D730)),AVERAGE('20250815_ETF_Options_Exhibits'!D726:D730),"")</f>
        <v/>
      </c>
      <c r="E730" s="3">
        <f>IF(ISNUMBER(AVERAGE('20250815_ETF_Options_Exhibits'!E726:E730)),AVERAGE('20250815_ETF_Options_Exhibits'!E726:E730),"")</f>
        <v/>
      </c>
      <c r="F730" s="3">
        <f>IF(ISNUMBER(AVERAGE('20250815_ETF_Options_Exhibits'!F726:F730)),AVERAGE('20250815_ETF_Options_Exhibits'!F726:F730),"")</f>
        <v/>
      </c>
      <c r="G730" s="3">
        <f>IF(ISNUMBER(AVERAGE('20250815_ETF_Options_Exhibits'!G726:G730)),AVERAGE('20250815_ETF_Options_Exhibits'!G726:G730),"")</f>
        <v/>
      </c>
      <c r="H730" s="3">
        <f>IF(ISNUMBER(AVERAGE('20250815_ETF_Options_Exhibits'!H726:H730)),AVERAGE('20250815_ETF_Options_Exhibits'!H726:H730),"")</f>
        <v/>
      </c>
      <c r="I730" s="3">
        <f>IF(ISNUMBER(AVERAGE('20250815_ETF_Options_Exhibits'!I726:I730)),AVERAGE('20250815_ETF_Options_Exhibits'!I726:I730),"")</f>
        <v/>
      </c>
      <c r="J730" s="3">
        <f>IF(ISNUMBER(AVERAGE('20250815_ETF_Options_Exhibits'!J726:J730)),AVERAGE('20250815_ETF_Options_Exhibits'!J726:J730),"")</f>
        <v/>
      </c>
      <c r="K730" s="3">
        <f>IF(ISNUMBER(AVERAGE('20250815_ETF_Options_Exhibits'!K726:K730)),AVERAGE('20250815_ETF_Options_Exhibits'!K726:K730),"")</f>
        <v/>
      </c>
      <c r="L730" s="3">
        <f>IF(ISNUMBER(AVERAGE('20250815_ETF_Options_Exhibits'!L726:L730)),AVERAGE('20250815_ETF_Options_Exhibits'!L726:L730),"")</f>
        <v/>
      </c>
      <c r="M730" s="3">
        <f>IF(ISNUMBER(AVERAGE('20250815_ETF_Options_Exhibits'!M726:M730)),AVERAGE('20250815_ETF_Options_Exhibits'!M726:M730),"")</f>
        <v/>
      </c>
      <c r="N730" s="3">
        <f>IF(ISNUMBER(AVERAGE('20250815_ETF_Options_Exhibits'!N726:N730)),AVERAGE('20250815_ETF_Options_Exhibits'!N726:N730),"")</f>
        <v/>
      </c>
      <c r="O730" s="3">
        <f>IF(ISNUMBER(AVERAGE('20250815_ETF_Options_Exhibits'!O726:O730)),AVERAGE('20250815_ETF_Options_Exhibits'!O726:O730),"")</f>
        <v/>
      </c>
      <c r="P730" s="3">
        <f>IF(ISNUMBER(AVERAGE('20250815_ETF_Options_Exhibits'!P726:P730)),AVERAGE('20250815_ETF_Options_Exhibits'!P726:P730),"")</f>
        <v/>
      </c>
      <c r="Q730" s="3">
        <f>IF(ISNUMBER(AVERAGE('20250815_ETF_Options_Exhibits'!Q726:Q730)),AVERAGE('20250815_ETF_Options_Exhibits'!Q726:Q730),"")</f>
        <v/>
      </c>
      <c r="R730" s="3">
        <f>IF(ISNUMBER(AVERAGE('20250815_ETF_Options_Exhibits'!R726:R730)),AVERAGE('20250815_ETF_Options_Exhibits'!R726:R730),"")</f>
        <v/>
      </c>
      <c r="S730" s="3">
        <f>IF(ISNUMBER(AVERAGE('20250815_ETF_Options_Exhibits'!S726:S730)),AVERAGE('20250815_ETF_Options_Exhibits'!S726:S730),"")</f>
        <v/>
      </c>
      <c r="T730" s="3">
        <f>IF(ISNUMBER(AVERAGE('20250815_ETF_Options_Exhibits'!T726:T730)),AVERAGE('20250815_ETF_Options_Exhibits'!T726:T730),"")</f>
        <v/>
      </c>
      <c r="U730" s="3">
        <f>IF(ISNUMBER(AVERAGE('20250815_ETF_Options_Exhibits'!U726:U730)),AVERAGE('20250815_ETF_Options_Exhibits'!U726:U730),"")</f>
        <v/>
      </c>
      <c r="V730" s="3">
        <f>IF(ISNUMBER(AVERAGE('20250815_ETF_Options_Exhibits'!V726:V730)),AVERAGE('20250815_ETF_Options_Exhibits'!V726:V730),"")</f>
        <v/>
      </c>
      <c r="W730" s="3">
        <f>IF(ISNUMBER(AVERAGE('20250815_ETF_Options_Exhibits'!W726:W730)),AVERAGE('20250815_ETF_Options_Exhibits'!W726:W730),"")</f>
        <v/>
      </c>
      <c r="X730" s="3">
        <f>IF(ISNUMBER(AVERAGE('20250815_ETF_Options_Exhibits'!X726:X730)),AVERAGE('20250815_ETF_Options_Exhibits'!X726:X730),"")</f>
        <v/>
      </c>
      <c r="Y730" s="3">
        <f>IF(ISNUMBER(AVERAGE('20250815_ETF_Options_Exhibits'!Y726:Y730)),AVERAGE('20250815_ETF_Options_Exhibits'!Y726:Y730),"")</f>
        <v/>
      </c>
      <c r="Z730" s="3">
        <f>IF(ISNUMBER(AVERAGE('20250815_ETF_Options_Exhibits'!Z726:Z730)),AVERAGE('20250815_ETF_Options_Exhibits'!Z726:Z730),"")</f>
        <v/>
      </c>
      <c r="AA730" s="3">
        <f>IF(ISNUMBER(AVERAGE('20250815_ETF_Options_Exhibits'!AA726:AA730)),AVERAGE('20250815_ETF_Options_Exhibits'!AA726:AA730),"")</f>
        <v/>
      </c>
    </row>
    <row r="731">
      <c r="A731" s="1" t="n">
        <v>43060</v>
      </c>
      <c r="B731" s="3">
        <f>IF(ISNUMBER(AVERAGE('20250815_ETF_Options_Exhibits'!B727:B731)),AVERAGE('20250815_ETF_Options_Exhibits'!B727:B731),"")</f>
        <v/>
      </c>
      <c r="C731" s="3">
        <f>IF(ISNUMBER(AVERAGE('20250815_ETF_Options_Exhibits'!C727:C731)),AVERAGE('20250815_ETF_Options_Exhibits'!C727:C731),"")</f>
        <v/>
      </c>
      <c r="D731" s="3">
        <f>IF(ISNUMBER(AVERAGE('20250815_ETF_Options_Exhibits'!D727:D731)),AVERAGE('20250815_ETF_Options_Exhibits'!D727:D731),"")</f>
        <v/>
      </c>
      <c r="E731" s="3">
        <f>IF(ISNUMBER(AVERAGE('20250815_ETF_Options_Exhibits'!E727:E731)),AVERAGE('20250815_ETF_Options_Exhibits'!E727:E731),"")</f>
        <v/>
      </c>
      <c r="F731" s="3">
        <f>IF(ISNUMBER(AVERAGE('20250815_ETF_Options_Exhibits'!F727:F731)),AVERAGE('20250815_ETF_Options_Exhibits'!F727:F731),"")</f>
        <v/>
      </c>
      <c r="G731" s="3">
        <f>IF(ISNUMBER(AVERAGE('20250815_ETF_Options_Exhibits'!G727:G731)),AVERAGE('20250815_ETF_Options_Exhibits'!G727:G731),"")</f>
        <v/>
      </c>
      <c r="H731" s="3">
        <f>IF(ISNUMBER(AVERAGE('20250815_ETF_Options_Exhibits'!H727:H731)),AVERAGE('20250815_ETF_Options_Exhibits'!H727:H731),"")</f>
        <v/>
      </c>
      <c r="I731" s="3">
        <f>IF(ISNUMBER(AVERAGE('20250815_ETF_Options_Exhibits'!I727:I731)),AVERAGE('20250815_ETF_Options_Exhibits'!I727:I731),"")</f>
        <v/>
      </c>
      <c r="J731" s="3">
        <f>IF(ISNUMBER(AVERAGE('20250815_ETF_Options_Exhibits'!J727:J731)),AVERAGE('20250815_ETF_Options_Exhibits'!J727:J731),"")</f>
        <v/>
      </c>
      <c r="K731" s="3">
        <f>IF(ISNUMBER(AVERAGE('20250815_ETF_Options_Exhibits'!K727:K731)),AVERAGE('20250815_ETF_Options_Exhibits'!K727:K731),"")</f>
        <v/>
      </c>
      <c r="L731" s="3">
        <f>IF(ISNUMBER(AVERAGE('20250815_ETF_Options_Exhibits'!L727:L731)),AVERAGE('20250815_ETF_Options_Exhibits'!L727:L731),"")</f>
        <v/>
      </c>
      <c r="M731" s="3">
        <f>IF(ISNUMBER(AVERAGE('20250815_ETF_Options_Exhibits'!M727:M731)),AVERAGE('20250815_ETF_Options_Exhibits'!M727:M731),"")</f>
        <v/>
      </c>
      <c r="N731" s="3">
        <f>IF(ISNUMBER(AVERAGE('20250815_ETF_Options_Exhibits'!N727:N731)),AVERAGE('20250815_ETF_Options_Exhibits'!N727:N731),"")</f>
        <v/>
      </c>
      <c r="O731" s="3">
        <f>IF(ISNUMBER(AVERAGE('20250815_ETF_Options_Exhibits'!O727:O731)),AVERAGE('20250815_ETF_Options_Exhibits'!O727:O731),"")</f>
        <v/>
      </c>
      <c r="P731" s="3">
        <f>IF(ISNUMBER(AVERAGE('20250815_ETF_Options_Exhibits'!P727:P731)),AVERAGE('20250815_ETF_Options_Exhibits'!P727:P731),"")</f>
        <v/>
      </c>
      <c r="Q731" s="3">
        <f>IF(ISNUMBER(AVERAGE('20250815_ETF_Options_Exhibits'!Q727:Q731)),AVERAGE('20250815_ETF_Options_Exhibits'!Q727:Q731),"")</f>
        <v/>
      </c>
      <c r="R731" s="3">
        <f>IF(ISNUMBER(AVERAGE('20250815_ETF_Options_Exhibits'!R727:R731)),AVERAGE('20250815_ETF_Options_Exhibits'!R727:R731),"")</f>
        <v/>
      </c>
      <c r="S731" s="3">
        <f>IF(ISNUMBER(AVERAGE('20250815_ETF_Options_Exhibits'!S727:S731)),AVERAGE('20250815_ETF_Options_Exhibits'!S727:S731),"")</f>
        <v/>
      </c>
      <c r="T731" s="3">
        <f>IF(ISNUMBER(AVERAGE('20250815_ETF_Options_Exhibits'!T727:T731)),AVERAGE('20250815_ETF_Options_Exhibits'!T727:T731),"")</f>
        <v/>
      </c>
      <c r="U731" s="3">
        <f>IF(ISNUMBER(AVERAGE('20250815_ETF_Options_Exhibits'!U727:U731)),AVERAGE('20250815_ETF_Options_Exhibits'!U727:U731),"")</f>
        <v/>
      </c>
      <c r="V731" s="3">
        <f>IF(ISNUMBER(AVERAGE('20250815_ETF_Options_Exhibits'!V727:V731)),AVERAGE('20250815_ETF_Options_Exhibits'!V727:V731),"")</f>
        <v/>
      </c>
      <c r="W731" s="3">
        <f>IF(ISNUMBER(AVERAGE('20250815_ETF_Options_Exhibits'!W727:W731)),AVERAGE('20250815_ETF_Options_Exhibits'!W727:W731),"")</f>
        <v/>
      </c>
      <c r="X731" s="3">
        <f>IF(ISNUMBER(AVERAGE('20250815_ETF_Options_Exhibits'!X727:X731)),AVERAGE('20250815_ETF_Options_Exhibits'!X727:X731),"")</f>
        <v/>
      </c>
      <c r="Y731" s="3">
        <f>IF(ISNUMBER(AVERAGE('20250815_ETF_Options_Exhibits'!Y727:Y731)),AVERAGE('20250815_ETF_Options_Exhibits'!Y727:Y731),"")</f>
        <v/>
      </c>
      <c r="Z731" s="3">
        <f>IF(ISNUMBER(AVERAGE('20250815_ETF_Options_Exhibits'!Z727:Z731)),AVERAGE('20250815_ETF_Options_Exhibits'!Z727:Z731),"")</f>
        <v/>
      </c>
      <c r="AA731" s="3">
        <f>IF(ISNUMBER(AVERAGE('20250815_ETF_Options_Exhibits'!AA727:AA731)),AVERAGE('20250815_ETF_Options_Exhibits'!AA727:AA731),"")</f>
        <v/>
      </c>
    </row>
    <row r="732">
      <c r="A732" s="1" t="n">
        <v>43061</v>
      </c>
      <c r="B732" s="3">
        <f>IF(ISNUMBER(AVERAGE('20250815_ETF_Options_Exhibits'!B728:B732)),AVERAGE('20250815_ETF_Options_Exhibits'!B728:B732),"")</f>
        <v/>
      </c>
      <c r="C732" s="3">
        <f>IF(ISNUMBER(AVERAGE('20250815_ETF_Options_Exhibits'!C728:C732)),AVERAGE('20250815_ETF_Options_Exhibits'!C728:C732),"")</f>
        <v/>
      </c>
      <c r="D732" s="3">
        <f>IF(ISNUMBER(AVERAGE('20250815_ETF_Options_Exhibits'!D728:D732)),AVERAGE('20250815_ETF_Options_Exhibits'!D728:D732),"")</f>
        <v/>
      </c>
      <c r="E732" s="3">
        <f>IF(ISNUMBER(AVERAGE('20250815_ETF_Options_Exhibits'!E728:E732)),AVERAGE('20250815_ETF_Options_Exhibits'!E728:E732),"")</f>
        <v/>
      </c>
      <c r="F732" s="3">
        <f>IF(ISNUMBER(AVERAGE('20250815_ETF_Options_Exhibits'!F728:F732)),AVERAGE('20250815_ETF_Options_Exhibits'!F728:F732),"")</f>
        <v/>
      </c>
      <c r="G732" s="3">
        <f>IF(ISNUMBER(AVERAGE('20250815_ETF_Options_Exhibits'!G728:G732)),AVERAGE('20250815_ETF_Options_Exhibits'!G728:G732),"")</f>
        <v/>
      </c>
      <c r="H732" s="3">
        <f>IF(ISNUMBER(AVERAGE('20250815_ETF_Options_Exhibits'!H728:H732)),AVERAGE('20250815_ETF_Options_Exhibits'!H728:H732),"")</f>
        <v/>
      </c>
      <c r="I732" s="3">
        <f>IF(ISNUMBER(AVERAGE('20250815_ETF_Options_Exhibits'!I728:I732)),AVERAGE('20250815_ETF_Options_Exhibits'!I728:I732),"")</f>
        <v/>
      </c>
      <c r="J732" s="3">
        <f>IF(ISNUMBER(AVERAGE('20250815_ETF_Options_Exhibits'!J728:J732)),AVERAGE('20250815_ETF_Options_Exhibits'!J728:J732),"")</f>
        <v/>
      </c>
      <c r="K732" s="3">
        <f>IF(ISNUMBER(AVERAGE('20250815_ETF_Options_Exhibits'!K728:K732)),AVERAGE('20250815_ETF_Options_Exhibits'!K728:K732),"")</f>
        <v/>
      </c>
      <c r="L732" s="3">
        <f>IF(ISNUMBER(AVERAGE('20250815_ETF_Options_Exhibits'!L728:L732)),AVERAGE('20250815_ETF_Options_Exhibits'!L728:L732),"")</f>
        <v/>
      </c>
      <c r="M732" s="3">
        <f>IF(ISNUMBER(AVERAGE('20250815_ETF_Options_Exhibits'!M728:M732)),AVERAGE('20250815_ETF_Options_Exhibits'!M728:M732),"")</f>
        <v/>
      </c>
      <c r="N732" s="3">
        <f>IF(ISNUMBER(AVERAGE('20250815_ETF_Options_Exhibits'!N728:N732)),AVERAGE('20250815_ETF_Options_Exhibits'!N728:N732),"")</f>
        <v/>
      </c>
      <c r="O732" s="3">
        <f>IF(ISNUMBER(AVERAGE('20250815_ETF_Options_Exhibits'!O728:O732)),AVERAGE('20250815_ETF_Options_Exhibits'!O728:O732),"")</f>
        <v/>
      </c>
      <c r="P732" s="3">
        <f>IF(ISNUMBER(AVERAGE('20250815_ETF_Options_Exhibits'!P728:P732)),AVERAGE('20250815_ETF_Options_Exhibits'!P728:P732),"")</f>
        <v/>
      </c>
      <c r="Q732" s="3">
        <f>IF(ISNUMBER(AVERAGE('20250815_ETF_Options_Exhibits'!Q728:Q732)),AVERAGE('20250815_ETF_Options_Exhibits'!Q728:Q732),"")</f>
        <v/>
      </c>
      <c r="R732" s="3">
        <f>IF(ISNUMBER(AVERAGE('20250815_ETF_Options_Exhibits'!R728:R732)),AVERAGE('20250815_ETF_Options_Exhibits'!R728:R732),"")</f>
        <v/>
      </c>
      <c r="S732" s="3">
        <f>IF(ISNUMBER(AVERAGE('20250815_ETF_Options_Exhibits'!S728:S732)),AVERAGE('20250815_ETF_Options_Exhibits'!S728:S732),"")</f>
        <v/>
      </c>
      <c r="T732" s="3">
        <f>IF(ISNUMBER(AVERAGE('20250815_ETF_Options_Exhibits'!T728:T732)),AVERAGE('20250815_ETF_Options_Exhibits'!T728:T732),"")</f>
        <v/>
      </c>
      <c r="U732" s="3">
        <f>IF(ISNUMBER(AVERAGE('20250815_ETF_Options_Exhibits'!U728:U732)),AVERAGE('20250815_ETF_Options_Exhibits'!U728:U732),"")</f>
        <v/>
      </c>
      <c r="V732" s="3">
        <f>IF(ISNUMBER(AVERAGE('20250815_ETF_Options_Exhibits'!V728:V732)),AVERAGE('20250815_ETF_Options_Exhibits'!V728:V732),"")</f>
        <v/>
      </c>
      <c r="W732" s="3">
        <f>IF(ISNUMBER(AVERAGE('20250815_ETF_Options_Exhibits'!W728:W732)),AVERAGE('20250815_ETF_Options_Exhibits'!W728:W732),"")</f>
        <v/>
      </c>
      <c r="X732" s="3">
        <f>IF(ISNUMBER(AVERAGE('20250815_ETF_Options_Exhibits'!X728:X732)),AVERAGE('20250815_ETF_Options_Exhibits'!X728:X732),"")</f>
        <v/>
      </c>
      <c r="Y732" s="3">
        <f>IF(ISNUMBER(AVERAGE('20250815_ETF_Options_Exhibits'!Y728:Y732)),AVERAGE('20250815_ETF_Options_Exhibits'!Y728:Y732),"")</f>
        <v/>
      </c>
      <c r="Z732" s="3">
        <f>IF(ISNUMBER(AVERAGE('20250815_ETF_Options_Exhibits'!Z728:Z732)),AVERAGE('20250815_ETF_Options_Exhibits'!Z728:Z732),"")</f>
        <v/>
      </c>
      <c r="AA732" s="3">
        <f>IF(ISNUMBER(AVERAGE('20250815_ETF_Options_Exhibits'!AA728:AA732)),AVERAGE('20250815_ETF_Options_Exhibits'!AA728:AA732),"")</f>
        <v/>
      </c>
    </row>
    <row r="733">
      <c r="A733" s="1" t="n">
        <v>43063</v>
      </c>
      <c r="B733" s="3">
        <f>IF(ISNUMBER(AVERAGE('20250815_ETF_Options_Exhibits'!B729:B733)),AVERAGE('20250815_ETF_Options_Exhibits'!B729:B733),"")</f>
        <v/>
      </c>
      <c r="C733" s="3">
        <f>IF(ISNUMBER(AVERAGE('20250815_ETF_Options_Exhibits'!C729:C733)),AVERAGE('20250815_ETF_Options_Exhibits'!C729:C733),"")</f>
        <v/>
      </c>
      <c r="D733" s="3">
        <f>IF(ISNUMBER(AVERAGE('20250815_ETF_Options_Exhibits'!D729:D733)),AVERAGE('20250815_ETF_Options_Exhibits'!D729:D733),"")</f>
        <v/>
      </c>
      <c r="E733" s="3">
        <f>IF(ISNUMBER(AVERAGE('20250815_ETF_Options_Exhibits'!E729:E733)),AVERAGE('20250815_ETF_Options_Exhibits'!E729:E733),"")</f>
        <v/>
      </c>
      <c r="F733" s="3">
        <f>IF(ISNUMBER(AVERAGE('20250815_ETF_Options_Exhibits'!F729:F733)),AVERAGE('20250815_ETF_Options_Exhibits'!F729:F733),"")</f>
        <v/>
      </c>
      <c r="G733" s="3">
        <f>IF(ISNUMBER(AVERAGE('20250815_ETF_Options_Exhibits'!G729:G733)),AVERAGE('20250815_ETF_Options_Exhibits'!G729:G733),"")</f>
        <v/>
      </c>
      <c r="H733" s="3">
        <f>IF(ISNUMBER(AVERAGE('20250815_ETF_Options_Exhibits'!H729:H733)),AVERAGE('20250815_ETF_Options_Exhibits'!H729:H733),"")</f>
        <v/>
      </c>
      <c r="I733" s="3">
        <f>IF(ISNUMBER(AVERAGE('20250815_ETF_Options_Exhibits'!I729:I733)),AVERAGE('20250815_ETF_Options_Exhibits'!I729:I733),"")</f>
        <v/>
      </c>
      <c r="J733" s="3">
        <f>IF(ISNUMBER(AVERAGE('20250815_ETF_Options_Exhibits'!J729:J733)),AVERAGE('20250815_ETF_Options_Exhibits'!J729:J733),"")</f>
        <v/>
      </c>
      <c r="K733" s="3">
        <f>IF(ISNUMBER(AVERAGE('20250815_ETF_Options_Exhibits'!K729:K733)),AVERAGE('20250815_ETF_Options_Exhibits'!K729:K733),"")</f>
        <v/>
      </c>
      <c r="L733" s="3">
        <f>IF(ISNUMBER(AVERAGE('20250815_ETF_Options_Exhibits'!L729:L733)),AVERAGE('20250815_ETF_Options_Exhibits'!L729:L733),"")</f>
        <v/>
      </c>
      <c r="M733" s="3">
        <f>IF(ISNUMBER(AVERAGE('20250815_ETF_Options_Exhibits'!M729:M733)),AVERAGE('20250815_ETF_Options_Exhibits'!M729:M733),"")</f>
        <v/>
      </c>
      <c r="N733" s="3">
        <f>IF(ISNUMBER(AVERAGE('20250815_ETF_Options_Exhibits'!N729:N733)),AVERAGE('20250815_ETF_Options_Exhibits'!N729:N733),"")</f>
        <v/>
      </c>
      <c r="O733" s="3">
        <f>IF(ISNUMBER(AVERAGE('20250815_ETF_Options_Exhibits'!O729:O733)),AVERAGE('20250815_ETF_Options_Exhibits'!O729:O733),"")</f>
        <v/>
      </c>
      <c r="P733" s="3">
        <f>IF(ISNUMBER(AVERAGE('20250815_ETF_Options_Exhibits'!P729:P733)),AVERAGE('20250815_ETF_Options_Exhibits'!P729:P733),"")</f>
        <v/>
      </c>
      <c r="Q733" s="3">
        <f>IF(ISNUMBER(AVERAGE('20250815_ETF_Options_Exhibits'!Q729:Q733)),AVERAGE('20250815_ETF_Options_Exhibits'!Q729:Q733),"")</f>
        <v/>
      </c>
      <c r="R733" s="3">
        <f>IF(ISNUMBER(AVERAGE('20250815_ETF_Options_Exhibits'!R729:R733)),AVERAGE('20250815_ETF_Options_Exhibits'!R729:R733),"")</f>
        <v/>
      </c>
      <c r="S733" s="3">
        <f>IF(ISNUMBER(AVERAGE('20250815_ETF_Options_Exhibits'!S729:S733)),AVERAGE('20250815_ETF_Options_Exhibits'!S729:S733),"")</f>
        <v/>
      </c>
      <c r="T733" s="3">
        <f>IF(ISNUMBER(AVERAGE('20250815_ETF_Options_Exhibits'!T729:T733)),AVERAGE('20250815_ETF_Options_Exhibits'!T729:T733),"")</f>
        <v/>
      </c>
      <c r="U733" s="3">
        <f>IF(ISNUMBER(AVERAGE('20250815_ETF_Options_Exhibits'!U729:U733)),AVERAGE('20250815_ETF_Options_Exhibits'!U729:U733),"")</f>
        <v/>
      </c>
      <c r="V733" s="3">
        <f>IF(ISNUMBER(AVERAGE('20250815_ETF_Options_Exhibits'!V729:V733)),AVERAGE('20250815_ETF_Options_Exhibits'!V729:V733),"")</f>
        <v/>
      </c>
      <c r="W733" s="3">
        <f>IF(ISNUMBER(AVERAGE('20250815_ETF_Options_Exhibits'!W729:W733)),AVERAGE('20250815_ETF_Options_Exhibits'!W729:W733),"")</f>
        <v/>
      </c>
      <c r="X733" s="3">
        <f>IF(ISNUMBER(AVERAGE('20250815_ETF_Options_Exhibits'!X729:X733)),AVERAGE('20250815_ETF_Options_Exhibits'!X729:X733),"")</f>
        <v/>
      </c>
      <c r="Y733" s="3">
        <f>IF(ISNUMBER(AVERAGE('20250815_ETF_Options_Exhibits'!Y729:Y733)),AVERAGE('20250815_ETF_Options_Exhibits'!Y729:Y733),"")</f>
        <v/>
      </c>
      <c r="Z733" s="3">
        <f>IF(ISNUMBER(AVERAGE('20250815_ETF_Options_Exhibits'!Z729:Z733)),AVERAGE('20250815_ETF_Options_Exhibits'!Z729:Z733),"")</f>
        <v/>
      </c>
      <c r="AA733" s="3">
        <f>IF(ISNUMBER(AVERAGE('20250815_ETF_Options_Exhibits'!AA729:AA733)),AVERAGE('20250815_ETF_Options_Exhibits'!AA729:AA733),"")</f>
        <v/>
      </c>
    </row>
    <row r="734">
      <c r="A734" s="1" t="n">
        <v>43066</v>
      </c>
      <c r="B734" s="3">
        <f>IF(ISNUMBER(AVERAGE('20250815_ETF_Options_Exhibits'!B730:B734)),AVERAGE('20250815_ETF_Options_Exhibits'!B730:B734),"")</f>
        <v/>
      </c>
      <c r="C734" s="3">
        <f>IF(ISNUMBER(AVERAGE('20250815_ETF_Options_Exhibits'!C730:C734)),AVERAGE('20250815_ETF_Options_Exhibits'!C730:C734),"")</f>
        <v/>
      </c>
      <c r="D734" s="3">
        <f>IF(ISNUMBER(AVERAGE('20250815_ETF_Options_Exhibits'!D730:D734)),AVERAGE('20250815_ETF_Options_Exhibits'!D730:D734),"")</f>
        <v/>
      </c>
      <c r="E734" s="3">
        <f>IF(ISNUMBER(AVERAGE('20250815_ETF_Options_Exhibits'!E730:E734)),AVERAGE('20250815_ETF_Options_Exhibits'!E730:E734),"")</f>
        <v/>
      </c>
      <c r="F734" s="3">
        <f>IF(ISNUMBER(AVERAGE('20250815_ETF_Options_Exhibits'!F730:F734)),AVERAGE('20250815_ETF_Options_Exhibits'!F730:F734),"")</f>
        <v/>
      </c>
      <c r="G734" s="3">
        <f>IF(ISNUMBER(AVERAGE('20250815_ETF_Options_Exhibits'!G730:G734)),AVERAGE('20250815_ETF_Options_Exhibits'!G730:G734),"")</f>
        <v/>
      </c>
      <c r="H734" s="3">
        <f>IF(ISNUMBER(AVERAGE('20250815_ETF_Options_Exhibits'!H730:H734)),AVERAGE('20250815_ETF_Options_Exhibits'!H730:H734),"")</f>
        <v/>
      </c>
      <c r="I734" s="3">
        <f>IF(ISNUMBER(AVERAGE('20250815_ETF_Options_Exhibits'!I730:I734)),AVERAGE('20250815_ETF_Options_Exhibits'!I730:I734),"")</f>
        <v/>
      </c>
      <c r="J734" s="3">
        <f>IF(ISNUMBER(AVERAGE('20250815_ETF_Options_Exhibits'!J730:J734)),AVERAGE('20250815_ETF_Options_Exhibits'!J730:J734),"")</f>
        <v/>
      </c>
      <c r="K734" s="3">
        <f>IF(ISNUMBER(AVERAGE('20250815_ETF_Options_Exhibits'!K730:K734)),AVERAGE('20250815_ETF_Options_Exhibits'!K730:K734),"")</f>
        <v/>
      </c>
      <c r="L734" s="3">
        <f>IF(ISNUMBER(AVERAGE('20250815_ETF_Options_Exhibits'!L730:L734)),AVERAGE('20250815_ETF_Options_Exhibits'!L730:L734),"")</f>
        <v/>
      </c>
      <c r="M734" s="3">
        <f>IF(ISNUMBER(AVERAGE('20250815_ETF_Options_Exhibits'!M730:M734)),AVERAGE('20250815_ETF_Options_Exhibits'!M730:M734),"")</f>
        <v/>
      </c>
      <c r="N734" s="3">
        <f>IF(ISNUMBER(AVERAGE('20250815_ETF_Options_Exhibits'!N730:N734)),AVERAGE('20250815_ETF_Options_Exhibits'!N730:N734),"")</f>
        <v/>
      </c>
      <c r="O734" s="3">
        <f>IF(ISNUMBER(AVERAGE('20250815_ETF_Options_Exhibits'!O730:O734)),AVERAGE('20250815_ETF_Options_Exhibits'!O730:O734),"")</f>
        <v/>
      </c>
      <c r="P734" s="3">
        <f>IF(ISNUMBER(AVERAGE('20250815_ETF_Options_Exhibits'!P730:P734)),AVERAGE('20250815_ETF_Options_Exhibits'!P730:P734),"")</f>
        <v/>
      </c>
      <c r="Q734" s="3">
        <f>IF(ISNUMBER(AVERAGE('20250815_ETF_Options_Exhibits'!Q730:Q734)),AVERAGE('20250815_ETF_Options_Exhibits'!Q730:Q734),"")</f>
        <v/>
      </c>
      <c r="R734" s="3">
        <f>IF(ISNUMBER(AVERAGE('20250815_ETF_Options_Exhibits'!R730:R734)),AVERAGE('20250815_ETF_Options_Exhibits'!R730:R734),"")</f>
        <v/>
      </c>
      <c r="S734" s="3">
        <f>IF(ISNUMBER(AVERAGE('20250815_ETF_Options_Exhibits'!S730:S734)),AVERAGE('20250815_ETF_Options_Exhibits'!S730:S734),"")</f>
        <v/>
      </c>
      <c r="T734" s="3">
        <f>IF(ISNUMBER(AVERAGE('20250815_ETF_Options_Exhibits'!T730:T734)),AVERAGE('20250815_ETF_Options_Exhibits'!T730:T734),"")</f>
        <v/>
      </c>
      <c r="U734" s="3">
        <f>IF(ISNUMBER(AVERAGE('20250815_ETF_Options_Exhibits'!U730:U734)),AVERAGE('20250815_ETF_Options_Exhibits'!U730:U734),"")</f>
        <v/>
      </c>
      <c r="V734" s="3">
        <f>IF(ISNUMBER(AVERAGE('20250815_ETF_Options_Exhibits'!V730:V734)),AVERAGE('20250815_ETF_Options_Exhibits'!V730:V734),"")</f>
        <v/>
      </c>
      <c r="W734" s="3">
        <f>IF(ISNUMBER(AVERAGE('20250815_ETF_Options_Exhibits'!W730:W734)),AVERAGE('20250815_ETF_Options_Exhibits'!W730:W734),"")</f>
        <v/>
      </c>
      <c r="X734" s="3">
        <f>IF(ISNUMBER(AVERAGE('20250815_ETF_Options_Exhibits'!X730:X734)),AVERAGE('20250815_ETF_Options_Exhibits'!X730:X734),"")</f>
        <v/>
      </c>
      <c r="Y734" s="3">
        <f>IF(ISNUMBER(AVERAGE('20250815_ETF_Options_Exhibits'!Y730:Y734)),AVERAGE('20250815_ETF_Options_Exhibits'!Y730:Y734),"")</f>
        <v/>
      </c>
      <c r="Z734" s="3">
        <f>IF(ISNUMBER(AVERAGE('20250815_ETF_Options_Exhibits'!Z730:Z734)),AVERAGE('20250815_ETF_Options_Exhibits'!Z730:Z734),"")</f>
        <v/>
      </c>
      <c r="AA734" s="3">
        <f>IF(ISNUMBER(AVERAGE('20250815_ETF_Options_Exhibits'!AA730:AA734)),AVERAGE('20250815_ETF_Options_Exhibits'!AA730:AA734),"")</f>
        <v/>
      </c>
    </row>
    <row r="735">
      <c r="A735" s="1" t="n">
        <v>43067</v>
      </c>
      <c r="B735" s="3">
        <f>IF(ISNUMBER(AVERAGE('20250815_ETF_Options_Exhibits'!B731:B735)),AVERAGE('20250815_ETF_Options_Exhibits'!B731:B735),"")</f>
        <v/>
      </c>
      <c r="C735" s="3">
        <f>IF(ISNUMBER(AVERAGE('20250815_ETF_Options_Exhibits'!C731:C735)),AVERAGE('20250815_ETF_Options_Exhibits'!C731:C735),"")</f>
        <v/>
      </c>
      <c r="D735" s="3">
        <f>IF(ISNUMBER(AVERAGE('20250815_ETF_Options_Exhibits'!D731:D735)),AVERAGE('20250815_ETF_Options_Exhibits'!D731:D735),"")</f>
        <v/>
      </c>
      <c r="E735" s="3">
        <f>IF(ISNUMBER(AVERAGE('20250815_ETF_Options_Exhibits'!E731:E735)),AVERAGE('20250815_ETF_Options_Exhibits'!E731:E735),"")</f>
        <v/>
      </c>
      <c r="F735" s="3">
        <f>IF(ISNUMBER(AVERAGE('20250815_ETF_Options_Exhibits'!F731:F735)),AVERAGE('20250815_ETF_Options_Exhibits'!F731:F735),"")</f>
        <v/>
      </c>
      <c r="G735" s="3">
        <f>IF(ISNUMBER(AVERAGE('20250815_ETF_Options_Exhibits'!G731:G735)),AVERAGE('20250815_ETF_Options_Exhibits'!G731:G735),"")</f>
        <v/>
      </c>
      <c r="H735" s="3">
        <f>IF(ISNUMBER(AVERAGE('20250815_ETF_Options_Exhibits'!H731:H735)),AVERAGE('20250815_ETF_Options_Exhibits'!H731:H735),"")</f>
        <v/>
      </c>
      <c r="I735" s="3">
        <f>IF(ISNUMBER(AVERAGE('20250815_ETF_Options_Exhibits'!I731:I735)),AVERAGE('20250815_ETF_Options_Exhibits'!I731:I735),"")</f>
        <v/>
      </c>
      <c r="J735" s="3">
        <f>IF(ISNUMBER(AVERAGE('20250815_ETF_Options_Exhibits'!J731:J735)),AVERAGE('20250815_ETF_Options_Exhibits'!J731:J735),"")</f>
        <v/>
      </c>
      <c r="K735" s="3">
        <f>IF(ISNUMBER(AVERAGE('20250815_ETF_Options_Exhibits'!K731:K735)),AVERAGE('20250815_ETF_Options_Exhibits'!K731:K735),"")</f>
        <v/>
      </c>
      <c r="L735" s="3">
        <f>IF(ISNUMBER(AVERAGE('20250815_ETF_Options_Exhibits'!L731:L735)),AVERAGE('20250815_ETF_Options_Exhibits'!L731:L735),"")</f>
        <v/>
      </c>
      <c r="M735" s="3">
        <f>IF(ISNUMBER(AVERAGE('20250815_ETF_Options_Exhibits'!M731:M735)),AVERAGE('20250815_ETF_Options_Exhibits'!M731:M735),"")</f>
        <v/>
      </c>
      <c r="N735" s="3">
        <f>IF(ISNUMBER(AVERAGE('20250815_ETF_Options_Exhibits'!N731:N735)),AVERAGE('20250815_ETF_Options_Exhibits'!N731:N735),"")</f>
        <v/>
      </c>
      <c r="O735" s="3">
        <f>IF(ISNUMBER(AVERAGE('20250815_ETF_Options_Exhibits'!O731:O735)),AVERAGE('20250815_ETF_Options_Exhibits'!O731:O735),"")</f>
        <v/>
      </c>
      <c r="P735" s="3">
        <f>IF(ISNUMBER(AVERAGE('20250815_ETF_Options_Exhibits'!P731:P735)),AVERAGE('20250815_ETF_Options_Exhibits'!P731:P735),"")</f>
        <v/>
      </c>
      <c r="Q735" s="3">
        <f>IF(ISNUMBER(AVERAGE('20250815_ETF_Options_Exhibits'!Q731:Q735)),AVERAGE('20250815_ETF_Options_Exhibits'!Q731:Q735),"")</f>
        <v/>
      </c>
      <c r="R735" s="3">
        <f>IF(ISNUMBER(AVERAGE('20250815_ETF_Options_Exhibits'!R731:R735)),AVERAGE('20250815_ETF_Options_Exhibits'!R731:R735),"")</f>
        <v/>
      </c>
      <c r="S735" s="3">
        <f>IF(ISNUMBER(AVERAGE('20250815_ETF_Options_Exhibits'!S731:S735)),AVERAGE('20250815_ETF_Options_Exhibits'!S731:S735),"")</f>
        <v/>
      </c>
      <c r="T735" s="3">
        <f>IF(ISNUMBER(AVERAGE('20250815_ETF_Options_Exhibits'!T731:T735)),AVERAGE('20250815_ETF_Options_Exhibits'!T731:T735),"")</f>
        <v/>
      </c>
      <c r="U735" s="3">
        <f>IF(ISNUMBER(AVERAGE('20250815_ETF_Options_Exhibits'!U731:U735)),AVERAGE('20250815_ETF_Options_Exhibits'!U731:U735),"")</f>
        <v/>
      </c>
      <c r="V735" s="3">
        <f>IF(ISNUMBER(AVERAGE('20250815_ETF_Options_Exhibits'!V731:V735)),AVERAGE('20250815_ETF_Options_Exhibits'!V731:V735),"")</f>
        <v/>
      </c>
      <c r="W735" s="3">
        <f>IF(ISNUMBER(AVERAGE('20250815_ETF_Options_Exhibits'!W731:W735)),AVERAGE('20250815_ETF_Options_Exhibits'!W731:W735),"")</f>
        <v/>
      </c>
      <c r="X735" s="3">
        <f>IF(ISNUMBER(AVERAGE('20250815_ETF_Options_Exhibits'!X731:X735)),AVERAGE('20250815_ETF_Options_Exhibits'!X731:X735),"")</f>
        <v/>
      </c>
      <c r="Y735" s="3">
        <f>IF(ISNUMBER(AVERAGE('20250815_ETF_Options_Exhibits'!Y731:Y735)),AVERAGE('20250815_ETF_Options_Exhibits'!Y731:Y735),"")</f>
        <v/>
      </c>
      <c r="Z735" s="3">
        <f>IF(ISNUMBER(AVERAGE('20250815_ETF_Options_Exhibits'!Z731:Z735)),AVERAGE('20250815_ETF_Options_Exhibits'!Z731:Z735),"")</f>
        <v/>
      </c>
      <c r="AA735" s="3">
        <f>IF(ISNUMBER(AVERAGE('20250815_ETF_Options_Exhibits'!AA731:AA735)),AVERAGE('20250815_ETF_Options_Exhibits'!AA731:AA735),"")</f>
        <v/>
      </c>
    </row>
    <row r="736">
      <c r="A736" s="1" t="n">
        <v>43068</v>
      </c>
      <c r="B736" s="3">
        <f>IF(ISNUMBER(AVERAGE('20250815_ETF_Options_Exhibits'!B732:B736)),AVERAGE('20250815_ETF_Options_Exhibits'!B732:B736),"")</f>
        <v/>
      </c>
      <c r="C736" s="3">
        <f>IF(ISNUMBER(AVERAGE('20250815_ETF_Options_Exhibits'!C732:C736)),AVERAGE('20250815_ETF_Options_Exhibits'!C732:C736),"")</f>
        <v/>
      </c>
      <c r="D736" s="3">
        <f>IF(ISNUMBER(AVERAGE('20250815_ETF_Options_Exhibits'!D732:D736)),AVERAGE('20250815_ETF_Options_Exhibits'!D732:D736),"")</f>
        <v/>
      </c>
      <c r="E736" s="3">
        <f>IF(ISNUMBER(AVERAGE('20250815_ETF_Options_Exhibits'!E732:E736)),AVERAGE('20250815_ETF_Options_Exhibits'!E732:E736),"")</f>
        <v/>
      </c>
      <c r="F736" s="3">
        <f>IF(ISNUMBER(AVERAGE('20250815_ETF_Options_Exhibits'!F732:F736)),AVERAGE('20250815_ETF_Options_Exhibits'!F732:F736),"")</f>
        <v/>
      </c>
      <c r="G736" s="3">
        <f>IF(ISNUMBER(AVERAGE('20250815_ETF_Options_Exhibits'!G732:G736)),AVERAGE('20250815_ETF_Options_Exhibits'!G732:G736),"")</f>
        <v/>
      </c>
      <c r="H736" s="3">
        <f>IF(ISNUMBER(AVERAGE('20250815_ETF_Options_Exhibits'!H732:H736)),AVERAGE('20250815_ETF_Options_Exhibits'!H732:H736),"")</f>
        <v/>
      </c>
      <c r="I736" s="3">
        <f>IF(ISNUMBER(AVERAGE('20250815_ETF_Options_Exhibits'!I732:I736)),AVERAGE('20250815_ETF_Options_Exhibits'!I732:I736),"")</f>
        <v/>
      </c>
      <c r="J736" s="3">
        <f>IF(ISNUMBER(AVERAGE('20250815_ETF_Options_Exhibits'!J732:J736)),AVERAGE('20250815_ETF_Options_Exhibits'!J732:J736),"")</f>
        <v/>
      </c>
      <c r="K736" s="3">
        <f>IF(ISNUMBER(AVERAGE('20250815_ETF_Options_Exhibits'!K732:K736)),AVERAGE('20250815_ETF_Options_Exhibits'!K732:K736),"")</f>
        <v/>
      </c>
      <c r="L736" s="3">
        <f>IF(ISNUMBER(AVERAGE('20250815_ETF_Options_Exhibits'!L732:L736)),AVERAGE('20250815_ETF_Options_Exhibits'!L732:L736),"")</f>
        <v/>
      </c>
      <c r="M736" s="3">
        <f>IF(ISNUMBER(AVERAGE('20250815_ETF_Options_Exhibits'!M732:M736)),AVERAGE('20250815_ETF_Options_Exhibits'!M732:M736),"")</f>
        <v/>
      </c>
      <c r="N736" s="3">
        <f>IF(ISNUMBER(AVERAGE('20250815_ETF_Options_Exhibits'!N732:N736)),AVERAGE('20250815_ETF_Options_Exhibits'!N732:N736),"")</f>
        <v/>
      </c>
      <c r="O736" s="3">
        <f>IF(ISNUMBER(AVERAGE('20250815_ETF_Options_Exhibits'!O732:O736)),AVERAGE('20250815_ETF_Options_Exhibits'!O732:O736),"")</f>
        <v/>
      </c>
      <c r="P736" s="3">
        <f>IF(ISNUMBER(AVERAGE('20250815_ETF_Options_Exhibits'!P732:P736)),AVERAGE('20250815_ETF_Options_Exhibits'!P732:P736),"")</f>
        <v/>
      </c>
      <c r="Q736" s="3">
        <f>IF(ISNUMBER(AVERAGE('20250815_ETF_Options_Exhibits'!Q732:Q736)),AVERAGE('20250815_ETF_Options_Exhibits'!Q732:Q736),"")</f>
        <v/>
      </c>
      <c r="R736" s="3">
        <f>IF(ISNUMBER(AVERAGE('20250815_ETF_Options_Exhibits'!R732:R736)),AVERAGE('20250815_ETF_Options_Exhibits'!R732:R736),"")</f>
        <v/>
      </c>
      <c r="S736" s="3">
        <f>IF(ISNUMBER(AVERAGE('20250815_ETF_Options_Exhibits'!S732:S736)),AVERAGE('20250815_ETF_Options_Exhibits'!S732:S736),"")</f>
        <v/>
      </c>
      <c r="T736" s="3">
        <f>IF(ISNUMBER(AVERAGE('20250815_ETF_Options_Exhibits'!T732:T736)),AVERAGE('20250815_ETF_Options_Exhibits'!T732:T736),"")</f>
        <v/>
      </c>
      <c r="U736" s="3">
        <f>IF(ISNUMBER(AVERAGE('20250815_ETF_Options_Exhibits'!U732:U736)),AVERAGE('20250815_ETF_Options_Exhibits'!U732:U736),"")</f>
        <v/>
      </c>
      <c r="V736" s="3">
        <f>IF(ISNUMBER(AVERAGE('20250815_ETF_Options_Exhibits'!V732:V736)),AVERAGE('20250815_ETF_Options_Exhibits'!V732:V736),"")</f>
        <v/>
      </c>
      <c r="W736" s="3">
        <f>IF(ISNUMBER(AVERAGE('20250815_ETF_Options_Exhibits'!W732:W736)),AVERAGE('20250815_ETF_Options_Exhibits'!W732:W736),"")</f>
        <v/>
      </c>
      <c r="X736" s="3">
        <f>IF(ISNUMBER(AVERAGE('20250815_ETF_Options_Exhibits'!X732:X736)),AVERAGE('20250815_ETF_Options_Exhibits'!X732:X736),"")</f>
        <v/>
      </c>
      <c r="Y736" s="3">
        <f>IF(ISNUMBER(AVERAGE('20250815_ETF_Options_Exhibits'!Y732:Y736)),AVERAGE('20250815_ETF_Options_Exhibits'!Y732:Y736),"")</f>
        <v/>
      </c>
      <c r="Z736" s="3">
        <f>IF(ISNUMBER(AVERAGE('20250815_ETF_Options_Exhibits'!Z732:Z736)),AVERAGE('20250815_ETF_Options_Exhibits'!Z732:Z736),"")</f>
        <v/>
      </c>
      <c r="AA736" s="3">
        <f>IF(ISNUMBER(AVERAGE('20250815_ETF_Options_Exhibits'!AA732:AA736)),AVERAGE('20250815_ETF_Options_Exhibits'!AA732:AA736),"")</f>
        <v/>
      </c>
    </row>
    <row r="737">
      <c r="A737" s="1" t="n">
        <v>43069</v>
      </c>
      <c r="B737" s="3">
        <f>IF(ISNUMBER(AVERAGE('20250815_ETF_Options_Exhibits'!B733:B737)),AVERAGE('20250815_ETF_Options_Exhibits'!B733:B737),"")</f>
        <v/>
      </c>
      <c r="C737" s="3">
        <f>IF(ISNUMBER(AVERAGE('20250815_ETF_Options_Exhibits'!C733:C737)),AVERAGE('20250815_ETF_Options_Exhibits'!C733:C737),"")</f>
        <v/>
      </c>
      <c r="D737" s="3">
        <f>IF(ISNUMBER(AVERAGE('20250815_ETF_Options_Exhibits'!D733:D737)),AVERAGE('20250815_ETF_Options_Exhibits'!D733:D737),"")</f>
        <v/>
      </c>
      <c r="E737" s="3">
        <f>IF(ISNUMBER(AVERAGE('20250815_ETF_Options_Exhibits'!E733:E737)),AVERAGE('20250815_ETF_Options_Exhibits'!E733:E737),"")</f>
        <v/>
      </c>
      <c r="F737" s="3">
        <f>IF(ISNUMBER(AVERAGE('20250815_ETF_Options_Exhibits'!F733:F737)),AVERAGE('20250815_ETF_Options_Exhibits'!F733:F737),"")</f>
        <v/>
      </c>
      <c r="G737" s="3">
        <f>IF(ISNUMBER(AVERAGE('20250815_ETF_Options_Exhibits'!G733:G737)),AVERAGE('20250815_ETF_Options_Exhibits'!G733:G737),"")</f>
        <v/>
      </c>
      <c r="H737" s="3">
        <f>IF(ISNUMBER(AVERAGE('20250815_ETF_Options_Exhibits'!H733:H737)),AVERAGE('20250815_ETF_Options_Exhibits'!H733:H737),"")</f>
        <v/>
      </c>
      <c r="I737" s="3">
        <f>IF(ISNUMBER(AVERAGE('20250815_ETF_Options_Exhibits'!I733:I737)),AVERAGE('20250815_ETF_Options_Exhibits'!I733:I737),"")</f>
        <v/>
      </c>
      <c r="J737" s="3">
        <f>IF(ISNUMBER(AVERAGE('20250815_ETF_Options_Exhibits'!J733:J737)),AVERAGE('20250815_ETF_Options_Exhibits'!J733:J737),"")</f>
        <v/>
      </c>
      <c r="K737" s="3">
        <f>IF(ISNUMBER(AVERAGE('20250815_ETF_Options_Exhibits'!K733:K737)),AVERAGE('20250815_ETF_Options_Exhibits'!K733:K737),"")</f>
        <v/>
      </c>
      <c r="L737" s="3">
        <f>IF(ISNUMBER(AVERAGE('20250815_ETF_Options_Exhibits'!L733:L737)),AVERAGE('20250815_ETF_Options_Exhibits'!L733:L737),"")</f>
        <v/>
      </c>
      <c r="M737" s="3">
        <f>IF(ISNUMBER(AVERAGE('20250815_ETF_Options_Exhibits'!M733:M737)),AVERAGE('20250815_ETF_Options_Exhibits'!M733:M737),"")</f>
        <v/>
      </c>
      <c r="N737" s="3">
        <f>IF(ISNUMBER(AVERAGE('20250815_ETF_Options_Exhibits'!N733:N737)),AVERAGE('20250815_ETF_Options_Exhibits'!N733:N737),"")</f>
        <v/>
      </c>
      <c r="O737" s="3">
        <f>IF(ISNUMBER(AVERAGE('20250815_ETF_Options_Exhibits'!O733:O737)),AVERAGE('20250815_ETF_Options_Exhibits'!O733:O737),"")</f>
        <v/>
      </c>
      <c r="P737" s="3">
        <f>IF(ISNUMBER(AVERAGE('20250815_ETF_Options_Exhibits'!P733:P737)),AVERAGE('20250815_ETF_Options_Exhibits'!P733:P737),"")</f>
        <v/>
      </c>
      <c r="Q737" s="3">
        <f>IF(ISNUMBER(AVERAGE('20250815_ETF_Options_Exhibits'!Q733:Q737)),AVERAGE('20250815_ETF_Options_Exhibits'!Q733:Q737),"")</f>
        <v/>
      </c>
      <c r="R737" s="3">
        <f>IF(ISNUMBER(AVERAGE('20250815_ETF_Options_Exhibits'!R733:R737)),AVERAGE('20250815_ETF_Options_Exhibits'!R733:R737),"")</f>
        <v/>
      </c>
      <c r="S737" s="3">
        <f>IF(ISNUMBER(AVERAGE('20250815_ETF_Options_Exhibits'!S733:S737)),AVERAGE('20250815_ETF_Options_Exhibits'!S733:S737),"")</f>
        <v/>
      </c>
      <c r="T737" s="3">
        <f>IF(ISNUMBER(AVERAGE('20250815_ETF_Options_Exhibits'!T733:T737)),AVERAGE('20250815_ETF_Options_Exhibits'!T733:T737),"")</f>
        <v/>
      </c>
      <c r="U737" s="3">
        <f>IF(ISNUMBER(AVERAGE('20250815_ETF_Options_Exhibits'!U733:U737)),AVERAGE('20250815_ETF_Options_Exhibits'!U733:U737),"")</f>
        <v/>
      </c>
      <c r="V737" s="3">
        <f>IF(ISNUMBER(AVERAGE('20250815_ETF_Options_Exhibits'!V733:V737)),AVERAGE('20250815_ETF_Options_Exhibits'!V733:V737),"")</f>
        <v/>
      </c>
      <c r="W737" s="3">
        <f>IF(ISNUMBER(AVERAGE('20250815_ETF_Options_Exhibits'!W733:W737)),AVERAGE('20250815_ETF_Options_Exhibits'!W733:W737),"")</f>
        <v/>
      </c>
      <c r="X737" s="3">
        <f>IF(ISNUMBER(AVERAGE('20250815_ETF_Options_Exhibits'!X733:X737)),AVERAGE('20250815_ETF_Options_Exhibits'!X733:X737),"")</f>
        <v/>
      </c>
      <c r="Y737" s="3">
        <f>IF(ISNUMBER(AVERAGE('20250815_ETF_Options_Exhibits'!Y733:Y737)),AVERAGE('20250815_ETF_Options_Exhibits'!Y733:Y737),"")</f>
        <v/>
      </c>
      <c r="Z737" s="3">
        <f>IF(ISNUMBER(AVERAGE('20250815_ETF_Options_Exhibits'!Z733:Z737)),AVERAGE('20250815_ETF_Options_Exhibits'!Z733:Z737),"")</f>
        <v/>
      </c>
      <c r="AA737" s="3">
        <f>IF(ISNUMBER(AVERAGE('20250815_ETF_Options_Exhibits'!AA733:AA737)),AVERAGE('20250815_ETF_Options_Exhibits'!AA733:AA737),"")</f>
        <v/>
      </c>
    </row>
    <row r="738">
      <c r="A738" s="1" t="n">
        <v>43070</v>
      </c>
      <c r="B738" s="3">
        <f>IF(ISNUMBER(AVERAGE('20250815_ETF_Options_Exhibits'!B734:B738)),AVERAGE('20250815_ETF_Options_Exhibits'!B734:B738),"")</f>
        <v/>
      </c>
      <c r="C738" s="3">
        <f>IF(ISNUMBER(AVERAGE('20250815_ETF_Options_Exhibits'!C734:C738)),AVERAGE('20250815_ETF_Options_Exhibits'!C734:C738),"")</f>
        <v/>
      </c>
      <c r="D738" s="3">
        <f>IF(ISNUMBER(AVERAGE('20250815_ETF_Options_Exhibits'!D734:D738)),AVERAGE('20250815_ETF_Options_Exhibits'!D734:D738),"")</f>
        <v/>
      </c>
      <c r="E738" s="3">
        <f>IF(ISNUMBER(AVERAGE('20250815_ETF_Options_Exhibits'!E734:E738)),AVERAGE('20250815_ETF_Options_Exhibits'!E734:E738),"")</f>
        <v/>
      </c>
      <c r="F738" s="3">
        <f>IF(ISNUMBER(AVERAGE('20250815_ETF_Options_Exhibits'!F734:F738)),AVERAGE('20250815_ETF_Options_Exhibits'!F734:F738),"")</f>
        <v/>
      </c>
      <c r="G738" s="3">
        <f>IF(ISNUMBER(AVERAGE('20250815_ETF_Options_Exhibits'!G734:G738)),AVERAGE('20250815_ETF_Options_Exhibits'!G734:G738),"")</f>
        <v/>
      </c>
      <c r="H738" s="3">
        <f>IF(ISNUMBER(AVERAGE('20250815_ETF_Options_Exhibits'!H734:H738)),AVERAGE('20250815_ETF_Options_Exhibits'!H734:H738),"")</f>
        <v/>
      </c>
      <c r="I738" s="3">
        <f>IF(ISNUMBER(AVERAGE('20250815_ETF_Options_Exhibits'!I734:I738)),AVERAGE('20250815_ETF_Options_Exhibits'!I734:I738),"")</f>
        <v/>
      </c>
      <c r="J738" s="3">
        <f>IF(ISNUMBER(AVERAGE('20250815_ETF_Options_Exhibits'!J734:J738)),AVERAGE('20250815_ETF_Options_Exhibits'!J734:J738),"")</f>
        <v/>
      </c>
      <c r="K738" s="3">
        <f>IF(ISNUMBER(AVERAGE('20250815_ETF_Options_Exhibits'!K734:K738)),AVERAGE('20250815_ETF_Options_Exhibits'!K734:K738),"")</f>
        <v/>
      </c>
      <c r="L738" s="3">
        <f>IF(ISNUMBER(AVERAGE('20250815_ETF_Options_Exhibits'!L734:L738)),AVERAGE('20250815_ETF_Options_Exhibits'!L734:L738),"")</f>
        <v/>
      </c>
      <c r="M738" s="3">
        <f>IF(ISNUMBER(AVERAGE('20250815_ETF_Options_Exhibits'!M734:M738)),AVERAGE('20250815_ETF_Options_Exhibits'!M734:M738),"")</f>
        <v/>
      </c>
      <c r="N738" s="3">
        <f>IF(ISNUMBER(AVERAGE('20250815_ETF_Options_Exhibits'!N734:N738)),AVERAGE('20250815_ETF_Options_Exhibits'!N734:N738),"")</f>
        <v/>
      </c>
      <c r="O738" s="3">
        <f>IF(ISNUMBER(AVERAGE('20250815_ETF_Options_Exhibits'!O734:O738)),AVERAGE('20250815_ETF_Options_Exhibits'!O734:O738),"")</f>
        <v/>
      </c>
      <c r="P738" s="3">
        <f>IF(ISNUMBER(AVERAGE('20250815_ETF_Options_Exhibits'!P734:P738)),AVERAGE('20250815_ETF_Options_Exhibits'!P734:P738),"")</f>
        <v/>
      </c>
      <c r="Q738" s="3">
        <f>IF(ISNUMBER(AVERAGE('20250815_ETF_Options_Exhibits'!Q734:Q738)),AVERAGE('20250815_ETF_Options_Exhibits'!Q734:Q738),"")</f>
        <v/>
      </c>
      <c r="R738" s="3">
        <f>IF(ISNUMBER(AVERAGE('20250815_ETF_Options_Exhibits'!R734:R738)),AVERAGE('20250815_ETF_Options_Exhibits'!R734:R738),"")</f>
        <v/>
      </c>
      <c r="S738" s="3">
        <f>IF(ISNUMBER(AVERAGE('20250815_ETF_Options_Exhibits'!S734:S738)),AVERAGE('20250815_ETF_Options_Exhibits'!S734:S738),"")</f>
        <v/>
      </c>
      <c r="T738" s="3">
        <f>IF(ISNUMBER(AVERAGE('20250815_ETF_Options_Exhibits'!T734:T738)),AVERAGE('20250815_ETF_Options_Exhibits'!T734:T738),"")</f>
        <v/>
      </c>
      <c r="U738" s="3">
        <f>IF(ISNUMBER(AVERAGE('20250815_ETF_Options_Exhibits'!U734:U738)),AVERAGE('20250815_ETF_Options_Exhibits'!U734:U738),"")</f>
        <v/>
      </c>
      <c r="V738" s="3">
        <f>IF(ISNUMBER(AVERAGE('20250815_ETF_Options_Exhibits'!V734:V738)),AVERAGE('20250815_ETF_Options_Exhibits'!V734:V738),"")</f>
        <v/>
      </c>
      <c r="W738" s="3">
        <f>IF(ISNUMBER(AVERAGE('20250815_ETF_Options_Exhibits'!W734:W738)),AVERAGE('20250815_ETF_Options_Exhibits'!W734:W738),"")</f>
        <v/>
      </c>
      <c r="X738" s="3">
        <f>IF(ISNUMBER(AVERAGE('20250815_ETF_Options_Exhibits'!X734:X738)),AVERAGE('20250815_ETF_Options_Exhibits'!X734:X738),"")</f>
        <v/>
      </c>
      <c r="Y738" s="3">
        <f>IF(ISNUMBER(AVERAGE('20250815_ETF_Options_Exhibits'!Y734:Y738)),AVERAGE('20250815_ETF_Options_Exhibits'!Y734:Y738),"")</f>
        <v/>
      </c>
      <c r="Z738" s="3">
        <f>IF(ISNUMBER(AVERAGE('20250815_ETF_Options_Exhibits'!Z734:Z738)),AVERAGE('20250815_ETF_Options_Exhibits'!Z734:Z738),"")</f>
        <v/>
      </c>
      <c r="AA738" s="3">
        <f>IF(ISNUMBER(AVERAGE('20250815_ETF_Options_Exhibits'!AA734:AA738)),AVERAGE('20250815_ETF_Options_Exhibits'!AA734:AA738),"")</f>
        <v/>
      </c>
    </row>
    <row r="739">
      <c r="A739" s="1" t="n">
        <v>43073</v>
      </c>
      <c r="B739" s="3">
        <f>IF(ISNUMBER(AVERAGE('20250815_ETF_Options_Exhibits'!B735:B739)),AVERAGE('20250815_ETF_Options_Exhibits'!B735:B739),"")</f>
        <v/>
      </c>
      <c r="C739" s="3">
        <f>IF(ISNUMBER(AVERAGE('20250815_ETF_Options_Exhibits'!C735:C739)),AVERAGE('20250815_ETF_Options_Exhibits'!C735:C739),"")</f>
        <v/>
      </c>
      <c r="D739" s="3">
        <f>IF(ISNUMBER(AVERAGE('20250815_ETF_Options_Exhibits'!D735:D739)),AVERAGE('20250815_ETF_Options_Exhibits'!D735:D739),"")</f>
        <v/>
      </c>
      <c r="E739" s="3">
        <f>IF(ISNUMBER(AVERAGE('20250815_ETF_Options_Exhibits'!E735:E739)),AVERAGE('20250815_ETF_Options_Exhibits'!E735:E739),"")</f>
        <v/>
      </c>
      <c r="F739" s="3">
        <f>IF(ISNUMBER(AVERAGE('20250815_ETF_Options_Exhibits'!F735:F739)),AVERAGE('20250815_ETF_Options_Exhibits'!F735:F739),"")</f>
        <v/>
      </c>
      <c r="G739" s="3">
        <f>IF(ISNUMBER(AVERAGE('20250815_ETF_Options_Exhibits'!G735:G739)),AVERAGE('20250815_ETF_Options_Exhibits'!G735:G739),"")</f>
        <v/>
      </c>
      <c r="H739" s="3">
        <f>IF(ISNUMBER(AVERAGE('20250815_ETF_Options_Exhibits'!H735:H739)),AVERAGE('20250815_ETF_Options_Exhibits'!H735:H739),"")</f>
        <v/>
      </c>
      <c r="I739" s="3">
        <f>IF(ISNUMBER(AVERAGE('20250815_ETF_Options_Exhibits'!I735:I739)),AVERAGE('20250815_ETF_Options_Exhibits'!I735:I739),"")</f>
        <v/>
      </c>
      <c r="J739" s="3">
        <f>IF(ISNUMBER(AVERAGE('20250815_ETF_Options_Exhibits'!J735:J739)),AVERAGE('20250815_ETF_Options_Exhibits'!J735:J739),"")</f>
        <v/>
      </c>
      <c r="K739" s="3">
        <f>IF(ISNUMBER(AVERAGE('20250815_ETF_Options_Exhibits'!K735:K739)),AVERAGE('20250815_ETF_Options_Exhibits'!K735:K739),"")</f>
        <v/>
      </c>
      <c r="L739" s="3">
        <f>IF(ISNUMBER(AVERAGE('20250815_ETF_Options_Exhibits'!L735:L739)),AVERAGE('20250815_ETF_Options_Exhibits'!L735:L739),"")</f>
        <v/>
      </c>
      <c r="M739" s="3">
        <f>IF(ISNUMBER(AVERAGE('20250815_ETF_Options_Exhibits'!M735:M739)),AVERAGE('20250815_ETF_Options_Exhibits'!M735:M739),"")</f>
        <v/>
      </c>
      <c r="N739" s="3">
        <f>IF(ISNUMBER(AVERAGE('20250815_ETF_Options_Exhibits'!N735:N739)),AVERAGE('20250815_ETF_Options_Exhibits'!N735:N739),"")</f>
        <v/>
      </c>
      <c r="O739" s="3">
        <f>IF(ISNUMBER(AVERAGE('20250815_ETF_Options_Exhibits'!O735:O739)),AVERAGE('20250815_ETF_Options_Exhibits'!O735:O739),"")</f>
        <v/>
      </c>
      <c r="P739" s="3">
        <f>IF(ISNUMBER(AVERAGE('20250815_ETF_Options_Exhibits'!P735:P739)),AVERAGE('20250815_ETF_Options_Exhibits'!P735:P739),"")</f>
        <v/>
      </c>
      <c r="Q739" s="3">
        <f>IF(ISNUMBER(AVERAGE('20250815_ETF_Options_Exhibits'!Q735:Q739)),AVERAGE('20250815_ETF_Options_Exhibits'!Q735:Q739),"")</f>
        <v/>
      </c>
      <c r="R739" s="3">
        <f>IF(ISNUMBER(AVERAGE('20250815_ETF_Options_Exhibits'!R735:R739)),AVERAGE('20250815_ETF_Options_Exhibits'!R735:R739),"")</f>
        <v/>
      </c>
      <c r="S739" s="3">
        <f>IF(ISNUMBER(AVERAGE('20250815_ETF_Options_Exhibits'!S735:S739)),AVERAGE('20250815_ETF_Options_Exhibits'!S735:S739),"")</f>
        <v/>
      </c>
      <c r="T739" s="3">
        <f>IF(ISNUMBER(AVERAGE('20250815_ETF_Options_Exhibits'!T735:T739)),AVERAGE('20250815_ETF_Options_Exhibits'!T735:T739),"")</f>
        <v/>
      </c>
      <c r="U739" s="3">
        <f>IF(ISNUMBER(AVERAGE('20250815_ETF_Options_Exhibits'!U735:U739)),AVERAGE('20250815_ETF_Options_Exhibits'!U735:U739),"")</f>
        <v/>
      </c>
      <c r="V739" s="3">
        <f>IF(ISNUMBER(AVERAGE('20250815_ETF_Options_Exhibits'!V735:V739)),AVERAGE('20250815_ETF_Options_Exhibits'!V735:V739),"")</f>
        <v/>
      </c>
      <c r="W739" s="3">
        <f>IF(ISNUMBER(AVERAGE('20250815_ETF_Options_Exhibits'!W735:W739)),AVERAGE('20250815_ETF_Options_Exhibits'!W735:W739),"")</f>
        <v/>
      </c>
      <c r="X739" s="3">
        <f>IF(ISNUMBER(AVERAGE('20250815_ETF_Options_Exhibits'!X735:X739)),AVERAGE('20250815_ETF_Options_Exhibits'!X735:X739),"")</f>
        <v/>
      </c>
      <c r="Y739" s="3">
        <f>IF(ISNUMBER(AVERAGE('20250815_ETF_Options_Exhibits'!Y735:Y739)),AVERAGE('20250815_ETF_Options_Exhibits'!Y735:Y739),"")</f>
        <v/>
      </c>
      <c r="Z739" s="3">
        <f>IF(ISNUMBER(AVERAGE('20250815_ETF_Options_Exhibits'!Z735:Z739)),AVERAGE('20250815_ETF_Options_Exhibits'!Z735:Z739),"")</f>
        <v/>
      </c>
      <c r="AA739" s="3">
        <f>IF(ISNUMBER(AVERAGE('20250815_ETF_Options_Exhibits'!AA735:AA739)),AVERAGE('20250815_ETF_Options_Exhibits'!AA735:AA739),"")</f>
        <v/>
      </c>
    </row>
    <row r="740">
      <c r="A740" s="1" t="n">
        <v>43075</v>
      </c>
      <c r="B740" s="3">
        <f>IF(ISNUMBER(AVERAGE('20250815_ETF_Options_Exhibits'!B736:B740)),AVERAGE('20250815_ETF_Options_Exhibits'!B736:B740),"")</f>
        <v/>
      </c>
      <c r="C740" s="3">
        <f>IF(ISNUMBER(AVERAGE('20250815_ETF_Options_Exhibits'!C736:C740)),AVERAGE('20250815_ETF_Options_Exhibits'!C736:C740),"")</f>
        <v/>
      </c>
      <c r="D740" s="3">
        <f>IF(ISNUMBER(AVERAGE('20250815_ETF_Options_Exhibits'!D736:D740)),AVERAGE('20250815_ETF_Options_Exhibits'!D736:D740),"")</f>
        <v/>
      </c>
      <c r="E740" s="3">
        <f>IF(ISNUMBER(AVERAGE('20250815_ETF_Options_Exhibits'!E736:E740)),AVERAGE('20250815_ETF_Options_Exhibits'!E736:E740),"")</f>
        <v/>
      </c>
      <c r="F740" s="3">
        <f>IF(ISNUMBER(AVERAGE('20250815_ETF_Options_Exhibits'!F736:F740)),AVERAGE('20250815_ETF_Options_Exhibits'!F736:F740),"")</f>
        <v/>
      </c>
      <c r="G740" s="3">
        <f>IF(ISNUMBER(AVERAGE('20250815_ETF_Options_Exhibits'!G736:G740)),AVERAGE('20250815_ETF_Options_Exhibits'!G736:G740),"")</f>
        <v/>
      </c>
      <c r="H740" s="3">
        <f>IF(ISNUMBER(AVERAGE('20250815_ETF_Options_Exhibits'!H736:H740)),AVERAGE('20250815_ETF_Options_Exhibits'!H736:H740),"")</f>
        <v/>
      </c>
      <c r="I740" s="3">
        <f>IF(ISNUMBER(AVERAGE('20250815_ETF_Options_Exhibits'!I736:I740)),AVERAGE('20250815_ETF_Options_Exhibits'!I736:I740),"")</f>
        <v/>
      </c>
      <c r="J740" s="3">
        <f>IF(ISNUMBER(AVERAGE('20250815_ETF_Options_Exhibits'!J736:J740)),AVERAGE('20250815_ETF_Options_Exhibits'!J736:J740),"")</f>
        <v/>
      </c>
      <c r="K740" s="3">
        <f>IF(ISNUMBER(AVERAGE('20250815_ETF_Options_Exhibits'!K736:K740)),AVERAGE('20250815_ETF_Options_Exhibits'!K736:K740),"")</f>
        <v/>
      </c>
      <c r="L740" s="3">
        <f>IF(ISNUMBER(AVERAGE('20250815_ETF_Options_Exhibits'!L736:L740)),AVERAGE('20250815_ETF_Options_Exhibits'!L736:L740),"")</f>
        <v/>
      </c>
      <c r="M740" s="3">
        <f>IF(ISNUMBER(AVERAGE('20250815_ETF_Options_Exhibits'!M736:M740)),AVERAGE('20250815_ETF_Options_Exhibits'!M736:M740),"")</f>
        <v/>
      </c>
      <c r="N740" s="3">
        <f>IF(ISNUMBER(AVERAGE('20250815_ETF_Options_Exhibits'!N736:N740)),AVERAGE('20250815_ETF_Options_Exhibits'!N736:N740),"")</f>
        <v/>
      </c>
      <c r="O740" s="3">
        <f>IF(ISNUMBER(AVERAGE('20250815_ETF_Options_Exhibits'!O736:O740)),AVERAGE('20250815_ETF_Options_Exhibits'!O736:O740),"")</f>
        <v/>
      </c>
      <c r="P740" s="3">
        <f>IF(ISNUMBER(AVERAGE('20250815_ETF_Options_Exhibits'!P736:P740)),AVERAGE('20250815_ETF_Options_Exhibits'!P736:P740),"")</f>
        <v/>
      </c>
      <c r="Q740" s="3">
        <f>IF(ISNUMBER(AVERAGE('20250815_ETF_Options_Exhibits'!Q736:Q740)),AVERAGE('20250815_ETF_Options_Exhibits'!Q736:Q740),"")</f>
        <v/>
      </c>
      <c r="R740" s="3">
        <f>IF(ISNUMBER(AVERAGE('20250815_ETF_Options_Exhibits'!R736:R740)),AVERAGE('20250815_ETF_Options_Exhibits'!R736:R740),"")</f>
        <v/>
      </c>
      <c r="S740" s="3">
        <f>IF(ISNUMBER(AVERAGE('20250815_ETF_Options_Exhibits'!S736:S740)),AVERAGE('20250815_ETF_Options_Exhibits'!S736:S740),"")</f>
        <v/>
      </c>
      <c r="T740" s="3">
        <f>IF(ISNUMBER(AVERAGE('20250815_ETF_Options_Exhibits'!T736:T740)),AVERAGE('20250815_ETF_Options_Exhibits'!T736:T740),"")</f>
        <v/>
      </c>
      <c r="U740" s="3">
        <f>IF(ISNUMBER(AVERAGE('20250815_ETF_Options_Exhibits'!U736:U740)),AVERAGE('20250815_ETF_Options_Exhibits'!U736:U740),"")</f>
        <v/>
      </c>
      <c r="V740" s="3">
        <f>IF(ISNUMBER(AVERAGE('20250815_ETF_Options_Exhibits'!V736:V740)),AVERAGE('20250815_ETF_Options_Exhibits'!V736:V740),"")</f>
        <v/>
      </c>
      <c r="W740" s="3">
        <f>IF(ISNUMBER(AVERAGE('20250815_ETF_Options_Exhibits'!W736:W740)),AVERAGE('20250815_ETF_Options_Exhibits'!W736:W740),"")</f>
        <v/>
      </c>
      <c r="X740" s="3">
        <f>IF(ISNUMBER(AVERAGE('20250815_ETF_Options_Exhibits'!X736:X740)),AVERAGE('20250815_ETF_Options_Exhibits'!X736:X740),"")</f>
        <v/>
      </c>
      <c r="Y740" s="3">
        <f>IF(ISNUMBER(AVERAGE('20250815_ETF_Options_Exhibits'!Y736:Y740)),AVERAGE('20250815_ETF_Options_Exhibits'!Y736:Y740),"")</f>
        <v/>
      </c>
      <c r="Z740" s="3">
        <f>IF(ISNUMBER(AVERAGE('20250815_ETF_Options_Exhibits'!Z736:Z740)),AVERAGE('20250815_ETF_Options_Exhibits'!Z736:Z740),"")</f>
        <v/>
      </c>
      <c r="AA740" s="3">
        <f>IF(ISNUMBER(AVERAGE('20250815_ETF_Options_Exhibits'!AA736:AA740)),AVERAGE('20250815_ETF_Options_Exhibits'!AA736:AA740),"")</f>
        <v/>
      </c>
    </row>
    <row r="741">
      <c r="A741" s="1" t="n">
        <v>43076</v>
      </c>
      <c r="B741" s="3">
        <f>IF(ISNUMBER(AVERAGE('20250815_ETF_Options_Exhibits'!B737:B741)),AVERAGE('20250815_ETF_Options_Exhibits'!B737:B741),"")</f>
        <v/>
      </c>
      <c r="C741" s="3">
        <f>IF(ISNUMBER(AVERAGE('20250815_ETF_Options_Exhibits'!C737:C741)),AVERAGE('20250815_ETF_Options_Exhibits'!C737:C741),"")</f>
        <v/>
      </c>
      <c r="D741" s="3">
        <f>IF(ISNUMBER(AVERAGE('20250815_ETF_Options_Exhibits'!D737:D741)),AVERAGE('20250815_ETF_Options_Exhibits'!D737:D741),"")</f>
        <v/>
      </c>
      <c r="E741" s="3">
        <f>IF(ISNUMBER(AVERAGE('20250815_ETF_Options_Exhibits'!E737:E741)),AVERAGE('20250815_ETF_Options_Exhibits'!E737:E741),"")</f>
        <v/>
      </c>
      <c r="F741" s="3">
        <f>IF(ISNUMBER(AVERAGE('20250815_ETF_Options_Exhibits'!F737:F741)),AVERAGE('20250815_ETF_Options_Exhibits'!F737:F741),"")</f>
        <v/>
      </c>
      <c r="G741" s="3">
        <f>IF(ISNUMBER(AVERAGE('20250815_ETF_Options_Exhibits'!G737:G741)),AVERAGE('20250815_ETF_Options_Exhibits'!G737:G741),"")</f>
        <v/>
      </c>
      <c r="H741" s="3">
        <f>IF(ISNUMBER(AVERAGE('20250815_ETF_Options_Exhibits'!H737:H741)),AVERAGE('20250815_ETF_Options_Exhibits'!H737:H741),"")</f>
        <v/>
      </c>
      <c r="I741" s="3">
        <f>IF(ISNUMBER(AVERAGE('20250815_ETF_Options_Exhibits'!I737:I741)),AVERAGE('20250815_ETF_Options_Exhibits'!I737:I741),"")</f>
        <v/>
      </c>
      <c r="J741" s="3">
        <f>IF(ISNUMBER(AVERAGE('20250815_ETF_Options_Exhibits'!J737:J741)),AVERAGE('20250815_ETF_Options_Exhibits'!J737:J741),"")</f>
        <v/>
      </c>
      <c r="K741" s="3">
        <f>IF(ISNUMBER(AVERAGE('20250815_ETF_Options_Exhibits'!K737:K741)),AVERAGE('20250815_ETF_Options_Exhibits'!K737:K741),"")</f>
        <v/>
      </c>
      <c r="L741" s="3">
        <f>IF(ISNUMBER(AVERAGE('20250815_ETF_Options_Exhibits'!L737:L741)),AVERAGE('20250815_ETF_Options_Exhibits'!L737:L741),"")</f>
        <v/>
      </c>
      <c r="M741" s="3">
        <f>IF(ISNUMBER(AVERAGE('20250815_ETF_Options_Exhibits'!M737:M741)),AVERAGE('20250815_ETF_Options_Exhibits'!M737:M741),"")</f>
        <v/>
      </c>
      <c r="N741" s="3">
        <f>IF(ISNUMBER(AVERAGE('20250815_ETF_Options_Exhibits'!N737:N741)),AVERAGE('20250815_ETF_Options_Exhibits'!N737:N741),"")</f>
        <v/>
      </c>
      <c r="O741" s="3">
        <f>IF(ISNUMBER(AVERAGE('20250815_ETF_Options_Exhibits'!O737:O741)),AVERAGE('20250815_ETF_Options_Exhibits'!O737:O741),"")</f>
        <v/>
      </c>
      <c r="P741" s="3">
        <f>IF(ISNUMBER(AVERAGE('20250815_ETF_Options_Exhibits'!P737:P741)),AVERAGE('20250815_ETF_Options_Exhibits'!P737:P741),"")</f>
        <v/>
      </c>
      <c r="Q741" s="3">
        <f>IF(ISNUMBER(AVERAGE('20250815_ETF_Options_Exhibits'!Q737:Q741)),AVERAGE('20250815_ETF_Options_Exhibits'!Q737:Q741),"")</f>
        <v/>
      </c>
      <c r="R741" s="3">
        <f>IF(ISNUMBER(AVERAGE('20250815_ETF_Options_Exhibits'!R737:R741)),AVERAGE('20250815_ETF_Options_Exhibits'!R737:R741),"")</f>
        <v/>
      </c>
      <c r="S741" s="3">
        <f>IF(ISNUMBER(AVERAGE('20250815_ETF_Options_Exhibits'!S737:S741)),AVERAGE('20250815_ETF_Options_Exhibits'!S737:S741),"")</f>
        <v/>
      </c>
      <c r="T741" s="3">
        <f>IF(ISNUMBER(AVERAGE('20250815_ETF_Options_Exhibits'!T737:T741)),AVERAGE('20250815_ETF_Options_Exhibits'!T737:T741),"")</f>
        <v/>
      </c>
      <c r="U741" s="3">
        <f>IF(ISNUMBER(AVERAGE('20250815_ETF_Options_Exhibits'!U737:U741)),AVERAGE('20250815_ETF_Options_Exhibits'!U737:U741),"")</f>
        <v/>
      </c>
      <c r="V741" s="3">
        <f>IF(ISNUMBER(AVERAGE('20250815_ETF_Options_Exhibits'!V737:V741)),AVERAGE('20250815_ETF_Options_Exhibits'!V737:V741),"")</f>
        <v/>
      </c>
      <c r="W741" s="3">
        <f>IF(ISNUMBER(AVERAGE('20250815_ETF_Options_Exhibits'!W737:W741)),AVERAGE('20250815_ETF_Options_Exhibits'!W737:W741),"")</f>
        <v/>
      </c>
      <c r="X741" s="3">
        <f>IF(ISNUMBER(AVERAGE('20250815_ETF_Options_Exhibits'!X737:X741)),AVERAGE('20250815_ETF_Options_Exhibits'!X737:X741),"")</f>
        <v/>
      </c>
      <c r="Y741" s="3">
        <f>IF(ISNUMBER(AVERAGE('20250815_ETF_Options_Exhibits'!Y737:Y741)),AVERAGE('20250815_ETF_Options_Exhibits'!Y737:Y741),"")</f>
        <v/>
      </c>
      <c r="Z741" s="3">
        <f>IF(ISNUMBER(AVERAGE('20250815_ETF_Options_Exhibits'!Z737:Z741)),AVERAGE('20250815_ETF_Options_Exhibits'!Z737:Z741),"")</f>
        <v/>
      </c>
      <c r="AA741" s="3">
        <f>IF(ISNUMBER(AVERAGE('20250815_ETF_Options_Exhibits'!AA737:AA741)),AVERAGE('20250815_ETF_Options_Exhibits'!AA737:AA741),"")</f>
        <v/>
      </c>
    </row>
    <row r="742">
      <c r="A742" s="1" t="n">
        <v>43077</v>
      </c>
      <c r="B742" s="3">
        <f>IF(ISNUMBER(AVERAGE('20250815_ETF_Options_Exhibits'!B738:B742)),AVERAGE('20250815_ETF_Options_Exhibits'!B738:B742),"")</f>
        <v/>
      </c>
      <c r="C742" s="3">
        <f>IF(ISNUMBER(AVERAGE('20250815_ETF_Options_Exhibits'!C738:C742)),AVERAGE('20250815_ETF_Options_Exhibits'!C738:C742),"")</f>
        <v/>
      </c>
      <c r="D742" s="3">
        <f>IF(ISNUMBER(AVERAGE('20250815_ETF_Options_Exhibits'!D738:D742)),AVERAGE('20250815_ETF_Options_Exhibits'!D738:D742),"")</f>
        <v/>
      </c>
      <c r="E742" s="3">
        <f>IF(ISNUMBER(AVERAGE('20250815_ETF_Options_Exhibits'!E738:E742)),AVERAGE('20250815_ETF_Options_Exhibits'!E738:E742),"")</f>
        <v/>
      </c>
      <c r="F742" s="3">
        <f>IF(ISNUMBER(AVERAGE('20250815_ETF_Options_Exhibits'!F738:F742)),AVERAGE('20250815_ETF_Options_Exhibits'!F738:F742),"")</f>
        <v/>
      </c>
      <c r="G742" s="3">
        <f>IF(ISNUMBER(AVERAGE('20250815_ETF_Options_Exhibits'!G738:G742)),AVERAGE('20250815_ETF_Options_Exhibits'!G738:G742),"")</f>
        <v/>
      </c>
      <c r="H742" s="3">
        <f>IF(ISNUMBER(AVERAGE('20250815_ETF_Options_Exhibits'!H738:H742)),AVERAGE('20250815_ETF_Options_Exhibits'!H738:H742),"")</f>
        <v/>
      </c>
      <c r="I742" s="3">
        <f>IF(ISNUMBER(AVERAGE('20250815_ETF_Options_Exhibits'!I738:I742)),AVERAGE('20250815_ETF_Options_Exhibits'!I738:I742),"")</f>
        <v/>
      </c>
      <c r="J742" s="3">
        <f>IF(ISNUMBER(AVERAGE('20250815_ETF_Options_Exhibits'!J738:J742)),AVERAGE('20250815_ETF_Options_Exhibits'!J738:J742),"")</f>
        <v/>
      </c>
      <c r="K742" s="3">
        <f>IF(ISNUMBER(AVERAGE('20250815_ETF_Options_Exhibits'!K738:K742)),AVERAGE('20250815_ETF_Options_Exhibits'!K738:K742),"")</f>
        <v/>
      </c>
      <c r="L742" s="3">
        <f>IF(ISNUMBER(AVERAGE('20250815_ETF_Options_Exhibits'!L738:L742)),AVERAGE('20250815_ETF_Options_Exhibits'!L738:L742),"")</f>
        <v/>
      </c>
      <c r="M742" s="3">
        <f>IF(ISNUMBER(AVERAGE('20250815_ETF_Options_Exhibits'!M738:M742)),AVERAGE('20250815_ETF_Options_Exhibits'!M738:M742),"")</f>
        <v/>
      </c>
      <c r="N742" s="3">
        <f>IF(ISNUMBER(AVERAGE('20250815_ETF_Options_Exhibits'!N738:N742)),AVERAGE('20250815_ETF_Options_Exhibits'!N738:N742),"")</f>
        <v/>
      </c>
      <c r="O742" s="3">
        <f>IF(ISNUMBER(AVERAGE('20250815_ETF_Options_Exhibits'!O738:O742)),AVERAGE('20250815_ETF_Options_Exhibits'!O738:O742),"")</f>
        <v/>
      </c>
      <c r="P742" s="3">
        <f>IF(ISNUMBER(AVERAGE('20250815_ETF_Options_Exhibits'!P738:P742)),AVERAGE('20250815_ETF_Options_Exhibits'!P738:P742),"")</f>
        <v/>
      </c>
      <c r="Q742" s="3">
        <f>IF(ISNUMBER(AVERAGE('20250815_ETF_Options_Exhibits'!Q738:Q742)),AVERAGE('20250815_ETF_Options_Exhibits'!Q738:Q742),"")</f>
        <v/>
      </c>
      <c r="R742" s="3">
        <f>IF(ISNUMBER(AVERAGE('20250815_ETF_Options_Exhibits'!R738:R742)),AVERAGE('20250815_ETF_Options_Exhibits'!R738:R742),"")</f>
        <v/>
      </c>
      <c r="S742" s="3">
        <f>IF(ISNUMBER(AVERAGE('20250815_ETF_Options_Exhibits'!S738:S742)),AVERAGE('20250815_ETF_Options_Exhibits'!S738:S742),"")</f>
        <v/>
      </c>
      <c r="T742" s="3">
        <f>IF(ISNUMBER(AVERAGE('20250815_ETF_Options_Exhibits'!T738:T742)),AVERAGE('20250815_ETF_Options_Exhibits'!T738:T742),"")</f>
        <v/>
      </c>
      <c r="U742" s="3">
        <f>IF(ISNUMBER(AVERAGE('20250815_ETF_Options_Exhibits'!U738:U742)),AVERAGE('20250815_ETF_Options_Exhibits'!U738:U742),"")</f>
        <v/>
      </c>
      <c r="V742" s="3">
        <f>IF(ISNUMBER(AVERAGE('20250815_ETF_Options_Exhibits'!V738:V742)),AVERAGE('20250815_ETF_Options_Exhibits'!V738:V742),"")</f>
        <v/>
      </c>
      <c r="W742" s="3">
        <f>IF(ISNUMBER(AVERAGE('20250815_ETF_Options_Exhibits'!W738:W742)),AVERAGE('20250815_ETF_Options_Exhibits'!W738:W742),"")</f>
        <v/>
      </c>
      <c r="X742" s="3">
        <f>IF(ISNUMBER(AVERAGE('20250815_ETF_Options_Exhibits'!X738:X742)),AVERAGE('20250815_ETF_Options_Exhibits'!X738:X742),"")</f>
        <v/>
      </c>
      <c r="Y742" s="3">
        <f>IF(ISNUMBER(AVERAGE('20250815_ETF_Options_Exhibits'!Y738:Y742)),AVERAGE('20250815_ETF_Options_Exhibits'!Y738:Y742),"")</f>
        <v/>
      </c>
      <c r="Z742" s="3">
        <f>IF(ISNUMBER(AVERAGE('20250815_ETF_Options_Exhibits'!Z738:Z742)),AVERAGE('20250815_ETF_Options_Exhibits'!Z738:Z742),"")</f>
        <v/>
      </c>
      <c r="AA742" s="3">
        <f>IF(ISNUMBER(AVERAGE('20250815_ETF_Options_Exhibits'!AA738:AA742)),AVERAGE('20250815_ETF_Options_Exhibits'!AA738:AA742),"")</f>
        <v/>
      </c>
    </row>
    <row r="743">
      <c r="A743" s="1" t="n">
        <v>43080</v>
      </c>
      <c r="B743" s="3">
        <f>IF(ISNUMBER(AVERAGE('20250815_ETF_Options_Exhibits'!B739:B743)),AVERAGE('20250815_ETF_Options_Exhibits'!B739:B743),"")</f>
        <v/>
      </c>
      <c r="C743" s="3">
        <f>IF(ISNUMBER(AVERAGE('20250815_ETF_Options_Exhibits'!C739:C743)),AVERAGE('20250815_ETF_Options_Exhibits'!C739:C743),"")</f>
        <v/>
      </c>
      <c r="D743" s="3">
        <f>IF(ISNUMBER(AVERAGE('20250815_ETF_Options_Exhibits'!D739:D743)),AVERAGE('20250815_ETF_Options_Exhibits'!D739:D743),"")</f>
        <v/>
      </c>
      <c r="E743" s="3">
        <f>IF(ISNUMBER(AVERAGE('20250815_ETF_Options_Exhibits'!E739:E743)),AVERAGE('20250815_ETF_Options_Exhibits'!E739:E743),"")</f>
        <v/>
      </c>
      <c r="F743" s="3">
        <f>IF(ISNUMBER(AVERAGE('20250815_ETF_Options_Exhibits'!F739:F743)),AVERAGE('20250815_ETF_Options_Exhibits'!F739:F743),"")</f>
        <v/>
      </c>
      <c r="G743" s="3">
        <f>IF(ISNUMBER(AVERAGE('20250815_ETF_Options_Exhibits'!G739:G743)),AVERAGE('20250815_ETF_Options_Exhibits'!G739:G743),"")</f>
        <v/>
      </c>
      <c r="H743" s="3">
        <f>IF(ISNUMBER(AVERAGE('20250815_ETF_Options_Exhibits'!H739:H743)),AVERAGE('20250815_ETF_Options_Exhibits'!H739:H743),"")</f>
        <v/>
      </c>
      <c r="I743" s="3">
        <f>IF(ISNUMBER(AVERAGE('20250815_ETF_Options_Exhibits'!I739:I743)),AVERAGE('20250815_ETF_Options_Exhibits'!I739:I743),"")</f>
        <v/>
      </c>
      <c r="J743" s="3">
        <f>IF(ISNUMBER(AVERAGE('20250815_ETF_Options_Exhibits'!J739:J743)),AVERAGE('20250815_ETF_Options_Exhibits'!J739:J743),"")</f>
        <v/>
      </c>
      <c r="K743" s="3">
        <f>IF(ISNUMBER(AVERAGE('20250815_ETF_Options_Exhibits'!K739:K743)),AVERAGE('20250815_ETF_Options_Exhibits'!K739:K743),"")</f>
        <v/>
      </c>
      <c r="L743" s="3">
        <f>IF(ISNUMBER(AVERAGE('20250815_ETF_Options_Exhibits'!L739:L743)),AVERAGE('20250815_ETF_Options_Exhibits'!L739:L743),"")</f>
        <v/>
      </c>
      <c r="M743" s="3">
        <f>IF(ISNUMBER(AVERAGE('20250815_ETF_Options_Exhibits'!M739:M743)),AVERAGE('20250815_ETF_Options_Exhibits'!M739:M743),"")</f>
        <v/>
      </c>
      <c r="N743" s="3">
        <f>IF(ISNUMBER(AVERAGE('20250815_ETF_Options_Exhibits'!N739:N743)),AVERAGE('20250815_ETF_Options_Exhibits'!N739:N743),"")</f>
        <v/>
      </c>
      <c r="O743" s="3">
        <f>IF(ISNUMBER(AVERAGE('20250815_ETF_Options_Exhibits'!O739:O743)),AVERAGE('20250815_ETF_Options_Exhibits'!O739:O743),"")</f>
        <v/>
      </c>
      <c r="P743" s="3">
        <f>IF(ISNUMBER(AVERAGE('20250815_ETF_Options_Exhibits'!P739:P743)),AVERAGE('20250815_ETF_Options_Exhibits'!P739:P743),"")</f>
        <v/>
      </c>
      <c r="Q743" s="3">
        <f>IF(ISNUMBER(AVERAGE('20250815_ETF_Options_Exhibits'!Q739:Q743)),AVERAGE('20250815_ETF_Options_Exhibits'!Q739:Q743),"")</f>
        <v/>
      </c>
      <c r="R743" s="3">
        <f>IF(ISNUMBER(AVERAGE('20250815_ETF_Options_Exhibits'!R739:R743)),AVERAGE('20250815_ETF_Options_Exhibits'!R739:R743),"")</f>
        <v/>
      </c>
      <c r="S743" s="3">
        <f>IF(ISNUMBER(AVERAGE('20250815_ETF_Options_Exhibits'!S739:S743)),AVERAGE('20250815_ETF_Options_Exhibits'!S739:S743),"")</f>
        <v/>
      </c>
      <c r="T743" s="3">
        <f>IF(ISNUMBER(AVERAGE('20250815_ETF_Options_Exhibits'!T739:T743)),AVERAGE('20250815_ETF_Options_Exhibits'!T739:T743),"")</f>
        <v/>
      </c>
      <c r="U743" s="3">
        <f>IF(ISNUMBER(AVERAGE('20250815_ETF_Options_Exhibits'!U739:U743)),AVERAGE('20250815_ETF_Options_Exhibits'!U739:U743),"")</f>
        <v/>
      </c>
      <c r="V743" s="3">
        <f>IF(ISNUMBER(AVERAGE('20250815_ETF_Options_Exhibits'!V739:V743)),AVERAGE('20250815_ETF_Options_Exhibits'!V739:V743),"")</f>
        <v/>
      </c>
      <c r="W743" s="3">
        <f>IF(ISNUMBER(AVERAGE('20250815_ETF_Options_Exhibits'!W739:W743)),AVERAGE('20250815_ETF_Options_Exhibits'!W739:W743),"")</f>
        <v/>
      </c>
      <c r="X743" s="3">
        <f>IF(ISNUMBER(AVERAGE('20250815_ETF_Options_Exhibits'!X739:X743)),AVERAGE('20250815_ETF_Options_Exhibits'!X739:X743),"")</f>
        <v/>
      </c>
      <c r="Y743" s="3">
        <f>IF(ISNUMBER(AVERAGE('20250815_ETF_Options_Exhibits'!Y739:Y743)),AVERAGE('20250815_ETF_Options_Exhibits'!Y739:Y743),"")</f>
        <v/>
      </c>
      <c r="Z743" s="3">
        <f>IF(ISNUMBER(AVERAGE('20250815_ETF_Options_Exhibits'!Z739:Z743)),AVERAGE('20250815_ETF_Options_Exhibits'!Z739:Z743),"")</f>
        <v/>
      </c>
      <c r="AA743" s="3">
        <f>IF(ISNUMBER(AVERAGE('20250815_ETF_Options_Exhibits'!AA739:AA743)),AVERAGE('20250815_ETF_Options_Exhibits'!AA739:AA743),"")</f>
        <v/>
      </c>
    </row>
    <row r="744">
      <c r="A744" s="1" t="n">
        <v>43081</v>
      </c>
      <c r="B744" s="3">
        <f>IF(ISNUMBER(AVERAGE('20250815_ETF_Options_Exhibits'!B740:B744)),AVERAGE('20250815_ETF_Options_Exhibits'!B740:B744),"")</f>
        <v/>
      </c>
      <c r="C744" s="3">
        <f>IF(ISNUMBER(AVERAGE('20250815_ETF_Options_Exhibits'!C740:C744)),AVERAGE('20250815_ETF_Options_Exhibits'!C740:C744),"")</f>
        <v/>
      </c>
      <c r="D744" s="3">
        <f>IF(ISNUMBER(AVERAGE('20250815_ETF_Options_Exhibits'!D740:D744)),AVERAGE('20250815_ETF_Options_Exhibits'!D740:D744),"")</f>
        <v/>
      </c>
      <c r="E744" s="3">
        <f>IF(ISNUMBER(AVERAGE('20250815_ETF_Options_Exhibits'!E740:E744)),AVERAGE('20250815_ETF_Options_Exhibits'!E740:E744),"")</f>
        <v/>
      </c>
      <c r="F744" s="3">
        <f>IF(ISNUMBER(AVERAGE('20250815_ETF_Options_Exhibits'!F740:F744)),AVERAGE('20250815_ETF_Options_Exhibits'!F740:F744),"")</f>
        <v/>
      </c>
      <c r="G744" s="3">
        <f>IF(ISNUMBER(AVERAGE('20250815_ETF_Options_Exhibits'!G740:G744)),AVERAGE('20250815_ETF_Options_Exhibits'!G740:G744),"")</f>
        <v/>
      </c>
      <c r="H744" s="3">
        <f>IF(ISNUMBER(AVERAGE('20250815_ETF_Options_Exhibits'!H740:H744)),AVERAGE('20250815_ETF_Options_Exhibits'!H740:H744),"")</f>
        <v/>
      </c>
      <c r="I744" s="3">
        <f>IF(ISNUMBER(AVERAGE('20250815_ETF_Options_Exhibits'!I740:I744)),AVERAGE('20250815_ETF_Options_Exhibits'!I740:I744),"")</f>
        <v/>
      </c>
      <c r="J744" s="3">
        <f>IF(ISNUMBER(AVERAGE('20250815_ETF_Options_Exhibits'!J740:J744)),AVERAGE('20250815_ETF_Options_Exhibits'!J740:J744),"")</f>
        <v/>
      </c>
      <c r="K744" s="3">
        <f>IF(ISNUMBER(AVERAGE('20250815_ETF_Options_Exhibits'!K740:K744)),AVERAGE('20250815_ETF_Options_Exhibits'!K740:K744),"")</f>
        <v/>
      </c>
      <c r="L744" s="3">
        <f>IF(ISNUMBER(AVERAGE('20250815_ETF_Options_Exhibits'!L740:L744)),AVERAGE('20250815_ETF_Options_Exhibits'!L740:L744),"")</f>
        <v/>
      </c>
      <c r="M744" s="3">
        <f>IF(ISNUMBER(AVERAGE('20250815_ETF_Options_Exhibits'!M740:M744)),AVERAGE('20250815_ETF_Options_Exhibits'!M740:M744),"")</f>
        <v/>
      </c>
      <c r="N744" s="3">
        <f>IF(ISNUMBER(AVERAGE('20250815_ETF_Options_Exhibits'!N740:N744)),AVERAGE('20250815_ETF_Options_Exhibits'!N740:N744),"")</f>
        <v/>
      </c>
      <c r="O744" s="3">
        <f>IF(ISNUMBER(AVERAGE('20250815_ETF_Options_Exhibits'!O740:O744)),AVERAGE('20250815_ETF_Options_Exhibits'!O740:O744),"")</f>
        <v/>
      </c>
      <c r="P744" s="3">
        <f>IF(ISNUMBER(AVERAGE('20250815_ETF_Options_Exhibits'!P740:P744)),AVERAGE('20250815_ETF_Options_Exhibits'!P740:P744),"")</f>
        <v/>
      </c>
      <c r="Q744" s="3">
        <f>IF(ISNUMBER(AVERAGE('20250815_ETF_Options_Exhibits'!Q740:Q744)),AVERAGE('20250815_ETF_Options_Exhibits'!Q740:Q744),"")</f>
        <v/>
      </c>
      <c r="R744" s="3">
        <f>IF(ISNUMBER(AVERAGE('20250815_ETF_Options_Exhibits'!R740:R744)),AVERAGE('20250815_ETF_Options_Exhibits'!R740:R744),"")</f>
        <v/>
      </c>
      <c r="S744" s="3">
        <f>IF(ISNUMBER(AVERAGE('20250815_ETF_Options_Exhibits'!S740:S744)),AVERAGE('20250815_ETF_Options_Exhibits'!S740:S744),"")</f>
        <v/>
      </c>
      <c r="T744" s="3">
        <f>IF(ISNUMBER(AVERAGE('20250815_ETF_Options_Exhibits'!T740:T744)),AVERAGE('20250815_ETF_Options_Exhibits'!T740:T744),"")</f>
        <v/>
      </c>
      <c r="U744" s="3">
        <f>IF(ISNUMBER(AVERAGE('20250815_ETF_Options_Exhibits'!U740:U744)),AVERAGE('20250815_ETF_Options_Exhibits'!U740:U744),"")</f>
        <v/>
      </c>
      <c r="V744" s="3">
        <f>IF(ISNUMBER(AVERAGE('20250815_ETF_Options_Exhibits'!V740:V744)),AVERAGE('20250815_ETF_Options_Exhibits'!V740:V744),"")</f>
        <v/>
      </c>
      <c r="W744" s="3">
        <f>IF(ISNUMBER(AVERAGE('20250815_ETF_Options_Exhibits'!W740:W744)),AVERAGE('20250815_ETF_Options_Exhibits'!W740:W744),"")</f>
        <v/>
      </c>
      <c r="X744" s="3">
        <f>IF(ISNUMBER(AVERAGE('20250815_ETF_Options_Exhibits'!X740:X744)),AVERAGE('20250815_ETF_Options_Exhibits'!X740:X744),"")</f>
        <v/>
      </c>
      <c r="Y744" s="3">
        <f>IF(ISNUMBER(AVERAGE('20250815_ETF_Options_Exhibits'!Y740:Y744)),AVERAGE('20250815_ETF_Options_Exhibits'!Y740:Y744),"")</f>
        <v/>
      </c>
      <c r="Z744" s="3">
        <f>IF(ISNUMBER(AVERAGE('20250815_ETF_Options_Exhibits'!Z740:Z744)),AVERAGE('20250815_ETF_Options_Exhibits'!Z740:Z744),"")</f>
        <v/>
      </c>
      <c r="AA744" s="3">
        <f>IF(ISNUMBER(AVERAGE('20250815_ETF_Options_Exhibits'!AA740:AA744)),AVERAGE('20250815_ETF_Options_Exhibits'!AA740:AA744),"")</f>
        <v/>
      </c>
    </row>
    <row r="745">
      <c r="A745" s="1" t="n">
        <v>43082</v>
      </c>
      <c r="B745" s="3">
        <f>IF(ISNUMBER(AVERAGE('20250815_ETF_Options_Exhibits'!B741:B745)),AVERAGE('20250815_ETF_Options_Exhibits'!B741:B745),"")</f>
        <v/>
      </c>
      <c r="C745" s="3">
        <f>IF(ISNUMBER(AVERAGE('20250815_ETF_Options_Exhibits'!C741:C745)),AVERAGE('20250815_ETF_Options_Exhibits'!C741:C745),"")</f>
        <v/>
      </c>
      <c r="D745" s="3">
        <f>IF(ISNUMBER(AVERAGE('20250815_ETF_Options_Exhibits'!D741:D745)),AVERAGE('20250815_ETF_Options_Exhibits'!D741:D745),"")</f>
        <v/>
      </c>
      <c r="E745" s="3">
        <f>IF(ISNUMBER(AVERAGE('20250815_ETF_Options_Exhibits'!E741:E745)),AVERAGE('20250815_ETF_Options_Exhibits'!E741:E745),"")</f>
        <v/>
      </c>
      <c r="F745" s="3">
        <f>IF(ISNUMBER(AVERAGE('20250815_ETF_Options_Exhibits'!F741:F745)),AVERAGE('20250815_ETF_Options_Exhibits'!F741:F745),"")</f>
        <v/>
      </c>
      <c r="G745" s="3">
        <f>IF(ISNUMBER(AVERAGE('20250815_ETF_Options_Exhibits'!G741:G745)),AVERAGE('20250815_ETF_Options_Exhibits'!G741:G745),"")</f>
        <v/>
      </c>
      <c r="H745" s="3">
        <f>IF(ISNUMBER(AVERAGE('20250815_ETF_Options_Exhibits'!H741:H745)),AVERAGE('20250815_ETF_Options_Exhibits'!H741:H745),"")</f>
        <v/>
      </c>
      <c r="I745" s="3">
        <f>IF(ISNUMBER(AVERAGE('20250815_ETF_Options_Exhibits'!I741:I745)),AVERAGE('20250815_ETF_Options_Exhibits'!I741:I745),"")</f>
        <v/>
      </c>
      <c r="J745" s="3">
        <f>IF(ISNUMBER(AVERAGE('20250815_ETF_Options_Exhibits'!J741:J745)),AVERAGE('20250815_ETF_Options_Exhibits'!J741:J745),"")</f>
        <v/>
      </c>
      <c r="K745" s="3">
        <f>IF(ISNUMBER(AVERAGE('20250815_ETF_Options_Exhibits'!K741:K745)),AVERAGE('20250815_ETF_Options_Exhibits'!K741:K745),"")</f>
        <v/>
      </c>
      <c r="L745" s="3">
        <f>IF(ISNUMBER(AVERAGE('20250815_ETF_Options_Exhibits'!L741:L745)),AVERAGE('20250815_ETF_Options_Exhibits'!L741:L745),"")</f>
        <v/>
      </c>
      <c r="M745" s="3">
        <f>IF(ISNUMBER(AVERAGE('20250815_ETF_Options_Exhibits'!M741:M745)),AVERAGE('20250815_ETF_Options_Exhibits'!M741:M745),"")</f>
        <v/>
      </c>
      <c r="N745" s="3">
        <f>IF(ISNUMBER(AVERAGE('20250815_ETF_Options_Exhibits'!N741:N745)),AVERAGE('20250815_ETF_Options_Exhibits'!N741:N745),"")</f>
        <v/>
      </c>
      <c r="O745" s="3">
        <f>IF(ISNUMBER(AVERAGE('20250815_ETF_Options_Exhibits'!O741:O745)),AVERAGE('20250815_ETF_Options_Exhibits'!O741:O745),"")</f>
        <v/>
      </c>
      <c r="P745" s="3">
        <f>IF(ISNUMBER(AVERAGE('20250815_ETF_Options_Exhibits'!P741:P745)),AVERAGE('20250815_ETF_Options_Exhibits'!P741:P745),"")</f>
        <v/>
      </c>
      <c r="Q745" s="3">
        <f>IF(ISNUMBER(AVERAGE('20250815_ETF_Options_Exhibits'!Q741:Q745)),AVERAGE('20250815_ETF_Options_Exhibits'!Q741:Q745),"")</f>
        <v/>
      </c>
      <c r="R745" s="3">
        <f>IF(ISNUMBER(AVERAGE('20250815_ETF_Options_Exhibits'!R741:R745)),AVERAGE('20250815_ETF_Options_Exhibits'!R741:R745),"")</f>
        <v/>
      </c>
      <c r="S745" s="3">
        <f>IF(ISNUMBER(AVERAGE('20250815_ETF_Options_Exhibits'!S741:S745)),AVERAGE('20250815_ETF_Options_Exhibits'!S741:S745),"")</f>
        <v/>
      </c>
      <c r="T745" s="3">
        <f>IF(ISNUMBER(AVERAGE('20250815_ETF_Options_Exhibits'!T741:T745)),AVERAGE('20250815_ETF_Options_Exhibits'!T741:T745),"")</f>
        <v/>
      </c>
      <c r="U745" s="3">
        <f>IF(ISNUMBER(AVERAGE('20250815_ETF_Options_Exhibits'!U741:U745)),AVERAGE('20250815_ETF_Options_Exhibits'!U741:U745),"")</f>
        <v/>
      </c>
      <c r="V745" s="3">
        <f>IF(ISNUMBER(AVERAGE('20250815_ETF_Options_Exhibits'!V741:V745)),AVERAGE('20250815_ETF_Options_Exhibits'!V741:V745),"")</f>
        <v/>
      </c>
      <c r="W745" s="3">
        <f>IF(ISNUMBER(AVERAGE('20250815_ETF_Options_Exhibits'!W741:W745)),AVERAGE('20250815_ETF_Options_Exhibits'!W741:W745),"")</f>
        <v/>
      </c>
      <c r="X745" s="3">
        <f>IF(ISNUMBER(AVERAGE('20250815_ETF_Options_Exhibits'!X741:X745)),AVERAGE('20250815_ETF_Options_Exhibits'!X741:X745),"")</f>
        <v/>
      </c>
      <c r="Y745" s="3">
        <f>IF(ISNUMBER(AVERAGE('20250815_ETF_Options_Exhibits'!Y741:Y745)),AVERAGE('20250815_ETF_Options_Exhibits'!Y741:Y745),"")</f>
        <v/>
      </c>
      <c r="Z745" s="3">
        <f>IF(ISNUMBER(AVERAGE('20250815_ETF_Options_Exhibits'!Z741:Z745)),AVERAGE('20250815_ETF_Options_Exhibits'!Z741:Z745),"")</f>
        <v/>
      </c>
      <c r="AA745" s="3">
        <f>IF(ISNUMBER(AVERAGE('20250815_ETF_Options_Exhibits'!AA741:AA745)),AVERAGE('20250815_ETF_Options_Exhibits'!AA741:AA745),"")</f>
        <v/>
      </c>
    </row>
    <row r="746">
      <c r="A746" s="1" t="n">
        <v>43083</v>
      </c>
      <c r="B746" s="3">
        <f>IF(ISNUMBER(AVERAGE('20250815_ETF_Options_Exhibits'!B742:B746)),AVERAGE('20250815_ETF_Options_Exhibits'!B742:B746),"")</f>
        <v/>
      </c>
      <c r="C746" s="3">
        <f>IF(ISNUMBER(AVERAGE('20250815_ETF_Options_Exhibits'!C742:C746)),AVERAGE('20250815_ETF_Options_Exhibits'!C742:C746),"")</f>
        <v/>
      </c>
      <c r="D746" s="3">
        <f>IF(ISNUMBER(AVERAGE('20250815_ETF_Options_Exhibits'!D742:D746)),AVERAGE('20250815_ETF_Options_Exhibits'!D742:D746),"")</f>
        <v/>
      </c>
      <c r="E746" s="3">
        <f>IF(ISNUMBER(AVERAGE('20250815_ETF_Options_Exhibits'!E742:E746)),AVERAGE('20250815_ETF_Options_Exhibits'!E742:E746),"")</f>
        <v/>
      </c>
      <c r="F746" s="3">
        <f>IF(ISNUMBER(AVERAGE('20250815_ETF_Options_Exhibits'!F742:F746)),AVERAGE('20250815_ETF_Options_Exhibits'!F742:F746),"")</f>
        <v/>
      </c>
      <c r="G746" s="3">
        <f>IF(ISNUMBER(AVERAGE('20250815_ETF_Options_Exhibits'!G742:G746)),AVERAGE('20250815_ETF_Options_Exhibits'!G742:G746),"")</f>
        <v/>
      </c>
      <c r="H746" s="3">
        <f>IF(ISNUMBER(AVERAGE('20250815_ETF_Options_Exhibits'!H742:H746)),AVERAGE('20250815_ETF_Options_Exhibits'!H742:H746),"")</f>
        <v/>
      </c>
      <c r="I746" s="3">
        <f>IF(ISNUMBER(AVERAGE('20250815_ETF_Options_Exhibits'!I742:I746)),AVERAGE('20250815_ETF_Options_Exhibits'!I742:I746),"")</f>
        <v/>
      </c>
      <c r="J746" s="3">
        <f>IF(ISNUMBER(AVERAGE('20250815_ETF_Options_Exhibits'!J742:J746)),AVERAGE('20250815_ETF_Options_Exhibits'!J742:J746),"")</f>
        <v/>
      </c>
      <c r="K746" s="3">
        <f>IF(ISNUMBER(AVERAGE('20250815_ETF_Options_Exhibits'!K742:K746)),AVERAGE('20250815_ETF_Options_Exhibits'!K742:K746),"")</f>
        <v/>
      </c>
      <c r="L746" s="3">
        <f>IF(ISNUMBER(AVERAGE('20250815_ETF_Options_Exhibits'!L742:L746)),AVERAGE('20250815_ETF_Options_Exhibits'!L742:L746),"")</f>
        <v/>
      </c>
      <c r="M746" s="3">
        <f>IF(ISNUMBER(AVERAGE('20250815_ETF_Options_Exhibits'!M742:M746)),AVERAGE('20250815_ETF_Options_Exhibits'!M742:M746),"")</f>
        <v/>
      </c>
      <c r="N746" s="3">
        <f>IF(ISNUMBER(AVERAGE('20250815_ETF_Options_Exhibits'!N742:N746)),AVERAGE('20250815_ETF_Options_Exhibits'!N742:N746),"")</f>
        <v/>
      </c>
      <c r="O746" s="3">
        <f>IF(ISNUMBER(AVERAGE('20250815_ETF_Options_Exhibits'!O742:O746)),AVERAGE('20250815_ETF_Options_Exhibits'!O742:O746),"")</f>
        <v/>
      </c>
      <c r="P746" s="3">
        <f>IF(ISNUMBER(AVERAGE('20250815_ETF_Options_Exhibits'!P742:P746)),AVERAGE('20250815_ETF_Options_Exhibits'!P742:P746),"")</f>
        <v/>
      </c>
      <c r="Q746" s="3">
        <f>IF(ISNUMBER(AVERAGE('20250815_ETF_Options_Exhibits'!Q742:Q746)),AVERAGE('20250815_ETF_Options_Exhibits'!Q742:Q746),"")</f>
        <v/>
      </c>
      <c r="R746" s="3">
        <f>IF(ISNUMBER(AVERAGE('20250815_ETF_Options_Exhibits'!R742:R746)),AVERAGE('20250815_ETF_Options_Exhibits'!R742:R746),"")</f>
        <v/>
      </c>
      <c r="S746" s="3">
        <f>IF(ISNUMBER(AVERAGE('20250815_ETF_Options_Exhibits'!S742:S746)),AVERAGE('20250815_ETF_Options_Exhibits'!S742:S746),"")</f>
        <v/>
      </c>
      <c r="T746" s="3">
        <f>IF(ISNUMBER(AVERAGE('20250815_ETF_Options_Exhibits'!T742:T746)),AVERAGE('20250815_ETF_Options_Exhibits'!T742:T746),"")</f>
        <v/>
      </c>
      <c r="U746" s="3">
        <f>IF(ISNUMBER(AVERAGE('20250815_ETF_Options_Exhibits'!U742:U746)),AVERAGE('20250815_ETF_Options_Exhibits'!U742:U746),"")</f>
        <v/>
      </c>
      <c r="V746" s="3">
        <f>IF(ISNUMBER(AVERAGE('20250815_ETF_Options_Exhibits'!V742:V746)),AVERAGE('20250815_ETF_Options_Exhibits'!V742:V746),"")</f>
        <v/>
      </c>
      <c r="W746" s="3">
        <f>IF(ISNUMBER(AVERAGE('20250815_ETF_Options_Exhibits'!W742:W746)),AVERAGE('20250815_ETF_Options_Exhibits'!W742:W746),"")</f>
        <v/>
      </c>
      <c r="X746" s="3">
        <f>IF(ISNUMBER(AVERAGE('20250815_ETF_Options_Exhibits'!X742:X746)),AVERAGE('20250815_ETF_Options_Exhibits'!X742:X746),"")</f>
        <v/>
      </c>
      <c r="Y746" s="3">
        <f>IF(ISNUMBER(AVERAGE('20250815_ETF_Options_Exhibits'!Y742:Y746)),AVERAGE('20250815_ETF_Options_Exhibits'!Y742:Y746),"")</f>
        <v/>
      </c>
      <c r="Z746" s="3">
        <f>IF(ISNUMBER(AVERAGE('20250815_ETF_Options_Exhibits'!Z742:Z746)),AVERAGE('20250815_ETF_Options_Exhibits'!Z742:Z746),"")</f>
        <v/>
      </c>
      <c r="AA746" s="3">
        <f>IF(ISNUMBER(AVERAGE('20250815_ETF_Options_Exhibits'!AA742:AA746)),AVERAGE('20250815_ETF_Options_Exhibits'!AA742:AA746),"")</f>
        <v/>
      </c>
    </row>
    <row r="747">
      <c r="A747" s="1" t="n">
        <v>43084</v>
      </c>
      <c r="B747" s="3">
        <f>IF(ISNUMBER(AVERAGE('20250815_ETF_Options_Exhibits'!B743:B747)),AVERAGE('20250815_ETF_Options_Exhibits'!B743:B747),"")</f>
        <v/>
      </c>
      <c r="C747" s="3">
        <f>IF(ISNUMBER(AVERAGE('20250815_ETF_Options_Exhibits'!C743:C747)),AVERAGE('20250815_ETF_Options_Exhibits'!C743:C747),"")</f>
        <v/>
      </c>
      <c r="D747" s="3">
        <f>IF(ISNUMBER(AVERAGE('20250815_ETF_Options_Exhibits'!D743:D747)),AVERAGE('20250815_ETF_Options_Exhibits'!D743:D747),"")</f>
        <v/>
      </c>
      <c r="E747" s="3">
        <f>IF(ISNUMBER(AVERAGE('20250815_ETF_Options_Exhibits'!E743:E747)),AVERAGE('20250815_ETF_Options_Exhibits'!E743:E747),"")</f>
        <v/>
      </c>
      <c r="F747" s="3">
        <f>IF(ISNUMBER(AVERAGE('20250815_ETF_Options_Exhibits'!F743:F747)),AVERAGE('20250815_ETF_Options_Exhibits'!F743:F747),"")</f>
        <v/>
      </c>
      <c r="G747" s="3">
        <f>IF(ISNUMBER(AVERAGE('20250815_ETF_Options_Exhibits'!G743:G747)),AVERAGE('20250815_ETF_Options_Exhibits'!G743:G747),"")</f>
        <v/>
      </c>
      <c r="H747" s="3">
        <f>IF(ISNUMBER(AVERAGE('20250815_ETF_Options_Exhibits'!H743:H747)),AVERAGE('20250815_ETF_Options_Exhibits'!H743:H747),"")</f>
        <v/>
      </c>
      <c r="I747" s="3">
        <f>IF(ISNUMBER(AVERAGE('20250815_ETF_Options_Exhibits'!I743:I747)),AVERAGE('20250815_ETF_Options_Exhibits'!I743:I747),"")</f>
        <v/>
      </c>
      <c r="J747" s="3">
        <f>IF(ISNUMBER(AVERAGE('20250815_ETF_Options_Exhibits'!J743:J747)),AVERAGE('20250815_ETF_Options_Exhibits'!J743:J747),"")</f>
        <v/>
      </c>
      <c r="K747" s="3">
        <f>IF(ISNUMBER(AVERAGE('20250815_ETF_Options_Exhibits'!K743:K747)),AVERAGE('20250815_ETF_Options_Exhibits'!K743:K747),"")</f>
        <v/>
      </c>
      <c r="L747" s="3">
        <f>IF(ISNUMBER(AVERAGE('20250815_ETF_Options_Exhibits'!L743:L747)),AVERAGE('20250815_ETF_Options_Exhibits'!L743:L747),"")</f>
        <v/>
      </c>
      <c r="M747" s="3">
        <f>IF(ISNUMBER(AVERAGE('20250815_ETF_Options_Exhibits'!M743:M747)),AVERAGE('20250815_ETF_Options_Exhibits'!M743:M747),"")</f>
        <v/>
      </c>
      <c r="N747" s="3">
        <f>IF(ISNUMBER(AVERAGE('20250815_ETF_Options_Exhibits'!N743:N747)),AVERAGE('20250815_ETF_Options_Exhibits'!N743:N747),"")</f>
        <v/>
      </c>
      <c r="O747" s="3">
        <f>IF(ISNUMBER(AVERAGE('20250815_ETF_Options_Exhibits'!O743:O747)),AVERAGE('20250815_ETF_Options_Exhibits'!O743:O747),"")</f>
        <v/>
      </c>
      <c r="P747" s="3">
        <f>IF(ISNUMBER(AVERAGE('20250815_ETF_Options_Exhibits'!P743:P747)),AVERAGE('20250815_ETF_Options_Exhibits'!P743:P747),"")</f>
        <v/>
      </c>
      <c r="Q747" s="3">
        <f>IF(ISNUMBER(AVERAGE('20250815_ETF_Options_Exhibits'!Q743:Q747)),AVERAGE('20250815_ETF_Options_Exhibits'!Q743:Q747),"")</f>
        <v/>
      </c>
      <c r="R747" s="3">
        <f>IF(ISNUMBER(AVERAGE('20250815_ETF_Options_Exhibits'!R743:R747)),AVERAGE('20250815_ETF_Options_Exhibits'!R743:R747),"")</f>
        <v/>
      </c>
      <c r="S747" s="3">
        <f>IF(ISNUMBER(AVERAGE('20250815_ETF_Options_Exhibits'!S743:S747)),AVERAGE('20250815_ETF_Options_Exhibits'!S743:S747),"")</f>
        <v/>
      </c>
      <c r="T747" s="3">
        <f>IF(ISNUMBER(AVERAGE('20250815_ETF_Options_Exhibits'!T743:T747)),AVERAGE('20250815_ETF_Options_Exhibits'!T743:T747),"")</f>
        <v/>
      </c>
      <c r="U747" s="3">
        <f>IF(ISNUMBER(AVERAGE('20250815_ETF_Options_Exhibits'!U743:U747)),AVERAGE('20250815_ETF_Options_Exhibits'!U743:U747),"")</f>
        <v/>
      </c>
      <c r="V747" s="3">
        <f>IF(ISNUMBER(AVERAGE('20250815_ETF_Options_Exhibits'!V743:V747)),AVERAGE('20250815_ETF_Options_Exhibits'!V743:V747),"")</f>
        <v/>
      </c>
      <c r="W747" s="3">
        <f>IF(ISNUMBER(AVERAGE('20250815_ETF_Options_Exhibits'!W743:W747)),AVERAGE('20250815_ETF_Options_Exhibits'!W743:W747),"")</f>
        <v/>
      </c>
      <c r="X747" s="3">
        <f>IF(ISNUMBER(AVERAGE('20250815_ETF_Options_Exhibits'!X743:X747)),AVERAGE('20250815_ETF_Options_Exhibits'!X743:X747),"")</f>
        <v/>
      </c>
      <c r="Y747" s="3">
        <f>IF(ISNUMBER(AVERAGE('20250815_ETF_Options_Exhibits'!Y743:Y747)),AVERAGE('20250815_ETF_Options_Exhibits'!Y743:Y747),"")</f>
        <v/>
      </c>
      <c r="Z747" s="3">
        <f>IF(ISNUMBER(AVERAGE('20250815_ETF_Options_Exhibits'!Z743:Z747)),AVERAGE('20250815_ETF_Options_Exhibits'!Z743:Z747),"")</f>
        <v/>
      </c>
      <c r="AA747" s="3">
        <f>IF(ISNUMBER(AVERAGE('20250815_ETF_Options_Exhibits'!AA743:AA747)),AVERAGE('20250815_ETF_Options_Exhibits'!AA743:AA747),"")</f>
        <v/>
      </c>
    </row>
    <row r="748">
      <c r="A748" s="1" t="n">
        <v>43087</v>
      </c>
      <c r="B748" s="3">
        <f>IF(ISNUMBER(AVERAGE('20250815_ETF_Options_Exhibits'!B744:B748)),AVERAGE('20250815_ETF_Options_Exhibits'!B744:B748),"")</f>
        <v/>
      </c>
      <c r="C748" s="3">
        <f>IF(ISNUMBER(AVERAGE('20250815_ETF_Options_Exhibits'!C744:C748)),AVERAGE('20250815_ETF_Options_Exhibits'!C744:C748),"")</f>
        <v/>
      </c>
      <c r="D748" s="3">
        <f>IF(ISNUMBER(AVERAGE('20250815_ETF_Options_Exhibits'!D744:D748)),AVERAGE('20250815_ETF_Options_Exhibits'!D744:D748),"")</f>
        <v/>
      </c>
      <c r="E748" s="3">
        <f>IF(ISNUMBER(AVERAGE('20250815_ETF_Options_Exhibits'!E744:E748)),AVERAGE('20250815_ETF_Options_Exhibits'!E744:E748),"")</f>
        <v/>
      </c>
      <c r="F748" s="3">
        <f>IF(ISNUMBER(AVERAGE('20250815_ETF_Options_Exhibits'!F744:F748)),AVERAGE('20250815_ETF_Options_Exhibits'!F744:F748),"")</f>
        <v/>
      </c>
      <c r="G748" s="3">
        <f>IF(ISNUMBER(AVERAGE('20250815_ETF_Options_Exhibits'!G744:G748)),AVERAGE('20250815_ETF_Options_Exhibits'!G744:G748),"")</f>
        <v/>
      </c>
      <c r="H748" s="3">
        <f>IF(ISNUMBER(AVERAGE('20250815_ETF_Options_Exhibits'!H744:H748)),AVERAGE('20250815_ETF_Options_Exhibits'!H744:H748),"")</f>
        <v/>
      </c>
      <c r="I748" s="3">
        <f>IF(ISNUMBER(AVERAGE('20250815_ETF_Options_Exhibits'!I744:I748)),AVERAGE('20250815_ETF_Options_Exhibits'!I744:I748),"")</f>
        <v/>
      </c>
      <c r="J748" s="3">
        <f>IF(ISNUMBER(AVERAGE('20250815_ETF_Options_Exhibits'!J744:J748)),AVERAGE('20250815_ETF_Options_Exhibits'!J744:J748),"")</f>
        <v/>
      </c>
      <c r="K748" s="3">
        <f>IF(ISNUMBER(AVERAGE('20250815_ETF_Options_Exhibits'!K744:K748)),AVERAGE('20250815_ETF_Options_Exhibits'!K744:K748),"")</f>
        <v/>
      </c>
      <c r="L748" s="3">
        <f>IF(ISNUMBER(AVERAGE('20250815_ETF_Options_Exhibits'!L744:L748)),AVERAGE('20250815_ETF_Options_Exhibits'!L744:L748),"")</f>
        <v/>
      </c>
      <c r="M748" s="3">
        <f>IF(ISNUMBER(AVERAGE('20250815_ETF_Options_Exhibits'!M744:M748)),AVERAGE('20250815_ETF_Options_Exhibits'!M744:M748),"")</f>
        <v/>
      </c>
      <c r="N748" s="3">
        <f>IF(ISNUMBER(AVERAGE('20250815_ETF_Options_Exhibits'!N744:N748)),AVERAGE('20250815_ETF_Options_Exhibits'!N744:N748),"")</f>
        <v/>
      </c>
      <c r="O748" s="3">
        <f>IF(ISNUMBER(AVERAGE('20250815_ETF_Options_Exhibits'!O744:O748)),AVERAGE('20250815_ETF_Options_Exhibits'!O744:O748),"")</f>
        <v/>
      </c>
      <c r="P748" s="3">
        <f>IF(ISNUMBER(AVERAGE('20250815_ETF_Options_Exhibits'!P744:P748)),AVERAGE('20250815_ETF_Options_Exhibits'!P744:P748),"")</f>
        <v/>
      </c>
      <c r="Q748" s="3">
        <f>IF(ISNUMBER(AVERAGE('20250815_ETF_Options_Exhibits'!Q744:Q748)),AVERAGE('20250815_ETF_Options_Exhibits'!Q744:Q748),"")</f>
        <v/>
      </c>
      <c r="R748" s="3">
        <f>IF(ISNUMBER(AVERAGE('20250815_ETF_Options_Exhibits'!R744:R748)),AVERAGE('20250815_ETF_Options_Exhibits'!R744:R748),"")</f>
        <v/>
      </c>
      <c r="S748" s="3">
        <f>IF(ISNUMBER(AVERAGE('20250815_ETF_Options_Exhibits'!S744:S748)),AVERAGE('20250815_ETF_Options_Exhibits'!S744:S748),"")</f>
        <v/>
      </c>
      <c r="T748" s="3">
        <f>IF(ISNUMBER(AVERAGE('20250815_ETF_Options_Exhibits'!T744:T748)),AVERAGE('20250815_ETF_Options_Exhibits'!T744:T748),"")</f>
        <v/>
      </c>
      <c r="U748" s="3">
        <f>IF(ISNUMBER(AVERAGE('20250815_ETF_Options_Exhibits'!U744:U748)),AVERAGE('20250815_ETF_Options_Exhibits'!U744:U748),"")</f>
        <v/>
      </c>
      <c r="V748" s="3">
        <f>IF(ISNUMBER(AVERAGE('20250815_ETF_Options_Exhibits'!V744:V748)),AVERAGE('20250815_ETF_Options_Exhibits'!V744:V748),"")</f>
        <v/>
      </c>
      <c r="W748" s="3">
        <f>IF(ISNUMBER(AVERAGE('20250815_ETF_Options_Exhibits'!W744:W748)),AVERAGE('20250815_ETF_Options_Exhibits'!W744:W748),"")</f>
        <v/>
      </c>
      <c r="X748" s="3">
        <f>IF(ISNUMBER(AVERAGE('20250815_ETF_Options_Exhibits'!X744:X748)),AVERAGE('20250815_ETF_Options_Exhibits'!X744:X748),"")</f>
        <v/>
      </c>
      <c r="Y748" s="3">
        <f>IF(ISNUMBER(AVERAGE('20250815_ETF_Options_Exhibits'!Y744:Y748)),AVERAGE('20250815_ETF_Options_Exhibits'!Y744:Y748),"")</f>
        <v/>
      </c>
      <c r="Z748" s="3">
        <f>IF(ISNUMBER(AVERAGE('20250815_ETF_Options_Exhibits'!Z744:Z748)),AVERAGE('20250815_ETF_Options_Exhibits'!Z744:Z748),"")</f>
        <v/>
      </c>
      <c r="AA748" s="3">
        <f>IF(ISNUMBER(AVERAGE('20250815_ETF_Options_Exhibits'!AA744:AA748)),AVERAGE('20250815_ETF_Options_Exhibits'!AA744:AA748),"")</f>
        <v/>
      </c>
    </row>
    <row r="749">
      <c r="A749" s="1" t="n">
        <v>43088</v>
      </c>
      <c r="B749" s="3">
        <f>IF(ISNUMBER(AVERAGE('20250815_ETF_Options_Exhibits'!B745:B749)),AVERAGE('20250815_ETF_Options_Exhibits'!B745:B749),"")</f>
        <v/>
      </c>
      <c r="C749" s="3">
        <f>IF(ISNUMBER(AVERAGE('20250815_ETF_Options_Exhibits'!C745:C749)),AVERAGE('20250815_ETF_Options_Exhibits'!C745:C749),"")</f>
        <v/>
      </c>
      <c r="D749" s="3">
        <f>IF(ISNUMBER(AVERAGE('20250815_ETF_Options_Exhibits'!D745:D749)),AVERAGE('20250815_ETF_Options_Exhibits'!D745:D749),"")</f>
        <v/>
      </c>
      <c r="E749" s="3">
        <f>IF(ISNUMBER(AVERAGE('20250815_ETF_Options_Exhibits'!E745:E749)),AVERAGE('20250815_ETF_Options_Exhibits'!E745:E749),"")</f>
        <v/>
      </c>
      <c r="F749" s="3">
        <f>IF(ISNUMBER(AVERAGE('20250815_ETF_Options_Exhibits'!F745:F749)),AVERAGE('20250815_ETF_Options_Exhibits'!F745:F749),"")</f>
        <v/>
      </c>
      <c r="G749" s="3">
        <f>IF(ISNUMBER(AVERAGE('20250815_ETF_Options_Exhibits'!G745:G749)),AVERAGE('20250815_ETF_Options_Exhibits'!G745:G749),"")</f>
        <v/>
      </c>
      <c r="H749" s="3">
        <f>IF(ISNUMBER(AVERAGE('20250815_ETF_Options_Exhibits'!H745:H749)),AVERAGE('20250815_ETF_Options_Exhibits'!H745:H749),"")</f>
        <v/>
      </c>
      <c r="I749" s="3">
        <f>IF(ISNUMBER(AVERAGE('20250815_ETF_Options_Exhibits'!I745:I749)),AVERAGE('20250815_ETF_Options_Exhibits'!I745:I749),"")</f>
        <v/>
      </c>
      <c r="J749" s="3">
        <f>IF(ISNUMBER(AVERAGE('20250815_ETF_Options_Exhibits'!J745:J749)),AVERAGE('20250815_ETF_Options_Exhibits'!J745:J749),"")</f>
        <v/>
      </c>
      <c r="K749" s="3">
        <f>IF(ISNUMBER(AVERAGE('20250815_ETF_Options_Exhibits'!K745:K749)),AVERAGE('20250815_ETF_Options_Exhibits'!K745:K749),"")</f>
        <v/>
      </c>
      <c r="L749" s="3">
        <f>IF(ISNUMBER(AVERAGE('20250815_ETF_Options_Exhibits'!L745:L749)),AVERAGE('20250815_ETF_Options_Exhibits'!L745:L749),"")</f>
        <v/>
      </c>
      <c r="M749" s="3">
        <f>IF(ISNUMBER(AVERAGE('20250815_ETF_Options_Exhibits'!M745:M749)),AVERAGE('20250815_ETF_Options_Exhibits'!M745:M749),"")</f>
        <v/>
      </c>
      <c r="N749" s="3">
        <f>IF(ISNUMBER(AVERAGE('20250815_ETF_Options_Exhibits'!N745:N749)),AVERAGE('20250815_ETF_Options_Exhibits'!N745:N749),"")</f>
        <v/>
      </c>
      <c r="O749" s="3">
        <f>IF(ISNUMBER(AVERAGE('20250815_ETF_Options_Exhibits'!O745:O749)),AVERAGE('20250815_ETF_Options_Exhibits'!O745:O749),"")</f>
        <v/>
      </c>
      <c r="P749" s="3">
        <f>IF(ISNUMBER(AVERAGE('20250815_ETF_Options_Exhibits'!P745:P749)),AVERAGE('20250815_ETF_Options_Exhibits'!P745:P749),"")</f>
        <v/>
      </c>
      <c r="Q749" s="3">
        <f>IF(ISNUMBER(AVERAGE('20250815_ETF_Options_Exhibits'!Q745:Q749)),AVERAGE('20250815_ETF_Options_Exhibits'!Q745:Q749),"")</f>
        <v/>
      </c>
      <c r="R749" s="3">
        <f>IF(ISNUMBER(AVERAGE('20250815_ETF_Options_Exhibits'!R745:R749)),AVERAGE('20250815_ETF_Options_Exhibits'!R745:R749),"")</f>
        <v/>
      </c>
      <c r="S749" s="3">
        <f>IF(ISNUMBER(AVERAGE('20250815_ETF_Options_Exhibits'!S745:S749)),AVERAGE('20250815_ETF_Options_Exhibits'!S745:S749),"")</f>
        <v/>
      </c>
      <c r="T749" s="3">
        <f>IF(ISNUMBER(AVERAGE('20250815_ETF_Options_Exhibits'!T745:T749)),AVERAGE('20250815_ETF_Options_Exhibits'!T745:T749),"")</f>
        <v/>
      </c>
      <c r="U749" s="3">
        <f>IF(ISNUMBER(AVERAGE('20250815_ETF_Options_Exhibits'!U745:U749)),AVERAGE('20250815_ETF_Options_Exhibits'!U745:U749),"")</f>
        <v/>
      </c>
      <c r="V749" s="3">
        <f>IF(ISNUMBER(AVERAGE('20250815_ETF_Options_Exhibits'!V745:V749)),AVERAGE('20250815_ETF_Options_Exhibits'!V745:V749),"")</f>
        <v/>
      </c>
      <c r="W749" s="3">
        <f>IF(ISNUMBER(AVERAGE('20250815_ETF_Options_Exhibits'!W745:W749)),AVERAGE('20250815_ETF_Options_Exhibits'!W745:W749),"")</f>
        <v/>
      </c>
      <c r="X749" s="3">
        <f>IF(ISNUMBER(AVERAGE('20250815_ETF_Options_Exhibits'!X745:X749)),AVERAGE('20250815_ETF_Options_Exhibits'!X745:X749),"")</f>
        <v/>
      </c>
      <c r="Y749" s="3">
        <f>IF(ISNUMBER(AVERAGE('20250815_ETF_Options_Exhibits'!Y745:Y749)),AVERAGE('20250815_ETF_Options_Exhibits'!Y745:Y749),"")</f>
        <v/>
      </c>
      <c r="Z749" s="3">
        <f>IF(ISNUMBER(AVERAGE('20250815_ETF_Options_Exhibits'!Z745:Z749)),AVERAGE('20250815_ETF_Options_Exhibits'!Z745:Z749),"")</f>
        <v/>
      </c>
      <c r="AA749" s="3">
        <f>IF(ISNUMBER(AVERAGE('20250815_ETF_Options_Exhibits'!AA745:AA749)),AVERAGE('20250815_ETF_Options_Exhibits'!AA745:AA749),"")</f>
        <v/>
      </c>
    </row>
    <row r="750">
      <c r="A750" s="1" t="n">
        <v>43089</v>
      </c>
      <c r="B750" s="3">
        <f>IF(ISNUMBER(AVERAGE('20250815_ETF_Options_Exhibits'!B746:B750)),AVERAGE('20250815_ETF_Options_Exhibits'!B746:B750),"")</f>
        <v/>
      </c>
      <c r="C750" s="3">
        <f>IF(ISNUMBER(AVERAGE('20250815_ETF_Options_Exhibits'!C746:C750)),AVERAGE('20250815_ETF_Options_Exhibits'!C746:C750),"")</f>
        <v/>
      </c>
      <c r="D750" s="3">
        <f>IF(ISNUMBER(AVERAGE('20250815_ETF_Options_Exhibits'!D746:D750)),AVERAGE('20250815_ETF_Options_Exhibits'!D746:D750),"")</f>
        <v/>
      </c>
      <c r="E750" s="3">
        <f>IF(ISNUMBER(AVERAGE('20250815_ETF_Options_Exhibits'!E746:E750)),AVERAGE('20250815_ETF_Options_Exhibits'!E746:E750),"")</f>
        <v/>
      </c>
      <c r="F750" s="3">
        <f>IF(ISNUMBER(AVERAGE('20250815_ETF_Options_Exhibits'!F746:F750)),AVERAGE('20250815_ETF_Options_Exhibits'!F746:F750),"")</f>
        <v/>
      </c>
      <c r="G750" s="3">
        <f>IF(ISNUMBER(AVERAGE('20250815_ETF_Options_Exhibits'!G746:G750)),AVERAGE('20250815_ETF_Options_Exhibits'!G746:G750),"")</f>
        <v/>
      </c>
      <c r="H750" s="3">
        <f>IF(ISNUMBER(AVERAGE('20250815_ETF_Options_Exhibits'!H746:H750)),AVERAGE('20250815_ETF_Options_Exhibits'!H746:H750),"")</f>
        <v/>
      </c>
      <c r="I750" s="3">
        <f>IF(ISNUMBER(AVERAGE('20250815_ETF_Options_Exhibits'!I746:I750)),AVERAGE('20250815_ETF_Options_Exhibits'!I746:I750),"")</f>
        <v/>
      </c>
      <c r="J750" s="3">
        <f>IF(ISNUMBER(AVERAGE('20250815_ETF_Options_Exhibits'!J746:J750)),AVERAGE('20250815_ETF_Options_Exhibits'!J746:J750),"")</f>
        <v/>
      </c>
      <c r="K750" s="3">
        <f>IF(ISNUMBER(AVERAGE('20250815_ETF_Options_Exhibits'!K746:K750)),AVERAGE('20250815_ETF_Options_Exhibits'!K746:K750),"")</f>
        <v/>
      </c>
      <c r="L750" s="3">
        <f>IF(ISNUMBER(AVERAGE('20250815_ETF_Options_Exhibits'!L746:L750)),AVERAGE('20250815_ETF_Options_Exhibits'!L746:L750),"")</f>
        <v/>
      </c>
      <c r="M750" s="3">
        <f>IF(ISNUMBER(AVERAGE('20250815_ETF_Options_Exhibits'!M746:M750)),AVERAGE('20250815_ETF_Options_Exhibits'!M746:M750),"")</f>
        <v/>
      </c>
      <c r="N750" s="3">
        <f>IF(ISNUMBER(AVERAGE('20250815_ETF_Options_Exhibits'!N746:N750)),AVERAGE('20250815_ETF_Options_Exhibits'!N746:N750),"")</f>
        <v/>
      </c>
      <c r="O750" s="3">
        <f>IF(ISNUMBER(AVERAGE('20250815_ETF_Options_Exhibits'!O746:O750)),AVERAGE('20250815_ETF_Options_Exhibits'!O746:O750),"")</f>
        <v/>
      </c>
      <c r="P750" s="3">
        <f>IF(ISNUMBER(AVERAGE('20250815_ETF_Options_Exhibits'!P746:P750)),AVERAGE('20250815_ETF_Options_Exhibits'!P746:P750),"")</f>
        <v/>
      </c>
      <c r="Q750" s="3">
        <f>IF(ISNUMBER(AVERAGE('20250815_ETF_Options_Exhibits'!Q746:Q750)),AVERAGE('20250815_ETF_Options_Exhibits'!Q746:Q750),"")</f>
        <v/>
      </c>
      <c r="R750" s="3">
        <f>IF(ISNUMBER(AVERAGE('20250815_ETF_Options_Exhibits'!R746:R750)),AVERAGE('20250815_ETF_Options_Exhibits'!R746:R750),"")</f>
        <v/>
      </c>
      <c r="S750" s="3">
        <f>IF(ISNUMBER(AVERAGE('20250815_ETF_Options_Exhibits'!S746:S750)),AVERAGE('20250815_ETF_Options_Exhibits'!S746:S750),"")</f>
        <v/>
      </c>
      <c r="T750" s="3">
        <f>IF(ISNUMBER(AVERAGE('20250815_ETF_Options_Exhibits'!T746:T750)),AVERAGE('20250815_ETF_Options_Exhibits'!T746:T750),"")</f>
        <v/>
      </c>
      <c r="U750" s="3">
        <f>IF(ISNUMBER(AVERAGE('20250815_ETF_Options_Exhibits'!U746:U750)),AVERAGE('20250815_ETF_Options_Exhibits'!U746:U750),"")</f>
        <v/>
      </c>
      <c r="V750" s="3">
        <f>IF(ISNUMBER(AVERAGE('20250815_ETF_Options_Exhibits'!V746:V750)),AVERAGE('20250815_ETF_Options_Exhibits'!V746:V750),"")</f>
        <v/>
      </c>
      <c r="W750" s="3">
        <f>IF(ISNUMBER(AVERAGE('20250815_ETF_Options_Exhibits'!W746:W750)),AVERAGE('20250815_ETF_Options_Exhibits'!W746:W750),"")</f>
        <v/>
      </c>
      <c r="X750" s="3">
        <f>IF(ISNUMBER(AVERAGE('20250815_ETF_Options_Exhibits'!X746:X750)),AVERAGE('20250815_ETF_Options_Exhibits'!X746:X750),"")</f>
        <v/>
      </c>
      <c r="Y750" s="3">
        <f>IF(ISNUMBER(AVERAGE('20250815_ETF_Options_Exhibits'!Y746:Y750)),AVERAGE('20250815_ETF_Options_Exhibits'!Y746:Y750),"")</f>
        <v/>
      </c>
      <c r="Z750" s="3">
        <f>IF(ISNUMBER(AVERAGE('20250815_ETF_Options_Exhibits'!Z746:Z750)),AVERAGE('20250815_ETF_Options_Exhibits'!Z746:Z750),"")</f>
        <v/>
      </c>
      <c r="AA750" s="3">
        <f>IF(ISNUMBER(AVERAGE('20250815_ETF_Options_Exhibits'!AA746:AA750)),AVERAGE('20250815_ETF_Options_Exhibits'!AA746:AA750),"")</f>
        <v/>
      </c>
    </row>
    <row r="751">
      <c r="A751" s="1" t="n">
        <v>43090</v>
      </c>
      <c r="B751" s="3">
        <f>IF(ISNUMBER(AVERAGE('20250815_ETF_Options_Exhibits'!B747:B751)),AVERAGE('20250815_ETF_Options_Exhibits'!B747:B751),"")</f>
        <v/>
      </c>
      <c r="C751" s="3">
        <f>IF(ISNUMBER(AVERAGE('20250815_ETF_Options_Exhibits'!C747:C751)),AVERAGE('20250815_ETF_Options_Exhibits'!C747:C751),"")</f>
        <v/>
      </c>
      <c r="D751" s="3">
        <f>IF(ISNUMBER(AVERAGE('20250815_ETF_Options_Exhibits'!D747:D751)),AVERAGE('20250815_ETF_Options_Exhibits'!D747:D751),"")</f>
        <v/>
      </c>
      <c r="E751" s="3">
        <f>IF(ISNUMBER(AVERAGE('20250815_ETF_Options_Exhibits'!E747:E751)),AVERAGE('20250815_ETF_Options_Exhibits'!E747:E751),"")</f>
        <v/>
      </c>
      <c r="F751" s="3">
        <f>IF(ISNUMBER(AVERAGE('20250815_ETF_Options_Exhibits'!F747:F751)),AVERAGE('20250815_ETF_Options_Exhibits'!F747:F751),"")</f>
        <v/>
      </c>
      <c r="G751" s="3">
        <f>IF(ISNUMBER(AVERAGE('20250815_ETF_Options_Exhibits'!G747:G751)),AVERAGE('20250815_ETF_Options_Exhibits'!G747:G751),"")</f>
        <v/>
      </c>
      <c r="H751" s="3">
        <f>IF(ISNUMBER(AVERAGE('20250815_ETF_Options_Exhibits'!H747:H751)),AVERAGE('20250815_ETF_Options_Exhibits'!H747:H751),"")</f>
        <v/>
      </c>
      <c r="I751" s="3">
        <f>IF(ISNUMBER(AVERAGE('20250815_ETF_Options_Exhibits'!I747:I751)),AVERAGE('20250815_ETF_Options_Exhibits'!I747:I751),"")</f>
        <v/>
      </c>
      <c r="J751" s="3">
        <f>IF(ISNUMBER(AVERAGE('20250815_ETF_Options_Exhibits'!J747:J751)),AVERAGE('20250815_ETF_Options_Exhibits'!J747:J751),"")</f>
        <v/>
      </c>
      <c r="K751" s="3">
        <f>IF(ISNUMBER(AVERAGE('20250815_ETF_Options_Exhibits'!K747:K751)),AVERAGE('20250815_ETF_Options_Exhibits'!K747:K751),"")</f>
        <v/>
      </c>
      <c r="L751" s="3">
        <f>IF(ISNUMBER(AVERAGE('20250815_ETF_Options_Exhibits'!L747:L751)),AVERAGE('20250815_ETF_Options_Exhibits'!L747:L751),"")</f>
        <v/>
      </c>
      <c r="M751" s="3">
        <f>IF(ISNUMBER(AVERAGE('20250815_ETF_Options_Exhibits'!M747:M751)),AVERAGE('20250815_ETF_Options_Exhibits'!M747:M751),"")</f>
        <v/>
      </c>
      <c r="N751" s="3">
        <f>IF(ISNUMBER(AVERAGE('20250815_ETF_Options_Exhibits'!N747:N751)),AVERAGE('20250815_ETF_Options_Exhibits'!N747:N751),"")</f>
        <v/>
      </c>
      <c r="O751" s="3">
        <f>IF(ISNUMBER(AVERAGE('20250815_ETF_Options_Exhibits'!O747:O751)),AVERAGE('20250815_ETF_Options_Exhibits'!O747:O751),"")</f>
        <v/>
      </c>
      <c r="P751" s="3">
        <f>IF(ISNUMBER(AVERAGE('20250815_ETF_Options_Exhibits'!P747:P751)),AVERAGE('20250815_ETF_Options_Exhibits'!P747:P751),"")</f>
        <v/>
      </c>
      <c r="Q751" s="3">
        <f>IF(ISNUMBER(AVERAGE('20250815_ETF_Options_Exhibits'!Q747:Q751)),AVERAGE('20250815_ETF_Options_Exhibits'!Q747:Q751),"")</f>
        <v/>
      </c>
      <c r="R751" s="3">
        <f>IF(ISNUMBER(AVERAGE('20250815_ETF_Options_Exhibits'!R747:R751)),AVERAGE('20250815_ETF_Options_Exhibits'!R747:R751),"")</f>
        <v/>
      </c>
      <c r="S751" s="3">
        <f>IF(ISNUMBER(AVERAGE('20250815_ETF_Options_Exhibits'!S747:S751)),AVERAGE('20250815_ETF_Options_Exhibits'!S747:S751),"")</f>
        <v/>
      </c>
      <c r="T751" s="3">
        <f>IF(ISNUMBER(AVERAGE('20250815_ETF_Options_Exhibits'!T747:T751)),AVERAGE('20250815_ETF_Options_Exhibits'!T747:T751),"")</f>
        <v/>
      </c>
      <c r="U751" s="3">
        <f>IF(ISNUMBER(AVERAGE('20250815_ETF_Options_Exhibits'!U747:U751)),AVERAGE('20250815_ETF_Options_Exhibits'!U747:U751),"")</f>
        <v/>
      </c>
      <c r="V751" s="3">
        <f>IF(ISNUMBER(AVERAGE('20250815_ETF_Options_Exhibits'!V747:V751)),AVERAGE('20250815_ETF_Options_Exhibits'!V747:V751),"")</f>
        <v/>
      </c>
      <c r="W751" s="3">
        <f>IF(ISNUMBER(AVERAGE('20250815_ETF_Options_Exhibits'!W747:W751)),AVERAGE('20250815_ETF_Options_Exhibits'!W747:W751),"")</f>
        <v/>
      </c>
      <c r="X751" s="3">
        <f>IF(ISNUMBER(AVERAGE('20250815_ETF_Options_Exhibits'!X747:X751)),AVERAGE('20250815_ETF_Options_Exhibits'!X747:X751),"")</f>
        <v/>
      </c>
      <c r="Y751" s="3">
        <f>IF(ISNUMBER(AVERAGE('20250815_ETF_Options_Exhibits'!Y747:Y751)),AVERAGE('20250815_ETF_Options_Exhibits'!Y747:Y751),"")</f>
        <v/>
      </c>
      <c r="Z751" s="3">
        <f>IF(ISNUMBER(AVERAGE('20250815_ETF_Options_Exhibits'!Z747:Z751)),AVERAGE('20250815_ETF_Options_Exhibits'!Z747:Z751),"")</f>
        <v/>
      </c>
      <c r="AA751" s="3">
        <f>IF(ISNUMBER(AVERAGE('20250815_ETF_Options_Exhibits'!AA747:AA751)),AVERAGE('20250815_ETF_Options_Exhibits'!AA747:AA751),"")</f>
        <v/>
      </c>
    </row>
    <row r="752">
      <c r="A752" s="1" t="n">
        <v>43091</v>
      </c>
      <c r="B752" s="3">
        <f>IF(ISNUMBER(AVERAGE('20250815_ETF_Options_Exhibits'!B748:B752)),AVERAGE('20250815_ETF_Options_Exhibits'!B748:B752),"")</f>
        <v/>
      </c>
      <c r="C752" s="3">
        <f>IF(ISNUMBER(AVERAGE('20250815_ETF_Options_Exhibits'!C748:C752)),AVERAGE('20250815_ETF_Options_Exhibits'!C748:C752),"")</f>
        <v/>
      </c>
      <c r="D752" s="3">
        <f>IF(ISNUMBER(AVERAGE('20250815_ETF_Options_Exhibits'!D748:D752)),AVERAGE('20250815_ETF_Options_Exhibits'!D748:D752),"")</f>
        <v/>
      </c>
      <c r="E752" s="3">
        <f>IF(ISNUMBER(AVERAGE('20250815_ETF_Options_Exhibits'!E748:E752)),AVERAGE('20250815_ETF_Options_Exhibits'!E748:E752),"")</f>
        <v/>
      </c>
      <c r="F752" s="3">
        <f>IF(ISNUMBER(AVERAGE('20250815_ETF_Options_Exhibits'!F748:F752)),AVERAGE('20250815_ETF_Options_Exhibits'!F748:F752),"")</f>
        <v/>
      </c>
      <c r="G752" s="3">
        <f>IF(ISNUMBER(AVERAGE('20250815_ETF_Options_Exhibits'!G748:G752)),AVERAGE('20250815_ETF_Options_Exhibits'!G748:G752),"")</f>
        <v/>
      </c>
      <c r="H752" s="3">
        <f>IF(ISNUMBER(AVERAGE('20250815_ETF_Options_Exhibits'!H748:H752)),AVERAGE('20250815_ETF_Options_Exhibits'!H748:H752),"")</f>
        <v/>
      </c>
      <c r="I752" s="3">
        <f>IF(ISNUMBER(AVERAGE('20250815_ETF_Options_Exhibits'!I748:I752)),AVERAGE('20250815_ETF_Options_Exhibits'!I748:I752),"")</f>
        <v/>
      </c>
      <c r="J752" s="3">
        <f>IF(ISNUMBER(AVERAGE('20250815_ETF_Options_Exhibits'!J748:J752)),AVERAGE('20250815_ETF_Options_Exhibits'!J748:J752),"")</f>
        <v/>
      </c>
      <c r="K752" s="3">
        <f>IF(ISNUMBER(AVERAGE('20250815_ETF_Options_Exhibits'!K748:K752)),AVERAGE('20250815_ETF_Options_Exhibits'!K748:K752),"")</f>
        <v/>
      </c>
      <c r="L752" s="3">
        <f>IF(ISNUMBER(AVERAGE('20250815_ETF_Options_Exhibits'!L748:L752)),AVERAGE('20250815_ETF_Options_Exhibits'!L748:L752),"")</f>
        <v/>
      </c>
      <c r="M752" s="3">
        <f>IF(ISNUMBER(AVERAGE('20250815_ETF_Options_Exhibits'!M748:M752)),AVERAGE('20250815_ETF_Options_Exhibits'!M748:M752),"")</f>
        <v/>
      </c>
      <c r="N752" s="3">
        <f>IF(ISNUMBER(AVERAGE('20250815_ETF_Options_Exhibits'!N748:N752)),AVERAGE('20250815_ETF_Options_Exhibits'!N748:N752),"")</f>
        <v/>
      </c>
      <c r="O752" s="3">
        <f>IF(ISNUMBER(AVERAGE('20250815_ETF_Options_Exhibits'!O748:O752)),AVERAGE('20250815_ETF_Options_Exhibits'!O748:O752),"")</f>
        <v/>
      </c>
      <c r="P752" s="3">
        <f>IF(ISNUMBER(AVERAGE('20250815_ETF_Options_Exhibits'!P748:P752)),AVERAGE('20250815_ETF_Options_Exhibits'!P748:P752),"")</f>
        <v/>
      </c>
      <c r="Q752" s="3">
        <f>IF(ISNUMBER(AVERAGE('20250815_ETF_Options_Exhibits'!Q748:Q752)),AVERAGE('20250815_ETF_Options_Exhibits'!Q748:Q752),"")</f>
        <v/>
      </c>
      <c r="R752" s="3">
        <f>IF(ISNUMBER(AVERAGE('20250815_ETF_Options_Exhibits'!R748:R752)),AVERAGE('20250815_ETF_Options_Exhibits'!R748:R752),"")</f>
        <v/>
      </c>
      <c r="S752" s="3">
        <f>IF(ISNUMBER(AVERAGE('20250815_ETF_Options_Exhibits'!S748:S752)),AVERAGE('20250815_ETF_Options_Exhibits'!S748:S752),"")</f>
        <v/>
      </c>
      <c r="T752" s="3">
        <f>IF(ISNUMBER(AVERAGE('20250815_ETF_Options_Exhibits'!T748:T752)),AVERAGE('20250815_ETF_Options_Exhibits'!T748:T752),"")</f>
        <v/>
      </c>
      <c r="U752" s="3">
        <f>IF(ISNUMBER(AVERAGE('20250815_ETF_Options_Exhibits'!U748:U752)),AVERAGE('20250815_ETF_Options_Exhibits'!U748:U752),"")</f>
        <v/>
      </c>
      <c r="V752" s="3">
        <f>IF(ISNUMBER(AVERAGE('20250815_ETF_Options_Exhibits'!V748:V752)),AVERAGE('20250815_ETF_Options_Exhibits'!V748:V752),"")</f>
        <v/>
      </c>
      <c r="W752" s="3">
        <f>IF(ISNUMBER(AVERAGE('20250815_ETF_Options_Exhibits'!W748:W752)),AVERAGE('20250815_ETF_Options_Exhibits'!W748:W752),"")</f>
        <v/>
      </c>
      <c r="X752" s="3">
        <f>IF(ISNUMBER(AVERAGE('20250815_ETF_Options_Exhibits'!X748:X752)),AVERAGE('20250815_ETF_Options_Exhibits'!X748:X752),"")</f>
        <v/>
      </c>
      <c r="Y752" s="3">
        <f>IF(ISNUMBER(AVERAGE('20250815_ETF_Options_Exhibits'!Y748:Y752)),AVERAGE('20250815_ETF_Options_Exhibits'!Y748:Y752),"")</f>
        <v/>
      </c>
      <c r="Z752" s="3">
        <f>IF(ISNUMBER(AVERAGE('20250815_ETF_Options_Exhibits'!Z748:Z752)),AVERAGE('20250815_ETF_Options_Exhibits'!Z748:Z752),"")</f>
        <v/>
      </c>
      <c r="AA752" s="3">
        <f>IF(ISNUMBER(AVERAGE('20250815_ETF_Options_Exhibits'!AA748:AA752)),AVERAGE('20250815_ETF_Options_Exhibits'!AA748:AA752),"")</f>
        <v/>
      </c>
    </row>
    <row r="753">
      <c r="A753" s="1" t="n">
        <v>43095</v>
      </c>
      <c r="B753" s="3">
        <f>IF(ISNUMBER(AVERAGE('20250815_ETF_Options_Exhibits'!B749:B753)),AVERAGE('20250815_ETF_Options_Exhibits'!B749:B753),"")</f>
        <v/>
      </c>
      <c r="C753" s="3">
        <f>IF(ISNUMBER(AVERAGE('20250815_ETF_Options_Exhibits'!C749:C753)),AVERAGE('20250815_ETF_Options_Exhibits'!C749:C753),"")</f>
        <v/>
      </c>
      <c r="D753" s="3">
        <f>IF(ISNUMBER(AVERAGE('20250815_ETF_Options_Exhibits'!D749:D753)),AVERAGE('20250815_ETF_Options_Exhibits'!D749:D753),"")</f>
        <v/>
      </c>
      <c r="E753" s="3">
        <f>IF(ISNUMBER(AVERAGE('20250815_ETF_Options_Exhibits'!E749:E753)),AVERAGE('20250815_ETF_Options_Exhibits'!E749:E753),"")</f>
        <v/>
      </c>
      <c r="F753" s="3">
        <f>IF(ISNUMBER(AVERAGE('20250815_ETF_Options_Exhibits'!F749:F753)),AVERAGE('20250815_ETF_Options_Exhibits'!F749:F753),"")</f>
        <v/>
      </c>
      <c r="G753" s="3">
        <f>IF(ISNUMBER(AVERAGE('20250815_ETF_Options_Exhibits'!G749:G753)),AVERAGE('20250815_ETF_Options_Exhibits'!G749:G753),"")</f>
        <v/>
      </c>
      <c r="H753" s="3">
        <f>IF(ISNUMBER(AVERAGE('20250815_ETF_Options_Exhibits'!H749:H753)),AVERAGE('20250815_ETF_Options_Exhibits'!H749:H753),"")</f>
        <v/>
      </c>
      <c r="I753" s="3">
        <f>IF(ISNUMBER(AVERAGE('20250815_ETF_Options_Exhibits'!I749:I753)),AVERAGE('20250815_ETF_Options_Exhibits'!I749:I753),"")</f>
        <v/>
      </c>
      <c r="J753" s="3">
        <f>IF(ISNUMBER(AVERAGE('20250815_ETF_Options_Exhibits'!J749:J753)),AVERAGE('20250815_ETF_Options_Exhibits'!J749:J753),"")</f>
        <v/>
      </c>
      <c r="K753" s="3">
        <f>IF(ISNUMBER(AVERAGE('20250815_ETF_Options_Exhibits'!K749:K753)),AVERAGE('20250815_ETF_Options_Exhibits'!K749:K753),"")</f>
        <v/>
      </c>
      <c r="L753" s="3">
        <f>IF(ISNUMBER(AVERAGE('20250815_ETF_Options_Exhibits'!L749:L753)),AVERAGE('20250815_ETF_Options_Exhibits'!L749:L753),"")</f>
        <v/>
      </c>
      <c r="M753" s="3">
        <f>IF(ISNUMBER(AVERAGE('20250815_ETF_Options_Exhibits'!M749:M753)),AVERAGE('20250815_ETF_Options_Exhibits'!M749:M753),"")</f>
        <v/>
      </c>
      <c r="N753" s="3">
        <f>IF(ISNUMBER(AVERAGE('20250815_ETF_Options_Exhibits'!N749:N753)),AVERAGE('20250815_ETF_Options_Exhibits'!N749:N753),"")</f>
        <v/>
      </c>
      <c r="O753" s="3">
        <f>IF(ISNUMBER(AVERAGE('20250815_ETF_Options_Exhibits'!O749:O753)),AVERAGE('20250815_ETF_Options_Exhibits'!O749:O753),"")</f>
        <v/>
      </c>
      <c r="P753" s="3">
        <f>IF(ISNUMBER(AVERAGE('20250815_ETF_Options_Exhibits'!P749:P753)),AVERAGE('20250815_ETF_Options_Exhibits'!P749:P753),"")</f>
        <v/>
      </c>
      <c r="Q753" s="3">
        <f>IF(ISNUMBER(AVERAGE('20250815_ETF_Options_Exhibits'!Q749:Q753)),AVERAGE('20250815_ETF_Options_Exhibits'!Q749:Q753),"")</f>
        <v/>
      </c>
      <c r="R753" s="3">
        <f>IF(ISNUMBER(AVERAGE('20250815_ETF_Options_Exhibits'!R749:R753)),AVERAGE('20250815_ETF_Options_Exhibits'!R749:R753),"")</f>
        <v/>
      </c>
      <c r="S753" s="3">
        <f>IF(ISNUMBER(AVERAGE('20250815_ETF_Options_Exhibits'!S749:S753)),AVERAGE('20250815_ETF_Options_Exhibits'!S749:S753),"")</f>
        <v/>
      </c>
      <c r="T753" s="3">
        <f>IF(ISNUMBER(AVERAGE('20250815_ETF_Options_Exhibits'!T749:T753)),AVERAGE('20250815_ETF_Options_Exhibits'!T749:T753),"")</f>
        <v/>
      </c>
      <c r="U753" s="3">
        <f>IF(ISNUMBER(AVERAGE('20250815_ETF_Options_Exhibits'!U749:U753)),AVERAGE('20250815_ETF_Options_Exhibits'!U749:U753),"")</f>
        <v/>
      </c>
      <c r="V753" s="3">
        <f>IF(ISNUMBER(AVERAGE('20250815_ETF_Options_Exhibits'!V749:V753)),AVERAGE('20250815_ETF_Options_Exhibits'!V749:V753),"")</f>
        <v/>
      </c>
      <c r="W753" s="3">
        <f>IF(ISNUMBER(AVERAGE('20250815_ETF_Options_Exhibits'!W749:W753)),AVERAGE('20250815_ETF_Options_Exhibits'!W749:W753),"")</f>
        <v/>
      </c>
      <c r="X753" s="3">
        <f>IF(ISNUMBER(AVERAGE('20250815_ETF_Options_Exhibits'!X749:X753)),AVERAGE('20250815_ETF_Options_Exhibits'!X749:X753),"")</f>
        <v/>
      </c>
      <c r="Y753" s="3">
        <f>IF(ISNUMBER(AVERAGE('20250815_ETF_Options_Exhibits'!Y749:Y753)),AVERAGE('20250815_ETF_Options_Exhibits'!Y749:Y753),"")</f>
        <v/>
      </c>
      <c r="Z753" s="3">
        <f>IF(ISNUMBER(AVERAGE('20250815_ETF_Options_Exhibits'!Z749:Z753)),AVERAGE('20250815_ETF_Options_Exhibits'!Z749:Z753),"")</f>
        <v/>
      </c>
      <c r="AA753" s="3">
        <f>IF(ISNUMBER(AVERAGE('20250815_ETF_Options_Exhibits'!AA749:AA753)),AVERAGE('20250815_ETF_Options_Exhibits'!AA749:AA753),"")</f>
        <v/>
      </c>
    </row>
    <row r="754">
      <c r="A754" s="1" t="n">
        <v>43096</v>
      </c>
      <c r="B754" s="3">
        <f>IF(ISNUMBER(AVERAGE('20250815_ETF_Options_Exhibits'!B750:B754)),AVERAGE('20250815_ETF_Options_Exhibits'!B750:B754),"")</f>
        <v/>
      </c>
      <c r="C754" s="3">
        <f>IF(ISNUMBER(AVERAGE('20250815_ETF_Options_Exhibits'!C750:C754)),AVERAGE('20250815_ETF_Options_Exhibits'!C750:C754),"")</f>
        <v/>
      </c>
      <c r="D754" s="3">
        <f>IF(ISNUMBER(AVERAGE('20250815_ETF_Options_Exhibits'!D750:D754)),AVERAGE('20250815_ETF_Options_Exhibits'!D750:D754),"")</f>
        <v/>
      </c>
      <c r="E754" s="3">
        <f>IF(ISNUMBER(AVERAGE('20250815_ETF_Options_Exhibits'!E750:E754)),AVERAGE('20250815_ETF_Options_Exhibits'!E750:E754),"")</f>
        <v/>
      </c>
      <c r="F754" s="3">
        <f>IF(ISNUMBER(AVERAGE('20250815_ETF_Options_Exhibits'!F750:F754)),AVERAGE('20250815_ETF_Options_Exhibits'!F750:F754),"")</f>
        <v/>
      </c>
      <c r="G754" s="3">
        <f>IF(ISNUMBER(AVERAGE('20250815_ETF_Options_Exhibits'!G750:G754)),AVERAGE('20250815_ETF_Options_Exhibits'!G750:G754),"")</f>
        <v/>
      </c>
      <c r="H754" s="3">
        <f>IF(ISNUMBER(AVERAGE('20250815_ETF_Options_Exhibits'!H750:H754)),AVERAGE('20250815_ETF_Options_Exhibits'!H750:H754),"")</f>
        <v/>
      </c>
      <c r="I754" s="3">
        <f>IF(ISNUMBER(AVERAGE('20250815_ETF_Options_Exhibits'!I750:I754)),AVERAGE('20250815_ETF_Options_Exhibits'!I750:I754),"")</f>
        <v/>
      </c>
      <c r="J754" s="3">
        <f>IF(ISNUMBER(AVERAGE('20250815_ETF_Options_Exhibits'!J750:J754)),AVERAGE('20250815_ETF_Options_Exhibits'!J750:J754),"")</f>
        <v/>
      </c>
      <c r="K754" s="3">
        <f>IF(ISNUMBER(AVERAGE('20250815_ETF_Options_Exhibits'!K750:K754)),AVERAGE('20250815_ETF_Options_Exhibits'!K750:K754),"")</f>
        <v/>
      </c>
      <c r="L754" s="3">
        <f>IF(ISNUMBER(AVERAGE('20250815_ETF_Options_Exhibits'!L750:L754)),AVERAGE('20250815_ETF_Options_Exhibits'!L750:L754),"")</f>
        <v/>
      </c>
      <c r="M754" s="3">
        <f>IF(ISNUMBER(AVERAGE('20250815_ETF_Options_Exhibits'!M750:M754)),AVERAGE('20250815_ETF_Options_Exhibits'!M750:M754),"")</f>
        <v/>
      </c>
      <c r="N754" s="3">
        <f>IF(ISNUMBER(AVERAGE('20250815_ETF_Options_Exhibits'!N750:N754)),AVERAGE('20250815_ETF_Options_Exhibits'!N750:N754),"")</f>
        <v/>
      </c>
      <c r="O754" s="3">
        <f>IF(ISNUMBER(AVERAGE('20250815_ETF_Options_Exhibits'!O750:O754)),AVERAGE('20250815_ETF_Options_Exhibits'!O750:O754),"")</f>
        <v/>
      </c>
      <c r="P754" s="3">
        <f>IF(ISNUMBER(AVERAGE('20250815_ETF_Options_Exhibits'!P750:P754)),AVERAGE('20250815_ETF_Options_Exhibits'!P750:P754),"")</f>
        <v/>
      </c>
      <c r="Q754" s="3">
        <f>IF(ISNUMBER(AVERAGE('20250815_ETF_Options_Exhibits'!Q750:Q754)),AVERAGE('20250815_ETF_Options_Exhibits'!Q750:Q754),"")</f>
        <v/>
      </c>
      <c r="R754" s="3">
        <f>IF(ISNUMBER(AVERAGE('20250815_ETF_Options_Exhibits'!R750:R754)),AVERAGE('20250815_ETF_Options_Exhibits'!R750:R754),"")</f>
        <v/>
      </c>
      <c r="S754" s="3">
        <f>IF(ISNUMBER(AVERAGE('20250815_ETF_Options_Exhibits'!S750:S754)),AVERAGE('20250815_ETF_Options_Exhibits'!S750:S754),"")</f>
        <v/>
      </c>
      <c r="T754" s="3">
        <f>IF(ISNUMBER(AVERAGE('20250815_ETF_Options_Exhibits'!T750:T754)),AVERAGE('20250815_ETF_Options_Exhibits'!T750:T754),"")</f>
        <v/>
      </c>
      <c r="U754" s="3">
        <f>IF(ISNUMBER(AVERAGE('20250815_ETF_Options_Exhibits'!U750:U754)),AVERAGE('20250815_ETF_Options_Exhibits'!U750:U754),"")</f>
        <v/>
      </c>
      <c r="V754" s="3">
        <f>IF(ISNUMBER(AVERAGE('20250815_ETF_Options_Exhibits'!V750:V754)),AVERAGE('20250815_ETF_Options_Exhibits'!V750:V754),"")</f>
        <v/>
      </c>
      <c r="W754" s="3">
        <f>IF(ISNUMBER(AVERAGE('20250815_ETF_Options_Exhibits'!W750:W754)),AVERAGE('20250815_ETF_Options_Exhibits'!W750:W754),"")</f>
        <v/>
      </c>
      <c r="X754" s="3">
        <f>IF(ISNUMBER(AVERAGE('20250815_ETF_Options_Exhibits'!X750:X754)),AVERAGE('20250815_ETF_Options_Exhibits'!X750:X754),"")</f>
        <v/>
      </c>
      <c r="Y754" s="3">
        <f>IF(ISNUMBER(AVERAGE('20250815_ETF_Options_Exhibits'!Y750:Y754)),AVERAGE('20250815_ETF_Options_Exhibits'!Y750:Y754),"")</f>
        <v/>
      </c>
      <c r="Z754" s="3">
        <f>IF(ISNUMBER(AVERAGE('20250815_ETF_Options_Exhibits'!Z750:Z754)),AVERAGE('20250815_ETF_Options_Exhibits'!Z750:Z754),"")</f>
        <v/>
      </c>
      <c r="AA754" s="3">
        <f>IF(ISNUMBER(AVERAGE('20250815_ETF_Options_Exhibits'!AA750:AA754)),AVERAGE('20250815_ETF_Options_Exhibits'!AA750:AA754),"")</f>
        <v/>
      </c>
    </row>
    <row r="755">
      <c r="A755" s="1" t="n">
        <v>43097</v>
      </c>
      <c r="B755" s="3">
        <f>IF(ISNUMBER(AVERAGE('20250815_ETF_Options_Exhibits'!B751:B755)),AVERAGE('20250815_ETF_Options_Exhibits'!B751:B755),"")</f>
        <v/>
      </c>
      <c r="C755" s="3">
        <f>IF(ISNUMBER(AVERAGE('20250815_ETF_Options_Exhibits'!C751:C755)),AVERAGE('20250815_ETF_Options_Exhibits'!C751:C755),"")</f>
        <v/>
      </c>
      <c r="D755" s="3">
        <f>IF(ISNUMBER(AVERAGE('20250815_ETF_Options_Exhibits'!D751:D755)),AVERAGE('20250815_ETF_Options_Exhibits'!D751:D755),"")</f>
        <v/>
      </c>
      <c r="E755" s="3">
        <f>IF(ISNUMBER(AVERAGE('20250815_ETF_Options_Exhibits'!E751:E755)),AVERAGE('20250815_ETF_Options_Exhibits'!E751:E755),"")</f>
        <v/>
      </c>
      <c r="F755" s="3">
        <f>IF(ISNUMBER(AVERAGE('20250815_ETF_Options_Exhibits'!F751:F755)),AVERAGE('20250815_ETF_Options_Exhibits'!F751:F755),"")</f>
        <v/>
      </c>
      <c r="G755" s="3">
        <f>IF(ISNUMBER(AVERAGE('20250815_ETF_Options_Exhibits'!G751:G755)),AVERAGE('20250815_ETF_Options_Exhibits'!G751:G755),"")</f>
        <v/>
      </c>
      <c r="H755" s="3">
        <f>IF(ISNUMBER(AVERAGE('20250815_ETF_Options_Exhibits'!H751:H755)),AVERAGE('20250815_ETF_Options_Exhibits'!H751:H755),"")</f>
        <v/>
      </c>
      <c r="I755" s="3">
        <f>IF(ISNUMBER(AVERAGE('20250815_ETF_Options_Exhibits'!I751:I755)),AVERAGE('20250815_ETF_Options_Exhibits'!I751:I755),"")</f>
        <v/>
      </c>
      <c r="J755" s="3">
        <f>IF(ISNUMBER(AVERAGE('20250815_ETF_Options_Exhibits'!J751:J755)),AVERAGE('20250815_ETF_Options_Exhibits'!J751:J755),"")</f>
        <v/>
      </c>
      <c r="K755" s="3">
        <f>IF(ISNUMBER(AVERAGE('20250815_ETF_Options_Exhibits'!K751:K755)),AVERAGE('20250815_ETF_Options_Exhibits'!K751:K755),"")</f>
        <v/>
      </c>
      <c r="L755" s="3">
        <f>IF(ISNUMBER(AVERAGE('20250815_ETF_Options_Exhibits'!L751:L755)),AVERAGE('20250815_ETF_Options_Exhibits'!L751:L755),"")</f>
        <v/>
      </c>
      <c r="M755" s="3">
        <f>IF(ISNUMBER(AVERAGE('20250815_ETF_Options_Exhibits'!M751:M755)),AVERAGE('20250815_ETF_Options_Exhibits'!M751:M755),"")</f>
        <v/>
      </c>
      <c r="N755" s="3">
        <f>IF(ISNUMBER(AVERAGE('20250815_ETF_Options_Exhibits'!N751:N755)),AVERAGE('20250815_ETF_Options_Exhibits'!N751:N755),"")</f>
        <v/>
      </c>
      <c r="O755" s="3">
        <f>IF(ISNUMBER(AVERAGE('20250815_ETF_Options_Exhibits'!O751:O755)),AVERAGE('20250815_ETF_Options_Exhibits'!O751:O755),"")</f>
        <v/>
      </c>
      <c r="P755" s="3">
        <f>IF(ISNUMBER(AVERAGE('20250815_ETF_Options_Exhibits'!P751:P755)),AVERAGE('20250815_ETF_Options_Exhibits'!P751:P755),"")</f>
        <v/>
      </c>
      <c r="Q755" s="3">
        <f>IF(ISNUMBER(AVERAGE('20250815_ETF_Options_Exhibits'!Q751:Q755)),AVERAGE('20250815_ETF_Options_Exhibits'!Q751:Q755),"")</f>
        <v/>
      </c>
      <c r="R755" s="3">
        <f>IF(ISNUMBER(AVERAGE('20250815_ETF_Options_Exhibits'!R751:R755)),AVERAGE('20250815_ETF_Options_Exhibits'!R751:R755),"")</f>
        <v/>
      </c>
      <c r="S755" s="3">
        <f>IF(ISNUMBER(AVERAGE('20250815_ETF_Options_Exhibits'!S751:S755)),AVERAGE('20250815_ETF_Options_Exhibits'!S751:S755),"")</f>
        <v/>
      </c>
      <c r="T755" s="3">
        <f>IF(ISNUMBER(AVERAGE('20250815_ETF_Options_Exhibits'!T751:T755)),AVERAGE('20250815_ETF_Options_Exhibits'!T751:T755),"")</f>
        <v/>
      </c>
      <c r="U755" s="3">
        <f>IF(ISNUMBER(AVERAGE('20250815_ETF_Options_Exhibits'!U751:U755)),AVERAGE('20250815_ETF_Options_Exhibits'!U751:U755),"")</f>
        <v/>
      </c>
      <c r="V755" s="3">
        <f>IF(ISNUMBER(AVERAGE('20250815_ETF_Options_Exhibits'!V751:V755)),AVERAGE('20250815_ETF_Options_Exhibits'!V751:V755),"")</f>
        <v/>
      </c>
      <c r="W755" s="3">
        <f>IF(ISNUMBER(AVERAGE('20250815_ETF_Options_Exhibits'!W751:W755)),AVERAGE('20250815_ETF_Options_Exhibits'!W751:W755),"")</f>
        <v/>
      </c>
      <c r="X755" s="3">
        <f>IF(ISNUMBER(AVERAGE('20250815_ETF_Options_Exhibits'!X751:X755)),AVERAGE('20250815_ETF_Options_Exhibits'!X751:X755),"")</f>
        <v/>
      </c>
      <c r="Y755" s="3">
        <f>IF(ISNUMBER(AVERAGE('20250815_ETF_Options_Exhibits'!Y751:Y755)),AVERAGE('20250815_ETF_Options_Exhibits'!Y751:Y755),"")</f>
        <v/>
      </c>
      <c r="Z755" s="3">
        <f>IF(ISNUMBER(AVERAGE('20250815_ETF_Options_Exhibits'!Z751:Z755)),AVERAGE('20250815_ETF_Options_Exhibits'!Z751:Z755),"")</f>
        <v/>
      </c>
      <c r="AA755" s="3">
        <f>IF(ISNUMBER(AVERAGE('20250815_ETF_Options_Exhibits'!AA751:AA755)),AVERAGE('20250815_ETF_Options_Exhibits'!AA751:AA755),"")</f>
        <v/>
      </c>
    </row>
    <row r="756">
      <c r="A756" s="1" t="n">
        <v>43098</v>
      </c>
      <c r="B756" s="3">
        <f>IF(ISNUMBER(AVERAGE('20250815_ETF_Options_Exhibits'!B752:B756)),AVERAGE('20250815_ETF_Options_Exhibits'!B752:B756),"")</f>
        <v/>
      </c>
      <c r="C756" s="3">
        <f>IF(ISNUMBER(AVERAGE('20250815_ETF_Options_Exhibits'!C752:C756)),AVERAGE('20250815_ETF_Options_Exhibits'!C752:C756),"")</f>
        <v/>
      </c>
      <c r="D756" s="3">
        <f>IF(ISNUMBER(AVERAGE('20250815_ETF_Options_Exhibits'!D752:D756)),AVERAGE('20250815_ETF_Options_Exhibits'!D752:D756),"")</f>
        <v/>
      </c>
      <c r="E756" s="3">
        <f>IF(ISNUMBER(AVERAGE('20250815_ETF_Options_Exhibits'!E752:E756)),AVERAGE('20250815_ETF_Options_Exhibits'!E752:E756),"")</f>
        <v/>
      </c>
      <c r="F756" s="3">
        <f>IF(ISNUMBER(AVERAGE('20250815_ETF_Options_Exhibits'!F752:F756)),AVERAGE('20250815_ETF_Options_Exhibits'!F752:F756),"")</f>
        <v/>
      </c>
      <c r="G756" s="3">
        <f>IF(ISNUMBER(AVERAGE('20250815_ETF_Options_Exhibits'!G752:G756)),AVERAGE('20250815_ETF_Options_Exhibits'!G752:G756),"")</f>
        <v/>
      </c>
      <c r="H756" s="3">
        <f>IF(ISNUMBER(AVERAGE('20250815_ETF_Options_Exhibits'!H752:H756)),AVERAGE('20250815_ETF_Options_Exhibits'!H752:H756),"")</f>
        <v/>
      </c>
      <c r="I756" s="3">
        <f>IF(ISNUMBER(AVERAGE('20250815_ETF_Options_Exhibits'!I752:I756)),AVERAGE('20250815_ETF_Options_Exhibits'!I752:I756),"")</f>
        <v/>
      </c>
      <c r="J756" s="3">
        <f>IF(ISNUMBER(AVERAGE('20250815_ETF_Options_Exhibits'!J752:J756)),AVERAGE('20250815_ETF_Options_Exhibits'!J752:J756),"")</f>
        <v/>
      </c>
      <c r="K756" s="3">
        <f>IF(ISNUMBER(AVERAGE('20250815_ETF_Options_Exhibits'!K752:K756)),AVERAGE('20250815_ETF_Options_Exhibits'!K752:K756),"")</f>
        <v/>
      </c>
      <c r="L756" s="3">
        <f>IF(ISNUMBER(AVERAGE('20250815_ETF_Options_Exhibits'!L752:L756)),AVERAGE('20250815_ETF_Options_Exhibits'!L752:L756),"")</f>
        <v/>
      </c>
      <c r="M756" s="3">
        <f>IF(ISNUMBER(AVERAGE('20250815_ETF_Options_Exhibits'!M752:M756)),AVERAGE('20250815_ETF_Options_Exhibits'!M752:M756),"")</f>
        <v/>
      </c>
      <c r="N756" s="3">
        <f>IF(ISNUMBER(AVERAGE('20250815_ETF_Options_Exhibits'!N752:N756)),AVERAGE('20250815_ETF_Options_Exhibits'!N752:N756),"")</f>
        <v/>
      </c>
      <c r="O756" s="3">
        <f>IF(ISNUMBER(AVERAGE('20250815_ETF_Options_Exhibits'!O752:O756)),AVERAGE('20250815_ETF_Options_Exhibits'!O752:O756),"")</f>
        <v/>
      </c>
      <c r="P756" s="3">
        <f>IF(ISNUMBER(AVERAGE('20250815_ETF_Options_Exhibits'!P752:P756)),AVERAGE('20250815_ETF_Options_Exhibits'!P752:P756),"")</f>
        <v/>
      </c>
      <c r="Q756" s="3">
        <f>IF(ISNUMBER(AVERAGE('20250815_ETF_Options_Exhibits'!Q752:Q756)),AVERAGE('20250815_ETF_Options_Exhibits'!Q752:Q756),"")</f>
        <v/>
      </c>
      <c r="R756" s="3">
        <f>IF(ISNUMBER(AVERAGE('20250815_ETF_Options_Exhibits'!R752:R756)),AVERAGE('20250815_ETF_Options_Exhibits'!R752:R756),"")</f>
        <v/>
      </c>
      <c r="S756" s="3">
        <f>IF(ISNUMBER(AVERAGE('20250815_ETF_Options_Exhibits'!S752:S756)),AVERAGE('20250815_ETF_Options_Exhibits'!S752:S756),"")</f>
        <v/>
      </c>
      <c r="T756" s="3">
        <f>IF(ISNUMBER(AVERAGE('20250815_ETF_Options_Exhibits'!T752:T756)),AVERAGE('20250815_ETF_Options_Exhibits'!T752:T756),"")</f>
        <v/>
      </c>
      <c r="U756" s="3">
        <f>IF(ISNUMBER(AVERAGE('20250815_ETF_Options_Exhibits'!U752:U756)),AVERAGE('20250815_ETF_Options_Exhibits'!U752:U756),"")</f>
        <v/>
      </c>
      <c r="V756" s="3">
        <f>IF(ISNUMBER(AVERAGE('20250815_ETF_Options_Exhibits'!V752:V756)),AVERAGE('20250815_ETF_Options_Exhibits'!V752:V756),"")</f>
        <v/>
      </c>
      <c r="W756" s="3">
        <f>IF(ISNUMBER(AVERAGE('20250815_ETF_Options_Exhibits'!W752:W756)),AVERAGE('20250815_ETF_Options_Exhibits'!W752:W756),"")</f>
        <v/>
      </c>
      <c r="X756" s="3">
        <f>IF(ISNUMBER(AVERAGE('20250815_ETF_Options_Exhibits'!X752:X756)),AVERAGE('20250815_ETF_Options_Exhibits'!X752:X756),"")</f>
        <v/>
      </c>
      <c r="Y756" s="3">
        <f>IF(ISNUMBER(AVERAGE('20250815_ETF_Options_Exhibits'!Y752:Y756)),AVERAGE('20250815_ETF_Options_Exhibits'!Y752:Y756),"")</f>
        <v/>
      </c>
      <c r="Z756" s="3">
        <f>IF(ISNUMBER(AVERAGE('20250815_ETF_Options_Exhibits'!Z752:Z756)),AVERAGE('20250815_ETF_Options_Exhibits'!Z752:Z756),"")</f>
        <v/>
      </c>
      <c r="AA756" s="3">
        <f>IF(ISNUMBER(AVERAGE('20250815_ETF_Options_Exhibits'!AA752:AA756)),AVERAGE('20250815_ETF_Options_Exhibits'!AA752:AA756),"")</f>
        <v/>
      </c>
    </row>
    <row r="757">
      <c r="A757" s="1" t="n">
        <v>43102</v>
      </c>
      <c r="B757" s="3">
        <f>IF(ISNUMBER(AVERAGE('20250815_ETF_Options_Exhibits'!B753:B757)),AVERAGE('20250815_ETF_Options_Exhibits'!B753:B757),"")</f>
        <v/>
      </c>
      <c r="C757" s="3">
        <f>IF(ISNUMBER(AVERAGE('20250815_ETF_Options_Exhibits'!C753:C757)),AVERAGE('20250815_ETF_Options_Exhibits'!C753:C757),"")</f>
        <v/>
      </c>
      <c r="D757" s="3">
        <f>IF(ISNUMBER(AVERAGE('20250815_ETF_Options_Exhibits'!D753:D757)),AVERAGE('20250815_ETF_Options_Exhibits'!D753:D757),"")</f>
        <v/>
      </c>
      <c r="E757" s="3">
        <f>IF(ISNUMBER(AVERAGE('20250815_ETF_Options_Exhibits'!E753:E757)),AVERAGE('20250815_ETF_Options_Exhibits'!E753:E757),"")</f>
        <v/>
      </c>
      <c r="F757" s="3">
        <f>IF(ISNUMBER(AVERAGE('20250815_ETF_Options_Exhibits'!F753:F757)),AVERAGE('20250815_ETF_Options_Exhibits'!F753:F757),"")</f>
        <v/>
      </c>
      <c r="G757" s="3">
        <f>IF(ISNUMBER(AVERAGE('20250815_ETF_Options_Exhibits'!G753:G757)),AVERAGE('20250815_ETF_Options_Exhibits'!G753:G757),"")</f>
        <v/>
      </c>
      <c r="H757" s="3">
        <f>IF(ISNUMBER(AVERAGE('20250815_ETF_Options_Exhibits'!H753:H757)),AVERAGE('20250815_ETF_Options_Exhibits'!H753:H757),"")</f>
        <v/>
      </c>
      <c r="I757" s="3">
        <f>IF(ISNUMBER(AVERAGE('20250815_ETF_Options_Exhibits'!I753:I757)),AVERAGE('20250815_ETF_Options_Exhibits'!I753:I757),"")</f>
        <v/>
      </c>
      <c r="J757" s="3">
        <f>IF(ISNUMBER(AVERAGE('20250815_ETF_Options_Exhibits'!J753:J757)),AVERAGE('20250815_ETF_Options_Exhibits'!J753:J757),"")</f>
        <v/>
      </c>
      <c r="K757" s="3">
        <f>IF(ISNUMBER(AVERAGE('20250815_ETF_Options_Exhibits'!K753:K757)),AVERAGE('20250815_ETF_Options_Exhibits'!K753:K757),"")</f>
        <v/>
      </c>
      <c r="L757" s="3">
        <f>IF(ISNUMBER(AVERAGE('20250815_ETF_Options_Exhibits'!L753:L757)),AVERAGE('20250815_ETF_Options_Exhibits'!L753:L757),"")</f>
        <v/>
      </c>
      <c r="M757" s="3">
        <f>IF(ISNUMBER(AVERAGE('20250815_ETF_Options_Exhibits'!M753:M757)),AVERAGE('20250815_ETF_Options_Exhibits'!M753:M757),"")</f>
        <v/>
      </c>
      <c r="N757" s="3">
        <f>IF(ISNUMBER(AVERAGE('20250815_ETF_Options_Exhibits'!N753:N757)),AVERAGE('20250815_ETF_Options_Exhibits'!N753:N757),"")</f>
        <v/>
      </c>
      <c r="O757" s="3">
        <f>IF(ISNUMBER(AVERAGE('20250815_ETF_Options_Exhibits'!O753:O757)),AVERAGE('20250815_ETF_Options_Exhibits'!O753:O757),"")</f>
        <v/>
      </c>
      <c r="P757" s="3">
        <f>IF(ISNUMBER(AVERAGE('20250815_ETF_Options_Exhibits'!P753:P757)),AVERAGE('20250815_ETF_Options_Exhibits'!P753:P757),"")</f>
        <v/>
      </c>
      <c r="Q757" s="3">
        <f>IF(ISNUMBER(AVERAGE('20250815_ETF_Options_Exhibits'!Q753:Q757)),AVERAGE('20250815_ETF_Options_Exhibits'!Q753:Q757),"")</f>
        <v/>
      </c>
      <c r="R757" s="3">
        <f>IF(ISNUMBER(AVERAGE('20250815_ETF_Options_Exhibits'!R753:R757)),AVERAGE('20250815_ETF_Options_Exhibits'!R753:R757),"")</f>
        <v/>
      </c>
      <c r="S757" s="3">
        <f>IF(ISNUMBER(AVERAGE('20250815_ETF_Options_Exhibits'!S753:S757)),AVERAGE('20250815_ETF_Options_Exhibits'!S753:S757),"")</f>
        <v/>
      </c>
      <c r="T757" s="3">
        <f>IF(ISNUMBER(AVERAGE('20250815_ETF_Options_Exhibits'!T753:T757)),AVERAGE('20250815_ETF_Options_Exhibits'!T753:T757),"")</f>
        <v/>
      </c>
      <c r="U757" s="3">
        <f>IF(ISNUMBER(AVERAGE('20250815_ETF_Options_Exhibits'!U753:U757)),AVERAGE('20250815_ETF_Options_Exhibits'!U753:U757),"")</f>
        <v/>
      </c>
      <c r="V757" s="3">
        <f>IF(ISNUMBER(AVERAGE('20250815_ETF_Options_Exhibits'!V753:V757)),AVERAGE('20250815_ETF_Options_Exhibits'!V753:V757),"")</f>
        <v/>
      </c>
      <c r="W757" s="3">
        <f>IF(ISNUMBER(AVERAGE('20250815_ETF_Options_Exhibits'!W753:W757)),AVERAGE('20250815_ETF_Options_Exhibits'!W753:W757),"")</f>
        <v/>
      </c>
      <c r="X757" s="3">
        <f>IF(ISNUMBER(AVERAGE('20250815_ETF_Options_Exhibits'!X753:X757)),AVERAGE('20250815_ETF_Options_Exhibits'!X753:X757),"")</f>
        <v/>
      </c>
      <c r="Y757" s="3">
        <f>IF(ISNUMBER(AVERAGE('20250815_ETF_Options_Exhibits'!Y753:Y757)),AVERAGE('20250815_ETF_Options_Exhibits'!Y753:Y757),"")</f>
        <v/>
      </c>
      <c r="Z757" s="3">
        <f>IF(ISNUMBER(AVERAGE('20250815_ETF_Options_Exhibits'!Z753:Z757)),AVERAGE('20250815_ETF_Options_Exhibits'!Z753:Z757),"")</f>
        <v/>
      </c>
      <c r="AA757" s="3">
        <f>IF(ISNUMBER(AVERAGE('20250815_ETF_Options_Exhibits'!AA753:AA757)),AVERAGE('20250815_ETF_Options_Exhibits'!AA753:AA757),"")</f>
        <v/>
      </c>
    </row>
    <row r="758">
      <c r="A758" s="1" t="n">
        <v>43103</v>
      </c>
      <c r="B758" s="3">
        <f>IF(ISNUMBER(AVERAGE('20250815_ETF_Options_Exhibits'!B754:B758)),AVERAGE('20250815_ETF_Options_Exhibits'!B754:B758),"")</f>
        <v/>
      </c>
      <c r="C758" s="3">
        <f>IF(ISNUMBER(AVERAGE('20250815_ETF_Options_Exhibits'!C754:C758)),AVERAGE('20250815_ETF_Options_Exhibits'!C754:C758),"")</f>
        <v/>
      </c>
      <c r="D758" s="3">
        <f>IF(ISNUMBER(AVERAGE('20250815_ETF_Options_Exhibits'!D754:D758)),AVERAGE('20250815_ETF_Options_Exhibits'!D754:D758),"")</f>
        <v/>
      </c>
      <c r="E758" s="3">
        <f>IF(ISNUMBER(AVERAGE('20250815_ETF_Options_Exhibits'!E754:E758)),AVERAGE('20250815_ETF_Options_Exhibits'!E754:E758),"")</f>
        <v/>
      </c>
      <c r="F758" s="3">
        <f>IF(ISNUMBER(AVERAGE('20250815_ETF_Options_Exhibits'!F754:F758)),AVERAGE('20250815_ETF_Options_Exhibits'!F754:F758),"")</f>
        <v/>
      </c>
      <c r="G758" s="3">
        <f>IF(ISNUMBER(AVERAGE('20250815_ETF_Options_Exhibits'!G754:G758)),AVERAGE('20250815_ETF_Options_Exhibits'!G754:G758),"")</f>
        <v/>
      </c>
      <c r="H758" s="3">
        <f>IF(ISNUMBER(AVERAGE('20250815_ETF_Options_Exhibits'!H754:H758)),AVERAGE('20250815_ETF_Options_Exhibits'!H754:H758),"")</f>
        <v/>
      </c>
      <c r="I758" s="3">
        <f>IF(ISNUMBER(AVERAGE('20250815_ETF_Options_Exhibits'!I754:I758)),AVERAGE('20250815_ETF_Options_Exhibits'!I754:I758),"")</f>
        <v/>
      </c>
      <c r="J758" s="3">
        <f>IF(ISNUMBER(AVERAGE('20250815_ETF_Options_Exhibits'!J754:J758)),AVERAGE('20250815_ETF_Options_Exhibits'!J754:J758),"")</f>
        <v/>
      </c>
      <c r="K758" s="3">
        <f>IF(ISNUMBER(AVERAGE('20250815_ETF_Options_Exhibits'!K754:K758)),AVERAGE('20250815_ETF_Options_Exhibits'!K754:K758),"")</f>
        <v/>
      </c>
      <c r="L758" s="3">
        <f>IF(ISNUMBER(AVERAGE('20250815_ETF_Options_Exhibits'!L754:L758)),AVERAGE('20250815_ETF_Options_Exhibits'!L754:L758),"")</f>
        <v/>
      </c>
      <c r="M758" s="3">
        <f>IF(ISNUMBER(AVERAGE('20250815_ETF_Options_Exhibits'!M754:M758)),AVERAGE('20250815_ETF_Options_Exhibits'!M754:M758),"")</f>
        <v/>
      </c>
      <c r="N758" s="3">
        <f>IF(ISNUMBER(AVERAGE('20250815_ETF_Options_Exhibits'!N754:N758)),AVERAGE('20250815_ETF_Options_Exhibits'!N754:N758),"")</f>
        <v/>
      </c>
      <c r="O758" s="3">
        <f>IF(ISNUMBER(AVERAGE('20250815_ETF_Options_Exhibits'!O754:O758)),AVERAGE('20250815_ETF_Options_Exhibits'!O754:O758),"")</f>
        <v/>
      </c>
      <c r="P758" s="3">
        <f>IF(ISNUMBER(AVERAGE('20250815_ETF_Options_Exhibits'!P754:P758)),AVERAGE('20250815_ETF_Options_Exhibits'!P754:P758),"")</f>
        <v/>
      </c>
      <c r="Q758" s="3">
        <f>IF(ISNUMBER(AVERAGE('20250815_ETF_Options_Exhibits'!Q754:Q758)),AVERAGE('20250815_ETF_Options_Exhibits'!Q754:Q758),"")</f>
        <v/>
      </c>
      <c r="R758" s="3">
        <f>IF(ISNUMBER(AVERAGE('20250815_ETF_Options_Exhibits'!R754:R758)),AVERAGE('20250815_ETF_Options_Exhibits'!R754:R758),"")</f>
        <v/>
      </c>
      <c r="S758" s="3">
        <f>IF(ISNUMBER(AVERAGE('20250815_ETF_Options_Exhibits'!S754:S758)),AVERAGE('20250815_ETF_Options_Exhibits'!S754:S758),"")</f>
        <v/>
      </c>
      <c r="T758" s="3">
        <f>IF(ISNUMBER(AVERAGE('20250815_ETF_Options_Exhibits'!T754:T758)),AVERAGE('20250815_ETF_Options_Exhibits'!T754:T758),"")</f>
        <v/>
      </c>
      <c r="U758" s="3">
        <f>IF(ISNUMBER(AVERAGE('20250815_ETF_Options_Exhibits'!U754:U758)),AVERAGE('20250815_ETF_Options_Exhibits'!U754:U758),"")</f>
        <v/>
      </c>
      <c r="V758" s="3">
        <f>IF(ISNUMBER(AVERAGE('20250815_ETF_Options_Exhibits'!V754:V758)),AVERAGE('20250815_ETF_Options_Exhibits'!V754:V758),"")</f>
        <v/>
      </c>
      <c r="W758" s="3">
        <f>IF(ISNUMBER(AVERAGE('20250815_ETF_Options_Exhibits'!W754:W758)),AVERAGE('20250815_ETF_Options_Exhibits'!W754:W758),"")</f>
        <v/>
      </c>
      <c r="X758" s="3">
        <f>IF(ISNUMBER(AVERAGE('20250815_ETF_Options_Exhibits'!X754:X758)),AVERAGE('20250815_ETF_Options_Exhibits'!X754:X758),"")</f>
        <v/>
      </c>
      <c r="Y758" s="3">
        <f>IF(ISNUMBER(AVERAGE('20250815_ETF_Options_Exhibits'!Y754:Y758)),AVERAGE('20250815_ETF_Options_Exhibits'!Y754:Y758),"")</f>
        <v/>
      </c>
      <c r="Z758" s="3">
        <f>IF(ISNUMBER(AVERAGE('20250815_ETF_Options_Exhibits'!Z754:Z758)),AVERAGE('20250815_ETF_Options_Exhibits'!Z754:Z758),"")</f>
        <v/>
      </c>
      <c r="AA758" s="3">
        <f>IF(ISNUMBER(AVERAGE('20250815_ETF_Options_Exhibits'!AA754:AA758)),AVERAGE('20250815_ETF_Options_Exhibits'!AA754:AA758),"")</f>
        <v/>
      </c>
    </row>
    <row r="759">
      <c r="A759" s="1" t="n">
        <v>43104</v>
      </c>
      <c r="B759" s="3">
        <f>IF(ISNUMBER(AVERAGE('20250815_ETF_Options_Exhibits'!B755:B759)),AVERAGE('20250815_ETF_Options_Exhibits'!B755:B759),"")</f>
        <v/>
      </c>
      <c r="C759" s="3">
        <f>IF(ISNUMBER(AVERAGE('20250815_ETF_Options_Exhibits'!C755:C759)),AVERAGE('20250815_ETF_Options_Exhibits'!C755:C759),"")</f>
        <v/>
      </c>
      <c r="D759" s="3">
        <f>IF(ISNUMBER(AVERAGE('20250815_ETF_Options_Exhibits'!D755:D759)),AVERAGE('20250815_ETF_Options_Exhibits'!D755:D759),"")</f>
        <v/>
      </c>
      <c r="E759" s="3">
        <f>IF(ISNUMBER(AVERAGE('20250815_ETF_Options_Exhibits'!E755:E759)),AVERAGE('20250815_ETF_Options_Exhibits'!E755:E759),"")</f>
        <v/>
      </c>
      <c r="F759" s="3">
        <f>IF(ISNUMBER(AVERAGE('20250815_ETF_Options_Exhibits'!F755:F759)),AVERAGE('20250815_ETF_Options_Exhibits'!F755:F759),"")</f>
        <v/>
      </c>
      <c r="G759" s="3">
        <f>IF(ISNUMBER(AVERAGE('20250815_ETF_Options_Exhibits'!G755:G759)),AVERAGE('20250815_ETF_Options_Exhibits'!G755:G759),"")</f>
        <v/>
      </c>
      <c r="H759" s="3">
        <f>IF(ISNUMBER(AVERAGE('20250815_ETF_Options_Exhibits'!H755:H759)),AVERAGE('20250815_ETF_Options_Exhibits'!H755:H759),"")</f>
        <v/>
      </c>
      <c r="I759" s="3">
        <f>IF(ISNUMBER(AVERAGE('20250815_ETF_Options_Exhibits'!I755:I759)),AVERAGE('20250815_ETF_Options_Exhibits'!I755:I759),"")</f>
        <v/>
      </c>
      <c r="J759" s="3">
        <f>IF(ISNUMBER(AVERAGE('20250815_ETF_Options_Exhibits'!J755:J759)),AVERAGE('20250815_ETF_Options_Exhibits'!J755:J759),"")</f>
        <v/>
      </c>
      <c r="K759" s="3">
        <f>IF(ISNUMBER(AVERAGE('20250815_ETF_Options_Exhibits'!K755:K759)),AVERAGE('20250815_ETF_Options_Exhibits'!K755:K759),"")</f>
        <v/>
      </c>
      <c r="L759" s="3">
        <f>IF(ISNUMBER(AVERAGE('20250815_ETF_Options_Exhibits'!L755:L759)),AVERAGE('20250815_ETF_Options_Exhibits'!L755:L759),"")</f>
        <v/>
      </c>
      <c r="M759" s="3">
        <f>IF(ISNUMBER(AVERAGE('20250815_ETF_Options_Exhibits'!M755:M759)),AVERAGE('20250815_ETF_Options_Exhibits'!M755:M759),"")</f>
        <v/>
      </c>
      <c r="N759" s="3">
        <f>IF(ISNUMBER(AVERAGE('20250815_ETF_Options_Exhibits'!N755:N759)),AVERAGE('20250815_ETF_Options_Exhibits'!N755:N759),"")</f>
        <v/>
      </c>
      <c r="O759" s="3">
        <f>IF(ISNUMBER(AVERAGE('20250815_ETF_Options_Exhibits'!O755:O759)),AVERAGE('20250815_ETF_Options_Exhibits'!O755:O759),"")</f>
        <v/>
      </c>
      <c r="P759" s="3">
        <f>IF(ISNUMBER(AVERAGE('20250815_ETF_Options_Exhibits'!P755:P759)),AVERAGE('20250815_ETF_Options_Exhibits'!P755:P759),"")</f>
        <v/>
      </c>
      <c r="Q759" s="3">
        <f>IF(ISNUMBER(AVERAGE('20250815_ETF_Options_Exhibits'!Q755:Q759)),AVERAGE('20250815_ETF_Options_Exhibits'!Q755:Q759),"")</f>
        <v/>
      </c>
      <c r="R759" s="3">
        <f>IF(ISNUMBER(AVERAGE('20250815_ETF_Options_Exhibits'!R755:R759)),AVERAGE('20250815_ETF_Options_Exhibits'!R755:R759),"")</f>
        <v/>
      </c>
      <c r="S759" s="3">
        <f>IF(ISNUMBER(AVERAGE('20250815_ETF_Options_Exhibits'!S755:S759)),AVERAGE('20250815_ETF_Options_Exhibits'!S755:S759),"")</f>
        <v/>
      </c>
      <c r="T759" s="3">
        <f>IF(ISNUMBER(AVERAGE('20250815_ETF_Options_Exhibits'!T755:T759)),AVERAGE('20250815_ETF_Options_Exhibits'!T755:T759),"")</f>
        <v/>
      </c>
      <c r="U759" s="3">
        <f>IF(ISNUMBER(AVERAGE('20250815_ETF_Options_Exhibits'!U755:U759)),AVERAGE('20250815_ETF_Options_Exhibits'!U755:U759),"")</f>
        <v/>
      </c>
      <c r="V759" s="3">
        <f>IF(ISNUMBER(AVERAGE('20250815_ETF_Options_Exhibits'!V755:V759)),AVERAGE('20250815_ETF_Options_Exhibits'!V755:V759),"")</f>
        <v/>
      </c>
      <c r="W759" s="3">
        <f>IF(ISNUMBER(AVERAGE('20250815_ETF_Options_Exhibits'!W755:W759)),AVERAGE('20250815_ETF_Options_Exhibits'!W755:W759),"")</f>
        <v/>
      </c>
      <c r="X759" s="3">
        <f>IF(ISNUMBER(AVERAGE('20250815_ETF_Options_Exhibits'!X755:X759)),AVERAGE('20250815_ETF_Options_Exhibits'!X755:X759),"")</f>
        <v/>
      </c>
      <c r="Y759" s="3">
        <f>IF(ISNUMBER(AVERAGE('20250815_ETF_Options_Exhibits'!Y755:Y759)),AVERAGE('20250815_ETF_Options_Exhibits'!Y755:Y759),"")</f>
        <v/>
      </c>
      <c r="Z759" s="3">
        <f>IF(ISNUMBER(AVERAGE('20250815_ETF_Options_Exhibits'!Z755:Z759)),AVERAGE('20250815_ETF_Options_Exhibits'!Z755:Z759),"")</f>
        <v/>
      </c>
      <c r="AA759" s="3">
        <f>IF(ISNUMBER(AVERAGE('20250815_ETF_Options_Exhibits'!AA755:AA759)),AVERAGE('20250815_ETF_Options_Exhibits'!AA755:AA759),"")</f>
        <v/>
      </c>
    </row>
    <row r="760">
      <c r="A760" s="1" t="n">
        <v>43105</v>
      </c>
      <c r="B760" s="3">
        <f>IF(ISNUMBER(AVERAGE('20250815_ETF_Options_Exhibits'!B756:B760)),AVERAGE('20250815_ETF_Options_Exhibits'!B756:B760),"")</f>
        <v/>
      </c>
      <c r="C760" s="3">
        <f>IF(ISNUMBER(AVERAGE('20250815_ETF_Options_Exhibits'!C756:C760)),AVERAGE('20250815_ETF_Options_Exhibits'!C756:C760),"")</f>
        <v/>
      </c>
      <c r="D760" s="3">
        <f>IF(ISNUMBER(AVERAGE('20250815_ETF_Options_Exhibits'!D756:D760)),AVERAGE('20250815_ETF_Options_Exhibits'!D756:D760),"")</f>
        <v/>
      </c>
      <c r="E760" s="3">
        <f>IF(ISNUMBER(AVERAGE('20250815_ETF_Options_Exhibits'!E756:E760)),AVERAGE('20250815_ETF_Options_Exhibits'!E756:E760),"")</f>
        <v/>
      </c>
      <c r="F760" s="3">
        <f>IF(ISNUMBER(AVERAGE('20250815_ETF_Options_Exhibits'!F756:F760)),AVERAGE('20250815_ETF_Options_Exhibits'!F756:F760),"")</f>
        <v/>
      </c>
      <c r="G760" s="3">
        <f>IF(ISNUMBER(AVERAGE('20250815_ETF_Options_Exhibits'!G756:G760)),AVERAGE('20250815_ETF_Options_Exhibits'!G756:G760),"")</f>
        <v/>
      </c>
      <c r="H760" s="3">
        <f>IF(ISNUMBER(AVERAGE('20250815_ETF_Options_Exhibits'!H756:H760)),AVERAGE('20250815_ETF_Options_Exhibits'!H756:H760),"")</f>
        <v/>
      </c>
      <c r="I760" s="3">
        <f>IF(ISNUMBER(AVERAGE('20250815_ETF_Options_Exhibits'!I756:I760)),AVERAGE('20250815_ETF_Options_Exhibits'!I756:I760),"")</f>
        <v/>
      </c>
      <c r="J760" s="3">
        <f>IF(ISNUMBER(AVERAGE('20250815_ETF_Options_Exhibits'!J756:J760)),AVERAGE('20250815_ETF_Options_Exhibits'!J756:J760),"")</f>
        <v/>
      </c>
      <c r="K760" s="3">
        <f>IF(ISNUMBER(AVERAGE('20250815_ETF_Options_Exhibits'!K756:K760)),AVERAGE('20250815_ETF_Options_Exhibits'!K756:K760),"")</f>
        <v/>
      </c>
      <c r="L760" s="3">
        <f>IF(ISNUMBER(AVERAGE('20250815_ETF_Options_Exhibits'!L756:L760)),AVERAGE('20250815_ETF_Options_Exhibits'!L756:L760),"")</f>
        <v/>
      </c>
      <c r="M760" s="3">
        <f>IF(ISNUMBER(AVERAGE('20250815_ETF_Options_Exhibits'!M756:M760)),AVERAGE('20250815_ETF_Options_Exhibits'!M756:M760),"")</f>
        <v/>
      </c>
      <c r="N760" s="3">
        <f>IF(ISNUMBER(AVERAGE('20250815_ETF_Options_Exhibits'!N756:N760)),AVERAGE('20250815_ETF_Options_Exhibits'!N756:N760),"")</f>
        <v/>
      </c>
      <c r="O760" s="3">
        <f>IF(ISNUMBER(AVERAGE('20250815_ETF_Options_Exhibits'!O756:O760)),AVERAGE('20250815_ETF_Options_Exhibits'!O756:O760),"")</f>
        <v/>
      </c>
      <c r="P760" s="3">
        <f>IF(ISNUMBER(AVERAGE('20250815_ETF_Options_Exhibits'!P756:P760)),AVERAGE('20250815_ETF_Options_Exhibits'!P756:P760),"")</f>
        <v/>
      </c>
      <c r="Q760" s="3">
        <f>IF(ISNUMBER(AVERAGE('20250815_ETF_Options_Exhibits'!Q756:Q760)),AVERAGE('20250815_ETF_Options_Exhibits'!Q756:Q760),"")</f>
        <v/>
      </c>
      <c r="R760" s="3">
        <f>IF(ISNUMBER(AVERAGE('20250815_ETF_Options_Exhibits'!R756:R760)),AVERAGE('20250815_ETF_Options_Exhibits'!R756:R760),"")</f>
        <v/>
      </c>
      <c r="S760" s="3">
        <f>IF(ISNUMBER(AVERAGE('20250815_ETF_Options_Exhibits'!S756:S760)),AVERAGE('20250815_ETF_Options_Exhibits'!S756:S760),"")</f>
        <v/>
      </c>
      <c r="T760" s="3">
        <f>IF(ISNUMBER(AVERAGE('20250815_ETF_Options_Exhibits'!T756:T760)),AVERAGE('20250815_ETF_Options_Exhibits'!T756:T760),"")</f>
        <v/>
      </c>
      <c r="U760" s="3">
        <f>IF(ISNUMBER(AVERAGE('20250815_ETF_Options_Exhibits'!U756:U760)),AVERAGE('20250815_ETF_Options_Exhibits'!U756:U760),"")</f>
        <v/>
      </c>
      <c r="V760" s="3">
        <f>IF(ISNUMBER(AVERAGE('20250815_ETF_Options_Exhibits'!V756:V760)),AVERAGE('20250815_ETF_Options_Exhibits'!V756:V760),"")</f>
        <v/>
      </c>
      <c r="W760" s="3">
        <f>IF(ISNUMBER(AVERAGE('20250815_ETF_Options_Exhibits'!W756:W760)),AVERAGE('20250815_ETF_Options_Exhibits'!W756:W760),"")</f>
        <v/>
      </c>
      <c r="X760" s="3">
        <f>IF(ISNUMBER(AVERAGE('20250815_ETF_Options_Exhibits'!X756:X760)),AVERAGE('20250815_ETF_Options_Exhibits'!X756:X760),"")</f>
        <v/>
      </c>
      <c r="Y760" s="3">
        <f>IF(ISNUMBER(AVERAGE('20250815_ETF_Options_Exhibits'!Y756:Y760)),AVERAGE('20250815_ETF_Options_Exhibits'!Y756:Y760),"")</f>
        <v/>
      </c>
      <c r="Z760" s="3">
        <f>IF(ISNUMBER(AVERAGE('20250815_ETF_Options_Exhibits'!Z756:Z760)),AVERAGE('20250815_ETF_Options_Exhibits'!Z756:Z760),"")</f>
        <v/>
      </c>
      <c r="AA760" s="3">
        <f>IF(ISNUMBER(AVERAGE('20250815_ETF_Options_Exhibits'!AA756:AA760)),AVERAGE('20250815_ETF_Options_Exhibits'!AA756:AA760),"")</f>
        <v/>
      </c>
    </row>
    <row r="761">
      <c r="A761" s="1" t="n">
        <v>43108</v>
      </c>
      <c r="B761" s="3">
        <f>IF(ISNUMBER(AVERAGE('20250815_ETF_Options_Exhibits'!B757:B761)),AVERAGE('20250815_ETF_Options_Exhibits'!B757:B761),"")</f>
        <v/>
      </c>
      <c r="C761" s="3">
        <f>IF(ISNUMBER(AVERAGE('20250815_ETF_Options_Exhibits'!C757:C761)),AVERAGE('20250815_ETF_Options_Exhibits'!C757:C761),"")</f>
        <v/>
      </c>
      <c r="D761" s="3">
        <f>IF(ISNUMBER(AVERAGE('20250815_ETF_Options_Exhibits'!D757:D761)),AVERAGE('20250815_ETF_Options_Exhibits'!D757:D761),"")</f>
        <v/>
      </c>
      <c r="E761" s="3">
        <f>IF(ISNUMBER(AVERAGE('20250815_ETF_Options_Exhibits'!E757:E761)),AVERAGE('20250815_ETF_Options_Exhibits'!E757:E761),"")</f>
        <v/>
      </c>
      <c r="F761" s="3">
        <f>IF(ISNUMBER(AVERAGE('20250815_ETF_Options_Exhibits'!F757:F761)),AVERAGE('20250815_ETF_Options_Exhibits'!F757:F761),"")</f>
        <v/>
      </c>
      <c r="G761" s="3">
        <f>IF(ISNUMBER(AVERAGE('20250815_ETF_Options_Exhibits'!G757:G761)),AVERAGE('20250815_ETF_Options_Exhibits'!G757:G761),"")</f>
        <v/>
      </c>
      <c r="H761" s="3">
        <f>IF(ISNUMBER(AVERAGE('20250815_ETF_Options_Exhibits'!H757:H761)),AVERAGE('20250815_ETF_Options_Exhibits'!H757:H761),"")</f>
        <v/>
      </c>
      <c r="I761" s="3">
        <f>IF(ISNUMBER(AVERAGE('20250815_ETF_Options_Exhibits'!I757:I761)),AVERAGE('20250815_ETF_Options_Exhibits'!I757:I761),"")</f>
        <v/>
      </c>
      <c r="J761" s="3">
        <f>IF(ISNUMBER(AVERAGE('20250815_ETF_Options_Exhibits'!J757:J761)),AVERAGE('20250815_ETF_Options_Exhibits'!J757:J761),"")</f>
        <v/>
      </c>
      <c r="K761" s="3">
        <f>IF(ISNUMBER(AVERAGE('20250815_ETF_Options_Exhibits'!K757:K761)),AVERAGE('20250815_ETF_Options_Exhibits'!K757:K761),"")</f>
        <v/>
      </c>
      <c r="L761" s="3">
        <f>IF(ISNUMBER(AVERAGE('20250815_ETF_Options_Exhibits'!L757:L761)),AVERAGE('20250815_ETF_Options_Exhibits'!L757:L761),"")</f>
        <v/>
      </c>
      <c r="M761" s="3">
        <f>IF(ISNUMBER(AVERAGE('20250815_ETF_Options_Exhibits'!M757:M761)),AVERAGE('20250815_ETF_Options_Exhibits'!M757:M761),"")</f>
        <v/>
      </c>
      <c r="N761" s="3">
        <f>IF(ISNUMBER(AVERAGE('20250815_ETF_Options_Exhibits'!N757:N761)),AVERAGE('20250815_ETF_Options_Exhibits'!N757:N761),"")</f>
        <v/>
      </c>
      <c r="O761" s="3">
        <f>IF(ISNUMBER(AVERAGE('20250815_ETF_Options_Exhibits'!O757:O761)),AVERAGE('20250815_ETF_Options_Exhibits'!O757:O761),"")</f>
        <v/>
      </c>
      <c r="P761" s="3">
        <f>IF(ISNUMBER(AVERAGE('20250815_ETF_Options_Exhibits'!P757:P761)),AVERAGE('20250815_ETF_Options_Exhibits'!P757:P761),"")</f>
        <v/>
      </c>
      <c r="Q761" s="3">
        <f>IF(ISNUMBER(AVERAGE('20250815_ETF_Options_Exhibits'!Q757:Q761)),AVERAGE('20250815_ETF_Options_Exhibits'!Q757:Q761),"")</f>
        <v/>
      </c>
      <c r="R761" s="3">
        <f>IF(ISNUMBER(AVERAGE('20250815_ETF_Options_Exhibits'!R757:R761)),AVERAGE('20250815_ETF_Options_Exhibits'!R757:R761),"")</f>
        <v/>
      </c>
      <c r="S761" s="3">
        <f>IF(ISNUMBER(AVERAGE('20250815_ETF_Options_Exhibits'!S757:S761)),AVERAGE('20250815_ETF_Options_Exhibits'!S757:S761),"")</f>
        <v/>
      </c>
      <c r="T761" s="3">
        <f>IF(ISNUMBER(AVERAGE('20250815_ETF_Options_Exhibits'!T757:T761)),AVERAGE('20250815_ETF_Options_Exhibits'!T757:T761),"")</f>
        <v/>
      </c>
      <c r="U761" s="3">
        <f>IF(ISNUMBER(AVERAGE('20250815_ETF_Options_Exhibits'!U757:U761)),AVERAGE('20250815_ETF_Options_Exhibits'!U757:U761),"")</f>
        <v/>
      </c>
      <c r="V761" s="3">
        <f>IF(ISNUMBER(AVERAGE('20250815_ETF_Options_Exhibits'!V757:V761)),AVERAGE('20250815_ETF_Options_Exhibits'!V757:V761),"")</f>
        <v/>
      </c>
      <c r="W761" s="3">
        <f>IF(ISNUMBER(AVERAGE('20250815_ETF_Options_Exhibits'!W757:W761)),AVERAGE('20250815_ETF_Options_Exhibits'!W757:W761),"")</f>
        <v/>
      </c>
      <c r="X761" s="3">
        <f>IF(ISNUMBER(AVERAGE('20250815_ETF_Options_Exhibits'!X757:X761)),AVERAGE('20250815_ETF_Options_Exhibits'!X757:X761),"")</f>
        <v/>
      </c>
      <c r="Y761" s="3">
        <f>IF(ISNUMBER(AVERAGE('20250815_ETF_Options_Exhibits'!Y757:Y761)),AVERAGE('20250815_ETF_Options_Exhibits'!Y757:Y761),"")</f>
        <v/>
      </c>
      <c r="Z761" s="3">
        <f>IF(ISNUMBER(AVERAGE('20250815_ETF_Options_Exhibits'!Z757:Z761)),AVERAGE('20250815_ETF_Options_Exhibits'!Z757:Z761),"")</f>
        <v/>
      </c>
      <c r="AA761" s="3">
        <f>IF(ISNUMBER(AVERAGE('20250815_ETF_Options_Exhibits'!AA757:AA761)),AVERAGE('20250815_ETF_Options_Exhibits'!AA757:AA761),"")</f>
        <v/>
      </c>
    </row>
    <row r="762">
      <c r="A762" s="1" t="n">
        <v>43109</v>
      </c>
      <c r="B762" s="3">
        <f>IF(ISNUMBER(AVERAGE('20250815_ETF_Options_Exhibits'!B758:B762)),AVERAGE('20250815_ETF_Options_Exhibits'!B758:B762),"")</f>
        <v/>
      </c>
      <c r="C762" s="3">
        <f>IF(ISNUMBER(AVERAGE('20250815_ETF_Options_Exhibits'!C758:C762)),AVERAGE('20250815_ETF_Options_Exhibits'!C758:C762),"")</f>
        <v/>
      </c>
      <c r="D762" s="3">
        <f>IF(ISNUMBER(AVERAGE('20250815_ETF_Options_Exhibits'!D758:D762)),AVERAGE('20250815_ETF_Options_Exhibits'!D758:D762),"")</f>
        <v/>
      </c>
      <c r="E762" s="3">
        <f>IF(ISNUMBER(AVERAGE('20250815_ETF_Options_Exhibits'!E758:E762)),AVERAGE('20250815_ETF_Options_Exhibits'!E758:E762),"")</f>
        <v/>
      </c>
      <c r="F762" s="3">
        <f>IF(ISNUMBER(AVERAGE('20250815_ETF_Options_Exhibits'!F758:F762)),AVERAGE('20250815_ETF_Options_Exhibits'!F758:F762),"")</f>
        <v/>
      </c>
      <c r="G762" s="3">
        <f>IF(ISNUMBER(AVERAGE('20250815_ETF_Options_Exhibits'!G758:G762)),AVERAGE('20250815_ETF_Options_Exhibits'!G758:G762),"")</f>
        <v/>
      </c>
      <c r="H762" s="3">
        <f>IF(ISNUMBER(AVERAGE('20250815_ETF_Options_Exhibits'!H758:H762)),AVERAGE('20250815_ETF_Options_Exhibits'!H758:H762),"")</f>
        <v/>
      </c>
      <c r="I762" s="3">
        <f>IF(ISNUMBER(AVERAGE('20250815_ETF_Options_Exhibits'!I758:I762)),AVERAGE('20250815_ETF_Options_Exhibits'!I758:I762),"")</f>
        <v/>
      </c>
      <c r="J762" s="3">
        <f>IF(ISNUMBER(AVERAGE('20250815_ETF_Options_Exhibits'!J758:J762)),AVERAGE('20250815_ETF_Options_Exhibits'!J758:J762),"")</f>
        <v/>
      </c>
      <c r="K762" s="3">
        <f>IF(ISNUMBER(AVERAGE('20250815_ETF_Options_Exhibits'!K758:K762)),AVERAGE('20250815_ETF_Options_Exhibits'!K758:K762),"")</f>
        <v/>
      </c>
      <c r="L762" s="3">
        <f>IF(ISNUMBER(AVERAGE('20250815_ETF_Options_Exhibits'!L758:L762)),AVERAGE('20250815_ETF_Options_Exhibits'!L758:L762),"")</f>
        <v/>
      </c>
      <c r="M762" s="3">
        <f>IF(ISNUMBER(AVERAGE('20250815_ETF_Options_Exhibits'!M758:M762)),AVERAGE('20250815_ETF_Options_Exhibits'!M758:M762),"")</f>
        <v/>
      </c>
      <c r="N762" s="3">
        <f>IF(ISNUMBER(AVERAGE('20250815_ETF_Options_Exhibits'!N758:N762)),AVERAGE('20250815_ETF_Options_Exhibits'!N758:N762),"")</f>
        <v/>
      </c>
      <c r="O762" s="3">
        <f>IF(ISNUMBER(AVERAGE('20250815_ETF_Options_Exhibits'!O758:O762)),AVERAGE('20250815_ETF_Options_Exhibits'!O758:O762),"")</f>
        <v/>
      </c>
      <c r="P762" s="3">
        <f>IF(ISNUMBER(AVERAGE('20250815_ETF_Options_Exhibits'!P758:P762)),AVERAGE('20250815_ETF_Options_Exhibits'!P758:P762),"")</f>
        <v/>
      </c>
      <c r="Q762" s="3">
        <f>IF(ISNUMBER(AVERAGE('20250815_ETF_Options_Exhibits'!Q758:Q762)),AVERAGE('20250815_ETF_Options_Exhibits'!Q758:Q762),"")</f>
        <v/>
      </c>
      <c r="R762" s="3">
        <f>IF(ISNUMBER(AVERAGE('20250815_ETF_Options_Exhibits'!R758:R762)),AVERAGE('20250815_ETF_Options_Exhibits'!R758:R762),"")</f>
        <v/>
      </c>
      <c r="S762" s="3">
        <f>IF(ISNUMBER(AVERAGE('20250815_ETF_Options_Exhibits'!S758:S762)),AVERAGE('20250815_ETF_Options_Exhibits'!S758:S762),"")</f>
        <v/>
      </c>
      <c r="T762" s="3">
        <f>IF(ISNUMBER(AVERAGE('20250815_ETF_Options_Exhibits'!T758:T762)),AVERAGE('20250815_ETF_Options_Exhibits'!T758:T762),"")</f>
        <v/>
      </c>
      <c r="U762" s="3">
        <f>IF(ISNUMBER(AVERAGE('20250815_ETF_Options_Exhibits'!U758:U762)),AVERAGE('20250815_ETF_Options_Exhibits'!U758:U762),"")</f>
        <v/>
      </c>
      <c r="V762" s="3">
        <f>IF(ISNUMBER(AVERAGE('20250815_ETF_Options_Exhibits'!V758:V762)),AVERAGE('20250815_ETF_Options_Exhibits'!V758:V762),"")</f>
        <v/>
      </c>
      <c r="W762" s="3">
        <f>IF(ISNUMBER(AVERAGE('20250815_ETF_Options_Exhibits'!W758:W762)),AVERAGE('20250815_ETF_Options_Exhibits'!W758:W762),"")</f>
        <v/>
      </c>
      <c r="X762" s="3">
        <f>IF(ISNUMBER(AVERAGE('20250815_ETF_Options_Exhibits'!X758:X762)),AVERAGE('20250815_ETF_Options_Exhibits'!X758:X762),"")</f>
        <v/>
      </c>
      <c r="Y762" s="3">
        <f>IF(ISNUMBER(AVERAGE('20250815_ETF_Options_Exhibits'!Y758:Y762)),AVERAGE('20250815_ETF_Options_Exhibits'!Y758:Y762),"")</f>
        <v/>
      </c>
      <c r="Z762" s="3">
        <f>IF(ISNUMBER(AVERAGE('20250815_ETF_Options_Exhibits'!Z758:Z762)),AVERAGE('20250815_ETF_Options_Exhibits'!Z758:Z762),"")</f>
        <v/>
      </c>
      <c r="AA762" s="3">
        <f>IF(ISNUMBER(AVERAGE('20250815_ETF_Options_Exhibits'!AA758:AA762)),AVERAGE('20250815_ETF_Options_Exhibits'!AA758:AA762),"")</f>
        <v/>
      </c>
    </row>
    <row r="763">
      <c r="A763" s="1" t="n">
        <v>43110</v>
      </c>
      <c r="B763" s="3">
        <f>IF(ISNUMBER(AVERAGE('20250815_ETF_Options_Exhibits'!B759:B763)),AVERAGE('20250815_ETF_Options_Exhibits'!B759:B763),"")</f>
        <v/>
      </c>
      <c r="C763" s="3">
        <f>IF(ISNUMBER(AVERAGE('20250815_ETF_Options_Exhibits'!C759:C763)),AVERAGE('20250815_ETF_Options_Exhibits'!C759:C763),"")</f>
        <v/>
      </c>
      <c r="D763" s="3">
        <f>IF(ISNUMBER(AVERAGE('20250815_ETF_Options_Exhibits'!D759:D763)),AVERAGE('20250815_ETF_Options_Exhibits'!D759:D763),"")</f>
        <v/>
      </c>
      <c r="E763" s="3">
        <f>IF(ISNUMBER(AVERAGE('20250815_ETF_Options_Exhibits'!E759:E763)),AVERAGE('20250815_ETF_Options_Exhibits'!E759:E763),"")</f>
        <v/>
      </c>
      <c r="F763" s="3">
        <f>IF(ISNUMBER(AVERAGE('20250815_ETF_Options_Exhibits'!F759:F763)),AVERAGE('20250815_ETF_Options_Exhibits'!F759:F763),"")</f>
        <v/>
      </c>
      <c r="G763" s="3">
        <f>IF(ISNUMBER(AVERAGE('20250815_ETF_Options_Exhibits'!G759:G763)),AVERAGE('20250815_ETF_Options_Exhibits'!G759:G763),"")</f>
        <v/>
      </c>
      <c r="H763" s="3">
        <f>IF(ISNUMBER(AVERAGE('20250815_ETF_Options_Exhibits'!H759:H763)),AVERAGE('20250815_ETF_Options_Exhibits'!H759:H763),"")</f>
        <v/>
      </c>
      <c r="I763" s="3">
        <f>IF(ISNUMBER(AVERAGE('20250815_ETF_Options_Exhibits'!I759:I763)),AVERAGE('20250815_ETF_Options_Exhibits'!I759:I763),"")</f>
        <v/>
      </c>
      <c r="J763" s="3">
        <f>IF(ISNUMBER(AVERAGE('20250815_ETF_Options_Exhibits'!J759:J763)),AVERAGE('20250815_ETF_Options_Exhibits'!J759:J763),"")</f>
        <v/>
      </c>
      <c r="K763" s="3">
        <f>IF(ISNUMBER(AVERAGE('20250815_ETF_Options_Exhibits'!K759:K763)),AVERAGE('20250815_ETF_Options_Exhibits'!K759:K763),"")</f>
        <v/>
      </c>
      <c r="L763" s="3">
        <f>IF(ISNUMBER(AVERAGE('20250815_ETF_Options_Exhibits'!L759:L763)),AVERAGE('20250815_ETF_Options_Exhibits'!L759:L763),"")</f>
        <v/>
      </c>
      <c r="M763" s="3">
        <f>IF(ISNUMBER(AVERAGE('20250815_ETF_Options_Exhibits'!M759:M763)),AVERAGE('20250815_ETF_Options_Exhibits'!M759:M763),"")</f>
        <v/>
      </c>
      <c r="N763" s="3">
        <f>IF(ISNUMBER(AVERAGE('20250815_ETF_Options_Exhibits'!N759:N763)),AVERAGE('20250815_ETF_Options_Exhibits'!N759:N763),"")</f>
        <v/>
      </c>
      <c r="O763" s="3">
        <f>IF(ISNUMBER(AVERAGE('20250815_ETF_Options_Exhibits'!O759:O763)),AVERAGE('20250815_ETF_Options_Exhibits'!O759:O763),"")</f>
        <v/>
      </c>
      <c r="P763" s="3">
        <f>IF(ISNUMBER(AVERAGE('20250815_ETF_Options_Exhibits'!P759:P763)),AVERAGE('20250815_ETF_Options_Exhibits'!P759:P763),"")</f>
        <v/>
      </c>
      <c r="Q763" s="3">
        <f>IF(ISNUMBER(AVERAGE('20250815_ETF_Options_Exhibits'!Q759:Q763)),AVERAGE('20250815_ETF_Options_Exhibits'!Q759:Q763),"")</f>
        <v/>
      </c>
      <c r="R763" s="3">
        <f>IF(ISNUMBER(AVERAGE('20250815_ETF_Options_Exhibits'!R759:R763)),AVERAGE('20250815_ETF_Options_Exhibits'!R759:R763),"")</f>
        <v/>
      </c>
      <c r="S763" s="3">
        <f>IF(ISNUMBER(AVERAGE('20250815_ETF_Options_Exhibits'!S759:S763)),AVERAGE('20250815_ETF_Options_Exhibits'!S759:S763),"")</f>
        <v/>
      </c>
      <c r="T763" s="3">
        <f>IF(ISNUMBER(AVERAGE('20250815_ETF_Options_Exhibits'!T759:T763)),AVERAGE('20250815_ETF_Options_Exhibits'!T759:T763),"")</f>
        <v/>
      </c>
      <c r="U763" s="3">
        <f>IF(ISNUMBER(AVERAGE('20250815_ETF_Options_Exhibits'!U759:U763)),AVERAGE('20250815_ETF_Options_Exhibits'!U759:U763),"")</f>
        <v/>
      </c>
      <c r="V763" s="3">
        <f>IF(ISNUMBER(AVERAGE('20250815_ETF_Options_Exhibits'!V759:V763)),AVERAGE('20250815_ETF_Options_Exhibits'!V759:V763),"")</f>
        <v/>
      </c>
      <c r="W763" s="3">
        <f>IF(ISNUMBER(AVERAGE('20250815_ETF_Options_Exhibits'!W759:W763)),AVERAGE('20250815_ETF_Options_Exhibits'!W759:W763),"")</f>
        <v/>
      </c>
      <c r="X763" s="3">
        <f>IF(ISNUMBER(AVERAGE('20250815_ETF_Options_Exhibits'!X759:X763)),AVERAGE('20250815_ETF_Options_Exhibits'!X759:X763),"")</f>
        <v/>
      </c>
      <c r="Y763" s="3">
        <f>IF(ISNUMBER(AVERAGE('20250815_ETF_Options_Exhibits'!Y759:Y763)),AVERAGE('20250815_ETF_Options_Exhibits'!Y759:Y763),"")</f>
        <v/>
      </c>
      <c r="Z763" s="3">
        <f>IF(ISNUMBER(AVERAGE('20250815_ETF_Options_Exhibits'!Z759:Z763)),AVERAGE('20250815_ETF_Options_Exhibits'!Z759:Z763),"")</f>
        <v/>
      </c>
      <c r="AA763" s="3">
        <f>IF(ISNUMBER(AVERAGE('20250815_ETF_Options_Exhibits'!AA759:AA763)),AVERAGE('20250815_ETF_Options_Exhibits'!AA759:AA763),"")</f>
        <v/>
      </c>
    </row>
    <row r="764">
      <c r="A764" s="1" t="n">
        <v>43111</v>
      </c>
      <c r="B764" s="3">
        <f>IF(ISNUMBER(AVERAGE('20250815_ETF_Options_Exhibits'!B760:B764)),AVERAGE('20250815_ETF_Options_Exhibits'!B760:B764),"")</f>
        <v/>
      </c>
      <c r="C764" s="3">
        <f>IF(ISNUMBER(AVERAGE('20250815_ETF_Options_Exhibits'!C760:C764)),AVERAGE('20250815_ETF_Options_Exhibits'!C760:C764),"")</f>
        <v/>
      </c>
      <c r="D764" s="3">
        <f>IF(ISNUMBER(AVERAGE('20250815_ETF_Options_Exhibits'!D760:D764)),AVERAGE('20250815_ETF_Options_Exhibits'!D760:D764),"")</f>
        <v/>
      </c>
      <c r="E764" s="3">
        <f>IF(ISNUMBER(AVERAGE('20250815_ETF_Options_Exhibits'!E760:E764)),AVERAGE('20250815_ETF_Options_Exhibits'!E760:E764),"")</f>
        <v/>
      </c>
      <c r="F764" s="3">
        <f>IF(ISNUMBER(AVERAGE('20250815_ETF_Options_Exhibits'!F760:F764)),AVERAGE('20250815_ETF_Options_Exhibits'!F760:F764),"")</f>
        <v/>
      </c>
      <c r="G764" s="3">
        <f>IF(ISNUMBER(AVERAGE('20250815_ETF_Options_Exhibits'!G760:G764)),AVERAGE('20250815_ETF_Options_Exhibits'!G760:G764),"")</f>
        <v/>
      </c>
      <c r="H764" s="3">
        <f>IF(ISNUMBER(AVERAGE('20250815_ETF_Options_Exhibits'!H760:H764)),AVERAGE('20250815_ETF_Options_Exhibits'!H760:H764),"")</f>
        <v/>
      </c>
      <c r="I764" s="3">
        <f>IF(ISNUMBER(AVERAGE('20250815_ETF_Options_Exhibits'!I760:I764)),AVERAGE('20250815_ETF_Options_Exhibits'!I760:I764),"")</f>
        <v/>
      </c>
      <c r="J764" s="3">
        <f>IF(ISNUMBER(AVERAGE('20250815_ETF_Options_Exhibits'!J760:J764)),AVERAGE('20250815_ETF_Options_Exhibits'!J760:J764),"")</f>
        <v/>
      </c>
      <c r="K764" s="3">
        <f>IF(ISNUMBER(AVERAGE('20250815_ETF_Options_Exhibits'!K760:K764)),AVERAGE('20250815_ETF_Options_Exhibits'!K760:K764),"")</f>
        <v/>
      </c>
      <c r="L764" s="3">
        <f>IF(ISNUMBER(AVERAGE('20250815_ETF_Options_Exhibits'!L760:L764)),AVERAGE('20250815_ETF_Options_Exhibits'!L760:L764),"")</f>
        <v/>
      </c>
      <c r="M764" s="3">
        <f>IF(ISNUMBER(AVERAGE('20250815_ETF_Options_Exhibits'!M760:M764)),AVERAGE('20250815_ETF_Options_Exhibits'!M760:M764),"")</f>
        <v/>
      </c>
      <c r="N764" s="3">
        <f>IF(ISNUMBER(AVERAGE('20250815_ETF_Options_Exhibits'!N760:N764)),AVERAGE('20250815_ETF_Options_Exhibits'!N760:N764),"")</f>
        <v/>
      </c>
      <c r="O764" s="3">
        <f>IF(ISNUMBER(AVERAGE('20250815_ETF_Options_Exhibits'!O760:O764)),AVERAGE('20250815_ETF_Options_Exhibits'!O760:O764),"")</f>
        <v/>
      </c>
      <c r="P764" s="3">
        <f>IF(ISNUMBER(AVERAGE('20250815_ETF_Options_Exhibits'!P760:P764)),AVERAGE('20250815_ETF_Options_Exhibits'!P760:P764),"")</f>
        <v/>
      </c>
      <c r="Q764" s="3">
        <f>IF(ISNUMBER(AVERAGE('20250815_ETF_Options_Exhibits'!Q760:Q764)),AVERAGE('20250815_ETF_Options_Exhibits'!Q760:Q764),"")</f>
        <v/>
      </c>
      <c r="R764" s="3">
        <f>IF(ISNUMBER(AVERAGE('20250815_ETF_Options_Exhibits'!R760:R764)),AVERAGE('20250815_ETF_Options_Exhibits'!R760:R764),"")</f>
        <v/>
      </c>
      <c r="S764" s="3">
        <f>IF(ISNUMBER(AVERAGE('20250815_ETF_Options_Exhibits'!S760:S764)),AVERAGE('20250815_ETF_Options_Exhibits'!S760:S764),"")</f>
        <v/>
      </c>
      <c r="T764" s="3">
        <f>IF(ISNUMBER(AVERAGE('20250815_ETF_Options_Exhibits'!T760:T764)),AVERAGE('20250815_ETF_Options_Exhibits'!T760:T764),"")</f>
        <v/>
      </c>
      <c r="U764" s="3">
        <f>IF(ISNUMBER(AVERAGE('20250815_ETF_Options_Exhibits'!U760:U764)),AVERAGE('20250815_ETF_Options_Exhibits'!U760:U764),"")</f>
        <v/>
      </c>
      <c r="V764" s="3">
        <f>IF(ISNUMBER(AVERAGE('20250815_ETF_Options_Exhibits'!V760:V764)),AVERAGE('20250815_ETF_Options_Exhibits'!V760:V764),"")</f>
        <v/>
      </c>
      <c r="W764" s="3">
        <f>IF(ISNUMBER(AVERAGE('20250815_ETF_Options_Exhibits'!W760:W764)),AVERAGE('20250815_ETF_Options_Exhibits'!W760:W764),"")</f>
        <v/>
      </c>
      <c r="X764" s="3">
        <f>IF(ISNUMBER(AVERAGE('20250815_ETF_Options_Exhibits'!X760:X764)),AVERAGE('20250815_ETF_Options_Exhibits'!X760:X764),"")</f>
        <v/>
      </c>
      <c r="Y764" s="3">
        <f>IF(ISNUMBER(AVERAGE('20250815_ETF_Options_Exhibits'!Y760:Y764)),AVERAGE('20250815_ETF_Options_Exhibits'!Y760:Y764),"")</f>
        <v/>
      </c>
      <c r="Z764" s="3">
        <f>IF(ISNUMBER(AVERAGE('20250815_ETF_Options_Exhibits'!Z760:Z764)),AVERAGE('20250815_ETF_Options_Exhibits'!Z760:Z764),"")</f>
        <v/>
      </c>
      <c r="AA764" s="3">
        <f>IF(ISNUMBER(AVERAGE('20250815_ETF_Options_Exhibits'!AA760:AA764)),AVERAGE('20250815_ETF_Options_Exhibits'!AA760:AA764),"")</f>
        <v/>
      </c>
    </row>
    <row r="765">
      <c r="A765" s="1" t="n">
        <v>43112</v>
      </c>
      <c r="B765" s="3">
        <f>IF(ISNUMBER(AVERAGE('20250815_ETF_Options_Exhibits'!B761:B765)),AVERAGE('20250815_ETF_Options_Exhibits'!B761:B765),"")</f>
        <v/>
      </c>
      <c r="C765" s="3">
        <f>IF(ISNUMBER(AVERAGE('20250815_ETF_Options_Exhibits'!C761:C765)),AVERAGE('20250815_ETF_Options_Exhibits'!C761:C765),"")</f>
        <v/>
      </c>
      <c r="D765" s="3">
        <f>IF(ISNUMBER(AVERAGE('20250815_ETF_Options_Exhibits'!D761:D765)),AVERAGE('20250815_ETF_Options_Exhibits'!D761:D765),"")</f>
        <v/>
      </c>
      <c r="E765" s="3">
        <f>IF(ISNUMBER(AVERAGE('20250815_ETF_Options_Exhibits'!E761:E765)),AVERAGE('20250815_ETF_Options_Exhibits'!E761:E765),"")</f>
        <v/>
      </c>
      <c r="F765" s="3">
        <f>IF(ISNUMBER(AVERAGE('20250815_ETF_Options_Exhibits'!F761:F765)),AVERAGE('20250815_ETF_Options_Exhibits'!F761:F765),"")</f>
        <v/>
      </c>
      <c r="G765" s="3">
        <f>IF(ISNUMBER(AVERAGE('20250815_ETF_Options_Exhibits'!G761:G765)),AVERAGE('20250815_ETF_Options_Exhibits'!G761:G765),"")</f>
        <v/>
      </c>
      <c r="H765" s="3">
        <f>IF(ISNUMBER(AVERAGE('20250815_ETF_Options_Exhibits'!H761:H765)),AVERAGE('20250815_ETF_Options_Exhibits'!H761:H765),"")</f>
        <v/>
      </c>
      <c r="I765" s="3">
        <f>IF(ISNUMBER(AVERAGE('20250815_ETF_Options_Exhibits'!I761:I765)),AVERAGE('20250815_ETF_Options_Exhibits'!I761:I765),"")</f>
        <v/>
      </c>
      <c r="J765" s="3">
        <f>IF(ISNUMBER(AVERAGE('20250815_ETF_Options_Exhibits'!J761:J765)),AVERAGE('20250815_ETF_Options_Exhibits'!J761:J765),"")</f>
        <v/>
      </c>
      <c r="K765" s="3">
        <f>IF(ISNUMBER(AVERAGE('20250815_ETF_Options_Exhibits'!K761:K765)),AVERAGE('20250815_ETF_Options_Exhibits'!K761:K765),"")</f>
        <v/>
      </c>
      <c r="L765" s="3">
        <f>IF(ISNUMBER(AVERAGE('20250815_ETF_Options_Exhibits'!L761:L765)),AVERAGE('20250815_ETF_Options_Exhibits'!L761:L765),"")</f>
        <v/>
      </c>
      <c r="M765" s="3">
        <f>IF(ISNUMBER(AVERAGE('20250815_ETF_Options_Exhibits'!M761:M765)),AVERAGE('20250815_ETF_Options_Exhibits'!M761:M765),"")</f>
        <v/>
      </c>
      <c r="N765" s="3">
        <f>IF(ISNUMBER(AVERAGE('20250815_ETF_Options_Exhibits'!N761:N765)),AVERAGE('20250815_ETF_Options_Exhibits'!N761:N765),"")</f>
        <v/>
      </c>
      <c r="O765" s="3">
        <f>IF(ISNUMBER(AVERAGE('20250815_ETF_Options_Exhibits'!O761:O765)),AVERAGE('20250815_ETF_Options_Exhibits'!O761:O765),"")</f>
        <v/>
      </c>
      <c r="P765" s="3">
        <f>IF(ISNUMBER(AVERAGE('20250815_ETF_Options_Exhibits'!P761:P765)),AVERAGE('20250815_ETF_Options_Exhibits'!P761:P765),"")</f>
        <v/>
      </c>
      <c r="Q765" s="3">
        <f>IF(ISNUMBER(AVERAGE('20250815_ETF_Options_Exhibits'!Q761:Q765)),AVERAGE('20250815_ETF_Options_Exhibits'!Q761:Q765),"")</f>
        <v/>
      </c>
      <c r="R765" s="3">
        <f>IF(ISNUMBER(AVERAGE('20250815_ETF_Options_Exhibits'!R761:R765)),AVERAGE('20250815_ETF_Options_Exhibits'!R761:R765),"")</f>
        <v/>
      </c>
      <c r="S765" s="3">
        <f>IF(ISNUMBER(AVERAGE('20250815_ETF_Options_Exhibits'!S761:S765)),AVERAGE('20250815_ETF_Options_Exhibits'!S761:S765),"")</f>
        <v/>
      </c>
      <c r="T765" s="3">
        <f>IF(ISNUMBER(AVERAGE('20250815_ETF_Options_Exhibits'!T761:T765)),AVERAGE('20250815_ETF_Options_Exhibits'!T761:T765),"")</f>
        <v/>
      </c>
      <c r="U765" s="3">
        <f>IF(ISNUMBER(AVERAGE('20250815_ETF_Options_Exhibits'!U761:U765)),AVERAGE('20250815_ETF_Options_Exhibits'!U761:U765),"")</f>
        <v/>
      </c>
      <c r="V765" s="3">
        <f>IF(ISNUMBER(AVERAGE('20250815_ETF_Options_Exhibits'!V761:V765)),AVERAGE('20250815_ETF_Options_Exhibits'!V761:V765),"")</f>
        <v/>
      </c>
      <c r="W765" s="3">
        <f>IF(ISNUMBER(AVERAGE('20250815_ETF_Options_Exhibits'!W761:W765)),AVERAGE('20250815_ETF_Options_Exhibits'!W761:W765),"")</f>
        <v/>
      </c>
      <c r="X765" s="3">
        <f>IF(ISNUMBER(AVERAGE('20250815_ETF_Options_Exhibits'!X761:X765)),AVERAGE('20250815_ETF_Options_Exhibits'!X761:X765),"")</f>
        <v/>
      </c>
      <c r="Y765" s="3">
        <f>IF(ISNUMBER(AVERAGE('20250815_ETF_Options_Exhibits'!Y761:Y765)),AVERAGE('20250815_ETF_Options_Exhibits'!Y761:Y765),"")</f>
        <v/>
      </c>
      <c r="Z765" s="3">
        <f>IF(ISNUMBER(AVERAGE('20250815_ETF_Options_Exhibits'!Z761:Z765)),AVERAGE('20250815_ETF_Options_Exhibits'!Z761:Z765),"")</f>
        <v/>
      </c>
      <c r="AA765" s="3">
        <f>IF(ISNUMBER(AVERAGE('20250815_ETF_Options_Exhibits'!AA761:AA765)),AVERAGE('20250815_ETF_Options_Exhibits'!AA761:AA765),"")</f>
        <v/>
      </c>
    </row>
    <row r="766">
      <c r="A766" s="1" t="n">
        <v>43116</v>
      </c>
      <c r="B766" s="3">
        <f>IF(ISNUMBER(AVERAGE('20250815_ETF_Options_Exhibits'!B762:B766)),AVERAGE('20250815_ETF_Options_Exhibits'!B762:B766),"")</f>
        <v/>
      </c>
      <c r="C766" s="3">
        <f>IF(ISNUMBER(AVERAGE('20250815_ETF_Options_Exhibits'!C762:C766)),AVERAGE('20250815_ETF_Options_Exhibits'!C762:C766),"")</f>
        <v/>
      </c>
      <c r="D766" s="3">
        <f>IF(ISNUMBER(AVERAGE('20250815_ETF_Options_Exhibits'!D762:D766)),AVERAGE('20250815_ETF_Options_Exhibits'!D762:D766),"")</f>
        <v/>
      </c>
      <c r="E766" s="3">
        <f>IF(ISNUMBER(AVERAGE('20250815_ETF_Options_Exhibits'!E762:E766)),AVERAGE('20250815_ETF_Options_Exhibits'!E762:E766),"")</f>
        <v/>
      </c>
      <c r="F766" s="3">
        <f>IF(ISNUMBER(AVERAGE('20250815_ETF_Options_Exhibits'!F762:F766)),AVERAGE('20250815_ETF_Options_Exhibits'!F762:F766),"")</f>
        <v/>
      </c>
      <c r="G766" s="3">
        <f>IF(ISNUMBER(AVERAGE('20250815_ETF_Options_Exhibits'!G762:G766)),AVERAGE('20250815_ETF_Options_Exhibits'!G762:G766),"")</f>
        <v/>
      </c>
      <c r="H766" s="3">
        <f>IF(ISNUMBER(AVERAGE('20250815_ETF_Options_Exhibits'!H762:H766)),AVERAGE('20250815_ETF_Options_Exhibits'!H762:H766),"")</f>
        <v/>
      </c>
      <c r="I766" s="3">
        <f>IF(ISNUMBER(AVERAGE('20250815_ETF_Options_Exhibits'!I762:I766)),AVERAGE('20250815_ETF_Options_Exhibits'!I762:I766),"")</f>
        <v/>
      </c>
      <c r="J766" s="3">
        <f>IF(ISNUMBER(AVERAGE('20250815_ETF_Options_Exhibits'!J762:J766)),AVERAGE('20250815_ETF_Options_Exhibits'!J762:J766),"")</f>
        <v/>
      </c>
      <c r="K766" s="3">
        <f>IF(ISNUMBER(AVERAGE('20250815_ETF_Options_Exhibits'!K762:K766)),AVERAGE('20250815_ETF_Options_Exhibits'!K762:K766),"")</f>
        <v/>
      </c>
      <c r="L766" s="3">
        <f>IF(ISNUMBER(AVERAGE('20250815_ETF_Options_Exhibits'!L762:L766)),AVERAGE('20250815_ETF_Options_Exhibits'!L762:L766),"")</f>
        <v/>
      </c>
      <c r="M766" s="3">
        <f>IF(ISNUMBER(AVERAGE('20250815_ETF_Options_Exhibits'!M762:M766)),AVERAGE('20250815_ETF_Options_Exhibits'!M762:M766),"")</f>
        <v/>
      </c>
      <c r="N766" s="3">
        <f>IF(ISNUMBER(AVERAGE('20250815_ETF_Options_Exhibits'!N762:N766)),AVERAGE('20250815_ETF_Options_Exhibits'!N762:N766),"")</f>
        <v/>
      </c>
      <c r="O766" s="3">
        <f>IF(ISNUMBER(AVERAGE('20250815_ETF_Options_Exhibits'!O762:O766)),AVERAGE('20250815_ETF_Options_Exhibits'!O762:O766),"")</f>
        <v/>
      </c>
      <c r="P766" s="3">
        <f>IF(ISNUMBER(AVERAGE('20250815_ETF_Options_Exhibits'!P762:P766)),AVERAGE('20250815_ETF_Options_Exhibits'!P762:P766),"")</f>
        <v/>
      </c>
      <c r="Q766" s="3">
        <f>IF(ISNUMBER(AVERAGE('20250815_ETF_Options_Exhibits'!Q762:Q766)),AVERAGE('20250815_ETF_Options_Exhibits'!Q762:Q766),"")</f>
        <v/>
      </c>
      <c r="R766" s="3">
        <f>IF(ISNUMBER(AVERAGE('20250815_ETF_Options_Exhibits'!R762:R766)),AVERAGE('20250815_ETF_Options_Exhibits'!R762:R766),"")</f>
        <v/>
      </c>
      <c r="S766" s="3">
        <f>IF(ISNUMBER(AVERAGE('20250815_ETF_Options_Exhibits'!S762:S766)),AVERAGE('20250815_ETF_Options_Exhibits'!S762:S766),"")</f>
        <v/>
      </c>
      <c r="T766" s="3">
        <f>IF(ISNUMBER(AVERAGE('20250815_ETF_Options_Exhibits'!T762:T766)),AVERAGE('20250815_ETF_Options_Exhibits'!T762:T766),"")</f>
        <v/>
      </c>
      <c r="U766" s="3">
        <f>IF(ISNUMBER(AVERAGE('20250815_ETF_Options_Exhibits'!U762:U766)),AVERAGE('20250815_ETF_Options_Exhibits'!U762:U766),"")</f>
        <v/>
      </c>
      <c r="V766" s="3">
        <f>IF(ISNUMBER(AVERAGE('20250815_ETF_Options_Exhibits'!V762:V766)),AVERAGE('20250815_ETF_Options_Exhibits'!V762:V766),"")</f>
        <v/>
      </c>
      <c r="W766" s="3">
        <f>IF(ISNUMBER(AVERAGE('20250815_ETF_Options_Exhibits'!W762:W766)),AVERAGE('20250815_ETF_Options_Exhibits'!W762:W766),"")</f>
        <v/>
      </c>
      <c r="X766" s="3">
        <f>IF(ISNUMBER(AVERAGE('20250815_ETF_Options_Exhibits'!X762:X766)),AVERAGE('20250815_ETF_Options_Exhibits'!X762:X766),"")</f>
        <v/>
      </c>
      <c r="Y766" s="3">
        <f>IF(ISNUMBER(AVERAGE('20250815_ETF_Options_Exhibits'!Y762:Y766)),AVERAGE('20250815_ETF_Options_Exhibits'!Y762:Y766),"")</f>
        <v/>
      </c>
      <c r="Z766" s="3">
        <f>IF(ISNUMBER(AVERAGE('20250815_ETF_Options_Exhibits'!Z762:Z766)),AVERAGE('20250815_ETF_Options_Exhibits'!Z762:Z766),"")</f>
        <v/>
      </c>
      <c r="AA766" s="3">
        <f>IF(ISNUMBER(AVERAGE('20250815_ETF_Options_Exhibits'!AA762:AA766)),AVERAGE('20250815_ETF_Options_Exhibits'!AA762:AA766),"")</f>
        <v/>
      </c>
    </row>
    <row r="767">
      <c r="A767" s="1" t="n">
        <v>43117</v>
      </c>
      <c r="B767" s="3">
        <f>IF(ISNUMBER(AVERAGE('20250815_ETF_Options_Exhibits'!B763:B767)),AVERAGE('20250815_ETF_Options_Exhibits'!B763:B767),"")</f>
        <v/>
      </c>
      <c r="C767" s="3">
        <f>IF(ISNUMBER(AVERAGE('20250815_ETF_Options_Exhibits'!C763:C767)),AVERAGE('20250815_ETF_Options_Exhibits'!C763:C767),"")</f>
        <v/>
      </c>
      <c r="D767" s="3">
        <f>IF(ISNUMBER(AVERAGE('20250815_ETF_Options_Exhibits'!D763:D767)),AVERAGE('20250815_ETF_Options_Exhibits'!D763:D767),"")</f>
        <v/>
      </c>
      <c r="E767" s="3">
        <f>IF(ISNUMBER(AVERAGE('20250815_ETF_Options_Exhibits'!E763:E767)),AVERAGE('20250815_ETF_Options_Exhibits'!E763:E767),"")</f>
        <v/>
      </c>
      <c r="F767" s="3">
        <f>IF(ISNUMBER(AVERAGE('20250815_ETF_Options_Exhibits'!F763:F767)),AVERAGE('20250815_ETF_Options_Exhibits'!F763:F767),"")</f>
        <v/>
      </c>
      <c r="G767" s="3">
        <f>IF(ISNUMBER(AVERAGE('20250815_ETF_Options_Exhibits'!G763:G767)),AVERAGE('20250815_ETF_Options_Exhibits'!G763:G767),"")</f>
        <v/>
      </c>
      <c r="H767" s="3">
        <f>IF(ISNUMBER(AVERAGE('20250815_ETF_Options_Exhibits'!H763:H767)),AVERAGE('20250815_ETF_Options_Exhibits'!H763:H767),"")</f>
        <v/>
      </c>
      <c r="I767" s="3">
        <f>IF(ISNUMBER(AVERAGE('20250815_ETF_Options_Exhibits'!I763:I767)),AVERAGE('20250815_ETF_Options_Exhibits'!I763:I767),"")</f>
        <v/>
      </c>
      <c r="J767" s="3">
        <f>IF(ISNUMBER(AVERAGE('20250815_ETF_Options_Exhibits'!J763:J767)),AVERAGE('20250815_ETF_Options_Exhibits'!J763:J767),"")</f>
        <v/>
      </c>
      <c r="K767" s="3">
        <f>IF(ISNUMBER(AVERAGE('20250815_ETF_Options_Exhibits'!K763:K767)),AVERAGE('20250815_ETF_Options_Exhibits'!K763:K767),"")</f>
        <v/>
      </c>
      <c r="L767" s="3">
        <f>IF(ISNUMBER(AVERAGE('20250815_ETF_Options_Exhibits'!L763:L767)),AVERAGE('20250815_ETF_Options_Exhibits'!L763:L767),"")</f>
        <v/>
      </c>
      <c r="M767" s="3">
        <f>IF(ISNUMBER(AVERAGE('20250815_ETF_Options_Exhibits'!M763:M767)),AVERAGE('20250815_ETF_Options_Exhibits'!M763:M767),"")</f>
        <v/>
      </c>
      <c r="N767" s="3">
        <f>IF(ISNUMBER(AVERAGE('20250815_ETF_Options_Exhibits'!N763:N767)),AVERAGE('20250815_ETF_Options_Exhibits'!N763:N767),"")</f>
        <v/>
      </c>
      <c r="O767" s="3">
        <f>IF(ISNUMBER(AVERAGE('20250815_ETF_Options_Exhibits'!O763:O767)),AVERAGE('20250815_ETF_Options_Exhibits'!O763:O767),"")</f>
        <v/>
      </c>
      <c r="P767" s="3">
        <f>IF(ISNUMBER(AVERAGE('20250815_ETF_Options_Exhibits'!P763:P767)),AVERAGE('20250815_ETF_Options_Exhibits'!P763:P767),"")</f>
        <v/>
      </c>
      <c r="Q767" s="3">
        <f>IF(ISNUMBER(AVERAGE('20250815_ETF_Options_Exhibits'!Q763:Q767)),AVERAGE('20250815_ETF_Options_Exhibits'!Q763:Q767),"")</f>
        <v/>
      </c>
      <c r="R767" s="3">
        <f>IF(ISNUMBER(AVERAGE('20250815_ETF_Options_Exhibits'!R763:R767)),AVERAGE('20250815_ETF_Options_Exhibits'!R763:R767),"")</f>
        <v/>
      </c>
      <c r="S767" s="3">
        <f>IF(ISNUMBER(AVERAGE('20250815_ETF_Options_Exhibits'!S763:S767)),AVERAGE('20250815_ETF_Options_Exhibits'!S763:S767),"")</f>
        <v/>
      </c>
      <c r="T767" s="3">
        <f>IF(ISNUMBER(AVERAGE('20250815_ETF_Options_Exhibits'!T763:T767)),AVERAGE('20250815_ETF_Options_Exhibits'!T763:T767),"")</f>
        <v/>
      </c>
      <c r="U767" s="3">
        <f>IF(ISNUMBER(AVERAGE('20250815_ETF_Options_Exhibits'!U763:U767)),AVERAGE('20250815_ETF_Options_Exhibits'!U763:U767),"")</f>
        <v/>
      </c>
      <c r="V767" s="3">
        <f>IF(ISNUMBER(AVERAGE('20250815_ETF_Options_Exhibits'!V763:V767)),AVERAGE('20250815_ETF_Options_Exhibits'!V763:V767),"")</f>
        <v/>
      </c>
      <c r="W767" s="3">
        <f>IF(ISNUMBER(AVERAGE('20250815_ETF_Options_Exhibits'!W763:W767)),AVERAGE('20250815_ETF_Options_Exhibits'!W763:W767),"")</f>
        <v/>
      </c>
      <c r="X767" s="3">
        <f>IF(ISNUMBER(AVERAGE('20250815_ETF_Options_Exhibits'!X763:X767)),AVERAGE('20250815_ETF_Options_Exhibits'!X763:X767),"")</f>
        <v/>
      </c>
      <c r="Y767" s="3">
        <f>IF(ISNUMBER(AVERAGE('20250815_ETF_Options_Exhibits'!Y763:Y767)),AVERAGE('20250815_ETF_Options_Exhibits'!Y763:Y767),"")</f>
        <v/>
      </c>
      <c r="Z767" s="3">
        <f>IF(ISNUMBER(AVERAGE('20250815_ETF_Options_Exhibits'!Z763:Z767)),AVERAGE('20250815_ETF_Options_Exhibits'!Z763:Z767),"")</f>
        <v/>
      </c>
      <c r="AA767" s="3">
        <f>IF(ISNUMBER(AVERAGE('20250815_ETF_Options_Exhibits'!AA763:AA767)),AVERAGE('20250815_ETF_Options_Exhibits'!AA763:AA767),"")</f>
        <v/>
      </c>
    </row>
    <row r="768">
      <c r="A768" s="1" t="n">
        <v>43118</v>
      </c>
      <c r="B768" s="3">
        <f>IF(ISNUMBER(AVERAGE('20250815_ETF_Options_Exhibits'!B764:B768)),AVERAGE('20250815_ETF_Options_Exhibits'!B764:B768),"")</f>
        <v/>
      </c>
      <c r="C768" s="3">
        <f>IF(ISNUMBER(AVERAGE('20250815_ETF_Options_Exhibits'!C764:C768)),AVERAGE('20250815_ETF_Options_Exhibits'!C764:C768),"")</f>
        <v/>
      </c>
      <c r="D768" s="3">
        <f>IF(ISNUMBER(AVERAGE('20250815_ETF_Options_Exhibits'!D764:D768)),AVERAGE('20250815_ETF_Options_Exhibits'!D764:D768),"")</f>
        <v/>
      </c>
      <c r="E768" s="3">
        <f>IF(ISNUMBER(AVERAGE('20250815_ETF_Options_Exhibits'!E764:E768)),AVERAGE('20250815_ETF_Options_Exhibits'!E764:E768),"")</f>
        <v/>
      </c>
      <c r="F768" s="3">
        <f>IF(ISNUMBER(AVERAGE('20250815_ETF_Options_Exhibits'!F764:F768)),AVERAGE('20250815_ETF_Options_Exhibits'!F764:F768),"")</f>
        <v/>
      </c>
      <c r="G768" s="3">
        <f>IF(ISNUMBER(AVERAGE('20250815_ETF_Options_Exhibits'!G764:G768)),AVERAGE('20250815_ETF_Options_Exhibits'!G764:G768),"")</f>
        <v/>
      </c>
      <c r="H768" s="3">
        <f>IF(ISNUMBER(AVERAGE('20250815_ETF_Options_Exhibits'!H764:H768)),AVERAGE('20250815_ETF_Options_Exhibits'!H764:H768),"")</f>
        <v/>
      </c>
      <c r="I768" s="3">
        <f>IF(ISNUMBER(AVERAGE('20250815_ETF_Options_Exhibits'!I764:I768)),AVERAGE('20250815_ETF_Options_Exhibits'!I764:I768),"")</f>
        <v/>
      </c>
      <c r="J768" s="3">
        <f>IF(ISNUMBER(AVERAGE('20250815_ETF_Options_Exhibits'!J764:J768)),AVERAGE('20250815_ETF_Options_Exhibits'!J764:J768),"")</f>
        <v/>
      </c>
      <c r="K768" s="3">
        <f>IF(ISNUMBER(AVERAGE('20250815_ETF_Options_Exhibits'!K764:K768)),AVERAGE('20250815_ETF_Options_Exhibits'!K764:K768),"")</f>
        <v/>
      </c>
      <c r="L768" s="3">
        <f>IF(ISNUMBER(AVERAGE('20250815_ETF_Options_Exhibits'!L764:L768)),AVERAGE('20250815_ETF_Options_Exhibits'!L764:L768),"")</f>
        <v/>
      </c>
      <c r="M768" s="3">
        <f>IF(ISNUMBER(AVERAGE('20250815_ETF_Options_Exhibits'!M764:M768)),AVERAGE('20250815_ETF_Options_Exhibits'!M764:M768),"")</f>
        <v/>
      </c>
      <c r="N768" s="3">
        <f>IF(ISNUMBER(AVERAGE('20250815_ETF_Options_Exhibits'!N764:N768)),AVERAGE('20250815_ETF_Options_Exhibits'!N764:N768),"")</f>
        <v/>
      </c>
      <c r="O768" s="3">
        <f>IF(ISNUMBER(AVERAGE('20250815_ETF_Options_Exhibits'!O764:O768)),AVERAGE('20250815_ETF_Options_Exhibits'!O764:O768),"")</f>
        <v/>
      </c>
      <c r="P768" s="3">
        <f>IF(ISNUMBER(AVERAGE('20250815_ETF_Options_Exhibits'!P764:P768)),AVERAGE('20250815_ETF_Options_Exhibits'!P764:P768),"")</f>
        <v/>
      </c>
      <c r="Q768" s="3">
        <f>IF(ISNUMBER(AVERAGE('20250815_ETF_Options_Exhibits'!Q764:Q768)),AVERAGE('20250815_ETF_Options_Exhibits'!Q764:Q768),"")</f>
        <v/>
      </c>
      <c r="R768" s="3">
        <f>IF(ISNUMBER(AVERAGE('20250815_ETF_Options_Exhibits'!R764:R768)),AVERAGE('20250815_ETF_Options_Exhibits'!R764:R768),"")</f>
        <v/>
      </c>
      <c r="S768" s="3">
        <f>IF(ISNUMBER(AVERAGE('20250815_ETF_Options_Exhibits'!S764:S768)),AVERAGE('20250815_ETF_Options_Exhibits'!S764:S768),"")</f>
        <v/>
      </c>
      <c r="T768" s="3">
        <f>IF(ISNUMBER(AVERAGE('20250815_ETF_Options_Exhibits'!T764:T768)),AVERAGE('20250815_ETF_Options_Exhibits'!T764:T768),"")</f>
        <v/>
      </c>
      <c r="U768" s="3">
        <f>IF(ISNUMBER(AVERAGE('20250815_ETF_Options_Exhibits'!U764:U768)),AVERAGE('20250815_ETF_Options_Exhibits'!U764:U768),"")</f>
        <v/>
      </c>
      <c r="V768" s="3">
        <f>IF(ISNUMBER(AVERAGE('20250815_ETF_Options_Exhibits'!V764:V768)),AVERAGE('20250815_ETF_Options_Exhibits'!V764:V768),"")</f>
        <v/>
      </c>
      <c r="W768" s="3">
        <f>IF(ISNUMBER(AVERAGE('20250815_ETF_Options_Exhibits'!W764:W768)),AVERAGE('20250815_ETF_Options_Exhibits'!W764:W768),"")</f>
        <v/>
      </c>
      <c r="X768" s="3">
        <f>IF(ISNUMBER(AVERAGE('20250815_ETF_Options_Exhibits'!X764:X768)),AVERAGE('20250815_ETF_Options_Exhibits'!X764:X768),"")</f>
        <v/>
      </c>
      <c r="Y768" s="3">
        <f>IF(ISNUMBER(AVERAGE('20250815_ETF_Options_Exhibits'!Y764:Y768)),AVERAGE('20250815_ETF_Options_Exhibits'!Y764:Y768),"")</f>
        <v/>
      </c>
      <c r="Z768" s="3">
        <f>IF(ISNUMBER(AVERAGE('20250815_ETF_Options_Exhibits'!Z764:Z768)),AVERAGE('20250815_ETF_Options_Exhibits'!Z764:Z768),"")</f>
        <v/>
      </c>
      <c r="AA768" s="3">
        <f>IF(ISNUMBER(AVERAGE('20250815_ETF_Options_Exhibits'!AA764:AA768)),AVERAGE('20250815_ETF_Options_Exhibits'!AA764:AA768),"")</f>
        <v/>
      </c>
    </row>
    <row r="769">
      <c r="A769" s="1" t="n">
        <v>43119</v>
      </c>
      <c r="B769" s="3">
        <f>IF(ISNUMBER(AVERAGE('20250815_ETF_Options_Exhibits'!B765:B769)),AVERAGE('20250815_ETF_Options_Exhibits'!B765:B769),"")</f>
        <v/>
      </c>
      <c r="C769" s="3">
        <f>IF(ISNUMBER(AVERAGE('20250815_ETF_Options_Exhibits'!C765:C769)),AVERAGE('20250815_ETF_Options_Exhibits'!C765:C769),"")</f>
        <v/>
      </c>
      <c r="D769" s="3">
        <f>IF(ISNUMBER(AVERAGE('20250815_ETF_Options_Exhibits'!D765:D769)),AVERAGE('20250815_ETF_Options_Exhibits'!D765:D769),"")</f>
        <v/>
      </c>
      <c r="E769" s="3">
        <f>IF(ISNUMBER(AVERAGE('20250815_ETF_Options_Exhibits'!E765:E769)),AVERAGE('20250815_ETF_Options_Exhibits'!E765:E769),"")</f>
        <v/>
      </c>
      <c r="F769" s="3">
        <f>IF(ISNUMBER(AVERAGE('20250815_ETF_Options_Exhibits'!F765:F769)),AVERAGE('20250815_ETF_Options_Exhibits'!F765:F769),"")</f>
        <v/>
      </c>
      <c r="G769" s="3">
        <f>IF(ISNUMBER(AVERAGE('20250815_ETF_Options_Exhibits'!G765:G769)),AVERAGE('20250815_ETF_Options_Exhibits'!G765:G769),"")</f>
        <v/>
      </c>
      <c r="H769" s="3">
        <f>IF(ISNUMBER(AVERAGE('20250815_ETF_Options_Exhibits'!H765:H769)),AVERAGE('20250815_ETF_Options_Exhibits'!H765:H769),"")</f>
        <v/>
      </c>
      <c r="I769" s="3">
        <f>IF(ISNUMBER(AVERAGE('20250815_ETF_Options_Exhibits'!I765:I769)),AVERAGE('20250815_ETF_Options_Exhibits'!I765:I769),"")</f>
        <v/>
      </c>
      <c r="J769" s="3">
        <f>IF(ISNUMBER(AVERAGE('20250815_ETF_Options_Exhibits'!J765:J769)),AVERAGE('20250815_ETF_Options_Exhibits'!J765:J769),"")</f>
        <v/>
      </c>
      <c r="K769" s="3">
        <f>IF(ISNUMBER(AVERAGE('20250815_ETF_Options_Exhibits'!K765:K769)),AVERAGE('20250815_ETF_Options_Exhibits'!K765:K769),"")</f>
        <v/>
      </c>
      <c r="L769" s="3">
        <f>IF(ISNUMBER(AVERAGE('20250815_ETF_Options_Exhibits'!L765:L769)),AVERAGE('20250815_ETF_Options_Exhibits'!L765:L769),"")</f>
        <v/>
      </c>
      <c r="M769" s="3">
        <f>IF(ISNUMBER(AVERAGE('20250815_ETF_Options_Exhibits'!M765:M769)),AVERAGE('20250815_ETF_Options_Exhibits'!M765:M769),"")</f>
        <v/>
      </c>
      <c r="N769" s="3">
        <f>IF(ISNUMBER(AVERAGE('20250815_ETF_Options_Exhibits'!N765:N769)),AVERAGE('20250815_ETF_Options_Exhibits'!N765:N769),"")</f>
        <v/>
      </c>
      <c r="O769" s="3">
        <f>IF(ISNUMBER(AVERAGE('20250815_ETF_Options_Exhibits'!O765:O769)),AVERAGE('20250815_ETF_Options_Exhibits'!O765:O769),"")</f>
        <v/>
      </c>
      <c r="P769" s="3">
        <f>IF(ISNUMBER(AVERAGE('20250815_ETF_Options_Exhibits'!P765:P769)),AVERAGE('20250815_ETF_Options_Exhibits'!P765:P769),"")</f>
        <v/>
      </c>
      <c r="Q769" s="3">
        <f>IF(ISNUMBER(AVERAGE('20250815_ETF_Options_Exhibits'!Q765:Q769)),AVERAGE('20250815_ETF_Options_Exhibits'!Q765:Q769),"")</f>
        <v/>
      </c>
      <c r="R769" s="3">
        <f>IF(ISNUMBER(AVERAGE('20250815_ETF_Options_Exhibits'!R765:R769)),AVERAGE('20250815_ETF_Options_Exhibits'!R765:R769),"")</f>
        <v/>
      </c>
      <c r="S769" s="3">
        <f>IF(ISNUMBER(AVERAGE('20250815_ETF_Options_Exhibits'!S765:S769)),AVERAGE('20250815_ETF_Options_Exhibits'!S765:S769),"")</f>
        <v/>
      </c>
      <c r="T769" s="3">
        <f>IF(ISNUMBER(AVERAGE('20250815_ETF_Options_Exhibits'!T765:T769)),AVERAGE('20250815_ETF_Options_Exhibits'!T765:T769),"")</f>
        <v/>
      </c>
      <c r="U769" s="3">
        <f>IF(ISNUMBER(AVERAGE('20250815_ETF_Options_Exhibits'!U765:U769)),AVERAGE('20250815_ETF_Options_Exhibits'!U765:U769),"")</f>
        <v/>
      </c>
      <c r="V769" s="3">
        <f>IF(ISNUMBER(AVERAGE('20250815_ETF_Options_Exhibits'!V765:V769)),AVERAGE('20250815_ETF_Options_Exhibits'!V765:V769),"")</f>
        <v/>
      </c>
      <c r="W769" s="3">
        <f>IF(ISNUMBER(AVERAGE('20250815_ETF_Options_Exhibits'!W765:W769)),AVERAGE('20250815_ETF_Options_Exhibits'!W765:W769),"")</f>
        <v/>
      </c>
      <c r="X769" s="3">
        <f>IF(ISNUMBER(AVERAGE('20250815_ETF_Options_Exhibits'!X765:X769)),AVERAGE('20250815_ETF_Options_Exhibits'!X765:X769),"")</f>
        <v/>
      </c>
      <c r="Y769" s="3">
        <f>IF(ISNUMBER(AVERAGE('20250815_ETF_Options_Exhibits'!Y765:Y769)),AVERAGE('20250815_ETF_Options_Exhibits'!Y765:Y769),"")</f>
        <v/>
      </c>
      <c r="Z769" s="3">
        <f>IF(ISNUMBER(AVERAGE('20250815_ETF_Options_Exhibits'!Z765:Z769)),AVERAGE('20250815_ETF_Options_Exhibits'!Z765:Z769),"")</f>
        <v/>
      </c>
      <c r="AA769" s="3">
        <f>IF(ISNUMBER(AVERAGE('20250815_ETF_Options_Exhibits'!AA765:AA769)),AVERAGE('20250815_ETF_Options_Exhibits'!AA765:AA769),"")</f>
        <v/>
      </c>
    </row>
    <row r="770">
      <c r="A770" s="1" t="n">
        <v>43122</v>
      </c>
      <c r="B770" s="3">
        <f>IF(ISNUMBER(AVERAGE('20250815_ETF_Options_Exhibits'!B766:B770)),AVERAGE('20250815_ETF_Options_Exhibits'!B766:B770),"")</f>
        <v/>
      </c>
      <c r="C770" s="3">
        <f>IF(ISNUMBER(AVERAGE('20250815_ETF_Options_Exhibits'!C766:C770)),AVERAGE('20250815_ETF_Options_Exhibits'!C766:C770),"")</f>
        <v/>
      </c>
      <c r="D770" s="3">
        <f>IF(ISNUMBER(AVERAGE('20250815_ETF_Options_Exhibits'!D766:D770)),AVERAGE('20250815_ETF_Options_Exhibits'!D766:D770),"")</f>
        <v/>
      </c>
      <c r="E770" s="3">
        <f>IF(ISNUMBER(AVERAGE('20250815_ETF_Options_Exhibits'!E766:E770)),AVERAGE('20250815_ETF_Options_Exhibits'!E766:E770),"")</f>
        <v/>
      </c>
      <c r="F770" s="3">
        <f>IF(ISNUMBER(AVERAGE('20250815_ETF_Options_Exhibits'!F766:F770)),AVERAGE('20250815_ETF_Options_Exhibits'!F766:F770),"")</f>
        <v/>
      </c>
      <c r="G770" s="3">
        <f>IF(ISNUMBER(AVERAGE('20250815_ETF_Options_Exhibits'!G766:G770)),AVERAGE('20250815_ETF_Options_Exhibits'!G766:G770),"")</f>
        <v/>
      </c>
      <c r="H770" s="3">
        <f>IF(ISNUMBER(AVERAGE('20250815_ETF_Options_Exhibits'!H766:H770)),AVERAGE('20250815_ETF_Options_Exhibits'!H766:H770),"")</f>
        <v/>
      </c>
      <c r="I770" s="3">
        <f>IF(ISNUMBER(AVERAGE('20250815_ETF_Options_Exhibits'!I766:I770)),AVERAGE('20250815_ETF_Options_Exhibits'!I766:I770),"")</f>
        <v/>
      </c>
      <c r="J770" s="3">
        <f>IF(ISNUMBER(AVERAGE('20250815_ETF_Options_Exhibits'!J766:J770)),AVERAGE('20250815_ETF_Options_Exhibits'!J766:J770),"")</f>
        <v/>
      </c>
      <c r="K770" s="3">
        <f>IF(ISNUMBER(AVERAGE('20250815_ETF_Options_Exhibits'!K766:K770)),AVERAGE('20250815_ETF_Options_Exhibits'!K766:K770),"")</f>
        <v/>
      </c>
      <c r="L770" s="3">
        <f>IF(ISNUMBER(AVERAGE('20250815_ETF_Options_Exhibits'!L766:L770)),AVERAGE('20250815_ETF_Options_Exhibits'!L766:L770),"")</f>
        <v/>
      </c>
      <c r="M770" s="3">
        <f>IF(ISNUMBER(AVERAGE('20250815_ETF_Options_Exhibits'!M766:M770)),AVERAGE('20250815_ETF_Options_Exhibits'!M766:M770),"")</f>
        <v/>
      </c>
      <c r="N770" s="3">
        <f>IF(ISNUMBER(AVERAGE('20250815_ETF_Options_Exhibits'!N766:N770)),AVERAGE('20250815_ETF_Options_Exhibits'!N766:N770),"")</f>
        <v/>
      </c>
      <c r="O770" s="3">
        <f>IF(ISNUMBER(AVERAGE('20250815_ETF_Options_Exhibits'!O766:O770)),AVERAGE('20250815_ETF_Options_Exhibits'!O766:O770),"")</f>
        <v/>
      </c>
      <c r="P770" s="3">
        <f>IF(ISNUMBER(AVERAGE('20250815_ETF_Options_Exhibits'!P766:P770)),AVERAGE('20250815_ETF_Options_Exhibits'!P766:P770),"")</f>
        <v/>
      </c>
      <c r="Q770" s="3">
        <f>IF(ISNUMBER(AVERAGE('20250815_ETF_Options_Exhibits'!Q766:Q770)),AVERAGE('20250815_ETF_Options_Exhibits'!Q766:Q770),"")</f>
        <v/>
      </c>
      <c r="R770" s="3">
        <f>IF(ISNUMBER(AVERAGE('20250815_ETF_Options_Exhibits'!R766:R770)),AVERAGE('20250815_ETF_Options_Exhibits'!R766:R770),"")</f>
        <v/>
      </c>
      <c r="S770" s="3">
        <f>IF(ISNUMBER(AVERAGE('20250815_ETF_Options_Exhibits'!S766:S770)),AVERAGE('20250815_ETF_Options_Exhibits'!S766:S770),"")</f>
        <v/>
      </c>
      <c r="T770" s="3">
        <f>IF(ISNUMBER(AVERAGE('20250815_ETF_Options_Exhibits'!T766:T770)),AVERAGE('20250815_ETF_Options_Exhibits'!T766:T770),"")</f>
        <v/>
      </c>
      <c r="U770" s="3">
        <f>IF(ISNUMBER(AVERAGE('20250815_ETF_Options_Exhibits'!U766:U770)),AVERAGE('20250815_ETF_Options_Exhibits'!U766:U770),"")</f>
        <v/>
      </c>
      <c r="V770" s="3">
        <f>IF(ISNUMBER(AVERAGE('20250815_ETF_Options_Exhibits'!V766:V770)),AVERAGE('20250815_ETF_Options_Exhibits'!V766:V770),"")</f>
        <v/>
      </c>
      <c r="W770" s="3">
        <f>IF(ISNUMBER(AVERAGE('20250815_ETF_Options_Exhibits'!W766:W770)),AVERAGE('20250815_ETF_Options_Exhibits'!W766:W770),"")</f>
        <v/>
      </c>
      <c r="X770" s="3">
        <f>IF(ISNUMBER(AVERAGE('20250815_ETF_Options_Exhibits'!X766:X770)),AVERAGE('20250815_ETF_Options_Exhibits'!X766:X770),"")</f>
        <v/>
      </c>
      <c r="Y770" s="3">
        <f>IF(ISNUMBER(AVERAGE('20250815_ETF_Options_Exhibits'!Y766:Y770)),AVERAGE('20250815_ETF_Options_Exhibits'!Y766:Y770),"")</f>
        <v/>
      </c>
      <c r="Z770" s="3">
        <f>IF(ISNUMBER(AVERAGE('20250815_ETF_Options_Exhibits'!Z766:Z770)),AVERAGE('20250815_ETF_Options_Exhibits'!Z766:Z770),"")</f>
        <v/>
      </c>
      <c r="AA770" s="3">
        <f>IF(ISNUMBER(AVERAGE('20250815_ETF_Options_Exhibits'!AA766:AA770)),AVERAGE('20250815_ETF_Options_Exhibits'!AA766:AA770),"")</f>
        <v/>
      </c>
    </row>
    <row r="771">
      <c r="A771" s="1" t="n">
        <v>43123</v>
      </c>
      <c r="B771" s="3">
        <f>IF(ISNUMBER(AVERAGE('20250815_ETF_Options_Exhibits'!B767:B771)),AVERAGE('20250815_ETF_Options_Exhibits'!B767:B771),"")</f>
        <v/>
      </c>
      <c r="C771" s="3">
        <f>IF(ISNUMBER(AVERAGE('20250815_ETF_Options_Exhibits'!C767:C771)),AVERAGE('20250815_ETF_Options_Exhibits'!C767:C771),"")</f>
        <v/>
      </c>
      <c r="D771" s="3">
        <f>IF(ISNUMBER(AVERAGE('20250815_ETF_Options_Exhibits'!D767:D771)),AVERAGE('20250815_ETF_Options_Exhibits'!D767:D771),"")</f>
        <v/>
      </c>
      <c r="E771" s="3">
        <f>IF(ISNUMBER(AVERAGE('20250815_ETF_Options_Exhibits'!E767:E771)),AVERAGE('20250815_ETF_Options_Exhibits'!E767:E771),"")</f>
        <v/>
      </c>
      <c r="F771" s="3">
        <f>IF(ISNUMBER(AVERAGE('20250815_ETF_Options_Exhibits'!F767:F771)),AVERAGE('20250815_ETF_Options_Exhibits'!F767:F771),"")</f>
        <v/>
      </c>
      <c r="G771" s="3">
        <f>IF(ISNUMBER(AVERAGE('20250815_ETF_Options_Exhibits'!G767:G771)),AVERAGE('20250815_ETF_Options_Exhibits'!G767:G771),"")</f>
        <v/>
      </c>
      <c r="H771" s="3">
        <f>IF(ISNUMBER(AVERAGE('20250815_ETF_Options_Exhibits'!H767:H771)),AVERAGE('20250815_ETF_Options_Exhibits'!H767:H771),"")</f>
        <v/>
      </c>
      <c r="I771" s="3">
        <f>IF(ISNUMBER(AVERAGE('20250815_ETF_Options_Exhibits'!I767:I771)),AVERAGE('20250815_ETF_Options_Exhibits'!I767:I771),"")</f>
        <v/>
      </c>
      <c r="J771" s="3">
        <f>IF(ISNUMBER(AVERAGE('20250815_ETF_Options_Exhibits'!J767:J771)),AVERAGE('20250815_ETF_Options_Exhibits'!J767:J771),"")</f>
        <v/>
      </c>
      <c r="K771" s="3">
        <f>IF(ISNUMBER(AVERAGE('20250815_ETF_Options_Exhibits'!K767:K771)),AVERAGE('20250815_ETF_Options_Exhibits'!K767:K771),"")</f>
        <v/>
      </c>
      <c r="L771" s="3">
        <f>IF(ISNUMBER(AVERAGE('20250815_ETF_Options_Exhibits'!L767:L771)),AVERAGE('20250815_ETF_Options_Exhibits'!L767:L771),"")</f>
        <v/>
      </c>
      <c r="M771" s="3">
        <f>IF(ISNUMBER(AVERAGE('20250815_ETF_Options_Exhibits'!M767:M771)),AVERAGE('20250815_ETF_Options_Exhibits'!M767:M771),"")</f>
        <v/>
      </c>
      <c r="N771" s="3">
        <f>IF(ISNUMBER(AVERAGE('20250815_ETF_Options_Exhibits'!N767:N771)),AVERAGE('20250815_ETF_Options_Exhibits'!N767:N771),"")</f>
        <v/>
      </c>
      <c r="O771" s="3">
        <f>IF(ISNUMBER(AVERAGE('20250815_ETF_Options_Exhibits'!O767:O771)),AVERAGE('20250815_ETF_Options_Exhibits'!O767:O771),"")</f>
        <v/>
      </c>
      <c r="P771" s="3">
        <f>IF(ISNUMBER(AVERAGE('20250815_ETF_Options_Exhibits'!P767:P771)),AVERAGE('20250815_ETF_Options_Exhibits'!P767:P771),"")</f>
        <v/>
      </c>
      <c r="Q771" s="3">
        <f>IF(ISNUMBER(AVERAGE('20250815_ETF_Options_Exhibits'!Q767:Q771)),AVERAGE('20250815_ETF_Options_Exhibits'!Q767:Q771),"")</f>
        <v/>
      </c>
      <c r="R771" s="3">
        <f>IF(ISNUMBER(AVERAGE('20250815_ETF_Options_Exhibits'!R767:R771)),AVERAGE('20250815_ETF_Options_Exhibits'!R767:R771),"")</f>
        <v/>
      </c>
      <c r="S771" s="3">
        <f>IF(ISNUMBER(AVERAGE('20250815_ETF_Options_Exhibits'!S767:S771)),AVERAGE('20250815_ETF_Options_Exhibits'!S767:S771),"")</f>
        <v/>
      </c>
      <c r="T771" s="3">
        <f>IF(ISNUMBER(AVERAGE('20250815_ETF_Options_Exhibits'!T767:T771)),AVERAGE('20250815_ETF_Options_Exhibits'!T767:T771),"")</f>
        <v/>
      </c>
      <c r="U771" s="3">
        <f>IF(ISNUMBER(AVERAGE('20250815_ETF_Options_Exhibits'!U767:U771)),AVERAGE('20250815_ETF_Options_Exhibits'!U767:U771),"")</f>
        <v/>
      </c>
      <c r="V771" s="3">
        <f>IF(ISNUMBER(AVERAGE('20250815_ETF_Options_Exhibits'!V767:V771)),AVERAGE('20250815_ETF_Options_Exhibits'!V767:V771),"")</f>
        <v/>
      </c>
      <c r="W771" s="3">
        <f>IF(ISNUMBER(AVERAGE('20250815_ETF_Options_Exhibits'!W767:W771)),AVERAGE('20250815_ETF_Options_Exhibits'!W767:W771),"")</f>
        <v/>
      </c>
      <c r="X771" s="3">
        <f>IF(ISNUMBER(AVERAGE('20250815_ETF_Options_Exhibits'!X767:X771)),AVERAGE('20250815_ETF_Options_Exhibits'!X767:X771),"")</f>
        <v/>
      </c>
      <c r="Y771" s="3">
        <f>IF(ISNUMBER(AVERAGE('20250815_ETF_Options_Exhibits'!Y767:Y771)),AVERAGE('20250815_ETF_Options_Exhibits'!Y767:Y771),"")</f>
        <v/>
      </c>
      <c r="Z771" s="3">
        <f>IF(ISNUMBER(AVERAGE('20250815_ETF_Options_Exhibits'!Z767:Z771)),AVERAGE('20250815_ETF_Options_Exhibits'!Z767:Z771),"")</f>
        <v/>
      </c>
      <c r="AA771" s="3">
        <f>IF(ISNUMBER(AVERAGE('20250815_ETF_Options_Exhibits'!AA767:AA771)),AVERAGE('20250815_ETF_Options_Exhibits'!AA767:AA771),"")</f>
        <v/>
      </c>
    </row>
    <row r="772">
      <c r="A772" s="1" t="n">
        <v>43124</v>
      </c>
      <c r="B772" s="3">
        <f>IF(ISNUMBER(AVERAGE('20250815_ETF_Options_Exhibits'!B768:B772)),AVERAGE('20250815_ETF_Options_Exhibits'!B768:B772),"")</f>
        <v/>
      </c>
      <c r="C772" s="3">
        <f>IF(ISNUMBER(AVERAGE('20250815_ETF_Options_Exhibits'!C768:C772)),AVERAGE('20250815_ETF_Options_Exhibits'!C768:C772),"")</f>
        <v/>
      </c>
      <c r="D772" s="3">
        <f>IF(ISNUMBER(AVERAGE('20250815_ETF_Options_Exhibits'!D768:D772)),AVERAGE('20250815_ETF_Options_Exhibits'!D768:D772),"")</f>
        <v/>
      </c>
      <c r="E772" s="3">
        <f>IF(ISNUMBER(AVERAGE('20250815_ETF_Options_Exhibits'!E768:E772)),AVERAGE('20250815_ETF_Options_Exhibits'!E768:E772),"")</f>
        <v/>
      </c>
      <c r="F772" s="3">
        <f>IF(ISNUMBER(AVERAGE('20250815_ETF_Options_Exhibits'!F768:F772)),AVERAGE('20250815_ETF_Options_Exhibits'!F768:F772),"")</f>
        <v/>
      </c>
      <c r="G772" s="3">
        <f>IF(ISNUMBER(AVERAGE('20250815_ETF_Options_Exhibits'!G768:G772)),AVERAGE('20250815_ETF_Options_Exhibits'!G768:G772),"")</f>
        <v/>
      </c>
      <c r="H772" s="3">
        <f>IF(ISNUMBER(AVERAGE('20250815_ETF_Options_Exhibits'!H768:H772)),AVERAGE('20250815_ETF_Options_Exhibits'!H768:H772),"")</f>
        <v/>
      </c>
      <c r="I772" s="3">
        <f>IF(ISNUMBER(AVERAGE('20250815_ETF_Options_Exhibits'!I768:I772)),AVERAGE('20250815_ETF_Options_Exhibits'!I768:I772),"")</f>
        <v/>
      </c>
      <c r="J772" s="3">
        <f>IF(ISNUMBER(AVERAGE('20250815_ETF_Options_Exhibits'!J768:J772)),AVERAGE('20250815_ETF_Options_Exhibits'!J768:J772),"")</f>
        <v/>
      </c>
      <c r="K772" s="3">
        <f>IF(ISNUMBER(AVERAGE('20250815_ETF_Options_Exhibits'!K768:K772)),AVERAGE('20250815_ETF_Options_Exhibits'!K768:K772),"")</f>
        <v/>
      </c>
      <c r="L772" s="3">
        <f>IF(ISNUMBER(AVERAGE('20250815_ETF_Options_Exhibits'!L768:L772)),AVERAGE('20250815_ETF_Options_Exhibits'!L768:L772),"")</f>
        <v/>
      </c>
      <c r="M772" s="3">
        <f>IF(ISNUMBER(AVERAGE('20250815_ETF_Options_Exhibits'!M768:M772)),AVERAGE('20250815_ETF_Options_Exhibits'!M768:M772),"")</f>
        <v/>
      </c>
      <c r="N772" s="3">
        <f>IF(ISNUMBER(AVERAGE('20250815_ETF_Options_Exhibits'!N768:N772)),AVERAGE('20250815_ETF_Options_Exhibits'!N768:N772),"")</f>
        <v/>
      </c>
      <c r="O772" s="3">
        <f>IF(ISNUMBER(AVERAGE('20250815_ETF_Options_Exhibits'!O768:O772)),AVERAGE('20250815_ETF_Options_Exhibits'!O768:O772),"")</f>
        <v/>
      </c>
      <c r="P772" s="3">
        <f>IF(ISNUMBER(AVERAGE('20250815_ETF_Options_Exhibits'!P768:P772)),AVERAGE('20250815_ETF_Options_Exhibits'!P768:P772),"")</f>
        <v/>
      </c>
      <c r="Q772" s="3">
        <f>IF(ISNUMBER(AVERAGE('20250815_ETF_Options_Exhibits'!Q768:Q772)),AVERAGE('20250815_ETF_Options_Exhibits'!Q768:Q772),"")</f>
        <v/>
      </c>
      <c r="R772" s="3">
        <f>IF(ISNUMBER(AVERAGE('20250815_ETF_Options_Exhibits'!R768:R772)),AVERAGE('20250815_ETF_Options_Exhibits'!R768:R772),"")</f>
        <v/>
      </c>
      <c r="S772" s="3">
        <f>IF(ISNUMBER(AVERAGE('20250815_ETF_Options_Exhibits'!S768:S772)),AVERAGE('20250815_ETF_Options_Exhibits'!S768:S772),"")</f>
        <v/>
      </c>
      <c r="T772" s="3">
        <f>IF(ISNUMBER(AVERAGE('20250815_ETF_Options_Exhibits'!T768:T772)),AVERAGE('20250815_ETF_Options_Exhibits'!T768:T772),"")</f>
        <v/>
      </c>
      <c r="U772" s="3">
        <f>IF(ISNUMBER(AVERAGE('20250815_ETF_Options_Exhibits'!U768:U772)),AVERAGE('20250815_ETF_Options_Exhibits'!U768:U772),"")</f>
        <v/>
      </c>
      <c r="V772" s="3">
        <f>IF(ISNUMBER(AVERAGE('20250815_ETF_Options_Exhibits'!V768:V772)),AVERAGE('20250815_ETF_Options_Exhibits'!V768:V772),"")</f>
        <v/>
      </c>
      <c r="W772" s="3">
        <f>IF(ISNUMBER(AVERAGE('20250815_ETF_Options_Exhibits'!W768:W772)),AVERAGE('20250815_ETF_Options_Exhibits'!W768:W772),"")</f>
        <v/>
      </c>
      <c r="X772" s="3">
        <f>IF(ISNUMBER(AVERAGE('20250815_ETF_Options_Exhibits'!X768:X772)),AVERAGE('20250815_ETF_Options_Exhibits'!X768:X772),"")</f>
        <v/>
      </c>
      <c r="Y772" s="3">
        <f>IF(ISNUMBER(AVERAGE('20250815_ETF_Options_Exhibits'!Y768:Y772)),AVERAGE('20250815_ETF_Options_Exhibits'!Y768:Y772),"")</f>
        <v/>
      </c>
      <c r="Z772" s="3">
        <f>IF(ISNUMBER(AVERAGE('20250815_ETF_Options_Exhibits'!Z768:Z772)),AVERAGE('20250815_ETF_Options_Exhibits'!Z768:Z772),"")</f>
        <v/>
      </c>
      <c r="AA772" s="3">
        <f>IF(ISNUMBER(AVERAGE('20250815_ETF_Options_Exhibits'!AA768:AA772)),AVERAGE('20250815_ETF_Options_Exhibits'!AA768:AA772),"")</f>
        <v/>
      </c>
    </row>
    <row r="773">
      <c r="A773" s="1" t="n">
        <v>43125</v>
      </c>
      <c r="B773" s="3">
        <f>IF(ISNUMBER(AVERAGE('20250815_ETF_Options_Exhibits'!B769:B773)),AVERAGE('20250815_ETF_Options_Exhibits'!B769:B773),"")</f>
        <v/>
      </c>
      <c r="C773" s="3">
        <f>IF(ISNUMBER(AVERAGE('20250815_ETF_Options_Exhibits'!C769:C773)),AVERAGE('20250815_ETF_Options_Exhibits'!C769:C773),"")</f>
        <v/>
      </c>
      <c r="D773" s="3">
        <f>IF(ISNUMBER(AVERAGE('20250815_ETF_Options_Exhibits'!D769:D773)),AVERAGE('20250815_ETF_Options_Exhibits'!D769:D773),"")</f>
        <v/>
      </c>
      <c r="E773" s="3">
        <f>IF(ISNUMBER(AVERAGE('20250815_ETF_Options_Exhibits'!E769:E773)),AVERAGE('20250815_ETF_Options_Exhibits'!E769:E773),"")</f>
        <v/>
      </c>
      <c r="F773" s="3">
        <f>IF(ISNUMBER(AVERAGE('20250815_ETF_Options_Exhibits'!F769:F773)),AVERAGE('20250815_ETF_Options_Exhibits'!F769:F773),"")</f>
        <v/>
      </c>
      <c r="G773" s="3">
        <f>IF(ISNUMBER(AVERAGE('20250815_ETF_Options_Exhibits'!G769:G773)),AVERAGE('20250815_ETF_Options_Exhibits'!G769:G773),"")</f>
        <v/>
      </c>
      <c r="H773" s="3">
        <f>IF(ISNUMBER(AVERAGE('20250815_ETF_Options_Exhibits'!H769:H773)),AVERAGE('20250815_ETF_Options_Exhibits'!H769:H773),"")</f>
        <v/>
      </c>
      <c r="I773" s="3">
        <f>IF(ISNUMBER(AVERAGE('20250815_ETF_Options_Exhibits'!I769:I773)),AVERAGE('20250815_ETF_Options_Exhibits'!I769:I773),"")</f>
        <v/>
      </c>
      <c r="J773" s="3">
        <f>IF(ISNUMBER(AVERAGE('20250815_ETF_Options_Exhibits'!J769:J773)),AVERAGE('20250815_ETF_Options_Exhibits'!J769:J773),"")</f>
        <v/>
      </c>
      <c r="K773" s="3">
        <f>IF(ISNUMBER(AVERAGE('20250815_ETF_Options_Exhibits'!K769:K773)),AVERAGE('20250815_ETF_Options_Exhibits'!K769:K773),"")</f>
        <v/>
      </c>
      <c r="L773" s="3">
        <f>IF(ISNUMBER(AVERAGE('20250815_ETF_Options_Exhibits'!L769:L773)),AVERAGE('20250815_ETF_Options_Exhibits'!L769:L773),"")</f>
        <v/>
      </c>
      <c r="M773" s="3">
        <f>IF(ISNUMBER(AVERAGE('20250815_ETF_Options_Exhibits'!M769:M773)),AVERAGE('20250815_ETF_Options_Exhibits'!M769:M773),"")</f>
        <v/>
      </c>
      <c r="N773" s="3">
        <f>IF(ISNUMBER(AVERAGE('20250815_ETF_Options_Exhibits'!N769:N773)),AVERAGE('20250815_ETF_Options_Exhibits'!N769:N773),"")</f>
        <v/>
      </c>
      <c r="O773" s="3">
        <f>IF(ISNUMBER(AVERAGE('20250815_ETF_Options_Exhibits'!O769:O773)),AVERAGE('20250815_ETF_Options_Exhibits'!O769:O773),"")</f>
        <v/>
      </c>
      <c r="P773" s="3">
        <f>IF(ISNUMBER(AVERAGE('20250815_ETF_Options_Exhibits'!P769:P773)),AVERAGE('20250815_ETF_Options_Exhibits'!P769:P773),"")</f>
        <v/>
      </c>
      <c r="Q773" s="3">
        <f>IF(ISNUMBER(AVERAGE('20250815_ETF_Options_Exhibits'!Q769:Q773)),AVERAGE('20250815_ETF_Options_Exhibits'!Q769:Q773),"")</f>
        <v/>
      </c>
      <c r="R773" s="3">
        <f>IF(ISNUMBER(AVERAGE('20250815_ETF_Options_Exhibits'!R769:R773)),AVERAGE('20250815_ETF_Options_Exhibits'!R769:R773),"")</f>
        <v/>
      </c>
      <c r="S773" s="3">
        <f>IF(ISNUMBER(AVERAGE('20250815_ETF_Options_Exhibits'!S769:S773)),AVERAGE('20250815_ETF_Options_Exhibits'!S769:S773),"")</f>
        <v/>
      </c>
      <c r="T773" s="3">
        <f>IF(ISNUMBER(AVERAGE('20250815_ETF_Options_Exhibits'!T769:T773)),AVERAGE('20250815_ETF_Options_Exhibits'!T769:T773),"")</f>
        <v/>
      </c>
      <c r="U773" s="3">
        <f>IF(ISNUMBER(AVERAGE('20250815_ETF_Options_Exhibits'!U769:U773)),AVERAGE('20250815_ETF_Options_Exhibits'!U769:U773),"")</f>
        <v/>
      </c>
      <c r="V773" s="3">
        <f>IF(ISNUMBER(AVERAGE('20250815_ETF_Options_Exhibits'!V769:V773)),AVERAGE('20250815_ETF_Options_Exhibits'!V769:V773),"")</f>
        <v/>
      </c>
      <c r="W773" s="3">
        <f>IF(ISNUMBER(AVERAGE('20250815_ETF_Options_Exhibits'!W769:W773)),AVERAGE('20250815_ETF_Options_Exhibits'!W769:W773),"")</f>
        <v/>
      </c>
      <c r="X773" s="3">
        <f>IF(ISNUMBER(AVERAGE('20250815_ETF_Options_Exhibits'!X769:X773)),AVERAGE('20250815_ETF_Options_Exhibits'!X769:X773),"")</f>
        <v/>
      </c>
      <c r="Y773" s="3">
        <f>IF(ISNUMBER(AVERAGE('20250815_ETF_Options_Exhibits'!Y769:Y773)),AVERAGE('20250815_ETF_Options_Exhibits'!Y769:Y773),"")</f>
        <v/>
      </c>
      <c r="Z773" s="3">
        <f>IF(ISNUMBER(AVERAGE('20250815_ETF_Options_Exhibits'!Z769:Z773)),AVERAGE('20250815_ETF_Options_Exhibits'!Z769:Z773),"")</f>
        <v/>
      </c>
      <c r="AA773" s="3">
        <f>IF(ISNUMBER(AVERAGE('20250815_ETF_Options_Exhibits'!AA769:AA773)),AVERAGE('20250815_ETF_Options_Exhibits'!AA769:AA773),"")</f>
        <v/>
      </c>
    </row>
    <row r="774">
      <c r="A774" s="1" t="n">
        <v>43126</v>
      </c>
      <c r="B774" s="3">
        <f>IF(ISNUMBER(AVERAGE('20250815_ETF_Options_Exhibits'!B770:B774)),AVERAGE('20250815_ETF_Options_Exhibits'!B770:B774),"")</f>
        <v/>
      </c>
      <c r="C774" s="3">
        <f>IF(ISNUMBER(AVERAGE('20250815_ETF_Options_Exhibits'!C770:C774)),AVERAGE('20250815_ETF_Options_Exhibits'!C770:C774),"")</f>
        <v/>
      </c>
      <c r="D774" s="3">
        <f>IF(ISNUMBER(AVERAGE('20250815_ETF_Options_Exhibits'!D770:D774)),AVERAGE('20250815_ETF_Options_Exhibits'!D770:D774),"")</f>
        <v/>
      </c>
      <c r="E774" s="3">
        <f>IF(ISNUMBER(AVERAGE('20250815_ETF_Options_Exhibits'!E770:E774)),AVERAGE('20250815_ETF_Options_Exhibits'!E770:E774),"")</f>
        <v/>
      </c>
      <c r="F774" s="3">
        <f>IF(ISNUMBER(AVERAGE('20250815_ETF_Options_Exhibits'!F770:F774)),AVERAGE('20250815_ETF_Options_Exhibits'!F770:F774),"")</f>
        <v/>
      </c>
      <c r="G774" s="3">
        <f>IF(ISNUMBER(AVERAGE('20250815_ETF_Options_Exhibits'!G770:G774)),AVERAGE('20250815_ETF_Options_Exhibits'!G770:G774),"")</f>
        <v/>
      </c>
      <c r="H774" s="3">
        <f>IF(ISNUMBER(AVERAGE('20250815_ETF_Options_Exhibits'!H770:H774)),AVERAGE('20250815_ETF_Options_Exhibits'!H770:H774),"")</f>
        <v/>
      </c>
      <c r="I774" s="3">
        <f>IF(ISNUMBER(AVERAGE('20250815_ETF_Options_Exhibits'!I770:I774)),AVERAGE('20250815_ETF_Options_Exhibits'!I770:I774),"")</f>
        <v/>
      </c>
      <c r="J774" s="3">
        <f>IF(ISNUMBER(AVERAGE('20250815_ETF_Options_Exhibits'!J770:J774)),AVERAGE('20250815_ETF_Options_Exhibits'!J770:J774),"")</f>
        <v/>
      </c>
      <c r="K774" s="3">
        <f>IF(ISNUMBER(AVERAGE('20250815_ETF_Options_Exhibits'!K770:K774)),AVERAGE('20250815_ETF_Options_Exhibits'!K770:K774),"")</f>
        <v/>
      </c>
      <c r="L774" s="3">
        <f>IF(ISNUMBER(AVERAGE('20250815_ETF_Options_Exhibits'!L770:L774)),AVERAGE('20250815_ETF_Options_Exhibits'!L770:L774),"")</f>
        <v/>
      </c>
      <c r="M774" s="3">
        <f>IF(ISNUMBER(AVERAGE('20250815_ETF_Options_Exhibits'!M770:M774)),AVERAGE('20250815_ETF_Options_Exhibits'!M770:M774),"")</f>
        <v/>
      </c>
      <c r="N774" s="3">
        <f>IF(ISNUMBER(AVERAGE('20250815_ETF_Options_Exhibits'!N770:N774)),AVERAGE('20250815_ETF_Options_Exhibits'!N770:N774),"")</f>
        <v/>
      </c>
      <c r="O774" s="3">
        <f>IF(ISNUMBER(AVERAGE('20250815_ETF_Options_Exhibits'!O770:O774)),AVERAGE('20250815_ETF_Options_Exhibits'!O770:O774),"")</f>
        <v/>
      </c>
      <c r="P774" s="3">
        <f>IF(ISNUMBER(AVERAGE('20250815_ETF_Options_Exhibits'!P770:P774)),AVERAGE('20250815_ETF_Options_Exhibits'!P770:P774),"")</f>
        <v/>
      </c>
      <c r="Q774" s="3">
        <f>IF(ISNUMBER(AVERAGE('20250815_ETF_Options_Exhibits'!Q770:Q774)),AVERAGE('20250815_ETF_Options_Exhibits'!Q770:Q774),"")</f>
        <v/>
      </c>
      <c r="R774" s="3">
        <f>IF(ISNUMBER(AVERAGE('20250815_ETF_Options_Exhibits'!R770:R774)),AVERAGE('20250815_ETF_Options_Exhibits'!R770:R774),"")</f>
        <v/>
      </c>
      <c r="S774" s="3">
        <f>IF(ISNUMBER(AVERAGE('20250815_ETF_Options_Exhibits'!S770:S774)),AVERAGE('20250815_ETF_Options_Exhibits'!S770:S774),"")</f>
        <v/>
      </c>
      <c r="T774" s="3">
        <f>IF(ISNUMBER(AVERAGE('20250815_ETF_Options_Exhibits'!T770:T774)),AVERAGE('20250815_ETF_Options_Exhibits'!T770:T774),"")</f>
        <v/>
      </c>
      <c r="U774" s="3">
        <f>IF(ISNUMBER(AVERAGE('20250815_ETF_Options_Exhibits'!U770:U774)),AVERAGE('20250815_ETF_Options_Exhibits'!U770:U774),"")</f>
        <v/>
      </c>
      <c r="V774" s="3">
        <f>IF(ISNUMBER(AVERAGE('20250815_ETF_Options_Exhibits'!V770:V774)),AVERAGE('20250815_ETF_Options_Exhibits'!V770:V774),"")</f>
        <v/>
      </c>
      <c r="W774" s="3">
        <f>IF(ISNUMBER(AVERAGE('20250815_ETF_Options_Exhibits'!W770:W774)),AVERAGE('20250815_ETF_Options_Exhibits'!W770:W774),"")</f>
        <v/>
      </c>
      <c r="X774" s="3">
        <f>IF(ISNUMBER(AVERAGE('20250815_ETF_Options_Exhibits'!X770:X774)),AVERAGE('20250815_ETF_Options_Exhibits'!X770:X774),"")</f>
        <v/>
      </c>
      <c r="Y774" s="3">
        <f>IF(ISNUMBER(AVERAGE('20250815_ETF_Options_Exhibits'!Y770:Y774)),AVERAGE('20250815_ETF_Options_Exhibits'!Y770:Y774),"")</f>
        <v/>
      </c>
      <c r="Z774" s="3">
        <f>IF(ISNUMBER(AVERAGE('20250815_ETF_Options_Exhibits'!Z770:Z774)),AVERAGE('20250815_ETF_Options_Exhibits'!Z770:Z774),"")</f>
        <v/>
      </c>
      <c r="AA774" s="3">
        <f>IF(ISNUMBER(AVERAGE('20250815_ETF_Options_Exhibits'!AA770:AA774)),AVERAGE('20250815_ETF_Options_Exhibits'!AA770:AA774),"")</f>
        <v/>
      </c>
    </row>
    <row r="775">
      <c r="A775" s="1" t="n">
        <v>43129</v>
      </c>
      <c r="B775" s="3">
        <f>IF(ISNUMBER(AVERAGE('20250815_ETF_Options_Exhibits'!B771:B775)),AVERAGE('20250815_ETF_Options_Exhibits'!B771:B775),"")</f>
        <v/>
      </c>
      <c r="C775" s="3">
        <f>IF(ISNUMBER(AVERAGE('20250815_ETF_Options_Exhibits'!C771:C775)),AVERAGE('20250815_ETF_Options_Exhibits'!C771:C775),"")</f>
        <v/>
      </c>
      <c r="D775" s="3">
        <f>IF(ISNUMBER(AVERAGE('20250815_ETF_Options_Exhibits'!D771:D775)),AVERAGE('20250815_ETF_Options_Exhibits'!D771:D775),"")</f>
        <v/>
      </c>
      <c r="E775" s="3">
        <f>IF(ISNUMBER(AVERAGE('20250815_ETF_Options_Exhibits'!E771:E775)),AVERAGE('20250815_ETF_Options_Exhibits'!E771:E775),"")</f>
        <v/>
      </c>
      <c r="F775" s="3">
        <f>IF(ISNUMBER(AVERAGE('20250815_ETF_Options_Exhibits'!F771:F775)),AVERAGE('20250815_ETF_Options_Exhibits'!F771:F775),"")</f>
        <v/>
      </c>
      <c r="G775" s="3">
        <f>IF(ISNUMBER(AVERAGE('20250815_ETF_Options_Exhibits'!G771:G775)),AVERAGE('20250815_ETF_Options_Exhibits'!G771:G775),"")</f>
        <v/>
      </c>
      <c r="H775" s="3">
        <f>IF(ISNUMBER(AVERAGE('20250815_ETF_Options_Exhibits'!H771:H775)),AVERAGE('20250815_ETF_Options_Exhibits'!H771:H775),"")</f>
        <v/>
      </c>
      <c r="I775" s="3">
        <f>IF(ISNUMBER(AVERAGE('20250815_ETF_Options_Exhibits'!I771:I775)),AVERAGE('20250815_ETF_Options_Exhibits'!I771:I775),"")</f>
        <v/>
      </c>
      <c r="J775" s="3">
        <f>IF(ISNUMBER(AVERAGE('20250815_ETF_Options_Exhibits'!J771:J775)),AVERAGE('20250815_ETF_Options_Exhibits'!J771:J775),"")</f>
        <v/>
      </c>
      <c r="K775" s="3">
        <f>IF(ISNUMBER(AVERAGE('20250815_ETF_Options_Exhibits'!K771:K775)),AVERAGE('20250815_ETF_Options_Exhibits'!K771:K775),"")</f>
        <v/>
      </c>
      <c r="L775" s="3">
        <f>IF(ISNUMBER(AVERAGE('20250815_ETF_Options_Exhibits'!L771:L775)),AVERAGE('20250815_ETF_Options_Exhibits'!L771:L775),"")</f>
        <v/>
      </c>
      <c r="M775" s="3">
        <f>IF(ISNUMBER(AVERAGE('20250815_ETF_Options_Exhibits'!M771:M775)),AVERAGE('20250815_ETF_Options_Exhibits'!M771:M775),"")</f>
        <v/>
      </c>
      <c r="N775" s="3">
        <f>IF(ISNUMBER(AVERAGE('20250815_ETF_Options_Exhibits'!N771:N775)),AVERAGE('20250815_ETF_Options_Exhibits'!N771:N775),"")</f>
        <v/>
      </c>
      <c r="O775" s="3">
        <f>IF(ISNUMBER(AVERAGE('20250815_ETF_Options_Exhibits'!O771:O775)),AVERAGE('20250815_ETF_Options_Exhibits'!O771:O775),"")</f>
        <v/>
      </c>
      <c r="P775" s="3">
        <f>IF(ISNUMBER(AVERAGE('20250815_ETF_Options_Exhibits'!P771:P775)),AVERAGE('20250815_ETF_Options_Exhibits'!P771:P775),"")</f>
        <v/>
      </c>
      <c r="Q775" s="3">
        <f>IF(ISNUMBER(AVERAGE('20250815_ETF_Options_Exhibits'!Q771:Q775)),AVERAGE('20250815_ETF_Options_Exhibits'!Q771:Q775),"")</f>
        <v/>
      </c>
      <c r="R775" s="3">
        <f>IF(ISNUMBER(AVERAGE('20250815_ETF_Options_Exhibits'!R771:R775)),AVERAGE('20250815_ETF_Options_Exhibits'!R771:R775),"")</f>
        <v/>
      </c>
      <c r="S775" s="3">
        <f>IF(ISNUMBER(AVERAGE('20250815_ETF_Options_Exhibits'!S771:S775)),AVERAGE('20250815_ETF_Options_Exhibits'!S771:S775),"")</f>
        <v/>
      </c>
      <c r="T775" s="3">
        <f>IF(ISNUMBER(AVERAGE('20250815_ETF_Options_Exhibits'!T771:T775)),AVERAGE('20250815_ETF_Options_Exhibits'!T771:T775),"")</f>
        <v/>
      </c>
      <c r="U775" s="3">
        <f>IF(ISNUMBER(AVERAGE('20250815_ETF_Options_Exhibits'!U771:U775)),AVERAGE('20250815_ETF_Options_Exhibits'!U771:U775),"")</f>
        <v/>
      </c>
      <c r="V775" s="3">
        <f>IF(ISNUMBER(AVERAGE('20250815_ETF_Options_Exhibits'!V771:V775)),AVERAGE('20250815_ETF_Options_Exhibits'!V771:V775),"")</f>
        <v/>
      </c>
      <c r="W775" s="3">
        <f>IF(ISNUMBER(AVERAGE('20250815_ETF_Options_Exhibits'!W771:W775)),AVERAGE('20250815_ETF_Options_Exhibits'!W771:W775),"")</f>
        <v/>
      </c>
      <c r="X775" s="3">
        <f>IF(ISNUMBER(AVERAGE('20250815_ETF_Options_Exhibits'!X771:X775)),AVERAGE('20250815_ETF_Options_Exhibits'!X771:X775),"")</f>
        <v/>
      </c>
      <c r="Y775" s="3">
        <f>IF(ISNUMBER(AVERAGE('20250815_ETF_Options_Exhibits'!Y771:Y775)),AVERAGE('20250815_ETF_Options_Exhibits'!Y771:Y775),"")</f>
        <v/>
      </c>
      <c r="Z775" s="3">
        <f>IF(ISNUMBER(AVERAGE('20250815_ETF_Options_Exhibits'!Z771:Z775)),AVERAGE('20250815_ETF_Options_Exhibits'!Z771:Z775),"")</f>
        <v/>
      </c>
      <c r="AA775" s="3">
        <f>IF(ISNUMBER(AVERAGE('20250815_ETF_Options_Exhibits'!AA771:AA775)),AVERAGE('20250815_ETF_Options_Exhibits'!AA771:AA775),"")</f>
        <v/>
      </c>
    </row>
    <row r="776">
      <c r="A776" s="1" t="n">
        <v>43130</v>
      </c>
      <c r="B776" s="3">
        <f>IF(ISNUMBER(AVERAGE('20250815_ETF_Options_Exhibits'!B772:B776)),AVERAGE('20250815_ETF_Options_Exhibits'!B772:B776),"")</f>
        <v/>
      </c>
      <c r="C776" s="3">
        <f>IF(ISNUMBER(AVERAGE('20250815_ETF_Options_Exhibits'!C772:C776)),AVERAGE('20250815_ETF_Options_Exhibits'!C772:C776),"")</f>
        <v/>
      </c>
      <c r="D776" s="3">
        <f>IF(ISNUMBER(AVERAGE('20250815_ETF_Options_Exhibits'!D772:D776)),AVERAGE('20250815_ETF_Options_Exhibits'!D772:D776),"")</f>
        <v/>
      </c>
      <c r="E776" s="3">
        <f>IF(ISNUMBER(AVERAGE('20250815_ETF_Options_Exhibits'!E772:E776)),AVERAGE('20250815_ETF_Options_Exhibits'!E772:E776),"")</f>
        <v/>
      </c>
      <c r="F776" s="3">
        <f>IF(ISNUMBER(AVERAGE('20250815_ETF_Options_Exhibits'!F772:F776)),AVERAGE('20250815_ETF_Options_Exhibits'!F772:F776),"")</f>
        <v/>
      </c>
      <c r="G776" s="3">
        <f>IF(ISNUMBER(AVERAGE('20250815_ETF_Options_Exhibits'!G772:G776)),AVERAGE('20250815_ETF_Options_Exhibits'!G772:G776),"")</f>
        <v/>
      </c>
      <c r="H776" s="3">
        <f>IF(ISNUMBER(AVERAGE('20250815_ETF_Options_Exhibits'!H772:H776)),AVERAGE('20250815_ETF_Options_Exhibits'!H772:H776),"")</f>
        <v/>
      </c>
      <c r="I776" s="3">
        <f>IF(ISNUMBER(AVERAGE('20250815_ETF_Options_Exhibits'!I772:I776)),AVERAGE('20250815_ETF_Options_Exhibits'!I772:I776),"")</f>
        <v/>
      </c>
      <c r="J776" s="3">
        <f>IF(ISNUMBER(AVERAGE('20250815_ETF_Options_Exhibits'!J772:J776)),AVERAGE('20250815_ETF_Options_Exhibits'!J772:J776),"")</f>
        <v/>
      </c>
      <c r="K776" s="3">
        <f>IF(ISNUMBER(AVERAGE('20250815_ETF_Options_Exhibits'!K772:K776)),AVERAGE('20250815_ETF_Options_Exhibits'!K772:K776),"")</f>
        <v/>
      </c>
      <c r="L776" s="3">
        <f>IF(ISNUMBER(AVERAGE('20250815_ETF_Options_Exhibits'!L772:L776)),AVERAGE('20250815_ETF_Options_Exhibits'!L772:L776),"")</f>
        <v/>
      </c>
      <c r="M776" s="3">
        <f>IF(ISNUMBER(AVERAGE('20250815_ETF_Options_Exhibits'!M772:M776)),AVERAGE('20250815_ETF_Options_Exhibits'!M772:M776),"")</f>
        <v/>
      </c>
      <c r="N776" s="3">
        <f>IF(ISNUMBER(AVERAGE('20250815_ETF_Options_Exhibits'!N772:N776)),AVERAGE('20250815_ETF_Options_Exhibits'!N772:N776),"")</f>
        <v/>
      </c>
      <c r="O776" s="3">
        <f>IF(ISNUMBER(AVERAGE('20250815_ETF_Options_Exhibits'!O772:O776)),AVERAGE('20250815_ETF_Options_Exhibits'!O772:O776),"")</f>
        <v/>
      </c>
      <c r="P776" s="3">
        <f>IF(ISNUMBER(AVERAGE('20250815_ETF_Options_Exhibits'!P772:P776)),AVERAGE('20250815_ETF_Options_Exhibits'!P772:P776),"")</f>
        <v/>
      </c>
      <c r="Q776" s="3">
        <f>IF(ISNUMBER(AVERAGE('20250815_ETF_Options_Exhibits'!Q772:Q776)),AVERAGE('20250815_ETF_Options_Exhibits'!Q772:Q776),"")</f>
        <v/>
      </c>
      <c r="R776" s="3">
        <f>IF(ISNUMBER(AVERAGE('20250815_ETF_Options_Exhibits'!R772:R776)),AVERAGE('20250815_ETF_Options_Exhibits'!R772:R776),"")</f>
        <v/>
      </c>
      <c r="S776" s="3">
        <f>IF(ISNUMBER(AVERAGE('20250815_ETF_Options_Exhibits'!S772:S776)),AVERAGE('20250815_ETF_Options_Exhibits'!S772:S776),"")</f>
        <v/>
      </c>
      <c r="T776" s="3">
        <f>IF(ISNUMBER(AVERAGE('20250815_ETF_Options_Exhibits'!T772:T776)),AVERAGE('20250815_ETF_Options_Exhibits'!T772:T776),"")</f>
        <v/>
      </c>
      <c r="U776" s="3">
        <f>IF(ISNUMBER(AVERAGE('20250815_ETF_Options_Exhibits'!U772:U776)),AVERAGE('20250815_ETF_Options_Exhibits'!U772:U776),"")</f>
        <v/>
      </c>
      <c r="V776" s="3">
        <f>IF(ISNUMBER(AVERAGE('20250815_ETF_Options_Exhibits'!V772:V776)),AVERAGE('20250815_ETF_Options_Exhibits'!V772:V776),"")</f>
        <v/>
      </c>
      <c r="W776" s="3">
        <f>IF(ISNUMBER(AVERAGE('20250815_ETF_Options_Exhibits'!W772:W776)),AVERAGE('20250815_ETF_Options_Exhibits'!W772:W776),"")</f>
        <v/>
      </c>
      <c r="X776" s="3">
        <f>IF(ISNUMBER(AVERAGE('20250815_ETF_Options_Exhibits'!X772:X776)),AVERAGE('20250815_ETF_Options_Exhibits'!X772:X776),"")</f>
        <v/>
      </c>
      <c r="Y776" s="3">
        <f>IF(ISNUMBER(AVERAGE('20250815_ETF_Options_Exhibits'!Y772:Y776)),AVERAGE('20250815_ETF_Options_Exhibits'!Y772:Y776),"")</f>
        <v/>
      </c>
      <c r="Z776" s="3">
        <f>IF(ISNUMBER(AVERAGE('20250815_ETF_Options_Exhibits'!Z772:Z776)),AVERAGE('20250815_ETF_Options_Exhibits'!Z772:Z776),"")</f>
        <v/>
      </c>
      <c r="AA776" s="3">
        <f>IF(ISNUMBER(AVERAGE('20250815_ETF_Options_Exhibits'!AA772:AA776)),AVERAGE('20250815_ETF_Options_Exhibits'!AA772:AA776),"")</f>
        <v/>
      </c>
    </row>
    <row r="777">
      <c r="A777" s="1" t="n">
        <v>43131</v>
      </c>
      <c r="B777" s="3">
        <f>IF(ISNUMBER(AVERAGE('20250815_ETF_Options_Exhibits'!B773:B777)),AVERAGE('20250815_ETF_Options_Exhibits'!B773:B777),"")</f>
        <v/>
      </c>
      <c r="C777" s="3">
        <f>IF(ISNUMBER(AVERAGE('20250815_ETF_Options_Exhibits'!C773:C777)),AVERAGE('20250815_ETF_Options_Exhibits'!C773:C777),"")</f>
        <v/>
      </c>
      <c r="D777" s="3">
        <f>IF(ISNUMBER(AVERAGE('20250815_ETF_Options_Exhibits'!D773:D777)),AVERAGE('20250815_ETF_Options_Exhibits'!D773:D777),"")</f>
        <v/>
      </c>
      <c r="E777" s="3">
        <f>IF(ISNUMBER(AVERAGE('20250815_ETF_Options_Exhibits'!E773:E777)),AVERAGE('20250815_ETF_Options_Exhibits'!E773:E777),"")</f>
        <v/>
      </c>
      <c r="F777" s="3">
        <f>IF(ISNUMBER(AVERAGE('20250815_ETF_Options_Exhibits'!F773:F777)),AVERAGE('20250815_ETF_Options_Exhibits'!F773:F777),"")</f>
        <v/>
      </c>
      <c r="G777" s="3">
        <f>IF(ISNUMBER(AVERAGE('20250815_ETF_Options_Exhibits'!G773:G777)),AVERAGE('20250815_ETF_Options_Exhibits'!G773:G777),"")</f>
        <v/>
      </c>
      <c r="H777" s="3">
        <f>IF(ISNUMBER(AVERAGE('20250815_ETF_Options_Exhibits'!H773:H777)),AVERAGE('20250815_ETF_Options_Exhibits'!H773:H777),"")</f>
        <v/>
      </c>
      <c r="I777" s="3">
        <f>IF(ISNUMBER(AVERAGE('20250815_ETF_Options_Exhibits'!I773:I777)),AVERAGE('20250815_ETF_Options_Exhibits'!I773:I777),"")</f>
        <v/>
      </c>
      <c r="J777" s="3">
        <f>IF(ISNUMBER(AVERAGE('20250815_ETF_Options_Exhibits'!J773:J777)),AVERAGE('20250815_ETF_Options_Exhibits'!J773:J777),"")</f>
        <v/>
      </c>
      <c r="K777" s="3">
        <f>IF(ISNUMBER(AVERAGE('20250815_ETF_Options_Exhibits'!K773:K777)),AVERAGE('20250815_ETF_Options_Exhibits'!K773:K777),"")</f>
        <v/>
      </c>
      <c r="L777" s="3">
        <f>IF(ISNUMBER(AVERAGE('20250815_ETF_Options_Exhibits'!L773:L777)),AVERAGE('20250815_ETF_Options_Exhibits'!L773:L777),"")</f>
        <v/>
      </c>
      <c r="M777" s="3">
        <f>IF(ISNUMBER(AVERAGE('20250815_ETF_Options_Exhibits'!M773:M777)),AVERAGE('20250815_ETF_Options_Exhibits'!M773:M777),"")</f>
        <v/>
      </c>
      <c r="N777" s="3">
        <f>IF(ISNUMBER(AVERAGE('20250815_ETF_Options_Exhibits'!N773:N777)),AVERAGE('20250815_ETF_Options_Exhibits'!N773:N777),"")</f>
        <v/>
      </c>
      <c r="O777" s="3">
        <f>IF(ISNUMBER(AVERAGE('20250815_ETF_Options_Exhibits'!O773:O777)),AVERAGE('20250815_ETF_Options_Exhibits'!O773:O777),"")</f>
        <v/>
      </c>
      <c r="P777" s="3">
        <f>IF(ISNUMBER(AVERAGE('20250815_ETF_Options_Exhibits'!P773:P777)),AVERAGE('20250815_ETF_Options_Exhibits'!P773:P777),"")</f>
        <v/>
      </c>
      <c r="Q777" s="3">
        <f>IF(ISNUMBER(AVERAGE('20250815_ETF_Options_Exhibits'!Q773:Q777)),AVERAGE('20250815_ETF_Options_Exhibits'!Q773:Q777),"")</f>
        <v/>
      </c>
      <c r="R777" s="3">
        <f>IF(ISNUMBER(AVERAGE('20250815_ETF_Options_Exhibits'!R773:R777)),AVERAGE('20250815_ETF_Options_Exhibits'!R773:R777),"")</f>
        <v/>
      </c>
      <c r="S777" s="3">
        <f>IF(ISNUMBER(AVERAGE('20250815_ETF_Options_Exhibits'!S773:S777)),AVERAGE('20250815_ETF_Options_Exhibits'!S773:S777),"")</f>
        <v/>
      </c>
      <c r="T777" s="3">
        <f>IF(ISNUMBER(AVERAGE('20250815_ETF_Options_Exhibits'!T773:T777)),AVERAGE('20250815_ETF_Options_Exhibits'!T773:T777),"")</f>
        <v/>
      </c>
      <c r="U777" s="3">
        <f>IF(ISNUMBER(AVERAGE('20250815_ETF_Options_Exhibits'!U773:U777)),AVERAGE('20250815_ETF_Options_Exhibits'!U773:U777),"")</f>
        <v/>
      </c>
      <c r="V777" s="3">
        <f>IF(ISNUMBER(AVERAGE('20250815_ETF_Options_Exhibits'!V773:V777)),AVERAGE('20250815_ETF_Options_Exhibits'!V773:V777),"")</f>
        <v/>
      </c>
      <c r="W777" s="3">
        <f>IF(ISNUMBER(AVERAGE('20250815_ETF_Options_Exhibits'!W773:W777)),AVERAGE('20250815_ETF_Options_Exhibits'!W773:W777),"")</f>
        <v/>
      </c>
      <c r="X777" s="3">
        <f>IF(ISNUMBER(AVERAGE('20250815_ETF_Options_Exhibits'!X773:X777)),AVERAGE('20250815_ETF_Options_Exhibits'!X773:X777),"")</f>
        <v/>
      </c>
      <c r="Y777" s="3">
        <f>IF(ISNUMBER(AVERAGE('20250815_ETF_Options_Exhibits'!Y773:Y777)),AVERAGE('20250815_ETF_Options_Exhibits'!Y773:Y777),"")</f>
        <v/>
      </c>
      <c r="Z777" s="3">
        <f>IF(ISNUMBER(AVERAGE('20250815_ETF_Options_Exhibits'!Z773:Z777)),AVERAGE('20250815_ETF_Options_Exhibits'!Z773:Z777),"")</f>
        <v/>
      </c>
      <c r="AA777" s="3">
        <f>IF(ISNUMBER(AVERAGE('20250815_ETF_Options_Exhibits'!AA773:AA777)),AVERAGE('20250815_ETF_Options_Exhibits'!AA773:AA777),"")</f>
        <v/>
      </c>
    </row>
    <row r="778">
      <c r="A778" s="1" t="n">
        <v>43132</v>
      </c>
      <c r="B778" s="3">
        <f>IF(ISNUMBER(AVERAGE('20250815_ETF_Options_Exhibits'!B774:B778)),AVERAGE('20250815_ETF_Options_Exhibits'!B774:B778),"")</f>
        <v/>
      </c>
      <c r="C778" s="3">
        <f>IF(ISNUMBER(AVERAGE('20250815_ETF_Options_Exhibits'!C774:C778)),AVERAGE('20250815_ETF_Options_Exhibits'!C774:C778),"")</f>
        <v/>
      </c>
      <c r="D778" s="3">
        <f>IF(ISNUMBER(AVERAGE('20250815_ETF_Options_Exhibits'!D774:D778)),AVERAGE('20250815_ETF_Options_Exhibits'!D774:D778),"")</f>
        <v/>
      </c>
      <c r="E778" s="3">
        <f>IF(ISNUMBER(AVERAGE('20250815_ETF_Options_Exhibits'!E774:E778)),AVERAGE('20250815_ETF_Options_Exhibits'!E774:E778),"")</f>
        <v/>
      </c>
      <c r="F778" s="3">
        <f>IF(ISNUMBER(AVERAGE('20250815_ETF_Options_Exhibits'!F774:F778)),AVERAGE('20250815_ETF_Options_Exhibits'!F774:F778),"")</f>
        <v/>
      </c>
      <c r="G778" s="3">
        <f>IF(ISNUMBER(AVERAGE('20250815_ETF_Options_Exhibits'!G774:G778)),AVERAGE('20250815_ETF_Options_Exhibits'!G774:G778),"")</f>
        <v/>
      </c>
      <c r="H778" s="3">
        <f>IF(ISNUMBER(AVERAGE('20250815_ETF_Options_Exhibits'!H774:H778)),AVERAGE('20250815_ETF_Options_Exhibits'!H774:H778),"")</f>
        <v/>
      </c>
      <c r="I778" s="3">
        <f>IF(ISNUMBER(AVERAGE('20250815_ETF_Options_Exhibits'!I774:I778)),AVERAGE('20250815_ETF_Options_Exhibits'!I774:I778),"")</f>
        <v/>
      </c>
      <c r="J778" s="3">
        <f>IF(ISNUMBER(AVERAGE('20250815_ETF_Options_Exhibits'!J774:J778)),AVERAGE('20250815_ETF_Options_Exhibits'!J774:J778),"")</f>
        <v/>
      </c>
      <c r="K778" s="3">
        <f>IF(ISNUMBER(AVERAGE('20250815_ETF_Options_Exhibits'!K774:K778)),AVERAGE('20250815_ETF_Options_Exhibits'!K774:K778),"")</f>
        <v/>
      </c>
      <c r="L778" s="3">
        <f>IF(ISNUMBER(AVERAGE('20250815_ETF_Options_Exhibits'!L774:L778)),AVERAGE('20250815_ETF_Options_Exhibits'!L774:L778),"")</f>
        <v/>
      </c>
      <c r="M778" s="3">
        <f>IF(ISNUMBER(AVERAGE('20250815_ETF_Options_Exhibits'!M774:M778)),AVERAGE('20250815_ETF_Options_Exhibits'!M774:M778),"")</f>
        <v/>
      </c>
      <c r="N778" s="3">
        <f>IF(ISNUMBER(AVERAGE('20250815_ETF_Options_Exhibits'!N774:N778)),AVERAGE('20250815_ETF_Options_Exhibits'!N774:N778),"")</f>
        <v/>
      </c>
      <c r="O778" s="3">
        <f>IF(ISNUMBER(AVERAGE('20250815_ETF_Options_Exhibits'!O774:O778)),AVERAGE('20250815_ETF_Options_Exhibits'!O774:O778),"")</f>
        <v/>
      </c>
      <c r="P778" s="3">
        <f>IF(ISNUMBER(AVERAGE('20250815_ETF_Options_Exhibits'!P774:P778)),AVERAGE('20250815_ETF_Options_Exhibits'!P774:P778),"")</f>
        <v/>
      </c>
      <c r="Q778" s="3">
        <f>IF(ISNUMBER(AVERAGE('20250815_ETF_Options_Exhibits'!Q774:Q778)),AVERAGE('20250815_ETF_Options_Exhibits'!Q774:Q778),"")</f>
        <v/>
      </c>
      <c r="R778" s="3">
        <f>IF(ISNUMBER(AVERAGE('20250815_ETF_Options_Exhibits'!R774:R778)),AVERAGE('20250815_ETF_Options_Exhibits'!R774:R778),"")</f>
        <v/>
      </c>
      <c r="S778" s="3">
        <f>IF(ISNUMBER(AVERAGE('20250815_ETF_Options_Exhibits'!S774:S778)),AVERAGE('20250815_ETF_Options_Exhibits'!S774:S778),"")</f>
        <v/>
      </c>
      <c r="T778" s="3">
        <f>IF(ISNUMBER(AVERAGE('20250815_ETF_Options_Exhibits'!T774:T778)),AVERAGE('20250815_ETF_Options_Exhibits'!T774:T778),"")</f>
        <v/>
      </c>
      <c r="U778" s="3">
        <f>IF(ISNUMBER(AVERAGE('20250815_ETF_Options_Exhibits'!U774:U778)),AVERAGE('20250815_ETF_Options_Exhibits'!U774:U778),"")</f>
        <v/>
      </c>
      <c r="V778" s="3">
        <f>IF(ISNUMBER(AVERAGE('20250815_ETF_Options_Exhibits'!V774:V778)),AVERAGE('20250815_ETF_Options_Exhibits'!V774:V778),"")</f>
        <v/>
      </c>
      <c r="W778" s="3">
        <f>IF(ISNUMBER(AVERAGE('20250815_ETF_Options_Exhibits'!W774:W778)),AVERAGE('20250815_ETF_Options_Exhibits'!W774:W778),"")</f>
        <v/>
      </c>
      <c r="X778" s="3">
        <f>IF(ISNUMBER(AVERAGE('20250815_ETF_Options_Exhibits'!X774:X778)),AVERAGE('20250815_ETF_Options_Exhibits'!X774:X778),"")</f>
        <v/>
      </c>
      <c r="Y778" s="3">
        <f>IF(ISNUMBER(AVERAGE('20250815_ETF_Options_Exhibits'!Y774:Y778)),AVERAGE('20250815_ETF_Options_Exhibits'!Y774:Y778),"")</f>
        <v/>
      </c>
      <c r="Z778" s="3">
        <f>IF(ISNUMBER(AVERAGE('20250815_ETF_Options_Exhibits'!Z774:Z778)),AVERAGE('20250815_ETF_Options_Exhibits'!Z774:Z778),"")</f>
        <v/>
      </c>
      <c r="AA778" s="3">
        <f>IF(ISNUMBER(AVERAGE('20250815_ETF_Options_Exhibits'!AA774:AA778)),AVERAGE('20250815_ETF_Options_Exhibits'!AA774:AA778),"")</f>
        <v/>
      </c>
    </row>
    <row r="779">
      <c r="A779" s="1" t="n">
        <v>43133</v>
      </c>
      <c r="B779" s="3">
        <f>IF(ISNUMBER(AVERAGE('20250815_ETF_Options_Exhibits'!B775:B779)),AVERAGE('20250815_ETF_Options_Exhibits'!B775:B779),"")</f>
        <v/>
      </c>
      <c r="C779" s="3">
        <f>IF(ISNUMBER(AVERAGE('20250815_ETF_Options_Exhibits'!C775:C779)),AVERAGE('20250815_ETF_Options_Exhibits'!C775:C779),"")</f>
        <v/>
      </c>
      <c r="D779" s="3">
        <f>IF(ISNUMBER(AVERAGE('20250815_ETF_Options_Exhibits'!D775:D779)),AVERAGE('20250815_ETF_Options_Exhibits'!D775:D779),"")</f>
        <v/>
      </c>
      <c r="E779" s="3">
        <f>IF(ISNUMBER(AVERAGE('20250815_ETF_Options_Exhibits'!E775:E779)),AVERAGE('20250815_ETF_Options_Exhibits'!E775:E779),"")</f>
        <v/>
      </c>
      <c r="F779" s="3">
        <f>IF(ISNUMBER(AVERAGE('20250815_ETF_Options_Exhibits'!F775:F779)),AVERAGE('20250815_ETF_Options_Exhibits'!F775:F779),"")</f>
        <v/>
      </c>
      <c r="G779" s="3">
        <f>IF(ISNUMBER(AVERAGE('20250815_ETF_Options_Exhibits'!G775:G779)),AVERAGE('20250815_ETF_Options_Exhibits'!G775:G779),"")</f>
        <v/>
      </c>
      <c r="H779" s="3">
        <f>IF(ISNUMBER(AVERAGE('20250815_ETF_Options_Exhibits'!H775:H779)),AVERAGE('20250815_ETF_Options_Exhibits'!H775:H779),"")</f>
        <v/>
      </c>
      <c r="I779" s="3">
        <f>IF(ISNUMBER(AVERAGE('20250815_ETF_Options_Exhibits'!I775:I779)),AVERAGE('20250815_ETF_Options_Exhibits'!I775:I779),"")</f>
        <v/>
      </c>
      <c r="J779" s="3">
        <f>IF(ISNUMBER(AVERAGE('20250815_ETF_Options_Exhibits'!J775:J779)),AVERAGE('20250815_ETF_Options_Exhibits'!J775:J779),"")</f>
        <v/>
      </c>
      <c r="K779" s="3">
        <f>IF(ISNUMBER(AVERAGE('20250815_ETF_Options_Exhibits'!K775:K779)),AVERAGE('20250815_ETF_Options_Exhibits'!K775:K779),"")</f>
        <v/>
      </c>
      <c r="L779" s="3">
        <f>IF(ISNUMBER(AVERAGE('20250815_ETF_Options_Exhibits'!L775:L779)),AVERAGE('20250815_ETF_Options_Exhibits'!L775:L779),"")</f>
        <v/>
      </c>
      <c r="M779" s="3">
        <f>IF(ISNUMBER(AVERAGE('20250815_ETF_Options_Exhibits'!M775:M779)),AVERAGE('20250815_ETF_Options_Exhibits'!M775:M779),"")</f>
        <v/>
      </c>
      <c r="N779" s="3">
        <f>IF(ISNUMBER(AVERAGE('20250815_ETF_Options_Exhibits'!N775:N779)),AVERAGE('20250815_ETF_Options_Exhibits'!N775:N779),"")</f>
        <v/>
      </c>
      <c r="O779" s="3">
        <f>IF(ISNUMBER(AVERAGE('20250815_ETF_Options_Exhibits'!O775:O779)),AVERAGE('20250815_ETF_Options_Exhibits'!O775:O779),"")</f>
        <v/>
      </c>
      <c r="P779" s="3">
        <f>IF(ISNUMBER(AVERAGE('20250815_ETF_Options_Exhibits'!P775:P779)),AVERAGE('20250815_ETF_Options_Exhibits'!P775:P779),"")</f>
        <v/>
      </c>
      <c r="Q779" s="3">
        <f>IF(ISNUMBER(AVERAGE('20250815_ETF_Options_Exhibits'!Q775:Q779)),AVERAGE('20250815_ETF_Options_Exhibits'!Q775:Q779),"")</f>
        <v/>
      </c>
      <c r="R779" s="3">
        <f>IF(ISNUMBER(AVERAGE('20250815_ETF_Options_Exhibits'!R775:R779)),AVERAGE('20250815_ETF_Options_Exhibits'!R775:R779),"")</f>
        <v/>
      </c>
      <c r="S779" s="3">
        <f>IF(ISNUMBER(AVERAGE('20250815_ETF_Options_Exhibits'!S775:S779)),AVERAGE('20250815_ETF_Options_Exhibits'!S775:S779),"")</f>
        <v/>
      </c>
      <c r="T779" s="3">
        <f>IF(ISNUMBER(AVERAGE('20250815_ETF_Options_Exhibits'!T775:T779)),AVERAGE('20250815_ETF_Options_Exhibits'!T775:T779),"")</f>
        <v/>
      </c>
      <c r="U779" s="3">
        <f>IF(ISNUMBER(AVERAGE('20250815_ETF_Options_Exhibits'!U775:U779)),AVERAGE('20250815_ETF_Options_Exhibits'!U775:U779),"")</f>
        <v/>
      </c>
      <c r="V779" s="3">
        <f>IF(ISNUMBER(AVERAGE('20250815_ETF_Options_Exhibits'!V775:V779)),AVERAGE('20250815_ETF_Options_Exhibits'!V775:V779),"")</f>
        <v/>
      </c>
      <c r="W779" s="3">
        <f>IF(ISNUMBER(AVERAGE('20250815_ETF_Options_Exhibits'!W775:W779)),AVERAGE('20250815_ETF_Options_Exhibits'!W775:W779),"")</f>
        <v/>
      </c>
      <c r="X779" s="3">
        <f>IF(ISNUMBER(AVERAGE('20250815_ETF_Options_Exhibits'!X775:X779)),AVERAGE('20250815_ETF_Options_Exhibits'!X775:X779),"")</f>
        <v/>
      </c>
      <c r="Y779" s="3">
        <f>IF(ISNUMBER(AVERAGE('20250815_ETF_Options_Exhibits'!Y775:Y779)),AVERAGE('20250815_ETF_Options_Exhibits'!Y775:Y779),"")</f>
        <v/>
      </c>
      <c r="Z779" s="3">
        <f>IF(ISNUMBER(AVERAGE('20250815_ETF_Options_Exhibits'!Z775:Z779)),AVERAGE('20250815_ETF_Options_Exhibits'!Z775:Z779),"")</f>
        <v/>
      </c>
      <c r="AA779" s="3">
        <f>IF(ISNUMBER(AVERAGE('20250815_ETF_Options_Exhibits'!AA775:AA779)),AVERAGE('20250815_ETF_Options_Exhibits'!AA775:AA779),"")</f>
        <v/>
      </c>
    </row>
    <row r="780">
      <c r="A780" s="1" t="n">
        <v>43136</v>
      </c>
      <c r="B780" s="3">
        <f>IF(ISNUMBER(AVERAGE('20250815_ETF_Options_Exhibits'!B776:B780)),AVERAGE('20250815_ETF_Options_Exhibits'!B776:B780),"")</f>
        <v/>
      </c>
      <c r="C780" s="3">
        <f>IF(ISNUMBER(AVERAGE('20250815_ETF_Options_Exhibits'!C776:C780)),AVERAGE('20250815_ETF_Options_Exhibits'!C776:C780),"")</f>
        <v/>
      </c>
      <c r="D780" s="3">
        <f>IF(ISNUMBER(AVERAGE('20250815_ETF_Options_Exhibits'!D776:D780)),AVERAGE('20250815_ETF_Options_Exhibits'!D776:D780),"")</f>
        <v/>
      </c>
      <c r="E780" s="3">
        <f>IF(ISNUMBER(AVERAGE('20250815_ETF_Options_Exhibits'!E776:E780)),AVERAGE('20250815_ETF_Options_Exhibits'!E776:E780),"")</f>
        <v/>
      </c>
      <c r="F780" s="3">
        <f>IF(ISNUMBER(AVERAGE('20250815_ETF_Options_Exhibits'!F776:F780)),AVERAGE('20250815_ETF_Options_Exhibits'!F776:F780),"")</f>
        <v/>
      </c>
      <c r="G780" s="3">
        <f>IF(ISNUMBER(AVERAGE('20250815_ETF_Options_Exhibits'!G776:G780)),AVERAGE('20250815_ETF_Options_Exhibits'!G776:G780),"")</f>
        <v/>
      </c>
      <c r="H780" s="3">
        <f>IF(ISNUMBER(AVERAGE('20250815_ETF_Options_Exhibits'!H776:H780)),AVERAGE('20250815_ETF_Options_Exhibits'!H776:H780),"")</f>
        <v/>
      </c>
      <c r="I780" s="3">
        <f>IF(ISNUMBER(AVERAGE('20250815_ETF_Options_Exhibits'!I776:I780)),AVERAGE('20250815_ETF_Options_Exhibits'!I776:I780),"")</f>
        <v/>
      </c>
      <c r="J780" s="3">
        <f>IF(ISNUMBER(AVERAGE('20250815_ETF_Options_Exhibits'!J776:J780)),AVERAGE('20250815_ETF_Options_Exhibits'!J776:J780),"")</f>
        <v/>
      </c>
      <c r="K780" s="3">
        <f>IF(ISNUMBER(AVERAGE('20250815_ETF_Options_Exhibits'!K776:K780)),AVERAGE('20250815_ETF_Options_Exhibits'!K776:K780),"")</f>
        <v/>
      </c>
      <c r="L780" s="3">
        <f>IF(ISNUMBER(AVERAGE('20250815_ETF_Options_Exhibits'!L776:L780)),AVERAGE('20250815_ETF_Options_Exhibits'!L776:L780),"")</f>
        <v/>
      </c>
      <c r="M780" s="3">
        <f>IF(ISNUMBER(AVERAGE('20250815_ETF_Options_Exhibits'!M776:M780)),AVERAGE('20250815_ETF_Options_Exhibits'!M776:M780),"")</f>
        <v/>
      </c>
      <c r="N780" s="3">
        <f>IF(ISNUMBER(AVERAGE('20250815_ETF_Options_Exhibits'!N776:N780)),AVERAGE('20250815_ETF_Options_Exhibits'!N776:N780),"")</f>
        <v/>
      </c>
      <c r="O780" s="3">
        <f>IF(ISNUMBER(AVERAGE('20250815_ETF_Options_Exhibits'!O776:O780)),AVERAGE('20250815_ETF_Options_Exhibits'!O776:O780),"")</f>
        <v/>
      </c>
      <c r="P780" s="3">
        <f>IF(ISNUMBER(AVERAGE('20250815_ETF_Options_Exhibits'!P776:P780)),AVERAGE('20250815_ETF_Options_Exhibits'!P776:P780),"")</f>
        <v/>
      </c>
      <c r="Q780" s="3">
        <f>IF(ISNUMBER(AVERAGE('20250815_ETF_Options_Exhibits'!Q776:Q780)),AVERAGE('20250815_ETF_Options_Exhibits'!Q776:Q780),"")</f>
        <v/>
      </c>
      <c r="R780" s="3">
        <f>IF(ISNUMBER(AVERAGE('20250815_ETF_Options_Exhibits'!R776:R780)),AVERAGE('20250815_ETF_Options_Exhibits'!R776:R780),"")</f>
        <v/>
      </c>
      <c r="S780" s="3">
        <f>IF(ISNUMBER(AVERAGE('20250815_ETF_Options_Exhibits'!S776:S780)),AVERAGE('20250815_ETF_Options_Exhibits'!S776:S780),"")</f>
        <v/>
      </c>
      <c r="T780" s="3">
        <f>IF(ISNUMBER(AVERAGE('20250815_ETF_Options_Exhibits'!T776:T780)),AVERAGE('20250815_ETF_Options_Exhibits'!T776:T780),"")</f>
        <v/>
      </c>
      <c r="U780" s="3">
        <f>IF(ISNUMBER(AVERAGE('20250815_ETF_Options_Exhibits'!U776:U780)),AVERAGE('20250815_ETF_Options_Exhibits'!U776:U780),"")</f>
        <v/>
      </c>
      <c r="V780" s="3">
        <f>IF(ISNUMBER(AVERAGE('20250815_ETF_Options_Exhibits'!V776:V780)),AVERAGE('20250815_ETF_Options_Exhibits'!V776:V780),"")</f>
        <v/>
      </c>
      <c r="W780" s="3">
        <f>IF(ISNUMBER(AVERAGE('20250815_ETF_Options_Exhibits'!W776:W780)),AVERAGE('20250815_ETF_Options_Exhibits'!W776:W780),"")</f>
        <v/>
      </c>
      <c r="X780" s="3">
        <f>IF(ISNUMBER(AVERAGE('20250815_ETF_Options_Exhibits'!X776:X780)),AVERAGE('20250815_ETF_Options_Exhibits'!X776:X780),"")</f>
        <v/>
      </c>
      <c r="Y780" s="3">
        <f>IF(ISNUMBER(AVERAGE('20250815_ETF_Options_Exhibits'!Y776:Y780)),AVERAGE('20250815_ETF_Options_Exhibits'!Y776:Y780),"")</f>
        <v/>
      </c>
      <c r="Z780" s="3">
        <f>IF(ISNUMBER(AVERAGE('20250815_ETF_Options_Exhibits'!Z776:Z780)),AVERAGE('20250815_ETF_Options_Exhibits'!Z776:Z780),"")</f>
        <v/>
      </c>
      <c r="AA780" s="3">
        <f>IF(ISNUMBER(AVERAGE('20250815_ETF_Options_Exhibits'!AA776:AA780)),AVERAGE('20250815_ETF_Options_Exhibits'!AA776:AA780),"")</f>
        <v/>
      </c>
    </row>
    <row r="781">
      <c r="A781" s="1" t="n">
        <v>43137</v>
      </c>
      <c r="B781" s="3">
        <f>IF(ISNUMBER(AVERAGE('20250815_ETF_Options_Exhibits'!B777:B781)),AVERAGE('20250815_ETF_Options_Exhibits'!B777:B781),"")</f>
        <v/>
      </c>
      <c r="C781" s="3">
        <f>IF(ISNUMBER(AVERAGE('20250815_ETF_Options_Exhibits'!C777:C781)),AVERAGE('20250815_ETF_Options_Exhibits'!C777:C781),"")</f>
        <v/>
      </c>
      <c r="D781" s="3">
        <f>IF(ISNUMBER(AVERAGE('20250815_ETF_Options_Exhibits'!D777:D781)),AVERAGE('20250815_ETF_Options_Exhibits'!D777:D781),"")</f>
        <v/>
      </c>
      <c r="E781" s="3">
        <f>IF(ISNUMBER(AVERAGE('20250815_ETF_Options_Exhibits'!E777:E781)),AVERAGE('20250815_ETF_Options_Exhibits'!E777:E781),"")</f>
        <v/>
      </c>
      <c r="F781" s="3">
        <f>IF(ISNUMBER(AVERAGE('20250815_ETF_Options_Exhibits'!F777:F781)),AVERAGE('20250815_ETF_Options_Exhibits'!F777:F781),"")</f>
        <v/>
      </c>
      <c r="G781" s="3">
        <f>IF(ISNUMBER(AVERAGE('20250815_ETF_Options_Exhibits'!G777:G781)),AVERAGE('20250815_ETF_Options_Exhibits'!G777:G781),"")</f>
        <v/>
      </c>
      <c r="H781" s="3">
        <f>IF(ISNUMBER(AVERAGE('20250815_ETF_Options_Exhibits'!H777:H781)),AVERAGE('20250815_ETF_Options_Exhibits'!H777:H781),"")</f>
        <v/>
      </c>
      <c r="I781" s="3">
        <f>IF(ISNUMBER(AVERAGE('20250815_ETF_Options_Exhibits'!I777:I781)),AVERAGE('20250815_ETF_Options_Exhibits'!I777:I781),"")</f>
        <v/>
      </c>
      <c r="J781" s="3">
        <f>IF(ISNUMBER(AVERAGE('20250815_ETF_Options_Exhibits'!J777:J781)),AVERAGE('20250815_ETF_Options_Exhibits'!J777:J781),"")</f>
        <v/>
      </c>
      <c r="K781" s="3">
        <f>IF(ISNUMBER(AVERAGE('20250815_ETF_Options_Exhibits'!K777:K781)),AVERAGE('20250815_ETF_Options_Exhibits'!K777:K781),"")</f>
        <v/>
      </c>
      <c r="L781" s="3">
        <f>IF(ISNUMBER(AVERAGE('20250815_ETF_Options_Exhibits'!L777:L781)),AVERAGE('20250815_ETF_Options_Exhibits'!L777:L781),"")</f>
        <v/>
      </c>
      <c r="M781" s="3">
        <f>IF(ISNUMBER(AVERAGE('20250815_ETF_Options_Exhibits'!M777:M781)),AVERAGE('20250815_ETF_Options_Exhibits'!M777:M781),"")</f>
        <v/>
      </c>
      <c r="N781" s="3">
        <f>IF(ISNUMBER(AVERAGE('20250815_ETF_Options_Exhibits'!N777:N781)),AVERAGE('20250815_ETF_Options_Exhibits'!N777:N781),"")</f>
        <v/>
      </c>
      <c r="O781" s="3">
        <f>IF(ISNUMBER(AVERAGE('20250815_ETF_Options_Exhibits'!O777:O781)),AVERAGE('20250815_ETF_Options_Exhibits'!O777:O781),"")</f>
        <v/>
      </c>
      <c r="P781" s="3">
        <f>IF(ISNUMBER(AVERAGE('20250815_ETF_Options_Exhibits'!P777:P781)),AVERAGE('20250815_ETF_Options_Exhibits'!P777:P781),"")</f>
        <v/>
      </c>
      <c r="Q781" s="3">
        <f>IF(ISNUMBER(AVERAGE('20250815_ETF_Options_Exhibits'!Q777:Q781)),AVERAGE('20250815_ETF_Options_Exhibits'!Q777:Q781),"")</f>
        <v/>
      </c>
      <c r="R781" s="3">
        <f>IF(ISNUMBER(AVERAGE('20250815_ETF_Options_Exhibits'!R777:R781)),AVERAGE('20250815_ETF_Options_Exhibits'!R777:R781),"")</f>
        <v/>
      </c>
      <c r="S781" s="3">
        <f>IF(ISNUMBER(AVERAGE('20250815_ETF_Options_Exhibits'!S777:S781)),AVERAGE('20250815_ETF_Options_Exhibits'!S777:S781),"")</f>
        <v/>
      </c>
      <c r="T781" s="3">
        <f>IF(ISNUMBER(AVERAGE('20250815_ETF_Options_Exhibits'!T777:T781)),AVERAGE('20250815_ETF_Options_Exhibits'!T777:T781),"")</f>
        <v/>
      </c>
      <c r="U781" s="3">
        <f>IF(ISNUMBER(AVERAGE('20250815_ETF_Options_Exhibits'!U777:U781)),AVERAGE('20250815_ETF_Options_Exhibits'!U777:U781),"")</f>
        <v/>
      </c>
      <c r="V781" s="3">
        <f>IF(ISNUMBER(AVERAGE('20250815_ETF_Options_Exhibits'!V777:V781)),AVERAGE('20250815_ETF_Options_Exhibits'!V777:V781),"")</f>
        <v/>
      </c>
      <c r="W781" s="3">
        <f>IF(ISNUMBER(AVERAGE('20250815_ETF_Options_Exhibits'!W777:W781)),AVERAGE('20250815_ETF_Options_Exhibits'!W777:W781),"")</f>
        <v/>
      </c>
      <c r="X781" s="3">
        <f>IF(ISNUMBER(AVERAGE('20250815_ETF_Options_Exhibits'!X777:X781)),AVERAGE('20250815_ETF_Options_Exhibits'!X777:X781),"")</f>
        <v/>
      </c>
      <c r="Y781" s="3">
        <f>IF(ISNUMBER(AVERAGE('20250815_ETF_Options_Exhibits'!Y777:Y781)),AVERAGE('20250815_ETF_Options_Exhibits'!Y777:Y781),"")</f>
        <v/>
      </c>
      <c r="Z781" s="3">
        <f>IF(ISNUMBER(AVERAGE('20250815_ETF_Options_Exhibits'!Z777:Z781)),AVERAGE('20250815_ETF_Options_Exhibits'!Z777:Z781),"")</f>
        <v/>
      </c>
      <c r="AA781" s="3">
        <f>IF(ISNUMBER(AVERAGE('20250815_ETF_Options_Exhibits'!AA777:AA781)),AVERAGE('20250815_ETF_Options_Exhibits'!AA777:AA781),"")</f>
        <v/>
      </c>
    </row>
    <row r="782">
      <c r="A782" s="1" t="n">
        <v>43138</v>
      </c>
      <c r="B782" s="3">
        <f>IF(ISNUMBER(AVERAGE('20250815_ETF_Options_Exhibits'!B778:B782)),AVERAGE('20250815_ETF_Options_Exhibits'!B778:B782),"")</f>
        <v/>
      </c>
      <c r="C782" s="3">
        <f>IF(ISNUMBER(AVERAGE('20250815_ETF_Options_Exhibits'!C778:C782)),AVERAGE('20250815_ETF_Options_Exhibits'!C778:C782),"")</f>
        <v/>
      </c>
      <c r="D782" s="3">
        <f>IF(ISNUMBER(AVERAGE('20250815_ETF_Options_Exhibits'!D778:D782)),AVERAGE('20250815_ETF_Options_Exhibits'!D778:D782),"")</f>
        <v/>
      </c>
      <c r="E782" s="3">
        <f>IF(ISNUMBER(AVERAGE('20250815_ETF_Options_Exhibits'!E778:E782)),AVERAGE('20250815_ETF_Options_Exhibits'!E778:E782),"")</f>
        <v/>
      </c>
      <c r="F782" s="3">
        <f>IF(ISNUMBER(AVERAGE('20250815_ETF_Options_Exhibits'!F778:F782)),AVERAGE('20250815_ETF_Options_Exhibits'!F778:F782),"")</f>
        <v/>
      </c>
      <c r="G782" s="3">
        <f>IF(ISNUMBER(AVERAGE('20250815_ETF_Options_Exhibits'!G778:G782)),AVERAGE('20250815_ETF_Options_Exhibits'!G778:G782),"")</f>
        <v/>
      </c>
      <c r="H782" s="3">
        <f>IF(ISNUMBER(AVERAGE('20250815_ETF_Options_Exhibits'!H778:H782)),AVERAGE('20250815_ETF_Options_Exhibits'!H778:H782),"")</f>
        <v/>
      </c>
      <c r="I782" s="3">
        <f>IF(ISNUMBER(AVERAGE('20250815_ETF_Options_Exhibits'!I778:I782)),AVERAGE('20250815_ETF_Options_Exhibits'!I778:I782),"")</f>
        <v/>
      </c>
      <c r="J782" s="3">
        <f>IF(ISNUMBER(AVERAGE('20250815_ETF_Options_Exhibits'!J778:J782)),AVERAGE('20250815_ETF_Options_Exhibits'!J778:J782),"")</f>
        <v/>
      </c>
      <c r="K782" s="3">
        <f>IF(ISNUMBER(AVERAGE('20250815_ETF_Options_Exhibits'!K778:K782)),AVERAGE('20250815_ETF_Options_Exhibits'!K778:K782),"")</f>
        <v/>
      </c>
      <c r="L782" s="3">
        <f>IF(ISNUMBER(AVERAGE('20250815_ETF_Options_Exhibits'!L778:L782)),AVERAGE('20250815_ETF_Options_Exhibits'!L778:L782),"")</f>
        <v/>
      </c>
      <c r="M782" s="3">
        <f>IF(ISNUMBER(AVERAGE('20250815_ETF_Options_Exhibits'!M778:M782)),AVERAGE('20250815_ETF_Options_Exhibits'!M778:M782),"")</f>
        <v/>
      </c>
      <c r="N782" s="3">
        <f>IF(ISNUMBER(AVERAGE('20250815_ETF_Options_Exhibits'!N778:N782)),AVERAGE('20250815_ETF_Options_Exhibits'!N778:N782),"")</f>
        <v/>
      </c>
      <c r="O782" s="3">
        <f>IF(ISNUMBER(AVERAGE('20250815_ETF_Options_Exhibits'!O778:O782)),AVERAGE('20250815_ETF_Options_Exhibits'!O778:O782),"")</f>
        <v/>
      </c>
      <c r="P782" s="3">
        <f>IF(ISNUMBER(AVERAGE('20250815_ETF_Options_Exhibits'!P778:P782)),AVERAGE('20250815_ETF_Options_Exhibits'!P778:P782),"")</f>
        <v/>
      </c>
      <c r="Q782" s="3">
        <f>IF(ISNUMBER(AVERAGE('20250815_ETF_Options_Exhibits'!Q778:Q782)),AVERAGE('20250815_ETF_Options_Exhibits'!Q778:Q782),"")</f>
        <v/>
      </c>
      <c r="R782" s="3">
        <f>IF(ISNUMBER(AVERAGE('20250815_ETF_Options_Exhibits'!R778:R782)),AVERAGE('20250815_ETF_Options_Exhibits'!R778:R782),"")</f>
        <v/>
      </c>
      <c r="S782" s="3">
        <f>IF(ISNUMBER(AVERAGE('20250815_ETF_Options_Exhibits'!S778:S782)),AVERAGE('20250815_ETF_Options_Exhibits'!S778:S782),"")</f>
        <v/>
      </c>
      <c r="T782" s="3">
        <f>IF(ISNUMBER(AVERAGE('20250815_ETF_Options_Exhibits'!T778:T782)),AVERAGE('20250815_ETF_Options_Exhibits'!T778:T782),"")</f>
        <v/>
      </c>
      <c r="U782" s="3">
        <f>IF(ISNUMBER(AVERAGE('20250815_ETF_Options_Exhibits'!U778:U782)),AVERAGE('20250815_ETF_Options_Exhibits'!U778:U782),"")</f>
        <v/>
      </c>
      <c r="V782" s="3">
        <f>IF(ISNUMBER(AVERAGE('20250815_ETF_Options_Exhibits'!V778:V782)),AVERAGE('20250815_ETF_Options_Exhibits'!V778:V782),"")</f>
        <v/>
      </c>
      <c r="W782" s="3">
        <f>IF(ISNUMBER(AVERAGE('20250815_ETF_Options_Exhibits'!W778:W782)),AVERAGE('20250815_ETF_Options_Exhibits'!W778:W782),"")</f>
        <v/>
      </c>
      <c r="X782" s="3">
        <f>IF(ISNUMBER(AVERAGE('20250815_ETF_Options_Exhibits'!X778:X782)),AVERAGE('20250815_ETF_Options_Exhibits'!X778:X782),"")</f>
        <v/>
      </c>
      <c r="Y782" s="3">
        <f>IF(ISNUMBER(AVERAGE('20250815_ETF_Options_Exhibits'!Y778:Y782)),AVERAGE('20250815_ETF_Options_Exhibits'!Y778:Y782),"")</f>
        <v/>
      </c>
      <c r="Z782" s="3">
        <f>IF(ISNUMBER(AVERAGE('20250815_ETF_Options_Exhibits'!Z778:Z782)),AVERAGE('20250815_ETF_Options_Exhibits'!Z778:Z782),"")</f>
        <v/>
      </c>
      <c r="AA782" s="3">
        <f>IF(ISNUMBER(AVERAGE('20250815_ETF_Options_Exhibits'!AA778:AA782)),AVERAGE('20250815_ETF_Options_Exhibits'!AA778:AA782),"")</f>
        <v/>
      </c>
    </row>
    <row r="783">
      <c r="A783" s="1" t="n">
        <v>43139</v>
      </c>
      <c r="B783" s="3">
        <f>IF(ISNUMBER(AVERAGE('20250815_ETF_Options_Exhibits'!B779:B783)),AVERAGE('20250815_ETF_Options_Exhibits'!B779:B783),"")</f>
        <v/>
      </c>
      <c r="C783" s="3">
        <f>IF(ISNUMBER(AVERAGE('20250815_ETF_Options_Exhibits'!C779:C783)),AVERAGE('20250815_ETF_Options_Exhibits'!C779:C783),"")</f>
        <v/>
      </c>
      <c r="D783" s="3">
        <f>IF(ISNUMBER(AVERAGE('20250815_ETF_Options_Exhibits'!D779:D783)),AVERAGE('20250815_ETF_Options_Exhibits'!D779:D783),"")</f>
        <v/>
      </c>
      <c r="E783" s="3">
        <f>IF(ISNUMBER(AVERAGE('20250815_ETF_Options_Exhibits'!E779:E783)),AVERAGE('20250815_ETF_Options_Exhibits'!E779:E783),"")</f>
        <v/>
      </c>
      <c r="F783" s="3">
        <f>IF(ISNUMBER(AVERAGE('20250815_ETF_Options_Exhibits'!F779:F783)),AVERAGE('20250815_ETF_Options_Exhibits'!F779:F783),"")</f>
        <v/>
      </c>
      <c r="G783" s="3">
        <f>IF(ISNUMBER(AVERAGE('20250815_ETF_Options_Exhibits'!G779:G783)),AVERAGE('20250815_ETF_Options_Exhibits'!G779:G783),"")</f>
        <v/>
      </c>
      <c r="H783" s="3">
        <f>IF(ISNUMBER(AVERAGE('20250815_ETF_Options_Exhibits'!H779:H783)),AVERAGE('20250815_ETF_Options_Exhibits'!H779:H783),"")</f>
        <v/>
      </c>
      <c r="I783" s="3">
        <f>IF(ISNUMBER(AVERAGE('20250815_ETF_Options_Exhibits'!I779:I783)),AVERAGE('20250815_ETF_Options_Exhibits'!I779:I783),"")</f>
        <v/>
      </c>
      <c r="J783" s="3">
        <f>IF(ISNUMBER(AVERAGE('20250815_ETF_Options_Exhibits'!J779:J783)),AVERAGE('20250815_ETF_Options_Exhibits'!J779:J783),"")</f>
        <v/>
      </c>
      <c r="K783" s="3">
        <f>IF(ISNUMBER(AVERAGE('20250815_ETF_Options_Exhibits'!K779:K783)),AVERAGE('20250815_ETF_Options_Exhibits'!K779:K783),"")</f>
        <v/>
      </c>
      <c r="L783" s="3">
        <f>IF(ISNUMBER(AVERAGE('20250815_ETF_Options_Exhibits'!L779:L783)),AVERAGE('20250815_ETF_Options_Exhibits'!L779:L783),"")</f>
        <v/>
      </c>
      <c r="M783" s="3">
        <f>IF(ISNUMBER(AVERAGE('20250815_ETF_Options_Exhibits'!M779:M783)),AVERAGE('20250815_ETF_Options_Exhibits'!M779:M783),"")</f>
        <v/>
      </c>
      <c r="N783" s="3">
        <f>IF(ISNUMBER(AVERAGE('20250815_ETF_Options_Exhibits'!N779:N783)),AVERAGE('20250815_ETF_Options_Exhibits'!N779:N783),"")</f>
        <v/>
      </c>
      <c r="O783" s="3">
        <f>IF(ISNUMBER(AVERAGE('20250815_ETF_Options_Exhibits'!O779:O783)),AVERAGE('20250815_ETF_Options_Exhibits'!O779:O783),"")</f>
        <v/>
      </c>
      <c r="P783" s="3">
        <f>IF(ISNUMBER(AVERAGE('20250815_ETF_Options_Exhibits'!P779:P783)),AVERAGE('20250815_ETF_Options_Exhibits'!P779:P783),"")</f>
        <v/>
      </c>
      <c r="Q783" s="3">
        <f>IF(ISNUMBER(AVERAGE('20250815_ETF_Options_Exhibits'!Q779:Q783)),AVERAGE('20250815_ETF_Options_Exhibits'!Q779:Q783),"")</f>
        <v/>
      </c>
      <c r="R783" s="3">
        <f>IF(ISNUMBER(AVERAGE('20250815_ETF_Options_Exhibits'!R779:R783)),AVERAGE('20250815_ETF_Options_Exhibits'!R779:R783),"")</f>
        <v/>
      </c>
      <c r="S783" s="3">
        <f>IF(ISNUMBER(AVERAGE('20250815_ETF_Options_Exhibits'!S779:S783)),AVERAGE('20250815_ETF_Options_Exhibits'!S779:S783),"")</f>
        <v/>
      </c>
      <c r="T783" s="3">
        <f>IF(ISNUMBER(AVERAGE('20250815_ETF_Options_Exhibits'!T779:T783)),AVERAGE('20250815_ETF_Options_Exhibits'!T779:T783),"")</f>
        <v/>
      </c>
      <c r="U783" s="3">
        <f>IF(ISNUMBER(AVERAGE('20250815_ETF_Options_Exhibits'!U779:U783)),AVERAGE('20250815_ETF_Options_Exhibits'!U779:U783),"")</f>
        <v/>
      </c>
      <c r="V783" s="3">
        <f>IF(ISNUMBER(AVERAGE('20250815_ETF_Options_Exhibits'!V779:V783)),AVERAGE('20250815_ETF_Options_Exhibits'!V779:V783),"")</f>
        <v/>
      </c>
      <c r="W783" s="3">
        <f>IF(ISNUMBER(AVERAGE('20250815_ETF_Options_Exhibits'!W779:W783)),AVERAGE('20250815_ETF_Options_Exhibits'!W779:W783),"")</f>
        <v/>
      </c>
      <c r="X783" s="3">
        <f>IF(ISNUMBER(AVERAGE('20250815_ETF_Options_Exhibits'!X779:X783)),AVERAGE('20250815_ETF_Options_Exhibits'!X779:X783),"")</f>
        <v/>
      </c>
      <c r="Y783" s="3">
        <f>IF(ISNUMBER(AVERAGE('20250815_ETF_Options_Exhibits'!Y779:Y783)),AVERAGE('20250815_ETF_Options_Exhibits'!Y779:Y783),"")</f>
        <v/>
      </c>
      <c r="Z783" s="3">
        <f>IF(ISNUMBER(AVERAGE('20250815_ETF_Options_Exhibits'!Z779:Z783)),AVERAGE('20250815_ETF_Options_Exhibits'!Z779:Z783),"")</f>
        <v/>
      </c>
      <c r="AA783" s="3">
        <f>IF(ISNUMBER(AVERAGE('20250815_ETF_Options_Exhibits'!AA779:AA783)),AVERAGE('20250815_ETF_Options_Exhibits'!AA779:AA783),"")</f>
        <v/>
      </c>
    </row>
    <row r="784">
      <c r="A784" s="1" t="n">
        <v>43140</v>
      </c>
      <c r="B784" s="3">
        <f>IF(ISNUMBER(AVERAGE('20250815_ETF_Options_Exhibits'!B780:B784)),AVERAGE('20250815_ETF_Options_Exhibits'!B780:B784),"")</f>
        <v/>
      </c>
      <c r="C784" s="3">
        <f>IF(ISNUMBER(AVERAGE('20250815_ETF_Options_Exhibits'!C780:C784)),AVERAGE('20250815_ETF_Options_Exhibits'!C780:C784),"")</f>
        <v/>
      </c>
      <c r="D784" s="3">
        <f>IF(ISNUMBER(AVERAGE('20250815_ETF_Options_Exhibits'!D780:D784)),AVERAGE('20250815_ETF_Options_Exhibits'!D780:D784),"")</f>
        <v/>
      </c>
      <c r="E784" s="3">
        <f>IF(ISNUMBER(AVERAGE('20250815_ETF_Options_Exhibits'!E780:E784)),AVERAGE('20250815_ETF_Options_Exhibits'!E780:E784),"")</f>
        <v/>
      </c>
      <c r="F784" s="3">
        <f>IF(ISNUMBER(AVERAGE('20250815_ETF_Options_Exhibits'!F780:F784)),AVERAGE('20250815_ETF_Options_Exhibits'!F780:F784),"")</f>
        <v/>
      </c>
      <c r="G784" s="3">
        <f>IF(ISNUMBER(AVERAGE('20250815_ETF_Options_Exhibits'!G780:G784)),AVERAGE('20250815_ETF_Options_Exhibits'!G780:G784),"")</f>
        <v/>
      </c>
      <c r="H784" s="3">
        <f>IF(ISNUMBER(AVERAGE('20250815_ETF_Options_Exhibits'!H780:H784)),AVERAGE('20250815_ETF_Options_Exhibits'!H780:H784),"")</f>
        <v/>
      </c>
      <c r="I784" s="3">
        <f>IF(ISNUMBER(AVERAGE('20250815_ETF_Options_Exhibits'!I780:I784)),AVERAGE('20250815_ETF_Options_Exhibits'!I780:I784),"")</f>
        <v/>
      </c>
      <c r="J784" s="3">
        <f>IF(ISNUMBER(AVERAGE('20250815_ETF_Options_Exhibits'!J780:J784)),AVERAGE('20250815_ETF_Options_Exhibits'!J780:J784),"")</f>
        <v/>
      </c>
      <c r="K784" s="3">
        <f>IF(ISNUMBER(AVERAGE('20250815_ETF_Options_Exhibits'!K780:K784)),AVERAGE('20250815_ETF_Options_Exhibits'!K780:K784),"")</f>
        <v/>
      </c>
      <c r="L784" s="3">
        <f>IF(ISNUMBER(AVERAGE('20250815_ETF_Options_Exhibits'!L780:L784)),AVERAGE('20250815_ETF_Options_Exhibits'!L780:L784),"")</f>
        <v/>
      </c>
      <c r="M784" s="3">
        <f>IF(ISNUMBER(AVERAGE('20250815_ETF_Options_Exhibits'!M780:M784)),AVERAGE('20250815_ETF_Options_Exhibits'!M780:M784),"")</f>
        <v/>
      </c>
      <c r="N784" s="3">
        <f>IF(ISNUMBER(AVERAGE('20250815_ETF_Options_Exhibits'!N780:N784)),AVERAGE('20250815_ETF_Options_Exhibits'!N780:N784),"")</f>
        <v/>
      </c>
      <c r="O784" s="3">
        <f>IF(ISNUMBER(AVERAGE('20250815_ETF_Options_Exhibits'!O780:O784)),AVERAGE('20250815_ETF_Options_Exhibits'!O780:O784),"")</f>
        <v/>
      </c>
      <c r="P784" s="3">
        <f>IF(ISNUMBER(AVERAGE('20250815_ETF_Options_Exhibits'!P780:P784)),AVERAGE('20250815_ETF_Options_Exhibits'!P780:P784),"")</f>
        <v/>
      </c>
      <c r="Q784" s="3">
        <f>IF(ISNUMBER(AVERAGE('20250815_ETF_Options_Exhibits'!Q780:Q784)),AVERAGE('20250815_ETF_Options_Exhibits'!Q780:Q784),"")</f>
        <v/>
      </c>
      <c r="R784" s="3">
        <f>IF(ISNUMBER(AVERAGE('20250815_ETF_Options_Exhibits'!R780:R784)),AVERAGE('20250815_ETF_Options_Exhibits'!R780:R784),"")</f>
        <v/>
      </c>
      <c r="S784" s="3">
        <f>IF(ISNUMBER(AVERAGE('20250815_ETF_Options_Exhibits'!S780:S784)),AVERAGE('20250815_ETF_Options_Exhibits'!S780:S784),"")</f>
        <v/>
      </c>
      <c r="T784" s="3">
        <f>IF(ISNUMBER(AVERAGE('20250815_ETF_Options_Exhibits'!T780:T784)),AVERAGE('20250815_ETF_Options_Exhibits'!T780:T784),"")</f>
        <v/>
      </c>
      <c r="U784" s="3">
        <f>IF(ISNUMBER(AVERAGE('20250815_ETF_Options_Exhibits'!U780:U784)),AVERAGE('20250815_ETF_Options_Exhibits'!U780:U784),"")</f>
        <v/>
      </c>
      <c r="V784" s="3">
        <f>IF(ISNUMBER(AVERAGE('20250815_ETF_Options_Exhibits'!V780:V784)),AVERAGE('20250815_ETF_Options_Exhibits'!V780:V784),"")</f>
        <v/>
      </c>
      <c r="W784" s="3">
        <f>IF(ISNUMBER(AVERAGE('20250815_ETF_Options_Exhibits'!W780:W784)),AVERAGE('20250815_ETF_Options_Exhibits'!W780:W784),"")</f>
        <v/>
      </c>
      <c r="X784" s="3">
        <f>IF(ISNUMBER(AVERAGE('20250815_ETF_Options_Exhibits'!X780:X784)),AVERAGE('20250815_ETF_Options_Exhibits'!X780:X784),"")</f>
        <v/>
      </c>
      <c r="Y784" s="3">
        <f>IF(ISNUMBER(AVERAGE('20250815_ETF_Options_Exhibits'!Y780:Y784)),AVERAGE('20250815_ETF_Options_Exhibits'!Y780:Y784),"")</f>
        <v/>
      </c>
      <c r="Z784" s="3">
        <f>IF(ISNUMBER(AVERAGE('20250815_ETF_Options_Exhibits'!Z780:Z784)),AVERAGE('20250815_ETF_Options_Exhibits'!Z780:Z784),"")</f>
        <v/>
      </c>
      <c r="AA784" s="3">
        <f>IF(ISNUMBER(AVERAGE('20250815_ETF_Options_Exhibits'!AA780:AA784)),AVERAGE('20250815_ETF_Options_Exhibits'!AA780:AA784),"")</f>
        <v/>
      </c>
    </row>
    <row r="785">
      <c r="A785" s="1" t="n">
        <v>43143</v>
      </c>
      <c r="B785" s="3">
        <f>IF(ISNUMBER(AVERAGE('20250815_ETF_Options_Exhibits'!B781:B785)),AVERAGE('20250815_ETF_Options_Exhibits'!B781:B785),"")</f>
        <v/>
      </c>
      <c r="C785" s="3">
        <f>IF(ISNUMBER(AVERAGE('20250815_ETF_Options_Exhibits'!C781:C785)),AVERAGE('20250815_ETF_Options_Exhibits'!C781:C785),"")</f>
        <v/>
      </c>
      <c r="D785" s="3">
        <f>IF(ISNUMBER(AVERAGE('20250815_ETF_Options_Exhibits'!D781:D785)),AVERAGE('20250815_ETF_Options_Exhibits'!D781:D785),"")</f>
        <v/>
      </c>
      <c r="E785" s="3">
        <f>IF(ISNUMBER(AVERAGE('20250815_ETF_Options_Exhibits'!E781:E785)),AVERAGE('20250815_ETF_Options_Exhibits'!E781:E785),"")</f>
        <v/>
      </c>
      <c r="F785" s="3">
        <f>IF(ISNUMBER(AVERAGE('20250815_ETF_Options_Exhibits'!F781:F785)),AVERAGE('20250815_ETF_Options_Exhibits'!F781:F785),"")</f>
        <v/>
      </c>
      <c r="G785" s="3">
        <f>IF(ISNUMBER(AVERAGE('20250815_ETF_Options_Exhibits'!G781:G785)),AVERAGE('20250815_ETF_Options_Exhibits'!G781:G785),"")</f>
        <v/>
      </c>
      <c r="H785" s="3">
        <f>IF(ISNUMBER(AVERAGE('20250815_ETF_Options_Exhibits'!H781:H785)),AVERAGE('20250815_ETF_Options_Exhibits'!H781:H785),"")</f>
        <v/>
      </c>
      <c r="I785" s="3">
        <f>IF(ISNUMBER(AVERAGE('20250815_ETF_Options_Exhibits'!I781:I785)),AVERAGE('20250815_ETF_Options_Exhibits'!I781:I785),"")</f>
        <v/>
      </c>
      <c r="J785" s="3">
        <f>IF(ISNUMBER(AVERAGE('20250815_ETF_Options_Exhibits'!J781:J785)),AVERAGE('20250815_ETF_Options_Exhibits'!J781:J785),"")</f>
        <v/>
      </c>
      <c r="K785" s="3">
        <f>IF(ISNUMBER(AVERAGE('20250815_ETF_Options_Exhibits'!K781:K785)),AVERAGE('20250815_ETF_Options_Exhibits'!K781:K785),"")</f>
        <v/>
      </c>
      <c r="L785" s="3">
        <f>IF(ISNUMBER(AVERAGE('20250815_ETF_Options_Exhibits'!L781:L785)),AVERAGE('20250815_ETF_Options_Exhibits'!L781:L785),"")</f>
        <v/>
      </c>
      <c r="M785" s="3">
        <f>IF(ISNUMBER(AVERAGE('20250815_ETF_Options_Exhibits'!M781:M785)),AVERAGE('20250815_ETF_Options_Exhibits'!M781:M785),"")</f>
        <v/>
      </c>
      <c r="N785" s="3">
        <f>IF(ISNUMBER(AVERAGE('20250815_ETF_Options_Exhibits'!N781:N785)),AVERAGE('20250815_ETF_Options_Exhibits'!N781:N785),"")</f>
        <v/>
      </c>
      <c r="O785" s="3">
        <f>IF(ISNUMBER(AVERAGE('20250815_ETF_Options_Exhibits'!O781:O785)),AVERAGE('20250815_ETF_Options_Exhibits'!O781:O785),"")</f>
        <v/>
      </c>
      <c r="P785" s="3">
        <f>IF(ISNUMBER(AVERAGE('20250815_ETF_Options_Exhibits'!P781:P785)),AVERAGE('20250815_ETF_Options_Exhibits'!P781:P785),"")</f>
        <v/>
      </c>
      <c r="Q785" s="3">
        <f>IF(ISNUMBER(AVERAGE('20250815_ETF_Options_Exhibits'!Q781:Q785)),AVERAGE('20250815_ETF_Options_Exhibits'!Q781:Q785),"")</f>
        <v/>
      </c>
      <c r="R785" s="3">
        <f>IF(ISNUMBER(AVERAGE('20250815_ETF_Options_Exhibits'!R781:R785)),AVERAGE('20250815_ETF_Options_Exhibits'!R781:R785),"")</f>
        <v/>
      </c>
      <c r="S785" s="3">
        <f>IF(ISNUMBER(AVERAGE('20250815_ETF_Options_Exhibits'!S781:S785)),AVERAGE('20250815_ETF_Options_Exhibits'!S781:S785),"")</f>
        <v/>
      </c>
      <c r="T785" s="3">
        <f>IF(ISNUMBER(AVERAGE('20250815_ETF_Options_Exhibits'!T781:T785)),AVERAGE('20250815_ETF_Options_Exhibits'!T781:T785),"")</f>
        <v/>
      </c>
      <c r="U785" s="3">
        <f>IF(ISNUMBER(AVERAGE('20250815_ETF_Options_Exhibits'!U781:U785)),AVERAGE('20250815_ETF_Options_Exhibits'!U781:U785),"")</f>
        <v/>
      </c>
      <c r="V785" s="3">
        <f>IF(ISNUMBER(AVERAGE('20250815_ETF_Options_Exhibits'!V781:V785)),AVERAGE('20250815_ETF_Options_Exhibits'!V781:V785),"")</f>
        <v/>
      </c>
      <c r="W785" s="3">
        <f>IF(ISNUMBER(AVERAGE('20250815_ETF_Options_Exhibits'!W781:W785)),AVERAGE('20250815_ETF_Options_Exhibits'!W781:W785),"")</f>
        <v/>
      </c>
      <c r="X785" s="3">
        <f>IF(ISNUMBER(AVERAGE('20250815_ETF_Options_Exhibits'!X781:X785)),AVERAGE('20250815_ETF_Options_Exhibits'!X781:X785),"")</f>
        <v/>
      </c>
      <c r="Y785" s="3">
        <f>IF(ISNUMBER(AVERAGE('20250815_ETF_Options_Exhibits'!Y781:Y785)),AVERAGE('20250815_ETF_Options_Exhibits'!Y781:Y785),"")</f>
        <v/>
      </c>
      <c r="Z785" s="3">
        <f>IF(ISNUMBER(AVERAGE('20250815_ETF_Options_Exhibits'!Z781:Z785)),AVERAGE('20250815_ETF_Options_Exhibits'!Z781:Z785),"")</f>
        <v/>
      </c>
      <c r="AA785" s="3">
        <f>IF(ISNUMBER(AVERAGE('20250815_ETF_Options_Exhibits'!AA781:AA785)),AVERAGE('20250815_ETF_Options_Exhibits'!AA781:AA785),"")</f>
        <v/>
      </c>
    </row>
    <row r="786">
      <c r="A786" s="1" t="n">
        <v>43144</v>
      </c>
      <c r="B786" s="3">
        <f>IF(ISNUMBER(AVERAGE('20250815_ETF_Options_Exhibits'!B782:B786)),AVERAGE('20250815_ETF_Options_Exhibits'!B782:B786),"")</f>
        <v/>
      </c>
      <c r="C786" s="3">
        <f>IF(ISNUMBER(AVERAGE('20250815_ETF_Options_Exhibits'!C782:C786)),AVERAGE('20250815_ETF_Options_Exhibits'!C782:C786),"")</f>
        <v/>
      </c>
      <c r="D786" s="3">
        <f>IF(ISNUMBER(AVERAGE('20250815_ETF_Options_Exhibits'!D782:D786)),AVERAGE('20250815_ETF_Options_Exhibits'!D782:D786),"")</f>
        <v/>
      </c>
      <c r="E786" s="3">
        <f>IF(ISNUMBER(AVERAGE('20250815_ETF_Options_Exhibits'!E782:E786)),AVERAGE('20250815_ETF_Options_Exhibits'!E782:E786),"")</f>
        <v/>
      </c>
      <c r="F786" s="3">
        <f>IF(ISNUMBER(AVERAGE('20250815_ETF_Options_Exhibits'!F782:F786)),AVERAGE('20250815_ETF_Options_Exhibits'!F782:F786),"")</f>
        <v/>
      </c>
      <c r="G786" s="3">
        <f>IF(ISNUMBER(AVERAGE('20250815_ETF_Options_Exhibits'!G782:G786)),AVERAGE('20250815_ETF_Options_Exhibits'!G782:G786),"")</f>
        <v/>
      </c>
      <c r="H786" s="3">
        <f>IF(ISNUMBER(AVERAGE('20250815_ETF_Options_Exhibits'!H782:H786)),AVERAGE('20250815_ETF_Options_Exhibits'!H782:H786),"")</f>
        <v/>
      </c>
      <c r="I786" s="3">
        <f>IF(ISNUMBER(AVERAGE('20250815_ETF_Options_Exhibits'!I782:I786)),AVERAGE('20250815_ETF_Options_Exhibits'!I782:I786),"")</f>
        <v/>
      </c>
      <c r="J786" s="3">
        <f>IF(ISNUMBER(AVERAGE('20250815_ETF_Options_Exhibits'!J782:J786)),AVERAGE('20250815_ETF_Options_Exhibits'!J782:J786),"")</f>
        <v/>
      </c>
      <c r="K786" s="3">
        <f>IF(ISNUMBER(AVERAGE('20250815_ETF_Options_Exhibits'!K782:K786)),AVERAGE('20250815_ETF_Options_Exhibits'!K782:K786),"")</f>
        <v/>
      </c>
      <c r="L786" s="3">
        <f>IF(ISNUMBER(AVERAGE('20250815_ETF_Options_Exhibits'!L782:L786)),AVERAGE('20250815_ETF_Options_Exhibits'!L782:L786),"")</f>
        <v/>
      </c>
      <c r="M786" s="3">
        <f>IF(ISNUMBER(AVERAGE('20250815_ETF_Options_Exhibits'!M782:M786)),AVERAGE('20250815_ETF_Options_Exhibits'!M782:M786),"")</f>
        <v/>
      </c>
      <c r="N786" s="3">
        <f>IF(ISNUMBER(AVERAGE('20250815_ETF_Options_Exhibits'!N782:N786)),AVERAGE('20250815_ETF_Options_Exhibits'!N782:N786),"")</f>
        <v/>
      </c>
      <c r="O786" s="3">
        <f>IF(ISNUMBER(AVERAGE('20250815_ETF_Options_Exhibits'!O782:O786)),AVERAGE('20250815_ETF_Options_Exhibits'!O782:O786),"")</f>
        <v/>
      </c>
      <c r="P786" s="3">
        <f>IF(ISNUMBER(AVERAGE('20250815_ETF_Options_Exhibits'!P782:P786)),AVERAGE('20250815_ETF_Options_Exhibits'!P782:P786),"")</f>
        <v/>
      </c>
      <c r="Q786" s="3">
        <f>IF(ISNUMBER(AVERAGE('20250815_ETF_Options_Exhibits'!Q782:Q786)),AVERAGE('20250815_ETF_Options_Exhibits'!Q782:Q786),"")</f>
        <v/>
      </c>
      <c r="R786" s="3">
        <f>IF(ISNUMBER(AVERAGE('20250815_ETF_Options_Exhibits'!R782:R786)),AVERAGE('20250815_ETF_Options_Exhibits'!R782:R786),"")</f>
        <v/>
      </c>
      <c r="S786" s="3">
        <f>IF(ISNUMBER(AVERAGE('20250815_ETF_Options_Exhibits'!S782:S786)),AVERAGE('20250815_ETF_Options_Exhibits'!S782:S786),"")</f>
        <v/>
      </c>
      <c r="T786" s="3">
        <f>IF(ISNUMBER(AVERAGE('20250815_ETF_Options_Exhibits'!T782:T786)),AVERAGE('20250815_ETF_Options_Exhibits'!T782:T786),"")</f>
        <v/>
      </c>
      <c r="U786" s="3">
        <f>IF(ISNUMBER(AVERAGE('20250815_ETF_Options_Exhibits'!U782:U786)),AVERAGE('20250815_ETF_Options_Exhibits'!U782:U786),"")</f>
        <v/>
      </c>
      <c r="V786" s="3">
        <f>IF(ISNUMBER(AVERAGE('20250815_ETF_Options_Exhibits'!V782:V786)),AVERAGE('20250815_ETF_Options_Exhibits'!V782:V786),"")</f>
        <v/>
      </c>
      <c r="W786" s="3">
        <f>IF(ISNUMBER(AVERAGE('20250815_ETF_Options_Exhibits'!W782:W786)),AVERAGE('20250815_ETF_Options_Exhibits'!W782:W786),"")</f>
        <v/>
      </c>
      <c r="X786" s="3">
        <f>IF(ISNUMBER(AVERAGE('20250815_ETF_Options_Exhibits'!X782:X786)),AVERAGE('20250815_ETF_Options_Exhibits'!X782:X786),"")</f>
        <v/>
      </c>
      <c r="Y786" s="3">
        <f>IF(ISNUMBER(AVERAGE('20250815_ETF_Options_Exhibits'!Y782:Y786)),AVERAGE('20250815_ETF_Options_Exhibits'!Y782:Y786),"")</f>
        <v/>
      </c>
      <c r="Z786" s="3">
        <f>IF(ISNUMBER(AVERAGE('20250815_ETF_Options_Exhibits'!Z782:Z786)),AVERAGE('20250815_ETF_Options_Exhibits'!Z782:Z786),"")</f>
        <v/>
      </c>
      <c r="AA786" s="3">
        <f>IF(ISNUMBER(AVERAGE('20250815_ETF_Options_Exhibits'!AA782:AA786)),AVERAGE('20250815_ETF_Options_Exhibits'!AA782:AA786),"")</f>
        <v/>
      </c>
    </row>
    <row r="787">
      <c r="A787" s="1" t="n">
        <v>43145</v>
      </c>
      <c r="B787" s="3">
        <f>IF(ISNUMBER(AVERAGE('20250815_ETF_Options_Exhibits'!B783:B787)),AVERAGE('20250815_ETF_Options_Exhibits'!B783:B787),"")</f>
        <v/>
      </c>
      <c r="C787" s="3">
        <f>IF(ISNUMBER(AVERAGE('20250815_ETF_Options_Exhibits'!C783:C787)),AVERAGE('20250815_ETF_Options_Exhibits'!C783:C787),"")</f>
        <v/>
      </c>
      <c r="D787" s="3">
        <f>IF(ISNUMBER(AVERAGE('20250815_ETF_Options_Exhibits'!D783:D787)),AVERAGE('20250815_ETF_Options_Exhibits'!D783:D787),"")</f>
        <v/>
      </c>
      <c r="E787" s="3">
        <f>IF(ISNUMBER(AVERAGE('20250815_ETF_Options_Exhibits'!E783:E787)),AVERAGE('20250815_ETF_Options_Exhibits'!E783:E787),"")</f>
        <v/>
      </c>
      <c r="F787" s="3">
        <f>IF(ISNUMBER(AVERAGE('20250815_ETF_Options_Exhibits'!F783:F787)),AVERAGE('20250815_ETF_Options_Exhibits'!F783:F787),"")</f>
        <v/>
      </c>
      <c r="G787" s="3">
        <f>IF(ISNUMBER(AVERAGE('20250815_ETF_Options_Exhibits'!G783:G787)),AVERAGE('20250815_ETF_Options_Exhibits'!G783:G787),"")</f>
        <v/>
      </c>
      <c r="H787" s="3">
        <f>IF(ISNUMBER(AVERAGE('20250815_ETF_Options_Exhibits'!H783:H787)),AVERAGE('20250815_ETF_Options_Exhibits'!H783:H787),"")</f>
        <v/>
      </c>
      <c r="I787" s="3">
        <f>IF(ISNUMBER(AVERAGE('20250815_ETF_Options_Exhibits'!I783:I787)),AVERAGE('20250815_ETF_Options_Exhibits'!I783:I787),"")</f>
        <v/>
      </c>
      <c r="J787" s="3">
        <f>IF(ISNUMBER(AVERAGE('20250815_ETF_Options_Exhibits'!J783:J787)),AVERAGE('20250815_ETF_Options_Exhibits'!J783:J787),"")</f>
        <v/>
      </c>
      <c r="K787" s="3">
        <f>IF(ISNUMBER(AVERAGE('20250815_ETF_Options_Exhibits'!K783:K787)),AVERAGE('20250815_ETF_Options_Exhibits'!K783:K787),"")</f>
        <v/>
      </c>
      <c r="L787" s="3">
        <f>IF(ISNUMBER(AVERAGE('20250815_ETF_Options_Exhibits'!L783:L787)),AVERAGE('20250815_ETF_Options_Exhibits'!L783:L787),"")</f>
        <v/>
      </c>
      <c r="M787" s="3">
        <f>IF(ISNUMBER(AVERAGE('20250815_ETF_Options_Exhibits'!M783:M787)),AVERAGE('20250815_ETF_Options_Exhibits'!M783:M787),"")</f>
        <v/>
      </c>
      <c r="N787" s="3">
        <f>IF(ISNUMBER(AVERAGE('20250815_ETF_Options_Exhibits'!N783:N787)),AVERAGE('20250815_ETF_Options_Exhibits'!N783:N787),"")</f>
        <v/>
      </c>
      <c r="O787" s="3">
        <f>IF(ISNUMBER(AVERAGE('20250815_ETF_Options_Exhibits'!O783:O787)),AVERAGE('20250815_ETF_Options_Exhibits'!O783:O787),"")</f>
        <v/>
      </c>
      <c r="P787" s="3">
        <f>IF(ISNUMBER(AVERAGE('20250815_ETF_Options_Exhibits'!P783:P787)),AVERAGE('20250815_ETF_Options_Exhibits'!P783:P787),"")</f>
        <v/>
      </c>
      <c r="Q787" s="3">
        <f>IF(ISNUMBER(AVERAGE('20250815_ETF_Options_Exhibits'!Q783:Q787)),AVERAGE('20250815_ETF_Options_Exhibits'!Q783:Q787),"")</f>
        <v/>
      </c>
      <c r="R787" s="3">
        <f>IF(ISNUMBER(AVERAGE('20250815_ETF_Options_Exhibits'!R783:R787)),AVERAGE('20250815_ETF_Options_Exhibits'!R783:R787),"")</f>
        <v/>
      </c>
      <c r="S787" s="3">
        <f>IF(ISNUMBER(AVERAGE('20250815_ETF_Options_Exhibits'!S783:S787)),AVERAGE('20250815_ETF_Options_Exhibits'!S783:S787),"")</f>
        <v/>
      </c>
      <c r="T787" s="3">
        <f>IF(ISNUMBER(AVERAGE('20250815_ETF_Options_Exhibits'!T783:T787)),AVERAGE('20250815_ETF_Options_Exhibits'!T783:T787),"")</f>
        <v/>
      </c>
      <c r="U787" s="3">
        <f>IF(ISNUMBER(AVERAGE('20250815_ETF_Options_Exhibits'!U783:U787)),AVERAGE('20250815_ETF_Options_Exhibits'!U783:U787),"")</f>
        <v/>
      </c>
      <c r="V787" s="3">
        <f>IF(ISNUMBER(AVERAGE('20250815_ETF_Options_Exhibits'!V783:V787)),AVERAGE('20250815_ETF_Options_Exhibits'!V783:V787),"")</f>
        <v/>
      </c>
      <c r="W787" s="3">
        <f>IF(ISNUMBER(AVERAGE('20250815_ETF_Options_Exhibits'!W783:W787)),AVERAGE('20250815_ETF_Options_Exhibits'!W783:W787),"")</f>
        <v/>
      </c>
      <c r="X787" s="3">
        <f>IF(ISNUMBER(AVERAGE('20250815_ETF_Options_Exhibits'!X783:X787)),AVERAGE('20250815_ETF_Options_Exhibits'!X783:X787),"")</f>
        <v/>
      </c>
      <c r="Y787" s="3">
        <f>IF(ISNUMBER(AVERAGE('20250815_ETF_Options_Exhibits'!Y783:Y787)),AVERAGE('20250815_ETF_Options_Exhibits'!Y783:Y787),"")</f>
        <v/>
      </c>
      <c r="Z787" s="3">
        <f>IF(ISNUMBER(AVERAGE('20250815_ETF_Options_Exhibits'!Z783:Z787)),AVERAGE('20250815_ETF_Options_Exhibits'!Z783:Z787),"")</f>
        <v/>
      </c>
      <c r="AA787" s="3">
        <f>IF(ISNUMBER(AVERAGE('20250815_ETF_Options_Exhibits'!AA783:AA787)),AVERAGE('20250815_ETF_Options_Exhibits'!AA783:AA787),"")</f>
        <v/>
      </c>
    </row>
    <row r="788">
      <c r="A788" s="1" t="n">
        <v>43146</v>
      </c>
      <c r="B788" s="3">
        <f>IF(ISNUMBER(AVERAGE('20250815_ETF_Options_Exhibits'!B784:B788)),AVERAGE('20250815_ETF_Options_Exhibits'!B784:B788),"")</f>
        <v/>
      </c>
      <c r="C788" s="3">
        <f>IF(ISNUMBER(AVERAGE('20250815_ETF_Options_Exhibits'!C784:C788)),AVERAGE('20250815_ETF_Options_Exhibits'!C784:C788),"")</f>
        <v/>
      </c>
      <c r="D788" s="3">
        <f>IF(ISNUMBER(AVERAGE('20250815_ETF_Options_Exhibits'!D784:D788)),AVERAGE('20250815_ETF_Options_Exhibits'!D784:D788),"")</f>
        <v/>
      </c>
      <c r="E788" s="3">
        <f>IF(ISNUMBER(AVERAGE('20250815_ETF_Options_Exhibits'!E784:E788)),AVERAGE('20250815_ETF_Options_Exhibits'!E784:E788),"")</f>
        <v/>
      </c>
      <c r="F788" s="3">
        <f>IF(ISNUMBER(AVERAGE('20250815_ETF_Options_Exhibits'!F784:F788)),AVERAGE('20250815_ETF_Options_Exhibits'!F784:F788),"")</f>
        <v/>
      </c>
      <c r="G788" s="3">
        <f>IF(ISNUMBER(AVERAGE('20250815_ETF_Options_Exhibits'!G784:G788)),AVERAGE('20250815_ETF_Options_Exhibits'!G784:G788),"")</f>
        <v/>
      </c>
      <c r="H788" s="3">
        <f>IF(ISNUMBER(AVERAGE('20250815_ETF_Options_Exhibits'!H784:H788)),AVERAGE('20250815_ETF_Options_Exhibits'!H784:H788),"")</f>
        <v/>
      </c>
      <c r="I788" s="3">
        <f>IF(ISNUMBER(AVERAGE('20250815_ETF_Options_Exhibits'!I784:I788)),AVERAGE('20250815_ETF_Options_Exhibits'!I784:I788),"")</f>
        <v/>
      </c>
      <c r="J788" s="3">
        <f>IF(ISNUMBER(AVERAGE('20250815_ETF_Options_Exhibits'!J784:J788)),AVERAGE('20250815_ETF_Options_Exhibits'!J784:J788),"")</f>
        <v/>
      </c>
      <c r="K788" s="3">
        <f>IF(ISNUMBER(AVERAGE('20250815_ETF_Options_Exhibits'!K784:K788)),AVERAGE('20250815_ETF_Options_Exhibits'!K784:K788),"")</f>
        <v/>
      </c>
      <c r="L788" s="3">
        <f>IF(ISNUMBER(AVERAGE('20250815_ETF_Options_Exhibits'!L784:L788)),AVERAGE('20250815_ETF_Options_Exhibits'!L784:L788),"")</f>
        <v/>
      </c>
      <c r="M788" s="3">
        <f>IF(ISNUMBER(AVERAGE('20250815_ETF_Options_Exhibits'!M784:M788)),AVERAGE('20250815_ETF_Options_Exhibits'!M784:M788),"")</f>
        <v/>
      </c>
      <c r="N788" s="3">
        <f>IF(ISNUMBER(AVERAGE('20250815_ETF_Options_Exhibits'!N784:N788)),AVERAGE('20250815_ETF_Options_Exhibits'!N784:N788),"")</f>
        <v/>
      </c>
      <c r="O788" s="3">
        <f>IF(ISNUMBER(AVERAGE('20250815_ETF_Options_Exhibits'!O784:O788)),AVERAGE('20250815_ETF_Options_Exhibits'!O784:O788),"")</f>
        <v/>
      </c>
      <c r="P788" s="3">
        <f>IF(ISNUMBER(AVERAGE('20250815_ETF_Options_Exhibits'!P784:P788)),AVERAGE('20250815_ETF_Options_Exhibits'!P784:P788),"")</f>
        <v/>
      </c>
      <c r="Q788" s="3">
        <f>IF(ISNUMBER(AVERAGE('20250815_ETF_Options_Exhibits'!Q784:Q788)),AVERAGE('20250815_ETF_Options_Exhibits'!Q784:Q788),"")</f>
        <v/>
      </c>
      <c r="R788" s="3">
        <f>IF(ISNUMBER(AVERAGE('20250815_ETF_Options_Exhibits'!R784:R788)),AVERAGE('20250815_ETF_Options_Exhibits'!R784:R788),"")</f>
        <v/>
      </c>
      <c r="S788" s="3">
        <f>IF(ISNUMBER(AVERAGE('20250815_ETF_Options_Exhibits'!S784:S788)),AVERAGE('20250815_ETF_Options_Exhibits'!S784:S788),"")</f>
        <v/>
      </c>
      <c r="T788" s="3">
        <f>IF(ISNUMBER(AVERAGE('20250815_ETF_Options_Exhibits'!T784:T788)),AVERAGE('20250815_ETF_Options_Exhibits'!T784:T788),"")</f>
        <v/>
      </c>
      <c r="U788" s="3">
        <f>IF(ISNUMBER(AVERAGE('20250815_ETF_Options_Exhibits'!U784:U788)),AVERAGE('20250815_ETF_Options_Exhibits'!U784:U788),"")</f>
        <v/>
      </c>
      <c r="V788" s="3">
        <f>IF(ISNUMBER(AVERAGE('20250815_ETF_Options_Exhibits'!V784:V788)),AVERAGE('20250815_ETF_Options_Exhibits'!V784:V788),"")</f>
        <v/>
      </c>
      <c r="W788" s="3">
        <f>IF(ISNUMBER(AVERAGE('20250815_ETF_Options_Exhibits'!W784:W788)),AVERAGE('20250815_ETF_Options_Exhibits'!W784:W788),"")</f>
        <v/>
      </c>
      <c r="X788" s="3">
        <f>IF(ISNUMBER(AVERAGE('20250815_ETF_Options_Exhibits'!X784:X788)),AVERAGE('20250815_ETF_Options_Exhibits'!X784:X788),"")</f>
        <v/>
      </c>
      <c r="Y788" s="3">
        <f>IF(ISNUMBER(AVERAGE('20250815_ETF_Options_Exhibits'!Y784:Y788)),AVERAGE('20250815_ETF_Options_Exhibits'!Y784:Y788),"")</f>
        <v/>
      </c>
      <c r="Z788" s="3">
        <f>IF(ISNUMBER(AVERAGE('20250815_ETF_Options_Exhibits'!Z784:Z788)),AVERAGE('20250815_ETF_Options_Exhibits'!Z784:Z788),"")</f>
        <v/>
      </c>
      <c r="AA788" s="3">
        <f>IF(ISNUMBER(AVERAGE('20250815_ETF_Options_Exhibits'!AA784:AA788)),AVERAGE('20250815_ETF_Options_Exhibits'!AA784:AA788),"")</f>
        <v/>
      </c>
    </row>
    <row r="789">
      <c r="A789" s="1" t="n">
        <v>43147</v>
      </c>
      <c r="B789" s="3">
        <f>IF(ISNUMBER(AVERAGE('20250815_ETF_Options_Exhibits'!B785:B789)),AVERAGE('20250815_ETF_Options_Exhibits'!B785:B789),"")</f>
        <v/>
      </c>
      <c r="C789" s="3">
        <f>IF(ISNUMBER(AVERAGE('20250815_ETF_Options_Exhibits'!C785:C789)),AVERAGE('20250815_ETF_Options_Exhibits'!C785:C789),"")</f>
        <v/>
      </c>
      <c r="D789" s="3">
        <f>IF(ISNUMBER(AVERAGE('20250815_ETF_Options_Exhibits'!D785:D789)),AVERAGE('20250815_ETF_Options_Exhibits'!D785:D789),"")</f>
        <v/>
      </c>
      <c r="E789" s="3">
        <f>IF(ISNUMBER(AVERAGE('20250815_ETF_Options_Exhibits'!E785:E789)),AVERAGE('20250815_ETF_Options_Exhibits'!E785:E789),"")</f>
        <v/>
      </c>
      <c r="F789" s="3">
        <f>IF(ISNUMBER(AVERAGE('20250815_ETF_Options_Exhibits'!F785:F789)),AVERAGE('20250815_ETF_Options_Exhibits'!F785:F789),"")</f>
        <v/>
      </c>
      <c r="G789" s="3">
        <f>IF(ISNUMBER(AVERAGE('20250815_ETF_Options_Exhibits'!G785:G789)),AVERAGE('20250815_ETF_Options_Exhibits'!G785:G789),"")</f>
        <v/>
      </c>
      <c r="H789" s="3">
        <f>IF(ISNUMBER(AVERAGE('20250815_ETF_Options_Exhibits'!H785:H789)),AVERAGE('20250815_ETF_Options_Exhibits'!H785:H789),"")</f>
        <v/>
      </c>
      <c r="I789" s="3">
        <f>IF(ISNUMBER(AVERAGE('20250815_ETF_Options_Exhibits'!I785:I789)),AVERAGE('20250815_ETF_Options_Exhibits'!I785:I789),"")</f>
        <v/>
      </c>
      <c r="J789" s="3">
        <f>IF(ISNUMBER(AVERAGE('20250815_ETF_Options_Exhibits'!J785:J789)),AVERAGE('20250815_ETF_Options_Exhibits'!J785:J789),"")</f>
        <v/>
      </c>
      <c r="K789" s="3">
        <f>IF(ISNUMBER(AVERAGE('20250815_ETF_Options_Exhibits'!K785:K789)),AVERAGE('20250815_ETF_Options_Exhibits'!K785:K789),"")</f>
        <v/>
      </c>
      <c r="L789" s="3">
        <f>IF(ISNUMBER(AVERAGE('20250815_ETF_Options_Exhibits'!L785:L789)),AVERAGE('20250815_ETF_Options_Exhibits'!L785:L789),"")</f>
        <v/>
      </c>
      <c r="M789" s="3">
        <f>IF(ISNUMBER(AVERAGE('20250815_ETF_Options_Exhibits'!M785:M789)),AVERAGE('20250815_ETF_Options_Exhibits'!M785:M789),"")</f>
        <v/>
      </c>
      <c r="N789" s="3">
        <f>IF(ISNUMBER(AVERAGE('20250815_ETF_Options_Exhibits'!N785:N789)),AVERAGE('20250815_ETF_Options_Exhibits'!N785:N789),"")</f>
        <v/>
      </c>
      <c r="O789" s="3">
        <f>IF(ISNUMBER(AVERAGE('20250815_ETF_Options_Exhibits'!O785:O789)),AVERAGE('20250815_ETF_Options_Exhibits'!O785:O789),"")</f>
        <v/>
      </c>
      <c r="P789" s="3">
        <f>IF(ISNUMBER(AVERAGE('20250815_ETF_Options_Exhibits'!P785:P789)),AVERAGE('20250815_ETF_Options_Exhibits'!P785:P789),"")</f>
        <v/>
      </c>
      <c r="Q789" s="3">
        <f>IF(ISNUMBER(AVERAGE('20250815_ETF_Options_Exhibits'!Q785:Q789)),AVERAGE('20250815_ETF_Options_Exhibits'!Q785:Q789),"")</f>
        <v/>
      </c>
      <c r="R789" s="3">
        <f>IF(ISNUMBER(AVERAGE('20250815_ETF_Options_Exhibits'!R785:R789)),AVERAGE('20250815_ETF_Options_Exhibits'!R785:R789),"")</f>
        <v/>
      </c>
      <c r="S789" s="3">
        <f>IF(ISNUMBER(AVERAGE('20250815_ETF_Options_Exhibits'!S785:S789)),AVERAGE('20250815_ETF_Options_Exhibits'!S785:S789),"")</f>
        <v/>
      </c>
      <c r="T789" s="3">
        <f>IF(ISNUMBER(AVERAGE('20250815_ETF_Options_Exhibits'!T785:T789)),AVERAGE('20250815_ETF_Options_Exhibits'!T785:T789),"")</f>
        <v/>
      </c>
      <c r="U789" s="3">
        <f>IF(ISNUMBER(AVERAGE('20250815_ETF_Options_Exhibits'!U785:U789)),AVERAGE('20250815_ETF_Options_Exhibits'!U785:U789),"")</f>
        <v/>
      </c>
      <c r="V789" s="3">
        <f>IF(ISNUMBER(AVERAGE('20250815_ETF_Options_Exhibits'!V785:V789)),AVERAGE('20250815_ETF_Options_Exhibits'!V785:V789),"")</f>
        <v/>
      </c>
      <c r="W789" s="3">
        <f>IF(ISNUMBER(AVERAGE('20250815_ETF_Options_Exhibits'!W785:W789)),AVERAGE('20250815_ETF_Options_Exhibits'!W785:W789),"")</f>
        <v/>
      </c>
      <c r="X789" s="3">
        <f>IF(ISNUMBER(AVERAGE('20250815_ETF_Options_Exhibits'!X785:X789)),AVERAGE('20250815_ETF_Options_Exhibits'!X785:X789),"")</f>
        <v/>
      </c>
      <c r="Y789" s="3">
        <f>IF(ISNUMBER(AVERAGE('20250815_ETF_Options_Exhibits'!Y785:Y789)),AVERAGE('20250815_ETF_Options_Exhibits'!Y785:Y789),"")</f>
        <v/>
      </c>
      <c r="Z789" s="3">
        <f>IF(ISNUMBER(AVERAGE('20250815_ETF_Options_Exhibits'!Z785:Z789)),AVERAGE('20250815_ETF_Options_Exhibits'!Z785:Z789),"")</f>
        <v/>
      </c>
      <c r="AA789" s="3">
        <f>IF(ISNUMBER(AVERAGE('20250815_ETF_Options_Exhibits'!AA785:AA789)),AVERAGE('20250815_ETF_Options_Exhibits'!AA785:AA789),"")</f>
        <v/>
      </c>
    </row>
    <row r="790">
      <c r="A790" s="1" t="n">
        <v>43151</v>
      </c>
      <c r="B790" s="3">
        <f>IF(ISNUMBER(AVERAGE('20250815_ETF_Options_Exhibits'!B786:B790)),AVERAGE('20250815_ETF_Options_Exhibits'!B786:B790),"")</f>
        <v/>
      </c>
      <c r="C790" s="3">
        <f>IF(ISNUMBER(AVERAGE('20250815_ETF_Options_Exhibits'!C786:C790)),AVERAGE('20250815_ETF_Options_Exhibits'!C786:C790),"")</f>
        <v/>
      </c>
      <c r="D790" s="3">
        <f>IF(ISNUMBER(AVERAGE('20250815_ETF_Options_Exhibits'!D786:D790)),AVERAGE('20250815_ETF_Options_Exhibits'!D786:D790),"")</f>
        <v/>
      </c>
      <c r="E790" s="3">
        <f>IF(ISNUMBER(AVERAGE('20250815_ETF_Options_Exhibits'!E786:E790)),AVERAGE('20250815_ETF_Options_Exhibits'!E786:E790),"")</f>
        <v/>
      </c>
      <c r="F790" s="3">
        <f>IF(ISNUMBER(AVERAGE('20250815_ETF_Options_Exhibits'!F786:F790)),AVERAGE('20250815_ETF_Options_Exhibits'!F786:F790),"")</f>
        <v/>
      </c>
      <c r="G790" s="3">
        <f>IF(ISNUMBER(AVERAGE('20250815_ETF_Options_Exhibits'!G786:G790)),AVERAGE('20250815_ETF_Options_Exhibits'!G786:G790),"")</f>
        <v/>
      </c>
      <c r="H790" s="3">
        <f>IF(ISNUMBER(AVERAGE('20250815_ETF_Options_Exhibits'!H786:H790)),AVERAGE('20250815_ETF_Options_Exhibits'!H786:H790),"")</f>
        <v/>
      </c>
      <c r="I790" s="3">
        <f>IF(ISNUMBER(AVERAGE('20250815_ETF_Options_Exhibits'!I786:I790)),AVERAGE('20250815_ETF_Options_Exhibits'!I786:I790),"")</f>
        <v/>
      </c>
      <c r="J790" s="3">
        <f>IF(ISNUMBER(AVERAGE('20250815_ETF_Options_Exhibits'!J786:J790)),AVERAGE('20250815_ETF_Options_Exhibits'!J786:J790),"")</f>
        <v/>
      </c>
      <c r="K790" s="3">
        <f>IF(ISNUMBER(AVERAGE('20250815_ETF_Options_Exhibits'!K786:K790)),AVERAGE('20250815_ETF_Options_Exhibits'!K786:K790),"")</f>
        <v/>
      </c>
      <c r="L790" s="3">
        <f>IF(ISNUMBER(AVERAGE('20250815_ETF_Options_Exhibits'!L786:L790)),AVERAGE('20250815_ETF_Options_Exhibits'!L786:L790),"")</f>
        <v/>
      </c>
      <c r="M790" s="3">
        <f>IF(ISNUMBER(AVERAGE('20250815_ETF_Options_Exhibits'!M786:M790)),AVERAGE('20250815_ETF_Options_Exhibits'!M786:M790),"")</f>
        <v/>
      </c>
      <c r="N790" s="3">
        <f>IF(ISNUMBER(AVERAGE('20250815_ETF_Options_Exhibits'!N786:N790)),AVERAGE('20250815_ETF_Options_Exhibits'!N786:N790),"")</f>
        <v/>
      </c>
      <c r="O790" s="3">
        <f>IF(ISNUMBER(AVERAGE('20250815_ETF_Options_Exhibits'!O786:O790)),AVERAGE('20250815_ETF_Options_Exhibits'!O786:O790),"")</f>
        <v/>
      </c>
      <c r="P790" s="3">
        <f>IF(ISNUMBER(AVERAGE('20250815_ETF_Options_Exhibits'!P786:P790)),AVERAGE('20250815_ETF_Options_Exhibits'!P786:P790),"")</f>
        <v/>
      </c>
      <c r="Q790" s="3">
        <f>IF(ISNUMBER(AVERAGE('20250815_ETF_Options_Exhibits'!Q786:Q790)),AVERAGE('20250815_ETF_Options_Exhibits'!Q786:Q790),"")</f>
        <v/>
      </c>
      <c r="R790" s="3">
        <f>IF(ISNUMBER(AVERAGE('20250815_ETF_Options_Exhibits'!R786:R790)),AVERAGE('20250815_ETF_Options_Exhibits'!R786:R790),"")</f>
        <v/>
      </c>
      <c r="S790" s="3">
        <f>IF(ISNUMBER(AVERAGE('20250815_ETF_Options_Exhibits'!S786:S790)),AVERAGE('20250815_ETF_Options_Exhibits'!S786:S790),"")</f>
        <v/>
      </c>
      <c r="T790" s="3">
        <f>IF(ISNUMBER(AVERAGE('20250815_ETF_Options_Exhibits'!T786:T790)),AVERAGE('20250815_ETF_Options_Exhibits'!T786:T790),"")</f>
        <v/>
      </c>
      <c r="U790" s="3">
        <f>IF(ISNUMBER(AVERAGE('20250815_ETF_Options_Exhibits'!U786:U790)),AVERAGE('20250815_ETF_Options_Exhibits'!U786:U790),"")</f>
        <v/>
      </c>
      <c r="V790" s="3">
        <f>IF(ISNUMBER(AVERAGE('20250815_ETF_Options_Exhibits'!V786:V790)),AVERAGE('20250815_ETF_Options_Exhibits'!V786:V790),"")</f>
        <v/>
      </c>
      <c r="W790" s="3">
        <f>IF(ISNUMBER(AVERAGE('20250815_ETF_Options_Exhibits'!W786:W790)),AVERAGE('20250815_ETF_Options_Exhibits'!W786:W790),"")</f>
        <v/>
      </c>
      <c r="X790" s="3">
        <f>IF(ISNUMBER(AVERAGE('20250815_ETF_Options_Exhibits'!X786:X790)),AVERAGE('20250815_ETF_Options_Exhibits'!X786:X790),"")</f>
        <v/>
      </c>
      <c r="Y790" s="3">
        <f>IF(ISNUMBER(AVERAGE('20250815_ETF_Options_Exhibits'!Y786:Y790)),AVERAGE('20250815_ETF_Options_Exhibits'!Y786:Y790),"")</f>
        <v/>
      </c>
      <c r="Z790" s="3">
        <f>IF(ISNUMBER(AVERAGE('20250815_ETF_Options_Exhibits'!Z786:Z790)),AVERAGE('20250815_ETF_Options_Exhibits'!Z786:Z790),"")</f>
        <v/>
      </c>
      <c r="AA790" s="3">
        <f>IF(ISNUMBER(AVERAGE('20250815_ETF_Options_Exhibits'!AA786:AA790)),AVERAGE('20250815_ETF_Options_Exhibits'!AA786:AA790),"")</f>
        <v/>
      </c>
    </row>
    <row r="791">
      <c r="A791" s="1" t="n">
        <v>43152</v>
      </c>
      <c r="B791" s="3">
        <f>IF(ISNUMBER(AVERAGE('20250815_ETF_Options_Exhibits'!B787:B791)),AVERAGE('20250815_ETF_Options_Exhibits'!B787:B791),"")</f>
        <v/>
      </c>
      <c r="C791" s="3">
        <f>IF(ISNUMBER(AVERAGE('20250815_ETF_Options_Exhibits'!C787:C791)),AVERAGE('20250815_ETF_Options_Exhibits'!C787:C791),"")</f>
        <v/>
      </c>
      <c r="D791" s="3">
        <f>IF(ISNUMBER(AVERAGE('20250815_ETF_Options_Exhibits'!D787:D791)),AVERAGE('20250815_ETF_Options_Exhibits'!D787:D791),"")</f>
        <v/>
      </c>
      <c r="E791" s="3">
        <f>IF(ISNUMBER(AVERAGE('20250815_ETF_Options_Exhibits'!E787:E791)),AVERAGE('20250815_ETF_Options_Exhibits'!E787:E791),"")</f>
        <v/>
      </c>
      <c r="F791" s="3">
        <f>IF(ISNUMBER(AVERAGE('20250815_ETF_Options_Exhibits'!F787:F791)),AVERAGE('20250815_ETF_Options_Exhibits'!F787:F791),"")</f>
        <v/>
      </c>
      <c r="G791" s="3">
        <f>IF(ISNUMBER(AVERAGE('20250815_ETF_Options_Exhibits'!G787:G791)),AVERAGE('20250815_ETF_Options_Exhibits'!G787:G791),"")</f>
        <v/>
      </c>
      <c r="H791" s="3">
        <f>IF(ISNUMBER(AVERAGE('20250815_ETF_Options_Exhibits'!H787:H791)),AVERAGE('20250815_ETF_Options_Exhibits'!H787:H791),"")</f>
        <v/>
      </c>
      <c r="I791" s="3">
        <f>IF(ISNUMBER(AVERAGE('20250815_ETF_Options_Exhibits'!I787:I791)),AVERAGE('20250815_ETF_Options_Exhibits'!I787:I791),"")</f>
        <v/>
      </c>
      <c r="J791" s="3">
        <f>IF(ISNUMBER(AVERAGE('20250815_ETF_Options_Exhibits'!J787:J791)),AVERAGE('20250815_ETF_Options_Exhibits'!J787:J791),"")</f>
        <v/>
      </c>
      <c r="K791" s="3">
        <f>IF(ISNUMBER(AVERAGE('20250815_ETF_Options_Exhibits'!K787:K791)),AVERAGE('20250815_ETF_Options_Exhibits'!K787:K791),"")</f>
        <v/>
      </c>
      <c r="L791" s="3">
        <f>IF(ISNUMBER(AVERAGE('20250815_ETF_Options_Exhibits'!L787:L791)),AVERAGE('20250815_ETF_Options_Exhibits'!L787:L791),"")</f>
        <v/>
      </c>
      <c r="M791" s="3">
        <f>IF(ISNUMBER(AVERAGE('20250815_ETF_Options_Exhibits'!M787:M791)),AVERAGE('20250815_ETF_Options_Exhibits'!M787:M791),"")</f>
        <v/>
      </c>
      <c r="N791" s="3">
        <f>IF(ISNUMBER(AVERAGE('20250815_ETF_Options_Exhibits'!N787:N791)),AVERAGE('20250815_ETF_Options_Exhibits'!N787:N791),"")</f>
        <v/>
      </c>
      <c r="O791" s="3">
        <f>IF(ISNUMBER(AVERAGE('20250815_ETF_Options_Exhibits'!O787:O791)),AVERAGE('20250815_ETF_Options_Exhibits'!O787:O791),"")</f>
        <v/>
      </c>
      <c r="P791" s="3">
        <f>IF(ISNUMBER(AVERAGE('20250815_ETF_Options_Exhibits'!P787:P791)),AVERAGE('20250815_ETF_Options_Exhibits'!P787:P791),"")</f>
        <v/>
      </c>
      <c r="Q791" s="3">
        <f>IF(ISNUMBER(AVERAGE('20250815_ETF_Options_Exhibits'!Q787:Q791)),AVERAGE('20250815_ETF_Options_Exhibits'!Q787:Q791),"")</f>
        <v/>
      </c>
      <c r="R791" s="3">
        <f>IF(ISNUMBER(AVERAGE('20250815_ETF_Options_Exhibits'!R787:R791)),AVERAGE('20250815_ETF_Options_Exhibits'!R787:R791),"")</f>
        <v/>
      </c>
      <c r="S791" s="3">
        <f>IF(ISNUMBER(AVERAGE('20250815_ETF_Options_Exhibits'!S787:S791)),AVERAGE('20250815_ETF_Options_Exhibits'!S787:S791),"")</f>
        <v/>
      </c>
      <c r="T791" s="3">
        <f>IF(ISNUMBER(AVERAGE('20250815_ETF_Options_Exhibits'!T787:T791)),AVERAGE('20250815_ETF_Options_Exhibits'!T787:T791),"")</f>
        <v/>
      </c>
      <c r="U791" s="3">
        <f>IF(ISNUMBER(AVERAGE('20250815_ETF_Options_Exhibits'!U787:U791)),AVERAGE('20250815_ETF_Options_Exhibits'!U787:U791),"")</f>
        <v/>
      </c>
      <c r="V791" s="3">
        <f>IF(ISNUMBER(AVERAGE('20250815_ETF_Options_Exhibits'!V787:V791)),AVERAGE('20250815_ETF_Options_Exhibits'!V787:V791),"")</f>
        <v/>
      </c>
      <c r="W791" s="3">
        <f>IF(ISNUMBER(AVERAGE('20250815_ETF_Options_Exhibits'!W787:W791)),AVERAGE('20250815_ETF_Options_Exhibits'!W787:W791),"")</f>
        <v/>
      </c>
      <c r="X791" s="3">
        <f>IF(ISNUMBER(AVERAGE('20250815_ETF_Options_Exhibits'!X787:X791)),AVERAGE('20250815_ETF_Options_Exhibits'!X787:X791),"")</f>
        <v/>
      </c>
      <c r="Y791" s="3">
        <f>IF(ISNUMBER(AVERAGE('20250815_ETF_Options_Exhibits'!Y787:Y791)),AVERAGE('20250815_ETF_Options_Exhibits'!Y787:Y791),"")</f>
        <v/>
      </c>
      <c r="Z791" s="3">
        <f>IF(ISNUMBER(AVERAGE('20250815_ETF_Options_Exhibits'!Z787:Z791)),AVERAGE('20250815_ETF_Options_Exhibits'!Z787:Z791),"")</f>
        <v/>
      </c>
      <c r="AA791" s="3">
        <f>IF(ISNUMBER(AVERAGE('20250815_ETF_Options_Exhibits'!AA787:AA791)),AVERAGE('20250815_ETF_Options_Exhibits'!AA787:AA791),"")</f>
        <v/>
      </c>
    </row>
    <row r="792">
      <c r="A792" s="1" t="n">
        <v>43153</v>
      </c>
      <c r="B792" s="3">
        <f>IF(ISNUMBER(AVERAGE('20250815_ETF_Options_Exhibits'!B788:B792)),AVERAGE('20250815_ETF_Options_Exhibits'!B788:B792),"")</f>
        <v/>
      </c>
      <c r="C792" s="3">
        <f>IF(ISNUMBER(AVERAGE('20250815_ETF_Options_Exhibits'!C788:C792)),AVERAGE('20250815_ETF_Options_Exhibits'!C788:C792),"")</f>
        <v/>
      </c>
      <c r="D792" s="3">
        <f>IF(ISNUMBER(AVERAGE('20250815_ETF_Options_Exhibits'!D788:D792)),AVERAGE('20250815_ETF_Options_Exhibits'!D788:D792),"")</f>
        <v/>
      </c>
      <c r="E792" s="3">
        <f>IF(ISNUMBER(AVERAGE('20250815_ETF_Options_Exhibits'!E788:E792)),AVERAGE('20250815_ETF_Options_Exhibits'!E788:E792),"")</f>
        <v/>
      </c>
      <c r="F792" s="3">
        <f>IF(ISNUMBER(AVERAGE('20250815_ETF_Options_Exhibits'!F788:F792)),AVERAGE('20250815_ETF_Options_Exhibits'!F788:F792),"")</f>
        <v/>
      </c>
      <c r="G792" s="3">
        <f>IF(ISNUMBER(AVERAGE('20250815_ETF_Options_Exhibits'!G788:G792)),AVERAGE('20250815_ETF_Options_Exhibits'!G788:G792),"")</f>
        <v/>
      </c>
      <c r="H792" s="3">
        <f>IF(ISNUMBER(AVERAGE('20250815_ETF_Options_Exhibits'!H788:H792)),AVERAGE('20250815_ETF_Options_Exhibits'!H788:H792),"")</f>
        <v/>
      </c>
      <c r="I792" s="3">
        <f>IF(ISNUMBER(AVERAGE('20250815_ETF_Options_Exhibits'!I788:I792)),AVERAGE('20250815_ETF_Options_Exhibits'!I788:I792),"")</f>
        <v/>
      </c>
      <c r="J792" s="3">
        <f>IF(ISNUMBER(AVERAGE('20250815_ETF_Options_Exhibits'!J788:J792)),AVERAGE('20250815_ETF_Options_Exhibits'!J788:J792),"")</f>
        <v/>
      </c>
      <c r="K792" s="3">
        <f>IF(ISNUMBER(AVERAGE('20250815_ETF_Options_Exhibits'!K788:K792)),AVERAGE('20250815_ETF_Options_Exhibits'!K788:K792),"")</f>
        <v/>
      </c>
      <c r="L792" s="3">
        <f>IF(ISNUMBER(AVERAGE('20250815_ETF_Options_Exhibits'!L788:L792)),AVERAGE('20250815_ETF_Options_Exhibits'!L788:L792),"")</f>
        <v/>
      </c>
      <c r="M792" s="3">
        <f>IF(ISNUMBER(AVERAGE('20250815_ETF_Options_Exhibits'!M788:M792)),AVERAGE('20250815_ETF_Options_Exhibits'!M788:M792),"")</f>
        <v/>
      </c>
      <c r="N792" s="3">
        <f>IF(ISNUMBER(AVERAGE('20250815_ETF_Options_Exhibits'!N788:N792)),AVERAGE('20250815_ETF_Options_Exhibits'!N788:N792),"")</f>
        <v/>
      </c>
      <c r="O792" s="3">
        <f>IF(ISNUMBER(AVERAGE('20250815_ETF_Options_Exhibits'!O788:O792)),AVERAGE('20250815_ETF_Options_Exhibits'!O788:O792),"")</f>
        <v/>
      </c>
      <c r="P792" s="3">
        <f>IF(ISNUMBER(AVERAGE('20250815_ETF_Options_Exhibits'!P788:P792)),AVERAGE('20250815_ETF_Options_Exhibits'!P788:P792),"")</f>
        <v/>
      </c>
      <c r="Q792" s="3">
        <f>IF(ISNUMBER(AVERAGE('20250815_ETF_Options_Exhibits'!Q788:Q792)),AVERAGE('20250815_ETF_Options_Exhibits'!Q788:Q792),"")</f>
        <v/>
      </c>
      <c r="R792" s="3">
        <f>IF(ISNUMBER(AVERAGE('20250815_ETF_Options_Exhibits'!R788:R792)),AVERAGE('20250815_ETF_Options_Exhibits'!R788:R792),"")</f>
        <v/>
      </c>
      <c r="S792" s="3">
        <f>IF(ISNUMBER(AVERAGE('20250815_ETF_Options_Exhibits'!S788:S792)),AVERAGE('20250815_ETF_Options_Exhibits'!S788:S792),"")</f>
        <v/>
      </c>
      <c r="T792" s="3">
        <f>IF(ISNUMBER(AVERAGE('20250815_ETF_Options_Exhibits'!T788:T792)),AVERAGE('20250815_ETF_Options_Exhibits'!T788:T792),"")</f>
        <v/>
      </c>
      <c r="U792" s="3">
        <f>IF(ISNUMBER(AVERAGE('20250815_ETF_Options_Exhibits'!U788:U792)),AVERAGE('20250815_ETF_Options_Exhibits'!U788:U792),"")</f>
        <v/>
      </c>
      <c r="V792" s="3">
        <f>IF(ISNUMBER(AVERAGE('20250815_ETF_Options_Exhibits'!V788:V792)),AVERAGE('20250815_ETF_Options_Exhibits'!V788:V792),"")</f>
        <v/>
      </c>
      <c r="W792" s="3">
        <f>IF(ISNUMBER(AVERAGE('20250815_ETF_Options_Exhibits'!W788:W792)),AVERAGE('20250815_ETF_Options_Exhibits'!W788:W792),"")</f>
        <v/>
      </c>
      <c r="X792" s="3">
        <f>IF(ISNUMBER(AVERAGE('20250815_ETF_Options_Exhibits'!X788:X792)),AVERAGE('20250815_ETF_Options_Exhibits'!X788:X792),"")</f>
        <v/>
      </c>
      <c r="Y792" s="3">
        <f>IF(ISNUMBER(AVERAGE('20250815_ETF_Options_Exhibits'!Y788:Y792)),AVERAGE('20250815_ETF_Options_Exhibits'!Y788:Y792),"")</f>
        <v/>
      </c>
      <c r="Z792" s="3">
        <f>IF(ISNUMBER(AVERAGE('20250815_ETF_Options_Exhibits'!Z788:Z792)),AVERAGE('20250815_ETF_Options_Exhibits'!Z788:Z792),"")</f>
        <v/>
      </c>
      <c r="AA792" s="3">
        <f>IF(ISNUMBER(AVERAGE('20250815_ETF_Options_Exhibits'!AA788:AA792)),AVERAGE('20250815_ETF_Options_Exhibits'!AA788:AA792),"")</f>
        <v/>
      </c>
    </row>
    <row r="793">
      <c r="A793" s="1" t="n">
        <v>43154</v>
      </c>
      <c r="B793" s="3">
        <f>IF(ISNUMBER(AVERAGE('20250815_ETF_Options_Exhibits'!B789:B793)),AVERAGE('20250815_ETF_Options_Exhibits'!B789:B793),"")</f>
        <v/>
      </c>
      <c r="C793" s="3">
        <f>IF(ISNUMBER(AVERAGE('20250815_ETF_Options_Exhibits'!C789:C793)),AVERAGE('20250815_ETF_Options_Exhibits'!C789:C793),"")</f>
        <v/>
      </c>
      <c r="D793" s="3">
        <f>IF(ISNUMBER(AVERAGE('20250815_ETF_Options_Exhibits'!D789:D793)),AVERAGE('20250815_ETF_Options_Exhibits'!D789:D793),"")</f>
        <v/>
      </c>
      <c r="E793" s="3">
        <f>IF(ISNUMBER(AVERAGE('20250815_ETF_Options_Exhibits'!E789:E793)),AVERAGE('20250815_ETF_Options_Exhibits'!E789:E793),"")</f>
        <v/>
      </c>
      <c r="F793" s="3">
        <f>IF(ISNUMBER(AVERAGE('20250815_ETF_Options_Exhibits'!F789:F793)),AVERAGE('20250815_ETF_Options_Exhibits'!F789:F793),"")</f>
        <v/>
      </c>
      <c r="G793" s="3">
        <f>IF(ISNUMBER(AVERAGE('20250815_ETF_Options_Exhibits'!G789:G793)),AVERAGE('20250815_ETF_Options_Exhibits'!G789:G793),"")</f>
        <v/>
      </c>
      <c r="H793" s="3">
        <f>IF(ISNUMBER(AVERAGE('20250815_ETF_Options_Exhibits'!H789:H793)),AVERAGE('20250815_ETF_Options_Exhibits'!H789:H793),"")</f>
        <v/>
      </c>
      <c r="I793" s="3">
        <f>IF(ISNUMBER(AVERAGE('20250815_ETF_Options_Exhibits'!I789:I793)),AVERAGE('20250815_ETF_Options_Exhibits'!I789:I793),"")</f>
        <v/>
      </c>
      <c r="J793" s="3">
        <f>IF(ISNUMBER(AVERAGE('20250815_ETF_Options_Exhibits'!J789:J793)),AVERAGE('20250815_ETF_Options_Exhibits'!J789:J793),"")</f>
        <v/>
      </c>
      <c r="K793" s="3">
        <f>IF(ISNUMBER(AVERAGE('20250815_ETF_Options_Exhibits'!K789:K793)),AVERAGE('20250815_ETF_Options_Exhibits'!K789:K793),"")</f>
        <v/>
      </c>
      <c r="L793" s="3">
        <f>IF(ISNUMBER(AVERAGE('20250815_ETF_Options_Exhibits'!L789:L793)),AVERAGE('20250815_ETF_Options_Exhibits'!L789:L793),"")</f>
        <v/>
      </c>
      <c r="M793" s="3">
        <f>IF(ISNUMBER(AVERAGE('20250815_ETF_Options_Exhibits'!M789:M793)),AVERAGE('20250815_ETF_Options_Exhibits'!M789:M793),"")</f>
        <v/>
      </c>
      <c r="N793" s="3">
        <f>IF(ISNUMBER(AVERAGE('20250815_ETF_Options_Exhibits'!N789:N793)),AVERAGE('20250815_ETF_Options_Exhibits'!N789:N793),"")</f>
        <v/>
      </c>
      <c r="O793" s="3">
        <f>IF(ISNUMBER(AVERAGE('20250815_ETF_Options_Exhibits'!O789:O793)),AVERAGE('20250815_ETF_Options_Exhibits'!O789:O793),"")</f>
        <v/>
      </c>
      <c r="P793" s="3">
        <f>IF(ISNUMBER(AVERAGE('20250815_ETF_Options_Exhibits'!P789:P793)),AVERAGE('20250815_ETF_Options_Exhibits'!P789:P793),"")</f>
        <v/>
      </c>
      <c r="Q793" s="3">
        <f>IF(ISNUMBER(AVERAGE('20250815_ETF_Options_Exhibits'!Q789:Q793)),AVERAGE('20250815_ETF_Options_Exhibits'!Q789:Q793),"")</f>
        <v/>
      </c>
      <c r="R793" s="3">
        <f>IF(ISNUMBER(AVERAGE('20250815_ETF_Options_Exhibits'!R789:R793)),AVERAGE('20250815_ETF_Options_Exhibits'!R789:R793),"")</f>
        <v/>
      </c>
      <c r="S793" s="3">
        <f>IF(ISNUMBER(AVERAGE('20250815_ETF_Options_Exhibits'!S789:S793)),AVERAGE('20250815_ETF_Options_Exhibits'!S789:S793),"")</f>
        <v/>
      </c>
      <c r="T793" s="3">
        <f>IF(ISNUMBER(AVERAGE('20250815_ETF_Options_Exhibits'!T789:T793)),AVERAGE('20250815_ETF_Options_Exhibits'!T789:T793),"")</f>
        <v/>
      </c>
      <c r="U793" s="3">
        <f>IF(ISNUMBER(AVERAGE('20250815_ETF_Options_Exhibits'!U789:U793)),AVERAGE('20250815_ETF_Options_Exhibits'!U789:U793),"")</f>
        <v/>
      </c>
      <c r="V793" s="3">
        <f>IF(ISNUMBER(AVERAGE('20250815_ETF_Options_Exhibits'!V789:V793)),AVERAGE('20250815_ETF_Options_Exhibits'!V789:V793),"")</f>
        <v/>
      </c>
      <c r="W793" s="3">
        <f>IF(ISNUMBER(AVERAGE('20250815_ETF_Options_Exhibits'!W789:W793)),AVERAGE('20250815_ETF_Options_Exhibits'!W789:W793),"")</f>
        <v/>
      </c>
      <c r="X793" s="3">
        <f>IF(ISNUMBER(AVERAGE('20250815_ETF_Options_Exhibits'!X789:X793)),AVERAGE('20250815_ETF_Options_Exhibits'!X789:X793),"")</f>
        <v/>
      </c>
      <c r="Y793" s="3">
        <f>IF(ISNUMBER(AVERAGE('20250815_ETF_Options_Exhibits'!Y789:Y793)),AVERAGE('20250815_ETF_Options_Exhibits'!Y789:Y793),"")</f>
        <v/>
      </c>
      <c r="Z793" s="3">
        <f>IF(ISNUMBER(AVERAGE('20250815_ETF_Options_Exhibits'!Z789:Z793)),AVERAGE('20250815_ETF_Options_Exhibits'!Z789:Z793),"")</f>
        <v/>
      </c>
      <c r="AA793" s="3">
        <f>IF(ISNUMBER(AVERAGE('20250815_ETF_Options_Exhibits'!AA789:AA793)),AVERAGE('20250815_ETF_Options_Exhibits'!AA789:AA793),"")</f>
        <v/>
      </c>
    </row>
    <row r="794">
      <c r="A794" s="1" t="n">
        <v>43157</v>
      </c>
      <c r="B794" s="3">
        <f>IF(ISNUMBER(AVERAGE('20250815_ETF_Options_Exhibits'!B790:B794)),AVERAGE('20250815_ETF_Options_Exhibits'!B790:B794),"")</f>
        <v/>
      </c>
      <c r="C794" s="3">
        <f>IF(ISNUMBER(AVERAGE('20250815_ETF_Options_Exhibits'!C790:C794)),AVERAGE('20250815_ETF_Options_Exhibits'!C790:C794),"")</f>
        <v/>
      </c>
      <c r="D794" s="3">
        <f>IF(ISNUMBER(AVERAGE('20250815_ETF_Options_Exhibits'!D790:D794)),AVERAGE('20250815_ETF_Options_Exhibits'!D790:D794),"")</f>
        <v/>
      </c>
      <c r="E794" s="3">
        <f>IF(ISNUMBER(AVERAGE('20250815_ETF_Options_Exhibits'!E790:E794)),AVERAGE('20250815_ETF_Options_Exhibits'!E790:E794),"")</f>
        <v/>
      </c>
      <c r="F794" s="3">
        <f>IF(ISNUMBER(AVERAGE('20250815_ETF_Options_Exhibits'!F790:F794)),AVERAGE('20250815_ETF_Options_Exhibits'!F790:F794),"")</f>
        <v/>
      </c>
      <c r="G794" s="3">
        <f>IF(ISNUMBER(AVERAGE('20250815_ETF_Options_Exhibits'!G790:G794)),AVERAGE('20250815_ETF_Options_Exhibits'!G790:G794),"")</f>
        <v/>
      </c>
      <c r="H794" s="3">
        <f>IF(ISNUMBER(AVERAGE('20250815_ETF_Options_Exhibits'!H790:H794)),AVERAGE('20250815_ETF_Options_Exhibits'!H790:H794),"")</f>
        <v/>
      </c>
      <c r="I794" s="3">
        <f>IF(ISNUMBER(AVERAGE('20250815_ETF_Options_Exhibits'!I790:I794)),AVERAGE('20250815_ETF_Options_Exhibits'!I790:I794),"")</f>
        <v/>
      </c>
      <c r="J794" s="3">
        <f>IF(ISNUMBER(AVERAGE('20250815_ETF_Options_Exhibits'!J790:J794)),AVERAGE('20250815_ETF_Options_Exhibits'!J790:J794),"")</f>
        <v/>
      </c>
      <c r="K794" s="3">
        <f>IF(ISNUMBER(AVERAGE('20250815_ETF_Options_Exhibits'!K790:K794)),AVERAGE('20250815_ETF_Options_Exhibits'!K790:K794),"")</f>
        <v/>
      </c>
      <c r="L794" s="3">
        <f>IF(ISNUMBER(AVERAGE('20250815_ETF_Options_Exhibits'!L790:L794)),AVERAGE('20250815_ETF_Options_Exhibits'!L790:L794),"")</f>
        <v/>
      </c>
      <c r="M794" s="3">
        <f>IF(ISNUMBER(AVERAGE('20250815_ETF_Options_Exhibits'!M790:M794)),AVERAGE('20250815_ETF_Options_Exhibits'!M790:M794),"")</f>
        <v/>
      </c>
      <c r="N794" s="3">
        <f>IF(ISNUMBER(AVERAGE('20250815_ETF_Options_Exhibits'!N790:N794)),AVERAGE('20250815_ETF_Options_Exhibits'!N790:N794),"")</f>
        <v/>
      </c>
      <c r="O794" s="3">
        <f>IF(ISNUMBER(AVERAGE('20250815_ETF_Options_Exhibits'!O790:O794)),AVERAGE('20250815_ETF_Options_Exhibits'!O790:O794),"")</f>
        <v/>
      </c>
      <c r="P794" s="3">
        <f>IF(ISNUMBER(AVERAGE('20250815_ETF_Options_Exhibits'!P790:P794)),AVERAGE('20250815_ETF_Options_Exhibits'!P790:P794),"")</f>
        <v/>
      </c>
      <c r="Q794" s="3">
        <f>IF(ISNUMBER(AVERAGE('20250815_ETF_Options_Exhibits'!Q790:Q794)),AVERAGE('20250815_ETF_Options_Exhibits'!Q790:Q794),"")</f>
        <v/>
      </c>
      <c r="R794" s="3">
        <f>IF(ISNUMBER(AVERAGE('20250815_ETF_Options_Exhibits'!R790:R794)),AVERAGE('20250815_ETF_Options_Exhibits'!R790:R794),"")</f>
        <v/>
      </c>
      <c r="S794" s="3">
        <f>IF(ISNUMBER(AVERAGE('20250815_ETF_Options_Exhibits'!S790:S794)),AVERAGE('20250815_ETF_Options_Exhibits'!S790:S794),"")</f>
        <v/>
      </c>
      <c r="T794" s="3">
        <f>IF(ISNUMBER(AVERAGE('20250815_ETF_Options_Exhibits'!T790:T794)),AVERAGE('20250815_ETF_Options_Exhibits'!T790:T794),"")</f>
        <v/>
      </c>
      <c r="U794" s="3">
        <f>IF(ISNUMBER(AVERAGE('20250815_ETF_Options_Exhibits'!U790:U794)),AVERAGE('20250815_ETF_Options_Exhibits'!U790:U794),"")</f>
        <v/>
      </c>
      <c r="V794" s="3">
        <f>IF(ISNUMBER(AVERAGE('20250815_ETF_Options_Exhibits'!V790:V794)),AVERAGE('20250815_ETF_Options_Exhibits'!V790:V794),"")</f>
        <v/>
      </c>
      <c r="W794" s="3">
        <f>IF(ISNUMBER(AVERAGE('20250815_ETF_Options_Exhibits'!W790:W794)),AVERAGE('20250815_ETF_Options_Exhibits'!W790:W794),"")</f>
        <v/>
      </c>
      <c r="X794" s="3">
        <f>IF(ISNUMBER(AVERAGE('20250815_ETF_Options_Exhibits'!X790:X794)),AVERAGE('20250815_ETF_Options_Exhibits'!X790:X794),"")</f>
        <v/>
      </c>
      <c r="Y794" s="3">
        <f>IF(ISNUMBER(AVERAGE('20250815_ETF_Options_Exhibits'!Y790:Y794)),AVERAGE('20250815_ETF_Options_Exhibits'!Y790:Y794),"")</f>
        <v/>
      </c>
      <c r="Z794" s="3">
        <f>IF(ISNUMBER(AVERAGE('20250815_ETF_Options_Exhibits'!Z790:Z794)),AVERAGE('20250815_ETF_Options_Exhibits'!Z790:Z794),"")</f>
        <v/>
      </c>
      <c r="AA794" s="3">
        <f>IF(ISNUMBER(AVERAGE('20250815_ETF_Options_Exhibits'!AA790:AA794)),AVERAGE('20250815_ETF_Options_Exhibits'!AA790:AA794),"")</f>
        <v/>
      </c>
    </row>
    <row r="795">
      <c r="A795" s="1" t="n">
        <v>43158</v>
      </c>
      <c r="B795" s="3">
        <f>IF(ISNUMBER(AVERAGE('20250815_ETF_Options_Exhibits'!B791:B795)),AVERAGE('20250815_ETF_Options_Exhibits'!B791:B795),"")</f>
        <v/>
      </c>
      <c r="C795" s="3">
        <f>IF(ISNUMBER(AVERAGE('20250815_ETF_Options_Exhibits'!C791:C795)),AVERAGE('20250815_ETF_Options_Exhibits'!C791:C795),"")</f>
        <v/>
      </c>
      <c r="D795" s="3">
        <f>IF(ISNUMBER(AVERAGE('20250815_ETF_Options_Exhibits'!D791:D795)),AVERAGE('20250815_ETF_Options_Exhibits'!D791:D795),"")</f>
        <v/>
      </c>
      <c r="E795" s="3">
        <f>IF(ISNUMBER(AVERAGE('20250815_ETF_Options_Exhibits'!E791:E795)),AVERAGE('20250815_ETF_Options_Exhibits'!E791:E795),"")</f>
        <v/>
      </c>
      <c r="F795" s="3">
        <f>IF(ISNUMBER(AVERAGE('20250815_ETF_Options_Exhibits'!F791:F795)),AVERAGE('20250815_ETF_Options_Exhibits'!F791:F795),"")</f>
        <v/>
      </c>
      <c r="G795" s="3">
        <f>IF(ISNUMBER(AVERAGE('20250815_ETF_Options_Exhibits'!G791:G795)),AVERAGE('20250815_ETF_Options_Exhibits'!G791:G795),"")</f>
        <v/>
      </c>
      <c r="H795" s="3">
        <f>IF(ISNUMBER(AVERAGE('20250815_ETF_Options_Exhibits'!H791:H795)),AVERAGE('20250815_ETF_Options_Exhibits'!H791:H795),"")</f>
        <v/>
      </c>
      <c r="I795" s="3">
        <f>IF(ISNUMBER(AVERAGE('20250815_ETF_Options_Exhibits'!I791:I795)),AVERAGE('20250815_ETF_Options_Exhibits'!I791:I795),"")</f>
        <v/>
      </c>
      <c r="J795" s="3">
        <f>IF(ISNUMBER(AVERAGE('20250815_ETF_Options_Exhibits'!J791:J795)),AVERAGE('20250815_ETF_Options_Exhibits'!J791:J795),"")</f>
        <v/>
      </c>
      <c r="K795" s="3">
        <f>IF(ISNUMBER(AVERAGE('20250815_ETF_Options_Exhibits'!K791:K795)),AVERAGE('20250815_ETF_Options_Exhibits'!K791:K795),"")</f>
        <v/>
      </c>
      <c r="L795" s="3">
        <f>IF(ISNUMBER(AVERAGE('20250815_ETF_Options_Exhibits'!L791:L795)),AVERAGE('20250815_ETF_Options_Exhibits'!L791:L795),"")</f>
        <v/>
      </c>
      <c r="M795" s="3">
        <f>IF(ISNUMBER(AVERAGE('20250815_ETF_Options_Exhibits'!M791:M795)),AVERAGE('20250815_ETF_Options_Exhibits'!M791:M795),"")</f>
        <v/>
      </c>
      <c r="N795" s="3">
        <f>IF(ISNUMBER(AVERAGE('20250815_ETF_Options_Exhibits'!N791:N795)),AVERAGE('20250815_ETF_Options_Exhibits'!N791:N795),"")</f>
        <v/>
      </c>
      <c r="O795" s="3">
        <f>IF(ISNUMBER(AVERAGE('20250815_ETF_Options_Exhibits'!O791:O795)),AVERAGE('20250815_ETF_Options_Exhibits'!O791:O795),"")</f>
        <v/>
      </c>
      <c r="P795" s="3">
        <f>IF(ISNUMBER(AVERAGE('20250815_ETF_Options_Exhibits'!P791:P795)),AVERAGE('20250815_ETF_Options_Exhibits'!P791:P795),"")</f>
        <v/>
      </c>
      <c r="Q795" s="3">
        <f>IF(ISNUMBER(AVERAGE('20250815_ETF_Options_Exhibits'!Q791:Q795)),AVERAGE('20250815_ETF_Options_Exhibits'!Q791:Q795),"")</f>
        <v/>
      </c>
      <c r="R795" s="3">
        <f>IF(ISNUMBER(AVERAGE('20250815_ETF_Options_Exhibits'!R791:R795)),AVERAGE('20250815_ETF_Options_Exhibits'!R791:R795),"")</f>
        <v/>
      </c>
      <c r="S795" s="3">
        <f>IF(ISNUMBER(AVERAGE('20250815_ETF_Options_Exhibits'!S791:S795)),AVERAGE('20250815_ETF_Options_Exhibits'!S791:S795),"")</f>
        <v/>
      </c>
      <c r="T795" s="3">
        <f>IF(ISNUMBER(AVERAGE('20250815_ETF_Options_Exhibits'!T791:T795)),AVERAGE('20250815_ETF_Options_Exhibits'!T791:T795),"")</f>
        <v/>
      </c>
      <c r="U795" s="3">
        <f>IF(ISNUMBER(AVERAGE('20250815_ETF_Options_Exhibits'!U791:U795)),AVERAGE('20250815_ETF_Options_Exhibits'!U791:U795),"")</f>
        <v/>
      </c>
      <c r="V795" s="3">
        <f>IF(ISNUMBER(AVERAGE('20250815_ETF_Options_Exhibits'!V791:V795)),AVERAGE('20250815_ETF_Options_Exhibits'!V791:V795),"")</f>
        <v/>
      </c>
      <c r="W795" s="3">
        <f>IF(ISNUMBER(AVERAGE('20250815_ETF_Options_Exhibits'!W791:W795)),AVERAGE('20250815_ETF_Options_Exhibits'!W791:W795),"")</f>
        <v/>
      </c>
      <c r="X795" s="3">
        <f>IF(ISNUMBER(AVERAGE('20250815_ETF_Options_Exhibits'!X791:X795)),AVERAGE('20250815_ETF_Options_Exhibits'!X791:X795),"")</f>
        <v/>
      </c>
      <c r="Y795" s="3">
        <f>IF(ISNUMBER(AVERAGE('20250815_ETF_Options_Exhibits'!Y791:Y795)),AVERAGE('20250815_ETF_Options_Exhibits'!Y791:Y795),"")</f>
        <v/>
      </c>
      <c r="Z795" s="3">
        <f>IF(ISNUMBER(AVERAGE('20250815_ETF_Options_Exhibits'!Z791:Z795)),AVERAGE('20250815_ETF_Options_Exhibits'!Z791:Z795),"")</f>
        <v/>
      </c>
      <c r="AA795" s="3">
        <f>IF(ISNUMBER(AVERAGE('20250815_ETF_Options_Exhibits'!AA791:AA795)),AVERAGE('20250815_ETF_Options_Exhibits'!AA791:AA795),"")</f>
        <v/>
      </c>
    </row>
    <row r="796">
      <c r="A796" s="1" t="n">
        <v>43159</v>
      </c>
      <c r="B796" s="3">
        <f>IF(ISNUMBER(AVERAGE('20250815_ETF_Options_Exhibits'!B792:B796)),AVERAGE('20250815_ETF_Options_Exhibits'!B792:B796),"")</f>
        <v/>
      </c>
      <c r="C796" s="3">
        <f>IF(ISNUMBER(AVERAGE('20250815_ETF_Options_Exhibits'!C792:C796)),AVERAGE('20250815_ETF_Options_Exhibits'!C792:C796),"")</f>
        <v/>
      </c>
      <c r="D796" s="3">
        <f>IF(ISNUMBER(AVERAGE('20250815_ETF_Options_Exhibits'!D792:D796)),AVERAGE('20250815_ETF_Options_Exhibits'!D792:D796),"")</f>
        <v/>
      </c>
      <c r="E796" s="3">
        <f>IF(ISNUMBER(AVERAGE('20250815_ETF_Options_Exhibits'!E792:E796)),AVERAGE('20250815_ETF_Options_Exhibits'!E792:E796),"")</f>
        <v/>
      </c>
      <c r="F796" s="3">
        <f>IF(ISNUMBER(AVERAGE('20250815_ETF_Options_Exhibits'!F792:F796)),AVERAGE('20250815_ETF_Options_Exhibits'!F792:F796),"")</f>
        <v/>
      </c>
      <c r="G796" s="3">
        <f>IF(ISNUMBER(AVERAGE('20250815_ETF_Options_Exhibits'!G792:G796)),AVERAGE('20250815_ETF_Options_Exhibits'!G792:G796),"")</f>
        <v/>
      </c>
      <c r="H796" s="3">
        <f>IF(ISNUMBER(AVERAGE('20250815_ETF_Options_Exhibits'!H792:H796)),AVERAGE('20250815_ETF_Options_Exhibits'!H792:H796),"")</f>
        <v/>
      </c>
      <c r="I796" s="3">
        <f>IF(ISNUMBER(AVERAGE('20250815_ETF_Options_Exhibits'!I792:I796)),AVERAGE('20250815_ETF_Options_Exhibits'!I792:I796),"")</f>
        <v/>
      </c>
      <c r="J796" s="3">
        <f>IF(ISNUMBER(AVERAGE('20250815_ETF_Options_Exhibits'!J792:J796)),AVERAGE('20250815_ETF_Options_Exhibits'!J792:J796),"")</f>
        <v/>
      </c>
      <c r="K796" s="3">
        <f>IF(ISNUMBER(AVERAGE('20250815_ETF_Options_Exhibits'!K792:K796)),AVERAGE('20250815_ETF_Options_Exhibits'!K792:K796),"")</f>
        <v/>
      </c>
      <c r="L796" s="3">
        <f>IF(ISNUMBER(AVERAGE('20250815_ETF_Options_Exhibits'!L792:L796)),AVERAGE('20250815_ETF_Options_Exhibits'!L792:L796),"")</f>
        <v/>
      </c>
      <c r="M796" s="3">
        <f>IF(ISNUMBER(AVERAGE('20250815_ETF_Options_Exhibits'!M792:M796)),AVERAGE('20250815_ETF_Options_Exhibits'!M792:M796),"")</f>
        <v/>
      </c>
      <c r="N796" s="3">
        <f>IF(ISNUMBER(AVERAGE('20250815_ETF_Options_Exhibits'!N792:N796)),AVERAGE('20250815_ETF_Options_Exhibits'!N792:N796),"")</f>
        <v/>
      </c>
      <c r="O796" s="3">
        <f>IF(ISNUMBER(AVERAGE('20250815_ETF_Options_Exhibits'!O792:O796)),AVERAGE('20250815_ETF_Options_Exhibits'!O792:O796),"")</f>
        <v/>
      </c>
      <c r="P796" s="3">
        <f>IF(ISNUMBER(AVERAGE('20250815_ETF_Options_Exhibits'!P792:P796)),AVERAGE('20250815_ETF_Options_Exhibits'!P792:P796),"")</f>
        <v/>
      </c>
      <c r="Q796" s="3">
        <f>IF(ISNUMBER(AVERAGE('20250815_ETF_Options_Exhibits'!Q792:Q796)),AVERAGE('20250815_ETF_Options_Exhibits'!Q792:Q796),"")</f>
        <v/>
      </c>
      <c r="R796" s="3">
        <f>IF(ISNUMBER(AVERAGE('20250815_ETF_Options_Exhibits'!R792:R796)),AVERAGE('20250815_ETF_Options_Exhibits'!R792:R796),"")</f>
        <v/>
      </c>
      <c r="S796" s="3">
        <f>IF(ISNUMBER(AVERAGE('20250815_ETF_Options_Exhibits'!S792:S796)),AVERAGE('20250815_ETF_Options_Exhibits'!S792:S796),"")</f>
        <v/>
      </c>
      <c r="T796" s="3">
        <f>IF(ISNUMBER(AVERAGE('20250815_ETF_Options_Exhibits'!T792:T796)),AVERAGE('20250815_ETF_Options_Exhibits'!T792:T796),"")</f>
        <v/>
      </c>
      <c r="U796" s="3">
        <f>IF(ISNUMBER(AVERAGE('20250815_ETF_Options_Exhibits'!U792:U796)),AVERAGE('20250815_ETF_Options_Exhibits'!U792:U796),"")</f>
        <v/>
      </c>
      <c r="V796" s="3">
        <f>IF(ISNUMBER(AVERAGE('20250815_ETF_Options_Exhibits'!V792:V796)),AVERAGE('20250815_ETF_Options_Exhibits'!V792:V796),"")</f>
        <v/>
      </c>
      <c r="W796" s="3">
        <f>IF(ISNUMBER(AVERAGE('20250815_ETF_Options_Exhibits'!W792:W796)),AVERAGE('20250815_ETF_Options_Exhibits'!W792:W796),"")</f>
        <v/>
      </c>
      <c r="X796" s="3">
        <f>IF(ISNUMBER(AVERAGE('20250815_ETF_Options_Exhibits'!X792:X796)),AVERAGE('20250815_ETF_Options_Exhibits'!X792:X796),"")</f>
        <v/>
      </c>
      <c r="Y796" s="3">
        <f>IF(ISNUMBER(AVERAGE('20250815_ETF_Options_Exhibits'!Y792:Y796)),AVERAGE('20250815_ETF_Options_Exhibits'!Y792:Y796),"")</f>
        <v/>
      </c>
      <c r="Z796" s="3">
        <f>IF(ISNUMBER(AVERAGE('20250815_ETF_Options_Exhibits'!Z792:Z796)),AVERAGE('20250815_ETF_Options_Exhibits'!Z792:Z796),"")</f>
        <v/>
      </c>
      <c r="AA796" s="3">
        <f>IF(ISNUMBER(AVERAGE('20250815_ETF_Options_Exhibits'!AA792:AA796)),AVERAGE('20250815_ETF_Options_Exhibits'!AA792:AA796),"")</f>
        <v/>
      </c>
    </row>
    <row r="797">
      <c r="A797" s="1" t="n">
        <v>43160</v>
      </c>
      <c r="B797" s="3">
        <f>IF(ISNUMBER(AVERAGE('20250815_ETF_Options_Exhibits'!B793:B797)),AVERAGE('20250815_ETF_Options_Exhibits'!B793:B797),"")</f>
        <v/>
      </c>
      <c r="C797" s="3">
        <f>IF(ISNUMBER(AVERAGE('20250815_ETF_Options_Exhibits'!C793:C797)),AVERAGE('20250815_ETF_Options_Exhibits'!C793:C797),"")</f>
        <v/>
      </c>
      <c r="D797" s="3">
        <f>IF(ISNUMBER(AVERAGE('20250815_ETF_Options_Exhibits'!D793:D797)),AVERAGE('20250815_ETF_Options_Exhibits'!D793:D797),"")</f>
        <v/>
      </c>
      <c r="E797" s="3">
        <f>IF(ISNUMBER(AVERAGE('20250815_ETF_Options_Exhibits'!E793:E797)),AVERAGE('20250815_ETF_Options_Exhibits'!E793:E797),"")</f>
        <v/>
      </c>
      <c r="F797" s="3">
        <f>IF(ISNUMBER(AVERAGE('20250815_ETF_Options_Exhibits'!F793:F797)),AVERAGE('20250815_ETF_Options_Exhibits'!F793:F797),"")</f>
        <v/>
      </c>
      <c r="G797" s="3">
        <f>IF(ISNUMBER(AVERAGE('20250815_ETF_Options_Exhibits'!G793:G797)),AVERAGE('20250815_ETF_Options_Exhibits'!G793:G797),"")</f>
        <v/>
      </c>
      <c r="H797" s="3">
        <f>IF(ISNUMBER(AVERAGE('20250815_ETF_Options_Exhibits'!H793:H797)),AVERAGE('20250815_ETF_Options_Exhibits'!H793:H797),"")</f>
        <v/>
      </c>
      <c r="I797" s="3">
        <f>IF(ISNUMBER(AVERAGE('20250815_ETF_Options_Exhibits'!I793:I797)),AVERAGE('20250815_ETF_Options_Exhibits'!I793:I797),"")</f>
        <v/>
      </c>
      <c r="J797" s="3">
        <f>IF(ISNUMBER(AVERAGE('20250815_ETF_Options_Exhibits'!J793:J797)),AVERAGE('20250815_ETF_Options_Exhibits'!J793:J797),"")</f>
        <v/>
      </c>
      <c r="K797" s="3">
        <f>IF(ISNUMBER(AVERAGE('20250815_ETF_Options_Exhibits'!K793:K797)),AVERAGE('20250815_ETF_Options_Exhibits'!K793:K797),"")</f>
        <v/>
      </c>
      <c r="L797" s="3">
        <f>IF(ISNUMBER(AVERAGE('20250815_ETF_Options_Exhibits'!L793:L797)),AVERAGE('20250815_ETF_Options_Exhibits'!L793:L797),"")</f>
        <v/>
      </c>
      <c r="M797" s="3">
        <f>IF(ISNUMBER(AVERAGE('20250815_ETF_Options_Exhibits'!M793:M797)),AVERAGE('20250815_ETF_Options_Exhibits'!M793:M797),"")</f>
        <v/>
      </c>
      <c r="N797" s="3">
        <f>IF(ISNUMBER(AVERAGE('20250815_ETF_Options_Exhibits'!N793:N797)),AVERAGE('20250815_ETF_Options_Exhibits'!N793:N797),"")</f>
        <v/>
      </c>
      <c r="O797" s="3">
        <f>IF(ISNUMBER(AVERAGE('20250815_ETF_Options_Exhibits'!O793:O797)),AVERAGE('20250815_ETF_Options_Exhibits'!O793:O797),"")</f>
        <v/>
      </c>
      <c r="P797" s="3">
        <f>IF(ISNUMBER(AVERAGE('20250815_ETF_Options_Exhibits'!P793:P797)),AVERAGE('20250815_ETF_Options_Exhibits'!P793:P797),"")</f>
        <v/>
      </c>
      <c r="Q797" s="3">
        <f>IF(ISNUMBER(AVERAGE('20250815_ETF_Options_Exhibits'!Q793:Q797)),AVERAGE('20250815_ETF_Options_Exhibits'!Q793:Q797),"")</f>
        <v/>
      </c>
      <c r="R797" s="3">
        <f>IF(ISNUMBER(AVERAGE('20250815_ETF_Options_Exhibits'!R793:R797)),AVERAGE('20250815_ETF_Options_Exhibits'!R793:R797),"")</f>
        <v/>
      </c>
      <c r="S797" s="3">
        <f>IF(ISNUMBER(AVERAGE('20250815_ETF_Options_Exhibits'!S793:S797)),AVERAGE('20250815_ETF_Options_Exhibits'!S793:S797),"")</f>
        <v/>
      </c>
      <c r="T797" s="3">
        <f>IF(ISNUMBER(AVERAGE('20250815_ETF_Options_Exhibits'!T793:T797)),AVERAGE('20250815_ETF_Options_Exhibits'!T793:T797),"")</f>
        <v/>
      </c>
      <c r="U797" s="3">
        <f>IF(ISNUMBER(AVERAGE('20250815_ETF_Options_Exhibits'!U793:U797)),AVERAGE('20250815_ETF_Options_Exhibits'!U793:U797),"")</f>
        <v/>
      </c>
      <c r="V797" s="3">
        <f>IF(ISNUMBER(AVERAGE('20250815_ETF_Options_Exhibits'!V793:V797)),AVERAGE('20250815_ETF_Options_Exhibits'!V793:V797),"")</f>
        <v/>
      </c>
      <c r="W797" s="3">
        <f>IF(ISNUMBER(AVERAGE('20250815_ETF_Options_Exhibits'!W793:W797)),AVERAGE('20250815_ETF_Options_Exhibits'!W793:W797),"")</f>
        <v/>
      </c>
      <c r="X797" s="3">
        <f>IF(ISNUMBER(AVERAGE('20250815_ETF_Options_Exhibits'!X793:X797)),AVERAGE('20250815_ETF_Options_Exhibits'!X793:X797),"")</f>
        <v/>
      </c>
      <c r="Y797" s="3">
        <f>IF(ISNUMBER(AVERAGE('20250815_ETF_Options_Exhibits'!Y793:Y797)),AVERAGE('20250815_ETF_Options_Exhibits'!Y793:Y797),"")</f>
        <v/>
      </c>
      <c r="Z797" s="3">
        <f>IF(ISNUMBER(AVERAGE('20250815_ETF_Options_Exhibits'!Z793:Z797)),AVERAGE('20250815_ETF_Options_Exhibits'!Z793:Z797),"")</f>
        <v/>
      </c>
      <c r="AA797" s="3">
        <f>IF(ISNUMBER(AVERAGE('20250815_ETF_Options_Exhibits'!AA793:AA797)),AVERAGE('20250815_ETF_Options_Exhibits'!AA793:AA797),"")</f>
        <v/>
      </c>
    </row>
    <row r="798">
      <c r="A798" s="1" t="n">
        <v>43161</v>
      </c>
      <c r="B798" s="3">
        <f>IF(ISNUMBER(AVERAGE('20250815_ETF_Options_Exhibits'!B794:B798)),AVERAGE('20250815_ETF_Options_Exhibits'!B794:B798),"")</f>
        <v/>
      </c>
      <c r="C798" s="3">
        <f>IF(ISNUMBER(AVERAGE('20250815_ETF_Options_Exhibits'!C794:C798)),AVERAGE('20250815_ETF_Options_Exhibits'!C794:C798),"")</f>
        <v/>
      </c>
      <c r="D798" s="3">
        <f>IF(ISNUMBER(AVERAGE('20250815_ETF_Options_Exhibits'!D794:D798)),AVERAGE('20250815_ETF_Options_Exhibits'!D794:D798),"")</f>
        <v/>
      </c>
      <c r="E798" s="3">
        <f>IF(ISNUMBER(AVERAGE('20250815_ETF_Options_Exhibits'!E794:E798)),AVERAGE('20250815_ETF_Options_Exhibits'!E794:E798),"")</f>
        <v/>
      </c>
      <c r="F798" s="3">
        <f>IF(ISNUMBER(AVERAGE('20250815_ETF_Options_Exhibits'!F794:F798)),AVERAGE('20250815_ETF_Options_Exhibits'!F794:F798),"")</f>
        <v/>
      </c>
      <c r="G798" s="3">
        <f>IF(ISNUMBER(AVERAGE('20250815_ETF_Options_Exhibits'!G794:G798)),AVERAGE('20250815_ETF_Options_Exhibits'!G794:G798),"")</f>
        <v/>
      </c>
      <c r="H798" s="3">
        <f>IF(ISNUMBER(AVERAGE('20250815_ETF_Options_Exhibits'!H794:H798)),AVERAGE('20250815_ETF_Options_Exhibits'!H794:H798),"")</f>
        <v/>
      </c>
      <c r="I798" s="3">
        <f>IF(ISNUMBER(AVERAGE('20250815_ETF_Options_Exhibits'!I794:I798)),AVERAGE('20250815_ETF_Options_Exhibits'!I794:I798),"")</f>
        <v/>
      </c>
      <c r="J798" s="3">
        <f>IF(ISNUMBER(AVERAGE('20250815_ETF_Options_Exhibits'!J794:J798)),AVERAGE('20250815_ETF_Options_Exhibits'!J794:J798),"")</f>
        <v/>
      </c>
      <c r="K798" s="3">
        <f>IF(ISNUMBER(AVERAGE('20250815_ETF_Options_Exhibits'!K794:K798)),AVERAGE('20250815_ETF_Options_Exhibits'!K794:K798),"")</f>
        <v/>
      </c>
      <c r="L798" s="3">
        <f>IF(ISNUMBER(AVERAGE('20250815_ETF_Options_Exhibits'!L794:L798)),AVERAGE('20250815_ETF_Options_Exhibits'!L794:L798),"")</f>
        <v/>
      </c>
      <c r="M798" s="3">
        <f>IF(ISNUMBER(AVERAGE('20250815_ETF_Options_Exhibits'!M794:M798)),AVERAGE('20250815_ETF_Options_Exhibits'!M794:M798),"")</f>
        <v/>
      </c>
      <c r="N798" s="3">
        <f>IF(ISNUMBER(AVERAGE('20250815_ETF_Options_Exhibits'!N794:N798)),AVERAGE('20250815_ETF_Options_Exhibits'!N794:N798),"")</f>
        <v/>
      </c>
      <c r="O798" s="3">
        <f>IF(ISNUMBER(AVERAGE('20250815_ETF_Options_Exhibits'!O794:O798)),AVERAGE('20250815_ETF_Options_Exhibits'!O794:O798),"")</f>
        <v/>
      </c>
      <c r="P798" s="3">
        <f>IF(ISNUMBER(AVERAGE('20250815_ETF_Options_Exhibits'!P794:P798)),AVERAGE('20250815_ETF_Options_Exhibits'!P794:P798),"")</f>
        <v/>
      </c>
      <c r="Q798" s="3">
        <f>IF(ISNUMBER(AVERAGE('20250815_ETF_Options_Exhibits'!Q794:Q798)),AVERAGE('20250815_ETF_Options_Exhibits'!Q794:Q798),"")</f>
        <v/>
      </c>
      <c r="R798" s="3">
        <f>IF(ISNUMBER(AVERAGE('20250815_ETF_Options_Exhibits'!R794:R798)),AVERAGE('20250815_ETF_Options_Exhibits'!R794:R798),"")</f>
        <v/>
      </c>
      <c r="S798" s="3">
        <f>IF(ISNUMBER(AVERAGE('20250815_ETF_Options_Exhibits'!S794:S798)),AVERAGE('20250815_ETF_Options_Exhibits'!S794:S798),"")</f>
        <v/>
      </c>
      <c r="T798" s="3">
        <f>IF(ISNUMBER(AVERAGE('20250815_ETF_Options_Exhibits'!T794:T798)),AVERAGE('20250815_ETF_Options_Exhibits'!T794:T798),"")</f>
        <v/>
      </c>
      <c r="U798" s="3">
        <f>IF(ISNUMBER(AVERAGE('20250815_ETF_Options_Exhibits'!U794:U798)),AVERAGE('20250815_ETF_Options_Exhibits'!U794:U798),"")</f>
        <v/>
      </c>
      <c r="V798" s="3">
        <f>IF(ISNUMBER(AVERAGE('20250815_ETF_Options_Exhibits'!V794:V798)),AVERAGE('20250815_ETF_Options_Exhibits'!V794:V798),"")</f>
        <v/>
      </c>
      <c r="W798" s="3">
        <f>IF(ISNUMBER(AVERAGE('20250815_ETF_Options_Exhibits'!W794:W798)),AVERAGE('20250815_ETF_Options_Exhibits'!W794:W798),"")</f>
        <v/>
      </c>
      <c r="X798" s="3">
        <f>IF(ISNUMBER(AVERAGE('20250815_ETF_Options_Exhibits'!X794:X798)),AVERAGE('20250815_ETF_Options_Exhibits'!X794:X798),"")</f>
        <v/>
      </c>
      <c r="Y798" s="3">
        <f>IF(ISNUMBER(AVERAGE('20250815_ETF_Options_Exhibits'!Y794:Y798)),AVERAGE('20250815_ETF_Options_Exhibits'!Y794:Y798),"")</f>
        <v/>
      </c>
      <c r="Z798" s="3">
        <f>IF(ISNUMBER(AVERAGE('20250815_ETF_Options_Exhibits'!Z794:Z798)),AVERAGE('20250815_ETF_Options_Exhibits'!Z794:Z798),"")</f>
        <v/>
      </c>
      <c r="AA798" s="3">
        <f>IF(ISNUMBER(AVERAGE('20250815_ETF_Options_Exhibits'!AA794:AA798)),AVERAGE('20250815_ETF_Options_Exhibits'!AA794:AA798),"")</f>
        <v/>
      </c>
    </row>
    <row r="799">
      <c r="A799" s="1" t="n">
        <v>43164</v>
      </c>
      <c r="B799" s="3">
        <f>IF(ISNUMBER(AVERAGE('20250815_ETF_Options_Exhibits'!B795:B799)),AVERAGE('20250815_ETF_Options_Exhibits'!B795:B799),"")</f>
        <v/>
      </c>
      <c r="C799" s="3">
        <f>IF(ISNUMBER(AVERAGE('20250815_ETF_Options_Exhibits'!C795:C799)),AVERAGE('20250815_ETF_Options_Exhibits'!C795:C799),"")</f>
        <v/>
      </c>
      <c r="D799" s="3">
        <f>IF(ISNUMBER(AVERAGE('20250815_ETF_Options_Exhibits'!D795:D799)),AVERAGE('20250815_ETF_Options_Exhibits'!D795:D799),"")</f>
        <v/>
      </c>
      <c r="E799" s="3">
        <f>IF(ISNUMBER(AVERAGE('20250815_ETF_Options_Exhibits'!E795:E799)),AVERAGE('20250815_ETF_Options_Exhibits'!E795:E799),"")</f>
        <v/>
      </c>
      <c r="F799" s="3">
        <f>IF(ISNUMBER(AVERAGE('20250815_ETF_Options_Exhibits'!F795:F799)),AVERAGE('20250815_ETF_Options_Exhibits'!F795:F799),"")</f>
        <v/>
      </c>
      <c r="G799" s="3">
        <f>IF(ISNUMBER(AVERAGE('20250815_ETF_Options_Exhibits'!G795:G799)),AVERAGE('20250815_ETF_Options_Exhibits'!G795:G799),"")</f>
        <v/>
      </c>
      <c r="H799" s="3">
        <f>IF(ISNUMBER(AVERAGE('20250815_ETF_Options_Exhibits'!H795:H799)),AVERAGE('20250815_ETF_Options_Exhibits'!H795:H799),"")</f>
        <v/>
      </c>
      <c r="I799" s="3">
        <f>IF(ISNUMBER(AVERAGE('20250815_ETF_Options_Exhibits'!I795:I799)),AVERAGE('20250815_ETF_Options_Exhibits'!I795:I799),"")</f>
        <v/>
      </c>
      <c r="J799" s="3">
        <f>IF(ISNUMBER(AVERAGE('20250815_ETF_Options_Exhibits'!J795:J799)),AVERAGE('20250815_ETF_Options_Exhibits'!J795:J799),"")</f>
        <v/>
      </c>
      <c r="K799" s="3">
        <f>IF(ISNUMBER(AVERAGE('20250815_ETF_Options_Exhibits'!K795:K799)),AVERAGE('20250815_ETF_Options_Exhibits'!K795:K799),"")</f>
        <v/>
      </c>
      <c r="L799" s="3">
        <f>IF(ISNUMBER(AVERAGE('20250815_ETF_Options_Exhibits'!L795:L799)),AVERAGE('20250815_ETF_Options_Exhibits'!L795:L799),"")</f>
        <v/>
      </c>
      <c r="M799" s="3">
        <f>IF(ISNUMBER(AVERAGE('20250815_ETF_Options_Exhibits'!M795:M799)),AVERAGE('20250815_ETF_Options_Exhibits'!M795:M799),"")</f>
        <v/>
      </c>
      <c r="N799" s="3">
        <f>IF(ISNUMBER(AVERAGE('20250815_ETF_Options_Exhibits'!N795:N799)),AVERAGE('20250815_ETF_Options_Exhibits'!N795:N799),"")</f>
        <v/>
      </c>
      <c r="O799" s="3">
        <f>IF(ISNUMBER(AVERAGE('20250815_ETF_Options_Exhibits'!O795:O799)),AVERAGE('20250815_ETF_Options_Exhibits'!O795:O799),"")</f>
        <v/>
      </c>
      <c r="P799" s="3">
        <f>IF(ISNUMBER(AVERAGE('20250815_ETF_Options_Exhibits'!P795:P799)),AVERAGE('20250815_ETF_Options_Exhibits'!P795:P799),"")</f>
        <v/>
      </c>
      <c r="Q799" s="3">
        <f>IF(ISNUMBER(AVERAGE('20250815_ETF_Options_Exhibits'!Q795:Q799)),AVERAGE('20250815_ETF_Options_Exhibits'!Q795:Q799),"")</f>
        <v/>
      </c>
      <c r="R799" s="3">
        <f>IF(ISNUMBER(AVERAGE('20250815_ETF_Options_Exhibits'!R795:R799)),AVERAGE('20250815_ETF_Options_Exhibits'!R795:R799),"")</f>
        <v/>
      </c>
      <c r="S799" s="3">
        <f>IF(ISNUMBER(AVERAGE('20250815_ETF_Options_Exhibits'!S795:S799)),AVERAGE('20250815_ETF_Options_Exhibits'!S795:S799),"")</f>
        <v/>
      </c>
      <c r="T799" s="3">
        <f>IF(ISNUMBER(AVERAGE('20250815_ETF_Options_Exhibits'!T795:T799)),AVERAGE('20250815_ETF_Options_Exhibits'!T795:T799),"")</f>
        <v/>
      </c>
      <c r="U799" s="3">
        <f>IF(ISNUMBER(AVERAGE('20250815_ETF_Options_Exhibits'!U795:U799)),AVERAGE('20250815_ETF_Options_Exhibits'!U795:U799),"")</f>
        <v/>
      </c>
      <c r="V799" s="3">
        <f>IF(ISNUMBER(AVERAGE('20250815_ETF_Options_Exhibits'!V795:V799)),AVERAGE('20250815_ETF_Options_Exhibits'!V795:V799),"")</f>
        <v/>
      </c>
      <c r="W799" s="3">
        <f>IF(ISNUMBER(AVERAGE('20250815_ETF_Options_Exhibits'!W795:W799)),AVERAGE('20250815_ETF_Options_Exhibits'!W795:W799),"")</f>
        <v/>
      </c>
      <c r="X799" s="3">
        <f>IF(ISNUMBER(AVERAGE('20250815_ETF_Options_Exhibits'!X795:X799)),AVERAGE('20250815_ETF_Options_Exhibits'!X795:X799),"")</f>
        <v/>
      </c>
      <c r="Y799" s="3">
        <f>IF(ISNUMBER(AVERAGE('20250815_ETF_Options_Exhibits'!Y795:Y799)),AVERAGE('20250815_ETF_Options_Exhibits'!Y795:Y799),"")</f>
        <v/>
      </c>
      <c r="Z799" s="3">
        <f>IF(ISNUMBER(AVERAGE('20250815_ETF_Options_Exhibits'!Z795:Z799)),AVERAGE('20250815_ETF_Options_Exhibits'!Z795:Z799),"")</f>
        <v/>
      </c>
      <c r="AA799" s="3">
        <f>IF(ISNUMBER(AVERAGE('20250815_ETF_Options_Exhibits'!AA795:AA799)),AVERAGE('20250815_ETF_Options_Exhibits'!AA795:AA799),"")</f>
        <v/>
      </c>
    </row>
    <row r="800">
      <c r="A800" s="1" t="n">
        <v>43165</v>
      </c>
      <c r="B800" s="3">
        <f>IF(ISNUMBER(AVERAGE('20250815_ETF_Options_Exhibits'!B796:B800)),AVERAGE('20250815_ETF_Options_Exhibits'!B796:B800),"")</f>
        <v/>
      </c>
      <c r="C800" s="3">
        <f>IF(ISNUMBER(AVERAGE('20250815_ETF_Options_Exhibits'!C796:C800)),AVERAGE('20250815_ETF_Options_Exhibits'!C796:C800),"")</f>
        <v/>
      </c>
      <c r="D800" s="3">
        <f>IF(ISNUMBER(AVERAGE('20250815_ETF_Options_Exhibits'!D796:D800)),AVERAGE('20250815_ETF_Options_Exhibits'!D796:D800),"")</f>
        <v/>
      </c>
      <c r="E800" s="3">
        <f>IF(ISNUMBER(AVERAGE('20250815_ETF_Options_Exhibits'!E796:E800)),AVERAGE('20250815_ETF_Options_Exhibits'!E796:E800),"")</f>
        <v/>
      </c>
      <c r="F800" s="3">
        <f>IF(ISNUMBER(AVERAGE('20250815_ETF_Options_Exhibits'!F796:F800)),AVERAGE('20250815_ETF_Options_Exhibits'!F796:F800),"")</f>
        <v/>
      </c>
      <c r="G800" s="3">
        <f>IF(ISNUMBER(AVERAGE('20250815_ETF_Options_Exhibits'!G796:G800)),AVERAGE('20250815_ETF_Options_Exhibits'!G796:G800),"")</f>
        <v/>
      </c>
      <c r="H800" s="3">
        <f>IF(ISNUMBER(AVERAGE('20250815_ETF_Options_Exhibits'!H796:H800)),AVERAGE('20250815_ETF_Options_Exhibits'!H796:H800),"")</f>
        <v/>
      </c>
      <c r="I800" s="3">
        <f>IF(ISNUMBER(AVERAGE('20250815_ETF_Options_Exhibits'!I796:I800)),AVERAGE('20250815_ETF_Options_Exhibits'!I796:I800),"")</f>
        <v/>
      </c>
      <c r="J800" s="3">
        <f>IF(ISNUMBER(AVERAGE('20250815_ETF_Options_Exhibits'!J796:J800)),AVERAGE('20250815_ETF_Options_Exhibits'!J796:J800),"")</f>
        <v/>
      </c>
      <c r="K800" s="3">
        <f>IF(ISNUMBER(AVERAGE('20250815_ETF_Options_Exhibits'!K796:K800)),AVERAGE('20250815_ETF_Options_Exhibits'!K796:K800),"")</f>
        <v/>
      </c>
      <c r="L800" s="3">
        <f>IF(ISNUMBER(AVERAGE('20250815_ETF_Options_Exhibits'!L796:L800)),AVERAGE('20250815_ETF_Options_Exhibits'!L796:L800),"")</f>
        <v/>
      </c>
      <c r="M800" s="3">
        <f>IF(ISNUMBER(AVERAGE('20250815_ETF_Options_Exhibits'!M796:M800)),AVERAGE('20250815_ETF_Options_Exhibits'!M796:M800),"")</f>
        <v/>
      </c>
      <c r="N800" s="3">
        <f>IF(ISNUMBER(AVERAGE('20250815_ETF_Options_Exhibits'!N796:N800)),AVERAGE('20250815_ETF_Options_Exhibits'!N796:N800),"")</f>
        <v/>
      </c>
      <c r="O800" s="3">
        <f>IF(ISNUMBER(AVERAGE('20250815_ETF_Options_Exhibits'!O796:O800)),AVERAGE('20250815_ETF_Options_Exhibits'!O796:O800),"")</f>
        <v/>
      </c>
      <c r="P800" s="3">
        <f>IF(ISNUMBER(AVERAGE('20250815_ETF_Options_Exhibits'!P796:P800)),AVERAGE('20250815_ETF_Options_Exhibits'!P796:P800),"")</f>
        <v/>
      </c>
      <c r="Q800" s="3">
        <f>IF(ISNUMBER(AVERAGE('20250815_ETF_Options_Exhibits'!Q796:Q800)),AVERAGE('20250815_ETF_Options_Exhibits'!Q796:Q800),"")</f>
        <v/>
      </c>
      <c r="R800" s="3">
        <f>IF(ISNUMBER(AVERAGE('20250815_ETF_Options_Exhibits'!R796:R800)),AVERAGE('20250815_ETF_Options_Exhibits'!R796:R800),"")</f>
        <v/>
      </c>
      <c r="S800" s="3">
        <f>IF(ISNUMBER(AVERAGE('20250815_ETF_Options_Exhibits'!S796:S800)),AVERAGE('20250815_ETF_Options_Exhibits'!S796:S800),"")</f>
        <v/>
      </c>
      <c r="T800" s="3">
        <f>IF(ISNUMBER(AVERAGE('20250815_ETF_Options_Exhibits'!T796:T800)),AVERAGE('20250815_ETF_Options_Exhibits'!T796:T800),"")</f>
        <v/>
      </c>
      <c r="U800" s="3">
        <f>IF(ISNUMBER(AVERAGE('20250815_ETF_Options_Exhibits'!U796:U800)),AVERAGE('20250815_ETF_Options_Exhibits'!U796:U800),"")</f>
        <v/>
      </c>
      <c r="V800" s="3">
        <f>IF(ISNUMBER(AVERAGE('20250815_ETF_Options_Exhibits'!V796:V800)),AVERAGE('20250815_ETF_Options_Exhibits'!V796:V800),"")</f>
        <v/>
      </c>
      <c r="W800" s="3">
        <f>IF(ISNUMBER(AVERAGE('20250815_ETF_Options_Exhibits'!W796:W800)),AVERAGE('20250815_ETF_Options_Exhibits'!W796:W800),"")</f>
        <v/>
      </c>
      <c r="X800" s="3">
        <f>IF(ISNUMBER(AVERAGE('20250815_ETF_Options_Exhibits'!X796:X800)),AVERAGE('20250815_ETF_Options_Exhibits'!X796:X800),"")</f>
        <v/>
      </c>
      <c r="Y800" s="3">
        <f>IF(ISNUMBER(AVERAGE('20250815_ETF_Options_Exhibits'!Y796:Y800)),AVERAGE('20250815_ETF_Options_Exhibits'!Y796:Y800),"")</f>
        <v/>
      </c>
      <c r="Z800" s="3">
        <f>IF(ISNUMBER(AVERAGE('20250815_ETF_Options_Exhibits'!Z796:Z800)),AVERAGE('20250815_ETF_Options_Exhibits'!Z796:Z800),"")</f>
        <v/>
      </c>
      <c r="AA800" s="3">
        <f>IF(ISNUMBER(AVERAGE('20250815_ETF_Options_Exhibits'!AA796:AA800)),AVERAGE('20250815_ETF_Options_Exhibits'!AA796:AA800),"")</f>
        <v/>
      </c>
    </row>
    <row r="801">
      <c r="A801" s="1" t="n">
        <v>43166</v>
      </c>
      <c r="B801" s="3">
        <f>IF(ISNUMBER(AVERAGE('20250815_ETF_Options_Exhibits'!B797:B801)),AVERAGE('20250815_ETF_Options_Exhibits'!B797:B801),"")</f>
        <v/>
      </c>
      <c r="C801" s="3">
        <f>IF(ISNUMBER(AVERAGE('20250815_ETF_Options_Exhibits'!C797:C801)),AVERAGE('20250815_ETF_Options_Exhibits'!C797:C801),"")</f>
        <v/>
      </c>
      <c r="D801" s="3">
        <f>IF(ISNUMBER(AVERAGE('20250815_ETF_Options_Exhibits'!D797:D801)),AVERAGE('20250815_ETF_Options_Exhibits'!D797:D801),"")</f>
        <v/>
      </c>
      <c r="E801" s="3">
        <f>IF(ISNUMBER(AVERAGE('20250815_ETF_Options_Exhibits'!E797:E801)),AVERAGE('20250815_ETF_Options_Exhibits'!E797:E801),"")</f>
        <v/>
      </c>
      <c r="F801" s="3">
        <f>IF(ISNUMBER(AVERAGE('20250815_ETF_Options_Exhibits'!F797:F801)),AVERAGE('20250815_ETF_Options_Exhibits'!F797:F801),"")</f>
        <v/>
      </c>
      <c r="G801" s="3">
        <f>IF(ISNUMBER(AVERAGE('20250815_ETF_Options_Exhibits'!G797:G801)),AVERAGE('20250815_ETF_Options_Exhibits'!G797:G801),"")</f>
        <v/>
      </c>
      <c r="H801" s="3">
        <f>IF(ISNUMBER(AVERAGE('20250815_ETF_Options_Exhibits'!H797:H801)),AVERAGE('20250815_ETF_Options_Exhibits'!H797:H801),"")</f>
        <v/>
      </c>
      <c r="I801" s="3">
        <f>IF(ISNUMBER(AVERAGE('20250815_ETF_Options_Exhibits'!I797:I801)),AVERAGE('20250815_ETF_Options_Exhibits'!I797:I801),"")</f>
        <v/>
      </c>
      <c r="J801" s="3">
        <f>IF(ISNUMBER(AVERAGE('20250815_ETF_Options_Exhibits'!J797:J801)),AVERAGE('20250815_ETF_Options_Exhibits'!J797:J801),"")</f>
        <v/>
      </c>
      <c r="K801" s="3">
        <f>IF(ISNUMBER(AVERAGE('20250815_ETF_Options_Exhibits'!K797:K801)),AVERAGE('20250815_ETF_Options_Exhibits'!K797:K801),"")</f>
        <v/>
      </c>
      <c r="L801" s="3">
        <f>IF(ISNUMBER(AVERAGE('20250815_ETF_Options_Exhibits'!L797:L801)),AVERAGE('20250815_ETF_Options_Exhibits'!L797:L801),"")</f>
        <v/>
      </c>
      <c r="M801" s="3">
        <f>IF(ISNUMBER(AVERAGE('20250815_ETF_Options_Exhibits'!M797:M801)),AVERAGE('20250815_ETF_Options_Exhibits'!M797:M801),"")</f>
        <v/>
      </c>
      <c r="N801" s="3">
        <f>IF(ISNUMBER(AVERAGE('20250815_ETF_Options_Exhibits'!N797:N801)),AVERAGE('20250815_ETF_Options_Exhibits'!N797:N801),"")</f>
        <v/>
      </c>
      <c r="O801" s="3">
        <f>IF(ISNUMBER(AVERAGE('20250815_ETF_Options_Exhibits'!O797:O801)),AVERAGE('20250815_ETF_Options_Exhibits'!O797:O801),"")</f>
        <v/>
      </c>
      <c r="P801" s="3">
        <f>IF(ISNUMBER(AVERAGE('20250815_ETF_Options_Exhibits'!P797:P801)),AVERAGE('20250815_ETF_Options_Exhibits'!P797:P801),"")</f>
        <v/>
      </c>
      <c r="Q801" s="3">
        <f>IF(ISNUMBER(AVERAGE('20250815_ETF_Options_Exhibits'!Q797:Q801)),AVERAGE('20250815_ETF_Options_Exhibits'!Q797:Q801),"")</f>
        <v/>
      </c>
      <c r="R801" s="3">
        <f>IF(ISNUMBER(AVERAGE('20250815_ETF_Options_Exhibits'!R797:R801)),AVERAGE('20250815_ETF_Options_Exhibits'!R797:R801),"")</f>
        <v/>
      </c>
      <c r="S801" s="3">
        <f>IF(ISNUMBER(AVERAGE('20250815_ETF_Options_Exhibits'!S797:S801)),AVERAGE('20250815_ETF_Options_Exhibits'!S797:S801),"")</f>
        <v/>
      </c>
      <c r="T801" s="3">
        <f>IF(ISNUMBER(AVERAGE('20250815_ETF_Options_Exhibits'!T797:T801)),AVERAGE('20250815_ETF_Options_Exhibits'!T797:T801),"")</f>
        <v/>
      </c>
      <c r="U801" s="3">
        <f>IF(ISNUMBER(AVERAGE('20250815_ETF_Options_Exhibits'!U797:U801)),AVERAGE('20250815_ETF_Options_Exhibits'!U797:U801),"")</f>
        <v/>
      </c>
      <c r="V801" s="3">
        <f>IF(ISNUMBER(AVERAGE('20250815_ETF_Options_Exhibits'!V797:V801)),AVERAGE('20250815_ETF_Options_Exhibits'!V797:V801),"")</f>
        <v/>
      </c>
      <c r="W801" s="3">
        <f>IF(ISNUMBER(AVERAGE('20250815_ETF_Options_Exhibits'!W797:W801)),AVERAGE('20250815_ETF_Options_Exhibits'!W797:W801),"")</f>
        <v/>
      </c>
      <c r="X801" s="3">
        <f>IF(ISNUMBER(AVERAGE('20250815_ETF_Options_Exhibits'!X797:X801)),AVERAGE('20250815_ETF_Options_Exhibits'!X797:X801),"")</f>
        <v/>
      </c>
      <c r="Y801" s="3">
        <f>IF(ISNUMBER(AVERAGE('20250815_ETF_Options_Exhibits'!Y797:Y801)),AVERAGE('20250815_ETF_Options_Exhibits'!Y797:Y801),"")</f>
        <v/>
      </c>
      <c r="Z801" s="3">
        <f>IF(ISNUMBER(AVERAGE('20250815_ETF_Options_Exhibits'!Z797:Z801)),AVERAGE('20250815_ETF_Options_Exhibits'!Z797:Z801),"")</f>
        <v/>
      </c>
      <c r="AA801" s="3">
        <f>IF(ISNUMBER(AVERAGE('20250815_ETF_Options_Exhibits'!AA797:AA801)),AVERAGE('20250815_ETF_Options_Exhibits'!AA797:AA801),"")</f>
        <v/>
      </c>
    </row>
    <row r="802">
      <c r="A802" s="1" t="n">
        <v>43167</v>
      </c>
      <c r="B802" s="3">
        <f>IF(ISNUMBER(AVERAGE('20250815_ETF_Options_Exhibits'!B798:B802)),AVERAGE('20250815_ETF_Options_Exhibits'!B798:B802),"")</f>
        <v/>
      </c>
      <c r="C802" s="3">
        <f>IF(ISNUMBER(AVERAGE('20250815_ETF_Options_Exhibits'!C798:C802)),AVERAGE('20250815_ETF_Options_Exhibits'!C798:C802),"")</f>
        <v/>
      </c>
      <c r="D802" s="3">
        <f>IF(ISNUMBER(AVERAGE('20250815_ETF_Options_Exhibits'!D798:D802)),AVERAGE('20250815_ETF_Options_Exhibits'!D798:D802),"")</f>
        <v/>
      </c>
      <c r="E802" s="3">
        <f>IF(ISNUMBER(AVERAGE('20250815_ETF_Options_Exhibits'!E798:E802)),AVERAGE('20250815_ETF_Options_Exhibits'!E798:E802),"")</f>
        <v/>
      </c>
      <c r="F802" s="3">
        <f>IF(ISNUMBER(AVERAGE('20250815_ETF_Options_Exhibits'!F798:F802)),AVERAGE('20250815_ETF_Options_Exhibits'!F798:F802),"")</f>
        <v/>
      </c>
      <c r="G802" s="3">
        <f>IF(ISNUMBER(AVERAGE('20250815_ETF_Options_Exhibits'!G798:G802)),AVERAGE('20250815_ETF_Options_Exhibits'!G798:G802),"")</f>
        <v/>
      </c>
      <c r="H802" s="3">
        <f>IF(ISNUMBER(AVERAGE('20250815_ETF_Options_Exhibits'!H798:H802)),AVERAGE('20250815_ETF_Options_Exhibits'!H798:H802),"")</f>
        <v/>
      </c>
      <c r="I802" s="3">
        <f>IF(ISNUMBER(AVERAGE('20250815_ETF_Options_Exhibits'!I798:I802)),AVERAGE('20250815_ETF_Options_Exhibits'!I798:I802),"")</f>
        <v/>
      </c>
      <c r="J802" s="3">
        <f>IF(ISNUMBER(AVERAGE('20250815_ETF_Options_Exhibits'!J798:J802)),AVERAGE('20250815_ETF_Options_Exhibits'!J798:J802),"")</f>
        <v/>
      </c>
      <c r="K802" s="3">
        <f>IF(ISNUMBER(AVERAGE('20250815_ETF_Options_Exhibits'!K798:K802)),AVERAGE('20250815_ETF_Options_Exhibits'!K798:K802),"")</f>
        <v/>
      </c>
      <c r="L802" s="3">
        <f>IF(ISNUMBER(AVERAGE('20250815_ETF_Options_Exhibits'!L798:L802)),AVERAGE('20250815_ETF_Options_Exhibits'!L798:L802),"")</f>
        <v/>
      </c>
      <c r="M802" s="3">
        <f>IF(ISNUMBER(AVERAGE('20250815_ETF_Options_Exhibits'!M798:M802)),AVERAGE('20250815_ETF_Options_Exhibits'!M798:M802),"")</f>
        <v/>
      </c>
      <c r="N802" s="3">
        <f>IF(ISNUMBER(AVERAGE('20250815_ETF_Options_Exhibits'!N798:N802)),AVERAGE('20250815_ETF_Options_Exhibits'!N798:N802),"")</f>
        <v/>
      </c>
      <c r="O802" s="3">
        <f>IF(ISNUMBER(AVERAGE('20250815_ETF_Options_Exhibits'!O798:O802)),AVERAGE('20250815_ETF_Options_Exhibits'!O798:O802),"")</f>
        <v/>
      </c>
      <c r="P802" s="3">
        <f>IF(ISNUMBER(AVERAGE('20250815_ETF_Options_Exhibits'!P798:P802)),AVERAGE('20250815_ETF_Options_Exhibits'!P798:P802),"")</f>
        <v/>
      </c>
      <c r="Q802" s="3">
        <f>IF(ISNUMBER(AVERAGE('20250815_ETF_Options_Exhibits'!Q798:Q802)),AVERAGE('20250815_ETF_Options_Exhibits'!Q798:Q802),"")</f>
        <v/>
      </c>
      <c r="R802" s="3">
        <f>IF(ISNUMBER(AVERAGE('20250815_ETF_Options_Exhibits'!R798:R802)),AVERAGE('20250815_ETF_Options_Exhibits'!R798:R802),"")</f>
        <v/>
      </c>
      <c r="S802" s="3">
        <f>IF(ISNUMBER(AVERAGE('20250815_ETF_Options_Exhibits'!S798:S802)),AVERAGE('20250815_ETF_Options_Exhibits'!S798:S802),"")</f>
        <v/>
      </c>
      <c r="T802" s="3">
        <f>IF(ISNUMBER(AVERAGE('20250815_ETF_Options_Exhibits'!T798:T802)),AVERAGE('20250815_ETF_Options_Exhibits'!T798:T802),"")</f>
        <v/>
      </c>
      <c r="U802" s="3">
        <f>IF(ISNUMBER(AVERAGE('20250815_ETF_Options_Exhibits'!U798:U802)),AVERAGE('20250815_ETF_Options_Exhibits'!U798:U802),"")</f>
        <v/>
      </c>
      <c r="V802" s="3">
        <f>IF(ISNUMBER(AVERAGE('20250815_ETF_Options_Exhibits'!V798:V802)),AVERAGE('20250815_ETF_Options_Exhibits'!V798:V802),"")</f>
        <v/>
      </c>
      <c r="W802" s="3">
        <f>IF(ISNUMBER(AVERAGE('20250815_ETF_Options_Exhibits'!W798:W802)),AVERAGE('20250815_ETF_Options_Exhibits'!W798:W802),"")</f>
        <v/>
      </c>
      <c r="X802" s="3">
        <f>IF(ISNUMBER(AVERAGE('20250815_ETF_Options_Exhibits'!X798:X802)),AVERAGE('20250815_ETF_Options_Exhibits'!X798:X802),"")</f>
        <v/>
      </c>
      <c r="Y802" s="3">
        <f>IF(ISNUMBER(AVERAGE('20250815_ETF_Options_Exhibits'!Y798:Y802)),AVERAGE('20250815_ETF_Options_Exhibits'!Y798:Y802),"")</f>
        <v/>
      </c>
      <c r="Z802" s="3">
        <f>IF(ISNUMBER(AVERAGE('20250815_ETF_Options_Exhibits'!Z798:Z802)),AVERAGE('20250815_ETF_Options_Exhibits'!Z798:Z802),"")</f>
        <v/>
      </c>
      <c r="AA802" s="3">
        <f>IF(ISNUMBER(AVERAGE('20250815_ETF_Options_Exhibits'!AA798:AA802)),AVERAGE('20250815_ETF_Options_Exhibits'!AA798:AA802),"")</f>
        <v/>
      </c>
    </row>
    <row r="803">
      <c r="A803" s="1" t="n">
        <v>43168</v>
      </c>
      <c r="B803" s="3">
        <f>IF(ISNUMBER(AVERAGE('20250815_ETF_Options_Exhibits'!B799:B803)),AVERAGE('20250815_ETF_Options_Exhibits'!B799:B803),"")</f>
        <v/>
      </c>
      <c r="C803" s="3">
        <f>IF(ISNUMBER(AVERAGE('20250815_ETF_Options_Exhibits'!C799:C803)),AVERAGE('20250815_ETF_Options_Exhibits'!C799:C803),"")</f>
        <v/>
      </c>
      <c r="D803" s="3">
        <f>IF(ISNUMBER(AVERAGE('20250815_ETF_Options_Exhibits'!D799:D803)),AVERAGE('20250815_ETF_Options_Exhibits'!D799:D803),"")</f>
        <v/>
      </c>
      <c r="E803" s="3">
        <f>IF(ISNUMBER(AVERAGE('20250815_ETF_Options_Exhibits'!E799:E803)),AVERAGE('20250815_ETF_Options_Exhibits'!E799:E803),"")</f>
        <v/>
      </c>
      <c r="F803" s="3">
        <f>IF(ISNUMBER(AVERAGE('20250815_ETF_Options_Exhibits'!F799:F803)),AVERAGE('20250815_ETF_Options_Exhibits'!F799:F803),"")</f>
        <v/>
      </c>
      <c r="G803" s="3">
        <f>IF(ISNUMBER(AVERAGE('20250815_ETF_Options_Exhibits'!G799:G803)),AVERAGE('20250815_ETF_Options_Exhibits'!G799:G803),"")</f>
        <v/>
      </c>
      <c r="H803" s="3">
        <f>IF(ISNUMBER(AVERAGE('20250815_ETF_Options_Exhibits'!H799:H803)),AVERAGE('20250815_ETF_Options_Exhibits'!H799:H803),"")</f>
        <v/>
      </c>
      <c r="I803" s="3">
        <f>IF(ISNUMBER(AVERAGE('20250815_ETF_Options_Exhibits'!I799:I803)),AVERAGE('20250815_ETF_Options_Exhibits'!I799:I803),"")</f>
        <v/>
      </c>
      <c r="J803" s="3">
        <f>IF(ISNUMBER(AVERAGE('20250815_ETF_Options_Exhibits'!J799:J803)),AVERAGE('20250815_ETF_Options_Exhibits'!J799:J803),"")</f>
        <v/>
      </c>
      <c r="K803" s="3">
        <f>IF(ISNUMBER(AVERAGE('20250815_ETF_Options_Exhibits'!K799:K803)),AVERAGE('20250815_ETF_Options_Exhibits'!K799:K803),"")</f>
        <v/>
      </c>
      <c r="L803" s="3">
        <f>IF(ISNUMBER(AVERAGE('20250815_ETF_Options_Exhibits'!L799:L803)),AVERAGE('20250815_ETF_Options_Exhibits'!L799:L803),"")</f>
        <v/>
      </c>
      <c r="M803" s="3">
        <f>IF(ISNUMBER(AVERAGE('20250815_ETF_Options_Exhibits'!M799:M803)),AVERAGE('20250815_ETF_Options_Exhibits'!M799:M803),"")</f>
        <v/>
      </c>
      <c r="N803" s="3">
        <f>IF(ISNUMBER(AVERAGE('20250815_ETF_Options_Exhibits'!N799:N803)),AVERAGE('20250815_ETF_Options_Exhibits'!N799:N803),"")</f>
        <v/>
      </c>
      <c r="O803" s="3">
        <f>IF(ISNUMBER(AVERAGE('20250815_ETF_Options_Exhibits'!O799:O803)),AVERAGE('20250815_ETF_Options_Exhibits'!O799:O803),"")</f>
        <v/>
      </c>
      <c r="P803" s="3">
        <f>IF(ISNUMBER(AVERAGE('20250815_ETF_Options_Exhibits'!P799:P803)),AVERAGE('20250815_ETF_Options_Exhibits'!P799:P803),"")</f>
        <v/>
      </c>
      <c r="Q803" s="3">
        <f>IF(ISNUMBER(AVERAGE('20250815_ETF_Options_Exhibits'!Q799:Q803)),AVERAGE('20250815_ETF_Options_Exhibits'!Q799:Q803),"")</f>
        <v/>
      </c>
      <c r="R803" s="3">
        <f>IF(ISNUMBER(AVERAGE('20250815_ETF_Options_Exhibits'!R799:R803)),AVERAGE('20250815_ETF_Options_Exhibits'!R799:R803),"")</f>
        <v/>
      </c>
      <c r="S803" s="3">
        <f>IF(ISNUMBER(AVERAGE('20250815_ETF_Options_Exhibits'!S799:S803)),AVERAGE('20250815_ETF_Options_Exhibits'!S799:S803),"")</f>
        <v/>
      </c>
      <c r="T803" s="3">
        <f>IF(ISNUMBER(AVERAGE('20250815_ETF_Options_Exhibits'!T799:T803)),AVERAGE('20250815_ETF_Options_Exhibits'!T799:T803),"")</f>
        <v/>
      </c>
      <c r="U803" s="3">
        <f>IF(ISNUMBER(AVERAGE('20250815_ETF_Options_Exhibits'!U799:U803)),AVERAGE('20250815_ETF_Options_Exhibits'!U799:U803),"")</f>
        <v/>
      </c>
      <c r="V803" s="3">
        <f>IF(ISNUMBER(AVERAGE('20250815_ETF_Options_Exhibits'!V799:V803)),AVERAGE('20250815_ETF_Options_Exhibits'!V799:V803),"")</f>
        <v/>
      </c>
      <c r="W803" s="3">
        <f>IF(ISNUMBER(AVERAGE('20250815_ETF_Options_Exhibits'!W799:W803)),AVERAGE('20250815_ETF_Options_Exhibits'!W799:W803),"")</f>
        <v/>
      </c>
      <c r="X803" s="3">
        <f>IF(ISNUMBER(AVERAGE('20250815_ETF_Options_Exhibits'!X799:X803)),AVERAGE('20250815_ETF_Options_Exhibits'!X799:X803),"")</f>
        <v/>
      </c>
      <c r="Y803" s="3">
        <f>IF(ISNUMBER(AVERAGE('20250815_ETF_Options_Exhibits'!Y799:Y803)),AVERAGE('20250815_ETF_Options_Exhibits'!Y799:Y803),"")</f>
        <v/>
      </c>
      <c r="Z803" s="3">
        <f>IF(ISNUMBER(AVERAGE('20250815_ETF_Options_Exhibits'!Z799:Z803)),AVERAGE('20250815_ETF_Options_Exhibits'!Z799:Z803),"")</f>
        <v/>
      </c>
      <c r="AA803" s="3">
        <f>IF(ISNUMBER(AVERAGE('20250815_ETF_Options_Exhibits'!AA799:AA803)),AVERAGE('20250815_ETF_Options_Exhibits'!AA799:AA803),"")</f>
        <v/>
      </c>
    </row>
    <row r="804">
      <c r="A804" s="1" t="n">
        <v>43171</v>
      </c>
      <c r="B804" s="3">
        <f>IF(ISNUMBER(AVERAGE('20250815_ETF_Options_Exhibits'!B800:B804)),AVERAGE('20250815_ETF_Options_Exhibits'!B800:B804),"")</f>
        <v/>
      </c>
      <c r="C804" s="3">
        <f>IF(ISNUMBER(AVERAGE('20250815_ETF_Options_Exhibits'!C800:C804)),AVERAGE('20250815_ETF_Options_Exhibits'!C800:C804),"")</f>
        <v/>
      </c>
      <c r="D804" s="3">
        <f>IF(ISNUMBER(AVERAGE('20250815_ETF_Options_Exhibits'!D800:D804)),AVERAGE('20250815_ETF_Options_Exhibits'!D800:D804),"")</f>
        <v/>
      </c>
      <c r="E804" s="3">
        <f>IF(ISNUMBER(AVERAGE('20250815_ETF_Options_Exhibits'!E800:E804)),AVERAGE('20250815_ETF_Options_Exhibits'!E800:E804),"")</f>
        <v/>
      </c>
      <c r="F804" s="3">
        <f>IF(ISNUMBER(AVERAGE('20250815_ETF_Options_Exhibits'!F800:F804)),AVERAGE('20250815_ETF_Options_Exhibits'!F800:F804),"")</f>
        <v/>
      </c>
      <c r="G804" s="3">
        <f>IF(ISNUMBER(AVERAGE('20250815_ETF_Options_Exhibits'!G800:G804)),AVERAGE('20250815_ETF_Options_Exhibits'!G800:G804),"")</f>
        <v/>
      </c>
      <c r="H804" s="3">
        <f>IF(ISNUMBER(AVERAGE('20250815_ETF_Options_Exhibits'!H800:H804)),AVERAGE('20250815_ETF_Options_Exhibits'!H800:H804),"")</f>
        <v/>
      </c>
      <c r="I804" s="3">
        <f>IF(ISNUMBER(AVERAGE('20250815_ETF_Options_Exhibits'!I800:I804)),AVERAGE('20250815_ETF_Options_Exhibits'!I800:I804),"")</f>
        <v/>
      </c>
      <c r="J804" s="3">
        <f>IF(ISNUMBER(AVERAGE('20250815_ETF_Options_Exhibits'!J800:J804)),AVERAGE('20250815_ETF_Options_Exhibits'!J800:J804),"")</f>
        <v/>
      </c>
      <c r="K804" s="3">
        <f>IF(ISNUMBER(AVERAGE('20250815_ETF_Options_Exhibits'!K800:K804)),AVERAGE('20250815_ETF_Options_Exhibits'!K800:K804),"")</f>
        <v/>
      </c>
      <c r="L804" s="3">
        <f>IF(ISNUMBER(AVERAGE('20250815_ETF_Options_Exhibits'!L800:L804)),AVERAGE('20250815_ETF_Options_Exhibits'!L800:L804),"")</f>
        <v/>
      </c>
      <c r="M804" s="3">
        <f>IF(ISNUMBER(AVERAGE('20250815_ETF_Options_Exhibits'!M800:M804)),AVERAGE('20250815_ETF_Options_Exhibits'!M800:M804),"")</f>
        <v/>
      </c>
      <c r="N804" s="3">
        <f>IF(ISNUMBER(AVERAGE('20250815_ETF_Options_Exhibits'!N800:N804)),AVERAGE('20250815_ETF_Options_Exhibits'!N800:N804),"")</f>
        <v/>
      </c>
      <c r="O804" s="3">
        <f>IF(ISNUMBER(AVERAGE('20250815_ETF_Options_Exhibits'!O800:O804)),AVERAGE('20250815_ETF_Options_Exhibits'!O800:O804),"")</f>
        <v/>
      </c>
      <c r="P804" s="3">
        <f>IF(ISNUMBER(AVERAGE('20250815_ETF_Options_Exhibits'!P800:P804)),AVERAGE('20250815_ETF_Options_Exhibits'!P800:P804),"")</f>
        <v/>
      </c>
      <c r="Q804" s="3">
        <f>IF(ISNUMBER(AVERAGE('20250815_ETF_Options_Exhibits'!Q800:Q804)),AVERAGE('20250815_ETF_Options_Exhibits'!Q800:Q804),"")</f>
        <v/>
      </c>
      <c r="R804" s="3">
        <f>IF(ISNUMBER(AVERAGE('20250815_ETF_Options_Exhibits'!R800:R804)),AVERAGE('20250815_ETF_Options_Exhibits'!R800:R804),"")</f>
        <v/>
      </c>
      <c r="S804" s="3">
        <f>IF(ISNUMBER(AVERAGE('20250815_ETF_Options_Exhibits'!S800:S804)),AVERAGE('20250815_ETF_Options_Exhibits'!S800:S804),"")</f>
        <v/>
      </c>
      <c r="T804" s="3">
        <f>IF(ISNUMBER(AVERAGE('20250815_ETF_Options_Exhibits'!T800:T804)),AVERAGE('20250815_ETF_Options_Exhibits'!T800:T804),"")</f>
        <v/>
      </c>
      <c r="U804" s="3">
        <f>IF(ISNUMBER(AVERAGE('20250815_ETF_Options_Exhibits'!U800:U804)),AVERAGE('20250815_ETF_Options_Exhibits'!U800:U804),"")</f>
        <v/>
      </c>
      <c r="V804" s="3">
        <f>IF(ISNUMBER(AVERAGE('20250815_ETF_Options_Exhibits'!V800:V804)),AVERAGE('20250815_ETF_Options_Exhibits'!V800:V804),"")</f>
        <v/>
      </c>
      <c r="W804" s="3">
        <f>IF(ISNUMBER(AVERAGE('20250815_ETF_Options_Exhibits'!W800:W804)),AVERAGE('20250815_ETF_Options_Exhibits'!W800:W804),"")</f>
        <v/>
      </c>
      <c r="X804" s="3">
        <f>IF(ISNUMBER(AVERAGE('20250815_ETF_Options_Exhibits'!X800:X804)),AVERAGE('20250815_ETF_Options_Exhibits'!X800:X804),"")</f>
        <v/>
      </c>
      <c r="Y804" s="3">
        <f>IF(ISNUMBER(AVERAGE('20250815_ETF_Options_Exhibits'!Y800:Y804)),AVERAGE('20250815_ETF_Options_Exhibits'!Y800:Y804),"")</f>
        <v/>
      </c>
      <c r="Z804" s="3">
        <f>IF(ISNUMBER(AVERAGE('20250815_ETF_Options_Exhibits'!Z800:Z804)),AVERAGE('20250815_ETF_Options_Exhibits'!Z800:Z804),"")</f>
        <v/>
      </c>
      <c r="AA804" s="3">
        <f>IF(ISNUMBER(AVERAGE('20250815_ETF_Options_Exhibits'!AA800:AA804)),AVERAGE('20250815_ETF_Options_Exhibits'!AA800:AA804),"")</f>
        <v/>
      </c>
    </row>
    <row r="805">
      <c r="A805" s="1" t="n">
        <v>43172</v>
      </c>
      <c r="B805" s="3">
        <f>IF(ISNUMBER(AVERAGE('20250815_ETF_Options_Exhibits'!B801:B805)),AVERAGE('20250815_ETF_Options_Exhibits'!B801:B805),"")</f>
        <v/>
      </c>
      <c r="C805" s="3">
        <f>IF(ISNUMBER(AVERAGE('20250815_ETF_Options_Exhibits'!C801:C805)),AVERAGE('20250815_ETF_Options_Exhibits'!C801:C805),"")</f>
        <v/>
      </c>
      <c r="D805" s="3">
        <f>IF(ISNUMBER(AVERAGE('20250815_ETF_Options_Exhibits'!D801:D805)),AVERAGE('20250815_ETF_Options_Exhibits'!D801:D805),"")</f>
        <v/>
      </c>
      <c r="E805" s="3">
        <f>IF(ISNUMBER(AVERAGE('20250815_ETF_Options_Exhibits'!E801:E805)),AVERAGE('20250815_ETF_Options_Exhibits'!E801:E805),"")</f>
        <v/>
      </c>
      <c r="F805" s="3">
        <f>IF(ISNUMBER(AVERAGE('20250815_ETF_Options_Exhibits'!F801:F805)),AVERAGE('20250815_ETF_Options_Exhibits'!F801:F805),"")</f>
        <v/>
      </c>
      <c r="G805" s="3">
        <f>IF(ISNUMBER(AVERAGE('20250815_ETF_Options_Exhibits'!G801:G805)),AVERAGE('20250815_ETF_Options_Exhibits'!G801:G805),"")</f>
        <v/>
      </c>
      <c r="H805" s="3">
        <f>IF(ISNUMBER(AVERAGE('20250815_ETF_Options_Exhibits'!H801:H805)),AVERAGE('20250815_ETF_Options_Exhibits'!H801:H805),"")</f>
        <v/>
      </c>
      <c r="I805" s="3">
        <f>IF(ISNUMBER(AVERAGE('20250815_ETF_Options_Exhibits'!I801:I805)),AVERAGE('20250815_ETF_Options_Exhibits'!I801:I805),"")</f>
        <v/>
      </c>
      <c r="J805" s="3">
        <f>IF(ISNUMBER(AVERAGE('20250815_ETF_Options_Exhibits'!J801:J805)),AVERAGE('20250815_ETF_Options_Exhibits'!J801:J805),"")</f>
        <v/>
      </c>
      <c r="K805" s="3">
        <f>IF(ISNUMBER(AVERAGE('20250815_ETF_Options_Exhibits'!K801:K805)),AVERAGE('20250815_ETF_Options_Exhibits'!K801:K805),"")</f>
        <v/>
      </c>
      <c r="L805" s="3">
        <f>IF(ISNUMBER(AVERAGE('20250815_ETF_Options_Exhibits'!L801:L805)),AVERAGE('20250815_ETF_Options_Exhibits'!L801:L805),"")</f>
        <v/>
      </c>
      <c r="M805" s="3">
        <f>IF(ISNUMBER(AVERAGE('20250815_ETF_Options_Exhibits'!M801:M805)),AVERAGE('20250815_ETF_Options_Exhibits'!M801:M805),"")</f>
        <v/>
      </c>
      <c r="N805" s="3">
        <f>IF(ISNUMBER(AVERAGE('20250815_ETF_Options_Exhibits'!N801:N805)),AVERAGE('20250815_ETF_Options_Exhibits'!N801:N805),"")</f>
        <v/>
      </c>
      <c r="O805" s="3">
        <f>IF(ISNUMBER(AVERAGE('20250815_ETF_Options_Exhibits'!O801:O805)),AVERAGE('20250815_ETF_Options_Exhibits'!O801:O805),"")</f>
        <v/>
      </c>
      <c r="P805" s="3">
        <f>IF(ISNUMBER(AVERAGE('20250815_ETF_Options_Exhibits'!P801:P805)),AVERAGE('20250815_ETF_Options_Exhibits'!P801:P805),"")</f>
        <v/>
      </c>
      <c r="Q805" s="3">
        <f>IF(ISNUMBER(AVERAGE('20250815_ETF_Options_Exhibits'!Q801:Q805)),AVERAGE('20250815_ETF_Options_Exhibits'!Q801:Q805),"")</f>
        <v/>
      </c>
      <c r="R805" s="3">
        <f>IF(ISNUMBER(AVERAGE('20250815_ETF_Options_Exhibits'!R801:R805)),AVERAGE('20250815_ETF_Options_Exhibits'!R801:R805),"")</f>
        <v/>
      </c>
      <c r="S805" s="3">
        <f>IF(ISNUMBER(AVERAGE('20250815_ETF_Options_Exhibits'!S801:S805)),AVERAGE('20250815_ETF_Options_Exhibits'!S801:S805),"")</f>
        <v/>
      </c>
      <c r="T805" s="3">
        <f>IF(ISNUMBER(AVERAGE('20250815_ETF_Options_Exhibits'!T801:T805)),AVERAGE('20250815_ETF_Options_Exhibits'!T801:T805),"")</f>
        <v/>
      </c>
      <c r="U805" s="3">
        <f>IF(ISNUMBER(AVERAGE('20250815_ETF_Options_Exhibits'!U801:U805)),AVERAGE('20250815_ETF_Options_Exhibits'!U801:U805),"")</f>
        <v/>
      </c>
      <c r="V805" s="3">
        <f>IF(ISNUMBER(AVERAGE('20250815_ETF_Options_Exhibits'!V801:V805)),AVERAGE('20250815_ETF_Options_Exhibits'!V801:V805),"")</f>
        <v/>
      </c>
      <c r="W805" s="3">
        <f>IF(ISNUMBER(AVERAGE('20250815_ETF_Options_Exhibits'!W801:W805)),AVERAGE('20250815_ETF_Options_Exhibits'!W801:W805),"")</f>
        <v/>
      </c>
      <c r="X805" s="3">
        <f>IF(ISNUMBER(AVERAGE('20250815_ETF_Options_Exhibits'!X801:X805)),AVERAGE('20250815_ETF_Options_Exhibits'!X801:X805),"")</f>
        <v/>
      </c>
      <c r="Y805" s="3">
        <f>IF(ISNUMBER(AVERAGE('20250815_ETF_Options_Exhibits'!Y801:Y805)),AVERAGE('20250815_ETF_Options_Exhibits'!Y801:Y805),"")</f>
        <v/>
      </c>
      <c r="Z805" s="3">
        <f>IF(ISNUMBER(AVERAGE('20250815_ETF_Options_Exhibits'!Z801:Z805)),AVERAGE('20250815_ETF_Options_Exhibits'!Z801:Z805),"")</f>
        <v/>
      </c>
      <c r="AA805" s="3">
        <f>IF(ISNUMBER(AVERAGE('20250815_ETF_Options_Exhibits'!AA801:AA805)),AVERAGE('20250815_ETF_Options_Exhibits'!AA801:AA805),"")</f>
        <v/>
      </c>
    </row>
    <row r="806">
      <c r="A806" s="1" t="n">
        <v>43173</v>
      </c>
      <c r="B806" s="3">
        <f>IF(ISNUMBER(AVERAGE('20250815_ETF_Options_Exhibits'!B802:B806)),AVERAGE('20250815_ETF_Options_Exhibits'!B802:B806),"")</f>
        <v/>
      </c>
      <c r="C806" s="3">
        <f>IF(ISNUMBER(AVERAGE('20250815_ETF_Options_Exhibits'!C802:C806)),AVERAGE('20250815_ETF_Options_Exhibits'!C802:C806),"")</f>
        <v/>
      </c>
      <c r="D806" s="3">
        <f>IF(ISNUMBER(AVERAGE('20250815_ETF_Options_Exhibits'!D802:D806)),AVERAGE('20250815_ETF_Options_Exhibits'!D802:D806),"")</f>
        <v/>
      </c>
      <c r="E806" s="3">
        <f>IF(ISNUMBER(AVERAGE('20250815_ETF_Options_Exhibits'!E802:E806)),AVERAGE('20250815_ETF_Options_Exhibits'!E802:E806),"")</f>
        <v/>
      </c>
      <c r="F806" s="3">
        <f>IF(ISNUMBER(AVERAGE('20250815_ETF_Options_Exhibits'!F802:F806)),AVERAGE('20250815_ETF_Options_Exhibits'!F802:F806),"")</f>
        <v/>
      </c>
      <c r="G806" s="3">
        <f>IF(ISNUMBER(AVERAGE('20250815_ETF_Options_Exhibits'!G802:G806)),AVERAGE('20250815_ETF_Options_Exhibits'!G802:G806),"")</f>
        <v/>
      </c>
      <c r="H806" s="3">
        <f>IF(ISNUMBER(AVERAGE('20250815_ETF_Options_Exhibits'!H802:H806)),AVERAGE('20250815_ETF_Options_Exhibits'!H802:H806),"")</f>
        <v/>
      </c>
      <c r="I806" s="3">
        <f>IF(ISNUMBER(AVERAGE('20250815_ETF_Options_Exhibits'!I802:I806)),AVERAGE('20250815_ETF_Options_Exhibits'!I802:I806),"")</f>
        <v/>
      </c>
      <c r="J806" s="3">
        <f>IF(ISNUMBER(AVERAGE('20250815_ETF_Options_Exhibits'!J802:J806)),AVERAGE('20250815_ETF_Options_Exhibits'!J802:J806),"")</f>
        <v/>
      </c>
      <c r="K806" s="3">
        <f>IF(ISNUMBER(AVERAGE('20250815_ETF_Options_Exhibits'!K802:K806)),AVERAGE('20250815_ETF_Options_Exhibits'!K802:K806),"")</f>
        <v/>
      </c>
      <c r="L806" s="3">
        <f>IF(ISNUMBER(AVERAGE('20250815_ETF_Options_Exhibits'!L802:L806)),AVERAGE('20250815_ETF_Options_Exhibits'!L802:L806),"")</f>
        <v/>
      </c>
      <c r="M806" s="3">
        <f>IF(ISNUMBER(AVERAGE('20250815_ETF_Options_Exhibits'!M802:M806)),AVERAGE('20250815_ETF_Options_Exhibits'!M802:M806),"")</f>
        <v/>
      </c>
      <c r="N806" s="3">
        <f>IF(ISNUMBER(AVERAGE('20250815_ETF_Options_Exhibits'!N802:N806)),AVERAGE('20250815_ETF_Options_Exhibits'!N802:N806),"")</f>
        <v/>
      </c>
      <c r="O806" s="3">
        <f>IF(ISNUMBER(AVERAGE('20250815_ETF_Options_Exhibits'!O802:O806)),AVERAGE('20250815_ETF_Options_Exhibits'!O802:O806),"")</f>
        <v/>
      </c>
      <c r="P806" s="3">
        <f>IF(ISNUMBER(AVERAGE('20250815_ETF_Options_Exhibits'!P802:P806)),AVERAGE('20250815_ETF_Options_Exhibits'!P802:P806),"")</f>
        <v/>
      </c>
      <c r="Q806" s="3">
        <f>IF(ISNUMBER(AVERAGE('20250815_ETF_Options_Exhibits'!Q802:Q806)),AVERAGE('20250815_ETF_Options_Exhibits'!Q802:Q806),"")</f>
        <v/>
      </c>
      <c r="R806" s="3">
        <f>IF(ISNUMBER(AVERAGE('20250815_ETF_Options_Exhibits'!R802:R806)),AVERAGE('20250815_ETF_Options_Exhibits'!R802:R806),"")</f>
        <v/>
      </c>
      <c r="S806" s="3">
        <f>IF(ISNUMBER(AVERAGE('20250815_ETF_Options_Exhibits'!S802:S806)),AVERAGE('20250815_ETF_Options_Exhibits'!S802:S806),"")</f>
        <v/>
      </c>
      <c r="T806" s="3">
        <f>IF(ISNUMBER(AVERAGE('20250815_ETF_Options_Exhibits'!T802:T806)),AVERAGE('20250815_ETF_Options_Exhibits'!T802:T806),"")</f>
        <v/>
      </c>
      <c r="U806" s="3">
        <f>IF(ISNUMBER(AVERAGE('20250815_ETF_Options_Exhibits'!U802:U806)),AVERAGE('20250815_ETF_Options_Exhibits'!U802:U806),"")</f>
        <v/>
      </c>
      <c r="V806" s="3">
        <f>IF(ISNUMBER(AVERAGE('20250815_ETF_Options_Exhibits'!V802:V806)),AVERAGE('20250815_ETF_Options_Exhibits'!V802:V806),"")</f>
        <v/>
      </c>
      <c r="W806" s="3">
        <f>IF(ISNUMBER(AVERAGE('20250815_ETF_Options_Exhibits'!W802:W806)),AVERAGE('20250815_ETF_Options_Exhibits'!W802:W806),"")</f>
        <v/>
      </c>
      <c r="X806" s="3">
        <f>IF(ISNUMBER(AVERAGE('20250815_ETF_Options_Exhibits'!X802:X806)),AVERAGE('20250815_ETF_Options_Exhibits'!X802:X806),"")</f>
        <v/>
      </c>
      <c r="Y806" s="3">
        <f>IF(ISNUMBER(AVERAGE('20250815_ETF_Options_Exhibits'!Y802:Y806)),AVERAGE('20250815_ETF_Options_Exhibits'!Y802:Y806),"")</f>
        <v/>
      </c>
      <c r="Z806" s="3">
        <f>IF(ISNUMBER(AVERAGE('20250815_ETF_Options_Exhibits'!Z802:Z806)),AVERAGE('20250815_ETF_Options_Exhibits'!Z802:Z806),"")</f>
        <v/>
      </c>
      <c r="AA806" s="3">
        <f>IF(ISNUMBER(AVERAGE('20250815_ETF_Options_Exhibits'!AA802:AA806)),AVERAGE('20250815_ETF_Options_Exhibits'!AA802:AA806),"")</f>
        <v/>
      </c>
    </row>
    <row r="807">
      <c r="A807" s="1" t="n">
        <v>43174</v>
      </c>
      <c r="B807" s="3">
        <f>IF(ISNUMBER(AVERAGE('20250815_ETF_Options_Exhibits'!B803:B807)),AVERAGE('20250815_ETF_Options_Exhibits'!B803:B807),"")</f>
        <v/>
      </c>
      <c r="C807" s="3">
        <f>IF(ISNUMBER(AVERAGE('20250815_ETF_Options_Exhibits'!C803:C807)),AVERAGE('20250815_ETF_Options_Exhibits'!C803:C807),"")</f>
        <v/>
      </c>
      <c r="D807" s="3">
        <f>IF(ISNUMBER(AVERAGE('20250815_ETF_Options_Exhibits'!D803:D807)),AVERAGE('20250815_ETF_Options_Exhibits'!D803:D807),"")</f>
        <v/>
      </c>
      <c r="E807" s="3">
        <f>IF(ISNUMBER(AVERAGE('20250815_ETF_Options_Exhibits'!E803:E807)),AVERAGE('20250815_ETF_Options_Exhibits'!E803:E807),"")</f>
        <v/>
      </c>
      <c r="F807" s="3">
        <f>IF(ISNUMBER(AVERAGE('20250815_ETF_Options_Exhibits'!F803:F807)),AVERAGE('20250815_ETF_Options_Exhibits'!F803:F807),"")</f>
        <v/>
      </c>
      <c r="G807" s="3">
        <f>IF(ISNUMBER(AVERAGE('20250815_ETF_Options_Exhibits'!G803:G807)),AVERAGE('20250815_ETF_Options_Exhibits'!G803:G807),"")</f>
        <v/>
      </c>
      <c r="H807" s="3">
        <f>IF(ISNUMBER(AVERAGE('20250815_ETF_Options_Exhibits'!H803:H807)),AVERAGE('20250815_ETF_Options_Exhibits'!H803:H807),"")</f>
        <v/>
      </c>
      <c r="I807" s="3">
        <f>IF(ISNUMBER(AVERAGE('20250815_ETF_Options_Exhibits'!I803:I807)),AVERAGE('20250815_ETF_Options_Exhibits'!I803:I807),"")</f>
        <v/>
      </c>
      <c r="J807" s="3">
        <f>IF(ISNUMBER(AVERAGE('20250815_ETF_Options_Exhibits'!J803:J807)),AVERAGE('20250815_ETF_Options_Exhibits'!J803:J807),"")</f>
        <v/>
      </c>
      <c r="K807" s="3">
        <f>IF(ISNUMBER(AVERAGE('20250815_ETF_Options_Exhibits'!K803:K807)),AVERAGE('20250815_ETF_Options_Exhibits'!K803:K807),"")</f>
        <v/>
      </c>
      <c r="L807" s="3">
        <f>IF(ISNUMBER(AVERAGE('20250815_ETF_Options_Exhibits'!L803:L807)),AVERAGE('20250815_ETF_Options_Exhibits'!L803:L807),"")</f>
        <v/>
      </c>
      <c r="M807" s="3">
        <f>IF(ISNUMBER(AVERAGE('20250815_ETF_Options_Exhibits'!M803:M807)),AVERAGE('20250815_ETF_Options_Exhibits'!M803:M807),"")</f>
        <v/>
      </c>
      <c r="N807" s="3">
        <f>IF(ISNUMBER(AVERAGE('20250815_ETF_Options_Exhibits'!N803:N807)),AVERAGE('20250815_ETF_Options_Exhibits'!N803:N807),"")</f>
        <v/>
      </c>
      <c r="O807" s="3">
        <f>IF(ISNUMBER(AVERAGE('20250815_ETF_Options_Exhibits'!O803:O807)),AVERAGE('20250815_ETF_Options_Exhibits'!O803:O807),"")</f>
        <v/>
      </c>
      <c r="P807" s="3">
        <f>IF(ISNUMBER(AVERAGE('20250815_ETF_Options_Exhibits'!P803:P807)),AVERAGE('20250815_ETF_Options_Exhibits'!P803:P807),"")</f>
        <v/>
      </c>
      <c r="Q807" s="3">
        <f>IF(ISNUMBER(AVERAGE('20250815_ETF_Options_Exhibits'!Q803:Q807)),AVERAGE('20250815_ETF_Options_Exhibits'!Q803:Q807),"")</f>
        <v/>
      </c>
      <c r="R807" s="3">
        <f>IF(ISNUMBER(AVERAGE('20250815_ETF_Options_Exhibits'!R803:R807)),AVERAGE('20250815_ETF_Options_Exhibits'!R803:R807),"")</f>
        <v/>
      </c>
      <c r="S807" s="3">
        <f>IF(ISNUMBER(AVERAGE('20250815_ETF_Options_Exhibits'!S803:S807)),AVERAGE('20250815_ETF_Options_Exhibits'!S803:S807),"")</f>
        <v/>
      </c>
      <c r="T807" s="3">
        <f>IF(ISNUMBER(AVERAGE('20250815_ETF_Options_Exhibits'!T803:T807)),AVERAGE('20250815_ETF_Options_Exhibits'!T803:T807),"")</f>
        <v/>
      </c>
      <c r="U807" s="3">
        <f>IF(ISNUMBER(AVERAGE('20250815_ETF_Options_Exhibits'!U803:U807)),AVERAGE('20250815_ETF_Options_Exhibits'!U803:U807),"")</f>
        <v/>
      </c>
      <c r="V807" s="3">
        <f>IF(ISNUMBER(AVERAGE('20250815_ETF_Options_Exhibits'!V803:V807)),AVERAGE('20250815_ETF_Options_Exhibits'!V803:V807),"")</f>
        <v/>
      </c>
      <c r="W807" s="3">
        <f>IF(ISNUMBER(AVERAGE('20250815_ETF_Options_Exhibits'!W803:W807)),AVERAGE('20250815_ETF_Options_Exhibits'!W803:W807),"")</f>
        <v/>
      </c>
      <c r="X807" s="3">
        <f>IF(ISNUMBER(AVERAGE('20250815_ETF_Options_Exhibits'!X803:X807)),AVERAGE('20250815_ETF_Options_Exhibits'!X803:X807),"")</f>
        <v/>
      </c>
      <c r="Y807" s="3">
        <f>IF(ISNUMBER(AVERAGE('20250815_ETF_Options_Exhibits'!Y803:Y807)),AVERAGE('20250815_ETF_Options_Exhibits'!Y803:Y807),"")</f>
        <v/>
      </c>
      <c r="Z807" s="3">
        <f>IF(ISNUMBER(AVERAGE('20250815_ETF_Options_Exhibits'!Z803:Z807)),AVERAGE('20250815_ETF_Options_Exhibits'!Z803:Z807),"")</f>
        <v/>
      </c>
      <c r="AA807" s="3">
        <f>IF(ISNUMBER(AVERAGE('20250815_ETF_Options_Exhibits'!AA803:AA807)),AVERAGE('20250815_ETF_Options_Exhibits'!AA803:AA807),"")</f>
        <v/>
      </c>
    </row>
    <row r="808">
      <c r="A808" s="1" t="n">
        <v>43175</v>
      </c>
      <c r="B808" s="3">
        <f>IF(ISNUMBER(AVERAGE('20250815_ETF_Options_Exhibits'!B804:B808)),AVERAGE('20250815_ETF_Options_Exhibits'!B804:B808),"")</f>
        <v/>
      </c>
      <c r="C808" s="3">
        <f>IF(ISNUMBER(AVERAGE('20250815_ETF_Options_Exhibits'!C804:C808)),AVERAGE('20250815_ETF_Options_Exhibits'!C804:C808),"")</f>
        <v/>
      </c>
      <c r="D808" s="3">
        <f>IF(ISNUMBER(AVERAGE('20250815_ETF_Options_Exhibits'!D804:D808)),AVERAGE('20250815_ETF_Options_Exhibits'!D804:D808),"")</f>
        <v/>
      </c>
      <c r="E808" s="3">
        <f>IF(ISNUMBER(AVERAGE('20250815_ETF_Options_Exhibits'!E804:E808)),AVERAGE('20250815_ETF_Options_Exhibits'!E804:E808),"")</f>
        <v/>
      </c>
      <c r="F808" s="3">
        <f>IF(ISNUMBER(AVERAGE('20250815_ETF_Options_Exhibits'!F804:F808)),AVERAGE('20250815_ETF_Options_Exhibits'!F804:F808),"")</f>
        <v/>
      </c>
      <c r="G808" s="3">
        <f>IF(ISNUMBER(AVERAGE('20250815_ETF_Options_Exhibits'!G804:G808)),AVERAGE('20250815_ETF_Options_Exhibits'!G804:G808),"")</f>
        <v/>
      </c>
      <c r="H808" s="3">
        <f>IF(ISNUMBER(AVERAGE('20250815_ETF_Options_Exhibits'!H804:H808)),AVERAGE('20250815_ETF_Options_Exhibits'!H804:H808),"")</f>
        <v/>
      </c>
      <c r="I808" s="3">
        <f>IF(ISNUMBER(AVERAGE('20250815_ETF_Options_Exhibits'!I804:I808)),AVERAGE('20250815_ETF_Options_Exhibits'!I804:I808),"")</f>
        <v/>
      </c>
      <c r="J808" s="3">
        <f>IF(ISNUMBER(AVERAGE('20250815_ETF_Options_Exhibits'!J804:J808)),AVERAGE('20250815_ETF_Options_Exhibits'!J804:J808),"")</f>
        <v/>
      </c>
      <c r="K808" s="3">
        <f>IF(ISNUMBER(AVERAGE('20250815_ETF_Options_Exhibits'!K804:K808)),AVERAGE('20250815_ETF_Options_Exhibits'!K804:K808),"")</f>
        <v/>
      </c>
      <c r="L808" s="3">
        <f>IF(ISNUMBER(AVERAGE('20250815_ETF_Options_Exhibits'!L804:L808)),AVERAGE('20250815_ETF_Options_Exhibits'!L804:L808),"")</f>
        <v/>
      </c>
      <c r="M808" s="3">
        <f>IF(ISNUMBER(AVERAGE('20250815_ETF_Options_Exhibits'!M804:M808)),AVERAGE('20250815_ETF_Options_Exhibits'!M804:M808),"")</f>
        <v/>
      </c>
      <c r="N808" s="3">
        <f>IF(ISNUMBER(AVERAGE('20250815_ETF_Options_Exhibits'!N804:N808)),AVERAGE('20250815_ETF_Options_Exhibits'!N804:N808),"")</f>
        <v/>
      </c>
      <c r="O808" s="3">
        <f>IF(ISNUMBER(AVERAGE('20250815_ETF_Options_Exhibits'!O804:O808)),AVERAGE('20250815_ETF_Options_Exhibits'!O804:O808),"")</f>
        <v/>
      </c>
      <c r="P808" s="3">
        <f>IF(ISNUMBER(AVERAGE('20250815_ETF_Options_Exhibits'!P804:P808)),AVERAGE('20250815_ETF_Options_Exhibits'!P804:P808),"")</f>
        <v/>
      </c>
      <c r="Q808" s="3">
        <f>IF(ISNUMBER(AVERAGE('20250815_ETF_Options_Exhibits'!Q804:Q808)),AVERAGE('20250815_ETF_Options_Exhibits'!Q804:Q808),"")</f>
        <v/>
      </c>
      <c r="R808" s="3">
        <f>IF(ISNUMBER(AVERAGE('20250815_ETF_Options_Exhibits'!R804:R808)),AVERAGE('20250815_ETF_Options_Exhibits'!R804:R808),"")</f>
        <v/>
      </c>
      <c r="S808" s="3">
        <f>IF(ISNUMBER(AVERAGE('20250815_ETF_Options_Exhibits'!S804:S808)),AVERAGE('20250815_ETF_Options_Exhibits'!S804:S808),"")</f>
        <v/>
      </c>
      <c r="T808" s="3">
        <f>IF(ISNUMBER(AVERAGE('20250815_ETF_Options_Exhibits'!T804:T808)),AVERAGE('20250815_ETF_Options_Exhibits'!T804:T808),"")</f>
        <v/>
      </c>
      <c r="U808" s="3">
        <f>IF(ISNUMBER(AVERAGE('20250815_ETF_Options_Exhibits'!U804:U808)),AVERAGE('20250815_ETF_Options_Exhibits'!U804:U808),"")</f>
        <v/>
      </c>
      <c r="V808" s="3">
        <f>IF(ISNUMBER(AVERAGE('20250815_ETF_Options_Exhibits'!V804:V808)),AVERAGE('20250815_ETF_Options_Exhibits'!V804:V808),"")</f>
        <v/>
      </c>
      <c r="W808" s="3">
        <f>IF(ISNUMBER(AVERAGE('20250815_ETF_Options_Exhibits'!W804:W808)),AVERAGE('20250815_ETF_Options_Exhibits'!W804:W808),"")</f>
        <v/>
      </c>
      <c r="X808" s="3">
        <f>IF(ISNUMBER(AVERAGE('20250815_ETF_Options_Exhibits'!X804:X808)),AVERAGE('20250815_ETF_Options_Exhibits'!X804:X808),"")</f>
        <v/>
      </c>
      <c r="Y808" s="3">
        <f>IF(ISNUMBER(AVERAGE('20250815_ETF_Options_Exhibits'!Y804:Y808)),AVERAGE('20250815_ETF_Options_Exhibits'!Y804:Y808),"")</f>
        <v/>
      </c>
      <c r="Z808" s="3">
        <f>IF(ISNUMBER(AVERAGE('20250815_ETF_Options_Exhibits'!Z804:Z808)),AVERAGE('20250815_ETF_Options_Exhibits'!Z804:Z808),"")</f>
        <v/>
      </c>
      <c r="AA808" s="3">
        <f>IF(ISNUMBER(AVERAGE('20250815_ETF_Options_Exhibits'!AA804:AA808)),AVERAGE('20250815_ETF_Options_Exhibits'!AA804:AA808),"")</f>
        <v/>
      </c>
    </row>
    <row r="809">
      <c r="A809" s="1" t="n">
        <v>43178</v>
      </c>
      <c r="B809" s="3">
        <f>IF(ISNUMBER(AVERAGE('20250815_ETF_Options_Exhibits'!B805:B809)),AVERAGE('20250815_ETF_Options_Exhibits'!B805:B809),"")</f>
        <v/>
      </c>
      <c r="C809" s="3">
        <f>IF(ISNUMBER(AVERAGE('20250815_ETF_Options_Exhibits'!C805:C809)),AVERAGE('20250815_ETF_Options_Exhibits'!C805:C809),"")</f>
        <v/>
      </c>
      <c r="D809" s="3">
        <f>IF(ISNUMBER(AVERAGE('20250815_ETF_Options_Exhibits'!D805:D809)),AVERAGE('20250815_ETF_Options_Exhibits'!D805:D809),"")</f>
        <v/>
      </c>
      <c r="E809" s="3">
        <f>IF(ISNUMBER(AVERAGE('20250815_ETF_Options_Exhibits'!E805:E809)),AVERAGE('20250815_ETF_Options_Exhibits'!E805:E809),"")</f>
        <v/>
      </c>
      <c r="F809" s="3">
        <f>IF(ISNUMBER(AVERAGE('20250815_ETF_Options_Exhibits'!F805:F809)),AVERAGE('20250815_ETF_Options_Exhibits'!F805:F809),"")</f>
        <v/>
      </c>
      <c r="G809" s="3">
        <f>IF(ISNUMBER(AVERAGE('20250815_ETF_Options_Exhibits'!G805:G809)),AVERAGE('20250815_ETF_Options_Exhibits'!G805:G809),"")</f>
        <v/>
      </c>
      <c r="H809" s="3">
        <f>IF(ISNUMBER(AVERAGE('20250815_ETF_Options_Exhibits'!H805:H809)),AVERAGE('20250815_ETF_Options_Exhibits'!H805:H809),"")</f>
        <v/>
      </c>
      <c r="I809" s="3">
        <f>IF(ISNUMBER(AVERAGE('20250815_ETF_Options_Exhibits'!I805:I809)),AVERAGE('20250815_ETF_Options_Exhibits'!I805:I809),"")</f>
        <v/>
      </c>
      <c r="J809" s="3">
        <f>IF(ISNUMBER(AVERAGE('20250815_ETF_Options_Exhibits'!J805:J809)),AVERAGE('20250815_ETF_Options_Exhibits'!J805:J809),"")</f>
        <v/>
      </c>
      <c r="K809" s="3">
        <f>IF(ISNUMBER(AVERAGE('20250815_ETF_Options_Exhibits'!K805:K809)),AVERAGE('20250815_ETF_Options_Exhibits'!K805:K809),"")</f>
        <v/>
      </c>
      <c r="L809" s="3">
        <f>IF(ISNUMBER(AVERAGE('20250815_ETF_Options_Exhibits'!L805:L809)),AVERAGE('20250815_ETF_Options_Exhibits'!L805:L809),"")</f>
        <v/>
      </c>
      <c r="M809" s="3">
        <f>IF(ISNUMBER(AVERAGE('20250815_ETF_Options_Exhibits'!M805:M809)),AVERAGE('20250815_ETF_Options_Exhibits'!M805:M809),"")</f>
        <v/>
      </c>
      <c r="N809" s="3">
        <f>IF(ISNUMBER(AVERAGE('20250815_ETF_Options_Exhibits'!N805:N809)),AVERAGE('20250815_ETF_Options_Exhibits'!N805:N809),"")</f>
        <v/>
      </c>
      <c r="O809" s="3">
        <f>IF(ISNUMBER(AVERAGE('20250815_ETF_Options_Exhibits'!O805:O809)),AVERAGE('20250815_ETF_Options_Exhibits'!O805:O809),"")</f>
        <v/>
      </c>
      <c r="P809" s="3">
        <f>IF(ISNUMBER(AVERAGE('20250815_ETF_Options_Exhibits'!P805:P809)),AVERAGE('20250815_ETF_Options_Exhibits'!P805:P809),"")</f>
        <v/>
      </c>
      <c r="Q809" s="3">
        <f>IF(ISNUMBER(AVERAGE('20250815_ETF_Options_Exhibits'!Q805:Q809)),AVERAGE('20250815_ETF_Options_Exhibits'!Q805:Q809),"")</f>
        <v/>
      </c>
      <c r="R809" s="3">
        <f>IF(ISNUMBER(AVERAGE('20250815_ETF_Options_Exhibits'!R805:R809)),AVERAGE('20250815_ETF_Options_Exhibits'!R805:R809),"")</f>
        <v/>
      </c>
      <c r="S809" s="3">
        <f>IF(ISNUMBER(AVERAGE('20250815_ETF_Options_Exhibits'!S805:S809)),AVERAGE('20250815_ETF_Options_Exhibits'!S805:S809),"")</f>
        <v/>
      </c>
      <c r="T809" s="3">
        <f>IF(ISNUMBER(AVERAGE('20250815_ETF_Options_Exhibits'!T805:T809)),AVERAGE('20250815_ETF_Options_Exhibits'!T805:T809),"")</f>
        <v/>
      </c>
      <c r="U809" s="3">
        <f>IF(ISNUMBER(AVERAGE('20250815_ETF_Options_Exhibits'!U805:U809)),AVERAGE('20250815_ETF_Options_Exhibits'!U805:U809),"")</f>
        <v/>
      </c>
      <c r="V809" s="3">
        <f>IF(ISNUMBER(AVERAGE('20250815_ETF_Options_Exhibits'!V805:V809)),AVERAGE('20250815_ETF_Options_Exhibits'!V805:V809),"")</f>
        <v/>
      </c>
      <c r="W809" s="3">
        <f>IF(ISNUMBER(AVERAGE('20250815_ETF_Options_Exhibits'!W805:W809)),AVERAGE('20250815_ETF_Options_Exhibits'!W805:W809),"")</f>
        <v/>
      </c>
      <c r="X809" s="3">
        <f>IF(ISNUMBER(AVERAGE('20250815_ETF_Options_Exhibits'!X805:X809)),AVERAGE('20250815_ETF_Options_Exhibits'!X805:X809),"")</f>
        <v/>
      </c>
      <c r="Y809" s="3">
        <f>IF(ISNUMBER(AVERAGE('20250815_ETF_Options_Exhibits'!Y805:Y809)),AVERAGE('20250815_ETF_Options_Exhibits'!Y805:Y809),"")</f>
        <v/>
      </c>
      <c r="Z809" s="3">
        <f>IF(ISNUMBER(AVERAGE('20250815_ETF_Options_Exhibits'!Z805:Z809)),AVERAGE('20250815_ETF_Options_Exhibits'!Z805:Z809),"")</f>
        <v/>
      </c>
      <c r="AA809" s="3">
        <f>IF(ISNUMBER(AVERAGE('20250815_ETF_Options_Exhibits'!AA805:AA809)),AVERAGE('20250815_ETF_Options_Exhibits'!AA805:AA809),"")</f>
        <v/>
      </c>
    </row>
    <row r="810">
      <c r="A810" s="1" t="n">
        <v>43179</v>
      </c>
      <c r="B810" s="3">
        <f>IF(ISNUMBER(AVERAGE('20250815_ETF_Options_Exhibits'!B806:B810)),AVERAGE('20250815_ETF_Options_Exhibits'!B806:B810),"")</f>
        <v/>
      </c>
      <c r="C810" s="3">
        <f>IF(ISNUMBER(AVERAGE('20250815_ETF_Options_Exhibits'!C806:C810)),AVERAGE('20250815_ETF_Options_Exhibits'!C806:C810),"")</f>
        <v/>
      </c>
      <c r="D810" s="3">
        <f>IF(ISNUMBER(AVERAGE('20250815_ETF_Options_Exhibits'!D806:D810)),AVERAGE('20250815_ETF_Options_Exhibits'!D806:D810),"")</f>
        <v/>
      </c>
      <c r="E810" s="3">
        <f>IF(ISNUMBER(AVERAGE('20250815_ETF_Options_Exhibits'!E806:E810)),AVERAGE('20250815_ETF_Options_Exhibits'!E806:E810),"")</f>
        <v/>
      </c>
      <c r="F810" s="3">
        <f>IF(ISNUMBER(AVERAGE('20250815_ETF_Options_Exhibits'!F806:F810)),AVERAGE('20250815_ETF_Options_Exhibits'!F806:F810),"")</f>
        <v/>
      </c>
      <c r="G810" s="3">
        <f>IF(ISNUMBER(AVERAGE('20250815_ETF_Options_Exhibits'!G806:G810)),AVERAGE('20250815_ETF_Options_Exhibits'!G806:G810),"")</f>
        <v/>
      </c>
      <c r="H810" s="3">
        <f>IF(ISNUMBER(AVERAGE('20250815_ETF_Options_Exhibits'!H806:H810)),AVERAGE('20250815_ETF_Options_Exhibits'!H806:H810),"")</f>
        <v/>
      </c>
      <c r="I810" s="3">
        <f>IF(ISNUMBER(AVERAGE('20250815_ETF_Options_Exhibits'!I806:I810)),AVERAGE('20250815_ETF_Options_Exhibits'!I806:I810),"")</f>
        <v/>
      </c>
      <c r="J810" s="3">
        <f>IF(ISNUMBER(AVERAGE('20250815_ETF_Options_Exhibits'!J806:J810)),AVERAGE('20250815_ETF_Options_Exhibits'!J806:J810),"")</f>
        <v/>
      </c>
      <c r="K810" s="3">
        <f>IF(ISNUMBER(AVERAGE('20250815_ETF_Options_Exhibits'!K806:K810)),AVERAGE('20250815_ETF_Options_Exhibits'!K806:K810),"")</f>
        <v/>
      </c>
      <c r="L810" s="3">
        <f>IF(ISNUMBER(AVERAGE('20250815_ETF_Options_Exhibits'!L806:L810)),AVERAGE('20250815_ETF_Options_Exhibits'!L806:L810),"")</f>
        <v/>
      </c>
      <c r="M810" s="3">
        <f>IF(ISNUMBER(AVERAGE('20250815_ETF_Options_Exhibits'!M806:M810)),AVERAGE('20250815_ETF_Options_Exhibits'!M806:M810),"")</f>
        <v/>
      </c>
      <c r="N810" s="3">
        <f>IF(ISNUMBER(AVERAGE('20250815_ETF_Options_Exhibits'!N806:N810)),AVERAGE('20250815_ETF_Options_Exhibits'!N806:N810),"")</f>
        <v/>
      </c>
      <c r="O810" s="3">
        <f>IF(ISNUMBER(AVERAGE('20250815_ETF_Options_Exhibits'!O806:O810)),AVERAGE('20250815_ETF_Options_Exhibits'!O806:O810),"")</f>
        <v/>
      </c>
      <c r="P810" s="3">
        <f>IF(ISNUMBER(AVERAGE('20250815_ETF_Options_Exhibits'!P806:P810)),AVERAGE('20250815_ETF_Options_Exhibits'!P806:P810),"")</f>
        <v/>
      </c>
      <c r="Q810" s="3">
        <f>IF(ISNUMBER(AVERAGE('20250815_ETF_Options_Exhibits'!Q806:Q810)),AVERAGE('20250815_ETF_Options_Exhibits'!Q806:Q810),"")</f>
        <v/>
      </c>
      <c r="R810" s="3">
        <f>IF(ISNUMBER(AVERAGE('20250815_ETF_Options_Exhibits'!R806:R810)),AVERAGE('20250815_ETF_Options_Exhibits'!R806:R810),"")</f>
        <v/>
      </c>
      <c r="S810" s="3">
        <f>IF(ISNUMBER(AVERAGE('20250815_ETF_Options_Exhibits'!S806:S810)),AVERAGE('20250815_ETF_Options_Exhibits'!S806:S810),"")</f>
        <v/>
      </c>
      <c r="T810" s="3">
        <f>IF(ISNUMBER(AVERAGE('20250815_ETF_Options_Exhibits'!T806:T810)),AVERAGE('20250815_ETF_Options_Exhibits'!T806:T810),"")</f>
        <v/>
      </c>
      <c r="U810" s="3">
        <f>IF(ISNUMBER(AVERAGE('20250815_ETF_Options_Exhibits'!U806:U810)),AVERAGE('20250815_ETF_Options_Exhibits'!U806:U810),"")</f>
        <v/>
      </c>
      <c r="V810" s="3">
        <f>IF(ISNUMBER(AVERAGE('20250815_ETF_Options_Exhibits'!V806:V810)),AVERAGE('20250815_ETF_Options_Exhibits'!V806:V810),"")</f>
        <v/>
      </c>
      <c r="W810" s="3">
        <f>IF(ISNUMBER(AVERAGE('20250815_ETF_Options_Exhibits'!W806:W810)),AVERAGE('20250815_ETF_Options_Exhibits'!W806:W810),"")</f>
        <v/>
      </c>
      <c r="X810" s="3">
        <f>IF(ISNUMBER(AVERAGE('20250815_ETF_Options_Exhibits'!X806:X810)),AVERAGE('20250815_ETF_Options_Exhibits'!X806:X810),"")</f>
        <v/>
      </c>
      <c r="Y810" s="3">
        <f>IF(ISNUMBER(AVERAGE('20250815_ETF_Options_Exhibits'!Y806:Y810)),AVERAGE('20250815_ETF_Options_Exhibits'!Y806:Y810),"")</f>
        <v/>
      </c>
      <c r="Z810" s="3">
        <f>IF(ISNUMBER(AVERAGE('20250815_ETF_Options_Exhibits'!Z806:Z810)),AVERAGE('20250815_ETF_Options_Exhibits'!Z806:Z810),"")</f>
        <v/>
      </c>
      <c r="AA810" s="3">
        <f>IF(ISNUMBER(AVERAGE('20250815_ETF_Options_Exhibits'!AA806:AA810)),AVERAGE('20250815_ETF_Options_Exhibits'!AA806:AA810),"")</f>
        <v/>
      </c>
    </row>
    <row r="811">
      <c r="A811" s="1" t="n">
        <v>43180</v>
      </c>
      <c r="B811" s="3">
        <f>IF(ISNUMBER(AVERAGE('20250815_ETF_Options_Exhibits'!B807:B811)),AVERAGE('20250815_ETF_Options_Exhibits'!B807:B811),"")</f>
        <v/>
      </c>
      <c r="C811" s="3">
        <f>IF(ISNUMBER(AVERAGE('20250815_ETF_Options_Exhibits'!C807:C811)),AVERAGE('20250815_ETF_Options_Exhibits'!C807:C811),"")</f>
        <v/>
      </c>
      <c r="D811" s="3">
        <f>IF(ISNUMBER(AVERAGE('20250815_ETF_Options_Exhibits'!D807:D811)),AVERAGE('20250815_ETF_Options_Exhibits'!D807:D811),"")</f>
        <v/>
      </c>
      <c r="E811" s="3">
        <f>IF(ISNUMBER(AVERAGE('20250815_ETF_Options_Exhibits'!E807:E811)),AVERAGE('20250815_ETF_Options_Exhibits'!E807:E811),"")</f>
        <v/>
      </c>
      <c r="F811" s="3">
        <f>IF(ISNUMBER(AVERAGE('20250815_ETF_Options_Exhibits'!F807:F811)),AVERAGE('20250815_ETF_Options_Exhibits'!F807:F811),"")</f>
        <v/>
      </c>
      <c r="G811" s="3">
        <f>IF(ISNUMBER(AVERAGE('20250815_ETF_Options_Exhibits'!G807:G811)),AVERAGE('20250815_ETF_Options_Exhibits'!G807:G811),"")</f>
        <v/>
      </c>
      <c r="H811" s="3">
        <f>IF(ISNUMBER(AVERAGE('20250815_ETF_Options_Exhibits'!H807:H811)),AVERAGE('20250815_ETF_Options_Exhibits'!H807:H811),"")</f>
        <v/>
      </c>
      <c r="I811" s="3">
        <f>IF(ISNUMBER(AVERAGE('20250815_ETF_Options_Exhibits'!I807:I811)),AVERAGE('20250815_ETF_Options_Exhibits'!I807:I811),"")</f>
        <v/>
      </c>
      <c r="J811" s="3">
        <f>IF(ISNUMBER(AVERAGE('20250815_ETF_Options_Exhibits'!J807:J811)),AVERAGE('20250815_ETF_Options_Exhibits'!J807:J811),"")</f>
        <v/>
      </c>
      <c r="K811" s="3">
        <f>IF(ISNUMBER(AVERAGE('20250815_ETF_Options_Exhibits'!K807:K811)),AVERAGE('20250815_ETF_Options_Exhibits'!K807:K811),"")</f>
        <v/>
      </c>
      <c r="L811" s="3">
        <f>IF(ISNUMBER(AVERAGE('20250815_ETF_Options_Exhibits'!L807:L811)),AVERAGE('20250815_ETF_Options_Exhibits'!L807:L811),"")</f>
        <v/>
      </c>
      <c r="M811" s="3">
        <f>IF(ISNUMBER(AVERAGE('20250815_ETF_Options_Exhibits'!M807:M811)),AVERAGE('20250815_ETF_Options_Exhibits'!M807:M811),"")</f>
        <v/>
      </c>
      <c r="N811" s="3">
        <f>IF(ISNUMBER(AVERAGE('20250815_ETF_Options_Exhibits'!N807:N811)),AVERAGE('20250815_ETF_Options_Exhibits'!N807:N811),"")</f>
        <v/>
      </c>
      <c r="O811" s="3">
        <f>IF(ISNUMBER(AVERAGE('20250815_ETF_Options_Exhibits'!O807:O811)),AVERAGE('20250815_ETF_Options_Exhibits'!O807:O811),"")</f>
        <v/>
      </c>
      <c r="P811" s="3">
        <f>IF(ISNUMBER(AVERAGE('20250815_ETF_Options_Exhibits'!P807:P811)),AVERAGE('20250815_ETF_Options_Exhibits'!P807:P811),"")</f>
        <v/>
      </c>
      <c r="Q811" s="3">
        <f>IF(ISNUMBER(AVERAGE('20250815_ETF_Options_Exhibits'!Q807:Q811)),AVERAGE('20250815_ETF_Options_Exhibits'!Q807:Q811),"")</f>
        <v/>
      </c>
      <c r="R811" s="3">
        <f>IF(ISNUMBER(AVERAGE('20250815_ETF_Options_Exhibits'!R807:R811)),AVERAGE('20250815_ETF_Options_Exhibits'!R807:R811),"")</f>
        <v/>
      </c>
      <c r="S811" s="3">
        <f>IF(ISNUMBER(AVERAGE('20250815_ETF_Options_Exhibits'!S807:S811)),AVERAGE('20250815_ETF_Options_Exhibits'!S807:S811),"")</f>
        <v/>
      </c>
      <c r="T811" s="3">
        <f>IF(ISNUMBER(AVERAGE('20250815_ETF_Options_Exhibits'!T807:T811)),AVERAGE('20250815_ETF_Options_Exhibits'!T807:T811),"")</f>
        <v/>
      </c>
      <c r="U811" s="3">
        <f>IF(ISNUMBER(AVERAGE('20250815_ETF_Options_Exhibits'!U807:U811)),AVERAGE('20250815_ETF_Options_Exhibits'!U807:U811),"")</f>
        <v/>
      </c>
      <c r="V811" s="3">
        <f>IF(ISNUMBER(AVERAGE('20250815_ETF_Options_Exhibits'!V807:V811)),AVERAGE('20250815_ETF_Options_Exhibits'!V807:V811),"")</f>
        <v/>
      </c>
      <c r="W811" s="3">
        <f>IF(ISNUMBER(AVERAGE('20250815_ETF_Options_Exhibits'!W807:W811)),AVERAGE('20250815_ETF_Options_Exhibits'!W807:W811),"")</f>
        <v/>
      </c>
      <c r="X811" s="3">
        <f>IF(ISNUMBER(AVERAGE('20250815_ETF_Options_Exhibits'!X807:X811)),AVERAGE('20250815_ETF_Options_Exhibits'!X807:X811),"")</f>
        <v/>
      </c>
      <c r="Y811" s="3">
        <f>IF(ISNUMBER(AVERAGE('20250815_ETF_Options_Exhibits'!Y807:Y811)),AVERAGE('20250815_ETF_Options_Exhibits'!Y807:Y811),"")</f>
        <v/>
      </c>
      <c r="Z811" s="3">
        <f>IF(ISNUMBER(AVERAGE('20250815_ETF_Options_Exhibits'!Z807:Z811)),AVERAGE('20250815_ETF_Options_Exhibits'!Z807:Z811),"")</f>
        <v/>
      </c>
      <c r="AA811" s="3">
        <f>IF(ISNUMBER(AVERAGE('20250815_ETF_Options_Exhibits'!AA807:AA811)),AVERAGE('20250815_ETF_Options_Exhibits'!AA807:AA811),"")</f>
        <v/>
      </c>
    </row>
    <row r="812">
      <c r="A812" s="1" t="n">
        <v>43181</v>
      </c>
      <c r="B812" s="3">
        <f>IF(ISNUMBER(AVERAGE('20250815_ETF_Options_Exhibits'!B808:B812)),AVERAGE('20250815_ETF_Options_Exhibits'!B808:B812),"")</f>
        <v/>
      </c>
      <c r="C812" s="3">
        <f>IF(ISNUMBER(AVERAGE('20250815_ETF_Options_Exhibits'!C808:C812)),AVERAGE('20250815_ETF_Options_Exhibits'!C808:C812),"")</f>
        <v/>
      </c>
      <c r="D812" s="3">
        <f>IF(ISNUMBER(AVERAGE('20250815_ETF_Options_Exhibits'!D808:D812)),AVERAGE('20250815_ETF_Options_Exhibits'!D808:D812),"")</f>
        <v/>
      </c>
      <c r="E812" s="3">
        <f>IF(ISNUMBER(AVERAGE('20250815_ETF_Options_Exhibits'!E808:E812)),AVERAGE('20250815_ETF_Options_Exhibits'!E808:E812),"")</f>
        <v/>
      </c>
      <c r="F812" s="3">
        <f>IF(ISNUMBER(AVERAGE('20250815_ETF_Options_Exhibits'!F808:F812)),AVERAGE('20250815_ETF_Options_Exhibits'!F808:F812),"")</f>
        <v/>
      </c>
      <c r="G812" s="3">
        <f>IF(ISNUMBER(AVERAGE('20250815_ETF_Options_Exhibits'!G808:G812)),AVERAGE('20250815_ETF_Options_Exhibits'!G808:G812),"")</f>
        <v/>
      </c>
      <c r="H812" s="3">
        <f>IF(ISNUMBER(AVERAGE('20250815_ETF_Options_Exhibits'!H808:H812)),AVERAGE('20250815_ETF_Options_Exhibits'!H808:H812),"")</f>
        <v/>
      </c>
      <c r="I812" s="3">
        <f>IF(ISNUMBER(AVERAGE('20250815_ETF_Options_Exhibits'!I808:I812)),AVERAGE('20250815_ETF_Options_Exhibits'!I808:I812),"")</f>
        <v/>
      </c>
      <c r="J812" s="3">
        <f>IF(ISNUMBER(AVERAGE('20250815_ETF_Options_Exhibits'!J808:J812)),AVERAGE('20250815_ETF_Options_Exhibits'!J808:J812),"")</f>
        <v/>
      </c>
      <c r="K812" s="3">
        <f>IF(ISNUMBER(AVERAGE('20250815_ETF_Options_Exhibits'!K808:K812)),AVERAGE('20250815_ETF_Options_Exhibits'!K808:K812),"")</f>
        <v/>
      </c>
      <c r="L812" s="3">
        <f>IF(ISNUMBER(AVERAGE('20250815_ETF_Options_Exhibits'!L808:L812)),AVERAGE('20250815_ETF_Options_Exhibits'!L808:L812),"")</f>
        <v/>
      </c>
      <c r="M812" s="3">
        <f>IF(ISNUMBER(AVERAGE('20250815_ETF_Options_Exhibits'!M808:M812)),AVERAGE('20250815_ETF_Options_Exhibits'!M808:M812),"")</f>
        <v/>
      </c>
      <c r="N812" s="3">
        <f>IF(ISNUMBER(AVERAGE('20250815_ETF_Options_Exhibits'!N808:N812)),AVERAGE('20250815_ETF_Options_Exhibits'!N808:N812),"")</f>
        <v/>
      </c>
      <c r="O812" s="3">
        <f>IF(ISNUMBER(AVERAGE('20250815_ETF_Options_Exhibits'!O808:O812)),AVERAGE('20250815_ETF_Options_Exhibits'!O808:O812),"")</f>
        <v/>
      </c>
      <c r="P812" s="3">
        <f>IF(ISNUMBER(AVERAGE('20250815_ETF_Options_Exhibits'!P808:P812)),AVERAGE('20250815_ETF_Options_Exhibits'!P808:P812),"")</f>
        <v/>
      </c>
      <c r="Q812" s="3">
        <f>IF(ISNUMBER(AVERAGE('20250815_ETF_Options_Exhibits'!Q808:Q812)),AVERAGE('20250815_ETF_Options_Exhibits'!Q808:Q812),"")</f>
        <v/>
      </c>
      <c r="R812" s="3">
        <f>IF(ISNUMBER(AVERAGE('20250815_ETF_Options_Exhibits'!R808:R812)),AVERAGE('20250815_ETF_Options_Exhibits'!R808:R812),"")</f>
        <v/>
      </c>
      <c r="S812" s="3">
        <f>IF(ISNUMBER(AVERAGE('20250815_ETF_Options_Exhibits'!S808:S812)),AVERAGE('20250815_ETF_Options_Exhibits'!S808:S812),"")</f>
        <v/>
      </c>
      <c r="T812" s="3">
        <f>IF(ISNUMBER(AVERAGE('20250815_ETF_Options_Exhibits'!T808:T812)),AVERAGE('20250815_ETF_Options_Exhibits'!T808:T812),"")</f>
        <v/>
      </c>
      <c r="U812" s="3">
        <f>IF(ISNUMBER(AVERAGE('20250815_ETF_Options_Exhibits'!U808:U812)),AVERAGE('20250815_ETF_Options_Exhibits'!U808:U812),"")</f>
        <v/>
      </c>
      <c r="V812" s="3">
        <f>IF(ISNUMBER(AVERAGE('20250815_ETF_Options_Exhibits'!V808:V812)),AVERAGE('20250815_ETF_Options_Exhibits'!V808:V812),"")</f>
        <v/>
      </c>
      <c r="W812" s="3">
        <f>IF(ISNUMBER(AVERAGE('20250815_ETF_Options_Exhibits'!W808:W812)),AVERAGE('20250815_ETF_Options_Exhibits'!W808:W812),"")</f>
        <v/>
      </c>
      <c r="X812" s="3">
        <f>IF(ISNUMBER(AVERAGE('20250815_ETF_Options_Exhibits'!X808:X812)),AVERAGE('20250815_ETF_Options_Exhibits'!X808:X812),"")</f>
        <v/>
      </c>
      <c r="Y812" s="3">
        <f>IF(ISNUMBER(AVERAGE('20250815_ETF_Options_Exhibits'!Y808:Y812)),AVERAGE('20250815_ETF_Options_Exhibits'!Y808:Y812),"")</f>
        <v/>
      </c>
      <c r="Z812" s="3">
        <f>IF(ISNUMBER(AVERAGE('20250815_ETF_Options_Exhibits'!Z808:Z812)),AVERAGE('20250815_ETF_Options_Exhibits'!Z808:Z812),"")</f>
        <v/>
      </c>
      <c r="AA812" s="3">
        <f>IF(ISNUMBER(AVERAGE('20250815_ETF_Options_Exhibits'!AA808:AA812)),AVERAGE('20250815_ETF_Options_Exhibits'!AA808:AA812),"")</f>
        <v/>
      </c>
    </row>
    <row r="813">
      <c r="A813" s="1" t="n">
        <v>43182</v>
      </c>
      <c r="B813" s="3">
        <f>IF(ISNUMBER(AVERAGE('20250815_ETF_Options_Exhibits'!B809:B813)),AVERAGE('20250815_ETF_Options_Exhibits'!B809:B813),"")</f>
        <v/>
      </c>
      <c r="C813" s="3">
        <f>IF(ISNUMBER(AVERAGE('20250815_ETF_Options_Exhibits'!C809:C813)),AVERAGE('20250815_ETF_Options_Exhibits'!C809:C813),"")</f>
        <v/>
      </c>
      <c r="D813" s="3">
        <f>IF(ISNUMBER(AVERAGE('20250815_ETF_Options_Exhibits'!D809:D813)),AVERAGE('20250815_ETF_Options_Exhibits'!D809:D813),"")</f>
        <v/>
      </c>
      <c r="E813" s="3">
        <f>IF(ISNUMBER(AVERAGE('20250815_ETF_Options_Exhibits'!E809:E813)),AVERAGE('20250815_ETF_Options_Exhibits'!E809:E813),"")</f>
        <v/>
      </c>
      <c r="F813" s="3">
        <f>IF(ISNUMBER(AVERAGE('20250815_ETF_Options_Exhibits'!F809:F813)),AVERAGE('20250815_ETF_Options_Exhibits'!F809:F813),"")</f>
        <v/>
      </c>
      <c r="G813" s="3">
        <f>IF(ISNUMBER(AVERAGE('20250815_ETF_Options_Exhibits'!G809:G813)),AVERAGE('20250815_ETF_Options_Exhibits'!G809:G813),"")</f>
        <v/>
      </c>
      <c r="H813" s="3">
        <f>IF(ISNUMBER(AVERAGE('20250815_ETF_Options_Exhibits'!H809:H813)),AVERAGE('20250815_ETF_Options_Exhibits'!H809:H813),"")</f>
        <v/>
      </c>
      <c r="I813" s="3">
        <f>IF(ISNUMBER(AVERAGE('20250815_ETF_Options_Exhibits'!I809:I813)),AVERAGE('20250815_ETF_Options_Exhibits'!I809:I813),"")</f>
        <v/>
      </c>
      <c r="J813" s="3">
        <f>IF(ISNUMBER(AVERAGE('20250815_ETF_Options_Exhibits'!J809:J813)),AVERAGE('20250815_ETF_Options_Exhibits'!J809:J813),"")</f>
        <v/>
      </c>
      <c r="K813" s="3">
        <f>IF(ISNUMBER(AVERAGE('20250815_ETF_Options_Exhibits'!K809:K813)),AVERAGE('20250815_ETF_Options_Exhibits'!K809:K813),"")</f>
        <v/>
      </c>
      <c r="L813" s="3">
        <f>IF(ISNUMBER(AVERAGE('20250815_ETF_Options_Exhibits'!L809:L813)),AVERAGE('20250815_ETF_Options_Exhibits'!L809:L813),"")</f>
        <v/>
      </c>
      <c r="M813" s="3">
        <f>IF(ISNUMBER(AVERAGE('20250815_ETF_Options_Exhibits'!M809:M813)),AVERAGE('20250815_ETF_Options_Exhibits'!M809:M813),"")</f>
        <v/>
      </c>
      <c r="N813" s="3">
        <f>IF(ISNUMBER(AVERAGE('20250815_ETF_Options_Exhibits'!N809:N813)),AVERAGE('20250815_ETF_Options_Exhibits'!N809:N813),"")</f>
        <v/>
      </c>
      <c r="O813" s="3">
        <f>IF(ISNUMBER(AVERAGE('20250815_ETF_Options_Exhibits'!O809:O813)),AVERAGE('20250815_ETF_Options_Exhibits'!O809:O813),"")</f>
        <v/>
      </c>
      <c r="P813" s="3">
        <f>IF(ISNUMBER(AVERAGE('20250815_ETF_Options_Exhibits'!P809:P813)),AVERAGE('20250815_ETF_Options_Exhibits'!P809:P813),"")</f>
        <v/>
      </c>
      <c r="Q813" s="3">
        <f>IF(ISNUMBER(AVERAGE('20250815_ETF_Options_Exhibits'!Q809:Q813)),AVERAGE('20250815_ETF_Options_Exhibits'!Q809:Q813),"")</f>
        <v/>
      </c>
      <c r="R813" s="3">
        <f>IF(ISNUMBER(AVERAGE('20250815_ETF_Options_Exhibits'!R809:R813)),AVERAGE('20250815_ETF_Options_Exhibits'!R809:R813),"")</f>
        <v/>
      </c>
      <c r="S813" s="3">
        <f>IF(ISNUMBER(AVERAGE('20250815_ETF_Options_Exhibits'!S809:S813)),AVERAGE('20250815_ETF_Options_Exhibits'!S809:S813),"")</f>
        <v/>
      </c>
      <c r="T813" s="3">
        <f>IF(ISNUMBER(AVERAGE('20250815_ETF_Options_Exhibits'!T809:T813)),AVERAGE('20250815_ETF_Options_Exhibits'!T809:T813),"")</f>
        <v/>
      </c>
      <c r="U813" s="3">
        <f>IF(ISNUMBER(AVERAGE('20250815_ETF_Options_Exhibits'!U809:U813)),AVERAGE('20250815_ETF_Options_Exhibits'!U809:U813),"")</f>
        <v/>
      </c>
      <c r="V813" s="3">
        <f>IF(ISNUMBER(AVERAGE('20250815_ETF_Options_Exhibits'!V809:V813)),AVERAGE('20250815_ETF_Options_Exhibits'!V809:V813),"")</f>
        <v/>
      </c>
      <c r="W813" s="3">
        <f>IF(ISNUMBER(AVERAGE('20250815_ETF_Options_Exhibits'!W809:W813)),AVERAGE('20250815_ETF_Options_Exhibits'!W809:W813),"")</f>
        <v/>
      </c>
      <c r="X813" s="3">
        <f>IF(ISNUMBER(AVERAGE('20250815_ETF_Options_Exhibits'!X809:X813)),AVERAGE('20250815_ETF_Options_Exhibits'!X809:X813),"")</f>
        <v/>
      </c>
      <c r="Y813" s="3">
        <f>IF(ISNUMBER(AVERAGE('20250815_ETF_Options_Exhibits'!Y809:Y813)),AVERAGE('20250815_ETF_Options_Exhibits'!Y809:Y813),"")</f>
        <v/>
      </c>
      <c r="Z813" s="3">
        <f>IF(ISNUMBER(AVERAGE('20250815_ETF_Options_Exhibits'!Z809:Z813)),AVERAGE('20250815_ETF_Options_Exhibits'!Z809:Z813),"")</f>
        <v/>
      </c>
      <c r="AA813" s="3">
        <f>IF(ISNUMBER(AVERAGE('20250815_ETF_Options_Exhibits'!AA809:AA813)),AVERAGE('20250815_ETF_Options_Exhibits'!AA809:AA813),"")</f>
        <v/>
      </c>
    </row>
    <row r="814">
      <c r="A814" s="1" t="n">
        <v>43185</v>
      </c>
      <c r="B814" s="3">
        <f>IF(ISNUMBER(AVERAGE('20250815_ETF_Options_Exhibits'!B810:B814)),AVERAGE('20250815_ETF_Options_Exhibits'!B810:B814),"")</f>
        <v/>
      </c>
      <c r="C814" s="3">
        <f>IF(ISNUMBER(AVERAGE('20250815_ETF_Options_Exhibits'!C810:C814)),AVERAGE('20250815_ETF_Options_Exhibits'!C810:C814),"")</f>
        <v/>
      </c>
      <c r="D814" s="3">
        <f>IF(ISNUMBER(AVERAGE('20250815_ETF_Options_Exhibits'!D810:D814)),AVERAGE('20250815_ETF_Options_Exhibits'!D810:D814),"")</f>
        <v/>
      </c>
      <c r="E814" s="3">
        <f>IF(ISNUMBER(AVERAGE('20250815_ETF_Options_Exhibits'!E810:E814)),AVERAGE('20250815_ETF_Options_Exhibits'!E810:E814),"")</f>
        <v/>
      </c>
      <c r="F814" s="3">
        <f>IF(ISNUMBER(AVERAGE('20250815_ETF_Options_Exhibits'!F810:F814)),AVERAGE('20250815_ETF_Options_Exhibits'!F810:F814),"")</f>
        <v/>
      </c>
      <c r="G814" s="3">
        <f>IF(ISNUMBER(AVERAGE('20250815_ETF_Options_Exhibits'!G810:G814)),AVERAGE('20250815_ETF_Options_Exhibits'!G810:G814),"")</f>
        <v/>
      </c>
      <c r="H814" s="3">
        <f>IF(ISNUMBER(AVERAGE('20250815_ETF_Options_Exhibits'!H810:H814)),AVERAGE('20250815_ETF_Options_Exhibits'!H810:H814),"")</f>
        <v/>
      </c>
      <c r="I814" s="3">
        <f>IF(ISNUMBER(AVERAGE('20250815_ETF_Options_Exhibits'!I810:I814)),AVERAGE('20250815_ETF_Options_Exhibits'!I810:I814),"")</f>
        <v/>
      </c>
      <c r="J814" s="3">
        <f>IF(ISNUMBER(AVERAGE('20250815_ETF_Options_Exhibits'!J810:J814)),AVERAGE('20250815_ETF_Options_Exhibits'!J810:J814),"")</f>
        <v/>
      </c>
      <c r="K814" s="3">
        <f>IF(ISNUMBER(AVERAGE('20250815_ETF_Options_Exhibits'!K810:K814)),AVERAGE('20250815_ETF_Options_Exhibits'!K810:K814),"")</f>
        <v/>
      </c>
      <c r="L814" s="3">
        <f>IF(ISNUMBER(AVERAGE('20250815_ETF_Options_Exhibits'!L810:L814)),AVERAGE('20250815_ETF_Options_Exhibits'!L810:L814),"")</f>
        <v/>
      </c>
      <c r="M814" s="3">
        <f>IF(ISNUMBER(AVERAGE('20250815_ETF_Options_Exhibits'!M810:M814)),AVERAGE('20250815_ETF_Options_Exhibits'!M810:M814),"")</f>
        <v/>
      </c>
      <c r="N814" s="3">
        <f>IF(ISNUMBER(AVERAGE('20250815_ETF_Options_Exhibits'!N810:N814)),AVERAGE('20250815_ETF_Options_Exhibits'!N810:N814),"")</f>
        <v/>
      </c>
      <c r="O814" s="3">
        <f>IF(ISNUMBER(AVERAGE('20250815_ETF_Options_Exhibits'!O810:O814)),AVERAGE('20250815_ETF_Options_Exhibits'!O810:O814),"")</f>
        <v/>
      </c>
      <c r="P814" s="3">
        <f>IF(ISNUMBER(AVERAGE('20250815_ETF_Options_Exhibits'!P810:P814)),AVERAGE('20250815_ETF_Options_Exhibits'!P810:P814),"")</f>
        <v/>
      </c>
      <c r="Q814" s="3">
        <f>IF(ISNUMBER(AVERAGE('20250815_ETF_Options_Exhibits'!Q810:Q814)),AVERAGE('20250815_ETF_Options_Exhibits'!Q810:Q814),"")</f>
        <v/>
      </c>
      <c r="R814" s="3">
        <f>IF(ISNUMBER(AVERAGE('20250815_ETF_Options_Exhibits'!R810:R814)),AVERAGE('20250815_ETF_Options_Exhibits'!R810:R814),"")</f>
        <v/>
      </c>
      <c r="S814" s="3">
        <f>IF(ISNUMBER(AVERAGE('20250815_ETF_Options_Exhibits'!S810:S814)),AVERAGE('20250815_ETF_Options_Exhibits'!S810:S814),"")</f>
        <v/>
      </c>
      <c r="T814" s="3">
        <f>IF(ISNUMBER(AVERAGE('20250815_ETF_Options_Exhibits'!T810:T814)),AVERAGE('20250815_ETF_Options_Exhibits'!T810:T814),"")</f>
        <v/>
      </c>
      <c r="U814" s="3">
        <f>IF(ISNUMBER(AVERAGE('20250815_ETF_Options_Exhibits'!U810:U814)),AVERAGE('20250815_ETF_Options_Exhibits'!U810:U814),"")</f>
        <v/>
      </c>
      <c r="V814" s="3">
        <f>IF(ISNUMBER(AVERAGE('20250815_ETF_Options_Exhibits'!V810:V814)),AVERAGE('20250815_ETF_Options_Exhibits'!V810:V814),"")</f>
        <v/>
      </c>
      <c r="W814" s="3">
        <f>IF(ISNUMBER(AVERAGE('20250815_ETF_Options_Exhibits'!W810:W814)),AVERAGE('20250815_ETF_Options_Exhibits'!W810:W814),"")</f>
        <v/>
      </c>
      <c r="X814" s="3">
        <f>IF(ISNUMBER(AVERAGE('20250815_ETF_Options_Exhibits'!X810:X814)),AVERAGE('20250815_ETF_Options_Exhibits'!X810:X814),"")</f>
        <v/>
      </c>
      <c r="Y814" s="3">
        <f>IF(ISNUMBER(AVERAGE('20250815_ETF_Options_Exhibits'!Y810:Y814)),AVERAGE('20250815_ETF_Options_Exhibits'!Y810:Y814),"")</f>
        <v/>
      </c>
      <c r="Z814" s="3">
        <f>IF(ISNUMBER(AVERAGE('20250815_ETF_Options_Exhibits'!Z810:Z814)),AVERAGE('20250815_ETF_Options_Exhibits'!Z810:Z814),"")</f>
        <v/>
      </c>
      <c r="AA814" s="3">
        <f>IF(ISNUMBER(AVERAGE('20250815_ETF_Options_Exhibits'!AA810:AA814)),AVERAGE('20250815_ETF_Options_Exhibits'!AA810:AA814),"")</f>
        <v/>
      </c>
    </row>
    <row r="815">
      <c r="A815" s="1" t="n">
        <v>43186</v>
      </c>
      <c r="B815" s="3">
        <f>IF(ISNUMBER(AVERAGE('20250815_ETF_Options_Exhibits'!B811:B815)),AVERAGE('20250815_ETF_Options_Exhibits'!B811:B815),"")</f>
        <v/>
      </c>
      <c r="C815" s="3">
        <f>IF(ISNUMBER(AVERAGE('20250815_ETF_Options_Exhibits'!C811:C815)),AVERAGE('20250815_ETF_Options_Exhibits'!C811:C815),"")</f>
        <v/>
      </c>
      <c r="D815" s="3">
        <f>IF(ISNUMBER(AVERAGE('20250815_ETF_Options_Exhibits'!D811:D815)),AVERAGE('20250815_ETF_Options_Exhibits'!D811:D815),"")</f>
        <v/>
      </c>
      <c r="E815" s="3">
        <f>IF(ISNUMBER(AVERAGE('20250815_ETF_Options_Exhibits'!E811:E815)),AVERAGE('20250815_ETF_Options_Exhibits'!E811:E815),"")</f>
        <v/>
      </c>
      <c r="F815" s="3">
        <f>IF(ISNUMBER(AVERAGE('20250815_ETF_Options_Exhibits'!F811:F815)),AVERAGE('20250815_ETF_Options_Exhibits'!F811:F815),"")</f>
        <v/>
      </c>
      <c r="G815" s="3">
        <f>IF(ISNUMBER(AVERAGE('20250815_ETF_Options_Exhibits'!G811:G815)),AVERAGE('20250815_ETF_Options_Exhibits'!G811:G815),"")</f>
        <v/>
      </c>
      <c r="H815" s="3">
        <f>IF(ISNUMBER(AVERAGE('20250815_ETF_Options_Exhibits'!H811:H815)),AVERAGE('20250815_ETF_Options_Exhibits'!H811:H815),"")</f>
        <v/>
      </c>
      <c r="I815" s="3">
        <f>IF(ISNUMBER(AVERAGE('20250815_ETF_Options_Exhibits'!I811:I815)),AVERAGE('20250815_ETF_Options_Exhibits'!I811:I815),"")</f>
        <v/>
      </c>
      <c r="J815" s="3">
        <f>IF(ISNUMBER(AVERAGE('20250815_ETF_Options_Exhibits'!J811:J815)),AVERAGE('20250815_ETF_Options_Exhibits'!J811:J815),"")</f>
        <v/>
      </c>
      <c r="K815" s="3">
        <f>IF(ISNUMBER(AVERAGE('20250815_ETF_Options_Exhibits'!K811:K815)),AVERAGE('20250815_ETF_Options_Exhibits'!K811:K815),"")</f>
        <v/>
      </c>
      <c r="L815" s="3">
        <f>IF(ISNUMBER(AVERAGE('20250815_ETF_Options_Exhibits'!L811:L815)),AVERAGE('20250815_ETF_Options_Exhibits'!L811:L815),"")</f>
        <v/>
      </c>
      <c r="M815" s="3">
        <f>IF(ISNUMBER(AVERAGE('20250815_ETF_Options_Exhibits'!M811:M815)),AVERAGE('20250815_ETF_Options_Exhibits'!M811:M815),"")</f>
        <v/>
      </c>
      <c r="N815" s="3">
        <f>IF(ISNUMBER(AVERAGE('20250815_ETF_Options_Exhibits'!N811:N815)),AVERAGE('20250815_ETF_Options_Exhibits'!N811:N815),"")</f>
        <v/>
      </c>
      <c r="O815" s="3">
        <f>IF(ISNUMBER(AVERAGE('20250815_ETF_Options_Exhibits'!O811:O815)),AVERAGE('20250815_ETF_Options_Exhibits'!O811:O815),"")</f>
        <v/>
      </c>
      <c r="P815" s="3">
        <f>IF(ISNUMBER(AVERAGE('20250815_ETF_Options_Exhibits'!P811:P815)),AVERAGE('20250815_ETF_Options_Exhibits'!P811:P815),"")</f>
        <v/>
      </c>
      <c r="Q815" s="3">
        <f>IF(ISNUMBER(AVERAGE('20250815_ETF_Options_Exhibits'!Q811:Q815)),AVERAGE('20250815_ETF_Options_Exhibits'!Q811:Q815),"")</f>
        <v/>
      </c>
      <c r="R815" s="3">
        <f>IF(ISNUMBER(AVERAGE('20250815_ETF_Options_Exhibits'!R811:R815)),AVERAGE('20250815_ETF_Options_Exhibits'!R811:R815),"")</f>
        <v/>
      </c>
      <c r="S815" s="3">
        <f>IF(ISNUMBER(AVERAGE('20250815_ETF_Options_Exhibits'!S811:S815)),AVERAGE('20250815_ETF_Options_Exhibits'!S811:S815),"")</f>
        <v/>
      </c>
      <c r="T815" s="3">
        <f>IF(ISNUMBER(AVERAGE('20250815_ETF_Options_Exhibits'!T811:T815)),AVERAGE('20250815_ETF_Options_Exhibits'!T811:T815),"")</f>
        <v/>
      </c>
      <c r="U815" s="3">
        <f>IF(ISNUMBER(AVERAGE('20250815_ETF_Options_Exhibits'!U811:U815)),AVERAGE('20250815_ETF_Options_Exhibits'!U811:U815),"")</f>
        <v/>
      </c>
      <c r="V815" s="3">
        <f>IF(ISNUMBER(AVERAGE('20250815_ETF_Options_Exhibits'!V811:V815)),AVERAGE('20250815_ETF_Options_Exhibits'!V811:V815),"")</f>
        <v/>
      </c>
      <c r="W815" s="3">
        <f>IF(ISNUMBER(AVERAGE('20250815_ETF_Options_Exhibits'!W811:W815)),AVERAGE('20250815_ETF_Options_Exhibits'!W811:W815),"")</f>
        <v/>
      </c>
      <c r="X815" s="3">
        <f>IF(ISNUMBER(AVERAGE('20250815_ETF_Options_Exhibits'!X811:X815)),AVERAGE('20250815_ETF_Options_Exhibits'!X811:X815),"")</f>
        <v/>
      </c>
      <c r="Y815" s="3">
        <f>IF(ISNUMBER(AVERAGE('20250815_ETF_Options_Exhibits'!Y811:Y815)),AVERAGE('20250815_ETF_Options_Exhibits'!Y811:Y815),"")</f>
        <v/>
      </c>
      <c r="Z815" s="3">
        <f>IF(ISNUMBER(AVERAGE('20250815_ETF_Options_Exhibits'!Z811:Z815)),AVERAGE('20250815_ETF_Options_Exhibits'!Z811:Z815),"")</f>
        <v/>
      </c>
      <c r="AA815" s="3">
        <f>IF(ISNUMBER(AVERAGE('20250815_ETF_Options_Exhibits'!AA811:AA815)),AVERAGE('20250815_ETF_Options_Exhibits'!AA811:AA815),"")</f>
        <v/>
      </c>
    </row>
    <row r="816">
      <c r="A816" s="1" t="n">
        <v>43187</v>
      </c>
      <c r="B816" s="3">
        <f>IF(ISNUMBER(AVERAGE('20250815_ETF_Options_Exhibits'!B812:B816)),AVERAGE('20250815_ETF_Options_Exhibits'!B812:B816),"")</f>
        <v/>
      </c>
      <c r="C816" s="3">
        <f>IF(ISNUMBER(AVERAGE('20250815_ETF_Options_Exhibits'!C812:C816)),AVERAGE('20250815_ETF_Options_Exhibits'!C812:C816),"")</f>
        <v/>
      </c>
      <c r="D816" s="3">
        <f>IF(ISNUMBER(AVERAGE('20250815_ETF_Options_Exhibits'!D812:D816)),AVERAGE('20250815_ETF_Options_Exhibits'!D812:D816),"")</f>
        <v/>
      </c>
      <c r="E816" s="3">
        <f>IF(ISNUMBER(AVERAGE('20250815_ETF_Options_Exhibits'!E812:E816)),AVERAGE('20250815_ETF_Options_Exhibits'!E812:E816),"")</f>
        <v/>
      </c>
      <c r="F816" s="3">
        <f>IF(ISNUMBER(AVERAGE('20250815_ETF_Options_Exhibits'!F812:F816)),AVERAGE('20250815_ETF_Options_Exhibits'!F812:F816),"")</f>
        <v/>
      </c>
      <c r="G816" s="3">
        <f>IF(ISNUMBER(AVERAGE('20250815_ETF_Options_Exhibits'!G812:G816)),AVERAGE('20250815_ETF_Options_Exhibits'!G812:G816),"")</f>
        <v/>
      </c>
      <c r="H816" s="3">
        <f>IF(ISNUMBER(AVERAGE('20250815_ETF_Options_Exhibits'!H812:H816)),AVERAGE('20250815_ETF_Options_Exhibits'!H812:H816),"")</f>
        <v/>
      </c>
      <c r="I816" s="3">
        <f>IF(ISNUMBER(AVERAGE('20250815_ETF_Options_Exhibits'!I812:I816)),AVERAGE('20250815_ETF_Options_Exhibits'!I812:I816),"")</f>
        <v/>
      </c>
      <c r="J816" s="3">
        <f>IF(ISNUMBER(AVERAGE('20250815_ETF_Options_Exhibits'!J812:J816)),AVERAGE('20250815_ETF_Options_Exhibits'!J812:J816),"")</f>
        <v/>
      </c>
      <c r="K816" s="3">
        <f>IF(ISNUMBER(AVERAGE('20250815_ETF_Options_Exhibits'!K812:K816)),AVERAGE('20250815_ETF_Options_Exhibits'!K812:K816),"")</f>
        <v/>
      </c>
      <c r="L816" s="3">
        <f>IF(ISNUMBER(AVERAGE('20250815_ETF_Options_Exhibits'!L812:L816)),AVERAGE('20250815_ETF_Options_Exhibits'!L812:L816),"")</f>
        <v/>
      </c>
      <c r="M816" s="3">
        <f>IF(ISNUMBER(AVERAGE('20250815_ETF_Options_Exhibits'!M812:M816)),AVERAGE('20250815_ETF_Options_Exhibits'!M812:M816),"")</f>
        <v/>
      </c>
      <c r="N816" s="3">
        <f>IF(ISNUMBER(AVERAGE('20250815_ETF_Options_Exhibits'!N812:N816)),AVERAGE('20250815_ETF_Options_Exhibits'!N812:N816),"")</f>
        <v/>
      </c>
      <c r="O816" s="3">
        <f>IF(ISNUMBER(AVERAGE('20250815_ETF_Options_Exhibits'!O812:O816)),AVERAGE('20250815_ETF_Options_Exhibits'!O812:O816),"")</f>
        <v/>
      </c>
      <c r="P816" s="3">
        <f>IF(ISNUMBER(AVERAGE('20250815_ETF_Options_Exhibits'!P812:P816)),AVERAGE('20250815_ETF_Options_Exhibits'!P812:P816),"")</f>
        <v/>
      </c>
      <c r="Q816" s="3">
        <f>IF(ISNUMBER(AVERAGE('20250815_ETF_Options_Exhibits'!Q812:Q816)),AVERAGE('20250815_ETF_Options_Exhibits'!Q812:Q816),"")</f>
        <v/>
      </c>
      <c r="R816" s="3">
        <f>IF(ISNUMBER(AVERAGE('20250815_ETF_Options_Exhibits'!R812:R816)),AVERAGE('20250815_ETF_Options_Exhibits'!R812:R816),"")</f>
        <v/>
      </c>
      <c r="S816" s="3">
        <f>IF(ISNUMBER(AVERAGE('20250815_ETF_Options_Exhibits'!S812:S816)),AVERAGE('20250815_ETF_Options_Exhibits'!S812:S816),"")</f>
        <v/>
      </c>
      <c r="T816" s="3">
        <f>IF(ISNUMBER(AVERAGE('20250815_ETF_Options_Exhibits'!T812:T816)),AVERAGE('20250815_ETF_Options_Exhibits'!T812:T816),"")</f>
        <v/>
      </c>
      <c r="U816" s="3">
        <f>IF(ISNUMBER(AVERAGE('20250815_ETF_Options_Exhibits'!U812:U816)),AVERAGE('20250815_ETF_Options_Exhibits'!U812:U816),"")</f>
        <v/>
      </c>
      <c r="V816" s="3">
        <f>IF(ISNUMBER(AVERAGE('20250815_ETF_Options_Exhibits'!V812:V816)),AVERAGE('20250815_ETF_Options_Exhibits'!V812:V816),"")</f>
        <v/>
      </c>
      <c r="W816" s="3">
        <f>IF(ISNUMBER(AVERAGE('20250815_ETF_Options_Exhibits'!W812:W816)),AVERAGE('20250815_ETF_Options_Exhibits'!W812:W816),"")</f>
        <v/>
      </c>
      <c r="X816" s="3">
        <f>IF(ISNUMBER(AVERAGE('20250815_ETF_Options_Exhibits'!X812:X816)),AVERAGE('20250815_ETF_Options_Exhibits'!X812:X816),"")</f>
        <v/>
      </c>
      <c r="Y816" s="3">
        <f>IF(ISNUMBER(AVERAGE('20250815_ETF_Options_Exhibits'!Y812:Y816)),AVERAGE('20250815_ETF_Options_Exhibits'!Y812:Y816),"")</f>
        <v/>
      </c>
      <c r="Z816" s="3">
        <f>IF(ISNUMBER(AVERAGE('20250815_ETF_Options_Exhibits'!Z812:Z816)),AVERAGE('20250815_ETF_Options_Exhibits'!Z812:Z816),"")</f>
        <v/>
      </c>
      <c r="AA816" s="3">
        <f>IF(ISNUMBER(AVERAGE('20250815_ETF_Options_Exhibits'!AA812:AA816)),AVERAGE('20250815_ETF_Options_Exhibits'!AA812:AA816),"")</f>
        <v/>
      </c>
    </row>
    <row r="817">
      <c r="A817" s="1" t="n">
        <v>43188</v>
      </c>
      <c r="B817" s="3">
        <f>IF(ISNUMBER(AVERAGE('20250815_ETF_Options_Exhibits'!B813:B817)),AVERAGE('20250815_ETF_Options_Exhibits'!B813:B817),"")</f>
        <v/>
      </c>
      <c r="C817" s="3">
        <f>IF(ISNUMBER(AVERAGE('20250815_ETF_Options_Exhibits'!C813:C817)),AVERAGE('20250815_ETF_Options_Exhibits'!C813:C817),"")</f>
        <v/>
      </c>
      <c r="D817" s="3">
        <f>IF(ISNUMBER(AVERAGE('20250815_ETF_Options_Exhibits'!D813:D817)),AVERAGE('20250815_ETF_Options_Exhibits'!D813:D817),"")</f>
        <v/>
      </c>
      <c r="E817" s="3">
        <f>IF(ISNUMBER(AVERAGE('20250815_ETF_Options_Exhibits'!E813:E817)),AVERAGE('20250815_ETF_Options_Exhibits'!E813:E817),"")</f>
        <v/>
      </c>
      <c r="F817" s="3">
        <f>IF(ISNUMBER(AVERAGE('20250815_ETF_Options_Exhibits'!F813:F817)),AVERAGE('20250815_ETF_Options_Exhibits'!F813:F817),"")</f>
        <v/>
      </c>
      <c r="G817" s="3">
        <f>IF(ISNUMBER(AVERAGE('20250815_ETF_Options_Exhibits'!G813:G817)),AVERAGE('20250815_ETF_Options_Exhibits'!G813:G817),"")</f>
        <v/>
      </c>
      <c r="H817" s="3">
        <f>IF(ISNUMBER(AVERAGE('20250815_ETF_Options_Exhibits'!H813:H817)),AVERAGE('20250815_ETF_Options_Exhibits'!H813:H817),"")</f>
        <v/>
      </c>
      <c r="I817" s="3">
        <f>IF(ISNUMBER(AVERAGE('20250815_ETF_Options_Exhibits'!I813:I817)),AVERAGE('20250815_ETF_Options_Exhibits'!I813:I817),"")</f>
        <v/>
      </c>
      <c r="J817" s="3">
        <f>IF(ISNUMBER(AVERAGE('20250815_ETF_Options_Exhibits'!J813:J817)),AVERAGE('20250815_ETF_Options_Exhibits'!J813:J817),"")</f>
        <v/>
      </c>
      <c r="K817" s="3">
        <f>IF(ISNUMBER(AVERAGE('20250815_ETF_Options_Exhibits'!K813:K817)),AVERAGE('20250815_ETF_Options_Exhibits'!K813:K817),"")</f>
        <v/>
      </c>
      <c r="L817" s="3">
        <f>IF(ISNUMBER(AVERAGE('20250815_ETF_Options_Exhibits'!L813:L817)),AVERAGE('20250815_ETF_Options_Exhibits'!L813:L817),"")</f>
        <v/>
      </c>
      <c r="M817" s="3">
        <f>IF(ISNUMBER(AVERAGE('20250815_ETF_Options_Exhibits'!M813:M817)),AVERAGE('20250815_ETF_Options_Exhibits'!M813:M817),"")</f>
        <v/>
      </c>
      <c r="N817" s="3">
        <f>IF(ISNUMBER(AVERAGE('20250815_ETF_Options_Exhibits'!N813:N817)),AVERAGE('20250815_ETF_Options_Exhibits'!N813:N817),"")</f>
        <v/>
      </c>
      <c r="O817" s="3">
        <f>IF(ISNUMBER(AVERAGE('20250815_ETF_Options_Exhibits'!O813:O817)),AVERAGE('20250815_ETF_Options_Exhibits'!O813:O817),"")</f>
        <v/>
      </c>
      <c r="P817" s="3">
        <f>IF(ISNUMBER(AVERAGE('20250815_ETF_Options_Exhibits'!P813:P817)),AVERAGE('20250815_ETF_Options_Exhibits'!P813:P817),"")</f>
        <v/>
      </c>
      <c r="Q817" s="3">
        <f>IF(ISNUMBER(AVERAGE('20250815_ETF_Options_Exhibits'!Q813:Q817)),AVERAGE('20250815_ETF_Options_Exhibits'!Q813:Q817),"")</f>
        <v/>
      </c>
      <c r="R817" s="3">
        <f>IF(ISNUMBER(AVERAGE('20250815_ETF_Options_Exhibits'!R813:R817)),AVERAGE('20250815_ETF_Options_Exhibits'!R813:R817),"")</f>
        <v/>
      </c>
      <c r="S817" s="3">
        <f>IF(ISNUMBER(AVERAGE('20250815_ETF_Options_Exhibits'!S813:S817)),AVERAGE('20250815_ETF_Options_Exhibits'!S813:S817),"")</f>
        <v/>
      </c>
      <c r="T817" s="3">
        <f>IF(ISNUMBER(AVERAGE('20250815_ETF_Options_Exhibits'!T813:T817)),AVERAGE('20250815_ETF_Options_Exhibits'!T813:T817),"")</f>
        <v/>
      </c>
      <c r="U817" s="3">
        <f>IF(ISNUMBER(AVERAGE('20250815_ETF_Options_Exhibits'!U813:U817)),AVERAGE('20250815_ETF_Options_Exhibits'!U813:U817),"")</f>
        <v/>
      </c>
      <c r="V817" s="3">
        <f>IF(ISNUMBER(AVERAGE('20250815_ETF_Options_Exhibits'!V813:V817)),AVERAGE('20250815_ETF_Options_Exhibits'!V813:V817),"")</f>
        <v/>
      </c>
      <c r="W817" s="3">
        <f>IF(ISNUMBER(AVERAGE('20250815_ETF_Options_Exhibits'!W813:W817)),AVERAGE('20250815_ETF_Options_Exhibits'!W813:W817),"")</f>
        <v/>
      </c>
      <c r="X817" s="3">
        <f>IF(ISNUMBER(AVERAGE('20250815_ETF_Options_Exhibits'!X813:X817)),AVERAGE('20250815_ETF_Options_Exhibits'!X813:X817),"")</f>
        <v/>
      </c>
      <c r="Y817" s="3">
        <f>IF(ISNUMBER(AVERAGE('20250815_ETF_Options_Exhibits'!Y813:Y817)),AVERAGE('20250815_ETF_Options_Exhibits'!Y813:Y817),"")</f>
        <v/>
      </c>
      <c r="Z817" s="3">
        <f>IF(ISNUMBER(AVERAGE('20250815_ETF_Options_Exhibits'!Z813:Z817)),AVERAGE('20250815_ETF_Options_Exhibits'!Z813:Z817),"")</f>
        <v/>
      </c>
      <c r="AA817" s="3">
        <f>IF(ISNUMBER(AVERAGE('20250815_ETF_Options_Exhibits'!AA813:AA817)),AVERAGE('20250815_ETF_Options_Exhibits'!AA813:AA817),"")</f>
        <v/>
      </c>
    </row>
    <row r="818">
      <c r="A818" s="1" t="n">
        <v>43192</v>
      </c>
      <c r="B818" s="3">
        <f>IF(ISNUMBER(AVERAGE('20250815_ETF_Options_Exhibits'!B814:B818)),AVERAGE('20250815_ETF_Options_Exhibits'!B814:B818),"")</f>
        <v/>
      </c>
      <c r="C818" s="3">
        <f>IF(ISNUMBER(AVERAGE('20250815_ETF_Options_Exhibits'!C814:C818)),AVERAGE('20250815_ETF_Options_Exhibits'!C814:C818),"")</f>
        <v/>
      </c>
      <c r="D818" s="3">
        <f>IF(ISNUMBER(AVERAGE('20250815_ETF_Options_Exhibits'!D814:D818)),AVERAGE('20250815_ETF_Options_Exhibits'!D814:D818),"")</f>
        <v/>
      </c>
      <c r="E818" s="3">
        <f>IF(ISNUMBER(AVERAGE('20250815_ETF_Options_Exhibits'!E814:E818)),AVERAGE('20250815_ETF_Options_Exhibits'!E814:E818),"")</f>
        <v/>
      </c>
      <c r="F818" s="3">
        <f>IF(ISNUMBER(AVERAGE('20250815_ETF_Options_Exhibits'!F814:F818)),AVERAGE('20250815_ETF_Options_Exhibits'!F814:F818),"")</f>
        <v/>
      </c>
      <c r="G818" s="3">
        <f>IF(ISNUMBER(AVERAGE('20250815_ETF_Options_Exhibits'!G814:G818)),AVERAGE('20250815_ETF_Options_Exhibits'!G814:G818),"")</f>
        <v/>
      </c>
      <c r="H818" s="3">
        <f>IF(ISNUMBER(AVERAGE('20250815_ETF_Options_Exhibits'!H814:H818)),AVERAGE('20250815_ETF_Options_Exhibits'!H814:H818),"")</f>
        <v/>
      </c>
      <c r="I818" s="3">
        <f>IF(ISNUMBER(AVERAGE('20250815_ETF_Options_Exhibits'!I814:I818)),AVERAGE('20250815_ETF_Options_Exhibits'!I814:I818),"")</f>
        <v/>
      </c>
      <c r="J818" s="3">
        <f>IF(ISNUMBER(AVERAGE('20250815_ETF_Options_Exhibits'!J814:J818)),AVERAGE('20250815_ETF_Options_Exhibits'!J814:J818),"")</f>
        <v/>
      </c>
      <c r="K818" s="3">
        <f>IF(ISNUMBER(AVERAGE('20250815_ETF_Options_Exhibits'!K814:K818)),AVERAGE('20250815_ETF_Options_Exhibits'!K814:K818),"")</f>
        <v/>
      </c>
      <c r="L818" s="3">
        <f>IF(ISNUMBER(AVERAGE('20250815_ETF_Options_Exhibits'!L814:L818)),AVERAGE('20250815_ETF_Options_Exhibits'!L814:L818),"")</f>
        <v/>
      </c>
      <c r="M818" s="3">
        <f>IF(ISNUMBER(AVERAGE('20250815_ETF_Options_Exhibits'!M814:M818)),AVERAGE('20250815_ETF_Options_Exhibits'!M814:M818),"")</f>
        <v/>
      </c>
      <c r="N818" s="3">
        <f>IF(ISNUMBER(AVERAGE('20250815_ETF_Options_Exhibits'!N814:N818)),AVERAGE('20250815_ETF_Options_Exhibits'!N814:N818),"")</f>
        <v/>
      </c>
      <c r="O818" s="3">
        <f>IF(ISNUMBER(AVERAGE('20250815_ETF_Options_Exhibits'!O814:O818)),AVERAGE('20250815_ETF_Options_Exhibits'!O814:O818),"")</f>
        <v/>
      </c>
      <c r="P818" s="3">
        <f>IF(ISNUMBER(AVERAGE('20250815_ETF_Options_Exhibits'!P814:P818)),AVERAGE('20250815_ETF_Options_Exhibits'!P814:P818),"")</f>
        <v/>
      </c>
      <c r="Q818" s="3">
        <f>IF(ISNUMBER(AVERAGE('20250815_ETF_Options_Exhibits'!Q814:Q818)),AVERAGE('20250815_ETF_Options_Exhibits'!Q814:Q818),"")</f>
        <v/>
      </c>
      <c r="R818" s="3">
        <f>IF(ISNUMBER(AVERAGE('20250815_ETF_Options_Exhibits'!R814:R818)),AVERAGE('20250815_ETF_Options_Exhibits'!R814:R818),"")</f>
        <v/>
      </c>
      <c r="S818" s="3">
        <f>IF(ISNUMBER(AVERAGE('20250815_ETF_Options_Exhibits'!S814:S818)),AVERAGE('20250815_ETF_Options_Exhibits'!S814:S818),"")</f>
        <v/>
      </c>
      <c r="T818" s="3">
        <f>IF(ISNUMBER(AVERAGE('20250815_ETF_Options_Exhibits'!T814:T818)),AVERAGE('20250815_ETF_Options_Exhibits'!T814:T818),"")</f>
        <v/>
      </c>
      <c r="U818" s="3">
        <f>IF(ISNUMBER(AVERAGE('20250815_ETF_Options_Exhibits'!U814:U818)),AVERAGE('20250815_ETF_Options_Exhibits'!U814:U818),"")</f>
        <v/>
      </c>
      <c r="V818" s="3">
        <f>IF(ISNUMBER(AVERAGE('20250815_ETF_Options_Exhibits'!V814:V818)),AVERAGE('20250815_ETF_Options_Exhibits'!V814:V818),"")</f>
        <v/>
      </c>
      <c r="W818" s="3">
        <f>IF(ISNUMBER(AVERAGE('20250815_ETF_Options_Exhibits'!W814:W818)),AVERAGE('20250815_ETF_Options_Exhibits'!W814:W818),"")</f>
        <v/>
      </c>
      <c r="X818" s="3">
        <f>IF(ISNUMBER(AVERAGE('20250815_ETF_Options_Exhibits'!X814:X818)),AVERAGE('20250815_ETF_Options_Exhibits'!X814:X818),"")</f>
        <v/>
      </c>
      <c r="Y818" s="3">
        <f>IF(ISNUMBER(AVERAGE('20250815_ETF_Options_Exhibits'!Y814:Y818)),AVERAGE('20250815_ETF_Options_Exhibits'!Y814:Y818),"")</f>
        <v/>
      </c>
      <c r="Z818" s="3">
        <f>IF(ISNUMBER(AVERAGE('20250815_ETF_Options_Exhibits'!Z814:Z818)),AVERAGE('20250815_ETF_Options_Exhibits'!Z814:Z818),"")</f>
        <v/>
      </c>
      <c r="AA818" s="3">
        <f>IF(ISNUMBER(AVERAGE('20250815_ETF_Options_Exhibits'!AA814:AA818)),AVERAGE('20250815_ETF_Options_Exhibits'!AA814:AA818),"")</f>
        <v/>
      </c>
    </row>
    <row r="819">
      <c r="A819" s="1" t="n">
        <v>43193</v>
      </c>
      <c r="B819" s="3">
        <f>IF(ISNUMBER(AVERAGE('20250815_ETF_Options_Exhibits'!B815:B819)),AVERAGE('20250815_ETF_Options_Exhibits'!B815:B819),"")</f>
        <v/>
      </c>
      <c r="C819" s="3">
        <f>IF(ISNUMBER(AVERAGE('20250815_ETF_Options_Exhibits'!C815:C819)),AVERAGE('20250815_ETF_Options_Exhibits'!C815:C819),"")</f>
        <v/>
      </c>
      <c r="D819" s="3">
        <f>IF(ISNUMBER(AVERAGE('20250815_ETF_Options_Exhibits'!D815:D819)),AVERAGE('20250815_ETF_Options_Exhibits'!D815:D819),"")</f>
        <v/>
      </c>
      <c r="E819" s="3">
        <f>IF(ISNUMBER(AVERAGE('20250815_ETF_Options_Exhibits'!E815:E819)),AVERAGE('20250815_ETF_Options_Exhibits'!E815:E819),"")</f>
        <v/>
      </c>
      <c r="F819" s="3">
        <f>IF(ISNUMBER(AVERAGE('20250815_ETF_Options_Exhibits'!F815:F819)),AVERAGE('20250815_ETF_Options_Exhibits'!F815:F819),"")</f>
        <v/>
      </c>
      <c r="G819" s="3">
        <f>IF(ISNUMBER(AVERAGE('20250815_ETF_Options_Exhibits'!G815:G819)),AVERAGE('20250815_ETF_Options_Exhibits'!G815:G819),"")</f>
        <v/>
      </c>
      <c r="H819" s="3">
        <f>IF(ISNUMBER(AVERAGE('20250815_ETF_Options_Exhibits'!H815:H819)),AVERAGE('20250815_ETF_Options_Exhibits'!H815:H819),"")</f>
        <v/>
      </c>
      <c r="I819" s="3">
        <f>IF(ISNUMBER(AVERAGE('20250815_ETF_Options_Exhibits'!I815:I819)),AVERAGE('20250815_ETF_Options_Exhibits'!I815:I819),"")</f>
        <v/>
      </c>
      <c r="J819" s="3">
        <f>IF(ISNUMBER(AVERAGE('20250815_ETF_Options_Exhibits'!J815:J819)),AVERAGE('20250815_ETF_Options_Exhibits'!J815:J819),"")</f>
        <v/>
      </c>
      <c r="K819" s="3">
        <f>IF(ISNUMBER(AVERAGE('20250815_ETF_Options_Exhibits'!K815:K819)),AVERAGE('20250815_ETF_Options_Exhibits'!K815:K819),"")</f>
        <v/>
      </c>
      <c r="L819" s="3">
        <f>IF(ISNUMBER(AVERAGE('20250815_ETF_Options_Exhibits'!L815:L819)),AVERAGE('20250815_ETF_Options_Exhibits'!L815:L819),"")</f>
        <v/>
      </c>
      <c r="M819" s="3">
        <f>IF(ISNUMBER(AVERAGE('20250815_ETF_Options_Exhibits'!M815:M819)),AVERAGE('20250815_ETF_Options_Exhibits'!M815:M819),"")</f>
        <v/>
      </c>
      <c r="N819" s="3">
        <f>IF(ISNUMBER(AVERAGE('20250815_ETF_Options_Exhibits'!N815:N819)),AVERAGE('20250815_ETF_Options_Exhibits'!N815:N819),"")</f>
        <v/>
      </c>
      <c r="O819" s="3">
        <f>IF(ISNUMBER(AVERAGE('20250815_ETF_Options_Exhibits'!O815:O819)),AVERAGE('20250815_ETF_Options_Exhibits'!O815:O819),"")</f>
        <v/>
      </c>
      <c r="P819" s="3">
        <f>IF(ISNUMBER(AVERAGE('20250815_ETF_Options_Exhibits'!P815:P819)),AVERAGE('20250815_ETF_Options_Exhibits'!P815:P819),"")</f>
        <v/>
      </c>
      <c r="Q819" s="3">
        <f>IF(ISNUMBER(AVERAGE('20250815_ETF_Options_Exhibits'!Q815:Q819)),AVERAGE('20250815_ETF_Options_Exhibits'!Q815:Q819),"")</f>
        <v/>
      </c>
      <c r="R819" s="3">
        <f>IF(ISNUMBER(AVERAGE('20250815_ETF_Options_Exhibits'!R815:R819)),AVERAGE('20250815_ETF_Options_Exhibits'!R815:R819),"")</f>
        <v/>
      </c>
      <c r="S819" s="3">
        <f>IF(ISNUMBER(AVERAGE('20250815_ETF_Options_Exhibits'!S815:S819)),AVERAGE('20250815_ETF_Options_Exhibits'!S815:S819),"")</f>
        <v/>
      </c>
      <c r="T819" s="3">
        <f>IF(ISNUMBER(AVERAGE('20250815_ETF_Options_Exhibits'!T815:T819)),AVERAGE('20250815_ETF_Options_Exhibits'!T815:T819),"")</f>
        <v/>
      </c>
      <c r="U819" s="3">
        <f>IF(ISNUMBER(AVERAGE('20250815_ETF_Options_Exhibits'!U815:U819)),AVERAGE('20250815_ETF_Options_Exhibits'!U815:U819),"")</f>
        <v/>
      </c>
      <c r="V819" s="3">
        <f>IF(ISNUMBER(AVERAGE('20250815_ETF_Options_Exhibits'!V815:V819)),AVERAGE('20250815_ETF_Options_Exhibits'!V815:V819),"")</f>
        <v/>
      </c>
      <c r="W819" s="3">
        <f>IF(ISNUMBER(AVERAGE('20250815_ETF_Options_Exhibits'!W815:W819)),AVERAGE('20250815_ETF_Options_Exhibits'!W815:W819),"")</f>
        <v/>
      </c>
      <c r="X819" s="3">
        <f>IF(ISNUMBER(AVERAGE('20250815_ETF_Options_Exhibits'!X815:X819)),AVERAGE('20250815_ETF_Options_Exhibits'!X815:X819),"")</f>
        <v/>
      </c>
      <c r="Y819" s="3">
        <f>IF(ISNUMBER(AVERAGE('20250815_ETF_Options_Exhibits'!Y815:Y819)),AVERAGE('20250815_ETF_Options_Exhibits'!Y815:Y819),"")</f>
        <v/>
      </c>
      <c r="Z819" s="3">
        <f>IF(ISNUMBER(AVERAGE('20250815_ETF_Options_Exhibits'!Z815:Z819)),AVERAGE('20250815_ETF_Options_Exhibits'!Z815:Z819),"")</f>
        <v/>
      </c>
      <c r="AA819" s="3">
        <f>IF(ISNUMBER(AVERAGE('20250815_ETF_Options_Exhibits'!AA815:AA819)),AVERAGE('20250815_ETF_Options_Exhibits'!AA815:AA819),"")</f>
        <v/>
      </c>
    </row>
    <row r="820">
      <c r="A820" s="1" t="n">
        <v>43194</v>
      </c>
      <c r="B820" s="3">
        <f>IF(ISNUMBER(AVERAGE('20250815_ETF_Options_Exhibits'!B816:B820)),AVERAGE('20250815_ETF_Options_Exhibits'!B816:B820),"")</f>
        <v/>
      </c>
      <c r="C820" s="3">
        <f>IF(ISNUMBER(AVERAGE('20250815_ETF_Options_Exhibits'!C816:C820)),AVERAGE('20250815_ETF_Options_Exhibits'!C816:C820),"")</f>
        <v/>
      </c>
      <c r="D820" s="3">
        <f>IF(ISNUMBER(AVERAGE('20250815_ETF_Options_Exhibits'!D816:D820)),AVERAGE('20250815_ETF_Options_Exhibits'!D816:D820),"")</f>
        <v/>
      </c>
      <c r="E820" s="3">
        <f>IF(ISNUMBER(AVERAGE('20250815_ETF_Options_Exhibits'!E816:E820)),AVERAGE('20250815_ETF_Options_Exhibits'!E816:E820),"")</f>
        <v/>
      </c>
      <c r="F820" s="3">
        <f>IF(ISNUMBER(AVERAGE('20250815_ETF_Options_Exhibits'!F816:F820)),AVERAGE('20250815_ETF_Options_Exhibits'!F816:F820),"")</f>
        <v/>
      </c>
      <c r="G820" s="3">
        <f>IF(ISNUMBER(AVERAGE('20250815_ETF_Options_Exhibits'!G816:G820)),AVERAGE('20250815_ETF_Options_Exhibits'!G816:G820),"")</f>
        <v/>
      </c>
      <c r="H820" s="3">
        <f>IF(ISNUMBER(AVERAGE('20250815_ETF_Options_Exhibits'!H816:H820)),AVERAGE('20250815_ETF_Options_Exhibits'!H816:H820),"")</f>
        <v/>
      </c>
      <c r="I820" s="3">
        <f>IF(ISNUMBER(AVERAGE('20250815_ETF_Options_Exhibits'!I816:I820)),AVERAGE('20250815_ETF_Options_Exhibits'!I816:I820),"")</f>
        <v/>
      </c>
      <c r="J820" s="3">
        <f>IF(ISNUMBER(AVERAGE('20250815_ETF_Options_Exhibits'!J816:J820)),AVERAGE('20250815_ETF_Options_Exhibits'!J816:J820),"")</f>
        <v/>
      </c>
      <c r="K820" s="3">
        <f>IF(ISNUMBER(AVERAGE('20250815_ETF_Options_Exhibits'!K816:K820)),AVERAGE('20250815_ETF_Options_Exhibits'!K816:K820),"")</f>
        <v/>
      </c>
      <c r="L820" s="3">
        <f>IF(ISNUMBER(AVERAGE('20250815_ETF_Options_Exhibits'!L816:L820)),AVERAGE('20250815_ETF_Options_Exhibits'!L816:L820),"")</f>
        <v/>
      </c>
      <c r="M820" s="3">
        <f>IF(ISNUMBER(AVERAGE('20250815_ETF_Options_Exhibits'!M816:M820)),AVERAGE('20250815_ETF_Options_Exhibits'!M816:M820),"")</f>
        <v/>
      </c>
      <c r="N820" s="3">
        <f>IF(ISNUMBER(AVERAGE('20250815_ETF_Options_Exhibits'!N816:N820)),AVERAGE('20250815_ETF_Options_Exhibits'!N816:N820),"")</f>
        <v/>
      </c>
      <c r="O820" s="3">
        <f>IF(ISNUMBER(AVERAGE('20250815_ETF_Options_Exhibits'!O816:O820)),AVERAGE('20250815_ETF_Options_Exhibits'!O816:O820),"")</f>
        <v/>
      </c>
      <c r="P820" s="3">
        <f>IF(ISNUMBER(AVERAGE('20250815_ETF_Options_Exhibits'!P816:P820)),AVERAGE('20250815_ETF_Options_Exhibits'!P816:P820),"")</f>
        <v/>
      </c>
      <c r="Q820" s="3">
        <f>IF(ISNUMBER(AVERAGE('20250815_ETF_Options_Exhibits'!Q816:Q820)),AVERAGE('20250815_ETF_Options_Exhibits'!Q816:Q820),"")</f>
        <v/>
      </c>
      <c r="R820" s="3">
        <f>IF(ISNUMBER(AVERAGE('20250815_ETF_Options_Exhibits'!R816:R820)),AVERAGE('20250815_ETF_Options_Exhibits'!R816:R820),"")</f>
        <v/>
      </c>
      <c r="S820" s="3">
        <f>IF(ISNUMBER(AVERAGE('20250815_ETF_Options_Exhibits'!S816:S820)),AVERAGE('20250815_ETF_Options_Exhibits'!S816:S820),"")</f>
        <v/>
      </c>
      <c r="T820" s="3">
        <f>IF(ISNUMBER(AVERAGE('20250815_ETF_Options_Exhibits'!T816:T820)),AVERAGE('20250815_ETF_Options_Exhibits'!T816:T820),"")</f>
        <v/>
      </c>
      <c r="U820" s="3">
        <f>IF(ISNUMBER(AVERAGE('20250815_ETF_Options_Exhibits'!U816:U820)),AVERAGE('20250815_ETF_Options_Exhibits'!U816:U820),"")</f>
        <v/>
      </c>
      <c r="V820" s="3">
        <f>IF(ISNUMBER(AVERAGE('20250815_ETF_Options_Exhibits'!V816:V820)),AVERAGE('20250815_ETF_Options_Exhibits'!V816:V820),"")</f>
        <v/>
      </c>
      <c r="W820" s="3">
        <f>IF(ISNUMBER(AVERAGE('20250815_ETF_Options_Exhibits'!W816:W820)),AVERAGE('20250815_ETF_Options_Exhibits'!W816:W820),"")</f>
        <v/>
      </c>
      <c r="X820" s="3">
        <f>IF(ISNUMBER(AVERAGE('20250815_ETF_Options_Exhibits'!X816:X820)),AVERAGE('20250815_ETF_Options_Exhibits'!X816:X820),"")</f>
        <v/>
      </c>
      <c r="Y820" s="3">
        <f>IF(ISNUMBER(AVERAGE('20250815_ETF_Options_Exhibits'!Y816:Y820)),AVERAGE('20250815_ETF_Options_Exhibits'!Y816:Y820),"")</f>
        <v/>
      </c>
      <c r="Z820" s="3">
        <f>IF(ISNUMBER(AVERAGE('20250815_ETF_Options_Exhibits'!Z816:Z820)),AVERAGE('20250815_ETF_Options_Exhibits'!Z816:Z820),"")</f>
        <v/>
      </c>
      <c r="AA820" s="3">
        <f>IF(ISNUMBER(AVERAGE('20250815_ETF_Options_Exhibits'!AA816:AA820)),AVERAGE('20250815_ETF_Options_Exhibits'!AA816:AA820),"")</f>
        <v/>
      </c>
    </row>
    <row r="821">
      <c r="A821" s="1" t="n">
        <v>43195</v>
      </c>
      <c r="B821" s="3">
        <f>IF(ISNUMBER(AVERAGE('20250815_ETF_Options_Exhibits'!B817:B821)),AVERAGE('20250815_ETF_Options_Exhibits'!B817:B821),"")</f>
        <v/>
      </c>
      <c r="C821" s="3">
        <f>IF(ISNUMBER(AVERAGE('20250815_ETF_Options_Exhibits'!C817:C821)),AVERAGE('20250815_ETF_Options_Exhibits'!C817:C821),"")</f>
        <v/>
      </c>
      <c r="D821" s="3">
        <f>IF(ISNUMBER(AVERAGE('20250815_ETF_Options_Exhibits'!D817:D821)),AVERAGE('20250815_ETF_Options_Exhibits'!D817:D821),"")</f>
        <v/>
      </c>
      <c r="E821" s="3">
        <f>IF(ISNUMBER(AVERAGE('20250815_ETF_Options_Exhibits'!E817:E821)),AVERAGE('20250815_ETF_Options_Exhibits'!E817:E821),"")</f>
        <v/>
      </c>
      <c r="F821" s="3">
        <f>IF(ISNUMBER(AVERAGE('20250815_ETF_Options_Exhibits'!F817:F821)),AVERAGE('20250815_ETF_Options_Exhibits'!F817:F821),"")</f>
        <v/>
      </c>
      <c r="G821" s="3">
        <f>IF(ISNUMBER(AVERAGE('20250815_ETF_Options_Exhibits'!G817:G821)),AVERAGE('20250815_ETF_Options_Exhibits'!G817:G821),"")</f>
        <v/>
      </c>
      <c r="H821" s="3">
        <f>IF(ISNUMBER(AVERAGE('20250815_ETF_Options_Exhibits'!H817:H821)),AVERAGE('20250815_ETF_Options_Exhibits'!H817:H821),"")</f>
        <v/>
      </c>
      <c r="I821" s="3">
        <f>IF(ISNUMBER(AVERAGE('20250815_ETF_Options_Exhibits'!I817:I821)),AVERAGE('20250815_ETF_Options_Exhibits'!I817:I821),"")</f>
        <v/>
      </c>
      <c r="J821" s="3">
        <f>IF(ISNUMBER(AVERAGE('20250815_ETF_Options_Exhibits'!J817:J821)),AVERAGE('20250815_ETF_Options_Exhibits'!J817:J821),"")</f>
        <v/>
      </c>
      <c r="K821" s="3">
        <f>IF(ISNUMBER(AVERAGE('20250815_ETF_Options_Exhibits'!K817:K821)),AVERAGE('20250815_ETF_Options_Exhibits'!K817:K821),"")</f>
        <v/>
      </c>
      <c r="L821" s="3">
        <f>IF(ISNUMBER(AVERAGE('20250815_ETF_Options_Exhibits'!L817:L821)),AVERAGE('20250815_ETF_Options_Exhibits'!L817:L821),"")</f>
        <v/>
      </c>
      <c r="M821" s="3">
        <f>IF(ISNUMBER(AVERAGE('20250815_ETF_Options_Exhibits'!M817:M821)),AVERAGE('20250815_ETF_Options_Exhibits'!M817:M821),"")</f>
        <v/>
      </c>
      <c r="N821" s="3">
        <f>IF(ISNUMBER(AVERAGE('20250815_ETF_Options_Exhibits'!N817:N821)),AVERAGE('20250815_ETF_Options_Exhibits'!N817:N821),"")</f>
        <v/>
      </c>
      <c r="O821" s="3">
        <f>IF(ISNUMBER(AVERAGE('20250815_ETF_Options_Exhibits'!O817:O821)),AVERAGE('20250815_ETF_Options_Exhibits'!O817:O821),"")</f>
        <v/>
      </c>
      <c r="P821" s="3">
        <f>IF(ISNUMBER(AVERAGE('20250815_ETF_Options_Exhibits'!P817:P821)),AVERAGE('20250815_ETF_Options_Exhibits'!P817:P821),"")</f>
        <v/>
      </c>
      <c r="Q821" s="3">
        <f>IF(ISNUMBER(AVERAGE('20250815_ETF_Options_Exhibits'!Q817:Q821)),AVERAGE('20250815_ETF_Options_Exhibits'!Q817:Q821),"")</f>
        <v/>
      </c>
      <c r="R821" s="3">
        <f>IF(ISNUMBER(AVERAGE('20250815_ETF_Options_Exhibits'!R817:R821)),AVERAGE('20250815_ETF_Options_Exhibits'!R817:R821),"")</f>
        <v/>
      </c>
      <c r="S821" s="3">
        <f>IF(ISNUMBER(AVERAGE('20250815_ETF_Options_Exhibits'!S817:S821)),AVERAGE('20250815_ETF_Options_Exhibits'!S817:S821),"")</f>
        <v/>
      </c>
      <c r="T821" s="3">
        <f>IF(ISNUMBER(AVERAGE('20250815_ETF_Options_Exhibits'!T817:T821)),AVERAGE('20250815_ETF_Options_Exhibits'!T817:T821),"")</f>
        <v/>
      </c>
      <c r="U821" s="3">
        <f>IF(ISNUMBER(AVERAGE('20250815_ETF_Options_Exhibits'!U817:U821)),AVERAGE('20250815_ETF_Options_Exhibits'!U817:U821),"")</f>
        <v/>
      </c>
      <c r="V821" s="3">
        <f>IF(ISNUMBER(AVERAGE('20250815_ETF_Options_Exhibits'!V817:V821)),AVERAGE('20250815_ETF_Options_Exhibits'!V817:V821),"")</f>
        <v/>
      </c>
      <c r="W821" s="3">
        <f>IF(ISNUMBER(AVERAGE('20250815_ETF_Options_Exhibits'!W817:W821)),AVERAGE('20250815_ETF_Options_Exhibits'!W817:W821),"")</f>
        <v/>
      </c>
      <c r="X821" s="3">
        <f>IF(ISNUMBER(AVERAGE('20250815_ETF_Options_Exhibits'!X817:X821)),AVERAGE('20250815_ETF_Options_Exhibits'!X817:X821),"")</f>
        <v/>
      </c>
      <c r="Y821" s="3">
        <f>IF(ISNUMBER(AVERAGE('20250815_ETF_Options_Exhibits'!Y817:Y821)),AVERAGE('20250815_ETF_Options_Exhibits'!Y817:Y821),"")</f>
        <v/>
      </c>
      <c r="Z821" s="3">
        <f>IF(ISNUMBER(AVERAGE('20250815_ETF_Options_Exhibits'!Z817:Z821)),AVERAGE('20250815_ETF_Options_Exhibits'!Z817:Z821),"")</f>
        <v/>
      </c>
      <c r="AA821" s="3">
        <f>IF(ISNUMBER(AVERAGE('20250815_ETF_Options_Exhibits'!AA817:AA821)),AVERAGE('20250815_ETF_Options_Exhibits'!AA817:AA821),"")</f>
        <v/>
      </c>
    </row>
    <row r="822">
      <c r="A822" s="1" t="n">
        <v>43196</v>
      </c>
      <c r="B822" s="3">
        <f>IF(ISNUMBER(AVERAGE('20250815_ETF_Options_Exhibits'!B818:B822)),AVERAGE('20250815_ETF_Options_Exhibits'!B818:B822),"")</f>
        <v/>
      </c>
      <c r="C822" s="3">
        <f>IF(ISNUMBER(AVERAGE('20250815_ETF_Options_Exhibits'!C818:C822)),AVERAGE('20250815_ETF_Options_Exhibits'!C818:C822),"")</f>
        <v/>
      </c>
      <c r="D822" s="3">
        <f>IF(ISNUMBER(AVERAGE('20250815_ETF_Options_Exhibits'!D818:D822)),AVERAGE('20250815_ETF_Options_Exhibits'!D818:D822),"")</f>
        <v/>
      </c>
      <c r="E822" s="3">
        <f>IF(ISNUMBER(AVERAGE('20250815_ETF_Options_Exhibits'!E818:E822)),AVERAGE('20250815_ETF_Options_Exhibits'!E818:E822),"")</f>
        <v/>
      </c>
      <c r="F822" s="3">
        <f>IF(ISNUMBER(AVERAGE('20250815_ETF_Options_Exhibits'!F818:F822)),AVERAGE('20250815_ETF_Options_Exhibits'!F818:F822),"")</f>
        <v/>
      </c>
      <c r="G822" s="3">
        <f>IF(ISNUMBER(AVERAGE('20250815_ETF_Options_Exhibits'!G818:G822)),AVERAGE('20250815_ETF_Options_Exhibits'!G818:G822),"")</f>
        <v/>
      </c>
      <c r="H822" s="3">
        <f>IF(ISNUMBER(AVERAGE('20250815_ETF_Options_Exhibits'!H818:H822)),AVERAGE('20250815_ETF_Options_Exhibits'!H818:H822),"")</f>
        <v/>
      </c>
      <c r="I822" s="3">
        <f>IF(ISNUMBER(AVERAGE('20250815_ETF_Options_Exhibits'!I818:I822)),AVERAGE('20250815_ETF_Options_Exhibits'!I818:I822),"")</f>
        <v/>
      </c>
      <c r="J822" s="3">
        <f>IF(ISNUMBER(AVERAGE('20250815_ETF_Options_Exhibits'!J818:J822)),AVERAGE('20250815_ETF_Options_Exhibits'!J818:J822),"")</f>
        <v/>
      </c>
      <c r="K822" s="3">
        <f>IF(ISNUMBER(AVERAGE('20250815_ETF_Options_Exhibits'!K818:K822)),AVERAGE('20250815_ETF_Options_Exhibits'!K818:K822),"")</f>
        <v/>
      </c>
      <c r="L822" s="3">
        <f>IF(ISNUMBER(AVERAGE('20250815_ETF_Options_Exhibits'!L818:L822)),AVERAGE('20250815_ETF_Options_Exhibits'!L818:L822),"")</f>
        <v/>
      </c>
      <c r="M822" s="3">
        <f>IF(ISNUMBER(AVERAGE('20250815_ETF_Options_Exhibits'!M818:M822)),AVERAGE('20250815_ETF_Options_Exhibits'!M818:M822),"")</f>
        <v/>
      </c>
      <c r="N822" s="3">
        <f>IF(ISNUMBER(AVERAGE('20250815_ETF_Options_Exhibits'!N818:N822)),AVERAGE('20250815_ETF_Options_Exhibits'!N818:N822),"")</f>
        <v/>
      </c>
      <c r="O822" s="3">
        <f>IF(ISNUMBER(AVERAGE('20250815_ETF_Options_Exhibits'!O818:O822)),AVERAGE('20250815_ETF_Options_Exhibits'!O818:O822),"")</f>
        <v/>
      </c>
      <c r="P822" s="3">
        <f>IF(ISNUMBER(AVERAGE('20250815_ETF_Options_Exhibits'!P818:P822)),AVERAGE('20250815_ETF_Options_Exhibits'!P818:P822),"")</f>
        <v/>
      </c>
      <c r="Q822" s="3">
        <f>IF(ISNUMBER(AVERAGE('20250815_ETF_Options_Exhibits'!Q818:Q822)),AVERAGE('20250815_ETF_Options_Exhibits'!Q818:Q822),"")</f>
        <v/>
      </c>
      <c r="R822" s="3">
        <f>IF(ISNUMBER(AVERAGE('20250815_ETF_Options_Exhibits'!R818:R822)),AVERAGE('20250815_ETF_Options_Exhibits'!R818:R822),"")</f>
        <v/>
      </c>
      <c r="S822" s="3">
        <f>IF(ISNUMBER(AVERAGE('20250815_ETF_Options_Exhibits'!S818:S822)),AVERAGE('20250815_ETF_Options_Exhibits'!S818:S822),"")</f>
        <v/>
      </c>
      <c r="T822" s="3">
        <f>IF(ISNUMBER(AVERAGE('20250815_ETF_Options_Exhibits'!T818:T822)),AVERAGE('20250815_ETF_Options_Exhibits'!T818:T822),"")</f>
        <v/>
      </c>
      <c r="U822" s="3">
        <f>IF(ISNUMBER(AVERAGE('20250815_ETF_Options_Exhibits'!U818:U822)),AVERAGE('20250815_ETF_Options_Exhibits'!U818:U822),"")</f>
        <v/>
      </c>
      <c r="V822" s="3">
        <f>IF(ISNUMBER(AVERAGE('20250815_ETF_Options_Exhibits'!V818:V822)),AVERAGE('20250815_ETF_Options_Exhibits'!V818:V822),"")</f>
        <v/>
      </c>
      <c r="W822" s="3">
        <f>IF(ISNUMBER(AVERAGE('20250815_ETF_Options_Exhibits'!W818:W822)),AVERAGE('20250815_ETF_Options_Exhibits'!W818:W822),"")</f>
        <v/>
      </c>
      <c r="X822" s="3">
        <f>IF(ISNUMBER(AVERAGE('20250815_ETF_Options_Exhibits'!X818:X822)),AVERAGE('20250815_ETF_Options_Exhibits'!X818:X822),"")</f>
        <v/>
      </c>
      <c r="Y822" s="3">
        <f>IF(ISNUMBER(AVERAGE('20250815_ETF_Options_Exhibits'!Y818:Y822)),AVERAGE('20250815_ETF_Options_Exhibits'!Y818:Y822),"")</f>
        <v/>
      </c>
      <c r="Z822" s="3">
        <f>IF(ISNUMBER(AVERAGE('20250815_ETF_Options_Exhibits'!Z818:Z822)),AVERAGE('20250815_ETF_Options_Exhibits'!Z818:Z822),"")</f>
        <v/>
      </c>
      <c r="AA822" s="3">
        <f>IF(ISNUMBER(AVERAGE('20250815_ETF_Options_Exhibits'!AA818:AA822)),AVERAGE('20250815_ETF_Options_Exhibits'!AA818:AA822),"")</f>
        <v/>
      </c>
    </row>
    <row r="823">
      <c r="A823" s="1" t="n">
        <v>43199</v>
      </c>
      <c r="B823" s="3">
        <f>IF(ISNUMBER(AVERAGE('20250815_ETF_Options_Exhibits'!B819:B823)),AVERAGE('20250815_ETF_Options_Exhibits'!B819:B823),"")</f>
        <v/>
      </c>
      <c r="C823" s="3">
        <f>IF(ISNUMBER(AVERAGE('20250815_ETF_Options_Exhibits'!C819:C823)),AVERAGE('20250815_ETF_Options_Exhibits'!C819:C823),"")</f>
        <v/>
      </c>
      <c r="D823" s="3">
        <f>IF(ISNUMBER(AVERAGE('20250815_ETF_Options_Exhibits'!D819:D823)),AVERAGE('20250815_ETF_Options_Exhibits'!D819:D823),"")</f>
        <v/>
      </c>
      <c r="E823" s="3">
        <f>IF(ISNUMBER(AVERAGE('20250815_ETF_Options_Exhibits'!E819:E823)),AVERAGE('20250815_ETF_Options_Exhibits'!E819:E823),"")</f>
        <v/>
      </c>
      <c r="F823" s="3">
        <f>IF(ISNUMBER(AVERAGE('20250815_ETF_Options_Exhibits'!F819:F823)),AVERAGE('20250815_ETF_Options_Exhibits'!F819:F823),"")</f>
        <v/>
      </c>
      <c r="G823" s="3">
        <f>IF(ISNUMBER(AVERAGE('20250815_ETF_Options_Exhibits'!G819:G823)),AVERAGE('20250815_ETF_Options_Exhibits'!G819:G823),"")</f>
        <v/>
      </c>
      <c r="H823" s="3">
        <f>IF(ISNUMBER(AVERAGE('20250815_ETF_Options_Exhibits'!H819:H823)),AVERAGE('20250815_ETF_Options_Exhibits'!H819:H823),"")</f>
        <v/>
      </c>
      <c r="I823" s="3">
        <f>IF(ISNUMBER(AVERAGE('20250815_ETF_Options_Exhibits'!I819:I823)),AVERAGE('20250815_ETF_Options_Exhibits'!I819:I823),"")</f>
        <v/>
      </c>
      <c r="J823" s="3">
        <f>IF(ISNUMBER(AVERAGE('20250815_ETF_Options_Exhibits'!J819:J823)),AVERAGE('20250815_ETF_Options_Exhibits'!J819:J823),"")</f>
        <v/>
      </c>
      <c r="K823" s="3">
        <f>IF(ISNUMBER(AVERAGE('20250815_ETF_Options_Exhibits'!K819:K823)),AVERAGE('20250815_ETF_Options_Exhibits'!K819:K823),"")</f>
        <v/>
      </c>
      <c r="L823" s="3">
        <f>IF(ISNUMBER(AVERAGE('20250815_ETF_Options_Exhibits'!L819:L823)),AVERAGE('20250815_ETF_Options_Exhibits'!L819:L823),"")</f>
        <v/>
      </c>
      <c r="M823" s="3">
        <f>IF(ISNUMBER(AVERAGE('20250815_ETF_Options_Exhibits'!M819:M823)),AVERAGE('20250815_ETF_Options_Exhibits'!M819:M823),"")</f>
        <v/>
      </c>
      <c r="N823" s="3">
        <f>IF(ISNUMBER(AVERAGE('20250815_ETF_Options_Exhibits'!N819:N823)),AVERAGE('20250815_ETF_Options_Exhibits'!N819:N823),"")</f>
        <v/>
      </c>
      <c r="O823" s="3">
        <f>IF(ISNUMBER(AVERAGE('20250815_ETF_Options_Exhibits'!O819:O823)),AVERAGE('20250815_ETF_Options_Exhibits'!O819:O823),"")</f>
        <v/>
      </c>
      <c r="P823" s="3">
        <f>IF(ISNUMBER(AVERAGE('20250815_ETF_Options_Exhibits'!P819:P823)),AVERAGE('20250815_ETF_Options_Exhibits'!P819:P823),"")</f>
        <v/>
      </c>
      <c r="Q823" s="3">
        <f>IF(ISNUMBER(AVERAGE('20250815_ETF_Options_Exhibits'!Q819:Q823)),AVERAGE('20250815_ETF_Options_Exhibits'!Q819:Q823),"")</f>
        <v/>
      </c>
      <c r="R823" s="3">
        <f>IF(ISNUMBER(AVERAGE('20250815_ETF_Options_Exhibits'!R819:R823)),AVERAGE('20250815_ETF_Options_Exhibits'!R819:R823),"")</f>
        <v/>
      </c>
      <c r="S823" s="3">
        <f>IF(ISNUMBER(AVERAGE('20250815_ETF_Options_Exhibits'!S819:S823)),AVERAGE('20250815_ETF_Options_Exhibits'!S819:S823),"")</f>
        <v/>
      </c>
      <c r="T823" s="3">
        <f>IF(ISNUMBER(AVERAGE('20250815_ETF_Options_Exhibits'!T819:T823)),AVERAGE('20250815_ETF_Options_Exhibits'!T819:T823),"")</f>
        <v/>
      </c>
      <c r="U823" s="3">
        <f>IF(ISNUMBER(AVERAGE('20250815_ETF_Options_Exhibits'!U819:U823)),AVERAGE('20250815_ETF_Options_Exhibits'!U819:U823),"")</f>
        <v/>
      </c>
      <c r="V823" s="3">
        <f>IF(ISNUMBER(AVERAGE('20250815_ETF_Options_Exhibits'!V819:V823)),AVERAGE('20250815_ETF_Options_Exhibits'!V819:V823),"")</f>
        <v/>
      </c>
      <c r="W823" s="3">
        <f>IF(ISNUMBER(AVERAGE('20250815_ETF_Options_Exhibits'!W819:W823)),AVERAGE('20250815_ETF_Options_Exhibits'!W819:W823),"")</f>
        <v/>
      </c>
      <c r="X823" s="3">
        <f>IF(ISNUMBER(AVERAGE('20250815_ETF_Options_Exhibits'!X819:X823)),AVERAGE('20250815_ETF_Options_Exhibits'!X819:X823),"")</f>
        <v/>
      </c>
      <c r="Y823" s="3">
        <f>IF(ISNUMBER(AVERAGE('20250815_ETF_Options_Exhibits'!Y819:Y823)),AVERAGE('20250815_ETF_Options_Exhibits'!Y819:Y823),"")</f>
        <v/>
      </c>
      <c r="Z823" s="3">
        <f>IF(ISNUMBER(AVERAGE('20250815_ETF_Options_Exhibits'!Z819:Z823)),AVERAGE('20250815_ETF_Options_Exhibits'!Z819:Z823),"")</f>
        <v/>
      </c>
      <c r="AA823" s="3">
        <f>IF(ISNUMBER(AVERAGE('20250815_ETF_Options_Exhibits'!AA819:AA823)),AVERAGE('20250815_ETF_Options_Exhibits'!AA819:AA823),"")</f>
        <v/>
      </c>
    </row>
    <row r="824">
      <c r="A824" s="1" t="n">
        <v>43200</v>
      </c>
      <c r="B824" s="3">
        <f>IF(ISNUMBER(AVERAGE('20250815_ETF_Options_Exhibits'!B820:B824)),AVERAGE('20250815_ETF_Options_Exhibits'!B820:B824),"")</f>
        <v/>
      </c>
      <c r="C824" s="3">
        <f>IF(ISNUMBER(AVERAGE('20250815_ETF_Options_Exhibits'!C820:C824)),AVERAGE('20250815_ETF_Options_Exhibits'!C820:C824),"")</f>
        <v/>
      </c>
      <c r="D824" s="3">
        <f>IF(ISNUMBER(AVERAGE('20250815_ETF_Options_Exhibits'!D820:D824)),AVERAGE('20250815_ETF_Options_Exhibits'!D820:D824),"")</f>
        <v/>
      </c>
      <c r="E824" s="3">
        <f>IF(ISNUMBER(AVERAGE('20250815_ETF_Options_Exhibits'!E820:E824)),AVERAGE('20250815_ETF_Options_Exhibits'!E820:E824),"")</f>
        <v/>
      </c>
      <c r="F824" s="3">
        <f>IF(ISNUMBER(AVERAGE('20250815_ETF_Options_Exhibits'!F820:F824)),AVERAGE('20250815_ETF_Options_Exhibits'!F820:F824),"")</f>
        <v/>
      </c>
      <c r="G824" s="3">
        <f>IF(ISNUMBER(AVERAGE('20250815_ETF_Options_Exhibits'!G820:G824)),AVERAGE('20250815_ETF_Options_Exhibits'!G820:G824),"")</f>
        <v/>
      </c>
      <c r="H824" s="3">
        <f>IF(ISNUMBER(AVERAGE('20250815_ETF_Options_Exhibits'!H820:H824)),AVERAGE('20250815_ETF_Options_Exhibits'!H820:H824),"")</f>
        <v/>
      </c>
      <c r="I824" s="3">
        <f>IF(ISNUMBER(AVERAGE('20250815_ETF_Options_Exhibits'!I820:I824)),AVERAGE('20250815_ETF_Options_Exhibits'!I820:I824),"")</f>
        <v/>
      </c>
      <c r="J824" s="3">
        <f>IF(ISNUMBER(AVERAGE('20250815_ETF_Options_Exhibits'!J820:J824)),AVERAGE('20250815_ETF_Options_Exhibits'!J820:J824),"")</f>
        <v/>
      </c>
      <c r="K824" s="3">
        <f>IF(ISNUMBER(AVERAGE('20250815_ETF_Options_Exhibits'!K820:K824)),AVERAGE('20250815_ETF_Options_Exhibits'!K820:K824),"")</f>
        <v/>
      </c>
      <c r="L824" s="3">
        <f>IF(ISNUMBER(AVERAGE('20250815_ETF_Options_Exhibits'!L820:L824)),AVERAGE('20250815_ETF_Options_Exhibits'!L820:L824),"")</f>
        <v/>
      </c>
      <c r="M824" s="3">
        <f>IF(ISNUMBER(AVERAGE('20250815_ETF_Options_Exhibits'!M820:M824)),AVERAGE('20250815_ETF_Options_Exhibits'!M820:M824),"")</f>
        <v/>
      </c>
      <c r="N824" s="3">
        <f>IF(ISNUMBER(AVERAGE('20250815_ETF_Options_Exhibits'!N820:N824)),AVERAGE('20250815_ETF_Options_Exhibits'!N820:N824),"")</f>
        <v/>
      </c>
      <c r="O824" s="3">
        <f>IF(ISNUMBER(AVERAGE('20250815_ETF_Options_Exhibits'!O820:O824)),AVERAGE('20250815_ETF_Options_Exhibits'!O820:O824),"")</f>
        <v/>
      </c>
      <c r="P824" s="3">
        <f>IF(ISNUMBER(AVERAGE('20250815_ETF_Options_Exhibits'!P820:P824)),AVERAGE('20250815_ETF_Options_Exhibits'!P820:P824),"")</f>
        <v/>
      </c>
      <c r="Q824" s="3">
        <f>IF(ISNUMBER(AVERAGE('20250815_ETF_Options_Exhibits'!Q820:Q824)),AVERAGE('20250815_ETF_Options_Exhibits'!Q820:Q824),"")</f>
        <v/>
      </c>
      <c r="R824" s="3">
        <f>IF(ISNUMBER(AVERAGE('20250815_ETF_Options_Exhibits'!R820:R824)),AVERAGE('20250815_ETF_Options_Exhibits'!R820:R824),"")</f>
        <v/>
      </c>
      <c r="S824" s="3">
        <f>IF(ISNUMBER(AVERAGE('20250815_ETF_Options_Exhibits'!S820:S824)),AVERAGE('20250815_ETF_Options_Exhibits'!S820:S824),"")</f>
        <v/>
      </c>
      <c r="T824" s="3">
        <f>IF(ISNUMBER(AVERAGE('20250815_ETF_Options_Exhibits'!T820:T824)),AVERAGE('20250815_ETF_Options_Exhibits'!T820:T824),"")</f>
        <v/>
      </c>
      <c r="U824" s="3">
        <f>IF(ISNUMBER(AVERAGE('20250815_ETF_Options_Exhibits'!U820:U824)),AVERAGE('20250815_ETF_Options_Exhibits'!U820:U824),"")</f>
        <v/>
      </c>
      <c r="V824" s="3">
        <f>IF(ISNUMBER(AVERAGE('20250815_ETF_Options_Exhibits'!V820:V824)),AVERAGE('20250815_ETF_Options_Exhibits'!V820:V824),"")</f>
        <v/>
      </c>
      <c r="W824" s="3">
        <f>IF(ISNUMBER(AVERAGE('20250815_ETF_Options_Exhibits'!W820:W824)),AVERAGE('20250815_ETF_Options_Exhibits'!W820:W824),"")</f>
        <v/>
      </c>
      <c r="X824" s="3">
        <f>IF(ISNUMBER(AVERAGE('20250815_ETF_Options_Exhibits'!X820:X824)),AVERAGE('20250815_ETF_Options_Exhibits'!X820:X824),"")</f>
        <v/>
      </c>
      <c r="Y824" s="3">
        <f>IF(ISNUMBER(AVERAGE('20250815_ETF_Options_Exhibits'!Y820:Y824)),AVERAGE('20250815_ETF_Options_Exhibits'!Y820:Y824),"")</f>
        <v/>
      </c>
      <c r="Z824" s="3">
        <f>IF(ISNUMBER(AVERAGE('20250815_ETF_Options_Exhibits'!Z820:Z824)),AVERAGE('20250815_ETF_Options_Exhibits'!Z820:Z824),"")</f>
        <v/>
      </c>
      <c r="AA824" s="3">
        <f>IF(ISNUMBER(AVERAGE('20250815_ETF_Options_Exhibits'!AA820:AA824)),AVERAGE('20250815_ETF_Options_Exhibits'!AA820:AA824),"")</f>
        <v/>
      </c>
    </row>
    <row r="825">
      <c r="A825" s="1" t="n">
        <v>43201</v>
      </c>
      <c r="B825" s="3">
        <f>IF(ISNUMBER(AVERAGE('20250815_ETF_Options_Exhibits'!B821:B825)),AVERAGE('20250815_ETF_Options_Exhibits'!B821:B825),"")</f>
        <v/>
      </c>
      <c r="C825" s="3">
        <f>IF(ISNUMBER(AVERAGE('20250815_ETF_Options_Exhibits'!C821:C825)),AVERAGE('20250815_ETF_Options_Exhibits'!C821:C825),"")</f>
        <v/>
      </c>
      <c r="D825" s="3">
        <f>IF(ISNUMBER(AVERAGE('20250815_ETF_Options_Exhibits'!D821:D825)),AVERAGE('20250815_ETF_Options_Exhibits'!D821:D825),"")</f>
        <v/>
      </c>
      <c r="E825" s="3">
        <f>IF(ISNUMBER(AVERAGE('20250815_ETF_Options_Exhibits'!E821:E825)),AVERAGE('20250815_ETF_Options_Exhibits'!E821:E825),"")</f>
        <v/>
      </c>
      <c r="F825" s="3">
        <f>IF(ISNUMBER(AVERAGE('20250815_ETF_Options_Exhibits'!F821:F825)),AVERAGE('20250815_ETF_Options_Exhibits'!F821:F825),"")</f>
        <v/>
      </c>
      <c r="G825" s="3">
        <f>IF(ISNUMBER(AVERAGE('20250815_ETF_Options_Exhibits'!G821:G825)),AVERAGE('20250815_ETF_Options_Exhibits'!G821:G825),"")</f>
        <v/>
      </c>
      <c r="H825" s="3">
        <f>IF(ISNUMBER(AVERAGE('20250815_ETF_Options_Exhibits'!H821:H825)),AVERAGE('20250815_ETF_Options_Exhibits'!H821:H825),"")</f>
        <v/>
      </c>
      <c r="I825" s="3">
        <f>IF(ISNUMBER(AVERAGE('20250815_ETF_Options_Exhibits'!I821:I825)),AVERAGE('20250815_ETF_Options_Exhibits'!I821:I825),"")</f>
        <v/>
      </c>
      <c r="J825" s="3">
        <f>IF(ISNUMBER(AVERAGE('20250815_ETF_Options_Exhibits'!J821:J825)),AVERAGE('20250815_ETF_Options_Exhibits'!J821:J825),"")</f>
        <v/>
      </c>
      <c r="K825" s="3">
        <f>IF(ISNUMBER(AVERAGE('20250815_ETF_Options_Exhibits'!K821:K825)),AVERAGE('20250815_ETF_Options_Exhibits'!K821:K825),"")</f>
        <v/>
      </c>
      <c r="L825" s="3">
        <f>IF(ISNUMBER(AVERAGE('20250815_ETF_Options_Exhibits'!L821:L825)),AVERAGE('20250815_ETF_Options_Exhibits'!L821:L825),"")</f>
        <v/>
      </c>
      <c r="M825" s="3">
        <f>IF(ISNUMBER(AVERAGE('20250815_ETF_Options_Exhibits'!M821:M825)),AVERAGE('20250815_ETF_Options_Exhibits'!M821:M825),"")</f>
        <v/>
      </c>
      <c r="N825" s="3">
        <f>IF(ISNUMBER(AVERAGE('20250815_ETF_Options_Exhibits'!N821:N825)),AVERAGE('20250815_ETF_Options_Exhibits'!N821:N825),"")</f>
        <v/>
      </c>
      <c r="O825" s="3">
        <f>IF(ISNUMBER(AVERAGE('20250815_ETF_Options_Exhibits'!O821:O825)),AVERAGE('20250815_ETF_Options_Exhibits'!O821:O825),"")</f>
        <v/>
      </c>
      <c r="P825" s="3">
        <f>IF(ISNUMBER(AVERAGE('20250815_ETF_Options_Exhibits'!P821:P825)),AVERAGE('20250815_ETF_Options_Exhibits'!P821:P825),"")</f>
        <v/>
      </c>
      <c r="Q825" s="3">
        <f>IF(ISNUMBER(AVERAGE('20250815_ETF_Options_Exhibits'!Q821:Q825)),AVERAGE('20250815_ETF_Options_Exhibits'!Q821:Q825),"")</f>
        <v/>
      </c>
      <c r="R825" s="3">
        <f>IF(ISNUMBER(AVERAGE('20250815_ETF_Options_Exhibits'!R821:R825)),AVERAGE('20250815_ETF_Options_Exhibits'!R821:R825),"")</f>
        <v/>
      </c>
      <c r="S825" s="3">
        <f>IF(ISNUMBER(AVERAGE('20250815_ETF_Options_Exhibits'!S821:S825)),AVERAGE('20250815_ETF_Options_Exhibits'!S821:S825),"")</f>
        <v/>
      </c>
      <c r="T825" s="3">
        <f>IF(ISNUMBER(AVERAGE('20250815_ETF_Options_Exhibits'!T821:T825)),AVERAGE('20250815_ETF_Options_Exhibits'!T821:T825),"")</f>
        <v/>
      </c>
      <c r="U825" s="3">
        <f>IF(ISNUMBER(AVERAGE('20250815_ETF_Options_Exhibits'!U821:U825)),AVERAGE('20250815_ETF_Options_Exhibits'!U821:U825),"")</f>
        <v/>
      </c>
      <c r="V825" s="3">
        <f>IF(ISNUMBER(AVERAGE('20250815_ETF_Options_Exhibits'!V821:V825)),AVERAGE('20250815_ETF_Options_Exhibits'!V821:V825),"")</f>
        <v/>
      </c>
      <c r="W825" s="3">
        <f>IF(ISNUMBER(AVERAGE('20250815_ETF_Options_Exhibits'!W821:W825)),AVERAGE('20250815_ETF_Options_Exhibits'!W821:W825),"")</f>
        <v/>
      </c>
      <c r="X825" s="3">
        <f>IF(ISNUMBER(AVERAGE('20250815_ETF_Options_Exhibits'!X821:X825)),AVERAGE('20250815_ETF_Options_Exhibits'!X821:X825),"")</f>
        <v/>
      </c>
      <c r="Y825" s="3">
        <f>IF(ISNUMBER(AVERAGE('20250815_ETF_Options_Exhibits'!Y821:Y825)),AVERAGE('20250815_ETF_Options_Exhibits'!Y821:Y825),"")</f>
        <v/>
      </c>
      <c r="Z825" s="3">
        <f>IF(ISNUMBER(AVERAGE('20250815_ETF_Options_Exhibits'!Z821:Z825)),AVERAGE('20250815_ETF_Options_Exhibits'!Z821:Z825),"")</f>
        <v/>
      </c>
      <c r="AA825" s="3">
        <f>IF(ISNUMBER(AVERAGE('20250815_ETF_Options_Exhibits'!AA821:AA825)),AVERAGE('20250815_ETF_Options_Exhibits'!AA821:AA825),"")</f>
        <v/>
      </c>
    </row>
    <row r="826">
      <c r="A826" s="1" t="n">
        <v>43202</v>
      </c>
      <c r="B826" s="3">
        <f>IF(ISNUMBER(AVERAGE('20250815_ETF_Options_Exhibits'!B822:B826)),AVERAGE('20250815_ETF_Options_Exhibits'!B822:B826),"")</f>
        <v/>
      </c>
      <c r="C826" s="3">
        <f>IF(ISNUMBER(AVERAGE('20250815_ETF_Options_Exhibits'!C822:C826)),AVERAGE('20250815_ETF_Options_Exhibits'!C822:C826),"")</f>
        <v/>
      </c>
      <c r="D826" s="3">
        <f>IF(ISNUMBER(AVERAGE('20250815_ETF_Options_Exhibits'!D822:D826)),AVERAGE('20250815_ETF_Options_Exhibits'!D822:D826),"")</f>
        <v/>
      </c>
      <c r="E826" s="3">
        <f>IF(ISNUMBER(AVERAGE('20250815_ETF_Options_Exhibits'!E822:E826)),AVERAGE('20250815_ETF_Options_Exhibits'!E822:E826),"")</f>
        <v/>
      </c>
      <c r="F826" s="3">
        <f>IF(ISNUMBER(AVERAGE('20250815_ETF_Options_Exhibits'!F822:F826)),AVERAGE('20250815_ETF_Options_Exhibits'!F822:F826),"")</f>
        <v/>
      </c>
      <c r="G826" s="3">
        <f>IF(ISNUMBER(AVERAGE('20250815_ETF_Options_Exhibits'!G822:G826)),AVERAGE('20250815_ETF_Options_Exhibits'!G822:G826),"")</f>
        <v/>
      </c>
      <c r="H826" s="3">
        <f>IF(ISNUMBER(AVERAGE('20250815_ETF_Options_Exhibits'!H822:H826)),AVERAGE('20250815_ETF_Options_Exhibits'!H822:H826),"")</f>
        <v/>
      </c>
      <c r="I826" s="3">
        <f>IF(ISNUMBER(AVERAGE('20250815_ETF_Options_Exhibits'!I822:I826)),AVERAGE('20250815_ETF_Options_Exhibits'!I822:I826),"")</f>
        <v/>
      </c>
      <c r="J826" s="3">
        <f>IF(ISNUMBER(AVERAGE('20250815_ETF_Options_Exhibits'!J822:J826)),AVERAGE('20250815_ETF_Options_Exhibits'!J822:J826),"")</f>
        <v/>
      </c>
      <c r="K826" s="3">
        <f>IF(ISNUMBER(AVERAGE('20250815_ETF_Options_Exhibits'!K822:K826)),AVERAGE('20250815_ETF_Options_Exhibits'!K822:K826),"")</f>
        <v/>
      </c>
      <c r="L826" s="3">
        <f>IF(ISNUMBER(AVERAGE('20250815_ETF_Options_Exhibits'!L822:L826)),AVERAGE('20250815_ETF_Options_Exhibits'!L822:L826),"")</f>
        <v/>
      </c>
      <c r="M826" s="3">
        <f>IF(ISNUMBER(AVERAGE('20250815_ETF_Options_Exhibits'!M822:M826)),AVERAGE('20250815_ETF_Options_Exhibits'!M822:M826),"")</f>
        <v/>
      </c>
      <c r="N826" s="3">
        <f>IF(ISNUMBER(AVERAGE('20250815_ETF_Options_Exhibits'!N822:N826)),AVERAGE('20250815_ETF_Options_Exhibits'!N822:N826),"")</f>
        <v/>
      </c>
      <c r="O826" s="3">
        <f>IF(ISNUMBER(AVERAGE('20250815_ETF_Options_Exhibits'!O822:O826)),AVERAGE('20250815_ETF_Options_Exhibits'!O822:O826),"")</f>
        <v/>
      </c>
      <c r="P826" s="3">
        <f>IF(ISNUMBER(AVERAGE('20250815_ETF_Options_Exhibits'!P822:P826)),AVERAGE('20250815_ETF_Options_Exhibits'!P822:P826),"")</f>
        <v/>
      </c>
      <c r="Q826" s="3">
        <f>IF(ISNUMBER(AVERAGE('20250815_ETF_Options_Exhibits'!Q822:Q826)),AVERAGE('20250815_ETF_Options_Exhibits'!Q822:Q826),"")</f>
        <v/>
      </c>
      <c r="R826" s="3">
        <f>IF(ISNUMBER(AVERAGE('20250815_ETF_Options_Exhibits'!R822:R826)),AVERAGE('20250815_ETF_Options_Exhibits'!R822:R826),"")</f>
        <v/>
      </c>
      <c r="S826" s="3">
        <f>IF(ISNUMBER(AVERAGE('20250815_ETF_Options_Exhibits'!S822:S826)),AVERAGE('20250815_ETF_Options_Exhibits'!S822:S826),"")</f>
        <v/>
      </c>
      <c r="T826" s="3">
        <f>IF(ISNUMBER(AVERAGE('20250815_ETF_Options_Exhibits'!T822:T826)),AVERAGE('20250815_ETF_Options_Exhibits'!T822:T826),"")</f>
        <v/>
      </c>
      <c r="U826" s="3">
        <f>IF(ISNUMBER(AVERAGE('20250815_ETF_Options_Exhibits'!U822:U826)),AVERAGE('20250815_ETF_Options_Exhibits'!U822:U826),"")</f>
        <v/>
      </c>
      <c r="V826" s="3">
        <f>IF(ISNUMBER(AVERAGE('20250815_ETF_Options_Exhibits'!V822:V826)),AVERAGE('20250815_ETF_Options_Exhibits'!V822:V826),"")</f>
        <v/>
      </c>
      <c r="W826" s="3">
        <f>IF(ISNUMBER(AVERAGE('20250815_ETF_Options_Exhibits'!W822:W826)),AVERAGE('20250815_ETF_Options_Exhibits'!W822:W826),"")</f>
        <v/>
      </c>
      <c r="X826" s="3">
        <f>IF(ISNUMBER(AVERAGE('20250815_ETF_Options_Exhibits'!X822:X826)),AVERAGE('20250815_ETF_Options_Exhibits'!X822:X826),"")</f>
        <v/>
      </c>
      <c r="Y826" s="3">
        <f>IF(ISNUMBER(AVERAGE('20250815_ETF_Options_Exhibits'!Y822:Y826)),AVERAGE('20250815_ETF_Options_Exhibits'!Y822:Y826),"")</f>
        <v/>
      </c>
      <c r="Z826" s="3">
        <f>IF(ISNUMBER(AVERAGE('20250815_ETF_Options_Exhibits'!Z822:Z826)),AVERAGE('20250815_ETF_Options_Exhibits'!Z822:Z826),"")</f>
        <v/>
      </c>
      <c r="AA826" s="3">
        <f>IF(ISNUMBER(AVERAGE('20250815_ETF_Options_Exhibits'!AA822:AA826)),AVERAGE('20250815_ETF_Options_Exhibits'!AA822:AA826),"")</f>
        <v/>
      </c>
    </row>
    <row r="827">
      <c r="A827" s="1" t="n">
        <v>43203</v>
      </c>
      <c r="B827" s="3">
        <f>IF(ISNUMBER(AVERAGE('20250815_ETF_Options_Exhibits'!B823:B827)),AVERAGE('20250815_ETF_Options_Exhibits'!B823:B827),"")</f>
        <v/>
      </c>
      <c r="C827" s="3">
        <f>IF(ISNUMBER(AVERAGE('20250815_ETF_Options_Exhibits'!C823:C827)),AVERAGE('20250815_ETF_Options_Exhibits'!C823:C827),"")</f>
        <v/>
      </c>
      <c r="D827" s="3">
        <f>IF(ISNUMBER(AVERAGE('20250815_ETF_Options_Exhibits'!D823:D827)),AVERAGE('20250815_ETF_Options_Exhibits'!D823:D827),"")</f>
        <v/>
      </c>
      <c r="E827" s="3">
        <f>IF(ISNUMBER(AVERAGE('20250815_ETF_Options_Exhibits'!E823:E827)),AVERAGE('20250815_ETF_Options_Exhibits'!E823:E827),"")</f>
        <v/>
      </c>
      <c r="F827" s="3">
        <f>IF(ISNUMBER(AVERAGE('20250815_ETF_Options_Exhibits'!F823:F827)),AVERAGE('20250815_ETF_Options_Exhibits'!F823:F827),"")</f>
        <v/>
      </c>
      <c r="G827" s="3">
        <f>IF(ISNUMBER(AVERAGE('20250815_ETF_Options_Exhibits'!G823:G827)),AVERAGE('20250815_ETF_Options_Exhibits'!G823:G827),"")</f>
        <v/>
      </c>
      <c r="H827" s="3">
        <f>IF(ISNUMBER(AVERAGE('20250815_ETF_Options_Exhibits'!H823:H827)),AVERAGE('20250815_ETF_Options_Exhibits'!H823:H827),"")</f>
        <v/>
      </c>
      <c r="I827" s="3">
        <f>IF(ISNUMBER(AVERAGE('20250815_ETF_Options_Exhibits'!I823:I827)),AVERAGE('20250815_ETF_Options_Exhibits'!I823:I827),"")</f>
        <v/>
      </c>
      <c r="J827" s="3">
        <f>IF(ISNUMBER(AVERAGE('20250815_ETF_Options_Exhibits'!J823:J827)),AVERAGE('20250815_ETF_Options_Exhibits'!J823:J827),"")</f>
        <v/>
      </c>
      <c r="K827" s="3">
        <f>IF(ISNUMBER(AVERAGE('20250815_ETF_Options_Exhibits'!K823:K827)),AVERAGE('20250815_ETF_Options_Exhibits'!K823:K827),"")</f>
        <v/>
      </c>
      <c r="L827" s="3">
        <f>IF(ISNUMBER(AVERAGE('20250815_ETF_Options_Exhibits'!L823:L827)),AVERAGE('20250815_ETF_Options_Exhibits'!L823:L827),"")</f>
        <v/>
      </c>
      <c r="M827" s="3">
        <f>IF(ISNUMBER(AVERAGE('20250815_ETF_Options_Exhibits'!M823:M827)),AVERAGE('20250815_ETF_Options_Exhibits'!M823:M827),"")</f>
        <v/>
      </c>
      <c r="N827" s="3">
        <f>IF(ISNUMBER(AVERAGE('20250815_ETF_Options_Exhibits'!N823:N827)),AVERAGE('20250815_ETF_Options_Exhibits'!N823:N827),"")</f>
        <v/>
      </c>
      <c r="O827" s="3">
        <f>IF(ISNUMBER(AVERAGE('20250815_ETF_Options_Exhibits'!O823:O827)),AVERAGE('20250815_ETF_Options_Exhibits'!O823:O827),"")</f>
        <v/>
      </c>
      <c r="P827" s="3">
        <f>IF(ISNUMBER(AVERAGE('20250815_ETF_Options_Exhibits'!P823:P827)),AVERAGE('20250815_ETF_Options_Exhibits'!P823:P827),"")</f>
        <v/>
      </c>
      <c r="Q827" s="3">
        <f>IF(ISNUMBER(AVERAGE('20250815_ETF_Options_Exhibits'!Q823:Q827)),AVERAGE('20250815_ETF_Options_Exhibits'!Q823:Q827),"")</f>
        <v/>
      </c>
      <c r="R827" s="3">
        <f>IF(ISNUMBER(AVERAGE('20250815_ETF_Options_Exhibits'!R823:R827)),AVERAGE('20250815_ETF_Options_Exhibits'!R823:R827),"")</f>
        <v/>
      </c>
      <c r="S827" s="3">
        <f>IF(ISNUMBER(AVERAGE('20250815_ETF_Options_Exhibits'!S823:S827)),AVERAGE('20250815_ETF_Options_Exhibits'!S823:S827),"")</f>
        <v/>
      </c>
      <c r="T827" s="3">
        <f>IF(ISNUMBER(AVERAGE('20250815_ETF_Options_Exhibits'!T823:T827)),AVERAGE('20250815_ETF_Options_Exhibits'!T823:T827),"")</f>
        <v/>
      </c>
      <c r="U827" s="3">
        <f>IF(ISNUMBER(AVERAGE('20250815_ETF_Options_Exhibits'!U823:U827)),AVERAGE('20250815_ETF_Options_Exhibits'!U823:U827),"")</f>
        <v/>
      </c>
      <c r="V827" s="3">
        <f>IF(ISNUMBER(AVERAGE('20250815_ETF_Options_Exhibits'!V823:V827)),AVERAGE('20250815_ETF_Options_Exhibits'!V823:V827),"")</f>
        <v/>
      </c>
      <c r="W827" s="3">
        <f>IF(ISNUMBER(AVERAGE('20250815_ETF_Options_Exhibits'!W823:W827)),AVERAGE('20250815_ETF_Options_Exhibits'!W823:W827),"")</f>
        <v/>
      </c>
      <c r="X827" s="3">
        <f>IF(ISNUMBER(AVERAGE('20250815_ETF_Options_Exhibits'!X823:X827)),AVERAGE('20250815_ETF_Options_Exhibits'!X823:X827),"")</f>
        <v/>
      </c>
      <c r="Y827" s="3">
        <f>IF(ISNUMBER(AVERAGE('20250815_ETF_Options_Exhibits'!Y823:Y827)),AVERAGE('20250815_ETF_Options_Exhibits'!Y823:Y827),"")</f>
        <v/>
      </c>
      <c r="Z827" s="3">
        <f>IF(ISNUMBER(AVERAGE('20250815_ETF_Options_Exhibits'!Z823:Z827)),AVERAGE('20250815_ETF_Options_Exhibits'!Z823:Z827),"")</f>
        <v/>
      </c>
      <c r="AA827" s="3">
        <f>IF(ISNUMBER(AVERAGE('20250815_ETF_Options_Exhibits'!AA823:AA827)),AVERAGE('20250815_ETF_Options_Exhibits'!AA823:AA827),"")</f>
        <v/>
      </c>
    </row>
    <row r="828">
      <c r="A828" s="1" t="n">
        <v>43206</v>
      </c>
      <c r="B828" s="3">
        <f>IF(ISNUMBER(AVERAGE('20250815_ETF_Options_Exhibits'!B824:B828)),AVERAGE('20250815_ETF_Options_Exhibits'!B824:B828),"")</f>
        <v/>
      </c>
      <c r="C828" s="3">
        <f>IF(ISNUMBER(AVERAGE('20250815_ETF_Options_Exhibits'!C824:C828)),AVERAGE('20250815_ETF_Options_Exhibits'!C824:C828),"")</f>
        <v/>
      </c>
      <c r="D828" s="3">
        <f>IF(ISNUMBER(AVERAGE('20250815_ETF_Options_Exhibits'!D824:D828)),AVERAGE('20250815_ETF_Options_Exhibits'!D824:D828),"")</f>
        <v/>
      </c>
      <c r="E828" s="3">
        <f>IF(ISNUMBER(AVERAGE('20250815_ETF_Options_Exhibits'!E824:E828)),AVERAGE('20250815_ETF_Options_Exhibits'!E824:E828),"")</f>
        <v/>
      </c>
      <c r="F828" s="3">
        <f>IF(ISNUMBER(AVERAGE('20250815_ETF_Options_Exhibits'!F824:F828)),AVERAGE('20250815_ETF_Options_Exhibits'!F824:F828),"")</f>
        <v/>
      </c>
      <c r="G828" s="3">
        <f>IF(ISNUMBER(AVERAGE('20250815_ETF_Options_Exhibits'!G824:G828)),AVERAGE('20250815_ETF_Options_Exhibits'!G824:G828),"")</f>
        <v/>
      </c>
      <c r="H828" s="3">
        <f>IF(ISNUMBER(AVERAGE('20250815_ETF_Options_Exhibits'!H824:H828)),AVERAGE('20250815_ETF_Options_Exhibits'!H824:H828),"")</f>
        <v/>
      </c>
      <c r="I828" s="3">
        <f>IF(ISNUMBER(AVERAGE('20250815_ETF_Options_Exhibits'!I824:I828)),AVERAGE('20250815_ETF_Options_Exhibits'!I824:I828),"")</f>
        <v/>
      </c>
      <c r="J828" s="3">
        <f>IF(ISNUMBER(AVERAGE('20250815_ETF_Options_Exhibits'!J824:J828)),AVERAGE('20250815_ETF_Options_Exhibits'!J824:J828),"")</f>
        <v/>
      </c>
      <c r="K828" s="3">
        <f>IF(ISNUMBER(AVERAGE('20250815_ETF_Options_Exhibits'!K824:K828)),AVERAGE('20250815_ETF_Options_Exhibits'!K824:K828),"")</f>
        <v/>
      </c>
      <c r="L828" s="3">
        <f>IF(ISNUMBER(AVERAGE('20250815_ETF_Options_Exhibits'!L824:L828)),AVERAGE('20250815_ETF_Options_Exhibits'!L824:L828),"")</f>
        <v/>
      </c>
      <c r="M828" s="3">
        <f>IF(ISNUMBER(AVERAGE('20250815_ETF_Options_Exhibits'!M824:M828)),AVERAGE('20250815_ETF_Options_Exhibits'!M824:M828),"")</f>
        <v/>
      </c>
      <c r="N828" s="3">
        <f>IF(ISNUMBER(AVERAGE('20250815_ETF_Options_Exhibits'!N824:N828)),AVERAGE('20250815_ETF_Options_Exhibits'!N824:N828),"")</f>
        <v/>
      </c>
      <c r="O828" s="3">
        <f>IF(ISNUMBER(AVERAGE('20250815_ETF_Options_Exhibits'!O824:O828)),AVERAGE('20250815_ETF_Options_Exhibits'!O824:O828),"")</f>
        <v/>
      </c>
      <c r="P828" s="3">
        <f>IF(ISNUMBER(AVERAGE('20250815_ETF_Options_Exhibits'!P824:P828)),AVERAGE('20250815_ETF_Options_Exhibits'!P824:P828),"")</f>
        <v/>
      </c>
      <c r="Q828" s="3">
        <f>IF(ISNUMBER(AVERAGE('20250815_ETF_Options_Exhibits'!Q824:Q828)),AVERAGE('20250815_ETF_Options_Exhibits'!Q824:Q828),"")</f>
        <v/>
      </c>
      <c r="R828" s="3">
        <f>IF(ISNUMBER(AVERAGE('20250815_ETF_Options_Exhibits'!R824:R828)),AVERAGE('20250815_ETF_Options_Exhibits'!R824:R828),"")</f>
        <v/>
      </c>
      <c r="S828" s="3">
        <f>IF(ISNUMBER(AVERAGE('20250815_ETF_Options_Exhibits'!S824:S828)),AVERAGE('20250815_ETF_Options_Exhibits'!S824:S828),"")</f>
        <v/>
      </c>
      <c r="T828" s="3">
        <f>IF(ISNUMBER(AVERAGE('20250815_ETF_Options_Exhibits'!T824:T828)),AVERAGE('20250815_ETF_Options_Exhibits'!T824:T828),"")</f>
        <v/>
      </c>
      <c r="U828" s="3">
        <f>IF(ISNUMBER(AVERAGE('20250815_ETF_Options_Exhibits'!U824:U828)),AVERAGE('20250815_ETF_Options_Exhibits'!U824:U828),"")</f>
        <v/>
      </c>
      <c r="V828" s="3">
        <f>IF(ISNUMBER(AVERAGE('20250815_ETF_Options_Exhibits'!V824:V828)),AVERAGE('20250815_ETF_Options_Exhibits'!V824:V828),"")</f>
        <v/>
      </c>
      <c r="W828" s="3">
        <f>IF(ISNUMBER(AVERAGE('20250815_ETF_Options_Exhibits'!W824:W828)),AVERAGE('20250815_ETF_Options_Exhibits'!W824:W828),"")</f>
        <v/>
      </c>
      <c r="X828" s="3">
        <f>IF(ISNUMBER(AVERAGE('20250815_ETF_Options_Exhibits'!X824:X828)),AVERAGE('20250815_ETF_Options_Exhibits'!X824:X828),"")</f>
        <v/>
      </c>
      <c r="Y828" s="3">
        <f>IF(ISNUMBER(AVERAGE('20250815_ETF_Options_Exhibits'!Y824:Y828)),AVERAGE('20250815_ETF_Options_Exhibits'!Y824:Y828),"")</f>
        <v/>
      </c>
      <c r="Z828" s="3">
        <f>IF(ISNUMBER(AVERAGE('20250815_ETF_Options_Exhibits'!Z824:Z828)),AVERAGE('20250815_ETF_Options_Exhibits'!Z824:Z828),"")</f>
        <v/>
      </c>
      <c r="AA828" s="3">
        <f>IF(ISNUMBER(AVERAGE('20250815_ETF_Options_Exhibits'!AA824:AA828)),AVERAGE('20250815_ETF_Options_Exhibits'!AA824:AA828),"")</f>
        <v/>
      </c>
    </row>
    <row r="829">
      <c r="A829" s="1" t="n">
        <v>43207</v>
      </c>
      <c r="B829" s="3">
        <f>IF(ISNUMBER(AVERAGE('20250815_ETF_Options_Exhibits'!B825:B829)),AVERAGE('20250815_ETF_Options_Exhibits'!B825:B829),"")</f>
        <v/>
      </c>
      <c r="C829" s="3">
        <f>IF(ISNUMBER(AVERAGE('20250815_ETF_Options_Exhibits'!C825:C829)),AVERAGE('20250815_ETF_Options_Exhibits'!C825:C829),"")</f>
        <v/>
      </c>
      <c r="D829" s="3">
        <f>IF(ISNUMBER(AVERAGE('20250815_ETF_Options_Exhibits'!D825:D829)),AVERAGE('20250815_ETF_Options_Exhibits'!D825:D829),"")</f>
        <v/>
      </c>
      <c r="E829" s="3">
        <f>IF(ISNUMBER(AVERAGE('20250815_ETF_Options_Exhibits'!E825:E829)),AVERAGE('20250815_ETF_Options_Exhibits'!E825:E829),"")</f>
        <v/>
      </c>
      <c r="F829" s="3">
        <f>IF(ISNUMBER(AVERAGE('20250815_ETF_Options_Exhibits'!F825:F829)),AVERAGE('20250815_ETF_Options_Exhibits'!F825:F829),"")</f>
        <v/>
      </c>
      <c r="G829" s="3">
        <f>IF(ISNUMBER(AVERAGE('20250815_ETF_Options_Exhibits'!G825:G829)),AVERAGE('20250815_ETF_Options_Exhibits'!G825:G829),"")</f>
        <v/>
      </c>
      <c r="H829" s="3">
        <f>IF(ISNUMBER(AVERAGE('20250815_ETF_Options_Exhibits'!H825:H829)),AVERAGE('20250815_ETF_Options_Exhibits'!H825:H829),"")</f>
        <v/>
      </c>
      <c r="I829" s="3">
        <f>IF(ISNUMBER(AVERAGE('20250815_ETF_Options_Exhibits'!I825:I829)),AVERAGE('20250815_ETF_Options_Exhibits'!I825:I829),"")</f>
        <v/>
      </c>
      <c r="J829" s="3">
        <f>IF(ISNUMBER(AVERAGE('20250815_ETF_Options_Exhibits'!J825:J829)),AVERAGE('20250815_ETF_Options_Exhibits'!J825:J829),"")</f>
        <v/>
      </c>
      <c r="K829" s="3">
        <f>IF(ISNUMBER(AVERAGE('20250815_ETF_Options_Exhibits'!K825:K829)),AVERAGE('20250815_ETF_Options_Exhibits'!K825:K829),"")</f>
        <v/>
      </c>
      <c r="L829" s="3">
        <f>IF(ISNUMBER(AVERAGE('20250815_ETF_Options_Exhibits'!L825:L829)),AVERAGE('20250815_ETF_Options_Exhibits'!L825:L829),"")</f>
        <v/>
      </c>
      <c r="M829" s="3">
        <f>IF(ISNUMBER(AVERAGE('20250815_ETF_Options_Exhibits'!M825:M829)),AVERAGE('20250815_ETF_Options_Exhibits'!M825:M829),"")</f>
        <v/>
      </c>
      <c r="N829" s="3">
        <f>IF(ISNUMBER(AVERAGE('20250815_ETF_Options_Exhibits'!N825:N829)),AVERAGE('20250815_ETF_Options_Exhibits'!N825:N829),"")</f>
        <v/>
      </c>
      <c r="O829" s="3">
        <f>IF(ISNUMBER(AVERAGE('20250815_ETF_Options_Exhibits'!O825:O829)),AVERAGE('20250815_ETF_Options_Exhibits'!O825:O829),"")</f>
        <v/>
      </c>
      <c r="P829" s="3">
        <f>IF(ISNUMBER(AVERAGE('20250815_ETF_Options_Exhibits'!P825:P829)),AVERAGE('20250815_ETF_Options_Exhibits'!P825:P829),"")</f>
        <v/>
      </c>
      <c r="Q829" s="3">
        <f>IF(ISNUMBER(AVERAGE('20250815_ETF_Options_Exhibits'!Q825:Q829)),AVERAGE('20250815_ETF_Options_Exhibits'!Q825:Q829),"")</f>
        <v/>
      </c>
      <c r="R829" s="3">
        <f>IF(ISNUMBER(AVERAGE('20250815_ETF_Options_Exhibits'!R825:R829)),AVERAGE('20250815_ETF_Options_Exhibits'!R825:R829),"")</f>
        <v/>
      </c>
      <c r="S829" s="3">
        <f>IF(ISNUMBER(AVERAGE('20250815_ETF_Options_Exhibits'!S825:S829)),AVERAGE('20250815_ETF_Options_Exhibits'!S825:S829),"")</f>
        <v/>
      </c>
      <c r="T829" s="3">
        <f>IF(ISNUMBER(AVERAGE('20250815_ETF_Options_Exhibits'!T825:T829)),AVERAGE('20250815_ETF_Options_Exhibits'!T825:T829),"")</f>
        <v/>
      </c>
      <c r="U829" s="3">
        <f>IF(ISNUMBER(AVERAGE('20250815_ETF_Options_Exhibits'!U825:U829)),AVERAGE('20250815_ETF_Options_Exhibits'!U825:U829),"")</f>
        <v/>
      </c>
      <c r="V829" s="3">
        <f>IF(ISNUMBER(AVERAGE('20250815_ETF_Options_Exhibits'!V825:V829)),AVERAGE('20250815_ETF_Options_Exhibits'!V825:V829),"")</f>
        <v/>
      </c>
      <c r="W829" s="3">
        <f>IF(ISNUMBER(AVERAGE('20250815_ETF_Options_Exhibits'!W825:W829)),AVERAGE('20250815_ETF_Options_Exhibits'!W825:W829),"")</f>
        <v/>
      </c>
      <c r="X829" s="3">
        <f>IF(ISNUMBER(AVERAGE('20250815_ETF_Options_Exhibits'!X825:X829)),AVERAGE('20250815_ETF_Options_Exhibits'!X825:X829),"")</f>
        <v/>
      </c>
      <c r="Y829" s="3">
        <f>IF(ISNUMBER(AVERAGE('20250815_ETF_Options_Exhibits'!Y825:Y829)),AVERAGE('20250815_ETF_Options_Exhibits'!Y825:Y829),"")</f>
        <v/>
      </c>
      <c r="Z829" s="3">
        <f>IF(ISNUMBER(AVERAGE('20250815_ETF_Options_Exhibits'!Z825:Z829)),AVERAGE('20250815_ETF_Options_Exhibits'!Z825:Z829),"")</f>
        <v/>
      </c>
      <c r="AA829" s="3">
        <f>IF(ISNUMBER(AVERAGE('20250815_ETF_Options_Exhibits'!AA825:AA829)),AVERAGE('20250815_ETF_Options_Exhibits'!AA825:AA829),"")</f>
        <v/>
      </c>
    </row>
    <row r="830">
      <c r="A830" s="1" t="n">
        <v>43208</v>
      </c>
      <c r="B830" s="3">
        <f>IF(ISNUMBER(AVERAGE('20250815_ETF_Options_Exhibits'!B826:B830)),AVERAGE('20250815_ETF_Options_Exhibits'!B826:B830),"")</f>
        <v/>
      </c>
      <c r="C830" s="3">
        <f>IF(ISNUMBER(AVERAGE('20250815_ETF_Options_Exhibits'!C826:C830)),AVERAGE('20250815_ETF_Options_Exhibits'!C826:C830),"")</f>
        <v/>
      </c>
      <c r="D830" s="3">
        <f>IF(ISNUMBER(AVERAGE('20250815_ETF_Options_Exhibits'!D826:D830)),AVERAGE('20250815_ETF_Options_Exhibits'!D826:D830),"")</f>
        <v/>
      </c>
      <c r="E830" s="3">
        <f>IF(ISNUMBER(AVERAGE('20250815_ETF_Options_Exhibits'!E826:E830)),AVERAGE('20250815_ETF_Options_Exhibits'!E826:E830),"")</f>
        <v/>
      </c>
      <c r="F830" s="3">
        <f>IF(ISNUMBER(AVERAGE('20250815_ETF_Options_Exhibits'!F826:F830)),AVERAGE('20250815_ETF_Options_Exhibits'!F826:F830),"")</f>
        <v/>
      </c>
      <c r="G830" s="3">
        <f>IF(ISNUMBER(AVERAGE('20250815_ETF_Options_Exhibits'!G826:G830)),AVERAGE('20250815_ETF_Options_Exhibits'!G826:G830),"")</f>
        <v/>
      </c>
      <c r="H830" s="3">
        <f>IF(ISNUMBER(AVERAGE('20250815_ETF_Options_Exhibits'!H826:H830)),AVERAGE('20250815_ETF_Options_Exhibits'!H826:H830),"")</f>
        <v/>
      </c>
      <c r="I830" s="3">
        <f>IF(ISNUMBER(AVERAGE('20250815_ETF_Options_Exhibits'!I826:I830)),AVERAGE('20250815_ETF_Options_Exhibits'!I826:I830),"")</f>
        <v/>
      </c>
      <c r="J830" s="3">
        <f>IF(ISNUMBER(AVERAGE('20250815_ETF_Options_Exhibits'!J826:J830)),AVERAGE('20250815_ETF_Options_Exhibits'!J826:J830),"")</f>
        <v/>
      </c>
      <c r="K830" s="3">
        <f>IF(ISNUMBER(AVERAGE('20250815_ETF_Options_Exhibits'!K826:K830)),AVERAGE('20250815_ETF_Options_Exhibits'!K826:K830),"")</f>
        <v/>
      </c>
      <c r="L830" s="3">
        <f>IF(ISNUMBER(AVERAGE('20250815_ETF_Options_Exhibits'!L826:L830)),AVERAGE('20250815_ETF_Options_Exhibits'!L826:L830),"")</f>
        <v/>
      </c>
      <c r="M830" s="3">
        <f>IF(ISNUMBER(AVERAGE('20250815_ETF_Options_Exhibits'!M826:M830)),AVERAGE('20250815_ETF_Options_Exhibits'!M826:M830),"")</f>
        <v/>
      </c>
      <c r="N830" s="3">
        <f>IF(ISNUMBER(AVERAGE('20250815_ETF_Options_Exhibits'!N826:N830)),AVERAGE('20250815_ETF_Options_Exhibits'!N826:N830),"")</f>
        <v/>
      </c>
      <c r="O830" s="3">
        <f>IF(ISNUMBER(AVERAGE('20250815_ETF_Options_Exhibits'!O826:O830)),AVERAGE('20250815_ETF_Options_Exhibits'!O826:O830),"")</f>
        <v/>
      </c>
      <c r="P830" s="3">
        <f>IF(ISNUMBER(AVERAGE('20250815_ETF_Options_Exhibits'!P826:P830)),AVERAGE('20250815_ETF_Options_Exhibits'!P826:P830),"")</f>
        <v/>
      </c>
      <c r="Q830" s="3">
        <f>IF(ISNUMBER(AVERAGE('20250815_ETF_Options_Exhibits'!Q826:Q830)),AVERAGE('20250815_ETF_Options_Exhibits'!Q826:Q830),"")</f>
        <v/>
      </c>
      <c r="R830" s="3">
        <f>IF(ISNUMBER(AVERAGE('20250815_ETF_Options_Exhibits'!R826:R830)),AVERAGE('20250815_ETF_Options_Exhibits'!R826:R830),"")</f>
        <v/>
      </c>
      <c r="S830" s="3">
        <f>IF(ISNUMBER(AVERAGE('20250815_ETF_Options_Exhibits'!S826:S830)),AVERAGE('20250815_ETF_Options_Exhibits'!S826:S830),"")</f>
        <v/>
      </c>
      <c r="T830" s="3">
        <f>IF(ISNUMBER(AVERAGE('20250815_ETF_Options_Exhibits'!T826:T830)),AVERAGE('20250815_ETF_Options_Exhibits'!T826:T830),"")</f>
        <v/>
      </c>
      <c r="U830" s="3">
        <f>IF(ISNUMBER(AVERAGE('20250815_ETF_Options_Exhibits'!U826:U830)),AVERAGE('20250815_ETF_Options_Exhibits'!U826:U830),"")</f>
        <v/>
      </c>
      <c r="V830" s="3">
        <f>IF(ISNUMBER(AVERAGE('20250815_ETF_Options_Exhibits'!V826:V830)),AVERAGE('20250815_ETF_Options_Exhibits'!V826:V830),"")</f>
        <v/>
      </c>
      <c r="W830" s="3">
        <f>IF(ISNUMBER(AVERAGE('20250815_ETF_Options_Exhibits'!W826:W830)),AVERAGE('20250815_ETF_Options_Exhibits'!W826:W830),"")</f>
        <v/>
      </c>
      <c r="X830" s="3">
        <f>IF(ISNUMBER(AVERAGE('20250815_ETF_Options_Exhibits'!X826:X830)),AVERAGE('20250815_ETF_Options_Exhibits'!X826:X830),"")</f>
        <v/>
      </c>
      <c r="Y830" s="3">
        <f>IF(ISNUMBER(AVERAGE('20250815_ETF_Options_Exhibits'!Y826:Y830)),AVERAGE('20250815_ETF_Options_Exhibits'!Y826:Y830),"")</f>
        <v/>
      </c>
      <c r="Z830" s="3">
        <f>IF(ISNUMBER(AVERAGE('20250815_ETF_Options_Exhibits'!Z826:Z830)),AVERAGE('20250815_ETF_Options_Exhibits'!Z826:Z830),"")</f>
        <v/>
      </c>
      <c r="AA830" s="3">
        <f>IF(ISNUMBER(AVERAGE('20250815_ETF_Options_Exhibits'!AA826:AA830)),AVERAGE('20250815_ETF_Options_Exhibits'!AA826:AA830),"")</f>
        <v/>
      </c>
    </row>
    <row r="831">
      <c r="A831" s="1" t="n">
        <v>43209</v>
      </c>
      <c r="B831" s="3">
        <f>IF(ISNUMBER(AVERAGE('20250815_ETF_Options_Exhibits'!B827:B831)),AVERAGE('20250815_ETF_Options_Exhibits'!B827:B831),"")</f>
        <v/>
      </c>
      <c r="C831" s="3">
        <f>IF(ISNUMBER(AVERAGE('20250815_ETF_Options_Exhibits'!C827:C831)),AVERAGE('20250815_ETF_Options_Exhibits'!C827:C831),"")</f>
        <v/>
      </c>
      <c r="D831" s="3">
        <f>IF(ISNUMBER(AVERAGE('20250815_ETF_Options_Exhibits'!D827:D831)),AVERAGE('20250815_ETF_Options_Exhibits'!D827:D831),"")</f>
        <v/>
      </c>
      <c r="E831" s="3">
        <f>IF(ISNUMBER(AVERAGE('20250815_ETF_Options_Exhibits'!E827:E831)),AVERAGE('20250815_ETF_Options_Exhibits'!E827:E831),"")</f>
        <v/>
      </c>
      <c r="F831" s="3">
        <f>IF(ISNUMBER(AVERAGE('20250815_ETF_Options_Exhibits'!F827:F831)),AVERAGE('20250815_ETF_Options_Exhibits'!F827:F831),"")</f>
        <v/>
      </c>
      <c r="G831" s="3">
        <f>IF(ISNUMBER(AVERAGE('20250815_ETF_Options_Exhibits'!G827:G831)),AVERAGE('20250815_ETF_Options_Exhibits'!G827:G831),"")</f>
        <v/>
      </c>
      <c r="H831" s="3">
        <f>IF(ISNUMBER(AVERAGE('20250815_ETF_Options_Exhibits'!H827:H831)),AVERAGE('20250815_ETF_Options_Exhibits'!H827:H831),"")</f>
        <v/>
      </c>
      <c r="I831" s="3">
        <f>IF(ISNUMBER(AVERAGE('20250815_ETF_Options_Exhibits'!I827:I831)),AVERAGE('20250815_ETF_Options_Exhibits'!I827:I831),"")</f>
        <v/>
      </c>
      <c r="J831" s="3">
        <f>IF(ISNUMBER(AVERAGE('20250815_ETF_Options_Exhibits'!J827:J831)),AVERAGE('20250815_ETF_Options_Exhibits'!J827:J831),"")</f>
        <v/>
      </c>
      <c r="K831" s="3">
        <f>IF(ISNUMBER(AVERAGE('20250815_ETF_Options_Exhibits'!K827:K831)),AVERAGE('20250815_ETF_Options_Exhibits'!K827:K831),"")</f>
        <v/>
      </c>
      <c r="L831" s="3">
        <f>IF(ISNUMBER(AVERAGE('20250815_ETF_Options_Exhibits'!L827:L831)),AVERAGE('20250815_ETF_Options_Exhibits'!L827:L831),"")</f>
        <v/>
      </c>
      <c r="M831" s="3">
        <f>IF(ISNUMBER(AVERAGE('20250815_ETF_Options_Exhibits'!M827:M831)),AVERAGE('20250815_ETF_Options_Exhibits'!M827:M831),"")</f>
        <v/>
      </c>
      <c r="N831" s="3">
        <f>IF(ISNUMBER(AVERAGE('20250815_ETF_Options_Exhibits'!N827:N831)),AVERAGE('20250815_ETF_Options_Exhibits'!N827:N831),"")</f>
        <v/>
      </c>
      <c r="O831" s="3">
        <f>IF(ISNUMBER(AVERAGE('20250815_ETF_Options_Exhibits'!O827:O831)),AVERAGE('20250815_ETF_Options_Exhibits'!O827:O831),"")</f>
        <v/>
      </c>
      <c r="P831" s="3">
        <f>IF(ISNUMBER(AVERAGE('20250815_ETF_Options_Exhibits'!P827:P831)),AVERAGE('20250815_ETF_Options_Exhibits'!P827:P831),"")</f>
        <v/>
      </c>
      <c r="Q831" s="3">
        <f>IF(ISNUMBER(AVERAGE('20250815_ETF_Options_Exhibits'!Q827:Q831)),AVERAGE('20250815_ETF_Options_Exhibits'!Q827:Q831),"")</f>
        <v/>
      </c>
      <c r="R831" s="3">
        <f>IF(ISNUMBER(AVERAGE('20250815_ETF_Options_Exhibits'!R827:R831)),AVERAGE('20250815_ETF_Options_Exhibits'!R827:R831),"")</f>
        <v/>
      </c>
      <c r="S831" s="3">
        <f>IF(ISNUMBER(AVERAGE('20250815_ETF_Options_Exhibits'!S827:S831)),AVERAGE('20250815_ETF_Options_Exhibits'!S827:S831),"")</f>
        <v/>
      </c>
      <c r="T831" s="3">
        <f>IF(ISNUMBER(AVERAGE('20250815_ETF_Options_Exhibits'!T827:T831)),AVERAGE('20250815_ETF_Options_Exhibits'!T827:T831),"")</f>
        <v/>
      </c>
      <c r="U831" s="3">
        <f>IF(ISNUMBER(AVERAGE('20250815_ETF_Options_Exhibits'!U827:U831)),AVERAGE('20250815_ETF_Options_Exhibits'!U827:U831),"")</f>
        <v/>
      </c>
      <c r="V831" s="3">
        <f>IF(ISNUMBER(AVERAGE('20250815_ETF_Options_Exhibits'!V827:V831)),AVERAGE('20250815_ETF_Options_Exhibits'!V827:V831),"")</f>
        <v/>
      </c>
      <c r="W831" s="3">
        <f>IF(ISNUMBER(AVERAGE('20250815_ETF_Options_Exhibits'!W827:W831)),AVERAGE('20250815_ETF_Options_Exhibits'!W827:W831),"")</f>
        <v/>
      </c>
      <c r="X831" s="3">
        <f>IF(ISNUMBER(AVERAGE('20250815_ETF_Options_Exhibits'!X827:X831)),AVERAGE('20250815_ETF_Options_Exhibits'!X827:X831),"")</f>
        <v/>
      </c>
      <c r="Y831" s="3">
        <f>IF(ISNUMBER(AVERAGE('20250815_ETF_Options_Exhibits'!Y827:Y831)),AVERAGE('20250815_ETF_Options_Exhibits'!Y827:Y831),"")</f>
        <v/>
      </c>
      <c r="Z831" s="3">
        <f>IF(ISNUMBER(AVERAGE('20250815_ETF_Options_Exhibits'!Z827:Z831)),AVERAGE('20250815_ETF_Options_Exhibits'!Z827:Z831),"")</f>
        <v/>
      </c>
      <c r="AA831" s="3">
        <f>IF(ISNUMBER(AVERAGE('20250815_ETF_Options_Exhibits'!AA827:AA831)),AVERAGE('20250815_ETF_Options_Exhibits'!AA827:AA831),"")</f>
        <v/>
      </c>
    </row>
    <row r="832">
      <c r="A832" s="1" t="n">
        <v>43210</v>
      </c>
      <c r="B832" s="3">
        <f>IF(ISNUMBER(AVERAGE('20250815_ETF_Options_Exhibits'!B828:B832)),AVERAGE('20250815_ETF_Options_Exhibits'!B828:B832),"")</f>
        <v/>
      </c>
      <c r="C832" s="3">
        <f>IF(ISNUMBER(AVERAGE('20250815_ETF_Options_Exhibits'!C828:C832)),AVERAGE('20250815_ETF_Options_Exhibits'!C828:C832),"")</f>
        <v/>
      </c>
      <c r="D832" s="3">
        <f>IF(ISNUMBER(AVERAGE('20250815_ETF_Options_Exhibits'!D828:D832)),AVERAGE('20250815_ETF_Options_Exhibits'!D828:D832),"")</f>
        <v/>
      </c>
      <c r="E832" s="3">
        <f>IF(ISNUMBER(AVERAGE('20250815_ETF_Options_Exhibits'!E828:E832)),AVERAGE('20250815_ETF_Options_Exhibits'!E828:E832),"")</f>
        <v/>
      </c>
      <c r="F832" s="3">
        <f>IF(ISNUMBER(AVERAGE('20250815_ETF_Options_Exhibits'!F828:F832)),AVERAGE('20250815_ETF_Options_Exhibits'!F828:F832),"")</f>
        <v/>
      </c>
      <c r="G832" s="3">
        <f>IF(ISNUMBER(AVERAGE('20250815_ETF_Options_Exhibits'!G828:G832)),AVERAGE('20250815_ETF_Options_Exhibits'!G828:G832),"")</f>
        <v/>
      </c>
      <c r="H832" s="3">
        <f>IF(ISNUMBER(AVERAGE('20250815_ETF_Options_Exhibits'!H828:H832)),AVERAGE('20250815_ETF_Options_Exhibits'!H828:H832),"")</f>
        <v/>
      </c>
      <c r="I832" s="3">
        <f>IF(ISNUMBER(AVERAGE('20250815_ETF_Options_Exhibits'!I828:I832)),AVERAGE('20250815_ETF_Options_Exhibits'!I828:I832),"")</f>
        <v/>
      </c>
      <c r="J832" s="3">
        <f>IF(ISNUMBER(AVERAGE('20250815_ETF_Options_Exhibits'!J828:J832)),AVERAGE('20250815_ETF_Options_Exhibits'!J828:J832),"")</f>
        <v/>
      </c>
      <c r="K832" s="3">
        <f>IF(ISNUMBER(AVERAGE('20250815_ETF_Options_Exhibits'!K828:K832)),AVERAGE('20250815_ETF_Options_Exhibits'!K828:K832),"")</f>
        <v/>
      </c>
      <c r="L832" s="3">
        <f>IF(ISNUMBER(AVERAGE('20250815_ETF_Options_Exhibits'!L828:L832)),AVERAGE('20250815_ETF_Options_Exhibits'!L828:L832),"")</f>
        <v/>
      </c>
      <c r="M832" s="3">
        <f>IF(ISNUMBER(AVERAGE('20250815_ETF_Options_Exhibits'!M828:M832)),AVERAGE('20250815_ETF_Options_Exhibits'!M828:M832),"")</f>
        <v/>
      </c>
      <c r="N832" s="3">
        <f>IF(ISNUMBER(AVERAGE('20250815_ETF_Options_Exhibits'!N828:N832)),AVERAGE('20250815_ETF_Options_Exhibits'!N828:N832),"")</f>
        <v/>
      </c>
      <c r="O832" s="3">
        <f>IF(ISNUMBER(AVERAGE('20250815_ETF_Options_Exhibits'!O828:O832)),AVERAGE('20250815_ETF_Options_Exhibits'!O828:O832),"")</f>
        <v/>
      </c>
      <c r="P832" s="3">
        <f>IF(ISNUMBER(AVERAGE('20250815_ETF_Options_Exhibits'!P828:P832)),AVERAGE('20250815_ETF_Options_Exhibits'!P828:P832),"")</f>
        <v/>
      </c>
      <c r="Q832" s="3">
        <f>IF(ISNUMBER(AVERAGE('20250815_ETF_Options_Exhibits'!Q828:Q832)),AVERAGE('20250815_ETF_Options_Exhibits'!Q828:Q832),"")</f>
        <v/>
      </c>
      <c r="R832" s="3">
        <f>IF(ISNUMBER(AVERAGE('20250815_ETF_Options_Exhibits'!R828:R832)),AVERAGE('20250815_ETF_Options_Exhibits'!R828:R832),"")</f>
        <v/>
      </c>
      <c r="S832" s="3">
        <f>IF(ISNUMBER(AVERAGE('20250815_ETF_Options_Exhibits'!S828:S832)),AVERAGE('20250815_ETF_Options_Exhibits'!S828:S832),"")</f>
        <v/>
      </c>
      <c r="T832" s="3">
        <f>IF(ISNUMBER(AVERAGE('20250815_ETF_Options_Exhibits'!T828:T832)),AVERAGE('20250815_ETF_Options_Exhibits'!T828:T832),"")</f>
        <v/>
      </c>
      <c r="U832" s="3">
        <f>IF(ISNUMBER(AVERAGE('20250815_ETF_Options_Exhibits'!U828:U832)),AVERAGE('20250815_ETF_Options_Exhibits'!U828:U832),"")</f>
        <v/>
      </c>
      <c r="V832" s="3">
        <f>IF(ISNUMBER(AVERAGE('20250815_ETF_Options_Exhibits'!V828:V832)),AVERAGE('20250815_ETF_Options_Exhibits'!V828:V832),"")</f>
        <v/>
      </c>
      <c r="W832" s="3">
        <f>IF(ISNUMBER(AVERAGE('20250815_ETF_Options_Exhibits'!W828:W832)),AVERAGE('20250815_ETF_Options_Exhibits'!W828:W832),"")</f>
        <v/>
      </c>
      <c r="X832" s="3">
        <f>IF(ISNUMBER(AVERAGE('20250815_ETF_Options_Exhibits'!X828:X832)),AVERAGE('20250815_ETF_Options_Exhibits'!X828:X832),"")</f>
        <v/>
      </c>
      <c r="Y832" s="3">
        <f>IF(ISNUMBER(AVERAGE('20250815_ETF_Options_Exhibits'!Y828:Y832)),AVERAGE('20250815_ETF_Options_Exhibits'!Y828:Y832),"")</f>
        <v/>
      </c>
      <c r="Z832" s="3">
        <f>IF(ISNUMBER(AVERAGE('20250815_ETF_Options_Exhibits'!Z828:Z832)),AVERAGE('20250815_ETF_Options_Exhibits'!Z828:Z832),"")</f>
        <v/>
      </c>
      <c r="AA832" s="3">
        <f>IF(ISNUMBER(AVERAGE('20250815_ETF_Options_Exhibits'!AA828:AA832)),AVERAGE('20250815_ETF_Options_Exhibits'!AA828:AA832),"")</f>
        <v/>
      </c>
    </row>
    <row r="833">
      <c r="A833" s="1" t="n">
        <v>43213</v>
      </c>
      <c r="B833" s="3">
        <f>IF(ISNUMBER(AVERAGE('20250815_ETF_Options_Exhibits'!B829:B833)),AVERAGE('20250815_ETF_Options_Exhibits'!B829:B833),"")</f>
        <v/>
      </c>
      <c r="C833" s="3">
        <f>IF(ISNUMBER(AVERAGE('20250815_ETF_Options_Exhibits'!C829:C833)),AVERAGE('20250815_ETF_Options_Exhibits'!C829:C833),"")</f>
        <v/>
      </c>
      <c r="D833" s="3">
        <f>IF(ISNUMBER(AVERAGE('20250815_ETF_Options_Exhibits'!D829:D833)),AVERAGE('20250815_ETF_Options_Exhibits'!D829:D833),"")</f>
        <v/>
      </c>
      <c r="E833" s="3">
        <f>IF(ISNUMBER(AVERAGE('20250815_ETF_Options_Exhibits'!E829:E833)),AVERAGE('20250815_ETF_Options_Exhibits'!E829:E833),"")</f>
        <v/>
      </c>
      <c r="F833" s="3">
        <f>IF(ISNUMBER(AVERAGE('20250815_ETF_Options_Exhibits'!F829:F833)),AVERAGE('20250815_ETF_Options_Exhibits'!F829:F833),"")</f>
        <v/>
      </c>
      <c r="G833" s="3">
        <f>IF(ISNUMBER(AVERAGE('20250815_ETF_Options_Exhibits'!G829:G833)),AVERAGE('20250815_ETF_Options_Exhibits'!G829:G833),"")</f>
        <v/>
      </c>
      <c r="H833" s="3">
        <f>IF(ISNUMBER(AVERAGE('20250815_ETF_Options_Exhibits'!H829:H833)),AVERAGE('20250815_ETF_Options_Exhibits'!H829:H833),"")</f>
        <v/>
      </c>
      <c r="I833" s="3">
        <f>IF(ISNUMBER(AVERAGE('20250815_ETF_Options_Exhibits'!I829:I833)),AVERAGE('20250815_ETF_Options_Exhibits'!I829:I833),"")</f>
        <v/>
      </c>
      <c r="J833" s="3">
        <f>IF(ISNUMBER(AVERAGE('20250815_ETF_Options_Exhibits'!J829:J833)),AVERAGE('20250815_ETF_Options_Exhibits'!J829:J833),"")</f>
        <v/>
      </c>
      <c r="K833" s="3">
        <f>IF(ISNUMBER(AVERAGE('20250815_ETF_Options_Exhibits'!K829:K833)),AVERAGE('20250815_ETF_Options_Exhibits'!K829:K833),"")</f>
        <v/>
      </c>
      <c r="L833" s="3">
        <f>IF(ISNUMBER(AVERAGE('20250815_ETF_Options_Exhibits'!L829:L833)),AVERAGE('20250815_ETF_Options_Exhibits'!L829:L833),"")</f>
        <v/>
      </c>
      <c r="M833" s="3">
        <f>IF(ISNUMBER(AVERAGE('20250815_ETF_Options_Exhibits'!M829:M833)),AVERAGE('20250815_ETF_Options_Exhibits'!M829:M833),"")</f>
        <v/>
      </c>
      <c r="N833" s="3">
        <f>IF(ISNUMBER(AVERAGE('20250815_ETF_Options_Exhibits'!N829:N833)),AVERAGE('20250815_ETF_Options_Exhibits'!N829:N833),"")</f>
        <v/>
      </c>
      <c r="O833" s="3">
        <f>IF(ISNUMBER(AVERAGE('20250815_ETF_Options_Exhibits'!O829:O833)),AVERAGE('20250815_ETF_Options_Exhibits'!O829:O833),"")</f>
        <v/>
      </c>
      <c r="P833" s="3">
        <f>IF(ISNUMBER(AVERAGE('20250815_ETF_Options_Exhibits'!P829:P833)),AVERAGE('20250815_ETF_Options_Exhibits'!P829:P833),"")</f>
        <v/>
      </c>
      <c r="Q833" s="3">
        <f>IF(ISNUMBER(AVERAGE('20250815_ETF_Options_Exhibits'!Q829:Q833)),AVERAGE('20250815_ETF_Options_Exhibits'!Q829:Q833),"")</f>
        <v/>
      </c>
      <c r="R833" s="3">
        <f>IF(ISNUMBER(AVERAGE('20250815_ETF_Options_Exhibits'!R829:R833)),AVERAGE('20250815_ETF_Options_Exhibits'!R829:R833),"")</f>
        <v/>
      </c>
      <c r="S833" s="3">
        <f>IF(ISNUMBER(AVERAGE('20250815_ETF_Options_Exhibits'!S829:S833)),AVERAGE('20250815_ETF_Options_Exhibits'!S829:S833),"")</f>
        <v/>
      </c>
      <c r="T833" s="3">
        <f>IF(ISNUMBER(AVERAGE('20250815_ETF_Options_Exhibits'!T829:T833)),AVERAGE('20250815_ETF_Options_Exhibits'!T829:T833),"")</f>
        <v/>
      </c>
      <c r="U833" s="3">
        <f>IF(ISNUMBER(AVERAGE('20250815_ETF_Options_Exhibits'!U829:U833)),AVERAGE('20250815_ETF_Options_Exhibits'!U829:U833),"")</f>
        <v/>
      </c>
      <c r="V833" s="3">
        <f>IF(ISNUMBER(AVERAGE('20250815_ETF_Options_Exhibits'!V829:V833)),AVERAGE('20250815_ETF_Options_Exhibits'!V829:V833),"")</f>
        <v/>
      </c>
      <c r="W833" s="3">
        <f>IF(ISNUMBER(AVERAGE('20250815_ETF_Options_Exhibits'!W829:W833)),AVERAGE('20250815_ETF_Options_Exhibits'!W829:W833),"")</f>
        <v/>
      </c>
      <c r="X833" s="3">
        <f>IF(ISNUMBER(AVERAGE('20250815_ETF_Options_Exhibits'!X829:X833)),AVERAGE('20250815_ETF_Options_Exhibits'!X829:X833),"")</f>
        <v/>
      </c>
      <c r="Y833" s="3">
        <f>IF(ISNUMBER(AVERAGE('20250815_ETF_Options_Exhibits'!Y829:Y833)),AVERAGE('20250815_ETF_Options_Exhibits'!Y829:Y833),"")</f>
        <v/>
      </c>
      <c r="Z833" s="3">
        <f>IF(ISNUMBER(AVERAGE('20250815_ETF_Options_Exhibits'!Z829:Z833)),AVERAGE('20250815_ETF_Options_Exhibits'!Z829:Z833),"")</f>
        <v/>
      </c>
      <c r="AA833" s="3">
        <f>IF(ISNUMBER(AVERAGE('20250815_ETF_Options_Exhibits'!AA829:AA833)),AVERAGE('20250815_ETF_Options_Exhibits'!AA829:AA833),"")</f>
        <v/>
      </c>
    </row>
    <row r="834">
      <c r="A834" s="1" t="n">
        <v>43214</v>
      </c>
      <c r="B834" s="3">
        <f>IF(ISNUMBER(AVERAGE('20250815_ETF_Options_Exhibits'!B830:B834)),AVERAGE('20250815_ETF_Options_Exhibits'!B830:B834),"")</f>
        <v/>
      </c>
      <c r="C834" s="3">
        <f>IF(ISNUMBER(AVERAGE('20250815_ETF_Options_Exhibits'!C830:C834)),AVERAGE('20250815_ETF_Options_Exhibits'!C830:C834),"")</f>
        <v/>
      </c>
      <c r="D834" s="3">
        <f>IF(ISNUMBER(AVERAGE('20250815_ETF_Options_Exhibits'!D830:D834)),AVERAGE('20250815_ETF_Options_Exhibits'!D830:D834),"")</f>
        <v/>
      </c>
      <c r="E834" s="3">
        <f>IF(ISNUMBER(AVERAGE('20250815_ETF_Options_Exhibits'!E830:E834)),AVERAGE('20250815_ETF_Options_Exhibits'!E830:E834),"")</f>
        <v/>
      </c>
      <c r="F834" s="3">
        <f>IF(ISNUMBER(AVERAGE('20250815_ETF_Options_Exhibits'!F830:F834)),AVERAGE('20250815_ETF_Options_Exhibits'!F830:F834),"")</f>
        <v/>
      </c>
      <c r="G834" s="3">
        <f>IF(ISNUMBER(AVERAGE('20250815_ETF_Options_Exhibits'!G830:G834)),AVERAGE('20250815_ETF_Options_Exhibits'!G830:G834),"")</f>
        <v/>
      </c>
      <c r="H834" s="3">
        <f>IF(ISNUMBER(AVERAGE('20250815_ETF_Options_Exhibits'!H830:H834)),AVERAGE('20250815_ETF_Options_Exhibits'!H830:H834),"")</f>
        <v/>
      </c>
      <c r="I834" s="3">
        <f>IF(ISNUMBER(AVERAGE('20250815_ETF_Options_Exhibits'!I830:I834)),AVERAGE('20250815_ETF_Options_Exhibits'!I830:I834),"")</f>
        <v/>
      </c>
      <c r="J834" s="3">
        <f>IF(ISNUMBER(AVERAGE('20250815_ETF_Options_Exhibits'!J830:J834)),AVERAGE('20250815_ETF_Options_Exhibits'!J830:J834),"")</f>
        <v/>
      </c>
      <c r="K834" s="3">
        <f>IF(ISNUMBER(AVERAGE('20250815_ETF_Options_Exhibits'!K830:K834)),AVERAGE('20250815_ETF_Options_Exhibits'!K830:K834),"")</f>
        <v/>
      </c>
      <c r="L834" s="3">
        <f>IF(ISNUMBER(AVERAGE('20250815_ETF_Options_Exhibits'!L830:L834)),AVERAGE('20250815_ETF_Options_Exhibits'!L830:L834),"")</f>
        <v/>
      </c>
      <c r="M834" s="3">
        <f>IF(ISNUMBER(AVERAGE('20250815_ETF_Options_Exhibits'!M830:M834)),AVERAGE('20250815_ETF_Options_Exhibits'!M830:M834),"")</f>
        <v/>
      </c>
      <c r="N834" s="3">
        <f>IF(ISNUMBER(AVERAGE('20250815_ETF_Options_Exhibits'!N830:N834)),AVERAGE('20250815_ETF_Options_Exhibits'!N830:N834),"")</f>
        <v/>
      </c>
      <c r="O834" s="3">
        <f>IF(ISNUMBER(AVERAGE('20250815_ETF_Options_Exhibits'!O830:O834)),AVERAGE('20250815_ETF_Options_Exhibits'!O830:O834),"")</f>
        <v/>
      </c>
      <c r="P834" s="3">
        <f>IF(ISNUMBER(AVERAGE('20250815_ETF_Options_Exhibits'!P830:P834)),AVERAGE('20250815_ETF_Options_Exhibits'!P830:P834),"")</f>
        <v/>
      </c>
      <c r="Q834" s="3">
        <f>IF(ISNUMBER(AVERAGE('20250815_ETF_Options_Exhibits'!Q830:Q834)),AVERAGE('20250815_ETF_Options_Exhibits'!Q830:Q834),"")</f>
        <v/>
      </c>
      <c r="R834" s="3">
        <f>IF(ISNUMBER(AVERAGE('20250815_ETF_Options_Exhibits'!R830:R834)),AVERAGE('20250815_ETF_Options_Exhibits'!R830:R834),"")</f>
        <v/>
      </c>
      <c r="S834" s="3">
        <f>IF(ISNUMBER(AVERAGE('20250815_ETF_Options_Exhibits'!S830:S834)),AVERAGE('20250815_ETF_Options_Exhibits'!S830:S834),"")</f>
        <v/>
      </c>
      <c r="T834" s="3">
        <f>IF(ISNUMBER(AVERAGE('20250815_ETF_Options_Exhibits'!T830:T834)),AVERAGE('20250815_ETF_Options_Exhibits'!T830:T834),"")</f>
        <v/>
      </c>
      <c r="U834" s="3">
        <f>IF(ISNUMBER(AVERAGE('20250815_ETF_Options_Exhibits'!U830:U834)),AVERAGE('20250815_ETF_Options_Exhibits'!U830:U834),"")</f>
        <v/>
      </c>
      <c r="V834" s="3">
        <f>IF(ISNUMBER(AVERAGE('20250815_ETF_Options_Exhibits'!V830:V834)),AVERAGE('20250815_ETF_Options_Exhibits'!V830:V834),"")</f>
        <v/>
      </c>
      <c r="W834" s="3">
        <f>IF(ISNUMBER(AVERAGE('20250815_ETF_Options_Exhibits'!W830:W834)),AVERAGE('20250815_ETF_Options_Exhibits'!W830:W834),"")</f>
        <v/>
      </c>
      <c r="X834" s="3">
        <f>IF(ISNUMBER(AVERAGE('20250815_ETF_Options_Exhibits'!X830:X834)),AVERAGE('20250815_ETF_Options_Exhibits'!X830:X834),"")</f>
        <v/>
      </c>
      <c r="Y834" s="3">
        <f>IF(ISNUMBER(AVERAGE('20250815_ETF_Options_Exhibits'!Y830:Y834)),AVERAGE('20250815_ETF_Options_Exhibits'!Y830:Y834),"")</f>
        <v/>
      </c>
      <c r="Z834" s="3">
        <f>IF(ISNUMBER(AVERAGE('20250815_ETF_Options_Exhibits'!Z830:Z834)),AVERAGE('20250815_ETF_Options_Exhibits'!Z830:Z834),"")</f>
        <v/>
      </c>
      <c r="AA834" s="3">
        <f>IF(ISNUMBER(AVERAGE('20250815_ETF_Options_Exhibits'!AA830:AA834)),AVERAGE('20250815_ETF_Options_Exhibits'!AA830:AA834),"")</f>
        <v/>
      </c>
    </row>
    <row r="835">
      <c r="A835" s="1" t="n">
        <v>43215</v>
      </c>
      <c r="B835" s="3">
        <f>IF(ISNUMBER(AVERAGE('20250815_ETF_Options_Exhibits'!B831:B835)),AVERAGE('20250815_ETF_Options_Exhibits'!B831:B835),"")</f>
        <v/>
      </c>
      <c r="C835" s="3">
        <f>IF(ISNUMBER(AVERAGE('20250815_ETF_Options_Exhibits'!C831:C835)),AVERAGE('20250815_ETF_Options_Exhibits'!C831:C835),"")</f>
        <v/>
      </c>
      <c r="D835" s="3">
        <f>IF(ISNUMBER(AVERAGE('20250815_ETF_Options_Exhibits'!D831:D835)),AVERAGE('20250815_ETF_Options_Exhibits'!D831:D835),"")</f>
        <v/>
      </c>
      <c r="E835" s="3">
        <f>IF(ISNUMBER(AVERAGE('20250815_ETF_Options_Exhibits'!E831:E835)),AVERAGE('20250815_ETF_Options_Exhibits'!E831:E835),"")</f>
        <v/>
      </c>
      <c r="F835" s="3">
        <f>IF(ISNUMBER(AVERAGE('20250815_ETF_Options_Exhibits'!F831:F835)),AVERAGE('20250815_ETF_Options_Exhibits'!F831:F835),"")</f>
        <v/>
      </c>
      <c r="G835" s="3">
        <f>IF(ISNUMBER(AVERAGE('20250815_ETF_Options_Exhibits'!G831:G835)),AVERAGE('20250815_ETF_Options_Exhibits'!G831:G835),"")</f>
        <v/>
      </c>
      <c r="H835" s="3">
        <f>IF(ISNUMBER(AVERAGE('20250815_ETF_Options_Exhibits'!H831:H835)),AVERAGE('20250815_ETF_Options_Exhibits'!H831:H835),"")</f>
        <v/>
      </c>
      <c r="I835" s="3">
        <f>IF(ISNUMBER(AVERAGE('20250815_ETF_Options_Exhibits'!I831:I835)),AVERAGE('20250815_ETF_Options_Exhibits'!I831:I835),"")</f>
        <v/>
      </c>
      <c r="J835" s="3">
        <f>IF(ISNUMBER(AVERAGE('20250815_ETF_Options_Exhibits'!J831:J835)),AVERAGE('20250815_ETF_Options_Exhibits'!J831:J835),"")</f>
        <v/>
      </c>
      <c r="K835" s="3">
        <f>IF(ISNUMBER(AVERAGE('20250815_ETF_Options_Exhibits'!K831:K835)),AVERAGE('20250815_ETF_Options_Exhibits'!K831:K835),"")</f>
        <v/>
      </c>
      <c r="L835" s="3">
        <f>IF(ISNUMBER(AVERAGE('20250815_ETF_Options_Exhibits'!L831:L835)),AVERAGE('20250815_ETF_Options_Exhibits'!L831:L835),"")</f>
        <v/>
      </c>
      <c r="M835" s="3">
        <f>IF(ISNUMBER(AVERAGE('20250815_ETF_Options_Exhibits'!M831:M835)),AVERAGE('20250815_ETF_Options_Exhibits'!M831:M835),"")</f>
        <v/>
      </c>
      <c r="N835" s="3">
        <f>IF(ISNUMBER(AVERAGE('20250815_ETF_Options_Exhibits'!N831:N835)),AVERAGE('20250815_ETF_Options_Exhibits'!N831:N835),"")</f>
        <v/>
      </c>
      <c r="O835" s="3">
        <f>IF(ISNUMBER(AVERAGE('20250815_ETF_Options_Exhibits'!O831:O835)),AVERAGE('20250815_ETF_Options_Exhibits'!O831:O835),"")</f>
        <v/>
      </c>
      <c r="P835" s="3">
        <f>IF(ISNUMBER(AVERAGE('20250815_ETF_Options_Exhibits'!P831:P835)),AVERAGE('20250815_ETF_Options_Exhibits'!P831:P835),"")</f>
        <v/>
      </c>
      <c r="Q835" s="3">
        <f>IF(ISNUMBER(AVERAGE('20250815_ETF_Options_Exhibits'!Q831:Q835)),AVERAGE('20250815_ETF_Options_Exhibits'!Q831:Q835),"")</f>
        <v/>
      </c>
      <c r="R835" s="3">
        <f>IF(ISNUMBER(AVERAGE('20250815_ETF_Options_Exhibits'!R831:R835)),AVERAGE('20250815_ETF_Options_Exhibits'!R831:R835),"")</f>
        <v/>
      </c>
      <c r="S835" s="3">
        <f>IF(ISNUMBER(AVERAGE('20250815_ETF_Options_Exhibits'!S831:S835)),AVERAGE('20250815_ETF_Options_Exhibits'!S831:S835),"")</f>
        <v/>
      </c>
      <c r="T835" s="3">
        <f>IF(ISNUMBER(AVERAGE('20250815_ETF_Options_Exhibits'!T831:T835)),AVERAGE('20250815_ETF_Options_Exhibits'!T831:T835),"")</f>
        <v/>
      </c>
      <c r="U835" s="3">
        <f>IF(ISNUMBER(AVERAGE('20250815_ETF_Options_Exhibits'!U831:U835)),AVERAGE('20250815_ETF_Options_Exhibits'!U831:U835),"")</f>
        <v/>
      </c>
      <c r="V835" s="3">
        <f>IF(ISNUMBER(AVERAGE('20250815_ETF_Options_Exhibits'!V831:V835)),AVERAGE('20250815_ETF_Options_Exhibits'!V831:V835),"")</f>
        <v/>
      </c>
      <c r="W835" s="3">
        <f>IF(ISNUMBER(AVERAGE('20250815_ETF_Options_Exhibits'!W831:W835)),AVERAGE('20250815_ETF_Options_Exhibits'!W831:W835),"")</f>
        <v/>
      </c>
      <c r="X835" s="3">
        <f>IF(ISNUMBER(AVERAGE('20250815_ETF_Options_Exhibits'!X831:X835)),AVERAGE('20250815_ETF_Options_Exhibits'!X831:X835),"")</f>
        <v/>
      </c>
      <c r="Y835" s="3">
        <f>IF(ISNUMBER(AVERAGE('20250815_ETF_Options_Exhibits'!Y831:Y835)),AVERAGE('20250815_ETF_Options_Exhibits'!Y831:Y835),"")</f>
        <v/>
      </c>
      <c r="Z835" s="3">
        <f>IF(ISNUMBER(AVERAGE('20250815_ETF_Options_Exhibits'!Z831:Z835)),AVERAGE('20250815_ETF_Options_Exhibits'!Z831:Z835),"")</f>
        <v/>
      </c>
      <c r="AA835" s="3">
        <f>IF(ISNUMBER(AVERAGE('20250815_ETF_Options_Exhibits'!AA831:AA835)),AVERAGE('20250815_ETF_Options_Exhibits'!AA831:AA835),"")</f>
        <v/>
      </c>
    </row>
    <row r="836">
      <c r="A836" s="1" t="n">
        <v>43216</v>
      </c>
      <c r="B836" s="3">
        <f>IF(ISNUMBER(AVERAGE('20250815_ETF_Options_Exhibits'!B832:B836)),AVERAGE('20250815_ETF_Options_Exhibits'!B832:B836),"")</f>
        <v/>
      </c>
      <c r="C836" s="3">
        <f>IF(ISNUMBER(AVERAGE('20250815_ETF_Options_Exhibits'!C832:C836)),AVERAGE('20250815_ETF_Options_Exhibits'!C832:C836),"")</f>
        <v/>
      </c>
      <c r="D836" s="3">
        <f>IF(ISNUMBER(AVERAGE('20250815_ETF_Options_Exhibits'!D832:D836)),AVERAGE('20250815_ETF_Options_Exhibits'!D832:D836),"")</f>
        <v/>
      </c>
      <c r="E836" s="3">
        <f>IF(ISNUMBER(AVERAGE('20250815_ETF_Options_Exhibits'!E832:E836)),AVERAGE('20250815_ETF_Options_Exhibits'!E832:E836),"")</f>
        <v/>
      </c>
      <c r="F836" s="3">
        <f>IF(ISNUMBER(AVERAGE('20250815_ETF_Options_Exhibits'!F832:F836)),AVERAGE('20250815_ETF_Options_Exhibits'!F832:F836),"")</f>
        <v/>
      </c>
      <c r="G836" s="3">
        <f>IF(ISNUMBER(AVERAGE('20250815_ETF_Options_Exhibits'!G832:G836)),AVERAGE('20250815_ETF_Options_Exhibits'!G832:G836),"")</f>
        <v/>
      </c>
      <c r="H836" s="3">
        <f>IF(ISNUMBER(AVERAGE('20250815_ETF_Options_Exhibits'!H832:H836)),AVERAGE('20250815_ETF_Options_Exhibits'!H832:H836),"")</f>
        <v/>
      </c>
      <c r="I836" s="3">
        <f>IF(ISNUMBER(AVERAGE('20250815_ETF_Options_Exhibits'!I832:I836)),AVERAGE('20250815_ETF_Options_Exhibits'!I832:I836),"")</f>
        <v/>
      </c>
      <c r="J836" s="3">
        <f>IF(ISNUMBER(AVERAGE('20250815_ETF_Options_Exhibits'!J832:J836)),AVERAGE('20250815_ETF_Options_Exhibits'!J832:J836),"")</f>
        <v/>
      </c>
      <c r="K836" s="3">
        <f>IF(ISNUMBER(AVERAGE('20250815_ETF_Options_Exhibits'!K832:K836)),AVERAGE('20250815_ETF_Options_Exhibits'!K832:K836),"")</f>
        <v/>
      </c>
      <c r="L836" s="3">
        <f>IF(ISNUMBER(AVERAGE('20250815_ETF_Options_Exhibits'!L832:L836)),AVERAGE('20250815_ETF_Options_Exhibits'!L832:L836),"")</f>
        <v/>
      </c>
      <c r="M836" s="3">
        <f>IF(ISNUMBER(AVERAGE('20250815_ETF_Options_Exhibits'!M832:M836)),AVERAGE('20250815_ETF_Options_Exhibits'!M832:M836),"")</f>
        <v/>
      </c>
      <c r="N836" s="3">
        <f>IF(ISNUMBER(AVERAGE('20250815_ETF_Options_Exhibits'!N832:N836)),AVERAGE('20250815_ETF_Options_Exhibits'!N832:N836),"")</f>
        <v/>
      </c>
      <c r="O836" s="3">
        <f>IF(ISNUMBER(AVERAGE('20250815_ETF_Options_Exhibits'!O832:O836)),AVERAGE('20250815_ETF_Options_Exhibits'!O832:O836),"")</f>
        <v/>
      </c>
      <c r="P836" s="3">
        <f>IF(ISNUMBER(AVERAGE('20250815_ETF_Options_Exhibits'!P832:P836)),AVERAGE('20250815_ETF_Options_Exhibits'!P832:P836),"")</f>
        <v/>
      </c>
      <c r="Q836" s="3">
        <f>IF(ISNUMBER(AVERAGE('20250815_ETF_Options_Exhibits'!Q832:Q836)),AVERAGE('20250815_ETF_Options_Exhibits'!Q832:Q836),"")</f>
        <v/>
      </c>
      <c r="R836" s="3">
        <f>IF(ISNUMBER(AVERAGE('20250815_ETF_Options_Exhibits'!R832:R836)),AVERAGE('20250815_ETF_Options_Exhibits'!R832:R836),"")</f>
        <v/>
      </c>
      <c r="S836" s="3">
        <f>IF(ISNUMBER(AVERAGE('20250815_ETF_Options_Exhibits'!S832:S836)),AVERAGE('20250815_ETF_Options_Exhibits'!S832:S836),"")</f>
        <v/>
      </c>
      <c r="T836" s="3">
        <f>IF(ISNUMBER(AVERAGE('20250815_ETF_Options_Exhibits'!T832:T836)),AVERAGE('20250815_ETF_Options_Exhibits'!T832:T836),"")</f>
        <v/>
      </c>
      <c r="U836" s="3">
        <f>IF(ISNUMBER(AVERAGE('20250815_ETF_Options_Exhibits'!U832:U836)),AVERAGE('20250815_ETF_Options_Exhibits'!U832:U836),"")</f>
        <v/>
      </c>
      <c r="V836" s="3">
        <f>IF(ISNUMBER(AVERAGE('20250815_ETF_Options_Exhibits'!V832:V836)),AVERAGE('20250815_ETF_Options_Exhibits'!V832:V836),"")</f>
        <v/>
      </c>
      <c r="W836" s="3">
        <f>IF(ISNUMBER(AVERAGE('20250815_ETF_Options_Exhibits'!W832:W836)),AVERAGE('20250815_ETF_Options_Exhibits'!W832:W836),"")</f>
        <v/>
      </c>
      <c r="X836" s="3">
        <f>IF(ISNUMBER(AVERAGE('20250815_ETF_Options_Exhibits'!X832:X836)),AVERAGE('20250815_ETF_Options_Exhibits'!X832:X836),"")</f>
        <v/>
      </c>
      <c r="Y836" s="3">
        <f>IF(ISNUMBER(AVERAGE('20250815_ETF_Options_Exhibits'!Y832:Y836)),AVERAGE('20250815_ETF_Options_Exhibits'!Y832:Y836),"")</f>
        <v/>
      </c>
      <c r="Z836" s="3">
        <f>IF(ISNUMBER(AVERAGE('20250815_ETF_Options_Exhibits'!Z832:Z836)),AVERAGE('20250815_ETF_Options_Exhibits'!Z832:Z836),"")</f>
        <v/>
      </c>
      <c r="AA836" s="3">
        <f>IF(ISNUMBER(AVERAGE('20250815_ETF_Options_Exhibits'!AA832:AA836)),AVERAGE('20250815_ETF_Options_Exhibits'!AA832:AA836),"")</f>
        <v/>
      </c>
    </row>
    <row r="837">
      <c r="A837" s="1" t="n">
        <v>43217</v>
      </c>
      <c r="B837" s="3">
        <f>IF(ISNUMBER(AVERAGE('20250815_ETF_Options_Exhibits'!B833:B837)),AVERAGE('20250815_ETF_Options_Exhibits'!B833:B837),"")</f>
        <v/>
      </c>
      <c r="C837" s="3">
        <f>IF(ISNUMBER(AVERAGE('20250815_ETF_Options_Exhibits'!C833:C837)),AVERAGE('20250815_ETF_Options_Exhibits'!C833:C837),"")</f>
        <v/>
      </c>
      <c r="D837" s="3">
        <f>IF(ISNUMBER(AVERAGE('20250815_ETF_Options_Exhibits'!D833:D837)),AVERAGE('20250815_ETF_Options_Exhibits'!D833:D837),"")</f>
        <v/>
      </c>
      <c r="E837" s="3">
        <f>IF(ISNUMBER(AVERAGE('20250815_ETF_Options_Exhibits'!E833:E837)),AVERAGE('20250815_ETF_Options_Exhibits'!E833:E837),"")</f>
        <v/>
      </c>
      <c r="F837" s="3">
        <f>IF(ISNUMBER(AVERAGE('20250815_ETF_Options_Exhibits'!F833:F837)),AVERAGE('20250815_ETF_Options_Exhibits'!F833:F837),"")</f>
        <v/>
      </c>
      <c r="G837" s="3">
        <f>IF(ISNUMBER(AVERAGE('20250815_ETF_Options_Exhibits'!G833:G837)),AVERAGE('20250815_ETF_Options_Exhibits'!G833:G837),"")</f>
        <v/>
      </c>
      <c r="H837" s="3">
        <f>IF(ISNUMBER(AVERAGE('20250815_ETF_Options_Exhibits'!H833:H837)),AVERAGE('20250815_ETF_Options_Exhibits'!H833:H837),"")</f>
        <v/>
      </c>
      <c r="I837" s="3">
        <f>IF(ISNUMBER(AVERAGE('20250815_ETF_Options_Exhibits'!I833:I837)),AVERAGE('20250815_ETF_Options_Exhibits'!I833:I837),"")</f>
        <v/>
      </c>
      <c r="J837" s="3">
        <f>IF(ISNUMBER(AVERAGE('20250815_ETF_Options_Exhibits'!J833:J837)),AVERAGE('20250815_ETF_Options_Exhibits'!J833:J837),"")</f>
        <v/>
      </c>
      <c r="K837" s="3">
        <f>IF(ISNUMBER(AVERAGE('20250815_ETF_Options_Exhibits'!K833:K837)),AVERAGE('20250815_ETF_Options_Exhibits'!K833:K837),"")</f>
        <v/>
      </c>
      <c r="L837" s="3">
        <f>IF(ISNUMBER(AVERAGE('20250815_ETF_Options_Exhibits'!L833:L837)),AVERAGE('20250815_ETF_Options_Exhibits'!L833:L837),"")</f>
        <v/>
      </c>
      <c r="M837" s="3">
        <f>IF(ISNUMBER(AVERAGE('20250815_ETF_Options_Exhibits'!M833:M837)),AVERAGE('20250815_ETF_Options_Exhibits'!M833:M837),"")</f>
        <v/>
      </c>
      <c r="N837" s="3">
        <f>IF(ISNUMBER(AVERAGE('20250815_ETF_Options_Exhibits'!N833:N837)),AVERAGE('20250815_ETF_Options_Exhibits'!N833:N837),"")</f>
        <v/>
      </c>
      <c r="O837" s="3">
        <f>IF(ISNUMBER(AVERAGE('20250815_ETF_Options_Exhibits'!O833:O837)),AVERAGE('20250815_ETF_Options_Exhibits'!O833:O837),"")</f>
        <v/>
      </c>
      <c r="P837" s="3">
        <f>IF(ISNUMBER(AVERAGE('20250815_ETF_Options_Exhibits'!P833:P837)),AVERAGE('20250815_ETF_Options_Exhibits'!P833:P837),"")</f>
        <v/>
      </c>
      <c r="Q837" s="3">
        <f>IF(ISNUMBER(AVERAGE('20250815_ETF_Options_Exhibits'!Q833:Q837)),AVERAGE('20250815_ETF_Options_Exhibits'!Q833:Q837),"")</f>
        <v/>
      </c>
      <c r="R837" s="3">
        <f>IF(ISNUMBER(AVERAGE('20250815_ETF_Options_Exhibits'!R833:R837)),AVERAGE('20250815_ETF_Options_Exhibits'!R833:R837),"")</f>
        <v/>
      </c>
      <c r="S837" s="3">
        <f>IF(ISNUMBER(AVERAGE('20250815_ETF_Options_Exhibits'!S833:S837)),AVERAGE('20250815_ETF_Options_Exhibits'!S833:S837),"")</f>
        <v/>
      </c>
      <c r="T837" s="3">
        <f>IF(ISNUMBER(AVERAGE('20250815_ETF_Options_Exhibits'!T833:T837)),AVERAGE('20250815_ETF_Options_Exhibits'!T833:T837),"")</f>
        <v/>
      </c>
      <c r="U837" s="3">
        <f>IF(ISNUMBER(AVERAGE('20250815_ETF_Options_Exhibits'!U833:U837)),AVERAGE('20250815_ETF_Options_Exhibits'!U833:U837),"")</f>
        <v/>
      </c>
      <c r="V837" s="3">
        <f>IF(ISNUMBER(AVERAGE('20250815_ETF_Options_Exhibits'!V833:V837)),AVERAGE('20250815_ETF_Options_Exhibits'!V833:V837),"")</f>
        <v/>
      </c>
      <c r="W837" s="3">
        <f>IF(ISNUMBER(AVERAGE('20250815_ETF_Options_Exhibits'!W833:W837)),AVERAGE('20250815_ETF_Options_Exhibits'!W833:W837),"")</f>
        <v/>
      </c>
      <c r="X837" s="3">
        <f>IF(ISNUMBER(AVERAGE('20250815_ETF_Options_Exhibits'!X833:X837)),AVERAGE('20250815_ETF_Options_Exhibits'!X833:X837),"")</f>
        <v/>
      </c>
      <c r="Y837" s="3">
        <f>IF(ISNUMBER(AVERAGE('20250815_ETF_Options_Exhibits'!Y833:Y837)),AVERAGE('20250815_ETF_Options_Exhibits'!Y833:Y837),"")</f>
        <v/>
      </c>
      <c r="Z837" s="3">
        <f>IF(ISNUMBER(AVERAGE('20250815_ETF_Options_Exhibits'!Z833:Z837)),AVERAGE('20250815_ETF_Options_Exhibits'!Z833:Z837),"")</f>
        <v/>
      </c>
      <c r="AA837" s="3">
        <f>IF(ISNUMBER(AVERAGE('20250815_ETF_Options_Exhibits'!AA833:AA837)),AVERAGE('20250815_ETF_Options_Exhibits'!AA833:AA837),"")</f>
        <v/>
      </c>
    </row>
    <row r="838">
      <c r="A838" s="1" t="n">
        <v>43220</v>
      </c>
      <c r="B838" s="3">
        <f>IF(ISNUMBER(AVERAGE('20250815_ETF_Options_Exhibits'!B834:B838)),AVERAGE('20250815_ETF_Options_Exhibits'!B834:B838),"")</f>
        <v/>
      </c>
      <c r="C838" s="3">
        <f>IF(ISNUMBER(AVERAGE('20250815_ETF_Options_Exhibits'!C834:C838)),AVERAGE('20250815_ETF_Options_Exhibits'!C834:C838),"")</f>
        <v/>
      </c>
      <c r="D838" s="3">
        <f>IF(ISNUMBER(AVERAGE('20250815_ETF_Options_Exhibits'!D834:D838)),AVERAGE('20250815_ETF_Options_Exhibits'!D834:D838),"")</f>
        <v/>
      </c>
      <c r="E838" s="3">
        <f>IF(ISNUMBER(AVERAGE('20250815_ETF_Options_Exhibits'!E834:E838)),AVERAGE('20250815_ETF_Options_Exhibits'!E834:E838),"")</f>
        <v/>
      </c>
      <c r="F838" s="3">
        <f>IF(ISNUMBER(AVERAGE('20250815_ETF_Options_Exhibits'!F834:F838)),AVERAGE('20250815_ETF_Options_Exhibits'!F834:F838),"")</f>
        <v/>
      </c>
      <c r="G838" s="3">
        <f>IF(ISNUMBER(AVERAGE('20250815_ETF_Options_Exhibits'!G834:G838)),AVERAGE('20250815_ETF_Options_Exhibits'!G834:G838),"")</f>
        <v/>
      </c>
      <c r="H838" s="3">
        <f>IF(ISNUMBER(AVERAGE('20250815_ETF_Options_Exhibits'!H834:H838)),AVERAGE('20250815_ETF_Options_Exhibits'!H834:H838),"")</f>
        <v/>
      </c>
      <c r="I838" s="3">
        <f>IF(ISNUMBER(AVERAGE('20250815_ETF_Options_Exhibits'!I834:I838)),AVERAGE('20250815_ETF_Options_Exhibits'!I834:I838),"")</f>
        <v/>
      </c>
      <c r="J838" s="3">
        <f>IF(ISNUMBER(AVERAGE('20250815_ETF_Options_Exhibits'!J834:J838)),AVERAGE('20250815_ETF_Options_Exhibits'!J834:J838),"")</f>
        <v/>
      </c>
      <c r="K838" s="3">
        <f>IF(ISNUMBER(AVERAGE('20250815_ETF_Options_Exhibits'!K834:K838)),AVERAGE('20250815_ETF_Options_Exhibits'!K834:K838),"")</f>
        <v/>
      </c>
      <c r="L838" s="3">
        <f>IF(ISNUMBER(AVERAGE('20250815_ETF_Options_Exhibits'!L834:L838)),AVERAGE('20250815_ETF_Options_Exhibits'!L834:L838),"")</f>
        <v/>
      </c>
      <c r="M838" s="3">
        <f>IF(ISNUMBER(AVERAGE('20250815_ETF_Options_Exhibits'!M834:M838)),AVERAGE('20250815_ETF_Options_Exhibits'!M834:M838),"")</f>
        <v/>
      </c>
      <c r="N838" s="3">
        <f>IF(ISNUMBER(AVERAGE('20250815_ETF_Options_Exhibits'!N834:N838)),AVERAGE('20250815_ETF_Options_Exhibits'!N834:N838),"")</f>
        <v/>
      </c>
      <c r="O838" s="3">
        <f>IF(ISNUMBER(AVERAGE('20250815_ETF_Options_Exhibits'!O834:O838)),AVERAGE('20250815_ETF_Options_Exhibits'!O834:O838),"")</f>
        <v/>
      </c>
      <c r="P838" s="3">
        <f>IF(ISNUMBER(AVERAGE('20250815_ETF_Options_Exhibits'!P834:P838)),AVERAGE('20250815_ETF_Options_Exhibits'!P834:P838),"")</f>
        <v/>
      </c>
      <c r="Q838" s="3">
        <f>IF(ISNUMBER(AVERAGE('20250815_ETF_Options_Exhibits'!Q834:Q838)),AVERAGE('20250815_ETF_Options_Exhibits'!Q834:Q838),"")</f>
        <v/>
      </c>
      <c r="R838" s="3">
        <f>IF(ISNUMBER(AVERAGE('20250815_ETF_Options_Exhibits'!R834:R838)),AVERAGE('20250815_ETF_Options_Exhibits'!R834:R838),"")</f>
        <v/>
      </c>
      <c r="S838" s="3">
        <f>IF(ISNUMBER(AVERAGE('20250815_ETF_Options_Exhibits'!S834:S838)),AVERAGE('20250815_ETF_Options_Exhibits'!S834:S838),"")</f>
        <v/>
      </c>
      <c r="T838" s="3">
        <f>IF(ISNUMBER(AVERAGE('20250815_ETF_Options_Exhibits'!T834:T838)),AVERAGE('20250815_ETF_Options_Exhibits'!T834:T838),"")</f>
        <v/>
      </c>
      <c r="U838" s="3">
        <f>IF(ISNUMBER(AVERAGE('20250815_ETF_Options_Exhibits'!U834:U838)),AVERAGE('20250815_ETF_Options_Exhibits'!U834:U838),"")</f>
        <v/>
      </c>
      <c r="V838" s="3">
        <f>IF(ISNUMBER(AVERAGE('20250815_ETF_Options_Exhibits'!V834:V838)),AVERAGE('20250815_ETF_Options_Exhibits'!V834:V838),"")</f>
        <v/>
      </c>
      <c r="W838" s="3">
        <f>IF(ISNUMBER(AVERAGE('20250815_ETF_Options_Exhibits'!W834:W838)),AVERAGE('20250815_ETF_Options_Exhibits'!W834:W838),"")</f>
        <v/>
      </c>
      <c r="X838" s="3">
        <f>IF(ISNUMBER(AVERAGE('20250815_ETF_Options_Exhibits'!X834:X838)),AVERAGE('20250815_ETF_Options_Exhibits'!X834:X838),"")</f>
        <v/>
      </c>
      <c r="Y838" s="3">
        <f>IF(ISNUMBER(AVERAGE('20250815_ETF_Options_Exhibits'!Y834:Y838)),AVERAGE('20250815_ETF_Options_Exhibits'!Y834:Y838),"")</f>
        <v/>
      </c>
      <c r="Z838" s="3">
        <f>IF(ISNUMBER(AVERAGE('20250815_ETF_Options_Exhibits'!Z834:Z838)),AVERAGE('20250815_ETF_Options_Exhibits'!Z834:Z838),"")</f>
        <v/>
      </c>
      <c r="AA838" s="3">
        <f>IF(ISNUMBER(AVERAGE('20250815_ETF_Options_Exhibits'!AA834:AA838)),AVERAGE('20250815_ETF_Options_Exhibits'!AA834:AA838),"")</f>
        <v/>
      </c>
    </row>
    <row r="839">
      <c r="A839" s="1" t="n">
        <v>43221</v>
      </c>
      <c r="B839" s="3">
        <f>IF(ISNUMBER(AVERAGE('20250815_ETF_Options_Exhibits'!B835:B839)),AVERAGE('20250815_ETF_Options_Exhibits'!B835:B839),"")</f>
        <v/>
      </c>
      <c r="C839" s="3">
        <f>IF(ISNUMBER(AVERAGE('20250815_ETF_Options_Exhibits'!C835:C839)),AVERAGE('20250815_ETF_Options_Exhibits'!C835:C839),"")</f>
        <v/>
      </c>
      <c r="D839" s="3">
        <f>IF(ISNUMBER(AVERAGE('20250815_ETF_Options_Exhibits'!D835:D839)),AVERAGE('20250815_ETF_Options_Exhibits'!D835:D839),"")</f>
        <v/>
      </c>
      <c r="E839" s="3">
        <f>IF(ISNUMBER(AVERAGE('20250815_ETF_Options_Exhibits'!E835:E839)),AVERAGE('20250815_ETF_Options_Exhibits'!E835:E839),"")</f>
        <v/>
      </c>
      <c r="F839" s="3">
        <f>IF(ISNUMBER(AVERAGE('20250815_ETF_Options_Exhibits'!F835:F839)),AVERAGE('20250815_ETF_Options_Exhibits'!F835:F839),"")</f>
        <v/>
      </c>
      <c r="G839" s="3">
        <f>IF(ISNUMBER(AVERAGE('20250815_ETF_Options_Exhibits'!G835:G839)),AVERAGE('20250815_ETF_Options_Exhibits'!G835:G839),"")</f>
        <v/>
      </c>
      <c r="H839" s="3">
        <f>IF(ISNUMBER(AVERAGE('20250815_ETF_Options_Exhibits'!H835:H839)),AVERAGE('20250815_ETF_Options_Exhibits'!H835:H839),"")</f>
        <v/>
      </c>
      <c r="I839" s="3">
        <f>IF(ISNUMBER(AVERAGE('20250815_ETF_Options_Exhibits'!I835:I839)),AVERAGE('20250815_ETF_Options_Exhibits'!I835:I839),"")</f>
        <v/>
      </c>
      <c r="J839" s="3">
        <f>IF(ISNUMBER(AVERAGE('20250815_ETF_Options_Exhibits'!J835:J839)),AVERAGE('20250815_ETF_Options_Exhibits'!J835:J839),"")</f>
        <v/>
      </c>
      <c r="K839" s="3">
        <f>IF(ISNUMBER(AVERAGE('20250815_ETF_Options_Exhibits'!K835:K839)),AVERAGE('20250815_ETF_Options_Exhibits'!K835:K839),"")</f>
        <v/>
      </c>
      <c r="L839" s="3">
        <f>IF(ISNUMBER(AVERAGE('20250815_ETF_Options_Exhibits'!L835:L839)),AVERAGE('20250815_ETF_Options_Exhibits'!L835:L839),"")</f>
        <v/>
      </c>
      <c r="M839" s="3">
        <f>IF(ISNUMBER(AVERAGE('20250815_ETF_Options_Exhibits'!M835:M839)),AVERAGE('20250815_ETF_Options_Exhibits'!M835:M839),"")</f>
        <v/>
      </c>
      <c r="N839" s="3">
        <f>IF(ISNUMBER(AVERAGE('20250815_ETF_Options_Exhibits'!N835:N839)),AVERAGE('20250815_ETF_Options_Exhibits'!N835:N839),"")</f>
        <v/>
      </c>
      <c r="O839" s="3">
        <f>IF(ISNUMBER(AVERAGE('20250815_ETF_Options_Exhibits'!O835:O839)),AVERAGE('20250815_ETF_Options_Exhibits'!O835:O839),"")</f>
        <v/>
      </c>
      <c r="P839" s="3">
        <f>IF(ISNUMBER(AVERAGE('20250815_ETF_Options_Exhibits'!P835:P839)),AVERAGE('20250815_ETF_Options_Exhibits'!P835:P839),"")</f>
        <v/>
      </c>
      <c r="Q839" s="3">
        <f>IF(ISNUMBER(AVERAGE('20250815_ETF_Options_Exhibits'!Q835:Q839)),AVERAGE('20250815_ETF_Options_Exhibits'!Q835:Q839),"")</f>
        <v/>
      </c>
      <c r="R839" s="3">
        <f>IF(ISNUMBER(AVERAGE('20250815_ETF_Options_Exhibits'!R835:R839)),AVERAGE('20250815_ETF_Options_Exhibits'!R835:R839),"")</f>
        <v/>
      </c>
      <c r="S839" s="3">
        <f>IF(ISNUMBER(AVERAGE('20250815_ETF_Options_Exhibits'!S835:S839)),AVERAGE('20250815_ETF_Options_Exhibits'!S835:S839),"")</f>
        <v/>
      </c>
      <c r="T839" s="3">
        <f>IF(ISNUMBER(AVERAGE('20250815_ETF_Options_Exhibits'!T835:T839)),AVERAGE('20250815_ETF_Options_Exhibits'!T835:T839),"")</f>
        <v/>
      </c>
      <c r="U839" s="3">
        <f>IF(ISNUMBER(AVERAGE('20250815_ETF_Options_Exhibits'!U835:U839)),AVERAGE('20250815_ETF_Options_Exhibits'!U835:U839),"")</f>
        <v/>
      </c>
      <c r="V839" s="3">
        <f>IF(ISNUMBER(AVERAGE('20250815_ETF_Options_Exhibits'!V835:V839)),AVERAGE('20250815_ETF_Options_Exhibits'!V835:V839),"")</f>
        <v/>
      </c>
      <c r="W839" s="3">
        <f>IF(ISNUMBER(AVERAGE('20250815_ETF_Options_Exhibits'!W835:W839)),AVERAGE('20250815_ETF_Options_Exhibits'!W835:W839),"")</f>
        <v/>
      </c>
      <c r="X839" s="3">
        <f>IF(ISNUMBER(AVERAGE('20250815_ETF_Options_Exhibits'!X835:X839)),AVERAGE('20250815_ETF_Options_Exhibits'!X835:X839),"")</f>
        <v/>
      </c>
      <c r="Y839" s="3">
        <f>IF(ISNUMBER(AVERAGE('20250815_ETF_Options_Exhibits'!Y835:Y839)),AVERAGE('20250815_ETF_Options_Exhibits'!Y835:Y839),"")</f>
        <v/>
      </c>
      <c r="Z839" s="3">
        <f>IF(ISNUMBER(AVERAGE('20250815_ETF_Options_Exhibits'!Z835:Z839)),AVERAGE('20250815_ETF_Options_Exhibits'!Z835:Z839),"")</f>
        <v/>
      </c>
      <c r="AA839" s="3">
        <f>IF(ISNUMBER(AVERAGE('20250815_ETF_Options_Exhibits'!AA835:AA839)),AVERAGE('20250815_ETF_Options_Exhibits'!AA835:AA839),"")</f>
        <v/>
      </c>
    </row>
    <row r="840">
      <c r="A840" s="1" t="n">
        <v>43222</v>
      </c>
      <c r="B840" s="3">
        <f>IF(ISNUMBER(AVERAGE('20250815_ETF_Options_Exhibits'!B836:B840)),AVERAGE('20250815_ETF_Options_Exhibits'!B836:B840),"")</f>
        <v/>
      </c>
      <c r="C840" s="3">
        <f>IF(ISNUMBER(AVERAGE('20250815_ETF_Options_Exhibits'!C836:C840)),AVERAGE('20250815_ETF_Options_Exhibits'!C836:C840),"")</f>
        <v/>
      </c>
      <c r="D840" s="3">
        <f>IF(ISNUMBER(AVERAGE('20250815_ETF_Options_Exhibits'!D836:D840)),AVERAGE('20250815_ETF_Options_Exhibits'!D836:D840),"")</f>
        <v/>
      </c>
      <c r="E840" s="3">
        <f>IF(ISNUMBER(AVERAGE('20250815_ETF_Options_Exhibits'!E836:E840)),AVERAGE('20250815_ETF_Options_Exhibits'!E836:E840),"")</f>
        <v/>
      </c>
      <c r="F840" s="3">
        <f>IF(ISNUMBER(AVERAGE('20250815_ETF_Options_Exhibits'!F836:F840)),AVERAGE('20250815_ETF_Options_Exhibits'!F836:F840),"")</f>
        <v/>
      </c>
      <c r="G840" s="3">
        <f>IF(ISNUMBER(AVERAGE('20250815_ETF_Options_Exhibits'!G836:G840)),AVERAGE('20250815_ETF_Options_Exhibits'!G836:G840),"")</f>
        <v/>
      </c>
      <c r="H840" s="3">
        <f>IF(ISNUMBER(AVERAGE('20250815_ETF_Options_Exhibits'!H836:H840)),AVERAGE('20250815_ETF_Options_Exhibits'!H836:H840),"")</f>
        <v/>
      </c>
      <c r="I840" s="3">
        <f>IF(ISNUMBER(AVERAGE('20250815_ETF_Options_Exhibits'!I836:I840)),AVERAGE('20250815_ETF_Options_Exhibits'!I836:I840),"")</f>
        <v/>
      </c>
      <c r="J840" s="3">
        <f>IF(ISNUMBER(AVERAGE('20250815_ETF_Options_Exhibits'!J836:J840)),AVERAGE('20250815_ETF_Options_Exhibits'!J836:J840),"")</f>
        <v/>
      </c>
      <c r="K840" s="3">
        <f>IF(ISNUMBER(AVERAGE('20250815_ETF_Options_Exhibits'!K836:K840)),AVERAGE('20250815_ETF_Options_Exhibits'!K836:K840),"")</f>
        <v/>
      </c>
      <c r="L840" s="3">
        <f>IF(ISNUMBER(AVERAGE('20250815_ETF_Options_Exhibits'!L836:L840)),AVERAGE('20250815_ETF_Options_Exhibits'!L836:L840),"")</f>
        <v/>
      </c>
      <c r="M840" s="3">
        <f>IF(ISNUMBER(AVERAGE('20250815_ETF_Options_Exhibits'!M836:M840)),AVERAGE('20250815_ETF_Options_Exhibits'!M836:M840),"")</f>
        <v/>
      </c>
      <c r="N840" s="3">
        <f>IF(ISNUMBER(AVERAGE('20250815_ETF_Options_Exhibits'!N836:N840)),AVERAGE('20250815_ETF_Options_Exhibits'!N836:N840),"")</f>
        <v/>
      </c>
      <c r="O840" s="3">
        <f>IF(ISNUMBER(AVERAGE('20250815_ETF_Options_Exhibits'!O836:O840)),AVERAGE('20250815_ETF_Options_Exhibits'!O836:O840),"")</f>
        <v/>
      </c>
      <c r="P840" s="3">
        <f>IF(ISNUMBER(AVERAGE('20250815_ETF_Options_Exhibits'!P836:P840)),AVERAGE('20250815_ETF_Options_Exhibits'!P836:P840),"")</f>
        <v/>
      </c>
      <c r="Q840" s="3">
        <f>IF(ISNUMBER(AVERAGE('20250815_ETF_Options_Exhibits'!Q836:Q840)),AVERAGE('20250815_ETF_Options_Exhibits'!Q836:Q840),"")</f>
        <v/>
      </c>
      <c r="R840" s="3">
        <f>IF(ISNUMBER(AVERAGE('20250815_ETF_Options_Exhibits'!R836:R840)),AVERAGE('20250815_ETF_Options_Exhibits'!R836:R840),"")</f>
        <v/>
      </c>
      <c r="S840" s="3">
        <f>IF(ISNUMBER(AVERAGE('20250815_ETF_Options_Exhibits'!S836:S840)),AVERAGE('20250815_ETF_Options_Exhibits'!S836:S840),"")</f>
        <v/>
      </c>
      <c r="T840" s="3">
        <f>IF(ISNUMBER(AVERAGE('20250815_ETF_Options_Exhibits'!T836:T840)),AVERAGE('20250815_ETF_Options_Exhibits'!T836:T840),"")</f>
        <v/>
      </c>
      <c r="U840" s="3">
        <f>IF(ISNUMBER(AVERAGE('20250815_ETF_Options_Exhibits'!U836:U840)),AVERAGE('20250815_ETF_Options_Exhibits'!U836:U840),"")</f>
        <v/>
      </c>
      <c r="V840" s="3">
        <f>IF(ISNUMBER(AVERAGE('20250815_ETF_Options_Exhibits'!V836:V840)),AVERAGE('20250815_ETF_Options_Exhibits'!V836:V840),"")</f>
        <v/>
      </c>
      <c r="W840" s="3">
        <f>IF(ISNUMBER(AVERAGE('20250815_ETF_Options_Exhibits'!W836:W840)),AVERAGE('20250815_ETF_Options_Exhibits'!W836:W840),"")</f>
        <v/>
      </c>
      <c r="X840" s="3">
        <f>IF(ISNUMBER(AVERAGE('20250815_ETF_Options_Exhibits'!X836:X840)),AVERAGE('20250815_ETF_Options_Exhibits'!X836:X840),"")</f>
        <v/>
      </c>
      <c r="Y840" s="3">
        <f>IF(ISNUMBER(AVERAGE('20250815_ETF_Options_Exhibits'!Y836:Y840)),AVERAGE('20250815_ETF_Options_Exhibits'!Y836:Y840),"")</f>
        <v/>
      </c>
      <c r="Z840" s="3">
        <f>IF(ISNUMBER(AVERAGE('20250815_ETF_Options_Exhibits'!Z836:Z840)),AVERAGE('20250815_ETF_Options_Exhibits'!Z836:Z840),"")</f>
        <v/>
      </c>
      <c r="AA840" s="3">
        <f>IF(ISNUMBER(AVERAGE('20250815_ETF_Options_Exhibits'!AA836:AA840)),AVERAGE('20250815_ETF_Options_Exhibits'!AA836:AA840),"")</f>
        <v/>
      </c>
    </row>
    <row r="841">
      <c r="A841" s="1" t="n">
        <v>43223</v>
      </c>
      <c r="B841" s="3">
        <f>IF(ISNUMBER(AVERAGE('20250815_ETF_Options_Exhibits'!B837:B841)),AVERAGE('20250815_ETF_Options_Exhibits'!B837:B841),"")</f>
        <v/>
      </c>
      <c r="C841" s="3">
        <f>IF(ISNUMBER(AVERAGE('20250815_ETF_Options_Exhibits'!C837:C841)),AVERAGE('20250815_ETF_Options_Exhibits'!C837:C841),"")</f>
        <v/>
      </c>
      <c r="D841" s="3">
        <f>IF(ISNUMBER(AVERAGE('20250815_ETF_Options_Exhibits'!D837:D841)),AVERAGE('20250815_ETF_Options_Exhibits'!D837:D841),"")</f>
        <v/>
      </c>
      <c r="E841" s="3">
        <f>IF(ISNUMBER(AVERAGE('20250815_ETF_Options_Exhibits'!E837:E841)),AVERAGE('20250815_ETF_Options_Exhibits'!E837:E841),"")</f>
        <v/>
      </c>
      <c r="F841" s="3">
        <f>IF(ISNUMBER(AVERAGE('20250815_ETF_Options_Exhibits'!F837:F841)),AVERAGE('20250815_ETF_Options_Exhibits'!F837:F841),"")</f>
        <v/>
      </c>
      <c r="G841" s="3">
        <f>IF(ISNUMBER(AVERAGE('20250815_ETF_Options_Exhibits'!G837:G841)),AVERAGE('20250815_ETF_Options_Exhibits'!G837:G841),"")</f>
        <v/>
      </c>
      <c r="H841" s="3">
        <f>IF(ISNUMBER(AVERAGE('20250815_ETF_Options_Exhibits'!H837:H841)),AVERAGE('20250815_ETF_Options_Exhibits'!H837:H841),"")</f>
        <v/>
      </c>
      <c r="I841" s="3">
        <f>IF(ISNUMBER(AVERAGE('20250815_ETF_Options_Exhibits'!I837:I841)),AVERAGE('20250815_ETF_Options_Exhibits'!I837:I841),"")</f>
        <v/>
      </c>
      <c r="J841" s="3">
        <f>IF(ISNUMBER(AVERAGE('20250815_ETF_Options_Exhibits'!J837:J841)),AVERAGE('20250815_ETF_Options_Exhibits'!J837:J841),"")</f>
        <v/>
      </c>
      <c r="K841" s="3">
        <f>IF(ISNUMBER(AVERAGE('20250815_ETF_Options_Exhibits'!K837:K841)),AVERAGE('20250815_ETF_Options_Exhibits'!K837:K841),"")</f>
        <v/>
      </c>
      <c r="L841" s="3">
        <f>IF(ISNUMBER(AVERAGE('20250815_ETF_Options_Exhibits'!L837:L841)),AVERAGE('20250815_ETF_Options_Exhibits'!L837:L841),"")</f>
        <v/>
      </c>
      <c r="M841" s="3">
        <f>IF(ISNUMBER(AVERAGE('20250815_ETF_Options_Exhibits'!M837:M841)),AVERAGE('20250815_ETF_Options_Exhibits'!M837:M841),"")</f>
        <v/>
      </c>
      <c r="N841" s="3">
        <f>IF(ISNUMBER(AVERAGE('20250815_ETF_Options_Exhibits'!N837:N841)),AVERAGE('20250815_ETF_Options_Exhibits'!N837:N841),"")</f>
        <v/>
      </c>
      <c r="O841" s="3">
        <f>IF(ISNUMBER(AVERAGE('20250815_ETF_Options_Exhibits'!O837:O841)),AVERAGE('20250815_ETF_Options_Exhibits'!O837:O841),"")</f>
        <v/>
      </c>
      <c r="P841" s="3">
        <f>IF(ISNUMBER(AVERAGE('20250815_ETF_Options_Exhibits'!P837:P841)),AVERAGE('20250815_ETF_Options_Exhibits'!P837:P841),"")</f>
        <v/>
      </c>
      <c r="Q841" s="3">
        <f>IF(ISNUMBER(AVERAGE('20250815_ETF_Options_Exhibits'!Q837:Q841)),AVERAGE('20250815_ETF_Options_Exhibits'!Q837:Q841),"")</f>
        <v/>
      </c>
      <c r="R841" s="3">
        <f>IF(ISNUMBER(AVERAGE('20250815_ETF_Options_Exhibits'!R837:R841)),AVERAGE('20250815_ETF_Options_Exhibits'!R837:R841),"")</f>
        <v/>
      </c>
      <c r="S841" s="3">
        <f>IF(ISNUMBER(AVERAGE('20250815_ETF_Options_Exhibits'!S837:S841)),AVERAGE('20250815_ETF_Options_Exhibits'!S837:S841),"")</f>
        <v/>
      </c>
      <c r="T841" s="3">
        <f>IF(ISNUMBER(AVERAGE('20250815_ETF_Options_Exhibits'!T837:T841)),AVERAGE('20250815_ETF_Options_Exhibits'!T837:T841),"")</f>
        <v/>
      </c>
      <c r="U841" s="3">
        <f>IF(ISNUMBER(AVERAGE('20250815_ETF_Options_Exhibits'!U837:U841)),AVERAGE('20250815_ETF_Options_Exhibits'!U837:U841),"")</f>
        <v/>
      </c>
      <c r="V841" s="3">
        <f>IF(ISNUMBER(AVERAGE('20250815_ETF_Options_Exhibits'!V837:V841)),AVERAGE('20250815_ETF_Options_Exhibits'!V837:V841),"")</f>
        <v/>
      </c>
      <c r="W841" s="3">
        <f>IF(ISNUMBER(AVERAGE('20250815_ETF_Options_Exhibits'!W837:W841)),AVERAGE('20250815_ETF_Options_Exhibits'!W837:W841),"")</f>
        <v/>
      </c>
      <c r="X841" s="3">
        <f>IF(ISNUMBER(AVERAGE('20250815_ETF_Options_Exhibits'!X837:X841)),AVERAGE('20250815_ETF_Options_Exhibits'!X837:X841),"")</f>
        <v/>
      </c>
      <c r="Y841" s="3">
        <f>IF(ISNUMBER(AVERAGE('20250815_ETF_Options_Exhibits'!Y837:Y841)),AVERAGE('20250815_ETF_Options_Exhibits'!Y837:Y841),"")</f>
        <v/>
      </c>
      <c r="Z841" s="3">
        <f>IF(ISNUMBER(AVERAGE('20250815_ETF_Options_Exhibits'!Z837:Z841)),AVERAGE('20250815_ETF_Options_Exhibits'!Z837:Z841),"")</f>
        <v/>
      </c>
      <c r="AA841" s="3">
        <f>IF(ISNUMBER(AVERAGE('20250815_ETF_Options_Exhibits'!AA837:AA841)),AVERAGE('20250815_ETF_Options_Exhibits'!AA837:AA841),"")</f>
        <v/>
      </c>
    </row>
    <row r="842">
      <c r="A842" s="1" t="n">
        <v>43224</v>
      </c>
      <c r="B842" s="3">
        <f>IF(ISNUMBER(AVERAGE('20250815_ETF_Options_Exhibits'!B838:B842)),AVERAGE('20250815_ETF_Options_Exhibits'!B838:B842),"")</f>
        <v/>
      </c>
      <c r="C842" s="3">
        <f>IF(ISNUMBER(AVERAGE('20250815_ETF_Options_Exhibits'!C838:C842)),AVERAGE('20250815_ETF_Options_Exhibits'!C838:C842),"")</f>
        <v/>
      </c>
      <c r="D842" s="3">
        <f>IF(ISNUMBER(AVERAGE('20250815_ETF_Options_Exhibits'!D838:D842)),AVERAGE('20250815_ETF_Options_Exhibits'!D838:D842),"")</f>
        <v/>
      </c>
      <c r="E842" s="3">
        <f>IF(ISNUMBER(AVERAGE('20250815_ETF_Options_Exhibits'!E838:E842)),AVERAGE('20250815_ETF_Options_Exhibits'!E838:E842),"")</f>
        <v/>
      </c>
      <c r="F842" s="3">
        <f>IF(ISNUMBER(AVERAGE('20250815_ETF_Options_Exhibits'!F838:F842)),AVERAGE('20250815_ETF_Options_Exhibits'!F838:F842),"")</f>
        <v/>
      </c>
      <c r="G842" s="3">
        <f>IF(ISNUMBER(AVERAGE('20250815_ETF_Options_Exhibits'!G838:G842)),AVERAGE('20250815_ETF_Options_Exhibits'!G838:G842),"")</f>
        <v/>
      </c>
      <c r="H842" s="3">
        <f>IF(ISNUMBER(AVERAGE('20250815_ETF_Options_Exhibits'!H838:H842)),AVERAGE('20250815_ETF_Options_Exhibits'!H838:H842),"")</f>
        <v/>
      </c>
      <c r="I842" s="3">
        <f>IF(ISNUMBER(AVERAGE('20250815_ETF_Options_Exhibits'!I838:I842)),AVERAGE('20250815_ETF_Options_Exhibits'!I838:I842),"")</f>
        <v/>
      </c>
      <c r="J842" s="3">
        <f>IF(ISNUMBER(AVERAGE('20250815_ETF_Options_Exhibits'!J838:J842)),AVERAGE('20250815_ETF_Options_Exhibits'!J838:J842),"")</f>
        <v/>
      </c>
      <c r="K842" s="3">
        <f>IF(ISNUMBER(AVERAGE('20250815_ETF_Options_Exhibits'!K838:K842)),AVERAGE('20250815_ETF_Options_Exhibits'!K838:K842),"")</f>
        <v/>
      </c>
      <c r="L842" s="3">
        <f>IF(ISNUMBER(AVERAGE('20250815_ETF_Options_Exhibits'!L838:L842)),AVERAGE('20250815_ETF_Options_Exhibits'!L838:L842),"")</f>
        <v/>
      </c>
      <c r="M842" s="3">
        <f>IF(ISNUMBER(AVERAGE('20250815_ETF_Options_Exhibits'!M838:M842)),AVERAGE('20250815_ETF_Options_Exhibits'!M838:M842),"")</f>
        <v/>
      </c>
      <c r="N842" s="3">
        <f>IF(ISNUMBER(AVERAGE('20250815_ETF_Options_Exhibits'!N838:N842)),AVERAGE('20250815_ETF_Options_Exhibits'!N838:N842),"")</f>
        <v/>
      </c>
      <c r="O842" s="3">
        <f>IF(ISNUMBER(AVERAGE('20250815_ETF_Options_Exhibits'!O838:O842)),AVERAGE('20250815_ETF_Options_Exhibits'!O838:O842),"")</f>
        <v/>
      </c>
      <c r="P842" s="3">
        <f>IF(ISNUMBER(AVERAGE('20250815_ETF_Options_Exhibits'!P838:P842)),AVERAGE('20250815_ETF_Options_Exhibits'!P838:P842),"")</f>
        <v/>
      </c>
      <c r="Q842" s="3">
        <f>IF(ISNUMBER(AVERAGE('20250815_ETF_Options_Exhibits'!Q838:Q842)),AVERAGE('20250815_ETF_Options_Exhibits'!Q838:Q842),"")</f>
        <v/>
      </c>
      <c r="R842" s="3">
        <f>IF(ISNUMBER(AVERAGE('20250815_ETF_Options_Exhibits'!R838:R842)),AVERAGE('20250815_ETF_Options_Exhibits'!R838:R842),"")</f>
        <v/>
      </c>
      <c r="S842" s="3">
        <f>IF(ISNUMBER(AVERAGE('20250815_ETF_Options_Exhibits'!S838:S842)),AVERAGE('20250815_ETF_Options_Exhibits'!S838:S842),"")</f>
        <v/>
      </c>
      <c r="T842" s="3">
        <f>IF(ISNUMBER(AVERAGE('20250815_ETF_Options_Exhibits'!T838:T842)),AVERAGE('20250815_ETF_Options_Exhibits'!T838:T842),"")</f>
        <v/>
      </c>
      <c r="U842" s="3">
        <f>IF(ISNUMBER(AVERAGE('20250815_ETF_Options_Exhibits'!U838:U842)),AVERAGE('20250815_ETF_Options_Exhibits'!U838:U842),"")</f>
        <v/>
      </c>
      <c r="V842" s="3">
        <f>IF(ISNUMBER(AVERAGE('20250815_ETF_Options_Exhibits'!V838:V842)),AVERAGE('20250815_ETF_Options_Exhibits'!V838:V842),"")</f>
        <v/>
      </c>
      <c r="W842" s="3">
        <f>IF(ISNUMBER(AVERAGE('20250815_ETF_Options_Exhibits'!W838:W842)),AVERAGE('20250815_ETF_Options_Exhibits'!W838:W842),"")</f>
        <v/>
      </c>
      <c r="X842" s="3">
        <f>IF(ISNUMBER(AVERAGE('20250815_ETF_Options_Exhibits'!X838:X842)),AVERAGE('20250815_ETF_Options_Exhibits'!X838:X842),"")</f>
        <v/>
      </c>
      <c r="Y842" s="3">
        <f>IF(ISNUMBER(AVERAGE('20250815_ETF_Options_Exhibits'!Y838:Y842)),AVERAGE('20250815_ETF_Options_Exhibits'!Y838:Y842),"")</f>
        <v/>
      </c>
      <c r="Z842" s="3">
        <f>IF(ISNUMBER(AVERAGE('20250815_ETF_Options_Exhibits'!Z838:Z842)),AVERAGE('20250815_ETF_Options_Exhibits'!Z838:Z842),"")</f>
        <v/>
      </c>
      <c r="AA842" s="3">
        <f>IF(ISNUMBER(AVERAGE('20250815_ETF_Options_Exhibits'!AA838:AA842)),AVERAGE('20250815_ETF_Options_Exhibits'!AA838:AA842),"")</f>
        <v/>
      </c>
    </row>
    <row r="843">
      <c r="A843" s="1" t="n">
        <v>43227</v>
      </c>
      <c r="B843" s="3">
        <f>IF(ISNUMBER(AVERAGE('20250815_ETF_Options_Exhibits'!B839:B843)),AVERAGE('20250815_ETF_Options_Exhibits'!B839:B843),"")</f>
        <v/>
      </c>
      <c r="C843" s="3">
        <f>IF(ISNUMBER(AVERAGE('20250815_ETF_Options_Exhibits'!C839:C843)),AVERAGE('20250815_ETF_Options_Exhibits'!C839:C843),"")</f>
        <v/>
      </c>
      <c r="D843" s="3">
        <f>IF(ISNUMBER(AVERAGE('20250815_ETF_Options_Exhibits'!D839:D843)),AVERAGE('20250815_ETF_Options_Exhibits'!D839:D843),"")</f>
        <v/>
      </c>
      <c r="E843" s="3">
        <f>IF(ISNUMBER(AVERAGE('20250815_ETF_Options_Exhibits'!E839:E843)),AVERAGE('20250815_ETF_Options_Exhibits'!E839:E843),"")</f>
        <v/>
      </c>
      <c r="F843" s="3">
        <f>IF(ISNUMBER(AVERAGE('20250815_ETF_Options_Exhibits'!F839:F843)),AVERAGE('20250815_ETF_Options_Exhibits'!F839:F843),"")</f>
        <v/>
      </c>
      <c r="G843" s="3">
        <f>IF(ISNUMBER(AVERAGE('20250815_ETF_Options_Exhibits'!G839:G843)),AVERAGE('20250815_ETF_Options_Exhibits'!G839:G843),"")</f>
        <v/>
      </c>
      <c r="H843" s="3">
        <f>IF(ISNUMBER(AVERAGE('20250815_ETF_Options_Exhibits'!H839:H843)),AVERAGE('20250815_ETF_Options_Exhibits'!H839:H843),"")</f>
        <v/>
      </c>
      <c r="I843" s="3">
        <f>IF(ISNUMBER(AVERAGE('20250815_ETF_Options_Exhibits'!I839:I843)),AVERAGE('20250815_ETF_Options_Exhibits'!I839:I843),"")</f>
        <v/>
      </c>
      <c r="J843" s="3">
        <f>IF(ISNUMBER(AVERAGE('20250815_ETF_Options_Exhibits'!J839:J843)),AVERAGE('20250815_ETF_Options_Exhibits'!J839:J843),"")</f>
        <v/>
      </c>
      <c r="K843" s="3">
        <f>IF(ISNUMBER(AVERAGE('20250815_ETF_Options_Exhibits'!K839:K843)),AVERAGE('20250815_ETF_Options_Exhibits'!K839:K843),"")</f>
        <v/>
      </c>
      <c r="L843" s="3">
        <f>IF(ISNUMBER(AVERAGE('20250815_ETF_Options_Exhibits'!L839:L843)),AVERAGE('20250815_ETF_Options_Exhibits'!L839:L843),"")</f>
        <v/>
      </c>
      <c r="M843" s="3">
        <f>IF(ISNUMBER(AVERAGE('20250815_ETF_Options_Exhibits'!M839:M843)),AVERAGE('20250815_ETF_Options_Exhibits'!M839:M843),"")</f>
        <v/>
      </c>
      <c r="N843" s="3">
        <f>IF(ISNUMBER(AVERAGE('20250815_ETF_Options_Exhibits'!N839:N843)),AVERAGE('20250815_ETF_Options_Exhibits'!N839:N843),"")</f>
        <v/>
      </c>
      <c r="O843" s="3">
        <f>IF(ISNUMBER(AVERAGE('20250815_ETF_Options_Exhibits'!O839:O843)),AVERAGE('20250815_ETF_Options_Exhibits'!O839:O843),"")</f>
        <v/>
      </c>
      <c r="P843" s="3">
        <f>IF(ISNUMBER(AVERAGE('20250815_ETF_Options_Exhibits'!P839:P843)),AVERAGE('20250815_ETF_Options_Exhibits'!P839:P843),"")</f>
        <v/>
      </c>
      <c r="Q843" s="3">
        <f>IF(ISNUMBER(AVERAGE('20250815_ETF_Options_Exhibits'!Q839:Q843)),AVERAGE('20250815_ETF_Options_Exhibits'!Q839:Q843),"")</f>
        <v/>
      </c>
      <c r="R843" s="3">
        <f>IF(ISNUMBER(AVERAGE('20250815_ETF_Options_Exhibits'!R839:R843)),AVERAGE('20250815_ETF_Options_Exhibits'!R839:R843),"")</f>
        <v/>
      </c>
      <c r="S843" s="3">
        <f>IF(ISNUMBER(AVERAGE('20250815_ETF_Options_Exhibits'!S839:S843)),AVERAGE('20250815_ETF_Options_Exhibits'!S839:S843),"")</f>
        <v/>
      </c>
      <c r="T843" s="3">
        <f>IF(ISNUMBER(AVERAGE('20250815_ETF_Options_Exhibits'!T839:T843)),AVERAGE('20250815_ETF_Options_Exhibits'!T839:T843),"")</f>
        <v/>
      </c>
      <c r="U843" s="3">
        <f>IF(ISNUMBER(AVERAGE('20250815_ETF_Options_Exhibits'!U839:U843)),AVERAGE('20250815_ETF_Options_Exhibits'!U839:U843),"")</f>
        <v/>
      </c>
      <c r="V843" s="3">
        <f>IF(ISNUMBER(AVERAGE('20250815_ETF_Options_Exhibits'!V839:V843)),AVERAGE('20250815_ETF_Options_Exhibits'!V839:V843),"")</f>
        <v/>
      </c>
      <c r="W843" s="3">
        <f>IF(ISNUMBER(AVERAGE('20250815_ETF_Options_Exhibits'!W839:W843)),AVERAGE('20250815_ETF_Options_Exhibits'!W839:W843),"")</f>
        <v/>
      </c>
      <c r="X843" s="3">
        <f>IF(ISNUMBER(AVERAGE('20250815_ETF_Options_Exhibits'!X839:X843)),AVERAGE('20250815_ETF_Options_Exhibits'!X839:X843),"")</f>
        <v/>
      </c>
      <c r="Y843" s="3">
        <f>IF(ISNUMBER(AVERAGE('20250815_ETF_Options_Exhibits'!Y839:Y843)),AVERAGE('20250815_ETF_Options_Exhibits'!Y839:Y843),"")</f>
        <v/>
      </c>
      <c r="Z843" s="3">
        <f>IF(ISNUMBER(AVERAGE('20250815_ETF_Options_Exhibits'!Z839:Z843)),AVERAGE('20250815_ETF_Options_Exhibits'!Z839:Z843),"")</f>
        <v/>
      </c>
      <c r="AA843" s="3">
        <f>IF(ISNUMBER(AVERAGE('20250815_ETF_Options_Exhibits'!AA839:AA843)),AVERAGE('20250815_ETF_Options_Exhibits'!AA839:AA843),"")</f>
        <v/>
      </c>
    </row>
    <row r="844">
      <c r="A844" s="1" t="n">
        <v>43228</v>
      </c>
      <c r="B844" s="3">
        <f>IF(ISNUMBER(AVERAGE('20250815_ETF_Options_Exhibits'!B840:B844)),AVERAGE('20250815_ETF_Options_Exhibits'!B840:B844),"")</f>
        <v/>
      </c>
      <c r="C844" s="3">
        <f>IF(ISNUMBER(AVERAGE('20250815_ETF_Options_Exhibits'!C840:C844)),AVERAGE('20250815_ETF_Options_Exhibits'!C840:C844),"")</f>
        <v/>
      </c>
      <c r="D844" s="3">
        <f>IF(ISNUMBER(AVERAGE('20250815_ETF_Options_Exhibits'!D840:D844)),AVERAGE('20250815_ETF_Options_Exhibits'!D840:D844),"")</f>
        <v/>
      </c>
      <c r="E844" s="3">
        <f>IF(ISNUMBER(AVERAGE('20250815_ETF_Options_Exhibits'!E840:E844)),AVERAGE('20250815_ETF_Options_Exhibits'!E840:E844),"")</f>
        <v/>
      </c>
      <c r="F844" s="3">
        <f>IF(ISNUMBER(AVERAGE('20250815_ETF_Options_Exhibits'!F840:F844)),AVERAGE('20250815_ETF_Options_Exhibits'!F840:F844),"")</f>
        <v/>
      </c>
      <c r="G844" s="3">
        <f>IF(ISNUMBER(AVERAGE('20250815_ETF_Options_Exhibits'!G840:G844)),AVERAGE('20250815_ETF_Options_Exhibits'!G840:G844),"")</f>
        <v/>
      </c>
      <c r="H844" s="3">
        <f>IF(ISNUMBER(AVERAGE('20250815_ETF_Options_Exhibits'!H840:H844)),AVERAGE('20250815_ETF_Options_Exhibits'!H840:H844),"")</f>
        <v/>
      </c>
      <c r="I844" s="3">
        <f>IF(ISNUMBER(AVERAGE('20250815_ETF_Options_Exhibits'!I840:I844)),AVERAGE('20250815_ETF_Options_Exhibits'!I840:I844),"")</f>
        <v/>
      </c>
      <c r="J844" s="3">
        <f>IF(ISNUMBER(AVERAGE('20250815_ETF_Options_Exhibits'!J840:J844)),AVERAGE('20250815_ETF_Options_Exhibits'!J840:J844),"")</f>
        <v/>
      </c>
      <c r="K844" s="3">
        <f>IF(ISNUMBER(AVERAGE('20250815_ETF_Options_Exhibits'!K840:K844)),AVERAGE('20250815_ETF_Options_Exhibits'!K840:K844),"")</f>
        <v/>
      </c>
      <c r="L844" s="3">
        <f>IF(ISNUMBER(AVERAGE('20250815_ETF_Options_Exhibits'!L840:L844)),AVERAGE('20250815_ETF_Options_Exhibits'!L840:L844),"")</f>
        <v/>
      </c>
      <c r="M844" s="3">
        <f>IF(ISNUMBER(AVERAGE('20250815_ETF_Options_Exhibits'!M840:M844)),AVERAGE('20250815_ETF_Options_Exhibits'!M840:M844),"")</f>
        <v/>
      </c>
      <c r="N844" s="3">
        <f>IF(ISNUMBER(AVERAGE('20250815_ETF_Options_Exhibits'!N840:N844)),AVERAGE('20250815_ETF_Options_Exhibits'!N840:N844),"")</f>
        <v/>
      </c>
      <c r="O844" s="3">
        <f>IF(ISNUMBER(AVERAGE('20250815_ETF_Options_Exhibits'!O840:O844)),AVERAGE('20250815_ETF_Options_Exhibits'!O840:O844),"")</f>
        <v/>
      </c>
      <c r="P844" s="3">
        <f>IF(ISNUMBER(AVERAGE('20250815_ETF_Options_Exhibits'!P840:P844)),AVERAGE('20250815_ETF_Options_Exhibits'!P840:P844),"")</f>
        <v/>
      </c>
      <c r="Q844" s="3">
        <f>IF(ISNUMBER(AVERAGE('20250815_ETF_Options_Exhibits'!Q840:Q844)),AVERAGE('20250815_ETF_Options_Exhibits'!Q840:Q844),"")</f>
        <v/>
      </c>
      <c r="R844" s="3">
        <f>IF(ISNUMBER(AVERAGE('20250815_ETF_Options_Exhibits'!R840:R844)),AVERAGE('20250815_ETF_Options_Exhibits'!R840:R844),"")</f>
        <v/>
      </c>
      <c r="S844" s="3">
        <f>IF(ISNUMBER(AVERAGE('20250815_ETF_Options_Exhibits'!S840:S844)),AVERAGE('20250815_ETF_Options_Exhibits'!S840:S844),"")</f>
        <v/>
      </c>
      <c r="T844" s="3">
        <f>IF(ISNUMBER(AVERAGE('20250815_ETF_Options_Exhibits'!T840:T844)),AVERAGE('20250815_ETF_Options_Exhibits'!T840:T844),"")</f>
        <v/>
      </c>
      <c r="U844" s="3">
        <f>IF(ISNUMBER(AVERAGE('20250815_ETF_Options_Exhibits'!U840:U844)),AVERAGE('20250815_ETF_Options_Exhibits'!U840:U844),"")</f>
        <v/>
      </c>
      <c r="V844" s="3">
        <f>IF(ISNUMBER(AVERAGE('20250815_ETF_Options_Exhibits'!V840:V844)),AVERAGE('20250815_ETF_Options_Exhibits'!V840:V844),"")</f>
        <v/>
      </c>
      <c r="W844" s="3">
        <f>IF(ISNUMBER(AVERAGE('20250815_ETF_Options_Exhibits'!W840:W844)),AVERAGE('20250815_ETF_Options_Exhibits'!W840:W844),"")</f>
        <v/>
      </c>
      <c r="X844" s="3">
        <f>IF(ISNUMBER(AVERAGE('20250815_ETF_Options_Exhibits'!X840:X844)),AVERAGE('20250815_ETF_Options_Exhibits'!X840:X844),"")</f>
        <v/>
      </c>
      <c r="Y844" s="3">
        <f>IF(ISNUMBER(AVERAGE('20250815_ETF_Options_Exhibits'!Y840:Y844)),AVERAGE('20250815_ETF_Options_Exhibits'!Y840:Y844),"")</f>
        <v/>
      </c>
      <c r="Z844" s="3">
        <f>IF(ISNUMBER(AVERAGE('20250815_ETF_Options_Exhibits'!Z840:Z844)),AVERAGE('20250815_ETF_Options_Exhibits'!Z840:Z844),"")</f>
        <v/>
      </c>
      <c r="AA844" s="3">
        <f>IF(ISNUMBER(AVERAGE('20250815_ETF_Options_Exhibits'!AA840:AA844)),AVERAGE('20250815_ETF_Options_Exhibits'!AA840:AA844),"")</f>
        <v/>
      </c>
    </row>
    <row r="845">
      <c r="A845" s="1" t="n">
        <v>43229</v>
      </c>
      <c r="B845" s="3">
        <f>IF(ISNUMBER(AVERAGE('20250815_ETF_Options_Exhibits'!B841:B845)),AVERAGE('20250815_ETF_Options_Exhibits'!B841:B845),"")</f>
        <v/>
      </c>
      <c r="C845" s="3">
        <f>IF(ISNUMBER(AVERAGE('20250815_ETF_Options_Exhibits'!C841:C845)),AVERAGE('20250815_ETF_Options_Exhibits'!C841:C845),"")</f>
        <v/>
      </c>
      <c r="D845" s="3">
        <f>IF(ISNUMBER(AVERAGE('20250815_ETF_Options_Exhibits'!D841:D845)),AVERAGE('20250815_ETF_Options_Exhibits'!D841:D845),"")</f>
        <v/>
      </c>
      <c r="E845" s="3">
        <f>IF(ISNUMBER(AVERAGE('20250815_ETF_Options_Exhibits'!E841:E845)),AVERAGE('20250815_ETF_Options_Exhibits'!E841:E845),"")</f>
        <v/>
      </c>
      <c r="F845" s="3">
        <f>IF(ISNUMBER(AVERAGE('20250815_ETF_Options_Exhibits'!F841:F845)),AVERAGE('20250815_ETF_Options_Exhibits'!F841:F845),"")</f>
        <v/>
      </c>
      <c r="G845" s="3">
        <f>IF(ISNUMBER(AVERAGE('20250815_ETF_Options_Exhibits'!G841:G845)),AVERAGE('20250815_ETF_Options_Exhibits'!G841:G845),"")</f>
        <v/>
      </c>
      <c r="H845" s="3">
        <f>IF(ISNUMBER(AVERAGE('20250815_ETF_Options_Exhibits'!H841:H845)),AVERAGE('20250815_ETF_Options_Exhibits'!H841:H845),"")</f>
        <v/>
      </c>
      <c r="I845" s="3">
        <f>IF(ISNUMBER(AVERAGE('20250815_ETF_Options_Exhibits'!I841:I845)),AVERAGE('20250815_ETF_Options_Exhibits'!I841:I845),"")</f>
        <v/>
      </c>
      <c r="J845" s="3">
        <f>IF(ISNUMBER(AVERAGE('20250815_ETF_Options_Exhibits'!J841:J845)),AVERAGE('20250815_ETF_Options_Exhibits'!J841:J845),"")</f>
        <v/>
      </c>
      <c r="K845" s="3">
        <f>IF(ISNUMBER(AVERAGE('20250815_ETF_Options_Exhibits'!K841:K845)),AVERAGE('20250815_ETF_Options_Exhibits'!K841:K845),"")</f>
        <v/>
      </c>
      <c r="L845" s="3">
        <f>IF(ISNUMBER(AVERAGE('20250815_ETF_Options_Exhibits'!L841:L845)),AVERAGE('20250815_ETF_Options_Exhibits'!L841:L845),"")</f>
        <v/>
      </c>
      <c r="M845" s="3">
        <f>IF(ISNUMBER(AVERAGE('20250815_ETF_Options_Exhibits'!M841:M845)),AVERAGE('20250815_ETF_Options_Exhibits'!M841:M845),"")</f>
        <v/>
      </c>
      <c r="N845" s="3">
        <f>IF(ISNUMBER(AVERAGE('20250815_ETF_Options_Exhibits'!N841:N845)),AVERAGE('20250815_ETF_Options_Exhibits'!N841:N845),"")</f>
        <v/>
      </c>
      <c r="O845" s="3">
        <f>IF(ISNUMBER(AVERAGE('20250815_ETF_Options_Exhibits'!O841:O845)),AVERAGE('20250815_ETF_Options_Exhibits'!O841:O845),"")</f>
        <v/>
      </c>
      <c r="P845" s="3">
        <f>IF(ISNUMBER(AVERAGE('20250815_ETF_Options_Exhibits'!P841:P845)),AVERAGE('20250815_ETF_Options_Exhibits'!P841:P845),"")</f>
        <v/>
      </c>
      <c r="Q845" s="3">
        <f>IF(ISNUMBER(AVERAGE('20250815_ETF_Options_Exhibits'!Q841:Q845)),AVERAGE('20250815_ETF_Options_Exhibits'!Q841:Q845),"")</f>
        <v/>
      </c>
      <c r="R845" s="3">
        <f>IF(ISNUMBER(AVERAGE('20250815_ETF_Options_Exhibits'!R841:R845)),AVERAGE('20250815_ETF_Options_Exhibits'!R841:R845),"")</f>
        <v/>
      </c>
      <c r="S845" s="3">
        <f>IF(ISNUMBER(AVERAGE('20250815_ETF_Options_Exhibits'!S841:S845)),AVERAGE('20250815_ETF_Options_Exhibits'!S841:S845),"")</f>
        <v/>
      </c>
      <c r="T845" s="3">
        <f>IF(ISNUMBER(AVERAGE('20250815_ETF_Options_Exhibits'!T841:T845)),AVERAGE('20250815_ETF_Options_Exhibits'!T841:T845),"")</f>
        <v/>
      </c>
      <c r="U845" s="3">
        <f>IF(ISNUMBER(AVERAGE('20250815_ETF_Options_Exhibits'!U841:U845)),AVERAGE('20250815_ETF_Options_Exhibits'!U841:U845),"")</f>
        <v/>
      </c>
      <c r="V845" s="3">
        <f>IF(ISNUMBER(AVERAGE('20250815_ETF_Options_Exhibits'!V841:V845)),AVERAGE('20250815_ETF_Options_Exhibits'!V841:V845),"")</f>
        <v/>
      </c>
      <c r="W845" s="3">
        <f>IF(ISNUMBER(AVERAGE('20250815_ETF_Options_Exhibits'!W841:W845)),AVERAGE('20250815_ETF_Options_Exhibits'!W841:W845),"")</f>
        <v/>
      </c>
      <c r="X845" s="3">
        <f>IF(ISNUMBER(AVERAGE('20250815_ETF_Options_Exhibits'!X841:X845)),AVERAGE('20250815_ETF_Options_Exhibits'!X841:X845),"")</f>
        <v/>
      </c>
      <c r="Y845" s="3">
        <f>IF(ISNUMBER(AVERAGE('20250815_ETF_Options_Exhibits'!Y841:Y845)),AVERAGE('20250815_ETF_Options_Exhibits'!Y841:Y845),"")</f>
        <v/>
      </c>
      <c r="Z845" s="3">
        <f>IF(ISNUMBER(AVERAGE('20250815_ETF_Options_Exhibits'!Z841:Z845)),AVERAGE('20250815_ETF_Options_Exhibits'!Z841:Z845),"")</f>
        <v/>
      </c>
      <c r="AA845" s="3">
        <f>IF(ISNUMBER(AVERAGE('20250815_ETF_Options_Exhibits'!AA841:AA845)),AVERAGE('20250815_ETF_Options_Exhibits'!AA841:AA845),"")</f>
        <v/>
      </c>
    </row>
    <row r="846">
      <c r="A846" s="1" t="n">
        <v>43230</v>
      </c>
      <c r="B846" s="3">
        <f>IF(ISNUMBER(AVERAGE('20250815_ETF_Options_Exhibits'!B842:B846)),AVERAGE('20250815_ETF_Options_Exhibits'!B842:B846),"")</f>
        <v/>
      </c>
      <c r="C846" s="3">
        <f>IF(ISNUMBER(AVERAGE('20250815_ETF_Options_Exhibits'!C842:C846)),AVERAGE('20250815_ETF_Options_Exhibits'!C842:C846),"")</f>
        <v/>
      </c>
      <c r="D846" s="3">
        <f>IF(ISNUMBER(AVERAGE('20250815_ETF_Options_Exhibits'!D842:D846)),AVERAGE('20250815_ETF_Options_Exhibits'!D842:D846),"")</f>
        <v/>
      </c>
      <c r="E846" s="3">
        <f>IF(ISNUMBER(AVERAGE('20250815_ETF_Options_Exhibits'!E842:E846)),AVERAGE('20250815_ETF_Options_Exhibits'!E842:E846),"")</f>
        <v/>
      </c>
      <c r="F846" s="3">
        <f>IF(ISNUMBER(AVERAGE('20250815_ETF_Options_Exhibits'!F842:F846)),AVERAGE('20250815_ETF_Options_Exhibits'!F842:F846),"")</f>
        <v/>
      </c>
      <c r="G846" s="3">
        <f>IF(ISNUMBER(AVERAGE('20250815_ETF_Options_Exhibits'!G842:G846)),AVERAGE('20250815_ETF_Options_Exhibits'!G842:G846),"")</f>
        <v/>
      </c>
      <c r="H846" s="3">
        <f>IF(ISNUMBER(AVERAGE('20250815_ETF_Options_Exhibits'!H842:H846)),AVERAGE('20250815_ETF_Options_Exhibits'!H842:H846),"")</f>
        <v/>
      </c>
      <c r="I846" s="3">
        <f>IF(ISNUMBER(AVERAGE('20250815_ETF_Options_Exhibits'!I842:I846)),AVERAGE('20250815_ETF_Options_Exhibits'!I842:I846),"")</f>
        <v/>
      </c>
      <c r="J846" s="3">
        <f>IF(ISNUMBER(AVERAGE('20250815_ETF_Options_Exhibits'!J842:J846)),AVERAGE('20250815_ETF_Options_Exhibits'!J842:J846),"")</f>
        <v/>
      </c>
      <c r="K846" s="3">
        <f>IF(ISNUMBER(AVERAGE('20250815_ETF_Options_Exhibits'!K842:K846)),AVERAGE('20250815_ETF_Options_Exhibits'!K842:K846),"")</f>
        <v/>
      </c>
      <c r="L846" s="3">
        <f>IF(ISNUMBER(AVERAGE('20250815_ETF_Options_Exhibits'!L842:L846)),AVERAGE('20250815_ETF_Options_Exhibits'!L842:L846),"")</f>
        <v/>
      </c>
      <c r="M846" s="3">
        <f>IF(ISNUMBER(AVERAGE('20250815_ETF_Options_Exhibits'!M842:M846)),AVERAGE('20250815_ETF_Options_Exhibits'!M842:M846),"")</f>
        <v/>
      </c>
      <c r="N846" s="3">
        <f>IF(ISNUMBER(AVERAGE('20250815_ETF_Options_Exhibits'!N842:N846)),AVERAGE('20250815_ETF_Options_Exhibits'!N842:N846),"")</f>
        <v/>
      </c>
      <c r="O846" s="3">
        <f>IF(ISNUMBER(AVERAGE('20250815_ETF_Options_Exhibits'!O842:O846)),AVERAGE('20250815_ETF_Options_Exhibits'!O842:O846),"")</f>
        <v/>
      </c>
      <c r="P846" s="3">
        <f>IF(ISNUMBER(AVERAGE('20250815_ETF_Options_Exhibits'!P842:P846)),AVERAGE('20250815_ETF_Options_Exhibits'!P842:P846),"")</f>
        <v/>
      </c>
      <c r="Q846" s="3">
        <f>IF(ISNUMBER(AVERAGE('20250815_ETF_Options_Exhibits'!Q842:Q846)),AVERAGE('20250815_ETF_Options_Exhibits'!Q842:Q846),"")</f>
        <v/>
      </c>
      <c r="R846" s="3">
        <f>IF(ISNUMBER(AVERAGE('20250815_ETF_Options_Exhibits'!R842:R846)),AVERAGE('20250815_ETF_Options_Exhibits'!R842:R846),"")</f>
        <v/>
      </c>
      <c r="S846" s="3">
        <f>IF(ISNUMBER(AVERAGE('20250815_ETF_Options_Exhibits'!S842:S846)),AVERAGE('20250815_ETF_Options_Exhibits'!S842:S846),"")</f>
        <v/>
      </c>
      <c r="T846" s="3">
        <f>IF(ISNUMBER(AVERAGE('20250815_ETF_Options_Exhibits'!T842:T846)),AVERAGE('20250815_ETF_Options_Exhibits'!T842:T846),"")</f>
        <v/>
      </c>
      <c r="U846" s="3">
        <f>IF(ISNUMBER(AVERAGE('20250815_ETF_Options_Exhibits'!U842:U846)),AVERAGE('20250815_ETF_Options_Exhibits'!U842:U846),"")</f>
        <v/>
      </c>
      <c r="V846" s="3">
        <f>IF(ISNUMBER(AVERAGE('20250815_ETF_Options_Exhibits'!V842:V846)),AVERAGE('20250815_ETF_Options_Exhibits'!V842:V846),"")</f>
        <v/>
      </c>
      <c r="W846" s="3">
        <f>IF(ISNUMBER(AVERAGE('20250815_ETF_Options_Exhibits'!W842:W846)),AVERAGE('20250815_ETF_Options_Exhibits'!W842:W846),"")</f>
        <v/>
      </c>
      <c r="X846" s="3">
        <f>IF(ISNUMBER(AVERAGE('20250815_ETF_Options_Exhibits'!X842:X846)),AVERAGE('20250815_ETF_Options_Exhibits'!X842:X846),"")</f>
        <v/>
      </c>
      <c r="Y846" s="3">
        <f>IF(ISNUMBER(AVERAGE('20250815_ETF_Options_Exhibits'!Y842:Y846)),AVERAGE('20250815_ETF_Options_Exhibits'!Y842:Y846),"")</f>
        <v/>
      </c>
      <c r="Z846" s="3">
        <f>IF(ISNUMBER(AVERAGE('20250815_ETF_Options_Exhibits'!Z842:Z846)),AVERAGE('20250815_ETF_Options_Exhibits'!Z842:Z846),"")</f>
        <v/>
      </c>
      <c r="AA846" s="3">
        <f>IF(ISNUMBER(AVERAGE('20250815_ETF_Options_Exhibits'!AA842:AA846)),AVERAGE('20250815_ETF_Options_Exhibits'!AA842:AA846),"")</f>
        <v/>
      </c>
    </row>
    <row r="847">
      <c r="A847" s="1" t="n">
        <v>43231</v>
      </c>
      <c r="B847" s="3">
        <f>IF(ISNUMBER(AVERAGE('20250815_ETF_Options_Exhibits'!B843:B847)),AVERAGE('20250815_ETF_Options_Exhibits'!B843:B847),"")</f>
        <v/>
      </c>
      <c r="C847" s="3">
        <f>IF(ISNUMBER(AVERAGE('20250815_ETF_Options_Exhibits'!C843:C847)),AVERAGE('20250815_ETF_Options_Exhibits'!C843:C847),"")</f>
        <v/>
      </c>
      <c r="D847" s="3">
        <f>IF(ISNUMBER(AVERAGE('20250815_ETF_Options_Exhibits'!D843:D847)),AVERAGE('20250815_ETF_Options_Exhibits'!D843:D847),"")</f>
        <v/>
      </c>
      <c r="E847" s="3">
        <f>IF(ISNUMBER(AVERAGE('20250815_ETF_Options_Exhibits'!E843:E847)),AVERAGE('20250815_ETF_Options_Exhibits'!E843:E847),"")</f>
        <v/>
      </c>
      <c r="F847" s="3">
        <f>IF(ISNUMBER(AVERAGE('20250815_ETF_Options_Exhibits'!F843:F847)),AVERAGE('20250815_ETF_Options_Exhibits'!F843:F847),"")</f>
        <v/>
      </c>
      <c r="G847" s="3">
        <f>IF(ISNUMBER(AVERAGE('20250815_ETF_Options_Exhibits'!G843:G847)),AVERAGE('20250815_ETF_Options_Exhibits'!G843:G847),"")</f>
        <v/>
      </c>
      <c r="H847" s="3">
        <f>IF(ISNUMBER(AVERAGE('20250815_ETF_Options_Exhibits'!H843:H847)),AVERAGE('20250815_ETF_Options_Exhibits'!H843:H847),"")</f>
        <v/>
      </c>
      <c r="I847" s="3">
        <f>IF(ISNUMBER(AVERAGE('20250815_ETF_Options_Exhibits'!I843:I847)),AVERAGE('20250815_ETF_Options_Exhibits'!I843:I847),"")</f>
        <v/>
      </c>
      <c r="J847" s="3">
        <f>IF(ISNUMBER(AVERAGE('20250815_ETF_Options_Exhibits'!J843:J847)),AVERAGE('20250815_ETF_Options_Exhibits'!J843:J847),"")</f>
        <v/>
      </c>
      <c r="K847" s="3">
        <f>IF(ISNUMBER(AVERAGE('20250815_ETF_Options_Exhibits'!K843:K847)),AVERAGE('20250815_ETF_Options_Exhibits'!K843:K847),"")</f>
        <v/>
      </c>
      <c r="L847" s="3">
        <f>IF(ISNUMBER(AVERAGE('20250815_ETF_Options_Exhibits'!L843:L847)),AVERAGE('20250815_ETF_Options_Exhibits'!L843:L847),"")</f>
        <v/>
      </c>
      <c r="M847" s="3">
        <f>IF(ISNUMBER(AVERAGE('20250815_ETF_Options_Exhibits'!M843:M847)),AVERAGE('20250815_ETF_Options_Exhibits'!M843:M847),"")</f>
        <v/>
      </c>
      <c r="N847" s="3">
        <f>IF(ISNUMBER(AVERAGE('20250815_ETF_Options_Exhibits'!N843:N847)),AVERAGE('20250815_ETF_Options_Exhibits'!N843:N847),"")</f>
        <v/>
      </c>
      <c r="O847" s="3">
        <f>IF(ISNUMBER(AVERAGE('20250815_ETF_Options_Exhibits'!O843:O847)),AVERAGE('20250815_ETF_Options_Exhibits'!O843:O847),"")</f>
        <v/>
      </c>
      <c r="P847" s="3">
        <f>IF(ISNUMBER(AVERAGE('20250815_ETF_Options_Exhibits'!P843:P847)),AVERAGE('20250815_ETF_Options_Exhibits'!P843:P847),"")</f>
        <v/>
      </c>
      <c r="Q847" s="3">
        <f>IF(ISNUMBER(AVERAGE('20250815_ETF_Options_Exhibits'!Q843:Q847)),AVERAGE('20250815_ETF_Options_Exhibits'!Q843:Q847),"")</f>
        <v/>
      </c>
      <c r="R847" s="3">
        <f>IF(ISNUMBER(AVERAGE('20250815_ETF_Options_Exhibits'!R843:R847)),AVERAGE('20250815_ETF_Options_Exhibits'!R843:R847),"")</f>
        <v/>
      </c>
      <c r="S847" s="3">
        <f>IF(ISNUMBER(AVERAGE('20250815_ETF_Options_Exhibits'!S843:S847)),AVERAGE('20250815_ETF_Options_Exhibits'!S843:S847),"")</f>
        <v/>
      </c>
      <c r="T847" s="3">
        <f>IF(ISNUMBER(AVERAGE('20250815_ETF_Options_Exhibits'!T843:T847)),AVERAGE('20250815_ETF_Options_Exhibits'!T843:T847),"")</f>
        <v/>
      </c>
      <c r="U847" s="3">
        <f>IF(ISNUMBER(AVERAGE('20250815_ETF_Options_Exhibits'!U843:U847)),AVERAGE('20250815_ETF_Options_Exhibits'!U843:U847),"")</f>
        <v/>
      </c>
      <c r="V847" s="3">
        <f>IF(ISNUMBER(AVERAGE('20250815_ETF_Options_Exhibits'!V843:V847)),AVERAGE('20250815_ETF_Options_Exhibits'!V843:V847),"")</f>
        <v/>
      </c>
      <c r="W847" s="3">
        <f>IF(ISNUMBER(AVERAGE('20250815_ETF_Options_Exhibits'!W843:W847)),AVERAGE('20250815_ETF_Options_Exhibits'!W843:W847),"")</f>
        <v/>
      </c>
      <c r="X847" s="3">
        <f>IF(ISNUMBER(AVERAGE('20250815_ETF_Options_Exhibits'!X843:X847)),AVERAGE('20250815_ETF_Options_Exhibits'!X843:X847),"")</f>
        <v/>
      </c>
      <c r="Y847" s="3">
        <f>IF(ISNUMBER(AVERAGE('20250815_ETF_Options_Exhibits'!Y843:Y847)),AVERAGE('20250815_ETF_Options_Exhibits'!Y843:Y847),"")</f>
        <v/>
      </c>
      <c r="Z847" s="3">
        <f>IF(ISNUMBER(AVERAGE('20250815_ETF_Options_Exhibits'!Z843:Z847)),AVERAGE('20250815_ETF_Options_Exhibits'!Z843:Z847),"")</f>
        <v/>
      </c>
      <c r="AA847" s="3">
        <f>IF(ISNUMBER(AVERAGE('20250815_ETF_Options_Exhibits'!AA843:AA847)),AVERAGE('20250815_ETF_Options_Exhibits'!AA843:AA847),"")</f>
        <v/>
      </c>
    </row>
    <row r="848">
      <c r="A848" s="1" t="n">
        <v>43234</v>
      </c>
      <c r="B848" s="3">
        <f>IF(ISNUMBER(AVERAGE('20250815_ETF_Options_Exhibits'!B844:B848)),AVERAGE('20250815_ETF_Options_Exhibits'!B844:B848),"")</f>
        <v/>
      </c>
      <c r="C848" s="3">
        <f>IF(ISNUMBER(AVERAGE('20250815_ETF_Options_Exhibits'!C844:C848)),AVERAGE('20250815_ETF_Options_Exhibits'!C844:C848),"")</f>
        <v/>
      </c>
      <c r="D848" s="3">
        <f>IF(ISNUMBER(AVERAGE('20250815_ETF_Options_Exhibits'!D844:D848)),AVERAGE('20250815_ETF_Options_Exhibits'!D844:D848),"")</f>
        <v/>
      </c>
      <c r="E848" s="3">
        <f>IF(ISNUMBER(AVERAGE('20250815_ETF_Options_Exhibits'!E844:E848)),AVERAGE('20250815_ETF_Options_Exhibits'!E844:E848),"")</f>
        <v/>
      </c>
      <c r="F848" s="3">
        <f>IF(ISNUMBER(AVERAGE('20250815_ETF_Options_Exhibits'!F844:F848)),AVERAGE('20250815_ETF_Options_Exhibits'!F844:F848),"")</f>
        <v/>
      </c>
      <c r="G848" s="3">
        <f>IF(ISNUMBER(AVERAGE('20250815_ETF_Options_Exhibits'!G844:G848)),AVERAGE('20250815_ETF_Options_Exhibits'!G844:G848),"")</f>
        <v/>
      </c>
      <c r="H848" s="3">
        <f>IF(ISNUMBER(AVERAGE('20250815_ETF_Options_Exhibits'!H844:H848)),AVERAGE('20250815_ETF_Options_Exhibits'!H844:H848),"")</f>
        <v/>
      </c>
      <c r="I848" s="3">
        <f>IF(ISNUMBER(AVERAGE('20250815_ETF_Options_Exhibits'!I844:I848)),AVERAGE('20250815_ETF_Options_Exhibits'!I844:I848),"")</f>
        <v/>
      </c>
      <c r="J848" s="3">
        <f>IF(ISNUMBER(AVERAGE('20250815_ETF_Options_Exhibits'!J844:J848)),AVERAGE('20250815_ETF_Options_Exhibits'!J844:J848),"")</f>
        <v/>
      </c>
      <c r="K848" s="3">
        <f>IF(ISNUMBER(AVERAGE('20250815_ETF_Options_Exhibits'!K844:K848)),AVERAGE('20250815_ETF_Options_Exhibits'!K844:K848),"")</f>
        <v/>
      </c>
      <c r="L848" s="3">
        <f>IF(ISNUMBER(AVERAGE('20250815_ETF_Options_Exhibits'!L844:L848)),AVERAGE('20250815_ETF_Options_Exhibits'!L844:L848),"")</f>
        <v/>
      </c>
      <c r="M848" s="3">
        <f>IF(ISNUMBER(AVERAGE('20250815_ETF_Options_Exhibits'!M844:M848)),AVERAGE('20250815_ETF_Options_Exhibits'!M844:M848),"")</f>
        <v/>
      </c>
      <c r="N848" s="3">
        <f>IF(ISNUMBER(AVERAGE('20250815_ETF_Options_Exhibits'!N844:N848)),AVERAGE('20250815_ETF_Options_Exhibits'!N844:N848),"")</f>
        <v/>
      </c>
      <c r="O848" s="3">
        <f>IF(ISNUMBER(AVERAGE('20250815_ETF_Options_Exhibits'!O844:O848)),AVERAGE('20250815_ETF_Options_Exhibits'!O844:O848),"")</f>
        <v/>
      </c>
      <c r="P848" s="3">
        <f>IF(ISNUMBER(AVERAGE('20250815_ETF_Options_Exhibits'!P844:P848)),AVERAGE('20250815_ETF_Options_Exhibits'!P844:P848),"")</f>
        <v/>
      </c>
      <c r="Q848" s="3">
        <f>IF(ISNUMBER(AVERAGE('20250815_ETF_Options_Exhibits'!Q844:Q848)),AVERAGE('20250815_ETF_Options_Exhibits'!Q844:Q848),"")</f>
        <v/>
      </c>
      <c r="R848" s="3">
        <f>IF(ISNUMBER(AVERAGE('20250815_ETF_Options_Exhibits'!R844:R848)),AVERAGE('20250815_ETF_Options_Exhibits'!R844:R848),"")</f>
        <v/>
      </c>
      <c r="S848" s="3">
        <f>IF(ISNUMBER(AVERAGE('20250815_ETF_Options_Exhibits'!S844:S848)),AVERAGE('20250815_ETF_Options_Exhibits'!S844:S848),"")</f>
        <v/>
      </c>
      <c r="T848" s="3">
        <f>IF(ISNUMBER(AVERAGE('20250815_ETF_Options_Exhibits'!T844:T848)),AVERAGE('20250815_ETF_Options_Exhibits'!T844:T848),"")</f>
        <v/>
      </c>
      <c r="U848" s="3">
        <f>IF(ISNUMBER(AVERAGE('20250815_ETF_Options_Exhibits'!U844:U848)),AVERAGE('20250815_ETF_Options_Exhibits'!U844:U848),"")</f>
        <v/>
      </c>
      <c r="V848" s="3">
        <f>IF(ISNUMBER(AVERAGE('20250815_ETF_Options_Exhibits'!V844:V848)),AVERAGE('20250815_ETF_Options_Exhibits'!V844:V848),"")</f>
        <v/>
      </c>
      <c r="W848" s="3">
        <f>IF(ISNUMBER(AVERAGE('20250815_ETF_Options_Exhibits'!W844:W848)),AVERAGE('20250815_ETF_Options_Exhibits'!W844:W848),"")</f>
        <v/>
      </c>
      <c r="X848" s="3">
        <f>IF(ISNUMBER(AVERAGE('20250815_ETF_Options_Exhibits'!X844:X848)),AVERAGE('20250815_ETF_Options_Exhibits'!X844:X848),"")</f>
        <v/>
      </c>
      <c r="Y848" s="3">
        <f>IF(ISNUMBER(AVERAGE('20250815_ETF_Options_Exhibits'!Y844:Y848)),AVERAGE('20250815_ETF_Options_Exhibits'!Y844:Y848),"")</f>
        <v/>
      </c>
      <c r="Z848" s="3">
        <f>IF(ISNUMBER(AVERAGE('20250815_ETF_Options_Exhibits'!Z844:Z848)),AVERAGE('20250815_ETF_Options_Exhibits'!Z844:Z848),"")</f>
        <v/>
      </c>
      <c r="AA848" s="3">
        <f>IF(ISNUMBER(AVERAGE('20250815_ETF_Options_Exhibits'!AA844:AA848)),AVERAGE('20250815_ETF_Options_Exhibits'!AA844:AA848),"")</f>
        <v/>
      </c>
    </row>
    <row r="849">
      <c r="A849" s="1" t="n">
        <v>43235</v>
      </c>
      <c r="B849" s="3">
        <f>IF(ISNUMBER(AVERAGE('20250815_ETF_Options_Exhibits'!B845:B849)),AVERAGE('20250815_ETF_Options_Exhibits'!B845:B849),"")</f>
        <v/>
      </c>
      <c r="C849" s="3">
        <f>IF(ISNUMBER(AVERAGE('20250815_ETF_Options_Exhibits'!C845:C849)),AVERAGE('20250815_ETF_Options_Exhibits'!C845:C849),"")</f>
        <v/>
      </c>
      <c r="D849" s="3">
        <f>IF(ISNUMBER(AVERAGE('20250815_ETF_Options_Exhibits'!D845:D849)),AVERAGE('20250815_ETF_Options_Exhibits'!D845:D849),"")</f>
        <v/>
      </c>
      <c r="E849" s="3">
        <f>IF(ISNUMBER(AVERAGE('20250815_ETF_Options_Exhibits'!E845:E849)),AVERAGE('20250815_ETF_Options_Exhibits'!E845:E849),"")</f>
        <v/>
      </c>
      <c r="F849" s="3">
        <f>IF(ISNUMBER(AVERAGE('20250815_ETF_Options_Exhibits'!F845:F849)),AVERAGE('20250815_ETF_Options_Exhibits'!F845:F849),"")</f>
        <v/>
      </c>
      <c r="G849" s="3">
        <f>IF(ISNUMBER(AVERAGE('20250815_ETF_Options_Exhibits'!G845:G849)),AVERAGE('20250815_ETF_Options_Exhibits'!G845:G849),"")</f>
        <v/>
      </c>
      <c r="H849" s="3">
        <f>IF(ISNUMBER(AVERAGE('20250815_ETF_Options_Exhibits'!H845:H849)),AVERAGE('20250815_ETF_Options_Exhibits'!H845:H849),"")</f>
        <v/>
      </c>
      <c r="I849" s="3">
        <f>IF(ISNUMBER(AVERAGE('20250815_ETF_Options_Exhibits'!I845:I849)),AVERAGE('20250815_ETF_Options_Exhibits'!I845:I849),"")</f>
        <v/>
      </c>
      <c r="J849" s="3">
        <f>IF(ISNUMBER(AVERAGE('20250815_ETF_Options_Exhibits'!J845:J849)),AVERAGE('20250815_ETF_Options_Exhibits'!J845:J849),"")</f>
        <v/>
      </c>
      <c r="K849" s="3">
        <f>IF(ISNUMBER(AVERAGE('20250815_ETF_Options_Exhibits'!K845:K849)),AVERAGE('20250815_ETF_Options_Exhibits'!K845:K849),"")</f>
        <v/>
      </c>
      <c r="L849" s="3">
        <f>IF(ISNUMBER(AVERAGE('20250815_ETF_Options_Exhibits'!L845:L849)),AVERAGE('20250815_ETF_Options_Exhibits'!L845:L849),"")</f>
        <v/>
      </c>
      <c r="M849" s="3">
        <f>IF(ISNUMBER(AVERAGE('20250815_ETF_Options_Exhibits'!M845:M849)),AVERAGE('20250815_ETF_Options_Exhibits'!M845:M849),"")</f>
        <v/>
      </c>
      <c r="N849" s="3">
        <f>IF(ISNUMBER(AVERAGE('20250815_ETF_Options_Exhibits'!N845:N849)),AVERAGE('20250815_ETF_Options_Exhibits'!N845:N849),"")</f>
        <v/>
      </c>
      <c r="O849" s="3">
        <f>IF(ISNUMBER(AVERAGE('20250815_ETF_Options_Exhibits'!O845:O849)),AVERAGE('20250815_ETF_Options_Exhibits'!O845:O849),"")</f>
        <v/>
      </c>
      <c r="P849" s="3">
        <f>IF(ISNUMBER(AVERAGE('20250815_ETF_Options_Exhibits'!P845:P849)),AVERAGE('20250815_ETF_Options_Exhibits'!P845:P849),"")</f>
        <v/>
      </c>
      <c r="Q849" s="3">
        <f>IF(ISNUMBER(AVERAGE('20250815_ETF_Options_Exhibits'!Q845:Q849)),AVERAGE('20250815_ETF_Options_Exhibits'!Q845:Q849),"")</f>
        <v/>
      </c>
      <c r="R849" s="3">
        <f>IF(ISNUMBER(AVERAGE('20250815_ETF_Options_Exhibits'!R845:R849)),AVERAGE('20250815_ETF_Options_Exhibits'!R845:R849),"")</f>
        <v/>
      </c>
      <c r="S849" s="3">
        <f>IF(ISNUMBER(AVERAGE('20250815_ETF_Options_Exhibits'!S845:S849)),AVERAGE('20250815_ETF_Options_Exhibits'!S845:S849),"")</f>
        <v/>
      </c>
      <c r="T849" s="3">
        <f>IF(ISNUMBER(AVERAGE('20250815_ETF_Options_Exhibits'!T845:T849)),AVERAGE('20250815_ETF_Options_Exhibits'!T845:T849),"")</f>
        <v/>
      </c>
      <c r="U849" s="3">
        <f>IF(ISNUMBER(AVERAGE('20250815_ETF_Options_Exhibits'!U845:U849)),AVERAGE('20250815_ETF_Options_Exhibits'!U845:U849),"")</f>
        <v/>
      </c>
      <c r="V849" s="3">
        <f>IF(ISNUMBER(AVERAGE('20250815_ETF_Options_Exhibits'!V845:V849)),AVERAGE('20250815_ETF_Options_Exhibits'!V845:V849),"")</f>
        <v/>
      </c>
      <c r="W849" s="3">
        <f>IF(ISNUMBER(AVERAGE('20250815_ETF_Options_Exhibits'!W845:W849)),AVERAGE('20250815_ETF_Options_Exhibits'!W845:W849),"")</f>
        <v/>
      </c>
      <c r="X849" s="3">
        <f>IF(ISNUMBER(AVERAGE('20250815_ETF_Options_Exhibits'!X845:X849)),AVERAGE('20250815_ETF_Options_Exhibits'!X845:X849),"")</f>
        <v/>
      </c>
      <c r="Y849" s="3">
        <f>IF(ISNUMBER(AVERAGE('20250815_ETF_Options_Exhibits'!Y845:Y849)),AVERAGE('20250815_ETF_Options_Exhibits'!Y845:Y849),"")</f>
        <v/>
      </c>
      <c r="Z849" s="3">
        <f>IF(ISNUMBER(AVERAGE('20250815_ETF_Options_Exhibits'!Z845:Z849)),AVERAGE('20250815_ETF_Options_Exhibits'!Z845:Z849),"")</f>
        <v/>
      </c>
      <c r="AA849" s="3">
        <f>IF(ISNUMBER(AVERAGE('20250815_ETF_Options_Exhibits'!AA845:AA849)),AVERAGE('20250815_ETF_Options_Exhibits'!AA845:AA849),"")</f>
        <v/>
      </c>
    </row>
    <row r="850">
      <c r="A850" s="1" t="n">
        <v>43236</v>
      </c>
      <c r="B850" s="3">
        <f>IF(ISNUMBER(AVERAGE('20250815_ETF_Options_Exhibits'!B846:B850)),AVERAGE('20250815_ETF_Options_Exhibits'!B846:B850),"")</f>
        <v/>
      </c>
      <c r="C850" s="3">
        <f>IF(ISNUMBER(AVERAGE('20250815_ETF_Options_Exhibits'!C846:C850)),AVERAGE('20250815_ETF_Options_Exhibits'!C846:C850),"")</f>
        <v/>
      </c>
      <c r="D850" s="3">
        <f>IF(ISNUMBER(AVERAGE('20250815_ETF_Options_Exhibits'!D846:D850)),AVERAGE('20250815_ETF_Options_Exhibits'!D846:D850),"")</f>
        <v/>
      </c>
      <c r="E850" s="3">
        <f>IF(ISNUMBER(AVERAGE('20250815_ETF_Options_Exhibits'!E846:E850)),AVERAGE('20250815_ETF_Options_Exhibits'!E846:E850),"")</f>
        <v/>
      </c>
      <c r="F850" s="3">
        <f>IF(ISNUMBER(AVERAGE('20250815_ETF_Options_Exhibits'!F846:F850)),AVERAGE('20250815_ETF_Options_Exhibits'!F846:F850),"")</f>
        <v/>
      </c>
      <c r="G850" s="3">
        <f>IF(ISNUMBER(AVERAGE('20250815_ETF_Options_Exhibits'!G846:G850)),AVERAGE('20250815_ETF_Options_Exhibits'!G846:G850),"")</f>
        <v/>
      </c>
      <c r="H850" s="3">
        <f>IF(ISNUMBER(AVERAGE('20250815_ETF_Options_Exhibits'!H846:H850)),AVERAGE('20250815_ETF_Options_Exhibits'!H846:H850),"")</f>
        <v/>
      </c>
      <c r="I850" s="3">
        <f>IF(ISNUMBER(AVERAGE('20250815_ETF_Options_Exhibits'!I846:I850)),AVERAGE('20250815_ETF_Options_Exhibits'!I846:I850),"")</f>
        <v/>
      </c>
      <c r="J850" s="3">
        <f>IF(ISNUMBER(AVERAGE('20250815_ETF_Options_Exhibits'!J846:J850)),AVERAGE('20250815_ETF_Options_Exhibits'!J846:J850),"")</f>
        <v/>
      </c>
      <c r="K850" s="3">
        <f>IF(ISNUMBER(AVERAGE('20250815_ETF_Options_Exhibits'!K846:K850)),AVERAGE('20250815_ETF_Options_Exhibits'!K846:K850),"")</f>
        <v/>
      </c>
      <c r="L850" s="3">
        <f>IF(ISNUMBER(AVERAGE('20250815_ETF_Options_Exhibits'!L846:L850)),AVERAGE('20250815_ETF_Options_Exhibits'!L846:L850),"")</f>
        <v/>
      </c>
      <c r="M850" s="3">
        <f>IF(ISNUMBER(AVERAGE('20250815_ETF_Options_Exhibits'!M846:M850)),AVERAGE('20250815_ETF_Options_Exhibits'!M846:M850),"")</f>
        <v/>
      </c>
      <c r="N850" s="3">
        <f>IF(ISNUMBER(AVERAGE('20250815_ETF_Options_Exhibits'!N846:N850)),AVERAGE('20250815_ETF_Options_Exhibits'!N846:N850),"")</f>
        <v/>
      </c>
      <c r="O850" s="3">
        <f>IF(ISNUMBER(AVERAGE('20250815_ETF_Options_Exhibits'!O846:O850)),AVERAGE('20250815_ETF_Options_Exhibits'!O846:O850),"")</f>
        <v/>
      </c>
      <c r="P850" s="3">
        <f>IF(ISNUMBER(AVERAGE('20250815_ETF_Options_Exhibits'!P846:P850)),AVERAGE('20250815_ETF_Options_Exhibits'!P846:P850),"")</f>
        <v/>
      </c>
      <c r="Q850" s="3">
        <f>IF(ISNUMBER(AVERAGE('20250815_ETF_Options_Exhibits'!Q846:Q850)),AVERAGE('20250815_ETF_Options_Exhibits'!Q846:Q850),"")</f>
        <v/>
      </c>
      <c r="R850" s="3">
        <f>IF(ISNUMBER(AVERAGE('20250815_ETF_Options_Exhibits'!R846:R850)),AVERAGE('20250815_ETF_Options_Exhibits'!R846:R850),"")</f>
        <v/>
      </c>
      <c r="S850" s="3">
        <f>IF(ISNUMBER(AVERAGE('20250815_ETF_Options_Exhibits'!S846:S850)),AVERAGE('20250815_ETF_Options_Exhibits'!S846:S850),"")</f>
        <v/>
      </c>
      <c r="T850" s="3">
        <f>IF(ISNUMBER(AVERAGE('20250815_ETF_Options_Exhibits'!T846:T850)),AVERAGE('20250815_ETF_Options_Exhibits'!T846:T850),"")</f>
        <v/>
      </c>
      <c r="U850" s="3">
        <f>IF(ISNUMBER(AVERAGE('20250815_ETF_Options_Exhibits'!U846:U850)),AVERAGE('20250815_ETF_Options_Exhibits'!U846:U850),"")</f>
        <v/>
      </c>
      <c r="V850" s="3">
        <f>IF(ISNUMBER(AVERAGE('20250815_ETF_Options_Exhibits'!V846:V850)),AVERAGE('20250815_ETF_Options_Exhibits'!V846:V850),"")</f>
        <v/>
      </c>
      <c r="W850" s="3">
        <f>IF(ISNUMBER(AVERAGE('20250815_ETF_Options_Exhibits'!W846:W850)),AVERAGE('20250815_ETF_Options_Exhibits'!W846:W850),"")</f>
        <v/>
      </c>
      <c r="X850" s="3">
        <f>IF(ISNUMBER(AVERAGE('20250815_ETF_Options_Exhibits'!X846:X850)),AVERAGE('20250815_ETF_Options_Exhibits'!X846:X850),"")</f>
        <v/>
      </c>
      <c r="Y850" s="3">
        <f>IF(ISNUMBER(AVERAGE('20250815_ETF_Options_Exhibits'!Y846:Y850)),AVERAGE('20250815_ETF_Options_Exhibits'!Y846:Y850),"")</f>
        <v/>
      </c>
      <c r="Z850" s="3">
        <f>IF(ISNUMBER(AVERAGE('20250815_ETF_Options_Exhibits'!Z846:Z850)),AVERAGE('20250815_ETF_Options_Exhibits'!Z846:Z850),"")</f>
        <v/>
      </c>
      <c r="AA850" s="3">
        <f>IF(ISNUMBER(AVERAGE('20250815_ETF_Options_Exhibits'!AA846:AA850)),AVERAGE('20250815_ETF_Options_Exhibits'!AA846:AA850),"")</f>
        <v/>
      </c>
    </row>
    <row r="851">
      <c r="A851" s="1" t="n">
        <v>43237</v>
      </c>
      <c r="B851" s="3">
        <f>IF(ISNUMBER(AVERAGE('20250815_ETF_Options_Exhibits'!B847:B851)),AVERAGE('20250815_ETF_Options_Exhibits'!B847:B851),"")</f>
        <v/>
      </c>
      <c r="C851" s="3">
        <f>IF(ISNUMBER(AVERAGE('20250815_ETF_Options_Exhibits'!C847:C851)),AVERAGE('20250815_ETF_Options_Exhibits'!C847:C851),"")</f>
        <v/>
      </c>
      <c r="D851" s="3">
        <f>IF(ISNUMBER(AVERAGE('20250815_ETF_Options_Exhibits'!D847:D851)),AVERAGE('20250815_ETF_Options_Exhibits'!D847:D851),"")</f>
        <v/>
      </c>
      <c r="E851" s="3">
        <f>IF(ISNUMBER(AVERAGE('20250815_ETF_Options_Exhibits'!E847:E851)),AVERAGE('20250815_ETF_Options_Exhibits'!E847:E851),"")</f>
        <v/>
      </c>
      <c r="F851" s="3">
        <f>IF(ISNUMBER(AVERAGE('20250815_ETF_Options_Exhibits'!F847:F851)),AVERAGE('20250815_ETF_Options_Exhibits'!F847:F851),"")</f>
        <v/>
      </c>
      <c r="G851" s="3">
        <f>IF(ISNUMBER(AVERAGE('20250815_ETF_Options_Exhibits'!G847:G851)),AVERAGE('20250815_ETF_Options_Exhibits'!G847:G851),"")</f>
        <v/>
      </c>
      <c r="H851" s="3">
        <f>IF(ISNUMBER(AVERAGE('20250815_ETF_Options_Exhibits'!H847:H851)),AVERAGE('20250815_ETF_Options_Exhibits'!H847:H851),"")</f>
        <v/>
      </c>
      <c r="I851" s="3">
        <f>IF(ISNUMBER(AVERAGE('20250815_ETF_Options_Exhibits'!I847:I851)),AVERAGE('20250815_ETF_Options_Exhibits'!I847:I851),"")</f>
        <v/>
      </c>
      <c r="J851" s="3">
        <f>IF(ISNUMBER(AVERAGE('20250815_ETF_Options_Exhibits'!J847:J851)),AVERAGE('20250815_ETF_Options_Exhibits'!J847:J851),"")</f>
        <v/>
      </c>
      <c r="K851" s="3">
        <f>IF(ISNUMBER(AVERAGE('20250815_ETF_Options_Exhibits'!K847:K851)),AVERAGE('20250815_ETF_Options_Exhibits'!K847:K851),"")</f>
        <v/>
      </c>
      <c r="L851" s="3">
        <f>IF(ISNUMBER(AVERAGE('20250815_ETF_Options_Exhibits'!L847:L851)),AVERAGE('20250815_ETF_Options_Exhibits'!L847:L851),"")</f>
        <v/>
      </c>
      <c r="M851" s="3">
        <f>IF(ISNUMBER(AVERAGE('20250815_ETF_Options_Exhibits'!M847:M851)),AVERAGE('20250815_ETF_Options_Exhibits'!M847:M851),"")</f>
        <v/>
      </c>
      <c r="N851" s="3">
        <f>IF(ISNUMBER(AVERAGE('20250815_ETF_Options_Exhibits'!N847:N851)),AVERAGE('20250815_ETF_Options_Exhibits'!N847:N851),"")</f>
        <v/>
      </c>
      <c r="O851" s="3">
        <f>IF(ISNUMBER(AVERAGE('20250815_ETF_Options_Exhibits'!O847:O851)),AVERAGE('20250815_ETF_Options_Exhibits'!O847:O851),"")</f>
        <v/>
      </c>
      <c r="P851" s="3">
        <f>IF(ISNUMBER(AVERAGE('20250815_ETF_Options_Exhibits'!P847:P851)),AVERAGE('20250815_ETF_Options_Exhibits'!P847:P851),"")</f>
        <v/>
      </c>
      <c r="Q851" s="3">
        <f>IF(ISNUMBER(AVERAGE('20250815_ETF_Options_Exhibits'!Q847:Q851)),AVERAGE('20250815_ETF_Options_Exhibits'!Q847:Q851),"")</f>
        <v/>
      </c>
      <c r="R851" s="3">
        <f>IF(ISNUMBER(AVERAGE('20250815_ETF_Options_Exhibits'!R847:R851)),AVERAGE('20250815_ETF_Options_Exhibits'!R847:R851),"")</f>
        <v/>
      </c>
      <c r="S851" s="3">
        <f>IF(ISNUMBER(AVERAGE('20250815_ETF_Options_Exhibits'!S847:S851)),AVERAGE('20250815_ETF_Options_Exhibits'!S847:S851),"")</f>
        <v/>
      </c>
      <c r="T851" s="3">
        <f>IF(ISNUMBER(AVERAGE('20250815_ETF_Options_Exhibits'!T847:T851)),AVERAGE('20250815_ETF_Options_Exhibits'!T847:T851),"")</f>
        <v/>
      </c>
      <c r="U851" s="3">
        <f>IF(ISNUMBER(AVERAGE('20250815_ETF_Options_Exhibits'!U847:U851)),AVERAGE('20250815_ETF_Options_Exhibits'!U847:U851),"")</f>
        <v/>
      </c>
      <c r="V851" s="3">
        <f>IF(ISNUMBER(AVERAGE('20250815_ETF_Options_Exhibits'!V847:V851)),AVERAGE('20250815_ETF_Options_Exhibits'!V847:V851),"")</f>
        <v/>
      </c>
      <c r="W851" s="3">
        <f>IF(ISNUMBER(AVERAGE('20250815_ETF_Options_Exhibits'!W847:W851)),AVERAGE('20250815_ETF_Options_Exhibits'!W847:W851),"")</f>
        <v/>
      </c>
      <c r="X851" s="3">
        <f>IF(ISNUMBER(AVERAGE('20250815_ETF_Options_Exhibits'!X847:X851)),AVERAGE('20250815_ETF_Options_Exhibits'!X847:X851),"")</f>
        <v/>
      </c>
      <c r="Y851" s="3">
        <f>IF(ISNUMBER(AVERAGE('20250815_ETF_Options_Exhibits'!Y847:Y851)),AVERAGE('20250815_ETF_Options_Exhibits'!Y847:Y851),"")</f>
        <v/>
      </c>
      <c r="Z851" s="3">
        <f>IF(ISNUMBER(AVERAGE('20250815_ETF_Options_Exhibits'!Z847:Z851)),AVERAGE('20250815_ETF_Options_Exhibits'!Z847:Z851),"")</f>
        <v/>
      </c>
      <c r="AA851" s="3">
        <f>IF(ISNUMBER(AVERAGE('20250815_ETF_Options_Exhibits'!AA847:AA851)),AVERAGE('20250815_ETF_Options_Exhibits'!AA847:AA851),"")</f>
        <v/>
      </c>
    </row>
    <row r="852">
      <c r="A852" s="1" t="n">
        <v>43238</v>
      </c>
      <c r="B852" s="3">
        <f>IF(ISNUMBER(AVERAGE('20250815_ETF_Options_Exhibits'!B848:B852)),AVERAGE('20250815_ETF_Options_Exhibits'!B848:B852),"")</f>
        <v/>
      </c>
      <c r="C852" s="3">
        <f>IF(ISNUMBER(AVERAGE('20250815_ETF_Options_Exhibits'!C848:C852)),AVERAGE('20250815_ETF_Options_Exhibits'!C848:C852),"")</f>
        <v/>
      </c>
      <c r="D852" s="3">
        <f>IF(ISNUMBER(AVERAGE('20250815_ETF_Options_Exhibits'!D848:D852)),AVERAGE('20250815_ETF_Options_Exhibits'!D848:D852),"")</f>
        <v/>
      </c>
      <c r="E852" s="3">
        <f>IF(ISNUMBER(AVERAGE('20250815_ETF_Options_Exhibits'!E848:E852)),AVERAGE('20250815_ETF_Options_Exhibits'!E848:E852),"")</f>
        <v/>
      </c>
      <c r="F852" s="3">
        <f>IF(ISNUMBER(AVERAGE('20250815_ETF_Options_Exhibits'!F848:F852)),AVERAGE('20250815_ETF_Options_Exhibits'!F848:F852),"")</f>
        <v/>
      </c>
      <c r="G852" s="3">
        <f>IF(ISNUMBER(AVERAGE('20250815_ETF_Options_Exhibits'!G848:G852)),AVERAGE('20250815_ETF_Options_Exhibits'!G848:G852),"")</f>
        <v/>
      </c>
      <c r="H852" s="3">
        <f>IF(ISNUMBER(AVERAGE('20250815_ETF_Options_Exhibits'!H848:H852)),AVERAGE('20250815_ETF_Options_Exhibits'!H848:H852),"")</f>
        <v/>
      </c>
      <c r="I852" s="3">
        <f>IF(ISNUMBER(AVERAGE('20250815_ETF_Options_Exhibits'!I848:I852)),AVERAGE('20250815_ETF_Options_Exhibits'!I848:I852),"")</f>
        <v/>
      </c>
      <c r="J852" s="3">
        <f>IF(ISNUMBER(AVERAGE('20250815_ETF_Options_Exhibits'!J848:J852)),AVERAGE('20250815_ETF_Options_Exhibits'!J848:J852),"")</f>
        <v/>
      </c>
      <c r="K852" s="3">
        <f>IF(ISNUMBER(AVERAGE('20250815_ETF_Options_Exhibits'!K848:K852)),AVERAGE('20250815_ETF_Options_Exhibits'!K848:K852),"")</f>
        <v/>
      </c>
      <c r="L852" s="3">
        <f>IF(ISNUMBER(AVERAGE('20250815_ETF_Options_Exhibits'!L848:L852)),AVERAGE('20250815_ETF_Options_Exhibits'!L848:L852),"")</f>
        <v/>
      </c>
      <c r="M852" s="3">
        <f>IF(ISNUMBER(AVERAGE('20250815_ETF_Options_Exhibits'!M848:M852)),AVERAGE('20250815_ETF_Options_Exhibits'!M848:M852),"")</f>
        <v/>
      </c>
      <c r="N852" s="3">
        <f>IF(ISNUMBER(AVERAGE('20250815_ETF_Options_Exhibits'!N848:N852)),AVERAGE('20250815_ETF_Options_Exhibits'!N848:N852),"")</f>
        <v/>
      </c>
      <c r="O852" s="3">
        <f>IF(ISNUMBER(AVERAGE('20250815_ETF_Options_Exhibits'!O848:O852)),AVERAGE('20250815_ETF_Options_Exhibits'!O848:O852),"")</f>
        <v/>
      </c>
      <c r="P852" s="3">
        <f>IF(ISNUMBER(AVERAGE('20250815_ETF_Options_Exhibits'!P848:P852)),AVERAGE('20250815_ETF_Options_Exhibits'!P848:P852),"")</f>
        <v/>
      </c>
      <c r="Q852" s="3">
        <f>IF(ISNUMBER(AVERAGE('20250815_ETF_Options_Exhibits'!Q848:Q852)),AVERAGE('20250815_ETF_Options_Exhibits'!Q848:Q852),"")</f>
        <v/>
      </c>
      <c r="R852" s="3">
        <f>IF(ISNUMBER(AVERAGE('20250815_ETF_Options_Exhibits'!R848:R852)),AVERAGE('20250815_ETF_Options_Exhibits'!R848:R852),"")</f>
        <v/>
      </c>
      <c r="S852" s="3">
        <f>IF(ISNUMBER(AVERAGE('20250815_ETF_Options_Exhibits'!S848:S852)),AVERAGE('20250815_ETF_Options_Exhibits'!S848:S852),"")</f>
        <v/>
      </c>
      <c r="T852" s="3">
        <f>IF(ISNUMBER(AVERAGE('20250815_ETF_Options_Exhibits'!T848:T852)),AVERAGE('20250815_ETF_Options_Exhibits'!T848:T852),"")</f>
        <v/>
      </c>
      <c r="U852" s="3">
        <f>IF(ISNUMBER(AVERAGE('20250815_ETF_Options_Exhibits'!U848:U852)),AVERAGE('20250815_ETF_Options_Exhibits'!U848:U852),"")</f>
        <v/>
      </c>
      <c r="V852" s="3">
        <f>IF(ISNUMBER(AVERAGE('20250815_ETF_Options_Exhibits'!V848:V852)),AVERAGE('20250815_ETF_Options_Exhibits'!V848:V852),"")</f>
        <v/>
      </c>
      <c r="W852" s="3">
        <f>IF(ISNUMBER(AVERAGE('20250815_ETF_Options_Exhibits'!W848:W852)),AVERAGE('20250815_ETF_Options_Exhibits'!W848:W852),"")</f>
        <v/>
      </c>
      <c r="X852" s="3">
        <f>IF(ISNUMBER(AVERAGE('20250815_ETF_Options_Exhibits'!X848:X852)),AVERAGE('20250815_ETF_Options_Exhibits'!X848:X852),"")</f>
        <v/>
      </c>
      <c r="Y852" s="3">
        <f>IF(ISNUMBER(AVERAGE('20250815_ETF_Options_Exhibits'!Y848:Y852)),AVERAGE('20250815_ETF_Options_Exhibits'!Y848:Y852),"")</f>
        <v/>
      </c>
      <c r="Z852" s="3">
        <f>IF(ISNUMBER(AVERAGE('20250815_ETF_Options_Exhibits'!Z848:Z852)),AVERAGE('20250815_ETF_Options_Exhibits'!Z848:Z852),"")</f>
        <v/>
      </c>
      <c r="AA852" s="3">
        <f>IF(ISNUMBER(AVERAGE('20250815_ETF_Options_Exhibits'!AA848:AA852)),AVERAGE('20250815_ETF_Options_Exhibits'!AA848:AA852),"")</f>
        <v/>
      </c>
    </row>
    <row r="853">
      <c r="A853" s="1" t="n">
        <v>43241</v>
      </c>
      <c r="B853" s="3">
        <f>IF(ISNUMBER(AVERAGE('20250815_ETF_Options_Exhibits'!B849:B853)),AVERAGE('20250815_ETF_Options_Exhibits'!B849:B853),"")</f>
        <v/>
      </c>
      <c r="C853" s="3">
        <f>IF(ISNUMBER(AVERAGE('20250815_ETF_Options_Exhibits'!C849:C853)),AVERAGE('20250815_ETF_Options_Exhibits'!C849:C853),"")</f>
        <v/>
      </c>
      <c r="D853" s="3">
        <f>IF(ISNUMBER(AVERAGE('20250815_ETF_Options_Exhibits'!D849:D853)),AVERAGE('20250815_ETF_Options_Exhibits'!D849:D853),"")</f>
        <v/>
      </c>
      <c r="E853" s="3">
        <f>IF(ISNUMBER(AVERAGE('20250815_ETF_Options_Exhibits'!E849:E853)),AVERAGE('20250815_ETF_Options_Exhibits'!E849:E853),"")</f>
        <v/>
      </c>
      <c r="F853" s="3">
        <f>IF(ISNUMBER(AVERAGE('20250815_ETF_Options_Exhibits'!F849:F853)),AVERAGE('20250815_ETF_Options_Exhibits'!F849:F853),"")</f>
        <v/>
      </c>
      <c r="G853" s="3">
        <f>IF(ISNUMBER(AVERAGE('20250815_ETF_Options_Exhibits'!G849:G853)),AVERAGE('20250815_ETF_Options_Exhibits'!G849:G853),"")</f>
        <v/>
      </c>
      <c r="H853" s="3">
        <f>IF(ISNUMBER(AVERAGE('20250815_ETF_Options_Exhibits'!H849:H853)),AVERAGE('20250815_ETF_Options_Exhibits'!H849:H853),"")</f>
        <v/>
      </c>
      <c r="I853" s="3">
        <f>IF(ISNUMBER(AVERAGE('20250815_ETF_Options_Exhibits'!I849:I853)),AVERAGE('20250815_ETF_Options_Exhibits'!I849:I853),"")</f>
        <v/>
      </c>
      <c r="J853" s="3">
        <f>IF(ISNUMBER(AVERAGE('20250815_ETF_Options_Exhibits'!J849:J853)),AVERAGE('20250815_ETF_Options_Exhibits'!J849:J853),"")</f>
        <v/>
      </c>
      <c r="K853" s="3">
        <f>IF(ISNUMBER(AVERAGE('20250815_ETF_Options_Exhibits'!K849:K853)),AVERAGE('20250815_ETF_Options_Exhibits'!K849:K853),"")</f>
        <v/>
      </c>
      <c r="L853" s="3">
        <f>IF(ISNUMBER(AVERAGE('20250815_ETF_Options_Exhibits'!L849:L853)),AVERAGE('20250815_ETF_Options_Exhibits'!L849:L853),"")</f>
        <v/>
      </c>
      <c r="M853" s="3">
        <f>IF(ISNUMBER(AVERAGE('20250815_ETF_Options_Exhibits'!M849:M853)),AVERAGE('20250815_ETF_Options_Exhibits'!M849:M853),"")</f>
        <v/>
      </c>
      <c r="N853" s="3">
        <f>IF(ISNUMBER(AVERAGE('20250815_ETF_Options_Exhibits'!N849:N853)),AVERAGE('20250815_ETF_Options_Exhibits'!N849:N853),"")</f>
        <v/>
      </c>
      <c r="O853" s="3">
        <f>IF(ISNUMBER(AVERAGE('20250815_ETF_Options_Exhibits'!O849:O853)),AVERAGE('20250815_ETF_Options_Exhibits'!O849:O853),"")</f>
        <v/>
      </c>
      <c r="P853" s="3">
        <f>IF(ISNUMBER(AVERAGE('20250815_ETF_Options_Exhibits'!P849:P853)),AVERAGE('20250815_ETF_Options_Exhibits'!P849:P853),"")</f>
        <v/>
      </c>
      <c r="Q853" s="3">
        <f>IF(ISNUMBER(AVERAGE('20250815_ETF_Options_Exhibits'!Q849:Q853)),AVERAGE('20250815_ETF_Options_Exhibits'!Q849:Q853),"")</f>
        <v/>
      </c>
      <c r="R853" s="3">
        <f>IF(ISNUMBER(AVERAGE('20250815_ETF_Options_Exhibits'!R849:R853)),AVERAGE('20250815_ETF_Options_Exhibits'!R849:R853),"")</f>
        <v/>
      </c>
      <c r="S853" s="3">
        <f>IF(ISNUMBER(AVERAGE('20250815_ETF_Options_Exhibits'!S849:S853)),AVERAGE('20250815_ETF_Options_Exhibits'!S849:S853),"")</f>
        <v/>
      </c>
      <c r="T853" s="3">
        <f>IF(ISNUMBER(AVERAGE('20250815_ETF_Options_Exhibits'!T849:T853)),AVERAGE('20250815_ETF_Options_Exhibits'!T849:T853),"")</f>
        <v/>
      </c>
      <c r="U853" s="3">
        <f>IF(ISNUMBER(AVERAGE('20250815_ETF_Options_Exhibits'!U849:U853)),AVERAGE('20250815_ETF_Options_Exhibits'!U849:U853),"")</f>
        <v/>
      </c>
      <c r="V853" s="3">
        <f>IF(ISNUMBER(AVERAGE('20250815_ETF_Options_Exhibits'!V849:V853)),AVERAGE('20250815_ETF_Options_Exhibits'!V849:V853),"")</f>
        <v/>
      </c>
      <c r="W853" s="3">
        <f>IF(ISNUMBER(AVERAGE('20250815_ETF_Options_Exhibits'!W849:W853)),AVERAGE('20250815_ETF_Options_Exhibits'!W849:W853),"")</f>
        <v/>
      </c>
      <c r="X853" s="3">
        <f>IF(ISNUMBER(AVERAGE('20250815_ETF_Options_Exhibits'!X849:X853)),AVERAGE('20250815_ETF_Options_Exhibits'!X849:X853),"")</f>
        <v/>
      </c>
      <c r="Y853" s="3">
        <f>IF(ISNUMBER(AVERAGE('20250815_ETF_Options_Exhibits'!Y849:Y853)),AVERAGE('20250815_ETF_Options_Exhibits'!Y849:Y853),"")</f>
        <v/>
      </c>
      <c r="Z853" s="3">
        <f>IF(ISNUMBER(AVERAGE('20250815_ETF_Options_Exhibits'!Z849:Z853)),AVERAGE('20250815_ETF_Options_Exhibits'!Z849:Z853),"")</f>
        <v/>
      </c>
      <c r="AA853" s="3">
        <f>IF(ISNUMBER(AVERAGE('20250815_ETF_Options_Exhibits'!AA849:AA853)),AVERAGE('20250815_ETF_Options_Exhibits'!AA849:AA853),"")</f>
        <v/>
      </c>
    </row>
    <row r="854">
      <c r="A854" s="1" t="n">
        <v>43242</v>
      </c>
      <c r="B854" s="3">
        <f>IF(ISNUMBER(AVERAGE('20250815_ETF_Options_Exhibits'!B850:B854)),AVERAGE('20250815_ETF_Options_Exhibits'!B850:B854),"")</f>
        <v/>
      </c>
      <c r="C854" s="3">
        <f>IF(ISNUMBER(AVERAGE('20250815_ETF_Options_Exhibits'!C850:C854)),AVERAGE('20250815_ETF_Options_Exhibits'!C850:C854),"")</f>
        <v/>
      </c>
      <c r="D854" s="3">
        <f>IF(ISNUMBER(AVERAGE('20250815_ETF_Options_Exhibits'!D850:D854)),AVERAGE('20250815_ETF_Options_Exhibits'!D850:D854),"")</f>
        <v/>
      </c>
      <c r="E854" s="3">
        <f>IF(ISNUMBER(AVERAGE('20250815_ETF_Options_Exhibits'!E850:E854)),AVERAGE('20250815_ETF_Options_Exhibits'!E850:E854),"")</f>
        <v/>
      </c>
      <c r="F854" s="3">
        <f>IF(ISNUMBER(AVERAGE('20250815_ETF_Options_Exhibits'!F850:F854)),AVERAGE('20250815_ETF_Options_Exhibits'!F850:F854),"")</f>
        <v/>
      </c>
      <c r="G854" s="3">
        <f>IF(ISNUMBER(AVERAGE('20250815_ETF_Options_Exhibits'!G850:G854)),AVERAGE('20250815_ETF_Options_Exhibits'!G850:G854),"")</f>
        <v/>
      </c>
      <c r="H854" s="3">
        <f>IF(ISNUMBER(AVERAGE('20250815_ETF_Options_Exhibits'!H850:H854)),AVERAGE('20250815_ETF_Options_Exhibits'!H850:H854),"")</f>
        <v/>
      </c>
      <c r="I854" s="3">
        <f>IF(ISNUMBER(AVERAGE('20250815_ETF_Options_Exhibits'!I850:I854)),AVERAGE('20250815_ETF_Options_Exhibits'!I850:I854),"")</f>
        <v/>
      </c>
      <c r="J854" s="3">
        <f>IF(ISNUMBER(AVERAGE('20250815_ETF_Options_Exhibits'!J850:J854)),AVERAGE('20250815_ETF_Options_Exhibits'!J850:J854),"")</f>
        <v/>
      </c>
      <c r="K854" s="3">
        <f>IF(ISNUMBER(AVERAGE('20250815_ETF_Options_Exhibits'!K850:K854)),AVERAGE('20250815_ETF_Options_Exhibits'!K850:K854),"")</f>
        <v/>
      </c>
      <c r="L854" s="3">
        <f>IF(ISNUMBER(AVERAGE('20250815_ETF_Options_Exhibits'!L850:L854)),AVERAGE('20250815_ETF_Options_Exhibits'!L850:L854),"")</f>
        <v/>
      </c>
      <c r="M854" s="3">
        <f>IF(ISNUMBER(AVERAGE('20250815_ETF_Options_Exhibits'!M850:M854)),AVERAGE('20250815_ETF_Options_Exhibits'!M850:M854),"")</f>
        <v/>
      </c>
      <c r="N854" s="3">
        <f>IF(ISNUMBER(AVERAGE('20250815_ETF_Options_Exhibits'!N850:N854)),AVERAGE('20250815_ETF_Options_Exhibits'!N850:N854),"")</f>
        <v/>
      </c>
      <c r="O854" s="3">
        <f>IF(ISNUMBER(AVERAGE('20250815_ETF_Options_Exhibits'!O850:O854)),AVERAGE('20250815_ETF_Options_Exhibits'!O850:O854),"")</f>
        <v/>
      </c>
      <c r="P854" s="3">
        <f>IF(ISNUMBER(AVERAGE('20250815_ETF_Options_Exhibits'!P850:P854)),AVERAGE('20250815_ETF_Options_Exhibits'!P850:P854),"")</f>
        <v/>
      </c>
      <c r="Q854" s="3">
        <f>IF(ISNUMBER(AVERAGE('20250815_ETF_Options_Exhibits'!Q850:Q854)),AVERAGE('20250815_ETF_Options_Exhibits'!Q850:Q854),"")</f>
        <v/>
      </c>
      <c r="R854" s="3">
        <f>IF(ISNUMBER(AVERAGE('20250815_ETF_Options_Exhibits'!R850:R854)),AVERAGE('20250815_ETF_Options_Exhibits'!R850:R854),"")</f>
        <v/>
      </c>
      <c r="S854" s="3">
        <f>IF(ISNUMBER(AVERAGE('20250815_ETF_Options_Exhibits'!S850:S854)),AVERAGE('20250815_ETF_Options_Exhibits'!S850:S854),"")</f>
        <v/>
      </c>
      <c r="T854" s="3">
        <f>IF(ISNUMBER(AVERAGE('20250815_ETF_Options_Exhibits'!T850:T854)),AVERAGE('20250815_ETF_Options_Exhibits'!T850:T854),"")</f>
        <v/>
      </c>
      <c r="U854" s="3">
        <f>IF(ISNUMBER(AVERAGE('20250815_ETF_Options_Exhibits'!U850:U854)),AVERAGE('20250815_ETF_Options_Exhibits'!U850:U854),"")</f>
        <v/>
      </c>
      <c r="V854" s="3">
        <f>IF(ISNUMBER(AVERAGE('20250815_ETF_Options_Exhibits'!V850:V854)),AVERAGE('20250815_ETF_Options_Exhibits'!V850:V854),"")</f>
        <v/>
      </c>
      <c r="W854" s="3">
        <f>IF(ISNUMBER(AVERAGE('20250815_ETF_Options_Exhibits'!W850:W854)),AVERAGE('20250815_ETF_Options_Exhibits'!W850:W854),"")</f>
        <v/>
      </c>
      <c r="X854" s="3">
        <f>IF(ISNUMBER(AVERAGE('20250815_ETF_Options_Exhibits'!X850:X854)),AVERAGE('20250815_ETF_Options_Exhibits'!X850:X854),"")</f>
        <v/>
      </c>
      <c r="Y854" s="3">
        <f>IF(ISNUMBER(AVERAGE('20250815_ETF_Options_Exhibits'!Y850:Y854)),AVERAGE('20250815_ETF_Options_Exhibits'!Y850:Y854),"")</f>
        <v/>
      </c>
      <c r="Z854" s="3">
        <f>IF(ISNUMBER(AVERAGE('20250815_ETF_Options_Exhibits'!Z850:Z854)),AVERAGE('20250815_ETF_Options_Exhibits'!Z850:Z854),"")</f>
        <v/>
      </c>
      <c r="AA854" s="3">
        <f>IF(ISNUMBER(AVERAGE('20250815_ETF_Options_Exhibits'!AA850:AA854)),AVERAGE('20250815_ETF_Options_Exhibits'!AA850:AA854),"")</f>
        <v/>
      </c>
    </row>
    <row r="855">
      <c r="A855" s="1" t="n">
        <v>43243</v>
      </c>
      <c r="B855" s="3">
        <f>IF(ISNUMBER(AVERAGE('20250815_ETF_Options_Exhibits'!B851:B855)),AVERAGE('20250815_ETF_Options_Exhibits'!B851:B855),"")</f>
        <v/>
      </c>
      <c r="C855" s="3">
        <f>IF(ISNUMBER(AVERAGE('20250815_ETF_Options_Exhibits'!C851:C855)),AVERAGE('20250815_ETF_Options_Exhibits'!C851:C855),"")</f>
        <v/>
      </c>
      <c r="D855" s="3">
        <f>IF(ISNUMBER(AVERAGE('20250815_ETF_Options_Exhibits'!D851:D855)),AVERAGE('20250815_ETF_Options_Exhibits'!D851:D855),"")</f>
        <v/>
      </c>
      <c r="E855" s="3">
        <f>IF(ISNUMBER(AVERAGE('20250815_ETF_Options_Exhibits'!E851:E855)),AVERAGE('20250815_ETF_Options_Exhibits'!E851:E855),"")</f>
        <v/>
      </c>
      <c r="F855" s="3">
        <f>IF(ISNUMBER(AVERAGE('20250815_ETF_Options_Exhibits'!F851:F855)),AVERAGE('20250815_ETF_Options_Exhibits'!F851:F855),"")</f>
        <v/>
      </c>
      <c r="G855" s="3">
        <f>IF(ISNUMBER(AVERAGE('20250815_ETF_Options_Exhibits'!G851:G855)),AVERAGE('20250815_ETF_Options_Exhibits'!G851:G855),"")</f>
        <v/>
      </c>
      <c r="H855" s="3">
        <f>IF(ISNUMBER(AVERAGE('20250815_ETF_Options_Exhibits'!H851:H855)),AVERAGE('20250815_ETF_Options_Exhibits'!H851:H855),"")</f>
        <v/>
      </c>
      <c r="I855" s="3">
        <f>IF(ISNUMBER(AVERAGE('20250815_ETF_Options_Exhibits'!I851:I855)),AVERAGE('20250815_ETF_Options_Exhibits'!I851:I855),"")</f>
        <v/>
      </c>
      <c r="J855" s="3">
        <f>IF(ISNUMBER(AVERAGE('20250815_ETF_Options_Exhibits'!J851:J855)),AVERAGE('20250815_ETF_Options_Exhibits'!J851:J855),"")</f>
        <v/>
      </c>
      <c r="K855" s="3">
        <f>IF(ISNUMBER(AVERAGE('20250815_ETF_Options_Exhibits'!K851:K855)),AVERAGE('20250815_ETF_Options_Exhibits'!K851:K855),"")</f>
        <v/>
      </c>
      <c r="L855" s="3">
        <f>IF(ISNUMBER(AVERAGE('20250815_ETF_Options_Exhibits'!L851:L855)),AVERAGE('20250815_ETF_Options_Exhibits'!L851:L855),"")</f>
        <v/>
      </c>
      <c r="M855" s="3">
        <f>IF(ISNUMBER(AVERAGE('20250815_ETF_Options_Exhibits'!M851:M855)),AVERAGE('20250815_ETF_Options_Exhibits'!M851:M855),"")</f>
        <v/>
      </c>
      <c r="N855" s="3">
        <f>IF(ISNUMBER(AVERAGE('20250815_ETF_Options_Exhibits'!N851:N855)),AVERAGE('20250815_ETF_Options_Exhibits'!N851:N855),"")</f>
        <v/>
      </c>
      <c r="O855" s="3">
        <f>IF(ISNUMBER(AVERAGE('20250815_ETF_Options_Exhibits'!O851:O855)),AVERAGE('20250815_ETF_Options_Exhibits'!O851:O855),"")</f>
        <v/>
      </c>
      <c r="P855" s="3">
        <f>IF(ISNUMBER(AVERAGE('20250815_ETF_Options_Exhibits'!P851:P855)),AVERAGE('20250815_ETF_Options_Exhibits'!P851:P855),"")</f>
        <v/>
      </c>
      <c r="Q855" s="3">
        <f>IF(ISNUMBER(AVERAGE('20250815_ETF_Options_Exhibits'!Q851:Q855)),AVERAGE('20250815_ETF_Options_Exhibits'!Q851:Q855),"")</f>
        <v/>
      </c>
      <c r="R855" s="3">
        <f>IF(ISNUMBER(AVERAGE('20250815_ETF_Options_Exhibits'!R851:R855)),AVERAGE('20250815_ETF_Options_Exhibits'!R851:R855),"")</f>
        <v/>
      </c>
      <c r="S855" s="3">
        <f>IF(ISNUMBER(AVERAGE('20250815_ETF_Options_Exhibits'!S851:S855)),AVERAGE('20250815_ETF_Options_Exhibits'!S851:S855),"")</f>
        <v/>
      </c>
      <c r="T855" s="3">
        <f>IF(ISNUMBER(AVERAGE('20250815_ETF_Options_Exhibits'!T851:T855)),AVERAGE('20250815_ETF_Options_Exhibits'!T851:T855),"")</f>
        <v/>
      </c>
      <c r="U855" s="3">
        <f>IF(ISNUMBER(AVERAGE('20250815_ETF_Options_Exhibits'!U851:U855)),AVERAGE('20250815_ETF_Options_Exhibits'!U851:U855),"")</f>
        <v/>
      </c>
      <c r="V855" s="3">
        <f>IF(ISNUMBER(AVERAGE('20250815_ETF_Options_Exhibits'!V851:V855)),AVERAGE('20250815_ETF_Options_Exhibits'!V851:V855),"")</f>
        <v/>
      </c>
      <c r="W855" s="3">
        <f>IF(ISNUMBER(AVERAGE('20250815_ETF_Options_Exhibits'!W851:W855)),AVERAGE('20250815_ETF_Options_Exhibits'!W851:W855),"")</f>
        <v/>
      </c>
      <c r="X855" s="3">
        <f>IF(ISNUMBER(AVERAGE('20250815_ETF_Options_Exhibits'!X851:X855)),AVERAGE('20250815_ETF_Options_Exhibits'!X851:X855),"")</f>
        <v/>
      </c>
      <c r="Y855" s="3">
        <f>IF(ISNUMBER(AVERAGE('20250815_ETF_Options_Exhibits'!Y851:Y855)),AVERAGE('20250815_ETF_Options_Exhibits'!Y851:Y855),"")</f>
        <v/>
      </c>
      <c r="Z855" s="3">
        <f>IF(ISNUMBER(AVERAGE('20250815_ETF_Options_Exhibits'!Z851:Z855)),AVERAGE('20250815_ETF_Options_Exhibits'!Z851:Z855),"")</f>
        <v/>
      </c>
      <c r="AA855" s="3">
        <f>IF(ISNUMBER(AVERAGE('20250815_ETF_Options_Exhibits'!AA851:AA855)),AVERAGE('20250815_ETF_Options_Exhibits'!AA851:AA855),"")</f>
        <v/>
      </c>
    </row>
    <row r="856">
      <c r="A856" s="1" t="n">
        <v>43244</v>
      </c>
      <c r="B856" s="3">
        <f>IF(ISNUMBER(AVERAGE('20250815_ETF_Options_Exhibits'!B852:B856)),AVERAGE('20250815_ETF_Options_Exhibits'!B852:B856),"")</f>
        <v/>
      </c>
      <c r="C856" s="3">
        <f>IF(ISNUMBER(AVERAGE('20250815_ETF_Options_Exhibits'!C852:C856)),AVERAGE('20250815_ETF_Options_Exhibits'!C852:C856),"")</f>
        <v/>
      </c>
      <c r="D856" s="3">
        <f>IF(ISNUMBER(AVERAGE('20250815_ETF_Options_Exhibits'!D852:D856)),AVERAGE('20250815_ETF_Options_Exhibits'!D852:D856),"")</f>
        <v/>
      </c>
      <c r="E856" s="3">
        <f>IF(ISNUMBER(AVERAGE('20250815_ETF_Options_Exhibits'!E852:E856)),AVERAGE('20250815_ETF_Options_Exhibits'!E852:E856),"")</f>
        <v/>
      </c>
      <c r="F856" s="3">
        <f>IF(ISNUMBER(AVERAGE('20250815_ETF_Options_Exhibits'!F852:F856)),AVERAGE('20250815_ETF_Options_Exhibits'!F852:F856),"")</f>
        <v/>
      </c>
      <c r="G856" s="3">
        <f>IF(ISNUMBER(AVERAGE('20250815_ETF_Options_Exhibits'!G852:G856)),AVERAGE('20250815_ETF_Options_Exhibits'!G852:G856),"")</f>
        <v/>
      </c>
      <c r="H856" s="3">
        <f>IF(ISNUMBER(AVERAGE('20250815_ETF_Options_Exhibits'!H852:H856)),AVERAGE('20250815_ETF_Options_Exhibits'!H852:H856),"")</f>
        <v/>
      </c>
      <c r="I856" s="3">
        <f>IF(ISNUMBER(AVERAGE('20250815_ETF_Options_Exhibits'!I852:I856)),AVERAGE('20250815_ETF_Options_Exhibits'!I852:I856),"")</f>
        <v/>
      </c>
      <c r="J856" s="3">
        <f>IF(ISNUMBER(AVERAGE('20250815_ETF_Options_Exhibits'!J852:J856)),AVERAGE('20250815_ETF_Options_Exhibits'!J852:J856),"")</f>
        <v/>
      </c>
      <c r="K856" s="3">
        <f>IF(ISNUMBER(AVERAGE('20250815_ETF_Options_Exhibits'!K852:K856)),AVERAGE('20250815_ETF_Options_Exhibits'!K852:K856),"")</f>
        <v/>
      </c>
      <c r="L856" s="3">
        <f>IF(ISNUMBER(AVERAGE('20250815_ETF_Options_Exhibits'!L852:L856)),AVERAGE('20250815_ETF_Options_Exhibits'!L852:L856),"")</f>
        <v/>
      </c>
      <c r="M856" s="3">
        <f>IF(ISNUMBER(AVERAGE('20250815_ETF_Options_Exhibits'!M852:M856)),AVERAGE('20250815_ETF_Options_Exhibits'!M852:M856),"")</f>
        <v/>
      </c>
      <c r="N856" s="3">
        <f>IF(ISNUMBER(AVERAGE('20250815_ETF_Options_Exhibits'!N852:N856)),AVERAGE('20250815_ETF_Options_Exhibits'!N852:N856),"")</f>
        <v/>
      </c>
      <c r="O856" s="3">
        <f>IF(ISNUMBER(AVERAGE('20250815_ETF_Options_Exhibits'!O852:O856)),AVERAGE('20250815_ETF_Options_Exhibits'!O852:O856),"")</f>
        <v/>
      </c>
      <c r="P856" s="3">
        <f>IF(ISNUMBER(AVERAGE('20250815_ETF_Options_Exhibits'!P852:P856)),AVERAGE('20250815_ETF_Options_Exhibits'!P852:P856),"")</f>
        <v/>
      </c>
      <c r="Q856" s="3">
        <f>IF(ISNUMBER(AVERAGE('20250815_ETF_Options_Exhibits'!Q852:Q856)),AVERAGE('20250815_ETF_Options_Exhibits'!Q852:Q856),"")</f>
        <v/>
      </c>
      <c r="R856" s="3">
        <f>IF(ISNUMBER(AVERAGE('20250815_ETF_Options_Exhibits'!R852:R856)),AVERAGE('20250815_ETF_Options_Exhibits'!R852:R856),"")</f>
        <v/>
      </c>
      <c r="S856" s="3">
        <f>IF(ISNUMBER(AVERAGE('20250815_ETF_Options_Exhibits'!S852:S856)),AVERAGE('20250815_ETF_Options_Exhibits'!S852:S856),"")</f>
        <v/>
      </c>
      <c r="T856" s="3">
        <f>IF(ISNUMBER(AVERAGE('20250815_ETF_Options_Exhibits'!T852:T856)),AVERAGE('20250815_ETF_Options_Exhibits'!T852:T856),"")</f>
        <v/>
      </c>
      <c r="U856" s="3">
        <f>IF(ISNUMBER(AVERAGE('20250815_ETF_Options_Exhibits'!U852:U856)),AVERAGE('20250815_ETF_Options_Exhibits'!U852:U856),"")</f>
        <v/>
      </c>
      <c r="V856" s="3">
        <f>IF(ISNUMBER(AVERAGE('20250815_ETF_Options_Exhibits'!V852:V856)),AVERAGE('20250815_ETF_Options_Exhibits'!V852:V856),"")</f>
        <v/>
      </c>
      <c r="W856" s="3">
        <f>IF(ISNUMBER(AVERAGE('20250815_ETF_Options_Exhibits'!W852:W856)),AVERAGE('20250815_ETF_Options_Exhibits'!W852:W856),"")</f>
        <v/>
      </c>
      <c r="X856" s="3">
        <f>IF(ISNUMBER(AVERAGE('20250815_ETF_Options_Exhibits'!X852:X856)),AVERAGE('20250815_ETF_Options_Exhibits'!X852:X856),"")</f>
        <v/>
      </c>
      <c r="Y856" s="3">
        <f>IF(ISNUMBER(AVERAGE('20250815_ETF_Options_Exhibits'!Y852:Y856)),AVERAGE('20250815_ETF_Options_Exhibits'!Y852:Y856),"")</f>
        <v/>
      </c>
      <c r="Z856" s="3">
        <f>IF(ISNUMBER(AVERAGE('20250815_ETF_Options_Exhibits'!Z852:Z856)),AVERAGE('20250815_ETF_Options_Exhibits'!Z852:Z856),"")</f>
        <v/>
      </c>
      <c r="AA856" s="3">
        <f>IF(ISNUMBER(AVERAGE('20250815_ETF_Options_Exhibits'!AA852:AA856)),AVERAGE('20250815_ETF_Options_Exhibits'!AA852:AA856),"")</f>
        <v/>
      </c>
    </row>
    <row r="857">
      <c r="A857" s="1" t="n">
        <v>43245</v>
      </c>
      <c r="B857" s="3">
        <f>IF(ISNUMBER(AVERAGE('20250815_ETF_Options_Exhibits'!B853:B857)),AVERAGE('20250815_ETF_Options_Exhibits'!B853:B857),"")</f>
        <v/>
      </c>
      <c r="C857" s="3">
        <f>IF(ISNUMBER(AVERAGE('20250815_ETF_Options_Exhibits'!C853:C857)),AVERAGE('20250815_ETF_Options_Exhibits'!C853:C857),"")</f>
        <v/>
      </c>
      <c r="D857" s="3">
        <f>IF(ISNUMBER(AVERAGE('20250815_ETF_Options_Exhibits'!D853:D857)),AVERAGE('20250815_ETF_Options_Exhibits'!D853:D857),"")</f>
        <v/>
      </c>
      <c r="E857" s="3">
        <f>IF(ISNUMBER(AVERAGE('20250815_ETF_Options_Exhibits'!E853:E857)),AVERAGE('20250815_ETF_Options_Exhibits'!E853:E857),"")</f>
        <v/>
      </c>
      <c r="F857" s="3">
        <f>IF(ISNUMBER(AVERAGE('20250815_ETF_Options_Exhibits'!F853:F857)),AVERAGE('20250815_ETF_Options_Exhibits'!F853:F857),"")</f>
        <v/>
      </c>
      <c r="G857" s="3">
        <f>IF(ISNUMBER(AVERAGE('20250815_ETF_Options_Exhibits'!G853:G857)),AVERAGE('20250815_ETF_Options_Exhibits'!G853:G857),"")</f>
        <v/>
      </c>
      <c r="H857" s="3">
        <f>IF(ISNUMBER(AVERAGE('20250815_ETF_Options_Exhibits'!H853:H857)),AVERAGE('20250815_ETF_Options_Exhibits'!H853:H857),"")</f>
        <v/>
      </c>
      <c r="I857" s="3">
        <f>IF(ISNUMBER(AVERAGE('20250815_ETF_Options_Exhibits'!I853:I857)),AVERAGE('20250815_ETF_Options_Exhibits'!I853:I857),"")</f>
        <v/>
      </c>
      <c r="J857" s="3">
        <f>IF(ISNUMBER(AVERAGE('20250815_ETF_Options_Exhibits'!J853:J857)),AVERAGE('20250815_ETF_Options_Exhibits'!J853:J857),"")</f>
        <v/>
      </c>
      <c r="K857" s="3">
        <f>IF(ISNUMBER(AVERAGE('20250815_ETF_Options_Exhibits'!K853:K857)),AVERAGE('20250815_ETF_Options_Exhibits'!K853:K857),"")</f>
        <v/>
      </c>
      <c r="L857" s="3">
        <f>IF(ISNUMBER(AVERAGE('20250815_ETF_Options_Exhibits'!L853:L857)),AVERAGE('20250815_ETF_Options_Exhibits'!L853:L857),"")</f>
        <v/>
      </c>
      <c r="M857" s="3">
        <f>IF(ISNUMBER(AVERAGE('20250815_ETF_Options_Exhibits'!M853:M857)),AVERAGE('20250815_ETF_Options_Exhibits'!M853:M857),"")</f>
        <v/>
      </c>
      <c r="N857" s="3">
        <f>IF(ISNUMBER(AVERAGE('20250815_ETF_Options_Exhibits'!N853:N857)),AVERAGE('20250815_ETF_Options_Exhibits'!N853:N857),"")</f>
        <v/>
      </c>
      <c r="O857" s="3">
        <f>IF(ISNUMBER(AVERAGE('20250815_ETF_Options_Exhibits'!O853:O857)),AVERAGE('20250815_ETF_Options_Exhibits'!O853:O857),"")</f>
        <v/>
      </c>
      <c r="P857" s="3">
        <f>IF(ISNUMBER(AVERAGE('20250815_ETF_Options_Exhibits'!P853:P857)),AVERAGE('20250815_ETF_Options_Exhibits'!P853:P857),"")</f>
        <v/>
      </c>
      <c r="Q857" s="3">
        <f>IF(ISNUMBER(AVERAGE('20250815_ETF_Options_Exhibits'!Q853:Q857)),AVERAGE('20250815_ETF_Options_Exhibits'!Q853:Q857),"")</f>
        <v/>
      </c>
      <c r="R857" s="3">
        <f>IF(ISNUMBER(AVERAGE('20250815_ETF_Options_Exhibits'!R853:R857)),AVERAGE('20250815_ETF_Options_Exhibits'!R853:R857),"")</f>
        <v/>
      </c>
      <c r="S857" s="3">
        <f>IF(ISNUMBER(AVERAGE('20250815_ETF_Options_Exhibits'!S853:S857)),AVERAGE('20250815_ETF_Options_Exhibits'!S853:S857),"")</f>
        <v/>
      </c>
      <c r="T857" s="3">
        <f>IF(ISNUMBER(AVERAGE('20250815_ETF_Options_Exhibits'!T853:T857)),AVERAGE('20250815_ETF_Options_Exhibits'!T853:T857),"")</f>
        <v/>
      </c>
      <c r="U857" s="3">
        <f>IF(ISNUMBER(AVERAGE('20250815_ETF_Options_Exhibits'!U853:U857)),AVERAGE('20250815_ETF_Options_Exhibits'!U853:U857),"")</f>
        <v/>
      </c>
      <c r="V857" s="3">
        <f>IF(ISNUMBER(AVERAGE('20250815_ETF_Options_Exhibits'!V853:V857)),AVERAGE('20250815_ETF_Options_Exhibits'!V853:V857),"")</f>
        <v/>
      </c>
      <c r="W857" s="3">
        <f>IF(ISNUMBER(AVERAGE('20250815_ETF_Options_Exhibits'!W853:W857)),AVERAGE('20250815_ETF_Options_Exhibits'!W853:W857),"")</f>
        <v/>
      </c>
      <c r="X857" s="3">
        <f>IF(ISNUMBER(AVERAGE('20250815_ETF_Options_Exhibits'!X853:X857)),AVERAGE('20250815_ETF_Options_Exhibits'!X853:X857),"")</f>
        <v/>
      </c>
      <c r="Y857" s="3">
        <f>IF(ISNUMBER(AVERAGE('20250815_ETF_Options_Exhibits'!Y853:Y857)),AVERAGE('20250815_ETF_Options_Exhibits'!Y853:Y857),"")</f>
        <v/>
      </c>
      <c r="Z857" s="3">
        <f>IF(ISNUMBER(AVERAGE('20250815_ETF_Options_Exhibits'!Z853:Z857)),AVERAGE('20250815_ETF_Options_Exhibits'!Z853:Z857),"")</f>
        <v/>
      </c>
      <c r="AA857" s="3">
        <f>IF(ISNUMBER(AVERAGE('20250815_ETF_Options_Exhibits'!AA853:AA857)),AVERAGE('20250815_ETF_Options_Exhibits'!AA853:AA857),"")</f>
        <v/>
      </c>
    </row>
    <row r="858">
      <c r="A858" s="1" t="n">
        <v>43249</v>
      </c>
      <c r="B858" s="3">
        <f>IF(ISNUMBER(AVERAGE('20250815_ETF_Options_Exhibits'!B854:B858)),AVERAGE('20250815_ETF_Options_Exhibits'!B854:B858),"")</f>
        <v/>
      </c>
      <c r="C858" s="3">
        <f>IF(ISNUMBER(AVERAGE('20250815_ETF_Options_Exhibits'!C854:C858)),AVERAGE('20250815_ETF_Options_Exhibits'!C854:C858),"")</f>
        <v/>
      </c>
      <c r="D858" s="3">
        <f>IF(ISNUMBER(AVERAGE('20250815_ETF_Options_Exhibits'!D854:D858)),AVERAGE('20250815_ETF_Options_Exhibits'!D854:D858),"")</f>
        <v/>
      </c>
      <c r="E858" s="3">
        <f>IF(ISNUMBER(AVERAGE('20250815_ETF_Options_Exhibits'!E854:E858)),AVERAGE('20250815_ETF_Options_Exhibits'!E854:E858),"")</f>
        <v/>
      </c>
      <c r="F858" s="3">
        <f>IF(ISNUMBER(AVERAGE('20250815_ETF_Options_Exhibits'!F854:F858)),AVERAGE('20250815_ETF_Options_Exhibits'!F854:F858),"")</f>
        <v/>
      </c>
      <c r="G858" s="3">
        <f>IF(ISNUMBER(AVERAGE('20250815_ETF_Options_Exhibits'!G854:G858)),AVERAGE('20250815_ETF_Options_Exhibits'!G854:G858),"")</f>
        <v/>
      </c>
      <c r="H858" s="3">
        <f>IF(ISNUMBER(AVERAGE('20250815_ETF_Options_Exhibits'!H854:H858)),AVERAGE('20250815_ETF_Options_Exhibits'!H854:H858),"")</f>
        <v/>
      </c>
      <c r="I858" s="3">
        <f>IF(ISNUMBER(AVERAGE('20250815_ETF_Options_Exhibits'!I854:I858)),AVERAGE('20250815_ETF_Options_Exhibits'!I854:I858),"")</f>
        <v/>
      </c>
      <c r="J858" s="3">
        <f>IF(ISNUMBER(AVERAGE('20250815_ETF_Options_Exhibits'!J854:J858)),AVERAGE('20250815_ETF_Options_Exhibits'!J854:J858),"")</f>
        <v/>
      </c>
      <c r="K858" s="3">
        <f>IF(ISNUMBER(AVERAGE('20250815_ETF_Options_Exhibits'!K854:K858)),AVERAGE('20250815_ETF_Options_Exhibits'!K854:K858),"")</f>
        <v/>
      </c>
      <c r="L858" s="3">
        <f>IF(ISNUMBER(AVERAGE('20250815_ETF_Options_Exhibits'!L854:L858)),AVERAGE('20250815_ETF_Options_Exhibits'!L854:L858),"")</f>
        <v/>
      </c>
      <c r="M858" s="3">
        <f>IF(ISNUMBER(AVERAGE('20250815_ETF_Options_Exhibits'!M854:M858)),AVERAGE('20250815_ETF_Options_Exhibits'!M854:M858),"")</f>
        <v/>
      </c>
      <c r="N858" s="3">
        <f>IF(ISNUMBER(AVERAGE('20250815_ETF_Options_Exhibits'!N854:N858)),AVERAGE('20250815_ETF_Options_Exhibits'!N854:N858),"")</f>
        <v/>
      </c>
      <c r="O858" s="3">
        <f>IF(ISNUMBER(AVERAGE('20250815_ETF_Options_Exhibits'!O854:O858)),AVERAGE('20250815_ETF_Options_Exhibits'!O854:O858),"")</f>
        <v/>
      </c>
      <c r="P858" s="3">
        <f>IF(ISNUMBER(AVERAGE('20250815_ETF_Options_Exhibits'!P854:P858)),AVERAGE('20250815_ETF_Options_Exhibits'!P854:P858),"")</f>
        <v/>
      </c>
      <c r="Q858" s="3">
        <f>IF(ISNUMBER(AVERAGE('20250815_ETF_Options_Exhibits'!Q854:Q858)),AVERAGE('20250815_ETF_Options_Exhibits'!Q854:Q858),"")</f>
        <v/>
      </c>
      <c r="R858" s="3">
        <f>IF(ISNUMBER(AVERAGE('20250815_ETF_Options_Exhibits'!R854:R858)),AVERAGE('20250815_ETF_Options_Exhibits'!R854:R858),"")</f>
        <v/>
      </c>
      <c r="S858" s="3">
        <f>IF(ISNUMBER(AVERAGE('20250815_ETF_Options_Exhibits'!S854:S858)),AVERAGE('20250815_ETF_Options_Exhibits'!S854:S858),"")</f>
        <v/>
      </c>
      <c r="T858" s="3">
        <f>IF(ISNUMBER(AVERAGE('20250815_ETF_Options_Exhibits'!T854:T858)),AVERAGE('20250815_ETF_Options_Exhibits'!T854:T858),"")</f>
        <v/>
      </c>
      <c r="U858" s="3">
        <f>IF(ISNUMBER(AVERAGE('20250815_ETF_Options_Exhibits'!U854:U858)),AVERAGE('20250815_ETF_Options_Exhibits'!U854:U858),"")</f>
        <v/>
      </c>
      <c r="V858" s="3">
        <f>IF(ISNUMBER(AVERAGE('20250815_ETF_Options_Exhibits'!V854:V858)),AVERAGE('20250815_ETF_Options_Exhibits'!V854:V858),"")</f>
        <v/>
      </c>
      <c r="W858" s="3">
        <f>IF(ISNUMBER(AVERAGE('20250815_ETF_Options_Exhibits'!W854:W858)),AVERAGE('20250815_ETF_Options_Exhibits'!W854:W858),"")</f>
        <v/>
      </c>
      <c r="X858" s="3">
        <f>IF(ISNUMBER(AVERAGE('20250815_ETF_Options_Exhibits'!X854:X858)),AVERAGE('20250815_ETF_Options_Exhibits'!X854:X858),"")</f>
        <v/>
      </c>
      <c r="Y858" s="3">
        <f>IF(ISNUMBER(AVERAGE('20250815_ETF_Options_Exhibits'!Y854:Y858)),AVERAGE('20250815_ETF_Options_Exhibits'!Y854:Y858),"")</f>
        <v/>
      </c>
      <c r="Z858" s="3">
        <f>IF(ISNUMBER(AVERAGE('20250815_ETF_Options_Exhibits'!Z854:Z858)),AVERAGE('20250815_ETF_Options_Exhibits'!Z854:Z858),"")</f>
        <v/>
      </c>
      <c r="AA858" s="3">
        <f>IF(ISNUMBER(AVERAGE('20250815_ETF_Options_Exhibits'!AA854:AA858)),AVERAGE('20250815_ETF_Options_Exhibits'!AA854:AA858),"")</f>
        <v/>
      </c>
    </row>
    <row r="859">
      <c r="A859" s="1" t="n">
        <v>43250</v>
      </c>
      <c r="B859" s="3">
        <f>IF(ISNUMBER(AVERAGE('20250815_ETF_Options_Exhibits'!B855:B859)),AVERAGE('20250815_ETF_Options_Exhibits'!B855:B859),"")</f>
        <v/>
      </c>
      <c r="C859" s="3">
        <f>IF(ISNUMBER(AVERAGE('20250815_ETF_Options_Exhibits'!C855:C859)),AVERAGE('20250815_ETF_Options_Exhibits'!C855:C859),"")</f>
        <v/>
      </c>
      <c r="D859" s="3">
        <f>IF(ISNUMBER(AVERAGE('20250815_ETF_Options_Exhibits'!D855:D859)),AVERAGE('20250815_ETF_Options_Exhibits'!D855:D859),"")</f>
        <v/>
      </c>
      <c r="E859" s="3">
        <f>IF(ISNUMBER(AVERAGE('20250815_ETF_Options_Exhibits'!E855:E859)),AVERAGE('20250815_ETF_Options_Exhibits'!E855:E859),"")</f>
        <v/>
      </c>
      <c r="F859" s="3">
        <f>IF(ISNUMBER(AVERAGE('20250815_ETF_Options_Exhibits'!F855:F859)),AVERAGE('20250815_ETF_Options_Exhibits'!F855:F859),"")</f>
        <v/>
      </c>
      <c r="G859" s="3">
        <f>IF(ISNUMBER(AVERAGE('20250815_ETF_Options_Exhibits'!G855:G859)),AVERAGE('20250815_ETF_Options_Exhibits'!G855:G859),"")</f>
        <v/>
      </c>
      <c r="H859" s="3">
        <f>IF(ISNUMBER(AVERAGE('20250815_ETF_Options_Exhibits'!H855:H859)),AVERAGE('20250815_ETF_Options_Exhibits'!H855:H859),"")</f>
        <v/>
      </c>
      <c r="I859" s="3">
        <f>IF(ISNUMBER(AVERAGE('20250815_ETF_Options_Exhibits'!I855:I859)),AVERAGE('20250815_ETF_Options_Exhibits'!I855:I859),"")</f>
        <v/>
      </c>
      <c r="J859" s="3">
        <f>IF(ISNUMBER(AVERAGE('20250815_ETF_Options_Exhibits'!J855:J859)),AVERAGE('20250815_ETF_Options_Exhibits'!J855:J859),"")</f>
        <v/>
      </c>
      <c r="K859" s="3">
        <f>IF(ISNUMBER(AVERAGE('20250815_ETF_Options_Exhibits'!K855:K859)),AVERAGE('20250815_ETF_Options_Exhibits'!K855:K859),"")</f>
        <v/>
      </c>
      <c r="L859" s="3">
        <f>IF(ISNUMBER(AVERAGE('20250815_ETF_Options_Exhibits'!L855:L859)),AVERAGE('20250815_ETF_Options_Exhibits'!L855:L859),"")</f>
        <v/>
      </c>
      <c r="M859" s="3">
        <f>IF(ISNUMBER(AVERAGE('20250815_ETF_Options_Exhibits'!M855:M859)),AVERAGE('20250815_ETF_Options_Exhibits'!M855:M859),"")</f>
        <v/>
      </c>
      <c r="N859" s="3">
        <f>IF(ISNUMBER(AVERAGE('20250815_ETF_Options_Exhibits'!N855:N859)),AVERAGE('20250815_ETF_Options_Exhibits'!N855:N859),"")</f>
        <v/>
      </c>
      <c r="O859" s="3">
        <f>IF(ISNUMBER(AVERAGE('20250815_ETF_Options_Exhibits'!O855:O859)),AVERAGE('20250815_ETF_Options_Exhibits'!O855:O859),"")</f>
        <v/>
      </c>
      <c r="P859" s="3">
        <f>IF(ISNUMBER(AVERAGE('20250815_ETF_Options_Exhibits'!P855:P859)),AVERAGE('20250815_ETF_Options_Exhibits'!P855:P859),"")</f>
        <v/>
      </c>
      <c r="Q859" s="3">
        <f>IF(ISNUMBER(AVERAGE('20250815_ETF_Options_Exhibits'!Q855:Q859)),AVERAGE('20250815_ETF_Options_Exhibits'!Q855:Q859),"")</f>
        <v/>
      </c>
      <c r="R859" s="3">
        <f>IF(ISNUMBER(AVERAGE('20250815_ETF_Options_Exhibits'!R855:R859)),AVERAGE('20250815_ETF_Options_Exhibits'!R855:R859),"")</f>
        <v/>
      </c>
      <c r="S859" s="3">
        <f>IF(ISNUMBER(AVERAGE('20250815_ETF_Options_Exhibits'!S855:S859)),AVERAGE('20250815_ETF_Options_Exhibits'!S855:S859),"")</f>
        <v/>
      </c>
      <c r="T859" s="3">
        <f>IF(ISNUMBER(AVERAGE('20250815_ETF_Options_Exhibits'!T855:T859)),AVERAGE('20250815_ETF_Options_Exhibits'!T855:T859),"")</f>
        <v/>
      </c>
      <c r="U859" s="3">
        <f>IF(ISNUMBER(AVERAGE('20250815_ETF_Options_Exhibits'!U855:U859)),AVERAGE('20250815_ETF_Options_Exhibits'!U855:U859),"")</f>
        <v/>
      </c>
      <c r="V859" s="3">
        <f>IF(ISNUMBER(AVERAGE('20250815_ETF_Options_Exhibits'!V855:V859)),AVERAGE('20250815_ETF_Options_Exhibits'!V855:V859),"")</f>
        <v/>
      </c>
      <c r="W859" s="3">
        <f>IF(ISNUMBER(AVERAGE('20250815_ETF_Options_Exhibits'!W855:W859)),AVERAGE('20250815_ETF_Options_Exhibits'!W855:W859),"")</f>
        <v/>
      </c>
      <c r="X859" s="3">
        <f>IF(ISNUMBER(AVERAGE('20250815_ETF_Options_Exhibits'!X855:X859)),AVERAGE('20250815_ETF_Options_Exhibits'!X855:X859),"")</f>
        <v/>
      </c>
      <c r="Y859" s="3">
        <f>IF(ISNUMBER(AVERAGE('20250815_ETF_Options_Exhibits'!Y855:Y859)),AVERAGE('20250815_ETF_Options_Exhibits'!Y855:Y859),"")</f>
        <v/>
      </c>
      <c r="Z859" s="3">
        <f>IF(ISNUMBER(AVERAGE('20250815_ETF_Options_Exhibits'!Z855:Z859)),AVERAGE('20250815_ETF_Options_Exhibits'!Z855:Z859),"")</f>
        <v/>
      </c>
      <c r="AA859" s="3">
        <f>IF(ISNUMBER(AVERAGE('20250815_ETF_Options_Exhibits'!AA855:AA859)),AVERAGE('20250815_ETF_Options_Exhibits'!AA855:AA859),"")</f>
        <v/>
      </c>
    </row>
    <row r="860">
      <c r="A860" s="1" t="n">
        <v>43251</v>
      </c>
      <c r="B860" s="3">
        <f>IF(ISNUMBER(AVERAGE('20250815_ETF_Options_Exhibits'!B856:B860)),AVERAGE('20250815_ETF_Options_Exhibits'!B856:B860),"")</f>
        <v/>
      </c>
      <c r="C860" s="3">
        <f>IF(ISNUMBER(AVERAGE('20250815_ETF_Options_Exhibits'!C856:C860)),AVERAGE('20250815_ETF_Options_Exhibits'!C856:C860),"")</f>
        <v/>
      </c>
      <c r="D860" s="3">
        <f>IF(ISNUMBER(AVERAGE('20250815_ETF_Options_Exhibits'!D856:D860)),AVERAGE('20250815_ETF_Options_Exhibits'!D856:D860),"")</f>
        <v/>
      </c>
      <c r="E860" s="3">
        <f>IF(ISNUMBER(AVERAGE('20250815_ETF_Options_Exhibits'!E856:E860)),AVERAGE('20250815_ETF_Options_Exhibits'!E856:E860),"")</f>
        <v/>
      </c>
      <c r="F860" s="3">
        <f>IF(ISNUMBER(AVERAGE('20250815_ETF_Options_Exhibits'!F856:F860)),AVERAGE('20250815_ETF_Options_Exhibits'!F856:F860),"")</f>
        <v/>
      </c>
      <c r="G860" s="3">
        <f>IF(ISNUMBER(AVERAGE('20250815_ETF_Options_Exhibits'!G856:G860)),AVERAGE('20250815_ETF_Options_Exhibits'!G856:G860),"")</f>
        <v/>
      </c>
      <c r="H860" s="3">
        <f>IF(ISNUMBER(AVERAGE('20250815_ETF_Options_Exhibits'!H856:H860)),AVERAGE('20250815_ETF_Options_Exhibits'!H856:H860),"")</f>
        <v/>
      </c>
      <c r="I860" s="3">
        <f>IF(ISNUMBER(AVERAGE('20250815_ETF_Options_Exhibits'!I856:I860)),AVERAGE('20250815_ETF_Options_Exhibits'!I856:I860),"")</f>
        <v/>
      </c>
      <c r="J860" s="3">
        <f>IF(ISNUMBER(AVERAGE('20250815_ETF_Options_Exhibits'!J856:J860)),AVERAGE('20250815_ETF_Options_Exhibits'!J856:J860),"")</f>
        <v/>
      </c>
      <c r="K860" s="3">
        <f>IF(ISNUMBER(AVERAGE('20250815_ETF_Options_Exhibits'!K856:K860)),AVERAGE('20250815_ETF_Options_Exhibits'!K856:K860),"")</f>
        <v/>
      </c>
      <c r="L860" s="3">
        <f>IF(ISNUMBER(AVERAGE('20250815_ETF_Options_Exhibits'!L856:L860)),AVERAGE('20250815_ETF_Options_Exhibits'!L856:L860),"")</f>
        <v/>
      </c>
      <c r="M860" s="3">
        <f>IF(ISNUMBER(AVERAGE('20250815_ETF_Options_Exhibits'!M856:M860)),AVERAGE('20250815_ETF_Options_Exhibits'!M856:M860),"")</f>
        <v/>
      </c>
      <c r="N860" s="3">
        <f>IF(ISNUMBER(AVERAGE('20250815_ETF_Options_Exhibits'!N856:N860)),AVERAGE('20250815_ETF_Options_Exhibits'!N856:N860),"")</f>
        <v/>
      </c>
      <c r="O860" s="3">
        <f>IF(ISNUMBER(AVERAGE('20250815_ETF_Options_Exhibits'!O856:O860)),AVERAGE('20250815_ETF_Options_Exhibits'!O856:O860),"")</f>
        <v/>
      </c>
      <c r="P860" s="3">
        <f>IF(ISNUMBER(AVERAGE('20250815_ETF_Options_Exhibits'!P856:P860)),AVERAGE('20250815_ETF_Options_Exhibits'!P856:P860),"")</f>
        <v/>
      </c>
      <c r="Q860" s="3">
        <f>IF(ISNUMBER(AVERAGE('20250815_ETF_Options_Exhibits'!Q856:Q860)),AVERAGE('20250815_ETF_Options_Exhibits'!Q856:Q860),"")</f>
        <v/>
      </c>
      <c r="R860" s="3">
        <f>IF(ISNUMBER(AVERAGE('20250815_ETF_Options_Exhibits'!R856:R860)),AVERAGE('20250815_ETF_Options_Exhibits'!R856:R860),"")</f>
        <v/>
      </c>
      <c r="S860" s="3">
        <f>IF(ISNUMBER(AVERAGE('20250815_ETF_Options_Exhibits'!S856:S860)),AVERAGE('20250815_ETF_Options_Exhibits'!S856:S860),"")</f>
        <v/>
      </c>
      <c r="T860" s="3">
        <f>IF(ISNUMBER(AVERAGE('20250815_ETF_Options_Exhibits'!T856:T860)),AVERAGE('20250815_ETF_Options_Exhibits'!T856:T860),"")</f>
        <v/>
      </c>
      <c r="U860" s="3">
        <f>IF(ISNUMBER(AVERAGE('20250815_ETF_Options_Exhibits'!U856:U860)),AVERAGE('20250815_ETF_Options_Exhibits'!U856:U860),"")</f>
        <v/>
      </c>
      <c r="V860" s="3">
        <f>IF(ISNUMBER(AVERAGE('20250815_ETF_Options_Exhibits'!V856:V860)),AVERAGE('20250815_ETF_Options_Exhibits'!V856:V860),"")</f>
        <v/>
      </c>
      <c r="W860" s="3">
        <f>IF(ISNUMBER(AVERAGE('20250815_ETF_Options_Exhibits'!W856:W860)),AVERAGE('20250815_ETF_Options_Exhibits'!W856:W860),"")</f>
        <v/>
      </c>
      <c r="X860" s="3">
        <f>IF(ISNUMBER(AVERAGE('20250815_ETF_Options_Exhibits'!X856:X860)),AVERAGE('20250815_ETF_Options_Exhibits'!X856:X860),"")</f>
        <v/>
      </c>
      <c r="Y860" s="3">
        <f>IF(ISNUMBER(AVERAGE('20250815_ETF_Options_Exhibits'!Y856:Y860)),AVERAGE('20250815_ETF_Options_Exhibits'!Y856:Y860),"")</f>
        <v/>
      </c>
      <c r="Z860" s="3">
        <f>IF(ISNUMBER(AVERAGE('20250815_ETF_Options_Exhibits'!Z856:Z860)),AVERAGE('20250815_ETF_Options_Exhibits'!Z856:Z860),"")</f>
        <v/>
      </c>
      <c r="AA860" s="3">
        <f>IF(ISNUMBER(AVERAGE('20250815_ETF_Options_Exhibits'!AA856:AA860)),AVERAGE('20250815_ETF_Options_Exhibits'!AA856:AA860),"")</f>
        <v/>
      </c>
    </row>
    <row r="861">
      <c r="A861" s="1" t="n">
        <v>43252</v>
      </c>
      <c r="B861" s="3">
        <f>IF(ISNUMBER(AVERAGE('20250815_ETF_Options_Exhibits'!B857:B861)),AVERAGE('20250815_ETF_Options_Exhibits'!B857:B861),"")</f>
        <v/>
      </c>
      <c r="C861" s="3">
        <f>IF(ISNUMBER(AVERAGE('20250815_ETF_Options_Exhibits'!C857:C861)),AVERAGE('20250815_ETF_Options_Exhibits'!C857:C861),"")</f>
        <v/>
      </c>
      <c r="D861" s="3">
        <f>IF(ISNUMBER(AVERAGE('20250815_ETF_Options_Exhibits'!D857:D861)),AVERAGE('20250815_ETF_Options_Exhibits'!D857:D861),"")</f>
        <v/>
      </c>
      <c r="E861" s="3">
        <f>IF(ISNUMBER(AVERAGE('20250815_ETF_Options_Exhibits'!E857:E861)),AVERAGE('20250815_ETF_Options_Exhibits'!E857:E861),"")</f>
        <v/>
      </c>
      <c r="F861" s="3">
        <f>IF(ISNUMBER(AVERAGE('20250815_ETF_Options_Exhibits'!F857:F861)),AVERAGE('20250815_ETF_Options_Exhibits'!F857:F861),"")</f>
        <v/>
      </c>
      <c r="G861" s="3">
        <f>IF(ISNUMBER(AVERAGE('20250815_ETF_Options_Exhibits'!G857:G861)),AVERAGE('20250815_ETF_Options_Exhibits'!G857:G861),"")</f>
        <v/>
      </c>
      <c r="H861" s="3">
        <f>IF(ISNUMBER(AVERAGE('20250815_ETF_Options_Exhibits'!H857:H861)),AVERAGE('20250815_ETF_Options_Exhibits'!H857:H861),"")</f>
        <v/>
      </c>
      <c r="I861" s="3">
        <f>IF(ISNUMBER(AVERAGE('20250815_ETF_Options_Exhibits'!I857:I861)),AVERAGE('20250815_ETF_Options_Exhibits'!I857:I861),"")</f>
        <v/>
      </c>
      <c r="J861" s="3">
        <f>IF(ISNUMBER(AVERAGE('20250815_ETF_Options_Exhibits'!J857:J861)),AVERAGE('20250815_ETF_Options_Exhibits'!J857:J861),"")</f>
        <v/>
      </c>
      <c r="K861" s="3">
        <f>IF(ISNUMBER(AVERAGE('20250815_ETF_Options_Exhibits'!K857:K861)),AVERAGE('20250815_ETF_Options_Exhibits'!K857:K861),"")</f>
        <v/>
      </c>
      <c r="L861" s="3">
        <f>IF(ISNUMBER(AVERAGE('20250815_ETF_Options_Exhibits'!L857:L861)),AVERAGE('20250815_ETF_Options_Exhibits'!L857:L861),"")</f>
        <v/>
      </c>
      <c r="M861" s="3">
        <f>IF(ISNUMBER(AVERAGE('20250815_ETF_Options_Exhibits'!M857:M861)),AVERAGE('20250815_ETF_Options_Exhibits'!M857:M861),"")</f>
        <v/>
      </c>
      <c r="N861" s="3">
        <f>IF(ISNUMBER(AVERAGE('20250815_ETF_Options_Exhibits'!N857:N861)),AVERAGE('20250815_ETF_Options_Exhibits'!N857:N861),"")</f>
        <v/>
      </c>
      <c r="O861" s="3">
        <f>IF(ISNUMBER(AVERAGE('20250815_ETF_Options_Exhibits'!O857:O861)),AVERAGE('20250815_ETF_Options_Exhibits'!O857:O861),"")</f>
        <v/>
      </c>
      <c r="P861" s="3">
        <f>IF(ISNUMBER(AVERAGE('20250815_ETF_Options_Exhibits'!P857:P861)),AVERAGE('20250815_ETF_Options_Exhibits'!P857:P861),"")</f>
        <v/>
      </c>
      <c r="Q861" s="3">
        <f>IF(ISNUMBER(AVERAGE('20250815_ETF_Options_Exhibits'!Q857:Q861)),AVERAGE('20250815_ETF_Options_Exhibits'!Q857:Q861),"")</f>
        <v/>
      </c>
      <c r="R861" s="3">
        <f>IF(ISNUMBER(AVERAGE('20250815_ETF_Options_Exhibits'!R857:R861)),AVERAGE('20250815_ETF_Options_Exhibits'!R857:R861),"")</f>
        <v/>
      </c>
      <c r="S861" s="3">
        <f>IF(ISNUMBER(AVERAGE('20250815_ETF_Options_Exhibits'!S857:S861)),AVERAGE('20250815_ETF_Options_Exhibits'!S857:S861),"")</f>
        <v/>
      </c>
      <c r="T861" s="3">
        <f>IF(ISNUMBER(AVERAGE('20250815_ETF_Options_Exhibits'!T857:T861)),AVERAGE('20250815_ETF_Options_Exhibits'!T857:T861),"")</f>
        <v/>
      </c>
      <c r="U861" s="3">
        <f>IF(ISNUMBER(AVERAGE('20250815_ETF_Options_Exhibits'!U857:U861)),AVERAGE('20250815_ETF_Options_Exhibits'!U857:U861),"")</f>
        <v/>
      </c>
      <c r="V861" s="3">
        <f>IF(ISNUMBER(AVERAGE('20250815_ETF_Options_Exhibits'!V857:V861)),AVERAGE('20250815_ETF_Options_Exhibits'!V857:V861),"")</f>
        <v/>
      </c>
      <c r="W861" s="3">
        <f>IF(ISNUMBER(AVERAGE('20250815_ETF_Options_Exhibits'!W857:W861)),AVERAGE('20250815_ETF_Options_Exhibits'!W857:W861),"")</f>
        <v/>
      </c>
      <c r="X861" s="3">
        <f>IF(ISNUMBER(AVERAGE('20250815_ETF_Options_Exhibits'!X857:X861)),AVERAGE('20250815_ETF_Options_Exhibits'!X857:X861),"")</f>
        <v/>
      </c>
      <c r="Y861" s="3">
        <f>IF(ISNUMBER(AVERAGE('20250815_ETF_Options_Exhibits'!Y857:Y861)),AVERAGE('20250815_ETF_Options_Exhibits'!Y857:Y861),"")</f>
        <v/>
      </c>
      <c r="Z861" s="3">
        <f>IF(ISNUMBER(AVERAGE('20250815_ETF_Options_Exhibits'!Z857:Z861)),AVERAGE('20250815_ETF_Options_Exhibits'!Z857:Z861),"")</f>
        <v/>
      </c>
      <c r="AA861" s="3">
        <f>IF(ISNUMBER(AVERAGE('20250815_ETF_Options_Exhibits'!AA857:AA861)),AVERAGE('20250815_ETF_Options_Exhibits'!AA857:AA861),"")</f>
        <v/>
      </c>
    </row>
    <row r="862">
      <c r="A862" s="1" t="n">
        <v>43255</v>
      </c>
      <c r="B862" s="3">
        <f>IF(ISNUMBER(AVERAGE('20250815_ETF_Options_Exhibits'!B858:B862)),AVERAGE('20250815_ETF_Options_Exhibits'!B858:B862),"")</f>
        <v/>
      </c>
      <c r="C862" s="3">
        <f>IF(ISNUMBER(AVERAGE('20250815_ETF_Options_Exhibits'!C858:C862)),AVERAGE('20250815_ETF_Options_Exhibits'!C858:C862),"")</f>
        <v/>
      </c>
      <c r="D862" s="3">
        <f>IF(ISNUMBER(AVERAGE('20250815_ETF_Options_Exhibits'!D858:D862)),AVERAGE('20250815_ETF_Options_Exhibits'!D858:D862),"")</f>
        <v/>
      </c>
      <c r="E862" s="3">
        <f>IF(ISNUMBER(AVERAGE('20250815_ETF_Options_Exhibits'!E858:E862)),AVERAGE('20250815_ETF_Options_Exhibits'!E858:E862),"")</f>
        <v/>
      </c>
      <c r="F862" s="3">
        <f>IF(ISNUMBER(AVERAGE('20250815_ETF_Options_Exhibits'!F858:F862)),AVERAGE('20250815_ETF_Options_Exhibits'!F858:F862),"")</f>
        <v/>
      </c>
      <c r="G862" s="3">
        <f>IF(ISNUMBER(AVERAGE('20250815_ETF_Options_Exhibits'!G858:G862)),AVERAGE('20250815_ETF_Options_Exhibits'!G858:G862),"")</f>
        <v/>
      </c>
      <c r="H862" s="3">
        <f>IF(ISNUMBER(AVERAGE('20250815_ETF_Options_Exhibits'!H858:H862)),AVERAGE('20250815_ETF_Options_Exhibits'!H858:H862),"")</f>
        <v/>
      </c>
      <c r="I862" s="3">
        <f>IF(ISNUMBER(AVERAGE('20250815_ETF_Options_Exhibits'!I858:I862)),AVERAGE('20250815_ETF_Options_Exhibits'!I858:I862),"")</f>
        <v/>
      </c>
      <c r="J862" s="3">
        <f>IF(ISNUMBER(AVERAGE('20250815_ETF_Options_Exhibits'!J858:J862)),AVERAGE('20250815_ETF_Options_Exhibits'!J858:J862),"")</f>
        <v/>
      </c>
      <c r="K862" s="3">
        <f>IF(ISNUMBER(AVERAGE('20250815_ETF_Options_Exhibits'!K858:K862)),AVERAGE('20250815_ETF_Options_Exhibits'!K858:K862),"")</f>
        <v/>
      </c>
      <c r="L862" s="3">
        <f>IF(ISNUMBER(AVERAGE('20250815_ETF_Options_Exhibits'!L858:L862)),AVERAGE('20250815_ETF_Options_Exhibits'!L858:L862),"")</f>
        <v/>
      </c>
      <c r="M862" s="3">
        <f>IF(ISNUMBER(AVERAGE('20250815_ETF_Options_Exhibits'!M858:M862)),AVERAGE('20250815_ETF_Options_Exhibits'!M858:M862),"")</f>
        <v/>
      </c>
      <c r="N862" s="3">
        <f>IF(ISNUMBER(AVERAGE('20250815_ETF_Options_Exhibits'!N858:N862)),AVERAGE('20250815_ETF_Options_Exhibits'!N858:N862),"")</f>
        <v/>
      </c>
      <c r="O862" s="3">
        <f>IF(ISNUMBER(AVERAGE('20250815_ETF_Options_Exhibits'!O858:O862)),AVERAGE('20250815_ETF_Options_Exhibits'!O858:O862),"")</f>
        <v/>
      </c>
      <c r="P862" s="3">
        <f>IF(ISNUMBER(AVERAGE('20250815_ETF_Options_Exhibits'!P858:P862)),AVERAGE('20250815_ETF_Options_Exhibits'!P858:P862),"")</f>
        <v/>
      </c>
      <c r="Q862" s="3">
        <f>IF(ISNUMBER(AVERAGE('20250815_ETF_Options_Exhibits'!Q858:Q862)),AVERAGE('20250815_ETF_Options_Exhibits'!Q858:Q862),"")</f>
        <v/>
      </c>
      <c r="R862" s="3">
        <f>IF(ISNUMBER(AVERAGE('20250815_ETF_Options_Exhibits'!R858:R862)),AVERAGE('20250815_ETF_Options_Exhibits'!R858:R862),"")</f>
        <v/>
      </c>
      <c r="S862" s="3">
        <f>IF(ISNUMBER(AVERAGE('20250815_ETF_Options_Exhibits'!S858:S862)),AVERAGE('20250815_ETF_Options_Exhibits'!S858:S862),"")</f>
        <v/>
      </c>
      <c r="T862" s="3">
        <f>IF(ISNUMBER(AVERAGE('20250815_ETF_Options_Exhibits'!T858:T862)),AVERAGE('20250815_ETF_Options_Exhibits'!T858:T862),"")</f>
        <v/>
      </c>
      <c r="U862" s="3">
        <f>IF(ISNUMBER(AVERAGE('20250815_ETF_Options_Exhibits'!U858:U862)),AVERAGE('20250815_ETF_Options_Exhibits'!U858:U862),"")</f>
        <v/>
      </c>
      <c r="V862" s="3">
        <f>IF(ISNUMBER(AVERAGE('20250815_ETF_Options_Exhibits'!V858:V862)),AVERAGE('20250815_ETF_Options_Exhibits'!V858:V862),"")</f>
        <v/>
      </c>
      <c r="W862" s="3">
        <f>IF(ISNUMBER(AVERAGE('20250815_ETF_Options_Exhibits'!W858:W862)),AVERAGE('20250815_ETF_Options_Exhibits'!W858:W862),"")</f>
        <v/>
      </c>
      <c r="X862" s="3">
        <f>IF(ISNUMBER(AVERAGE('20250815_ETF_Options_Exhibits'!X858:X862)),AVERAGE('20250815_ETF_Options_Exhibits'!X858:X862),"")</f>
        <v/>
      </c>
      <c r="Y862" s="3">
        <f>IF(ISNUMBER(AVERAGE('20250815_ETF_Options_Exhibits'!Y858:Y862)),AVERAGE('20250815_ETF_Options_Exhibits'!Y858:Y862),"")</f>
        <v/>
      </c>
      <c r="Z862" s="3">
        <f>IF(ISNUMBER(AVERAGE('20250815_ETF_Options_Exhibits'!Z858:Z862)),AVERAGE('20250815_ETF_Options_Exhibits'!Z858:Z862),"")</f>
        <v/>
      </c>
      <c r="AA862" s="3">
        <f>IF(ISNUMBER(AVERAGE('20250815_ETF_Options_Exhibits'!AA858:AA862)),AVERAGE('20250815_ETF_Options_Exhibits'!AA858:AA862),"")</f>
        <v/>
      </c>
    </row>
    <row r="863">
      <c r="A863" s="1" t="n">
        <v>43256</v>
      </c>
      <c r="B863" s="3">
        <f>IF(ISNUMBER(AVERAGE('20250815_ETF_Options_Exhibits'!B859:B863)),AVERAGE('20250815_ETF_Options_Exhibits'!B859:B863),"")</f>
        <v/>
      </c>
      <c r="C863" s="3">
        <f>IF(ISNUMBER(AVERAGE('20250815_ETF_Options_Exhibits'!C859:C863)),AVERAGE('20250815_ETF_Options_Exhibits'!C859:C863),"")</f>
        <v/>
      </c>
      <c r="D863" s="3">
        <f>IF(ISNUMBER(AVERAGE('20250815_ETF_Options_Exhibits'!D859:D863)),AVERAGE('20250815_ETF_Options_Exhibits'!D859:D863),"")</f>
        <v/>
      </c>
      <c r="E863" s="3">
        <f>IF(ISNUMBER(AVERAGE('20250815_ETF_Options_Exhibits'!E859:E863)),AVERAGE('20250815_ETF_Options_Exhibits'!E859:E863),"")</f>
        <v/>
      </c>
      <c r="F863" s="3">
        <f>IF(ISNUMBER(AVERAGE('20250815_ETF_Options_Exhibits'!F859:F863)),AVERAGE('20250815_ETF_Options_Exhibits'!F859:F863),"")</f>
        <v/>
      </c>
      <c r="G863" s="3">
        <f>IF(ISNUMBER(AVERAGE('20250815_ETF_Options_Exhibits'!G859:G863)),AVERAGE('20250815_ETF_Options_Exhibits'!G859:G863),"")</f>
        <v/>
      </c>
      <c r="H863" s="3">
        <f>IF(ISNUMBER(AVERAGE('20250815_ETF_Options_Exhibits'!H859:H863)),AVERAGE('20250815_ETF_Options_Exhibits'!H859:H863),"")</f>
        <v/>
      </c>
      <c r="I863" s="3">
        <f>IF(ISNUMBER(AVERAGE('20250815_ETF_Options_Exhibits'!I859:I863)),AVERAGE('20250815_ETF_Options_Exhibits'!I859:I863),"")</f>
        <v/>
      </c>
      <c r="J863" s="3">
        <f>IF(ISNUMBER(AVERAGE('20250815_ETF_Options_Exhibits'!J859:J863)),AVERAGE('20250815_ETF_Options_Exhibits'!J859:J863),"")</f>
        <v/>
      </c>
      <c r="K863" s="3">
        <f>IF(ISNUMBER(AVERAGE('20250815_ETF_Options_Exhibits'!K859:K863)),AVERAGE('20250815_ETF_Options_Exhibits'!K859:K863),"")</f>
        <v/>
      </c>
      <c r="L863" s="3">
        <f>IF(ISNUMBER(AVERAGE('20250815_ETF_Options_Exhibits'!L859:L863)),AVERAGE('20250815_ETF_Options_Exhibits'!L859:L863),"")</f>
        <v/>
      </c>
      <c r="M863" s="3">
        <f>IF(ISNUMBER(AVERAGE('20250815_ETF_Options_Exhibits'!M859:M863)),AVERAGE('20250815_ETF_Options_Exhibits'!M859:M863),"")</f>
        <v/>
      </c>
      <c r="N863" s="3">
        <f>IF(ISNUMBER(AVERAGE('20250815_ETF_Options_Exhibits'!N859:N863)),AVERAGE('20250815_ETF_Options_Exhibits'!N859:N863),"")</f>
        <v/>
      </c>
      <c r="O863" s="3">
        <f>IF(ISNUMBER(AVERAGE('20250815_ETF_Options_Exhibits'!O859:O863)),AVERAGE('20250815_ETF_Options_Exhibits'!O859:O863),"")</f>
        <v/>
      </c>
      <c r="P863" s="3">
        <f>IF(ISNUMBER(AVERAGE('20250815_ETF_Options_Exhibits'!P859:P863)),AVERAGE('20250815_ETF_Options_Exhibits'!P859:P863),"")</f>
        <v/>
      </c>
      <c r="Q863" s="3">
        <f>IF(ISNUMBER(AVERAGE('20250815_ETF_Options_Exhibits'!Q859:Q863)),AVERAGE('20250815_ETF_Options_Exhibits'!Q859:Q863),"")</f>
        <v/>
      </c>
      <c r="R863" s="3">
        <f>IF(ISNUMBER(AVERAGE('20250815_ETF_Options_Exhibits'!R859:R863)),AVERAGE('20250815_ETF_Options_Exhibits'!R859:R863),"")</f>
        <v/>
      </c>
      <c r="S863" s="3">
        <f>IF(ISNUMBER(AVERAGE('20250815_ETF_Options_Exhibits'!S859:S863)),AVERAGE('20250815_ETF_Options_Exhibits'!S859:S863),"")</f>
        <v/>
      </c>
      <c r="T863" s="3">
        <f>IF(ISNUMBER(AVERAGE('20250815_ETF_Options_Exhibits'!T859:T863)),AVERAGE('20250815_ETF_Options_Exhibits'!T859:T863),"")</f>
        <v/>
      </c>
      <c r="U863" s="3">
        <f>IF(ISNUMBER(AVERAGE('20250815_ETF_Options_Exhibits'!U859:U863)),AVERAGE('20250815_ETF_Options_Exhibits'!U859:U863),"")</f>
        <v/>
      </c>
      <c r="V863" s="3">
        <f>IF(ISNUMBER(AVERAGE('20250815_ETF_Options_Exhibits'!V859:V863)),AVERAGE('20250815_ETF_Options_Exhibits'!V859:V863),"")</f>
        <v/>
      </c>
      <c r="W863" s="3">
        <f>IF(ISNUMBER(AVERAGE('20250815_ETF_Options_Exhibits'!W859:W863)),AVERAGE('20250815_ETF_Options_Exhibits'!W859:W863),"")</f>
        <v/>
      </c>
      <c r="X863" s="3">
        <f>IF(ISNUMBER(AVERAGE('20250815_ETF_Options_Exhibits'!X859:X863)),AVERAGE('20250815_ETF_Options_Exhibits'!X859:X863),"")</f>
        <v/>
      </c>
      <c r="Y863" s="3">
        <f>IF(ISNUMBER(AVERAGE('20250815_ETF_Options_Exhibits'!Y859:Y863)),AVERAGE('20250815_ETF_Options_Exhibits'!Y859:Y863),"")</f>
        <v/>
      </c>
      <c r="Z863" s="3">
        <f>IF(ISNUMBER(AVERAGE('20250815_ETF_Options_Exhibits'!Z859:Z863)),AVERAGE('20250815_ETF_Options_Exhibits'!Z859:Z863),"")</f>
        <v/>
      </c>
      <c r="AA863" s="3">
        <f>IF(ISNUMBER(AVERAGE('20250815_ETF_Options_Exhibits'!AA859:AA863)),AVERAGE('20250815_ETF_Options_Exhibits'!AA859:AA863),"")</f>
        <v/>
      </c>
    </row>
    <row r="864">
      <c r="A864" s="1" t="n">
        <v>43257</v>
      </c>
      <c r="B864" s="3">
        <f>IF(ISNUMBER(AVERAGE('20250815_ETF_Options_Exhibits'!B860:B864)),AVERAGE('20250815_ETF_Options_Exhibits'!B860:B864),"")</f>
        <v/>
      </c>
      <c r="C864" s="3">
        <f>IF(ISNUMBER(AVERAGE('20250815_ETF_Options_Exhibits'!C860:C864)),AVERAGE('20250815_ETF_Options_Exhibits'!C860:C864),"")</f>
        <v/>
      </c>
      <c r="D864" s="3">
        <f>IF(ISNUMBER(AVERAGE('20250815_ETF_Options_Exhibits'!D860:D864)),AVERAGE('20250815_ETF_Options_Exhibits'!D860:D864),"")</f>
        <v/>
      </c>
      <c r="E864" s="3">
        <f>IF(ISNUMBER(AVERAGE('20250815_ETF_Options_Exhibits'!E860:E864)),AVERAGE('20250815_ETF_Options_Exhibits'!E860:E864),"")</f>
        <v/>
      </c>
      <c r="F864" s="3">
        <f>IF(ISNUMBER(AVERAGE('20250815_ETF_Options_Exhibits'!F860:F864)),AVERAGE('20250815_ETF_Options_Exhibits'!F860:F864),"")</f>
        <v/>
      </c>
      <c r="G864" s="3">
        <f>IF(ISNUMBER(AVERAGE('20250815_ETF_Options_Exhibits'!G860:G864)),AVERAGE('20250815_ETF_Options_Exhibits'!G860:G864),"")</f>
        <v/>
      </c>
      <c r="H864" s="3">
        <f>IF(ISNUMBER(AVERAGE('20250815_ETF_Options_Exhibits'!H860:H864)),AVERAGE('20250815_ETF_Options_Exhibits'!H860:H864),"")</f>
        <v/>
      </c>
      <c r="I864" s="3">
        <f>IF(ISNUMBER(AVERAGE('20250815_ETF_Options_Exhibits'!I860:I864)),AVERAGE('20250815_ETF_Options_Exhibits'!I860:I864),"")</f>
        <v/>
      </c>
      <c r="J864" s="3">
        <f>IF(ISNUMBER(AVERAGE('20250815_ETF_Options_Exhibits'!J860:J864)),AVERAGE('20250815_ETF_Options_Exhibits'!J860:J864),"")</f>
        <v/>
      </c>
      <c r="K864" s="3">
        <f>IF(ISNUMBER(AVERAGE('20250815_ETF_Options_Exhibits'!K860:K864)),AVERAGE('20250815_ETF_Options_Exhibits'!K860:K864),"")</f>
        <v/>
      </c>
      <c r="L864" s="3">
        <f>IF(ISNUMBER(AVERAGE('20250815_ETF_Options_Exhibits'!L860:L864)),AVERAGE('20250815_ETF_Options_Exhibits'!L860:L864),"")</f>
        <v/>
      </c>
      <c r="M864" s="3">
        <f>IF(ISNUMBER(AVERAGE('20250815_ETF_Options_Exhibits'!M860:M864)),AVERAGE('20250815_ETF_Options_Exhibits'!M860:M864),"")</f>
        <v/>
      </c>
      <c r="N864" s="3">
        <f>IF(ISNUMBER(AVERAGE('20250815_ETF_Options_Exhibits'!N860:N864)),AVERAGE('20250815_ETF_Options_Exhibits'!N860:N864),"")</f>
        <v/>
      </c>
      <c r="O864" s="3">
        <f>IF(ISNUMBER(AVERAGE('20250815_ETF_Options_Exhibits'!O860:O864)),AVERAGE('20250815_ETF_Options_Exhibits'!O860:O864),"")</f>
        <v/>
      </c>
      <c r="P864" s="3">
        <f>IF(ISNUMBER(AVERAGE('20250815_ETF_Options_Exhibits'!P860:P864)),AVERAGE('20250815_ETF_Options_Exhibits'!P860:P864),"")</f>
        <v/>
      </c>
      <c r="Q864" s="3">
        <f>IF(ISNUMBER(AVERAGE('20250815_ETF_Options_Exhibits'!Q860:Q864)),AVERAGE('20250815_ETF_Options_Exhibits'!Q860:Q864),"")</f>
        <v/>
      </c>
      <c r="R864" s="3">
        <f>IF(ISNUMBER(AVERAGE('20250815_ETF_Options_Exhibits'!R860:R864)),AVERAGE('20250815_ETF_Options_Exhibits'!R860:R864),"")</f>
        <v/>
      </c>
      <c r="S864" s="3">
        <f>IF(ISNUMBER(AVERAGE('20250815_ETF_Options_Exhibits'!S860:S864)),AVERAGE('20250815_ETF_Options_Exhibits'!S860:S864),"")</f>
        <v/>
      </c>
      <c r="T864" s="3">
        <f>IF(ISNUMBER(AVERAGE('20250815_ETF_Options_Exhibits'!T860:T864)),AVERAGE('20250815_ETF_Options_Exhibits'!T860:T864),"")</f>
        <v/>
      </c>
      <c r="U864" s="3">
        <f>IF(ISNUMBER(AVERAGE('20250815_ETF_Options_Exhibits'!U860:U864)),AVERAGE('20250815_ETF_Options_Exhibits'!U860:U864),"")</f>
        <v/>
      </c>
      <c r="V864" s="3">
        <f>IF(ISNUMBER(AVERAGE('20250815_ETF_Options_Exhibits'!V860:V864)),AVERAGE('20250815_ETF_Options_Exhibits'!V860:V864),"")</f>
        <v/>
      </c>
      <c r="W864" s="3">
        <f>IF(ISNUMBER(AVERAGE('20250815_ETF_Options_Exhibits'!W860:W864)),AVERAGE('20250815_ETF_Options_Exhibits'!W860:W864),"")</f>
        <v/>
      </c>
      <c r="X864" s="3">
        <f>IF(ISNUMBER(AVERAGE('20250815_ETF_Options_Exhibits'!X860:X864)),AVERAGE('20250815_ETF_Options_Exhibits'!X860:X864),"")</f>
        <v/>
      </c>
      <c r="Y864" s="3">
        <f>IF(ISNUMBER(AVERAGE('20250815_ETF_Options_Exhibits'!Y860:Y864)),AVERAGE('20250815_ETF_Options_Exhibits'!Y860:Y864),"")</f>
        <v/>
      </c>
      <c r="Z864" s="3">
        <f>IF(ISNUMBER(AVERAGE('20250815_ETF_Options_Exhibits'!Z860:Z864)),AVERAGE('20250815_ETF_Options_Exhibits'!Z860:Z864),"")</f>
        <v/>
      </c>
      <c r="AA864" s="3">
        <f>IF(ISNUMBER(AVERAGE('20250815_ETF_Options_Exhibits'!AA860:AA864)),AVERAGE('20250815_ETF_Options_Exhibits'!AA860:AA864),"")</f>
        <v/>
      </c>
    </row>
    <row r="865">
      <c r="A865" s="1" t="n">
        <v>43258</v>
      </c>
      <c r="B865" s="3">
        <f>IF(ISNUMBER(AVERAGE('20250815_ETF_Options_Exhibits'!B861:B865)),AVERAGE('20250815_ETF_Options_Exhibits'!B861:B865),"")</f>
        <v/>
      </c>
      <c r="C865" s="3">
        <f>IF(ISNUMBER(AVERAGE('20250815_ETF_Options_Exhibits'!C861:C865)),AVERAGE('20250815_ETF_Options_Exhibits'!C861:C865),"")</f>
        <v/>
      </c>
      <c r="D865" s="3">
        <f>IF(ISNUMBER(AVERAGE('20250815_ETF_Options_Exhibits'!D861:D865)),AVERAGE('20250815_ETF_Options_Exhibits'!D861:D865),"")</f>
        <v/>
      </c>
      <c r="E865" s="3">
        <f>IF(ISNUMBER(AVERAGE('20250815_ETF_Options_Exhibits'!E861:E865)),AVERAGE('20250815_ETF_Options_Exhibits'!E861:E865),"")</f>
        <v/>
      </c>
      <c r="F865" s="3">
        <f>IF(ISNUMBER(AVERAGE('20250815_ETF_Options_Exhibits'!F861:F865)),AVERAGE('20250815_ETF_Options_Exhibits'!F861:F865),"")</f>
        <v/>
      </c>
      <c r="G865" s="3">
        <f>IF(ISNUMBER(AVERAGE('20250815_ETF_Options_Exhibits'!G861:G865)),AVERAGE('20250815_ETF_Options_Exhibits'!G861:G865),"")</f>
        <v/>
      </c>
      <c r="H865" s="3">
        <f>IF(ISNUMBER(AVERAGE('20250815_ETF_Options_Exhibits'!H861:H865)),AVERAGE('20250815_ETF_Options_Exhibits'!H861:H865),"")</f>
        <v/>
      </c>
      <c r="I865" s="3">
        <f>IF(ISNUMBER(AVERAGE('20250815_ETF_Options_Exhibits'!I861:I865)),AVERAGE('20250815_ETF_Options_Exhibits'!I861:I865),"")</f>
        <v/>
      </c>
      <c r="J865" s="3">
        <f>IF(ISNUMBER(AVERAGE('20250815_ETF_Options_Exhibits'!J861:J865)),AVERAGE('20250815_ETF_Options_Exhibits'!J861:J865),"")</f>
        <v/>
      </c>
      <c r="K865" s="3">
        <f>IF(ISNUMBER(AVERAGE('20250815_ETF_Options_Exhibits'!K861:K865)),AVERAGE('20250815_ETF_Options_Exhibits'!K861:K865),"")</f>
        <v/>
      </c>
      <c r="L865" s="3">
        <f>IF(ISNUMBER(AVERAGE('20250815_ETF_Options_Exhibits'!L861:L865)),AVERAGE('20250815_ETF_Options_Exhibits'!L861:L865),"")</f>
        <v/>
      </c>
      <c r="M865" s="3">
        <f>IF(ISNUMBER(AVERAGE('20250815_ETF_Options_Exhibits'!M861:M865)),AVERAGE('20250815_ETF_Options_Exhibits'!M861:M865),"")</f>
        <v/>
      </c>
      <c r="N865" s="3">
        <f>IF(ISNUMBER(AVERAGE('20250815_ETF_Options_Exhibits'!N861:N865)),AVERAGE('20250815_ETF_Options_Exhibits'!N861:N865),"")</f>
        <v/>
      </c>
      <c r="O865" s="3">
        <f>IF(ISNUMBER(AVERAGE('20250815_ETF_Options_Exhibits'!O861:O865)),AVERAGE('20250815_ETF_Options_Exhibits'!O861:O865),"")</f>
        <v/>
      </c>
      <c r="P865" s="3">
        <f>IF(ISNUMBER(AVERAGE('20250815_ETF_Options_Exhibits'!P861:P865)),AVERAGE('20250815_ETF_Options_Exhibits'!P861:P865),"")</f>
        <v/>
      </c>
      <c r="Q865" s="3">
        <f>IF(ISNUMBER(AVERAGE('20250815_ETF_Options_Exhibits'!Q861:Q865)),AVERAGE('20250815_ETF_Options_Exhibits'!Q861:Q865),"")</f>
        <v/>
      </c>
      <c r="R865" s="3">
        <f>IF(ISNUMBER(AVERAGE('20250815_ETF_Options_Exhibits'!R861:R865)),AVERAGE('20250815_ETF_Options_Exhibits'!R861:R865),"")</f>
        <v/>
      </c>
      <c r="S865" s="3">
        <f>IF(ISNUMBER(AVERAGE('20250815_ETF_Options_Exhibits'!S861:S865)),AVERAGE('20250815_ETF_Options_Exhibits'!S861:S865),"")</f>
        <v/>
      </c>
      <c r="T865" s="3">
        <f>IF(ISNUMBER(AVERAGE('20250815_ETF_Options_Exhibits'!T861:T865)),AVERAGE('20250815_ETF_Options_Exhibits'!T861:T865),"")</f>
        <v/>
      </c>
      <c r="U865" s="3">
        <f>IF(ISNUMBER(AVERAGE('20250815_ETF_Options_Exhibits'!U861:U865)),AVERAGE('20250815_ETF_Options_Exhibits'!U861:U865),"")</f>
        <v/>
      </c>
      <c r="V865" s="3">
        <f>IF(ISNUMBER(AVERAGE('20250815_ETF_Options_Exhibits'!V861:V865)),AVERAGE('20250815_ETF_Options_Exhibits'!V861:V865),"")</f>
        <v/>
      </c>
      <c r="W865" s="3">
        <f>IF(ISNUMBER(AVERAGE('20250815_ETF_Options_Exhibits'!W861:W865)),AVERAGE('20250815_ETF_Options_Exhibits'!W861:W865),"")</f>
        <v/>
      </c>
      <c r="X865" s="3">
        <f>IF(ISNUMBER(AVERAGE('20250815_ETF_Options_Exhibits'!X861:X865)),AVERAGE('20250815_ETF_Options_Exhibits'!X861:X865),"")</f>
        <v/>
      </c>
      <c r="Y865" s="3">
        <f>IF(ISNUMBER(AVERAGE('20250815_ETF_Options_Exhibits'!Y861:Y865)),AVERAGE('20250815_ETF_Options_Exhibits'!Y861:Y865),"")</f>
        <v/>
      </c>
      <c r="Z865" s="3">
        <f>IF(ISNUMBER(AVERAGE('20250815_ETF_Options_Exhibits'!Z861:Z865)),AVERAGE('20250815_ETF_Options_Exhibits'!Z861:Z865),"")</f>
        <v/>
      </c>
      <c r="AA865" s="3">
        <f>IF(ISNUMBER(AVERAGE('20250815_ETF_Options_Exhibits'!AA861:AA865)),AVERAGE('20250815_ETF_Options_Exhibits'!AA861:AA865),"")</f>
        <v/>
      </c>
    </row>
    <row r="866">
      <c r="A866" s="1" t="n">
        <v>43259</v>
      </c>
      <c r="B866" s="3">
        <f>IF(ISNUMBER(AVERAGE('20250815_ETF_Options_Exhibits'!B862:B866)),AVERAGE('20250815_ETF_Options_Exhibits'!B862:B866),"")</f>
        <v/>
      </c>
      <c r="C866" s="3">
        <f>IF(ISNUMBER(AVERAGE('20250815_ETF_Options_Exhibits'!C862:C866)),AVERAGE('20250815_ETF_Options_Exhibits'!C862:C866),"")</f>
        <v/>
      </c>
      <c r="D866" s="3">
        <f>IF(ISNUMBER(AVERAGE('20250815_ETF_Options_Exhibits'!D862:D866)),AVERAGE('20250815_ETF_Options_Exhibits'!D862:D866),"")</f>
        <v/>
      </c>
      <c r="E866" s="3">
        <f>IF(ISNUMBER(AVERAGE('20250815_ETF_Options_Exhibits'!E862:E866)),AVERAGE('20250815_ETF_Options_Exhibits'!E862:E866),"")</f>
        <v/>
      </c>
      <c r="F866" s="3">
        <f>IF(ISNUMBER(AVERAGE('20250815_ETF_Options_Exhibits'!F862:F866)),AVERAGE('20250815_ETF_Options_Exhibits'!F862:F866),"")</f>
        <v/>
      </c>
      <c r="G866" s="3">
        <f>IF(ISNUMBER(AVERAGE('20250815_ETF_Options_Exhibits'!G862:G866)),AVERAGE('20250815_ETF_Options_Exhibits'!G862:G866),"")</f>
        <v/>
      </c>
      <c r="H866" s="3">
        <f>IF(ISNUMBER(AVERAGE('20250815_ETF_Options_Exhibits'!H862:H866)),AVERAGE('20250815_ETF_Options_Exhibits'!H862:H866),"")</f>
        <v/>
      </c>
      <c r="I866" s="3">
        <f>IF(ISNUMBER(AVERAGE('20250815_ETF_Options_Exhibits'!I862:I866)),AVERAGE('20250815_ETF_Options_Exhibits'!I862:I866),"")</f>
        <v/>
      </c>
      <c r="J866" s="3">
        <f>IF(ISNUMBER(AVERAGE('20250815_ETF_Options_Exhibits'!J862:J866)),AVERAGE('20250815_ETF_Options_Exhibits'!J862:J866),"")</f>
        <v/>
      </c>
      <c r="K866" s="3">
        <f>IF(ISNUMBER(AVERAGE('20250815_ETF_Options_Exhibits'!K862:K866)),AVERAGE('20250815_ETF_Options_Exhibits'!K862:K866),"")</f>
        <v/>
      </c>
      <c r="L866" s="3">
        <f>IF(ISNUMBER(AVERAGE('20250815_ETF_Options_Exhibits'!L862:L866)),AVERAGE('20250815_ETF_Options_Exhibits'!L862:L866),"")</f>
        <v/>
      </c>
      <c r="M866" s="3">
        <f>IF(ISNUMBER(AVERAGE('20250815_ETF_Options_Exhibits'!M862:M866)),AVERAGE('20250815_ETF_Options_Exhibits'!M862:M866),"")</f>
        <v/>
      </c>
      <c r="N866" s="3">
        <f>IF(ISNUMBER(AVERAGE('20250815_ETF_Options_Exhibits'!N862:N866)),AVERAGE('20250815_ETF_Options_Exhibits'!N862:N866),"")</f>
        <v/>
      </c>
      <c r="O866" s="3">
        <f>IF(ISNUMBER(AVERAGE('20250815_ETF_Options_Exhibits'!O862:O866)),AVERAGE('20250815_ETF_Options_Exhibits'!O862:O866),"")</f>
        <v/>
      </c>
      <c r="P866" s="3">
        <f>IF(ISNUMBER(AVERAGE('20250815_ETF_Options_Exhibits'!P862:P866)),AVERAGE('20250815_ETF_Options_Exhibits'!P862:P866),"")</f>
        <v/>
      </c>
      <c r="Q866" s="3">
        <f>IF(ISNUMBER(AVERAGE('20250815_ETF_Options_Exhibits'!Q862:Q866)),AVERAGE('20250815_ETF_Options_Exhibits'!Q862:Q866),"")</f>
        <v/>
      </c>
      <c r="R866" s="3">
        <f>IF(ISNUMBER(AVERAGE('20250815_ETF_Options_Exhibits'!R862:R866)),AVERAGE('20250815_ETF_Options_Exhibits'!R862:R866),"")</f>
        <v/>
      </c>
      <c r="S866" s="3">
        <f>IF(ISNUMBER(AVERAGE('20250815_ETF_Options_Exhibits'!S862:S866)),AVERAGE('20250815_ETF_Options_Exhibits'!S862:S866),"")</f>
        <v/>
      </c>
      <c r="T866" s="3">
        <f>IF(ISNUMBER(AVERAGE('20250815_ETF_Options_Exhibits'!T862:T866)),AVERAGE('20250815_ETF_Options_Exhibits'!T862:T866),"")</f>
        <v/>
      </c>
      <c r="U866" s="3">
        <f>IF(ISNUMBER(AVERAGE('20250815_ETF_Options_Exhibits'!U862:U866)),AVERAGE('20250815_ETF_Options_Exhibits'!U862:U866),"")</f>
        <v/>
      </c>
      <c r="V866" s="3">
        <f>IF(ISNUMBER(AVERAGE('20250815_ETF_Options_Exhibits'!V862:V866)),AVERAGE('20250815_ETF_Options_Exhibits'!V862:V866),"")</f>
        <v/>
      </c>
      <c r="W866" s="3">
        <f>IF(ISNUMBER(AVERAGE('20250815_ETF_Options_Exhibits'!W862:W866)),AVERAGE('20250815_ETF_Options_Exhibits'!W862:W866),"")</f>
        <v/>
      </c>
      <c r="X866" s="3">
        <f>IF(ISNUMBER(AVERAGE('20250815_ETF_Options_Exhibits'!X862:X866)),AVERAGE('20250815_ETF_Options_Exhibits'!X862:X866),"")</f>
        <v/>
      </c>
      <c r="Y866" s="3">
        <f>IF(ISNUMBER(AVERAGE('20250815_ETF_Options_Exhibits'!Y862:Y866)),AVERAGE('20250815_ETF_Options_Exhibits'!Y862:Y866),"")</f>
        <v/>
      </c>
      <c r="Z866" s="3">
        <f>IF(ISNUMBER(AVERAGE('20250815_ETF_Options_Exhibits'!Z862:Z866)),AVERAGE('20250815_ETF_Options_Exhibits'!Z862:Z866),"")</f>
        <v/>
      </c>
      <c r="AA866" s="3">
        <f>IF(ISNUMBER(AVERAGE('20250815_ETF_Options_Exhibits'!AA862:AA866)),AVERAGE('20250815_ETF_Options_Exhibits'!AA862:AA866),"")</f>
        <v/>
      </c>
    </row>
    <row r="867">
      <c r="A867" s="1" t="n">
        <v>43262</v>
      </c>
      <c r="B867" s="3">
        <f>IF(ISNUMBER(AVERAGE('20250815_ETF_Options_Exhibits'!B863:B867)),AVERAGE('20250815_ETF_Options_Exhibits'!B863:B867),"")</f>
        <v/>
      </c>
      <c r="C867" s="3">
        <f>IF(ISNUMBER(AVERAGE('20250815_ETF_Options_Exhibits'!C863:C867)),AVERAGE('20250815_ETF_Options_Exhibits'!C863:C867),"")</f>
        <v/>
      </c>
      <c r="D867" s="3">
        <f>IF(ISNUMBER(AVERAGE('20250815_ETF_Options_Exhibits'!D863:D867)),AVERAGE('20250815_ETF_Options_Exhibits'!D863:D867),"")</f>
        <v/>
      </c>
      <c r="E867" s="3">
        <f>IF(ISNUMBER(AVERAGE('20250815_ETF_Options_Exhibits'!E863:E867)),AVERAGE('20250815_ETF_Options_Exhibits'!E863:E867),"")</f>
        <v/>
      </c>
      <c r="F867" s="3">
        <f>IF(ISNUMBER(AVERAGE('20250815_ETF_Options_Exhibits'!F863:F867)),AVERAGE('20250815_ETF_Options_Exhibits'!F863:F867),"")</f>
        <v/>
      </c>
      <c r="G867" s="3">
        <f>IF(ISNUMBER(AVERAGE('20250815_ETF_Options_Exhibits'!G863:G867)),AVERAGE('20250815_ETF_Options_Exhibits'!G863:G867),"")</f>
        <v/>
      </c>
      <c r="H867" s="3">
        <f>IF(ISNUMBER(AVERAGE('20250815_ETF_Options_Exhibits'!H863:H867)),AVERAGE('20250815_ETF_Options_Exhibits'!H863:H867),"")</f>
        <v/>
      </c>
      <c r="I867" s="3">
        <f>IF(ISNUMBER(AVERAGE('20250815_ETF_Options_Exhibits'!I863:I867)),AVERAGE('20250815_ETF_Options_Exhibits'!I863:I867),"")</f>
        <v/>
      </c>
      <c r="J867" s="3">
        <f>IF(ISNUMBER(AVERAGE('20250815_ETF_Options_Exhibits'!J863:J867)),AVERAGE('20250815_ETF_Options_Exhibits'!J863:J867),"")</f>
        <v/>
      </c>
      <c r="K867" s="3">
        <f>IF(ISNUMBER(AVERAGE('20250815_ETF_Options_Exhibits'!K863:K867)),AVERAGE('20250815_ETF_Options_Exhibits'!K863:K867),"")</f>
        <v/>
      </c>
      <c r="L867" s="3">
        <f>IF(ISNUMBER(AVERAGE('20250815_ETF_Options_Exhibits'!L863:L867)),AVERAGE('20250815_ETF_Options_Exhibits'!L863:L867),"")</f>
        <v/>
      </c>
      <c r="M867" s="3">
        <f>IF(ISNUMBER(AVERAGE('20250815_ETF_Options_Exhibits'!M863:M867)),AVERAGE('20250815_ETF_Options_Exhibits'!M863:M867),"")</f>
        <v/>
      </c>
      <c r="N867" s="3">
        <f>IF(ISNUMBER(AVERAGE('20250815_ETF_Options_Exhibits'!N863:N867)),AVERAGE('20250815_ETF_Options_Exhibits'!N863:N867),"")</f>
        <v/>
      </c>
      <c r="O867" s="3">
        <f>IF(ISNUMBER(AVERAGE('20250815_ETF_Options_Exhibits'!O863:O867)),AVERAGE('20250815_ETF_Options_Exhibits'!O863:O867),"")</f>
        <v/>
      </c>
      <c r="P867" s="3">
        <f>IF(ISNUMBER(AVERAGE('20250815_ETF_Options_Exhibits'!P863:P867)),AVERAGE('20250815_ETF_Options_Exhibits'!P863:P867),"")</f>
        <v/>
      </c>
      <c r="Q867" s="3">
        <f>IF(ISNUMBER(AVERAGE('20250815_ETF_Options_Exhibits'!Q863:Q867)),AVERAGE('20250815_ETF_Options_Exhibits'!Q863:Q867),"")</f>
        <v/>
      </c>
      <c r="R867" s="3">
        <f>IF(ISNUMBER(AVERAGE('20250815_ETF_Options_Exhibits'!R863:R867)),AVERAGE('20250815_ETF_Options_Exhibits'!R863:R867),"")</f>
        <v/>
      </c>
      <c r="S867" s="3">
        <f>IF(ISNUMBER(AVERAGE('20250815_ETF_Options_Exhibits'!S863:S867)),AVERAGE('20250815_ETF_Options_Exhibits'!S863:S867),"")</f>
        <v/>
      </c>
      <c r="T867" s="3">
        <f>IF(ISNUMBER(AVERAGE('20250815_ETF_Options_Exhibits'!T863:T867)),AVERAGE('20250815_ETF_Options_Exhibits'!T863:T867),"")</f>
        <v/>
      </c>
      <c r="U867" s="3">
        <f>IF(ISNUMBER(AVERAGE('20250815_ETF_Options_Exhibits'!U863:U867)),AVERAGE('20250815_ETF_Options_Exhibits'!U863:U867),"")</f>
        <v/>
      </c>
      <c r="V867" s="3">
        <f>IF(ISNUMBER(AVERAGE('20250815_ETF_Options_Exhibits'!V863:V867)),AVERAGE('20250815_ETF_Options_Exhibits'!V863:V867),"")</f>
        <v/>
      </c>
      <c r="W867" s="3">
        <f>IF(ISNUMBER(AVERAGE('20250815_ETF_Options_Exhibits'!W863:W867)),AVERAGE('20250815_ETF_Options_Exhibits'!W863:W867),"")</f>
        <v/>
      </c>
      <c r="X867" s="3">
        <f>IF(ISNUMBER(AVERAGE('20250815_ETF_Options_Exhibits'!X863:X867)),AVERAGE('20250815_ETF_Options_Exhibits'!X863:X867),"")</f>
        <v/>
      </c>
      <c r="Y867" s="3">
        <f>IF(ISNUMBER(AVERAGE('20250815_ETF_Options_Exhibits'!Y863:Y867)),AVERAGE('20250815_ETF_Options_Exhibits'!Y863:Y867),"")</f>
        <v/>
      </c>
      <c r="Z867" s="3">
        <f>IF(ISNUMBER(AVERAGE('20250815_ETF_Options_Exhibits'!Z863:Z867)),AVERAGE('20250815_ETF_Options_Exhibits'!Z863:Z867),"")</f>
        <v/>
      </c>
      <c r="AA867" s="3">
        <f>IF(ISNUMBER(AVERAGE('20250815_ETF_Options_Exhibits'!AA863:AA867)),AVERAGE('20250815_ETF_Options_Exhibits'!AA863:AA867),"")</f>
        <v/>
      </c>
    </row>
    <row r="868">
      <c r="A868" s="1" t="n">
        <v>43263</v>
      </c>
      <c r="B868" s="3">
        <f>IF(ISNUMBER(AVERAGE('20250815_ETF_Options_Exhibits'!B864:B868)),AVERAGE('20250815_ETF_Options_Exhibits'!B864:B868),"")</f>
        <v/>
      </c>
      <c r="C868" s="3">
        <f>IF(ISNUMBER(AVERAGE('20250815_ETF_Options_Exhibits'!C864:C868)),AVERAGE('20250815_ETF_Options_Exhibits'!C864:C868),"")</f>
        <v/>
      </c>
      <c r="D868" s="3">
        <f>IF(ISNUMBER(AVERAGE('20250815_ETF_Options_Exhibits'!D864:D868)),AVERAGE('20250815_ETF_Options_Exhibits'!D864:D868),"")</f>
        <v/>
      </c>
      <c r="E868" s="3">
        <f>IF(ISNUMBER(AVERAGE('20250815_ETF_Options_Exhibits'!E864:E868)),AVERAGE('20250815_ETF_Options_Exhibits'!E864:E868),"")</f>
        <v/>
      </c>
      <c r="F868" s="3">
        <f>IF(ISNUMBER(AVERAGE('20250815_ETF_Options_Exhibits'!F864:F868)),AVERAGE('20250815_ETF_Options_Exhibits'!F864:F868),"")</f>
        <v/>
      </c>
      <c r="G868" s="3">
        <f>IF(ISNUMBER(AVERAGE('20250815_ETF_Options_Exhibits'!G864:G868)),AVERAGE('20250815_ETF_Options_Exhibits'!G864:G868),"")</f>
        <v/>
      </c>
      <c r="H868" s="3">
        <f>IF(ISNUMBER(AVERAGE('20250815_ETF_Options_Exhibits'!H864:H868)),AVERAGE('20250815_ETF_Options_Exhibits'!H864:H868),"")</f>
        <v/>
      </c>
      <c r="I868" s="3">
        <f>IF(ISNUMBER(AVERAGE('20250815_ETF_Options_Exhibits'!I864:I868)),AVERAGE('20250815_ETF_Options_Exhibits'!I864:I868),"")</f>
        <v/>
      </c>
      <c r="J868" s="3">
        <f>IF(ISNUMBER(AVERAGE('20250815_ETF_Options_Exhibits'!J864:J868)),AVERAGE('20250815_ETF_Options_Exhibits'!J864:J868),"")</f>
        <v/>
      </c>
      <c r="K868" s="3">
        <f>IF(ISNUMBER(AVERAGE('20250815_ETF_Options_Exhibits'!K864:K868)),AVERAGE('20250815_ETF_Options_Exhibits'!K864:K868),"")</f>
        <v/>
      </c>
      <c r="L868" s="3">
        <f>IF(ISNUMBER(AVERAGE('20250815_ETF_Options_Exhibits'!L864:L868)),AVERAGE('20250815_ETF_Options_Exhibits'!L864:L868),"")</f>
        <v/>
      </c>
      <c r="M868" s="3">
        <f>IF(ISNUMBER(AVERAGE('20250815_ETF_Options_Exhibits'!M864:M868)),AVERAGE('20250815_ETF_Options_Exhibits'!M864:M868),"")</f>
        <v/>
      </c>
      <c r="N868" s="3">
        <f>IF(ISNUMBER(AVERAGE('20250815_ETF_Options_Exhibits'!N864:N868)),AVERAGE('20250815_ETF_Options_Exhibits'!N864:N868),"")</f>
        <v/>
      </c>
      <c r="O868" s="3">
        <f>IF(ISNUMBER(AVERAGE('20250815_ETF_Options_Exhibits'!O864:O868)),AVERAGE('20250815_ETF_Options_Exhibits'!O864:O868),"")</f>
        <v/>
      </c>
      <c r="P868" s="3">
        <f>IF(ISNUMBER(AVERAGE('20250815_ETF_Options_Exhibits'!P864:P868)),AVERAGE('20250815_ETF_Options_Exhibits'!P864:P868),"")</f>
        <v/>
      </c>
      <c r="Q868" s="3">
        <f>IF(ISNUMBER(AVERAGE('20250815_ETF_Options_Exhibits'!Q864:Q868)),AVERAGE('20250815_ETF_Options_Exhibits'!Q864:Q868),"")</f>
        <v/>
      </c>
      <c r="R868" s="3">
        <f>IF(ISNUMBER(AVERAGE('20250815_ETF_Options_Exhibits'!R864:R868)),AVERAGE('20250815_ETF_Options_Exhibits'!R864:R868),"")</f>
        <v/>
      </c>
      <c r="S868" s="3">
        <f>IF(ISNUMBER(AVERAGE('20250815_ETF_Options_Exhibits'!S864:S868)),AVERAGE('20250815_ETF_Options_Exhibits'!S864:S868),"")</f>
        <v/>
      </c>
      <c r="T868" s="3">
        <f>IF(ISNUMBER(AVERAGE('20250815_ETF_Options_Exhibits'!T864:T868)),AVERAGE('20250815_ETF_Options_Exhibits'!T864:T868),"")</f>
        <v/>
      </c>
      <c r="U868" s="3">
        <f>IF(ISNUMBER(AVERAGE('20250815_ETF_Options_Exhibits'!U864:U868)),AVERAGE('20250815_ETF_Options_Exhibits'!U864:U868),"")</f>
        <v/>
      </c>
      <c r="V868" s="3">
        <f>IF(ISNUMBER(AVERAGE('20250815_ETF_Options_Exhibits'!V864:V868)),AVERAGE('20250815_ETF_Options_Exhibits'!V864:V868),"")</f>
        <v/>
      </c>
      <c r="W868" s="3">
        <f>IF(ISNUMBER(AVERAGE('20250815_ETF_Options_Exhibits'!W864:W868)),AVERAGE('20250815_ETF_Options_Exhibits'!W864:W868),"")</f>
        <v/>
      </c>
      <c r="X868" s="3">
        <f>IF(ISNUMBER(AVERAGE('20250815_ETF_Options_Exhibits'!X864:X868)),AVERAGE('20250815_ETF_Options_Exhibits'!X864:X868),"")</f>
        <v/>
      </c>
      <c r="Y868" s="3">
        <f>IF(ISNUMBER(AVERAGE('20250815_ETF_Options_Exhibits'!Y864:Y868)),AVERAGE('20250815_ETF_Options_Exhibits'!Y864:Y868),"")</f>
        <v/>
      </c>
      <c r="Z868" s="3">
        <f>IF(ISNUMBER(AVERAGE('20250815_ETF_Options_Exhibits'!Z864:Z868)),AVERAGE('20250815_ETF_Options_Exhibits'!Z864:Z868),"")</f>
        <v/>
      </c>
      <c r="AA868" s="3">
        <f>IF(ISNUMBER(AVERAGE('20250815_ETF_Options_Exhibits'!AA864:AA868)),AVERAGE('20250815_ETF_Options_Exhibits'!AA864:AA868),"")</f>
        <v/>
      </c>
    </row>
    <row r="869">
      <c r="A869" s="1" t="n">
        <v>43264</v>
      </c>
      <c r="B869" s="3">
        <f>IF(ISNUMBER(AVERAGE('20250815_ETF_Options_Exhibits'!B865:B869)),AVERAGE('20250815_ETF_Options_Exhibits'!B865:B869),"")</f>
        <v/>
      </c>
      <c r="C869" s="3">
        <f>IF(ISNUMBER(AVERAGE('20250815_ETF_Options_Exhibits'!C865:C869)),AVERAGE('20250815_ETF_Options_Exhibits'!C865:C869),"")</f>
        <v/>
      </c>
      <c r="D869" s="3">
        <f>IF(ISNUMBER(AVERAGE('20250815_ETF_Options_Exhibits'!D865:D869)),AVERAGE('20250815_ETF_Options_Exhibits'!D865:D869),"")</f>
        <v/>
      </c>
      <c r="E869" s="3">
        <f>IF(ISNUMBER(AVERAGE('20250815_ETF_Options_Exhibits'!E865:E869)),AVERAGE('20250815_ETF_Options_Exhibits'!E865:E869),"")</f>
        <v/>
      </c>
      <c r="F869" s="3">
        <f>IF(ISNUMBER(AVERAGE('20250815_ETF_Options_Exhibits'!F865:F869)),AVERAGE('20250815_ETF_Options_Exhibits'!F865:F869),"")</f>
        <v/>
      </c>
      <c r="G869" s="3">
        <f>IF(ISNUMBER(AVERAGE('20250815_ETF_Options_Exhibits'!G865:G869)),AVERAGE('20250815_ETF_Options_Exhibits'!G865:G869),"")</f>
        <v/>
      </c>
      <c r="H869" s="3">
        <f>IF(ISNUMBER(AVERAGE('20250815_ETF_Options_Exhibits'!H865:H869)),AVERAGE('20250815_ETF_Options_Exhibits'!H865:H869),"")</f>
        <v/>
      </c>
      <c r="I869" s="3">
        <f>IF(ISNUMBER(AVERAGE('20250815_ETF_Options_Exhibits'!I865:I869)),AVERAGE('20250815_ETF_Options_Exhibits'!I865:I869),"")</f>
        <v/>
      </c>
      <c r="J869" s="3">
        <f>IF(ISNUMBER(AVERAGE('20250815_ETF_Options_Exhibits'!J865:J869)),AVERAGE('20250815_ETF_Options_Exhibits'!J865:J869),"")</f>
        <v/>
      </c>
      <c r="K869" s="3">
        <f>IF(ISNUMBER(AVERAGE('20250815_ETF_Options_Exhibits'!K865:K869)),AVERAGE('20250815_ETF_Options_Exhibits'!K865:K869),"")</f>
        <v/>
      </c>
      <c r="L869" s="3">
        <f>IF(ISNUMBER(AVERAGE('20250815_ETF_Options_Exhibits'!L865:L869)),AVERAGE('20250815_ETF_Options_Exhibits'!L865:L869),"")</f>
        <v/>
      </c>
      <c r="M869" s="3">
        <f>IF(ISNUMBER(AVERAGE('20250815_ETF_Options_Exhibits'!M865:M869)),AVERAGE('20250815_ETF_Options_Exhibits'!M865:M869),"")</f>
        <v/>
      </c>
      <c r="N869" s="3">
        <f>IF(ISNUMBER(AVERAGE('20250815_ETF_Options_Exhibits'!N865:N869)),AVERAGE('20250815_ETF_Options_Exhibits'!N865:N869),"")</f>
        <v/>
      </c>
      <c r="O869" s="3">
        <f>IF(ISNUMBER(AVERAGE('20250815_ETF_Options_Exhibits'!O865:O869)),AVERAGE('20250815_ETF_Options_Exhibits'!O865:O869),"")</f>
        <v/>
      </c>
      <c r="P869" s="3">
        <f>IF(ISNUMBER(AVERAGE('20250815_ETF_Options_Exhibits'!P865:P869)),AVERAGE('20250815_ETF_Options_Exhibits'!P865:P869),"")</f>
        <v/>
      </c>
      <c r="Q869" s="3">
        <f>IF(ISNUMBER(AVERAGE('20250815_ETF_Options_Exhibits'!Q865:Q869)),AVERAGE('20250815_ETF_Options_Exhibits'!Q865:Q869),"")</f>
        <v/>
      </c>
      <c r="R869" s="3">
        <f>IF(ISNUMBER(AVERAGE('20250815_ETF_Options_Exhibits'!R865:R869)),AVERAGE('20250815_ETF_Options_Exhibits'!R865:R869),"")</f>
        <v/>
      </c>
      <c r="S869" s="3">
        <f>IF(ISNUMBER(AVERAGE('20250815_ETF_Options_Exhibits'!S865:S869)),AVERAGE('20250815_ETF_Options_Exhibits'!S865:S869),"")</f>
        <v/>
      </c>
      <c r="T869" s="3">
        <f>IF(ISNUMBER(AVERAGE('20250815_ETF_Options_Exhibits'!T865:T869)),AVERAGE('20250815_ETF_Options_Exhibits'!T865:T869),"")</f>
        <v/>
      </c>
      <c r="U869" s="3">
        <f>IF(ISNUMBER(AVERAGE('20250815_ETF_Options_Exhibits'!U865:U869)),AVERAGE('20250815_ETF_Options_Exhibits'!U865:U869),"")</f>
        <v/>
      </c>
      <c r="V869" s="3">
        <f>IF(ISNUMBER(AVERAGE('20250815_ETF_Options_Exhibits'!V865:V869)),AVERAGE('20250815_ETF_Options_Exhibits'!V865:V869),"")</f>
        <v/>
      </c>
      <c r="W869" s="3">
        <f>IF(ISNUMBER(AVERAGE('20250815_ETF_Options_Exhibits'!W865:W869)),AVERAGE('20250815_ETF_Options_Exhibits'!W865:W869),"")</f>
        <v/>
      </c>
      <c r="X869" s="3">
        <f>IF(ISNUMBER(AVERAGE('20250815_ETF_Options_Exhibits'!X865:X869)),AVERAGE('20250815_ETF_Options_Exhibits'!X865:X869),"")</f>
        <v/>
      </c>
      <c r="Y869" s="3">
        <f>IF(ISNUMBER(AVERAGE('20250815_ETF_Options_Exhibits'!Y865:Y869)),AVERAGE('20250815_ETF_Options_Exhibits'!Y865:Y869),"")</f>
        <v/>
      </c>
      <c r="Z869" s="3">
        <f>IF(ISNUMBER(AVERAGE('20250815_ETF_Options_Exhibits'!Z865:Z869)),AVERAGE('20250815_ETF_Options_Exhibits'!Z865:Z869),"")</f>
        <v/>
      </c>
      <c r="AA869" s="3">
        <f>IF(ISNUMBER(AVERAGE('20250815_ETF_Options_Exhibits'!AA865:AA869)),AVERAGE('20250815_ETF_Options_Exhibits'!AA865:AA869),"")</f>
        <v/>
      </c>
    </row>
    <row r="870">
      <c r="A870" s="1" t="n">
        <v>43265</v>
      </c>
      <c r="B870" s="3">
        <f>IF(ISNUMBER(AVERAGE('20250815_ETF_Options_Exhibits'!B866:B870)),AVERAGE('20250815_ETF_Options_Exhibits'!B866:B870),"")</f>
        <v/>
      </c>
      <c r="C870" s="3">
        <f>IF(ISNUMBER(AVERAGE('20250815_ETF_Options_Exhibits'!C866:C870)),AVERAGE('20250815_ETF_Options_Exhibits'!C866:C870),"")</f>
        <v/>
      </c>
      <c r="D870" s="3">
        <f>IF(ISNUMBER(AVERAGE('20250815_ETF_Options_Exhibits'!D866:D870)),AVERAGE('20250815_ETF_Options_Exhibits'!D866:D870),"")</f>
        <v/>
      </c>
      <c r="E870" s="3">
        <f>IF(ISNUMBER(AVERAGE('20250815_ETF_Options_Exhibits'!E866:E870)),AVERAGE('20250815_ETF_Options_Exhibits'!E866:E870),"")</f>
        <v/>
      </c>
      <c r="F870" s="3">
        <f>IF(ISNUMBER(AVERAGE('20250815_ETF_Options_Exhibits'!F866:F870)),AVERAGE('20250815_ETF_Options_Exhibits'!F866:F870),"")</f>
        <v/>
      </c>
      <c r="G870" s="3">
        <f>IF(ISNUMBER(AVERAGE('20250815_ETF_Options_Exhibits'!G866:G870)),AVERAGE('20250815_ETF_Options_Exhibits'!G866:G870),"")</f>
        <v/>
      </c>
      <c r="H870" s="3">
        <f>IF(ISNUMBER(AVERAGE('20250815_ETF_Options_Exhibits'!H866:H870)),AVERAGE('20250815_ETF_Options_Exhibits'!H866:H870),"")</f>
        <v/>
      </c>
      <c r="I870" s="3">
        <f>IF(ISNUMBER(AVERAGE('20250815_ETF_Options_Exhibits'!I866:I870)),AVERAGE('20250815_ETF_Options_Exhibits'!I866:I870),"")</f>
        <v/>
      </c>
      <c r="J870" s="3">
        <f>IF(ISNUMBER(AVERAGE('20250815_ETF_Options_Exhibits'!J866:J870)),AVERAGE('20250815_ETF_Options_Exhibits'!J866:J870),"")</f>
        <v/>
      </c>
      <c r="K870" s="3">
        <f>IF(ISNUMBER(AVERAGE('20250815_ETF_Options_Exhibits'!K866:K870)),AVERAGE('20250815_ETF_Options_Exhibits'!K866:K870),"")</f>
        <v/>
      </c>
      <c r="L870" s="3">
        <f>IF(ISNUMBER(AVERAGE('20250815_ETF_Options_Exhibits'!L866:L870)),AVERAGE('20250815_ETF_Options_Exhibits'!L866:L870),"")</f>
        <v/>
      </c>
      <c r="M870" s="3">
        <f>IF(ISNUMBER(AVERAGE('20250815_ETF_Options_Exhibits'!M866:M870)),AVERAGE('20250815_ETF_Options_Exhibits'!M866:M870),"")</f>
        <v/>
      </c>
      <c r="N870" s="3">
        <f>IF(ISNUMBER(AVERAGE('20250815_ETF_Options_Exhibits'!N866:N870)),AVERAGE('20250815_ETF_Options_Exhibits'!N866:N870),"")</f>
        <v/>
      </c>
      <c r="O870" s="3">
        <f>IF(ISNUMBER(AVERAGE('20250815_ETF_Options_Exhibits'!O866:O870)),AVERAGE('20250815_ETF_Options_Exhibits'!O866:O870),"")</f>
        <v/>
      </c>
      <c r="P870" s="3">
        <f>IF(ISNUMBER(AVERAGE('20250815_ETF_Options_Exhibits'!P866:P870)),AVERAGE('20250815_ETF_Options_Exhibits'!P866:P870),"")</f>
        <v/>
      </c>
      <c r="Q870" s="3">
        <f>IF(ISNUMBER(AVERAGE('20250815_ETF_Options_Exhibits'!Q866:Q870)),AVERAGE('20250815_ETF_Options_Exhibits'!Q866:Q870),"")</f>
        <v/>
      </c>
      <c r="R870" s="3">
        <f>IF(ISNUMBER(AVERAGE('20250815_ETF_Options_Exhibits'!R866:R870)),AVERAGE('20250815_ETF_Options_Exhibits'!R866:R870),"")</f>
        <v/>
      </c>
      <c r="S870" s="3">
        <f>IF(ISNUMBER(AVERAGE('20250815_ETF_Options_Exhibits'!S866:S870)),AVERAGE('20250815_ETF_Options_Exhibits'!S866:S870),"")</f>
        <v/>
      </c>
      <c r="T870" s="3">
        <f>IF(ISNUMBER(AVERAGE('20250815_ETF_Options_Exhibits'!T866:T870)),AVERAGE('20250815_ETF_Options_Exhibits'!T866:T870),"")</f>
        <v/>
      </c>
      <c r="U870" s="3">
        <f>IF(ISNUMBER(AVERAGE('20250815_ETF_Options_Exhibits'!U866:U870)),AVERAGE('20250815_ETF_Options_Exhibits'!U866:U870),"")</f>
        <v/>
      </c>
      <c r="V870" s="3">
        <f>IF(ISNUMBER(AVERAGE('20250815_ETF_Options_Exhibits'!V866:V870)),AVERAGE('20250815_ETF_Options_Exhibits'!V866:V870),"")</f>
        <v/>
      </c>
      <c r="W870" s="3">
        <f>IF(ISNUMBER(AVERAGE('20250815_ETF_Options_Exhibits'!W866:W870)),AVERAGE('20250815_ETF_Options_Exhibits'!W866:W870),"")</f>
        <v/>
      </c>
      <c r="X870" s="3">
        <f>IF(ISNUMBER(AVERAGE('20250815_ETF_Options_Exhibits'!X866:X870)),AVERAGE('20250815_ETF_Options_Exhibits'!X866:X870),"")</f>
        <v/>
      </c>
      <c r="Y870" s="3">
        <f>IF(ISNUMBER(AVERAGE('20250815_ETF_Options_Exhibits'!Y866:Y870)),AVERAGE('20250815_ETF_Options_Exhibits'!Y866:Y870),"")</f>
        <v/>
      </c>
      <c r="Z870" s="3">
        <f>IF(ISNUMBER(AVERAGE('20250815_ETF_Options_Exhibits'!Z866:Z870)),AVERAGE('20250815_ETF_Options_Exhibits'!Z866:Z870),"")</f>
        <v/>
      </c>
      <c r="AA870" s="3">
        <f>IF(ISNUMBER(AVERAGE('20250815_ETF_Options_Exhibits'!AA866:AA870)),AVERAGE('20250815_ETF_Options_Exhibits'!AA866:AA870),"")</f>
        <v/>
      </c>
    </row>
    <row r="871">
      <c r="A871" s="1" t="n">
        <v>43266</v>
      </c>
      <c r="B871" s="3">
        <f>IF(ISNUMBER(AVERAGE('20250815_ETF_Options_Exhibits'!B867:B871)),AVERAGE('20250815_ETF_Options_Exhibits'!B867:B871),"")</f>
        <v/>
      </c>
      <c r="C871" s="3">
        <f>IF(ISNUMBER(AVERAGE('20250815_ETF_Options_Exhibits'!C867:C871)),AVERAGE('20250815_ETF_Options_Exhibits'!C867:C871),"")</f>
        <v/>
      </c>
      <c r="D871" s="3">
        <f>IF(ISNUMBER(AVERAGE('20250815_ETF_Options_Exhibits'!D867:D871)),AVERAGE('20250815_ETF_Options_Exhibits'!D867:D871),"")</f>
        <v/>
      </c>
      <c r="E871" s="3">
        <f>IF(ISNUMBER(AVERAGE('20250815_ETF_Options_Exhibits'!E867:E871)),AVERAGE('20250815_ETF_Options_Exhibits'!E867:E871),"")</f>
        <v/>
      </c>
      <c r="F871" s="3">
        <f>IF(ISNUMBER(AVERAGE('20250815_ETF_Options_Exhibits'!F867:F871)),AVERAGE('20250815_ETF_Options_Exhibits'!F867:F871),"")</f>
        <v/>
      </c>
      <c r="G871" s="3">
        <f>IF(ISNUMBER(AVERAGE('20250815_ETF_Options_Exhibits'!G867:G871)),AVERAGE('20250815_ETF_Options_Exhibits'!G867:G871),"")</f>
        <v/>
      </c>
      <c r="H871" s="3">
        <f>IF(ISNUMBER(AVERAGE('20250815_ETF_Options_Exhibits'!H867:H871)),AVERAGE('20250815_ETF_Options_Exhibits'!H867:H871),"")</f>
        <v/>
      </c>
      <c r="I871" s="3">
        <f>IF(ISNUMBER(AVERAGE('20250815_ETF_Options_Exhibits'!I867:I871)),AVERAGE('20250815_ETF_Options_Exhibits'!I867:I871),"")</f>
        <v/>
      </c>
      <c r="J871" s="3">
        <f>IF(ISNUMBER(AVERAGE('20250815_ETF_Options_Exhibits'!J867:J871)),AVERAGE('20250815_ETF_Options_Exhibits'!J867:J871),"")</f>
        <v/>
      </c>
      <c r="K871" s="3">
        <f>IF(ISNUMBER(AVERAGE('20250815_ETF_Options_Exhibits'!K867:K871)),AVERAGE('20250815_ETF_Options_Exhibits'!K867:K871),"")</f>
        <v/>
      </c>
      <c r="L871" s="3">
        <f>IF(ISNUMBER(AVERAGE('20250815_ETF_Options_Exhibits'!L867:L871)),AVERAGE('20250815_ETF_Options_Exhibits'!L867:L871),"")</f>
        <v/>
      </c>
      <c r="M871" s="3">
        <f>IF(ISNUMBER(AVERAGE('20250815_ETF_Options_Exhibits'!M867:M871)),AVERAGE('20250815_ETF_Options_Exhibits'!M867:M871),"")</f>
        <v/>
      </c>
      <c r="N871" s="3">
        <f>IF(ISNUMBER(AVERAGE('20250815_ETF_Options_Exhibits'!N867:N871)),AVERAGE('20250815_ETF_Options_Exhibits'!N867:N871),"")</f>
        <v/>
      </c>
      <c r="O871" s="3">
        <f>IF(ISNUMBER(AVERAGE('20250815_ETF_Options_Exhibits'!O867:O871)),AVERAGE('20250815_ETF_Options_Exhibits'!O867:O871),"")</f>
        <v/>
      </c>
      <c r="P871" s="3">
        <f>IF(ISNUMBER(AVERAGE('20250815_ETF_Options_Exhibits'!P867:P871)),AVERAGE('20250815_ETF_Options_Exhibits'!P867:P871),"")</f>
        <v/>
      </c>
      <c r="Q871" s="3">
        <f>IF(ISNUMBER(AVERAGE('20250815_ETF_Options_Exhibits'!Q867:Q871)),AVERAGE('20250815_ETF_Options_Exhibits'!Q867:Q871),"")</f>
        <v/>
      </c>
      <c r="R871" s="3">
        <f>IF(ISNUMBER(AVERAGE('20250815_ETF_Options_Exhibits'!R867:R871)),AVERAGE('20250815_ETF_Options_Exhibits'!R867:R871),"")</f>
        <v/>
      </c>
      <c r="S871" s="3">
        <f>IF(ISNUMBER(AVERAGE('20250815_ETF_Options_Exhibits'!S867:S871)),AVERAGE('20250815_ETF_Options_Exhibits'!S867:S871),"")</f>
        <v/>
      </c>
      <c r="T871" s="3">
        <f>IF(ISNUMBER(AVERAGE('20250815_ETF_Options_Exhibits'!T867:T871)),AVERAGE('20250815_ETF_Options_Exhibits'!T867:T871),"")</f>
        <v/>
      </c>
      <c r="U871" s="3">
        <f>IF(ISNUMBER(AVERAGE('20250815_ETF_Options_Exhibits'!U867:U871)),AVERAGE('20250815_ETF_Options_Exhibits'!U867:U871),"")</f>
        <v/>
      </c>
      <c r="V871" s="3">
        <f>IF(ISNUMBER(AVERAGE('20250815_ETF_Options_Exhibits'!V867:V871)),AVERAGE('20250815_ETF_Options_Exhibits'!V867:V871),"")</f>
        <v/>
      </c>
      <c r="W871" s="3">
        <f>IF(ISNUMBER(AVERAGE('20250815_ETF_Options_Exhibits'!W867:W871)),AVERAGE('20250815_ETF_Options_Exhibits'!W867:W871),"")</f>
        <v/>
      </c>
      <c r="X871" s="3">
        <f>IF(ISNUMBER(AVERAGE('20250815_ETF_Options_Exhibits'!X867:X871)),AVERAGE('20250815_ETF_Options_Exhibits'!X867:X871),"")</f>
        <v/>
      </c>
      <c r="Y871" s="3">
        <f>IF(ISNUMBER(AVERAGE('20250815_ETF_Options_Exhibits'!Y867:Y871)),AVERAGE('20250815_ETF_Options_Exhibits'!Y867:Y871),"")</f>
        <v/>
      </c>
      <c r="Z871" s="3">
        <f>IF(ISNUMBER(AVERAGE('20250815_ETF_Options_Exhibits'!Z867:Z871)),AVERAGE('20250815_ETF_Options_Exhibits'!Z867:Z871),"")</f>
        <v/>
      </c>
      <c r="AA871" s="3">
        <f>IF(ISNUMBER(AVERAGE('20250815_ETF_Options_Exhibits'!AA867:AA871)),AVERAGE('20250815_ETF_Options_Exhibits'!AA867:AA871),"")</f>
        <v/>
      </c>
    </row>
    <row r="872">
      <c r="A872" s="1" t="n">
        <v>43269</v>
      </c>
      <c r="B872" s="3">
        <f>IF(ISNUMBER(AVERAGE('20250815_ETF_Options_Exhibits'!B868:B872)),AVERAGE('20250815_ETF_Options_Exhibits'!B868:B872),"")</f>
        <v/>
      </c>
      <c r="C872" s="3">
        <f>IF(ISNUMBER(AVERAGE('20250815_ETF_Options_Exhibits'!C868:C872)),AVERAGE('20250815_ETF_Options_Exhibits'!C868:C872),"")</f>
        <v/>
      </c>
      <c r="D872" s="3">
        <f>IF(ISNUMBER(AVERAGE('20250815_ETF_Options_Exhibits'!D868:D872)),AVERAGE('20250815_ETF_Options_Exhibits'!D868:D872),"")</f>
        <v/>
      </c>
      <c r="E872" s="3">
        <f>IF(ISNUMBER(AVERAGE('20250815_ETF_Options_Exhibits'!E868:E872)),AVERAGE('20250815_ETF_Options_Exhibits'!E868:E872),"")</f>
        <v/>
      </c>
      <c r="F872" s="3">
        <f>IF(ISNUMBER(AVERAGE('20250815_ETF_Options_Exhibits'!F868:F872)),AVERAGE('20250815_ETF_Options_Exhibits'!F868:F872),"")</f>
        <v/>
      </c>
      <c r="G872" s="3">
        <f>IF(ISNUMBER(AVERAGE('20250815_ETF_Options_Exhibits'!G868:G872)),AVERAGE('20250815_ETF_Options_Exhibits'!G868:G872),"")</f>
        <v/>
      </c>
      <c r="H872" s="3">
        <f>IF(ISNUMBER(AVERAGE('20250815_ETF_Options_Exhibits'!H868:H872)),AVERAGE('20250815_ETF_Options_Exhibits'!H868:H872),"")</f>
        <v/>
      </c>
      <c r="I872" s="3">
        <f>IF(ISNUMBER(AVERAGE('20250815_ETF_Options_Exhibits'!I868:I872)),AVERAGE('20250815_ETF_Options_Exhibits'!I868:I872),"")</f>
        <v/>
      </c>
      <c r="J872" s="3">
        <f>IF(ISNUMBER(AVERAGE('20250815_ETF_Options_Exhibits'!J868:J872)),AVERAGE('20250815_ETF_Options_Exhibits'!J868:J872),"")</f>
        <v/>
      </c>
      <c r="K872" s="3">
        <f>IF(ISNUMBER(AVERAGE('20250815_ETF_Options_Exhibits'!K868:K872)),AVERAGE('20250815_ETF_Options_Exhibits'!K868:K872),"")</f>
        <v/>
      </c>
      <c r="L872" s="3">
        <f>IF(ISNUMBER(AVERAGE('20250815_ETF_Options_Exhibits'!L868:L872)),AVERAGE('20250815_ETF_Options_Exhibits'!L868:L872),"")</f>
        <v/>
      </c>
      <c r="M872" s="3">
        <f>IF(ISNUMBER(AVERAGE('20250815_ETF_Options_Exhibits'!M868:M872)),AVERAGE('20250815_ETF_Options_Exhibits'!M868:M872),"")</f>
        <v/>
      </c>
      <c r="N872" s="3">
        <f>IF(ISNUMBER(AVERAGE('20250815_ETF_Options_Exhibits'!N868:N872)),AVERAGE('20250815_ETF_Options_Exhibits'!N868:N872),"")</f>
        <v/>
      </c>
      <c r="O872" s="3">
        <f>IF(ISNUMBER(AVERAGE('20250815_ETF_Options_Exhibits'!O868:O872)),AVERAGE('20250815_ETF_Options_Exhibits'!O868:O872),"")</f>
        <v/>
      </c>
      <c r="P872" s="3">
        <f>IF(ISNUMBER(AVERAGE('20250815_ETF_Options_Exhibits'!P868:P872)),AVERAGE('20250815_ETF_Options_Exhibits'!P868:P872),"")</f>
        <v/>
      </c>
      <c r="Q872" s="3">
        <f>IF(ISNUMBER(AVERAGE('20250815_ETF_Options_Exhibits'!Q868:Q872)),AVERAGE('20250815_ETF_Options_Exhibits'!Q868:Q872),"")</f>
        <v/>
      </c>
      <c r="R872" s="3">
        <f>IF(ISNUMBER(AVERAGE('20250815_ETF_Options_Exhibits'!R868:R872)),AVERAGE('20250815_ETF_Options_Exhibits'!R868:R872),"")</f>
        <v/>
      </c>
      <c r="S872" s="3">
        <f>IF(ISNUMBER(AVERAGE('20250815_ETF_Options_Exhibits'!S868:S872)),AVERAGE('20250815_ETF_Options_Exhibits'!S868:S872),"")</f>
        <v/>
      </c>
      <c r="T872" s="3">
        <f>IF(ISNUMBER(AVERAGE('20250815_ETF_Options_Exhibits'!T868:T872)),AVERAGE('20250815_ETF_Options_Exhibits'!T868:T872),"")</f>
        <v/>
      </c>
      <c r="U872" s="3">
        <f>IF(ISNUMBER(AVERAGE('20250815_ETF_Options_Exhibits'!U868:U872)),AVERAGE('20250815_ETF_Options_Exhibits'!U868:U872),"")</f>
        <v/>
      </c>
      <c r="V872" s="3">
        <f>IF(ISNUMBER(AVERAGE('20250815_ETF_Options_Exhibits'!V868:V872)),AVERAGE('20250815_ETF_Options_Exhibits'!V868:V872),"")</f>
        <v/>
      </c>
      <c r="W872" s="3">
        <f>IF(ISNUMBER(AVERAGE('20250815_ETF_Options_Exhibits'!W868:W872)),AVERAGE('20250815_ETF_Options_Exhibits'!W868:W872),"")</f>
        <v/>
      </c>
      <c r="X872" s="3">
        <f>IF(ISNUMBER(AVERAGE('20250815_ETF_Options_Exhibits'!X868:X872)),AVERAGE('20250815_ETF_Options_Exhibits'!X868:X872),"")</f>
        <v/>
      </c>
      <c r="Y872" s="3">
        <f>IF(ISNUMBER(AVERAGE('20250815_ETF_Options_Exhibits'!Y868:Y872)),AVERAGE('20250815_ETF_Options_Exhibits'!Y868:Y872),"")</f>
        <v/>
      </c>
      <c r="Z872" s="3">
        <f>IF(ISNUMBER(AVERAGE('20250815_ETF_Options_Exhibits'!Z868:Z872)),AVERAGE('20250815_ETF_Options_Exhibits'!Z868:Z872),"")</f>
        <v/>
      </c>
      <c r="AA872" s="3">
        <f>IF(ISNUMBER(AVERAGE('20250815_ETF_Options_Exhibits'!AA868:AA872)),AVERAGE('20250815_ETF_Options_Exhibits'!AA868:AA872),"")</f>
        <v/>
      </c>
    </row>
    <row r="873">
      <c r="A873" s="1" t="n">
        <v>43270</v>
      </c>
      <c r="B873" s="3">
        <f>IF(ISNUMBER(AVERAGE('20250815_ETF_Options_Exhibits'!B869:B873)),AVERAGE('20250815_ETF_Options_Exhibits'!B869:B873),"")</f>
        <v/>
      </c>
      <c r="C873" s="3">
        <f>IF(ISNUMBER(AVERAGE('20250815_ETF_Options_Exhibits'!C869:C873)),AVERAGE('20250815_ETF_Options_Exhibits'!C869:C873),"")</f>
        <v/>
      </c>
      <c r="D873" s="3">
        <f>IF(ISNUMBER(AVERAGE('20250815_ETF_Options_Exhibits'!D869:D873)),AVERAGE('20250815_ETF_Options_Exhibits'!D869:D873),"")</f>
        <v/>
      </c>
      <c r="E873" s="3">
        <f>IF(ISNUMBER(AVERAGE('20250815_ETF_Options_Exhibits'!E869:E873)),AVERAGE('20250815_ETF_Options_Exhibits'!E869:E873),"")</f>
        <v/>
      </c>
      <c r="F873" s="3">
        <f>IF(ISNUMBER(AVERAGE('20250815_ETF_Options_Exhibits'!F869:F873)),AVERAGE('20250815_ETF_Options_Exhibits'!F869:F873),"")</f>
        <v/>
      </c>
      <c r="G873" s="3">
        <f>IF(ISNUMBER(AVERAGE('20250815_ETF_Options_Exhibits'!G869:G873)),AVERAGE('20250815_ETF_Options_Exhibits'!G869:G873),"")</f>
        <v/>
      </c>
      <c r="H873" s="3">
        <f>IF(ISNUMBER(AVERAGE('20250815_ETF_Options_Exhibits'!H869:H873)),AVERAGE('20250815_ETF_Options_Exhibits'!H869:H873),"")</f>
        <v/>
      </c>
      <c r="I873" s="3">
        <f>IF(ISNUMBER(AVERAGE('20250815_ETF_Options_Exhibits'!I869:I873)),AVERAGE('20250815_ETF_Options_Exhibits'!I869:I873),"")</f>
        <v/>
      </c>
      <c r="J873" s="3">
        <f>IF(ISNUMBER(AVERAGE('20250815_ETF_Options_Exhibits'!J869:J873)),AVERAGE('20250815_ETF_Options_Exhibits'!J869:J873),"")</f>
        <v/>
      </c>
      <c r="K873" s="3">
        <f>IF(ISNUMBER(AVERAGE('20250815_ETF_Options_Exhibits'!K869:K873)),AVERAGE('20250815_ETF_Options_Exhibits'!K869:K873),"")</f>
        <v/>
      </c>
      <c r="L873" s="3">
        <f>IF(ISNUMBER(AVERAGE('20250815_ETF_Options_Exhibits'!L869:L873)),AVERAGE('20250815_ETF_Options_Exhibits'!L869:L873),"")</f>
        <v/>
      </c>
      <c r="M873" s="3">
        <f>IF(ISNUMBER(AVERAGE('20250815_ETF_Options_Exhibits'!M869:M873)),AVERAGE('20250815_ETF_Options_Exhibits'!M869:M873),"")</f>
        <v/>
      </c>
      <c r="N873" s="3">
        <f>IF(ISNUMBER(AVERAGE('20250815_ETF_Options_Exhibits'!N869:N873)),AVERAGE('20250815_ETF_Options_Exhibits'!N869:N873),"")</f>
        <v/>
      </c>
      <c r="O873" s="3">
        <f>IF(ISNUMBER(AVERAGE('20250815_ETF_Options_Exhibits'!O869:O873)),AVERAGE('20250815_ETF_Options_Exhibits'!O869:O873),"")</f>
        <v/>
      </c>
      <c r="P873" s="3">
        <f>IF(ISNUMBER(AVERAGE('20250815_ETF_Options_Exhibits'!P869:P873)),AVERAGE('20250815_ETF_Options_Exhibits'!P869:P873),"")</f>
        <v/>
      </c>
      <c r="Q873" s="3">
        <f>IF(ISNUMBER(AVERAGE('20250815_ETF_Options_Exhibits'!Q869:Q873)),AVERAGE('20250815_ETF_Options_Exhibits'!Q869:Q873),"")</f>
        <v/>
      </c>
      <c r="R873" s="3">
        <f>IF(ISNUMBER(AVERAGE('20250815_ETF_Options_Exhibits'!R869:R873)),AVERAGE('20250815_ETF_Options_Exhibits'!R869:R873),"")</f>
        <v/>
      </c>
      <c r="S873" s="3">
        <f>IF(ISNUMBER(AVERAGE('20250815_ETF_Options_Exhibits'!S869:S873)),AVERAGE('20250815_ETF_Options_Exhibits'!S869:S873),"")</f>
        <v/>
      </c>
      <c r="T873" s="3">
        <f>IF(ISNUMBER(AVERAGE('20250815_ETF_Options_Exhibits'!T869:T873)),AVERAGE('20250815_ETF_Options_Exhibits'!T869:T873),"")</f>
        <v/>
      </c>
      <c r="U873" s="3">
        <f>IF(ISNUMBER(AVERAGE('20250815_ETF_Options_Exhibits'!U869:U873)),AVERAGE('20250815_ETF_Options_Exhibits'!U869:U873),"")</f>
        <v/>
      </c>
      <c r="V873" s="3">
        <f>IF(ISNUMBER(AVERAGE('20250815_ETF_Options_Exhibits'!V869:V873)),AVERAGE('20250815_ETF_Options_Exhibits'!V869:V873),"")</f>
        <v/>
      </c>
      <c r="W873" s="3">
        <f>IF(ISNUMBER(AVERAGE('20250815_ETF_Options_Exhibits'!W869:W873)),AVERAGE('20250815_ETF_Options_Exhibits'!W869:W873),"")</f>
        <v/>
      </c>
      <c r="X873" s="3">
        <f>IF(ISNUMBER(AVERAGE('20250815_ETF_Options_Exhibits'!X869:X873)),AVERAGE('20250815_ETF_Options_Exhibits'!X869:X873),"")</f>
        <v/>
      </c>
      <c r="Y873" s="3">
        <f>IF(ISNUMBER(AVERAGE('20250815_ETF_Options_Exhibits'!Y869:Y873)),AVERAGE('20250815_ETF_Options_Exhibits'!Y869:Y873),"")</f>
        <v/>
      </c>
      <c r="Z873" s="3">
        <f>IF(ISNUMBER(AVERAGE('20250815_ETF_Options_Exhibits'!Z869:Z873)),AVERAGE('20250815_ETF_Options_Exhibits'!Z869:Z873),"")</f>
        <v/>
      </c>
      <c r="AA873" s="3">
        <f>IF(ISNUMBER(AVERAGE('20250815_ETF_Options_Exhibits'!AA869:AA873)),AVERAGE('20250815_ETF_Options_Exhibits'!AA869:AA873),"")</f>
        <v/>
      </c>
    </row>
    <row r="874">
      <c r="A874" s="1" t="n">
        <v>43271</v>
      </c>
      <c r="B874" s="3">
        <f>IF(ISNUMBER(AVERAGE('20250815_ETF_Options_Exhibits'!B870:B874)),AVERAGE('20250815_ETF_Options_Exhibits'!B870:B874),"")</f>
        <v/>
      </c>
      <c r="C874" s="3">
        <f>IF(ISNUMBER(AVERAGE('20250815_ETF_Options_Exhibits'!C870:C874)),AVERAGE('20250815_ETF_Options_Exhibits'!C870:C874),"")</f>
        <v/>
      </c>
      <c r="D874" s="3">
        <f>IF(ISNUMBER(AVERAGE('20250815_ETF_Options_Exhibits'!D870:D874)),AVERAGE('20250815_ETF_Options_Exhibits'!D870:D874),"")</f>
        <v/>
      </c>
      <c r="E874" s="3">
        <f>IF(ISNUMBER(AVERAGE('20250815_ETF_Options_Exhibits'!E870:E874)),AVERAGE('20250815_ETF_Options_Exhibits'!E870:E874),"")</f>
        <v/>
      </c>
      <c r="F874" s="3">
        <f>IF(ISNUMBER(AVERAGE('20250815_ETF_Options_Exhibits'!F870:F874)),AVERAGE('20250815_ETF_Options_Exhibits'!F870:F874),"")</f>
        <v/>
      </c>
      <c r="G874" s="3">
        <f>IF(ISNUMBER(AVERAGE('20250815_ETF_Options_Exhibits'!G870:G874)),AVERAGE('20250815_ETF_Options_Exhibits'!G870:G874),"")</f>
        <v/>
      </c>
      <c r="H874" s="3">
        <f>IF(ISNUMBER(AVERAGE('20250815_ETF_Options_Exhibits'!H870:H874)),AVERAGE('20250815_ETF_Options_Exhibits'!H870:H874),"")</f>
        <v/>
      </c>
      <c r="I874" s="3">
        <f>IF(ISNUMBER(AVERAGE('20250815_ETF_Options_Exhibits'!I870:I874)),AVERAGE('20250815_ETF_Options_Exhibits'!I870:I874),"")</f>
        <v/>
      </c>
      <c r="J874" s="3">
        <f>IF(ISNUMBER(AVERAGE('20250815_ETF_Options_Exhibits'!J870:J874)),AVERAGE('20250815_ETF_Options_Exhibits'!J870:J874),"")</f>
        <v/>
      </c>
      <c r="K874" s="3">
        <f>IF(ISNUMBER(AVERAGE('20250815_ETF_Options_Exhibits'!K870:K874)),AVERAGE('20250815_ETF_Options_Exhibits'!K870:K874),"")</f>
        <v/>
      </c>
      <c r="L874" s="3">
        <f>IF(ISNUMBER(AVERAGE('20250815_ETF_Options_Exhibits'!L870:L874)),AVERAGE('20250815_ETF_Options_Exhibits'!L870:L874),"")</f>
        <v/>
      </c>
      <c r="M874" s="3">
        <f>IF(ISNUMBER(AVERAGE('20250815_ETF_Options_Exhibits'!M870:M874)),AVERAGE('20250815_ETF_Options_Exhibits'!M870:M874),"")</f>
        <v/>
      </c>
      <c r="N874" s="3">
        <f>IF(ISNUMBER(AVERAGE('20250815_ETF_Options_Exhibits'!N870:N874)),AVERAGE('20250815_ETF_Options_Exhibits'!N870:N874),"")</f>
        <v/>
      </c>
      <c r="O874" s="3">
        <f>IF(ISNUMBER(AVERAGE('20250815_ETF_Options_Exhibits'!O870:O874)),AVERAGE('20250815_ETF_Options_Exhibits'!O870:O874),"")</f>
        <v/>
      </c>
      <c r="P874" s="3">
        <f>IF(ISNUMBER(AVERAGE('20250815_ETF_Options_Exhibits'!P870:P874)),AVERAGE('20250815_ETF_Options_Exhibits'!P870:P874),"")</f>
        <v/>
      </c>
      <c r="Q874" s="3">
        <f>IF(ISNUMBER(AVERAGE('20250815_ETF_Options_Exhibits'!Q870:Q874)),AVERAGE('20250815_ETF_Options_Exhibits'!Q870:Q874),"")</f>
        <v/>
      </c>
      <c r="R874" s="3">
        <f>IF(ISNUMBER(AVERAGE('20250815_ETF_Options_Exhibits'!R870:R874)),AVERAGE('20250815_ETF_Options_Exhibits'!R870:R874),"")</f>
        <v/>
      </c>
      <c r="S874" s="3">
        <f>IF(ISNUMBER(AVERAGE('20250815_ETF_Options_Exhibits'!S870:S874)),AVERAGE('20250815_ETF_Options_Exhibits'!S870:S874),"")</f>
        <v/>
      </c>
      <c r="T874" s="3">
        <f>IF(ISNUMBER(AVERAGE('20250815_ETF_Options_Exhibits'!T870:T874)),AVERAGE('20250815_ETF_Options_Exhibits'!T870:T874),"")</f>
        <v/>
      </c>
      <c r="U874" s="3">
        <f>IF(ISNUMBER(AVERAGE('20250815_ETF_Options_Exhibits'!U870:U874)),AVERAGE('20250815_ETF_Options_Exhibits'!U870:U874),"")</f>
        <v/>
      </c>
      <c r="V874" s="3">
        <f>IF(ISNUMBER(AVERAGE('20250815_ETF_Options_Exhibits'!V870:V874)),AVERAGE('20250815_ETF_Options_Exhibits'!V870:V874),"")</f>
        <v/>
      </c>
      <c r="W874" s="3">
        <f>IF(ISNUMBER(AVERAGE('20250815_ETF_Options_Exhibits'!W870:W874)),AVERAGE('20250815_ETF_Options_Exhibits'!W870:W874),"")</f>
        <v/>
      </c>
      <c r="X874" s="3">
        <f>IF(ISNUMBER(AVERAGE('20250815_ETF_Options_Exhibits'!X870:X874)),AVERAGE('20250815_ETF_Options_Exhibits'!X870:X874),"")</f>
        <v/>
      </c>
      <c r="Y874" s="3">
        <f>IF(ISNUMBER(AVERAGE('20250815_ETF_Options_Exhibits'!Y870:Y874)),AVERAGE('20250815_ETF_Options_Exhibits'!Y870:Y874),"")</f>
        <v/>
      </c>
      <c r="Z874" s="3">
        <f>IF(ISNUMBER(AVERAGE('20250815_ETF_Options_Exhibits'!Z870:Z874)),AVERAGE('20250815_ETF_Options_Exhibits'!Z870:Z874),"")</f>
        <v/>
      </c>
      <c r="AA874" s="3">
        <f>IF(ISNUMBER(AVERAGE('20250815_ETF_Options_Exhibits'!AA870:AA874)),AVERAGE('20250815_ETF_Options_Exhibits'!AA870:AA874),"")</f>
        <v/>
      </c>
    </row>
    <row r="875">
      <c r="A875" s="1" t="n">
        <v>43272</v>
      </c>
      <c r="B875" s="3">
        <f>IF(ISNUMBER(AVERAGE('20250815_ETF_Options_Exhibits'!B871:B875)),AVERAGE('20250815_ETF_Options_Exhibits'!B871:B875),"")</f>
        <v/>
      </c>
      <c r="C875" s="3">
        <f>IF(ISNUMBER(AVERAGE('20250815_ETF_Options_Exhibits'!C871:C875)),AVERAGE('20250815_ETF_Options_Exhibits'!C871:C875),"")</f>
        <v/>
      </c>
      <c r="D875" s="3">
        <f>IF(ISNUMBER(AVERAGE('20250815_ETF_Options_Exhibits'!D871:D875)),AVERAGE('20250815_ETF_Options_Exhibits'!D871:D875),"")</f>
        <v/>
      </c>
      <c r="E875" s="3">
        <f>IF(ISNUMBER(AVERAGE('20250815_ETF_Options_Exhibits'!E871:E875)),AVERAGE('20250815_ETF_Options_Exhibits'!E871:E875),"")</f>
        <v/>
      </c>
      <c r="F875" s="3">
        <f>IF(ISNUMBER(AVERAGE('20250815_ETF_Options_Exhibits'!F871:F875)),AVERAGE('20250815_ETF_Options_Exhibits'!F871:F875),"")</f>
        <v/>
      </c>
      <c r="G875" s="3">
        <f>IF(ISNUMBER(AVERAGE('20250815_ETF_Options_Exhibits'!G871:G875)),AVERAGE('20250815_ETF_Options_Exhibits'!G871:G875),"")</f>
        <v/>
      </c>
      <c r="H875" s="3">
        <f>IF(ISNUMBER(AVERAGE('20250815_ETF_Options_Exhibits'!H871:H875)),AVERAGE('20250815_ETF_Options_Exhibits'!H871:H875),"")</f>
        <v/>
      </c>
      <c r="I875" s="3">
        <f>IF(ISNUMBER(AVERAGE('20250815_ETF_Options_Exhibits'!I871:I875)),AVERAGE('20250815_ETF_Options_Exhibits'!I871:I875),"")</f>
        <v/>
      </c>
      <c r="J875" s="3">
        <f>IF(ISNUMBER(AVERAGE('20250815_ETF_Options_Exhibits'!J871:J875)),AVERAGE('20250815_ETF_Options_Exhibits'!J871:J875),"")</f>
        <v/>
      </c>
      <c r="K875" s="3">
        <f>IF(ISNUMBER(AVERAGE('20250815_ETF_Options_Exhibits'!K871:K875)),AVERAGE('20250815_ETF_Options_Exhibits'!K871:K875),"")</f>
        <v/>
      </c>
      <c r="L875" s="3">
        <f>IF(ISNUMBER(AVERAGE('20250815_ETF_Options_Exhibits'!L871:L875)),AVERAGE('20250815_ETF_Options_Exhibits'!L871:L875),"")</f>
        <v/>
      </c>
      <c r="M875" s="3">
        <f>IF(ISNUMBER(AVERAGE('20250815_ETF_Options_Exhibits'!M871:M875)),AVERAGE('20250815_ETF_Options_Exhibits'!M871:M875),"")</f>
        <v/>
      </c>
      <c r="N875" s="3">
        <f>IF(ISNUMBER(AVERAGE('20250815_ETF_Options_Exhibits'!N871:N875)),AVERAGE('20250815_ETF_Options_Exhibits'!N871:N875),"")</f>
        <v/>
      </c>
      <c r="O875" s="3">
        <f>IF(ISNUMBER(AVERAGE('20250815_ETF_Options_Exhibits'!O871:O875)),AVERAGE('20250815_ETF_Options_Exhibits'!O871:O875),"")</f>
        <v/>
      </c>
      <c r="P875" s="3">
        <f>IF(ISNUMBER(AVERAGE('20250815_ETF_Options_Exhibits'!P871:P875)),AVERAGE('20250815_ETF_Options_Exhibits'!P871:P875),"")</f>
        <v/>
      </c>
      <c r="Q875" s="3">
        <f>IF(ISNUMBER(AVERAGE('20250815_ETF_Options_Exhibits'!Q871:Q875)),AVERAGE('20250815_ETF_Options_Exhibits'!Q871:Q875),"")</f>
        <v/>
      </c>
      <c r="R875" s="3">
        <f>IF(ISNUMBER(AVERAGE('20250815_ETF_Options_Exhibits'!R871:R875)),AVERAGE('20250815_ETF_Options_Exhibits'!R871:R875),"")</f>
        <v/>
      </c>
      <c r="S875" s="3">
        <f>IF(ISNUMBER(AVERAGE('20250815_ETF_Options_Exhibits'!S871:S875)),AVERAGE('20250815_ETF_Options_Exhibits'!S871:S875),"")</f>
        <v/>
      </c>
      <c r="T875" s="3">
        <f>IF(ISNUMBER(AVERAGE('20250815_ETF_Options_Exhibits'!T871:T875)),AVERAGE('20250815_ETF_Options_Exhibits'!T871:T875),"")</f>
        <v/>
      </c>
      <c r="U875" s="3">
        <f>IF(ISNUMBER(AVERAGE('20250815_ETF_Options_Exhibits'!U871:U875)),AVERAGE('20250815_ETF_Options_Exhibits'!U871:U875),"")</f>
        <v/>
      </c>
      <c r="V875" s="3">
        <f>IF(ISNUMBER(AVERAGE('20250815_ETF_Options_Exhibits'!V871:V875)),AVERAGE('20250815_ETF_Options_Exhibits'!V871:V875),"")</f>
        <v/>
      </c>
      <c r="W875" s="3">
        <f>IF(ISNUMBER(AVERAGE('20250815_ETF_Options_Exhibits'!W871:W875)),AVERAGE('20250815_ETF_Options_Exhibits'!W871:W875),"")</f>
        <v/>
      </c>
      <c r="X875" s="3">
        <f>IF(ISNUMBER(AVERAGE('20250815_ETF_Options_Exhibits'!X871:X875)),AVERAGE('20250815_ETF_Options_Exhibits'!X871:X875),"")</f>
        <v/>
      </c>
      <c r="Y875" s="3">
        <f>IF(ISNUMBER(AVERAGE('20250815_ETF_Options_Exhibits'!Y871:Y875)),AVERAGE('20250815_ETF_Options_Exhibits'!Y871:Y875),"")</f>
        <v/>
      </c>
      <c r="Z875" s="3">
        <f>IF(ISNUMBER(AVERAGE('20250815_ETF_Options_Exhibits'!Z871:Z875)),AVERAGE('20250815_ETF_Options_Exhibits'!Z871:Z875),"")</f>
        <v/>
      </c>
      <c r="AA875" s="3">
        <f>IF(ISNUMBER(AVERAGE('20250815_ETF_Options_Exhibits'!AA871:AA875)),AVERAGE('20250815_ETF_Options_Exhibits'!AA871:AA875),"")</f>
        <v/>
      </c>
    </row>
    <row r="876">
      <c r="A876" s="1" t="n">
        <v>43273</v>
      </c>
      <c r="B876" s="3">
        <f>IF(ISNUMBER(AVERAGE('20250815_ETF_Options_Exhibits'!B872:B876)),AVERAGE('20250815_ETF_Options_Exhibits'!B872:B876),"")</f>
        <v/>
      </c>
      <c r="C876" s="3">
        <f>IF(ISNUMBER(AVERAGE('20250815_ETF_Options_Exhibits'!C872:C876)),AVERAGE('20250815_ETF_Options_Exhibits'!C872:C876),"")</f>
        <v/>
      </c>
      <c r="D876" s="3">
        <f>IF(ISNUMBER(AVERAGE('20250815_ETF_Options_Exhibits'!D872:D876)),AVERAGE('20250815_ETF_Options_Exhibits'!D872:D876),"")</f>
        <v/>
      </c>
      <c r="E876" s="3">
        <f>IF(ISNUMBER(AVERAGE('20250815_ETF_Options_Exhibits'!E872:E876)),AVERAGE('20250815_ETF_Options_Exhibits'!E872:E876),"")</f>
        <v/>
      </c>
      <c r="F876" s="3">
        <f>IF(ISNUMBER(AVERAGE('20250815_ETF_Options_Exhibits'!F872:F876)),AVERAGE('20250815_ETF_Options_Exhibits'!F872:F876),"")</f>
        <v/>
      </c>
      <c r="G876" s="3">
        <f>IF(ISNUMBER(AVERAGE('20250815_ETF_Options_Exhibits'!G872:G876)),AVERAGE('20250815_ETF_Options_Exhibits'!G872:G876),"")</f>
        <v/>
      </c>
      <c r="H876" s="3">
        <f>IF(ISNUMBER(AVERAGE('20250815_ETF_Options_Exhibits'!H872:H876)),AVERAGE('20250815_ETF_Options_Exhibits'!H872:H876),"")</f>
        <v/>
      </c>
      <c r="I876" s="3">
        <f>IF(ISNUMBER(AVERAGE('20250815_ETF_Options_Exhibits'!I872:I876)),AVERAGE('20250815_ETF_Options_Exhibits'!I872:I876),"")</f>
        <v/>
      </c>
      <c r="J876" s="3">
        <f>IF(ISNUMBER(AVERAGE('20250815_ETF_Options_Exhibits'!J872:J876)),AVERAGE('20250815_ETF_Options_Exhibits'!J872:J876),"")</f>
        <v/>
      </c>
      <c r="K876" s="3">
        <f>IF(ISNUMBER(AVERAGE('20250815_ETF_Options_Exhibits'!K872:K876)),AVERAGE('20250815_ETF_Options_Exhibits'!K872:K876),"")</f>
        <v/>
      </c>
      <c r="L876" s="3">
        <f>IF(ISNUMBER(AVERAGE('20250815_ETF_Options_Exhibits'!L872:L876)),AVERAGE('20250815_ETF_Options_Exhibits'!L872:L876),"")</f>
        <v/>
      </c>
      <c r="M876" s="3">
        <f>IF(ISNUMBER(AVERAGE('20250815_ETF_Options_Exhibits'!M872:M876)),AVERAGE('20250815_ETF_Options_Exhibits'!M872:M876),"")</f>
        <v/>
      </c>
      <c r="N876" s="3">
        <f>IF(ISNUMBER(AVERAGE('20250815_ETF_Options_Exhibits'!N872:N876)),AVERAGE('20250815_ETF_Options_Exhibits'!N872:N876),"")</f>
        <v/>
      </c>
      <c r="O876" s="3">
        <f>IF(ISNUMBER(AVERAGE('20250815_ETF_Options_Exhibits'!O872:O876)),AVERAGE('20250815_ETF_Options_Exhibits'!O872:O876),"")</f>
        <v/>
      </c>
      <c r="P876" s="3">
        <f>IF(ISNUMBER(AVERAGE('20250815_ETF_Options_Exhibits'!P872:P876)),AVERAGE('20250815_ETF_Options_Exhibits'!P872:P876),"")</f>
        <v/>
      </c>
      <c r="Q876" s="3">
        <f>IF(ISNUMBER(AVERAGE('20250815_ETF_Options_Exhibits'!Q872:Q876)),AVERAGE('20250815_ETF_Options_Exhibits'!Q872:Q876),"")</f>
        <v/>
      </c>
      <c r="R876" s="3">
        <f>IF(ISNUMBER(AVERAGE('20250815_ETF_Options_Exhibits'!R872:R876)),AVERAGE('20250815_ETF_Options_Exhibits'!R872:R876),"")</f>
        <v/>
      </c>
      <c r="S876" s="3">
        <f>IF(ISNUMBER(AVERAGE('20250815_ETF_Options_Exhibits'!S872:S876)),AVERAGE('20250815_ETF_Options_Exhibits'!S872:S876),"")</f>
        <v/>
      </c>
      <c r="T876" s="3">
        <f>IF(ISNUMBER(AVERAGE('20250815_ETF_Options_Exhibits'!T872:T876)),AVERAGE('20250815_ETF_Options_Exhibits'!T872:T876),"")</f>
        <v/>
      </c>
      <c r="U876" s="3">
        <f>IF(ISNUMBER(AVERAGE('20250815_ETF_Options_Exhibits'!U872:U876)),AVERAGE('20250815_ETF_Options_Exhibits'!U872:U876),"")</f>
        <v/>
      </c>
      <c r="V876" s="3">
        <f>IF(ISNUMBER(AVERAGE('20250815_ETF_Options_Exhibits'!V872:V876)),AVERAGE('20250815_ETF_Options_Exhibits'!V872:V876),"")</f>
        <v/>
      </c>
      <c r="W876" s="3">
        <f>IF(ISNUMBER(AVERAGE('20250815_ETF_Options_Exhibits'!W872:W876)),AVERAGE('20250815_ETF_Options_Exhibits'!W872:W876),"")</f>
        <v/>
      </c>
      <c r="X876" s="3">
        <f>IF(ISNUMBER(AVERAGE('20250815_ETF_Options_Exhibits'!X872:X876)),AVERAGE('20250815_ETF_Options_Exhibits'!X872:X876),"")</f>
        <v/>
      </c>
      <c r="Y876" s="3">
        <f>IF(ISNUMBER(AVERAGE('20250815_ETF_Options_Exhibits'!Y872:Y876)),AVERAGE('20250815_ETF_Options_Exhibits'!Y872:Y876),"")</f>
        <v/>
      </c>
      <c r="Z876" s="3">
        <f>IF(ISNUMBER(AVERAGE('20250815_ETF_Options_Exhibits'!Z872:Z876)),AVERAGE('20250815_ETF_Options_Exhibits'!Z872:Z876),"")</f>
        <v/>
      </c>
      <c r="AA876" s="3">
        <f>IF(ISNUMBER(AVERAGE('20250815_ETF_Options_Exhibits'!AA872:AA876)),AVERAGE('20250815_ETF_Options_Exhibits'!AA872:AA876),"")</f>
        <v/>
      </c>
    </row>
    <row r="877">
      <c r="A877" s="1" t="n">
        <v>43276</v>
      </c>
      <c r="B877" s="3">
        <f>IF(ISNUMBER(AVERAGE('20250815_ETF_Options_Exhibits'!B873:B877)),AVERAGE('20250815_ETF_Options_Exhibits'!B873:B877),"")</f>
        <v/>
      </c>
      <c r="C877" s="3">
        <f>IF(ISNUMBER(AVERAGE('20250815_ETF_Options_Exhibits'!C873:C877)),AVERAGE('20250815_ETF_Options_Exhibits'!C873:C877),"")</f>
        <v/>
      </c>
      <c r="D877" s="3">
        <f>IF(ISNUMBER(AVERAGE('20250815_ETF_Options_Exhibits'!D873:D877)),AVERAGE('20250815_ETF_Options_Exhibits'!D873:D877),"")</f>
        <v/>
      </c>
      <c r="E877" s="3">
        <f>IF(ISNUMBER(AVERAGE('20250815_ETF_Options_Exhibits'!E873:E877)),AVERAGE('20250815_ETF_Options_Exhibits'!E873:E877),"")</f>
        <v/>
      </c>
      <c r="F877" s="3">
        <f>IF(ISNUMBER(AVERAGE('20250815_ETF_Options_Exhibits'!F873:F877)),AVERAGE('20250815_ETF_Options_Exhibits'!F873:F877),"")</f>
        <v/>
      </c>
      <c r="G877" s="3">
        <f>IF(ISNUMBER(AVERAGE('20250815_ETF_Options_Exhibits'!G873:G877)),AVERAGE('20250815_ETF_Options_Exhibits'!G873:G877),"")</f>
        <v/>
      </c>
      <c r="H877" s="3">
        <f>IF(ISNUMBER(AVERAGE('20250815_ETF_Options_Exhibits'!H873:H877)),AVERAGE('20250815_ETF_Options_Exhibits'!H873:H877),"")</f>
        <v/>
      </c>
      <c r="I877" s="3">
        <f>IF(ISNUMBER(AVERAGE('20250815_ETF_Options_Exhibits'!I873:I877)),AVERAGE('20250815_ETF_Options_Exhibits'!I873:I877),"")</f>
        <v/>
      </c>
      <c r="J877" s="3">
        <f>IF(ISNUMBER(AVERAGE('20250815_ETF_Options_Exhibits'!J873:J877)),AVERAGE('20250815_ETF_Options_Exhibits'!J873:J877),"")</f>
        <v/>
      </c>
      <c r="K877" s="3">
        <f>IF(ISNUMBER(AVERAGE('20250815_ETF_Options_Exhibits'!K873:K877)),AVERAGE('20250815_ETF_Options_Exhibits'!K873:K877),"")</f>
        <v/>
      </c>
      <c r="L877" s="3">
        <f>IF(ISNUMBER(AVERAGE('20250815_ETF_Options_Exhibits'!L873:L877)),AVERAGE('20250815_ETF_Options_Exhibits'!L873:L877),"")</f>
        <v/>
      </c>
      <c r="M877" s="3">
        <f>IF(ISNUMBER(AVERAGE('20250815_ETF_Options_Exhibits'!M873:M877)),AVERAGE('20250815_ETF_Options_Exhibits'!M873:M877),"")</f>
        <v/>
      </c>
      <c r="N877" s="3">
        <f>IF(ISNUMBER(AVERAGE('20250815_ETF_Options_Exhibits'!N873:N877)),AVERAGE('20250815_ETF_Options_Exhibits'!N873:N877),"")</f>
        <v/>
      </c>
      <c r="O877" s="3">
        <f>IF(ISNUMBER(AVERAGE('20250815_ETF_Options_Exhibits'!O873:O877)),AVERAGE('20250815_ETF_Options_Exhibits'!O873:O877),"")</f>
        <v/>
      </c>
      <c r="P877" s="3">
        <f>IF(ISNUMBER(AVERAGE('20250815_ETF_Options_Exhibits'!P873:P877)),AVERAGE('20250815_ETF_Options_Exhibits'!P873:P877),"")</f>
        <v/>
      </c>
      <c r="Q877" s="3">
        <f>IF(ISNUMBER(AVERAGE('20250815_ETF_Options_Exhibits'!Q873:Q877)),AVERAGE('20250815_ETF_Options_Exhibits'!Q873:Q877),"")</f>
        <v/>
      </c>
      <c r="R877" s="3">
        <f>IF(ISNUMBER(AVERAGE('20250815_ETF_Options_Exhibits'!R873:R877)),AVERAGE('20250815_ETF_Options_Exhibits'!R873:R877),"")</f>
        <v/>
      </c>
      <c r="S877" s="3">
        <f>IF(ISNUMBER(AVERAGE('20250815_ETF_Options_Exhibits'!S873:S877)),AVERAGE('20250815_ETF_Options_Exhibits'!S873:S877),"")</f>
        <v/>
      </c>
      <c r="T877" s="3">
        <f>IF(ISNUMBER(AVERAGE('20250815_ETF_Options_Exhibits'!T873:T877)),AVERAGE('20250815_ETF_Options_Exhibits'!T873:T877),"")</f>
        <v/>
      </c>
      <c r="U877" s="3">
        <f>IF(ISNUMBER(AVERAGE('20250815_ETF_Options_Exhibits'!U873:U877)),AVERAGE('20250815_ETF_Options_Exhibits'!U873:U877),"")</f>
        <v/>
      </c>
      <c r="V877" s="3">
        <f>IF(ISNUMBER(AVERAGE('20250815_ETF_Options_Exhibits'!V873:V877)),AVERAGE('20250815_ETF_Options_Exhibits'!V873:V877),"")</f>
        <v/>
      </c>
      <c r="W877" s="3">
        <f>IF(ISNUMBER(AVERAGE('20250815_ETF_Options_Exhibits'!W873:W877)),AVERAGE('20250815_ETF_Options_Exhibits'!W873:W877),"")</f>
        <v/>
      </c>
      <c r="X877" s="3">
        <f>IF(ISNUMBER(AVERAGE('20250815_ETF_Options_Exhibits'!X873:X877)),AVERAGE('20250815_ETF_Options_Exhibits'!X873:X877),"")</f>
        <v/>
      </c>
      <c r="Y877" s="3">
        <f>IF(ISNUMBER(AVERAGE('20250815_ETF_Options_Exhibits'!Y873:Y877)),AVERAGE('20250815_ETF_Options_Exhibits'!Y873:Y877),"")</f>
        <v/>
      </c>
      <c r="Z877" s="3">
        <f>IF(ISNUMBER(AVERAGE('20250815_ETF_Options_Exhibits'!Z873:Z877)),AVERAGE('20250815_ETF_Options_Exhibits'!Z873:Z877),"")</f>
        <v/>
      </c>
      <c r="AA877" s="3">
        <f>IF(ISNUMBER(AVERAGE('20250815_ETF_Options_Exhibits'!AA873:AA877)),AVERAGE('20250815_ETF_Options_Exhibits'!AA873:AA877),"")</f>
        <v/>
      </c>
    </row>
    <row r="878">
      <c r="A878" s="1" t="n">
        <v>43277</v>
      </c>
      <c r="B878" s="3">
        <f>IF(ISNUMBER(AVERAGE('20250815_ETF_Options_Exhibits'!B874:B878)),AVERAGE('20250815_ETF_Options_Exhibits'!B874:B878),"")</f>
        <v/>
      </c>
      <c r="C878" s="3">
        <f>IF(ISNUMBER(AVERAGE('20250815_ETF_Options_Exhibits'!C874:C878)),AVERAGE('20250815_ETF_Options_Exhibits'!C874:C878),"")</f>
        <v/>
      </c>
      <c r="D878" s="3">
        <f>IF(ISNUMBER(AVERAGE('20250815_ETF_Options_Exhibits'!D874:D878)),AVERAGE('20250815_ETF_Options_Exhibits'!D874:D878),"")</f>
        <v/>
      </c>
      <c r="E878" s="3">
        <f>IF(ISNUMBER(AVERAGE('20250815_ETF_Options_Exhibits'!E874:E878)),AVERAGE('20250815_ETF_Options_Exhibits'!E874:E878),"")</f>
        <v/>
      </c>
      <c r="F878" s="3">
        <f>IF(ISNUMBER(AVERAGE('20250815_ETF_Options_Exhibits'!F874:F878)),AVERAGE('20250815_ETF_Options_Exhibits'!F874:F878),"")</f>
        <v/>
      </c>
      <c r="G878" s="3">
        <f>IF(ISNUMBER(AVERAGE('20250815_ETF_Options_Exhibits'!G874:G878)),AVERAGE('20250815_ETF_Options_Exhibits'!G874:G878),"")</f>
        <v/>
      </c>
      <c r="H878" s="3">
        <f>IF(ISNUMBER(AVERAGE('20250815_ETF_Options_Exhibits'!H874:H878)),AVERAGE('20250815_ETF_Options_Exhibits'!H874:H878),"")</f>
        <v/>
      </c>
      <c r="I878" s="3">
        <f>IF(ISNUMBER(AVERAGE('20250815_ETF_Options_Exhibits'!I874:I878)),AVERAGE('20250815_ETF_Options_Exhibits'!I874:I878),"")</f>
        <v/>
      </c>
      <c r="J878" s="3">
        <f>IF(ISNUMBER(AVERAGE('20250815_ETF_Options_Exhibits'!J874:J878)),AVERAGE('20250815_ETF_Options_Exhibits'!J874:J878),"")</f>
        <v/>
      </c>
      <c r="K878" s="3">
        <f>IF(ISNUMBER(AVERAGE('20250815_ETF_Options_Exhibits'!K874:K878)),AVERAGE('20250815_ETF_Options_Exhibits'!K874:K878),"")</f>
        <v/>
      </c>
      <c r="L878" s="3">
        <f>IF(ISNUMBER(AVERAGE('20250815_ETF_Options_Exhibits'!L874:L878)),AVERAGE('20250815_ETF_Options_Exhibits'!L874:L878),"")</f>
        <v/>
      </c>
      <c r="M878" s="3">
        <f>IF(ISNUMBER(AVERAGE('20250815_ETF_Options_Exhibits'!M874:M878)),AVERAGE('20250815_ETF_Options_Exhibits'!M874:M878),"")</f>
        <v/>
      </c>
      <c r="N878" s="3">
        <f>IF(ISNUMBER(AVERAGE('20250815_ETF_Options_Exhibits'!N874:N878)),AVERAGE('20250815_ETF_Options_Exhibits'!N874:N878),"")</f>
        <v/>
      </c>
      <c r="O878" s="3">
        <f>IF(ISNUMBER(AVERAGE('20250815_ETF_Options_Exhibits'!O874:O878)),AVERAGE('20250815_ETF_Options_Exhibits'!O874:O878),"")</f>
        <v/>
      </c>
      <c r="P878" s="3">
        <f>IF(ISNUMBER(AVERAGE('20250815_ETF_Options_Exhibits'!P874:P878)),AVERAGE('20250815_ETF_Options_Exhibits'!P874:P878),"")</f>
        <v/>
      </c>
      <c r="Q878" s="3">
        <f>IF(ISNUMBER(AVERAGE('20250815_ETF_Options_Exhibits'!Q874:Q878)),AVERAGE('20250815_ETF_Options_Exhibits'!Q874:Q878),"")</f>
        <v/>
      </c>
      <c r="R878" s="3">
        <f>IF(ISNUMBER(AVERAGE('20250815_ETF_Options_Exhibits'!R874:R878)),AVERAGE('20250815_ETF_Options_Exhibits'!R874:R878),"")</f>
        <v/>
      </c>
      <c r="S878" s="3">
        <f>IF(ISNUMBER(AVERAGE('20250815_ETF_Options_Exhibits'!S874:S878)),AVERAGE('20250815_ETF_Options_Exhibits'!S874:S878),"")</f>
        <v/>
      </c>
      <c r="T878" s="3">
        <f>IF(ISNUMBER(AVERAGE('20250815_ETF_Options_Exhibits'!T874:T878)),AVERAGE('20250815_ETF_Options_Exhibits'!T874:T878),"")</f>
        <v/>
      </c>
      <c r="U878" s="3">
        <f>IF(ISNUMBER(AVERAGE('20250815_ETF_Options_Exhibits'!U874:U878)),AVERAGE('20250815_ETF_Options_Exhibits'!U874:U878),"")</f>
        <v/>
      </c>
      <c r="V878" s="3">
        <f>IF(ISNUMBER(AVERAGE('20250815_ETF_Options_Exhibits'!V874:V878)),AVERAGE('20250815_ETF_Options_Exhibits'!V874:V878),"")</f>
        <v/>
      </c>
      <c r="W878" s="3">
        <f>IF(ISNUMBER(AVERAGE('20250815_ETF_Options_Exhibits'!W874:W878)),AVERAGE('20250815_ETF_Options_Exhibits'!W874:W878),"")</f>
        <v/>
      </c>
      <c r="X878" s="3">
        <f>IF(ISNUMBER(AVERAGE('20250815_ETF_Options_Exhibits'!X874:X878)),AVERAGE('20250815_ETF_Options_Exhibits'!X874:X878),"")</f>
        <v/>
      </c>
      <c r="Y878" s="3">
        <f>IF(ISNUMBER(AVERAGE('20250815_ETF_Options_Exhibits'!Y874:Y878)),AVERAGE('20250815_ETF_Options_Exhibits'!Y874:Y878),"")</f>
        <v/>
      </c>
      <c r="Z878" s="3">
        <f>IF(ISNUMBER(AVERAGE('20250815_ETF_Options_Exhibits'!Z874:Z878)),AVERAGE('20250815_ETF_Options_Exhibits'!Z874:Z878),"")</f>
        <v/>
      </c>
      <c r="AA878" s="3">
        <f>IF(ISNUMBER(AVERAGE('20250815_ETF_Options_Exhibits'!AA874:AA878)),AVERAGE('20250815_ETF_Options_Exhibits'!AA874:AA878),"")</f>
        <v/>
      </c>
    </row>
    <row r="879">
      <c r="A879" s="1" t="n">
        <v>43278</v>
      </c>
      <c r="B879" s="3">
        <f>IF(ISNUMBER(AVERAGE('20250815_ETF_Options_Exhibits'!B875:B879)),AVERAGE('20250815_ETF_Options_Exhibits'!B875:B879),"")</f>
        <v/>
      </c>
      <c r="C879" s="3">
        <f>IF(ISNUMBER(AVERAGE('20250815_ETF_Options_Exhibits'!C875:C879)),AVERAGE('20250815_ETF_Options_Exhibits'!C875:C879),"")</f>
        <v/>
      </c>
      <c r="D879" s="3">
        <f>IF(ISNUMBER(AVERAGE('20250815_ETF_Options_Exhibits'!D875:D879)),AVERAGE('20250815_ETF_Options_Exhibits'!D875:D879),"")</f>
        <v/>
      </c>
      <c r="E879" s="3">
        <f>IF(ISNUMBER(AVERAGE('20250815_ETF_Options_Exhibits'!E875:E879)),AVERAGE('20250815_ETF_Options_Exhibits'!E875:E879),"")</f>
        <v/>
      </c>
      <c r="F879" s="3">
        <f>IF(ISNUMBER(AVERAGE('20250815_ETF_Options_Exhibits'!F875:F879)),AVERAGE('20250815_ETF_Options_Exhibits'!F875:F879),"")</f>
        <v/>
      </c>
      <c r="G879" s="3">
        <f>IF(ISNUMBER(AVERAGE('20250815_ETF_Options_Exhibits'!G875:G879)),AVERAGE('20250815_ETF_Options_Exhibits'!G875:G879),"")</f>
        <v/>
      </c>
      <c r="H879" s="3">
        <f>IF(ISNUMBER(AVERAGE('20250815_ETF_Options_Exhibits'!H875:H879)),AVERAGE('20250815_ETF_Options_Exhibits'!H875:H879),"")</f>
        <v/>
      </c>
      <c r="I879" s="3">
        <f>IF(ISNUMBER(AVERAGE('20250815_ETF_Options_Exhibits'!I875:I879)),AVERAGE('20250815_ETF_Options_Exhibits'!I875:I879),"")</f>
        <v/>
      </c>
      <c r="J879" s="3">
        <f>IF(ISNUMBER(AVERAGE('20250815_ETF_Options_Exhibits'!J875:J879)),AVERAGE('20250815_ETF_Options_Exhibits'!J875:J879),"")</f>
        <v/>
      </c>
      <c r="K879" s="3">
        <f>IF(ISNUMBER(AVERAGE('20250815_ETF_Options_Exhibits'!K875:K879)),AVERAGE('20250815_ETF_Options_Exhibits'!K875:K879),"")</f>
        <v/>
      </c>
      <c r="L879" s="3">
        <f>IF(ISNUMBER(AVERAGE('20250815_ETF_Options_Exhibits'!L875:L879)),AVERAGE('20250815_ETF_Options_Exhibits'!L875:L879),"")</f>
        <v/>
      </c>
      <c r="M879" s="3">
        <f>IF(ISNUMBER(AVERAGE('20250815_ETF_Options_Exhibits'!M875:M879)),AVERAGE('20250815_ETF_Options_Exhibits'!M875:M879),"")</f>
        <v/>
      </c>
      <c r="N879" s="3">
        <f>IF(ISNUMBER(AVERAGE('20250815_ETF_Options_Exhibits'!N875:N879)),AVERAGE('20250815_ETF_Options_Exhibits'!N875:N879),"")</f>
        <v/>
      </c>
      <c r="O879" s="3">
        <f>IF(ISNUMBER(AVERAGE('20250815_ETF_Options_Exhibits'!O875:O879)),AVERAGE('20250815_ETF_Options_Exhibits'!O875:O879),"")</f>
        <v/>
      </c>
      <c r="P879" s="3">
        <f>IF(ISNUMBER(AVERAGE('20250815_ETF_Options_Exhibits'!P875:P879)),AVERAGE('20250815_ETF_Options_Exhibits'!P875:P879),"")</f>
        <v/>
      </c>
      <c r="Q879" s="3">
        <f>IF(ISNUMBER(AVERAGE('20250815_ETF_Options_Exhibits'!Q875:Q879)),AVERAGE('20250815_ETF_Options_Exhibits'!Q875:Q879),"")</f>
        <v/>
      </c>
      <c r="R879" s="3">
        <f>IF(ISNUMBER(AVERAGE('20250815_ETF_Options_Exhibits'!R875:R879)),AVERAGE('20250815_ETF_Options_Exhibits'!R875:R879),"")</f>
        <v/>
      </c>
      <c r="S879" s="3">
        <f>IF(ISNUMBER(AVERAGE('20250815_ETF_Options_Exhibits'!S875:S879)),AVERAGE('20250815_ETF_Options_Exhibits'!S875:S879),"")</f>
        <v/>
      </c>
      <c r="T879" s="3">
        <f>IF(ISNUMBER(AVERAGE('20250815_ETF_Options_Exhibits'!T875:T879)),AVERAGE('20250815_ETF_Options_Exhibits'!T875:T879),"")</f>
        <v/>
      </c>
      <c r="U879" s="3">
        <f>IF(ISNUMBER(AVERAGE('20250815_ETF_Options_Exhibits'!U875:U879)),AVERAGE('20250815_ETF_Options_Exhibits'!U875:U879),"")</f>
        <v/>
      </c>
      <c r="V879" s="3">
        <f>IF(ISNUMBER(AVERAGE('20250815_ETF_Options_Exhibits'!V875:V879)),AVERAGE('20250815_ETF_Options_Exhibits'!V875:V879),"")</f>
        <v/>
      </c>
      <c r="W879" s="3">
        <f>IF(ISNUMBER(AVERAGE('20250815_ETF_Options_Exhibits'!W875:W879)),AVERAGE('20250815_ETF_Options_Exhibits'!W875:W879),"")</f>
        <v/>
      </c>
      <c r="X879" s="3">
        <f>IF(ISNUMBER(AVERAGE('20250815_ETF_Options_Exhibits'!X875:X879)),AVERAGE('20250815_ETF_Options_Exhibits'!X875:X879),"")</f>
        <v/>
      </c>
      <c r="Y879" s="3">
        <f>IF(ISNUMBER(AVERAGE('20250815_ETF_Options_Exhibits'!Y875:Y879)),AVERAGE('20250815_ETF_Options_Exhibits'!Y875:Y879),"")</f>
        <v/>
      </c>
      <c r="Z879" s="3">
        <f>IF(ISNUMBER(AVERAGE('20250815_ETF_Options_Exhibits'!Z875:Z879)),AVERAGE('20250815_ETF_Options_Exhibits'!Z875:Z879),"")</f>
        <v/>
      </c>
      <c r="AA879" s="3">
        <f>IF(ISNUMBER(AVERAGE('20250815_ETF_Options_Exhibits'!AA875:AA879)),AVERAGE('20250815_ETF_Options_Exhibits'!AA875:AA879),"")</f>
        <v/>
      </c>
    </row>
    <row r="880">
      <c r="A880" s="1" t="n">
        <v>43279</v>
      </c>
      <c r="B880" s="3">
        <f>IF(ISNUMBER(AVERAGE('20250815_ETF_Options_Exhibits'!B876:B880)),AVERAGE('20250815_ETF_Options_Exhibits'!B876:B880),"")</f>
        <v/>
      </c>
      <c r="C880" s="3">
        <f>IF(ISNUMBER(AVERAGE('20250815_ETF_Options_Exhibits'!C876:C880)),AVERAGE('20250815_ETF_Options_Exhibits'!C876:C880),"")</f>
        <v/>
      </c>
      <c r="D880" s="3">
        <f>IF(ISNUMBER(AVERAGE('20250815_ETF_Options_Exhibits'!D876:D880)),AVERAGE('20250815_ETF_Options_Exhibits'!D876:D880),"")</f>
        <v/>
      </c>
      <c r="E880" s="3">
        <f>IF(ISNUMBER(AVERAGE('20250815_ETF_Options_Exhibits'!E876:E880)),AVERAGE('20250815_ETF_Options_Exhibits'!E876:E880),"")</f>
        <v/>
      </c>
      <c r="F880" s="3">
        <f>IF(ISNUMBER(AVERAGE('20250815_ETF_Options_Exhibits'!F876:F880)),AVERAGE('20250815_ETF_Options_Exhibits'!F876:F880),"")</f>
        <v/>
      </c>
      <c r="G880" s="3">
        <f>IF(ISNUMBER(AVERAGE('20250815_ETF_Options_Exhibits'!G876:G880)),AVERAGE('20250815_ETF_Options_Exhibits'!G876:G880),"")</f>
        <v/>
      </c>
      <c r="H880" s="3">
        <f>IF(ISNUMBER(AVERAGE('20250815_ETF_Options_Exhibits'!H876:H880)),AVERAGE('20250815_ETF_Options_Exhibits'!H876:H880),"")</f>
        <v/>
      </c>
      <c r="I880" s="3">
        <f>IF(ISNUMBER(AVERAGE('20250815_ETF_Options_Exhibits'!I876:I880)),AVERAGE('20250815_ETF_Options_Exhibits'!I876:I880),"")</f>
        <v/>
      </c>
      <c r="J880" s="3">
        <f>IF(ISNUMBER(AVERAGE('20250815_ETF_Options_Exhibits'!J876:J880)),AVERAGE('20250815_ETF_Options_Exhibits'!J876:J880),"")</f>
        <v/>
      </c>
      <c r="K880" s="3">
        <f>IF(ISNUMBER(AVERAGE('20250815_ETF_Options_Exhibits'!K876:K880)),AVERAGE('20250815_ETF_Options_Exhibits'!K876:K880),"")</f>
        <v/>
      </c>
      <c r="L880" s="3">
        <f>IF(ISNUMBER(AVERAGE('20250815_ETF_Options_Exhibits'!L876:L880)),AVERAGE('20250815_ETF_Options_Exhibits'!L876:L880),"")</f>
        <v/>
      </c>
      <c r="M880" s="3">
        <f>IF(ISNUMBER(AVERAGE('20250815_ETF_Options_Exhibits'!M876:M880)),AVERAGE('20250815_ETF_Options_Exhibits'!M876:M880),"")</f>
        <v/>
      </c>
      <c r="N880" s="3">
        <f>IF(ISNUMBER(AVERAGE('20250815_ETF_Options_Exhibits'!N876:N880)),AVERAGE('20250815_ETF_Options_Exhibits'!N876:N880),"")</f>
        <v/>
      </c>
      <c r="O880" s="3">
        <f>IF(ISNUMBER(AVERAGE('20250815_ETF_Options_Exhibits'!O876:O880)),AVERAGE('20250815_ETF_Options_Exhibits'!O876:O880),"")</f>
        <v/>
      </c>
      <c r="P880" s="3">
        <f>IF(ISNUMBER(AVERAGE('20250815_ETF_Options_Exhibits'!P876:P880)),AVERAGE('20250815_ETF_Options_Exhibits'!P876:P880),"")</f>
        <v/>
      </c>
      <c r="Q880" s="3">
        <f>IF(ISNUMBER(AVERAGE('20250815_ETF_Options_Exhibits'!Q876:Q880)),AVERAGE('20250815_ETF_Options_Exhibits'!Q876:Q880),"")</f>
        <v/>
      </c>
      <c r="R880" s="3">
        <f>IF(ISNUMBER(AVERAGE('20250815_ETF_Options_Exhibits'!R876:R880)),AVERAGE('20250815_ETF_Options_Exhibits'!R876:R880),"")</f>
        <v/>
      </c>
      <c r="S880" s="3">
        <f>IF(ISNUMBER(AVERAGE('20250815_ETF_Options_Exhibits'!S876:S880)),AVERAGE('20250815_ETF_Options_Exhibits'!S876:S880),"")</f>
        <v/>
      </c>
      <c r="T880" s="3">
        <f>IF(ISNUMBER(AVERAGE('20250815_ETF_Options_Exhibits'!T876:T880)),AVERAGE('20250815_ETF_Options_Exhibits'!T876:T880),"")</f>
        <v/>
      </c>
      <c r="U880" s="3">
        <f>IF(ISNUMBER(AVERAGE('20250815_ETF_Options_Exhibits'!U876:U880)),AVERAGE('20250815_ETF_Options_Exhibits'!U876:U880),"")</f>
        <v/>
      </c>
      <c r="V880" s="3">
        <f>IF(ISNUMBER(AVERAGE('20250815_ETF_Options_Exhibits'!V876:V880)),AVERAGE('20250815_ETF_Options_Exhibits'!V876:V880),"")</f>
        <v/>
      </c>
      <c r="W880" s="3">
        <f>IF(ISNUMBER(AVERAGE('20250815_ETF_Options_Exhibits'!W876:W880)),AVERAGE('20250815_ETF_Options_Exhibits'!W876:W880),"")</f>
        <v/>
      </c>
      <c r="X880" s="3">
        <f>IF(ISNUMBER(AVERAGE('20250815_ETF_Options_Exhibits'!X876:X880)),AVERAGE('20250815_ETF_Options_Exhibits'!X876:X880),"")</f>
        <v/>
      </c>
      <c r="Y880" s="3">
        <f>IF(ISNUMBER(AVERAGE('20250815_ETF_Options_Exhibits'!Y876:Y880)),AVERAGE('20250815_ETF_Options_Exhibits'!Y876:Y880),"")</f>
        <v/>
      </c>
      <c r="Z880" s="3">
        <f>IF(ISNUMBER(AVERAGE('20250815_ETF_Options_Exhibits'!Z876:Z880)),AVERAGE('20250815_ETF_Options_Exhibits'!Z876:Z880),"")</f>
        <v/>
      </c>
      <c r="AA880" s="3">
        <f>IF(ISNUMBER(AVERAGE('20250815_ETF_Options_Exhibits'!AA876:AA880)),AVERAGE('20250815_ETF_Options_Exhibits'!AA876:AA880),"")</f>
        <v/>
      </c>
    </row>
    <row r="881">
      <c r="A881" s="1" t="n">
        <v>43280</v>
      </c>
      <c r="B881" s="3">
        <f>IF(ISNUMBER(AVERAGE('20250815_ETF_Options_Exhibits'!B877:B881)),AVERAGE('20250815_ETF_Options_Exhibits'!B877:B881),"")</f>
        <v/>
      </c>
      <c r="C881" s="3">
        <f>IF(ISNUMBER(AVERAGE('20250815_ETF_Options_Exhibits'!C877:C881)),AVERAGE('20250815_ETF_Options_Exhibits'!C877:C881),"")</f>
        <v/>
      </c>
      <c r="D881" s="3">
        <f>IF(ISNUMBER(AVERAGE('20250815_ETF_Options_Exhibits'!D877:D881)),AVERAGE('20250815_ETF_Options_Exhibits'!D877:D881),"")</f>
        <v/>
      </c>
      <c r="E881" s="3">
        <f>IF(ISNUMBER(AVERAGE('20250815_ETF_Options_Exhibits'!E877:E881)),AVERAGE('20250815_ETF_Options_Exhibits'!E877:E881),"")</f>
        <v/>
      </c>
      <c r="F881" s="3">
        <f>IF(ISNUMBER(AVERAGE('20250815_ETF_Options_Exhibits'!F877:F881)),AVERAGE('20250815_ETF_Options_Exhibits'!F877:F881),"")</f>
        <v/>
      </c>
      <c r="G881" s="3">
        <f>IF(ISNUMBER(AVERAGE('20250815_ETF_Options_Exhibits'!G877:G881)),AVERAGE('20250815_ETF_Options_Exhibits'!G877:G881),"")</f>
        <v/>
      </c>
      <c r="H881" s="3">
        <f>IF(ISNUMBER(AVERAGE('20250815_ETF_Options_Exhibits'!H877:H881)),AVERAGE('20250815_ETF_Options_Exhibits'!H877:H881),"")</f>
        <v/>
      </c>
      <c r="I881" s="3">
        <f>IF(ISNUMBER(AVERAGE('20250815_ETF_Options_Exhibits'!I877:I881)),AVERAGE('20250815_ETF_Options_Exhibits'!I877:I881),"")</f>
        <v/>
      </c>
      <c r="J881" s="3">
        <f>IF(ISNUMBER(AVERAGE('20250815_ETF_Options_Exhibits'!J877:J881)),AVERAGE('20250815_ETF_Options_Exhibits'!J877:J881),"")</f>
        <v/>
      </c>
      <c r="K881" s="3">
        <f>IF(ISNUMBER(AVERAGE('20250815_ETF_Options_Exhibits'!K877:K881)),AVERAGE('20250815_ETF_Options_Exhibits'!K877:K881),"")</f>
        <v/>
      </c>
      <c r="L881" s="3">
        <f>IF(ISNUMBER(AVERAGE('20250815_ETF_Options_Exhibits'!L877:L881)),AVERAGE('20250815_ETF_Options_Exhibits'!L877:L881),"")</f>
        <v/>
      </c>
      <c r="M881" s="3">
        <f>IF(ISNUMBER(AVERAGE('20250815_ETF_Options_Exhibits'!M877:M881)),AVERAGE('20250815_ETF_Options_Exhibits'!M877:M881),"")</f>
        <v/>
      </c>
      <c r="N881" s="3">
        <f>IF(ISNUMBER(AVERAGE('20250815_ETF_Options_Exhibits'!N877:N881)),AVERAGE('20250815_ETF_Options_Exhibits'!N877:N881),"")</f>
        <v/>
      </c>
      <c r="O881" s="3">
        <f>IF(ISNUMBER(AVERAGE('20250815_ETF_Options_Exhibits'!O877:O881)),AVERAGE('20250815_ETF_Options_Exhibits'!O877:O881),"")</f>
        <v/>
      </c>
      <c r="P881" s="3">
        <f>IF(ISNUMBER(AVERAGE('20250815_ETF_Options_Exhibits'!P877:P881)),AVERAGE('20250815_ETF_Options_Exhibits'!P877:P881),"")</f>
        <v/>
      </c>
      <c r="Q881" s="3">
        <f>IF(ISNUMBER(AVERAGE('20250815_ETF_Options_Exhibits'!Q877:Q881)),AVERAGE('20250815_ETF_Options_Exhibits'!Q877:Q881),"")</f>
        <v/>
      </c>
      <c r="R881" s="3">
        <f>IF(ISNUMBER(AVERAGE('20250815_ETF_Options_Exhibits'!R877:R881)),AVERAGE('20250815_ETF_Options_Exhibits'!R877:R881),"")</f>
        <v/>
      </c>
      <c r="S881" s="3">
        <f>IF(ISNUMBER(AVERAGE('20250815_ETF_Options_Exhibits'!S877:S881)),AVERAGE('20250815_ETF_Options_Exhibits'!S877:S881),"")</f>
        <v/>
      </c>
      <c r="T881" s="3">
        <f>IF(ISNUMBER(AVERAGE('20250815_ETF_Options_Exhibits'!T877:T881)),AVERAGE('20250815_ETF_Options_Exhibits'!T877:T881),"")</f>
        <v/>
      </c>
      <c r="U881" s="3">
        <f>IF(ISNUMBER(AVERAGE('20250815_ETF_Options_Exhibits'!U877:U881)),AVERAGE('20250815_ETF_Options_Exhibits'!U877:U881),"")</f>
        <v/>
      </c>
      <c r="V881" s="3">
        <f>IF(ISNUMBER(AVERAGE('20250815_ETF_Options_Exhibits'!V877:V881)),AVERAGE('20250815_ETF_Options_Exhibits'!V877:V881),"")</f>
        <v/>
      </c>
      <c r="W881" s="3">
        <f>IF(ISNUMBER(AVERAGE('20250815_ETF_Options_Exhibits'!W877:W881)),AVERAGE('20250815_ETF_Options_Exhibits'!W877:W881),"")</f>
        <v/>
      </c>
      <c r="X881" s="3">
        <f>IF(ISNUMBER(AVERAGE('20250815_ETF_Options_Exhibits'!X877:X881)),AVERAGE('20250815_ETF_Options_Exhibits'!X877:X881),"")</f>
        <v/>
      </c>
      <c r="Y881" s="3">
        <f>IF(ISNUMBER(AVERAGE('20250815_ETF_Options_Exhibits'!Y877:Y881)),AVERAGE('20250815_ETF_Options_Exhibits'!Y877:Y881),"")</f>
        <v/>
      </c>
      <c r="Z881" s="3">
        <f>IF(ISNUMBER(AVERAGE('20250815_ETF_Options_Exhibits'!Z877:Z881)),AVERAGE('20250815_ETF_Options_Exhibits'!Z877:Z881),"")</f>
        <v/>
      </c>
      <c r="AA881" s="3">
        <f>IF(ISNUMBER(AVERAGE('20250815_ETF_Options_Exhibits'!AA877:AA881)),AVERAGE('20250815_ETF_Options_Exhibits'!AA877:AA881),"")</f>
        <v/>
      </c>
    </row>
    <row r="882">
      <c r="A882" s="1" t="n">
        <v>43283</v>
      </c>
      <c r="B882" s="3">
        <f>IF(ISNUMBER(AVERAGE('20250815_ETF_Options_Exhibits'!B878:B882)),AVERAGE('20250815_ETF_Options_Exhibits'!B878:B882),"")</f>
        <v/>
      </c>
      <c r="C882" s="3">
        <f>IF(ISNUMBER(AVERAGE('20250815_ETF_Options_Exhibits'!C878:C882)),AVERAGE('20250815_ETF_Options_Exhibits'!C878:C882),"")</f>
        <v/>
      </c>
      <c r="D882" s="3">
        <f>IF(ISNUMBER(AVERAGE('20250815_ETF_Options_Exhibits'!D878:D882)),AVERAGE('20250815_ETF_Options_Exhibits'!D878:D882),"")</f>
        <v/>
      </c>
      <c r="E882" s="3">
        <f>IF(ISNUMBER(AVERAGE('20250815_ETF_Options_Exhibits'!E878:E882)),AVERAGE('20250815_ETF_Options_Exhibits'!E878:E882),"")</f>
        <v/>
      </c>
      <c r="F882" s="3">
        <f>IF(ISNUMBER(AVERAGE('20250815_ETF_Options_Exhibits'!F878:F882)),AVERAGE('20250815_ETF_Options_Exhibits'!F878:F882),"")</f>
        <v/>
      </c>
      <c r="G882" s="3">
        <f>IF(ISNUMBER(AVERAGE('20250815_ETF_Options_Exhibits'!G878:G882)),AVERAGE('20250815_ETF_Options_Exhibits'!G878:G882),"")</f>
        <v/>
      </c>
      <c r="H882" s="3">
        <f>IF(ISNUMBER(AVERAGE('20250815_ETF_Options_Exhibits'!H878:H882)),AVERAGE('20250815_ETF_Options_Exhibits'!H878:H882),"")</f>
        <v/>
      </c>
      <c r="I882" s="3">
        <f>IF(ISNUMBER(AVERAGE('20250815_ETF_Options_Exhibits'!I878:I882)),AVERAGE('20250815_ETF_Options_Exhibits'!I878:I882),"")</f>
        <v/>
      </c>
      <c r="J882" s="3">
        <f>IF(ISNUMBER(AVERAGE('20250815_ETF_Options_Exhibits'!J878:J882)),AVERAGE('20250815_ETF_Options_Exhibits'!J878:J882),"")</f>
        <v/>
      </c>
      <c r="K882" s="3">
        <f>IF(ISNUMBER(AVERAGE('20250815_ETF_Options_Exhibits'!K878:K882)),AVERAGE('20250815_ETF_Options_Exhibits'!K878:K882),"")</f>
        <v/>
      </c>
      <c r="L882" s="3">
        <f>IF(ISNUMBER(AVERAGE('20250815_ETF_Options_Exhibits'!L878:L882)),AVERAGE('20250815_ETF_Options_Exhibits'!L878:L882),"")</f>
        <v/>
      </c>
      <c r="M882" s="3">
        <f>IF(ISNUMBER(AVERAGE('20250815_ETF_Options_Exhibits'!M878:M882)),AVERAGE('20250815_ETF_Options_Exhibits'!M878:M882),"")</f>
        <v/>
      </c>
      <c r="N882" s="3">
        <f>IF(ISNUMBER(AVERAGE('20250815_ETF_Options_Exhibits'!N878:N882)),AVERAGE('20250815_ETF_Options_Exhibits'!N878:N882),"")</f>
        <v/>
      </c>
      <c r="O882" s="3">
        <f>IF(ISNUMBER(AVERAGE('20250815_ETF_Options_Exhibits'!O878:O882)),AVERAGE('20250815_ETF_Options_Exhibits'!O878:O882),"")</f>
        <v/>
      </c>
      <c r="P882" s="3">
        <f>IF(ISNUMBER(AVERAGE('20250815_ETF_Options_Exhibits'!P878:P882)),AVERAGE('20250815_ETF_Options_Exhibits'!P878:P882),"")</f>
        <v/>
      </c>
      <c r="Q882" s="3">
        <f>IF(ISNUMBER(AVERAGE('20250815_ETF_Options_Exhibits'!Q878:Q882)),AVERAGE('20250815_ETF_Options_Exhibits'!Q878:Q882),"")</f>
        <v/>
      </c>
      <c r="R882" s="3">
        <f>IF(ISNUMBER(AVERAGE('20250815_ETF_Options_Exhibits'!R878:R882)),AVERAGE('20250815_ETF_Options_Exhibits'!R878:R882),"")</f>
        <v/>
      </c>
      <c r="S882" s="3">
        <f>IF(ISNUMBER(AVERAGE('20250815_ETF_Options_Exhibits'!S878:S882)),AVERAGE('20250815_ETF_Options_Exhibits'!S878:S882),"")</f>
        <v/>
      </c>
      <c r="T882" s="3">
        <f>IF(ISNUMBER(AVERAGE('20250815_ETF_Options_Exhibits'!T878:T882)),AVERAGE('20250815_ETF_Options_Exhibits'!T878:T882),"")</f>
        <v/>
      </c>
      <c r="U882" s="3">
        <f>IF(ISNUMBER(AVERAGE('20250815_ETF_Options_Exhibits'!U878:U882)),AVERAGE('20250815_ETF_Options_Exhibits'!U878:U882),"")</f>
        <v/>
      </c>
      <c r="V882" s="3">
        <f>IF(ISNUMBER(AVERAGE('20250815_ETF_Options_Exhibits'!V878:V882)),AVERAGE('20250815_ETF_Options_Exhibits'!V878:V882),"")</f>
        <v/>
      </c>
      <c r="W882" s="3">
        <f>IF(ISNUMBER(AVERAGE('20250815_ETF_Options_Exhibits'!W878:W882)),AVERAGE('20250815_ETF_Options_Exhibits'!W878:W882),"")</f>
        <v/>
      </c>
      <c r="X882" s="3">
        <f>IF(ISNUMBER(AVERAGE('20250815_ETF_Options_Exhibits'!X878:X882)),AVERAGE('20250815_ETF_Options_Exhibits'!X878:X882),"")</f>
        <v/>
      </c>
      <c r="Y882" s="3">
        <f>IF(ISNUMBER(AVERAGE('20250815_ETF_Options_Exhibits'!Y878:Y882)),AVERAGE('20250815_ETF_Options_Exhibits'!Y878:Y882),"")</f>
        <v/>
      </c>
      <c r="Z882" s="3">
        <f>IF(ISNUMBER(AVERAGE('20250815_ETF_Options_Exhibits'!Z878:Z882)),AVERAGE('20250815_ETF_Options_Exhibits'!Z878:Z882),"")</f>
        <v/>
      </c>
      <c r="AA882" s="3">
        <f>IF(ISNUMBER(AVERAGE('20250815_ETF_Options_Exhibits'!AA878:AA882)),AVERAGE('20250815_ETF_Options_Exhibits'!AA878:AA882),"")</f>
        <v/>
      </c>
    </row>
    <row r="883">
      <c r="A883" s="1" t="n">
        <v>43284</v>
      </c>
      <c r="B883" s="3">
        <f>IF(ISNUMBER(AVERAGE('20250815_ETF_Options_Exhibits'!B879:B883)),AVERAGE('20250815_ETF_Options_Exhibits'!B879:B883),"")</f>
        <v/>
      </c>
      <c r="C883" s="3">
        <f>IF(ISNUMBER(AVERAGE('20250815_ETF_Options_Exhibits'!C879:C883)),AVERAGE('20250815_ETF_Options_Exhibits'!C879:C883),"")</f>
        <v/>
      </c>
      <c r="D883" s="3">
        <f>IF(ISNUMBER(AVERAGE('20250815_ETF_Options_Exhibits'!D879:D883)),AVERAGE('20250815_ETF_Options_Exhibits'!D879:D883),"")</f>
        <v/>
      </c>
      <c r="E883" s="3">
        <f>IF(ISNUMBER(AVERAGE('20250815_ETF_Options_Exhibits'!E879:E883)),AVERAGE('20250815_ETF_Options_Exhibits'!E879:E883),"")</f>
        <v/>
      </c>
      <c r="F883" s="3">
        <f>IF(ISNUMBER(AVERAGE('20250815_ETF_Options_Exhibits'!F879:F883)),AVERAGE('20250815_ETF_Options_Exhibits'!F879:F883),"")</f>
        <v/>
      </c>
      <c r="G883" s="3">
        <f>IF(ISNUMBER(AVERAGE('20250815_ETF_Options_Exhibits'!G879:G883)),AVERAGE('20250815_ETF_Options_Exhibits'!G879:G883),"")</f>
        <v/>
      </c>
      <c r="H883" s="3">
        <f>IF(ISNUMBER(AVERAGE('20250815_ETF_Options_Exhibits'!H879:H883)),AVERAGE('20250815_ETF_Options_Exhibits'!H879:H883),"")</f>
        <v/>
      </c>
      <c r="I883" s="3">
        <f>IF(ISNUMBER(AVERAGE('20250815_ETF_Options_Exhibits'!I879:I883)),AVERAGE('20250815_ETF_Options_Exhibits'!I879:I883),"")</f>
        <v/>
      </c>
      <c r="J883" s="3">
        <f>IF(ISNUMBER(AVERAGE('20250815_ETF_Options_Exhibits'!J879:J883)),AVERAGE('20250815_ETF_Options_Exhibits'!J879:J883),"")</f>
        <v/>
      </c>
      <c r="K883" s="3">
        <f>IF(ISNUMBER(AVERAGE('20250815_ETF_Options_Exhibits'!K879:K883)),AVERAGE('20250815_ETF_Options_Exhibits'!K879:K883),"")</f>
        <v/>
      </c>
      <c r="L883" s="3">
        <f>IF(ISNUMBER(AVERAGE('20250815_ETF_Options_Exhibits'!L879:L883)),AVERAGE('20250815_ETF_Options_Exhibits'!L879:L883),"")</f>
        <v/>
      </c>
      <c r="M883" s="3">
        <f>IF(ISNUMBER(AVERAGE('20250815_ETF_Options_Exhibits'!M879:M883)),AVERAGE('20250815_ETF_Options_Exhibits'!M879:M883),"")</f>
        <v/>
      </c>
      <c r="N883" s="3">
        <f>IF(ISNUMBER(AVERAGE('20250815_ETF_Options_Exhibits'!N879:N883)),AVERAGE('20250815_ETF_Options_Exhibits'!N879:N883),"")</f>
        <v/>
      </c>
      <c r="O883" s="3">
        <f>IF(ISNUMBER(AVERAGE('20250815_ETF_Options_Exhibits'!O879:O883)),AVERAGE('20250815_ETF_Options_Exhibits'!O879:O883),"")</f>
        <v/>
      </c>
      <c r="P883" s="3">
        <f>IF(ISNUMBER(AVERAGE('20250815_ETF_Options_Exhibits'!P879:P883)),AVERAGE('20250815_ETF_Options_Exhibits'!P879:P883),"")</f>
        <v/>
      </c>
      <c r="Q883" s="3">
        <f>IF(ISNUMBER(AVERAGE('20250815_ETF_Options_Exhibits'!Q879:Q883)),AVERAGE('20250815_ETF_Options_Exhibits'!Q879:Q883),"")</f>
        <v/>
      </c>
      <c r="R883" s="3">
        <f>IF(ISNUMBER(AVERAGE('20250815_ETF_Options_Exhibits'!R879:R883)),AVERAGE('20250815_ETF_Options_Exhibits'!R879:R883),"")</f>
        <v/>
      </c>
      <c r="S883" s="3">
        <f>IF(ISNUMBER(AVERAGE('20250815_ETF_Options_Exhibits'!S879:S883)),AVERAGE('20250815_ETF_Options_Exhibits'!S879:S883),"")</f>
        <v/>
      </c>
      <c r="T883" s="3">
        <f>IF(ISNUMBER(AVERAGE('20250815_ETF_Options_Exhibits'!T879:T883)),AVERAGE('20250815_ETF_Options_Exhibits'!T879:T883),"")</f>
        <v/>
      </c>
      <c r="U883" s="3">
        <f>IF(ISNUMBER(AVERAGE('20250815_ETF_Options_Exhibits'!U879:U883)),AVERAGE('20250815_ETF_Options_Exhibits'!U879:U883),"")</f>
        <v/>
      </c>
      <c r="V883" s="3">
        <f>IF(ISNUMBER(AVERAGE('20250815_ETF_Options_Exhibits'!V879:V883)),AVERAGE('20250815_ETF_Options_Exhibits'!V879:V883),"")</f>
        <v/>
      </c>
      <c r="W883" s="3">
        <f>IF(ISNUMBER(AVERAGE('20250815_ETF_Options_Exhibits'!W879:W883)),AVERAGE('20250815_ETF_Options_Exhibits'!W879:W883),"")</f>
        <v/>
      </c>
      <c r="X883" s="3">
        <f>IF(ISNUMBER(AVERAGE('20250815_ETF_Options_Exhibits'!X879:X883)),AVERAGE('20250815_ETF_Options_Exhibits'!X879:X883),"")</f>
        <v/>
      </c>
      <c r="Y883" s="3">
        <f>IF(ISNUMBER(AVERAGE('20250815_ETF_Options_Exhibits'!Y879:Y883)),AVERAGE('20250815_ETF_Options_Exhibits'!Y879:Y883),"")</f>
        <v/>
      </c>
      <c r="Z883" s="3">
        <f>IF(ISNUMBER(AVERAGE('20250815_ETF_Options_Exhibits'!Z879:Z883)),AVERAGE('20250815_ETF_Options_Exhibits'!Z879:Z883),"")</f>
        <v/>
      </c>
      <c r="AA883" s="3">
        <f>IF(ISNUMBER(AVERAGE('20250815_ETF_Options_Exhibits'!AA879:AA883)),AVERAGE('20250815_ETF_Options_Exhibits'!AA879:AA883),"")</f>
        <v/>
      </c>
    </row>
    <row r="884">
      <c r="A884" s="1" t="n">
        <v>43286</v>
      </c>
      <c r="B884" s="3">
        <f>IF(ISNUMBER(AVERAGE('20250815_ETF_Options_Exhibits'!B880:B884)),AVERAGE('20250815_ETF_Options_Exhibits'!B880:B884),"")</f>
        <v/>
      </c>
      <c r="C884" s="3">
        <f>IF(ISNUMBER(AVERAGE('20250815_ETF_Options_Exhibits'!C880:C884)),AVERAGE('20250815_ETF_Options_Exhibits'!C880:C884),"")</f>
        <v/>
      </c>
      <c r="D884" s="3">
        <f>IF(ISNUMBER(AVERAGE('20250815_ETF_Options_Exhibits'!D880:D884)),AVERAGE('20250815_ETF_Options_Exhibits'!D880:D884),"")</f>
        <v/>
      </c>
      <c r="E884" s="3">
        <f>IF(ISNUMBER(AVERAGE('20250815_ETF_Options_Exhibits'!E880:E884)),AVERAGE('20250815_ETF_Options_Exhibits'!E880:E884),"")</f>
        <v/>
      </c>
      <c r="F884" s="3">
        <f>IF(ISNUMBER(AVERAGE('20250815_ETF_Options_Exhibits'!F880:F884)),AVERAGE('20250815_ETF_Options_Exhibits'!F880:F884),"")</f>
        <v/>
      </c>
      <c r="G884" s="3">
        <f>IF(ISNUMBER(AVERAGE('20250815_ETF_Options_Exhibits'!G880:G884)),AVERAGE('20250815_ETF_Options_Exhibits'!G880:G884),"")</f>
        <v/>
      </c>
      <c r="H884" s="3">
        <f>IF(ISNUMBER(AVERAGE('20250815_ETF_Options_Exhibits'!H880:H884)),AVERAGE('20250815_ETF_Options_Exhibits'!H880:H884),"")</f>
        <v/>
      </c>
      <c r="I884" s="3">
        <f>IF(ISNUMBER(AVERAGE('20250815_ETF_Options_Exhibits'!I880:I884)),AVERAGE('20250815_ETF_Options_Exhibits'!I880:I884),"")</f>
        <v/>
      </c>
      <c r="J884" s="3">
        <f>IF(ISNUMBER(AVERAGE('20250815_ETF_Options_Exhibits'!J880:J884)),AVERAGE('20250815_ETF_Options_Exhibits'!J880:J884),"")</f>
        <v/>
      </c>
      <c r="K884" s="3">
        <f>IF(ISNUMBER(AVERAGE('20250815_ETF_Options_Exhibits'!K880:K884)),AVERAGE('20250815_ETF_Options_Exhibits'!K880:K884),"")</f>
        <v/>
      </c>
      <c r="L884" s="3">
        <f>IF(ISNUMBER(AVERAGE('20250815_ETF_Options_Exhibits'!L880:L884)),AVERAGE('20250815_ETF_Options_Exhibits'!L880:L884),"")</f>
        <v/>
      </c>
      <c r="M884" s="3">
        <f>IF(ISNUMBER(AVERAGE('20250815_ETF_Options_Exhibits'!M880:M884)),AVERAGE('20250815_ETF_Options_Exhibits'!M880:M884),"")</f>
        <v/>
      </c>
      <c r="N884" s="3">
        <f>IF(ISNUMBER(AVERAGE('20250815_ETF_Options_Exhibits'!N880:N884)),AVERAGE('20250815_ETF_Options_Exhibits'!N880:N884),"")</f>
        <v/>
      </c>
      <c r="O884" s="3">
        <f>IF(ISNUMBER(AVERAGE('20250815_ETF_Options_Exhibits'!O880:O884)),AVERAGE('20250815_ETF_Options_Exhibits'!O880:O884),"")</f>
        <v/>
      </c>
      <c r="P884" s="3">
        <f>IF(ISNUMBER(AVERAGE('20250815_ETF_Options_Exhibits'!P880:P884)),AVERAGE('20250815_ETF_Options_Exhibits'!P880:P884),"")</f>
        <v/>
      </c>
      <c r="Q884" s="3">
        <f>IF(ISNUMBER(AVERAGE('20250815_ETF_Options_Exhibits'!Q880:Q884)),AVERAGE('20250815_ETF_Options_Exhibits'!Q880:Q884),"")</f>
        <v/>
      </c>
      <c r="R884" s="3">
        <f>IF(ISNUMBER(AVERAGE('20250815_ETF_Options_Exhibits'!R880:R884)),AVERAGE('20250815_ETF_Options_Exhibits'!R880:R884),"")</f>
        <v/>
      </c>
      <c r="S884" s="3">
        <f>IF(ISNUMBER(AVERAGE('20250815_ETF_Options_Exhibits'!S880:S884)),AVERAGE('20250815_ETF_Options_Exhibits'!S880:S884),"")</f>
        <v/>
      </c>
      <c r="T884" s="3">
        <f>IF(ISNUMBER(AVERAGE('20250815_ETF_Options_Exhibits'!T880:T884)),AVERAGE('20250815_ETF_Options_Exhibits'!T880:T884),"")</f>
        <v/>
      </c>
      <c r="U884" s="3">
        <f>IF(ISNUMBER(AVERAGE('20250815_ETF_Options_Exhibits'!U880:U884)),AVERAGE('20250815_ETF_Options_Exhibits'!U880:U884),"")</f>
        <v/>
      </c>
      <c r="V884" s="3">
        <f>IF(ISNUMBER(AVERAGE('20250815_ETF_Options_Exhibits'!V880:V884)),AVERAGE('20250815_ETF_Options_Exhibits'!V880:V884),"")</f>
        <v/>
      </c>
      <c r="W884" s="3">
        <f>IF(ISNUMBER(AVERAGE('20250815_ETF_Options_Exhibits'!W880:W884)),AVERAGE('20250815_ETF_Options_Exhibits'!W880:W884),"")</f>
        <v/>
      </c>
      <c r="X884" s="3">
        <f>IF(ISNUMBER(AVERAGE('20250815_ETF_Options_Exhibits'!X880:X884)),AVERAGE('20250815_ETF_Options_Exhibits'!X880:X884),"")</f>
        <v/>
      </c>
      <c r="Y884" s="3">
        <f>IF(ISNUMBER(AVERAGE('20250815_ETF_Options_Exhibits'!Y880:Y884)),AVERAGE('20250815_ETF_Options_Exhibits'!Y880:Y884),"")</f>
        <v/>
      </c>
      <c r="Z884" s="3">
        <f>IF(ISNUMBER(AVERAGE('20250815_ETF_Options_Exhibits'!Z880:Z884)),AVERAGE('20250815_ETF_Options_Exhibits'!Z880:Z884),"")</f>
        <v/>
      </c>
      <c r="AA884" s="3">
        <f>IF(ISNUMBER(AVERAGE('20250815_ETF_Options_Exhibits'!AA880:AA884)),AVERAGE('20250815_ETF_Options_Exhibits'!AA880:AA884),"")</f>
        <v/>
      </c>
    </row>
    <row r="885">
      <c r="A885" s="1" t="n">
        <v>43287</v>
      </c>
      <c r="B885" s="3">
        <f>IF(ISNUMBER(AVERAGE('20250815_ETF_Options_Exhibits'!B881:B885)),AVERAGE('20250815_ETF_Options_Exhibits'!B881:B885),"")</f>
        <v/>
      </c>
      <c r="C885" s="3">
        <f>IF(ISNUMBER(AVERAGE('20250815_ETF_Options_Exhibits'!C881:C885)),AVERAGE('20250815_ETF_Options_Exhibits'!C881:C885),"")</f>
        <v/>
      </c>
      <c r="D885" s="3">
        <f>IF(ISNUMBER(AVERAGE('20250815_ETF_Options_Exhibits'!D881:D885)),AVERAGE('20250815_ETF_Options_Exhibits'!D881:D885),"")</f>
        <v/>
      </c>
      <c r="E885" s="3">
        <f>IF(ISNUMBER(AVERAGE('20250815_ETF_Options_Exhibits'!E881:E885)),AVERAGE('20250815_ETF_Options_Exhibits'!E881:E885),"")</f>
        <v/>
      </c>
      <c r="F885" s="3">
        <f>IF(ISNUMBER(AVERAGE('20250815_ETF_Options_Exhibits'!F881:F885)),AVERAGE('20250815_ETF_Options_Exhibits'!F881:F885),"")</f>
        <v/>
      </c>
      <c r="G885" s="3">
        <f>IF(ISNUMBER(AVERAGE('20250815_ETF_Options_Exhibits'!G881:G885)),AVERAGE('20250815_ETF_Options_Exhibits'!G881:G885),"")</f>
        <v/>
      </c>
      <c r="H885" s="3">
        <f>IF(ISNUMBER(AVERAGE('20250815_ETF_Options_Exhibits'!H881:H885)),AVERAGE('20250815_ETF_Options_Exhibits'!H881:H885),"")</f>
        <v/>
      </c>
      <c r="I885" s="3">
        <f>IF(ISNUMBER(AVERAGE('20250815_ETF_Options_Exhibits'!I881:I885)),AVERAGE('20250815_ETF_Options_Exhibits'!I881:I885),"")</f>
        <v/>
      </c>
      <c r="J885" s="3">
        <f>IF(ISNUMBER(AVERAGE('20250815_ETF_Options_Exhibits'!J881:J885)),AVERAGE('20250815_ETF_Options_Exhibits'!J881:J885),"")</f>
        <v/>
      </c>
      <c r="K885" s="3">
        <f>IF(ISNUMBER(AVERAGE('20250815_ETF_Options_Exhibits'!K881:K885)),AVERAGE('20250815_ETF_Options_Exhibits'!K881:K885),"")</f>
        <v/>
      </c>
      <c r="L885" s="3">
        <f>IF(ISNUMBER(AVERAGE('20250815_ETF_Options_Exhibits'!L881:L885)),AVERAGE('20250815_ETF_Options_Exhibits'!L881:L885),"")</f>
        <v/>
      </c>
      <c r="M885" s="3">
        <f>IF(ISNUMBER(AVERAGE('20250815_ETF_Options_Exhibits'!M881:M885)),AVERAGE('20250815_ETF_Options_Exhibits'!M881:M885),"")</f>
        <v/>
      </c>
      <c r="N885" s="3">
        <f>IF(ISNUMBER(AVERAGE('20250815_ETF_Options_Exhibits'!N881:N885)),AVERAGE('20250815_ETF_Options_Exhibits'!N881:N885),"")</f>
        <v/>
      </c>
      <c r="O885" s="3">
        <f>IF(ISNUMBER(AVERAGE('20250815_ETF_Options_Exhibits'!O881:O885)),AVERAGE('20250815_ETF_Options_Exhibits'!O881:O885),"")</f>
        <v/>
      </c>
      <c r="P885" s="3">
        <f>IF(ISNUMBER(AVERAGE('20250815_ETF_Options_Exhibits'!P881:P885)),AVERAGE('20250815_ETF_Options_Exhibits'!P881:P885),"")</f>
        <v/>
      </c>
      <c r="Q885" s="3">
        <f>IF(ISNUMBER(AVERAGE('20250815_ETF_Options_Exhibits'!Q881:Q885)),AVERAGE('20250815_ETF_Options_Exhibits'!Q881:Q885),"")</f>
        <v/>
      </c>
      <c r="R885" s="3">
        <f>IF(ISNUMBER(AVERAGE('20250815_ETF_Options_Exhibits'!R881:R885)),AVERAGE('20250815_ETF_Options_Exhibits'!R881:R885),"")</f>
        <v/>
      </c>
      <c r="S885" s="3">
        <f>IF(ISNUMBER(AVERAGE('20250815_ETF_Options_Exhibits'!S881:S885)),AVERAGE('20250815_ETF_Options_Exhibits'!S881:S885),"")</f>
        <v/>
      </c>
      <c r="T885" s="3">
        <f>IF(ISNUMBER(AVERAGE('20250815_ETF_Options_Exhibits'!T881:T885)),AVERAGE('20250815_ETF_Options_Exhibits'!T881:T885),"")</f>
        <v/>
      </c>
      <c r="U885" s="3">
        <f>IF(ISNUMBER(AVERAGE('20250815_ETF_Options_Exhibits'!U881:U885)),AVERAGE('20250815_ETF_Options_Exhibits'!U881:U885),"")</f>
        <v/>
      </c>
      <c r="V885" s="3">
        <f>IF(ISNUMBER(AVERAGE('20250815_ETF_Options_Exhibits'!V881:V885)),AVERAGE('20250815_ETF_Options_Exhibits'!V881:V885),"")</f>
        <v/>
      </c>
      <c r="W885" s="3">
        <f>IF(ISNUMBER(AVERAGE('20250815_ETF_Options_Exhibits'!W881:W885)),AVERAGE('20250815_ETF_Options_Exhibits'!W881:W885),"")</f>
        <v/>
      </c>
      <c r="X885" s="3">
        <f>IF(ISNUMBER(AVERAGE('20250815_ETF_Options_Exhibits'!X881:X885)),AVERAGE('20250815_ETF_Options_Exhibits'!X881:X885),"")</f>
        <v/>
      </c>
      <c r="Y885" s="3">
        <f>IF(ISNUMBER(AVERAGE('20250815_ETF_Options_Exhibits'!Y881:Y885)),AVERAGE('20250815_ETF_Options_Exhibits'!Y881:Y885),"")</f>
        <v/>
      </c>
      <c r="Z885" s="3">
        <f>IF(ISNUMBER(AVERAGE('20250815_ETF_Options_Exhibits'!Z881:Z885)),AVERAGE('20250815_ETF_Options_Exhibits'!Z881:Z885),"")</f>
        <v/>
      </c>
      <c r="AA885" s="3">
        <f>IF(ISNUMBER(AVERAGE('20250815_ETF_Options_Exhibits'!AA881:AA885)),AVERAGE('20250815_ETF_Options_Exhibits'!AA881:AA885),"")</f>
        <v/>
      </c>
    </row>
    <row r="886">
      <c r="A886" s="1" t="n">
        <v>43290</v>
      </c>
      <c r="B886" s="3">
        <f>IF(ISNUMBER(AVERAGE('20250815_ETF_Options_Exhibits'!B882:B886)),AVERAGE('20250815_ETF_Options_Exhibits'!B882:B886),"")</f>
        <v/>
      </c>
      <c r="C886" s="3">
        <f>IF(ISNUMBER(AVERAGE('20250815_ETF_Options_Exhibits'!C882:C886)),AVERAGE('20250815_ETF_Options_Exhibits'!C882:C886),"")</f>
        <v/>
      </c>
      <c r="D886" s="3">
        <f>IF(ISNUMBER(AVERAGE('20250815_ETF_Options_Exhibits'!D882:D886)),AVERAGE('20250815_ETF_Options_Exhibits'!D882:D886),"")</f>
        <v/>
      </c>
      <c r="E886" s="3">
        <f>IF(ISNUMBER(AVERAGE('20250815_ETF_Options_Exhibits'!E882:E886)),AVERAGE('20250815_ETF_Options_Exhibits'!E882:E886),"")</f>
        <v/>
      </c>
      <c r="F886" s="3">
        <f>IF(ISNUMBER(AVERAGE('20250815_ETF_Options_Exhibits'!F882:F886)),AVERAGE('20250815_ETF_Options_Exhibits'!F882:F886),"")</f>
        <v/>
      </c>
      <c r="G886" s="3">
        <f>IF(ISNUMBER(AVERAGE('20250815_ETF_Options_Exhibits'!G882:G886)),AVERAGE('20250815_ETF_Options_Exhibits'!G882:G886),"")</f>
        <v/>
      </c>
      <c r="H886" s="3">
        <f>IF(ISNUMBER(AVERAGE('20250815_ETF_Options_Exhibits'!H882:H886)),AVERAGE('20250815_ETF_Options_Exhibits'!H882:H886),"")</f>
        <v/>
      </c>
      <c r="I886" s="3">
        <f>IF(ISNUMBER(AVERAGE('20250815_ETF_Options_Exhibits'!I882:I886)),AVERAGE('20250815_ETF_Options_Exhibits'!I882:I886),"")</f>
        <v/>
      </c>
      <c r="J886" s="3">
        <f>IF(ISNUMBER(AVERAGE('20250815_ETF_Options_Exhibits'!J882:J886)),AVERAGE('20250815_ETF_Options_Exhibits'!J882:J886),"")</f>
        <v/>
      </c>
      <c r="K886" s="3">
        <f>IF(ISNUMBER(AVERAGE('20250815_ETF_Options_Exhibits'!K882:K886)),AVERAGE('20250815_ETF_Options_Exhibits'!K882:K886),"")</f>
        <v/>
      </c>
      <c r="L886" s="3">
        <f>IF(ISNUMBER(AVERAGE('20250815_ETF_Options_Exhibits'!L882:L886)),AVERAGE('20250815_ETF_Options_Exhibits'!L882:L886),"")</f>
        <v/>
      </c>
      <c r="M886" s="3">
        <f>IF(ISNUMBER(AVERAGE('20250815_ETF_Options_Exhibits'!M882:M886)),AVERAGE('20250815_ETF_Options_Exhibits'!M882:M886),"")</f>
        <v/>
      </c>
      <c r="N886" s="3">
        <f>IF(ISNUMBER(AVERAGE('20250815_ETF_Options_Exhibits'!N882:N886)),AVERAGE('20250815_ETF_Options_Exhibits'!N882:N886),"")</f>
        <v/>
      </c>
      <c r="O886" s="3">
        <f>IF(ISNUMBER(AVERAGE('20250815_ETF_Options_Exhibits'!O882:O886)),AVERAGE('20250815_ETF_Options_Exhibits'!O882:O886),"")</f>
        <v/>
      </c>
      <c r="P886" s="3">
        <f>IF(ISNUMBER(AVERAGE('20250815_ETF_Options_Exhibits'!P882:P886)),AVERAGE('20250815_ETF_Options_Exhibits'!P882:P886),"")</f>
        <v/>
      </c>
      <c r="Q886" s="3">
        <f>IF(ISNUMBER(AVERAGE('20250815_ETF_Options_Exhibits'!Q882:Q886)),AVERAGE('20250815_ETF_Options_Exhibits'!Q882:Q886),"")</f>
        <v/>
      </c>
      <c r="R886" s="3">
        <f>IF(ISNUMBER(AVERAGE('20250815_ETF_Options_Exhibits'!R882:R886)),AVERAGE('20250815_ETF_Options_Exhibits'!R882:R886),"")</f>
        <v/>
      </c>
      <c r="S886" s="3">
        <f>IF(ISNUMBER(AVERAGE('20250815_ETF_Options_Exhibits'!S882:S886)),AVERAGE('20250815_ETF_Options_Exhibits'!S882:S886),"")</f>
        <v/>
      </c>
      <c r="T886" s="3">
        <f>IF(ISNUMBER(AVERAGE('20250815_ETF_Options_Exhibits'!T882:T886)),AVERAGE('20250815_ETF_Options_Exhibits'!T882:T886),"")</f>
        <v/>
      </c>
      <c r="U886" s="3">
        <f>IF(ISNUMBER(AVERAGE('20250815_ETF_Options_Exhibits'!U882:U886)),AVERAGE('20250815_ETF_Options_Exhibits'!U882:U886),"")</f>
        <v/>
      </c>
      <c r="V886" s="3">
        <f>IF(ISNUMBER(AVERAGE('20250815_ETF_Options_Exhibits'!V882:V886)),AVERAGE('20250815_ETF_Options_Exhibits'!V882:V886),"")</f>
        <v/>
      </c>
      <c r="W886" s="3">
        <f>IF(ISNUMBER(AVERAGE('20250815_ETF_Options_Exhibits'!W882:W886)),AVERAGE('20250815_ETF_Options_Exhibits'!W882:W886),"")</f>
        <v/>
      </c>
      <c r="X886" s="3">
        <f>IF(ISNUMBER(AVERAGE('20250815_ETF_Options_Exhibits'!X882:X886)),AVERAGE('20250815_ETF_Options_Exhibits'!X882:X886),"")</f>
        <v/>
      </c>
      <c r="Y886" s="3">
        <f>IF(ISNUMBER(AVERAGE('20250815_ETF_Options_Exhibits'!Y882:Y886)),AVERAGE('20250815_ETF_Options_Exhibits'!Y882:Y886),"")</f>
        <v/>
      </c>
      <c r="Z886" s="3">
        <f>IF(ISNUMBER(AVERAGE('20250815_ETF_Options_Exhibits'!Z882:Z886)),AVERAGE('20250815_ETF_Options_Exhibits'!Z882:Z886),"")</f>
        <v/>
      </c>
      <c r="AA886" s="3">
        <f>IF(ISNUMBER(AVERAGE('20250815_ETF_Options_Exhibits'!AA882:AA886)),AVERAGE('20250815_ETF_Options_Exhibits'!AA882:AA886),"")</f>
        <v/>
      </c>
    </row>
    <row r="887">
      <c r="A887" s="1" t="n">
        <v>43291</v>
      </c>
      <c r="B887" s="3">
        <f>IF(ISNUMBER(AVERAGE('20250815_ETF_Options_Exhibits'!B883:B887)),AVERAGE('20250815_ETF_Options_Exhibits'!B883:B887),"")</f>
        <v/>
      </c>
      <c r="C887" s="3">
        <f>IF(ISNUMBER(AVERAGE('20250815_ETF_Options_Exhibits'!C883:C887)),AVERAGE('20250815_ETF_Options_Exhibits'!C883:C887),"")</f>
        <v/>
      </c>
      <c r="D887" s="3">
        <f>IF(ISNUMBER(AVERAGE('20250815_ETF_Options_Exhibits'!D883:D887)),AVERAGE('20250815_ETF_Options_Exhibits'!D883:D887),"")</f>
        <v/>
      </c>
      <c r="E887" s="3">
        <f>IF(ISNUMBER(AVERAGE('20250815_ETF_Options_Exhibits'!E883:E887)),AVERAGE('20250815_ETF_Options_Exhibits'!E883:E887),"")</f>
        <v/>
      </c>
      <c r="F887" s="3">
        <f>IF(ISNUMBER(AVERAGE('20250815_ETF_Options_Exhibits'!F883:F887)),AVERAGE('20250815_ETF_Options_Exhibits'!F883:F887),"")</f>
        <v/>
      </c>
      <c r="G887" s="3">
        <f>IF(ISNUMBER(AVERAGE('20250815_ETF_Options_Exhibits'!G883:G887)),AVERAGE('20250815_ETF_Options_Exhibits'!G883:G887),"")</f>
        <v/>
      </c>
      <c r="H887" s="3">
        <f>IF(ISNUMBER(AVERAGE('20250815_ETF_Options_Exhibits'!H883:H887)),AVERAGE('20250815_ETF_Options_Exhibits'!H883:H887),"")</f>
        <v/>
      </c>
      <c r="I887" s="3">
        <f>IF(ISNUMBER(AVERAGE('20250815_ETF_Options_Exhibits'!I883:I887)),AVERAGE('20250815_ETF_Options_Exhibits'!I883:I887),"")</f>
        <v/>
      </c>
      <c r="J887" s="3">
        <f>IF(ISNUMBER(AVERAGE('20250815_ETF_Options_Exhibits'!J883:J887)),AVERAGE('20250815_ETF_Options_Exhibits'!J883:J887),"")</f>
        <v/>
      </c>
      <c r="K887" s="3">
        <f>IF(ISNUMBER(AVERAGE('20250815_ETF_Options_Exhibits'!K883:K887)),AVERAGE('20250815_ETF_Options_Exhibits'!K883:K887),"")</f>
        <v/>
      </c>
      <c r="L887" s="3">
        <f>IF(ISNUMBER(AVERAGE('20250815_ETF_Options_Exhibits'!L883:L887)),AVERAGE('20250815_ETF_Options_Exhibits'!L883:L887),"")</f>
        <v/>
      </c>
      <c r="M887" s="3">
        <f>IF(ISNUMBER(AVERAGE('20250815_ETF_Options_Exhibits'!M883:M887)),AVERAGE('20250815_ETF_Options_Exhibits'!M883:M887),"")</f>
        <v/>
      </c>
      <c r="N887" s="3">
        <f>IF(ISNUMBER(AVERAGE('20250815_ETF_Options_Exhibits'!N883:N887)),AVERAGE('20250815_ETF_Options_Exhibits'!N883:N887),"")</f>
        <v/>
      </c>
      <c r="O887" s="3">
        <f>IF(ISNUMBER(AVERAGE('20250815_ETF_Options_Exhibits'!O883:O887)),AVERAGE('20250815_ETF_Options_Exhibits'!O883:O887),"")</f>
        <v/>
      </c>
      <c r="P887" s="3">
        <f>IF(ISNUMBER(AVERAGE('20250815_ETF_Options_Exhibits'!P883:P887)),AVERAGE('20250815_ETF_Options_Exhibits'!P883:P887),"")</f>
        <v/>
      </c>
      <c r="Q887" s="3">
        <f>IF(ISNUMBER(AVERAGE('20250815_ETF_Options_Exhibits'!Q883:Q887)),AVERAGE('20250815_ETF_Options_Exhibits'!Q883:Q887),"")</f>
        <v/>
      </c>
      <c r="R887" s="3">
        <f>IF(ISNUMBER(AVERAGE('20250815_ETF_Options_Exhibits'!R883:R887)),AVERAGE('20250815_ETF_Options_Exhibits'!R883:R887),"")</f>
        <v/>
      </c>
      <c r="S887" s="3">
        <f>IF(ISNUMBER(AVERAGE('20250815_ETF_Options_Exhibits'!S883:S887)),AVERAGE('20250815_ETF_Options_Exhibits'!S883:S887),"")</f>
        <v/>
      </c>
      <c r="T887" s="3">
        <f>IF(ISNUMBER(AVERAGE('20250815_ETF_Options_Exhibits'!T883:T887)),AVERAGE('20250815_ETF_Options_Exhibits'!T883:T887),"")</f>
        <v/>
      </c>
      <c r="U887" s="3">
        <f>IF(ISNUMBER(AVERAGE('20250815_ETF_Options_Exhibits'!U883:U887)),AVERAGE('20250815_ETF_Options_Exhibits'!U883:U887),"")</f>
        <v/>
      </c>
      <c r="V887" s="3">
        <f>IF(ISNUMBER(AVERAGE('20250815_ETF_Options_Exhibits'!V883:V887)),AVERAGE('20250815_ETF_Options_Exhibits'!V883:V887),"")</f>
        <v/>
      </c>
      <c r="W887" s="3">
        <f>IF(ISNUMBER(AVERAGE('20250815_ETF_Options_Exhibits'!W883:W887)),AVERAGE('20250815_ETF_Options_Exhibits'!W883:W887),"")</f>
        <v/>
      </c>
      <c r="X887" s="3">
        <f>IF(ISNUMBER(AVERAGE('20250815_ETF_Options_Exhibits'!X883:X887)),AVERAGE('20250815_ETF_Options_Exhibits'!X883:X887),"")</f>
        <v/>
      </c>
      <c r="Y887" s="3">
        <f>IF(ISNUMBER(AVERAGE('20250815_ETF_Options_Exhibits'!Y883:Y887)),AVERAGE('20250815_ETF_Options_Exhibits'!Y883:Y887),"")</f>
        <v/>
      </c>
      <c r="Z887" s="3">
        <f>IF(ISNUMBER(AVERAGE('20250815_ETF_Options_Exhibits'!Z883:Z887)),AVERAGE('20250815_ETF_Options_Exhibits'!Z883:Z887),"")</f>
        <v/>
      </c>
      <c r="AA887" s="3">
        <f>IF(ISNUMBER(AVERAGE('20250815_ETF_Options_Exhibits'!AA883:AA887)),AVERAGE('20250815_ETF_Options_Exhibits'!AA883:AA887),"")</f>
        <v/>
      </c>
    </row>
    <row r="888">
      <c r="A888" s="1" t="n">
        <v>43292</v>
      </c>
      <c r="B888" s="3">
        <f>IF(ISNUMBER(AVERAGE('20250815_ETF_Options_Exhibits'!B884:B888)),AVERAGE('20250815_ETF_Options_Exhibits'!B884:B888),"")</f>
        <v/>
      </c>
      <c r="C888" s="3">
        <f>IF(ISNUMBER(AVERAGE('20250815_ETF_Options_Exhibits'!C884:C888)),AVERAGE('20250815_ETF_Options_Exhibits'!C884:C888),"")</f>
        <v/>
      </c>
      <c r="D888" s="3">
        <f>IF(ISNUMBER(AVERAGE('20250815_ETF_Options_Exhibits'!D884:D888)),AVERAGE('20250815_ETF_Options_Exhibits'!D884:D888),"")</f>
        <v/>
      </c>
      <c r="E888" s="3">
        <f>IF(ISNUMBER(AVERAGE('20250815_ETF_Options_Exhibits'!E884:E888)),AVERAGE('20250815_ETF_Options_Exhibits'!E884:E888),"")</f>
        <v/>
      </c>
      <c r="F888" s="3">
        <f>IF(ISNUMBER(AVERAGE('20250815_ETF_Options_Exhibits'!F884:F888)),AVERAGE('20250815_ETF_Options_Exhibits'!F884:F888),"")</f>
        <v/>
      </c>
      <c r="G888" s="3">
        <f>IF(ISNUMBER(AVERAGE('20250815_ETF_Options_Exhibits'!G884:G888)),AVERAGE('20250815_ETF_Options_Exhibits'!G884:G888),"")</f>
        <v/>
      </c>
      <c r="H888" s="3">
        <f>IF(ISNUMBER(AVERAGE('20250815_ETF_Options_Exhibits'!H884:H888)),AVERAGE('20250815_ETF_Options_Exhibits'!H884:H888),"")</f>
        <v/>
      </c>
      <c r="I888" s="3">
        <f>IF(ISNUMBER(AVERAGE('20250815_ETF_Options_Exhibits'!I884:I888)),AVERAGE('20250815_ETF_Options_Exhibits'!I884:I888),"")</f>
        <v/>
      </c>
      <c r="J888" s="3">
        <f>IF(ISNUMBER(AVERAGE('20250815_ETF_Options_Exhibits'!J884:J888)),AVERAGE('20250815_ETF_Options_Exhibits'!J884:J888),"")</f>
        <v/>
      </c>
      <c r="K888" s="3">
        <f>IF(ISNUMBER(AVERAGE('20250815_ETF_Options_Exhibits'!K884:K888)),AVERAGE('20250815_ETF_Options_Exhibits'!K884:K888),"")</f>
        <v/>
      </c>
      <c r="L888" s="3">
        <f>IF(ISNUMBER(AVERAGE('20250815_ETF_Options_Exhibits'!L884:L888)),AVERAGE('20250815_ETF_Options_Exhibits'!L884:L888),"")</f>
        <v/>
      </c>
      <c r="M888" s="3">
        <f>IF(ISNUMBER(AVERAGE('20250815_ETF_Options_Exhibits'!M884:M888)),AVERAGE('20250815_ETF_Options_Exhibits'!M884:M888),"")</f>
        <v/>
      </c>
      <c r="N888" s="3">
        <f>IF(ISNUMBER(AVERAGE('20250815_ETF_Options_Exhibits'!N884:N888)),AVERAGE('20250815_ETF_Options_Exhibits'!N884:N888),"")</f>
        <v/>
      </c>
      <c r="O888" s="3">
        <f>IF(ISNUMBER(AVERAGE('20250815_ETF_Options_Exhibits'!O884:O888)),AVERAGE('20250815_ETF_Options_Exhibits'!O884:O888),"")</f>
        <v/>
      </c>
      <c r="P888" s="3">
        <f>IF(ISNUMBER(AVERAGE('20250815_ETF_Options_Exhibits'!P884:P888)),AVERAGE('20250815_ETF_Options_Exhibits'!P884:P888),"")</f>
        <v/>
      </c>
      <c r="Q888" s="3">
        <f>IF(ISNUMBER(AVERAGE('20250815_ETF_Options_Exhibits'!Q884:Q888)),AVERAGE('20250815_ETF_Options_Exhibits'!Q884:Q888),"")</f>
        <v/>
      </c>
      <c r="R888" s="3">
        <f>IF(ISNUMBER(AVERAGE('20250815_ETF_Options_Exhibits'!R884:R888)),AVERAGE('20250815_ETF_Options_Exhibits'!R884:R888),"")</f>
        <v/>
      </c>
      <c r="S888" s="3">
        <f>IF(ISNUMBER(AVERAGE('20250815_ETF_Options_Exhibits'!S884:S888)),AVERAGE('20250815_ETF_Options_Exhibits'!S884:S888),"")</f>
        <v/>
      </c>
      <c r="T888" s="3">
        <f>IF(ISNUMBER(AVERAGE('20250815_ETF_Options_Exhibits'!T884:T888)),AVERAGE('20250815_ETF_Options_Exhibits'!T884:T888),"")</f>
        <v/>
      </c>
      <c r="U888" s="3">
        <f>IF(ISNUMBER(AVERAGE('20250815_ETF_Options_Exhibits'!U884:U888)),AVERAGE('20250815_ETF_Options_Exhibits'!U884:U888),"")</f>
        <v/>
      </c>
      <c r="V888" s="3">
        <f>IF(ISNUMBER(AVERAGE('20250815_ETF_Options_Exhibits'!V884:V888)),AVERAGE('20250815_ETF_Options_Exhibits'!V884:V888),"")</f>
        <v/>
      </c>
      <c r="W888" s="3">
        <f>IF(ISNUMBER(AVERAGE('20250815_ETF_Options_Exhibits'!W884:W888)),AVERAGE('20250815_ETF_Options_Exhibits'!W884:W888),"")</f>
        <v/>
      </c>
      <c r="X888" s="3">
        <f>IF(ISNUMBER(AVERAGE('20250815_ETF_Options_Exhibits'!X884:X888)),AVERAGE('20250815_ETF_Options_Exhibits'!X884:X888),"")</f>
        <v/>
      </c>
      <c r="Y888" s="3">
        <f>IF(ISNUMBER(AVERAGE('20250815_ETF_Options_Exhibits'!Y884:Y888)),AVERAGE('20250815_ETF_Options_Exhibits'!Y884:Y888),"")</f>
        <v/>
      </c>
      <c r="Z888" s="3">
        <f>IF(ISNUMBER(AVERAGE('20250815_ETF_Options_Exhibits'!Z884:Z888)),AVERAGE('20250815_ETF_Options_Exhibits'!Z884:Z888),"")</f>
        <v/>
      </c>
      <c r="AA888" s="3">
        <f>IF(ISNUMBER(AVERAGE('20250815_ETF_Options_Exhibits'!AA884:AA888)),AVERAGE('20250815_ETF_Options_Exhibits'!AA884:AA888),"")</f>
        <v/>
      </c>
    </row>
    <row r="889">
      <c r="A889" s="1" t="n">
        <v>43293</v>
      </c>
      <c r="B889" s="3">
        <f>IF(ISNUMBER(AVERAGE('20250815_ETF_Options_Exhibits'!B885:B889)),AVERAGE('20250815_ETF_Options_Exhibits'!B885:B889),"")</f>
        <v/>
      </c>
      <c r="C889" s="3">
        <f>IF(ISNUMBER(AVERAGE('20250815_ETF_Options_Exhibits'!C885:C889)),AVERAGE('20250815_ETF_Options_Exhibits'!C885:C889),"")</f>
        <v/>
      </c>
      <c r="D889" s="3">
        <f>IF(ISNUMBER(AVERAGE('20250815_ETF_Options_Exhibits'!D885:D889)),AVERAGE('20250815_ETF_Options_Exhibits'!D885:D889),"")</f>
        <v/>
      </c>
      <c r="E889" s="3">
        <f>IF(ISNUMBER(AVERAGE('20250815_ETF_Options_Exhibits'!E885:E889)),AVERAGE('20250815_ETF_Options_Exhibits'!E885:E889),"")</f>
        <v/>
      </c>
      <c r="F889" s="3">
        <f>IF(ISNUMBER(AVERAGE('20250815_ETF_Options_Exhibits'!F885:F889)),AVERAGE('20250815_ETF_Options_Exhibits'!F885:F889),"")</f>
        <v/>
      </c>
      <c r="G889" s="3">
        <f>IF(ISNUMBER(AVERAGE('20250815_ETF_Options_Exhibits'!G885:G889)),AVERAGE('20250815_ETF_Options_Exhibits'!G885:G889),"")</f>
        <v/>
      </c>
      <c r="H889" s="3">
        <f>IF(ISNUMBER(AVERAGE('20250815_ETF_Options_Exhibits'!H885:H889)),AVERAGE('20250815_ETF_Options_Exhibits'!H885:H889),"")</f>
        <v/>
      </c>
      <c r="I889" s="3">
        <f>IF(ISNUMBER(AVERAGE('20250815_ETF_Options_Exhibits'!I885:I889)),AVERAGE('20250815_ETF_Options_Exhibits'!I885:I889),"")</f>
        <v/>
      </c>
      <c r="J889" s="3">
        <f>IF(ISNUMBER(AVERAGE('20250815_ETF_Options_Exhibits'!J885:J889)),AVERAGE('20250815_ETF_Options_Exhibits'!J885:J889),"")</f>
        <v/>
      </c>
      <c r="K889" s="3">
        <f>IF(ISNUMBER(AVERAGE('20250815_ETF_Options_Exhibits'!K885:K889)),AVERAGE('20250815_ETF_Options_Exhibits'!K885:K889),"")</f>
        <v/>
      </c>
      <c r="L889" s="3">
        <f>IF(ISNUMBER(AVERAGE('20250815_ETF_Options_Exhibits'!L885:L889)),AVERAGE('20250815_ETF_Options_Exhibits'!L885:L889),"")</f>
        <v/>
      </c>
      <c r="M889" s="3">
        <f>IF(ISNUMBER(AVERAGE('20250815_ETF_Options_Exhibits'!M885:M889)),AVERAGE('20250815_ETF_Options_Exhibits'!M885:M889),"")</f>
        <v/>
      </c>
      <c r="N889" s="3">
        <f>IF(ISNUMBER(AVERAGE('20250815_ETF_Options_Exhibits'!N885:N889)),AVERAGE('20250815_ETF_Options_Exhibits'!N885:N889),"")</f>
        <v/>
      </c>
      <c r="O889" s="3">
        <f>IF(ISNUMBER(AVERAGE('20250815_ETF_Options_Exhibits'!O885:O889)),AVERAGE('20250815_ETF_Options_Exhibits'!O885:O889),"")</f>
        <v/>
      </c>
      <c r="P889" s="3">
        <f>IF(ISNUMBER(AVERAGE('20250815_ETF_Options_Exhibits'!P885:P889)),AVERAGE('20250815_ETF_Options_Exhibits'!P885:P889),"")</f>
        <v/>
      </c>
      <c r="Q889" s="3">
        <f>IF(ISNUMBER(AVERAGE('20250815_ETF_Options_Exhibits'!Q885:Q889)),AVERAGE('20250815_ETF_Options_Exhibits'!Q885:Q889),"")</f>
        <v/>
      </c>
      <c r="R889" s="3">
        <f>IF(ISNUMBER(AVERAGE('20250815_ETF_Options_Exhibits'!R885:R889)),AVERAGE('20250815_ETF_Options_Exhibits'!R885:R889),"")</f>
        <v/>
      </c>
      <c r="S889" s="3">
        <f>IF(ISNUMBER(AVERAGE('20250815_ETF_Options_Exhibits'!S885:S889)),AVERAGE('20250815_ETF_Options_Exhibits'!S885:S889),"")</f>
        <v/>
      </c>
      <c r="T889" s="3">
        <f>IF(ISNUMBER(AVERAGE('20250815_ETF_Options_Exhibits'!T885:T889)),AVERAGE('20250815_ETF_Options_Exhibits'!T885:T889),"")</f>
        <v/>
      </c>
      <c r="U889" s="3">
        <f>IF(ISNUMBER(AVERAGE('20250815_ETF_Options_Exhibits'!U885:U889)),AVERAGE('20250815_ETF_Options_Exhibits'!U885:U889),"")</f>
        <v/>
      </c>
      <c r="V889" s="3">
        <f>IF(ISNUMBER(AVERAGE('20250815_ETF_Options_Exhibits'!V885:V889)),AVERAGE('20250815_ETF_Options_Exhibits'!V885:V889),"")</f>
        <v/>
      </c>
      <c r="W889" s="3">
        <f>IF(ISNUMBER(AVERAGE('20250815_ETF_Options_Exhibits'!W885:W889)),AVERAGE('20250815_ETF_Options_Exhibits'!W885:W889),"")</f>
        <v/>
      </c>
      <c r="X889" s="3">
        <f>IF(ISNUMBER(AVERAGE('20250815_ETF_Options_Exhibits'!X885:X889)),AVERAGE('20250815_ETF_Options_Exhibits'!X885:X889),"")</f>
        <v/>
      </c>
      <c r="Y889" s="3">
        <f>IF(ISNUMBER(AVERAGE('20250815_ETF_Options_Exhibits'!Y885:Y889)),AVERAGE('20250815_ETF_Options_Exhibits'!Y885:Y889),"")</f>
        <v/>
      </c>
      <c r="Z889" s="3">
        <f>IF(ISNUMBER(AVERAGE('20250815_ETF_Options_Exhibits'!Z885:Z889)),AVERAGE('20250815_ETF_Options_Exhibits'!Z885:Z889),"")</f>
        <v/>
      </c>
      <c r="AA889" s="3">
        <f>IF(ISNUMBER(AVERAGE('20250815_ETF_Options_Exhibits'!AA885:AA889)),AVERAGE('20250815_ETF_Options_Exhibits'!AA885:AA889),"")</f>
        <v/>
      </c>
    </row>
    <row r="890">
      <c r="A890" s="1" t="n">
        <v>43294</v>
      </c>
      <c r="B890" s="3">
        <f>IF(ISNUMBER(AVERAGE('20250815_ETF_Options_Exhibits'!B886:B890)),AVERAGE('20250815_ETF_Options_Exhibits'!B886:B890),"")</f>
        <v/>
      </c>
      <c r="C890" s="3">
        <f>IF(ISNUMBER(AVERAGE('20250815_ETF_Options_Exhibits'!C886:C890)),AVERAGE('20250815_ETF_Options_Exhibits'!C886:C890),"")</f>
        <v/>
      </c>
      <c r="D890" s="3">
        <f>IF(ISNUMBER(AVERAGE('20250815_ETF_Options_Exhibits'!D886:D890)),AVERAGE('20250815_ETF_Options_Exhibits'!D886:D890),"")</f>
        <v/>
      </c>
      <c r="E890" s="3">
        <f>IF(ISNUMBER(AVERAGE('20250815_ETF_Options_Exhibits'!E886:E890)),AVERAGE('20250815_ETF_Options_Exhibits'!E886:E890),"")</f>
        <v/>
      </c>
      <c r="F890" s="3">
        <f>IF(ISNUMBER(AVERAGE('20250815_ETF_Options_Exhibits'!F886:F890)),AVERAGE('20250815_ETF_Options_Exhibits'!F886:F890),"")</f>
        <v/>
      </c>
      <c r="G890" s="3">
        <f>IF(ISNUMBER(AVERAGE('20250815_ETF_Options_Exhibits'!G886:G890)),AVERAGE('20250815_ETF_Options_Exhibits'!G886:G890),"")</f>
        <v/>
      </c>
      <c r="H890" s="3">
        <f>IF(ISNUMBER(AVERAGE('20250815_ETF_Options_Exhibits'!H886:H890)),AVERAGE('20250815_ETF_Options_Exhibits'!H886:H890),"")</f>
        <v/>
      </c>
      <c r="I890" s="3">
        <f>IF(ISNUMBER(AVERAGE('20250815_ETF_Options_Exhibits'!I886:I890)),AVERAGE('20250815_ETF_Options_Exhibits'!I886:I890),"")</f>
        <v/>
      </c>
      <c r="J890" s="3">
        <f>IF(ISNUMBER(AVERAGE('20250815_ETF_Options_Exhibits'!J886:J890)),AVERAGE('20250815_ETF_Options_Exhibits'!J886:J890),"")</f>
        <v/>
      </c>
      <c r="K890" s="3">
        <f>IF(ISNUMBER(AVERAGE('20250815_ETF_Options_Exhibits'!K886:K890)),AVERAGE('20250815_ETF_Options_Exhibits'!K886:K890),"")</f>
        <v/>
      </c>
      <c r="L890" s="3">
        <f>IF(ISNUMBER(AVERAGE('20250815_ETF_Options_Exhibits'!L886:L890)),AVERAGE('20250815_ETF_Options_Exhibits'!L886:L890),"")</f>
        <v/>
      </c>
      <c r="M890" s="3">
        <f>IF(ISNUMBER(AVERAGE('20250815_ETF_Options_Exhibits'!M886:M890)),AVERAGE('20250815_ETF_Options_Exhibits'!M886:M890),"")</f>
        <v/>
      </c>
      <c r="N890" s="3">
        <f>IF(ISNUMBER(AVERAGE('20250815_ETF_Options_Exhibits'!N886:N890)),AVERAGE('20250815_ETF_Options_Exhibits'!N886:N890),"")</f>
        <v/>
      </c>
      <c r="O890" s="3">
        <f>IF(ISNUMBER(AVERAGE('20250815_ETF_Options_Exhibits'!O886:O890)),AVERAGE('20250815_ETF_Options_Exhibits'!O886:O890),"")</f>
        <v/>
      </c>
      <c r="P890" s="3">
        <f>IF(ISNUMBER(AVERAGE('20250815_ETF_Options_Exhibits'!P886:P890)),AVERAGE('20250815_ETF_Options_Exhibits'!P886:P890),"")</f>
        <v/>
      </c>
      <c r="Q890" s="3">
        <f>IF(ISNUMBER(AVERAGE('20250815_ETF_Options_Exhibits'!Q886:Q890)),AVERAGE('20250815_ETF_Options_Exhibits'!Q886:Q890),"")</f>
        <v/>
      </c>
      <c r="R890" s="3">
        <f>IF(ISNUMBER(AVERAGE('20250815_ETF_Options_Exhibits'!R886:R890)),AVERAGE('20250815_ETF_Options_Exhibits'!R886:R890),"")</f>
        <v/>
      </c>
      <c r="S890" s="3">
        <f>IF(ISNUMBER(AVERAGE('20250815_ETF_Options_Exhibits'!S886:S890)),AVERAGE('20250815_ETF_Options_Exhibits'!S886:S890),"")</f>
        <v/>
      </c>
      <c r="T890" s="3">
        <f>IF(ISNUMBER(AVERAGE('20250815_ETF_Options_Exhibits'!T886:T890)),AVERAGE('20250815_ETF_Options_Exhibits'!T886:T890),"")</f>
        <v/>
      </c>
      <c r="U890" s="3">
        <f>IF(ISNUMBER(AVERAGE('20250815_ETF_Options_Exhibits'!U886:U890)),AVERAGE('20250815_ETF_Options_Exhibits'!U886:U890),"")</f>
        <v/>
      </c>
      <c r="V890" s="3">
        <f>IF(ISNUMBER(AVERAGE('20250815_ETF_Options_Exhibits'!V886:V890)),AVERAGE('20250815_ETF_Options_Exhibits'!V886:V890),"")</f>
        <v/>
      </c>
      <c r="W890" s="3">
        <f>IF(ISNUMBER(AVERAGE('20250815_ETF_Options_Exhibits'!W886:W890)),AVERAGE('20250815_ETF_Options_Exhibits'!W886:W890),"")</f>
        <v/>
      </c>
      <c r="X890" s="3">
        <f>IF(ISNUMBER(AVERAGE('20250815_ETF_Options_Exhibits'!X886:X890)),AVERAGE('20250815_ETF_Options_Exhibits'!X886:X890),"")</f>
        <v/>
      </c>
      <c r="Y890" s="3">
        <f>IF(ISNUMBER(AVERAGE('20250815_ETF_Options_Exhibits'!Y886:Y890)),AVERAGE('20250815_ETF_Options_Exhibits'!Y886:Y890),"")</f>
        <v/>
      </c>
      <c r="Z890" s="3">
        <f>IF(ISNUMBER(AVERAGE('20250815_ETF_Options_Exhibits'!Z886:Z890)),AVERAGE('20250815_ETF_Options_Exhibits'!Z886:Z890),"")</f>
        <v/>
      </c>
      <c r="AA890" s="3">
        <f>IF(ISNUMBER(AVERAGE('20250815_ETF_Options_Exhibits'!AA886:AA890)),AVERAGE('20250815_ETF_Options_Exhibits'!AA886:AA890),"")</f>
        <v/>
      </c>
    </row>
    <row r="891">
      <c r="A891" s="1" t="n">
        <v>43297</v>
      </c>
      <c r="B891" s="3">
        <f>IF(ISNUMBER(AVERAGE('20250815_ETF_Options_Exhibits'!B887:B891)),AVERAGE('20250815_ETF_Options_Exhibits'!B887:B891),"")</f>
        <v/>
      </c>
      <c r="C891" s="3">
        <f>IF(ISNUMBER(AVERAGE('20250815_ETF_Options_Exhibits'!C887:C891)),AVERAGE('20250815_ETF_Options_Exhibits'!C887:C891),"")</f>
        <v/>
      </c>
      <c r="D891" s="3">
        <f>IF(ISNUMBER(AVERAGE('20250815_ETF_Options_Exhibits'!D887:D891)),AVERAGE('20250815_ETF_Options_Exhibits'!D887:D891),"")</f>
        <v/>
      </c>
      <c r="E891" s="3">
        <f>IF(ISNUMBER(AVERAGE('20250815_ETF_Options_Exhibits'!E887:E891)),AVERAGE('20250815_ETF_Options_Exhibits'!E887:E891),"")</f>
        <v/>
      </c>
      <c r="F891" s="3">
        <f>IF(ISNUMBER(AVERAGE('20250815_ETF_Options_Exhibits'!F887:F891)),AVERAGE('20250815_ETF_Options_Exhibits'!F887:F891),"")</f>
        <v/>
      </c>
      <c r="G891" s="3">
        <f>IF(ISNUMBER(AVERAGE('20250815_ETF_Options_Exhibits'!G887:G891)),AVERAGE('20250815_ETF_Options_Exhibits'!G887:G891),"")</f>
        <v/>
      </c>
      <c r="H891" s="3">
        <f>IF(ISNUMBER(AVERAGE('20250815_ETF_Options_Exhibits'!H887:H891)),AVERAGE('20250815_ETF_Options_Exhibits'!H887:H891),"")</f>
        <v/>
      </c>
      <c r="I891" s="3">
        <f>IF(ISNUMBER(AVERAGE('20250815_ETF_Options_Exhibits'!I887:I891)),AVERAGE('20250815_ETF_Options_Exhibits'!I887:I891),"")</f>
        <v/>
      </c>
      <c r="J891" s="3">
        <f>IF(ISNUMBER(AVERAGE('20250815_ETF_Options_Exhibits'!J887:J891)),AVERAGE('20250815_ETF_Options_Exhibits'!J887:J891),"")</f>
        <v/>
      </c>
      <c r="K891" s="3">
        <f>IF(ISNUMBER(AVERAGE('20250815_ETF_Options_Exhibits'!K887:K891)),AVERAGE('20250815_ETF_Options_Exhibits'!K887:K891),"")</f>
        <v/>
      </c>
      <c r="L891" s="3">
        <f>IF(ISNUMBER(AVERAGE('20250815_ETF_Options_Exhibits'!L887:L891)),AVERAGE('20250815_ETF_Options_Exhibits'!L887:L891),"")</f>
        <v/>
      </c>
      <c r="M891" s="3">
        <f>IF(ISNUMBER(AVERAGE('20250815_ETF_Options_Exhibits'!M887:M891)),AVERAGE('20250815_ETF_Options_Exhibits'!M887:M891),"")</f>
        <v/>
      </c>
      <c r="N891" s="3">
        <f>IF(ISNUMBER(AVERAGE('20250815_ETF_Options_Exhibits'!N887:N891)),AVERAGE('20250815_ETF_Options_Exhibits'!N887:N891),"")</f>
        <v/>
      </c>
      <c r="O891" s="3">
        <f>IF(ISNUMBER(AVERAGE('20250815_ETF_Options_Exhibits'!O887:O891)),AVERAGE('20250815_ETF_Options_Exhibits'!O887:O891),"")</f>
        <v/>
      </c>
      <c r="P891" s="3">
        <f>IF(ISNUMBER(AVERAGE('20250815_ETF_Options_Exhibits'!P887:P891)),AVERAGE('20250815_ETF_Options_Exhibits'!P887:P891),"")</f>
        <v/>
      </c>
      <c r="Q891" s="3">
        <f>IF(ISNUMBER(AVERAGE('20250815_ETF_Options_Exhibits'!Q887:Q891)),AVERAGE('20250815_ETF_Options_Exhibits'!Q887:Q891),"")</f>
        <v/>
      </c>
      <c r="R891" s="3">
        <f>IF(ISNUMBER(AVERAGE('20250815_ETF_Options_Exhibits'!R887:R891)),AVERAGE('20250815_ETF_Options_Exhibits'!R887:R891),"")</f>
        <v/>
      </c>
      <c r="S891" s="3">
        <f>IF(ISNUMBER(AVERAGE('20250815_ETF_Options_Exhibits'!S887:S891)),AVERAGE('20250815_ETF_Options_Exhibits'!S887:S891),"")</f>
        <v/>
      </c>
      <c r="T891" s="3">
        <f>IF(ISNUMBER(AVERAGE('20250815_ETF_Options_Exhibits'!T887:T891)),AVERAGE('20250815_ETF_Options_Exhibits'!T887:T891),"")</f>
        <v/>
      </c>
      <c r="U891" s="3">
        <f>IF(ISNUMBER(AVERAGE('20250815_ETF_Options_Exhibits'!U887:U891)),AVERAGE('20250815_ETF_Options_Exhibits'!U887:U891),"")</f>
        <v/>
      </c>
      <c r="V891" s="3">
        <f>IF(ISNUMBER(AVERAGE('20250815_ETF_Options_Exhibits'!V887:V891)),AVERAGE('20250815_ETF_Options_Exhibits'!V887:V891),"")</f>
        <v/>
      </c>
      <c r="W891" s="3">
        <f>IF(ISNUMBER(AVERAGE('20250815_ETF_Options_Exhibits'!W887:W891)),AVERAGE('20250815_ETF_Options_Exhibits'!W887:W891),"")</f>
        <v/>
      </c>
      <c r="X891" s="3">
        <f>IF(ISNUMBER(AVERAGE('20250815_ETF_Options_Exhibits'!X887:X891)),AVERAGE('20250815_ETF_Options_Exhibits'!X887:X891),"")</f>
        <v/>
      </c>
      <c r="Y891" s="3">
        <f>IF(ISNUMBER(AVERAGE('20250815_ETF_Options_Exhibits'!Y887:Y891)),AVERAGE('20250815_ETF_Options_Exhibits'!Y887:Y891),"")</f>
        <v/>
      </c>
      <c r="Z891" s="3">
        <f>IF(ISNUMBER(AVERAGE('20250815_ETF_Options_Exhibits'!Z887:Z891)),AVERAGE('20250815_ETF_Options_Exhibits'!Z887:Z891),"")</f>
        <v/>
      </c>
      <c r="AA891" s="3">
        <f>IF(ISNUMBER(AVERAGE('20250815_ETF_Options_Exhibits'!AA887:AA891)),AVERAGE('20250815_ETF_Options_Exhibits'!AA887:AA891),"")</f>
        <v/>
      </c>
    </row>
    <row r="892">
      <c r="A892" s="1" t="n">
        <v>43298</v>
      </c>
      <c r="B892" s="3">
        <f>IF(ISNUMBER(AVERAGE('20250815_ETF_Options_Exhibits'!B888:B892)),AVERAGE('20250815_ETF_Options_Exhibits'!B888:B892),"")</f>
        <v/>
      </c>
      <c r="C892" s="3">
        <f>IF(ISNUMBER(AVERAGE('20250815_ETF_Options_Exhibits'!C888:C892)),AVERAGE('20250815_ETF_Options_Exhibits'!C888:C892),"")</f>
        <v/>
      </c>
      <c r="D892" s="3">
        <f>IF(ISNUMBER(AVERAGE('20250815_ETF_Options_Exhibits'!D888:D892)),AVERAGE('20250815_ETF_Options_Exhibits'!D888:D892),"")</f>
        <v/>
      </c>
      <c r="E892" s="3">
        <f>IF(ISNUMBER(AVERAGE('20250815_ETF_Options_Exhibits'!E888:E892)),AVERAGE('20250815_ETF_Options_Exhibits'!E888:E892),"")</f>
        <v/>
      </c>
      <c r="F892" s="3">
        <f>IF(ISNUMBER(AVERAGE('20250815_ETF_Options_Exhibits'!F888:F892)),AVERAGE('20250815_ETF_Options_Exhibits'!F888:F892),"")</f>
        <v/>
      </c>
      <c r="G892" s="3">
        <f>IF(ISNUMBER(AVERAGE('20250815_ETF_Options_Exhibits'!G888:G892)),AVERAGE('20250815_ETF_Options_Exhibits'!G888:G892),"")</f>
        <v/>
      </c>
      <c r="H892" s="3">
        <f>IF(ISNUMBER(AVERAGE('20250815_ETF_Options_Exhibits'!H888:H892)),AVERAGE('20250815_ETF_Options_Exhibits'!H888:H892),"")</f>
        <v/>
      </c>
      <c r="I892" s="3">
        <f>IF(ISNUMBER(AVERAGE('20250815_ETF_Options_Exhibits'!I888:I892)),AVERAGE('20250815_ETF_Options_Exhibits'!I888:I892),"")</f>
        <v/>
      </c>
      <c r="J892" s="3">
        <f>IF(ISNUMBER(AVERAGE('20250815_ETF_Options_Exhibits'!J888:J892)),AVERAGE('20250815_ETF_Options_Exhibits'!J888:J892),"")</f>
        <v/>
      </c>
      <c r="K892" s="3">
        <f>IF(ISNUMBER(AVERAGE('20250815_ETF_Options_Exhibits'!K888:K892)),AVERAGE('20250815_ETF_Options_Exhibits'!K888:K892),"")</f>
        <v/>
      </c>
      <c r="L892" s="3">
        <f>IF(ISNUMBER(AVERAGE('20250815_ETF_Options_Exhibits'!L888:L892)),AVERAGE('20250815_ETF_Options_Exhibits'!L888:L892),"")</f>
        <v/>
      </c>
      <c r="M892" s="3">
        <f>IF(ISNUMBER(AVERAGE('20250815_ETF_Options_Exhibits'!M888:M892)),AVERAGE('20250815_ETF_Options_Exhibits'!M888:M892),"")</f>
        <v/>
      </c>
      <c r="N892" s="3">
        <f>IF(ISNUMBER(AVERAGE('20250815_ETF_Options_Exhibits'!N888:N892)),AVERAGE('20250815_ETF_Options_Exhibits'!N888:N892),"")</f>
        <v/>
      </c>
      <c r="O892" s="3">
        <f>IF(ISNUMBER(AVERAGE('20250815_ETF_Options_Exhibits'!O888:O892)),AVERAGE('20250815_ETF_Options_Exhibits'!O888:O892),"")</f>
        <v/>
      </c>
      <c r="P892" s="3">
        <f>IF(ISNUMBER(AVERAGE('20250815_ETF_Options_Exhibits'!P888:P892)),AVERAGE('20250815_ETF_Options_Exhibits'!P888:P892),"")</f>
        <v/>
      </c>
      <c r="Q892" s="3">
        <f>IF(ISNUMBER(AVERAGE('20250815_ETF_Options_Exhibits'!Q888:Q892)),AVERAGE('20250815_ETF_Options_Exhibits'!Q888:Q892),"")</f>
        <v/>
      </c>
      <c r="R892" s="3">
        <f>IF(ISNUMBER(AVERAGE('20250815_ETF_Options_Exhibits'!R888:R892)),AVERAGE('20250815_ETF_Options_Exhibits'!R888:R892),"")</f>
        <v/>
      </c>
      <c r="S892" s="3">
        <f>IF(ISNUMBER(AVERAGE('20250815_ETF_Options_Exhibits'!S888:S892)),AVERAGE('20250815_ETF_Options_Exhibits'!S888:S892),"")</f>
        <v/>
      </c>
      <c r="T892" s="3">
        <f>IF(ISNUMBER(AVERAGE('20250815_ETF_Options_Exhibits'!T888:T892)),AVERAGE('20250815_ETF_Options_Exhibits'!T888:T892),"")</f>
        <v/>
      </c>
      <c r="U892" s="3">
        <f>IF(ISNUMBER(AVERAGE('20250815_ETF_Options_Exhibits'!U888:U892)),AVERAGE('20250815_ETF_Options_Exhibits'!U888:U892),"")</f>
        <v/>
      </c>
      <c r="V892" s="3">
        <f>IF(ISNUMBER(AVERAGE('20250815_ETF_Options_Exhibits'!V888:V892)),AVERAGE('20250815_ETF_Options_Exhibits'!V888:V892),"")</f>
        <v/>
      </c>
      <c r="W892" s="3">
        <f>IF(ISNUMBER(AVERAGE('20250815_ETF_Options_Exhibits'!W888:W892)),AVERAGE('20250815_ETF_Options_Exhibits'!W888:W892),"")</f>
        <v/>
      </c>
      <c r="X892" s="3">
        <f>IF(ISNUMBER(AVERAGE('20250815_ETF_Options_Exhibits'!X888:X892)),AVERAGE('20250815_ETF_Options_Exhibits'!X888:X892),"")</f>
        <v/>
      </c>
      <c r="Y892" s="3">
        <f>IF(ISNUMBER(AVERAGE('20250815_ETF_Options_Exhibits'!Y888:Y892)),AVERAGE('20250815_ETF_Options_Exhibits'!Y888:Y892),"")</f>
        <v/>
      </c>
      <c r="Z892" s="3">
        <f>IF(ISNUMBER(AVERAGE('20250815_ETF_Options_Exhibits'!Z888:Z892)),AVERAGE('20250815_ETF_Options_Exhibits'!Z888:Z892),"")</f>
        <v/>
      </c>
      <c r="AA892" s="3">
        <f>IF(ISNUMBER(AVERAGE('20250815_ETF_Options_Exhibits'!AA888:AA892)),AVERAGE('20250815_ETF_Options_Exhibits'!AA888:AA892),"")</f>
        <v/>
      </c>
    </row>
    <row r="893">
      <c r="A893" s="1" t="n">
        <v>43299</v>
      </c>
      <c r="B893" s="3">
        <f>IF(ISNUMBER(AVERAGE('20250815_ETF_Options_Exhibits'!B889:B893)),AVERAGE('20250815_ETF_Options_Exhibits'!B889:B893),"")</f>
        <v/>
      </c>
      <c r="C893" s="3">
        <f>IF(ISNUMBER(AVERAGE('20250815_ETF_Options_Exhibits'!C889:C893)),AVERAGE('20250815_ETF_Options_Exhibits'!C889:C893),"")</f>
        <v/>
      </c>
      <c r="D893" s="3">
        <f>IF(ISNUMBER(AVERAGE('20250815_ETF_Options_Exhibits'!D889:D893)),AVERAGE('20250815_ETF_Options_Exhibits'!D889:D893),"")</f>
        <v/>
      </c>
      <c r="E893" s="3">
        <f>IF(ISNUMBER(AVERAGE('20250815_ETF_Options_Exhibits'!E889:E893)),AVERAGE('20250815_ETF_Options_Exhibits'!E889:E893),"")</f>
        <v/>
      </c>
      <c r="F893" s="3">
        <f>IF(ISNUMBER(AVERAGE('20250815_ETF_Options_Exhibits'!F889:F893)),AVERAGE('20250815_ETF_Options_Exhibits'!F889:F893),"")</f>
        <v/>
      </c>
      <c r="G893" s="3">
        <f>IF(ISNUMBER(AVERAGE('20250815_ETF_Options_Exhibits'!G889:G893)),AVERAGE('20250815_ETF_Options_Exhibits'!G889:G893),"")</f>
        <v/>
      </c>
      <c r="H893" s="3">
        <f>IF(ISNUMBER(AVERAGE('20250815_ETF_Options_Exhibits'!H889:H893)),AVERAGE('20250815_ETF_Options_Exhibits'!H889:H893),"")</f>
        <v/>
      </c>
      <c r="I893" s="3">
        <f>IF(ISNUMBER(AVERAGE('20250815_ETF_Options_Exhibits'!I889:I893)),AVERAGE('20250815_ETF_Options_Exhibits'!I889:I893),"")</f>
        <v/>
      </c>
      <c r="J893" s="3">
        <f>IF(ISNUMBER(AVERAGE('20250815_ETF_Options_Exhibits'!J889:J893)),AVERAGE('20250815_ETF_Options_Exhibits'!J889:J893),"")</f>
        <v/>
      </c>
      <c r="K893" s="3">
        <f>IF(ISNUMBER(AVERAGE('20250815_ETF_Options_Exhibits'!K889:K893)),AVERAGE('20250815_ETF_Options_Exhibits'!K889:K893),"")</f>
        <v/>
      </c>
      <c r="L893" s="3">
        <f>IF(ISNUMBER(AVERAGE('20250815_ETF_Options_Exhibits'!L889:L893)),AVERAGE('20250815_ETF_Options_Exhibits'!L889:L893),"")</f>
        <v/>
      </c>
      <c r="M893" s="3">
        <f>IF(ISNUMBER(AVERAGE('20250815_ETF_Options_Exhibits'!M889:M893)),AVERAGE('20250815_ETF_Options_Exhibits'!M889:M893),"")</f>
        <v/>
      </c>
      <c r="N893" s="3">
        <f>IF(ISNUMBER(AVERAGE('20250815_ETF_Options_Exhibits'!N889:N893)),AVERAGE('20250815_ETF_Options_Exhibits'!N889:N893),"")</f>
        <v/>
      </c>
      <c r="O893" s="3">
        <f>IF(ISNUMBER(AVERAGE('20250815_ETF_Options_Exhibits'!O889:O893)),AVERAGE('20250815_ETF_Options_Exhibits'!O889:O893),"")</f>
        <v/>
      </c>
      <c r="P893" s="3">
        <f>IF(ISNUMBER(AVERAGE('20250815_ETF_Options_Exhibits'!P889:P893)),AVERAGE('20250815_ETF_Options_Exhibits'!P889:P893),"")</f>
        <v/>
      </c>
      <c r="Q893" s="3">
        <f>IF(ISNUMBER(AVERAGE('20250815_ETF_Options_Exhibits'!Q889:Q893)),AVERAGE('20250815_ETF_Options_Exhibits'!Q889:Q893),"")</f>
        <v/>
      </c>
      <c r="R893" s="3">
        <f>IF(ISNUMBER(AVERAGE('20250815_ETF_Options_Exhibits'!R889:R893)),AVERAGE('20250815_ETF_Options_Exhibits'!R889:R893),"")</f>
        <v/>
      </c>
      <c r="S893" s="3">
        <f>IF(ISNUMBER(AVERAGE('20250815_ETF_Options_Exhibits'!S889:S893)),AVERAGE('20250815_ETF_Options_Exhibits'!S889:S893),"")</f>
        <v/>
      </c>
      <c r="T893" s="3">
        <f>IF(ISNUMBER(AVERAGE('20250815_ETF_Options_Exhibits'!T889:T893)),AVERAGE('20250815_ETF_Options_Exhibits'!T889:T893),"")</f>
        <v/>
      </c>
      <c r="U893" s="3">
        <f>IF(ISNUMBER(AVERAGE('20250815_ETF_Options_Exhibits'!U889:U893)),AVERAGE('20250815_ETF_Options_Exhibits'!U889:U893),"")</f>
        <v/>
      </c>
      <c r="V893" s="3">
        <f>IF(ISNUMBER(AVERAGE('20250815_ETF_Options_Exhibits'!V889:V893)),AVERAGE('20250815_ETF_Options_Exhibits'!V889:V893),"")</f>
        <v/>
      </c>
      <c r="W893" s="3">
        <f>IF(ISNUMBER(AVERAGE('20250815_ETF_Options_Exhibits'!W889:W893)),AVERAGE('20250815_ETF_Options_Exhibits'!W889:W893),"")</f>
        <v/>
      </c>
      <c r="X893" s="3">
        <f>IF(ISNUMBER(AVERAGE('20250815_ETF_Options_Exhibits'!X889:X893)),AVERAGE('20250815_ETF_Options_Exhibits'!X889:X893),"")</f>
        <v/>
      </c>
      <c r="Y893" s="3">
        <f>IF(ISNUMBER(AVERAGE('20250815_ETF_Options_Exhibits'!Y889:Y893)),AVERAGE('20250815_ETF_Options_Exhibits'!Y889:Y893),"")</f>
        <v/>
      </c>
      <c r="Z893" s="3">
        <f>IF(ISNUMBER(AVERAGE('20250815_ETF_Options_Exhibits'!Z889:Z893)),AVERAGE('20250815_ETF_Options_Exhibits'!Z889:Z893),"")</f>
        <v/>
      </c>
      <c r="AA893" s="3">
        <f>IF(ISNUMBER(AVERAGE('20250815_ETF_Options_Exhibits'!AA889:AA893)),AVERAGE('20250815_ETF_Options_Exhibits'!AA889:AA893),"")</f>
        <v/>
      </c>
    </row>
    <row r="894">
      <c r="A894" s="1" t="n">
        <v>43300</v>
      </c>
      <c r="B894" s="3">
        <f>IF(ISNUMBER(AVERAGE('20250815_ETF_Options_Exhibits'!B890:B894)),AVERAGE('20250815_ETF_Options_Exhibits'!B890:B894),"")</f>
        <v/>
      </c>
      <c r="C894" s="3">
        <f>IF(ISNUMBER(AVERAGE('20250815_ETF_Options_Exhibits'!C890:C894)),AVERAGE('20250815_ETF_Options_Exhibits'!C890:C894),"")</f>
        <v/>
      </c>
      <c r="D894" s="3">
        <f>IF(ISNUMBER(AVERAGE('20250815_ETF_Options_Exhibits'!D890:D894)),AVERAGE('20250815_ETF_Options_Exhibits'!D890:D894),"")</f>
        <v/>
      </c>
      <c r="E894" s="3">
        <f>IF(ISNUMBER(AVERAGE('20250815_ETF_Options_Exhibits'!E890:E894)),AVERAGE('20250815_ETF_Options_Exhibits'!E890:E894),"")</f>
        <v/>
      </c>
      <c r="F894" s="3">
        <f>IF(ISNUMBER(AVERAGE('20250815_ETF_Options_Exhibits'!F890:F894)),AVERAGE('20250815_ETF_Options_Exhibits'!F890:F894),"")</f>
        <v/>
      </c>
      <c r="G894" s="3">
        <f>IF(ISNUMBER(AVERAGE('20250815_ETF_Options_Exhibits'!G890:G894)),AVERAGE('20250815_ETF_Options_Exhibits'!G890:G894),"")</f>
        <v/>
      </c>
      <c r="H894" s="3">
        <f>IF(ISNUMBER(AVERAGE('20250815_ETF_Options_Exhibits'!H890:H894)),AVERAGE('20250815_ETF_Options_Exhibits'!H890:H894),"")</f>
        <v/>
      </c>
      <c r="I894" s="3">
        <f>IF(ISNUMBER(AVERAGE('20250815_ETF_Options_Exhibits'!I890:I894)),AVERAGE('20250815_ETF_Options_Exhibits'!I890:I894),"")</f>
        <v/>
      </c>
      <c r="J894" s="3">
        <f>IF(ISNUMBER(AVERAGE('20250815_ETF_Options_Exhibits'!J890:J894)),AVERAGE('20250815_ETF_Options_Exhibits'!J890:J894),"")</f>
        <v/>
      </c>
      <c r="K894" s="3">
        <f>IF(ISNUMBER(AVERAGE('20250815_ETF_Options_Exhibits'!K890:K894)),AVERAGE('20250815_ETF_Options_Exhibits'!K890:K894),"")</f>
        <v/>
      </c>
      <c r="L894" s="3">
        <f>IF(ISNUMBER(AVERAGE('20250815_ETF_Options_Exhibits'!L890:L894)),AVERAGE('20250815_ETF_Options_Exhibits'!L890:L894),"")</f>
        <v/>
      </c>
      <c r="M894" s="3">
        <f>IF(ISNUMBER(AVERAGE('20250815_ETF_Options_Exhibits'!M890:M894)),AVERAGE('20250815_ETF_Options_Exhibits'!M890:M894),"")</f>
        <v/>
      </c>
      <c r="N894" s="3">
        <f>IF(ISNUMBER(AVERAGE('20250815_ETF_Options_Exhibits'!N890:N894)),AVERAGE('20250815_ETF_Options_Exhibits'!N890:N894),"")</f>
        <v/>
      </c>
      <c r="O894" s="3">
        <f>IF(ISNUMBER(AVERAGE('20250815_ETF_Options_Exhibits'!O890:O894)),AVERAGE('20250815_ETF_Options_Exhibits'!O890:O894),"")</f>
        <v/>
      </c>
      <c r="P894" s="3">
        <f>IF(ISNUMBER(AVERAGE('20250815_ETF_Options_Exhibits'!P890:P894)),AVERAGE('20250815_ETF_Options_Exhibits'!P890:P894),"")</f>
        <v/>
      </c>
      <c r="Q894" s="3">
        <f>IF(ISNUMBER(AVERAGE('20250815_ETF_Options_Exhibits'!Q890:Q894)),AVERAGE('20250815_ETF_Options_Exhibits'!Q890:Q894),"")</f>
        <v/>
      </c>
      <c r="R894" s="3">
        <f>IF(ISNUMBER(AVERAGE('20250815_ETF_Options_Exhibits'!R890:R894)),AVERAGE('20250815_ETF_Options_Exhibits'!R890:R894),"")</f>
        <v/>
      </c>
      <c r="S894" s="3">
        <f>IF(ISNUMBER(AVERAGE('20250815_ETF_Options_Exhibits'!S890:S894)),AVERAGE('20250815_ETF_Options_Exhibits'!S890:S894),"")</f>
        <v/>
      </c>
      <c r="T894" s="3">
        <f>IF(ISNUMBER(AVERAGE('20250815_ETF_Options_Exhibits'!T890:T894)),AVERAGE('20250815_ETF_Options_Exhibits'!T890:T894),"")</f>
        <v/>
      </c>
      <c r="U894" s="3">
        <f>IF(ISNUMBER(AVERAGE('20250815_ETF_Options_Exhibits'!U890:U894)),AVERAGE('20250815_ETF_Options_Exhibits'!U890:U894),"")</f>
        <v/>
      </c>
      <c r="V894" s="3">
        <f>IF(ISNUMBER(AVERAGE('20250815_ETF_Options_Exhibits'!V890:V894)),AVERAGE('20250815_ETF_Options_Exhibits'!V890:V894),"")</f>
        <v/>
      </c>
      <c r="W894" s="3">
        <f>IF(ISNUMBER(AVERAGE('20250815_ETF_Options_Exhibits'!W890:W894)),AVERAGE('20250815_ETF_Options_Exhibits'!W890:W894),"")</f>
        <v/>
      </c>
      <c r="X894" s="3">
        <f>IF(ISNUMBER(AVERAGE('20250815_ETF_Options_Exhibits'!X890:X894)),AVERAGE('20250815_ETF_Options_Exhibits'!X890:X894),"")</f>
        <v/>
      </c>
      <c r="Y894" s="3">
        <f>IF(ISNUMBER(AVERAGE('20250815_ETF_Options_Exhibits'!Y890:Y894)),AVERAGE('20250815_ETF_Options_Exhibits'!Y890:Y894),"")</f>
        <v/>
      </c>
      <c r="Z894" s="3">
        <f>IF(ISNUMBER(AVERAGE('20250815_ETF_Options_Exhibits'!Z890:Z894)),AVERAGE('20250815_ETF_Options_Exhibits'!Z890:Z894),"")</f>
        <v/>
      </c>
      <c r="AA894" s="3">
        <f>IF(ISNUMBER(AVERAGE('20250815_ETF_Options_Exhibits'!AA890:AA894)),AVERAGE('20250815_ETF_Options_Exhibits'!AA890:AA894),"")</f>
        <v/>
      </c>
    </row>
    <row r="895">
      <c r="A895" s="1" t="n">
        <v>43301</v>
      </c>
      <c r="B895" s="3">
        <f>IF(ISNUMBER(AVERAGE('20250815_ETF_Options_Exhibits'!B891:B895)),AVERAGE('20250815_ETF_Options_Exhibits'!B891:B895),"")</f>
        <v/>
      </c>
      <c r="C895" s="3">
        <f>IF(ISNUMBER(AVERAGE('20250815_ETF_Options_Exhibits'!C891:C895)),AVERAGE('20250815_ETF_Options_Exhibits'!C891:C895),"")</f>
        <v/>
      </c>
      <c r="D895" s="3">
        <f>IF(ISNUMBER(AVERAGE('20250815_ETF_Options_Exhibits'!D891:D895)),AVERAGE('20250815_ETF_Options_Exhibits'!D891:D895),"")</f>
        <v/>
      </c>
      <c r="E895" s="3">
        <f>IF(ISNUMBER(AVERAGE('20250815_ETF_Options_Exhibits'!E891:E895)),AVERAGE('20250815_ETF_Options_Exhibits'!E891:E895),"")</f>
        <v/>
      </c>
      <c r="F895" s="3">
        <f>IF(ISNUMBER(AVERAGE('20250815_ETF_Options_Exhibits'!F891:F895)),AVERAGE('20250815_ETF_Options_Exhibits'!F891:F895),"")</f>
        <v/>
      </c>
      <c r="G895" s="3">
        <f>IF(ISNUMBER(AVERAGE('20250815_ETF_Options_Exhibits'!G891:G895)),AVERAGE('20250815_ETF_Options_Exhibits'!G891:G895),"")</f>
        <v/>
      </c>
      <c r="H895" s="3">
        <f>IF(ISNUMBER(AVERAGE('20250815_ETF_Options_Exhibits'!H891:H895)),AVERAGE('20250815_ETF_Options_Exhibits'!H891:H895),"")</f>
        <v/>
      </c>
      <c r="I895" s="3">
        <f>IF(ISNUMBER(AVERAGE('20250815_ETF_Options_Exhibits'!I891:I895)),AVERAGE('20250815_ETF_Options_Exhibits'!I891:I895),"")</f>
        <v/>
      </c>
      <c r="J895" s="3">
        <f>IF(ISNUMBER(AVERAGE('20250815_ETF_Options_Exhibits'!J891:J895)),AVERAGE('20250815_ETF_Options_Exhibits'!J891:J895),"")</f>
        <v/>
      </c>
      <c r="K895" s="3">
        <f>IF(ISNUMBER(AVERAGE('20250815_ETF_Options_Exhibits'!K891:K895)),AVERAGE('20250815_ETF_Options_Exhibits'!K891:K895),"")</f>
        <v/>
      </c>
      <c r="L895" s="3">
        <f>IF(ISNUMBER(AVERAGE('20250815_ETF_Options_Exhibits'!L891:L895)),AVERAGE('20250815_ETF_Options_Exhibits'!L891:L895),"")</f>
        <v/>
      </c>
      <c r="M895" s="3">
        <f>IF(ISNUMBER(AVERAGE('20250815_ETF_Options_Exhibits'!M891:M895)),AVERAGE('20250815_ETF_Options_Exhibits'!M891:M895),"")</f>
        <v/>
      </c>
      <c r="N895" s="3">
        <f>IF(ISNUMBER(AVERAGE('20250815_ETF_Options_Exhibits'!N891:N895)),AVERAGE('20250815_ETF_Options_Exhibits'!N891:N895),"")</f>
        <v/>
      </c>
      <c r="O895" s="3">
        <f>IF(ISNUMBER(AVERAGE('20250815_ETF_Options_Exhibits'!O891:O895)),AVERAGE('20250815_ETF_Options_Exhibits'!O891:O895),"")</f>
        <v/>
      </c>
      <c r="P895" s="3">
        <f>IF(ISNUMBER(AVERAGE('20250815_ETF_Options_Exhibits'!P891:P895)),AVERAGE('20250815_ETF_Options_Exhibits'!P891:P895),"")</f>
        <v/>
      </c>
      <c r="Q895" s="3">
        <f>IF(ISNUMBER(AVERAGE('20250815_ETF_Options_Exhibits'!Q891:Q895)),AVERAGE('20250815_ETF_Options_Exhibits'!Q891:Q895),"")</f>
        <v/>
      </c>
      <c r="R895" s="3">
        <f>IF(ISNUMBER(AVERAGE('20250815_ETF_Options_Exhibits'!R891:R895)),AVERAGE('20250815_ETF_Options_Exhibits'!R891:R895),"")</f>
        <v/>
      </c>
      <c r="S895" s="3">
        <f>IF(ISNUMBER(AVERAGE('20250815_ETF_Options_Exhibits'!S891:S895)),AVERAGE('20250815_ETF_Options_Exhibits'!S891:S895),"")</f>
        <v/>
      </c>
      <c r="T895" s="3">
        <f>IF(ISNUMBER(AVERAGE('20250815_ETF_Options_Exhibits'!T891:T895)),AVERAGE('20250815_ETF_Options_Exhibits'!T891:T895),"")</f>
        <v/>
      </c>
      <c r="U895" s="3">
        <f>IF(ISNUMBER(AVERAGE('20250815_ETF_Options_Exhibits'!U891:U895)),AVERAGE('20250815_ETF_Options_Exhibits'!U891:U895),"")</f>
        <v/>
      </c>
      <c r="V895" s="3">
        <f>IF(ISNUMBER(AVERAGE('20250815_ETF_Options_Exhibits'!V891:V895)),AVERAGE('20250815_ETF_Options_Exhibits'!V891:V895),"")</f>
        <v/>
      </c>
      <c r="W895" s="3">
        <f>IF(ISNUMBER(AVERAGE('20250815_ETF_Options_Exhibits'!W891:W895)),AVERAGE('20250815_ETF_Options_Exhibits'!W891:W895),"")</f>
        <v/>
      </c>
      <c r="X895" s="3">
        <f>IF(ISNUMBER(AVERAGE('20250815_ETF_Options_Exhibits'!X891:X895)),AVERAGE('20250815_ETF_Options_Exhibits'!X891:X895),"")</f>
        <v/>
      </c>
      <c r="Y895" s="3">
        <f>IF(ISNUMBER(AVERAGE('20250815_ETF_Options_Exhibits'!Y891:Y895)),AVERAGE('20250815_ETF_Options_Exhibits'!Y891:Y895),"")</f>
        <v/>
      </c>
      <c r="Z895" s="3">
        <f>IF(ISNUMBER(AVERAGE('20250815_ETF_Options_Exhibits'!Z891:Z895)),AVERAGE('20250815_ETF_Options_Exhibits'!Z891:Z895),"")</f>
        <v/>
      </c>
      <c r="AA895" s="3">
        <f>IF(ISNUMBER(AVERAGE('20250815_ETF_Options_Exhibits'!AA891:AA895)),AVERAGE('20250815_ETF_Options_Exhibits'!AA891:AA895),"")</f>
        <v/>
      </c>
    </row>
    <row r="896">
      <c r="A896" s="1" t="n">
        <v>43304</v>
      </c>
      <c r="B896" s="3">
        <f>IF(ISNUMBER(AVERAGE('20250815_ETF_Options_Exhibits'!B892:B896)),AVERAGE('20250815_ETF_Options_Exhibits'!B892:B896),"")</f>
        <v/>
      </c>
      <c r="C896" s="3">
        <f>IF(ISNUMBER(AVERAGE('20250815_ETF_Options_Exhibits'!C892:C896)),AVERAGE('20250815_ETF_Options_Exhibits'!C892:C896),"")</f>
        <v/>
      </c>
      <c r="D896" s="3">
        <f>IF(ISNUMBER(AVERAGE('20250815_ETF_Options_Exhibits'!D892:D896)),AVERAGE('20250815_ETF_Options_Exhibits'!D892:D896),"")</f>
        <v/>
      </c>
      <c r="E896" s="3">
        <f>IF(ISNUMBER(AVERAGE('20250815_ETF_Options_Exhibits'!E892:E896)),AVERAGE('20250815_ETF_Options_Exhibits'!E892:E896),"")</f>
        <v/>
      </c>
      <c r="F896" s="3">
        <f>IF(ISNUMBER(AVERAGE('20250815_ETF_Options_Exhibits'!F892:F896)),AVERAGE('20250815_ETF_Options_Exhibits'!F892:F896),"")</f>
        <v/>
      </c>
      <c r="G896" s="3">
        <f>IF(ISNUMBER(AVERAGE('20250815_ETF_Options_Exhibits'!G892:G896)),AVERAGE('20250815_ETF_Options_Exhibits'!G892:G896),"")</f>
        <v/>
      </c>
      <c r="H896" s="3">
        <f>IF(ISNUMBER(AVERAGE('20250815_ETF_Options_Exhibits'!H892:H896)),AVERAGE('20250815_ETF_Options_Exhibits'!H892:H896),"")</f>
        <v/>
      </c>
      <c r="I896" s="3">
        <f>IF(ISNUMBER(AVERAGE('20250815_ETF_Options_Exhibits'!I892:I896)),AVERAGE('20250815_ETF_Options_Exhibits'!I892:I896),"")</f>
        <v/>
      </c>
      <c r="J896" s="3">
        <f>IF(ISNUMBER(AVERAGE('20250815_ETF_Options_Exhibits'!J892:J896)),AVERAGE('20250815_ETF_Options_Exhibits'!J892:J896),"")</f>
        <v/>
      </c>
      <c r="K896" s="3">
        <f>IF(ISNUMBER(AVERAGE('20250815_ETF_Options_Exhibits'!K892:K896)),AVERAGE('20250815_ETF_Options_Exhibits'!K892:K896),"")</f>
        <v/>
      </c>
      <c r="L896" s="3">
        <f>IF(ISNUMBER(AVERAGE('20250815_ETF_Options_Exhibits'!L892:L896)),AVERAGE('20250815_ETF_Options_Exhibits'!L892:L896),"")</f>
        <v/>
      </c>
      <c r="M896" s="3">
        <f>IF(ISNUMBER(AVERAGE('20250815_ETF_Options_Exhibits'!M892:M896)),AVERAGE('20250815_ETF_Options_Exhibits'!M892:M896),"")</f>
        <v/>
      </c>
      <c r="N896" s="3">
        <f>IF(ISNUMBER(AVERAGE('20250815_ETF_Options_Exhibits'!N892:N896)),AVERAGE('20250815_ETF_Options_Exhibits'!N892:N896),"")</f>
        <v/>
      </c>
      <c r="O896" s="3">
        <f>IF(ISNUMBER(AVERAGE('20250815_ETF_Options_Exhibits'!O892:O896)),AVERAGE('20250815_ETF_Options_Exhibits'!O892:O896),"")</f>
        <v/>
      </c>
      <c r="P896" s="3">
        <f>IF(ISNUMBER(AVERAGE('20250815_ETF_Options_Exhibits'!P892:P896)),AVERAGE('20250815_ETF_Options_Exhibits'!P892:P896),"")</f>
        <v/>
      </c>
      <c r="Q896" s="3">
        <f>IF(ISNUMBER(AVERAGE('20250815_ETF_Options_Exhibits'!Q892:Q896)),AVERAGE('20250815_ETF_Options_Exhibits'!Q892:Q896),"")</f>
        <v/>
      </c>
      <c r="R896" s="3">
        <f>IF(ISNUMBER(AVERAGE('20250815_ETF_Options_Exhibits'!R892:R896)),AVERAGE('20250815_ETF_Options_Exhibits'!R892:R896),"")</f>
        <v/>
      </c>
      <c r="S896" s="3">
        <f>IF(ISNUMBER(AVERAGE('20250815_ETF_Options_Exhibits'!S892:S896)),AVERAGE('20250815_ETF_Options_Exhibits'!S892:S896),"")</f>
        <v/>
      </c>
      <c r="T896" s="3">
        <f>IF(ISNUMBER(AVERAGE('20250815_ETF_Options_Exhibits'!T892:T896)),AVERAGE('20250815_ETF_Options_Exhibits'!T892:T896),"")</f>
        <v/>
      </c>
      <c r="U896" s="3">
        <f>IF(ISNUMBER(AVERAGE('20250815_ETF_Options_Exhibits'!U892:U896)),AVERAGE('20250815_ETF_Options_Exhibits'!U892:U896),"")</f>
        <v/>
      </c>
      <c r="V896" s="3">
        <f>IF(ISNUMBER(AVERAGE('20250815_ETF_Options_Exhibits'!V892:V896)),AVERAGE('20250815_ETF_Options_Exhibits'!V892:V896),"")</f>
        <v/>
      </c>
      <c r="W896" s="3">
        <f>IF(ISNUMBER(AVERAGE('20250815_ETF_Options_Exhibits'!W892:W896)),AVERAGE('20250815_ETF_Options_Exhibits'!W892:W896),"")</f>
        <v/>
      </c>
      <c r="X896" s="3">
        <f>IF(ISNUMBER(AVERAGE('20250815_ETF_Options_Exhibits'!X892:X896)),AVERAGE('20250815_ETF_Options_Exhibits'!X892:X896),"")</f>
        <v/>
      </c>
      <c r="Y896" s="3">
        <f>IF(ISNUMBER(AVERAGE('20250815_ETF_Options_Exhibits'!Y892:Y896)),AVERAGE('20250815_ETF_Options_Exhibits'!Y892:Y896),"")</f>
        <v/>
      </c>
      <c r="Z896" s="3">
        <f>IF(ISNUMBER(AVERAGE('20250815_ETF_Options_Exhibits'!Z892:Z896)),AVERAGE('20250815_ETF_Options_Exhibits'!Z892:Z896),"")</f>
        <v/>
      </c>
      <c r="AA896" s="3">
        <f>IF(ISNUMBER(AVERAGE('20250815_ETF_Options_Exhibits'!AA892:AA896)),AVERAGE('20250815_ETF_Options_Exhibits'!AA892:AA896),"")</f>
        <v/>
      </c>
    </row>
    <row r="897">
      <c r="A897" s="1" t="n">
        <v>43305</v>
      </c>
      <c r="B897" s="3">
        <f>IF(ISNUMBER(AVERAGE('20250815_ETF_Options_Exhibits'!B893:B897)),AVERAGE('20250815_ETF_Options_Exhibits'!B893:B897),"")</f>
        <v/>
      </c>
      <c r="C897" s="3">
        <f>IF(ISNUMBER(AVERAGE('20250815_ETF_Options_Exhibits'!C893:C897)),AVERAGE('20250815_ETF_Options_Exhibits'!C893:C897),"")</f>
        <v/>
      </c>
      <c r="D897" s="3">
        <f>IF(ISNUMBER(AVERAGE('20250815_ETF_Options_Exhibits'!D893:D897)),AVERAGE('20250815_ETF_Options_Exhibits'!D893:D897),"")</f>
        <v/>
      </c>
      <c r="E897" s="3">
        <f>IF(ISNUMBER(AVERAGE('20250815_ETF_Options_Exhibits'!E893:E897)),AVERAGE('20250815_ETF_Options_Exhibits'!E893:E897),"")</f>
        <v/>
      </c>
      <c r="F897" s="3">
        <f>IF(ISNUMBER(AVERAGE('20250815_ETF_Options_Exhibits'!F893:F897)),AVERAGE('20250815_ETF_Options_Exhibits'!F893:F897),"")</f>
        <v/>
      </c>
      <c r="G897" s="3">
        <f>IF(ISNUMBER(AVERAGE('20250815_ETF_Options_Exhibits'!G893:G897)),AVERAGE('20250815_ETF_Options_Exhibits'!G893:G897),"")</f>
        <v/>
      </c>
      <c r="H897" s="3">
        <f>IF(ISNUMBER(AVERAGE('20250815_ETF_Options_Exhibits'!H893:H897)),AVERAGE('20250815_ETF_Options_Exhibits'!H893:H897),"")</f>
        <v/>
      </c>
      <c r="I897" s="3">
        <f>IF(ISNUMBER(AVERAGE('20250815_ETF_Options_Exhibits'!I893:I897)),AVERAGE('20250815_ETF_Options_Exhibits'!I893:I897),"")</f>
        <v/>
      </c>
      <c r="J897" s="3">
        <f>IF(ISNUMBER(AVERAGE('20250815_ETF_Options_Exhibits'!J893:J897)),AVERAGE('20250815_ETF_Options_Exhibits'!J893:J897),"")</f>
        <v/>
      </c>
      <c r="K897" s="3">
        <f>IF(ISNUMBER(AVERAGE('20250815_ETF_Options_Exhibits'!K893:K897)),AVERAGE('20250815_ETF_Options_Exhibits'!K893:K897),"")</f>
        <v/>
      </c>
      <c r="L897" s="3">
        <f>IF(ISNUMBER(AVERAGE('20250815_ETF_Options_Exhibits'!L893:L897)),AVERAGE('20250815_ETF_Options_Exhibits'!L893:L897),"")</f>
        <v/>
      </c>
      <c r="M897" s="3">
        <f>IF(ISNUMBER(AVERAGE('20250815_ETF_Options_Exhibits'!M893:M897)),AVERAGE('20250815_ETF_Options_Exhibits'!M893:M897),"")</f>
        <v/>
      </c>
      <c r="N897" s="3">
        <f>IF(ISNUMBER(AVERAGE('20250815_ETF_Options_Exhibits'!N893:N897)),AVERAGE('20250815_ETF_Options_Exhibits'!N893:N897),"")</f>
        <v/>
      </c>
      <c r="O897" s="3">
        <f>IF(ISNUMBER(AVERAGE('20250815_ETF_Options_Exhibits'!O893:O897)),AVERAGE('20250815_ETF_Options_Exhibits'!O893:O897),"")</f>
        <v/>
      </c>
      <c r="P897" s="3">
        <f>IF(ISNUMBER(AVERAGE('20250815_ETF_Options_Exhibits'!P893:P897)),AVERAGE('20250815_ETF_Options_Exhibits'!P893:P897),"")</f>
        <v/>
      </c>
      <c r="Q897" s="3">
        <f>IF(ISNUMBER(AVERAGE('20250815_ETF_Options_Exhibits'!Q893:Q897)),AVERAGE('20250815_ETF_Options_Exhibits'!Q893:Q897),"")</f>
        <v/>
      </c>
      <c r="R897" s="3">
        <f>IF(ISNUMBER(AVERAGE('20250815_ETF_Options_Exhibits'!R893:R897)),AVERAGE('20250815_ETF_Options_Exhibits'!R893:R897),"")</f>
        <v/>
      </c>
      <c r="S897" s="3">
        <f>IF(ISNUMBER(AVERAGE('20250815_ETF_Options_Exhibits'!S893:S897)),AVERAGE('20250815_ETF_Options_Exhibits'!S893:S897),"")</f>
        <v/>
      </c>
      <c r="T897" s="3">
        <f>IF(ISNUMBER(AVERAGE('20250815_ETF_Options_Exhibits'!T893:T897)),AVERAGE('20250815_ETF_Options_Exhibits'!T893:T897),"")</f>
        <v/>
      </c>
      <c r="U897" s="3">
        <f>IF(ISNUMBER(AVERAGE('20250815_ETF_Options_Exhibits'!U893:U897)),AVERAGE('20250815_ETF_Options_Exhibits'!U893:U897),"")</f>
        <v/>
      </c>
      <c r="V897" s="3">
        <f>IF(ISNUMBER(AVERAGE('20250815_ETF_Options_Exhibits'!V893:V897)),AVERAGE('20250815_ETF_Options_Exhibits'!V893:V897),"")</f>
        <v/>
      </c>
      <c r="W897" s="3">
        <f>IF(ISNUMBER(AVERAGE('20250815_ETF_Options_Exhibits'!W893:W897)),AVERAGE('20250815_ETF_Options_Exhibits'!W893:W897),"")</f>
        <v/>
      </c>
      <c r="X897" s="3">
        <f>IF(ISNUMBER(AVERAGE('20250815_ETF_Options_Exhibits'!X893:X897)),AVERAGE('20250815_ETF_Options_Exhibits'!X893:X897),"")</f>
        <v/>
      </c>
      <c r="Y897" s="3">
        <f>IF(ISNUMBER(AVERAGE('20250815_ETF_Options_Exhibits'!Y893:Y897)),AVERAGE('20250815_ETF_Options_Exhibits'!Y893:Y897),"")</f>
        <v/>
      </c>
      <c r="Z897" s="3">
        <f>IF(ISNUMBER(AVERAGE('20250815_ETF_Options_Exhibits'!Z893:Z897)),AVERAGE('20250815_ETF_Options_Exhibits'!Z893:Z897),"")</f>
        <v/>
      </c>
      <c r="AA897" s="3">
        <f>IF(ISNUMBER(AVERAGE('20250815_ETF_Options_Exhibits'!AA893:AA897)),AVERAGE('20250815_ETF_Options_Exhibits'!AA893:AA897),"")</f>
        <v/>
      </c>
    </row>
    <row r="898">
      <c r="A898" s="1" t="n">
        <v>43306</v>
      </c>
      <c r="B898" s="3">
        <f>IF(ISNUMBER(AVERAGE('20250815_ETF_Options_Exhibits'!B894:B898)),AVERAGE('20250815_ETF_Options_Exhibits'!B894:B898),"")</f>
        <v/>
      </c>
      <c r="C898" s="3">
        <f>IF(ISNUMBER(AVERAGE('20250815_ETF_Options_Exhibits'!C894:C898)),AVERAGE('20250815_ETF_Options_Exhibits'!C894:C898),"")</f>
        <v/>
      </c>
      <c r="D898" s="3">
        <f>IF(ISNUMBER(AVERAGE('20250815_ETF_Options_Exhibits'!D894:D898)),AVERAGE('20250815_ETF_Options_Exhibits'!D894:D898),"")</f>
        <v/>
      </c>
      <c r="E898" s="3">
        <f>IF(ISNUMBER(AVERAGE('20250815_ETF_Options_Exhibits'!E894:E898)),AVERAGE('20250815_ETF_Options_Exhibits'!E894:E898),"")</f>
        <v/>
      </c>
      <c r="F898" s="3">
        <f>IF(ISNUMBER(AVERAGE('20250815_ETF_Options_Exhibits'!F894:F898)),AVERAGE('20250815_ETF_Options_Exhibits'!F894:F898),"")</f>
        <v/>
      </c>
      <c r="G898" s="3">
        <f>IF(ISNUMBER(AVERAGE('20250815_ETF_Options_Exhibits'!G894:G898)),AVERAGE('20250815_ETF_Options_Exhibits'!G894:G898),"")</f>
        <v/>
      </c>
      <c r="H898" s="3">
        <f>IF(ISNUMBER(AVERAGE('20250815_ETF_Options_Exhibits'!H894:H898)),AVERAGE('20250815_ETF_Options_Exhibits'!H894:H898),"")</f>
        <v/>
      </c>
      <c r="I898" s="3">
        <f>IF(ISNUMBER(AVERAGE('20250815_ETF_Options_Exhibits'!I894:I898)),AVERAGE('20250815_ETF_Options_Exhibits'!I894:I898),"")</f>
        <v/>
      </c>
      <c r="J898" s="3">
        <f>IF(ISNUMBER(AVERAGE('20250815_ETF_Options_Exhibits'!J894:J898)),AVERAGE('20250815_ETF_Options_Exhibits'!J894:J898),"")</f>
        <v/>
      </c>
      <c r="K898" s="3">
        <f>IF(ISNUMBER(AVERAGE('20250815_ETF_Options_Exhibits'!K894:K898)),AVERAGE('20250815_ETF_Options_Exhibits'!K894:K898),"")</f>
        <v/>
      </c>
      <c r="L898" s="3">
        <f>IF(ISNUMBER(AVERAGE('20250815_ETF_Options_Exhibits'!L894:L898)),AVERAGE('20250815_ETF_Options_Exhibits'!L894:L898),"")</f>
        <v/>
      </c>
      <c r="M898" s="3">
        <f>IF(ISNUMBER(AVERAGE('20250815_ETF_Options_Exhibits'!M894:M898)),AVERAGE('20250815_ETF_Options_Exhibits'!M894:M898),"")</f>
        <v/>
      </c>
      <c r="N898" s="3">
        <f>IF(ISNUMBER(AVERAGE('20250815_ETF_Options_Exhibits'!N894:N898)),AVERAGE('20250815_ETF_Options_Exhibits'!N894:N898),"")</f>
        <v/>
      </c>
      <c r="O898" s="3">
        <f>IF(ISNUMBER(AVERAGE('20250815_ETF_Options_Exhibits'!O894:O898)),AVERAGE('20250815_ETF_Options_Exhibits'!O894:O898),"")</f>
        <v/>
      </c>
      <c r="P898" s="3">
        <f>IF(ISNUMBER(AVERAGE('20250815_ETF_Options_Exhibits'!P894:P898)),AVERAGE('20250815_ETF_Options_Exhibits'!P894:P898),"")</f>
        <v/>
      </c>
      <c r="Q898" s="3">
        <f>IF(ISNUMBER(AVERAGE('20250815_ETF_Options_Exhibits'!Q894:Q898)),AVERAGE('20250815_ETF_Options_Exhibits'!Q894:Q898),"")</f>
        <v/>
      </c>
      <c r="R898" s="3">
        <f>IF(ISNUMBER(AVERAGE('20250815_ETF_Options_Exhibits'!R894:R898)),AVERAGE('20250815_ETF_Options_Exhibits'!R894:R898),"")</f>
        <v/>
      </c>
      <c r="S898" s="3">
        <f>IF(ISNUMBER(AVERAGE('20250815_ETF_Options_Exhibits'!S894:S898)),AVERAGE('20250815_ETF_Options_Exhibits'!S894:S898),"")</f>
        <v/>
      </c>
      <c r="T898" s="3">
        <f>IF(ISNUMBER(AVERAGE('20250815_ETF_Options_Exhibits'!T894:T898)),AVERAGE('20250815_ETF_Options_Exhibits'!T894:T898),"")</f>
        <v/>
      </c>
      <c r="U898" s="3">
        <f>IF(ISNUMBER(AVERAGE('20250815_ETF_Options_Exhibits'!U894:U898)),AVERAGE('20250815_ETF_Options_Exhibits'!U894:U898),"")</f>
        <v/>
      </c>
      <c r="V898" s="3">
        <f>IF(ISNUMBER(AVERAGE('20250815_ETF_Options_Exhibits'!V894:V898)),AVERAGE('20250815_ETF_Options_Exhibits'!V894:V898),"")</f>
        <v/>
      </c>
      <c r="W898" s="3">
        <f>IF(ISNUMBER(AVERAGE('20250815_ETF_Options_Exhibits'!W894:W898)),AVERAGE('20250815_ETF_Options_Exhibits'!W894:W898),"")</f>
        <v/>
      </c>
      <c r="X898" s="3">
        <f>IF(ISNUMBER(AVERAGE('20250815_ETF_Options_Exhibits'!X894:X898)),AVERAGE('20250815_ETF_Options_Exhibits'!X894:X898),"")</f>
        <v/>
      </c>
      <c r="Y898" s="3">
        <f>IF(ISNUMBER(AVERAGE('20250815_ETF_Options_Exhibits'!Y894:Y898)),AVERAGE('20250815_ETF_Options_Exhibits'!Y894:Y898),"")</f>
        <v/>
      </c>
      <c r="Z898" s="3">
        <f>IF(ISNUMBER(AVERAGE('20250815_ETF_Options_Exhibits'!Z894:Z898)),AVERAGE('20250815_ETF_Options_Exhibits'!Z894:Z898),"")</f>
        <v/>
      </c>
      <c r="AA898" s="3">
        <f>IF(ISNUMBER(AVERAGE('20250815_ETF_Options_Exhibits'!AA894:AA898)),AVERAGE('20250815_ETF_Options_Exhibits'!AA894:AA898),"")</f>
        <v/>
      </c>
    </row>
    <row r="899">
      <c r="A899" s="1" t="n">
        <v>43307</v>
      </c>
      <c r="B899" s="3">
        <f>IF(ISNUMBER(AVERAGE('20250815_ETF_Options_Exhibits'!B895:B899)),AVERAGE('20250815_ETF_Options_Exhibits'!B895:B899),"")</f>
        <v/>
      </c>
      <c r="C899" s="3">
        <f>IF(ISNUMBER(AVERAGE('20250815_ETF_Options_Exhibits'!C895:C899)),AVERAGE('20250815_ETF_Options_Exhibits'!C895:C899),"")</f>
        <v/>
      </c>
      <c r="D899" s="3">
        <f>IF(ISNUMBER(AVERAGE('20250815_ETF_Options_Exhibits'!D895:D899)),AVERAGE('20250815_ETF_Options_Exhibits'!D895:D899),"")</f>
        <v/>
      </c>
      <c r="E899" s="3">
        <f>IF(ISNUMBER(AVERAGE('20250815_ETF_Options_Exhibits'!E895:E899)),AVERAGE('20250815_ETF_Options_Exhibits'!E895:E899),"")</f>
        <v/>
      </c>
      <c r="F899" s="3">
        <f>IF(ISNUMBER(AVERAGE('20250815_ETF_Options_Exhibits'!F895:F899)),AVERAGE('20250815_ETF_Options_Exhibits'!F895:F899),"")</f>
        <v/>
      </c>
      <c r="G899" s="3">
        <f>IF(ISNUMBER(AVERAGE('20250815_ETF_Options_Exhibits'!G895:G899)),AVERAGE('20250815_ETF_Options_Exhibits'!G895:G899),"")</f>
        <v/>
      </c>
      <c r="H899" s="3">
        <f>IF(ISNUMBER(AVERAGE('20250815_ETF_Options_Exhibits'!H895:H899)),AVERAGE('20250815_ETF_Options_Exhibits'!H895:H899),"")</f>
        <v/>
      </c>
      <c r="I899" s="3">
        <f>IF(ISNUMBER(AVERAGE('20250815_ETF_Options_Exhibits'!I895:I899)),AVERAGE('20250815_ETF_Options_Exhibits'!I895:I899),"")</f>
        <v/>
      </c>
      <c r="J899" s="3">
        <f>IF(ISNUMBER(AVERAGE('20250815_ETF_Options_Exhibits'!J895:J899)),AVERAGE('20250815_ETF_Options_Exhibits'!J895:J899),"")</f>
        <v/>
      </c>
      <c r="K899" s="3">
        <f>IF(ISNUMBER(AVERAGE('20250815_ETF_Options_Exhibits'!K895:K899)),AVERAGE('20250815_ETF_Options_Exhibits'!K895:K899),"")</f>
        <v/>
      </c>
      <c r="L899" s="3">
        <f>IF(ISNUMBER(AVERAGE('20250815_ETF_Options_Exhibits'!L895:L899)),AVERAGE('20250815_ETF_Options_Exhibits'!L895:L899),"")</f>
        <v/>
      </c>
      <c r="M899" s="3">
        <f>IF(ISNUMBER(AVERAGE('20250815_ETF_Options_Exhibits'!M895:M899)),AVERAGE('20250815_ETF_Options_Exhibits'!M895:M899),"")</f>
        <v/>
      </c>
      <c r="N899" s="3">
        <f>IF(ISNUMBER(AVERAGE('20250815_ETF_Options_Exhibits'!N895:N899)),AVERAGE('20250815_ETF_Options_Exhibits'!N895:N899),"")</f>
        <v/>
      </c>
      <c r="O899" s="3">
        <f>IF(ISNUMBER(AVERAGE('20250815_ETF_Options_Exhibits'!O895:O899)),AVERAGE('20250815_ETF_Options_Exhibits'!O895:O899),"")</f>
        <v/>
      </c>
      <c r="P899" s="3">
        <f>IF(ISNUMBER(AVERAGE('20250815_ETF_Options_Exhibits'!P895:P899)),AVERAGE('20250815_ETF_Options_Exhibits'!P895:P899),"")</f>
        <v/>
      </c>
      <c r="Q899" s="3">
        <f>IF(ISNUMBER(AVERAGE('20250815_ETF_Options_Exhibits'!Q895:Q899)),AVERAGE('20250815_ETF_Options_Exhibits'!Q895:Q899),"")</f>
        <v/>
      </c>
      <c r="R899" s="3">
        <f>IF(ISNUMBER(AVERAGE('20250815_ETF_Options_Exhibits'!R895:R899)),AVERAGE('20250815_ETF_Options_Exhibits'!R895:R899),"")</f>
        <v/>
      </c>
      <c r="S899" s="3">
        <f>IF(ISNUMBER(AVERAGE('20250815_ETF_Options_Exhibits'!S895:S899)),AVERAGE('20250815_ETF_Options_Exhibits'!S895:S899),"")</f>
        <v/>
      </c>
      <c r="T899" s="3">
        <f>IF(ISNUMBER(AVERAGE('20250815_ETF_Options_Exhibits'!T895:T899)),AVERAGE('20250815_ETF_Options_Exhibits'!T895:T899),"")</f>
        <v/>
      </c>
      <c r="U899" s="3">
        <f>IF(ISNUMBER(AVERAGE('20250815_ETF_Options_Exhibits'!U895:U899)),AVERAGE('20250815_ETF_Options_Exhibits'!U895:U899),"")</f>
        <v/>
      </c>
      <c r="V899" s="3">
        <f>IF(ISNUMBER(AVERAGE('20250815_ETF_Options_Exhibits'!V895:V899)),AVERAGE('20250815_ETF_Options_Exhibits'!V895:V899),"")</f>
        <v/>
      </c>
      <c r="W899" s="3">
        <f>IF(ISNUMBER(AVERAGE('20250815_ETF_Options_Exhibits'!W895:W899)),AVERAGE('20250815_ETF_Options_Exhibits'!W895:W899),"")</f>
        <v/>
      </c>
      <c r="X899" s="3">
        <f>IF(ISNUMBER(AVERAGE('20250815_ETF_Options_Exhibits'!X895:X899)),AVERAGE('20250815_ETF_Options_Exhibits'!X895:X899),"")</f>
        <v/>
      </c>
      <c r="Y899" s="3">
        <f>IF(ISNUMBER(AVERAGE('20250815_ETF_Options_Exhibits'!Y895:Y899)),AVERAGE('20250815_ETF_Options_Exhibits'!Y895:Y899),"")</f>
        <v/>
      </c>
      <c r="Z899" s="3">
        <f>IF(ISNUMBER(AVERAGE('20250815_ETF_Options_Exhibits'!Z895:Z899)),AVERAGE('20250815_ETF_Options_Exhibits'!Z895:Z899),"")</f>
        <v/>
      </c>
      <c r="AA899" s="3">
        <f>IF(ISNUMBER(AVERAGE('20250815_ETF_Options_Exhibits'!AA895:AA899)),AVERAGE('20250815_ETF_Options_Exhibits'!AA895:AA899),"")</f>
        <v/>
      </c>
    </row>
    <row r="900">
      <c r="A900" s="1" t="n">
        <v>43308</v>
      </c>
      <c r="B900" s="3">
        <f>IF(ISNUMBER(AVERAGE('20250815_ETF_Options_Exhibits'!B896:B900)),AVERAGE('20250815_ETF_Options_Exhibits'!B896:B900),"")</f>
        <v/>
      </c>
      <c r="C900" s="3">
        <f>IF(ISNUMBER(AVERAGE('20250815_ETF_Options_Exhibits'!C896:C900)),AVERAGE('20250815_ETF_Options_Exhibits'!C896:C900),"")</f>
        <v/>
      </c>
      <c r="D900" s="3">
        <f>IF(ISNUMBER(AVERAGE('20250815_ETF_Options_Exhibits'!D896:D900)),AVERAGE('20250815_ETF_Options_Exhibits'!D896:D900),"")</f>
        <v/>
      </c>
      <c r="E900" s="3">
        <f>IF(ISNUMBER(AVERAGE('20250815_ETF_Options_Exhibits'!E896:E900)),AVERAGE('20250815_ETF_Options_Exhibits'!E896:E900),"")</f>
        <v/>
      </c>
      <c r="F900" s="3">
        <f>IF(ISNUMBER(AVERAGE('20250815_ETF_Options_Exhibits'!F896:F900)),AVERAGE('20250815_ETF_Options_Exhibits'!F896:F900),"")</f>
        <v/>
      </c>
      <c r="G900" s="3">
        <f>IF(ISNUMBER(AVERAGE('20250815_ETF_Options_Exhibits'!G896:G900)),AVERAGE('20250815_ETF_Options_Exhibits'!G896:G900),"")</f>
        <v/>
      </c>
      <c r="H900" s="3">
        <f>IF(ISNUMBER(AVERAGE('20250815_ETF_Options_Exhibits'!H896:H900)),AVERAGE('20250815_ETF_Options_Exhibits'!H896:H900),"")</f>
        <v/>
      </c>
      <c r="I900" s="3">
        <f>IF(ISNUMBER(AVERAGE('20250815_ETF_Options_Exhibits'!I896:I900)),AVERAGE('20250815_ETF_Options_Exhibits'!I896:I900),"")</f>
        <v/>
      </c>
      <c r="J900" s="3">
        <f>IF(ISNUMBER(AVERAGE('20250815_ETF_Options_Exhibits'!J896:J900)),AVERAGE('20250815_ETF_Options_Exhibits'!J896:J900),"")</f>
        <v/>
      </c>
      <c r="K900" s="3">
        <f>IF(ISNUMBER(AVERAGE('20250815_ETF_Options_Exhibits'!K896:K900)),AVERAGE('20250815_ETF_Options_Exhibits'!K896:K900),"")</f>
        <v/>
      </c>
      <c r="L900" s="3">
        <f>IF(ISNUMBER(AVERAGE('20250815_ETF_Options_Exhibits'!L896:L900)),AVERAGE('20250815_ETF_Options_Exhibits'!L896:L900),"")</f>
        <v/>
      </c>
      <c r="M900" s="3">
        <f>IF(ISNUMBER(AVERAGE('20250815_ETF_Options_Exhibits'!M896:M900)),AVERAGE('20250815_ETF_Options_Exhibits'!M896:M900),"")</f>
        <v/>
      </c>
      <c r="N900" s="3">
        <f>IF(ISNUMBER(AVERAGE('20250815_ETF_Options_Exhibits'!N896:N900)),AVERAGE('20250815_ETF_Options_Exhibits'!N896:N900),"")</f>
        <v/>
      </c>
      <c r="O900" s="3">
        <f>IF(ISNUMBER(AVERAGE('20250815_ETF_Options_Exhibits'!O896:O900)),AVERAGE('20250815_ETF_Options_Exhibits'!O896:O900),"")</f>
        <v/>
      </c>
      <c r="P900" s="3">
        <f>IF(ISNUMBER(AVERAGE('20250815_ETF_Options_Exhibits'!P896:P900)),AVERAGE('20250815_ETF_Options_Exhibits'!P896:P900),"")</f>
        <v/>
      </c>
      <c r="Q900" s="3">
        <f>IF(ISNUMBER(AVERAGE('20250815_ETF_Options_Exhibits'!Q896:Q900)),AVERAGE('20250815_ETF_Options_Exhibits'!Q896:Q900),"")</f>
        <v/>
      </c>
      <c r="R900" s="3">
        <f>IF(ISNUMBER(AVERAGE('20250815_ETF_Options_Exhibits'!R896:R900)),AVERAGE('20250815_ETF_Options_Exhibits'!R896:R900),"")</f>
        <v/>
      </c>
      <c r="S900" s="3">
        <f>IF(ISNUMBER(AVERAGE('20250815_ETF_Options_Exhibits'!S896:S900)),AVERAGE('20250815_ETF_Options_Exhibits'!S896:S900),"")</f>
        <v/>
      </c>
      <c r="T900" s="3">
        <f>IF(ISNUMBER(AVERAGE('20250815_ETF_Options_Exhibits'!T896:T900)),AVERAGE('20250815_ETF_Options_Exhibits'!T896:T900),"")</f>
        <v/>
      </c>
      <c r="U900" s="3">
        <f>IF(ISNUMBER(AVERAGE('20250815_ETF_Options_Exhibits'!U896:U900)),AVERAGE('20250815_ETF_Options_Exhibits'!U896:U900),"")</f>
        <v/>
      </c>
      <c r="V900" s="3">
        <f>IF(ISNUMBER(AVERAGE('20250815_ETF_Options_Exhibits'!V896:V900)),AVERAGE('20250815_ETF_Options_Exhibits'!V896:V900),"")</f>
        <v/>
      </c>
      <c r="W900" s="3">
        <f>IF(ISNUMBER(AVERAGE('20250815_ETF_Options_Exhibits'!W896:W900)),AVERAGE('20250815_ETF_Options_Exhibits'!W896:W900),"")</f>
        <v/>
      </c>
      <c r="X900" s="3">
        <f>IF(ISNUMBER(AVERAGE('20250815_ETF_Options_Exhibits'!X896:X900)),AVERAGE('20250815_ETF_Options_Exhibits'!X896:X900),"")</f>
        <v/>
      </c>
      <c r="Y900" s="3">
        <f>IF(ISNUMBER(AVERAGE('20250815_ETF_Options_Exhibits'!Y896:Y900)),AVERAGE('20250815_ETF_Options_Exhibits'!Y896:Y900),"")</f>
        <v/>
      </c>
      <c r="Z900" s="3">
        <f>IF(ISNUMBER(AVERAGE('20250815_ETF_Options_Exhibits'!Z896:Z900)),AVERAGE('20250815_ETF_Options_Exhibits'!Z896:Z900),"")</f>
        <v/>
      </c>
      <c r="AA900" s="3">
        <f>IF(ISNUMBER(AVERAGE('20250815_ETF_Options_Exhibits'!AA896:AA900)),AVERAGE('20250815_ETF_Options_Exhibits'!AA896:AA900),"")</f>
        <v/>
      </c>
    </row>
    <row r="901">
      <c r="A901" s="1" t="n">
        <v>43311</v>
      </c>
      <c r="B901" s="3">
        <f>IF(ISNUMBER(AVERAGE('20250815_ETF_Options_Exhibits'!B897:B901)),AVERAGE('20250815_ETF_Options_Exhibits'!B897:B901),"")</f>
        <v/>
      </c>
      <c r="C901" s="3">
        <f>IF(ISNUMBER(AVERAGE('20250815_ETF_Options_Exhibits'!C897:C901)),AVERAGE('20250815_ETF_Options_Exhibits'!C897:C901),"")</f>
        <v/>
      </c>
      <c r="D901" s="3">
        <f>IF(ISNUMBER(AVERAGE('20250815_ETF_Options_Exhibits'!D897:D901)),AVERAGE('20250815_ETF_Options_Exhibits'!D897:D901),"")</f>
        <v/>
      </c>
      <c r="E901" s="3">
        <f>IF(ISNUMBER(AVERAGE('20250815_ETF_Options_Exhibits'!E897:E901)),AVERAGE('20250815_ETF_Options_Exhibits'!E897:E901),"")</f>
        <v/>
      </c>
      <c r="F901" s="3">
        <f>IF(ISNUMBER(AVERAGE('20250815_ETF_Options_Exhibits'!F897:F901)),AVERAGE('20250815_ETF_Options_Exhibits'!F897:F901),"")</f>
        <v/>
      </c>
      <c r="G901" s="3">
        <f>IF(ISNUMBER(AVERAGE('20250815_ETF_Options_Exhibits'!G897:G901)),AVERAGE('20250815_ETF_Options_Exhibits'!G897:G901),"")</f>
        <v/>
      </c>
      <c r="H901" s="3">
        <f>IF(ISNUMBER(AVERAGE('20250815_ETF_Options_Exhibits'!H897:H901)),AVERAGE('20250815_ETF_Options_Exhibits'!H897:H901),"")</f>
        <v/>
      </c>
      <c r="I901" s="3">
        <f>IF(ISNUMBER(AVERAGE('20250815_ETF_Options_Exhibits'!I897:I901)),AVERAGE('20250815_ETF_Options_Exhibits'!I897:I901),"")</f>
        <v/>
      </c>
      <c r="J901" s="3">
        <f>IF(ISNUMBER(AVERAGE('20250815_ETF_Options_Exhibits'!J897:J901)),AVERAGE('20250815_ETF_Options_Exhibits'!J897:J901),"")</f>
        <v/>
      </c>
      <c r="K901" s="3">
        <f>IF(ISNUMBER(AVERAGE('20250815_ETF_Options_Exhibits'!K897:K901)),AVERAGE('20250815_ETF_Options_Exhibits'!K897:K901),"")</f>
        <v/>
      </c>
      <c r="L901" s="3">
        <f>IF(ISNUMBER(AVERAGE('20250815_ETF_Options_Exhibits'!L897:L901)),AVERAGE('20250815_ETF_Options_Exhibits'!L897:L901),"")</f>
        <v/>
      </c>
      <c r="M901" s="3">
        <f>IF(ISNUMBER(AVERAGE('20250815_ETF_Options_Exhibits'!M897:M901)),AVERAGE('20250815_ETF_Options_Exhibits'!M897:M901),"")</f>
        <v/>
      </c>
      <c r="N901" s="3">
        <f>IF(ISNUMBER(AVERAGE('20250815_ETF_Options_Exhibits'!N897:N901)),AVERAGE('20250815_ETF_Options_Exhibits'!N897:N901),"")</f>
        <v/>
      </c>
      <c r="O901" s="3">
        <f>IF(ISNUMBER(AVERAGE('20250815_ETF_Options_Exhibits'!O897:O901)),AVERAGE('20250815_ETF_Options_Exhibits'!O897:O901),"")</f>
        <v/>
      </c>
      <c r="P901" s="3">
        <f>IF(ISNUMBER(AVERAGE('20250815_ETF_Options_Exhibits'!P897:P901)),AVERAGE('20250815_ETF_Options_Exhibits'!P897:P901),"")</f>
        <v/>
      </c>
      <c r="Q901" s="3">
        <f>IF(ISNUMBER(AVERAGE('20250815_ETF_Options_Exhibits'!Q897:Q901)),AVERAGE('20250815_ETF_Options_Exhibits'!Q897:Q901),"")</f>
        <v/>
      </c>
      <c r="R901" s="3">
        <f>IF(ISNUMBER(AVERAGE('20250815_ETF_Options_Exhibits'!R897:R901)),AVERAGE('20250815_ETF_Options_Exhibits'!R897:R901),"")</f>
        <v/>
      </c>
      <c r="S901" s="3">
        <f>IF(ISNUMBER(AVERAGE('20250815_ETF_Options_Exhibits'!S897:S901)),AVERAGE('20250815_ETF_Options_Exhibits'!S897:S901),"")</f>
        <v/>
      </c>
      <c r="T901" s="3">
        <f>IF(ISNUMBER(AVERAGE('20250815_ETF_Options_Exhibits'!T897:T901)),AVERAGE('20250815_ETF_Options_Exhibits'!T897:T901),"")</f>
        <v/>
      </c>
      <c r="U901" s="3">
        <f>IF(ISNUMBER(AVERAGE('20250815_ETF_Options_Exhibits'!U897:U901)),AVERAGE('20250815_ETF_Options_Exhibits'!U897:U901),"")</f>
        <v/>
      </c>
      <c r="V901" s="3">
        <f>IF(ISNUMBER(AVERAGE('20250815_ETF_Options_Exhibits'!V897:V901)),AVERAGE('20250815_ETF_Options_Exhibits'!V897:V901),"")</f>
        <v/>
      </c>
      <c r="W901" s="3">
        <f>IF(ISNUMBER(AVERAGE('20250815_ETF_Options_Exhibits'!W897:W901)),AVERAGE('20250815_ETF_Options_Exhibits'!W897:W901),"")</f>
        <v/>
      </c>
      <c r="X901" s="3">
        <f>IF(ISNUMBER(AVERAGE('20250815_ETF_Options_Exhibits'!X897:X901)),AVERAGE('20250815_ETF_Options_Exhibits'!X897:X901),"")</f>
        <v/>
      </c>
      <c r="Y901" s="3">
        <f>IF(ISNUMBER(AVERAGE('20250815_ETF_Options_Exhibits'!Y897:Y901)),AVERAGE('20250815_ETF_Options_Exhibits'!Y897:Y901),"")</f>
        <v/>
      </c>
      <c r="Z901" s="3">
        <f>IF(ISNUMBER(AVERAGE('20250815_ETF_Options_Exhibits'!Z897:Z901)),AVERAGE('20250815_ETF_Options_Exhibits'!Z897:Z901),"")</f>
        <v/>
      </c>
      <c r="AA901" s="3">
        <f>IF(ISNUMBER(AVERAGE('20250815_ETF_Options_Exhibits'!AA897:AA901)),AVERAGE('20250815_ETF_Options_Exhibits'!AA897:AA901),"")</f>
        <v/>
      </c>
    </row>
    <row r="902">
      <c r="A902" s="1" t="n">
        <v>43312</v>
      </c>
      <c r="B902" s="3">
        <f>IF(ISNUMBER(AVERAGE('20250815_ETF_Options_Exhibits'!B898:B902)),AVERAGE('20250815_ETF_Options_Exhibits'!B898:B902),"")</f>
        <v/>
      </c>
      <c r="C902" s="3">
        <f>IF(ISNUMBER(AVERAGE('20250815_ETF_Options_Exhibits'!C898:C902)),AVERAGE('20250815_ETF_Options_Exhibits'!C898:C902),"")</f>
        <v/>
      </c>
      <c r="D902" s="3">
        <f>IF(ISNUMBER(AVERAGE('20250815_ETF_Options_Exhibits'!D898:D902)),AVERAGE('20250815_ETF_Options_Exhibits'!D898:D902),"")</f>
        <v/>
      </c>
      <c r="E902" s="3">
        <f>IF(ISNUMBER(AVERAGE('20250815_ETF_Options_Exhibits'!E898:E902)),AVERAGE('20250815_ETF_Options_Exhibits'!E898:E902),"")</f>
        <v/>
      </c>
      <c r="F902" s="3">
        <f>IF(ISNUMBER(AVERAGE('20250815_ETF_Options_Exhibits'!F898:F902)),AVERAGE('20250815_ETF_Options_Exhibits'!F898:F902),"")</f>
        <v/>
      </c>
      <c r="G902" s="3">
        <f>IF(ISNUMBER(AVERAGE('20250815_ETF_Options_Exhibits'!G898:G902)),AVERAGE('20250815_ETF_Options_Exhibits'!G898:G902),"")</f>
        <v/>
      </c>
      <c r="H902" s="3">
        <f>IF(ISNUMBER(AVERAGE('20250815_ETF_Options_Exhibits'!H898:H902)),AVERAGE('20250815_ETF_Options_Exhibits'!H898:H902),"")</f>
        <v/>
      </c>
      <c r="I902" s="3">
        <f>IF(ISNUMBER(AVERAGE('20250815_ETF_Options_Exhibits'!I898:I902)),AVERAGE('20250815_ETF_Options_Exhibits'!I898:I902),"")</f>
        <v/>
      </c>
      <c r="J902" s="3">
        <f>IF(ISNUMBER(AVERAGE('20250815_ETF_Options_Exhibits'!J898:J902)),AVERAGE('20250815_ETF_Options_Exhibits'!J898:J902),"")</f>
        <v/>
      </c>
      <c r="K902" s="3">
        <f>IF(ISNUMBER(AVERAGE('20250815_ETF_Options_Exhibits'!K898:K902)),AVERAGE('20250815_ETF_Options_Exhibits'!K898:K902),"")</f>
        <v/>
      </c>
      <c r="L902" s="3">
        <f>IF(ISNUMBER(AVERAGE('20250815_ETF_Options_Exhibits'!L898:L902)),AVERAGE('20250815_ETF_Options_Exhibits'!L898:L902),"")</f>
        <v/>
      </c>
      <c r="M902" s="3">
        <f>IF(ISNUMBER(AVERAGE('20250815_ETF_Options_Exhibits'!M898:M902)),AVERAGE('20250815_ETF_Options_Exhibits'!M898:M902),"")</f>
        <v/>
      </c>
      <c r="N902" s="3">
        <f>IF(ISNUMBER(AVERAGE('20250815_ETF_Options_Exhibits'!N898:N902)),AVERAGE('20250815_ETF_Options_Exhibits'!N898:N902),"")</f>
        <v/>
      </c>
      <c r="O902" s="3">
        <f>IF(ISNUMBER(AVERAGE('20250815_ETF_Options_Exhibits'!O898:O902)),AVERAGE('20250815_ETF_Options_Exhibits'!O898:O902),"")</f>
        <v/>
      </c>
      <c r="P902" s="3">
        <f>IF(ISNUMBER(AVERAGE('20250815_ETF_Options_Exhibits'!P898:P902)),AVERAGE('20250815_ETF_Options_Exhibits'!P898:P902),"")</f>
        <v/>
      </c>
      <c r="Q902" s="3">
        <f>IF(ISNUMBER(AVERAGE('20250815_ETF_Options_Exhibits'!Q898:Q902)),AVERAGE('20250815_ETF_Options_Exhibits'!Q898:Q902),"")</f>
        <v/>
      </c>
      <c r="R902" s="3">
        <f>IF(ISNUMBER(AVERAGE('20250815_ETF_Options_Exhibits'!R898:R902)),AVERAGE('20250815_ETF_Options_Exhibits'!R898:R902),"")</f>
        <v/>
      </c>
      <c r="S902" s="3">
        <f>IF(ISNUMBER(AVERAGE('20250815_ETF_Options_Exhibits'!S898:S902)),AVERAGE('20250815_ETF_Options_Exhibits'!S898:S902),"")</f>
        <v/>
      </c>
      <c r="T902" s="3">
        <f>IF(ISNUMBER(AVERAGE('20250815_ETF_Options_Exhibits'!T898:T902)),AVERAGE('20250815_ETF_Options_Exhibits'!T898:T902),"")</f>
        <v/>
      </c>
      <c r="U902" s="3">
        <f>IF(ISNUMBER(AVERAGE('20250815_ETF_Options_Exhibits'!U898:U902)),AVERAGE('20250815_ETF_Options_Exhibits'!U898:U902),"")</f>
        <v/>
      </c>
      <c r="V902" s="3">
        <f>IF(ISNUMBER(AVERAGE('20250815_ETF_Options_Exhibits'!V898:V902)),AVERAGE('20250815_ETF_Options_Exhibits'!V898:V902),"")</f>
        <v/>
      </c>
      <c r="W902" s="3">
        <f>IF(ISNUMBER(AVERAGE('20250815_ETF_Options_Exhibits'!W898:W902)),AVERAGE('20250815_ETF_Options_Exhibits'!W898:W902),"")</f>
        <v/>
      </c>
      <c r="X902" s="3">
        <f>IF(ISNUMBER(AVERAGE('20250815_ETF_Options_Exhibits'!X898:X902)),AVERAGE('20250815_ETF_Options_Exhibits'!X898:X902),"")</f>
        <v/>
      </c>
      <c r="Y902" s="3">
        <f>IF(ISNUMBER(AVERAGE('20250815_ETF_Options_Exhibits'!Y898:Y902)),AVERAGE('20250815_ETF_Options_Exhibits'!Y898:Y902),"")</f>
        <v/>
      </c>
      <c r="Z902" s="3">
        <f>IF(ISNUMBER(AVERAGE('20250815_ETF_Options_Exhibits'!Z898:Z902)),AVERAGE('20250815_ETF_Options_Exhibits'!Z898:Z902),"")</f>
        <v/>
      </c>
      <c r="AA902" s="3">
        <f>IF(ISNUMBER(AVERAGE('20250815_ETF_Options_Exhibits'!AA898:AA902)),AVERAGE('20250815_ETF_Options_Exhibits'!AA898:AA902),"")</f>
        <v/>
      </c>
    </row>
    <row r="903">
      <c r="A903" s="1" t="n">
        <v>43313</v>
      </c>
      <c r="B903" s="3">
        <f>IF(ISNUMBER(AVERAGE('20250815_ETF_Options_Exhibits'!B899:B903)),AVERAGE('20250815_ETF_Options_Exhibits'!B899:B903),"")</f>
        <v/>
      </c>
      <c r="C903" s="3">
        <f>IF(ISNUMBER(AVERAGE('20250815_ETF_Options_Exhibits'!C899:C903)),AVERAGE('20250815_ETF_Options_Exhibits'!C899:C903),"")</f>
        <v/>
      </c>
      <c r="D903" s="3">
        <f>IF(ISNUMBER(AVERAGE('20250815_ETF_Options_Exhibits'!D899:D903)),AVERAGE('20250815_ETF_Options_Exhibits'!D899:D903),"")</f>
        <v/>
      </c>
      <c r="E903" s="3">
        <f>IF(ISNUMBER(AVERAGE('20250815_ETF_Options_Exhibits'!E899:E903)),AVERAGE('20250815_ETF_Options_Exhibits'!E899:E903),"")</f>
        <v/>
      </c>
      <c r="F903" s="3">
        <f>IF(ISNUMBER(AVERAGE('20250815_ETF_Options_Exhibits'!F899:F903)),AVERAGE('20250815_ETF_Options_Exhibits'!F899:F903),"")</f>
        <v/>
      </c>
      <c r="G903" s="3">
        <f>IF(ISNUMBER(AVERAGE('20250815_ETF_Options_Exhibits'!G899:G903)),AVERAGE('20250815_ETF_Options_Exhibits'!G899:G903),"")</f>
        <v/>
      </c>
      <c r="H903" s="3">
        <f>IF(ISNUMBER(AVERAGE('20250815_ETF_Options_Exhibits'!H899:H903)),AVERAGE('20250815_ETF_Options_Exhibits'!H899:H903),"")</f>
        <v/>
      </c>
      <c r="I903" s="3">
        <f>IF(ISNUMBER(AVERAGE('20250815_ETF_Options_Exhibits'!I899:I903)),AVERAGE('20250815_ETF_Options_Exhibits'!I899:I903),"")</f>
        <v/>
      </c>
      <c r="J903" s="3">
        <f>IF(ISNUMBER(AVERAGE('20250815_ETF_Options_Exhibits'!J899:J903)),AVERAGE('20250815_ETF_Options_Exhibits'!J899:J903),"")</f>
        <v/>
      </c>
      <c r="K903" s="3">
        <f>IF(ISNUMBER(AVERAGE('20250815_ETF_Options_Exhibits'!K899:K903)),AVERAGE('20250815_ETF_Options_Exhibits'!K899:K903),"")</f>
        <v/>
      </c>
      <c r="L903" s="3">
        <f>IF(ISNUMBER(AVERAGE('20250815_ETF_Options_Exhibits'!L899:L903)),AVERAGE('20250815_ETF_Options_Exhibits'!L899:L903),"")</f>
        <v/>
      </c>
      <c r="M903" s="3">
        <f>IF(ISNUMBER(AVERAGE('20250815_ETF_Options_Exhibits'!M899:M903)),AVERAGE('20250815_ETF_Options_Exhibits'!M899:M903),"")</f>
        <v/>
      </c>
      <c r="N903" s="3">
        <f>IF(ISNUMBER(AVERAGE('20250815_ETF_Options_Exhibits'!N899:N903)),AVERAGE('20250815_ETF_Options_Exhibits'!N899:N903),"")</f>
        <v/>
      </c>
      <c r="O903" s="3">
        <f>IF(ISNUMBER(AVERAGE('20250815_ETF_Options_Exhibits'!O899:O903)),AVERAGE('20250815_ETF_Options_Exhibits'!O899:O903),"")</f>
        <v/>
      </c>
      <c r="P903" s="3">
        <f>IF(ISNUMBER(AVERAGE('20250815_ETF_Options_Exhibits'!P899:P903)),AVERAGE('20250815_ETF_Options_Exhibits'!P899:P903),"")</f>
        <v/>
      </c>
      <c r="Q903" s="3">
        <f>IF(ISNUMBER(AVERAGE('20250815_ETF_Options_Exhibits'!Q899:Q903)),AVERAGE('20250815_ETF_Options_Exhibits'!Q899:Q903),"")</f>
        <v/>
      </c>
      <c r="R903" s="3">
        <f>IF(ISNUMBER(AVERAGE('20250815_ETF_Options_Exhibits'!R899:R903)),AVERAGE('20250815_ETF_Options_Exhibits'!R899:R903),"")</f>
        <v/>
      </c>
      <c r="S903" s="3">
        <f>IF(ISNUMBER(AVERAGE('20250815_ETF_Options_Exhibits'!S899:S903)),AVERAGE('20250815_ETF_Options_Exhibits'!S899:S903),"")</f>
        <v/>
      </c>
      <c r="T903" s="3">
        <f>IF(ISNUMBER(AVERAGE('20250815_ETF_Options_Exhibits'!T899:T903)),AVERAGE('20250815_ETF_Options_Exhibits'!T899:T903),"")</f>
        <v/>
      </c>
      <c r="U903" s="3">
        <f>IF(ISNUMBER(AVERAGE('20250815_ETF_Options_Exhibits'!U899:U903)),AVERAGE('20250815_ETF_Options_Exhibits'!U899:U903),"")</f>
        <v/>
      </c>
      <c r="V903" s="3">
        <f>IF(ISNUMBER(AVERAGE('20250815_ETF_Options_Exhibits'!V899:V903)),AVERAGE('20250815_ETF_Options_Exhibits'!V899:V903),"")</f>
        <v/>
      </c>
      <c r="W903" s="3">
        <f>IF(ISNUMBER(AVERAGE('20250815_ETF_Options_Exhibits'!W899:W903)),AVERAGE('20250815_ETF_Options_Exhibits'!W899:W903),"")</f>
        <v/>
      </c>
      <c r="X903" s="3">
        <f>IF(ISNUMBER(AVERAGE('20250815_ETF_Options_Exhibits'!X899:X903)),AVERAGE('20250815_ETF_Options_Exhibits'!X899:X903),"")</f>
        <v/>
      </c>
      <c r="Y903" s="3">
        <f>IF(ISNUMBER(AVERAGE('20250815_ETF_Options_Exhibits'!Y899:Y903)),AVERAGE('20250815_ETF_Options_Exhibits'!Y899:Y903),"")</f>
        <v/>
      </c>
      <c r="Z903" s="3">
        <f>IF(ISNUMBER(AVERAGE('20250815_ETF_Options_Exhibits'!Z899:Z903)),AVERAGE('20250815_ETF_Options_Exhibits'!Z899:Z903),"")</f>
        <v/>
      </c>
      <c r="AA903" s="3">
        <f>IF(ISNUMBER(AVERAGE('20250815_ETF_Options_Exhibits'!AA899:AA903)),AVERAGE('20250815_ETF_Options_Exhibits'!AA899:AA903),"")</f>
        <v/>
      </c>
    </row>
    <row r="904">
      <c r="A904" s="1" t="n">
        <v>43314</v>
      </c>
      <c r="B904" s="3">
        <f>IF(ISNUMBER(AVERAGE('20250815_ETF_Options_Exhibits'!B900:B904)),AVERAGE('20250815_ETF_Options_Exhibits'!B900:B904),"")</f>
        <v/>
      </c>
      <c r="C904" s="3">
        <f>IF(ISNUMBER(AVERAGE('20250815_ETF_Options_Exhibits'!C900:C904)),AVERAGE('20250815_ETF_Options_Exhibits'!C900:C904),"")</f>
        <v/>
      </c>
      <c r="D904" s="3">
        <f>IF(ISNUMBER(AVERAGE('20250815_ETF_Options_Exhibits'!D900:D904)),AVERAGE('20250815_ETF_Options_Exhibits'!D900:D904),"")</f>
        <v/>
      </c>
      <c r="E904" s="3">
        <f>IF(ISNUMBER(AVERAGE('20250815_ETF_Options_Exhibits'!E900:E904)),AVERAGE('20250815_ETF_Options_Exhibits'!E900:E904),"")</f>
        <v/>
      </c>
      <c r="F904" s="3">
        <f>IF(ISNUMBER(AVERAGE('20250815_ETF_Options_Exhibits'!F900:F904)),AVERAGE('20250815_ETF_Options_Exhibits'!F900:F904),"")</f>
        <v/>
      </c>
      <c r="G904" s="3">
        <f>IF(ISNUMBER(AVERAGE('20250815_ETF_Options_Exhibits'!G900:G904)),AVERAGE('20250815_ETF_Options_Exhibits'!G900:G904),"")</f>
        <v/>
      </c>
      <c r="H904" s="3">
        <f>IF(ISNUMBER(AVERAGE('20250815_ETF_Options_Exhibits'!H900:H904)),AVERAGE('20250815_ETF_Options_Exhibits'!H900:H904),"")</f>
        <v/>
      </c>
      <c r="I904" s="3">
        <f>IF(ISNUMBER(AVERAGE('20250815_ETF_Options_Exhibits'!I900:I904)),AVERAGE('20250815_ETF_Options_Exhibits'!I900:I904),"")</f>
        <v/>
      </c>
      <c r="J904" s="3">
        <f>IF(ISNUMBER(AVERAGE('20250815_ETF_Options_Exhibits'!J900:J904)),AVERAGE('20250815_ETF_Options_Exhibits'!J900:J904),"")</f>
        <v/>
      </c>
      <c r="K904" s="3">
        <f>IF(ISNUMBER(AVERAGE('20250815_ETF_Options_Exhibits'!K900:K904)),AVERAGE('20250815_ETF_Options_Exhibits'!K900:K904),"")</f>
        <v/>
      </c>
      <c r="L904" s="3">
        <f>IF(ISNUMBER(AVERAGE('20250815_ETF_Options_Exhibits'!L900:L904)),AVERAGE('20250815_ETF_Options_Exhibits'!L900:L904),"")</f>
        <v/>
      </c>
      <c r="M904" s="3">
        <f>IF(ISNUMBER(AVERAGE('20250815_ETF_Options_Exhibits'!M900:M904)),AVERAGE('20250815_ETF_Options_Exhibits'!M900:M904),"")</f>
        <v/>
      </c>
      <c r="N904" s="3">
        <f>IF(ISNUMBER(AVERAGE('20250815_ETF_Options_Exhibits'!N900:N904)),AVERAGE('20250815_ETF_Options_Exhibits'!N900:N904),"")</f>
        <v/>
      </c>
      <c r="O904" s="3">
        <f>IF(ISNUMBER(AVERAGE('20250815_ETF_Options_Exhibits'!O900:O904)),AVERAGE('20250815_ETF_Options_Exhibits'!O900:O904),"")</f>
        <v/>
      </c>
      <c r="P904" s="3">
        <f>IF(ISNUMBER(AVERAGE('20250815_ETF_Options_Exhibits'!P900:P904)),AVERAGE('20250815_ETF_Options_Exhibits'!P900:P904),"")</f>
        <v/>
      </c>
      <c r="Q904" s="3">
        <f>IF(ISNUMBER(AVERAGE('20250815_ETF_Options_Exhibits'!Q900:Q904)),AVERAGE('20250815_ETF_Options_Exhibits'!Q900:Q904),"")</f>
        <v/>
      </c>
      <c r="R904" s="3">
        <f>IF(ISNUMBER(AVERAGE('20250815_ETF_Options_Exhibits'!R900:R904)),AVERAGE('20250815_ETF_Options_Exhibits'!R900:R904),"")</f>
        <v/>
      </c>
      <c r="S904" s="3">
        <f>IF(ISNUMBER(AVERAGE('20250815_ETF_Options_Exhibits'!S900:S904)),AVERAGE('20250815_ETF_Options_Exhibits'!S900:S904),"")</f>
        <v/>
      </c>
      <c r="T904" s="3">
        <f>IF(ISNUMBER(AVERAGE('20250815_ETF_Options_Exhibits'!T900:T904)),AVERAGE('20250815_ETF_Options_Exhibits'!T900:T904),"")</f>
        <v/>
      </c>
      <c r="U904" s="3">
        <f>IF(ISNUMBER(AVERAGE('20250815_ETF_Options_Exhibits'!U900:U904)),AVERAGE('20250815_ETF_Options_Exhibits'!U900:U904),"")</f>
        <v/>
      </c>
      <c r="V904" s="3">
        <f>IF(ISNUMBER(AVERAGE('20250815_ETF_Options_Exhibits'!V900:V904)),AVERAGE('20250815_ETF_Options_Exhibits'!V900:V904),"")</f>
        <v/>
      </c>
      <c r="W904" s="3">
        <f>IF(ISNUMBER(AVERAGE('20250815_ETF_Options_Exhibits'!W900:W904)),AVERAGE('20250815_ETF_Options_Exhibits'!W900:W904),"")</f>
        <v/>
      </c>
      <c r="X904" s="3">
        <f>IF(ISNUMBER(AVERAGE('20250815_ETF_Options_Exhibits'!X900:X904)),AVERAGE('20250815_ETF_Options_Exhibits'!X900:X904),"")</f>
        <v/>
      </c>
      <c r="Y904" s="3">
        <f>IF(ISNUMBER(AVERAGE('20250815_ETF_Options_Exhibits'!Y900:Y904)),AVERAGE('20250815_ETF_Options_Exhibits'!Y900:Y904),"")</f>
        <v/>
      </c>
      <c r="Z904" s="3">
        <f>IF(ISNUMBER(AVERAGE('20250815_ETF_Options_Exhibits'!Z900:Z904)),AVERAGE('20250815_ETF_Options_Exhibits'!Z900:Z904),"")</f>
        <v/>
      </c>
      <c r="AA904" s="3">
        <f>IF(ISNUMBER(AVERAGE('20250815_ETF_Options_Exhibits'!AA900:AA904)),AVERAGE('20250815_ETF_Options_Exhibits'!AA900:AA904),"")</f>
        <v/>
      </c>
    </row>
    <row r="905">
      <c r="A905" s="1" t="n">
        <v>43315</v>
      </c>
      <c r="B905" s="3">
        <f>IF(ISNUMBER(AVERAGE('20250815_ETF_Options_Exhibits'!B901:B905)),AVERAGE('20250815_ETF_Options_Exhibits'!B901:B905),"")</f>
        <v/>
      </c>
      <c r="C905" s="3">
        <f>IF(ISNUMBER(AVERAGE('20250815_ETF_Options_Exhibits'!C901:C905)),AVERAGE('20250815_ETF_Options_Exhibits'!C901:C905),"")</f>
        <v/>
      </c>
      <c r="D905" s="3">
        <f>IF(ISNUMBER(AVERAGE('20250815_ETF_Options_Exhibits'!D901:D905)),AVERAGE('20250815_ETF_Options_Exhibits'!D901:D905),"")</f>
        <v/>
      </c>
      <c r="E905" s="3">
        <f>IF(ISNUMBER(AVERAGE('20250815_ETF_Options_Exhibits'!E901:E905)),AVERAGE('20250815_ETF_Options_Exhibits'!E901:E905),"")</f>
        <v/>
      </c>
      <c r="F905" s="3">
        <f>IF(ISNUMBER(AVERAGE('20250815_ETF_Options_Exhibits'!F901:F905)),AVERAGE('20250815_ETF_Options_Exhibits'!F901:F905),"")</f>
        <v/>
      </c>
      <c r="G905" s="3">
        <f>IF(ISNUMBER(AVERAGE('20250815_ETF_Options_Exhibits'!G901:G905)),AVERAGE('20250815_ETF_Options_Exhibits'!G901:G905),"")</f>
        <v/>
      </c>
      <c r="H905" s="3">
        <f>IF(ISNUMBER(AVERAGE('20250815_ETF_Options_Exhibits'!H901:H905)),AVERAGE('20250815_ETF_Options_Exhibits'!H901:H905),"")</f>
        <v/>
      </c>
      <c r="I905" s="3">
        <f>IF(ISNUMBER(AVERAGE('20250815_ETF_Options_Exhibits'!I901:I905)),AVERAGE('20250815_ETF_Options_Exhibits'!I901:I905),"")</f>
        <v/>
      </c>
      <c r="J905" s="3">
        <f>IF(ISNUMBER(AVERAGE('20250815_ETF_Options_Exhibits'!J901:J905)),AVERAGE('20250815_ETF_Options_Exhibits'!J901:J905),"")</f>
        <v/>
      </c>
      <c r="K905" s="3">
        <f>IF(ISNUMBER(AVERAGE('20250815_ETF_Options_Exhibits'!K901:K905)),AVERAGE('20250815_ETF_Options_Exhibits'!K901:K905),"")</f>
        <v/>
      </c>
      <c r="L905" s="3">
        <f>IF(ISNUMBER(AVERAGE('20250815_ETF_Options_Exhibits'!L901:L905)),AVERAGE('20250815_ETF_Options_Exhibits'!L901:L905),"")</f>
        <v/>
      </c>
      <c r="M905" s="3">
        <f>IF(ISNUMBER(AVERAGE('20250815_ETF_Options_Exhibits'!M901:M905)),AVERAGE('20250815_ETF_Options_Exhibits'!M901:M905),"")</f>
        <v/>
      </c>
      <c r="N905" s="3">
        <f>IF(ISNUMBER(AVERAGE('20250815_ETF_Options_Exhibits'!N901:N905)),AVERAGE('20250815_ETF_Options_Exhibits'!N901:N905),"")</f>
        <v/>
      </c>
      <c r="O905" s="3">
        <f>IF(ISNUMBER(AVERAGE('20250815_ETF_Options_Exhibits'!O901:O905)),AVERAGE('20250815_ETF_Options_Exhibits'!O901:O905),"")</f>
        <v/>
      </c>
      <c r="P905" s="3">
        <f>IF(ISNUMBER(AVERAGE('20250815_ETF_Options_Exhibits'!P901:P905)),AVERAGE('20250815_ETF_Options_Exhibits'!P901:P905),"")</f>
        <v/>
      </c>
      <c r="Q905" s="3">
        <f>IF(ISNUMBER(AVERAGE('20250815_ETF_Options_Exhibits'!Q901:Q905)),AVERAGE('20250815_ETF_Options_Exhibits'!Q901:Q905),"")</f>
        <v/>
      </c>
      <c r="R905" s="3">
        <f>IF(ISNUMBER(AVERAGE('20250815_ETF_Options_Exhibits'!R901:R905)),AVERAGE('20250815_ETF_Options_Exhibits'!R901:R905),"")</f>
        <v/>
      </c>
      <c r="S905" s="3">
        <f>IF(ISNUMBER(AVERAGE('20250815_ETF_Options_Exhibits'!S901:S905)),AVERAGE('20250815_ETF_Options_Exhibits'!S901:S905),"")</f>
        <v/>
      </c>
      <c r="T905" s="3">
        <f>IF(ISNUMBER(AVERAGE('20250815_ETF_Options_Exhibits'!T901:T905)),AVERAGE('20250815_ETF_Options_Exhibits'!T901:T905),"")</f>
        <v/>
      </c>
      <c r="U905" s="3">
        <f>IF(ISNUMBER(AVERAGE('20250815_ETF_Options_Exhibits'!U901:U905)),AVERAGE('20250815_ETF_Options_Exhibits'!U901:U905),"")</f>
        <v/>
      </c>
      <c r="V905" s="3">
        <f>IF(ISNUMBER(AVERAGE('20250815_ETF_Options_Exhibits'!V901:V905)),AVERAGE('20250815_ETF_Options_Exhibits'!V901:V905),"")</f>
        <v/>
      </c>
      <c r="W905" s="3">
        <f>IF(ISNUMBER(AVERAGE('20250815_ETF_Options_Exhibits'!W901:W905)),AVERAGE('20250815_ETF_Options_Exhibits'!W901:W905),"")</f>
        <v/>
      </c>
      <c r="X905" s="3">
        <f>IF(ISNUMBER(AVERAGE('20250815_ETF_Options_Exhibits'!X901:X905)),AVERAGE('20250815_ETF_Options_Exhibits'!X901:X905),"")</f>
        <v/>
      </c>
      <c r="Y905" s="3">
        <f>IF(ISNUMBER(AVERAGE('20250815_ETF_Options_Exhibits'!Y901:Y905)),AVERAGE('20250815_ETF_Options_Exhibits'!Y901:Y905),"")</f>
        <v/>
      </c>
      <c r="Z905" s="3">
        <f>IF(ISNUMBER(AVERAGE('20250815_ETF_Options_Exhibits'!Z901:Z905)),AVERAGE('20250815_ETF_Options_Exhibits'!Z901:Z905),"")</f>
        <v/>
      </c>
      <c r="AA905" s="3">
        <f>IF(ISNUMBER(AVERAGE('20250815_ETF_Options_Exhibits'!AA901:AA905)),AVERAGE('20250815_ETF_Options_Exhibits'!AA901:AA905),"")</f>
        <v/>
      </c>
    </row>
    <row r="906">
      <c r="A906" s="1" t="n">
        <v>43318</v>
      </c>
      <c r="B906" s="3">
        <f>IF(ISNUMBER(AVERAGE('20250815_ETF_Options_Exhibits'!B902:B906)),AVERAGE('20250815_ETF_Options_Exhibits'!B902:B906),"")</f>
        <v/>
      </c>
      <c r="C906" s="3">
        <f>IF(ISNUMBER(AVERAGE('20250815_ETF_Options_Exhibits'!C902:C906)),AVERAGE('20250815_ETF_Options_Exhibits'!C902:C906),"")</f>
        <v/>
      </c>
      <c r="D906" s="3">
        <f>IF(ISNUMBER(AVERAGE('20250815_ETF_Options_Exhibits'!D902:D906)),AVERAGE('20250815_ETF_Options_Exhibits'!D902:D906),"")</f>
        <v/>
      </c>
      <c r="E906" s="3">
        <f>IF(ISNUMBER(AVERAGE('20250815_ETF_Options_Exhibits'!E902:E906)),AVERAGE('20250815_ETF_Options_Exhibits'!E902:E906),"")</f>
        <v/>
      </c>
      <c r="F906" s="3">
        <f>IF(ISNUMBER(AVERAGE('20250815_ETF_Options_Exhibits'!F902:F906)),AVERAGE('20250815_ETF_Options_Exhibits'!F902:F906),"")</f>
        <v/>
      </c>
      <c r="G906" s="3">
        <f>IF(ISNUMBER(AVERAGE('20250815_ETF_Options_Exhibits'!G902:G906)),AVERAGE('20250815_ETF_Options_Exhibits'!G902:G906),"")</f>
        <v/>
      </c>
      <c r="H906" s="3">
        <f>IF(ISNUMBER(AVERAGE('20250815_ETF_Options_Exhibits'!H902:H906)),AVERAGE('20250815_ETF_Options_Exhibits'!H902:H906),"")</f>
        <v/>
      </c>
      <c r="I906" s="3">
        <f>IF(ISNUMBER(AVERAGE('20250815_ETF_Options_Exhibits'!I902:I906)),AVERAGE('20250815_ETF_Options_Exhibits'!I902:I906),"")</f>
        <v/>
      </c>
      <c r="J906" s="3">
        <f>IF(ISNUMBER(AVERAGE('20250815_ETF_Options_Exhibits'!J902:J906)),AVERAGE('20250815_ETF_Options_Exhibits'!J902:J906),"")</f>
        <v/>
      </c>
      <c r="K906" s="3">
        <f>IF(ISNUMBER(AVERAGE('20250815_ETF_Options_Exhibits'!K902:K906)),AVERAGE('20250815_ETF_Options_Exhibits'!K902:K906),"")</f>
        <v/>
      </c>
      <c r="L906" s="3">
        <f>IF(ISNUMBER(AVERAGE('20250815_ETF_Options_Exhibits'!L902:L906)),AVERAGE('20250815_ETF_Options_Exhibits'!L902:L906),"")</f>
        <v/>
      </c>
      <c r="M906" s="3">
        <f>IF(ISNUMBER(AVERAGE('20250815_ETF_Options_Exhibits'!M902:M906)),AVERAGE('20250815_ETF_Options_Exhibits'!M902:M906),"")</f>
        <v/>
      </c>
      <c r="N906" s="3">
        <f>IF(ISNUMBER(AVERAGE('20250815_ETF_Options_Exhibits'!N902:N906)),AVERAGE('20250815_ETF_Options_Exhibits'!N902:N906),"")</f>
        <v/>
      </c>
      <c r="O906" s="3">
        <f>IF(ISNUMBER(AVERAGE('20250815_ETF_Options_Exhibits'!O902:O906)),AVERAGE('20250815_ETF_Options_Exhibits'!O902:O906),"")</f>
        <v/>
      </c>
      <c r="P906" s="3">
        <f>IF(ISNUMBER(AVERAGE('20250815_ETF_Options_Exhibits'!P902:P906)),AVERAGE('20250815_ETF_Options_Exhibits'!P902:P906),"")</f>
        <v/>
      </c>
      <c r="Q906" s="3">
        <f>IF(ISNUMBER(AVERAGE('20250815_ETF_Options_Exhibits'!Q902:Q906)),AVERAGE('20250815_ETF_Options_Exhibits'!Q902:Q906),"")</f>
        <v/>
      </c>
      <c r="R906" s="3">
        <f>IF(ISNUMBER(AVERAGE('20250815_ETF_Options_Exhibits'!R902:R906)),AVERAGE('20250815_ETF_Options_Exhibits'!R902:R906),"")</f>
        <v/>
      </c>
      <c r="S906" s="3">
        <f>IF(ISNUMBER(AVERAGE('20250815_ETF_Options_Exhibits'!S902:S906)),AVERAGE('20250815_ETF_Options_Exhibits'!S902:S906),"")</f>
        <v/>
      </c>
      <c r="T906" s="3">
        <f>IF(ISNUMBER(AVERAGE('20250815_ETF_Options_Exhibits'!T902:T906)),AVERAGE('20250815_ETF_Options_Exhibits'!T902:T906),"")</f>
        <v/>
      </c>
      <c r="U906" s="3">
        <f>IF(ISNUMBER(AVERAGE('20250815_ETF_Options_Exhibits'!U902:U906)),AVERAGE('20250815_ETF_Options_Exhibits'!U902:U906),"")</f>
        <v/>
      </c>
      <c r="V906" s="3">
        <f>IF(ISNUMBER(AVERAGE('20250815_ETF_Options_Exhibits'!V902:V906)),AVERAGE('20250815_ETF_Options_Exhibits'!V902:V906),"")</f>
        <v/>
      </c>
      <c r="W906" s="3">
        <f>IF(ISNUMBER(AVERAGE('20250815_ETF_Options_Exhibits'!W902:W906)),AVERAGE('20250815_ETF_Options_Exhibits'!W902:W906),"")</f>
        <v/>
      </c>
      <c r="X906" s="3">
        <f>IF(ISNUMBER(AVERAGE('20250815_ETF_Options_Exhibits'!X902:X906)),AVERAGE('20250815_ETF_Options_Exhibits'!X902:X906),"")</f>
        <v/>
      </c>
      <c r="Y906" s="3">
        <f>IF(ISNUMBER(AVERAGE('20250815_ETF_Options_Exhibits'!Y902:Y906)),AVERAGE('20250815_ETF_Options_Exhibits'!Y902:Y906),"")</f>
        <v/>
      </c>
      <c r="Z906" s="3">
        <f>IF(ISNUMBER(AVERAGE('20250815_ETF_Options_Exhibits'!Z902:Z906)),AVERAGE('20250815_ETF_Options_Exhibits'!Z902:Z906),"")</f>
        <v/>
      </c>
      <c r="AA906" s="3">
        <f>IF(ISNUMBER(AVERAGE('20250815_ETF_Options_Exhibits'!AA902:AA906)),AVERAGE('20250815_ETF_Options_Exhibits'!AA902:AA906),"")</f>
        <v/>
      </c>
    </row>
    <row r="907">
      <c r="A907" s="1" t="n">
        <v>43319</v>
      </c>
      <c r="B907" s="3">
        <f>IF(ISNUMBER(AVERAGE('20250815_ETF_Options_Exhibits'!B903:B907)),AVERAGE('20250815_ETF_Options_Exhibits'!B903:B907),"")</f>
        <v/>
      </c>
      <c r="C907" s="3">
        <f>IF(ISNUMBER(AVERAGE('20250815_ETF_Options_Exhibits'!C903:C907)),AVERAGE('20250815_ETF_Options_Exhibits'!C903:C907),"")</f>
        <v/>
      </c>
      <c r="D907" s="3">
        <f>IF(ISNUMBER(AVERAGE('20250815_ETF_Options_Exhibits'!D903:D907)),AVERAGE('20250815_ETF_Options_Exhibits'!D903:D907),"")</f>
        <v/>
      </c>
      <c r="E907" s="3">
        <f>IF(ISNUMBER(AVERAGE('20250815_ETF_Options_Exhibits'!E903:E907)),AVERAGE('20250815_ETF_Options_Exhibits'!E903:E907),"")</f>
        <v/>
      </c>
      <c r="F907" s="3">
        <f>IF(ISNUMBER(AVERAGE('20250815_ETF_Options_Exhibits'!F903:F907)),AVERAGE('20250815_ETF_Options_Exhibits'!F903:F907),"")</f>
        <v/>
      </c>
      <c r="G907" s="3">
        <f>IF(ISNUMBER(AVERAGE('20250815_ETF_Options_Exhibits'!G903:G907)),AVERAGE('20250815_ETF_Options_Exhibits'!G903:G907),"")</f>
        <v/>
      </c>
      <c r="H907" s="3">
        <f>IF(ISNUMBER(AVERAGE('20250815_ETF_Options_Exhibits'!H903:H907)),AVERAGE('20250815_ETF_Options_Exhibits'!H903:H907),"")</f>
        <v/>
      </c>
      <c r="I907" s="3">
        <f>IF(ISNUMBER(AVERAGE('20250815_ETF_Options_Exhibits'!I903:I907)),AVERAGE('20250815_ETF_Options_Exhibits'!I903:I907),"")</f>
        <v/>
      </c>
      <c r="J907" s="3">
        <f>IF(ISNUMBER(AVERAGE('20250815_ETF_Options_Exhibits'!J903:J907)),AVERAGE('20250815_ETF_Options_Exhibits'!J903:J907),"")</f>
        <v/>
      </c>
      <c r="K907" s="3">
        <f>IF(ISNUMBER(AVERAGE('20250815_ETF_Options_Exhibits'!K903:K907)),AVERAGE('20250815_ETF_Options_Exhibits'!K903:K907),"")</f>
        <v/>
      </c>
      <c r="L907" s="3">
        <f>IF(ISNUMBER(AVERAGE('20250815_ETF_Options_Exhibits'!L903:L907)),AVERAGE('20250815_ETF_Options_Exhibits'!L903:L907),"")</f>
        <v/>
      </c>
      <c r="M907" s="3">
        <f>IF(ISNUMBER(AVERAGE('20250815_ETF_Options_Exhibits'!M903:M907)),AVERAGE('20250815_ETF_Options_Exhibits'!M903:M907),"")</f>
        <v/>
      </c>
      <c r="N907" s="3">
        <f>IF(ISNUMBER(AVERAGE('20250815_ETF_Options_Exhibits'!N903:N907)),AVERAGE('20250815_ETF_Options_Exhibits'!N903:N907),"")</f>
        <v/>
      </c>
      <c r="O907" s="3">
        <f>IF(ISNUMBER(AVERAGE('20250815_ETF_Options_Exhibits'!O903:O907)),AVERAGE('20250815_ETF_Options_Exhibits'!O903:O907),"")</f>
        <v/>
      </c>
      <c r="P907" s="3">
        <f>IF(ISNUMBER(AVERAGE('20250815_ETF_Options_Exhibits'!P903:P907)),AVERAGE('20250815_ETF_Options_Exhibits'!P903:P907),"")</f>
        <v/>
      </c>
      <c r="Q907" s="3">
        <f>IF(ISNUMBER(AVERAGE('20250815_ETF_Options_Exhibits'!Q903:Q907)),AVERAGE('20250815_ETF_Options_Exhibits'!Q903:Q907),"")</f>
        <v/>
      </c>
      <c r="R907" s="3">
        <f>IF(ISNUMBER(AVERAGE('20250815_ETF_Options_Exhibits'!R903:R907)),AVERAGE('20250815_ETF_Options_Exhibits'!R903:R907),"")</f>
        <v/>
      </c>
      <c r="S907" s="3">
        <f>IF(ISNUMBER(AVERAGE('20250815_ETF_Options_Exhibits'!S903:S907)),AVERAGE('20250815_ETF_Options_Exhibits'!S903:S907),"")</f>
        <v/>
      </c>
      <c r="T907" s="3">
        <f>IF(ISNUMBER(AVERAGE('20250815_ETF_Options_Exhibits'!T903:T907)),AVERAGE('20250815_ETF_Options_Exhibits'!T903:T907),"")</f>
        <v/>
      </c>
      <c r="U907" s="3">
        <f>IF(ISNUMBER(AVERAGE('20250815_ETF_Options_Exhibits'!U903:U907)),AVERAGE('20250815_ETF_Options_Exhibits'!U903:U907),"")</f>
        <v/>
      </c>
      <c r="V907" s="3">
        <f>IF(ISNUMBER(AVERAGE('20250815_ETF_Options_Exhibits'!V903:V907)),AVERAGE('20250815_ETF_Options_Exhibits'!V903:V907),"")</f>
        <v/>
      </c>
      <c r="W907" s="3">
        <f>IF(ISNUMBER(AVERAGE('20250815_ETF_Options_Exhibits'!W903:W907)),AVERAGE('20250815_ETF_Options_Exhibits'!W903:W907),"")</f>
        <v/>
      </c>
      <c r="X907" s="3">
        <f>IF(ISNUMBER(AVERAGE('20250815_ETF_Options_Exhibits'!X903:X907)),AVERAGE('20250815_ETF_Options_Exhibits'!X903:X907),"")</f>
        <v/>
      </c>
      <c r="Y907" s="3">
        <f>IF(ISNUMBER(AVERAGE('20250815_ETF_Options_Exhibits'!Y903:Y907)),AVERAGE('20250815_ETF_Options_Exhibits'!Y903:Y907),"")</f>
        <v/>
      </c>
      <c r="Z907" s="3">
        <f>IF(ISNUMBER(AVERAGE('20250815_ETF_Options_Exhibits'!Z903:Z907)),AVERAGE('20250815_ETF_Options_Exhibits'!Z903:Z907),"")</f>
        <v/>
      </c>
      <c r="AA907" s="3">
        <f>IF(ISNUMBER(AVERAGE('20250815_ETF_Options_Exhibits'!AA903:AA907)),AVERAGE('20250815_ETF_Options_Exhibits'!AA903:AA907),"")</f>
        <v/>
      </c>
    </row>
    <row r="908">
      <c r="A908" s="1" t="n">
        <v>43320</v>
      </c>
      <c r="B908" s="3">
        <f>IF(ISNUMBER(AVERAGE('20250815_ETF_Options_Exhibits'!B904:B908)),AVERAGE('20250815_ETF_Options_Exhibits'!B904:B908),"")</f>
        <v/>
      </c>
      <c r="C908" s="3">
        <f>IF(ISNUMBER(AVERAGE('20250815_ETF_Options_Exhibits'!C904:C908)),AVERAGE('20250815_ETF_Options_Exhibits'!C904:C908),"")</f>
        <v/>
      </c>
      <c r="D908" s="3">
        <f>IF(ISNUMBER(AVERAGE('20250815_ETF_Options_Exhibits'!D904:D908)),AVERAGE('20250815_ETF_Options_Exhibits'!D904:D908),"")</f>
        <v/>
      </c>
      <c r="E908" s="3">
        <f>IF(ISNUMBER(AVERAGE('20250815_ETF_Options_Exhibits'!E904:E908)),AVERAGE('20250815_ETF_Options_Exhibits'!E904:E908),"")</f>
        <v/>
      </c>
      <c r="F908" s="3">
        <f>IF(ISNUMBER(AVERAGE('20250815_ETF_Options_Exhibits'!F904:F908)),AVERAGE('20250815_ETF_Options_Exhibits'!F904:F908),"")</f>
        <v/>
      </c>
      <c r="G908" s="3">
        <f>IF(ISNUMBER(AVERAGE('20250815_ETF_Options_Exhibits'!G904:G908)),AVERAGE('20250815_ETF_Options_Exhibits'!G904:G908),"")</f>
        <v/>
      </c>
      <c r="H908" s="3">
        <f>IF(ISNUMBER(AVERAGE('20250815_ETF_Options_Exhibits'!H904:H908)),AVERAGE('20250815_ETF_Options_Exhibits'!H904:H908),"")</f>
        <v/>
      </c>
      <c r="I908" s="3">
        <f>IF(ISNUMBER(AVERAGE('20250815_ETF_Options_Exhibits'!I904:I908)),AVERAGE('20250815_ETF_Options_Exhibits'!I904:I908),"")</f>
        <v/>
      </c>
      <c r="J908" s="3">
        <f>IF(ISNUMBER(AVERAGE('20250815_ETF_Options_Exhibits'!J904:J908)),AVERAGE('20250815_ETF_Options_Exhibits'!J904:J908),"")</f>
        <v/>
      </c>
      <c r="K908" s="3">
        <f>IF(ISNUMBER(AVERAGE('20250815_ETF_Options_Exhibits'!K904:K908)),AVERAGE('20250815_ETF_Options_Exhibits'!K904:K908),"")</f>
        <v/>
      </c>
      <c r="L908" s="3">
        <f>IF(ISNUMBER(AVERAGE('20250815_ETF_Options_Exhibits'!L904:L908)),AVERAGE('20250815_ETF_Options_Exhibits'!L904:L908),"")</f>
        <v/>
      </c>
      <c r="M908" s="3">
        <f>IF(ISNUMBER(AVERAGE('20250815_ETF_Options_Exhibits'!M904:M908)),AVERAGE('20250815_ETF_Options_Exhibits'!M904:M908),"")</f>
        <v/>
      </c>
      <c r="N908" s="3">
        <f>IF(ISNUMBER(AVERAGE('20250815_ETF_Options_Exhibits'!N904:N908)),AVERAGE('20250815_ETF_Options_Exhibits'!N904:N908),"")</f>
        <v/>
      </c>
      <c r="O908" s="3">
        <f>IF(ISNUMBER(AVERAGE('20250815_ETF_Options_Exhibits'!O904:O908)),AVERAGE('20250815_ETF_Options_Exhibits'!O904:O908),"")</f>
        <v/>
      </c>
      <c r="P908" s="3">
        <f>IF(ISNUMBER(AVERAGE('20250815_ETF_Options_Exhibits'!P904:P908)),AVERAGE('20250815_ETF_Options_Exhibits'!P904:P908),"")</f>
        <v/>
      </c>
      <c r="Q908" s="3">
        <f>IF(ISNUMBER(AVERAGE('20250815_ETF_Options_Exhibits'!Q904:Q908)),AVERAGE('20250815_ETF_Options_Exhibits'!Q904:Q908),"")</f>
        <v/>
      </c>
      <c r="R908" s="3">
        <f>IF(ISNUMBER(AVERAGE('20250815_ETF_Options_Exhibits'!R904:R908)),AVERAGE('20250815_ETF_Options_Exhibits'!R904:R908),"")</f>
        <v/>
      </c>
      <c r="S908" s="3">
        <f>IF(ISNUMBER(AVERAGE('20250815_ETF_Options_Exhibits'!S904:S908)),AVERAGE('20250815_ETF_Options_Exhibits'!S904:S908),"")</f>
        <v/>
      </c>
      <c r="T908" s="3">
        <f>IF(ISNUMBER(AVERAGE('20250815_ETF_Options_Exhibits'!T904:T908)),AVERAGE('20250815_ETF_Options_Exhibits'!T904:T908),"")</f>
        <v/>
      </c>
      <c r="U908" s="3">
        <f>IF(ISNUMBER(AVERAGE('20250815_ETF_Options_Exhibits'!U904:U908)),AVERAGE('20250815_ETF_Options_Exhibits'!U904:U908),"")</f>
        <v/>
      </c>
      <c r="V908" s="3">
        <f>IF(ISNUMBER(AVERAGE('20250815_ETF_Options_Exhibits'!V904:V908)),AVERAGE('20250815_ETF_Options_Exhibits'!V904:V908),"")</f>
        <v/>
      </c>
      <c r="W908" s="3">
        <f>IF(ISNUMBER(AVERAGE('20250815_ETF_Options_Exhibits'!W904:W908)),AVERAGE('20250815_ETF_Options_Exhibits'!W904:W908),"")</f>
        <v/>
      </c>
      <c r="X908" s="3">
        <f>IF(ISNUMBER(AVERAGE('20250815_ETF_Options_Exhibits'!X904:X908)),AVERAGE('20250815_ETF_Options_Exhibits'!X904:X908),"")</f>
        <v/>
      </c>
      <c r="Y908" s="3">
        <f>IF(ISNUMBER(AVERAGE('20250815_ETF_Options_Exhibits'!Y904:Y908)),AVERAGE('20250815_ETF_Options_Exhibits'!Y904:Y908),"")</f>
        <v/>
      </c>
      <c r="Z908" s="3">
        <f>IF(ISNUMBER(AVERAGE('20250815_ETF_Options_Exhibits'!Z904:Z908)),AVERAGE('20250815_ETF_Options_Exhibits'!Z904:Z908),"")</f>
        <v/>
      </c>
      <c r="AA908" s="3">
        <f>IF(ISNUMBER(AVERAGE('20250815_ETF_Options_Exhibits'!AA904:AA908)),AVERAGE('20250815_ETF_Options_Exhibits'!AA904:AA908),"")</f>
        <v/>
      </c>
    </row>
    <row r="909">
      <c r="A909" s="1" t="n">
        <v>43321</v>
      </c>
      <c r="B909" s="3">
        <f>IF(ISNUMBER(AVERAGE('20250815_ETF_Options_Exhibits'!B905:B909)),AVERAGE('20250815_ETF_Options_Exhibits'!B905:B909),"")</f>
        <v/>
      </c>
      <c r="C909" s="3">
        <f>IF(ISNUMBER(AVERAGE('20250815_ETF_Options_Exhibits'!C905:C909)),AVERAGE('20250815_ETF_Options_Exhibits'!C905:C909),"")</f>
        <v/>
      </c>
      <c r="D909" s="3">
        <f>IF(ISNUMBER(AVERAGE('20250815_ETF_Options_Exhibits'!D905:D909)),AVERAGE('20250815_ETF_Options_Exhibits'!D905:D909),"")</f>
        <v/>
      </c>
      <c r="E909" s="3">
        <f>IF(ISNUMBER(AVERAGE('20250815_ETF_Options_Exhibits'!E905:E909)),AVERAGE('20250815_ETF_Options_Exhibits'!E905:E909),"")</f>
        <v/>
      </c>
      <c r="F909" s="3">
        <f>IF(ISNUMBER(AVERAGE('20250815_ETF_Options_Exhibits'!F905:F909)),AVERAGE('20250815_ETF_Options_Exhibits'!F905:F909),"")</f>
        <v/>
      </c>
      <c r="G909" s="3">
        <f>IF(ISNUMBER(AVERAGE('20250815_ETF_Options_Exhibits'!G905:G909)),AVERAGE('20250815_ETF_Options_Exhibits'!G905:G909),"")</f>
        <v/>
      </c>
      <c r="H909" s="3">
        <f>IF(ISNUMBER(AVERAGE('20250815_ETF_Options_Exhibits'!H905:H909)),AVERAGE('20250815_ETF_Options_Exhibits'!H905:H909),"")</f>
        <v/>
      </c>
      <c r="I909" s="3">
        <f>IF(ISNUMBER(AVERAGE('20250815_ETF_Options_Exhibits'!I905:I909)),AVERAGE('20250815_ETF_Options_Exhibits'!I905:I909),"")</f>
        <v/>
      </c>
      <c r="J909" s="3">
        <f>IF(ISNUMBER(AVERAGE('20250815_ETF_Options_Exhibits'!J905:J909)),AVERAGE('20250815_ETF_Options_Exhibits'!J905:J909),"")</f>
        <v/>
      </c>
      <c r="K909" s="3">
        <f>IF(ISNUMBER(AVERAGE('20250815_ETF_Options_Exhibits'!K905:K909)),AVERAGE('20250815_ETF_Options_Exhibits'!K905:K909),"")</f>
        <v/>
      </c>
      <c r="L909" s="3">
        <f>IF(ISNUMBER(AVERAGE('20250815_ETF_Options_Exhibits'!L905:L909)),AVERAGE('20250815_ETF_Options_Exhibits'!L905:L909),"")</f>
        <v/>
      </c>
      <c r="M909" s="3">
        <f>IF(ISNUMBER(AVERAGE('20250815_ETF_Options_Exhibits'!M905:M909)),AVERAGE('20250815_ETF_Options_Exhibits'!M905:M909),"")</f>
        <v/>
      </c>
      <c r="N909" s="3">
        <f>IF(ISNUMBER(AVERAGE('20250815_ETF_Options_Exhibits'!N905:N909)),AVERAGE('20250815_ETF_Options_Exhibits'!N905:N909),"")</f>
        <v/>
      </c>
      <c r="O909" s="3">
        <f>IF(ISNUMBER(AVERAGE('20250815_ETF_Options_Exhibits'!O905:O909)),AVERAGE('20250815_ETF_Options_Exhibits'!O905:O909),"")</f>
        <v/>
      </c>
      <c r="P909" s="3">
        <f>IF(ISNUMBER(AVERAGE('20250815_ETF_Options_Exhibits'!P905:P909)),AVERAGE('20250815_ETF_Options_Exhibits'!P905:P909),"")</f>
        <v/>
      </c>
      <c r="Q909" s="3">
        <f>IF(ISNUMBER(AVERAGE('20250815_ETF_Options_Exhibits'!Q905:Q909)),AVERAGE('20250815_ETF_Options_Exhibits'!Q905:Q909),"")</f>
        <v/>
      </c>
      <c r="R909" s="3">
        <f>IF(ISNUMBER(AVERAGE('20250815_ETF_Options_Exhibits'!R905:R909)),AVERAGE('20250815_ETF_Options_Exhibits'!R905:R909),"")</f>
        <v/>
      </c>
      <c r="S909" s="3">
        <f>IF(ISNUMBER(AVERAGE('20250815_ETF_Options_Exhibits'!S905:S909)),AVERAGE('20250815_ETF_Options_Exhibits'!S905:S909),"")</f>
        <v/>
      </c>
      <c r="T909" s="3">
        <f>IF(ISNUMBER(AVERAGE('20250815_ETF_Options_Exhibits'!T905:T909)),AVERAGE('20250815_ETF_Options_Exhibits'!T905:T909),"")</f>
        <v/>
      </c>
      <c r="U909" s="3">
        <f>IF(ISNUMBER(AVERAGE('20250815_ETF_Options_Exhibits'!U905:U909)),AVERAGE('20250815_ETF_Options_Exhibits'!U905:U909),"")</f>
        <v/>
      </c>
      <c r="V909" s="3">
        <f>IF(ISNUMBER(AVERAGE('20250815_ETF_Options_Exhibits'!V905:V909)),AVERAGE('20250815_ETF_Options_Exhibits'!V905:V909),"")</f>
        <v/>
      </c>
      <c r="W909" s="3">
        <f>IF(ISNUMBER(AVERAGE('20250815_ETF_Options_Exhibits'!W905:W909)),AVERAGE('20250815_ETF_Options_Exhibits'!W905:W909),"")</f>
        <v/>
      </c>
      <c r="X909" s="3">
        <f>IF(ISNUMBER(AVERAGE('20250815_ETF_Options_Exhibits'!X905:X909)),AVERAGE('20250815_ETF_Options_Exhibits'!X905:X909),"")</f>
        <v/>
      </c>
      <c r="Y909" s="3">
        <f>IF(ISNUMBER(AVERAGE('20250815_ETF_Options_Exhibits'!Y905:Y909)),AVERAGE('20250815_ETF_Options_Exhibits'!Y905:Y909),"")</f>
        <v/>
      </c>
      <c r="Z909" s="3">
        <f>IF(ISNUMBER(AVERAGE('20250815_ETF_Options_Exhibits'!Z905:Z909)),AVERAGE('20250815_ETF_Options_Exhibits'!Z905:Z909),"")</f>
        <v/>
      </c>
      <c r="AA909" s="3">
        <f>IF(ISNUMBER(AVERAGE('20250815_ETF_Options_Exhibits'!AA905:AA909)),AVERAGE('20250815_ETF_Options_Exhibits'!AA905:AA909),"")</f>
        <v/>
      </c>
    </row>
    <row r="910">
      <c r="A910" s="1" t="n">
        <v>43322</v>
      </c>
      <c r="B910" s="3">
        <f>IF(ISNUMBER(AVERAGE('20250815_ETF_Options_Exhibits'!B906:B910)),AVERAGE('20250815_ETF_Options_Exhibits'!B906:B910),"")</f>
        <v/>
      </c>
      <c r="C910" s="3">
        <f>IF(ISNUMBER(AVERAGE('20250815_ETF_Options_Exhibits'!C906:C910)),AVERAGE('20250815_ETF_Options_Exhibits'!C906:C910),"")</f>
        <v/>
      </c>
      <c r="D910" s="3">
        <f>IF(ISNUMBER(AVERAGE('20250815_ETF_Options_Exhibits'!D906:D910)),AVERAGE('20250815_ETF_Options_Exhibits'!D906:D910),"")</f>
        <v/>
      </c>
      <c r="E910" s="3">
        <f>IF(ISNUMBER(AVERAGE('20250815_ETF_Options_Exhibits'!E906:E910)),AVERAGE('20250815_ETF_Options_Exhibits'!E906:E910),"")</f>
        <v/>
      </c>
      <c r="F910" s="3">
        <f>IF(ISNUMBER(AVERAGE('20250815_ETF_Options_Exhibits'!F906:F910)),AVERAGE('20250815_ETF_Options_Exhibits'!F906:F910),"")</f>
        <v/>
      </c>
      <c r="G910" s="3">
        <f>IF(ISNUMBER(AVERAGE('20250815_ETF_Options_Exhibits'!G906:G910)),AVERAGE('20250815_ETF_Options_Exhibits'!G906:G910),"")</f>
        <v/>
      </c>
      <c r="H910" s="3">
        <f>IF(ISNUMBER(AVERAGE('20250815_ETF_Options_Exhibits'!H906:H910)),AVERAGE('20250815_ETF_Options_Exhibits'!H906:H910),"")</f>
        <v/>
      </c>
      <c r="I910" s="3">
        <f>IF(ISNUMBER(AVERAGE('20250815_ETF_Options_Exhibits'!I906:I910)),AVERAGE('20250815_ETF_Options_Exhibits'!I906:I910),"")</f>
        <v/>
      </c>
      <c r="J910" s="3">
        <f>IF(ISNUMBER(AVERAGE('20250815_ETF_Options_Exhibits'!J906:J910)),AVERAGE('20250815_ETF_Options_Exhibits'!J906:J910),"")</f>
        <v/>
      </c>
      <c r="K910" s="3">
        <f>IF(ISNUMBER(AVERAGE('20250815_ETF_Options_Exhibits'!K906:K910)),AVERAGE('20250815_ETF_Options_Exhibits'!K906:K910),"")</f>
        <v/>
      </c>
      <c r="L910" s="3">
        <f>IF(ISNUMBER(AVERAGE('20250815_ETF_Options_Exhibits'!L906:L910)),AVERAGE('20250815_ETF_Options_Exhibits'!L906:L910),"")</f>
        <v/>
      </c>
      <c r="M910" s="3">
        <f>IF(ISNUMBER(AVERAGE('20250815_ETF_Options_Exhibits'!M906:M910)),AVERAGE('20250815_ETF_Options_Exhibits'!M906:M910),"")</f>
        <v/>
      </c>
      <c r="N910" s="3">
        <f>IF(ISNUMBER(AVERAGE('20250815_ETF_Options_Exhibits'!N906:N910)),AVERAGE('20250815_ETF_Options_Exhibits'!N906:N910),"")</f>
        <v/>
      </c>
      <c r="O910" s="3">
        <f>IF(ISNUMBER(AVERAGE('20250815_ETF_Options_Exhibits'!O906:O910)),AVERAGE('20250815_ETF_Options_Exhibits'!O906:O910),"")</f>
        <v/>
      </c>
      <c r="P910" s="3">
        <f>IF(ISNUMBER(AVERAGE('20250815_ETF_Options_Exhibits'!P906:P910)),AVERAGE('20250815_ETF_Options_Exhibits'!P906:P910),"")</f>
        <v/>
      </c>
      <c r="Q910" s="3">
        <f>IF(ISNUMBER(AVERAGE('20250815_ETF_Options_Exhibits'!Q906:Q910)),AVERAGE('20250815_ETF_Options_Exhibits'!Q906:Q910),"")</f>
        <v/>
      </c>
      <c r="R910" s="3">
        <f>IF(ISNUMBER(AVERAGE('20250815_ETF_Options_Exhibits'!R906:R910)),AVERAGE('20250815_ETF_Options_Exhibits'!R906:R910),"")</f>
        <v/>
      </c>
      <c r="S910" s="3">
        <f>IF(ISNUMBER(AVERAGE('20250815_ETF_Options_Exhibits'!S906:S910)),AVERAGE('20250815_ETF_Options_Exhibits'!S906:S910),"")</f>
        <v/>
      </c>
      <c r="T910" s="3">
        <f>IF(ISNUMBER(AVERAGE('20250815_ETF_Options_Exhibits'!T906:T910)),AVERAGE('20250815_ETF_Options_Exhibits'!T906:T910),"")</f>
        <v/>
      </c>
      <c r="U910" s="3">
        <f>IF(ISNUMBER(AVERAGE('20250815_ETF_Options_Exhibits'!U906:U910)),AVERAGE('20250815_ETF_Options_Exhibits'!U906:U910),"")</f>
        <v/>
      </c>
      <c r="V910" s="3">
        <f>IF(ISNUMBER(AVERAGE('20250815_ETF_Options_Exhibits'!V906:V910)),AVERAGE('20250815_ETF_Options_Exhibits'!V906:V910),"")</f>
        <v/>
      </c>
      <c r="W910" s="3">
        <f>IF(ISNUMBER(AVERAGE('20250815_ETF_Options_Exhibits'!W906:W910)),AVERAGE('20250815_ETF_Options_Exhibits'!W906:W910),"")</f>
        <v/>
      </c>
      <c r="X910" s="3">
        <f>IF(ISNUMBER(AVERAGE('20250815_ETF_Options_Exhibits'!X906:X910)),AVERAGE('20250815_ETF_Options_Exhibits'!X906:X910),"")</f>
        <v/>
      </c>
      <c r="Y910" s="3">
        <f>IF(ISNUMBER(AVERAGE('20250815_ETF_Options_Exhibits'!Y906:Y910)),AVERAGE('20250815_ETF_Options_Exhibits'!Y906:Y910),"")</f>
        <v/>
      </c>
      <c r="Z910" s="3">
        <f>IF(ISNUMBER(AVERAGE('20250815_ETF_Options_Exhibits'!Z906:Z910)),AVERAGE('20250815_ETF_Options_Exhibits'!Z906:Z910),"")</f>
        <v/>
      </c>
      <c r="AA910" s="3">
        <f>IF(ISNUMBER(AVERAGE('20250815_ETF_Options_Exhibits'!AA906:AA910)),AVERAGE('20250815_ETF_Options_Exhibits'!AA906:AA910),"")</f>
        <v/>
      </c>
    </row>
    <row r="911">
      <c r="A911" s="1" t="n">
        <v>43325</v>
      </c>
      <c r="B911" s="3">
        <f>IF(ISNUMBER(AVERAGE('20250815_ETF_Options_Exhibits'!B907:B911)),AVERAGE('20250815_ETF_Options_Exhibits'!B907:B911),"")</f>
        <v/>
      </c>
      <c r="C911" s="3">
        <f>IF(ISNUMBER(AVERAGE('20250815_ETF_Options_Exhibits'!C907:C911)),AVERAGE('20250815_ETF_Options_Exhibits'!C907:C911),"")</f>
        <v/>
      </c>
      <c r="D911" s="3">
        <f>IF(ISNUMBER(AVERAGE('20250815_ETF_Options_Exhibits'!D907:D911)),AVERAGE('20250815_ETF_Options_Exhibits'!D907:D911),"")</f>
        <v/>
      </c>
      <c r="E911" s="3">
        <f>IF(ISNUMBER(AVERAGE('20250815_ETF_Options_Exhibits'!E907:E911)),AVERAGE('20250815_ETF_Options_Exhibits'!E907:E911),"")</f>
        <v/>
      </c>
      <c r="F911" s="3">
        <f>IF(ISNUMBER(AVERAGE('20250815_ETF_Options_Exhibits'!F907:F911)),AVERAGE('20250815_ETF_Options_Exhibits'!F907:F911),"")</f>
        <v/>
      </c>
      <c r="G911" s="3">
        <f>IF(ISNUMBER(AVERAGE('20250815_ETF_Options_Exhibits'!G907:G911)),AVERAGE('20250815_ETF_Options_Exhibits'!G907:G911),"")</f>
        <v/>
      </c>
      <c r="H911" s="3">
        <f>IF(ISNUMBER(AVERAGE('20250815_ETF_Options_Exhibits'!H907:H911)),AVERAGE('20250815_ETF_Options_Exhibits'!H907:H911),"")</f>
        <v/>
      </c>
      <c r="I911" s="3">
        <f>IF(ISNUMBER(AVERAGE('20250815_ETF_Options_Exhibits'!I907:I911)),AVERAGE('20250815_ETF_Options_Exhibits'!I907:I911),"")</f>
        <v/>
      </c>
      <c r="J911" s="3">
        <f>IF(ISNUMBER(AVERAGE('20250815_ETF_Options_Exhibits'!J907:J911)),AVERAGE('20250815_ETF_Options_Exhibits'!J907:J911),"")</f>
        <v/>
      </c>
      <c r="K911" s="3">
        <f>IF(ISNUMBER(AVERAGE('20250815_ETF_Options_Exhibits'!K907:K911)),AVERAGE('20250815_ETF_Options_Exhibits'!K907:K911),"")</f>
        <v/>
      </c>
      <c r="L911" s="3">
        <f>IF(ISNUMBER(AVERAGE('20250815_ETF_Options_Exhibits'!L907:L911)),AVERAGE('20250815_ETF_Options_Exhibits'!L907:L911),"")</f>
        <v/>
      </c>
      <c r="M911" s="3">
        <f>IF(ISNUMBER(AVERAGE('20250815_ETF_Options_Exhibits'!M907:M911)),AVERAGE('20250815_ETF_Options_Exhibits'!M907:M911),"")</f>
        <v/>
      </c>
      <c r="N911" s="3">
        <f>IF(ISNUMBER(AVERAGE('20250815_ETF_Options_Exhibits'!N907:N911)),AVERAGE('20250815_ETF_Options_Exhibits'!N907:N911),"")</f>
        <v/>
      </c>
      <c r="O911" s="3">
        <f>IF(ISNUMBER(AVERAGE('20250815_ETF_Options_Exhibits'!O907:O911)),AVERAGE('20250815_ETF_Options_Exhibits'!O907:O911),"")</f>
        <v/>
      </c>
      <c r="P911" s="3">
        <f>IF(ISNUMBER(AVERAGE('20250815_ETF_Options_Exhibits'!P907:P911)),AVERAGE('20250815_ETF_Options_Exhibits'!P907:P911),"")</f>
        <v/>
      </c>
      <c r="Q911" s="3">
        <f>IF(ISNUMBER(AVERAGE('20250815_ETF_Options_Exhibits'!Q907:Q911)),AVERAGE('20250815_ETF_Options_Exhibits'!Q907:Q911),"")</f>
        <v/>
      </c>
      <c r="R911" s="3">
        <f>IF(ISNUMBER(AVERAGE('20250815_ETF_Options_Exhibits'!R907:R911)),AVERAGE('20250815_ETF_Options_Exhibits'!R907:R911),"")</f>
        <v/>
      </c>
      <c r="S911" s="3">
        <f>IF(ISNUMBER(AVERAGE('20250815_ETF_Options_Exhibits'!S907:S911)),AVERAGE('20250815_ETF_Options_Exhibits'!S907:S911),"")</f>
        <v/>
      </c>
      <c r="T911" s="3">
        <f>IF(ISNUMBER(AVERAGE('20250815_ETF_Options_Exhibits'!T907:T911)),AVERAGE('20250815_ETF_Options_Exhibits'!T907:T911),"")</f>
        <v/>
      </c>
      <c r="U911" s="3">
        <f>IF(ISNUMBER(AVERAGE('20250815_ETF_Options_Exhibits'!U907:U911)),AVERAGE('20250815_ETF_Options_Exhibits'!U907:U911),"")</f>
        <v/>
      </c>
      <c r="V911" s="3">
        <f>IF(ISNUMBER(AVERAGE('20250815_ETF_Options_Exhibits'!V907:V911)),AVERAGE('20250815_ETF_Options_Exhibits'!V907:V911),"")</f>
        <v/>
      </c>
      <c r="W911" s="3">
        <f>IF(ISNUMBER(AVERAGE('20250815_ETF_Options_Exhibits'!W907:W911)),AVERAGE('20250815_ETF_Options_Exhibits'!W907:W911),"")</f>
        <v/>
      </c>
      <c r="X911" s="3">
        <f>IF(ISNUMBER(AVERAGE('20250815_ETF_Options_Exhibits'!X907:X911)),AVERAGE('20250815_ETF_Options_Exhibits'!X907:X911),"")</f>
        <v/>
      </c>
      <c r="Y911" s="3">
        <f>IF(ISNUMBER(AVERAGE('20250815_ETF_Options_Exhibits'!Y907:Y911)),AVERAGE('20250815_ETF_Options_Exhibits'!Y907:Y911),"")</f>
        <v/>
      </c>
      <c r="Z911" s="3">
        <f>IF(ISNUMBER(AVERAGE('20250815_ETF_Options_Exhibits'!Z907:Z911)),AVERAGE('20250815_ETF_Options_Exhibits'!Z907:Z911),"")</f>
        <v/>
      </c>
      <c r="AA911" s="3">
        <f>IF(ISNUMBER(AVERAGE('20250815_ETF_Options_Exhibits'!AA907:AA911)),AVERAGE('20250815_ETF_Options_Exhibits'!AA907:AA911),"")</f>
        <v/>
      </c>
    </row>
    <row r="912">
      <c r="A912" s="1" t="n">
        <v>43326</v>
      </c>
      <c r="B912" s="3">
        <f>IF(ISNUMBER(AVERAGE('20250815_ETF_Options_Exhibits'!B908:B912)),AVERAGE('20250815_ETF_Options_Exhibits'!B908:B912),"")</f>
        <v/>
      </c>
      <c r="C912" s="3">
        <f>IF(ISNUMBER(AVERAGE('20250815_ETF_Options_Exhibits'!C908:C912)),AVERAGE('20250815_ETF_Options_Exhibits'!C908:C912),"")</f>
        <v/>
      </c>
      <c r="D912" s="3">
        <f>IF(ISNUMBER(AVERAGE('20250815_ETF_Options_Exhibits'!D908:D912)),AVERAGE('20250815_ETF_Options_Exhibits'!D908:D912),"")</f>
        <v/>
      </c>
      <c r="E912" s="3">
        <f>IF(ISNUMBER(AVERAGE('20250815_ETF_Options_Exhibits'!E908:E912)),AVERAGE('20250815_ETF_Options_Exhibits'!E908:E912),"")</f>
        <v/>
      </c>
      <c r="F912" s="3">
        <f>IF(ISNUMBER(AVERAGE('20250815_ETF_Options_Exhibits'!F908:F912)),AVERAGE('20250815_ETF_Options_Exhibits'!F908:F912),"")</f>
        <v/>
      </c>
      <c r="G912" s="3">
        <f>IF(ISNUMBER(AVERAGE('20250815_ETF_Options_Exhibits'!G908:G912)),AVERAGE('20250815_ETF_Options_Exhibits'!G908:G912),"")</f>
        <v/>
      </c>
      <c r="H912" s="3">
        <f>IF(ISNUMBER(AVERAGE('20250815_ETF_Options_Exhibits'!H908:H912)),AVERAGE('20250815_ETF_Options_Exhibits'!H908:H912),"")</f>
        <v/>
      </c>
      <c r="I912" s="3">
        <f>IF(ISNUMBER(AVERAGE('20250815_ETF_Options_Exhibits'!I908:I912)),AVERAGE('20250815_ETF_Options_Exhibits'!I908:I912),"")</f>
        <v/>
      </c>
      <c r="J912" s="3">
        <f>IF(ISNUMBER(AVERAGE('20250815_ETF_Options_Exhibits'!J908:J912)),AVERAGE('20250815_ETF_Options_Exhibits'!J908:J912),"")</f>
        <v/>
      </c>
      <c r="K912" s="3">
        <f>IF(ISNUMBER(AVERAGE('20250815_ETF_Options_Exhibits'!K908:K912)),AVERAGE('20250815_ETF_Options_Exhibits'!K908:K912),"")</f>
        <v/>
      </c>
      <c r="L912" s="3">
        <f>IF(ISNUMBER(AVERAGE('20250815_ETF_Options_Exhibits'!L908:L912)),AVERAGE('20250815_ETF_Options_Exhibits'!L908:L912),"")</f>
        <v/>
      </c>
      <c r="M912" s="3">
        <f>IF(ISNUMBER(AVERAGE('20250815_ETF_Options_Exhibits'!M908:M912)),AVERAGE('20250815_ETF_Options_Exhibits'!M908:M912),"")</f>
        <v/>
      </c>
      <c r="N912" s="3">
        <f>IF(ISNUMBER(AVERAGE('20250815_ETF_Options_Exhibits'!N908:N912)),AVERAGE('20250815_ETF_Options_Exhibits'!N908:N912),"")</f>
        <v/>
      </c>
      <c r="O912" s="3">
        <f>IF(ISNUMBER(AVERAGE('20250815_ETF_Options_Exhibits'!O908:O912)),AVERAGE('20250815_ETF_Options_Exhibits'!O908:O912),"")</f>
        <v/>
      </c>
      <c r="P912" s="3">
        <f>IF(ISNUMBER(AVERAGE('20250815_ETF_Options_Exhibits'!P908:P912)),AVERAGE('20250815_ETF_Options_Exhibits'!P908:P912),"")</f>
        <v/>
      </c>
      <c r="Q912" s="3">
        <f>IF(ISNUMBER(AVERAGE('20250815_ETF_Options_Exhibits'!Q908:Q912)),AVERAGE('20250815_ETF_Options_Exhibits'!Q908:Q912),"")</f>
        <v/>
      </c>
      <c r="R912" s="3">
        <f>IF(ISNUMBER(AVERAGE('20250815_ETF_Options_Exhibits'!R908:R912)),AVERAGE('20250815_ETF_Options_Exhibits'!R908:R912),"")</f>
        <v/>
      </c>
      <c r="S912" s="3">
        <f>IF(ISNUMBER(AVERAGE('20250815_ETF_Options_Exhibits'!S908:S912)),AVERAGE('20250815_ETF_Options_Exhibits'!S908:S912),"")</f>
        <v/>
      </c>
      <c r="T912" s="3">
        <f>IF(ISNUMBER(AVERAGE('20250815_ETF_Options_Exhibits'!T908:T912)),AVERAGE('20250815_ETF_Options_Exhibits'!T908:T912),"")</f>
        <v/>
      </c>
      <c r="U912" s="3">
        <f>IF(ISNUMBER(AVERAGE('20250815_ETF_Options_Exhibits'!U908:U912)),AVERAGE('20250815_ETF_Options_Exhibits'!U908:U912),"")</f>
        <v/>
      </c>
      <c r="V912" s="3">
        <f>IF(ISNUMBER(AVERAGE('20250815_ETF_Options_Exhibits'!V908:V912)),AVERAGE('20250815_ETF_Options_Exhibits'!V908:V912),"")</f>
        <v/>
      </c>
      <c r="W912" s="3">
        <f>IF(ISNUMBER(AVERAGE('20250815_ETF_Options_Exhibits'!W908:W912)),AVERAGE('20250815_ETF_Options_Exhibits'!W908:W912),"")</f>
        <v/>
      </c>
      <c r="X912" s="3">
        <f>IF(ISNUMBER(AVERAGE('20250815_ETF_Options_Exhibits'!X908:X912)),AVERAGE('20250815_ETF_Options_Exhibits'!X908:X912),"")</f>
        <v/>
      </c>
      <c r="Y912" s="3">
        <f>IF(ISNUMBER(AVERAGE('20250815_ETF_Options_Exhibits'!Y908:Y912)),AVERAGE('20250815_ETF_Options_Exhibits'!Y908:Y912),"")</f>
        <v/>
      </c>
      <c r="Z912" s="3">
        <f>IF(ISNUMBER(AVERAGE('20250815_ETF_Options_Exhibits'!Z908:Z912)),AVERAGE('20250815_ETF_Options_Exhibits'!Z908:Z912),"")</f>
        <v/>
      </c>
      <c r="AA912" s="3">
        <f>IF(ISNUMBER(AVERAGE('20250815_ETF_Options_Exhibits'!AA908:AA912)),AVERAGE('20250815_ETF_Options_Exhibits'!AA908:AA912),"")</f>
        <v/>
      </c>
    </row>
    <row r="913">
      <c r="A913" s="1" t="n">
        <v>43327</v>
      </c>
      <c r="B913" s="3">
        <f>IF(ISNUMBER(AVERAGE('20250815_ETF_Options_Exhibits'!B909:B913)),AVERAGE('20250815_ETF_Options_Exhibits'!B909:B913),"")</f>
        <v/>
      </c>
      <c r="C913" s="3">
        <f>IF(ISNUMBER(AVERAGE('20250815_ETF_Options_Exhibits'!C909:C913)),AVERAGE('20250815_ETF_Options_Exhibits'!C909:C913),"")</f>
        <v/>
      </c>
      <c r="D913" s="3">
        <f>IF(ISNUMBER(AVERAGE('20250815_ETF_Options_Exhibits'!D909:D913)),AVERAGE('20250815_ETF_Options_Exhibits'!D909:D913),"")</f>
        <v/>
      </c>
      <c r="E913" s="3">
        <f>IF(ISNUMBER(AVERAGE('20250815_ETF_Options_Exhibits'!E909:E913)),AVERAGE('20250815_ETF_Options_Exhibits'!E909:E913),"")</f>
        <v/>
      </c>
      <c r="F913" s="3">
        <f>IF(ISNUMBER(AVERAGE('20250815_ETF_Options_Exhibits'!F909:F913)),AVERAGE('20250815_ETF_Options_Exhibits'!F909:F913),"")</f>
        <v/>
      </c>
      <c r="G913" s="3">
        <f>IF(ISNUMBER(AVERAGE('20250815_ETF_Options_Exhibits'!G909:G913)),AVERAGE('20250815_ETF_Options_Exhibits'!G909:G913),"")</f>
        <v/>
      </c>
      <c r="H913" s="3">
        <f>IF(ISNUMBER(AVERAGE('20250815_ETF_Options_Exhibits'!H909:H913)),AVERAGE('20250815_ETF_Options_Exhibits'!H909:H913),"")</f>
        <v/>
      </c>
      <c r="I913" s="3">
        <f>IF(ISNUMBER(AVERAGE('20250815_ETF_Options_Exhibits'!I909:I913)),AVERAGE('20250815_ETF_Options_Exhibits'!I909:I913),"")</f>
        <v/>
      </c>
      <c r="J913" s="3">
        <f>IF(ISNUMBER(AVERAGE('20250815_ETF_Options_Exhibits'!J909:J913)),AVERAGE('20250815_ETF_Options_Exhibits'!J909:J913),"")</f>
        <v/>
      </c>
      <c r="K913" s="3">
        <f>IF(ISNUMBER(AVERAGE('20250815_ETF_Options_Exhibits'!K909:K913)),AVERAGE('20250815_ETF_Options_Exhibits'!K909:K913),"")</f>
        <v/>
      </c>
      <c r="L913" s="3">
        <f>IF(ISNUMBER(AVERAGE('20250815_ETF_Options_Exhibits'!L909:L913)),AVERAGE('20250815_ETF_Options_Exhibits'!L909:L913),"")</f>
        <v/>
      </c>
      <c r="M913" s="3">
        <f>IF(ISNUMBER(AVERAGE('20250815_ETF_Options_Exhibits'!M909:M913)),AVERAGE('20250815_ETF_Options_Exhibits'!M909:M913),"")</f>
        <v/>
      </c>
      <c r="N913" s="3">
        <f>IF(ISNUMBER(AVERAGE('20250815_ETF_Options_Exhibits'!N909:N913)),AVERAGE('20250815_ETF_Options_Exhibits'!N909:N913),"")</f>
        <v/>
      </c>
      <c r="O913" s="3">
        <f>IF(ISNUMBER(AVERAGE('20250815_ETF_Options_Exhibits'!O909:O913)),AVERAGE('20250815_ETF_Options_Exhibits'!O909:O913),"")</f>
        <v/>
      </c>
      <c r="P913" s="3">
        <f>IF(ISNUMBER(AVERAGE('20250815_ETF_Options_Exhibits'!P909:P913)),AVERAGE('20250815_ETF_Options_Exhibits'!P909:P913),"")</f>
        <v/>
      </c>
      <c r="Q913" s="3">
        <f>IF(ISNUMBER(AVERAGE('20250815_ETF_Options_Exhibits'!Q909:Q913)),AVERAGE('20250815_ETF_Options_Exhibits'!Q909:Q913),"")</f>
        <v/>
      </c>
      <c r="R913" s="3">
        <f>IF(ISNUMBER(AVERAGE('20250815_ETF_Options_Exhibits'!R909:R913)),AVERAGE('20250815_ETF_Options_Exhibits'!R909:R913),"")</f>
        <v/>
      </c>
      <c r="S913" s="3">
        <f>IF(ISNUMBER(AVERAGE('20250815_ETF_Options_Exhibits'!S909:S913)),AVERAGE('20250815_ETF_Options_Exhibits'!S909:S913),"")</f>
        <v/>
      </c>
      <c r="T913" s="3">
        <f>IF(ISNUMBER(AVERAGE('20250815_ETF_Options_Exhibits'!T909:T913)),AVERAGE('20250815_ETF_Options_Exhibits'!T909:T913),"")</f>
        <v/>
      </c>
      <c r="U913" s="3">
        <f>IF(ISNUMBER(AVERAGE('20250815_ETF_Options_Exhibits'!U909:U913)),AVERAGE('20250815_ETF_Options_Exhibits'!U909:U913),"")</f>
        <v/>
      </c>
      <c r="V913" s="3">
        <f>IF(ISNUMBER(AVERAGE('20250815_ETF_Options_Exhibits'!V909:V913)),AVERAGE('20250815_ETF_Options_Exhibits'!V909:V913),"")</f>
        <v/>
      </c>
      <c r="W913" s="3">
        <f>IF(ISNUMBER(AVERAGE('20250815_ETF_Options_Exhibits'!W909:W913)),AVERAGE('20250815_ETF_Options_Exhibits'!W909:W913),"")</f>
        <v/>
      </c>
      <c r="X913" s="3">
        <f>IF(ISNUMBER(AVERAGE('20250815_ETF_Options_Exhibits'!X909:X913)),AVERAGE('20250815_ETF_Options_Exhibits'!X909:X913),"")</f>
        <v/>
      </c>
      <c r="Y913" s="3">
        <f>IF(ISNUMBER(AVERAGE('20250815_ETF_Options_Exhibits'!Y909:Y913)),AVERAGE('20250815_ETF_Options_Exhibits'!Y909:Y913),"")</f>
        <v/>
      </c>
      <c r="Z913" s="3">
        <f>IF(ISNUMBER(AVERAGE('20250815_ETF_Options_Exhibits'!Z909:Z913)),AVERAGE('20250815_ETF_Options_Exhibits'!Z909:Z913),"")</f>
        <v/>
      </c>
      <c r="AA913" s="3">
        <f>IF(ISNUMBER(AVERAGE('20250815_ETF_Options_Exhibits'!AA909:AA913)),AVERAGE('20250815_ETF_Options_Exhibits'!AA909:AA913),"")</f>
        <v/>
      </c>
    </row>
    <row r="914">
      <c r="A914" s="1" t="n">
        <v>43328</v>
      </c>
      <c r="B914" s="3">
        <f>IF(ISNUMBER(AVERAGE('20250815_ETF_Options_Exhibits'!B910:B914)),AVERAGE('20250815_ETF_Options_Exhibits'!B910:B914),"")</f>
        <v/>
      </c>
      <c r="C914" s="3">
        <f>IF(ISNUMBER(AVERAGE('20250815_ETF_Options_Exhibits'!C910:C914)),AVERAGE('20250815_ETF_Options_Exhibits'!C910:C914),"")</f>
        <v/>
      </c>
      <c r="D914" s="3">
        <f>IF(ISNUMBER(AVERAGE('20250815_ETF_Options_Exhibits'!D910:D914)),AVERAGE('20250815_ETF_Options_Exhibits'!D910:D914),"")</f>
        <v/>
      </c>
      <c r="E914" s="3">
        <f>IF(ISNUMBER(AVERAGE('20250815_ETF_Options_Exhibits'!E910:E914)),AVERAGE('20250815_ETF_Options_Exhibits'!E910:E914),"")</f>
        <v/>
      </c>
      <c r="F914" s="3">
        <f>IF(ISNUMBER(AVERAGE('20250815_ETF_Options_Exhibits'!F910:F914)),AVERAGE('20250815_ETF_Options_Exhibits'!F910:F914),"")</f>
        <v/>
      </c>
      <c r="G914" s="3">
        <f>IF(ISNUMBER(AVERAGE('20250815_ETF_Options_Exhibits'!G910:G914)),AVERAGE('20250815_ETF_Options_Exhibits'!G910:G914),"")</f>
        <v/>
      </c>
      <c r="H914" s="3">
        <f>IF(ISNUMBER(AVERAGE('20250815_ETF_Options_Exhibits'!H910:H914)),AVERAGE('20250815_ETF_Options_Exhibits'!H910:H914),"")</f>
        <v/>
      </c>
      <c r="I914" s="3">
        <f>IF(ISNUMBER(AVERAGE('20250815_ETF_Options_Exhibits'!I910:I914)),AVERAGE('20250815_ETF_Options_Exhibits'!I910:I914),"")</f>
        <v/>
      </c>
      <c r="J914" s="3">
        <f>IF(ISNUMBER(AVERAGE('20250815_ETF_Options_Exhibits'!J910:J914)),AVERAGE('20250815_ETF_Options_Exhibits'!J910:J914),"")</f>
        <v/>
      </c>
      <c r="K914" s="3">
        <f>IF(ISNUMBER(AVERAGE('20250815_ETF_Options_Exhibits'!K910:K914)),AVERAGE('20250815_ETF_Options_Exhibits'!K910:K914),"")</f>
        <v/>
      </c>
      <c r="L914" s="3">
        <f>IF(ISNUMBER(AVERAGE('20250815_ETF_Options_Exhibits'!L910:L914)),AVERAGE('20250815_ETF_Options_Exhibits'!L910:L914),"")</f>
        <v/>
      </c>
      <c r="M914" s="3">
        <f>IF(ISNUMBER(AVERAGE('20250815_ETF_Options_Exhibits'!M910:M914)),AVERAGE('20250815_ETF_Options_Exhibits'!M910:M914),"")</f>
        <v/>
      </c>
      <c r="N914" s="3">
        <f>IF(ISNUMBER(AVERAGE('20250815_ETF_Options_Exhibits'!N910:N914)),AVERAGE('20250815_ETF_Options_Exhibits'!N910:N914),"")</f>
        <v/>
      </c>
      <c r="O914" s="3">
        <f>IF(ISNUMBER(AVERAGE('20250815_ETF_Options_Exhibits'!O910:O914)),AVERAGE('20250815_ETF_Options_Exhibits'!O910:O914),"")</f>
        <v/>
      </c>
      <c r="P914" s="3">
        <f>IF(ISNUMBER(AVERAGE('20250815_ETF_Options_Exhibits'!P910:P914)),AVERAGE('20250815_ETF_Options_Exhibits'!P910:P914),"")</f>
        <v/>
      </c>
      <c r="Q914" s="3">
        <f>IF(ISNUMBER(AVERAGE('20250815_ETF_Options_Exhibits'!Q910:Q914)),AVERAGE('20250815_ETF_Options_Exhibits'!Q910:Q914),"")</f>
        <v/>
      </c>
      <c r="R914" s="3">
        <f>IF(ISNUMBER(AVERAGE('20250815_ETF_Options_Exhibits'!R910:R914)),AVERAGE('20250815_ETF_Options_Exhibits'!R910:R914),"")</f>
        <v/>
      </c>
      <c r="S914" s="3">
        <f>IF(ISNUMBER(AVERAGE('20250815_ETF_Options_Exhibits'!S910:S914)),AVERAGE('20250815_ETF_Options_Exhibits'!S910:S914),"")</f>
        <v/>
      </c>
      <c r="T914" s="3">
        <f>IF(ISNUMBER(AVERAGE('20250815_ETF_Options_Exhibits'!T910:T914)),AVERAGE('20250815_ETF_Options_Exhibits'!T910:T914),"")</f>
        <v/>
      </c>
      <c r="U914" s="3">
        <f>IF(ISNUMBER(AVERAGE('20250815_ETF_Options_Exhibits'!U910:U914)),AVERAGE('20250815_ETF_Options_Exhibits'!U910:U914),"")</f>
        <v/>
      </c>
      <c r="V914" s="3">
        <f>IF(ISNUMBER(AVERAGE('20250815_ETF_Options_Exhibits'!V910:V914)),AVERAGE('20250815_ETF_Options_Exhibits'!V910:V914),"")</f>
        <v/>
      </c>
      <c r="W914" s="3">
        <f>IF(ISNUMBER(AVERAGE('20250815_ETF_Options_Exhibits'!W910:W914)),AVERAGE('20250815_ETF_Options_Exhibits'!W910:W914),"")</f>
        <v/>
      </c>
      <c r="X914" s="3">
        <f>IF(ISNUMBER(AVERAGE('20250815_ETF_Options_Exhibits'!X910:X914)),AVERAGE('20250815_ETF_Options_Exhibits'!X910:X914),"")</f>
        <v/>
      </c>
      <c r="Y914" s="3">
        <f>IF(ISNUMBER(AVERAGE('20250815_ETF_Options_Exhibits'!Y910:Y914)),AVERAGE('20250815_ETF_Options_Exhibits'!Y910:Y914),"")</f>
        <v/>
      </c>
      <c r="Z914" s="3">
        <f>IF(ISNUMBER(AVERAGE('20250815_ETF_Options_Exhibits'!Z910:Z914)),AVERAGE('20250815_ETF_Options_Exhibits'!Z910:Z914),"")</f>
        <v/>
      </c>
      <c r="AA914" s="3">
        <f>IF(ISNUMBER(AVERAGE('20250815_ETF_Options_Exhibits'!AA910:AA914)),AVERAGE('20250815_ETF_Options_Exhibits'!AA910:AA914),"")</f>
        <v/>
      </c>
    </row>
    <row r="915">
      <c r="A915" s="1" t="n">
        <v>43329</v>
      </c>
      <c r="B915" s="3">
        <f>IF(ISNUMBER(AVERAGE('20250815_ETF_Options_Exhibits'!B911:B915)),AVERAGE('20250815_ETF_Options_Exhibits'!B911:B915),"")</f>
        <v/>
      </c>
      <c r="C915" s="3">
        <f>IF(ISNUMBER(AVERAGE('20250815_ETF_Options_Exhibits'!C911:C915)),AVERAGE('20250815_ETF_Options_Exhibits'!C911:C915),"")</f>
        <v/>
      </c>
      <c r="D915" s="3">
        <f>IF(ISNUMBER(AVERAGE('20250815_ETF_Options_Exhibits'!D911:D915)),AVERAGE('20250815_ETF_Options_Exhibits'!D911:D915),"")</f>
        <v/>
      </c>
      <c r="E915" s="3">
        <f>IF(ISNUMBER(AVERAGE('20250815_ETF_Options_Exhibits'!E911:E915)),AVERAGE('20250815_ETF_Options_Exhibits'!E911:E915),"")</f>
        <v/>
      </c>
      <c r="F915" s="3">
        <f>IF(ISNUMBER(AVERAGE('20250815_ETF_Options_Exhibits'!F911:F915)),AVERAGE('20250815_ETF_Options_Exhibits'!F911:F915),"")</f>
        <v/>
      </c>
      <c r="G915" s="3">
        <f>IF(ISNUMBER(AVERAGE('20250815_ETF_Options_Exhibits'!G911:G915)),AVERAGE('20250815_ETF_Options_Exhibits'!G911:G915),"")</f>
        <v/>
      </c>
      <c r="H915" s="3">
        <f>IF(ISNUMBER(AVERAGE('20250815_ETF_Options_Exhibits'!H911:H915)),AVERAGE('20250815_ETF_Options_Exhibits'!H911:H915),"")</f>
        <v/>
      </c>
      <c r="I915" s="3">
        <f>IF(ISNUMBER(AVERAGE('20250815_ETF_Options_Exhibits'!I911:I915)),AVERAGE('20250815_ETF_Options_Exhibits'!I911:I915),"")</f>
        <v/>
      </c>
      <c r="J915" s="3">
        <f>IF(ISNUMBER(AVERAGE('20250815_ETF_Options_Exhibits'!J911:J915)),AVERAGE('20250815_ETF_Options_Exhibits'!J911:J915),"")</f>
        <v/>
      </c>
      <c r="K915" s="3">
        <f>IF(ISNUMBER(AVERAGE('20250815_ETF_Options_Exhibits'!K911:K915)),AVERAGE('20250815_ETF_Options_Exhibits'!K911:K915),"")</f>
        <v/>
      </c>
      <c r="L915" s="3">
        <f>IF(ISNUMBER(AVERAGE('20250815_ETF_Options_Exhibits'!L911:L915)),AVERAGE('20250815_ETF_Options_Exhibits'!L911:L915),"")</f>
        <v/>
      </c>
      <c r="M915" s="3">
        <f>IF(ISNUMBER(AVERAGE('20250815_ETF_Options_Exhibits'!M911:M915)),AVERAGE('20250815_ETF_Options_Exhibits'!M911:M915),"")</f>
        <v/>
      </c>
      <c r="N915" s="3">
        <f>IF(ISNUMBER(AVERAGE('20250815_ETF_Options_Exhibits'!N911:N915)),AVERAGE('20250815_ETF_Options_Exhibits'!N911:N915),"")</f>
        <v/>
      </c>
      <c r="O915" s="3">
        <f>IF(ISNUMBER(AVERAGE('20250815_ETF_Options_Exhibits'!O911:O915)),AVERAGE('20250815_ETF_Options_Exhibits'!O911:O915),"")</f>
        <v/>
      </c>
      <c r="P915" s="3">
        <f>IF(ISNUMBER(AVERAGE('20250815_ETF_Options_Exhibits'!P911:P915)),AVERAGE('20250815_ETF_Options_Exhibits'!P911:P915),"")</f>
        <v/>
      </c>
      <c r="Q915" s="3">
        <f>IF(ISNUMBER(AVERAGE('20250815_ETF_Options_Exhibits'!Q911:Q915)),AVERAGE('20250815_ETF_Options_Exhibits'!Q911:Q915),"")</f>
        <v/>
      </c>
      <c r="R915" s="3">
        <f>IF(ISNUMBER(AVERAGE('20250815_ETF_Options_Exhibits'!R911:R915)),AVERAGE('20250815_ETF_Options_Exhibits'!R911:R915),"")</f>
        <v/>
      </c>
      <c r="S915" s="3">
        <f>IF(ISNUMBER(AVERAGE('20250815_ETF_Options_Exhibits'!S911:S915)),AVERAGE('20250815_ETF_Options_Exhibits'!S911:S915),"")</f>
        <v/>
      </c>
      <c r="T915" s="3">
        <f>IF(ISNUMBER(AVERAGE('20250815_ETF_Options_Exhibits'!T911:T915)),AVERAGE('20250815_ETF_Options_Exhibits'!T911:T915),"")</f>
        <v/>
      </c>
      <c r="U915" s="3">
        <f>IF(ISNUMBER(AVERAGE('20250815_ETF_Options_Exhibits'!U911:U915)),AVERAGE('20250815_ETF_Options_Exhibits'!U911:U915),"")</f>
        <v/>
      </c>
      <c r="V915" s="3">
        <f>IF(ISNUMBER(AVERAGE('20250815_ETF_Options_Exhibits'!V911:V915)),AVERAGE('20250815_ETF_Options_Exhibits'!V911:V915),"")</f>
        <v/>
      </c>
      <c r="W915" s="3">
        <f>IF(ISNUMBER(AVERAGE('20250815_ETF_Options_Exhibits'!W911:W915)),AVERAGE('20250815_ETF_Options_Exhibits'!W911:W915),"")</f>
        <v/>
      </c>
      <c r="X915" s="3">
        <f>IF(ISNUMBER(AVERAGE('20250815_ETF_Options_Exhibits'!X911:X915)),AVERAGE('20250815_ETF_Options_Exhibits'!X911:X915),"")</f>
        <v/>
      </c>
      <c r="Y915" s="3">
        <f>IF(ISNUMBER(AVERAGE('20250815_ETF_Options_Exhibits'!Y911:Y915)),AVERAGE('20250815_ETF_Options_Exhibits'!Y911:Y915),"")</f>
        <v/>
      </c>
      <c r="Z915" s="3">
        <f>IF(ISNUMBER(AVERAGE('20250815_ETF_Options_Exhibits'!Z911:Z915)),AVERAGE('20250815_ETF_Options_Exhibits'!Z911:Z915),"")</f>
        <v/>
      </c>
      <c r="AA915" s="3">
        <f>IF(ISNUMBER(AVERAGE('20250815_ETF_Options_Exhibits'!AA911:AA915)),AVERAGE('20250815_ETF_Options_Exhibits'!AA911:AA915),"")</f>
        <v/>
      </c>
    </row>
    <row r="916">
      <c r="A916" s="1" t="n">
        <v>43332</v>
      </c>
      <c r="B916" s="3">
        <f>IF(ISNUMBER(AVERAGE('20250815_ETF_Options_Exhibits'!B912:B916)),AVERAGE('20250815_ETF_Options_Exhibits'!B912:B916),"")</f>
        <v/>
      </c>
      <c r="C916" s="3">
        <f>IF(ISNUMBER(AVERAGE('20250815_ETF_Options_Exhibits'!C912:C916)),AVERAGE('20250815_ETF_Options_Exhibits'!C912:C916),"")</f>
        <v/>
      </c>
      <c r="D916" s="3">
        <f>IF(ISNUMBER(AVERAGE('20250815_ETF_Options_Exhibits'!D912:D916)),AVERAGE('20250815_ETF_Options_Exhibits'!D912:D916),"")</f>
        <v/>
      </c>
      <c r="E916" s="3">
        <f>IF(ISNUMBER(AVERAGE('20250815_ETF_Options_Exhibits'!E912:E916)),AVERAGE('20250815_ETF_Options_Exhibits'!E912:E916),"")</f>
        <v/>
      </c>
      <c r="F916" s="3">
        <f>IF(ISNUMBER(AVERAGE('20250815_ETF_Options_Exhibits'!F912:F916)),AVERAGE('20250815_ETF_Options_Exhibits'!F912:F916),"")</f>
        <v/>
      </c>
      <c r="G916" s="3">
        <f>IF(ISNUMBER(AVERAGE('20250815_ETF_Options_Exhibits'!G912:G916)),AVERAGE('20250815_ETF_Options_Exhibits'!G912:G916),"")</f>
        <v/>
      </c>
      <c r="H916" s="3">
        <f>IF(ISNUMBER(AVERAGE('20250815_ETF_Options_Exhibits'!H912:H916)),AVERAGE('20250815_ETF_Options_Exhibits'!H912:H916),"")</f>
        <v/>
      </c>
      <c r="I916" s="3">
        <f>IF(ISNUMBER(AVERAGE('20250815_ETF_Options_Exhibits'!I912:I916)),AVERAGE('20250815_ETF_Options_Exhibits'!I912:I916),"")</f>
        <v/>
      </c>
      <c r="J916" s="3">
        <f>IF(ISNUMBER(AVERAGE('20250815_ETF_Options_Exhibits'!J912:J916)),AVERAGE('20250815_ETF_Options_Exhibits'!J912:J916),"")</f>
        <v/>
      </c>
      <c r="K916" s="3">
        <f>IF(ISNUMBER(AVERAGE('20250815_ETF_Options_Exhibits'!K912:K916)),AVERAGE('20250815_ETF_Options_Exhibits'!K912:K916),"")</f>
        <v/>
      </c>
      <c r="L916" s="3">
        <f>IF(ISNUMBER(AVERAGE('20250815_ETF_Options_Exhibits'!L912:L916)),AVERAGE('20250815_ETF_Options_Exhibits'!L912:L916),"")</f>
        <v/>
      </c>
      <c r="M916" s="3">
        <f>IF(ISNUMBER(AVERAGE('20250815_ETF_Options_Exhibits'!M912:M916)),AVERAGE('20250815_ETF_Options_Exhibits'!M912:M916),"")</f>
        <v/>
      </c>
      <c r="N916" s="3">
        <f>IF(ISNUMBER(AVERAGE('20250815_ETF_Options_Exhibits'!N912:N916)),AVERAGE('20250815_ETF_Options_Exhibits'!N912:N916),"")</f>
        <v/>
      </c>
      <c r="O916" s="3">
        <f>IF(ISNUMBER(AVERAGE('20250815_ETF_Options_Exhibits'!O912:O916)),AVERAGE('20250815_ETF_Options_Exhibits'!O912:O916),"")</f>
        <v/>
      </c>
      <c r="P916" s="3">
        <f>IF(ISNUMBER(AVERAGE('20250815_ETF_Options_Exhibits'!P912:P916)),AVERAGE('20250815_ETF_Options_Exhibits'!P912:P916),"")</f>
        <v/>
      </c>
      <c r="Q916" s="3">
        <f>IF(ISNUMBER(AVERAGE('20250815_ETF_Options_Exhibits'!Q912:Q916)),AVERAGE('20250815_ETF_Options_Exhibits'!Q912:Q916),"")</f>
        <v/>
      </c>
      <c r="R916" s="3">
        <f>IF(ISNUMBER(AVERAGE('20250815_ETF_Options_Exhibits'!R912:R916)),AVERAGE('20250815_ETF_Options_Exhibits'!R912:R916),"")</f>
        <v/>
      </c>
      <c r="S916" s="3">
        <f>IF(ISNUMBER(AVERAGE('20250815_ETF_Options_Exhibits'!S912:S916)),AVERAGE('20250815_ETF_Options_Exhibits'!S912:S916),"")</f>
        <v/>
      </c>
      <c r="T916" s="3">
        <f>IF(ISNUMBER(AVERAGE('20250815_ETF_Options_Exhibits'!T912:T916)),AVERAGE('20250815_ETF_Options_Exhibits'!T912:T916),"")</f>
        <v/>
      </c>
      <c r="U916" s="3">
        <f>IF(ISNUMBER(AVERAGE('20250815_ETF_Options_Exhibits'!U912:U916)),AVERAGE('20250815_ETF_Options_Exhibits'!U912:U916),"")</f>
        <v/>
      </c>
      <c r="V916" s="3">
        <f>IF(ISNUMBER(AVERAGE('20250815_ETF_Options_Exhibits'!V912:V916)),AVERAGE('20250815_ETF_Options_Exhibits'!V912:V916),"")</f>
        <v/>
      </c>
      <c r="W916" s="3">
        <f>IF(ISNUMBER(AVERAGE('20250815_ETF_Options_Exhibits'!W912:W916)),AVERAGE('20250815_ETF_Options_Exhibits'!W912:W916),"")</f>
        <v/>
      </c>
      <c r="X916" s="3">
        <f>IF(ISNUMBER(AVERAGE('20250815_ETF_Options_Exhibits'!X912:X916)),AVERAGE('20250815_ETF_Options_Exhibits'!X912:X916),"")</f>
        <v/>
      </c>
      <c r="Y916" s="3">
        <f>IF(ISNUMBER(AVERAGE('20250815_ETF_Options_Exhibits'!Y912:Y916)),AVERAGE('20250815_ETF_Options_Exhibits'!Y912:Y916),"")</f>
        <v/>
      </c>
      <c r="Z916" s="3">
        <f>IF(ISNUMBER(AVERAGE('20250815_ETF_Options_Exhibits'!Z912:Z916)),AVERAGE('20250815_ETF_Options_Exhibits'!Z912:Z916),"")</f>
        <v/>
      </c>
      <c r="AA916" s="3">
        <f>IF(ISNUMBER(AVERAGE('20250815_ETF_Options_Exhibits'!AA912:AA916)),AVERAGE('20250815_ETF_Options_Exhibits'!AA912:AA916),"")</f>
        <v/>
      </c>
    </row>
    <row r="917">
      <c r="A917" s="1" t="n">
        <v>43333</v>
      </c>
      <c r="B917" s="3">
        <f>IF(ISNUMBER(AVERAGE('20250815_ETF_Options_Exhibits'!B913:B917)),AVERAGE('20250815_ETF_Options_Exhibits'!B913:B917),"")</f>
        <v/>
      </c>
      <c r="C917" s="3">
        <f>IF(ISNUMBER(AVERAGE('20250815_ETF_Options_Exhibits'!C913:C917)),AVERAGE('20250815_ETF_Options_Exhibits'!C913:C917),"")</f>
        <v/>
      </c>
      <c r="D917" s="3">
        <f>IF(ISNUMBER(AVERAGE('20250815_ETF_Options_Exhibits'!D913:D917)),AVERAGE('20250815_ETF_Options_Exhibits'!D913:D917),"")</f>
        <v/>
      </c>
      <c r="E917" s="3">
        <f>IF(ISNUMBER(AVERAGE('20250815_ETF_Options_Exhibits'!E913:E917)),AVERAGE('20250815_ETF_Options_Exhibits'!E913:E917),"")</f>
        <v/>
      </c>
      <c r="F917" s="3">
        <f>IF(ISNUMBER(AVERAGE('20250815_ETF_Options_Exhibits'!F913:F917)),AVERAGE('20250815_ETF_Options_Exhibits'!F913:F917),"")</f>
        <v/>
      </c>
      <c r="G917" s="3">
        <f>IF(ISNUMBER(AVERAGE('20250815_ETF_Options_Exhibits'!G913:G917)),AVERAGE('20250815_ETF_Options_Exhibits'!G913:G917),"")</f>
        <v/>
      </c>
      <c r="H917" s="3">
        <f>IF(ISNUMBER(AVERAGE('20250815_ETF_Options_Exhibits'!H913:H917)),AVERAGE('20250815_ETF_Options_Exhibits'!H913:H917),"")</f>
        <v/>
      </c>
      <c r="I917" s="3">
        <f>IF(ISNUMBER(AVERAGE('20250815_ETF_Options_Exhibits'!I913:I917)),AVERAGE('20250815_ETF_Options_Exhibits'!I913:I917),"")</f>
        <v/>
      </c>
      <c r="J917" s="3">
        <f>IF(ISNUMBER(AVERAGE('20250815_ETF_Options_Exhibits'!J913:J917)),AVERAGE('20250815_ETF_Options_Exhibits'!J913:J917),"")</f>
        <v/>
      </c>
      <c r="K917" s="3">
        <f>IF(ISNUMBER(AVERAGE('20250815_ETF_Options_Exhibits'!K913:K917)),AVERAGE('20250815_ETF_Options_Exhibits'!K913:K917),"")</f>
        <v/>
      </c>
      <c r="L917" s="3">
        <f>IF(ISNUMBER(AVERAGE('20250815_ETF_Options_Exhibits'!L913:L917)),AVERAGE('20250815_ETF_Options_Exhibits'!L913:L917),"")</f>
        <v/>
      </c>
      <c r="M917" s="3">
        <f>IF(ISNUMBER(AVERAGE('20250815_ETF_Options_Exhibits'!M913:M917)),AVERAGE('20250815_ETF_Options_Exhibits'!M913:M917),"")</f>
        <v/>
      </c>
      <c r="N917" s="3">
        <f>IF(ISNUMBER(AVERAGE('20250815_ETF_Options_Exhibits'!N913:N917)),AVERAGE('20250815_ETF_Options_Exhibits'!N913:N917),"")</f>
        <v/>
      </c>
      <c r="O917" s="3">
        <f>IF(ISNUMBER(AVERAGE('20250815_ETF_Options_Exhibits'!O913:O917)),AVERAGE('20250815_ETF_Options_Exhibits'!O913:O917),"")</f>
        <v/>
      </c>
      <c r="P917" s="3">
        <f>IF(ISNUMBER(AVERAGE('20250815_ETF_Options_Exhibits'!P913:P917)),AVERAGE('20250815_ETF_Options_Exhibits'!P913:P917),"")</f>
        <v/>
      </c>
      <c r="Q917" s="3">
        <f>IF(ISNUMBER(AVERAGE('20250815_ETF_Options_Exhibits'!Q913:Q917)),AVERAGE('20250815_ETF_Options_Exhibits'!Q913:Q917),"")</f>
        <v/>
      </c>
      <c r="R917" s="3">
        <f>IF(ISNUMBER(AVERAGE('20250815_ETF_Options_Exhibits'!R913:R917)),AVERAGE('20250815_ETF_Options_Exhibits'!R913:R917),"")</f>
        <v/>
      </c>
      <c r="S917" s="3">
        <f>IF(ISNUMBER(AVERAGE('20250815_ETF_Options_Exhibits'!S913:S917)),AVERAGE('20250815_ETF_Options_Exhibits'!S913:S917),"")</f>
        <v/>
      </c>
      <c r="T917" s="3">
        <f>IF(ISNUMBER(AVERAGE('20250815_ETF_Options_Exhibits'!T913:T917)),AVERAGE('20250815_ETF_Options_Exhibits'!T913:T917),"")</f>
        <v/>
      </c>
      <c r="U917" s="3">
        <f>IF(ISNUMBER(AVERAGE('20250815_ETF_Options_Exhibits'!U913:U917)),AVERAGE('20250815_ETF_Options_Exhibits'!U913:U917),"")</f>
        <v/>
      </c>
      <c r="V917" s="3">
        <f>IF(ISNUMBER(AVERAGE('20250815_ETF_Options_Exhibits'!V913:V917)),AVERAGE('20250815_ETF_Options_Exhibits'!V913:V917),"")</f>
        <v/>
      </c>
      <c r="W917" s="3">
        <f>IF(ISNUMBER(AVERAGE('20250815_ETF_Options_Exhibits'!W913:W917)),AVERAGE('20250815_ETF_Options_Exhibits'!W913:W917),"")</f>
        <v/>
      </c>
      <c r="X917" s="3">
        <f>IF(ISNUMBER(AVERAGE('20250815_ETF_Options_Exhibits'!X913:X917)),AVERAGE('20250815_ETF_Options_Exhibits'!X913:X917),"")</f>
        <v/>
      </c>
      <c r="Y917" s="3">
        <f>IF(ISNUMBER(AVERAGE('20250815_ETF_Options_Exhibits'!Y913:Y917)),AVERAGE('20250815_ETF_Options_Exhibits'!Y913:Y917),"")</f>
        <v/>
      </c>
      <c r="Z917" s="3">
        <f>IF(ISNUMBER(AVERAGE('20250815_ETF_Options_Exhibits'!Z913:Z917)),AVERAGE('20250815_ETF_Options_Exhibits'!Z913:Z917),"")</f>
        <v/>
      </c>
      <c r="AA917" s="3">
        <f>IF(ISNUMBER(AVERAGE('20250815_ETF_Options_Exhibits'!AA913:AA917)),AVERAGE('20250815_ETF_Options_Exhibits'!AA913:AA917),"")</f>
        <v/>
      </c>
    </row>
    <row r="918">
      <c r="A918" s="1" t="n">
        <v>43334</v>
      </c>
      <c r="B918" s="3">
        <f>IF(ISNUMBER(AVERAGE('20250815_ETF_Options_Exhibits'!B914:B918)),AVERAGE('20250815_ETF_Options_Exhibits'!B914:B918),"")</f>
        <v/>
      </c>
      <c r="C918" s="3">
        <f>IF(ISNUMBER(AVERAGE('20250815_ETF_Options_Exhibits'!C914:C918)),AVERAGE('20250815_ETF_Options_Exhibits'!C914:C918),"")</f>
        <v/>
      </c>
      <c r="D918" s="3">
        <f>IF(ISNUMBER(AVERAGE('20250815_ETF_Options_Exhibits'!D914:D918)),AVERAGE('20250815_ETF_Options_Exhibits'!D914:D918),"")</f>
        <v/>
      </c>
      <c r="E918" s="3">
        <f>IF(ISNUMBER(AVERAGE('20250815_ETF_Options_Exhibits'!E914:E918)),AVERAGE('20250815_ETF_Options_Exhibits'!E914:E918),"")</f>
        <v/>
      </c>
      <c r="F918" s="3">
        <f>IF(ISNUMBER(AVERAGE('20250815_ETF_Options_Exhibits'!F914:F918)),AVERAGE('20250815_ETF_Options_Exhibits'!F914:F918),"")</f>
        <v/>
      </c>
      <c r="G918" s="3">
        <f>IF(ISNUMBER(AVERAGE('20250815_ETF_Options_Exhibits'!G914:G918)),AVERAGE('20250815_ETF_Options_Exhibits'!G914:G918),"")</f>
        <v/>
      </c>
      <c r="H918" s="3">
        <f>IF(ISNUMBER(AVERAGE('20250815_ETF_Options_Exhibits'!H914:H918)),AVERAGE('20250815_ETF_Options_Exhibits'!H914:H918),"")</f>
        <v/>
      </c>
      <c r="I918" s="3">
        <f>IF(ISNUMBER(AVERAGE('20250815_ETF_Options_Exhibits'!I914:I918)),AVERAGE('20250815_ETF_Options_Exhibits'!I914:I918),"")</f>
        <v/>
      </c>
      <c r="J918" s="3">
        <f>IF(ISNUMBER(AVERAGE('20250815_ETF_Options_Exhibits'!J914:J918)),AVERAGE('20250815_ETF_Options_Exhibits'!J914:J918),"")</f>
        <v/>
      </c>
      <c r="K918" s="3">
        <f>IF(ISNUMBER(AVERAGE('20250815_ETF_Options_Exhibits'!K914:K918)),AVERAGE('20250815_ETF_Options_Exhibits'!K914:K918),"")</f>
        <v/>
      </c>
      <c r="L918" s="3">
        <f>IF(ISNUMBER(AVERAGE('20250815_ETF_Options_Exhibits'!L914:L918)),AVERAGE('20250815_ETF_Options_Exhibits'!L914:L918),"")</f>
        <v/>
      </c>
      <c r="M918" s="3">
        <f>IF(ISNUMBER(AVERAGE('20250815_ETF_Options_Exhibits'!M914:M918)),AVERAGE('20250815_ETF_Options_Exhibits'!M914:M918),"")</f>
        <v/>
      </c>
      <c r="N918" s="3">
        <f>IF(ISNUMBER(AVERAGE('20250815_ETF_Options_Exhibits'!N914:N918)),AVERAGE('20250815_ETF_Options_Exhibits'!N914:N918),"")</f>
        <v/>
      </c>
      <c r="O918" s="3">
        <f>IF(ISNUMBER(AVERAGE('20250815_ETF_Options_Exhibits'!O914:O918)),AVERAGE('20250815_ETF_Options_Exhibits'!O914:O918),"")</f>
        <v/>
      </c>
      <c r="P918" s="3">
        <f>IF(ISNUMBER(AVERAGE('20250815_ETF_Options_Exhibits'!P914:P918)),AVERAGE('20250815_ETF_Options_Exhibits'!P914:P918),"")</f>
        <v/>
      </c>
      <c r="Q918" s="3">
        <f>IF(ISNUMBER(AVERAGE('20250815_ETF_Options_Exhibits'!Q914:Q918)),AVERAGE('20250815_ETF_Options_Exhibits'!Q914:Q918),"")</f>
        <v/>
      </c>
      <c r="R918" s="3">
        <f>IF(ISNUMBER(AVERAGE('20250815_ETF_Options_Exhibits'!R914:R918)),AVERAGE('20250815_ETF_Options_Exhibits'!R914:R918),"")</f>
        <v/>
      </c>
      <c r="S918" s="3">
        <f>IF(ISNUMBER(AVERAGE('20250815_ETF_Options_Exhibits'!S914:S918)),AVERAGE('20250815_ETF_Options_Exhibits'!S914:S918),"")</f>
        <v/>
      </c>
      <c r="T918" s="3">
        <f>IF(ISNUMBER(AVERAGE('20250815_ETF_Options_Exhibits'!T914:T918)),AVERAGE('20250815_ETF_Options_Exhibits'!T914:T918),"")</f>
        <v/>
      </c>
      <c r="U918" s="3">
        <f>IF(ISNUMBER(AVERAGE('20250815_ETF_Options_Exhibits'!U914:U918)),AVERAGE('20250815_ETF_Options_Exhibits'!U914:U918),"")</f>
        <v/>
      </c>
      <c r="V918" s="3">
        <f>IF(ISNUMBER(AVERAGE('20250815_ETF_Options_Exhibits'!V914:V918)),AVERAGE('20250815_ETF_Options_Exhibits'!V914:V918),"")</f>
        <v/>
      </c>
      <c r="W918" s="3">
        <f>IF(ISNUMBER(AVERAGE('20250815_ETF_Options_Exhibits'!W914:W918)),AVERAGE('20250815_ETF_Options_Exhibits'!W914:W918),"")</f>
        <v/>
      </c>
      <c r="X918" s="3">
        <f>IF(ISNUMBER(AVERAGE('20250815_ETF_Options_Exhibits'!X914:X918)),AVERAGE('20250815_ETF_Options_Exhibits'!X914:X918),"")</f>
        <v/>
      </c>
      <c r="Y918" s="3">
        <f>IF(ISNUMBER(AVERAGE('20250815_ETF_Options_Exhibits'!Y914:Y918)),AVERAGE('20250815_ETF_Options_Exhibits'!Y914:Y918),"")</f>
        <v/>
      </c>
      <c r="Z918" s="3">
        <f>IF(ISNUMBER(AVERAGE('20250815_ETF_Options_Exhibits'!Z914:Z918)),AVERAGE('20250815_ETF_Options_Exhibits'!Z914:Z918),"")</f>
        <v/>
      </c>
      <c r="AA918" s="3">
        <f>IF(ISNUMBER(AVERAGE('20250815_ETF_Options_Exhibits'!AA914:AA918)),AVERAGE('20250815_ETF_Options_Exhibits'!AA914:AA918),"")</f>
        <v/>
      </c>
    </row>
    <row r="919">
      <c r="A919" s="1" t="n">
        <v>43335</v>
      </c>
      <c r="B919" s="3">
        <f>IF(ISNUMBER(AVERAGE('20250815_ETF_Options_Exhibits'!B915:B919)),AVERAGE('20250815_ETF_Options_Exhibits'!B915:B919),"")</f>
        <v/>
      </c>
      <c r="C919" s="3">
        <f>IF(ISNUMBER(AVERAGE('20250815_ETF_Options_Exhibits'!C915:C919)),AVERAGE('20250815_ETF_Options_Exhibits'!C915:C919),"")</f>
        <v/>
      </c>
      <c r="D919" s="3">
        <f>IF(ISNUMBER(AVERAGE('20250815_ETF_Options_Exhibits'!D915:D919)),AVERAGE('20250815_ETF_Options_Exhibits'!D915:D919),"")</f>
        <v/>
      </c>
      <c r="E919" s="3">
        <f>IF(ISNUMBER(AVERAGE('20250815_ETF_Options_Exhibits'!E915:E919)),AVERAGE('20250815_ETF_Options_Exhibits'!E915:E919),"")</f>
        <v/>
      </c>
      <c r="F919" s="3">
        <f>IF(ISNUMBER(AVERAGE('20250815_ETF_Options_Exhibits'!F915:F919)),AVERAGE('20250815_ETF_Options_Exhibits'!F915:F919),"")</f>
        <v/>
      </c>
      <c r="G919" s="3">
        <f>IF(ISNUMBER(AVERAGE('20250815_ETF_Options_Exhibits'!G915:G919)),AVERAGE('20250815_ETF_Options_Exhibits'!G915:G919),"")</f>
        <v/>
      </c>
      <c r="H919" s="3">
        <f>IF(ISNUMBER(AVERAGE('20250815_ETF_Options_Exhibits'!H915:H919)),AVERAGE('20250815_ETF_Options_Exhibits'!H915:H919),"")</f>
        <v/>
      </c>
      <c r="I919" s="3">
        <f>IF(ISNUMBER(AVERAGE('20250815_ETF_Options_Exhibits'!I915:I919)),AVERAGE('20250815_ETF_Options_Exhibits'!I915:I919),"")</f>
        <v/>
      </c>
      <c r="J919" s="3">
        <f>IF(ISNUMBER(AVERAGE('20250815_ETF_Options_Exhibits'!J915:J919)),AVERAGE('20250815_ETF_Options_Exhibits'!J915:J919),"")</f>
        <v/>
      </c>
      <c r="K919" s="3">
        <f>IF(ISNUMBER(AVERAGE('20250815_ETF_Options_Exhibits'!K915:K919)),AVERAGE('20250815_ETF_Options_Exhibits'!K915:K919),"")</f>
        <v/>
      </c>
      <c r="L919" s="3">
        <f>IF(ISNUMBER(AVERAGE('20250815_ETF_Options_Exhibits'!L915:L919)),AVERAGE('20250815_ETF_Options_Exhibits'!L915:L919),"")</f>
        <v/>
      </c>
      <c r="M919" s="3">
        <f>IF(ISNUMBER(AVERAGE('20250815_ETF_Options_Exhibits'!M915:M919)),AVERAGE('20250815_ETF_Options_Exhibits'!M915:M919),"")</f>
        <v/>
      </c>
      <c r="N919" s="3">
        <f>IF(ISNUMBER(AVERAGE('20250815_ETF_Options_Exhibits'!N915:N919)),AVERAGE('20250815_ETF_Options_Exhibits'!N915:N919),"")</f>
        <v/>
      </c>
      <c r="O919" s="3">
        <f>IF(ISNUMBER(AVERAGE('20250815_ETF_Options_Exhibits'!O915:O919)),AVERAGE('20250815_ETF_Options_Exhibits'!O915:O919),"")</f>
        <v/>
      </c>
      <c r="P919" s="3">
        <f>IF(ISNUMBER(AVERAGE('20250815_ETF_Options_Exhibits'!P915:P919)),AVERAGE('20250815_ETF_Options_Exhibits'!P915:P919),"")</f>
        <v/>
      </c>
      <c r="Q919" s="3">
        <f>IF(ISNUMBER(AVERAGE('20250815_ETF_Options_Exhibits'!Q915:Q919)),AVERAGE('20250815_ETF_Options_Exhibits'!Q915:Q919),"")</f>
        <v/>
      </c>
      <c r="R919" s="3">
        <f>IF(ISNUMBER(AVERAGE('20250815_ETF_Options_Exhibits'!R915:R919)),AVERAGE('20250815_ETF_Options_Exhibits'!R915:R919),"")</f>
        <v/>
      </c>
      <c r="S919" s="3">
        <f>IF(ISNUMBER(AVERAGE('20250815_ETF_Options_Exhibits'!S915:S919)),AVERAGE('20250815_ETF_Options_Exhibits'!S915:S919),"")</f>
        <v/>
      </c>
      <c r="T919" s="3">
        <f>IF(ISNUMBER(AVERAGE('20250815_ETF_Options_Exhibits'!T915:T919)),AVERAGE('20250815_ETF_Options_Exhibits'!T915:T919),"")</f>
        <v/>
      </c>
      <c r="U919" s="3">
        <f>IF(ISNUMBER(AVERAGE('20250815_ETF_Options_Exhibits'!U915:U919)),AVERAGE('20250815_ETF_Options_Exhibits'!U915:U919),"")</f>
        <v/>
      </c>
      <c r="V919" s="3">
        <f>IF(ISNUMBER(AVERAGE('20250815_ETF_Options_Exhibits'!V915:V919)),AVERAGE('20250815_ETF_Options_Exhibits'!V915:V919),"")</f>
        <v/>
      </c>
      <c r="W919" s="3">
        <f>IF(ISNUMBER(AVERAGE('20250815_ETF_Options_Exhibits'!W915:W919)),AVERAGE('20250815_ETF_Options_Exhibits'!W915:W919),"")</f>
        <v/>
      </c>
      <c r="X919" s="3">
        <f>IF(ISNUMBER(AVERAGE('20250815_ETF_Options_Exhibits'!X915:X919)),AVERAGE('20250815_ETF_Options_Exhibits'!X915:X919),"")</f>
        <v/>
      </c>
      <c r="Y919" s="3">
        <f>IF(ISNUMBER(AVERAGE('20250815_ETF_Options_Exhibits'!Y915:Y919)),AVERAGE('20250815_ETF_Options_Exhibits'!Y915:Y919),"")</f>
        <v/>
      </c>
      <c r="Z919" s="3">
        <f>IF(ISNUMBER(AVERAGE('20250815_ETF_Options_Exhibits'!Z915:Z919)),AVERAGE('20250815_ETF_Options_Exhibits'!Z915:Z919),"")</f>
        <v/>
      </c>
      <c r="AA919" s="3">
        <f>IF(ISNUMBER(AVERAGE('20250815_ETF_Options_Exhibits'!AA915:AA919)),AVERAGE('20250815_ETF_Options_Exhibits'!AA915:AA919),"")</f>
        <v/>
      </c>
    </row>
    <row r="920">
      <c r="A920" s="1" t="n">
        <v>43336</v>
      </c>
      <c r="B920" s="3">
        <f>IF(ISNUMBER(AVERAGE('20250815_ETF_Options_Exhibits'!B916:B920)),AVERAGE('20250815_ETF_Options_Exhibits'!B916:B920),"")</f>
        <v/>
      </c>
      <c r="C920" s="3">
        <f>IF(ISNUMBER(AVERAGE('20250815_ETF_Options_Exhibits'!C916:C920)),AVERAGE('20250815_ETF_Options_Exhibits'!C916:C920),"")</f>
        <v/>
      </c>
      <c r="D920" s="3">
        <f>IF(ISNUMBER(AVERAGE('20250815_ETF_Options_Exhibits'!D916:D920)),AVERAGE('20250815_ETF_Options_Exhibits'!D916:D920),"")</f>
        <v/>
      </c>
      <c r="E920" s="3">
        <f>IF(ISNUMBER(AVERAGE('20250815_ETF_Options_Exhibits'!E916:E920)),AVERAGE('20250815_ETF_Options_Exhibits'!E916:E920),"")</f>
        <v/>
      </c>
      <c r="F920" s="3">
        <f>IF(ISNUMBER(AVERAGE('20250815_ETF_Options_Exhibits'!F916:F920)),AVERAGE('20250815_ETF_Options_Exhibits'!F916:F920),"")</f>
        <v/>
      </c>
      <c r="G920" s="3">
        <f>IF(ISNUMBER(AVERAGE('20250815_ETF_Options_Exhibits'!G916:G920)),AVERAGE('20250815_ETF_Options_Exhibits'!G916:G920),"")</f>
        <v/>
      </c>
      <c r="H920" s="3">
        <f>IF(ISNUMBER(AVERAGE('20250815_ETF_Options_Exhibits'!H916:H920)),AVERAGE('20250815_ETF_Options_Exhibits'!H916:H920),"")</f>
        <v/>
      </c>
      <c r="I920" s="3">
        <f>IF(ISNUMBER(AVERAGE('20250815_ETF_Options_Exhibits'!I916:I920)),AVERAGE('20250815_ETF_Options_Exhibits'!I916:I920),"")</f>
        <v/>
      </c>
      <c r="J920" s="3">
        <f>IF(ISNUMBER(AVERAGE('20250815_ETF_Options_Exhibits'!J916:J920)),AVERAGE('20250815_ETF_Options_Exhibits'!J916:J920),"")</f>
        <v/>
      </c>
      <c r="K920" s="3">
        <f>IF(ISNUMBER(AVERAGE('20250815_ETF_Options_Exhibits'!K916:K920)),AVERAGE('20250815_ETF_Options_Exhibits'!K916:K920),"")</f>
        <v/>
      </c>
      <c r="L920" s="3">
        <f>IF(ISNUMBER(AVERAGE('20250815_ETF_Options_Exhibits'!L916:L920)),AVERAGE('20250815_ETF_Options_Exhibits'!L916:L920),"")</f>
        <v/>
      </c>
      <c r="M920" s="3">
        <f>IF(ISNUMBER(AVERAGE('20250815_ETF_Options_Exhibits'!M916:M920)),AVERAGE('20250815_ETF_Options_Exhibits'!M916:M920),"")</f>
        <v/>
      </c>
      <c r="N920" s="3">
        <f>IF(ISNUMBER(AVERAGE('20250815_ETF_Options_Exhibits'!N916:N920)),AVERAGE('20250815_ETF_Options_Exhibits'!N916:N920),"")</f>
        <v/>
      </c>
      <c r="O920" s="3">
        <f>IF(ISNUMBER(AVERAGE('20250815_ETF_Options_Exhibits'!O916:O920)),AVERAGE('20250815_ETF_Options_Exhibits'!O916:O920),"")</f>
        <v/>
      </c>
      <c r="P920" s="3">
        <f>IF(ISNUMBER(AVERAGE('20250815_ETF_Options_Exhibits'!P916:P920)),AVERAGE('20250815_ETF_Options_Exhibits'!P916:P920),"")</f>
        <v/>
      </c>
      <c r="Q920" s="3">
        <f>IF(ISNUMBER(AVERAGE('20250815_ETF_Options_Exhibits'!Q916:Q920)),AVERAGE('20250815_ETF_Options_Exhibits'!Q916:Q920),"")</f>
        <v/>
      </c>
      <c r="R920" s="3">
        <f>IF(ISNUMBER(AVERAGE('20250815_ETF_Options_Exhibits'!R916:R920)),AVERAGE('20250815_ETF_Options_Exhibits'!R916:R920),"")</f>
        <v/>
      </c>
      <c r="S920" s="3">
        <f>IF(ISNUMBER(AVERAGE('20250815_ETF_Options_Exhibits'!S916:S920)),AVERAGE('20250815_ETF_Options_Exhibits'!S916:S920),"")</f>
        <v/>
      </c>
      <c r="T920" s="3">
        <f>IF(ISNUMBER(AVERAGE('20250815_ETF_Options_Exhibits'!T916:T920)),AVERAGE('20250815_ETF_Options_Exhibits'!T916:T920),"")</f>
        <v/>
      </c>
      <c r="U920" s="3">
        <f>IF(ISNUMBER(AVERAGE('20250815_ETF_Options_Exhibits'!U916:U920)),AVERAGE('20250815_ETF_Options_Exhibits'!U916:U920),"")</f>
        <v/>
      </c>
      <c r="V920" s="3">
        <f>IF(ISNUMBER(AVERAGE('20250815_ETF_Options_Exhibits'!V916:V920)),AVERAGE('20250815_ETF_Options_Exhibits'!V916:V920),"")</f>
        <v/>
      </c>
      <c r="W920" s="3">
        <f>IF(ISNUMBER(AVERAGE('20250815_ETF_Options_Exhibits'!W916:W920)),AVERAGE('20250815_ETF_Options_Exhibits'!W916:W920),"")</f>
        <v/>
      </c>
      <c r="X920" s="3">
        <f>IF(ISNUMBER(AVERAGE('20250815_ETF_Options_Exhibits'!X916:X920)),AVERAGE('20250815_ETF_Options_Exhibits'!X916:X920),"")</f>
        <v/>
      </c>
      <c r="Y920" s="3">
        <f>IF(ISNUMBER(AVERAGE('20250815_ETF_Options_Exhibits'!Y916:Y920)),AVERAGE('20250815_ETF_Options_Exhibits'!Y916:Y920),"")</f>
        <v/>
      </c>
      <c r="Z920" s="3">
        <f>IF(ISNUMBER(AVERAGE('20250815_ETF_Options_Exhibits'!Z916:Z920)),AVERAGE('20250815_ETF_Options_Exhibits'!Z916:Z920),"")</f>
        <v/>
      </c>
      <c r="AA920" s="3">
        <f>IF(ISNUMBER(AVERAGE('20250815_ETF_Options_Exhibits'!AA916:AA920)),AVERAGE('20250815_ETF_Options_Exhibits'!AA916:AA920),"")</f>
        <v/>
      </c>
    </row>
    <row r="921">
      <c r="A921" s="1" t="n">
        <v>43339</v>
      </c>
      <c r="B921" s="3">
        <f>IF(ISNUMBER(AVERAGE('20250815_ETF_Options_Exhibits'!B917:B921)),AVERAGE('20250815_ETF_Options_Exhibits'!B917:B921),"")</f>
        <v/>
      </c>
      <c r="C921" s="3">
        <f>IF(ISNUMBER(AVERAGE('20250815_ETF_Options_Exhibits'!C917:C921)),AVERAGE('20250815_ETF_Options_Exhibits'!C917:C921),"")</f>
        <v/>
      </c>
      <c r="D921" s="3">
        <f>IF(ISNUMBER(AVERAGE('20250815_ETF_Options_Exhibits'!D917:D921)),AVERAGE('20250815_ETF_Options_Exhibits'!D917:D921),"")</f>
        <v/>
      </c>
      <c r="E921" s="3">
        <f>IF(ISNUMBER(AVERAGE('20250815_ETF_Options_Exhibits'!E917:E921)),AVERAGE('20250815_ETF_Options_Exhibits'!E917:E921),"")</f>
        <v/>
      </c>
      <c r="F921" s="3">
        <f>IF(ISNUMBER(AVERAGE('20250815_ETF_Options_Exhibits'!F917:F921)),AVERAGE('20250815_ETF_Options_Exhibits'!F917:F921),"")</f>
        <v/>
      </c>
      <c r="G921" s="3">
        <f>IF(ISNUMBER(AVERAGE('20250815_ETF_Options_Exhibits'!G917:G921)),AVERAGE('20250815_ETF_Options_Exhibits'!G917:G921),"")</f>
        <v/>
      </c>
      <c r="H921" s="3">
        <f>IF(ISNUMBER(AVERAGE('20250815_ETF_Options_Exhibits'!H917:H921)),AVERAGE('20250815_ETF_Options_Exhibits'!H917:H921),"")</f>
        <v/>
      </c>
      <c r="I921" s="3">
        <f>IF(ISNUMBER(AVERAGE('20250815_ETF_Options_Exhibits'!I917:I921)),AVERAGE('20250815_ETF_Options_Exhibits'!I917:I921),"")</f>
        <v/>
      </c>
      <c r="J921" s="3">
        <f>IF(ISNUMBER(AVERAGE('20250815_ETF_Options_Exhibits'!J917:J921)),AVERAGE('20250815_ETF_Options_Exhibits'!J917:J921),"")</f>
        <v/>
      </c>
      <c r="K921" s="3">
        <f>IF(ISNUMBER(AVERAGE('20250815_ETF_Options_Exhibits'!K917:K921)),AVERAGE('20250815_ETF_Options_Exhibits'!K917:K921),"")</f>
        <v/>
      </c>
      <c r="L921" s="3">
        <f>IF(ISNUMBER(AVERAGE('20250815_ETF_Options_Exhibits'!L917:L921)),AVERAGE('20250815_ETF_Options_Exhibits'!L917:L921),"")</f>
        <v/>
      </c>
      <c r="M921" s="3">
        <f>IF(ISNUMBER(AVERAGE('20250815_ETF_Options_Exhibits'!M917:M921)),AVERAGE('20250815_ETF_Options_Exhibits'!M917:M921),"")</f>
        <v/>
      </c>
      <c r="N921" s="3">
        <f>IF(ISNUMBER(AVERAGE('20250815_ETF_Options_Exhibits'!N917:N921)),AVERAGE('20250815_ETF_Options_Exhibits'!N917:N921),"")</f>
        <v/>
      </c>
      <c r="O921" s="3">
        <f>IF(ISNUMBER(AVERAGE('20250815_ETF_Options_Exhibits'!O917:O921)),AVERAGE('20250815_ETF_Options_Exhibits'!O917:O921),"")</f>
        <v/>
      </c>
      <c r="P921" s="3">
        <f>IF(ISNUMBER(AVERAGE('20250815_ETF_Options_Exhibits'!P917:P921)),AVERAGE('20250815_ETF_Options_Exhibits'!P917:P921),"")</f>
        <v/>
      </c>
      <c r="Q921" s="3">
        <f>IF(ISNUMBER(AVERAGE('20250815_ETF_Options_Exhibits'!Q917:Q921)),AVERAGE('20250815_ETF_Options_Exhibits'!Q917:Q921),"")</f>
        <v/>
      </c>
      <c r="R921" s="3">
        <f>IF(ISNUMBER(AVERAGE('20250815_ETF_Options_Exhibits'!R917:R921)),AVERAGE('20250815_ETF_Options_Exhibits'!R917:R921),"")</f>
        <v/>
      </c>
      <c r="S921" s="3">
        <f>IF(ISNUMBER(AVERAGE('20250815_ETF_Options_Exhibits'!S917:S921)),AVERAGE('20250815_ETF_Options_Exhibits'!S917:S921),"")</f>
        <v/>
      </c>
      <c r="T921" s="3">
        <f>IF(ISNUMBER(AVERAGE('20250815_ETF_Options_Exhibits'!T917:T921)),AVERAGE('20250815_ETF_Options_Exhibits'!T917:T921),"")</f>
        <v/>
      </c>
      <c r="U921" s="3">
        <f>IF(ISNUMBER(AVERAGE('20250815_ETF_Options_Exhibits'!U917:U921)),AVERAGE('20250815_ETF_Options_Exhibits'!U917:U921),"")</f>
        <v/>
      </c>
      <c r="V921" s="3">
        <f>IF(ISNUMBER(AVERAGE('20250815_ETF_Options_Exhibits'!V917:V921)),AVERAGE('20250815_ETF_Options_Exhibits'!V917:V921),"")</f>
        <v/>
      </c>
      <c r="W921" s="3">
        <f>IF(ISNUMBER(AVERAGE('20250815_ETF_Options_Exhibits'!W917:W921)),AVERAGE('20250815_ETF_Options_Exhibits'!W917:W921),"")</f>
        <v/>
      </c>
      <c r="X921" s="3">
        <f>IF(ISNUMBER(AVERAGE('20250815_ETF_Options_Exhibits'!X917:X921)),AVERAGE('20250815_ETF_Options_Exhibits'!X917:X921),"")</f>
        <v/>
      </c>
      <c r="Y921" s="3">
        <f>IF(ISNUMBER(AVERAGE('20250815_ETF_Options_Exhibits'!Y917:Y921)),AVERAGE('20250815_ETF_Options_Exhibits'!Y917:Y921),"")</f>
        <v/>
      </c>
      <c r="Z921" s="3">
        <f>IF(ISNUMBER(AVERAGE('20250815_ETF_Options_Exhibits'!Z917:Z921)),AVERAGE('20250815_ETF_Options_Exhibits'!Z917:Z921),"")</f>
        <v/>
      </c>
      <c r="AA921" s="3">
        <f>IF(ISNUMBER(AVERAGE('20250815_ETF_Options_Exhibits'!AA917:AA921)),AVERAGE('20250815_ETF_Options_Exhibits'!AA917:AA921),"")</f>
        <v/>
      </c>
    </row>
    <row r="922">
      <c r="A922" s="1" t="n">
        <v>43340</v>
      </c>
      <c r="B922" s="3">
        <f>IF(ISNUMBER(AVERAGE('20250815_ETF_Options_Exhibits'!B918:B922)),AVERAGE('20250815_ETF_Options_Exhibits'!B918:B922),"")</f>
        <v/>
      </c>
      <c r="C922" s="3">
        <f>IF(ISNUMBER(AVERAGE('20250815_ETF_Options_Exhibits'!C918:C922)),AVERAGE('20250815_ETF_Options_Exhibits'!C918:C922),"")</f>
        <v/>
      </c>
      <c r="D922" s="3">
        <f>IF(ISNUMBER(AVERAGE('20250815_ETF_Options_Exhibits'!D918:D922)),AVERAGE('20250815_ETF_Options_Exhibits'!D918:D922),"")</f>
        <v/>
      </c>
      <c r="E922" s="3">
        <f>IF(ISNUMBER(AVERAGE('20250815_ETF_Options_Exhibits'!E918:E922)),AVERAGE('20250815_ETF_Options_Exhibits'!E918:E922),"")</f>
        <v/>
      </c>
      <c r="F922" s="3">
        <f>IF(ISNUMBER(AVERAGE('20250815_ETF_Options_Exhibits'!F918:F922)),AVERAGE('20250815_ETF_Options_Exhibits'!F918:F922),"")</f>
        <v/>
      </c>
      <c r="G922" s="3">
        <f>IF(ISNUMBER(AVERAGE('20250815_ETF_Options_Exhibits'!G918:G922)),AVERAGE('20250815_ETF_Options_Exhibits'!G918:G922),"")</f>
        <v/>
      </c>
      <c r="H922" s="3">
        <f>IF(ISNUMBER(AVERAGE('20250815_ETF_Options_Exhibits'!H918:H922)),AVERAGE('20250815_ETF_Options_Exhibits'!H918:H922),"")</f>
        <v/>
      </c>
      <c r="I922" s="3">
        <f>IF(ISNUMBER(AVERAGE('20250815_ETF_Options_Exhibits'!I918:I922)),AVERAGE('20250815_ETF_Options_Exhibits'!I918:I922),"")</f>
        <v/>
      </c>
      <c r="J922" s="3">
        <f>IF(ISNUMBER(AVERAGE('20250815_ETF_Options_Exhibits'!J918:J922)),AVERAGE('20250815_ETF_Options_Exhibits'!J918:J922),"")</f>
        <v/>
      </c>
      <c r="K922" s="3">
        <f>IF(ISNUMBER(AVERAGE('20250815_ETF_Options_Exhibits'!K918:K922)),AVERAGE('20250815_ETF_Options_Exhibits'!K918:K922),"")</f>
        <v/>
      </c>
      <c r="L922" s="3">
        <f>IF(ISNUMBER(AVERAGE('20250815_ETF_Options_Exhibits'!L918:L922)),AVERAGE('20250815_ETF_Options_Exhibits'!L918:L922),"")</f>
        <v/>
      </c>
      <c r="M922" s="3">
        <f>IF(ISNUMBER(AVERAGE('20250815_ETF_Options_Exhibits'!M918:M922)),AVERAGE('20250815_ETF_Options_Exhibits'!M918:M922),"")</f>
        <v/>
      </c>
      <c r="N922" s="3">
        <f>IF(ISNUMBER(AVERAGE('20250815_ETF_Options_Exhibits'!N918:N922)),AVERAGE('20250815_ETF_Options_Exhibits'!N918:N922),"")</f>
        <v/>
      </c>
      <c r="O922" s="3">
        <f>IF(ISNUMBER(AVERAGE('20250815_ETF_Options_Exhibits'!O918:O922)),AVERAGE('20250815_ETF_Options_Exhibits'!O918:O922),"")</f>
        <v/>
      </c>
      <c r="P922" s="3">
        <f>IF(ISNUMBER(AVERAGE('20250815_ETF_Options_Exhibits'!P918:P922)),AVERAGE('20250815_ETF_Options_Exhibits'!P918:P922),"")</f>
        <v/>
      </c>
      <c r="Q922" s="3">
        <f>IF(ISNUMBER(AVERAGE('20250815_ETF_Options_Exhibits'!Q918:Q922)),AVERAGE('20250815_ETF_Options_Exhibits'!Q918:Q922),"")</f>
        <v/>
      </c>
      <c r="R922" s="3">
        <f>IF(ISNUMBER(AVERAGE('20250815_ETF_Options_Exhibits'!R918:R922)),AVERAGE('20250815_ETF_Options_Exhibits'!R918:R922),"")</f>
        <v/>
      </c>
      <c r="S922" s="3">
        <f>IF(ISNUMBER(AVERAGE('20250815_ETF_Options_Exhibits'!S918:S922)),AVERAGE('20250815_ETF_Options_Exhibits'!S918:S922),"")</f>
        <v/>
      </c>
      <c r="T922" s="3">
        <f>IF(ISNUMBER(AVERAGE('20250815_ETF_Options_Exhibits'!T918:T922)),AVERAGE('20250815_ETF_Options_Exhibits'!T918:T922),"")</f>
        <v/>
      </c>
      <c r="U922" s="3">
        <f>IF(ISNUMBER(AVERAGE('20250815_ETF_Options_Exhibits'!U918:U922)),AVERAGE('20250815_ETF_Options_Exhibits'!U918:U922),"")</f>
        <v/>
      </c>
      <c r="V922" s="3">
        <f>IF(ISNUMBER(AVERAGE('20250815_ETF_Options_Exhibits'!V918:V922)),AVERAGE('20250815_ETF_Options_Exhibits'!V918:V922),"")</f>
        <v/>
      </c>
      <c r="W922" s="3">
        <f>IF(ISNUMBER(AVERAGE('20250815_ETF_Options_Exhibits'!W918:W922)),AVERAGE('20250815_ETF_Options_Exhibits'!W918:W922),"")</f>
        <v/>
      </c>
      <c r="X922" s="3">
        <f>IF(ISNUMBER(AVERAGE('20250815_ETF_Options_Exhibits'!X918:X922)),AVERAGE('20250815_ETF_Options_Exhibits'!X918:X922),"")</f>
        <v/>
      </c>
      <c r="Y922" s="3">
        <f>IF(ISNUMBER(AVERAGE('20250815_ETF_Options_Exhibits'!Y918:Y922)),AVERAGE('20250815_ETF_Options_Exhibits'!Y918:Y922),"")</f>
        <v/>
      </c>
      <c r="Z922" s="3">
        <f>IF(ISNUMBER(AVERAGE('20250815_ETF_Options_Exhibits'!Z918:Z922)),AVERAGE('20250815_ETF_Options_Exhibits'!Z918:Z922),"")</f>
        <v/>
      </c>
      <c r="AA922" s="3">
        <f>IF(ISNUMBER(AVERAGE('20250815_ETF_Options_Exhibits'!AA918:AA922)),AVERAGE('20250815_ETF_Options_Exhibits'!AA918:AA922),"")</f>
        <v/>
      </c>
    </row>
    <row r="923">
      <c r="A923" s="1" t="n">
        <v>43341</v>
      </c>
      <c r="B923" s="3">
        <f>IF(ISNUMBER(AVERAGE('20250815_ETF_Options_Exhibits'!B919:B923)),AVERAGE('20250815_ETF_Options_Exhibits'!B919:B923),"")</f>
        <v/>
      </c>
      <c r="C923" s="3">
        <f>IF(ISNUMBER(AVERAGE('20250815_ETF_Options_Exhibits'!C919:C923)),AVERAGE('20250815_ETF_Options_Exhibits'!C919:C923),"")</f>
        <v/>
      </c>
      <c r="D923" s="3">
        <f>IF(ISNUMBER(AVERAGE('20250815_ETF_Options_Exhibits'!D919:D923)),AVERAGE('20250815_ETF_Options_Exhibits'!D919:D923),"")</f>
        <v/>
      </c>
      <c r="E923" s="3">
        <f>IF(ISNUMBER(AVERAGE('20250815_ETF_Options_Exhibits'!E919:E923)),AVERAGE('20250815_ETF_Options_Exhibits'!E919:E923),"")</f>
        <v/>
      </c>
      <c r="F923" s="3">
        <f>IF(ISNUMBER(AVERAGE('20250815_ETF_Options_Exhibits'!F919:F923)),AVERAGE('20250815_ETF_Options_Exhibits'!F919:F923),"")</f>
        <v/>
      </c>
      <c r="G923" s="3">
        <f>IF(ISNUMBER(AVERAGE('20250815_ETF_Options_Exhibits'!G919:G923)),AVERAGE('20250815_ETF_Options_Exhibits'!G919:G923),"")</f>
        <v/>
      </c>
      <c r="H923" s="3">
        <f>IF(ISNUMBER(AVERAGE('20250815_ETF_Options_Exhibits'!H919:H923)),AVERAGE('20250815_ETF_Options_Exhibits'!H919:H923),"")</f>
        <v/>
      </c>
      <c r="I923" s="3">
        <f>IF(ISNUMBER(AVERAGE('20250815_ETF_Options_Exhibits'!I919:I923)),AVERAGE('20250815_ETF_Options_Exhibits'!I919:I923),"")</f>
        <v/>
      </c>
      <c r="J923" s="3">
        <f>IF(ISNUMBER(AVERAGE('20250815_ETF_Options_Exhibits'!J919:J923)),AVERAGE('20250815_ETF_Options_Exhibits'!J919:J923),"")</f>
        <v/>
      </c>
      <c r="K923" s="3">
        <f>IF(ISNUMBER(AVERAGE('20250815_ETF_Options_Exhibits'!K919:K923)),AVERAGE('20250815_ETF_Options_Exhibits'!K919:K923),"")</f>
        <v/>
      </c>
      <c r="L923" s="3">
        <f>IF(ISNUMBER(AVERAGE('20250815_ETF_Options_Exhibits'!L919:L923)),AVERAGE('20250815_ETF_Options_Exhibits'!L919:L923),"")</f>
        <v/>
      </c>
      <c r="M923" s="3">
        <f>IF(ISNUMBER(AVERAGE('20250815_ETF_Options_Exhibits'!M919:M923)),AVERAGE('20250815_ETF_Options_Exhibits'!M919:M923),"")</f>
        <v/>
      </c>
      <c r="N923" s="3">
        <f>IF(ISNUMBER(AVERAGE('20250815_ETF_Options_Exhibits'!N919:N923)),AVERAGE('20250815_ETF_Options_Exhibits'!N919:N923),"")</f>
        <v/>
      </c>
      <c r="O923" s="3">
        <f>IF(ISNUMBER(AVERAGE('20250815_ETF_Options_Exhibits'!O919:O923)),AVERAGE('20250815_ETF_Options_Exhibits'!O919:O923),"")</f>
        <v/>
      </c>
      <c r="P923" s="3">
        <f>IF(ISNUMBER(AVERAGE('20250815_ETF_Options_Exhibits'!P919:P923)),AVERAGE('20250815_ETF_Options_Exhibits'!P919:P923),"")</f>
        <v/>
      </c>
      <c r="Q923" s="3">
        <f>IF(ISNUMBER(AVERAGE('20250815_ETF_Options_Exhibits'!Q919:Q923)),AVERAGE('20250815_ETF_Options_Exhibits'!Q919:Q923),"")</f>
        <v/>
      </c>
      <c r="R923" s="3">
        <f>IF(ISNUMBER(AVERAGE('20250815_ETF_Options_Exhibits'!R919:R923)),AVERAGE('20250815_ETF_Options_Exhibits'!R919:R923),"")</f>
        <v/>
      </c>
      <c r="S923" s="3">
        <f>IF(ISNUMBER(AVERAGE('20250815_ETF_Options_Exhibits'!S919:S923)),AVERAGE('20250815_ETF_Options_Exhibits'!S919:S923),"")</f>
        <v/>
      </c>
      <c r="T923" s="3">
        <f>IF(ISNUMBER(AVERAGE('20250815_ETF_Options_Exhibits'!T919:T923)),AVERAGE('20250815_ETF_Options_Exhibits'!T919:T923),"")</f>
        <v/>
      </c>
      <c r="U923" s="3">
        <f>IF(ISNUMBER(AVERAGE('20250815_ETF_Options_Exhibits'!U919:U923)),AVERAGE('20250815_ETF_Options_Exhibits'!U919:U923),"")</f>
        <v/>
      </c>
      <c r="V923" s="3">
        <f>IF(ISNUMBER(AVERAGE('20250815_ETF_Options_Exhibits'!V919:V923)),AVERAGE('20250815_ETF_Options_Exhibits'!V919:V923),"")</f>
        <v/>
      </c>
      <c r="W923" s="3">
        <f>IF(ISNUMBER(AVERAGE('20250815_ETF_Options_Exhibits'!W919:W923)),AVERAGE('20250815_ETF_Options_Exhibits'!W919:W923),"")</f>
        <v/>
      </c>
      <c r="X923" s="3">
        <f>IF(ISNUMBER(AVERAGE('20250815_ETF_Options_Exhibits'!X919:X923)),AVERAGE('20250815_ETF_Options_Exhibits'!X919:X923),"")</f>
        <v/>
      </c>
      <c r="Y923" s="3">
        <f>IF(ISNUMBER(AVERAGE('20250815_ETF_Options_Exhibits'!Y919:Y923)),AVERAGE('20250815_ETF_Options_Exhibits'!Y919:Y923),"")</f>
        <v/>
      </c>
      <c r="Z923" s="3">
        <f>IF(ISNUMBER(AVERAGE('20250815_ETF_Options_Exhibits'!Z919:Z923)),AVERAGE('20250815_ETF_Options_Exhibits'!Z919:Z923),"")</f>
        <v/>
      </c>
      <c r="AA923" s="3">
        <f>IF(ISNUMBER(AVERAGE('20250815_ETF_Options_Exhibits'!AA919:AA923)),AVERAGE('20250815_ETF_Options_Exhibits'!AA919:AA923),"")</f>
        <v/>
      </c>
    </row>
    <row r="924">
      <c r="A924" s="1" t="n">
        <v>43342</v>
      </c>
      <c r="B924" s="3">
        <f>IF(ISNUMBER(AVERAGE('20250815_ETF_Options_Exhibits'!B920:B924)),AVERAGE('20250815_ETF_Options_Exhibits'!B920:B924),"")</f>
        <v/>
      </c>
      <c r="C924" s="3">
        <f>IF(ISNUMBER(AVERAGE('20250815_ETF_Options_Exhibits'!C920:C924)),AVERAGE('20250815_ETF_Options_Exhibits'!C920:C924),"")</f>
        <v/>
      </c>
      <c r="D924" s="3">
        <f>IF(ISNUMBER(AVERAGE('20250815_ETF_Options_Exhibits'!D920:D924)),AVERAGE('20250815_ETF_Options_Exhibits'!D920:D924),"")</f>
        <v/>
      </c>
      <c r="E924" s="3">
        <f>IF(ISNUMBER(AVERAGE('20250815_ETF_Options_Exhibits'!E920:E924)),AVERAGE('20250815_ETF_Options_Exhibits'!E920:E924),"")</f>
        <v/>
      </c>
      <c r="F924" s="3">
        <f>IF(ISNUMBER(AVERAGE('20250815_ETF_Options_Exhibits'!F920:F924)),AVERAGE('20250815_ETF_Options_Exhibits'!F920:F924),"")</f>
        <v/>
      </c>
      <c r="G924" s="3">
        <f>IF(ISNUMBER(AVERAGE('20250815_ETF_Options_Exhibits'!G920:G924)),AVERAGE('20250815_ETF_Options_Exhibits'!G920:G924),"")</f>
        <v/>
      </c>
      <c r="H924" s="3">
        <f>IF(ISNUMBER(AVERAGE('20250815_ETF_Options_Exhibits'!H920:H924)),AVERAGE('20250815_ETF_Options_Exhibits'!H920:H924),"")</f>
        <v/>
      </c>
      <c r="I924" s="3">
        <f>IF(ISNUMBER(AVERAGE('20250815_ETF_Options_Exhibits'!I920:I924)),AVERAGE('20250815_ETF_Options_Exhibits'!I920:I924),"")</f>
        <v/>
      </c>
      <c r="J924" s="3">
        <f>IF(ISNUMBER(AVERAGE('20250815_ETF_Options_Exhibits'!J920:J924)),AVERAGE('20250815_ETF_Options_Exhibits'!J920:J924),"")</f>
        <v/>
      </c>
      <c r="K924" s="3">
        <f>IF(ISNUMBER(AVERAGE('20250815_ETF_Options_Exhibits'!K920:K924)),AVERAGE('20250815_ETF_Options_Exhibits'!K920:K924),"")</f>
        <v/>
      </c>
      <c r="L924" s="3">
        <f>IF(ISNUMBER(AVERAGE('20250815_ETF_Options_Exhibits'!L920:L924)),AVERAGE('20250815_ETF_Options_Exhibits'!L920:L924),"")</f>
        <v/>
      </c>
      <c r="M924" s="3">
        <f>IF(ISNUMBER(AVERAGE('20250815_ETF_Options_Exhibits'!M920:M924)),AVERAGE('20250815_ETF_Options_Exhibits'!M920:M924),"")</f>
        <v/>
      </c>
      <c r="N924" s="3">
        <f>IF(ISNUMBER(AVERAGE('20250815_ETF_Options_Exhibits'!N920:N924)),AVERAGE('20250815_ETF_Options_Exhibits'!N920:N924),"")</f>
        <v/>
      </c>
      <c r="O924" s="3">
        <f>IF(ISNUMBER(AVERAGE('20250815_ETF_Options_Exhibits'!O920:O924)),AVERAGE('20250815_ETF_Options_Exhibits'!O920:O924),"")</f>
        <v/>
      </c>
      <c r="P924" s="3">
        <f>IF(ISNUMBER(AVERAGE('20250815_ETF_Options_Exhibits'!P920:P924)),AVERAGE('20250815_ETF_Options_Exhibits'!P920:P924),"")</f>
        <v/>
      </c>
      <c r="Q924" s="3">
        <f>IF(ISNUMBER(AVERAGE('20250815_ETF_Options_Exhibits'!Q920:Q924)),AVERAGE('20250815_ETF_Options_Exhibits'!Q920:Q924),"")</f>
        <v/>
      </c>
      <c r="R924" s="3">
        <f>IF(ISNUMBER(AVERAGE('20250815_ETF_Options_Exhibits'!R920:R924)),AVERAGE('20250815_ETF_Options_Exhibits'!R920:R924),"")</f>
        <v/>
      </c>
      <c r="S924" s="3">
        <f>IF(ISNUMBER(AVERAGE('20250815_ETF_Options_Exhibits'!S920:S924)),AVERAGE('20250815_ETF_Options_Exhibits'!S920:S924),"")</f>
        <v/>
      </c>
      <c r="T924" s="3">
        <f>IF(ISNUMBER(AVERAGE('20250815_ETF_Options_Exhibits'!T920:T924)),AVERAGE('20250815_ETF_Options_Exhibits'!T920:T924),"")</f>
        <v/>
      </c>
      <c r="U924" s="3">
        <f>IF(ISNUMBER(AVERAGE('20250815_ETF_Options_Exhibits'!U920:U924)),AVERAGE('20250815_ETF_Options_Exhibits'!U920:U924),"")</f>
        <v/>
      </c>
      <c r="V924" s="3">
        <f>IF(ISNUMBER(AVERAGE('20250815_ETF_Options_Exhibits'!V920:V924)),AVERAGE('20250815_ETF_Options_Exhibits'!V920:V924),"")</f>
        <v/>
      </c>
      <c r="W924" s="3">
        <f>IF(ISNUMBER(AVERAGE('20250815_ETF_Options_Exhibits'!W920:W924)),AVERAGE('20250815_ETF_Options_Exhibits'!W920:W924),"")</f>
        <v/>
      </c>
      <c r="X924" s="3">
        <f>IF(ISNUMBER(AVERAGE('20250815_ETF_Options_Exhibits'!X920:X924)),AVERAGE('20250815_ETF_Options_Exhibits'!X920:X924),"")</f>
        <v/>
      </c>
      <c r="Y924" s="3">
        <f>IF(ISNUMBER(AVERAGE('20250815_ETF_Options_Exhibits'!Y920:Y924)),AVERAGE('20250815_ETF_Options_Exhibits'!Y920:Y924),"")</f>
        <v/>
      </c>
      <c r="Z924" s="3">
        <f>IF(ISNUMBER(AVERAGE('20250815_ETF_Options_Exhibits'!Z920:Z924)),AVERAGE('20250815_ETF_Options_Exhibits'!Z920:Z924),"")</f>
        <v/>
      </c>
      <c r="AA924" s="3">
        <f>IF(ISNUMBER(AVERAGE('20250815_ETF_Options_Exhibits'!AA920:AA924)),AVERAGE('20250815_ETF_Options_Exhibits'!AA920:AA924),"")</f>
        <v/>
      </c>
    </row>
    <row r="925">
      <c r="A925" s="1" t="n">
        <v>43343</v>
      </c>
      <c r="B925" s="3">
        <f>IF(ISNUMBER(AVERAGE('20250815_ETF_Options_Exhibits'!B921:B925)),AVERAGE('20250815_ETF_Options_Exhibits'!B921:B925),"")</f>
        <v/>
      </c>
      <c r="C925" s="3">
        <f>IF(ISNUMBER(AVERAGE('20250815_ETF_Options_Exhibits'!C921:C925)),AVERAGE('20250815_ETF_Options_Exhibits'!C921:C925),"")</f>
        <v/>
      </c>
      <c r="D925" s="3">
        <f>IF(ISNUMBER(AVERAGE('20250815_ETF_Options_Exhibits'!D921:D925)),AVERAGE('20250815_ETF_Options_Exhibits'!D921:D925),"")</f>
        <v/>
      </c>
      <c r="E925" s="3">
        <f>IF(ISNUMBER(AVERAGE('20250815_ETF_Options_Exhibits'!E921:E925)),AVERAGE('20250815_ETF_Options_Exhibits'!E921:E925),"")</f>
        <v/>
      </c>
      <c r="F925" s="3">
        <f>IF(ISNUMBER(AVERAGE('20250815_ETF_Options_Exhibits'!F921:F925)),AVERAGE('20250815_ETF_Options_Exhibits'!F921:F925),"")</f>
        <v/>
      </c>
      <c r="G925" s="3">
        <f>IF(ISNUMBER(AVERAGE('20250815_ETF_Options_Exhibits'!G921:G925)),AVERAGE('20250815_ETF_Options_Exhibits'!G921:G925),"")</f>
        <v/>
      </c>
      <c r="H925" s="3">
        <f>IF(ISNUMBER(AVERAGE('20250815_ETF_Options_Exhibits'!H921:H925)),AVERAGE('20250815_ETF_Options_Exhibits'!H921:H925),"")</f>
        <v/>
      </c>
      <c r="I925" s="3">
        <f>IF(ISNUMBER(AVERAGE('20250815_ETF_Options_Exhibits'!I921:I925)),AVERAGE('20250815_ETF_Options_Exhibits'!I921:I925),"")</f>
        <v/>
      </c>
      <c r="J925" s="3">
        <f>IF(ISNUMBER(AVERAGE('20250815_ETF_Options_Exhibits'!J921:J925)),AVERAGE('20250815_ETF_Options_Exhibits'!J921:J925),"")</f>
        <v/>
      </c>
      <c r="K925" s="3">
        <f>IF(ISNUMBER(AVERAGE('20250815_ETF_Options_Exhibits'!K921:K925)),AVERAGE('20250815_ETF_Options_Exhibits'!K921:K925),"")</f>
        <v/>
      </c>
      <c r="L925" s="3">
        <f>IF(ISNUMBER(AVERAGE('20250815_ETF_Options_Exhibits'!L921:L925)),AVERAGE('20250815_ETF_Options_Exhibits'!L921:L925),"")</f>
        <v/>
      </c>
      <c r="M925" s="3">
        <f>IF(ISNUMBER(AVERAGE('20250815_ETF_Options_Exhibits'!M921:M925)),AVERAGE('20250815_ETF_Options_Exhibits'!M921:M925),"")</f>
        <v/>
      </c>
      <c r="N925" s="3">
        <f>IF(ISNUMBER(AVERAGE('20250815_ETF_Options_Exhibits'!N921:N925)),AVERAGE('20250815_ETF_Options_Exhibits'!N921:N925),"")</f>
        <v/>
      </c>
      <c r="O925" s="3">
        <f>IF(ISNUMBER(AVERAGE('20250815_ETF_Options_Exhibits'!O921:O925)),AVERAGE('20250815_ETF_Options_Exhibits'!O921:O925),"")</f>
        <v/>
      </c>
      <c r="P925" s="3">
        <f>IF(ISNUMBER(AVERAGE('20250815_ETF_Options_Exhibits'!P921:P925)),AVERAGE('20250815_ETF_Options_Exhibits'!P921:P925),"")</f>
        <v/>
      </c>
      <c r="Q925" s="3">
        <f>IF(ISNUMBER(AVERAGE('20250815_ETF_Options_Exhibits'!Q921:Q925)),AVERAGE('20250815_ETF_Options_Exhibits'!Q921:Q925),"")</f>
        <v/>
      </c>
      <c r="R925" s="3">
        <f>IF(ISNUMBER(AVERAGE('20250815_ETF_Options_Exhibits'!R921:R925)),AVERAGE('20250815_ETF_Options_Exhibits'!R921:R925),"")</f>
        <v/>
      </c>
      <c r="S925" s="3">
        <f>IF(ISNUMBER(AVERAGE('20250815_ETF_Options_Exhibits'!S921:S925)),AVERAGE('20250815_ETF_Options_Exhibits'!S921:S925),"")</f>
        <v/>
      </c>
      <c r="T925" s="3">
        <f>IF(ISNUMBER(AVERAGE('20250815_ETF_Options_Exhibits'!T921:T925)),AVERAGE('20250815_ETF_Options_Exhibits'!T921:T925),"")</f>
        <v/>
      </c>
      <c r="U925" s="3">
        <f>IF(ISNUMBER(AVERAGE('20250815_ETF_Options_Exhibits'!U921:U925)),AVERAGE('20250815_ETF_Options_Exhibits'!U921:U925),"")</f>
        <v/>
      </c>
      <c r="V925" s="3">
        <f>IF(ISNUMBER(AVERAGE('20250815_ETF_Options_Exhibits'!V921:V925)),AVERAGE('20250815_ETF_Options_Exhibits'!V921:V925),"")</f>
        <v/>
      </c>
      <c r="W925" s="3">
        <f>IF(ISNUMBER(AVERAGE('20250815_ETF_Options_Exhibits'!W921:W925)),AVERAGE('20250815_ETF_Options_Exhibits'!W921:W925),"")</f>
        <v/>
      </c>
      <c r="X925" s="3">
        <f>IF(ISNUMBER(AVERAGE('20250815_ETF_Options_Exhibits'!X921:X925)),AVERAGE('20250815_ETF_Options_Exhibits'!X921:X925),"")</f>
        <v/>
      </c>
      <c r="Y925" s="3">
        <f>IF(ISNUMBER(AVERAGE('20250815_ETF_Options_Exhibits'!Y921:Y925)),AVERAGE('20250815_ETF_Options_Exhibits'!Y921:Y925),"")</f>
        <v/>
      </c>
      <c r="Z925" s="3">
        <f>IF(ISNUMBER(AVERAGE('20250815_ETF_Options_Exhibits'!Z921:Z925)),AVERAGE('20250815_ETF_Options_Exhibits'!Z921:Z925),"")</f>
        <v/>
      </c>
      <c r="AA925" s="3">
        <f>IF(ISNUMBER(AVERAGE('20250815_ETF_Options_Exhibits'!AA921:AA925)),AVERAGE('20250815_ETF_Options_Exhibits'!AA921:AA925),"")</f>
        <v/>
      </c>
    </row>
    <row r="926">
      <c r="A926" s="1" t="n">
        <v>43347</v>
      </c>
      <c r="B926" s="3">
        <f>IF(ISNUMBER(AVERAGE('20250815_ETF_Options_Exhibits'!B922:B926)),AVERAGE('20250815_ETF_Options_Exhibits'!B922:B926),"")</f>
        <v/>
      </c>
      <c r="C926" s="3">
        <f>IF(ISNUMBER(AVERAGE('20250815_ETF_Options_Exhibits'!C922:C926)),AVERAGE('20250815_ETF_Options_Exhibits'!C922:C926),"")</f>
        <v/>
      </c>
      <c r="D926" s="3">
        <f>IF(ISNUMBER(AVERAGE('20250815_ETF_Options_Exhibits'!D922:D926)),AVERAGE('20250815_ETF_Options_Exhibits'!D922:D926),"")</f>
        <v/>
      </c>
      <c r="E926" s="3">
        <f>IF(ISNUMBER(AVERAGE('20250815_ETF_Options_Exhibits'!E922:E926)),AVERAGE('20250815_ETF_Options_Exhibits'!E922:E926),"")</f>
        <v/>
      </c>
      <c r="F926" s="3">
        <f>IF(ISNUMBER(AVERAGE('20250815_ETF_Options_Exhibits'!F922:F926)),AVERAGE('20250815_ETF_Options_Exhibits'!F922:F926),"")</f>
        <v/>
      </c>
      <c r="G926" s="3">
        <f>IF(ISNUMBER(AVERAGE('20250815_ETF_Options_Exhibits'!G922:G926)),AVERAGE('20250815_ETF_Options_Exhibits'!G922:G926),"")</f>
        <v/>
      </c>
      <c r="H926" s="3">
        <f>IF(ISNUMBER(AVERAGE('20250815_ETF_Options_Exhibits'!H922:H926)),AVERAGE('20250815_ETF_Options_Exhibits'!H922:H926),"")</f>
        <v/>
      </c>
      <c r="I926" s="3">
        <f>IF(ISNUMBER(AVERAGE('20250815_ETF_Options_Exhibits'!I922:I926)),AVERAGE('20250815_ETF_Options_Exhibits'!I922:I926),"")</f>
        <v/>
      </c>
      <c r="J926" s="3">
        <f>IF(ISNUMBER(AVERAGE('20250815_ETF_Options_Exhibits'!J922:J926)),AVERAGE('20250815_ETF_Options_Exhibits'!J922:J926),"")</f>
        <v/>
      </c>
      <c r="K926" s="3">
        <f>IF(ISNUMBER(AVERAGE('20250815_ETF_Options_Exhibits'!K922:K926)),AVERAGE('20250815_ETF_Options_Exhibits'!K922:K926),"")</f>
        <v/>
      </c>
      <c r="L926" s="3">
        <f>IF(ISNUMBER(AVERAGE('20250815_ETF_Options_Exhibits'!L922:L926)),AVERAGE('20250815_ETF_Options_Exhibits'!L922:L926),"")</f>
        <v/>
      </c>
      <c r="M926" s="3">
        <f>IF(ISNUMBER(AVERAGE('20250815_ETF_Options_Exhibits'!M922:M926)),AVERAGE('20250815_ETF_Options_Exhibits'!M922:M926),"")</f>
        <v/>
      </c>
      <c r="N926" s="3">
        <f>IF(ISNUMBER(AVERAGE('20250815_ETF_Options_Exhibits'!N922:N926)),AVERAGE('20250815_ETF_Options_Exhibits'!N922:N926),"")</f>
        <v/>
      </c>
      <c r="O926" s="3">
        <f>IF(ISNUMBER(AVERAGE('20250815_ETF_Options_Exhibits'!O922:O926)),AVERAGE('20250815_ETF_Options_Exhibits'!O922:O926),"")</f>
        <v/>
      </c>
      <c r="P926" s="3">
        <f>IF(ISNUMBER(AVERAGE('20250815_ETF_Options_Exhibits'!P922:P926)),AVERAGE('20250815_ETF_Options_Exhibits'!P922:P926),"")</f>
        <v/>
      </c>
      <c r="Q926" s="3">
        <f>IF(ISNUMBER(AVERAGE('20250815_ETF_Options_Exhibits'!Q922:Q926)),AVERAGE('20250815_ETF_Options_Exhibits'!Q922:Q926),"")</f>
        <v/>
      </c>
      <c r="R926" s="3">
        <f>IF(ISNUMBER(AVERAGE('20250815_ETF_Options_Exhibits'!R922:R926)),AVERAGE('20250815_ETF_Options_Exhibits'!R922:R926),"")</f>
        <v/>
      </c>
      <c r="S926" s="3">
        <f>IF(ISNUMBER(AVERAGE('20250815_ETF_Options_Exhibits'!S922:S926)),AVERAGE('20250815_ETF_Options_Exhibits'!S922:S926),"")</f>
        <v/>
      </c>
      <c r="T926" s="3">
        <f>IF(ISNUMBER(AVERAGE('20250815_ETF_Options_Exhibits'!T922:T926)),AVERAGE('20250815_ETF_Options_Exhibits'!T922:T926),"")</f>
        <v/>
      </c>
      <c r="U926" s="3">
        <f>IF(ISNUMBER(AVERAGE('20250815_ETF_Options_Exhibits'!U922:U926)),AVERAGE('20250815_ETF_Options_Exhibits'!U922:U926),"")</f>
        <v/>
      </c>
      <c r="V926" s="3">
        <f>IF(ISNUMBER(AVERAGE('20250815_ETF_Options_Exhibits'!V922:V926)),AVERAGE('20250815_ETF_Options_Exhibits'!V922:V926),"")</f>
        <v/>
      </c>
      <c r="W926" s="3">
        <f>IF(ISNUMBER(AVERAGE('20250815_ETF_Options_Exhibits'!W922:W926)),AVERAGE('20250815_ETF_Options_Exhibits'!W922:W926),"")</f>
        <v/>
      </c>
      <c r="X926" s="3">
        <f>IF(ISNUMBER(AVERAGE('20250815_ETF_Options_Exhibits'!X922:X926)),AVERAGE('20250815_ETF_Options_Exhibits'!X922:X926),"")</f>
        <v/>
      </c>
      <c r="Y926" s="3">
        <f>IF(ISNUMBER(AVERAGE('20250815_ETF_Options_Exhibits'!Y922:Y926)),AVERAGE('20250815_ETF_Options_Exhibits'!Y922:Y926),"")</f>
        <v/>
      </c>
      <c r="Z926" s="3">
        <f>IF(ISNUMBER(AVERAGE('20250815_ETF_Options_Exhibits'!Z922:Z926)),AVERAGE('20250815_ETF_Options_Exhibits'!Z922:Z926),"")</f>
        <v/>
      </c>
      <c r="AA926" s="3">
        <f>IF(ISNUMBER(AVERAGE('20250815_ETF_Options_Exhibits'!AA922:AA926)),AVERAGE('20250815_ETF_Options_Exhibits'!AA922:AA926),"")</f>
        <v/>
      </c>
    </row>
    <row r="927">
      <c r="A927" s="1" t="n">
        <v>43348</v>
      </c>
      <c r="B927" s="3">
        <f>IF(ISNUMBER(AVERAGE('20250815_ETF_Options_Exhibits'!B923:B927)),AVERAGE('20250815_ETF_Options_Exhibits'!B923:B927),"")</f>
        <v/>
      </c>
      <c r="C927" s="3">
        <f>IF(ISNUMBER(AVERAGE('20250815_ETF_Options_Exhibits'!C923:C927)),AVERAGE('20250815_ETF_Options_Exhibits'!C923:C927),"")</f>
        <v/>
      </c>
      <c r="D927" s="3">
        <f>IF(ISNUMBER(AVERAGE('20250815_ETF_Options_Exhibits'!D923:D927)),AVERAGE('20250815_ETF_Options_Exhibits'!D923:D927),"")</f>
        <v/>
      </c>
      <c r="E927" s="3">
        <f>IF(ISNUMBER(AVERAGE('20250815_ETF_Options_Exhibits'!E923:E927)),AVERAGE('20250815_ETF_Options_Exhibits'!E923:E927),"")</f>
        <v/>
      </c>
      <c r="F927" s="3">
        <f>IF(ISNUMBER(AVERAGE('20250815_ETF_Options_Exhibits'!F923:F927)),AVERAGE('20250815_ETF_Options_Exhibits'!F923:F927),"")</f>
        <v/>
      </c>
      <c r="G927" s="3">
        <f>IF(ISNUMBER(AVERAGE('20250815_ETF_Options_Exhibits'!G923:G927)),AVERAGE('20250815_ETF_Options_Exhibits'!G923:G927),"")</f>
        <v/>
      </c>
      <c r="H927" s="3">
        <f>IF(ISNUMBER(AVERAGE('20250815_ETF_Options_Exhibits'!H923:H927)),AVERAGE('20250815_ETF_Options_Exhibits'!H923:H927),"")</f>
        <v/>
      </c>
      <c r="I927" s="3">
        <f>IF(ISNUMBER(AVERAGE('20250815_ETF_Options_Exhibits'!I923:I927)),AVERAGE('20250815_ETF_Options_Exhibits'!I923:I927),"")</f>
        <v/>
      </c>
      <c r="J927" s="3">
        <f>IF(ISNUMBER(AVERAGE('20250815_ETF_Options_Exhibits'!J923:J927)),AVERAGE('20250815_ETF_Options_Exhibits'!J923:J927),"")</f>
        <v/>
      </c>
      <c r="K927" s="3">
        <f>IF(ISNUMBER(AVERAGE('20250815_ETF_Options_Exhibits'!K923:K927)),AVERAGE('20250815_ETF_Options_Exhibits'!K923:K927),"")</f>
        <v/>
      </c>
      <c r="L927" s="3">
        <f>IF(ISNUMBER(AVERAGE('20250815_ETF_Options_Exhibits'!L923:L927)),AVERAGE('20250815_ETF_Options_Exhibits'!L923:L927),"")</f>
        <v/>
      </c>
      <c r="M927" s="3">
        <f>IF(ISNUMBER(AVERAGE('20250815_ETF_Options_Exhibits'!M923:M927)),AVERAGE('20250815_ETF_Options_Exhibits'!M923:M927),"")</f>
        <v/>
      </c>
      <c r="N927" s="3">
        <f>IF(ISNUMBER(AVERAGE('20250815_ETF_Options_Exhibits'!N923:N927)),AVERAGE('20250815_ETF_Options_Exhibits'!N923:N927),"")</f>
        <v/>
      </c>
      <c r="O927" s="3">
        <f>IF(ISNUMBER(AVERAGE('20250815_ETF_Options_Exhibits'!O923:O927)),AVERAGE('20250815_ETF_Options_Exhibits'!O923:O927),"")</f>
        <v/>
      </c>
      <c r="P927" s="3">
        <f>IF(ISNUMBER(AVERAGE('20250815_ETF_Options_Exhibits'!P923:P927)),AVERAGE('20250815_ETF_Options_Exhibits'!P923:P927),"")</f>
        <v/>
      </c>
      <c r="Q927" s="3">
        <f>IF(ISNUMBER(AVERAGE('20250815_ETF_Options_Exhibits'!Q923:Q927)),AVERAGE('20250815_ETF_Options_Exhibits'!Q923:Q927),"")</f>
        <v/>
      </c>
      <c r="R927" s="3">
        <f>IF(ISNUMBER(AVERAGE('20250815_ETF_Options_Exhibits'!R923:R927)),AVERAGE('20250815_ETF_Options_Exhibits'!R923:R927),"")</f>
        <v/>
      </c>
      <c r="S927" s="3">
        <f>IF(ISNUMBER(AVERAGE('20250815_ETF_Options_Exhibits'!S923:S927)),AVERAGE('20250815_ETF_Options_Exhibits'!S923:S927),"")</f>
        <v/>
      </c>
      <c r="T927" s="3">
        <f>IF(ISNUMBER(AVERAGE('20250815_ETF_Options_Exhibits'!T923:T927)),AVERAGE('20250815_ETF_Options_Exhibits'!T923:T927),"")</f>
        <v/>
      </c>
      <c r="U927" s="3">
        <f>IF(ISNUMBER(AVERAGE('20250815_ETF_Options_Exhibits'!U923:U927)),AVERAGE('20250815_ETF_Options_Exhibits'!U923:U927),"")</f>
        <v/>
      </c>
      <c r="V927" s="3">
        <f>IF(ISNUMBER(AVERAGE('20250815_ETF_Options_Exhibits'!V923:V927)),AVERAGE('20250815_ETF_Options_Exhibits'!V923:V927),"")</f>
        <v/>
      </c>
      <c r="W927" s="3">
        <f>IF(ISNUMBER(AVERAGE('20250815_ETF_Options_Exhibits'!W923:W927)),AVERAGE('20250815_ETF_Options_Exhibits'!W923:W927),"")</f>
        <v/>
      </c>
      <c r="X927" s="3">
        <f>IF(ISNUMBER(AVERAGE('20250815_ETF_Options_Exhibits'!X923:X927)),AVERAGE('20250815_ETF_Options_Exhibits'!X923:X927),"")</f>
        <v/>
      </c>
      <c r="Y927" s="3">
        <f>IF(ISNUMBER(AVERAGE('20250815_ETF_Options_Exhibits'!Y923:Y927)),AVERAGE('20250815_ETF_Options_Exhibits'!Y923:Y927),"")</f>
        <v/>
      </c>
      <c r="Z927" s="3">
        <f>IF(ISNUMBER(AVERAGE('20250815_ETF_Options_Exhibits'!Z923:Z927)),AVERAGE('20250815_ETF_Options_Exhibits'!Z923:Z927),"")</f>
        <v/>
      </c>
      <c r="AA927" s="3">
        <f>IF(ISNUMBER(AVERAGE('20250815_ETF_Options_Exhibits'!AA923:AA927)),AVERAGE('20250815_ETF_Options_Exhibits'!AA923:AA927),"")</f>
        <v/>
      </c>
    </row>
    <row r="928">
      <c r="A928" s="1" t="n">
        <v>43349</v>
      </c>
      <c r="B928" s="3">
        <f>IF(ISNUMBER(AVERAGE('20250815_ETF_Options_Exhibits'!B924:B928)),AVERAGE('20250815_ETF_Options_Exhibits'!B924:B928),"")</f>
        <v/>
      </c>
      <c r="C928" s="3">
        <f>IF(ISNUMBER(AVERAGE('20250815_ETF_Options_Exhibits'!C924:C928)),AVERAGE('20250815_ETF_Options_Exhibits'!C924:C928),"")</f>
        <v/>
      </c>
      <c r="D928" s="3">
        <f>IF(ISNUMBER(AVERAGE('20250815_ETF_Options_Exhibits'!D924:D928)),AVERAGE('20250815_ETF_Options_Exhibits'!D924:D928),"")</f>
        <v/>
      </c>
      <c r="E928" s="3">
        <f>IF(ISNUMBER(AVERAGE('20250815_ETF_Options_Exhibits'!E924:E928)),AVERAGE('20250815_ETF_Options_Exhibits'!E924:E928),"")</f>
        <v/>
      </c>
      <c r="F928" s="3">
        <f>IF(ISNUMBER(AVERAGE('20250815_ETF_Options_Exhibits'!F924:F928)),AVERAGE('20250815_ETF_Options_Exhibits'!F924:F928),"")</f>
        <v/>
      </c>
      <c r="G928" s="3">
        <f>IF(ISNUMBER(AVERAGE('20250815_ETF_Options_Exhibits'!G924:G928)),AVERAGE('20250815_ETF_Options_Exhibits'!G924:G928),"")</f>
        <v/>
      </c>
      <c r="H928" s="3">
        <f>IF(ISNUMBER(AVERAGE('20250815_ETF_Options_Exhibits'!H924:H928)),AVERAGE('20250815_ETF_Options_Exhibits'!H924:H928),"")</f>
        <v/>
      </c>
      <c r="I928" s="3">
        <f>IF(ISNUMBER(AVERAGE('20250815_ETF_Options_Exhibits'!I924:I928)),AVERAGE('20250815_ETF_Options_Exhibits'!I924:I928),"")</f>
        <v/>
      </c>
      <c r="J928" s="3">
        <f>IF(ISNUMBER(AVERAGE('20250815_ETF_Options_Exhibits'!J924:J928)),AVERAGE('20250815_ETF_Options_Exhibits'!J924:J928),"")</f>
        <v/>
      </c>
      <c r="K928" s="3">
        <f>IF(ISNUMBER(AVERAGE('20250815_ETF_Options_Exhibits'!K924:K928)),AVERAGE('20250815_ETF_Options_Exhibits'!K924:K928),"")</f>
        <v/>
      </c>
      <c r="L928" s="3">
        <f>IF(ISNUMBER(AVERAGE('20250815_ETF_Options_Exhibits'!L924:L928)),AVERAGE('20250815_ETF_Options_Exhibits'!L924:L928),"")</f>
        <v/>
      </c>
      <c r="M928" s="3">
        <f>IF(ISNUMBER(AVERAGE('20250815_ETF_Options_Exhibits'!M924:M928)),AVERAGE('20250815_ETF_Options_Exhibits'!M924:M928),"")</f>
        <v/>
      </c>
      <c r="N928" s="3">
        <f>IF(ISNUMBER(AVERAGE('20250815_ETF_Options_Exhibits'!N924:N928)),AVERAGE('20250815_ETF_Options_Exhibits'!N924:N928),"")</f>
        <v/>
      </c>
      <c r="O928" s="3">
        <f>IF(ISNUMBER(AVERAGE('20250815_ETF_Options_Exhibits'!O924:O928)),AVERAGE('20250815_ETF_Options_Exhibits'!O924:O928),"")</f>
        <v/>
      </c>
      <c r="P928" s="3">
        <f>IF(ISNUMBER(AVERAGE('20250815_ETF_Options_Exhibits'!P924:P928)),AVERAGE('20250815_ETF_Options_Exhibits'!P924:P928),"")</f>
        <v/>
      </c>
      <c r="Q928" s="3">
        <f>IF(ISNUMBER(AVERAGE('20250815_ETF_Options_Exhibits'!Q924:Q928)),AVERAGE('20250815_ETF_Options_Exhibits'!Q924:Q928),"")</f>
        <v/>
      </c>
      <c r="R928" s="3">
        <f>IF(ISNUMBER(AVERAGE('20250815_ETF_Options_Exhibits'!R924:R928)),AVERAGE('20250815_ETF_Options_Exhibits'!R924:R928),"")</f>
        <v/>
      </c>
      <c r="S928" s="3">
        <f>IF(ISNUMBER(AVERAGE('20250815_ETF_Options_Exhibits'!S924:S928)),AVERAGE('20250815_ETF_Options_Exhibits'!S924:S928),"")</f>
        <v/>
      </c>
      <c r="T928" s="3">
        <f>IF(ISNUMBER(AVERAGE('20250815_ETF_Options_Exhibits'!T924:T928)),AVERAGE('20250815_ETF_Options_Exhibits'!T924:T928),"")</f>
        <v/>
      </c>
      <c r="U928" s="3">
        <f>IF(ISNUMBER(AVERAGE('20250815_ETF_Options_Exhibits'!U924:U928)),AVERAGE('20250815_ETF_Options_Exhibits'!U924:U928),"")</f>
        <v/>
      </c>
      <c r="V928" s="3">
        <f>IF(ISNUMBER(AVERAGE('20250815_ETF_Options_Exhibits'!V924:V928)),AVERAGE('20250815_ETF_Options_Exhibits'!V924:V928),"")</f>
        <v/>
      </c>
      <c r="W928" s="3">
        <f>IF(ISNUMBER(AVERAGE('20250815_ETF_Options_Exhibits'!W924:W928)),AVERAGE('20250815_ETF_Options_Exhibits'!W924:W928),"")</f>
        <v/>
      </c>
      <c r="X928" s="3">
        <f>IF(ISNUMBER(AVERAGE('20250815_ETF_Options_Exhibits'!X924:X928)),AVERAGE('20250815_ETF_Options_Exhibits'!X924:X928),"")</f>
        <v/>
      </c>
      <c r="Y928" s="3">
        <f>IF(ISNUMBER(AVERAGE('20250815_ETF_Options_Exhibits'!Y924:Y928)),AVERAGE('20250815_ETF_Options_Exhibits'!Y924:Y928),"")</f>
        <v/>
      </c>
      <c r="Z928" s="3">
        <f>IF(ISNUMBER(AVERAGE('20250815_ETF_Options_Exhibits'!Z924:Z928)),AVERAGE('20250815_ETF_Options_Exhibits'!Z924:Z928),"")</f>
        <v/>
      </c>
      <c r="AA928" s="3">
        <f>IF(ISNUMBER(AVERAGE('20250815_ETF_Options_Exhibits'!AA924:AA928)),AVERAGE('20250815_ETF_Options_Exhibits'!AA924:AA928),"")</f>
        <v/>
      </c>
    </row>
    <row r="929">
      <c r="A929" s="1" t="n">
        <v>43350</v>
      </c>
      <c r="B929" s="3">
        <f>IF(ISNUMBER(AVERAGE('20250815_ETF_Options_Exhibits'!B925:B929)),AVERAGE('20250815_ETF_Options_Exhibits'!B925:B929),"")</f>
        <v/>
      </c>
      <c r="C929" s="3">
        <f>IF(ISNUMBER(AVERAGE('20250815_ETF_Options_Exhibits'!C925:C929)),AVERAGE('20250815_ETF_Options_Exhibits'!C925:C929),"")</f>
        <v/>
      </c>
      <c r="D929" s="3">
        <f>IF(ISNUMBER(AVERAGE('20250815_ETF_Options_Exhibits'!D925:D929)),AVERAGE('20250815_ETF_Options_Exhibits'!D925:D929),"")</f>
        <v/>
      </c>
      <c r="E929" s="3">
        <f>IF(ISNUMBER(AVERAGE('20250815_ETF_Options_Exhibits'!E925:E929)),AVERAGE('20250815_ETF_Options_Exhibits'!E925:E929),"")</f>
        <v/>
      </c>
      <c r="F929" s="3">
        <f>IF(ISNUMBER(AVERAGE('20250815_ETF_Options_Exhibits'!F925:F929)),AVERAGE('20250815_ETF_Options_Exhibits'!F925:F929),"")</f>
        <v/>
      </c>
      <c r="G929" s="3">
        <f>IF(ISNUMBER(AVERAGE('20250815_ETF_Options_Exhibits'!G925:G929)),AVERAGE('20250815_ETF_Options_Exhibits'!G925:G929),"")</f>
        <v/>
      </c>
      <c r="H929" s="3">
        <f>IF(ISNUMBER(AVERAGE('20250815_ETF_Options_Exhibits'!H925:H929)),AVERAGE('20250815_ETF_Options_Exhibits'!H925:H929),"")</f>
        <v/>
      </c>
      <c r="I929" s="3">
        <f>IF(ISNUMBER(AVERAGE('20250815_ETF_Options_Exhibits'!I925:I929)),AVERAGE('20250815_ETF_Options_Exhibits'!I925:I929),"")</f>
        <v/>
      </c>
      <c r="J929" s="3">
        <f>IF(ISNUMBER(AVERAGE('20250815_ETF_Options_Exhibits'!J925:J929)),AVERAGE('20250815_ETF_Options_Exhibits'!J925:J929),"")</f>
        <v/>
      </c>
      <c r="K929" s="3">
        <f>IF(ISNUMBER(AVERAGE('20250815_ETF_Options_Exhibits'!K925:K929)),AVERAGE('20250815_ETF_Options_Exhibits'!K925:K929),"")</f>
        <v/>
      </c>
      <c r="L929" s="3">
        <f>IF(ISNUMBER(AVERAGE('20250815_ETF_Options_Exhibits'!L925:L929)),AVERAGE('20250815_ETF_Options_Exhibits'!L925:L929),"")</f>
        <v/>
      </c>
      <c r="M929" s="3">
        <f>IF(ISNUMBER(AVERAGE('20250815_ETF_Options_Exhibits'!M925:M929)),AVERAGE('20250815_ETF_Options_Exhibits'!M925:M929),"")</f>
        <v/>
      </c>
      <c r="N929" s="3">
        <f>IF(ISNUMBER(AVERAGE('20250815_ETF_Options_Exhibits'!N925:N929)),AVERAGE('20250815_ETF_Options_Exhibits'!N925:N929),"")</f>
        <v/>
      </c>
      <c r="O929" s="3">
        <f>IF(ISNUMBER(AVERAGE('20250815_ETF_Options_Exhibits'!O925:O929)),AVERAGE('20250815_ETF_Options_Exhibits'!O925:O929),"")</f>
        <v/>
      </c>
      <c r="P929" s="3">
        <f>IF(ISNUMBER(AVERAGE('20250815_ETF_Options_Exhibits'!P925:P929)),AVERAGE('20250815_ETF_Options_Exhibits'!P925:P929),"")</f>
        <v/>
      </c>
      <c r="Q929" s="3">
        <f>IF(ISNUMBER(AVERAGE('20250815_ETF_Options_Exhibits'!Q925:Q929)),AVERAGE('20250815_ETF_Options_Exhibits'!Q925:Q929),"")</f>
        <v/>
      </c>
      <c r="R929" s="3">
        <f>IF(ISNUMBER(AVERAGE('20250815_ETF_Options_Exhibits'!R925:R929)),AVERAGE('20250815_ETF_Options_Exhibits'!R925:R929),"")</f>
        <v/>
      </c>
      <c r="S929" s="3">
        <f>IF(ISNUMBER(AVERAGE('20250815_ETF_Options_Exhibits'!S925:S929)),AVERAGE('20250815_ETF_Options_Exhibits'!S925:S929),"")</f>
        <v/>
      </c>
      <c r="T929" s="3">
        <f>IF(ISNUMBER(AVERAGE('20250815_ETF_Options_Exhibits'!T925:T929)),AVERAGE('20250815_ETF_Options_Exhibits'!T925:T929),"")</f>
        <v/>
      </c>
      <c r="U929" s="3">
        <f>IF(ISNUMBER(AVERAGE('20250815_ETF_Options_Exhibits'!U925:U929)),AVERAGE('20250815_ETF_Options_Exhibits'!U925:U929),"")</f>
        <v/>
      </c>
      <c r="V929" s="3">
        <f>IF(ISNUMBER(AVERAGE('20250815_ETF_Options_Exhibits'!V925:V929)),AVERAGE('20250815_ETF_Options_Exhibits'!V925:V929),"")</f>
        <v/>
      </c>
      <c r="W929" s="3">
        <f>IF(ISNUMBER(AVERAGE('20250815_ETF_Options_Exhibits'!W925:W929)),AVERAGE('20250815_ETF_Options_Exhibits'!W925:W929),"")</f>
        <v/>
      </c>
      <c r="X929" s="3">
        <f>IF(ISNUMBER(AVERAGE('20250815_ETF_Options_Exhibits'!X925:X929)),AVERAGE('20250815_ETF_Options_Exhibits'!X925:X929),"")</f>
        <v/>
      </c>
      <c r="Y929" s="3">
        <f>IF(ISNUMBER(AVERAGE('20250815_ETF_Options_Exhibits'!Y925:Y929)),AVERAGE('20250815_ETF_Options_Exhibits'!Y925:Y929),"")</f>
        <v/>
      </c>
      <c r="Z929" s="3">
        <f>IF(ISNUMBER(AVERAGE('20250815_ETF_Options_Exhibits'!Z925:Z929)),AVERAGE('20250815_ETF_Options_Exhibits'!Z925:Z929),"")</f>
        <v/>
      </c>
      <c r="AA929" s="3">
        <f>IF(ISNUMBER(AVERAGE('20250815_ETF_Options_Exhibits'!AA925:AA929)),AVERAGE('20250815_ETF_Options_Exhibits'!AA925:AA929),"")</f>
        <v/>
      </c>
    </row>
    <row r="930">
      <c r="A930" s="1" t="n">
        <v>43353</v>
      </c>
      <c r="B930" s="3">
        <f>IF(ISNUMBER(AVERAGE('20250815_ETF_Options_Exhibits'!B926:B930)),AVERAGE('20250815_ETF_Options_Exhibits'!B926:B930),"")</f>
        <v/>
      </c>
      <c r="C930" s="3">
        <f>IF(ISNUMBER(AVERAGE('20250815_ETF_Options_Exhibits'!C926:C930)),AVERAGE('20250815_ETF_Options_Exhibits'!C926:C930),"")</f>
        <v/>
      </c>
      <c r="D930" s="3">
        <f>IF(ISNUMBER(AVERAGE('20250815_ETF_Options_Exhibits'!D926:D930)),AVERAGE('20250815_ETF_Options_Exhibits'!D926:D930),"")</f>
        <v/>
      </c>
      <c r="E930" s="3">
        <f>IF(ISNUMBER(AVERAGE('20250815_ETF_Options_Exhibits'!E926:E930)),AVERAGE('20250815_ETF_Options_Exhibits'!E926:E930),"")</f>
        <v/>
      </c>
      <c r="F930" s="3">
        <f>IF(ISNUMBER(AVERAGE('20250815_ETF_Options_Exhibits'!F926:F930)),AVERAGE('20250815_ETF_Options_Exhibits'!F926:F930),"")</f>
        <v/>
      </c>
      <c r="G930" s="3">
        <f>IF(ISNUMBER(AVERAGE('20250815_ETF_Options_Exhibits'!G926:G930)),AVERAGE('20250815_ETF_Options_Exhibits'!G926:G930),"")</f>
        <v/>
      </c>
      <c r="H930" s="3">
        <f>IF(ISNUMBER(AVERAGE('20250815_ETF_Options_Exhibits'!H926:H930)),AVERAGE('20250815_ETF_Options_Exhibits'!H926:H930),"")</f>
        <v/>
      </c>
      <c r="I930" s="3">
        <f>IF(ISNUMBER(AVERAGE('20250815_ETF_Options_Exhibits'!I926:I930)),AVERAGE('20250815_ETF_Options_Exhibits'!I926:I930),"")</f>
        <v/>
      </c>
      <c r="J930" s="3">
        <f>IF(ISNUMBER(AVERAGE('20250815_ETF_Options_Exhibits'!J926:J930)),AVERAGE('20250815_ETF_Options_Exhibits'!J926:J930),"")</f>
        <v/>
      </c>
      <c r="K930" s="3">
        <f>IF(ISNUMBER(AVERAGE('20250815_ETF_Options_Exhibits'!K926:K930)),AVERAGE('20250815_ETF_Options_Exhibits'!K926:K930),"")</f>
        <v/>
      </c>
      <c r="L930" s="3">
        <f>IF(ISNUMBER(AVERAGE('20250815_ETF_Options_Exhibits'!L926:L930)),AVERAGE('20250815_ETF_Options_Exhibits'!L926:L930),"")</f>
        <v/>
      </c>
      <c r="M930" s="3">
        <f>IF(ISNUMBER(AVERAGE('20250815_ETF_Options_Exhibits'!M926:M930)),AVERAGE('20250815_ETF_Options_Exhibits'!M926:M930),"")</f>
        <v/>
      </c>
      <c r="N930" s="3">
        <f>IF(ISNUMBER(AVERAGE('20250815_ETF_Options_Exhibits'!N926:N930)),AVERAGE('20250815_ETF_Options_Exhibits'!N926:N930),"")</f>
        <v/>
      </c>
      <c r="O930" s="3">
        <f>IF(ISNUMBER(AVERAGE('20250815_ETF_Options_Exhibits'!O926:O930)),AVERAGE('20250815_ETF_Options_Exhibits'!O926:O930),"")</f>
        <v/>
      </c>
      <c r="P930" s="3">
        <f>IF(ISNUMBER(AVERAGE('20250815_ETF_Options_Exhibits'!P926:P930)),AVERAGE('20250815_ETF_Options_Exhibits'!P926:P930),"")</f>
        <v/>
      </c>
      <c r="Q930" s="3">
        <f>IF(ISNUMBER(AVERAGE('20250815_ETF_Options_Exhibits'!Q926:Q930)),AVERAGE('20250815_ETF_Options_Exhibits'!Q926:Q930),"")</f>
        <v/>
      </c>
      <c r="R930" s="3">
        <f>IF(ISNUMBER(AVERAGE('20250815_ETF_Options_Exhibits'!R926:R930)),AVERAGE('20250815_ETF_Options_Exhibits'!R926:R930),"")</f>
        <v/>
      </c>
      <c r="S930" s="3">
        <f>IF(ISNUMBER(AVERAGE('20250815_ETF_Options_Exhibits'!S926:S930)),AVERAGE('20250815_ETF_Options_Exhibits'!S926:S930),"")</f>
        <v/>
      </c>
      <c r="T930" s="3">
        <f>IF(ISNUMBER(AVERAGE('20250815_ETF_Options_Exhibits'!T926:T930)),AVERAGE('20250815_ETF_Options_Exhibits'!T926:T930),"")</f>
        <v/>
      </c>
      <c r="U930" s="3">
        <f>IF(ISNUMBER(AVERAGE('20250815_ETF_Options_Exhibits'!U926:U930)),AVERAGE('20250815_ETF_Options_Exhibits'!U926:U930),"")</f>
        <v/>
      </c>
      <c r="V930" s="3">
        <f>IF(ISNUMBER(AVERAGE('20250815_ETF_Options_Exhibits'!V926:V930)),AVERAGE('20250815_ETF_Options_Exhibits'!V926:V930),"")</f>
        <v/>
      </c>
      <c r="W930" s="3">
        <f>IF(ISNUMBER(AVERAGE('20250815_ETF_Options_Exhibits'!W926:W930)),AVERAGE('20250815_ETF_Options_Exhibits'!W926:W930),"")</f>
        <v/>
      </c>
      <c r="X930" s="3">
        <f>IF(ISNUMBER(AVERAGE('20250815_ETF_Options_Exhibits'!X926:X930)),AVERAGE('20250815_ETF_Options_Exhibits'!X926:X930),"")</f>
        <v/>
      </c>
      <c r="Y930" s="3">
        <f>IF(ISNUMBER(AVERAGE('20250815_ETF_Options_Exhibits'!Y926:Y930)),AVERAGE('20250815_ETF_Options_Exhibits'!Y926:Y930),"")</f>
        <v/>
      </c>
      <c r="Z930" s="3">
        <f>IF(ISNUMBER(AVERAGE('20250815_ETF_Options_Exhibits'!Z926:Z930)),AVERAGE('20250815_ETF_Options_Exhibits'!Z926:Z930),"")</f>
        <v/>
      </c>
      <c r="AA930" s="3">
        <f>IF(ISNUMBER(AVERAGE('20250815_ETF_Options_Exhibits'!AA926:AA930)),AVERAGE('20250815_ETF_Options_Exhibits'!AA926:AA930),"")</f>
        <v/>
      </c>
    </row>
    <row r="931">
      <c r="A931" s="1" t="n">
        <v>43354</v>
      </c>
      <c r="B931" s="3">
        <f>IF(ISNUMBER(AVERAGE('20250815_ETF_Options_Exhibits'!B927:B931)),AVERAGE('20250815_ETF_Options_Exhibits'!B927:B931),"")</f>
        <v/>
      </c>
      <c r="C931" s="3">
        <f>IF(ISNUMBER(AVERAGE('20250815_ETF_Options_Exhibits'!C927:C931)),AVERAGE('20250815_ETF_Options_Exhibits'!C927:C931),"")</f>
        <v/>
      </c>
      <c r="D931" s="3">
        <f>IF(ISNUMBER(AVERAGE('20250815_ETF_Options_Exhibits'!D927:D931)),AVERAGE('20250815_ETF_Options_Exhibits'!D927:D931),"")</f>
        <v/>
      </c>
      <c r="E931" s="3">
        <f>IF(ISNUMBER(AVERAGE('20250815_ETF_Options_Exhibits'!E927:E931)),AVERAGE('20250815_ETF_Options_Exhibits'!E927:E931),"")</f>
        <v/>
      </c>
      <c r="F931" s="3">
        <f>IF(ISNUMBER(AVERAGE('20250815_ETF_Options_Exhibits'!F927:F931)),AVERAGE('20250815_ETF_Options_Exhibits'!F927:F931),"")</f>
        <v/>
      </c>
      <c r="G931" s="3">
        <f>IF(ISNUMBER(AVERAGE('20250815_ETF_Options_Exhibits'!G927:G931)),AVERAGE('20250815_ETF_Options_Exhibits'!G927:G931),"")</f>
        <v/>
      </c>
      <c r="H931" s="3">
        <f>IF(ISNUMBER(AVERAGE('20250815_ETF_Options_Exhibits'!H927:H931)),AVERAGE('20250815_ETF_Options_Exhibits'!H927:H931),"")</f>
        <v/>
      </c>
      <c r="I931" s="3">
        <f>IF(ISNUMBER(AVERAGE('20250815_ETF_Options_Exhibits'!I927:I931)),AVERAGE('20250815_ETF_Options_Exhibits'!I927:I931),"")</f>
        <v/>
      </c>
      <c r="J931" s="3">
        <f>IF(ISNUMBER(AVERAGE('20250815_ETF_Options_Exhibits'!J927:J931)),AVERAGE('20250815_ETF_Options_Exhibits'!J927:J931),"")</f>
        <v/>
      </c>
      <c r="K931" s="3">
        <f>IF(ISNUMBER(AVERAGE('20250815_ETF_Options_Exhibits'!K927:K931)),AVERAGE('20250815_ETF_Options_Exhibits'!K927:K931),"")</f>
        <v/>
      </c>
      <c r="L931" s="3">
        <f>IF(ISNUMBER(AVERAGE('20250815_ETF_Options_Exhibits'!L927:L931)),AVERAGE('20250815_ETF_Options_Exhibits'!L927:L931),"")</f>
        <v/>
      </c>
      <c r="M931" s="3">
        <f>IF(ISNUMBER(AVERAGE('20250815_ETF_Options_Exhibits'!M927:M931)),AVERAGE('20250815_ETF_Options_Exhibits'!M927:M931),"")</f>
        <v/>
      </c>
      <c r="N931" s="3">
        <f>IF(ISNUMBER(AVERAGE('20250815_ETF_Options_Exhibits'!N927:N931)),AVERAGE('20250815_ETF_Options_Exhibits'!N927:N931),"")</f>
        <v/>
      </c>
      <c r="O931" s="3">
        <f>IF(ISNUMBER(AVERAGE('20250815_ETF_Options_Exhibits'!O927:O931)),AVERAGE('20250815_ETF_Options_Exhibits'!O927:O931),"")</f>
        <v/>
      </c>
      <c r="P931" s="3">
        <f>IF(ISNUMBER(AVERAGE('20250815_ETF_Options_Exhibits'!P927:P931)),AVERAGE('20250815_ETF_Options_Exhibits'!P927:P931),"")</f>
        <v/>
      </c>
      <c r="Q931" s="3">
        <f>IF(ISNUMBER(AVERAGE('20250815_ETF_Options_Exhibits'!Q927:Q931)),AVERAGE('20250815_ETF_Options_Exhibits'!Q927:Q931),"")</f>
        <v/>
      </c>
      <c r="R931" s="3">
        <f>IF(ISNUMBER(AVERAGE('20250815_ETF_Options_Exhibits'!R927:R931)),AVERAGE('20250815_ETF_Options_Exhibits'!R927:R931),"")</f>
        <v/>
      </c>
      <c r="S931" s="3">
        <f>IF(ISNUMBER(AVERAGE('20250815_ETF_Options_Exhibits'!S927:S931)),AVERAGE('20250815_ETF_Options_Exhibits'!S927:S931),"")</f>
        <v/>
      </c>
      <c r="T931" s="3">
        <f>IF(ISNUMBER(AVERAGE('20250815_ETF_Options_Exhibits'!T927:T931)),AVERAGE('20250815_ETF_Options_Exhibits'!T927:T931),"")</f>
        <v/>
      </c>
      <c r="U931" s="3">
        <f>IF(ISNUMBER(AVERAGE('20250815_ETF_Options_Exhibits'!U927:U931)),AVERAGE('20250815_ETF_Options_Exhibits'!U927:U931),"")</f>
        <v/>
      </c>
      <c r="V931" s="3">
        <f>IF(ISNUMBER(AVERAGE('20250815_ETF_Options_Exhibits'!V927:V931)),AVERAGE('20250815_ETF_Options_Exhibits'!V927:V931),"")</f>
        <v/>
      </c>
      <c r="W931" s="3">
        <f>IF(ISNUMBER(AVERAGE('20250815_ETF_Options_Exhibits'!W927:W931)),AVERAGE('20250815_ETF_Options_Exhibits'!W927:W931),"")</f>
        <v/>
      </c>
      <c r="X931" s="3">
        <f>IF(ISNUMBER(AVERAGE('20250815_ETF_Options_Exhibits'!X927:X931)),AVERAGE('20250815_ETF_Options_Exhibits'!X927:X931),"")</f>
        <v/>
      </c>
      <c r="Y931" s="3">
        <f>IF(ISNUMBER(AVERAGE('20250815_ETF_Options_Exhibits'!Y927:Y931)),AVERAGE('20250815_ETF_Options_Exhibits'!Y927:Y931),"")</f>
        <v/>
      </c>
      <c r="Z931" s="3">
        <f>IF(ISNUMBER(AVERAGE('20250815_ETF_Options_Exhibits'!Z927:Z931)),AVERAGE('20250815_ETF_Options_Exhibits'!Z927:Z931),"")</f>
        <v/>
      </c>
      <c r="AA931" s="3">
        <f>IF(ISNUMBER(AVERAGE('20250815_ETF_Options_Exhibits'!AA927:AA931)),AVERAGE('20250815_ETF_Options_Exhibits'!AA927:AA931),"")</f>
        <v/>
      </c>
    </row>
    <row r="932">
      <c r="A932" s="1" t="n">
        <v>43355</v>
      </c>
      <c r="B932" s="3">
        <f>IF(ISNUMBER(AVERAGE('20250815_ETF_Options_Exhibits'!B928:B932)),AVERAGE('20250815_ETF_Options_Exhibits'!B928:B932),"")</f>
        <v/>
      </c>
      <c r="C932" s="3">
        <f>IF(ISNUMBER(AVERAGE('20250815_ETF_Options_Exhibits'!C928:C932)),AVERAGE('20250815_ETF_Options_Exhibits'!C928:C932),"")</f>
        <v/>
      </c>
      <c r="D932" s="3">
        <f>IF(ISNUMBER(AVERAGE('20250815_ETF_Options_Exhibits'!D928:D932)),AVERAGE('20250815_ETF_Options_Exhibits'!D928:D932),"")</f>
        <v/>
      </c>
      <c r="E932" s="3">
        <f>IF(ISNUMBER(AVERAGE('20250815_ETF_Options_Exhibits'!E928:E932)),AVERAGE('20250815_ETF_Options_Exhibits'!E928:E932),"")</f>
        <v/>
      </c>
      <c r="F932" s="3">
        <f>IF(ISNUMBER(AVERAGE('20250815_ETF_Options_Exhibits'!F928:F932)),AVERAGE('20250815_ETF_Options_Exhibits'!F928:F932),"")</f>
        <v/>
      </c>
      <c r="G932" s="3">
        <f>IF(ISNUMBER(AVERAGE('20250815_ETF_Options_Exhibits'!G928:G932)),AVERAGE('20250815_ETF_Options_Exhibits'!G928:G932),"")</f>
        <v/>
      </c>
      <c r="H932" s="3">
        <f>IF(ISNUMBER(AVERAGE('20250815_ETF_Options_Exhibits'!H928:H932)),AVERAGE('20250815_ETF_Options_Exhibits'!H928:H932),"")</f>
        <v/>
      </c>
      <c r="I932" s="3">
        <f>IF(ISNUMBER(AVERAGE('20250815_ETF_Options_Exhibits'!I928:I932)),AVERAGE('20250815_ETF_Options_Exhibits'!I928:I932),"")</f>
        <v/>
      </c>
      <c r="J932" s="3">
        <f>IF(ISNUMBER(AVERAGE('20250815_ETF_Options_Exhibits'!J928:J932)),AVERAGE('20250815_ETF_Options_Exhibits'!J928:J932),"")</f>
        <v/>
      </c>
      <c r="K932" s="3">
        <f>IF(ISNUMBER(AVERAGE('20250815_ETF_Options_Exhibits'!K928:K932)),AVERAGE('20250815_ETF_Options_Exhibits'!K928:K932),"")</f>
        <v/>
      </c>
      <c r="L932" s="3">
        <f>IF(ISNUMBER(AVERAGE('20250815_ETF_Options_Exhibits'!L928:L932)),AVERAGE('20250815_ETF_Options_Exhibits'!L928:L932),"")</f>
        <v/>
      </c>
      <c r="M932" s="3">
        <f>IF(ISNUMBER(AVERAGE('20250815_ETF_Options_Exhibits'!M928:M932)),AVERAGE('20250815_ETF_Options_Exhibits'!M928:M932),"")</f>
        <v/>
      </c>
      <c r="N932" s="3">
        <f>IF(ISNUMBER(AVERAGE('20250815_ETF_Options_Exhibits'!N928:N932)),AVERAGE('20250815_ETF_Options_Exhibits'!N928:N932),"")</f>
        <v/>
      </c>
      <c r="O932" s="3">
        <f>IF(ISNUMBER(AVERAGE('20250815_ETF_Options_Exhibits'!O928:O932)),AVERAGE('20250815_ETF_Options_Exhibits'!O928:O932),"")</f>
        <v/>
      </c>
      <c r="P932" s="3">
        <f>IF(ISNUMBER(AVERAGE('20250815_ETF_Options_Exhibits'!P928:P932)),AVERAGE('20250815_ETF_Options_Exhibits'!P928:P932),"")</f>
        <v/>
      </c>
      <c r="Q932" s="3">
        <f>IF(ISNUMBER(AVERAGE('20250815_ETF_Options_Exhibits'!Q928:Q932)),AVERAGE('20250815_ETF_Options_Exhibits'!Q928:Q932),"")</f>
        <v/>
      </c>
      <c r="R932" s="3">
        <f>IF(ISNUMBER(AVERAGE('20250815_ETF_Options_Exhibits'!R928:R932)),AVERAGE('20250815_ETF_Options_Exhibits'!R928:R932),"")</f>
        <v/>
      </c>
      <c r="S932" s="3">
        <f>IF(ISNUMBER(AVERAGE('20250815_ETF_Options_Exhibits'!S928:S932)),AVERAGE('20250815_ETF_Options_Exhibits'!S928:S932),"")</f>
        <v/>
      </c>
      <c r="T932" s="3">
        <f>IF(ISNUMBER(AVERAGE('20250815_ETF_Options_Exhibits'!T928:T932)),AVERAGE('20250815_ETF_Options_Exhibits'!T928:T932),"")</f>
        <v/>
      </c>
      <c r="U932" s="3">
        <f>IF(ISNUMBER(AVERAGE('20250815_ETF_Options_Exhibits'!U928:U932)),AVERAGE('20250815_ETF_Options_Exhibits'!U928:U932),"")</f>
        <v/>
      </c>
      <c r="V932" s="3">
        <f>IF(ISNUMBER(AVERAGE('20250815_ETF_Options_Exhibits'!V928:V932)),AVERAGE('20250815_ETF_Options_Exhibits'!V928:V932),"")</f>
        <v/>
      </c>
      <c r="W932" s="3">
        <f>IF(ISNUMBER(AVERAGE('20250815_ETF_Options_Exhibits'!W928:W932)),AVERAGE('20250815_ETF_Options_Exhibits'!W928:W932),"")</f>
        <v/>
      </c>
      <c r="X932" s="3">
        <f>IF(ISNUMBER(AVERAGE('20250815_ETF_Options_Exhibits'!X928:X932)),AVERAGE('20250815_ETF_Options_Exhibits'!X928:X932),"")</f>
        <v/>
      </c>
      <c r="Y932" s="3">
        <f>IF(ISNUMBER(AVERAGE('20250815_ETF_Options_Exhibits'!Y928:Y932)),AVERAGE('20250815_ETF_Options_Exhibits'!Y928:Y932),"")</f>
        <v/>
      </c>
      <c r="Z932" s="3">
        <f>IF(ISNUMBER(AVERAGE('20250815_ETF_Options_Exhibits'!Z928:Z932)),AVERAGE('20250815_ETF_Options_Exhibits'!Z928:Z932),"")</f>
        <v/>
      </c>
      <c r="AA932" s="3">
        <f>IF(ISNUMBER(AVERAGE('20250815_ETF_Options_Exhibits'!AA928:AA932)),AVERAGE('20250815_ETF_Options_Exhibits'!AA928:AA932),"")</f>
        <v/>
      </c>
    </row>
    <row r="933">
      <c r="A933" s="1" t="n">
        <v>43356</v>
      </c>
      <c r="B933" s="3">
        <f>IF(ISNUMBER(AVERAGE('20250815_ETF_Options_Exhibits'!B929:B933)),AVERAGE('20250815_ETF_Options_Exhibits'!B929:B933),"")</f>
        <v/>
      </c>
      <c r="C933" s="3">
        <f>IF(ISNUMBER(AVERAGE('20250815_ETF_Options_Exhibits'!C929:C933)),AVERAGE('20250815_ETF_Options_Exhibits'!C929:C933),"")</f>
        <v/>
      </c>
      <c r="D933" s="3">
        <f>IF(ISNUMBER(AVERAGE('20250815_ETF_Options_Exhibits'!D929:D933)),AVERAGE('20250815_ETF_Options_Exhibits'!D929:D933),"")</f>
        <v/>
      </c>
      <c r="E933" s="3">
        <f>IF(ISNUMBER(AVERAGE('20250815_ETF_Options_Exhibits'!E929:E933)),AVERAGE('20250815_ETF_Options_Exhibits'!E929:E933),"")</f>
        <v/>
      </c>
      <c r="F933" s="3">
        <f>IF(ISNUMBER(AVERAGE('20250815_ETF_Options_Exhibits'!F929:F933)),AVERAGE('20250815_ETF_Options_Exhibits'!F929:F933),"")</f>
        <v/>
      </c>
      <c r="G933" s="3">
        <f>IF(ISNUMBER(AVERAGE('20250815_ETF_Options_Exhibits'!G929:G933)),AVERAGE('20250815_ETF_Options_Exhibits'!G929:G933),"")</f>
        <v/>
      </c>
      <c r="H933" s="3">
        <f>IF(ISNUMBER(AVERAGE('20250815_ETF_Options_Exhibits'!H929:H933)),AVERAGE('20250815_ETF_Options_Exhibits'!H929:H933),"")</f>
        <v/>
      </c>
      <c r="I933" s="3">
        <f>IF(ISNUMBER(AVERAGE('20250815_ETF_Options_Exhibits'!I929:I933)),AVERAGE('20250815_ETF_Options_Exhibits'!I929:I933),"")</f>
        <v/>
      </c>
      <c r="J933" s="3">
        <f>IF(ISNUMBER(AVERAGE('20250815_ETF_Options_Exhibits'!J929:J933)),AVERAGE('20250815_ETF_Options_Exhibits'!J929:J933),"")</f>
        <v/>
      </c>
      <c r="K933" s="3">
        <f>IF(ISNUMBER(AVERAGE('20250815_ETF_Options_Exhibits'!K929:K933)),AVERAGE('20250815_ETF_Options_Exhibits'!K929:K933),"")</f>
        <v/>
      </c>
      <c r="L933" s="3">
        <f>IF(ISNUMBER(AVERAGE('20250815_ETF_Options_Exhibits'!L929:L933)),AVERAGE('20250815_ETF_Options_Exhibits'!L929:L933),"")</f>
        <v/>
      </c>
      <c r="M933" s="3">
        <f>IF(ISNUMBER(AVERAGE('20250815_ETF_Options_Exhibits'!M929:M933)),AVERAGE('20250815_ETF_Options_Exhibits'!M929:M933),"")</f>
        <v/>
      </c>
      <c r="N933" s="3">
        <f>IF(ISNUMBER(AVERAGE('20250815_ETF_Options_Exhibits'!N929:N933)),AVERAGE('20250815_ETF_Options_Exhibits'!N929:N933),"")</f>
        <v/>
      </c>
      <c r="O933" s="3">
        <f>IF(ISNUMBER(AVERAGE('20250815_ETF_Options_Exhibits'!O929:O933)),AVERAGE('20250815_ETF_Options_Exhibits'!O929:O933),"")</f>
        <v/>
      </c>
      <c r="P933" s="3">
        <f>IF(ISNUMBER(AVERAGE('20250815_ETF_Options_Exhibits'!P929:P933)),AVERAGE('20250815_ETF_Options_Exhibits'!P929:P933),"")</f>
        <v/>
      </c>
      <c r="Q933" s="3">
        <f>IF(ISNUMBER(AVERAGE('20250815_ETF_Options_Exhibits'!Q929:Q933)),AVERAGE('20250815_ETF_Options_Exhibits'!Q929:Q933),"")</f>
        <v/>
      </c>
      <c r="R933" s="3">
        <f>IF(ISNUMBER(AVERAGE('20250815_ETF_Options_Exhibits'!R929:R933)),AVERAGE('20250815_ETF_Options_Exhibits'!R929:R933),"")</f>
        <v/>
      </c>
      <c r="S933" s="3">
        <f>IF(ISNUMBER(AVERAGE('20250815_ETF_Options_Exhibits'!S929:S933)),AVERAGE('20250815_ETF_Options_Exhibits'!S929:S933),"")</f>
        <v/>
      </c>
      <c r="T933" s="3">
        <f>IF(ISNUMBER(AVERAGE('20250815_ETF_Options_Exhibits'!T929:T933)),AVERAGE('20250815_ETF_Options_Exhibits'!T929:T933),"")</f>
        <v/>
      </c>
      <c r="U933" s="3">
        <f>IF(ISNUMBER(AVERAGE('20250815_ETF_Options_Exhibits'!U929:U933)),AVERAGE('20250815_ETF_Options_Exhibits'!U929:U933),"")</f>
        <v/>
      </c>
      <c r="V933" s="3">
        <f>IF(ISNUMBER(AVERAGE('20250815_ETF_Options_Exhibits'!V929:V933)),AVERAGE('20250815_ETF_Options_Exhibits'!V929:V933),"")</f>
        <v/>
      </c>
      <c r="W933" s="3">
        <f>IF(ISNUMBER(AVERAGE('20250815_ETF_Options_Exhibits'!W929:W933)),AVERAGE('20250815_ETF_Options_Exhibits'!W929:W933),"")</f>
        <v/>
      </c>
      <c r="X933" s="3">
        <f>IF(ISNUMBER(AVERAGE('20250815_ETF_Options_Exhibits'!X929:X933)),AVERAGE('20250815_ETF_Options_Exhibits'!X929:X933),"")</f>
        <v/>
      </c>
      <c r="Y933" s="3">
        <f>IF(ISNUMBER(AVERAGE('20250815_ETF_Options_Exhibits'!Y929:Y933)),AVERAGE('20250815_ETF_Options_Exhibits'!Y929:Y933),"")</f>
        <v/>
      </c>
      <c r="Z933" s="3">
        <f>IF(ISNUMBER(AVERAGE('20250815_ETF_Options_Exhibits'!Z929:Z933)),AVERAGE('20250815_ETF_Options_Exhibits'!Z929:Z933),"")</f>
        <v/>
      </c>
      <c r="AA933" s="3">
        <f>IF(ISNUMBER(AVERAGE('20250815_ETF_Options_Exhibits'!AA929:AA933)),AVERAGE('20250815_ETF_Options_Exhibits'!AA929:AA933),"")</f>
        <v/>
      </c>
    </row>
    <row r="934">
      <c r="A934" s="1" t="n">
        <v>43357</v>
      </c>
      <c r="B934" s="3">
        <f>IF(ISNUMBER(AVERAGE('20250815_ETF_Options_Exhibits'!B930:B934)),AVERAGE('20250815_ETF_Options_Exhibits'!B930:B934),"")</f>
        <v/>
      </c>
      <c r="C934" s="3">
        <f>IF(ISNUMBER(AVERAGE('20250815_ETF_Options_Exhibits'!C930:C934)),AVERAGE('20250815_ETF_Options_Exhibits'!C930:C934),"")</f>
        <v/>
      </c>
      <c r="D934" s="3">
        <f>IF(ISNUMBER(AVERAGE('20250815_ETF_Options_Exhibits'!D930:D934)),AVERAGE('20250815_ETF_Options_Exhibits'!D930:D934),"")</f>
        <v/>
      </c>
      <c r="E934" s="3">
        <f>IF(ISNUMBER(AVERAGE('20250815_ETF_Options_Exhibits'!E930:E934)),AVERAGE('20250815_ETF_Options_Exhibits'!E930:E934),"")</f>
        <v/>
      </c>
      <c r="F934" s="3">
        <f>IF(ISNUMBER(AVERAGE('20250815_ETF_Options_Exhibits'!F930:F934)),AVERAGE('20250815_ETF_Options_Exhibits'!F930:F934),"")</f>
        <v/>
      </c>
      <c r="G934" s="3">
        <f>IF(ISNUMBER(AVERAGE('20250815_ETF_Options_Exhibits'!G930:G934)),AVERAGE('20250815_ETF_Options_Exhibits'!G930:G934),"")</f>
        <v/>
      </c>
      <c r="H934" s="3">
        <f>IF(ISNUMBER(AVERAGE('20250815_ETF_Options_Exhibits'!H930:H934)),AVERAGE('20250815_ETF_Options_Exhibits'!H930:H934),"")</f>
        <v/>
      </c>
      <c r="I934" s="3">
        <f>IF(ISNUMBER(AVERAGE('20250815_ETF_Options_Exhibits'!I930:I934)),AVERAGE('20250815_ETF_Options_Exhibits'!I930:I934),"")</f>
        <v/>
      </c>
      <c r="J934" s="3">
        <f>IF(ISNUMBER(AVERAGE('20250815_ETF_Options_Exhibits'!J930:J934)),AVERAGE('20250815_ETF_Options_Exhibits'!J930:J934),"")</f>
        <v/>
      </c>
      <c r="K934" s="3">
        <f>IF(ISNUMBER(AVERAGE('20250815_ETF_Options_Exhibits'!K930:K934)),AVERAGE('20250815_ETF_Options_Exhibits'!K930:K934),"")</f>
        <v/>
      </c>
      <c r="L934" s="3">
        <f>IF(ISNUMBER(AVERAGE('20250815_ETF_Options_Exhibits'!L930:L934)),AVERAGE('20250815_ETF_Options_Exhibits'!L930:L934),"")</f>
        <v/>
      </c>
      <c r="M934" s="3">
        <f>IF(ISNUMBER(AVERAGE('20250815_ETF_Options_Exhibits'!M930:M934)),AVERAGE('20250815_ETF_Options_Exhibits'!M930:M934),"")</f>
        <v/>
      </c>
      <c r="N934" s="3">
        <f>IF(ISNUMBER(AVERAGE('20250815_ETF_Options_Exhibits'!N930:N934)),AVERAGE('20250815_ETF_Options_Exhibits'!N930:N934),"")</f>
        <v/>
      </c>
      <c r="O934" s="3">
        <f>IF(ISNUMBER(AVERAGE('20250815_ETF_Options_Exhibits'!O930:O934)),AVERAGE('20250815_ETF_Options_Exhibits'!O930:O934),"")</f>
        <v/>
      </c>
      <c r="P934" s="3">
        <f>IF(ISNUMBER(AVERAGE('20250815_ETF_Options_Exhibits'!P930:P934)),AVERAGE('20250815_ETF_Options_Exhibits'!P930:P934),"")</f>
        <v/>
      </c>
      <c r="Q934" s="3">
        <f>IF(ISNUMBER(AVERAGE('20250815_ETF_Options_Exhibits'!Q930:Q934)),AVERAGE('20250815_ETF_Options_Exhibits'!Q930:Q934),"")</f>
        <v/>
      </c>
      <c r="R934" s="3">
        <f>IF(ISNUMBER(AVERAGE('20250815_ETF_Options_Exhibits'!R930:R934)),AVERAGE('20250815_ETF_Options_Exhibits'!R930:R934),"")</f>
        <v/>
      </c>
      <c r="S934" s="3">
        <f>IF(ISNUMBER(AVERAGE('20250815_ETF_Options_Exhibits'!S930:S934)),AVERAGE('20250815_ETF_Options_Exhibits'!S930:S934),"")</f>
        <v/>
      </c>
      <c r="T934" s="3">
        <f>IF(ISNUMBER(AVERAGE('20250815_ETF_Options_Exhibits'!T930:T934)),AVERAGE('20250815_ETF_Options_Exhibits'!T930:T934),"")</f>
        <v/>
      </c>
      <c r="U934" s="3">
        <f>IF(ISNUMBER(AVERAGE('20250815_ETF_Options_Exhibits'!U930:U934)),AVERAGE('20250815_ETF_Options_Exhibits'!U930:U934),"")</f>
        <v/>
      </c>
      <c r="V934" s="3">
        <f>IF(ISNUMBER(AVERAGE('20250815_ETF_Options_Exhibits'!V930:V934)),AVERAGE('20250815_ETF_Options_Exhibits'!V930:V934),"")</f>
        <v/>
      </c>
      <c r="W934" s="3">
        <f>IF(ISNUMBER(AVERAGE('20250815_ETF_Options_Exhibits'!W930:W934)),AVERAGE('20250815_ETF_Options_Exhibits'!W930:W934),"")</f>
        <v/>
      </c>
      <c r="X934" s="3">
        <f>IF(ISNUMBER(AVERAGE('20250815_ETF_Options_Exhibits'!X930:X934)),AVERAGE('20250815_ETF_Options_Exhibits'!X930:X934),"")</f>
        <v/>
      </c>
      <c r="Y934" s="3">
        <f>IF(ISNUMBER(AVERAGE('20250815_ETF_Options_Exhibits'!Y930:Y934)),AVERAGE('20250815_ETF_Options_Exhibits'!Y930:Y934),"")</f>
        <v/>
      </c>
      <c r="Z934" s="3">
        <f>IF(ISNUMBER(AVERAGE('20250815_ETF_Options_Exhibits'!Z930:Z934)),AVERAGE('20250815_ETF_Options_Exhibits'!Z930:Z934),"")</f>
        <v/>
      </c>
      <c r="AA934" s="3">
        <f>IF(ISNUMBER(AVERAGE('20250815_ETF_Options_Exhibits'!AA930:AA934)),AVERAGE('20250815_ETF_Options_Exhibits'!AA930:AA934),"")</f>
        <v/>
      </c>
    </row>
    <row r="935">
      <c r="A935" s="1" t="n">
        <v>43360</v>
      </c>
      <c r="B935" s="3">
        <f>IF(ISNUMBER(AVERAGE('20250815_ETF_Options_Exhibits'!B931:B935)),AVERAGE('20250815_ETF_Options_Exhibits'!B931:B935),"")</f>
        <v/>
      </c>
      <c r="C935" s="3">
        <f>IF(ISNUMBER(AVERAGE('20250815_ETF_Options_Exhibits'!C931:C935)),AVERAGE('20250815_ETF_Options_Exhibits'!C931:C935),"")</f>
        <v/>
      </c>
      <c r="D935" s="3">
        <f>IF(ISNUMBER(AVERAGE('20250815_ETF_Options_Exhibits'!D931:D935)),AVERAGE('20250815_ETF_Options_Exhibits'!D931:D935),"")</f>
        <v/>
      </c>
      <c r="E935" s="3">
        <f>IF(ISNUMBER(AVERAGE('20250815_ETF_Options_Exhibits'!E931:E935)),AVERAGE('20250815_ETF_Options_Exhibits'!E931:E935),"")</f>
        <v/>
      </c>
      <c r="F935" s="3">
        <f>IF(ISNUMBER(AVERAGE('20250815_ETF_Options_Exhibits'!F931:F935)),AVERAGE('20250815_ETF_Options_Exhibits'!F931:F935),"")</f>
        <v/>
      </c>
      <c r="G935" s="3">
        <f>IF(ISNUMBER(AVERAGE('20250815_ETF_Options_Exhibits'!G931:G935)),AVERAGE('20250815_ETF_Options_Exhibits'!G931:G935),"")</f>
        <v/>
      </c>
      <c r="H935" s="3">
        <f>IF(ISNUMBER(AVERAGE('20250815_ETF_Options_Exhibits'!H931:H935)),AVERAGE('20250815_ETF_Options_Exhibits'!H931:H935),"")</f>
        <v/>
      </c>
      <c r="I935" s="3">
        <f>IF(ISNUMBER(AVERAGE('20250815_ETF_Options_Exhibits'!I931:I935)),AVERAGE('20250815_ETF_Options_Exhibits'!I931:I935),"")</f>
        <v/>
      </c>
      <c r="J935" s="3">
        <f>IF(ISNUMBER(AVERAGE('20250815_ETF_Options_Exhibits'!J931:J935)),AVERAGE('20250815_ETF_Options_Exhibits'!J931:J935),"")</f>
        <v/>
      </c>
      <c r="K935" s="3">
        <f>IF(ISNUMBER(AVERAGE('20250815_ETF_Options_Exhibits'!K931:K935)),AVERAGE('20250815_ETF_Options_Exhibits'!K931:K935),"")</f>
        <v/>
      </c>
      <c r="L935" s="3">
        <f>IF(ISNUMBER(AVERAGE('20250815_ETF_Options_Exhibits'!L931:L935)),AVERAGE('20250815_ETF_Options_Exhibits'!L931:L935),"")</f>
        <v/>
      </c>
      <c r="M935" s="3">
        <f>IF(ISNUMBER(AVERAGE('20250815_ETF_Options_Exhibits'!M931:M935)),AVERAGE('20250815_ETF_Options_Exhibits'!M931:M935),"")</f>
        <v/>
      </c>
      <c r="N935" s="3">
        <f>IF(ISNUMBER(AVERAGE('20250815_ETF_Options_Exhibits'!N931:N935)),AVERAGE('20250815_ETF_Options_Exhibits'!N931:N935),"")</f>
        <v/>
      </c>
      <c r="O935" s="3">
        <f>IF(ISNUMBER(AVERAGE('20250815_ETF_Options_Exhibits'!O931:O935)),AVERAGE('20250815_ETF_Options_Exhibits'!O931:O935),"")</f>
        <v/>
      </c>
      <c r="P935" s="3">
        <f>IF(ISNUMBER(AVERAGE('20250815_ETF_Options_Exhibits'!P931:P935)),AVERAGE('20250815_ETF_Options_Exhibits'!P931:P935),"")</f>
        <v/>
      </c>
      <c r="Q935" s="3">
        <f>IF(ISNUMBER(AVERAGE('20250815_ETF_Options_Exhibits'!Q931:Q935)),AVERAGE('20250815_ETF_Options_Exhibits'!Q931:Q935),"")</f>
        <v/>
      </c>
      <c r="R935" s="3">
        <f>IF(ISNUMBER(AVERAGE('20250815_ETF_Options_Exhibits'!R931:R935)),AVERAGE('20250815_ETF_Options_Exhibits'!R931:R935),"")</f>
        <v/>
      </c>
      <c r="S935" s="3">
        <f>IF(ISNUMBER(AVERAGE('20250815_ETF_Options_Exhibits'!S931:S935)),AVERAGE('20250815_ETF_Options_Exhibits'!S931:S935),"")</f>
        <v/>
      </c>
      <c r="T935" s="3">
        <f>IF(ISNUMBER(AVERAGE('20250815_ETF_Options_Exhibits'!T931:T935)),AVERAGE('20250815_ETF_Options_Exhibits'!T931:T935),"")</f>
        <v/>
      </c>
      <c r="U935" s="3">
        <f>IF(ISNUMBER(AVERAGE('20250815_ETF_Options_Exhibits'!U931:U935)),AVERAGE('20250815_ETF_Options_Exhibits'!U931:U935),"")</f>
        <v/>
      </c>
      <c r="V935" s="3">
        <f>IF(ISNUMBER(AVERAGE('20250815_ETF_Options_Exhibits'!V931:V935)),AVERAGE('20250815_ETF_Options_Exhibits'!V931:V935),"")</f>
        <v/>
      </c>
      <c r="W935" s="3">
        <f>IF(ISNUMBER(AVERAGE('20250815_ETF_Options_Exhibits'!W931:W935)),AVERAGE('20250815_ETF_Options_Exhibits'!W931:W935),"")</f>
        <v/>
      </c>
      <c r="X935" s="3">
        <f>IF(ISNUMBER(AVERAGE('20250815_ETF_Options_Exhibits'!X931:X935)),AVERAGE('20250815_ETF_Options_Exhibits'!X931:X935),"")</f>
        <v/>
      </c>
      <c r="Y935" s="3">
        <f>IF(ISNUMBER(AVERAGE('20250815_ETF_Options_Exhibits'!Y931:Y935)),AVERAGE('20250815_ETF_Options_Exhibits'!Y931:Y935),"")</f>
        <v/>
      </c>
      <c r="Z935" s="3">
        <f>IF(ISNUMBER(AVERAGE('20250815_ETF_Options_Exhibits'!Z931:Z935)),AVERAGE('20250815_ETF_Options_Exhibits'!Z931:Z935),"")</f>
        <v/>
      </c>
      <c r="AA935" s="3">
        <f>IF(ISNUMBER(AVERAGE('20250815_ETF_Options_Exhibits'!AA931:AA935)),AVERAGE('20250815_ETF_Options_Exhibits'!AA931:AA935),"")</f>
        <v/>
      </c>
    </row>
    <row r="936">
      <c r="A936" s="1" t="n">
        <v>43361</v>
      </c>
      <c r="B936" s="3">
        <f>IF(ISNUMBER(AVERAGE('20250815_ETF_Options_Exhibits'!B932:B936)),AVERAGE('20250815_ETF_Options_Exhibits'!B932:B936),"")</f>
        <v/>
      </c>
      <c r="C936" s="3">
        <f>IF(ISNUMBER(AVERAGE('20250815_ETF_Options_Exhibits'!C932:C936)),AVERAGE('20250815_ETF_Options_Exhibits'!C932:C936),"")</f>
        <v/>
      </c>
      <c r="D936" s="3">
        <f>IF(ISNUMBER(AVERAGE('20250815_ETF_Options_Exhibits'!D932:D936)),AVERAGE('20250815_ETF_Options_Exhibits'!D932:D936),"")</f>
        <v/>
      </c>
      <c r="E936" s="3">
        <f>IF(ISNUMBER(AVERAGE('20250815_ETF_Options_Exhibits'!E932:E936)),AVERAGE('20250815_ETF_Options_Exhibits'!E932:E936),"")</f>
        <v/>
      </c>
      <c r="F936" s="3">
        <f>IF(ISNUMBER(AVERAGE('20250815_ETF_Options_Exhibits'!F932:F936)),AVERAGE('20250815_ETF_Options_Exhibits'!F932:F936),"")</f>
        <v/>
      </c>
      <c r="G936" s="3">
        <f>IF(ISNUMBER(AVERAGE('20250815_ETF_Options_Exhibits'!G932:G936)),AVERAGE('20250815_ETF_Options_Exhibits'!G932:G936),"")</f>
        <v/>
      </c>
      <c r="H936" s="3">
        <f>IF(ISNUMBER(AVERAGE('20250815_ETF_Options_Exhibits'!H932:H936)),AVERAGE('20250815_ETF_Options_Exhibits'!H932:H936),"")</f>
        <v/>
      </c>
      <c r="I936" s="3">
        <f>IF(ISNUMBER(AVERAGE('20250815_ETF_Options_Exhibits'!I932:I936)),AVERAGE('20250815_ETF_Options_Exhibits'!I932:I936),"")</f>
        <v/>
      </c>
      <c r="J936" s="3">
        <f>IF(ISNUMBER(AVERAGE('20250815_ETF_Options_Exhibits'!J932:J936)),AVERAGE('20250815_ETF_Options_Exhibits'!J932:J936),"")</f>
        <v/>
      </c>
      <c r="K936" s="3">
        <f>IF(ISNUMBER(AVERAGE('20250815_ETF_Options_Exhibits'!K932:K936)),AVERAGE('20250815_ETF_Options_Exhibits'!K932:K936),"")</f>
        <v/>
      </c>
      <c r="L936" s="3">
        <f>IF(ISNUMBER(AVERAGE('20250815_ETF_Options_Exhibits'!L932:L936)),AVERAGE('20250815_ETF_Options_Exhibits'!L932:L936),"")</f>
        <v/>
      </c>
      <c r="M936" s="3">
        <f>IF(ISNUMBER(AVERAGE('20250815_ETF_Options_Exhibits'!M932:M936)),AVERAGE('20250815_ETF_Options_Exhibits'!M932:M936),"")</f>
        <v/>
      </c>
      <c r="N936" s="3">
        <f>IF(ISNUMBER(AVERAGE('20250815_ETF_Options_Exhibits'!N932:N936)),AVERAGE('20250815_ETF_Options_Exhibits'!N932:N936),"")</f>
        <v/>
      </c>
      <c r="O936" s="3">
        <f>IF(ISNUMBER(AVERAGE('20250815_ETF_Options_Exhibits'!O932:O936)),AVERAGE('20250815_ETF_Options_Exhibits'!O932:O936),"")</f>
        <v/>
      </c>
      <c r="P936" s="3">
        <f>IF(ISNUMBER(AVERAGE('20250815_ETF_Options_Exhibits'!P932:P936)),AVERAGE('20250815_ETF_Options_Exhibits'!P932:P936),"")</f>
        <v/>
      </c>
      <c r="Q936" s="3">
        <f>IF(ISNUMBER(AVERAGE('20250815_ETF_Options_Exhibits'!Q932:Q936)),AVERAGE('20250815_ETF_Options_Exhibits'!Q932:Q936),"")</f>
        <v/>
      </c>
      <c r="R936" s="3">
        <f>IF(ISNUMBER(AVERAGE('20250815_ETF_Options_Exhibits'!R932:R936)),AVERAGE('20250815_ETF_Options_Exhibits'!R932:R936),"")</f>
        <v/>
      </c>
      <c r="S936" s="3">
        <f>IF(ISNUMBER(AVERAGE('20250815_ETF_Options_Exhibits'!S932:S936)),AVERAGE('20250815_ETF_Options_Exhibits'!S932:S936),"")</f>
        <v/>
      </c>
      <c r="T936" s="3">
        <f>IF(ISNUMBER(AVERAGE('20250815_ETF_Options_Exhibits'!T932:T936)),AVERAGE('20250815_ETF_Options_Exhibits'!T932:T936),"")</f>
        <v/>
      </c>
      <c r="U936" s="3">
        <f>IF(ISNUMBER(AVERAGE('20250815_ETF_Options_Exhibits'!U932:U936)),AVERAGE('20250815_ETF_Options_Exhibits'!U932:U936),"")</f>
        <v/>
      </c>
      <c r="V936" s="3">
        <f>IF(ISNUMBER(AVERAGE('20250815_ETF_Options_Exhibits'!V932:V936)),AVERAGE('20250815_ETF_Options_Exhibits'!V932:V936),"")</f>
        <v/>
      </c>
      <c r="W936" s="3">
        <f>IF(ISNUMBER(AVERAGE('20250815_ETF_Options_Exhibits'!W932:W936)),AVERAGE('20250815_ETF_Options_Exhibits'!W932:W936),"")</f>
        <v/>
      </c>
      <c r="X936" s="3">
        <f>IF(ISNUMBER(AVERAGE('20250815_ETF_Options_Exhibits'!X932:X936)),AVERAGE('20250815_ETF_Options_Exhibits'!X932:X936),"")</f>
        <v/>
      </c>
      <c r="Y936" s="3">
        <f>IF(ISNUMBER(AVERAGE('20250815_ETF_Options_Exhibits'!Y932:Y936)),AVERAGE('20250815_ETF_Options_Exhibits'!Y932:Y936),"")</f>
        <v/>
      </c>
      <c r="Z936" s="3">
        <f>IF(ISNUMBER(AVERAGE('20250815_ETF_Options_Exhibits'!Z932:Z936)),AVERAGE('20250815_ETF_Options_Exhibits'!Z932:Z936),"")</f>
        <v/>
      </c>
      <c r="AA936" s="3">
        <f>IF(ISNUMBER(AVERAGE('20250815_ETF_Options_Exhibits'!AA932:AA936)),AVERAGE('20250815_ETF_Options_Exhibits'!AA932:AA936),"")</f>
        <v/>
      </c>
    </row>
    <row r="937">
      <c r="A937" s="1" t="n">
        <v>43362</v>
      </c>
      <c r="B937" s="3">
        <f>IF(ISNUMBER(AVERAGE('20250815_ETF_Options_Exhibits'!B933:B937)),AVERAGE('20250815_ETF_Options_Exhibits'!B933:B937),"")</f>
        <v/>
      </c>
      <c r="C937" s="3">
        <f>IF(ISNUMBER(AVERAGE('20250815_ETF_Options_Exhibits'!C933:C937)),AVERAGE('20250815_ETF_Options_Exhibits'!C933:C937),"")</f>
        <v/>
      </c>
      <c r="D937" s="3">
        <f>IF(ISNUMBER(AVERAGE('20250815_ETF_Options_Exhibits'!D933:D937)),AVERAGE('20250815_ETF_Options_Exhibits'!D933:D937),"")</f>
        <v/>
      </c>
      <c r="E937" s="3">
        <f>IF(ISNUMBER(AVERAGE('20250815_ETF_Options_Exhibits'!E933:E937)),AVERAGE('20250815_ETF_Options_Exhibits'!E933:E937),"")</f>
        <v/>
      </c>
      <c r="F937" s="3">
        <f>IF(ISNUMBER(AVERAGE('20250815_ETF_Options_Exhibits'!F933:F937)),AVERAGE('20250815_ETF_Options_Exhibits'!F933:F937),"")</f>
        <v/>
      </c>
      <c r="G937" s="3">
        <f>IF(ISNUMBER(AVERAGE('20250815_ETF_Options_Exhibits'!G933:G937)),AVERAGE('20250815_ETF_Options_Exhibits'!G933:G937),"")</f>
        <v/>
      </c>
      <c r="H937" s="3">
        <f>IF(ISNUMBER(AVERAGE('20250815_ETF_Options_Exhibits'!H933:H937)),AVERAGE('20250815_ETF_Options_Exhibits'!H933:H937),"")</f>
        <v/>
      </c>
      <c r="I937" s="3">
        <f>IF(ISNUMBER(AVERAGE('20250815_ETF_Options_Exhibits'!I933:I937)),AVERAGE('20250815_ETF_Options_Exhibits'!I933:I937),"")</f>
        <v/>
      </c>
      <c r="J937" s="3">
        <f>IF(ISNUMBER(AVERAGE('20250815_ETF_Options_Exhibits'!J933:J937)),AVERAGE('20250815_ETF_Options_Exhibits'!J933:J937),"")</f>
        <v/>
      </c>
      <c r="K937" s="3">
        <f>IF(ISNUMBER(AVERAGE('20250815_ETF_Options_Exhibits'!K933:K937)),AVERAGE('20250815_ETF_Options_Exhibits'!K933:K937),"")</f>
        <v/>
      </c>
      <c r="L937" s="3">
        <f>IF(ISNUMBER(AVERAGE('20250815_ETF_Options_Exhibits'!L933:L937)),AVERAGE('20250815_ETF_Options_Exhibits'!L933:L937),"")</f>
        <v/>
      </c>
      <c r="M937" s="3">
        <f>IF(ISNUMBER(AVERAGE('20250815_ETF_Options_Exhibits'!M933:M937)),AVERAGE('20250815_ETF_Options_Exhibits'!M933:M937),"")</f>
        <v/>
      </c>
      <c r="N937" s="3">
        <f>IF(ISNUMBER(AVERAGE('20250815_ETF_Options_Exhibits'!N933:N937)),AVERAGE('20250815_ETF_Options_Exhibits'!N933:N937),"")</f>
        <v/>
      </c>
      <c r="O937" s="3">
        <f>IF(ISNUMBER(AVERAGE('20250815_ETF_Options_Exhibits'!O933:O937)),AVERAGE('20250815_ETF_Options_Exhibits'!O933:O937),"")</f>
        <v/>
      </c>
      <c r="P937" s="3">
        <f>IF(ISNUMBER(AVERAGE('20250815_ETF_Options_Exhibits'!P933:P937)),AVERAGE('20250815_ETF_Options_Exhibits'!P933:P937),"")</f>
        <v/>
      </c>
      <c r="Q937" s="3">
        <f>IF(ISNUMBER(AVERAGE('20250815_ETF_Options_Exhibits'!Q933:Q937)),AVERAGE('20250815_ETF_Options_Exhibits'!Q933:Q937),"")</f>
        <v/>
      </c>
      <c r="R937" s="3">
        <f>IF(ISNUMBER(AVERAGE('20250815_ETF_Options_Exhibits'!R933:R937)),AVERAGE('20250815_ETF_Options_Exhibits'!R933:R937),"")</f>
        <v/>
      </c>
      <c r="S937" s="3">
        <f>IF(ISNUMBER(AVERAGE('20250815_ETF_Options_Exhibits'!S933:S937)),AVERAGE('20250815_ETF_Options_Exhibits'!S933:S937),"")</f>
        <v/>
      </c>
      <c r="T937" s="3">
        <f>IF(ISNUMBER(AVERAGE('20250815_ETF_Options_Exhibits'!T933:T937)),AVERAGE('20250815_ETF_Options_Exhibits'!T933:T937),"")</f>
        <v/>
      </c>
      <c r="U937" s="3">
        <f>IF(ISNUMBER(AVERAGE('20250815_ETF_Options_Exhibits'!U933:U937)),AVERAGE('20250815_ETF_Options_Exhibits'!U933:U937),"")</f>
        <v/>
      </c>
      <c r="V937" s="3">
        <f>IF(ISNUMBER(AVERAGE('20250815_ETF_Options_Exhibits'!V933:V937)),AVERAGE('20250815_ETF_Options_Exhibits'!V933:V937),"")</f>
        <v/>
      </c>
      <c r="W937" s="3">
        <f>IF(ISNUMBER(AVERAGE('20250815_ETF_Options_Exhibits'!W933:W937)),AVERAGE('20250815_ETF_Options_Exhibits'!W933:W937),"")</f>
        <v/>
      </c>
      <c r="X937" s="3">
        <f>IF(ISNUMBER(AVERAGE('20250815_ETF_Options_Exhibits'!X933:X937)),AVERAGE('20250815_ETF_Options_Exhibits'!X933:X937),"")</f>
        <v/>
      </c>
      <c r="Y937" s="3">
        <f>IF(ISNUMBER(AVERAGE('20250815_ETF_Options_Exhibits'!Y933:Y937)),AVERAGE('20250815_ETF_Options_Exhibits'!Y933:Y937),"")</f>
        <v/>
      </c>
      <c r="Z937" s="3">
        <f>IF(ISNUMBER(AVERAGE('20250815_ETF_Options_Exhibits'!Z933:Z937)),AVERAGE('20250815_ETF_Options_Exhibits'!Z933:Z937),"")</f>
        <v/>
      </c>
      <c r="AA937" s="3">
        <f>IF(ISNUMBER(AVERAGE('20250815_ETF_Options_Exhibits'!AA933:AA937)),AVERAGE('20250815_ETF_Options_Exhibits'!AA933:AA937),"")</f>
        <v/>
      </c>
    </row>
    <row r="938">
      <c r="A938" s="1" t="n">
        <v>43363</v>
      </c>
      <c r="B938" s="3">
        <f>IF(ISNUMBER(AVERAGE('20250815_ETF_Options_Exhibits'!B934:B938)),AVERAGE('20250815_ETF_Options_Exhibits'!B934:B938),"")</f>
        <v/>
      </c>
      <c r="C938" s="3">
        <f>IF(ISNUMBER(AVERAGE('20250815_ETF_Options_Exhibits'!C934:C938)),AVERAGE('20250815_ETF_Options_Exhibits'!C934:C938),"")</f>
        <v/>
      </c>
      <c r="D938" s="3">
        <f>IF(ISNUMBER(AVERAGE('20250815_ETF_Options_Exhibits'!D934:D938)),AVERAGE('20250815_ETF_Options_Exhibits'!D934:D938),"")</f>
        <v/>
      </c>
      <c r="E938" s="3">
        <f>IF(ISNUMBER(AVERAGE('20250815_ETF_Options_Exhibits'!E934:E938)),AVERAGE('20250815_ETF_Options_Exhibits'!E934:E938),"")</f>
        <v/>
      </c>
      <c r="F938" s="3">
        <f>IF(ISNUMBER(AVERAGE('20250815_ETF_Options_Exhibits'!F934:F938)),AVERAGE('20250815_ETF_Options_Exhibits'!F934:F938),"")</f>
        <v/>
      </c>
      <c r="G938" s="3">
        <f>IF(ISNUMBER(AVERAGE('20250815_ETF_Options_Exhibits'!G934:G938)),AVERAGE('20250815_ETF_Options_Exhibits'!G934:G938),"")</f>
        <v/>
      </c>
      <c r="H938" s="3">
        <f>IF(ISNUMBER(AVERAGE('20250815_ETF_Options_Exhibits'!H934:H938)),AVERAGE('20250815_ETF_Options_Exhibits'!H934:H938),"")</f>
        <v/>
      </c>
      <c r="I938" s="3">
        <f>IF(ISNUMBER(AVERAGE('20250815_ETF_Options_Exhibits'!I934:I938)),AVERAGE('20250815_ETF_Options_Exhibits'!I934:I938),"")</f>
        <v/>
      </c>
      <c r="J938" s="3">
        <f>IF(ISNUMBER(AVERAGE('20250815_ETF_Options_Exhibits'!J934:J938)),AVERAGE('20250815_ETF_Options_Exhibits'!J934:J938),"")</f>
        <v/>
      </c>
      <c r="K938" s="3">
        <f>IF(ISNUMBER(AVERAGE('20250815_ETF_Options_Exhibits'!K934:K938)),AVERAGE('20250815_ETF_Options_Exhibits'!K934:K938),"")</f>
        <v/>
      </c>
      <c r="L938" s="3">
        <f>IF(ISNUMBER(AVERAGE('20250815_ETF_Options_Exhibits'!L934:L938)),AVERAGE('20250815_ETF_Options_Exhibits'!L934:L938),"")</f>
        <v/>
      </c>
      <c r="M938" s="3">
        <f>IF(ISNUMBER(AVERAGE('20250815_ETF_Options_Exhibits'!M934:M938)),AVERAGE('20250815_ETF_Options_Exhibits'!M934:M938),"")</f>
        <v/>
      </c>
      <c r="N938" s="3">
        <f>IF(ISNUMBER(AVERAGE('20250815_ETF_Options_Exhibits'!N934:N938)),AVERAGE('20250815_ETF_Options_Exhibits'!N934:N938),"")</f>
        <v/>
      </c>
      <c r="O938" s="3">
        <f>IF(ISNUMBER(AVERAGE('20250815_ETF_Options_Exhibits'!O934:O938)),AVERAGE('20250815_ETF_Options_Exhibits'!O934:O938),"")</f>
        <v/>
      </c>
      <c r="P938" s="3">
        <f>IF(ISNUMBER(AVERAGE('20250815_ETF_Options_Exhibits'!P934:P938)),AVERAGE('20250815_ETF_Options_Exhibits'!P934:P938),"")</f>
        <v/>
      </c>
      <c r="Q938" s="3">
        <f>IF(ISNUMBER(AVERAGE('20250815_ETF_Options_Exhibits'!Q934:Q938)),AVERAGE('20250815_ETF_Options_Exhibits'!Q934:Q938),"")</f>
        <v/>
      </c>
      <c r="R938" s="3">
        <f>IF(ISNUMBER(AVERAGE('20250815_ETF_Options_Exhibits'!R934:R938)),AVERAGE('20250815_ETF_Options_Exhibits'!R934:R938),"")</f>
        <v/>
      </c>
      <c r="S938" s="3">
        <f>IF(ISNUMBER(AVERAGE('20250815_ETF_Options_Exhibits'!S934:S938)),AVERAGE('20250815_ETF_Options_Exhibits'!S934:S938),"")</f>
        <v/>
      </c>
      <c r="T938" s="3">
        <f>IF(ISNUMBER(AVERAGE('20250815_ETF_Options_Exhibits'!T934:T938)),AVERAGE('20250815_ETF_Options_Exhibits'!T934:T938),"")</f>
        <v/>
      </c>
      <c r="U938" s="3">
        <f>IF(ISNUMBER(AVERAGE('20250815_ETF_Options_Exhibits'!U934:U938)),AVERAGE('20250815_ETF_Options_Exhibits'!U934:U938),"")</f>
        <v/>
      </c>
      <c r="V938" s="3">
        <f>IF(ISNUMBER(AVERAGE('20250815_ETF_Options_Exhibits'!V934:V938)),AVERAGE('20250815_ETF_Options_Exhibits'!V934:V938),"")</f>
        <v/>
      </c>
      <c r="W938" s="3">
        <f>IF(ISNUMBER(AVERAGE('20250815_ETF_Options_Exhibits'!W934:W938)),AVERAGE('20250815_ETF_Options_Exhibits'!W934:W938),"")</f>
        <v/>
      </c>
      <c r="X938" s="3">
        <f>IF(ISNUMBER(AVERAGE('20250815_ETF_Options_Exhibits'!X934:X938)),AVERAGE('20250815_ETF_Options_Exhibits'!X934:X938),"")</f>
        <v/>
      </c>
      <c r="Y938" s="3">
        <f>IF(ISNUMBER(AVERAGE('20250815_ETF_Options_Exhibits'!Y934:Y938)),AVERAGE('20250815_ETF_Options_Exhibits'!Y934:Y938),"")</f>
        <v/>
      </c>
      <c r="Z938" s="3">
        <f>IF(ISNUMBER(AVERAGE('20250815_ETF_Options_Exhibits'!Z934:Z938)),AVERAGE('20250815_ETF_Options_Exhibits'!Z934:Z938),"")</f>
        <v/>
      </c>
      <c r="AA938" s="3">
        <f>IF(ISNUMBER(AVERAGE('20250815_ETF_Options_Exhibits'!AA934:AA938)),AVERAGE('20250815_ETF_Options_Exhibits'!AA934:AA938),"")</f>
        <v/>
      </c>
    </row>
    <row r="939">
      <c r="A939" s="1" t="n">
        <v>43364</v>
      </c>
      <c r="B939" s="3">
        <f>IF(ISNUMBER(AVERAGE('20250815_ETF_Options_Exhibits'!B935:B939)),AVERAGE('20250815_ETF_Options_Exhibits'!B935:B939),"")</f>
        <v/>
      </c>
      <c r="C939" s="3">
        <f>IF(ISNUMBER(AVERAGE('20250815_ETF_Options_Exhibits'!C935:C939)),AVERAGE('20250815_ETF_Options_Exhibits'!C935:C939),"")</f>
        <v/>
      </c>
      <c r="D939" s="3">
        <f>IF(ISNUMBER(AVERAGE('20250815_ETF_Options_Exhibits'!D935:D939)),AVERAGE('20250815_ETF_Options_Exhibits'!D935:D939),"")</f>
        <v/>
      </c>
      <c r="E939" s="3">
        <f>IF(ISNUMBER(AVERAGE('20250815_ETF_Options_Exhibits'!E935:E939)),AVERAGE('20250815_ETF_Options_Exhibits'!E935:E939),"")</f>
        <v/>
      </c>
      <c r="F939" s="3">
        <f>IF(ISNUMBER(AVERAGE('20250815_ETF_Options_Exhibits'!F935:F939)),AVERAGE('20250815_ETF_Options_Exhibits'!F935:F939),"")</f>
        <v/>
      </c>
      <c r="G939" s="3">
        <f>IF(ISNUMBER(AVERAGE('20250815_ETF_Options_Exhibits'!G935:G939)),AVERAGE('20250815_ETF_Options_Exhibits'!G935:G939),"")</f>
        <v/>
      </c>
      <c r="H939" s="3">
        <f>IF(ISNUMBER(AVERAGE('20250815_ETF_Options_Exhibits'!H935:H939)),AVERAGE('20250815_ETF_Options_Exhibits'!H935:H939),"")</f>
        <v/>
      </c>
      <c r="I939" s="3">
        <f>IF(ISNUMBER(AVERAGE('20250815_ETF_Options_Exhibits'!I935:I939)),AVERAGE('20250815_ETF_Options_Exhibits'!I935:I939),"")</f>
        <v/>
      </c>
      <c r="J939" s="3">
        <f>IF(ISNUMBER(AVERAGE('20250815_ETF_Options_Exhibits'!J935:J939)),AVERAGE('20250815_ETF_Options_Exhibits'!J935:J939),"")</f>
        <v/>
      </c>
      <c r="K939" s="3">
        <f>IF(ISNUMBER(AVERAGE('20250815_ETF_Options_Exhibits'!K935:K939)),AVERAGE('20250815_ETF_Options_Exhibits'!K935:K939),"")</f>
        <v/>
      </c>
      <c r="L939" s="3">
        <f>IF(ISNUMBER(AVERAGE('20250815_ETF_Options_Exhibits'!L935:L939)),AVERAGE('20250815_ETF_Options_Exhibits'!L935:L939),"")</f>
        <v/>
      </c>
      <c r="M939" s="3">
        <f>IF(ISNUMBER(AVERAGE('20250815_ETF_Options_Exhibits'!M935:M939)),AVERAGE('20250815_ETF_Options_Exhibits'!M935:M939),"")</f>
        <v/>
      </c>
      <c r="N939" s="3">
        <f>IF(ISNUMBER(AVERAGE('20250815_ETF_Options_Exhibits'!N935:N939)),AVERAGE('20250815_ETF_Options_Exhibits'!N935:N939),"")</f>
        <v/>
      </c>
      <c r="O939" s="3">
        <f>IF(ISNUMBER(AVERAGE('20250815_ETF_Options_Exhibits'!O935:O939)),AVERAGE('20250815_ETF_Options_Exhibits'!O935:O939),"")</f>
        <v/>
      </c>
      <c r="P939" s="3">
        <f>IF(ISNUMBER(AVERAGE('20250815_ETF_Options_Exhibits'!P935:P939)),AVERAGE('20250815_ETF_Options_Exhibits'!P935:P939),"")</f>
        <v/>
      </c>
      <c r="Q939" s="3">
        <f>IF(ISNUMBER(AVERAGE('20250815_ETF_Options_Exhibits'!Q935:Q939)),AVERAGE('20250815_ETF_Options_Exhibits'!Q935:Q939),"")</f>
        <v/>
      </c>
      <c r="R939" s="3">
        <f>IF(ISNUMBER(AVERAGE('20250815_ETF_Options_Exhibits'!R935:R939)),AVERAGE('20250815_ETF_Options_Exhibits'!R935:R939),"")</f>
        <v/>
      </c>
      <c r="S939" s="3">
        <f>IF(ISNUMBER(AVERAGE('20250815_ETF_Options_Exhibits'!S935:S939)),AVERAGE('20250815_ETF_Options_Exhibits'!S935:S939),"")</f>
        <v/>
      </c>
      <c r="T939" s="3">
        <f>IF(ISNUMBER(AVERAGE('20250815_ETF_Options_Exhibits'!T935:T939)),AVERAGE('20250815_ETF_Options_Exhibits'!T935:T939),"")</f>
        <v/>
      </c>
      <c r="U939" s="3">
        <f>IF(ISNUMBER(AVERAGE('20250815_ETF_Options_Exhibits'!U935:U939)),AVERAGE('20250815_ETF_Options_Exhibits'!U935:U939),"")</f>
        <v/>
      </c>
      <c r="V939" s="3">
        <f>IF(ISNUMBER(AVERAGE('20250815_ETF_Options_Exhibits'!V935:V939)),AVERAGE('20250815_ETF_Options_Exhibits'!V935:V939),"")</f>
        <v/>
      </c>
      <c r="W939" s="3">
        <f>IF(ISNUMBER(AVERAGE('20250815_ETF_Options_Exhibits'!W935:W939)),AVERAGE('20250815_ETF_Options_Exhibits'!W935:W939),"")</f>
        <v/>
      </c>
      <c r="X939" s="3">
        <f>IF(ISNUMBER(AVERAGE('20250815_ETF_Options_Exhibits'!X935:X939)),AVERAGE('20250815_ETF_Options_Exhibits'!X935:X939),"")</f>
        <v/>
      </c>
      <c r="Y939" s="3">
        <f>IF(ISNUMBER(AVERAGE('20250815_ETF_Options_Exhibits'!Y935:Y939)),AVERAGE('20250815_ETF_Options_Exhibits'!Y935:Y939),"")</f>
        <v/>
      </c>
      <c r="Z939" s="3">
        <f>IF(ISNUMBER(AVERAGE('20250815_ETF_Options_Exhibits'!Z935:Z939)),AVERAGE('20250815_ETF_Options_Exhibits'!Z935:Z939),"")</f>
        <v/>
      </c>
      <c r="AA939" s="3">
        <f>IF(ISNUMBER(AVERAGE('20250815_ETF_Options_Exhibits'!AA935:AA939)),AVERAGE('20250815_ETF_Options_Exhibits'!AA935:AA939),"")</f>
        <v/>
      </c>
    </row>
    <row r="940">
      <c r="A940" s="1" t="n">
        <v>43367</v>
      </c>
      <c r="B940" s="3">
        <f>IF(ISNUMBER(AVERAGE('20250815_ETF_Options_Exhibits'!B936:B940)),AVERAGE('20250815_ETF_Options_Exhibits'!B936:B940),"")</f>
        <v/>
      </c>
      <c r="C940" s="3">
        <f>IF(ISNUMBER(AVERAGE('20250815_ETF_Options_Exhibits'!C936:C940)),AVERAGE('20250815_ETF_Options_Exhibits'!C936:C940),"")</f>
        <v/>
      </c>
      <c r="D940" s="3">
        <f>IF(ISNUMBER(AVERAGE('20250815_ETF_Options_Exhibits'!D936:D940)),AVERAGE('20250815_ETF_Options_Exhibits'!D936:D940),"")</f>
        <v/>
      </c>
      <c r="E940" s="3">
        <f>IF(ISNUMBER(AVERAGE('20250815_ETF_Options_Exhibits'!E936:E940)),AVERAGE('20250815_ETF_Options_Exhibits'!E936:E940),"")</f>
        <v/>
      </c>
      <c r="F940" s="3">
        <f>IF(ISNUMBER(AVERAGE('20250815_ETF_Options_Exhibits'!F936:F940)),AVERAGE('20250815_ETF_Options_Exhibits'!F936:F940),"")</f>
        <v/>
      </c>
      <c r="G940" s="3">
        <f>IF(ISNUMBER(AVERAGE('20250815_ETF_Options_Exhibits'!G936:G940)),AVERAGE('20250815_ETF_Options_Exhibits'!G936:G940),"")</f>
        <v/>
      </c>
      <c r="H940" s="3">
        <f>IF(ISNUMBER(AVERAGE('20250815_ETF_Options_Exhibits'!H936:H940)),AVERAGE('20250815_ETF_Options_Exhibits'!H936:H940),"")</f>
        <v/>
      </c>
      <c r="I940" s="3">
        <f>IF(ISNUMBER(AVERAGE('20250815_ETF_Options_Exhibits'!I936:I940)),AVERAGE('20250815_ETF_Options_Exhibits'!I936:I940),"")</f>
        <v/>
      </c>
      <c r="J940" s="3">
        <f>IF(ISNUMBER(AVERAGE('20250815_ETF_Options_Exhibits'!J936:J940)),AVERAGE('20250815_ETF_Options_Exhibits'!J936:J940),"")</f>
        <v/>
      </c>
      <c r="K940" s="3">
        <f>IF(ISNUMBER(AVERAGE('20250815_ETF_Options_Exhibits'!K936:K940)),AVERAGE('20250815_ETF_Options_Exhibits'!K936:K940),"")</f>
        <v/>
      </c>
      <c r="L940" s="3">
        <f>IF(ISNUMBER(AVERAGE('20250815_ETF_Options_Exhibits'!L936:L940)),AVERAGE('20250815_ETF_Options_Exhibits'!L936:L940),"")</f>
        <v/>
      </c>
      <c r="M940" s="3">
        <f>IF(ISNUMBER(AVERAGE('20250815_ETF_Options_Exhibits'!M936:M940)),AVERAGE('20250815_ETF_Options_Exhibits'!M936:M940),"")</f>
        <v/>
      </c>
      <c r="N940" s="3">
        <f>IF(ISNUMBER(AVERAGE('20250815_ETF_Options_Exhibits'!N936:N940)),AVERAGE('20250815_ETF_Options_Exhibits'!N936:N940),"")</f>
        <v/>
      </c>
      <c r="O940" s="3">
        <f>IF(ISNUMBER(AVERAGE('20250815_ETF_Options_Exhibits'!O936:O940)),AVERAGE('20250815_ETF_Options_Exhibits'!O936:O940),"")</f>
        <v/>
      </c>
      <c r="P940" s="3">
        <f>IF(ISNUMBER(AVERAGE('20250815_ETF_Options_Exhibits'!P936:P940)),AVERAGE('20250815_ETF_Options_Exhibits'!P936:P940),"")</f>
        <v/>
      </c>
      <c r="Q940" s="3">
        <f>IF(ISNUMBER(AVERAGE('20250815_ETF_Options_Exhibits'!Q936:Q940)),AVERAGE('20250815_ETF_Options_Exhibits'!Q936:Q940),"")</f>
        <v/>
      </c>
      <c r="R940" s="3">
        <f>IF(ISNUMBER(AVERAGE('20250815_ETF_Options_Exhibits'!R936:R940)),AVERAGE('20250815_ETF_Options_Exhibits'!R936:R940),"")</f>
        <v/>
      </c>
      <c r="S940" s="3">
        <f>IF(ISNUMBER(AVERAGE('20250815_ETF_Options_Exhibits'!S936:S940)),AVERAGE('20250815_ETF_Options_Exhibits'!S936:S940),"")</f>
        <v/>
      </c>
      <c r="T940" s="3">
        <f>IF(ISNUMBER(AVERAGE('20250815_ETF_Options_Exhibits'!T936:T940)),AVERAGE('20250815_ETF_Options_Exhibits'!T936:T940),"")</f>
        <v/>
      </c>
      <c r="U940" s="3">
        <f>IF(ISNUMBER(AVERAGE('20250815_ETF_Options_Exhibits'!U936:U940)),AVERAGE('20250815_ETF_Options_Exhibits'!U936:U940),"")</f>
        <v/>
      </c>
      <c r="V940" s="3">
        <f>IF(ISNUMBER(AVERAGE('20250815_ETF_Options_Exhibits'!V936:V940)),AVERAGE('20250815_ETF_Options_Exhibits'!V936:V940),"")</f>
        <v/>
      </c>
      <c r="W940" s="3">
        <f>IF(ISNUMBER(AVERAGE('20250815_ETF_Options_Exhibits'!W936:W940)),AVERAGE('20250815_ETF_Options_Exhibits'!W936:W940),"")</f>
        <v/>
      </c>
      <c r="X940" s="3">
        <f>IF(ISNUMBER(AVERAGE('20250815_ETF_Options_Exhibits'!X936:X940)),AVERAGE('20250815_ETF_Options_Exhibits'!X936:X940),"")</f>
        <v/>
      </c>
      <c r="Y940" s="3">
        <f>IF(ISNUMBER(AVERAGE('20250815_ETF_Options_Exhibits'!Y936:Y940)),AVERAGE('20250815_ETF_Options_Exhibits'!Y936:Y940),"")</f>
        <v/>
      </c>
      <c r="Z940" s="3">
        <f>IF(ISNUMBER(AVERAGE('20250815_ETF_Options_Exhibits'!Z936:Z940)),AVERAGE('20250815_ETF_Options_Exhibits'!Z936:Z940),"")</f>
        <v/>
      </c>
      <c r="AA940" s="3">
        <f>IF(ISNUMBER(AVERAGE('20250815_ETF_Options_Exhibits'!AA936:AA940)),AVERAGE('20250815_ETF_Options_Exhibits'!AA936:AA940),"")</f>
        <v/>
      </c>
    </row>
    <row r="941">
      <c r="A941" s="1" t="n">
        <v>43368</v>
      </c>
      <c r="B941" s="3">
        <f>IF(ISNUMBER(AVERAGE('20250815_ETF_Options_Exhibits'!B937:B941)),AVERAGE('20250815_ETF_Options_Exhibits'!B937:B941),"")</f>
        <v/>
      </c>
      <c r="C941" s="3">
        <f>IF(ISNUMBER(AVERAGE('20250815_ETF_Options_Exhibits'!C937:C941)),AVERAGE('20250815_ETF_Options_Exhibits'!C937:C941),"")</f>
        <v/>
      </c>
      <c r="D941" s="3">
        <f>IF(ISNUMBER(AVERAGE('20250815_ETF_Options_Exhibits'!D937:D941)),AVERAGE('20250815_ETF_Options_Exhibits'!D937:D941),"")</f>
        <v/>
      </c>
      <c r="E941" s="3">
        <f>IF(ISNUMBER(AVERAGE('20250815_ETF_Options_Exhibits'!E937:E941)),AVERAGE('20250815_ETF_Options_Exhibits'!E937:E941),"")</f>
        <v/>
      </c>
      <c r="F941" s="3">
        <f>IF(ISNUMBER(AVERAGE('20250815_ETF_Options_Exhibits'!F937:F941)),AVERAGE('20250815_ETF_Options_Exhibits'!F937:F941),"")</f>
        <v/>
      </c>
      <c r="G941" s="3">
        <f>IF(ISNUMBER(AVERAGE('20250815_ETF_Options_Exhibits'!G937:G941)),AVERAGE('20250815_ETF_Options_Exhibits'!G937:G941),"")</f>
        <v/>
      </c>
      <c r="H941" s="3">
        <f>IF(ISNUMBER(AVERAGE('20250815_ETF_Options_Exhibits'!H937:H941)),AVERAGE('20250815_ETF_Options_Exhibits'!H937:H941),"")</f>
        <v/>
      </c>
      <c r="I941" s="3">
        <f>IF(ISNUMBER(AVERAGE('20250815_ETF_Options_Exhibits'!I937:I941)),AVERAGE('20250815_ETF_Options_Exhibits'!I937:I941),"")</f>
        <v/>
      </c>
      <c r="J941" s="3">
        <f>IF(ISNUMBER(AVERAGE('20250815_ETF_Options_Exhibits'!J937:J941)),AVERAGE('20250815_ETF_Options_Exhibits'!J937:J941),"")</f>
        <v/>
      </c>
      <c r="K941" s="3">
        <f>IF(ISNUMBER(AVERAGE('20250815_ETF_Options_Exhibits'!K937:K941)),AVERAGE('20250815_ETF_Options_Exhibits'!K937:K941),"")</f>
        <v/>
      </c>
      <c r="L941" s="3">
        <f>IF(ISNUMBER(AVERAGE('20250815_ETF_Options_Exhibits'!L937:L941)),AVERAGE('20250815_ETF_Options_Exhibits'!L937:L941),"")</f>
        <v/>
      </c>
      <c r="M941" s="3">
        <f>IF(ISNUMBER(AVERAGE('20250815_ETF_Options_Exhibits'!M937:M941)),AVERAGE('20250815_ETF_Options_Exhibits'!M937:M941),"")</f>
        <v/>
      </c>
      <c r="N941" s="3">
        <f>IF(ISNUMBER(AVERAGE('20250815_ETF_Options_Exhibits'!N937:N941)),AVERAGE('20250815_ETF_Options_Exhibits'!N937:N941),"")</f>
        <v/>
      </c>
      <c r="O941" s="3">
        <f>IF(ISNUMBER(AVERAGE('20250815_ETF_Options_Exhibits'!O937:O941)),AVERAGE('20250815_ETF_Options_Exhibits'!O937:O941),"")</f>
        <v/>
      </c>
      <c r="P941" s="3">
        <f>IF(ISNUMBER(AVERAGE('20250815_ETF_Options_Exhibits'!P937:P941)),AVERAGE('20250815_ETF_Options_Exhibits'!P937:P941),"")</f>
        <v/>
      </c>
      <c r="Q941" s="3">
        <f>IF(ISNUMBER(AVERAGE('20250815_ETF_Options_Exhibits'!Q937:Q941)),AVERAGE('20250815_ETF_Options_Exhibits'!Q937:Q941),"")</f>
        <v/>
      </c>
      <c r="R941" s="3">
        <f>IF(ISNUMBER(AVERAGE('20250815_ETF_Options_Exhibits'!R937:R941)),AVERAGE('20250815_ETF_Options_Exhibits'!R937:R941),"")</f>
        <v/>
      </c>
      <c r="S941" s="3">
        <f>IF(ISNUMBER(AVERAGE('20250815_ETF_Options_Exhibits'!S937:S941)),AVERAGE('20250815_ETF_Options_Exhibits'!S937:S941),"")</f>
        <v/>
      </c>
      <c r="T941" s="3">
        <f>IF(ISNUMBER(AVERAGE('20250815_ETF_Options_Exhibits'!T937:T941)),AVERAGE('20250815_ETF_Options_Exhibits'!T937:T941),"")</f>
        <v/>
      </c>
      <c r="U941" s="3">
        <f>IF(ISNUMBER(AVERAGE('20250815_ETF_Options_Exhibits'!U937:U941)),AVERAGE('20250815_ETF_Options_Exhibits'!U937:U941),"")</f>
        <v/>
      </c>
      <c r="V941" s="3">
        <f>IF(ISNUMBER(AVERAGE('20250815_ETF_Options_Exhibits'!V937:V941)),AVERAGE('20250815_ETF_Options_Exhibits'!V937:V941),"")</f>
        <v/>
      </c>
      <c r="W941" s="3">
        <f>IF(ISNUMBER(AVERAGE('20250815_ETF_Options_Exhibits'!W937:W941)),AVERAGE('20250815_ETF_Options_Exhibits'!W937:W941),"")</f>
        <v/>
      </c>
      <c r="X941" s="3">
        <f>IF(ISNUMBER(AVERAGE('20250815_ETF_Options_Exhibits'!X937:X941)),AVERAGE('20250815_ETF_Options_Exhibits'!X937:X941),"")</f>
        <v/>
      </c>
      <c r="Y941" s="3">
        <f>IF(ISNUMBER(AVERAGE('20250815_ETF_Options_Exhibits'!Y937:Y941)),AVERAGE('20250815_ETF_Options_Exhibits'!Y937:Y941),"")</f>
        <v/>
      </c>
      <c r="Z941" s="3">
        <f>IF(ISNUMBER(AVERAGE('20250815_ETF_Options_Exhibits'!Z937:Z941)),AVERAGE('20250815_ETF_Options_Exhibits'!Z937:Z941),"")</f>
        <v/>
      </c>
      <c r="AA941" s="3">
        <f>IF(ISNUMBER(AVERAGE('20250815_ETF_Options_Exhibits'!AA937:AA941)),AVERAGE('20250815_ETF_Options_Exhibits'!AA937:AA941),"")</f>
        <v/>
      </c>
    </row>
    <row r="942">
      <c r="A942" s="1" t="n">
        <v>43369</v>
      </c>
      <c r="B942" s="3">
        <f>IF(ISNUMBER(AVERAGE('20250815_ETF_Options_Exhibits'!B938:B942)),AVERAGE('20250815_ETF_Options_Exhibits'!B938:B942),"")</f>
        <v/>
      </c>
      <c r="C942" s="3">
        <f>IF(ISNUMBER(AVERAGE('20250815_ETF_Options_Exhibits'!C938:C942)),AVERAGE('20250815_ETF_Options_Exhibits'!C938:C942),"")</f>
        <v/>
      </c>
      <c r="D942" s="3">
        <f>IF(ISNUMBER(AVERAGE('20250815_ETF_Options_Exhibits'!D938:D942)),AVERAGE('20250815_ETF_Options_Exhibits'!D938:D942),"")</f>
        <v/>
      </c>
      <c r="E942" s="3">
        <f>IF(ISNUMBER(AVERAGE('20250815_ETF_Options_Exhibits'!E938:E942)),AVERAGE('20250815_ETF_Options_Exhibits'!E938:E942),"")</f>
        <v/>
      </c>
      <c r="F942" s="3">
        <f>IF(ISNUMBER(AVERAGE('20250815_ETF_Options_Exhibits'!F938:F942)),AVERAGE('20250815_ETF_Options_Exhibits'!F938:F942),"")</f>
        <v/>
      </c>
      <c r="G942" s="3">
        <f>IF(ISNUMBER(AVERAGE('20250815_ETF_Options_Exhibits'!G938:G942)),AVERAGE('20250815_ETF_Options_Exhibits'!G938:G942),"")</f>
        <v/>
      </c>
      <c r="H942" s="3">
        <f>IF(ISNUMBER(AVERAGE('20250815_ETF_Options_Exhibits'!H938:H942)),AVERAGE('20250815_ETF_Options_Exhibits'!H938:H942),"")</f>
        <v/>
      </c>
      <c r="I942" s="3">
        <f>IF(ISNUMBER(AVERAGE('20250815_ETF_Options_Exhibits'!I938:I942)),AVERAGE('20250815_ETF_Options_Exhibits'!I938:I942),"")</f>
        <v/>
      </c>
      <c r="J942" s="3">
        <f>IF(ISNUMBER(AVERAGE('20250815_ETF_Options_Exhibits'!J938:J942)),AVERAGE('20250815_ETF_Options_Exhibits'!J938:J942),"")</f>
        <v/>
      </c>
      <c r="K942" s="3">
        <f>IF(ISNUMBER(AVERAGE('20250815_ETF_Options_Exhibits'!K938:K942)),AVERAGE('20250815_ETF_Options_Exhibits'!K938:K942),"")</f>
        <v/>
      </c>
      <c r="L942" s="3">
        <f>IF(ISNUMBER(AVERAGE('20250815_ETF_Options_Exhibits'!L938:L942)),AVERAGE('20250815_ETF_Options_Exhibits'!L938:L942),"")</f>
        <v/>
      </c>
      <c r="M942" s="3">
        <f>IF(ISNUMBER(AVERAGE('20250815_ETF_Options_Exhibits'!M938:M942)),AVERAGE('20250815_ETF_Options_Exhibits'!M938:M942),"")</f>
        <v/>
      </c>
      <c r="N942" s="3">
        <f>IF(ISNUMBER(AVERAGE('20250815_ETF_Options_Exhibits'!N938:N942)),AVERAGE('20250815_ETF_Options_Exhibits'!N938:N942),"")</f>
        <v/>
      </c>
      <c r="O942" s="3">
        <f>IF(ISNUMBER(AVERAGE('20250815_ETF_Options_Exhibits'!O938:O942)),AVERAGE('20250815_ETF_Options_Exhibits'!O938:O942),"")</f>
        <v/>
      </c>
      <c r="P942" s="3">
        <f>IF(ISNUMBER(AVERAGE('20250815_ETF_Options_Exhibits'!P938:P942)),AVERAGE('20250815_ETF_Options_Exhibits'!P938:P942),"")</f>
        <v/>
      </c>
      <c r="Q942" s="3">
        <f>IF(ISNUMBER(AVERAGE('20250815_ETF_Options_Exhibits'!Q938:Q942)),AVERAGE('20250815_ETF_Options_Exhibits'!Q938:Q942),"")</f>
        <v/>
      </c>
      <c r="R942" s="3">
        <f>IF(ISNUMBER(AVERAGE('20250815_ETF_Options_Exhibits'!R938:R942)),AVERAGE('20250815_ETF_Options_Exhibits'!R938:R942),"")</f>
        <v/>
      </c>
      <c r="S942" s="3">
        <f>IF(ISNUMBER(AVERAGE('20250815_ETF_Options_Exhibits'!S938:S942)),AVERAGE('20250815_ETF_Options_Exhibits'!S938:S942),"")</f>
        <v/>
      </c>
      <c r="T942" s="3">
        <f>IF(ISNUMBER(AVERAGE('20250815_ETF_Options_Exhibits'!T938:T942)),AVERAGE('20250815_ETF_Options_Exhibits'!T938:T942),"")</f>
        <v/>
      </c>
      <c r="U942" s="3">
        <f>IF(ISNUMBER(AVERAGE('20250815_ETF_Options_Exhibits'!U938:U942)),AVERAGE('20250815_ETF_Options_Exhibits'!U938:U942),"")</f>
        <v/>
      </c>
      <c r="V942" s="3">
        <f>IF(ISNUMBER(AVERAGE('20250815_ETF_Options_Exhibits'!V938:V942)),AVERAGE('20250815_ETF_Options_Exhibits'!V938:V942),"")</f>
        <v/>
      </c>
      <c r="W942" s="3">
        <f>IF(ISNUMBER(AVERAGE('20250815_ETF_Options_Exhibits'!W938:W942)),AVERAGE('20250815_ETF_Options_Exhibits'!W938:W942),"")</f>
        <v/>
      </c>
      <c r="X942" s="3">
        <f>IF(ISNUMBER(AVERAGE('20250815_ETF_Options_Exhibits'!X938:X942)),AVERAGE('20250815_ETF_Options_Exhibits'!X938:X942),"")</f>
        <v/>
      </c>
      <c r="Y942" s="3">
        <f>IF(ISNUMBER(AVERAGE('20250815_ETF_Options_Exhibits'!Y938:Y942)),AVERAGE('20250815_ETF_Options_Exhibits'!Y938:Y942),"")</f>
        <v/>
      </c>
      <c r="Z942" s="3">
        <f>IF(ISNUMBER(AVERAGE('20250815_ETF_Options_Exhibits'!Z938:Z942)),AVERAGE('20250815_ETF_Options_Exhibits'!Z938:Z942),"")</f>
        <v/>
      </c>
      <c r="AA942" s="3">
        <f>IF(ISNUMBER(AVERAGE('20250815_ETF_Options_Exhibits'!AA938:AA942)),AVERAGE('20250815_ETF_Options_Exhibits'!AA938:AA942),"")</f>
        <v/>
      </c>
    </row>
    <row r="943">
      <c r="A943" s="1" t="n">
        <v>43370</v>
      </c>
      <c r="B943" s="3">
        <f>IF(ISNUMBER(AVERAGE('20250815_ETF_Options_Exhibits'!B939:B943)),AVERAGE('20250815_ETF_Options_Exhibits'!B939:B943),"")</f>
        <v/>
      </c>
      <c r="C943" s="3">
        <f>IF(ISNUMBER(AVERAGE('20250815_ETF_Options_Exhibits'!C939:C943)),AVERAGE('20250815_ETF_Options_Exhibits'!C939:C943),"")</f>
        <v/>
      </c>
      <c r="D943" s="3">
        <f>IF(ISNUMBER(AVERAGE('20250815_ETF_Options_Exhibits'!D939:D943)),AVERAGE('20250815_ETF_Options_Exhibits'!D939:D943),"")</f>
        <v/>
      </c>
      <c r="E943" s="3">
        <f>IF(ISNUMBER(AVERAGE('20250815_ETF_Options_Exhibits'!E939:E943)),AVERAGE('20250815_ETF_Options_Exhibits'!E939:E943),"")</f>
        <v/>
      </c>
      <c r="F943" s="3">
        <f>IF(ISNUMBER(AVERAGE('20250815_ETF_Options_Exhibits'!F939:F943)),AVERAGE('20250815_ETF_Options_Exhibits'!F939:F943),"")</f>
        <v/>
      </c>
      <c r="G943" s="3">
        <f>IF(ISNUMBER(AVERAGE('20250815_ETF_Options_Exhibits'!G939:G943)),AVERAGE('20250815_ETF_Options_Exhibits'!G939:G943),"")</f>
        <v/>
      </c>
      <c r="H943" s="3">
        <f>IF(ISNUMBER(AVERAGE('20250815_ETF_Options_Exhibits'!H939:H943)),AVERAGE('20250815_ETF_Options_Exhibits'!H939:H943),"")</f>
        <v/>
      </c>
      <c r="I943" s="3">
        <f>IF(ISNUMBER(AVERAGE('20250815_ETF_Options_Exhibits'!I939:I943)),AVERAGE('20250815_ETF_Options_Exhibits'!I939:I943),"")</f>
        <v/>
      </c>
      <c r="J943" s="3">
        <f>IF(ISNUMBER(AVERAGE('20250815_ETF_Options_Exhibits'!J939:J943)),AVERAGE('20250815_ETF_Options_Exhibits'!J939:J943),"")</f>
        <v/>
      </c>
      <c r="K943" s="3">
        <f>IF(ISNUMBER(AVERAGE('20250815_ETF_Options_Exhibits'!K939:K943)),AVERAGE('20250815_ETF_Options_Exhibits'!K939:K943),"")</f>
        <v/>
      </c>
      <c r="L943" s="3">
        <f>IF(ISNUMBER(AVERAGE('20250815_ETF_Options_Exhibits'!L939:L943)),AVERAGE('20250815_ETF_Options_Exhibits'!L939:L943),"")</f>
        <v/>
      </c>
      <c r="M943" s="3">
        <f>IF(ISNUMBER(AVERAGE('20250815_ETF_Options_Exhibits'!M939:M943)),AVERAGE('20250815_ETF_Options_Exhibits'!M939:M943),"")</f>
        <v/>
      </c>
      <c r="N943" s="3">
        <f>IF(ISNUMBER(AVERAGE('20250815_ETF_Options_Exhibits'!N939:N943)),AVERAGE('20250815_ETF_Options_Exhibits'!N939:N943),"")</f>
        <v/>
      </c>
      <c r="O943" s="3">
        <f>IF(ISNUMBER(AVERAGE('20250815_ETF_Options_Exhibits'!O939:O943)),AVERAGE('20250815_ETF_Options_Exhibits'!O939:O943),"")</f>
        <v/>
      </c>
      <c r="P943" s="3">
        <f>IF(ISNUMBER(AVERAGE('20250815_ETF_Options_Exhibits'!P939:P943)),AVERAGE('20250815_ETF_Options_Exhibits'!P939:P943),"")</f>
        <v/>
      </c>
      <c r="Q943" s="3">
        <f>IF(ISNUMBER(AVERAGE('20250815_ETF_Options_Exhibits'!Q939:Q943)),AVERAGE('20250815_ETF_Options_Exhibits'!Q939:Q943),"")</f>
        <v/>
      </c>
      <c r="R943" s="3">
        <f>IF(ISNUMBER(AVERAGE('20250815_ETF_Options_Exhibits'!R939:R943)),AVERAGE('20250815_ETF_Options_Exhibits'!R939:R943),"")</f>
        <v/>
      </c>
      <c r="S943" s="3">
        <f>IF(ISNUMBER(AVERAGE('20250815_ETF_Options_Exhibits'!S939:S943)),AVERAGE('20250815_ETF_Options_Exhibits'!S939:S943),"")</f>
        <v/>
      </c>
      <c r="T943" s="3">
        <f>IF(ISNUMBER(AVERAGE('20250815_ETF_Options_Exhibits'!T939:T943)),AVERAGE('20250815_ETF_Options_Exhibits'!T939:T943),"")</f>
        <v/>
      </c>
      <c r="U943" s="3">
        <f>IF(ISNUMBER(AVERAGE('20250815_ETF_Options_Exhibits'!U939:U943)),AVERAGE('20250815_ETF_Options_Exhibits'!U939:U943),"")</f>
        <v/>
      </c>
      <c r="V943" s="3">
        <f>IF(ISNUMBER(AVERAGE('20250815_ETF_Options_Exhibits'!V939:V943)),AVERAGE('20250815_ETF_Options_Exhibits'!V939:V943),"")</f>
        <v/>
      </c>
      <c r="W943" s="3">
        <f>IF(ISNUMBER(AVERAGE('20250815_ETF_Options_Exhibits'!W939:W943)),AVERAGE('20250815_ETF_Options_Exhibits'!W939:W943),"")</f>
        <v/>
      </c>
      <c r="X943" s="3">
        <f>IF(ISNUMBER(AVERAGE('20250815_ETF_Options_Exhibits'!X939:X943)),AVERAGE('20250815_ETF_Options_Exhibits'!X939:X943),"")</f>
        <v/>
      </c>
      <c r="Y943" s="3">
        <f>IF(ISNUMBER(AVERAGE('20250815_ETF_Options_Exhibits'!Y939:Y943)),AVERAGE('20250815_ETF_Options_Exhibits'!Y939:Y943),"")</f>
        <v/>
      </c>
      <c r="Z943" s="3">
        <f>IF(ISNUMBER(AVERAGE('20250815_ETF_Options_Exhibits'!Z939:Z943)),AVERAGE('20250815_ETF_Options_Exhibits'!Z939:Z943),"")</f>
        <v/>
      </c>
      <c r="AA943" s="3">
        <f>IF(ISNUMBER(AVERAGE('20250815_ETF_Options_Exhibits'!AA939:AA943)),AVERAGE('20250815_ETF_Options_Exhibits'!AA939:AA943),"")</f>
        <v/>
      </c>
    </row>
    <row r="944">
      <c r="A944" s="1" t="n">
        <v>43371</v>
      </c>
      <c r="B944" s="3">
        <f>IF(ISNUMBER(AVERAGE('20250815_ETF_Options_Exhibits'!B940:B944)),AVERAGE('20250815_ETF_Options_Exhibits'!B940:B944),"")</f>
        <v/>
      </c>
      <c r="C944" s="3">
        <f>IF(ISNUMBER(AVERAGE('20250815_ETF_Options_Exhibits'!C940:C944)),AVERAGE('20250815_ETF_Options_Exhibits'!C940:C944),"")</f>
        <v/>
      </c>
      <c r="D944" s="3">
        <f>IF(ISNUMBER(AVERAGE('20250815_ETF_Options_Exhibits'!D940:D944)),AVERAGE('20250815_ETF_Options_Exhibits'!D940:D944),"")</f>
        <v/>
      </c>
      <c r="E944" s="3">
        <f>IF(ISNUMBER(AVERAGE('20250815_ETF_Options_Exhibits'!E940:E944)),AVERAGE('20250815_ETF_Options_Exhibits'!E940:E944),"")</f>
        <v/>
      </c>
      <c r="F944" s="3">
        <f>IF(ISNUMBER(AVERAGE('20250815_ETF_Options_Exhibits'!F940:F944)),AVERAGE('20250815_ETF_Options_Exhibits'!F940:F944),"")</f>
        <v/>
      </c>
      <c r="G944" s="3">
        <f>IF(ISNUMBER(AVERAGE('20250815_ETF_Options_Exhibits'!G940:G944)),AVERAGE('20250815_ETF_Options_Exhibits'!G940:G944),"")</f>
        <v/>
      </c>
      <c r="H944" s="3">
        <f>IF(ISNUMBER(AVERAGE('20250815_ETF_Options_Exhibits'!H940:H944)),AVERAGE('20250815_ETF_Options_Exhibits'!H940:H944),"")</f>
        <v/>
      </c>
      <c r="I944" s="3">
        <f>IF(ISNUMBER(AVERAGE('20250815_ETF_Options_Exhibits'!I940:I944)),AVERAGE('20250815_ETF_Options_Exhibits'!I940:I944),"")</f>
        <v/>
      </c>
      <c r="J944" s="3">
        <f>IF(ISNUMBER(AVERAGE('20250815_ETF_Options_Exhibits'!J940:J944)),AVERAGE('20250815_ETF_Options_Exhibits'!J940:J944),"")</f>
        <v/>
      </c>
      <c r="K944" s="3">
        <f>IF(ISNUMBER(AVERAGE('20250815_ETF_Options_Exhibits'!K940:K944)),AVERAGE('20250815_ETF_Options_Exhibits'!K940:K944),"")</f>
        <v/>
      </c>
      <c r="L944" s="3">
        <f>IF(ISNUMBER(AVERAGE('20250815_ETF_Options_Exhibits'!L940:L944)),AVERAGE('20250815_ETF_Options_Exhibits'!L940:L944),"")</f>
        <v/>
      </c>
      <c r="M944" s="3">
        <f>IF(ISNUMBER(AVERAGE('20250815_ETF_Options_Exhibits'!M940:M944)),AVERAGE('20250815_ETF_Options_Exhibits'!M940:M944),"")</f>
        <v/>
      </c>
      <c r="N944" s="3">
        <f>IF(ISNUMBER(AVERAGE('20250815_ETF_Options_Exhibits'!N940:N944)),AVERAGE('20250815_ETF_Options_Exhibits'!N940:N944),"")</f>
        <v/>
      </c>
      <c r="O944" s="3">
        <f>IF(ISNUMBER(AVERAGE('20250815_ETF_Options_Exhibits'!O940:O944)),AVERAGE('20250815_ETF_Options_Exhibits'!O940:O944),"")</f>
        <v/>
      </c>
      <c r="P944" s="3">
        <f>IF(ISNUMBER(AVERAGE('20250815_ETF_Options_Exhibits'!P940:P944)),AVERAGE('20250815_ETF_Options_Exhibits'!P940:P944),"")</f>
        <v/>
      </c>
      <c r="Q944" s="3">
        <f>IF(ISNUMBER(AVERAGE('20250815_ETF_Options_Exhibits'!Q940:Q944)),AVERAGE('20250815_ETF_Options_Exhibits'!Q940:Q944),"")</f>
        <v/>
      </c>
      <c r="R944" s="3">
        <f>IF(ISNUMBER(AVERAGE('20250815_ETF_Options_Exhibits'!R940:R944)),AVERAGE('20250815_ETF_Options_Exhibits'!R940:R944),"")</f>
        <v/>
      </c>
      <c r="S944" s="3">
        <f>IF(ISNUMBER(AVERAGE('20250815_ETF_Options_Exhibits'!S940:S944)),AVERAGE('20250815_ETF_Options_Exhibits'!S940:S944),"")</f>
        <v/>
      </c>
      <c r="T944" s="3">
        <f>IF(ISNUMBER(AVERAGE('20250815_ETF_Options_Exhibits'!T940:T944)),AVERAGE('20250815_ETF_Options_Exhibits'!T940:T944),"")</f>
        <v/>
      </c>
      <c r="U944" s="3">
        <f>IF(ISNUMBER(AVERAGE('20250815_ETF_Options_Exhibits'!U940:U944)),AVERAGE('20250815_ETF_Options_Exhibits'!U940:U944),"")</f>
        <v/>
      </c>
      <c r="V944" s="3">
        <f>IF(ISNUMBER(AVERAGE('20250815_ETF_Options_Exhibits'!V940:V944)),AVERAGE('20250815_ETF_Options_Exhibits'!V940:V944),"")</f>
        <v/>
      </c>
      <c r="W944" s="3">
        <f>IF(ISNUMBER(AVERAGE('20250815_ETF_Options_Exhibits'!W940:W944)),AVERAGE('20250815_ETF_Options_Exhibits'!W940:W944),"")</f>
        <v/>
      </c>
      <c r="X944" s="3">
        <f>IF(ISNUMBER(AVERAGE('20250815_ETF_Options_Exhibits'!X940:X944)),AVERAGE('20250815_ETF_Options_Exhibits'!X940:X944),"")</f>
        <v/>
      </c>
      <c r="Y944" s="3">
        <f>IF(ISNUMBER(AVERAGE('20250815_ETF_Options_Exhibits'!Y940:Y944)),AVERAGE('20250815_ETF_Options_Exhibits'!Y940:Y944),"")</f>
        <v/>
      </c>
      <c r="Z944" s="3">
        <f>IF(ISNUMBER(AVERAGE('20250815_ETF_Options_Exhibits'!Z940:Z944)),AVERAGE('20250815_ETF_Options_Exhibits'!Z940:Z944),"")</f>
        <v/>
      </c>
      <c r="AA944" s="3">
        <f>IF(ISNUMBER(AVERAGE('20250815_ETF_Options_Exhibits'!AA940:AA944)),AVERAGE('20250815_ETF_Options_Exhibits'!AA940:AA944),"")</f>
        <v/>
      </c>
    </row>
    <row r="945">
      <c r="A945" s="1" t="n">
        <v>43374</v>
      </c>
      <c r="B945" s="3">
        <f>IF(ISNUMBER(AVERAGE('20250815_ETF_Options_Exhibits'!B941:B945)),AVERAGE('20250815_ETF_Options_Exhibits'!B941:B945),"")</f>
        <v/>
      </c>
      <c r="C945" s="3">
        <f>IF(ISNUMBER(AVERAGE('20250815_ETF_Options_Exhibits'!C941:C945)),AVERAGE('20250815_ETF_Options_Exhibits'!C941:C945),"")</f>
        <v/>
      </c>
      <c r="D945" s="3">
        <f>IF(ISNUMBER(AVERAGE('20250815_ETF_Options_Exhibits'!D941:D945)),AVERAGE('20250815_ETF_Options_Exhibits'!D941:D945),"")</f>
        <v/>
      </c>
      <c r="E945" s="3">
        <f>IF(ISNUMBER(AVERAGE('20250815_ETF_Options_Exhibits'!E941:E945)),AVERAGE('20250815_ETF_Options_Exhibits'!E941:E945),"")</f>
        <v/>
      </c>
      <c r="F945" s="3">
        <f>IF(ISNUMBER(AVERAGE('20250815_ETF_Options_Exhibits'!F941:F945)),AVERAGE('20250815_ETF_Options_Exhibits'!F941:F945),"")</f>
        <v/>
      </c>
      <c r="G945" s="3">
        <f>IF(ISNUMBER(AVERAGE('20250815_ETF_Options_Exhibits'!G941:G945)),AVERAGE('20250815_ETF_Options_Exhibits'!G941:G945),"")</f>
        <v/>
      </c>
      <c r="H945" s="3">
        <f>IF(ISNUMBER(AVERAGE('20250815_ETF_Options_Exhibits'!H941:H945)),AVERAGE('20250815_ETF_Options_Exhibits'!H941:H945),"")</f>
        <v/>
      </c>
      <c r="I945" s="3">
        <f>IF(ISNUMBER(AVERAGE('20250815_ETF_Options_Exhibits'!I941:I945)),AVERAGE('20250815_ETF_Options_Exhibits'!I941:I945),"")</f>
        <v/>
      </c>
      <c r="J945" s="3">
        <f>IF(ISNUMBER(AVERAGE('20250815_ETF_Options_Exhibits'!J941:J945)),AVERAGE('20250815_ETF_Options_Exhibits'!J941:J945),"")</f>
        <v/>
      </c>
      <c r="K945" s="3">
        <f>IF(ISNUMBER(AVERAGE('20250815_ETF_Options_Exhibits'!K941:K945)),AVERAGE('20250815_ETF_Options_Exhibits'!K941:K945),"")</f>
        <v/>
      </c>
      <c r="L945" s="3">
        <f>IF(ISNUMBER(AVERAGE('20250815_ETF_Options_Exhibits'!L941:L945)),AVERAGE('20250815_ETF_Options_Exhibits'!L941:L945),"")</f>
        <v/>
      </c>
      <c r="M945" s="3">
        <f>IF(ISNUMBER(AVERAGE('20250815_ETF_Options_Exhibits'!M941:M945)),AVERAGE('20250815_ETF_Options_Exhibits'!M941:M945),"")</f>
        <v/>
      </c>
      <c r="N945" s="3">
        <f>IF(ISNUMBER(AVERAGE('20250815_ETF_Options_Exhibits'!N941:N945)),AVERAGE('20250815_ETF_Options_Exhibits'!N941:N945),"")</f>
        <v/>
      </c>
      <c r="O945" s="3">
        <f>IF(ISNUMBER(AVERAGE('20250815_ETF_Options_Exhibits'!O941:O945)),AVERAGE('20250815_ETF_Options_Exhibits'!O941:O945),"")</f>
        <v/>
      </c>
      <c r="P945" s="3">
        <f>IF(ISNUMBER(AVERAGE('20250815_ETF_Options_Exhibits'!P941:P945)),AVERAGE('20250815_ETF_Options_Exhibits'!P941:P945),"")</f>
        <v/>
      </c>
      <c r="Q945" s="3">
        <f>IF(ISNUMBER(AVERAGE('20250815_ETF_Options_Exhibits'!Q941:Q945)),AVERAGE('20250815_ETF_Options_Exhibits'!Q941:Q945),"")</f>
        <v/>
      </c>
      <c r="R945" s="3">
        <f>IF(ISNUMBER(AVERAGE('20250815_ETF_Options_Exhibits'!R941:R945)),AVERAGE('20250815_ETF_Options_Exhibits'!R941:R945),"")</f>
        <v/>
      </c>
      <c r="S945" s="3">
        <f>IF(ISNUMBER(AVERAGE('20250815_ETF_Options_Exhibits'!S941:S945)),AVERAGE('20250815_ETF_Options_Exhibits'!S941:S945),"")</f>
        <v/>
      </c>
      <c r="T945" s="3">
        <f>IF(ISNUMBER(AVERAGE('20250815_ETF_Options_Exhibits'!T941:T945)),AVERAGE('20250815_ETF_Options_Exhibits'!T941:T945),"")</f>
        <v/>
      </c>
      <c r="U945" s="3">
        <f>IF(ISNUMBER(AVERAGE('20250815_ETF_Options_Exhibits'!U941:U945)),AVERAGE('20250815_ETF_Options_Exhibits'!U941:U945),"")</f>
        <v/>
      </c>
      <c r="V945" s="3">
        <f>IF(ISNUMBER(AVERAGE('20250815_ETF_Options_Exhibits'!V941:V945)),AVERAGE('20250815_ETF_Options_Exhibits'!V941:V945),"")</f>
        <v/>
      </c>
      <c r="W945" s="3">
        <f>IF(ISNUMBER(AVERAGE('20250815_ETF_Options_Exhibits'!W941:W945)),AVERAGE('20250815_ETF_Options_Exhibits'!W941:W945),"")</f>
        <v/>
      </c>
      <c r="X945" s="3">
        <f>IF(ISNUMBER(AVERAGE('20250815_ETF_Options_Exhibits'!X941:X945)),AVERAGE('20250815_ETF_Options_Exhibits'!X941:X945),"")</f>
        <v/>
      </c>
      <c r="Y945" s="3">
        <f>IF(ISNUMBER(AVERAGE('20250815_ETF_Options_Exhibits'!Y941:Y945)),AVERAGE('20250815_ETF_Options_Exhibits'!Y941:Y945),"")</f>
        <v/>
      </c>
      <c r="Z945" s="3">
        <f>IF(ISNUMBER(AVERAGE('20250815_ETF_Options_Exhibits'!Z941:Z945)),AVERAGE('20250815_ETF_Options_Exhibits'!Z941:Z945),"")</f>
        <v/>
      </c>
      <c r="AA945" s="3">
        <f>IF(ISNUMBER(AVERAGE('20250815_ETF_Options_Exhibits'!AA941:AA945)),AVERAGE('20250815_ETF_Options_Exhibits'!AA941:AA945),"")</f>
        <v/>
      </c>
    </row>
    <row r="946">
      <c r="A946" s="1" t="n">
        <v>43375</v>
      </c>
      <c r="B946" s="3">
        <f>IF(ISNUMBER(AVERAGE('20250815_ETF_Options_Exhibits'!B942:B946)),AVERAGE('20250815_ETF_Options_Exhibits'!B942:B946),"")</f>
        <v/>
      </c>
      <c r="C946" s="3">
        <f>IF(ISNUMBER(AVERAGE('20250815_ETF_Options_Exhibits'!C942:C946)),AVERAGE('20250815_ETF_Options_Exhibits'!C942:C946),"")</f>
        <v/>
      </c>
      <c r="D946" s="3">
        <f>IF(ISNUMBER(AVERAGE('20250815_ETF_Options_Exhibits'!D942:D946)),AVERAGE('20250815_ETF_Options_Exhibits'!D942:D946),"")</f>
        <v/>
      </c>
      <c r="E946" s="3">
        <f>IF(ISNUMBER(AVERAGE('20250815_ETF_Options_Exhibits'!E942:E946)),AVERAGE('20250815_ETF_Options_Exhibits'!E942:E946),"")</f>
        <v/>
      </c>
      <c r="F946" s="3">
        <f>IF(ISNUMBER(AVERAGE('20250815_ETF_Options_Exhibits'!F942:F946)),AVERAGE('20250815_ETF_Options_Exhibits'!F942:F946),"")</f>
        <v/>
      </c>
      <c r="G946" s="3">
        <f>IF(ISNUMBER(AVERAGE('20250815_ETF_Options_Exhibits'!G942:G946)),AVERAGE('20250815_ETF_Options_Exhibits'!G942:G946),"")</f>
        <v/>
      </c>
      <c r="H946" s="3">
        <f>IF(ISNUMBER(AVERAGE('20250815_ETF_Options_Exhibits'!H942:H946)),AVERAGE('20250815_ETF_Options_Exhibits'!H942:H946),"")</f>
        <v/>
      </c>
      <c r="I946" s="3">
        <f>IF(ISNUMBER(AVERAGE('20250815_ETF_Options_Exhibits'!I942:I946)),AVERAGE('20250815_ETF_Options_Exhibits'!I942:I946),"")</f>
        <v/>
      </c>
      <c r="J946" s="3">
        <f>IF(ISNUMBER(AVERAGE('20250815_ETF_Options_Exhibits'!J942:J946)),AVERAGE('20250815_ETF_Options_Exhibits'!J942:J946),"")</f>
        <v/>
      </c>
      <c r="K946" s="3">
        <f>IF(ISNUMBER(AVERAGE('20250815_ETF_Options_Exhibits'!K942:K946)),AVERAGE('20250815_ETF_Options_Exhibits'!K942:K946),"")</f>
        <v/>
      </c>
      <c r="L946" s="3">
        <f>IF(ISNUMBER(AVERAGE('20250815_ETF_Options_Exhibits'!L942:L946)),AVERAGE('20250815_ETF_Options_Exhibits'!L942:L946),"")</f>
        <v/>
      </c>
      <c r="M946" s="3">
        <f>IF(ISNUMBER(AVERAGE('20250815_ETF_Options_Exhibits'!M942:M946)),AVERAGE('20250815_ETF_Options_Exhibits'!M942:M946),"")</f>
        <v/>
      </c>
      <c r="N946" s="3">
        <f>IF(ISNUMBER(AVERAGE('20250815_ETF_Options_Exhibits'!N942:N946)),AVERAGE('20250815_ETF_Options_Exhibits'!N942:N946),"")</f>
        <v/>
      </c>
      <c r="O946" s="3">
        <f>IF(ISNUMBER(AVERAGE('20250815_ETF_Options_Exhibits'!O942:O946)),AVERAGE('20250815_ETF_Options_Exhibits'!O942:O946),"")</f>
        <v/>
      </c>
      <c r="P946" s="3">
        <f>IF(ISNUMBER(AVERAGE('20250815_ETF_Options_Exhibits'!P942:P946)),AVERAGE('20250815_ETF_Options_Exhibits'!P942:P946),"")</f>
        <v/>
      </c>
      <c r="Q946" s="3">
        <f>IF(ISNUMBER(AVERAGE('20250815_ETF_Options_Exhibits'!Q942:Q946)),AVERAGE('20250815_ETF_Options_Exhibits'!Q942:Q946),"")</f>
        <v/>
      </c>
      <c r="R946" s="3">
        <f>IF(ISNUMBER(AVERAGE('20250815_ETF_Options_Exhibits'!R942:R946)),AVERAGE('20250815_ETF_Options_Exhibits'!R942:R946),"")</f>
        <v/>
      </c>
      <c r="S946" s="3">
        <f>IF(ISNUMBER(AVERAGE('20250815_ETF_Options_Exhibits'!S942:S946)),AVERAGE('20250815_ETF_Options_Exhibits'!S942:S946),"")</f>
        <v/>
      </c>
      <c r="T946" s="3">
        <f>IF(ISNUMBER(AVERAGE('20250815_ETF_Options_Exhibits'!T942:T946)),AVERAGE('20250815_ETF_Options_Exhibits'!T942:T946),"")</f>
        <v/>
      </c>
      <c r="U946" s="3">
        <f>IF(ISNUMBER(AVERAGE('20250815_ETF_Options_Exhibits'!U942:U946)),AVERAGE('20250815_ETF_Options_Exhibits'!U942:U946),"")</f>
        <v/>
      </c>
      <c r="V946" s="3">
        <f>IF(ISNUMBER(AVERAGE('20250815_ETF_Options_Exhibits'!V942:V946)),AVERAGE('20250815_ETF_Options_Exhibits'!V942:V946),"")</f>
        <v/>
      </c>
      <c r="W946" s="3">
        <f>IF(ISNUMBER(AVERAGE('20250815_ETF_Options_Exhibits'!W942:W946)),AVERAGE('20250815_ETF_Options_Exhibits'!W942:W946),"")</f>
        <v/>
      </c>
      <c r="X946" s="3">
        <f>IF(ISNUMBER(AVERAGE('20250815_ETF_Options_Exhibits'!X942:X946)),AVERAGE('20250815_ETF_Options_Exhibits'!X942:X946),"")</f>
        <v/>
      </c>
      <c r="Y946" s="3">
        <f>IF(ISNUMBER(AVERAGE('20250815_ETF_Options_Exhibits'!Y942:Y946)),AVERAGE('20250815_ETF_Options_Exhibits'!Y942:Y946),"")</f>
        <v/>
      </c>
      <c r="Z946" s="3">
        <f>IF(ISNUMBER(AVERAGE('20250815_ETF_Options_Exhibits'!Z942:Z946)),AVERAGE('20250815_ETF_Options_Exhibits'!Z942:Z946),"")</f>
        <v/>
      </c>
      <c r="AA946" s="3">
        <f>IF(ISNUMBER(AVERAGE('20250815_ETF_Options_Exhibits'!AA942:AA946)),AVERAGE('20250815_ETF_Options_Exhibits'!AA942:AA946),"")</f>
        <v/>
      </c>
    </row>
    <row r="947">
      <c r="A947" s="1" t="n">
        <v>43376</v>
      </c>
      <c r="B947" s="3">
        <f>IF(ISNUMBER(AVERAGE('20250815_ETF_Options_Exhibits'!B943:B947)),AVERAGE('20250815_ETF_Options_Exhibits'!B943:B947),"")</f>
        <v/>
      </c>
      <c r="C947" s="3">
        <f>IF(ISNUMBER(AVERAGE('20250815_ETF_Options_Exhibits'!C943:C947)),AVERAGE('20250815_ETF_Options_Exhibits'!C943:C947),"")</f>
        <v/>
      </c>
      <c r="D947" s="3">
        <f>IF(ISNUMBER(AVERAGE('20250815_ETF_Options_Exhibits'!D943:D947)),AVERAGE('20250815_ETF_Options_Exhibits'!D943:D947),"")</f>
        <v/>
      </c>
      <c r="E947" s="3">
        <f>IF(ISNUMBER(AVERAGE('20250815_ETF_Options_Exhibits'!E943:E947)),AVERAGE('20250815_ETF_Options_Exhibits'!E943:E947),"")</f>
        <v/>
      </c>
      <c r="F947" s="3">
        <f>IF(ISNUMBER(AVERAGE('20250815_ETF_Options_Exhibits'!F943:F947)),AVERAGE('20250815_ETF_Options_Exhibits'!F943:F947),"")</f>
        <v/>
      </c>
      <c r="G947" s="3">
        <f>IF(ISNUMBER(AVERAGE('20250815_ETF_Options_Exhibits'!G943:G947)),AVERAGE('20250815_ETF_Options_Exhibits'!G943:G947),"")</f>
        <v/>
      </c>
      <c r="H947" s="3">
        <f>IF(ISNUMBER(AVERAGE('20250815_ETF_Options_Exhibits'!H943:H947)),AVERAGE('20250815_ETF_Options_Exhibits'!H943:H947),"")</f>
        <v/>
      </c>
      <c r="I947" s="3">
        <f>IF(ISNUMBER(AVERAGE('20250815_ETF_Options_Exhibits'!I943:I947)),AVERAGE('20250815_ETF_Options_Exhibits'!I943:I947),"")</f>
        <v/>
      </c>
      <c r="J947" s="3">
        <f>IF(ISNUMBER(AVERAGE('20250815_ETF_Options_Exhibits'!J943:J947)),AVERAGE('20250815_ETF_Options_Exhibits'!J943:J947),"")</f>
        <v/>
      </c>
      <c r="K947" s="3">
        <f>IF(ISNUMBER(AVERAGE('20250815_ETF_Options_Exhibits'!K943:K947)),AVERAGE('20250815_ETF_Options_Exhibits'!K943:K947),"")</f>
        <v/>
      </c>
      <c r="L947" s="3">
        <f>IF(ISNUMBER(AVERAGE('20250815_ETF_Options_Exhibits'!L943:L947)),AVERAGE('20250815_ETF_Options_Exhibits'!L943:L947),"")</f>
        <v/>
      </c>
      <c r="M947" s="3">
        <f>IF(ISNUMBER(AVERAGE('20250815_ETF_Options_Exhibits'!M943:M947)),AVERAGE('20250815_ETF_Options_Exhibits'!M943:M947),"")</f>
        <v/>
      </c>
      <c r="N947" s="3">
        <f>IF(ISNUMBER(AVERAGE('20250815_ETF_Options_Exhibits'!N943:N947)),AVERAGE('20250815_ETF_Options_Exhibits'!N943:N947),"")</f>
        <v/>
      </c>
      <c r="O947" s="3">
        <f>IF(ISNUMBER(AVERAGE('20250815_ETF_Options_Exhibits'!O943:O947)),AVERAGE('20250815_ETF_Options_Exhibits'!O943:O947),"")</f>
        <v/>
      </c>
      <c r="P947" s="3">
        <f>IF(ISNUMBER(AVERAGE('20250815_ETF_Options_Exhibits'!P943:P947)),AVERAGE('20250815_ETF_Options_Exhibits'!P943:P947),"")</f>
        <v/>
      </c>
      <c r="Q947" s="3">
        <f>IF(ISNUMBER(AVERAGE('20250815_ETF_Options_Exhibits'!Q943:Q947)),AVERAGE('20250815_ETF_Options_Exhibits'!Q943:Q947),"")</f>
        <v/>
      </c>
      <c r="R947" s="3">
        <f>IF(ISNUMBER(AVERAGE('20250815_ETF_Options_Exhibits'!R943:R947)),AVERAGE('20250815_ETF_Options_Exhibits'!R943:R947),"")</f>
        <v/>
      </c>
      <c r="S947" s="3">
        <f>IF(ISNUMBER(AVERAGE('20250815_ETF_Options_Exhibits'!S943:S947)),AVERAGE('20250815_ETF_Options_Exhibits'!S943:S947),"")</f>
        <v/>
      </c>
      <c r="T947" s="3">
        <f>IF(ISNUMBER(AVERAGE('20250815_ETF_Options_Exhibits'!T943:T947)),AVERAGE('20250815_ETF_Options_Exhibits'!T943:T947),"")</f>
        <v/>
      </c>
      <c r="U947" s="3">
        <f>IF(ISNUMBER(AVERAGE('20250815_ETF_Options_Exhibits'!U943:U947)),AVERAGE('20250815_ETF_Options_Exhibits'!U943:U947),"")</f>
        <v/>
      </c>
      <c r="V947" s="3">
        <f>IF(ISNUMBER(AVERAGE('20250815_ETF_Options_Exhibits'!V943:V947)),AVERAGE('20250815_ETF_Options_Exhibits'!V943:V947),"")</f>
        <v/>
      </c>
      <c r="W947" s="3">
        <f>IF(ISNUMBER(AVERAGE('20250815_ETF_Options_Exhibits'!W943:W947)),AVERAGE('20250815_ETF_Options_Exhibits'!W943:W947),"")</f>
        <v/>
      </c>
      <c r="X947" s="3">
        <f>IF(ISNUMBER(AVERAGE('20250815_ETF_Options_Exhibits'!X943:X947)),AVERAGE('20250815_ETF_Options_Exhibits'!X943:X947),"")</f>
        <v/>
      </c>
      <c r="Y947" s="3">
        <f>IF(ISNUMBER(AVERAGE('20250815_ETF_Options_Exhibits'!Y943:Y947)),AVERAGE('20250815_ETF_Options_Exhibits'!Y943:Y947),"")</f>
        <v/>
      </c>
      <c r="Z947" s="3">
        <f>IF(ISNUMBER(AVERAGE('20250815_ETF_Options_Exhibits'!Z943:Z947)),AVERAGE('20250815_ETF_Options_Exhibits'!Z943:Z947),"")</f>
        <v/>
      </c>
      <c r="AA947" s="3">
        <f>IF(ISNUMBER(AVERAGE('20250815_ETF_Options_Exhibits'!AA943:AA947)),AVERAGE('20250815_ETF_Options_Exhibits'!AA943:AA947),"")</f>
        <v/>
      </c>
    </row>
    <row r="948">
      <c r="A948" s="1" t="n">
        <v>43377</v>
      </c>
      <c r="B948" s="3">
        <f>IF(ISNUMBER(AVERAGE('20250815_ETF_Options_Exhibits'!B944:B948)),AVERAGE('20250815_ETF_Options_Exhibits'!B944:B948),"")</f>
        <v/>
      </c>
      <c r="C948" s="3">
        <f>IF(ISNUMBER(AVERAGE('20250815_ETF_Options_Exhibits'!C944:C948)),AVERAGE('20250815_ETF_Options_Exhibits'!C944:C948),"")</f>
        <v/>
      </c>
      <c r="D948" s="3">
        <f>IF(ISNUMBER(AVERAGE('20250815_ETF_Options_Exhibits'!D944:D948)),AVERAGE('20250815_ETF_Options_Exhibits'!D944:D948),"")</f>
        <v/>
      </c>
      <c r="E948" s="3">
        <f>IF(ISNUMBER(AVERAGE('20250815_ETF_Options_Exhibits'!E944:E948)),AVERAGE('20250815_ETF_Options_Exhibits'!E944:E948),"")</f>
        <v/>
      </c>
      <c r="F948" s="3">
        <f>IF(ISNUMBER(AVERAGE('20250815_ETF_Options_Exhibits'!F944:F948)),AVERAGE('20250815_ETF_Options_Exhibits'!F944:F948),"")</f>
        <v/>
      </c>
      <c r="G948" s="3">
        <f>IF(ISNUMBER(AVERAGE('20250815_ETF_Options_Exhibits'!G944:G948)),AVERAGE('20250815_ETF_Options_Exhibits'!G944:G948),"")</f>
        <v/>
      </c>
      <c r="H948" s="3">
        <f>IF(ISNUMBER(AVERAGE('20250815_ETF_Options_Exhibits'!H944:H948)),AVERAGE('20250815_ETF_Options_Exhibits'!H944:H948),"")</f>
        <v/>
      </c>
      <c r="I948" s="3">
        <f>IF(ISNUMBER(AVERAGE('20250815_ETF_Options_Exhibits'!I944:I948)),AVERAGE('20250815_ETF_Options_Exhibits'!I944:I948),"")</f>
        <v/>
      </c>
      <c r="J948" s="3">
        <f>IF(ISNUMBER(AVERAGE('20250815_ETF_Options_Exhibits'!J944:J948)),AVERAGE('20250815_ETF_Options_Exhibits'!J944:J948),"")</f>
        <v/>
      </c>
      <c r="K948" s="3">
        <f>IF(ISNUMBER(AVERAGE('20250815_ETF_Options_Exhibits'!K944:K948)),AVERAGE('20250815_ETF_Options_Exhibits'!K944:K948),"")</f>
        <v/>
      </c>
      <c r="L948" s="3">
        <f>IF(ISNUMBER(AVERAGE('20250815_ETF_Options_Exhibits'!L944:L948)),AVERAGE('20250815_ETF_Options_Exhibits'!L944:L948),"")</f>
        <v/>
      </c>
      <c r="M948" s="3">
        <f>IF(ISNUMBER(AVERAGE('20250815_ETF_Options_Exhibits'!M944:M948)),AVERAGE('20250815_ETF_Options_Exhibits'!M944:M948),"")</f>
        <v/>
      </c>
      <c r="N948" s="3">
        <f>IF(ISNUMBER(AVERAGE('20250815_ETF_Options_Exhibits'!N944:N948)),AVERAGE('20250815_ETF_Options_Exhibits'!N944:N948),"")</f>
        <v/>
      </c>
      <c r="O948" s="3">
        <f>IF(ISNUMBER(AVERAGE('20250815_ETF_Options_Exhibits'!O944:O948)),AVERAGE('20250815_ETF_Options_Exhibits'!O944:O948),"")</f>
        <v/>
      </c>
      <c r="P948" s="3">
        <f>IF(ISNUMBER(AVERAGE('20250815_ETF_Options_Exhibits'!P944:P948)),AVERAGE('20250815_ETF_Options_Exhibits'!P944:P948),"")</f>
        <v/>
      </c>
      <c r="Q948" s="3">
        <f>IF(ISNUMBER(AVERAGE('20250815_ETF_Options_Exhibits'!Q944:Q948)),AVERAGE('20250815_ETF_Options_Exhibits'!Q944:Q948),"")</f>
        <v/>
      </c>
      <c r="R948" s="3">
        <f>IF(ISNUMBER(AVERAGE('20250815_ETF_Options_Exhibits'!R944:R948)),AVERAGE('20250815_ETF_Options_Exhibits'!R944:R948),"")</f>
        <v/>
      </c>
      <c r="S948" s="3">
        <f>IF(ISNUMBER(AVERAGE('20250815_ETF_Options_Exhibits'!S944:S948)),AVERAGE('20250815_ETF_Options_Exhibits'!S944:S948),"")</f>
        <v/>
      </c>
      <c r="T948" s="3">
        <f>IF(ISNUMBER(AVERAGE('20250815_ETF_Options_Exhibits'!T944:T948)),AVERAGE('20250815_ETF_Options_Exhibits'!T944:T948),"")</f>
        <v/>
      </c>
      <c r="U948" s="3">
        <f>IF(ISNUMBER(AVERAGE('20250815_ETF_Options_Exhibits'!U944:U948)),AVERAGE('20250815_ETF_Options_Exhibits'!U944:U948),"")</f>
        <v/>
      </c>
      <c r="V948" s="3">
        <f>IF(ISNUMBER(AVERAGE('20250815_ETF_Options_Exhibits'!V944:V948)),AVERAGE('20250815_ETF_Options_Exhibits'!V944:V948),"")</f>
        <v/>
      </c>
      <c r="W948" s="3">
        <f>IF(ISNUMBER(AVERAGE('20250815_ETF_Options_Exhibits'!W944:W948)),AVERAGE('20250815_ETF_Options_Exhibits'!W944:W948),"")</f>
        <v/>
      </c>
      <c r="X948" s="3">
        <f>IF(ISNUMBER(AVERAGE('20250815_ETF_Options_Exhibits'!X944:X948)),AVERAGE('20250815_ETF_Options_Exhibits'!X944:X948),"")</f>
        <v/>
      </c>
      <c r="Y948" s="3">
        <f>IF(ISNUMBER(AVERAGE('20250815_ETF_Options_Exhibits'!Y944:Y948)),AVERAGE('20250815_ETF_Options_Exhibits'!Y944:Y948),"")</f>
        <v/>
      </c>
      <c r="Z948" s="3">
        <f>IF(ISNUMBER(AVERAGE('20250815_ETF_Options_Exhibits'!Z944:Z948)),AVERAGE('20250815_ETF_Options_Exhibits'!Z944:Z948),"")</f>
        <v/>
      </c>
      <c r="AA948" s="3">
        <f>IF(ISNUMBER(AVERAGE('20250815_ETF_Options_Exhibits'!AA944:AA948)),AVERAGE('20250815_ETF_Options_Exhibits'!AA944:AA948),"")</f>
        <v/>
      </c>
    </row>
    <row r="949">
      <c r="A949" s="1" t="n">
        <v>43378</v>
      </c>
      <c r="B949" s="3">
        <f>IF(ISNUMBER(AVERAGE('20250815_ETF_Options_Exhibits'!B945:B949)),AVERAGE('20250815_ETF_Options_Exhibits'!B945:B949),"")</f>
        <v/>
      </c>
      <c r="C949" s="3">
        <f>IF(ISNUMBER(AVERAGE('20250815_ETF_Options_Exhibits'!C945:C949)),AVERAGE('20250815_ETF_Options_Exhibits'!C945:C949),"")</f>
        <v/>
      </c>
      <c r="D949" s="3">
        <f>IF(ISNUMBER(AVERAGE('20250815_ETF_Options_Exhibits'!D945:D949)),AVERAGE('20250815_ETF_Options_Exhibits'!D945:D949),"")</f>
        <v/>
      </c>
      <c r="E949" s="3">
        <f>IF(ISNUMBER(AVERAGE('20250815_ETF_Options_Exhibits'!E945:E949)),AVERAGE('20250815_ETF_Options_Exhibits'!E945:E949),"")</f>
        <v/>
      </c>
      <c r="F949" s="3">
        <f>IF(ISNUMBER(AVERAGE('20250815_ETF_Options_Exhibits'!F945:F949)),AVERAGE('20250815_ETF_Options_Exhibits'!F945:F949),"")</f>
        <v/>
      </c>
      <c r="G949" s="3">
        <f>IF(ISNUMBER(AVERAGE('20250815_ETF_Options_Exhibits'!G945:G949)),AVERAGE('20250815_ETF_Options_Exhibits'!G945:G949),"")</f>
        <v/>
      </c>
      <c r="H949" s="3">
        <f>IF(ISNUMBER(AVERAGE('20250815_ETF_Options_Exhibits'!H945:H949)),AVERAGE('20250815_ETF_Options_Exhibits'!H945:H949),"")</f>
        <v/>
      </c>
      <c r="I949" s="3">
        <f>IF(ISNUMBER(AVERAGE('20250815_ETF_Options_Exhibits'!I945:I949)),AVERAGE('20250815_ETF_Options_Exhibits'!I945:I949),"")</f>
        <v/>
      </c>
      <c r="J949" s="3">
        <f>IF(ISNUMBER(AVERAGE('20250815_ETF_Options_Exhibits'!J945:J949)),AVERAGE('20250815_ETF_Options_Exhibits'!J945:J949),"")</f>
        <v/>
      </c>
      <c r="K949" s="3">
        <f>IF(ISNUMBER(AVERAGE('20250815_ETF_Options_Exhibits'!K945:K949)),AVERAGE('20250815_ETF_Options_Exhibits'!K945:K949),"")</f>
        <v/>
      </c>
      <c r="L949" s="3">
        <f>IF(ISNUMBER(AVERAGE('20250815_ETF_Options_Exhibits'!L945:L949)),AVERAGE('20250815_ETF_Options_Exhibits'!L945:L949),"")</f>
        <v/>
      </c>
      <c r="M949" s="3">
        <f>IF(ISNUMBER(AVERAGE('20250815_ETF_Options_Exhibits'!M945:M949)),AVERAGE('20250815_ETF_Options_Exhibits'!M945:M949),"")</f>
        <v/>
      </c>
      <c r="N949" s="3">
        <f>IF(ISNUMBER(AVERAGE('20250815_ETF_Options_Exhibits'!N945:N949)),AVERAGE('20250815_ETF_Options_Exhibits'!N945:N949),"")</f>
        <v/>
      </c>
      <c r="O949" s="3">
        <f>IF(ISNUMBER(AVERAGE('20250815_ETF_Options_Exhibits'!O945:O949)),AVERAGE('20250815_ETF_Options_Exhibits'!O945:O949),"")</f>
        <v/>
      </c>
      <c r="P949" s="3">
        <f>IF(ISNUMBER(AVERAGE('20250815_ETF_Options_Exhibits'!P945:P949)),AVERAGE('20250815_ETF_Options_Exhibits'!P945:P949),"")</f>
        <v/>
      </c>
      <c r="Q949" s="3">
        <f>IF(ISNUMBER(AVERAGE('20250815_ETF_Options_Exhibits'!Q945:Q949)),AVERAGE('20250815_ETF_Options_Exhibits'!Q945:Q949),"")</f>
        <v/>
      </c>
      <c r="R949" s="3">
        <f>IF(ISNUMBER(AVERAGE('20250815_ETF_Options_Exhibits'!R945:R949)),AVERAGE('20250815_ETF_Options_Exhibits'!R945:R949),"")</f>
        <v/>
      </c>
      <c r="S949" s="3">
        <f>IF(ISNUMBER(AVERAGE('20250815_ETF_Options_Exhibits'!S945:S949)),AVERAGE('20250815_ETF_Options_Exhibits'!S945:S949),"")</f>
        <v/>
      </c>
      <c r="T949" s="3">
        <f>IF(ISNUMBER(AVERAGE('20250815_ETF_Options_Exhibits'!T945:T949)),AVERAGE('20250815_ETF_Options_Exhibits'!T945:T949),"")</f>
        <v/>
      </c>
      <c r="U949" s="3">
        <f>IF(ISNUMBER(AVERAGE('20250815_ETF_Options_Exhibits'!U945:U949)),AVERAGE('20250815_ETF_Options_Exhibits'!U945:U949),"")</f>
        <v/>
      </c>
      <c r="V949" s="3">
        <f>IF(ISNUMBER(AVERAGE('20250815_ETF_Options_Exhibits'!V945:V949)),AVERAGE('20250815_ETF_Options_Exhibits'!V945:V949),"")</f>
        <v/>
      </c>
      <c r="W949" s="3">
        <f>IF(ISNUMBER(AVERAGE('20250815_ETF_Options_Exhibits'!W945:W949)),AVERAGE('20250815_ETF_Options_Exhibits'!W945:W949),"")</f>
        <v/>
      </c>
      <c r="X949" s="3">
        <f>IF(ISNUMBER(AVERAGE('20250815_ETF_Options_Exhibits'!X945:X949)),AVERAGE('20250815_ETF_Options_Exhibits'!X945:X949),"")</f>
        <v/>
      </c>
      <c r="Y949" s="3">
        <f>IF(ISNUMBER(AVERAGE('20250815_ETF_Options_Exhibits'!Y945:Y949)),AVERAGE('20250815_ETF_Options_Exhibits'!Y945:Y949),"")</f>
        <v/>
      </c>
      <c r="Z949" s="3">
        <f>IF(ISNUMBER(AVERAGE('20250815_ETF_Options_Exhibits'!Z945:Z949)),AVERAGE('20250815_ETF_Options_Exhibits'!Z945:Z949),"")</f>
        <v/>
      </c>
      <c r="AA949" s="3">
        <f>IF(ISNUMBER(AVERAGE('20250815_ETF_Options_Exhibits'!AA945:AA949)),AVERAGE('20250815_ETF_Options_Exhibits'!AA945:AA949),"")</f>
        <v/>
      </c>
    </row>
    <row r="950">
      <c r="A950" s="1" t="n">
        <v>43381</v>
      </c>
      <c r="B950" s="3">
        <f>IF(ISNUMBER(AVERAGE('20250815_ETF_Options_Exhibits'!B946:B950)),AVERAGE('20250815_ETF_Options_Exhibits'!B946:B950),"")</f>
        <v/>
      </c>
      <c r="C950" s="3">
        <f>IF(ISNUMBER(AVERAGE('20250815_ETF_Options_Exhibits'!C946:C950)),AVERAGE('20250815_ETF_Options_Exhibits'!C946:C950),"")</f>
        <v/>
      </c>
      <c r="D950" s="3">
        <f>IF(ISNUMBER(AVERAGE('20250815_ETF_Options_Exhibits'!D946:D950)),AVERAGE('20250815_ETF_Options_Exhibits'!D946:D950),"")</f>
        <v/>
      </c>
      <c r="E950" s="3">
        <f>IF(ISNUMBER(AVERAGE('20250815_ETF_Options_Exhibits'!E946:E950)),AVERAGE('20250815_ETF_Options_Exhibits'!E946:E950),"")</f>
        <v/>
      </c>
      <c r="F950" s="3">
        <f>IF(ISNUMBER(AVERAGE('20250815_ETF_Options_Exhibits'!F946:F950)),AVERAGE('20250815_ETF_Options_Exhibits'!F946:F950),"")</f>
        <v/>
      </c>
      <c r="G950" s="3">
        <f>IF(ISNUMBER(AVERAGE('20250815_ETF_Options_Exhibits'!G946:G950)),AVERAGE('20250815_ETF_Options_Exhibits'!G946:G950),"")</f>
        <v/>
      </c>
      <c r="H950" s="3">
        <f>IF(ISNUMBER(AVERAGE('20250815_ETF_Options_Exhibits'!H946:H950)),AVERAGE('20250815_ETF_Options_Exhibits'!H946:H950),"")</f>
        <v/>
      </c>
      <c r="I950" s="3">
        <f>IF(ISNUMBER(AVERAGE('20250815_ETF_Options_Exhibits'!I946:I950)),AVERAGE('20250815_ETF_Options_Exhibits'!I946:I950),"")</f>
        <v/>
      </c>
      <c r="J950" s="3">
        <f>IF(ISNUMBER(AVERAGE('20250815_ETF_Options_Exhibits'!J946:J950)),AVERAGE('20250815_ETF_Options_Exhibits'!J946:J950),"")</f>
        <v/>
      </c>
      <c r="K950" s="3">
        <f>IF(ISNUMBER(AVERAGE('20250815_ETF_Options_Exhibits'!K946:K950)),AVERAGE('20250815_ETF_Options_Exhibits'!K946:K950),"")</f>
        <v/>
      </c>
      <c r="L950" s="3">
        <f>IF(ISNUMBER(AVERAGE('20250815_ETF_Options_Exhibits'!L946:L950)),AVERAGE('20250815_ETF_Options_Exhibits'!L946:L950),"")</f>
        <v/>
      </c>
      <c r="M950" s="3">
        <f>IF(ISNUMBER(AVERAGE('20250815_ETF_Options_Exhibits'!M946:M950)),AVERAGE('20250815_ETF_Options_Exhibits'!M946:M950),"")</f>
        <v/>
      </c>
      <c r="N950" s="3">
        <f>IF(ISNUMBER(AVERAGE('20250815_ETF_Options_Exhibits'!N946:N950)),AVERAGE('20250815_ETF_Options_Exhibits'!N946:N950),"")</f>
        <v/>
      </c>
      <c r="O950" s="3">
        <f>IF(ISNUMBER(AVERAGE('20250815_ETF_Options_Exhibits'!O946:O950)),AVERAGE('20250815_ETF_Options_Exhibits'!O946:O950),"")</f>
        <v/>
      </c>
      <c r="P950" s="3">
        <f>IF(ISNUMBER(AVERAGE('20250815_ETF_Options_Exhibits'!P946:P950)),AVERAGE('20250815_ETF_Options_Exhibits'!P946:P950),"")</f>
        <v/>
      </c>
      <c r="Q950" s="3">
        <f>IF(ISNUMBER(AVERAGE('20250815_ETF_Options_Exhibits'!Q946:Q950)),AVERAGE('20250815_ETF_Options_Exhibits'!Q946:Q950),"")</f>
        <v/>
      </c>
      <c r="R950" s="3">
        <f>IF(ISNUMBER(AVERAGE('20250815_ETF_Options_Exhibits'!R946:R950)),AVERAGE('20250815_ETF_Options_Exhibits'!R946:R950),"")</f>
        <v/>
      </c>
      <c r="S950" s="3">
        <f>IF(ISNUMBER(AVERAGE('20250815_ETF_Options_Exhibits'!S946:S950)),AVERAGE('20250815_ETF_Options_Exhibits'!S946:S950),"")</f>
        <v/>
      </c>
      <c r="T950" s="3">
        <f>IF(ISNUMBER(AVERAGE('20250815_ETF_Options_Exhibits'!T946:T950)),AVERAGE('20250815_ETF_Options_Exhibits'!T946:T950),"")</f>
        <v/>
      </c>
      <c r="U950" s="3">
        <f>IF(ISNUMBER(AVERAGE('20250815_ETF_Options_Exhibits'!U946:U950)),AVERAGE('20250815_ETF_Options_Exhibits'!U946:U950),"")</f>
        <v/>
      </c>
      <c r="V950" s="3">
        <f>IF(ISNUMBER(AVERAGE('20250815_ETF_Options_Exhibits'!V946:V950)),AVERAGE('20250815_ETF_Options_Exhibits'!V946:V950),"")</f>
        <v/>
      </c>
      <c r="W950" s="3">
        <f>IF(ISNUMBER(AVERAGE('20250815_ETF_Options_Exhibits'!W946:W950)),AVERAGE('20250815_ETF_Options_Exhibits'!W946:W950),"")</f>
        <v/>
      </c>
      <c r="X950" s="3">
        <f>IF(ISNUMBER(AVERAGE('20250815_ETF_Options_Exhibits'!X946:X950)),AVERAGE('20250815_ETF_Options_Exhibits'!X946:X950),"")</f>
        <v/>
      </c>
      <c r="Y950" s="3">
        <f>IF(ISNUMBER(AVERAGE('20250815_ETF_Options_Exhibits'!Y946:Y950)),AVERAGE('20250815_ETF_Options_Exhibits'!Y946:Y950),"")</f>
        <v/>
      </c>
      <c r="Z950" s="3">
        <f>IF(ISNUMBER(AVERAGE('20250815_ETF_Options_Exhibits'!Z946:Z950)),AVERAGE('20250815_ETF_Options_Exhibits'!Z946:Z950),"")</f>
        <v/>
      </c>
      <c r="AA950" s="3">
        <f>IF(ISNUMBER(AVERAGE('20250815_ETF_Options_Exhibits'!AA946:AA950)),AVERAGE('20250815_ETF_Options_Exhibits'!AA946:AA950),"")</f>
        <v/>
      </c>
    </row>
    <row r="951">
      <c r="A951" s="1" t="n">
        <v>43382</v>
      </c>
      <c r="B951" s="3">
        <f>IF(ISNUMBER(AVERAGE('20250815_ETF_Options_Exhibits'!B947:B951)),AVERAGE('20250815_ETF_Options_Exhibits'!B947:B951),"")</f>
        <v/>
      </c>
      <c r="C951" s="3">
        <f>IF(ISNUMBER(AVERAGE('20250815_ETF_Options_Exhibits'!C947:C951)),AVERAGE('20250815_ETF_Options_Exhibits'!C947:C951),"")</f>
        <v/>
      </c>
      <c r="D951" s="3">
        <f>IF(ISNUMBER(AVERAGE('20250815_ETF_Options_Exhibits'!D947:D951)),AVERAGE('20250815_ETF_Options_Exhibits'!D947:D951),"")</f>
        <v/>
      </c>
      <c r="E951" s="3">
        <f>IF(ISNUMBER(AVERAGE('20250815_ETF_Options_Exhibits'!E947:E951)),AVERAGE('20250815_ETF_Options_Exhibits'!E947:E951),"")</f>
        <v/>
      </c>
      <c r="F951" s="3">
        <f>IF(ISNUMBER(AVERAGE('20250815_ETF_Options_Exhibits'!F947:F951)),AVERAGE('20250815_ETF_Options_Exhibits'!F947:F951),"")</f>
        <v/>
      </c>
      <c r="G951" s="3">
        <f>IF(ISNUMBER(AVERAGE('20250815_ETF_Options_Exhibits'!G947:G951)),AVERAGE('20250815_ETF_Options_Exhibits'!G947:G951),"")</f>
        <v/>
      </c>
      <c r="H951" s="3">
        <f>IF(ISNUMBER(AVERAGE('20250815_ETF_Options_Exhibits'!H947:H951)),AVERAGE('20250815_ETF_Options_Exhibits'!H947:H951),"")</f>
        <v/>
      </c>
      <c r="I951" s="3">
        <f>IF(ISNUMBER(AVERAGE('20250815_ETF_Options_Exhibits'!I947:I951)),AVERAGE('20250815_ETF_Options_Exhibits'!I947:I951),"")</f>
        <v/>
      </c>
      <c r="J951" s="3">
        <f>IF(ISNUMBER(AVERAGE('20250815_ETF_Options_Exhibits'!J947:J951)),AVERAGE('20250815_ETF_Options_Exhibits'!J947:J951),"")</f>
        <v/>
      </c>
      <c r="K951" s="3">
        <f>IF(ISNUMBER(AVERAGE('20250815_ETF_Options_Exhibits'!K947:K951)),AVERAGE('20250815_ETF_Options_Exhibits'!K947:K951),"")</f>
        <v/>
      </c>
      <c r="L951" s="3">
        <f>IF(ISNUMBER(AVERAGE('20250815_ETF_Options_Exhibits'!L947:L951)),AVERAGE('20250815_ETF_Options_Exhibits'!L947:L951),"")</f>
        <v/>
      </c>
      <c r="M951" s="3">
        <f>IF(ISNUMBER(AVERAGE('20250815_ETF_Options_Exhibits'!M947:M951)),AVERAGE('20250815_ETF_Options_Exhibits'!M947:M951),"")</f>
        <v/>
      </c>
      <c r="N951" s="3">
        <f>IF(ISNUMBER(AVERAGE('20250815_ETF_Options_Exhibits'!N947:N951)),AVERAGE('20250815_ETF_Options_Exhibits'!N947:N951),"")</f>
        <v/>
      </c>
      <c r="O951" s="3">
        <f>IF(ISNUMBER(AVERAGE('20250815_ETF_Options_Exhibits'!O947:O951)),AVERAGE('20250815_ETF_Options_Exhibits'!O947:O951),"")</f>
        <v/>
      </c>
      <c r="P951" s="3">
        <f>IF(ISNUMBER(AVERAGE('20250815_ETF_Options_Exhibits'!P947:P951)),AVERAGE('20250815_ETF_Options_Exhibits'!P947:P951),"")</f>
        <v/>
      </c>
      <c r="Q951" s="3">
        <f>IF(ISNUMBER(AVERAGE('20250815_ETF_Options_Exhibits'!Q947:Q951)),AVERAGE('20250815_ETF_Options_Exhibits'!Q947:Q951),"")</f>
        <v/>
      </c>
      <c r="R951" s="3">
        <f>IF(ISNUMBER(AVERAGE('20250815_ETF_Options_Exhibits'!R947:R951)),AVERAGE('20250815_ETF_Options_Exhibits'!R947:R951),"")</f>
        <v/>
      </c>
      <c r="S951" s="3">
        <f>IF(ISNUMBER(AVERAGE('20250815_ETF_Options_Exhibits'!S947:S951)),AVERAGE('20250815_ETF_Options_Exhibits'!S947:S951),"")</f>
        <v/>
      </c>
      <c r="T951" s="3">
        <f>IF(ISNUMBER(AVERAGE('20250815_ETF_Options_Exhibits'!T947:T951)),AVERAGE('20250815_ETF_Options_Exhibits'!T947:T951),"")</f>
        <v/>
      </c>
      <c r="U951" s="3">
        <f>IF(ISNUMBER(AVERAGE('20250815_ETF_Options_Exhibits'!U947:U951)),AVERAGE('20250815_ETF_Options_Exhibits'!U947:U951),"")</f>
        <v/>
      </c>
      <c r="V951" s="3">
        <f>IF(ISNUMBER(AVERAGE('20250815_ETF_Options_Exhibits'!V947:V951)),AVERAGE('20250815_ETF_Options_Exhibits'!V947:V951),"")</f>
        <v/>
      </c>
      <c r="W951" s="3">
        <f>IF(ISNUMBER(AVERAGE('20250815_ETF_Options_Exhibits'!W947:W951)),AVERAGE('20250815_ETF_Options_Exhibits'!W947:W951),"")</f>
        <v/>
      </c>
      <c r="X951" s="3">
        <f>IF(ISNUMBER(AVERAGE('20250815_ETF_Options_Exhibits'!X947:X951)),AVERAGE('20250815_ETF_Options_Exhibits'!X947:X951),"")</f>
        <v/>
      </c>
      <c r="Y951" s="3">
        <f>IF(ISNUMBER(AVERAGE('20250815_ETF_Options_Exhibits'!Y947:Y951)),AVERAGE('20250815_ETF_Options_Exhibits'!Y947:Y951),"")</f>
        <v/>
      </c>
      <c r="Z951" s="3">
        <f>IF(ISNUMBER(AVERAGE('20250815_ETF_Options_Exhibits'!Z947:Z951)),AVERAGE('20250815_ETF_Options_Exhibits'!Z947:Z951),"")</f>
        <v/>
      </c>
      <c r="AA951" s="3">
        <f>IF(ISNUMBER(AVERAGE('20250815_ETF_Options_Exhibits'!AA947:AA951)),AVERAGE('20250815_ETF_Options_Exhibits'!AA947:AA951),"")</f>
        <v/>
      </c>
    </row>
    <row r="952">
      <c r="A952" s="1" t="n">
        <v>43383</v>
      </c>
      <c r="B952" s="3">
        <f>IF(ISNUMBER(AVERAGE('20250815_ETF_Options_Exhibits'!B948:B952)),AVERAGE('20250815_ETF_Options_Exhibits'!B948:B952),"")</f>
        <v/>
      </c>
      <c r="C952" s="3">
        <f>IF(ISNUMBER(AVERAGE('20250815_ETF_Options_Exhibits'!C948:C952)),AVERAGE('20250815_ETF_Options_Exhibits'!C948:C952),"")</f>
        <v/>
      </c>
      <c r="D952" s="3">
        <f>IF(ISNUMBER(AVERAGE('20250815_ETF_Options_Exhibits'!D948:D952)),AVERAGE('20250815_ETF_Options_Exhibits'!D948:D952),"")</f>
        <v/>
      </c>
      <c r="E952" s="3">
        <f>IF(ISNUMBER(AVERAGE('20250815_ETF_Options_Exhibits'!E948:E952)),AVERAGE('20250815_ETF_Options_Exhibits'!E948:E952),"")</f>
        <v/>
      </c>
      <c r="F952" s="3">
        <f>IF(ISNUMBER(AVERAGE('20250815_ETF_Options_Exhibits'!F948:F952)),AVERAGE('20250815_ETF_Options_Exhibits'!F948:F952),"")</f>
        <v/>
      </c>
      <c r="G952" s="3">
        <f>IF(ISNUMBER(AVERAGE('20250815_ETF_Options_Exhibits'!G948:G952)),AVERAGE('20250815_ETF_Options_Exhibits'!G948:G952),"")</f>
        <v/>
      </c>
      <c r="H952" s="3">
        <f>IF(ISNUMBER(AVERAGE('20250815_ETF_Options_Exhibits'!H948:H952)),AVERAGE('20250815_ETF_Options_Exhibits'!H948:H952),"")</f>
        <v/>
      </c>
      <c r="I952" s="3">
        <f>IF(ISNUMBER(AVERAGE('20250815_ETF_Options_Exhibits'!I948:I952)),AVERAGE('20250815_ETF_Options_Exhibits'!I948:I952),"")</f>
        <v/>
      </c>
      <c r="J952" s="3">
        <f>IF(ISNUMBER(AVERAGE('20250815_ETF_Options_Exhibits'!J948:J952)),AVERAGE('20250815_ETF_Options_Exhibits'!J948:J952),"")</f>
        <v/>
      </c>
      <c r="K952" s="3">
        <f>IF(ISNUMBER(AVERAGE('20250815_ETF_Options_Exhibits'!K948:K952)),AVERAGE('20250815_ETF_Options_Exhibits'!K948:K952),"")</f>
        <v/>
      </c>
      <c r="L952" s="3">
        <f>IF(ISNUMBER(AVERAGE('20250815_ETF_Options_Exhibits'!L948:L952)),AVERAGE('20250815_ETF_Options_Exhibits'!L948:L952),"")</f>
        <v/>
      </c>
      <c r="M952" s="3">
        <f>IF(ISNUMBER(AVERAGE('20250815_ETF_Options_Exhibits'!M948:M952)),AVERAGE('20250815_ETF_Options_Exhibits'!M948:M952),"")</f>
        <v/>
      </c>
      <c r="N952" s="3">
        <f>IF(ISNUMBER(AVERAGE('20250815_ETF_Options_Exhibits'!N948:N952)),AVERAGE('20250815_ETF_Options_Exhibits'!N948:N952),"")</f>
        <v/>
      </c>
      <c r="O952" s="3">
        <f>IF(ISNUMBER(AVERAGE('20250815_ETF_Options_Exhibits'!O948:O952)),AVERAGE('20250815_ETF_Options_Exhibits'!O948:O952),"")</f>
        <v/>
      </c>
      <c r="P952" s="3">
        <f>IF(ISNUMBER(AVERAGE('20250815_ETF_Options_Exhibits'!P948:P952)),AVERAGE('20250815_ETF_Options_Exhibits'!P948:P952),"")</f>
        <v/>
      </c>
      <c r="Q952" s="3">
        <f>IF(ISNUMBER(AVERAGE('20250815_ETF_Options_Exhibits'!Q948:Q952)),AVERAGE('20250815_ETF_Options_Exhibits'!Q948:Q952),"")</f>
        <v/>
      </c>
      <c r="R952" s="3">
        <f>IF(ISNUMBER(AVERAGE('20250815_ETF_Options_Exhibits'!R948:R952)),AVERAGE('20250815_ETF_Options_Exhibits'!R948:R952),"")</f>
        <v/>
      </c>
      <c r="S952" s="3">
        <f>IF(ISNUMBER(AVERAGE('20250815_ETF_Options_Exhibits'!S948:S952)),AVERAGE('20250815_ETF_Options_Exhibits'!S948:S952),"")</f>
        <v/>
      </c>
      <c r="T952" s="3">
        <f>IF(ISNUMBER(AVERAGE('20250815_ETF_Options_Exhibits'!T948:T952)),AVERAGE('20250815_ETF_Options_Exhibits'!T948:T952),"")</f>
        <v/>
      </c>
      <c r="U952" s="3">
        <f>IF(ISNUMBER(AVERAGE('20250815_ETF_Options_Exhibits'!U948:U952)),AVERAGE('20250815_ETF_Options_Exhibits'!U948:U952),"")</f>
        <v/>
      </c>
      <c r="V952" s="3">
        <f>IF(ISNUMBER(AVERAGE('20250815_ETF_Options_Exhibits'!V948:V952)),AVERAGE('20250815_ETF_Options_Exhibits'!V948:V952),"")</f>
        <v/>
      </c>
      <c r="W952" s="3">
        <f>IF(ISNUMBER(AVERAGE('20250815_ETF_Options_Exhibits'!W948:W952)),AVERAGE('20250815_ETF_Options_Exhibits'!W948:W952),"")</f>
        <v/>
      </c>
      <c r="X952" s="3">
        <f>IF(ISNUMBER(AVERAGE('20250815_ETF_Options_Exhibits'!X948:X952)),AVERAGE('20250815_ETF_Options_Exhibits'!X948:X952),"")</f>
        <v/>
      </c>
      <c r="Y952" s="3">
        <f>IF(ISNUMBER(AVERAGE('20250815_ETF_Options_Exhibits'!Y948:Y952)),AVERAGE('20250815_ETF_Options_Exhibits'!Y948:Y952),"")</f>
        <v/>
      </c>
      <c r="Z952" s="3">
        <f>IF(ISNUMBER(AVERAGE('20250815_ETF_Options_Exhibits'!Z948:Z952)),AVERAGE('20250815_ETF_Options_Exhibits'!Z948:Z952),"")</f>
        <v/>
      </c>
      <c r="AA952" s="3">
        <f>IF(ISNUMBER(AVERAGE('20250815_ETF_Options_Exhibits'!AA948:AA952)),AVERAGE('20250815_ETF_Options_Exhibits'!AA948:AA952),"")</f>
        <v/>
      </c>
    </row>
    <row r="953">
      <c r="A953" s="1" t="n">
        <v>43384</v>
      </c>
      <c r="B953" s="3">
        <f>IF(ISNUMBER(AVERAGE('20250815_ETF_Options_Exhibits'!B949:B953)),AVERAGE('20250815_ETF_Options_Exhibits'!B949:B953),"")</f>
        <v/>
      </c>
      <c r="C953" s="3">
        <f>IF(ISNUMBER(AVERAGE('20250815_ETF_Options_Exhibits'!C949:C953)),AVERAGE('20250815_ETF_Options_Exhibits'!C949:C953),"")</f>
        <v/>
      </c>
      <c r="D953" s="3">
        <f>IF(ISNUMBER(AVERAGE('20250815_ETF_Options_Exhibits'!D949:D953)),AVERAGE('20250815_ETF_Options_Exhibits'!D949:D953),"")</f>
        <v/>
      </c>
      <c r="E953" s="3">
        <f>IF(ISNUMBER(AVERAGE('20250815_ETF_Options_Exhibits'!E949:E953)),AVERAGE('20250815_ETF_Options_Exhibits'!E949:E953),"")</f>
        <v/>
      </c>
      <c r="F953" s="3">
        <f>IF(ISNUMBER(AVERAGE('20250815_ETF_Options_Exhibits'!F949:F953)),AVERAGE('20250815_ETF_Options_Exhibits'!F949:F953),"")</f>
        <v/>
      </c>
      <c r="G953" s="3">
        <f>IF(ISNUMBER(AVERAGE('20250815_ETF_Options_Exhibits'!G949:G953)),AVERAGE('20250815_ETF_Options_Exhibits'!G949:G953),"")</f>
        <v/>
      </c>
      <c r="H953" s="3">
        <f>IF(ISNUMBER(AVERAGE('20250815_ETF_Options_Exhibits'!H949:H953)),AVERAGE('20250815_ETF_Options_Exhibits'!H949:H953),"")</f>
        <v/>
      </c>
      <c r="I953" s="3">
        <f>IF(ISNUMBER(AVERAGE('20250815_ETF_Options_Exhibits'!I949:I953)),AVERAGE('20250815_ETF_Options_Exhibits'!I949:I953),"")</f>
        <v/>
      </c>
      <c r="J953" s="3">
        <f>IF(ISNUMBER(AVERAGE('20250815_ETF_Options_Exhibits'!J949:J953)),AVERAGE('20250815_ETF_Options_Exhibits'!J949:J953),"")</f>
        <v/>
      </c>
      <c r="K953" s="3">
        <f>IF(ISNUMBER(AVERAGE('20250815_ETF_Options_Exhibits'!K949:K953)),AVERAGE('20250815_ETF_Options_Exhibits'!K949:K953),"")</f>
        <v/>
      </c>
      <c r="L953" s="3">
        <f>IF(ISNUMBER(AVERAGE('20250815_ETF_Options_Exhibits'!L949:L953)),AVERAGE('20250815_ETF_Options_Exhibits'!L949:L953),"")</f>
        <v/>
      </c>
      <c r="M953" s="3">
        <f>IF(ISNUMBER(AVERAGE('20250815_ETF_Options_Exhibits'!M949:M953)),AVERAGE('20250815_ETF_Options_Exhibits'!M949:M953),"")</f>
        <v/>
      </c>
      <c r="N953" s="3">
        <f>IF(ISNUMBER(AVERAGE('20250815_ETF_Options_Exhibits'!N949:N953)),AVERAGE('20250815_ETF_Options_Exhibits'!N949:N953),"")</f>
        <v/>
      </c>
      <c r="O953" s="3">
        <f>IF(ISNUMBER(AVERAGE('20250815_ETF_Options_Exhibits'!O949:O953)),AVERAGE('20250815_ETF_Options_Exhibits'!O949:O953),"")</f>
        <v/>
      </c>
      <c r="P953" s="3">
        <f>IF(ISNUMBER(AVERAGE('20250815_ETF_Options_Exhibits'!P949:P953)),AVERAGE('20250815_ETF_Options_Exhibits'!P949:P953),"")</f>
        <v/>
      </c>
      <c r="Q953" s="3">
        <f>IF(ISNUMBER(AVERAGE('20250815_ETF_Options_Exhibits'!Q949:Q953)),AVERAGE('20250815_ETF_Options_Exhibits'!Q949:Q953),"")</f>
        <v/>
      </c>
      <c r="R953" s="3">
        <f>IF(ISNUMBER(AVERAGE('20250815_ETF_Options_Exhibits'!R949:R953)),AVERAGE('20250815_ETF_Options_Exhibits'!R949:R953),"")</f>
        <v/>
      </c>
      <c r="S953" s="3">
        <f>IF(ISNUMBER(AVERAGE('20250815_ETF_Options_Exhibits'!S949:S953)),AVERAGE('20250815_ETF_Options_Exhibits'!S949:S953),"")</f>
        <v/>
      </c>
      <c r="T953" s="3">
        <f>IF(ISNUMBER(AVERAGE('20250815_ETF_Options_Exhibits'!T949:T953)),AVERAGE('20250815_ETF_Options_Exhibits'!T949:T953),"")</f>
        <v/>
      </c>
      <c r="U953" s="3">
        <f>IF(ISNUMBER(AVERAGE('20250815_ETF_Options_Exhibits'!U949:U953)),AVERAGE('20250815_ETF_Options_Exhibits'!U949:U953),"")</f>
        <v/>
      </c>
      <c r="V953" s="3">
        <f>IF(ISNUMBER(AVERAGE('20250815_ETF_Options_Exhibits'!V949:V953)),AVERAGE('20250815_ETF_Options_Exhibits'!V949:V953),"")</f>
        <v/>
      </c>
      <c r="W953" s="3">
        <f>IF(ISNUMBER(AVERAGE('20250815_ETF_Options_Exhibits'!W949:W953)),AVERAGE('20250815_ETF_Options_Exhibits'!W949:W953),"")</f>
        <v/>
      </c>
      <c r="X953" s="3">
        <f>IF(ISNUMBER(AVERAGE('20250815_ETF_Options_Exhibits'!X949:X953)),AVERAGE('20250815_ETF_Options_Exhibits'!X949:X953),"")</f>
        <v/>
      </c>
      <c r="Y953" s="3">
        <f>IF(ISNUMBER(AVERAGE('20250815_ETF_Options_Exhibits'!Y949:Y953)),AVERAGE('20250815_ETF_Options_Exhibits'!Y949:Y953),"")</f>
        <v/>
      </c>
      <c r="Z953" s="3">
        <f>IF(ISNUMBER(AVERAGE('20250815_ETF_Options_Exhibits'!Z949:Z953)),AVERAGE('20250815_ETF_Options_Exhibits'!Z949:Z953),"")</f>
        <v/>
      </c>
      <c r="AA953" s="3">
        <f>IF(ISNUMBER(AVERAGE('20250815_ETF_Options_Exhibits'!AA949:AA953)),AVERAGE('20250815_ETF_Options_Exhibits'!AA949:AA953),"")</f>
        <v/>
      </c>
    </row>
    <row r="954">
      <c r="A954" s="1" t="n">
        <v>43385</v>
      </c>
      <c r="B954" s="3">
        <f>IF(ISNUMBER(AVERAGE('20250815_ETF_Options_Exhibits'!B950:B954)),AVERAGE('20250815_ETF_Options_Exhibits'!B950:B954),"")</f>
        <v/>
      </c>
      <c r="C954" s="3">
        <f>IF(ISNUMBER(AVERAGE('20250815_ETF_Options_Exhibits'!C950:C954)),AVERAGE('20250815_ETF_Options_Exhibits'!C950:C954),"")</f>
        <v/>
      </c>
      <c r="D954" s="3">
        <f>IF(ISNUMBER(AVERAGE('20250815_ETF_Options_Exhibits'!D950:D954)),AVERAGE('20250815_ETF_Options_Exhibits'!D950:D954),"")</f>
        <v/>
      </c>
      <c r="E954" s="3">
        <f>IF(ISNUMBER(AVERAGE('20250815_ETF_Options_Exhibits'!E950:E954)),AVERAGE('20250815_ETF_Options_Exhibits'!E950:E954),"")</f>
        <v/>
      </c>
      <c r="F954" s="3">
        <f>IF(ISNUMBER(AVERAGE('20250815_ETF_Options_Exhibits'!F950:F954)),AVERAGE('20250815_ETF_Options_Exhibits'!F950:F954),"")</f>
        <v/>
      </c>
      <c r="G954" s="3">
        <f>IF(ISNUMBER(AVERAGE('20250815_ETF_Options_Exhibits'!G950:G954)),AVERAGE('20250815_ETF_Options_Exhibits'!G950:G954),"")</f>
        <v/>
      </c>
      <c r="H954" s="3">
        <f>IF(ISNUMBER(AVERAGE('20250815_ETF_Options_Exhibits'!H950:H954)),AVERAGE('20250815_ETF_Options_Exhibits'!H950:H954),"")</f>
        <v/>
      </c>
      <c r="I954" s="3">
        <f>IF(ISNUMBER(AVERAGE('20250815_ETF_Options_Exhibits'!I950:I954)),AVERAGE('20250815_ETF_Options_Exhibits'!I950:I954),"")</f>
        <v/>
      </c>
      <c r="J954" s="3">
        <f>IF(ISNUMBER(AVERAGE('20250815_ETF_Options_Exhibits'!J950:J954)),AVERAGE('20250815_ETF_Options_Exhibits'!J950:J954),"")</f>
        <v/>
      </c>
      <c r="K954" s="3">
        <f>IF(ISNUMBER(AVERAGE('20250815_ETF_Options_Exhibits'!K950:K954)),AVERAGE('20250815_ETF_Options_Exhibits'!K950:K954),"")</f>
        <v/>
      </c>
      <c r="L954" s="3">
        <f>IF(ISNUMBER(AVERAGE('20250815_ETF_Options_Exhibits'!L950:L954)),AVERAGE('20250815_ETF_Options_Exhibits'!L950:L954),"")</f>
        <v/>
      </c>
      <c r="M954" s="3">
        <f>IF(ISNUMBER(AVERAGE('20250815_ETF_Options_Exhibits'!M950:M954)),AVERAGE('20250815_ETF_Options_Exhibits'!M950:M954),"")</f>
        <v/>
      </c>
      <c r="N954" s="3">
        <f>IF(ISNUMBER(AVERAGE('20250815_ETF_Options_Exhibits'!N950:N954)),AVERAGE('20250815_ETF_Options_Exhibits'!N950:N954),"")</f>
        <v/>
      </c>
      <c r="O954" s="3">
        <f>IF(ISNUMBER(AVERAGE('20250815_ETF_Options_Exhibits'!O950:O954)),AVERAGE('20250815_ETF_Options_Exhibits'!O950:O954),"")</f>
        <v/>
      </c>
      <c r="P954" s="3">
        <f>IF(ISNUMBER(AVERAGE('20250815_ETF_Options_Exhibits'!P950:P954)),AVERAGE('20250815_ETF_Options_Exhibits'!P950:P954),"")</f>
        <v/>
      </c>
      <c r="Q954" s="3">
        <f>IF(ISNUMBER(AVERAGE('20250815_ETF_Options_Exhibits'!Q950:Q954)),AVERAGE('20250815_ETF_Options_Exhibits'!Q950:Q954),"")</f>
        <v/>
      </c>
      <c r="R954" s="3">
        <f>IF(ISNUMBER(AVERAGE('20250815_ETF_Options_Exhibits'!R950:R954)),AVERAGE('20250815_ETF_Options_Exhibits'!R950:R954),"")</f>
        <v/>
      </c>
      <c r="S954" s="3">
        <f>IF(ISNUMBER(AVERAGE('20250815_ETF_Options_Exhibits'!S950:S954)),AVERAGE('20250815_ETF_Options_Exhibits'!S950:S954),"")</f>
        <v/>
      </c>
      <c r="T954" s="3">
        <f>IF(ISNUMBER(AVERAGE('20250815_ETF_Options_Exhibits'!T950:T954)),AVERAGE('20250815_ETF_Options_Exhibits'!T950:T954),"")</f>
        <v/>
      </c>
      <c r="U954" s="3">
        <f>IF(ISNUMBER(AVERAGE('20250815_ETF_Options_Exhibits'!U950:U954)),AVERAGE('20250815_ETF_Options_Exhibits'!U950:U954),"")</f>
        <v/>
      </c>
      <c r="V954" s="3">
        <f>IF(ISNUMBER(AVERAGE('20250815_ETF_Options_Exhibits'!V950:V954)),AVERAGE('20250815_ETF_Options_Exhibits'!V950:V954),"")</f>
        <v/>
      </c>
      <c r="W954" s="3">
        <f>IF(ISNUMBER(AVERAGE('20250815_ETF_Options_Exhibits'!W950:W954)),AVERAGE('20250815_ETF_Options_Exhibits'!W950:W954),"")</f>
        <v/>
      </c>
      <c r="X954" s="3">
        <f>IF(ISNUMBER(AVERAGE('20250815_ETF_Options_Exhibits'!X950:X954)),AVERAGE('20250815_ETF_Options_Exhibits'!X950:X954),"")</f>
        <v/>
      </c>
      <c r="Y954" s="3">
        <f>IF(ISNUMBER(AVERAGE('20250815_ETF_Options_Exhibits'!Y950:Y954)),AVERAGE('20250815_ETF_Options_Exhibits'!Y950:Y954),"")</f>
        <v/>
      </c>
      <c r="Z954" s="3">
        <f>IF(ISNUMBER(AVERAGE('20250815_ETF_Options_Exhibits'!Z950:Z954)),AVERAGE('20250815_ETF_Options_Exhibits'!Z950:Z954),"")</f>
        <v/>
      </c>
      <c r="AA954" s="3">
        <f>IF(ISNUMBER(AVERAGE('20250815_ETF_Options_Exhibits'!AA950:AA954)),AVERAGE('20250815_ETF_Options_Exhibits'!AA950:AA954),"")</f>
        <v/>
      </c>
    </row>
    <row r="955">
      <c r="A955" s="1" t="n">
        <v>43388</v>
      </c>
      <c r="B955" s="3">
        <f>IF(ISNUMBER(AVERAGE('20250815_ETF_Options_Exhibits'!B951:B955)),AVERAGE('20250815_ETF_Options_Exhibits'!B951:B955),"")</f>
        <v/>
      </c>
      <c r="C955" s="3">
        <f>IF(ISNUMBER(AVERAGE('20250815_ETF_Options_Exhibits'!C951:C955)),AVERAGE('20250815_ETF_Options_Exhibits'!C951:C955),"")</f>
        <v/>
      </c>
      <c r="D955" s="3">
        <f>IF(ISNUMBER(AVERAGE('20250815_ETF_Options_Exhibits'!D951:D955)),AVERAGE('20250815_ETF_Options_Exhibits'!D951:D955),"")</f>
        <v/>
      </c>
      <c r="E955" s="3">
        <f>IF(ISNUMBER(AVERAGE('20250815_ETF_Options_Exhibits'!E951:E955)),AVERAGE('20250815_ETF_Options_Exhibits'!E951:E955),"")</f>
        <v/>
      </c>
      <c r="F955" s="3">
        <f>IF(ISNUMBER(AVERAGE('20250815_ETF_Options_Exhibits'!F951:F955)),AVERAGE('20250815_ETF_Options_Exhibits'!F951:F955),"")</f>
        <v/>
      </c>
      <c r="G955" s="3">
        <f>IF(ISNUMBER(AVERAGE('20250815_ETF_Options_Exhibits'!G951:G955)),AVERAGE('20250815_ETF_Options_Exhibits'!G951:G955),"")</f>
        <v/>
      </c>
      <c r="H955" s="3">
        <f>IF(ISNUMBER(AVERAGE('20250815_ETF_Options_Exhibits'!H951:H955)),AVERAGE('20250815_ETF_Options_Exhibits'!H951:H955),"")</f>
        <v/>
      </c>
      <c r="I955" s="3">
        <f>IF(ISNUMBER(AVERAGE('20250815_ETF_Options_Exhibits'!I951:I955)),AVERAGE('20250815_ETF_Options_Exhibits'!I951:I955),"")</f>
        <v/>
      </c>
      <c r="J955" s="3">
        <f>IF(ISNUMBER(AVERAGE('20250815_ETF_Options_Exhibits'!J951:J955)),AVERAGE('20250815_ETF_Options_Exhibits'!J951:J955),"")</f>
        <v/>
      </c>
      <c r="K955" s="3">
        <f>IF(ISNUMBER(AVERAGE('20250815_ETF_Options_Exhibits'!K951:K955)),AVERAGE('20250815_ETF_Options_Exhibits'!K951:K955),"")</f>
        <v/>
      </c>
      <c r="L955" s="3">
        <f>IF(ISNUMBER(AVERAGE('20250815_ETF_Options_Exhibits'!L951:L955)),AVERAGE('20250815_ETF_Options_Exhibits'!L951:L955),"")</f>
        <v/>
      </c>
      <c r="M955" s="3">
        <f>IF(ISNUMBER(AVERAGE('20250815_ETF_Options_Exhibits'!M951:M955)),AVERAGE('20250815_ETF_Options_Exhibits'!M951:M955),"")</f>
        <v/>
      </c>
      <c r="N955" s="3">
        <f>IF(ISNUMBER(AVERAGE('20250815_ETF_Options_Exhibits'!N951:N955)),AVERAGE('20250815_ETF_Options_Exhibits'!N951:N955),"")</f>
        <v/>
      </c>
      <c r="O955" s="3">
        <f>IF(ISNUMBER(AVERAGE('20250815_ETF_Options_Exhibits'!O951:O955)),AVERAGE('20250815_ETF_Options_Exhibits'!O951:O955),"")</f>
        <v/>
      </c>
      <c r="P955" s="3">
        <f>IF(ISNUMBER(AVERAGE('20250815_ETF_Options_Exhibits'!P951:P955)),AVERAGE('20250815_ETF_Options_Exhibits'!P951:P955),"")</f>
        <v/>
      </c>
      <c r="Q955" s="3">
        <f>IF(ISNUMBER(AVERAGE('20250815_ETF_Options_Exhibits'!Q951:Q955)),AVERAGE('20250815_ETF_Options_Exhibits'!Q951:Q955),"")</f>
        <v/>
      </c>
      <c r="R955" s="3">
        <f>IF(ISNUMBER(AVERAGE('20250815_ETF_Options_Exhibits'!R951:R955)),AVERAGE('20250815_ETF_Options_Exhibits'!R951:R955),"")</f>
        <v/>
      </c>
      <c r="S955" s="3">
        <f>IF(ISNUMBER(AVERAGE('20250815_ETF_Options_Exhibits'!S951:S955)),AVERAGE('20250815_ETF_Options_Exhibits'!S951:S955),"")</f>
        <v/>
      </c>
      <c r="T955" s="3">
        <f>IF(ISNUMBER(AVERAGE('20250815_ETF_Options_Exhibits'!T951:T955)),AVERAGE('20250815_ETF_Options_Exhibits'!T951:T955),"")</f>
        <v/>
      </c>
      <c r="U955" s="3">
        <f>IF(ISNUMBER(AVERAGE('20250815_ETF_Options_Exhibits'!U951:U955)),AVERAGE('20250815_ETF_Options_Exhibits'!U951:U955),"")</f>
        <v/>
      </c>
      <c r="V955" s="3">
        <f>IF(ISNUMBER(AVERAGE('20250815_ETF_Options_Exhibits'!V951:V955)),AVERAGE('20250815_ETF_Options_Exhibits'!V951:V955),"")</f>
        <v/>
      </c>
      <c r="W955" s="3">
        <f>IF(ISNUMBER(AVERAGE('20250815_ETF_Options_Exhibits'!W951:W955)),AVERAGE('20250815_ETF_Options_Exhibits'!W951:W955),"")</f>
        <v/>
      </c>
      <c r="X955" s="3">
        <f>IF(ISNUMBER(AVERAGE('20250815_ETF_Options_Exhibits'!X951:X955)),AVERAGE('20250815_ETF_Options_Exhibits'!X951:X955),"")</f>
        <v/>
      </c>
      <c r="Y955" s="3">
        <f>IF(ISNUMBER(AVERAGE('20250815_ETF_Options_Exhibits'!Y951:Y955)),AVERAGE('20250815_ETF_Options_Exhibits'!Y951:Y955),"")</f>
        <v/>
      </c>
      <c r="Z955" s="3">
        <f>IF(ISNUMBER(AVERAGE('20250815_ETF_Options_Exhibits'!Z951:Z955)),AVERAGE('20250815_ETF_Options_Exhibits'!Z951:Z955),"")</f>
        <v/>
      </c>
      <c r="AA955" s="3">
        <f>IF(ISNUMBER(AVERAGE('20250815_ETF_Options_Exhibits'!AA951:AA955)),AVERAGE('20250815_ETF_Options_Exhibits'!AA951:AA955),"")</f>
        <v/>
      </c>
    </row>
    <row r="956">
      <c r="A956" s="1" t="n">
        <v>43389</v>
      </c>
      <c r="B956" s="3">
        <f>IF(ISNUMBER(AVERAGE('20250815_ETF_Options_Exhibits'!B952:B956)),AVERAGE('20250815_ETF_Options_Exhibits'!B952:B956),"")</f>
        <v/>
      </c>
      <c r="C956" s="3">
        <f>IF(ISNUMBER(AVERAGE('20250815_ETF_Options_Exhibits'!C952:C956)),AVERAGE('20250815_ETF_Options_Exhibits'!C952:C956),"")</f>
        <v/>
      </c>
      <c r="D956" s="3">
        <f>IF(ISNUMBER(AVERAGE('20250815_ETF_Options_Exhibits'!D952:D956)),AVERAGE('20250815_ETF_Options_Exhibits'!D952:D956),"")</f>
        <v/>
      </c>
      <c r="E956" s="3">
        <f>IF(ISNUMBER(AVERAGE('20250815_ETF_Options_Exhibits'!E952:E956)),AVERAGE('20250815_ETF_Options_Exhibits'!E952:E956),"")</f>
        <v/>
      </c>
      <c r="F956" s="3">
        <f>IF(ISNUMBER(AVERAGE('20250815_ETF_Options_Exhibits'!F952:F956)),AVERAGE('20250815_ETF_Options_Exhibits'!F952:F956),"")</f>
        <v/>
      </c>
      <c r="G956" s="3">
        <f>IF(ISNUMBER(AVERAGE('20250815_ETF_Options_Exhibits'!G952:G956)),AVERAGE('20250815_ETF_Options_Exhibits'!G952:G956),"")</f>
        <v/>
      </c>
      <c r="H956" s="3">
        <f>IF(ISNUMBER(AVERAGE('20250815_ETF_Options_Exhibits'!H952:H956)),AVERAGE('20250815_ETF_Options_Exhibits'!H952:H956),"")</f>
        <v/>
      </c>
      <c r="I956" s="3">
        <f>IF(ISNUMBER(AVERAGE('20250815_ETF_Options_Exhibits'!I952:I956)),AVERAGE('20250815_ETF_Options_Exhibits'!I952:I956),"")</f>
        <v/>
      </c>
      <c r="J956" s="3">
        <f>IF(ISNUMBER(AVERAGE('20250815_ETF_Options_Exhibits'!J952:J956)),AVERAGE('20250815_ETF_Options_Exhibits'!J952:J956),"")</f>
        <v/>
      </c>
      <c r="K956" s="3">
        <f>IF(ISNUMBER(AVERAGE('20250815_ETF_Options_Exhibits'!K952:K956)),AVERAGE('20250815_ETF_Options_Exhibits'!K952:K956),"")</f>
        <v/>
      </c>
      <c r="L956" s="3">
        <f>IF(ISNUMBER(AVERAGE('20250815_ETF_Options_Exhibits'!L952:L956)),AVERAGE('20250815_ETF_Options_Exhibits'!L952:L956),"")</f>
        <v/>
      </c>
      <c r="M956" s="3">
        <f>IF(ISNUMBER(AVERAGE('20250815_ETF_Options_Exhibits'!M952:M956)),AVERAGE('20250815_ETF_Options_Exhibits'!M952:M956),"")</f>
        <v/>
      </c>
      <c r="N956" s="3">
        <f>IF(ISNUMBER(AVERAGE('20250815_ETF_Options_Exhibits'!N952:N956)),AVERAGE('20250815_ETF_Options_Exhibits'!N952:N956),"")</f>
        <v/>
      </c>
      <c r="O956" s="3">
        <f>IF(ISNUMBER(AVERAGE('20250815_ETF_Options_Exhibits'!O952:O956)),AVERAGE('20250815_ETF_Options_Exhibits'!O952:O956),"")</f>
        <v/>
      </c>
      <c r="P956" s="3">
        <f>IF(ISNUMBER(AVERAGE('20250815_ETF_Options_Exhibits'!P952:P956)),AVERAGE('20250815_ETF_Options_Exhibits'!P952:P956),"")</f>
        <v/>
      </c>
      <c r="Q956" s="3">
        <f>IF(ISNUMBER(AVERAGE('20250815_ETF_Options_Exhibits'!Q952:Q956)),AVERAGE('20250815_ETF_Options_Exhibits'!Q952:Q956),"")</f>
        <v/>
      </c>
      <c r="R956" s="3">
        <f>IF(ISNUMBER(AVERAGE('20250815_ETF_Options_Exhibits'!R952:R956)),AVERAGE('20250815_ETF_Options_Exhibits'!R952:R956),"")</f>
        <v/>
      </c>
      <c r="S956" s="3">
        <f>IF(ISNUMBER(AVERAGE('20250815_ETF_Options_Exhibits'!S952:S956)),AVERAGE('20250815_ETF_Options_Exhibits'!S952:S956),"")</f>
        <v/>
      </c>
      <c r="T956" s="3">
        <f>IF(ISNUMBER(AVERAGE('20250815_ETF_Options_Exhibits'!T952:T956)),AVERAGE('20250815_ETF_Options_Exhibits'!T952:T956),"")</f>
        <v/>
      </c>
      <c r="U956" s="3">
        <f>IF(ISNUMBER(AVERAGE('20250815_ETF_Options_Exhibits'!U952:U956)),AVERAGE('20250815_ETF_Options_Exhibits'!U952:U956),"")</f>
        <v/>
      </c>
      <c r="V956" s="3">
        <f>IF(ISNUMBER(AVERAGE('20250815_ETF_Options_Exhibits'!V952:V956)),AVERAGE('20250815_ETF_Options_Exhibits'!V952:V956),"")</f>
        <v/>
      </c>
      <c r="W956" s="3">
        <f>IF(ISNUMBER(AVERAGE('20250815_ETF_Options_Exhibits'!W952:W956)),AVERAGE('20250815_ETF_Options_Exhibits'!W952:W956),"")</f>
        <v/>
      </c>
      <c r="X956" s="3">
        <f>IF(ISNUMBER(AVERAGE('20250815_ETF_Options_Exhibits'!X952:X956)),AVERAGE('20250815_ETF_Options_Exhibits'!X952:X956),"")</f>
        <v/>
      </c>
      <c r="Y956" s="3">
        <f>IF(ISNUMBER(AVERAGE('20250815_ETF_Options_Exhibits'!Y952:Y956)),AVERAGE('20250815_ETF_Options_Exhibits'!Y952:Y956),"")</f>
        <v/>
      </c>
      <c r="Z956" s="3">
        <f>IF(ISNUMBER(AVERAGE('20250815_ETF_Options_Exhibits'!Z952:Z956)),AVERAGE('20250815_ETF_Options_Exhibits'!Z952:Z956),"")</f>
        <v/>
      </c>
      <c r="AA956" s="3">
        <f>IF(ISNUMBER(AVERAGE('20250815_ETF_Options_Exhibits'!AA952:AA956)),AVERAGE('20250815_ETF_Options_Exhibits'!AA952:AA956),"")</f>
        <v/>
      </c>
    </row>
    <row r="957">
      <c r="A957" s="1" t="n">
        <v>43390</v>
      </c>
      <c r="B957" s="3">
        <f>IF(ISNUMBER(AVERAGE('20250815_ETF_Options_Exhibits'!B953:B957)),AVERAGE('20250815_ETF_Options_Exhibits'!B953:B957),"")</f>
        <v/>
      </c>
      <c r="C957" s="3">
        <f>IF(ISNUMBER(AVERAGE('20250815_ETF_Options_Exhibits'!C953:C957)),AVERAGE('20250815_ETF_Options_Exhibits'!C953:C957),"")</f>
        <v/>
      </c>
      <c r="D957" s="3">
        <f>IF(ISNUMBER(AVERAGE('20250815_ETF_Options_Exhibits'!D953:D957)),AVERAGE('20250815_ETF_Options_Exhibits'!D953:D957),"")</f>
        <v/>
      </c>
      <c r="E957" s="3">
        <f>IF(ISNUMBER(AVERAGE('20250815_ETF_Options_Exhibits'!E953:E957)),AVERAGE('20250815_ETF_Options_Exhibits'!E953:E957),"")</f>
        <v/>
      </c>
      <c r="F957" s="3">
        <f>IF(ISNUMBER(AVERAGE('20250815_ETF_Options_Exhibits'!F953:F957)),AVERAGE('20250815_ETF_Options_Exhibits'!F953:F957),"")</f>
        <v/>
      </c>
      <c r="G957" s="3">
        <f>IF(ISNUMBER(AVERAGE('20250815_ETF_Options_Exhibits'!G953:G957)),AVERAGE('20250815_ETF_Options_Exhibits'!G953:G957),"")</f>
        <v/>
      </c>
      <c r="H957" s="3">
        <f>IF(ISNUMBER(AVERAGE('20250815_ETF_Options_Exhibits'!H953:H957)),AVERAGE('20250815_ETF_Options_Exhibits'!H953:H957),"")</f>
        <v/>
      </c>
      <c r="I957" s="3">
        <f>IF(ISNUMBER(AVERAGE('20250815_ETF_Options_Exhibits'!I953:I957)),AVERAGE('20250815_ETF_Options_Exhibits'!I953:I957),"")</f>
        <v/>
      </c>
      <c r="J957" s="3">
        <f>IF(ISNUMBER(AVERAGE('20250815_ETF_Options_Exhibits'!J953:J957)),AVERAGE('20250815_ETF_Options_Exhibits'!J953:J957),"")</f>
        <v/>
      </c>
      <c r="K957" s="3">
        <f>IF(ISNUMBER(AVERAGE('20250815_ETF_Options_Exhibits'!K953:K957)),AVERAGE('20250815_ETF_Options_Exhibits'!K953:K957),"")</f>
        <v/>
      </c>
      <c r="L957" s="3">
        <f>IF(ISNUMBER(AVERAGE('20250815_ETF_Options_Exhibits'!L953:L957)),AVERAGE('20250815_ETF_Options_Exhibits'!L953:L957),"")</f>
        <v/>
      </c>
      <c r="M957" s="3">
        <f>IF(ISNUMBER(AVERAGE('20250815_ETF_Options_Exhibits'!M953:M957)),AVERAGE('20250815_ETF_Options_Exhibits'!M953:M957),"")</f>
        <v/>
      </c>
      <c r="N957" s="3">
        <f>IF(ISNUMBER(AVERAGE('20250815_ETF_Options_Exhibits'!N953:N957)),AVERAGE('20250815_ETF_Options_Exhibits'!N953:N957),"")</f>
        <v/>
      </c>
      <c r="O957" s="3">
        <f>IF(ISNUMBER(AVERAGE('20250815_ETF_Options_Exhibits'!O953:O957)),AVERAGE('20250815_ETF_Options_Exhibits'!O953:O957),"")</f>
        <v/>
      </c>
      <c r="P957" s="3">
        <f>IF(ISNUMBER(AVERAGE('20250815_ETF_Options_Exhibits'!P953:P957)),AVERAGE('20250815_ETF_Options_Exhibits'!P953:P957),"")</f>
        <v/>
      </c>
      <c r="Q957" s="3">
        <f>IF(ISNUMBER(AVERAGE('20250815_ETF_Options_Exhibits'!Q953:Q957)),AVERAGE('20250815_ETF_Options_Exhibits'!Q953:Q957),"")</f>
        <v/>
      </c>
      <c r="R957" s="3">
        <f>IF(ISNUMBER(AVERAGE('20250815_ETF_Options_Exhibits'!R953:R957)),AVERAGE('20250815_ETF_Options_Exhibits'!R953:R957),"")</f>
        <v/>
      </c>
      <c r="S957" s="3">
        <f>IF(ISNUMBER(AVERAGE('20250815_ETF_Options_Exhibits'!S953:S957)),AVERAGE('20250815_ETF_Options_Exhibits'!S953:S957),"")</f>
        <v/>
      </c>
      <c r="T957" s="3">
        <f>IF(ISNUMBER(AVERAGE('20250815_ETF_Options_Exhibits'!T953:T957)),AVERAGE('20250815_ETF_Options_Exhibits'!T953:T957),"")</f>
        <v/>
      </c>
      <c r="U957" s="3">
        <f>IF(ISNUMBER(AVERAGE('20250815_ETF_Options_Exhibits'!U953:U957)),AVERAGE('20250815_ETF_Options_Exhibits'!U953:U957),"")</f>
        <v/>
      </c>
      <c r="V957" s="3">
        <f>IF(ISNUMBER(AVERAGE('20250815_ETF_Options_Exhibits'!V953:V957)),AVERAGE('20250815_ETF_Options_Exhibits'!V953:V957),"")</f>
        <v/>
      </c>
      <c r="W957" s="3">
        <f>IF(ISNUMBER(AVERAGE('20250815_ETF_Options_Exhibits'!W953:W957)),AVERAGE('20250815_ETF_Options_Exhibits'!W953:W957),"")</f>
        <v/>
      </c>
      <c r="X957" s="3">
        <f>IF(ISNUMBER(AVERAGE('20250815_ETF_Options_Exhibits'!X953:X957)),AVERAGE('20250815_ETF_Options_Exhibits'!X953:X957),"")</f>
        <v/>
      </c>
      <c r="Y957" s="3">
        <f>IF(ISNUMBER(AVERAGE('20250815_ETF_Options_Exhibits'!Y953:Y957)),AVERAGE('20250815_ETF_Options_Exhibits'!Y953:Y957),"")</f>
        <v/>
      </c>
      <c r="Z957" s="3">
        <f>IF(ISNUMBER(AVERAGE('20250815_ETF_Options_Exhibits'!Z953:Z957)),AVERAGE('20250815_ETF_Options_Exhibits'!Z953:Z957),"")</f>
        <v/>
      </c>
      <c r="AA957" s="3">
        <f>IF(ISNUMBER(AVERAGE('20250815_ETF_Options_Exhibits'!AA953:AA957)),AVERAGE('20250815_ETF_Options_Exhibits'!AA953:AA957),"")</f>
        <v/>
      </c>
    </row>
    <row r="958">
      <c r="A958" s="1" t="n">
        <v>43391</v>
      </c>
      <c r="B958" s="3">
        <f>IF(ISNUMBER(AVERAGE('20250815_ETF_Options_Exhibits'!B954:B958)),AVERAGE('20250815_ETF_Options_Exhibits'!B954:B958),"")</f>
        <v/>
      </c>
      <c r="C958" s="3">
        <f>IF(ISNUMBER(AVERAGE('20250815_ETF_Options_Exhibits'!C954:C958)),AVERAGE('20250815_ETF_Options_Exhibits'!C954:C958),"")</f>
        <v/>
      </c>
      <c r="D958" s="3">
        <f>IF(ISNUMBER(AVERAGE('20250815_ETF_Options_Exhibits'!D954:D958)),AVERAGE('20250815_ETF_Options_Exhibits'!D954:D958),"")</f>
        <v/>
      </c>
      <c r="E958" s="3">
        <f>IF(ISNUMBER(AVERAGE('20250815_ETF_Options_Exhibits'!E954:E958)),AVERAGE('20250815_ETF_Options_Exhibits'!E954:E958),"")</f>
        <v/>
      </c>
      <c r="F958" s="3">
        <f>IF(ISNUMBER(AVERAGE('20250815_ETF_Options_Exhibits'!F954:F958)),AVERAGE('20250815_ETF_Options_Exhibits'!F954:F958),"")</f>
        <v/>
      </c>
      <c r="G958" s="3">
        <f>IF(ISNUMBER(AVERAGE('20250815_ETF_Options_Exhibits'!G954:G958)),AVERAGE('20250815_ETF_Options_Exhibits'!G954:G958),"")</f>
        <v/>
      </c>
      <c r="H958" s="3">
        <f>IF(ISNUMBER(AVERAGE('20250815_ETF_Options_Exhibits'!H954:H958)),AVERAGE('20250815_ETF_Options_Exhibits'!H954:H958),"")</f>
        <v/>
      </c>
      <c r="I958" s="3">
        <f>IF(ISNUMBER(AVERAGE('20250815_ETF_Options_Exhibits'!I954:I958)),AVERAGE('20250815_ETF_Options_Exhibits'!I954:I958),"")</f>
        <v/>
      </c>
      <c r="J958" s="3">
        <f>IF(ISNUMBER(AVERAGE('20250815_ETF_Options_Exhibits'!J954:J958)),AVERAGE('20250815_ETF_Options_Exhibits'!J954:J958),"")</f>
        <v/>
      </c>
      <c r="K958" s="3">
        <f>IF(ISNUMBER(AVERAGE('20250815_ETF_Options_Exhibits'!K954:K958)),AVERAGE('20250815_ETF_Options_Exhibits'!K954:K958),"")</f>
        <v/>
      </c>
      <c r="L958" s="3">
        <f>IF(ISNUMBER(AVERAGE('20250815_ETF_Options_Exhibits'!L954:L958)),AVERAGE('20250815_ETF_Options_Exhibits'!L954:L958),"")</f>
        <v/>
      </c>
      <c r="M958" s="3">
        <f>IF(ISNUMBER(AVERAGE('20250815_ETF_Options_Exhibits'!M954:M958)),AVERAGE('20250815_ETF_Options_Exhibits'!M954:M958),"")</f>
        <v/>
      </c>
      <c r="N958" s="3">
        <f>IF(ISNUMBER(AVERAGE('20250815_ETF_Options_Exhibits'!N954:N958)),AVERAGE('20250815_ETF_Options_Exhibits'!N954:N958),"")</f>
        <v/>
      </c>
      <c r="O958" s="3">
        <f>IF(ISNUMBER(AVERAGE('20250815_ETF_Options_Exhibits'!O954:O958)),AVERAGE('20250815_ETF_Options_Exhibits'!O954:O958),"")</f>
        <v/>
      </c>
      <c r="P958" s="3">
        <f>IF(ISNUMBER(AVERAGE('20250815_ETF_Options_Exhibits'!P954:P958)),AVERAGE('20250815_ETF_Options_Exhibits'!P954:P958),"")</f>
        <v/>
      </c>
      <c r="Q958" s="3">
        <f>IF(ISNUMBER(AVERAGE('20250815_ETF_Options_Exhibits'!Q954:Q958)),AVERAGE('20250815_ETF_Options_Exhibits'!Q954:Q958),"")</f>
        <v/>
      </c>
      <c r="R958" s="3">
        <f>IF(ISNUMBER(AVERAGE('20250815_ETF_Options_Exhibits'!R954:R958)),AVERAGE('20250815_ETF_Options_Exhibits'!R954:R958),"")</f>
        <v/>
      </c>
      <c r="S958" s="3">
        <f>IF(ISNUMBER(AVERAGE('20250815_ETF_Options_Exhibits'!S954:S958)),AVERAGE('20250815_ETF_Options_Exhibits'!S954:S958),"")</f>
        <v/>
      </c>
      <c r="T958" s="3">
        <f>IF(ISNUMBER(AVERAGE('20250815_ETF_Options_Exhibits'!T954:T958)),AVERAGE('20250815_ETF_Options_Exhibits'!T954:T958),"")</f>
        <v/>
      </c>
      <c r="U958" s="3">
        <f>IF(ISNUMBER(AVERAGE('20250815_ETF_Options_Exhibits'!U954:U958)),AVERAGE('20250815_ETF_Options_Exhibits'!U954:U958),"")</f>
        <v/>
      </c>
      <c r="V958" s="3">
        <f>IF(ISNUMBER(AVERAGE('20250815_ETF_Options_Exhibits'!V954:V958)),AVERAGE('20250815_ETF_Options_Exhibits'!V954:V958),"")</f>
        <v/>
      </c>
      <c r="W958" s="3">
        <f>IF(ISNUMBER(AVERAGE('20250815_ETF_Options_Exhibits'!W954:W958)),AVERAGE('20250815_ETF_Options_Exhibits'!W954:W958),"")</f>
        <v/>
      </c>
      <c r="X958" s="3">
        <f>IF(ISNUMBER(AVERAGE('20250815_ETF_Options_Exhibits'!X954:X958)),AVERAGE('20250815_ETF_Options_Exhibits'!X954:X958),"")</f>
        <v/>
      </c>
      <c r="Y958" s="3">
        <f>IF(ISNUMBER(AVERAGE('20250815_ETF_Options_Exhibits'!Y954:Y958)),AVERAGE('20250815_ETF_Options_Exhibits'!Y954:Y958),"")</f>
        <v/>
      </c>
      <c r="Z958" s="3">
        <f>IF(ISNUMBER(AVERAGE('20250815_ETF_Options_Exhibits'!Z954:Z958)),AVERAGE('20250815_ETF_Options_Exhibits'!Z954:Z958),"")</f>
        <v/>
      </c>
      <c r="AA958" s="3">
        <f>IF(ISNUMBER(AVERAGE('20250815_ETF_Options_Exhibits'!AA954:AA958)),AVERAGE('20250815_ETF_Options_Exhibits'!AA954:AA958),"")</f>
        <v/>
      </c>
    </row>
    <row r="959">
      <c r="A959" s="1" t="n">
        <v>43392</v>
      </c>
      <c r="B959" s="3">
        <f>IF(ISNUMBER(AVERAGE('20250815_ETF_Options_Exhibits'!B955:B959)),AVERAGE('20250815_ETF_Options_Exhibits'!B955:B959),"")</f>
        <v/>
      </c>
      <c r="C959" s="3">
        <f>IF(ISNUMBER(AVERAGE('20250815_ETF_Options_Exhibits'!C955:C959)),AVERAGE('20250815_ETF_Options_Exhibits'!C955:C959),"")</f>
        <v/>
      </c>
      <c r="D959" s="3">
        <f>IF(ISNUMBER(AVERAGE('20250815_ETF_Options_Exhibits'!D955:D959)),AVERAGE('20250815_ETF_Options_Exhibits'!D955:D959),"")</f>
        <v/>
      </c>
      <c r="E959" s="3">
        <f>IF(ISNUMBER(AVERAGE('20250815_ETF_Options_Exhibits'!E955:E959)),AVERAGE('20250815_ETF_Options_Exhibits'!E955:E959),"")</f>
        <v/>
      </c>
      <c r="F959" s="3">
        <f>IF(ISNUMBER(AVERAGE('20250815_ETF_Options_Exhibits'!F955:F959)),AVERAGE('20250815_ETF_Options_Exhibits'!F955:F959),"")</f>
        <v/>
      </c>
      <c r="G959" s="3">
        <f>IF(ISNUMBER(AVERAGE('20250815_ETF_Options_Exhibits'!G955:G959)),AVERAGE('20250815_ETF_Options_Exhibits'!G955:G959),"")</f>
        <v/>
      </c>
      <c r="H959" s="3">
        <f>IF(ISNUMBER(AVERAGE('20250815_ETF_Options_Exhibits'!H955:H959)),AVERAGE('20250815_ETF_Options_Exhibits'!H955:H959),"")</f>
        <v/>
      </c>
      <c r="I959" s="3">
        <f>IF(ISNUMBER(AVERAGE('20250815_ETF_Options_Exhibits'!I955:I959)),AVERAGE('20250815_ETF_Options_Exhibits'!I955:I959),"")</f>
        <v/>
      </c>
      <c r="J959" s="3">
        <f>IF(ISNUMBER(AVERAGE('20250815_ETF_Options_Exhibits'!J955:J959)),AVERAGE('20250815_ETF_Options_Exhibits'!J955:J959),"")</f>
        <v/>
      </c>
      <c r="K959" s="3">
        <f>IF(ISNUMBER(AVERAGE('20250815_ETF_Options_Exhibits'!K955:K959)),AVERAGE('20250815_ETF_Options_Exhibits'!K955:K959),"")</f>
        <v/>
      </c>
      <c r="L959" s="3">
        <f>IF(ISNUMBER(AVERAGE('20250815_ETF_Options_Exhibits'!L955:L959)),AVERAGE('20250815_ETF_Options_Exhibits'!L955:L959),"")</f>
        <v/>
      </c>
      <c r="M959" s="3">
        <f>IF(ISNUMBER(AVERAGE('20250815_ETF_Options_Exhibits'!M955:M959)),AVERAGE('20250815_ETF_Options_Exhibits'!M955:M959),"")</f>
        <v/>
      </c>
      <c r="N959" s="3">
        <f>IF(ISNUMBER(AVERAGE('20250815_ETF_Options_Exhibits'!N955:N959)),AVERAGE('20250815_ETF_Options_Exhibits'!N955:N959),"")</f>
        <v/>
      </c>
      <c r="O959" s="3">
        <f>IF(ISNUMBER(AVERAGE('20250815_ETF_Options_Exhibits'!O955:O959)),AVERAGE('20250815_ETF_Options_Exhibits'!O955:O959),"")</f>
        <v/>
      </c>
      <c r="P959" s="3">
        <f>IF(ISNUMBER(AVERAGE('20250815_ETF_Options_Exhibits'!P955:P959)),AVERAGE('20250815_ETF_Options_Exhibits'!P955:P959),"")</f>
        <v/>
      </c>
      <c r="Q959" s="3">
        <f>IF(ISNUMBER(AVERAGE('20250815_ETF_Options_Exhibits'!Q955:Q959)),AVERAGE('20250815_ETF_Options_Exhibits'!Q955:Q959),"")</f>
        <v/>
      </c>
      <c r="R959" s="3">
        <f>IF(ISNUMBER(AVERAGE('20250815_ETF_Options_Exhibits'!R955:R959)),AVERAGE('20250815_ETF_Options_Exhibits'!R955:R959),"")</f>
        <v/>
      </c>
      <c r="S959" s="3">
        <f>IF(ISNUMBER(AVERAGE('20250815_ETF_Options_Exhibits'!S955:S959)),AVERAGE('20250815_ETF_Options_Exhibits'!S955:S959),"")</f>
        <v/>
      </c>
      <c r="T959" s="3">
        <f>IF(ISNUMBER(AVERAGE('20250815_ETF_Options_Exhibits'!T955:T959)),AVERAGE('20250815_ETF_Options_Exhibits'!T955:T959),"")</f>
        <v/>
      </c>
      <c r="U959" s="3">
        <f>IF(ISNUMBER(AVERAGE('20250815_ETF_Options_Exhibits'!U955:U959)),AVERAGE('20250815_ETF_Options_Exhibits'!U955:U959),"")</f>
        <v/>
      </c>
      <c r="V959" s="3">
        <f>IF(ISNUMBER(AVERAGE('20250815_ETF_Options_Exhibits'!V955:V959)),AVERAGE('20250815_ETF_Options_Exhibits'!V955:V959),"")</f>
        <v/>
      </c>
      <c r="W959" s="3">
        <f>IF(ISNUMBER(AVERAGE('20250815_ETF_Options_Exhibits'!W955:W959)),AVERAGE('20250815_ETF_Options_Exhibits'!W955:W959),"")</f>
        <v/>
      </c>
      <c r="X959" s="3">
        <f>IF(ISNUMBER(AVERAGE('20250815_ETF_Options_Exhibits'!X955:X959)),AVERAGE('20250815_ETF_Options_Exhibits'!X955:X959),"")</f>
        <v/>
      </c>
      <c r="Y959" s="3">
        <f>IF(ISNUMBER(AVERAGE('20250815_ETF_Options_Exhibits'!Y955:Y959)),AVERAGE('20250815_ETF_Options_Exhibits'!Y955:Y959),"")</f>
        <v/>
      </c>
      <c r="Z959" s="3">
        <f>IF(ISNUMBER(AVERAGE('20250815_ETF_Options_Exhibits'!Z955:Z959)),AVERAGE('20250815_ETF_Options_Exhibits'!Z955:Z959),"")</f>
        <v/>
      </c>
      <c r="AA959" s="3">
        <f>IF(ISNUMBER(AVERAGE('20250815_ETF_Options_Exhibits'!AA955:AA959)),AVERAGE('20250815_ETF_Options_Exhibits'!AA955:AA959),"")</f>
        <v/>
      </c>
    </row>
    <row r="960">
      <c r="A960" s="1" t="n">
        <v>43395</v>
      </c>
      <c r="B960" s="3">
        <f>IF(ISNUMBER(AVERAGE('20250815_ETF_Options_Exhibits'!B956:B960)),AVERAGE('20250815_ETF_Options_Exhibits'!B956:B960),"")</f>
        <v/>
      </c>
      <c r="C960" s="3">
        <f>IF(ISNUMBER(AVERAGE('20250815_ETF_Options_Exhibits'!C956:C960)),AVERAGE('20250815_ETF_Options_Exhibits'!C956:C960),"")</f>
        <v/>
      </c>
      <c r="D960" s="3">
        <f>IF(ISNUMBER(AVERAGE('20250815_ETF_Options_Exhibits'!D956:D960)),AVERAGE('20250815_ETF_Options_Exhibits'!D956:D960),"")</f>
        <v/>
      </c>
      <c r="E960" s="3">
        <f>IF(ISNUMBER(AVERAGE('20250815_ETF_Options_Exhibits'!E956:E960)),AVERAGE('20250815_ETF_Options_Exhibits'!E956:E960),"")</f>
        <v/>
      </c>
      <c r="F960" s="3">
        <f>IF(ISNUMBER(AVERAGE('20250815_ETF_Options_Exhibits'!F956:F960)),AVERAGE('20250815_ETF_Options_Exhibits'!F956:F960),"")</f>
        <v/>
      </c>
      <c r="G960" s="3">
        <f>IF(ISNUMBER(AVERAGE('20250815_ETF_Options_Exhibits'!G956:G960)),AVERAGE('20250815_ETF_Options_Exhibits'!G956:G960),"")</f>
        <v/>
      </c>
      <c r="H960" s="3">
        <f>IF(ISNUMBER(AVERAGE('20250815_ETF_Options_Exhibits'!H956:H960)),AVERAGE('20250815_ETF_Options_Exhibits'!H956:H960),"")</f>
        <v/>
      </c>
      <c r="I960" s="3">
        <f>IF(ISNUMBER(AVERAGE('20250815_ETF_Options_Exhibits'!I956:I960)),AVERAGE('20250815_ETF_Options_Exhibits'!I956:I960),"")</f>
        <v/>
      </c>
      <c r="J960" s="3">
        <f>IF(ISNUMBER(AVERAGE('20250815_ETF_Options_Exhibits'!J956:J960)),AVERAGE('20250815_ETF_Options_Exhibits'!J956:J960),"")</f>
        <v/>
      </c>
      <c r="K960" s="3">
        <f>IF(ISNUMBER(AVERAGE('20250815_ETF_Options_Exhibits'!K956:K960)),AVERAGE('20250815_ETF_Options_Exhibits'!K956:K960),"")</f>
        <v/>
      </c>
      <c r="L960" s="3">
        <f>IF(ISNUMBER(AVERAGE('20250815_ETF_Options_Exhibits'!L956:L960)),AVERAGE('20250815_ETF_Options_Exhibits'!L956:L960),"")</f>
        <v/>
      </c>
      <c r="M960" s="3">
        <f>IF(ISNUMBER(AVERAGE('20250815_ETF_Options_Exhibits'!M956:M960)),AVERAGE('20250815_ETF_Options_Exhibits'!M956:M960),"")</f>
        <v/>
      </c>
      <c r="N960" s="3">
        <f>IF(ISNUMBER(AVERAGE('20250815_ETF_Options_Exhibits'!N956:N960)),AVERAGE('20250815_ETF_Options_Exhibits'!N956:N960),"")</f>
        <v/>
      </c>
      <c r="O960" s="3">
        <f>IF(ISNUMBER(AVERAGE('20250815_ETF_Options_Exhibits'!O956:O960)),AVERAGE('20250815_ETF_Options_Exhibits'!O956:O960),"")</f>
        <v/>
      </c>
      <c r="P960" s="3">
        <f>IF(ISNUMBER(AVERAGE('20250815_ETF_Options_Exhibits'!P956:P960)),AVERAGE('20250815_ETF_Options_Exhibits'!P956:P960),"")</f>
        <v/>
      </c>
      <c r="Q960" s="3">
        <f>IF(ISNUMBER(AVERAGE('20250815_ETF_Options_Exhibits'!Q956:Q960)),AVERAGE('20250815_ETF_Options_Exhibits'!Q956:Q960),"")</f>
        <v/>
      </c>
      <c r="R960" s="3">
        <f>IF(ISNUMBER(AVERAGE('20250815_ETF_Options_Exhibits'!R956:R960)),AVERAGE('20250815_ETF_Options_Exhibits'!R956:R960),"")</f>
        <v/>
      </c>
      <c r="S960" s="3">
        <f>IF(ISNUMBER(AVERAGE('20250815_ETF_Options_Exhibits'!S956:S960)),AVERAGE('20250815_ETF_Options_Exhibits'!S956:S960),"")</f>
        <v/>
      </c>
      <c r="T960" s="3">
        <f>IF(ISNUMBER(AVERAGE('20250815_ETF_Options_Exhibits'!T956:T960)),AVERAGE('20250815_ETF_Options_Exhibits'!T956:T960),"")</f>
        <v/>
      </c>
      <c r="U960" s="3">
        <f>IF(ISNUMBER(AVERAGE('20250815_ETF_Options_Exhibits'!U956:U960)),AVERAGE('20250815_ETF_Options_Exhibits'!U956:U960),"")</f>
        <v/>
      </c>
      <c r="V960" s="3">
        <f>IF(ISNUMBER(AVERAGE('20250815_ETF_Options_Exhibits'!V956:V960)),AVERAGE('20250815_ETF_Options_Exhibits'!V956:V960),"")</f>
        <v/>
      </c>
      <c r="W960" s="3">
        <f>IF(ISNUMBER(AVERAGE('20250815_ETF_Options_Exhibits'!W956:W960)),AVERAGE('20250815_ETF_Options_Exhibits'!W956:W960),"")</f>
        <v/>
      </c>
      <c r="X960" s="3">
        <f>IF(ISNUMBER(AVERAGE('20250815_ETF_Options_Exhibits'!X956:X960)),AVERAGE('20250815_ETF_Options_Exhibits'!X956:X960),"")</f>
        <v/>
      </c>
      <c r="Y960" s="3">
        <f>IF(ISNUMBER(AVERAGE('20250815_ETF_Options_Exhibits'!Y956:Y960)),AVERAGE('20250815_ETF_Options_Exhibits'!Y956:Y960),"")</f>
        <v/>
      </c>
      <c r="Z960" s="3">
        <f>IF(ISNUMBER(AVERAGE('20250815_ETF_Options_Exhibits'!Z956:Z960)),AVERAGE('20250815_ETF_Options_Exhibits'!Z956:Z960),"")</f>
        <v/>
      </c>
      <c r="AA960" s="3">
        <f>IF(ISNUMBER(AVERAGE('20250815_ETF_Options_Exhibits'!AA956:AA960)),AVERAGE('20250815_ETF_Options_Exhibits'!AA956:AA960),"")</f>
        <v/>
      </c>
    </row>
    <row r="961">
      <c r="A961" s="1" t="n">
        <v>43396</v>
      </c>
      <c r="B961" s="3">
        <f>IF(ISNUMBER(AVERAGE('20250815_ETF_Options_Exhibits'!B957:B961)),AVERAGE('20250815_ETF_Options_Exhibits'!B957:B961),"")</f>
        <v/>
      </c>
      <c r="C961" s="3">
        <f>IF(ISNUMBER(AVERAGE('20250815_ETF_Options_Exhibits'!C957:C961)),AVERAGE('20250815_ETF_Options_Exhibits'!C957:C961),"")</f>
        <v/>
      </c>
      <c r="D961" s="3">
        <f>IF(ISNUMBER(AVERAGE('20250815_ETF_Options_Exhibits'!D957:D961)),AVERAGE('20250815_ETF_Options_Exhibits'!D957:D961),"")</f>
        <v/>
      </c>
      <c r="E961" s="3">
        <f>IF(ISNUMBER(AVERAGE('20250815_ETF_Options_Exhibits'!E957:E961)),AVERAGE('20250815_ETF_Options_Exhibits'!E957:E961),"")</f>
        <v/>
      </c>
      <c r="F961" s="3">
        <f>IF(ISNUMBER(AVERAGE('20250815_ETF_Options_Exhibits'!F957:F961)),AVERAGE('20250815_ETF_Options_Exhibits'!F957:F961),"")</f>
        <v/>
      </c>
      <c r="G961" s="3">
        <f>IF(ISNUMBER(AVERAGE('20250815_ETF_Options_Exhibits'!G957:G961)),AVERAGE('20250815_ETF_Options_Exhibits'!G957:G961),"")</f>
        <v/>
      </c>
      <c r="H961" s="3">
        <f>IF(ISNUMBER(AVERAGE('20250815_ETF_Options_Exhibits'!H957:H961)),AVERAGE('20250815_ETF_Options_Exhibits'!H957:H961),"")</f>
        <v/>
      </c>
      <c r="I961" s="3">
        <f>IF(ISNUMBER(AVERAGE('20250815_ETF_Options_Exhibits'!I957:I961)),AVERAGE('20250815_ETF_Options_Exhibits'!I957:I961),"")</f>
        <v/>
      </c>
      <c r="J961" s="3">
        <f>IF(ISNUMBER(AVERAGE('20250815_ETF_Options_Exhibits'!J957:J961)),AVERAGE('20250815_ETF_Options_Exhibits'!J957:J961),"")</f>
        <v/>
      </c>
      <c r="K961" s="3">
        <f>IF(ISNUMBER(AVERAGE('20250815_ETF_Options_Exhibits'!K957:K961)),AVERAGE('20250815_ETF_Options_Exhibits'!K957:K961),"")</f>
        <v/>
      </c>
      <c r="L961" s="3">
        <f>IF(ISNUMBER(AVERAGE('20250815_ETF_Options_Exhibits'!L957:L961)),AVERAGE('20250815_ETF_Options_Exhibits'!L957:L961),"")</f>
        <v/>
      </c>
      <c r="M961" s="3">
        <f>IF(ISNUMBER(AVERAGE('20250815_ETF_Options_Exhibits'!M957:M961)),AVERAGE('20250815_ETF_Options_Exhibits'!M957:M961),"")</f>
        <v/>
      </c>
      <c r="N961" s="3">
        <f>IF(ISNUMBER(AVERAGE('20250815_ETF_Options_Exhibits'!N957:N961)),AVERAGE('20250815_ETF_Options_Exhibits'!N957:N961),"")</f>
        <v/>
      </c>
      <c r="O961" s="3">
        <f>IF(ISNUMBER(AVERAGE('20250815_ETF_Options_Exhibits'!O957:O961)),AVERAGE('20250815_ETF_Options_Exhibits'!O957:O961),"")</f>
        <v/>
      </c>
      <c r="P961" s="3">
        <f>IF(ISNUMBER(AVERAGE('20250815_ETF_Options_Exhibits'!P957:P961)),AVERAGE('20250815_ETF_Options_Exhibits'!P957:P961),"")</f>
        <v/>
      </c>
      <c r="Q961" s="3">
        <f>IF(ISNUMBER(AVERAGE('20250815_ETF_Options_Exhibits'!Q957:Q961)),AVERAGE('20250815_ETF_Options_Exhibits'!Q957:Q961),"")</f>
        <v/>
      </c>
      <c r="R961" s="3">
        <f>IF(ISNUMBER(AVERAGE('20250815_ETF_Options_Exhibits'!R957:R961)),AVERAGE('20250815_ETF_Options_Exhibits'!R957:R961),"")</f>
        <v/>
      </c>
      <c r="S961" s="3">
        <f>IF(ISNUMBER(AVERAGE('20250815_ETF_Options_Exhibits'!S957:S961)),AVERAGE('20250815_ETF_Options_Exhibits'!S957:S961),"")</f>
        <v/>
      </c>
      <c r="T961" s="3">
        <f>IF(ISNUMBER(AVERAGE('20250815_ETF_Options_Exhibits'!T957:T961)),AVERAGE('20250815_ETF_Options_Exhibits'!T957:T961),"")</f>
        <v/>
      </c>
      <c r="U961" s="3">
        <f>IF(ISNUMBER(AVERAGE('20250815_ETF_Options_Exhibits'!U957:U961)),AVERAGE('20250815_ETF_Options_Exhibits'!U957:U961),"")</f>
        <v/>
      </c>
      <c r="V961" s="3">
        <f>IF(ISNUMBER(AVERAGE('20250815_ETF_Options_Exhibits'!V957:V961)),AVERAGE('20250815_ETF_Options_Exhibits'!V957:V961),"")</f>
        <v/>
      </c>
      <c r="W961" s="3">
        <f>IF(ISNUMBER(AVERAGE('20250815_ETF_Options_Exhibits'!W957:W961)),AVERAGE('20250815_ETF_Options_Exhibits'!W957:W961),"")</f>
        <v/>
      </c>
      <c r="X961" s="3">
        <f>IF(ISNUMBER(AVERAGE('20250815_ETF_Options_Exhibits'!X957:X961)),AVERAGE('20250815_ETF_Options_Exhibits'!X957:X961),"")</f>
        <v/>
      </c>
      <c r="Y961" s="3">
        <f>IF(ISNUMBER(AVERAGE('20250815_ETF_Options_Exhibits'!Y957:Y961)),AVERAGE('20250815_ETF_Options_Exhibits'!Y957:Y961),"")</f>
        <v/>
      </c>
      <c r="Z961" s="3">
        <f>IF(ISNUMBER(AVERAGE('20250815_ETF_Options_Exhibits'!Z957:Z961)),AVERAGE('20250815_ETF_Options_Exhibits'!Z957:Z961),"")</f>
        <v/>
      </c>
      <c r="AA961" s="3">
        <f>IF(ISNUMBER(AVERAGE('20250815_ETF_Options_Exhibits'!AA957:AA961)),AVERAGE('20250815_ETF_Options_Exhibits'!AA957:AA961),"")</f>
        <v/>
      </c>
    </row>
    <row r="962">
      <c r="A962" s="1" t="n">
        <v>43397</v>
      </c>
      <c r="B962" s="3">
        <f>IF(ISNUMBER(AVERAGE('20250815_ETF_Options_Exhibits'!B958:B962)),AVERAGE('20250815_ETF_Options_Exhibits'!B958:B962),"")</f>
        <v/>
      </c>
      <c r="C962" s="3">
        <f>IF(ISNUMBER(AVERAGE('20250815_ETF_Options_Exhibits'!C958:C962)),AVERAGE('20250815_ETF_Options_Exhibits'!C958:C962),"")</f>
        <v/>
      </c>
      <c r="D962" s="3">
        <f>IF(ISNUMBER(AVERAGE('20250815_ETF_Options_Exhibits'!D958:D962)),AVERAGE('20250815_ETF_Options_Exhibits'!D958:D962),"")</f>
        <v/>
      </c>
      <c r="E962" s="3">
        <f>IF(ISNUMBER(AVERAGE('20250815_ETF_Options_Exhibits'!E958:E962)),AVERAGE('20250815_ETF_Options_Exhibits'!E958:E962),"")</f>
        <v/>
      </c>
      <c r="F962" s="3">
        <f>IF(ISNUMBER(AVERAGE('20250815_ETF_Options_Exhibits'!F958:F962)),AVERAGE('20250815_ETF_Options_Exhibits'!F958:F962),"")</f>
        <v/>
      </c>
      <c r="G962" s="3">
        <f>IF(ISNUMBER(AVERAGE('20250815_ETF_Options_Exhibits'!G958:G962)),AVERAGE('20250815_ETF_Options_Exhibits'!G958:G962),"")</f>
        <v/>
      </c>
      <c r="H962" s="3">
        <f>IF(ISNUMBER(AVERAGE('20250815_ETF_Options_Exhibits'!H958:H962)),AVERAGE('20250815_ETF_Options_Exhibits'!H958:H962),"")</f>
        <v/>
      </c>
      <c r="I962" s="3">
        <f>IF(ISNUMBER(AVERAGE('20250815_ETF_Options_Exhibits'!I958:I962)),AVERAGE('20250815_ETF_Options_Exhibits'!I958:I962),"")</f>
        <v/>
      </c>
      <c r="J962" s="3">
        <f>IF(ISNUMBER(AVERAGE('20250815_ETF_Options_Exhibits'!J958:J962)),AVERAGE('20250815_ETF_Options_Exhibits'!J958:J962),"")</f>
        <v/>
      </c>
      <c r="K962" s="3">
        <f>IF(ISNUMBER(AVERAGE('20250815_ETF_Options_Exhibits'!K958:K962)),AVERAGE('20250815_ETF_Options_Exhibits'!K958:K962),"")</f>
        <v/>
      </c>
      <c r="L962" s="3">
        <f>IF(ISNUMBER(AVERAGE('20250815_ETF_Options_Exhibits'!L958:L962)),AVERAGE('20250815_ETF_Options_Exhibits'!L958:L962),"")</f>
        <v/>
      </c>
      <c r="M962" s="3">
        <f>IF(ISNUMBER(AVERAGE('20250815_ETF_Options_Exhibits'!M958:M962)),AVERAGE('20250815_ETF_Options_Exhibits'!M958:M962),"")</f>
        <v/>
      </c>
      <c r="N962" s="3">
        <f>IF(ISNUMBER(AVERAGE('20250815_ETF_Options_Exhibits'!N958:N962)),AVERAGE('20250815_ETF_Options_Exhibits'!N958:N962),"")</f>
        <v/>
      </c>
      <c r="O962" s="3">
        <f>IF(ISNUMBER(AVERAGE('20250815_ETF_Options_Exhibits'!O958:O962)),AVERAGE('20250815_ETF_Options_Exhibits'!O958:O962),"")</f>
        <v/>
      </c>
      <c r="P962" s="3">
        <f>IF(ISNUMBER(AVERAGE('20250815_ETF_Options_Exhibits'!P958:P962)),AVERAGE('20250815_ETF_Options_Exhibits'!P958:P962),"")</f>
        <v/>
      </c>
      <c r="Q962" s="3">
        <f>IF(ISNUMBER(AVERAGE('20250815_ETF_Options_Exhibits'!Q958:Q962)),AVERAGE('20250815_ETF_Options_Exhibits'!Q958:Q962),"")</f>
        <v/>
      </c>
      <c r="R962" s="3">
        <f>IF(ISNUMBER(AVERAGE('20250815_ETF_Options_Exhibits'!R958:R962)),AVERAGE('20250815_ETF_Options_Exhibits'!R958:R962),"")</f>
        <v/>
      </c>
      <c r="S962" s="3">
        <f>IF(ISNUMBER(AVERAGE('20250815_ETF_Options_Exhibits'!S958:S962)),AVERAGE('20250815_ETF_Options_Exhibits'!S958:S962),"")</f>
        <v/>
      </c>
      <c r="T962" s="3">
        <f>IF(ISNUMBER(AVERAGE('20250815_ETF_Options_Exhibits'!T958:T962)),AVERAGE('20250815_ETF_Options_Exhibits'!T958:T962),"")</f>
        <v/>
      </c>
      <c r="U962" s="3">
        <f>IF(ISNUMBER(AVERAGE('20250815_ETF_Options_Exhibits'!U958:U962)),AVERAGE('20250815_ETF_Options_Exhibits'!U958:U962),"")</f>
        <v/>
      </c>
      <c r="V962" s="3">
        <f>IF(ISNUMBER(AVERAGE('20250815_ETF_Options_Exhibits'!V958:V962)),AVERAGE('20250815_ETF_Options_Exhibits'!V958:V962),"")</f>
        <v/>
      </c>
      <c r="W962" s="3">
        <f>IF(ISNUMBER(AVERAGE('20250815_ETF_Options_Exhibits'!W958:W962)),AVERAGE('20250815_ETF_Options_Exhibits'!W958:W962),"")</f>
        <v/>
      </c>
      <c r="X962" s="3">
        <f>IF(ISNUMBER(AVERAGE('20250815_ETF_Options_Exhibits'!X958:X962)),AVERAGE('20250815_ETF_Options_Exhibits'!X958:X962),"")</f>
        <v/>
      </c>
      <c r="Y962" s="3">
        <f>IF(ISNUMBER(AVERAGE('20250815_ETF_Options_Exhibits'!Y958:Y962)),AVERAGE('20250815_ETF_Options_Exhibits'!Y958:Y962),"")</f>
        <v/>
      </c>
      <c r="Z962" s="3">
        <f>IF(ISNUMBER(AVERAGE('20250815_ETF_Options_Exhibits'!Z958:Z962)),AVERAGE('20250815_ETF_Options_Exhibits'!Z958:Z962),"")</f>
        <v/>
      </c>
      <c r="AA962" s="3">
        <f>IF(ISNUMBER(AVERAGE('20250815_ETF_Options_Exhibits'!AA958:AA962)),AVERAGE('20250815_ETF_Options_Exhibits'!AA958:AA962),"")</f>
        <v/>
      </c>
    </row>
    <row r="963">
      <c r="A963" s="1" t="n">
        <v>43398</v>
      </c>
      <c r="B963" s="3">
        <f>IF(ISNUMBER(AVERAGE('20250815_ETF_Options_Exhibits'!B959:B963)),AVERAGE('20250815_ETF_Options_Exhibits'!B959:B963),"")</f>
        <v/>
      </c>
      <c r="C963" s="3">
        <f>IF(ISNUMBER(AVERAGE('20250815_ETF_Options_Exhibits'!C959:C963)),AVERAGE('20250815_ETF_Options_Exhibits'!C959:C963),"")</f>
        <v/>
      </c>
      <c r="D963" s="3">
        <f>IF(ISNUMBER(AVERAGE('20250815_ETF_Options_Exhibits'!D959:D963)),AVERAGE('20250815_ETF_Options_Exhibits'!D959:D963),"")</f>
        <v/>
      </c>
      <c r="E963" s="3">
        <f>IF(ISNUMBER(AVERAGE('20250815_ETF_Options_Exhibits'!E959:E963)),AVERAGE('20250815_ETF_Options_Exhibits'!E959:E963),"")</f>
        <v/>
      </c>
      <c r="F963" s="3">
        <f>IF(ISNUMBER(AVERAGE('20250815_ETF_Options_Exhibits'!F959:F963)),AVERAGE('20250815_ETF_Options_Exhibits'!F959:F963),"")</f>
        <v/>
      </c>
      <c r="G963" s="3">
        <f>IF(ISNUMBER(AVERAGE('20250815_ETF_Options_Exhibits'!G959:G963)),AVERAGE('20250815_ETF_Options_Exhibits'!G959:G963),"")</f>
        <v/>
      </c>
      <c r="H963" s="3">
        <f>IF(ISNUMBER(AVERAGE('20250815_ETF_Options_Exhibits'!H959:H963)),AVERAGE('20250815_ETF_Options_Exhibits'!H959:H963),"")</f>
        <v/>
      </c>
      <c r="I963" s="3">
        <f>IF(ISNUMBER(AVERAGE('20250815_ETF_Options_Exhibits'!I959:I963)),AVERAGE('20250815_ETF_Options_Exhibits'!I959:I963),"")</f>
        <v/>
      </c>
      <c r="J963" s="3">
        <f>IF(ISNUMBER(AVERAGE('20250815_ETF_Options_Exhibits'!J959:J963)),AVERAGE('20250815_ETF_Options_Exhibits'!J959:J963),"")</f>
        <v/>
      </c>
      <c r="K963" s="3">
        <f>IF(ISNUMBER(AVERAGE('20250815_ETF_Options_Exhibits'!K959:K963)),AVERAGE('20250815_ETF_Options_Exhibits'!K959:K963),"")</f>
        <v/>
      </c>
      <c r="L963" s="3">
        <f>IF(ISNUMBER(AVERAGE('20250815_ETF_Options_Exhibits'!L959:L963)),AVERAGE('20250815_ETF_Options_Exhibits'!L959:L963),"")</f>
        <v/>
      </c>
      <c r="M963" s="3">
        <f>IF(ISNUMBER(AVERAGE('20250815_ETF_Options_Exhibits'!M959:M963)),AVERAGE('20250815_ETF_Options_Exhibits'!M959:M963),"")</f>
        <v/>
      </c>
      <c r="N963" s="3">
        <f>IF(ISNUMBER(AVERAGE('20250815_ETF_Options_Exhibits'!N959:N963)),AVERAGE('20250815_ETF_Options_Exhibits'!N959:N963),"")</f>
        <v/>
      </c>
      <c r="O963" s="3">
        <f>IF(ISNUMBER(AVERAGE('20250815_ETF_Options_Exhibits'!O959:O963)),AVERAGE('20250815_ETF_Options_Exhibits'!O959:O963),"")</f>
        <v/>
      </c>
      <c r="P963" s="3">
        <f>IF(ISNUMBER(AVERAGE('20250815_ETF_Options_Exhibits'!P959:P963)),AVERAGE('20250815_ETF_Options_Exhibits'!P959:P963),"")</f>
        <v/>
      </c>
      <c r="Q963" s="3">
        <f>IF(ISNUMBER(AVERAGE('20250815_ETF_Options_Exhibits'!Q959:Q963)),AVERAGE('20250815_ETF_Options_Exhibits'!Q959:Q963),"")</f>
        <v/>
      </c>
      <c r="R963" s="3">
        <f>IF(ISNUMBER(AVERAGE('20250815_ETF_Options_Exhibits'!R959:R963)),AVERAGE('20250815_ETF_Options_Exhibits'!R959:R963),"")</f>
        <v/>
      </c>
      <c r="S963" s="3">
        <f>IF(ISNUMBER(AVERAGE('20250815_ETF_Options_Exhibits'!S959:S963)),AVERAGE('20250815_ETF_Options_Exhibits'!S959:S963),"")</f>
        <v/>
      </c>
      <c r="T963" s="3">
        <f>IF(ISNUMBER(AVERAGE('20250815_ETF_Options_Exhibits'!T959:T963)),AVERAGE('20250815_ETF_Options_Exhibits'!T959:T963),"")</f>
        <v/>
      </c>
      <c r="U963" s="3">
        <f>IF(ISNUMBER(AVERAGE('20250815_ETF_Options_Exhibits'!U959:U963)),AVERAGE('20250815_ETF_Options_Exhibits'!U959:U963),"")</f>
        <v/>
      </c>
      <c r="V963" s="3">
        <f>IF(ISNUMBER(AVERAGE('20250815_ETF_Options_Exhibits'!V959:V963)),AVERAGE('20250815_ETF_Options_Exhibits'!V959:V963),"")</f>
        <v/>
      </c>
      <c r="W963" s="3">
        <f>IF(ISNUMBER(AVERAGE('20250815_ETF_Options_Exhibits'!W959:W963)),AVERAGE('20250815_ETF_Options_Exhibits'!W959:W963),"")</f>
        <v/>
      </c>
      <c r="X963" s="3">
        <f>IF(ISNUMBER(AVERAGE('20250815_ETF_Options_Exhibits'!X959:X963)),AVERAGE('20250815_ETF_Options_Exhibits'!X959:X963),"")</f>
        <v/>
      </c>
      <c r="Y963" s="3">
        <f>IF(ISNUMBER(AVERAGE('20250815_ETF_Options_Exhibits'!Y959:Y963)),AVERAGE('20250815_ETF_Options_Exhibits'!Y959:Y963),"")</f>
        <v/>
      </c>
      <c r="Z963" s="3">
        <f>IF(ISNUMBER(AVERAGE('20250815_ETF_Options_Exhibits'!Z959:Z963)),AVERAGE('20250815_ETF_Options_Exhibits'!Z959:Z963),"")</f>
        <v/>
      </c>
      <c r="AA963" s="3">
        <f>IF(ISNUMBER(AVERAGE('20250815_ETF_Options_Exhibits'!AA959:AA963)),AVERAGE('20250815_ETF_Options_Exhibits'!AA959:AA963),"")</f>
        <v/>
      </c>
    </row>
    <row r="964">
      <c r="A964" s="1" t="n">
        <v>43399</v>
      </c>
      <c r="B964" s="3">
        <f>IF(ISNUMBER(AVERAGE('20250815_ETF_Options_Exhibits'!B960:B964)),AVERAGE('20250815_ETF_Options_Exhibits'!B960:B964),"")</f>
        <v/>
      </c>
      <c r="C964" s="3">
        <f>IF(ISNUMBER(AVERAGE('20250815_ETF_Options_Exhibits'!C960:C964)),AVERAGE('20250815_ETF_Options_Exhibits'!C960:C964),"")</f>
        <v/>
      </c>
      <c r="D964" s="3">
        <f>IF(ISNUMBER(AVERAGE('20250815_ETF_Options_Exhibits'!D960:D964)),AVERAGE('20250815_ETF_Options_Exhibits'!D960:D964),"")</f>
        <v/>
      </c>
      <c r="E964" s="3">
        <f>IF(ISNUMBER(AVERAGE('20250815_ETF_Options_Exhibits'!E960:E964)),AVERAGE('20250815_ETF_Options_Exhibits'!E960:E964),"")</f>
        <v/>
      </c>
      <c r="F964" s="3">
        <f>IF(ISNUMBER(AVERAGE('20250815_ETF_Options_Exhibits'!F960:F964)),AVERAGE('20250815_ETF_Options_Exhibits'!F960:F964),"")</f>
        <v/>
      </c>
      <c r="G964" s="3">
        <f>IF(ISNUMBER(AVERAGE('20250815_ETF_Options_Exhibits'!G960:G964)),AVERAGE('20250815_ETF_Options_Exhibits'!G960:G964),"")</f>
        <v/>
      </c>
      <c r="H964" s="3">
        <f>IF(ISNUMBER(AVERAGE('20250815_ETF_Options_Exhibits'!H960:H964)),AVERAGE('20250815_ETF_Options_Exhibits'!H960:H964),"")</f>
        <v/>
      </c>
      <c r="I964" s="3">
        <f>IF(ISNUMBER(AVERAGE('20250815_ETF_Options_Exhibits'!I960:I964)),AVERAGE('20250815_ETF_Options_Exhibits'!I960:I964),"")</f>
        <v/>
      </c>
      <c r="J964" s="3">
        <f>IF(ISNUMBER(AVERAGE('20250815_ETF_Options_Exhibits'!J960:J964)),AVERAGE('20250815_ETF_Options_Exhibits'!J960:J964),"")</f>
        <v/>
      </c>
      <c r="K964" s="3">
        <f>IF(ISNUMBER(AVERAGE('20250815_ETF_Options_Exhibits'!K960:K964)),AVERAGE('20250815_ETF_Options_Exhibits'!K960:K964),"")</f>
        <v/>
      </c>
      <c r="L964" s="3">
        <f>IF(ISNUMBER(AVERAGE('20250815_ETF_Options_Exhibits'!L960:L964)),AVERAGE('20250815_ETF_Options_Exhibits'!L960:L964),"")</f>
        <v/>
      </c>
      <c r="M964" s="3">
        <f>IF(ISNUMBER(AVERAGE('20250815_ETF_Options_Exhibits'!M960:M964)),AVERAGE('20250815_ETF_Options_Exhibits'!M960:M964),"")</f>
        <v/>
      </c>
      <c r="N964" s="3">
        <f>IF(ISNUMBER(AVERAGE('20250815_ETF_Options_Exhibits'!N960:N964)),AVERAGE('20250815_ETF_Options_Exhibits'!N960:N964),"")</f>
        <v/>
      </c>
      <c r="O964" s="3">
        <f>IF(ISNUMBER(AVERAGE('20250815_ETF_Options_Exhibits'!O960:O964)),AVERAGE('20250815_ETF_Options_Exhibits'!O960:O964),"")</f>
        <v/>
      </c>
      <c r="P964" s="3">
        <f>IF(ISNUMBER(AVERAGE('20250815_ETF_Options_Exhibits'!P960:P964)),AVERAGE('20250815_ETF_Options_Exhibits'!P960:P964),"")</f>
        <v/>
      </c>
      <c r="Q964" s="3">
        <f>IF(ISNUMBER(AVERAGE('20250815_ETF_Options_Exhibits'!Q960:Q964)),AVERAGE('20250815_ETF_Options_Exhibits'!Q960:Q964),"")</f>
        <v/>
      </c>
      <c r="R964" s="3">
        <f>IF(ISNUMBER(AVERAGE('20250815_ETF_Options_Exhibits'!R960:R964)),AVERAGE('20250815_ETF_Options_Exhibits'!R960:R964),"")</f>
        <v/>
      </c>
      <c r="S964" s="3">
        <f>IF(ISNUMBER(AVERAGE('20250815_ETF_Options_Exhibits'!S960:S964)),AVERAGE('20250815_ETF_Options_Exhibits'!S960:S964),"")</f>
        <v/>
      </c>
      <c r="T964" s="3">
        <f>IF(ISNUMBER(AVERAGE('20250815_ETF_Options_Exhibits'!T960:T964)),AVERAGE('20250815_ETF_Options_Exhibits'!T960:T964),"")</f>
        <v/>
      </c>
      <c r="U964" s="3">
        <f>IF(ISNUMBER(AVERAGE('20250815_ETF_Options_Exhibits'!U960:U964)),AVERAGE('20250815_ETF_Options_Exhibits'!U960:U964),"")</f>
        <v/>
      </c>
      <c r="V964" s="3">
        <f>IF(ISNUMBER(AVERAGE('20250815_ETF_Options_Exhibits'!V960:V964)),AVERAGE('20250815_ETF_Options_Exhibits'!V960:V964),"")</f>
        <v/>
      </c>
      <c r="W964" s="3">
        <f>IF(ISNUMBER(AVERAGE('20250815_ETF_Options_Exhibits'!W960:W964)),AVERAGE('20250815_ETF_Options_Exhibits'!W960:W964),"")</f>
        <v/>
      </c>
      <c r="X964" s="3">
        <f>IF(ISNUMBER(AVERAGE('20250815_ETF_Options_Exhibits'!X960:X964)),AVERAGE('20250815_ETF_Options_Exhibits'!X960:X964),"")</f>
        <v/>
      </c>
      <c r="Y964" s="3">
        <f>IF(ISNUMBER(AVERAGE('20250815_ETF_Options_Exhibits'!Y960:Y964)),AVERAGE('20250815_ETF_Options_Exhibits'!Y960:Y964),"")</f>
        <v/>
      </c>
      <c r="Z964" s="3">
        <f>IF(ISNUMBER(AVERAGE('20250815_ETF_Options_Exhibits'!Z960:Z964)),AVERAGE('20250815_ETF_Options_Exhibits'!Z960:Z964),"")</f>
        <v/>
      </c>
      <c r="AA964" s="3">
        <f>IF(ISNUMBER(AVERAGE('20250815_ETF_Options_Exhibits'!AA960:AA964)),AVERAGE('20250815_ETF_Options_Exhibits'!AA960:AA964),"")</f>
        <v/>
      </c>
    </row>
    <row r="965">
      <c r="A965" s="1" t="n">
        <v>43402</v>
      </c>
      <c r="B965" s="3">
        <f>IF(ISNUMBER(AVERAGE('20250815_ETF_Options_Exhibits'!B961:B965)),AVERAGE('20250815_ETF_Options_Exhibits'!B961:B965),"")</f>
        <v/>
      </c>
      <c r="C965" s="3">
        <f>IF(ISNUMBER(AVERAGE('20250815_ETF_Options_Exhibits'!C961:C965)),AVERAGE('20250815_ETF_Options_Exhibits'!C961:C965),"")</f>
        <v/>
      </c>
      <c r="D965" s="3">
        <f>IF(ISNUMBER(AVERAGE('20250815_ETF_Options_Exhibits'!D961:D965)),AVERAGE('20250815_ETF_Options_Exhibits'!D961:D965),"")</f>
        <v/>
      </c>
      <c r="E965" s="3">
        <f>IF(ISNUMBER(AVERAGE('20250815_ETF_Options_Exhibits'!E961:E965)),AVERAGE('20250815_ETF_Options_Exhibits'!E961:E965),"")</f>
        <v/>
      </c>
      <c r="F965" s="3">
        <f>IF(ISNUMBER(AVERAGE('20250815_ETF_Options_Exhibits'!F961:F965)),AVERAGE('20250815_ETF_Options_Exhibits'!F961:F965),"")</f>
        <v/>
      </c>
      <c r="G965" s="3">
        <f>IF(ISNUMBER(AVERAGE('20250815_ETF_Options_Exhibits'!G961:G965)),AVERAGE('20250815_ETF_Options_Exhibits'!G961:G965),"")</f>
        <v/>
      </c>
      <c r="H965" s="3">
        <f>IF(ISNUMBER(AVERAGE('20250815_ETF_Options_Exhibits'!H961:H965)),AVERAGE('20250815_ETF_Options_Exhibits'!H961:H965),"")</f>
        <v/>
      </c>
      <c r="I965" s="3">
        <f>IF(ISNUMBER(AVERAGE('20250815_ETF_Options_Exhibits'!I961:I965)),AVERAGE('20250815_ETF_Options_Exhibits'!I961:I965),"")</f>
        <v/>
      </c>
      <c r="J965" s="3">
        <f>IF(ISNUMBER(AVERAGE('20250815_ETF_Options_Exhibits'!J961:J965)),AVERAGE('20250815_ETF_Options_Exhibits'!J961:J965),"")</f>
        <v/>
      </c>
      <c r="K965" s="3">
        <f>IF(ISNUMBER(AVERAGE('20250815_ETF_Options_Exhibits'!K961:K965)),AVERAGE('20250815_ETF_Options_Exhibits'!K961:K965),"")</f>
        <v/>
      </c>
      <c r="L965" s="3">
        <f>IF(ISNUMBER(AVERAGE('20250815_ETF_Options_Exhibits'!L961:L965)),AVERAGE('20250815_ETF_Options_Exhibits'!L961:L965),"")</f>
        <v/>
      </c>
      <c r="M965" s="3">
        <f>IF(ISNUMBER(AVERAGE('20250815_ETF_Options_Exhibits'!M961:M965)),AVERAGE('20250815_ETF_Options_Exhibits'!M961:M965),"")</f>
        <v/>
      </c>
      <c r="N965" s="3">
        <f>IF(ISNUMBER(AVERAGE('20250815_ETF_Options_Exhibits'!N961:N965)),AVERAGE('20250815_ETF_Options_Exhibits'!N961:N965),"")</f>
        <v/>
      </c>
      <c r="O965" s="3">
        <f>IF(ISNUMBER(AVERAGE('20250815_ETF_Options_Exhibits'!O961:O965)),AVERAGE('20250815_ETF_Options_Exhibits'!O961:O965),"")</f>
        <v/>
      </c>
      <c r="P965" s="3">
        <f>IF(ISNUMBER(AVERAGE('20250815_ETF_Options_Exhibits'!P961:P965)),AVERAGE('20250815_ETF_Options_Exhibits'!P961:P965),"")</f>
        <v/>
      </c>
      <c r="Q965" s="3">
        <f>IF(ISNUMBER(AVERAGE('20250815_ETF_Options_Exhibits'!Q961:Q965)),AVERAGE('20250815_ETF_Options_Exhibits'!Q961:Q965),"")</f>
        <v/>
      </c>
      <c r="R965" s="3">
        <f>IF(ISNUMBER(AVERAGE('20250815_ETF_Options_Exhibits'!R961:R965)),AVERAGE('20250815_ETF_Options_Exhibits'!R961:R965),"")</f>
        <v/>
      </c>
      <c r="S965" s="3">
        <f>IF(ISNUMBER(AVERAGE('20250815_ETF_Options_Exhibits'!S961:S965)),AVERAGE('20250815_ETF_Options_Exhibits'!S961:S965),"")</f>
        <v/>
      </c>
      <c r="T965" s="3">
        <f>IF(ISNUMBER(AVERAGE('20250815_ETF_Options_Exhibits'!T961:T965)),AVERAGE('20250815_ETF_Options_Exhibits'!T961:T965),"")</f>
        <v/>
      </c>
      <c r="U965" s="3">
        <f>IF(ISNUMBER(AVERAGE('20250815_ETF_Options_Exhibits'!U961:U965)),AVERAGE('20250815_ETF_Options_Exhibits'!U961:U965),"")</f>
        <v/>
      </c>
      <c r="V965" s="3">
        <f>IF(ISNUMBER(AVERAGE('20250815_ETF_Options_Exhibits'!V961:V965)),AVERAGE('20250815_ETF_Options_Exhibits'!V961:V965),"")</f>
        <v/>
      </c>
      <c r="W965" s="3">
        <f>IF(ISNUMBER(AVERAGE('20250815_ETF_Options_Exhibits'!W961:W965)),AVERAGE('20250815_ETF_Options_Exhibits'!W961:W965),"")</f>
        <v/>
      </c>
      <c r="X965" s="3">
        <f>IF(ISNUMBER(AVERAGE('20250815_ETF_Options_Exhibits'!X961:X965)),AVERAGE('20250815_ETF_Options_Exhibits'!X961:X965),"")</f>
        <v/>
      </c>
      <c r="Y965" s="3">
        <f>IF(ISNUMBER(AVERAGE('20250815_ETF_Options_Exhibits'!Y961:Y965)),AVERAGE('20250815_ETF_Options_Exhibits'!Y961:Y965),"")</f>
        <v/>
      </c>
      <c r="Z965" s="3">
        <f>IF(ISNUMBER(AVERAGE('20250815_ETF_Options_Exhibits'!Z961:Z965)),AVERAGE('20250815_ETF_Options_Exhibits'!Z961:Z965),"")</f>
        <v/>
      </c>
      <c r="AA965" s="3">
        <f>IF(ISNUMBER(AVERAGE('20250815_ETF_Options_Exhibits'!AA961:AA965)),AVERAGE('20250815_ETF_Options_Exhibits'!AA961:AA965),"")</f>
        <v/>
      </c>
    </row>
    <row r="966">
      <c r="A966" s="1" t="n">
        <v>43403</v>
      </c>
      <c r="B966" s="3">
        <f>IF(ISNUMBER(AVERAGE('20250815_ETF_Options_Exhibits'!B962:B966)),AVERAGE('20250815_ETF_Options_Exhibits'!B962:B966),"")</f>
        <v/>
      </c>
      <c r="C966" s="3">
        <f>IF(ISNUMBER(AVERAGE('20250815_ETF_Options_Exhibits'!C962:C966)),AVERAGE('20250815_ETF_Options_Exhibits'!C962:C966),"")</f>
        <v/>
      </c>
      <c r="D966" s="3">
        <f>IF(ISNUMBER(AVERAGE('20250815_ETF_Options_Exhibits'!D962:D966)),AVERAGE('20250815_ETF_Options_Exhibits'!D962:D966),"")</f>
        <v/>
      </c>
      <c r="E966" s="3">
        <f>IF(ISNUMBER(AVERAGE('20250815_ETF_Options_Exhibits'!E962:E966)),AVERAGE('20250815_ETF_Options_Exhibits'!E962:E966),"")</f>
        <v/>
      </c>
      <c r="F966" s="3">
        <f>IF(ISNUMBER(AVERAGE('20250815_ETF_Options_Exhibits'!F962:F966)),AVERAGE('20250815_ETF_Options_Exhibits'!F962:F966),"")</f>
        <v/>
      </c>
      <c r="G966" s="3">
        <f>IF(ISNUMBER(AVERAGE('20250815_ETF_Options_Exhibits'!G962:G966)),AVERAGE('20250815_ETF_Options_Exhibits'!G962:G966),"")</f>
        <v/>
      </c>
      <c r="H966" s="3">
        <f>IF(ISNUMBER(AVERAGE('20250815_ETF_Options_Exhibits'!H962:H966)),AVERAGE('20250815_ETF_Options_Exhibits'!H962:H966),"")</f>
        <v/>
      </c>
      <c r="I966" s="3">
        <f>IF(ISNUMBER(AVERAGE('20250815_ETF_Options_Exhibits'!I962:I966)),AVERAGE('20250815_ETF_Options_Exhibits'!I962:I966),"")</f>
        <v/>
      </c>
      <c r="J966" s="3">
        <f>IF(ISNUMBER(AVERAGE('20250815_ETF_Options_Exhibits'!J962:J966)),AVERAGE('20250815_ETF_Options_Exhibits'!J962:J966),"")</f>
        <v/>
      </c>
      <c r="K966" s="3">
        <f>IF(ISNUMBER(AVERAGE('20250815_ETF_Options_Exhibits'!K962:K966)),AVERAGE('20250815_ETF_Options_Exhibits'!K962:K966),"")</f>
        <v/>
      </c>
      <c r="L966" s="3">
        <f>IF(ISNUMBER(AVERAGE('20250815_ETF_Options_Exhibits'!L962:L966)),AVERAGE('20250815_ETF_Options_Exhibits'!L962:L966),"")</f>
        <v/>
      </c>
      <c r="M966" s="3">
        <f>IF(ISNUMBER(AVERAGE('20250815_ETF_Options_Exhibits'!M962:M966)),AVERAGE('20250815_ETF_Options_Exhibits'!M962:M966),"")</f>
        <v/>
      </c>
      <c r="N966" s="3">
        <f>IF(ISNUMBER(AVERAGE('20250815_ETF_Options_Exhibits'!N962:N966)),AVERAGE('20250815_ETF_Options_Exhibits'!N962:N966),"")</f>
        <v/>
      </c>
      <c r="O966" s="3">
        <f>IF(ISNUMBER(AVERAGE('20250815_ETF_Options_Exhibits'!O962:O966)),AVERAGE('20250815_ETF_Options_Exhibits'!O962:O966),"")</f>
        <v/>
      </c>
      <c r="P966" s="3">
        <f>IF(ISNUMBER(AVERAGE('20250815_ETF_Options_Exhibits'!P962:P966)),AVERAGE('20250815_ETF_Options_Exhibits'!P962:P966),"")</f>
        <v/>
      </c>
      <c r="Q966" s="3">
        <f>IF(ISNUMBER(AVERAGE('20250815_ETF_Options_Exhibits'!Q962:Q966)),AVERAGE('20250815_ETF_Options_Exhibits'!Q962:Q966),"")</f>
        <v/>
      </c>
      <c r="R966" s="3">
        <f>IF(ISNUMBER(AVERAGE('20250815_ETF_Options_Exhibits'!R962:R966)),AVERAGE('20250815_ETF_Options_Exhibits'!R962:R966),"")</f>
        <v/>
      </c>
      <c r="S966" s="3">
        <f>IF(ISNUMBER(AVERAGE('20250815_ETF_Options_Exhibits'!S962:S966)),AVERAGE('20250815_ETF_Options_Exhibits'!S962:S966),"")</f>
        <v/>
      </c>
      <c r="T966" s="3">
        <f>IF(ISNUMBER(AVERAGE('20250815_ETF_Options_Exhibits'!T962:T966)),AVERAGE('20250815_ETF_Options_Exhibits'!T962:T966),"")</f>
        <v/>
      </c>
      <c r="U966" s="3">
        <f>IF(ISNUMBER(AVERAGE('20250815_ETF_Options_Exhibits'!U962:U966)),AVERAGE('20250815_ETF_Options_Exhibits'!U962:U966),"")</f>
        <v/>
      </c>
      <c r="V966" s="3">
        <f>IF(ISNUMBER(AVERAGE('20250815_ETF_Options_Exhibits'!V962:V966)),AVERAGE('20250815_ETF_Options_Exhibits'!V962:V966),"")</f>
        <v/>
      </c>
      <c r="W966" s="3">
        <f>IF(ISNUMBER(AVERAGE('20250815_ETF_Options_Exhibits'!W962:W966)),AVERAGE('20250815_ETF_Options_Exhibits'!W962:W966),"")</f>
        <v/>
      </c>
      <c r="X966" s="3">
        <f>IF(ISNUMBER(AVERAGE('20250815_ETF_Options_Exhibits'!X962:X966)),AVERAGE('20250815_ETF_Options_Exhibits'!X962:X966),"")</f>
        <v/>
      </c>
      <c r="Y966" s="3">
        <f>IF(ISNUMBER(AVERAGE('20250815_ETF_Options_Exhibits'!Y962:Y966)),AVERAGE('20250815_ETF_Options_Exhibits'!Y962:Y966),"")</f>
        <v/>
      </c>
      <c r="Z966" s="3">
        <f>IF(ISNUMBER(AVERAGE('20250815_ETF_Options_Exhibits'!Z962:Z966)),AVERAGE('20250815_ETF_Options_Exhibits'!Z962:Z966),"")</f>
        <v/>
      </c>
      <c r="AA966" s="3">
        <f>IF(ISNUMBER(AVERAGE('20250815_ETF_Options_Exhibits'!AA962:AA966)),AVERAGE('20250815_ETF_Options_Exhibits'!AA962:AA966),"")</f>
        <v/>
      </c>
    </row>
    <row r="967">
      <c r="A967" s="1" t="n">
        <v>43404</v>
      </c>
      <c r="B967" s="3">
        <f>IF(ISNUMBER(AVERAGE('20250815_ETF_Options_Exhibits'!B963:B967)),AVERAGE('20250815_ETF_Options_Exhibits'!B963:B967),"")</f>
        <v/>
      </c>
      <c r="C967" s="3">
        <f>IF(ISNUMBER(AVERAGE('20250815_ETF_Options_Exhibits'!C963:C967)),AVERAGE('20250815_ETF_Options_Exhibits'!C963:C967),"")</f>
        <v/>
      </c>
      <c r="D967" s="3">
        <f>IF(ISNUMBER(AVERAGE('20250815_ETF_Options_Exhibits'!D963:D967)),AVERAGE('20250815_ETF_Options_Exhibits'!D963:D967),"")</f>
        <v/>
      </c>
      <c r="E967" s="3">
        <f>IF(ISNUMBER(AVERAGE('20250815_ETF_Options_Exhibits'!E963:E967)),AVERAGE('20250815_ETF_Options_Exhibits'!E963:E967),"")</f>
        <v/>
      </c>
      <c r="F967" s="3">
        <f>IF(ISNUMBER(AVERAGE('20250815_ETF_Options_Exhibits'!F963:F967)),AVERAGE('20250815_ETF_Options_Exhibits'!F963:F967),"")</f>
        <v/>
      </c>
      <c r="G967" s="3">
        <f>IF(ISNUMBER(AVERAGE('20250815_ETF_Options_Exhibits'!G963:G967)),AVERAGE('20250815_ETF_Options_Exhibits'!G963:G967),"")</f>
        <v/>
      </c>
      <c r="H967" s="3">
        <f>IF(ISNUMBER(AVERAGE('20250815_ETF_Options_Exhibits'!H963:H967)),AVERAGE('20250815_ETF_Options_Exhibits'!H963:H967),"")</f>
        <v/>
      </c>
      <c r="I967" s="3">
        <f>IF(ISNUMBER(AVERAGE('20250815_ETF_Options_Exhibits'!I963:I967)),AVERAGE('20250815_ETF_Options_Exhibits'!I963:I967),"")</f>
        <v/>
      </c>
      <c r="J967" s="3">
        <f>IF(ISNUMBER(AVERAGE('20250815_ETF_Options_Exhibits'!J963:J967)),AVERAGE('20250815_ETF_Options_Exhibits'!J963:J967),"")</f>
        <v/>
      </c>
      <c r="K967" s="3">
        <f>IF(ISNUMBER(AVERAGE('20250815_ETF_Options_Exhibits'!K963:K967)),AVERAGE('20250815_ETF_Options_Exhibits'!K963:K967),"")</f>
        <v/>
      </c>
      <c r="L967" s="3">
        <f>IF(ISNUMBER(AVERAGE('20250815_ETF_Options_Exhibits'!L963:L967)),AVERAGE('20250815_ETF_Options_Exhibits'!L963:L967),"")</f>
        <v/>
      </c>
      <c r="M967" s="3">
        <f>IF(ISNUMBER(AVERAGE('20250815_ETF_Options_Exhibits'!M963:M967)),AVERAGE('20250815_ETF_Options_Exhibits'!M963:M967),"")</f>
        <v/>
      </c>
      <c r="N967" s="3">
        <f>IF(ISNUMBER(AVERAGE('20250815_ETF_Options_Exhibits'!N963:N967)),AVERAGE('20250815_ETF_Options_Exhibits'!N963:N967),"")</f>
        <v/>
      </c>
      <c r="O967" s="3">
        <f>IF(ISNUMBER(AVERAGE('20250815_ETF_Options_Exhibits'!O963:O967)),AVERAGE('20250815_ETF_Options_Exhibits'!O963:O967),"")</f>
        <v/>
      </c>
      <c r="P967" s="3">
        <f>IF(ISNUMBER(AVERAGE('20250815_ETF_Options_Exhibits'!P963:P967)),AVERAGE('20250815_ETF_Options_Exhibits'!P963:P967),"")</f>
        <v/>
      </c>
      <c r="Q967" s="3">
        <f>IF(ISNUMBER(AVERAGE('20250815_ETF_Options_Exhibits'!Q963:Q967)),AVERAGE('20250815_ETF_Options_Exhibits'!Q963:Q967),"")</f>
        <v/>
      </c>
      <c r="R967" s="3">
        <f>IF(ISNUMBER(AVERAGE('20250815_ETF_Options_Exhibits'!R963:R967)),AVERAGE('20250815_ETF_Options_Exhibits'!R963:R967),"")</f>
        <v/>
      </c>
      <c r="S967" s="3">
        <f>IF(ISNUMBER(AVERAGE('20250815_ETF_Options_Exhibits'!S963:S967)),AVERAGE('20250815_ETF_Options_Exhibits'!S963:S967),"")</f>
        <v/>
      </c>
      <c r="T967" s="3">
        <f>IF(ISNUMBER(AVERAGE('20250815_ETF_Options_Exhibits'!T963:T967)),AVERAGE('20250815_ETF_Options_Exhibits'!T963:T967),"")</f>
        <v/>
      </c>
      <c r="U967" s="3">
        <f>IF(ISNUMBER(AVERAGE('20250815_ETF_Options_Exhibits'!U963:U967)),AVERAGE('20250815_ETF_Options_Exhibits'!U963:U967),"")</f>
        <v/>
      </c>
      <c r="V967" s="3">
        <f>IF(ISNUMBER(AVERAGE('20250815_ETF_Options_Exhibits'!V963:V967)),AVERAGE('20250815_ETF_Options_Exhibits'!V963:V967),"")</f>
        <v/>
      </c>
      <c r="W967" s="3">
        <f>IF(ISNUMBER(AVERAGE('20250815_ETF_Options_Exhibits'!W963:W967)),AVERAGE('20250815_ETF_Options_Exhibits'!W963:W967),"")</f>
        <v/>
      </c>
      <c r="X967" s="3">
        <f>IF(ISNUMBER(AVERAGE('20250815_ETF_Options_Exhibits'!X963:X967)),AVERAGE('20250815_ETF_Options_Exhibits'!X963:X967),"")</f>
        <v/>
      </c>
      <c r="Y967" s="3">
        <f>IF(ISNUMBER(AVERAGE('20250815_ETF_Options_Exhibits'!Y963:Y967)),AVERAGE('20250815_ETF_Options_Exhibits'!Y963:Y967),"")</f>
        <v/>
      </c>
      <c r="Z967" s="3">
        <f>IF(ISNUMBER(AVERAGE('20250815_ETF_Options_Exhibits'!Z963:Z967)),AVERAGE('20250815_ETF_Options_Exhibits'!Z963:Z967),"")</f>
        <v/>
      </c>
      <c r="AA967" s="3">
        <f>IF(ISNUMBER(AVERAGE('20250815_ETF_Options_Exhibits'!AA963:AA967)),AVERAGE('20250815_ETF_Options_Exhibits'!AA963:AA967),"")</f>
        <v/>
      </c>
    </row>
    <row r="968">
      <c r="A968" s="1" t="n">
        <v>43405</v>
      </c>
      <c r="B968" s="3">
        <f>IF(ISNUMBER(AVERAGE('20250815_ETF_Options_Exhibits'!B964:B968)),AVERAGE('20250815_ETF_Options_Exhibits'!B964:B968),"")</f>
        <v/>
      </c>
      <c r="C968" s="3">
        <f>IF(ISNUMBER(AVERAGE('20250815_ETF_Options_Exhibits'!C964:C968)),AVERAGE('20250815_ETF_Options_Exhibits'!C964:C968),"")</f>
        <v/>
      </c>
      <c r="D968" s="3">
        <f>IF(ISNUMBER(AVERAGE('20250815_ETF_Options_Exhibits'!D964:D968)),AVERAGE('20250815_ETF_Options_Exhibits'!D964:D968),"")</f>
        <v/>
      </c>
      <c r="E968" s="3">
        <f>IF(ISNUMBER(AVERAGE('20250815_ETF_Options_Exhibits'!E964:E968)),AVERAGE('20250815_ETF_Options_Exhibits'!E964:E968),"")</f>
        <v/>
      </c>
      <c r="F968" s="3">
        <f>IF(ISNUMBER(AVERAGE('20250815_ETF_Options_Exhibits'!F964:F968)),AVERAGE('20250815_ETF_Options_Exhibits'!F964:F968),"")</f>
        <v/>
      </c>
      <c r="G968" s="3">
        <f>IF(ISNUMBER(AVERAGE('20250815_ETF_Options_Exhibits'!G964:G968)),AVERAGE('20250815_ETF_Options_Exhibits'!G964:G968),"")</f>
        <v/>
      </c>
      <c r="H968" s="3">
        <f>IF(ISNUMBER(AVERAGE('20250815_ETF_Options_Exhibits'!H964:H968)),AVERAGE('20250815_ETF_Options_Exhibits'!H964:H968),"")</f>
        <v/>
      </c>
      <c r="I968" s="3">
        <f>IF(ISNUMBER(AVERAGE('20250815_ETF_Options_Exhibits'!I964:I968)),AVERAGE('20250815_ETF_Options_Exhibits'!I964:I968),"")</f>
        <v/>
      </c>
      <c r="J968" s="3">
        <f>IF(ISNUMBER(AVERAGE('20250815_ETF_Options_Exhibits'!J964:J968)),AVERAGE('20250815_ETF_Options_Exhibits'!J964:J968),"")</f>
        <v/>
      </c>
      <c r="K968" s="3">
        <f>IF(ISNUMBER(AVERAGE('20250815_ETF_Options_Exhibits'!K964:K968)),AVERAGE('20250815_ETF_Options_Exhibits'!K964:K968),"")</f>
        <v/>
      </c>
      <c r="L968" s="3">
        <f>IF(ISNUMBER(AVERAGE('20250815_ETF_Options_Exhibits'!L964:L968)),AVERAGE('20250815_ETF_Options_Exhibits'!L964:L968),"")</f>
        <v/>
      </c>
      <c r="M968" s="3">
        <f>IF(ISNUMBER(AVERAGE('20250815_ETF_Options_Exhibits'!M964:M968)),AVERAGE('20250815_ETF_Options_Exhibits'!M964:M968),"")</f>
        <v/>
      </c>
      <c r="N968" s="3">
        <f>IF(ISNUMBER(AVERAGE('20250815_ETF_Options_Exhibits'!N964:N968)),AVERAGE('20250815_ETF_Options_Exhibits'!N964:N968),"")</f>
        <v/>
      </c>
      <c r="O968" s="3">
        <f>IF(ISNUMBER(AVERAGE('20250815_ETF_Options_Exhibits'!O964:O968)),AVERAGE('20250815_ETF_Options_Exhibits'!O964:O968),"")</f>
        <v/>
      </c>
      <c r="P968" s="3">
        <f>IF(ISNUMBER(AVERAGE('20250815_ETF_Options_Exhibits'!P964:P968)),AVERAGE('20250815_ETF_Options_Exhibits'!P964:P968),"")</f>
        <v/>
      </c>
      <c r="Q968" s="3">
        <f>IF(ISNUMBER(AVERAGE('20250815_ETF_Options_Exhibits'!Q964:Q968)),AVERAGE('20250815_ETF_Options_Exhibits'!Q964:Q968),"")</f>
        <v/>
      </c>
      <c r="R968" s="3">
        <f>IF(ISNUMBER(AVERAGE('20250815_ETF_Options_Exhibits'!R964:R968)),AVERAGE('20250815_ETF_Options_Exhibits'!R964:R968),"")</f>
        <v/>
      </c>
      <c r="S968" s="3">
        <f>IF(ISNUMBER(AVERAGE('20250815_ETF_Options_Exhibits'!S964:S968)),AVERAGE('20250815_ETF_Options_Exhibits'!S964:S968),"")</f>
        <v/>
      </c>
      <c r="T968" s="3">
        <f>IF(ISNUMBER(AVERAGE('20250815_ETF_Options_Exhibits'!T964:T968)),AVERAGE('20250815_ETF_Options_Exhibits'!T964:T968),"")</f>
        <v/>
      </c>
      <c r="U968" s="3">
        <f>IF(ISNUMBER(AVERAGE('20250815_ETF_Options_Exhibits'!U964:U968)),AVERAGE('20250815_ETF_Options_Exhibits'!U964:U968),"")</f>
        <v/>
      </c>
      <c r="V968" s="3">
        <f>IF(ISNUMBER(AVERAGE('20250815_ETF_Options_Exhibits'!V964:V968)),AVERAGE('20250815_ETF_Options_Exhibits'!V964:V968),"")</f>
        <v/>
      </c>
      <c r="W968" s="3">
        <f>IF(ISNUMBER(AVERAGE('20250815_ETF_Options_Exhibits'!W964:W968)),AVERAGE('20250815_ETF_Options_Exhibits'!W964:W968),"")</f>
        <v/>
      </c>
      <c r="X968" s="3">
        <f>IF(ISNUMBER(AVERAGE('20250815_ETF_Options_Exhibits'!X964:X968)),AVERAGE('20250815_ETF_Options_Exhibits'!X964:X968),"")</f>
        <v/>
      </c>
      <c r="Y968" s="3">
        <f>IF(ISNUMBER(AVERAGE('20250815_ETF_Options_Exhibits'!Y964:Y968)),AVERAGE('20250815_ETF_Options_Exhibits'!Y964:Y968),"")</f>
        <v/>
      </c>
      <c r="Z968" s="3">
        <f>IF(ISNUMBER(AVERAGE('20250815_ETF_Options_Exhibits'!Z964:Z968)),AVERAGE('20250815_ETF_Options_Exhibits'!Z964:Z968),"")</f>
        <v/>
      </c>
      <c r="AA968" s="3">
        <f>IF(ISNUMBER(AVERAGE('20250815_ETF_Options_Exhibits'!AA964:AA968)),AVERAGE('20250815_ETF_Options_Exhibits'!AA964:AA968),"")</f>
        <v/>
      </c>
    </row>
    <row r="969">
      <c r="A969" s="1" t="n">
        <v>43406</v>
      </c>
      <c r="B969" s="3">
        <f>IF(ISNUMBER(AVERAGE('20250815_ETF_Options_Exhibits'!B965:B969)),AVERAGE('20250815_ETF_Options_Exhibits'!B965:B969),"")</f>
        <v/>
      </c>
      <c r="C969" s="3">
        <f>IF(ISNUMBER(AVERAGE('20250815_ETF_Options_Exhibits'!C965:C969)),AVERAGE('20250815_ETF_Options_Exhibits'!C965:C969),"")</f>
        <v/>
      </c>
      <c r="D969" s="3">
        <f>IF(ISNUMBER(AVERAGE('20250815_ETF_Options_Exhibits'!D965:D969)),AVERAGE('20250815_ETF_Options_Exhibits'!D965:D969),"")</f>
        <v/>
      </c>
      <c r="E969" s="3">
        <f>IF(ISNUMBER(AVERAGE('20250815_ETF_Options_Exhibits'!E965:E969)),AVERAGE('20250815_ETF_Options_Exhibits'!E965:E969),"")</f>
        <v/>
      </c>
      <c r="F969" s="3">
        <f>IF(ISNUMBER(AVERAGE('20250815_ETF_Options_Exhibits'!F965:F969)),AVERAGE('20250815_ETF_Options_Exhibits'!F965:F969),"")</f>
        <v/>
      </c>
      <c r="G969" s="3">
        <f>IF(ISNUMBER(AVERAGE('20250815_ETF_Options_Exhibits'!G965:G969)),AVERAGE('20250815_ETF_Options_Exhibits'!G965:G969),"")</f>
        <v/>
      </c>
      <c r="H969" s="3">
        <f>IF(ISNUMBER(AVERAGE('20250815_ETF_Options_Exhibits'!H965:H969)),AVERAGE('20250815_ETF_Options_Exhibits'!H965:H969),"")</f>
        <v/>
      </c>
      <c r="I969" s="3">
        <f>IF(ISNUMBER(AVERAGE('20250815_ETF_Options_Exhibits'!I965:I969)),AVERAGE('20250815_ETF_Options_Exhibits'!I965:I969),"")</f>
        <v/>
      </c>
      <c r="J969" s="3">
        <f>IF(ISNUMBER(AVERAGE('20250815_ETF_Options_Exhibits'!J965:J969)),AVERAGE('20250815_ETF_Options_Exhibits'!J965:J969),"")</f>
        <v/>
      </c>
      <c r="K969" s="3">
        <f>IF(ISNUMBER(AVERAGE('20250815_ETF_Options_Exhibits'!K965:K969)),AVERAGE('20250815_ETF_Options_Exhibits'!K965:K969),"")</f>
        <v/>
      </c>
      <c r="L969" s="3">
        <f>IF(ISNUMBER(AVERAGE('20250815_ETF_Options_Exhibits'!L965:L969)),AVERAGE('20250815_ETF_Options_Exhibits'!L965:L969),"")</f>
        <v/>
      </c>
      <c r="M969" s="3">
        <f>IF(ISNUMBER(AVERAGE('20250815_ETF_Options_Exhibits'!M965:M969)),AVERAGE('20250815_ETF_Options_Exhibits'!M965:M969),"")</f>
        <v/>
      </c>
      <c r="N969" s="3">
        <f>IF(ISNUMBER(AVERAGE('20250815_ETF_Options_Exhibits'!N965:N969)),AVERAGE('20250815_ETF_Options_Exhibits'!N965:N969),"")</f>
        <v/>
      </c>
      <c r="O969" s="3">
        <f>IF(ISNUMBER(AVERAGE('20250815_ETF_Options_Exhibits'!O965:O969)),AVERAGE('20250815_ETF_Options_Exhibits'!O965:O969),"")</f>
        <v/>
      </c>
      <c r="P969" s="3">
        <f>IF(ISNUMBER(AVERAGE('20250815_ETF_Options_Exhibits'!P965:P969)),AVERAGE('20250815_ETF_Options_Exhibits'!P965:P969),"")</f>
        <v/>
      </c>
      <c r="Q969" s="3">
        <f>IF(ISNUMBER(AVERAGE('20250815_ETF_Options_Exhibits'!Q965:Q969)),AVERAGE('20250815_ETF_Options_Exhibits'!Q965:Q969),"")</f>
        <v/>
      </c>
      <c r="R969" s="3">
        <f>IF(ISNUMBER(AVERAGE('20250815_ETF_Options_Exhibits'!R965:R969)),AVERAGE('20250815_ETF_Options_Exhibits'!R965:R969),"")</f>
        <v/>
      </c>
      <c r="S969" s="3">
        <f>IF(ISNUMBER(AVERAGE('20250815_ETF_Options_Exhibits'!S965:S969)),AVERAGE('20250815_ETF_Options_Exhibits'!S965:S969),"")</f>
        <v/>
      </c>
      <c r="T969" s="3">
        <f>IF(ISNUMBER(AVERAGE('20250815_ETF_Options_Exhibits'!T965:T969)),AVERAGE('20250815_ETF_Options_Exhibits'!T965:T969),"")</f>
        <v/>
      </c>
      <c r="U969" s="3">
        <f>IF(ISNUMBER(AVERAGE('20250815_ETF_Options_Exhibits'!U965:U969)),AVERAGE('20250815_ETF_Options_Exhibits'!U965:U969),"")</f>
        <v/>
      </c>
      <c r="V969" s="3">
        <f>IF(ISNUMBER(AVERAGE('20250815_ETF_Options_Exhibits'!V965:V969)),AVERAGE('20250815_ETF_Options_Exhibits'!V965:V969),"")</f>
        <v/>
      </c>
      <c r="W969" s="3">
        <f>IF(ISNUMBER(AVERAGE('20250815_ETF_Options_Exhibits'!W965:W969)),AVERAGE('20250815_ETF_Options_Exhibits'!W965:W969),"")</f>
        <v/>
      </c>
      <c r="X969" s="3">
        <f>IF(ISNUMBER(AVERAGE('20250815_ETF_Options_Exhibits'!X965:X969)),AVERAGE('20250815_ETF_Options_Exhibits'!X965:X969),"")</f>
        <v/>
      </c>
      <c r="Y969" s="3">
        <f>IF(ISNUMBER(AVERAGE('20250815_ETF_Options_Exhibits'!Y965:Y969)),AVERAGE('20250815_ETF_Options_Exhibits'!Y965:Y969),"")</f>
        <v/>
      </c>
      <c r="Z969" s="3">
        <f>IF(ISNUMBER(AVERAGE('20250815_ETF_Options_Exhibits'!Z965:Z969)),AVERAGE('20250815_ETF_Options_Exhibits'!Z965:Z969),"")</f>
        <v/>
      </c>
      <c r="AA969" s="3">
        <f>IF(ISNUMBER(AVERAGE('20250815_ETF_Options_Exhibits'!AA965:AA969)),AVERAGE('20250815_ETF_Options_Exhibits'!AA965:AA969),"")</f>
        <v/>
      </c>
    </row>
    <row r="970">
      <c r="A970" s="1" t="n">
        <v>43409</v>
      </c>
      <c r="B970" s="3">
        <f>IF(ISNUMBER(AVERAGE('20250815_ETF_Options_Exhibits'!B966:B970)),AVERAGE('20250815_ETF_Options_Exhibits'!B966:B970),"")</f>
        <v/>
      </c>
      <c r="C970" s="3">
        <f>IF(ISNUMBER(AVERAGE('20250815_ETF_Options_Exhibits'!C966:C970)),AVERAGE('20250815_ETF_Options_Exhibits'!C966:C970),"")</f>
        <v/>
      </c>
      <c r="D970" s="3">
        <f>IF(ISNUMBER(AVERAGE('20250815_ETF_Options_Exhibits'!D966:D970)),AVERAGE('20250815_ETF_Options_Exhibits'!D966:D970),"")</f>
        <v/>
      </c>
      <c r="E970" s="3">
        <f>IF(ISNUMBER(AVERAGE('20250815_ETF_Options_Exhibits'!E966:E970)),AVERAGE('20250815_ETF_Options_Exhibits'!E966:E970),"")</f>
        <v/>
      </c>
      <c r="F970" s="3">
        <f>IF(ISNUMBER(AVERAGE('20250815_ETF_Options_Exhibits'!F966:F970)),AVERAGE('20250815_ETF_Options_Exhibits'!F966:F970),"")</f>
        <v/>
      </c>
      <c r="G970" s="3">
        <f>IF(ISNUMBER(AVERAGE('20250815_ETF_Options_Exhibits'!G966:G970)),AVERAGE('20250815_ETF_Options_Exhibits'!G966:G970),"")</f>
        <v/>
      </c>
      <c r="H970" s="3">
        <f>IF(ISNUMBER(AVERAGE('20250815_ETF_Options_Exhibits'!H966:H970)),AVERAGE('20250815_ETF_Options_Exhibits'!H966:H970),"")</f>
        <v/>
      </c>
      <c r="I970" s="3">
        <f>IF(ISNUMBER(AVERAGE('20250815_ETF_Options_Exhibits'!I966:I970)),AVERAGE('20250815_ETF_Options_Exhibits'!I966:I970),"")</f>
        <v/>
      </c>
      <c r="J970" s="3">
        <f>IF(ISNUMBER(AVERAGE('20250815_ETF_Options_Exhibits'!J966:J970)),AVERAGE('20250815_ETF_Options_Exhibits'!J966:J970),"")</f>
        <v/>
      </c>
      <c r="K970" s="3">
        <f>IF(ISNUMBER(AVERAGE('20250815_ETF_Options_Exhibits'!K966:K970)),AVERAGE('20250815_ETF_Options_Exhibits'!K966:K970),"")</f>
        <v/>
      </c>
      <c r="L970" s="3">
        <f>IF(ISNUMBER(AVERAGE('20250815_ETF_Options_Exhibits'!L966:L970)),AVERAGE('20250815_ETF_Options_Exhibits'!L966:L970),"")</f>
        <v/>
      </c>
      <c r="M970" s="3">
        <f>IF(ISNUMBER(AVERAGE('20250815_ETF_Options_Exhibits'!M966:M970)),AVERAGE('20250815_ETF_Options_Exhibits'!M966:M970),"")</f>
        <v/>
      </c>
      <c r="N970" s="3">
        <f>IF(ISNUMBER(AVERAGE('20250815_ETF_Options_Exhibits'!N966:N970)),AVERAGE('20250815_ETF_Options_Exhibits'!N966:N970),"")</f>
        <v/>
      </c>
      <c r="O970" s="3">
        <f>IF(ISNUMBER(AVERAGE('20250815_ETF_Options_Exhibits'!O966:O970)),AVERAGE('20250815_ETF_Options_Exhibits'!O966:O970),"")</f>
        <v/>
      </c>
      <c r="P970" s="3">
        <f>IF(ISNUMBER(AVERAGE('20250815_ETF_Options_Exhibits'!P966:P970)),AVERAGE('20250815_ETF_Options_Exhibits'!P966:P970),"")</f>
        <v/>
      </c>
      <c r="Q970" s="3">
        <f>IF(ISNUMBER(AVERAGE('20250815_ETF_Options_Exhibits'!Q966:Q970)),AVERAGE('20250815_ETF_Options_Exhibits'!Q966:Q970),"")</f>
        <v/>
      </c>
      <c r="R970" s="3">
        <f>IF(ISNUMBER(AVERAGE('20250815_ETF_Options_Exhibits'!R966:R970)),AVERAGE('20250815_ETF_Options_Exhibits'!R966:R970),"")</f>
        <v/>
      </c>
      <c r="S970" s="3">
        <f>IF(ISNUMBER(AVERAGE('20250815_ETF_Options_Exhibits'!S966:S970)),AVERAGE('20250815_ETF_Options_Exhibits'!S966:S970),"")</f>
        <v/>
      </c>
      <c r="T970" s="3">
        <f>IF(ISNUMBER(AVERAGE('20250815_ETF_Options_Exhibits'!T966:T970)),AVERAGE('20250815_ETF_Options_Exhibits'!T966:T970),"")</f>
        <v/>
      </c>
      <c r="U970" s="3">
        <f>IF(ISNUMBER(AVERAGE('20250815_ETF_Options_Exhibits'!U966:U970)),AVERAGE('20250815_ETF_Options_Exhibits'!U966:U970),"")</f>
        <v/>
      </c>
      <c r="V970" s="3">
        <f>IF(ISNUMBER(AVERAGE('20250815_ETF_Options_Exhibits'!V966:V970)),AVERAGE('20250815_ETF_Options_Exhibits'!V966:V970),"")</f>
        <v/>
      </c>
      <c r="W970" s="3">
        <f>IF(ISNUMBER(AVERAGE('20250815_ETF_Options_Exhibits'!W966:W970)),AVERAGE('20250815_ETF_Options_Exhibits'!W966:W970),"")</f>
        <v/>
      </c>
      <c r="X970" s="3">
        <f>IF(ISNUMBER(AVERAGE('20250815_ETF_Options_Exhibits'!X966:X970)),AVERAGE('20250815_ETF_Options_Exhibits'!X966:X970),"")</f>
        <v/>
      </c>
      <c r="Y970" s="3">
        <f>IF(ISNUMBER(AVERAGE('20250815_ETF_Options_Exhibits'!Y966:Y970)),AVERAGE('20250815_ETF_Options_Exhibits'!Y966:Y970),"")</f>
        <v/>
      </c>
      <c r="Z970" s="3">
        <f>IF(ISNUMBER(AVERAGE('20250815_ETF_Options_Exhibits'!Z966:Z970)),AVERAGE('20250815_ETF_Options_Exhibits'!Z966:Z970),"")</f>
        <v/>
      </c>
      <c r="AA970" s="3">
        <f>IF(ISNUMBER(AVERAGE('20250815_ETF_Options_Exhibits'!AA966:AA970)),AVERAGE('20250815_ETF_Options_Exhibits'!AA966:AA970),"")</f>
        <v/>
      </c>
    </row>
    <row r="971">
      <c r="A971" s="1" t="n">
        <v>43410</v>
      </c>
      <c r="B971" s="3">
        <f>IF(ISNUMBER(AVERAGE('20250815_ETF_Options_Exhibits'!B967:B971)),AVERAGE('20250815_ETF_Options_Exhibits'!B967:B971),"")</f>
        <v/>
      </c>
      <c r="C971" s="3">
        <f>IF(ISNUMBER(AVERAGE('20250815_ETF_Options_Exhibits'!C967:C971)),AVERAGE('20250815_ETF_Options_Exhibits'!C967:C971),"")</f>
        <v/>
      </c>
      <c r="D971" s="3">
        <f>IF(ISNUMBER(AVERAGE('20250815_ETF_Options_Exhibits'!D967:D971)),AVERAGE('20250815_ETF_Options_Exhibits'!D967:D971),"")</f>
        <v/>
      </c>
      <c r="E971" s="3">
        <f>IF(ISNUMBER(AVERAGE('20250815_ETF_Options_Exhibits'!E967:E971)),AVERAGE('20250815_ETF_Options_Exhibits'!E967:E971),"")</f>
        <v/>
      </c>
      <c r="F971" s="3">
        <f>IF(ISNUMBER(AVERAGE('20250815_ETF_Options_Exhibits'!F967:F971)),AVERAGE('20250815_ETF_Options_Exhibits'!F967:F971),"")</f>
        <v/>
      </c>
      <c r="G971" s="3">
        <f>IF(ISNUMBER(AVERAGE('20250815_ETF_Options_Exhibits'!G967:G971)),AVERAGE('20250815_ETF_Options_Exhibits'!G967:G971),"")</f>
        <v/>
      </c>
      <c r="H971" s="3">
        <f>IF(ISNUMBER(AVERAGE('20250815_ETF_Options_Exhibits'!H967:H971)),AVERAGE('20250815_ETF_Options_Exhibits'!H967:H971),"")</f>
        <v/>
      </c>
      <c r="I971" s="3">
        <f>IF(ISNUMBER(AVERAGE('20250815_ETF_Options_Exhibits'!I967:I971)),AVERAGE('20250815_ETF_Options_Exhibits'!I967:I971),"")</f>
        <v/>
      </c>
      <c r="J971" s="3">
        <f>IF(ISNUMBER(AVERAGE('20250815_ETF_Options_Exhibits'!J967:J971)),AVERAGE('20250815_ETF_Options_Exhibits'!J967:J971),"")</f>
        <v/>
      </c>
      <c r="K971" s="3">
        <f>IF(ISNUMBER(AVERAGE('20250815_ETF_Options_Exhibits'!K967:K971)),AVERAGE('20250815_ETF_Options_Exhibits'!K967:K971),"")</f>
        <v/>
      </c>
      <c r="L971" s="3">
        <f>IF(ISNUMBER(AVERAGE('20250815_ETF_Options_Exhibits'!L967:L971)),AVERAGE('20250815_ETF_Options_Exhibits'!L967:L971),"")</f>
        <v/>
      </c>
      <c r="M971" s="3">
        <f>IF(ISNUMBER(AVERAGE('20250815_ETF_Options_Exhibits'!M967:M971)),AVERAGE('20250815_ETF_Options_Exhibits'!M967:M971),"")</f>
        <v/>
      </c>
      <c r="N971" s="3">
        <f>IF(ISNUMBER(AVERAGE('20250815_ETF_Options_Exhibits'!N967:N971)),AVERAGE('20250815_ETF_Options_Exhibits'!N967:N971),"")</f>
        <v/>
      </c>
      <c r="O971" s="3">
        <f>IF(ISNUMBER(AVERAGE('20250815_ETF_Options_Exhibits'!O967:O971)),AVERAGE('20250815_ETF_Options_Exhibits'!O967:O971),"")</f>
        <v/>
      </c>
      <c r="P971" s="3">
        <f>IF(ISNUMBER(AVERAGE('20250815_ETF_Options_Exhibits'!P967:P971)),AVERAGE('20250815_ETF_Options_Exhibits'!P967:P971),"")</f>
        <v/>
      </c>
      <c r="Q971" s="3">
        <f>IF(ISNUMBER(AVERAGE('20250815_ETF_Options_Exhibits'!Q967:Q971)),AVERAGE('20250815_ETF_Options_Exhibits'!Q967:Q971),"")</f>
        <v/>
      </c>
      <c r="R971" s="3">
        <f>IF(ISNUMBER(AVERAGE('20250815_ETF_Options_Exhibits'!R967:R971)),AVERAGE('20250815_ETF_Options_Exhibits'!R967:R971),"")</f>
        <v/>
      </c>
      <c r="S971" s="3">
        <f>IF(ISNUMBER(AVERAGE('20250815_ETF_Options_Exhibits'!S967:S971)),AVERAGE('20250815_ETF_Options_Exhibits'!S967:S971),"")</f>
        <v/>
      </c>
      <c r="T971" s="3">
        <f>IF(ISNUMBER(AVERAGE('20250815_ETF_Options_Exhibits'!T967:T971)),AVERAGE('20250815_ETF_Options_Exhibits'!T967:T971),"")</f>
        <v/>
      </c>
      <c r="U971" s="3">
        <f>IF(ISNUMBER(AVERAGE('20250815_ETF_Options_Exhibits'!U967:U971)),AVERAGE('20250815_ETF_Options_Exhibits'!U967:U971),"")</f>
        <v/>
      </c>
      <c r="V971" s="3">
        <f>IF(ISNUMBER(AVERAGE('20250815_ETF_Options_Exhibits'!V967:V971)),AVERAGE('20250815_ETF_Options_Exhibits'!V967:V971),"")</f>
        <v/>
      </c>
      <c r="W971" s="3">
        <f>IF(ISNUMBER(AVERAGE('20250815_ETF_Options_Exhibits'!W967:W971)),AVERAGE('20250815_ETF_Options_Exhibits'!W967:W971),"")</f>
        <v/>
      </c>
      <c r="X971" s="3">
        <f>IF(ISNUMBER(AVERAGE('20250815_ETF_Options_Exhibits'!X967:X971)),AVERAGE('20250815_ETF_Options_Exhibits'!X967:X971),"")</f>
        <v/>
      </c>
      <c r="Y971" s="3">
        <f>IF(ISNUMBER(AVERAGE('20250815_ETF_Options_Exhibits'!Y967:Y971)),AVERAGE('20250815_ETF_Options_Exhibits'!Y967:Y971),"")</f>
        <v/>
      </c>
      <c r="Z971" s="3">
        <f>IF(ISNUMBER(AVERAGE('20250815_ETF_Options_Exhibits'!Z967:Z971)),AVERAGE('20250815_ETF_Options_Exhibits'!Z967:Z971),"")</f>
        <v/>
      </c>
      <c r="AA971" s="3">
        <f>IF(ISNUMBER(AVERAGE('20250815_ETF_Options_Exhibits'!AA967:AA971)),AVERAGE('20250815_ETF_Options_Exhibits'!AA967:AA971),"")</f>
        <v/>
      </c>
    </row>
    <row r="972">
      <c r="A972" s="1" t="n">
        <v>43411</v>
      </c>
      <c r="B972" s="3">
        <f>IF(ISNUMBER(AVERAGE('20250815_ETF_Options_Exhibits'!B968:B972)),AVERAGE('20250815_ETF_Options_Exhibits'!B968:B972),"")</f>
        <v/>
      </c>
      <c r="C972" s="3">
        <f>IF(ISNUMBER(AVERAGE('20250815_ETF_Options_Exhibits'!C968:C972)),AVERAGE('20250815_ETF_Options_Exhibits'!C968:C972),"")</f>
        <v/>
      </c>
      <c r="D972" s="3">
        <f>IF(ISNUMBER(AVERAGE('20250815_ETF_Options_Exhibits'!D968:D972)),AVERAGE('20250815_ETF_Options_Exhibits'!D968:D972),"")</f>
        <v/>
      </c>
      <c r="E972" s="3">
        <f>IF(ISNUMBER(AVERAGE('20250815_ETF_Options_Exhibits'!E968:E972)),AVERAGE('20250815_ETF_Options_Exhibits'!E968:E972),"")</f>
        <v/>
      </c>
      <c r="F972" s="3">
        <f>IF(ISNUMBER(AVERAGE('20250815_ETF_Options_Exhibits'!F968:F972)),AVERAGE('20250815_ETF_Options_Exhibits'!F968:F972),"")</f>
        <v/>
      </c>
      <c r="G972" s="3">
        <f>IF(ISNUMBER(AVERAGE('20250815_ETF_Options_Exhibits'!G968:G972)),AVERAGE('20250815_ETF_Options_Exhibits'!G968:G972),"")</f>
        <v/>
      </c>
      <c r="H972" s="3">
        <f>IF(ISNUMBER(AVERAGE('20250815_ETF_Options_Exhibits'!H968:H972)),AVERAGE('20250815_ETF_Options_Exhibits'!H968:H972),"")</f>
        <v/>
      </c>
      <c r="I972" s="3">
        <f>IF(ISNUMBER(AVERAGE('20250815_ETF_Options_Exhibits'!I968:I972)),AVERAGE('20250815_ETF_Options_Exhibits'!I968:I972),"")</f>
        <v/>
      </c>
      <c r="J972" s="3">
        <f>IF(ISNUMBER(AVERAGE('20250815_ETF_Options_Exhibits'!J968:J972)),AVERAGE('20250815_ETF_Options_Exhibits'!J968:J972),"")</f>
        <v/>
      </c>
      <c r="K972" s="3">
        <f>IF(ISNUMBER(AVERAGE('20250815_ETF_Options_Exhibits'!K968:K972)),AVERAGE('20250815_ETF_Options_Exhibits'!K968:K972),"")</f>
        <v/>
      </c>
      <c r="L972" s="3">
        <f>IF(ISNUMBER(AVERAGE('20250815_ETF_Options_Exhibits'!L968:L972)),AVERAGE('20250815_ETF_Options_Exhibits'!L968:L972),"")</f>
        <v/>
      </c>
      <c r="M972" s="3">
        <f>IF(ISNUMBER(AVERAGE('20250815_ETF_Options_Exhibits'!M968:M972)),AVERAGE('20250815_ETF_Options_Exhibits'!M968:M972),"")</f>
        <v/>
      </c>
      <c r="N972" s="3">
        <f>IF(ISNUMBER(AVERAGE('20250815_ETF_Options_Exhibits'!N968:N972)),AVERAGE('20250815_ETF_Options_Exhibits'!N968:N972),"")</f>
        <v/>
      </c>
      <c r="O972" s="3">
        <f>IF(ISNUMBER(AVERAGE('20250815_ETF_Options_Exhibits'!O968:O972)),AVERAGE('20250815_ETF_Options_Exhibits'!O968:O972),"")</f>
        <v/>
      </c>
      <c r="P972" s="3">
        <f>IF(ISNUMBER(AVERAGE('20250815_ETF_Options_Exhibits'!P968:P972)),AVERAGE('20250815_ETF_Options_Exhibits'!P968:P972),"")</f>
        <v/>
      </c>
      <c r="Q972" s="3">
        <f>IF(ISNUMBER(AVERAGE('20250815_ETF_Options_Exhibits'!Q968:Q972)),AVERAGE('20250815_ETF_Options_Exhibits'!Q968:Q972),"")</f>
        <v/>
      </c>
      <c r="R972" s="3">
        <f>IF(ISNUMBER(AVERAGE('20250815_ETF_Options_Exhibits'!R968:R972)),AVERAGE('20250815_ETF_Options_Exhibits'!R968:R972),"")</f>
        <v/>
      </c>
      <c r="S972" s="3">
        <f>IF(ISNUMBER(AVERAGE('20250815_ETF_Options_Exhibits'!S968:S972)),AVERAGE('20250815_ETF_Options_Exhibits'!S968:S972),"")</f>
        <v/>
      </c>
      <c r="T972" s="3">
        <f>IF(ISNUMBER(AVERAGE('20250815_ETF_Options_Exhibits'!T968:T972)),AVERAGE('20250815_ETF_Options_Exhibits'!T968:T972),"")</f>
        <v/>
      </c>
      <c r="U972" s="3">
        <f>IF(ISNUMBER(AVERAGE('20250815_ETF_Options_Exhibits'!U968:U972)),AVERAGE('20250815_ETF_Options_Exhibits'!U968:U972),"")</f>
        <v/>
      </c>
      <c r="V972" s="3">
        <f>IF(ISNUMBER(AVERAGE('20250815_ETF_Options_Exhibits'!V968:V972)),AVERAGE('20250815_ETF_Options_Exhibits'!V968:V972),"")</f>
        <v/>
      </c>
      <c r="W972" s="3">
        <f>IF(ISNUMBER(AVERAGE('20250815_ETF_Options_Exhibits'!W968:W972)),AVERAGE('20250815_ETF_Options_Exhibits'!W968:W972),"")</f>
        <v/>
      </c>
      <c r="X972" s="3">
        <f>IF(ISNUMBER(AVERAGE('20250815_ETF_Options_Exhibits'!X968:X972)),AVERAGE('20250815_ETF_Options_Exhibits'!X968:X972),"")</f>
        <v/>
      </c>
      <c r="Y972" s="3">
        <f>IF(ISNUMBER(AVERAGE('20250815_ETF_Options_Exhibits'!Y968:Y972)),AVERAGE('20250815_ETF_Options_Exhibits'!Y968:Y972),"")</f>
        <v/>
      </c>
      <c r="Z972" s="3">
        <f>IF(ISNUMBER(AVERAGE('20250815_ETF_Options_Exhibits'!Z968:Z972)),AVERAGE('20250815_ETF_Options_Exhibits'!Z968:Z972),"")</f>
        <v/>
      </c>
      <c r="AA972" s="3">
        <f>IF(ISNUMBER(AVERAGE('20250815_ETF_Options_Exhibits'!AA968:AA972)),AVERAGE('20250815_ETF_Options_Exhibits'!AA968:AA972),"")</f>
        <v/>
      </c>
    </row>
    <row r="973">
      <c r="A973" s="1" t="n">
        <v>43412</v>
      </c>
      <c r="B973" s="3">
        <f>IF(ISNUMBER(AVERAGE('20250815_ETF_Options_Exhibits'!B969:B973)),AVERAGE('20250815_ETF_Options_Exhibits'!B969:B973),"")</f>
        <v/>
      </c>
      <c r="C973" s="3">
        <f>IF(ISNUMBER(AVERAGE('20250815_ETF_Options_Exhibits'!C969:C973)),AVERAGE('20250815_ETF_Options_Exhibits'!C969:C973),"")</f>
        <v/>
      </c>
      <c r="D973" s="3">
        <f>IF(ISNUMBER(AVERAGE('20250815_ETF_Options_Exhibits'!D969:D973)),AVERAGE('20250815_ETF_Options_Exhibits'!D969:D973),"")</f>
        <v/>
      </c>
      <c r="E973" s="3">
        <f>IF(ISNUMBER(AVERAGE('20250815_ETF_Options_Exhibits'!E969:E973)),AVERAGE('20250815_ETF_Options_Exhibits'!E969:E973),"")</f>
        <v/>
      </c>
      <c r="F973" s="3">
        <f>IF(ISNUMBER(AVERAGE('20250815_ETF_Options_Exhibits'!F969:F973)),AVERAGE('20250815_ETF_Options_Exhibits'!F969:F973),"")</f>
        <v/>
      </c>
      <c r="G973" s="3">
        <f>IF(ISNUMBER(AVERAGE('20250815_ETF_Options_Exhibits'!G969:G973)),AVERAGE('20250815_ETF_Options_Exhibits'!G969:G973),"")</f>
        <v/>
      </c>
      <c r="H973" s="3">
        <f>IF(ISNUMBER(AVERAGE('20250815_ETF_Options_Exhibits'!H969:H973)),AVERAGE('20250815_ETF_Options_Exhibits'!H969:H973),"")</f>
        <v/>
      </c>
      <c r="I973" s="3">
        <f>IF(ISNUMBER(AVERAGE('20250815_ETF_Options_Exhibits'!I969:I973)),AVERAGE('20250815_ETF_Options_Exhibits'!I969:I973),"")</f>
        <v/>
      </c>
      <c r="J973" s="3">
        <f>IF(ISNUMBER(AVERAGE('20250815_ETF_Options_Exhibits'!J969:J973)),AVERAGE('20250815_ETF_Options_Exhibits'!J969:J973),"")</f>
        <v/>
      </c>
      <c r="K973" s="3">
        <f>IF(ISNUMBER(AVERAGE('20250815_ETF_Options_Exhibits'!K969:K973)),AVERAGE('20250815_ETF_Options_Exhibits'!K969:K973),"")</f>
        <v/>
      </c>
      <c r="L973" s="3">
        <f>IF(ISNUMBER(AVERAGE('20250815_ETF_Options_Exhibits'!L969:L973)),AVERAGE('20250815_ETF_Options_Exhibits'!L969:L973),"")</f>
        <v/>
      </c>
      <c r="M973" s="3">
        <f>IF(ISNUMBER(AVERAGE('20250815_ETF_Options_Exhibits'!M969:M973)),AVERAGE('20250815_ETF_Options_Exhibits'!M969:M973),"")</f>
        <v/>
      </c>
      <c r="N973" s="3">
        <f>IF(ISNUMBER(AVERAGE('20250815_ETF_Options_Exhibits'!N969:N973)),AVERAGE('20250815_ETF_Options_Exhibits'!N969:N973),"")</f>
        <v/>
      </c>
      <c r="O973" s="3">
        <f>IF(ISNUMBER(AVERAGE('20250815_ETF_Options_Exhibits'!O969:O973)),AVERAGE('20250815_ETF_Options_Exhibits'!O969:O973),"")</f>
        <v/>
      </c>
      <c r="P973" s="3">
        <f>IF(ISNUMBER(AVERAGE('20250815_ETF_Options_Exhibits'!P969:P973)),AVERAGE('20250815_ETF_Options_Exhibits'!P969:P973),"")</f>
        <v/>
      </c>
      <c r="Q973" s="3">
        <f>IF(ISNUMBER(AVERAGE('20250815_ETF_Options_Exhibits'!Q969:Q973)),AVERAGE('20250815_ETF_Options_Exhibits'!Q969:Q973),"")</f>
        <v/>
      </c>
      <c r="R973" s="3">
        <f>IF(ISNUMBER(AVERAGE('20250815_ETF_Options_Exhibits'!R969:R973)),AVERAGE('20250815_ETF_Options_Exhibits'!R969:R973),"")</f>
        <v/>
      </c>
      <c r="S973" s="3">
        <f>IF(ISNUMBER(AVERAGE('20250815_ETF_Options_Exhibits'!S969:S973)),AVERAGE('20250815_ETF_Options_Exhibits'!S969:S973),"")</f>
        <v/>
      </c>
      <c r="T973" s="3">
        <f>IF(ISNUMBER(AVERAGE('20250815_ETF_Options_Exhibits'!T969:T973)),AVERAGE('20250815_ETF_Options_Exhibits'!T969:T973),"")</f>
        <v/>
      </c>
      <c r="U973" s="3">
        <f>IF(ISNUMBER(AVERAGE('20250815_ETF_Options_Exhibits'!U969:U973)),AVERAGE('20250815_ETF_Options_Exhibits'!U969:U973),"")</f>
        <v/>
      </c>
      <c r="V973" s="3">
        <f>IF(ISNUMBER(AVERAGE('20250815_ETF_Options_Exhibits'!V969:V973)),AVERAGE('20250815_ETF_Options_Exhibits'!V969:V973),"")</f>
        <v/>
      </c>
      <c r="W973" s="3">
        <f>IF(ISNUMBER(AVERAGE('20250815_ETF_Options_Exhibits'!W969:W973)),AVERAGE('20250815_ETF_Options_Exhibits'!W969:W973),"")</f>
        <v/>
      </c>
      <c r="X973" s="3">
        <f>IF(ISNUMBER(AVERAGE('20250815_ETF_Options_Exhibits'!X969:X973)),AVERAGE('20250815_ETF_Options_Exhibits'!X969:X973),"")</f>
        <v/>
      </c>
      <c r="Y973" s="3">
        <f>IF(ISNUMBER(AVERAGE('20250815_ETF_Options_Exhibits'!Y969:Y973)),AVERAGE('20250815_ETF_Options_Exhibits'!Y969:Y973),"")</f>
        <v/>
      </c>
      <c r="Z973" s="3">
        <f>IF(ISNUMBER(AVERAGE('20250815_ETF_Options_Exhibits'!Z969:Z973)),AVERAGE('20250815_ETF_Options_Exhibits'!Z969:Z973),"")</f>
        <v/>
      </c>
      <c r="AA973" s="3">
        <f>IF(ISNUMBER(AVERAGE('20250815_ETF_Options_Exhibits'!AA969:AA973)),AVERAGE('20250815_ETF_Options_Exhibits'!AA969:AA973),"")</f>
        <v/>
      </c>
    </row>
    <row r="974">
      <c r="A974" s="1" t="n">
        <v>43413</v>
      </c>
      <c r="B974" s="3">
        <f>IF(ISNUMBER(AVERAGE('20250815_ETF_Options_Exhibits'!B970:B974)),AVERAGE('20250815_ETF_Options_Exhibits'!B970:B974),"")</f>
        <v/>
      </c>
      <c r="C974" s="3">
        <f>IF(ISNUMBER(AVERAGE('20250815_ETF_Options_Exhibits'!C970:C974)),AVERAGE('20250815_ETF_Options_Exhibits'!C970:C974),"")</f>
        <v/>
      </c>
      <c r="D974" s="3">
        <f>IF(ISNUMBER(AVERAGE('20250815_ETF_Options_Exhibits'!D970:D974)),AVERAGE('20250815_ETF_Options_Exhibits'!D970:D974),"")</f>
        <v/>
      </c>
      <c r="E974" s="3">
        <f>IF(ISNUMBER(AVERAGE('20250815_ETF_Options_Exhibits'!E970:E974)),AVERAGE('20250815_ETF_Options_Exhibits'!E970:E974),"")</f>
        <v/>
      </c>
      <c r="F974" s="3">
        <f>IF(ISNUMBER(AVERAGE('20250815_ETF_Options_Exhibits'!F970:F974)),AVERAGE('20250815_ETF_Options_Exhibits'!F970:F974),"")</f>
        <v/>
      </c>
      <c r="G974" s="3">
        <f>IF(ISNUMBER(AVERAGE('20250815_ETF_Options_Exhibits'!G970:G974)),AVERAGE('20250815_ETF_Options_Exhibits'!G970:G974),"")</f>
        <v/>
      </c>
      <c r="H974" s="3">
        <f>IF(ISNUMBER(AVERAGE('20250815_ETF_Options_Exhibits'!H970:H974)),AVERAGE('20250815_ETF_Options_Exhibits'!H970:H974),"")</f>
        <v/>
      </c>
      <c r="I974" s="3">
        <f>IF(ISNUMBER(AVERAGE('20250815_ETF_Options_Exhibits'!I970:I974)),AVERAGE('20250815_ETF_Options_Exhibits'!I970:I974),"")</f>
        <v/>
      </c>
      <c r="J974" s="3">
        <f>IF(ISNUMBER(AVERAGE('20250815_ETF_Options_Exhibits'!J970:J974)),AVERAGE('20250815_ETF_Options_Exhibits'!J970:J974),"")</f>
        <v/>
      </c>
      <c r="K974" s="3">
        <f>IF(ISNUMBER(AVERAGE('20250815_ETF_Options_Exhibits'!K970:K974)),AVERAGE('20250815_ETF_Options_Exhibits'!K970:K974),"")</f>
        <v/>
      </c>
      <c r="L974" s="3">
        <f>IF(ISNUMBER(AVERAGE('20250815_ETF_Options_Exhibits'!L970:L974)),AVERAGE('20250815_ETF_Options_Exhibits'!L970:L974),"")</f>
        <v/>
      </c>
      <c r="M974" s="3">
        <f>IF(ISNUMBER(AVERAGE('20250815_ETF_Options_Exhibits'!M970:M974)),AVERAGE('20250815_ETF_Options_Exhibits'!M970:M974),"")</f>
        <v/>
      </c>
      <c r="N974" s="3">
        <f>IF(ISNUMBER(AVERAGE('20250815_ETF_Options_Exhibits'!N970:N974)),AVERAGE('20250815_ETF_Options_Exhibits'!N970:N974),"")</f>
        <v/>
      </c>
      <c r="O974" s="3">
        <f>IF(ISNUMBER(AVERAGE('20250815_ETF_Options_Exhibits'!O970:O974)),AVERAGE('20250815_ETF_Options_Exhibits'!O970:O974),"")</f>
        <v/>
      </c>
      <c r="P974" s="3">
        <f>IF(ISNUMBER(AVERAGE('20250815_ETF_Options_Exhibits'!P970:P974)),AVERAGE('20250815_ETF_Options_Exhibits'!P970:P974),"")</f>
        <v/>
      </c>
      <c r="Q974" s="3">
        <f>IF(ISNUMBER(AVERAGE('20250815_ETF_Options_Exhibits'!Q970:Q974)),AVERAGE('20250815_ETF_Options_Exhibits'!Q970:Q974),"")</f>
        <v/>
      </c>
      <c r="R974" s="3">
        <f>IF(ISNUMBER(AVERAGE('20250815_ETF_Options_Exhibits'!R970:R974)),AVERAGE('20250815_ETF_Options_Exhibits'!R970:R974),"")</f>
        <v/>
      </c>
      <c r="S974" s="3">
        <f>IF(ISNUMBER(AVERAGE('20250815_ETF_Options_Exhibits'!S970:S974)),AVERAGE('20250815_ETF_Options_Exhibits'!S970:S974),"")</f>
        <v/>
      </c>
      <c r="T974" s="3">
        <f>IF(ISNUMBER(AVERAGE('20250815_ETF_Options_Exhibits'!T970:T974)),AVERAGE('20250815_ETF_Options_Exhibits'!T970:T974),"")</f>
        <v/>
      </c>
      <c r="U974" s="3">
        <f>IF(ISNUMBER(AVERAGE('20250815_ETF_Options_Exhibits'!U970:U974)),AVERAGE('20250815_ETF_Options_Exhibits'!U970:U974),"")</f>
        <v/>
      </c>
      <c r="V974" s="3">
        <f>IF(ISNUMBER(AVERAGE('20250815_ETF_Options_Exhibits'!V970:V974)),AVERAGE('20250815_ETF_Options_Exhibits'!V970:V974),"")</f>
        <v/>
      </c>
      <c r="W974" s="3">
        <f>IF(ISNUMBER(AVERAGE('20250815_ETF_Options_Exhibits'!W970:W974)),AVERAGE('20250815_ETF_Options_Exhibits'!W970:W974),"")</f>
        <v/>
      </c>
      <c r="X974" s="3">
        <f>IF(ISNUMBER(AVERAGE('20250815_ETF_Options_Exhibits'!X970:X974)),AVERAGE('20250815_ETF_Options_Exhibits'!X970:X974),"")</f>
        <v/>
      </c>
      <c r="Y974" s="3">
        <f>IF(ISNUMBER(AVERAGE('20250815_ETF_Options_Exhibits'!Y970:Y974)),AVERAGE('20250815_ETF_Options_Exhibits'!Y970:Y974),"")</f>
        <v/>
      </c>
      <c r="Z974" s="3">
        <f>IF(ISNUMBER(AVERAGE('20250815_ETF_Options_Exhibits'!Z970:Z974)),AVERAGE('20250815_ETF_Options_Exhibits'!Z970:Z974),"")</f>
        <v/>
      </c>
      <c r="AA974" s="3">
        <f>IF(ISNUMBER(AVERAGE('20250815_ETF_Options_Exhibits'!AA970:AA974)),AVERAGE('20250815_ETF_Options_Exhibits'!AA970:AA974),"")</f>
        <v/>
      </c>
    </row>
    <row r="975">
      <c r="A975" s="1" t="n">
        <v>43416</v>
      </c>
      <c r="B975" s="3">
        <f>IF(ISNUMBER(AVERAGE('20250815_ETF_Options_Exhibits'!B971:B975)),AVERAGE('20250815_ETF_Options_Exhibits'!B971:B975),"")</f>
        <v/>
      </c>
      <c r="C975" s="3">
        <f>IF(ISNUMBER(AVERAGE('20250815_ETF_Options_Exhibits'!C971:C975)),AVERAGE('20250815_ETF_Options_Exhibits'!C971:C975),"")</f>
        <v/>
      </c>
      <c r="D975" s="3">
        <f>IF(ISNUMBER(AVERAGE('20250815_ETF_Options_Exhibits'!D971:D975)),AVERAGE('20250815_ETF_Options_Exhibits'!D971:D975),"")</f>
        <v/>
      </c>
      <c r="E975" s="3">
        <f>IF(ISNUMBER(AVERAGE('20250815_ETF_Options_Exhibits'!E971:E975)),AVERAGE('20250815_ETF_Options_Exhibits'!E971:E975),"")</f>
        <v/>
      </c>
      <c r="F975" s="3">
        <f>IF(ISNUMBER(AVERAGE('20250815_ETF_Options_Exhibits'!F971:F975)),AVERAGE('20250815_ETF_Options_Exhibits'!F971:F975),"")</f>
        <v/>
      </c>
      <c r="G975" s="3">
        <f>IF(ISNUMBER(AVERAGE('20250815_ETF_Options_Exhibits'!G971:G975)),AVERAGE('20250815_ETF_Options_Exhibits'!G971:G975),"")</f>
        <v/>
      </c>
      <c r="H975" s="3">
        <f>IF(ISNUMBER(AVERAGE('20250815_ETF_Options_Exhibits'!H971:H975)),AVERAGE('20250815_ETF_Options_Exhibits'!H971:H975),"")</f>
        <v/>
      </c>
      <c r="I975" s="3">
        <f>IF(ISNUMBER(AVERAGE('20250815_ETF_Options_Exhibits'!I971:I975)),AVERAGE('20250815_ETF_Options_Exhibits'!I971:I975),"")</f>
        <v/>
      </c>
      <c r="J975" s="3">
        <f>IF(ISNUMBER(AVERAGE('20250815_ETF_Options_Exhibits'!J971:J975)),AVERAGE('20250815_ETF_Options_Exhibits'!J971:J975),"")</f>
        <v/>
      </c>
      <c r="K975" s="3">
        <f>IF(ISNUMBER(AVERAGE('20250815_ETF_Options_Exhibits'!K971:K975)),AVERAGE('20250815_ETF_Options_Exhibits'!K971:K975),"")</f>
        <v/>
      </c>
      <c r="L975" s="3">
        <f>IF(ISNUMBER(AVERAGE('20250815_ETF_Options_Exhibits'!L971:L975)),AVERAGE('20250815_ETF_Options_Exhibits'!L971:L975),"")</f>
        <v/>
      </c>
      <c r="M975" s="3">
        <f>IF(ISNUMBER(AVERAGE('20250815_ETF_Options_Exhibits'!M971:M975)),AVERAGE('20250815_ETF_Options_Exhibits'!M971:M975),"")</f>
        <v/>
      </c>
      <c r="N975" s="3">
        <f>IF(ISNUMBER(AVERAGE('20250815_ETF_Options_Exhibits'!N971:N975)),AVERAGE('20250815_ETF_Options_Exhibits'!N971:N975),"")</f>
        <v/>
      </c>
      <c r="O975" s="3">
        <f>IF(ISNUMBER(AVERAGE('20250815_ETF_Options_Exhibits'!O971:O975)),AVERAGE('20250815_ETF_Options_Exhibits'!O971:O975),"")</f>
        <v/>
      </c>
      <c r="P975" s="3">
        <f>IF(ISNUMBER(AVERAGE('20250815_ETF_Options_Exhibits'!P971:P975)),AVERAGE('20250815_ETF_Options_Exhibits'!P971:P975),"")</f>
        <v/>
      </c>
      <c r="Q975" s="3">
        <f>IF(ISNUMBER(AVERAGE('20250815_ETF_Options_Exhibits'!Q971:Q975)),AVERAGE('20250815_ETF_Options_Exhibits'!Q971:Q975),"")</f>
        <v/>
      </c>
      <c r="R975" s="3">
        <f>IF(ISNUMBER(AVERAGE('20250815_ETF_Options_Exhibits'!R971:R975)),AVERAGE('20250815_ETF_Options_Exhibits'!R971:R975),"")</f>
        <v/>
      </c>
      <c r="S975" s="3">
        <f>IF(ISNUMBER(AVERAGE('20250815_ETF_Options_Exhibits'!S971:S975)),AVERAGE('20250815_ETF_Options_Exhibits'!S971:S975),"")</f>
        <v/>
      </c>
      <c r="T975" s="3">
        <f>IF(ISNUMBER(AVERAGE('20250815_ETF_Options_Exhibits'!T971:T975)),AVERAGE('20250815_ETF_Options_Exhibits'!T971:T975),"")</f>
        <v/>
      </c>
      <c r="U975" s="3">
        <f>IF(ISNUMBER(AVERAGE('20250815_ETF_Options_Exhibits'!U971:U975)),AVERAGE('20250815_ETF_Options_Exhibits'!U971:U975),"")</f>
        <v/>
      </c>
      <c r="V975" s="3">
        <f>IF(ISNUMBER(AVERAGE('20250815_ETF_Options_Exhibits'!V971:V975)),AVERAGE('20250815_ETF_Options_Exhibits'!V971:V975),"")</f>
        <v/>
      </c>
      <c r="W975" s="3">
        <f>IF(ISNUMBER(AVERAGE('20250815_ETF_Options_Exhibits'!W971:W975)),AVERAGE('20250815_ETF_Options_Exhibits'!W971:W975),"")</f>
        <v/>
      </c>
      <c r="X975" s="3">
        <f>IF(ISNUMBER(AVERAGE('20250815_ETF_Options_Exhibits'!X971:X975)),AVERAGE('20250815_ETF_Options_Exhibits'!X971:X975),"")</f>
        <v/>
      </c>
      <c r="Y975" s="3">
        <f>IF(ISNUMBER(AVERAGE('20250815_ETF_Options_Exhibits'!Y971:Y975)),AVERAGE('20250815_ETF_Options_Exhibits'!Y971:Y975),"")</f>
        <v/>
      </c>
      <c r="Z975" s="3">
        <f>IF(ISNUMBER(AVERAGE('20250815_ETF_Options_Exhibits'!Z971:Z975)),AVERAGE('20250815_ETF_Options_Exhibits'!Z971:Z975),"")</f>
        <v/>
      </c>
      <c r="AA975" s="3">
        <f>IF(ISNUMBER(AVERAGE('20250815_ETF_Options_Exhibits'!AA971:AA975)),AVERAGE('20250815_ETF_Options_Exhibits'!AA971:AA975),"")</f>
        <v/>
      </c>
    </row>
    <row r="976">
      <c r="A976" s="1" t="n">
        <v>43417</v>
      </c>
      <c r="B976" s="3">
        <f>IF(ISNUMBER(AVERAGE('20250815_ETF_Options_Exhibits'!B972:B976)),AVERAGE('20250815_ETF_Options_Exhibits'!B972:B976),"")</f>
        <v/>
      </c>
      <c r="C976" s="3">
        <f>IF(ISNUMBER(AVERAGE('20250815_ETF_Options_Exhibits'!C972:C976)),AVERAGE('20250815_ETF_Options_Exhibits'!C972:C976),"")</f>
        <v/>
      </c>
      <c r="D976" s="3">
        <f>IF(ISNUMBER(AVERAGE('20250815_ETF_Options_Exhibits'!D972:D976)),AVERAGE('20250815_ETF_Options_Exhibits'!D972:D976),"")</f>
        <v/>
      </c>
      <c r="E976" s="3">
        <f>IF(ISNUMBER(AVERAGE('20250815_ETF_Options_Exhibits'!E972:E976)),AVERAGE('20250815_ETF_Options_Exhibits'!E972:E976),"")</f>
        <v/>
      </c>
      <c r="F976" s="3">
        <f>IF(ISNUMBER(AVERAGE('20250815_ETF_Options_Exhibits'!F972:F976)),AVERAGE('20250815_ETF_Options_Exhibits'!F972:F976),"")</f>
        <v/>
      </c>
      <c r="G976" s="3">
        <f>IF(ISNUMBER(AVERAGE('20250815_ETF_Options_Exhibits'!G972:G976)),AVERAGE('20250815_ETF_Options_Exhibits'!G972:G976),"")</f>
        <v/>
      </c>
      <c r="H976" s="3">
        <f>IF(ISNUMBER(AVERAGE('20250815_ETF_Options_Exhibits'!H972:H976)),AVERAGE('20250815_ETF_Options_Exhibits'!H972:H976),"")</f>
        <v/>
      </c>
      <c r="I976" s="3">
        <f>IF(ISNUMBER(AVERAGE('20250815_ETF_Options_Exhibits'!I972:I976)),AVERAGE('20250815_ETF_Options_Exhibits'!I972:I976),"")</f>
        <v/>
      </c>
      <c r="J976" s="3">
        <f>IF(ISNUMBER(AVERAGE('20250815_ETF_Options_Exhibits'!J972:J976)),AVERAGE('20250815_ETF_Options_Exhibits'!J972:J976),"")</f>
        <v/>
      </c>
      <c r="K976" s="3">
        <f>IF(ISNUMBER(AVERAGE('20250815_ETF_Options_Exhibits'!K972:K976)),AVERAGE('20250815_ETF_Options_Exhibits'!K972:K976),"")</f>
        <v/>
      </c>
      <c r="L976" s="3">
        <f>IF(ISNUMBER(AVERAGE('20250815_ETF_Options_Exhibits'!L972:L976)),AVERAGE('20250815_ETF_Options_Exhibits'!L972:L976),"")</f>
        <v/>
      </c>
      <c r="M976" s="3">
        <f>IF(ISNUMBER(AVERAGE('20250815_ETF_Options_Exhibits'!M972:M976)),AVERAGE('20250815_ETF_Options_Exhibits'!M972:M976),"")</f>
        <v/>
      </c>
      <c r="N976" s="3">
        <f>IF(ISNUMBER(AVERAGE('20250815_ETF_Options_Exhibits'!N972:N976)),AVERAGE('20250815_ETF_Options_Exhibits'!N972:N976),"")</f>
        <v/>
      </c>
      <c r="O976" s="3">
        <f>IF(ISNUMBER(AVERAGE('20250815_ETF_Options_Exhibits'!O972:O976)),AVERAGE('20250815_ETF_Options_Exhibits'!O972:O976),"")</f>
        <v/>
      </c>
      <c r="P976" s="3">
        <f>IF(ISNUMBER(AVERAGE('20250815_ETF_Options_Exhibits'!P972:P976)),AVERAGE('20250815_ETF_Options_Exhibits'!P972:P976),"")</f>
        <v/>
      </c>
      <c r="Q976" s="3">
        <f>IF(ISNUMBER(AVERAGE('20250815_ETF_Options_Exhibits'!Q972:Q976)),AVERAGE('20250815_ETF_Options_Exhibits'!Q972:Q976),"")</f>
        <v/>
      </c>
      <c r="R976" s="3">
        <f>IF(ISNUMBER(AVERAGE('20250815_ETF_Options_Exhibits'!R972:R976)),AVERAGE('20250815_ETF_Options_Exhibits'!R972:R976),"")</f>
        <v/>
      </c>
      <c r="S976" s="3">
        <f>IF(ISNUMBER(AVERAGE('20250815_ETF_Options_Exhibits'!S972:S976)),AVERAGE('20250815_ETF_Options_Exhibits'!S972:S976),"")</f>
        <v/>
      </c>
      <c r="T976" s="3">
        <f>IF(ISNUMBER(AVERAGE('20250815_ETF_Options_Exhibits'!T972:T976)),AVERAGE('20250815_ETF_Options_Exhibits'!T972:T976),"")</f>
        <v/>
      </c>
      <c r="U976" s="3">
        <f>IF(ISNUMBER(AVERAGE('20250815_ETF_Options_Exhibits'!U972:U976)),AVERAGE('20250815_ETF_Options_Exhibits'!U972:U976),"")</f>
        <v/>
      </c>
      <c r="V976" s="3">
        <f>IF(ISNUMBER(AVERAGE('20250815_ETF_Options_Exhibits'!V972:V976)),AVERAGE('20250815_ETF_Options_Exhibits'!V972:V976),"")</f>
        <v/>
      </c>
      <c r="W976" s="3">
        <f>IF(ISNUMBER(AVERAGE('20250815_ETF_Options_Exhibits'!W972:W976)),AVERAGE('20250815_ETF_Options_Exhibits'!W972:W976),"")</f>
        <v/>
      </c>
      <c r="X976" s="3">
        <f>IF(ISNUMBER(AVERAGE('20250815_ETF_Options_Exhibits'!X972:X976)),AVERAGE('20250815_ETF_Options_Exhibits'!X972:X976),"")</f>
        <v/>
      </c>
      <c r="Y976" s="3">
        <f>IF(ISNUMBER(AVERAGE('20250815_ETF_Options_Exhibits'!Y972:Y976)),AVERAGE('20250815_ETF_Options_Exhibits'!Y972:Y976),"")</f>
        <v/>
      </c>
      <c r="Z976" s="3">
        <f>IF(ISNUMBER(AVERAGE('20250815_ETF_Options_Exhibits'!Z972:Z976)),AVERAGE('20250815_ETF_Options_Exhibits'!Z972:Z976),"")</f>
        <v/>
      </c>
      <c r="AA976" s="3">
        <f>IF(ISNUMBER(AVERAGE('20250815_ETF_Options_Exhibits'!AA972:AA976)),AVERAGE('20250815_ETF_Options_Exhibits'!AA972:AA976),"")</f>
        <v/>
      </c>
    </row>
    <row r="977">
      <c r="A977" s="1" t="n">
        <v>43418</v>
      </c>
      <c r="B977" s="3">
        <f>IF(ISNUMBER(AVERAGE('20250815_ETF_Options_Exhibits'!B973:B977)),AVERAGE('20250815_ETF_Options_Exhibits'!B973:B977),"")</f>
        <v/>
      </c>
      <c r="C977" s="3">
        <f>IF(ISNUMBER(AVERAGE('20250815_ETF_Options_Exhibits'!C973:C977)),AVERAGE('20250815_ETF_Options_Exhibits'!C973:C977),"")</f>
        <v/>
      </c>
      <c r="D977" s="3">
        <f>IF(ISNUMBER(AVERAGE('20250815_ETF_Options_Exhibits'!D973:D977)),AVERAGE('20250815_ETF_Options_Exhibits'!D973:D977),"")</f>
        <v/>
      </c>
      <c r="E977" s="3">
        <f>IF(ISNUMBER(AVERAGE('20250815_ETF_Options_Exhibits'!E973:E977)),AVERAGE('20250815_ETF_Options_Exhibits'!E973:E977),"")</f>
        <v/>
      </c>
      <c r="F977" s="3">
        <f>IF(ISNUMBER(AVERAGE('20250815_ETF_Options_Exhibits'!F973:F977)),AVERAGE('20250815_ETF_Options_Exhibits'!F973:F977),"")</f>
        <v/>
      </c>
      <c r="G977" s="3">
        <f>IF(ISNUMBER(AVERAGE('20250815_ETF_Options_Exhibits'!G973:G977)),AVERAGE('20250815_ETF_Options_Exhibits'!G973:G977),"")</f>
        <v/>
      </c>
      <c r="H977" s="3">
        <f>IF(ISNUMBER(AVERAGE('20250815_ETF_Options_Exhibits'!H973:H977)),AVERAGE('20250815_ETF_Options_Exhibits'!H973:H977),"")</f>
        <v/>
      </c>
      <c r="I977" s="3">
        <f>IF(ISNUMBER(AVERAGE('20250815_ETF_Options_Exhibits'!I973:I977)),AVERAGE('20250815_ETF_Options_Exhibits'!I973:I977),"")</f>
        <v/>
      </c>
      <c r="J977" s="3">
        <f>IF(ISNUMBER(AVERAGE('20250815_ETF_Options_Exhibits'!J973:J977)),AVERAGE('20250815_ETF_Options_Exhibits'!J973:J977),"")</f>
        <v/>
      </c>
      <c r="K977" s="3">
        <f>IF(ISNUMBER(AVERAGE('20250815_ETF_Options_Exhibits'!K973:K977)),AVERAGE('20250815_ETF_Options_Exhibits'!K973:K977),"")</f>
        <v/>
      </c>
      <c r="L977" s="3">
        <f>IF(ISNUMBER(AVERAGE('20250815_ETF_Options_Exhibits'!L973:L977)),AVERAGE('20250815_ETF_Options_Exhibits'!L973:L977),"")</f>
        <v/>
      </c>
      <c r="M977" s="3">
        <f>IF(ISNUMBER(AVERAGE('20250815_ETF_Options_Exhibits'!M973:M977)),AVERAGE('20250815_ETF_Options_Exhibits'!M973:M977),"")</f>
        <v/>
      </c>
      <c r="N977" s="3">
        <f>IF(ISNUMBER(AVERAGE('20250815_ETF_Options_Exhibits'!N973:N977)),AVERAGE('20250815_ETF_Options_Exhibits'!N973:N977),"")</f>
        <v/>
      </c>
      <c r="O977" s="3">
        <f>IF(ISNUMBER(AVERAGE('20250815_ETF_Options_Exhibits'!O973:O977)),AVERAGE('20250815_ETF_Options_Exhibits'!O973:O977),"")</f>
        <v/>
      </c>
      <c r="P977" s="3">
        <f>IF(ISNUMBER(AVERAGE('20250815_ETF_Options_Exhibits'!P973:P977)),AVERAGE('20250815_ETF_Options_Exhibits'!P973:P977),"")</f>
        <v/>
      </c>
      <c r="Q977" s="3">
        <f>IF(ISNUMBER(AVERAGE('20250815_ETF_Options_Exhibits'!Q973:Q977)),AVERAGE('20250815_ETF_Options_Exhibits'!Q973:Q977),"")</f>
        <v/>
      </c>
      <c r="R977" s="3">
        <f>IF(ISNUMBER(AVERAGE('20250815_ETF_Options_Exhibits'!R973:R977)),AVERAGE('20250815_ETF_Options_Exhibits'!R973:R977),"")</f>
        <v/>
      </c>
      <c r="S977" s="3">
        <f>IF(ISNUMBER(AVERAGE('20250815_ETF_Options_Exhibits'!S973:S977)),AVERAGE('20250815_ETF_Options_Exhibits'!S973:S977),"")</f>
        <v/>
      </c>
      <c r="T977" s="3">
        <f>IF(ISNUMBER(AVERAGE('20250815_ETF_Options_Exhibits'!T973:T977)),AVERAGE('20250815_ETF_Options_Exhibits'!T973:T977),"")</f>
        <v/>
      </c>
      <c r="U977" s="3">
        <f>IF(ISNUMBER(AVERAGE('20250815_ETF_Options_Exhibits'!U973:U977)),AVERAGE('20250815_ETF_Options_Exhibits'!U973:U977),"")</f>
        <v/>
      </c>
      <c r="V977" s="3">
        <f>IF(ISNUMBER(AVERAGE('20250815_ETF_Options_Exhibits'!V973:V977)),AVERAGE('20250815_ETF_Options_Exhibits'!V973:V977),"")</f>
        <v/>
      </c>
      <c r="W977" s="3">
        <f>IF(ISNUMBER(AVERAGE('20250815_ETF_Options_Exhibits'!W973:W977)),AVERAGE('20250815_ETF_Options_Exhibits'!W973:W977),"")</f>
        <v/>
      </c>
      <c r="X977" s="3">
        <f>IF(ISNUMBER(AVERAGE('20250815_ETF_Options_Exhibits'!X973:X977)),AVERAGE('20250815_ETF_Options_Exhibits'!X973:X977),"")</f>
        <v/>
      </c>
      <c r="Y977" s="3">
        <f>IF(ISNUMBER(AVERAGE('20250815_ETF_Options_Exhibits'!Y973:Y977)),AVERAGE('20250815_ETF_Options_Exhibits'!Y973:Y977),"")</f>
        <v/>
      </c>
      <c r="Z977" s="3">
        <f>IF(ISNUMBER(AVERAGE('20250815_ETF_Options_Exhibits'!Z973:Z977)),AVERAGE('20250815_ETF_Options_Exhibits'!Z973:Z977),"")</f>
        <v/>
      </c>
      <c r="AA977" s="3">
        <f>IF(ISNUMBER(AVERAGE('20250815_ETF_Options_Exhibits'!AA973:AA977)),AVERAGE('20250815_ETF_Options_Exhibits'!AA973:AA977),"")</f>
        <v/>
      </c>
    </row>
    <row r="978">
      <c r="A978" s="1" t="n">
        <v>43419</v>
      </c>
      <c r="B978" s="3">
        <f>IF(ISNUMBER(AVERAGE('20250815_ETF_Options_Exhibits'!B974:B978)),AVERAGE('20250815_ETF_Options_Exhibits'!B974:B978),"")</f>
        <v/>
      </c>
      <c r="C978" s="3">
        <f>IF(ISNUMBER(AVERAGE('20250815_ETF_Options_Exhibits'!C974:C978)),AVERAGE('20250815_ETF_Options_Exhibits'!C974:C978),"")</f>
        <v/>
      </c>
      <c r="D978" s="3">
        <f>IF(ISNUMBER(AVERAGE('20250815_ETF_Options_Exhibits'!D974:D978)),AVERAGE('20250815_ETF_Options_Exhibits'!D974:D978),"")</f>
        <v/>
      </c>
      <c r="E978" s="3">
        <f>IF(ISNUMBER(AVERAGE('20250815_ETF_Options_Exhibits'!E974:E978)),AVERAGE('20250815_ETF_Options_Exhibits'!E974:E978),"")</f>
        <v/>
      </c>
      <c r="F978" s="3">
        <f>IF(ISNUMBER(AVERAGE('20250815_ETF_Options_Exhibits'!F974:F978)),AVERAGE('20250815_ETF_Options_Exhibits'!F974:F978),"")</f>
        <v/>
      </c>
      <c r="G978" s="3">
        <f>IF(ISNUMBER(AVERAGE('20250815_ETF_Options_Exhibits'!G974:G978)),AVERAGE('20250815_ETF_Options_Exhibits'!G974:G978),"")</f>
        <v/>
      </c>
      <c r="H978" s="3">
        <f>IF(ISNUMBER(AVERAGE('20250815_ETF_Options_Exhibits'!H974:H978)),AVERAGE('20250815_ETF_Options_Exhibits'!H974:H978),"")</f>
        <v/>
      </c>
      <c r="I978" s="3">
        <f>IF(ISNUMBER(AVERAGE('20250815_ETF_Options_Exhibits'!I974:I978)),AVERAGE('20250815_ETF_Options_Exhibits'!I974:I978),"")</f>
        <v/>
      </c>
      <c r="J978" s="3">
        <f>IF(ISNUMBER(AVERAGE('20250815_ETF_Options_Exhibits'!J974:J978)),AVERAGE('20250815_ETF_Options_Exhibits'!J974:J978),"")</f>
        <v/>
      </c>
      <c r="K978" s="3">
        <f>IF(ISNUMBER(AVERAGE('20250815_ETF_Options_Exhibits'!K974:K978)),AVERAGE('20250815_ETF_Options_Exhibits'!K974:K978),"")</f>
        <v/>
      </c>
      <c r="L978" s="3">
        <f>IF(ISNUMBER(AVERAGE('20250815_ETF_Options_Exhibits'!L974:L978)),AVERAGE('20250815_ETF_Options_Exhibits'!L974:L978),"")</f>
        <v/>
      </c>
      <c r="M978" s="3">
        <f>IF(ISNUMBER(AVERAGE('20250815_ETF_Options_Exhibits'!M974:M978)),AVERAGE('20250815_ETF_Options_Exhibits'!M974:M978),"")</f>
        <v/>
      </c>
      <c r="N978" s="3">
        <f>IF(ISNUMBER(AVERAGE('20250815_ETF_Options_Exhibits'!N974:N978)),AVERAGE('20250815_ETF_Options_Exhibits'!N974:N978),"")</f>
        <v/>
      </c>
      <c r="O978" s="3">
        <f>IF(ISNUMBER(AVERAGE('20250815_ETF_Options_Exhibits'!O974:O978)),AVERAGE('20250815_ETF_Options_Exhibits'!O974:O978),"")</f>
        <v/>
      </c>
      <c r="P978" s="3">
        <f>IF(ISNUMBER(AVERAGE('20250815_ETF_Options_Exhibits'!P974:P978)),AVERAGE('20250815_ETF_Options_Exhibits'!P974:P978),"")</f>
        <v/>
      </c>
      <c r="Q978" s="3">
        <f>IF(ISNUMBER(AVERAGE('20250815_ETF_Options_Exhibits'!Q974:Q978)),AVERAGE('20250815_ETF_Options_Exhibits'!Q974:Q978),"")</f>
        <v/>
      </c>
      <c r="R978" s="3">
        <f>IF(ISNUMBER(AVERAGE('20250815_ETF_Options_Exhibits'!R974:R978)),AVERAGE('20250815_ETF_Options_Exhibits'!R974:R978),"")</f>
        <v/>
      </c>
      <c r="S978" s="3">
        <f>IF(ISNUMBER(AVERAGE('20250815_ETF_Options_Exhibits'!S974:S978)),AVERAGE('20250815_ETF_Options_Exhibits'!S974:S978),"")</f>
        <v/>
      </c>
      <c r="T978" s="3">
        <f>IF(ISNUMBER(AVERAGE('20250815_ETF_Options_Exhibits'!T974:T978)),AVERAGE('20250815_ETF_Options_Exhibits'!T974:T978),"")</f>
        <v/>
      </c>
      <c r="U978" s="3">
        <f>IF(ISNUMBER(AVERAGE('20250815_ETF_Options_Exhibits'!U974:U978)),AVERAGE('20250815_ETF_Options_Exhibits'!U974:U978),"")</f>
        <v/>
      </c>
      <c r="V978" s="3">
        <f>IF(ISNUMBER(AVERAGE('20250815_ETF_Options_Exhibits'!V974:V978)),AVERAGE('20250815_ETF_Options_Exhibits'!V974:V978),"")</f>
        <v/>
      </c>
      <c r="W978" s="3">
        <f>IF(ISNUMBER(AVERAGE('20250815_ETF_Options_Exhibits'!W974:W978)),AVERAGE('20250815_ETF_Options_Exhibits'!W974:W978),"")</f>
        <v/>
      </c>
      <c r="X978" s="3">
        <f>IF(ISNUMBER(AVERAGE('20250815_ETF_Options_Exhibits'!X974:X978)),AVERAGE('20250815_ETF_Options_Exhibits'!X974:X978),"")</f>
        <v/>
      </c>
      <c r="Y978" s="3">
        <f>IF(ISNUMBER(AVERAGE('20250815_ETF_Options_Exhibits'!Y974:Y978)),AVERAGE('20250815_ETF_Options_Exhibits'!Y974:Y978),"")</f>
        <v/>
      </c>
      <c r="Z978" s="3">
        <f>IF(ISNUMBER(AVERAGE('20250815_ETF_Options_Exhibits'!Z974:Z978)),AVERAGE('20250815_ETF_Options_Exhibits'!Z974:Z978),"")</f>
        <v/>
      </c>
      <c r="AA978" s="3">
        <f>IF(ISNUMBER(AVERAGE('20250815_ETF_Options_Exhibits'!AA974:AA978)),AVERAGE('20250815_ETF_Options_Exhibits'!AA974:AA978),"")</f>
        <v/>
      </c>
    </row>
    <row r="979">
      <c r="A979" s="1" t="n">
        <v>43420</v>
      </c>
      <c r="B979" s="3">
        <f>IF(ISNUMBER(AVERAGE('20250815_ETF_Options_Exhibits'!B975:B979)),AVERAGE('20250815_ETF_Options_Exhibits'!B975:B979),"")</f>
        <v/>
      </c>
      <c r="C979" s="3">
        <f>IF(ISNUMBER(AVERAGE('20250815_ETF_Options_Exhibits'!C975:C979)),AVERAGE('20250815_ETF_Options_Exhibits'!C975:C979),"")</f>
        <v/>
      </c>
      <c r="D979" s="3">
        <f>IF(ISNUMBER(AVERAGE('20250815_ETF_Options_Exhibits'!D975:D979)),AVERAGE('20250815_ETF_Options_Exhibits'!D975:D979),"")</f>
        <v/>
      </c>
      <c r="E979" s="3">
        <f>IF(ISNUMBER(AVERAGE('20250815_ETF_Options_Exhibits'!E975:E979)),AVERAGE('20250815_ETF_Options_Exhibits'!E975:E979),"")</f>
        <v/>
      </c>
      <c r="F979" s="3">
        <f>IF(ISNUMBER(AVERAGE('20250815_ETF_Options_Exhibits'!F975:F979)),AVERAGE('20250815_ETF_Options_Exhibits'!F975:F979),"")</f>
        <v/>
      </c>
      <c r="G979" s="3">
        <f>IF(ISNUMBER(AVERAGE('20250815_ETF_Options_Exhibits'!G975:G979)),AVERAGE('20250815_ETF_Options_Exhibits'!G975:G979),"")</f>
        <v/>
      </c>
      <c r="H979" s="3">
        <f>IF(ISNUMBER(AVERAGE('20250815_ETF_Options_Exhibits'!H975:H979)),AVERAGE('20250815_ETF_Options_Exhibits'!H975:H979),"")</f>
        <v/>
      </c>
      <c r="I979" s="3">
        <f>IF(ISNUMBER(AVERAGE('20250815_ETF_Options_Exhibits'!I975:I979)),AVERAGE('20250815_ETF_Options_Exhibits'!I975:I979),"")</f>
        <v/>
      </c>
      <c r="J979" s="3">
        <f>IF(ISNUMBER(AVERAGE('20250815_ETF_Options_Exhibits'!J975:J979)),AVERAGE('20250815_ETF_Options_Exhibits'!J975:J979),"")</f>
        <v/>
      </c>
      <c r="K979" s="3">
        <f>IF(ISNUMBER(AVERAGE('20250815_ETF_Options_Exhibits'!K975:K979)),AVERAGE('20250815_ETF_Options_Exhibits'!K975:K979),"")</f>
        <v/>
      </c>
      <c r="L979" s="3">
        <f>IF(ISNUMBER(AVERAGE('20250815_ETF_Options_Exhibits'!L975:L979)),AVERAGE('20250815_ETF_Options_Exhibits'!L975:L979),"")</f>
        <v/>
      </c>
      <c r="M979" s="3">
        <f>IF(ISNUMBER(AVERAGE('20250815_ETF_Options_Exhibits'!M975:M979)),AVERAGE('20250815_ETF_Options_Exhibits'!M975:M979),"")</f>
        <v/>
      </c>
      <c r="N979" s="3">
        <f>IF(ISNUMBER(AVERAGE('20250815_ETF_Options_Exhibits'!N975:N979)),AVERAGE('20250815_ETF_Options_Exhibits'!N975:N979),"")</f>
        <v/>
      </c>
      <c r="O979" s="3">
        <f>IF(ISNUMBER(AVERAGE('20250815_ETF_Options_Exhibits'!O975:O979)),AVERAGE('20250815_ETF_Options_Exhibits'!O975:O979),"")</f>
        <v/>
      </c>
      <c r="P979" s="3">
        <f>IF(ISNUMBER(AVERAGE('20250815_ETF_Options_Exhibits'!P975:P979)),AVERAGE('20250815_ETF_Options_Exhibits'!P975:P979),"")</f>
        <v/>
      </c>
      <c r="Q979" s="3">
        <f>IF(ISNUMBER(AVERAGE('20250815_ETF_Options_Exhibits'!Q975:Q979)),AVERAGE('20250815_ETF_Options_Exhibits'!Q975:Q979),"")</f>
        <v/>
      </c>
      <c r="R979" s="3">
        <f>IF(ISNUMBER(AVERAGE('20250815_ETF_Options_Exhibits'!R975:R979)),AVERAGE('20250815_ETF_Options_Exhibits'!R975:R979),"")</f>
        <v/>
      </c>
      <c r="S979" s="3">
        <f>IF(ISNUMBER(AVERAGE('20250815_ETF_Options_Exhibits'!S975:S979)),AVERAGE('20250815_ETF_Options_Exhibits'!S975:S979),"")</f>
        <v/>
      </c>
      <c r="T979" s="3">
        <f>IF(ISNUMBER(AVERAGE('20250815_ETF_Options_Exhibits'!T975:T979)),AVERAGE('20250815_ETF_Options_Exhibits'!T975:T979),"")</f>
        <v/>
      </c>
      <c r="U979" s="3">
        <f>IF(ISNUMBER(AVERAGE('20250815_ETF_Options_Exhibits'!U975:U979)),AVERAGE('20250815_ETF_Options_Exhibits'!U975:U979),"")</f>
        <v/>
      </c>
      <c r="V979" s="3">
        <f>IF(ISNUMBER(AVERAGE('20250815_ETF_Options_Exhibits'!V975:V979)),AVERAGE('20250815_ETF_Options_Exhibits'!V975:V979),"")</f>
        <v/>
      </c>
      <c r="W979" s="3">
        <f>IF(ISNUMBER(AVERAGE('20250815_ETF_Options_Exhibits'!W975:W979)),AVERAGE('20250815_ETF_Options_Exhibits'!W975:W979),"")</f>
        <v/>
      </c>
      <c r="X979" s="3">
        <f>IF(ISNUMBER(AVERAGE('20250815_ETF_Options_Exhibits'!X975:X979)),AVERAGE('20250815_ETF_Options_Exhibits'!X975:X979),"")</f>
        <v/>
      </c>
      <c r="Y979" s="3">
        <f>IF(ISNUMBER(AVERAGE('20250815_ETF_Options_Exhibits'!Y975:Y979)),AVERAGE('20250815_ETF_Options_Exhibits'!Y975:Y979),"")</f>
        <v/>
      </c>
      <c r="Z979" s="3">
        <f>IF(ISNUMBER(AVERAGE('20250815_ETF_Options_Exhibits'!Z975:Z979)),AVERAGE('20250815_ETF_Options_Exhibits'!Z975:Z979),"")</f>
        <v/>
      </c>
      <c r="AA979" s="3">
        <f>IF(ISNUMBER(AVERAGE('20250815_ETF_Options_Exhibits'!AA975:AA979)),AVERAGE('20250815_ETF_Options_Exhibits'!AA975:AA979),"")</f>
        <v/>
      </c>
    </row>
    <row r="980">
      <c r="A980" s="1" t="n">
        <v>43423</v>
      </c>
      <c r="B980" s="3">
        <f>IF(ISNUMBER(AVERAGE('20250815_ETF_Options_Exhibits'!B976:B980)),AVERAGE('20250815_ETF_Options_Exhibits'!B976:B980),"")</f>
        <v/>
      </c>
      <c r="C980" s="3">
        <f>IF(ISNUMBER(AVERAGE('20250815_ETF_Options_Exhibits'!C976:C980)),AVERAGE('20250815_ETF_Options_Exhibits'!C976:C980),"")</f>
        <v/>
      </c>
      <c r="D980" s="3">
        <f>IF(ISNUMBER(AVERAGE('20250815_ETF_Options_Exhibits'!D976:D980)),AVERAGE('20250815_ETF_Options_Exhibits'!D976:D980),"")</f>
        <v/>
      </c>
      <c r="E980" s="3">
        <f>IF(ISNUMBER(AVERAGE('20250815_ETF_Options_Exhibits'!E976:E980)),AVERAGE('20250815_ETF_Options_Exhibits'!E976:E980),"")</f>
        <v/>
      </c>
      <c r="F980" s="3">
        <f>IF(ISNUMBER(AVERAGE('20250815_ETF_Options_Exhibits'!F976:F980)),AVERAGE('20250815_ETF_Options_Exhibits'!F976:F980),"")</f>
        <v/>
      </c>
      <c r="G980" s="3">
        <f>IF(ISNUMBER(AVERAGE('20250815_ETF_Options_Exhibits'!G976:G980)),AVERAGE('20250815_ETF_Options_Exhibits'!G976:G980),"")</f>
        <v/>
      </c>
      <c r="H980" s="3">
        <f>IF(ISNUMBER(AVERAGE('20250815_ETF_Options_Exhibits'!H976:H980)),AVERAGE('20250815_ETF_Options_Exhibits'!H976:H980),"")</f>
        <v/>
      </c>
      <c r="I980" s="3">
        <f>IF(ISNUMBER(AVERAGE('20250815_ETF_Options_Exhibits'!I976:I980)),AVERAGE('20250815_ETF_Options_Exhibits'!I976:I980),"")</f>
        <v/>
      </c>
      <c r="J980" s="3">
        <f>IF(ISNUMBER(AVERAGE('20250815_ETF_Options_Exhibits'!J976:J980)),AVERAGE('20250815_ETF_Options_Exhibits'!J976:J980),"")</f>
        <v/>
      </c>
      <c r="K980" s="3">
        <f>IF(ISNUMBER(AVERAGE('20250815_ETF_Options_Exhibits'!K976:K980)),AVERAGE('20250815_ETF_Options_Exhibits'!K976:K980),"")</f>
        <v/>
      </c>
      <c r="L980" s="3">
        <f>IF(ISNUMBER(AVERAGE('20250815_ETF_Options_Exhibits'!L976:L980)),AVERAGE('20250815_ETF_Options_Exhibits'!L976:L980),"")</f>
        <v/>
      </c>
      <c r="M980" s="3">
        <f>IF(ISNUMBER(AVERAGE('20250815_ETF_Options_Exhibits'!M976:M980)),AVERAGE('20250815_ETF_Options_Exhibits'!M976:M980),"")</f>
        <v/>
      </c>
      <c r="N980" s="3">
        <f>IF(ISNUMBER(AVERAGE('20250815_ETF_Options_Exhibits'!N976:N980)),AVERAGE('20250815_ETF_Options_Exhibits'!N976:N980),"")</f>
        <v/>
      </c>
      <c r="O980" s="3">
        <f>IF(ISNUMBER(AVERAGE('20250815_ETF_Options_Exhibits'!O976:O980)),AVERAGE('20250815_ETF_Options_Exhibits'!O976:O980),"")</f>
        <v/>
      </c>
      <c r="P980" s="3">
        <f>IF(ISNUMBER(AVERAGE('20250815_ETF_Options_Exhibits'!P976:P980)),AVERAGE('20250815_ETF_Options_Exhibits'!P976:P980),"")</f>
        <v/>
      </c>
      <c r="Q980" s="3">
        <f>IF(ISNUMBER(AVERAGE('20250815_ETF_Options_Exhibits'!Q976:Q980)),AVERAGE('20250815_ETF_Options_Exhibits'!Q976:Q980),"")</f>
        <v/>
      </c>
      <c r="R980" s="3">
        <f>IF(ISNUMBER(AVERAGE('20250815_ETF_Options_Exhibits'!R976:R980)),AVERAGE('20250815_ETF_Options_Exhibits'!R976:R980),"")</f>
        <v/>
      </c>
      <c r="S980" s="3">
        <f>IF(ISNUMBER(AVERAGE('20250815_ETF_Options_Exhibits'!S976:S980)),AVERAGE('20250815_ETF_Options_Exhibits'!S976:S980),"")</f>
        <v/>
      </c>
      <c r="T980" s="3">
        <f>IF(ISNUMBER(AVERAGE('20250815_ETF_Options_Exhibits'!T976:T980)),AVERAGE('20250815_ETF_Options_Exhibits'!T976:T980),"")</f>
        <v/>
      </c>
      <c r="U980" s="3">
        <f>IF(ISNUMBER(AVERAGE('20250815_ETF_Options_Exhibits'!U976:U980)),AVERAGE('20250815_ETF_Options_Exhibits'!U976:U980),"")</f>
        <v/>
      </c>
      <c r="V980" s="3">
        <f>IF(ISNUMBER(AVERAGE('20250815_ETF_Options_Exhibits'!V976:V980)),AVERAGE('20250815_ETF_Options_Exhibits'!V976:V980),"")</f>
        <v/>
      </c>
      <c r="W980" s="3">
        <f>IF(ISNUMBER(AVERAGE('20250815_ETF_Options_Exhibits'!W976:W980)),AVERAGE('20250815_ETF_Options_Exhibits'!W976:W980),"")</f>
        <v/>
      </c>
      <c r="X980" s="3">
        <f>IF(ISNUMBER(AVERAGE('20250815_ETF_Options_Exhibits'!X976:X980)),AVERAGE('20250815_ETF_Options_Exhibits'!X976:X980),"")</f>
        <v/>
      </c>
      <c r="Y980" s="3">
        <f>IF(ISNUMBER(AVERAGE('20250815_ETF_Options_Exhibits'!Y976:Y980)),AVERAGE('20250815_ETF_Options_Exhibits'!Y976:Y980),"")</f>
        <v/>
      </c>
      <c r="Z980" s="3">
        <f>IF(ISNUMBER(AVERAGE('20250815_ETF_Options_Exhibits'!Z976:Z980)),AVERAGE('20250815_ETF_Options_Exhibits'!Z976:Z980),"")</f>
        <v/>
      </c>
      <c r="AA980" s="3">
        <f>IF(ISNUMBER(AVERAGE('20250815_ETF_Options_Exhibits'!AA976:AA980)),AVERAGE('20250815_ETF_Options_Exhibits'!AA976:AA980),"")</f>
        <v/>
      </c>
    </row>
    <row r="981">
      <c r="A981" s="1" t="n">
        <v>43424</v>
      </c>
      <c r="B981" s="3">
        <f>IF(ISNUMBER(AVERAGE('20250815_ETF_Options_Exhibits'!B977:B981)),AVERAGE('20250815_ETF_Options_Exhibits'!B977:B981),"")</f>
        <v/>
      </c>
      <c r="C981" s="3">
        <f>IF(ISNUMBER(AVERAGE('20250815_ETF_Options_Exhibits'!C977:C981)),AVERAGE('20250815_ETF_Options_Exhibits'!C977:C981),"")</f>
        <v/>
      </c>
      <c r="D981" s="3">
        <f>IF(ISNUMBER(AVERAGE('20250815_ETF_Options_Exhibits'!D977:D981)),AVERAGE('20250815_ETF_Options_Exhibits'!D977:D981),"")</f>
        <v/>
      </c>
      <c r="E981" s="3">
        <f>IF(ISNUMBER(AVERAGE('20250815_ETF_Options_Exhibits'!E977:E981)),AVERAGE('20250815_ETF_Options_Exhibits'!E977:E981),"")</f>
        <v/>
      </c>
      <c r="F981" s="3">
        <f>IF(ISNUMBER(AVERAGE('20250815_ETF_Options_Exhibits'!F977:F981)),AVERAGE('20250815_ETF_Options_Exhibits'!F977:F981),"")</f>
        <v/>
      </c>
      <c r="G981" s="3">
        <f>IF(ISNUMBER(AVERAGE('20250815_ETF_Options_Exhibits'!G977:G981)),AVERAGE('20250815_ETF_Options_Exhibits'!G977:G981),"")</f>
        <v/>
      </c>
      <c r="H981" s="3">
        <f>IF(ISNUMBER(AVERAGE('20250815_ETF_Options_Exhibits'!H977:H981)),AVERAGE('20250815_ETF_Options_Exhibits'!H977:H981),"")</f>
        <v/>
      </c>
      <c r="I981" s="3">
        <f>IF(ISNUMBER(AVERAGE('20250815_ETF_Options_Exhibits'!I977:I981)),AVERAGE('20250815_ETF_Options_Exhibits'!I977:I981),"")</f>
        <v/>
      </c>
      <c r="J981" s="3">
        <f>IF(ISNUMBER(AVERAGE('20250815_ETF_Options_Exhibits'!J977:J981)),AVERAGE('20250815_ETF_Options_Exhibits'!J977:J981),"")</f>
        <v/>
      </c>
      <c r="K981" s="3">
        <f>IF(ISNUMBER(AVERAGE('20250815_ETF_Options_Exhibits'!K977:K981)),AVERAGE('20250815_ETF_Options_Exhibits'!K977:K981),"")</f>
        <v/>
      </c>
      <c r="L981" s="3">
        <f>IF(ISNUMBER(AVERAGE('20250815_ETF_Options_Exhibits'!L977:L981)),AVERAGE('20250815_ETF_Options_Exhibits'!L977:L981),"")</f>
        <v/>
      </c>
      <c r="M981" s="3">
        <f>IF(ISNUMBER(AVERAGE('20250815_ETF_Options_Exhibits'!M977:M981)),AVERAGE('20250815_ETF_Options_Exhibits'!M977:M981),"")</f>
        <v/>
      </c>
      <c r="N981" s="3">
        <f>IF(ISNUMBER(AVERAGE('20250815_ETF_Options_Exhibits'!N977:N981)),AVERAGE('20250815_ETF_Options_Exhibits'!N977:N981),"")</f>
        <v/>
      </c>
      <c r="O981" s="3">
        <f>IF(ISNUMBER(AVERAGE('20250815_ETF_Options_Exhibits'!O977:O981)),AVERAGE('20250815_ETF_Options_Exhibits'!O977:O981),"")</f>
        <v/>
      </c>
      <c r="P981" s="3">
        <f>IF(ISNUMBER(AVERAGE('20250815_ETF_Options_Exhibits'!P977:P981)),AVERAGE('20250815_ETF_Options_Exhibits'!P977:P981),"")</f>
        <v/>
      </c>
      <c r="Q981" s="3">
        <f>IF(ISNUMBER(AVERAGE('20250815_ETF_Options_Exhibits'!Q977:Q981)),AVERAGE('20250815_ETF_Options_Exhibits'!Q977:Q981),"")</f>
        <v/>
      </c>
      <c r="R981" s="3">
        <f>IF(ISNUMBER(AVERAGE('20250815_ETF_Options_Exhibits'!R977:R981)),AVERAGE('20250815_ETF_Options_Exhibits'!R977:R981),"")</f>
        <v/>
      </c>
      <c r="S981" s="3">
        <f>IF(ISNUMBER(AVERAGE('20250815_ETF_Options_Exhibits'!S977:S981)),AVERAGE('20250815_ETF_Options_Exhibits'!S977:S981),"")</f>
        <v/>
      </c>
      <c r="T981" s="3">
        <f>IF(ISNUMBER(AVERAGE('20250815_ETF_Options_Exhibits'!T977:T981)),AVERAGE('20250815_ETF_Options_Exhibits'!T977:T981),"")</f>
        <v/>
      </c>
      <c r="U981" s="3">
        <f>IF(ISNUMBER(AVERAGE('20250815_ETF_Options_Exhibits'!U977:U981)),AVERAGE('20250815_ETF_Options_Exhibits'!U977:U981),"")</f>
        <v/>
      </c>
      <c r="V981" s="3">
        <f>IF(ISNUMBER(AVERAGE('20250815_ETF_Options_Exhibits'!V977:V981)),AVERAGE('20250815_ETF_Options_Exhibits'!V977:V981),"")</f>
        <v/>
      </c>
      <c r="W981" s="3">
        <f>IF(ISNUMBER(AVERAGE('20250815_ETF_Options_Exhibits'!W977:W981)),AVERAGE('20250815_ETF_Options_Exhibits'!W977:W981),"")</f>
        <v/>
      </c>
      <c r="X981" s="3">
        <f>IF(ISNUMBER(AVERAGE('20250815_ETF_Options_Exhibits'!X977:X981)),AVERAGE('20250815_ETF_Options_Exhibits'!X977:X981),"")</f>
        <v/>
      </c>
      <c r="Y981" s="3">
        <f>IF(ISNUMBER(AVERAGE('20250815_ETF_Options_Exhibits'!Y977:Y981)),AVERAGE('20250815_ETF_Options_Exhibits'!Y977:Y981),"")</f>
        <v/>
      </c>
      <c r="Z981" s="3">
        <f>IF(ISNUMBER(AVERAGE('20250815_ETF_Options_Exhibits'!Z977:Z981)),AVERAGE('20250815_ETF_Options_Exhibits'!Z977:Z981),"")</f>
        <v/>
      </c>
      <c r="AA981" s="3">
        <f>IF(ISNUMBER(AVERAGE('20250815_ETF_Options_Exhibits'!AA977:AA981)),AVERAGE('20250815_ETF_Options_Exhibits'!AA977:AA981),"")</f>
        <v/>
      </c>
    </row>
    <row r="982">
      <c r="A982" s="1" t="n">
        <v>43425</v>
      </c>
      <c r="B982" s="3">
        <f>IF(ISNUMBER(AVERAGE('20250815_ETF_Options_Exhibits'!B978:B982)),AVERAGE('20250815_ETF_Options_Exhibits'!B978:B982),"")</f>
        <v/>
      </c>
      <c r="C982" s="3">
        <f>IF(ISNUMBER(AVERAGE('20250815_ETF_Options_Exhibits'!C978:C982)),AVERAGE('20250815_ETF_Options_Exhibits'!C978:C982),"")</f>
        <v/>
      </c>
      <c r="D982" s="3">
        <f>IF(ISNUMBER(AVERAGE('20250815_ETF_Options_Exhibits'!D978:D982)),AVERAGE('20250815_ETF_Options_Exhibits'!D978:D982),"")</f>
        <v/>
      </c>
      <c r="E982" s="3">
        <f>IF(ISNUMBER(AVERAGE('20250815_ETF_Options_Exhibits'!E978:E982)),AVERAGE('20250815_ETF_Options_Exhibits'!E978:E982),"")</f>
        <v/>
      </c>
      <c r="F982" s="3">
        <f>IF(ISNUMBER(AVERAGE('20250815_ETF_Options_Exhibits'!F978:F982)),AVERAGE('20250815_ETF_Options_Exhibits'!F978:F982),"")</f>
        <v/>
      </c>
      <c r="G982" s="3">
        <f>IF(ISNUMBER(AVERAGE('20250815_ETF_Options_Exhibits'!G978:G982)),AVERAGE('20250815_ETF_Options_Exhibits'!G978:G982),"")</f>
        <v/>
      </c>
      <c r="H982" s="3">
        <f>IF(ISNUMBER(AVERAGE('20250815_ETF_Options_Exhibits'!H978:H982)),AVERAGE('20250815_ETF_Options_Exhibits'!H978:H982),"")</f>
        <v/>
      </c>
      <c r="I982" s="3">
        <f>IF(ISNUMBER(AVERAGE('20250815_ETF_Options_Exhibits'!I978:I982)),AVERAGE('20250815_ETF_Options_Exhibits'!I978:I982),"")</f>
        <v/>
      </c>
      <c r="J982" s="3">
        <f>IF(ISNUMBER(AVERAGE('20250815_ETF_Options_Exhibits'!J978:J982)),AVERAGE('20250815_ETF_Options_Exhibits'!J978:J982),"")</f>
        <v/>
      </c>
      <c r="K982" s="3">
        <f>IF(ISNUMBER(AVERAGE('20250815_ETF_Options_Exhibits'!K978:K982)),AVERAGE('20250815_ETF_Options_Exhibits'!K978:K982),"")</f>
        <v/>
      </c>
      <c r="L982" s="3">
        <f>IF(ISNUMBER(AVERAGE('20250815_ETF_Options_Exhibits'!L978:L982)),AVERAGE('20250815_ETF_Options_Exhibits'!L978:L982),"")</f>
        <v/>
      </c>
      <c r="M982" s="3">
        <f>IF(ISNUMBER(AVERAGE('20250815_ETF_Options_Exhibits'!M978:M982)),AVERAGE('20250815_ETF_Options_Exhibits'!M978:M982),"")</f>
        <v/>
      </c>
      <c r="N982" s="3">
        <f>IF(ISNUMBER(AVERAGE('20250815_ETF_Options_Exhibits'!N978:N982)),AVERAGE('20250815_ETF_Options_Exhibits'!N978:N982),"")</f>
        <v/>
      </c>
      <c r="O982" s="3">
        <f>IF(ISNUMBER(AVERAGE('20250815_ETF_Options_Exhibits'!O978:O982)),AVERAGE('20250815_ETF_Options_Exhibits'!O978:O982),"")</f>
        <v/>
      </c>
      <c r="P982" s="3">
        <f>IF(ISNUMBER(AVERAGE('20250815_ETF_Options_Exhibits'!P978:P982)),AVERAGE('20250815_ETF_Options_Exhibits'!P978:P982),"")</f>
        <v/>
      </c>
      <c r="Q982" s="3">
        <f>IF(ISNUMBER(AVERAGE('20250815_ETF_Options_Exhibits'!Q978:Q982)),AVERAGE('20250815_ETF_Options_Exhibits'!Q978:Q982),"")</f>
        <v/>
      </c>
      <c r="R982" s="3">
        <f>IF(ISNUMBER(AVERAGE('20250815_ETF_Options_Exhibits'!R978:R982)),AVERAGE('20250815_ETF_Options_Exhibits'!R978:R982),"")</f>
        <v/>
      </c>
      <c r="S982" s="3">
        <f>IF(ISNUMBER(AVERAGE('20250815_ETF_Options_Exhibits'!S978:S982)),AVERAGE('20250815_ETF_Options_Exhibits'!S978:S982),"")</f>
        <v/>
      </c>
      <c r="T982" s="3">
        <f>IF(ISNUMBER(AVERAGE('20250815_ETF_Options_Exhibits'!T978:T982)),AVERAGE('20250815_ETF_Options_Exhibits'!T978:T982),"")</f>
        <v/>
      </c>
      <c r="U982" s="3">
        <f>IF(ISNUMBER(AVERAGE('20250815_ETF_Options_Exhibits'!U978:U982)),AVERAGE('20250815_ETF_Options_Exhibits'!U978:U982),"")</f>
        <v/>
      </c>
      <c r="V982" s="3">
        <f>IF(ISNUMBER(AVERAGE('20250815_ETF_Options_Exhibits'!V978:V982)),AVERAGE('20250815_ETF_Options_Exhibits'!V978:V982),"")</f>
        <v/>
      </c>
      <c r="W982" s="3">
        <f>IF(ISNUMBER(AVERAGE('20250815_ETF_Options_Exhibits'!W978:W982)),AVERAGE('20250815_ETF_Options_Exhibits'!W978:W982),"")</f>
        <v/>
      </c>
      <c r="X982" s="3">
        <f>IF(ISNUMBER(AVERAGE('20250815_ETF_Options_Exhibits'!X978:X982)),AVERAGE('20250815_ETF_Options_Exhibits'!X978:X982),"")</f>
        <v/>
      </c>
      <c r="Y982" s="3">
        <f>IF(ISNUMBER(AVERAGE('20250815_ETF_Options_Exhibits'!Y978:Y982)),AVERAGE('20250815_ETF_Options_Exhibits'!Y978:Y982),"")</f>
        <v/>
      </c>
      <c r="Z982" s="3">
        <f>IF(ISNUMBER(AVERAGE('20250815_ETF_Options_Exhibits'!Z978:Z982)),AVERAGE('20250815_ETF_Options_Exhibits'!Z978:Z982),"")</f>
        <v/>
      </c>
      <c r="AA982" s="3">
        <f>IF(ISNUMBER(AVERAGE('20250815_ETF_Options_Exhibits'!AA978:AA982)),AVERAGE('20250815_ETF_Options_Exhibits'!AA978:AA982),"")</f>
        <v/>
      </c>
    </row>
    <row r="983">
      <c r="A983" s="1" t="n">
        <v>43427</v>
      </c>
      <c r="B983" s="3">
        <f>IF(ISNUMBER(AVERAGE('20250815_ETF_Options_Exhibits'!B979:B983)),AVERAGE('20250815_ETF_Options_Exhibits'!B979:B983),"")</f>
        <v/>
      </c>
      <c r="C983" s="3">
        <f>IF(ISNUMBER(AVERAGE('20250815_ETF_Options_Exhibits'!C979:C983)),AVERAGE('20250815_ETF_Options_Exhibits'!C979:C983),"")</f>
        <v/>
      </c>
      <c r="D983" s="3">
        <f>IF(ISNUMBER(AVERAGE('20250815_ETF_Options_Exhibits'!D979:D983)),AVERAGE('20250815_ETF_Options_Exhibits'!D979:D983),"")</f>
        <v/>
      </c>
      <c r="E983" s="3">
        <f>IF(ISNUMBER(AVERAGE('20250815_ETF_Options_Exhibits'!E979:E983)),AVERAGE('20250815_ETF_Options_Exhibits'!E979:E983),"")</f>
        <v/>
      </c>
      <c r="F983" s="3">
        <f>IF(ISNUMBER(AVERAGE('20250815_ETF_Options_Exhibits'!F979:F983)),AVERAGE('20250815_ETF_Options_Exhibits'!F979:F983),"")</f>
        <v/>
      </c>
      <c r="G983" s="3">
        <f>IF(ISNUMBER(AVERAGE('20250815_ETF_Options_Exhibits'!G979:G983)),AVERAGE('20250815_ETF_Options_Exhibits'!G979:G983),"")</f>
        <v/>
      </c>
      <c r="H983" s="3">
        <f>IF(ISNUMBER(AVERAGE('20250815_ETF_Options_Exhibits'!H979:H983)),AVERAGE('20250815_ETF_Options_Exhibits'!H979:H983),"")</f>
        <v/>
      </c>
      <c r="I983" s="3">
        <f>IF(ISNUMBER(AVERAGE('20250815_ETF_Options_Exhibits'!I979:I983)),AVERAGE('20250815_ETF_Options_Exhibits'!I979:I983),"")</f>
        <v/>
      </c>
      <c r="J983" s="3">
        <f>IF(ISNUMBER(AVERAGE('20250815_ETF_Options_Exhibits'!J979:J983)),AVERAGE('20250815_ETF_Options_Exhibits'!J979:J983),"")</f>
        <v/>
      </c>
      <c r="K983" s="3">
        <f>IF(ISNUMBER(AVERAGE('20250815_ETF_Options_Exhibits'!K979:K983)),AVERAGE('20250815_ETF_Options_Exhibits'!K979:K983),"")</f>
        <v/>
      </c>
      <c r="L983" s="3">
        <f>IF(ISNUMBER(AVERAGE('20250815_ETF_Options_Exhibits'!L979:L983)),AVERAGE('20250815_ETF_Options_Exhibits'!L979:L983),"")</f>
        <v/>
      </c>
      <c r="M983" s="3">
        <f>IF(ISNUMBER(AVERAGE('20250815_ETF_Options_Exhibits'!M979:M983)),AVERAGE('20250815_ETF_Options_Exhibits'!M979:M983),"")</f>
        <v/>
      </c>
      <c r="N983" s="3">
        <f>IF(ISNUMBER(AVERAGE('20250815_ETF_Options_Exhibits'!N979:N983)),AVERAGE('20250815_ETF_Options_Exhibits'!N979:N983),"")</f>
        <v/>
      </c>
      <c r="O983" s="3">
        <f>IF(ISNUMBER(AVERAGE('20250815_ETF_Options_Exhibits'!O979:O983)),AVERAGE('20250815_ETF_Options_Exhibits'!O979:O983),"")</f>
        <v/>
      </c>
      <c r="P983" s="3">
        <f>IF(ISNUMBER(AVERAGE('20250815_ETF_Options_Exhibits'!P979:P983)),AVERAGE('20250815_ETF_Options_Exhibits'!P979:P983),"")</f>
        <v/>
      </c>
      <c r="Q983" s="3">
        <f>IF(ISNUMBER(AVERAGE('20250815_ETF_Options_Exhibits'!Q979:Q983)),AVERAGE('20250815_ETF_Options_Exhibits'!Q979:Q983),"")</f>
        <v/>
      </c>
      <c r="R983" s="3">
        <f>IF(ISNUMBER(AVERAGE('20250815_ETF_Options_Exhibits'!R979:R983)),AVERAGE('20250815_ETF_Options_Exhibits'!R979:R983),"")</f>
        <v/>
      </c>
      <c r="S983" s="3">
        <f>IF(ISNUMBER(AVERAGE('20250815_ETF_Options_Exhibits'!S979:S983)),AVERAGE('20250815_ETF_Options_Exhibits'!S979:S983),"")</f>
        <v/>
      </c>
      <c r="T983" s="3">
        <f>IF(ISNUMBER(AVERAGE('20250815_ETF_Options_Exhibits'!T979:T983)),AVERAGE('20250815_ETF_Options_Exhibits'!T979:T983),"")</f>
        <v/>
      </c>
      <c r="U983" s="3">
        <f>IF(ISNUMBER(AVERAGE('20250815_ETF_Options_Exhibits'!U979:U983)),AVERAGE('20250815_ETF_Options_Exhibits'!U979:U983),"")</f>
        <v/>
      </c>
      <c r="V983" s="3">
        <f>IF(ISNUMBER(AVERAGE('20250815_ETF_Options_Exhibits'!V979:V983)),AVERAGE('20250815_ETF_Options_Exhibits'!V979:V983),"")</f>
        <v/>
      </c>
      <c r="W983" s="3">
        <f>IF(ISNUMBER(AVERAGE('20250815_ETF_Options_Exhibits'!W979:W983)),AVERAGE('20250815_ETF_Options_Exhibits'!W979:W983),"")</f>
        <v/>
      </c>
      <c r="X983" s="3">
        <f>IF(ISNUMBER(AVERAGE('20250815_ETF_Options_Exhibits'!X979:X983)),AVERAGE('20250815_ETF_Options_Exhibits'!X979:X983),"")</f>
        <v/>
      </c>
      <c r="Y983" s="3">
        <f>IF(ISNUMBER(AVERAGE('20250815_ETF_Options_Exhibits'!Y979:Y983)),AVERAGE('20250815_ETF_Options_Exhibits'!Y979:Y983),"")</f>
        <v/>
      </c>
      <c r="Z983" s="3">
        <f>IF(ISNUMBER(AVERAGE('20250815_ETF_Options_Exhibits'!Z979:Z983)),AVERAGE('20250815_ETF_Options_Exhibits'!Z979:Z983),"")</f>
        <v/>
      </c>
      <c r="AA983" s="3">
        <f>IF(ISNUMBER(AVERAGE('20250815_ETF_Options_Exhibits'!AA979:AA983)),AVERAGE('20250815_ETF_Options_Exhibits'!AA979:AA983),"")</f>
        <v/>
      </c>
    </row>
    <row r="984">
      <c r="A984" s="1" t="n">
        <v>43430</v>
      </c>
      <c r="B984" s="3">
        <f>IF(ISNUMBER(AVERAGE('20250815_ETF_Options_Exhibits'!B980:B984)),AVERAGE('20250815_ETF_Options_Exhibits'!B980:B984),"")</f>
        <v/>
      </c>
      <c r="C984" s="3">
        <f>IF(ISNUMBER(AVERAGE('20250815_ETF_Options_Exhibits'!C980:C984)),AVERAGE('20250815_ETF_Options_Exhibits'!C980:C984),"")</f>
        <v/>
      </c>
      <c r="D984" s="3">
        <f>IF(ISNUMBER(AVERAGE('20250815_ETF_Options_Exhibits'!D980:D984)),AVERAGE('20250815_ETF_Options_Exhibits'!D980:D984),"")</f>
        <v/>
      </c>
      <c r="E984" s="3">
        <f>IF(ISNUMBER(AVERAGE('20250815_ETF_Options_Exhibits'!E980:E984)),AVERAGE('20250815_ETF_Options_Exhibits'!E980:E984),"")</f>
        <v/>
      </c>
      <c r="F984" s="3">
        <f>IF(ISNUMBER(AVERAGE('20250815_ETF_Options_Exhibits'!F980:F984)),AVERAGE('20250815_ETF_Options_Exhibits'!F980:F984),"")</f>
        <v/>
      </c>
      <c r="G984" s="3">
        <f>IF(ISNUMBER(AVERAGE('20250815_ETF_Options_Exhibits'!G980:G984)),AVERAGE('20250815_ETF_Options_Exhibits'!G980:G984),"")</f>
        <v/>
      </c>
      <c r="H984" s="3">
        <f>IF(ISNUMBER(AVERAGE('20250815_ETF_Options_Exhibits'!H980:H984)),AVERAGE('20250815_ETF_Options_Exhibits'!H980:H984),"")</f>
        <v/>
      </c>
      <c r="I984" s="3">
        <f>IF(ISNUMBER(AVERAGE('20250815_ETF_Options_Exhibits'!I980:I984)),AVERAGE('20250815_ETF_Options_Exhibits'!I980:I984),"")</f>
        <v/>
      </c>
      <c r="J984" s="3">
        <f>IF(ISNUMBER(AVERAGE('20250815_ETF_Options_Exhibits'!J980:J984)),AVERAGE('20250815_ETF_Options_Exhibits'!J980:J984),"")</f>
        <v/>
      </c>
      <c r="K984" s="3">
        <f>IF(ISNUMBER(AVERAGE('20250815_ETF_Options_Exhibits'!K980:K984)),AVERAGE('20250815_ETF_Options_Exhibits'!K980:K984),"")</f>
        <v/>
      </c>
      <c r="L984" s="3">
        <f>IF(ISNUMBER(AVERAGE('20250815_ETF_Options_Exhibits'!L980:L984)),AVERAGE('20250815_ETF_Options_Exhibits'!L980:L984),"")</f>
        <v/>
      </c>
      <c r="M984" s="3">
        <f>IF(ISNUMBER(AVERAGE('20250815_ETF_Options_Exhibits'!M980:M984)),AVERAGE('20250815_ETF_Options_Exhibits'!M980:M984),"")</f>
        <v/>
      </c>
      <c r="N984" s="3">
        <f>IF(ISNUMBER(AVERAGE('20250815_ETF_Options_Exhibits'!N980:N984)),AVERAGE('20250815_ETF_Options_Exhibits'!N980:N984),"")</f>
        <v/>
      </c>
      <c r="O984" s="3">
        <f>IF(ISNUMBER(AVERAGE('20250815_ETF_Options_Exhibits'!O980:O984)),AVERAGE('20250815_ETF_Options_Exhibits'!O980:O984),"")</f>
        <v/>
      </c>
      <c r="P984" s="3">
        <f>IF(ISNUMBER(AVERAGE('20250815_ETF_Options_Exhibits'!P980:P984)),AVERAGE('20250815_ETF_Options_Exhibits'!P980:P984),"")</f>
        <v/>
      </c>
      <c r="Q984" s="3">
        <f>IF(ISNUMBER(AVERAGE('20250815_ETF_Options_Exhibits'!Q980:Q984)),AVERAGE('20250815_ETF_Options_Exhibits'!Q980:Q984),"")</f>
        <v/>
      </c>
      <c r="R984" s="3">
        <f>IF(ISNUMBER(AVERAGE('20250815_ETF_Options_Exhibits'!R980:R984)),AVERAGE('20250815_ETF_Options_Exhibits'!R980:R984),"")</f>
        <v/>
      </c>
      <c r="S984" s="3">
        <f>IF(ISNUMBER(AVERAGE('20250815_ETF_Options_Exhibits'!S980:S984)),AVERAGE('20250815_ETF_Options_Exhibits'!S980:S984),"")</f>
        <v/>
      </c>
      <c r="T984" s="3">
        <f>IF(ISNUMBER(AVERAGE('20250815_ETF_Options_Exhibits'!T980:T984)),AVERAGE('20250815_ETF_Options_Exhibits'!T980:T984),"")</f>
        <v/>
      </c>
      <c r="U984" s="3">
        <f>IF(ISNUMBER(AVERAGE('20250815_ETF_Options_Exhibits'!U980:U984)),AVERAGE('20250815_ETF_Options_Exhibits'!U980:U984),"")</f>
        <v/>
      </c>
      <c r="V984" s="3">
        <f>IF(ISNUMBER(AVERAGE('20250815_ETF_Options_Exhibits'!V980:V984)),AVERAGE('20250815_ETF_Options_Exhibits'!V980:V984),"")</f>
        <v/>
      </c>
      <c r="W984" s="3">
        <f>IF(ISNUMBER(AVERAGE('20250815_ETF_Options_Exhibits'!W980:W984)),AVERAGE('20250815_ETF_Options_Exhibits'!W980:W984),"")</f>
        <v/>
      </c>
      <c r="X984" s="3">
        <f>IF(ISNUMBER(AVERAGE('20250815_ETF_Options_Exhibits'!X980:X984)),AVERAGE('20250815_ETF_Options_Exhibits'!X980:X984),"")</f>
        <v/>
      </c>
      <c r="Y984" s="3">
        <f>IF(ISNUMBER(AVERAGE('20250815_ETF_Options_Exhibits'!Y980:Y984)),AVERAGE('20250815_ETF_Options_Exhibits'!Y980:Y984),"")</f>
        <v/>
      </c>
      <c r="Z984" s="3">
        <f>IF(ISNUMBER(AVERAGE('20250815_ETF_Options_Exhibits'!Z980:Z984)),AVERAGE('20250815_ETF_Options_Exhibits'!Z980:Z984),"")</f>
        <v/>
      </c>
      <c r="AA984" s="3">
        <f>IF(ISNUMBER(AVERAGE('20250815_ETF_Options_Exhibits'!AA980:AA984)),AVERAGE('20250815_ETF_Options_Exhibits'!AA980:AA984),"")</f>
        <v/>
      </c>
    </row>
    <row r="985">
      <c r="A985" s="1" t="n">
        <v>43431</v>
      </c>
      <c r="B985" s="3">
        <f>IF(ISNUMBER(AVERAGE('20250815_ETF_Options_Exhibits'!B981:B985)),AVERAGE('20250815_ETF_Options_Exhibits'!B981:B985),"")</f>
        <v/>
      </c>
      <c r="C985" s="3">
        <f>IF(ISNUMBER(AVERAGE('20250815_ETF_Options_Exhibits'!C981:C985)),AVERAGE('20250815_ETF_Options_Exhibits'!C981:C985),"")</f>
        <v/>
      </c>
      <c r="D985" s="3">
        <f>IF(ISNUMBER(AVERAGE('20250815_ETF_Options_Exhibits'!D981:D985)),AVERAGE('20250815_ETF_Options_Exhibits'!D981:D985),"")</f>
        <v/>
      </c>
      <c r="E985" s="3">
        <f>IF(ISNUMBER(AVERAGE('20250815_ETF_Options_Exhibits'!E981:E985)),AVERAGE('20250815_ETF_Options_Exhibits'!E981:E985),"")</f>
        <v/>
      </c>
      <c r="F985" s="3">
        <f>IF(ISNUMBER(AVERAGE('20250815_ETF_Options_Exhibits'!F981:F985)),AVERAGE('20250815_ETF_Options_Exhibits'!F981:F985),"")</f>
        <v/>
      </c>
      <c r="G985" s="3">
        <f>IF(ISNUMBER(AVERAGE('20250815_ETF_Options_Exhibits'!G981:G985)),AVERAGE('20250815_ETF_Options_Exhibits'!G981:G985),"")</f>
        <v/>
      </c>
      <c r="H985" s="3">
        <f>IF(ISNUMBER(AVERAGE('20250815_ETF_Options_Exhibits'!H981:H985)),AVERAGE('20250815_ETF_Options_Exhibits'!H981:H985),"")</f>
        <v/>
      </c>
      <c r="I985" s="3">
        <f>IF(ISNUMBER(AVERAGE('20250815_ETF_Options_Exhibits'!I981:I985)),AVERAGE('20250815_ETF_Options_Exhibits'!I981:I985),"")</f>
        <v/>
      </c>
      <c r="J985" s="3">
        <f>IF(ISNUMBER(AVERAGE('20250815_ETF_Options_Exhibits'!J981:J985)),AVERAGE('20250815_ETF_Options_Exhibits'!J981:J985),"")</f>
        <v/>
      </c>
      <c r="K985" s="3">
        <f>IF(ISNUMBER(AVERAGE('20250815_ETF_Options_Exhibits'!K981:K985)),AVERAGE('20250815_ETF_Options_Exhibits'!K981:K985),"")</f>
        <v/>
      </c>
      <c r="L985" s="3">
        <f>IF(ISNUMBER(AVERAGE('20250815_ETF_Options_Exhibits'!L981:L985)),AVERAGE('20250815_ETF_Options_Exhibits'!L981:L985),"")</f>
        <v/>
      </c>
      <c r="M985" s="3">
        <f>IF(ISNUMBER(AVERAGE('20250815_ETF_Options_Exhibits'!M981:M985)),AVERAGE('20250815_ETF_Options_Exhibits'!M981:M985),"")</f>
        <v/>
      </c>
      <c r="N985" s="3">
        <f>IF(ISNUMBER(AVERAGE('20250815_ETF_Options_Exhibits'!N981:N985)),AVERAGE('20250815_ETF_Options_Exhibits'!N981:N985),"")</f>
        <v/>
      </c>
      <c r="O985" s="3">
        <f>IF(ISNUMBER(AVERAGE('20250815_ETF_Options_Exhibits'!O981:O985)),AVERAGE('20250815_ETF_Options_Exhibits'!O981:O985),"")</f>
        <v/>
      </c>
      <c r="P985" s="3">
        <f>IF(ISNUMBER(AVERAGE('20250815_ETF_Options_Exhibits'!P981:P985)),AVERAGE('20250815_ETF_Options_Exhibits'!P981:P985),"")</f>
        <v/>
      </c>
      <c r="Q985" s="3">
        <f>IF(ISNUMBER(AVERAGE('20250815_ETF_Options_Exhibits'!Q981:Q985)),AVERAGE('20250815_ETF_Options_Exhibits'!Q981:Q985),"")</f>
        <v/>
      </c>
      <c r="R985" s="3">
        <f>IF(ISNUMBER(AVERAGE('20250815_ETF_Options_Exhibits'!R981:R985)),AVERAGE('20250815_ETF_Options_Exhibits'!R981:R985),"")</f>
        <v/>
      </c>
      <c r="S985" s="3">
        <f>IF(ISNUMBER(AVERAGE('20250815_ETF_Options_Exhibits'!S981:S985)),AVERAGE('20250815_ETF_Options_Exhibits'!S981:S985),"")</f>
        <v/>
      </c>
      <c r="T985" s="3">
        <f>IF(ISNUMBER(AVERAGE('20250815_ETF_Options_Exhibits'!T981:T985)),AVERAGE('20250815_ETF_Options_Exhibits'!T981:T985),"")</f>
        <v/>
      </c>
      <c r="U985" s="3">
        <f>IF(ISNUMBER(AVERAGE('20250815_ETF_Options_Exhibits'!U981:U985)),AVERAGE('20250815_ETF_Options_Exhibits'!U981:U985),"")</f>
        <v/>
      </c>
      <c r="V985" s="3">
        <f>IF(ISNUMBER(AVERAGE('20250815_ETF_Options_Exhibits'!V981:V985)),AVERAGE('20250815_ETF_Options_Exhibits'!V981:V985),"")</f>
        <v/>
      </c>
      <c r="W985" s="3">
        <f>IF(ISNUMBER(AVERAGE('20250815_ETF_Options_Exhibits'!W981:W985)),AVERAGE('20250815_ETF_Options_Exhibits'!W981:W985),"")</f>
        <v/>
      </c>
      <c r="X985" s="3">
        <f>IF(ISNUMBER(AVERAGE('20250815_ETF_Options_Exhibits'!X981:X985)),AVERAGE('20250815_ETF_Options_Exhibits'!X981:X985),"")</f>
        <v/>
      </c>
      <c r="Y985" s="3">
        <f>IF(ISNUMBER(AVERAGE('20250815_ETF_Options_Exhibits'!Y981:Y985)),AVERAGE('20250815_ETF_Options_Exhibits'!Y981:Y985),"")</f>
        <v/>
      </c>
      <c r="Z985" s="3">
        <f>IF(ISNUMBER(AVERAGE('20250815_ETF_Options_Exhibits'!Z981:Z985)),AVERAGE('20250815_ETF_Options_Exhibits'!Z981:Z985),"")</f>
        <v/>
      </c>
      <c r="AA985" s="3">
        <f>IF(ISNUMBER(AVERAGE('20250815_ETF_Options_Exhibits'!AA981:AA985)),AVERAGE('20250815_ETF_Options_Exhibits'!AA981:AA985),"")</f>
        <v/>
      </c>
    </row>
    <row r="986">
      <c r="A986" s="1" t="n">
        <v>43432</v>
      </c>
      <c r="B986" s="3">
        <f>IF(ISNUMBER(AVERAGE('20250815_ETF_Options_Exhibits'!B982:B986)),AVERAGE('20250815_ETF_Options_Exhibits'!B982:B986),"")</f>
        <v/>
      </c>
      <c r="C986" s="3">
        <f>IF(ISNUMBER(AVERAGE('20250815_ETF_Options_Exhibits'!C982:C986)),AVERAGE('20250815_ETF_Options_Exhibits'!C982:C986),"")</f>
        <v/>
      </c>
      <c r="D986" s="3">
        <f>IF(ISNUMBER(AVERAGE('20250815_ETF_Options_Exhibits'!D982:D986)),AVERAGE('20250815_ETF_Options_Exhibits'!D982:D986),"")</f>
        <v/>
      </c>
      <c r="E986" s="3">
        <f>IF(ISNUMBER(AVERAGE('20250815_ETF_Options_Exhibits'!E982:E986)),AVERAGE('20250815_ETF_Options_Exhibits'!E982:E986),"")</f>
        <v/>
      </c>
      <c r="F986" s="3">
        <f>IF(ISNUMBER(AVERAGE('20250815_ETF_Options_Exhibits'!F982:F986)),AVERAGE('20250815_ETF_Options_Exhibits'!F982:F986),"")</f>
        <v/>
      </c>
      <c r="G986" s="3">
        <f>IF(ISNUMBER(AVERAGE('20250815_ETF_Options_Exhibits'!G982:G986)),AVERAGE('20250815_ETF_Options_Exhibits'!G982:G986),"")</f>
        <v/>
      </c>
      <c r="H986" s="3">
        <f>IF(ISNUMBER(AVERAGE('20250815_ETF_Options_Exhibits'!H982:H986)),AVERAGE('20250815_ETF_Options_Exhibits'!H982:H986),"")</f>
        <v/>
      </c>
      <c r="I986" s="3">
        <f>IF(ISNUMBER(AVERAGE('20250815_ETF_Options_Exhibits'!I982:I986)),AVERAGE('20250815_ETF_Options_Exhibits'!I982:I986),"")</f>
        <v/>
      </c>
      <c r="J986" s="3">
        <f>IF(ISNUMBER(AVERAGE('20250815_ETF_Options_Exhibits'!J982:J986)),AVERAGE('20250815_ETF_Options_Exhibits'!J982:J986),"")</f>
        <v/>
      </c>
      <c r="K986" s="3">
        <f>IF(ISNUMBER(AVERAGE('20250815_ETF_Options_Exhibits'!K982:K986)),AVERAGE('20250815_ETF_Options_Exhibits'!K982:K986),"")</f>
        <v/>
      </c>
      <c r="L986" s="3">
        <f>IF(ISNUMBER(AVERAGE('20250815_ETF_Options_Exhibits'!L982:L986)),AVERAGE('20250815_ETF_Options_Exhibits'!L982:L986),"")</f>
        <v/>
      </c>
      <c r="M986" s="3">
        <f>IF(ISNUMBER(AVERAGE('20250815_ETF_Options_Exhibits'!M982:M986)),AVERAGE('20250815_ETF_Options_Exhibits'!M982:M986),"")</f>
        <v/>
      </c>
      <c r="N986" s="3">
        <f>IF(ISNUMBER(AVERAGE('20250815_ETF_Options_Exhibits'!N982:N986)),AVERAGE('20250815_ETF_Options_Exhibits'!N982:N986),"")</f>
        <v/>
      </c>
      <c r="O986" s="3">
        <f>IF(ISNUMBER(AVERAGE('20250815_ETF_Options_Exhibits'!O982:O986)),AVERAGE('20250815_ETF_Options_Exhibits'!O982:O986),"")</f>
        <v/>
      </c>
      <c r="P986" s="3">
        <f>IF(ISNUMBER(AVERAGE('20250815_ETF_Options_Exhibits'!P982:P986)),AVERAGE('20250815_ETF_Options_Exhibits'!P982:P986),"")</f>
        <v/>
      </c>
      <c r="Q986" s="3">
        <f>IF(ISNUMBER(AVERAGE('20250815_ETF_Options_Exhibits'!Q982:Q986)),AVERAGE('20250815_ETF_Options_Exhibits'!Q982:Q986),"")</f>
        <v/>
      </c>
      <c r="R986" s="3">
        <f>IF(ISNUMBER(AVERAGE('20250815_ETF_Options_Exhibits'!R982:R986)),AVERAGE('20250815_ETF_Options_Exhibits'!R982:R986),"")</f>
        <v/>
      </c>
      <c r="S986" s="3">
        <f>IF(ISNUMBER(AVERAGE('20250815_ETF_Options_Exhibits'!S982:S986)),AVERAGE('20250815_ETF_Options_Exhibits'!S982:S986),"")</f>
        <v/>
      </c>
      <c r="T986" s="3">
        <f>IF(ISNUMBER(AVERAGE('20250815_ETF_Options_Exhibits'!T982:T986)),AVERAGE('20250815_ETF_Options_Exhibits'!T982:T986),"")</f>
        <v/>
      </c>
      <c r="U986" s="3">
        <f>IF(ISNUMBER(AVERAGE('20250815_ETF_Options_Exhibits'!U982:U986)),AVERAGE('20250815_ETF_Options_Exhibits'!U982:U986),"")</f>
        <v/>
      </c>
      <c r="V986" s="3">
        <f>IF(ISNUMBER(AVERAGE('20250815_ETF_Options_Exhibits'!V982:V986)),AVERAGE('20250815_ETF_Options_Exhibits'!V982:V986),"")</f>
        <v/>
      </c>
      <c r="W986" s="3">
        <f>IF(ISNUMBER(AVERAGE('20250815_ETF_Options_Exhibits'!W982:W986)),AVERAGE('20250815_ETF_Options_Exhibits'!W982:W986),"")</f>
        <v/>
      </c>
      <c r="X986" s="3">
        <f>IF(ISNUMBER(AVERAGE('20250815_ETF_Options_Exhibits'!X982:X986)),AVERAGE('20250815_ETF_Options_Exhibits'!X982:X986),"")</f>
        <v/>
      </c>
      <c r="Y986" s="3">
        <f>IF(ISNUMBER(AVERAGE('20250815_ETF_Options_Exhibits'!Y982:Y986)),AVERAGE('20250815_ETF_Options_Exhibits'!Y982:Y986),"")</f>
        <v/>
      </c>
      <c r="Z986" s="3">
        <f>IF(ISNUMBER(AVERAGE('20250815_ETF_Options_Exhibits'!Z982:Z986)),AVERAGE('20250815_ETF_Options_Exhibits'!Z982:Z986),"")</f>
        <v/>
      </c>
      <c r="AA986" s="3">
        <f>IF(ISNUMBER(AVERAGE('20250815_ETF_Options_Exhibits'!AA982:AA986)),AVERAGE('20250815_ETF_Options_Exhibits'!AA982:AA986),"")</f>
        <v/>
      </c>
    </row>
    <row r="987">
      <c r="A987" s="1" t="n">
        <v>43433</v>
      </c>
      <c r="B987" s="3">
        <f>IF(ISNUMBER(AVERAGE('20250815_ETF_Options_Exhibits'!B983:B987)),AVERAGE('20250815_ETF_Options_Exhibits'!B983:B987),"")</f>
        <v/>
      </c>
      <c r="C987" s="3">
        <f>IF(ISNUMBER(AVERAGE('20250815_ETF_Options_Exhibits'!C983:C987)),AVERAGE('20250815_ETF_Options_Exhibits'!C983:C987),"")</f>
        <v/>
      </c>
      <c r="D987" s="3">
        <f>IF(ISNUMBER(AVERAGE('20250815_ETF_Options_Exhibits'!D983:D987)),AVERAGE('20250815_ETF_Options_Exhibits'!D983:D987),"")</f>
        <v/>
      </c>
      <c r="E987" s="3">
        <f>IF(ISNUMBER(AVERAGE('20250815_ETF_Options_Exhibits'!E983:E987)),AVERAGE('20250815_ETF_Options_Exhibits'!E983:E987),"")</f>
        <v/>
      </c>
      <c r="F987" s="3">
        <f>IF(ISNUMBER(AVERAGE('20250815_ETF_Options_Exhibits'!F983:F987)),AVERAGE('20250815_ETF_Options_Exhibits'!F983:F987),"")</f>
        <v/>
      </c>
      <c r="G987" s="3">
        <f>IF(ISNUMBER(AVERAGE('20250815_ETF_Options_Exhibits'!G983:G987)),AVERAGE('20250815_ETF_Options_Exhibits'!G983:G987),"")</f>
        <v/>
      </c>
      <c r="H987" s="3">
        <f>IF(ISNUMBER(AVERAGE('20250815_ETF_Options_Exhibits'!H983:H987)),AVERAGE('20250815_ETF_Options_Exhibits'!H983:H987),"")</f>
        <v/>
      </c>
      <c r="I987" s="3">
        <f>IF(ISNUMBER(AVERAGE('20250815_ETF_Options_Exhibits'!I983:I987)),AVERAGE('20250815_ETF_Options_Exhibits'!I983:I987),"")</f>
        <v/>
      </c>
      <c r="J987" s="3">
        <f>IF(ISNUMBER(AVERAGE('20250815_ETF_Options_Exhibits'!J983:J987)),AVERAGE('20250815_ETF_Options_Exhibits'!J983:J987),"")</f>
        <v/>
      </c>
      <c r="K987" s="3">
        <f>IF(ISNUMBER(AVERAGE('20250815_ETF_Options_Exhibits'!K983:K987)),AVERAGE('20250815_ETF_Options_Exhibits'!K983:K987),"")</f>
        <v/>
      </c>
      <c r="L987" s="3">
        <f>IF(ISNUMBER(AVERAGE('20250815_ETF_Options_Exhibits'!L983:L987)),AVERAGE('20250815_ETF_Options_Exhibits'!L983:L987),"")</f>
        <v/>
      </c>
      <c r="M987" s="3">
        <f>IF(ISNUMBER(AVERAGE('20250815_ETF_Options_Exhibits'!M983:M987)),AVERAGE('20250815_ETF_Options_Exhibits'!M983:M987),"")</f>
        <v/>
      </c>
      <c r="N987" s="3">
        <f>IF(ISNUMBER(AVERAGE('20250815_ETF_Options_Exhibits'!N983:N987)),AVERAGE('20250815_ETF_Options_Exhibits'!N983:N987),"")</f>
        <v/>
      </c>
      <c r="O987" s="3">
        <f>IF(ISNUMBER(AVERAGE('20250815_ETF_Options_Exhibits'!O983:O987)),AVERAGE('20250815_ETF_Options_Exhibits'!O983:O987),"")</f>
        <v/>
      </c>
      <c r="P987" s="3">
        <f>IF(ISNUMBER(AVERAGE('20250815_ETF_Options_Exhibits'!P983:P987)),AVERAGE('20250815_ETF_Options_Exhibits'!P983:P987),"")</f>
        <v/>
      </c>
      <c r="Q987" s="3">
        <f>IF(ISNUMBER(AVERAGE('20250815_ETF_Options_Exhibits'!Q983:Q987)),AVERAGE('20250815_ETF_Options_Exhibits'!Q983:Q987),"")</f>
        <v/>
      </c>
      <c r="R987" s="3">
        <f>IF(ISNUMBER(AVERAGE('20250815_ETF_Options_Exhibits'!R983:R987)),AVERAGE('20250815_ETF_Options_Exhibits'!R983:R987),"")</f>
        <v/>
      </c>
      <c r="S987" s="3">
        <f>IF(ISNUMBER(AVERAGE('20250815_ETF_Options_Exhibits'!S983:S987)),AVERAGE('20250815_ETF_Options_Exhibits'!S983:S987),"")</f>
        <v/>
      </c>
      <c r="T987" s="3">
        <f>IF(ISNUMBER(AVERAGE('20250815_ETF_Options_Exhibits'!T983:T987)),AVERAGE('20250815_ETF_Options_Exhibits'!T983:T987),"")</f>
        <v/>
      </c>
      <c r="U987" s="3">
        <f>IF(ISNUMBER(AVERAGE('20250815_ETF_Options_Exhibits'!U983:U987)),AVERAGE('20250815_ETF_Options_Exhibits'!U983:U987),"")</f>
        <v/>
      </c>
      <c r="V987" s="3">
        <f>IF(ISNUMBER(AVERAGE('20250815_ETF_Options_Exhibits'!V983:V987)),AVERAGE('20250815_ETF_Options_Exhibits'!V983:V987),"")</f>
        <v/>
      </c>
      <c r="W987" s="3">
        <f>IF(ISNUMBER(AVERAGE('20250815_ETF_Options_Exhibits'!W983:W987)),AVERAGE('20250815_ETF_Options_Exhibits'!W983:W987),"")</f>
        <v/>
      </c>
      <c r="X987" s="3">
        <f>IF(ISNUMBER(AVERAGE('20250815_ETF_Options_Exhibits'!X983:X987)),AVERAGE('20250815_ETF_Options_Exhibits'!X983:X987),"")</f>
        <v/>
      </c>
      <c r="Y987" s="3">
        <f>IF(ISNUMBER(AVERAGE('20250815_ETF_Options_Exhibits'!Y983:Y987)),AVERAGE('20250815_ETF_Options_Exhibits'!Y983:Y987),"")</f>
        <v/>
      </c>
      <c r="Z987" s="3">
        <f>IF(ISNUMBER(AVERAGE('20250815_ETF_Options_Exhibits'!Z983:Z987)),AVERAGE('20250815_ETF_Options_Exhibits'!Z983:Z987),"")</f>
        <v/>
      </c>
      <c r="AA987" s="3">
        <f>IF(ISNUMBER(AVERAGE('20250815_ETF_Options_Exhibits'!AA983:AA987)),AVERAGE('20250815_ETF_Options_Exhibits'!AA983:AA987),"")</f>
        <v/>
      </c>
    </row>
    <row r="988">
      <c r="A988" s="1" t="n">
        <v>43434</v>
      </c>
      <c r="B988" s="3">
        <f>IF(ISNUMBER(AVERAGE('20250815_ETF_Options_Exhibits'!B984:B988)),AVERAGE('20250815_ETF_Options_Exhibits'!B984:B988),"")</f>
        <v/>
      </c>
      <c r="C988" s="3">
        <f>IF(ISNUMBER(AVERAGE('20250815_ETF_Options_Exhibits'!C984:C988)),AVERAGE('20250815_ETF_Options_Exhibits'!C984:C988),"")</f>
        <v/>
      </c>
      <c r="D988" s="3">
        <f>IF(ISNUMBER(AVERAGE('20250815_ETF_Options_Exhibits'!D984:D988)),AVERAGE('20250815_ETF_Options_Exhibits'!D984:D988),"")</f>
        <v/>
      </c>
      <c r="E988" s="3">
        <f>IF(ISNUMBER(AVERAGE('20250815_ETF_Options_Exhibits'!E984:E988)),AVERAGE('20250815_ETF_Options_Exhibits'!E984:E988),"")</f>
        <v/>
      </c>
      <c r="F988" s="3">
        <f>IF(ISNUMBER(AVERAGE('20250815_ETF_Options_Exhibits'!F984:F988)),AVERAGE('20250815_ETF_Options_Exhibits'!F984:F988),"")</f>
        <v/>
      </c>
      <c r="G988" s="3">
        <f>IF(ISNUMBER(AVERAGE('20250815_ETF_Options_Exhibits'!G984:G988)),AVERAGE('20250815_ETF_Options_Exhibits'!G984:G988),"")</f>
        <v/>
      </c>
      <c r="H988" s="3">
        <f>IF(ISNUMBER(AVERAGE('20250815_ETF_Options_Exhibits'!H984:H988)),AVERAGE('20250815_ETF_Options_Exhibits'!H984:H988),"")</f>
        <v/>
      </c>
      <c r="I988" s="3">
        <f>IF(ISNUMBER(AVERAGE('20250815_ETF_Options_Exhibits'!I984:I988)),AVERAGE('20250815_ETF_Options_Exhibits'!I984:I988),"")</f>
        <v/>
      </c>
      <c r="J988" s="3">
        <f>IF(ISNUMBER(AVERAGE('20250815_ETF_Options_Exhibits'!J984:J988)),AVERAGE('20250815_ETF_Options_Exhibits'!J984:J988),"")</f>
        <v/>
      </c>
      <c r="K988" s="3">
        <f>IF(ISNUMBER(AVERAGE('20250815_ETF_Options_Exhibits'!K984:K988)),AVERAGE('20250815_ETF_Options_Exhibits'!K984:K988),"")</f>
        <v/>
      </c>
      <c r="L988" s="3">
        <f>IF(ISNUMBER(AVERAGE('20250815_ETF_Options_Exhibits'!L984:L988)),AVERAGE('20250815_ETF_Options_Exhibits'!L984:L988),"")</f>
        <v/>
      </c>
      <c r="M988" s="3">
        <f>IF(ISNUMBER(AVERAGE('20250815_ETF_Options_Exhibits'!M984:M988)),AVERAGE('20250815_ETF_Options_Exhibits'!M984:M988),"")</f>
        <v/>
      </c>
      <c r="N988" s="3">
        <f>IF(ISNUMBER(AVERAGE('20250815_ETF_Options_Exhibits'!N984:N988)),AVERAGE('20250815_ETF_Options_Exhibits'!N984:N988),"")</f>
        <v/>
      </c>
      <c r="O988" s="3">
        <f>IF(ISNUMBER(AVERAGE('20250815_ETF_Options_Exhibits'!O984:O988)),AVERAGE('20250815_ETF_Options_Exhibits'!O984:O988),"")</f>
        <v/>
      </c>
      <c r="P988" s="3">
        <f>IF(ISNUMBER(AVERAGE('20250815_ETF_Options_Exhibits'!P984:P988)),AVERAGE('20250815_ETF_Options_Exhibits'!P984:P988),"")</f>
        <v/>
      </c>
      <c r="Q988" s="3">
        <f>IF(ISNUMBER(AVERAGE('20250815_ETF_Options_Exhibits'!Q984:Q988)),AVERAGE('20250815_ETF_Options_Exhibits'!Q984:Q988),"")</f>
        <v/>
      </c>
      <c r="R988" s="3">
        <f>IF(ISNUMBER(AVERAGE('20250815_ETF_Options_Exhibits'!R984:R988)),AVERAGE('20250815_ETF_Options_Exhibits'!R984:R988),"")</f>
        <v/>
      </c>
      <c r="S988" s="3">
        <f>IF(ISNUMBER(AVERAGE('20250815_ETF_Options_Exhibits'!S984:S988)),AVERAGE('20250815_ETF_Options_Exhibits'!S984:S988),"")</f>
        <v/>
      </c>
      <c r="T988" s="3">
        <f>IF(ISNUMBER(AVERAGE('20250815_ETF_Options_Exhibits'!T984:T988)),AVERAGE('20250815_ETF_Options_Exhibits'!T984:T988),"")</f>
        <v/>
      </c>
      <c r="U988" s="3">
        <f>IF(ISNUMBER(AVERAGE('20250815_ETF_Options_Exhibits'!U984:U988)),AVERAGE('20250815_ETF_Options_Exhibits'!U984:U988),"")</f>
        <v/>
      </c>
      <c r="V988" s="3">
        <f>IF(ISNUMBER(AVERAGE('20250815_ETF_Options_Exhibits'!V984:V988)),AVERAGE('20250815_ETF_Options_Exhibits'!V984:V988),"")</f>
        <v/>
      </c>
      <c r="W988" s="3">
        <f>IF(ISNUMBER(AVERAGE('20250815_ETF_Options_Exhibits'!W984:W988)),AVERAGE('20250815_ETF_Options_Exhibits'!W984:W988),"")</f>
        <v/>
      </c>
      <c r="X988" s="3">
        <f>IF(ISNUMBER(AVERAGE('20250815_ETF_Options_Exhibits'!X984:X988)),AVERAGE('20250815_ETF_Options_Exhibits'!X984:X988),"")</f>
        <v/>
      </c>
      <c r="Y988" s="3">
        <f>IF(ISNUMBER(AVERAGE('20250815_ETF_Options_Exhibits'!Y984:Y988)),AVERAGE('20250815_ETF_Options_Exhibits'!Y984:Y988),"")</f>
        <v/>
      </c>
      <c r="Z988" s="3">
        <f>IF(ISNUMBER(AVERAGE('20250815_ETF_Options_Exhibits'!Z984:Z988)),AVERAGE('20250815_ETF_Options_Exhibits'!Z984:Z988),"")</f>
        <v/>
      </c>
      <c r="AA988" s="3">
        <f>IF(ISNUMBER(AVERAGE('20250815_ETF_Options_Exhibits'!AA984:AA988)),AVERAGE('20250815_ETF_Options_Exhibits'!AA984:AA988),"")</f>
        <v/>
      </c>
    </row>
    <row r="989">
      <c r="A989" s="1" t="n">
        <v>43437</v>
      </c>
      <c r="B989" s="3">
        <f>IF(ISNUMBER(AVERAGE('20250815_ETF_Options_Exhibits'!B985:B989)),AVERAGE('20250815_ETF_Options_Exhibits'!B985:B989),"")</f>
        <v/>
      </c>
      <c r="C989" s="3">
        <f>IF(ISNUMBER(AVERAGE('20250815_ETF_Options_Exhibits'!C985:C989)),AVERAGE('20250815_ETF_Options_Exhibits'!C985:C989),"")</f>
        <v/>
      </c>
      <c r="D989" s="3">
        <f>IF(ISNUMBER(AVERAGE('20250815_ETF_Options_Exhibits'!D985:D989)),AVERAGE('20250815_ETF_Options_Exhibits'!D985:D989),"")</f>
        <v/>
      </c>
      <c r="E989" s="3">
        <f>IF(ISNUMBER(AVERAGE('20250815_ETF_Options_Exhibits'!E985:E989)),AVERAGE('20250815_ETF_Options_Exhibits'!E985:E989),"")</f>
        <v/>
      </c>
      <c r="F989" s="3">
        <f>IF(ISNUMBER(AVERAGE('20250815_ETF_Options_Exhibits'!F985:F989)),AVERAGE('20250815_ETF_Options_Exhibits'!F985:F989),"")</f>
        <v/>
      </c>
      <c r="G989" s="3">
        <f>IF(ISNUMBER(AVERAGE('20250815_ETF_Options_Exhibits'!G985:G989)),AVERAGE('20250815_ETF_Options_Exhibits'!G985:G989),"")</f>
        <v/>
      </c>
      <c r="H989" s="3">
        <f>IF(ISNUMBER(AVERAGE('20250815_ETF_Options_Exhibits'!H985:H989)),AVERAGE('20250815_ETF_Options_Exhibits'!H985:H989),"")</f>
        <v/>
      </c>
      <c r="I989" s="3">
        <f>IF(ISNUMBER(AVERAGE('20250815_ETF_Options_Exhibits'!I985:I989)),AVERAGE('20250815_ETF_Options_Exhibits'!I985:I989),"")</f>
        <v/>
      </c>
      <c r="J989" s="3">
        <f>IF(ISNUMBER(AVERAGE('20250815_ETF_Options_Exhibits'!J985:J989)),AVERAGE('20250815_ETF_Options_Exhibits'!J985:J989),"")</f>
        <v/>
      </c>
      <c r="K989" s="3">
        <f>IF(ISNUMBER(AVERAGE('20250815_ETF_Options_Exhibits'!K985:K989)),AVERAGE('20250815_ETF_Options_Exhibits'!K985:K989),"")</f>
        <v/>
      </c>
      <c r="L989" s="3">
        <f>IF(ISNUMBER(AVERAGE('20250815_ETF_Options_Exhibits'!L985:L989)),AVERAGE('20250815_ETF_Options_Exhibits'!L985:L989),"")</f>
        <v/>
      </c>
      <c r="M989" s="3">
        <f>IF(ISNUMBER(AVERAGE('20250815_ETF_Options_Exhibits'!M985:M989)),AVERAGE('20250815_ETF_Options_Exhibits'!M985:M989),"")</f>
        <v/>
      </c>
      <c r="N989" s="3">
        <f>IF(ISNUMBER(AVERAGE('20250815_ETF_Options_Exhibits'!N985:N989)),AVERAGE('20250815_ETF_Options_Exhibits'!N985:N989),"")</f>
        <v/>
      </c>
      <c r="O989" s="3">
        <f>IF(ISNUMBER(AVERAGE('20250815_ETF_Options_Exhibits'!O985:O989)),AVERAGE('20250815_ETF_Options_Exhibits'!O985:O989),"")</f>
        <v/>
      </c>
      <c r="P989" s="3">
        <f>IF(ISNUMBER(AVERAGE('20250815_ETF_Options_Exhibits'!P985:P989)),AVERAGE('20250815_ETF_Options_Exhibits'!P985:P989),"")</f>
        <v/>
      </c>
      <c r="Q989" s="3">
        <f>IF(ISNUMBER(AVERAGE('20250815_ETF_Options_Exhibits'!Q985:Q989)),AVERAGE('20250815_ETF_Options_Exhibits'!Q985:Q989),"")</f>
        <v/>
      </c>
      <c r="R989" s="3">
        <f>IF(ISNUMBER(AVERAGE('20250815_ETF_Options_Exhibits'!R985:R989)),AVERAGE('20250815_ETF_Options_Exhibits'!R985:R989),"")</f>
        <v/>
      </c>
      <c r="S989" s="3">
        <f>IF(ISNUMBER(AVERAGE('20250815_ETF_Options_Exhibits'!S985:S989)),AVERAGE('20250815_ETF_Options_Exhibits'!S985:S989),"")</f>
        <v/>
      </c>
      <c r="T989" s="3">
        <f>IF(ISNUMBER(AVERAGE('20250815_ETF_Options_Exhibits'!T985:T989)),AVERAGE('20250815_ETF_Options_Exhibits'!T985:T989),"")</f>
        <v/>
      </c>
      <c r="U989" s="3">
        <f>IF(ISNUMBER(AVERAGE('20250815_ETF_Options_Exhibits'!U985:U989)),AVERAGE('20250815_ETF_Options_Exhibits'!U985:U989),"")</f>
        <v/>
      </c>
      <c r="V989" s="3">
        <f>IF(ISNUMBER(AVERAGE('20250815_ETF_Options_Exhibits'!V985:V989)),AVERAGE('20250815_ETF_Options_Exhibits'!V985:V989),"")</f>
        <v/>
      </c>
      <c r="W989" s="3">
        <f>IF(ISNUMBER(AVERAGE('20250815_ETF_Options_Exhibits'!W985:W989)),AVERAGE('20250815_ETF_Options_Exhibits'!W985:W989),"")</f>
        <v/>
      </c>
      <c r="X989" s="3">
        <f>IF(ISNUMBER(AVERAGE('20250815_ETF_Options_Exhibits'!X985:X989)),AVERAGE('20250815_ETF_Options_Exhibits'!X985:X989),"")</f>
        <v/>
      </c>
      <c r="Y989" s="3">
        <f>IF(ISNUMBER(AVERAGE('20250815_ETF_Options_Exhibits'!Y985:Y989)),AVERAGE('20250815_ETF_Options_Exhibits'!Y985:Y989),"")</f>
        <v/>
      </c>
      <c r="Z989" s="3">
        <f>IF(ISNUMBER(AVERAGE('20250815_ETF_Options_Exhibits'!Z985:Z989)),AVERAGE('20250815_ETF_Options_Exhibits'!Z985:Z989),"")</f>
        <v/>
      </c>
      <c r="AA989" s="3">
        <f>IF(ISNUMBER(AVERAGE('20250815_ETF_Options_Exhibits'!AA985:AA989)),AVERAGE('20250815_ETF_Options_Exhibits'!AA985:AA989),"")</f>
        <v/>
      </c>
    </row>
    <row r="990">
      <c r="A990" s="1" t="n">
        <v>43438</v>
      </c>
      <c r="B990" s="3">
        <f>IF(ISNUMBER(AVERAGE('20250815_ETF_Options_Exhibits'!B986:B990)),AVERAGE('20250815_ETF_Options_Exhibits'!B986:B990),"")</f>
        <v/>
      </c>
      <c r="C990" s="3">
        <f>IF(ISNUMBER(AVERAGE('20250815_ETF_Options_Exhibits'!C986:C990)),AVERAGE('20250815_ETF_Options_Exhibits'!C986:C990),"")</f>
        <v/>
      </c>
      <c r="D990" s="3">
        <f>IF(ISNUMBER(AVERAGE('20250815_ETF_Options_Exhibits'!D986:D990)),AVERAGE('20250815_ETF_Options_Exhibits'!D986:D990),"")</f>
        <v/>
      </c>
      <c r="E990" s="3">
        <f>IF(ISNUMBER(AVERAGE('20250815_ETF_Options_Exhibits'!E986:E990)),AVERAGE('20250815_ETF_Options_Exhibits'!E986:E990),"")</f>
        <v/>
      </c>
      <c r="F990" s="3">
        <f>IF(ISNUMBER(AVERAGE('20250815_ETF_Options_Exhibits'!F986:F990)),AVERAGE('20250815_ETF_Options_Exhibits'!F986:F990),"")</f>
        <v/>
      </c>
      <c r="G990" s="3">
        <f>IF(ISNUMBER(AVERAGE('20250815_ETF_Options_Exhibits'!G986:G990)),AVERAGE('20250815_ETF_Options_Exhibits'!G986:G990),"")</f>
        <v/>
      </c>
      <c r="H990" s="3">
        <f>IF(ISNUMBER(AVERAGE('20250815_ETF_Options_Exhibits'!H986:H990)),AVERAGE('20250815_ETF_Options_Exhibits'!H986:H990),"")</f>
        <v/>
      </c>
      <c r="I990" s="3">
        <f>IF(ISNUMBER(AVERAGE('20250815_ETF_Options_Exhibits'!I986:I990)),AVERAGE('20250815_ETF_Options_Exhibits'!I986:I990),"")</f>
        <v/>
      </c>
      <c r="J990" s="3">
        <f>IF(ISNUMBER(AVERAGE('20250815_ETF_Options_Exhibits'!J986:J990)),AVERAGE('20250815_ETF_Options_Exhibits'!J986:J990),"")</f>
        <v/>
      </c>
      <c r="K990" s="3">
        <f>IF(ISNUMBER(AVERAGE('20250815_ETF_Options_Exhibits'!K986:K990)),AVERAGE('20250815_ETF_Options_Exhibits'!K986:K990),"")</f>
        <v/>
      </c>
      <c r="L990" s="3">
        <f>IF(ISNUMBER(AVERAGE('20250815_ETF_Options_Exhibits'!L986:L990)),AVERAGE('20250815_ETF_Options_Exhibits'!L986:L990),"")</f>
        <v/>
      </c>
      <c r="M990" s="3">
        <f>IF(ISNUMBER(AVERAGE('20250815_ETF_Options_Exhibits'!M986:M990)),AVERAGE('20250815_ETF_Options_Exhibits'!M986:M990),"")</f>
        <v/>
      </c>
      <c r="N990" s="3">
        <f>IF(ISNUMBER(AVERAGE('20250815_ETF_Options_Exhibits'!N986:N990)),AVERAGE('20250815_ETF_Options_Exhibits'!N986:N990),"")</f>
        <v/>
      </c>
      <c r="O990" s="3">
        <f>IF(ISNUMBER(AVERAGE('20250815_ETF_Options_Exhibits'!O986:O990)),AVERAGE('20250815_ETF_Options_Exhibits'!O986:O990),"")</f>
        <v/>
      </c>
      <c r="P990" s="3">
        <f>IF(ISNUMBER(AVERAGE('20250815_ETF_Options_Exhibits'!P986:P990)),AVERAGE('20250815_ETF_Options_Exhibits'!P986:P990),"")</f>
        <v/>
      </c>
      <c r="Q990" s="3">
        <f>IF(ISNUMBER(AVERAGE('20250815_ETF_Options_Exhibits'!Q986:Q990)),AVERAGE('20250815_ETF_Options_Exhibits'!Q986:Q990),"")</f>
        <v/>
      </c>
      <c r="R990" s="3">
        <f>IF(ISNUMBER(AVERAGE('20250815_ETF_Options_Exhibits'!R986:R990)),AVERAGE('20250815_ETF_Options_Exhibits'!R986:R990),"")</f>
        <v/>
      </c>
      <c r="S990" s="3">
        <f>IF(ISNUMBER(AVERAGE('20250815_ETF_Options_Exhibits'!S986:S990)),AVERAGE('20250815_ETF_Options_Exhibits'!S986:S990),"")</f>
        <v/>
      </c>
      <c r="T990" s="3">
        <f>IF(ISNUMBER(AVERAGE('20250815_ETF_Options_Exhibits'!T986:T990)),AVERAGE('20250815_ETF_Options_Exhibits'!T986:T990),"")</f>
        <v/>
      </c>
      <c r="U990" s="3">
        <f>IF(ISNUMBER(AVERAGE('20250815_ETF_Options_Exhibits'!U986:U990)),AVERAGE('20250815_ETF_Options_Exhibits'!U986:U990),"")</f>
        <v/>
      </c>
      <c r="V990" s="3">
        <f>IF(ISNUMBER(AVERAGE('20250815_ETF_Options_Exhibits'!V986:V990)),AVERAGE('20250815_ETF_Options_Exhibits'!V986:V990),"")</f>
        <v/>
      </c>
      <c r="W990" s="3">
        <f>IF(ISNUMBER(AVERAGE('20250815_ETF_Options_Exhibits'!W986:W990)),AVERAGE('20250815_ETF_Options_Exhibits'!W986:W990),"")</f>
        <v/>
      </c>
      <c r="X990" s="3">
        <f>IF(ISNUMBER(AVERAGE('20250815_ETF_Options_Exhibits'!X986:X990)),AVERAGE('20250815_ETF_Options_Exhibits'!X986:X990),"")</f>
        <v/>
      </c>
      <c r="Y990" s="3">
        <f>IF(ISNUMBER(AVERAGE('20250815_ETF_Options_Exhibits'!Y986:Y990)),AVERAGE('20250815_ETF_Options_Exhibits'!Y986:Y990),"")</f>
        <v/>
      </c>
      <c r="Z990" s="3">
        <f>IF(ISNUMBER(AVERAGE('20250815_ETF_Options_Exhibits'!Z986:Z990)),AVERAGE('20250815_ETF_Options_Exhibits'!Z986:Z990),"")</f>
        <v/>
      </c>
      <c r="AA990" s="3">
        <f>IF(ISNUMBER(AVERAGE('20250815_ETF_Options_Exhibits'!AA986:AA990)),AVERAGE('20250815_ETF_Options_Exhibits'!AA986:AA990),"")</f>
        <v/>
      </c>
    </row>
    <row r="991">
      <c r="A991" s="1" t="n">
        <v>43439</v>
      </c>
      <c r="B991" s="3">
        <f>IF(ISNUMBER(AVERAGE('20250815_ETF_Options_Exhibits'!B987:B991)),AVERAGE('20250815_ETF_Options_Exhibits'!B987:B991),"")</f>
        <v/>
      </c>
      <c r="C991" s="3">
        <f>IF(ISNUMBER(AVERAGE('20250815_ETF_Options_Exhibits'!C987:C991)),AVERAGE('20250815_ETF_Options_Exhibits'!C987:C991),"")</f>
        <v/>
      </c>
      <c r="D991" s="3">
        <f>IF(ISNUMBER(AVERAGE('20250815_ETF_Options_Exhibits'!D987:D991)),AVERAGE('20250815_ETF_Options_Exhibits'!D987:D991),"")</f>
        <v/>
      </c>
      <c r="E991" s="3">
        <f>IF(ISNUMBER(AVERAGE('20250815_ETF_Options_Exhibits'!E987:E991)),AVERAGE('20250815_ETF_Options_Exhibits'!E987:E991),"")</f>
        <v/>
      </c>
      <c r="F991" s="3">
        <f>IF(ISNUMBER(AVERAGE('20250815_ETF_Options_Exhibits'!F987:F991)),AVERAGE('20250815_ETF_Options_Exhibits'!F987:F991),"")</f>
        <v/>
      </c>
      <c r="G991" s="3">
        <f>IF(ISNUMBER(AVERAGE('20250815_ETF_Options_Exhibits'!G987:G991)),AVERAGE('20250815_ETF_Options_Exhibits'!G987:G991),"")</f>
        <v/>
      </c>
      <c r="H991" s="3">
        <f>IF(ISNUMBER(AVERAGE('20250815_ETF_Options_Exhibits'!H987:H991)),AVERAGE('20250815_ETF_Options_Exhibits'!H987:H991),"")</f>
        <v/>
      </c>
      <c r="I991" s="3">
        <f>IF(ISNUMBER(AVERAGE('20250815_ETF_Options_Exhibits'!I987:I991)),AVERAGE('20250815_ETF_Options_Exhibits'!I987:I991),"")</f>
        <v/>
      </c>
      <c r="J991" s="3">
        <f>IF(ISNUMBER(AVERAGE('20250815_ETF_Options_Exhibits'!J987:J991)),AVERAGE('20250815_ETF_Options_Exhibits'!J987:J991),"")</f>
        <v/>
      </c>
      <c r="K991" s="3">
        <f>IF(ISNUMBER(AVERAGE('20250815_ETF_Options_Exhibits'!K987:K991)),AVERAGE('20250815_ETF_Options_Exhibits'!K987:K991),"")</f>
        <v/>
      </c>
      <c r="L991" s="3">
        <f>IF(ISNUMBER(AVERAGE('20250815_ETF_Options_Exhibits'!L987:L991)),AVERAGE('20250815_ETF_Options_Exhibits'!L987:L991),"")</f>
        <v/>
      </c>
      <c r="M991" s="3">
        <f>IF(ISNUMBER(AVERAGE('20250815_ETF_Options_Exhibits'!M987:M991)),AVERAGE('20250815_ETF_Options_Exhibits'!M987:M991),"")</f>
        <v/>
      </c>
      <c r="N991" s="3">
        <f>IF(ISNUMBER(AVERAGE('20250815_ETF_Options_Exhibits'!N987:N991)),AVERAGE('20250815_ETF_Options_Exhibits'!N987:N991),"")</f>
        <v/>
      </c>
      <c r="O991" s="3">
        <f>IF(ISNUMBER(AVERAGE('20250815_ETF_Options_Exhibits'!O987:O991)),AVERAGE('20250815_ETF_Options_Exhibits'!O987:O991),"")</f>
        <v/>
      </c>
      <c r="P991" s="3">
        <f>IF(ISNUMBER(AVERAGE('20250815_ETF_Options_Exhibits'!P987:P991)),AVERAGE('20250815_ETF_Options_Exhibits'!P987:P991),"")</f>
        <v/>
      </c>
      <c r="Q991" s="3">
        <f>IF(ISNUMBER(AVERAGE('20250815_ETF_Options_Exhibits'!Q987:Q991)),AVERAGE('20250815_ETF_Options_Exhibits'!Q987:Q991),"")</f>
        <v/>
      </c>
      <c r="R991" s="3">
        <f>IF(ISNUMBER(AVERAGE('20250815_ETF_Options_Exhibits'!R987:R991)),AVERAGE('20250815_ETF_Options_Exhibits'!R987:R991),"")</f>
        <v/>
      </c>
      <c r="S991" s="3">
        <f>IF(ISNUMBER(AVERAGE('20250815_ETF_Options_Exhibits'!S987:S991)),AVERAGE('20250815_ETF_Options_Exhibits'!S987:S991),"")</f>
        <v/>
      </c>
      <c r="T991" s="3">
        <f>IF(ISNUMBER(AVERAGE('20250815_ETF_Options_Exhibits'!T987:T991)),AVERAGE('20250815_ETF_Options_Exhibits'!T987:T991),"")</f>
        <v/>
      </c>
      <c r="U991" s="3">
        <f>IF(ISNUMBER(AVERAGE('20250815_ETF_Options_Exhibits'!U987:U991)),AVERAGE('20250815_ETF_Options_Exhibits'!U987:U991),"")</f>
        <v/>
      </c>
      <c r="V991" s="3">
        <f>IF(ISNUMBER(AVERAGE('20250815_ETF_Options_Exhibits'!V987:V991)),AVERAGE('20250815_ETF_Options_Exhibits'!V987:V991),"")</f>
        <v/>
      </c>
      <c r="W991" s="3">
        <f>IF(ISNUMBER(AVERAGE('20250815_ETF_Options_Exhibits'!W987:W991)),AVERAGE('20250815_ETF_Options_Exhibits'!W987:W991),"")</f>
        <v/>
      </c>
      <c r="X991" s="3">
        <f>IF(ISNUMBER(AVERAGE('20250815_ETF_Options_Exhibits'!X987:X991)),AVERAGE('20250815_ETF_Options_Exhibits'!X987:X991),"")</f>
        <v/>
      </c>
      <c r="Y991" s="3">
        <f>IF(ISNUMBER(AVERAGE('20250815_ETF_Options_Exhibits'!Y987:Y991)),AVERAGE('20250815_ETF_Options_Exhibits'!Y987:Y991),"")</f>
        <v/>
      </c>
      <c r="Z991" s="3">
        <f>IF(ISNUMBER(AVERAGE('20250815_ETF_Options_Exhibits'!Z987:Z991)),AVERAGE('20250815_ETF_Options_Exhibits'!Z987:Z991),"")</f>
        <v/>
      </c>
      <c r="AA991" s="3">
        <f>IF(ISNUMBER(AVERAGE('20250815_ETF_Options_Exhibits'!AA987:AA991)),AVERAGE('20250815_ETF_Options_Exhibits'!AA987:AA991),"")</f>
        <v/>
      </c>
    </row>
    <row r="992">
      <c r="A992" s="1" t="n">
        <v>43440</v>
      </c>
      <c r="B992" s="3">
        <f>IF(ISNUMBER(AVERAGE('20250815_ETF_Options_Exhibits'!B988:B992)),AVERAGE('20250815_ETF_Options_Exhibits'!B988:B992),"")</f>
        <v/>
      </c>
      <c r="C992" s="3">
        <f>IF(ISNUMBER(AVERAGE('20250815_ETF_Options_Exhibits'!C988:C992)),AVERAGE('20250815_ETF_Options_Exhibits'!C988:C992),"")</f>
        <v/>
      </c>
      <c r="D992" s="3">
        <f>IF(ISNUMBER(AVERAGE('20250815_ETF_Options_Exhibits'!D988:D992)),AVERAGE('20250815_ETF_Options_Exhibits'!D988:D992),"")</f>
        <v/>
      </c>
      <c r="E992" s="3">
        <f>IF(ISNUMBER(AVERAGE('20250815_ETF_Options_Exhibits'!E988:E992)),AVERAGE('20250815_ETF_Options_Exhibits'!E988:E992),"")</f>
        <v/>
      </c>
      <c r="F992" s="3">
        <f>IF(ISNUMBER(AVERAGE('20250815_ETF_Options_Exhibits'!F988:F992)),AVERAGE('20250815_ETF_Options_Exhibits'!F988:F992),"")</f>
        <v/>
      </c>
      <c r="G992" s="3">
        <f>IF(ISNUMBER(AVERAGE('20250815_ETF_Options_Exhibits'!G988:G992)),AVERAGE('20250815_ETF_Options_Exhibits'!G988:G992),"")</f>
        <v/>
      </c>
      <c r="H992" s="3">
        <f>IF(ISNUMBER(AVERAGE('20250815_ETF_Options_Exhibits'!H988:H992)),AVERAGE('20250815_ETF_Options_Exhibits'!H988:H992),"")</f>
        <v/>
      </c>
      <c r="I992" s="3">
        <f>IF(ISNUMBER(AVERAGE('20250815_ETF_Options_Exhibits'!I988:I992)),AVERAGE('20250815_ETF_Options_Exhibits'!I988:I992),"")</f>
        <v/>
      </c>
      <c r="J992" s="3">
        <f>IF(ISNUMBER(AVERAGE('20250815_ETF_Options_Exhibits'!J988:J992)),AVERAGE('20250815_ETF_Options_Exhibits'!J988:J992),"")</f>
        <v/>
      </c>
      <c r="K992" s="3">
        <f>IF(ISNUMBER(AVERAGE('20250815_ETF_Options_Exhibits'!K988:K992)),AVERAGE('20250815_ETF_Options_Exhibits'!K988:K992),"")</f>
        <v/>
      </c>
      <c r="L992" s="3">
        <f>IF(ISNUMBER(AVERAGE('20250815_ETF_Options_Exhibits'!L988:L992)),AVERAGE('20250815_ETF_Options_Exhibits'!L988:L992),"")</f>
        <v/>
      </c>
      <c r="M992" s="3">
        <f>IF(ISNUMBER(AVERAGE('20250815_ETF_Options_Exhibits'!M988:M992)),AVERAGE('20250815_ETF_Options_Exhibits'!M988:M992),"")</f>
        <v/>
      </c>
      <c r="N992" s="3">
        <f>IF(ISNUMBER(AVERAGE('20250815_ETF_Options_Exhibits'!N988:N992)),AVERAGE('20250815_ETF_Options_Exhibits'!N988:N992),"")</f>
        <v/>
      </c>
      <c r="O992" s="3">
        <f>IF(ISNUMBER(AVERAGE('20250815_ETF_Options_Exhibits'!O988:O992)),AVERAGE('20250815_ETF_Options_Exhibits'!O988:O992),"")</f>
        <v/>
      </c>
      <c r="P992" s="3">
        <f>IF(ISNUMBER(AVERAGE('20250815_ETF_Options_Exhibits'!P988:P992)),AVERAGE('20250815_ETF_Options_Exhibits'!P988:P992),"")</f>
        <v/>
      </c>
      <c r="Q992" s="3">
        <f>IF(ISNUMBER(AVERAGE('20250815_ETF_Options_Exhibits'!Q988:Q992)),AVERAGE('20250815_ETF_Options_Exhibits'!Q988:Q992),"")</f>
        <v/>
      </c>
      <c r="R992" s="3">
        <f>IF(ISNUMBER(AVERAGE('20250815_ETF_Options_Exhibits'!R988:R992)),AVERAGE('20250815_ETF_Options_Exhibits'!R988:R992),"")</f>
        <v/>
      </c>
      <c r="S992" s="3">
        <f>IF(ISNUMBER(AVERAGE('20250815_ETF_Options_Exhibits'!S988:S992)),AVERAGE('20250815_ETF_Options_Exhibits'!S988:S992),"")</f>
        <v/>
      </c>
      <c r="T992" s="3">
        <f>IF(ISNUMBER(AVERAGE('20250815_ETF_Options_Exhibits'!T988:T992)),AVERAGE('20250815_ETF_Options_Exhibits'!T988:T992),"")</f>
        <v/>
      </c>
      <c r="U992" s="3">
        <f>IF(ISNUMBER(AVERAGE('20250815_ETF_Options_Exhibits'!U988:U992)),AVERAGE('20250815_ETF_Options_Exhibits'!U988:U992),"")</f>
        <v/>
      </c>
      <c r="V992" s="3">
        <f>IF(ISNUMBER(AVERAGE('20250815_ETF_Options_Exhibits'!V988:V992)),AVERAGE('20250815_ETF_Options_Exhibits'!V988:V992),"")</f>
        <v/>
      </c>
      <c r="W992" s="3">
        <f>IF(ISNUMBER(AVERAGE('20250815_ETF_Options_Exhibits'!W988:W992)),AVERAGE('20250815_ETF_Options_Exhibits'!W988:W992),"")</f>
        <v/>
      </c>
      <c r="X992" s="3">
        <f>IF(ISNUMBER(AVERAGE('20250815_ETF_Options_Exhibits'!X988:X992)),AVERAGE('20250815_ETF_Options_Exhibits'!X988:X992),"")</f>
        <v/>
      </c>
      <c r="Y992" s="3">
        <f>IF(ISNUMBER(AVERAGE('20250815_ETF_Options_Exhibits'!Y988:Y992)),AVERAGE('20250815_ETF_Options_Exhibits'!Y988:Y992),"")</f>
        <v/>
      </c>
      <c r="Z992" s="3">
        <f>IF(ISNUMBER(AVERAGE('20250815_ETF_Options_Exhibits'!Z988:Z992)),AVERAGE('20250815_ETF_Options_Exhibits'!Z988:Z992),"")</f>
        <v/>
      </c>
      <c r="AA992" s="3">
        <f>IF(ISNUMBER(AVERAGE('20250815_ETF_Options_Exhibits'!AA988:AA992)),AVERAGE('20250815_ETF_Options_Exhibits'!AA988:AA992),"")</f>
        <v/>
      </c>
    </row>
    <row r="993">
      <c r="A993" s="1" t="n">
        <v>43441</v>
      </c>
      <c r="B993" s="3">
        <f>IF(ISNUMBER(AVERAGE('20250815_ETF_Options_Exhibits'!B989:B993)),AVERAGE('20250815_ETF_Options_Exhibits'!B989:B993),"")</f>
        <v/>
      </c>
      <c r="C993" s="3">
        <f>IF(ISNUMBER(AVERAGE('20250815_ETF_Options_Exhibits'!C989:C993)),AVERAGE('20250815_ETF_Options_Exhibits'!C989:C993),"")</f>
        <v/>
      </c>
      <c r="D993" s="3">
        <f>IF(ISNUMBER(AVERAGE('20250815_ETF_Options_Exhibits'!D989:D993)),AVERAGE('20250815_ETF_Options_Exhibits'!D989:D993),"")</f>
        <v/>
      </c>
      <c r="E993" s="3">
        <f>IF(ISNUMBER(AVERAGE('20250815_ETF_Options_Exhibits'!E989:E993)),AVERAGE('20250815_ETF_Options_Exhibits'!E989:E993),"")</f>
        <v/>
      </c>
      <c r="F993" s="3">
        <f>IF(ISNUMBER(AVERAGE('20250815_ETF_Options_Exhibits'!F989:F993)),AVERAGE('20250815_ETF_Options_Exhibits'!F989:F993),"")</f>
        <v/>
      </c>
      <c r="G993" s="3">
        <f>IF(ISNUMBER(AVERAGE('20250815_ETF_Options_Exhibits'!G989:G993)),AVERAGE('20250815_ETF_Options_Exhibits'!G989:G993),"")</f>
        <v/>
      </c>
      <c r="H993" s="3">
        <f>IF(ISNUMBER(AVERAGE('20250815_ETF_Options_Exhibits'!H989:H993)),AVERAGE('20250815_ETF_Options_Exhibits'!H989:H993),"")</f>
        <v/>
      </c>
      <c r="I993" s="3">
        <f>IF(ISNUMBER(AVERAGE('20250815_ETF_Options_Exhibits'!I989:I993)),AVERAGE('20250815_ETF_Options_Exhibits'!I989:I993),"")</f>
        <v/>
      </c>
      <c r="J993" s="3">
        <f>IF(ISNUMBER(AVERAGE('20250815_ETF_Options_Exhibits'!J989:J993)),AVERAGE('20250815_ETF_Options_Exhibits'!J989:J993),"")</f>
        <v/>
      </c>
      <c r="K993" s="3">
        <f>IF(ISNUMBER(AVERAGE('20250815_ETF_Options_Exhibits'!K989:K993)),AVERAGE('20250815_ETF_Options_Exhibits'!K989:K993),"")</f>
        <v/>
      </c>
      <c r="L993" s="3">
        <f>IF(ISNUMBER(AVERAGE('20250815_ETF_Options_Exhibits'!L989:L993)),AVERAGE('20250815_ETF_Options_Exhibits'!L989:L993),"")</f>
        <v/>
      </c>
      <c r="M993" s="3">
        <f>IF(ISNUMBER(AVERAGE('20250815_ETF_Options_Exhibits'!M989:M993)),AVERAGE('20250815_ETF_Options_Exhibits'!M989:M993),"")</f>
        <v/>
      </c>
      <c r="N993" s="3">
        <f>IF(ISNUMBER(AVERAGE('20250815_ETF_Options_Exhibits'!N989:N993)),AVERAGE('20250815_ETF_Options_Exhibits'!N989:N993),"")</f>
        <v/>
      </c>
      <c r="O993" s="3">
        <f>IF(ISNUMBER(AVERAGE('20250815_ETF_Options_Exhibits'!O989:O993)),AVERAGE('20250815_ETF_Options_Exhibits'!O989:O993),"")</f>
        <v/>
      </c>
      <c r="P993" s="3">
        <f>IF(ISNUMBER(AVERAGE('20250815_ETF_Options_Exhibits'!P989:P993)),AVERAGE('20250815_ETF_Options_Exhibits'!P989:P993),"")</f>
        <v/>
      </c>
      <c r="Q993" s="3">
        <f>IF(ISNUMBER(AVERAGE('20250815_ETF_Options_Exhibits'!Q989:Q993)),AVERAGE('20250815_ETF_Options_Exhibits'!Q989:Q993),"")</f>
        <v/>
      </c>
      <c r="R993" s="3">
        <f>IF(ISNUMBER(AVERAGE('20250815_ETF_Options_Exhibits'!R989:R993)),AVERAGE('20250815_ETF_Options_Exhibits'!R989:R993),"")</f>
        <v/>
      </c>
      <c r="S993" s="3">
        <f>IF(ISNUMBER(AVERAGE('20250815_ETF_Options_Exhibits'!S989:S993)),AVERAGE('20250815_ETF_Options_Exhibits'!S989:S993),"")</f>
        <v/>
      </c>
      <c r="T993" s="3">
        <f>IF(ISNUMBER(AVERAGE('20250815_ETF_Options_Exhibits'!T989:T993)),AVERAGE('20250815_ETF_Options_Exhibits'!T989:T993),"")</f>
        <v/>
      </c>
      <c r="U993" s="3">
        <f>IF(ISNUMBER(AVERAGE('20250815_ETF_Options_Exhibits'!U989:U993)),AVERAGE('20250815_ETF_Options_Exhibits'!U989:U993),"")</f>
        <v/>
      </c>
      <c r="V993" s="3">
        <f>IF(ISNUMBER(AVERAGE('20250815_ETF_Options_Exhibits'!V989:V993)),AVERAGE('20250815_ETF_Options_Exhibits'!V989:V993),"")</f>
        <v/>
      </c>
      <c r="W993" s="3">
        <f>IF(ISNUMBER(AVERAGE('20250815_ETF_Options_Exhibits'!W989:W993)),AVERAGE('20250815_ETF_Options_Exhibits'!W989:W993),"")</f>
        <v/>
      </c>
      <c r="X993" s="3">
        <f>IF(ISNUMBER(AVERAGE('20250815_ETF_Options_Exhibits'!X989:X993)),AVERAGE('20250815_ETF_Options_Exhibits'!X989:X993),"")</f>
        <v/>
      </c>
      <c r="Y993" s="3">
        <f>IF(ISNUMBER(AVERAGE('20250815_ETF_Options_Exhibits'!Y989:Y993)),AVERAGE('20250815_ETF_Options_Exhibits'!Y989:Y993),"")</f>
        <v/>
      </c>
      <c r="Z993" s="3">
        <f>IF(ISNUMBER(AVERAGE('20250815_ETF_Options_Exhibits'!Z989:Z993)),AVERAGE('20250815_ETF_Options_Exhibits'!Z989:Z993),"")</f>
        <v/>
      </c>
      <c r="AA993" s="3">
        <f>IF(ISNUMBER(AVERAGE('20250815_ETF_Options_Exhibits'!AA989:AA993)),AVERAGE('20250815_ETF_Options_Exhibits'!AA989:AA993),"")</f>
        <v/>
      </c>
    </row>
    <row r="994">
      <c r="A994" s="1" t="n">
        <v>43444</v>
      </c>
      <c r="B994" s="3">
        <f>IF(ISNUMBER(AVERAGE('20250815_ETF_Options_Exhibits'!B990:B994)),AVERAGE('20250815_ETF_Options_Exhibits'!B990:B994),"")</f>
        <v/>
      </c>
      <c r="C994" s="3">
        <f>IF(ISNUMBER(AVERAGE('20250815_ETF_Options_Exhibits'!C990:C994)),AVERAGE('20250815_ETF_Options_Exhibits'!C990:C994),"")</f>
        <v/>
      </c>
      <c r="D994" s="3">
        <f>IF(ISNUMBER(AVERAGE('20250815_ETF_Options_Exhibits'!D990:D994)),AVERAGE('20250815_ETF_Options_Exhibits'!D990:D994),"")</f>
        <v/>
      </c>
      <c r="E994" s="3">
        <f>IF(ISNUMBER(AVERAGE('20250815_ETF_Options_Exhibits'!E990:E994)),AVERAGE('20250815_ETF_Options_Exhibits'!E990:E994),"")</f>
        <v/>
      </c>
      <c r="F994" s="3">
        <f>IF(ISNUMBER(AVERAGE('20250815_ETF_Options_Exhibits'!F990:F994)),AVERAGE('20250815_ETF_Options_Exhibits'!F990:F994),"")</f>
        <v/>
      </c>
      <c r="G994" s="3">
        <f>IF(ISNUMBER(AVERAGE('20250815_ETF_Options_Exhibits'!G990:G994)),AVERAGE('20250815_ETF_Options_Exhibits'!G990:G994),"")</f>
        <v/>
      </c>
      <c r="H994" s="3">
        <f>IF(ISNUMBER(AVERAGE('20250815_ETF_Options_Exhibits'!H990:H994)),AVERAGE('20250815_ETF_Options_Exhibits'!H990:H994),"")</f>
        <v/>
      </c>
      <c r="I994" s="3">
        <f>IF(ISNUMBER(AVERAGE('20250815_ETF_Options_Exhibits'!I990:I994)),AVERAGE('20250815_ETF_Options_Exhibits'!I990:I994),"")</f>
        <v/>
      </c>
      <c r="J994" s="3">
        <f>IF(ISNUMBER(AVERAGE('20250815_ETF_Options_Exhibits'!J990:J994)),AVERAGE('20250815_ETF_Options_Exhibits'!J990:J994),"")</f>
        <v/>
      </c>
      <c r="K994" s="3">
        <f>IF(ISNUMBER(AVERAGE('20250815_ETF_Options_Exhibits'!K990:K994)),AVERAGE('20250815_ETF_Options_Exhibits'!K990:K994),"")</f>
        <v/>
      </c>
      <c r="L994" s="3">
        <f>IF(ISNUMBER(AVERAGE('20250815_ETF_Options_Exhibits'!L990:L994)),AVERAGE('20250815_ETF_Options_Exhibits'!L990:L994),"")</f>
        <v/>
      </c>
      <c r="M994" s="3">
        <f>IF(ISNUMBER(AVERAGE('20250815_ETF_Options_Exhibits'!M990:M994)),AVERAGE('20250815_ETF_Options_Exhibits'!M990:M994),"")</f>
        <v/>
      </c>
      <c r="N994" s="3">
        <f>IF(ISNUMBER(AVERAGE('20250815_ETF_Options_Exhibits'!N990:N994)),AVERAGE('20250815_ETF_Options_Exhibits'!N990:N994),"")</f>
        <v/>
      </c>
      <c r="O994" s="3">
        <f>IF(ISNUMBER(AVERAGE('20250815_ETF_Options_Exhibits'!O990:O994)),AVERAGE('20250815_ETF_Options_Exhibits'!O990:O994),"")</f>
        <v/>
      </c>
      <c r="P994" s="3">
        <f>IF(ISNUMBER(AVERAGE('20250815_ETF_Options_Exhibits'!P990:P994)),AVERAGE('20250815_ETF_Options_Exhibits'!P990:P994),"")</f>
        <v/>
      </c>
      <c r="Q994" s="3">
        <f>IF(ISNUMBER(AVERAGE('20250815_ETF_Options_Exhibits'!Q990:Q994)),AVERAGE('20250815_ETF_Options_Exhibits'!Q990:Q994),"")</f>
        <v/>
      </c>
      <c r="R994" s="3">
        <f>IF(ISNUMBER(AVERAGE('20250815_ETF_Options_Exhibits'!R990:R994)),AVERAGE('20250815_ETF_Options_Exhibits'!R990:R994),"")</f>
        <v/>
      </c>
      <c r="S994" s="3">
        <f>IF(ISNUMBER(AVERAGE('20250815_ETF_Options_Exhibits'!S990:S994)),AVERAGE('20250815_ETF_Options_Exhibits'!S990:S994),"")</f>
        <v/>
      </c>
      <c r="T994" s="3">
        <f>IF(ISNUMBER(AVERAGE('20250815_ETF_Options_Exhibits'!T990:T994)),AVERAGE('20250815_ETF_Options_Exhibits'!T990:T994),"")</f>
        <v/>
      </c>
      <c r="U994" s="3">
        <f>IF(ISNUMBER(AVERAGE('20250815_ETF_Options_Exhibits'!U990:U994)),AVERAGE('20250815_ETF_Options_Exhibits'!U990:U994),"")</f>
        <v/>
      </c>
      <c r="V994" s="3">
        <f>IF(ISNUMBER(AVERAGE('20250815_ETF_Options_Exhibits'!V990:V994)),AVERAGE('20250815_ETF_Options_Exhibits'!V990:V994),"")</f>
        <v/>
      </c>
      <c r="W994" s="3">
        <f>IF(ISNUMBER(AVERAGE('20250815_ETF_Options_Exhibits'!W990:W994)),AVERAGE('20250815_ETF_Options_Exhibits'!W990:W994),"")</f>
        <v/>
      </c>
      <c r="X994" s="3">
        <f>IF(ISNUMBER(AVERAGE('20250815_ETF_Options_Exhibits'!X990:X994)),AVERAGE('20250815_ETF_Options_Exhibits'!X990:X994),"")</f>
        <v/>
      </c>
      <c r="Y994" s="3">
        <f>IF(ISNUMBER(AVERAGE('20250815_ETF_Options_Exhibits'!Y990:Y994)),AVERAGE('20250815_ETF_Options_Exhibits'!Y990:Y994),"")</f>
        <v/>
      </c>
      <c r="Z994" s="3">
        <f>IF(ISNUMBER(AVERAGE('20250815_ETF_Options_Exhibits'!Z990:Z994)),AVERAGE('20250815_ETF_Options_Exhibits'!Z990:Z994),"")</f>
        <v/>
      </c>
      <c r="AA994" s="3">
        <f>IF(ISNUMBER(AVERAGE('20250815_ETF_Options_Exhibits'!AA990:AA994)),AVERAGE('20250815_ETF_Options_Exhibits'!AA990:AA994),"")</f>
        <v/>
      </c>
    </row>
    <row r="995">
      <c r="A995" s="1" t="n">
        <v>43445</v>
      </c>
      <c r="B995" s="3">
        <f>IF(ISNUMBER(AVERAGE('20250815_ETF_Options_Exhibits'!B991:B995)),AVERAGE('20250815_ETF_Options_Exhibits'!B991:B995),"")</f>
        <v/>
      </c>
      <c r="C995" s="3">
        <f>IF(ISNUMBER(AVERAGE('20250815_ETF_Options_Exhibits'!C991:C995)),AVERAGE('20250815_ETF_Options_Exhibits'!C991:C995),"")</f>
        <v/>
      </c>
      <c r="D995" s="3">
        <f>IF(ISNUMBER(AVERAGE('20250815_ETF_Options_Exhibits'!D991:D995)),AVERAGE('20250815_ETF_Options_Exhibits'!D991:D995),"")</f>
        <v/>
      </c>
      <c r="E995" s="3">
        <f>IF(ISNUMBER(AVERAGE('20250815_ETF_Options_Exhibits'!E991:E995)),AVERAGE('20250815_ETF_Options_Exhibits'!E991:E995),"")</f>
        <v/>
      </c>
      <c r="F995" s="3">
        <f>IF(ISNUMBER(AVERAGE('20250815_ETF_Options_Exhibits'!F991:F995)),AVERAGE('20250815_ETF_Options_Exhibits'!F991:F995),"")</f>
        <v/>
      </c>
      <c r="G995" s="3">
        <f>IF(ISNUMBER(AVERAGE('20250815_ETF_Options_Exhibits'!G991:G995)),AVERAGE('20250815_ETF_Options_Exhibits'!G991:G995),"")</f>
        <v/>
      </c>
      <c r="H995" s="3">
        <f>IF(ISNUMBER(AVERAGE('20250815_ETF_Options_Exhibits'!H991:H995)),AVERAGE('20250815_ETF_Options_Exhibits'!H991:H995),"")</f>
        <v/>
      </c>
      <c r="I995" s="3">
        <f>IF(ISNUMBER(AVERAGE('20250815_ETF_Options_Exhibits'!I991:I995)),AVERAGE('20250815_ETF_Options_Exhibits'!I991:I995),"")</f>
        <v/>
      </c>
      <c r="J995" s="3">
        <f>IF(ISNUMBER(AVERAGE('20250815_ETF_Options_Exhibits'!J991:J995)),AVERAGE('20250815_ETF_Options_Exhibits'!J991:J995),"")</f>
        <v/>
      </c>
      <c r="K995" s="3">
        <f>IF(ISNUMBER(AVERAGE('20250815_ETF_Options_Exhibits'!K991:K995)),AVERAGE('20250815_ETF_Options_Exhibits'!K991:K995),"")</f>
        <v/>
      </c>
      <c r="L995" s="3">
        <f>IF(ISNUMBER(AVERAGE('20250815_ETF_Options_Exhibits'!L991:L995)),AVERAGE('20250815_ETF_Options_Exhibits'!L991:L995),"")</f>
        <v/>
      </c>
      <c r="M995" s="3">
        <f>IF(ISNUMBER(AVERAGE('20250815_ETF_Options_Exhibits'!M991:M995)),AVERAGE('20250815_ETF_Options_Exhibits'!M991:M995),"")</f>
        <v/>
      </c>
      <c r="N995" s="3">
        <f>IF(ISNUMBER(AVERAGE('20250815_ETF_Options_Exhibits'!N991:N995)),AVERAGE('20250815_ETF_Options_Exhibits'!N991:N995),"")</f>
        <v/>
      </c>
      <c r="O995" s="3">
        <f>IF(ISNUMBER(AVERAGE('20250815_ETF_Options_Exhibits'!O991:O995)),AVERAGE('20250815_ETF_Options_Exhibits'!O991:O995),"")</f>
        <v/>
      </c>
      <c r="P995" s="3">
        <f>IF(ISNUMBER(AVERAGE('20250815_ETF_Options_Exhibits'!P991:P995)),AVERAGE('20250815_ETF_Options_Exhibits'!P991:P995),"")</f>
        <v/>
      </c>
      <c r="Q995" s="3">
        <f>IF(ISNUMBER(AVERAGE('20250815_ETF_Options_Exhibits'!Q991:Q995)),AVERAGE('20250815_ETF_Options_Exhibits'!Q991:Q995),"")</f>
        <v/>
      </c>
      <c r="R995" s="3">
        <f>IF(ISNUMBER(AVERAGE('20250815_ETF_Options_Exhibits'!R991:R995)),AVERAGE('20250815_ETF_Options_Exhibits'!R991:R995),"")</f>
        <v/>
      </c>
      <c r="S995" s="3">
        <f>IF(ISNUMBER(AVERAGE('20250815_ETF_Options_Exhibits'!S991:S995)),AVERAGE('20250815_ETF_Options_Exhibits'!S991:S995),"")</f>
        <v/>
      </c>
      <c r="T995" s="3">
        <f>IF(ISNUMBER(AVERAGE('20250815_ETF_Options_Exhibits'!T991:T995)),AVERAGE('20250815_ETF_Options_Exhibits'!T991:T995),"")</f>
        <v/>
      </c>
      <c r="U995" s="3">
        <f>IF(ISNUMBER(AVERAGE('20250815_ETF_Options_Exhibits'!U991:U995)),AVERAGE('20250815_ETF_Options_Exhibits'!U991:U995),"")</f>
        <v/>
      </c>
      <c r="V995" s="3">
        <f>IF(ISNUMBER(AVERAGE('20250815_ETF_Options_Exhibits'!V991:V995)),AVERAGE('20250815_ETF_Options_Exhibits'!V991:V995),"")</f>
        <v/>
      </c>
      <c r="W995" s="3">
        <f>IF(ISNUMBER(AVERAGE('20250815_ETF_Options_Exhibits'!W991:W995)),AVERAGE('20250815_ETF_Options_Exhibits'!W991:W995),"")</f>
        <v/>
      </c>
      <c r="X995" s="3">
        <f>IF(ISNUMBER(AVERAGE('20250815_ETF_Options_Exhibits'!X991:X995)),AVERAGE('20250815_ETF_Options_Exhibits'!X991:X995),"")</f>
        <v/>
      </c>
      <c r="Y995" s="3">
        <f>IF(ISNUMBER(AVERAGE('20250815_ETF_Options_Exhibits'!Y991:Y995)),AVERAGE('20250815_ETF_Options_Exhibits'!Y991:Y995),"")</f>
        <v/>
      </c>
      <c r="Z995" s="3">
        <f>IF(ISNUMBER(AVERAGE('20250815_ETF_Options_Exhibits'!Z991:Z995)),AVERAGE('20250815_ETF_Options_Exhibits'!Z991:Z995),"")</f>
        <v/>
      </c>
      <c r="AA995" s="3">
        <f>IF(ISNUMBER(AVERAGE('20250815_ETF_Options_Exhibits'!AA991:AA995)),AVERAGE('20250815_ETF_Options_Exhibits'!AA991:AA995),"")</f>
        <v/>
      </c>
    </row>
    <row r="996">
      <c r="A996" s="1" t="n">
        <v>43446</v>
      </c>
      <c r="B996" s="3">
        <f>IF(ISNUMBER(AVERAGE('20250815_ETF_Options_Exhibits'!B992:B996)),AVERAGE('20250815_ETF_Options_Exhibits'!B992:B996),"")</f>
        <v/>
      </c>
      <c r="C996" s="3">
        <f>IF(ISNUMBER(AVERAGE('20250815_ETF_Options_Exhibits'!C992:C996)),AVERAGE('20250815_ETF_Options_Exhibits'!C992:C996),"")</f>
        <v/>
      </c>
      <c r="D996" s="3">
        <f>IF(ISNUMBER(AVERAGE('20250815_ETF_Options_Exhibits'!D992:D996)),AVERAGE('20250815_ETF_Options_Exhibits'!D992:D996),"")</f>
        <v/>
      </c>
      <c r="E996" s="3">
        <f>IF(ISNUMBER(AVERAGE('20250815_ETF_Options_Exhibits'!E992:E996)),AVERAGE('20250815_ETF_Options_Exhibits'!E992:E996),"")</f>
        <v/>
      </c>
      <c r="F996" s="3">
        <f>IF(ISNUMBER(AVERAGE('20250815_ETF_Options_Exhibits'!F992:F996)),AVERAGE('20250815_ETF_Options_Exhibits'!F992:F996),"")</f>
        <v/>
      </c>
      <c r="G996" s="3">
        <f>IF(ISNUMBER(AVERAGE('20250815_ETF_Options_Exhibits'!G992:G996)),AVERAGE('20250815_ETF_Options_Exhibits'!G992:G996),"")</f>
        <v/>
      </c>
      <c r="H996" s="3">
        <f>IF(ISNUMBER(AVERAGE('20250815_ETF_Options_Exhibits'!H992:H996)),AVERAGE('20250815_ETF_Options_Exhibits'!H992:H996),"")</f>
        <v/>
      </c>
      <c r="I996" s="3">
        <f>IF(ISNUMBER(AVERAGE('20250815_ETF_Options_Exhibits'!I992:I996)),AVERAGE('20250815_ETF_Options_Exhibits'!I992:I996),"")</f>
        <v/>
      </c>
      <c r="J996" s="3">
        <f>IF(ISNUMBER(AVERAGE('20250815_ETF_Options_Exhibits'!J992:J996)),AVERAGE('20250815_ETF_Options_Exhibits'!J992:J996),"")</f>
        <v/>
      </c>
      <c r="K996" s="3">
        <f>IF(ISNUMBER(AVERAGE('20250815_ETF_Options_Exhibits'!K992:K996)),AVERAGE('20250815_ETF_Options_Exhibits'!K992:K996),"")</f>
        <v/>
      </c>
      <c r="L996" s="3">
        <f>IF(ISNUMBER(AVERAGE('20250815_ETF_Options_Exhibits'!L992:L996)),AVERAGE('20250815_ETF_Options_Exhibits'!L992:L996),"")</f>
        <v/>
      </c>
      <c r="M996" s="3">
        <f>IF(ISNUMBER(AVERAGE('20250815_ETF_Options_Exhibits'!M992:M996)),AVERAGE('20250815_ETF_Options_Exhibits'!M992:M996),"")</f>
        <v/>
      </c>
      <c r="N996" s="3">
        <f>IF(ISNUMBER(AVERAGE('20250815_ETF_Options_Exhibits'!N992:N996)),AVERAGE('20250815_ETF_Options_Exhibits'!N992:N996),"")</f>
        <v/>
      </c>
      <c r="O996" s="3">
        <f>IF(ISNUMBER(AVERAGE('20250815_ETF_Options_Exhibits'!O992:O996)),AVERAGE('20250815_ETF_Options_Exhibits'!O992:O996),"")</f>
        <v/>
      </c>
      <c r="P996" s="3">
        <f>IF(ISNUMBER(AVERAGE('20250815_ETF_Options_Exhibits'!P992:P996)),AVERAGE('20250815_ETF_Options_Exhibits'!P992:P996),"")</f>
        <v/>
      </c>
      <c r="Q996" s="3">
        <f>IF(ISNUMBER(AVERAGE('20250815_ETF_Options_Exhibits'!Q992:Q996)),AVERAGE('20250815_ETF_Options_Exhibits'!Q992:Q996),"")</f>
        <v/>
      </c>
      <c r="R996" s="3">
        <f>IF(ISNUMBER(AVERAGE('20250815_ETF_Options_Exhibits'!R992:R996)),AVERAGE('20250815_ETF_Options_Exhibits'!R992:R996),"")</f>
        <v/>
      </c>
      <c r="S996" s="3">
        <f>IF(ISNUMBER(AVERAGE('20250815_ETF_Options_Exhibits'!S992:S996)),AVERAGE('20250815_ETF_Options_Exhibits'!S992:S996),"")</f>
        <v/>
      </c>
      <c r="T996" s="3">
        <f>IF(ISNUMBER(AVERAGE('20250815_ETF_Options_Exhibits'!T992:T996)),AVERAGE('20250815_ETF_Options_Exhibits'!T992:T996),"")</f>
        <v/>
      </c>
      <c r="U996" s="3">
        <f>IF(ISNUMBER(AVERAGE('20250815_ETF_Options_Exhibits'!U992:U996)),AVERAGE('20250815_ETF_Options_Exhibits'!U992:U996),"")</f>
        <v/>
      </c>
      <c r="V996" s="3">
        <f>IF(ISNUMBER(AVERAGE('20250815_ETF_Options_Exhibits'!V992:V996)),AVERAGE('20250815_ETF_Options_Exhibits'!V992:V996),"")</f>
        <v/>
      </c>
      <c r="W996" s="3">
        <f>IF(ISNUMBER(AVERAGE('20250815_ETF_Options_Exhibits'!W992:W996)),AVERAGE('20250815_ETF_Options_Exhibits'!W992:W996),"")</f>
        <v/>
      </c>
      <c r="X996" s="3">
        <f>IF(ISNUMBER(AVERAGE('20250815_ETF_Options_Exhibits'!X992:X996)),AVERAGE('20250815_ETF_Options_Exhibits'!X992:X996),"")</f>
        <v/>
      </c>
      <c r="Y996" s="3">
        <f>IF(ISNUMBER(AVERAGE('20250815_ETF_Options_Exhibits'!Y992:Y996)),AVERAGE('20250815_ETF_Options_Exhibits'!Y992:Y996),"")</f>
        <v/>
      </c>
      <c r="Z996" s="3">
        <f>IF(ISNUMBER(AVERAGE('20250815_ETF_Options_Exhibits'!Z992:Z996)),AVERAGE('20250815_ETF_Options_Exhibits'!Z992:Z996),"")</f>
        <v/>
      </c>
      <c r="AA996" s="3">
        <f>IF(ISNUMBER(AVERAGE('20250815_ETF_Options_Exhibits'!AA992:AA996)),AVERAGE('20250815_ETF_Options_Exhibits'!AA992:AA996),"")</f>
        <v/>
      </c>
    </row>
    <row r="997">
      <c r="A997" s="1" t="n">
        <v>43447</v>
      </c>
      <c r="B997" s="3">
        <f>IF(ISNUMBER(AVERAGE('20250815_ETF_Options_Exhibits'!B993:B997)),AVERAGE('20250815_ETF_Options_Exhibits'!B993:B997),"")</f>
        <v/>
      </c>
      <c r="C997" s="3">
        <f>IF(ISNUMBER(AVERAGE('20250815_ETF_Options_Exhibits'!C993:C997)),AVERAGE('20250815_ETF_Options_Exhibits'!C993:C997),"")</f>
        <v/>
      </c>
      <c r="D997" s="3">
        <f>IF(ISNUMBER(AVERAGE('20250815_ETF_Options_Exhibits'!D993:D997)),AVERAGE('20250815_ETF_Options_Exhibits'!D993:D997),"")</f>
        <v/>
      </c>
      <c r="E997" s="3">
        <f>IF(ISNUMBER(AVERAGE('20250815_ETF_Options_Exhibits'!E993:E997)),AVERAGE('20250815_ETF_Options_Exhibits'!E993:E997),"")</f>
        <v/>
      </c>
      <c r="F997" s="3">
        <f>IF(ISNUMBER(AVERAGE('20250815_ETF_Options_Exhibits'!F993:F997)),AVERAGE('20250815_ETF_Options_Exhibits'!F993:F997),"")</f>
        <v/>
      </c>
      <c r="G997" s="3">
        <f>IF(ISNUMBER(AVERAGE('20250815_ETF_Options_Exhibits'!G993:G997)),AVERAGE('20250815_ETF_Options_Exhibits'!G993:G997),"")</f>
        <v/>
      </c>
      <c r="H997" s="3">
        <f>IF(ISNUMBER(AVERAGE('20250815_ETF_Options_Exhibits'!H993:H997)),AVERAGE('20250815_ETF_Options_Exhibits'!H993:H997),"")</f>
        <v/>
      </c>
      <c r="I997" s="3">
        <f>IF(ISNUMBER(AVERAGE('20250815_ETF_Options_Exhibits'!I993:I997)),AVERAGE('20250815_ETF_Options_Exhibits'!I993:I997),"")</f>
        <v/>
      </c>
      <c r="J997" s="3">
        <f>IF(ISNUMBER(AVERAGE('20250815_ETF_Options_Exhibits'!J993:J997)),AVERAGE('20250815_ETF_Options_Exhibits'!J993:J997),"")</f>
        <v/>
      </c>
      <c r="K997" s="3">
        <f>IF(ISNUMBER(AVERAGE('20250815_ETF_Options_Exhibits'!K993:K997)),AVERAGE('20250815_ETF_Options_Exhibits'!K993:K997),"")</f>
        <v/>
      </c>
      <c r="L997" s="3">
        <f>IF(ISNUMBER(AVERAGE('20250815_ETF_Options_Exhibits'!L993:L997)),AVERAGE('20250815_ETF_Options_Exhibits'!L993:L997),"")</f>
        <v/>
      </c>
      <c r="M997" s="3">
        <f>IF(ISNUMBER(AVERAGE('20250815_ETF_Options_Exhibits'!M993:M997)),AVERAGE('20250815_ETF_Options_Exhibits'!M993:M997),"")</f>
        <v/>
      </c>
      <c r="N997" s="3">
        <f>IF(ISNUMBER(AVERAGE('20250815_ETF_Options_Exhibits'!N993:N997)),AVERAGE('20250815_ETF_Options_Exhibits'!N993:N997),"")</f>
        <v/>
      </c>
      <c r="O997" s="3">
        <f>IF(ISNUMBER(AVERAGE('20250815_ETF_Options_Exhibits'!O993:O997)),AVERAGE('20250815_ETF_Options_Exhibits'!O993:O997),"")</f>
        <v/>
      </c>
      <c r="P997" s="3">
        <f>IF(ISNUMBER(AVERAGE('20250815_ETF_Options_Exhibits'!P993:P997)),AVERAGE('20250815_ETF_Options_Exhibits'!P993:P997),"")</f>
        <v/>
      </c>
      <c r="Q997" s="3">
        <f>IF(ISNUMBER(AVERAGE('20250815_ETF_Options_Exhibits'!Q993:Q997)),AVERAGE('20250815_ETF_Options_Exhibits'!Q993:Q997),"")</f>
        <v/>
      </c>
      <c r="R997" s="3">
        <f>IF(ISNUMBER(AVERAGE('20250815_ETF_Options_Exhibits'!R993:R997)),AVERAGE('20250815_ETF_Options_Exhibits'!R993:R997),"")</f>
        <v/>
      </c>
      <c r="S997" s="3">
        <f>IF(ISNUMBER(AVERAGE('20250815_ETF_Options_Exhibits'!S993:S997)),AVERAGE('20250815_ETF_Options_Exhibits'!S993:S997),"")</f>
        <v/>
      </c>
      <c r="T997" s="3">
        <f>IF(ISNUMBER(AVERAGE('20250815_ETF_Options_Exhibits'!T993:T997)),AVERAGE('20250815_ETF_Options_Exhibits'!T993:T997),"")</f>
        <v/>
      </c>
      <c r="U997" s="3">
        <f>IF(ISNUMBER(AVERAGE('20250815_ETF_Options_Exhibits'!U993:U997)),AVERAGE('20250815_ETF_Options_Exhibits'!U993:U997),"")</f>
        <v/>
      </c>
      <c r="V997" s="3">
        <f>IF(ISNUMBER(AVERAGE('20250815_ETF_Options_Exhibits'!V993:V997)),AVERAGE('20250815_ETF_Options_Exhibits'!V993:V997),"")</f>
        <v/>
      </c>
      <c r="W997" s="3">
        <f>IF(ISNUMBER(AVERAGE('20250815_ETF_Options_Exhibits'!W993:W997)),AVERAGE('20250815_ETF_Options_Exhibits'!W993:W997),"")</f>
        <v/>
      </c>
      <c r="X997" s="3">
        <f>IF(ISNUMBER(AVERAGE('20250815_ETF_Options_Exhibits'!X993:X997)),AVERAGE('20250815_ETF_Options_Exhibits'!X993:X997),"")</f>
        <v/>
      </c>
      <c r="Y997" s="3">
        <f>IF(ISNUMBER(AVERAGE('20250815_ETF_Options_Exhibits'!Y993:Y997)),AVERAGE('20250815_ETF_Options_Exhibits'!Y993:Y997),"")</f>
        <v/>
      </c>
      <c r="Z997" s="3">
        <f>IF(ISNUMBER(AVERAGE('20250815_ETF_Options_Exhibits'!Z993:Z997)),AVERAGE('20250815_ETF_Options_Exhibits'!Z993:Z997),"")</f>
        <v/>
      </c>
      <c r="AA997" s="3">
        <f>IF(ISNUMBER(AVERAGE('20250815_ETF_Options_Exhibits'!AA993:AA997)),AVERAGE('20250815_ETF_Options_Exhibits'!AA993:AA997),"")</f>
        <v/>
      </c>
    </row>
    <row r="998">
      <c r="A998" s="1" t="n">
        <v>43448</v>
      </c>
      <c r="B998" s="3">
        <f>IF(ISNUMBER(AVERAGE('20250815_ETF_Options_Exhibits'!B994:B998)),AVERAGE('20250815_ETF_Options_Exhibits'!B994:B998),"")</f>
        <v/>
      </c>
      <c r="C998" s="3">
        <f>IF(ISNUMBER(AVERAGE('20250815_ETF_Options_Exhibits'!C994:C998)),AVERAGE('20250815_ETF_Options_Exhibits'!C994:C998),"")</f>
        <v/>
      </c>
      <c r="D998" s="3">
        <f>IF(ISNUMBER(AVERAGE('20250815_ETF_Options_Exhibits'!D994:D998)),AVERAGE('20250815_ETF_Options_Exhibits'!D994:D998),"")</f>
        <v/>
      </c>
      <c r="E998" s="3">
        <f>IF(ISNUMBER(AVERAGE('20250815_ETF_Options_Exhibits'!E994:E998)),AVERAGE('20250815_ETF_Options_Exhibits'!E994:E998),"")</f>
        <v/>
      </c>
      <c r="F998" s="3">
        <f>IF(ISNUMBER(AVERAGE('20250815_ETF_Options_Exhibits'!F994:F998)),AVERAGE('20250815_ETF_Options_Exhibits'!F994:F998),"")</f>
        <v/>
      </c>
      <c r="G998" s="3">
        <f>IF(ISNUMBER(AVERAGE('20250815_ETF_Options_Exhibits'!G994:G998)),AVERAGE('20250815_ETF_Options_Exhibits'!G994:G998),"")</f>
        <v/>
      </c>
      <c r="H998" s="3">
        <f>IF(ISNUMBER(AVERAGE('20250815_ETF_Options_Exhibits'!H994:H998)),AVERAGE('20250815_ETF_Options_Exhibits'!H994:H998),"")</f>
        <v/>
      </c>
      <c r="I998" s="3">
        <f>IF(ISNUMBER(AVERAGE('20250815_ETF_Options_Exhibits'!I994:I998)),AVERAGE('20250815_ETF_Options_Exhibits'!I994:I998),"")</f>
        <v/>
      </c>
      <c r="J998" s="3">
        <f>IF(ISNUMBER(AVERAGE('20250815_ETF_Options_Exhibits'!J994:J998)),AVERAGE('20250815_ETF_Options_Exhibits'!J994:J998),"")</f>
        <v/>
      </c>
      <c r="K998" s="3">
        <f>IF(ISNUMBER(AVERAGE('20250815_ETF_Options_Exhibits'!K994:K998)),AVERAGE('20250815_ETF_Options_Exhibits'!K994:K998),"")</f>
        <v/>
      </c>
      <c r="L998" s="3">
        <f>IF(ISNUMBER(AVERAGE('20250815_ETF_Options_Exhibits'!L994:L998)),AVERAGE('20250815_ETF_Options_Exhibits'!L994:L998),"")</f>
        <v/>
      </c>
      <c r="M998" s="3">
        <f>IF(ISNUMBER(AVERAGE('20250815_ETF_Options_Exhibits'!M994:M998)),AVERAGE('20250815_ETF_Options_Exhibits'!M994:M998),"")</f>
        <v/>
      </c>
      <c r="N998" s="3">
        <f>IF(ISNUMBER(AVERAGE('20250815_ETF_Options_Exhibits'!N994:N998)),AVERAGE('20250815_ETF_Options_Exhibits'!N994:N998),"")</f>
        <v/>
      </c>
      <c r="O998" s="3">
        <f>IF(ISNUMBER(AVERAGE('20250815_ETF_Options_Exhibits'!O994:O998)),AVERAGE('20250815_ETF_Options_Exhibits'!O994:O998),"")</f>
        <v/>
      </c>
      <c r="P998" s="3">
        <f>IF(ISNUMBER(AVERAGE('20250815_ETF_Options_Exhibits'!P994:P998)),AVERAGE('20250815_ETF_Options_Exhibits'!P994:P998),"")</f>
        <v/>
      </c>
      <c r="Q998" s="3">
        <f>IF(ISNUMBER(AVERAGE('20250815_ETF_Options_Exhibits'!Q994:Q998)),AVERAGE('20250815_ETF_Options_Exhibits'!Q994:Q998),"")</f>
        <v/>
      </c>
      <c r="R998" s="3">
        <f>IF(ISNUMBER(AVERAGE('20250815_ETF_Options_Exhibits'!R994:R998)),AVERAGE('20250815_ETF_Options_Exhibits'!R994:R998),"")</f>
        <v/>
      </c>
      <c r="S998" s="3">
        <f>IF(ISNUMBER(AVERAGE('20250815_ETF_Options_Exhibits'!S994:S998)),AVERAGE('20250815_ETF_Options_Exhibits'!S994:S998),"")</f>
        <v/>
      </c>
      <c r="T998" s="3">
        <f>IF(ISNUMBER(AVERAGE('20250815_ETF_Options_Exhibits'!T994:T998)),AVERAGE('20250815_ETF_Options_Exhibits'!T994:T998),"")</f>
        <v/>
      </c>
      <c r="U998" s="3">
        <f>IF(ISNUMBER(AVERAGE('20250815_ETF_Options_Exhibits'!U994:U998)),AVERAGE('20250815_ETF_Options_Exhibits'!U994:U998),"")</f>
        <v/>
      </c>
      <c r="V998" s="3">
        <f>IF(ISNUMBER(AVERAGE('20250815_ETF_Options_Exhibits'!V994:V998)),AVERAGE('20250815_ETF_Options_Exhibits'!V994:V998),"")</f>
        <v/>
      </c>
      <c r="W998" s="3">
        <f>IF(ISNUMBER(AVERAGE('20250815_ETF_Options_Exhibits'!W994:W998)),AVERAGE('20250815_ETF_Options_Exhibits'!W994:W998),"")</f>
        <v/>
      </c>
      <c r="X998" s="3">
        <f>IF(ISNUMBER(AVERAGE('20250815_ETF_Options_Exhibits'!X994:X998)),AVERAGE('20250815_ETF_Options_Exhibits'!X994:X998),"")</f>
        <v/>
      </c>
      <c r="Y998" s="3">
        <f>IF(ISNUMBER(AVERAGE('20250815_ETF_Options_Exhibits'!Y994:Y998)),AVERAGE('20250815_ETF_Options_Exhibits'!Y994:Y998),"")</f>
        <v/>
      </c>
      <c r="Z998" s="3">
        <f>IF(ISNUMBER(AVERAGE('20250815_ETF_Options_Exhibits'!Z994:Z998)),AVERAGE('20250815_ETF_Options_Exhibits'!Z994:Z998),"")</f>
        <v/>
      </c>
      <c r="AA998" s="3">
        <f>IF(ISNUMBER(AVERAGE('20250815_ETF_Options_Exhibits'!AA994:AA998)),AVERAGE('20250815_ETF_Options_Exhibits'!AA994:AA998),"")</f>
        <v/>
      </c>
    </row>
    <row r="999">
      <c r="A999" s="1" t="n">
        <v>43451</v>
      </c>
      <c r="B999" s="3">
        <f>IF(ISNUMBER(AVERAGE('20250815_ETF_Options_Exhibits'!B995:B999)),AVERAGE('20250815_ETF_Options_Exhibits'!B995:B999),"")</f>
        <v/>
      </c>
      <c r="C999" s="3">
        <f>IF(ISNUMBER(AVERAGE('20250815_ETF_Options_Exhibits'!C995:C999)),AVERAGE('20250815_ETF_Options_Exhibits'!C995:C999),"")</f>
        <v/>
      </c>
      <c r="D999" s="3">
        <f>IF(ISNUMBER(AVERAGE('20250815_ETF_Options_Exhibits'!D995:D999)),AVERAGE('20250815_ETF_Options_Exhibits'!D995:D999),"")</f>
        <v/>
      </c>
      <c r="E999" s="3">
        <f>IF(ISNUMBER(AVERAGE('20250815_ETF_Options_Exhibits'!E995:E999)),AVERAGE('20250815_ETF_Options_Exhibits'!E995:E999),"")</f>
        <v/>
      </c>
      <c r="F999" s="3">
        <f>IF(ISNUMBER(AVERAGE('20250815_ETF_Options_Exhibits'!F995:F999)),AVERAGE('20250815_ETF_Options_Exhibits'!F995:F999),"")</f>
        <v/>
      </c>
      <c r="G999" s="3">
        <f>IF(ISNUMBER(AVERAGE('20250815_ETF_Options_Exhibits'!G995:G999)),AVERAGE('20250815_ETF_Options_Exhibits'!G995:G999),"")</f>
        <v/>
      </c>
      <c r="H999" s="3">
        <f>IF(ISNUMBER(AVERAGE('20250815_ETF_Options_Exhibits'!H995:H999)),AVERAGE('20250815_ETF_Options_Exhibits'!H995:H999),"")</f>
        <v/>
      </c>
      <c r="I999" s="3">
        <f>IF(ISNUMBER(AVERAGE('20250815_ETF_Options_Exhibits'!I995:I999)),AVERAGE('20250815_ETF_Options_Exhibits'!I995:I999),"")</f>
        <v/>
      </c>
      <c r="J999" s="3">
        <f>IF(ISNUMBER(AVERAGE('20250815_ETF_Options_Exhibits'!J995:J999)),AVERAGE('20250815_ETF_Options_Exhibits'!J995:J999),"")</f>
        <v/>
      </c>
      <c r="K999" s="3">
        <f>IF(ISNUMBER(AVERAGE('20250815_ETF_Options_Exhibits'!K995:K999)),AVERAGE('20250815_ETF_Options_Exhibits'!K995:K999),"")</f>
        <v/>
      </c>
      <c r="L999" s="3">
        <f>IF(ISNUMBER(AVERAGE('20250815_ETF_Options_Exhibits'!L995:L999)),AVERAGE('20250815_ETF_Options_Exhibits'!L995:L999),"")</f>
        <v/>
      </c>
      <c r="M999" s="3">
        <f>IF(ISNUMBER(AVERAGE('20250815_ETF_Options_Exhibits'!M995:M999)),AVERAGE('20250815_ETF_Options_Exhibits'!M995:M999),"")</f>
        <v/>
      </c>
      <c r="N999" s="3">
        <f>IF(ISNUMBER(AVERAGE('20250815_ETF_Options_Exhibits'!N995:N999)),AVERAGE('20250815_ETF_Options_Exhibits'!N995:N999),"")</f>
        <v/>
      </c>
      <c r="O999" s="3">
        <f>IF(ISNUMBER(AVERAGE('20250815_ETF_Options_Exhibits'!O995:O999)),AVERAGE('20250815_ETF_Options_Exhibits'!O995:O999),"")</f>
        <v/>
      </c>
      <c r="P999" s="3">
        <f>IF(ISNUMBER(AVERAGE('20250815_ETF_Options_Exhibits'!P995:P999)),AVERAGE('20250815_ETF_Options_Exhibits'!P995:P999),"")</f>
        <v/>
      </c>
      <c r="Q999" s="3">
        <f>IF(ISNUMBER(AVERAGE('20250815_ETF_Options_Exhibits'!Q995:Q999)),AVERAGE('20250815_ETF_Options_Exhibits'!Q995:Q999),"")</f>
        <v/>
      </c>
      <c r="R999" s="3">
        <f>IF(ISNUMBER(AVERAGE('20250815_ETF_Options_Exhibits'!R995:R999)),AVERAGE('20250815_ETF_Options_Exhibits'!R995:R999),"")</f>
        <v/>
      </c>
      <c r="S999" s="3">
        <f>IF(ISNUMBER(AVERAGE('20250815_ETF_Options_Exhibits'!S995:S999)),AVERAGE('20250815_ETF_Options_Exhibits'!S995:S999),"")</f>
        <v/>
      </c>
      <c r="T999" s="3">
        <f>IF(ISNUMBER(AVERAGE('20250815_ETF_Options_Exhibits'!T995:T999)),AVERAGE('20250815_ETF_Options_Exhibits'!T995:T999),"")</f>
        <v/>
      </c>
      <c r="U999" s="3">
        <f>IF(ISNUMBER(AVERAGE('20250815_ETF_Options_Exhibits'!U995:U999)),AVERAGE('20250815_ETF_Options_Exhibits'!U995:U999),"")</f>
        <v/>
      </c>
      <c r="V999" s="3">
        <f>IF(ISNUMBER(AVERAGE('20250815_ETF_Options_Exhibits'!V995:V999)),AVERAGE('20250815_ETF_Options_Exhibits'!V995:V999),"")</f>
        <v/>
      </c>
      <c r="W999" s="3">
        <f>IF(ISNUMBER(AVERAGE('20250815_ETF_Options_Exhibits'!W995:W999)),AVERAGE('20250815_ETF_Options_Exhibits'!W995:W999),"")</f>
        <v/>
      </c>
      <c r="X999" s="3">
        <f>IF(ISNUMBER(AVERAGE('20250815_ETF_Options_Exhibits'!X995:X999)),AVERAGE('20250815_ETF_Options_Exhibits'!X995:X999),"")</f>
        <v/>
      </c>
      <c r="Y999" s="3">
        <f>IF(ISNUMBER(AVERAGE('20250815_ETF_Options_Exhibits'!Y995:Y999)),AVERAGE('20250815_ETF_Options_Exhibits'!Y995:Y999),"")</f>
        <v/>
      </c>
      <c r="Z999" s="3">
        <f>IF(ISNUMBER(AVERAGE('20250815_ETF_Options_Exhibits'!Z995:Z999)),AVERAGE('20250815_ETF_Options_Exhibits'!Z995:Z999),"")</f>
        <v/>
      </c>
      <c r="AA999" s="3">
        <f>IF(ISNUMBER(AVERAGE('20250815_ETF_Options_Exhibits'!AA995:AA999)),AVERAGE('20250815_ETF_Options_Exhibits'!AA995:AA999),"")</f>
        <v/>
      </c>
    </row>
    <row r="1000">
      <c r="A1000" s="1" t="n">
        <v>43452</v>
      </c>
      <c r="B1000" s="3">
        <f>IF(ISNUMBER(AVERAGE('20250815_ETF_Options_Exhibits'!B996:B1000)),AVERAGE('20250815_ETF_Options_Exhibits'!B996:B1000),"")</f>
        <v/>
      </c>
      <c r="C1000" s="3">
        <f>IF(ISNUMBER(AVERAGE('20250815_ETF_Options_Exhibits'!C996:C1000)),AVERAGE('20250815_ETF_Options_Exhibits'!C996:C1000),"")</f>
        <v/>
      </c>
      <c r="D1000" s="3">
        <f>IF(ISNUMBER(AVERAGE('20250815_ETF_Options_Exhibits'!D996:D1000)),AVERAGE('20250815_ETF_Options_Exhibits'!D996:D1000),"")</f>
        <v/>
      </c>
      <c r="E1000" s="3">
        <f>IF(ISNUMBER(AVERAGE('20250815_ETF_Options_Exhibits'!E996:E1000)),AVERAGE('20250815_ETF_Options_Exhibits'!E996:E1000),"")</f>
        <v/>
      </c>
      <c r="F1000" s="3">
        <f>IF(ISNUMBER(AVERAGE('20250815_ETF_Options_Exhibits'!F996:F1000)),AVERAGE('20250815_ETF_Options_Exhibits'!F996:F1000),"")</f>
        <v/>
      </c>
      <c r="G1000" s="3">
        <f>IF(ISNUMBER(AVERAGE('20250815_ETF_Options_Exhibits'!G996:G1000)),AVERAGE('20250815_ETF_Options_Exhibits'!G996:G1000),"")</f>
        <v/>
      </c>
      <c r="H1000" s="3">
        <f>IF(ISNUMBER(AVERAGE('20250815_ETF_Options_Exhibits'!H996:H1000)),AVERAGE('20250815_ETF_Options_Exhibits'!H996:H1000),"")</f>
        <v/>
      </c>
      <c r="I1000" s="3">
        <f>IF(ISNUMBER(AVERAGE('20250815_ETF_Options_Exhibits'!I996:I1000)),AVERAGE('20250815_ETF_Options_Exhibits'!I996:I1000),"")</f>
        <v/>
      </c>
      <c r="J1000" s="3">
        <f>IF(ISNUMBER(AVERAGE('20250815_ETF_Options_Exhibits'!J996:J1000)),AVERAGE('20250815_ETF_Options_Exhibits'!J996:J1000),"")</f>
        <v/>
      </c>
      <c r="K1000" s="3">
        <f>IF(ISNUMBER(AVERAGE('20250815_ETF_Options_Exhibits'!K996:K1000)),AVERAGE('20250815_ETF_Options_Exhibits'!K996:K1000),"")</f>
        <v/>
      </c>
      <c r="L1000" s="3">
        <f>IF(ISNUMBER(AVERAGE('20250815_ETF_Options_Exhibits'!L996:L1000)),AVERAGE('20250815_ETF_Options_Exhibits'!L996:L1000),"")</f>
        <v/>
      </c>
      <c r="M1000" s="3">
        <f>IF(ISNUMBER(AVERAGE('20250815_ETF_Options_Exhibits'!M996:M1000)),AVERAGE('20250815_ETF_Options_Exhibits'!M996:M1000),"")</f>
        <v/>
      </c>
      <c r="N1000" s="3">
        <f>IF(ISNUMBER(AVERAGE('20250815_ETF_Options_Exhibits'!N996:N1000)),AVERAGE('20250815_ETF_Options_Exhibits'!N996:N1000),"")</f>
        <v/>
      </c>
      <c r="O1000" s="3">
        <f>IF(ISNUMBER(AVERAGE('20250815_ETF_Options_Exhibits'!O996:O1000)),AVERAGE('20250815_ETF_Options_Exhibits'!O996:O1000),"")</f>
        <v/>
      </c>
      <c r="P1000" s="3">
        <f>IF(ISNUMBER(AVERAGE('20250815_ETF_Options_Exhibits'!P996:P1000)),AVERAGE('20250815_ETF_Options_Exhibits'!P996:P1000),"")</f>
        <v/>
      </c>
      <c r="Q1000" s="3">
        <f>IF(ISNUMBER(AVERAGE('20250815_ETF_Options_Exhibits'!Q996:Q1000)),AVERAGE('20250815_ETF_Options_Exhibits'!Q996:Q1000),"")</f>
        <v/>
      </c>
      <c r="R1000" s="3">
        <f>IF(ISNUMBER(AVERAGE('20250815_ETF_Options_Exhibits'!R996:R1000)),AVERAGE('20250815_ETF_Options_Exhibits'!R996:R1000),"")</f>
        <v/>
      </c>
      <c r="S1000" s="3">
        <f>IF(ISNUMBER(AVERAGE('20250815_ETF_Options_Exhibits'!S996:S1000)),AVERAGE('20250815_ETF_Options_Exhibits'!S996:S1000),"")</f>
        <v/>
      </c>
      <c r="T1000" s="3">
        <f>IF(ISNUMBER(AVERAGE('20250815_ETF_Options_Exhibits'!T996:T1000)),AVERAGE('20250815_ETF_Options_Exhibits'!T996:T1000),"")</f>
        <v/>
      </c>
      <c r="U1000" s="3">
        <f>IF(ISNUMBER(AVERAGE('20250815_ETF_Options_Exhibits'!U996:U1000)),AVERAGE('20250815_ETF_Options_Exhibits'!U996:U1000),"")</f>
        <v/>
      </c>
      <c r="V1000" s="3">
        <f>IF(ISNUMBER(AVERAGE('20250815_ETF_Options_Exhibits'!V996:V1000)),AVERAGE('20250815_ETF_Options_Exhibits'!V996:V1000),"")</f>
        <v/>
      </c>
      <c r="W1000" s="3">
        <f>IF(ISNUMBER(AVERAGE('20250815_ETF_Options_Exhibits'!W996:W1000)),AVERAGE('20250815_ETF_Options_Exhibits'!W996:W1000),"")</f>
        <v/>
      </c>
      <c r="X1000" s="3">
        <f>IF(ISNUMBER(AVERAGE('20250815_ETF_Options_Exhibits'!X996:X1000)),AVERAGE('20250815_ETF_Options_Exhibits'!X996:X1000),"")</f>
        <v/>
      </c>
      <c r="Y1000" s="3">
        <f>IF(ISNUMBER(AVERAGE('20250815_ETF_Options_Exhibits'!Y996:Y1000)),AVERAGE('20250815_ETF_Options_Exhibits'!Y996:Y1000),"")</f>
        <v/>
      </c>
      <c r="Z1000" s="3">
        <f>IF(ISNUMBER(AVERAGE('20250815_ETF_Options_Exhibits'!Z996:Z1000)),AVERAGE('20250815_ETF_Options_Exhibits'!Z996:Z1000),"")</f>
        <v/>
      </c>
      <c r="AA1000" s="3">
        <f>IF(ISNUMBER(AVERAGE('20250815_ETF_Options_Exhibits'!AA996:AA1000)),AVERAGE('20250815_ETF_Options_Exhibits'!AA996:AA1000),"")</f>
        <v/>
      </c>
    </row>
    <row r="1001">
      <c r="A1001" s="1" t="n">
        <v>43453</v>
      </c>
      <c r="B1001" s="3">
        <f>IF(ISNUMBER(AVERAGE('20250815_ETF_Options_Exhibits'!B997:B1001)),AVERAGE('20250815_ETF_Options_Exhibits'!B997:B1001),"")</f>
        <v/>
      </c>
      <c r="C1001" s="3">
        <f>IF(ISNUMBER(AVERAGE('20250815_ETF_Options_Exhibits'!C997:C1001)),AVERAGE('20250815_ETF_Options_Exhibits'!C997:C1001),"")</f>
        <v/>
      </c>
      <c r="D1001" s="3">
        <f>IF(ISNUMBER(AVERAGE('20250815_ETF_Options_Exhibits'!D997:D1001)),AVERAGE('20250815_ETF_Options_Exhibits'!D997:D1001),"")</f>
        <v/>
      </c>
      <c r="E1001" s="3">
        <f>IF(ISNUMBER(AVERAGE('20250815_ETF_Options_Exhibits'!E997:E1001)),AVERAGE('20250815_ETF_Options_Exhibits'!E997:E1001),"")</f>
        <v/>
      </c>
      <c r="F1001" s="3">
        <f>IF(ISNUMBER(AVERAGE('20250815_ETF_Options_Exhibits'!F997:F1001)),AVERAGE('20250815_ETF_Options_Exhibits'!F997:F1001),"")</f>
        <v/>
      </c>
      <c r="G1001" s="3">
        <f>IF(ISNUMBER(AVERAGE('20250815_ETF_Options_Exhibits'!G997:G1001)),AVERAGE('20250815_ETF_Options_Exhibits'!G997:G1001),"")</f>
        <v/>
      </c>
      <c r="H1001" s="3">
        <f>IF(ISNUMBER(AVERAGE('20250815_ETF_Options_Exhibits'!H997:H1001)),AVERAGE('20250815_ETF_Options_Exhibits'!H997:H1001),"")</f>
        <v/>
      </c>
      <c r="I1001" s="3">
        <f>IF(ISNUMBER(AVERAGE('20250815_ETF_Options_Exhibits'!I997:I1001)),AVERAGE('20250815_ETF_Options_Exhibits'!I997:I1001),"")</f>
        <v/>
      </c>
      <c r="J1001" s="3">
        <f>IF(ISNUMBER(AVERAGE('20250815_ETF_Options_Exhibits'!J997:J1001)),AVERAGE('20250815_ETF_Options_Exhibits'!J997:J1001),"")</f>
        <v/>
      </c>
      <c r="K1001" s="3">
        <f>IF(ISNUMBER(AVERAGE('20250815_ETF_Options_Exhibits'!K997:K1001)),AVERAGE('20250815_ETF_Options_Exhibits'!K997:K1001),"")</f>
        <v/>
      </c>
      <c r="L1001" s="3">
        <f>IF(ISNUMBER(AVERAGE('20250815_ETF_Options_Exhibits'!L997:L1001)),AVERAGE('20250815_ETF_Options_Exhibits'!L997:L1001),"")</f>
        <v/>
      </c>
      <c r="M1001" s="3">
        <f>IF(ISNUMBER(AVERAGE('20250815_ETF_Options_Exhibits'!M997:M1001)),AVERAGE('20250815_ETF_Options_Exhibits'!M997:M1001),"")</f>
        <v/>
      </c>
      <c r="N1001" s="3">
        <f>IF(ISNUMBER(AVERAGE('20250815_ETF_Options_Exhibits'!N997:N1001)),AVERAGE('20250815_ETF_Options_Exhibits'!N997:N1001),"")</f>
        <v/>
      </c>
      <c r="O1001" s="3">
        <f>IF(ISNUMBER(AVERAGE('20250815_ETF_Options_Exhibits'!O997:O1001)),AVERAGE('20250815_ETF_Options_Exhibits'!O997:O1001),"")</f>
        <v/>
      </c>
      <c r="P1001" s="3">
        <f>IF(ISNUMBER(AVERAGE('20250815_ETF_Options_Exhibits'!P997:P1001)),AVERAGE('20250815_ETF_Options_Exhibits'!P997:P1001),"")</f>
        <v/>
      </c>
      <c r="Q1001" s="3">
        <f>IF(ISNUMBER(AVERAGE('20250815_ETF_Options_Exhibits'!Q997:Q1001)),AVERAGE('20250815_ETF_Options_Exhibits'!Q997:Q1001),"")</f>
        <v/>
      </c>
      <c r="R1001" s="3">
        <f>IF(ISNUMBER(AVERAGE('20250815_ETF_Options_Exhibits'!R997:R1001)),AVERAGE('20250815_ETF_Options_Exhibits'!R997:R1001),"")</f>
        <v/>
      </c>
      <c r="S1001" s="3">
        <f>IF(ISNUMBER(AVERAGE('20250815_ETF_Options_Exhibits'!S997:S1001)),AVERAGE('20250815_ETF_Options_Exhibits'!S997:S1001),"")</f>
        <v/>
      </c>
      <c r="T1001" s="3">
        <f>IF(ISNUMBER(AVERAGE('20250815_ETF_Options_Exhibits'!T997:T1001)),AVERAGE('20250815_ETF_Options_Exhibits'!T997:T1001),"")</f>
        <v/>
      </c>
      <c r="U1001" s="3">
        <f>IF(ISNUMBER(AVERAGE('20250815_ETF_Options_Exhibits'!U997:U1001)),AVERAGE('20250815_ETF_Options_Exhibits'!U997:U1001),"")</f>
        <v/>
      </c>
      <c r="V1001" s="3">
        <f>IF(ISNUMBER(AVERAGE('20250815_ETF_Options_Exhibits'!V997:V1001)),AVERAGE('20250815_ETF_Options_Exhibits'!V997:V1001),"")</f>
        <v/>
      </c>
      <c r="W1001" s="3">
        <f>IF(ISNUMBER(AVERAGE('20250815_ETF_Options_Exhibits'!W997:W1001)),AVERAGE('20250815_ETF_Options_Exhibits'!W997:W1001),"")</f>
        <v/>
      </c>
      <c r="X1001" s="3">
        <f>IF(ISNUMBER(AVERAGE('20250815_ETF_Options_Exhibits'!X997:X1001)),AVERAGE('20250815_ETF_Options_Exhibits'!X997:X1001),"")</f>
        <v/>
      </c>
      <c r="Y1001" s="3">
        <f>IF(ISNUMBER(AVERAGE('20250815_ETF_Options_Exhibits'!Y997:Y1001)),AVERAGE('20250815_ETF_Options_Exhibits'!Y997:Y1001),"")</f>
        <v/>
      </c>
      <c r="Z1001" s="3">
        <f>IF(ISNUMBER(AVERAGE('20250815_ETF_Options_Exhibits'!Z997:Z1001)),AVERAGE('20250815_ETF_Options_Exhibits'!Z997:Z1001),"")</f>
        <v/>
      </c>
      <c r="AA1001" s="3">
        <f>IF(ISNUMBER(AVERAGE('20250815_ETF_Options_Exhibits'!AA997:AA1001)),AVERAGE('20250815_ETF_Options_Exhibits'!AA997:AA1001),"")</f>
        <v/>
      </c>
    </row>
    <row r="1002">
      <c r="A1002" s="1" t="n">
        <v>43454</v>
      </c>
      <c r="B1002" s="3">
        <f>IF(ISNUMBER(AVERAGE('20250815_ETF_Options_Exhibits'!B998:B1002)),AVERAGE('20250815_ETF_Options_Exhibits'!B998:B1002),"")</f>
        <v/>
      </c>
      <c r="C1002" s="3">
        <f>IF(ISNUMBER(AVERAGE('20250815_ETF_Options_Exhibits'!C998:C1002)),AVERAGE('20250815_ETF_Options_Exhibits'!C998:C1002),"")</f>
        <v/>
      </c>
      <c r="D1002" s="3">
        <f>IF(ISNUMBER(AVERAGE('20250815_ETF_Options_Exhibits'!D998:D1002)),AVERAGE('20250815_ETF_Options_Exhibits'!D998:D1002),"")</f>
        <v/>
      </c>
      <c r="E1002" s="3">
        <f>IF(ISNUMBER(AVERAGE('20250815_ETF_Options_Exhibits'!E998:E1002)),AVERAGE('20250815_ETF_Options_Exhibits'!E998:E1002),"")</f>
        <v/>
      </c>
      <c r="F1002" s="3">
        <f>IF(ISNUMBER(AVERAGE('20250815_ETF_Options_Exhibits'!F998:F1002)),AVERAGE('20250815_ETF_Options_Exhibits'!F998:F1002),"")</f>
        <v/>
      </c>
      <c r="G1002" s="3">
        <f>IF(ISNUMBER(AVERAGE('20250815_ETF_Options_Exhibits'!G998:G1002)),AVERAGE('20250815_ETF_Options_Exhibits'!G998:G1002),"")</f>
        <v/>
      </c>
      <c r="H1002" s="3">
        <f>IF(ISNUMBER(AVERAGE('20250815_ETF_Options_Exhibits'!H998:H1002)),AVERAGE('20250815_ETF_Options_Exhibits'!H998:H1002),"")</f>
        <v/>
      </c>
      <c r="I1002" s="3">
        <f>IF(ISNUMBER(AVERAGE('20250815_ETF_Options_Exhibits'!I998:I1002)),AVERAGE('20250815_ETF_Options_Exhibits'!I998:I1002),"")</f>
        <v/>
      </c>
      <c r="J1002" s="3">
        <f>IF(ISNUMBER(AVERAGE('20250815_ETF_Options_Exhibits'!J998:J1002)),AVERAGE('20250815_ETF_Options_Exhibits'!J998:J1002),"")</f>
        <v/>
      </c>
      <c r="K1002" s="3">
        <f>IF(ISNUMBER(AVERAGE('20250815_ETF_Options_Exhibits'!K998:K1002)),AVERAGE('20250815_ETF_Options_Exhibits'!K998:K1002),"")</f>
        <v/>
      </c>
      <c r="L1002" s="3">
        <f>IF(ISNUMBER(AVERAGE('20250815_ETF_Options_Exhibits'!L998:L1002)),AVERAGE('20250815_ETF_Options_Exhibits'!L998:L1002),"")</f>
        <v/>
      </c>
      <c r="M1002" s="3">
        <f>IF(ISNUMBER(AVERAGE('20250815_ETF_Options_Exhibits'!M998:M1002)),AVERAGE('20250815_ETF_Options_Exhibits'!M998:M1002),"")</f>
        <v/>
      </c>
      <c r="N1002" s="3">
        <f>IF(ISNUMBER(AVERAGE('20250815_ETF_Options_Exhibits'!N998:N1002)),AVERAGE('20250815_ETF_Options_Exhibits'!N998:N1002),"")</f>
        <v/>
      </c>
      <c r="O1002" s="3">
        <f>IF(ISNUMBER(AVERAGE('20250815_ETF_Options_Exhibits'!O998:O1002)),AVERAGE('20250815_ETF_Options_Exhibits'!O998:O1002),"")</f>
        <v/>
      </c>
      <c r="P1002" s="3">
        <f>IF(ISNUMBER(AVERAGE('20250815_ETF_Options_Exhibits'!P998:P1002)),AVERAGE('20250815_ETF_Options_Exhibits'!P998:P1002),"")</f>
        <v/>
      </c>
      <c r="Q1002" s="3">
        <f>IF(ISNUMBER(AVERAGE('20250815_ETF_Options_Exhibits'!Q998:Q1002)),AVERAGE('20250815_ETF_Options_Exhibits'!Q998:Q1002),"")</f>
        <v/>
      </c>
      <c r="R1002" s="3">
        <f>IF(ISNUMBER(AVERAGE('20250815_ETF_Options_Exhibits'!R998:R1002)),AVERAGE('20250815_ETF_Options_Exhibits'!R998:R1002),"")</f>
        <v/>
      </c>
      <c r="S1002" s="3">
        <f>IF(ISNUMBER(AVERAGE('20250815_ETF_Options_Exhibits'!S998:S1002)),AVERAGE('20250815_ETF_Options_Exhibits'!S998:S1002),"")</f>
        <v/>
      </c>
      <c r="T1002" s="3">
        <f>IF(ISNUMBER(AVERAGE('20250815_ETF_Options_Exhibits'!T998:T1002)),AVERAGE('20250815_ETF_Options_Exhibits'!T998:T1002),"")</f>
        <v/>
      </c>
      <c r="U1002" s="3">
        <f>IF(ISNUMBER(AVERAGE('20250815_ETF_Options_Exhibits'!U998:U1002)),AVERAGE('20250815_ETF_Options_Exhibits'!U998:U1002),"")</f>
        <v/>
      </c>
      <c r="V1002" s="3">
        <f>IF(ISNUMBER(AVERAGE('20250815_ETF_Options_Exhibits'!V998:V1002)),AVERAGE('20250815_ETF_Options_Exhibits'!V998:V1002),"")</f>
        <v/>
      </c>
      <c r="W1002" s="3">
        <f>IF(ISNUMBER(AVERAGE('20250815_ETF_Options_Exhibits'!W998:W1002)),AVERAGE('20250815_ETF_Options_Exhibits'!W998:W1002),"")</f>
        <v/>
      </c>
      <c r="X1002" s="3">
        <f>IF(ISNUMBER(AVERAGE('20250815_ETF_Options_Exhibits'!X998:X1002)),AVERAGE('20250815_ETF_Options_Exhibits'!X998:X1002),"")</f>
        <v/>
      </c>
      <c r="Y1002" s="3">
        <f>IF(ISNUMBER(AVERAGE('20250815_ETF_Options_Exhibits'!Y998:Y1002)),AVERAGE('20250815_ETF_Options_Exhibits'!Y998:Y1002),"")</f>
        <v/>
      </c>
      <c r="Z1002" s="3">
        <f>IF(ISNUMBER(AVERAGE('20250815_ETF_Options_Exhibits'!Z998:Z1002)),AVERAGE('20250815_ETF_Options_Exhibits'!Z998:Z1002),"")</f>
        <v/>
      </c>
      <c r="AA1002" s="3">
        <f>IF(ISNUMBER(AVERAGE('20250815_ETF_Options_Exhibits'!AA998:AA1002)),AVERAGE('20250815_ETF_Options_Exhibits'!AA998:AA1002),"")</f>
        <v/>
      </c>
    </row>
    <row r="1003">
      <c r="A1003" s="1" t="n">
        <v>43455</v>
      </c>
      <c r="B1003" s="3">
        <f>IF(ISNUMBER(AVERAGE('20250815_ETF_Options_Exhibits'!B999:B1003)),AVERAGE('20250815_ETF_Options_Exhibits'!B999:B1003),"")</f>
        <v/>
      </c>
      <c r="C1003" s="3">
        <f>IF(ISNUMBER(AVERAGE('20250815_ETF_Options_Exhibits'!C999:C1003)),AVERAGE('20250815_ETF_Options_Exhibits'!C999:C1003),"")</f>
        <v/>
      </c>
      <c r="D1003" s="3">
        <f>IF(ISNUMBER(AVERAGE('20250815_ETF_Options_Exhibits'!D999:D1003)),AVERAGE('20250815_ETF_Options_Exhibits'!D999:D1003),"")</f>
        <v/>
      </c>
      <c r="E1003" s="3">
        <f>IF(ISNUMBER(AVERAGE('20250815_ETF_Options_Exhibits'!E999:E1003)),AVERAGE('20250815_ETF_Options_Exhibits'!E999:E1003),"")</f>
        <v/>
      </c>
      <c r="F1003" s="3">
        <f>IF(ISNUMBER(AVERAGE('20250815_ETF_Options_Exhibits'!F999:F1003)),AVERAGE('20250815_ETF_Options_Exhibits'!F999:F1003),"")</f>
        <v/>
      </c>
      <c r="G1003" s="3">
        <f>IF(ISNUMBER(AVERAGE('20250815_ETF_Options_Exhibits'!G999:G1003)),AVERAGE('20250815_ETF_Options_Exhibits'!G999:G1003),"")</f>
        <v/>
      </c>
      <c r="H1003" s="3">
        <f>IF(ISNUMBER(AVERAGE('20250815_ETF_Options_Exhibits'!H999:H1003)),AVERAGE('20250815_ETF_Options_Exhibits'!H999:H1003),"")</f>
        <v/>
      </c>
      <c r="I1003" s="3">
        <f>IF(ISNUMBER(AVERAGE('20250815_ETF_Options_Exhibits'!I999:I1003)),AVERAGE('20250815_ETF_Options_Exhibits'!I999:I1003),"")</f>
        <v/>
      </c>
      <c r="J1003" s="3">
        <f>IF(ISNUMBER(AVERAGE('20250815_ETF_Options_Exhibits'!J999:J1003)),AVERAGE('20250815_ETF_Options_Exhibits'!J999:J1003),"")</f>
        <v/>
      </c>
      <c r="K1003" s="3">
        <f>IF(ISNUMBER(AVERAGE('20250815_ETF_Options_Exhibits'!K999:K1003)),AVERAGE('20250815_ETF_Options_Exhibits'!K999:K1003),"")</f>
        <v/>
      </c>
      <c r="L1003" s="3">
        <f>IF(ISNUMBER(AVERAGE('20250815_ETF_Options_Exhibits'!L999:L1003)),AVERAGE('20250815_ETF_Options_Exhibits'!L999:L1003),"")</f>
        <v/>
      </c>
      <c r="M1003" s="3">
        <f>IF(ISNUMBER(AVERAGE('20250815_ETF_Options_Exhibits'!M999:M1003)),AVERAGE('20250815_ETF_Options_Exhibits'!M999:M1003),"")</f>
        <v/>
      </c>
      <c r="N1003" s="3">
        <f>IF(ISNUMBER(AVERAGE('20250815_ETF_Options_Exhibits'!N999:N1003)),AVERAGE('20250815_ETF_Options_Exhibits'!N999:N1003),"")</f>
        <v/>
      </c>
      <c r="O1003" s="3">
        <f>IF(ISNUMBER(AVERAGE('20250815_ETF_Options_Exhibits'!O999:O1003)),AVERAGE('20250815_ETF_Options_Exhibits'!O999:O1003),"")</f>
        <v/>
      </c>
      <c r="P1003" s="3">
        <f>IF(ISNUMBER(AVERAGE('20250815_ETF_Options_Exhibits'!P999:P1003)),AVERAGE('20250815_ETF_Options_Exhibits'!P999:P1003),"")</f>
        <v/>
      </c>
      <c r="Q1003" s="3">
        <f>IF(ISNUMBER(AVERAGE('20250815_ETF_Options_Exhibits'!Q999:Q1003)),AVERAGE('20250815_ETF_Options_Exhibits'!Q999:Q1003),"")</f>
        <v/>
      </c>
      <c r="R1003" s="3">
        <f>IF(ISNUMBER(AVERAGE('20250815_ETF_Options_Exhibits'!R999:R1003)),AVERAGE('20250815_ETF_Options_Exhibits'!R999:R1003),"")</f>
        <v/>
      </c>
      <c r="S1003" s="3">
        <f>IF(ISNUMBER(AVERAGE('20250815_ETF_Options_Exhibits'!S999:S1003)),AVERAGE('20250815_ETF_Options_Exhibits'!S999:S1003),"")</f>
        <v/>
      </c>
      <c r="T1003" s="3">
        <f>IF(ISNUMBER(AVERAGE('20250815_ETF_Options_Exhibits'!T999:T1003)),AVERAGE('20250815_ETF_Options_Exhibits'!T999:T1003),"")</f>
        <v/>
      </c>
      <c r="U1003" s="3">
        <f>IF(ISNUMBER(AVERAGE('20250815_ETF_Options_Exhibits'!U999:U1003)),AVERAGE('20250815_ETF_Options_Exhibits'!U999:U1003),"")</f>
        <v/>
      </c>
      <c r="V1003" s="3">
        <f>IF(ISNUMBER(AVERAGE('20250815_ETF_Options_Exhibits'!V999:V1003)),AVERAGE('20250815_ETF_Options_Exhibits'!V999:V1003),"")</f>
        <v/>
      </c>
      <c r="W1003" s="3">
        <f>IF(ISNUMBER(AVERAGE('20250815_ETF_Options_Exhibits'!W999:W1003)),AVERAGE('20250815_ETF_Options_Exhibits'!W999:W1003),"")</f>
        <v/>
      </c>
      <c r="X1003" s="3">
        <f>IF(ISNUMBER(AVERAGE('20250815_ETF_Options_Exhibits'!X999:X1003)),AVERAGE('20250815_ETF_Options_Exhibits'!X999:X1003),"")</f>
        <v/>
      </c>
      <c r="Y1003" s="3">
        <f>IF(ISNUMBER(AVERAGE('20250815_ETF_Options_Exhibits'!Y999:Y1003)),AVERAGE('20250815_ETF_Options_Exhibits'!Y999:Y1003),"")</f>
        <v/>
      </c>
      <c r="Z1003" s="3">
        <f>IF(ISNUMBER(AVERAGE('20250815_ETF_Options_Exhibits'!Z999:Z1003)),AVERAGE('20250815_ETF_Options_Exhibits'!Z999:Z1003),"")</f>
        <v/>
      </c>
      <c r="AA1003" s="3">
        <f>IF(ISNUMBER(AVERAGE('20250815_ETF_Options_Exhibits'!AA999:AA1003)),AVERAGE('20250815_ETF_Options_Exhibits'!AA999:AA1003),"")</f>
        <v/>
      </c>
    </row>
    <row r="1004">
      <c r="A1004" s="1" t="n">
        <v>43458</v>
      </c>
      <c r="B1004" s="3">
        <f>IF(ISNUMBER(AVERAGE('20250815_ETF_Options_Exhibits'!B1000:B1004)),AVERAGE('20250815_ETF_Options_Exhibits'!B1000:B1004),"")</f>
        <v/>
      </c>
      <c r="C1004" s="3">
        <f>IF(ISNUMBER(AVERAGE('20250815_ETF_Options_Exhibits'!C1000:C1004)),AVERAGE('20250815_ETF_Options_Exhibits'!C1000:C1004),"")</f>
        <v/>
      </c>
      <c r="D1004" s="3">
        <f>IF(ISNUMBER(AVERAGE('20250815_ETF_Options_Exhibits'!D1000:D1004)),AVERAGE('20250815_ETF_Options_Exhibits'!D1000:D1004),"")</f>
        <v/>
      </c>
      <c r="E1004" s="3">
        <f>IF(ISNUMBER(AVERAGE('20250815_ETF_Options_Exhibits'!E1000:E1004)),AVERAGE('20250815_ETF_Options_Exhibits'!E1000:E1004),"")</f>
        <v/>
      </c>
      <c r="F1004" s="3">
        <f>IF(ISNUMBER(AVERAGE('20250815_ETF_Options_Exhibits'!F1000:F1004)),AVERAGE('20250815_ETF_Options_Exhibits'!F1000:F1004),"")</f>
        <v/>
      </c>
      <c r="G1004" s="3">
        <f>IF(ISNUMBER(AVERAGE('20250815_ETF_Options_Exhibits'!G1000:G1004)),AVERAGE('20250815_ETF_Options_Exhibits'!G1000:G1004),"")</f>
        <v/>
      </c>
      <c r="H1004" s="3">
        <f>IF(ISNUMBER(AVERAGE('20250815_ETF_Options_Exhibits'!H1000:H1004)),AVERAGE('20250815_ETF_Options_Exhibits'!H1000:H1004),"")</f>
        <v/>
      </c>
      <c r="I1004" s="3">
        <f>IF(ISNUMBER(AVERAGE('20250815_ETF_Options_Exhibits'!I1000:I1004)),AVERAGE('20250815_ETF_Options_Exhibits'!I1000:I1004),"")</f>
        <v/>
      </c>
      <c r="J1004" s="3">
        <f>IF(ISNUMBER(AVERAGE('20250815_ETF_Options_Exhibits'!J1000:J1004)),AVERAGE('20250815_ETF_Options_Exhibits'!J1000:J1004),"")</f>
        <v/>
      </c>
      <c r="K1004" s="3">
        <f>IF(ISNUMBER(AVERAGE('20250815_ETF_Options_Exhibits'!K1000:K1004)),AVERAGE('20250815_ETF_Options_Exhibits'!K1000:K1004),"")</f>
        <v/>
      </c>
      <c r="L1004" s="3">
        <f>IF(ISNUMBER(AVERAGE('20250815_ETF_Options_Exhibits'!L1000:L1004)),AVERAGE('20250815_ETF_Options_Exhibits'!L1000:L1004),"")</f>
        <v/>
      </c>
      <c r="M1004" s="3">
        <f>IF(ISNUMBER(AVERAGE('20250815_ETF_Options_Exhibits'!M1000:M1004)),AVERAGE('20250815_ETF_Options_Exhibits'!M1000:M1004),"")</f>
        <v/>
      </c>
      <c r="N1004" s="3">
        <f>IF(ISNUMBER(AVERAGE('20250815_ETF_Options_Exhibits'!N1000:N1004)),AVERAGE('20250815_ETF_Options_Exhibits'!N1000:N1004),"")</f>
        <v/>
      </c>
      <c r="O1004" s="3">
        <f>IF(ISNUMBER(AVERAGE('20250815_ETF_Options_Exhibits'!O1000:O1004)),AVERAGE('20250815_ETF_Options_Exhibits'!O1000:O1004),"")</f>
        <v/>
      </c>
      <c r="P1004" s="3">
        <f>IF(ISNUMBER(AVERAGE('20250815_ETF_Options_Exhibits'!P1000:P1004)),AVERAGE('20250815_ETF_Options_Exhibits'!P1000:P1004),"")</f>
        <v/>
      </c>
      <c r="Q1004" s="3">
        <f>IF(ISNUMBER(AVERAGE('20250815_ETF_Options_Exhibits'!Q1000:Q1004)),AVERAGE('20250815_ETF_Options_Exhibits'!Q1000:Q1004),"")</f>
        <v/>
      </c>
      <c r="R1004" s="3">
        <f>IF(ISNUMBER(AVERAGE('20250815_ETF_Options_Exhibits'!R1000:R1004)),AVERAGE('20250815_ETF_Options_Exhibits'!R1000:R1004),"")</f>
        <v/>
      </c>
      <c r="S1004" s="3">
        <f>IF(ISNUMBER(AVERAGE('20250815_ETF_Options_Exhibits'!S1000:S1004)),AVERAGE('20250815_ETF_Options_Exhibits'!S1000:S1004),"")</f>
        <v/>
      </c>
      <c r="T1004" s="3">
        <f>IF(ISNUMBER(AVERAGE('20250815_ETF_Options_Exhibits'!T1000:T1004)),AVERAGE('20250815_ETF_Options_Exhibits'!T1000:T1004),"")</f>
        <v/>
      </c>
      <c r="U1004" s="3">
        <f>IF(ISNUMBER(AVERAGE('20250815_ETF_Options_Exhibits'!U1000:U1004)),AVERAGE('20250815_ETF_Options_Exhibits'!U1000:U1004),"")</f>
        <v/>
      </c>
      <c r="V1004" s="3">
        <f>IF(ISNUMBER(AVERAGE('20250815_ETF_Options_Exhibits'!V1000:V1004)),AVERAGE('20250815_ETF_Options_Exhibits'!V1000:V1004),"")</f>
        <v/>
      </c>
      <c r="W1004" s="3">
        <f>IF(ISNUMBER(AVERAGE('20250815_ETF_Options_Exhibits'!W1000:W1004)),AVERAGE('20250815_ETF_Options_Exhibits'!W1000:W1004),"")</f>
        <v/>
      </c>
      <c r="X1004" s="3">
        <f>IF(ISNUMBER(AVERAGE('20250815_ETF_Options_Exhibits'!X1000:X1004)),AVERAGE('20250815_ETF_Options_Exhibits'!X1000:X1004),"")</f>
        <v/>
      </c>
      <c r="Y1004" s="3">
        <f>IF(ISNUMBER(AVERAGE('20250815_ETF_Options_Exhibits'!Y1000:Y1004)),AVERAGE('20250815_ETF_Options_Exhibits'!Y1000:Y1004),"")</f>
        <v/>
      </c>
      <c r="Z1004" s="3">
        <f>IF(ISNUMBER(AVERAGE('20250815_ETF_Options_Exhibits'!Z1000:Z1004)),AVERAGE('20250815_ETF_Options_Exhibits'!Z1000:Z1004),"")</f>
        <v/>
      </c>
      <c r="AA1004" s="3">
        <f>IF(ISNUMBER(AVERAGE('20250815_ETF_Options_Exhibits'!AA1000:AA1004)),AVERAGE('20250815_ETF_Options_Exhibits'!AA1000:AA1004),"")</f>
        <v/>
      </c>
    </row>
    <row r="1005">
      <c r="A1005" s="1" t="n">
        <v>43460</v>
      </c>
      <c r="B1005" s="3">
        <f>IF(ISNUMBER(AVERAGE('20250815_ETF_Options_Exhibits'!B1001:B1005)),AVERAGE('20250815_ETF_Options_Exhibits'!B1001:B1005),"")</f>
        <v/>
      </c>
      <c r="C1005" s="3">
        <f>IF(ISNUMBER(AVERAGE('20250815_ETF_Options_Exhibits'!C1001:C1005)),AVERAGE('20250815_ETF_Options_Exhibits'!C1001:C1005),"")</f>
        <v/>
      </c>
      <c r="D1005" s="3">
        <f>IF(ISNUMBER(AVERAGE('20250815_ETF_Options_Exhibits'!D1001:D1005)),AVERAGE('20250815_ETF_Options_Exhibits'!D1001:D1005),"")</f>
        <v/>
      </c>
      <c r="E1005" s="3">
        <f>IF(ISNUMBER(AVERAGE('20250815_ETF_Options_Exhibits'!E1001:E1005)),AVERAGE('20250815_ETF_Options_Exhibits'!E1001:E1005),"")</f>
        <v/>
      </c>
      <c r="F1005" s="3">
        <f>IF(ISNUMBER(AVERAGE('20250815_ETF_Options_Exhibits'!F1001:F1005)),AVERAGE('20250815_ETF_Options_Exhibits'!F1001:F1005),"")</f>
        <v/>
      </c>
      <c r="G1005" s="3">
        <f>IF(ISNUMBER(AVERAGE('20250815_ETF_Options_Exhibits'!G1001:G1005)),AVERAGE('20250815_ETF_Options_Exhibits'!G1001:G1005),"")</f>
        <v/>
      </c>
      <c r="H1005" s="3">
        <f>IF(ISNUMBER(AVERAGE('20250815_ETF_Options_Exhibits'!H1001:H1005)),AVERAGE('20250815_ETF_Options_Exhibits'!H1001:H1005),"")</f>
        <v/>
      </c>
      <c r="I1005" s="3">
        <f>IF(ISNUMBER(AVERAGE('20250815_ETF_Options_Exhibits'!I1001:I1005)),AVERAGE('20250815_ETF_Options_Exhibits'!I1001:I1005),"")</f>
        <v/>
      </c>
      <c r="J1005" s="3">
        <f>IF(ISNUMBER(AVERAGE('20250815_ETF_Options_Exhibits'!J1001:J1005)),AVERAGE('20250815_ETF_Options_Exhibits'!J1001:J1005),"")</f>
        <v/>
      </c>
      <c r="K1005" s="3">
        <f>IF(ISNUMBER(AVERAGE('20250815_ETF_Options_Exhibits'!K1001:K1005)),AVERAGE('20250815_ETF_Options_Exhibits'!K1001:K1005),"")</f>
        <v/>
      </c>
      <c r="L1005" s="3">
        <f>IF(ISNUMBER(AVERAGE('20250815_ETF_Options_Exhibits'!L1001:L1005)),AVERAGE('20250815_ETF_Options_Exhibits'!L1001:L1005),"")</f>
        <v/>
      </c>
      <c r="M1005" s="3">
        <f>IF(ISNUMBER(AVERAGE('20250815_ETF_Options_Exhibits'!M1001:M1005)),AVERAGE('20250815_ETF_Options_Exhibits'!M1001:M1005),"")</f>
        <v/>
      </c>
      <c r="N1005" s="3">
        <f>IF(ISNUMBER(AVERAGE('20250815_ETF_Options_Exhibits'!N1001:N1005)),AVERAGE('20250815_ETF_Options_Exhibits'!N1001:N1005),"")</f>
        <v/>
      </c>
      <c r="O1005" s="3">
        <f>IF(ISNUMBER(AVERAGE('20250815_ETF_Options_Exhibits'!O1001:O1005)),AVERAGE('20250815_ETF_Options_Exhibits'!O1001:O1005),"")</f>
        <v/>
      </c>
      <c r="P1005" s="3">
        <f>IF(ISNUMBER(AVERAGE('20250815_ETF_Options_Exhibits'!P1001:P1005)),AVERAGE('20250815_ETF_Options_Exhibits'!P1001:P1005),"")</f>
        <v/>
      </c>
      <c r="Q1005" s="3">
        <f>IF(ISNUMBER(AVERAGE('20250815_ETF_Options_Exhibits'!Q1001:Q1005)),AVERAGE('20250815_ETF_Options_Exhibits'!Q1001:Q1005),"")</f>
        <v/>
      </c>
      <c r="R1005" s="3">
        <f>IF(ISNUMBER(AVERAGE('20250815_ETF_Options_Exhibits'!R1001:R1005)),AVERAGE('20250815_ETF_Options_Exhibits'!R1001:R1005),"")</f>
        <v/>
      </c>
      <c r="S1005" s="3">
        <f>IF(ISNUMBER(AVERAGE('20250815_ETF_Options_Exhibits'!S1001:S1005)),AVERAGE('20250815_ETF_Options_Exhibits'!S1001:S1005),"")</f>
        <v/>
      </c>
      <c r="T1005" s="3">
        <f>IF(ISNUMBER(AVERAGE('20250815_ETF_Options_Exhibits'!T1001:T1005)),AVERAGE('20250815_ETF_Options_Exhibits'!T1001:T1005),"")</f>
        <v/>
      </c>
      <c r="U1005" s="3">
        <f>IF(ISNUMBER(AVERAGE('20250815_ETF_Options_Exhibits'!U1001:U1005)),AVERAGE('20250815_ETF_Options_Exhibits'!U1001:U1005),"")</f>
        <v/>
      </c>
      <c r="V1005" s="3">
        <f>IF(ISNUMBER(AVERAGE('20250815_ETF_Options_Exhibits'!V1001:V1005)),AVERAGE('20250815_ETF_Options_Exhibits'!V1001:V1005),"")</f>
        <v/>
      </c>
      <c r="W1005" s="3">
        <f>IF(ISNUMBER(AVERAGE('20250815_ETF_Options_Exhibits'!W1001:W1005)),AVERAGE('20250815_ETF_Options_Exhibits'!W1001:W1005),"")</f>
        <v/>
      </c>
      <c r="X1005" s="3">
        <f>IF(ISNUMBER(AVERAGE('20250815_ETF_Options_Exhibits'!X1001:X1005)),AVERAGE('20250815_ETF_Options_Exhibits'!X1001:X1005),"")</f>
        <v/>
      </c>
      <c r="Y1005" s="3">
        <f>IF(ISNUMBER(AVERAGE('20250815_ETF_Options_Exhibits'!Y1001:Y1005)),AVERAGE('20250815_ETF_Options_Exhibits'!Y1001:Y1005),"")</f>
        <v/>
      </c>
      <c r="Z1005" s="3">
        <f>IF(ISNUMBER(AVERAGE('20250815_ETF_Options_Exhibits'!Z1001:Z1005)),AVERAGE('20250815_ETF_Options_Exhibits'!Z1001:Z1005),"")</f>
        <v/>
      </c>
      <c r="AA1005" s="3">
        <f>IF(ISNUMBER(AVERAGE('20250815_ETF_Options_Exhibits'!AA1001:AA1005)),AVERAGE('20250815_ETF_Options_Exhibits'!AA1001:AA1005),"")</f>
        <v/>
      </c>
    </row>
    <row r="1006">
      <c r="A1006" s="1" t="n">
        <v>43461</v>
      </c>
      <c r="B1006" s="3">
        <f>IF(ISNUMBER(AVERAGE('20250815_ETF_Options_Exhibits'!B1002:B1006)),AVERAGE('20250815_ETF_Options_Exhibits'!B1002:B1006),"")</f>
        <v/>
      </c>
      <c r="C1006" s="3">
        <f>IF(ISNUMBER(AVERAGE('20250815_ETF_Options_Exhibits'!C1002:C1006)),AVERAGE('20250815_ETF_Options_Exhibits'!C1002:C1006),"")</f>
        <v/>
      </c>
      <c r="D1006" s="3">
        <f>IF(ISNUMBER(AVERAGE('20250815_ETF_Options_Exhibits'!D1002:D1006)),AVERAGE('20250815_ETF_Options_Exhibits'!D1002:D1006),"")</f>
        <v/>
      </c>
      <c r="E1006" s="3">
        <f>IF(ISNUMBER(AVERAGE('20250815_ETF_Options_Exhibits'!E1002:E1006)),AVERAGE('20250815_ETF_Options_Exhibits'!E1002:E1006),"")</f>
        <v/>
      </c>
      <c r="F1006" s="3">
        <f>IF(ISNUMBER(AVERAGE('20250815_ETF_Options_Exhibits'!F1002:F1006)),AVERAGE('20250815_ETF_Options_Exhibits'!F1002:F1006),"")</f>
        <v/>
      </c>
      <c r="G1006" s="3">
        <f>IF(ISNUMBER(AVERAGE('20250815_ETF_Options_Exhibits'!G1002:G1006)),AVERAGE('20250815_ETF_Options_Exhibits'!G1002:G1006),"")</f>
        <v/>
      </c>
      <c r="H1006" s="3">
        <f>IF(ISNUMBER(AVERAGE('20250815_ETF_Options_Exhibits'!H1002:H1006)),AVERAGE('20250815_ETF_Options_Exhibits'!H1002:H1006),"")</f>
        <v/>
      </c>
      <c r="I1006" s="3">
        <f>IF(ISNUMBER(AVERAGE('20250815_ETF_Options_Exhibits'!I1002:I1006)),AVERAGE('20250815_ETF_Options_Exhibits'!I1002:I1006),"")</f>
        <v/>
      </c>
      <c r="J1006" s="3">
        <f>IF(ISNUMBER(AVERAGE('20250815_ETF_Options_Exhibits'!J1002:J1006)),AVERAGE('20250815_ETF_Options_Exhibits'!J1002:J1006),"")</f>
        <v/>
      </c>
      <c r="K1006" s="3">
        <f>IF(ISNUMBER(AVERAGE('20250815_ETF_Options_Exhibits'!K1002:K1006)),AVERAGE('20250815_ETF_Options_Exhibits'!K1002:K1006),"")</f>
        <v/>
      </c>
      <c r="L1006" s="3">
        <f>IF(ISNUMBER(AVERAGE('20250815_ETF_Options_Exhibits'!L1002:L1006)),AVERAGE('20250815_ETF_Options_Exhibits'!L1002:L1006),"")</f>
        <v/>
      </c>
      <c r="M1006" s="3">
        <f>IF(ISNUMBER(AVERAGE('20250815_ETF_Options_Exhibits'!M1002:M1006)),AVERAGE('20250815_ETF_Options_Exhibits'!M1002:M1006),"")</f>
        <v/>
      </c>
      <c r="N1006" s="3">
        <f>IF(ISNUMBER(AVERAGE('20250815_ETF_Options_Exhibits'!N1002:N1006)),AVERAGE('20250815_ETF_Options_Exhibits'!N1002:N1006),"")</f>
        <v/>
      </c>
      <c r="O1006" s="3">
        <f>IF(ISNUMBER(AVERAGE('20250815_ETF_Options_Exhibits'!O1002:O1006)),AVERAGE('20250815_ETF_Options_Exhibits'!O1002:O1006),"")</f>
        <v/>
      </c>
      <c r="P1006" s="3">
        <f>IF(ISNUMBER(AVERAGE('20250815_ETF_Options_Exhibits'!P1002:P1006)),AVERAGE('20250815_ETF_Options_Exhibits'!P1002:P1006),"")</f>
        <v/>
      </c>
      <c r="Q1006" s="3">
        <f>IF(ISNUMBER(AVERAGE('20250815_ETF_Options_Exhibits'!Q1002:Q1006)),AVERAGE('20250815_ETF_Options_Exhibits'!Q1002:Q1006),"")</f>
        <v/>
      </c>
      <c r="R1006" s="3">
        <f>IF(ISNUMBER(AVERAGE('20250815_ETF_Options_Exhibits'!R1002:R1006)),AVERAGE('20250815_ETF_Options_Exhibits'!R1002:R1006),"")</f>
        <v/>
      </c>
      <c r="S1006" s="3">
        <f>IF(ISNUMBER(AVERAGE('20250815_ETF_Options_Exhibits'!S1002:S1006)),AVERAGE('20250815_ETF_Options_Exhibits'!S1002:S1006),"")</f>
        <v/>
      </c>
      <c r="T1006" s="3">
        <f>IF(ISNUMBER(AVERAGE('20250815_ETF_Options_Exhibits'!T1002:T1006)),AVERAGE('20250815_ETF_Options_Exhibits'!T1002:T1006),"")</f>
        <v/>
      </c>
      <c r="U1006" s="3">
        <f>IF(ISNUMBER(AVERAGE('20250815_ETF_Options_Exhibits'!U1002:U1006)),AVERAGE('20250815_ETF_Options_Exhibits'!U1002:U1006),"")</f>
        <v/>
      </c>
      <c r="V1006" s="3">
        <f>IF(ISNUMBER(AVERAGE('20250815_ETF_Options_Exhibits'!V1002:V1006)),AVERAGE('20250815_ETF_Options_Exhibits'!V1002:V1006),"")</f>
        <v/>
      </c>
      <c r="W1006" s="3">
        <f>IF(ISNUMBER(AVERAGE('20250815_ETF_Options_Exhibits'!W1002:W1006)),AVERAGE('20250815_ETF_Options_Exhibits'!W1002:W1006),"")</f>
        <v/>
      </c>
      <c r="X1006" s="3">
        <f>IF(ISNUMBER(AVERAGE('20250815_ETF_Options_Exhibits'!X1002:X1006)),AVERAGE('20250815_ETF_Options_Exhibits'!X1002:X1006),"")</f>
        <v/>
      </c>
      <c r="Y1006" s="3">
        <f>IF(ISNUMBER(AVERAGE('20250815_ETF_Options_Exhibits'!Y1002:Y1006)),AVERAGE('20250815_ETF_Options_Exhibits'!Y1002:Y1006),"")</f>
        <v/>
      </c>
      <c r="Z1006" s="3">
        <f>IF(ISNUMBER(AVERAGE('20250815_ETF_Options_Exhibits'!Z1002:Z1006)),AVERAGE('20250815_ETF_Options_Exhibits'!Z1002:Z1006),"")</f>
        <v/>
      </c>
      <c r="AA1006" s="3">
        <f>IF(ISNUMBER(AVERAGE('20250815_ETF_Options_Exhibits'!AA1002:AA1006)),AVERAGE('20250815_ETF_Options_Exhibits'!AA1002:AA1006),"")</f>
        <v/>
      </c>
    </row>
    <row r="1007">
      <c r="A1007" s="1" t="n">
        <v>43462</v>
      </c>
      <c r="B1007" s="3">
        <f>IF(ISNUMBER(AVERAGE('20250815_ETF_Options_Exhibits'!B1003:B1007)),AVERAGE('20250815_ETF_Options_Exhibits'!B1003:B1007),"")</f>
        <v/>
      </c>
      <c r="C1007" s="3">
        <f>IF(ISNUMBER(AVERAGE('20250815_ETF_Options_Exhibits'!C1003:C1007)),AVERAGE('20250815_ETF_Options_Exhibits'!C1003:C1007),"")</f>
        <v/>
      </c>
      <c r="D1007" s="3">
        <f>IF(ISNUMBER(AVERAGE('20250815_ETF_Options_Exhibits'!D1003:D1007)),AVERAGE('20250815_ETF_Options_Exhibits'!D1003:D1007),"")</f>
        <v/>
      </c>
      <c r="E1007" s="3">
        <f>IF(ISNUMBER(AVERAGE('20250815_ETF_Options_Exhibits'!E1003:E1007)),AVERAGE('20250815_ETF_Options_Exhibits'!E1003:E1007),"")</f>
        <v/>
      </c>
      <c r="F1007" s="3">
        <f>IF(ISNUMBER(AVERAGE('20250815_ETF_Options_Exhibits'!F1003:F1007)),AVERAGE('20250815_ETF_Options_Exhibits'!F1003:F1007),"")</f>
        <v/>
      </c>
      <c r="G1007" s="3">
        <f>IF(ISNUMBER(AVERAGE('20250815_ETF_Options_Exhibits'!G1003:G1007)),AVERAGE('20250815_ETF_Options_Exhibits'!G1003:G1007),"")</f>
        <v/>
      </c>
      <c r="H1007" s="3">
        <f>IF(ISNUMBER(AVERAGE('20250815_ETF_Options_Exhibits'!H1003:H1007)),AVERAGE('20250815_ETF_Options_Exhibits'!H1003:H1007),"")</f>
        <v/>
      </c>
      <c r="I1007" s="3">
        <f>IF(ISNUMBER(AVERAGE('20250815_ETF_Options_Exhibits'!I1003:I1007)),AVERAGE('20250815_ETF_Options_Exhibits'!I1003:I1007),"")</f>
        <v/>
      </c>
      <c r="J1007" s="3">
        <f>IF(ISNUMBER(AVERAGE('20250815_ETF_Options_Exhibits'!J1003:J1007)),AVERAGE('20250815_ETF_Options_Exhibits'!J1003:J1007),"")</f>
        <v/>
      </c>
      <c r="K1007" s="3">
        <f>IF(ISNUMBER(AVERAGE('20250815_ETF_Options_Exhibits'!K1003:K1007)),AVERAGE('20250815_ETF_Options_Exhibits'!K1003:K1007),"")</f>
        <v/>
      </c>
      <c r="L1007" s="3">
        <f>IF(ISNUMBER(AVERAGE('20250815_ETF_Options_Exhibits'!L1003:L1007)),AVERAGE('20250815_ETF_Options_Exhibits'!L1003:L1007),"")</f>
        <v/>
      </c>
      <c r="M1007" s="3">
        <f>IF(ISNUMBER(AVERAGE('20250815_ETF_Options_Exhibits'!M1003:M1007)),AVERAGE('20250815_ETF_Options_Exhibits'!M1003:M1007),"")</f>
        <v/>
      </c>
      <c r="N1007" s="3">
        <f>IF(ISNUMBER(AVERAGE('20250815_ETF_Options_Exhibits'!N1003:N1007)),AVERAGE('20250815_ETF_Options_Exhibits'!N1003:N1007),"")</f>
        <v/>
      </c>
      <c r="O1007" s="3">
        <f>IF(ISNUMBER(AVERAGE('20250815_ETF_Options_Exhibits'!O1003:O1007)),AVERAGE('20250815_ETF_Options_Exhibits'!O1003:O1007),"")</f>
        <v/>
      </c>
      <c r="P1007" s="3">
        <f>IF(ISNUMBER(AVERAGE('20250815_ETF_Options_Exhibits'!P1003:P1007)),AVERAGE('20250815_ETF_Options_Exhibits'!P1003:P1007),"")</f>
        <v/>
      </c>
      <c r="Q1007" s="3">
        <f>IF(ISNUMBER(AVERAGE('20250815_ETF_Options_Exhibits'!Q1003:Q1007)),AVERAGE('20250815_ETF_Options_Exhibits'!Q1003:Q1007),"")</f>
        <v/>
      </c>
      <c r="R1007" s="3">
        <f>IF(ISNUMBER(AVERAGE('20250815_ETF_Options_Exhibits'!R1003:R1007)),AVERAGE('20250815_ETF_Options_Exhibits'!R1003:R1007),"")</f>
        <v/>
      </c>
      <c r="S1007" s="3">
        <f>IF(ISNUMBER(AVERAGE('20250815_ETF_Options_Exhibits'!S1003:S1007)),AVERAGE('20250815_ETF_Options_Exhibits'!S1003:S1007),"")</f>
        <v/>
      </c>
      <c r="T1007" s="3">
        <f>IF(ISNUMBER(AVERAGE('20250815_ETF_Options_Exhibits'!T1003:T1007)),AVERAGE('20250815_ETF_Options_Exhibits'!T1003:T1007),"")</f>
        <v/>
      </c>
      <c r="U1007" s="3">
        <f>IF(ISNUMBER(AVERAGE('20250815_ETF_Options_Exhibits'!U1003:U1007)),AVERAGE('20250815_ETF_Options_Exhibits'!U1003:U1007),"")</f>
        <v/>
      </c>
      <c r="V1007" s="3">
        <f>IF(ISNUMBER(AVERAGE('20250815_ETF_Options_Exhibits'!V1003:V1007)),AVERAGE('20250815_ETF_Options_Exhibits'!V1003:V1007),"")</f>
        <v/>
      </c>
      <c r="W1007" s="3">
        <f>IF(ISNUMBER(AVERAGE('20250815_ETF_Options_Exhibits'!W1003:W1007)),AVERAGE('20250815_ETF_Options_Exhibits'!W1003:W1007),"")</f>
        <v/>
      </c>
      <c r="X1007" s="3">
        <f>IF(ISNUMBER(AVERAGE('20250815_ETF_Options_Exhibits'!X1003:X1007)),AVERAGE('20250815_ETF_Options_Exhibits'!X1003:X1007),"")</f>
        <v/>
      </c>
      <c r="Y1007" s="3">
        <f>IF(ISNUMBER(AVERAGE('20250815_ETF_Options_Exhibits'!Y1003:Y1007)),AVERAGE('20250815_ETF_Options_Exhibits'!Y1003:Y1007),"")</f>
        <v/>
      </c>
      <c r="Z1007" s="3">
        <f>IF(ISNUMBER(AVERAGE('20250815_ETF_Options_Exhibits'!Z1003:Z1007)),AVERAGE('20250815_ETF_Options_Exhibits'!Z1003:Z1007),"")</f>
        <v/>
      </c>
      <c r="AA1007" s="3">
        <f>IF(ISNUMBER(AVERAGE('20250815_ETF_Options_Exhibits'!AA1003:AA1007)),AVERAGE('20250815_ETF_Options_Exhibits'!AA1003:AA1007),"")</f>
        <v/>
      </c>
    </row>
    <row r="1008">
      <c r="A1008" s="1" t="n">
        <v>43465</v>
      </c>
      <c r="B1008" s="3">
        <f>IF(ISNUMBER(AVERAGE('20250815_ETF_Options_Exhibits'!B1004:B1008)),AVERAGE('20250815_ETF_Options_Exhibits'!B1004:B1008),"")</f>
        <v/>
      </c>
      <c r="C1008" s="3">
        <f>IF(ISNUMBER(AVERAGE('20250815_ETF_Options_Exhibits'!C1004:C1008)),AVERAGE('20250815_ETF_Options_Exhibits'!C1004:C1008),"")</f>
        <v/>
      </c>
      <c r="D1008" s="3">
        <f>IF(ISNUMBER(AVERAGE('20250815_ETF_Options_Exhibits'!D1004:D1008)),AVERAGE('20250815_ETF_Options_Exhibits'!D1004:D1008),"")</f>
        <v/>
      </c>
      <c r="E1008" s="3">
        <f>IF(ISNUMBER(AVERAGE('20250815_ETF_Options_Exhibits'!E1004:E1008)),AVERAGE('20250815_ETF_Options_Exhibits'!E1004:E1008),"")</f>
        <v/>
      </c>
      <c r="F1008" s="3">
        <f>IF(ISNUMBER(AVERAGE('20250815_ETF_Options_Exhibits'!F1004:F1008)),AVERAGE('20250815_ETF_Options_Exhibits'!F1004:F1008),"")</f>
        <v/>
      </c>
      <c r="G1008" s="3">
        <f>IF(ISNUMBER(AVERAGE('20250815_ETF_Options_Exhibits'!G1004:G1008)),AVERAGE('20250815_ETF_Options_Exhibits'!G1004:G1008),"")</f>
        <v/>
      </c>
      <c r="H1008" s="3">
        <f>IF(ISNUMBER(AVERAGE('20250815_ETF_Options_Exhibits'!H1004:H1008)),AVERAGE('20250815_ETF_Options_Exhibits'!H1004:H1008),"")</f>
        <v/>
      </c>
      <c r="I1008" s="3">
        <f>IF(ISNUMBER(AVERAGE('20250815_ETF_Options_Exhibits'!I1004:I1008)),AVERAGE('20250815_ETF_Options_Exhibits'!I1004:I1008),"")</f>
        <v/>
      </c>
      <c r="J1008" s="3">
        <f>IF(ISNUMBER(AVERAGE('20250815_ETF_Options_Exhibits'!J1004:J1008)),AVERAGE('20250815_ETF_Options_Exhibits'!J1004:J1008),"")</f>
        <v/>
      </c>
      <c r="K1008" s="3">
        <f>IF(ISNUMBER(AVERAGE('20250815_ETF_Options_Exhibits'!K1004:K1008)),AVERAGE('20250815_ETF_Options_Exhibits'!K1004:K1008),"")</f>
        <v/>
      </c>
      <c r="L1008" s="3">
        <f>IF(ISNUMBER(AVERAGE('20250815_ETF_Options_Exhibits'!L1004:L1008)),AVERAGE('20250815_ETF_Options_Exhibits'!L1004:L1008),"")</f>
        <v/>
      </c>
      <c r="M1008" s="3">
        <f>IF(ISNUMBER(AVERAGE('20250815_ETF_Options_Exhibits'!M1004:M1008)),AVERAGE('20250815_ETF_Options_Exhibits'!M1004:M1008),"")</f>
        <v/>
      </c>
      <c r="N1008" s="3">
        <f>IF(ISNUMBER(AVERAGE('20250815_ETF_Options_Exhibits'!N1004:N1008)),AVERAGE('20250815_ETF_Options_Exhibits'!N1004:N1008),"")</f>
        <v/>
      </c>
      <c r="O1008" s="3">
        <f>IF(ISNUMBER(AVERAGE('20250815_ETF_Options_Exhibits'!O1004:O1008)),AVERAGE('20250815_ETF_Options_Exhibits'!O1004:O1008),"")</f>
        <v/>
      </c>
      <c r="P1008" s="3">
        <f>IF(ISNUMBER(AVERAGE('20250815_ETF_Options_Exhibits'!P1004:P1008)),AVERAGE('20250815_ETF_Options_Exhibits'!P1004:P1008),"")</f>
        <v/>
      </c>
      <c r="Q1008" s="3">
        <f>IF(ISNUMBER(AVERAGE('20250815_ETF_Options_Exhibits'!Q1004:Q1008)),AVERAGE('20250815_ETF_Options_Exhibits'!Q1004:Q1008),"")</f>
        <v/>
      </c>
      <c r="R1008" s="3">
        <f>IF(ISNUMBER(AVERAGE('20250815_ETF_Options_Exhibits'!R1004:R1008)),AVERAGE('20250815_ETF_Options_Exhibits'!R1004:R1008),"")</f>
        <v/>
      </c>
      <c r="S1008" s="3">
        <f>IF(ISNUMBER(AVERAGE('20250815_ETF_Options_Exhibits'!S1004:S1008)),AVERAGE('20250815_ETF_Options_Exhibits'!S1004:S1008),"")</f>
        <v/>
      </c>
      <c r="T1008" s="3">
        <f>IF(ISNUMBER(AVERAGE('20250815_ETF_Options_Exhibits'!T1004:T1008)),AVERAGE('20250815_ETF_Options_Exhibits'!T1004:T1008),"")</f>
        <v/>
      </c>
      <c r="U1008" s="3">
        <f>IF(ISNUMBER(AVERAGE('20250815_ETF_Options_Exhibits'!U1004:U1008)),AVERAGE('20250815_ETF_Options_Exhibits'!U1004:U1008),"")</f>
        <v/>
      </c>
      <c r="V1008" s="3">
        <f>IF(ISNUMBER(AVERAGE('20250815_ETF_Options_Exhibits'!V1004:V1008)),AVERAGE('20250815_ETF_Options_Exhibits'!V1004:V1008),"")</f>
        <v/>
      </c>
      <c r="W1008" s="3">
        <f>IF(ISNUMBER(AVERAGE('20250815_ETF_Options_Exhibits'!W1004:W1008)),AVERAGE('20250815_ETF_Options_Exhibits'!W1004:W1008),"")</f>
        <v/>
      </c>
      <c r="X1008" s="3">
        <f>IF(ISNUMBER(AVERAGE('20250815_ETF_Options_Exhibits'!X1004:X1008)),AVERAGE('20250815_ETF_Options_Exhibits'!X1004:X1008),"")</f>
        <v/>
      </c>
      <c r="Y1008" s="3">
        <f>IF(ISNUMBER(AVERAGE('20250815_ETF_Options_Exhibits'!Y1004:Y1008)),AVERAGE('20250815_ETF_Options_Exhibits'!Y1004:Y1008),"")</f>
        <v/>
      </c>
      <c r="Z1008" s="3">
        <f>IF(ISNUMBER(AVERAGE('20250815_ETF_Options_Exhibits'!Z1004:Z1008)),AVERAGE('20250815_ETF_Options_Exhibits'!Z1004:Z1008),"")</f>
        <v/>
      </c>
      <c r="AA1008" s="3">
        <f>IF(ISNUMBER(AVERAGE('20250815_ETF_Options_Exhibits'!AA1004:AA1008)),AVERAGE('20250815_ETF_Options_Exhibits'!AA1004:AA1008),"")</f>
        <v/>
      </c>
    </row>
    <row r="1009">
      <c r="A1009" s="1" t="n">
        <v>43467</v>
      </c>
      <c r="B1009" s="3">
        <f>IF(ISNUMBER(AVERAGE('20250815_ETF_Options_Exhibits'!B1005:B1009)),AVERAGE('20250815_ETF_Options_Exhibits'!B1005:B1009),"")</f>
        <v/>
      </c>
      <c r="C1009" s="3">
        <f>IF(ISNUMBER(AVERAGE('20250815_ETF_Options_Exhibits'!C1005:C1009)),AVERAGE('20250815_ETF_Options_Exhibits'!C1005:C1009),"")</f>
        <v/>
      </c>
      <c r="D1009" s="3">
        <f>IF(ISNUMBER(AVERAGE('20250815_ETF_Options_Exhibits'!D1005:D1009)),AVERAGE('20250815_ETF_Options_Exhibits'!D1005:D1009),"")</f>
        <v/>
      </c>
      <c r="E1009" s="3">
        <f>IF(ISNUMBER(AVERAGE('20250815_ETF_Options_Exhibits'!E1005:E1009)),AVERAGE('20250815_ETF_Options_Exhibits'!E1005:E1009),"")</f>
        <v/>
      </c>
      <c r="F1009" s="3">
        <f>IF(ISNUMBER(AVERAGE('20250815_ETF_Options_Exhibits'!F1005:F1009)),AVERAGE('20250815_ETF_Options_Exhibits'!F1005:F1009),"")</f>
        <v/>
      </c>
      <c r="G1009" s="3">
        <f>IF(ISNUMBER(AVERAGE('20250815_ETF_Options_Exhibits'!G1005:G1009)),AVERAGE('20250815_ETF_Options_Exhibits'!G1005:G1009),"")</f>
        <v/>
      </c>
      <c r="H1009" s="3">
        <f>IF(ISNUMBER(AVERAGE('20250815_ETF_Options_Exhibits'!H1005:H1009)),AVERAGE('20250815_ETF_Options_Exhibits'!H1005:H1009),"")</f>
        <v/>
      </c>
      <c r="I1009" s="3">
        <f>IF(ISNUMBER(AVERAGE('20250815_ETF_Options_Exhibits'!I1005:I1009)),AVERAGE('20250815_ETF_Options_Exhibits'!I1005:I1009),"")</f>
        <v/>
      </c>
      <c r="J1009" s="3">
        <f>IF(ISNUMBER(AVERAGE('20250815_ETF_Options_Exhibits'!J1005:J1009)),AVERAGE('20250815_ETF_Options_Exhibits'!J1005:J1009),"")</f>
        <v/>
      </c>
      <c r="K1009" s="3">
        <f>IF(ISNUMBER(AVERAGE('20250815_ETF_Options_Exhibits'!K1005:K1009)),AVERAGE('20250815_ETF_Options_Exhibits'!K1005:K1009),"")</f>
        <v/>
      </c>
      <c r="L1009" s="3">
        <f>IF(ISNUMBER(AVERAGE('20250815_ETF_Options_Exhibits'!L1005:L1009)),AVERAGE('20250815_ETF_Options_Exhibits'!L1005:L1009),"")</f>
        <v/>
      </c>
      <c r="M1009" s="3">
        <f>IF(ISNUMBER(AVERAGE('20250815_ETF_Options_Exhibits'!M1005:M1009)),AVERAGE('20250815_ETF_Options_Exhibits'!M1005:M1009),"")</f>
        <v/>
      </c>
      <c r="N1009" s="3">
        <f>IF(ISNUMBER(AVERAGE('20250815_ETF_Options_Exhibits'!N1005:N1009)),AVERAGE('20250815_ETF_Options_Exhibits'!N1005:N1009),"")</f>
        <v/>
      </c>
      <c r="O1009" s="3">
        <f>IF(ISNUMBER(AVERAGE('20250815_ETF_Options_Exhibits'!O1005:O1009)),AVERAGE('20250815_ETF_Options_Exhibits'!O1005:O1009),"")</f>
        <v/>
      </c>
      <c r="P1009" s="3">
        <f>IF(ISNUMBER(AVERAGE('20250815_ETF_Options_Exhibits'!P1005:P1009)),AVERAGE('20250815_ETF_Options_Exhibits'!P1005:P1009),"")</f>
        <v/>
      </c>
      <c r="Q1009" s="3">
        <f>IF(ISNUMBER(AVERAGE('20250815_ETF_Options_Exhibits'!Q1005:Q1009)),AVERAGE('20250815_ETF_Options_Exhibits'!Q1005:Q1009),"")</f>
        <v/>
      </c>
      <c r="R1009" s="3">
        <f>IF(ISNUMBER(AVERAGE('20250815_ETF_Options_Exhibits'!R1005:R1009)),AVERAGE('20250815_ETF_Options_Exhibits'!R1005:R1009),"")</f>
        <v/>
      </c>
      <c r="S1009" s="3">
        <f>IF(ISNUMBER(AVERAGE('20250815_ETF_Options_Exhibits'!S1005:S1009)),AVERAGE('20250815_ETF_Options_Exhibits'!S1005:S1009),"")</f>
        <v/>
      </c>
      <c r="T1009" s="3">
        <f>IF(ISNUMBER(AVERAGE('20250815_ETF_Options_Exhibits'!T1005:T1009)),AVERAGE('20250815_ETF_Options_Exhibits'!T1005:T1009),"")</f>
        <v/>
      </c>
      <c r="U1009" s="3">
        <f>IF(ISNUMBER(AVERAGE('20250815_ETF_Options_Exhibits'!U1005:U1009)),AVERAGE('20250815_ETF_Options_Exhibits'!U1005:U1009),"")</f>
        <v/>
      </c>
      <c r="V1009" s="3">
        <f>IF(ISNUMBER(AVERAGE('20250815_ETF_Options_Exhibits'!V1005:V1009)),AVERAGE('20250815_ETF_Options_Exhibits'!V1005:V1009),"")</f>
        <v/>
      </c>
      <c r="W1009" s="3">
        <f>IF(ISNUMBER(AVERAGE('20250815_ETF_Options_Exhibits'!W1005:W1009)),AVERAGE('20250815_ETF_Options_Exhibits'!W1005:W1009),"")</f>
        <v/>
      </c>
      <c r="X1009" s="3">
        <f>IF(ISNUMBER(AVERAGE('20250815_ETF_Options_Exhibits'!X1005:X1009)),AVERAGE('20250815_ETF_Options_Exhibits'!X1005:X1009),"")</f>
        <v/>
      </c>
      <c r="Y1009" s="3">
        <f>IF(ISNUMBER(AVERAGE('20250815_ETF_Options_Exhibits'!Y1005:Y1009)),AVERAGE('20250815_ETF_Options_Exhibits'!Y1005:Y1009),"")</f>
        <v/>
      </c>
      <c r="Z1009" s="3">
        <f>IF(ISNUMBER(AVERAGE('20250815_ETF_Options_Exhibits'!Z1005:Z1009)),AVERAGE('20250815_ETF_Options_Exhibits'!Z1005:Z1009),"")</f>
        <v/>
      </c>
      <c r="AA1009" s="3">
        <f>IF(ISNUMBER(AVERAGE('20250815_ETF_Options_Exhibits'!AA1005:AA1009)),AVERAGE('20250815_ETF_Options_Exhibits'!AA1005:AA1009),"")</f>
        <v/>
      </c>
    </row>
    <row r="1010">
      <c r="A1010" s="1" t="n">
        <v>43468</v>
      </c>
      <c r="B1010" s="3">
        <f>IF(ISNUMBER(AVERAGE('20250815_ETF_Options_Exhibits'!B1006:B1010)),AVERAGE('20250815_ETF_Options_Exhibits'!B1006:B1010),"")</f>
        <v/>
      </c>
      <c r="C1010" s="3">
        <f>IF(ISNUMBER(AVERAGE('20250815_ETF_Options_Exhibits'!C1006:C1010)),AVERAGE('20250815_ETF_Options_Exhibits'!C1006:C1010),"")</f>
        <v/>
      </c>
      <c r="D1010" s="3">
        <f>IF(ISNUMBER(AVERAGE('20250815_ETF_Options_Exhibits'!D1006:D1010)),AVERAGE('20250815_ETF_Options_Exhibits'!D1006:D1010),"")</f>
        <v/>
      </c>
      <c r="E1010" s="3">
        <f>IF(ISNUMBER(AVERAGE('20250815_ETF_Options_Exhibits'!E1006:E1010)),AVERAGE('20250815_ETF_Options_Exhibits'!E1006:E1010),"")</f>
        <v/>
      </c>
      <c r="F1010" s="3">
        <f>IF(ISNUMBER(AVERAGE('20250815_ETF_Options_Exhibits'!F1006:F1010)),AVERAGE('20250815_ETF_Options_Exhibits'!F1006:F1010),"")</f>
        <v/>
      </c>
      <c r="G1010" s="3">
        <f>IF(ISNUMBER(AVERAGE('20250815_ETF_Options_Exhibits'!G1006:G1010)),AVERAGE('20250815_ETF_Options_Exhibits'!G1006:G1010),"")</f>
        <v/>
      </c>
      <c r="H1010" s="3">
        <f>IF(ISNUMBER(AVERAGE('20250815_ETF_Options_Exhibits'!H1006:H1010)),AVERAGE('20250815_ETF_Options_Exhibits'!H1006:H1010),"")</f>
        <v/>
      </c>
      <c r="I1010" s="3">
        <f>IF(ISNUMBER(AVERAGE('20250815_ETF_Options_Exhibits'!I1006:I1010)),AVERAGE('20250815_ETF_Options_Exhibits'!I1006:I1010),"")</f>
        <v/>
      </c>
      <c r="J1010" s="3">
        <f>IF(ISNUMBER(AVERAGE('20250815_ETF_Options_Exhibits'!J1006:J1010)),AVERAGE('20250815_ETF_Options_Exhibits'!J1006:J1010),"")</f>
        <v/>
      </c>
      <c r="K1010" s="3">
        <f>IF(ISNUMBER(AVERAGE('20250815_ETF_Options_Exhibits'!K1006:K1010)),AVERAGE('20250815_ETF_Options_Exhibits'!K1006:K1010),"")</f>
        <v/>
      </c>
      <c r="L1010" s="3">
        <f>IF(ISNUMBER(AVERAGE('20250815_ETF_Options_Exhibits'!L1006:L1010)),AVERAGE('20250815_ETF_Options_Exhibits'!L1006:L1010),"")</f>
        <v/>
      </c>
      <c r="M1010" s="3">
        <f>IF(ISNUMBER(AVERAGE('20250815_ETF_Options_Exhibits'!M1006:M1010)),AVERAGE('20250815_ETF_Options_Exhibits'!M1006:M1010),"")</f>
        <v/>
      </c>
      <c r="N1010" s="3">
        <f>IF(ISNUMBER(AVERAGE('20250815_ETF_Options_Exhibits'!N1006:N1010)),AVERAGE('20250815_ETF_Options_Exhibits'!N1006:N1010),"")</f>
        <v/>
      </c>
      <c r="O1010" s="3">
        <f>IF(ISNUMBER(AVERAGE('20250815_ETF_Options_Exhibits'!O1006:O1010)),AVERAGE('20250815_ETF_Options_Exhibits'!O1006:O1010),"")</f>
        <v/>
      </c>
      <c r="P1010" s="3">
        <f>IF(ISNUMBER(AVERAGE('20250815_ETF_Options_Exhibits'!P1006:P1010)),AVERAGE('20250815_ETF_Options_Exhibits'!P1006:P1010),"")</f>
        <v/>
      </c>
      <c r="Q1010" s="3">
        <f>IF(ISNUMBER(AVERAGE('20250815_ETF_Options_Exhibits'!Q1006:Q1010)),AVERAGE('20250815_ETF_Options_Exhibits'!Q1006:Q1010),"")</f>
        <v/>
      </c>
      <c r="R1010" s="3">
        <f>IF(ISNUMBER(AVERAGE('20250815_ETF_Options_Exhibits'!R1006:R1010)),AVERAGE('20250815_ETF_Options_Exhibits'!R1006:R1010),"")</f>
        <v/>
      </c>
      <c r="S1010" s="3">
        <f>IF(ISNUMBER(AVERAGE('20250815_ETF_Options_Exhibits'!S1006:S1010)),AVERAGE('20250815_ETF_Options_Exhibits'!S1006:S1010),"")</f>
        <v/>
      </c>
      <c r="T1010" s="3">
        <f>IF(ISNUMBER(AVERAGE('20250815_ETF_Options_Exhibits'!T1006:T1010)),AVERAGE('20250815_ETF_Options_Exhibits'!T1006:T1010),"")</f>
        <v/>
      </c>
      <c r="U1010" s="3">
        <f>IF(ISNUMBER(AVERAGE('20250815_ETF_Options_Exhibits'!U1006:U1010)),AVERAGE('20250815_ETF_Options_Exhibits'!U1006:U1010),"")</f>
        <v/>
      </c>
      <c r="V1010" s="3">
        <f>IF(ISNUMBER(AVERAGE('20250815_ETF_Options_Exhibits'!V1006:V1010)),AVERAGE('20250815_ETF_Options_Exhibits'!V1006:V1010),"")</f>
        <v/>
      </c>
      <c r="W1010" s="3">
        <f>IF(ISNUMBER(AVERAGE('20250815_ETF_Options_Exhibits'!W1006:W1010)),AVERAGE('20250815_ETF_Options_Exhibits'!W1006:W1010),"")</f>
        <v/>
      </c>
      <c r="X1010" s="3">
        <f>IF(ISNUMBER(AVERAGE('20250815_ETF_Options_Exhibits'!X1006:X1010)),AVERAGE('20250815_ETF_Options_Exhibits'!X1006:X1010),"")</f>
        <v/>
      </c>
      <c r="Y1010" s="3">
        <f>IF(ISNUMBER(AVERAGE('20250815_ETF_Options_Exhibits'!Y1006:Y1010)),AVERAGE('20250815_ETF_Options_Exhibits'!Y1006:Y1010),"")</f>
        <v/>
      </c>
      <c r="Z1010" s="3">
        <f>IF(ISNUMBER(AVERAGE('20250815_ETF_Options_Exhibits'!Z1006:Z1010)),AVERAGE('20250815_ETF_Options_Exhibits'!Z1006:Z1010),"")</f>
        <v/>
      </c>
      <c r="AA1010" s="3">
        <f>IF(ISNUMBER(AVERAGE('20250815_ETF_Options_Exhibits'!AA1006:AA1010)),AVERAGE('20250815_ETF_Options_Exhibits'!AA1006:AA1010),"")</f>
        <v/>
      </c>
    </row>
    <row r="1011">
      <c r="A1011" s="1" t="n">
        <v>43469</v>
      </c>
      <c r="B1011" s="3">
        <f>IF(ISNUMBER(AVERAGE('20250815_ETF_Options_Exhibits'!B1007:B1011)),AVERAGE('20250815_ETF_Options_Exhibits'!B1007:B1011),"")</f>
        <v/>
      </c>
      <c r="C1011" s="3">
        <f>IF(ISNUMBER(AVERAGE('20250815_ETF_Options_Exhibits'!C1007:C1011)),AVERAGE('20250815_ETF_Options_Exhibits'!C1007:C1011),"")</f>
        <v/>
      </c>
      <c r="D1011" s="3">
        <f>IF(ISNUMBER(AVERAGE('20250815_ETF_Options_Exhibits'!D1007:D1011)),AVERAGE('20250815_ETF_Options_Exhibits'!D1007:D1011),"")</f>
        <v/>
      </c>
      <c r="E1011" s="3">
        <f>IF(ISNUMBER(AVERAGE('20250815_ETF_Options_Exhibits'!E1007:E1011)),AVERAGE('20250815_ETF_Options_Exhibits'!E1007:E1011),"")</f>
        <v/>
      </c>
      <c r="F1011" s="3">
        <f>IF(ISNUMBER(AVERAGE('20250815_ETF_Options_Exhibits'!F1007:F1011)),AVERAGE('20250815_ETF_Options_Exhibits'!F1007:F1011),"")</f>
        <v/>
      </c>
      <c r="G1011" s="3">
        <f>IF(ISNUMBER(AVERAGE('20250815_ETF_Options_Exhibits'!G1007:G1011)),AVERAGE('20250815_ETF_Options_Exhibits'!G1007:G1011),"")</f>
        <v/>
      </c>
      <c r="H1011" s="3">
        <f>IF(ISNUMBER(AVERAGE('20250815_ETF_Options_Exhibits'!H1007:H1011)),AVERAGE('20250815_ETF_Options_Exhibits'!H1007:H1011),"")</f>
        <v/>
      </c>
      <c r="I1011" s="3">
        <f>IF(ISNUMBER(AVERAGE('20250815_ETF_Options_Exhibits'!I1007:I1011)),AVERAGE('20250815_ETF_Options_Exhibits'!I1007:I1011),"")</f>
        <v/>
      </c>
      <c r="J1011" s="3">
        <f>IF(ISNUMBER(AVERAGE('20250815_ETF_Options_Exhibits'!J1007:J1011)),AVERAGE('20250815_ETF_Options_Exhibits'!J1007:J1011),"")</f>
        <v/>
      </c>
      <c r="K1011" s="3">
        <f>IF(ISNUMBER(AVERAGE('20250815_ETF_Options_Exhibits'!K1007:K1011)),AVERAGE('20250815_ETF_Options_Exhibits'!K1007:K1011),"")</f>
        <v/>
      </c>
      <c r="L1011" s="3">
        <f>IF(ISNUMBER(AVERAGE('20250815_ETF_Options_Exhibits'!L1007:L1011)),AVERAGE('20250815_ETF_Options_Exhibits'!L1007:L1011),"")</f>
        <v/>
      </c>
      <c r="M1011" s="3">
        <f>IF(ISNUMBER(AVERAGE('20250815_ETF_Options_Exhibits'!M1007:M1011)),AVERAGE('20250815_ETF_Options_Exhibits'!M1007:M1011),"")</f>
        <v/>
      </c>
      <c r="N1011" s="3">
        <f>IF(ISNUMBER(AVERAGE('20250815_ETF_Options_Exhibits'!N1007:N1011)),AVERAGE('20250815_ETF_Options_Exhibits'!N1007:N1011),"")</f>
        <v/>
      </c>
      <c r="O1011" s="3">
        <f>IF(ISNUMBER(AVERAGE('20250815_ETF_Options_Exhibits'!O1007:O1011)),AVERAGE('20250815_ETF_Options_Exhibits'!O1007:O1011),"")</f>
        <v/>
      </c>
      <c r="P1011" s="3">
        <f>IF(ISNUMBER(AVERAGE('20250815_ETF_Options_Exhibits'!P1007:P1011)),AVERAGE('20250815_ETF_Options_Exhibits'!P1007:P1011),"")</f>
        <v/>
      </c>
      <c r="Q1011" s="3">
        <f>IF(ISNUMBER(AVERAGE('20250815_ETF_Options_Exhibits'!Q1007:Q1011)),AVERAGE('20250815_ETF_Options_Exhibits'!Q1007:Q1011),"")</f>
        <v/>
      </c>
      <c r="R1011" s="3">
        <f>IF(ISNUMBER(AVERAGE('20250815_ETF_Options_Exhibits'!R1007:R1011)),AVERAGE('20250815_ETF_Options_Exhibits'!R1007:R1011),"")</f>
        <v/>
      </c>
      <c r="S1011" s="3">
        <f>IF(ISNUMBER(AVERAGE('20250815_ETF_Options_Exhibits'!S1007:S1011)),AVERAGE('20250815_ETF_Options_Exhibits'!S1007:S1011),"")</f>
        <v/>
      </c>
      <c r="T1011" s="3">
        <f>IF(ISNUMBER(AVERAGE('20250815_ETF_Options_Exhibits'!T1007:T1011)),AVERAGE('20250815_ETF_Options_Exhibits'!T1007:T1011),"")</f>
        <v/>
      </c>
      <c r="U1011" s="3">
        <f>IF(ISNUMBER(AVERAGE('20250815_ETF_Options_Exhibits'!U1007:U1011)),AVERAGE('20250815_ETF_Options_Exhibits'!U1007:U1011),"")</f>
        <v/>
      </c>
      <c r="V1011" s="3">
        <f>IF(ISNUMBER(AVERAGE('20250815_ETF_Options_Exhibits'!V1007:V1011)),AVERAGE('20250815_ETF_Options_Exhibits'!V1007:V1011),"")</f>
        <v/>
      </c>
      <c r="W1011" s="3">
        <f>IF(ISNUMBER(AVERAGE('20250815_ETF_Options_Exhibits'!W1007:W1011)),AVERAGE('20250815_ETF_Options_Exhibits'!W1007:W1011),"")</f>
        <v/>
      </c>
      <c r="X1011" s="3">
        <f>IF(ISNUMBER(AVERAGE('20250815_ETF_Options_Exhibits'!X1007:X1011)),AVERAGE('20250815_ETF_Options_Exhibits'!X1007:X1011),"")</f>
        <v/>
      </c>
      <c r="Y1011" s="3">
        <f>IF(ISNUMBER(AVERAGE('20250815_ETF_Options_Exhibits'!Y1007:Y1011)),AVERAGE('20250815_ETF_Options_Exhibits'!Y1007:Y1011),"")</f>
        <v/>
      </c>
      <c r="Z1011" s="3">
        <f>IF(ISNUMBER(AVERAGE('20250815_ETF_Options_Exhibits'!Z1007:Z1011)),AVERAGE('20250815_ETF_Options_Exhibits'!Z1007:Z1011),"")</f>
        <v/>
      </c>
      <c r="AA1011" s="3">
        <f>IF(ISNUMBER(AVERAGE('20250815_ETF_Options_Exhibits'!AA1007:AA1011)),AVERAGE('20250815_ETF_Options_Exhibits'!AA1007:AA1011),"")</f>
        <v/>
      </c>
    </row>
    <row r="1012">
      <c r="A1012" s="1" t="n">
        <v>43472</v>
      </c>
      <c r="B1012" s="3">
        <f>IF(ISNUMBER(AVERAGE('20250815_ETF_Options_Exhibits'!B1008:B1012)),AVERAGE('20250815_ETF_Options_Exhibits'!B1008:B1012),"")</f>
        <v/>
      </c>
      <c r="C1012" s="3">
        <f>IF(ISNUMBER(AVERAGE('20250815_ETF_Options_Exhibits'!C1008:C1012)),AVERAGE('20250815_ETF_Options_Exhibits'!C1008:C1012),"")</f>
        <v/>
      </c>
      <c r="D1012" s="3">
        <f>IF(ISNUMBER(AVERAGE('20250815_ETF_Options_Exhibits'!D1008:D1012)),AVERAGE('20250815_ETF_Options_Exhibits'!D1008:D1012),"")</f>
        <v/>
      </c>
      <c r="E1012" s="3">
        <f>IF(ISNUMBER(AVERAGE('20250815_ETF_Options_Exhibits'!E1008:E1012)),AVERAGE('20250815_ETF_Options_Exhibits'!E1008:E1012),"")</f>
        <v/>
      </c>
      <c r="F1012" s="3">
        <f>IF(ISNUMBER(AVERAGE('20250815_ETF_Options_Exhibits'!F1008:F1012)),AVERAGE('20250815_ETF_Options_Exhibits'!F1008:F1012),"")</f>
        <v/>
      </c>
      <c r="G1012" s="3">
        <f>IF(ISNUMBER(AVERAGE('20250815_ETF_Options_Exhibits'!G1008:G1012)),AVERAGE('20250815_ETF_Options_Exhibits'!G1008:G1012),"")</f>
        <v/>
      </c>
      <c r="H1012" s="3">
        <f>IF(ISNUMBER(AVERAGE('20250815_ETF_Options_Exhibits'!H1008:H1012)),AVERAGE('20250815_ETF_Options_Exhibits'!H1008:H1012),"")</f>
        <v/>
      </c>
      <c r="I1012" s="3">
        <f>IF(ISNUMBER(AVERAGE('20250815_ETF_Options_Exhibits'!I1008:I1012)),AVERAGE('20250815_ETF_Options_Exhibits'!I1008:I1012),"")</f>
        <v/>
      </c>
      <c r="J1012" s="3">
        <f>IF(ISNUMBER(AVERAGE('20250815_ETF_Options_Exhibits'!J1008:J1012)),AVERAGE('20250815_ETF_Options_Exhibits'!J1008:J1012),"")</f>
        <v/>
      </c>
      <c r="K1012" s="3">
        <f>IF(ISNUMBER(AVERAGE('20250815_ETF_Options_Exhibits'!K1008:K1012)),AVERAGE('20250815_ETF_Options_Exhibits'!K1008:K1012),"")</f>
        <v/>
      </c>
      <c r="L1012" s="3">
        <f>IF(ISNUMBER(AVERAGE('20250815_ETF_Options_Exhibits'!L1008:L1012)),AVERAGE('20250815_ETF_Options_Exhibits'!L1008:L1012),"")</f>
        <v/>
      </c>
      <c r="M1012" s="3">
        <f>IF(ISNUMBER(AVERAGE('20250815_ETF_Options_Exhibits'!M1008:M1012)),AVERAGE('20250815_ETF_Options_Exhibits'!M1008:M1012),"")</f>
        <v/>
      </c>
      <c r="N1012" s="3">
        <f>IF(ISNUMBER(AVERAGE('20250815_ETF_Options_Exhibits'!N1008:N1012)),AVERAGE('20250815_ETF_Options_Exhibits'!N1008:N1012),"")</f>
        <v/>
      </c>
      <c r="O1012" s="3">
        <f>IF(ISNUMBER(AVERAGE('20250815_ETF_Options_Exhibits'!O1008:O1012)),AVERAGE('20250815_ETF_Options_Exhibits'!O1008:O1012),"")</f>
        <v/>
      </c>
      <c r="P1012" s="3">
        <f>IF(ISNUMBER(AVERAGE('20250815_ETF_Options_Exhibits'!P1008:P1012)),AVERAGE('20250815_ETF_Options_Exhibits'!P1008:P1012),"")</f>
        <v/>
      </c>
      <c r="Q1012" s="3">
        <f>IF(ISNUMBER(AVERAGE('20250815_ETF_Options_Exhibits'!Q1008:Q1012)),AVERAGE('20250815_ETF_Options_Exhibits'!Q1008:Q1012),"")</f>
        <v/>
      </c>
      <c r="R1012" s="3">
        <f>IF(ISNUMBER(AVERAGE('20250815_ETF_Options_Exhibits'!R1008:R1012)),AVERAGE('20250815_ETF_Options_Exhibits'!R1008:R1012),"")</f>
        <v/>
      </c>
      <c r="S1012" s="3">
        <f>IF(ISNUMBER(AVERAGE('20250815_ETF_Options_Exhibits'!S1008:S1012)),AVERAGE('20250815_ETF_Options_Exhibits'!S1008:S1012),"")</f>
        <v/>
      </c>
      <c r="T1012" s="3">
        <f>IF(ISNUMBER(AVERAGE('20250815_ETF_Options_Exhibits'!T1008:T1012)),AVERAGE('20250815_ETF_Options_Exhibits'!T1008:T1012),"")</f>
        <v/>
      </c>
      <c r="U1012" s="3">
        <f>IF(ISNUMBER(AVERAGE('20250815_ETF_Options_Exhibits'!U1008:U1012)),AVERAGE('20250815_ETF_Options_Exhibits'!U1008:U1012),"")</f>
        <v/>
      </c>
      <c r="V1012" s="3">
        <f>IF(ISNUMBER(AVERAGE('20250815_ETF_Options_Exhibits'!V1008:V1012)),AVERAGE('20250815_ETF_Options_Exhibits'!V1008:V1012),"")</f>
        <v/>
      </c>
      <c r="W1012" s="3">
        <f>IF(ISNUMBER(AVERAGE('20250815_ETF_Options_Exhibits'!W1008:W1012)),AVERAGE('20250815_ETF_Options_Exhibits'!W1008:W1012),"")</f>
        <v/>
      </c>
      <c r="X1012" s="3">
        <f>IF(ISNUMBER(AVERAGE('20250815_ETF_Options_Exhibits'!X1008:X1012)),AVERAGE('20250815_ETF_Options_Exhibits'!X1008:X1012),"")</f>
        <v/>
      </c>
      <c r="Y1012" s="3">
        <f>IF(ISNUMBER(AVERAGE('20250815_ETF_Options_Exhibits'!Y1008:Y1012)),AVERAGE('20250815_ETF_Options_Exhibits'!Y1008:Y1012),"")</f>
        <v/>
      </c>
      <c r="Z1012" s="3">
        <f>IF(ISNUMBER(AVERAGE('20250815_ETF_Options_Exhibits'!Z1008:Z1012)),AVERAGE('20250815_ETF_Options_Exhibits'!Z1008:Z1012),"")</f>
        <v/>
      </c>
      <c r="AA1012" s="3">
        <f>IF(ISNUMBER(AVERAGE('20250815_ETF_Options_Exhibits'!AA1008:AA1012)),AVERAGE('20250815_ETF_Options_Exhibits'!AA1008:AA1012),"")</f>
        <v/>
      </c>
    </row>
    <row r="1013">
      <c r="A1013" s="1" t="n">
        <v>43473</v>
      </c>
      <c r="B1013" s="3">
        <f>IF(ISNUMBER(AVERAGE('20250815_ETF_Options_Exhibits'!B1009:B1013)),AVERAGE('20250815_ETF_Options_Exhibits'!B1009:B1013),"")</f>
        <v/>
      </c>
      <c r="C1013" s="3">
        <f>IF(ISNUMBER(AVERAGE('20250815_ETF_Options_Exhibits'!C1009:C1013)),AVERAGE('20250815_ETF_Options_Exhibits'!C1009:C1013),"")</f>
        <v/>
      </c>
      <c r="D1013" s="3">
        <f>IF(ISNUMBER(AVERAGE('20250815_ETF_Options_Exhibits'!D1009:D1013)),AVERAGE('20250815_ETF_Options_Exhibits'!D1009:D1013),"")</f>
        <v/>
      </c>
      <c r="E1013" s="3">
        <f>IF(ISNUMBER(AVERAGE('20250815_ETF_Options_Exhibits'!E1009:E1013)),AVERAGE('20250815_ETF_Options_Exhibits'!E1009:E1013),"")</f>
        <v/>
      </c>
      <c r="F1013" s="3">
        <f>IF(ISNUMBER(AVERAGE('20250815_ETF_Options_Exhibits'!F1009:F1013)),AVERAGE('20250815_ETF_Options_Exhibits'!F1009:F1013),"")</f>
        <v/>
      </c>
      <c r="G1013" s="3">
        <f>IF(ISNUMBER(AVERAGE('20250815_ETF_Options_Exhibits'!G1009:G1013)),AVERAGE('20250815_ETF_Options_Exhibits'!G1009:G1013),"")</f>
        <v/>
      </c>
      <c r="H1013" s="3">
        <f>IF(ISNUMBER(AVERAGE('20250815_ETF_Options_Exhibits'!H1009:H1013)),AVERAGE('20250815_ETF_Options_Exhibits'!H1009:H1013),"")</f>
        <v/>
      </c>
      <c r="I1013" s="3">
        <f>IF(ISNUMBER(AVERAGE('20250815_ETF_Options_Exhibits'!I1009:I1013)),AVERAGE('20250815_ETF_Options_Exhibits'!I1009:I1013),"")</f>
        <v/>
      </c>
      <c r="J1013" s="3">
        <f>IF(ISNUMBER(AVERAGE('20250815_ETF_Options_Exhibits'!J1009:J1013)),AVERAGE('20250815_ETF_Options_Exhibits'!J1009:J1013),"")</f>
        <v/>
      </c>
      <c r="K1013" s="3">
        <f>IF(ISNUMBER(AVERAGE('20250815_ETF_Options_Exhibits'!K1009:K1013)),AVERAGE('20250815_ETF_Options_Exhibits'!K1009:K1013),"")</f>
        <v/>
      </c>
      <c r="L1013" s="3">
        <f>IF(ISNUMBER(AVERAGE('20250815_ETF_Options_Exhibits'!L1009:L1013)),AVERAGE('20250815_ETF_Options_Exhibits'!L1009:L1013),"")</f>
        <v/>
      </c>
      <c r="M1013" s="3">
        <f>IF(ISNUMBER(AVERAGE('20250815_ETF_Options_Exhibits'!M1009:M1013)),AVERAGE('20250815_ETF_Options_Exhibits'!M1009:M1013),"")</f>
        <v/>
      </c>
      <c r="N1013" s="3">
        <f>IF(ISNUMBER(AVERAGE('20250815_ETF_Options_Exhibits'!N1009:N1013)),AVERAGE('20250815_ETF_Options_Exhibits'!N1009:N1013),"")</f>
        <v/>
      </c>
      <c r="O1013" s="3">
        <f>IF(ISNUMBER(AVERAGE('20250815_ETF_Options_Exhibits'!O1009:O1013)),AVERAGE('20250815_ETF_Options_Exhibits'!O1009:O1013),"")</f>
        <v/>
      </c>
      <c r="P1013" s="3">
        <f>IF(ISNUMBER(AVERAGE('20250815_ETF_Options_Exhibits'!P1009:P1013)),AVERAGE('20250815_ETF_Options_Exhibits'!P1009:P1013),"")</f>
        <v/>
      </c>
      <c r="Q1013" s="3">
        <f>IF(ISNUMBER(AVERAGE('20250815_ETF_Options_Exhibits'!Q1009:Q1013)),AVERAGE('20250815_ETF_Options_Exhibits'!Q1009:Q1013),"")</f>
        <v/>
      </c>
      <c r="R1013" s="3">
        <f>IF(ISNUMBER(AVERAGE('20250815_ETF_Options_Exhibits'!R1009:R1013)),AVERAGE('20250815_ETF_Options_Exhibits'!R1009:R1013),"")</f>
        <v/>
      </c>
      <c r="S1013" s="3">
        <f>IF(ISNUMBER(AVERAGE('20250815_ETF_Options_Exhibits'!S1009:S1013)),AVERAGE('20250815_ETF_Options_Exhibits'!S1009:S1013),"")</f>
        <v/>
      </c>
      <c r="T1013" s="3">
        <f>IF(ISNUMBER(AVERAGE('20250815_ETF_Options_Exhibits'!T1009:T1013)),AVERAGE('20250815_ETF_Options_Exhibits'!T1009:T1013),"")</f>
        <v/>
      </c>
      <c r="U1013" s="3">
        <f>IF(ISNUMBER(AVERAGE('20250815_ETF_Options_Exhibits'!U1009:U1013)),AVERAGE('20250815_ETF_Options_Exhibits'!U1009:U1013),"")</f>
        <v/>
      </c>
      <c r="V1013" s="3">
        <f>IF(ISNUMBER(AVERAGE('20250815_ETF_Options_Exhibits'!V1009:V1013)),AVERAGE('20250815_ETF_Options_Exhibits'!V1009:V1013),"")</f>
        <v/>
      </c>
      <c r="W1013" s="3">
        <f>IF(ISNUMBER(AVERAGE('20250815_ETF_Options_Exhibits'!W1009:W1013)),AVERAGE('20250815_ETF_Options_Exhibits'!W1009:W1013),"")</f>
        <v/>
      </c>
      <c r="X1013" s="3">
        <f>IF(ISNUMBER(AVERAGE('20250815_ETF_Options_Exhibits'!X1009:X1013)),AVERAGE('20250815_ETF_Options_Exhibits'!X1009:X1013),"")</f>
        <v/>
      </c>
      <c r="Y1013" s="3">
        <f>IF(ISNUMBER(AVERAGE('20250815_ETF_Options_Exhibits'!Y1009:Y1013)),AVERAGE('20250815_ETF_Options_Exhibits'!Y1009:Y1013),"")</f>
        <v/>
      </c>
      <c r="Z1013" s="3">
        <f>IF(ISNUMBER(AVERAGE('20250815_ETF_Options_Exhibits'!Z1009:Z1013)),AVERAGE('20250815_ETF_Options_Exhibits'!Z1009:Z1013),"")</f>
        <v/>
      </c>
      <c r="AA1013" s="3">
        <f>IF(ISNUMBER(AVERAGE('20250815_ETF_Options_Exhibits'!AA1009:AA1013)),AVERAGE('20250815_ETF_Options_Exhibits'!AA1009:AA1013),"")</f>
        <v/>
      </c>
    </row>
    <row r="1014">
      <c r="A1014" s="1" t="n">
        <v>43474</v>
      </c>
      <c r="B1014" s="3">
        <f>IF(ISNUMBER(AVERAGE('20250815_ETF_Options_Exhibits'!B1010:B1014)),AVERAGE('20250815_ETF_Options_Exhibits'!B1010:B1014),"")</f>
        <v/>
      </c>
      <c r="C1014" s="3">
        <f>IF(ISNUMBER(AVERAGE('20250815_ETF_Options_Exhibits'!C1010:C1014)),AVERAGE('20250815_ETF_Options_Exhibits'!C1010:C1014),"")</f>
        <v/>
      </c>
      <c r="D1014" s="3">
        <f>IF(ISNUMBER(AVERAGE('20250815_ETF_Options_Exhibits'!D1010:D1014)),AVERAGE('20250815_ETF_Options_Exhibits'!D1010:D1014),"")</f>
        <v/>
      </c>
      <c r="E1014" s="3">
        <f>IF(ISNUMBER(AVERAGE('20250815_ETF_Options_Exhibits'!E1010:E1014)),AVERAGE('20250815_ETF_Options_Exhibits'!E1010:E1014),"")</f>
        <v/>
      </c>
      <c r="F1014" s="3">
        <f>IF(ISNUMBER(AVERAGE('20250815_ETF_Options_Exhibits'!F1010:F1014)),AVERAGE('20250815_ETF_Options_Exhibits'!F1010:F1014),"")</f>
        <v/>
      </c>
      <c r="G1014" s="3">
        <f>IF(ISNUMBER(AVERAGE('20250815_ETF_Options_Exhibits'!G1010:G1014)),AVERAGE('20250815_ETF_Options_Exhibits'!G1010:G1014),"")</f>
        <v/>
      </c>
      <c r="H1014" s="3">
        <f>IF(ISNUMBER(AVERAGE('20250815_ETF_Options_Exhibits'!H1010:H1014)),AVERAGE('20250815_ETF_Options_Exhibits'!H1010:H1014),"")</f>
        <v/>
      </c>
      <c r="I1014" s="3">
        <f>IF(ISNUMBER(AVERAGE('20250815_ETF_Options_Exhibits'!I1010:I1014)),AVERAGE('20250815_ETF_Options_Exhibits'!I1010:I1014),"")</f>
        <v/>
      </c>
      <c r="J1014" s="3">
        <f>IF(ISNUMBER(AVERAGE('20250815_ETF_Options_Exhibits'!J1010:J1014)),AVERAGE('20250815_ETF_Options_Exhibits'!J1010:J1014),"")</f>
        <v/>
      </c>
      <c r="K1014" s="3">
        <f>IF(ISNUMBER(AVERAGE('20250815_ETF_Options_Exhibits'!K1010:K1014)),AVERAGE('20250815_ETF_Options_Exhibits'!K1010:K1014),"")</f>
        <v/>
      </c>
      <c r="L1014" s="3">
        <f>IF(ISNUMBER(AVERAGE('20250815_ETF_Options_Exhibits'!L1010:L1014)),AVERAGE('20250815_ETF_Options_Exhibits'!L1010:L1014),"")</f>
        <v/>
      </c>
      <c r="M1014" s="3">
        <f>IF(ISNUMBER(AVERAGE('20250815_ETF_Options_Exhibits'!M1010:M1014)),AVERAGE('20250815_ETF_Options_Exhibits'!M1010:M1014),"")</f>
        <v/>
      </c>
      <c r="N1014" s="3">
        <f>IF(ISNUMBER(AVERAGE('20250815_ETF_Options_Exhibits'!N1010:N1014)),AVERAGE('20250815_ETF_Options_Exhibits'!N1010:N1014),"")</f>
        <v/>
      </c>
      <c r="O1014" s="3">
        <f>IF(ISNUMBER(AVERAGE('20250815_ETF_Options_Exhibits'!O1010:O1014)),AVERAGE('20250815_ETF_Options_Exhibits'!O1010:O1014),"")</f>
        <v/>
      </c>
      <c r="P1014" s="3">
        <f>IF(ISNUMBER(AVERAGE('20250815_ETF_Options_Exhibits'!P1010:P1014)),AVERAGE('20250815_ETF_Options_Exhibits'!P1010:P1014),"")</f>
        <v/>
      </c>
      <c r="Q1014" s="3">
        <f>IF(ISNUMBER(AVERAGE('20250815_ETF_Options_Exhibits'!Q1010:Q1014)),AVERAGE('20250815_ETF_Options_Exhibits'!Q1010:Q1014),"")</f>
        <v/>
      </c>
      <c r="R1014" s="3">
        <f>IF(ISNUMBER(AVERAGE('20250815_ETF_Options_Exhibits'!R1010:R1014)),AVERAGE('20250815_ETF_Options_Exhibits'!R1010:R1014),"")</f>
        <v/>
      </c>
      <c r="S1014" s="3">
        <f>IF(ISNUMBER(AVERAGE('20250815_ETF_Options_Exhibits'!S1010:S1014)),AVERAGE('20250815_ETF_Options_Exhibits'!S1010:S1014),"")</f>
        <v/>
      </c>
      <c r="T1014" s="3">
        <f>IF(ISNUMBER(AVERAGE('20250815_ETF_Options_Exhibits'!T1010:T1014)),AVERAGE('20250815_ETF_Options_Exhibits'!T1010:T1014),"")</f>
        <v/>
      </c>
      <c r="U1014" s="3">
        <f>IF(ISNUMBER(AVERAGE('20250815_ETF_Options_Exhibits'!U1010:U1014)),AVERAGE('20250815_ETF_Options_Exhibits'!U1010:U1014),"")</f>
        <v/>
      </c>
      <c r="V1014" s="3">
        <f>IF(ISNUMBER(AVERAGE('20250815_ETF_Options_Exhibits'!V1010:V1014)),AVERAGE('20250815_ETF_Options_Exhibits'!V1010:V1014),"")</f>
        <v/>
      </c>
      <c r="W1014" s="3">
        <f>IF(ISNUMBER(AVERAGE('20250815_ETF_Options_Exhibits'!W1010:W1014)),AVERAGE('20250815_ETF_Options_Exhibits'!W1010:W1014),"")</f>
        <v/>
      </c>
      <c r="X1014" s="3">
        <f>IF(ISNUMBER(AVERAGE('20250815_ETF_Options_Exhibits'!X1010:X1014)),AVERAGE('20250815_ETF_Options_Exhibits'!X1010:X1014),"")</f>
        <v/>
      </c>
      <c r="Y1014" s="3">
        <f>IF(ISNUMBER(AVERAGE('20250815_ETF_Options_Exhibits'!Y1010:Y1014)),AVERAGE('20250815_ETF_Options_Exhibits'!Y1010:Y1014),"")</f>
        <v/>
      </c>
      <c r="Z1014" s="3">
        <f>IF(ISNUMBER(AVERAGE('20250815_ETF_Options_Exhibits'!Z1010:Z1014)),AVERAGE('20250815_ETF_Options_Exhibits'!Z1010:Z1014),"")</f>
        <v/>
      </c>
      <c r="AA1014" s="3">
        <f>IF(ISNUMBER(AVERAGE('20250815_ETF_Options_Exhibits'!AA1010:AA1014)),AVERAGE('20250815_ETF_Options_Exhibits'!AA1010:AA1014),"")</f>
        <v/>
      </c>
    </row>
    <row r="1015">
      <c r="A1015" s="1" t="n">
        <v>43475</v>
      </c>
      <c r="B1015" s="3">
        <f>IF(ISNUMBER(AVERAGE('20250815_ETF_Options_Exhibits'!B1011:B1015)),AVERAGE('20250815_ETF_Options_Exhibits'!B1011:B1015),"")</f>
        <v/>
      </c>
      <c r="C1015" s="3">
        <f>IF(ISNUMBER(AVERAGE('20250815_ETF_Options_Exhibits'!C1011:C1015)),AVERAGE('20250815_ETF_Options_Exhibits'!C1011:C1015),"")</f>
        <v/>
      </c>
      <c r="D1015" s="3">
        <f>IF(ISNUMBER(AVERAGE('20250815_ETF_Options_Exhibits'!D1011:D1015)),AVERAGE('20250815_ETF_Options_Exhibits'!D1011:D1015),"")</f>
        <v/>
      </c>
      <c r="E1015" s="3">
        <f>IF(ISNUMBER(AVERAGE('20250815_ETF_Options_Exhibits'!E1011:E1015)),AVERAGE('20250815_ETF_Options_Exhibits'!E1011:E1015),"")</f>
        <v/>
      </c>
      <c r="F1015" s="3">
        <f>IF(ISNUMBER(AVERAGE('20250815_ETF_Options_Exhibits'!F1011:F1015)),AVERAGE('20250815_ETF_Options_Exhibits'!F1011:F1015),"")</f>
        <v/>
      </c>
      <c r="G1015" s="3">
        <f>IF(ISNUMBER(AVERAGE('20250815_ETF_Options_Exhibits'!G1011:G1015)),AVERAGE('20250815_ETF_Options_Exhibits'!G1011:G1015),"")</f>
        <v/>
      </c>
      <c r="H1015" s="3">
        <f>IF(ISNUMBER(AVERAGE('20250815_ETF_Options_Exhibits'!H1011:H1015)),AVERAGE('20250815_ETF_Options_Exhibits'!H1011:H1015),"")</f>
        <v/>
      </c>
      <c r="I1015" s="3">
        <f>IF(ISNUMBER(AVERAGE('20250815_ETF_Options_Exhibits'!I1011:I1015)),AVERAGE('20250815_ETF_Options_Exhibits'!I1011:I1015),"")</f>
        <v/>
      </c>
      <c r="J1015" s="3">
        <f>IF(ISNUMBER(AVERAGE('20250815_ETF_Options_Exhibits'!J1011:J1015)),AVERAGE('20250815_ETF_Options_Exhibits'!J1011:J1015),"")</f>
        <v/>
      </c>
      <c r="K1015" s="3">
        <f>IF(ISNUMBER(AVERAGE('20250815_ETF_Options_Exhibits'!K1011:K1015)),AVERAGE('20250815_ETF_Options_Exhibits'!K1011:K1015),"")</f>
        <v/>
      </c>
      <c r="L1015" s="3">
        <f>IF(ISNUMBER(AVERAGE('20250815_ETF_Options_Exhibits'!L1011:L1015)),AVERAGE('20250815_ETF_Options_Exhibits'!L1011:L1015),"")</f>
        <v/>
      </c>
      <c r="M1015" s="3">
        <f>IF(ISNUMBER(AVERAGE('20250815_ETF_Options_Exhibits'!M1011:M1015)),AVERAGE('20250815_ETF_Options_Exhibits'!M1011:M1015),"")</f>
        <v/>
      </c>
      <c r="N1015" s="3">
        <f>IF(ISNUMBER(AVERAGE('20250815_ETF_Options_Exhibits'!N1011:N1015)),AVERAGE('20250815_ETF_Options_Exhibits'!N1011:N1015),"")</f>
        <v/>
      </c>
      <c r="O1015" s="3">
        <f>IF(ISNUMBER(AVERAGE('20250815_ETF_Options_Exhibits'!O1011:O1015)),AVERAGE('20250815_ETF_Options_Exhibits'!O1011:O1015),"")</f>
        <v/>
      </c>
      <c r="P1015" s="3">
        <f>IF(ISNUMBER(AVERAGE('20250815_ETF_Options_Exhibits'!P1011:P1015)),AVERAGE('20250815_ETF_Options_Exhibits'!P1011:P1015),"")</f>
        <v/>
      </c>
      <c r="Q1015" s="3">
        <f>IF(ISNUMBER(AVERAGE('20250815_ETF_Options_Exhibits'!Q1011:Q1015)),AVERAGE('20250815_ETF_Options_Exhibits'!Q1011:Q1015),"")</f>
        <v/>
      </c>
      <c r="R1015" s="3">
        <f>IF(ISNUMBER(AVERAGE('20250815_ETF_Options_Exhibits'!R1011:R1015)),AVERAGE('20250815_ETF_Options_Exhibits'!R1011:R1015),"")</f>
        <v/>
      </c>
      <c r="S1015" s="3">
        <f>IF(ISNUMBER(AVERAGE('20250815_ETF_Options_Exhibits'!S1011:S1015)),AVERAGE('20250815_ETF_Options_Exhibits'!S1011:S1015),"")</f>
        <v/>
      </c>
      <c r="T1015" s="3">
        <f>IF(ISNUMBER(AVERAGE('20250815_ETF_Options_Exhibits'!T1011:T1015)),AVERAGE('20250815_ETF_Options_Exhibits'!T1011:T1015),"")</f>
        <v/>
      </c>
      <c r="U1015" s="3">
        <f>IF(ISNUMBER(AVERAGE('20250815_ETF_Options_Exhibits'!U1011:U1015)),AVERAGE('20250815_ETF_Options_Exhibits'!U1011:U1015),"")</f>
        <v/>
      </c>
      <c r="V1015" s="3">
        <f>IF(ISNUMBER(AVERAGE('20250815_ETF_Options_Exhibits'!V1011:V1015)),AVERAGE('20250815_ETF_Options_Exhibits'!V1011:V1015),"")</f>
        <v/>
      </c>
      <c r="W1015" s="3">
        <f>IF(ISNUMBER(AVERAGE('20250815_ETF_Options_Exhibits'!W1011:W1015)),AVERAGE('20250815_ETF_Options_Exhibits'!W1011:W1015),"")</f>
        <v/>
      </c>
      <c r="X1015" s="3">
        <f>IF(ISNUMBER(AVERAGE('20250815_ETF_Options_Exhibits'!X1011:X1015)),AVERAGE('20250815_ETF_Options_Exhibits'!X1011:X1015),"")</f>
        <v/>
      </c>
      <c r="Y1015" s="3">
        <f>IF(ISNUMBER(AVERAGE('20250815_ETF_Options_Exhibits'!Y1011:Y1015)),AVERAGE('20250815_ETF_Options_Exhibits'!Y1011:Y1015),"")</f>
        <v/>
      </c>
      <c r="Z1015" s="3">
        <f>IF(ISNUMBER(AVERAGE('20250815_ETF_Options_Exhibits'!Z1011:Z1015)),AVERAGE('20250815_ETF_Options_Exhibits'!Z1011:Z1015),"")</f>
        <v/>
      </c>
      <c r="AA1015" s="3">
        <f>IF(ISNUMBER(AVERAGE('20250815_ETF_Options_Exhibits'!AA1011:AA1015)),AVERAGE('20250815_ETF_Options_Exhibits'!AA1011:AA1015),"")</f>
        <v/>
      </c>
    </row>
    <row r="1016">
      <c r="A1016" s="1" t="n">
        <v>43476</v>
      </c>
      <c r="B1016" s="3">
        <f>IF(ISNUMBER(AVERAGE('20250815_ETF_Options_Exhibits'!B1012:B1016)),AVERAGE('20250815_ETF_Options_Exhibits'!B1012:B1016),"")</f>
        <v/>
      </c>
      <c r="C1016" s="3">
        <f>IF(ISNUMBER(AVERAGE('20250815_ETF_Options_Exhibits'!C1012:C1016)),AVERAGE('20250815_ETF_Options_Exhibits'!C1012:C1016),"")</f>
        <v/>
      </c>
      <c r="D1016" s="3">
        <f>IF(ISNUMBER(AVERAGE('20250815_ETF_Options_Exhibits'!D1012:D1016)),AVERAGE('20250815_ETF_Options_Exhibits'!D1012:D1016),"")</f>
        <v/>
      </c>
      <c r="E1016" s="3">
        <f>IF(ISNUMBER(AVERAGE('20250815_ETF_Options_Exhibits'!E1012:E1016)),AVERAGE('20250815_ETF_Options_Exhibits'!E1012:E1016),"")</f>
        <v/>
      </c>
      <c r="F1016" s="3">
        <f>IF(ISNUMBER(AVERAGE('20250815_ETF_Options_Exhibits'!F1012:F1016)),AVERAGE('20250815_ETF_Options_Exhibits'!F1012:F1016),"")</f>
        <v/>
      </c>
      <c r="G1016" s="3">
        <f>IF(ISNUMBER(AVERAGE('20250815_ETF_Options_Exhibits'!G1012:G1016)),AVERAGE('20250815_ETF_Options_Exhibits'!G1012:G1016),"")</f>
        <v/>
      </c>
      <c r="H1016" s="3">
        <f>IF(ISNUMBER(AVERAGE('20250815_ETF_Options_Exhibits'!H1012:H1016)),AVERAGE('20250815_ETF_Options_Exhibits'!H1012:H1016),"")</f>
        <v/>
      </c>
      <c r="I1016" s="3">
        <f>IF(ISNUMBER(AVERAGE('20250815_ETF_Options_Exhibits'!I1012:I1016)),AVERAGE('20250815_ETF_Options_Exhibits'!I1012:I1016),"")</f>
        <v/>
      </c>
      <c r="J1016" s="3">
        <f>IF(ISNUMBER(AVERAGE('20250815_ETF_Options_Exhibits'!J1012:J1016)),AVERAGE('20250815_ETF_Options_Exhibits'!J1012:J1016),"")</f>
        <v/>
      </c>
      <c r="K1016" s="3">
        <f>IF(ISNUMBER(AVERAGE('20250815_ETF_Options_Exhibits'!K1012:K1016)),AVERAGE('20250815_ETF_Options_Exhibits'!K1012:K1016),"")</f>
        <v/>
      </c>
      <c r="L1016" s="3">
        <f>IF(ISNUMBER(AVERAGE('20250815_ETF_Options_Exhibits'!L1012:L1016)),AVERAGE('20250815_ETF_Options_Exhibits'!L1012:L1016),"")</f>
        <v/>
      </c>
      <c r="M1016" s="3">
        <f>IF(ISNUMBER(AVERAGE('20250815_ETF_Options_Exhibits'!M1012:M1016)),AVERAGE('20250815_ETF_Options_Exhibits'!M1012:M1016),"")</f>
        <v/>
      </c>
      <c r="N1016" s="3">
        <f>IF(ISNUMBER(AVERAGE('20250815_ETF_Options_Exhibits'!N1012:N1016)),AVERAGE('20250815_ETF_Options_Exhibits'!N1012:N1016),"")</f>
        <v/>
      </c>
      <c r="O1016" s="3">
        <f>IF(ISNUMBER(AVERAGE('20250815_ETF_Options_Exhibits'!O1012:O1016)),AVERAGE('20250815_ETF_Options_Exhibits'!O1012:O1016),"")</f>
        <v/>
      </c>
      <c r="P1016" s="3">
        <f>IF(ISNUMBER(AVERAGE('20250815_ETF_Options_Exhibits'!P1012:P1016)),AVERAGE('20250815_ETF_Options_Exhibits'!P1012:P1016),"")</f>
        <v/>
      </c>
      <c r="Q1016" s="3">
        <f>IF(ISNUMBER(AVERAGE('20250815_ETF_Options_Exhibits'!Q1012:Q1016)),AVERAGE('20250815_ETF_Options_Exhibits'!Q1012:Q1016),"")</f>
        <v/>
      </c>
      <c r="R1016" s="3">
        <f>IF(ISNUMBER(AVERAGE('20250815_ETF_Options_Exhibits'!R1012:R1016)),AVERAGE('20250815_ETF_Options_Exhibits'!R1012:R1016),"")</f>
        <v/>
      </c>
      <c r="S1016" s="3">
        <f>IF(ISNUMBER(AVERAGE('20250815_ETF_Options_Exhibits'!S1012:S1016)),AVERAGE('20250815_ETF_Options_Exhibits'!S1012:S1016),"")</f>
        <v/>
      </c>
      <c r="T1016" s="3">
        <f>IF(ISNUMBER(AVERAGE('20250815_ETF_Options_Exhibits'!T1012:T1016)),AVERAGE('20250815_ETF_Options_Exhibits'!T1012:T1016),"")</f>
        <v/>
      </c>
      <c r="U1016" s="3">
        <f>IF(ISNUMBER(AVERAGE('20250815_ETF_Options_Exhibits'!U1012:U1016)),AVERAGE('20250815_ETF_Options_Exhibits'!U1012:U1016),"")</f>
        <v/>
      </c>
      <c r="V1016" s="3">
        <f>IF(ISNUMBER(AVERAGE('20250815_ETF_Options_Exhibits'!V1012:V1016)),AVERAGE('20250815_ETF_Options_Exhibits'!V1012:V1016),"")</f>
        <v/>
      </c>
      <c r="W1016" s="3">
        <f>IF(ISNUMBER(AVERAGE('20250815_ETF_Options_Exhibits'!W1012:W1016)),AVERAGE('20250815_ETF_Options_Exhibits'!W1012:W1016),"")</f>
        <v/>
      </c>
      <c r="X1016" s="3">
        <f>IF(ISNUMBER(AVERAGE('20250815_ETF_Options_Exhibits'!X1012:X1016)),AVERAGE('20250815_ETF_Options_Exhibits'!X1012:X1016),"")</f>
        <v/>
      </c>
      <c r="Y1016" s="3">
        <f>IF(ISNUMBER(AVERAGE('20250815_ETF_Options_Exhibits'!Y1012:Y1016)),AVERAGE('20250815_ETF_Options_Exhibits'!Y1012:Y1016),"")</f>
        <v/>
      </c>
      <c r="Z1016" s="3">
        <f>IF(ISNUMBER(AVERAGE('20250815_ETF_Options_Exhibits'!Z1012:Z1016)),AVERAGE('20250815_ETF_Options_Exhibits'!Z1012:Z1016),"")</f>
        <v/>
      </c>
      <c r="AA1016" s="3">
        <f>IF(ISNUMBER(AVERAGE('20250815_ETF_Options_Exhibits'!AA1012:AA1016)),AVERAGE('20250815_ETF_Options_Exhibits'!AA1012:AA1016),"")</f>
        <v/>
      </c>
    </row>
    <row r="1017">
      <c r="A1017" s="1" t="n">
        <v>43479</v>
      </c>
      <c r="B1017" s="3">
        <f>IF(ISNUMBER(AVERAGE('20250815_ETF_Options_Exhibits'!B1013:B1017)),AVERAGE('20250815_ETF_Options_Exhibits'!B1013:B1017),"")</f>
        <v/>
      </c>
      <c r="C1017" s="3">
        <f>IF(ISNUMBER(AVERAGE('20250815_ETF_Options_Exhibits'!C1013:C1017)),AVERAGE('20250815_ETF_Options_Exhibits'!C1013:C1017),"")</f>
        <v/>
      </c>
      <c r="D1017" s="3">
        <f>IF(ISNUMBER(AVERAGE('20250815_ETF_Options_Exhibits'!D1013:D1017)),AVERAGE('20250815_ETF_Options_Exhibits'!D1013:D1017),"")</f>
        <v/>
      </c>
      <c r="E1017" s="3">
        <f>IF(ISNUMBER(AVERAGE('20250815_ETF_Options_Exhibits'!E1013:E1017)),AVERAGE('20250815_ETF_Options_Exhibits'!E1013:E1017),"")</f>
        <v/>
      </c>
      <c r="F1017" s="3">
        <f>IF(ISNUMBER(AVERAGE('20250815_ETF_Options_Exhibits'!F1013:F1017)),AVERAGE('20250815_ETF_Options_Exhibits'!F1013:F1017),"")</f>
        <v/>
      </c>
      <c r="G1017" s="3">
        <f>IF(ISNUMBER(AVERAGE('20250815_ETF_Options_Exhibits'!G1013:G1017)),AVERAGE('20250815_ETF_Options_Exhibits'!G1013:G1017),"")</f>
        <v/>
      </c>
      <c r="H1017" s="3">
        <f>IF(ISNUMBER(AVERAGE('20250815_ETF_Options_Exhibits'!H1013:H1017)),AVERAGE('20250815_ETF_Options_Exhibits'!H1013:H1017),"")</f>
        <v/>
      </c>
      <c r="I1017" s="3">
        <f>IF(ISNUMBER(AVERAGE('20250815_ETF_Options_Exhibits'!I1013:I1017)),AVERAGE('20250815_ETF_Options_Exhibits'!I1013:I1017),"")</f>
        <v/>
      </c>
      <c r="J1017" s="3">
        <f>IF(ISNUMBER(AVERAGE('20250815_ETF_Options_Exhibits'!J1013:J1017)),AVERAGE('20250815_ETF_Options_Exhibits'!J1013:J1017),"")</f>
        <v/>
      </c>
      <c r="K1017" s="3">
        <f>IF(ISNUMBER(AVERAGE('20250815_ETF_Options_Exhibits'!K1013:K1017)),AVERAGE('20250815_ETF_Options_Exhibits'!K1013:K1017),"")</f>
        <v/>
      </c>
      <c r="L1017" s="3">
        <f>IF(ISNUMBER(AVERAGE('20250815_ETF_Options_Exhibits'!L1013:L1017)),AVERAGE('20250815_ETF_Options_Exhibits'!L1013:L1017),"")</f>
        <v/>
      </c>
      <c r="M1017" s="3">
        <f>IF(ISNUMBER(AVERAGE('20250815_ETF_Options_Exhibits'!M1013:M1017)),AVERAGE('20250815_ETF_Options_Exhibits'!M1013:M1017),"")</f>
        <v/>
      </c>
      <c r="N1017" s="3">
        <f>IF(ISNUMBER(AVERAGE('20250815_ETF_Options_Exhibits'!N1013:N1017)),AVERAGE('20250815_ETF_Options_Exhibits'!N1013:N1017),"")</f>
        <v/>
      </c>
      <c r="O1017" s="3">
        <f>IF(ISNUMBER(AVERAGE('20250815_ETF_Options_Exhibits'!O1013:O1017)),AVERAGE('20250815_ETF_Options_Exhibits'!O1013:O1017),"")</f>
        <v/>
      </c>
      <c r="P1017" s="3">
        <f>IF(ISNUMBER(AVERAGE('20250815_ETF_Options_Exhibits'!P1013:P1017)),AVERAGE('20250815_ETF_Options_Exhibits'!P1013:P1017),"")</f>
        <v/>
      </c>
      <c r="Q1017" s="3">
        <f>IF(ISNUMBER(AVERAGE('20250815_ETF_Options_Exhibits'!Q1013:Q1017)),AVERAGE('20250815_ETF_Options_Exhibits'!Q1013:Q1017),"")</f>
        <v/>
      </c>
      <c r="R1017" s="3">
        <f>IF(ISNUMBER(AVERAGE('20250815_ETF_Options_Exhibits'!R1013:R1017)),AVERAGE('20250815_ETF_Options_Exhibits'!R1013:R1017),"")</f>
        <v/>
      </c>
      <c r="S1017" s="3">
        <f>IF(ISNUMBER(AVERAGE('20250815_ETF_Options_Exhibits'!S1013:S1017)),AVERAGE('20250815_ETF_Options_Exhibits'!S1013:S1017),"")</f>
        <v/>
      </c>
      <c r="T1017" s="3">
        <f>IF(ISNUMBER(AVERAGE('20250815_ETF_Options_Exhibits'!T1013:T1017)),AVERAGE('20250815_ETF_Options_Exhibits'!T1013:T1017),"")</f>
        <v/>
      </c>
      <c r="U1017" s="3">
        <f>IF(ISNUMBER(AVERAGE('20250815_ETF_Options_Exhibits'!U1013:U1017)),AVERAGE('20250815_ETF_Options_Exhibits'!U1013:U1017),"")</f>
        <v/>
      </c>
      <c r="V1017" s="3">
        <f>IF(ISNUMBER(AVERAGE('20250815_ETF_Options_Exhibits'!V1013:V1017)),AVERAGE('20250815_ETF_Options_Exhibits'!V1013:V1017),"")</f>
        <v/>
      </c>
      <c r="W1017" s="3">
        <f>IF(ISNUMBER(AVERAGE('20250815_ETF_Options_Exhibits'!W1013:W1017)),AVERAGE('20250815_ETF_Options_Exhibits'!W1013:W1017),"")</f>
        <v/>
      </c>
      <c r="X1017" s="3">
        <f>IF(ISNUMBER(AVERAGE('20250815_ETF_Options_Exhibits'!X1013:X1017)),AVERAGE('20250815_ETF_Options_Exhibits'!X1013:X1017),"")</f>
        <v/>
      </c>
      <c r="Y1017" s="3">
        <f>IF(ISNUMBER(AVERAGE('20250815_ETF_Options_Exhibits'!Y1013:Y1017)),AVERAGE('20250815_ETF_Options_Exhibits'!Y1013:Y1017),"")</f>
        <v/>
      </c>
      <c r="Z1017" s="3">
        <f>IF(ISNUMBER(AVERAGE('20250815_ETF_Options_Exhibits'!Z1013:Z1017)),AVERAGE('20250815_ETF_Options_Exhibits'!Z1013:Z1017),"")</f>
        <v/>
      </c>
      <c r="AA1017" s="3">
        <f>IF(ISNUMBER(AVERAGE('20250815_ETF_Options_Exhibits'!AA1013:AA1017)),AVERAGE('20250815_ETF_Options_Exhibits'!AA1013:AA1017),"")</f>
        <v/>
      </c>
    </row>
    <row r="1018">
      <c r="A1018" s="1" t="n">
        <v>43480</v>
      </c>
      <c r="B1018" s="3">
        <f>IF(ISNUMBER(AVERAGE('20250815_ETF_Options_Exhibits'!B1014:B1018)),AVERAGE('20250815_ETF_Options_Exhibits'!B1014:B1018),"")</f>
        <v/>
      </c>
      <c r="C1018" s="3">
        <f>IF(ISNUMBER(AVERAGE('20250815_ETF_Options_Exhibits'!C1014:C1018)),AVERAGE('20250815_ETF_Options_Exhibits'!C1014:C1018),"")</f>
        <v/>
      </c>
      <c r="D1018" s="3">
        <f>IF(ISNUMBER(AVERAGE('20250815_ETF_Options_Exhibits'!D1014:D1018)),AVERAGE('20250815_ETF_Options_Exhibits'!D1014:D1018),"")</f>
        <v/>
      </c>
      <c r="E1018" s="3">
        <f>IF(ISNUMBER(AVERAGE('20250815_ETF_Options_Exhibits'!E1014:E1018)),AVERAGE('20250815_ETF_Options_Exhibits'!E1014:E1018),"")</f>
        <v/>
      </c>
      <c r="F1018" s="3">
        <f>IF(ISNUMBER(AVERAGE('20250815_ETF_Options_Exhibits'!F1014:F1018)),AVERAGE('20250815_ETF_Options_Exhibits'!F1014:F1018),"")</f>
        <v/>
      </c>
      <c r="G1018" s="3">
        <f>IF(ISNUMBER(AVERAGE('20250815_ETF_Options_Exhibits'!G1014:G1018)),AVERAGE('20250815_ETF_Options_Exhibits'!G1014:G1018),"")</f>
        <v/>
      </c>
      <c r="H1018" s="3">
        <f>IF(ISNUMBER(AVERAGE('20250815_ETF_Options_Exhibits'!H1014:H1018)),AVERAGE('20250815_ETF_Options_Exhibits'!H1014:H1018),"")</f>
        <v/>
      </c>
      <c r="I1018" s="3">
        <f>IF(ISNUMBER(AVERAGE('20250815_ETF_Options_Exhibits'!I1014:I1018)),AVERAGE('20250815_ETF_Options_Exhibits'!I1014:I1018),"")</f>
        <v/>
      </c>
      <c r="J1018" s="3">
        <f>IF(ISNUMBER(AVERAGE('20250815_ETF_Options_Exhibits'!J1014:J1018)),AVERAGE('20250815_ETF_Options_Exhibits'!J1014:J1018),"")</f>
        <v/>
      </c>
      <c r="K1018" s="3">
        <f>IF(ISNUMBER(AVERAGE('20250815_ETF_Options_Exhibits'!K1014:K1018)),AVERAGE('20250815_ETF_Options_Exhibits'!K1014:K1018),"")</f>
        <v/>
      </c>
      <c r="L1018" s="3">
        <f>IF(ISNUMBER(AVERAGE('20250815_ETF_Options_Exhibits'!L1014:L1018)),AVERAGE('20250815_ETF_Options_Exhibits'!L1014:L1018),"")</f>
        <v/>
      </c>
      <c r="M1018" s="3">
        <f>IF(ISNUMBER(AVERAGE('20250815_ETF_Options_Exhibits'!M1014:M1018)),AVERAGE('20250815_ETF_Options_Exhibits'!M1014:M1018),"")</f>
        <v/>
      </c>
      <c r="N1018" s="3">
        <f>IF(ISNUMBER(AVERAGE('20250815_ETF_Options_Exhibits'!N1014:N1018)),AVERAGE('20250815_ETF_Options_Exhibits'!N1014:N1018),"")</f>
        <v/>
      </c>
      <c r="O1018" s="3">
        <f>IF(ISNUMBER(AVERAGE('20250815_ETF_Options_Exhibits'!O1014:O1018)),AVERAGE('20250815_ETF_Options_Exhibits'!O1014:O1018),"")</f>
        <v/>
      </c>
      <c r="P1018" s="3">
        <f>IF(ISNUMBER(AVERAGE('20250815_ETF_Options_Exhibits'!P1014:P1018)),AVERAGE('20250815_ETF_Options_Exhibits'!P1014:P1018),"")</f>
        <v/>
      </c>
      <c r="Q1018" s="3">
        <f>IF(ISNUMBER(AVERAGE('20250815_ETF_Options_Exhibits'!Q1014:Q1018)),AVERAGE('20250815_ETF_Options_Exhibits'!Q1014:Q1018),"")</f>
        <v/>
      </c>
      <c r="R1018" s="3">
        <f>IF(ISNUMBER(AVERAGE('20250815_ETF_Options_Exhibits'!R1014:R1018)),AVERAGE('20250815_ETF_Options_Exhibits'!R1014:R1018),"")</f>
        <v/>
      </c>
      <c r="S1018" s="3">
        <f>IF(ISNUMBER(AVERAGE('20250815_ETF_Options_Exhibits'!S1014:S1018)),AVERAGE('20250815_ETF_Options_Exhibits'!S1014:S1018),"")</f>
        <v/>
      </c>
      <c r="T1018" s="3">
        <f>IF(ISNUMBER(AVERAGE('20250815_ETF_Options_Exhibits'!T1014:T1018)),AVERAGE('20250815_ETF_Options_Exhibits'!T1014:T1018),"")</f>
        <v/>
      </c>
      <c r="U1018" s="3">
        <f>IF(ISNUMBER(AVERAGE('20250815_ETF_Options_Exhibits'!U1014:U1018)),AVERAGE('20250815_ETF_Options_Exhibits'!U1014:U1018),"")</f>
        <v/>
      </c>
      <c r="V1018" s="3">
        <f>IF(ISNUMBER(AVERAGE('20250815_ETF_Options_Exhibits'!V1014:V1018)),AVERAGE('20250815_ETF_Options_Exhibits'!V1014:V1018),"")</f>
        <v/>
      </c>
      <c r="W1018" s="3">
        <f>IF(ISNUMBER(AVERAGE('20250815_ETF_Options_Exhibits'!W1014:W1018)),AVERAGE('20250815_ETF_Options_Exhibits'!W1014:W1018),"")</f>
        <v/>
      </c>
      <c r="X1018" s="3">
        <f>IF(ISNUMBER(AVERAGE('20250815_ETF_Options_Exhibits'!X1014:X1018)),AVERAGE('20250815_ETF_Options_Exhibits'!X1014:X1018),"")</f>
        <v/>
      </c>
      <c r="Y1018" s="3">
        <f>IF(ISNUMBER(AVERAGE('20250815_ETF_Options_Exhibits'!Y1014:Y1018)),AVERAGE('20250815_ETF_Options_Exhibits'!Y1014:Y1018),"")</f>
        <v/>
      </c>
      <c r="Z1018" s="3">
        <f>IF(ISNUMBER(AVERAGE('20250815_ETF_Options_Exhibits'!Z1014:Z1018)),AVERAGE('20250815_ETF_Options_Exhibits'!Z1014:Z1018),"")</f>
        <v/>
      </c>
      <c r="AA1018" s="3">
        <f>IF(ISNUMBER(AVERAGE('20250815_ETF_Options_Exhibits'!AA1014:AA1018)),AVERAGE('20250815_ETF_Options_Exhibits'!AA1014:AA1018),"")</f>
        <v/>
      </c>
    </row>
    <row r="1019">
      <c r="A1019" s="1" t="n">
        <v>43481</v>
      </c>
      <c r="B1019" s="3">
        <f>IF(ISNUMBER(AVERAGE('20250815_ETF_Options_Exhibits'!B1015:B1019)),AVERAGE('20250815_ETF_Options_Exhibits'!B1015:B1019),"")</f>
        <v/>
      </c>
      <c r="C1019" s="3">
        <f>IF(ISNUMBER(AVERAGE('20250815_ETF_Options_Exhibits'!C1015:C1019)),AVERAGE('20250815_ETF_Options_Exhibits'!C1015:C1019),"")</f>
        <v/>
      </c>
      <c r="D1019" s="3">
        <f>IF(ISNUMBER(AVERAGE('20250815_ETF_Options_Exhibits'!D1015:D1019)),AVERAGE('20250815_ETF_Options_Exhibits'!D1015:D1019),"")</f>
        <v/>
      </c>
      <c r="E1019" s="3">
        <f>IF(ISNUMBER(AVERAGE('20250815_ETF_Options_Exhibits'!E1015:E1019)),AVERAGE('20250815_ETF_Options_Exhibits'!E1015:E1019),"")</f>
        <v/>
      </c>
      <c r="F1019" s="3">
        <f>IF(ISNUMBER(AVERAGE('20250815_ETF_Options_Exhibits'!F1015:F1019)),AVERAGE('20250815_ETF_Options_Exhibits'!F1015:F1019),"")</f>
        <v/>
      </c>
      <c r="G1019" s="3">
        <f>IF(ISNUMBER(AVERAGE('20250815_ETF_Options_Exhibits'!G1015:G1019)),AVERAGE('20250815_ETF_Options_Exhibits'!G1015:G1019),"")</f>
        <v/>
      </c>
      <c r="H1019" s="3">
        <f>IF(ISNUMBER(AVERAGE('20250815_ETF_Options_Exhibits'!H1015:H1019)),AVERAGE('20250815_ETF_Options_Exhibits'!H1015:H1019),"")</f>
        <v/>
      </c>
      <c r="I1019" s="3">
        <f>IF(ISNUMBER(AVERAGE('20250815_ETF_Options_Exhibits'!I1015:I1019)),AVERAGE('20250815_ETF_Options_Exhibits'!I1015:I1019),"")</f>
        <v/>
      </c>
      <c r="J1019" s="3">
        <f>IF(ISNUMBER(AVERAGE('20250815_ETF_Options_Exhibits'!J1015:J1019)),AVERAGE('20250815_ETF_Options_Exhibits'!J1015:J1019),"")</f>
        <v/>
      </c>
      <c r="K1019" s="3">
        <f>IF(ISNUMBER(AVERAGE('20250815_ETF_Options_Exhibits'!K1015:K1019)),AVERAGE('20250815_ETF_Options_Exhibits'!K1015:K1019),"")</f>
        <v/>
      </c>
      <c r="L1019" s="3">
        <f>IF(ISNUMBER(AVERAGE('20250815_ETF_Options_Exhibits'!L1015:L1019)),AVERAGE('20250815_ETF_Options_Exhibits'!L1015:L1019),"")</f>
        <v/>
      </c>
      <c r="M1019" s="3">
        <f>IF(ISNUMBER(AVERAGE('20250815_ETF_Options_Exhibits'!M1015:M1019)),AVERAGE('20250815_ETF_Options_Exhibits'!M1015:M1019),"")</f>
        <v/>
      </c>
      <c r="N1019" s="3">
        <f>IF(ISNUMBER(AVERAGE('20250815_ETF_Options_Exhibits'!N1015:N1019)),AVERAGE('20250815_ETF_Options_Exhibits'!N1015:N1019),"")</f>
        <v/>
      </c>
      <c r="O1019" s="3">
        <f>IF(ISNUMBER(AVERAGE('20250815_ETF_Options_Exhibits'!O1015:O1019)),AVERAGE('20250815_ETF_Options_Exhibits'!O1015:O1019),"")</f>
        <v/>
      </c>
      <c r="P1019" s="3">
        <f>IF(ISNUMBER(AVERAGE('20250815_ETF_Options_Exhibits'!P1015:P1019)),AVERAGE('20250815_ETF_Options_Exhibits'!P1015:P1019),"")</f>
        <v/>
      </c>
      <c r="Q1019" s="3">
        <f>IF(ISNUMBER(AVERAGE('20250815_ETF_Options_Exhibits'!Q1015:Q1019)),AVERAGE('20250815_ETF_Options_Exhibits'!Q1015:Q1019),"")</f>
        <v/>
      </c>
      <c r="R1019" s="3">
        <f>IF(ISNUMBER(AVERAGE('20250815_ETF_Options_Exhibits'!R1015:R1019)),AVERAGE('20250815_ETF_Options_Exhibits'!R1015:R1019),"")</f>
        <v/>
      </c>
      <c r="S1019" s="3">
        <f>IF(ISNUMBER(AVERAGE('20250815_ETF_Options_Exhibits'!S1015:S1019)),AVERAGE('20250815_ETF_Options_Exhibits'!S1015:S1019),"")</f>
        <v/>
      </c>
      <c r="T1019" s="3">
        <f>IF(ISNUMBER(AVERAGE('20250815_ETF_Options_Exhibits'!T1015:T1019)),AVERAGE('20250815_ETF_Options_Exhibits'!T1015:T1019),"")</f>
        <v/>
      </c>
      <c r="U1019" s="3">
        <f>IF(ISNUMBER(AVERAGE('20250815_ETF_Options_Exhibits'!U1015:U1019)),AVERAGE('20250815_ETF_Options_Exhibits'!U1015:U1019),"")</f>
        <v/>
      </c>
      <c r="V1019" s="3">
        <f>IF(ISNUMBER(AVERAGE('20250815_ETF_Options_Exhibits'!V1015:V1019)),AVERAGE('20250815_ETF_Options_Exhibits'!V1015:V1019),"")</f>
        <v/>
      </c>
      <c r="W1019" s="3">
        <f>IF(ISNUMBER(AVERAGE('20250815_ETF_Options_Exhibits'!W1015:W1019)),AVERAGE('20250815_ETF_Options_Exhibits'!W1015:W1019),"")</f>
        <v/>
      </c>
      <c r="X1019" s="3">
        <f>IF(ISNUMBER(AVERAGE('20250815_ETF_Options_Exhibits'!X1015:X1019)),AVERAGE('20250815_ETF_Options_Exhibits'!X1015:X1019),"")</f>
        <v/>
      </c>
      <c r="Y1019" s="3">
        <f>IF(ISNUMBER(AVERAGE('20250815_ETF_Options_Exhibits'!Y1015:Y1019)),AVERAGE('20250815_ETF_Options_Exhibits'!Y1015:Y1019),"")</f>
        <v/>
      </c>
      <c r="Z1019" s="3">
        <f>IF(ISNUMBER(AVERAGE('20250815_ETF_Options_Exhibits'!Z1015:Z1019)),AVERAGE('20250815_ETF_Options_Exhibits'!Z1015:Z1019),"")</f>
        <v/>
      </c>
      <c r="AA1019" s="3">
        <f>IF(ISNUMBER(AVERAGE('20250815_ETF_Options_Exhibits'!AA1015:AA1019)),AVERAGE('20250815_ETF_Options_Exhibits'!AA1015:AA1019),"")</f>
        <v/>
      </c>
    </row>
    <row r="1020">
      <c r="A1020" s="1" t="n">
        <v>43482</v>
      </c>
      <c r="B1020" s="3">
        <f>IF(ISNUMBER(AVERAGE('20250815_ETF_Options_Exhibits'!B1016:B1020)),AVERAGE('20250815_ETF_Options_Exhibits'!B1016:B1020),"")</f>
        <v/>
      </c>
      <c r="C1020" s="3">
        <f>IF(ISNUMBER(AVERAGE('20250815_ETF_Options_Exhibits'!C1016:C1020)),AVERAGE('20250815_ETF_Options_Exhibits'!C1016:C1020),"")</f>
        <v/>
      </c>
      <c r="D1020" s="3">
        <f>IF(ISNUMBER(AVERAGE('20250815_ETF_Options_Exhibits'!D1016:D1020)),AVERAGE('20250815_ETF_Options_Exhibits'!D1016:D1020),"")</f>
        <v/>
      </c>
      <c r="E1020" s="3">
        <f>IF(ISNUMBER(AVERAGE('20250815_ETF_Options_Exhibits'!E1016:E1020)),AVERAGE('20250815_ETF_Options_Exhibits'!E1016:E1020),"")</f>
        <v/>
      </c>
      <c r="F1020" s="3">
        <f>IF(ISNUMBER(AVERAGE('20250815_ETF_Options_Exhibits'!F1016:F1020)),AVERAGE('20250815_ETF_Options_Exhibits'!F1016:F1020),"")</f>
        <v/>
      </c>
      <c r="G1020" s="3">
        <f>IF(ISNUMBER(AVERAGE('20250815_ETF_Options_Exhibits'!G1016:G1020)),AVERAGE('20250815_ETF_Options_Exhibits'!G1016:G1020),"")</f>
        <v/>
      </c>
      <c r="H1020" s="3">
        <f>IF(ISNUMBER(AVERAGE('20250815_ETF_Options_Exhibits'!H1016:H1020)),AVERAGE('20250815_ETF_Options_Exhibits'!H1016:H1020),"")</f>
        <v/>
      </c>
      <c r="I1020" s="3">
        <f>IF(ISNUMBER(AVERAGE('20250815_ETF_Options_Exhibits'!I1016:I1020)),AVERAGE('20250815_ETF_Options_Exhibits'!I1016:I1020),"")</f>
        <v/>
      </c>
      <c r="J1020" s="3">
        <f>IF(ISNUMBER(AVERAGE('20250815_ETF_Options_Exhibits'!J1016:J1020)),AVERAGE('20250815_ETF_Options_Exhibits'!J1016:J1020),"")</f>
        <v/>
      </c>
      <c r="K1020" s="3">
        <f>IF(ISNUMBER(AVERAGE('20250815_ETF_Options_Exhibits'!K1016:K1020)),AVERAGE('20250815_ETF_Options_Exhibits'!K1016:K1020),"")</f>
        <v/>
      </c>
      <c r="L1020" s="3">
        <f>IF(ISNUMBER(AVERAGE('20250815_ETF_Options_Exhibits'!L1016:L1020)),AVERAGE('20250815_ETF_Options_Exhibits'!L1016:L1020),"")</f>
        <v/>
      </c>
      <c r="M1020" s="3">
        <f>IF(ISNUMBER(AVERAGE('20250815_ETF_Options_Exhibits'!M1016:M1020)),AVERAGE('20250815_ETF_Options_Exhibits'!M1016:M1020),"")</f>
        <v/>
      </c>
      <c r="N1020" s="3">
        <f>IF(ISNUMBER(AVERAGE('20250815_ETF_Options_Exhibits'!N1016:N1020)),AVERAGE('20250815_ETF_Options_Exhibits'!N1016:N1020),"")</f>
        <v/>
      </c>
      <c r="O1020" s="3">
        <f>IF(ISNUMBER(AVERAGE('20250815_ETF_Options_Exhibits'!O1016:O1020)),AVERAGE('20250815_ETF_Options_Exhibits'!O1016:O1020),"")</f>
        <v/>
      </c>
      <c r="P1020" s="3">
        <f>IF(ISNUMBER(AVERAGE('20250815_ETF_Options_Exhibits'!P1016:P1020)),AVERAGE('20250815_ETF_Options_Exhibits'!P1016:P1020),"")</f>
        <v/>
      </c>
      <c r="Q1020" s="3">
        <f>IF(ISNUMBER(AVERAGE('20250815_ETF_Options_Exhibits'!Q1016:Q1020)),AVERAGE('20250815_ETF_Options_Exhibits'!Q1016:Q1020),"")</f>
        <v/>
      </c>
      <c r="R1020" s="3">
        <f>IF(ISNUMBER(AVERAGE('20250815_ETF_Options_Exhibits'!R1016:R1020)),AVERAGE('20250815_ETF_Options_Exhibits'!R1016:R1020),"")</f>
        <v/>
      </c>
      <c r="S1020" s="3">
        <f>IF(ISNUMBER(AVERAGE('20250815_ETF_Options_Exhibits'!S1016:S1020)),AVERAGE('20250815_ETF_Options_Exhibits'!S1016:S1020),"")</f>
        <v/>
      </c>
      <c r="T1020" s="3">
        <f>IF(ISNUMBER(AVERAGE('20250815_ETF_Options_Exhibits'!T1016:T1020)),AVERAGE('20250815_ETF_Options_Exhibits'!T1016:T1020),"")</f>
        <v/>
      </c>
      <c r="U1020" s="3">
        <f>IF(ISNUMBER(AVERAGE('20250815_ETF_Options_Exhibits'!U1016:U1020)),AVERAGE('20250815_ETF_Options_Exhibits'!U1016:U1020),"")</f>
        <v/>
      </c>
      <c r="V1020" s="3">
        <f>IF(ISNUMBER(AVERAGE('20250815_ETF_Options_Exhibits'!V1016:V1020)),AVERAGE('20250815_ETF_Options_Exhibits'!V1016:V1020),"")</f>
        <v/>
      </c>
      <c r="W1020" s="3">
        <f>IF(ISNUMBER(AVERAGE('20250815_ETF_Options_Exhibits'!W1016:W1020)),AVERAGE('20250815_ETF_Options_Exhibits'!W1016:W1020),"")</f>
        <v/>
      </c>
      <c r="X1020" s="3">
        <f>IF(ISNUMBER(AVERAGE('20250815_ETF_Options_Exhibits'!X1016:X1020)),AVERAGE('20250815_ETF_Options_Exhibits'!X1016:X1020),"")</f>
        <v/>
      </c>
      <c r="Y1020" s="3">
        <f>IF(ISNUMBER(AVERAGE('20250815_ETF_Options_Exhibits'!Y1016:Y1020)),AVERAGE('20250815_ETF_Options_Exhibits'!Y1016:Y1020),"")</f>
        <v/>
      </c>
      <c r="Z1020" s="3">
        <f>IF(ISNUMBER(AVERAGE('20250815_ETF_Options_Exhibits'!Z1016:Z1020)),AVERAGE('20250815_ETF_Options_Exhibits'!Z1016:Z1020),"")</f>
        <v/>
      </c>
      <c r="AA1020" s="3">
        <f>IF(ISNUMBER(AVERAGE('20250815_ETF_Options_Exhibits'!AA1016:AA1020)),AVERAGE('20250815_ETF_Options_Exhibits'!AA1016:AA1020),"")</f>
        <v/>
      </c>
    </row>
    <row r="1021">
      <c r="A1021" s="1" t="n">
        <v>43483</v>
      </c>
      <c r="B1021" s="3">
        <f>IF(ISNUMBER(AVERAGE('20250815_ETF_Options_Exhibits'!B1017:B1021)),AVERAGE('20250815_ETF_Options_Exhibits'!B1017:B1021),"")</f>
        <v/>
      </c>
      <c r="C1021" s="3">
        <f>IF(ISNUMBER(AVERAGE('20250815_ETF_Options_Exhibits'!C1017:C1021)),AVERAGE('20250815_ETF_Options_Exhibits'!C1017:C1021),"")</f>
        <v/>
      </c>
      <c r="D1021" s="3">
        <f>IF(ISNUMBER(AVERAGE('20250815_ETF_Options_Exhibits'!D1017:D1021)),AVERAGE('20250815_ETF_Options_Exhibits'!D1017:D1021),"")</f>
        <v/>
      </c>
      <c r="E1021" s="3">
        <f>IF(ISNUMBER(AVERAGE('20250815_ETF_Options_Exhibits'!E1017:E1021)),AVERAGE('20250815_ETF_Options_Exhibits'!E1017:E1021),"")</f>
        <v/>
      </c>
      <c r="F1021" s="3">
        <f>IF(ISNUMBER(AVERAGE('20250815_ETF_Options_Exhibits'!F1017:F1021)),AVERAGE('20250815_ETF_Options_Exhibits'!F1017:F1021),"")</f>
        <v/>
      </c>
      <c r="G1021" s="3">
        <f>IF(ISNUMBER(AVERAGE('20250815_ETF_Options_Exhibits'!G1017:G1021)),AVERAGE('20250815_ETF_Options_Exhibits'!G1017:G1021),"")</f>
        <v/>
      </c>
      <c r="H1021" s="3">
        <f>IF(ISNUMBER(AVERAGE('20250815_ETF_Options_Exhibits'!H1017:H1021)),AVERAGE('20250815_ETF_Options_Exhibits'!H1017:H1021),"")</f>
        <v/>
      </c>
      <c r="I1021" s="3">
        <f>IF(ISNUMBER(AVERAGE('20250815_ETF_Options_Exhibits'!I1017:I1021)),AVERAGE('20250815_ETF_Options_Exhibits'!I1017:I1021),"")</f>
        <v/>
      </c>
      <c r="J1021" s="3">
        <f>IF(ISNUMBER(AVERAGE('20250815_ETF_Options_Exhibits'!J1017:J1021)),AVERAGE('20250815_ETF_Options_Exhibits'!J1017:J1021),"")</f>
        <v/>
      </c>
      <c r="K1021" s="3">
        <f>IF(ISNUMBER(AVERAGE('20250815_ETF_Options_Exhibits'!K1017:K1021)),AVERAGE('20250815_ETF_Options_Exhibits'!K1017:K1021),"")</f>
        <v/>
      </c>
      <c r="L1021" s="3">
        <f>IF(ISNUMBER(AVERAGE('20250815_ETF_Options_Exhibits'!L1017:L1021)),AVERAGE('20250815_ETF_Options_Exhibits'!L1017:L1021),"")</f>
        <v/>
      </c>
      <c r="M1021" s="3">
        <f>IF(ISNUMBER(AVERAGE('20250815_ETF_Options_Exhibits'!M1017:M1021)),AVERAGE('20250815_ETF_Options_Exhibits'!M1017:M1021),"")</f>
        <v/>
      </c>
      <c r="N1021" s="3">
        <f>IF(ISNUMBER(AVERAGE('20250815_ETF_Options_Exhibits'!N1017:N1021)),AVERAGE('20250815_ETF_Options_Exhibits'!N1017:N1021),"")</f>
        <v/>
      </c>
      <c r="O1021" s="3">
        <f>IF(ISNUMBER(AVERAGE('20250815_ETF_Options_Exhibits'!O1017:O1021)),AVERAGE('20250815_ETF_Options_Exhibits'!O1017:O1021),"")</f>
        <v/>
      </c>
      <c r="P1021" s="3">
        <f>IF(ISNUMBER(AVERAGE('20250815_ETF_Options_Exhibits'!P1017:P1021)),AVERAGE('20250815_ETF_Options_Exhibits'!P1017:P1021),"")</f>
        <v/>
      </c>
      <c r="Q1021" s="3">
        <f>IF(ISNUMBER(AVERAGE('20250815_ETF_Options_Exhibits'!Q1017:Q1021)),AVERAGE('20250815_ETF_Options_Exhibits'!Q1017:Q1021),"")</f>
        <v/>
      </c>
      <c r="R1021" s="3">
        <f>IF(ISNUMBER(AVERAGE('20250815_ETF_Options_Exhibits'!R1017:R1021)),AVERAGE('20250815_ETF_Options_Exhibits'!R1017:R1021),"")</f>
        <v/>
      </c>
      <c r="S1021" s="3">
        <f>IF(ISNUMBER(AVERAGE('20250815_ETF_Options_Exhibits'!S1017:S1021)),AVERAGE('20250815_ETF_Options_Exhibits'!S1017:S1021),"")</f>
        <v/>
      </c>
      <c r="T1021" s="3">
        <f>IF(ISNUMBER(AVERAGE('20250815_ETF_Options_Exhibits'!T1017:T1021)),AVERAGE('20250815_ETF_Options_Exhibits'!T1017:T1021),"")</f>
        <v/>
      </c>
      <c r="U1021" s="3">
        <f>IF(ISNUMBER(AVERAGE('20250815_ETF_Options_Exhibits'!U1017:U1021)),AVERAGE('20250815_ETF_Options_Exhibits'!U1017:U1021),"")</f>
        <v/>
      </c>
      <c r="V1021" s="3">
        <f>IF(ISNUMBER(AVERAGE('20250815_ETF_Options_Exhibits'!V1017:V1021)),AVERAGE('20250815_ETF_Options_Exhibits'!V1017:V1021),"")</f>
        <v/>
      </c>
      <c r="W1021" s="3">
        <f>IF(ISNUMBER(AVERAGE('20250815_ETF_Options_Exhibits'!W1017:W1021)),AVERAGE('20250815_ETF_Options_Exhibits'!W1017:W1021),"")</f>
        <v/>
      </c>
      <c r="X1021" s="3">
        <f>IF(ISNUMBER(AVERAGE('20250815_ETF_Options_Exhibits'!X1017:X1021)),AVERAGE('20250815_ETF_Options_Exhibits'!X1017:X1021),"")</f>
        <v/>
      </c>
      <c r="Y1021" s="3">
        <f>IF(ISNUMBER(AVERAGE('20250815_ETF_Options_Exhibits'!Y1017:Y1021)),AVERAGE('20250815_ETF_Options_Exhibits'!Y1017:Y1021),"")</f>
        <v/>
      </c>
      <c r="Z1021" s="3">
        <f>IF(ISNUMBER(AVERAGE('20250815_ETF_Options_Exhibits'!Z1017:Z1021)),AVERAGE('20250815_ETF_Options_Exhibits'!Z1017:Z1021),"")</f>
        <v/>
      </c>
      <c r="AA1021" s="3">
        <f>IF(ISNUMBER(AVERAGE('20250815_ETF_Options_Exhibits'!AA1017:AA1021)),AVERAGE('20250815_ETF_Options_Exhibits'!AA1017:AA1021),"")</f>
        <v/>
      </c>
    </row>
    <row r="1022">
      <c r="A1022" s="1" t="n">
        <v>43487</v>
      </c>
      <c r="B1022" s="3">
        <f>IF(ISNUMBER(AVERAGE('20250815_ETF_Options_Exhibits'!B1018:B1022)),AVERAGE('20250815_ETF_Options_Exhibits'!B1018:B1022),"")</f>
        <v/>
      </c>
      <c r="C1022" s="3">
        <f>IF(ISNUMBER(AVERAGE('20250815_ETF_Options_Exhibits'!C1018:C1022)),AVERAGE('20250815_ETF_Options_Exhibits'!C1018:C1022),"")</f>
        <v/>
      </c>
      <c r="D1022" s="3">
        <f>IF(ISNUMBER(AVERAGE('20250815_ETF_Options_Exhibits'!D1018:D1022)),AVERAGE('20250815_ETF_Options_Exhibits'!D1018:D1022),"")</f>
        <v/>
      </c>
      <c r="E1022" s="3">
        <f>IF(ISNUMBER(AVERAGE('20250815_ETF_Options_Exhibits'!E1018:E1022)),AVERAGE('20250815_ETF_Options_Exhibits'!E1018:E1022),"")</f>
        <v/>
      </c>
      <c r="F1022" s="3">
        <f>IF(ISNUMBER(AVERAGE('20250815_ETF_Options_Exhibits'!F1018:F1022)),AVERAGE('20250815_ETF_Options_Exhibits'!F1018:F1022),"")</f>
        <v/>
      </c>
      <c r="G1022" s="3">
        <f>IF(ISNUMBER(AVERAGE('20250815_ETF_Options_Exhibits'!G1018:G1022)),AVERAGE('20250815_ETF_Options_Exhibits'!G1018:G1022),"")</f>
        <v/>
      </c>
      <c r="H1022" s="3">
        <f>IF(ISNUMBER(AVERAGE('20250815_ETF_Options_Exhibits'!H1018:H1022)),AVERAGE('20250815_ETF_Options_Exhibits'!H1018:H1022),"")</f>
        <v/>
      </c>
      <c r="I1022" s="3">
        <f>IF(ISNUMBER(AVERAGE('20250815_ETF_Options_Exhibits'!I1018:I1022)),AVERAGE('20250815_ETF_Options_Exhibits'!I1018:I1022),"")</f>
        <v/>
      </c>
      <c r="J1022" s="3">
        <f>IF(ISNUMBER(AVERAGE('20250815_ETF_Options_Exhibits'!J1018:J1022)),AVERAGE('20250815_ETF_Options_Exhibits'!J1018:J1022),"")</f>
        <v/>
      </c>
      <c r="K1022" s="3">
        <f>IF(ISNUMBER(AVERAGE('20250815_ETF_Options_Exhibits'!K1018:K1022)),AVERAGE('20250815_ETF_Options_Exhibits'!K1018:K1022),"")</f>
        <v/>
      </c>
      <c r="L1022" s="3">
        <f>IF(ISNUMBER(AVERAGE('20250815_ETF_Options_Exhibits'!L1018:L1022)),AVERAGE('20250815_ETF_Options_Exhibits'!L1018:L1022),"")</f>
        <v/>
      </c>
      <c r="M1022" s="3">
        <f>IF(ISNUMBER(AVERAGE('20250815_ETF_Options_Exhibits'!M1018:M1022)),AVERAGE('20250815_ETF_Options_Exhibits'!M1018:M1022),"")</f>
        <v/>
      </c>
      <c r="N1022" s="3">
        <f>IF(ISNUMBER(AVERAGE('20250815_ETF_Options_Exhibits'!N1018:N1022)),AVERAGE('20250815_ETF_Options_Exhibits'!N1018:N1022),"")</f>
        <v/>
      </c>
      <c r="O1022" s="3">
        <f>IF(ISNUMBER(AVERAGE('20250815_ETF_Options_Exhibits'!O1018:O1022)),AVERAGE('20250815_ETF_Options_Exhibits'!O1018:O1022),"")</f>
        <v/>
      </c>
      <c r="P1022" s="3">
        <f>IF(ISNUMBER(AVERAGE('20250815_ETF_Options_Exhibits'!P1018:P1022)),AVERAGE('20250815_ETF_Options_Exhibits'!P1018:P1022),"")</f>
        <v/>
      </c>
      <c r="Q1022" s="3">
        <f>IF(ISNUMBER(AVERAGE('20250815_ETF_Options_Exhibits'!Q1018:Q1022)),AVERAGE('20250815_ETF_Options_Exhibits'!Q1018:Q1022),"")</f>
        <v/>
      </c>
      <c r="R1022" s="3">
        <f>IF(ISNUMBER(AVERAGE('20250815_ETF_Options_Exhibits'!R1018:R1022)),AVERAGE('20250815_ETF_Options_Exhibits'!R1018:R1022),"")</f>
        <v/>
      </c>
      <c r="S1022" s="3">
        <f>IF(ISNUMBER(AVERAGE('20250815_ETF_Options_Exhibits'!S1018:S1022)),AVERAGE('20250815_ETF_Options_Exhibits'!S1018:S1022),"")</f>
        <v/>
      </c>
      <c r="T1022" s="3">
        <f>IF(ISNUMBER(AVERAGE('20250815_ETF_Options_Exhibits'!T1018:T1022)),AVERAGE('20250815_ETF_Options_Exhibits'!T1018:T1022),"")</f>
        <v/>
      </c>
      <c r="U1022" s="3">
        <f>IF(ISNUMBER(AVERAGE('20250815_ETF_Options_Exhibits'!U1018:U1022)),AVERAGE('20250815_ETF_Options_Exhibits'!U1018:U1022),"")</f>
        <v/>
      </c>
      <c r="V1022" s="3">
        <f>IF(ISNUMBER(AVERAGE('20250815_ETF_Options_Exhibits'!V1018:V1022)),AVERAGE('20250815_ETF_Options_Exhibits'!V1018:V1022),"")</f>
        <v/>
      </c>
      <c r="W1022" s="3">
        <f>IF(ISNUMBER(AVERAGE('20250815_ETF_Options_Exhibits'!W1018:W1022)),AVERAGE('20250815_ETF_Options_Exhibits'!W1018:W1022),"")</f>
        <v/>
      </c>
      <c r="X1022" s="3">
        <f>IF(ISNUMBER(AVERAGE('20250815_ETF_Options_Exhibits'!X1018:X1022)),AVERAGE('20250815_ETF_Options_Exhibits'!X1018:X1022),"")</f>
        <v/>
      </c>
      <c r="Y1022" s="3">
        <f>IF(ISNUMBER(AVERAGE('20250815_ETF_Options_Exhibits'!Y1018:Y1022)),AVERAGE('20250815_ETF_Options_Exhibits'!Y1018:Y1022),"")</f>
        <v/>
      </c>
      <c r="Z1022" s="3">
        <f>IF(ISNUMBER(AVERAGE('20250815_ETF_Options_Exhibits'!Z1018:Z1022)),AVERAGE('20250815_ETF_Options_Exhibits'!Z1018:Z1022),"")</f>
        <v/>
      </c>
      <c r="AA1022" s="3">
        <f>IF(ISNUMBER(AVERAGE('20250815_ETF_Options_Exhibits'!AA1018:AA1022)),AVERAGE('20250815_ETF_Options_Exhibits'!AA1018:AA1022),"")</f>
        <v/>
      </c>
    </row>
    <row r="1023">
      <c r="A1023" s="1" t="n">
        <v>43488</v>
      </c>
      <c r="B1023" s="3">
        <f>IF(ISNUMBER(AVERAGE('20250815_ETF_Options_Exhibits'!B1019:B1023)),AVERAGE('20250815_ETF_Options_Exhibits'!B1019:B1023),"")</f>
        <v/>
      </c>
      <c r="C1023" s="3">
        <f>IF(ISNUMBER(AVERAGE('20250815_ETF_Options_Exhibits'!C1019:C1023)),AVERAGE('20250815_ETF_Options_Exhibits'!C1019:C1023),"")</f>
        <v/>
      </c>
      <c r="D1023" s="3">
        <f>IF(ISNUMBER(AVERAGE('20250815_ETF_Options_Exhibits'!D1019:D1023)),AVERAGE('20250815_ETF_Options_Exhibits'!D1019:D1023),"")</f>
        <v/>
      </c>
      <c r="E1023" s="3">
        <f>IF(ISNUMBER(AVERAGE('20250815_ETF_Options_Exhibits'!E1019:E1023)),AVERAGE('20250815_ETF_Options_Exhibits'!E1019:E1023),"")</f>
        <v/>
      </c>
      <c r="F1023" s="3">
        <f>IF(ISNUMBER(AVERAGE('20250815_ETF_Options_Exhibits'!F1019:F1023)),AVERAGE('20250815_ETF_Options_Exhibits'!F1019:F1023),"")</f>
        <v/>
      </c>
      <c r="G1023" s="3">
        <f>IF(ISNUMBER(AVERAGE('20250815_ETF_Options_Exhibits'!G1019:G1023)),AVERAGE('20250815_ETF_Options_Exhibits'!G1019:G1023),"")</f>
        <v/>
      </c>
      <c r="H1023" s="3">
        <f>IF(ISNUMBER(AVERAGE('20250815_ETF_Options_Exhibits'!H1019:H1023)),AVERAGE('20250815_ETF_Options_Exhibits'!H1019:H1023),"")</f>
        <v/>
      </c>
      <c r="I1023" s="3">
        <f>IF(ISNUMBER(AVERAGE('20250815_ETF_Options_Exhibits'!I1019:I1023)),AVERAGE('20250815_ETF_Options_Exhibits'!I1019:I1023),"")</f>
        <v/>
      </c>
      <c r="J1023" s="3">
        <f>IF(ISNUMBER(AVERAGE('20250815_ETF_Options_Exhibits'!J1019:J1023)),AVERAGE('20250815_ETF_Options_Exhibits'!J1019:J1023),"")</f>
        <v/>
      </c>
      <c r="K1023" s="3">
        <f>IF(ISNUMBER(AVERAGE('20250815_ETF_Options_Exhibits'!K1019:K1023)),AVERAGE('20250815_ETF_Options_Exhibits'!K1019:K1023),"")</f>
        <v/>
      </c>
      <c r="L1023" s="3">
        <f>IF(ISNUMBER(AVERAGE('20250815_ETF_Options_Exhibits'!L1019:L1023)),AVERAGE('20250815_ETF_Options_Exhibits'!L1019:L1023),"")</f>
        <v/>
      </c>
      <c r="M1023" s="3">
        <f>IF(ISNUMBER(AVERAGE('20250815_ETF_Options_Exhibits'!M1019:M1023)),AVERAGE('20250815_ETF_Options_Exhibits'!M1019:M1023),"")</f>
        <v/>
      </c>
      <c r="N1023" s="3">
        <f>IF(ISNUMBER(AVERAGE('20250815_ETF_Options_Exhibits'!N1019:N1023)),AVERAGE('20250815_ETF_Options_Exhibits'!N1019:N1023),"")</f>
        <v/>
      </c>
      <c r="O1023" s="3">
        <f>IF(ISNUMBER(AVERAGE('20250815_ETF_Options_Exhibits'!O1019:O1023)),AVERAGE('20250815_ETF_Options_Exhibits'!O1019:O1023),"")</f>
        <v/>
      </c>
      <c r="P1023" s="3">
        <f>IF(ISNUMBER(AVERAGE('20250815_ETF_Options_Exhibits'!P1019:P1023)),AVERAGE('20250815_ETF_Options_Exhibits'!P1019:P1023),"")</f>
        <v/>
      </c>
      <c r="Q1023" s="3">
        <f>IF(ISNUMBER(AVERAGE('20250815_ETF_Options_Exhibits'!Q1019:Q1023)),AVERAGE('20250815_ETF_Options_Exhibits'!Q1019:Q1023),"")</f>
        <v/>
      </c>
      <c r="R1023" s="3">
        <f>IF(ISNUMBER(AVERAGE('20250815_ETF_Options_Exhibits'!R1019:R1023)),AVERAGE('20250815_ETF_Options_Exhibits'!R1019:R1023),"")</f>
        <v/>
      </c>
      <c r="S1023" s="3">
        <f>IF(ISNUMBER(AVERAGE('20250815_ETF_Options_Exhibits'!S1019:S1023)),AVERAGE('20250815_ETF_Options_Exhibits'!S1019:S1023),"")</f>
        <v/>
      </c>
      <c r="T1023" s="3">
        <f>IF(ISNUMBER(AVERAGE('20250815_ETF_Options_Exhibits'!T1019:T1023)),AVERAGE('20250815_ETF_Options_Exhibits'!T1019:T1023),"")</f>
        <v/>
      </c>
      <c r="U1023" s="3">
        <f>IF(ISNUMBER(AVERAGE('20250815_ETF_Options_Exhibits'!U1019:U1023)),AVERAGE('20250815_ETF_Options_Exhibits'!U1019:U1023),"")</f>
        <v/>
      </c>
      <c r="V1023" s="3">
        <f>IF(ISNUMBER(AVERAGE('20250815_ETF_Options_Exhibits'!V1019:V1023)),AVERAGE('20250815_ETF_Options_Exhibits'!V1019:V1023),"")</f>
        <v/>
      </c>
      <c r="W1023" s="3">
        <f>IF(ISNUMBER(AVERAGE('20250815_ETF_Options_Exhibits'!W1019:W1023)),AVERAGE('20250815_ETF_Options_Exhibits'!W1019:W1023),"")</f>
        <v/>
      </c>
      <c r="X1023" s="3">
        <f>IF(ISNUMBER(AVERAGE('20250815_ETF_Options_Exhibits'!X1019:X1023)),AVERAGE('20250815_ETF_Options_Exhibits'!X1019:X1023),"")</f>
        <v/>
      </c>
      <c r="Y1023" s="3">
        <f>IF(ISNUMBER(AVERAGE('20250815_ETF_Options_Exhibits'!Y1019:Y1023)),AVERAGE('20250815_ETF_Options_Exhibits'!Y1019:Y1023),"")</f>
        <v/>
      </c>
      <c r="Z1023" s="3">
        <f>IF(ISNUMBER(AVERAGE('20250815_ETF_Options_Exhibits'!Z1019:Z1023)),AVERAGE('20250815_ETF_Options_Exhibits'!Z1019:Z1023),"")</f>
        <v/>
      </c>
      <c r="AA1023" s="3">
        <f>IF(ISNUMBER(AVERAGE('20250815_ETF_Options_Exhibits'!AA1019:AA1023)),AVERAGE('20250815_ETF_Options_Exhibits'!AA1019:AA1023),"")</f>
        <v/>
      </c>
    </row>
    <row r="1024">
      <c r="A1024" s="1" t="n">
        <v>43489</v>
      </c>
      <c r="B1024" s="3">
        <f>IF(ISNUMBER(AVERAGE('20250815_ETF_Options_Exhibits'!B1020:B1024)),AVERAGE('20250815_ETF_Options_Exhibits'!B1020:B1024),"")</f>
        <v/>
      </c>
      <c r="C1024" s="3">
        <f>IF(ISNUMBER(AVERAGE('20250815_ETF_Options_Exhibits'!C1020:C1024)),AVERAGE('20250815_ETF_Options_Exhibits'!C1020:C1024),"")</f>
        <v/>
      </c>
      <c r="D1024" s="3">
        <f>IF(ISNUMBER(AVERAGE('20250815_ETF_Options_Exhibits'!D1020:D1024)),AVERAGE('20250815_ETF_Options_Exhibits'!D1020:D1024),"")</f>
        <v/>
      </c>
      <c r="E1024" s="3">
        <f>IF(ISNUMBER(AVERAGE('20250815_ETF_Options_Exhibits'!E1020:E1024)),AVERAGE('20250815_ETF_Options_Exhibits'!E1020:E1024),"")</f>
        <v/>
      </c>
      <c r="F1024" s="3">
        <f>IF(ISNUMBER(AVERAGE('20250815_ETF_Options_Exhibits'!F1020:F1024)),AVERAGE('20250815_ETF_Options_Exhibits'!F1020:F1024),"")</f>
        <v/>
      </c>
      <c r="G1024" s="3">
        <f>IF(ISNUMBER(AVERAGE('20250815_ETF_Options_Exhibits'!G1020:G1024)),AVERAGE('20250815_ETF_Options_Exhibits'!G1020:G1024),"")</f>
        <v/>
      </c>
      <c r="H1024" s="3">
        <f>IF(ISNUMBER(AVERAGE('20250815_ETF_Options_Exhibits'!H1020:H1024)),AVERAGE('20250815_ETF_Options_Exhibits'!H1020:H1024),"")</f>
        <v/>
      </c>
      <c r="I1024" s="3">
        <f>IF(ISNUMBER(AVERAGE('20250815_ETF_Options_Exhibits'!I1020:I1024)),AVERAGE('20250815_ETF_Options_Exhibits'!I1020:I1024),"")</f>
        <v/>
      </c>
      <c r="J1024" s="3">
        <f>IF(ISNUMBER(AVERAGE('20250815_ETF_Options_Exhibits'!J1020:J1024)),AVERAGE('20250815_ETF_Options_Exhibits'!J1020:J1024),"")</f>
        <v/>
      </c>
      <c r="K1024" s="3">
        <f>IF(ISNUMBER(AVERAGE('20250815_ETF_Options_Exhibits'!K1020:K1024)),AVERAGE('20250815_ETF_Options_Exhibits'!K1020:K1024),"")</f>
        <v/>
      </c>
      <c r="L1024" s="3">
        <f>IF(ISNUMBER(AVERAGE('20250815_ETF_Options_Exhibits'!L1020:L1024)),AVERAGE('20250815_ETF_Options_Exhibits'!L1020:L1024),"")</f>
        <v/>
      </c>
      <c r="M1024" s="3">
        <f>IF(ISNUMBER(AVERAGE('20250815_ETF_Options_Exhibits'!M1020:M1024)),AVERAGE('20250815_ETF_Options_Exhibits'!M1020:M1024),"")</f>
        <v/>
      </c>
      <c r="N1024" s="3">
        <f>IF(ISNUMBER(AVERAGE('20250815_ETF_Options_Exhibits'!N1020:N1024)),AVERAGE('20250815_ETF_Options_Exhibits'!N1020:N1024),"")</f>
        <v/>
      </c>
      <c r="O1024" s="3">
        <f>IF(ISNUMBER(AVERAGE('20250815_ETF_Options_Exhibits'!O1020:O1024)),AVERAGE('20250815_ETF_Options_Exhibits'!O1020:O1024),"")</f>
        <v/>
      </c>
      <c r="P1024" s="3">
        <f>IF(ISNUMBER(AVERAGE('20250815_ETF_Options_Exhibits'!P1020:P1024)),AVERAGE('20250815_ETF_Options_Exhibits'!P1020:P1024),"")</f>
        <v/>
      </c>
      <c r="Q1024" s="3">
        <f>IF(ISNUMBER(AVERAGE('20250815_ETF_Options_Exhibits'!Q1020:Q1024)),AVERAGE('20250815_ETF_Options_Exhibits'!Q1020:Q1024),"")</f>
        <v/>
      </c>
      <c r="R1024" s="3">
        <f>IF(ISNUMBER(AVERAGE('20250815_ETF_Options_Exhibits'!R1020:R1024)),AVERAGE('20250815_ETF_Options_Exhibits'!R1020:R1024),"")</f>
        <v/>
      </c>
      <c r="S1024" s="3">
        <f>IF(ISNUMBER(AVERAGE('20250815_ETF_Options_Exhibits'!S1020:S1024)),AVERAGE('20250815_ETF_Options_Exhibits'!S1020:S1024),"")</f>
        <v/>
      </c>
      <c r="T1024" s="3">
        <f>IF(ISNUMBER(AVERAGE('20250815_ETF_Options_Exhibits'!T1020:T1024)),AVERAGE('20250815_ETF_Options_Exhibits'!T1020:T1024),"")</f>
        <v/>
      </c>
      <c r="U1024" s="3">
        <f>IF(ISNUMBER(AVERAGE('20250815_ETF_Options_Exhibits'!U1020:U1024)),AVERAGE('20250815_ETF_Options_Exhibits'!U1020:U1024),"")</f>
        <v/>
      </c>
      <c r="V1024" s="3">
        <f>IF(ISNUMBER(AVERAGE('20250815_ETF_Options_Exhibits'!V1020:V1024)),AVERAGE('20250815_ETF_Options_Exhibits'!V1020:V1024),"")</f>
        <v/>
      </c>
      <c r="W1024" s="3">
        <f>IF(ISNUMBER(AVERAGE('20250815_ETF_Options_Exhibits'!W1020:W1024)),AVERAGE('20250815_ETF_Options_Exhibits'!W1020:W1024),"")</f>
        <v/>
      </c>
      <c r="X1024" s="3">
        <f>IF(ISNUMBER(AVERAGE('20250815_ETF_Options_Exhibits'!X1020:X1024)),AVERAGE('20250815_ETF_Options_Exhibits'!X1020:X1024),"")</f>
        <v/>
      </c>
      <c r="Y1024" s="3">
        <f>IF(ISNUMBER(AVERAGE('20250815_ETF_Options_Exhibits'!Y1020:Y1024)),AVERAGE('20250815_ETF_Options_Exhibits'!Y1020:Y1024),"")</f>
        <v/>
      </c>
      <c r="Z1024" s="3">
        <f>IF(ISNUMBER(AVERAGE('20250815_ETF_Options_Exhibits'!Z1020:Z1024)),AVERAGE('20250815_ETF_Options_Exhibits'!Z1020:Z1024),"")</f>
        <v/>
      </c>
      <c r="AA1024" s="3">
        <f>IF(ISNUMBER(AVERAGE('20250815_ETF_Options_Exhibits'!AA1020:AA1024)),AVERAGE('20250815_ETF_Options_Exhibits'!AA1020:AA1024),"")</f>
        <v/>
      </c>
    </row>
    <row r="1025">
      <c r="A1025" s="1" t="n">
        <v>43490</v>
      </c>
      <c r="B1025" s="3">
        <f>IF(ISNUMBER(AVERAGE('20250815_ETF_Options_Exhibits'!B1021:B1025)),AVERAGE('20250815_ETF_Options_Exhibits'!B1021:B1025),"")</f>
        <v/>
      </c>
      <c r="C1025" s="3">
        <f>IF(ISNUMBER(AVERAGE('20250815_ETF_Options_Exhibits'!C1021:C1025)),AVERAGE('20250815_ETF_Options_Exhibits'!C1021:C1025),"")</f>
        <v/>
      </c>
      <c r="D1025" s="3">
        <f>IF(ISNUMBER(AVERAGE('20250815_ETF_Options_Exhibits'!D1021:D1025)),AVERAGE('20250815_ETF_Options_Exhibits'!D1021:D1025),"")</f>
        <v/>
      </c>
      <c r="E1025" s="3">
        <f>IF(ISNUMBER(AVERAGE('20250815_ETF_Options_Exhibits'!E1021:E1025)),AVERAGE('20250815_ETF_Options_Exhibits'!E1021:E1025),"")</f>
        <v/>
      </c>
      <c r="F1025" s="3">
        <f>IF(ISNUMBER(AVERAGE('20250815_ETF_Options_Exhibits'!F1021:F1025)),AVERAGE('20250815_ETF_Options_Exhibits'!F1021:F1025),"")</f>
        <v/>
      </c>
      <c r="G1025" s="3">
        <f>IF(ISNUMBER(AVERAGE('20250815_ETF_Options_Exhibits'!G1021:G1025)),AVERAGE('20250815_ETF_Options_Exhibits'!G1021:G1025),"")</f>
        <v/>
      </c>
      <c r="H1025" s="3">
        <f>IF(ISNUMBER(AVERAGE('20250815_ETF_Options_Exhibits'!H1021:H1025)),AVERAGE('20250815_ETF_Options_Exhibits'!H1021:H1025),"")</f>
        <v/>
      </c>
      <c r="I1025" s="3">
        <f>IF(ISNUMBER(AVERAGE('20250815_ETF_Options_Exhibits'!I1021:I1025)),AVERAGE('20250815_ETF_Options_Exhibits'!I1021:I1025),"")</f>
        <v/>
      </c>
      <c r="J1025" s="3">
        <f>IF(ISNUMBER(AVERAGE('20250815_ETF_Options_Exhibits'!J1021:J1025)),AVERAGE('20250815_ETF_Options_Exhibits'!J1021:J1025),"")</f>
        <v/>
      </c>
      <c r="K1025" s="3">
        <f>IF(ISNUMBER(AVERAGE('20250815_ETF_Options_Exhibits'!K1021:K1025)),AVERAGE('20250815_ETF_Options_Exhibits'!K1021:K1025),"")</f>
        <v/>
      </c>
      <c r="L1025" s="3">
        <f>IF(ISNUMBER(AVERAGE('20250815_ETF_Options_Exhibits'!L1021:L1025)),AVERAGE('20250815_ETF_Options_Exhibits'!L1021:L1025),"")</f>
        <v/>
      </c>
      <c r="M1025" s="3">
        <f>IF(ISNUMBER(AVERAGE('20250815_ETF_Options_Exhibits'!M1021:M1025)),AVERAGE('20250815_ETF_Options_Exhibits'!M1021:M1025),"")</f>
        <v/>
      </c>
      <c r="N1025" s="3">
        <f>IF(ISNUMBER(AVERAGE('20250815_ETF_Options_Exhibits'!N1021:N1025)),AVERAGE('20250815_ETF_Options_Exhibits'!N1021:N1025),"")</f>
        <v/>
      </c>
      <c r="O1025" s="3">
        <f>IF(ISNUMBER(AVERAGE('20250815_ETF_Options_Exhibits'!O1021:O1025)),AVERAGE('20250815_ETF_Options_Exhibits'!O1021:O1025),"")</f>
        <v/>
      </c>
      <c r="P1025" s="3">
        <f>IF(ISNUMBER(AVERAGE('20250815_ETF_Options_Exhibits'!P1021:P1025)),AVERAGE('20250815_ETF_Options_Exhibits'!P1021:P1025),"")</f>
        <v/>
      </c>
      <c r="Q1025" s="3">
        <f>IF(ISNUMBER(AVERAGE('20250815_ETF_Options_Exhibits'!Q1021:Q1025)),AVERAGE('20250815_ETF_Options_Exhibits'!Q1021:Q1025),"")</f>
        <v/>
      </c>
      <c r="R1025" s="3">
        <f>IF(ISNUMBER(AVERAGE('20250815_ETF_Options_Exhibits'!R1021:R1025)),AVERAGE('20250815_ETF_Options_Exhibits'!R1021:R1025),"")</f>
        <v/>
      </c>
      <c r="S1025" s="3">
        <f>IF(ISNUMBER(AVERAGE('20250815_ETF_Options_Exhibits'!S1021:S1025)),AVERAGE('20250815_ETF_Options_Exhibits'!S1021:S1025),"")</f>
        <v/>
      </c>
      <c r="T1025" s="3">
        <f>IF(ISNUMBER(AVERAGE('20250815_ETF_Options_Exhibits'!T1021:T1025)),AVERAGE('20250815_ETF_Options_Exhibits'!T1021:T1025),"")</f>
        <v/>
      </c>
      <c r="U1025" s="3">
        <f>IF(ISNUMBER(AVERAGE('20250815_ETF_Options_Exhibits'!U1021:U1025)),AVERAGE('20250815_ETF_Options_Exhibits'!U1021:U1025),"")</f>
        <v/>
      </c>
      <c r="V1025" s="3">
        <f>IF(ISNUMBER(AVERAGE('20250815_ETF_Options_Exhibits'!V1021:V1025)),AVERAGE('20250815_ETF_Options_Exhibits'!V1021:V1025),"")</f>
        <v/>
      </c>
      <c r="W1025" s="3">
        <f>IF(ISNUMBER(AVERAGE('20250815_ETF_Options_Exhibits'!W1021:W1025)),AVERAGE('20250815_ETF_Options_Exhibits'!W1021:W1025),"")</f>
        <v/>
      </c>
      <c r="X1025" s="3">
        <f>IF(ISNUMBER(AVERAGE('20250815_ETF_Options_Exhibits'!X1021:X1025)),AVERAGE('20250815_ETF_Options_Exhibits'!X1021:X1025),"")</f>
        <v/>
      </c>
      <c r="Y1025" s="3">
        <f>IF(ISNUMBER(AVERAGE('20250815_ETF_Options_Exhibits'!Y1021:Y1025)),AVERAGE('20250815_ETF_Options_Exhibits'!Y1021:Y1025),"")</f>
        <v/>
      </c>
      <c r="Z1025" s="3">
        <f>IF(ISNUMBER(AVERAGE('20250815_ETF_Options_Exhibits'!Z1021:Z1025)),AVERAGE('20250815_ETF_Options_Exhibits'!Z1021:Z1025),"")</f>
        <v/>
      </c>
      <c r="AA1025" s="3">
        <f>IF(ISNUMBER(AVERAGE('20250815_ETF_Options_Exhibits'!AA1021:AA1025)),AVERAGE('20250815_ETF_Options_Exhibits'!AA1021:AA1025),"")</f>
        <v/>
      </c>
    </row>
    <row r="1026">
      <c r="A1026" s="1" t="n">
        <v>43493</v>
      </c>
      <c r="B1026" s="3">
        <f>IF(ISNUMBER(AVERAGE('20250815_ETF_Options_Exhibits'!B1022:B1026)),AVERAGE('20250815_ETF_Options_Exhibits'!B1022:B1026),"")</f>
        <v/>
      </c>
      <c r="C1026" s="3">
        <f>IF(ISNUMBER(AVERAGE('20250815_ETF_Options_Exhibits'!C1022:C1026)),AVERAGE('20250815_ETF_Options_Exhibits'!C1022:C1026),"")</f>
        <v/>
      </c>
      <c r="D1026" s="3">
        <f>IF(ISNUMBER(AVERAGE('20250815_ETF_Options_Exhibits'!D1022:D1026)),AVERAGE('20250815_ETF_Options_Exhibits'!D1022:D1026),"")</f>
        <v/>
      </c>
      <c r="E1026" s="3">
        <f>IF(ISNUMBER(AVERAGE('20250815_ETF_Options_Exhibits'!E1022:E1026)),AVERAGE('20250815_ETF_Options_Exhibits'!E1022:E1026),"")</f>
        <v/>
      </c>
      <c r="F1026" s="3">
        <f>IF(ISNUMBER(AVERAGE('20250815_ETF_Options_Exhibits'!F1022:F1026)),AVERAGE('20250815_ETF_Options_Exhibits'!F1022:F1026),"")</f>
        <v/>
      </c>
      <c r="G1026" s="3">
        <f>IF(ISNUMBER(AVERAGE('20250815_ETF_Options_Exhibits'!G1022:G1026)),AVERAGE('20250815_ETF_Options_Exhibits'!G1022:G1026),"")</f>
        <v/>
      </c>
      <c r="H1026" s="3">
        <f>IF(ISNUMBER(AVERAGE('20250815_ETF_Options_Exhibits'!H1022:H1026)),AVERAGE('20250815_ETF_Options_Exhibits'!H1022:H1026),"")</f>
        <v/>
      </c>
      <c r="I1026" s="3">
        <f>IF(ISNUMBER(AVERAGE('20250815_ETF_Options_Exhibits'!I1022:I1026)),AVERAGE('20250815_ETF_Options_Exhibits'!I1022:I1026),"")</f>
        <v/>
      </c>
      <c r="J1026" s="3">
        <f>IF(ISNUMBER(AVERAGE('20250815_ETF_Options_Exhibits'!J1022:J1026)),AVERAGE('20250815_ETF_Options_Exhibits'!J1022:J1026),"")</f>
        <v/>
      </c>
      <c r="K1026" s="3">
        <f>IF(ISNUMBER(AVERAGE('20250815_ETF_Options_Exhibits'!K1022:K1026)),AVERAGE('20250815_ETF_Options_Exhibits'!K1022:K1026),"")</f>
        <v/>
      </c>
      <c r="L1026" s="3">
        <f>IF(ISNUMBER(AVERAGE('20250815_ETF_Options_Exhibits'!L1022:L1026)),AVERAGE('20250815_ETF_Options_Exhibits'!L1022:L1026),"")</f>
        <v/>
      </c>
      <c r="M1026" s="3">
        <f>IF(ISNUMBER(AVERAGE('20250815_ETF_Options_Exhibits'!M1022:M1026)),AVERAGE('20250815_ETF_Options_Exhibits'!M1022:M1026),"")</f>
        <v/>
      </c>
      <c r="N1026" s="3">
        <f>IF(ISNUMBER(AVERAGE('20250815_ETF_Options_Exhibits'!N1022:N1026)),AVERAGE('20250815_ETF_Options_Exhibits'!N1022:N1026),"")</f>
        <v/>
      </c>
      <c r="O1026" s="3">
        <f>IF(ISNUMBER(AVERAGE('20250815_ETF_Options_Exhibits'!O1022:O1026)),AVERAGE('20250815_ETF_Options_Exhibits'!O1022:O1026),"")</f>
        <v/>
      </c>
      <c r="P1026" s="3">
        <f>IF(ISNUMBER(AVERAGE('20250815_ETF_Options_Exhibits'!P1022:P1026)),AVERAGE('20250815_ETF_Options_Exhibits'!P1022:P1026),"")</f>
        <v/>
      </c>
      <c r="Q1026" s="3">
        <f>IF(ISNUMBER(AVERAGE('20250815_ETF_Options_Exhibits'!Q1022:Q1026)),AVERAGE('20250815_ETF_Options_Exhibits'!Q1022:Q1026),"")</f>
        <v/>
      </c>
      <c r="R1026" s="3">
        <f>IF(ISNUMBER(AVERAGE('20250815_ETF_Options_Exhibits'!R1022:R1026)),AVERAGE('20250815_ETF_Options_Exhibits'!R1022:R1026),"")</f>
        <v/>
      </c>
      <c r="S1026" s="3">
        <f>IF(ISNUMBER(AVERAGE('20250815_ETF_Options_Exhibits'!S1022:S1026)),AVERAGE('20250815_ETF_Options_Exhibits'!S1022:S1026),"")</f>
        <v/>
      </c>
      <c r="T1026" s="3">
        <f>IF(ISNUMBER(AVERAGE('20250815_ETF_Options_Exhibits'!T1022:T1026)),AVERAGE('20250815_ETF_Options_Exhibits'!T1022:T1026),"")</f>
        <v/>
      </c>
      <c r="U1026" s="3">
        <f>IF(ISNUMBER(AVERAGE('20250815_ETF_Options_Exhibits'!U1022:U1026)),AVERAGE('20250815_ETF_Options_Exhibits'!U1022:U1026),"")</f>
        <v/>
      </c>
      <c r="V1026" s="3">
        <f>IF(ISNUMBER(AVERAGE('20250815_ETF_Options_Exhibits'!V1022:V1026)),AVERAGE('20250815_ETF_Options_Exhibits'!V1022:V1026),"")</f>
        <v/>
      </c>
      <c r="W1026" s="3">
        <f>IF(ISNUMBER(AVERAGE('20250815_ETF_Options_Exhibits'!W1022:W1026)),AVERAGE('20250815_ETF_Options_Exhibits'!W1022:W1026),"")</f>
        <v/>
      </c>
      <c r="X1026" s="3">
        <f>IF(ISNUMBER(AVERAGE('20250815_ETF_Options_Exhibits'!X1022:X1026)),AVERAGE('20250815_ETF_Options_Exhibits'!X1022:X1026),"")</f>
        <v/>
      </c>
      <c r="Y1026" s="3">
        <f>IF(ISNUMBER(AVERAGE('20250815_ETF_Options_Exhibits'!Y1022:Y1026)),AVERAGE('20250815_ETF_Options_Exhibits'!Y1022:Y1026),"")</f>
        <v/>
      </c>
      <c r="Z1026" s="3">
        <f>IF(ISNUMBER(AVERAGE('20250815_ETF_Options_Exhibits'!Z1022:Z1026)),AVERAGE('20250815_ETF_Options_Exhibits'!Z1022:Z1026),"")</f>
        <v/>
      </c>
      <c r="AA1026" s="3">
        <f>IF(ISNUMBER(AVERAGE('20250815_ETF_Options_Exhibits'!AA1022:AA1026)),AVERAGE('20250815_ETF_Options_Exhibits'!AA1022:AA1026),"")</f>
        <v/>
      </c>
    </row>
    <row r="1027">
      <c r="A1027" s="1" t="n">
        <v>43494</v>
      </c>
      <c r="B1027" s="3">
        <f>IF(ISNUMBER(AVERAGE('20250815_ETF_Options_Exhibits'!B1023:B1027)),AVERAGE('20250815_ETF_Options_Exhibits'!B1023:B1027),"")</f>
        <v/>
      </c>
      <c r="C1027" s="3">
        <f>IF(ISNUMBER(AVERAGE('20250815_ETF_Options_Exhibits'!C1023:C1027)),AVERAGE('20250815_ETF_Options_Exhibits'!C1023:C1027),"")</f>
        <v/>
      </c>
      <c r="D1027" s="3">
        <f>IF(ISNUMBER(AVERAGE('20250815_ETF_Options_Exhibits'!D1023:D1027)),AVERAGE('20250815_ETF_Options_Exhibits'!D1023:D1027),"")</f>
        <v/>
      </c>
      <c r="E1027" s="3">
        <f>IF(ISNUMBER(AVERAGE('20250815_ETF_Options_Exhibits'!E1023:E1027)),AVERAGE('20250815_ETF_Options_Exhibits'!E1023:E1027),"")</f>
        <v/>
      </c>
      <c r="F1027" s="3">
        <f>IF(ISNUMBER(AVERAGE('20250815_ETF_Options_Exhibits'!F1023:F1027)),AVERAGE('20250815_ETF_Options_Exhibits'!F1023:F1027),"")</f>
        <v/>
      </c>
      <c r="G1027" s="3">
        <f>IF(ISNUMBER(AVERAGE('20250815_ETF_Options_Exhibits'!G1023:G1027)),AVERAGE('20250815_ETF_Options_Exhibits'!G1023:G1027),"")</f>
        <v/>
      </c>
      <c r="H1027" s="3">
        <f>IF(ISNUMBER(AVERAGE('20250815_ETF_Options_Exhibits'!H1023:H1027)),AVERAGE('20250815_ETF_Options_Exhibits'!H1023:H1027),"")</f>
        <v/>
      </c>
      <c r="I1027" s="3">
        <f>IF(ISNUMBER(AVERAGE('20250815_ETF_Options_Exhibits'!I1023:I1027)),AVERAGE('20250815_ETF_Options_Exhibits'!I1023:I1027),"")</f>
        <v/>
      </c>
      <c r="J1027" s="3">
        <f>IF(ISNUMBER(AVERAGE('20250815_ETF_Options_Exhibits'!J1023:J1027)),AVERAGE('20250815_ETF_Options_Exhibits'!J1023:J1027),"")</f>
        <v/>
      </c>
      <c r="K1027" s="3">
        <f>IF(ISNUMBER(AVERAGE('20250815_ETF_Options_Exhibits'!K1023:K1027)),AVERAGE('20250815_ETF_Options_Exhibits'!K1023:K1027),"")</f>
        <v/>
      </c>
      <c r="L1027" s="3">
        <f>IF(ISNUMBER(AVERAGE('20250815_ETF_Options_Exhibits'!L1023:L1027)),AVERAGE('20250815_ETF_Options_Exhibits'!L1023:L1027),"")</f>
        <v/>
      </c>
      <c r="M1027" s="3">
        <f>IF(ISNUMBER(AVERAGE('20250815_ETF_Options_Exhibits'!M1023:M1027)),AVERAGE('20250815_ETF_Options_Exhibits'!M1023:M1027),"")</f>
        <v/>
      </c>
      <c r="N1027" s="3">
        <f>IF(ISNUMBER(AVERAGE('20250815_ETF_Options_Exhibits'!N1023:N1027)),AVERAGE('20250815_ETF_Options_Exhibits'!N1023:N1027),"")</f>
        <v/>
      </c>
      <c r="O1027" s="3">
        <f>IF(ISNUMBER(AVERAGE('20250815_ETF_Options_Exhibits'!O1023:O1027)),AVERAGE('20250815_ETF_Options_Exhibits'!O1023:O1027),"")</f>
        <v/>
      </c>
      <c r="P1027" s="3">
        <f>IF(ISNUMBER(AVERAGE('20250815_ETF_Options_Exhibits'!P1023:P1027)),AVERAGE('20250815_ETF_Options_Exhibits'!P1023:P1027),"")</f>
        <v/>
      </c>
      <c r="Q1027" s="3">
        <f>IF(ISNUMBER(AVERAGE('20250815_ETF_Options_Exhibits'!Q1023:Q1027)),AVERAGE('20250815_ETF_Options_Exhibits'!Q1023:Q1027),"")</f>
        <v/>
      </c>
      <c r="R1027" s="3">
        <f>IF(ISNUMBER(AVERAGE('20250815_ETF_Options_Exhibits'!R1023:R1027)),AVERAGE('20250815_ETF_Options_Exhibits'!R1023:R1027),"")</f>
        <v/>
      </c>
      <c r="S1027" s="3">
        <f>IF(ISNUMBER(AVERAGE('20250815_ETF_Options_Exhibits'!S1023:S1027)),AVERAGE('20250815_ETF_Options_Exhibits'!S1023:S1027),"")</f>
        <v/>
      </c>
      <c r="T1027" s="3">
        <f>IF(ISNUMBER(AVERAGE('20250815_ETF_Options_Exhibits'!T1023:T1027)),AVERAGE('20250815_ETF_Options_Exhibits'!T1023:T1027),"")</f>
        <v/>
      </c>
      <c r="U1027" s="3">
        <f>IF(ISNUMBER(AVERAGE('20250815_ETF_Options_Exhibits'!U1023:U1027)),AVERAGE('20250815_ETF_Options_Exhibits'!U1023:U1027),"")</f>
        <v/>
      </c>
      <c r="V1027" s="3">
        <f>IF(ISNUMBER(AVERAGE('20250815_ETF_Options_Exhibits'!V1023:V1027)),AVERAGE('20250815_ETF_Options_Exhibits'!V1023:V1027),"")</f>
        <v/>
      </c>
      <c r="W1027" s="3">
        <f>IF(ISNUMBER(AVERAGE('20250815_ETF_Options_Exhibits'!W1023:W1027)),AVERAGE('20250815_ETF_Options_Exhibits'!W1023:W1027),"")</f>
        <v/>
      </c>
      <c r="X1027" s="3">
        <f>IF(ISNUMBER(AVERAGE('20250815_ETF_Options_Exhibits'!X1023:X1027)),AVERAGE('20250815_ETF_Options_Exhibits'!X1023:X1027),"")</f>
        <v/>
      </c>
      <c r="Y1027" s="3">
        <f>IF(ISNUMBER(AVERAGE('20250815_ETF_Options_Exhibits'!Y1023:Y1027)),AVERAGE('20250815_ETF_Options_Exhibits'!Y1023:Y1027),"")</f>
        <v/>
      </c>
      <c r="Z1027" s="3">
        <f>IF(ISNUMBER(AVERAGE('20250815_ETF_Options_Exhibits'!Z1023:Z1027)),AVERAGE('20250815_ETF_Options_Exhibits'!Z1023:Z1027),"")</f>
        <v/>
      </c>
      <c r="AA1027" s="3">
        <f>IF(ISNUMBER(AVERAGE('20250815_ETF_Options_Exhibits'!AA1023:AA1027)),AVERAGE('20250815_ETF_Options_Exhibits'!AA1023:AA1027),"")</f>
        <v/>
      </c>
    </row>
    <row r="1028">
      <c r="A1028" s="1" t="n">
        <v>43495</v>
      </c>
      <c r="B1028" s="3">
        <f>IF(ISNUMBER(AVERAGE('20250815_ETF_Options_Exhibits'!B1024:B1028)),AVERAGE('20250815_ETF_Options_Exhibits'!B1024:B1028),"")</f>
        <v/>
      </c>
      <c r="C1028" s="3">
        <f>IF(ISNUMBER(AVERAGE('20250815_ETF_Options_Exhibits'!C1024:C1028)),AVERAGE('20250815_ETF_Options_Exhibits'!C1024:C1028),"")</f>
        <v/>
      </c>
      <c r="D1028" s="3">
        <f>IF(ISNUMBER(AVERAGE('20250815_ETF_Options_Exhibits'!D1024:D1028)),AVERAGE('20250815_ETF_Options_Exhibits'!D1024:D1028),"")</f>
        <v/>
      </c>
      <c r="E1028" s="3">
        <f>IF(ISNUMBER(AVERAGE('20250815_ETF_Options_Exhibits'!E1024:E1028)),AVERAGE('20250815_ETF_Options_Exhibits'!E1024:E1028),"")</f>
        <v/>
      </c>
      <c r="F1028" s="3">
        <f>IF(ISNUMBER(AVERAGE('20250815_ETF_Options_Exhibits'!F1024:F1028)),AVERAGE('20250815_ETF_Options_Exhibits'!F1024:F1028),"")</f>
        <v/>
      </c>
      <c r="G1028" s="3">
        <f>IF(ISNUMBER(AVERAGE('20250815_ETF_Options_Exhibits'!G1024:G1028)),AVERAGE('20250815_ETF_Options_Exhibits'!G1024:G1028),"")</f>
        <v/>
      </c>
      <c r="H1028" s="3">
        <f>IF(ISNUMBER(AVERAGE('20250815_ETF_Options_Exhibits'!H1024:H1028)),AVERAGE('20250815_ETF_Options_Exhibits'!H1024:H1028),"")</f>
        <v/>
      </c>
      <c r="I1028" s="3">
        <f>IF(ISNUMBER(AVERAGE('20250815_ETF_Options_Exhibits'!I1024:I1028)),AVERAGE('20250815_ETF_Options_Exhibits'!I1024:I1028),"")</f>
        <v/>
      </c>
      <c r="J1028" s="3">
        <f>IF(ISNUMBER(AVERAGE('20250815_ETF_Options_Exhibits'!J1024:J1028)),AVERAGE('20250815_ETF_Options_Exhibits'!J1024:J1028),"")</f>
        <v/>
      </c>
      <c r="K1028" s="3">
        <f>IF(ISNUMBER(AVERAGE('20250815_ETF_Options_Exhibits'!K1024:K1028)),AVERAGE('20250815_ETF_Options_Exhibits'!K1024:K1028),"")</f>
        <v/>
      </c>
      <c r="L1028" s="3">
        <f>IF(ISNUMBER(AVERAGE('20250815_ETF_Options_Exhibits'!L1024:L1028)),AVERAGE('20250815_ETF_Options_Exhibits'!L1024:L1028),"")</f>
        <v/>
      </c>
      <c r="M1028" s="3">
        <f>IF(ISNUMBER(AVERAGE('20250815_ETF_Options_Exhibits'!M1024:M1028)),AVERAGE('20250815_ETF_Options_Exhibits'!M1024:M1028),"")</f>
        <v/>
      </c>
      <c r="N1028" s="3">
        <f>IF(ISNUMBER(AVERAGE('20250815_ETF_Options_Exhibits'!N1024:N1028)),AVERAGE('20250815_ETF_Options_Exhibits'!N1024:N1028),"")</f>
        <v/>
      </c>
      <c r="O1028" s="3">
        <f>IF(ISNUMBER(AVERAGE('20250815_ETF_Options_Exhibits'!O1024:O1028)),AVERAGE('20250815_ETF_Options_Exhibits'!O1024:O1028),"")</f>
        <v/>
      </c>
      <c r="P1028" s="3">
        <f>IF(ISNUMBER(AVERAGE('20250815_ETF_Options_Exhibits'!P1024:P1028)),AVERAGE('20250815_ETF_Options_Exhibits'!P1024:P1028),"")</f>
        <v/>
      </c>
      <c r="Q1028" s="3">
        <f>IF(ISNUMBER(AVERAGE('20250815_ETF_Options_Exhibits'!Q1024:Q1028)),AVERAGE('20250815_ETF_Options_Exhibits'!Q1024:Q1028),"")</f>
        <v/>
      </c>
      <c r="R1028" s="3">
        <f>IF(ISNUMBER(AVERAGE('20250815_ETF_Options_Exhibits'!R1024:R1028)),AVERAGE('20250815_ETF_Options_Exhibits'!R1024:R1028),"")</f>
        <v/>
      </c>
      <c r="S1028" s="3">
        <f>IF(ISNUMBER(AVERAGE('20250815_ETF_Options_Exhibits'!S1024:S1028)),AVERAGE('20250815_ETF_Options_Exhibits'!S1024:S1028),"")</f>
        <v/>
      </c>
      <c r="T1028" s="3">
        <f>IF(ISNUMBER(AVERAGE('20250815_ETF_Options_Exhibits'!T1024:T1028)),AVERAGE('20250815_ETF_Options_Exhibits'!T1024:T1028),"")</f>
        <v/>
      </c>
      <c r="U1028" s="3">
        <f>IF(ISNUMBER(AVERAGE('20250815_ETF_Options_Exhibits'!U1024:U1028)),AVERAGE('20250815_ETF_Options_Exhibits'!U1024:U1028),"")</f>
        <v/>
      </c>
      <c r="V1028" s="3">
        <f>IF(ISNUMBER(AVERAGE('20250815_ETF_Options_Exhibits'!V1024:V1028)),AVERAGE('20250815_ETF_Options_Exhibits'!V1024:V1028),"")</f>
        <v/>
      </c>
      <c r="W1028" s="3">
        <f>IF(ISNUMBER(AVERAGE('20250815_ETF_Options_Exhibits'!W1024:W1028)),AVERAGE('20250815_ETF_Options_Exhibits'!W1024:W1028),"")</f>
        <v/>
      </c>
      <c r="X1028" s="3">
        <f>IF(ISNUMBER(AVERAGE('20250815_ETF_Options_Exhibits'!X1024:X1028)),AVERAGE('20250815_ETF_Options_Exhibits'!X1024:X1028),"")</f>
        <v/>
      </c>
      <c r="Y1028" s="3">
        <f>IF(ISNUMBER(AVERAGE('20250815_ETF_Options_Exhibits'!Y1024:Y1028)),AVERAGE('20250815_ETF_Options_Exhibits'!Y1024:Y1028),"")</f>
        <v/>
      </c>
      <c r="Z1028" s="3">
        <f>IF(ISNUMBER(AVERAGE('20250815_ETF_Options_Exhibits'!Z1024:Z1028)),AVERAGE('20250815_ETF_Options_Exhibits'!Z1024:Z1028),"")</f>
        <v/>
      </c>
      <c r="AA1028" s="3">
        <f>IF(ISNUMBER(AVERAGE('20250815_ETF_Options_Exhibits'!AA1024:AA1028)),AVERAGE('20250815_ETF_Options_Exhibits'!AA1024:AA1028),"")</f>
        <v/>
      </c>
    </row>
    <row r="1029">
      <c r="A1029" s="1" t="n">
        <v>43496</v>
      </c>
      <c r="B1029" s="3">
        <f>IF(ISNUMBER(AVERAGE('20250815_ETF_Options_Exhibits'!B1025:B1029)),AVERAGE('20250815_ETF_Options_Exhibits'!B1025:B1029),"")</f>
        <v/>
      </c>
      <c r="C1029" s="3">
        <f>IF(ISNUMBER(AVERAGE('20250815_ETF_Options_Exhibits'!C1025:C1029)),AVERAGE('20250815_ETF_Options_Exhibits'!C1025:C1029),"")</f>
        <v/>
      </c>
      <c r="D1029" s="3">
        <f>IF(ISNUMBER(AVERAGE('20250815_ETF_Options_Exhibits'!D1025:D1029)),AVERAGE('20250815_ETF_Options_Exhibits'!D1025:D1029),"")</f>
        <v/>
      </c>
      <c r="E1029" s="3">
        <f>IF(ISNUMBER(AVERAGE('20250815_ETF_Options_Exhibits'!E1025:E1029)),AVERAGE('20250815_ETF_Options_Exhibits'!E1025:E1029),"")</f>
        <v/>
      </c>
      <c r="F1029" s="3">
        <f>IF(ISNUMBER(AVERAGE('20250815_ETF_Options_Exhibits'!F1025:F1029)),AVERAGE('20250815_ETF_Options_Exhibits'!F1025:F1029),"")</f>
        <v/>
      </c>
      <c r="G1029" s="3">
        <f>IF(ISNUMBER(AVERAGE('20250815_ETF_Options_Exhibits'!G1025:G1029)),AVERAGE('20250815_ETF_Options_Exhibits'!G1025:G1029),"")</f>
        <v/>
      </c>
      <c r="H1029" s="3">
        <f>IF(ISNUMBER(AVERAGE('20250815_ETF_Options_Exhibits'!H1025:H1029)),AVERAGE('20250815_ETF_Options_Exhibits'!H1025:H1029),"")</f>
        <v/>
      </c>
      <c r="I1029" s="3">
        <f>IF(ISNUMBER(AVERAGE('20250815_ETF_Options_Exhibits'!I1025:I1029)),AVERAGE('20250815_ETF_Options_Exhibits'!I1025:I1029),"")</f>
        <v/>
      </c>
      <c r="J1029" s="3">
        <f>IF(ISNUMBER(AVERAGE('20250815_ETF_Options_Exhibits'!J1025:J1029)),AVERAGE('20250815_ETF_Options_Exhibits'!J1025:J1029),"")</f>
        <v/>
      </c>
      <c r="K1029" s="3">
        <f>IF(ISNUMBER(AVERAGE('20250815_ETF_Options_Exhibits'!K1025:K1029)),AVERAGE('20250815_ETF_Options_Exhibits'!K1025:K1029),"")</f>
        <v/>
      </c>
      <c r="L1029" s="3">
        <f>IF(ISNUMBER(AVERAGE('20250815_ETF_Options_Exhibits'!L1025:L1029)),AVERAGE('20250815_ETF_Options_Exhibits'!L1025:L1029),"")</f>
        <v/>
      </c>
      <c r="M1029" s="3">
        <f>IF(ISNUMBER(AVERAGE('20250815_ETF_Options_Exhibits'!M1025:M1029)),AVERAGE('20250815_ETF_Options_Exhibits'!M1025:M1029),"")</f>
        <v/>
      </c>
      <c r="N1029" s="3">
        <f>IF(ISNUMBER(AVERAGE('20250815_ETF_Options_Exhibits'!N1025:N1029)),AVERAGE('20250815_ETF_Options_Exhibits'!N1025:N1029),"")</f>
        <v/>
      </c>
      <c r="O1029" s="3">
        <f>IF(ISNUMBER(AVERAGE('20250815_ETF_Options_Exhibits'!O1025:O1029)),AVERAGE('20250815_ETF_Options_Exhibits'!O1025:O1029),"")</f>
        <v/>
      </c>
      <c r="P1029" s="3">
        <f>IF(ISNUMBER(AVERAGE('20250815_ETF_Options_Exhibits'!P1025:P1029)),AVERAGE('20250815_ETF_Options_Exhibits'!P1025:P1029),"")</f>
        <v/>
      </c>
      <c r="Q1029" s="3">
        <f>IF(ISNUMBER(AVERAGE('20250815_ETF_Options_Exhibits'!Q1025:Q1029)),AVERAGE('20250815_ETF_Options_Exhibits'!Q1025:Q1029),"")</f>
        <v/>
      </c>
      <c r="R1029" s="3">
        <f>IF(ISNUMBER(AVERAGE('20250815_ETF_Options_Exhibits'!R1025:R1029)),AVERAGE('20250815_ETF_Options_Exhibits'!R1025:R1029),"")</f>
        <v/>
      </c>
      <c r="S1029" s="3">
        <f>IF(ISNUMBER(AVERAGE('20250815_ETF_Options_Exhibits'!S1025:S1029)),AVERAGE('20250815_ETF_Options_Exhibits'!S1025:S1029),"")</f>
        <v/>
      </c>
      <c r="T1029" s="3">
        <f>IF(ISNUMBER(AVERAGE('20250815_ETF_Options_Exhibits'!T1025:T1029)),AVERAGE('20250815_ETF_Options_Exhibits'!T1025:T1029),"")</f>
        <v/>
      </c>
      <c r="U1029" s="3">
        <f>IF(ISNUMBER(AVERAGE('20250815_ETF_Options_Exhibits'!U1025:U1029)),AVERAGE('20250815_ETF_Options_Exhibits'!U1025:U1029),"")</f>
        <v/>
      </c>
      <c r="V1029" s="3">
        <f>IF(ISNUMBER(AVERAGE('20250815_ETF_Options_Exhibits'!V1025:V1029)),AVERAGE('20250815_ETF_Options_Exhibits'!V1025:V1029),"")</f>
        <v/>
      </c>
      <c r="W1029" s="3">
        <f>IF(ISNUMBER(AVERAGE('20250815_ETF_Options_Exhibits'!W1025:W1029)),AVERAGE('20250815_ETF_Options_Exhibits'!W1025:W1029),"")</f>
        <v/>
      </c>
      <c r="X1029" s="3">
        <f>IF(ISNUMBER(AVERAGE('20250815_ETF_Options_Exhibits'!X1025:X1029)),AVERAGE('20250815_ETF_Options_Exhibits'!X1025:X1029),"")</f>
        <v/>
      </c>
      <c r="Y1029" s="3">
        <f>IF(ISNUMBER(AVERAGE('20250815_ETF_Options_Exhibits'!Y1025:Y1029)),AVERAGE('20250815_ETF_Options_Exhibits'!Y1025:Y1029),"")</f>
        <v/>
      </c>
      <c r="Z1029" s="3">
        <f>IF(ISNUMBER(AVERAGE('20250815_ETF_Options_Exhibits'!Z1025:Z1029)),AVERAGE('20250815_ETF_Options_Exhibits'!Z1025:Z1029),"")</f>
        <v/>
      </c>
      <c r="AA1029" s="3">
        <f>IF(ISNUMBER(AVERAGE('20250815_ETF_Options_Exhibits'!AA1025:AA1029)),AVERAGE('20250815_ETF_Options_Exhibits'!AA1025:AA1029),"")</f>
        <v/>
      </c>
    </row>
    <row r="1030">
      <c r="A1030" s="1" t="n">
        <v>43497</v>
      </c>
      <c r="B1030" s="3">
        <f>IF(ISNUMBER(AVERAGE('20250815_ETF_Options_Exhibits'!B1026:B1030)),AVERAGE('20250815_ETF_Options_Exhibits'!B1026:B1030),"")</f>
        <v/>
      </c>
      <c r="C1030" s="3">
        <f>IF(ISNUMBER(AVERAGE('20250815_ETF_Options_Exhibits'!C1026:C1030)),AVERAGE('20250815_ETF_Options_Exhibits'!C1026:C1030),"")</f>
        <v/>
      </c>
      <c r="D1030" s="3">
        <f>IF(ISNUMBER(AVERAGE('20250815_ETF_Options_Exhibits'!D1026:D1030)),AVERAGE('20250815_ETF_Options_Exhibits'!D1026:D1030),"")</f>
        <v/>
      </c>
      <c r="E1030" s="3">
        <f>IF(ISNUMBER(AVERAGE('20250815_ETF_Options_Exhibits'!E1026:E1030)),AVERAGE('20250815_ETF_Options_Exhibits'!E1026:E1030),"")</f>
        <v/>
      </c>
      <c r="F1030" s="3">
        <f>IF(ISNUMBER(AVERAGE('20250815_ETF_Options_Exhibits'!F1026:F1030)),AVERAGE('20250815_ETF_Options_Exhibits'!F1026:F1030),"")</f>
        <v/>
      </c>
      <c r="G1030" s="3">
        <f>IF(ISNUMBER(AVERAGE('20250815_ETF_Options_Exhibits'!G1026:G1030)),AVERAGE('20250815_ETF_Options_Exhibits'!G1026:G1030),"")</f>
        <v/>
      </c>
      <c r="H1030" s="3">
        <f>IF(ISNUMBER(AVERAGE('20250815_ETF_Options_Exhibits'!H1026:H1030)),AVERAGE('20250815_ETF_Options_Exhibits'!H1026:H1030),"")</f>
        <v/>
      </c>
      <c r="I1030" s="3">
        <f>IF(ISNUMBER(AVERAGE('20250815_ETF_Options_Exhibits'!I1026:I1030)),AVERAGE('20250815_ETF_Options_Exhibits'!I1026:I1030),"")</f>
        <v/>
      </c>
      <c r="J1030" s="3">
        <f>IF(ISNUMBER(AVERAGE('20250815_ETF_Options_Exhibits'!J1026:J1030)),AVERAGE('20250815_ETF_Options_Exhibits'!J1026:J1030),"")</f>
        <v/>
      </c>
      <c r="K1030" s="3">
        <f>IF(ISNUMBER(AVERAGE('20250815_ETF_Options_Exhibits'!K1026:K1030)),AVERAGE('20250815_ETF_Options_Exhibits'!K1026:K1030),"")</f>
        <v/>
      </c>
      <c r="L1030" s="3">
        <f>IF(ISNUMBER(AVERAGE('20250815_ETF_Options_Exhibits'!L1026:L1030)),AVERAGE('20250815_ETF_Options_Exhibits'!L1026:L1030),"")</f>
        <v/>
      </c>
      <c r="M1030" s="3">
        <f>IF(ISNUMBER(AVERAGE('20250815_ETF_Options_Exhibits'!M1026:M1030)),AVERAGE('20250815_ETF_Options_Exhibits'!M1026:M1030),"")</f>
        <v/>
      </c>
      <c r="N1030" s="3">
        <f>IF(ISNUMBER(AVERAGE('20250815_ETF_Options_Exhibits'!N1026:N1030)),AVERAGE('20250815_ETF_Options_Exhibits'!N1026:N1030),"")</f>
        <v/>
      </c>
      <c r="O1030" s="3">
        <f>IF(ISNUMBER(AVERAGE('20250815_ETF_Options_Exhibits'!O1026:O1030)),AVERAGE('20250815_ETF_Options_Exhibits'!O1026:O1030),"")</f>
        <v/>
      </c>
      <c r="P1030" s="3">
        <f>IF(ISNUMBER(AVERAGE('20250815_ETF_Options_Exhibits'!P1026:P1030)),AVERAGE('20250815_ETF_Options_Exhibits'!P1026:P1030),"")</f>
        <v/>
      </c>
      <c r="Q1030" s="3">
        <f>IF(ISNUMBER(AVERAGE('20250815_ETF_Options_Exhibits'!Q1026:Q1030)),AVERAGE('20250815_ETF_Options_Exhibits'!Q1026:Q1030),"")</f>
        <v/>
      </c>
      <c r="R1030" s="3">
        <f>IF(ISNUMBER(AVERAGE('20250815_ETF_Options_Exhibits'!R1026:R1030)),AVERAGE('20250815_ETF_Options_Exhibits'!R1026:R1030),"")</f>
        <v/>
      </c>
      <c r="S1030" s="3">
        <f>IF(ISNUMBER(AVERAGE('20250815_ETF_Options_Exhibits'!S1026:S1030)),AVERAGE('20250815_ETF_Options_Exhibits'!S1026:S1030),"")</f>
        <v/>
      </c>
      <c r="T1030" s="3">
        <f>IF(ISNUMBER(AVERAGE('20250815_ETF_Options_Exhibits'!T1026:T1030)),AVERAGE('20250815_ETF_Options_Exhibits'!T1026:T1030),"")</f>
        <v/>
      </c>
      <c r="U1030" s="3">
        <f>IF(ISNUMBER(AVERAGE('20250815_ETF_Options_Exhibits'!U1026:U1030)),AVERAGE('20250815_ETF_Options_Exhibits'!U1026:U1030),"")</f>
        <v/>
      </c>
      <c r="V1030" s="3">
        <f>IF(ISNUMBER(AVERAGE('20250815_ETF_Options_Exhibits'!V1026:V1030)),AVERAGE('20250815_ETF_Options_Exhibits'!V1026:V1030),"")</f>
        <v/>
      </c>
      <c r="W1030" s="3">
        <f>IF(ISNUMBER(AVERAGE('20250815_ETF_Options_Exhibits'!W1026:W1030)),AVERAGE('20250815_ETF_Options_Exhibits'!W1026:W1030),"")</f>
        <v/>
      </c>
      <c r="X1030" s="3">
        <f>IF(ISNUMBER(AVERAGE('20250815_ETF_Options_Exhibits'!X1026:X1030)),AVERAGE('20250815_ETF_Options_Exhibits'!X1026:X1030),"")</f>
        <v/>
      </c>
      <c r="Y1030" s="3">
        <f>IF(ISNUMBER(AVERAGE('20250815_ETF_Options_Exhibits'!Y1026:Y1030)),AVERAGE('20250815_ETF_Options_Exhibits'!Y1026:Y1030),"")</f>
        <v/>
      </c>
      <c r="Z1030" s="3">
        <f>IF(ISNUMBER(AVERAGE('20250815_ETF_Options_Exhibits'!Z1026:Z1030)),AVERAGE('20250815_ETF_Options_Exhibits'!Z1026:Z1030),"")</f>
        <v/>
      </c>
      <c r="AA1030" s="3">
        <f>IF(ISNUMBER(AVERAGE('20250815_ETF_Options_Exhibits'!AA1026:AA1030)),AVERAGE('20250815_ETF_Options_Exhibits'!AA1026:AA1030),"")</f>
        <v/>
      </c>
    </row>
    <row r="1031">
      <c r="A1031" s="1" t="n">
        <v>43500</v>
      </c>
      <c r="B1031" s="3">
        <f>IF(ISNUMBER(AVERAGE('20250815_ETF_Options_Exhibits'!B1027:B1031)),AVERAGE('20250815_ETF_Options_Exhibits'!B1027:B1031),"")</f>
        <v/>
      </c>
      <c r="C1031" s="3">
        <f>IF(ISNUMBER(AVERAGE('20250815_ETF_Options_Exhibits'!C1027:C1031)),AVERAGE('20250815_ETF_Options_Exhibits'!C1027:C1031),"")</f>
        <v/>
      </c>
      <c r="D1031" s="3">
        <f>IF(ISNUMBER(AVERAGE('20250815_ETF_Options_Exhibits'!D1027:D1031)),AVERAGE('20250815_ETF_Options_Exhibits'!D1027:D1031),"")</f>
        <v/>
      </c>
      <c r="E1031" s="3">
        <f>IF(ISNUMBER(AVERAGE('20250815_ETF_Options_Exhibits'!E1027:E1031)),AVERAGE('20250815_ETF_Options_Exhibits'!E1027:E1031),"")</f>
        <v/>
      </c>
      <c r="F1031" s="3">
        <f>IF(ISNUMBER(AVERAGE('20250815_ETF_Options_Exhibits'!F1027:F1031)),AVERAGE('20250815_ETF_Options_Exhibits'!F1027:F1031),"")</f>
        <v/>
      </c>
      <c r="G1031" s="3">
        <f>IF(ISNUMBER(AVERAGE('20250815_ETF_Options_Exhibits'!G1027:G1031)),AVERAGE('20250815_ETF_Options_Exhibits'!G1027:G1031),"")</f>
        <v/>
      </c>
      <c r="H1031" s="3">
        <f>IF(ISNUMBER(AVERAGE('20250815_ETF_Options_Exhibits'!H1027:H1031)),AVERAGE('20250815_ETF_Options_Exhibits'!H1027:H1031),"")</f>
        <v/>
      </c>
      <c r="I1031" s="3">
        <f>IF(ISNUMBER(AVERAGE('20250815_ETF_Options_Exhibits'!I1027:I1031)),AVERAGE('20250815_ETF_Options_Exhibits'!I1027:I1031),"")</f>
        <v/>
      </c>
      <c r="J1031" s="3">
        <f>IF(ISNUMBER(AVERAGE('20250815_ETF_Options_Exhibits'!J1027:J1031)),AVERAGE('20250815_ETF_Options_Exhibits'!J1027:J1031),"")</f>
        <v/>
      </c>
      <c r="K1031" s="3">
        <f>IF(ISNUMBER(AVERAGE('20250815_ETF_Options_Exhibits'!K1027:K1031)),AVERAGE('20250815_ETF_Options_Exhibits'!K1027:K1031),"")</f>
        <v/>
      </c>
      <c r="L1031" s="3">
        <f>IF(ISNUMBER(AVERAGE('20250815_ETF_Options_Exhibits'!L1027:L1031)),AVERAGE('20250815_ETF_Options_Exhibits'!L1027:L1031),"")</f>
        <v/>
      </c>
      <c r="M1031" s="3">
        <f>IF(ISNUMBER(AVERAGE('20250815_ETF_Options_Exhibits'!M1027:M1031)),AVERAGE('20250815_ETF_Options_Exhibits'!M1027:M1031),"")</f>
        <v/>
      </c>
      <c r="N1031" s="3">
        <f>IF(ISNUMBER(AVERAGE('20250815_ETF_Options_Exhibits'!N1027:N1031)),AVERAGE('20250815_ETF_Options_Exhibits'!N1027:N1031),"")</f>
        <v/>
      </c>
      <c r="O1031" s="3">
        <f>IF(ISNUMBER(AVERAGE('20250815_ETF_Options_Exhibits'!O1027:O1031)),AVERAGE('20250815_ETF_Options_Exhibits'!O1027:O1031),"")</f>
        <v/>
      </c>
      <c r="P1031" s="3">
        <f>IF(ISNUMBER(AVERAGE('20250815_ETF_Options_Exhibits'!P1027:P1031)),AVERAGE('20250815_ETF_Options_Exhibits'!P1027:P1031),"")</f>
        <v/>
      </c>
      <c r="Q1031" s="3">
        <f>IF(ISNUMBER(AVERAGE('20250815_ETF_Options_Exhibits'!Q1027:Q1031)),AVERAGE('20250815_ETF_Options_Exhibits'!Q1027:Q1031),"")</f>
        <v/>
      </c>
      <c r="R1031" s="3">
        <f>IF(ISNUMBER(AVERAGE('20250815_ETF_Options_Exhibits'!R1027:R1031)),AVERAGE('20250815_ETF_Options_Exhibits'!R1027:R1031),"")</f>
        <v/>
      </c>
      <c r="S1031" s="3">
        <f>IF(ISNUMBER(AVERAGE('20250815_ETF_Options_Exhibits'!S1027:S1031)),AVERAGE('20250815_ETF_Options_Exhibits'!S1027:S1031),"")</f>
        <v/>
      </c>
      <c r="T1031" s="3">
        <f>IF(ISNUMBER(AVERAGE('20250815_ETF_Options_Exhibits'!T1027:T1031)),AVERAGE('20250815_ETF_Options_Exhibits'!T1027:T1031),"")</f>
        <v/>
      </c>
      <c r="U1031" s="3">
        <f>IF(ISNUMBER(AVERAGE('20250815_ETF_Options_Exhibits'!U1027:U1031)),AVERAGE('20250815_ETF_Options_Exhibits'!U1027:U1031),"")</f>
        <v/>
      </c>
      <c r="V1031" s="3">
        <f>IF(ISNUMBER(AVERAGE('20250815_ETF_Options_Exhibits'!V1027:V1031)),AVERAGE('20250815_ETF_Options_Exhibits'!V1027:V1031),"")</f>
        <v/>
      </c>
      <c r="W1031" s="3">
        <f>IF(ISNUMBER(AVERAGE('20250815_ETF_Options_Exhibits'!W1027:W1031)),AVERAGE('20250815_ETF_Options_Exhibits'!W1027:W1031),"")</f>
        <v/>
      </c>
      <c r="X1031" s="3">
        <f>IF(ISNUMBER(AVERAGE('20250815_ETF_Options_Exhibits'!X1027:X1031)),AVERAGE('20250815_ETF_Options_Exhibits'!X1027:X1031),"")</f>
        <v/>
      </c>
      <c r="Y1031" s="3">
        <f>IF(ISNUMBER(AVERAGE('20250815_ETF_Options_Exhibits'!Y1027:Y1031)),AVERAGE('20250815_ETF_Options_Exhibits'!Y1027:Y1031),"")</f>
        <v/>
      </c>
      <c r="Z1031" s="3">
        <f>IF(ISNUMBER(AVERAGE('20250815_ETF_Options_Exhibits'!Z1027:Z1031)),AVERAGE('20250815_ETF_Options_Exhibits'!Z1027:Z1031),"")</f>
        <v/>
      </c>
      <c r="AA1031" s="3">
        <f>IF(ISNUMBER(AVERAGE('20250815_ETF_Options_Exhibits'!AA1027:AA1031)),AVERAGE('20250815_ETF_Options_Exhibits'!AA1027:AA1031),"")</f>
        <v/>
      </c>
    </row>
    <row r="1032">
      <c r="A1032" s="1" t="n">
        <v>43501</v>
      </c>
      <c r="B1032" s="3">
        <f>IF(ISNUMBER(AVERAGE('20250815_ETF_Options_Exhibits'!B1028:B1032)),AVERAGE('20250815_ETF_Options_Exhibits'!B1028:B1032),"")</f>
        <v/>
      </c>
      <c r="C1032" s="3">
        <f>IF(ISNUMBER(AVERAGE('20250815_ETF_Options_Exhibits'!C1028:C1032)),AVERAGE('20250815_ETF_Options_Exhibits'!C1028:C1032),"")</f>
        <v/>
      </c>
      <c r="D1032" s="3">
        <f>IF(ISNUMBER(AVERAGE('20250815_ETF_Options_Exhibits'!D1028:D1032)),AVERAGE('20250815_ETF_Options_Exhibits'!D1028:D1032),"")</f>
        <v/>
      </c>
      <c r="E1032" s="3">
        <f>IF(ISNUMBER(AVERAGE('20250815_ETF_Options_Exhibits'!E1028:E1032)),AVERAGE('20250815_ETF_Options_Exhibits'!E1028:E1032),"")</f>
        <v/>
      </c>
      <c r="F1032" s="3">
        <f>IF(ISNUMBER(AVERAGE('20250815_ETF_Options_Exhibits'!F1028:F1032)),AVERAGE('20250815_ETF_Options_Exhibits'!F1028:F1032),"")</f>
        <v/>
      </c>
      <c r="G1032" s="3">
        <f>IF(ISNUMBER(AVERAGE('20250815_ETF_Options_Exhibits'!G1028:G1032)),AVERAGE('20250815_ETF_Options_Exhibits'!G1028:G1032),"")</f>
        <v/>
      </c>
      <c r="H1032" s="3">
        <f>IF(ISNUMBER(AVERAGE('20250815_ETF_Options_Exhibits'!H1028:H1032)),AVERAGE('20250815_ETF_Options_Exhibits'!H1028:H1032),"")</f>
        <v/>
      </c>
      <c r="I1032" s="3">
        <f>IF(ISNUMBER(AVERAGE('20250815_ETF_Options_Exhibits'!I1028:I1032)),AVERAGE('20250815_ETF_Options_Exhibits'!I1028:I1032),"")</f>
        <v/>
      </c>
      <c r="J1032" s="3">
        <f>IF(ISNUMBER(AVERAGE('20250815_ETF_Options_Exhibits'!J1028:J1032)),AVERAGE('20250815_ETF_Options_Exhibits'!J1028:J1032),"")</f>
        <v/>
      </c>
      <c r="K1032" s="3">
        <f>IF(ISNUMBER(AVERAGE('20250815_ETF_Options_Exhibits'!K1028:K1032)),AVERAGE('20250815_ETF_Options_Exhibits'!K1028:K1032),"")</f>
        <v/>
      </c>
      <c r="L1032" s="3">
        <f>IF(ISNUMBER(AVERAGE('20250815_ETF_Options_Exhibits'!L1028:L1032)),AVERAGE('20250815_ETF_Options_Exhibits'!L1028:L1032),"")</f>
        <v/>
      </c>
      <c r="M1032" s="3">
        <f>IF(ISNUMBER(AVERAGE('20250815_ETF_Options_Exhibits'!M1028:M1032)),AVERAGE('20250815_ETF_Options_Exhibits'!M1028:M1032),"")</f>
        <v/>
      </c>
      <c r="N1032" s="3">
        <f>IF(ISNUMBER(AVERAGE('20250815_ETF_Options_Exhibits'!N1028:N1032)),AVERAGE('20250815_ETF_Options_Exhibits'!N1028:N1032),"")</f>
        <v/>
      </c>
      <c r="O1032" s="3">
        <f>IF(ISNUMBER(AVERAGE('20250815_ETF_Options_Exhibits'!O1028:O1032)),AVERAGE('20250815_ETF_Options_Exhibits'!O1028:O1032),"")</f>
        <v/>
      </c>
      <c r="P1032" s="3">
        <f>IF(ISNUMBER(AVERAGE('20250815_ETF_Options_Exhibits'!P1028:P1032)),AVERAGE('20250815_ETF_Options_Exhibits'!P1028:P1032),"")</f>
        <v/>
      </c>
      <c r="Q1032" s="3">
        <f>IF(ISNUMBER(AVERAGE('20250815_ETF_Options_Exhibits'!Q1028:Q1032)),AVERAGE('20250815_ETF_Options_Exhibits'!Q1028:Q1032),"")</f>
        <v/>
      </c>
      <c r="R1032" s="3">
        <f>IF(ISNUMBER(AVERAGE('20250815_ETF_Options_Exhibits'!R1028:R1032)),AVERAGE('20250815_ETF_Options_Exhibits'!R1028:R1032),"")</f>
        <v/>
      </c>
      <c r="S1032" s="3">
        <f>IF(ISNUMBER(AVERAGE('20250815_ETF_Options_Exhibits'!S1028:S1032)),AVERAGE('20250815_ETF_Options_Exhibits'!S1028:S1032),"")</f>
        <v/>
      </c>
      <c r="T1032" s="3">
        <f>IF(ISNUMBER(AVERAGE('20250815_ETF_Options_Exhibits'!T1028:T1032)),AVERAGE('20250815_ETF_Options_Exhibits'!T1028:T1032),"")</f>
        <v/>
      </c>
      <c r="U1032" s="3">
        <f>IF(ISNUMBER(AVERAGE('20250815_ETF_Options_Exhibits'!U1028:U1032)),AVERAGE('20250815_ETF_Options_Exhibits'!U1028:U1032),"")</f>
        <v/>
      </c>
      <c r="V1032" s="3">
        <f>IF(ISNUMBER(AVERAGE('20250815_ETF_Options_Exhibits'!V1028:V1032)),AVERAGE('20250815_ETF_Options_Exhibits'!V1028:V1032),"")</f>
        <v/>
      </c>
      <c r="W1032" s="3">
        <f>IF(ISNUMBER(AVERAGE('20250815_ETF_Options_Exhibits'!W1028:W1032)),AVERAGE('20250815_ETF_Options_Exhibits'!W1028:W1032),"")</f>
        <v/>
      </c>
      <c r="X1032" s="3">
        <f>IF(ISNUMBER(AVERAGE('20250815_ETF_Options_Exhibits'!X1028:X1032)),AVERAGE('20250815_ETF_Options_Exhibits'!X1028:X1032),"")</f>
        <v/>
      </c>
      <c r="Y1032" s="3">
        <f>IF(ISNUMBER(AVERAGE('20250815_ETF_Options_Exhibits'!Y1028:Y1032)),AVERAGE('20250815_ETF_Options_Exhibits'!Y1028:Y1032),"")</f>
        <v/>
      </c>
      <c r="Z1032" s="3">
        <f>IF(ISNUMBER(AVERAGE('20250815_ETF_Options_Exhibits'!Z1028:Z1032)),AVERAGE('20250815_ETF_Options_Exhibits'!Z1028:Z1032),"")</f>
        <v/>
      </c>
      <c r="AA1032" s="3">
        <f>IF(ISNUMBER(AVERAGE('20250815_ETF_Options_Exhibits'!AA1028:AA1032)),AVERAGE('20250815_ETF_Options_Exhibits'!AA1028:AA1032),"")</f>
        <v/>
      </c>
    </row>
    <row r="1033">
      <c r="A1033" s="1" t="n">
        <v>43502</v>
      </c>
      <c r="B1033" s="3">
        <f>IF(ISNUMBER(AVERAGE('20250815_ETF_Options_Exhibits'!B1029:B1033)),AVERAGE('20250815_ETF_Options_Exhibits'!B1029:B1033),"")</f>
        <v/>
      </c>
      <c r="C1033" s="3">
        <f>IF(ISNUMBER(AVERAGE('20250815_ETF_Options_Exhibits'!C1029:C1033)),AVERAGE('20250815_ETF_Options_Exhibits'!C1029:C1033),"")</f>
        <v/>
      </c>
      <c r="D1033" s="3">
        <f>IF(ISNUMBER(AVERAGE('20250815_ETF_Options_Exhibits'!D1029:D1033)),AVERAGE('20250815_ETF_Options_Exhibits'!D1029:D1033),"")</f>
        <v/>
      </c>
      <c r="E1033" s="3">
        <f>IF(ISNUMBER(AVERAGE('20250815_ETF_Options_Exhibits'!E1029:E1033)),AVERAGE('20250815_ETF_Options_Exhibits'!E1029:E1033),"")</f>
        <v/>
      </c>
      <c r="F1033" s="3">
        <f>IF(ISNUMBER(AVERAGE('20250815_ETF_Options_Exhibits'!F1029:F1033)),AVERAGE('20250815_ETF_Options_Exhibits'!F1029:F1033),"")</f>
        <v/>
      </c>
      <c r="G1033" s="3">
        <f>IF(ISNUMBER(AVERAGE('20250815_ETF_Options_Exhibits'!G1029:G1033)),AVERAGE('20250815_ETF_Options_Exhibits'!G1029:G1033),"")</f>
        <v/>
      </c>
      <c r="H1033" s="3">
        <f>IF(ISNUMBER(AVERAGE('20250815_ETF_Options_Exhibits'!H1029:H1033)),AVERAGE('20250815_ETF_Options_Exhibits'!H1029:H1033),"")</f>
        <v/>
      </c>
      <c r="I1033" s="3">
        <f>IF(ISNUMBER(AVERAGE('20250815_ETF_Options_Exhibits'!I1029:I1033)),AVERAGE('20250815_ETF_Options_Exhibits'!I1029:I1033),"")</f>
        <v/>
      </c>
      <c r="J1033" s="3">
        <f>IF(ISNUMBER(AVERAGE('20250815_ETF_Options_Exhibits'!J1029:J1033)),AVERAGE('20250815_ETF_Options_Exhibits'!J1029:J1033),"")</f>
        <v/>
      </c>
      <c r="K1033" s="3">
        <f>IF(ISNUMBER(AVERAGE('20250815_ETF_Options_Exhibits'!K1029:K1033)),AVERAGE('20250815_ETF_Options_Exhibits'!K1029:K1033),"")</f>
        <v/>
      </c>
      <c r="L1033" s="3">
        <f>IF(ISNUMBER(AVERAGE('20250815_ETF_Options_Exhibits'!L1029:L1033)),AVERAGE('20250815_ETF_Options_Exhibits'!L1029:L1033),"")</f>
        <v/>
      </c>
      <c r="M1033" s="3">
        <f>IF(ISNUMBER(AVERAGE('20250815_ETF_Options_Exhibits'!M1029:M1033)),AVERAGE('20250815_ETF_Options_Exhibits'!M1029:M1033),"")</f>
        <v/>
      </c>
      <c r="N1033" s="3">
        <f>IF(ISNUMBER(AVERAGE('20250815_ETF_Options_Exhibits'!N1029:N1033)),AVERAGE('20250815_ETF_Options_Exhibits'!N1029:N1033),"")</f>
        <v/>
      </c>
      <c r="O1033" s="3">
        <f>IF(ISNUMBER(AVERAGE('20250815_ETF_Options_Exhibits'!O1029:O1033)),AVERAGE('20250815_ETF_Options_Exhibits'!O1029:O1033),"")</f>
        <v/>
      </c>
      <c r="P1033" s="3">
        <f>IF(ISNUMBER(AVERAGE('20250815_ETF_Options_Exhibits'!P1029:P1033)),AVERAGE('20250815_ETF_Options_Exhibits'!P1029:P1033),"")</f>
        <v/>
      </c>
      <c r="Q1033" s="3">
        <f>IF(ISNUMBER(AVERAGE('20250815_ETF_Options_Exhibits'!Q1029:Q1033)),AVERAGE('20250815_ETF_Options_Exhibits'!Q1029:Q1033),"")</f>
        <v/>
      </c>
      <c r="R1033" s="3">
        <f>IF(ISNUMBER(AVERAGE('20250815_ETF_Options_Exhibits'!R1029:R1033)),AVERAGE('20250815_ETF_Options_Exhibits'!R1029:R1033),"")</f>
        <v/>
      </c>
      <c r="S1033" s="3">
        <f>IF(ISNUMBER(AVERAGE('20250815_ETF_Options_Exhibits'!S1029:S1033)),AVERAGE('20250815_ETF_Options_Exhibits'!S1029:S1033),"")</f>
        <v/>
      </c>
      <c r="T1033" s="3">
        <f>IF(ISNUMBER(AVERAGE('20250815_ETF_Options_Exhibits'!T1029:T1033)),AVERAGE('20250815_ETF_Options_Exhibits'!T1029:T1033),"")</f>
        <v/>
      </c>
      <c r="U1033" s="3">
        <f>IF(ISNUMBER(AVERAGE('20250815_ETF_Options_Exhibits'!U1029:U1033)),AVERAGE('20250815_ETF_Options_Exhibits'!U1029:U1033),"")</f>
        <v/>
      </c>
      <c r="V1033" s="3">
        <f>IF(ISNUMBER(AVERAGE('20250815_ETF_Options_Exhibits'!V1029:V1033)),AVERAGE('20250815_ETF_Options_Exhibits'!V1029:V1033),"")</f>
        <v/>
      </c>
      <c r="W1033" s="3">
        <f>IF(ISNUMBER(AVERAGE('20250815_ETF_Options_Exhibits'!W1029:W1033)),AVERAGE('20250815_ETF_Options_Exhibits'!W1029:W1033),"")</f>
        <v/>
      </c>
      <c r="X1033" s="3">
        <f>IF(ISNUMBER(AVERAGE('20250815_ETF_Options_Exhibits'!X1029:X1033)),AVERAGE('20250815_ETF_Options_Exhibits'!X1029:X1033),"")</f>
        <v/>
      </c>
      <c r="Y1033" s="3">
        <f>IF(ISNUMBER(AVERAGE('20250815_ETF_Options_Exhibits'!Y1029:Y1033)),AVERAGE('20250815_ETF_Options_Exhibits'!Y1029:Y1033),"")</f>
        <v/>
      </c>
      <c r="Z1033" s="3">
        <f>IF(ISNUMBER(AVERAGE('20250815_ETF_Options_Exhibits'!Z1029:Z1033)),AVERAGE('20250815_ETF_Options_Exhibits'!Z1029:Z1033),"")</f>
        <v/>
      </c>
      <c r="AA1033" s="3">
        <f>IF(ISNUMBER(AVERAGE('20250815_ETF_Options_Exhibits'!AA1029:AA1033)),AVERAGE('20250815_ETF_Options_Exhibits'!AA1029:AA1033),"")</f>
        <v/>
      </c>
    </row>
    <row r="1034">
      <c r="A1034" s="1" t="n">
        <v>43503</v>
      </c>
      <c r="B1034" s="3">
        <f>IF(ISNUMBER(AVERAGE('20250815_ETF_Options_Exhibits'!B1030:B1034)),AVERAGE('20250815_ETF_Options_Exhibits'!B1030:B1034),"")</f>
        <v/>
      </c>
      <c r="C1034" s="3">
        <f>IF(ISNUMBER(AVERAGE('20250815_ETF_Options_Exhibits'!C1030:C1034)),AVERAGE('20250815_ETF_Options_Exhibits'!C1030:C1034),"")</f>
        <v/>
      </c>
      <c r="D1034" s="3">
        <f>IF(ISNUMBER(AVERAGE('20250815_ETF_Options_Exhibits'!D1030:D1034)),AVERAGE('20250815_ETF_Options_Exhibits'!D1030:D1034),"")</f>
        <v/>
      </c>
      <c r="E1034" s="3">
        <f>IF(ISNUMBER(AVERAGE('20250815_ETF_Options_Exhibits'!E1030:E1034)),AVERAGE('20250815_ETF_Options_Exhibits'!E1030:E1034),"")</f>
        <v/>
      </c>
      <c r="F1034" s="3">
        <f>IF(ISNUMBER(AVERAGE('20250815_ETF_Options_Exhibits'!F1030:F1034)),AVERAGE('20250815_ETF_Options_Exhibits'!F1030:F1034),"")</f>
        <v/>
      </c>
      <c r="G1034" s="3">
        <f>IF(ISNUMBER(AVERAGE('20250815_ETF_Options_Exhibits'!G1030:G1034)),AVERAGE('20250815_ETF_Options_Exhibits'!G1030:G1034),"")</f>
        <v/>
      </c>
      <c r="H1034" s="3">
        <f>IF(ISNUMBER(AVERAGE('20250815_ETF_Options_Exhibits'!H1030:H1034)),AVERAGE('20250815_ETF_Options_Exhibits'!H1030:H1034),"")</f>
        <v/>
      </c>
      <c r="I1034" s="3">
        <f>IF(ISNUMBER(AVERAGE('20250815_ETF_Options_Exhibits'!I1030:I1034)),AVERAGE('20250815_ETF_Options_Exhibits'!I1030:I1034),"")</f>
        <v/>
      </c>
      <c r="J1034" s="3">
        <f>IF(ISNUMBER(AVERAGE('20250815_ETF_Options_Exhibits'!J1030:J1034)),AVERAGE('20250815_ETF_Options_Exhibits'!J1030:J1034),"")</f>
        <v/>
      </c>
      <c r="K1034" s="3">
        <f>IF(ISNUMBER(AVERAGE('20250815_ETF_Options_Exhibits'!K1030:K1034)),AVERAGE('20250815_ETF_Options_Exhibits'!K1030:K1034),"")</f>
        <v/>
      </c>
      <c r="L1034" s="3">
        <f>IF(ISNUMBER(AVERAGE('20250815_ETF_Options_Exhibits'!L1030:L1034)),AVERAGE('20250815_ETF_Options_Exhibits'!L1030:L1034),"")</f>
        <v/>
      </c>
      <c r="M1034" s="3">
        <f>IF(ISNUMBER(AVERAGE('20250815_ETF_Options_Exhibits'!M1030:M1034)),AVERAGE('20250815_ETF_Options_Exhibits'!M1030:M1034),"")</f>
        <v/>
      </c>
      <c r="N1034" s="3">
        <f>IF(ISNUMBER(AVERAGE('20250815_ETF_Options_Exhibits'!N1030:N1034)),AVERAGE('20250815_ETF_Options_Exhibits'!N1030:N1034),"")</f>
        <v/>
      </c>
      <c r="O1034" s="3">
        <f>IF(ISNUMBER(AVERAGE('20250815_ETF_Options_Exhibits'!O1030:O1034)),AVERAGE('20250815_ETF_Options_Exhibits'!O1030:O1034),"")</f>
        <v/>
      </c>
      <c r="P1034" s="3">
        <f>IF(ISNUMBER(AVERAGE('20250815_ETF_Options_Exhibits'!P1030:P1034)),AVERAGE('20250815_ETF_Options_Exhibits'!P1030:P1034),"")</f>
        <v/>
      </c>
      <c r="Q1034" s="3">
        <f>IF(ISNUMBER(AVERAGE('20250815_ETF_Options_Exhibits'!Q1030:Q1034)),AVERAGE('20250815_ETF_Options_Exhibits'!Q1030:Q1034),"")</f>
        <v/>
      </c>
      <c r="R1034" s="3">
        <f>IF(ISNUMBER(AVERAGE('20250815_ETF_Options_Exhibits'!R1030:R1034)),AVERAGE('20250815_ETF_Options_Exhibits'!R1030:R1034),"")</f>
        <v/>
      </c>
      <c r="S1034" s="3">
        <f>IF(ISNUMBER(AVERAGE('20250815_ETF_Options_Exhibits'!S1030:S1034)),AVERAGE('20250815_ETF_Options_Exhibits'!S1030:S1034),"")</f>
        <v/>
      </c>
      <c r="T1034" s="3">
        <f>IF(ISNUMBER(AVERAGE('20250815_ETF_Options_Exhibits'!T1030:T1034)),AVERAGE('20250815_ETF_Options_Exhibits'!T1030:T1034),"")</f>
        <v/>
      </c>
      <c r="U1034" s="3">
        <f>IF(ISNUMBER(AVERAGE('20250815_ETF_Options_Exhibits'!U1030:U1034)),AVERAGE('20250815_ETF_Options_Exhibits'!U1030:U1034),"")</f>
        <v/>
      </c>
      <c r="V1034" s="3">
        <f>IF(ISNUMBER(AVERAGE('20250815_ETF_Options_Exhibits'!V1030:V1034)),AVERAGE('20250815_ETF_Options_Exhibits'!V1030:V1034),"")</f>
        <v/>
      </c>
      <c r="W1034" s="3">
        <f>IF(ISNUMBER(AVERAGE('20250815_ETF_Options_Exhibits'!W1030:W1034)),AVERAGE('20250815_ETF_Options_Exhibits'!W1030:W1034),"")</f>
        <v/>
      </c>
      <c r="X1034" s="3">
        <f>IF(ISNUMBER(AVERAGE('20250815_ETF_Options_Exhibits'!X1030:X1034)),AVERAGE('20250815_ETF_Options_Exhibits'!X1030:X1034),"")</f>
        <v/>
      </c>
      <c r="Y1034" s="3">
        <f>IF(ISNUMBER(AVERAGE('20250815_ETF_Options_Exhibits'!Y1030:Y1034)),AVERAGE('20250815_ETF_Options_Exhibits'!Y1030:Y1034),"")</f>
        <v/>
      </c>
      <c r="Z1034" s="3">
        <f>IF(ISNUMBER(AVERAGE('20250815_ETF_Options_Exhibits'!Z1030:Z1034)),AVERAGE('20250815_ETF_Options_Exhibits'!Z1030:Z1034),"")</f>
        <v/>
      </c>
      <c r="AA1034" s="3">
        <f>IF(ISNUMBER(AVERAGE('20250815_ETF_Options_Exhibits'!AA1030:AA1034)),AVERAGE('20250815_ETF_Options_Exhibits'!AA1030:AA1034),"")</f>
        <v/>
      </c>
    </row>
    <row r="1035">
      <c r="A1035" s="1" t="n">
        <v>43504</v>
      </c>
      <c r="B1035" s="3">
        <f>IF(ISNUMBER(AVERAGE('20250815_ETF_Options_Exhibits'!B1031:B1035)),AVERAGE('20250815_ETF_Options_Exhibits'!B1031:B1035),"")</f>
        <v/>
      </c>
      <c r="C1035" s="3">
        <f>IF(ISNUMBER(AVERAGE('20250815_ETF_Options_Exhibits'!C1031:C1035)),AVERAGE('20250815_ETF_Options_Exhibits'!C1031:C1035),"")</f>
        <v/>
      </c>
      <c r="D1035" s="3">
        <f>IF(ISNUMBER(AVERAGE('20250815_ETF_Options_Exhibits'!D1031:D1035)),AVERAGE('20250815_ETF_Options_Exhibits'!D1031:D1035),"")</f>
        <v/>
      </c>
      <c r="E1035" s="3">
        <f>IF(ISNUMBER(AVERAGE('20250815_ETF_Options_Exhibits'!E1031:E1035)),AVERAGE('20250815_ETF_Options_Exhibits'!E1031:E1035),"")</f>
        <v/>
      </c>
      <c r="F1035" s="3">
        <f>IF(ISNUMBER(AVERAGE('20250815_ETF_Options_Exhibits'!F1031:F1035)),AVERAGE('20250815_ETF_Options_Exhibits'!F1031:F1035),"")</f>
        <v/>
      </c>
      <c r="G1035" s="3">
        <f>IF(ISNUMBER(AVERAGE('20250815_ETF_Options_Exhibits'!G1031:G1035)),AVERAGE('20250815_ETF_Options_Exhibits'!G1031:G1035),"")</f>
        <v/>
      </c>
      <c r="H1035" s="3">
        <f>IF(ISNUMBER(AVERAGE('20250815_ETF_Options_Exhibits'!H1031:H1035)),AVERAGE('20250815_ETF_Options_Exhibits'!H1031:H1035),"")</f>
        <v/>
      </c>
      <c r="I1035" s="3">
        <f>IF(ISNUMBER(AVERAGE('20250815_ETF_Options_Exhibits'!I1031:I1035)),AVERAGE('20250815_ETF_Options_Exhibits'!I1031:I1035),"")</f>
        <v/>
      </c>
      <c r="J1035" s="3">
        <f>IF(ISNUMBER(AVERAGE('20250815_ETF_Options_Exhibits'!J1031:J1035)),AVERAGE('20250815_ETF_Options_Exhibits'!J1031:J1035),"")</f>
        <v/>
      </c>
      <c r="K1035" s="3">
        <f>IF(ISNUMBER(AVERAGE('20250815_ETF_Options_Exhibits'!K1031:K1035)),AVERAGE('20250815_ETF_Options_Exhibits'!K1031:K1035),"")</f>
        <v/>
      </c>
      <c r="L1035" s="3">
        <f>IF(ISNUMBER(AVERAGE('20250815_ETF_Options_Exhibits'!L1031:L1035)),AVERAGE('20250815_ETF_Options_Exhibits'!L1031:L1035),"")</f>
        <v/>
      </c>
      <c r="M1035" s="3">
        <f>IF(ISNUMBER(AVERAGE('20250815_ETF_Options_Exhibits'!M1031:M1035)),AVERAGE('20250815_ETF_Options_Exhibits'!M1031:M1035),"")</f>
        <v/>
      </c>
      <c r="N1035" s="3">
        <f>IF(ISNUMBER(AVERAGE('20250815_ETF_Options_Exhibits'!N1031:N1035)),AVERAGE('20250815_ETF_Options_Exhibits'!N1031:N1035),"")</f>
        <v/>
      </c>
      <c r="O1035" s="3">
        <f>IF(ISNUMBER(AVERAGE('20250815_ETF_Options_Exhibits'!O1031:O1035)),AVERAGE('20250815_ETF_Options_Exhibits'!O1031:O1035),"")</f>
        <v/>
      </c>
      <c r="P1035" s="3">
        <f>IF(ISNUMBER(AVERAGE('20250815_ETF_Options_Exhibits'!P1031:P1035)),AVERAGE('20250815_ETF_Options_Exhibits'!P1031:P1035),"")</f>
        <v/>
      </c>
      <c r="Q1035" s="3">
        <f>IF(ISNUMBER(AVERAGE('20250815_ETF_Options_Exhibits'!Q1031:Q1035)),AVERAGE('20250815_ETF_Options_Exhibits'!Q1031:Q1035),"")</f>
        <v/>
      </c>
      <c r="R1035" s="3">
        <f>IF(ISNUMBER(AVERAGE('20250815_ETF_Options_Exhibits'!R1031:R1035)),AVERAGE('20250815_ETF_Options_Exhibits'!R1031:R1035),"")</f>
        <v/>
      </c>
      <c r="S1035" s="3">
        <f>IF(ISNUMBER(AVERAGE('20250815_ETF_Options_Exhibits'!S1031:S1035)),AVERAGE('20250815_ETF_Options_Exhibits'!S1031:S1035),"")</f>
        <v/>
      </c>
      <c r="T1035" s="3">
        <f>IF(ISNUMBER(AVERAGE('20250815_ETF_Options_Exhibits'!T1031:T1035)),AVERAGE('20250815_ETF_Options_Exhibits'!T1031:T1035),"")</f>
        <v/>
      </c>
      <c r="U1035" s="3">
        <f>IF(ISNUMBER(AVERAGE('20250815_ETF_Options_Exhibits'!U1031:U1035)),AVERAGE('20250815_ETF_Options_Exhibits'!U1031:U1035),"")</f>
        <v/>
      </c>
      <c r="V1035" s="3">
        <f>IF(ISNUMBER(AVERAGE('20250815_ETF_Options_Exhibits'!V1031:V1035)),AVERAGE('20250815_ETF_Options_Exhibits'!V1031:V1035),"")</f>
        <v/>
      </c>
      <c r="W1035" s="3">
        <f>IF(ISNUMBER(AVERAGE('20250815_ETF_Options_Exhibits'!W1031:W1035)),AVERAGE('20250815_ETF_Options_Exhibits'!W1031:W1035),"")</f>
        <v/>
      </c>
      <c r="X1035" s="3">
        <f>IF(ISNUMBER(AVERAGE('20250815_ETF_Options_Exhibits'!X1031:X1035)),AVERAGE('20250815_ETF_Options_Exhibits'!X1031:X1035),"")</f>
        <v/>
      </c>
      <c r="Y1035" s="3">
        <f>IF(ISNUMBER(AVERAGE('20250815_ETF_Options_Exhibits'!Y1031:Y1035)),AVERAGE('20250815_ETF_Options_Exhibits'!Y1031:Y1035),"")</f>
        <v/>
      </c>
      <c r="Z1035" s="3">
        <f>IF(ISNUMBER(AVERAGE('20250815_ETF_Options_Exhibits'!Z1031:Z1035)),AVERAGE('20250815_ETF_Options_Exhibits'!Z1031:Z1035),"")</f>
        <v/>
      </c>
      <c r="AA1035" s="3">
        <f>IF(ISNUMBER(AVERAGE('20250815_ETF_Options_Exhibits'!AA1031:AA1035)),AVERAGE('20250815_ETF_Options_Exhibits'!AA1031:AA1035),"")</f>
        <v/>
      </c>
    </row>
    <row r="1036">
      <c r="A1036" s="1" t="n">
        <v>43507</v>
      </c>
      <c r="B1036" s="3">
        <f>IF(ISNUMBER(AVERAGE('20250815_ETF_Options_Exhibits'!B1032:B1036)),AVERAGE('20250815_ETF_Options_Exhibits'!B1032:B1036),"")</f>
        <v/>
      </c>
      <c r="C1036" s="3">
        <f>IF(ISNUMBER(AVERAGE('20250815_ETF_Options_Exhibits'!C1032:C1036)),AVERAGE('20250815_ETF_Options_Exhibits'!C1032:C1036),"")</f>
        <v/>
      </c>
      <c r="D1036" s="3">
        <f>IF(ISNUMBER(AVERAGE('20250815_ETF_Options_Exhibits'!D1032:D1036)),AVERAGE('20250815_ETF_Options_Exhibits'!D1032:D1036),"")</f>
        <v/>
      </c>
      <c r="E1036" s="3">
        <f>IF(ISNUMBER(AVERAGE('20250815_ETF_Options_Exhibits'!E1032:E1036)),AVERAGE('20250815_ETF_Options_Exhibits'!E1032:E1036),"")</f>
        <v/>
      </c>
      <c r="F1036" s="3">
        <f>IF(ISNUMBER(AVERAGE('20250815_ETF_Options_Exhibits'!F1032:F1036)),AVERAGE('20250815_ETF_Options_Exhibits'!F1032:F1036),"")</f>
        <v/>
      </c>
      <c r="G1036" s="3">
        <f>IF(ISNUMBER(AVERAGE('20250815_ETF_Options_Exhibits'!G1032:G1036)),AVERAGE('20250815_ETF_Options_Exhibits'!G1032:G1036),"")</f>
        <v/>
      </c>
      <c r="H1036" s="3">
        <f>IF(ISNUMBER(AVERAGE('20250815_ETF_Options_Exhibits'!H1032:H1036)),AVERAGE('20250815_ETF_Options_Exhibits'!H1032:H1036),"")</f>
        <v/>
      </c>
      <c r="I1036" s="3">
        <f>IF(ISNUMBER(AVERAGE('20250815_ETF_Options_Exhibits'!I1032:I1036)),AVERAGE('20250815_ETF_Options_Exhibits'!I1032:I1036),"")</f>
        <v/>
      </c>
      <c r="J1036" s="3">
        <f>IF(ISNUMBER(AVERAGE('20250815_ETF_Options_Exhibits'!J1032:J1036)),AVERAGE('20250815_ETF_Options_Exhibits'!J1032:J1036),"")</f>
        <v/>
      </c>
      <c r="K1036" s="3">
        <f>IF(ISNUMBER(AVERAGE('20250815_ETF_Options_Exhibits'!K1032:K1036)),AVERAGE('20250815_ETF_Options_Exhibits'!K1032:K1036),"")</f>
        <v/>
      </c>
      <c r="L1036" s="3">
        <f>IF(ISNUMBER(AVERAGE('20250815_ETF_Options_Exhibits'!L1032:L1036)),AVERAGE('20250815_ETF_Options_Exhibits'!L1032:L1036),"")</f>
        <v/>
      </c>
      <c r="M1036" s="3">
        <f>IF(ISNUMBER(AVERAGE('20250815_ETF_Options_Exhibits'!M1032:M1036)),AVERAGE('20250815_ETF_Options_Exhibits'!M1032:M1036),"")</f>
        <v/>
      </c>
      <c r="N1036" s="3">
        <f>IF(ISNUMBER(AVERAGE('20250815_ETF_Options_Exhibits'!N1032:N1036)),AVERAGE('20250815_ETF_Options_Exhibits'!N1032:N1036),"")</f>
        <v/>
      </c>
      <c r="O1036" s="3">
        <f>IF(ISNUMBER(AVERAGE('20250815_ETF_Options_Exhibits'!O1032:O1036)),AVERAGE('20250815_ETF_Options_Exhibits'!O1032:O1036),"")</f>
        <v/>
      </c>
      <c r="P1036" s="3">
        <f>IF(ISNUMBER(AVERAGE('20250815_ETF_Options_Exhibits'!P1032:P1036)),AVERAGE('20250815_ETF_Options_Exhibits'!P1032:P1036),"")</f>
        <v/>
      </c>
      <c r="Q1036" s="3">
        <f>IF(ISNUMBER(AVERAGE('20250815_ETF_Options_Exhibits'!Q1032:Q1036)),AVERAGE('20250815_ETF_Options_Exhibits'!Q1032:Q1036),"")</f>
        <v/>
      </c>
      <c r="R1036" s="3">
        <f>IF(ISNUMBER(AVERAGE('20250815_ETF_Options_Exhibits'!R1032:R1036)),AVERAGE('20250815_ETF_Options_Exhibits'!R1032:R1036),"")</f>
        <v/>
      </c>
      <c r="S1036" s="3">
        <f>IF(ISNUMBER(AVERAGE('20250815_ETF_Options_Exhibits'!S1032:S1036)),AVERAGE('20250815_ETF_Options_Exhibits'!S1032:S1036),"")</f>
        <v/>
      </c>
      <c r="T1036" s="3">
        <f>IF(ISNUMBER(AVERAGE('20250815_ETF_Options_Exhibits'!T1032:T1036)),AVERAGE('20250815_ETF_Options_Exhibits'!T1032:T1036),"")</f>
        <v/>
      </c>
      <c r="U1036" s="3">
        <f>IF(ISNUMBER(AVERAGE('20250815_ETF_Options_Exhibits'!U1032:U1036)),AVERAGE('20250815_ETF_Options_Exhibits'!U1032:U1036),"")</f>
        <v/>
      </c>
      <c r="V1036" s="3">
        <f>IF(ISNUMBER(AVERAGE('20250815_ETF_Options_Exhibits'!V1032:V1036)),AVERAGE('20250815_ETF_Options_Exhibits'!V1032:V1036),"")</f>
        <v/>
      </c>
      <c r="W1036" s="3">
        <f>IF(ISNUMBER(AVERAGE('20250815_ETF_Options_Exhibits'!W1032:W1036)),AVERAGE('20250815_ETF_Options_Exhibits'!W1032:W1036),"")</f>
        <v/>
      </c>
      <c r="X1036" s="3">
        <f>IF(ISNUMBER(AVERAGE('20250815_ETF_Options_Exhibits'!X1032:X1036)),AVERAGE('20250815_ETF_Options_Exhibits'!X1032:X1036),"")</f>
        <v/>
      </c>
      <c r="Y1036" s="3">
        <f>IF(ISNUMBER(AVERAGE('20250815_ETF_Options_Exhibits'!Y1032:Y1036)),AVERAGE('20250815_ETF_Options_Exhibits'!Y1032:Y1036),"")</f>
        <v/>
      </c>
      <c r="Z1036" s="3">
        <f>IF(ISNUMBER(AVERAGE('20250815_ETF_Options_Exhibits'!Z1032:Z1036)),AVERAGE('20250815_ETF_Options_Exhibits'!Z1032:Z1036),"")</f>
        <v/>
      </c>
      <c r="AA1036" s="3">
        <f>IF(ISNUMBER(AVERAGE('20250815_ETF_Options_Exhibits'!AA1032:AA1036)),AVERAGE('20250815_ETF_Options_Exhibits'!AA1032:AA1036),"")</f>
        <v/>
      </c>
    </row>
    <row r="1037">
      <c r="A1037" s="1" t="n">
        <v>43508</v>
      </c>
      <c r="B1037" s="3">
        <f>IF(ISNUMBER(AVERAGE('20250815_ETF_Options_Exhibits'!B1033:B1037)),AVERAGE('20250815_ETF_Options_Exhibits'!B1033:B1037),"")</f>
        <v/>
      </c>
      <c r="C1037" s="3">
        <f>IF(ISNUMBER(AVERAGE('20250815_ETF_Options_Exhibits'!C1033:C1037)),AVERAGE('20250815_ETF_Options_Exhibits'!C1033:C1037),"")</f>
        <v/>
      </c>
      <c r="D1037" s="3">
        <f>IF(ISNUMBER(AVERAGE('20250815_ETF_Options_Exhibits'!D1033:D1037)),AVERAGE('20250815_ETF_Options_Exhibits'!D1033:D1037),"")</f>
        <v/>
      </c>
      <c r="E1037" s="3">
        <f>IF(ISNUMBER(AVERAGE('20250815_ETF_Options_Exhibits'!E1033:E1037)),AVERAGE('20250815_ETF_Options_Exhibits'!E1033:E1037),"")</f>
        <v/>
      </c>
      <c r="F1037" s="3">
        <f>IF(ISNUMBER(AVERAGE('20250815_ETF_Options_Exhibits'!F1033:F1037)),AVERAGE('20250815_ETF_Options_Exhibits'!F1033:F1037),"")</f>
        <v/>
      </c>
      <c r="G1037" s="3">
        <f>IF(ISNUMBER(AVERAGE('20250815_ETF_Options_Exhibits'!G1033:G1037)),AVERAGE('20250815_ETF_Options_Exhibits'!G1033:G1037),"")</f>
        <v/>
      </c>
      <c r="H1037" s="3">
        <f>IF(ISNUMBER(AVERAGE('20250815_ETF_Options_Exhibits'!H1033:H1037)),AVERAGE('20250815_ETF_Options_Exhibits'!H1033:H1037),"")</f>
        <v/>
      </c>
      <c r="I1037" s="3">
        <f>IF(ISNUMBER(AVERAGE('20250815_ETF_Options_Exhibits'!I1033:I1037)),AVERAGE('20250815_ETF_Options_Exhibits'!I1033:I1037),"")</f>
        <v/>
      </c>
      <c r="J1037" s="3">
        <f>IF(ISNUMBER(AVERAGE('20250815_ETF_Options_Exhibits'!J1033:J1037)),AVERAGE('20250815_ETF_Options_Exhibits'!J1033:J1037),"")</f>
        <v/>
      </c>
      <c r="K1037" s="3">
        <f>IF(ISNUMBER(AVERAGE('20250815_ETF_Options_Exhibits'!K1033:K1037)),AVERAGE('20250815_ETF_Options_Exhibits'!K1033:K1037),"")</f>
        <v/>
      </c>
      <c r="L1037" s="3">
        <f>IF(ISNUMBER(AVERAGE('20250815_ETF_Options_Exhibits'!L1033:L1037)),AVERAGE('20250815_ETF_Options_Exhibits'!L1033:L1037),"")</f>
        <v/>
      </c>
      <c r="M1037" s="3">
        <f>IF(ISNUMBER(AVERAGE('20250815_ETF_Options_Exhibits'!M1033:M1037)),AVERAGE('20250815_ETF_Options_Exhibits'!M1033:M1037),"")</f>
        <v/>
      </c>
      <c r="N1037" s="3">
        <f>IF(ISNUMBER(AVERAGE('20250815_ETF_Options_Exhibits'!N1033:N1037)),AVERAGE('20250815_ETF_Options_Exhibits'!N1033:N1037),"")</f>
        <v/>
      </c>
      <c r="O1037" s="3">
        <f>IF(ISNUMBER(AVERAGE('20250815_ETF_Options_Exhibits'!O1033:O1037)),AVERAGE('20250815_ETF_Options_Exhibits'!O1033:O1037),"")</f>
        <v/>
      </c>
      <c r="P1037" s="3">
        <f>IF(ISNUMBER(AVERAGE('20250815_ETF_Options_Exhibits'!P1033:P1037)),AVERAGE('20250815_ETF_Options_Exhibits'!P1033:P1037),"")</f>
        <v/>
      </c>
      <c r="Q1037" s="3">
        <f>IF(ISNUMBER(AVERAGE('20250815_ETF_Options_Exhibits'!Q1033:Q1037)),AVERAGE('20250815_ETF_Options_Exhibits'!Q1033:Q1037),"")</f>
        <v/>
      </c>
      <c r="R1037" s="3">
        <f>IF(ISNUMBER(AVERAGE('20250815_ETF_Options_Exhibits'!R1033:R1037)),AVERAGE('20250815_ETF_Options_Exhibits'!R1033:R1037),"")</f>
        <v/>
      </c>
      <c r="S1037" s="3">
        <f>IF(ISNUMBER(AVERAGE('20250815_ETF_Options_Exhibits'!S1033:S1037)),AVERAGE('20250815_ETF_Options_Exhibits'!S1033:S1037),"")</f>
        <v/>
      </c>
      <c r="T1037" s="3">
        <f>IF(ISNUMBER(AVERAGE('20250815_ETF_Options_Exhibits'!T1033:T1037)),AVERAGE('20250815_ETF_Options_Exhibits'!T1033:T1037),"")</f>
        <v/>
      </c>
      <c r="U1037" s="3">
        <f>IF(ISNUMBER(AVERAGE('20250815_ETF_Options_Exhibits'!U1033:U1037)),AVERAGE('20250815_ETF_Options_Exhibits'!U1033:U1037),"")</f>
        <v/>
      </c>
      <c r="V1037" s="3">
        <f>IF(ISNUMBER(AVERAGE('20250815_ETF_Options_Exhibits'!V1033:V1037)),AVERAGE('20250815_ETF_Options_Exhibits'!V1033:V1037),"")</f>
        <v/>
      </c>
      <c r="W1037" s="3">
        <f>IF(ISNUMBER(AVERAGE('20250815_ETF_Options_Exhibits'!W1033:W1037)),AVERAGE('20250815_ETF_Options_Exhibits'!W1033:W1037),"")</f>
        <v/>
      </c>
      <c r="X1037" s="3">
        <f>IF(ISNUMBER(AVERAGE('20250815_ETF_Options_Exhibits'!X1033:X1037)),AVERAGE('20250815_ETF_Options_Exhibits'!X1033:X1037),"")</f>
        <v/>
      </c>
      <c r="Y1037" s="3">
        <f>IF(ISNUMBER(AVERAGE('20250815_ETF_Options_Exhibits'!Y1033:Y1037)),AVERAGE('20250815_ETF_Options_Exhibits'!Y1033:Y1037),"")</f>
        <v/>
      </c>
      <c r="Z1037" s="3">
        <f>IF(ISNUMBER(AVERAGE('20250815_ETF_Options_Exhibits'!Z1033:Z1037)),AVERAGE('20250815_ETF_Options_Exhibits'!Z1033:Z1037),"")</f>
        <v/>
      </c>
      <c r="AA1037" s="3">
        <f>IF(ISNUMBER(AVERAGE('20250815_ETF_Options_Exhibits'!AA1033:AA1037)),AVERAGE('20250815_ETF_Options_Exhibits'!AA1033:AA1037),"")</f>
        <v/>
      </c>
    </row>
    <row r="1038">
      <c r="A1038" s="1" t="n">
        <v>43509</v>
      </c>
      <c r="B1038" s="3">
        <f>IF(ISNUMBER(AVERAGE('20250815_ETF_Options_Exhibits'!B1034:B1038)),AVERAGE('20250815_ETF_Options_Exhibits'!B1034:B1038),"")</f>
        <v/>
      </c>
      <c r="C1038" s="3">
        <f>IF(ISNUMBER(AVERAGE('20250815_ETF_Options_Exhibits'!C1034:C1038)),AVERAGE('20250815_ETF_Options_Exhibits'!C1034:C1038),"")</f>
        <v/>
      </c>
      <c r="D1038" s="3">
        <f>IF(ISNUMBER(AVERAGE('20250815_ETF_Options_Exhibits'!D1034:D1038)),AVERAGE('20250815_ETF_Options_Exhibits'!D1034:D1038),"")</f>
        <v/>
      </c>
      <c r="E1038" s="3">
        <f>IF(ISNUMBER(AVERAGE('20250815_ETF_Options_Exhibits'!E1034:E1038)),AVERAGE('20250815_ETF_Options_Exhibits'!E1034:E1038),"")</f>
        <v/>
      </c>
      <c r="F1038" s="3">
        <f>IF(ISNUMBER(AVERAGE('20250815_ETF_Options_Exhibits'!F1034:F1038)),AVERAGE('20250815_ETF_Options_Exhibits'!F1034:F1038),"")</f>
        <v/>
      </c>
      <c r="G1038" s="3">
        <f>IF(ISNUMBER(AVERAGE('20250815_ETF_Options_Exhibits'!G1034:G1038)),AVERAGE('20250815_ETF_Options_Exhibits'!G1034:G1038),"")</f>
        <v/>
      </c>
      <c r="H1038" s="3">
        <f>IF(ISNUMBER(AVERAGE('20250815_ETF_Options_Exhibits'!H1034:H1038)),AVERAGE('20250815_ETF_Options_Exhibits'!H1034:H1038),"")</f>
        <v/>
      </c>
      <c r="I1038" s="3">
        <f>IF(ISNUMBER(AVERAGE('20250815_ETF_Options_Exhibits'!I1034:I1038)),AVERAGE('20250815_ETF_Options_Exhibits'!I1034:I1038),"")</f>
        <v/>
      </c>
      <c r="J1038" s="3">
        <f>IF(ISNUMBER(AVERAGE('20250815_ETF_Options_Exhibits'!J1034:J1038)),AVERAGE('20250815_ETF_Options_Exhibits'!J1034:J1038),"")</f>
        <v/>
      </c>
      <c r="K1038" s="3">
        <f>IF(ISNUMBER(AVERAGE('20250815_ETF_Options_Exhibits'!K1034:K1038)),AVERAGE('20250815_ETF_Options_Exhibits'!K1034:K1038),"")</f>
        <v/>
      </c>
      <c r="L1038" s="3">
        <f>IF(ISNUMBER(AVERAGE('20250815_ETF_Options_Exhibits'!L1034:L1038)),AVERAGE('20250815_ETF_Options_Exhibits'!L1034:L1038),"")</f>
        <v/>
      </c>
      <c r="M1038" s="3">
        <f>IF(ISNUMBER(AVERAGE('20250815_ETF_Options_Exhibits'!M1034:M1038)),AVERAGE('20250815_ETF_Options_Exhibits'!M1034:M1038),"")</f>
        <v/>
      </c>
      <c r="N1038" s="3">
        <f>IF(ISNUMBER(AVERAGE('20250815_ETF_Options_Exhibits'!N1034:N1038)),AVERAGE('20250815_ETF_Options_Exhibits'!N1034:N1038),"")</f>
        <v/>
      </c>
      <c r="O1038" s="3">
        <f>IF(ISNUMBER(AVERAGE('20250815_ETF_Options_Exhibits'!O1034:O1038)),AVERAGE('20250815_ETF_Options_Exhibits'!O1034:O1038),"")</f>
        <v/>
      </c>
      <c r="P1038" s="3">
        <f>IF(ISNUMBER(AVERAGE('20250815_ETF_Options_Exhibits'!P1034:P1038)),AVERAGE('20250815_ETF_Options_Exhibits'!P1034:P1038),"")</f>
        <v/>
      </c>
      <c r="Q1038" s="3">
        <f>IF(ISNUMBER(AVERAGE('20250815_ETF_Options_Exhibits'!Q1034:Q1038)),AVERAGE('20250815_ETF_Options_Exhibits'!Q1034:Q1038),"")</f>
        <v/>
      </c>
      <c r="R1038" s="3">
        <f>IF(ISNUMBER(AVERAGE('20250815_ETF_Options_Exhibits'!R1034:R1038)),AVERAGE('20250815_ETF_Options_Exhibits'!R1034:R1038),"")</f>
        <v/>
      </c>
      <c r="S1038" s="3">
        <f>IF(ISNUMBER(AVERAGE('20250815_ETF_Options_Exhibits'!S1034:S1038)),AVERAGE('20250815_ETF_Options_Exhibits'!S1034:S1038),"")</f>
        <v/>
      </c>
      <c r="T1038" s="3">
        <f>IF(ISNUMBER(AVERAGE('20250815_ETF_Options_Exhibits'!T1034:T1038)),AVERAGE('20250815_ETF_Options_Exhibits'!T1034:T1038),"")</f>
        <v/>
      </c>
      <c r="U1038" s="3">
        <f>IF(ISNUMBER(AVERAGE('20250815_ETF_Options_Exhibits'!U1034:U1038)),AVERAGE('20250815_ETF_Options_Exhibits'!U1034:U1038),"")</f>
        <v/>
      </c>
      <c r="V1038" s="3">
        <f>IF(ISNUMBER(AVERAGE('20250815_ETF_Options_Exhibits'!V1034:V1038)),AVERAGE('20250815_ETF_Options_Exhibits'!V1034:V1038),"")</f>
        <v/>
      </c>
      <c r="W1038" s="3">
        <f>IF(ISNUMBER(AVERAGE('20250815_ETF_Options_Exhibits'!W1034:W1038)),AVERAGE('20250815_ETF_Options_Exhibits'!W1034:W1038),"")</f>
        <v/>
      </c>
      <c r="X1038" s="3">
        <f>IF(ISNUMBER(AVERAGE('20250815_ETF_Options_Exhibits'!X1034:X1038)),AVERAGE('20250815_ETF_Options_Exhibits'!X1034:X1038),"")</f>
        <v/>
      </c>
      <c r="Y1038" s="3">
        <f>IF(ISNUMBER(AVERAGE('20250815_ETF_Options_Exhibits'!Y1034:Y1038)),AVERAGE('20250815_ETF_Options_Exhibits'!Y1034:Y1038),"")</f>
        <v/>
      </c>
      <c r="Z1038" s="3">
        <f>IF(ISNUMBER(AVERAGE('20250815_ETF_Options_Exhibits'!Z1034:Z1038)),AVERAGE('20250815_ETF_Options_Exhibits'!Z1034:Z1038),"")</f>
        <v/>
      </c>
      <c r="AA1038" s="3">
        <f>IF(ISNUMBER(AVERAGE('20250815_ETF_Options_Exhibits'!AA1034:AA1038)),AVERAGE('20250815_ETF_Options_Exhibits'!AA1034:AA1038),"")</f>
        <v/>
      </c>
    </row>
    <row r="1039">
      <c r="A1039" s="1" t="n">
        <v>43510</v>
      </c>
      <c r="B1039" s="3">
        <f>IF(ISNUMBER(AVERAGE('20250815_ETF_Options_Exhibits'!B1035:B1039)),AVERAGE('20250815_ETF_Options_Exhibits'!B1035:B1039),"")</f>
        <v/>
      </c>
      <c r="C1039" s="3">
        <f>IF(ISNUMBER(AVERAGE('20250815_ETF_Options_Exhibits'!C1035:C1039)),AVERAGE('20250815_ETF_Options_Exhibits'!C1035:C1039),"")</f>
        <v/>
      </c>
      <c r="D1039" s="3">
        <f>IF(ISNUMBER(AVERAGE('20250815_ETF_Options_Exhibits'!D1035:D1039)),AVERAGE('20250815_ETF_Options_Exhibits'!D1035:D1039),"")</f>
        <v/>
      </c>
      <c r="E1039" s="3">
        <f>IF(ISNUMBER(AVERAGE('20250815_ETF_Options_Exhibits'!E1035:E1039)),AVERAGE('20250815_ETF_Options_Exhibits'!E1035:E1039),"")</f>
        <v/>
      </c>
      <c r="F1039" s="3">
        <f>IF(ISNUMBER(AVERAGE('20250815_ETF_Options_Exhibits'!F1035:F1039)),AVERAGE('20250815_ETF_Options_Exhibits'!F1035:F1039),"")</f>
        <v/>
      </c>
      <c r="G1039" s="3">
        <f>IF(ISNUMBER(AVERAGE('20250815_ETF_Options_Exhibits'!G1035:G1039)),AVERAGE('20250815_ETF_Options_Exhibits'!G1035:G1039),"")</f>
        <v/>
      </c>
      <c r="H1039" s="3">
        <f>IF(ISNUMBER(AVERAGE('20250815_ETF_Options_Exhibits'!H1035:H1039)),AVERAGE('20250815_ETF_Options_Exhibits'!H1035:H1039),"")</f>
        <v/>
      </c>
      <c r="I1039" s="3">
        <f>IF(ISNUMBER(AVERAGE('20250815_ETF_Options_Exhibits'!I1035:I1039)),AVERAGE('20250815_ETF_Options_Exhibits'!I1035:I1039),"")</f>
        <v/>
      </c>
      <c r="J1039" s="3">
        <f>IF(ISNUMBER(AVERAGE('20250815_ETF_Options_Exhibits'!J1035:J1039)),AVERAGE('20250815_ETF_Options_Exhibits'!J1035:J1039),"")</f>
        <v/>
      </c>
      <c r="K1039" s="3">
        <f>IF(ISNUMBER(AVERAGE('20250815_ETF_Options_Exhibits'!K1035:K1039)),AVERAGE('20250815_ETF_Options_Exhibits'!K1035:K1039),"")</f>
        <v/>
      </c>
      <c r="L1039" s="3">
        <f>IF(ISNUMBER(AVERAGE('20250815_ETF_Options_Exhibits'!L1035:L1039)),AVERAGE('20250815_ETF_Options_Exhibits'!L1035:L1039),"")</f>
        <v/>
      </c>
      <c r="M1039" s="3">
        <f>IF(ISNUMBER(AVERAGE('20250815_ETF_Options_Exhibits'!M1035:M1039)),AVERAGE('20250815_ETF_Options_Exhibits'!M1035:M1039),"")</f>
        <v/>
      </c>
      <c r="N1039" s="3">
        <f>IF(ISNUMBER(AVERAGE('20250815_ETF_Options_Exhibits'!N1035:N1039)),AVERAGE('20250815_ETF_Options_Exhibits'!N1035:N1039),"")</f>
        <v/>
      </c>
      <c r="O1039" s="3">
        <f>IF(ISNUMBER(AVERAGE('20250815_ETF_Options_Exhibits'!O1035:O1039)),AVERAGE('20250815_ETF_Options_Exhibits'!O1035:O1039),"")</f>
        <v/>
      </c>
      <c r="P1039" s="3">
        <f>IF(ISNUMBER(AVERAGE('20250815_ETF_Options_Exhibits'!P1035:P1039)),AVERAGE('20250815_ETF_Options_Exhibits'!P1035:P1039),"")</f>
        <v/>
      </c>
      <c r="Q1039" s="3">
        <f>IF(ISNUMBER(AVERAGE('20250815_ETF_Options_Exhibits'!Q1035:Q1039)),AVERAGE('20250815_ETF_Options_Exhibits'!Q1035:Q1039),"")</f>
        <v/>
      </c>
      <c r="R1039" s="3">
        <f>IF(ISNUMBER(AVERAGE('20250815_ETF_Options_Exhibits'!R1035:R1039)),AVERAGE('20250815_ETF_Options_Exhibits'!R1035:R1039),"")</f>
        <v/>
      </c>
      <c r="S1039" s="3">
        <f>IF(ISNUMBER(AVERAGE('20250815_ETF_Options_Exhibits'!S1035:S1039)),AVERAGE('20250815_ETF_Options_Exhibits'!S1035:S1039),"")</f>
        <v/>
      </c>
      <c r="T1039" s="3">
        <f>IF(ISNUMBER(AVERAGE('20250815_ETF_Options_Exhibits'!T1035:T1039)),AVERAGE('20250815_ETF_Options_Exhibits'!T1035:T1039),"")</f>
        <v/>
      </c>
      <c r="U1039" s="3">
        <f>IF(ISNUMBER(AVERAGE('20250815_ETF_Options_Exhibits'!U1035:U1039)),AVERAGE('20250815_ETF_Options_Exhibits'!U1035:U1039),"")</f>
        <v/>
      </c>
      <c r="V1039" s="3">
        <f>IF(ISNUMBER(AVERAGE('20250815_ETF_Options_Exhibits'!V1035:V1039)),AVERAGE('20250815_ETF_Options_Exhibits'!V1035:V1039),"")</f>
        <v/>
      </c>
      <c r="W1039" s="3">
        <f>IF(ISNUMBER(AVERAGE('20250815_ETF_Options_Exhibits'!W1035:W1039)),AVERAGE('20250815_ETF_Options_Exhibits'!W1035:W1039),"")</f>
        <v/>
      </c>
      <c r="X1039" s="3">
        <f>IF(ISNUMBER(AVERAGE('20250815_ETF_Options_Exhibits'!X1035:X1039)),AVERAGE('20250815_ETF_Options_Exhibits'!X1035:X1039),"")</f>
        <v/>
      </c>
      <c r="Y1039" s="3">
        <f>IF(ISNUMBER(AVERAGE('20250815_ETF_Options_Exhibits'!Y1035:Y1039)),AVERAGE('20250815_ETF_Options_Exhibits'!Y1035:Y1039),"")</f>
        <v/>
      </c>
      <c r="Z1039" s="3">
        <f>IF(ISNUMBER(AVERAGE('20250815_ETF_Options_Exhibits'!Z1035:Z1039)),AVERAGE('20250815_ETF_Options_Exhibits'!Z1035:Z1039),"")</f>
        <v/>
      </c>
      <c r="AA1039" s="3">
        <f>IF(ISNUMBER(AVERAGE('20250815_ETF_Options_Exhibits'!AA1035:AA1039)),AVERAGE('20250815_ETF_Options_Exhibits'!AA1035:AA1039),"")</f>
        <v/>
      </c>
    </row>
    <row r="1040">
      <c r="A1040" s="1" t="n">
        <v>43511</v>
      </c>
      <c r="B1040" s="3">
        <f>IF(ISNUMBER(AVERAGE('20250815_ETF_Options_Exhibits'!B1036:B1040)),AVERAGE('20250815_ETF_Options_Exhibits'!B1036:B1040),"")</f>
        <v/>
      </c>
      <c r="C1040" s="3">
        <f>IF(ISNUMBER(AVERAGE('20250815_ETF_Options_Exhibits'!C1036:C1040)),AVERAGE('20250815_ETF_Options_Exhibits'!C1036:C1040),"")</f>
        <v/>
      </c>
      <c r="D1040" s="3">
        <f>IF(ISNUMBER(AVERAGE('20250815_ETF_Options_Exhibits'!D1036:D1040)),AVERAGE('20250815_ETF_Options_Exhibits'!D1036:D1040),"")</f>
        <v/>
      </c>
      <c r="E1040" s="3">
        <f>IF(ISNUMBER(AVERAGE('20250815_ETF_Options_Exhibits'!E1036:E1040)),AVERAGE('20250815_ETF_Options_Exhibits'!E1036:E1040),"")</f>
        <v/>
      </c>
      <c r="F1040" s="3">
        <f>IF(ISNUMBER(AVERAGE('20250815_ETF_Options_Exhibits'!F1036:F1040)),AVERAGE('20250815_ETF_Options_Exhibits'!F1036:F1040),"")</f>
        <v/>
      </c>
      <c r="G1040" s="3">
        <f>IF(ISNUMBER(AVERAGE('20250815_ETF_Options_Exhibits'!G1036:G1040)),AVERAGE('20250815_ETF_Options_Exhibits'!G1036:G1040),"")</f>
        <v/>
      </c>
      <c r="H1040" s="3">
        <f>IF(ISNUMBER(AVERAGE('20250815_ETF_Options_Exhibits'!H1036:H1040)),AVERAGE('20250815_ETF_Options_Exhibits'!H1036:H1040),"")</f>
        <v/>
      </c>
      <c r="I1040" s="3">
        <f>IF(ISNUMBER(AVERAGE('20250815_ETF_Options_Exhibits'!I1036:I1040)),AVERAGE('20250815_ETF_Options_Exhibits'!I1036:I1040),"")</f>
        <v/>
      </c>
      <c r="J1040" s="3">
        <f>IF(ISNUMBER(AVERAGE('20250815_ETF_Options_Exhibits'!J1036:J1040)),AVERAGE('20250815_ETF_Options_Exhibits'!J1036:J1040),"")</f>
        <v/>
      </c>
      <c r="K1040" s="3">
        <f>IF(ISNUMBER(AVERAGE('20250815_ETF_Options_Exhibits'!K1036:K1040)),AVERAGE('20250815_ETF_Options_Exhibits'!K1036:K1040),"")</f>
        <v/>
      </c>
      <c r="L1040" s="3">
        <f>IF(ISNUMBER(AVERAGE('20250815_ETF_Options_Exhibits'!L1036:L1040)),AVERAGE('20250815_ETF_Options_Exhibits'!L1036:L1040),"")</f>
        <v/>
      </c>
      <c r="M1040" s="3">
        <f>IF(ISNUMBER(AVERAGE('20250815_ETF_Options_Exhibits'!M1036:M1040)),AVERAGE('20250815_ETF_Options_Exhibits'!M1036:M1040),"")</f>
        <v/>
      </c>
      <c r="N1040" s="3">
        <f>IF(ISNUMBER(AVERAGE('20250815_ETF_Options_Exhibits'!N1036:N1040)),AVERAGE('20250815_ETF_Options_Exhibits'!N1036:N1040),"")</f>
        <v/>
      </c>
      <c r="O1040" s="3">
        <f>IF(ISNUMBER(AVERAGE('20250815_ETF_Options_Exhibits'!O1036:O1040)),AVERAGE('20250815_ETF_Options_Exhibits'!O1036:O1040),"")</f>
        <v/>
      </c>
      <c r="P1040" s="3">
        <f>IF(ISNUMBER(AVERAGE('20250815_ETF_Options_Exhibits'!P1036:P1040)),AVERAGE('20250815_ETF_Options_Exhibits'!P1036:P1040),"")</f>
        <v/>
      </c>
      <c r="Q1040" s="3">
        <f>IF(ISNUMBER(AVERAGE('20250815_ETF_Options_Exhibits'!Q1036:Q1040)),AVERAGE('20250815_ETF_Options_Exhibits'!Q1036:Q1040),"")</f>
        <v/>
      </c>
      <c r="R1040" s="3">
        <f>IF(ISNUMBER(AVERAGE('20250815_ETF_Options_Exhibits'!R1036:R1040)),AVERAGE('20250815_ETF_Options_Exhibits'!R1036:R1040),"")</f>
        <v/>
      </c>
      <c r="S1040" s="3">
        <f>IF(ISNUMBER(AVERAGE('20250815_ETF_Options_Exhibits'!S1036:S1040)),AVERAGE('20250815_ETF_Options_Exhibits'!S1036:S1040),"")</f>
        <v/>
      </c>
      <c r="T1040" s="3">
        <f>IF(ISNUMBER(AVERAGE('20250815_ETF_Options_Exhibits'!T1036:T1040)),AVERAGE('20250815_ETF_Options_Exhibits'!T1036:T1040),"")</f>
        <v/>
      </c>
      <c r="U1040" s="3">
        <f>IF(ISNUMBER(AVERAGE('20250815_ETF_Options_Exhibits'!U1036:U1040)),AVERAGE('20250815_ETF_Options_Exhibits'!U1036:U1040),"")</f>
        <v/>
      </c>
      <c r="V1040" s="3">
        <f>IF(ISNUMBER(AVERAGE('20250815_ETF_Options_Exhibits'!V1036:V1040)),AVERAGE('20250815_ETF_Options_Exhibits'!V1036:V1040),"")</f>
        <v/>
      </c>
      <c r="W1040" s="3">
        <f>IF(ISNUMBER(AVERAGE('20250815_ETF_Options_Exhibits'!W1036:W1040)),AVERAGE('20250815_ETF_Options_Exhibits'!W1036:W1040),"")</f>
        <v/>
      </c>
      <c r="X1040" s="3">
        <f>IF(ISNUMBER(AVERAGE('20250815_ETF_Options_Exhibits'!X1036:X1040)),AVERAGE('20250815_ETF_Options_Exhibits'!X1036:X1040),"")</f>
        <v/>
      </c>
      <c r="Y1040" s="3">
        <f>IF(ISNUMBER(AVERAGE('20250815_ETF_Options_Exhibits'!Y1036:Y1040)),AVERAGE('20250815_ETF_Options_Exhibits'!Y1036:Y1040),"")</f>
        <v/>
      </c>
      <c r="Z1040" s="3">
        <f>IF(ISNUMBER(AVERAGE('20250815_ETF_Options_Exhibits'!Z1036:Z1040)),AVERAGE('20250815_ETF_Options_Exhibits'!Z1036:Z1040),"")</f>
        <v/>
      </c>
      <c r="AA1040" s="3">
        <f>IF(ISNUMBER(AVERAGE('20250815_ETF_Options_Exhibits'!AA1036:AA1040)),AVERAGE('20250815_ETF_Options_Exhibits'!AA1036:AA1040),"")</f>
        <v/>
      </c>
    </row>
    <row r="1041">
      <c r="A1041" s="1" t="n">
        <v>43515</v>
      </c>
      <c r="B1041" s="3">
        <f>IF(ISNUMBER(AVERAGE('20250815_ETF_Options_Exhibits'!B1037:B1041)),AVERAGE('20250815_ETF_Options_Exhibits'!B1037:B1041),"")</f>
        <v/>
      </c>
      <c r="C1041" s="3">
        <f>IF(ISNUMBER(AVERAGE('20250815_ETF_Options_Exhibits'!C1037:C1041)),AVERAGE('20250815_ETF_Options_Exhibits'!C1037:C1041),"")</f>
        <v/>
      </c>
      <c r="D1041" s="3">
        <f>IF(ISNUMBER(AVERAGE('20250815_ETF_Options_Exhibits'!D1037:D1041)),AVERAGE('20250815_ETF_Options_Exhibits'!D1037:D1041),"")</f>
        <v/>
      </c>
      <c r="E1041" s="3">
        <f>IF(ISNUMBER(AVERAGE('20250815_ETF_Options_Exhibits'!E1037:E1041)),AVERAGE('20250815_ETF_Options_Exhibits'!E1037:E1041),"")</f>
        <v/>
      </c>
      <c r="F1041" s="3">
        <f>IF(ISNUMBER(AVERAGE('20250815_ETF_Options_Exhibits'!F1037:F1041)),AVERAGE('20250815_ETF_Options_Exhibits'!F1037:F1041),"")</f>
        <v/>
      </c>
      <c r="G1041" s="3">
        <f>IF(ISNUMBER(AVERAGE('20250815_ETF_Options_Exhibits'!G1037:G1041)),AVERAGE('20250815_ETF_Options_Exhibits'!G1037:G1041),"")</f>
        <v/>
      </c>
      <c r="H1041" s="3">
        <f>IF(ISNUMBER(AVERAGE('20250815_ETF_Options_Exhibits'!H1037:H1041)),AVERAGE('20250815_ETF_Options_Exhibits'!H1037:H1041),"")</f>
        <v/>
      </c>
      <c r="I1041" s="3">
        <f>IF(ISNUMBER(AVERAGE('20250815_ETF_Options_Exhibits'!I1037:I1041)),AVERAGE('20250815_ETF_Options_Exhibits'!I1037:I1041),"")</f>
        <v/>
      </c>
      <c r="J1041" s="3">
        <f>IF(ISNUMBER(AVERAGE('20250815_ETF_Options_Exhibits'!J1037:J1041)),AVERAGE('20250815_ETF_Options_Exhibits'!J1037:J1041),"")</f>
        <v/>
      </c>
      <c r="K1041" s="3">
        <f>IF(ISNUMBER(AVERAGE('20250815_ETF_Options_Exhibits'!K1037:K1041)),AVERAGE('20250815_ETF_Options_Exhibits'!K1037:K1041),"")</f>
        <v/>
      </c>
      <c r="L1041" s="3">
        <f>IF(ISNUMBER(AVERAGE('20250815_ETF_Options_Exhibits'!L1037:L1041)),AVERAGE('20250815_ETF_Options_Exhibits'!L1037:L1041),"")</f>
        <v/>
      </c>
      <c r="M1041" s="3">
        <f>IF(ISNUMBER(AVERAGE('20250815_ETF_Options_Exhibits'!M1037:M1041)),AVERAGE('20250815_ETF_Options_Exhibits'!M1037:M1041),"")</f>
        <v/>
      </c>
      <c r="N1041" s="3">
        <f>IF(ISNUMBER(AVERAGE('20250815_ETF_Options_Exhibits'!N1037:N1041)),AVERAGE('20250815_ETF_Options_Exhibits'!N1037:N1041),"")</f>
        <v/>
      </c>
      <c r="O1041" s="3">
        <f>IF(ISNUMBER(AVERAGE('20250815_ETF_Options_Exhibits'!O1037:O1041)),AVERAGE('20250815_ETF_Options_Exhibits'!O1037:O1041),"")</f>
        <v/>
      </c>
      <c r="P1041" s="3">
        <f>IF(ISNUMBER(AVERAGE('20250815_ETF_Options_Exhibits'!P1037:P1041)),AVERAGE('20250815_ETF_Options_Exhibits'!P1037:P1041),"")</f>
        <v/>
      </c>
      <c r="Q1041" s="3">
        <f>IF(ISNUMBER(AVERAGE('20250815_ETF_Options_Exhibits'!Q1037:Q1041)),AVERAGE('20250815_ETF_Options_Exhibits'!Q1037:Q1041),"")</f>
        <v/>
      </c>
      <c r="R1041" s="3">
        <f>IF(ISNUMBER(AVERAGE('20250815_ETF_Options_Exhibits'!R1037:R1041)),AVERAGE('20250815_ETF_Options_Exhibits'!R1037:R1041),"")</f>
        <v/>
      </c>
      <c r="S1041" s="3">
        <f>IF(ISNUMBER(AVERAGE('20250815_ETF_Options_Exhibits'!S1037:S1041)),AVERAGE('20250815_ETF_Options_Exhibits'!S1037:S1041),"")</f>
        <v/>
      </c>
      <c r="T1041" s="3">
        <f>IF(ISNUMBER(AVERAGE('20250815_ETF_Options_Exhibits'!T1037:T1041)),AVERAGE('20250815_ETF_Options_Exhibits'!T1037:T1041),"")</f>
        <v/>
      </c>
      <c r="U1041" s="3">
        <f>IF(ISNUMBER(AVERAGE('20250815_ETF_Options_Exhibits'!U1037:U1041)),AVERAGE('20250815_ETF_Options_Exhibits'!U1037:U1041),"")</f>
        <v/>
      </c>
      <c r="V1041" s="3">
        <f>IF(ISNUMBER(AVERAGE('20250815_ETF_Options_Exhibits'!V1037:V1041)),AVERAGE('20250815_ETF_Options_Exhibits'!V1037:V1041),"")</f>
        <v/>
      </c>
      <c r="W1041" s="3">
        <f>IF(ISNUMBER(AVERAGE('20250815_ETF_Options_Exhibits'!W1037:W1041)),AVERAGE('20250815_ETF_Options_Exhibits'!W1037:W1041),"")</f>
        <v/>
      </c>
      <c r="X1041" s="3">
        <f>IF(ISNUMBER(AVERAGE('20250815_ETF_Options_Exhibits'!X1037:X1041)),AVERAGE('20250815_ETF_Options_Exhibits'!X1037:X1041),"")</f>
        <v/>
      </c>
      <c r="Y1041" s="3">
        <f>IF(ISNUMBER(AVERAGE('20250815_ETF_Options_Exhibits'!Y1037:Y1041)),AVERAGE('20250815_ETF_Options_Exhibits'!Y1037:Y1041),"")</f>
        <v/>
      </c>
      <c r="Z1041" s="3">
        <f>IF(ISNUMBER(AVERAGE('20250815_ETF_Options_Exhibits'!Z1037:Z1041)),AVERAGE('20250815_ETF_Options_Exhibits'!Z1037:Z1041),"")</f>
        <v/>
      </c>
      <c r="AA1041" s="3">
        <f>IF(ISNUMBER(AVERAGE('20250815_ETF_Options_Exhibits'!AA1037:AA1041)),AVERAGE('20250815_ETF_Options_Exhibits'!AA1037:AA1041),"")</f>
        <v/>
      </c>
    </row>
    <row r="1042">
      <c r="A1042" s="1" t="n">
        <v>43516</v>
      </c>
      <c r="B1042" s="3">
        <f>IF(ISNUMBER(AVERAGE('20250815_ETF_Options_Exhibits'!B1038:B1042)),AVERAGE('20250815_ETF_Options_Exhibits'!B1038:B1042),"")</f>
        <v/>
      </c>
      <c r="C1042" s="3">
        <f>IF(ISNUMBER(AVERAGE('20250815_ETF_Options_Exhibits'!C1038:C1042)),AVERAGE('20250815_ETF_Options_Exhibits'!C1038:C1042),"")</f>
        <v/>
      </c>
      <c r="D1042" s="3">
        <f>IF(ISNUMBER(AVERAGE('20250815_ETF_Options_Exhibits'!D1038:D1042)),AVERAGE('20250815_ETF_Options_Exhibits'!D1038:D1042),"")</f>
        <v/>
      </c>
      <c r="E1042" s="3">
        <f>IF(ISNUMBER(AVERAGE('20250815_ETF_Options_Exhibits'!E1038:E1042)),AVERAGE('20250815_ETF_Options_Exhibits'!E1038:E1042),"")</f>
        <v/>
      </c>
      <c r="F1042" s="3">
        <f>IF(ISNUMBER(AVERAGE('20250815_ETF_Options_Exhibits'!F1038:F1042)),AVERAGE('20250815_ETF_Options_Exhibits'!F1038:F1042),"")</f>
        <v/>
      </c>
      <c r="G1042" s="3">
        <f>IF(ISNUMBER(AVERAGE('20250815_ETF_Options_Exhibits'!G1038:G1042)),AVERAGE('20250815_ETF_Options_Exhibits'!G1038:G1042),"")</f>
        <v/>
      </c>
      <c r="H1042" s="3">
        <f>IF(ISNUMBER(AVERAGE('20250815_ETF_Options_Exhibits'!H1038:H1042)),AVERAGE('20250815_ETF_Options_Exhibits'!H1038:H1042),"")</f>
        <v/>
      </c>
      <c r="I1042" s="3">
        <f>IF(ISNUMBER(AVERAGE('20250815_ETF_Options_Exhibits'!I1038:I1042)),AVERAGE('20250815_ETF_Options_Exhibits'!I1038:I1042),"")</f>
        <v/>
      </c>
      <c r="J1042" s="3">
        <f>IF(ISNUMBER(AVERAGE('20250815_ETF_Options_Exhibits'!J1038:J1042)),AVERAGE('20250815_ETF_Options_Exhibits'!J1038:J1042),"")</f>
        <v/>
      </c>
      <c r="K1042" s="3">
        <f>IF(ISNUMBER(AVERAGE('20250815_ETF_Options_Exhibits'!K1038:K1042)),AVERAGE('20250815_ETF_Options_Exhibits'!K1038:K1042),"")</f>
        <v/>
      </c>
      <c r="L1042" s="3">
        <f>IF(ISNUMBER(AVERAGE('20250815_ETF_Options_Exhibits'!L1038:L1042)),AVERAGE('20250815_ETF_Options_Exhibits'!L1038:L1042),"")</f>
        <v/>
      </c>
      <c r="M1042" s="3">
        <f>IF(ISNUMBER(AVERAGE('20250815_ETF_Options_Exhibits'!M1038:M1042)),AVERAGE('20250815_ETF_Options_Exhibits'!M1038:M1042),"")</f>
        <v/>
      </c>
      <c r="N1042" s="3">
        <f>IF(ISNUMBER(AVERAGE('20250815_ETF_Options_Exhibits'!N1038:N1042)),AVERAGE('20250815_ETF_Options_Exhibits'!N1038:N1042),"")</f>
        <v/>
      </c>
      <c r="O1042" s="3">
        <f>IF(ISNUMBER(AVERAGE('20250815_ETF_Options_Exhibits'!O1038:O1042)),AVERAGE('20250815_ETF_Options_Exhibits'!O1038:O1042),"")</f>
        <v/>
      </c>
      <c r="P1042" s="3">
        <f>IF(ISNUMBER(AVERAGE('20250815_ETF_Options_Exhibits'!P1038:P1042)),AVERAGE('20250815_ETF_Options_Exhibits'!P1038:P1042),"")</f>
        <v/>
      </c>
      <c r="Q1042" s="3">
        <f>IF(ISNUMBER(AVERAGE('20250815_ETF_Options_Exhibits'!Q1038:Q1042)),AVERAGE('20250815_ETF_Options_Exhibits'!Q1038:Q1042),"")</f>
        <v/>
      </c>
      <c r="R1042" s="3">
        <f>IF(ISNUMBER(AVERAGE('20250815_ETF_Options_Exhibits'!R1038:R1042)),AVERAGE('20250815_ETF_Options_Exhibits'!R1038:R1042),"")</f>
        <v/>
      </c>
      <c r="S1042" s="3">
        <f>IF(ISNUMBER(AVERAGE('20250815_ETF_Options_Exhibits'!S1038:S1042)),AVERAGE('20250815_ETF_Options_Exhibits'!S1038:S1042),"")</f>
        <v/>
      </c>
      <c r="T1042" s="3">
        <f>IF(ISNUMBER(AVERAGE('20250815_ETF_Options_Exhibits'!T1038:T1042)),AVERAGE('20250815_ETF_Options_Exhibits'!T1038:T1042),"")</f>
        <v/>
      </c>
      <c r="U1042" s="3">
        <f>IF(ISNUMBER(AVERAGE('20250815_ETF_Options_Exhibits'!U1038:U1042)),AVERAGE('20250815_ETF_Options_Exhibits'!U1038:U1042),"")</f>
        <v/>
      </c>
      <c r="V1042" s="3">
        <f>IF(ISNUMBER(AVERAGE('20250815_ETF_Options_Exhibits'!V1038:V1042)),AVERAGE('20250815_ETF_Options_Exhibits'!V1038:V1042),"")</f>
        <v/>
      </c>
      <c r="W1042" s="3">
        <f>IF(ISNUMBER(AVERAGE('20250815_ETF_Options_Exhibits'!W1038:W1042)),AVERAGE('20250815_ETF_Options_Exhibits'!W1038:W1042),"")</f>
        <v/>
      </c>
      <c r="X1042" s="3">
        <f>IF(ISNUMBER(AVERAGE('20250815_ETF_Options_Exhibits'!X1038:X1042)),AVERAGE('20250815_ETF_Options_Exhibits'!X1038:X1042),"")</f>
        <v/>
      </c>
      <c r="Y1042" s="3">
        <f>IF(ISNUMBER(AVERAGE('20250815_ETF_Options_Exhibits'!Y1038:Y1042)),AVERAGE('20250815_ETF_Options_Exhibits'!Y1038:Y1042),"")</f>
        <v/>
      </c>
      <c r="Z1042" s="3">
        <f>IF(ISNUMBER(AVERAGE('20250815_ETF_Options_Exhibits'!Z1038:Z1042)),AVERAGE('20250815_ETF_Options_Exhibits'!Z1038:Z1042),"")</f>
        <v/>
      </c>
      <c r="AA1042" s="3">
        <f>IF(ISNUMBER(AVERAGE('20250815_ETF_Options_Exhibits'!AA1038:AA1042)),AVERAGE('20250815_ETF_Options_Exhibits'!AA1038:AA1042),"")</f>
        <v/>
      </c>
    </row>
    <row r="1043">
      <c r="A1043" s="1" t="n">
        <v>43517</v>
      </c>
      <c r="B1043" s="3">
        <f>IF(ISNUMBER(AVERAGE('20250815_ETF_Options_Exhibits'!B1039:B1043)),AVERAGE('20250815_ETF_Options_Exhibits'!B1039:B1043),"")</f>
        <v/>
      </c>
      <c r="C1043" s="3">
        <f>IF(ISNUMBER(AVERAGE('20250815_ETF_Options_Exhibits'!C1039:C1043)),AVERAGE('20250815_ETF_Options_Exhibits'!C1039:C1043),"")</f>
        <v/>
      </c>
      <c r="D1043" s="3">
        <f>IF(ISNUMBER(AVERAGE('20250815_ETF_Options_Exhibits'!D1039:D1043)),AVERAGE('20250815_ETF_Options_Exhibits'!D1039:D1043),"")</f>
        <v/>
      </c>
      <c r="E1043" s="3">
        <f>IF(ISNUMBER(AVERAGE('20250815_ETF_Options_Exhibits'!E1039:E1043)),AVERAGE('20250815_ETF_Options_Exhibits'!E1039:E1043),"")</f>
        <v/>
      </c>
      <c r="F1043" s="3">
        <f>IF(ISNUMBER(AVERAGE('20250815_ETF_Options_Exhibits'!F1039:F1043)),AVERAGE('20250815_ETF_Options_Exhibits'!F1039:F1043),"")</f>
        <v/>
      </c>
      <c r="G1043" s="3">
        <f>IF(ISNUMBER(AVERAGE('20250815_ETF_Options_Exhibits'!G1039:G1043)),AVERAGE('20250815_ETF_Options_Exhibits'!G1039:G1043),"")</f>
        <v/>
      </c>
      <c r="H1043" s="3">
        <f>IF(ISNUMBER(AVERAGE('20250815_ETF_Options_Exhibits'!H1039:H1043)),AVERAGE('20250815_ETF_Options_Exhibits'!H1039:H1043),"")</f>
        <v/>
      </c>
      <c r="I1043" s="3">
        <f>IF(ISNUMBER(AVERAGE('20250815_ETF_Options_Exhibits'!I1039:I1043)),AVERAGE('20250815_ETF_Options_Exhibits'!I1039:I1043),"")</f>
        <v/>
      </c>
      <c r="J1043" s="3">
        <f>IF(ISNUMBER(AVERAGE('20250815_ETF_Options_Exhibits'!J1039:J1043)),AVERAGE('20250815_ETF_Options_Exhibits'!J1039:J1043),"")</f>
        <v/>
      </c>
      <c r="K1043" s="3">
        <f>IF(ISNUMBER(AVERAGE('20250815_ETF_Options_Exhibits'!K1039:K1043)),AVERAGE('20250815_ETF_Options_Exhibits'!K1039:K1043),"")</f>
        <v/>
      </c>
      <c r="L1043" s="3">
        <f>IF(ISNUMBER(AVERAGE('20250815_ETF_Options_Exhibits'!L1039:L1043)),AVERAGE('20250815_ETF_Options_Exhibits'!L1039:L1043),"")</f>
        <v/>
      </c>
      <c r="M1043" s="3">
        <f>IF(ISNUMBER(AVERAGE('20250815_ETF_Options_Exhibits'!M1039:M1043)),AVERAGE('20250815_ETF_Options_Exhibits'!M1039:M1043),"")</f>
        <v/>
      </c>
      <c r="N1043" s="3">
        <f>IF(ISNUMBER(AVERAGE('20250815_ETF_Options_Exhibits'!N1039:N1043)),AVERAGE('20250815_ETF_Options_Exhibits'!N1039:N1043),"")</f>
        <v/>
      </c>
      <c r="O1043" s="3">
        <f>IF(ISNUMBER(AVERAGE('20250815_ETF_Options_Exhibits'!O1039:O1043)),AVERAGE('20250815_ETF_Options_Exhibits'!O1039:O1043),"")</f>
        <v/>
      </c>
      <c r="P1043" s="3">
        <f>IF(ISNUMBER(AVERAGE('20250815_ETF_Options_Exhibits'!P1039:P1043)),AVERAGE('20250815_ETF_Options_Exhibits'!P1039:P1043),"")</f>
        <v/>
      </c>
      <c r="Q1043" s="3">
        <f>IF(ISNUMBER(AVERAGE('20250815_ETF_Options_Exhibits'!Q1039:Q1043)),AVERAGE('20250815_ETF_Options_Exhibits'!Q1039:Q1043),"")</f>
        <v/>
      </c>
      <c r="R1043" s="3">
        <f>IF(ISNUMBER(AVERAGE('20250815_ETF_Options_Exhibits'!R1039:R1043)),AVERAGE('20250815_ETF_Options_Exhibits'!R1039:R1043),"")</f>
        <v/>
      </c>
      <c r="S1043" s="3">
        <f>IF(ISNUMBER(AVERAGE('20250815_ETF_Options_Exhibits'!S1039:S1043)),AVERAGE('20250815_ETF_Options_Exhibits'!S1039:S1043),"")</f>
        <v/>
      </c>
      <c r="T1043" s="3">
        <f>IF(ISNUMBER(AVERAGE('20250815_ETF_Options_Exhibits'!T1039:T1043)),AVERAGE('20250815_ETF_Options_Exhibits'!T1039:T1043),"")</f>
        <v/>
      </c>
      <c r="U1043" s="3">
        <f>IF(ISNUMBER(AVERAGE('20250815_ETF_Options_Exhibits'!U1039:U1043)),AVERAGE('20250815_ETF_Options_Exhibits'!U1039:U1043),"")</f>
        <v/>
      </c>
      <c r="V1043" s="3">
        <f>IF(ISNUMBER(AVERAGE('20250815_ETF_Options_Exhibits'!V1039:V1043)),AVERAGE('20250815_ETF_Options_Exhibits'!V1039:V1043),"")</f>
        <v/>
      </c>
      <c r="W1043" s="3">
        <f>IF(ISNUMBER(AVERAGE('20250815_ETF_Options_Exhibits'!W1039:W1043)),AVERAGE('20250815_ETF_Options_Exhibits'!W1039:W1043),"")</f>
        <v/>
      </c>
      <c r="X1043" s="3">
        <f>IF(ISNUMBER(AVERAGE('20250815_ETF_Options_Exhibits'!X1039:X1043)),AVERAGE('20250815_ETF_Options_Exhibits'!X1039:X1043),"")</f>
        <v/>
      </c>
      <c r="Y1043" s="3">
        <f>IF(ISNUMBER(AVERAGE('20250815_ETF_Options_Exhibits'!Y1039:Y1043)),AVERAGE('20250815_ETF_Options_Exhibits'!Y1039:Y1043),"")</f>
        <v/>
      </c>
      <c r="Z1043" s="3">
        <f>IF(ISNUMBER(AVERAGE('20250815_ETF_Options_Exhibits'!Z1039:Z1043)),AVERAGE('20250815_ETF_Options_Exhibits'!Z1039:Z1043),"")</f>
        <v/>
      </c>
      <c r="AA1043" s="3">
        <f>IF(ISNUMBER(AVERAGE('20250815_ETF_Options_Exhibits'!AA1039:AA1043)),AVERAGE('20250815_ETF_Options_Exhibits'!AA1039:AA1043),"")</f>
        <v/>
      </c>
    </row>
    <row r="1044">
      <c r="A1044" s="1" t="n">
        <v>43518</v>
      </c>
      <c r="B1044" s="3">
        <f>IF(ISNUMBER(AVERAGE('20250815_ETF_Options_Exhibits'!B1040:B1044)),AVERAGE('20250815_ETF_Options_Exhibits'!B1040:B1044),"")</f>
        <v/>
      </c>
      <c r="C1044" s="3">
        <f>IF(ISNUMBER(AVERAGE('20250815_ETF_Options_Exhibits'!C1040:C1044)),AVERAGE('20250815_ETF_Options_Exhibits'!C1040:C1044),"")</f>
        <v/>
      </c>
      <c r="D1044" s="3">
        <f>IF(ISNUMBER(AVERAGE('20250815_ETF_Options_Exhibits'!D1040:D1044)),AVERAGE('20250815_ETF_Options_Exhibits'!D1040:D1044),"")</f>
        <v/>
      </c>
      <c r="E1044" s="3">
        <f>IF(ISNUMBER(AVERAGE('20250815_ETF_Options_Exhibits'!E1040:E1044)),AVERAGE('20250815_ETF_Options_Exhibits'!E1040:E1044),"")</f>
        <v/>
      </c>
      <c r="F1044" s="3">
        <f>IF(ISNUMBER(AVERAGE('20250815_ETF_Options_Exhibits'!F1040:F1044)),AVERAGE('20250815_ETF_Options_Exhibits'!F1040:F1044),"")</f>
        <v/>
      </c>
      <c r="G1044" s="3">
        <f>IF(ISNUMBER(AVERAGE('20250815_ETF_Options_Exhibits'!G1040:G1044)),AVERAGE('20250815_ETF_Options_Exhibits'!G1040:G1044),"")</f>
        <v/>
      </c>
      <c r="H1044" s="3">
        <f>IF(ISNUMBER(AVERAGE('20250815_ETF_Options_Exhibits'!H1040:H1044)),AVERAGE('20250815_ETF_Options_Exhibits'!H1040:H1044),"")</f>
        <v/>
      </c>
      <c r="I1044" s="3">
        <f>IF(ISNUMBER(AVERAGE('20250815_ETF_Options_Exhibits'!I1040:I1044)),AVERAGE('20250815_ETF_Options_Exhibits'!I1040:I1044),"")</f>
        <v/>
      </c>
      <c r="J1044" s="3">
        <f>IF(ISNUMBER(AVERAGE('20250815_ETF_Options_Exhibits'!J1040:J1044)),AVERAGE('20250815_ETF_Options_Exhibits'!J1040:J1044),"")</f>
        <v/>
      </c>
      <c r="K1044" s="3">
        <f>IF(ISNUMBER(AVERAGE('20250815_ETF_Options_Exhibits'!K1040:K1044)),AVERAGE('20250815_ETF_Options_Exhibits'!K1040:K1044),"")</f>
        <v/>
      </c>
      <c r="L1044" s="3">
        <f>IF(ISNUMBER(AVERAGE('20250815_ETF_Options_Exhibits'!L1040:L1044)),AVERAGE('20250815_ETF_Options_Exhibits'!L1040:L1044),"")</f>
        <v/>
      </c>
      <c r="M1044" s="3">
        <f>IF(ISNUMBER(AVERAGE('20250815_ETF_Options_Exhibits'!M1040:M1044)),AVERAGE('20250815_ETF_Options_Exhibits'!M1040:M1044),"")</f>
        <v/>
      </c>
      <c r="N1044" s="3">
        <f>IF(ISNUMBER(AVERAGE('20250815_ETF_Options_Exhibits'!N1040:N1044)),AVERAGE('20250815_ETF_Options_Exhibits'!N1040:N1044),"")</f>
        <v/>
      </c>
      <c r="O1044" s="3">
        <f>IF(ISNUMBER(AVERAGE('20250815_ETF_Options_Exhibits'!O1040:O1044)),AVERAGE('20250815_ETF_Options_Exhibits'!O1040:O1044),"")</f>
        <v/>
      </c>
      <c r="P1044" s="3">
        <f>IF(ISNUMBER(AVERAGE('20250815_ETF_Options_Exhibits'!P1040:P1044)),AVERAGE('20250815_ETF_Options_Exhibits'!P1040:P1044),"")</f>
        <v/>
      </c>
      <c r="Q1044" s="3">
        <f>IF(ISNUMBER(AVERAGE('20250815_ETF_Options_Exhibits'!Q1040:Q1044)),AVERAGE('20250815_ETF_Options_Exhibits'!Q1040:Q1044),"")</f>
        <v/>
      </c>
      <c r="R1044" s="3">
        <f>IF(ISNUMBER(AVERAGE('20250815_ETF_Options_Exhibits'!R1040:R1044)),AVERAGE('20250815_ETF_Options_Exhibits'!R1040:R1044),"")</f>
        <v/>
      </c>
      <c r="S1044" s="3">
        <f>IF(ISNUMBER(AVERAGE('20250815_ETF_Options_Exhibits'!S1040:S1044)),AVERAGE('20250815_ETF_Options_Exhibits'!S1040:S1044),"")</f>
        <v/>
      </c>
      <c r="T1044" s="3">
        <f>IF(ISNUMBER(AVERAGE('20250815_ETF_Options_Exhibits'!T1040:T1044)),AVERAGE('20250815_ETF_Options_Exhibits'!T1040:T1044),"")</f>
        <v/>
      </c>
      <c r="U1044" s="3">
        <f>IF(ISNUMBER(AVERAGE('20250815_ETF_Options_Exhibits'!U1040:U1044)),AVERAGE('20250815_ETF_Options_Exhibits'!U1040:U1044),"")</f>
        <v/>
      </c>
      <c r="V1044" s="3">
        <f>IF(ISNUMBER(AVERAGE('20250815_ETF_Options_Exhibits'!V1040:V1044)),AVERAGE('20250815_ETF_Options_Exhibits'!V1040:V1044),"")</f>
        <v/>
      </c>
      <c r="W1044" s="3">
        <f>IF(ISNUMBER(AVERAGE('20250815_ETF_Options_Exhibits'!W1040:W1044)),AVERAGE('20250815_ETF_Options_Exhibits'!W1040:W1044),"")</f>
        <v/>
      </c>
      <c r="X1044" s="3">
        <f>IF(ISNUMBER(AVERAGE('20250815_ETF_Options_Exhibits'!X1040:X1044)),AVERAGE('20250815_ETF_Options_Exhibits'!X1040:X1044),"")</f>
        <v/>
      </c>
      <c r="Y1044" s="3">
        <f>IF(ISNUMBER(AVERAGE('20250815_ETF_Options_Exhibits'!Y1040:Y1044)),AVERAGE('20250815_ETF_Options_Exhibits'!Y1040:Y1044),"")</f>
        <v/>
      </c>
      <c r="Z1044" s="3">
        <f>IF(ISNUMBER(AVERAGE('20250815_ETF_Options_Exhibits'!Z1040:Z1044)),AVERAGE('20250815_ETF_Options_Exhibits'!Z1040:Z1044),"")</f>
        <v/>
      </c>
      <c r="AA1044" s="3">
        <f>IF(ISNUMBER(AVERAGE('20250815_ETF_Options_Exhibits'!AA1040:AA1044)),AVERAGE('20250815_ETF_Options_Exhibits'!AA1040:AA1044),"")</f>
        <v/>
      </c>
    </row>
    <row r="1045">
      <c r="A1045" s="1" t="n">
        <v>43521</v>
      </c>
      <c r="B1045" s="3">
        <f>IF(ISNUMBER(AVERAGE('20250815_ETF_Options_Exhibits'!B1041:B1045)),AVERAGE('20250815_ETF_Options_Exhibits'!B1041:B1045),"")</f>
        <v/>
      </c>
      <c r="C1045" s="3">
        <f>IF(ISNUMBER(AVERAGE('20250815_ETF_Options_Exhibits'!C1041:C1045)),AVERAGE('20250815_ETF_Options_Exhibits'!C1041:C1045),"")</f>
        <v/>
      </c>
      <c r="D1045" s="3">
        <f>IF(ISNUMBER(AVERAGE('20250815_ETF_Options_Exhibits'!D1041:D1045)),AVERAGE('20250815_ETF_Options_Exhibits'!D1041:D1045),"")</f>
        <v/>
      </c>
      <c r="E1045" s="3">
        <f>IF(ISNUMBER(AVERAGE('20250815_ETF_Options_Exhibits'!E1041:E1045)),AVERAGE('20250815_ETF_Options_Exhibits'!E1041:E1045),"")</f>
        <v/>
      </c>
      <c r="F1045" s="3">
        <f>IF(ISNUMBER(AVERAGE('20250815_ETF_Options_Exhibits'!F1041:F1045)),AVERAGE('20250815_ETF_Options_Exhibits'!F1041:F1045),"")</f>
        <v/>
      </c>
      <c r="G1045" s="3">
        <f>IF(ISNUMBER(AVERAGE('20250815_ETF_Options_Exhibits'!G1041:G1045)),AVERAGE('20250815_ETF_Options_Exhibits'!G1041:G1045),"")</f>
        <v/>
      </c>
      <c r="H1045" s="3">
        <f>IF(ISNUMBER(AVERAGE('20250815_ETF_Options_Exhibits'!H1041:H1045)),AVERAGE('20250815_ETF_Options_Exhibits'!H1041:H1045),"")</f>
        <v/>
      </c>
      <c r="I1045" s="3">
        <f>IF(ISNUMBER(AVERAGE('20250815_ETF_Options_Exhibits'!I1041:I1045)),AVERAGE('20250815_ETF_Options_Exhibits'!I1041:I1045),"")</f>
        <v/>
      </c>
      <c r="J1045" s="3">
        <f>IF(ISNUMBER(AVERAGE('20250815_ETF_Options_Exhibits'!J1041:J1045)),AVERAGE('20250815_ETF_Options_Exhibits'!J1041:J1045),"")</f>
        <v/>
      </c>
      <c r="K1045" s="3">
        <f>IF(ISNUMBER(AVERAGE('20250815_ETF_Options_Exhibits'!K1041:K1045)),AVERAGE('20250815_ETF_Options_Exhibits'!K1041:K1045),"")</f>
        <v/>
      </c>
      <c r="L1045" s="3">
        <f>IF(ISNUMBER(AVERAGE('20250815_ETF_Options_Exhibits'!L1041:L1045)),AVERAGE('20250815_ETF_Options_Exhibits'!L1041:L1045),"")</f>
        <v/>
      </c>
      <c r="M1045" s="3">
        <f>IF(ISNUMBER(AVERAGE('20250815_ETF_Options_Exhibits'!M1041:M1045)),AVERAGE('20250815_ETF_Options_Exhibits'!M1041:M1045),"")</f>
        <v/>
      </c>
      <c r="N1045" s="3">
        <f>IF(ISNUMBER(AVERAGE('20250815_ETF_Options_Exhibits'!N1041:N1045)),AVERAGE('20250815_ETF_Options_Exhibits'!N1041:N1045),"")</f>
        <v/>
      </c>
      <c r="O1045" s="3">
        <f>IF(ISNUMBER(AVERAGE('20250815_ETF_Options_Exhibits'!O1041:O1045)),AVERAGE('20250815_ETF_Options_Exhibits'!O1041:O1045),"")</f>
        <v/>
      </c>
      <c r="P1045" s="3">
        <f>IF(ISNUMBER(AVERAGE('20250815_ETF_Options_Exhibits'!P1041:P1045)),AVERAGE('20250815_ETF_Options_Exhibits'!P1041:P1045),"")</f>
        <v/>
      </c>
      <c r="Q1045" s="3">
        <f>IF(ISNUMBER(AVERAGE('20250815_ETF_Options_Exhibits'!Q1041:Q1045)),AVERAGE('20250815_ETF_Options_Exhibits'!Q1041:Q1045),"")</f>
        <v/>
      </c>
      <c r="R1045" s="3">
        <f>IF(ISNUMBER(AVERAGE('20250815_ETF_Options_Exhibits'!R1041:R1045)),AVERAGE('20250815_ETF_Options_Exhibits'!R1041:R1045),"")</f>
        <v/>
      </c>
      <c r="S1045" s="3">
        <f>IF(ISNUMBER(AVERAGE('20250815_ETF_Options_Exhibits'!S1041:S1045)),AVERAGE('20250815_ETF_Options_Exhibits'!S1041:S1045),"")</f>
        <v/>
      </c>
      <c r="T1045" s="3">
        <f>IF(ISNUMBER(AVERAGE('20250815_ETF_Options_Exhibits'!T1041:T1045)),AVERAGE('20250815_ETF_Options_Exhibits'!T1041:T1045),"")</f>
        <v/>
      </c>
      <c r="U1045" s="3">
        <f>IF(ISNUMBER(AVERAGE('20250815_ETF_Options_Exhibits'!U1041:U1045)),AVERAGE('20250815_ETF_Options_Exhibits'!U1041:U1045),"")</f>
        <v/>
      </c>
      <c r="V1045" s="3">
        <f>IF(ISNUMBER(AVERAGE('20250815_ETF_Options_Exhibits'!V1041:V1045)),AVERAGE('20250815_ETF_Options_Exhibits'!V1041:V1045),"")</f>
        <v/>
      </c>
      <c r="W1045" s="3">
        <f>IF(ISNUMBER(AVERAGE('20250815_ETF_Options_Exhibits'!W1041:W1045)),AVERAGE('20250815_ETF_Options_Exhibits'!W1041:W1045),"")</f>
        <v/>
      </c>
      <c r="X1045" s="3">
        <f>IF(ISNUMBER(AVERAGE('20250815_ETF_Options_Exhibits'!X1041:X1045)),AVERAGE('20250815_ETF_Options_Exhibits'!X1041:X1045),"")</f>
        <v/>
      </c>
      <c r="Y1045" s="3">
        <f>IF(ISNUMBER(AVERAGE('20250815_ETF_Options_Exhibits'!Y1041:Y1045)),AVERAGE('20250815_ETF_Options_Exhibits'!Y1041:Y1045),"")</f>
        <v/>
      </c>
      <c r="Z1045" s="3">
        <f>IF(ISNUMBER(AVERAGE('20250815_ETF_Options_Exhibits'!Z1041:Z1045)),AVERAGE('20250815_ETF_Options_Exhibits'!Z1041:Z1045),"")</f>
        <v/>
      </c>
      <c r="AA1045" s="3">
        <f>IF(ISNUMBER(AVERAGE('20250815_ETF_Options_Exhibits'!AA1041:AA1045)),AVERAGE('20250815_ETF_Options_Exhibits'!AA1041:AA1045),"")</f>
        <v/>
      </c>
    </row>
    <row r="1046">
      <c r="A1046" s="1" t="n">
        <v>43522</v>
      </c>
      <c r="B1046" s="3">
        <f>IF(ISNUMBER(AVERAGE('20250815_ETF_Options_Exhibits'!B1042:B1046)),AVERAGE('20250815_ETF_Options_Exhibits'!B1042:B1046),"")</f>
        <v/>
      </c>
      <c r="C1046" s="3">
        <f>IF(ISNUMBER(AVERAGE('20250815_ETF_Options_Exhibits'!C1042:C1046)),AVERAGE('20250815_ETF_Options_Exhibits'!C1042:C1046),"")</f>
        <v/>
      </c>
      <c r="D1046" s="3">
        <f>IF(ISNUMBER(AVERAGE('20250815_ETF_Options_Exhibits'!D1042:D1046)),AVERAGE('20250815_ETF_Options_Exhibits'!D1042:D1046),"")</f>
        <v/>
      </c>
      <c r="E1046" s="3">
        <f>IF(ISNUMBER(AVERAGE('20250815_ETF_Options_Exhibits'!E1042:E1046)),AVERAGE('20250815_ETF_Options_Exhibits'!E1042:E1046),"")</f>
        <v/>
      </c>
      <c r="F1046" s="3">
        <f>IF(ISNUMBER(AVERAGE('20250815_ETF_Options_Exhibits'!F1042:F1046)),AVERAGE('20250815_ETF_Options_Exhibits'!F1042:F1046),"")</f>
        <v/>
      </c>
      <c r="G1046" s="3">
        <f>IF(ISNUMBER(AVERAGE('20250815_ETF_Options_Exhibits'!G1042:G1046)),AVERAGE('20250815_ETF_Options_Exhibits'!G1042:G1046),"")</f>
        <v/>
      </c>
      <c r="H1046" s="3">
        <f>IF(ISNUMBER(AVERAGE('20250815_ETF_Options_Exhibits'!H1042:H1046)),AVERAGE('20250815_ETF_Options_Exhibits'!H1042:H1046),"")</f>
        <v/>
      </c>
      <c r="I1046" s="3">
        <f>IF(ISNUMBER(AVERAGE('20250815_ETF_Options_Exhibits'!I1042:I1046)),AVERAGE('20250815_ETF_Options_Exhibits'!I1042:I1046),"")</f>
        <v/>
      </c>
      <c r="J1046" s="3">
        <f>IF(ISNUMBER(AVERAGE('20250815_ETF_Options_Exhibits'!J1042:J1046)),AVERAGE('20250815_ETF_Options_Exhibits'!J1042:J1046),"")</f>
        <v/>
      </c>
      <c r="K1046" s="3">
        <f>IF(ISNUMBER(AVERAGE('20250815_ETF_Options_Exhibits'!K1042:K1046)),AVERAGE('20250815_ETF_Options_Exhibits'!K1042:K1046),"")</f>
        <v/>
      </c>
      <c r="L1046" s="3">
        <f>IF(ISNUMBER(AVERAGE('20250815_ETF_Options_Exhibits'!L1042:L1046)),AVERAGE('20250815_ETF_Options_Exhibits'!L1042:L1046),"")</f>
        <v/>
      </c>
      <c r="M1046" s="3">
        <f>IF(ISNUMBER(AVERAGE('20250815_ETF_Options_Exhibits'!M1042:M1046)),AVERAGE('20250815_ETF_Options_Exhibits'!M1042:M1046),"")</f>
        <v/>
      </c>
      <c r="N1046" s="3">
        <f>IF(ISNUMBER(AVERAGE('20250815_ETF_Options_Exhibits'!N1042:N1046)),AVERAGE('20250815_ETF_Options_Exhibits'!N1042:N1046),"")</f>
        <v/>
      </c>
      <c r="O1046" s="3">
        <f>IF(ISNUMBER(AVERAGE('20250815_ETF_Options_Exhibits'!O1042:O1046)),AVERAGE('20250815_ETF_Options_Exhibits'!O1042:O1046),"")</f>
        <v/>
      </c>
      <c r="P1046" s="3">
        <f>IF(ISNUMBER(AVERAGE('20250815_ETF_Options_Exhibits'!P1042:P1046)),AVERAGE('20250815_ETF_Options_Exhibits'!P1042:P1046),"")</f>
        <v/>
      </c>
      <c r="Q1046" s="3">
        <f>IF(ISNUMBER(AVERAGE('20250815_ETF_Options_Exhibits'!Q1042:Q1046)),AVERAGE('20250815_ETF_Options_Exhibits'!Q1042:Q1046),"")</f>
        <v/>
      </c>
      <c r="R1046" s="3">
        <f>IF(ISNUMBER(AVERAGE('20250815_ETF_Options_Exhibits'!R1042:R1046)),AVERAGE('20250815_ETF_Options_Exhibits'!R1042:R1046),"")</f>
        <v/>
      </c>
      <c r="S1046" s="3">
        <f>IF(ISNUMBER(AVERAGE('20250815_ETF_Options_Exhibits'!S1042:S1046)),AVERAGE('20250815_ETF_Options_Exhibits'!S1042:S1046),"")</f>
        <v/>
      </c>
      <c r="T1046" s="3">
        <f>IF(ISNUMBER(AVERAGE('20250815_ETF_Options_Exhibits'!T1042:T1046)),AVERAGE('20250815_ETF_Options_Exhibits'!T1042:T1046),"")</f>
        <v/>
      </c>
      <c r="U1046" s="3">
        <f>IF(ISNUMBER(AVERAGE('20250815_ETF_Options_Exhibits'!U1042:U1046)),AVERAGE('20250815_ETF_Options_Exhibits'!U1042:U1046),"")</f>
        <v/>
      </c>
      <c r="V1046" s="3">
        <f>IF(ISNUMBER(AVERAGE('20250815_ETF_Options_Exhibits'!V1042:V1046)),AVERAGE('20250815_ETF_Options_Exhibits'!V1042:V1046),"")</f>
        <v/>
      </c>
      <c r="W1046" s="3">
        <f>IF(ISNUMBER(AVERAGE('20250815_ETF_Options_Exhibits'!W1042:W1046)),AVERAGE('20250815_ETF_Options_Exhibits'!W1042:W1046),"")</f>
        <v/>
      </c>
      <c r="X1046" s="3">
        <f>IF(ISNUMBER(AVERAGE('20250815_ETF_Options_Exhibits'!X1042:X1046)),AVERAGE('20250815_ETF_Options_Exhibits'!X1042:X1046),"")</f>
        <v/>
      </c>
      <c r="Y1046" s="3">
        <f>IF(ISNUMBER(AVERAGE('20250815_ETF_Options_Exhibits'!Y1042:Y1046)),AVERAGE('20250815_ETF_Options_Exhibits'!Y1042:Y1046),"")</f>
        <v/>
      </c>
      <c r="Z1046" s="3">
        <f>IF(ISNUMBER(AVERAGE('20250815_ETF_Options_Exhibits'!Z1042:Z1046)),AVERAGE('20250815_ETF_Options_Exhibits'!Z1042:Z1046),"")</f>
        <v/>
      </c>
      <c r="AA1046" s="3">
        <f>IF(ISNUMBER(AVERAGE('20250815_ETF_Options_Exhibits'!AA1042:AA1046)),AVERAGE('20250815_ETF_Options_Exhibits'!AA1042:AA1046),"")</f>
        <v/>
      </c>
    </row>
    <row r="1047">
      <c r="A1047" s="1" t="n">
        <v>43523</v>
      </c>
      <c r="B1047" s="3">
        <f>IF(ISNUMBER(AVERAGE('20250815_ETF_Options_Exhibits'!B1043:B1047)),AVERAGE('20250815_ETF_Options_Exhibits'!B1043:B1047),"")</f>
        <v/>
      </c>
      <c r="C1047" s="3">
        <f>IF(ISNUMBER(AVERAGE('20250815_ETF_Options_Exhibits'!C1043:C1047)),AVERAGE('20250815_ETF_Options_Exhibits'!C1043:C1047),"")</f>
        <v/>
      </c>
      <c r="D1047" s="3">
        <f>IF(ISNUMBER(AVERAGE('20250815_ETF_Options_Exhibits'!D1043:D1047)),AVERAGE('20250815_ETF_Options_Exhibits'!D1043:D1047),"")</f>
        <v/>
      </c>
      <c r="E1047" s="3">
        <f>IF(ISNUMBER(AVERAGE('20250815_ETF_Options_Exhibits'!E1043:E1047)),AVERAGE('20250815_ETF_Options_Exhibits'!E1043:E1047),"")</f>
        <v/>
      </c>
      <c r="F1047" s="3">
        <f>IF(ISNUMBER(AVERAGE('20250815_ETF_Options_Exhibits'!F1043:F1047)),AVERAGE('20250815_ETF_Options_Exhibits'!F1043:F1047),"")</f>
        <v/>
      </c>
      <c r="G1047" s="3">
        <f>IF(ISNUMBER(AVERAGE('20250815_ETF_Options_Exhibits'!G1043:G1047)),AVERAGE('20250815_ETF_Options_Exhibits'!G1043:G1047),"")</f>
        <v/>
      </c>
      <c r="H1047" s="3">
        <f>IF(ISNUMBER(AVERAGE('20250815_ETF_Options_Exhibits'!H1043:H1047)),AVERAGE('20250815_ETF_Options_Exhibits'!H1043:H1047),"")</f>
        <v/>
      </c>
      <c r="I1047" s="3">
        <f>IF(ISNUMBER(AVERAGE('20250815_ETF_Options_Exhibits'!I1043:I1047)),AVERAGE('20250815_ETF_Options_Exhibits'!I1043:I1047),"")</f>
        <v/>
      </c>
      <c r="J1047" s="3">
        <f>IF(ISNUMBER(AVERAGE('20250815_ETF_Options_Exhibits'!J1043:J1047)),AVERAGE('20250815_ETF_Options_Exhibits'!J1043:J1047),"")</f>
        <v/>
      </c>
      <c r="K1047" s="3">
        <f>IF(ISNUMBER(AVERAGE('20250815_ETF_Options_Exhibits'!K1043:K1047)),AVERAGE('20250815_ETF_Options_Exhibits'!K1043:K1047),"")</f>
        <v/>
      </c>
      <c r="L1047" s="3">
        <f>IF(ISNUMBER(AVERAGE('20250815_ETF_Options_Exhibits'!L1043:L1047)),AVERAGE('20250815_ETF_Options_Exhibits'!L1043:L1047),"")</f>
        <v/>
      </c>
      <c r="M1047" s="3">
        <f>IF(ISNUMBER(AVERAGE('20250815_ETF_Options_Exhibits'!M1043:M1047)),AVERAGE('20250815_ETF_Options_Exhibits'!M1043:M1047),"")</f>
        <v/>
      </c>
      <c r="N1047" s="3">
        <f>IF(ISNUMBER(AVERAGE('20250815_ETF_Options_Exhibits'!N1043:N1047)),AVERAGE('20250815_ETF_Options_Exhibits'!N1043:N1047),"")</f>
        <v/>
      </c>
      <c r="O1047" s="3">
        <f>IF(ISNUMBER(AVERAGE('20250815_ETF_Options_Exhibits'!O1043:O1047)),AVERAGE('20250815_ETF_Options_Exhibits'!O1043:O1047),"")</f>
        <v/>
      </c>
      <c r="P1047" s="3">
        <f>IF(ISNUMBER(AVERAGE('20250815_ETF_Options_Exhibits'!P1043:P1047)),AVERAGE('20250815_ETF_Options_Exhibits'!P1043:P1047),"")</f>
        <v/>
      </c>
      <c r="Q1047" s="3">
        <f>IF(ISNUMBER(AVERAGE('20250815_ETF_Options_Exhibits'!Q1043:Q1047)),AVERAGE('20250815_ETF_Options_Exhibits'!Q1043:Q1047),"")</f>
        <v/>
      </c>
      <c r="R1047" s="3">
        <f>IF(ISNUMBER(AVERAGE('20250815_ETF_Options_Exhibits'!R1043:R1047)),AVERAGE('20250815_ETF_Options_Exhibits'!R1043:R1047),"")</f>
        <v/>
      </c>
      <c r="S1047" s="3">
        <f>IF(ISNUMBER(AVERAGE('20250815_ETF_Options_Exhibits'!S1043:S1047)),AVERAGE('20250815_ETF_Options_Exhibits'!S1043:S1047),"")</f>
        <v/>
      </c>
      <c r="T1047" s="3">
        <f>IF(ISNUMBER(AVERAGE('20250815_ETF_Options_Exhibits'!T1043:T1047)),AVERAGE('20250815_ETF_Options_Exhibits'!T1043:T1047),"")</f>
        <v/>
      </c>
      <c r="U1047" s="3">
        <f>IF(ISNUMBER(AVERAGE('20250815_ETF_Options_Exhibits'!U1043:U1047)),AVERAGE('20250815_ETF_Options_Exhibits'!U1043:U1047),"")</f>
        <v/>
      </c>
      <c r="V1047" s="3">
        <f>IF(ISNUMBER(AVERAGE('20250815_ETF_Options_Exhibits'!V1043:V1047)),AVERAGE('20250815_ETF_Options_Exhibits'!V1043:V1047),"")</f>
        <v/>
      </c>
      <c r="W1047" s="3">
        <f>IF(ISNUMBER(AVERAGE('20250815_ETF_Options_Exhibits'!W1043:W1047)),AVERAGE('20250815_ETF_Options_Exhibits'!W1043:W1047),"")</f>
        <v/>
      </c>
      <c r="X1047" s="3">
        <f>IF(ISNUMBER(AVERAGE('20250815_ETF_Options_Exhibits'!X1043:X1047)),AVERAGE('20250815_ETF_Options_Exhibits'!X1043:X1047),"")</f>
        <v/>
      </c>
      <c r="Y1047" s="3">
        <f>IF(ISNUMBER(AVERAGE('20250815_ETF_Options_Exhibits'!Y1043:Y1047)),AVERAGE('20250815_ETF_Options_Exhibits'!Y1043:Y1047),"")</f>
        <v/>
      </c>
      <c r="Z1047" s="3">
        <f>IF(ISNUMBER(AVERAGE('20250815_ETF_Options_Exhibits'!Z1043:Z1047)),AVERAGE('20250815_ETF_Options_Exhibits'!Z1043:Z1047),"")</f>
        <v/>
      </c>
      <c r="AA1047" s="3">
        <f>IF(ISNUMBER(AVERAGE('20250815_ETF_Options_Exhibits'!AA1043:AA1047)),AVERAGE('20250815_ETF_Options_Exhibits'!AA1043:AA1047),"")</f>
        <v/>
      </c>
    </row>
    <row r="1048">
      <c r="A1048" s="1" t="n">
        <v>43524</v>
      </c>
      <c r="B1048" s="3">
        <f>IF(ISNUMBER(AVERAGE('20250815_ETF_Options_Exhibits'!B1044:B1048)),AVERAGE('20250815_ETF_Options_Exhibits'!B1044:B1048),"")</f>
        <v/>
      </c>
      <c r="C1048" s="3">
        <f>IF(ISNUMBER(AVERAGE('20250815_ETF_Options_Exhibits'!C1044:C1048)),AVERAGE('20250815_ETF_Options_Exhibits'!C1044:C1048),"")</f>
        <v/>
      </c>
      <c r="D1048" s="3">
        <f>IF(ISNUMBER(AVERAGE('20250815_ETF_Options_Exhibits'!D1044:D1048)),AVERAGE('20250815_ETF_Options_Exhibits'!D1044:D1048),"")</f>
        <v/>
      </c>
      <c r="E1048" s="3">
        <f>IF(ISNUMBER(AVERAGE('20250815_ETF_Options_Exhibits'!E1044:E1048)),AVERAGE('20250815_ETF_Options_Exhibits'!E1044:E1048),"")</f>
        <v/>
      </c>
      <c r="F1048" s="3">
        <f>IF(ISNUMBER(AVERAGE('20250815_ETF_Options_Exhibits'!F1044:F1048)),AVERAGE('20250815_ETF_Options_Exhibits'!F1044:F1048),"")</f>
        <v/>
      </c>
      <c r="G1048" s="3">
        <f>IF(ISNUMBER(AVERAGE('20250815_ETF_Options_Exhibits'!G1044:G1048)),AVERAGE('20250815_ETF_Options_Exhibits'!G1044:G1048),"")</f>
        <v/>
      </c>
      <c r="H1048" s="3">
        <f>IF(ISNUMBER(AVERAGE('20250815_ETF_Options_Exhibits'!H1044:H1048)),AVERAGE('20250815_ETF_Options_Exhibits'!H1044:H1048),"")</f>
        <v/>
      </c>
      <c r="I1048" s="3">
        <f>IF(ISNUMBER(AVERAGE('20250815_ETF_Options_Exhibits'!I1044:I1048)),AVERAGE('20250815_ETF_Options_Exhibits'!I1044:I1048),"")</f>
        <v/>
      </c>
      <c r="J1048" s="3">
        <f>IF(ISNUMBER(AVERAGE('20250815_ETF_Options_Exhibits'!J1044:J1048)),AVERAGE('20250815_ETF_Options_Exhibits'!J1044:J1048),"")</f>
        <v/>
      </c>
      <c r="K1048" s="3">
        <f>IF(ISNUMBER(AVERAGE('20250815_ETF_Options_Exhibits'!K1044:K1048)),AVERAGE('20250815_ETF_Options_Exhibits'!K1044:K1048),"")</f>
        <v/>
      </c>
      <c r="L1048" s="3">
        <f>IF(ISNUMBER(AVERAGE('20250815_ETF_Options_Exhibits'!L1044:L1048)),AVERAGE('20250815_ETF_Options_Exhibits'!L1044:L1048),"")</f>
        <v/>
      </c>
      <c r="M1048" s="3">
        <f>IF(ISNUMBER(AVERAGE('20250815_ETF_Options_Exhibits'!M1044:M1048)),AVERAGE('20250815_ETF_Options_Exhibits'!M1044:M1048),"")</f>
        <v/>
      </c>
      <c r="N1048" s="3">
        <f>IF(ISNUMBER(AVERAGE('20250815_ETF_Options_Exhibits'!N1044:N1048)),AVERAGE('20250815_ETF_Options_Exhibits'!N1044:N1048),"")</f>
        <v/>
      </c>
      <c r="O1048" s="3">
        <f>IF(ISNUMBER(AVERAGE('20250815_ETF_Options_Exhibits'!O1044:O1048)),AVERAGE('20250815_ETF_Options_Exhibits'!O1044:O1048),"")</f>
        <v/>
      </c>
      <c r="P1048" s="3">
        <f>IF(ISNUMBER(AVERAGE('20250815_ETF_Options_Exhibits'!P1044:P1048)),AVERAGE('20250815_ETF_Options_Exhibits'!P1044:P1048),"")</f>
        <v/>
      </c>
      <c r="Q1048" s="3">
        <f>IF(ISNUMBER(AVERAGE('20250815_ETF_Options_Exhibits'!Q1044:Q1048)),AVERAGE('20250815_ETF_Options_Exhibits'!Q1044:Q1048),"")</f>
        <v/>
      </c>
      <c r="R1048" s="3">
        <f>IF(ISNUMBER(AVERAGE('20250815_ETF_Options_Exhibits'!R1044:R1048)),AVERAGE('20250815_ETF_Options_Exhibits'!R1044:R1048),"")</f>
        <v/>
      </c>
      <c r="S1048" s="3">
        <f>IF(ISNUMBER(AVERAGE('20250815_ETF_Options_Exhibits'!S1044:S1048)),AVERAGE('20250815_ETF_Options_Exhibits'!S1044:S1048),"")</f>
        <v/>
      </c>
      <c r="T1048" s="3">
        <f>IF(ISNUMBER(AVERAGE('20250815_ETF_Options_Exhibits'!T1044:T1048)),AVERAGE('20250815_ETF_Options_Exhibits'!T1044:T1048),"")</f>
        <v/>
      </c>
      <c r="U1048" s="3">
        <f>IF(ISNUMBER(AVERAGE('20250815_ETF_Options_Exhibits'!U1044:U1048)),AVERAGE('20250815_ETF_Options_Exhibits'!U1044:U1048),"")</f>
        <v/>
      </c>
      <c r="V1048" s="3">
        <f>IF(ISNUMBER(AVERAGE('20250815_ETF_Options_Exhibits'!V1044:V1048)),AVERAGE('20250815_ETF_Options_Exhibits'!V1044:V1048),"")</f>
        <v/>
      </c>
      <c r="W1048" s="3">
        <f>IF(ISNUMBER(AVERAGE('20250815_ETF_Options_Exhibits'!W1044:W1048)),AVERAGE('20250815_ETF_Options_Exhibits'!W1044:W1048),"")</f>
        <v/>
      </c>
      <c r="X1048" s="3">
        <f>IF(ISNUMBER(AVERAGE('20250815_ETF_Options_Exhibits'!X1044:X1048)),AVERAGE('20250815_ETF_Options_Exhibits'!X1044:X1048),"")</f>
        <v/>
      </c>
      <c r="Y1048" s="3">
        <f>IF(ISNUMBER(AVERAGE('20250815_ETF_Options_Exhibits'!Y1044:Y1048)),AVERAGE('20250815_ETF_Options_Exhibits'!Y1044:Y1048),"")</f>
        <v/>
      </c>
      <c r="Z1048" s="3">
        <f>IF(ISNUMBER(AVERAGE('20250815_ETF_Options_Exhibits'!Z1044:Z1048)),AVERAGE('20250815_ETF_Options_Exhibits'!Z1044:Z1048),"")</f>
        <v/>
      </c>
      <c r="AA1048" s="3">
        <f>IF(ISNUMBER(AVERAGE('20250815_ETF_Options_Exhibits'!AA1044:AA1048)),AVERAGE('20250815_ETF_Options_Exhibits'!AA1044:AA1048),"")</f>
        <v/>
      </c>
    </row>
    <row r="1049">
      <c r="A1049" s="1" t="n">
        <v>43525</v>
      </c>
      <c r="B1049" s="3">
        <f>IF(ISNUMBER(AVERAGE('20250815_ETF_Options_Exhibits'!B1045:B1049)),AVERAGE('20250815_ETF_Options_Exhibits'!B1045:B1049),"")</f>
        <v/>
      </c>
      <c r="C1049" s="3">
        <f>IF(ISNUMBER(AVERAGE('20250815_ETF_Options_Exhibits'!C1045:C1049)),AVERAGE('20250815_ETF_Options_Exhibits'!C1045:C1049),"")</f>
        <v/>
      </c>
      <c r="D1049" s="3">
        <f>IF(ISNUMBER(AVERAGE('20250815_ETF_Options_Exhibits'!D1045:D1049)),AVERAGE('20250815_ETF_Options_Exhibits'!D1045:D1049),"")</f>
        <v/>
      </c>
      <c r="E1049" s="3">
        <f>IF(ISNUMBER(AVERAGE('20250815_ETF_Options_Exhibits'!E1045:E1049)),AVERAGE('20250815_ETF_Options_Exhibits'!E1045:E1049),"")</f>
        <v/>
      </c>
      <c r="F1049" s="3">
        <f>IF(ISNUMBER(AVERAGE('20250815_ETF_Options_Exhibits'!F1045:F1049)),AVERAGE('20250815_ETF_Options_Exhibits'!F1045:F1049),"")</f>
        <v/>
      </c>
      <c r="G1049" s="3">
        <f>IF(ISNUMBER(AVERAGE('20250815_ETF_Options_Exhibits'!G1045:G1049)),AVERAGE('20250815_ETF_Options_Exhibits'!G1045:G1049),"")</f>
        <v/>
      </c>
      <c r="H1049" s="3">
        <f>IF(ISNUMBER(AVERAGE('20250815_ETF_Options_Exhibits'!H1045:H1049)),AVERAGE('20250815_ETF_Options_Exhibits'!H1045:H1049),"")</f>
        <v/>
      </c>
      <c r="I1049" s="3">
        <f>IF(ISNUMBER(AVERAGE('20250815_ETF_Options_Exhibits'!I1045:I1049)),AVERAGE('20250815_ETF_Options_Exhibits'!I1045:I1049),"")</f>
        <v/>
      </c>
      <c r="J1049" s="3">
        <f>IF(ISNUMBER(AVERAGE('20250815_ETF_Options_Exhibits'!J1045:J1049)),AVERAGE('20250815_ETF_Options_Exhibits'!J1045:J1049),"")</f>
        <v/>
      </c>
      <c r="K1049" s="3">
        <f>IF(ISNUMBER(AVERAGE('20250815_ETF_Options_Exhibits'!K1045:K1049)),AVERAGE('20250815_ETF_Options_Exhibits'!K1045:K1049),"")</f>
        <v/>
      </c>
      <c r="L1049" s="3">
        <f>IF(ISNUMBER(AVERAGE('20250815_ETF_Options_Exhibits'!L1045:L1049)),AVERAGE('20250815_ETF_Options_Exhibits'!L1045:L1049),"")</f>
        <v/>
      </c>
      <c r="M1049" s="3">
        <f>IF(ISNUMBER(AVERAGE('20250815_ETF_Options_Exhibits'!M1045:M1049)),AVERAGE('20250815_ETF_Options_Exhibits'!M1045:M1049),"")</f>
        <v/>
      </c>
      <c r="N1049" s="3">
        <f>IF(ISNUMBER(AVERAGE('20250815_ETF_Options_Exhibits'!N1045:N1049)),AVERAGE('20250815_ETF_Options_Exhibits'!N1045:N1049),"")</f>
        <v/>
      </c>
      <c r="O1049" s="3">
        <f>IF(ISNUMBER(AVERAGE('20250815_ETF_Options_Exhibits'!O1045:O1049)),AVERAGE('20250815_ETF_Options_Exhibits'!O1045:O1049),"")</f>
        <v/>
      </c>
      <c r="P1049" s="3">
        <f>IF(ISNUMBER(AVERAGE('20250815_ETF_Options_Exhibits'!P1045:P1049)),AVERAGE('20250815_ETF_Options_Exhibits'!P1045:P1049),"")</f>
        <v/>
      </c>
      <c r="Q1049" s="3">
        <f>IF(ISNUMBER(AVERAGE('20250815_ETF_Options_Exhibits'!Q1045:Q1049)),AVERAGE('20250815_ETF_Options_Exhibits'!Q1045:Q1049),"")</f>
        <v/>
      </c>
      <c r="R1049" s="3">
        <f>IF(ISNUMBER(AVERAGE('20250815_ETF_Options_Exhibits'!R1045:R1049)),AVERAGE('20250815_ETF_Options_Exhibits'!R1045:R1049),"")</f>
        <v/>
      </c>
      <c r="S1049" s="3">
        <f>IF(ISNUMBER(AVERAGE('20250815_ETF_Options_Exhibits'!S1045:S1049)),AVERAGE('20250815_ETF_Options_Exhibits'!S1045:S1049),"")</f>
        <v/>
      </c>
      <c r="T1049" s="3">
        <f>IF(ISNUMBER(AVERAGE('20250815_ETF_Options_Exhibits'!T1045:T1049)),AVERAGE('20250815_ETF_Options_Exhibits'!T1045:T1049),"")</f>
        <v/>
      </c>
      <c r="U1049" s="3">
        <f>IF(ISNUMBER(AVERAGE('20250815_ETF_Options_Exhibits'!U1045:U1049)),AVERAGE('20250815_ETF_Options_Exhibits'!U1045:U1049),"")</f>
        <v/>
      </c>
      <c r="V1049" s="3">
        <f>IF(ISNUMBER(AVERAGE('20250815_ETF_Options_Exhibits'!V1045:V1049)),AVERAGE('20250815_ETF_Options_Exhibits'!V1045:V1049),"")</f>
        <v/>
      </c>
      <c r="W1049" s="3">
        <f>IF(ISNUMBER(AVERAGE('20250815_ETF_Options_Exhibits'!W1045:W1049)),AVERAGE('20250815_ETF_Options_Exhibits'!W1045:W1049),"")</f>
        <v/>
      </c>
      <c r="X1049" s="3">
        <f>IF(ISNUMBER(AVERAGE('20250815_ETF_Options_Exhibits'!X1045:X1049)),AVERAGE('20250815_ETF_Options_Exhibits'!X1045:X1049),"")</f>
        <v/>
      </c>
      <c r="Y1049" s="3">
        <f>IF(ISNUMBER(AVERAGE('20250815_ETF_Options_Exhibits'!Y1045:Y1049)),AVERAGE('20250815_ETF_Options_Exhibits'!Y1045:Y1049),"")</f>
        <v/>
      </c>
      <c r="Z1049" s="3">
        <f>IF(ISNUMBER(AVERAGE('20250815_ETF_Options_Exhibits'!Z1045:Z1049)),AVERAGE('20250815_ETF_Options_Exhibits'!Z1045:Z1049),"")</f>
        <v/>
      </c>
      <c r="AA1049" s="3">
        <f>IF(ISNUMBER(AVERAGE('20250815_ETF_Options_Exhibits'!AA1045:AA1049)),AVERAGE('20250815_ETF_Options_Exhibits'!AA1045:AA1049),"")</f>
        <v/>
      </c>
    </row>
    <row r="1050">
      <c r="A1050" s="1" t="n">
        <v>43528</v>
      </c>
      <c r="B1050" s="3">
        <f>IF(ISNUMBER(AVERAGE('20250815_ETF_Options_Exhibits'!B1046:B1050)),AVERAGE('20250815_ETF_Options_Exhibits'!B1046:B1050),"")</f>
        <v/>
      </c>
      <c r="C1050" s="3">
        <f>IF(ISNUMBER(AVERAGE('20250815_ETF_Options_Exhibits'!C1046:C1050)),AVERAGE('20250815_ETF_Options_Exhibits'!C1046:C1050),"")</f>
        <v/>
      </c>
      <c r="D1050" s="3">
        <f>IF(ISNUMBER(AVERAGE('20250815_ETF_Options_Exhibits'!D1046:D1050)),AVERAGE('20250815_ETF_Options_Exhibits'!D1046:D1050),"")</f>
        <v/>
      </c>
      <c r="E1050" s="3">
        <f>IF(ISNUMBER(AVERAGE('20250815_ETF_Options_Exhibits'!E1046:E1050)),AVERAGE('20250815_ETF_Options_Exhibits'!E1046:E1050),"")</f>
        <v/>
      </c>
      <c r="F1050" s="3">
        <f>IF(ISNUMBER(AVERAGE('20250815_ETF_Options_Exhibits'!F1046:F1050)),AVERAGE('20250815_ETF_Options_Exhibits'!F1046:F1050),"")</f>
        <v/>
      </c>
      <c r="G1050" s="3">
        <f>IF(ISNUMBER(AVERAGE('20250815_ETF_Options_Exhibits'!G1046:G1050)),AVERAGE('20250815_ETF_Options_Exhibits'!G1046:G1050),"")</f>
        <v/>
      </c>
      <c r="H1050" s="3">
        <f>IF(ISNUMBER(AVERAGE('20250815_ETF_Options_Exhibits'!H1046:H1050)),AVERAGE('20250815_ETF_Options_Exhibits'!H1046:H1050),"")</f>
        <v/>
      </c>
      <c r="I1050" s="3">
        <f>IF(ISNUMBER(AVERAGE('20250815_ETF_Options_Exhibits'!I1046:I1050)),AVERAGE('20250815_ETF_Options_Exhibits'!I1046:I1050),"")</f>
        <v/>
      </c>
      <c r="J1050" s="3">
        <f>IF(ISNUMBER(AVERAGE('20250815_ETF_Options_Exhibits'!J1046:J1050)),AVERAGE('20250815_ETF_Options_Exhibits'!J1046:J1050),"")</f>
        <v/>
      </c>
      <c r="K1050" s="3">
        <f>IF(ISNUMBER(AVERAGE('20250815_ETF_Options_Exhibits'!K1046:K1050)),AVERAGE('20250815_ETF_Options_Exhibits'!K1046:K1050),"")</f>
        <v/>
      </c>
      <c r="L1050" s="3">
        <f>IF(ISNUMBER(AVERAGE('20250815_ETF_Options_Exhibits'!L1046:L1050)),AVERAGE('20250815_ETF_Options_Exhibits'!L1046:L1050),"")</f>
        <v/>
      </c>
      <c r="M1050" s="3">
        <f>IF(ISNUMBER(AVERAGE('20250815_ETF_Options_Exhibits'!M1046:M1050)),AVERAGE('20250815_ETF_Options_Exhibits'!M1046:M1050),"")</f>
        <v/>
      </c>
      <c r="N1050" s="3">
        <f>IF(ISNUMBER(AVERAGE('20250815_ETF_Options_Exhibits'!N1046:N1050)),AVERAGE('20250815_ETF_Options_Exhibits'!N1046:N1050),"")</f>
        <v/>
      </c>
      <c r="O1050" s="3">
        <f>IF(ISNUMBER(AVERAGE('20250815_ETF_Options_Exhibits'!O1046:O1050)),AVERAGE('20250815_ETF_Options_Exhibits'!O1046:O1050),"")</f>
        <v/>
      </c>
      <c r="P1050" s="3">
        <f>IF(ISNUMBER(AVERAGE('20250815_ETF_Options_Exhibits'!P1046:P1050)),AVERAGE('20250815_ETF_Options_Exhibits'!P1046:P1050),"")</f>
        <v/>
      </c>
      <c r="Q1050" s="3">
        <f>IF(ISNUMBER(AVERAGE('20250815_ETF_Options_Exhibits'!Q1046:Q1050)),AVERAGE('20250815_ETF_Options_Exhibits'!Q1046:Q1050),"")</f>
        <v/>
      </c>
      <c r="R1050" s="3">
        <f>IF(ISNUMBER(AVERAGE('20250815_ETF_Options_Exhibits'!R1046:R1050)),AVERAGE('20250815_ETF_Options_Exhibits'!R1046:R1050),"")</f>
        <v/>
      </c>
      <c r="S1050" s="3">
        <f>IF(ISNUMBER(AVERAGE('20250815_ETF_Options_Exhibits'!S1046:S1050)),AVERAGE('20250815_ETF_Options_Exhibits'!S1046:S1050),"")</f>
        <v/>
      </c>
      <c r="T1050" s="3">
        <f>IF(ISNUMBER(AVERAGE('20250815_ETF_Options_Exhibits'!T1046:T1050)),AVERAGE('20250815_ETF_Options_Exhibits'!T1046:T1050),"")</f>
        <v/>
      </c>
      <c r="U1050" s="3">
        <f>IF(ISNUMBER(AVERAGE('20250815_ETF_Options_Exhibits'!U1046:U1050)),AVERAGE('20250815_ETF_Options_Exhibits'!U1046:U1050),"")</f>
        <v/>
      </c>
      <c r="V1050" s="3">
        <f>IF(ISNUMBER(AVERAGE('20250815_ETF_Options_Exhibits'!V1046:V1050)),AVERAGE('20250815_ETF_Options_Exhibits'!V1046:V1050),"")</f>
        <v/>
      </c>
      <c r="W1050" s="3">
        <f>IF(ISNUMBER(AVERAGE('20250815_ETF_Options_Exhibits'!W1046:W1050)),AVERAGE('20250815_ETF_Options_Exhibits'!W1046:W1050),"")</f>
        <v/>
      </c>
      <c r="X1050" s="3">
        <f>IF(ISNUMBER(AVERAGE('20250815_ETF_Options_Exhibits'!X1046:X1050)),AVERAGE('20250815_ETF_Options_Exhibits'!X1046:X1050),"")</f>
        <v/>
      </c>
      <c r="Y1050" s="3">
        <f>IF(ISNUMBER(AVERAGE('20250815_ETF_Options_Exhibits'!Y1046:Y1050)),AVERAGE('20250815_ETF_Options_Exhibits'!Y1046:Y1050),"")</f>
        <v/>
      </c>
      <c r="Z1050" s="3">
        <f>IF(ISNUMBER(AVERAGE('20250815_ETF_Options_Exhibits'!Z1046:Z1050)),AVERAGE('20250815_ETF_Options_Exhibits'!Z1046:Z1050),"")</f>
        <v/>
      </c>
      <c r="AA1050" s="3">
        <f>IF(ISNUMBER(AVERAGE('20250815_ETF_Options_Exhibits'!AA1046:AA1050)),AVERAGE('20250815_ETF_Options_Exhibits'!AA1046:AA1050),"")</f>
        <v/>
      </c>
    </row>
    <row r="1051">
      <c r="A1051" s="1" t="n">
        <v>43529</v>
      </c>
      <c r="B1051" s="3">
        <f>IF(ISNUMBER(AVERAGE('20250815_ETF_Options_Exhibits'!B1047:B1051)),AVERAGE('20250815_ETF_Options_Exhibits'!B1047:B1051),"")</f>
        <v/>
      </c>
      <c r="C1051" s="3">
        <f>IF(ISNUMBER(AVERAGE('20250815_ETF_Options_Exhibits'!C1047:C1051)),AVERAGE('20250815_ETF_Options_Exhibits'!C1047:C1051),"")</f>
        <v/>
      </c>
      <c r="D1051" s="3">
        <f>IF(ISNUMBER(AVERAGE('20250815_ETF_Options_Exhibits'!D1047:D1051)),AVERAGE('20250815_ETF_Options_Exhibits'!D1047:D1051),"")</f>
        <v/>
      </c>
      <c r="E1051" s="3">
        <f>IF(ISNUMBER(AVERAGE('20250815_ETF_Options_Exhibits'!E1047:E1051)),AVERAGE('20250815_ETF_Options_Exhibits'!E1047:E1051),"")</f>
        <v/>
      </c>
      <c r="F1051" s="3">
        <f>IF(ISNUMBER(AVERAGE('20250815_ETF_Options_Exhibits'!F1047:F1051)),AVERAGE('20250815_ETF_Options_Exhibits'!F1047:F1051),"")</f>
        <v/>
      </c>
      <c r="G1051" s="3">
        <f>IF(ISNUMBER(AVERAGE('20250815_ETF_Options_Exhibits'!G1047:G1051)),AVERAGE('20250815_ETF_Options_Exhibits'!G1047:G1051),"")</f>
        <v/>
      </c>
      <c r="H1051" s="3">
        <f>IF(ISNUMBER(AVERAGE('20250815_ETF_Options_Exhibits'!H1047:H1051)),AVERAGE('20250815_ETF_Options_Exhibits'!H1047:H1051),"")</f>
        <v/>
      </c>
      <c r="I1051" s="3">
        <f>IF(ISNUMBER(AVERAGE('20250815_ETF_Options_Exhibits'!I1047:I1051)),AVERAGE('20250815_ETF_Options_Exhibits'!I1047:I1051),"")</f>
        <v/>
      </c>
      <c r="J1051" s="3">
        <f>IF(ISNUMBER(AVERAGE('20250815_ETF_Options_Exhibits'!J1047:J1051)),AVERAGE('20250815_ETF_Options_Exhibits'!J1047:J1051),"")</f>
        <v/>
      </c>
      <c r="K1051" s="3">
        <f>IF(ISNUMBER(AVERAGE('20250815_ETF_Options_Exhibits'!K1047:K1051)),AVERAGE('20250815_ETF_Options_Exhibits'!K1047:K1051),"")</f>
        <v/>
      </c>
      <c r="L1051" s="3">
        <f>IF(ISNUMBER(AVERAGE('20250815_ETF_Options_Exhibits'!L1047:L1051)),AVERAGE('20250815_ETF_Options_Exhibits'!L1047:L1051),"")</f>
        <v/>
      </c>
      <c r="M1051" s="3">
        <f>IF(ISNUMBER(AVERAGE('20250815_ETF_Options_Exhibits'!M1047:M1051)),AVERAGE('20250815_ETF_Options_Exhibits'!M1047:M1051),"")</f>
        <v/>
      </c>
      <c r="N1051" s="3">
        <f>IF(ISNUMBER(AVERAGE('20250815_ETF_Options_Exhibits'!N1047:N1051)),AVERAGE('20250815_ETF_Options_Exhibits'!N1047:N1051),"")</f>
        <v/>
      </c>
      <c r="O1051" s="3">
        <f>IF(ISNUMBER(AVERAGE('20250815_ETF_Options_Exhibits'!O1047:O1051)),AVERAGE('20250815_ETF_Options_Exhibits'!O1047:O1051),"")</f>
        <v/>
      </c>
      <c r="P1051" s="3">
        <f>IF(ISNUMBER(AVERAGE('20250815_ETF_Options_Exhibits'!P1047:P1051)),AVERAGE('20250815_ETF_Options_Exhibits'!P1047:P1051),"")</f>
        <v/>
      </c>
      <c r="Q1051" s="3">
        <f>IF(ISNUMBER(AVERAGE('20250815_ETF_Options_Exhibits'!Q1047:Q1051)),AVERAGE('20250815_ETF_Options_Exhibits'!Q1047:Q1051),"")</f>
        <v/>
      </c>
      <c r="R1051" s="3">
        <f>IF(ISNUMBER(AVERAGE('20250815_ETF_Options_Exhibits'!R1047:R1051)),AVERAGE('20250815_ETF_Options_Exhibits'!R1047:R1051),"")</f>
        <v/>
      </c>
      <c r="S1051" s="3">
        <f>IF(ISNUMBER(AVERAGE('20250815_ETF_Options_Exhibits'!S1047:S1051)),AVERAGE('20250815_ETF_Options_Exhibits'!S1047:S1051),"")</f>
        <v/>
      </c>
      <c r="T1051" s="3">
        <f>IF(ISNUMBER(AVERAGE('20250815_ETF_Options_Exhibits'!T1047:T1051)),AVERAGE('20250815_ETF_Options_Exhibits'!T1047:T1051),"")</f>
        <v/>
      </c>
      <c r="U1051" s="3">
        <f>IF(ISNUMBER(AVERAGE('20250815_ETF_Options_Exhibits'!U1047:U1051)),AVERAGE('20250815_ETF_Options_Exhibits'!U1047:U1051),"")</f>
        <v/>
      </c>
      <c r="V1051" s="3">
        <f>IF(ISNUMBER(AVERAGE('20250815_ETF_Options_Exhibits'!V1047:V1051)),AVERAGE('20250815_ETF_Options_Exhibits'!V1047:V1051),"")</f>
        <v/>
      </c>
      <c r="W1051" s="3">
        <f>IF(ISNUMBER(AVERAGE('20250815_ETF_Options_Exhibits'!W1047:W1051)),AVERAGE('20250815_ETF_Options_Exhibits'!W1047:W1051),"")</f>
        <v/>
      </c>
      <c r="X1051" s="3">
        <f>IF(ISNUMBER(AVERAGE('20250815_ETF_Options_Exhibits'!X1047:X1051)),AVERAGE('20250815_ETF_Options_Exhibits'!X1047:X1051),"")</f>
        <v/>
      </c>
      <c r="Y1051" s="3">
        <f>IF(ISNUMBER(AVERAGE('20250815_ETF_Options_Exhibits'!Y1047:Y1051)),AVERAGE('20250815_ETF_Options_Exhibits'!Y1047:Y1051),"")</f>
        <v/>
      </c>
      <c r="Z1051" s="3">
        <f>IF(ISNUMBER(AVERAGE('20250815_ETF_Options_Exhibits'!Z1047:Z1051)),AVERAGE('20250815_ETF_Options_Exhibits'!Z1047:Z1051),"")</f>
        <v/>
      </c>
      <c r="AA1051" s="3">
        <f>IF(ISNUMBER(AVERAGE('20250815_ETF_Options_Exhibits'!AA1047:AA1051)),AVERAGE('20250815_ETF_Options_Exhibits'!AA1047:AA1051),"")</f>
        <v/>
      </c>
    </row>
    <row r="1052">
      <c r="A1052" s="1" t="n">
        <v>43530</v>
      </c>
      <c r="B1052" s="3">
        <f>IF(ISNUMBER(AVERAGE('20250815_ETF_Options_Exhibits'!B1048:B1052)),AVERAGE('20250815_ETF_Options_Exhibits'!B1048:B1052),"")</f>
        <v/>
      </c>
      <c r="C1052" s="3">
        <f>IF(ISNUMBER(AVERAGE('20250815_ETF_Options_Exhibits'!C1048:C1052)),AVERAGE('20250815_ETF_Options_Exhibits'!C1048:C1052),"")</f>
        <v/>
      </c>
      <c r="D1052" s="3">
        <f>IF(ISNUMBER(AVERAGE('20250815_ETF_Options_Exhibits'!D1048:D1052)),AVERAGE('20250815_ETF_Options_Exhibits'!D1048:D1052),"")</f>
        <v/>
      </c>
      <c r="E1052" s="3">
        <f>IF(ISNUMBER(AVERAGE('20250815_ETF_Options_Exhibits'!E1048:E1052)),AVERAGE('20250815_ETF_Options_Exhibits'!E1048:E1052),"")</f>
        <v/>
      </c>
      <c r="F1052" s="3">
        <f>IF(ISNUMBER(AVERAGE('20250815_ETF_Options_Exhibits'!F1048:F1052)),AVERAGE('20250815_ETF_Options_Exhibits'!F1048:F1052),"")</f>
        <v/>
      </c>
      <c r="G1052" s="3">
        <f>IF(ISNUMBER(AVERAGE('20250815_ETF_Options_Exhibits'!G1048:G1052)),AVERAGE('20250815_ETF_Options_Exhibits'!G1048:G1052),"")</f>
        <v/>
      </c>
      <c r="H1052" s="3">
        <f>IF(ISNUMBER(AVERAGE('20250815_ETF_Options_Exhibits'!H1048:H1052)),AVERAGE('20250815_ETF_Options_Exhibits'!H1048:H1052),"")</f>
        <v/>
      </c>
      <c r="I1052" s="3">
        <f>IF(ISNUMBER(AVERAGE('20250815_ETF_Options_Exhibits'!I1048:I1052)),AVERAGE('20250815_ETF_Options_Exhibits'!I1048:I1052),"")</f>
        <v/>
      </c>
      <c r="J1052" s="3">
        <f>IF(ISNUMBER(AVERAGE('20250815_ETF_Options_Exhibits'!J1048:J1052)),AVERAGE('20250815_ETF_Options_Exhibits'!J1048:J1052),"")</f>
        <v/>
      </c>
      <c r="K1052" s="3">
        <f>IF(ISNUMBER(AVERAGE('20250815_ETF_Options_Exhibits'!K1048:K1052)),AVERAGE('20250815_ETF_Options_Exhibits'!K1048:K1052),"")</f>
        <v/>
      </c>
      <c r="L1052" s="3">
        <f>IF(ISNUMBER(AVERAGE('20250815_ETF_Options_Exhibits'!L1048:L1052)),AVERAGE('20250815_ETF_Options_Exhibits'!L1048:L1052),"")</f>
        <v/>
      </c>
      <c r="M1052" s="3">
        <f>IF(ISNUMBER(AVERAGE('20250815_ETF_Options_Exhibits'!M1048:M1052)),AVERAGE('20250815_ETF_Options_Exhibits'!M1048:M1052),"")</f>
        <v/>
      </c>
      <c r="N1052" s="3">
        <f>IF(ISNUMBER(AVERAGE('20250815_ETF_Options_Exhibits'!N1048:N1052)),AVERAGE('20250815_ETF_Options_Exhibits'!N1048:N1052),"")</f>
        <v/>
      </c>
      <c r="O1052" s="3">
        <f>IF(ISNUMBER(AVERAGE('20250815_ETF_Options_Exhibits'!O1048:O1052)),AVERAGE('20250815_ETF_Options_Exhibits'!O1048:O1052),"")</f>
        <v/>
      </c>
      <c r="P1052" s="3">
        <f>IF(ISNUMBER(AVERAGE('20250815_ETF_Options_Exhibits'!P1048:P1052)),AVERAGE('20250815_ETF_Options_Exhibits'!P1048:P1052),"")</f>
        <v/>
      </c>
      <c r="Q1052" s="3">
        <f>IF(ISNUMBER(AVERAGE('20250815_ETF_Options_Exhibits'!Q1048:Q1052)),AVERAGE('20250815_ETF_Options_Exhibits'!Q1048:Q1052),"")</f>
        <v/>
      </c>
      <c r="R1052" s="3">
        <f>IF(ISNUMBER(AVERAGE('20250815_ETF_Options_Exhibits'!R1048:R1052)),AVERAGE('20250815_ETF_Options_Exhibits'!R1048:R1052),"")</f>
        <v/>
      </c>
      <c r="S1052" s="3">
        <f>IF(ISNUMBER(AVERAGE('20250815_ETF_Options_Exhibits'!S1048:S1052)),AVERAGE('20250815_ETF_Options_Exhibits'!S1048:S1052),"")</f>
        <v/>
      </c>
      <c r="T1052" s="3">
        <f>IF(ISNUMBER(AVERAGE('20250815_ETF_Options_Exhibits'!T1048:T1052)),AVERAGE('20250815_ETF_Options_Exhibits'!T1048:T1052),"")</f>
        <v/>
      </c>
      <c r="U1052" s="3">
        <f>IF(ISNUMBER(AVERAGE('20250815_ETF_Options_Exhibits'!U1048:U1052)),AVERAGE('20250815_ETF_Options_Exhibits'!U1048:U1052),"")</f>
        <v/>
      </c>
      <c r="V1052" s="3">
        <f>IF(ISNUMBER(AVERAGE('20250815_ETF_Options_Exhibits'!V1048:V1052)),AVERAGE('20250815_ETF_Options_Exhibits'!V1048:V1052),"")</f>
        <v/>
      </c>
      <c r="W1052" s="3">
        <f>IF(ISNUMBER(AVERAGE('20250815_ETF_Options_Exhibits'!W1048:W1052)),AVERAGE('20250815_ETF_Options_Exhibits'!W1048:W1052),"")</f>
        <v/>
      </c>
      <c r="X1052" s="3">
        <f>IF(ISNUMBER(AVERAGE('20250815_ETF_Options_Exhibits'!X1048:X1052)),AVERAGE('20250815_ETF_Options_Exhibits'!X1048:X1052),"")</f>
        <v/>
      </c>
      <c r="Y1052" s="3">
        <f>IF(ISNUMBER(AVERAGE('20250815_ETF_Options_Exhibits'!Y1048:Y1052)),AVERAGE('20250815_ETF_Options_Exhibits'!Y1048:Y1052),"")</f>
        <v/>
      </c>
      <c r="Z1052" s="3">
        <f>IF(ISNUMBER(AVERAGE('20250815_ETF_Options_Exhibits'!Z1048:Z1052)),AVERAGE('20250815_ETF_Options_Exhibits'!Z1048:Z1052),"")</f>
        <v/>
      </c>
      <c r="AA1052" s="3">
        <f>IF(ISNUMBER(AVERAGE('20250815_ETF_Options_Exhibits'!AA1048:AA1052)),AVERAGE('20250815_ETF_Options_Exhibits'!AA1048:AA1052),"")</f>
        <v/>
      </c>
    </row>
    <row r="1053">
      <c r="A1053" s="1" t="n">
        <v>43531</v>
      </c>
      <c r="B1053" s="3">
        <f>IF(ISNUMBER(AVERAGE('20250815_ETF_Options_Exhibits'!B1049:B1053)),AVERAGE('20250815_ETF_Options_Exhibits'!B1049:B1053),"")</f>
        <v/>
      </c>
      <c r="C1053" s="3">
        <f>IF(ISNUMBER(AVERAGE('20250815_ETF_Options_Exhibits'!C1049:C1053)),AVERAGE('20250815_ETF_Options_Exhibits'!C1049:C1053),"")</f>
        <v/>
      </c>
      <c r="D1053" s="3">
        <f>IF(ISNUMBER(AVERAGE('20250815_ETF_Options_Exhibits'!D1049:D1053)),AVERAGE('20250815_ETF_Options_Exhibits'!D1049:D1053),"")</f>
        <v/>
      </c>
      <c r="E1053" s="3">
        <f>IF(ISNUMBER(AVERAGE('20250815_ETF_Options_Exhibits'!E1049:E1053)),AVERAGE('20250815_ETF_Options_Exhibits'!E1049:E1053),"")</f>
        <v/>
      </c>
      <c r="F1053" s="3">
        <f>IF(ISNUMBER(AVERAGE('20250815_ETF_Options_Exhibits'!F1049:F1053)),AVERAGE('20250815_ETF_Options_Exhibits'!F1049:F1053),"")</f>
        <v/>
      </c>
      <c r="G1053" s="3">
        <f>IF(ISNUMBER(AVERAGE('20250815_ETF_Options_Exhibits'!G1049:G1053)),AVERAGE('20250815_ETF_Options_Exhibits'!G1049:G1053),"")</f>
        <v/>
      </c>
      <c r="H1053" s="3">
        <f>IF(ISNUMBER(AVERAGE('20250815_ETF_Options_Exhibits'!H1049:H1053)),AVERAGE('20250815_ETF_Options_Exhibits'!H1049:H1053),"")</f>
        <v/>
      </c>
      <c r="I1053" s="3">
        <f>IF(ISNUMBER(AVERAGE('20250815_ETF_Options_Exhibits'!I1049:I1053)),AVERAGE('20250815_ETF_Options_Exhibits'!I1049:I1053),"")</f>
        <v/>
      </c>
      <c r="J1053" s="3">
        <f>IF(ISNUMBER(AVERAGE('20250815_ETF_Options_Exhibits'!J1049:J1053)),AVERAGE('20250815_ETF_Options_Exhibits'!J1049:J1053),"")</f>
        <v/>
      </c>
      <c r="K1053" s="3">
        <f>IF(ISNUMBER(AVERAGE('20250815_ETF_Options_Exhibits'!K1049:K1053)),AVERAGE('20250815_ETF_Options_Exhibits'!K1049:K1053),"")</f>
        <v/>
      </c>
      <c r="L1053" s="3">
        <f>IF(ISNUMBER(AVERAGE('20250815_ETF_Options_Exhibits'!L1049:L1053)),AVERAGE('20250815_ETF_Options_Exhibits'!L1049:L1053),"")</f>
        <v/>
      </c>
      <c r="M1053" s="3">
        <f>IF(ISNUMBER(AVERAGE('20250815_ETF_Options_Exhibits'!M1049:M1053)),AVERAGE('20250815_ETF_Options_Exhibits'!M1049:M1053),"")</f>
        <v/>
      </c>
      <c r="N1053" s="3">
        <f>IF(ISNUMBER(AVERAGE('20250815_ETF_Options_Exhibits'!N1049:N1053)),AVERAGE('20250815_ETF_Options_Exhibits'!N1049:N1053),"")</f>
        <v/>
      </c>
      <c r="O1053" s="3">
        <f>IF(ISNUMBER(AVERAGE('20250815_ETF_Options_Exhibits'!O1049:O1053)),AVERAGE('20250815_ETF_Options_Exhibits'!O1049:O1053),"")</f>
        <v/>
      </c>
      <c r="P1053" s="3">
        <f>IF(ISNUMBER(AVERAGE('20250815_ETF_Options_Exhibits'!P1049:P1053)),AVERAGE('20250815_ETF_Options_Exhibits'!P1049:P1053),"")</f>
        <v/>
      </c>
      <c r="Q1053" s="3">
        <f>IF(ISNUMBER(AVERAGE('20250815_ETF_Options_Exhibits'!Q1049:Q1053)),AVERAGE('20250815_ETF_Options_Exhibits'!Q1049:Q1053),"")</f>
        <v/>
      </c>
      <c r="R1053" s="3">
        <f>IF(ISNUMBER(AVERAGE('20250815_ETF_Options_Exhibits'!R1049:R1053)),AVERAGE('20250815_ETF_Options_Exhibits'!R1049:R1053),"")</f>
        <v/>
      </c>
      <c r="S1053" s="3">
        <f>IF(ISNUMBER(AVERAGE('20250815_ETF_Options_Exhibits'!S1049:S1053)),AVERAGE('20250815_ETF_Options_Exhibits'!S1049:S1053),"")</f>
        <v/>
      </c>
      <c r="T1053" s="3">
        <f>IF(ISNUMBER(AVERAGE('20250815_ETF_Options_Exhibits'!T1049:T1053)),AVERAGE('20250815_ETF_Options_Exhibits'!T1049:T1053),"")</f>
        <v/>
      </c>
      <c r="U1053" s="3">
        <f>IF(ISNUMBER(AVERAGE('20250815_ETF_Options_Exhibits'!U1049:U1053)),AVERAGE('20250815_ETF_Options_Exhibits'!U1049:U1053),"")</f>
        <v/>
      </c>
      <c r="V1053" s="3">
        <f>IF(ISNUMBER(AVERAGE('20250815_ETF_Options_Exhibits'!V1049:V1053)),AVERAGE('20250815_ETF_Options_Exhibits'!V1049:V1053),"")</f>
        <v/>
      </c>
      <c r="W1053" s="3">
        <f>IF(ISNUMBER(AVERAGE('20250815_ETF_Options_Exhibits'!W1049:W1053)),AVERAGE('20250815_ETF_Options_Exhibits'!W1049:W1053),"")</f>
        <v/>
      </c>
      <c r="X1053" s="3">
        <f>IF(ISNUMBER(AVERAGE('20250815_ETF_Options_Exhibits'!X1049:X1053)),AVERAGE('20250815_ETF_Options_Exhibits'!X1049:X1053),"")</f>
        <v/>
      </c>
      <c r="Y1053" s="3">
        <f>IF(ISNUMBER(AVERAGE('20250815_ETF_Options_Exhibits'!Y1049:Y1053)),AVERAGE('20250815_ETF_Options_Exhibits'!Y1049:Y1053),"")</f>
        <v/>
      </c>
      <c r="Z1053" s="3">
        <f>IF(ISNUMBER(AVERAGE('20250815_ETF_Options_Exhibits'!Z1049:Z1053)),AVERAGE('20250815_ETF_Options_Exhibits'!Z1049:Z1053),"")</f>
        <v/>
      </c>
      <c r="AA1053" s="3">
        <f>IF(ISNUMBER(AVERAGE('20250815_ETF_Options_Exhibits'!AA1049:AA1053)),AVERAGE('20250815_ETF_Options_Exhibits'!AA1049:AA1053),"")</f>
        <v/>
      </c>
    </row>
    <row r="1054">
      <c r="A1054" s="1" t="n">
        <v>43532</v>
      </c>
      <c r="B1054" s="3">
        <f>IF(ISNUMBER(AVERAGE('20250815_ETF_Options_Exhibits'!B1050:B1054)),AVERAGE('20250815_ETF_Options_Exhibits'!B1050:B1054),"")</f>
        <v/>
      </c>
      <c r="C1054" s="3">
        <f>IF(ISNUMBER(AVERAGE('20250815_ETF_Options_Exhibits'!C1050:C1054)),AVERAGE('20250815_ETF_Options_Exhibits'!C1050:C1054),"")</f>
        <v/>
      </c>
      <c r="D1054" s="3">
        <f>IF(ISNUMBER(AVERAGE('20250815_ETF_Options_Exhibits'!D1050:D1054)),AVERAGE('20250815_ETF_Options_Exhibits'!D1050:D1054),"")</f>
        <v/>
      </c>
      <c r="E1054" s="3">
        <f>IF(ISNUMBER(AVERAGE('20250815_ETF_Options_Exhibits'!E1050:E1054)),AVERAGE('20250815_ETF_Options_Exhibits'!E1050:E1054),"")</f>
        <v/>
      </c>
      <c r="F1054" s="3">
        <f>IF(ISNUMBER(AVERAGE('20250815_ETF_Options_Exhibits'!F1050:F1054)),AVERAGE('20250815_ETF_Options_Exhibits'!F1050:F1054),"")</f>
        <v/>
      </c>
      <c r="G1054" s="3">
        <f>IF(ISNUMBER(AVERAGE('20250815_ETF_Options_Exhibits'!G1050:G1054)),AVERAGE('20250815_ETF_Options_Exhibits'!G1050:G1054),"")</f>
        <v/>
      </c>
      <c r="H1054" s="3">
        <f>IF(ISNUMBER(AVERAGE('20250815_ETF_Options_Exhibits'!H1050:H1054)),AVERAGE('20250815_ETF_Options_Exhibits'!H1050:H1054),"")</f>
        <v/>
      </c>
      <c r="I1054" s="3">
        <f>IF(ISNUMBER(AVERAGE('20250815_ETF_Options_Exhibits'!I1050:I1054)),AVERAGE('20250815_ETF_Options_Exhibits'!I1050:I1054),"")</f>
        <v/>
      </c>
      <c r="J1054" s="3">
        <f>IF(ISNUMBER(AVERAGE('20250815_ETF_Options_Exhibits'!J1050:J1054)),AVERAGE('20250815_ETF_Options_Exhibits'!J1050:J1054),"")</f>
        <v/>
      </c>
      <c r="K1054" s="3">
        <f>IF(ISNUMBER(AVERAGE('20250815_ETF_Options_Exhibits'!K1050:K1054)),AVERAGE('20250815_ETF_Options_Exhibits'!K1050:K1054),"")</f>
        <v/>
      </c>
      <c r="L1054" s="3">
        <f>IF(ISNUMBER(AVERAGE('20250815_ETF_Options_Exhibits'!L1050:L1054)),AVERAGE('20250815_ETF_Options_Exhibits'!L1050:L1054),"")</f>
        <v/>
      </c>
      <c r="M1054" s="3">
        <f>IF(ISNUMBER(AVERAGE('20250815_ETF_Options_Exhibits'!M1050:M1054)),AVERAGE('20250815_ETF_Options_Exhibits'!M1050:M1054),"")</f>
        <v/>
      </c>
      <c r="N1054" s="3">
        <f>IF(ISNUMBER(AVERAGE('20250815_ETF_Options_Exhibits'!N1050:N1054)),AVERAGE('20250815_ETF_Options_Exhibits'!N1050:N1054),"")</f>
        <v/>
      </c>
      <c r="O1054" s="3">
        <f>IF(ISNUMBER(AVERAGE('20250815_ETF_Options_Exhibits'!O1050:O1054)),AVERAGE('20250815_ETF_Options_Exhibits'!O1050:O1054),"")</f>
        <v/>
      </c>
      <c r="P1054" s="3">
        <f>IF(ISNUMBER(AVERAGE('20250815_ETF_Options_Exhibits'!P1050:P1054)),AVERAGE('20250815_ETF_Options_Exhibits'!P1050:P1054),"")</f>
        <v/>
      </c>
      <c r="Q1054" s="3">
        <f>IF(ISNUMBER(AVERAGE('20250815_ETF_Options_Exhibits'!Q1050:Q1054)),AVERAGE('20250815_ETF_Options_Exhibits'!Q1050:Q1054),"")</f>
        <v/>
      </c>
      <c r="R1054" s="3">
        <f>IF(ISNUMBER(AVERAGE('20250815_ETF_Options_Exhibits'!R1050:R1054)),AVERAGE('20250815_ETF_Options_Exhibits'!R1050:R1054),"")</f>
        <v/>
      </c>
      <c r="S1054" s="3">
        <f>IF(ISNUMBER(AVERAGE('20250815_ETF_Options_Exhibits'!S1050:S1054)),AVERAGE('20250815_ETF_Options_Exhibits'!S1050:S1054),"")</f>
        <v/>
      </c>
      <c r="T1054" s="3">
        <f>IF(ISNUMBER(AVERAGE('20250815_ETF_Options_Exhibits'!T1050:T1054)),AVERAGE('20250815_ETF_Options_Exhibits'!T1050:T1054),"")</f>
        <v/>
      </c>
      <c r="U1054" s="3">
        <f>IF(ISNUMBER(AVERAGE('20250815_ETF_Options_Exhibits'!U1050:U1054)),AVERAGE('20250815_ETF_Options_Exhibits'!U1050:U1054),"")</f>
        <v/>
      </c>
      <c r="V1054" s="3">
        <f>IF(ISNUMBER(AVERAGE('20250815_ETF_Options_Exhibits'!V1050:V1054)),AVERAGE('20250815_ETF_Options_Exhibits'!V1050:V1054),"")</f>
        <v/>
      </c>
      <c r="W1054" s="3">
        <f>IF(ISNUMBER(AVERAGE('20250815_ETF_Options_Exhibits'!W1050:W1054)),AVERAGE('20250815_ETF_Options_Exhibits'!W1050:W1054),"")</f>
        <v/>
      </c>
      <c r="X1054" s="3">
        <f>IF(ISNUMBER(AVERAGE('20250815_ETF_Options_Exhibits'!X1050:X1054)),AVERAGE('20250815_ETF_Options_Exhibits'!X1050:X1054),"")</f>
        <v/>
      </c>
      <c r="Y1054" s="3">
        <f>IF(ISNUMBER(AVERAGE('20250815_ETF_Options_Exhibits'!Y1050:Y1054)),AVERAGE('20250815_ETF_Options_Exhibits'!Y1050:Y1054),"")</f>
        <v/>
      </c>
      <c r="Z1054" s="3">
        <f>IF(ISNUMBER(AVERAGE('20250815_ETF_Options_Exhibits'!Z1050:Z1054)),AVERAGE('20250815_ETF_Options_Exhibits'!Z1050:Z1054),"")</f>
        <v/>
      </c>
      <c r="AA1054" s="3">
        <f>IF(ISNUMBER(AVERAGE('20250815_ETF_Options_Exhibits'!AA1050:AA1054)),AVERAGE('20250815_ETF_Options_Exhibits'!AA1050:AA1054),"")</f>
        <v/>
      </c>
    </row>
    <row r="1055">
      <c r="A1055" s="1" t="n">
        <v>43535</v>
      </c>
      <c r="B1055" s="3">
        <f>IF(ISNUMBER(AVERAGE('20250815_ETF_Options_Exhibits'!B1051:B1055)),AVERAGE('20250815_ETF_Options_Exhibits'!B1051:B1055),"")</f>
        <v/>
      </c>
      <c r="C1055" s="3">
        <f>IF(ISNUMBER(AVERAGE('20250815_ETF_Options_Exhibits'!C1051:C1055)),AVERAGE('20250815_ETF_Options_Exhibits'!C1051:C1055),"")</f>
        <v/>
      </c>
      <c r="D1055" s="3">
        <f>IF(ISNUMBER(AVERAGE('20250815_ETF_Options_Exhibits'!D1051:D1055)),AVERAGE('20250815_ETF_Options_Exhibits'!D1051:D1055),"")</f>
        <v/>
      </c>
      <c r="E1055" s="3">
        <f>IF(ISNUMBER(AVERAGE('20250815_ETF_Options_Exhibits'!E1051:E1055)),AVERAGE('20250815_ETF_Options_Exhibits'!E1051:E1055),"")</f>
        <v/>
      </c>
      <c r="F1055" s="3">
        <f>IF(ISNUMBER(AVERAGE('20250815_ETF_Options_Exhibits'!F1051:F1055)),AVERAGE('20250815_ETF_Options_Exhibits'!F1051:F1055),"")</f>
        <v/>
      </c>
      <c r="G1055" s="3">
        <f>IF(ISNUMBER(AVERAGE('20250815_ETF_Options_Exhibits'!G1051:G1055)),AVERAGE('20250815_ETF_Options_Exhibits'!G1051:G1055),"")</f>
        <v/>
      </c>
      <c r="H1055" s="3">
        <f>IF(ISNUMBER(AVERAGE('20250815_ETF_Options_Exhibits'!H1051:H1055)),AVERAGE('20250815_ETF_Options_Exhibits'!H1051:H1055),"")</f>
        <v/>
      </c>
      <c r="I1055" s="3">
        <f>IF(ISNUMBER(AVERAGE('20250815_ETF_Options_Exhibits'!I1051:I1055)),AVERAGE('20250815_ETF_Options_Exhibits'!I1051:I1055),"")</f>
        <v/>
      </c>
      <c r="J1055" s="3">
        <f>IF(ISNUMBER(AVERAGE('20250815_ETF_Options_Exhibits'!J1051:J1055)),AVERAGE('20250815_ETF_Options_Exhibits'!J1051:J1055),"")</f>
        <v/>
      </c>
      <c r="K1055" s="3">
        <f>IF(ISNUMBER(AVERAGE('20250815_ETF_Options_Exhibits'!K1051:K1055)),AVERAGE('20250815_ETF_Options_Exhibits'!K1051:K1055),"")</f>
        <v/>
      </c>
      <c r="L1055" s="3">
        <f>IF(ISNUMBER(AVERAGE('20250815_ETF_Options_Exhibits'!L1051:L1055)),AVERAGE('20250815_ETF_Options_Exhibits'!L1051:L1055),"")</f>
        <v/>
      </c>
      <c r="M1055" s="3">
        <f>IF(ISNUMBER(AVERAGE('20250815_ETF_Options_Exhibits'!M1051:M1055)),AVERAGE('20250815_ETF_Options_Exhibits'!M1051:M1055),"")</f>
        <v/>
      </c>
      <c r="N1055" s="3">
        <f>IF(ISNUMBER(AVERAGE('20250815_ETF_Options_Exhibits'!N1051:N1055)),AVERAGE('20250815_ETF_Options_Exhibits'!N1051:N1055),"")</f>
        <v/>
      </c>
      <c r="O1055" s="3">
        <f>IF(ISNUMBER(AVERAGE('20250815_ETF_Options_Exhibits'!O1051:O1055)),AVERAGE('20250815_ETF_Options_Exhibits'!O1051:O1055),"")</f>
        <v/>
      </c>
      <c r="P1055" s="3">
        <f>IF(ISNUMBER(AVERAGE('20250815_ETF_Options_Exhibits'!P1051:P1055)),AVERAGE('20250815_ETF_Options_Exhibits'!P1051:P1055),"")</f>
        <v/>
      </c>
      <c r="Q1055" s="3">
        <f>IF(ISNUMBER(AVERAGE('20250815_ETF_Options_Exhibits'!Q1051:Q1055)),AVERAGE('20250815_ETF_Options_Exhibits'!Q1051:Q1055),"")</f>
        <v/>
      </c>
      <c r="R1055" s="3">
        <f>IF(ISNUMBER(AVERAGE('20250815_ETF_Options_Exhibits'!R1051:R1055)),AVERAGE('20250815_ETF_Options_Exhibits'!R1051:R1055),"")</f>
        <v/>
      </c>
      <c r="S1055" s="3">
        <f>IF(ISNUMBER(AVERAGE('20250815_ETF_Options_Exhibits'!S1051:S1055)),AVERAGE('20250815_ETF_Options_Exhibits'!S1051:S1055),"")</f>
        <v/>
      </c>
      <c r="T1055" s="3">
        <f>IF(ISNUMBER(AVERAGE('20250815_ETF_Options_Exhibits'!T1051:T1055)),AVERAGE('20250815_ETF_Options_Exhibits'!T1051:T1055),"")</f>
        <v/>
      </c>
      <c r="U1055" s="3">
        <f>IF(ISNUMBER(AVERAGE('20250815_ETF_Options_Exhibits'!U1051:U1055)),AVERAGE('20250815_ETF_Options_Exhibits'!U1051:U1055),"")</f>
        <v/>
      </c>
      <c r="V1055" s="3">
        <f>IF(ISNUMBER(AVERAGE('20250815_ETF_Options_Exhibits'!V1051:V1055)),AVERAGE('20250815_ETF_Options_Exhibits'!V1051:V1055),"")</f>
        <v/>
      </c>
      <c r="W1055" s="3">
        <f>IF(ISNUMBER(AVERAGE('20250815_ETF_Options_Exhibits'!W1051:W1055)),AVERAGE('20250815_ETF_Options_Exhibits'!W1051:W1055),"")</f>
        <v/>
      </c>
      <c r="X1055" s="3">
        <f>IF(ISNUMBER(AVERAGE('20250815_ETF_Options_Exhibits'!X1051:X1055)),AVERAGE('20250815_ETF_Options_Exhibits'!X1051:X1055),"")</f>
        <v/>
      </c>
      <c r="Y1055" s="3">
        <f>IF(ISNUMBER(AVERAGE('20250815_ETF_Options_Exhibits'!Y1051:Y1055)),AVERAGE('20250815_ETF_Options_Exhibits'!Y1051:Y1055),"")</f>
        <v/>
      </c>
      <c r="Z1055" s="3">
        <f>IF(ISNUMBER(AVERAGE('20250815_ETF_Options_Exhibits'!Z1051:Z1055)),AVERAGE('20250815_ETF_Options_Exhibits'!Z1051:Z1055),"")</f>
        <v/>
      </c>
      <c r="AA1055" s="3">
        <f>IF(ISNUMBER(AVERAGE('20250815_ETF_Options_Exhibits'!AA1051:AA1055)),AVERAGE('20250815_ETF_Options_Exhibits'!AA1051:AA1055),"")</f>
        <v/>
      </c>
    </row>
    <row r="1056">
      <c r="A1056" s="1" t="n">
        <v>43536</v>
      </c>
      <c r="B1056" s="3">
        <f>IF(ISNUMBER(AVERAGE('20250815_ETF_Options_Exhibits'!B1052:B1056)),AVERAGE('20250815_ETF_Options_Exhibits'!B1052:B1056),"")</f>
        <v/>
      </c>
      <c r="C1056" s="3">
        <f>IF(ISNUMBER(AVERAGE('20250815_ETF_Options_Exhibits'!C1052:C1056)),AVERAGE('20250815_ETF_Options_Exhibits'!C1052:C1056),"")</f>
        <v/>
      </c>
      <c r="D1056" s="3">
        <f>IF(ISNUMBER(AVERAGE('20250815_ETF_Options_Exhibits'!D1052:D1056)),AVERAGE('20250815_ETF_Options_Exhibits'!D1052:D1056),"")</f>
        <v/>
      </c>
      <c r="E1056" s="3">
        <f>IF(ISNUMBER(AVERAGE('20250815_ETF_Options_Exhibits'!E1052:E1056)),AVERAGE('20250815_ETF_Options_Exhibits'!E1052:E1056),"")</f>
        <v/>
      </c>
      <c r="F1056" s="3">
        <f>IF(ISNUMBER(AVERAGE('20250815_ETF_Options_Exhibits'!F1052:F1056)),AVERAGE('20250815_ETF_Options_Exhibits'!F1052:F1056),"")</f>
        <v/>
      </c>
      <c r="G1056" s="3">
        <f>IF(ISNUMBER(AVERAGE('20250815_ETF_Options_Exhibits'!G1052:G1056)),AVERAGE('20250815_ETF_Options_Exhibits'!G1052:G1056),"")</f>
        <v/>
      </c>
      <c r="H1056" s="3">
        <f>IF(ISNUMBER(AVERAGE('20250815_ETF_Options_Exhibits'!H1052:H1056)),AVERAGE('20250815_ETF_Options_Exhibits'!H1052:H1056),"")</f>
        <v/>
      </c>
      <c r="I1056" s="3">
        <f>IF(ISNUMBER(AVERAGE('20250815_ETF_Options_Exhibits'!I1052:I1056)),AVERAGE('20250815_ETF_Options_Exhibits'!I1052:I1056),"")</f>
        <v/>
      </c>
      <c r="J1056" s="3">
        <f>IF(ISNUMBER(AVERAGE('20250815_ETF_Options_Exhibits'!J1052:J1056)),AVERAGE('20250815_ETF_Options_Exhibits'!J1052:J1056),"")</f>
        <v/>
      </c>
      <c r="K1056" s="3">
        <f>IF(ISNUMBER(AVERAGE('20250815_ETF_Options_Exhibits'!K1052:K1056)),AVERAGE('20250815_ETF_Options_Exhibits'!K1052:K1056),"")</f>
        <v/>
      </c>
      <c r="L1056" s="3">
        <f>IF(ISNUMBER(AVERAGE('20250815_ETF_Options_Exhibits'!L1052:L1056)),AVERAGE('20250815_ETF_Options_Exhibits'!L1052:L1056),"")</f>
        <v/>
      </c>
      <c r="M1056" s="3">
        <f>IF(ISNUMBER(AVERAGE('20250815_ETF_Options_Exhibits'!M1052:M1056)),AVERAGE('20250815_ETF_Options_Exhibits'!M1052:M1056),"")</f>
        <v/>
      </c>
      <c r="N1056" s="3">
        <f>IF(ISNUMBER(AVERAGE('20250815_ETF_Options_Exhibits'!N1052:N1056)),AVERAGE('20250815_ETF_Options_Exhibits'!N1052:N1056),"")</f>
        <v/>
      </c>
      <c r="O1056" s="3">
        <f>IF(ISNUMBER(AVERAGE('20250815_ETF_Options_Exhibits'!O1052:O1056)),AVERAGE('20250815_ETF_Options_Exhibits'!O1052:O1056),"")</f>
        <v/>
      </c>
      <c r="P1056" s="3">
        <f>IF(ISNUMBER(AVERAGE('20250815_ETF_Options_Exhibits'!P1052:P1056)),AVERAGE('20250815_ETF_Options_Exhibits'!P1052:P1056),"")</f>
        <v/>
      </c>
      <c r="Q1056" s="3">
        <f>IF(ISNUMBER(AVERAGE('20250815_ETF_Options_Exhibits'!Q1052:Q1056)),AVERAGE('20250815_ETF_Options_Exhibits'!Q1052:Q1056),"")</f>
        <v/>
      </c>
      <c r="R1056" s="3">
        <f>IF(ISNUMBER(AVERAGE('20250815_ETF_Options_Exhibits'!R1052:R1056)),AVERAGE('20250815_ETF_Options_Exhibits'!R1052:R1056),"")</f>
        <v/>
      </c>
      <c r="S1056" s="3">
        <f>IF(ISNUMBER(AVERAGE('20250815_ETF_Options_Exhibits'!S1052:S1056)),AVERAGE('20250815_ETF_Options_Exhibits'!S1052:S1056),"")</f>
        <v/>
      </c>
      <c r="T1056" s="3">
        <f>IF(ISNUMBER(AVERAGE('20250815_ETF_Options_Exhibits'!T1052:T1056)),AVERAGE('20250815_ETF_Options_Exhibits'!T1052:T1056),"")</f>
        <v/>
      </c>
      <c r="U1056" s="3">
        <f>IF(ISNUMBER(AVERAGE('20250815_ETF_Options_Exhibits'!U1052:U1056)),AVERAGE('20250815_ETF_Options_Exhibits'!U1052:U1056),"")</f>
        <v/>
      </c>
      <c r="V1056" s="3">
        <f>IF(ISNUMBER(AVERAGE('20250815_ETF_Options_Exhibits'!V1052:V1056)),AVERAGE('20250815_ETF_Options_Exhibits'!V1052:V1056),"")</f>
        <v/>
      </c>
      <c r="W1056" s="3">
        <f>IF(ISNUMBER(AVERAGE('20250815_ETF_Options_Exhibits'!W1052:W1056)),AVERAGE('20250815_ETF_Options_Exhibits'!W1052:W1056),"")</f>
        <v/>
      </c>
      <c r="X1056" s="3">
        <f>IF(ISNUMBER(AVERAGE('20250815_ETF_Options_Exhibits'!X1052:X1056)),AVERAGE('20250815_ETF_Options_Exhibits'!X1052:X1056),"")</f>
        <v/>
      </c>
      <c r="Y1056" s="3">
        <f>IF(ISNUMBER(AVERAGE('20250815_ETF_Options_Exhibits'!Y1052:Y1056)),AVERAGE('20250815_ETF_Options_Exhibits'!Y1052:Y1056),"")</f>
        <v/>
      </c>
      <c r="Z1056" s="3">
        <f>IF(ISNUMBER(AVERAGE('20250815_ETF_Options_Exhibits'!Z1052:Z1056)),AVERAGE('20250815_ETF_Options_Exhibits'!Z1052:Z1056),"")</f>
        <v/>
      </c>
      <c r="AA1056" s="3">
        <f>IF(ISNUMBER(AVERAGE('20250815_ETF_Options_Exhibits'!AA1052:AA1056)),AVERAGE('20250815_ETF_Options_Exhibits'!AA1052:AA1056),"")</f>
        <v/>
      </c>
    </row>
    <row r="1057">
      <c r="A1057" s="1" t="n">
        <v>43537</v>
      </c>
      <c r="B1057" s="3">
        <f>IF(ISNUMBER(AVERAGE('20250815_ETF_Options_Exhibits'!B1053:B1057)),AVERAGE('20250815_ETF_Options_Exhibits'!B1053:B1057),"")</f>
        <v/>
      </c>
      <c r="C1057" s="3">
        <f>IF(ISNUMBER(AVERAGE('20250815_ETF_Options_Exhibits'!C1053:C1057)),AVERAGE('20250815_ETF_Options_Exhibits'!C1053:C1057),"")</f>
        <v/>
      </c>
      <c r="D1057" s="3">
        <f>IF(ISNUMBER(AVERAGE('20250815_ETF_Options_Exhibits'!D1053:D1057)),AVERAGE('20250815_ETF_Options_Exhibits'!D1053:D1057),"")</f>
        <v/>
      </c>
      <c r="E1057" s="3">
        <f>IF(ISNUMBER(AVERAGE('20250815_ETF_Options_Exhibits'!E1053:E1057)),AVERAGE('20250815_ETF_Options_Exhibits'!E1053:E1057),"")</f>
        <v/>
      </c>
      <c r="F1057" s="3">
        <f>IF(ISNUMBER(AVERAGE('20250815_ETF_Options_Exhibits'!F1053:F1057)),AVERAGE('20250815_ETF_Options_Exhibits'!F1053:F1057),"")</f>
        <v/>
      </c>
      <c r="G1057" s="3">
        <f>IF(ISNUMBER(AVERAGE('20250815_ETF_Options_Exhibits'!G1053:G1057)),AVERAGE('20250815_ETF_Options_Exhibits'!G1053:G1057),"")</f>
        <v/>
      </c>
      <c r="H1057" s="3">
        <f>IF(ISNUMBER(AVERAGE('20250815_ETF_Options_Exhibits'!H1053:H1057)),AVERAGE('20250815_ETF_Options_Exhibits'!H1053:H1057),"")</f>
        <v/>
      </c>
      <c r="I1057" s="3">
        <f>IF(ISNUMBER(AVERAGE('20250815_ETF_Options_Exhibits'!I1053:I1057)),AVERAGE('20250815_ETF_Options_Exhibits'!I1053:I1057),"")</f>
        <v/>
      </c>
      <c r="J1057" s="3">
        <f>IF(ISNUMBER(AVERAGE('20250815_ETF_Options_Exhibits'!J1053:J1057)),AVERAGE('20250815_ETF_Options_Exhibits'!J1053:J1057),"")</f>
        <v/>
      </c>
      <c r="K1057" s="3">
        <f>IF(ISNUMBER(AVERAGE('20250815_ETF_Options_Exhibits'!K1053:K1057)),AVERAGE('20250815_ETF_Options_Exhibits'!K1053:K1057),"")</f>
        <v/>
      </c>
      <c r="L1057" s="3">
        <f>IF(ISNUMBER(AVERAGE('20250815_ETF_Options_Exhibits'!L1053:L1057)),AVERAGE('20250815_ETF_Options_Exhibits'!L1053:L1057),"")</f>
        <v/>
      </c>
      <c r="M1057" s="3">
        <f>IF(ISNUMBER(AVERAGE('20250815_ETF_Options_Exhibits'!M1053:M1057)),AVERAGE('20250815_ETF_Options_Exhibits'!M1053:M1057),"")</f>
        <v/>
      </c>
      <c r="N1057" s="3">
        <f>IF(ISNUMBER(AVERAGE('20250815_ETF_Options_Exhibits'!N1053:N1057)),AVERAGE('20250815_ETF_Options_Exhibits'!N1053:N1057),"")</f>
        <v/>
      </c>
      <c r="O1057" s="3">
        <f>IF(ISNUMBER(AVERAGE('20250815_ETF_Options_Exhibits'!O1053:O1057)),AVERAGE('20250815_ETF_Options_Exhibits'!O1053:O1057),"")</f>
        <v/>
      </c>
      <c r="P1057" s="3">
        <f>IF(ISNUMBER(AVERAGE('20250815_ETF_Options_Exhibits'!P1053:P1057)),AVERAGE('20250815_ETF_Options_Exhibits'!P1053:P1057),"")</f>
        <v/>
      </c>
      <c r="Q1057" s="3">
        <f>IF(ISNUMBER(AVERAGE('20250815_ETF_Options_Exhibits'!Q1053:Q1057)),AVERAGE('20250815_ETF_Options_Exhibits'!Q1053:Q1057),"")</f>
        <v/>
      </c>
      <c r="R1057" s="3">
        <f>IF(ISNUMBER(AVERAGE('20250815_ETF_Options_Exhibits'!R1053:R1057)),AVERAGE('20250815_ETF_Options_Exhibits'!R1053:R1057),"")</f>
        <v/>
      </c>
      <c r="S1057" s="3">
        <f>IF(ISNUMBER(AVERAGE('20250815_ETF_Options_Exhibits'!S1053:S1057)),AVERAGE('20250815_ETF_Options_Exhibits'!S1053:S1057),"")</f>
        <v/>
      </c>
      <c r="T1057" s="3">
        <f>IF(ISNUMBER(AVERAGE('20250815_ETF_Options_Exhibits'!T1053:T1057)),AVERAGE('20250815_ETF_Options_Exhibits'!T1053:T1057),"")</f>
        <v/>
      </c>
      <c r="U1057" s="3">
        <f>IF(ISNUMBER(AVERAGE('20250815_ETF_Options_Exhibits'!U1053:U1057)),AVERAGE('20250815_ETF_Options_Exhibits'!U1053:U1057),"")</f>
        <v/>
      </c>
      <c r="V1057" s="3">
        <f>IF(ISNUMBER(AVERAGE('20250815_ETF_Options_Exhibits'!V1053:V1057)),AVERAGE('20250815_ETF_Options_Exhibits'!V1053:V1057),"")</f>
        <v/>
      </c>
      <c r="W1057" s="3">
        <f>IF(ISNUMBER(AVERAGE('20250815_ETF_Options_Exhibits'!W1053:W1057)),AVERAGE('20250815_ETF_Options_Exhibits'!W1053:W1057),"")</f>
        <v/>
      </c>
      <c r="X1057" s="3">
        <f>IF(ISNUMBER(AVERAGE('20250815_ETF_Options_Exhibits'!X1053:X1057)),AVERAGE('20250815_ETF_Options_Exhibits'!X1053:X1057),"")</f>
        <v/>
      </c>
      <c r="Y1057" s="3">
        <f>IF(ISNUMBER(AVERAGE('20250815_ETF_Options_Exhibits'!Y1053:Y1057)),AVERAGE('20250815_ETF_Options_Exhibits'!Y1053:Y1057),"")</f>
        <v/>
      </c>
      <c r="Z1057" s="3">
        <f>IF(ISNUMBER(AVERAGE('20250815_ETF_Options_Exhibits'!Z1053:Z1057)),AVERAGE('20250815_ETF_Options_Exhibits'!Z1053:Z1057),"")</f>
        <v/>
      </c>
      <c r="AA1057" s="3">
        <f>IF(ISNUMBER(AVERAGE('20250815_ETF_Options_Exhibits'!AA1053:AA1057)),AVERAGE('20250815_ETF_Options_Exhibits'!AA1053:AA1057),"")</f>
        <v/>
      </c>
    </row>
    <row r="1058">
      <c r="A1058" s="1" t="n">
        <v>43538</v>
      </c>
      <c r="B1058" s="3">
        <f>IF(ISNUMBER(AVERAGE('20250815_ETF_Options_Exhibits'!B1054:B1058)),AVERAGE('20250815_ETF_Options_Exhibits'!B1054:B1058),"")</f>
        <v/>
      </c>
      <c r="C1058" s="3">
        <f>IF(ISNUMBER(AVERAGE('20250815_ETF_Options_Exhibits'!C1054:C1058)),AVERAGE('20250815_ETF_Options_Exhibits'!C1054:C1058),"")</f>
        <v/>
      </c>
      <c r="D1058" s="3">
        <f>IF(ISNUMBER(AVERAGE('20250815_ETF_Options_Exhibits'!D1054:D1058)),AVERAGE('20250815_ETF_Options_Exhibits'!D1054:D1058),"")</f>
        <v/>
      </c>
      <c r="E1058" s="3">
        <f>IF(ISNUMBER(AVERAGE('20250815_ETF_Options_Exhibits'!E1054:E1058)),AVERAGE('20250815_ETF_Options_Exhibits'!E1054:E1058),"")</f>
        <v/>
      </c>
      <c r="F1058" s="3">
        <f>IF(ISNUMBER(AVERAGE('20250815_ETF_Options_Exhibits'!F1054:F1058)),AVERAGE('20250815_ETF_Options_Exhibits'!F1054:F1058),"")</f>
        <v/>
      </c>
      <c r="G1058" s="3">
        <f>IF(ISNUMBER(AVERAGE('20250815_ETF_Options_Exhibits'!G1054:G1058)),AVERAGE('20250815_ETF_Options_Exhibits'!G1054:G1058),"")</f>
        <v/>
      </c>
      <c r="H1058" s="3">
        <f>IF(ISNUMBER(AVERAGE('20250815_ETF_Options_Exhibits'!H1054:H1058)),AVERAGE('20250815_ETF_Options_Exhibits'!H1054:H1058),"")</f>
        <v/>
      </c>
      <c r="I1058" s="3">
        <f>IF(ISNUMBER(AVERAGE('20250815_ETF_Options_Exhibits'!I1054:I1058)),AVERAGE('20250815_ETF_Options_Exhibits'!I1054:I1058),"")</f>
        <v/>
      </c>
      <c r="J1058" s="3">
        <f>IF(ISNUMBER(AVERAGE('20250815_ETF_Options_Exhibits'!J1054:J1058)),AVERAGE('20250815_ETF_Options_Exhibits'!J1054:J1058),"")</f>
        <v/>
      </c>
      <c r="K1058" s="3">
        <f>IF(ISNUMBER(AVERAGE('20250815_ETF_Options_Exhibits'!K1054:K1058)),AVERAGE('20250815_ETF_Options_Exhibits'!K1054:K1058),"")</f>
        <v/>
      </c>
      <c r="L1058" s="3">
        <f>IF(ISNUMBER(AVERAGE('20250815_ETF_Options_Exhibits'!L1054:L1058)),AVERAGE('20250815_ETF_Options_Exhibits'!L1054:L1058),"")</f>
        <v/>
      </c>
      <c r="M1058" s="3">
        <f>IF(ISNUMBER(AVERAGE('20250815_ETF_Options_Exhibits'!M1054:M1058)),AVERAGE('20250815_ETF_Options_Exhibits'!M1054:M1058),"")</f>
        <v/>
      </c>
      <c r="N1058" s="3">
        <f>IF(ISNUMBER(AVERAGE('20250815_ETF_Options_Exhibits'!N1054:N1058)),AVERAGE('20250815_ETF_Options_Exhibits'!N1054:N1058),"")</f>
        <v/>
      </c>
      <c r="O1058" s="3">
        <f>IF(ISNUMBER(AVERAGE('20250815_ETF_Options_Exhibits'!O1054:O1058)),AVERAGE('20250815_ETF_Options_Exhibits'!O1054:O1058),"")</f>
        <v/>
      </c>
      <c r="P1058" s="3">
        <f>IF(ISNUMBER(AVERAGE('20250815_ETF_Options_Exhibits'!P1054:P1058)),AVERAGE('20250815_ETF_Options_Exhibits'!P1054:P1058),"")</f>
        <v/>
      </c>
      <c r="Q1058" s="3">
        <f>IF(ISNUMBER(AVERAGE('20250815_ETF_Options_Exhibits'!Q1054:Q1058)),AVERAGE('20250815_ETF_Options_Exhibits'!Q1054:Q1058),"")</f>
        <v/>
      </c>
      <c r="R1058" s="3">
        <f>IF(ISNUMBER(AVERAGE('20250815_ETF_Options_Exhibits'!R1054:R1058)),AVERAGE('20250815_ETF_Options_Exhibits'!R1054:R1058),"")</f>
        <v/>
      </c>
      <c r="S1058" s="3">
        <f>IF(ISNUMBER(AVERAGE('20250815_ETF_Options_Exhibits'!S1054:S1058)),AVERAGE('20250815_ETF_Options_Exhibits'!S1054:S1058),"")</f>
        <v/>
      </c>
      <c r="T1058" s="3">
        <f>IF(ISNUMBER(AVERAGE('20250815_ETF_Options_Exhibits'!T1054:T1058)),AVERAGE('20250815_ETF_Options_Exhibits'!T1054:T1058),"")</f>
        <v/>
      </c>
      <c r="U1058" s="3">
        <f>IF(ISNUMBER(AVERAGE('20250815_ETF_Options_Exhibits'!U1054:U1058)),AVERAGE('20250815_ETF_Options_Exhibits'!U1054:U1058),"")</f>
        <v/>
      </c>
      <c r="V1058" s="3">
        <f>IF(ISNUMBER(AVERAGE('20250815_ETF_Options_Exhibits'!V1054:V1058)),AVERAGE('20250815_ETF_Options_Exhibits'!V1054:V1058),"")</f>
        <v/>
      </c>
      <c r="W1058" s="3">
        <f>IF(ISNUMBER(AVERAGE('20250815_ETF_Options_Exhibits'!W1054:W1058)),AVERAGE('20250815_ETF_Options_Exhibits'!W1054:W1058),"")</f>
        <v/>
      </c>
      <c r="X1058" s="3">
        <f>IF(ISNUMBER(AVERAGE('20250815_ETF_Options_Exhibits'!X1054:X1058)),AVERAGE('20250815_ETF_Options_Exhibits'!X1054:X1058),"")</f>
        <v/>
      </c>
      <c r="Y1058" s="3">
        <f>IF(ISNUMBER(AVERAGE('20250815_ETF_Options_Exhibits'!Y1054:Y1058)),AVERAGE('20250815_ETF_Options_Exhibits'!Y1054:Y1058),"")</f>
        <v/>
      </c>
      <c r="Z1058" s="3">
        <f>IF(ISNUMBER(AVERAGE('20250815_ETF_Options_Exhibits'!Z1054:Z1058)),AVERAGE('20250815_ETF_Options_Exhibits'!Z1054:Z1058),"")</f>
        <v/>
      </c>
      <c r="AA1058" s="3">
        <f>IF(ISNUMBER(AVERAGE('20250815_ETF_Options_Exhibits'!AA1054:AA1058)),AVERAGE('20250815_ETF_Options_Exhibits'!AA1054:AA1058),"")</f>
        <v/>
      </c>
    </row>
    <row r="1059">
      <c r="A1059" s="1" t="n">
        <v>43539</v>
      </c>
      <c r="B1059" s="3">
        <f>IF(ISNUMBER(AVERAGE('20250815_ETF_Options_Exhibits'!B1055:B1059)),AVERAGE('20250815_ETF_Options_Exhibits'!B1055:B1059),"")</f>
        <v/>
      </c>
      <c r="C1059" s="3">
        <f>IF(ISNUMBER(AVERAGE('20250815_ETF_Options_Exhibits'!C1055:C1059)),AVERAGE('20250815_ETF_Options_Exhibits'!C1055:C1059),"")</f>
        <v/>
      </c>
      <c r="D1059" s="3">
        <f>IF(ISNUMBER(AVERAGE('20250815_ETF_Options_Exhibits'!D1055:D1059)),AVERAGE('20250815_ETF_Options_Exhibits'!D1055:D1059),"")</f>
        <v/>
      </c>
      <c r="E1059" s="3">
        <f>IF(ISNUMBER(AVERAGE('20250815_ETF_Options_Exhibits'!E1055:E1059)),AVERAGE('20250815_ETF_Options_Exhibits'!E1055:E1059),"")</f>
        <v/>
      </c>
      <c r="F1059" s="3">
        <f>IF(ISNUMBER(AVERAGE('20250815_ETF_Options_Exhibits'!F1055:F1059)),AVERAGE('20250815_ETF_Options_Exhibits'!F1055:F1059),"")</f>
        <v/>
      </c>
      <c r="G1059" s="3">
        <f>IF(ISNUMBER(AVERAGE('20250815_ETF_Options_Exhibits'!G1055:G1059)),AVERAGE('20250815_ETF_Options_Exhibits'!G1055:G1059),"")</f>
        <v/>
      </c>
      <c r="H1059" s="3">
        <f>IF(ISNUMBER(AVERAGE('20250815_ETF_Options_Exhibits'!H1055:H1059)),AVERAGE('20250815_ETF_Options_Exhibits'!H1055:H1059),"")</f>
        <v/>
      </c>
      <c r="I1059" s="3">
        <f>IF(ISNUMBER(AVERAGE('20250815_ETF_Options_Exhibits'!I1055:I1059)),AVERAGE('20250815_ETF_Options_Exhibits'!I1055:I1059),"")</f>
        <v/>
      </c>
      <c r="J1059" s="3">
        <f>IF(ISNUMBER(AVERAGE('20250815_ETF_Options_Exhibits'!J1055:J1059)),AVERAGE('20250815_ETF_Options_Exhibits'!J1055:J1059),"")</f>
        <v/>
      </c>
      <c r="K1059" s="3">
        <f>IF(ISNUMBER(AVERAGE('20250815_ETF_Options_Exhibits'!K1055:K1059)),AVERAGE('20250815_ETF_Options_Exhibits'!K1055:K1059),"")</f>
        <v/>
      </c>
      <c r="L1059" s="3">
        <f>IF(ISNUMBER(AVERAGE('20250815_ETF_Options_Exhibits'!L1055:L1059)),AVERAGE('20250815_ETF_Options_Exhibits'!L1055:L1059),"")</f>
        <v/>
      </c>
      <c r="M1059" s="3">
        <f>IF(ISNUMBER(AVERAGE('20250815_ETF_Options_Exhibits'!M1055:M1059)),AVERAGE('20250815_ETF_Options_Exhibits'!M1055:M1059),"")</f>
        <v/>
      </c>
      <c r="N1059" s="3">
        <f>IF(ISNUMBER(AVERAGE('20250815_ETF_Options_Exhibits'!N1055:N1059)),AVERAGE('20250815_ETF_Options_Exhibits'!N1055:N1059),"")</f>
        <v/>
      </c>
      <c r="O1059" s="3">
        <f>IF(ISNUMBER(AVERAGE('20250815_ETF_Options_Exhibits'!O1055:O1059)),AVERAGE('20250815_ETF_Options_Exhibits'!O1055:O1059),"")</f>
        <v/>
      </c>
      <c r="P1059" s="3">
        <f>IF(ISNUMBER(AVERAGE('20250815_ETF_Options_Exhibits'!P1055:P1059)),AVERAGE('20250815_ETF_Options_Exhibits'!P1055:P1059),"")</f>
        <v/>
      </c>
      <c r="Q1059" s="3">
        <f>IF(ISNUMBER(AVERAGE('20250815_ETF_Options_Exhibits'!Q1055:Q1059)),AVERAGE('20250815_ETF_Options_Exhibits'!Q1055:Q1059),"")</f>
        <v/>
      </c>
      <c r="R1059" s="3">
        <f>IF(ISNUMBER(AVERAGE('20250815_ETF_Options_Exhibits'!R1055:R1059)),AVERAGE('20250815_ETF_Options_Exhibits'!R1055:R1059),"")</f>
        <v/>
      </c>
      <c r="S1059" s="3">
        <f>IF(ISNUMBER(AVERAGE('20250815_ETF_Options_Exhibits'!S1055:S1059)),AVERAGE('20250815_ETF_Options_Exhibits'!S1055:S1059),"")</f>
        <v/>
      </c>
      <c r="T1059" s="3">
        <f>IF(ISNUMBER(AVERAGE('20250815_ETF_Options_Exhibits'!T1055:T1059)),AVERAGE('20250815_ETF_Options_Exhibits'!T1055:T1059),"")</f>
        <v/>
      </c>
      <c r="U1059" s="3">
        <f>IF(ISNUMBER(AVERAGE('20250815_ETF_Options_Exhibits'!U1055:U1059)),AVERAGE('20250815_ETF_Options_Exhibits'!U1055:U1059),"")</f>
        <v/>
      </c>
      <c r="V1059" s="3">
        <f>IF(ISNUMBER(AVERAGE('20250815_ETF_Options_Exhibits'!V1055:V1059)),AVERAGE('20250815_ETF_Options_Exhibits'!V1055:V1059),"")</f>
        <v/>
      </c>
      <c r="W1059" s="3">
        <f>IF(ISNUMBER(AVERAGE('20250815_ETF_Options_Exhibits'!W1055:W1059)),AVERAGE('20250815_ETF_Options_Exhibits'!W1055:W1059),"")</f>
        <v/>
      </c>
      <c r="X1059" s="3">
        <f>IF(ISNUMBER(AVERAGE('20250815_ETF_Options_Exhibits'!X1055:X1059)),AVERAGE('20250815_ETF_Options_Exhibits'!X1055:X1059),"")</f>
        <v/>
      </c>
      <c r="Y1059" s="3">
        <f>IF(ISNUMBER(AVERAGE('20250815_ETF_Options_Exhibits'!Y1055:Y1059)),AVERAGE('20250815_ETF_Options_Exhibits'!Y1055:Y1059),"")</f>
        <v/>
      </c>
      <c r="Z1059" s="3">
        <f>IF(ISNUMBER(AVERAGE('20250815_ETF_Options_Exhibits'!Z1055:Z1059)),AVERAGE('20250815_ETF_Options_Exhibits'!Z1055:Z1059),"")</f>
        <v/>
      </c>
      <c r="AA1059" s="3">
        <f>IF(ISNUMBER(AVERAGE('20250815_ETF_Options_Exhibits'!AA1055:AA1059)),AVERAGE('20250815_ETF_Options_Exhibits'!AA1055:AA1059),"")</f>
        <v/>
      </c>
    </row>
    <row r="1060">
      <c r="A1060" s="1" t="n">
        <v>43542</v>
      </c>
      <c r="B1060" s="3">
        <f>IF(ISNUMBER(AVERAGE('20250815_ETF_Options_Exhibits'!B1056:B1060)),AVERAGE('20250815_ETF_Options_Exhibits'!B1056:B1060),"")</f>
        <v/>
      </c>
      <c r="C1060" s="3">
        <f>IF(ISNUMBER(AVERAGE('20250815_ETF_Options_Exhibits'!C1056:C1060)),AVERAGE('20250815_ETF_Options_Exhibits'!C1056:C1060),"")</f>
        <v/>
      </c>
      <c r="D1060" s="3">
        <f>IF(ISNUMBER(AVERAGE('20250815_ETF_Options_Exhibits'!D1056:D1060)),AVERAGE('20250815_ETF_Options_Exhibits'!D1056:D1060),"")</f>
        <v/>
      </c>
      <c r="E1060" s="3">
        <f>IF(ISNUMBER(AVERAGE('20250815_ETF_Options_Exhibits'!E1056:E1060)),AVERAGE('20250815_ETF_Options_Exhibits'!E1056:E1060),"")</f>
        <v/>
      </c>
      <c r="F1060" s="3">
        <f>IF(ISNUMBER(AVERAGE('20250815_ETF_Options_Exhibits'!F1056:F1060)),AVERAGE('20250815_ETF_Options_Exhibits'!F1056:F1060),"")</f>
        <v/>
      </c>
      <c r="G1060" s="3">
        <f>IF(ISNUMBER(AVERAGE('20250815_ETF_Options_Exhibits'!G1056:G1060)),AVERAGE('20250815_ETF_Options_Exhibits'!G1056:G1060),"")</f>
        <v/>
      </c>
      <c r="H1060" s="3">
        <f>IF(ISNUMBER(AVERAGE('20250815_ETF_Options_Exhibits'!H1056:H1060)),AVERAGE('20250815_ETF_Options_Exhibits'!H1056:H1060),"")</f>
        <v/>
      </c>
      <c r="I1060" s="3">
        <f>IF(ISNUMBER(AVERAGE('20250815_ETF_Options_Exhibits'!I1056:I1060)),AVERAGE('20250815_ETF_Options_Exhibits'!I1056:I1060),"")</f>
        <v/>
      </c>
      <c r="J1060" s="3">
        <f>IF(ISNUMBER(AVERAGE('20250815_ETF_Options_Exhibits'!J1056:J1060)),AVERAGE('20250815_ETF_Options_Exhibits'!J1056:J1060),"")</f>
        <v/>
      </c>
      <c r="K1060" s="3">
        <f>IF(ISNUMBER(AVERAGE('20250815_ETF_Options_Exhibits'!K1056:K1060)),AVERAGE('20250815_ETF_Options_Exhibits'!K1056:K1060),"")</f>
        <v/>
      </c>
      <c r="L1060" s="3">
        <f>IF(ISNUMBER(AVERAGE('20250815_ETF_Options_Exhibits'!L1056:L1060)),AVERAGE('20250815_ETF_Options_Exhibits'!L1056:L1060),"")</f>
        <v/>
      </c>
      <c r="M1060" s="3">
        <f>IF(ISNUMBER(AVERAGE('20250815_ETF_Options_Exhibits'!M1056:M1060)),AVERAGE('20250815_ETF_Options_Exhibits'!M1056:M1060),"")</f>
        <v/>
      </c>
      <c r="N1060" s="3">
        <f>IF(ISNUMBER(AVERAGE('20250815_ETF_Options_Exhibits'!N1056:N1060)),AVERAGE('20250815_ETF_Options_Exhibits'!N1056:N1060),"")</f>
        <v/>
      </c>
      <c r="O1060" s="3">
        <f>IF(ISNUMBER(AVERAGE('20250815_ETF_Options_Exhibits'!O1056:O1060)),AVERAGE('20250815_ETF_Options_Exhibits'!O1056:O1060),"")</f>
        <v/>
      </c>
      <c r="P1060" s="3">
        <f>IF(ISNUMBER(AVERAGE('20250815_ETF_Options_Exhibits'!P1056:P1060)),AVERAGE('20250815_ETF_Options_Exhibits'!P1056:P1060),"")</f>
        <v/>
      </c>
      <c r="Q1060" s="3">
        <f>IF(ISNUMBER(AVERAGE('20250815_ETF_Options_Exhibits'!Q1056:Q1060)),AVERAGE('20250815_ETF_Options_Exhibits'!Q1056:Q1060),"")</f>
        <v/>
      </c>
      <c r="R1060" s="3">
        <f>IF(ISNUMBER(AVERAGE('20250815_ETF_Options_Exhibits'!R1056:R1060)),AVERAGE('20250815_ETF_Options_Exhibits'!R1056:R1060),"")</f>
        <v/>
      </c>
      <c r="S1060" s="3">
        <f>IF(ISNUMBER(AVERAGE('20250815_ETF_Options_Exhibits'!S1056:S1060)),AVERAGE('20250815_ETF_Options_Exhibits'!S1056:S1060),"")</f>
        <v/>
      </c>
      <c r="T1060" s="3">
        <f>IF(ISNUMBER(AVERAGE('20250815_ETF_Options_Exhibits'!T1056:T1060)),AVERAGE('20250815_ETF_Options_Exhibits'!T1056:T1060),"")</f>
        <v/>
      </c>
      <c r="U1060" s="3">
        <f>IF(ISNUMBER(AVERAGE('20250815_ETF_Options_Exhibits'!U1056:U1060)),AVERAGE('20250815_ETF_Options_Exhibits'!U1056:U1060),"")</f>
        <v/>
      </c>
      <c r="V1060" s="3">
        <f>IF(ISNUMBER(AVERAGE('20250815_ETF_Options_Exhibits'!V1056:V1060)),AVERAGE('20250815_ETF_Options_Exhibits'!V1056:V1060),"")</f>
        <v/>
      </c>
      <c r="W1060" s="3">
        <f>IF(ISNUMBER(AVERAGE('20250815_ETF_Options_Exhibits'!W1056:W1060)),AVERAGE('20250815_ETF_Options_Exhibits'!W1056:W1060),"")</f>
        <v/>
      </c>
      <c r="X1060" s="3">
        <f>IF(ISNUMBER(AVERAGE('20250815_ETF_Options_Exhibits'!X1056:X1060)),AVERAGE('20250815_ETF_Options_Exhibits'!X1056:X1060),"")</f>
        <v/>
      </c>
      <c r="Y1060" s="3">
        <f>IF(ISNUMBER(AVERAGE('20250815_ETF_Options_Exhibits'!Y1056:Y1060)),AVERAGE('20250815_ETF_Options_Exhibits'!Y1056:Y1060),"")</f>
        <v/>
      </c>
      <c r="Z1060" s="3">
        <f>IF(ISNUMBER(AVERAGE('20250815_ETF_Options_Exhibits'!Z1056:Z1060)),AVERAGE('20250815_ETF_Options_Exhibits'!Z1056:Z1060),"")</f>
        <v/>
      </c>
      <c r="AA1060" s="3">
        <f>IF(ISNUMBER(AVERAGE('20250815_ETF_Options_Exhibits'!AA1056:AA1060)),AVERAGE('20250815_ETF_Options_Exhibits'!AA1056:AA1060),"")</f>
        <v/>
      </c>
    </row>
    <row r="1061">
      <c r="A1061" s="1" t="n">
        <v>43543</v>
      </c>
      <c r="B1061" s="3">
        <f>IF(ISNUMBER(AVERAGE('20250815_ETF_Options_Exhibits'!B1057:B1061)),AVERAGE('20250815_ETF_Options_Exhibits'!B1057:B1061),"")</f>
        <v/>
      </c>
      <c r="C1061" s="3">
        <f>IF(ISNUMBER(AVERAGE('20250815_ETF_Options_Exhibits'!C1057:C1061)),AVERAGE('20250815_ETF_Options_Exhibits'!C1057:C1061),"")</f>
        <v/>
      </c>
      <c r="D1061" s="3">
        <f>IF(ISNUMBER(AVERAGE('20250815_ETF_Options_Exhibits'!D1057:D1061)),AVERAGE('20250815_ETF_Options_Exhibits'!D1057:D1061),"")</f>
        <v/>
      </c>
      <c r="E1061" s="3">
        <f>IF(ISNUMBER(AVERAGE('20250815_ETF_Options_Exhibits'!E1057:E1061)),AVERAGE('20250815_ETF_Options_Exhibits'!E1057:E1061),"")</f>
        <v/>
      </c>
      <c r="F1061" s="3">
        <f>IF(ISNUMBER(AVERAGE('20250815_ETF_Options_Exhibits'!F1057:F1061)),AVERAGE('20250815_ETF_Options_Exhibits'!F1057:F1061),"")</f>
        <v/>
      </c>
      <c r="G1061" s="3">
        <f>IF(ISNUMBER(AVERAGE('20250815_ETF_Options_Exhibits'!G1057:G1061)),AVERAGE('20250815_ETF_Options_Exhibits'!G1057:G1061),"")</f>
        <v/>
      </c>
      <c r="H1061" s="3">
        <f>IF(ISNUMBER(AVERAGE('20250815_ETF_Options_Exhibits'!H1057:H1061)),AVERAGE('20250815_ETF_Options_Exhibits'!H1057:H1061),"")</f>
        <v/>
      </c>
      <c r="I1061" s="3">
        <f>IF(ISNUMBER(AVERAGE('20250815_ETF_Options_Exhibits'!I1057:I1061)),AVERAGE('20250815_ETF_Options_Exhibits'!I1057:I1061),"")</f>
        <v/>
      </c>
      <c r="J1061" s="3">
        <f>IF(ISNUMBER(AVERAGE('20250815_ETF_Options_Exhibits'!J1057:J1061)),AVERAGE('20250815_ETF_Options_Exhibits'!J1057:J1061),"")</f>
        <v/>
      </c>
      <c r="K1061" s="3">
        <f>IF(ISNUMBER(AVERAGE('20250815_ETF_Options_Exhibits'!K1057:K1061)),AVERAGE('20250815_ETF_Options_Exhibits'!K1057:K1061),"")</f>
        <v/>
      </c>
      <c r="L1061" s="3">
        <f>IF(ISNUMBER(AVERAGE('20250815_ETF_Options_Exhibits'!L1057:L1061)),AVERAGE('20250815_ETF_Options_Exhibits'!L1057:L1061),"")</f>
        <v/>
      </c>
      <c r="M1061" s="3">
        <f>IF(ISNUMBER(AVERAGE('20250815_ETF_Options_Exhibits'!M1057:M1061)),AVERAGE('20250815_ETF_Options_Exhibits'!M1057:M1061),"")</f>
        <v/>
      </c>
      <c r="N1061" s="3">
        <f>IF(ISNUMBER(AVERAGE('20250815_ETF_Options_Exhibits'!N1057:N1061)),AVERAGE('20250815_ETF_Options_Exhibits'!N1057:N1061),"")</f>
        <v/>
      </c>
      <c r="O1061" s="3">
        <f>IF(ISNUMBER(AVERAGE('20250815_ETF_Options_Exhibits'!O1057:O1061)),AVERAGE('20250815_ETF_Options_Exhibits'!O1057:O1061),"")</f>
        <v/>
      </c>
      <c r="P1061" s="3">
        <f>IF(ISNUMBER(AVERAGE('20250815_ETF_Options_Exhibits'!P1057:P1061)),AVERAGE('20250815_ETF_Options_Exhibits'!P1057:P1061),"")</f>
        <v/>
      </c>
      <c r="Q1061" s="3">
        <f>IF(ISNUMBER(AVERAGE('20250815_ETF_Options_Exhibits'!Q1057:Q1061)),AVERAGE('20250815_ETF_Options_Exhibits'!Q1057:Q1061),"")</f>
        <v/>
      </c>
      <c r="R1061" s="3">
        <f>IF(ISNUMBER(AVERAGE('20250815_ETF_Options_Exhibits'!R1057:R1061)),AVERAGE('20250815_ETF_Options_Exhibits'!R1057:R1061),"")</f>
        <v/>
      </c>
      <c r="S1061" s="3">
        <f>IF(ISNUMBER(AVERAGE('20250815_ETF_Options_Exhibits'!S1057:S1061)),AVERAGE('20250815_ETF_Options_Exhibits'!S1057:S1061),"")</f>
        <v/>
      </c>
      <c r="T1061" s="3">
        <f>IF(ISNUMBER(AVERAGE('20250815_ETF_Options_Exhibits'!T1057:T1061)),AVERAGE('20250815_ETF_Options_Exhibits'!T1057:T1061),"")</f>
        <v/>
      </c>
      <c r="U1061" s="3">
        <f>IF(ISNUMBER(AVERAGE('20250815_ETF_Options_Exhibits'!U1057:U1061)),AVERAGE('20250815_ETF_Options_Exhibits'!U1057:U1061),"")</f>
        <v/>
      </c>
      <c r="V1061" s="3">
        <f>IF(ISNUMBER(AVERAGE('20250815_ETF_Options_Exhibits'!V1057:V1061)),AVERAGE('20250815_ETF_Options_Exhibits'!V1057:V1061),"")</f>
        <v/>
      </c>
      <c r="W1061" s="3">
        <f>IF(ISNUMBER(AVERAGE('20250815_ETF_Options_Exhibits'!W1057:W1061)),AVERAGE('20250815_ETF_Options_Exhibits'!W1057:W1061),"")</f>
        <v/>
      </c>
      <c r="X1061" s="3">
        <f>IF(ISNUMBER(AVERAGE('20250815_ETF_Options_Exhibits'!X1057:X1061)),AVERAGE('20250815_ETF_Options_Exhibits'!X1057:X1061),"")</f>
        <v/>
      </c>
      <c r="Y1061" s="3">
        <f>IF(ISNUMBER(AVERAGE('20250815_ETF_Options_Exhibits'!Y1057:Y1061)),AVERAGE('20250815_ETF_Options_Exhibits'!Y1057:Y1061),"")</f>
        <v/>
      </c>
      <c r="Z1061" s="3">
        <f>IF(ISNUMBER(AVERAGE('20250815_ETF_Options_Exhibits'!Z1057:Z1061)),AVERAGE('20250815_ETF_Options_Exhibits'!Z1057:Z1061),"")</f>
        <v/>
      </c>
      <c r="AA1061" s="3">
        <f>IF(ISNUMBER(AVERAGE('20250815_ETF_Options_Exhibits'!AA1057:AA1061)),AVERAGE('20250815_ETF_Options_Exhibits'!AA1057:AA1061),"")</f>
        <v/>
      </c>
    </row>
    <row r="1062">
      <c r="A1062" s="1" t="n">
        <v>43544</v>
      </c>
      <c r="B1062" s="3">
        <f>IF(ISNUMBER(AVERAGE('20250815_ETF_Options_Exhibits'!B1058:B1062)),AVERAGE('20250815_ETF_Options_Exhibits'!B1058:B1062),"")</f>
        <v/>
      </c>
      <c r="C1062" s="3">
        <f>IF(ISNUMBER(AVERAGE('20250815_ETF_Options_Exhibits'!C1058:C1062)),AVERAGE('20250815_ETF_Options_Exhibits'!C1058:C1062),"")</f>
        <v/>
      </c>
      <c r="D1062" s="3">
        <f>IF(ISNUMBER(AVERAGE('20250815_ETF_Options_Exhibits'!D1058:D1062)),AVERAGE('20250815_ETF_Options_Exhibits'!D1058:D1062),"")</f>
        <v/>
      </c>
      <c r="E1062" s="3">
        <f>IF(ISNUMBER(AVERAGE('20250815_ETF_Options_Exhibits'!E1058:E1062)),AVERAGE('20250815_ETF_Options_Exhibits'!E1058:E1062),"")</f>
        <v/>
      </c>
      <c r="F1062" s="3">
        <f>IF(ISNUMBER(AVERAGE('20250815_ETF_Options_Exhibits'!F1058:F1062)),AVERAGE('20250815_ETF_Options_Exhibits'!F1058:F1062),"")</f>
        <v/>
      </c>
      <c r="G1062" s="3">
        <f>IF(ISNUMBER(AVERAGE('20250815_ETF_Options_Exhibits'!G1058:G1062)),AVERAGE('20250815_ETF_Options_Exhibits'!G1058:G1062),"")</f>
        <v/>
      </c>
      <c r="H1062" s="3">
        <f>IF(ISNUMBER(AVERAGE('20250815_ETF_Options_Exhibits'!H1058:H1062)),AVERAGE('20250815_ETF_Options_Exhibits'!H1058:H1062),"")</f>
        <v/>
      </c>
      <c r="I1062" s="3">
        <f>IF(ISNUMBER(AVERAGE('20250815_ETF_Options_Exhibits'!I1058:I1062)),AVERAGE('20250815_ETF_Options_Exhibits'!I1058:I1062),"")</f>
        <v/>
      </c>
      <c r="J1062" s="3">
        <f>IF(ISNUMBER(AVERAGE('20250815_ETF_Options_Exhibits'!J1058:J1062)),AVERAGE('20250815_ETF_Options_Exhibits'!J1058:J1062),"")</f>
        <v/>
      </c>
      <c r="K1062" s="3">
        <f>IF(ISNUMBER(AVERAGE('20250815_ETF_Options_Exhibits'!K1058:K1062)),AVERAGE('20250815_ETF_Options_Exhibits'!K1058:K1062),"")</f>
        <v/>
      </c>
      <c r="L1062" s="3">
        <f>IF(ISNUMBER(AVERAGE('20250815_ETF_Options_Exhibits'!L1058:L1062)),AVERAGE('20250815_ETF_Options_Exhibits'!L1058:L1062),"")</f>
        <v/>
      </c>
      <c r="M1062" s="3">
        <f>IF(ISNUMBER(AVERAGE('20250815_ETF_Options_Exhibits'!M1058:M1062)),AVERAGE('20250815_ETF_Options_Exhibits'!M1058:M1062),"")</f>
        <v/>
      </c>
      <c r="N1062" s="3">
        <f>IF(ISNUMBER(AVERAGE('20250815_ETF_Options_Exhibits'!N1058:N1062)),AVERAGE('20250815_ETF_Options_Exhibits'!N1058:N1062),"")</f>
        <v/>
      </c>
      <c r="O1062" s="3">
        <f>IF(ISNUMBER(AVERAGE('20250815_ETF_Options_Exhibits'!O1058:O1062)),AVERAGE('20250815_ETF_Options_Exhibits'!O1058:O1062),"")</f>
        <v/>
      </c>
      <c r="P1062" s="3">
        <f>IF(ISNUMBER(AVERAGE('20250815_ETF_Options_Exhibits'!P1058:P1062)),AVERAGE('20250815_ETF_Options_Exhibits'!P1058:P1062),"")</f>
        <v/>
      </c>
      <c r="Q1062" s="3">
        <f>IF(ISNUMBER(AVERAGE('20250815_ETF_Options_Exhibits'!Q1058:Q1062)),AVERAGE('20250815_ETF_Options_Exhibits'!Q1058:Q1062),"")</f>
        <v/>
      </c>
      <c r="R1062" s="3">
        <f>IF(ISNUMBER(AVERAGE('20250815_ETF_Options_Exhibits'!R1058:R1062)),AVERAGE('20250815_ETF_Options_Exhibits'!R1058:R1062),"")</f>
        <v/>
      </c>
      <c r="S1062" s="3">
        <f>IF(ISNUMBER(AVERAGE('20250815_ETF_Options_Exhibits'!S1058:S1062)),AVERAGE('20250815_ETF_Options_Exhibits'!S1058:S1062),"")</f>
        <v/>
      </c>
      <c r="T1062" s="3">
        <f>IF(ISNUMBER(AVERAGE('20250815_ETF_Options_Exhibits'!T1058:T1062)),AVERAGE('20250815_ETF_Options_Exhibits'!T1058:T1062),"")</f>
        <v/>
      </c>
      <c r="U1062" s="3">
        <f>IF(ISNUMBER(AVERAGE('20250815_ETF_Options_Exhibits'!U1058:U1062)),AVERAGE('20250815_ETF_Options_Exhibits'!U1058:U1062),"")</f>
        <v/>
      </c>
      <c r="V1062" s="3">
        <f>IF(ISNUMBER(AVERAGE('20250815_ETF_Options_Exhibits'!V1058:V1062)),AVERAGE('20250815_ETF_Options_Exhibits'!V1058:V1062),"")</f>
        <v/>
      </c>
      <c r="W1062" s="3">
        <f>IF(ISNUMBER(AVERAGE('20250815_ETF_Options_Exhibits'!W1058:W1062)),AVERAGE('20250815_ETF_Options_Exhibits'!W1058:W1062),"")</f>
        <v/>
      </c>
      <c r="X1062" s="3">
        <f>IF(ISNUMBER(AVERAGE('20250815_ETF_Options_Exhibits'!X1058:X1062)),AVERAGE('20250815_ETF_Options_Exhibits'!X1058:X1062),"")</f>
        <v/>
      </c>
      <c r="Y1062" s="3">
        <f>IF(ISNUMBER(AVERAGE('20250815_ETF_Options_Exhibits'!Y1058:Y1062)),AVERAGE('20250815_ETF_Options_Exhibits'!Y1058:Y1062),"")</f>
        <v/>
      </c>
      <c r="Z1062" s="3">
        <f>IF(ISNUMBER(AVERAGE('20250815_ETF_Options_Exhibits'!Z1058:Z1062)),AVERAGE('20250815_ETF_Options_Exhibits'!Z1058:Z1062),"")</f>
        <v/>
      </c>
      <c r="AA1062" s="3">
        <f>IF(ISNUMBER(AVERAGE('20250815_ETF_Options_Exhibits'!AA1058:AA1062)),AVERAGE('20250815_ETF_Options_Exhibits'!AA1058:AA1062),"")</f>
        <v/>
      </c>
    </row>
    <row r="1063">
      <c r="A1063" s="1" t="n">
        <v>43545</v>
      </c>
      <c r="B1063" s="3">
        <f>IF(ISNUMBER(AVERAGE('20250815_ETF_Options_Exhibits'!B1059:B1063)),AVERAGE('20250815_ETF_Options_Exhibits'!B1059:B1063),"")</f>
        <v/>
      </c>
      <c r="C1063" s="3">
        <f>IF(ISNUMBER(AVERAGE('20250815_ETF_Options_Exhibits'!C1059:C1063)),AVERAGE('20250815_ETF_Options_Exhibits'!C1059:C1063),"")</f>
        <v/>
      </c>
      <c r="D1063" s="3">
        <f>IF(ISNUMBER(AVERAGE('20250815_ETF_Options_Exhibits'!D1059:D1063)),AVERAGE('20250815_ETF_Options_Exhibits'!D1059:D1063),"")</f>
        <v/>
      </c>
      <c r="E1063" s="3">
        <f>IF(ISNUMBER(AVERAGE('20250815_ETF_Options_Exhibits'!E1059:E1063)),AVERAGE('20250815_ETF_Options_Exhibits'!E1059:E1063),"")</f>
        <v/>
      </c>
      <c r="F1063" s="3">
        <f>IF(ISNUMBER(AVERAGE('20250815_ETF_Options_Exhibits'!F1059:F1063)),AVERAGE('20250815_ETF_Options_Exhibits'!F1059:F1063),"")</f>
        <v/>
      </c>
      <c r="G1063" s="3">
        <f>IF(ISNUMBER(AVERAGE('20250815_ETF_Options_Exhibits'!G1059:G1063)),AVERAGE('20250815_ETF_Options_Exhibits'!G1059:G1063),"")</f>
        <v/>
      </c>
      <c r="H1063" s="3">
        <f>IF(ISNUMBER(AVERAGE('20250815_ETF_Options_Exhibits'!H1059:H1063)),AVERAGE('20250815_ETF_Options_Exhibits'!H1059:H1063),"")</f>
        <v/>
      </c>
      <c r="I1063" s="3">
        <f>IF(ISNUMBER(AVERAGE('20250815_ETF_Options_Exhibits'!I1059:I1063)),AVERAGE('20250815_ETF_Options_Exhibits'!I1059:I1063),"")</f>
        <v/>
      </c>
      <c r="J1063" s="3">
        <f>IF(ISNUMBER(AVERAGE('20250815_ETF_Options_Exhibits'!J1059:J1063)),AVERAGE('20250815_ETF_Options_Exhibits'!J1059:J1063),"")</f>
        <v/>
      </c>
      <c r="K1063" s="3">
        <f>IF(ISNUMBER(AVERAGE('20250815_ETF_Options_Exhibits'!K1059:K1063)),AVERAGE('20250815_ETF_Options_Exhibits'!K1059:K1063),"")</f>
        <v/>
      </c>
      <c r="L1063" s="3">
        <f>IF(ISNUMBER(AVERAGE('20250815_ETF_Options_Exhibits'!L1059:L1063)),AVERAGE('20250815_ETF_Options_Exhibits'!L1059:L1063),"")</f>
        <v/>
      </c>
      <c r="M1063" s="3">
        <f>IF(ISNUMBER(AVERAGE('20250815_ETF_Options_Exhibits'!M1059:M1063)),AVERAGE('20250815_ETF_Options_Exhibits'!M1059:M1063),"")</f>
        <v/>
      </c>
      <c r="N1063" s="3">
        <f>IF(ISNUMBER(AVERAGE('20250815_ETF_Options_Exhibits'!N1059:N1063)),AVERAGE('20250815_ETF_Options_Exhibits'!N1059:N1063),"")</f>
        <v/>
      </c>
      <c r="O1063" s="3">
        <f>IF(ISNUMBER(AVERAGE('20250815_ETF_Options_Exhibits'!O1059:O1063)),AVERAGE('20250815_ETF_Options_Exhibits'!O1059:O1063),"")</f>
        <v/>
      </c>
      <c r="P1063" s="3">
        <f>IF(ISNUMBER(AVERAGE('20250815_ETF_Options_Exhibits'!P1059:P1063)),AVERAGE('20250815_ETF_Options_Exhibits'!P1059:P1063),"")</f>
        <v/>
      </c>
      <c r="Q1063" s="3">
        <f>IF(ISNUMBER(AVERAGE('20250815_ETF_Options_Exhibits'!Q1059:Q1063)),AVERAGE('20250815_ETF_Options_Exhibits'!Q1059:Q1063),"")</f>
        <v/>
      </c>
      <c r="R1063" s="3">
        <f>IF(ISNUMBER(AVERAGE('20250815_ETF_Options_Exhibits'!R1059:R1063)),AVERAGE('20250815_ETF_Options_Exhibits'!R1059:R1063),"")</f>
        <v/>
      </c>
      <c r="S1063" s="3">
        <f>IF(ISNUMBER(AVERAGE('20250815_ETF_Options_Exhibits'!S1059:S1063)),AVERAGE('20250815_ETF_Options_Exhibits'!S1059:S1063),"")</f>
        <v/>
      </c>
      <c r="T1063" s="3">
        <f>IF(ISNUMBER(AVERAGE('20250815_ETF_Options_Exhibits'!T1059:T1063)),AVERAGE('20250815_ETF_Options_Exhibits'!T1059:T1063),"")</f>
        <v/>
      </c>
      <c r="U1063" s="3">
        <f>IF(ISNUMBER(AVERAGE('20250815_ETF_Options_Exhibits'!U1059:U1063)),AVERAGE('20250815_ETF_Options_Exhibits'!U1059:U1063),"")</f>
        <v/>
      </c>
      <c r="V1063" s="3">
        <f>IF(ISNUMBER(AVERAGE('20250815_ETF_Options_Exhibits'!V1059:V1063)),AVERAGE('20250815_ETF_Options_Exhibits'!V1059:V1063),"")</f>
        <v/>
      </c>
      <c r="W1063" s="3">
        <f>IF(ISNUMBER(AVERAGE('20250815_ETF_Options_Exhibits'!W1059:W1063)),AVERAGE('20250815_ETF_Options_Exhibits'!W1059:W1063),"")</f>
        <v/>
      </c>
      <c r="X1063" s="3">
        <f>IF(ISNUMBER(AVERAGE('20250815_ETF_Options_Exhibits'!X1059:X1063)),AVERAGE('20250815_ETF_Options_Exhibits'!X1059:X1063),"")</f>
        <v/>
      </c>
      <c r="Y1063" s="3">
        <f>IF(ISNUMBER(AVERAGE('20250815_ETF_Options_Exhibits'!Y1059:Y1063)),AVERAGE('20250815_ETF_Options_Exhibits'!Y1059:Y1063),"")</f>
        <v/>
      </c>
      <c r="Z1063" s="3">
        <f>IF(ISNUMBER(AVERAGE('20250815_ETF_Options_Exhibits'!Z1059:Z1063)),AVERAGE('20250815_ETF_Options_Exhibits'!Z1059:Z1063),"")</f>
        <v/>
      </c>
      <c r="AA1063" s="3">
        <f>IF(ISNUMBER(AVERAGE('20250815_ETF_Options_Exhibits'!AA1059:AA1063)),AVERAGE('20250815_ETF_Options_Exhibits'!AA1059:AA1063),"")</f>
        <v/>
      </c>
    </row>
    <row r="1064">
      <c r="A1064" s="1" t="n">
        <v>43546</v>
      </c>
      <c r="B1064" s="3">
        <f>IF(ISNUMBER(AVERAGE('20250815_ETF_Options_Exhibits'!B1060:B1064)),AVERAGE('20250815_ETF_Options_Exhibits'!B1060:B1064),"")</f>
        <v/>
      </c>
      <c r="C1064" s="3">
        <f>IF(ISNUMBER(AVERAGE('20250815_ETF_Options_Exhibits'!C1060:C1064)),AVERAGE('20250815_ETF_Options_Exhibits'!C1060:C1064),"")</f>
        <v/>
      </c>
      <c r="D1064" s="3">
        <f>IF(ISNUMBER(AVERAGE('20250815_ETF_Options_Exhibits'!D1060:D1064)),AVERAGE('20250815_ETF_Options_Exhibits'!D1060:D1064),"")</f>
        <v/>
      </c>
      <c r="E1064" s="3">
        <f>IF(ISNUMBER(AVERAGE('20250815_ETF_Options_Exhibits'!E1060:E1064)),AVERAGE('20250815_ETF_Options_Exhibits'!E1060:E1064),"")</f>
        <v/>
      </c>
      <c r="F1064" s="3">
        <f>IF(ISNUMBER(AVERAGE('20250815_ETF_Options_Exhibits'!F1060:F1064)),AVERAGE('20250815_ETF_Options_Exhibits'!F1060:F1064),"")</f>
        <v/>
      </c>
      <c r="G1064" s="3">
        <f>IF(ISNUMBER(AVERAGE('20250815_ETF_Options_Exhibits'!G1060:G1064)),AVERAGE('20250815_ETF_Options_Exhibits'!G1060:G1064),"")</f>
        <v/>
      </c>
      <c r="H1064" s="3">
        <f>IF(ISNUMBER(AVERAGE('20250815_ETF_Options_Exhibits'!H1060:H1064)),AVERAGE('20250815_ETF_Options_Exhibits'!H1060:H1064),"")</f>
        <v/>
      </c>
      <c r="I1064" s="3">
        <f>IF(ISNUMBER(AVERAGE('20250815_ETF_Options_Exhibits'!I1060:I1064)),AVERAGE('20250815_ETF_Options_Exhibits'!I1060:I1064),"")</f>
        <v/>
      </c>
      <c r="J1064" s="3">
        <f>IF(ISNUMBER(AVERAGE('20250815_ETF_Options_Exhibits'!J1060:J1064)),AVERAGE('20250815_ETF_Options_Exhibits'!J1060:J1064),"")</f>
        <v/>
      </c>
      <c r="K1064" s="3">
        <f>IF(ISNUMBER(AVERAGE('20250815_ETF_Options_Exhibits'!K1060:K1064)),AVERAGE('20250815_ETF_Options_Exhibits'!K1060:K1064),"")</f>
        <v/>
      </c>
      <c r="L1064" s="3">
        <f>IF(ISNUMBER(AVERAGE('20250815_ETF_Options_Exhibits'!L1060:L1064)),AVERAGE('20250815_ETF_Options_Exhibits'!L1060:L1064),"")</f>
        <v/>
      </c>
      <c r="M1064" s="3">
        <f>IF(ISNUMBER(AVERAGE('20250815_ETF_Options_Exhibits'!M1060:M1064)),AVERAGE('20250815_ETF_Options_Exhibits'!M1060:M1064),"")</f>
        <v/>
      </c>
      <c r="N1064" s="3">
        <f>IF(ISNUMBER(AVERAGE('20250815_ETF_Options_Exhibits'!N1060:N1064)),AVERAGE('20250815_ETF_Options_Exhibits'!N1060:N1064),"")</f>
        <v/>
      </c>
      <c r="O1064" s="3">
        <f>IF(ISNUMBER(AVERAGE('20250815_ETF_Options_Exhibits'!O1060:O1064)),AVERAGE('20250815_ETF_Options_Exhibits'!O1060:O1064),"")</f>
        <v/>
      </c>
      <c r="P1064" s="3">
        <f>IF(ISNUMBER(AVERAGE('20250815_ETF_Options_Exhibits'!P1060:P1064)),AVERAGE('20250815_ETF_Options_Exhibits'!P1060:P1064),"")</f>
        <v/>
      </c>
      <c r="Q1064" s="3">
        <f>IF(ISNUMBER(AVERAGE('20250815_ETF_Options_Exhibits'!Q1060:Q1064)),AVERAGE('20250815_ETF_Options_Exhibits'!Q1060:Q1064),"")</f>
        <v/>
      </c>
      <c r="R1064" s="3">
        <f>IF(ISNUMBER(AVERAGE('20250815_ETF_Options_Exhibits'!R1060:R1064)),AVERAGE('20250815_ETF_Options_Exhibits'!R1060:R1064),"")</f>
        <v/>
      </c>
      <c r="S1064" s="3">
        <f>IF(ISNUMBER(AVERAGE('20250815_ETF_Options_Exhibits'!S1060:S1064)),AVERAGE('20250815_ETF_Options_Exhibits'!S1060:S1064),"")</f>
        <v/>
      </c>
      <c r="T1064" s="3">
        <f>IF(ISNUMBER(AVERAGE('20250815_ETF_Options_Exhibits'!T1060:T1064)),AVERAGE('20250815_ETF_Options_Exhibits'!T1060:T1064),"")</f>
        <v/>
      </c>
      <c r="U1064" s="3">
        <f>IF(ISNUMBER(AVERAGE('20250815_ETF_Options_Exhibits'!U1060:U1064)),AVERAGE('20250815_ETF_Options_Exhibits'!U1060:U1064),"")</f>
        <v/>
      </c>
      <c r="V1064" s="3">
        <f>IF(ISNUMBER(AVERAGE('20250815_ETF_Options_Exhibits'!V1060:V1064)),AVERAGE('20250815_ETF_Options_Exhibits'!V1060:V1064),"")</f>
        <v/>
      </c>
      <c r="W1064" s="3">
        <f>IF(ISNUMBER(AVERAGE('20250815_ETF_Options_Exhibits'!W1060:W1064)),AVERAGE('20250815_ETF_Options_Exhibits'!W1060:W1064),"")</f>
        <v/>
      </c>
      <c r="X1064" s="3">
        <f>IF(ISNUMBER(AVERAGE('20250815_ETF_Options_Exhibits'!X1060:X1064)),AVERAGE('20250815_ETF_Options_Exhibits'!X1060:X1064),"")</f>
        <v/>
      </c>
      <c r="Y1064" s="3">
        <f>IF(ISNUMBER(AVERAGE('20250815_ETF_Options_Exhibits'!Y1060:Y1064)),AVERAGE('20250815_ETF_Options_Exhibits'!Y1060:Y1064),"")</f>
        <v/>
      </c>
      <c r="Z1064" s="3">
        <f>IF(ISNUMBER(AVERAGE('20250815_ETF_Options_Exhibits'!Z1060:Z1064)),AVERAGE('20250815_ETF_Options_Exhibits'!Z1060:Z1064),"")</f>
        <v/>
      </c>
      <c r="AA1064" s="3">
        <f>IF(ISNUMBER(AVERAGE('20250815_ETF_Options_Exhibits'!AA1060:AA1064)),AVERAGE('20250815_ETF_Options_Exhibits'!AA1060:AA1064),"")</f>
        <v/>
      </c>
    </row>
    <row r="1065">
      <c r="A1065" s="1" t="n">
        <v>43549</v>
      </c>
      <c r="B1065" s="3">
        <f>IF(ISNUMBER(AVERAGE('20250815_ETF_Options_Exhibits'!B1061:B1065)),AVERAGE('20250815_ETF_Options_Exhibits'!B1061:B1065),"")</f>
        <v/>
      </c>
      <c r="C1065" s="3">
        <f>IF(ISNUMBER(AVERAGE('20250815_ETF_Options_Exhibits'!C1061:C1065)),AVERAGE('20250815_ETF_Options_Exhibits'!C1061:C1065),"")</f>
        <v/>
      </c>
      <c r="D1065" s="3">
        <f>IF(ISNUMBER(AVERAGE('20250815_ETF_Options_Exhibits'!D1061:D1065)),AVERAGE('20250815_ETF_Options_Exhibits'!D1061:D1065),"")</f>
        <v/>
      </c>
      <c r="E1065" s="3">
        <f>IF(ISNUMBER(AVERAGE('20250815_ETF_Options_Exhibits'!E1061:E1065)),AVERAGE('20250815_ETF_Options_Exhibits'!E1061:E1065),"")</f>
        <v/>
      </c>
      <c r="F1065" s="3">
        <f>IF(ISNUMBER(AVERAGE('20250815_ETF_Options_Exhibits'!F1061:F1065)),AVERAGE('20250815_ETF_Options_Exhibits'!F1061:F1065),"")</f>
        <v/>
      </c>
      <c r="G1065" s="3">
        <f>IF(ISNUMBER(AVERAGE('20250815_ETF_Options_Exhibits'!G1061:G1065)),AVERAGE('20250815_ETF_Options_Exhibits'!G1061:G1065),"")</f>
        <v/>
      </c>
      <c r="H1065" s="3">
        <f>IF(ISNUMBER(AVERAGE('20250815_ETF_Options_Exhibits'!H1061:H1065)),AVERAGE('20250815_ETF_Options_Exhibits'!H1061:H1065),"")</f>
        <v/>
      </c>
      <c r="I1065" s="3">
        <f>IF(ISNUMBER(AVERAGE('20250815_ETF_Options_Exhibits'!I1061:I1065)),AVERAGE('20250815_ETF_Options_Exhibits'!I1061:I1065),"")</f>
        <v/>
      </c>
      <c r="J1065" s="3">
        <f>IF(ISNUMBER(AVERAGE('20250815_ETF_Options_Exhibits'!J1061:J1065)),AVERAGE('20250815_ETF_Options_Exhibits'!J1061:J1065),"")</f>
        <v/>
      </c>
      <c r="K1065" s="3">
        <f>IF(ISNUMBER(AVERAGE('20250815_ETF_Options_Exhibits'!K1061:K1065)),AVERAGE('20250815_ETF_Options_Exhibits'!K1061:K1065),"")</f>
        <v/>
      </c>
      <c r="L1065" s="3">
        <f>IF(ISNUMBER(AVERAGE('20250815_ETF_Options_Exhibits'!L1061:L1065)),AVERAGE('20250815_ETF_Options_Exhibits'!L1061:L1065),"")</f>
        <v/>
      </c>
      <c r="M1065" s="3">
        <f>IF(ISNUMBER(AVERAGE('20250815_ETF_Options_Exhibits'!M1061:M1065)),AVERAGE('20250815_ETF_Options_Exhibits'!M1061:M1065),"")</f>
        <v/>
      </c>
      <c r="N1065" s="3">
        <f>IF(ISNUMBER(AVERAGE('20250815_ETF_Options_Exhibits'!N1061:N1065)),AVERAGE('20250815_ETF_Options_Exhibits'!N1061:N1065),"")</f>
        <v/>
      </c>
      <c r="O1065" s="3">
        <f>IF(ISNUMBER(AVERAGE('20250815_ETF_Options_Exhibits'!O1061:O1065)),AVERAGE('20250815_ETF_Options_Exhibits'!O1061:O1065),"")</f>
        <v/>
      </c>
      <c r="P1065" s="3">
        <f>IF(ISNUMBER(AVERAGE('20250815_ETF_Options_Exhibits'!P1061:P1065)),AVERAGE('20250815_ETF_Options_Exhibits'!P1061:P1065),"")</f>
        <v/>
      </c>
      <c r="Q1065" s="3">
        <f>IF(ISNUMBER(AVERAGE('20250815_ETF_Options_Exhibits'!Q1061:Q1065)),AVERAGE('20250815_ETF_Options_Exhibits'!Q1061:Q1065),"")</f>
        <v/>
      </c>
      <c r="R1065" s="3">
        <f>IF(ISNUMBER(AVERAGE('20250815_ETF_Options_Exhibits'!R1061:R1065)),AVERAGE('20250815_ETF_Options_Exhibits'!R1061:R1065),"")</f>
        <v/>
      </c>
      <c r="S1065" s="3">
        <f>IF(ISNUMBER(AVERAGE('20250815_ETF_Options_Exhibits'!S1061:S1065)),AVERAGE('20250815_ETF_Options_Exhibits'!S1061:S1065),"")</f>
        <v/>
      </c>
      <c r="T1065" s="3">
        <f>IF(ISNUMBER(AVERAGE('20250815_ETF_Options_Exhibits'!T1061:T1065)),AVERAGE('20250815_ETF_Options_Exhibits'!T1061:T1065),"")</f>
        <v/>
      </c>
      <c r="U1065" s="3">
        <f>IF(ISNUMBER(AVERAGE('20250815_ETF_Options_Exhibits'!U1061:U1065)),AVERAGE('20250815_ETF_Options_Exhibits'!U1061:U1065),"")</f>
        <v/>
      </c>
      <c r="V1065" s="3">
        <f>IF(ISNUMBER(AVERAGE('20250815_ETF_Options_Exhibits'!V1061:V1065)),AVERAGE('20250815_ETF_Options_Exhibits'!V1061:V1065),"")</f>
        <v/>
      </c>
      <c r="W1065" s="3">
        <f>IF(ISNUMBER(AVERAGE('20250815_ETF_Options_Exhibits'!W1061:W1065)),AVERAGE('20250815_ETF_Options_Exhibits'!W1061:W1065),"")</f>
        <v/>
      </c>
      <c r="X1065" s="3">
        <f>IF(ISNUMBER(AVERAGE('20250815_ETF_Options_Exhibits'!X1061:X1065)),AVERAGE('20250815_ETF_Options_Exhibits'!X1061:X1065),"")</f>
        <v/>
      </c>
      <c r="Y1065" s="3">
        <f>IF(ISNUMBER(AVERAGE('20250815_ETF_Options_Exhibits'!Y1061:Y1065)),AVERAGE('20250815_ETF_Options_Exhibits'!Y1061:Y1065),"")</f>
        <v/>
      </c>
      <c r="Z1065" s="3">
        <f>IF(ISNUMBER(AVERAGE('20250815_ETF_Options_Exhibits'!Z1061:Z1065)),AVERAGE('20250815_ETF_Options_Exhibits'!Z1061:Z1065),"")</f>
        <v/>
      </c>
      <c r="AA1065" s="3">
        <f>IF(ISNUMBER(AVERAGE('20250815_ETF_Options_Exhibits'!AA1061:AA1065)),AVERAGE('20250815_ETF_Options_Exhibits'!AA1061:AA1065),"")</f>
        <v/>
      </c>
    </row>
    <row r="1066">
      <c r="A1066" s="1" t="n">
        <v>43550</v>
      </c>
      <c r="B1066" s="3">
        <f>IF(ISNUMBER(AVERAGE('20250815_ETF_Options_Exhibits'!B1062:B1066)),AVERAGE('20250815_ETF_Options_Exhibits'!B1062:B1066),"")</f>
        <v/>
      </c>
      <c r="C1066" s="3">
        <f>IF(ISNUMBER(AVERAGE('20250815_ETF_Options_Exhibits'!C1062:C1066)),AVERAGE('20250815_ETF_Options_Exhibits'!C1062:C1066),"")</f>
        <v/>
      </c>
      <c r="D1066" s="3">
        <f>IF(ISNUMBER(AVERAGE('20250815_ETF_Options_Exhibits'!D1062:D1066)),AVERAGE('20250815_ETF_Options_Exhibits'!D1062:D1066),"")</f>
        <v/>
      </c>
      <c r="E1066" s="3">
        <f>IF(ISNUMBER(AVERAGE('20250815_ETF_Options_Exhibits'!E1062:E1066)),AVERAGE('20250815_ETF_Options_Exhibits'!E1062:E1066),"")</f>
        <v/>
      </c>
      <c r="F1066" s="3">
        <f>IF(ISNUMBER(AVERAGE('20250815_ETF_Options_Exhibits'!F1062:F1066)),AVERAGE('20250815_ETF_Options_Exhibits'!F1062:F1066),"")</f>
        <v/>
      </c>
      <c r="G1066" s="3">
        <f>IF(ISNUMBER(AVERAGE('20250815_ETF_Options_Exhibits'!G1062:G1066)),AVERAGE('20250815_ETF_Options_Exhibits'!G1062:G1066),"")</f>
        <v/>
      </c>
      <c r="H1066" s="3">
        <f>IF(ISNUMBER(AVERAGE('20250815_ETF_Options_Exhibits'!H1062:H1066)),AVERAGE('20250815_ETF_Options_Exhibits'!H1062:H1066),"")</f>
        <v/>
      </c>
      <c r="I1066" s="3">
        <f>IF(ISNUMBER(AVERAGE('20250815_ETF_Options_Exhibits'!I1062:I1066)),AVERAGE('20250815_ETF_Options_Exhibits'!I1062:I1066),"")</f>
        <v/>
      </c>
      <c r="J1066" s="3">
        <f>IF(ISNUMBER(AVERAGE('20250815_ETF_Options_Exhibits'!J1062:J1066)),AVERAGE('20250815_ETF_Options_Exhibits'!J1062:J1066),"")</f>
        <v/>
      </c>
      <c r="K1066" s="3">
        <f>IF(ISNUMBER(AVERAGE('20250815_ETF_Options_Exhibits'!K1062:K1066)),AVERAGE('20250815_ETF_Options_Exhibits'!K1062:K1066),"")</f>
        <v/>
      </c>
      <c r="L1066" s="3">
        <f>IF(ISNUMBER(AVERAGE('20250815_ETF_Options_Exhibits'!L1062:L1066)),AVERAGE('20250815_ETF_Options_Exhibits'!L1062:L1066),"")</f>
        <v/>
      </c>
      <c r="M1066" s="3">
        <f>IF(ISNUMBER(AVERAGE('20250815_ETF_Options_Exhibits'!M1062:M1066)),AVERAGE('20250815_ETF_Options_Exhibits'!M1062:M1066),"")</f>
        <v/>
      </c>
      <c r="N1066" s="3">
        <f>IF(ISNUMBER(AVERAGE('20250815_ETF_Options_Exhibits'!N1062:N1066)),AVERAGE('20250815_ETF_Options_Exhibits'!N1062:N1066),"")</f>
        <v/>
      </c>
      <c r="O1066" s="3">
        <f>IF(ISNUMBER(AVERAGE('20250815_ETF_Options_Exhibits'!O1062:O1066)),AVERAGE('20250815_ETF_Options_Exhibits'!O1062:O1066),"")</f>
        <v/>
      </c>
      <c r="P1066" s="3">
        <f>IF(ISNUMBER(AVERAGE('20250815_ETF_Options_Exhibits'!P1062:P1066)),AVERAGE('20250815_ETF_Options_Exhibits'!P1062:P1066),"")</f>
        <v/>
      </c>
      <c r="Q1066" s="3">
        <f>IF(ISNUMBER(AVERAGE('20250815_ETF_Options_Exhibits'!Q1062:Q1066)),AVERAGE('20250815_ETF_Options_Exhibits'!Q1062:Q1066),"")</f>
        <v/>
      </c>
      <c r="R1066" s="3">
        <f>IF(ISNUMBER(AVERAGE('20250815_ETF_Options_Exhibits'!R1062:R1066)),AVERAGE('20250815_ETF_Options_Exhibits'!R1062:R1066),"")</f>
        <v/>
      </c>
      <c r="S1066" s="3">
        <f>IF(ISNUMBER(AVERAGE('20250815_ETF_Options_Exhibits'!S1062:S1066)),AVERAGE('20250815_ETF_Options_Exhibits'!S1062:S1066),"")</f>
        <v/>
      </c>
      <c r="T1066" s="3">
        <f>IF(ISNUMBER(AVERAGE('20250815_ETF_Options_Exhibits'!T1062:T1066)),AVERAGE('20250815_ETF_Options_Exhibits'!T1062:T1066),"")</f>
        <v/>
      </c>
      <c r="U1066" s="3">
        <f>IF(ISNUMBER(AVERAGE('20250815_ETF_Options_Exhibits'!U1062:U1066)),AVERAGE('20250815_ETF_Options_Exhibits'!U1062:U1066),"")</f>
        <v/>
      </c>
      <c r="V1066" s="3">
        <f>IF(ISNUMBER(AVERAGE('20250815_ETF_Options_Exhibits'!V1062:V1066)),AVERAGE('20250815_ETF_Options_Exhibits'!V1062:V1066),"")</f>
        <v/>
      </c>
      <c r="W1066" s="3">
        <f>IF(ISNUMBER(AVERAGE('20250815_ETF_Options_Exhibits'!W1062:W1066)),AVERAGE('20250815_ETF_Options_Exhibits'!W1062:W1066),"")</f>
        <v/>
      </c>
      <c r="X1066" s="3">
        <f>IF(ISNUMBER(AVERAGE('20250815_ETF_Options_Exhibits'!X1062:X1066)),AVERAGE('20250815_ETF_Options_Exhibits'!X1062:X1066),"")</f>
        <v/>
      </c>
      <c r="Y1066" s="3">
        <f>IF(ISNUMBER(AVERAGE('20250815_ETF_Options_Exhibits'!Y1062:Y1066)),AVERAGE('20250815_ETF_Options_Exhibits'!Y1062:Y1066),"")</f>
        <v/>
      </c>
      <c r="Z1066" s="3">
        <f>IF(ISNUMBER(AVERAGE('20250815_ETF_Options_Exhibits'!Z1062:Z1066)),AVERAGE('20250815_ETF_Options_Exhibits'!Z1062:Z1066),"")</f>
        <v/>
      </c>
      <c r="AA1066" s="3">
        <f>IF(ISNUMBER(AVERAGE('20250815_ETF_Options_Exhibits'!AA1062:AA1066)),AVERAGE('20250815_ETF_Options_Exhibits'!AA1062:AA1066),"")</f>
        <v/>
      </c>
    </row>
    <row r="1067">
      <c r="A1067" s="1" t="n">
        <v>43551</v>
      </c>
      <c r="B1067" s="3">
        <f>IF(ISNUMBER(AVERAGE('20250815_ETF_Options_Exhibits'!B1063:B1067)),AVERAGE('20250815_ETF_Options_Exhibits'!B1063:B1067),"")</f>
        <v/>
      </c>
      <c r="C1067" s="3">
        <f>IF(ISNUMBER(AVERAGE('20250815_ETF_Options_Exhibits'!C1063:C1067)),AVERAGE('20250815_ETF_Options_Exhibits'!C1063:C1067),"")</f>
        <v/>
      </c>
      <c r="D1067" s="3">
        <f>IF(ISNUMBER(AVERAGE('20250815_ETF_Options_Exhibits'!D1063:D1067)),AVERAGE('20250815_ETF_Options_Exhibits'!D1063:D1067),"")</f>
        <v/>
      </c>
      <c r="E1067" s="3">
        <f>IF(ISNUMBER(AVERAGE('20250815_ETF_Options_Exhibits'!E1063:E1067)),AVERAGE('20250815_ETF_Options_Exhibits'!E1063:E1067),"")</f>
        <v/>
      </c>
      <c r="F1067" s="3">
        <f>IF(ISNUMBER(AVERAGE('20250815_ETF_Options_Exhibits'!F1063:F1067)),AVERAGE('20250815_ETF_Options_Exhibits'!F1063:F1067),"")</f>
        <v/>
      </c>
      <c r="G1067" s="3">
        <f>IF(ISNUMBER(AVERAGE('20250815_ETF_Options_Exhibits'!G1063:G1067)),AVERAGE('20250815_ETF_Options_Exhibits'!G1063:G1067),"")</f>
        <v/>
      </c>
      <c r="H1067" s="3">
        <f>IF(ISNUMBER(AVERAGE('20250815_ETF_Options_Exhibits'!H1063:H1067)),AVERAGE('20250815_ETF_Options_Exhibits'!H1063:H1067),"")</f>
        <v/>
      </c>
      <c r="I1067" s="3">
        <f>IF(ISNUMBER(AVERAGE('20250815_ETF_Options_Exhibits'!I1063:I1067)),AVERAGE('20250815_ETF_Options_Exhibits'!I1063:I1067),"")</f>
        <v/>
      </c>
      <c r="J1067" s="3">
        <f>IF(ISNUMBER(AVERAGE('20250815_ETF_Options_Exhibits'!J1063:J1067)),AVERAGE('20250815_ETF_Options_Exhibits'!J1063:J1067),"")</f>
        <v/>
      </c>
      <c r="K1067" s="3">
        <f>IF(ISNUMBER(AVERAGE('20250815_ETF_Options_Exhibits'!K1063:K1067)),AVERAGE('20250815_ETF_Options_Exhibits'!K1063:K1067),"")</f>
        <v/>
      </c>
      <c r="L1067" s="3">
        <f>IF(ISNUMBER(AVERAGE('20250815_ETF_Options_Exhibits'!L1063:L1067)),AVERAGE('20250815_ETF_Options_Exhibits'!L1063:L1067),"")</f>
        <v/>
      </c>
      <c r="M1067" s="3">
        <f>IF(ISNUMBER(AVERAGE('20250815_ETF_Options_Exhibits'!M1063:M1067)),AVERAGE('20250815_ETF_Options_Exhibits'!M1063:M1067),"")</f>
        <v/>
      </c>
      <c r="N1067" s="3">
        <f>IF(ISNUMBER(AVERAGE('20250815_ETF_Options_Exhibits'!N1063:N1067)),AVERAGE('20250815_ETF_Options_Exhibits'!N1063:N1067),"")</f>
        <v/>
      </c>
      <c r="O1067" s="3">
        <f>IF(ISNUMBER(AVERAGE('20250815_ETF_Options_Exhibits'!O1063:O1067)),AVERAGE('20250815_ETF_Options_Exhibits'!O1063:O1067),"")</f>
        <v/>
      </c>
      <c r="P1067" s="3">
        <f>IF(ISNUMBER(AVERAGE('20250815_ETF_Options_Exhibits'!P1063:P1067)),AVERAGE('20250815_ETF_Options_Exhibits'!P1063:P1067),"")</f>
        <v/>
      </c>
      <c r="Q1067" s="3">
        <f>IF(ISNUMBER(AVERAGE('20250815_ETF_Options_Exhibits'!Q1063:Q1067)),AVERAGE('20250815_ETF_Options_Exhibits'!Q1063:Q1067),"")</f>
        <v/>
      </c>
      <c r="R1067" s="3">
        <f>IF(ISNUMBER(AVERAGE('20250815_ETF_Options_Exhibits'!R1063:R1067)),AVERAGE('20250815_ETF_Options_Exhibits'!R1063:R1067),"")</f>
        <v/>
      </c>
      <c r="S1067" s="3">
        <f>IF(ISNUMBER(AVERAGE('20250815_ETF_Options_Exhibits'!S1063:S1067)),AVERAGE('20250815_ETF_Options_Exhibits'!S1063:S1067),"")</f>
        <v/>
      </c>
      <c r="T1067" s="3">
        <f>IF(ISNUMBER(AVERAGE('20250815_ETF_Options_Exhibits'!T1063:T1067)),AVERAGE('20250815_ETF_Options_Exhibits'!T1063:T1067),"")</f>
        <v/>
      </c>
      <c r="U1067" s="3">
        <f>IF(ISNUMBER(AVERAGE('20250815_ETF_Options_Exhibits'!U1063:U1067)),AVERAGE('20250815_ETF_Options_Exhibits'!U1063:U1067),"")</f>
        <v/>
      </c>
      <c r="V1067" s="3">
        <f>IF(ISNUMBER(AVERAGE('20250815_ETF_Options_Exhibits'!V1063:V1067)),AVERAGE('20250815_ETF_Options_Exhibits'!V1063:V1067),"")</f>
        <v/>
      </c>
      <c r="W1067" s="3">
        <f>IF(ISNUMBER(AVERAGE('20250815_ETF_Options_Exhibits'!W1063:W1067)),AVERAGE('20250815_ETF_Options_Exhibits'!W1063:W1067),"")</f>
        <v/>
      </c>
      <c r="X1067" s="3">
        <f>IF(ISNUMBER(AVERAGE('20250815_ETF_Options_Exhibits'!X1063:X1067)),AVERAGE('20250815_ETF_Options_Exhibits'!X1063:X1067),"")</f>
        <v/>
      </c>
      <c r="Y1067" s="3">
        <f>IF(ISNUMBER(AVERAGE('20250815_ETF_Options_Exhibits'!Y1063:Y1067)),AVERAGE('20250815_ETF_Options_Exhibits'!Y1063:Y1067),"")</f>
        <v/>
      </c>
      <c r="Z1067" s="3">
        <f>IF(ISNUMBER(AVERAGE('20250815_ETF_Options_Exhibits'!Z1063:Z1067)),AVERAGE('20250815_ETF_Options_Exhibits'!Z1063:Z1067),"")</f>
        <v/>
      </c>
      <c r="AA1067" s="3">
        <f>IF(ISNUMBER(AVERAGE('20250815_ETF_Options_Exhibits'!AA1063:AA1067)),AVERAGE('20250815_ETF_Options_Exhibits'!AA1063:AA1067),"")</f>
        <v/>
      </c>
    </row>
    <row r="1068">
      <c r="A1068" s="1" t="n">
        <v>43552</v>
      </c>
      <c r="B1068" s="3">
        <f>IF(ISNUMBER(AVERAGE('20250815_ETF_Options_Exhibits'!B1064:B1068)),AVERAGE('20250815_ETF_Options_Exhibits'!B1064:B1068),"")</f>
        <v/>
      </c>
      <c r="C1068" s="3">
        <f>IF(ISNUMBER(AVERAGE('20250815_ETF_Options_Exhibits'!C1064:C1068)),AVERAGE('20250815_ETF_Options_Exhibits'!C1064:C1068),"")</f>
        <v/>
      </c>
      <c r="D1068" s="3">
        <f>IF(ISNUMBER(AVERAGE('20250815_ETF_Options_Exhibits'!D1064:D1068)),AVERAGE('20250815_ETF_Options_Exhibits'!D1064:D1068),"")</f>
        <v/>
      </c>
      <c r="E1068" s="3">
        <f>IF(ISNUMBER(AVERAGE('20250815_ETF_Options_Exhibits'!E1064:E1068)),AVERAGE('20250815_ETF_Options_Exhibits'!E1064:E1068),"")</f>
        <v/>
      </c>
      <c r="F1068" s="3">
        <f>IF(ISNUMBER(AVERAGE('20250815_ETF_Options_Exhibits'!F1064:F1068)),AVERAGE('20250815_ETF_Options_Exhibits'!F1064:F1068),"")</f>
        <v/>
      </c>
      <c r="G1068" s="3">
        <f>IF(ISNUMBER(AVERAGE('20250815_ETF_Options_Exhibits'!G1064:G1068)),AVERAGE('20250815_ETF_Options_Exhibits'!G1064:G1068),"")</f>
        <v/>
      </c>
      <c r="H1068" s="3">
        <f>IF(ISNUMBER(AVERAGE('20250815_ETF_Options_Exhibits'!H1064:H1068)),AVERAGE('20250815_ETF_Options_Exhibits'!H1064:H1068),"")</f>
        <v/>
      </c>
      <c r="I1068" s="3">
        <f>IF(ISNUMBER(AVERAGE('20250815_ETF_Options_Exhibits'!I1064:I1068)),AVERAGE('20250815_ETF_Options_Exhibits'!I1064:I1068),"")</f>
        <v/>
      </c>
      <c r="J1068" s="3">
        <f>IF(ISNUMBER(AVERAGE('20250815_ETF_Options_Exhibits'!J1064:J1068)),AVERAGE('20250815_ETF_Options_Exhibits'!J1064:J1068),"")</f>
        <v/>
      </c>
      <c r="K1068" s="3">
        <f>IF(ISNUMBER(AVERAGE('20250815_ETF_Options_Exhibits'!K1064:K1068)),AVERAGE('20250815_ETF_Options_Exhibits'!K1064:K1068),"")</f>
        <v/>
      </c>
      <c r="L1068" s="3">
        <f>IF(ISNUMBER(AVERAGE('20250815_ETF_Options_Exhibits'!L1064:L1068)),AVERAGE('20250815_ETF_Options_Exhibits'!L1064:L1068),"")</f>
        <v/>
      </c>
      <c r="M1068" s="3">
        <f>IF(ISNUMBER(AVERAGE('20250815_ETF_Options_Exhibits'!M1064:M1068)),AVERAGE('20250815_ETF_Options_Exhibits'!M1064:M1068),"")</f>
        <v/>
      </c>
      <c r="N1068" s="3">
        <f>IF(ISNUMBER(AVERAGE('20250815_ETF_Options_Exhibits'!N1064:N1068)),AVERAGE('20250815_ETF_Options_Exhibits'!N1064:N1068),"")</f>
        <v/>
      </c>
      <c r="O1068" s="3">
        <f>IF(ISNUMBER(AVERAGE('20250815_ETF_Options_Exhibits'!O1064:O1068)),AVERAGE('20250815_ETF_Options_Exhibits'!O1064:O1068),"")</f>
        <v/>
      </c>
      <c r="P1068" s="3">
        <f>IF(ISNUMBER(AVERAGE('20250815_ETF_Options_Exhibits'!P1064:P1068)),AVERAGE('20250815_ETF_Options_Exhibits'!P1064:P1068),"")</f>
        <v/>
      </c>
      <c r="Q1068" s="3">
        <f>IF(ISNUMBER(AVERAGE('20250815_ETF_Options_Exhibits'!Q1064:Q1068)),AVERAGE('20250815_ETF_Options_Exhibits'!Q1064:Q1068),"")</f>
        <v/>
      </c>
      <c r="R1068" s="3">
        <f>IF(ISNUMBER(AVERAGE('20250815_ETF_Options_Exhibits'!R1064:R1068)),AVERAGE('20250815_ETF_Options_Exhibits'!R1064:R1068),"")</f>
        <v/>
      </c>
      <c r="S1068" s="3">
        <f>IF(ISNUMBER(AVERAGE('20250815_ETF_Options_Exhibits'!S1064:S1068)),AVERAGE('20250815_ETF_Options_Exhibits'!S1064:S1068),"")</f>
        <v/>
      </c>
      <c r="T1068" s="3">
        <f>IF(ISNUMBER(AVERAGE('20250815_ETF_Options_Exhibits'!T1064:T1068)),AVERAGE('20250815_ETF_Options_Exhibits'!T1064:T1068),"")</f>
        <v/>
      </c>
      <c r="U1068" s="3">
        <f>IF(ISNUMBER(AVERAGE('20250815_ETF_Options_Exhibits'!U1064:U1068)),AVERAGE('20250815_ETF_Options_Exhibits'!U1064:U1068),"")</f>
        <v/>
      </c>
      <c r="V1068" s="3">
        <f>IF(ISNUMBER(AVERAGE('20250815_ETF_Options_Exhibits'!V1064:V1068)),AVERAGE('20250815_ETF_Options_Exhibits'!V1064:V1068),"")</f>
        <v/>
      </c>
      <c r="W1068" s="3">
        <f>IF(ISNUMBER(AVERAGE('20250815_ETF_Options_Exhibits'!W1064:W1068)),AVERAGE('20250815_ETF_Options_Exhibits'!W1064:W1068),"")</f>
        <v/>
      </c>
      <c r="X1068" s="3">
        <f>IF(ISNUMBER(AVERAGE('20250815_ETF_Options_Exhibits'!X1064:X1068)),AVERAGE('20250815_ETF_Options_Exhibits'!X1064:X1068),"")</f>
        <v/>
      </c>
      <c r="Y1068" s="3">
        <f>IF(ISNUMBER(AVERAGE('20250815_ETF_Options_Exhibits'!Y1064:Y1068)),AVERAGE('20250815_ETF_Options_Exhibits'!Y1064:Y1068),"")</f>
        <v/>
      </c>
      <c r="Z1068" s="3">
        <f>IF(ISNUMBER(AVERAGE('20250815_ETF_Options_Exhibits'!Z1064:Z1068)),AVERAGE('20250815_ETF_Options_Exhibits'!Z1064:Z1068),"")</f>
        <v/>
      </c>
      <c r="AA1068" s="3">
        <f>IF(ISNUMBER(AVERAGE('20250815_ETF_Options_Exhibits'!AA1064:AA1068)),AVERAGE('20250815_ETF_Options_Exhibits'!AA1064:AA1068),"")</f>
        <v/>
      </c>
    </row>
    <row r="1069">
      <c r="A1069" s="1" t="n">
        <v>43553</v>
      </c>
      <c r="B1069" s="3">
        <f>IF(ISNUMBER(AVERAGE('20250815_ETF_Options_Exhibits'!B1065:B1069)),AVERAGE('20250815_ETF_Options_Exhibits'!B1065:B1069),"")</f>
        <v/>
      </c>
      <c r="C1069" s="3">
        <f>IF(ISNUMBER(AVERAGE('20250815_ETF_Options_Exhibits'!C1065:C1069)),AVERAGE('20250815_ETF_Options_Exhibits'!C1065:C1069),"")</f>
        <v/>
      </c>
      <c r="D1069" s="3">
        <f>IF(ISNUMBER(AVERAGE('20250815_ETF_Options_Exhibits'!D1065:D1069)),AVERAGE('20250815_ETF_Options_Exhibits'!D1065:D1069),"")</f>
        <v/>
      </c>
      <c r="E1069" s="3">
        <f>IF(ISNUMBER(AVERAGE('20250815_ETF_Options_Exhibits'!E1065:E1069)),AVERAGE('20250815_ETF_Options_Exhibits'!E1065:E1069),"")</f>
        <v/>
      </c>
      <c r="F1069" s="3">
        <f>IF(ISNUMBER(AVERAGE('20250815_ETF_Options_Exhibits'!F1065:F1069)),AVERAGE('20250815_ETF_Options_Exhibits'!F1065:F1069),"")</f>
        <v/>
      </c>
      <c r="G1069" s="3">
        <f>IF(ISNUMBER(AVERAGE('20250815_ETF_Options_Exhibits'!G1065:G1069)),AVERAGE('20250815_ETF_Options_Exhibits'!G1065:G1069),"")</f>
        <v/>
      </c>
      <c r="H1069" s="3">
        <f>IF(ISNUMBER(AVERAGE('20250815_ETF_Options_Exhibits'!H1065:H1069)),AVERAGE('20250815_ETF_Options_Exhibits'!H1065:H1069),"")</f>
        <v/>
      </c>
      <c r="I1069" s="3">
        <f>IF(ISNUMBER(AVERAGE('20250815_ETF_Options_Exhibits'!I1065:I1069)),AVERAGE('20250815_ETF_Options_Exhibits'!I1065:I1069),"")</f>
        <v/>
      </c>
      <c r="J1069" s="3">
        <f>IF(ISNUMBER(AVERAGE('20250815_ETF_Options_Exhibits'!J1065:J1069)),AVERAGE('20250815_ETF_Options_Exhibits'!J1065:J1069),"")</f>
        <v/>
      </c>
      <c r="K1069" s="3">
        <f>IF(ISNUMBER(AVERAGE('20250815_ETF_Options_Exhibits'!K1065:K1069)),AVERAGE('20250815_ETF_Options_Exhibits'!K1065:K1069),"")</f>
        <v/>
      </c>
      <c r="L1069" s="3">
        <f>IF(ISNUMBER(AVERAGE('20250815_ETF_Options_Exhibits'!L1065:L1069)),AVERAGE('20250815_ETF_Options_Exhibits'!L1065:L1069),"")</f>
        <v/>
      </c>
      <c r="M1069" s="3">
        <f>IF(ISNUMBER(AVERAGE('20250815_ETF_Options_Exhibits'!M1065:M1069)),AVERAGE('20250815_ETF_Options_Exhibits'!M1065:M1069),"")</f>
        <v/>
      </c>
      <c r="N1069" s="3">
        <f>IF(ISNUMBER(AVERAGE('20250815_ETF_Options_Exhibits'!N1065:N1069)),AVERAGE('20250815_ETF_Options_Exhibits'!N1065:N1069),"")</f>
        <v/>
      </c>
      <c r="O1069" s="3">
        <f>IF(ISNUMBER(AVERAGE('20250815_ETF_Options_Exhibits'!O1065:O1069)),AVERAGE('20250815_ETF_Options_Exhibits'!O1065:O1069),"")</f>
        <v/>
      </c>
      <c r="P1069" s="3">
        <f>IF(ISNUMBER(AVERAGE('20250815_ETF_Options_Exhibits'!P1065:P1069)),AVERAGE('20250815_ETF_Options_Exhibits'!P1065:P1069),"")</f>
        <v/>
      </c>
      <c r="Q1069" s="3">
        <f>IF(ISNUMBER(AVERAGE('20250815_ETF_Options_Exhibits'!Q1065:Q1069)),AVERAGE('20250815_ETF_Options_Exhibits'!Q1065:Q1069),"")</f>
        <v/>
      </c>
      <c r="R1069" s="3">
        <f>IF(ISNUMBER(AVERAGE('20250815_ETF_Options_Exhibits'!R1065:R1069)),AVERAGE('20250815_ETF_Options_Exhibits'!R1065:R1069),"")</f>
        <v/>
      </c>
      <c r="S1069" s="3">
        <f>IF(ISNUMBER(AVERAGE('20250815_ETF_Options_Exhibits'!S1065:S1069)),AVERAGE('20250815_ETF_Options_Exhibits'!S1065:S1069),"")</f>
        <v/>
      </c>
      <c r="T1069" s="3">
        <f>IF(ISNUMBER(AVERAGE('20250815_ETF_Options_Exhibits'!T1065:T1069)),AVERAGE('20250815_ETF_Options_Exhibits'!T1065:T1069),"")</f>
        <v/>
      </c>
      <c r="U1069" s="3">
        <f>IF(ISNUMBER(AVERAGE('20250815_ETF_Options_Exhibits'!U1065:U1069)),AVERAGE('20250815_ETF_Options_Exhibits'!U1065:U1069),"")</f>
        <v/>
      </c>
      <c r="V1069" s="3">
        <f>IF(ISNUMBER(AVERAGE('20250815_ETF_Options_Exhibits'!V1065:V1069)),AVERAGE('20250815_ETF_Options_Exhibits'!V1065:V1069),"")</f>
        <v/>
      </c>
      <c r="W1069" s="3">
        <f>IF(ISNUMBER(AVERAGE('20250815_ETF_Options_Exhibits'!W1065:W1069)),AVERAGE('20250815_ETF_Options_Exhibits'!W1065:W1069),"")</f>
        <v/>
      </c>
      <c r="X1069" s="3">
        <f>IF(ISNUMBER(AVERAGE('20250815_ETF_Options_Exhibits'!X1065:X1069)),AVERAGE('20250815_ETF_Options_Exhibits'!X1065:X1069),"")</f>
        <v/>
      </c>
      <c r="Y1069" s="3">
        <f>IF(ISNUMBER(AVERAGE('20250815_ETF_Options_Exhibits'!Y1065:Y1069)),AVERAGE('20250815_ETF_Options_Exhibits'!Y1065:Y1069),"")</f>
        <v/>
      </c>
      <c r="Z1069" s="3">
        <f>IF(ISNUMBER(AVERAGE('20250815_ETF_Options_Exhibits'!Z1065:Z1069)),AVERAGE('20250815_ETF_Options_Exhibits'!Z1065:Z1069),"")</f>
        <v/>
      </c>
      <c r="AA1069" s="3">
        <f>IF(ISNUMBER(AVERAGE('20250815_ETF_Options_Exhibits'!AA1065:AA1069)),AVERAGE('20250815_ETF_Options_Exhibits'!AA1065:AA1069),"")</f>
        <v/>
      </c>
    </row>
    <row r="1070">
      <c r="A1070" s="1" t="n">
        <v>43556</v>
      </c>
      <c r="B1070" s="3">
        <f>IF(ISNUMBER(AVERAGE('20250815_ETF_Options_Exhibits'!B1066:B1070)),AVERAGE('20250815_ETF_Options_Exhibits'!B1066:B1070),"")</f>
        <v/>
      </c>
      <c r="C1070" s="3">
        <f>IF(ISNUMBER(AVERAGE('20250815_ETF_Options_Exhibits'!C1066:C1070)),AVERAGE('20250815_ETF_Options_Exhibits'!C1066:C1070),"")</f>
        <v/>
      </c>
      <c r="D1070" s="3">
        <f>IF(ISNUMBER(AVERAGE('20250815_ETF_Options_Exhibits'!D1066:D1070)),AVERAGE('20250815_ETF_Options_Exhibits'!D1066:D1070),"")</f>
        <v/>
      </c>
      <c r="E1070" s="3">
        <f>IF(ISNUMBER(AVERAGE('20250815_ETF_Options_Exhibits'!E1066:E1070)),AVERAGE('20250815_ETF_Options_Exhibits'!E1066:E1070),"")</f>
        <v/>
      </c>
      <c r="F1070" s="3">
        <f>IF(ISNUMBER(AVERAGE('20250815_ETF_Options_Exhibits'!F1066:F1070)),AVERAGE('20250815_ETF_Options_Exhibits'!F1066:F1070),"")</f>
        <v/>
      </c>
      <c r="G1070" s="3">
        <f>IF(ISNUMBER(AVERAGE('20250815_ETF_Options_Exhibits'!G1066:G1070)),AVERAGE('20250815_ETF_Options_Exhibits'!G1066:G1070),"")</f>
        <v/>
      </c>
      <c r="H1070" s="3">
        <f>IF(ISNUMBER(AVERAGE('20250815_ETF_Options_Exhibits'!H1066:H1070)),AVERAGE('20250815_ETF_Options_Exhibits'!H1066:H1070),"")</f>
        <v/>
      </c>
      <c r="I1070" s="3">
        <f>IF(ISNUMBER(AVERAGE('20250815_ETF_Options_Exhibits'!I1066:I1070)),AVERAGE('20250815_ETF_Options_Exhibits'!I1066:I1070),"")</f>
        <v/>
      </c>
      <c r="J1070" s="3">
        <f>IF(ISNUMBER(AVERAGE('20250815_ETF_Options_Exhibits'!J1066:J1070)),AVERAGE('20250815_ETF_Options_Exhibits'!J1066:J1070),"")</f>
        <v/>
      </c>
      <c r="K1070" s="3">
        <f>IF(ISNUMBER(AVERAGE('20250815_ETF_Options_Exhibits'!K1066:K1070)),AVERAGE('20250815_ETF_Options_Exhibits'!K1066:K1070),"")</f>
        <v/>
      </c>
      <c r="L1070" s="3">
        <f>IF(ISNUMBER(AVERAGE('20250815_ETF_Options_Exhibits'!L1066:L1070)),AVERAGE('20250815_ETF_Options_Exhibits'!L1066:L1070),"")</f>
        <v/>
      </c>
      <c r="M1070" s="3">
        <f>IF(ISNUMBER(AVERAGE('20250815_ETF_Options_Exhibits'!M1066:M1070)),AVERAGE('20250815_ETF_Options_Exhibits'!M1066:M1070),"")</f>
        <v/>
      </c>
      <c r="N1070" s="3">
        <f>IF(ISNUMBER(AVERAGE('20250815_ETF_Options_Exhibits'!N1066:N1070)),AVERAGE('20250815_ETF_Options_Exhibits'!N1066:N1070),"")</f>
        <v/>
      </c>
      <c r="O1070" s="3">
        <f>IF(ISNUMBER(AVERAGE('20250815_ETF_Options_Exhibits'!O1066:O1070)),AVERAGE('20250815_ETF_Options_Exhibits'!O1066:O1070),"")</f>
        <v/>
      </c>
      <c r="P1070" s="3">
        <f>IF(ISNUMBER(AVERAGE('20250815_ETF_Options_Exhibits'!P1066:P1070)),AVERAGE('20250815_ETF_Options_Exhibits'!P1066:P1070),"")</f>
        <v/>
      </c>
      <c r="Q1070" s="3">
        <f>IF(ISNUMBER(AVERAGE('20250815_ETF_Options_Exhibits'!Q1066:Q1070)),AVERAGE('20250815_ETF_Options_Exhibits'!Q1066:Q1070),"")</f>
        <v/>
      </c>
      <c r="R1070" s="3">
        <f>IF(ISNUMBER(AVERAGE('20250815_ETF_Options_Exhibits'!R1066:R1070)),AVERAGE('20250815_ETF_Options_Exhibits'!R1066:R1070),"")</f>
        <v/>
      </c>
      <c r="S1070" s="3">
        <f>IF(ISNUMBER(AVERAGE('20250815_ETF_Options_Exhibits'!S1066:S1070)),AVERAGE('20250815_ETF_Options_Exhibits'!S1066:S1070),"")</f>
        <v/>
      </c>
      <c r="T1070" s="3">
        <f>IF(ISNUMBER(AVERAGE('20250815_ETF_Options_Exhibits'!T1066:T1070)),AVERAGE('20250815_ETF_Options_Exhibits'!T1066:T1070),"")</f>
        <v/>
      </c>
      <c r="U1070" s="3">
        <f>IF(ISNUMBER(AVERAGE('20250815_ETF_Options_Exhibits'!U1066:U1070)),AVERAGE('20250815_ETF_Options_Exhibits'!U1066:U1070),"")</f>
        <v/>
      </c>
      <c r="V1070" s="3">
        <f>IF(ISNUMBER(AVERAGE('20250815_ETF_Options_Exhibits'!V1066:V1070)),AVERAGE('20250815_ETF_Options_Exhibits'!V1066:V1070),"")</f>
        <v/>
      </c>
      <c r="W1070" s="3">
        <f>IF(ISNUMBER(AVERAGE('20250815_ETF_Options_Exhibits'!W1066:W1070)),AVERAGE('20250815_ETF_Options_Exhibits'!W1066:W1070),"")</f>
        <v/>
      </c>
      <c r="X1070" s="3">
        <f>IF(ISNUMBER(AVERAGE('20250815_ETF_Options_Exhibits'!X1066:X1070)),AVERAGE('20250815_ETF_Options_Exhibits'!X1066:X1070),"")</f>
        <v/>
      </c>
      <c r="Y1070" s="3">
        <f>IF(ISNUMBER(AVERAGE('20250815_ETF_Options_Exhibits'!Y1066:Y1070)),AVERAGE('20250815_ETF_Options_Exhibits'!Y1066:Y1070),"")</f>
        <v/>
      </c>
      <c r="Z1070" s="3">
        <f>IF(ISNUMBER(AVERAGE('20250815_ETF_Options_Exhibits'!Z1066:Z1070)),AVERAGE('20250815_ETF_Options_Exhibits'!Z1066:Z1070),"")</f>
        <v/>
      </c>
      <c r="AA1070" s="3">
        <f>IF(ISNUMBER(AVERAGE('20250815_ETF_Options_Exhibits'!AA1066:AA1070)),AVERAGE('20250815_ETF_Options_Exhibits'!AA1066:AA1070),"")</f>
        <v/>
      </c>
    </row>
    <row r="1071">
      <c r="A1071" s="1" t="n">
        <v>43557</v>
      </c>
      <c r="B1071" s="3">
        <f>IF(ISNUMBER(AVERAGE('20250815_ETF_Options_Exhibits'!B1067:B1071)),AVERAGE('20250815_ETF_Options_Exhibits'!B1067:B1071),"")</f>
        <v/>
      </c>
      <c r="C1071" s="3">
        <f>IF(ISNUMBER(AVERAGE('20250815_ETF_Options_Exhibits'!C1067:C1071)),AVERAGE('20250815_ETF_Options_Exhibits'!C1067:C1071),"")</f>
        <v/>
      </c>
      <c r="D1071" s="3">
        <f>IF(ISNUMBER(AVERAGE('20250815_ETF_Options_Exhibits'!D1067:D1071)),AVERAGE('20250815_ETF_Options_Exhibits'!D1067:D1071),"")</f>
        <v/>
      </c>
      <c r="E1071" s="3">
        <f>IF(ISNUMBER(AVERAGE('20250815_ETF_Options_Exhibits'!E1067:E1071)),AVERAGE('20250815_ETF_Options_Exhibits'!E1067:E1071),"")</f>
        <v/>
      </c>
      <c r="F1071" s="3">
        <f>IF(ISNUMBER(AVERAGE('20250815_ETF_Options_Exhibits'!F1067:F1071)),AVERAGE('20250815_ETF_Options_Exhibits'!F1067:F1071),"")</f>
        <v/>
      </c>
      <c r="G1071" s="3">
        <f>IF(ISNUMBER(AVERAGE('20250815_ETF_Options_Exhibits'!G1067:G1071)),AVERAGE('20250815_ETF_Options_Exhibits'!G1067:G1071),"")</f>
        <v/>
      </c>
      <c r="H1071" s="3">
        <f>IF(ISNUMBER(AVERAGE('20250815_ETF_Options_Exhibits'!H1067:H1071)),AVERAGE('20250815_ETF_Options_Exhibits'!H1067:H1071),"")</f>
        <v/>
      </c>
      <c r="I1071" s="3">
        <f>IF(ISNUMBER(AVERAGE('20250815_ETF_Options_Exhibits'!I1067:I1071)),AVERAGE('20250815_ETF_Options_Exhibits'!I1067:I1071),"")</f>
        <v/>
      </c>
      <c r="J1071" s="3">
        <f>IF(ISNUMBER(AVERAGE('20250815_ETF_Options_Exhibits'!J1067:J1071)),AVERAGE('20250815_ETF_Options_Exhibits'!J1067:J1071),"")</f>
        <v/>
      </c>
      <c r="K1071" s="3">
        <f>IF(ISNUMBER(AVERAGE('20250815_ETF_Options_Exhibits'!K1067:K1071)),AVERAGE('20250815_ETF_Options_Exhibits'!K1067:K1071),"")</f>
        <v/>
      </c>
      <c r="L1071" s="3">
        <f>IF(ISNUMBER(AVERAGE('20250815_ETF_Options_Exhibits'!L1067:L1071)),AVERAGE('20250815_ETF_Options_Exhibits'!L1067:L1071),"")</f>
        <v/>
      </c>
      <c r="M1071" s="3">
        <f>IF(ISNUMBER(AVERAGE('20250815_ETF_Options_Exhibits'!M1067:M1071)),AVERAGE('20250815_ETF_Options_Exhibits'!M1067:M1071),"")</f>
        <v/>
      </c>
      <c r="N1071" s="3">
        <f>IF(ISNUMBER(AVERAGE('20250815_ETF_Options_Exhibits'!N1067:N1071)),AVERAGE('20250815_ETF_Options_Exhibits'!N1067:N1071),"")</f>
        <v/>
      </c>
      <c r="O1071" s="3">
        <f>IF(ISNUMBER(AVERAGE('20250815_ETF_Options_Exhibits'!O1067:O1071)),AVERAGE('20250815_ETF_Options_Exhibits'!O1067:O1071),"")</f>
        <v/>
      </c>
      <c r="P1071" s="3">
        <f>IF(ISNUMBER(AVERAGE('20250815_ETF_Options_Exhibits'!P1067:P1071)),AVERAGE('20250815_ETF_Options_Exhibits'!P1067:P1071),"")</f>
        <v/>
      </c>
      <c r="Q1071" s="3">
        <f>IF(ISNUMBER(AVERAGE('20250815_ETF_Options_Exhibits'!Q1067:Q1071)),AVERAGE('20250815_ETF_Options_Exhibits'!Q1067:Q1071),"")</f>
        <v/>
      </c>
      <c r="R1071" s="3">
        <f>IF(ISNUMBER(AVERAGE('20250815_ETF_Options_Exhibits'!R1067:R1071)),AVERAGE('20250815_ETF_Options_Exhibits'!R1067:R1071),"")</f>
        <v/>
      </c>
      <c r="S1071" s="3">
        <f>IF(ISNUMBER(AVERAGE('20250815_ETF_Options_Exhibits'!S1067:S1071)),AVERAGE('20250815_ETF_Options_Exhibits'!S1067:S1071),"")</f>
        <v/>
      </c>
      <c r="T1071" s="3">
        <f>IF(ISNUMBER(AVERAGE('20250815_ETF_Options_Exhibits'!T1067:T1071)),AVERAGE('20250815_ETF_Options_Exhibits'!T1067:T1071),"")</f>
        <v/>
      </c>
      <c r="U1071" s="3">
        <f>IF(ISNUMBER(AVERAGE('20250815_ETF_Options_Exhibits'!U1067:U1071)),AVERAGE('20250815_ETF_Options_Exhibits'!U1067:U1071),"")</f>
        <v/>
      </c>
      <c r="V1071" s="3">
        <f>IF(ISNUMBER(AVERAGE('20250815_ETF_Options_Exhibits'!V1067:V1071)),AVERAGE('20250815_ETF_Options_Exhibits'!V1067:V1071),"")</f>
        <v/>
      </c>
      <c r="W1071" s="3">
        <f>IF(ISNUMBER(AVERAGE('20250815_ETF_Options_Exhibits'!W1067:W1071)),AVERAGE('20250815_ETF_Options_Exhibits'!W1067:W1071),"")</f>
        <v/>
      </c>
      <c r="X1071" s="3">
        <f>IF(ISNUMBER(AVERAGE('20250815_ETF_Options_Exhibits'!X1067:X1071)),AVERAGE('20250815_ETF_Options_Exhibits'!X1067:X1071),"")</f>
        <v/>
      </c>
      <c r="Y1071" s="3">
        <f>IF(ISNUMBER(AVERAGE('20250815_ETF_Options_Exhibits'!Y1067:Y1071)),AVERAGE('20250815_ETF_Options_Exhibits'!Y1067:Y1071),"")</f>
        <v/>
      </c>
      <c r="Z1071" s="3">
        <f>IF(ISNUMBER(AVERAGE('20250815_ETF_Options_Exhibits'!Z1067:Z1071)),AVERAGE('20250815_ETF_Options_Exhibits'!Z1067:Z1071),"")</f>
        <v/>
      </c>
      <c r="AA1071" s="3">
        <f>IF(ISNUMBER(AVERAGE('20250815_ETF_Options_Exhibits'!AA1067:AA1071)),AVERAGE('20250815_ETF_Options_Exhibits'!AA1067:AA1071),"")</f>
        <v/>
      </c>
    </row>
    <row r="1072">
      <c r="A1072" s="1" t="n">
        <v>43558</v>
      </c>
      <c r="B1072" s="3">
        <f>IF(ISNUMBER(AVERAGE('20250815_ETF_Options_Exhibits'!B1068:B1072)),AVERAGE('20250815_ETF_Options_Exhibits'!B1068:B1072),"")</f>
        <v/>
      </c>
      <c r="C1072" s="3">
        <f>IF(ISNUMBER(AVERAGE('20250815_ETF_Options_Exhibits'!C1068:C1072)),AVERAGE('20250815_ETF_Options_Exhibits'!C1068:C1072),"")</f>
        <v/>
      </c>
      <c r="D1072" s="3">
        <f>IF(ISNUMBER(AVERAGE('20250815_ETF_Options_Exhibits'!D1068:D1072)),AVERAGE('20250815_ETF_Options_Exhibits'!D1068:D1072),"")</f>
        <v/>
      </c>
      <c r="E1072" s="3">
        <f>IF(ISNUMBER(AVERAGE('20250815_ETF_Options_Exhibits'!E1068:E1072)),AVERAGE('20250815_ETF_Options_Exhibits'!E1068:E1072),"")</f>
        <v/>
      </c>
      <c r="F1072" s="3">
        <f>IF(ISNUMBER(AVERAGE('20250815_ETF_Options_Exhibits'!F1068:F1072)),AVERAGE('20250815_ETF_Options_Exhibits'!F1068:F1072),"")</f>
        <v/>
      </c>
      <c r="G1072" s="3">
        <f>IF(ISNUMBER(AVERAGE('20250815_ETF_Options_Exhibits'!G1068:G1072)),AVERAGE('20250815_ETF_Options_Exhibits'!G1068:G1072),"")</f>
        <v/>
      </c>
      <c r="H1072" s="3">
        <f>IF(ISNUMBER(AVERAGE('20250815_ETF_Options_Exhibits'!H1068:H1072)),AVERAGE('20250815_ETF_Options_Exhibits'!H1068:H1072),"")</f>
        <v/>
      </c>
      <c r="I1072" s="3">
        <f>IF(ISNUMBER(AVERAGE('20250815_ETF_Options_Exhibits'!I1068:I1072)),AVERAGE('20250815_ETF_Options_Exhibits'!I1068:I1072),"")</f>
        <v/>
      </c>
      <c r="J1072" s="3">
        <f>IF(ISNUMBER(AVERAGE('20250815_ETF_Options_Exhibits'!J1068:J1072)),AVERAGE('20250815_ETF_Options_Exhibits'!J1068:J1072),"")</f>
        <v/>
      </c>
      <c r="K1072" s="3">
        <f>IF(ISNUMBER(AVERAGE('20250815_ETF_Options_Exhibits'!K1068:K1072)),AVERAGE('20250815_ETF_Options_Exhibits'!K1068:K1072),"")</f>
        <v/>
      </c>
      <c r="L1072" s="3">
        <f>IF(ISNUMBER(AVERAGE('20250815_ETF_Options_Exhibits'!L1068:L1072)),AVERAGE('20250815_ETF_Options_Exhibits'!L1068:L1072),"")</f>
        <v/>
      </c>
      <c r="M1072" s="3">
        <f>IF(ISNUMBER(AVERAGE('20250815_ETF_Options_Exhibits'!M1068:M1072)),AVERAGE('20250815_ETF_Options_Exhibits'!M1068:M1072),"")</f>
        <v/>
      </c>
      <c r="N1072" s="3">
        <f>IF(ISNUMBER(AVERAGE('20250815_ETF_Options_Exhibits'!N1068:N1072)),AVERAGE('20250815_ETF_Options_Exhibits'!N1068:N1072),"")</f>
        <v/>
      </c>
      <c r="O1072" s="3">
        <f>IF(ISNUMBER(AVERAGE('20250815_ETF_Options_Exhibits'!O1068:O1072)),AVERAGE('20250815_ETF_Options_Exhibits'!O1068:O1072),"")</f>
        <v/>
      </c>
      <c r="P1072" s="3">
        <f>IF(ISNUMBER(AVERAGE('20250815_ETF_Options_Exhibits'!P1068:P1072)),AVERAGE('20250815_ETF_Options_Exhibits'!P1068:P1072),"")</f>
        <v/>
      </c>
      <c r="Q1072" s="3">
        <f>IF(ISNUMBER(AVERAGE('20250815_ETF_Options_Exhibits'!Q1068:Q1072)),AVERAGE('20250815_ETF_Options_Exhibits'!Q1068:Q1072),"")</f>
        <v/>
      </c>
      <c r="R1072" s="3">
        <f>IF(ISNUMBER(AVERAGE('20250815_ETF_Options_Exhibits'!R1068:R1072)),AVERAGE('20250815_ETF_Options_Exhibits'!R1068:R1072),"")</f>
        <v/>
      </c>
      <c r="S1072" s="3">
        <f>IF(ISNUMBER(AVERAGE('20250815_ETF_Options_Exhibits'!S1068:S1072)),AVERAGE('20250815_ETF_Options_Exhibits'!S1068:S1072),"")</f>
        <v/>
      </c>
      <c r="T1072" s="3">
        <f>IF(ISNUMBER(AVERAGE('20250815_ETF_Options_Exhibits'!T1068:T1072)),AVERAGE('20250815_ETF_Options_Exhibits'!T1068:T1072),"")</f>
        <v/>
      </c>
      <c r="U1072" s="3">
        <f>IF(ISNUMBER(AVERAGE('20250815_ETF_Options_Exhibits'!U1068:U1072)),AVERAGE('20250815_ETF_Options_Exhibits'!U1068:U1072),"")</f>
        <v/>
      </c>
      <c r="V1072" s="3">
        <f>IF(ISNUMBER(AVERAGE('20250815_ETF_Options_Exhibits'!V1068:V1072)),AVERAGE('20250815_ETF_Options_Exhibits'!V1068:V1072),"")</f>
        <v/>
      </c>
      <c r="W1072" s="3">
        <f>IF(ISNUMBER(AVERAGE('20250815_ETF_Options_Exhibits'!W1068:W1072)),AVERAGE('20250815_ETF_Options_Exhibits'!W1068:W1072),"")</f>
        <v/>
      </c>
      <c r="X1072" s="3">
        <f>IF(ISNUMBER(AVERAGE('20250815_ETF_Options_Exhibits'!X1068:X1072)),AVERAGE('20250815_ETF_Options_Exhibits'!X1068:X1072),"")</f>
        <v/>
      </c>
      <c r="Y1072" s="3">
        <f>IF(ISNUMBER(AVERAGE('20250815_ETF_Options_Exhibits'!Y1068:Y1072)),AVERAGE('20250815_ETF_Options_Exhibits'!Y1068:Y1072),"")</f>
        <v/>
      </c>
      <c r="Z1072" s="3">
        <f>IF(ISNUMBER(AVERAGE('20250815_ETF_Options_Exhibits'!Z1068:Z1072)),AVERAGE('20250815_ETF_Options_Exhibits'!Z1068:Z1072),"")</f>
        <v/>
      </c>
      <c r="AA1072" s="3">
        <f>IF(ISNUMBER(AVERAGE('20250815_ETF_Options_Exhibits'!AA1068:AA1072)),AVERAGE('20250815_ETF_Options_Exhibits'!AA1068:AA1072),"")</f>
        <v/>
      </c>
    </row>
    <row r="1073">
      <c r="A1073" s="1" t="n">
        <v>43559</v>
      </c>
      <c r="B1073" s="3">
        <f>IF(ISNUMBER(AVERAGE('20250815_ETF_Options_Exhibits'!B1069:B1073)),AVERAGE('20250815_ETF_Options_Exhibits'!B1069:B1073),"")</f>
        <v/>
      </c>
      <c r="C1073" s="3">
        <f>IF(ISNUMBER(AVERAGE('20250815_ETF_Options_Exhibits'!C1069:C1073)),AVERAGE('20250815_ETF_Options_Exhibits'!C1069:C1073),"")</f>
        <v/>
      </c>
      <c r="D1073" s="3">
        <f>IF(ISNUMBER(AVERAGE('20250815_ETF_Options_Exhibits'!D1069:D1073)),AVERAGE('20250815_ETF_Options_Exhibits'!D1069:D1073),"")</f>
        <v/>
      </c>
      <c r="E1073" s="3">
        <f>IF(ISNUMBER(AVERAGE('20250815_ETF_Options_Exhibits'!E1069:E1073)),AVERAGE('20250815_ETF_Options_Exhibits'!E1069:E1073),"")</f>
        <v/>
      </c>
      <c r="F1073" s="3">
        <f>IF(ISNUMBER(AVERAGE('20250815_ETF_Options_Exhibits'!F1069:F1073)),AVERAGE('20250815_ETF_Options_Exhibits'!F1069:F1073),"")</f>
        <v/>
      </c>
      <c r="G1073" s="3">
        <f>IF(ISNUMBER(AVERAGE('20250815_ETF_Options_Exhibits'!G1069:G1073)),AVERAGE('20250815_ETF_Options_Exhibits'!G1069:G1073),"")</f>
        <v/>
      </c>
      <c r="H1073" s="3">
        <f>IF(ISNUMBER(AVERAGE('20250815_ETF_Options_Exhibits'!H1069:H1073)),AVERAGE('20250815_ETF_Options_Exhibits'!H1069:H1073),"")</f>
        <v/>
      </c>
      <c r="I1073" s="3">
        <f>IF(ISNUMBER(AVERAGE('20250815_ETF_Options_Exhibits'!I1069:I1073)),AVERAGE('20250815_ETF_Options_Exhibits'!I1069:I1073),"")</f>
        <v/>
      </c>
      <c r="J1073" s="3">
        <f>IF(ISNUMBER(AVERAGE('20250815_ETF_Options_Exhibits'!J1069:J1073)),AVERAGE('20250815_ETF_Options_Exhibits'!J1069:J1073),"")</f>
        <v/>
      </c>
      <c r="K1073" s="3">
        <f>IF(ISNUMBER(AVERAGE('20250815_ETF_Options_Exhibits'!K1069:K1073)),AVERAGE('20250815_ETF_Options_Exhibits'!K1069:K1073),"")</f>
        <v/>
      </c>
      <c r="L1073" s="3">
        <f>IF(ISNUMBER(AVERAGE('20250815_ETF_Options_Exhibits'!L1069:L1073)),AVERAGE('20250815_ETF_Options_Exhibits'!L1069:L1073),"")</f>
        <v/>
      </c>
      <c r="M1073" s="3">
        <f>IF(ISNUMBER(AVERAGE('20250815_ETF_Options_Exhibits'!M1069:M1073)),AVERAGE('20250815_ETF_Options_Exhibits'!M1069:M1073),"")</f>
        <v/>
      </c>
      <c r="N1073" s="3">
        <f>IF(ISNUMBER(AVERAGE('20250815_ETF_Options_Exhibits'!N1069:N1073)),AVERAGE('20250815_ETF_Options_Exhibits'!N1069:N1073),"")</f>
        <v/>
      </c>
      <c r="O1073" s="3">
        <f>IF(ISNUMBER(AVERAGE('20250815_ETF_Options_Exhibits'!O1069:O1073)),AVERAGE('20250815_ETF_Options_Exhibits'!O1069:O1073),"")</f>
        <v/>
      </c>
      <c r="P1073" s="3">
        <f>IF(ISNUMBER(AVERAGE('20250815_ETF_Options_Exhibits'!P1069:P1073)),AVERAGE('20250815_ETF_Options_Exhibits'!P1069:P1073),"")</f>
        <v/>
      </c>
      <c r="Q1073" s="3">
        <f>IF(ISNUMBER(AVERAGE('20250815_ETF_Options_Exhibits'!Q1069:Q1073)),AVERAGE('20250815_ETF_Options_Exhibits'!Q1069:Q1073),"")</f>
        <v/>
      </c>
      <c r="R1073" s="3">
        <f>IF(ISNUMBER(AVERAGE('20250815_ETF_Options_Exhibits'!R1069:R1073)),AVERAGE('20250815_ETF_Options_Exhibits'!R1069:R1073),"")</f>
        <v/>
      </c>
      <c r="S1073" s="3">
        <f>IF(ISNUMBER(AVERAGE('20250815_ETF_Options_Exhibits'!S1069:S1073)),AVERAGE('20250815_ETF_Options_Exhibits'!S1069:S1073),"")</f>
        <v/>
      </c>
      <c r="T1073" s="3">
        <f>IF(ISNUMBER(AVERAGE('20250815_ETF_Options_Exhibits'!T1069:T1073)),AVERAGE('20250815_ETF_Options_Exhibits'!T1069:T1073),"")</f>
        <v/>
      </c>
      <c r="U1073" s="3">
        <f>IF(ISNUMBER(AVERAGE('20250815_ETF_Options_Exhibits'!U1069:U1073)),AVERAGE('20250815_ETF_Options_Exhibits'!U1069:U1073),"")</f>
        <v/>
      </c>
      <c r="V1073" s="3">
        <f>IF(ISNUMBER(AVERAGE('20250815_ETF_Options_Exhibits'!V1069:V1073)),AVERAGE('20250815_ETF_Options_Exhibits'!V1069:V1073),"")</f>
        <v/>
      </c>
      <c r="W1073" s="3">
        <f>IF(ISNUMBER(AVERAGE('20250815_ETF_Options_Exhibits'!W1069:W1073)),AVERAGE('20250815_ETF_Options_Exhibits'!W1069:W1073),"")</f>
        <v/>
      </c>
      <c r="X1073" s="3">
        <f>IF(ISNUMBER(AVERAGE('20250815_ETF_Options_Exhibits'!X1069:X1073)),AVERAGE('20250815_ETF_Options_Exhibits'!X1069:X1073),"")</f>
        <v/>
      </c>
      <c r="Y1073" s="3">
        <f>IF(ISNUMBER(AVERAGE('20250815_ETF_Options_Exhibits'!Y1069:Y1073)),AVERAGE('20250815_ETF_Options_Exhibits'!Y1069:Y1073),"")</f>
        <v/>
      </c>
      <c r="Z1073" s="3">
        <f>IF(ISNUMBER(AVERAGE('20250815_ETF_Options_Exhibits'!Z1069:Z1073)),AVERAGE('20250815_ETF_Options_Exhibits'!Z1069:Z1073),"")</f>
        <v/>
      </c>
      <c r="AA1073" s="3">
        <f>IF(ISNUMBER(AVERAGE('20250815_ETF_Options_Exhibits'!AA1069:AA1073)),AVERAGE('20250815_ETF_Options_Exhibits'!AA1069:AA1073),"")</f>
        <v/>
      </c>
    </row>
    <row r="1074">
      <c r="A1074" s="1" t="n">
        <v>43560</v>
      </c>
      <c r="B1074" s="3">
        <f>IF(ISNUMBER(AVERAGE('20250815_ETF_Options_Exhibits'!B1070:B1074)),AVERAGE('20250815_ETF_Options_Exhibits'!B1070:B1074),"")</f>
        <v/>
      </c>
      <c r="C1074" s="3">
        <f>IF(ISNUMBER(AVERAGE('20250815_ETF_Options_Exhibits'!C1070:C1074)),AVERAGE('20250815_ETF_Options_Exhibits'!C1070:C1074),"")</f>
        <v/>
      </c>
      <c r="D1074" s="3">
        <f>IF(ISNUMBER(AVERAGE('20250815_ETF_Options_Exhibits'!D1070:D1074)),AVERAGE('20250815_ETF_Options_Exhibits'!D1070:D1074),"")</f>
        <v/>
      </c>
      <c r="E1074" s="3">
        <f>IF(ISNUMBER(AVERAGE('20250815_ETF_Options_Exhibits'!E1070:E1074)),AVERAGE('20250815_ETF_Options_Exhibits'!E1070:E1074),"")</f>
        <v/>
      </c>
      <c r="F1074" s="3">
        <f>IF(ISNUMBER(AVERAGE('20250815_ETF_Options_Exhibits'!F1070:F1074)),AVERAGE('20250815_ETF_Options_Exhibits'!F1070:F1074),"")</f>
        <v/>
      </c>
      <c r="G1074" s="3">
        <f>IF(ISNUMBER(AVERAGE('20250815_ETF_Options_Exhibits'!G1070:G1074)),AVERAGE('20250815_ETF_Options_Exhibits'!G1070:G1074),"")</f>
        <v/>
      </c>
      <c r="H1074" s="3">
        <f>IF(ISNUMBER(AVERAGE('20250815_ETF_Options_Exhibits'!H1070:H1074)),AVERAGE('20250815_ETF_Options_Exhibits'!H1070:H1074),"")</f>
        <v/>
      </c>
      <c r="I1074" s="3">
        <f>IF(ISNUMBER(AVERAGE('20250815_ETF_Options_Exhibits'!I1070:I1074)),AVERAGE('20250815_ETF_Options_Exhibits'!I1070:I1074),"")</f>
        <v/>
      </c>
      <c r="J1074" s="3">
        <f>IF(ISNUMBER(AVERAGE('20250815_ETF_Options_Exhibits'!J1070:J1074)),AVERAGE('20250815_ETF_Options_Exhibits'!J1070:J1074),"")</f>
        <v/>
      </c>
      <c r="K1074" s="3">
        <f>IF(ISNUMBER(AVERAGE('20250815_ETF_Options_Exhibits'!K1070:K1074)),AVERAGE('20250815_ETF_Options_Exhibits'!K1070:K1074),"")</f>
        <v/>
      </c>
      <c r="L1074" s="3">
        <f>IF(ISNUMBER(AVERAGE('20250815_ETF_Options_Exhibits'!L1070:L1074)),AVERAGE('20250815_ETF_Options_Exhibits'!L1070:L1074),"")</f>
        <v/>
      </c>
      <c r="M1074" s="3">
        <f>IF(ISNUMBER(AVERAGE('20250815_ETF_Options_Exhibits'!M1070:M1074)),AVERAGE('20250815_ETF_Options_Exhibits'!M1070:M1074),"")</f>
        <v/>
      </c>
      <c r="N1074" s="3">
        <f>IF(ISNUMBER(AVERAGE('20250815_ETF_Options_Exhibits'!N1070:N1074)),AVERAGE('20250815_ETF_Options_Exhibits'!N1070:N1074),"")</f>
        <v/>
      </c>
      <c r="O1074" s="3">
        <f>IF(ISNUMBER(AVERAGE('20250815_ETF_Options_Exhibits'!O1070:O1074)),AVERAGE('20250815_ETF_Options_Exhibits'!O1070:O1074),"")</f>
        <v/>
      </c>
      <c r="P1074" s="3">
        <f>IF(ISNUMBER(AVERAGE('20250815_ETF_Options_Exhibits'!P1070:P1074)),AVERAGE('20250815_ETF_Options_Exhibits'!P1070:P1074),"")</f>
        <v/>
      </c>
      <c r="Q1074" s="3">
        <f>IF(ISNUMBER(AVERAGE('20250815_ETF_Options_Exhibits'!Q1070:Q1074)),AVERAGE('20250815_ETF_Options_Exhibits'!Q1070:Q1074),"")</f>
        <v/>
      </c>
      <c r="R1074" s="3">
        <f>IF(ISNUMBER(AVERAGE('20250815_ETF_Options_Exhibits'!R1070:R1074)),AVERAGE('20250815_ETF_Options_Exhibits'!R1070:R1074),"")</f>
        <v/>
      </c>
      <c r="S1074" s="3">
        <f>IF(ISNUMBER(AVERAGE('20250815_ETF_Options_Exhibits'!S1070:S1074)),AVERAGE('20250815_ETF_Options_Exhibits'!S1070:S1074),"")</f>
        <v/>
      </c>
      <c r="T1074" s="3">
        <f>IF(ISNUMBER(AVERAGE('20250815_ETF_Options_Exhibits'!T1070:T1074)),AVERAGE('20250815_ETF_Options_Exhibits'!T1070:T1074),"")</f>
        <v/>
      </c>
      <c r="U1074" s="3">
        <f>IF(ISNUMBER(AVERAGE('20250815_ETF_Options_Exhibits'!U1070:U1074)),AVERAGE('20250815_ETF_Options_Exhibits'!U1070:U1074),"")</f>
        <v/>
      </c>
      <c r="V1074" s="3">
        <f>IF(ISNUMBER(AVERAGE('20250815_ETF_Options_Exhibits'!V1070:V1074)),AVERAGE('20250815_ETF_Options_Exhibits'!V1070:V1074),"")</f>
        <v/>
      </c>
      <c r="W1074" s="3">
        <f>IF(ISNUMBER(AVERAGE('20250815_ETF_Options_Exhibits'!W1070:W1074)),AVERAGE('20250815_ETF_Options_Exhibits'!W1070:W1074),"")</f>
        <v/>
      </c>
      <c r="X1074" s="3">
        <f>IF(ISNUMBER(AVERAGE('20250815_ETF_Options_Exhibits'!X1070:X1074)),AVERAGE('20250815_ETF_Options_Exhibits'!X1070:X1074),"")</f>
        <v/>
      </c>
      <c r="Y1074" s="3">
        <f>IF(ISNUMBER(AVERAGE('20250815_ETF_Options_Exhibits'!Y1070:Y1074)),AVERAGE('20250815_ETF_Options_Exhibits'!Y1070:Y1074),"")</f>
        <v/>
      </c>
      <c r="Z1074" s="3">
        <f>IF(ISNUMBER(AVERAGE('20250815_ETF_Options_Exhibits'!Z1070:Z1074)),AVERAGE('20250815_ETF_Options_Exhibits'!Z1070:Z1074),"")</f>
        <v/>
      </c>
      <c r="AA1074" s="3">
        <f>IF(ISNUMBER(AVERAGE('20250815_ETF_Options_Exhibits'!AA1070:AA1074)),AVERAGE('20250815_ETF_Options_Exhibits'!AA1070:AA1074),"")</f>
        <v/>
      </c>
    </row>
    <row r="1075">
      <c r="A1075" s="1" t="n">
        <v>43563</v>
      </c>
      <c r="B1075" s="3">
        <f>IF(ISNUMBER(AVERAGE('20250815_ETF_Options_Exhibits'!B1071:B1075)),AVERAGE('20250815_ETF_Options_Exhibits'!B1071:B1075),"")</f>
        <v/>
      </c>
      <c r="C1075" s="3">
        <f>IF(ISNUMBER(AVERAGE('20250815_ETF_Options_Exhibits'!C1071:C1075)),AVERAGE('20250815_ETF_Options_Exhibits'!C1071:C1075),"")</f>
        <v/>
      </c>
      <c r="D1075" s="3">
        <f>IF(ISNUMBER(AVERAGE('20250815_ETF_Options_Exhibits'!D1071:D1075)),AVERAGE('20250815_ETF_Options_Exhibits'!D1071:D1075),"")</f>
        <v/>
      </c>
      <c r="E1075" s="3">
        <f>IF(ISNUMBER(AVERAGE('20250815_ETF_Options_Exhibits'!E1071:E1075)),AVERAGE('20250815_ETF_Options_Exhibits'!E1071:E1075),"")</f>
        <v/>
      </c>
      <c r="F1075" s="3">
        <f>IF(ISNUMBER(AVERAGE('20250815_ETF_Options_Exhibits'!F1071:F1075)),AVERAGE('20250815_ETF_Options_Exhibits'!F1071:F1075),"")</f>
        <v/>
      </c>
      <c r="G1075" s="3">
        <f>IF(ISNUMBER(AVERAGE('20250815_ETF_Options_Exhibits'!G1071:G1075)),AVERAGE('20250815_ETF_Options_Exhibits'!G1071:G1075),"")</f>
        <v/>
      </c>
      <c r="H1075" s="3">
        <f>IF(ISNUMBER(AVERAGE('20250815_ETF_Options_Exhibits'!H1071:H1075)),AVERAGE('20250815_ETF_Options_Exhibits'!H1071:H1075),"")</f>
        <v/>
      </c>
      <c r="I1075" s="3">
        <f>IF(ISNUMBER(AVERAGE('20250815_ETF_Options_Exhibits'!I1071:I1075)),AVERAGE('20250815_ETF_Options_Exhibits'!I1071:I1075),"")</f>
        <v/>
      </c>
      <c r="J1075" s="3">
        <f>IF(ISNUMBER(AVERAGE('20250815_ETF_Options_Exhibits'!J1071:J1075)),AVERAGE('20250815_ETF_Options_Exhibits'!J1071:J1075),"")</f>
        <v/>
      </c>
      <c r="K1075" s="3">
        <f>IF(ISNUMBER(AVERAGE('20250815_ETF_Options_Exhibits'!K1071:K1075)),AVERAGE('20250815_ETF_Options_Exhibits'!K1071:K1075),"")</f>
        <v/>
      </c>
      <c r="L1075" s="3">
        <f>IF(ISNUMBER(AVERAGE('20250815_ETF_Options_Exhibits'!L1071:L1075)),AVERAGE('20250815_ETF_Options_Exhibits'!L1071:L1075),"")</f>
        <v/>
      </c>
      <c r="M1075" s="3">
        <f>IF(ISNUMBER(AVERAGE('20250815_ETF_Options_Exhibits'!M1071:M1075)),AVERAGE('20250815_ETF_Options_Exhibits'!M1071:M1075),"")</f>
        <v/>
      </c>
      <c r="N1075" s="3">
        <f>IF(ISNUMBER(AVERAGE('20250815_ETF_Options_Exhibits'!N1071:N1075)),AVERAGE('20250815_ETF_Options_Exhibits'!N1071:N1075),"")</f>
        <v/>
      </c>
      <c r="O1075" s="3">
        <f>IF(ISNUMBER(AVERAGE('20250815_ETF_Options_Exhibits'!O1071:O1075)),AVERAGE('20250815_ETF_Options_Exhibits'!O1071:O1075),"")</f>
        <v/>
      </c>
      <c r="P1075" s="3">
        <f>IF(ISNUMBER(AVERAGE('20250815_ETF_Options_Exhibits'!P1071:P1075)),AVERAGE('20250815_ETF_Options_Exhibits'!P1071:P1075),"")</f>
        <v/>
      </c>
      <c r="Q1075" s="3">
        <f>IF(ISNUMBER(AVERAGE('20250815_ETF_Options_Exhibits'!Q1071:Q1075)),AVERAGE('20250815_ETF_Options_Exhibits'!Q1071:Q1075),"")</f>
        <v/>
      </c>
      <c r="R1075" s="3">
        <f>IF(ISNUMBER(AVERAGE('20250815_ETF_Options_Exhibits'!R1071:R1075)),AVERAGE('20250815_ETF_Options_Exhibits'!R1071:R1075),"")</f>
        <v/>
      </c>
      <c r="S1075" s="3">
        <f>IF(ISNUMBER(AVERAGE('20250815_ETF_Options_Exhibits'!S1071:S1075)),AVERAGE('20250815_ETF_Options_Exhibits'!S1071:S1075),"")</f>
        <v/>
      </c>
      <c r="T1075" s="3">
        <f>IF(ISNUMBER(AVERAGE('20250815_ETF_Options_Exhibits'!T1071:T1075)),AVERAGE('20250815_ETF_Options_Exhibits'!T1071:T1075),"")</f>
        <v/>
      </c>
      <c r="U1075" s="3">
        <f>IF(ISNUMBER(AVERAGE('20250815_ETF_Options_Exhibits'!U1071:U1075)),AVERAGE('20250815_ETF_Options_Exhibits'!U1071:U1075),"")</f>
        <v/>
      </c>
      <c r="V1075" s="3">
        <f>IF(ISNUMBER(AVERAGE('20250815_ETF_Options_Exhibits'!V1071:V1075)),AVERAGE('20250815_ETF_Options_Exhibits'!V1071:V1075),"")</f>
        <v/>
      </c>
      <c r="W1075" s="3">
        <f>IF(ISNUMBER(AVERAGE('20250815_ETF_Options_Exhibits'!W1071:W1075)),AVERAGE('20250815_ETF_Options_Exhibits'!W1071:W1075),"")</f>
        <v/>
      </c>
      <c r="X1075" s="3">
        <f>IF(ISNUMBER(AVERAGE('20250815_ETF_Options_Exhibits'!X1071:X1075)),AVERAGE('20250815_ETF_Options_Exhibits'!X1071:X1075),"")</f>
        <v/>
      </c>
      <c r="Y1075" s="3">
        <f>IF(ISNUMBER(AVERAGE('20250815_ETF_Options_Exhibits'!Y1071:Y1075)),AVERAGE('20250815_ETF_Options_Exhibits'!Y1071:Y1075),"")</f>
        <v/>
      </c>
      <c r="Z1075" s="3">
        <f>IF(ISNUMBER(AVERAGE('20250815_ETF_Options_Exhibits'!Z1071:Z1075)),AVERAGE('20250815_ETF_Options_Exhibits'!Z1071:Z1075),"")</f>
        <v/>
      </c>
      <c r="AA1075" s="3">
        <f>IF(ISNUMBER(AVERAGE('20250815_ETF_Options_Exhibits'!AA1071:AA1075)),AVERAGE('20250815_ETF_Options_Exhibits'!AA1071:AA1075),"")</f>
        <v/>
      </c>
    </row>
    <row r="1076">
      <c r="A1076" s="1" t="n">
        <v>43564</v>
      </c>
      <c r="B1076" s="3">
        <f>IF(ISNUMBER(AVERAGE('20250815_ETF_Options_Exhibits'!B1072:B1076)),AVERAGE('20250815_ETF_Options_Exhibits'!B1072:B1076),"")</f>
        <v/>
      </c>
      <c r="C1076" s="3">
        <f>IF(ISNUMBER(AVERAGE('20250815_ETF_Options_Exhibits'!C1072:C1076)),AVERAGE('20250815_ETF_Options_Exhibits'!C1072:C1076),"")</f>
        <v/>
      </c>
      <c r="D1076" s="3">
        <f>IF(ISNUMBER(AVERAGE('20250815_ETF_Options_Exhibits'!D1072:D1076)),AVERAGE('20250815_ETF_Options_Exhibits'!D1072:D1076),"")</f>
        <v/>
      </c>
      <c r="E1076" s="3">
        <f>IF(ISNUMBER(AVERAGE('20250815_ETF_Options_Exhibits'!E1072:E1076)),AVERAGE('20250815_ETF_Options_Exhibits'!E1072:E1076),"")</f>
        <v/>
      </c>
      <c r="F1076" s="3">
        <f>IF(ISNUMBER(AVERAGE('20250815_ETF_Options_Exhibits'!F1072:F1076)),AVERAGE('20250815_ETF_Options_Exhibits'!F1072:F1076),"")</f>
        <v/>
      </c>
      <c r="G1076" s="3">
        <f>IF(ISNUMBER(AVERAGE('20250815_ETF_Options_Exhibits'!G1072:G1076)),AVERAGE('20250815_ETF_Options_Exhibits'!G1072:G1076),"")</f>
        <v/>
      </c>
      <c r="H1076" s="3">
        <f>IF(ISNUMBER(AVERAGE('20250815_ETF_Options_Exhibits'!H1072:H1076)),AVERAGE('20250815_ETF_Options_Exhibits'!H1072:H1076),"")</f>
        <v/>
      </c>
      <c r="I1076" s="3">
        <f>IF(ISNUMBER(AVERAGE('20250815_ETF_Options_Exhibits'!I1072:I1076)),AVERAGE('20250815_ETF_Options_Exhibits'!I1072:I1076),"")</f>
        <v/>
      </c>
      <c r="J1076" s="3">
        <f>IF(ISNUMBER(AVERAGE('20250815_ETF_Options_Exhibits'!J1072:J1076)),AVERAGE('20250815_ETF_Options_Exhibits'!J1072:J1076),"")</f>
        <v/>
      </c>
      <c r="K1076" s="3">
        <f>IF(ISNUMBER(AVERAGE('20250815_ETF_Options_Exhibits'!K1072:K1076)),AVERAGE('20250815_ETF_Options_Exhibits'!K1072:K1076),"")</f>
        <v/>
      </c>
      <c r="L1076" s="3">
        <f>IF(ISNUMBER(AVERAGE('20250815_ETF_Options_Exhibits'!L1072:L1076)),AVERAGE('20250815_ETF_Options_Exhibits'!L1072:L1076),"")</f>
        <v/>
      </c>
      <c r="M1076" s="3">
        <f>IF(ISNUMBER(AVERAGE('20250815_ETF_Options_Exhibits'!M1072:M1076)),AVERAGE('20250815_ETF_Options_Exhibits'!M1072:M1076),"")</f>
        <v/>
      </c>
      <c r="N1076" s="3">
        <f>IF(ISNUMBER(AVERAGE('20250815_ETF_Options_Exhibits'!N1072:N1076)),AVERAGE('20250815_ETF_Options_Exhibits'!N1072:N1076),"")</f>
        <v/>
      </c>
      <c r="O1076" s="3">
        <f>IF(ISNUMBER(AVERAGE('20250815_ETF_Options_Exhibits'!O1072:O1076)),AVERAGE('20250815_ETF_Options_Exhibits'!O1072:O1076),"")</f>
        <v/>
      </c>
      <c r="P1076" s="3">
        <f>IF(ISNUMBER(AVERAGE('20250815_ETF_Options_Exhibits'!P1072:P1076)),AVERAGE('20250815_ETF_Options_Exhibits'!P1072:P1076),"")</f>
        <v/>
      </c>
      <c r="Q1076" s="3">
        <f>IF(ISNUMBER(AVERAGE('20250815_ETF_Options_Exhibits'!Q1072:Q1076)),AVERAGE('20250815_ETF_Options_Exhibits'!Q1072:Q1076),"")</f>
        <v/>
      </c>
      <c r="R1076" s="3">
        <f>IF(ISNUMBER(AVERAGE('20250815_ETF_Options_Exhibits'!R1072:R1076)),AVERAGE('20250815_ETF_Options_Exhibits'!R1072:R1076),"")</f>
        <v/>
      </c>
      <c r="S1076" s="3">
        <f>IF(ISNUMBER(AVERAGE('20250815_ETF_Options_Exhibits'!S1072:S1076)),AVERAGE('20250815_ETF_Options_Exhibits'!S1072:S1076),"")</f>
        <v/>
      </c>
      <c r="T1076" s="3">
        <f>IF(ISNUMBER(AVERAGE('20250815_ETF_Options_Exhibits'!T1072:T1076)),AVERAGE('20250815_ETF_Options_Exhibits'!T1072:T1076),"")</f>
        <v/>
      </c>
      <c r="U1076" s="3">
        <f>IF(ISNUMBER(AVERAGE('20250815_ETF_Options_Exhibits'!U1072:U1076)),AVERAGE('20250815_ETF_Options_Exhibits'!U1072:U1076),"")</f>
        <v/>
      </c>
      <c r="V1076" s="3">
        <f>IF(ISNUMBER(AVERAGE('20250815_ETF_Options_Exhibits'!V1072:V1076)),AVERAGE('20250815_ETF_Options_Exhibits'!V1072:V1076),"")</f>
        <v/>
      </c>
      <c r="W1076" s="3">
        <f>IF(ISNUMBER(AVERAGE('20250815_ETF_Options_Exhibits'!W1072:W1076)),AVERAGE('20250815_ETF_Options_Exhibits'!W1072:W1076),"")</f>
        <v/>
      </c>
      <c r="X1076" s="3">
        <f>IF(ISNUMBER(AVERAGE('20250815_ETF_Options_Exhibits'!X1072:X1076)),AVERAGE('20250815_ETF_Options_Exhibits'!X1072:X1076),"")</f>
        <v/>
      </c>
      <c r="Y1076" s="3">
        <f>IF(ISNUMBER(AVERAGE('20250815_ETF_Options_Exhibits'!Y1072:Y1076)),AVERAGE('20250815_ETF_Options_Exhibits'!Y1072:Y1076),"")</f>
        <v/>
      </c>
      <c r="Z1076" s="3">
        <f>IF(ISNUMBER(AVERAGE('20250815_ETF_Options_Exhibits'!Z1072:Z1076)),AVERAGE('20250815_ETF_Options_Exhibits'!Z1072:Z1076),"")</f>
        <v/>
      </c>
      <c r="AA1076" s="3">
        <f>IF(ISNUMBER(AVERAGE('20250815_ETF_Options_Exhibits'!AA1072:AA1076)),AVERAGE('20250815_ETF_Options_Exhibits'!AA1072:AA1076),"")</f>
        <v/>
      </c>
    </row>
    <row r="1077">
      <c r="A1077" s="1" t="n">
        <v>43565</v>
      </c>
      <c r="B1077" s="3">
        <f>IF(ISNUMBER(AVERAGE('20250815_ETF_Options_Exhibits'!B1073:B1077)),AVERAGE('20250815_ETF_Options_Exhibits'!B1073:B1077),"")</f>
        <v/>
      </c>
      <c r="C1077" s="3">
        <f>IF(ISNUMBER(AVERAGE('20250815_ETF_Options_Exhibits'!C1073:C1077)),AVERAGE('20250815_ETF_Options_Exhibits'!C1073:C1077),"")</f>
        <v/>
      </c>
      <c r="D1077" s="3">
        <f>IF(ISNUMBER(AVERAGE('20250815_ETF_Options_Exhibits'!D1073:D1077)),AVERAGE('20250815_ETF_Options_Exhibits'!D1073:D1077),"")</f>
        <v/>
      </c>
      <c r="E1077" s="3">
        <f>IF(ISNUMBER(AVERAGE('20250815_ETF_Options_Exhibits'!E1073:E1077)),AVERAGE('20250815_ETF_Options_Exhibits'!E1073:E1077),"")</f>
        <v/>
      </c>
      <c r="F1077" s="3">
        <f>IF(ISNUMBER(AVERAGE('20250815_ETF_Options_Exhibits'!F1073:F1077)),AVERAGE('20250815_ETF_Options_Exhibits'!F1073:F1077),"")</f>
        <v/>
      </c>
      <c r="G1077" s="3">
        <f>IF(ISNUMBER(AVERAGE('20250815_ETF_Options_Exhibits'!G1073:G1077)),AVERAGE('20250815_ETF_Options_Exhibits'!G1073:G1077),"")</f>
        <v/>
      </c>
      <c r="H1077" s="3">
        <f>IF(ISNUMBER(AVERAGE('20250815_ETF_Options_Exhibits'!H1073:H1077)),AVERAGE('20250815_ETF_Options_Exhibits'!H1073:H1077),"")</f>
        <v/>
      </c>
      <c r="I1077" s="3">
        <f>IF(ISNUMBER(AVERAGE('20250815_ETF_Options_Exhibits'!I1073:I1077)),AVERAGE('20250815_ETF_Options_Exhibits'!I1073:I1077),"")</f>
        <v/>
      </c>
      <c r="J1077" s="3">
        <f>IF(ISNUMBER(AVERAGE('20250815_ETF_Options_Exhibits'!J1073:J1077)),AVERAGE('20250815_ETF_Options_Exhibits'!J1073:J1077),"")</f>
        <v/>
      </c>
      <c r="K1077" s="3">
        <f>IF(ISNUMBER(AVERAGE('20250815_ETF_Options_Exhibits'!K1073:K1077)),AVERAGE('20250815_ETF_Options_Exhibits'!K1073:K1077),"")</f>
        <v/>
      </c>
      <c r="L1077" s="3">
        <f>IF(ISNUMBER(AVERAGE('20250815_ETF_Options_Exhibits'!L1073:L1077)),AVERAGE('20250815_ETF_Options_Exhibits'!L1073:L1077),"")</f>
        <v/>
      </c>
      <c r="M1077" s="3">
        <f>IF(ISNUMBER(AVERAGE('20250815_ETF_Options_Exhibits'!M1073:M1077)),AVERAGE('20250815_ETF_Options_Exhibits'!M1073:M1077),"")</f>
        <v/>
      </c>
      <c r="N1077" s="3">
        <f>IF(ISNUMBER(AVERAGE('20250815_ETF_Options_Exhibits'!N1073:N1077)),AVERAGE('20250815_ETF_Options_Exhibits'!N1073:N1077),"")</f>
        <v/>
      </c>
      <c r="O1077" s="3">
        <f>IF(ISNUMBER(AVERAGE('20250815_ETF_Options_Exhibits'!O1073:O1077)),AVERAGE('20250815_ETF_Options_Exhibits'!O1073:O1077),"")</f>
        <v/>
      </c>
      <c r="P1077" s="3">
        <f>IF(ISNUMBER(AVERAGE('20250815_ETF_Options_Exhibits'!P1073:P1077)),AVERAGE('20250815_ETF_Options_Exhibits'!P1073:P1077),"")</f>
        <v/>
      </c>
      <c r="Q1077" s="3">
        <f>IF(ISNUMBER(AVERAGE('20250815_ETF_Options_Exhibits'!Q1073:Q1077)),AVERAGE('20250815_ETF_Options_Exhibits'!Q1073:Q1077),"")</f>
        <v/>
      </c>
      <c r="R1077" s="3">
        <f>IF(ISNUMBER(AVERAGE('20250815_ETF_Options_Exhibits'!R1073:R1077)),AVERAGE('20250815_ETF_Options_Exhibits'!R1073:R1077),"")</f>
        <v/>
      </c>
      <c r="S1077" s="3">
        <f>IF(ISNUMBER(AVERAGE('20250815_ETF_Options_Exhibits'!S1073:S1077)),AVERAGE('20250815_ETF_Options_Exhibits'!S1073:S1077),"")</f>
        <v/>
      </c>
      <c r="T1077" s="3">
        <f>IF(ISNUMBER(AVERAGE('20250815_ETF_Options_Exhibits'!T1073:T1077)),AVERAGE('20250815_ETF_Options_Exhibits'!T1073:T1077),"")</f>
        <v/>
      </c>
      <c r="U1077" s="3">
        <f>IF(ISNUMBER(AVERAGE('20250815_ETF_Options_Exhibits'!U1073:U1077)),AVERAGE('20250815_ETF_Options_Exhibits'!U1073:U1077),"")</f>
        <v/>
      </c>
      <c r="V1077" s="3">
        <f>IF(ISNUMBER(AVERAGE('20250815_ETF_Options_Exhibits'!V1073:V1077)),AVERAGE('20250815_ETF_Options_Exhibits'!V1073:V1077),"")</f>
        <v/>
      </c>
      <c r="W1077" s="3">
        <f>IF(ISNUMBER(AVERAGE('20250815_ETF_Options_Exhibits'!W1073:W1077)),AVERAGE('20250815_ETF_Options_Exhibits'!W1073:W1077),"")</f>
        <v/>
      </c>
      <c r="X1077" s="3">
        <f>IF(ISNUMBER(AVERAGE('20250815_ETF_Options_Exhibits'!X1073:X1077)),AVERAGE('20250815_ETF_Options_Exhibits'!X1073:X1077),"")</f>
        <v/>
      </c>
      <c r="Y1077" s="3">
        <f>IF(ISNUMBER(AVERAGE('20250815_ETF_Options_Exhibits'!Y1073:Y1077)),AVERAGE('20250815_ETF_Options_Exhibits'!Y1073:Y1077),"")</f>
        <v/>
      </c>
      <c r="Z1077" s="3">
        <f>IF(ISNUMBER(AVERAGE('20250815_ETF_Options_Exhibits'!Z1073:Z1077)),AVERAGE('20250815_ETF_Options_Exhibits'!Z1073:Z1077),"")</f>
        <v/>
      </c>
      <c r="AA1077" s="3">
        <f>IF(ISNUMBER(AVERAGE('20250815_ETF_Options_Exhibits'!AA1073:AA1077)),AVERAGE('20250815_ETF_Options_Exhibits'!AA1073:AA1077),"")</f>
        <v/>
      </c>
    </row>
    <row r="1078">
      <c r="A1078" s="1" t="n">
        <v>43566</v>
      </c>
      <c r="B1078" s="3">
        <f>IF(ISNUMBER(AVERAGE('20250815_ETF_Options_Exhibits'!B1074:B1078)),AVERAGE('20250815_ETF_Options_Exhibits'!B1074:B1078),"")</f>
        <v/>
      </c>
      <c r="C1078" s="3">
        <f>IF(ISNUMBER(AVERAGE('20250815_ETF_Options_Exhibits'!C1074:C1078)),AVERAGE('20250815_ETF_Options_Exhibits'!C1074:C1078),"")</f>
        <v/>
      </c>
      <c r="D1078" s="3">
        <f>IF(ISNUMBER(AVERAGE('20250815_ETF_Options_Exhibits'!D1074:D1078)),AVERAGE('20250815_ETF_Options_Exhibits'!D1074:D1078),"")</f>
        <v/>
      </c>
      <c r="E1078" s="3">
        <f>IF(ISNUMBER(AVERAGE('20250815_ETF_Options_Exhibits'!E1074:E1078)),AVERAGE('20250815_ETF_Options_Exhibits'!E1074:E1078),"")</f>
        <v/>
      </c>
      <c r="F1078" s="3">
        <f>IF(ISNUMBER(AVERAGE('20250815_ETF_Options_Exhibits'!F1074:F1078)),AVERAGE('20250815_ETF_Options_Exhibits'!F1074:F1078),"")</f>
        <v/>
      </c>
      <c r="G1078" s="3">
        <f>IF(ISNUMBER(AVERAGE('20250815_ETF_Options_Exhibits'!G1074:G1078)),AVERAGE('20250815_ETF_Options_Exhibits'!G1074:G1078),"")</f>
        <v/>
      </c>
      <c r="H1078" s="3">
        <f>IF(ISNUMBER(AVERAGE('20250815_ETF_Options_Exhibits'!H1074:H1078)),AVERAGE('20250815_ETF_Options_Exhibits'!H1074:H1078),"")</f>
        <v/>
      </c>
      <c r="I1078" s="3">
        <f>IF(ISNUMBER(AVERAGE('20250815_ETF_Options_Exhibits'!I1074:I1078)),AVERAGE('20250815_ETF_Options_Exhibits'!I1074:I1078),"")</f>
        <v/>
      </c>
      <c r="J1078" s="3">
        <f>IF(ISNUMBER(AVERAGE('20250815_ETF_Options_Exhibits'!J1074:J1078)),AVERAGE('20250815_ETF_Options_Exhibits'!J1074:J1078),"")</f>
        <v/>
      </c>
      <c r="K1078" s="3">
        <f>IF(ISNUMBER(AVERAGE('20250815_ETF_Options_Exhibits'!K1074:K1078)),AVERAGE('20250815_ETF_Options_Exhibits'!K1074:K1078),"")</f>
        <v/>
      </c>
      <c r="L1078" s="3">
        <f>IF(ISNUMBER(AVERAGE('20250815_ETF_Options_Exhibits'!L1074:L1078)),AVERAGE('20250815_ETF_Options_Exhibits'!L1074:L1078),"")</f>
        <v/>
      </c>
      <c r="M1078" s="3">
        <f>IF(ISNUMBER(AVERAGE('20250815_ETF_Options_Exhibits'!M1074:M1078)),AVERAGE('20250815_ETF_Options_Exhibits'!M1074:M1078),"")</f>
        <v/>
      </c>
      <c r="N1078" s="3">
        <f>IF(ISNUMBER(AVERAGE('20250815_ETF_Options_Exhibits'!N1074:N1078)),AVERAGE('20250815_ETF_Options_Exhibits'!N1074:N1078),"")</f>
        <v/>
      </c>
      <c r="O1078" s="3">
        <f>IF(ISNUMBER(AVERAGE('20250815_ETF_Options_Exhibits'!O1074:O1078)),AVERAGE('20250815_ETF_Options_Exhibits'!O1074:O1078),"")</f>
        <v/>
      </c>
      <c r="P1078" s="3">
        <f>IF(ISNUMBER(AVERAGE('20250815_ETF_Options_Exhibits'!P1074:P1078)),AVERAGE('20250815_ETF_Options_Exhibits'!P1074:P1078),"")</f>
        <v/>
      </c>
      <c r="Q1078" s="3">
        <f>IF(ISNUMBER(AVERAGE('20250815_ETF_Options_Exhibits'!Q1074:Q1078)),AVERAGE('20250815_ETF_Options_Exhibits'!Q1074:Q1078),"")</f>
        <v/>
      </c>
      <c r="R1078" s="3">
        <f>IF(ISNUMBER(AVERAGE('20250815_ETF_Options_Exhibits'!R1074:R1078)),AVERAGE('20250815_ETF_Options_Exhibits'!R1074:R1078),"")</f>
        <v/>
      </c>
      <c r="S1078" s="3">
        <f>IF(ISNUMBER(AVERAGE('20250815_ETF_Options_Exhibits'!S1074:S1078)),AVERAGE('20250815_ETF_Options_Exhibits'!S1074:S1078),"")</f>
        <v/>
      </c>
      <c r="T1078" s="3">
        <f>IF(ISNUMBER(AVERAGE('20250815_ETF_Options_Exhibits'!T1074:T1078)),AVERAGE('20250815_ETF_Options_Exhibits'!T1074:T1078),"")</f>
        <v/>
      </c>
      <c r="U1078" s="3">
        <f>IF(ISNUMBER(AVERAGE('20250815_ETF_Options_Exhibits'!U1074:U1078)),AVERAGE('20250815_ETF_Options_Exhibits'!U1074:U1078),"")</f>
        <v/>
      </c>
      <c r="V1078" s="3">
        <f>IF(ISNUMBER(AVERAGE('20250815_ETF_Options_Exhibits'!V1074:V1078)),AVERAGE('20250815_ETF_Options_Exhibits'!V1074:V1078),"")</f>
        <v/>
      </c>
      <c r="W1078" s="3">
        <f>IF(ISNUMBER(AVERAGE('20250815_ETF_Options_Exhibits'!W1074:W1078)),AVERAGE('20250815_ETF_Options_Exhibits'!W1074:W1078),"")</f>
        <v/>
      </c>
      <c r="X1078" s="3">
        <f>IF(ISNUMBER(AVERAGE('20250815_ETF_Options_Exhibits'!X1074:X1078)),AVERAGE('20250815_ETF_Options_Exhibits'!X1074:X1078),"")</f>
        <v/>
      </c>
      <c r="Y1078" s="3">
        <f>IF(ISNUMBER(AVERAGE('20250815_ETF_Options_Exhibits'!Y1074:Y1078)),AVERAGE('20250815_ETF_Options_Exhibits'!Y1074:Y1078),"")</f>
        <v/>
      </c>
      <c r="Z1078" s="3">
        <f>IF(ISNUMBER(AVERAGE('20250815_ETF_Options_Exhibits'!Z1074:Z1078)),AVERAGE('20250815_ETF_Options_Exhibits'!Z1074:Z1078),"")</f>
        <v/>
      </c>
      <c r="AA1078" s="3">
        <f>IF(ISNUMBER(AVERAGE('20250815_ETF_Options_Exhibits'!AA1074:AA1078)),AVERAGE('20250815_ETF_Options_Exhibits'!AA1074:AA1078),"")</f>
        <v/>
      </c>
    </row>
    <row r="1079">
      <c r="A1079" s="1" t="n">
        <v>43567</v>
      </c>
      <c r="B1079" s="3">
        <f>IF(ISNUMBER(AVERAGE('20250815_ETF_Options_Exhibits'!B1075:B1079)),AVERAGE('20250815_ETF_Options_Exhibits'!B1075:B1079),"")</f>
        <v/>
      </c>
      <c r="C1079" s="3">
        <f>IF(ISNUMBER(AVERAGE('20250815_ETF_Options_Exhibits'!C1075:C1079)),AVERAGE('20250815_ETF_Options_Exhibits'!C1075:C1079),"")</f>
        <v/>
      </c>
      <c r="D1079" s="3">
        <f>IF(ISNUMBER(AVERAGE('20250815_ETF_Options_Exhibits'!D1075:D1079)),AVERAGE('20250815_ETF_Options_Exhibits'!D1075:D1079),"")</f>
        <v/>
      </c>
      <c r="E1079" s="3">
        <f>IF(ISNUMBER(AVERAGE('20250815_ETF_Options_Exhibits'!E1075:E1079)),AVERAGE('20250815_ETF_Options_Exhibits'!E1075:E1079),"")</f>
        <v/>
      </c>
      <c r="F1079" s="3">
        <f>IF(ISNUMBER(AVERAGE('20250815_ETF_Options_Exhibits'!F1075:F1079)),AVERAGE('20250815_ETF_Options_Exhibits'!F1075:F1079),"")</f>
        <v/>
      </c>
      <c r="G1079" s="3">
        <f>IF(ISNUMBER(AVERAGE('20250815_ETF_Options_Exhibits'!G1075:G1079)),AVERAGE('20250815_ETF_Options_Exhibits'!G1075:G1079),"")</f>
        <v/>
      </c>
      <c r="H1079" s="3">
        <f>IF(ISNUMBER(AVERAGE('20250815_ETF_Options_Exhibits'!H1075:H1079)),AVERAGE('20250815_ETF_Options_Exhibits'!H1075:H1079),"")</f>
        <v/>
      </c>
      <c r="I1079" s="3">
        <f>IF(ISNUMBER(AVERAGE('20250815_ETF_Options_Exhibits'!I1075:I1079)),AVERAGE('20250815_ETF_Options_Exhibits'!I1075:I1079),"")</f>
        <v/>
      </c>
      <c r="J1079" s="3">
        <f>IF(ISNUMBER(AVERAGE('20250815_ETF_Options_Exhibits'!J1075:J1079)),AVERAGE('20250815_ETF_Options_Exhibits'!J1075:J1079),"")</f>
        <v/>
      </c>
      <c r="K1079" s="3">
        <f>IF(ISNUMBER(AVERAGE('20250815_ETF_Options_Exhibits'!K1075:K1079)),AVERAGE('20250815_ETF_Options_Exhibits'!K1075:K1079),"")</f>
        <v/>
      </c>
      <c r="L1079" s="3">
        <f>IF(ISNUMBER(AVERAGE('20250815_ETF_Options_Exhibits'!L1075:L1079)),AVERAGE('20250815_ETF_Options_Exhibits'!L1075:L1079),"")</f>
        <v/>
      </c>
      <c r="M1079" s="3">
        <f>IF(ISNUMBER(AVERAGE('20250815_ETF_Options_Exhibits'!M1075:M1079)),AVERAGE('20250815_ETF_Options_Exhibits'!M1075:M1079),"")</f>
        <v/>
      </c>
      <c r="N1079" s="3">
        <f>IF(ISNUMBER(AVERAGE('20250815_ETF_Options_Exhibits'!N1075:N1079)),AVERAGE('20250815_ETF_Options_Exhibits'!N1075:N1079),"")</f>
        <v/>
      </c>
      <c r="O1079" s="3">
        <f>IF(ISNUMBER(AVERAGE('20250815_ETF_Options_Exhibits'!O1075:O1079)),AVERAGE('20250815_ETF_Options_Exhibits'!O1075:O1079),"")</f>
        <v/>
      </c>
      <c r="P1079" s="3">
        <f>IF(ISNUMBER(AVERAGE('20250815_ETF_Options_Exhibits'!P1075:P1079)),AVERAGE('20250815_ETF_Options_Exhibits'!P1075:P1079),"")</f>
        <v/>
      </c>
      <c r="Q1079" s="3">
        <f>IF(ISNUMBER(AVERAGE('20250815_ETF_Options_Exhibits'!Q1075:Q1079)),AVERAGE('20250815_ETF_Options_Exhibits'!Q1075:Q1079),"")</f>
        <v/>
      </c>
      <c r="R1079" s="3">
        <f>IF(ISNUMBER(AVERAGE('20250815_ETF_Options_Exhibits'!R1075:R1079)),AVERAGE('20250815_ETF_Options_Exhibits'!R1075:R1079),"")</f>
        <v/>
      </c>
      <c r="S1079" s="3">
        <f>IF(ISNUMBER(AVERAGE('20250815_ETF_Options_Exhibits'!S1075:S1079)),AVERAGE('20250815_ETF_Options_Exhibits'!S1075:S1079),"")</f>
        <v/>
      </c>
      <c r="T1079" s="3">
        <f>IF(ISNUMBER(AVERAGE('20250815_ETF_Options_Exhibits'!T1075:T1079)),AVERAGE('20250815_ETF_Options_Exhibits'!T1075:T1079),"")</f>
        <v/>
      </c>
      <c r="U1079" s="3">
        <f>IF(ISNUMBER(AVERAGE('20250815_ETF_Options_Exhibits'!U1075:U1079)),AVERAGE('20250815_ETF_Options_Exhibits'!U1075:U1079),"")</f>
        <v/>
      </c>
      <c r="V1079" s="3">
        <f>IF(ISNUMBER(AVERAGE('20250815_ETF_Options_Exhibits'!V1075:V1079)),AVERAGE('20250815_ETF_Options_Exhibits'!V1075:V1079),"")</f>
        <v/>
      </c>
      <c r="W1079" s="3">
        <f>IF(ISNUMBER(AVERAGE('20250815_ETF_Options_Exhibits'!W1075:W1079)),AVERAGE('20250815_ETF_Options_Exhibits'!W1075:W1079),"")</f>
        <v/>
      </c>
      <c r="X1079" s="3">
        <f>IF(ISNUMBER(AVERAGE('20250815_ETF_Options_Exhibits'!X1075:X1079)),AVERAGE('20250815_ETF_Options_Exhibits'!X1075:X1079),"")</f>
        <v/>
      </c>
      <c r="Y1079" s="3">
        <f>IF(ISNUMBER(AVERAGE('20250815_ETF_Options_Exhibits'!Y1075:Y1079)),AVERAGE('20250815_ETF_Options_Exhibits'!Y1075:Y1079),"")</f>
        <v/>
      </c>
      <c r="Z1079" s="3">
        <f>IF(ISNUMBER(AVERAGE('20250815_ETF_Options_Exhibits'!Z1075:Z1079)),AVERAGE('20250815_ETF_Options_Exhibits'!Z1075:Z1079),"")</f>
        <v/>
      </c>
      <c r="AA1079" s="3">
        <f>IF(ISNUMBER(AVERAGE('20250815_ETF_Options_Exhibits'!AA1075:AA1079)),AVERAGE('20250815_ETF_Options_Exhibits'!AA1075:AA1079),"")</f>
        <v/>
      </c>
    </row>
    <row r="1080">
      <c r="A1080" s="1" t="n">
        <v>43570</v>
      </c>
      <c r="B1080" s="3">
        <f>IF(ISNUMBER(AVERAGE('20250815_ETF_Options_Exhibits'!B1076:B1080)),AVERAGE('20250815_ETF_Options_Exhibits'!B1076:B1080),"")</f>
        <v/>
      </c>
      <c r="C1080" s="3">
        <f>IF(ISNUMBER(AVERAGE('20250815_ETF_Options_Exhibits'!C1076:C1080)),AVERAGE('20250815_ETF_Options_Exhibits'!C1076:C1080),"")</f>
        <v/>
      </c>
      <c r="D1080" s="3">
        <f>IF(ISNUMBER(AVERAGE('20250815_ETF_Options_Exhibits'!D1076:D1080)),AVERAGE('20250815_ETF_Options_Exhibits'!D1076:D1080),"")</f>
        <v/>
      </c>
      <c r="E1080" s="3">
        <f>IF(ISNUMBER(AVERAGE('20250815_ETF_Options_Exhibits'!E1076:E1080)),AVERAGE('20250815_ETF_Options_Exhibits'!E1076:E1080),"")</f>
        <v/>
      </c>
      <c r="F1080" s="3">
        <f>IF(ISNUMBER(AVERAGE('20250815_ETF_Options_Exhibits'!F1076:F1080)),AVERAGE('20250815_ETF_Options_Exhibits'!F1076:F1080),"")</f>
        <v/>
      </c>
      <c r="G1080" s="3">
        <f>IF(ISNUMBER(AVERAGE('20250815_ETF_Options_Exhibits'!G1076:G1080)),AVERAGE('20250815_ETF_Options_Exhibits'!G1076:G1080),"")</f>
        <v/>
      </c>
      <c r="H1080" s="3">
        <f>IF(ISNUMBER(AVERAGE('20250815_ETF_Options_Exhibits'!H1076:H1080)),AVERAGE('20250815_ETF_Options_Exhibits'!H1076:H1080),"")</f>
        <v/>
      </c>
      <c r="I1080" s="3">
        <f>IF(ISNUMBER(AVERAGE('20250815_ETF_Options_Exhibits'!I1076:I1080)),AVERAGE('20250815_ETF_Options_Exhibits'!I1076:I1080),"")</f>
        <v/>
      </c>
      <c r="J1080" s="3">
        <f>IF(ISNUMBER(AVERAGE('20250815_ETF_Options_Exhibits'!J1076:J1080)),AVERAGE('20250815_ETF_Options_Exhibits'!J1076:J1080),"")</f>
        <v/>
      </c>
      <c r="K1080" s="3">
        <f>IF(ISNUMBER(AVERAGE('20250815_ETF_Options_Exhibits'!K1076:K1080)),AVERAGE('20250815_ETF_Options_Exhibits'!K1076:K1080),"")</f>
        <v/>
      </c>
      <c r="L1080" s="3">
        <f>IF(ISNUMBER(AVERAGE('20250815_ETF_Options_Exhibits'!L1076:L1080)),AVERAGE('20250815_ETF_Options_Exhibits'!L1076:L1080),"")</f>
        <v/>
      </c>
      <c r="M1080" s="3">
        <f>IF(ISNUMBER(AVERAGE('20250815_ETF_Options_Exhibits'!M1076:M1080)),AVERAGE('20250815_ETF_Options_Exhibits'!M1076:M1080),"")</f>
        <v/>
      </c>
      <c r="N1080" s="3">
        <f>IF(ISNUMBER(AVERAGE('20250815_ETF_Options_Exhibits'!N1076:N1080)),AVERAGE('20250815_ETF_Options_Exhibits'!N1076:N1080),"")</f>
        <v/>
      </c>
      <c r="O1080" s="3">
        <f>IF(ISNUMBER(AVERAGE('20250815_ETF_Options_Exhibits'!O1076:O1080)),AVERAGE('20250815_ETF_Options_Exhibits'!O1076:O1080),"")</f>
        <v/>
      </c>
      <c r="P1080" s="3">
        <f>IF(ISNUMBER(AVERAGE('20250815_ETF_Options_Exhibits'!P1076:P1080)),AVERAGE('20250815_ETF_Options_Exhibits'!P1076:P1080),"")</f>
        <v/>
      </c>
      <c r="Q1080" s="3">
        <f>IF(ISNUMBER(AVERAGE('20250815_ETF_Options_Exhibits'!Q1076:Q1080)),AVERAGE('20250815_ETF_Options_Exhibits'!Q1076:Q1080),"")</f>
        <v/>
      </c>
      <c r="R1080" s="3">
        <f>IF(ISNUMBER(AVERAGE('20250815_ETF_Options_Exhibits'!R1076:R1080)),AVERAGE('20250815_ETF_Options_Exhibits'!R1076:R1080),"")</f>
        <v/>
      </c>
      <c r="S1080" s="3">
        <f>IF(ISNUMBER(AVERAGE('20250815_ETF_Options_Exhibits'!S1076:S1080)),AVERAGE('20250815_ETF_Options_Exhibits'!S1076:S1080),"")</f>
        <v/>
      </c>
      <c r="T1080" s="3">
        <f>IF(ISNUMBER(AVERAGE('20250815_ETF_Options_Exhibits'!T1076:T1080)),AVERAGE('20250815_ETF_Options_Exhibits'!T1076:T1080),"")</f>
        <v/>
      </c>
      <c r="U1080" s="3">
        <f>IF(ISNUMBER(AVERAGE('20250815_ETF_Options_Exhibits'!U1076:U1080)),AVERAGE('20250815_ETF_Options_Exhibits'!U1076:U1080),"")</f>
        <v/>
      </c>
      <c r="V1080" s="3">
        <f>IF(ISNUMBER(AVERAGE('20250815_ETF_Options_Exhibits'!V1076:V1080)),AVERAGE('20250815_ETF_Options_Exhibits'!V1076:V1080),"")</f>
        <v/>
      </c>
      <c r="W1080" s="3">
        <f>IF(ISNUMBER(AVERAGE('20250815_ETF_Options_Exhibits'!W1076:W1080)),AVERAGE('20250815_ETF_Options_Exhibits'!W1076:W1080),"")</f>
        <v/>
      </c>
      <c r="X1080" s="3">
        <f>IF(ISNUMBER(AVERAGE('20250815_ETF_Options_Exhibits'!X1076:X1080)),AVERAGE('20250815_ETF_Options_Exhibits'!X1076:X1080),"")</f>
        <v/>
      </c>
      <c r="Y1080" s="3">
        <f>IF(ISNUMBER(AVERAGE('20250815_ETF_Options_Exhibits'!Y1076:Y1080)),AVERAGE('20250815_ETF_Options_Exhibits'!Y1076:Y1080),"")</f>
        <v/>
      </c>
      <c r="Z1080" s="3">
        <f>IF(ISNUMBER(AVERAGE('20250815_ETF_Options_Exhibits'!Z1076:Z1080)),AVERAGE('20250815_ETF_Options_Exhibits'!Z1076:Z1080),"")</f>
        <v/>
      </c>
      <c r="AA1080" s="3">
        <f>IF(ISNUMBER(AVERAGE('20250815_ETF_Options_Exhibits'!AA1076:AA1080)),AVERAGE('20250815_ETF_Options_Exhibits'!AA1076:AA1080),"")</f>
        <v/>
      </c>
    </row>
    <row r="1081">
      <c r="A1081" s="1" t="n">
        <v>43571</v>
      </c>
      <c r="B1081" s="3">
        <f>IF(ISNUMBER(AVERAGE('20250815_ETF_Options_Exhibits'!B1077:B1081)),AVERAGE('20250815_ETF_Options_Exhibits'!B1077:B1081),"")</f>
        <v/>
      </c>
      <c r="C1081" s="3">
        <f>IF(ISNUMBER(AVERAGE('20250815_ETF_Options_Exhibits'!C1077:C1081)),AVERAGE('20250815_ETF_Options_Exhibits'!C1077:C1081),"")</f>
        <v/>
      </c>
      <c r="D1081" s="3">
        <f>IF(ISNUMBER(AVERAGE('20250815_ETF_Options_Exhibits'!D1077:D1081)),AVERAGE('20250815_ETF_Options_Exhibits'!D1077:D1081),"")</f>
        <v/>
      </c>
      <c r="E1081" s="3">
        <f>IF(ISNUMBER(AVERAGE('20250815_ETF_Options_Exhibits'!E1077:E1081)),AVERAGE('20250815_ETF_Options_Exhibits'!E1077:E1081),"")</f>
        <v/>
      </c>
      <c r="F1081" s="3">
        <f>IF(ISNUMBER(AVERAGE('20250815_ETF_Options_Exhibits'!F1077:F1081)),AVERAGE('20250815_ETF_Options_Exhibits'!F1077:F1081),"")</f>
        <v/>
      </c>
      <c r="G1081" s="3">
        <f>IF(ISNUMBER(AVERAGE('20250815_ETF_Options_Exhibits'!G1077:G1081)),AVERAGE('20250815_ETF_Options_Exhibits'!G1077:G1081),"")</f>
        <v/>
      </c>
      <c r="H1081" s="3">
        <f>IF(ISNUMBER(AVERAGE('20250815_ETF_Options_Exhibits'!H1077:H1081)),AVERAGE('20250815_ETF_Options_Exhibits'!H1077:H1081),"")</f>
        <v/>
      </c>
      <c r="I1081" s="3">
        <f>IF(ISNUMBER(AVERAGE('20250815_ETF_Options_Exhibits'!I1077:I1081)),AVERAGE('20250815_ETF_Options_Exhibits'!I1077:I1081),"")</f>
        <v/>
      </c>
      <c r="J1081" s="3">
        <f>IF(ISNUMBER(AVERAGE('20250815_ETF_Options_Exhibits'!J1077:J1081)),AVERAGE('20250815_ETF_Options_Exhibits'!J1077:J1081),"")</f>
        <v/>
      </c>
      <c r="K1081" s="3">
        <f>IF(ISNUMBER(AVERAGE('20250815_ETF_Options_Exhibits'!K1077:K1081)),AVERAGE('20250815_ETF_Options_Exhibits'!K1077:K1081),"")</f>
        <v/>
      </c>
      <c r="L1081" s="3">
        <f>IF(ISNUMBER(AVERAGE('20250815_ETF_Options_Exhibits'!L1077:L1081)),AVERAGE('20250815_ETF_Options_Exhibits'!L1077:L1081),"")</f>
        <v/>
      </c>
      <c r="M1081" s="3">
        <f>IF(ISNUMBER(AVERAGE('20250815_ETF_Options_Exhibits'!M1077:M1081)),AVERAGE('20250815_ETF_Options_Exhibits'!M1077:M1081),"")</f>
        <v/>
      </c>
      <c r="N1081" s="3">
        <f>IF(ISNUMBER(AVERAGE('20250815_ETF_Options_Exhibits'!N1077:N1081)),AVERAGE('20250815_ETF_Options_Exhibits'!N1077:N1081),"")</f>
        <v/>
      </c>
      <c r="O1081" s="3">
        <f>IF(ISNUMBER(AVERAGE('20250815_ETF_Options_Exhibits'!O1077:O1081)),AVERAGE('20250815_ETF_Options_Exhibits'!O1077:O1081),"")</f>
        <v/>
      </c>
      <c r="P1081" s="3">
        <f>IF(ISNUMBER(AVERAGE('20250815_ETF_Options_Exhibits'!P1077:P1081)),AVERAGE('20250815_ETF_Options_Exhibits'!P1077:P1081),"")</f>
        <v/>
      </c>
      <c r="Q1081" s="3">
        <f>IF(ISNUMBER(AVERAGE('20250815_ETF_Options_Exhibits'!Q1077:Q1081)),AVERAGE('20250815_ETF_Options_Exhibits'!Q1077:Q1081),"")</f>
        <v/>
      </c>
      <c r="R1081" s="3">
        <f>IF(ISNUMBER(AVERAGE('20250815_ETF_Options_Exhibits'!R1077:R1081)),AVERAGE('20250815_ETF_Options_Exhibits'!R1077:R1081),"")</f>
        <v/>
      </c>
      <c r="S1081" s="3">
        <f>IF(ISNUMBER(AVERAGE('20250815_ETF_Options_Exhibits'!S1077:S1081)),AVERAGE('20250815_ETF_Options_Exhibits'!S1077:S1081),"")</f>
        <v/>
      </c>
      <c r="T1081" s="3">
        <f>IF(ISNUMBER(AVERAGE('20250815_ETF_Options_Exhibits'!T1077:T1081)),AVERAGE('20250815_ETF_Options_Exhibits'!T1077:T1081),"")</f>
        <v/>
      </c>
      <c r="U1081" s="3">
        <f>IF(ISNUMBER(AVERAGE('20250815_ETF_Options_Exhibits'!U1077:U1081)),AVERAGE('20250815_ETF_Options_Exhibits'!U1077:U1081),"")</f>
        <v/>
      </c>
      <c r="V1081" s="3">
        <f>IF(ISNUMBER(AVERAGE('20250815_ETF_Options_Exhibits'!V1077:V1081)),AVERAGE('20250815_ETF_Options_Exhibits'!V1077:V1081),"")</f>
        <v/>
      </c>
      <c r="W1081" s="3">
        <f>IF(ISNUMBER(AVERAGE('20250815_ETF_Options_Exhibits'!W1077:W1081)),AVERAGE('20250815_ETF_Options_Exhibits'!W1077:W1081),"")</f>
        <v/>
      </c>
      <c r="X1081" s="3">
        <f>IF(ISNUMBER(AVERAGE('20250815_ETF_Options_Exhibits'!X1077:X1081)),AVERAGE('20250815_ETF_Options_Exhibits'!X1077:X1081),"")</f>
        <v/>
      </c>
      <c r="Y1081" s="3">
        <f>IF(ISNUMBER(AVERAGE('20250815_ETF_Options_Exhibits'!Y1077:Y1081)),AVERAGE('20250815_ETF_Options_Exhibits'!Y1077:Y1081),"")</f>
        <v/>
      </c>
      <c r="Z1081" s="3">
        <f>IF(ISNUMBER(AVERAGE('20250815_ETF_Options_Exhibits'!Z1077:Z1081)),AVERAGE('20250815_ETF_Options_Exhibits'!Z1077:Z1081),"")</f>
        <v/>
      </c>
      <c r="AA1081" s="3">
        <f>IF(ISNUMBER(AVERAGE('20250815_ETF_Options_Exhibits'!AA1077:AA1081)),AVERAGE('20250815_ETF_Options_Exhibits'!AA1077:AA1081),"")</f>
        <v/>
      </c>
    </row>
    <row r="1082">
      <c r="A1082" s="1" t="n">
        <v>43572</v>
      </c>
      <c r="B1082" s="3">
        <f>IF(ISNUMBER(AVERAGE('20250815_ETF_Options_Exhibits'!B1078:B1082)),AVERAGE('20250815_ETF_Options_Exhibits'!B1078:B1082),"")</f>
        <v/>
      </c>
      <c r="C1082" s="3">
        <f>IF(ISNUMBER(AVERAGE('20250815_ETF_Options_Exhibits'!C1078:C1082)),AVERAGE('20250815_ETF_Options_Exhibits'!C1078:C1082),"")</f>
        <v/>
      </c>
      <c r="D1082" s="3">
        <f>IF(ISNUMBER(AVERAGE('20250815_ETF_Options_Exhibits'!D1078:D1082)),AVERAGE('20250815_ETF_Options_Exhibits'!D1078:D1082),"")</f>
        <v/>
      </c>
      <c r="E1082" s="3">
        <f>IF(ISNUMBER(AVERAGE('20250815_ETF_Options_Exhibits'!E1078:E1082)),AVERAGE('20250815_ETF_Options_Exhibits'!E1078:E1082),"")</f>
        <v/>
      </c>
      <c r="F1082" s="3">
        <f>IF(ISNUMBER(AVERAGE('20250815_ETF_Options_Exhibits'!F1078:F1082)),AVERAGE('20250815_ETF_Options_Exhibits'!F1078:F1082),"")</f>
        <v/>
      </c>
      <c r="G1082" s="3">
        <f>IF(ISNUMBER(AVERAGE('20250815_ETF_Options_Exhibits'!G1078:G1082)),AVERAGE('20250815_ETF_Options_Exhibits'!G1078:G1082),"")</f>
        <v/>
      </c>
      <c r="H1082" s="3">
        <f>IF(ISNUMBER(AVERAGE('20250815_ETF_Options_Exhibits'!H1078:H1082)),AVERAGE('20250815_ETF_Options_Exhibits'!H1078:H1082),"")</f>
        <v/>
      </c>
      <c r="I1082" s="3">
        <f>IF(ISNUMBER(AVERAGE('20250815_ETF_Options_Exhibits'!I1078:I1082)),AVERAGE('20250815_ETF_Options_Exhibits'!I1078:I1082),"")</f>
        <v/>
      </c>
      <c r="J1082" s="3">
        <f>IF(ISNUMBER(AVERAGE('20250815_ETF_Options_Exhibits'!J1078:J1082)),AVERAGE('20250815_ETF_Options_Exhibits'!J1078:J1082),"")</f>
        <v/>
      </c>
      <c r="K1082" s="3">
        <f>IF(ISNUMBER(AVERAGE('20250815_ETF_Options_Exhibits'!K1078:K1082)),AVERAGE('20250815_ETF_Options_Exhibits'!K1078:K1082),"")</f>
        <v/>
      </c>
      <c r="L1082" s="3">
        <f>IF(ISNUMBER(AVERAGE('20250815_ETF_Options_Exhibits'!L1078:L1082)),AVERAGE('20250815_ETF_Options_Exhibits'!L1078:L1082),"")</f>
        <v/>
      </c>
      <c r="M1082" s="3">
        <f>IF(ISNUMBER(AVERAGE('20250815_ETF_Options_Exhibits'!M1078:M1082)),AVERAGE('20250815_ETF_Options_Exhibits'!M1078:M1082),"")</f>
        <v/>
      </c>
      <c r="N1082" s="3">
        <f>IF(ISNUMBER(AVERAGE('20250815_ETF_Options_Exhibits'!N1078:N1082)),AVERAGE('20250815_ETF_Options_Exhibits'!N1078:N1082),"")</f>
        <v/>
      </c>
      <c r="O1082" s="3">
        <f>IF(ISNUMBER(AVERAGE('20250815_ETF_Options_Exhibits'!O1078:O1082)),AVERAGE('20250815_ETF_Options_Exhibits'!O1078:O1082),"")</f>
        <v/>
      </c>
      <c r="P1082" s="3">
        <f>IF(ISNUMBER(AVERAGE('20250815_ETF_Options_Exhibits'!P1078:P1082)),AVERAGE('20250815_ETF_Options_Exhibits'!P1078:P1082),"")</f>
        <v/>
      </c>
      <c r="Q1082" s="3">
        <f>IF(ISNUMBER(AVERAGE('20250815_ETF_Options_Exhibits'!Q1078:Q1082)),AVERAGE('20250815_ETF_Options_Exhibits'!Q1078:Q1082),"")</f>
        <v/>
      </c>
      <c r="R1082" s="3">
        <f>IF(ISNUMBER(AVERAGE('20250815_ETF_Options_Exhibits'!R1078:R1082)),AVERAGE('20250815_ETF_Options_Exhibits'!R1078:R1082),"")</f>
        <v/>
      </c>
      <c r="S1082" s="3">
        <f>IF(ISNUMBER(AVERAGE('20250815_ETF_Options_Exhibits'!S1078:S1082)),AVERAGE('20250815_ETF_Options_Exhibits'!S1078:S1082),"")</f>
        <v/>
      </c>
      <c r="T1082" s="3">
        <f>IF(ISNUMBER(AVERAGE('20250815_ETF_Options_Exhibits'!T1078:T1082)),AVERAGE('20250815_ETF_Options_Exhibits'!T1078:T1082),"")</f>
        <v/>
      </c>
      <c r="U1082" s="3">
        <f>IF(ISNUMBER(AVERAGE('20250815_ETF_Options_Exhibits'!U1078:U1082)),AVERAGE('20250815_ETF_Options_Exhibits'!U1078:U1082),"")</f>
        <v/>
      </c>
      <c r="V1082" s="3">
        <f>IF(ISNUMBER(AVERAGE('20250815_ETF_Options_Exhibits'!V1078:V1082)),AVERAGE('20250815_ETF_Options_Exhibits'!V1078:V1082),"")</f>
        <v/>
      </c>
      <c r="W1082" s="3">
        <f>IF(ISNUMBER(AVERAGE('20250815_ETF_Options_Exhibits'!W1078:W1082)),AVERAGE('20250815_ETF_Options_Exhibits'!W1078:W1082),"")</f>
        <v/>
      </c>
      <c r="X1082" s="3">
        <f>IF(ISNUMBER(AVERAGE('20250815_ETF_Options_Exhibits'!X1078:X1082)),AVERAGE('20250815_ETF_Options_Exhibits'!X1078:X1082),"")</f>
        <v/>
      </c>
      <c r="Y1082" s="3">
        <f>IF(ISNUMBER(AVERAGE('20250815_ETF_Options_Exhibits'!Y1078:Y1082)),AVERAGE('20250815_ETF_Options_Exhibits'!Y1078:Y1082),"")</f>
        <v/>
      </c>
      <c r="Z1082" s="3">
        <f>IF(ISNUMBER(AVERAGE('20250815_ETF_Options_Exhibits'!Z1078:Z1082)),AVERAGE('20250815_ETF_Options_Exhibits'!Z1078:Z1082),"")</f>
        <v/>
      </c>
      <c r="AA1082" s="3">
        <f>IF(ISNUMBER(AVERAGE('20250815_ETF_Options_Exhibits'!AA1078:AA1082)),AVERAGE('20250815_ETF_Options_Exhibits'!AA1078:AA1082),"")</f>
        <v/>
      </c>
    </row>
    <row r="1083">
      <c r="A1083" s="1" t="n">
        <v>43573</v>
      </c>
      <c r="B1083" s="3">
        <f>IF(ISNUMBER(AVERAGE('20250815_ETF_Options_Exhibits'!B1079:B1083)),AVERAGE('20250815_ETF_Options_Exhibits'!B1079:B1083),"")</f>
        <v/>
      </c>
      <c r="C1083" s="3">
        <f>IF(ISNUMBER(AVERAGE('20250815_ETF_Options_Exhibits'!C1079:C1083)),AVERAGE('20250815_ETF_Options_Exhibits'!C1079:C1083),"")</f>
        <v/>
      </c>
      <c r="D1083" s="3">
        <f>IF(ISNUMBER(AVERAGE('20250815_ETF_Options_Exhibits'!D1079:D1083)),AVERAGE('20250815_ETF_Options_Exhibits'!D1079:D1083),"")</f>
        <v/>
      </c>
      <c r="E1083" s="3">
        <f>IF(ISNUMBER(AVERAGE('20250815_ETF_Options_Exhibits'!E1079:E1083)),AVERAGE('20250815_ETF_Options_Exhibits'!E1079:E1083),"")</f>
        <v/>
      </c>
      <c r="F1083" s="3">
        <f>IF(ISNUMBER(AVERAGE('20250815_ETF_Options_Exhibits'!F1079:F1083)),AVERAGE('20250815_ETF_Options_Exhibits'!F1079:F1083),"")</f>
        <v/>
      </c>
      <c r="G1083" s="3">
        <f>IF(ISNUMBER(AVERAGE('20250815_ETF_Options_Exhibits'!G1079:G1083)),AVERAGE('20250815_ETF_Options_Exhibits'!G1079:G1083),"")</f>
        <v/>
      </c>
      <c r="H1083" s="3">
        <f>IF(ISNUMBER(AVERAGE('20250815_ETF_Options_Exhibits'!H1079:H1083)),AVERAGE('20250815_ETF_Options_Exhibits'!H1079:H1083),"")</f>
        <v/>
      </c>
      <c r="I1083" s="3">
        <f>IF(ISNUMBER(AVERAGE('20250815_ETF_Options_Exhibits'!I1079:I1083)),AVERAGE('20250815_ETF_Options_Exhibits'!I1079:I1083),"")</f>
        <v/>
      </c>
      <c r="J1083" s="3">
        <f>IF(ISNUMBER(AVERAGE('20250815_ETF_Options_Exhibits'!J1079:J1083)),AVERAGE('20250815_ETF_Options_Exhibits'!J1079:J1083),"")</f>
        <v/>
      </c>
      <c r="K1083" s="3">
        <f>IF(ISNUMBER(AVERAGE('20250815_ETF_Options_Exhibits'!K1079:K1083)),AVERAGE('20250815_ETF_Options_Exhibits'!K1079:K1083),"")</f>
        <v/>
      </c>
      <c r="L1083" s="3">
        <f>IF(ISNUMBER(AVERAGE('20250815_ETF_Options_Exhibits'!L1079:L1083)),AVERAGE('20250815_ETF_Options_Exhibits'!L1079:L1083),"")</f>
        <v/>
      </c>
      <c r="M1083" s="3">
        <f>IF(ISNUMBER(AVERAGE('20250815_ETF_Options_Exhibits'!M1079:M1083)),AVERAGE('20250815_ETF_Options_Exhibits'!M1079:M1083),"")</f>
        <v/>
      </c>
      <c r="N1083" s="3">
        <f>IF(ISNUMBER(AVERAGE('20250815_ETF_Options_Exhibits'!N1079:N1083)),AVERAGE('20250815_ETF_Options_Exhibits'!N1079:N1083),"")</f>
        <v/>
      </c>
      <c r="O1083" s="3">
        <f>IF(ISNUMBER(AVERAGE('20250815_ETF_Options_Exhibits'!O1079:O1083)),AVERAGE('20250815_ETF_Options_Exhibits'!O1079:O1083),"")</f>
        <v/>
      </c>
      <c r="P1083" s="3">
        <f>IF(ISNUMBER(AVERAGE('20250815_ETF_Options_Exhibits'!P1079:P1083)),AVERAGE('20250815_ETF_Options_Exhibits'!P1079:P1083),"")</f>
        <v/>
      </c>
      <c r="Q1083" s="3">
        <f>IF(ISNUMBER(AVERAGE('20250815_ETF_Options_Exhibits'!Q1079:Q1083)),AVERAGE('20250815_ETF_Options_Exhibits'!Q1079:Q1083),"")</f>
        <v/>
      </c>
      <c r="R1083" s="3">
        <f>IF(ISNUMBER(AVERAGE('20250815_ETF_Options_Exhibits'!R1079:R1083)),AVERAGE('20250815_ETF_Options_Exhibits'!R1079:R1083),"")</f>
        <v/>
      </c>
      <c r="S1083" s="3">
        <f>IF(ISNUMBER(AVERAGE('20250815_ETF_Options_Exhibits'!S1079:S1083)),AVERAGE('20250815_ETF_Options_Exhibits'!S1079:S1083),"")</f>
        <v/>
      </c>
      <c r="T1083" s="3">
        <f>IF(ISNUMBER(AVERAGE('20250815_ETF_Options_Exhibits'!T1079:T1083)),AVERAGE('20250815_ETF_Options_Exhibits'!T1079:T1083),"")</f>
        <v/>
      </c>
      <c r="U1083" s="3">
        <f>IF(ISNUMBER(AVERAGE('20250815_ETF_Options_Exhibits'!U1079:U1083)),AVERAGE('20250815_ETF_Options_Exhibits'!U1079:U1083),"")</f>
        <v/>
      </c>
      <c r="V1083" s="3">
        <f>IF(ISNUMBER(AVERAGE('20250815_ETF_Options_Exhibits'!V1079:V1083)),AVERAGE('20250815_ETF_Options_Exhibits'!V1079:V1083),"")</f>
        <v/>
      </c>
      <c r="W1083" s="3">
        <f>IF(ISNUMBER(AVERAGE('20250815_ETF_Options_Exhibits'!W1079:W1083)),AVERAGE('20250815_ETF_Options_Exhibits'!W1079:W1083),"")</f>
        <v/>
      </c>
      <c r="X1083" s="3">
        <f>IF(ISNUMBER(AVERAGE('20250815_ETF_Options_Exhibits'!X1079:X1083)),AVERAGE('20250815_ETF_Options_Exhibits'!X1079:X1083),"")</f>
        <v/>
      </c>
      <c r="Y1083" s="3">
        <f>IF(ISNUMBER(AVERAGE('20250815_ETF_Options_Exhibits'!Y1079:Y1083)),AVERAGE('20250815_ETF_Options_Exhibits'!Y1079:Y1083),"")</f>
        <v/>
      </c>
      <c r="Z1083" s="3">
        <f>IF(ISNUMBER(AVERAGE('20250815_ETF_Options_Exhibits'!Z1079:Z1083)),AVERAGE('20250815_ETF_Options_Exhibits'!Z1079:Z1083),"")</f>
        <v/>
      </c>
      <c r="AA1083" s="3">
        <f>IF(ISNUMBER(AVERAGE('20250815_ETF_Options_Exhibits'!AA1079:AA1083)),AVERAGE('20250815_ETF_Options_Exhibits'!AA1079:AA1083),"")</f>
        <v/>
      </c>
    </row>
    <row r="1084">
      <c r="A1084" s="1" t="n">
        <v>43577</v>
      </c>
      <c r="B1084" s="3">
        <f>IF(ISNUMBER(AVERAGE('20250815_ETF_Options_Exhibits'!B1080:B1084)),AVERAGE('20250815_ETF_Options_Exhibits'!B1080:B1084),"")</f>
        <v/>
      </c>
      <c r="C1084" s="3">
        <f>IF(ISNUMBER(AVERAGE('20250815_ETF_Options_Exhibits'!C1080:C1084)),AVERAGE('20250815_ETF_Options_Exhibits'!C1080:C1084),"")</f>
        <v/>
      </c>
      <c r="D1084" s="3">
        <f>IF(ISNUMBER(AVERAGE('20250815_ETF_Options_Exhibits'!D1080:D1084)),AVERAGE('20250815_ETF_Options_Exhibits'!D1080:D1084),"")</f>
        <v/>
      </c>
      <c r="E1084" s="3">
        <f>IF(ISNUMBER(AVERAGE('20250815_ETF_Options_Exhibits'!E1080:E1084)),AVERAGE('20250815_ETF_Options_Exhibits'!E1080:E1084),"")</f>
        <v/>
      </c>
      <c r="F1084" s="3">
        <f>IF(ISNUMBER(AVERAGE('20250815_ETF_Options_Exhibits'!F1080:F1084)),AVERAGE('20250815_ETF_Options_Exhibits'!F1080:F1084),"")</f>
        <v/>
      </c>
      <c r="G1084" s="3">
        <f>IF(ISNUMBER(AVERAGE('20250815_ETF_Options_Exhibits'!G1080:G1084)),AVERAGE('20250815_ETF_Options_Exhibits'!G1080:G1084),"")</f>
        <v/>
      </c>
      <c r="H1084" s="3">
        <f>IF(ISNUMBER(AVERAGE('20250815_ETF_Options_Exhibits'!H1080:H1084)),AVERAGE('20250815_ETF_Options_Exhibits'!H1080:H1084),"")</f>
        <v/>
      </c>
      <c r="I1084" s="3">
        <f>IF(ISNUMBER(AVERAGE('20250815_ETF_Options_Exhibits'!I1080:I1084)),AVERAGE('20250815_ETF_Options_Exhibits'!I1080:I1084),"")</f>
        <v/>
      </c>
      <c r="J1084" s="3">
        <f>IF(ISNUMBER(AVERAGE('20250815_ETF_Options_Exhibits'!J1080:J1084)),AVERAGE('20250815_ETF_Options_Exhibits'!J1080:J1084),"")</f>
        <v/>
      </c>
      <c r="K1084" s="3">
        <f>IF(ISNUMBER(AVERAGE('20250815_ETF_Options_Exhibits'!K1080:K1084)),AVERAGE('20250815_ETF_Options_Exhibits'!K1080:K1084),"")</f>
        <v/>
      </c>
      <c r="L1084" s="3">
        <f>IF(ISNUMBER(AVERAGE('20250815_ETF_Options_Exhibits'!L1080:L1084)),AVERAGE('20250815_ETF_Options_Exhibits'!L1080:L1084),"")</f>
        <v/>
      </c>
      <c r="M1084" s="3">
        <f>IF(ISNUMBER(AVERAGE('20250815_ETF_Options_Exhibits'!M1080:M1084)),AVERAGE('20250815_ETF_Options_Exhibits'!M1080:M1084),"")</f>
        <v/>
      </c>
      <c r="N1084" s="3">
        <f>IF(ISNUMBER(AVERAGE('20250815_ETF_Options_Exhibits'!N1080:N1084)),AVERAGE('20250815_ETF_Options_Exhibits'!N1080:N1084),"")</f>
        <v/>
      </c>
      <c r="O1084" s="3">
        <f>IF(ISNUMBER(AVERAGE('20250815_ETF_Options_Exhibits'!O1080:O1084)),AVERAGE('20250815_ETF_Options_Exhibits'!O1080:O1084),"")</f>
        <v/>
      </c>
      <c r="P1084" s="3">
        <f>IF(ISNUMBER(AVERAGE('20250815_ETF_Options_Exhibits'!P1080:P1084)),AVERAGE('20250815_ETF_Options_Exhibits'!P1080:P1084),"")</f>
        <v/>
      </c>
      <c r="Q1084" s="3">
        <f>IF(ISNUMBER(AVERAGE('20250815_ETF_Options_Exhibits'!Q1080:Q1084)),AVERAGE('20250815_ETF_Options_Exhibits'!Q1080:Q1084),"")</f>
        <v/>
      </c>
      <c r="R1084" s="3">
        <f>IF(ISNUMBER(AVERAGE('20250815_ETF_Options_Exhibits'!R1080:R1084)),AVERAGE('20250815_ETF_Options_Exhibits'!R1080:R1084),"")</f>
        <v/>
      </c>
      <c r="S1084" s="3">
        <f>IF(ISNUMBER(AVERAGE('20250815_ETF_Options_Exhibits'!S1080:S1084)),AVERAGE('20250815_ETF_Options_Exhibits'!S1080:S1084),"")</f>
        <v/>
      </c>
      <c r="T1084" s="3">
        <f>IF(ISNUMBER(AVERAGE('20250815_ETF_Options_Exhibits'!T1080:T1084)),AVERAGE('20250815_ETF_Options_Exhibits'!T1080:T1084),"")</f>
        <v/>
      </c>
      <c r="U1084" s="3">
        <f>IF(ISNUMBER(AVERAGE('20250815_ETF_Options_Exhibits'!U1080:U1084)),AVERAGE('20250815_ETF_Options_Exhibits'!U1080:U1084),"")</f>
        <v/>
      </c>
      <c r="V1084" s="3">
        <f>IF(ISNUMBER(AVERAGE('20250815_ETF_Options_Exhibits'!V1080:V1084)),AVERAGE('20250815_ETF_Options_Exhibits'!V1080:V1084),"")</f>
        <v/>
      </c>
      <c r="W1084" s="3">
        <f>IF(ISNUMBER(AVERAGE('20250815_ETF_Options_Exhibits'!W1080:W1084)),AVERAGE('20250815_ETF_Options_Exhibits'!W1080:W1084),"")</f>
        <v/>
      </c>
      <c r="X1084" s="3">
        <f>IF(ISNUMBER(AVERAGE('20250815_ETF_Options_Exhibits'!X1080:X1084)),AVERAGE('20250815_ETF_Options_Exhibits'!X1080:X1084),"")</f>
        <v/>
      </c>
      <c r="Y1084" s="3">
        <f>IF(ISNUMBER(AVERAGE('20250815_ETF_Options_Exhibits'!Y1080:Y1084)),AVERAGE('20250815_ETF_Options_Exhibits'!Y1080:Y1084),"")</f>
        <v/>
      </c>
      <c r="Z1084" s="3">
        <f>IF(ISNUMBER(AVERAGE('20250815_ETF_Options_Exhibits'!Z1080:Z1084)),AVERAGE('20250815_ETF_Options_Exhibits'!Z1080:Z1084),"")</f>
        <v/>
      </c>
      <c r="AA1084" s="3">
        <f>IF(ISNUMBER(AVERAGE('20250815_ETF_Options_Exhibits'!AA1080:AA1084)),AVERAGE('20250815_ETF_Options_Exhibits'!AA1080:AA1084),"")</f>
        <v/>
      </c>
    </row>
    <row r="1085">
      <c r="A1085" s="1" t="n">
        <v>43578</v>
      </c>
      <c r="B1085" s="3">
        <f>IF(ISNUMBER(AVERAGE('20250815_ETF_Options_Exhibits'!B1081:B1085)),AVERAGE('20250815_ETF_Options_Exhibits'!B1081:B1085),"")</f>
        <v/>
      </c>
      <c r="C1085" s="3">
        <f>IF(ISNUMBER(AVERAGE('20250815_ETF_Options_Exhibits'!C1081:C1085)),AVERAGE('20250815_ETF_Options_Exhibits'!C1081:C1085),"")</f>
        <v/>
      </c>
      <c r="D1085" s="3">
        <f>IF(ISNUMBER(AVERAGE('20250815_ETF_Options_Exhibits'!D1081:D1085)),AVERAGE('20250815_ETF_Options_Exhibits'!D1081:D1085),"")</f>
        <v/>
      </c>
      <c r="E1085" s="3">
        <f>IF(ISNUMBER(AVERAGE('20250815_ETF_Options_Exhibits'!E1081:E1085)),AVERAGE('20250815_ETF_Options_Exhibits'!E1081:E1085),"")</f>
        <v/>
      </c>
      <c r="F1085" s="3">
        <f>IF(ISNUMBER(AVERAGE('20250815_ETF_Options_Exhibits'!F1081:F1085)),AVERAGE('20250815_ETF_Options_Exhibits'!F1081:F1085),"")</f>
        <v/>
      </c>
      <c r="G1085" s="3">
        <f>IF(ISNUMBER(AVERAGE('20250815_ETF_Options_Exhibits'!G1081:G1085)),AVERAGE('20250815_ETF_Options_Exhibits'!G1081:G1085),"")</f>
        <v/>
      </c>
      <c r="H1085" s="3">
        <f>IF(ISNUMBER(AVERAGE('20250815_ETF_Options_Exhibits'!H1081:H1085)),AVERAGE('20250815_ETF_Options_Exhibits'!H1081:H1085),"")</f>
        <v/>
      </c>
      <c r="I1085" s="3">
        <f>IF(ISNUMBER(AVERAGE('20250815_ETF_Options_Exhibits'!I1081:I1085)),AVERAGE('20250815_ETF_Options_Exhibits'!I1081:I1085),"")</f>
        <v/>
      </c>
      <c r="J1085" s="3">
        <f>IF(ISNUMBER(AVERAGE('20250815_ETF_Options_Exhibits'!J1081:J1085)),AVERAGE('20250815_ETF_Options_Exhibits'!J1081:J1085),"")</f>
        <v/>
      </c>
      <c r="K1085" s="3">
        <f>IF(ISNUMBER(AVERAGE('20250815_ETF_Options_Exhibits'!K1081:K1085)),AVERAGE('20250815_ETF_Options_Exhibits'!K1081:K1085),"")</f>
        <v/>
      </c>
      <c r="L1085" s="3">
        <f>IF(ISNUMBER(AVERAGE('20250815_ETF_Options_Exhibits'!L1081:L1085)),AVERAGE('20250815_ETF_Options_Exhibits'!L1081:L1085),"")</f>
        <v/>
      </c>
      <c r="M1085" s="3">
        <f>IF(ISNUMBER(AVERAGE('20250815_ETF_Options_Exhibits'!M1081:M1085)),AVERAGE('20250815_ETF_Options_Exhibits'!M1081:M1085),"")</f>
        <v/>
      </c>
      <c r="N1085" s="3">
        <f>IF(ISNUMBER(AVERAGE('20250815_ETF_Options_Exhibits'!N1081:N1085)),AVERAGE('20250815_ETF_Options_Exhibits'!N1081:N1085),"")</f>
        <v/>
      </c>
      <c r="O1085" s="3">
        <f>IF(ISNUMBER(AVERAGE('20250815_ETF_Options_Exhibits'!O1081:O1085)),AVERAGE('20250815_ETF_Options_Exhibits'!O1081:O1085),"")</f>
        <v/>
      </c>
      <c r="P1085" s="3">
        <f>IF(ISNUMBER(AVERAGE('20250815_ETF_Options_Exhibits'!P1081:P1085)),AVERAGE('20250815_ETF_Options_Exhibits'!P1081:P1085),"")</f>
        <v/>
      </c>
      <c r="Q1085" s="3">
        <f>IF(ISNUMBER(AVERAGE('20250815_ETF_Options_Exhibits'!Q1081:Q1085)),AVERAGE('20250815_ETF_Options_Exhibits'!Q1081:Q1085),"")</f>
        <v/>
      </c>
      <c r="R1085" s="3">
        <f>IF(ISNUMBER(AVERAGE('20250815_ETF_Options_Exhibits'!R1081:R1085)),AVERAGE('20250815_ETF_Options_Exhibits'!R1081:R1085),"")</f>
        <v/>
      </c>
      <c r="S1085" s="3">
        <f>IF(ISNUMBER(AVERAGE('20250815_ETF_Options_Exhibits'!S1081:S1085)),AVERAGE('20250815_ETF_Options_Exhibits'!S1081:S1085),"")</f>
        <v/>
      </c>
      <c r="T1085" s="3">
        <f>IF(ISNUMBER(AVERAGE('20250815_ETF_Options_Exhibits'!T1081:T1085)),AVERAGE('20250815_ETF_Options_Exhibits'!T1081:T1085),"")</f>
        <v/>
      </c>
      <c r="U1085" s="3">
        <f>IF(ISNUMBER(AVERAGE('20250815_ETF_Options_Exhibits'!U1081:U1085)),AVERAGE('20250815_ETF_Options_Exhibits'!U1081:U1085),"")</f>
        <v/>
      </c>
      <c r="V1085" s="3">
        <f>IF(ISNUMBER(AVERAGE('20250815_ETF_Options_Exhibits'!V1081:V1085)),AVERAGE('20250815_ETF_Options_Exhibits'!V1081:V1085),"")</f>
        <v/>
      </c>
      <c r="W1085" s="3">
        <f>IF(ISNUMBER(AVERAGE('20250815_ETF_Options_Exhibits'!W1081:W1085)),AVERAGE('20250815_ETF_Options_Exhibits'!W1081:W1085),"")</f>
        <v/>
      </c>
      <c r="X1085" s="3">
        <f>IF(ISNUMBER(AVERAGE('20250815_ETF_Options_Exhibits'!X1081:X1085)),AVERAGE('20250815_ETF_Options_Exhibits'!X1081:X1085),"")</f>
        <v/>
      </c>
      <c r="Y1085" s="3">
        <f>IF(ISNUMBER(AVERAGE('20250815_ETF_Options_Exhibits'!Y1081:Y1085)),AVERAGE('20250815_ETF_Options_Exhibits'!Y1081:Y1085),"")</f>
        <v/>
      </c>
      <c r="Z1085" s="3">
        <f>IF(ISNUMBER(AVERAGE('20250815_ETF_Options_Exhibits'!Z1081:Z1085)),AVERAGE('20250815_ETF_Options_Exhibits'!Z1081:Z1085),"")</f>
        <v/>
      </c>
      <c r="AA1085" s="3">
        <f>IF(ISNUMBER(AVERAGE('20250815_ETF_Options_Exhibits'!AA1081:AA1085)),AVERAGE('20250815_ETF_Options_Exhibits'!AA1081:AA1085),"")</f>
        <v/>
      </c>
    </row>
    <row r="1086">
      <c r="A1086" s="1" t="n">
        <v>43579</v>
      </c>
      <c r="B1086" s="3">
        <f>IF(ISNUMBER(AVERAGE('20250815_ETF_Options_Exhibits'!B1082:B1086)),AVERAGE('20250815_ETF_Options_Exhibits'!B1082:B1086),"")</f>
        <v/>
      </c>
      <c r="C1086" s="3">
        <f>IF(ISNUMBER(AVERAGE('20250815_ETF_Options_Exhibits'!C1082:C1086)),AVERAGE('20250815_ETF_Options_Exhibits'!C1082:C1086),"")</f>
        <v/>
      </c>
      <c r="D1086" s="3">
        <f>IF(ISNUMBER(AVERAGE('20250815_ETF_Options_Exhibits'!D1082:D1086)),AVERAGE('20250815_ETF_Options_Exhibits'!D1082:D1086),"")</f>
        <v/>
      </c>
      <c r="E1086" s="3">
        <f>IF(ISNUMBER(AVERAGE('20250815_ETF_Options_Exhibits'!E1082:E1086)),AVERAGE('20250815_ETF_Options_Exhibits'!E1082:E1086),"")</f>
        <v/>
      </c>
      <c r="F1086" s="3">
        <f>IF(ISNUMBER(AVERAGE('20250815_ETF_Options_Exhibits'!F1082:F1086)),AVERAGE('20250815_ETF_Options_Exhibits'!F1082:F1086),"")</f>
        <v/>
      </c>
      <c r="G1086" s="3">
        <f>IF(ISNUMBER(AVERAGE('20250815_ETF_Options_Exhibits'!G1082:G1086)),AVERAGE('20250815_ETF_Options_Exhibits'!G1082:G1086),"")</f>
        <v/>
      </c>
      <c r="H1086" s="3">
        <f>IF(ISNUMBER(AVERAGE('20250815_ETF_Options_Exhibits'!H1082:H1086)),AVERAGE('20250815_ETF_Options_Exhibits'!H1082:H1086),"")</f>
        <v/>
      </c>
      <c r="I1086" s="3">
        <f>IF(ISNUMBER(AVERAGE('20250815_ETF_Options_Exhibits'!I1082:I1086)),AVERAGE('20250815_ETF_Options_Exhibits'!I1082:I1086),"")</f>
        <v/>
      </c>
      <c r="J1086" s="3">
        <f>IF(ISNUMBER(AVERAGE('20250815_ETF_Options_Exhibits'!J1082:J1086)),AVERAGE('20250815_ETF_Options_Exhibits'!J1082:J1086),"")</f>
        <v/>
      </c>
      <c r="K1086" s="3">
        <f>IF(ISNUMBER(AVERAGE('20250815_ETF_Options_Exhibits'!K1082:K1086)),AVERAGE('20250815_ETF_Options_Exhibits'!K1082:K1086),"")</f>
        <v/>
      </c>
      <c r="L1086" s="3">
        <f>IF(ISNUMBER(AVERAGE('20250815_ETF_Options_Exhibits'!L1082:L1086)),AVERAGE('20250815_ETF_Options_Exhibits'!L1082:L1086),"")</f>
        <v/>
      </c>
      <c r="M1086" s="3">
        <f>IF(ISNUMBER(AVERAGE('20250815_ETF_Options_Exhibits'!M1082:M1086)),AVERAGE('20250815_ETF_Options_Exhibits'!M1082:M1086),"")</f>
        <v/>
      </c>
      <c r="N1086" s="3">
        <f>IF(ISNUMBER(AVERAGE('20250815_ETF_Options_Exhibits'!N1082:N1086)),AVERAGE('20250815_ETF_Options_Exhibits'!N1082:N1086),"")</f>
        <v/>
      </c>
      <c r="O1086" s="3">
        <f>IF(ISNUMBER(AVERAGE('20250815_ETF_Options_Exhibits'!O1082:O1086)),AVERAGE('20250815_ETF_Options_Exhibits'!O1082:O1086),"")</f>
        <v/>
      </c>
      <c r="P1086" s="3">
        <f>IF(ISNUMBER(AVERAGE('20250815_ETF_Options_Exhibits'!P1082:P1086)),AVERAGE('20250815_ETF_Options_Exhibits'!P1082:P1086),"")</f>
        <v/>
      </c>
      <c r="Q1086" s="3">
        <f>IF(ISNUMBER(AVERAGE('20250815_ETF_Options_Exhibits'!Q1082:Q1086)),AVERAGE('20250815_ETF_Options_Exhibits'!Q1082:Q1086),"")</f>
        <v/>
      </c>
      <c r="R1086" s="3">
        <f>IF(ISNUMBER(AVERAGE('20250815_ETF_Options_Exhibits'!R1082:R1086)),AVERAGE('20250815_ETF_Options_Exhibits'!R1082:R1086),"")</f>
        <v/>
      </c>
      <c r="S1086" s="3">
        <f>IF(ISNUMBER(AVERAGE('20250815_ETF_Options_Exhibits'!S1082:S1086)),AVERAGE('20250815_ETF_Options_Exhibits'!S1082:S1086),"")</f>
        <v/>
      </c>
      <c r="T1086" s="3">
        <f>IF(ISNUMBER(AVERAGE('20250815_ETF_Options_Exhibits'!T1082:T1086)),AVERAGE('20250815_ETF_Options_Exhibits'!T1082:T1086),"")</f>
        <v/>
      </c>
      <c r="U1086" s="3">
        <f>IF(ISNUMBER(AVERAGE('20250815_ETF_Options_Exhibits'!U1082:U1086)),AVERAGE('20250815_ETF_Options_Exhibits'!U1082:U1086),"")</f>
        <v/>
      </c>
      <c r="V1086" s="3">
        <f>IF(ISNUMBER(AVERAGE('20250815_ETF_Options_Exhibits'!V1082:V1086)),AVERAGE('20250815_ETF_Options_Exhibits'!V1082:V1086),"")</f>
        <v/>
      </c>
      <c r="W1086" s="3">
        <f>IF(ISNUMBER(AVERAGE('20250815_ETF_Options_Exhibits'!W1082:W1086)),AVERAGE('20250815_ETF_Options_Exhibits'!W1082:W1086),"")</f>
        <v/>
      </c>
      <c r="X1086" s="3">
        <f>IF(ISNUMBER(AVERAGE('20250815_ETF_Options_Exhibits'!X1082:X1086)),AVERAGE('20250815_ETF_Options_Exhibits'!X1082:X1086),"")</f>
        <v/>
      </c>
      <c r="Y1086" s="3">
        <f>IF(ISNUMBER(AVERAGE('20250815_ETF_Options_Exhibits'!Y1082:Y1086)),AVERAGE('20250815_ETF_Options_Exhibits'!Y1082:Y1086),"")</f>
        <v/>
      </c>
      <c r="Z1086" s="3">
        <f>IF(ISNUMBER(AVERAGE('20250815_ETF_Options_Exhibits'!Z1082:Z1086)),AVERAGE('20250815_ETF_Options_Exhibits'!Z1082:Z1086),"")</f>
        <v/>
      </c>
      <c r="AA1086" s="3">
        <f>IF(ISNUMBER(AVERAGE('20250815_ETF_Options_Exhibits'!AA1082:AA1086)),AVERAGE('20250815_ETF_Options_Exhibits'!AA1082:AA1086),"")</f>
        <v/>
      </c>
    </row>
    <row r="1087">
      <c r="A1087" s="1" t="n">
        <v>43580</v>
      </c>
      <c r="B1087" s="3">
        <f>IF(ISNUMBER(AVERAGE('20250815_ETF_Options_Exhibits'!B1083:B1087)),AVERAGE('20250815_ETF_Options_Exhibits'!B1083:B1087),"")</f>
        <v/>
      </c>
      <c r="C1087" s="3">
        <f>IF(ISNUMBER(AVERAGE('20250815_ETF_Options_Exhibits'!C1083:C1087)),AVERAGE('20250815_ETF_Options_Exhibits'!C1083:C1087),"")</f>
        <v/>
      </c>
      <c r="D1087" s="3">
        <f>IF(ISNUMBER(AVERAGE('20250815_ETF_Options_Exhibits'!D1083:D1087)),AVERAGE('20250815_ETF_Options_Exhibits'!D1083:D1087),"")</f>
        <v/>
      </c>
      <c r="E1087" s="3">
        <f>IF(ISNUMBER(AVERAGE('20250815_ETF_Options_Exhibits'!E1083:E1087)),AVERAGE('20250815_ETF_Options_Exhibits'!E1083:E1087),"")</f>
        <v/>
      </c>
      <c r="F1087" s="3">
        <f>IF(ISNUMBER(AVERAGE('20250815_ETF_Options_Exhibits'!F1083:F1087)),AVERAGE('20250815_ETF_Options_Exhibits'!F1083:F1087),"")</f>
        <v/>
      </c>
      <c r="G1087" s="3">
        <f>IF(ISNUMBER(AVERAGE('20250815_ETF_Options_Exhibits'!G1083:G1087)),AVERAGE('20250815_ETF_Options_Exhibits'!G1083:G1087),"")</f>
        <v/>
      </c>
      <c r="H1087" s="3">
        <f>IF(ISNUMBER(AVERAGE('20250815_ETF_Options_Exhibits'!H1083:H1087)),AVERAGE('20250815_ETF_Options_Exhibits'!H1083:H1087),"")</f>
        <v/>
      </c>
      <c r="I1087" s="3">
        <f>IF(ISNUMBER(AVERAGE('20250815_ETF_Options_Exhibits'!I1083:I1087)),AVERAGE('20250815_ETF_Options_Exhibits'!I1083:I1087),"")</f>
        <v/>
      </c>
      <c r="J1087" s="3">
        <f>IF(ISNUMBER(AVERAGE('20250815_ETF_Options_Exhibits'!J1083:J1087)),AVERAGE('20250815_ETF_Options_Exhibits'!J1083:J1087),"")</f>
        <v/>
      </c>
      <c r="K1087" s="3">
        <f>IF(ISNUMBER(AVERAGE('20250815_ETF_Options_Exhibits'!K1083:K1087)),AVERAGE('20250815_ETF_Options_Exhibits'!K1083:K1087),"")</f>
        <v/>
      </c>
      <c r="L1087" s="3">
        <f>IF(ISNUMBER(AVERAGE('20250815_ETF_Options_Exhibits'!L1083:L1087)),AVERAGE('20250815_ETF_Options_Exhibits'!L1083:L1087),"")</f>
        <v/>
      </c>
      <c r="M1087" s="3">
        <f>IF(ISNUMBER(AVERAGE('20250815_ETF_Options_Exhibits'!M1083:M1087)),AVERAGE('20250815_ETF_Options_Exhibits'!M1083:M1087),"")</f>
        <v/>
      </c>
      <c r="N1087" s="3">
        <f>IF(ISNUMBER(AVERAGE('20250815_ETF_Options_Exhibits'!N1083:N1087)),AVERAGE('20250815_ETF_Options_Exhibits'!N1083:N1087),"")</f>
        <v/>
      </c>
      <c r="O1087" s="3">
        <f>IF(ISNUMBER(AVERAGE('20250815_ETF_Options_Exhibits'!O1083:O1087)),AVERAGE('20250815_ETF_Options_Exhibits'!O1083:O1087),"")</f>
        <v/>
      </c>
      <c r="P1087" s="3">
        <f>IF(ISNUMBER(AVERAGE('20250815_ETF_Options_Exhibits'!P1083:P1087)),AVERAGE('20250815_ETF_Options_Exhibits'!P1083:P1087),"")</f>
        <v/>
      </c>
      <c r="Q1087" s="3">
        <f>IF(ISNUMBER(AVERAGE('20250815_ETF_Options_Exhibits'!Q1083:Q1087)),AVERAGE('20250815_ETF_Options_Exhibits'!Q1083:Q1087),"")</f>
        <v/>
      </c>
      <c r="R1087" s="3">
        <f>IF(ISNUMBER(AVERAGE('20250815_ETF_Options_Exhibits'!R1083:R1087)),AVERAGE('20250815_ETF_Options_Exhibits'!R1083:R1087),"")</f>
        <v/>
      </c>
      <c r="S1087" s="3">
        <f>IF(ISNUMBER(AVERAGE('20250815_ETF_Options_Exhibits'!S1083:S1087)),AVERAGE('20250815_ETF_Options_Exhibits'!S1083:S1087),"")</f>
        <v/>
      </c>
      <c r="T1087" s="3">
        <f>IF(ISNUMBER(AVERAGE('20250815_ETF_Options_Exhibits'!T1083:T1087)),AVERAGE('20250815_ETF_Options_Exhibits'!T1083:T1087),"")</f>
        <v/>
      </c>
      <c r="U1087" s="3">
        <f>IF(ISNUMBER(AVERAGE('20250815_ETF_Options_Exhibits'!U1083:U1087)),AVERAGE('20250815_ETF_Options_Exhibits'!U1083:U1087),"")</f>
        <v/>
      </c>
      <c r="V1087" s="3">
        <f>IF(ISNUMBER(AVERAGE('20250815_ETF_Options_Exhibits'!V1083:V1087)),AVERAGE('20250815_ETF_Options_Exhibits'!V1083:V1087),"")</f>
        <v/>
      </c>
      <c r="W1087" s="3">
        <f>IF(ISNUMBER(AVERAGE('20250815_ETF_Options_Exhibits'!W1083:W1087)),AVERAGE('20250815_ETF_Options_Exhibits'!W1083:W1087),"")</f>
        <v/>
      </c>
      <c r="X1087" s="3">
        <f>IF(ISNUMBER(AVERAGE('20250815_ETF_Options_Exhibits'!X1083:X1087)),AVERAGE('20250815_ETF_Options_Exhibits'!X1083:X1087),"")</f>
        <v/>
      </c>
      <c r="Y1087" s="3">
        <f>IF(ISNUMBER(AVERAGE('20250815_ETF_Options_Exhibits'!Y1083:Y1087)),AVERAGE('20250815_ETF_Options_Exhibits'!Y1083:Y1087),"")</f>
        <v/>
      </c>
      <c r="Z1087" s="3">
        <f>IF(ISNUMBER(AVERAGE('20250815_ETF_Options_Exhibits'!Z1083:Z1087)),AVERAGE('20250815_ETF_Options_Exhibits'!Z1083:Z1087),"")</f>
        <v/>
      </c>
      <c r="AA1087" s="3">
        <f>IF(ISNUMBER(AVERAGE('20250815_ETF_Options_Exhibits'!AA1083:AA1087)),AVERAGE('20250815_ETF_Options_Exhibits'!AA1083:AA1087),"")</f>
        <v/>
      </c>
    </row>
    <row r="1088">
      <c r="A1088" s="1" t="n">
        <v>43581</v>
      </c>
      <c r="B1088" s="3">
        <f>IF(ISNUMBER(AVERAGE('20250815_ETF_Options_Exhibits'!B1084:B1088)),AVERAGE('20250815_ETF_Options_Exhibits'!B1084:B1088),"")</f>
        <v/>
      </c>
      <c r="C1088" s="3">
        <f>IF(ISNUMBER(AVERAGE('20250815_ETF_Options_Exhibits'!C1084:C1088)),AVERAGE('20250815_ETF_Options_Exhibits'!C1084:C1088),"")</f>
        <v/>
      </c>
      <c r="D1088" s="3">
        <f>IF(ISNUMBER(AVERAGE('20250815_ETF_Options_Exhibits'!D1084:D1088)),AVERAGE('20250815_ETF_Options_Exhibits'!D1084:D1088),"")</f>
        <v/>
      </c>
      <c r="E1088" s="3">
        <f>IF(ISNUMBER(AVERAGE('20250815_ETF_Options_Exhibits'!E1084:E1088)),AVERAGE('20250815_ETF_Options_Exhibits'!E1084:E1088),"")</f>
        <v/>
      </c>
      <c r="F1088" s="3">
        <f>IF(ISNUMBER(AVERAGE('20250815_ETF_Options_Exhibits'!F1084:F1088)),AVERAGE('20250815_ETF_Options_Exhibits'!F1084:F1088),"")</f>
        <v/>
      </c>
      <c r="G1088" s="3">
        <f>IF(ISNUMBER(AVERAGE('20250815_ETF_Options_Exhibits'!G1084:G1088)),AVERAGE('20250815_ETF_Options_Exhibits'!G1084:G1088),"")</f>
        <v/>
      </c>
      <c r="H1088" s="3">
        <f>IF(ISNUMBER(AVERAGE('20250815_ETF_Options_Exhibits'!H1084:H1088)),AVERAGE('20250815_ETF_Options_Exhibits'!H1084:H1088),"")</f>
        <v/>
      </c>
      <c r="I1088" s="3">
        <f>IF(ISNUMBER(AVERAGE('20250815_ETF_Options_Exhibits'!I1084:I1088)),AVERAGE('20250815_ETF_Options_Exhibits'!I1084:I1088),"")</f>
        <v/>
      </c>
      <c r="J1088" s="3">
        <f>IF(ISNUMBER(AVERAGE('20250815_ETF_Options_Exhibits'!J1084:J1088)),AVERAGE('20250815_ETF_Options_Exhibits'!J1084:J1088),"")</f>
        <v/>
      </c>
      <c r="K1088" s="3">
        <f>IF(ISNUMBER(AVERAGE('20250815_ETF_Options_Exhibits'!K1084:K1088)),AVERAGE('20250815_ETF_Options_Exhibits'!K1084:K1088),"")</f>
        <v/>
      </c>
      <c r="L1088" s="3">
        <f>IF(ISNUMBER(AVERAGE('20250815_ETF_Options_Exhibits'!L1084:L1088)),AVERAGE('20250815_ETF_Options_Exhibits'!L1084:L1088),"")</f>
        <v/>
      </c>
      <c r="M1088" s="3">
        <f>IF(ISNUMBER(AVERAGE('20250815_ETF_Options_Exhibits'!M1084:M1088)),AVERAGE('20250815_ETF_Options_Exhibits'!M1084:M1088),"")</f>
        <v/>
      </c>
      <c r="N1088" s="3">
        <f>IF(ISNUMBER(AVERAGE('20250815_ETF_Options_Exhibits'!N1084:N1088)),AVERAGE('20250815_ETF_Options_Exhibits'!N1084:N1088),"")</f>
        <v/>
      </c>
      <c r="O1088" s="3">
        <f>IF(ISNUMBER(AVERAGE('20250815_ETF_Options_Exhibits'!O1084:O1088)),AVERAGE('20250815_ETF_Options_Exhibits'!O1084:O1088),"")</f>
        <v/>
      </c>
      <c r="P1088" s="3">
        <f>IF(ISNUMBER(AVERAGE('20250815_ETF_Options_Exhibits'!P1084:P1088)),AVERAGE('20250815_ETF_Options_Exhibits'!P1084:P1088),"")</f>
        <v/>
      </c>
      <c r="Q1088" s="3">
        <f>IF(ISNUMBER(AVERAGE('20250815_ETF_Options_Exhibits'!Q1084:Q1088)),AVERAGE('20250815_ETF_Options_Exhibits'!Q1084:Q1088),"")</f>
        <v/>
      </c>
      <c r="R1088" s="3">
        <f>IF(ISNUMBER(AVERAGE('20250815_ETF_Options_Exhibits'!R1084:R1088)),AVERAGE('20250815_ETF_Options_Exhibits'!R1084:R1088),"")</f>
        <v/>
      </c>
      <c r="S1088" s="3">
        <f>IF(ISNUMBER(AVERAGE('20250815_ETF_Options_Exhibits'!S1084:S1088)),AVERAGE('20250815_ETF_Options_Exhibits'!S1084:S1088),"")</f>
        <v/>
      </c>
      <c r="T1088" s="3">
        <f>IF(ISNUMBER(AVERAGE('20250815_ETF_Options_Exhibits'!T1084:T1088)),AVERAGE('20250815_ETF_Options_Exhibits'!T1084:T1088),"")</f>
        <v/>
      </c>
      <c r="U1088" s="3">
        <f>IF(ISNUMBER(AVERAGE('20250815_ETF_Options_Exhibits'!U1084:U1088)),AVERAGE('20250815_ETF_Options_Exhibits'!U1084:U1088),"")</f>
        <v/>
      </c>
      <c r="V1088" s="3">
        <f>IF(ISNUMBER(AVERAGE('20250815_ETF_Options_Exhibits'!V1084:V1088)),AVERAGE('20250815_ETF_Options_Exhibits'!V1084:V1088),"")</f>
        <v/>
      </c>
      <c r="W1088" s="3">
        <f>IF(ISNUMBER(AVERAGE('20250815_ETF_Options_Exhibits'!W1084:W1088)),AVERAGE('20250815_ETF_Options_Exhibits'!W1084:W1088),"")</f>
        <v/>
      </c>
      <c r="X1088" s="3">
        <f>IF(ISNUMBER(AVERAGE('20250815_ETF_Options_Exhibits'!X1084:X1088)),AVERAGE('20250815_ETF_Options_Exhibits'!X1084:X1088),"")</f>
        <v/>
      </c>
      <c r="Y1088" s="3">
        <f>IF(ISNUMBER(AVERAGE('20250815_ETF_Options_Exhibits'!Y1084:Y1088)),AVERAGE('20250815_ETF_Options_Exhibits'!Y1084:Y1088),"")</f>
        <v/>
      </c>
      <c r="Z1088" s="3">
        <f>IF(ISNUMBER(AVERAGE('20250815_ETF_Options_Exhibits'!Z1084:Z1088)),AVERAGE('20250815_ETF_Options_Exhibits'!Z1084:Z1088),"")</f>
        <v/>
      </c>
      <c r="AA1088" s="3">
        <f>IF(ISNUMBER(AVERAGE('20250815_ETF_Options_Exhibits'!AA1084:AA1088)),AVERAGE('20250815_ETF_Options_Exhibits'!AA1084:AA1088),"")</f>
        <v/>
      </c>
    </row>
    <row r="1089">
      <c r="A1089" s="1" t="n">
        <v>43584</v>
      </c>
      <c r="B1089" s="3">
        <f>IF(ISNUMBER(AVERAGE('20250815_ETF_Options_Exhibits'!B1085:B1089)),AVERAGE('20250815_ETF_Options_Exhibits'!B1085:B1089),"")</f>
        <v/>
      </c>
      <c r="C1089" s="3">
        <f>IF(ISNUMBER(AVERAGE('20250815_ETF_Options_Exhibits'!C1085:C1089)),AVERAGE('20250815_ETF_Options_Exhibits'!C1085:C1089),"")</f>
        <v/>
      </c>
      <c r="D1089" s="3">
        <f>IF(ISNUMBER(AVERAGE('20250815_ETF_Options_Exhibits'!D1085:D1089)),AVERAGE('20250815_ETF_Options_Exhibits'!D1085:D1089),"")</f>
        <v/>
      </c>
      <c r="E1089" s="3">
        <f>IF(ISNUMBER(AVERAGE('20250815_ETF_Options_Exhibits'!E1085:E1089)),AVERAGE('20250815_ETF_Options_Exhibits'!E1085:E1089),"")</f>
        <v/>
      </c>
      <c r="F1089" s="3">
        <f>IF(ISNUMBER(AVERAGE('20250815_ETF_Options_Exhibits'!F1085:F1089)),AVERAGE('20250815_ETF_Options_Exhibits'!F1085:F1089),"")</f>
        <v/>
      </c>
      <c r="G1089" s="3">
        <f>IF(ISNUMBER(AVERAGE('20250815_ETF_Options_Exhibits'!G1085:G1089)),AVERAGE('20250815_ETF_Options_Exhibits'!G1085:G1089),"")</f>
        <v/>
      </c>
      <c r="H1089" s="3">
        <f>IF(ISNUMBER(AVERAGE('20250815_ETF_Options_Exhibits'!H1085:H1089)),AVERAGE('20250815_ETF_Options_Exhibits'!H1085:H1089),"")</f>
        <v/>
      </c>
      <c r="I1089" s="3">
        <f>IF(ISNUMBER(AVERAGE('20250815_ETF_Options_Exhibits'!I1085:I1089)),AVERAGE('20250815_ETF_Options_Exhibits'!I1085:I1089),"")</f>
        <v/>
      </c>
      <c r="J1089" s="3">
        <f>IF(ISNUMBER(AVERAGE('20250815_ETF_Options_Exhibits'!J1085:J1089)),AVERAGE('20250815_ETF_Options_Exhibits'!J1085:J1089),"")</f>
        <v/>
      </c>
      <c r="K1089" s="3">
        <f>IF(ISNUMBER(AVERAGE('20250815_ETF_Options_Exhibits'!K1085:K1089)),AVERAGE('20250815_ETF_Options_Exhibits'!K1085:K1089),"")</f>
        <v/>
      </c>
      <c r="L1089" s="3">
        <f>IF(ISNUMBER(AVERAGE('20250815_ETF_Options_Exhibits'!L1085:L1089)),AVERAGE('20250815_ETF_Options_Exhibits'!L1085:L1089),"")</f>
        <v/>
      </c>
      <c r="M1089" s="3">
        <f>IF(ISNUMBER(AVERAGE('20250815_ETF_Options_Exhibits'!M1085:M1089)),AVERAGE('20250815_ETF_Options_Exhibits'!M1085:M1089),"")</f>
        <v/>
      </c>
      <c r="N1089" s="3">
        <f>IF(ISNUMBER(AVERAGE('20250815_ETF_Options_Exhibits'!N1085:N1089)),AVERAGE('20250815_ETF_Options_Exhibits'!N1085:N1089),"")</f>
        <v/>
      </c>
      <c r="O1089" s="3">
        <f>IF(ISNUMBER(AVERAGE('20250815_ETF_Options_Exhibits'!O1085:O1089)),AVERAGE('20250815_ETF_Options_Exhibits'!O1085:O1089),"")</f>
        <v/>
      </c>
      <c r="P1089" s="3">
        <f>IF(ISNUMBER(AVERAGE('20250815_ETF_Options_Exhibits'!P1085:P1089)),AVERAGE('20250815_ETF_Options_Exhibits'!P1085:P1089),"")</f>
        <v/>
      </c>
      <c r="Q1089" s="3">
        <f>IF(ISNUMBER(AVERAGE('20250815_ETF_Options_Exhibits'!Q1085:Q1089)),AVERAGE('20250815_ETF_Options_Exhibits'!Q1085:Q1089),"")</f>
        <v/>
      </c>
      <c r="R1089" s="3">
        <f>IF(ISNUMBER(AVERAGE('20250815_ETF_Options_Exhibits'!R1085:R1089)),AVERAGE('20250815_ETF_Options_Exhibits'!R1085:R1089),"")</f>
        <v/>
      </c>
      <c r="S1089" s="3">
        <f>IF(ISNUMBER(AVERAGE('20250815_ETF_Options_Exhibits'!S1085:S1089)),AVERAGE('20250815_ETF_Options_Exhibits'!S1085:S1089),"")</f>
        <v/>
      </c>
      <c r="T1089" s="3">
        <f>IF(ISNUMBER(AVERAGE('20250815_ETF_Options_Exhibits'!T1085:T1089)),AVERAGE('20250815_ETF_Options_Exhibits'!T1085:T1089),"")</f>
        <v/>
      </c>
      <c r="U1089" s="3">
        <f>IF(ISNUMBER(AVERAGE('20250815_ETF_Options_Exhibits'!U1085:U1089)),AVERAGE('20250815_ETF_Options_Exhibits'!U1085:U1089),"")</f>
        <v/>
      </c>
      <c r="V1089" s="3">
        <f>IF(ISNUMBER(AVERAGE('20250815_ETF_Options_Exhibits'!V1085:V1089)),AVERAGE('20250815_ETF_Options_Exhibits'!V1085:V1089),"")</f>
        <v/>
      </c>
      <c r="W1089" s="3">
        <f>IF(ISNUMBER(AVERAGE('20250815_ETF_Options_Exhibits'!W1085:W1089)),AVERAGE('20250815_ETF_Options_Exhibits'!W1085:W1089),"")</f>
        <v/>
      </c>
      <c r="X1089" s="3">
        <f>IF(ISNUMBER(AVERAGE('20250815_ETF_Options_Exhibits'!X1085:X1089)),AVERAGE('20250815_ETF_Options_Exhibits'!X1085:X1089),"")</f>
        <v/>
      </c>
      <c r="Y1089" s="3">
        <f>IF(ISNUMBER(AVERAGE('20250815_ETF_Options_Exhibits'!Y1085:Y1089)),AVERAGE('20250815_ETF_Options_Exhibits'!Y1085:Y1089),"")</f>
        <v/>
      </c>
      <c r="Z1089" s="3">
        <f>IF(ISNUMBER(AVERAGE('20250815_ETF_Options_Exhibits'!Z1085:Z1089)),AVERAGE('20250815_ETF_Options_Exhibits'!Z1085:Z1089),"")</f>
        <v/>
      </c>
      <c r="AA1089" s="3">
        <f>IF(ISNUMBER(AVERAGE('20250815_ETF_Options_Exhibits'!AA1085:AA1089)),AVERAGE('20250815_ETF_Options_Exhibits'!AA1085:AA1089),"")</f>
        <v/>
      </c>
    </row>
    <row r="1090">
      <c r="A1090" s="1" t="n">
        <v>43585</v>
      </c>
      <c r="B1090" s="3">
        <f>IF(ISNUMBER(AVERAGE('20250815_ETF_Options_Exhibits'!B1086:B1090)),AVERAGE('20250815_ETF_Options_Exhibits'!B1086:B1090),"")</f>
        <v/>
      </c>
      <c r="C1090" s="3">
        <f>IF(ISNUMBER(AVERAGE('20250815_ETF_Options_Exhibits'!C1086:C1090)),AVERAGE('20250815_ETF_Options_Exhibits'!C1086:C1090),"")</f>
        <v/>
      </c>
      <c r="D1090" s="3">
        <f>IF(ISNUMBER(AVERAGE('20250815_ETF_Options_Exhibits'!D1086:D1090)),AVERAGE('20250815_ETF_Options_Exhibits'!D1086:D1090),"")</f>
        <v/>
      </c>
      <c r="E1090" s="3">
        <f>IF(ISNUMBER(AVERAGE('20250815_ETF_Options_Exhibits'!E1086:E1090)),AVERAGE('20250815_ETF_Options_Exhibits'!E1086:E1090),"")</f>
        <v/>
      </c>
      <c r="F1090" s="3">
        <f>IF(ISNUMBER(AVERAGE('20250815_ETF_Options_Exhibits'!F1086:F1090)),AVERAGE('20250815_ETF_Options_Exhibits'!F1086:F1090),"")</f>
        <v/>
      </c>
      <c r="G1090" s="3">
        <f>IF(ISNUMBER(AVERAGE('20250815_ETF_Options_Exhibits'!G1086:G1090)),AVERAGE('20250815_ETF_Options_Exhibits'!G1086:G1090),"")</f>
        <v/>
      </c>
      <c r="H1090" s="3">
        <f>IF(ISNUMBER(AVERAGE('20250815_ETF_Options_Exhibits'!H1086:H1090)),AVERAGE('20250815_ETF_Options_Exhibits'!H1086:H1090),"")</f>
        <v/>
      </c>
      <c r="I1090" s="3">
        <f>IF(ISNUMBER(AVERAGE('20250815_ETF_Options_Exhibits'!I1086:I1090)),AVERAGE('20250815_ETF_Options_Exhibits'!I1086:I1090),"")</f>
        <v/>
      </c>
      <c r="J1090" s="3">
        <f>IF(ISNUMBER(AVERAGE('20250815_ETF_Options_Exhibits'!J1086:J1090)),AVERAGE('20250815_ETF_Options_Exhibits'!J1086:J1090),"")</f>
        <v/>
      </c>
      <c r="K1090" s="3">
        <f>IF(ISNUMBER(AVERAGE('20250815_ETF_Options_Exhibits'!K1086:K1090)),AVERAGE('20250815_ETF_Options_Exhibits'!K1086:K1090),"")</f>
        <v/>
      </c>
      <c r="L1090" s="3">
        <f>IF(ISNUMBER(AVERAGE('20250815_ETF_Options_Exhibits'!L1086:L1090)),AVERAGE('20250815_ETF_Options_Exhibits'!L1086:L1090),"")</f>
        <v/>
      </c>
      <c r="M1090" s="3">
        <f>IF(ISNUMBER(AVERAGE('20250815_ETF_Options_Exhibits'!M1086:M1090)),AVERAGE('20250815_ETF_Options_Exhibits'!M1086:M1090),"")</f>
        <v/>
      </c>
      <c r="N1090" s="3">
        <f>IF(ISNUMBER(AVERAGE('20250815_ETF_Options_Exhibits'!N1086:N1090)),AVERAGE('20250815_ETF_Options_Exhibits'!N1086:N1090),"")</f>
        <v/>
      </c>
      <c r="O1090" s="3">
        <f>IF(ISNUMBER(AVERAGE('20250815_ETF_Options_Exhibits'!O1086:O1090)),AVERAGE('20250815_ETF_Options_Exhibits'!O1086:O1090),"")</f>
        <v/>
      </c>
      <c r="P1090" s="3">
        <f>IF(ISNUMBER(AVERAGE('20250815_ETF_Options_Exhibits'!P1086:P1090)),AVERAGE('20250815_ETF_Options_Exhibits'!P1086:P1090),"")</f>
        <v/>
      </c>
      <c r="Q1090" s="3">
        <f>IF(ISNUMBER(AVERAGE('20250815_ETF_Options_Exhibits'!Q1086:Q1090)),AVERAGE('20250815_ETF_Options_Exhibits'!Q1086:Q1090),"")</f>
        <v/>
      </c>
      <c r="R1090" s="3">
        <f>IF(ISNUMBER(AVERAGE('20250815_ETF_Options_Exhibits'!R1086:R1090)),AVERAGE('20250815_ETF_Options_Exhibits'!R1086:R1090),"")</f>
        <v/>
      </c>
      <c r="S1090" s="3">
        <f>IF(ISNUMBER(AVERAGE('20250815_ETF_Options_Exhibits'!S1086:S1090)),AVERAGE('20250815_ETF_Options_Exhibits'!S1086:S1090),"")</f>
        <v/>
      </c>
      <c r="T1090" s="3">
        <f>IF(ISNUMBER(AVERAGE('20250815_ETF_Options_Exhibits'!T1086:T1090)),AVERAGE('20250815_ETF_Options_Exhibits'!T1086:T1090),"")</f>
        <v/>
      </c>
      <c r="U1090" s="3">
        <f>IF(ISNUMBER(AVERAGE('20250815_ETF_Options_Exhibits'!U1086:U1090)),AVERAGE('20250815_ETF_Options_Exhibits'!U1086:U1090),"")</f>
        <v/>
      </c>
      <c r="V1090" s="3">
        <f>IF(ISNUMBER(AVERAGE('20250815_ETF_Options_Exhibits'!V1086:V1090)),AVERAGE('20250815_ETF_Options_Exhibits'!V1086:V1090),"")</f>
        <v/>
      </c>
      <c r="W1090" s="3">
        <f>IF(ISNUMBER(AVERAGE('20250815_ETF_Options_Exhibits'!W1086:W1090)),AVERAGE('20250815_ETF_Options_Exhibits'!W1086:W1090),"")</f>
        <v/>
      </c>
      <c r="X1090" s="3">
        <f>IF(ISNUMBER(AVERAGE('20250815_ETF_Options_Exhibits'!X1086:X1090)),AVERAGE('20250815_ETF_Options_Exhibits'!X1086:X1090),"")</f>
        <v/>
      </c>
      <c r="Y1090" s="3">
        <f>IF(ISNUMBER(AVERAGE('20250815_ETF_Options_Exhibits'!Y1086:Y1090)),AVERAGE('20250815_ETF_Options_Exhibits'!Y1086:Y1090),"")</f>
        <v/>
      </c>
      <c r="Z1090" s="3">
        <f>IF(ISNUMBER(AVERAGE('20250815_ETF_Options_Exhibits'!Z1086:Z1090)),AVERAGE('20250815_ETF_Options_Exhibits'!Z1086:Z1090),"")</f>
        <v/>
      </c>
      <c r="AA1090" s="3">
        <f>IF(ISNUMBER(AVERAGE('20250815_ETF_Options_Exhibits'!AA1086:AA1090)),AVERAGE('20250815_ETF_Options_Exhibits'!AA1086:AA1090),"")</f>
        <v/>
      </c>
    </row>
    <row r="1091">
      <c r="A1091" s="1" t="n">
        <v>43586</v>
      </c>
      <c r="B1091" s="3">
        <f>IF(ISNUMBER(AVERAGE('20250815_ETF_Options_Exhibits'!B1087:B1091)),AVERAGE('20250815_ETF_Options_Exhibits'!B1087:B1091),"")</f>
        <v/>
      </c>
      <c r="C1091" s="3">
        <f>IF(ISNUMBER(AVERAGE('20250815_ETF_Options_Exhibits'!C1087:C1091)),AVERAGE('20250815_ETF_Options_Exhibits'!C1087:C1091),"")</f>
        <v/>
      </c>
      <c r="D1091" s="3">
        <f>IF(ISNUMBER(AVERAGE('20250815_ETF_Options_Exhibits'!D1087:D1091)),AVERAGE('20250815_ETF_Options_Exhibits'!D1087:D1091),"")</f>
        <v/>
      </c>
      <c r="E1091" s="3">
        <f>IF(ISNUMBER(AVERAGE('20250815_ETF_Options_Exhibits'!E1087:E1091)),AVERAGE('20250815_ETF_Options_Exhibits'!E1087:E1091),"")</f>
        <v/>
      </c>
      <c r="F1091" s="3">
        <f>IF(ISNUMBER(AVERAGE('20250815_ETF_Options_Exhibits'!F1087:F1091)),AVERAGE('20250815_ETF_Options_Exhibits'!F1087:F1091),"")</f>
        <v/>
      </c>
      <c r="G1091" s="3">
        <f>IF(ISNUMBER(AVERAGE('20250815_ETF_Options_Exhibits'!G1087:G1091)),AVERAGE('20250815_ETF_Options_Exhibits'!G1087:G1091),"")</f>
        <v/>
      </c>
      <c r="H1091" s="3">
        <f>IF(ISNUMBER(AVERAGE('20250815_ETF_Options_Exhibits'!H1087:H1091)),AVERAGE('20250815_ETF_Options_Exhibits'!H1087:H1091),"")</f>
        <v/>
      </c>
      <c r="I1091" s="3">
        <f>IF(ISNUMBER(AVERAGE('20250815_ETF_Options_Exhibits'!I1087:I1091)),AVERAGE('20250815_ETF_Options_Exhibits'!I1087:I1091),"")</f>
        <v/>
      </c>
      <c r="J1091" s="3">
        <f>IF(ISNUMBER(AVERAGE('20250815_ETF_Options_Exhibits'!J1087:J1091)),AVERAGE('20250815_ETF_Options_Exhibits'!J1087:J1091),"")</f>
        <v/>
      </c>
      <c r="K1091" s="3">
        <f>IF(ISNUMBER(AVERAGE('20250815_ETF_Options_Exhibits'!K1087:K1091)),AVERAGE('20250815_ETF_Options_Exhibits'!K1087:K1091),"")</f>
        <v/>
      </c>
      <c r="L1091" s="3">
        <f>IF(ISNUMBER(AVERAGE('20250815_ETF_Options_Exhibits'!L1087:L1091)),AVERAGE('20250815_ETF_Options_Exhibits'!L1087:L1091),"")</f>
        <v/>
      </c>
      <c r="M1091" s="3">
        <f>IF(ISNUMBER(AVERAGE('20250815_ETF_Options_Exhibits'!M1087:M1091)),AVERAGE('20250815_ETF_Options_Exhibits'!M1087:M1091),"")</f>
        <v/>
      </c>
      <c r="N1091" s="3">
        <f>IF(ISNUMBER(AVERAGE('20250815_ETF_Options_Exhibits'!N1087:N1091)),AVERAGE('20250815_ETF_Options_Exhibits'!N1087:N1091),"")</f>
        <v/>
      </c>
      <c r="O1091" s="3">
        <f>IF(ISNUMBER(AVERAGE('20250815_ETF_Options_Exhibits'!O1087:O1091)),AVERAGE('20250815_ETF_Options_Exhibits'!O1087:O1091),"")</f>
        <v/>
      </c>
      <c r="P1091" s="3">
        <f>IF(ISNUMBER(AVERAGE('20250815_ETF_Options_Exhibits'!P1087:P1091)),AVERAGE('20250815_ETF_Options_Exhibits'!P1087:P1091),"")</f>
        <v/>
      </c>
      <c r="Q1091" s="3">
        <f>IF(ISNUMBER(AVERAGE('20250815_ETF_Options_Exhibits'!Q1087:Q1091)),AVERAGE('20250815_ETF_Options_Exhibits'!Q1087:Q1091),"")</f>
        <v/>
      </c>
      <c r="R1091" s="3">
        <f>IF(ISNUMBER(AVERAGE('20250815_ETF_Options_Exhibits'!R1087:R1091)),AVERAGE('20250815_ETF_Options_Exhibits'!R1087:R1091),"")</f>
        <v/>
      </c>
      <c r="S1091" s="3">
        <f>IF(ISNUMBER(AVERAGE('20250815_ETF_Options_Exhibits'!S1087:S1091)),AVERAGE('20250815_ETF_Options_Exhibits'!S1087:S1091),"")</f>
        <v/>
      </c>
      <c r="T1091" s="3">
        <f>IF(ISNUMBER(AVERAGE('20250815_ETF_Options_Exhibits'!T1087:T1091)),AVERAGE('20250815_ETF_Options_Exhibits'!T1087:T1091),"")</f>
        <v/>
      </c>
      <c r="U1091" s="3">
        <f>IF(ISNUMBER(AVERAGE('20250815_ETF_Options_Exhibits'!U1087:U1091)),AVERAGE('20250815_ETF_Options_Exhibits'!U1087:U1091),"")</f>
        <v/>
      </c>
      <c r="V1091" s="3">
        <f>IF(ISNUMBER(AVERAGE('20250815_ETF_Options_Exhibits'!V1087:V1091)),AVERAGE('20250815_ETF_Options_Exhibits'!V1087:V1091),"")</f>
        <v/>
      </c>
      <c r="W1091" s="3">
        <f>IF(ISNUMBER(AVERAGE('20250815_ETF_Options_Exhibits'!W1087:W1091)),AVERAGE('20250815_ETF_Options_Exhibits'!W1087:W1091),"")</f>
        <v/>
      </c>
      <c r="X1091" s="3">
        <f>IF(ISNUMBER(AVERAGE('20250815_ETF_Options_Exhibits'!X1087:X1091)),AVERAGE('20250815_ETF_Options_Exhibits'!X1087:X1091),"")</f>
        <v/>
      </c>
      <c r="Y1091" s="3">
        <f>IF(ISNUMBER(AVERAGE('20250815_ETF_Options_Exhibits'!Y1087:Y1091)),AVERAGE('20250815_ETF_Options_Exhibits'!Y1087:Y1091),"")</f>
        <v/>
      </c>
      <c r="Z1091" s="3">
        <f>IF(ISNUMBER(AVERAGE('20250815_ETF_Options_Exhibits'!Z1087:Z1091)),AVERAGE('20250815_ETF_Options_Exhibits'!Z1087:Z1091),"")</f>
        <v/>
      </c>
      <c r="AA1091" s="3">
        <f>IF(ISNUMBER(AVERAGE('20250815_ETF_Options_Exhibits'!AA1087:AA1091)),AVERAGE('20250815_ETF_Options_Exhibits'!AA1087:AA1091),"")</f>
        <v/>
      </c>
    </row>
    <row r="1092">
      <c r="A1092" s="1" t="n">
        <v>43587</v>
      </c>
      <c r="B1092" s="3">
        <f>IF(ISNUMBER(AVERAGE('20250815_ETF_Options_Exhibits'!B1088:B1092)),AVERAGE('20250815_ETF_Options_Exhibits'!B1088:B1092),"")</f>
        <v/>
      </c>
      <c r="C1092" s="3">
        <f>IF(ISNUMBER(AVERAGE('20250815_ETF_Options_Exhibits'!C1088:C1092)),AVERAGE('20250815_ETF_Options_Exhibits'!C1088:C1092),"")</f>
        <v/>
      </c>
      <c r="D1092" s="3">
        <f>IF(ISNUMBER(AVERAGE('20250815_ETF_Options_Exhibits'!D1088:D1092)),AVERAGE('20250815_ETF_Options_Exhibits'!D1088:D1092),"")</f>
        <v/>
      </c>
      <c r="E1092" s="3">
        <f>IF(ISNUMBER(AVERAGE('20250815_ETF_Options_Exhibits'!E1088:E1092)),AVERAGE('20250815_ETF_Options_Exhibits'!E1088:E1092),"")</f>
        <v/>
      </c>
      <c r="F1092" s="3">
        <f>IF(ISNUMBER(AVERAGE('20250815_ETF_Options_Exhibits'!F1088:F1092)),AVERAGE('20250815_ETF_Options_Exhibits'!F1088:F1092),"")</f>
        <v/>
      </c>
      <c r="G1092" s="3">
        <f>IF(ISNUMBER(AVERAGE('20250815_ETF_Options_Exhibits'!G1088:G1092)),AVERAGE('20250815_ETF_Options_Exhibits'!G1088:G1092),"")</f>
        <v/>
      </c>
      <c r="H1092" s="3">
        <f>IF(ISNUMBER(AVERAGE('20250815_ETF_Options_Exhibits'!H1088:H1092)),AVERAGE('20250815_ETF_Options_Exhibits'!H1088:H1092),"")</f>
        <v/>
      </c>
      <c r="I1092" s="3">
        <f>IF(ISNUMBER(AVERAGE('20250815_ETF_Options_Exhibits'!I1088:I1092)),AVERAGE('20250815_ETF_Options_Exhibits'!I1088:I1092),"")</f>
        <v/>
      </c>
      <c r="J1092" s="3">
        <f>IF(ISNUMBER(AVERAGE('20250815_ETF_Options_Exhibits'!J1088:J1092)),AVERAGE('20250815_ETF_Options_Exhibits'!J1088:J1092),"")</f>
        <v/>
      </c>
      <c r="K1092" s="3">
        <f>IF(ISNUMBER(AVERAGE('20250815_ETF_Options_Exhibits'!K1088:K1092)),AVERAGE('20250815_ETF_Options_Exhibits'!K1088:K1092),"")</f>
        <v/>
      </c>
      <c r="L1092" s="3">
        <f>IF(ISNUMBER(AVERAGE('20250815_ETF_Options_Exhibits'!L1088:L1092)),AVERAGE('20250815_ETF_Options_Exhibits'!L1088:L1092),"")</f>
        <v/>
      </c>
      <c r="M1092" s="3">
        <f>IF(ISNUMBER(AVERAGE('20250815_ETF_Options_Exhibits'!M1088:M1092)),AVERAGE('20250815_ETF_Options_Exhibits'!M1088:M1092),"")</f>
        <v/>
      </c>
      <c r="N1092" s="3">
        <f>IF(ISNUMBER(AVERAGE('20250815_ETF_Options_Exhibits'!N1088:N1092)),AVERAGE('20250815_ETF_Options_Exhibits'!N1088:N1092),"")</f>
        <v/>
      </c>
      <c r="O1092" s="3">
        <f>IF(ISNUMBER(AVERAGE('20250815_ETF_Options_Exhibits'!O1088:O1092)),AVERAGE('20250815_ETF_Options_Exhibits'!O1088:O1092),"")</f>
        <v/>
      </c>
      <c r="P1092" s="3">
        <f>IF(ISNUMBER(AVERAGE('20250815_ETF_Options_Exhibits'!P1088:P1092)),AVERAGE('20250815_ETF_Options_Exhibits'!P1088:P1092),"")</f>
        <v/>
      </c>
      <c r="Q1092" s="3">
        <f>IF(ISNUMBER(AVERAGE('20250815_ETF_Options_Exhibits'!Q1088:Q1092)),AVERAGE('20250815_ETF_Options_Exhibits'!Q1088:Q1092),"")</f>
        <v/>
      </c>
      <c r="R1092" s="3">
        <f>IF(ISNUMBER(AVERAGE('20250815_ETF_Options_Exhibits'!R1088:R1092)),AVERAGE('20250815_ETF_Options_Exhibits'!R1088:R1092),"")</f>
        <v/>
      </c>
      <c r="S1092" s="3">
        <f>IF(ISNUMBER(AVERAGE('20250815_ETF_Options_Exhibits'!S1088:S1092)),AVERAGE('20250815_ETF_Options_Exhibits'!S1088:S1092),"")</f>
        <v/>
      </c>
      <c r="T1092" s="3">
        <f>IF(ISNUMBER(AVERAGE('20250815_ETF_Options_Exhibits'!T1088:T1092)),AVERAGE('20250815_ETF_Options_Exhibits'!T1088:T1092),"")</f>
        <v/>
      </c>
      <c r="U1092" s="3">
        <f>IF(ISNUMBER(AVERAGE('20250815_ETF_Options_Exhibits'!U1088:U1092)),AVERAGE('20250815_ETF_Options_Exhibits'!U1088:U1092),"")</f>
        <v/>
      </c>
      <c r="V1092" s="3">
        <f>IF(ISNUMBER(AVERAGE('20250815_ETF_Options_Exhibits'!V1088:V1092)),AVERAGE('20250815_ETF_Options_Exhibits'!V1088:V1092),"")</f>
        <v/>
      </c>
      <c r="W1092" s="3">
        <f>IF(ISNUMBER(AVERAGE('20250815_ETF_Options_Exhibits'!W1088:W1092)),AVERAGE('20250815_ETF_Options_Exhibits'!W1088:W1092),"")</f>
        <v/>
      </c>
      <c r="X1092" s="3">
        <f>IF(ISNUMBER(AVERAGE('20250815_ETF_Options_Exhibits'!X1088:X1092)),AVERAGE('20250815_ETF_Options_Exhibits'!X1088:X1092),"")</f>
        <v/>
      </c>
      <c r="Y1092" s="3">
        <f>IF(ISNUMBER(AVERAGE('20250815_ETF_Options_Exhibits'!Y1088:Y1092)),AVERAGE('20250815_ETF_Options_Exhibits'!Y1088:Y1092),"")</f>
        <v/>
      </c>
      <c r="Z1092" s="3">
        <f>IF(ISNUMBER(AVERAGE('20250815_ETF_Options_Exhibits'!Z1088:Z1092)),AVERAGE('20250815_ETF_Options_Exhibits'!Z1088:Z1092),"")</f>
        <v/>
      </c>
      <c r="AA1092" s="3">
        <f>IF(ISNUMBER(AVERAGE('20250815_ETF_Options_Exhibits'!AA1088:AA1092)),AVERAGE('20250815_ETF_Options_Exhibits'!AA1088:AA1092),"")</f>
        <v/>
      </c>
    </row>
    <row r="1093">
      <c r="A1093" s="1" t="n">
        <v>43588</v>
      </c>
      <c r="B1093" s="3">
        <f>IF(ISNUMBER(AVERAGE('20250815_ETF_Options_Exhibits'!B1089:B1093)),AVERAGE('20250815_ETF_Options_Exhibits'!B1089:B1093),"")</f>
        <v/>
      </c>
      <c r="C1093" s="3">
        <f>IF(ISNUMBER(AVERAGE('20250815_ETF_Options_Exhibits'!C1089:C1093)),AVERAGE('20250815_ETF_Options_Exhibits'!C1089:C1093),"")</f>
        <v/>
      </c>
      <c r="D1093" s="3">
        <f>IF(ISNUMBER(AVERAGE('20250815_ETF_Options_Exhibits'!D1089:D1093)),AVERAGE('20250815_ETF_Options_Exhibits'!D1089:D1093),"")</f>
        <v/>
      </c>
      <c r="E1093" s="3">
        <f>IF(ISNUMBER(AVERAGE('20250815_ETF_Options_Exhibits'!E1089:E1093)),AVERAGE('20250815_ETF_Options_Exhibits'!E1089:E1093),"")</f>
        <v/>
      </c>
      <c r="F1093" s="3">
        <f>IF(ISNUMBER(AVERAGE('20250815_ETF_Options_Exhibits'!F1089:F1093)),AVERAGE('20250815_ETF_Options_Exhibits'!F1089:F1093),"")</f>
        <v/>
      </c>
      <c r="G1093" s="3">
        <f>IF(ISNUMBER(AVERAGE('20250815_ETF_Options_Exhibits'!G1089:G1093)),AVERAGE('20250815_ETF_Options_Exhibits'!G1089:G1093),"")</f>
        <v/>
      </c>
      <c r="H1093" s="3">
        <f>IF(ISNUMBER(AVERAGE('20250815_ETF_Options_Exhibits'!H1089:H1093)),AVERAGE('20250815_ETF_Options_Exhibits'!H1089:H1093),"")</f>
        <v/>
      </c>
      <c r="I1093" s="3">
        <f>IF(ISNUMBER(AVERAGE('20250815_ETF_Options_Exhibits'!I1089:I1093)),AVERAGE('20250815_ETF_Options_Exhibits'!I1089:I1093),"")</f>
        <v/>
      </c>
      <c r="J1093" s="3">
        <f>IF(ISNUMBER(AVERAGE('20250815_ETF_Options_Exhibits'!J1089:J1093)),AVERAGE('20250815_ETF_Options_Exhibits'!J1089:J1093),"")</f>
        <v/>
      </c>
      <c r="K1093" s="3">
        <f>IF(ISNUMBER(AVERAGE('20250815_ETF_Options_Exhibits'!K1089:K1093)),AVERAGE('20250815_ETF_Options_Exhibits'!K1089:K1093),"")</f>
        <v/>
      </c>
      <c r="L1093" s="3">
        <f>IF(ISNUMBER(AVERAGE('20250815_ETF_Options_Exhibits'!L1089:L1093)),AVERAGE('20250815_ETF_Options_Exhibits'!L1089:L1093),"")</f>
        <v/>
      </c>
      <c r="M1093" s="3">
        <f>IF(ISNUMBER(AVERAGE('20250815_ETF_Options_Exhibits'!M1089:M1093)),AVERAGE('20250815_ETF_Options_Exhibits'!M1089:M1093),"")</f>
        <v/>
      </c>
      <c r="N1093" s="3">
        <f>IF(ISNUMBER(AVERAGE('20250815_ETF_Options_Exhibits'!N1089:N1093)),AVERAGE('20250815_ETF_Options_Exhibits'!N1089:N1093),"")</f>
        <v/>
      </c>
      <c r="O1093" s="3">
        <f>IF(ISNUMBER(AVERAGE('20250815_ETF_Options_Exhibits'!O1089:O1093)),AVERAGE('20250815_ETF_Options_Exhibits'!O1089:O1093),"")</f>
        <v/>
      </c>
      <c r="P1093" s="3">
        <f>IF(ISNUMBER(AVERAGE('20250815_ETF_Options_Exhibits'!P1089:P1093)),AVERAGE('20250815_ETF_Options_Exhibits'!P1089:P1093),"")</f>
        <v/>
      </c>
      <c r="Q1093" s="3">
        <f>IF(ISNUMBER(AVERAGE('20250815_ETF_Options_Exhibits'!Q1089:Q1093)),AVERAGE('20250815_ETF_Options_Exhibits'!Q1089:Q1093),"")</f>
        <v/>
      </c>
      <c r="R1093" s="3">
        <f>IF(ISNUMBER(AVERAGE('20250815_ETF_Options_Exhibits'!R1089:R1093)),AVERAGE('20250815_ETF_Options_Exhibits'!R1089:R1093),"")</f>
        <v/>
      </c>
      <c r="S1093" s="3">
        <f>IF(ISNUMBER(AVERAGE('20250815_ETF_Options_Exhibits'!S1089:S1093)),AVERAGE('20250815_ETF_Options_Exhibits'!S1089:S1093),"")</f>
        <v/>
      </c>
      <c r="T1093" s="3">
        <f>IF(ISNUMBER(AVERAGE('20250815_ETF_Options_Exhibits'!T1089:T1093)),AVERAGE('20250815_ETF_Options_Exhibits'!T1089:T1093),"")</f>
        <v/>
      </c>
      <c r="U1093" s="3">
        <f>IF(ISNUMBER(AVERAGE('20250815_ETF_Options_Exhibits'!U1089:U1093)),AVERAGE('20250815_ETF_Options_Exhibits'!U1089:U1093),"")</f>
        <v/>
      </c>
      <c r="V1093" s="3">
        <f>IF(ISNUMBER(AVERAGE('20250815_ETF_Options_Exhibits'!V1089:V1093)),AVERAGE('20250815_ETF_Options_Exhibits'!V1089:V1093),"")</f>
        <v/>
      </c>
      <c r="W1093" s="3">
        <f>IF(ISNUMBER(AVERAGE('20250815_ETF_Options_Exhibits'!W1089:W1093)),AVERAGE('20250815_ETF_Options_Exhibits'!W1089:W1093),"")</f>
        <v/>
      </c>
      <c r="X1093" s="3">
        <f>IF(ISNUMBER(AVERAGE('20250815_ETF_Options_Exhibits'!X1089:X1093)),AVERAGE('20250815_ETF_Options_Exhibits'!X1089:X1093),"")</f>
        <v/>
      </c>
      <c r="Y1093" s="3">
        <f>IF(ISNUMBER(AVERAGE('20250815_ETF_Options_Exhibits'!Y1089:Y1093)),AVERAGE('20250815_ETF_Options_Exhibits'!Y1089:Y1093),"")</f>
        <v/>
      </c>
      <c r="Z1093" s="3">
        <f>IF(ISNUMBER(AVERAGE('20250815_ETF_Options_Exhibits'!Z1089:Z1093)),AVERAGE('20250815_ETF_Options_Exhibits'!Z1089:Z1093),"")</f>
        <v/>
      </c>
      <c r="AA1093" s="3">
        <f>IF(ISNUMBER(AVERAGE('20250815_ETF_Options_Exhibits'!AA1089:AA1093)),AVERAGE('20250815_ETF_Options_Exhibits'!AA1089:AA1093),"")</f>
        <v/>
      </c>
    </row>
    <row r="1094">
      <c r="A1094" s="1" t="n">
        <v>43591</v>
      </c>
      <c r="B1094" s="3">
        <f>IF(ISNUMBER(AVERAGE('20250815_ETF_Options_Exhibits'!B1090:B1094)),AVERAGE('20250815_ETF_Options_Exhibits'!B1090:B1094),"")</f>
        <v/>
      </c>
      <c r="C1094" s="3">
        <f>IF(ISNUMBER(AVERAGE('20250815_ETF_Options_Exhibits'!C1090:C1094)),AVERAGE('20250815_ETF_Options_Exhibits'!C1090:C1094),"")</f>
        <v/>
      </c>
      <c r="D1094" s="3">
        <f>IF(ISNUMBER(AVERAGE('20250815_ETF_Options_Exhibits'!D1090:D1094)),AVERAGE('20250815_ETF_Options_Exhibits'!D1090:D1094),"")</f>
        <v/>
      </c>
      <c r="E1094" s="3">
        <f>IF(ISNUMBER(AVERAGE('20250815_ETF_Options_Exhibits'!E1090:E1094)),AVERAGE('20250815_ETF_Options_Exhibits'!E1090:E1094),"")</f>
        <v/>
      </c>
      <c r="F1094" s="3">
        <f>IF(ISNUMBER(AVERAGE('20250815_ETF_Options_Exhibits'!F1090:F1094)),AVERAGE('20250815_ETF_Options_Exhibits'!F1090:F1094),"")</f>
        <v/>
      </c>
      <c r="G1094" s="3">
        <f>IF(ISNUMBER(AVERAGE('20250815_ETF_Options_Exhibits'!G1090:G1094)),AVERAGE('20250815_ETF_Options_Exhibits'!G1090:G1094),"")</f>
        <v/>
      </c>
      <c r="H1094" s="3">
        <f>IF(ISNUMBER(AVERAGE('20250815_ETF_Options_Exhibits'!H1090:H1094)),AVERAGE('20250815_ETF_Options_Exhibits'!H1090:H1094),"")</f>
        <v/>
      </c>
      <c r="I1094" s="3">
        <f>IF(ISNUMBER(AVERAGE('20250815_ETF_Options_Exhibits'!I1090:I1094)),AVERAGE('20250815_ETF_Options_Exhibits'!I1090:I1094),"")</f>
        <v/>
      </c>
      <c r="J1094" s="3">
        <f>IF(ISNUMBER(AVERAGE('20250815_ETF_Options_Exhibits'!J1090:J1094)),AVERAGE('20250815_ETF_Options_Exhibits'!J1090:J1094),"")</f>
        <v/>
      </c>
      <c r="K1094" s="3">
        <f>IF(ISNUMBER(AVERAGE('20250815_ETF_Options_Exhibits'!K1090:K1094)),AVERAGE('20250815_ETF_Options_Exhibits'!K1090:K1094),"")</f>
        <v/>
      </c>
      <c r="L1094" s="3">
        <f>IF(ISNUMBER(AVERAGE('20250815_ETF_Options_Exhibits'!L1090:L1094)),AVERAGE('20250815_ETF_Options_Exhibits'!L1090:L1094),"")</f>
        <v/>
      </c>
      <c r="M1094" s="3">
        <f>IF(ISNUMBER(AVERAGE('20250815_ETF_Options_Exhibits'!M1090:M1094)),AVERAGE('20250815_ETF_Options_Exhibits'!M1090:M1094),"")</f>
        <v/>
      </c>
      <c r="N1094" s="3">
        <f>IF(ISNUMBER(AVERAGE('20250815_ETF_Options_Exhibits'!N1090:N1094)),AVERAGE('20250815_ETF_Options_Exhibits'!N1090:N1094),"")</f>
        <v/>
      </c>
      <c r="O1094" s="3">
        <f>IF(ISNUMBER(AVERAGE('20250815_ETF_Options_Exhibits'!O1090:O1094)),AVERAGE('20250815_ETF_Options_Exhibits'!O1090:O1094),"")</f>
        <v/>
      </c>
      <c r="P1094" s="3">
        <f>IF(ISNUMBER(AVERAGE('20250815_ETF_Options_Exhibits'!P1090:P1094)),AVERAGE('20250815_ETF_Options_Exhibits'!P1090:P1094),"")</f>
        <v/>
      </c>
      <c r="Q1094" s="3">
        <f>IF(ISNUMBER(AVERAGE('20250815_ETF_Options_Exhibits'!Q1090:Q1094)),AVERAGE('20250815_ETF_Options_Exhibits'!Q1090:Q1094),"")</f>
        <v/>
      </c>
      <c r="R1094" s="3">
        <f>IF(ISNUMBER(AVERAGE('20250815_ETF_Options_Exhibits'!R1090:R1094)),AVERAGE('20250815_ETF_Options_Exhibits'!R1090:R1094),"")</f>
        <v/>
      </c>
      <c r="S1094" s="3">
        <f>IF(ISNUMBER(AVERAGE('20250815_ETF_Options_Exhibits'!S1090:S1094)),AVERAGE('20250815_ETF_Options_Exhibits'!S1090:S1094),"")</f>
        <v/>
      </c>
      <c r="T1094" s="3">
        <f>IF(ISNUMBER(AVERAGE('20250815_ETF_Options_Exhibits'!T1090:T1094)),AVERAGE('20250815_ETF_Options_Exhibits'!T1090:T1094),"")</f>
        <v/>
      </c>
      <c r="U1094" s="3">
        <f>IF(ISNUMBER(AVERAGE('20250815_ETF_Options_Exhibits'!U1090:U1094)),AVERAGE('20250815_ETF_Options_Exhibits'!U1090:U1094),"")</f>
        <v/>
      </c>
      <c r="V1094" s="3">
        <f>IF(ISNUMBER(AVERAGE('20250815_ETF_Options_Exhibits'!V1090:V1094)),AVERAGE('20250815_ETF_Options_Exhibits'!V1090:V1094),"")</f>
        <v/>
      </c>
      <c r="W1094" s="3">
        <f>IF(ISNUMBER(AVERAGE('20250815_ETF_Options_Exhibits'!W1090:W1094)),AVERAGE('20250815_ETF_Options_Exhibits'!W1090:W1094),"")</f>
        <v/>
      </c>
      <c r="X1094" s="3">
        <f>IF(ISNUMBER(AVERAGE('20250815_ETF_Options_Exhibits'!X1090:X1094)),AVERAGE('20250815_ETF_Options_Exhibits'!X1090:X1094),"")</f>
        <v/>
      </c>
      <c r="Y1094" s="3">
        <f>IF(ISNUMBER(AVERAGE('20250815_ETF_Options_Exhibits'!Y1090:Y1094)),AVERAGE('20250815_ETF_Options_Exhibits'!Y1090:Y1094),"")</f>
        <v/>
      </c>
      <c r="Z1094" s="3">
        <f>IF(ISNUMBER(AVERAGE('20250815_ETF_Options_Exhibits'!Z1090:Z1094)),AVERAGE('20250815_ETF_Options_Exhibits'!Z1090:Z1094),"")</f>
        <v/>
      </c>
      <c r="AA1094" s="3">
        <f>IF(ISNUMBER(AVERAGE('20250815_ETF_Options_Exhibits'!AA1090:AA1094)),AVERAGE('20250815_ETF_Options_Exhibits'!AA1090:AA1094),"")</f>
        <v/>
      </c>
    </row>
    <row r="1095">
      <c r="A1095" s="1" t="n">
        <v>43592</v>
      </c>
      <c r="B1095" s="3">
        <f>IF(ISNUMBER(AVERAGE('20250815_ETF_Options_Exhibits'!B1091:B1095)),AVERAGE('20250815_ETF_Options_Exhibits'!B1091:B1095),"")</f>
        <v/>
      </c>
      <c r="C1095" s="3">
        <f>IF(ISNUMBER(AVERAGE('20250815_ETF_Options_Exhibits'!C1091:C1095)),AVERAGE('20250815_ETF_Options_Exhibits'!C1091:C1095),"")</f>
        <v/>
      </c>
      <c r="D1095" s="3">
        <f>IF(ISNUMBER(AVERAGE('20250815_ETF_Options_Exhibits'!D1091:D1095)),AVERAGE('20250815_ETF_Options_Exhibits'!D1091:D1095),"")</f>
        <v/>
      </c>
      <c r="E1095" s="3">
        <f>IF(ISNUMBER(AVERAGE('20250815_ETF_Options_Exhibits'!E1091:E1095)),AVERAGE('20250815_ETF_Options_Exhibits'!E1091:E1095),"")</f>
        <v/>
      </c>
      <c r="F1095" s="3">
        <f>IF(ISNUMBER(AVERAGE('20250815_ETF_Options_Exhibits'!F1091:F1095)),AVERAGE('20250815_ETF_Options_Exhibits'!F1091:F1095),"")</f>
        <v/>
      </c>
      <c r="G1095" s="3">
        <f>IF(ISNUMBER(AVERAGE('20250815_ETF_Options_Exhibits'!G1091:G1095)),AVERAGE('20250815_ETF_Options_Exhibits'!G1091:G1095),"")</f>
        <v/>
      </c>
      <c r="H1095" s="3">
        <f>IF(ISNUMBER(AVERAGE('20250815_ETF_Options_Exhibits'!H1091:H1095)),AVERAGE('20250815_ETF_Options_Exhibits'!H1091:H1095),"")</f>
        <v/>
      </c>
      <c r="I1095" s="3">
        <f>IF(ISNUMBER(AVERAGE('20250815_ETF_Options_Exhibits'!I1091:I1095)),AVERAGE('20250815_ETF_Options_Exhibits'!I1091:I1095),"")</f>
        <v/>
      </c>
      <c r="J1095" s="3">
        <f>IF(ISNUMBER(AVERAGE('20250815_ETF_Options_Exhibits'!J1091:J1095)),AVERAGE('20250815_ETF_Options_Exhibits'!J1091:J1095),"")</f>
        <v/>
      </c>
      <c r="K1095" s="3">
        <f>IF(ISNUMBER(AVERAGE('20250815_ETF_Options_Exhibits'!K1091:K1095)),AVERAGE('20250815_ETF_Options_Exhibits'!K1091:K1095),"")</f>
        <v/>
      </c>
      <c r="L1095" s="3">
        <f>IF(ISNUMBER(AVERAGE('20250815_ETF_Options_Exhibits'!L1091:L1095)),AVERAGE('20250815_ETF_Options_Exhibits'!L1091:L1095),"")</f>
        <v/>
      </c>
      <c r="M1095" s="3">
        <f>IF(ISNUMBER(AVERAGE('20250815_ETF_Options_Exhibits'!M1091:M1095)),AVERAGE('20250815_ETF_Options_Exhibits'!M1091:M1095),"")</f>
        <v/>
      </c>
      <c r="N1095" s="3">
        <f>IF(ISNUMBER(AVERAGE('20250815_ETF_Options_Exhibits'!N1091:N1095)),AVERAGE('20250815_ETF_Options_Exhibits'!N1091:N1095),"")</f>
        <v/>
      </c>
      <c r="O1095" s="3">
        <f>IF(ISNUMBER(AVERAGE('20250815_ETF_Options_Exhibits'!O1091:O1095)),AVERAGE('20250815_ETF_Options_Exhibits'!O1091:O1095),"")</f>
        <v/>
      </c>
      <c r="P1095" s="3">
        <f>IF(ISNUMBER(AVERAGE('20250815_ETF_Options_Exhibits'!P1091:P1095)),AVERAGE('20250815_ETF_Options_Exhibits'!P1091:P1095),"")</f>
        <v/>
      </c>
      <c r="Q1095" s="3">
        <f>IF(ISNUMBER(AVERAGE('20250815_ETF_Options_Exhibits'!Q1091:Q1095)),AVERAGE('20250815_ETF_Options_Exhibits'!Q1091:Q1095),"")</f>
        <v/>
      </c>
      <c r="R1095" s="3">
        <f>IF(ISNUMBER(AVERAGE('20250815_ETF_Options_Exhibits'!R1091:R1095)),AVERAGE('20250815_ETF_Options_Exhibits'!R1091:R1095),"")</f>
        <v/>
      </c>
      <c r="S1095" s="3">
        <f>IF(ISNUMBER(AVERAGE('20250815_ETF_Options_Exhibits'!S1091:S1095)),AVERAGE('20250815_ETF_Options_Exhibits'!S1091:S1095),"")</f>
        <v/>
      </c>
      <c r="T1095" s="3">
        <f>IF(ISNUMBER(AVERAGE('20250815_ETF_Options_Exhibits'!T1091:T1095)),AVERAGE('20250815_ETF_Options_Exhibits'!T1091:T1095),"")</f>
        <v/>
      </c>
      <c r="U1095" s="3">
        <f>IF(ISNUMBER(AVERAGE('20250815_ETF_Options_Exhibits'!U1091:U1095)),AVERAGE('20250815_ETF_Options_Exhibits'!U1091:U1095),"")</f>
        <v/>
      </c>
      <c r="V1095" s="3">
        <f>IF(ISNUMBER(AVERAGE('20250815_ETF_Options_Exhibits'!V1091:V1095)),AVERAGE('20250815_ETF_Options_Exhibits'!V1091:V1095),"")</f>
        <v/>
      </c>
      <c r="W1095" s="3">
        <f>IF(ISNUMBER(AVERAGE('20250815_ETF_Options_Exhibits'!W1091:W1095)),AVERAGE('20250815_ETF_Options_Exhibits'!W1091:W1095),"")</f>
        <v/>
      </c>
      <c r="X1095" s="3">
        <f>IF(ISNUMBER(AVERAGE('20250815_ETF_Options_Exhibits'!X1091:X1095)),AVERAGE('20250815_ETF_Options_Exhibits'!X1091:X1095),"")</f>
        <v/>
      </c>
      <c r="Y1095" s="3">
        <f>IF(ISNUMBER(AVERAGE('20250815_ETF_Options_Exhibits'!Y1091:Y1095)),AVERAGE('20250815_ETF_Options_Exhibits'!Y1091:Y1095),"")</f>
        <v/>
      </c>
      <c r="Z1095" s="3">
        <f>IF(ISNUMBER(AVERAGE('20250815_ETF_Options_Exhibits'!Z1091:Z1095)),AVERAGE('20250815_ETF_Options_Exhibits'!Z1091:Z1095),"")</f>
        <v/>
      </c>
      <c r="AA1095" s="3">
        <f>IF(ISNUMBER(AVERAGE('20250815_ETF_Options_Exhibits'!AA1091:AA1095)),AVERAGE('20250815_ETF_Options_Exhibits'!AA1091:AA1095),"")</f>
        <v/>
      </c>
    </row>
    <row r="1096">
      <c r="A1096" s="1" t="n">
        <v>43593</v>
      </c>
      <c r="B1096" s="3">
        <f>IF(ISNUMBER(AVERAGE('20250815_ETF_Options_Exhibits'!B1092:B1096)),AVERAGE('20250815_ETF_Options_Exhibits'!B1092:B1096),"")</f>
        <v/>
      </c>
      <c r="C1096" s="3">
        <f>IF(ISNUMBER(AVERAGE('20250815_ETF_Options_Exhibits'!C1092:C1096)),AVERAGE('20250815_ETF_Options_Exhibits'!C1092:C1096),"")</f>
        <v/>
      </c>
      <c r="D1096" s="3">
        <f>IF(ISNUMBER(AVERAGE('20250815_ETF_Options_Exhibits'!D1092:D1096)),AVERAGE('20250815_ETF_Options_Exhibits'!D1092:D1096),"")</f>
        <v/>
      </c>
      <c r="E1096" s="3">
        <f>IF(ISNUMBER(AVERAGE('20250815_ETF_Options_Exhibits'!E1092:E1096)),AVERAGE('20250815_ETF_Options_Exhibits'!E1092:E1096),"")</f>
        <v/>
      </c>
      <c r="F1096" s="3">
        <f>IF(ISNUMBER(AVERAGE('20250815_ETF_Options_Exhibits'!F1092:F1096)),AVERAGE('20250815_ETF_Options_Exhibits'!F1092:F1096),"")</f>
        <v/>
      </c>
      <c r="G1096" s="3">
        <f>IF(ISNUMBER(AVERAGE('20250815_ETF_Options_Exhibits'!G1092:G1096)),AVERAGE('20250815_ETF_Options_Exhibits'!G1092:G1096),"")</f>
        <v/>
      </c>
      <c r="H1096" s="3">
        <f>IF(ISNUMBER(AVERAGE('20250815_ETF_Options_Exhibits'!H1092:H1096)),AVERAGE('20250815_ETF_Options_Exhibits'!H1092:H1096),"")</f>
        <v/>
      </c>
      <c r="I1096" s="3">
        <f>IF(ISNUMBER(AVERAGE('20250815_ETF_Options_Exhibits'!I1092:I1096)),AVERAGE('20250815_ETF_Options_Exhibits'!I1092:I1096),"")</f>
        <v/>
      </c>
      <c r="J1096" s="3">
        <f>IF(ISNUMBER(AVERAGE('20250815_ETF_Options_Exhibits'!J1092:J1096)),AVERAGE('20250815_ETF_Options_Exhibits'!J1092:J1096),"")</f>
        <v/>
      </c>
      <c r="K1096" s="3">
        <f>IF(ISNUMBER(AVERAGE('20250815_ETF_Options_Exhibits'!K1092:K1096)),AVERAGE('20250815_ETF_Options_Exhibits'!K1092:K1096),"")</f>
        <v/>
      </c>
      <c r="L1096" s="3">
        <f>IF(ISNUMBER(AVERAGE('20250815_ETF_Options_Exhibits'!L1092:L1096)),AVERAGE('20250815_ETF_Options_Exhibits'!L1092:L1096),"")</f>
        <v/>
      </c>
      <c r="M1096" s="3">
        <f>IF(ISNUMBER(AVERAGE('20250815_ETF_Options_Exhibits'!M1092:M1096)),AVERAGE('20250815_ETF_Options_Exhibits'!M1092:M1096),"")</f>
        <v/>
      </c>
      <c r="N1096" s="3">
        <f>IF(ISNUMBER(AVERAGE('20250815_ETF_Options_Exhibits'!N1092:N1096)),AVERAGE('20250815_ETF_Options_Exhibits'!N1092:N1096),"")</f>
        <v/>
      </c>
      <c r="O1096" s="3">
        <f>IF(ISNUMBER(AVERAGE('20250815_ETF_Options_Exhibits'!O1092:O1096)),AVERAGE('20250815_ETF_Options_Exhibits'!O1092:O1096),"")</f>
        <v/>
      </c>
      <c r="P1096" s="3">
        <f>IF(ISNUMBER(AVERAGE('20250815_ETF_Options_Exhibits'!P1092:P1096)),AVERAGE('20250815_ETF_Options_Exhibits'!P1092:P1096),"")</f>
        <v/>
      </c>
      <c r="Q1096" s="3">
        <f>IF(ISNUMBER(AVERAGE('20250815_ETF_Options_Exhibits'!Q1092:Q1096)),AVERAGE('20250815_ETF_Options_Exhibits'!Q1092:Q1096),"")</f>
        <v/>
      </c>
      <c r="R1096" s="3">
        <f>IF(ISNUMBER(AVERAGE('20250815_ETF_Options_Exhibits'!R1092:R1096)),AVERAGE('20250815_ETF_Options_Exhibits'!R1092:R1096),"")</f>
        <v/>
      </c>
      <c r="S1096" s="3">
        <f>IF(ISNUMBER(AVERAGE('20250815_ETF_Options_Exhibits'!S1092:S1096)),AVERAGE('20250815_ETF_Options_Exhibits'!S1092:S1096),"")</f>
        <v/>
      </c>
      <c r="T1096" s="3">
        <f>IF(ISNUMBER(AVERAGE('20250815_ETF_Options_Exhibits'!T1092:T1096)),AVERAGE('20250815_ETF_Options_Exhibits'!T1092:T1096),"")</f>
        <v/>
      </c>
      <c r="U1096" s="3">
        <f>IF(ISNUMBER(AVERAGE('20250815_ETF_Options_Exhibits'!U1092:U1096)),AVERAGE('20250815_ETF_Options_Exhibits'!U1092:U1096),"")</f>
        <v/>
      </c>
      <c r="V1096" s="3">
        <f>IF(ISNUMBER(AVERAGE('20250815_ETF_Options_Exhibits'!V1092:V1096)),AVERAGE('20250815_ETF_Options_Exhibits'!V1092:V1096),"")</f>
        <v/>
      </c>
      <c r="W1096" s="3">
        <f>IF(ISNUMBER(AVERAGE('20250815_ETF_Options_Exhibits'!W1092:W1096)),AVERAGE('20250815_ETF_Options_Exhibits'!W1092:W1096),"")</f>
        <v/>
      </c>
      <c r="X1096" s="3">
        <f>IF(ISNUMBER(AVERAGE('20250815_ETF_Options_Exhibits'!X1092:X1096)),AVERAGE('20250815_ETF_Options_Exhibits'!X1092:X1096),"")</f>
        <v/>
      </c>
      <c r="Y1096" s="3">
        <f>IF(ISNUMBER(AVERAGE('20250815_ETF_Options_Exhibits'!Y1092:Y1096)),AVERAGE('20250815_ETF_Options_Exhibits'!Y1092:Y1096),"")</f>
        <v/>
      </c>
      <c r="Z1096" s="3">
        <f>IF(ISNUMBER(AVERAGE('20250815_ETF_Options_Exhibits'!Z1092:Z1096)),AVERAGE('20250815_ETF_Options_Exhibits'!Z1092:Z1096),"")</f>
        <v/>
      </c>
      <c r="AA1096" s="3">
        <f>IF(ISNUMBER(AVERAGE('20250815_ETF_Options_Exhibits'!AA1092:AA1096)),AVERAGE('20250815_ETF_Options_Exhibits'!AA1092:AA1096),"")</f>
        <v/>
      </c>
    </row>
    <row r="1097">
      <c r="A1097" s="1" t="n">
        <v>43594</v>
      </c>
      <c r="B1097" s="3">
        <f>IF(ISNUMBER(AVERAGE('20250815_ETF_Options_Exhibits'!B1093:B1097)),AVERAGE('20250815_ETF_Options_Exhibits'!B1093:B1097),"")</f>
        <v/>
      </c>
      <c r="C1097" s="3">
        <f>IF(ISNUMBER(AVERAGE('20250815_ETF_Options_Exhibits'!C1093:C1097)),AVERAGE('20250815_ETF_Options_Exhibits'!C1093:C1097),"")</f>
        <v/>
      </c>
      <c r="D1097" s="3">
        <f>IF(ISNUMBER(AVERAGE('20250815_ETF_Options_Exhibits'!D1093:D1097)),AVERAGE('20250815_ETF_Options_Exhibits'!D1093:D1097),"")</f>
        <v/>
      </c>
      <c r="E1097" s="3">
        <f>IF(ISNUMBER(AVERAGE('20250815_ETF_Options_Exhibits'!E1093:E1097)),AVERAGE('20250815_ETF_Options_Exhibits'!E1093:E1097),"")</f>
        <v/>
      </c>
      <c r="F1097" s="3">
        <f>IF(ISNUMBER(AVERAGE('20250815_ETF_Options_Exhibits'!F1093:F1097)),AVERAGE('20250815_ETF_Options_Exhibits'!F1093:F1097),"")</f>
        <v/>
      </c>
      <c r="G1097" s="3">
        <f>IF(ISNUMBER(AVERAGE('20250815_ETF_Options_Exhibits'!G1093:G1097)),AVERAGE('20250815_ETF_Options_Exhibits'!G1093:G1097),"")</f>
        <v/>
      </c>
      <c r="H1097" s="3">
        <f>IF(ISNUMBER(AVERAGE('20250815_ETF_Options_Exhibits'!H1093:H1097)),AVERAGE('20250815_ETF_Options_Exhibits'!H1093:H1097),"")</f>
        <v/>
      </c>
      <c r="I1097" s="3">
        <f>IF(ISNUMBER(AVERAGE('20250815_ETF_Options_Exhibits'!I1093:I1097)),AVERAGE('20250815_ETF_Options_Exhibits'!I1093:I1097),"")</f>
        <v/>
      </c>
      <c r="J1097" s="3">
        <f>IF(ISNUMBER(AVERAGE('20250815_ETF_Options_Exhibits'!J1093:J1097)),AVERAGE('20250815_ETF_Options_Exhibits'!J1093:J1097),"")</f>
        <v/>
      </c>
      <c r="K1097" s="3">
        <f>IF(ISNUMBER(AVERAGE('20250815_ETF_Options_Exhibits'!K1093:K1097)),AVERAGE('20250815_ETF_Options_Exhibits'!K1093:K1097),"")</f>
        <v/>
      </c>
      <c r="L1097" s="3">
        <f>IF(ISNUMBER(AVERAGE('20250815_ETF_Options_Exhibits'!L1093:L1097)),AVERAGE('20250815_ETF_Options_Exhibits'!L1093:L1097),"")</f>
        <v/>
      </c>
      <c r="M1097" s="3">
        <f>IF(ISNUMBER(AVERAGE('20250815_ETF_Options_Exhibits'!M1093:M1097)),AVERAGE('20250815_ETF_Options_Exhibits'!M1093:M1097),"")</f>
        <v/>
      </c>
      <c r="N1097" s="3">
        <f>IF(ISNUMBER(AVERAGE('20250815_ETF_Options_Exhibits'!N1093:N1097)),AVERAGE('20250815_ETF_Options_Exhibits'!N1093:N1097),"")</f>
        <v/>
      </c>
      <c r="O1097" s="3">
        <f>IF(ISNUMBER(AVERAGE('20250815_ETF_Options_Exhibits'!O1093:O1097)),AVERAGE('20250815_ETF_Options_Exhibits'!O1093:O1097),"")</f>
        <v/>
      </c>
      <c r="P1097" s="3">
        <f>IF(ISNUMBER(AVERAGE('20250815_ETF_Options_Exhibits'!P1093:P1097)),AVERAGE('20250815_ETF_Options_Exhibits'!P1093:P1097),"")</f>
        <v/>
      </c>
      <c r="Q1097" s="3">
        <f>IF(ISNUMBER(AVERAGE('20250815_ETF_Options_Exhibits'!Q1093:Q1097)),AVERAGE('20250815_ETF_Options_Exhibits'!Q1093:Q1097),"")</f>
        <v/>
      </c>
      <c r="R1097" s="3">
        <f>IF(ISNUMBER(AVERAGE('20250815_ETF_Options_Exhibits'!R1093:R1097)),AVERAGE('20250815_ETF_Options_Exhibits'!R1093:R1097),"")</f>
        <v/>
      </c>
      <c r="S1097" s="3">
        <f>IF(ISNUMBER(AVERAGE('20250815_ETF_Options_Exhibits'!S1093:S1097)),AVERAGE('20250815_ETF_Options_Exhibits'!S1093:S1097),"")</f>
        <v/>
      </c>
      <c r="T1097" s="3">
        <f>IF(ISNUMBER(AVERAGE('20250815_ETF_Options_Exhibits'!T1093:T1097)),AVERAGE('20250815_ETF_Options_Exhibits'!T1093:T1097),"")</f>
        <v/>
      </c>
      <c r="U1097" s="3">
        <f>IF(ISNUMBER(AVERAGE('20250815_ETF_Options_Exhibits'!U1093:U1097)),AVERAGE('20250815_ETF_Options_Exhibits'!U1093:U1097),"")</f>
        <v/>
      </c>
      <c r="V1097" s="3">
        <f>IF(ISNUMBER(AVERAGE('20250815_ETF_Options_Exhibits'!V1093:V1097)),AVERAGE('20250815_ETF_Options_Exhibits'!V1093:V1097),"")</f>
        <v/>
      </c>
      <c r="W1097" s="3">
        <f>IF(ISNUMBER(AVERAGE('20250815_ETF_Options_Exhibits'!W1093:W1097)),AVERAGE('20250815_ETF_Options_Exhibits'!W1093:W1097),"")</f>
        <v/>
      </c>
      <c r="X1097" s="3">
        <f>IF(ISNUMBER(AVERAGE('20250815_ETF_Options_Exhibits'!X1093:X1097)),AVERAGE('20250815_ETF_Options_Exhibits'!X1093:X1097),"")</f>
        <v/>
      </c>
      <c r="Y1097" s="3">
        <f>IF(ISNUMBER(AVERAGE('20250815_ETF_Options_Exhibits'!Y1093:Y1097)),AVERAGE('20250815_ETF_Options_Exhibits'!Y1093:Y1097),"")</f>
        <v/>
      </c>
      <c r="Z1097" s="3">
        <f>IF(ISNUMBER(AVERAGE('20250815_ETF_Options_Exhibits'!Z1093:Z1097)),AVERAGE('20250815_ETF_Options_Exhibits'!Z1093:Z1097),"")</f>
        <v/>
      </c>
      <c r="AA1097" s="3">
        <f>IF(ISNUMBER(AVERAGE('20250815_ETF_Options_Exhibits'!AA1093:AA1097)),AVERAGE('20250815_ETF_Options_Exhibits'!AA1093:AA1097),"")</f>
        <v/>
      </c>
    </row>
    <row r="1098">
      <c r="A1098" s="1" t="n">
        <v>43595</v>
      </c>
      <c r="B1098" s="3">
        <f>IF(ISNUMBER(AVERAGE('20250815_ETF_Options_Exhibits'!B1094:B1098)),AVERAGE('20250815_ETF_Options_Exhibits'!B1094:B1098),"")</f>
        <v/>
      </c>
      <c r="C1098" s="3">
        <f>IF(ISNUMBER(AVERAGE('20250815_ETF_Options_Exhibits'!C1094:C1098)),AVERAGE('20250815_ETF_Options_Exhibits'!C1094:C1098),"")</f>
        <v/>
      </c>
      <c r="D1098" s="3">
        <f>IF(ISNUMBER(AVERAGE('20250815_ETF_Options_Exhibits'!D1094:D1098)),AVERAGE('20250815_ETF_Options_Exhibits'!D1094:D1098),"")</f>
        <v/>
      </c>
      <c r="E1098" s="3">
        <f>IF(ISNUMBER(AVERAGE('20250815_ETF_Options_Exhibits'!E1094:E1098)),AVERAGE('20250815_ETF_Options_Exhibits'!E1094:E1098),"")</f>
        <v/>
      </c>
      <c r="F1098" s="3">
        <f>IF(ISNUMBER(AVERAGE('20250815_ETF_Options_Exhibits'!F1094:F1098)),AVERAGE('20250815_ETF_Options_Exhibits'!F1094:F1098),"")</f>
        <v/>
      </c>
      <c r="G1098" s="3">
        <f>IF(ISNUMBER(AVERAGE('20250815_ETF_Options_Exhibits'!G1094:G1098)),AVERAGE('20250815_ETF_Options_Exhibits'!G1094:G1098),"")</f>
        <v/>
      </c>
      <c r="H1098" s="3">
        <f>IF(ISNUMBER(AVERAGE('20250815_ETF_Options_Exhibits'!H1094:H1098)),AVERAGE('20250815_ETF_Options_Exhibits'!H1094:H1098),"")</f>
        <v/>
      </c>
      <c r="I1098" s="3">
        <f>IF(ISNUMBER(AVERAGE('20250815_ETF_Options_Exhibits'!I1094:I1098)),AVERAGE('20250815_ETF_Options_Exhibits'!I1094:I1098),"")</f>
        <v/>
      </c>
      <c r="J1098" s="3">
        <f>IF(ISNUMBER(AVERAGE('20250815_ETF_Options_Exhibits'!J1094:J1098)),AVERAGE('20250815_ETF_Options_Exhibits'!J1094:J1098),"")</f>
        <v/>
      </c>
      <c r="K1098" s="3">
        <f>IF(ISNUMBER(AVERAGE('20250815_ETF_Options_Exhibits'!K1094:K1098)),AVERAGE('20250815_ETF_Options_Exhibits'!K1094:K1098),"")</f>
        <v/>
      </c>
      <c r="L1098" s="3">
        <f>IF(ISNUMBER(AVERAGE('20250815_ETF_Options_Exhibits'!L1094:L1098)),AVERAGE('20250815_ETF_Options_Exhibits'!L1094:L1098),"")</f>
        <v/>
      </c>
      <c r="M1098" s="3">
        <f>IF(ISNUMBER(AVERAGE('20250815_ETF_Options_Exhibits'!M1094:M1098)),AVERAGE('20250815_ETF_Options_Exhibits'!M1094:M1098),"")</f>
        <v/>
      </c>
      <c r="N1098" s="3">
        <f>IF(ISNUMBER(AVERAGE('20250815_ETF_Options_Exhibits'!N1094:N1098)),AVERAGE('20250815_ETF_Options_Exhibits'!N1094:N1098),"")</f>
        <v/>
      </c>
      <c r="O1098" s="3">
        <f>IF(ISNUMBER(AVERAGE('20250815_ETF_Options_Exhibits'!O1094:O1098)),AVERAGE('20250815_ETF_Options_Exhibits'!O1094:O1098),"")</f>
        <v/>
      </c>
      <c r="P1098" s="3">
        <f>IF(ISNUMBER(AVERAGE('20250815_ETF_Options_Exhibits'!P1094:P1098)),AVERAGE('20250815_ETF_Options_Exhibits'!P1094:P1098),"")</f>
        <v/>
      </c>
      <c r="Q1098" s="3">
        <f>IF(ISNUMBER(AVERAGE('20250815_ETF_Options_Exhibits'!Q1094:Q1098)),AVERAGE('20250815_ETF_Options_Exhibits'!Q1094:Q1098),"")</f>
        <v/>
      </c>
      <c r="R1098" s="3">
        <f>IF(ISNUMBER(AVERAGE('20250815_ETF_Options_Exhibits'!R1094:R1098)),AVERAGE('20250815_ETF_Options_Exhibits'!R1094:R1098),"")</f>
        <v/>
      </c>
      <c r="S1098" s="3">
        <f>IF(ISNUMBER(AVERAGE('20250815_ETF_Options_Exhibits'!S1094:S1098)),AVERAGE('20250815_ETF_Options_Exhibits'!S1094:S1098),"")</f>
        <v/>
      </c>
      <c r="T1098" s="3">
        <f>IF(ISNUMBER(AVERAGE('20250815_ETF_Options_Exhibits'!T1094:T1098)),AVERAGE('20250815_ETF_Options_Exhibits'!T1094:T1098),"")</f>
        <v/>
      </c>
      <c r="U1098" s="3">
        <f>IF(ISNUMBER(AVERAGE('20250815_ETF_Options_Exhibits'!U1094:U1098)),AVERAGE('20250815_ETF_Options_Exhibits'!U1094:U1098),"")</f>
        <v/>
      </c>
      <c r="V1098" s="3">
        <f>IF(ISNUMBER(AVERAGE('20250815_ETF_Options_Exhibits'!V1094:V1098)),AVERAGE('20250815_ETF_Options_Exhibits'!V1094:V1098),"")</f>
        <v/>
      </c>
      <c r="W1098" s="3">
        <f>IF(ISNUMBER(AVERAGE('20250815_ETF_Options_Exhibits'!W1094:W1098)),AVERAGE('20250815_ETF_Options_Exhibits'!W1094:W1098),"")</f>
        <v/>
      </c>
      <c r="X1098" s="3">
        <f>IF(ISNUMBER(AVERAGE('20250815_ETF_Options_Exhibits'!X1094:X1098)),AVERAGE('20250815_ETF_Options_Exhibits'!X1094:X1098),"")</f>
        <v/>
      </c>
      <c r="Y1098" s="3">
        <f>IF(ISNUMBER(AVERAGE('20250815_ETF_Options_Exhibits'!Y1094:Y1098)),AVERAGE('20250815_ETF_Options_Exhibits'!Y1094:Y1098),"")</f>
        <v/>
      </c>
      <c r="Z1098" s="3">
        <f>IF(ISNUMBER(AVERAGE('20250815_ETF_Options_Exhibits'!Z1094:Z1098)),AVERAGE('20250815_ETF_Options_Exhibits'!Z1094:Z1098),"")</f>
        <v/>
      </c>
      <c r="AA1098" s="3">
        <f>IF(ISNUMBER(AVERAGE('20250815_ETF_Options_Exhibits'!AA1094:AA1098)),AVERAGE('20250815_ETF_Options_Exhibits'!AA1094:AA1098),"")</f>
        <v/>
      </c>
    </row>
    <row r="1099">
      <c r="A1099" s="1" t="n">
        <v>43598</v>
      </c>
      <c r="B1099" s="3">
        <f>IF(ISNUMBER(AVERAGE('20250815_ETF_Options_Exhibits'!B1095:B1099)),AVERAGE('20250815_ETF_Options_Exhibits'!B1095:B1099),"")</f>
        <v/>
      </c>
      <c r="C1099" s="3">
        <f>IF(ISNUMBER(AVERAGE('20250815_ETF_Options_Exhibits'!C1095:C1099)),AVERAGE('20250815_ETF_Options_Exhibits'!C1095:C1099),"")</f>
        <v/>
      </c>
      <c r="D1099" s="3">
        <f>IF(ISNUMBER(AVERAGE('20250815_ETF_Options_Exhibits'!D1095:D1099)),AVERAGE('20250815_ETF_Options_Exhibits'!D1095:D1099),"")</f>
        <v/>
      </c>
      <c r="E1099" s="3">
        <f>IF(ISNUMBER(AVERAGE('20250815_ETF_Options_Exhibits'!E1095:E1099)),AVERAGE('20250815_ETF_Options_Exhibits'!E1095:E1099),"")</f>
        <v/>
      </c>
      <c r="F1099" s="3">
        <f>IF(ISNUMBER(AVERAGE('20250815_ETF_Options_Exhibits'!F1095:F1099)),AVERAGE('20250815_ETF_Options_Exhibits'!F1095:F1099),"")</f>
        <v/>
      </c>
      <c r="G1099" s="3">
        <f>IF(ISNUMBER(AVERAGE('20250815_ETF_Options_Exhibits'!G1095:G1099)),AVERAGE('20250815_ETF_Options_Exhibits'!G1095:G1099),"")</f>
        <v/>
      </c>
      <c r="H1099" s="3">
        <f>IF(ISNUMBER(AVERAGE('20250815_ETF_Options_Exhibits'!H1095:H1099)),AVERAGE('20250815_ETF_Options_Exhibits'!H1095:H1099),"")</f>
        <v/>
      </c>
      <c r="I1099" s="3">
        <f>IF(ISNUMBER(AVERAGE('20250815_ETF_Options_Exhibits'!I1095:I1099)),AVERAGE('20250815_ETF_Options_Exhibits'!I1095:I1099),"")</f>
        <v/>
      </c>
      <c r="J1099" s="3">
        <f>IF(ISNUMBER(AVERAGE('20250815_ETF_Options_Exhibits'!J1095:J1099)),AVERAGE('20250815_ETF_Options_Exhibits'!J1095:J1099),"")</f>
        <v/>
      </c>
      <c r="K1099" s="3">
        <f>IF(ISNUMBER(AVERAGE('20250815_ETF_Options_Exhibits'!K1095:K1099)),AVERAGE('20250815_ETF_Options_Exhibits'!K1095:K1099),"")</f>
        <v/>
      </c>
      <c r="L1099" s="3">
        <f>IF(ISNUMBER(AVERAGE('20250815_ETF_Options_Exhibits'!L1095:L1099)),AVERAGE('20250815_ETF_Options_Exhibits'!L1095:L1099),"")</f>
        <v/>
      </c>
      <c r="M1099" s="3">
        <f>IF(ISNUMBER(AVERAGE('20250815_ETF_Options_Exhibits'!M1095:M1099)),AVERAGE('20250815_ETF_Options_Exhibits'!M1095:M1099),"")</f>
        <v/>
      </c>
      <c r="N1099" s="3">
        <f>IF(ISNUMBER(AVERAGE('20250815_ETF_Options_Exhibits'!N1095:N1099)),AVERAGE('20250815_ETF_Options_Exhibits'!N1095:N1099),"")</f>
        <v/>
      </c>
      <c r="O1099" s="3">
        <f>IF(ISNUMBER(AVERAGE('20250815_ETF_Options_Exhibits'!O1095:O1099)),AVERAGE('20250815_ETF_Options_Exhibits'!O1095:O1099),"")</f>
        <v/>
      </c>
      <c r="P1099" s="3">
        <f>IF(ISNUMBER(AVERAGE('20250815_ETF_Options_Exhibits'!P1095:P1099)),AVERAGE('20250815_ETF_Options_Exhibits'!P1095:P1099),"")</f>
        <v/>
      </c>
      <c r="Q1099" s="3">
        <f>IF(ISNUMBER(AVERAGE('20250815_ETF_Options_Exhibits'!Q1095:Q1099)),AVERAGE('20250815_ETF_Options_Exhibits'!Q1095:Q1099),"")</f>
        <v/>
      </c>
      <c r="R1099" s="3">
        <f>IF(ISNUMBER(AVERAGE('20250815_ETF_Options_Exhibits'!R1095:R1099)),AVERAGE('20250815_ETF_Options_Exhibits'!R1095:R1099),"")</f>
        <v/>
      </c>
      <c r="S1099" s="3">
        <f>IF(ISNUMBER(AVERAGE('20250815_ETF_Options_Exhibits'!S1095:S1099)),AVERAGE('20250815_ETF_Options_Exhibits'!S1095:S1099),"")</f>
        <v/>
      </c>
      <c r="T1099" s="3">
        <f>IF(ISNUMBER(AVERAGE('20250815_ETF_Options_Exhibits'!T1095:T1099)),AVERAGE('20250815_ETF_Options_Exhibits'!T1095:T1099),"")</f>
        <v/>
      </c>
      <c r="U1099" s="3">
        <f>IF(ISNUMBER(AVERAGE('20250815_ETF_Options_Exhibits'!U1095:U1099)),AVERAGE('20250815_ETF_Options_Exhibits'!U1095:U1099),"")</f>
        <v/>
      </c>
      <c r="V1099" s="3">
        <f>IF(ISNUMBER(AVERAGE('20250815_ETF_Options_Exhibits'!V1095:V1099)),AVERAGE('20250815_ETF_Options_Exhibits'!V1095:V1099),"")</f>
        <v/>
      </c>
      <c r="W1099" s="3">
        <f>IF(ISNUMBER(AVERAGE('20250815_ETF_Options_Exhibits'!W1095:W1099)),AVERAGE('20250815_ETF_Options_Exhibits'!W1095:W1099),"")</f>
        <v/>
      </c>
      <c r="X1099" s="3">
        <f>IF(ISNUMBER(AVERAGE('20250815_ETF_Options_Exhibits'!X1095:X1099)),AVERAGE('20250815_ETF_Options_Exhibits'!X1095:X1099),"")</f>
        <v/>
      </c>
      <c r="Y1099" s="3">
        <f>IF(ISNUMBER(AVERAGE('20250815_ETF_Options_Exhibits'!Y1095:Y1099)),AVERAGE('20250815_ETF_Options_Exhibits'!Y1095:Y1099),"")</f>
        <v/>
      </c>
      <c r="Z1099" s="3">
        <f>IF(ISNUMBER(AVERAGE('20250815_ETF_Options_Exhibits'!Z1095:Z1099)),AVERAGE('20250815_ETF_Options_Exhibits'!Z1095:Z1099),"")</f>
        <v/>
      </c>
      <c r="AA1099" s="3">
        <f>IF(ISNUMBER(AVERAGE('20250815_ETF_Options_Exhibits'!AA1095:AA1099)),AVERAGE('20250815_ETF_Options_Exhibits'!AA1095:AA1099),"")</f>
        <v/>
      </c>
    </row>
    <row r="1100">
      <c r="A1100" s="1" t="n">
        <v>43599</v>
      </c>
      <c r="B1100" s="3">
        <f>IF(ISNUMBER(AVERAGE('20250815_ETF_Options_Exhibits'!B1096:B1100)),AVERAGE('20250815_ETF_Options_Exhibits'!B1096:B1100),"")</f>
        <v/>
      </c>
      <c r="C1100" s="3">
        <f>IF(ISNUMBER(AVERAGE('20250815_ETF_Options_Exhibits'!C1096:C1100)),AVERAGE('20250815_ETF_Options_Exhibits'!C1096:C1100),"")</f>
        <v/>
      </c>
      <c r="D1100" s="3">
        <f>IF(ISNUMBER(AVERAGE('20250815_ETF_Options_Exhibits'!D1096:D1100)),AVERAGE('20250815_ETF_Options_Exhibits'!D1096:D1100),"")</f>
        <v/>
      </c>
      <c r="E1100" s="3">
        <f>IF(ISNUMBER(AVERAGE('20250815_ETF_Options_Exhibits'!E1096:E1100)),AVERAGE('20250815_ETF_Options_Exhibits'!E1096:E1100),"")</f>
        <v/>
      </c>
      <c r="F1100" s="3">
        <f>IF(ISNUMBER(AVERAGE('20250815_ETF_Options_Exhibits'!F1096:F1100)),AVERAGE('20250815_ETF_Options_Exhibits'!F1096:F1100),"")</f>
        <v/>
      </c>
      <c r="G1100" s="3">
        <f>IF(ISNUMBER(AVERAGE('20250815_ETF_Options_Exhibits'!G1096:G1100)),AVERAGE('20250815_ETF_Options_Exhibits'!G1096:G1100),"")</f>
        <v/>
      </c>
      <c r="H1100" s="3">
        <f>IF(ISNUMBER(AVERAGE('20250815_ETF_Options_Exhibits'!H1096:H1100)),AVERAGE('20250815_ETF_Options_Exhibits'!H1096:H1100),"")</f>
        <v/>
      </c>
      <c r="I1100" s="3">
        <f>IF(ISNUMBER(AVERAGE('20250815_ETF_Options_Exhibits'!I1096:I1100)),AVERAGE('20250815_ETF_Options_Exhibits'!I1096:I1100),"")</f>
        <v/>
      </c>
      <c r="J1100" s="3">
        <f>IF(ISNUMBER(AVERAGE('20250815_ETF_Options_Exhibits'!J1096:J1100)),AVERAGE('20250815_ETF_Options_Exhibits'!J1096:J1100),"")</f>
        <v/>
      </c>
      <c r="K1100" s="3">
        <f>IF(ISNUMBER(AVERAGE('20250815_ETF_Options_Exhibits'!K1096:K1100)),AVERAGE('20250815_ETF_Options_Exhibits'!K1096:K1100),"")</f>
        <v/>
      </c>
      <c r="L1100" s="3">
        <f>IF(ISNUMBER(AVERAGE('20250815_ETF_Options_Exhibits'!L1096:L1100)),AVERAGE('20250815_ETF_Options_Exhibits'!L1096:L1100),"")</f>
        <v/>
      </c>
      <c r="M1100" s="3">
        <f>IF(ISNUMBER(AVERAGE('20250815_ETF_Options_Exhibits'!M1096:M1100)),AVERAGE('20250815_ETF_Options_Exhibits'!M1096:M1100),"")</f>
        <v/>
      </c>
      <c r="N1100" s="3">
        <f>IF(ISNUMBER(AVERAGE('20250815_ETF_Options_Exhibits'!N1096:N1100)),AVERAGE('20250815_ETF_Options_Exhibits'!N1096:N1100),"")</f>
        <v/>
      </c>
      <c r="O1100" s="3">
        <f>IF(ISNUMBER(AVERAGE('20250815_ETF_Options_Exhibits'!O1096:O1100)),AVERAGE('20250815_ETF_Options_Exhibits'!O1096:O1100),"")</f>
        <v/>
      </c>
      <c r="P1100" s="3">
        <f>IF(ISNUMBER(AVERAGE('20250815_ETF_Options_Exhibits'!P1096:P1100)),AVERAGE('20250815_ETF_Options_Exhibits'!P1096:P1100),"")</f>
        <v/>
      </c>
      <c r="Q1100" s="3">
        <f>IF(ISNUMBER(AVERAGE('20250815_ETF_Options_Exhibits'!Q1096:Q1100)),AVERAGE('20250815_ETF_Options_Exhibits'!Q1096:Q1100),"")</f>
        <v/>
      </c>
      <c r="R1100" s="3">
        <f>IF(ISNUMBER(AVERAGE('20250815_ETF_Options_Exhibits'!R1096:R1100)),AVERAGE('20250815_ETF_Options_Exhibits'!R1096:R1100),"")</f>
        <v/>
      </c>
      <c r="S1100" s="3">
        <f>IF(ISNUMBER(AVERAGE('20250815_ETF_Options_Exhibits'!S1096:S1100)),AVERAGE('20250815_ETF_Options_Exhibits'!S1096:S1100),"")</f>
        <v/>
      </c>
      <c r="T1100" s="3">
        <f>IF(ISNUMBER(AVERAGE('20250815_ETF_Options_Exhibits'!T1096:T1100)),AVERAGE('20250815_ETF_Options_Exhibits'!T1096:T1100),"")</f>
        <v/>
      </c>
      <c r="U1100" s="3">
        <f>IF(ISNUMBER(AVERAGE('20250815_ETF_Options_Exhibits'!U1096:U1100)),AVERAGE('20250815_ETF_Options_Exhibits'!U1096:U1100),"")</f>
        <v/>
      </c>
      <c r="V1100" s="3">
        <f>IF(ISNUMBER(AVERAGE('20250815_ETF_Options_Exhibits'!V1096:V1100)),AVERAGE('20250815_ETF_Options_Exhibits'!V1096:V1100),"")</f>
        <v/>
      </c>
      <c r="W1100" s="3">
        <f>IF(ISNUMBER(AVERAGE('20250815_ETF_Options_Exhibits'!W1096:W1100)),AVERAGE('20250815_ETF_Options_Exhibits'!W1096:W1100),"")</f>
        <v/>
      </c>
      <c r="X1100" s="3">
        <f>IF(ISNUMBER(AVERAGE('20250815_ETF_Options_Exhibits'!X1096:X1100)),AVERAGE('20250815_ETF_Options_Exhibits'!X1096:X1100),"")</f>
        <v/>
      </c>
      <c r="Y1100" s="3">
        <f>IF(ISNUMBER(AVERAGE('20250815_ETF_Options_Exhibits'!Y1096:Y1100)),AVERAGE('20250815_ETF_Options_Exhibits'!Y1096:Y1100),"")</f>
        <v/>
      </c>
      <c r="Z1100" s="3">
        <f>IF(ISNUMBER(AVERAGE('20250815_ETF_Options_Exhibits'!Z1096:Z1100)),AVERAGE('20250815_ETF_Options_Exhibits'!Z1096:Z1100),"")</f>
        <v/>
      </c>
      <c r="AA1100" s="3">
        <f>IF(ISNUMBER(AVERAGE('20250815_ETF_Options_Exhibits'!AA1096:AA1100)),AVERAGE('20250815_ETF_Options_Exhibits'!AA1096:AA1100),"")</f>
        <v/>
      </c>
    </row>
    <row r="1101">
      <c r="A1101" s="1" t="n">
        <v>43600</v>
      </c>
      <c r="B1101" s="3">
        <f>IF(ISNUMBER(AVERAGE('20250815_ETF_Options_Exhibits'!B1097:B1101)),AVERAGE('20250815_ETF_Options_Exhibits'!B1097:B1101),"")</f>
        <v/>
      </c>
      <c r="C1101" s="3">
        <f>IF(ISNUMBER(AVERAGE('20250815_ETF_Options_Exhibits'!C1097:C1101)),AVERAGE('20250815_ETF_Options_Exhibits'!C1097:C1101),"")</f>
        <v/>
      </c>
      <c r="D1101" s="3">
        <f>IF(ISNUMBER(AVERAGE('20250815_ETF_Options_Exhibits'!D1097:D1101)),AVERAGE('20250815_ETF_Options_Exhibits'!D1097:D1101),"")</f>
        <v/>
      </c>
      <c r="E1101" s="3">
        <f>IF(ISNUMBER(AVERAGE('20250815_ETF_Options_Exhibits'!E1097:E1101)),AVERAGE('20250815_ETF_Options_Exhibits'!E1097:E1101),"")</f>
        <v/>
      </c>
      <c r="F1101" s="3">
        <f>IF(ISNUMBER(AVERAGE('20250815_ETF_Options_Exhibits'!F1097:F1101)),AVERAGE('20250815_ETF_Options_Exhibits'!F1097:F1101),"")</f>
        <v/>
      </c>
      <c r="G1101" s="3">
        <f>IF(ISNUMBER(AVERAGE('20250815_ETF_Options_Exhibits'!G1097:G1101)),AVERAGE('20250815_ETF_Options_Exhibits'!G1097:G1101),"")</f>
        <v/>
      </c>
      <c r="H1101" s="3">
        <f>IF(ISNUMBER(AVERAGE('20250815_ETF_Options_Exhibits'!H1097:H1101)),AVERAGE('20250815_ETF_Options_Exhibits'!H1097:H1101),"")</f>
        <v/>
      </c>
      <c r="I1101" s="3">
        <f>IF(ISNUMBER(AVERAGE('20250815_ETF_Options_Exhibits'!I1097:I1101)),AVERAGE('20250815_ETF_Options_Exhibits'!I1097:I1101),"")</f>
        <v/>
      </c>
      <c r="J1101" s="3">
        <f>IF(ISNUMBER(AVERAGE('20250815_ETF_Options_Exhibits'!J1097:J1101)),AVERAGE('20250815_ETF_Options_Exhibits'!J1097:J1101),"")</f>
        <v/>
      </c>
      <c r="K1101" s="3">
        <f>IF(ISNUMBER(AVERAGE('20250815_ETF_Options_Exhibits'!K1097:K1101)),AVERAGE('20250815_ETF_Options_Exhibits'!K1097:K1101),"")</f>
        <v/>
      </c>
      <c r="L1101" s="3">
        <f>IF(ISNUMBER(AVERAGE('20250815_ETF_Options_Exhibits'!L1097:L1101)),AVERAGE('20250815_ETF_Options_Exhibits'!L1097:L1101),"")</f>
        <v/>
      </c>
      <c r="M1101" s="3">
        <f>IF(ISNUMBER(AVERAGE('20250815_ETF_Options_Exhibits'!M1097:M1101)),AVERAGE('20250815_ETF_Options_Exhibits'!M1097:M1101),"")</f>
        <v/>
      </c>
      <c r="N1101" s="3">
        <f>IF(ISNUMBER(AVERAGE('20250815_ETF_Options_Exhibits'!N1097:N1101)),AVERAGE('20250815_ETF_Options_Exhibits'!N1097:N1101),"")</f>
        <v/>
      </c>
      <c r="O1101" s="3">
        <f>IF(ISNUMBER(AVERAGE('20250815_ETF_Options_Exhibits'!O1097:O1101)),AVERAGE('20250815_ETF_Options_Exhibits'!O1097:O1101),"")</f>
        <v/>
      </c>
      <c r="P1101" s="3">
        <f>IF(ISNUMBER(AVERAGE('20250815_ETF_Options_Exhibits'!P1097:P1101)),AVERAGE('20250815_ETF_Options_Exhibits'!P1097:P1101),"")</f>
        <v/>
      </c>
      <c r="Q1101" s="3">
        <f>IF(ISNUMBER(AVERAGE('20250815_ETF_Options_Exhibits'!Q1097:Q1101)),AVERAGE('20250815_ETF_Options_Exhibits'!Q1097:Q1101),"")</f>
        <v/>
      </c>
      <c r="R1101" s="3">
        <f>IF(ISNUMBER(AVERAGE('20250815_ETF_Options_Exhibits'!R1097:R1101)),AVERAGE('20250815_ETF_Options_Exhibits'!R1097:R1101),"")</f>
        <v/>
      </c>
      <c r="S1101" s="3">
        <f>IF(ISNUMBER(AVERAGE('20250815_ETF_Options_Exhibits'!S1097:S1101)),AVERAGE('20250815_ETF_Options_Exhibits'!S1097:S1101),"")</f>
        <v/>
      </c>
      <c r="T1101" s="3">
        <f>IF(ISNUMBER(AVERAGE('20250815_ETF_Options_Exhibits'!T1097:T1101)),AVERAGE('20250815_ETF_Options_Exhibits'!T1097:T1101),"")</f>
        <v/>
      </c>
      <c r="U1101" s="3">
        <f>IF(ISNUMBER(AVERAGE('20250815_ETF_Options_Exhibits'!U1097:U1101)),AVERAGE('20250815_ETF_Options_Exhibits'!U1097:U1101),"")</f>
        <v/>
      </c>
      <c r="V1101" s="3">
        <f>IF(ISNUMBER(AVERAGE('20250815_ETF_Options_Exhibits'!V1097:V1101)),AVERAGE('20250815_ETF_Options_Exhibits'!V1097:V1101),"")</f>
        <v/>
      </c>
      <c r="W1101" s="3">
        <f>IF(ISNUMBER(AVERAGE('20250815_ETF_Options_Exhibits'!W1097:W1101)),AVERAGE('20250815_ETF_Options_Exhibits'!W1097:W1101),"")</f>
        <v/>
      </c>
      <c r="X1101" s="3">
        <f>IF(ISNUMBER(AVERAGE('20250815_ETF_Options_Exhibits'!X1097:X1101)),AVERAGE('20250815_ETF_Options_Exhibits'!X1097:X1101),"")</f>
        <v/>
      </c>
      <c r="Y1101" s="3">
        <f>IF(ISNUMBER(AVERAGE('20250815_ETF_Options_Exhibits'!Y1097:Y1101)),AVERAGE('20250815_ETF_Options_Exhibits'!Y1097:Y1101),"")</f>
        <v/>
      </c>
      <c r="Z1101" s="3">
        <f>IF(ISNUMBER(AVERAGE('20250815_ETF_Options_Exhibits'!Z1097:Z1101)),AVERAGE('20250815_ETF_Options_Exhibits'!Z1097:Z1101),"")</f>
        <v/>
      </c>
      <c r="AA1101" s="3">
        <f>IF(ISNUMBER(AVERAGE('20250815_ETF_Options_Exhibits'!AA1097:AA1101)),AVERAGE('20250815_ETF_Options_Exhibits'!AA1097:AA1101),"")</f>
        <v/>
      </c>
    </row>
    <row r="1102">
      <c r="A1102" s="1" t="n">
        <v>43601</v>
      </c>
      <c r="B1102" s="3">
        <f>IF(ISNUMBER(AVERAGE('20250815_ETF_Options_Exhibits'!B1098:B1102)),AVERAGE('20250815_ETF_Options_Exhibits'!B1098:B1102),"")</f>
        <v/>
      </c>
      <c r="C1102" s="3">
        <f>IF(ISNUMBER(AVERAGE('20250815_ETF_Options_Exhibits'!C1098:C1102)),AVERAGE('20250815_ETF_Options_Exhibits'!C1098:C1102),"")</f>
        <v/>
      </c>
      <c r="D1102" s="3">
        <f>IF(ISNUMBER(AVERAGE('20250815_ETF_Options_Exhibits'!D1098:D1102)),AVERAGE('20250815_ETF_Options_Exhibits'!D1098:D1102),"")</f>
        <v/>
      </c>
      <c r="E1102" s="3">
        <f>IF(ISNUMBER(AVERAGE('20250815_ETF_Options_Exhibits'!E1098:E1102)),AVERAGE('20250815_ETF_Options_Exhibits'!E1098:E1102),"")</f>
        <v/>
      </c>
      <c r="F1102" s="3">
        <f>IF(ISNUMBER(AVERAGE('20250815_ETF_Options_Exhibits'!F1098:F1102)),AVERAGE('20250815_ETF_Options_Exhibits'!F1098:F1102),"")</f>
        <v/>
      </c>
      <c r="G1102" s="3">
        <f>IF(ISNUMBER(AVERAGE('20250815_ETF_Options_Exhibits'!G1098:G1102)),AVERAGE('20250815_ETF_Options_Exhibits'!G1098:G1102),"")</f>
        <v/>
      </c>
      <c r="H1102" s="3">
        <f>IF(ISNUMBER(AVERAGE('20250815_ETF_Options_Exhibits'!H1098:H1102)),AVERAGE('20250815_ETF_Options_Exhibits'!H1098:H1102),"")</f>
        <v/>
      </c>
      <c r="I1102" s="3">
        <f>IF(ISNUMBER(AVERAGE('20250815_ETF_Options_Exhibits'!I1098:I1102)),AVERAGE('20250815_ETF_Options_Exhibits'!I1098:I1102),"")</f>
        <v/>
      </c>
      <c r="J1102" s="3">
        <f>IF(ISNUMBER(AVERAGE('20250815_ETF_Options_Exhibits'!J1098:J1102)),AVERAGE('20250815_ETF_Options_Exhibits'!J1098:J1102),"")</f>
        <v/>
      </c>
      <c r="K1102" s="3">
        <f>IF(ISNUMBER(AVERAGE('20250815_ETF_Options_Exhibits'!K1098:K1102)),AVERAGE('20250815_ETF_Options_Exhibits'!K1098:K1102),"")</f>
        <v/>
      </c>
      <c r="L1102" s="3">
        <f>IF(ISNUMBER(AVERAGE('20250815_ETF_Options_Exhibits'!L1098:L1102)),AVERAGE('20250815_ETF_Options_Exhibits'!L1098:L1102),"")</f>
        <v/>
      </c>
      <c r="M1102" s="3">
        <f>IF(ISNUMBER(AVERAGE('20250815_ETF_Options_Exhibits'!M1098:M1102)),AVERAGE('20250815_ETF_Options_Exhibits'!M1098:M1102),"")</f>
        <v/>
      </c>
      <c r="N1102" s="3">
        <f>IF(ISNUMBER(AVERAGE('20250815_ETF_Options_Exhibits'!N1098:N1102)),AVERAGE('20250815_ETF_Options_Exhibits'!N1098:N1102),"")</f>
        <v/>
      </c>
      <c r="O1102" s="3">
        <f>IF(ISNUMBER(AVERAGE('20250815_ETF_Options_Exhibits'!O1098:O1102)),AVERAGE('20250815_ETF_Options_Exhibits'!O1098:O1102),"")</f>
        <v/>
      </c>
      <c r="P1102" s="3">
        <f>IF(ISNUMBER(AVERAGE('20250815_ETF_Options_Exhibits'!P1098:P1102)),AVERAGE('20250815_ETF_Options_Exhibits'!P1098:P1102),"")</f>
        <v/>
      </c>
      <c r="Q1102" s="3">
        <f>IF(ISNUMBER(AVERAGE('20250815_ETF_Options_Exhibits'!Q1098:Q1102)),AVERAGE('20250815_ETF_Options_Exhibits'!Q1098:Q1102),"")</f>
        <v/>
      </c>
      <c r="R1102" s="3">
        <f>IF(ISNUMBER(AVERAGE('20250815_ETF_Options_Exhibits'!R1098:R1102)),AVERAGE('20250815_ETF_Options_Exhibits'!R1098:R1102),"")</f>
        <v/>
      </c>
      <c r="S1102" s="3">
        <f>IF(ISNUMBER(AVERAGE('20250815_ETF_Options_Exhibits'!S1098:S1102)),AVERAGE('20250815_ETF_Options_Exhibits'!S1098:S1102),"")</f>
        <v/>
      </c>
      <c r="T1102" s="3">
        <f>IF(ISNUMBER(AVERAGE('20250815_ETF_Options_Exhibits'!T1098:T1102)),AVERAGE('20250815_ETF_Options_Exhibits'!T1098:T1102),"")</f>
        <v/>
      </c>
      <c r="U1102" s="3">
        <f>IF(ISNUMBER(AVERAGE('20250815_ETF_Options_Exhibits'!U1098:U1102)),AVERAGE('20250815_ETF_Options_Exhibits'!U1098:U1102),"")</f>
        <v/>
      </c>
      <c r="V1102" s="3">
        <f>IF(ISNUMBER(AVERAGE('20250815_ETF_Options_Exhibits'!V1098:V1102)),AVERAGE('20250815_ETF_Options_Exhibits'!V1098:V1102),"")</f>
        <v/>
      </c>
      <c r="W1102" s="3">
        <f>IF(ISNUMBER(AVERAGE('20250815_ETF_Options_Exhibits'!W1098:W1102)),AVERAGE('20250815_ETF_Options_Exhibits'!W1098:W1102),"")</f>
        <v/>
      </c>
      <c r="X1102" s="3">
        <f>IF(ISNUMBER(AVERAGE('20250815_ETF_Options_Exhibits'!X1098:X1102)),AVERAGE('20250815_ETF_Options_Exhibits'!X1098:X1102),"")</f>
        <v/>
      </c>
      <c r="Y1102" s="3">
        <f>IF(ISNUMBER(AVERAGE('20250815_ETF_Options_Exhibits'!Y1098:Y1102)),AVERAGE('20250815_ETF_Options_Exhibits'!Y1098:Y1102),"")</f>
        <v/>
      </c>
      <c r="Z1102" s="3">
        <f>IF(ISNUMBER(AVERAGE('20250815_ETF_Options_Exhibits'!Z1098:Z1102)),AVERAGE('20250815_ETF_Options_Exhibits'!Z1098:Z1102),"")</f>
        <v/>
      </c>
      <c r="AA1102" s="3">
        <f>IF(ISNUMBER(AVERAGE('20250815_ETF_Options_Exhibits'!AA1098:AA1102)),AVERAGE('20250815_ETF_Options_Exhibits'!AA1098:AA1102),"")</f>
        <v/>
      </c>
    </row>
    <row r="1103">
      <c r="A1103" s="1" t="n">
        <v>43602</v>
      </c>
      <c r="B1103" s="3">
        <f>IF(ISNUMBER(AVERAGE('20250815_ETF_Options_Exhibits'!B1099:B1103)),AVERAGE('20250815_ETF_Options_Exhibits'!B1099:B1103),"")</f>
        <v/>
      </c>
      <c r="C1103" s="3">
        <f>IF(ISNUMBER(AVERAGE('20250815_ETF_Options_Exhibits'!C1099:C1103)),AVERAGE('20250815_ETF_Options_Exhibits'!C1099:C1103),"")</f>
        <v/>
      </c>
      <c r="D1103" s="3">
        <f>IF(ISNUMBER(AVERAGE('20250815_ETF_Options_Exhibits'!D1099:D1103)),AVERAGE('20250815_ETF_Options_Exhibits'!D1099:D1103),"")</f>
        <v/>
      </c>
      <c r="E1103" s="3">
        <f>IF(ISNUMBER(AVERAGE('20250815_ETF_Options_Exhibits'!E1099:E1103)),AVERAGE('20250815_ETF_Options_Exhibits'!E1099:E1103),"")</f>
        <v/>
      </c>
      <c r="F1103" s="3">
        <f>IF(ISNUMBER(AVERAGE('20250815_ETF_Options_Exhibits'!F1099:F1103)),AVERAGE('20250815_ETF_Options_Exhibits'!F1099:F1103),"")</f>
        <v/>
      </c>
      <c r="G1103" s="3">
        <f>IF(ISNUMBER(AVERAGE('20250815_ETF_Options_Exhibits'!G1099:G1103)),AVERAGE('20250815_ETF_Options_Exhibits'!G1099:G1103),"")</f>
        <v/>
      </c>
      <c r="H1103" s="3">
        <f>IF(ISNUMBER(AVERAGE('20250815_ETF_Options_Exhibits'!H1099:H1103)),AVERAGE('20250815_ETF_Options_Exhibits'!H1099:H1103),"")</f>
        <v/>
      </c>
      <c r="I1103" s="3">
        <f>IF(ISNUMBER(AVERAGE('20250815_ETF_Options_Exhibits'!I1099:I1103)),AVERAGE('20250815_ETF_Options_Exhibits'!I1099:I1103),"")</f>
        <v/>
      </c>
      <c r="J1103" s="3">
        <f>IF(ISNUMBER(AVERAGE('20250815_ETF_Options_Exhibits'!J1099:J1103)),AVERAGE('20250815_ETF_Options_Exhibits'!J1099:J1103),"")</f>
        <v/>
      </c>
      <c r="K1103" s="3">
        <f>IF(ISNUMBER(AVERAGE('20250815_ETF_Options_Exhibits'!K1099:K1103)),AVERAGE('20250815_ETF_Options_Exhibits'!K1099:K1103),"")</f>
        <v/>
      </c>
      <c r="L1103" s="3">
        <f>IF(ISNUMBER(AVERAGE('20250815_ETF_Options_Exhibits'!L1099:L1103)),AVERAGE('20250815_ETF_Options_Exhibits'!L1099:L1103),"")</f>
        <v/>
      </c>
      <c r="M1103" s="3">
        <f>IF(ISNUMBER(AVERAGE('20250815_ETF_Options_Exhibits'!M1099:M1103)),AVERAGE('20250815_ETF_Options_Exhibits'!M1099:M1103),"")</f>
        <v/>
      </c>
      <c r="N1103" s="3">
        <f>IF(ISNUMBER(AVERAGE('20250815_ETF_Options_Exhibits'!N1099:N1103)),AVERAGE('20250815_ETF_Options_Exhibits'!N1099:N1103),"")</f>
        <v/>
      </c>
      <c r="O1103" s="3">
        <f>IF(ISNUMBER(AVERAGE('20250815_ETF_Options_Exhibits'!O1099:O1103)),AVERAGE('20250815_ETF_Options_Exhibits'!O1099:O1103),"")</f>
        <v/>
      </c>
      <c r="P1103" s="3">
        <f>IF(ISNUMBER(AVERAGE('20250815_ETF_Options_Exhibits'!P1099:P1103)),AVERAGE('20250815_ETF_Options_Exhibits'!P1099:P1103),"")</f>
        <v/>
      </c>
      <c r="Q1103" s="3">
        <f>IF(ISNUMBER(AVERAGE('20250815_ETF_Options_Exhibits'!Q1099:Q1103)),AVERAGE('20250815_ETF_Options_Exhibits'!Q1099:Q1103),"")</f>
        <v/>
      </c>
      <c r="R1103" s="3">
        <f>IF(ISNUMBER(AVERAGE('20250815_ETF_Options_Exhibits'!R1099:R1103)),AVERAGE('20250815_ETF_Options_Exhibits'!R1099:R1103),"")</f>
        <v/>
      </c>
      <c r="S1103" s="3">
        <f>IF(ISNUMBER(AVERAGE('20250815_ETF_Options_Exhibits'!S1099:S1103)),AVERAGE('20250815_ETF_Options_Exhibits'!S1099:S1103),"")</f>
        <v/>
      </c>
      <c r="T1103" s="3">
        <f>IF(ISNUMBER(AVERAGE('20250815_ETF_Options_Exhibits'!T1099:T1103)),AVERAGE('20250815_ETF_Options_Exhibits'!T1099:T1103),"")</f>
        <v/>
      </c>
      <c r="U1103" s="3">
        <f>IF(ISNUMBER(AVERAGE('20250815_ETF_Options_Exhibits'!U1099:U1103)),AVERAGE('20250815_ETF_Options_Exhibits'!U1099:U1103),"")</f>
        <v/>
      </c>
      <c r="V1103" s="3">
        <f>IF(ISNUMBER(AVERAGE('20250815_ETF_Options_Exhibits'!V1099:V1103)),AVERAGE('20250815_ETF_Options_Exhibits'!V1099:V1103),"")</f>
        <v/>
      </c>
      <c r="W1103" s="3">
        <f>IF(ISNUMBER(AVERAGE('20250815_ETF_Options_Exhibits'!W1099:W1103)),AVERAGE('20250815_ETF_Options_Exhibits'!W1099:W1103),"")</f>
        <v/>
      </c>
      <c r="X1103" s="3">
        <f>IF(ISNUMBER(AVERAGE('20250815_ETF_Options_Exhibits'!X1099:X1103)),AVERAGE('20250815_ETF_Options_Exhibits'!X1099:X1103),"")</f>
        <v/>
      </c>
      <c r="Y1103" s="3">
        <f>IF(ISNUMBER(AVERAGE('20250815_ETF_Options_Exhibits'!Y1099:Y1103)),AVERAGE('20250815_ETF_Options_Exhibits'!Y1099:Y1103),"")</f>
        <v/>
      </c>
      <c r="Z1103" s="3">
        <f>IF(ISNUMBER(AVERAGE('20250815_ETF_Options_Exhibits'!Z1099:Z1103)),AVERAGE('20250815_ETF_Options_Exhibits'!Z1099:Z1103),"")</f>
        <v/>
      </c>
      <c r="AA1103" s="3">
        <f>IF(ISNUMBER(AVERAGE('20250815_ETF_Options_Exhibits'!AA1099:AA1103)),AVERAGE('20250815_ETF_Options_Exhibits'!AA1099:AA1103),"")</f>
        <v/>
      </c>
    </row>
    <row r="1104">
      <c r="A1104" s="1" t="n">
        <v>43605</v>
      </c>
      <c r="B1104" s="3">
        <f>IF(ISNUMBER(AVERAGE('20250815_ETF_Options_Exhibits'!B1100:B1104)),AVERAGE('20250815_ETF_Options_Exhibits'!B1100:B1104),"")</f>
        <v/>
      </c>
      <c r="C1104" s="3">
        <f>IF(ISNUMBER(AVERAGE('20250815_ETF_Options_Exhibits'!C1100:C1104)),AVERAGE('20250815_ETF_Options_Exhibits'!C1100:C1104),"")</f>
        <v/>
      </c>
      <c r="D1104" s="3">
        <f>IF(ISNUMBER(AVERAGE('20250815_ETF_Options_Exhibits'!D1100:D1104)),AVERAGE('20250815_ETF_Options_Exhibits'!D1100:D1104),"")</f>
        <v/>
      </c>
      <c r="E1104" s="3">
        <f>IF(ISNUMBER(AVERAGE('20250815_ETF_Options_Exhibits'!E1100:E1104)),AVERAGE('20250815_ETF_Options_Exhibits'!E1100:E1104),"")</f>
        <v/>
      </c>
      <c r="F1104" s="3">
        <f>IF(ISNUMBER(AVERAGE('20250815_ETF_Options_Exhibits'!F1100:F1104)),AVERAGE('20250815_ETF_Options_Exhibits'!F1100:F1104),"")</f>
        <v/>
      </c>
      <c r="G1104" s="3">
        <f>IF(ISNUMBER(AVERAGE('20250815_ETF_Options_Exhibits'!G1100:G1104)),AVERAGE('20250815_ETF_Options_Exhibits'!G1100:G1104),"")</f>
        <v/>
      </c>
      <c r="H1104" s="3">
        <f>IF(ISNUMBER(AVERAGE('20250815_ETF_Options_Exhibits'!H1100:H1104)),AVERAGE('20250815_ETF_Options_Exhibits'!H1100:H1104),"")</f>
        <v/>
      </c>
      <c r="I1104" s="3">
        <f>IF(ISNUMBER(AVERAGE('20250815_ETF_Options_Exhibits'!I1100:I1104)),AVERAGE('20250815_ETF_Options_Exhibits'!I1100:I1104),"")</f>
        <v/>
      </c>
      <c r="J1104" s="3">
        <f>IF(ISNUMBER(AVERAGE('20250815_ETF_Options_Exhibits'!J1100:J1104)),AVERAGE('20250815_ETF_Options_Exhibits'!J1100:J1104),"")</f>
        <v/>
      </c>
      <c r="K1104" s="3">
        <f>IF(ISNUMBER(AVERAGE('20250815_ETF_Options_Exhibits'!K1100:K1104)),AVERAGE('20250815_ETF_Options_Exhibits'!K1100:K1104),"")</f>
        <v/>
      </c>
      <c r="L1104" s="3">
        <f>IF(ISNUMBER(AVERAGE('20250815_ETF_Options_Exhibits'!L1100:L1104)),AVERAGE('20250815_ETF_Options_Exhibits'!L1100:L1104),"")</f>
        <v/>
      </c>
      <c r="M1104" s="3">
        <f>IF(ISNUMBER(AVERAGE('20250815_ETF_Options_Exhibits'!M1100:M1104)),AVERAGE('20250815_ETF_Options_Exhibits'!M1100:M1104),"")</f>
        <v/>
      </c>
      <c r="N1104" s="3">
        <f>IF(ISNUMBER(AVERAGE('20250815_ETF_Options_Exhibits'!N1100:N1104)),AVERAGE('20250815_ETF_Options_Exhibits'!N1100:N1104),"")</f>
        <v/>
      </c>
      <c r="O1104" s="3">
        <f>IF(ISNUMBER(AVERAGE('20250815_ETF_Options_Exhibits'!O1100:O1104)),AVERAGE('20250815_ETF_Options_Exhibits'!O1100:O1104),"")</f>
        <v/>
      </c>
      <c r="P1104" s="3">
        <f>IF(ISNUMBER(AVERAGE('20250815_ETF_Options_Exhibits'!P1100:P1104)),AVERAGE('20250815_ETF_Options_Exhibits'!P1100:P1104),"")</f>
        <v/>
      </c>
      <c r="Q1104" s="3">
        <f>IF(ISNUMBER(AVERAGE('20250815_ETF_Options_Exhibits'!Q1100:Q1104)),AVERAGE('20250815_ETF_Options_Exhibits'!Q1100:Q1104),"")</f>
        <v/>
      </c>
      <c r="R1104" s="3">
        <f>IF(ISNUMBER(AVERAGE('20250815_ETF_Options_Exhibits'!R1100:R1104)),AVERAGE('20250815_ETF_Options_Exhibits'!R1100:R1104),"")</f>
        <v/>
      </c>
      <c r="S1104" s="3">
        <f>IF(ISNUMBER(AVERAGE('20250815_ETF_Options_Exhibits'!S1100:S1104)),AVERAGE('20250815_ETF_Options_Exhibits'!S1100:S1104),"")</f>
        <v/>
      </c>
      <c r="T1104" s="3">
        <f>IF(ISNUMBER(AVERAGE('20250815_ETF_Options_Exhibits'!T1100:T1104)),AVERAGE('20250815_ETF_Options_Exhibits'!T1100:T1104),"")</f>
        <v/>
      </c>
      <c r="U1104" s="3">
        <f>IF(ISNUMBER(AVERAGE('20250815_ETF_Options_Exhibits'!U1100:U1104)),AVERAGE('20250815_ETF_Options_Exhibits'!U1100:U1104),"")</f>
        <v/>
      </c>
      <c r="V1104" s="3">
        <f>IF(ISNUMBER(AVERAGE('20250815_ETF_Options_Exhibits'!V1100:V1104)),AVERAGE('20250815_ETF_Options_Exhibits'!V1100:V1104),"")</f>
        <v/>
      </c>
      <c r="W1104" s="3">
        <f>IF(ISNUMBER(AVERAGE('20250815_ETF_Options_Exhibits'!W1100:W1104)),AVERAGE('20250815_ETF_Options_Exhibits'!W1100:W1104),"")</f>
        <v/>
      </c>
      <c r="X1104" s="3">
        <f>IF(ISNUMBER(AVERAGE('20250815_ETF_Options_Exhibits'!X1100:X1104)),AVERAGE('20250815_ETF_Options_Exhibits'!X1100:X1104),"")</f>
        <v/>
      </c>
      <c r="Y1104" s="3">
        <f>IF(ISNUMBER(AVERAGE('20250815_ETF_Options_Exhibits'!Y1100:Y1104)),AVERAGE('20250815_ETF_Options_Exhibits'!Y1100:Y1104),"")</f>
        <v/>
      </c>
      <c r="Z1104" s="3">
        <f>IF(ISNUMBER(AVERAGE('20250815_ETF_Options_Exhibits'!Z1100:Z1104)),AVERAGE('20250815_ETF_Options_Exhibits'!Z1100:Z1104),"")</f>
        <v/>
      </c>
      <c r="AA1104" s="3">
        <f>IF(ISNUMBER(AVERAGE('20250815_ETF_Options_Exhibits'!AA1100:AA1104)),AVERAGE('20250815_ETF_Options_Exhibits'!AA1100:AA1104),"")</f>
        <v/>
      </c>
    </row>
    <row r="1105">
      <c r="A1105" s="1" t="n">
        <v>43606</v>
      </c>
      <c r="B1105" s="3">
        <f>IF(ISNUMBER(AVERAGE('20250815_ETF_Options_Exhibits'!B1101:B1105)),AVERAGE('20250815_ETF_Options_Exhibits'!B1101:B1105),"")</f>
        <v/>
      </c>
      <c r="C1105" s="3">
        <f>IF(ISNUMBER(AVERAGE('20250815_ETF_Options_Exhibits'!C1101:C1105)),AVERAGE('20250815_ETF_Options_Exhibits'!C1101:C1105),"")</f>
        <v/>
      </c>
      <c r="D1105" s="3">
        <f>IF(ISNUMBER(AVERAGE('20250815_ETF_Options_Exhibits'!D1101:D1105)),AVERAGE('20250815_ETF_Options_Exhibits'!D1101:D1105),"")</f>
        <v/>
      </c>
      <c r="E1105" s="3">
        <f>IF(ISNUMBER(AVERAGE('20250815_ETF_Options_Exhibits'!E1101:E1105)),AVERAGE('20250815_ETF_Options_Exhibits'!E1101:E1105),"")</f>
        <v/>
      </c>
      <c r="F1105" s="3">
        <f>IF(ISNUMBER(AVERAGE('20250815_ETF_Options_Exhibits'!F1101:F1105)),AVERAGE('20250815_ETF_Options_Exhibits'!F1101:F1105),"")</f>
        <v/>
      </c>
      <c r="G1105" s="3">
        <f>IF(ISNUMBER(AVERAGE('20250815_ETF_Options_Exhibits'!G1101:G1105)),AVERAGE('20250815_ETF_Options_Exhibits'!G1101:G1105),"")</f>
        <v/>
      </c>
      <c r="H1105" s="3">
        <f>IF(ISNUMBER(AVERAGE('20250815_ETF_Options_Exhibits'!H1101:H1105)),AVERAGE('20250815_ETF_Options_Exhibits'!H1101:H1105),"")</f>
        <v/>
      </c>
      <c r="I1105" s="3">
        <f>IF(ISNUMBER(AVERAGE('20250815_ETF_Options_Exhibits'!I1101:I1105)),AVERAGE('20250815_ETF_Options_Exhibits'!I1101:I1105),"")</f>
        <v/>
      </c>
      <c r="J1105" s="3">
        <f>IF(ISNUMBER(AVERAGE('20250815_ETF_Options_Exhibits'!J1101:J1105)),AVERAGE('20250815_ETF_Options_Exhibits'!J1101:J1105),"")</f>
        <v/>
      </c>
      <c r="K1105" s="3">
        <f>IF(ISNUMBER(AVERAGE('20250815_ETF_Options_Exhibits'!K1101:K1105)),AVERAGE('20250815_ETF_Options_Exhibits'!K1101:K1105),"")</f>
        <v/>
      </c>
      <c r="L1105" s="3">
        <f>IF(ISNUMBER(AVERAGE('20250815_ETF_Options_Exhibits'!L1101:L1105)),AVERAGE('20250815_ETF_Options_Exhibits'!L1101:L1105),"")</f>
        <v/>
      </c>
      <c r="M1105" s="3">
        <f>IF(ISNUMBER(AVERAGE('20250815_ETF_Options_Exhibits'!M1101:M1105)),AVERAGE('20250815_ETF_Options_Exhibits'!M1101:M1105),"")</f>
        <v/>
      </c>
      <c r="N1105" s="3">
        <f>IF(ISNUMBER(AVERAGE('20250815_ETF_Options_Exhibits'!N1101:N1105)),AVERAGE('20250815_ETF_Options_Exhibits'!N1101:N1105),"")</f>
        <v/>
      </c>
      <c r="O1105" s="3">
        <f>IF(ISNUMBER(AVERAGE('20250815_ETF_Options_Exhibits'!O1101:O1105)),AVERAGE('20250815_ETF_Options_Exhibits'!O1101:O1105),"")</f>
        <v/>
      </c>
      <c r="P1105" s="3">
        <f>IF(ISNUMBER(AVERAGE('20250815_ETF_Options_Exhibits'!P1101:P1105)),AVERAGE('20250815_ETF_Options_Exhibits'!P1101:P1105),"")</f>
        <v/>
      </c>
      <c r="Q1105" s="3">
        <f>IF(ISNUMBER(AVERAGE('20250815_ETF_Options_Exhibits'!Q1101:Q1105)),AVERAGE('20250815_ETF_Options_Exhibits'!Q1101:Q1105),"")</f>
        <v/>
      </c>
      <c r="R1105" s="3">
        <f>IF(ISNUMBER(AVERAGE('20250815_ETF_Options_Exhibits'!R1101:R1105)),AVERAGE('20250815_ETF_Options_Exhibits'!R1101:R1105),"")</f>
        <v/>
      </c>
      <c r="S1105" s="3">
        <f>IF(ISNUMBER(AVERAGE('20250815_ETF_Options_Exhibits'!S1101:S1105)),AVERAGE('20250815_ETF_Options_Exhibits'!S1101:S1105),"")</f>
        <v/>
      </c>
      <c r="T1105" s="3">
        <f>IF(ISNUMBER(AVERAGE('20250815_ETF_Options_Exhibits'!T1101:T1105)),AVERAGE('20250815_ETF_Options_Exhibits'!T1101:T1105),"")</f>
        <v/>
      </c>
      <c r="U1105" s="3">
        <f>IF(ISNUMBER(AVERAGE('20250815_ETF_Options_Exhibits'!U1101:U1105)),AVERAGE('20250815_ETF_Options_Exhibits'!U1101:U1105),"")</f>
        <v/>
      </c>
      <c r="V1105" s="3">
        <f>IF(ISNUMBER(AVERAGE('20250815_ETF_Options_Exhibits'!V1101:V1105)),AVERAGE('20250815_ETF_Options_Exhibits'!V1101:V1105),"")</f>
        <v/>
      </c>
      <c r="W1105" s="3">
        <f>IF(ISNUMBER(AVERAGE('20250815_ETF_Options_Exhibits'!W1101:W1105)),AVERAGE('20250815_ETF_Options_Exhibits'!W1101:W1105),"")</f>
        <v/>
      </c>
      <c r="X1105" s="3">
        <f>IF(ISNUMBER(AVERAGE('20250815_ETF_Options_Exhibits'!X1101:X1105)),AVERAGE('20250815_ETF_Options_Exhibits'!X1101:X1105),"")</f>
        <v/>
      </c>
      <c r="Y1105" s="3">
        <f>IF(ISNUMBER(AVERAGE('20250815_ETF_Options_Exhibits'!Y1101:Y1105)),AVERAGE('20250815_ETF_Options_Exhibits'!Y1101:Y1105),"")</f>
        <v/>
      </c>
      <c r="Z1105" s="3">
        <f>IF(ISNUMBER(AVERAGE('20250815_ETF_Options_Exhibits'!Z1101:Z1105)),AVERAGE('20250815_ETF_Options_Exhibits'!Z1101:Z1105),"")</f>
        <v/>
      </c>
      <c r="AA1105" s="3">
        <f>IF(ISNUMBER(AVERAGE('20250815_ETF_Options_Exhibits'!AA1101:AA1105)),AVERAGE('20250815_ETF_Options_Exhibits'!AA1101:AA1105),"")</f>
        <v/>
      </c>
    </row>
    <row r="1106">
      <c r="A1106" s="1" t="n">
        <v>43607</v>
      </c>
      <c r="B1106" s="3">
        <f>IF(ISNUMBER(AVERAGE('20250815_ETF_Options_Exhibits'!B1102:B1106)),AVERAGE('20250815_ETF_Options_Exhibits'!B1102:B1106),"")</f>
        <v/>
      </c>
      <c r="C1106" s="3">
        <f>IF(ISNUMBER(AVERAGE('20250815_ETF_Options_Exhibits'!C1102:C1106)),AVERAGE('20250815_ETF_Options_Exhibits'!C1102:C1106),"")</f>
        <v/>
      </c>
      <c r="D1106" s="3">
        <f>IF(ISNUMBER(AVERAGE('20250815_ETF_Options_Exhibits'!D1102:D1106)),AVERAGE('20250815_ETF_Options_Exhibits'!D1102:D1106),"")</f>
        <v/>
      </c>
      <c r="E1106" s="3">
        <f>IF(ISNUMBER(AVERAGE('20250815_ETF_Options_Exhibits'!E1102:E1106)),AVERAGE('20250815_ETF_Options_Exhibits'!E1102:E1106),"")</f>
        <v/>
      </c>
      <c r="F1106" s="3">
        <f>IF(ISNUMBER(AVERAGE('20250815_ETF_Options_Exhibits'!F1102:F1106)),AVERAGE('20250815_ETF_Options_Exhibits'!F1102:F1106),"")</f>
        <v/>
      </c>
      <c r="G1106" s="3">
        <f>IF(ISNUMBER(AVERAGE('20250815_ETF_Options_Exhibits'!G1102:G1106)),AVERAGE('20250815_ETF_Options_Exhibits'!G1102:G1106),"")</f>
        <v/>
      </c>
      <c r="H1106" s="3">
        <f>IF(ISNUMBER(AVERAGE('20250815_ETF_Options_Exhibits'!H1102:H1106)),AVERAGE('20250815_ETF_Options_Exhibits'!H1102:H1106),"")</f>
        <v/>
      </c>
      <c r="I1106" s="3">
        <f>IF(ISNUMBER(AVERAGE('20250815_ETF_Options_Exhibits'!I1102:I1106)),AVERAGE('20250815_ETF_Options_Exhibits'!I1102:I1106),"")</f>
        <v/>
      </c>
      <c r="J1106" s="3">
        <f>IF(ISNUMBER(AVERAGE('20250815_ETF_Options_Exhibits'!J1102:J1106)),AVERAGE('20250815_ETF_Options_Exhibits'!J1102:J1106),"")</f>
        <v/>
      </c>
      <c r="K1106" s="3">
        <f>IF(ISNUMBER(AVERAGE('20250815_ETF_Options_Exhibits'!K1102:K1106)),AVERAGE('20250815_ETF_Options_Exhibits'!K1102:K1106),"")</f>
        <v/>
      </c>
      <c r="L1106" s="3">
        <f>IF(ISNUMBER(AVERAGE('20250815_ETF_Options_Exhibits'!L1102:L1106)),AVERAGE('20250815_ETF_Options_Exhibits'!L1102:L1106),"")</f>
        <v/>
      </c>
      <c r="M1106" s="3">
        <f>IF(ISNUMBER(AVERAGE('20250815_ETF_Options_Exhibits'!M1102:M1106)),AVERAGE('20250815_ETF_Options_Exhibits'!M1102:M1106),"")</f>
        <v/>
      </c>
      <c r="N1106" s="3">
        <f>IF(ISNUMBER(AVERAGE('20250815_ETF_Options_Exhibits'!N1102:N1106)),AVERAGE('20250815_ETF_Options_Exhibits'!N1102:N1106),"")</f>
        <v/>
      </c>
      <c r="O1106" s="3">
        <f>IF(ISNUMBER(AVERAGE('20250815_ETF_Options_Exhibits'!O1102:O1106)),AVERAGE('20250815_ETF_Options_Exhibits'!O1102:O1106),"")</f>
        <v/>
      </c>
      <c r="P1106" s="3">
        <f>IF(ISNUMBER(AVERAGE('20250815_ETF_Options_Exhibits'!P1102:P1106)),AVERAGE('20250815_ETF_Options_Exhibits'!P1102:P1106),"")</f>
        <v/>
      </c>
      <c r="Q1106" s="3">
        <f>IF(ISNUMBER(AVERAGE('20250815_ETF_Options_Exhibits'!Q1102:Q1106)),AVERAGE('20250815_ETF_Options_Exhibits'!Q1102:Q1106),"")</f>
        <v/>
      </c>
      <c r="R1106" s="3">
        <f>IF(ISNUMBER(AVERAGE('20250815_ETF_Options_Exhibits'!R1102:R1106)),AVERAGE('20250815_ETF_Options_Exhibits'!R1102:R1106),"")</f>
        <v/>
      </c>
      <c r="S1106" s="3">
        <f>IF(ISNUMBER(AVERAGE('20250815_ETF_Options_Exhibits'!S1102:S1106)),AVERAGE('20250815_ETF_Options_Exhibits'!S1102:S1106),"")</f>
        <v/>
      </c>
      <c r="T1106" s="3">
        <f>IF(ISNUMBER(AVERAGE('20250815_ETF_Options_Exhibits'!T1102:T1106)),AVERAGE('20250815_ETF_Options_Exhibits'!T1102:T1106),"")</f>
        <v/>
      </c>
      <c r="U1106" s="3">
        <f>IF(ISNUMBER(AVERAGE('20250815_ETF_Options_Exhibits'!U1102:U1106)),AVERAGE('20250815_ETF_Options_Exhibits'!U1102:U1106),"")</f>
        <v/>
      </c>
      <c r="V1106" s="3">
        <f>IF(ISNUMBER(AVERAGE('20250815_ETF_Options_Exhibits'!V1102:V1106)),AVERAGE('20250815_ETF_Options_Exhibits'!V1102:V1106),"")</f>
        <v/>
      </c>
      <c r="W1106" s="3">
        <f>IF(ISNUMBER(AVERAGE('20250815_ETF_Options_Exhibits'!W1102:W1106)),AVERAGE('20250815_ETF_Options_Exhibits'!W1102:W1106),"")</f>
        <v/>
      </c>
      <c r="X1106" s="3">
        <f>IF(ISNUMBER(AVERAGE('20250815_ETF_Options_Exhibits'!X1102:X1106)),AVERAGE('20250815_ETF_Options_Exhibits'!X1102:X1106),"")</f>
        <v/>
      </c>
      <c r="Y1106" s="3">
        <f>IF(ISNUMBER(AVERAGE('20250815_ETF_Options_Exhibits'!Y1102:Y1106)),AVERAGE('20250815_ETF_Options_Exhibits'!Y1102:Y1106),"")</f>
        <v/>
      </c>
      <c r="Z1106" s="3">
        <f>IF(ISNUMBER(AVERAGE('20250815_ETF_Options_Exhibits'!Z1102:Z1106)),AVERAGE('20250815_ETF_Options_Exhibits'!Z1102:Z1106),"")</f>
        <v/>
      </c>
      <c r="AA1106" s="3">
        <f>IF(ISNUMBER(AVERAGE('20250815_ETF_Options_Exhibits'!AA1102:AA1106)),AVERAGE('20250815_ETF_Options_Exhibits'!AA1102:AA1106),"")</f>
        <v/>
      </c>
    </row>
    <row r="1107">
      <c r="A1107" s="1" t="n">
        <v>43608</v>
      </c>
      <c r="B1107" s="3">
        <f>IF(ISNUMBER(AVERAGE('20250815_ETF_Options_Exhibits'!B1103:B1107)),AVERAGE('20250815_ETF_Options_Exhibits'!B1103:B1107),"")</f>
        <v/>
      </c>
      <c r="C1107" s="3">
        <f>IF(ISNUMBER(AVERAGE('20250815_ETF_Options_Exhibits'!C1103:C1107)),AVERAGE('20250815_ETF_Options_Exhibits'!C1103:C1107),"")</f>
        <v/>
      </c>
      <c r="D1107" s="3">
        <f>IF(ISNUMBER(AVERAGE('20250815_ETF_Options_Exhibits'!D1103:D1107)),AVERAGE('20250815_ETF_Options_Exhibits'!D1103:D1107),"")</f>
        <v/>
      </c>
      <c r="E1107" s="3">
        <f>IF(ISNUMBER(AVERAGE('20250815_ETF_Options_Exhibits'!E1103:E1107)),AVERAGE('20250815_ETF_Options_Exhibits'!E1103:E1107),"")</f>
        <v/>
      </c>
      <c r="F1107" s="3">
        <f>IF(ISNUMBER(AVERAGE('20250815_ETF_Options_Exhibits'!F1103:F1107)),AVERAGE('20250815_ETF_Options_Exhibits'!F1103:F1107),"")</f>
        <v/>
      </c>
      <c r="G1107" s="3">
        <f>IF(ISNUMBER(AVERAGE('20250815_ETF_Options_Exhibits'!G1103:G1107)),AVERAGE('20250815_ETF_Options_Exhibits'!G1103:G1107),"")</f>
        <v/>
      </c>
      <c r="H1107" s="3">
        <f>IF(ISNUMBER(AVERAGE('20250815_ETF_Options_Exhibits'!H1103:H1107)),AVERAGE('20250815_ETF_Options_Exhibits'!H1103:H1107),"")</f>
        <v/>
      </c>
      <c r="I1107" s="3">
        <f>IF(ISNUMBER(AVERAGE('20250815_ETF_Options_Exhibits'!I1103:I1107)),AVERAGE('20250815_ETF_Options_Exhibits'!I1103:I1107),"")</f>
        <v/>
      </c>
      <c r="J1107" s="3">
        <f>IF(ISNUMBER(AVERAGE('20250815_ETF_Options_Exhibits'!J1103:J1107)),AVERAGE('20250815_ETF_Options_Exhibits'!J1103:J1107),"")</f>
        <v/>
      </c>
      <c r="K1107" s="3">
        <f>IF(ISNUMBER(AVERAGE('20250815_ETF_Options_Exhibits'!K1103:K1107)),AVERAGE('20250815_ETF_Options_Exhibits'!K1103:K1107),"")</f>
        <v/>
      </c>
      <c r="L1107" s="3">
        <f>IF(ISNUMBER(AVERAGE('20250815_ETF_Options_Exhibits'!L1103:L1107)),AVERAGE('20250815_ETF_Options_Exhibits'!L1103:L1107),"")</f>
        <v/>
      </c>
      <c r="M1107" s="3">
        <f>IF(ISNUMBER(AVERAGE('20250815_ETF_Options_Exhibits'!M1103:M1107)),AVERAGE('20250815_ETF_Options_Exhibits'!M1103:M1107),"")</f>
        <v/>
      </c>
      <c r="N1107" s="3">
        <f>IF(ISNUMBER(AVERAGE('20250815_ETF_Options_Exhibits'!N1103:N1107)),AVERAGE('20250815_ETF_Options_Exhibits'!N1103:N1107),"")</f>
        <v/>
      </c>
      <c r="O1107" s="3">
        <f>IF(ISNUMBER(AVERAGE('20250815_ETF_Options_Exhibits'!O1103:O1107)),AVERAGE('20250815_ETF_Options_Exhibits'!O1103:O1107),"")</f>
        <v/>
      </c>
      <c r="P1107" s="3">
        <f>IF(ISNUMBER(AVERAGE('20250815_ETF_Options_Exhibits'!P1103:P1107)),AVERAGE('20250815_ETF_Options_Exhibits'!P1103:P1107),"")</f>
        <v/>
      </c>
      <c r="Q1107" s="3">
        <f>IF(ISNUMBER(AVERAGE('20250815_ETF_Options_Exhibits'!Q1103:Q1107)),AVERAGE('20250815_ETF_Options_Exhibits'!Q1103:Q1107),"")</f>
        <v/>
      </c>
      <c r="R1107" s="3">
        <f>IF(ISNUMBER(AVERAGE('20250815_ETF_Options_Exhibits'!R1103:R1107)),AVERAGE('20250815_ETF_Options_Exhibits'!R1103:R1107),"")</f>
        <v/>
      </c>
      <c r="S1107" s="3">
        <f>IF(ISNUMBER(AVERAGE('20250815_ETF_Options_Exhibits'!S1103:S1107)),AVERAGE('20250815_ETF_Options_Exhibits'!S1103:S1107),"")</f>
        <v/>
      </c>
      <c r="T1107" s="3">
        <f>IF(ISNUMBER(AVERAGE('20250815_ETF_Options_Exhibits'!T1103:T1107)),AVERAGE('20250815_ETF_Options_Exhibits'!T1103:T1107),"")</f>
        <v/>
      </c>
      <c r="U1107" s="3">
        <f>IF(ISNUMBER(AVERAGE('20250815_ETF_Options_Exhibits'!U1103:U1107)),AVERAGE('20250815_ETF_Options_Exhibits'!U1103:U1107),"")</f>
        <v/>
      </c>
      <c r="V1107" s="3">
        <f>IF(ISNUMBER(AVERAGE('20250815_ETF_Options_Exhibits'!V1103:V1107)),AVERAGE('20250815_ETF_Options_Exhibits'!V1103:V1107),"")</f>
        <v/>
      </c>
      <c r="W1107" s="3">
        <f>IF(ISNUMBER(AVERAGE('20250815_ETF_Options_Exhibits'!W1103:W1107)),AVERAGE('20250815_ETF_Options_Exhibits'!W1103:W1107),"")</f>
        <v/>
      </c>
      <c r="X1107" s="3">
        <f>IF(ISNUMBER(AVERAGE('20250815_ETF_Options_Exhibits'!X1103:X1107)),AVERAGE('20250815_ETF_Options_Exhibits'!X1103:X1107),"")</f>
        <v/>
      </c>
      <c r="Y1107" s="3">
        <f>IF(ISNUMBER(AVERAGE('20250815_ETF_Options_Exhibits'!Y1103:Y1107)),AVERAGE('20250815_ETF_Options_Exhibits'!Y1103:Y1107),"")</f>
        <v/>
      </c>
      <c r="Z1107" s="3">
        <f>IF(ISNUMBER(AVERAGE('20250815_ETF_Options_Exhibits'!Z1103:Z1107)),AVERAGE('20250815_ETF_Options_Exhibits'!Z1103:Z1107),"")</f>
        <v/>
      </c>
      <c r="AA1107" s="3">
        <f>IF(ISNUMBER(AVERAGE('20250815_ETF_Options_Exhibits'!AA1103:AA1107)),AVERAGE('20250815_ETF_Options_Exhibits'!AA1103:AA1107),"")</f>
        <v/>
      </c>
    </row>
    <row r="1108">
      <c r="A1108" s="1" t="n">
        <v>43609</v>
      </c>
      <c r="B1108" s="3">
        <f>IF(ISNUMBER(AVERAGE('20250815_ETF_Options_Exhibits'!B1104:B1108)),AVERAGE('20250815_ETF_Options_Exhibits'!B1104:B1108),"")</f>
        <v/>
      </c>
      <c r="C1108" s="3">
        <f>IF(ISNUMBER(AVERAGE('20250815_ETF_Options_Exhibits'!C1104:C1108)),AVERAGE('20250815_ETF_Options_Exhibits'!C1104:C1108),"")</f>
        <v/>
      </c>
      <c r="D1108" s="3">
        <f>IF(ISNUMBER(AVERAGE('20250815_ETF_Options_Exhibits'!D1104:D1108)),AVERAGE('20250815_ETF_Options_Exhibits'!D1104:D1108),"")</f>
        <v/>
      </c>
      <c r="E1108" s="3">
        <f>IF(ISNUMBER(AVERAGE('20250815_ETF_Options_Exhibits'!E1104:E1108)),AVERAGE('20250815_ETF_Options_Exhibits'!E1104:E1108),"")</f>
        <v/>
      </c>
      <c r="F1108" s="3">
        <f>IF(ISNUMBER(AVERAGE('20250815_ETF_Options_Exhibits'!F1104:F1108)),AVERAGE('20250815_ETF_Options_Exhibits'!F1104:F1108),"")</f>
        <v/>
      </c>
      <c r="G1108" s="3">
        <f>IF(ISNUMBER(AVERAGE('20250815_ETF_Options_Exhibits'!G1104:G1108)),AVERAGE('20250815_ETF_Options_Exhibits'!G1104:G1108),"")</f>
        <v/>
      </c>
      <c r="H1108" s="3">
        <f>IF(ISNUMBER(AVERAGE('20250815_ETF_Options_Exhibits'!H1104:H1108)),AVERAGE('20250815_ETF_Options_Exhibits'!H1104:H1108),"")</f>
        <v/>
      </c>
      <c r="I1108" s="3">
        <f>IF(ISNUMBER(AVERAGE('20250815_ETF_Options_Exhibits'!I1104:I1108)),AVERAGE('20250815_ETF_Options_Exhibits'!I1104:I1108),"")</f>
        <v/>
      </c>
      <c r="J1108" s="3">
        <f>IF(ISNUMBER(AVERAGE('20250815_ETF_Options_Exhibits'!J1104:J1108)),AVERAGE('20250815_ETF_Options_Exhibits'!J1104:J1108),"")</f>
        <v/>
      </c>
      <c r="K1108" s="3">
        <f>IF(ISNUMBER(AVERAGE('20250815_ETF_Options_Exhibits'!K1104:K1108)),AVERAGE('20250815_ETF_Options_Exhibits'!K1104:K1108),"")</f>
        <v/>
      </c>
      <c r="L1108" s="3">
        <f>IF(ISNUMBER(AVERAGE('20250815_ETF_Options_Exhibits'!L1104:L1108)),AVERAGE('20250815_ETF_Options_Exhibits'!L1104:L1108),"")</f>
        <v/>
      </c>
      <c r="M1108" s="3">
        <f>IF(ISNUMBER(AVERAGE('20250815_ETF_Options_Exhibits'!M1104:M1108)),AVERAGE('20250815_ETF_Options_Exhibits'!M1104:M1108),"")</f>
        <v/>
      </c>
      <c r="N1108" s="3">
        <f>IF(ISNUMBER(AVERAGE('20250815_ETF_Options_Exhibits'!N1104:N1108)),AVERAGE('20250815_ETF_Options_Exhibits'!N1104:N1108),"")</f>
        <v/>
      </c>
      <c r="O1108" s="3">
        <f>IF(ISNUMBER(AVERAGE('20250815_ETF_Options_Exhibits'!O1104:O1108)),AVERAGE('20250815_ETF_Options_Exhibits'!O1104:O1108),"")</f>
        <v/>
      </c>
      <c r="P1108" s="3">
        <f>IF(ISNUMBER(AVERAGE('20250815_ETF_Options_Exhibits'!P1104:P1108)),AVERAGE('20250815_ETF_Options_Exhibits'!P1104:P1108),"")</f>
        <v/>
      </c>
      <c r="Q1108" s="3">
        <f>IF(ISNUMBER(AVERAGE('20250815_ETF_Options_Exhibits'!Q1104:Q1108)),AVERAGE('20250815_ETF_Options_Exhibits'!Q1104:Q1108),"")</f>
        <v/>
      </c>
      <c r="R1108" s="3">
        <f>IF(ISNUMBER(AVERAGE('20250815_ETF_Options_Exhibits'!R1104:R1108)),AVERAGE('20250815_ETF_Options_Exhibits'!R1104:R1108),"")</f>
        <v/>
      </c>
      <c r="S1108" s="3">
        <f>IF(ISNUMBER(AVERAGE('20250815_ETF_Options_Exhibits'!S1104:S1108)),AVERAGE('20250815_ETF_Options_Exhibits'!S1104:S1108),"")</f>
        <v/>
      </c>
      <c r="T1108" s="3">
        <f>IF(ISNUMBER(AVERAGE('20250815_ETF_Options_Exhibits'!T1104:T1108)),AVERAGE('20250815_ETF_Options_Exhibits'!T1104:T1108),"")</f>
        <v/>
      </c>
      <c r="U1108" s="3">
        <f>IF(ISNUMBER(AVERAGE('20250815_ETF_Options_Exhibits'!U1104:U1108)),AVERAGE('20250815_ETF_Options_Exhibits'!U1104:U1108),"")</f>
        <v/>
      </c>
      <c r="V1108" s="3">
        <f>IF(ISNUMBER(AVERAGE('20250815_ETF_Options_Exhibits'!V1104:V1108)),AVERAGE('20250815_ETF_Options_Exhibits'!V1104:V1108),"")</f>
        <v/>
      </c>
      <c r="W1108" s="3">
        <f>IF(ISNUMBER(AVERAGE('20250815_ETF_Options_Exhibits'!W1104:W1108)),AVERAGE('20250815_ETF_Options_Exhibits'!W1104:W1108),"")</f>
        <v/>
      </c>
      <c r="X1108" s="3">
        <f>IF(ISNUMBER(AVERAGE('20250815_ETF_Options_Exhibits'!X1104:X1108)),AVERAGE('20250815_ETF_Options_Exhibits'!X1104:X1108),"")</f>
        <v/>
      </c>
      <c r="Y1108" s="3">
        <f>IF(ISNUMBER(AVERAGE('20250815_ETF_Options_Exhibits'!Y1104:Y1108)),AVERAGE('20250815_ETF_Options_Exhibits'!Y1104:Y1108),"")</f>
        <v/>
      </c>
      <c r="Z1108" s="3">
        <f>IF(ISNUMBER(AVERAGE('20250815_ETF_Options_Exhibits'!Z1104:Z1108)),AVERAGE('20250815_ETF_Options_Exhibits'!Z1104:Z1108),"")</f>
        <v/>
      </c>
      <c r="AA1108" s="3">
        <f>IF(ISNUMBER(AVERAGE('20250815_ETF_Options_Exhibits'!AA1104:AA1108)),AVERAGE('20250815_ETF_Options_Exhibits'!AA1104:AA1108),"")</f>
        <v/>
      </c>
    </row>
    <row r="1109">
      <c r="A1109" s="1" t="n">
        <v>43613</v>
      </c>
      <c r="B1109" s="3">
        <f>IF(ISNUMBER(AVERAGE('20250815_ETF_Options_Exhibits'!B1105:B1109)),AVERAGE('20250815_ETF_Options_Exhibits'!B1105:B1109),"")</f>
        <v/>
      </c>
      <c r="C1109" s="3">
        <f>IF(ISNUMBER(AVERAGE('20250815_ETF_Options_Exhibits'!C1105:C1109)),AVERAGE('20250815_ETF_Options_Exhibits'!C1105:C1109),"")</f>
        <v/>
      </c>
      <c r="D1109" s="3">
        <f>IF(ISNUMBER(AVERAGE('20250815_ETF_Options_Exhibits'!D1105:D1109)),AVERAGE('20250815_ETF_Options_Exhibits'!D1105:D1109),"")</f>
        <v/>
      </c>
      <c r="E1109" s="3">
        <f>IF(ISNUMBER(AVERAGE('20250815_ETF_Options_Exhibits'!E1105:E1109)),AVERAGE('20250815_ETF_Options_Exhibits'!E1105:E1109),"")</f>
        <v/>
      </c>
      <c r="F1109" s="3">
        <f>IF(ISNUMBER(AVERAGE('20250815_ETF_Options_Exhibits'!F1105:F1109)),AVERAGE('20250815_ETF_Options_Exhibits'!F1105:F1109),"")</f>
        <v/>
      </c>
      <c r="G1109" s="3">
        <f>IF(ISNUMBER(AVERAGE('20250815_ETF_Options_Exhibits'!G1105:G1109)),AVERAGE('20250815_ETF_Options_Exhibits'!G1105:G1109),"")</f>
        <v/>
      </c>
      <c r="H1109" s="3">
        <f>IF(ISNUMBER(AVERAGE('20250815_ETF_Options_Exhibits'!H1105:H1109)),AVERAGE('20250815_ETF_Options_Exhibits'!H1105:H1109),"")</f>
        <v/>
      </c>
      <c r="I1109" s="3">
        <f>IF(ISNUMBER(AVERAGE('20250815_ETF_Options_Exhibits'!I1105:I1109)),AVERAGE('20250815_ETF_Options_Exhibits'!I1105:I1109),"")</f>
        <v/>
      </c>
      <c r="J1109" s="3">
        <f>IF(ISNUMBER(AVERAGE('20250815_ETF_Options_Exhibits'!J1105:J1109)),AVERAGE('20250815_ETF_Options_Exhibits'!J1105:J1109),"")</f>
        <v/>
      </c>
      <c r="K1109" s="3">
        <f>IF(ISNUMBER(AVERAGE('20250815_ETF_Options_Exhibits'!K1105:K1109)),AVERAGE('20250815_ETF_Options_Exhibits'!K1105:K1109),"")</f>
        <v/>
      </c>
      <c r="L1109" s="3">
        <f>IF(ISNUMBER(AVERAGE('20250815_ETF_Options_Exhibits'!L1105:L1109)),AVERAGE('20250815_ETF_Options_Exhibits'!L1105:L1109),"")</f>
        <v/>
      </c>
      <c r="M1109" s="3">
        <f>IF(ISNUMBER(AVERAGE('20250815_ETF_Options_Exhibits'!M1105:M1109)),AVERAGE('20250815_ETF_Options_Exhibits'!M1105:M1109),"")</f>
        <v/>
      </c>
      <c r="N1109" s="3">
        <f>IF(ISNUMBER(AVERAGE('20250815_ETF_Options_Exhibits'!N1105:N1109)),AVERAGE('20250815_ETF_Options_Exhibits'!N1105:N1109),"")</f>
        <v/>
      </c>
      <c r="O1109" s="3">
        <f>IF(ISNUMBER(AVERAGE('20250815_ETF_Options_Exhibits'!O1105:O1109)),AVERAGE('20250815_ETF_Options_Exhibits'!O1105:O1109),"")</f>
        <v/>
      </c>
      <c r="P1109" s="3">
        <f>IF(ISNUMBER(AVERAGE('20250815_ETF_Options_Exhibits'!P1105:P1109)),AVERAGE('20250815_ETF_Options_Exhibits'!P1105:P1109),"")</f>
        <v/>
      </c>
      <c r="Q1109" s="3">
        <f>IF(ISNUMBER(AVERAGE('20250815_ETF_Options_Exhibits'!Q1105:Q1109)),AVERAGE('20250815_ETF_Options_Exhibits'!Q1105:Q1109),"")</f>
        <v/>
      </c>
      <c r="R1109" s="3">
        <f>IF(ISNUMBER(AVERAGE('20250815_ETF_Options_Exhibits'!R1105:R1109)),AVERAGE('20250815_ETF_Options_Exhibits'!R1105:R1109),"")</f>
        <v/>
      </c>
      <c r="S1109" s="3">
        <f>IF(ISNUMBER(AVERAGE('20250815_ETF_Options_Exhibits'!S1105:S1109)),AVERAGE('20250815_ETF_Options_Exhibits'!S1105:S1109),"")</f>
        <v/>
      </c>
      <c r="T1109" s="3">
        <f>IF(ISNUMBER(AVERAGE('20250815_ETF_Options_Exhibits'!T1105:T1109)),AVERAGE('20250815_ETF_Options_Exhibits'!T1105:T1109),"")</f>
        <v/>
      </c>
      <c r="U1109" s="3">
        <f>IF(ISNUMBER(AVERAGE('20250815_ETF_Options_Exhibits'!U1105:U1109)),AVERAGE('20250815_ETF_Options_Exhibits'!U1105:U1109),"")</f>
        <v/>
      </c>
      <c r="V1109" s="3">
        <f>IF(ISNUMBER(AVERAGE('20250815_ETF_Options_Exhibits'!V1105:V1109)),AVERAGE('20250815_ETF_Options_Exhibits'!V1105:V1109),"")</f>
        <v/>
      </c>
      <c r="W1109" s="3">
        <f>IF(ISNUMBER(AVERAGE('20250815_ETF_Options_Exhibits'!W1105:W1109)),AVERAGE('20250815_ETF_Options_Exhibits'!W1105:W1109),"")</f>
        <v/>
      </c>
      <c r="X1109" s="3">
        <f>IF(ISNUMBER(AVERAGE('20250815_ETF_Options_Exhibits'!X1105:X1109)),AVERAGE('20250815_ETF_Options_Exhibits'!X1105:X1109),"")</f>
        <v/>
      </c>
      <c r="Y1109" s="3">
        <f>IF(ISNUMBER(AVERAGE('20250815_ETF_Options_Exhibits'!Y1105:Y1109)),AVERAGE('20250815_ETF_Options_Exhibits'!Y1105:Y1109),"")</f>
        <v/>
      </c>
      <c r="Z1109" s="3">
        <f>IF(ISNUMBER(AVERAGE('20250815_ETF_Options_Exhibits'!Z1105:Z1109)),AVERAGE('20250815_ETF_Options_Exhibits'!Z1105:Z1109),"")</f>
        <v/>
      </c>
      <c r="AA1109" s="3">
        <f>IF(ISNUMBER(AVERAGE('20250815_ETF_Options_Exhibits'!AA1105:AA1109)),AVERAGE('20250815_ETF_Options_Exhibits'!AA1105:AA1109),"")</f>
        <v/>
      </c>
    </row>
    <row r="1110">
      <c r="A1110" s="1" t="n">
        <v>43614</v>
      </c>
      <c r="B1110" s="3">
        <f>IF(ISNUMBER(AVERAGE('20250815_ETF_Options_Exhibits'!B1106:B1110)),AVERAGE('20250815_ETF_Options_Exhibits'!B1106:B1110),"")</f>
        <v/>
      </c>
      <c r="C1110" s="3">
        <f>IF(ISNUMBER(AVERAGE('20250815_ETF_Options_Exhibits'!C1106:C1110)),AVERAGE('20250815_ETF_Options_Exhibits'!C1106:C1110),"")</f>
        <v/>
      </c>
      <c r="D1110" s="3">
        <f>IF(ISNUMBER(AVERAGE('20250815_ETF_Options_Exhibits'!D1106:D1110)),AVERAGE('20250815_ETF_Options_Exhibits'!D1106:D1110),"")</f>
        <v/>
      </c>
      <c r="E1110" s="3">
        <f>IF(ISNUMBER(AVERAGE('20250815_ETF_Options_Exhibits'!E1106:E1110)),AVERAGE('20250815_ETF_Options_Exhibits'!E1106:E1110),"")</f>
        <v/>
      </c>
      <c r="F1110" s="3">
        <f>IF(ISNUMBER(AVERAGE('20250815_ETF_Options_Exhibits'!F1106:F1110)),AVERAGE('20250815_ETF_Options_Exhibits'!F1106:F1110),"")</f>
        <v/>
      </c>
      <c r="G1110" s="3">
        <f>IF(ISNUMBER(AVERAGE('20250815_ETF_Options_Exhibits'!G1106:G1110)),AVERAGE('20250815_ETF_Options_Exhibits'!G1106:G1110),"")</f>
        <v/>
      </c>
      <c r="H1110" s="3">
        <f>IF(ISNUMBER(AVERAGE('20250815_ETF_Options_Exhibits'!H1106:H1110)),AVERAGE('20250815_ETF_Options_Exhibits'!H1106:H1110),"")</f>
        <v/>
      </c>
      <c r="I1110" s="3">
        <f>IF(ISNUMBER(AVERAGE('20250815_ETF_Options_Exhibits'!I1106:I1110)),AVERAGE('20250815_ETF_Options_Exhibits'!I1106:I1110),"")</f>
        <v/>
      </c>
      <c r="J1110" s="3">
        <f>IF(ISNUMBER(AVERAGE('20250815_ETF_Options_Exhibits'!J1106:J1110)),AVERAGE('20250815_ETF_Options_Exhibits'!J1106:J1110),"")</f>
        <v/>
      </c>
      <c r="K1110" s="3">
        <f>IF(ISNUMBER(AVERAGE('20250815_ETF_Options_Exhibits'!K1106:K1110)),AVERAGE('20250815_ETF_Options_Exhibits'!K1106:K1110),"")</f>
        <v/>
      </c>
      <c r="L1110" s="3">
        <f>IF(ISNUMBER(AVERAGE('20250815_ETF_Options_Exhibits'!L1106:L1110)),AVERAGE('20250815_ETF_Options_Exhibits'!L1106:L1110),"")</f>
        <v/>
      </c>
      <c r="M1110" s="3">
        <f>IF(ISNUMBER(AVERAGE('20250815_ETF_Options_Exhibits'!M1106:M1110)),AVERAGE('20250815_ETF_Options_Exhibits'!M1106:M1110),"")</f>
        <v/>
      </c>
      <c r="N1110" s="3">
        <f>IF(ISNUMBER(AVERAGE('20250815_ETF_Options_Exhibits'!N1106:N1110)),AVERAGE('20250815_ETF_Options_Exhibits'!N1106:N1110),"")</f>
        <v/>
      </c>
      <c r="O1110" s="3">
        <f>IF(ISNUMBER(AVERAGE('20250815_ETF_Options_Exhibits'!O1106:O1110)),AVERAGE('20250815_ETF_Options_Exhibits'!O1106:O1110),"")</f>
        <v/>
      </c>
      <c r="P1110" s="3">
        <f>IF(ISNUMBER(AVERAGE('20250815_ETF_Options_Exhibits'!P1106:P1110)),AVERAGE('20250815_ETF_Options_Exhibits'!P1106:P1110),"")</f>
        <v/>
      </c>
      <c r="Q1110" s="3">
        <f>IF(ISNUMBER(AVERAGE('20250815_ETF_Options_Exhibits'!Q1106:Q1110)),AVERAGE('20250815_ETF_Options_Exhibits'!Q1106:Q1110),"")</f>
        <v/>
      </c>
      <c r="R1110" s="3">
        <f>IF(ISNUMBER(AVERAGE('20250815_ETF_Options_Exhibits'!R1106:R1110)),AVERAGE('20250815_ETF_Options_Exhibits'!R1106:R1110),"")</f>
        <v/>
      </c>
      <c r="S1110" s="3">
        <f>IF(ISNUMBER(AVERAGE('20250815_ETF_Options_Exhibits'!S1106:S1110)),AVERAGE('20250815_ETF_Options_Exhibits'!S1106:S1110),"")</f>
        <v/>
      </c>
      <c r="T1110" s="3">
        <f>IF(ISNUMBER(AVERAGE('20250815_ETF_Options_Exhibits'!T1106:T1110)),AVERAGE('20250815_ETF_Options_Exhibits'!T1106:T1110),"")</f>
        <v/>
      </c>
      <c r="U1110" s="3">
        <f>IF(ISNUMBER(AVERAGE('20250815_ETF_Options_Exhibits'!U1106:U1110)),AVERAGE('20250815_ETF_Options_Exhibits'!U1106:U1110),"")</f>
        <v/>
      </c>
      <c r="V1110" s="3">
        <f>IF(ISNUMBER(AVERAGE('20250815_ETF_Options_Exhibits'!V1106:V1110)),AVERAGE('20250815_ETF_Options_Exhibits'!V1106:V1110),"")</f>
        <v/>
      </c>
      <c r="W1110" s="3">
        <f>IF(ISNUMBER(AVERAGE('20250815_ETF_Options_Exhibits'!W1106:W1110)),AVERAGE('20250815_ETF_Options_Exhibits'!W1106:W1110),"")</f>
        <v/>
      </c>
      <c r="X1110" s="3">
        <f>IF(ISNUMBER(AVERAGE('20250815_ETF_Options_Exhibits'!X1106:X1110)),AVERAGE('20250815_ETF_Options_Exhibits'!X1106:X1110),"")</f>
        <v/>
      </c>
      <c r="Y1110" s="3">
        <f>IF(ISNUMBER(AVERAGE('20250815_ETF_Options_Exhibits'!Y1106:Y1110)),AVERAGE('20250815_ETF_Options_Exhibits'!Y1106:Y1110),"")</f>
        <v/>
      </c>
      <c r="Z1110" s="3">
        <f>IF(ISNUMBER(AVERAGE('20250815_ETF_Options_Exhibits'!Z1106:Z1110)),AVERAGE('20250815_ETF_Options_Exhibits'!Z1106:Z1110),"")</f>
        <v/>
      </c>
      <c r="AA1110" s="3">
        <f>IF(ISNUMBER(AVERAGE('20250815_ETF_Options_Exhibits'!AA1106:AA1110)),AVERAGE('20250815_ETF_Options_Exhibits'!AA1106:AA1110),"")</f>
        <v/>
      </c>
    </row>
    <row r="1111">
      <c r="A1111" s="1" t="n">
        <v>43615</v>
      </c>
      <c r="B1111" s="3">
        <f>IF(ISNUMBER(AVERAGE('20250815_ETF_Options_Exhibits'!B1107:B1111)),AVERAGE('20250815_ETF_Options_Exhibits'!B1107:B1111),"")</f>
        <v/>
      </c>
      <c r="C1111" s="3">
        <f>IF(ISNUMBER(AVERAGE('20250815_ETF_Options_Exhibits'!C1107:C1111)),AVERAGE('20250815_ETF_Options_Exhibits'!C1107:C1111),"")</f>
        <v/>
      </c>
      <c r="D1111" s="3">
        <f>IF(ISNUMBER(AVERAGE('20250815_ETF_Options_Exhibits'!D1107:D1111)),AVERAGE('20250815_ETF_Options_Exhibits'!D1107:D1111),"")</f>
        <v/>
      </c>
      <c r="E1111" s="3">
        <f>IF(ISNUMBER(AVERAGE('20250815_ETF_Options_Exhibits'!E1107:E1111)),AVERAGE('20250815_ETF_Options_Exhibits'!E1107:E1111),"")</f>
        <v/>
      </c>
      <c r="F1111" s="3">
        <f>IF(ISNUMBER(AVERAGE('20250815_ETF_Options_Exhibits'!F1107:F1111)),AVERAGE('20250815_ETF_Options_Exhibits'!F1107:F1111),"")</f>
        <v/>
      </c>
      <c r="G1111" s="3">
        <f>IF(ISNUMBER(AVERAGE('20250815_ETF_Options_Exhibits'!G1107:G1111)),AVERAGE('20250815_ETF_Options_Exhibits'!G1107:G1111),"")</f>
        <v/>
      </c>
      <c r="H1111" s="3">
        <f>IF(ISNUMBER(AVERAGE('20250815_ETF_Options_Exhibits'!H1107:H1111)),AVERAGE('20250815_ETF_Options_Exhibits'!H1107:H1111),"")</f>
        <v/>
      </c>
      <c r="I1111" s="3">
        <f>IF(ISNUMBER(AVERAGE('20250815_ETF_Options_Exhibits'!I1107:I1111)),AVERAGE('20250815_ETF_Options_Exhibits'!I1107:I1111),"")</f>
        <v/>
      </c>
      <c r="J1111" s="3">
        <f>IF(ISNUMBER(AVERAGE('20250815_ETF_Options_Exhibits'!J1107:J1111)),AVERAGE('20250815_ETF_Options_Exhibits'!J1107:J1111),"")</f>
        <v/>
      </c>
      <c r="K1111" s="3">
        <f>IF(ISNUMBER(AVERAGE('20250815_ETF_Options_Exhibits'!K1107:K1111)),AVERAGE('20250815_ETF_Options_Exhibits'!K1107:K1111),"")</f>
        <v/>
      </c>
      <c r="L1111" s="3">
        <f>IF(ISNUMBER(AVERAGE('20250815_ETF_Options_Exhibits'!L1107:L1111)),AVERAGE('20250815_ETF_Options_Exhibits'!L1107:L1111),"")</f>
        <v/>
      </c>
      <c r="M1111" s="3">
        <f>IF(ISNUMBER(AVERAGE('20250815_ETF_Options_Exhibits'!M1107:M1111)),AVERAGE('20250815_ETF_Options_Exhibits'!M1107:M1111),"")</f>
        <v/>
      </c>
      <c r="N1111" s="3">
        <f>IF(ISNUMBER(AVERAGE('20250815_ETF_Options_Exhibits'!N1107:N1111)),AVERAGE('20250815_ETF_Options_Exhibits'!N1107:N1111),"")</f>
        <v/>
      </c>
      <c r="O1111" s="3">
        <f>IF(ISNUMBER(AVERAGE('20250815_ETF_Options_Exhibits'!O1107:O1111)),AVERAGE('20250815_ETF_Options_Exhibits'!O1107:O1111),"")</f>
        <v/>
      </c>
      <c r="P1111" s="3">
        <f>IF(ISNUMBER(AVERAGE('20250815_ETF_Options_Exhibits'!P1107:P1111)),AVERAGE('20250815_ETF_Options_Exhibits'!P1107:P1111),"")</f>
        <v/>
      </c>
      <c r="Q1111" s="3">
        <f>IF(ISNUMBER(AVERAGE('20250815_ETF_Options_Exhibits'!Q1107:Q1111)),AVERAGE('20250815_ETF_Options_Exhibits'!Q1107:Q1111),"")</f>
        <v/>
      </c>
      <c r="R1111" s="3">
        <f>IF(ISNUMBER(AVERAGE('20250815_ETF_Options_Exhibits'!R1107:R1111)),AVERAGE('20250815_ETF_Options_Exhibits'!R1107:R1111),"")</f>
        <v/>
      </c>
      <c r="S1111" s="3">
        <f>IF(ISNUMBER(AVERAGE('20250815_ETF_Options_Exhibits'!S1107:S1111)),AVERAGE('20250815_ETF_Options_Exhibits'!S1107:S1111),"")</f>
        <v/>
      </c>
      <c r="T1111" s="3">
        <f>IF(ISNUMBER(AVERAGE('20250815_ETF_Options_Exhibits'!T1107:T1111)),AVERAGE('20250815_ETF_Options_Exhibits'!T1107:T1111),"")</f>
        <v/>
      </c>
      <c r="U1111" s="3">
        <f>IF(ISNUMBER(AVERAGE('20250815_ETF_Options_Exhibits'!U1107:U1111)),AVERAGE('20250815_ETF_Options_Exhibits'!U1107:U1111),"")</f>
        <v/>
      </c>
      <c r="V1111" s="3">
        <f>IF(ISNUMBER(AVERAGE('20250815_ETF_Options_Exhibits'!V1107:V1111)),AVERAGE('20250815_ETF_Options_Exhibits'!V1107:V1111),"")</f>
        <v/>
      </c>
      <c r="W1111" s="3">
        <f>IF(ISNUMBER(AVERAGE('20250815_ETF_Options_Exhibits'!W1107:W1111)),AVERAGE('20250815_ETF_Options_Exhibits'!W1107:W1111),"")</f>
        <v/>
      </c>
      <c r="X1111" s="3">
        <f>IF(ISNUMBER(AVERAGE('20250815_ETF_Options_Exhibits'!X1107:X1111)),AVERAGE('20250815_ETF_Options_Exhibits'!X1107:X1111),"")</f>
        <v/>
      </c>
      <c r="Y1111" s="3">
        <f>IF(ISNUMBER(AVERAGE('20250815_ETF_Options_Exhibits'!Y1107:Y1111)),AVERAGE('20250815_ETF_Options_Exhibits'!Y1107:Y1111),"")</f>
        <v/>
      </c>
      <c r="Z1111" s="3">
        <f>IF(ISNUMBER(AVERAGE('20250815_ETF_Options_Exhibits'!Z1107:Z1111)),AVERAGE('20250815_ETF_Options_Exhibits'!Z1107:Z1111),"")</f>
        <v/>
      </c>
      <c r="AA1111" s="3">
        <f>IF(ISNUMBER(AVERAGE('20250815_ETF_Options_Exhibits'!AA1107:AA1111)),AVERAGE('20250815_ETF_Options_Exhibits'!AA1107:AA1111),"")</f>
        <v/>
      </c>
    </row>
    <row r="1112">
      <c r="A1112" s="1" t="n">
        <v>43616</v>
      </c>
      <c r="B1112" s="3">
        <f>IF(ISNUMBER(AVERAGE('20250815_ETF_Options_Exhibits'!B1108:B1112)),AVERAGE('20250815_ETF_Options_Exhibits'!B1108:B1112),"")</f>
        <v/>
      </c>
      <c r="C1112" s="3">
        <f>IF(ISNUMBER(AVERAGE('20250815_ETF_Options_Exhibits'!C1108:C1112)),AVERAGE('20250815_ETF_Options_Exhibits'!C1108:C1112),"")</f>
        <v/>
      </c>
      <c r="D1112" s="3">
        <f>IF(ISNUMBER(AVERAGE('20250815_ETF_Options_Exhibits'!D1108:D1112)),AVERAGE('20250815_ETF_Options_Exhibits'!D1108:D1112),"")</f>
        <v/>
      </c>
      <c r="E1112" s="3">
        <f>IF(ISNUMBER(AVERAGE('20250815_ETF_Options_Exhibits'!E1108:E1112)),AVERAGE('20250815_ETF_Options_Exhibits'!E1108:E1112),"")</f>
        <v/>
      </c>
      <c r="F1112" s="3">
        <f>IF(ISNUMBER(AVERAGE('20250815_ETF_Options_Exhibits'!F1108:F1112)),AVERAGE('20250815_ETF_Options_Exhibits'!F1108:F1112),"")</f>
        <v/>
      </c>
      <c r="G1112" s="3">
        <f>IF(ISNUMBER(AVERAGE('20250815_ETF_Options_Exhibits'!G1108:G1112)),AVERAGE('20250815_ETF_Options_Exhibits'!G1108:G1112),"")</f>
        <v/>
      </c>
      <c r="H1112" s="3">
        <f>IF(ISNUMBER(AVERAGE('20250815_ETF_Options_Exhibits'!H1108:H1112)),AVERAGE('20250815_ETF_Options_Exhibits'!H1108:H1112),"")</f>
        <v/>
      </c>
      <c r="I1112" s="3">
        <f>IF(ISNUMBER(AVERAGE('20250815_ETF_Options_Exhibits'!I1108:I1112)),AVERAGE('20250815_ETF_Options_Exhibits'!I1108:I1112),"")</f>
        <v/>
      </c>
      <c r="J1112" s="3">
        <f>IF(ISNUMBER(AVERAGE('20250815_ETF_Options_Exhibits'!J1108:J1112)),AVERAGE('20250815_ETF_Options_Exhibits'!J1108:J1112),"")</f>
        <v/>
      </c>
      <c r="K1112" s="3">
        <f>IF(ISNUMBER(AVERAGE('20250815_ETF_Options_Exhibits'!K1108:K1112)),AVERAGE('20250815_ETF_Options_Exhibits'!K1108:K1112),"")</f>
        <v/>
      </c>
      <c r="L1112" s="3">
        <f>IF(ISNUMBER(AVERAGE('20250815_ETF_Options_Exhibits'!L1108:L1112)),AVERAGE('20250815_ETF_Options_Exhibits'!L1108:L1112),"")</f>
        <v/>
      </c>
      <c r="M1112" s="3">
        <f>IF(ISNUMBER(AVERAGE('20250815_ETF_Options_Exhibits'!M1108:M1112)),AVERAGE('20250815_ETF_Options_Exhibits'!M1108:M1112),"")</f>
        <v/>
      </c>
      <c r="N1112" s="3">
        <f>IF(ISNUMBER(AVERAGE('20250815_ETF_Options_Exhibits'!N1108:N1112)),AVERAGE('20250815_ETF_Options_Exhibits'!N1108:N1112),"")</f>
        <v/>
      </c>
      <c r="O1112" s="3">
        <f>IF(ISNUMBER(AVERAGE('20250815_ETF_Options_Exhibits'!O1108:O1112)),AVERAGE('20250815_ETF_Options_Exhibits'!O1108:O1112),"")</f>
        <v/>
      </c>
      <c r="P1112" s="3">
        <f>IF(ISNUMBER(AVERAGE('20250815_ETF_Options_Exhibits'!P1108:P1112)),AVERAGE('20250815_ETF_Options_Exhibits'!P1108:P1112),"")</f>
        <v/>
      </c>
      <c r="Q1112" s="3">
        <f>IF(ISNUMBER(AVERAGE('20250815_ETF_Options_Exhibits'!Q1108:Q1112)),AVERAGE('20250815_ETF_Options_Exhibits'!Q1108:Q1112),"")</f>
        <v/>
      </c>
      <c r="R1112" s="3">
        <f>IF(ISNUMBER(AVERAGE('20250815_ETF_Options_Exhibits'!R1108:R1112)),AVERAGE('20250815_ETF_Options_Exhibits'!R1108:R1112),"")</f>
        <v/>
      </c>
      <c r="S1112" s="3">
        <f>IF(ISNUMBER(AVERAGE('20250815_ETF_Options_Exhibits'!S1108:S1112)),AVERAGE('20250815_ETF_Options_Exhibits'!S1108:S1112),"")</f>
        <v/>
      </c>
      <c r="T1112" s="3">
        <f>IF(ISNUMBER(AVERAGE('20250815_ETF_Options_Exhibits'!T1108:T1112)),AVERAGE('20250815_ETF_Options_Exhibits'!T1108:T1112),"")</f>
        <v/>
      </c>
      <c r="U1112" s="3">
        <f>IF(ISNUMBER(AVERAGE('20250815_ETF_Options_Exhibits'!U1108:U1112)),AVERAGE('20250815_ETF_Options_Exhibits'!U1108:U1112),"")</f>
        <v/>
      </c>
      <c r="V1112" s="3">
        <f>IF(ISNUMBER(AVERAGE('20250815_ETF_Options_Exhibits'!V1108:V1112)),AVERAGE('20250815_ETF_Options_Exhibits'!V1108:V1112),"")</f>
        <v/>
      </c>
      <c r="W1112" s="3">
        <f>IF(ISNUMBER(AVERAGE('20250815_ETF_Options_Exhibits'!W1108:W1112)),AVERAGE('20250815_ETF_Options_Exhibits'!W1108:W1112),"")</f>
        <v/>
      </c>
      <c r="X1112" s="3">
        <f>IF(ISNUMBER(AVERAGE('20250815_ETF_Options_Exhibits'!X1108:X1112)),AVERAGE('20250815_ETF_Options_Exhibits'!X1108:X1112),"")</f>
        <v/>
      </c>
      <c r="Y1112" s="3">
        <f>IF(ISNUMBER(AVERAGE('20250815_ETF_Options_Exhibits'!Y1108:Y1112)),AVERAGE('20250815_ETF_Options_Exhibits'!Y1108:Y1112),"")</f>
        <v/>
      </c>
      <c r="Z1112" s="3">
        <f>IF(ISNUMBER(AVERAGE('20250815_ETF_Options_Exhibits'!Z1108:Z1112)),AVERAGE('20250815_ETF_Options_Exhibits'!Z1108:Z1112),"")</f>
        <v/>
      </c>
      <c r="AA1112" s="3">
        <f>IF(ISNUMBER(AVERAGE('20250815_ETF_Options_Exhibits'!AA1108:AA1112)),AVERAGE('20250815_ETF_Options_Exhibits'!AA1108:AA1112),"")</f>
        <v/>
      </c>
    </row>
    <row r="1113">
      <c r="A1113" s="1" t="n">
        <v>43619</v>
      </c>
      <c r="B1113" s="3">
        <f>IF(ISNUMBER(AVERAGE('20250815_ETF_Options_Exhibits'!B1109:B1113)),AVERAGE('20250815_ETF_Options_Exhibits'!B1109:B1113),"")</f>
        <v/>
      </c>
      <c r="C1113" s="3">
        <f>IF(ISNUMBER(AVERAGE('20250815_ETF_Options_Exhibits'!C1109:C1113)),AVERAGE('20250815_ETF_Options_Exhibits'!C1109:C1113),"")</f>
        <v/>
      </c>
      <c r="D1113" s="3">
        <f>IF(ISNUMBER(AVERAGE('20250815_ETF_Options_Exhibits'!D1109:D1113)),AVERAGE('20250815_ETF_Options_Exhibits'!D1109:D1113),"")</f>
        <v/>
      </c>
      <c r="E1113" s="3">
        <f>IF(ISNUMBER(AVERAGE('20250815_ETF_Options_Exhibits'!E1109:E1113)),AVERAGE('20250815_ETF_Options_Exhibits'!E1109:E1113),"")</f>
        <v/>
      </c>
      <c r="F1113" s="3">
        <f>IF(ISNUMBER(AVERAGE('20250815_ETF_Options_Exhibits'!F1109:F1113)),AVERAGE('20250815_ETF_Options_Exhibits'!F1109:F1113),"")</f>
        <v/>
      </c>
      <c r="G1113" s="3">
        <f>IF(ISNUMBER(AVERAGE('20250815_ETF_Options_Exhibits'!G1109:G1113)),AVERAGE('20250815_ETF_Options_Exhibits'!G1109:G1113),"")</f>
        <v/>
      </c>
      <c r="H1113" s="3">
        <f>IF(ISNUMBER(AVERAGE('20250815_ETF_Options_Exhibits'!H1109:H1113)),AVERAGE('20250815_ETF_Options_Exhibits'!H1109:H1113),"")</f>
        <v/>
      </c>
      <c r="I1113" s="3">
        <f>IF(ISNUMBER(AVERAGE('20250815_ETF_Options_Exhibits'!I1109:I1113)),AVERAGE('20250815_ETF_Options_Exhibits'!I1109:I1113),"")</f>
        <v/>
      </c>
      <c r="J1113" s="3">
        <f>IF(ISNUMBER(AVERAGE('20250815_ETF_Options_Exhibits'!J1109:J1113)),AVERAGE('20250815_ETF_Options_Exhibits'!J1109:J1113),"")</f>
        <v/>
      </c>
      <c r="K1113" s="3">
        <f>IF(ISNUMBER(AVERAGE('20250815_ETF_Options_Exhibits'!K1109:K1113)),AVERAGE('20250815_ETF_Options_Exhibits'!K1109:K1113),"")</f>
        <v/>
      </c>
      <c r="L1113" s="3">
        <f>IF(ISNUMBER(AVERAGE('20250815_ETF_Options_Exhibits'!L1109:L1113)),AVERAGE('20250815_ETF_Options_Exhibits'!L1109:L1113),"")</f>
        <v/>
      </c>
      <c r="M1113" s="3">
        <f>IF(ISNUMBER(AVERAGE('20250815_ETF_Options_Exhibits'!M1109:M1113)),AVERAGE('20250815_ETF_Options_Exhibits'!M1109:M1113),"")</f>
        <v/>
      </c>
      <c r="N1113" s="3">
        <f>IF(ISNUMBER(AVERAGE('20250815_ETF_Options_Exhibits'!N1109:N1113)),AVERAGE('20250815_ETF_Options_Exhibits'!N1109:N1113),"")</f>
        <v/>
      </c>
      <c r="O1113" s="3">
        <f>IF(ISNUMBER(AVERAGE('20250815_ETF_Options_Exhibits'!O1109:O1113)),AVERAGE('20250815_ETF_Options_Exhibits'!O1109:O1113),"")</f>
        <v/>
      </c>
      <c r="P1113" s="3">
        <f>IF(ISNUMBER(AVERAGE('20250815_ETF_Options_Exhibits'!P1109:P1113)),AVERAGE('20250815_ETF_Options_Exhibits'!P1109:P1113),"")</f>
        <v/>
      </c>
      <c r="Q1113" s="3">
        <f>IF(ISNUMBER(AVERAGE('20250815_ETF_Options_Exhibits'!Q1109:Q1113)),AVERAGE('20250815_ETF_Options_Exhibits'!Q1109:Q1113),"")</f>
        <v/>
      </c>
      <c r="R1113" s="3">
        <f>IF(ISNUMBER(AVERAGE('20250815_ETF_Options_Exhibits'!R1109:R1113)),AVERAGE('20250815_ETF_Options_Exhibits'!R1109:R1113),"")</f>
        <v/>
      </c>
      <c r="S1113" s="3">
        <f>IF(ISNUMBER(AVERAGE('20250815_ETF_Options_Exhibits'!S1109:S1113)),AVERAGE('20250815_ETF_Options_Exhibits'!S1109:S1113),"")</f>
        <v/>
      </c>
      <c r="T1113" s="3">
        <f>IF(ISNUMBER(AVERAGE('20250815_ETF_Options_Exhibits'!T1109:T1113)),AVERAGE('20250815_ETF_Options_Exhibits'!T1109:T1113),"")</f>
        <v/>
      </c>
      <c r="U1113" s="3">
        <f>IF(ISNUMBER(AVERAGE('20250815_ETF_Options_Exhibits'!U1109:U1113)),AVERAGE('20250815_ETF_Options_Exhibits'!U1109:U1113),"")</f>
        <v/>
      </c>
      <c r="V1113" s="3">
        <f>IF(ISNUMBER(AVERAGE('20250815_ETF_Options_Exhibits'!V1109:V1113)),AVERAGE('20250815_ETF_Options_Exhibits'!V1109:V1113),"")</f>
        <v/>
      </c>
      <c r="W1113" s="3">
        <f>IF(ISNUMBER(AVERAGE('20250815_ETF_Options_Exhibits'!W1109:W1113)),AVERAGE('20250815_ETF_Options_Exhibits'!W1109:W1113),"")</f>
        <v/>
      </c>
      <c r="X1113" s="3">
        <f>IF(ISNUMBER(AVERAGE('20250815_ETF_Options_Exhibits'!X1109:X1113)),AVERAGE('20250815_ETF_Options_Exhibits'!X1109:X1113),"")</f>
        <v/>
      </c>
      <c r="Y1113" s="3">
        <f>IF(ISNUMBER(AVERAGE('20250815_ETF_Options_Exhibits'!Y1109:Y1113)),AVERAGE('20250815_ETF_Options_Exhibits'!Y1109:Y1113),"")</f>
        <v/>
      </c>
      <c r="Z1113" s="3">
        <f>IF(ISNUMBER(AVERAGE('20250815_ETF_Options_Exhibits'!Z1109:Z1113)),AVERAGE('20250815_ETF_Options_Exhibits'!Z1109:Z1113),"")</f>
        <v/>
      </c>
      <c r="AA1113" s="3">
        <f>IF(ISNUMBER(AVERAGE('20250815_ETF_Options_Exhibits'!AA1109:AA1113)),AVERAGE('20250815_ETF_Options_Exhibits'!AA1109:AA1113),"")</f>
        <v/>
      </c>
    </row>
    <row r="1114">
      <c r="A1114" s="1" t="n">
        <v>43620</v>
      </c>
      <c r="B1114" s="3">
        <f>IF(ISNUMBER(AVERAGE('20250815_ETF_Options_Exhibits'!B1110:B1114)),AVERAGE('20250815_ETF_Options_Exhibits'!B1110:B1114),"")</f>
        <v/>
      </c>
      <c r="C1114" s="3">
        <f>IF(ISNUMBER(AVERAGE('20250815_ETF_Options_Exhibits'!C1110:C1114)),AVERAGE('20250815_ETF_Options_Exhibits'!C1110:C1114),"")</f>
        <v/>
      </c>
      <c r="D1114" s="3">
        <f>IF(ISNUMBER(AVERAGE('20250815_ETF_Options_Exhibits'!D1110:D1114)),AVERAGE('20250815_ETF_Options_Exhibits'!D1110:D1114),"")</f>
        <v/>
      </c>
      <c r="E1114" s="3">
        <f>IF(ISNUMBER(AVERAGE('20250815_ETF_Options_Exhibits'!E1110:E1114)),AVERAGE('20250815_ETF_Options_Exhibits'!E1110:E1114),"")</f>
        <v/>
      </c>
      <c r="F1114" s="3">
        <f>IF(ISNUMBER(AVERAGE('20250815_ETF_Options_Exhibits'!F1110:F1114)),AVERAGE('20250815_ETF_Options_Exhibits'!F1110:F1114),"")</f>
        <v/>
      </c>
      <c r="G1114" s="3">
        <f>IF(ISNUMBER(AVERAGE('20250815_ETF_Options_Exhibits'!G1110:G1114)),AVERAGE('20250815_ETF_Options_Exhibits'!G1110:G1114),"")</f>
        <v/>
      </c>
      <c r="H1114" s="3">
        <f>IF(ISNUMBER(AVERAGE('20250815_ETF_Options_Exhibits'!H1110:H1114)),AVERAGE('20250815_ETF_Options_Exhibits'!H1110:H1114),"")</f>
        <v/>
      </c>
      <c r="I1114" s="3">
        <f>IF(ISNUMBER(AVERAGE('20250815_ETF_Options_Exhibits'!I1110:I1114)),AVERAGE('20250815_ETF_Options_Exhibits'!I1110:I1114),"")</f>
        <v/>
      </c>
      <c r="J1114" s="3">
        <f>IF(ISNUMBER(AVERAGE('20250815_ETF_Options_Exhibits'!J1110:J1114)),AVERAGE('20250815_ETF_Options_Exhibits'!J1110:J1114),"")</f>
        <v/>
      </c>
      <c r="K1114" s="3">
        <f>IF(ISNUMBER(AVERAGE('20250815_ETF_Options_Exhibits'!K1110:K1114)),AVERAGE('20250815_ETF_Options_Exhibits'!K1110:K1114),"")</f>
        <v/>
      </c>
      <c r="L1114" s="3">
        <f>IF(ISNUMBER(AVERAGE('20250815_ETF_Options_Exhibits'!L1110:L1114)),AVERAGE('20250815_ETF_Options_Exhibits'!L1110:L1114),"")</f>
        <v/>
      </c>
      <c r="M1114" s="3">
        <f>IF(ISNUMBER(AVERAGE('20250815_ETF_Options_Exhibits'!M1110:M1114)),AVERAGE('20250815_ETF_Options_Exhibits'!M1110:M1114),"")</f>
        <v/>
      </c>
      <c r="N1114" s="3">
        <f>IF(ISNUMBER(AVERAGE('20250815_ETF_Options_Exhibits'!N1110:N1114)),AVERAGE('20250815_ETF_Options_Exhibits'!N1110:N1114),"")</f>
        <v/>
      </c>
      <c r="O1114" s="3">
        <f>IF(ISNUMBER(AVERAGE('20250815_ETF_Options_Exhibits'!O1110:O1114)),AVERAGE('20250815_ETF_Options_Exhibits'!O1110:O1114),"")</f>
        <v/>
      </c>
      <c r="P1114" s="3">
        <f>IF(ISNUMBER(AVERAGE('20250815_ETF_Options_Exhibits'!P1110:P1114)),AVERAGE('20250815_ETF_Options_Exhibits'!P1110:P1114),"")</f>
        <v/>
      </c>
      <c r="Q1114" s="3">
        <f>IF(ISNUMBER(AVERAGE('20250815_ETF_Options_Exhibits'!Q1110:Q1114)),AVERAGE('20250815_ETF_Options_Exhibits'!Q1110:Q1114),"")</f>
        <v/>
      </c>
      <c r="R1114" s="3">
        <f>IF(ISNUMBER(AVERAGE('20250815_ETF_Options_Exhibits'!R1110:R1114)),AVERAGE('20250815_ETF_Options_Exhibits'!R1110:R1114),"")</f>
        <v/>
      </c>
      <c r="S1114" s="3">
        <f>IF(ISNUMBER(AVERAGE('20250815_ETF_Options_Exhibits'!S1110:S1114)),AVERAGE('20250815_ETF_Options_Exhibits'!S1110:S1114),"")</f>
        <v/>
      </c>
      <c r="T1114" s="3">
        <f>IF(ISNUMBER(AVERAGE('20250815_ETF_Options_Exhibits'!T1110:T1114)),AVERAGE('20250815_ETF_Options_Exhibits'!T1110:T1114),"")</f>
        <v/>
      </c>
      <c r="U1114" s="3">
        <f>IF(ISNUMBER(AVERAGE('20250815_ETF_Options_Exhibits'!U1110:U1114)),AVERAGE('20250815_ETF_Options_Exhibits'!U1110:U1114),"")</f>
        <v/>
      </c>
      <c r="V1114" s="3">
        <f>IF(ISNUMBER(AVERAGE('20250815_ETF_Options_Exhibits'!V1110:V1114)),AVERAGE('20250815_ETF_Options_Exhibits'!V1110:V1114),"")</f>
        <v/>
      </c>
      <c r="W1114" s="3">
        <f>IF(ISNUMBER(AVERAGE('20250815_ETF_Options_Exhibits'!W1110:W1114)),AVERAGE('20250815_ETF_Options_Exhibits'!W1110:W1114),"")</f>
        <v/>
      </c>
      <c r="X1114" s="3">
        <f>IF(ISNUMBER(AVERAGE('20250815_ETF_Options_Exhibits'!X1110:X1114)),AVERAGE('20250815_ETF_Options_Exhibits'!X1110:X1114),"")</f>
        <v/>
      </c>
      <c r="Y1114" s="3">
        <f>IF(ISNUMBER(AVERAGE('20250815_ETF_Options_Exhibits'!Y1110:Y1114)),AVERAGE('20250815_ETF_Options_Exhibits'!Y1110:Y1114),"")</f>
        <v/>
      </c>
      <c r="Z1114" s="3">
        <f>IF(ISNUMBER(AVERAGE('20250815_ETF_Options_Exhibits'!Z1110:Z1114)),AVERAGE('20250815_ETF_Options_Exhibits'!Z1110:Z1114),"")</f>
        <v/>
      </c>
      <c r="AA1114" s="3">
        <f>IF(ISNUMBER(AVERAGE('20250815_ETF_Options_Exhibits'!AA1110:AA1114)),AVERAGE('20250815_ETF_Options_Exhibits'!AA1110:AA1114),"")</f>
        <v/>
      </c>
    </row>
    <row r="1115">
      <c r="A1115" s="1" t="n">
        <v>43621</v>
      </c>
      <c r="B1115" s="3">
        <f>IF(ISNUMBER(AVERAGE('20250815_ETF_Options_Exhibits'!B1111:B1115)),AVERAGE('20250815_ETF_Options_Exhibits'!B1111:B1115),"")</f>
        <v/>
      </c>
      <c r="C1115" s="3">
        <f>IF(ISNUMBER(AVERAGE('20250815_ETF_Options_Exhibits'!C1111:C1115)),AVERAGE('20250815_ETF_Options_Exhibits'!C1111:C1115),"")</f>
        <v/>
      </c>
      <c r="D1115" s="3">
        <f>IF(ISNUMBER(AVERAGE('20250815_ETF_Options_Exhibits'!D1111:D1115)),AVERAGE('20250815_ETF_Options_Exhibits'!D1111:D1115),"")</f>
        <v/>
      </c>
      <c r="E1115" s="3">
        <f>IF(ISNUMBER(AVERAGE('20250815_ETF_Options_Exhibits'!E1111:E1115)),AVERAGE('20250815_ETF_Options_Exhibits'!E1111:E1115),"")</f>
        <v/>
      </c>
      <c r="F1115" s="3">
        <f>IF(ISNUMBER(AVERAGE('20250815_ETF_Options_Exhibits'!F1111:F1115)),AVERAGE('20250815_ETF_Options_Exhibits'!F1111:F1115),"")</f>
        <v/>
      </c>
      <c r="G1115" s="3">
        <f>IF(ISNUMBER(AVERAGE('20250815_ETF_Options_Exhibits'!G1111:G1115)),AVERAGE('20250815_ETF_Options_Exhibits'!G1111:G1115),"")</f>
        <v/>
      </c>
      <c r="H1115" s="3">
        <f>IF(ISNUMBER(AVERAGE('20250815_ETF_Options_Exhibits'!H1111:H1115)),AVERAGE('20250815_ETF_Options_Exhibits'!H1111:H1115),"")</f>
        <v/>
      </c>
      <c r="I1115" s="3">
        <f>IF(ISNUMBER(AVERAGE('20250815_ETF_Options_Exhibits'!I1111:I1115)),AVERAGE('20250815_ETF_Options_Exhibits'!I1111:I1115),"")</f>
        <v/>
      </c>
      <c r="J1115" s="3">
        <f>IF(ISNUMBER(AVERAGE('20250815_ETF_Options_Exhibits'!J1111:J1115)),AVERAGE('20250815_ETF_Options_Exhibits'!J1111:J1115),"")</f>
        <v/>
      </c>
      <c r="K1115" s="3">
        <f>IF(ISNUMBER(AVERAGE('20250815_ETF_Options_Exhibits'!K1111:K1115)),AVERAGE('20250815_ETF_Options_Exhibits'!K1111:K1115),"")</f>
        <v/>
      </c>
      <c r="L1115" s="3">
        <f>IF(ISNUMBER(AVERAGE('20250815_ETF_Options_Exhibits'!L1111:L1115)),AVERAGE('20250815_ETF_Options_Exhibits'!L1111:L1115),"")</f>
        <v/>
      </c>
      <c r="M1115" s="3">
        <f>IF(ISNUMBER(AVERAGE('20250815_ETF_Options_Exhibits'!M1111:M1115)),AVERAGE('20250815_ETF_Options_Exhibits'!M1111:M1115),"")</f>
        <v/>
      </c>
      <c r="N1115" s="3">
        <f>IF(ISNUMBER(AVERAGE('20250815_ETF_Options_Exhibits'!N1111:N1115)),AVERAGE('20250815_ETF_Options_Exhibits'!N1111:N1115),"")</f>
        <v/>
      </c>
      <c r="O1115" s="3">
        <f>IF(ISNUMBER(AVERAGE('20250815_ETF_Options_Exhibits'!O1111:O1115)),AVERAGE('20250815_ETF_Options_Exhibits'!O1111:O1115),"")</f>
        <v/>
      </c>
      <c r="P1115" s="3">
        <f>IF(ISNUMBER(AVERAGE('20250815_ETF_Options_Exhibits'!P1111:P1115)),AVERAGE('20250815_ETF_Options_Exhibits'!P1111:P1115),"")</f>
        <v/>
      </c>
      <c r="Q1115" s="3">
        <f>IF(ISNUMBER(AVERAGE('20250815_ETF_Options_Exhibits'!Q1111:Q1115)),AVERAGE('20250815_ETF_Options_Exhibits'!Q1111:Q1115),"")</f>
        <v/>
      </c>
      <c r="R1115" s="3">
        <f>IF(ISNUMBER(AVERAGE('20250815_ETF_Options_Exhibits'!R1111:R1115)),AVERAGE('20250815_ETF_Options_Exhibits'!R1111:R1115),"")</f>
        <v/>
      </c>
      <c r="S1115" s="3">
        <f>IF(ISNUMBER(AVERAGE('20250815_ETF_Options_Exhibits'!S1111:S1115)),AVERAGE('20250815_ETF_Options_Exhibits'!S1111:S1115),"")</f>
        <v/>
      </c>
      <c r="T1115" s="3">
        <f>IF(ISNUMBER(AVERAGE('20250815_ETF_Options_Exhibits'!T1111:T1115)),AVERAGE('20250815_ETF_Options_Exhibits'!T1111:T1115),"")</f>
        <v/>
      </c>
      <c r="U1115" s="3">
        <f>IF(ISNUMBER(AVERAGE('20250815_ETF_Options_Exhibits'!U1111:U1115)),AVERAGE('20250815_ETF_Options_Exhibits'!U1111:U1115),"")</f>
        <v/>
      </c>
      <c r="V1115" s="3">
        <f>IF(ISNUMBER(AVERAGE('20250815_ETF_Options_Exhibits'!V1111:V1115)),AVERAGE('20250815_ETF_Options_Exhibits'!V1111:V1115),"")</f>
        <v/>
      </c>
      <c r="W1115" s="3">
        <f>IF(ISNUMBER(AVERAGE('20250815_ETF_Options_Exhibits'!W1111:W1115)),AVERAGE('20250815_ETF_Options_Exhibits'!W1111:W1115),"")</f>
        <v/>
      </c>
      <c r="X1115" s="3">
        <f>IF(ISNUMBER(AVERAGE('20250815_ETF_Options_Exhibits'!X1111:X1115)),AVERAGE('20250815_ETF_Options_Exhibits'!X1111:X1115),"")</f>
        <v/>
      </c>
      <c r="Y1115" s="3">
        <f>IF(ISNUMBER(AVERAGE('20250815_ETF_Options_Exhibits'!Y1111:Y1115)),AVERAGE('20250815_ETF_Options_Exhibits'!Y1111:Y1115),"")</f>
        <v/>
      </c>
      <c r="Z1115" s="3">
        <f>IF(ISNUMBER(AVERAGE('20250815_ETF_Options_Exhibits'!Z1111:Z1115)),AVERAGE('20250815_ETF_Options_Exhibits'!Z1111:Z1115),"")</f>
        <v/>
      </c>
      <c r="AA1115" s="3">
        <f>IF(ISNUMBER(AVERAGE('20250815_ETF_Options_Exhibits'!AA1111:AA1115)),AVERAGE('20250815_ETF_Options_Exhibits'!AA1111:AA1115),"")</f>
        <v/>
      </c>
    </row>
    <row r="1116">
      <c r="A1116" s="1" t="n">
        <v>43622</v>
      </c>
      <c r="B1116" s="3">
        <f>IF(ISNUMBER(AVERAGE('20250815_ETF_Options_Exhibits'!B1112:B1116)),AVERAGE('20250815_ETF_Options_Exhibits'!B1112:B1116),"")</f>
        <v/>
      </c>
      <c r="C1116" s="3">
        <f>IF(ISNUMBER(AVERAGE('20250815_ETF_Options_Exhibits'!C1112:C1116)),AVERAGE('20250815_ETF_Options_Exhibits'!C1112:C1116),"")</f>
        <v/>
      </c>
      <c r="D1116" s="3">
        <f>IF(ISNUMBER(AVERAGE('20250815_ETF_Options_Exhibits'!D1112:D1116)),AVERAGE('20250815_ETF_Options_Exhibits'!D1112:D1116),"")</f>
        <v/>
      </c>
      <c r="E1116" s="3">
        <f>IF(ISNUMBER(AVERAGE('20250815_ETF_Options_Exhibits'!E1112:E1116)),AVERAGE('20250815_ETF_Options_Exhibits'!E1112:E1116),"")</f>
        <v/>
      </c>
      <c r="F1116" s="3">
        <f>IF(ISNUMBER(AVERAGE('20250815_ETF_Options_Exhibits'!F1112:F1116)),AVERAGE('20250815_ETF_Options_Exhibits'!F1112:F1116),"")</f>
        <v/>
      </c>
      <c r="G1116" s="3">
        <f>IF(ISNUMBER(AVERAGE('20250815_ETF_Options_Exhibits'!G1112:G1116)),AVERAGE('20250815_ETF_Options_Exhibits'!G1112:G1116),"")</f>
        <v/>
      </c>
      <c r="H1116" s="3">
        <f>IF(ISNUMBER(AVERAGE('20250815_ETF_Options_Exhibits'!H1112:H1116)),AVERAGE('20250815_ETF_Options_Exhibits'!H1112:H1116),"")</f>
        <v/>
      </c>
      <c r="I1116" s="3">
        <f>IF(ISNUMBER(AVERAGE('20250815_ETF_Options_Exhibits'!I1112:I1116)),AVERAGE('20250815_ETF_Options_Exhibits'!I1112:I1116),"")</f>
        <v/>
      </c>
      <c r="J1116" s="3">
        <f>IF(ISNUMBER(AVERAGE('20250815_ETF_Options_Exhibits'!J1112:J1116)),AVERAGE('20250815_ETF_Options_Exhibits'!J1112:J1116),"")</f>
        <v/>
      </c>
      <c r="K1116" s="3">
        <f>IF(ISNUMBER(AVERAGE('20250815_ETF_Options_Exhibits'!K1112:K1116)),AVERAGE('20250815_ETF_Options_Exhibits'!K1112:K1116),"")</f>
        <v/>
      </c>
      <c r="L1116" s="3">
        <f>IF(ISNUMBER(AVERAGE('20250815_ETF_Options_Exhibits'!L1112:L1116)),AVERAGE('20250815_ETF_Options_Exhibits'!L1112:L1116),"")</f>
        <v/>
      </c>
      <c r="M1116" s="3">
        <f>IF(ISNUMBER(AVERAGE('20250815_ETF_Options_Exhibits'!M1112:M1116)),AVERAGE('20250815_ETF_Options_Exhibits'!M1112:M1116),"")</f>
        <v/>
      </c>
      <c r="N1116" s="3">
        <f>IF(ISNUMBER(AVERAGE('20250815_ETF_Options_Exhibits'!N1112:N1116)),AVERAGE('20250815_ETF_Options_Exhibits'!N1112:N1116),"")</f>
        <v/>
      </c>
      <c r="O1116" s="3">
        <f>IF(ISNUMBER(AVERAGE('20250815_ETF_Options_Exhibits'!O1112:O1116)),AVERAGE('20250815_ETF_Options_Exhibits'!O1112:O1116),"")</f>
        <v/>
      </c>
      <c r="P1116" s="3">
        <f>IF(ISNUMBER(AVERAGE('20250815_ETF_Options_Exhibits'!P1112:P1116)),AVERAGE('20250815_ETF_Options_Exhibits'!P1112:P1116),"")</f>
        <v/>
      </c>
      <c r="Q1116" s="3">
        <f>IF(ISNUMBER(AVERAGE('20250815_ETF_Options_Exhibits'!Q1112:Q1116)),AVERAGE('20250815_ETF_Options_Exhibits'!Q1112:Q1116),"")</f>
        <v/>
      </c>
      <c r="R1116" s="3">
        <f>IF(ISNUMBER(AVERAGE('20250815_ETF_Options_Exhibits'!R1112:R1116)),AVERAGE('20250815_ETF_Options_Exhibits'!R1112:R1116),"")</f>
        <v/>
      </c>
      <c r="S1116" s="3">
        <f>IF(ISNUMBER(AVERAGE('20250815_ETF_Options_Exhibits'!S1112:S1116)),AVERAGE('20250815_ETF_Options_Exhibits'!S1112:S1116),"")</f>
        <v/>
      </c>
      <c r="T1116" s="3">
        <f>IF(ISNUMBER(AVERAGE('20250815_ETF_Options_Exhibits'!T1112:T1116)),AVERAGE('20250815_ETF_Options_Exhibits'!T1112:T1116),"")</f>
        <v/>
      </c>
      <c r="U1116" s="3">
        <f>IF(ISNUMBER(AVERAGE('20250815_ETF_Options_Exhibits'!U1112:U1116)),AVERAGE('20250815_ETF_Options_Exhibits'!U1112:U1116),"")</f>
        <v/>
      </c>
      <c r="V1116" s="3">
        <f>IF(ISNUMBER(AVERAGE('20250815_ETF_Options_Exhibits'!V1112:V1116)),AVERAGE('20250815_ETF_Options_Exhibits'!V1112:V1116),"")</f>
        <v/>
      </c>
      <c r="W1116" s="3">
        <f>IF(ISNUMBER(AVERAGE('20250815_ETF_Options_Exhibits'!W1112:W1116)),AVERAGE('20250815_ETF_Options_Exhibits'!W1112:W1116),"")</f>
        <v/>
      </c>
      <c r="X1116" s="3">
        <f>IF(ISNUMBER(AVERAGE('20250815_ETF_Options_Exhibits'!X1112:X1116)),AVERAGE('20250815_ETF_Options_Exhibits'!X1112:X1116),"")</f>
        <v/>
      </c>
      <c r="Y1116" s="3">
        <f>IF(ISNUMBER(AVERAGE('20250815_ETF_Options_Exhibits'!Y1112:Y1116)),AVERAGE('20250815_ETF_Options_Exhibits'!Y1112:Y1116),"")</f>
        <v/>
      </c>
      <c r="Z1116" s="3">
        <f>IF(ISNUMBER(AVERAGE('20250815_ETF_Options_Exhibits'!Z1112:Z1116)),AVERAGE('20250815_ETF_Options_Exhibits'!Z1112:Z1116),"")</f>
        <v/>
      </c>
      <c r="AA1116" s="3">
        <f>IF(ISNUMBER(AVERAGE('20250815_ETF_Options_Exhibits'!AA1112:AA1116)),AVERAGE('20250815_ETF_Options_Exhibits'!AA1112:AA1116),"")</f>
        <v/>
      </c>
    </row>
    <row r="1117">
      <c r="A1117" s="1" t="n">
        <v>43623</v>
      </c>
      <c r="B1117" s="3">
        <f>IF(ISNUMBER(AVERAGE('20250815_ETF_Options_Exhibits'!B1113:B1117)),AVERAGE('20250815_ETF_Options_Exhibits'!B1113:B1117),"")</f>
        <v/>
      </c>
      <c r="C1117" s="3">
        <f>IF(ISNUMBER(AVERAGE('20250815_ETF_Options_Exhibits'!C1113:C1117)),AVERAGE('20250815_ETF_Options_Exhibits'!C1113:C1117),"")</f>
        <v/>
      </c>
      <c r="D1117" s="3">
        <f>IF(ISNUMBER(AVERAGE('20250815_ETF_Options_Exhibits'!D1113:D1117)),AVERAGE('20250815_ETF_Options_Exhibits'!D1113:D1117),"")</f>
        <v/>
      </c>
      <c r="E1117" s="3">
        <f>IF(ISNUMBER(AVERAGE('20250815_ETF_Options_Exhibits'!E1113:E1117)),AVERAGE('20250815_ETF_Options_Exhibits'!E1113:E1117),"")</f>
        <v/>
      </c>
      <c r="F1117" s="3">
        <f>IF(ISNUMBER(AVERAGE('20250815_ETF_Options_Exhibits'!F1113:F1117)),AVERAGE('20250815_ETF_Options_Exhibits'!F1113:F1117),"")</f>
        <v/>
      </c>
      <c r="G1117" s="3">
        <f>IF(ISNUMBER(AVERAGE('20250815_ETF_Options_Exhibits'!G1113:G1117)),AVERAGE('20250815_ETF_Options_Exhibits'!G1113:G1117),"")</f>
        <v/>
      </c>
      <c r="H1117" s="3">
        <f>IF(ISNUMBER(AVERAGE('20250815_ETF_Options_Exhibits'!H1113:H1117)),AVERAGE('20250815_ETF_Options_Exhibits'!H1113:H1117),"")</f>
        <v/>
      </c>
      <c r="I1117" s="3">
        <f>IF(ISNUMBER(AVERAGE('20250815_ETF_Options_Exhibits'!I1113:I1117)),AVERAGE('20250815_ETF_Options_Exhibits'!I1113:I1117),"")</f>
        <v/>
      </c>
      <c r="J1117" s="3">
        <f>IF(ISNUMBER(AVERAGE('20250815_ETF_Options_Exhibits'!J1113:J1117)),AVERAGE('20250815_ETF_Options_Exhibits'!J1113:J1117),"")</f>
        <v/>
      </c>
      <c r="K1117" s="3">
        <f>IF(ISNUMBER(AVERAGE('20250815_ETF_Options_Exhibits'!K1113:K1117)),AVERAGE('20250815_ETF_Options_Exhibits'!K1113:K1117),"")</f>
        <v/>
      </c>
      <c r="L1117" s="3">
        <f>IF(ISNUMBER(AVERAGE('20250815_ETF_Options_Exhibits'!L1113:L1117)),AVERAGE('20250815_ETF_Options_Exhibits'!L1113:L1117),"")</f>
        <v/>
      </c>
      <c r="M1117" s="3">
        <f>IF(ISNUMBER(AVERAGE('20250815_ETF_Options_Exhibits'!M1113:M1117)),AVERAGE('20250815_ETF_Options_Exhibits'!M1113:M1117),"")</f>
        <v/>
      </c>
      <c r="N1117" s="3">
        <f>IF(ISNUMBER(AVERAGE('20250815_ETF_Options_Exhibits'!N1113:N1117)),AVERAGE('20250815_ETF_Options_Exhibits'!N1113:N1117),"")</f>
        <v/>
      </c>
      <c r="O1117" s="3">
        <f>IF(ISNUMBER(AVERAGE('20250815_ETF_Options_Exhibits'!O1113:O1117)),AVERAGE('20250815_ETF_Options_Exhibits'!O1113:O1117),"")</f>
        <v/>
      </c>
      <c r="P1117" s="3">
        <f>IF(ISNUMBER(AVERAGE('20250815_ETF_Options_Exhibits'!P1113:P1117)),AVERAGE('20250815_ETF_Options_Exhibits'!P1113:P1117),"")</f>
        <v/>
      </c>
      <c r="Q1117" s="3">
        <f>IF(ISNUMBER(AVERAGE('20250815_ETF_Options_Exhibits'!Q1113:Q1117)),AVERAGE('20250815_ETF_Options_Exhibits'!Q1113:Q1117),"")</f>
        <v/>
      </c>
      <c r="R1117" s="3">
        <f>IF(ISNUMBER(AVERAGE('20250815_ETF_Options_Exhibits'!R1113:R1117)),AVERAGE('20250815_ETF_Options_Exhibits'!R1113:R1117),"")</f>
        <v/>
      </c>
      <c r="S1117" s="3">
        <f>IF(ISNUMBER(AVERAGE('20250815_ETF_Options_Exhibits'!S1113:S1117)),AVERAGE('20250815_ETF_Options_Exhibits'!S1113:S1117),"")</f>
        <v/>
      </c>
      <c r="T1117" s="3">
        <f>IF(ISNUMBER(AVERAGE('20250815_ETF_Options_Exhibits'!T1113:T1117)),AVERAGE('20250815_ETF_Options_Exhibits'!T1113:T1117),"")</f>
        <v/>
      </c>
      <c r="U1117" s="3">
        <f>IF(ISNUMBER(AVERAGE('20250815_ETF_Options_Exhibits'!U1113:U1117)),AVERAGE('20250815_ETF_Options_Exhibits'!U1113:U1117),"")</f>
        <v/>
      </c>
      <c r="V1117" s="3">
        <f>IF(ISNUMBER(AVERAGE('20250815_ETF_Options_Exhibits'!V1113:V1117)),AVERAGE('20250815_ETF_Options_Exhibits'!V1113:V1117),"")</f>
        <v/>
      </c>
      <c r="W1117" s="3">
        <f>IF(ISNUMBER(AVERAGE('20250815_ETF_Options_Exhibits'!W1113:W1117)),AVERAGE('20250815_ETF_Options_Exhibits'!W1113:W1117),"")</f>
        <v/>
      </c>
      <c r="X1117" s="3">
        <f>IF(ISNUMBER(AVERAGE('20250815_ETF_Options_Exhibits'!X1113:X1117)),AVERAGE('20250815_ETF_Options_Exhibits'!X1113:X1117),"")</f>
        <v/>
      </c>
      <c r="Y1117" s="3">
        <f>IF(ISNUMBER(AVERAGE('20250815_ETF_Options_Exhibits'!Y1113:Y1117)),AVERAGE('20250815_ETF_Options_Exhibits'!Y1113:Y1117),"")</f>
        <v/>
      </c>
      <c r="Z1117" s="3">
        <f>IF(ISNUMBER(AVERAGE('20250815_ETF_Options_Exhibits'!Z1113:Z1117)),AVERAGE('20250815_ETF_Options_Exhibits'!Z1113:Z1117),"")</f>
        <v/>
      </c>
      <c r="AA1117" s="3">
        <f>IF(ISNUMBER(AVERAGE('20250815_ETF_Options_Exhibits'!AA1113:AA1117)),AVERAGE('20250815_ETF_Options_Exhibits'!AA1113:AA1117),"")</f>
        <v/>
      </c>
    </row>
    <row r="1118">
      <c r="A1118" s="1" t="n">
        <v>43626</v>
      </c>
      <c r="B1118" s="3">
        <f>IF(ISNUMBER(AVERAGE('20250815_ETF_Options_Exhibits'!B1114:B1118)),AVERAGE('20250815_ETF_Options_Exhibits'!B1114:B1118),"")</f>
        <v/>
      </c>
      <c r="C1118" s="3">
        <f>IF(ISNUMBER(AVERAGE('20250815_ETF_Options_Exhibits'!C1114:C1118)),AVERAGE('20250815_ETF_Options_Exhibits'!C1114:C1118),"")</f>
        <v/>
      </c>
      <c r="D1118" s="3">
        <f>IF(ISNUMBER(AVERAGE('20250815_ETF_Options_Exhibits'!D1114:D1118)),AVERAGE('20250815_ETF_Options_Exhibits'!D1114:D1118),"")</f>
        <v/>
      </c>
      <c r="E1118" s="3">
        <f>IF(ISNUMBER(AVERAGE('20250815_ETF_Options_Exhibits'!E1114:E1118)),AVERAGE('20250815_ETF_Options_Exhibits'!E1114:E1118),"")</f>
        <v/>
      </c>
      <c r="F1118" s="3">
        <f>IF(ISNUMBER(AVERAGE('20250815_ETF_Options_Exhibits'!F1114:F1118)),AVERAGE('20250815_ETF_Options_Exhibits'!F1114:F1118),"")</f>
        <v/>
      </c>
      <c r="G1118" s="3">
        <f>IF(ISNUMBER(AVERAGE('20250815_ETF_Options_Exhibits'!G1114:G1118)),AVERAGE('20250815_ETF_Options_Exhibits'!G1114:G1118),"")</f>
        <v/>
      </c>
      <c r="H1118" s="3">
        <f>IF(ISNUMBER(AVERAGE('20250815_ETF_Options_Exhibits'!H1114:H1118)),AVERAGE('20250815_ETF_Options_Exhibits'!H1114:H1118),"")</f>
        <v/>
      </c>
      <c r="I1118" s="3">
        <f>IF(ISNUMBER(AVERAGE('20250815_ETF_Options_Exhibits'!I1114:I1118)),AVERAGE('20250815_ETF_Options_Exhibits'!I1114:I1118),"")</f>
        <v/>
      </c>
      <c r="J1118" s="3">
        <f>IF(ISNUMBER(AVERAGE('20250815_ETF_Options_Exhibits'!J1114:J1118)),AVERAGE('20250815_ETF_Options_Exhibits'!J1114:J1118),"")</f>
        <v/>
      </c>
      <c r="K1118" s="3">
        <f>IF(ISNUMBER(AVERAGE('20250815_ETF_Options_Exhibits'!K1114:K1118)),AVERAGE('20250815_ETF_Options_Exhibits'!K1114:K1118),"")</f>
        <v/>
      </c>
      <c r="L1118" s="3">
        <f>IF(ISNUMBER(AVERAGE('20250815_ETF_Options_Exhibits'!L1114:L1118)),AVERAGE('20250815_ETF_Options_Exhibits'!L1114:L1118),"")</f>
        <v/>
      </c>
      <c r="M1118" s="3">
        <f>IF(ISNUMBER(AVERAGE('20250815_ETF_Options_Exhibits'!M1114:M1118)),AVERAGE('20250815_ETF_Options_Exhibits'!M1114:M1118),"")</f>
        <v/>
      </c>
      <c r="N1118" s="3">
        <f>IF(ISNUMBER(AVERAGE('20250815_ETF_Options_Exhibits'!N1114:N1118)),AVERAGE('20250815_ETF_Options_Exhibits'!N1114:N1118),"")</f>
        <v/>
      </c>
      <c r="O1118" s="3">
        <f>IF(ISNUMBER(AVERAGE('20250815_ETF_Options_Exhibits'!O1114:O1118)),AVERAGE('20250815_ETF_Options_Exhibits'!O1114:O1118),"")</f>
        <v/>
      </c>
      <c r="P1118" s="3">
        <f>IF(ISNUMBER(AVERAGE('20250815_ETF_Options_Exhibits'!P1114:P1118)),AVERAGE('20250815_ETF_Options_Exhibits'!P1114:P1118),"")</f>
        <v/>
      </c>
      <c r="Q1118" s="3">
        <f>IF(ISNUMBER(AVERAGE('20250815_ETF_Options_Exhibits'!Q1114:Q1118)),AVERAGE('20250815_ETF_Options_Exhibits'!Q1114:Q1118),"")</f>
        <v/>
      </c>
      <c r="R1118" s="3">
        <f>IF(ISNUMBER(AVERAGE('20250815_ETF_Options_Exhibits'!R1114:R1118)),AVERAGE('20250815_ETF_Options_Exhibits'!R1114:R1118),"")</f>
        <v/>
      </c>
      <c r="S1118" s="3">
        <f>IF(ISNUMBER(AVERAGE('20250815_ETF_Options_Exhibits'!S1114:S1118)),AVERAGE('20250815_ETF_Options_Exhibits'!S1114:S1118),"")</f>
        <v/>
      </c>
      <c r="T1118" s="3">
        <f>IF(ISNUMBER(AVERAGE('20250815_ETF_Options_Exhibits'!T1114:T1118)),AVERAGE('20250815_ETF_Options_Exhibits'!T1114:T1118),"")</f>
        <v/>
      </c>
      <c r="U1118" s="3">
        <f>IF(ISNUMBER(AVERAGE('20250815_ETF_Options_Exhibits'!U1114:U1118)),AVERAGE('20250815_ETF_Options_Exhibits'!U1114:U1118),"")</f>
        <v/>
      </c>
      <c r="V1118" s="3">
        <f>IF(ISNUMBER(AVERAGE('20250815_ETF_Options_Exhibits'!V1114:V1118)),AVERAGE('20250815_ETF_Options_Exhibits'!V1114:V1118),"")</f>
        <v/>
      </c>
      <c r="W1118" s="3">
        <f>IF(ISNUMBER(AVERAGE('20250815_ETF_Options_Exhibits'!W1114:W1118)),AVERAGE('20250815_ETF_Options_Exhibits'!W1114:W1118),"")</f>
        <v/>
      </c>
      <c r="X1118" s="3">
        <f>IF(ISNUMBER(AVERAGE('20250815_ETF_Options_Exhibits'!X1114:X1118)),AVERAGE('20250815_ETF_Options_Exhibits'!X1114:X1118),"")</f>
        <v/>
      </c>
      <c r="Y1118" s="3">
        <f>IF(ISNUMBER(AVERAGE('20250815_ETF_Options_Exhibits'!Y1114:Y1118)),AVERAGE('20250815_ETF_Options_Exhibits'!Y1114:Y1118),"")</f>
        <v/>
      </c>
      <c r="Z1118" s="3">
        <f>IF(ISNUMBER(AVERAGE('20250815_ETF_Options_Exhibits'!Z1114:Z1118)),AVERAGE('20250815_ETF_Options_Exhibits'!Z1114:Z1118),"")</f>
        <v/>
      </c>
      <c r="AA1118" s="3">
        <f>IF(ISNUMBER(AVERAGE('20250815_ETF_Options_Exhibits'!AA1114:AA1118)),AVERAGE('20250815_ETF_Options_Exhibits'!AA1114:AA1118),"")</f>
        <v/>
      </c>
    </row>
    <row r="1119">
      <c r="A1119" s="1" t="n">
        <v>43627</v>
      </c>
      <c r="B1119" s="3">
        <f>IF(ISNUMBER(AVERAGE('20250815_ETF_Options_Exhibits'!B1115:B1119)),AVERAGE('20250815_ETF_Options_Exhibits'!B1115:B1119),"")</f>
        <v/>
      </c>
      <c r="C1119" s="3">
        <f>IF(ISNUMBER(AVERAGE('20250815_ETF_Options_Exhibits'!C1115:C1119)),AVERAGE('20250815_ETF_Options_Exhibits'!C1115:C1119),"")</f>
        <v/>
      </c>
      <c r="D1119" s="3">
        <f>IF(ISNUMBER(AVERAGE('20250815_ETF_Options_Exhibits'!D1115:D1119)),AVERAGE('20250815_ETF_Options_Exhibits'!D1115:D1119),"")</f>
        <v/>
      </c>
      <c r="E1119" s="3">
        <f>IF(ISNUMBER(AVERAGE('20250815_ETF_Options_Exhibits'!E1115:E1119)),AVERAGE('20250815_ETF_Options_Exhibits'!E1115:E1119),"")</f>
        <v/>
      </c>
      <c r="F1119" s="3">
        <f>IF(ISNUMBER(AVERAGE('20250815_ETF_Options_Exhibits'!F1115:F1119)),AVERAGE('20250815_ETF_Options_Exhibits'!F1115:F1119),"")</f>
        <v/>
      </c>
      <c r="G1119" s="3">
        <f>IF(ISNUMBER(AVERAGE('20250815_ETF_Options_Exhibits'!G1115:G1119)),AVERAGE('20250815_ETF_Options_Exhibits'!G1115:G1119),"")</f>
        <v/>
      </c>
      <c r="H1119" s="3">
        <f>IF(ISNUMBER(AVERAGE('20250815_ETF_Options_Exhibits'!H1115:H1119)),AVERAGE('20250815_ETF_Options_Exhibits'!H1115:H1119),"")</f>
        <v/>
      </c>
      <c r="I1119" s="3">
        <f>IF(ISNUMBER(AVERAGE('20250815_ETF_Options_Exhibits'!I1115:I1119)),AVERAGE('20250815_ETF_Options_Exhibits'!I1115:I1119),"")</f>
        <v/>
      </c>
      <c r="J1119" s="3">
        <f>IF(ISNUMBER(AVERAGE('20250815_ETF_Options_Exhibits'!J1115:J1119)),AVERAGE('20250815_ETF_Options_Exhibits'!J1115:J1119),"")</f>
        <v/>
      </c>
      <c r="K1119" s="3">
        <f>IF(ISNUMBER(AVERAGE('20250815_ETF_Options_Exhibits'!K1115:K1119)),AVERAGE('20250815_ETF_Options_Exhibits'!K1115:K1119),"")</f>
        <v/>
      </c>
      <c r="L1119" s="3">
        <f>IF(ISNUMBER(AVERAGE('20250815_ETF_Options_Exhibits'!L1115:L1119)),AVERAGE('20250815_ETF_Options_Exhibits'!L1115:L1119),"")</f>
        <v/>
      </c>
      <c r="M1119" s="3">
        <f>IF(ISNUMBER(AVERAGE('20250815_ETF_Options_Exhibits'!M1115:M1119)),AVERAGE('20250815_ETF_Options_Exhibits'!M1115:M1119),"")</f>
        <v/>
      </c>
      <c r="N1119" s="3">
        <f>IF(ISNUMBER(AVERAGE('20250815_ETF_Options_Exhibits'!N1115:N1119)),AVERAGE('20250815_ETF_Options_Exhibits'!N1115:N1119),"")</f>
        <v/>
      </c>
      <c r="O1119" s="3">
        <f>IF(ISNUMBER(AVERAGE('20250815_ETF_Options_Exhibits'!O1115:O1119)),AVERAGE('20250815_ETF_Options_Exhibits'!O1115:O1119),"")</f>
        <v/>
      </c>
      <c r="P1119" s="3">
        <f>IF(ISNUMBER(AVERAGE('20250815_ETF_Options_Exhibits'!P1115:P1119)),AVERAGE('20250815_ETF_Options_Exhibits'!P1115:P1119),"")</f>
        <v/>
      </c>
      <c r="Q1119" s="3">
        <f>IF(ISNUMBER(AVERAGE('20250815_ETF_Options_Exhibits'!Q1115:Q1119)),AVERAGE('20250815_ETF_Options_Exhibits'!Q1115:Q1119),"")</f>
        <v/>
      </c>
      <c r="R1119" s="3">
        <f>IF(ISNUMBER(AVERAGE('20250815_ETF_Options_Exhibits'!R1115:R1119)),AVERAGE('20250815_ETF_Options_Exhibits'!R1115:R1119),"")</f>
        <v/>
      </c>
      <c r="S1119" s="3">
        <f>IF(ISNUMBER(AVERAGE('20250815_ETF_Options_Exhibits'!S1115:S1119)),AVERAGE('20250815_ETF_Options_Exhibits'!S1115:S1119),"")</f>
        <v/>
      </c>
      <c r="T1119" s="3">
        <f>IF(ISNUMBER(AVERAGE('20250815_ETF_Options_Exhibits'!T1115:T1119)),AVERAGE('20250815_ETF_Options_Exhibits'!T1115:T1119),"")</f>
        <v/>
      </c>
      <c r="U1119" s="3">
        <f>IF(ISNUMBER(AVERAGE('20250815_ETF_Options_Exhibits'!U1115:U1119)),AVERAGE('20250815_ETF_Options_Exhibits'!U1115:U1119),"")</f>
        <v/>
      </c>
      <c r="V1119" s="3">
        <f>IF(ISNUMBER(AVERAGE('20250815_ETF_Options_Exhibits'!V1115:V1119)),AVERAGE('20250815_ETF_Options_Exhibits'!V1115:V1119),"")</f>
        <v/>
      </c>
      <c r="W1119" s="3">
        <f>IF(ISNUMBER(AVERAGE('20250815_ETF_Options_Exhibits'!W1115:W1119)),AVERAGE('20250815_ETF_Options_Exhibits'!W1115:W1119),"")</f>
        <v/>
      </c>
      <c r="X1119" s="3">
        <f>IF(ISNUMBER(AVERAGE('20250815_ETF_Options_Exhibits'!X1115:X1119)),AVERAGE('20250815_ETF_Options_Exhibits'!X1115:X1119),"")</f>
        <v/>
      </c>
      <c r="Y1119" s="3">
        <f>IF(ISNUMBER(AVERAGE('20250815_ETF_Options_Exhibits'!Y1115:Y1119)),AVERAGE('20250815_ETF_Options_Exhibits'!Y1115:Y1119),"")</f>
        <v/>
      </c>
      <c r="Z1119" s="3">
        <f>IF(ISNUMBER(AVERAGE('20250815_ETF_Options_Exhibits'!Z1115:Z1119)),AVERAGE('20250815_ETF_Options_Exhibits'!Z1115:Z1119),"")</f>
        <v/>
      </c>
      <c r="AA1119" s="3">
        <f>IF(ISNUMBER(AVERAGE('20250815_ETF_Options_Exhibits'!AA1115:AA1119)),AVERAGE('20250815_ETF_Options_Exhibits'!AA1115:AA1119),"")</f>
        <v/>
      </c>
    </row>
    <row r="1120">
      <c r="A1120" s="1" t="n">
        <v>43628</v>
      </c>
      <c r="B1120" s="3">
        <f>IF(ISNUMBER(AVERAGE('20250815_ETF_Options_Exhibits'!B1116:B1120)),AVERAGE('20250815_ETF_Options_Exhibits'!B1116:B1120),"")</f>
        <v/>
      </c>
      <c r="C1120" s="3">
        <f>IF(ISNUMBER(AVERAGE('20250815_ETF_Options_Exhibits'!C1116:C1120)),AVERAGE('20250815_ETF_Options_Exhibits'!C1116:C1120),"")</f>
        <v/>
      </c>
      <c r="D1120" s="3">
        <f>IF(ISNUMBER(AVERAGE('20250815_ETF_Options_Exhibits'!D1116:D1120)),AVERAGE('20250815_ETF_Options_Exhibits'!D1116:D1120),"")</f>
        <v/>
      </c>
      <c r="E1120" s="3">
        <f>IF(ISNUMBER(AVERAGE('20250815_ETF_Options_Exhibits'!E1116:E1120)),AVERAGE('20250815_ETF_Options_Exhibits'!E1116:E1120),"")</f>
        <v/>
      </c>
      <c r="F1120" s="3">
        <f>IF(ISNUMBER(AVERAGE('20250815_ETF_Options_Exhibits'!F1116:F1120)),AVERAGE('20250815_ETF_Options_Exhibits'!F1116:F1120),"")</f>
        <v/>
      </c>
      <c r="G1120" s="3">
        <f>IF(ISNUMBER(AVERAGE('20250815_ETF_Options_Exhibits'!G1116:G1120)),AVERAGE('20250815_ETF_Options_Exhibits'!G1116:G1120),"")</f>
        <v/>
      </c>
      <c r="H1120" s="3">
        <f>IF(ISNUMBER(AVERAGE('20250815_ETF_Options_Exhibits'!H1116:H1120)),AVERAGE('20250815_ETF_Options_Exhibits'!H1116:H1120),"")</f>
        <v/>
      </c>
      <c r="I1120" s="3">
        <f>IF(ISNUMBER(AVERAGE('20250815_ETF_Options_Exhibits'!I1116:I1120)),AVERAGE('20250815_ETF_Options_Exhibits'!I1116:I1120),"")</f>
        <v/>
      </c>
      <c r="J1120" s="3">
        <f>IF(ISNUMBER(AVERAGE('20250815_ETF_Options_Exhibits'!J1116:J1120)),AVERAGE('20250815_ETF_Options_Exhibits'!J1116:J1120),"")</f>
        <v/>
      </c>
      <c r="K1120" s="3">
        <f>IF(ISNUMBER(AVERAGE('20250815_ETF_Options_Exhibits'!K1116:K1120)),AVERAGE('20250815_ETF_Options_Exhibits'!K1116:K1120),"")</f>
        <v/>
      </c>
      <c r="L1120" s="3">
        <f>IF(ISNUMBER(AVERAGE('20250815_ETF_Options_Exhibits'!L1116:L1120)),AVERAGE('20250815_ETF_Options_Exhibits'!L1116:L1120),"")</f>
        <v/>
      </c>
      <c r="M1120" s="3">
        <f>IF(ISNUMBER(AVERAGE('20250815_ETF_Options_Exhibits'!M1116:M1120)),AVERAGE('20250815_ETF_Options_Exhibits'!M1116:M1120),"")</f>
        <v/>
      </c>
      <c r="N1120" s="3">
        <f>IF(ISNUMBER(AVERAGE('20250815_ETF_Options_Exhibits'!N1116:N1120)),AVERAGE('20250815_ETF_Options_Exhibits'!N1116:N1120),"")</f>
        <v/>
      </c>
      <c r="O1120" s="3">
        <f>IF(ISNUMBER(AVERAGE('20250815_ETF_Options_Exhibits'!O1116:O1120)),AVERAGE('20250815_ETF_Options_Exhibits'!O1116:O1120),"")</f>
        <v/>
      </c>
      <c r="P1120" s="3">
        <f>IF(ISNUMBER(AVERAGE('20250815_ETF_Options_Exhibits'!P1116:P1120)),AVERAGE('20250815_ETF_Options_Exhibits'!P1116:P1120),"")</f>
        <v/>
      </c>
      <c r="Q1120" s="3">
        <f>IF(ISNUMBER(AVERAGE('20250815_ETF_Options_Exhibits'!Q1116:Q1120)),AVERAGE('20250815_ETF_Options_Exhibits'!Q1116:Q1120),"")</f>
        <v/>
      </c>
      <c r="R1120" s="3">
        <f>IF(ISNUMBER(AVERAGE('20250815_ETF_Options_Exhibits'!R1116:R1120)),AVERAGE('20250815_ETF_Options_Exhibits'!R1116:R1120),"")</f>
        <v/>
      </c>
      <c r="S1120" s="3">
        <f>IF(ISNUMBER(AVERAGE('20250815_ETF_Options_Exhibits'!S1116:S1120)),AVERAGE('20250815_ETF_Options_Exhibits'!S1116:S1120),"")</f>
        <v/>
      </c>
      <c r="T1120" s="3">
        <f>IF(ISNUMBER(AVERAGE('20250815_ETF_Options_Exhibits'!T1116:T1120)),AVERAGE('20250815_ETF_Options_Exhibits'!T1116:T1120),"")</f>
        <v/>
      </c>
      <c r="U1120" s="3">
        <f>IF(ISNUMBER(AVERAGE('20250815_ETF_Options_Exhibits'!U1116:U1120)),AVERAGE('20250815_ETF_Options_Exhibits'!U1116:U1120),"")</f>
        <v/>
      </c>
      <c r="V1120" s="3">
        <f>IF(ISNUMBER(AVERAGE('20250815_ETF_Options_Exhibits'!V1116:V1120)),AVERAGE('20250815_ETF_Options_Exhibits'!V1116:V1120),"")</f>
        <v/>
      </c>
      <c r="W1120" s="3">
        <f>IF(ISNUMBER(AVERAGE('20250815_ETF_Options_Exhibits'!W1116:W1120)),AVERAGE('20250815_ETF_Options_Exhibits'!W1116:W1120),"")</f>
        <v/>
      </c>
      <c r="X1120" s="3">
        <f>IF(ISNUMBER(AVERAGE('20250815_ETF_Options_Exhibits'!X1116:X1120)),AVERAGE('20250815_ETF_Options_Exhibits'!X1116:X1120),"")</f>
        <v/>
      </c>
      <c r="Y1120" s="3">
        <f>IF(ISNUMBER(AVERAGE('20250815_ETF_Options_Exhibits'!Y1116:Y1120)),AVERAGE('20250815_ETF_Options_Exhibits'!Y1116:Y1120),"")</f>
        <v/>
      </c>
      <c r="Z1120" s="3">
        <f>IF(ISNUMBER(AVERAGE('20250815_ETF_Options_Exhibits'!Z1116:Z1120)),AVERAGE('20250815_ETF_Options_Exhibits'!Z1116:Z1120),"")</f>
        <v/>
      </c>
      <c r="AA1120" s="3">
        <f>IF(ISNUMBER(AVERAGE('20250815_ETF_Options_Exhibits'!AA1116:AA1120)),AVERAGE('20250815_ETF_Options_Exhibits'!AA1116:AA1120),"")</f>
        <v/>
      </c>
    </row>
    <row r="1121">
      <c r="A1121" s="1" t="n">
        <v>43629</v>
      </c>
      <c r="B1121" s="3">
        <f>IF(ISNUMBER(AVERAGE('20250815_ETF_Options_Exhibits'!B1117:B1121)),AVERAGE('20250815_ETF_Options_Exhibits'!B1117:B1121),"")</f>
        <v/>
      </c>
      <c r="C1121" s="3">
        <f>IF(ISNUMBER(AVERAGE('20250815_ETF_Options_Exhibits'!C1117:C1121)),AVERAGE('20250815_ETF_Options_Exhibits'!C1117:C1121),"")</f>
        <v/>
      </c>
      <c r="D1121" s="3">
        <f>IF(ISNUMBER(AVERAGE('20250815_ETF_Options_Exhibits'!D1117:D1121)),AVERAGE('20250815_ETF_Options_Exhibits'!D1117:D1121),"")</f>
        <v/>
      </c>
      <c r="E1121" s="3">
        <f>IF(ISNUMBER(AVERAGE('20250815_ETF_Options_Exhibits'!E1117:E1121)),AVERAGE('20250815_ETF_Options_Exhibits'!E1117:E1121),"")</f>
        <v/>
      </c>
      <c r="F1121" s="3">
        <f>IF(ISNUMBER(AVERAGE('20250815_ETF_Options_Exhibits'!F1117:F1121)),AVERAGE('20250815_ETF_Options_Exhibits'!F1117:F1121),"")</f>
        <v/>
      </c>
      <c r="G1121" s="3">
        <f>IF(ISNUMBER(AVERAGE('20250815_ETF_Options_Exhibits'!G1117:G1121)),AVERAGE('20250815_ETF_Options_Exhibits'!G1117:G1121),"")</f>
        <v/>
      </c>
      <c r="H1121" s="3">
        <f>IF(ISNUMBER(AVERAGE('20250815_ETF_Options_Exhibits'!H1117:H1121)),AVERAGE('20250815_ETF_Options_Exhibits'!H1117:H1121),"")</f>
        <v/>
      </c>
      <c r="I1121" s="3">
        <f>IF(ISNUMBER(AVERAGE('20250815_ETF_Options_Exhibits'!I1117:I1121)),AVERAGE('20250815_ETF_Options_Exhibits'!I1117:I1121),"")</f>
        <v/>
      </c>
      <c r="J1121" s="3">
        <f>IF(ISNUMBER(AVERAGE('20250815_ETF_Options_Exhibits'!J1117:J1121)),AVERAGE('20250815_ETF_Options_Exhibits'!J1117:J1121),"")</f>
        <v/>
      </c>
      <c r="K1121" s="3">
        <f>IF(ISNUMBER(AVERAGE('20250815_ETF_Options_Exhibits'!K1117:K1121)),AVERAGE('20250815_ETF_Options_Exhibits'!K1117:K1121),"")</f>
        <v/>
      </c>
      <c r="L1121" s="3">
        <f>IF(ISNUMBER(AVERAGE('20250815_ETF_Options_Exhibits'!L1117:L1121)),AVERAGE('20250815_ETF_Options_Exhibits'!L1117:L1121),"")</f>
        <v/>
      </c>
      <c r="M1121" s="3">
        <f>IF(ISNUMBER(AVERAGE('20250815_ETF_Options_Exhibits'!M1117:M1121)),AVERAGE('20250815_ETF_Options_Exhibits'!M1117:M1121),"")</f>
        <v/>
      </c>
      <c r="N1121" s="3">
        <f>IF(ISNUMBER(AVERAGE('20250815_ETF_Options_Exhibits'!N1117:N1121)),AVERAGE('20250815_ETF_Options_Exhibits'!N1117:N1121),"")</f>
        <v/>
      </c>
      <c r="O1121" s="3">
        <f>IF(ISNUMBER(AVERAGE('20250815_ETF_Options_Exhibits'!O1117:O1121)),AVERAGE('20250815_ETF_Options_Exhibits'!O1117:O1121),"")</f>
        <v/>
      </c>
      <c r="P1121" s="3">
        <f>IF(ISNUMBER(AVERAGE('20250815_ETF_Options_Exhibits'!P1117:P1121)),AVERAGE('20250815_ETF_Options_Exhibits'!P1117:P1121),"")</f>
        <v/>
      </c>
      <c r="Q1121" s="3">
        <f>IF(ISNUMBER(AVERAGE('20250815_ETF_Options_Exhibits'!Q1117:Q1121)),AVERAGE('20250815_ETF_Options_Exhibits'!Q1117:Q1121),"")</f>
        <v/>
      </c>
      <c r="R1121" s="3">
        <f>IF(ISNUMBER(AVERAGE('20250815_ETF_Options_Exhibits'!R1117:R1121)),AVERAGE('20250815_ETF_Options_Exhibits'!R1117:R1121),"")</f>
        <v/>
      </c>
      <c r="S1121" s="3">
        <f>IF(ISNUMBER(AVERAGE('20250815_ETF_Options_Exhibits'!S1117:S1121)),AVERAGE('20250815_ETF_Options_Exhibits'!S1117:S1121),"")</f>
        <v/>
      </c>
      <c r="T1121" s="3">
        <f>IF(ISNUMBER(AVERAGE('20250815_ETF_Options_Exhibits'!T1117:T1121)),AVERAGE('20250815_ETF_Options_Exhibits'!T1117:T1121),"")</f>
        <v/>
      </c>
      <c r="U1121" s="3">
        <f>IF(ISNUMBER(AVERAGE('20250815_ETF_Options_Exhibits'!U1117:U1121)),AVERAGE('20250815_ETF_Options_Exhibits'!U1117:U1121),"")</f>
        <v/>
      </c>
      <c r="V1121" s="3">
        <f>IF(ISNUMBER(AVERAGE('20250815_ETF_Options_Exhibits'!V1117:V1121)),AVERAGE('20250815_ETF_Options_Exhibits'!V1117:V1121),"")</f>
        <v/>
      </c>
      <c r="W1121" s="3">
        <f>IF(ISNUMBER(AVERAGE('20250815_ETF_Options_Exhibits'!W1117:W1121)),AVERAGE('20250815_ETF_Options_Exhibits'!W1117:W1121),"")</f>
        <v/>
      </c>
      <c r="X1121" s="3">
        <f>IF(ISNUMBER(AVERAGE('20250815_ETF_Options_Exhibits'!X1117:X1121)),AVERAGE('20250815_ETF_Options_Exhibits'!X1117:X1121),"")</f>
        <v/>
      </c>
      <c r="Y1121" s="3">
        <f>IF(ISNUMBER(AVERAGE('20250815_ETF_Options_Exhibits'!Y1117:Y1121)),AVERAGE('20250815_ETF_Options_Exhibits'!Y1117:Y1121),"")</f>
        <v/>
      </c>
      <c r="Z1121" s="3">
        <f>IF(ISNUMBER(AVERAGE('20250815_ETF_Options_Exhibits'!Z1117:Z1121)),AVERAGE('20250815_ETF_Options_Exhibits'!Z1117:Z1121),"")</f>
        <v/>
      </c>
      <c r="AA1121" s="3">
        <f>IF(ISNUMBER(AVERAGE('20250815_ETF_Options_Exhibits'!AA1117:AA1121)),AVERAGE('20250815_ETF_Options_Exhibits'!AA1117:AA1121),"")</f>
        <v/>
      </c>
    </row>
    <row r="1122">
      <c r="A1122" s="1" t="n">
        <v>43630</v>
      </c>
      <c r="B1122" s="3">
        <f>IF(ISNUMBER(AVERAGE('20250815_ETF_Options_Exhibits'!B1118:B1122)),AVERAGE('20250815_ETF_Options_Exhibits'!B1118:B1122),"")</f>
        <v/>
      </c>
      <c r="C1122" s="3">
        <f>IF(ISNUMBER(AVERAGE('20250815_ETF_Options_Exhibits'!C1118:C1122)),AVERAGE('20250815_ETF_Options_Exhibits'!C1118:C1122),"")</f>
        <v/>
      </c>
      <c r="D1122" s="3">
        <f>IF(ISNUMBER(AVERAGE('20250815_ETF_Options_Exhibits'!D1118:D1122)),AVERAGE('20250815_ETF_Options_Exhibits'!D1118:D1122),"")</f>
        <v/>
      </c>
      <c r="E1122" s="3">
        <f>IF(ISNUMBER(AVERAGE('20250815_ETF_Options_Exhibits'!E1118:E1122)),AVERAGE('20250815_ETF_Options_Exhibits'!E1118:E1122),"")</f>
        <v/>
      </c>
      <c r="F1122" s="3">
        <f>IF(ISNUMBER(AVERAGE('20250815_ETF_Options_Exhibits'!F1118:F1122)),AVERAGE('20250815_ETF_Options_Exhibits'!F1118:F1122),"")</f>
        <v/>
      </c>
      <c r="G1122" s="3">
        <f>IF(ISNUMBER(AVERAGE('20250815_ETF_Options_Exhibits'!G1118:G1122)),AVERAGE('20250815_ETF_Options_Exhibits'!G1118:G1122),"")</f>
        <v/>
      </c>
      <c r="H1122" s="3">
        <f>IF(ISNUMBER(AVERAGE('20250815_ETF_Options_Exhibits'!H1118:H1122)),AVERAGE('20250815_ETF_Options_Exhibits'!H1118:H1122),"")</f>
        <v/>
      </c>
      <c r="I1122" s="3">
        <f>IF(ISNUMBER(AVERAGE('20250815_ETF_Options_Exhibits'!I1118:I1122)),AVERAGE('20250815_ETF_Options_Exhibits'!I1118:I1122),"")</f>
        <v/>
      </c>
      <c r="J1122" s="3">
        <f>IF(ISNUMBER(AVERAGE('20250815_ETF_Options_Exhibits'!J1118:J1122)),AVERAGE('20250815_ETF_Options_Exhibits'!J1118:J1122),"")</f>
        <v/>
      </c>
      <c r="K1122" s="3">
        <f>IF(ISNUMBER(AVERAGE('20250815_ETF_Options_Exhibits'!K1118:K1122)),AVERAGE('20250815_ETF_Options_Exhibits'!K1118:K1122),"")</f>
        <v/>
      </c>
      <c r="L1122" s="3">
        <f>IF(ISNUMBER(AVERAGE('20250815_ETF_Options_Exhibits'!L1118:L1122)),AVERAGE('20250815_ETF_Options_Exhibits'!L1118:L1122),"")</f>
        <v/>
      </c>
      <c r="M1122" s="3">
        <f>IF(ISNUMBER(AVERAGE('20250815_ETF_Options_Exhibits'!M1118:M1122)),AVERAGE('20250815_ETF_Options_Exhibits'!M1118:M1122),"")</f>
        <v/>
      </c>
      <c r="N1122" s="3">
        <f>IF(ISNUMBER(AVERAGE('20250815_ETF_Options_Exhibits'!N1118:N1122)),AVERAGE('20250815_ETF_Options_Exhibits'!N1118:N1122),"")</f>
        <v/>
      </c>
      <c r="O1122" s="3">
        <f>IF(ISNUMBER(AVERAGE('20250815_ETF_Options_Exhibits'!O1118:O1122)),AVERAGE('20250815_ETF_Options_Exhibits'!O1118:O1122),"")</f>
        <v/>
      </c>
      <c r="P1122" s="3">
        <f>IF(ISNUMBER(AVERAGE('20250815_ETF_Options_Exhibits'!P1118:P1122)),AVERAGE('20250815_ETF_Options_Exhibits'!P1118:P1122),"")</f>
        <v/>
      </c>
      <c r="Q1122" s="3">
        <f>IF(ISNUMBER(AVERAGE('20250815_ETF_Options_Exhibits'!Q1118:Q1122)),AVERAGE('20250815_ETF_Options_Exhibits'!Q1118:Q1122),"")</f>
        <v/>
      </c>
      <c r="R1122" s="3">
        <f>IF(ISNUMBER(AVERAGE('20250815_ETF_Options_Exhibits'!R1118:R1122)),AVERAGE('20250815_ETF_Options_Exhibits'!R1118:R1122),"")</f>
        <v/>
      </c>
      <c r="S1122" s="3">
        <f>IF(ISNUMBER(AVERAGE('20250815_ETF_Options_Exhibits'!S1118:S1122)),AVERAGE('20250815_ETF_Options_Exhibits'!S1118:S1122),"")</f>
        <v/>
      </c>
      <c r="T1122" s="3">
        <f>IF(ISNUMBER(AVERAGE('20250815_ETF_Options_Exhibits'!T1118:T1122)),AVERAGE('20250815_ETF_Options_Exhibits'!T1118:T1122),"")</f>
        <v/>
      </c>
      <c r="U1122" s="3">
        <f>IF(ISNUMBER(AVERAGE('20250815_ETF_Options_Exhibits'!U1118:U1122)),AVERAGE('20250815_ETF_Options_Exhibits'!U1118:U1122),"")</f>
        <v/>
      </c>
      <c r="V1122" s="3">
        <f>IF(ISNUMBER(AVERAGE('20250815_ETF_Options_Exhibits'!V1118:V1122)),AVERAGE('20250815_ETF_Options_Exhibits'!V1118:V1122),"")</f>
        <v/>
      </c>
      <c r="W1122" s="3">
        <f>IF(ISNUMBER(AVERAGE('20250815_ETF_Options_Exhibits'!W1118:W1122)),AVERAGE('20250815_ETF_Options_Exhibits'!W1118:W1122),"")</f>
        <v/>
      </c>
      <c r="X1122" s="3">
        <f>IF(ISNUMBER(AVERAGE('20250815_ETF_Options_Exhibits'!X1118:X1122)),AVERAGE('20250815_ETF_Options_Exhibits'!X1118:X1122),"")</f>
        <v/>
      </c>
      <c r="Y1122" s="3">
        <f>IF(ISNUMBER(AVERAGE('20250815_ETF_Options_Exhibits'!Y1118:Y1122)),AVERAGE('20250815_ETF_Options_Exhibits'!Y1118:Y1122),"")</f>
        <v/>
      </c>
      <c r="Z1122" s="3">
        <f>IF(ISNUMBER(AVERAGE('20250815_ETF_Options_Exhibits'!Z1118:Z1122)),AVERAGE('20250815_ETF_Options_Exhibits'!Z1118:Z1122),"")</f>
        <v/>
      </c>
      <c r="AA1122" s="3">
        <f>IF(ISNUMBER(AVERAGE('20250815_ETF_Options_Exhibits'!AA1118:AA1122)),AVERAGE('20250815_ETF_Options_Exhibits'!AA1118:AA1122),"")</f>
        <v/>
      </c>
    </row>
    <row r="1123">
      <c r="A1123" s="1" t="n">
        <v>43633</v>
      </c>
      <c r="B1123" s="3">
        <f>IF(ISNUMBER(AVERAGE('20250815_ETF_Options_Exhibits'!B1119:B1123)),AVERAGE('20250815_ETF_Options_Exhibits'!B1119:B1123),"")</f>
        <v/>
      </c>
      <c r="C1123" s="3">
        <f>IF(ISNUMBER(AVERAGE('20250815_ETF_Options_Exhibits'!C1119:C1123)),AVERAGE('20250815_ETF_Options_Exhibits'!C1119:C1123),"")</f>
        <v/>
      </c>
      <c r="D1123" s="3">
        <f>IF(ISNUMBER(AVERAGE('20250815_ETF_Options_Exhibits'!D1119:D1123)),AVERAGE('20250815_ETF_Options_Exhibits'!D1119:D1123),"")</f>
        <v/>
      </c>
      <c r="E1123" s="3">
        <f>IF(ISNUMBER(AVERAGE('20250815_ETF_Options_Exhibits'!E1119:E1123)),AVERAGE('20250815_ETF_Options_Exhibits'!E1119:E1123),"")</f>
        <v/>
      </c>
      <c r="F1123" s="3">
        <f>IF(ISNUMBER(AVERAGE('20250815_ETF_Options_Exhibits'!F1119:F1123)),AVERAGE('20250815_ETF_Options_Exhibits'!F1119:F1123),"")</f>
        <v/>
      </c>
      <c r="G1123" s="3">
        <f>IF(ISNUMBER(AVERAGE('20250815_ETF_Options_Exhibits'!G1119:G1123)),AVERAGE('20250815_ETF_Options_Exhibits'!G1119:G1123),"")</f>
        <v/>
      </c>
      <c r="H1123" s="3">
        <f>IF(ISNUMBER(AVERAGE('20250815_ETF_Options_Exhibits'!H1119:H1123)),AVERAGE('20250815_ETF_Options_Exhibits'!H1119:H1123),"")</f>
        <v/>
      </c>
      <c r="I1123" s="3">
        <f>IF(ISNUMBER(AVERAGE('20250815_ETF_Options_Exhibits'!I1119:I1123)),AVERAGE('20250815_ETF_Options_Exhibits'!I1119:I1123),"")</f>
        <v/>
      </c>
      <c r="J1123" s="3">
        <f>IF(ISNUMBER(AVERAGE('20250815_ETF_Options_Exhibits'!J1119:J1123)),AVERAGE('20250815_ETF_Options_Exhibits'!J1119:J1123),"")</f>
        <v/>
      </c>
      <c r="K1123" s="3">
        <f>IF(ISNUMBER(AVERAGE('20250815_ETF_Options_Exhibits'!K1119:K1123)),AVERAGE('20250815_ETF_Options_Exhibits'!K1119:K1123),"")</f>
        <v/>
      </c>
      <c r="L1123" s="3">
        <f>IF(ISNUMBER(AVERAGE('20250815_ETF_Options_Exhibits'!L1119:L1123)),AVERAGE('20250815_ETF_Options_Exhibits'!L1119:L1123),"")</f>
        <v/>
      </c>
      <c r="M1123" s="3">
        <f>IF(ISNUMBER(AVERAGE('20250815_ETF_Options_Exhibits'!M1119:M1123)),AVERAGE('20250815_ETF_Options_Exhibits'!M1119:M1123),"")</f>
        <v/>
      </c>
      <c r="N1123" s="3">
        <f>IF(ISNUMBER(AVERAGE('20250815_ETF_Options_Exhibits'!N1119:N1123)),AVERAGE('20250815_ETF_Options_Exhibits'!N1119:N1123),"")</f>
        <v/>
      </c>
      <c r="O1123" s="3">
        <f>IF(ISNUMBER(AVERAGE('20250815_ETF_Options_Exhibits'!O1119:O1123)),AVERAGE('20250815_ETF_Options_Exhibits'!O1119:O1123),"")</f>
        <v/>
      </c>
      <c r="P1123" s="3">
        <f>IF(ISNUMBER(AVERAGE('20250815_ETF_Options_Exhibits'!P1119:P1123)),AVERAGE('20250815_ETF_Options_Exhibits'!P1119:P1123),"")</f>
        <v/>
      </c>
      <c r="Q1123" s="3">
        <f>IF(ISNUMBER(AVERAGE('20250815_ETF_Options_Exhibits'!Q1119:Q1123)),AVERAGE('20250815_ETF_Options_Exhibits'!Q1119:Q1123),"")</f>
        <v/>
      </c>
      <c r="R1123" s="3">
        <f>IF(ISNUMBER(AVERAGE('20250815_ETF_Options_Exhibits'!R1119:R1123)),AVERAGE('20250815_ETF_Options_Exhibits'!R1119:R1123),"")</f>
        <v/>
      </c>
      <c r="S1123" s="3">
        <f>IF(ISNUMBER(AVERAGE('20250815_ETF_Options_Exhibits'!S1119:S1123)),AVERAGE('20250815_ETF_Options_Exhibits'!S1119:S1123),"")</f>
        <v/>
      </c>
      <c r="T1123" s="3">
        <f>IF(ISNUMBER(AVERAGE('20250815_ETF_Options_Exhibits'!T1119:T1123)),AVERAGE('20250815_ETF_Options_Exhibits'!T1119:T1123),"")</f>
        <v/>
      </c>
      <c r="U1123" s="3">
        <f>IF(ISNUMBER(AVERAGE('20250815_ETF_Options_Exhibits'!U1119:U1123)),AVERAGE('20250815_ETF_Options_Exhibits'!U1119:U1123),"")</f>
        <v/>
      </c>
      <c r="V1123" s="3">
        <f>IF(ISNUMBER(AVERAGE('20250815_ETF_Options_Exhibits'!V1119:V1123)),AVERAGE('20250815_ETF_Options_Exhibits'!V1119:V1123),"")</f>
        <v/>
      </c>
      <c r="W1123" s="3">
        <f>IF(ISNUMBER(AVERAGE('20250815_ETF_Options_Exhibits'!W1119:W1123)),AVERAGE('20250815_ETF_Options_Exhibits'!W1119:W1123),"")</f>
        <v/>
      </c>
      <c r="X1123" s="3">
        <f>IF(ISNUMBER(AVERAGE('20250815_ETF_Options_Exhibits'!X1119:X1123)),AVERAGE('20250815_ETF_Options_Exhibits'!X1119:X1123),"")</f>
        <v/>
      </c>
      <c r="Y1123" s="3">
        <f>IF(ISNUMBER(AVERAGE('20250815_ETF_Options_Exhibits'!Y1119:Y1123)),AVERAGE('20250815_ETF_Options_Exhibits'!Y1119:Y1123),"")</f>
        <v/>
      </c>
      <c r="Z1123" s="3">
        <f>IF(ISNUMBER(AVERAGE('20250815_ETF_Options_Exhibits'!Z1119:Z1123)),AVERAGE('20250815_ETF_Options_Exhibits'!Z1119:Z1123),"")</f>
        <v/>
      </c>
      <c r="AA1123" s="3">
        <f>IF(ISNUMBER(AVERAGE('20250815_ETF_Options_Exhibits'!AA1119:AA1123)),AVERAGE('20250815_ETF_Options_Exhibits'!AA1119:AA1123),"")</f>
        <v/>
      </c>
    </row>
    <row r="1124">
      <c r="A1124" s="1" t="n">
        <v>43634</v>
      </c>
      <c r="B1124" s="3">
        <f>IF(ISNUMBER(AVERAGE('20250815_ETF_Options_Exhibits'!B1120:B1124)),AVERAGE('20250815_ETF_Options_Exhibits'!B1120:B1124),"")</f>
        <v/>
      </c>
      <c r="C1124" s="3">
        <f>IF(ISNUMBER(AVERAGE('20250815_ETF_Options_Exhibits'!C1120:C1124)),AVERAGE('20250815_ETF_Options_Exhibits'!C1120:C1124),"")</f>
        <v/>
      </c>
      <c r="D1124" s="3">
        <f>IF(ISNUMBER(AVERAGE('20250815_ETF_Options_Exhibits'!D1120:D1124)),AVERAGE('20250815_ETF_Options_Exhibits'!D1120:D1124),"")</f>
        <v/>
      </c>
      <c r="E1124" s="3">
        <f>IF(ISNUMBER(AVERAGE('20250815_ETF_Options_Exhibits'!E1120:E1124)),AVERAGE('20250815_ETF_Options_Exhibits'!E1120:E1124),"")</f>
        <v/>
      </c>
      <c r="F1124" s="3">
        <f>IF(ISNUMBER(AVERAGE('20250815_ETF_Options_Exhibits'!F1120:F1124)),AVERAGE('20250815_ETF_Options_Exhibits'!F1120:F1124),"")</f>
        <v/>
      </c>
      <c r="G1124" s="3">
        <f>IF(ISNUMBER(AVERAGE('20250815_ETF_Options_Exhibits'!G1120:G1124)),AVERAGE('20250815_ETF_Options_Exhibits'!G1120:G1124),"")</f>
        <v/>
      </c>
      <c r="H1124" s="3">
        <f>IF(ISNUMBER(AVERAGE('20250815_ETF_Options_Exhibits'!H1120:H1124)),AVERAGE('20250815_ETF_Options_Exhibits'!H1120:H1124),"")</f>
        <v/>
      </c>
      <c r="I1124" s="3">
        <f>IF(ISNUMBER(AVERAGE('20250815_ETF_Options_Exhibits'!I1120:I1124)),AVERAGE('20250815_ETF_Options_Exhibits'!I1120:I1124),"")</f>
        <v/>
      </c>
      <c r="J1124" s="3">
        <f>IF(ISNUMBER(AVERAGE('20250815_ETF_Options_Exhibits'!J1120:J1124)),AVERAGE('20250815_ETF_Options_Exhibits'!J1120:J1124),"")</f>
        <v/>
      </c>
      <c r="K1124" s="3">
        <f>IF(ISNUMBER(AVERAGE('20250815_ETF_Options_Exhibits'!K1120:K1124)),AVERAGE('20250815_ETF_Options_Exhibits'!K1120:K1124),"")</f>
        <v/>
      </c>
      <c r="L1124" s="3">
        <f>IF(ISNUMBER(AVERAGE('20250815_ETF_Options_Exhibits'!L1120:L1124)),AVERAGE('20250815_ETF_Options_Exhibits'!L1120:L1124),"")</f>
        <v/>
      </c>
      <c r="M1124" s="3">
        <f>IF(ISNUMBER(AVERAGE('20250815_ETF_Options_Exhibits'!M1120:M1124)),AVERAGE('20250815_ETF_Options_Exhibits'!M1120:M1124),"")</f>
        <v/>
      </c>
      <c r="N1124" s="3">
        <f>IF(ISNUMBER(AVERAGE('20250815_ETF_Options_Exhibits'!N1120:N1124)),AVERAGE('20250815_ETF_Options_Exhibits'!N1120:N1124),"")</f>
        <v/>
      </c>
      <c r="O1124" s="3">
        <f>IF(ISNUMBER(AVERAGE('20250815_ETF_Options_Exhibits'!O1120:O1124)),AVERAGE('20250815_ETF_Options_Exhibits'!O1120:O1124),"")</f>
        <v/>
      </c>
      <c r="P1124" s="3">
        <f>IF(ISNUMBER(AVERAGE('20250815_ETF_Options_Exhibits'!P1120:P1124)),AVERAGE('20250815_ETF_Options_Exhibits'!P1120:P1124),"")</f>
        <v/>
      </c>
      <c r="Q1124" s="3">
        <f>IF(ISNUMBER(AVERAGE('20250815_ETF_Options_Exhibits'!Q1120:Q1124)),AVERAGE('20250815_ETF_Options_Exhibits'!Q1120:Q1124),"")</f>
        <v/>
      </c>
      <c r="R1124" s="3">
        <f>IF(ISNUMBER(AVERAGE('20250815_ETF_Options_Exhibits'!R1120:R1124)),AVERAGE('20250815_ETF_Options_Exhibits'!R1120:R1124),"")</f>
        <v/>
      </c>
      <c r="S1124" s="3">
        <f>IF(ISNUMBER(AVERAGE('20250815_ETF_Options_Exhibits'!S1120:S1124)),AVERAGE('20250815_ETF_Options_Exhibits'!S1120:S1124),"")</f>
        <v/>
      </c>
      <c r="T1124" s="3">
        <f>IF(ISNUMBER(AVERAGE('20250815_ETF_Options_Exhibits'!T1120:T1124)),AVERAGE('20250815_ETF_Options_Exhibits'!T1120:T1124),"")</f>
        <v/>
      </c>
      <c r="U1124" s="3">
        <f>IF(ISNUMBER(AVERAGE('20250815_ETF_Options_Exhibits'!U1120:U1124)),AVERAGE('20250815_ETF_Options_Exhibits'!U1120:U1124),"")</f>
        <v/>
      </c>
      <c r="V1124" s="3">
        <f>IF(ISNUMBER(AVERAGE('20250815_ETF_Options_Exhibits'!V1120:V1124)),AVERAGE('20250815_ETF_Options_Exhibits'!V1120:V1124),"")</f>
        <v/>
      </c>
      <c r="W1124" s="3">
        <f>IF(ISNUMBER(AVERAGE('20250815_ETF_Options_Exhibits'!W1120:W1124)),AVERAGE('20250815_ETF_Options_Exhibits'!W1120:W1124),"")</f>
        <v/>
      </c>
      <c r="X1124" s="3">
        <f>IF(ISNUMBER(AVERAGE('20250815_ETF_Options_Exhibits'!X1120:X1124)),AVERAGE('20250815_ETF_Options_Exhibits'!X1120:X1124),"")</f>
        <v/>
      </c>
      <c r="Y1124" s="3">
        <f>IF(ISNUMBER(AVERAGE('20250815_ETF_Options_Exhibits'!Y1120:Y1124)),AVERAGE('20250815_ETF_Options_Exhibits'!Y1120:Y1124),"")</f>
        <v/>
      </c>
      <c r="Z1124" s="3">
        <f>IF(ISNUMBER(AVERAGE('20250815_ETF_Options_Exhibits'!Z1120:Z1124)),AVERAGE('20250815_ETF_Options_Exhibits'!Z1120:Z1124),"")</f>
        <v/>
      </c>
      <c r="AA1124" s="3">
        <f>IF(ISNUMBER(AVERAGE('20250815_ETF_Options_Exhibits'!AA1120:AA1124)),AVERAGE('20250815_ETF_Options_Exhibits'!AA1120:AA1124),"")</f>
        <v/>
      </c>
    </row>
    <row r="1125">
      <c r="A1125" s="1" t="n">
        <v>43635</v>
      </c>
      <c r="B1125" s="3">
        <f>IF(ISNUMBER(AVERAGE('20250815_ETF_Options_Exhibits'!B1121:B1125)),AVERAGE('20250815_ETF_Options_Exhibits'!B1121:B1125),"")</f>
        <v/>
      </c>
      <c r="C1125" s="3">
        <f>IF(ISNUMBER(AVERAGE('20250815_ETF_Options_Exhibits'!C1121:C1125)),AVERAGE('20250815_ETF_Options_Exhibits'!C1121:C1125),"")</f>
        <v/>
      </c>
      <c r="D1125" s="3">
        <f>IF(ISNUMBER(AVERAGE('20250815_ETF_Options_Exhibits'!D1121:D1125)),AVERAGE('20250815_ETF_Options_Exhibits'!D1121:D1125),"")</f>
        <v/>
      </c>
      <c r="E1125" s="3">
        <f>IF(ISNUMBER(AVERAGE('20250815_ETF_Options_Exhibits'!E1121:E1125)),AVERAGE('20250815_ETF_Options_Exhibits'!E1121:E1125),"")</f>
        <v/>
      </c>
      <c r="F1125" s="3">
        <f>IF(ISNUMBER(AVERAGE('20250815_ETF_Options_Exhibits'!F1121:F1125)),AVERAGE('20250815_ETF_Options_Exhibits'!F1121:F1125),"")</f>
        <v/>
      </c>
      <c r="G1125" s="3">
        <f>IF(ISNUMBER(AVERAGE('20250815_ETF_Options_Exhibits'!G1121:G1125)),AVERAGE('20250815_ETF_Options_Exhibits'!G1121:G1125),"")</f>
        <v/>
      </c>
      <c r="H1125" s="3">
        <f>IF(ISNUMBER(AVERAGE('20250815_ETF_Options_Exhibits'!H1121:H1125)),AVERAGE('20250815_ETF_Options_Exhibits'!H1121:H1125),"")</f>
        <v/>
      </c>
      <c r="I1125" s="3">
        <f>IF(ISNUMBER(AVERAGE('20250815_ETF_Options_Exhibits'!I1121:I1125)),AVERAGE('20250815_ETF_Options_Exhibits'!I1121:I1125),"")</f>
        <v/>
      </c>
      <c r="J1125" s="3">
        <f>IF(ISNUMBER(AVERAGE('20250815_ETF_Options_Exhibits'!J1121:J1125)),AVERAGE('20250815_ETF_Options_Exhibits'!J1121:J1125),"")</f>
        <v/>
      </c>
      <c r="K1125" s="3">
        <f>IF(ISNUMBER(AVERAGE('20250815_ETF_Options_Exhibits'!K1121:K1125)),AVERAGE('20250815_ETF_Options_Exhibits'!K1121:K1125),"")</f>
        <v/>
      </c>
      <c r="L1125" s="3">
        <f>IF(ISNUMBER(AVERAGE('20250815_ETF_Options_Exhibits'!L1121:L1125)),AVERAGE('20250815_ETF_Options_Exhibits'!L1121:L1125),"")</f>
        <v/>
      </c>
      <c r="M1125" s="3">
        <f>IF(ISNUMBER(AVERAGE('20250815_ETF_Options_Exhibits'!M1121:M1125)),AVERAGE('20250815_ETF_Options_Exhibits'!M1121:M1125),"")</f>
        <v/>
      </c>
      <c r="N1125" s="3">
        <f>IF(ISNUMBER(AVERAGE('20250815_ETF_Options_Exhibits'!N1121:N1125)),AVERAGE('20250815_ETF_Options_Exhibits'!N1121:N1125),"")</f>
        <v/>
      </c>
      <c r="O1125" s="3">
        <f>IF(ISNUMBER(AVERAGE('20250815_ETF_Options_Exhibits'!O1121:O1125)),AVERAGE('20250815_ETF_Options_Exhibits'!O1121:O1125),"")</f>
        <v/>
      </c>
      <c r="P1125" s="3">
        <f>IF(ISNUMBER(AVERAGE('20250815_ETF_Options_Exhibits'!P1121:P1125)),AVERAGE('20250815_ETF_Options_Exhibits'!P1121:P1125),"")</f>
        <v/>
      </c>
      <c r="Q1125" s="3">
        <f>IF(ISNUMBER(AVERAGE('20250815_ETF_Options_Exhibits'!Q1121:Q1125)),AVERAGE('20250815_ETF_Options_Exhibits'!Q1121:Q1125),"")</f>
        <v/>
      </c>
      <c r="R1125" s="3">
        <f>IF(ISNUMBER(AVERAGE('20250815_ETF_Options_Exhibits'!R1121:R1125)),AVERAGE('20250815_ETF_Options_Exhibits'!R1121:R1125),"")</f>
        <v/>
      </c>
      <c r="S1125" s="3">
        <f>IF(ISNUMBER(AVERAGE('20250815_ETF_Options_Exhibits'!S1121:S1125)),AVERAGE('20250815_ETF_Options_Exhibits'!S1121:S1125),"")</f>
        <v/>
      </c>
      <c r="T1125" s="3">
        <f>IF(ISNUMBER(AVERAGE('20250815_ETF_Options_Exhibits'!T1121:T1125)),AVERAGE('20250815_ETF_Options_Exhibits'!T1121:T1125),"")</f>
        <v/>
      </c>
      <c r="U1125" s="3">
        <f>IF(ISNUMBER(AVERAGE('20250815_ETF_Options_Exhibits'!U1121:U1125)),AVERAGE('20250815_ETF_Options_Exhibits'!U1121:U1125),"")</f>
        <v/>
      </c>
      <c r="V1125" s="3">
        <f>IF(ISNUMBER(AVERAGE('20250815_ETF_Options_Exhibits'!V1121:V1125)),AVERAGE('20250815_ETF_Options_Exhibits'!V1121:V1125),"")</f>
        <v/>
      </c>
      <c r="W1125" s="3">
        <f>IF(ISNUMBER(AVERAGE('20250815_ETF_Options_Exhibits'!W1121:W1125)),AVERAGE('20250815_ETF_Options_Exhibits'!W1121:W1125),"")</f>
        <v/>
      </c>
      <c r="X1125" s="3">
        <f>IF(ISNUMBER(AVERAGE('20250815_ETF_Options_Exhibits'!X1121:X1125)),AVERAGE('20250815_ETF_Options_Exhibits'!X1121:X1125),"")</f>
        <v/>
      </c>
      <c r="Y1125" s="3">
        <f>IF(ISNUMBER(AVERAGE('20250815_ETF_Options_Exhibits'!Y1121:Y1125)),AVERAGE('20250815_ETF_Options_Exhibits'!Y1121:Y1125),"")</f>
        <v/>
      </c>
      <c r="Z1125" s="3">
        <f>IF(ISNUMBER(AVERAGE('20250815_ETF_Options_Exhibits'!Z1121:Z1125)),AVERAGE('20250815_ETF_Options_Exhibits'!Z1121:Z1125),"")</f>
        <v/>
      </c>
      <c r="AA1125" s="3">
        <f>IF(ISNUMBER(AVERAGE('20250815_ETF_Options_Exhibits'!AA1121:AA1125)),AVERAGE('20250815_ETF_Options_Exhibits'!AA1121:AA1125),"")</f>
        <v/>
      </c>
    </row>
    <row r="1126">
      <c r="A1126" s="1" t="n">
        <v>43636</v>
      </c>
      <c r="B1126" s="3">
        <f>IF(ISNUMBER(AVERAGE('20250815_ETF_Options_Exhibits'!B1122:B1126)),AVERAGE('20250815_ETF_Options_Exhibits'!B1122:B1126),"")</f>
        <v/>
      </c>
      <c r="C1126" s="3">
        <f>IF(ISNUMBER(AVERAGE('20250815_ETF_Options_Exhibits'!C1122:C1126)),AVERAGE('20250815_ETF_Options_Exhibits'!C1122:C1126),"")</f>
        <v/>
      </c>
      <c r="D1126" s="3">
        <f>IF(ISNUMBER(AVERAGE('20250815_ETF_Options_Exhibits'!D1122:D1126)),AVERAGE('20250815_ETF_Options_Exhibits'!D1122:D1126),"")</f>
        <v/>
      </c>
      <c r="E1126" s="3">
        <f>IF(ISNUMBER(AVERAGE('20250815_ETF_Options_Exhibits'!E1122:E1126)),AVERAGE('20250815_ETF_Options_Exhibits'!E1122:E1126),"")</f>
        <v/>
      </c>
      <c r="F1126" s="3">
        <f>IF(ISNUMBER(AVERAGE('20250815_ETF_Options_Exhibits'!F1122:F1126)),AVERAGE('20250815_ETF_Options_Exhibits'!F1122:F1126),"")</f>
        <v/>
      </c>
      <c r="G1126" s="3">
        <f>IF(ISNUMBER(AVERAGE('20250815_ETF_Options_Exhibits'!G1122:G1126)),AVERAGE('20250815_ETF_Options_Exhibits'!G1122:G1126),"")</f>
        <v/>
      </c>
      <c r="H1126" s="3">
        <f>IF(ISNUMBER(AVERAGE('20250815_ETF_Options_Exhibits'!H1122:H1126)),AVERAGE('20250815_ETF_Options_Exhibits'!H1122:H1126),"")</f>
        <v/>
      </c>
      <c r="I1126" s="3">
        <f>IF(ISNUMBER(AVERAGE('20250815_ETF_Options_Exhibits'!I1122:I1126)),AVERAGE('20250815_ETF_Options_Exhibits'!I1122:I1126),"")</f>
        <v/>
      </c>
      <c r="J1126" s="3">
        <f>IF(ISNUMBER(AVERAGE('20250815_ETF_Options_Exhibits'!J1122:J1126)),AVERAGE('20250815_ETF_Options_Exhibits'!J1122:J1126),"")</f>
        <v/>
      </c>
      <c r="K1126" s="3">
        <f>IF(ISNUMBER(AVERAGE('20250815_ETF_Options_Exhibits'!K1122:K1126)),AVERAGE('20250815_ETF_Options_Exhibits'!K1122:K1126),"")</f>
        <v/>
      </c>
      <c r="L1126" s="3">
        <f>IF(ISNUMBER(AVERAGE('20250815_ETF_Options_Exhibits'!L1122:L1126)),AVERAGE('20250815_ETF_Options_Exhibits'!L1122:L1126),"")</f>
        <v/>
      </c>
      <c r="M1126" s="3">
        <f>IF(ISNUMBER(AVERAGE('20250815_ETF_Options_Exhibits'!M1122:M1126)),AVERAGE('20250815_ETF_Options_Exhibits'!M1122:M1126),"")</f>
        <v/>
      </c>
      <c r="N1126" s="3">
        <f>IF(ISNUMBER(AVERAGE('20250815_ETF_Options_Exhibits'!N1122:N1126)),AVERAGE('20250815_ETF_Options_Exhibits'!N1122:N1126),"")</f>
        <v/>
      </c>
      <c r="O1126" s="3">
        <f>IF(ISNUMBER(AVERAGE('20250815_ETF_Options_Exhibits'!O1122:O1126)),AVERAGE('20250815_ETF_Options_Exhibits'!O1122:O1126),"")</f>
        <v/>
      </c>
      <c r="P1126" s="3">
        <f>IF(ISNUMBER(AVERAGE('20250815_ETF_Options_Exhibits'!P1122:P1126)),AVERAGE('20250815_ETF_Options_Exhibits'!P1122:P1126),"")</f>
        <v/>
      </c>
      <c r="Q1126" s="3">
        <f>IF(ISNUMBER(AVERAGE('20250815_ETF_Options_Exhibits'!Q1122:Q1126)),AVERAGE('20250815_ETF_Options_Exhibits'!Q1122:Q1126),"")</f>
        <v/>
      </c>
      <c r="R1126" s="3">
        <f>IF(ISNUMBER(AVERAGE('20250815_ETF_Options_Exhibits'!R1122:R1126)),AVERAGE('20250815_ETF_Options_Exhibits'!R1122:R1126),"")</f>
        <v/>
      </c>
      <c r="S1126" s="3">
        <f>IF(ISNUMBER(AVERAGE('20250815_ETF_Options_Exhibits'!S1122:S1126)),AVERAGE('20250815_ETF_Options_Exhibits'!S1122:S1126),"")</f>
        <v/>
      </c>
      <c r="T1126" s="3">
        <f>IF(ISNUMBER(AVERAGE('20250815_ETF_Options_Exhibits'!T1122:T1126)),AVERAGE('20250815_ETF_Options_Exhibits'!T1122:T1126),"")</f>
        <v/>
      </c>
      <c r="U1126" s="3">
        <f>IF(ISNUMBER(AVERAGE('20250815_ETF_Options_Exhibits'!U1122:U1126)),AVERAGE('20250815_ETF_Options_Exhibits'!U1122:U1126),"")</f>
        <v/>
      </c>
      <c r="V1126" s="3">
        <f>IF(ISNUMBER(AVERAGE('20250815_ETF_Options_Exhibits'!V1122:V1126)),AVERAGE('20250815_ETF_Options_Exhibits'!V1122:V1126),"")</f>
        <v/>
      </c>
      <c r="W1126" s="3">
        <f>IF(ISNUMBER(AVERAGE('20250815_ETF_Options_Exhibits'!W1122:W1126)),AVERAGE('20250815_ETF_Options_Exhibits'!W1122:W1126),"")</f>
        <v/>
      </c>
      <c r="X1126" s="3">
        <f>IF(ISNUMBER(AVERAGE('20250815_ETF_Options_Exhibits'!X1122:X1126)),AVERAGE('20250815_ETF_Options_Exhibits'!X1122:X1126),"")</f>
        <v/>
      </c>
      <c r="Y1126" s="3">
        <f>IF(ISNUMBER(AVERAGE('20250815_ETF_Options_Exhibits'!Y1122:Y1126)),AVERAGE('20250815_ETF_Options_Exhibits'!Y1122:Y1126),"")</f>
        <v/>
      </c>
      <c r="Z1126" s="3">
        <f>IF(ISNUMBER(AVERAGE('20250815_ETF_Options_Exhibits'!Z1122:Z1126)),AVERAGE('20250815_ETF_Options_Exhibits'!Z1122:Z1126),"")</f>
        <v/>
      </c>
      <c r="AA1126" s="3">
        <f>IF(ISNUMBER(AVERAGE('20250815_ETF_Options_Exhibits'!AA1122:AA1126)),AVERAGE('20250815_ETF_Options_Exhibits'!AA1122:AA1126),"")</f>
        <v/>
      </c>
    </row>
    <row r="1127">
      <c r="A1127" s="1" t="n">
        <v>43637</v>
      </c>
      <c r="B1127" s="3">
        <f>IF(ISNUMBER(AVERAGE('20250815_ETF_Options_Exhibits'!B1123:B1127)),AVERAGE('20250815_ETF_Options_Exhibits'!B1123:B1127),"")</f>
        <v/>
      </c>
      <c r="C1127" s="3">
        <f>IF(ISNUMBER(AVERAGE('20250815_ETF_Options_Exhibits'!C1123:C1127)),AVERAGE('20250815_ETF_Options_Exhibits'!C1123:C1127),"")</f>
        <v/>
      </c>
      <c r="D1127" s="3">
        <f>IF(ISNUMBER(AVERAGE('20250815_ETF_Options_Exhibits'!D1123:D1127)),AVERAGE('20250815_ETF_Options_Exhibits'!D1123:D1127),"")</f>
        <v/>
      </c>
      <c r="E1127" s="3">
        <f>IF(ISNUMBER(AVERAGE('20250815_ETF_Options_Exhibits'!E1123:E1127)),AVERAGE('20250815_ETF_Options_Exhibits'!E1123:E1127),"")</f>
        <v/>
      </c>
      <c r="F1127" s="3">
        <f>IF(ISNUMBER(AVERAGE('20250815_ETF_Options_Exhibits'!F1123:F1127)),AVERAGE('20250815_ETF_Options_Exhibits'!F1123:F1127),"")</f>
        <v/>
      </c>
      <c r="G1127" s="3">
        <f>IF(ISNUMBER(AVERAGE('20250815_ETF_Options_Exhibits'!G1123:G1127)),AVERAGE('20250815_ETF_Options_Exhibits'!G1123:G1127),"")</f>
        <v/>
      </c>
      <c r="H1127" s="3">
        <f>IF(ISNUMBER(AVERAGE('20250815_ETF_Options_Exhibits'!H1123:H1127)),AVERAGE('20250815_ETF_Options_Exhibits'!H1123:H1127),"")</f>
        <v/>
      </c>
      <c r="I1127" s="3">
        <f>IF(ISNUMBER(AVERAGE('20250815_ETF_Options_Exhibits'!I1123:I1127)),AVERAGE('20250815_ETF_Options_Exhibits'!I1123:I1127),"")</f>
        <v/>
      </c>
      <c r="J1127" s="3">
        <f>IF(ISNUMBER(AVERAGE('20250815_ETF_Options_Exhibits'!J1123:J1127)),AVERAGE('20250815_ETF_Options_Exhibits'!J1123:J1127),"")</f>
        <v/>
      </c>
      <c r="K1127" s="3">
        <f>IF(ISNUMBER(AVERAGE('20250815_ETF_Options_Exhibits'!K1123:K1127)),AVERAGE('20250815_ETF_Options_Exhibits'!K1123:K1127),"")</f>
        <v/>
      </c>
      <c r="L1127" s="3">
        <f>IF(ISNUMBER(AVERAGE('20250815_ETF_Options_Exhibits'!L1123:L1127)),AVERAGE('20250815_ETF_Options_Exhibits'!L1123:L1127),"")</f>
        <v/>
      </c>
      <c r="M1127" s="3">
        <f>IF(ISNUMBER(AVERAGE('20250815_ETF_Options_Exhibits'!M1123:M1127)),AVERAGE('20250815_ETF_Options_Exhibits'!M1123:M1127),"")</f>
        <v/>
      </c>
      <c r="N1127" s="3">
        <f>IF(ISNUMBER(AVERAGE('20250815_ETF_Options_Exhibits'!N1123:N1127)),AVERAGE('20250815_ETF_Options_Exhibits'!N1123:N1127),"")</f>
        <v/>
      </c>
      <c r="O1127" s="3">
        <f>IF(ISNUMBER(AVERAGE('20250815_ETF_Options_Exhibits'!O1123:O1127)),AVERAGE('20250815_ETF_Options_Exhibits'!O1123:O1127),"")</f>
        <v/>
      </c>
      <c r="P1127" s="3">
        <f>IF(ISNUMBER(AVERAGE('20250815_ETF_Options_Exhibits'!P1123:P1127)),AVERAGE('20250815_ETF_Options_Exhibits'!P1123:P1127),"")</f>
        <v/>
      </c>
      <c r="Q1127" s="3">
        <f>IF(ISNUMBER(AVERAGE('20250815_ETF_Options_Exhibits'!Q1123:Q1127)),AVERAGE('20250815_ETF_Options_Exhibits'!Q1123:Q1127),"")</f>
        <v/>
      </c>
      <c r="R1127" s="3">
        <f>IF(ISNUMBER(AVERAGE('20250815_ETF_Options_Exhibits'!R1123:R1127)),AVERAGE('20250815_ETF_Options_Exhibits'!R1123:R1127),"")</f>
        <v/>
      </c>
      <c r="S1127" s="3">
        <f>IF(ISNUMBER(AVERAGE('20250815_ETF_Options_Exhibits'!S1123:S1127)),AVERAGE('20250815_ETF_Options_Exhibits'!S1123:S1127),"")</f>
        <v/>
      </c>
      <c r="T1127" s="3">
        <f>IF(ISNUMBER(AVERAGE('20250815_ETF_Options_Exhibits'!T1123:T1127)),AVERAGE('20250815_ETF_Options_Exhibits'!T1123:T1127),"")</f>
        <v/>
      </c>
      <c r="U1127" s="3">
        <f>IF(ISNUMBER(AVERAGE('20250815_ETF_Options_Exhibits'!U1123:U1127)),AVERAGE('20250815_ETF_Options_Exhibits'!U1123:U1127),"")</f>
        <v/>
      </c>
      <c r="V1127" s="3">
        <f>IF(ISNUMBER(AVERAGE('20250815_ETF_Options_Exhibits'!V1123:V1127)),AVERAGE('20250815_ETF_Options_Exhibits'!V1123:V1127),"")</f>
        <v/>
      </c>
      <c r="W1127" s="3">
        <f>IF(ISNUMBER(AVERAGE('20250815_ETF_Options_Exhibits'!W1123:W1127)),AVERAGE('20250815_ETF_Options_Exhibits'!W1123:W1127),"")</f>
        <v/>
      </c>
      <c r="X1127" s="3">
        <f>IF(ISNUMBER(AVERAGE('20250815_ETF_Options_Exhibits'!X1123:X1127)),AVERAGE('20250815_ETF_Options_Exhibits'!X1123:X1127),"")</f>
        <v/>
      </c>
      <c r="Y1127" s="3">
        <f>IF(ISNUMBER(AVERAGE('20250815_ETF_Options_Exhibits'!Y1123:Y1127)),AVERAGE('20250815_ETF_Options_Exhibits'!Y1123:Y1127),"")</f>
        <v/>
      </c>
      <c r="Z1127" s="3">
        <f>IF(ISNUMBER(AVERAGE('20250815_ETF_Options_Exhibits'!Z1123:Z1127)),AVERAGE('20250815_ETF_Options_Exhibits'!Z1123:Z1127),"")</f>
        <v/>
      </c>
      <c r="AA1127" s="3">
        <f>IF(ISNUMBER(AVERAGE('20250815_ETF_Options_Exhibits'!AA1123:AA1127)),AVERAGE('20250815_ETF_Options_Exhibits'!AA1123:AA1127),"")</f>
        <v/>
      </c>
    </row>
    <row r="1128">
      <c r="A1128" s="1" t="n">
        <v>43640</v>
      </c>
      <c r="B1128" s="3">
        <f>IF(ISNUMBER(AVERAGE('20250815_ETF_Options_Exhibits'!B1124:B1128)),AVERAGE('20250815_ETF_Options_Exhibits'!B1124:B1128),"")</f>
        <v/>
      </c>
      <c r="C1128" s="3">
        <f>IF(ISNUMBER(AVERAGE('20250815_ETF_Options_Exhibits'!C1124:C1128)),AVERAGE('20250815_ETF_Options_Exhibits'!C1124:C1128),"")</f>
        <v/>
      </c>
      <c r="D1128" s="3">
        <f>IF(ISNUMBER(AVERAGE('20250815_ETF_Options_Exhibits'!D1124:D1128)),AVERAGE('20250815_ETF_Options_Exhibits'!D1124:D1128),"")</f>
        <v/>
      </c>
      <c r="E1128" s="3">
        <f>IF(ISNUMBER(AVERAGE('20250815_ETF_Options_Exhibits'!E1124:E1128)),AVERAGE('20250815_ETF_Options_Exhibits'!E1124:E1128),"")</f>
        <v/>
      </c>
      <c r="F1128" s="3">
        <f>IF(ISNUMBER(AVERAGE('20250815_ETF_Options_Exhibits'!F1124:F1128)),AVERAGE('20250815_ETF_Options_Exhibits'!F1124:F1128),"")</f>
        <v/>
      </c>
      <c r="G1128" s="3">
        <f>IF(ISNUMBER(AVERAGE('20250815_ETF_Options_Exhibits'!G1124:G1128)),AVERAGE('20250815_ETF_Options_Exhibits'!G1124:G1128),"")</f>
        <v/>
      </c>
      <c r="H1128" s="3">
        <f>IF(ISNUMBER(AVERAGE('20250815_ETF_Options_Exhibits'!H1124:H1128)),AVERAGE('20250815_ETF_Options_Exhibits'!H1124:H1128),"")</f>
        <v/>
      </c>
      <c r="I1128" s="3">
        <f>IF(ISNUMBER(AVERAGE('20250815_ETF_Options_Exhibits'!I1124:I1128)),AVERAGE('20250815_ETF_Options_Exhibits'!I1124:I1128),"")</f>
        <v/>
      </c>
      <c r="J1128" s="3">
        <f>IF(ISNUMBER(AVERAGE('20250815_ETF_Options_Exhibits'!J1124:J1128)),AVERAGE('20250815_ETF_Options_Exhibits'!J1124:J1128),"")</f>
        <v/>
      </c>
      <c r="K1128" s="3">
        <f>IF(ISNUMBER(AVERAGE('20250815_ETF_Options_Exhibits'!K1124:K1128)),AVERAGE('20250815_ETF_Options_Exhibits'!K1124:K1128),"")</f>
        <v/>
      </c>
      <c r="L1128" s="3">
        <f>IF(ISNUMBER(AVERAGE('20250815_ETF_Options_Exhibits'!L1124:L1128)),AVERAGE('20250815_ETF_Options_Exhibits'!L1124:L1128),"")</f>
        <v/>
      </c>
      <c r="M1128" s="3">
        <f>IF(ISNUMBER(AVERAGE('20250815_ETF_Options_Exhibits'!M1124:M1128)),AVERAGE('20250815_ETF_Options_Exhibits'!M1124:M1128),"")</f>
        <v/>
      </c>
      <c r="N1128" s="3">
        <f>IF(ISNUMBER(AVERAGE('20250815_ETF_Options_Exhibits'!N1124:N1128)),AVERAGE('20250815_ETF_Options_Exhibits'!N1124:N1128),"")</f>
        <v/>
      </c>
      <c r="O1128" s="3">
        <f>IF(ISNUMBER(AVERAGE('20250815_ETF_Options_Exhibits'!O1124:O1128)),AVERAGE('20250815_ETF_Options_Exhibits'!O1124:O1128),"")</f>
        <v/>
      </c>
      <c r="P1128" s="3">
        <f>IF(ISNUMBER(AVERAGE('20250815_ETF_Options_Exhibits'!P1124:P1128)),AVERAGE('20250815_ETF_Options_Exhibits'!P1124:P1128),"")</f>
        <v/>
      </c>
      <c r="Q1128" s="3">
        <f>IF(ISNUMBER(AVERAGE('20250815_ETF_Options_Exhibits'!Q1124:Q1128)),AVERAGE('20250815_ETF_Options_Exhibits'!Q1124:Q1128),"")</f>
        <v/>
      </c>
      <c r="R1128" s="3">
        <f>IF(ISNUMBER(AVERAGE('20250815_ETF_Options_Exhibits'!R1124:R1128)),AVERAGE('20250815_ETF_Options_Exhibits'!R1124:R1128),"")</f>
        <v/>
      </c>
      <c r="S1128" s="3">
        <f>IF(ISNUMBER(AVERAGE('20250815_ETF_Options_Exhibits'!S1124:S1128)),AVERAGE('20250815_ETF_Options_Exhibits'!S1124:S1128),"")</f>
        <v/>
      </c>
      <c r="T1128" s="3">
        <f>IF(ISNUMBER(AVERAGE('20250815_ETF_Options_Exhibits'!T1124:T1128)),AVERAGE('20250815_ETF_Options_Exhibits'!T1124:T1128),"")</f>
        <v/>
      </c>
      <c r="U1128" s="3">
        <f>IF(ISNUMBER(AVERAGE('20250815_ETF_Options_Exhibits'!U1124:U1128)),AVERAGE('20250815_ETF_Options_Exhibits'!U1124:U1128),"")</f>
        <v/>
      </c>
      <c r="V1128" s="3">
        <f>IF(ISNUMBER(AVERAGE('20250815_ETF_Options_Exhibits'!V1124:V1128)),AVERAGE('20250815_ETF_Options_Exhibits'!V1124:V1128),"")</f>
        <v/>
      </c>
      <c r="W1128" s="3">
        <f>IF(ISNUMBER(AVERAGE('20250815_ETF_Options_Exhibits'!W1124:W1128)),AVERAGE('20250815_ETF_Options_Exhibits'!W1124:W1128),"")</f>
        <v/>
      </c>
      <c r="X1128" s="3">
        <f>IF(ISNUMBER(AVERAGE('20250815_ETF_Options_Exhibits'!X1124:X1128)),AVERAGE('20250815_ETF_Options_Exhibits'!X1124:X1128),"")</f>
        <v/>
      </c>
      <c r="Y1128" s="3">
        <f>IF(ISNUMBER(AVERAGE('20250815_ETF_Options_Exhibits'!Y1124:Y1128)),AVERAGE('20250815_ETF_Options_Exhibits'!Y1124:Y1128),"")</f>
        <v/>
      </c>
      <c r="Z1128" s="3">
        <f>IF(ISNUMBER(AVERAGE('20250815_ETF_Options_Exhibits'!Z1124:Z1128)),AVERAGE('20250815_ETF_Options_Exhibits'!Z1124:Z1128),"")</f>
        <v/>
      </c>
      <c r="AA1128" s="3">
        <f>IF(ISNUMBER(AVERAGE('20250815_ETF_Options_Exhibits'!AA1124:AA1128)),AVERAGE('20250815_ETF_Options_Exhibits'!AA1124:AA1128),"")</f>
        <v/>
      </c>
    </row>
    <row r="1129">
      <c r="A1129" s="1" t="n">
        <v>43641</v>
      </c>
      <c r="B1129" s="3">
        <f>IF(ISNUMBER(AVERAGE('20250815_ETF_Options_Exhibits'!B1125:B1129)),AVERAGE('20250815_ETF_Options_Exhibits'!B1125:B1129),"")</f>
        <v/>
      </c>
      <c r="C1129" s="3">
        <f>IF(ISNUMBER(AVERAGE('20250815_ETF_Options_Exhibits'!C1125:C1129)),AVERAGE('20250815_ETF_Options_Exhibits'!C1125:C1129),"")</f>
        <v/>
      </c>
      <c r="D1129" s="3">
        <f>IF(ISNUMBER(AVERAGE('20250815_ETF_Options_Exhibits'!D1125:D1129)),AVERAGE('20250815_ETF_Options_Exhibits'!D1125:D1129),"")</f>
        <v/>
      </c>
      <c r="E1129" s="3">
        <f>IF(ISNUMBER(AVERAGE('20250815_ETF_Options_Exhibits'!E1125:E1129)),AVERAGE('20250815_ETF_Options_Exhibits'!E1125:E1129),"")</f>
        <v/>
      </c>
      <c r="F1129" s="3">
        <f>IF(ISNUMBER(AVERAGE('20250815_ETF_Options_Exhibits'!F1125:F1129)),AVERAGE('20250815_ETF_Options_Exhibits'!F1125:F1129),"")</f>
        <v/>
      </c>
      <c r="G1129" s="3">
        <f>IF(ISNUMBER(AVERAGE('20250815_ETF_Options_Exhibits'!G1125:G1129)),AVERAGE('20250815_ETF_Options_Exhibits'!G1125:G1129),"")</f>
        <v/>
      </c>
      <c r="H1129" s="3">
        <f>IF(ISNUMBER(AVERAGE('20250815_ETF_Options_Exhibits'!H1125:H1129)),AVERAGE('20250815_ETF_Options_Exhibits'!H1125:H1129),"")</f>
        <v/>
      </c>
      <c r="I1129" s="3">
        <f>IF(ISNUMBER(AVERAGE('20250815_ETF_Options_Exhibits'!I1125:I1129)),AVERAGE('20250815_ETF_Options_Exhibits'!I1125:I1129),"")</f>
        <v/>
      </c>
      <c r="J1129" s="3">
        <f>IF(ISNUMBER(AVERAGE('20250815_ETF_Options_Exhibits'!J1125:J1129)),AVERAGE('20250815_ETF_Options_Exhibits'!J1125:J1129),"")</f>
        <v/>
      </c>
      <c r="K1129" s="3">
        <f>IF(ISNUMBER(AVERAGE('20250815_ETF_Options_Exhibits'!K1125:K1129)),AVERAGE('20250815_ETF_Options_Exhibits'!K1125:K1129),"")</f>
        <v/>
      </c>
      <c r="L1129" s="3">
        <f>IF(ISNUMBER(AVERAGE('20250815_ETF_Options_Exhibits'!L1125:L1129)),AVERAGE('20250815_ETF_Options_Exhibits'!L1125:L1129),"")</f>
        <v/>
      </c>
      <c r="M1129" s="3">
        <f>IF(ISNUMBER(AVERAGE('20250815_ETF_Options_Exhibits'!M1125:M1129)),AVERAGE('20250815_ETF_Options_Exhibits'!M1125:M1129),"")</f>
        <v/>
      </c>
      <c r="N1129" s="3">
        <f>IF(ISNUMBER(AVERAGE('20250815_ETF_Options_Exhibits'!N1125:N1129)),AVERAGE('20250815_ETF_Options_Exhibits'!N1125:N1129),"")</f>
        <v/>
      </c>
      <c r="O1129" s="3">
        <f>IF(ISNUMBER(AVERAGE('20250815_ETF_Options_Exhibits'!O1125:O1129)),AVERAGE('20250815_ETF_Options_Exhibits'!O1125:O1129),"")</f>
        <v/>
      </c>
      <c r="P1129" s="3">
        <f>IF(ISNUMBER(AVERAGE('20250815_ETF_Options_Exhibits'!P1125:P1129)),AVERAGE('20250815_ETF_Options_Exhibits'!P1125:P1129),"")</f>
        <v/>
      </c>
      <c r="Q1129" s="3">
        <f>IF(ISNUMBER(AVERAGE('20250815_ETF_Options_Exhibits'!Q1125:Q1129)),AVERAGE('20250815_ETF_Options_Exhibits'!Q1125:Q1129),"")</f>
        <v/>
      </c>
      <c r="R1129" s="3">
        <f>IF(ISNUMBER(AVERAGE('20250815_ETF_Options_Exhibits'!R1125:R1129)),AVERAGE('20250815_ETF_Options_Exhibits'!R1125:R1129),"")</f>
        <v/>
      </c>
      <c r="S1129" s="3">
        <f>IF(ISNUMBER(AVERAGE('20250815_ETF_Options_Exhibits'!S1125:S1129)),AVERAGE('20250815_ETF_Options_Exhibits'!S1125:S1129),"")</f>
        <v/>
      </c>
      <c r="T1129" s="3">
        <f>IF(ISNUMBER(AVERAGE('20250815_ETF_Options_Exhibits'!T1125:T1129)),AVERAGE('20250815_ETF_Options_Exhibits'!T1125:T1129),"")</f>
        <v/>
      </c>
      <c r="U1129" s="3">
        <f>IF(ISNUMBER(AVERAGE('20250815_ETF_Options_Exhibits'!U1125:U1129)),AVERAGE('20250815_ETF_Options_Exhibits'!U1125:U1129),"")</f>
        <v/>
      </c>
      <c r="V1129" s="3">
        <f>IF(ISNUMBER(AVERAGE('20250815_ETF_Options_Exhibits'!V1125:V1129)),AVERAGE('20250815_ETF_Options_Exhibits'!V1125:V1129),"")</f>
        <v/>
      </c>
      <c r="W1129" s="3">
        <f>IF(ISNUMBER(AVERAGE('20250815_ETF_Options_Exhibits'!W1125:W1129)),AVERAGE('20250815_ETF_Options_Exhibits'!W1125:W1129),"")</f>
        <v/>
      </c>
      <c r="X1129" s="3">
        <f>IF(ISNUMBER(AVERAGE('20250815_ETF_Options_Exhibits'!X1125:X1129)),AVERAGE('20250815_ETF_Options_Exhibits'!X1125:X1129),"")</f>
        <v/>
      </c>
      <c r="Y1129" s="3">
        <f>IF(ISNUMBER(AVERAGE('20250815_ETF_Options_Exhibits'!Y1125:Y1129)),AVERAGE('20250815_ETF_Options_Exhibits'!Y1125:Y1129),"")</f>
        <v/>
      </c>
      <c r="Z1129" s="3">
        <f>IF(ISNUMBER(AVERAGE('20250815_ETF_Options_Exhibits'!Z1125:Z1129)),AVERAGE('20250815_ETF_Options_Exhibits'!Z1125:Z1129),"")</f>
        <v/>
      </c>
      <c r="AA1129" s="3">
        <f>IF(ISNUMBER(AVERAGE('20250815_ETF_Options_Exhibits'!AA1125:AA1129)),AVERAGE('20250815_ETF_Options_Exhibits'!AA1125:AA1129),"")</f>
        <v/>
      </c>
    </row>
    <row r="1130">
      <c r="A1130" s="1" t="n">
        <v>43642</v>
      </c>
      <c r="B1130" s="3">
        <f>IF(ISNUMBER(AVERAGE('20250815_ETF_Options_Exhibits'!B1126:B1130)),AVERAGE('20250815_ETF_Options_Exhibits'!B1126:B1130),"")</f>
        <v/>
      </c>
      <c r="C1130" s="3">
        <f>IF(ISNUMBER(AVERAGE('20250815_ETF_Options_Exhibits'!C1126:C1130)),AVERAGE('20250815_ETF_Options_Exhibits'!C1126:C1130),"")</f>
        <v/>
      </c>
      <c r="D1130" s="3">
        <f>IF(ISNUMBER(AVERAGE('20250815_ETF_Options_Exhibits'!D1126:D1130)),AVERAGE('20250815_ETF_Options_Exhibits'!D1126:D1130),"")</f>
        <v/>
      </c>
      <c r="E1130" s="3">
        <f>IF(ISNUMBER(AVERAGE('20250815_ETF_Options_Exhibits'!E1126:E1130)),AVERAGE('20250815_ETF_Options_Exhibits'!E1126:E1130),"")</f>
        <v/>
      </c>
      <c r="F1130" s="3">
        <f>IF(ISNUMBER(AVERAGE('20250815_ETF_Options_Exhibits'!F1126:F1130)),AVERAGE('20250815_ETF_Options_Exhibits'!F1126:F1130),"")</f>
        <v/>
      </c>
      <c r="G1130" s="3">
        <f>IF(ISNUMBER(AVERAGE('20250815_ETF_Options_Exhibits'!G1126:G1130)),AVERAGE('20250815_ETF_Options_Exhibits'!G1126:G1130),"")</f>
        <v/>
      </c>
      <c r="H1130" s="3">
        <f>IF(ISNUMBER(AVERAGE('20250815_ETF_Options_Exhibits'!H1126:H1130)),AVERAGE('20250815_ETF_Options_Exhibits'!H1126:H1130),"")</f>
        <v/>
      </c>
      <c r="I1130" s="3">
        <f>IF(ISNUMBER(AVERAGE('20250815_ETF_Options_Exhibits'!I1126:I1130)),AVERAGE('20250815_ETF_Options_Exhibits'!I1126:I1130),"")</f>
        <v/>
      </c>
      <c r="J1130" s="3">
        <f>IF(ISNUMBER(AVERAGE('20250815_ETF_Options_Exhibits'!J1126:J1130)),AVERAGE('20250815_ETF_Options_Exhibits'!J1126:J1130),"")</f>
        <v/>
      </c>
      <c r="K1130" s="3">
        <f>IF(ISNUMBER(AVERAGE('20250815_ETF_Options_Exhibits'!K1126:K1130)),AVERAGE('20250815_ETF_Options_Exhibits'!K1126:K1130),"")</f>
        <v/>
      </c>
      <c r="L1130" s="3">
        <f>IF(ISNUMBER(AVERAGE('20250815_ETF_Options_Exhibits'!L1126:L1130)),AVERAGE('20250815_ETF_Options_Exhibits'!L1126:L1130),"")</f>
        <v/>
      </c>
      <c r="M1130" s="3">
        <f>IF(ISNUMBER(AVERAGE('20250815_ETF_Options_Exhibits'!M1126:M1130)),AVERAGE('20250815_ETF_Options_Exhibits'!M1126:M1130),"")</f>
        <v/>
      </c>
      <c r="N1130" s="3">
        <f>IF(ISNUMBER(AVERAGE('20250815_ETF_Options_Exhibits'!N1126:N1130)),AVERAGE('20250815_ETF_Options_Exhibits'!N1126:N1130),"")</f>
        <v/>
      </c>
      <c r="O1130" s="3">
        <f>IF(ISNUMBER(AVERAGE('20250815_ETF_Options_Exhibits'!O1126:O1130)),AVERAGE('20250815_ETF_Options_Exhibits'!O1126:O1130),"")</f>
        <v/>
      </c>
      <c r="P1130" s="3">
        <f>IF(ISNUMBER(AVERAGE('20250815_ETF_Options_Exhibits'!P1126:P1130)),AVERAGE('20250815_ETF_Options_Exhibits'!P1126:P1130),"")</f>
        <v/>
      </c>
      <c r="Q1130" s="3">
        <f>IF(ISNUMBER(AVERAGE('20250815_ETF_Options_Exhibits'!Q1126:Q1130)),AVERAGE('20250815_ETF_Options_Exhibits'!Q1126:Q1130),"")</f>
        <v/>
      </c>
      <c r="R1130" s="3">
        <f>IF(ISNUMBER(AVERAGE('20250815_ETF_Options_Exhibits'!R1126:R1130)),AVERAGE('20250815_ETF_Options_Exhibits'!R1126:R1130),"")</f>
        <v/>
      </c>
      <c r="S1130" s="3">
        <f>IF(ISNUMBER(AVERAGE('20250815_ETF_Options_Exhibits'!S1126:S1130)),AVERAGE('20250815_ETF_Options_Exhibits'!S1126:S1130),"")</f>
        <v/>
      </c>
      <c r="T1130" s="3">
        <f>IF(ISNUMBER(AVERAGE('20250815_ETF_Options_Exhibits'!T1126:T1130)),AVERAGE('20250815_ETF_Options_Exhibits'!T1126:T1130),"")</f>
        <v/>
      </c>
      <c r="U1130" s="3">
        <f>IF(ISNUMBER(AVERAGE('20250815_ETF_Options_Exhibits'!U1126:U1130)),AVERAGE('20250815_ETF_Options_Exhibits'!U1126:U1130),"")</f>
        <v/>
      </c>
      <c r="V1130" s="3">
        <f>IF(ISNUMBER(AVERAGE('20250815_ETF_Options_Exhibits'!V1126:V1130)),AVERAGE('20250815_ETF_Options_Exhibits'!V1126:V1130),"")</f>
        <v/>
      </c>
      <c r="W1130" s="3">
        <f>IF(ISNUMBER(AVERAGE('20250815_ETF_Options_Exhibits'!W1126:W1130)),AVERAGE('20250815_ETF_Options_Exhibits'!W1126:W1130),"")</f>
        <v/>
      </c>
      <c r="X1130" s="3">
        <f>IF(ISNUMBER(AVERAGE('20250815_ETF_Options_Exhibits'!X1126:X1130)),AVERAGE('20250815_ETF_Options_Exhibits'!X1126:X1130),"")</f>
        <v/>
      </c>
      <c r="Y1130" s="3">
        <f>IF(ISNUMBER(AVERAGE('20250815_ETF_Options_Exhibits'!Y1126:Y1130)),AVERAGE('20250815_ETF_Options_Exhibits'!Y1126:Y1130),"")</f>
        <v/>
      </c>
      <c r="Z1130" s="3">
        <f>IF(ISNUMBER(AVERAGE('20250815_ETF_Options_Exhibits'!Z1126:Z1130)),AVERAGE('20250815_ETF_Options_Exhibits'!Z1126:Z1130),"")</f>
        <v/>
      </c>
      <c r="AA1130" s="3">
        <f>IF(ISNUMBER(AVERAGE('20250815_ETF_Options_Exhibits'!AA1126:AA1130)),AVERAGE('20250815_ETF_Options_Exhibits'!AA1126:AA1130),"")</f>
        <v/>
      </c>
    </row>
    <row r="1131">
      <c r="A1131" s="1" t="n">
        <v>43643</v>
      </c>
      <c r="B1131" s="3">
        <f>IF(ISNUMBER(AVERAGE('20250815_ETF_Options_Exhibits'!B1127:B1131)),AVERAGE('20250815_ETF_Options_Exhibits'!B1127:B1131),"")</f>
        <v/>
      </c>
      <c r="C1131" s="3">
        <f>IF(ISNUMBER(AVERAGE('20250815_ETF_Options_Exhibits'!C1127:C1131)),AVERAGE('20250815_ETF_Options_Exhibits'!C1127:C1131),"")</f>
        <v/>
      </c>
      <c r="D1131" s="3">
        <f>IF(ISNUMBER(AVERAGE('20250815_ETF_Options_Exhibits'!D1127:D1131)),AVERAGE('20250815_ETF_Options_Exhibits'!D1127:D1131),"")</f>
        <v/>
      </c>
      <c r="E1131" s="3">
        <f>IF(ISNUMBER(AVERAGE('20250815_ETF_Options_Exhibits'!E1127:E1131)),AVERAGE('20250815_ETF_Options_Exhibits'!E1127:E1131),"")</f>
        <v/>
      </c>
      <c r="F1131" s="3">
        <f>IF(ISNUMBER(AVERAGE('20250815_ETF_Options_Exhibits'!F1127:F1131)),AVERAGE('20250815_ETF_Options_Exhibits'!F1127:F1131),"")</f>
        <v/>
      </c>
      <c r="G1131" s="3">
        <f>IF(ISNUMBER(AVERAGE('20250815_ETF_Options_Exhibits'!G1127:G1131)),AVERAGE('20250815_ETF_Options_Exhibits'!G1127:G1131),"")</f>
        <v/>
      </c>
      <c r="H1131" s="3">
        <f>IF(ISNUMBER(AVERAGE('20250815_ETF_Options_Exhibits'!H1127:H1131)),AVERAGE('20250815_ETF_Options_Exhibits'!H1127:H1131),"")</f>
        <v/>
      </c>
      <c r="I1131" s="3">
        <f>IF(ISNUMBER(AVERAGE('20250815_ETF_Options_Exhibits'!I1127:I1131)),AVERAGE('20250815_ETF_Options_Exhibits'!I1127:I1131),"")</f>
        <v/>
      </c>
      <c r="J1131" s="3">
        <f>IF(ISNUMBER(AVERAGE('20250815_ETF_Options_Exhibits'!J1127:J1131)),AVERAGE('20250815_ETF_Options_Exhibits'!J1127:J1131),"")</f>
        <v/>
      </c>
      <c r="K1131" s="3">
        <f>IF(ISNUMBER(AVERAGE('20250815_ETF_Options_Exhibits'!K1127:K1131)),AVERAGE('20250815_ETF_Options_Exhibits'!K1127:K1131),"")</f>
        <v/>
      </c>
      <c r="L1131" s="3">
        <f>IF(ISNUMBER(AVERAGE('20250815_ETF_Options_Exhibits'!L1127:L1131)),AVERAGE('20250815_ETF_Options_Exhibits'!L1127:L1131),"")</f>
        <v/>
      </c>
      <c r="M1131" s="3">
        <f>IF(ISNUMBER(AVERAGE('20250815_ETF_Options_Exhibits'!M1127:M1131)),AVERAGE('20250815_ETF_Options_Exhibits'!M1127:M1131),"")</f>
        <v/>
      </c>
      <c r="N1131" s="3">
        <f>IF(ISNUMBER(AVERAGE('20250815_ETF_Options_Exhibits'!N1127:N1131)),AVERAGE('20250815_ETF_Options_Exhibits'!N1127:N1131),"")</f>
        <v/>
      </c>
      <c r="O1131" s="3">
        <f>IF(ISNUMBER(AVERAGE('20250815_ETF_Options_Exhibits'!O1127:O1131)),AVERAGE('20250815_ETF_Options_Exhibits'!O1127:O1131),"")</f>
        <v/>
      </c>
      <c r="P1131" s="3">
        <f>IF(ISNUMBER(AVERAGE('20250815_ETF_Options_Exhibits'!P1127:P1131)),AVERAGE('20250815_ETF_Options_Exhibits'!P1127:P1131),"")</f>
        <v/>
      </c>
      <c r="Q1131" s="3">
        <f>IF(ISNUMBER(AVERAGE('20250815_ETF_Options_Exhibits'!Q1127:Q1131)),AVERAGE('20250815_ETF_Options_Exhibits'!Q1127:Q1131),"")</f>
        <v/>
      </c>
      <c r="R1131" s="3">
        <f>IF(ISNUMBER(AVERAGE('20250815_ETF_Options_Exhibits'!R1127:R1131)),AVERAGE('20250815_ETF_Options_Exhibits'!R1127:R1131),"")</f>
        <v/>
      </c>
      <c r="S1131" s="3">
        <f>IF(ISNUMBER(AVERAGE('20250815_ETF_Options_Exhibits'!S1127:S1131)),AVERAGE('20250815_ETF_Options_Exhibits'!S1127:S1131),"")</f>
        <v/>
      </c>
      <c r="T1131" s="3">
        <f>IF(ISNUMBER(AVERAGE('20250815_ETF_Options_Exhibits'!T1127:T1131)),AVERAGE('20250815_ETF_Options_Exhibits'!T1127:T1131),"")</f>
        <v/>
      </c>
      <c r="U1131" s="3">
        <f>IF(ISNUMBER(AVERAGE('20250815_ETF_Options_Exhibits'!U1127:U1131)),AVERAGE('20250815_ETF_Options_Exhibits'!U1127:U1131),"")</f>
        <v/>
      </c>
      <c r="V1131" s="3">
        <f>IF(ISNUMBER(AVERAGE('20250815_ETF_Options_Exhibits'!V1127:V1131)),AVERAGE('20250815_ETF_Options_Exhibits'!V1127:V1131),"")</f>
        <v/>
      </c>
      <c r="W1131" s="3">
        <f>IF(ISNUMBER(AVERAGE('20250815_ETF_Options_Exhibits'!W1127:W1131)),AVERAGE('20250815_ETF_Options_Exhibits'!W1127:W1131),"")</f>
        <v/>
      </c>
      <c r="X1131" s="3">
        <f>IF(ISNUMBER(AVERAGE('20250815_ETF_Options_Exhibits'!X1127:X1131)),AVERAGE('20250815_ETF_Options_Exhibits'!X1127:X1131),"")</f>
        <v/>
      </c>
      <c r="Y1131" s="3">
        <f>IF(ISNUMBER(AVERAGE('20250815_ETF_Options_Exhibits'!Y1127:Y1131)),AVERAGE('20250815_ETF_Options_Exhibits'!Y1127:Y1131),"")</f>
        <v/>
      </c>
      <c r="Z1131" s="3">
        <f>IF(ISNUMBER(AVERAGE('20250815_ETF_Options_Exhibits'!Z1127:Z1131)),AVERAGE('20250815_ETF_Options_Exhibits'!Z1127:Z1131),"")</f>
        <v/>
      </c>
      <c r="AA1131" s="3">
        <f>IF(ISNUMBER(AVERAGE('20250815_ETF_Options_Exhibits'!AA1127:AA1131)),AVERAGE('20250815_ETF_Options_Exhibits'!AA1127:AA1131),"")</f>
        <v/>
      </c>
    </row>
    <row r="1132">
      <c r="A1132" s="1" t="n">
        <v>43644</v>
      </c>
      <c r="B1132" s="3">
        <f>IF(ISNUMBER(AVERAGE('20250815_ETF_Options_Exhibits'!B1128:B1132)),AVERAGE('20250815_ETF_Options_Exhibits'!B1128:B1132),"")</f>
        <v/>
      </c>
      <c r="C1132" s="3">
        <f>IF(ISNUMBER(AVERAGE('20250815_ETF_Options_Exhibits'!C1128:C1132)),AVERAGE('20250815_ETF_Options_Exhibits'!C1128:C1132),"")</f>
        <v/>
      </c>
      <c r="D1132" s="3">
        <f>IF(ISNUMBER(AVERAGE('20250815_ETF_Options_Exhibits'!D1128:D1132)),AVERAGE('20250815_ETF_Options_Exhibits'!D1128:D1132),"")</f>
        <v/>
      </c>
      <c r="E1132" s="3">
        <f>IF(ISNUMBER(AVERAGE('20250815_ETF_Options_Exhibits'!E1128:E1132)),AVERAGE('20250815_ETF_Options_Exhibits'!E1128:E1132),"")</f>
        <v/>
      </c>
      <c r="F1132" s="3">
        <f>IF(ISNUMBER(AVERAGE('20250815_ETF_Options_Exhibits'!F1128:F1132)),AVERAGE('20250815_ETF_Options_Exhibits'!F1128:F1132),"")</f>
        <v/>
      </c>
      <c r="G1132" s="3">
        <f>IF(ISNUMBER(AVERAGE('20250815_ETF_Options_Exhibits'!G1128:G1132)),AVERAGE('20250815_ETF_Options_Exhibits'!G1128:G1132),"")</f>
        <v/>
      </c>
      <c r="H1132" s="3">
        <f>IF(ISNUMBER(AVERAGE('20250815_ETF_Options_Exhibits'!H1128:H1132)),AVERAGE('20250815_ETF_Options_Exhibits'!H1128:H1132),"")</f>
        <v/>
      </c>
      <c r="I1132" s="3">
        <f>IF(ISNUMBER(AVERAGE('20250815_ETF_Options_Exhibits'!I1128:I1132)),AVERAGE('20250815_ETF_Options_Exhibits'!I1128:I1132),"")</f>
        <v/>
      </c>
      <c r="J1132" s="3">
        <f>IF(ISNUMBER(AVERAGE('20250815_ETF_Options_Exhibits'!J1128:J1132)),AVERAGE('20250815_ETF_Options_Exhibits'!J1128:J1132),"")</f>
        <v/>
      </c>
      <c r="K1132" s="3">
        <f>IF(ISNUMBER(AVERAGE('20250815_ETF_Options_Exhibits'!K1128:K1132)),AVERAGE('20250815_ETF_Options_Exhibits'!K1128:K1132),"")</f>
        <v/>
      </c>
      <c r="L1132" s="3">
        <f>IF(ISNUMBER(AVERAGE('20250815_ETF_Options_Exhibits'!L1128:L1132)),AVERAGE('20250815_ETF_Options_Exhibits'!L1128:L1132),"")</f>
        <v/>
      </c>
      <c r="M1132" s="3">
        <f>IF(ISNUMBER(AVERAGE('20250815_ETF_Options_Exhibits'!M1128:M1132)),AVERAGE('20250815_ETF_Options_Exhibits'!M1128:M1132),"")</f>
        <v/>
      </c>
      <c r="N1132" s="3">
        <f>IF(ISNUMBER(AVERAGE('20250815_ETF_Options_Exhibits'!N1128:N1132)),AVERAGE('20250815_ETF_Options_Exhibits'!N1128:N1132),"")</f>
        <v/>
      </c>
      <c r="O1132" s="3">
        <f>IF(ISNUMBER(AVERAGE('20250815_ETF_Options_Exhibits'!O1128:O1132)),AVERAGE('20250815_ETF_Options_Exhibits'!O1128:O1132),"")</f>
        <v/>
      </c>
      <c r="P1132" s="3">
        <f>IF(ISNUMBER(AVERAGE('20250815_ETF_Options_Exhibits'!P1128:P1132)),AVERAGE('20250815_ETF_Options_Exhibits'!P1128:P1132),"")</f>
        <v/>
      </c>
      <c r="Q1132" s="3">
        <f>IF(ISNUMBER(AVERAGE('20250815_ETF_Options_Exhibits'!Q1128:Q1132)),AVERAGE('20250815_ETF_Options_Exhibits'!Q1128:Q1132),"")</f>
        <v/>
      </c>
      <c r="R1132" s="3">
        <f>IF(ISNUMBER(AVERAGE('20250815_ETF_Options_Exhibits'!R1128:R1132)),AVERAGE('20250815_ETF_Options_Exhibits'!R1128:R1132),"")</f>
        <v/>
      </c>
      <c r="S1132" s="3">
        <f>IF(ISNUMBER(AVERAGE('20250815_ETF_Options_Exhibits'!S1128:S1132)),AVERAGE('20250815_ETF_Options_Exhibits'!S1128:S1132),"")</f>
        <v/>
      </c>
      <c r="T1132" s="3">
        <f>IF(ISNUMBER(AVERAGE('20250815_ETF_Options_Exhibits'!T1128:T1132)),AVERAGE('20250815_ETF_Options_Exhibits'!T1128:T1132),"")</f>
        <v/>
      </c>
      <c r="U1132" s="3">
        <f>IF(ISNUMBER(AVERAGE('20250815_ETF_Options_Exhibits'!U1128:U1132)),AVERAGE('20250815_ETF_Options_Exhibits'!U1128:U1132),"")</f>
        <v/>
      </c>
      <c r="V1132" s="3">
        <f>IF(ISNUMBER(AVERAGE('20250815_ETF_Options_Exhibits'!V1128:V1132)),AVERAGE('20250815_ETF_Options_Exhibits'!V1128:V1132),"")</f>
        <v/>
      </c>
      <c r="W1132" s="3">
        <f>IF(ISNUMBER(AVERAGE('20250815_ETF_Options_Exhibits'!W1128:W1132)),AVERAGE('20250815_ETF_Options_Exhibits'!W1128:W1132),"")</f>
        <v/>
      </c>
      <c r="X1132" s="3">
        <f>IF(ISNUMBER(AVERAGE('20250815_ETF_Options_Exhibits'!X1128:X1132)),AVERAGE('20250815_ETF_Options_Exhibits'!X1128:X1132),"")</f>
        <v/>
      </c>
      <c r="Y1132" s="3">
        <f>IF(ISNUMBER(AVERAGE('20250815_ETF_Options_Exhibits'!Y1128:Y1132)),AVERAGE('20250815_ETF_Options_Exhibits'!Y1128:Y1132),"")</f>
        <v/>
      </c>
      <c r="Z1132" s="3">
        <f>IF(ISNUMBER(AVERAGE('20250815_ETF_Options_Exhibits'!Z1128:Z1132)),AVERAGE('20250815_ETF_Options_Exhibits'!Z1128:Z1132),"")</f>
        <v/>
      </c>
      <c r="AA1132" s="3">
        <f>IF(ISNUMBER(AVERAGE('20250815_ETF_Options_Exhibits'!AA1128:AA1132)),AVERAGE('20250815_ETF_Options_Exhibits'!AA1128:AA1132),"")</f>
        <v/>
      </c>
    </row>
    <row r="1133">
      <c r="A1133" s="1" t="n">
        <v>43647</v>
      </c>
      <c r="B1133" s="3">
        <f>IF(ISNUMBER(AVERAGE('20250815_ETF_Options_Exhibits'!B1129:B1133)),AVERAGE('20250815_ETF_Options_Exhibits'!B1129:B1133),"")</f>
        <v/>
      </c>
      <c r="C1133" s="3">
        <f>IF(ISNUMBER(AVERAGE('20250815_ETF_Options_Exhibits'!C1129:C1133)),AVERAGE('20250815_ETF_Options_Exhibits'!C1129:C1133),"")</f>
        <v/>
      </c>
      <c r="D1133" s="3">
        <f>IF(ISNUMBER(AVERAGE('20250815_ETF_Options_Exhibits'!D1129:D1133)),AVERAGE('20250815_ETF_Options_Exhibits'!D1129:D1133),"")</f>
        <v/>
      </c>
      <c r="E1133" s="3">
        <f>IF(ISNUMBER(AVERAGE('20250815_ETF_Options_Exhibits'!E1129:E1133)),AVERAGE('20250815_ETF_Options_Exhibits'!E1129:E1133),"")</f>
        <v/>
      </c>
      <c r="F1133" s="3">
        <f>IF(ISNUMBER(AVERAGE('20250815_ETF_Options_Exhibits'!F1129:F1133)),AVERAGE('20250815_ETF_Options_Exhibits'!F1129:F1133),"")</f>
        <v/>
      </c>
      <c r="G1133" s="3">
        <f>IF(ISNUMBER(AVERAGE('20250815_ETF_Options_Exhibits'!G1129:G1133)),AVERAGE('20250815_ETF_Options_Exhibits'!G1129:G1133),"")</f>
        <v/>
      </c>
      <c r="H1133" s="3">
        <f>IF(ISNUMBER(AVERAGE('20250815_ETF_Options_Exhibits'!H1129:H1133)),AVERAGE('20250815_ETF_Options_Exhibits'!H1129:H1133),"")</f>
        <v/>
      </c>
      <c r="I1133" s="3">
        <f>IF(ISNUMBER(AVERAGE('20250815_ETF_Options_Exhibits'!I1129:I1133)),AVERAGE('20250815_ETF_Options_Exhibits'!I1129:I1133),"")</f>
        <v/>
      </c>
      <c r="J1133" s="3">
        <f>IF(ISNUMBER(AVERAGE('20250815_ETF_Options_Exhibits'!J1129:J1133)),AVERAGE('20250815_ETF_Options_Exhibits'!J1129:J1133),"")</f>
        <v/>
      </c>
      <c r="K1133" s="3">
        <f>IF(ISNUMBER(AVERAGE('20250815_ETF_Options_Exhibits'!K1129:K1133)),AVERAGE('20250815_ETF_Options_Exhibits'!K1129:K1133),"")</f>
        <v/>
      </c>
      <c r="L1133" s="3">
        <f>IF(ISNUMBER(AVERAGE('20250815_ETF_Options_Exhibits'!L1129:L1133)),AVERAGE('20250815_ETF_Options_Exhibits'!L1129:L1133),"")</f>
        <v/>
      </c>
      <c r="M1133" s="3">
        <f>IF(ISNUMBER(AVERAGE('20250815_ETF_Options_Exhibits'!M1129:M1133)),AVERAGE('20250815_ETF_Options_Exhibits'!M1129:M1133),"")</f>
        <v/>
      </c>
      <c r="N1133" s="3">
        <f>IF(ISNUMBER(AVERAGE('20250815_ETF_Options_Exhibits'!N1129:N1133)),AVERAGE('20250815_ETF_Options_Exhibits'!N1129:N1133),"")</f>
        <v/>
      </c>
      <c r="O1133" s="3">
        <f>IF(ISNUMBER(AVERAGE('20250815_ETF_Options_Exhibits'!O1129:O1133)),AVERAGE('20250815_ETF_Options_Exhibits'!O1129:O1133),"")</f>
        <v/>
      </c>
      <c r="P1133" s="3">
        <f>IF(ISNUMBER(AVERAGE('20250815_ETF_Options_Exhibits'!P1129:P1133)),AVERAGE('20250815_ETF_Options_Exhibits'!P1129:P1133),"")</f>
        <v/>
      </c>
      <c r="Q1133" s="3">
        <f>IF(ISNUMBER(AVERAGE('20250815_ETF_Options_Exhibits'!Q1129:Q1133)),AVERAGE('20250815_ETF_Options_Exhibits'!Q1129:Q1133),"")</f>
        <v/>
      </c>
      <c r="R1133" s="3">
        <f>IF(ISNUMBER(AVERAGE('20250815_ETF_Options_Exhibits'!R1129:R1133)),AVERAGE('20250815_ETF_Options_Exhibits'!R1129:R1133),"")</f>
        <v/>
      </c>
      <c r="S1133" s="3">
        <f>IF(ISNUMBER(AVERAGE('20250815_ETF_Options_Exhibits'!S1129:S1133)),AVERAGE('20250815_ETF_Options_Exhibits'!S1129:S1133),"")</f>
        <v/>
      </c>
      <c r="T1133" s="3">
        <f>IF(ISNUMBER(AVERAGE('20250815_ETF_Options_Exhibits'!T1129:T1133)),AVERAGE('20250815_ETF_Options_Exhibits'!T1129:T1133),"")</f>
        <v/>
      </c>
      <c r="U1133" s="3">
        <f>IF(ISNUMBER(AVERAGE('20250815_ETF_Options_Exhibits'!U1129:U1133)),AVERAGE('20250815_ETF_Options_Exhibits'!U1129:U1133),"")</f>
        <v/>
      </c>
      <c r="V1133" s="3">
        <f>IF(ISNUMBER(AVERAGE('20250815_ETF_Options_Exhibits'!V1129:V1133)),AVERAGE('20250815_ETF_Options_Exhibits'!V1129:V1133),"")</f>
        <v/>
      </c>
      <c r="W1133" s="3">
        <f>IF(ISNUMBER(AVERAGE('20250815_ETF_Options_Exhibits'!W1129:W1133)),AVERAGE('20250815_ETF_Options_Exhibits'!W1129:W1133),"")</f>
        <v/>
      </c>
      <c r="X1133" s="3">
        <f>IF(ISNUMBER(AVERAGE('20250815_ETF_Options_Exhibits'!X1129:X1133)),AVERAGE('20250815_ETF_Options_Exhibits'!X1129:X1133),"")</f>
        <v/>
      </c>
      <c r="Y1133" s="3">
        <f>IF(ISNUMBER(AVERAGE('20250815_ETF_Options_Exhibits'!Y1129:Y1133)),AVERAGE('20250815_ETF_Options_Exhibits'!Y1129:Y1133),"")</f>
        <v/>
      </c>
      <c r="Z1133" s="3">
        <f>IF(ISNUMBER(AVERAGE('20250815_ETF_Options_Exhibits'!Z1129:Z1133)),AVERAGE('20250815_ETF_Options_Exhibits'!Z1129:Z1133),"")</f>
        <v/>
      </c>
      <c r="AA1133" s="3">
        <f>IF(ISNUMBER(AVERAGE('20250815_ETF_Options_Exhibits'!AA1129:AA1133)),AVERAGE('20250815_ETF_Options_Exhibits'!AA1129:AA1133),"")</f>
        <v/>
      </c>
    </row>
    <row r="1134">
      <c r="A1134" s="1" t="n">
        <v>43648</v>
      </c>
      <c r="B1134" s="3">
        <f>IF(ISNUMBER(AVERAGE('20250815_ETF_Options_Exhibits'!B1130:B1134)),AVERAGE('20250815_ETF_Options_Exhibits'!B1130:B1134),"")</f>
        <v/>
      </c>
      <c r="C1134" s="3">
        <f>IF(ISNUMBER(AVERAGE('20250815_ETF_Options_Exhibits'!C1130:C1134)),AVERAGE('20250815_ETF_Options_Exhibits'!C1130:C1134),"")</f>
        <v/>
      </c>
      <c r="D1134" s="3">
        <f>IF(ISNUMBER(AVERAGE('20250815_ETF_Options_Exhibits'!D1130:D1134)),AVERAGE('20250815_ETF_Options_Exhibits'!D1130:D1134),"")</f>
        <v/>
      </c>
      <c r="E1134" s="3">
        <f>IF(ISNUMBER(AVERAGE('20250815_ETF_Options_Exhibits'!E1130:E1134)),AVERAGE('20250815_ETF_Options_Exhibits'!E1130:E1134),"")</f>
        <v/>
      </c>
      <c r="F1134" s="3">
        <f>IF(ISNUMBER(AVERAGE('20250815_ETF_Options_Exhibits'!F1130:F1134)),AVERAGE('20250815_ETF_Options_Exhibits'!F1130:F1134),"")</f>
        <v/>
      </c>
      <c r="G1134" s="3">
        <f>IF(ISNUMBER(AVERAGE('20250815_ETF_Options_Exhibits'!G1130:G1134)),AVERAGE('20250815_ETF_Options_Exhibits'!G1130:G1134),"")</f>
        <v/>
      </c>
      <c r="H1134" s="3">
        <f>IF(ISNUMBER(AVERAGE('20250815_ETF_Options_Exhibits'!H1130:H1134)),AVERAGE('20250815_ETF_Options_Exhibits'!H1130:H1134),"")</f>
        <v/>
      </c>
      <c r="I1134" s="3">
        <f>IF(ISNUMBER(AVERAGE('20250815_ETF_Options_Exhibits'!I1130:I1134)),AVERAGE('20250815_ETF_Options_Exhibits'!I1130:I1134),"")</f>
        <v/>
      </c>
      <c r="J1134" s="3">
        <f>IF(ISNUMBER(AVERAGE('20250815_ETF_Options_Exhibits'!J1130:J1134)),AVERAGE('20250815_ETF_Options_Exhibits'!J1130:J1134),"")</f>
        <v/>
      </c>
      <c r="K1134" s="3">
        <f>IF(ISNUMBER(AVERAGE('20250815_ETF_Options_Exhibits'!K1130:K1134)),AVERAGE('20250815_ETF_Options_Exhibits'!K1130:K1134),"")</f>
        <v/>
      </c>
      <c r="L1134" s="3">
        <f>IF(ISNUMBER(AVERAGE('20250815_ETF_Options_Exhibits'!L1130:L1134)),AVERAGE('20250815_ETF_Options_Exhibits'!L1130:L1134),"")</f>
        <v/>
      </c>
      <c r="M1134" s="3">
        <f>IF(ISNUMBER(AVERAGE('20250815_ETF_Options_Exhibits'!M1130:M1134)),AVERAGE('20250815_ETF_Options_Exhibits'!M1130:M1134),"")</f>
        <v/>
      </c>
      <c r="N1134" s="3">
        <f>IF(ISNUMBER(AVERAGE('20250815_ETF_Options_Exhibits'!N1130:N1134)),AVERAGE('20250815_ETF_Options_Exhibits'!N1130:N1134),"")</f>
        <v/>
      </c>
      <c r="O1134" s="3">
        <f>IF(ISNUMBER(AVERAGE('20250815_ETF_Options_Exhibits'!O1130:O1134)),AVERAGE('20250815_ETF_Options_Exhibits'!O1130:O1134),"")</f>
        <v/>
      </c>
      <c r="P1134" s="3">
        <f>IF(ISNUMBER(AVERAGE('20250815_ETF_Options_Exhibits'!P1130:P1134)),AVERAGE('20250815_ETF_Options_Exhibits'!P1130:P1134),"")</f>
        <v/>
      </c>
      <c r="Q1134" s="3">
        <f>IF(ISNUMBER(AVERAGE('20250815_ETF_Options_Exhibits'!Q1130:Q1134)),AVERAGE('20250815_ETF_Options_Exhibits'!Q1130:Q1134),"")</f>
        <v/>
      </c>
      <c r="R1134" s="3">
        <f>IF(ISNUMBER(AVERAGE('20250815_ETF_Options_Exhibits'!R1130:R1134)),AVERAGE('20250815_ETF_Options_Exhibits'!R1130:R1134),"")</f>
        <v/>
      </c>
      <c r="S1134" s="3">
        <f>IF(ISNUMBER(AVERAGE('20250815_ETF_Options_Exhibits'!S1130:S1134)),AVERAGE('20250815_ETF_Options_Exhibits'!S1130:S1134),"")</f>
        <v/>
      </c>
      <c r="T1134" s="3">
        <f>IF(ISNUMBER(AVERAGE('20250815_ETF_Options_Exhibits'!T1130:T1134)),AVERAGE('20250815_ETF_Options_Exhibits'!T1130:T1134),"")</f>
        <v/>
      </c>
      <c r="U1134" s="3">
        <f>IF(ISNUMBER(AVERAGE('20250815_ETF_Options_Exhibits'!U1130:U1134)),AVERAGE('20250815_ETF_Options_Exhibits'!U1130:U1134),"")</f>
        <v/>
      </c>
      <c r="V1134" s="3">
        <f>IF(ISNUMBER(AVERAGE('20250815_ETF_Options_Exhibits'!V1130:V1134)),AVERAGE('20250815_ETF_Options_Exhibits'!V1130:V1134),"")</f>
        <v/>
      </c>
      <c r="W1134" s="3">
        <f>IF(ISNUMBER(AVERAGE('20250815_ETF_Options_Exhibits'!W1130:W1134)),AVERAGE('20250815_ETF_Options_Exhibits'!W1130:W1134),"")</f>
        <v/>
      </c>
      <c r="X1134" s="3">
        <f>IF(ISNUMBER(AVERAGE('20250815_ETF_Options_Exhibits'!X1130:X1134)),AVERAGE('20250815_ETF_Options_Exhibits'!X1130:X1134),"")</f>
        <v/>
      </c>
      <c r="Y1134" s="3">
        <f>IF(ISNUMBER(AVERAGE('20250815_ETF_Options_Exhibits'!Y1130:Y1134)),AVERAGE('20250815_ETF_Options_Exhibits'!Y1130:Y1134),"")</f>
        <v/>
      </c>
      <c r="Z1134" s="3">
        <f>IF(ISNUMBER(AVERAGE('20250815_ETF_Options_Exhibits'!Z1130:Z1134)),AVERAGE('20250815_ETF_Options_Exhibits'!Z1130:Z1134),"")</f>
        <v/>
      </c>
      <c r="AA1134" s="3">
        <f>IF(ISNUMBER(AVERAGE('20250815_ETF_Options_Exhibits'!AA1130:AA1134)),AVERAGE('20250815_ETF_Options_Exhibits'!AA1130:AA1134),"")</f>
        <v/>
      </c>
    </row>
    <row r="1135">
      <c r="A1135" s="1" t="n">
        <v>43649</v>
      </c>
      <c r="B1135" s="3">
        <f>IF(ISNUMBER(AVERAGE('20250815_ETF_Options_Exhibits'!B1131:B1135)),AVERAGE('20250815_ETF_Options_Exhibits'!B1131:B1135),"")</f>
        <v/>
      </c>
      <c r="C1135" s="3">
        <f>IF(ISNUMBER(AVERAGE('20250815_ETF_Options_Exhibits'!C1131:C1135)),AVERAGE('20250815_ETF_Options_Exhibits'!C1131:C1135),"")</f>
        <v/>
      </c>
      <c r="D1135" s="3">
        <f>IF(ISNUMBER(AVERAGE('20250815_ETF_Options_Exhibits'!D1131:D1135)),AVERAGE('20250815_ETF_Options_Exhibits'!D1131:D1135),"")</f>
        <v/>
      </c>
      <c r="E1135" s="3">
        <f>IF(ISNUMBER(AVERAGE('20250815_ETF_Options_Exhibits'!E1131:E1135)),AVERAGE('20250815_ETF_Options_Exhibits'!E1131:E1135),"")</f>
        <v/>
      </c>
      <c r="F1135" s="3">
        <f>IF(ISNUMBER(AVERAGE('20250815_ETF_Options_Exhibits'!F1131:F1135)),AVERAGE('20250815_ETF_Options_Exhibits'!F1131:F1135),"")</f>
        <v/>
      </c>
      <c r="G1135" s="3">
        <f>IF(ISNUMBER(AVERAGE('20250815_ETF_Options_Exhibits'!G1131:G1135)),AVERAGE('20250815_ETF_Options_Exhibits'!G1131:G1135),"")</f>
        <v/>
      </c>
      <c r="H1135" s="3">
        <f>IF(ISNUMBER(AVERAGE('20250815_ETF_Options_Exhibits'!H1131:H1135)),AVERAGE('20250815_ETF_Options_Exhibits'!H1131:H1135),"")</f>
        <v/>
      </c>
      <c r="I1135" s="3">
        <f>IF(ISNUMBER(AVERAGE('20250815_ETF_Options_Exhibits'!I1131:I1135)),AVERAGE('20250815_ETF_Options_Exhibits'!I1131:I1135),"")</f>
        <v/>
      </c>
      <c r="J1135" s="3">
        <f>IF(ISNUMBER(AVERAGE('20250815_ETF_Options_Exhibits'!J1131:J1135)),AVERAGE('20250815_ETF_Options_Exhibits'!J1131:J1135),"")</f>
        <v/>
      </c>
      <c r="K1135" s="3">
        <f>IF(ISNUMBER(AVERAGE('20250815_ETF_Options_Exhibits'!K1131:K1135)),AVERAGE('20250815_ETF_Options_Exhibits'!K1131:K1135),"")</f>
        <v/>
      </c>
      <c r="L1135" s="3">
        <f>IF(ISNUMBER(AVERAGE('20250815_ETF_Options_Exhibits'!L1131:L1135)),AVERAGE('20250815_ETF_Options_Exhibits'!L1131:L1135),"")</f>
        <v/>
      </c>
      <c r="M1135" s="3">
        <f>IF(ISNUMBER(AVERAGE('20250815_ETF_Options_Exhibits'!M1131:M1135)),AVERAGE('20250815_ETF_Options_Exhibits'!M1131:M1135),"")</f>
        <v/>
      </c>
      <c r="N1135" s="3">
        <f>IF(ISNUMBER(AVERAGE('20250815_ETF_Options_Exhibits'!N1131:N1135)),AVERAGE('20250815_ETF_Options_Exhibits'!N1131:N1135),"")</f>
        <v/>
      </c>
      <c r="O1135" s="3">
        <f>IF(ISNUMBER(AVERAGE('20250815_ETF_Options_Exhibits'!O1131:O1135)),AVERAGE('20250815_ETF_Options_Exhibits'!O1131:O1135),"")</f>
        <v/>
      </c>
      <c r="P1135" s="3">
        <f>IF(ISNUMBER(AVERAGE('20250815_ETF_Options_Exhibits'!P1131:P1135)),AVERAGE('20250815_ETF_Options_Exhibits'!P1131:P1135),"")</f>
        <v/>
      </c>
      <c r="Q1135" s="3">
        <f>IF(ISNUMBER(AVERAGE('20250815_ETF_Options_Exhibits'!Q1131:Q1135)),AVERAGE('20250815_ETF_Options_Exhibits'!Q1131:Q1135),"")</f>
        <v/>
      </c>
      <c r="R1135" s="3">
        <f>IF(ISNUMBER(AVERAGE('20250815_ETF_Options_Exhibits'!R1131:R1135)),AVERAGE('20250815_ETF_Options_Exhibits'!R1131:R1135),"")</f>
        <v/>
      </c>
      <c r="S1135" s="3">
        <f>IF(ISNUMBER(AVERAGE('20250815_ETF_Options_Exhibits'!S1131:S1135)),AVERAGE('20250815_ETF_Options_Exhibits'!S1131:S1135),"")</f>
        <v/>
      </c>
      <c r="T1135" s="3">
        <f>IF(ISNUMBER(AVERAGE('20250815_ETF_Options_Exhibits'!T1131:T1135)),AVERAGE('20250815_ETF_Options_Exhibits'!T1131:T1135),"")</f>
        <v/>
      </c>
      <c r="U1135" s="3">
        <f>IF(ISNUMBER(AVERAGE('20250815_ETF_Options_Exhibits'!U1131:U1135)),AVERAGE('20250815_ETF_Options_Exhibits'!U1131:U1135),"")</f>
        <v/>
      </c>
      <c r="V1135" s="3">
        <f>IF(ISNUMBER(AVERAGE('20250815_ETF_Options_Exhibits'!V1131:V1135)),AVERAGE('20250815_ETF_Options_Exhibits'!V1131:V1135),"")</f>
        <v/>
      </c>
      <c r="W1135" s="3">
        <f>IF(ISNUMBER(AVERAGE('20250815_ETF_Options_Exhibits'!W1131:W1135)),AVERAGE('20250815_ETF_Options_Exhibits'!W1131:W1135),"")</f>
        <v/>
      </c>
      <c r="X1135" s="3">
        <f>IF(ISNUMBER(AVERAGE('20250815_ETF_Options_Exhibits'!X1131:X1135)),AVERAGE('20250815_ETF_Options_Exhibits'!X1131:X1135),"")</f>
        <v/>
      </c>
      <c r="Y1135" s="3">
        <f>IF(ISNUMBER(AVERAGE('20250815_ETF_Options_Exhibits'!Y1131:Y1135)),AVERAGE('20250815_ETF_Options_Exhibits'!Y1131:Y1135),"")</f>
        <v/>
      </c>
      <c r="Z1135" s="3">
        <f>IF(ISNUMBER(AVERAGE('20250815_ETF_Options_Exhibits'!Z1131:Z1135)),AVERAGE('20250815_ETF_Options_Exhibits'!Z1131:Z1135),"")</f>
        <v/>
      </c>
      <c r="AA1135" s="3">
        <f>IF(ISNUMBER(AVERAGE('20250815_ETF_Options_Exhibits'!AA1131:AA1135)),AVERAGE('20250815_ETF_Options_Exhibits'!AA1131:AA1135),"")</f>
        <v/>
      </c>
    </row>
    <row r="1136">
      <c r="A1136" s="1" t="n">
        <v>43651</v>
      </c>
      <c r="B1136" s="3">
        <f>IF(ISNUMBER(AVERAGE('20250815_ETF_Options_Exhibits'!B1132:B1136)),AVERAGE('20250815_ETF_Options_Exhibits'!B1132:B1136),"")</f>
        <v/>
      </c>
      <c r="C1136" s="3">
        <f>IF(ISNUMBER(AVERAGE('20250815_ETF_Options_Exhibits'!C1132:C1136)),AVERAGE('20250815_ETF_Options_Exhibits'!C1132:C1136),"")</f>
        <v/>
      </c>
      <c r="D1136" s="3">
        <f>IF(ISNUMBER(AVERAGE('20250815_ETF_Options_Exhibits'!D1132:D1136)),AVERAGE('20250815_ETF_Options_Exhibits'!D1132:D1136),"")</f>
        <v/>
      </c>
      <c r="E1136" s="3">
        <f>IF(ISNUMBER(AVERAGE('20250815_ETF_Options_Exhibits'!E1132:E1136)),AVERAGE('20250815_ETF_Options_Exhibits'!E1132:E1136),"")</f>
        <v/>
      </c>
      <c r="F1136" s="3">
        <f>IF(ISNUMBER(AVERAGE('20250815_ETF_Options_Exhibits'!F1132:F1136)),AVERAGE('20250815_ETF_Options_Exhibits'!F1132:F1136),"")</f>
        <v/>
      </c>
      <c r="G1136" s="3">
        <f>IF(ISNUMBER(AVERAGE('20250815_ETF_Options_Exhibits'!G1132:G1136)),AVERAGE('20250815_ETF_Options_Exhibits'!G1132:G1136),"")</f>
        <v/>
      </c>
      <c r="H1136" s="3">
        <f>IF(ISNUMBER(AVERAGE('20250815_ETF_Options_Exhibits'!H1132:H1136)),AVERAGE('20250815_ETF_Options_Exhibits'!H1132:H1136),"")</f>
        <v/>
      </c>
      <c r="I1136" s="3">
        <f>IF(ISNUMBER(AVERAGE('20250815_ETF_Options_Exhibits'!I1132:I1136)),AVERAGE('20250815_ETF_Options_Exhibits'!I1132:I1136),"")</f>
        <v/>
      </c>
      <c r="J1136" s="3">
        <f>IF(ISNUMBER(AVERAGE('20250815_ETF_Options_Exhibits'!J1132:J1136)),AVERAGE('20250815_ETF_Options_Exhibits'!J1132:J1136),"")</f>
        <v/>
      </c>
      <c r="K1136" s="3">
        <f>IF(ISNUMBER(AVERAGE('20250815_ETF_Options_Exhibits'!K1132:K1136)),AVERAGE('20250815_ETF_Options_Exhibits'!K1132:K1136),"")</f>
        <v/>
      </c>
      <c r="L1136" s="3">
        <f>IF(ISNUMBER(AVERAGE('20250815_ETF_Options_Exhibits'!L1132:L1136)),AVERAGE('20250815_ETF_Options_Exhibits'!L1132:L1136),"")</f>
        <v/>
      </c>
      <c r="M1136" s="3">
        <f>IF(ISNUMBER(AVERAGE('20250815_ETF_Options_Exhibits'!M1132:M1136)),AVERAGE('20250815_ETF_Options_Exhibits'!M1132:M1136),"")</f>
        <v/>
      </c>
      <c r="N1136" s="3">
        <f>IF(ISNUMBER(AVERAGE('20250815_ETF_Options_Exhibits'!N1132:N1136)),AVERAGE('20250815_ETF_Options_Exhibits'!N1132:N1136),"")</f>
        <v/>
      </c>
      <c r="O1136" s="3">
        <f>IF(ISNUMBER(AVERAGE('20250815_ETF_Options_Exhibits'!O1132:O1136)),AVERAGE('20250815_ETF_Options_Exhibits'!O1132:O1136),"")</f>
        <v/>
      </c>
      <c r="P1136" s="3">
        <f>IF(ISNUMBER(AVERAGE('20250815_ETF_Options_Exhibits'!P1132:P1136)),AVERAGE('20250815_ETF_Options_Exhibits'!P1132:P1136),"")</f>
        <v/>
      </c>
      <c r="Q1136" s="3">
        <f>IF(ISNUMBER(AVERAGE('20250815_ETF_Options_Exhibits'!Q1132:Q1136)),AVERAGE('20250815_ETF_Options_Exhibits'!Q1132:Q1136),"")</f>
        <v/>
      </c>
      <c r="R1136" s="3">
        <f>IF(ISNUMBER(AVERAGE('20250815_ETF_Options_Exhibits'!R1132:R1136)),AVERAGE('20250815_ETF_Options_Exhibits'!R1132:R1136),"")</f>
        <v/>
      </c>
      <c r="S1136" s="3">
        <f>IF(ISNUMBER(AVERAGE('20250815_ETF_Options_Exhibits'!S1132:S1136)),AVERAGE('20250815_ETF_Options_Exhibits'!S1132:S1136),"")</f>
        <v/>
      </c>
      <c r="T1136" s="3">
        <f>IF(ISNUMBER(AVERAGE('20250815_ETF_Options_Exhibits'!T1132:T1136)),AVERAGE('20250815_ETF_Options_Exhibits'!T1132:T1136),"")</f>
        <v/>
      </c>
      <c r="U1136" s="3">
        <f>IF(ISNUMBER(AVERAGE('20250815_ETF_Options_Exhibits'!U1132:U1136)),AVERAGE('20250815_ETF_Options_Exhibits'!U1132:U1136),"")</f>
        <v/>
      </c>
      <c r="V1136" s="3">
        <f>IF(ISNUMBER(AVERAGE('20250815_ETF_Options_Exhibits'!V1132:V1136)),AVERAGE('20250815_ETF_Options_Exhibits'!V1132:V1136),"")</f>
        <v/>
      </c>
      <c r="W1136" s="3">
        <f>IF(ISNUMBER(AVERAGE('20250815_ETF_Options_Exhibits'!W1132:W1136)),AVERAGE('20250815_ETF_Options_Exhibits'!W1132:W1136),"")</f>
        <v/>
      </c>
      <c r="X1136" s="3">
        <f>IF(ISNUMBER(AVERAGE('20250815_ETF_Options_Exhibits'!X1132:X1136)),AVERAGE('20250815_ETF_Options_Exhibits'!X1132:X1136),"")</f>
        <v/>
      </c>
      <c r="Y1136" s="3">
        <f>IF(ISNUMBER(AVERAGE('20250815_ETF_Options_Exhibits'!Y1132:Y1136)),AVERAGE('20250815_ETF_Options_Exhibits'!Y1132:Y1136),"")</f>
        <v/>
      </c>
      <c r="Z1136" s="3">
        <f>IF(ISNUMBER(AVERAGE('20250815_ETF_Options_Exhibits'!Z1132:Z1136)),AVERAGE('20250815_ETF_Options_Exhibits'!Z1132:Z1136),"")</f>
        <v/>
      </c>
      <c r="AA1136" s="3">
        <f>IF(ISNUMBER(AVERAGE('20250815_ETF_Options_Exhibits'!AA1132:AA1136)),AVERAGE('20250815_ETF_Options_Exhibits'!AA1132:AA1136),"")</f>
        <v/>
      </c>
    </row>
    <row r="1137">
      <c r="A1137" s="1" t="n">
        <v>43654</v>
      </c>
      <c r="B1137" s="3">
        <f>IF(ISNUMBER(AVERAGE('20250815_ETF_Options_Exhibits'!B1133:B1137)),AVERAGE('20250815_ETF_Options_Exhibits'!B1133:B1137),"")</f>
        <v/>
      </c>
      <c r="C1137" s="3">
        <f>IF(ISNUMBER(AVERAGE('20250815_ETF_Options_Exhibits'!C1133:C1137)),AVERAGE('20250815_ETF_Options_Exhibits'!C1133:C1137),"")</f>
        <v/>
      </c>
      <c r="D1137" s="3">
        <f>IF(ISNUMBER(AVERAGE('20250815_ETF_Options_Exhibits'!D1133:D1137)),AVERAGE('20250815_ETF_Options_Exhibits'!D1133:D1137),"")</f>
        <v/>
      </c>
      <c r="E1137" s="3">
        <f>IF(ISNUMBER(AVERAGE('20250815_ETF_Options_Exhibits'!E1133:E1137)),AVERAGE('20250815_ETF_Options_Exhibits'!E1133:E1137),"")</f>
        <v/>
      </c>
      <c r="F1137" s="3">
        <f>IF(ISNUMBER(AVERAGE('20250815_ETF_Options_Exhibits'!F1133:F1137)),AVERAGE('20250815_ETF_Options_Exhibits'!F1133:F1137),"")</f>
        <v/>
      </c>
      <c r="G1137" s="3">
        <f>IF(ISNUMBER(AVERAGE('20250815_ETF_Options_Exhibits'!G1133:G1137)),AVERAGE('20250815_ETF_Options_Exhibits'!G1133:G1137),"")</f>
        <v/>
      </c>
      <c r="H1137" s="3">
        <f>IF(ISNUMBER(AVERAGE('20250815_ETF_Options_Exhibits'!H1133:H1137)),AVERAGE('20250815_ETF_Options_Exhibits'!H1133:H1137),"")</f>
        <v/>
      </c>
      <c r="I1137" s="3">
        <f>IF(ISNUMBER(AVERAGE('20250815_ETF_Options_Exhibits'!I1133:I1137)),AVERAGE('20250815_ETF_Options_Exhibits'!I1133:I1137),"")</f>
        <v/>
      </c>
      <c r="J1137" s="3">
        <f>IF(ISNUMBER(AVERAGE('20250815_ETF_Options_Exhibits'!J1133:J1137)),AVERAGE('20250815_ETF_Options_Exhibits'!J1133:J1137),"")</f>
        <v/>
      </c>
      <c r="K1137" s="3">
        <f>IF(ISNUMBER(AVERAGE('20250815_ETF_Options_Exhibits'!K1133:K1137)),AVERAGE('20250815_ETF_Options_Exhibits'!K1133:K1137),"")</f>
        <v/>
      </c>
      <c r="L1137" s="3">
        <f>IF(ISNUMBER(AVERAGE('20250815_ETF_Options_Exhibits'!L1133:L1137)),AVERAGE('20250815_ETF_Options_Exhibits'!L1133:L1137),"")</f>
        <v/>
      </c>
      <c r="M1137" s="3">
        <f>IF(ISNUMBER(AVERAGE('20250815_ETF_Options_Exhibits'!M1133:M1137)),AVERAGE('20250815_ETF_Options_Exhibits'!M1133:M1137),"")</f>
        <v/>
      </c>
      <c r="N1137" s="3">
        <f>IF(ISNUMBER(AVERAGE('20250815_ETF_Options_Exhibits'!N1133:N1137)),AVERAGE('20250815_ETF_Options_Exhibits'!N1133:N1137),"")</f>
        <v/>
      </c>
      <c r="O1137" s="3">
        <f>IF(ISNUMBER(AVERAGE('20250815_ETF_Options_Exhibits'!O1133:O1137)),AVERAGE('20250815_ETF_Options_Exhibits'!O1133:O1137),"")</f>
        <v/>
      </c>
      <c r="P1137" s="3">
        <f>IF(ISNUMBER(AVERAGE('20250815_ETF_Options_Exhibits'!P1133:P1137)),AVERAGE('20250815_ETF_Options_Exhibits'!P1133:P1137),"")</f>
        <v/>
      </c>
      <c r="Q1137" s="3">
        <f>IF(ISNUMBER(AVERAGE('20250815_ETF_Options_Exhibits'!Q1133:Q1137)),AVERAGE('20250815_ETF_Options_Exhibits'!Q1133:Q1137),"")</f>
        <v/>
      </c>
      <c r="R1137" s="3">
        <f>IF(ISNUMBER(AVERAGE('20250815_ETF_Options_Exhibits'!R1133:R1137)),AVERAGE('20250815_ETF_Options_Exhibits'!R1133:R1137),"")</f>
        <v/>
      </c>
      <c r="S1137" s="3">
        <f>IF(ISNUMBER(AVERAGE('20250815_ETF_Options_Exhibits'!S1133:S1137)),AVERAGE('20250815_ETF_Options_Exhibits'!S1133:S1137),"")</f>
        <v/>
      </c>
      <c r="T1137" s="3">
        <f>IF(ISNUMBER(AVERAGE('20250815_ETF_Options_Exhibits'!T1133:T1137)),AVERAGE('20250815_ETF_Options_Exhibits'!T1133:T1137),"")</f>
        <v/>
      </c>
      <c r="U1137" s="3">
        <f>IF(ISNUMBER(AVERAGE('20250815_ETF_Options_Exhibits'!U1133:U1137)),AVERAGE('20250815_ETF_Options_Exhibits'!U1133:U1137),"")</f>
        <v/>
      </c>
      <c r="V1137" s="3">
        <f>IF(ISNUMBER(AVERAGE('20250815_ETF_Options_Exhibits'!V1133:V1137)),AVERAGE('20250815_ETF_Options_Exhibits'!V1133:V1137),"")</f>
        <v/>
      </c>
      <c r="W1137" s="3">
        <f>IF(ISNUMBER(AVERAGE('20250815_ETF_Options_Exhibits'!W1133:W1137)),AVERAGE('20250815_ETF_Options_Exhibits'!W1133:W1137),"")</f>
        <v/>
      </c>
      <c r="X1137" s="3">
        <f>IF(ISNUMBER(AVERAGE('20250815_ETF_Options_Exhibits'!X1133:X1137)),AVERAGE('20250815_ETF_Options_Exhibits'!X1133:X1137),"")</f>
        <v/>
      </c>
      <c r="Y1137" s="3">
        <f>IF(ISNUMBER(AVERAGE('20250815_ETF_Options_Exhibits'!Y1133:Y1137)),AVERAGE('20250815_ETF_Options_Exhibits'!Y1133:Y1137),"")</f>
        <v/>
      </c>
      <c r="Z1137" s="3">
        <f>IF(ISNUMBER(AVERAGE('20250815_ETF_Options_Exhibits'!Z1133:Z1137)),AVERAGE('20250815_ETF_Options_Exhibits'!Z1133:Z1137),"")</f>
        <v/>
      </c>
      <c r="AA1137" s="3">
        <f>IF(ISNUMBER(AVERAGE('20250815_ETF_Options_Exhibits'!AA1133:AA1137)),AVERAGE('20250815_ETF_Options_Exhibits'!AA1133:AA1137),"")</f>
        <v/>
      </c>
    </row>
    <row r="1138">
      <c r="A1138" s="1" t="n">
        <v>43655</v>
      </c>
      <c r="B1138" s="3">
        <f>IF(ISNUMBER(AVERAGE('20250815_ETF_Options_Exhibits'!B1134:B1138)),AVERAGE('20250815_ETF_Options_Exhibits'!B1134:B1138),"")</f>
        <v/>
      </c>
      <c r="C1138" s="3">
        <f>IF(ISNUMBER(AVERAGE('20250815_ETF_Options_Exhibits'!C1134:C1138)),AVERAGE('20250815_ETF_Options_Exhibits'!C1134:C1138),"")</f>
        <v/>
      </c>
      <c r="D1138" s="3">
        <f>IF(ISNUMBER(AVERAGE('20250815_ETF_Options_Exhibits'!D1134:D1138)),AVERAGE('20250815_ETF_Options_Exhibits'!D1134:D1138),"")</f>
        <v/>
      </c>
      <c r="E1138" s="3">
        <f>IF(ISNUMBER(AVERAGE('20250815_ETF_Options_Exhibits'!E1134:E1138)),AVERAGE('20250815_ETF_Options_Exhibits'!E1134:E1138),"")</f>
        <v/>
      </c>
      <c r="F1138" s="3">
        <f>IF(ISNUMBER(AVERAGE('20250815_ETF_Options_Exhibits'!F1134:F1138)),AVERAGE('20250815_ETF_Options_Exhibits'!F1134:F1138),"")</f>
        <v/>
      </c>
      <c r="G1138" s="3">
        <f>IF(ISNUMBER(AVERAGE('20250815_ETF_Options_Exhibits'!G1134:G1138)),AVERAGE('20250815_ETF_Options_Exhibits'!G1134:G1138),"")</f>
        <v/>
      </c>
      <c r="H1138" s="3">
        <f>IF(ISNUMBER(AVERAGE('20250815_ETF_Options_Exhibits'!H1134:H1138)),AVERAGE('20250815_ETF_Options_Exhibits'!H1134:H1138),"")</f>
        <v/>
      </c>
      <c r="I1138" s="3">
        <f>IF(ISNUMBER(AVERAGE('20250815_ETF_Options_Exhibits'!I1134:I1138)),AVERAGE('20250815_ETF_Options_Exhibits'!I1134:I1138),"")</f>
        <v/>
      </c>
      <c r="J1138" s="3">
        <f>IF(ISNUMBER(AVERAGE('20250815_ETF_Options_Exhibits'!J1134:J1138)),AVERAGE('20250815_ETF_Options_Exhibits'!J1134:J1138),"")</f>
        <v/>
      </c>
      <c r="K1138" s="3">
        <f>IF(ISNUMBER(AVERAGE('20250815_ETF_Options_Exhibits'!K1134:K1138)),AVERAGE('20250815_ETF_Options_Exhibits'!K1134:K1138),"")</f>
        <v/>
      </c>
      <c r="L1138" s="3">
        <f>IF(ISNUMBER(AVERAGE('20250815_ETF_Options_Exhibits'!L1134:L1138)),AVERAGE('20250815_ETF_Options_Exhibits'!L1134:L1138),"")</f>
        <v/>
      </c>
      <c r="M1138" s="3">
        <f>IF(ISNUMBER(AVERAGE('20250815_ETF_Options_Exhibits'!M1134:M1138)),AVERAGE('20250815_ETF_Options_Exhibits'!M1134:M1138),"")</f>
        <v/>
      </c>
      <c r="N1138" s="3">
        <f>IF(ISNUMBER(AVERAGE('20250815_ETF_Options_Exhibits'!N1134:N1138)),AVERAGE('20250815_ETF_Options_Exhibits'!N1134:N1138),"")</f>
        <v/>
      </c>
      <c r="O1138" s="3">
        <f>IF(ISNUMBER(AVERAGE('20250815_ETF_Options_Exhibits'!O1134:O1138)),AVERAGE('20250815_ETF_Options_Exhibits'!O1134:O1138),"")</f>
        <v/>
      </c>
      <c r="P1138" s="3">
        <f>IF(ISNUMBER(AVERAGE('20250815_ETF_Options_Exhibits'!P1134:P1138)),AVERAGE('20250815_ETF_Options_Exhibits'!P1134:P1138),"")</f>
        <v/>
      </c>
      <c r="Q1138" s="3">
        <f>IF(ISNUMBER(AVERAGE('20250815_ETF_Options_Exhibits'!Q1134:Q1138)),AVERAGE('20250815_ETF_Options_Exhibits'!Q1134:Q1138),"")</f>
        <v/>
      </c>
      <c r="R1138" s="3">
        <f>IF(ISNUMBER(AVERAGE('20250815_ETF_Options_Exhibits'!R1134:R1138)),AVERAGE('20250815_ETF_Options_Exhibits'!R1134:R1138),"")</f>
        <v/>
      </c>
      <c r="S1138" s="3">
        <f>IF(ISNUMBER(AVERAGE('20250815_ETF_Options_Exhibits'!S1134:S1138)),AVERAGE('20250815_ETF_Options_Exhibits'!S1134:S1138),"")</f>
        <v/>
      </c>
      <c r="T1138" s="3">
        <f>IF(ISNUMBER(AVERAGE('20250815_ETF_Options_Exhibits'!T1134:T1138)),AVERAGE('20250815_ETF_Options_Exhibits'!T1134:T1138),"")</f>
        <v/>
      </c>
      <c r="U1138" s="3">
        <f>IF(ISNUMBER(AVERAGE('20250815_ETF_Options_Exhibits'!U1134:U1138)),AVERAGE('20250815_ETF_Options_Exhibits'!U1134:U1138),"")</f>
        <v/>
      </c>
      <c r="V1138" s="3">
        <f>IF(ISNUMBER(AVERAGE('20250815_ETF_Options_Exhibits'!V1134:V1138)),AVERAGE('20250815_ETF_Options_Exhibits'!V1134:V1138),"")</f>
        <v/>
      </c>
      <c r="W1138" s="3">
        <f>IF(ISNUMBER(AVERAGE('20250815_ETF_Options_Exhibits'!W1134:W1138)),AVERAGE('20250815_ETF_Options_Exhibits'!W1134:W1138),"")</f>
        <v/>
      </c>
      <c r="X1138" s="3">
        <f>IF(ISNUMBER(AVERAGE('20250815_ETF_Options_Exhibits'!X1134:X1138)),AVERAGE('20250815_ETF_Options_Exhibits'!X1134:X1138),"")</f>
        <v/>
      </c>
      <c r="Y1138" s="3">
        <f>IF(ISNUMBER(AVERAGE('20250815_ETF_Options_Exhibits'!Y1134:Y1138)),AVERAGE('20250815_ETF_Options_Exhibits'!Y1134:Y1138),"")</f>
        <v/>
      </c>
      <c r="Z1138" s="3">
        <f>IF(ISNUMBER(AVERAGE('20250815_ETF_Options_Exhibits'!Z1134:Z1138)),AVERAGE('20250815_ETF_Options_Exhibits'!Z1134:Z1138),"")</f>
        <v/>
      </c>
      <c r="AA1138" s="3">
        <f>IF(ISNUMBER(AVERAGE('20250815_ETF_Options_Exhibits'!AA1134:AA1138)),AVERAGE('20250815_ETF_Options_Exhibits'!AA1134:AA1138),"")</f>
        <v/>
      </c>
    </row>
    <row r="1139">
      <c r="A1139" s="1" t="n">
        <v>43656</v>
      </c>
      <c r="B1139" s="3">
        <f>IF(ISNUMBER(AVERAGE('20250815_ETF_Options_Exhibits'!B1135:B1139)),AVERAGE('20250815_ETF_Options_Exhibits'!B1135:B1139),"")</f>
        <v/>
      </c>
      <c r="C1139" s="3">
        <f>IF(ISNUMBER(AVERAGE('20250815_ETF_Options_Exhibits'!C1135:C1139)),AVERAGE('20250815_ETF_Options_Exhibits'!C1135:C1139),"")</f>
        <v/>
      </c>
      <c r="D1139" s="3">
        <f>IF(ISNUMBER(AVERAGE('20250815_ETF_Options_Exhibits'!D1135:D1139)),AVERAGE('20250815_ETF_Options_Exhibits'!D1135:D1139),"")</f>
        <v/>
      </c>
      <c r="E1139" s="3">
        <f>IF(ISNUMBER(AVERAGE('20250815_ETF_Options_Exhibits'!E1135:E1139)),AVERAGE('20250815_ETF_Options_Exhibits'!E1135:E1139),"")</f>
        <v/>
      </c>
      <c r="F1139" s="3">
        <f>IF(ISNUMBER(AVERAGE('20250815_ETF_Options_Exhibits'!F1135:F1139)),AVERAGE('20250815_ETF_Options_Exhibits'!F1135:F1139),"")</f>
        <v/>
      </c>
      <c r="G1139" s="3">
        <f>IF(ISNUMBER(AVERAGE('20250815_ETF_Options_Exhibits'!G1135:G1139)),AVERAGE('20250815_ETF_Options_Exhibits'!G1135:G1139),"")</f>
        <v/>
      </c>
      <c r="H1139" s="3">
        <f>IF(ISNUMBER(AVERAGE('20250815_ETF_Options_Exhibits'!H1135:H1139)),AVERAGE('20250815_ETF_Options_Exhibits'!H1135:H1139),"")</f>
        <v/>
      </c>
      <c r="I1139" s="3">
        <f>IF(ISNUMBER(AVERAGE('20250815_ETF_Options_Exhibits'!I1135:I1139)),AVERAGE('20250815_ETF_Options_Exhibits'!I1135:I1139),"")</f>
        <v/>
      </c>
      <c r="J1139" s="3">
        <f>IF(ISNUMBER(AVERAGE('20250815_ETF_Options_Exhibits'!J1135:J1139)),AVERAGE('20250815_ETF_Options_Exhibits'!J1135:J1139),"")</f>
        <v/>
      </c>
      <c r="K1139" s="3">
        <f>IF(ISNUMBER(AVERAGE('20250815_ETF_Options_Exhibits'!K1135:K1139)),AVERAGE('20250815_ETF_Options_Exhibits'!K1135:K1139),"")</f>
        <v/>
      </c>
      <c r="L1139" s="3">
        <f>IF(ISNUMBER(AVERAGE('20250815_ETF_Options_Exhibits'!L1135:L1139)),AVERAGE('20250815_ETF_Options_Exhibits'!L1135:L1139),"")</f>
        <v/>
      </c>
      <c r="M1139" s="3">
        <f>IF(ISNUMBER(AVERAGE('20250815_ETF_Options_Exhibits'!M1135:M1139)),AVERAGE('20250815_ETF_Options_Exhibits'!M1135:M1139),"")</f>
        <v/>
      </c>
      <c r="N1139" s="3">
        <f>IF(ISNUMBER(AVERAGE('20250815_ETF_Options_Exhibits'!N1135:N1139)),AVERAGE('20250815_ETF_Options_Exhibits'!N1135:N1139),"")</f>
        <v/>
      </c>
      <c r="O1139" s="3">
        <f>IF(ISNUMBER(AVERAGE('20250815_ETF_Options_Exhibits'!O1135:O1139)),AVERAGE('20250815_ETF_Options_Exhibits'!O1135:O1139),"")</f>
        <v/>
      </c>
      <c r="P1139" s="3">
        <f>IF(ISNUMBER(AVERAGE('20250815_ETF_Options_Exhibits'!P1135:P1139)),AVERAGE('20250815_ETF_Options_Exhibits'!P1135:P1139),"")</f>
        <v/>
      </c>
      <c r="Q1139" s="3">
        <f>IF(ISNUMBER(AVERAGE('20250815_ETF_Options_Exhibits'!Q1135:Q1139)),AVERAGE('20250815_ETF_Options_Exhibits'!Q1135:Q1139),"")</f>
        <v/>
      </c>
      <c r="R1139" s="3">
        <f>IF(ISNUMBER(AVERAGE('20250815_ETF_Options_Exhibits'!R1135:R1139)),AVERAGE('20250815_ETF_Options_Exhibits'!R1135:R1139),"")</f>
        <v/>
      </c>
      <c r="S1139" s="3">
        <f>IF(ISNUMBER(AVERAGE('20250815_ETF_Options_Exhibits'!S1135:S1139)),AVERAGE('20250815_ETF_Options_Exhibits'!S1135:S1139),"")</f>
        <v/>
      </c>
      <c r="T1139" s="3">
        <f>IF(ISNUMBER(AVERAGE('20250815_ETF_Options_Exhibits'!T1135:T1139)),AVERAGE('20250815_ETF_Options_Exhibits'!T1135:T1139),"")</f>
        <v/>
      </c>
      <c r="U1139" s="3">
        <f>IF(ISNUMBER(AVERAGE('20250815_ETF_Options_Exhibits'!U1135:U1139)),AVERAGE('20250815_ETF_Options_Exhibits'!U1135:U1139),"")</f>
        <v/>
      </c>
      <c r="V1139" s="3">
        <f>IF(ISNUMBER(AVERAGE('20250815_ETF_Options_Exhibits'!V1135:V1139)),AVERAGE('20250815_ETF_Options_Exhibits'!V1135:V1139),"")</f>
        <v/>
      </c>
      <c r="W1139" s="3">
        <f>IF(ISNUMBER(AVERAGE('20250815_ETF_Options_Exhibits'!W1135:W1139)),AVERAGE('20250815_ETF_Options_Exhibits'!W1135:W1139),"")</f>
        <v/>
      </c>
      <c r="X1139" s="3">
        <f>IF(ISNUMBER(AVERAGE('20250815_ETF_Options_Exhibits'!X1135:X1139)),AVERAGE('20250815_ETF_Options_Exhibits'!X1135:X1139),"")</f>
        <v/>
      </c>
      <c r="Y1139" s="3">
        <f>IF(ISNUMBER(AVERAGE('20250815_ETF_Options_Exhibits'!Y1135:Y1139)),AVERAGE('20250815_ETF_Options_Exhibits'!Y1135:Y1139),"")</f>
        <v/>
      </c>
      <c r="Z1139" s="3">
        <f>IF(ISNUMBER(AVERAGE('20250815_ETF_Options_Exhibits'!Z1135:Z1139)),AVERAGE('20250815_ETF_Options_Exhibits'!Z1135:Z1139),"")</f>
        <v/>
      </c>
      <c r="AA1139" s="3">
        <f>IF(ISNUMBER(AVERAGE('20250815_ETF_Options_Exhibits'!AA1135:AA1139)),AVERAGE('20250815_ETF_Options_Exhibits'!AA1135:AA1139),"")</f>
        <v/>
      </c>
    </row>
    <row r="1140">
      <c r="A1140" s="1" t="n">
        <v>43657</v>
      </c>
      <c r="B1140" s="3">
        <f>IF(ISNUMBER(AVERAGE('20250815_ETF_Options_Exhibits'!B1136:B1140)),AVERAGE('20250815_ETF_Options_Exhibits'!B1136:B1140),"")</f>
        <v/>
      </c>
      <c r="C1140" s="3">
        <f>IF(ISNUMBER(AVERAGE('20250815_ETF_Options_Exhibits'!C1136:C1140)),AVERAGE('20250815_ETF_Options_Exhibits'!C1136:C1140),"")</f>
        <v/>
      </c>
      <c r="D1140" s="3">
        <f>IF(ISNUMBER(AVERAGE('20250815_ETF_Options_Exhibits'!D1136:D1140)),AVERAGE('20250815_ETF_Options_Exhibits'!D1136:D1140),"")</f>
        <v/>
      </c>
      <c r="E1140" s="3">
        <f>IF(ISNUMBER(AVERAGE('20250815_ETF_Options_Exhibits'!E1136:E1140)),AVERAGE('20250815_ETF_Options_Exhibits'!E1136:E1140),"")</f>
        <v/>
      </c>
      <c r="F1140" s="3">
        <f>IF(ISNUMBER(AVERAGE('20250815_ETF_Options_Exhibits'!F1136:F1140)),AVERAGE('20250815_ETF_Options_Exhibits'!F1136:F1140),"")</f>
        <v/>
      </c>
      <c r="G1140" s="3">
        <f>IF(ISNUMBER(AVERAGE('20250815_ETF_Options_Exhibits'!G1136:G1140)),AVERAGE('20250815_ETF_Options_Exhibits'!G1136:G1140),"")</f>
        <v/>
      </c>
      <c r="H1140" s="3">
        <f>IF(ISNUMBER(AVERAGE('20250815_ETF_Options_Exhibits'!H1136:H1140)),AVERAGE('20250815_ETF_Options_Exhibits'!H1136:H1140),"")</f>
        <v/>
      </c>
      <c r="I1140" s="3">
        <f>IF(ISNUMBER(AVERAGE('20250815_ETF_Options_Exhibits'!I1136:I1140)),AVERAGE('20250815_ETF_Options_Exhibits'!I1136:I1140),"")</f>
        <v/>
      </c>
      <c r="J1140" s="3">
        <f>IF(ISNUMBER(AVERAGE('20250815_ETF_Options_Exhibits'!J1136:J1140)),AVERAGE('20250815_ETF_Options_Exhibits'!J1136:J1140),"")</f>
        <v/>
      </c>
      <c r="K1140" s="3">
        <f>IF(ISNUMBER(AVERAGE('20250815_ETF_Options_Exhibits'!K1136:K1140)),AVERAGE('20250815_ETF_Options_Exhibits'!K1136:K1140),"")</f>
        <v/>
      </c>
      <c r="L1140" s="3">
        <f>IF(ISNUMBER(AVERAGE('20250815_ETF_Options_Exhibits'!L1136:L1140)),AVERAGE('20250815_ETF_Options_Exhibits'!L1136:L1140),"")</f>
        <v/>
      </c>
      <c r="M1140" s="3">
        <f>IF(ISNUMBER(AVERAGE('20250815_ETF_Options_Exhibits'!M1136:M1140)),AVERAGE('20250815_ETF_Options_Exhibits'!M1136:M1140),"")</f>
        <v/>
      </c>
      <c r="N1140" s="3">
        <f>IF(ISNUMBER(AVERAGE('20250815_ETF_Options_Exhibits'!N1136:N1140)),AVERAGE('20250815_ETF_Options_Exhibits'!N1136:N1140),"")</f>
        <v/>
      </c>
      <c r="O1140" s="3">
        <f>IF(ISNUMBER(AVERAGE('20250815_ETF_Options_Exhibits'!O1136:O1140)),AVERAGE('20250815_ETF_Options_Exhibits'!O1136:O1140),"")</f>
        <v/>
      </c>
      <c r="P1140" s="3">
        <f>IF(ISNUMBER(AVERAGE('20250815_ETF_Options_Exhibits'!P1136:P1140)),AVERAGE('20250815_ETF_Options_Exhibits'!P1136:P1140),"")</f>
        <v/>
      </c>
      <c r="Q1140" s="3">
        <f>IF(ISNUMBER(AVERAGE('20250815_ETF_Options_Exhibits'!Q1136:Q1140)),AVERAGE('20250815_ETF_Options_Exhibits'!Q1136:Q1140),"")</f>
        <v/>
      </c>
      <c r="R1140" s="3">
        <f>IF(ISNUMBER(AVERAGE('20250815_ETF_Options_Exhibits'!R1136:R1140)),AVERAGE('20250815_ETF_Options_Exhibits'!R1136:R1140),"")</f>
        <v/>
      </c>
      <c r="S1140" s="3">
        <f>IF(ISNUMBER(AVERAGE('20250815_ETF_Options_Exhibits'!S1136:S1140)),AVERAGE('20250815_ETF_Options_Exhibits'!S1136:S1140),"")</f>
        <v/>
      </c>
      <c r="T1140" s="3">
        <f>IF(ISNUMBER(AVERAGE('20250815_ETF_Options_Exhibits'!T1136:T1140)),AVERAGE('20250815_ETF_Options_Exhibits'!T1136:T1140),"")</f>
        <v/>
      </c>
      <c r="U1140" s="3">
        <f>IF(ISNUMBER(AVERAGE('20250815_ETF_Options_Exhibits'!U1136:U1140)),AVERAGE('20250815_ETF_Options_Exhibits'!U1136:U1140),"")</f>
        <v/>
      </c>
      <c r="V1140" s="3">
        <f>IF(ISNUMBER(AVERAGE('20250815_ETF_Options_Exhibits'!V1136:V1140)),AVERAGE('20250815_ETF_Options_Exhibits'!V1136:V1140),"")</f>
        <v/>
      </c>
      <c r="W1140" s="3">
        <f>IF(ISNUMBER(AVERAGE('20250815_ETF_Options_Exhibits'!W1136:W1140)),AVERAGE('20250815_ETF_Options_Exhibits'!W1136:W1140),"")</f>
        <v/>
      </c>
      <c r="X1140" s="3">
        <f>IF(ISNUMBER(AVERAGE('20250815_ETF_Options_Exhibits'!X1136:X1140)),AVERAGE('20250815_ETF_Options_Exhibits'!X1136:X1140),"")</f>
        <v/>
      </c>
      <c r="Y1140" s="3">
        <f>IF(ISNUMBER(AVERAGE('20250815_ETF_Options_Exhibits'!Y1136:Y1140)),AVERAGE('20250815_ETF_Options_Exhibits'!Y1136:Y1140),"")</f>
        <v/>
      </c>
      <c r="Z1140" s="3">
        <f>IF(ISNUMBER(AVERAGE('20250815_ETF_Options_Exhibits'!Z1136:Z1140)),AVERAGE('20250815_ETF_Options_Exhibits'!Z1136:Z1140),"")</f>
        <v/>
      </c>
      <c r="AA1140" s="3">
        <f>IF(ISNUMBER(AVERAGE('20250815_ETF_Options_Exhibits'!AA1136:AA1140)),AVERAGE('20250815_ETF_Options_Exhibits'!AA1136:AA1140),"")</f>
        <v/>
      </c>
    </row>
    <row r="1141">
      <c r="A1141" s="1" t="n">
        <v>43658</v>
      </c>
      <c r="B1141" s="3">
        <f>IF(ISNUMBER(AVERAGE('20250815_ETF_Options_Exhibits'!B1137:B1141)),AVERAGE('20250815_ETF_Options_Exhibits'!B1137:B1141),"")</f>
        <v/>
      </c>
      <c r="C1141" s="3">
        <f>IF(ISNUMBER(AVERAGE('20250815_ETF_Options_Exhibits'!C1137:C1141)),AVERAGE('20250815_ETF_Options_Exhibits'!C1137:C1141),"")</f>
        <v/>
      </c>
      <c r="D1141" s="3">
        <f>IF(ISNUMBER(AVERAGE('20250815_ETF_Options_Exhibits'!D1137:D1141)),AVERAGE('20250815_ETF_Options_Exhibits'!D1137:D1141),"")</f>
        <v/>
      </c>
      <c r="E1141" s="3">
        <f>IF(ISNUMBER(AVERAGE('20250815_ETF_Options_Exhibits'!E1137:E1141)),AVERAGE('20250815_ETF_Options_Exhibits'!E1137:E1141),"")</f>
        <v/>
      </c>
      <c r="F1141" s="3">
        <f>IF(ISNUMBER(AVERAGE('20250815_ETF_Options_Exhibits'!F1137:F1141)),AVERAGE('20250815_ETF_Options_Exhibits'!F1137:F1141),"")</f>
        <v/>
      </c>
      <c r="G1141" s="3">
        <f>IF(ISNUMBER(AVERAGE('20250815_ETF_Options_Exhibits'!G1137:G1141)),AVERAGE('20250815_ETF_Options_Exhibits'!G1137:G1141),"")</f>
        <v/>
      </c>
      <c r="H1141" s="3">
        <f>IF(ISNUMBER(AVERAGE('20250815_ETF_Options_Exhibits'!H1137:H1141)),AVERAGE('20250815_ETF_Options_Exhibits'!H1137:H1141),"")</f>
        <v/>
      </c>
      <c r="I1141" s="3">
        <f>IF(ISNUMBER(AVERAGE('20250815_ETF_Options_Exhibits'!I1137:I1141)),AVERAGE('20250815_ETF_Options_Exhibits'!I1137:I1141),"")</f>
        <v/>
      </c>
      <c r="J1141" s="3">
        <f>IF(ISNUMBER(AVERAGE('20250815_ETF_Options_Exhibits'!J1137:J1141)),AVERAGE('20250815_ETF_Options_Exhibits'!J1137:J1141),"")</f>
        <v/>
      </c>
      <c r="K1141" s="3">
        <f>IF(ISNUMBER(AVERAGE('20250815_ETF_Options_Exhibits'!K1137:K1141)),AVERAGE('20250815_ETF_Options_Exhibits'!K1137:K1141),"")</f>
        <v/>
      </c>
      <c r="L1141" s="3">
        <f>IF(ISNUMBER(AVERAGE('20250815_ETF_Options_Exhibits'!L1137:L1141)),AVERAGE('20250815_ETF_Options_Exhibits'!L1137:L1141),"")</f>
        <v/>
      </c>
      <c r="M1141" s="3">
        <f>IF(ISNUMBER(AVERAGE('20250815_ETF_Options_Exhibits'!M1137:M1141)),AVERAGE('20250815_ETF_Options_Exhibits'!M1137:M1141),"")</f>
        <v/>
      </c>
      <c r="N1141" s="3">
        <f>IF(ISNUMBER(AVERAGE('20250815_ETF_Options_Exhibits'!N1137:N1141)),AVERAGE('20250815_ETF_Options_Exhibits'!N1137:N1141),"")</f>
        <v/>
      </c>
      <c r="O1141" s="3">
        <f>IF(ISNUMBER(AVERAGE('20250815_ETF_Options_Exhibits'!O1137:O1141)),AVERAGE('20250815_ETF_Options_Exhibits'!O1137:O1141),"")</f>
        <v/>
      </c>
      <c r="P1141" s="3">
        <f>IF(ISNUMBER(AVERAGE('20250815_ETF_Options_Exhibits'!P1137:P1141)),AVERAGE('20250815_ETF_Options_Exhibits'!P1137:P1141),"")</f>
        <v/>
      </c>
      <c r="Q1141" s="3">
        <f>IF(ISNUMBER(AVERAGE('20250815_ETF_Options_Exhibits'!Q1137:Q1141)),AVERAGE('20250815_ETF_Options_Exhibits'!Q1137:Q1141),"")</f>
        <v/>
      </c>
      <c r="R1141" s="3">
        <f>IF(ISNUMBER(AVERAGE('20250815_ETF_Options_Exhibits'!R1137:R1141)),AVERAGE('20250815_ETF_Options_Exhibits'!R1137:R1141),"")</f>
        <v/>
      </c>
      <c r="S1141" s="3">
        <f>IF(ISNUMBER(AVERAGE('20250815_ETF_Options_Exhibits'!S1137:S1141)),AVERAGE('20250815_ETF_Options_Exhibits'!S1137:S1141),"")</f>
        <v/>
      </c>
      <c r="T1141" s="3">
        <f>IF(ISNUMBER(AVERAGE('20250815_ETF_Options_Exhibits'!T1137:T1141)),AVERAGE('20250815_ETF_Options_Exhibits'!T1137:T1141),"")</f>
        <v/>
      </c>
      <c r="U1141" s="3">
        <f>IF(ISNUMBER(AVERAGE('20250815_ETF_Options_Exhibits'!U1137:U1141)),AVERAGE('20250815_ETF_Options_Exhibits'!U1137:U1141),"")</f>
        <v/>
      </c>
      <c r="V1141" s="3">
        <f>IF(ISNUMBER(AVERAGE('20250815_ETF_Options_Exhibits'!V1137:V1141)),AVERAGE('20250815_ETF_Options_Exhibits'!V1137:V1141),"")</f>
        <v/>
      </c>
      <c r="W1141" s="3">
        <f>IF(ISNUMBER(AVERAGE('20250815_ETF_Options_Exhibits'!W1137:W1141)),AVERAGE('20250815_ETF_Options_Exhibits'!W1137:W1141),"")</f>
        <v/>
      </c>
      <c r="X1141" s="3">
        <f>IF(ISNUMBER(AVERAGE('20250815_ETF_Options_Exhibits'!X1137:X1141)),AVERAGE('20250815_ETF_Options_Exhibits'!X1137:X1141),"")</f>
        <v/>
      </c>
      <c r="Y1141" s="3">
        <f>IF(ISNUMBER(AVERAGE('20250815_ETF_Options_Exhibits'!Y1137:Y1141)),AVERAGE('20250815_ETF_Options_Exhibits'!Y1137:Y1141),"")</f>
        <v/>
      </c>
      <c r="Z1141" s="3">
        <f>IF(ISNUMBER(AVERAGE('20250815_ETF_Options_Exhibits'!Z1137:Z1141)),AVERAGE('20250815_ETF_Options_Exhibits'!Z1137:Z1141),"")</f>
        <v/>
      </c>
      <c r="AA1141" s="3">
        <f>IF(ISNUMBER(AVERAGE('20250815_ETF_Options_Exhibits'!AA1137:AA1141)),AVERAGE('20250815_ETF_Options_Exhibits'!AA1137:AA1141),"")</f>
        <v/>
      </c>
    </row>
    <row r="1142">
      <c r="A1142" s="1" t="n">
        <v>43661</v>
      </c>
      <c r="B1142" s="3">
        <f>IF(ISNUMBER(AVERAGE('20250815_ETF_Options_Exhibits'!B1138:B1142)),AVERAGE('20250815_ETF_Options_Exhibits'!B1138:B1142),"")</f>
        <v/>
      </c>
      <c r="C1142" s="3">
        <f>IF(ISNUMBER(AVERAGE('20250815_ETF_Options_Exhibits'!C1138:C1142)),AVERAGE('20250815_ETF_Options_Exhibits'!C1138:C1142),"")</f>
        <v/>
      </c>
      <c r="D1142" s="3">
        <f>IF(ISNUMBER(AVERAGE('20250815_ETF_Options_Exhibits'!D1138:D1142)),AVERAGE('20250815_ETF_Options_Exhibits'!D1138:D1142),"")</f>
        <v/>
      </c>
      <c r="E1142" s="3">
        <f>IF(ISNUMBER(AVERAGE('20250815_ETF_Options_Exhibits'!E1138:E1142)),AVERAGE('20250815_ETF_Options_Exhibits'!E1138:E1142),"")</f>
        <v/>
      </c>
      <c r="F1142" s="3">
        <f>IF(ISNUMBER(AVERAGE('20250815_ETF_Options_Exhibits'!F1138:F1142)),AVERAGE('20250815_ETF_Options_Exhibits'!F1138:F1142),"")</f>
        <v/>
      </c>
      <c r="G1142" s="3">
        <f>IF(ISNUMBER(AVERAGE('20250815_ETF_Options_Exhibits'!G1138:G1142)),AVERAGE('20250815_ETF_Options_Exhibits'!G1138:G1142),"")</f>
        <v/>
      </c>
      <c r="H1142" s="3">
        <f>IF(ISNUMBER(AVERAGE('20250815_ETF_Options_Exhibits'!H1138:H1142)),AVERAGE('20250815_ETF_Options_Exhibits'!H1138:H1142),"")</f>
        <v/>
      </c>
      <c r="I1142" s="3">
        <f>IF(ISNUMBER(AVERAGE('20250815_ETF_Options_Exhibits'!I1138:I1142)),AVERAGE('20250815_ETF_Options_Exhibits'!I1138:I1142),"")</f>
        <v/>
      </c>
      <c r="J1142" s="3">
        <f>IF(ISNUMBER(AVERAGE('20250815_ETF_Options_Exhibits'!J1138:J1142)),AVERAGE('20250815_ETF_Options_Exhibits'!J1138:J1142),"")</f>
        <v/>
      </c>
      <c r="K1142" s="3">
        <f>IF(ISNUMBER(AVERAGE('20250815_ETF_Options_Exhibits'!K1138:K1142)),AVERAGE('20250815_ETF_Options_Exhibits'!K1138:K1142),"")</f>
        <v/>
      </c>
      <c r="L1142" s="3">
        <f>IF(ISNUMBER(AVERAGE('20250815_ETF_Options_Exhibits'!L1138:L1142)),AVERAGE('20250815_ETF_Options_Exhibits'!L1138:L1142),"")</f>
        <v/>
      </c>
      <c r="M1142" s="3">
        <f>IF(ISNUMBER(AVERAGE('20250815_ETF_Options_Exhibits'!M1138:M1142)),AVERAGE('20250815_ETF_Options_Exhibits'!M1138:M1142),"")</f>
        <v/>
      </c>
      <c r="N1142" s="3">
        <f>IF(ISNUMBER(AVERAGE('20250815_ETF_Options_Exhibits'!N1138:N1142)),AVERAGE('20250815_ETF_Options_Exhibits'!N1138:N1142),"")</f>
        <v/>
      </c>
      <c r="O1142" s="3">
        <f>IF(ISNUMBER(AVERAGE('20250815_ETF_Options_Exhibits'!O1138:O1142)),AVERAGE('20250815_ETF_Options_Exhibits'!O1138:O1142),"")</f>
        <v/>
      </c>
      <c r="P1142" s="3">
        <f>IF(ISNUMBER(AVERAGE('20250815_ETF_Options_Exhibits'!P1138:P1142)),AVERAGE('20250815_ETF_Options_Exhibits'!P1138:P1142),"")</f>
        <v/>
      </c>
      <c r="Q1142" s="3">
        <f>IF(ISNUMBER(AVERAGE('20250815_ETF_Options_Exhibits'!Q1138:Q1142)),AVERAGE('20250815_ETF_Options_Exhibits'!Q1138:Q1142),"")</f>
        <v/>
      </c>
      <c r="R1142" s="3">
        <f>IF(ISNUMBER(AVERAGE('20250815_ETF_Options_Exhibits'!R1138:R1142)),AVERAGE('20250815_ETF_Options_Exhibits'!R1138:R1142),"")</f>
        <v/>
      </c>
      <c r="S1142" s="3">
        <f>IF(ISNUMBER(AVERAGE('20250815_ETF_Options_Exhibits'!S1138:S1142)),AVERAGE('20250815_ETF_Options_Exhibits'!S1138:S1142),"")</f>
        <v/>
      </c>
      <c r="T1142" s="3">
        <f>IF(ISNUMBER(AVERAGE('20250815_ETF_Options_Exhibits'!T1138:T1142)),AVERAGE('20250815_ETF_Options_Exhibits'!T1138:T1142),"")</f>
        <v/>
      </c>
      <c r="U1142" s="3">
        <f>IF(ISNUMBER(AVERAGE('20250815_ETF_Options_Exhibits'!U1138:U1142)),AVERAGE('20250815_ETF_Options_Exhibits'!U1138:U1142),"")</f>
        <v/>
      </c>
      <c r="V1142" s="3">
        <f>IF(ISNUMBER(AVERAGE('20250815_ETF_Options_Exhibits'!V1138:V1142)),AVERAGE('20250815_ETF_Options_Exhibits'!V1138:V1142),"")</f>
        <v/>
      </c>
      <c r="W1142" s="3">
        <f>IF(ISNUMBER(AVERAGE('20250815_ETF_Options_Exhibits'!W1138:W1142)),AVERAGE('20250815_ETF_Options_Exhibits'!W1138:W1142),"")</f>
        <v/>
      </c>
      <c r="X1142" s="3">
        <f>IF(ISNUMBER(AVERAGE('20250815_ETF_Options_Exhibits'!X1138:X1142)),AVERAGE('20250815_ETF_Options_Exhibits'!X1138:X1142),"")</f>
        <v/>
      </c>
      <c r="Y1142" s="3">
        <f>IF(ISNUMBER(AVERAGE('20250815_ETF_Options_Exhibits'!Y1138:Y1142)),AVERAGE('20250815_ETF_Options_Exhibits'!Y1138:Y1142),"")</f>
        <v/>
      </c>
      <c r="Z1142" s="3">
        <f>IF(ISNUMBER(AVERAGE('20250815_ETF_Options_Exhibits'!Z1138:Z1142)),AVERAGE('20250815_ETF_Options_Exhibits'!Z1138:Z1142),"")</f>
        <v/>
      </c>
      <c r="AA1142" s="3">
        <f>IF(ISNUMBER(AVERAGE('20250815_ETF_Options_Exhibits'!AA1138:AA1142)),AVERAGE('20250815_ETF_Options_Exhibits'!AA1138:AA1142),"")</f>
        <v/>
      </c>
    </row>
    <row r="1143">
      <c r="A1143" s="1" t="n">
        <v>43662</v>
      </c>
      <c r="B1143" s="3">
        <f>IF(ISNUMBER(AVERAGE('20250815_ETF_Options_Exhibits'!B1139:B1143)),AVERAGE('20250815_ETF_Options_Exhibits'!B1139:B1143),"")</f>
        <v/>
      </c>
      <c r="C1143" s="3">
        <f>IF(ISNUMBER(AVERAGE('20250815_ETF_Options_Exhibits'!C1139:C1143)),AVERAGE('20250815_ETF_Options_Exhibits'!C1139:C1143),"")</f>
        <v/>
      </c>
      <c r="D1143" s="3">
        <f>IF(ISNUMBER(AVERAGE('20250815_ETF_Options_Exhibits'!D1139:D1143)),AVERAGE('20250815_ETF_Options_Exhibits'!D1139:D1143),"")</f>
        <v/>
      </c>
      <c r="E1143" s="3">
        <f>IF(ISNUMBER(AVERAGE('20250815_ETF_Options_Exhibits'!E1139:E1143)),AVERAGE('20250815_ETF_Options_Exhibits'!E1139:E1143),"")</f>
        <v/>
      </c>
      <c r="F1143" s="3">
        <f>IF(ISNUMBER(AVERAGE('20250815_ETF_Options_Exhibits'!F1139:F1143)),AVERAGE('20250815_ETF_Options_Exhibits'!F1139:F1143),"")</f>
        <v/>
      </c>
      <c r="G1143" s="3">
        <f>IF(ISNUMBER(AVERAGE('20250815_ETF_Options_Exhibits'!G1139:G1143)),AVERAGE('20250815_ETF_Options_Exhibits'!G1139:G1143),"")</f>
        <v/>
      </c>
      <c r="H1143" s="3">
        <f>IF(ISNUMBER(AVERAGE('20250815_ETF_Options_Exhibits'!H1139:H1143)),AVERAGE('20250815_ETF_Options_Exhibits'!H1139:H1143),"")</f>
        <v/>
      </c>
      <c r="I1143" s="3">
        <f>IF(ISNUMBER(AVERAGE('20250815_ETF_Options_Exhibits'!I1139:I1143)),AVERAGE('20250815_ETF_Options_Exhibits'!I1139:I1143),"")</f>
        <v/>
      </c>
      <c r="J1143" s="3">
        <f>IF(ISNUMBER(AVERAGE('20250815_ETF_Options_Exhibits'!J1139:J1143)),AVERAGE('20250815_ETF_Options_Exhibits'!J1139:J1143),"")</f>
        <v/>
      </c>
      <c r="K1143" s="3">
        <f>IF(ISNUMBER(AVERAGE('20250815_ETF_Options_Exhibits'!K1139:K1143)),AVERAGE('20250815_ETF_Options_Exhibits'!K1139:K1143),"")</f>
        <v/>
      </c>
      <c r="L1143" s="3">
        <f>IF(ISNUMBER(AVERAGE('20250815_ETF_Options_Exhibits'!L1139:L1143)),AVERAGE('20250815_ETF_Options_Exhibits'!L1139:L1143),"")</f>
        <v/>
      </c>
      <c r="M1143" s="3">
        <f>IF(ISNUMBER(AVERAGE('20250815_ETF_Options_Exhibits'!M1139:M1143)),AVERAGE('20250815_ETF_Options_Exhibits'!M1139:M1143),"")</f>
        <v/>
      </c>
      <c r="N1143" s="3">
        <f>IF(ISNUMBER(AVERAGE('20250815_ETF_Options_Exhibits'!N1139:N1143)),AVERAGE('20250815_ETF_Options_Exhibits'!N1139:N1143),"")</f>
        <v/>
      </c>
      <c r="O1143" s="3">
        <f>IF(ISNUMBER(AVERAGE('20250815_ETF_Options_Exhibits'!O1139:O1143)),AVERAGE('20250815_ETF_Options_Exhibits'!O1139:O1143),"")</f>
        <v/>
      </c>
      <c r="P1143" s="3">
        <f>IF(ISNUMBER(AVERAGE('20250815_ETF_Options_Exhibits'!P1139:P1143)),AVERAGE('20250815_ETF_Options_Exhibits'!P1139:P1143),"")</f>
        <v/>
      </c>
      <c r="Q1143" s="3">
        <f>IF(ISNUMBER(AVERAGE('20250815_ETF_Options_Exhibits'!Q1139:Q1143)),AVERAGE('20250815_ETF_Options_Exhibits'!Q1139:Q1143),"")</f>
        <v/>
      </c>
      <c r="R1143" s="3">
        <f>IF(ISNUMBER(AVERAGE('20250815_ETF_Options_Exhibits'!R1139:R1143)),AVERAGE('20250815_ETF_Options_Exhibits'!R1139:R1143),"")</f>
        <v/>
      </c>
      <c r="S1143" s="3">
        <f>IF(ISNUMBER(AVERAGE('20250815_ETF_Options_Exhibits'!S1139:S1143)),AVERAGE('20250815_ETF_Options_Exhibits'!S1139:S1143),"")</f>
        <v/>
      </c>
      <c r="T1143" s="3">
        <f>IF(ISNUMBER(AVERAGE('20250815_ETF_Options_Exhibits'!T1139:T1143)),AVERAGE('20250815_ETF_Options_Exhibits'!T1139:T1143),"")</f>
        <v/>
      </c>
      <c r="U1143" s="3">
        <f>IF(ISNUMBER(AVERAGE('20250815_ETF_Options_Exhibits'!U1139:U1143)),AVERAGE('20250815_ETF_Options_Exhibits'!U1139:U1143),"")</f>
        <v/>
      </c>
      <c r="V1143" s="3">
        <f>IF(ISNUMBER(AVERAGE('20250815_ETF_Options_Exhibits'!V1139:V1143)),AVERAGE('20250815_ETF_Options_Exhibits'!V1139:V1143),"")</f>
        <v/>
      </c>
      <c r="W1143" s="3">
        <f>IF(ISNUMBER(AVERAGE('20250815_ETF_Options_Exhibits'!W1139:W1143)),AVERAGE('20250815_ETF_Options_Exhibits'!W1139:W1143),"")</f>
        <v/>
      </c>
      <c r="X1143" s="3">
        <f>IF(ISNUMBER(AVERAGE('20250815_ETF_Options_Exhibits'!X1139:X1143)),AVERAGE('20250815_ETF_Options_Exhibits'!X1139:X1143),"")</f>
        <v/>
      </c>
      <c r="Y1143" s="3">
        <f>IF(ISNUMBER(AVERAGE('20250815_ETF_Options_Exhibits'!Y1139:Y1143)),AVERAGE('20250815_ETF_Options_Exhibits'!Y1139:Y1143),"")</f>
        <v/>
      </c>
      <c r="Z1143" s="3">
        <f>IF(ISNUMBER(AVERAGE('20250815_ETF_Options_Exhibits'!Z1139:Z1143)),AVERAGE('20250815_ETF_Options_Exhibits'!Z1139:Z1143),"")</f>
        <v/>
      </c>
      <c r="AA1143" s="3">
        <f>IF(ISNUMBER(AVERAGE('20250815_ETF_Options_Exhibits'!AA1139:AA1143)),AVERAGE('20250815_ETF_Options_Exhibits'!AA1139:AA1143),"")</f>
        <v/>
      </c>
    </row>
    <row r="1144">
      <c r="A1144" s="1" t="n">
        <v>43663</v>
      </c>
      <c r="B1144" s="3">
        <f>IF(ISNUMBER(AVERAGE('20250815_ETF_Options_Exhibits'!B1140:B1144)),AVERAGE('20250815_ETF_Options_Exhibits'!B1140:B1144),"")</f>
        <v/>
      </c>
      <c r="C1144" s="3">
        <f>IF(ISNUMBER(AVERAGE('20250815_ETF_Options_Exhibits'!C1140:C1144)),AVERAGE('20250815_ETF_Options_Exhibits'!C1140:C1144),"")</f>
        <v/>
      </c>
      <c r="D1144" s="3">
        <f>IF(ISNUMBER(AVERAGE('20250815_ETF_Options_Exhibits'!D1140:D1144)),AVERAGE('20250815_ETF_Options_Exhibits'!D1140:D1144),"")</f>
        <v/>
      </c>
      <c r="E1144" s="3">
        <f>IF(ISNUMBER(AVERAGE('20250815_ETF_Options_Exhibits'!E1140:E1144)),AVERAGE('20250815_ETF_Options_Exhibits'!E1140:E1144),"")</f>
        <v/>
      </c>
      <c r="F1144" s="3">
        <f>IF(ISNUMBER(AVERAGE('20250815_ETF_Options_Exhibits'!F1140:F1144)),AVERAGE('20250815_ETF_Options_Exhibits'!F1140:F1144),"")</f>
        <v/>
      </c>
      <c r="G1144" s="3">
        <f>IF(ISNUMBER(AVERAGE('20250815_ETF_Options_Exhibits'!G1140:G1144)),AVERAGE('20250815_ETF_Options_Exhibits'!G1140:G1144),"")</f>
        <v/>
      </c>
      <c r="H1144" s="3">
        <f>IF(ISNUMBER(AVERAGE('20250815_ETF_Options_Exhibits'!H1140:H1144)),AVERAGE('20250815_ETF_Options_Exhibits'!H1140:H1144),"")</f>
        <v/>
      </c>
      <c r="I1144" s="3">
        <f>IF(ISNUMBER(AVERAGE('20250815_ETF_Options_Exhibits'!I1140:I1144)),AVERAGE('20250815_ETF_Options_Exhibits'!I1140:I1144),"")</f>
        <v/>
      </c>
      <c r="J1144" s="3">
        <f>IF(ISNUMBER(AVERAGE('20250815_ETF_Options_Exhibits'!J1140:J1144)),AVERAGE('20250815_ETF_Options_Exhibits'!J1140:J1144),"")</f>
        <v/>
      </c>
      <c r="K1144" s="3">
        <f>IF(ISNUMBER(AVERAGE('20250815_ETF_Options_Exhibits'!K1140:K1144)),AVERAGE('20250815_ETF_Options_Exhibits'!K1140:K1144),"")</f>
        <v/>
      </c>
      <c r="L1144" s="3">
        <f>IF(ISNUMBER(AVERAGE('20250815_ETF_Options_Exhibits'!L1140:L1144)),AVERAGE('20250815_ETF_Options_Exhibits'!L1140:L1144),"")</f>
        <v/>
      </c>
      <c r="M1144" s="3">
        <f>IF(ISNUMBER(AVERAGE('20250815_ETF_Options_Exhibits'!M1140:M1144)),AVERAGE('20250815_ETF_Options_Exhibits'!M1140:M1144),"")</f>
        <v/>
      </c>
      <c r="N1144" s="3">
        <f>IF(ISNUMBER(AVERAGE('20250815_ETF_Options_Exhibits'!N1140:N1144)),AVERAGE('20250815_ETF_Options_Exhibits'!N1140:N1144),"")</f>
        <v/>
      </c>
      <c r="O1144" s="3">
        <f>IF(ISNUMBER(AVERAGE('20250815_ETF_Options_Exhibits'!O1140:O1144)),AVERAGE('20250815_ETF_Options_Exhibits'!O1140:O1144),"")</f>
        <v/>
      </c>
      <c r="P1144" s="3">
        <f>IF(ISNUMBER(AVERAGE('20250815_ETF_Options_Exhibits'!P1140:P1144)),AVERAGE('20250815_ETF_Options_Exhibits'!P1140:P1144),"")</f>
        <v/>
      </c>
      <c r="Q1144" s="3">
        <f>IF(ISNUMBER(AVERAGE('20250815_ETF_Options_Exhibits'!Q1140:Q1144)),AVERAGE('20250815_ETF_Options_Exhibits'!Q1140:Q1144),"")</f>
        <v/>
      </c>
      <c r="R1144" s="3">
        <f>IF(ISNUMBER(AVERAGE('20250815_ETF_Options_Exhibits'!R1140:R1144)),AVERAGE('20250815_ETF_Options_Exhibits'!R1140:R1144),"")</f>
        <v/>
      </c>
      <c r="S1144" s="3">
        <f>IF(ISNUMBER(AVERAGE('20250815_ETF_Options_Exhibits'!S1140:S1144)),AVERAGE('20250815_ETF_Options_Exhibits'!S1140:S1144),"")</f>
        <v/>
      </c>
      <c r="T1144" s="3">
        <f>IF(ISNUMBER(AVERAGE('20250815_ETF_Options_Exhibits'!T1140:T1144)),AVERAGE('20250815_ETF_Options_Exhibits'!T1140:T1144),"")</f>
        <v/>
      </c>
      <c r="U1144" s="3">
        <f>IF(ISNUMBER(AVERAGE('20250815_ETF_Options_Exhibits'!U1140:U1144)),AVERAGE('20250815_ETF_Options_Exhibits'!U1140:U1144),"")</f>
        <v/>
      </c>
      <c r="V1144" s="3">
        <f>IF(ISNUMBER(AVERAGE('20250815_ETF_Options_Exhibits'!V1140:V1144)),AVERAGE('20250815_ETF_Options_Exhibits'!V1140:V1144),"")</f>
        <v/>
      </c>
      <c r="W1144" s="3">
        <f>IF(ISNUMBER(AVERAGE('20250815_ETF_Options_Exhibits'!W1140:W1144)),AVERAGE('20250815_ETF_Options_Exhibits'!W1140:W1144),"")</f>
        <v/>
      </c>
      <c r="X1144" s="3">
        <f>IF(ISNUMBER(AVERAGE('20250815_ETF_Options_Exhibits'!X1140:X1144)),AVERAGE('20250815_ETF_Options_Exhibits'!X1140:X1144),"")</f>
        <v/>
      </c>
      <c r="Y1144" s="3">
        <f>IF(ISNUMBER(AVERAGE('20250815_ETF_Options_Exhibits'!Y1140:Y1144)),AVERAGE('20250815_ETF_Options_Exhibits'!Y1140:Y1144),"")</f>
        <v/>
      </c>
      <c r="Z1144" s="3">
        <f>IF(ISNUMBER(AVERAGE('20250815_ETF_Options_Exhibits'!Z1140:Z1144)),AVERAGE('20250815_ETF_Options_Exhibits'!Z1140:Z1144),"")</f>
        <v/>
      </c>
      <c r="AA1144" s="3">
        <f>IF(ISNUMBER(AVERAGE('20250815_ETF_Options_Exhibits'!AA1140:AA1144)),AVERAGE('20250815_ETF_Options_Exhibits'!AA1140:AA1144),"")</f>
        <v/>
      </c>
    </row>
    <row r="1145">
      <c r="A1145" s="1" t="n">
        <v>43664</v>
      </c>
      <c r="B1145" s="3">
        <f>IF(ISNUMBER(AVERAGE('20250815_ETF_Options_Exhibits'!B1141:B1145)),AVERAGE('20250815_ETF_Options_Exhibits'!B1141:B1145),"")</f>
        <v/>
      </c>
      <c r="C1145" s="3">
        <f>IF(ISNUMBER(AVERAGE('20250815_ETF_Options_Exhibits'!C1141:C1145)),AVERAGE('20250815_ETF_Options_Exhibits'!C1141:C1145),"")</f>
        <v/>
      </c>
      <c r="D1145" s="3">
        <f>IF(ISNUMBER(AVERAGE('20250815_ETF_Options_Exhibits'!D1141:D1145)),AVERAGE('20250815_ETF_Options_Exhibits'!D1141:D1145),"")</f>
        <v/>
      </c>
      <c r="E1145" s="3">
        <f>IF(ISNUMBER(AVERAGE('20250815_ETF_Options_Exhibits'!E1141:E1145)),AVERAGE('20250815_ETF_Options_Exhibits'!E1141:E1145),"")</f>
        <v/>
      </c>
      <c r="F1145" s="3">
        <f>IF(ISNUMBER(AVERAGE('20250815_ETF_Options_Exhibits'!F1141:F1145)),AVERAGE('20250815_ETF_Options_Exhibits'!F1141:F1145),"")</f>
        <v/>
      </c>
      <c r="G1145" s="3">
        <f>IF(ISNUMBER(AVERAGE('20250815_ETF_Options_Exhibits'!G1141:G1145)),AVERAGE('20250815_ETF_Options_Exhibits'!G1141:G1145),"")</f>
        <v/>
      </c>
      <c r="H1145" s="3">
        <f>IF(ISNUMBER(AVERAGE('20250815_ETF_Options_Exhibits'!H1141:H1145)),AVERAGE('20250815_ETF_Options_Exhibits'!H1141:H1145),"")</f>
        <v/>
      </c>
      <c r="I1145" s="3">
        <f>IF(ISNUMBER(AVERAGE('20250815_ETF_Options_Exhibits'!I1141:I1145)),AVERAGE('20250815_ETF_Options_Exhibits'!I1141:I1145),"")</f>
        <v/>
      </c>
      <c r="J1145" s="3">
        <f>IF(ISNUMBER(AVERAGE('20250815_ETF_Options_Exhibits'!J1141:J1145)),AVERAGE('20250815_ETF_Options_Exhibits'!J1141:J1145),"")</f>
        <v/>
      </c>
      <c r="K1145" s="3">
        <f>IF(ISNUMBER(AVERAGE('20250815_ETF_Options_Exhibits'!K1141:K1145)),AVERAGE('20250815_ETF_Options_Exhibits'!K1141:K1145),"")</f>
        <v/>
      </c>
      <c r="L1145" s="3">
        <f>IF(ISNUMBER(AVERAGE('20250815_ETF_Options_Exhibits'!L1141:L1145)),AVERAGE('20250815_ETF_Options_Exhibits'!L1141:L1145),"")</f>
        <v/>
      </c>
      <c r="M1145" s="3">
        <f>IF(ISNUMBER(AVERAGE('20250815_ETF_Options_Exhibits'!M1141:M1145)),AVERAGE('20250815_ETF_Options_Exhibits'!M1141:M1145),"")</f>
        <v/>
      </c>
      <c r="N1145" s="3">
        <f>IF(ISNUMBER(AVERAGE('20250815_ETF_Options_Exhibits'!N1141:N1145)),AVERAGE('20250815_ETF_Options_Exhibits'!N1141:N1145),"")</f>
        <v/>
      </c>
      <c r="O1145" s="3">
        <f>IF(ISNUMBER(AVERAGE('20250815_ETF_Options_Exhibits'!O1141:O1145)),AVERAGE('20250815_ETF_Options_Exhibits'!O1141:O1145),"")</f>
        <v/>
      </c>
      <c r="P1145" s="3">
        <f>IF(ISNUMBER(AVERAGE('20250815_ETF_Options_Exhibits'!P1141:P1145)),AVERAGE('20250815_ETF_Options_Exhibits'!P1141:P1145),"")</f>
        <v/>
      </c>
      <c r="Q1145" s="3">
        <f>IF(ISNUMBER(AVERAGE('20250815_ETF_Options_Exhibits'!Q1141:Q1145)),AVERAGE('20250815_ETF_Options_Exhibits'!Q1141:Q1145),"")</f>
        <v/>
      </c>
      <c r="R1145" s="3">
        <f>IF(ISNUMBER(AVERAGE('20250815_ETF_Options_Exhibits'!R1141:R1145)),AVERAGE('20250815_ETF_Options_Exhibits'!R1141:R1145),"")</f>
        <v/>
      </c>
      <c r="S1145" s="3">
        <f>IF(ISNUMBER(AVERAGE('20250815_ETF_Options_Exhibits'!S1141:S1145)),AVERAGE('20250815_ETF_Options_Exhibits'!S1141:S1145),"")</f>
        <v/>
      </c>
      <c r="T1145" s="3">
        <f>IF(ISNUMBER(AVERAGE('20250815_ETF_Options_Exhibits'!T1141:T1145)),AVERAGE('20250815_ETF_Options_Exhibits'!T1141:T1145),"")</f>
        <v/>
      </c>
      <c r="U1145" s="3">
        <f>IF(ISNUMBER(AVERAGE('20250815_ETF_Options_Exhibits'!U1141:U1145)),AVERAGE('20250815_ETF_Options_Exhibits'!U1141:U1145),"")</f>
        <v/>
      </c>
      <c r="V1145" s="3">
        <f>IF(ISNUMBER(AVERAGE('20250815_ETF_Options_Exhibits'!V1141:V1145)),AVERAGE('20250815_ETF_Options_Exhibits'!V1141:V1145),"")</f>
        <v/>
      </c>
      <c r="W1145" s="3">
        <f>IF(ISNUMBER(AVERAGE('20250815_ETF_Options_Exhibits'!W1141:W1145)),AVERAGE('20250815_ETF_Options_Exhibits'!W1141:W1145),"")</f>
        <v/>
      </c>
      <c r="X1145" s="3">
        <f>IF(ISNUMBER(AVERAGE('20250815_ETF_Options_Exhibits'!X1141:X1145)),AVERAGE('20250815_ETF_Options_Exhibits'!X1141:X1145),"")</f>
        <v/>
      </c>
      <c r="Y1145" s="3">
        <f>IF(ISNUMBER(AVERAGE('20250815_ETF_Options_Exhibits'!Y1141:Y1145)),AVERAGE('20250815_ETF_Options_Exhibits'!Y1141:Y1145),"")</f>
        <v/>
      </c>
      <c r="Z1145" s="3">
        <f>IF(ISNUMBER(AVERAGE('20250815_ETF_Options_Exhibits'!Z1141:Z1145)),AVERAGE('20250815_ETF_Options_Exhibits'!Z1141:Z1145),"")</f>
        <v/>
      </c>
      <c r="AA1145" s="3">
        <f>IF(ISNUMBER(AVERAGE('20250815_ETF_Options_Exhibits'!AA1141:AA1145)),AVERAGE('20250815_ETF_Options_Exhibits'!AA1141:AA1145),"")</f>
        <v/>
      </c>
    </row>
    <row r="1146">
      <c r="A1146" s="1" t="n">
        <v>43665</v>
      </c>
      <c r="B1146" s="3">
        <f>IF(ISNUMBER(AVERAGE('20250815_ETF_Options_Exhibits'!B1142:B1146)),AVERAGE('20250815_ETF_Options_Exhibits'!B1142:B1146),"")</f>
        <v/>
      </c>
      <c r="C1146" s="3">
        <f>IF(ISNUMBER(AVERAGE('20250815_ETF_Options_Exhibits'!C1142:C1146)),AVERAGE('20250815_ETF_Options_Exhibits'!C1142:C1146),"")</f>
        <v/>
      </c>
      <c r="D1146" s="3">
        <f>IF(ISNUMBER(AVERAGE('20250815_ETF_Options_Exhibits'!D1142:D1146)),AVERAGE('20250815_ETF_Options_Exhibits'!D1142:D1146),"")</f>
        <v/>
      </c>
      <c r="E1146" s="3">
        <f>IF(ISNUMBER(AVERAGE('20250815_ETF_Options_Exhibits'!E1142:E1146)),AVERAGE('20250815_ETF_Options_Exhibits'!E1142:E1146),"")</f>
        <v/>
      </c>
      <c r="F1146" s="3">
        <f>IF(ISNUMBER(AVERAGE('20250815_ETF_Options_Exhibits'!F1142:F1146)),AVERAGE('20250815_ETF_Options_Exhibits'!F1142:F1146),"")</f>
        <v/>
      </c>
      <c r="G1146" s="3">
        <f>IF(ISNUMBER(AVERAGE('20250815_ETF_Options_Exhibits'!G1142:G1146)),AVERAGE('20250815_ETF_Options_Exhibits'!G1142:G1146),"")</f>
        <v/>
      </c>
      <c r="H1146" s="3">
        <f>IF(ISNUMBER(AVERAGE('20250815_ETF_Options_Exhibits'!H1142:H1146)),AVERAGE('20250815_ETF_Options_Exhibits'!H1142:H1146),"")</f>
        <v/>
      </c>
      <c r="I1146" s="3">
        <f>IF(ISNUMBER(AVERAGE('20250815_ETF_Options_Exhibits'!I1142:I1146)),AVERAGE('20250815_ETF_Options_Exhibits'!I1142:I1146),"")</f>
        <v/>
      </c>
      <c r="J1146" s="3">
        <f>IF(ISNUMBER(AVERAGE('20250815_ETF_Options_Exhibits'!J1142:J1146)),AVERAGE('20250815_ETF_Options_Exhibits'!J1142:J1146),"")</f>
        <v/>
      </c>
      <c r="K1146" s="3">
        <f>IF(ISNUMBER(AVERAGE('20250815_ETF_Options_Exhibits'!K1142:K1146)),AVERAGE('20250815_ETF_Options_Exhibits'!K1142:K1146),"")</f>
        <v/>
      </c>
      <c r="L1146" s="3">
        <f>IF(ISNUMBER(AVERAGE('20250815_ETF_Options_Exhibits'!L1142:L1146)),AVERAGE('20250815_ETF_Options_Exhibits'!L1142:L1146),"")</f>
        <v/>
      </c>
      <c r="M1146" s="3">
        <f>IF(ISNUMBER(AVERAGE('20250815_ETF_Options_Exhibits'!M1142:M1146)),AVERAGE('20250815_ETF_Options_Exhibits'!M1142:M1146),"")</f>
        <v/>
      </c>
      <c r="N1146" s="3">
        <f>IF(ISNUMBER(AVERAGE('20250815_ETF_Options_Exhibits'!N1142:N1146)),AVERAGE('20250815_ETF_Options_Exhibits'!N1142:N1146),"")</f>
        <v/>
      </c>
      <c r="O1146" s="3">
        <f>IF(ISNUMBER(AVERAGE('20250815_ETF_Options_Exhibits'!O1142:O1146)),AVERAGE('20250815_ETF_Options_Exhibits'!O1142:O1146),"")</f>
        <v/>
      </c>
      <c r="P1146" s="3">
        <f>IF(ISNUMBER(AVERAGE('20250815_ETF_Options_Exhibits'!P1142:P1146)),AVERAGE('20250815_ETF_Options_Exhibits'!P1142:P1146),"")</f>
        <v/>
      </c>
      <c r="Q1146" s="3">
        <f>IF(ISNUMBER(AVERAGE('20250815_ETF_Options_Exhibits'!Q1142:Q1146)),AVERAGE('20250815_ETF_Options_Exhibits'!Q1142:Q1146),"")</f>
        <v/>
      </c>
      <c r="R1146" s="3">
        <f>IF(ISNUMBER(AVERAGE('20250815_ETF_Options_Exhibits'!R1142:R1146)),AVERAGE('20250815_ETF_Options_Exhibits'!R1142:R1146),"")</f>
        <v/>
      </c>
      <c r="S1146" s="3">
        <f>IF(ISNUMBER(AVERAGE('20250815_ETF_Options_Exhibits'!S1142:S1146)),AVERAGE('20250815_ETF_Options_Exhibits'!S1142:S1146),"")</f>
        <v/>
      </c>
      <c r="T1146" s="3">
        <f>IF(ISNUMBER(AVERAGE('20250815_ETF_Options_Exhibits'!T1142:T1146)),AVERAGE('20250815_ETF_Options_Exhibits'!T1142:T1146),"")</f>
        <v/>
      </c>
      <c r="U1146" s="3">
        <f>IF(ISNUMBER(AVERAGE('20250815_ETF_Options_Exhibits'!U1142:U1146)),AVERAGE('20250815_ETF_Options_Exhibits'!U1142:U1146),"")</f>
        <v/>
      </c>
      <c r="V1146" s="3">
        <f>IF(ISNUMBER(AVERAGE('20250815_ETF_Options_Exhibits'!V1142:V1146)),AVERAGE('20250815_ETF_Options_Exhibits'!V1142:V1146),"")</f>
        <v/>
      </c>
      <c r="W1146" s="3">
        <f>IF(ISNUMBER(AVERAGE('20250815_ETF_Options_Exhibits'!W1142:W1146)),AVERAGE('20250815_ETF_Options_Exhibits'!W1142:W1146),"")</f>
        <v/>
      </c>
      <c r="X1146" s="3">
        <f>IF(ISNUMBER(AVERAGE('20250815_ETF_Options_Exhibits'!X1142:X1146)),AVERAGE('20250815_ETF_Options_Exhibits'!X1142:X1146),"")</f>
        <v/>
      </c>
      <c r="Y1146" s="3">
        <f>IF(ISNUMBER(AVERAGE('20250815_ETF_Options_Exhibits'!Y1142:Y1146)),AVERAGE('20250815_ETF_Options_Exhibits'!Y1142:Y1146),"")</f>
        <v/>
      </c>
      <c r="Z1146" s="3">
        <f>IF(ISNUMBER(AVERAGE('20250815_ETF_Options_Exhibits'!Z1142:Z1146)),AVERAGE('20250815_ETF_Options_Exhibits'!Z1142:Z1146),"")</f>
        <v/>
      </c>
      <c r="AA1146" s="3">
        <f>IF(ISNUMBER(AVERAGE('20250815_ETF_Options_Exhibits'!AA1142:AA1146)),AVERAGE('20250815_ETF_Options_Exhibits'!AA1142:AA1146),"")</f>
        <v/>
      </c>
    </row>
    <row r="1147">
      <c r="A1147" s="1" t="n">
        <v>43668</v>
      </c>
      <c r="B1147" s="3">
        <f>IF(ISNUMBER(AVERAGE('20250815_ETF_Options_Exhibits'!B1143:B1147)),AVERAGE('20250815_ETF_Options_Exhibits'!B1143:B1147),"")</f>
        <v/>
      </c>
      <c r="C1147" s="3">
        <f>IF(ISNUMBER(AVERAGE('20250815_ETF_Options_Exhibits'!C1143:C1147)),AVERAGE('20250815_ETF_Options_Exhibits'!C1143:C1147),"")</f>
        <v/>
      </c>
      <c r="D1147" s="3">
        <f>IF(ISNUMBER(AVERAGE('20250815_ETF_Options_Exhibits'!D1143:D1147)),AVERAGE('20250815_ETF_Options_Exhibits'!D1143:D1147),"")</f>
        <v/>
      </c>
      <c r="E1147" s="3">
        <f>IF(ISNUMBER(AVERAGE('20250815_ETF_Options_Exhibits'!E1143:E1147)),AVERAGE('20250815_ETF_Options_Exhibits'!E1143:E1147),"")</f>
        <v/>
      </c>
      <c r="F1147" s="3">
        <f>IF(ISNUMBER(AVERAGE('20250815_ETF_Options_Exhibits'!F1143:F1147)),AVERAGE('20250815_ETF_Options_Exhibits'!F1143:F1147),"")</f>
        <v/>
      </c>
      <c r="G1147" s="3">
        <f>IF(ISNUMBER(AVERAGE('20250815_ETF_Options_Exhibits'!G1143:G1147)),AVERAGE('20250815_ETF_Options_Exhibits'!G1143:G1147),"")</f>
        <v/>
      </c>
      <c r="H1147" s="3">
        <f>IF(ISNUMBER(AVERAGE('20250815_ETF_Options_Exhibits'!H1143:H1147)),AVERAGE('20250815_ETF_Options_Exhibits'!H1143:H1147),"")</f>
        <v/>
      </c>
      <c r="I1147" s="3">
        <f>IF(ISNUMBER(AVERAGE('20250815_ETF_Options_Exhibits'!I1143:I1147)),AVERAGE('20250815_ETF_Options_Exhibits'!I1143:I1147),"")</f>
        <v/>
      </c>
      <c r="J1147" s="3">
        <f>IF(ISNUMBER(AVERAGE('20250815_ETF_Options_Exhibits'!J1143:J1147)),AVERAGE('20250815_ETF_Options_Exhibits'!J1143:J1147),"")</f>
        <v/>
      </c>
      <c r="K1147" s="3">
        <f>IF(ISNUMBER(AVERAGE('20250815_ETF_Options_Exhibits'!K1143:K1147)),AVERAGE('20250815_ETF_Options_Exhibits'!K1143:K1147),"")</f>
        <v/>
      </c>
      <c r="L1147" s="3">
        <f>IF(ISNUMBER(AVERAGE('20250815_ETF_Options_Exhibits'!L1143:L1147)),AVERAGE('20250815_ETF_Options_Exhibits'!L1143:L1147),"")</f>
        <v/>
      </c>
      <c r="M1147" s="3">
        <f>IF(ISNUMBER(AVERAGE('20250815_ETF_Options_Exhibits'!M1143:M1147)),AVERAGE('20250815_ETF_Options_Exhibits'!M1143:M1147),"")</f>
        <v/>
      </c>
      <c r="N1147" s="3">
        <f>IF(ISNUMBER(AVERAGE('20250815_ETF_Options_Exhibits'!N1143:N1147)),AVERAGE('20250815_ETF_Options_Exhibits'!N1143:N1147),"")</f>
        <v/>
      </c>
      <c r="O1147" s="3">
        <f>IF(ISNUMBER(AVERAGE('20250815_ETF_Options_Exhibits'!O1143:O1147)),AVERAGE('20250815_ETF_Options_Exhibits'!O1143:O1147),"")</f>
        <v/>
      </c>
      <c r="P1147" s="3">
        <f>IF(ISNUMBER(AVERAGE('20250815_ETF_Options_Exhibits'!P1143:P1147)),AVERAGE('20250815_ETF_Options_Exhibits'!P1143:P1147),"")</f>
        <v/>
      </c>
      <c r="Q1147" s="3">
        <f>IF(ISNUMBER(AVERAGE('20250815_ETF_Options_Exhibits'!Q1143:Q1147)),AVERAGE('20250815_ETF_Options_Exhibits'!Q1143:Q1147),"")</f>
        <v/>
      </c>
      <c r="R1147" s="3">
        <f>IF(ISNUMBER(AVERAGE('20250815_ETF_Options_Exhibits'!R1143:R1147)),AVERAGE('20250815_ETF_Options_Exhibits'!R1143:R1147),"")</f>
        <v/>
      </c>
      <c r="S1147" s="3">
        <f>IF(ISNUMBER(AVERAGE('20250815_ETF_Options_Exhibits'!S1143:S1147)),AVERAGE('20250815_ETF_Options_Exhibits'!S1143:S1147),"")</f>
        <v/>
      </c>
      <c r="T1147" s="3">
        <f>IF(ISNUMBER(AVERAGE('20250815_ETF_Options_Exhibits'!T1143:T1147)),AVERAGE('20250815_ETF_Options_Exhibits'!T1143:T1147),"")</f>
        <v/>
      </c>
      <c r="U1147" s="3">
        <f>IF(ISNUMBER(AVERAGE('20250815_ETF_Options_Exhibits'!U1143:U1147)),AVERAGE('20250815_ETF_Options_Exhibits'!U1143:U1147),"")</f>
        <v/>
      </c>
      <c r="V1147" s="3">
        <f>IF(ISNUMBER(AVERAGE('20250815_ETF_Options_Exhibits'!V1143:V1147)),AVERAGE('20250815_ETF_Options_Exhibits'!V1143:V1147),"")</f>
        <v/>
      </c>
      <c r="W1147" s="3">
        <f>IF(ISNUMBER(AVERAGE('20250815_ETF_Options_Exhibits'!W1143:W1147)),AVERAGE('20250815_ETF_Options_Exhibits'!W1143:W1147),"")</f>
        <v/>
      </c>
      <c r="X1147" s="3">
        <f>IF(ISNUMBER(AVERAGE('20250815_ETF_Options_Exhibits'!X1143:X1147)),AVERAGE('20250815_ETF_Options_Exhibits'!X1143:X1147),"")</f>
        <v/>
      </c>
      <c r="Y1147" s="3">
        <f>IF(ISNUMBER(AVERAGE('20250815_ETF_Options_Exhibits'!Y1143:Y1147)),AVERAGE('20250815_ETF_Options_Exhibits'!Y1143:Y1147),"")</f>
        <v/>
      </c>
      <c r="Z1147" s="3">
        <f>IF(ISNUMBER(AVERAGE('20250815_ETF_Options_Exhibits'!Z1143:Z1147)),AVERAGE('20250815_ETF_Options_Exhibits'!Z1143:Z1147),"")</f>
        <v/>
      </c>
      <c r="AA1147" s="3">
        <f>IF(ISNUMBER(AVERAGE('20250815_ETF_Options_Exhibits'!AA1143:AA1147)),AVERAGE('20250815_ETF_Options_Exhibits'!AA1143:AA1147),"")</f>
        <v/>
      </c>
    </row>
    <row r="1148">
      <c r="A1148" s="1" t="n">
        <v>43669</v>
      </c>
      <c r="B1148" s="3">
        <f>IF(ISNUMBER(AVERAGE('20250815_ETF_Options_Exhibits'!B1144:B1148)),AVERAGE('20250815_ETF_Options_Exhibits'!B1144:B1148),"")</f>
        <v/>
      </c>
      <c r="C1148" s="3">
        <f>IF(ISNUMBER(AVERAGE('20250815_ETF_Options_Exhibits'!C1144:C1148)),AVERAGE('20250815_ETF_Options_Exhibits'!C1144:C1148),"")</f>
        <v/>
      </c>
      <c r="D1148" s="3">
        <f>IF(ISNUMBER(AVERAGE('20250815_ETF_Options_Exhibits'!D1144:D1148)),AVERAGE('20250815_ETF_Options_Exhibits'!D1144:D1148),"")</f>
        <v/>
      </c>
      <c r="E1148" s="3">
        <f>IF(ISNUMBER(AVERAGE('20250815_ETF_Options_Exhibits'!E1144:E1148)),AVERAGE('20250815_ETF_Options_Exhibits'!E1144:E1148),"")</f>
        <v/>
      </c>
      <c r="F1148" s="3">
        <f>IF(ISNUMBER(AVERAGE('20250815_ETF_Options_Exhibits'!F1144:F1148)),AVERAGE('20250815_ETF_Options_Exhibits'!F1144:F1148),"")</f>
        <v/>
      </c>
      <c r="G1148" s="3">
        <f>IF(ISNUMBER(AVERAGE('20250815_ETF_Options_Exhibits'!G1144:G1148)),AVERAGE('20250815_ETF_Options_Exhibits'!G1144:G1148),"")</f>
        <v/>
      </c>
      <c r="H1148" s="3">
        <f>IF(ISNUMBER(AVERAGE('20250815_ETF_Options_Exhibits'!H1144:H1148)),AVERAGE('20250815_ETF_Options_Exhibits'!H1144:H1148),"")</f>
        <v/>
      </c>
      <c r="I1148" s="3">
        <f>IF(ISNUMBER(AVERAGE('20250815_ETF_Options_Exhibits'!I1144:I1148)),AVERAGE('20250815_ETF_Options_Exhibits'!I1144:I1148),"")</f>
        <v/>
      </c>
      <c r="J1148" s="3">
        <f>IF(ISNUMBER(AVERAGE('20250815_ETF_Options_Exhibits'!J1144:J1148)),AVERAGE('20250815_ETF_Options_Exhibits'!J1144:J1148),"")</f>
        <v/>
      </c>
      <c r="K1148" s="3">
        <f>IF(ISNUMBER(AVERAGE('20250815_ETF_Options_Exhibits'!K1144:K1148)),AVERAGE('20250815_ETF_Options_Exhibits'!K1144:K1148),"")</f>
        <v/>
      </c>
      <c r="L1148" s="3">
        <f>IF(ISNUMBER(AVERAGE('20250815_ETF_Options_Exhibits'!L1144:L1148)),AVERAGE('20250815_ETF_Options_Exhibits'!L1144:L1148),"")</f>
        <v/>
      </c>
      <c r="M1148" s="3">
        <f>IF(ISNUMBER(AVERAGE('20250815_ETF_Options_Exhibits'!M1144:M1148)),AVERAGE('20250815_ETF_Options_Exhibits'!M1144:M1148),"")</f>
        <v/>
      </c>
      <c r="N1148" s="3">
        <f>IF(ISNUMBER(AVERAGE('20250815_ETF_Options_Exhibits'!N1144:N1148)),AVERAGE('20250815_ETF_Options_Exhibits'!N1144:N1148),"")</f>
        <v/>
      </c>
      <c r="O1148" s="3">
        <f>IF(ISNUMBER(AVERAGE('20250815_ETF_Options_Exhibits'!O1144:O1148)),AVERAGE('20250815_ETF_Options_Exhibits'!O1144:O1148),"")</f>
        <v/>
      </c>
      <c r="P1148" s="3">
        <f>IF(ISNUMBER(AVERAGE('20250815_ETF_Options_Exhibits'!P1144:P1148)),AVERAGE('20250815_ETF_Options_Exhibits'!P1144:P1148),"")</f>
        <v/>
      </c>
      <c r="Q1148" s="3">
        <f>IF(ISNUMBER(AVERAGE('20250815_ETF_Options_Exhibits'!Q1144:Q1148)),AVERAGE('20250815_ETF_Options_Exhibits'!Q1144:Q1148),"")</f>
        <v/>
      </c>
      <c r="R1148" s="3">
        <f>IF(ISNUMBER(AVERAGE('20250815_ETF_Options_Exhibits'!R1144:R1148)),AVERAGE('20250815_ETF_Options_Exhibits'!R1144:R1148),"")</f>
        <v/>
      </c>
      <c r="S1148" s="3">
        <f>IF(ISNUMBER(AVERAGE('20250815_ETF_Options_Exhibits'!S1144:S1148)),AVERAGE('20250815_ETF_Options_Exhibits'!S1144:S1148),"")</f>
        <v/>
      </c>
      <c r="T1148" s="3">
        <f>IF(ISNUMBER(AVERAGE('20250815_ETF_Options_Exhibits'!T1144:T1148)),AVERAGE('20250815_ETF_Options_Exhibits'!T1144:T1148),"")</f>
        <v/>
      </c>
      <c r="U1148" s="3">
        <f>IF(ISNUMBER(AVERAGE('20250815_ETF_Options_Exhibits'!U1144:U1148)),AVERAGE('20250815_ETF_Options_Exhibits'!U1144:U1148),"")</f>
        <v/>
      </c>
      <c r="V1148" s="3">
        <f>IF(ISNUMBER(AVERAGE('20250815_ETF_Options_Exhibits'!V1144:V1148)),AVERAGE('20250815_ETF_Options_Exhibits'!V1144:V1148),"")</f>
        <v/>
      </c>
      <c r="W1148" s="3">
        <f>IF(ISNUMBER(AVERAGE('20250815_ETF_Options_Exhibits'!W1144:W1148)),AVERAGE('20250815_ETF_Options_Exhibits'!W1144:W1148),"")</f>
        <v/>
      </c>
      <c r="X1148" s="3">
        <f>IF(ISNUMBER(AVERAGE('20250815_ETF_Options_Exhibits'!X1144:X1148)),AVERAGE('20250815_ETF_Options_Exhibits'!X1144:X1148),"")</f>
        <v/>
      </c>
      <c r="Y1148" s="3">
        <f>IF(ISNUMBER(AVERAGE('20250815_ETF_Options_Exhibits'!Y1144:Y1148)),AVERAGE('20250815_ETF_Options_Exhibits'!Y1144:Y1148),"")</f>
        <v/>
      </c>
      <c r="Z1148" s="3">
        <f>IF(ISNUMBER(AVERAGE('20250815_ETF_Options_Exhibits'!Z1144:Z1148)),AVERAGE('20250815_ETF_Options_Exhibits'!Z1144:Z1148),"")</f>
        <v/>
      </c>
      <c r="AA1148" s="3">
        <f>IF(ISNUMBER(AVERAGE('20250815_ETF_Options_Exhibits'!AA1144:AA1148)),AVERAGE('20250815_ETF_Options_Exhibits'!AA1144:AA1148),"")</f>
        <v/>
      </c>
    </row>
    <row r="1149">
      <c r="A1149" s="1" t="n">
        <v>43670</v>
      </c>
      <c r="B1149" s="3">
        <f>IF(ISNUMBER(AVERAGE('20250815_ETF_Options_Exhibits'!B1145:B1149)),AVERAGE('20250815_ETF_Options_Exhibits'!B1145:B1149),"")</f>
        <v/>
      </c>
      <c r="C1149" s="3">
        <f>IF(ISNUMBER(AVERAGE('20250815_ETF_Options_Exhibits'!C1145:C1149)),AVERAGE('20250815_ETF_Options_Exhibits'!C1145:C1149),"")</f>
        <v/>
      </c>
      <c r="D1149" s="3">
        <f>IF(ISNUMBER(AVERAGE('20250815_ETF_Options_Exhibits'!D1145:D1149)),AVERAGE('20250815_ETF_Options_Exhibits'!D1145:D1149),"")</f>
        <v/>
      </c>
      <c r="E1149" s="3">
        <f>IF(ISNUMBER(AVERAGE('20250815_ETF_Options_Exhibits'!E1145:E1149)),AVERAGE('20250815_ETF_Options_Exhibits'!E1145:E1149),"")</f>
        <v/>
      </c>
      <c r="F1149" s="3">
        <f>IF(ISNUMBER(AVERAGE('20250815_ETF_Options_Exhibits'!F1145:F1149)),AVERAGE('20250815_ETF_Options_Exhibits'!F1145:F1149),"")</f>
        <v/>
      </c>
      <c r="G1149" s="3">
        <f>IF(ISNUMBER(AVERAGE('20250815_ETF_Options_Exhibits'!G1145:G1149)),AVERAGE('20250815_ETF_Options_Exhibits'!G1145:G1149),"")</f>
        <v/>
      </c>
      <c r="H1149" s="3">
        <f>IF(ISNUMBER(AVERAGE('20250815_ETF_Options_Exhibits'!H1145:H1149)),AVERAGE('20250815_ETF_Options_Exhibits'!H1145:H1149),"")</f>
        <v/>
      </c>
      <c r="I1149" s="3">
        <f>IF(ISNUMBER(AVERAGE('20250815_ETF_Options_Exhibits'!I1145:I1149)),AVERAGE('20250815_ETF_Options_Exhibits'!I1145:I1149),"")</f>
        <v/>
      </c>
      <c r="J1149" s="3">
        <f>IF(ISNUMBER(AVERAGE('20250815_ETF_Options_Exhibits'!J1145:J1149)),AVERAGE('20250815_ETF_Options_Exhibits'!J1145:J1149),"")</f>
        <v/>
      </c>
      <c r="K1149" s="3">
        <f>IF(ISNUMBER(AVERAGE('20250815_ETF_Options_Exhibits'!K1145:K1149)),AVERAGE('20250815_ETF_Options_Exhibits'!K1145:K1149),"")</f>
        <v/>
      </c>
      <c r="L1149" s="3">
        <f>IF(ISNUMBER(AVERAGE('20250815_ETF_Options_Exhibits'!L1145:L1149)),AVERAGE('20250815_ETF_Options_Exhibits'!L1145:L1149),"")</f>
        <v/>
      </c>
      <c r="M1149" s="3">
        <f>IF(ISNUMBER(AVERAGE('20250815_ETF_Options_Exhibits'!M1145:M1149)),AVERAGE('20250815_ETF_Options_Exhibits'!M1145:M1149),"")</f>
        <v/>
      </c>
      <c r="N1149" s="3">
        <f>IF(ISNUMBER(AVERAGE('20250815_ETF_Options_Exhibits'!N1145:N1149)),AVERAGE('20250815_ETF_Options_Exhibits'!N1145:N1149),"")</f>
        <v/>
      </c>
      <c r="O1149" s="3">
        <f>IF(ISNUMBER(AVERAGE('20250815_ETF_Options_Exhibits'!O1145:O1149)),AVERAGE('20250815_ETF_Options_Exhibits'!O1145:O1149),"")</f>
        <v/>
      </c>
      <c r="P1149" s="3">
        <f>IF(ISNUMBER(AVERAGE('20250815_ETF_Options_Exhibits'!P1145:P1149)),AVERAGE('20250815_ETF_Options_Exhibits'!P1145:P1149),"")</f>
        <v/>
      </c>
      <c r="Q1149" s="3">
        <f>IF(ISNUMBER(AVERAGE('20250815_ETF_Options_Exhibits'!Q1145:Q1149)),AVERAGE('20250815_ETF_Options_Exhibits'!Q1145:Q1149),"")</f>
        <v/>
      </c>
      <c r="R1149" s="3">
        <f>IF(ISNUMBER(AVERAGE('20250815_ETF_Options_Exhibits'!R1145:R1149)),AVERAGE('20250815_ETF_Options_Exhibits'!R1145:R1149),"")</f>
        <v/>
      </c>
      <c r="S1149" s="3">
        <f>IF(ISNUMBER(AVERAGE('20250815_ETF_Options_Exhibits'!S1145:S1149)),AVERAGE('20250815_ETF_Options_Exhibits'!S1145:S1149),"")</f>
        <v/>
      </c>
      <c r="T1149" s="3">
        <f>IF(ISNUMBER(AVERAGE('20250815_ETF_Options_Exhibits'!T1145:T1149)),AVERAGE('20250815_ETF_Options_Exhibits'!T1145:T1149),"")</f>
        <v/>
      </c>
      <c r="U1149" s="3">
        <f>IF(ISNUMBER(AVERAGE('20250815_ETF_Options_Exhibits'!U1145:U1149)),AVERAGE('20250815_ETF_Options_Exhibits'!U1145:U1149),"")</f>
        <v/>
      </c>
      <c r="V1149" s="3">
        <f>IF(ISNUMBER(AVERAGE('20250815_ETF_Options_Exhibits'!V1145:V1149)),AVERAGE('20250815_ETF_Options_Exhibits'!V1145:V1149),"")</f>
        <v/>
      </c>
      <c r="W1149" s="3">
        <f>IF(ISNUMBER(AVERAGE('20250815_ETF_Options_Exhibits'!W1145:W1149)),AVERAGE('20250815_ETF_Options_Exhibits'!W1145:W1149),"")</f>
        <v/>
      </c>
      <c r="X1149" s="3">
        <f>IF(ISNUMBER(AVERAGE('20250815_ETF_Options_Exhibits'!X1145:X1149)),AVERAGE('20250815_ETF_Options_Exhibits'!X1145:X1149),"")</f>
        <v/>
      </c>
      <c r="Y1149" s="3">
        <f>IF(ISNUMBER(AVERAGE('20250815_ETF_Options_Exhibits'!Y1145:Y1149)),AVERAGE('20250815_ETF_Options_Exhibits'!Y1145:Y1149),"")</f>
        <v/>
      </c>
      <c r="Z1149" s="3">
        <f>IF(ISNUMBER(AVERAGE('20250815_ETF_Options_Exhibits'!Z1145:Z1149)),AVERAGE('20250815_ETF_Options_Exhibits'!Z1145:Z1149),"")</f>
        <v/>
      </c>
      <c r="AA1149" s="3">
        <f>IF(ISNUMBER(AVERAGE('20250815_ETF_Options_Exhibits'!AA1145:AA1149)),AVERAGE('20250815_ETF_Options_Exhibits'!AA1145:AA1149),"")</f>
        <v/>
      </c>
    </row>
    <row r="1150">
      <c r="A1150" s="1" t="n">
        <v>43671</v>
      </c>
      <c r="B1150" s="3">
        <f>IF(ISNUMBER(AVERAGE('20250815_ETF_Options_Exhibits'!B1146:B1150)),AVERAGE('20250815_ETF_Options_Exhibits'!B1146:B1150),"")</f>
        <v/>
      </c>
      <c r="C1150" s="3">
        <f>IF(ISNUMBER(AVERAGE('20250815_ETF_Options_Exhibits'!C1146:C1150)),AVERAGE('20250815_ETF_Options_Exhibits'!C1146:C1150),"")</f>
        <v/>
      </c>
      <c r="D1150" s="3">
        <f>IF(ISNUMBER(AVERAGE('20250815_ETF_Options_Exhibits'!D1146:D1150)),AVERAGE('20250815_ETF_Options_Exhibits'!D1146:D1150),"")</f>
        <v/>
      </c>
      <c r="E1150" s="3">
        <f>IF(ISNUMBER(AVERAGE('20250815_ETF_Options_Exhibits'!E1146:E1150)),AVERAGE('20250815_ETF_Options_Exhibits'!E1146:E1150),"")</f>
        <v/>
      </c>
      <c r="F1150" s="3">
        <f>IF(ISNUMBER(AVERAGE('20250815_ETF_Options_Exhibits'!F1146:F1150)),AVERAGE('20250815_ETF_Options_Exhibits'!F1146:F1150),"")</f>
        <v/>
      </c>
      <c r="G1150" s="3">
        <f>IF(ISNUMBER(AVERAGE('20250815_ETF_Options_Exhibits'!G1146:G1150)),AVERAGE('20250815_ETF_Options_Exhibits'!G1146:G1150),"")</f>
        <v/>
      </c>
      <c r="H1150" s="3">
        <f>IF(ISNUMBER(AVERAGE('20250815_ETF_Options_Exhibits'!H1146:H1150)),AVERAGE('20250815_ETF_Options_Exhibits'!H1146:H1150),"")</f>
        <v/>
      </c>
      <c r="I1150" s="3">
        <f>IF(ISNUMBER(AVERAGE('20250815_ETF_Options_Exhibits'!I1146:I1150)),AVERAGE('20250815_ETF_Options_Exhibits'!I1146:I1150),"")</f>
        <v/>
      </c>
      <c r="J1150" s="3">
        <f>IF(ISNUMBER(AVERAGE('20250815_ETF_Options_Exhibits'!J1146:J1150)),AVERAGE('20250815_ETF_Options_Exhibits'!J1146:J1150),"")</f>
        <v/>
      </c>
      <c r="K1150" s="3">
        <f>IF(ISNUMBER(AVERAGE('20250815_ETF_Options_Exhibits'!K1146:K1150)),AVERAGE('20250815_ETF_Options_Exhibits'!K1146:K1150),"")</f>
        <v/>
      </c>
      <c r="L1150" s="3">
        <f>IF(ISNUMBER(AVERAGE('20250815_ETF_Options_Exhibits'!L1146:L1150)),AVERAGE('20250815_ETF_Options_Exhibits'!L1146:L1150),"")</f>
        <v/>
      </c>
      <c r="M1150" s="3">
        <f>IF(ISNUMBER(AVERAGE('20250815_ETF_Options_Exhibits'!M1146:M1150)),AVERAGE('20250815_ETF_Options_Exhibits'!M1146:M1150),"")</f>
        <v/>
      </c>
      <c r="N1150" s="3">
        <f>IF(ISNUMBER(AVERAGE('20250815_ETF_Options_Exhibits'!N1146:N1150)),AVERAGE('20250815_ETF_Options_Exhibits'!N1146:N1150),"")</f>
        <v/>
      </c>
      <c r="O1150" s="3">
        <f>IF(ISNUMBER(AVERAGE('20250815_ETF_Options_Exhibits'!O1146:O1150)),AVERAGE('20250815_ETF_Options_Exhibits'!O1146:O1150),"")</f>
        <v/>
      </c>
      <c r="P1150" s="3">
        <f>IF(ISNUMBER(AVERAGE('20250815_ETF_Options_Exhibits'!P1146:P1150)),AVERAGE('20250815_ETF_Options_Exhibits'!P1146:P1150),"")</f>
        <v/>
      </c>
      <c r="Q1150" s="3">
        <f>IF(ISNUMBER(AVERAGE('20250815_ETF_Options_Exhibits'!Q1146:Q1150)),AVERAGE('20250815_ETF_Options_Exhibits'!Q1146:Q1150),"")</f>
        <v/>
      </c>
      <c r="R1150" s="3">
        <f>IF(ISNUMBER(AVERAGE('20250815_ETF_Options_Exhibits'!R1146:R1150)),AVERAGE('20250815_ETF_Options_Exhibits'!R1146:R1150),"")</f>
        <v/>
      </c>
      <c r="S1150" s="3">
        <f>IF(ISNUMBER(AVERAGE('20250815_ETF_Options_Exhibits'!S1146:S1150)),AVERAGE('20250815_ETF_Options_Exhibits'!S1146:S1150),"")</f>
        <v/>
      </c>
      <c r="T1150" s="3">
        <f>IF(ISNUMBER(AVERAGE('20250815_ETF_Options_Exhibits'!T1146:T1150)),AVERAGE('20250815_ETF_Options_Exhibits'!T1146:T1150),"")</f>
        <v/>
      </c>
      <c r="U1150" s="3">
        <f>IF(ISNUMBER(AVERAGE('20250815_ETF_Options_Exhibits'!U1146:U1150)),AVERAGE('20250815_ETF_Options_Exhibits'!U1146:U1150),"")</f>
        <v/>
      </c>
      <c r="V1150" s="3">
        <f>IF(ISNUMBER(AVERAGE('20250815_ETF_Options_Exhibits'!V1146:V1150)),AVERAGE('20250815_ETF_Options_Exhibits'!V1146:V1150),"")</f>
        <v/>
      </c>
      <c r="W1150" s="3">
        <f>IF(ISNUMBER(AVERAGE('20250815_ETF_Options_Exhibits'!W1146:W1150)),AVERAGE('20250815_ETF_Options_Exhibits'!W1146:W1150),"")</f>
        <v/>
      </c>
      <c r="X1150" s="3">
        <f>IF(ISNUMBER(AVERAGE('20250815_ETF_Options_Exhibits'!X1146:X1150)),AVERAGE('20250815_ETF_Options_Exhibits'!X1146:X1150),"")</f>
        <v/>
      </c>
      <c r="Y1150" s="3">
        <f>IF(ISNUMBER(AVERAGE('20250815_ETF_Options_Exhibits'!Y1146:Y1150)),AVERAGE('20250815_ETF_Options_Exhibits'!Y1146:Y1150),"")</f>
        <v/>
      </c>
      <c r="Z1150" s="3">
        <f>IF(ISNUMBER(AVERAGE('20250815_ETF_Options_Exhibits'!Z1146:Z1150)),AVERAGE('20250815_ETF_Options_Exhibits'!Z1146:Z1150),"")</f>
        <v/>
      </c>
      <c r="AA1150" s="3">
        <f>IF(ISNUMBER(AVERAGE('20250815_ETF_Options_Exhibits'!AA1146:AA1150)),AVERAGE('20250815_ETF_Options_Exhibits'!AA1146:AA1150),"")</f>
        <v/>
      </c>
    </row>
    <row r="1151">
      <c r="A1151" s="1" t="n">
        <v>43672</v>
      </c>
      <c r="B1151" s="3">
        <f>IF(ISNUMBER(AVERAGE('20250815_ETF_Options_Exhibits'!B1147:B1151)),AVERAGE('20250815_ETF_Options_Exhibits'!B1147:B1151),"")</f>
        <v/>
      </c>
      <c r="C1151" s="3">
        <f>IF(ISNUMBER(AVERAGE('20250815_ETF_Options_Exhibits'!C1147:C1151)),AVERAGE('20250815_ETF_Options_Exhibits'!C1147:C1151),"")</f>
        <v/>
      </c>
      <c r="D1151" s="3">
        <f>IF(ISNUMBER(AVERAGE('20250815_ETF_Options_Exhibits'!D1147:D1151)),AVERAGE('20250815_ETF_Options_Exhibits'!D1147:D1151),"")</f>
        <v/>
      </c>
      <c r="E1151" s="3">
        <f>IF(ISNUMBER(AVERAGE('20250815_ETF_Options_Exhibits'!E1147:E1151)),AVERAGE('20250815_ETF_Options_Exhibits'!E1147:E1151),"")</f>
        <v/>
      </c>
      <c r="F1151" s="3">
        <f>IF(ISNUMBER(AVERAGE('20250815_ETF_Options_Exhibits'!F1147:F1151)),AVERAGE('20250815_ETF_Options_Exhibits'!F1147:F1151),"")</f>
        <v/>
      </c>
      <c r="G1151" s="3">
        <f>IF(ISNUMBER(AVERAGE('20250815_ETF_Options_Exhibits'!G1147:G1151)),AVERAGE('20250815_ETF_Options_Exhibits'!G1147:G1151),"")</f>
        <v/>
      </c>
      <c r="H1151" s="3">
        <f>IF(ISNUMBER(AVERAGE('20250815_ETF_Options_Exhibits'!H1147:H1151)),AVERAGE('20250815_ETF_Options_Exhibits'!H1147:H1151),"")</f>
        <v/>
      </c>
      <c r="I1151" s="3">
        <f>IF(ISNUMBER(AVERAGE('20250815_ETF_Options_Exhibits'!I1147:I1151)),AVERAGE('20250815_ETF_Options_Exhibits'!I1147:I1151),"")</f>
        <v/>
      </c>
      <c r="J1151" s="3">
        <f>IF(ISNUMBER(AVERAGE('20250815_ETF_Options_Exhibits'!J1147:J1151)),AVERAGE('20250815_ETF_Options_Exhibits'!J1147:J1151),"")</f>
        <v/>
      </c>
      <c r="K1151" s="3">
        <f>IF(ISNUMBER(AVERAGE('20250815_ETF_Options_Exhibits'!K1147:K1151)),AVERAGE('20250815_ETF_Options_Exhibits'!K1147:K1151),"")</f>
        <v/>
      </c>
      <c r="L1151" s="3">
        <f>IF(ISNUMBER(AVERAGE('20250815_ETF_Options_Exhibits'!L1147:L1151)),AVERAGE('20250815_ETF_Options_Exhibits'!L1147:L1151),"")</f>
        <v/>
      </c>
      <c r="M1151" s="3">
        <f>IF(ISNUMBER(AVERAGE('20250815_ETF_Options_Exhibits'!M1147:M1151)),AVERAGE('20250815_ETF_Options_Exhibits'!M1147:M1151),"")</f>
        <v/>
      </c>
      <c r="N1151" s="3">
        <f>IF(ISNUMBER(AVERAGE('20250815_ETF_Options_Exhibits'!N1147:N1151)),AVERAGE('20250815_ETF_Options_Exhibits'!N1147:N1151),"")</f>
        <v/>
      </c>
      <c r="O1151" s="3">
        <f>IF(ISNUMBER(AVERAGE('20250815_ETF_Options_Exhibits'!O1147:O1151)),AVERAGE('20250815_ETF_Options_Exhibits'!O1147:O1151),"")</f>
        <v/>
      </c>
      <c r="P1151" s="3">
        <f>IF(ISNUMBER(AVERAGE('20250815_ETF_Options_Exhibits'!P1147:P1151)),AVERAGE('20250815_ETF_Options_Exhibits'!P1147:P1151),"")</f>
        <v/>
      </c>
      <c r="Q1151" s="3">
        <f>IF(ISNUMBER(AVERAGE('20250815_ETF_Options_Exhibits'!Q1147:Q1151)),AVERAGE('20250815_ETF_Options_Exhibits'!Q1147:Q1151),"")</f>
        <v/>
      </c>
      <c r="R1151" s="3">
        <f>IF(ISNUMBER(AVERAGE('20250815_ETF_Options_Exhibits'!R1147:R1151)),AVERAGE('20250815_ETF_Options_Exhibits'!R1147:R1151),"")</f>
        <v/>
      </c>
      <c r="S1151" s="3">
        <f>IF(ISNUMBER(AVERAGE('20250815_ETF_Options_Exhibits'!S1147:S1151)),AVERAGE('20250815_ETF_Options_Exhibits'!S1147:S1151),"")</f>
        <v/>
      </c>
      <c r="T1151" s="3">
        <f>IF(ISNUMBER(AVERAGE('20250815_ETF_Options_Exhibits'!T1147:T1151)),AVERAGE('20250815_ETF_Options_Exhibits'!T1147:T1151),"")</f>
        <v/>
      </c>
      <c r="U1151" s="3">
        <f>IF(ISNUMBER(AVERAGE('20250815_ETF_Options_Exhibits'!U1147:U1151)),AVERAGE('20250815_ETF_Options_Exhibits'!U1147:U1151),"")</f>
        <v/>
      </c>
      <c r="V1151" s="3">
        <f>IF(ISNUMBER(AVERAGE('20250815_ETF_Options_Exhibits'!V1147:V1151)),AVERAGE('20250815_ETF_Options_Exhibits'!V1147:V1151),"")</f>
        <v/>
      </c>
      <c r="W1151" s="3">
        <f>IF(ISNUMBER(AVERAGE('20250815_ETF_Options_Exhibits'!W1147:W1151)),AVERAGE('20250815_ETF_Options_Exhibits'!W1147:W1151),"")</f>
        <v/>
      </c>
      <c r="X1151" s="3">
        <f>IF(ISNUMBER(AVERAGE('20250815_ETF_Options_Exhibits'!X1147:X1151)),AVERAGE('20250815_ETF_Options_Exhibits'!X1147:X1151),"")</f>
        <v/>
      </c>
      <c r="Y1151" s="3">
        <f>IF(ISNUMBER(AVERAGE('20250815_ETF_Options_Exhibits'!Y1147:Y1151)),AVERAGE('20250815_ETF_Options_Exhibits'!Y1147:Y1151),"")</f>
        <v/>
      </c>
      <c r="Z1151" s="3">
        <f>IF(ISNUMBER(AVERAGE('20250815_ETF_Options_Exhibits'!Z1147:Z1151)),AVERAGE('20250815_ETF_Options_Exhibits'!Z1147:Z1151),"")</f>
        <v/>
      </c>
      <c r="AA1151" s="3">
        <f>IF(ISNUMBER(AVERAGE('20250815_ETF_Options_Exhibits'!AA1147:AA1151)),AVERAGE('20250815_ETF_Options_Exhibits'!AA1147:AA1151),"")</f>
        <v/>
      </c>
    </row>
    <row r="1152">
      <c r="A1152" s="1" t="n">
        <v>43675</v>
      </c>
      <c r="B1152" s="3">
        <f>IF(ISNUMBER(AVERAGE('20250815_ETF_Options_Exhibits'!B1148:B1152)),AVERAGE('20250815_ETF_Options_Exhibits'!B1148:B1152),"")</f>
        <v/>
      </c>
      <c r="C1152" s="3">
        <f>IF(ISNUMBER(AVERAGE('20250815_ETF_Options_Exhibits'!C1148:C1152)),AVERAGE('20250815_ETF_Options_Exhibits'!C1148:C1152),"")</f>
        <v/>
      </c>
      <c r="D1152" s="3">
        <f>IF(ISNUMBER(AVERAGE('20250815_ETF_Options_Exhibits'!D1148:D1152)),AVERAGE('20250815_ETF_Options_Exhibits'!D1148:D1152),"")</f>
        <v/>
      </c>
      <c r="E1152" s="3">
        <f>IF(ISNUMBER(AVERAGE('20250815_ETF_Options_Exhibits'!E1148:E1152)),AVERAGE('20250815_ETF_Options_Exhibits'!E1148:E1152),"")</f>
        <v/>
      </c>
      <c r="F1152" s="3">
        <f>IF(ISNUMBER(AVERAGE('20250815_ETF_Options_Exhibits'!F1148:F1152)),AVERAGE('20250815_ETF_Options_Exhibits'!F1148:F1152),"")</f>
        <v/>
      </c>
      <c r="G1152" s="3">
        <f>IF(ISNUMBER(AVERAGE('20250815_ETF_Options_Exhibits'!G1148:G1152)),AVERAGE('20250815_ETF_Options_Exhibits'!G1148:G1152),"")</f>
        <v/>
      </c>
      <c r="H1152" s="3">
        <f>IF(ISNUMBER(AVERAGE('20250815_ETF_Options_Exhibits'!H1148:H1152)),AVERAGE('20250815_ETF_Options_Exhibits'!H1148:H1152),"")</f>
        <v/>
      </c>
      <c r="I1152" s="3">
        <f>IF(ISNUMBER(AVERAGE('20250815_ETF_Options_Exhibits'!I1148:I1152)),AVERAGE('20250815_ETF_Options_Exhibits'!I1148:I1152),"")</f>
        <v/>
      </c>
      <c r="J1152" s="3">
        <f>IF(ISNUMBER(AVERAGE('20250815_ETF_Options_Exhibits'!J1148:J1152)),AVERAGE('20250815_ETF_Options_Exhibits'!J1148:J1152),"")</f>
        <v/>
      </c>
      <c r="K1152" s="3">
        <f>IF(ISNUMBER(AVERAGE('20250815_ETF_Options_Exhibits'!K1148:K1152)),AVERAGE('20250815_ETF_Options_Exhibits'!K1148:K1152),"")</f>
        <v/>
      </c>
      <c r="L1152" s="3">
        <f>IF(ISNUMBER(AVERAGE('20250815_ETF_Options_Exhibits'!L1148:L1152)),AVERAGE('20250815_ETF_Options_Exhibits'!L1148:L1152),"")</f>
        <v/>
      </c>
      <c r="M1152" s="3">
        <f>IF(ISNUMBER(AVERAGE('20250815_ETF_Options_Exhibits'!M1148:M1152)),AVERAGE('20250815_ETF_Options_Exhibits'!M1148:M1152),"")</f>
        <v/>
      </c>
      <c r="N1152" s="3">
        <f>IF(ISNUMBER(AVERAGE('20250815_ETF_Options_Exhibits'!N1148:N1152)),AVERAGE('20250815_ETF_Options_Exhibits'!N1148:N1152),"")</f>
        <v/>
      </c>
      <c r="O1152" s="3">
        <f>IF(ISNUMBER(AVERAGE('20250815_ETF_Options_Exhibits'!O1148:O1152)),AVERAGE('20250815_ETF_Options_Exhibits'!O1148:O1152),"")</f>
        <v/>
      </c>
      <c r="P1152" s="3">
        <f>IF(ISNUMBER(AVERAGE('20250815_ETF_Options_Exhibits'!P1148:P1152)),AVERAGE('20250815_ETF_Options_Exhibits'!P1148:P1152),"")</f>
        <v/>
      </c>
      <c r="Q1152" s="3">
        <f>IF(ISNUMBER(AVERAGE('20250815_ETF_Options_Exhibits'!Q1148:Q1152)),AVERAGE('20250815_ETF_Options_Exhibits'!Q1148:Q1152),"")</f>
        <v/>
      </c>
      <c r="R1152" s="3">
        <f>IF(ISNUMBER(AVERAGE('20250815_ETF_Options_Exhibits'!R1148:R1152)),AVERAGE('20250815_ETF_Options_Exhibits'!R1148:R1152),"")</f>
        <v/>
      </c>
      <c r="S1152" s="3">
        <f>IF(ISNUMBER(AVERAGE('20250815_ETF_Options_Exhibits'!S1148:S1152)),AVERAGE('20250815_ETF_Options_Exhibits'!S1148:S1152),"")</f>
        <v/>
      </c>
      <c r="T1152" s="3">
        <f>IF(ISNUMBER(AVERAGE('20250815_ETF_Options_Exhibits'!T1148:T1152)),AVERAGE('20250815_ETF_Options_Exhibits'!T1148:T1152),"")</f>
        <v/>
      </c>
      <c r="U1152" s="3">
        <f>IF(ISNUMBER(AVERAGE('20250815_ETF_Options_Exhibits'!U1148:U1152)),AVERAGE('20250815_ETF_Options_Exhibits'!U1148:U1152),"")</f>
        <v/>
      </c>
      <c r="V1152" s="3">
        <f>IF(ISNUMBER(AVERAGE('20250815_ETF_Options_Exhibits'!V1148:V1152)),AVERAGE('20250815_ETF_Options_Exhibits'!V1148:V1152),"")</f>
        <v/>
      </c>
      <c r="W1152" s="3">
        <f>IF(ISNUMBER(AVERAGE('20250815_ETF_Options_Exhibits'!W1148:W1152)),AVERAGE('20250815_ETF_Options_Exhibits'!W1148:W1152),"")</f>
        <v/>
      </c>
      <c r="X1152" s="3">
        <f>IF(ISNUMBER(AVERAGE('20250815_ETF_Options_Exhibits'!X1148:X1152)),AVERAGE('20250815_ETF_Options_Exhibits'!X1148:X1152),"")</f>
        <v/>
      </c>
      <c r="Y1152" s="3">
        <f>IF(ISNUMBER(AVERAGE('20250815_ETF_Options_Exhibits'!Y1148:Y1152)),AVERAGE('20250815_ETF_Options_Exhibits'!Y1148:Y1152),"")</f>
        <v/>
      </c>
      <c r="Z1152" s="3">
        <f>IF(ISNUMBER(AVERAGE('20250815_ETF_Options_Exhibits'!Z1148:Z1152)),AVERAGE('20250815_ETF_Options_Exhibits'!Z1148:Z1152),"")</f>
        <v/>
      </c>
      <c r="AA1152" s="3">
        <f>IF(ISNUMBER(AVERAGE('20250815_ETF_Options_Exhibits'!AA1148:AA1152)),AVERAGE('20250815_ETF_Options_Exhibits'!AA1148:AA1152),"")</f>
        <v/>
      </c>
    </row>
    <row r="1153">
      <c r="A1153" s="1" t="n">
        <v>43676</v>
      </c>
      <c r="B1153" s="3">
        <f>IF(ISNUMBER(AVERAGE('20250815_ETF_Options_Exhibits'!B1149:B1153)),AVERAGE('20250815_ETF_Options_Exhibits'!B1149:B1153),"")</f>
        <v/>
      </c>
      <c r="C1153" s="3">
        <f>IF(ISNUMBER(AVERAGE('20250815_ETF_Options_Exhibits'!C1149:C1153)),AVERAGE('20250815_ETF_Options_Exhibits'!C1149:C1153),"")</f>
        <v/>
      </c>
      <c r="D1153" s="3">
        <f>IF(ISNUMBER(AVERAGE('20250815_ETF_Options_Exhibits'!D1149:D1153)),AVERAGE('20250815_ETF_Options_Exhibits'!D1149:D1153),"")</f>
        <v/>
      </c>
      <c r="E1153" s="3">
        <f>IF(ISNUMBER(AVERAGE('20250815_ETF_Options_Exhibits'!E1149:E1153)),AVERAGE('20250815_ETF_Options_Exhibits'!E1149:E1153),"")</f>
        <v/>
      </c>
      <c r="F1153" s="3">
        <f>IF(ISNUMBER(AVERAGE('20250815_ETF_Options_Exhibits'!F1149:F1153)),AVERAGE('20250815_ETF_Options_Exhibits'!F1149:F1153),"")</f>
        <v/>
      </c>
      <c r="G1153" s="3">
        <f>IF(ISNUMBER(AVERAGE('20250815_ETF_Options_Exhibits'!G1149:G1153)),AVERAGE('20250815_ETF_Options_Exhibits'!G1149:G1153),"")</f>
        <v/>
      </c>
      <c r="H1153" s="3">
        <f>IF(ISNUMBER(AVERAGE('20250815_ETF_Options_Exhibits'!H1149:H1153)),AVERAGE('20250815_ETF_Options_Exhibits'!H1149:H1153),"")</f>
        <v/>
      </c>
      <c r="I1153" s="3">
        <f>IF(ISNUMBER(AVERAGE('20250815_ETF_Options_Exhibits'!I1149:I1153)),AVERAGE('20250815_ETF_Options_Exhibits'!I1149:I1153),"")</f>
        <v/>
      </c>
      <c r="J1153" s="3">
        <f>IF(ISNUMBER(AVERAGE('20250815_ETF_Options_Exhibits'!J1149:J1153)),AVERAGE('20250815_ETF_Options_Exhibits'!J1149:J1153),"")</f>
        <v/>
      </c>
      <c r="K1153" s="3">
        <f>IF(ISNUMBER(AVERAGE('20250815_ETF_Options_Exhibits'!K1149:K1153)),AVERAGE('20250815_ETF_Options_Exhibits'!K1149:K1153),"")</f>
        <v/>
      </c>
      <c r="L1153" s="3">
        <f>IF(ISNUMBER(AVERAGE('20250815_ETF_Options_Exhibits'!L1149:L1153)),AVERAGE('20250815_ETF_Options_Exhibits'!L1149:L1153),"")</f>
        <v/>
      </c>
      <c r="M1153" s="3">
        <f>IF(ISNUMBER(AVERAGE('20250815_ETF_Options_Exhibits'!M1149:M1153)),AVERAGE('20250815_ETF_Options_Exhibits'!M1149:M1153),"")</f>
        <v/>
      </c>
      <c r="N1153" s="3">
        <f>IF(ISNUMBER(AVERAGE('20250815_ETF_Options_Exhibits'!N1149:N1153)),AVERAGE('20250815_ETF_Options_Exhibits'!N1149:N1153),"")</f>
        <v/>
      </c>
      <c r="O1153" s="3">
        <f>IF(ISNUMBER(AVERAGE('20250815_ETF_Options_Exhibits'!O1149:O1153)),AVERAGE('20250815_ETF_Options_Exhibits'!O1149:O1153),"")</f>
        <v/>
      </c>
      <c r="P1153" s="3">
        <f>IF(ISNUMBER(AVERAGE('20250815_ETF_Options_Exhibits'!P1149:P1153)),AVERAGE('20250815_ETF_Options_Exhibits'!P1149:P1153),"")</f>
        <v/>
      </c>
      <c r="Q1153" s="3">
        <f>IF(ISNUMBER(AVERAGE('20250815_ETF_Options_Exhibits'!Q1149:Q1153)),AVERAGE('20250815_ETF_Options_Exhibits'!Q1149:Q1153),"")</f>
        <v/>
      </c>
      <c r="R1153" s="3">
        <f>IF(ISNUMBER(AVERAGE('20250815_ETF_Options_Exhibits'!R1149:R1153)),AVERAGE('20250815_ETF_Options_Exhibits'!R1149:R1153),"")</f>
        <v/>
      </c>
      <c r="S1153" s="3">
        <f>IF(ISNUMBER(AVERAGE('20250815_ETF_Options_Exhibits'!S1149:S1153)),AVERAGE('20250815_ETF_Options_Exhibits'!S1149:S1153),"")</f>
        <v/>
      </c>
      <c r="T1153" s="3">
        <f>IF(ISNUMBER(AVERAGE('20250815_ETF_Options_Exhibits'!T1149:T1153)),AVERAGE('20250815_ETF_Options_Exhibits'!T1149:T1153),"")</f>
        <v/>
      </c>
      <c r="U1153" s="3">
        <f>IF(ISNUMBER(AVERAGE('20250815_ETF_Options_Exhibits'!U1149:U1153)),AVERAGE('20250815_ETF_Options_Exhibits'!U1149:U1153),"")</f>
        <v/>
      </c>
      <c r="V1153" s="3">
        <f>IF(ISNUMBER(AVERAGE('20250815_ETF_Options_Exhibits'!V1149:V1153)),AVERAGE('20250815_ETF_Options_Exhibits'!V1149:V1153),"")</f>
        <v/>
      </c>
      <c r="W1153" s="3">
        <f>IF(ISNUMBER(AVERAGE('20250815_ETF_Options_Exhibits'!W1149:W1153)),AVERAGE('20250815_ETF_Options_Exhibits'!W1149:W1153),"")</f>
        <v/>
      </c>
      <c r="X1153" s="3">
        <f>IF(ISNUMBER(AVERAGE('20250815_ETF_Options_Exhibits'!X1149:X1153)),AVERAGE('20250815_ETF_Options_Exhibits'!X1149:X1153),"")</f>
        <v/>
      </c>
      <c r="Y1153" s="3">
        <f>IF(ISNUMBER(AVERAGE('20250815_ETF_Options_Exhibits'!Y1149:Y1153)),AVERAGE('20250815_ETF_Options_Exhibits'!Y1149:Y1153),"")</f>
        <v/>
      </c>
      <c r="Z1153" s="3">
        <f>IF(ISNUMBER(AVERAGE('20250815_ETF_Options_Exhibits'!Z1149:Z1153)),AVERAGE('20250815_ETF_Options_Exhibits'!Z1149:Z1153),"")</f>
        <v/>
      </c>
      <c r="AA1153" s="3">
        <f>IF(ISNUMBER(AVERAGE('20250815_ETF_Options_Exhibits'!AA1149:AA1153)),AVERAGE('20250815_ETF_Options_Exhibits'!AA1149:AA1153),"")</f>
        <v/>
      </c>
    </row>
    <row r="1154">
      <c r="A1154" s="1" t="n">
        <v>43677</v>
      </c>
      <c r="B1154" s="3">
        <f>IF(ISNUMBER(AVERAGE('20250815_ETF_Options_Exhibits'!B1150:B1154)),AVERAGE('20250815_ETF_Options_Exhibits'!B1150:B1154),"")</f>
        <v/>
      </c>
      <c r="C1154" s="3">
        <f>IF(ISNUMBER(AVERAGE('20250815_ETF_Options_Exhibits'!C1150:C1154)),AVERAGE('20250815_ETF_Options_Exhibits'!C1150:C1154),"")</f>
        <v/>
      </c>
      <c r="D1154" s="3">
        <f>IF(ISNUMBER(AVERAGE('20250815_ETF_Options_Exhibits'!D1150:D1154)),AVERAGE('20250815_ETF_Options_Exhibits'!D1150:D1154),"")</f>
        <v/>
      </c>
      <c r="E1154" s="3">
        <f>IF(ISNUMBER(AVERAGE('20250815_ETF_Options_Exhibits'!E1150:E1154)),AVERAGE('20250815_ETF_Options_Exhibits'!E1150:E1154),"")</f>
        <v/>
      </c>
      <c r="F1154" s="3">
        <f>IF(ISNUMBER(AVERAGE('20250815_ETF_Options_Exhibits'!F1150:F1154)),AVERAGE('20250815_ETF_Options_Exhibits'!F1150:F1154),"")</f>
        <v/>
      </c>
      <c r="G1154" s="3">
        <f>IF(ISNUMBER(AVERAGE('20250815_ETF_Options_Exhibits'!G1150:G1154)),AVERAGE('20250815_ETF_Options_Exhibits'!G1150:G1154),"")</f>
        <v/>
      </c>
      <c r="H1154" s="3">
        <f>IF(ISNUMBER(AVERAGE('20250815_ETF_Options_Exhibits'!H1150:H1154)),AVERAGE('20250815_ETF_Options_Exhibits'!H1150:H1154),"")</f>
        <v/>
      </c>
      <c r="I1154" s="3">
        <f>IF(ISNUMBER(AVERAGE('20250815_ETF_Options_Exhibits'!I1150:I1154)),AVERAGE('20250815_ETF_Options_Exhibits'!I1150:I1154),"")</f>
        <v/>
      </c>
      <c r="J1154" s="3">
        <f>IF(ISNUMBER(AVERAGE('20250815_ETF_Options_Exhibits'!J1150:J1154)),AVERAGE('20250815_ETF_Options_Exhibits'!J1150:J1154),"")</f>
        <v/>
      </c>
      <c r="K1154" s="3">
        <f>IF(ISNUMBER(AVERAGE('20250815_ETF_Options_Exhibits'!K1150:K1154)),AVERAGE('20250815_ETF_Options_Exhibits'!K1150:K1154),"")</f>
        <v/>
      </c>
      <c r="L1154" s="3">
        <f>IF(ISNUMBER(AVERAGE('20250815_ETF_Options_Exhibits'!L1150:L1154)),AVERAGE('20250815_ETF_Options_Exhibits'!L1150:L1154),"")</f>
        <v/>
      </c>
      <c r="M1154" s="3">
        <f>IF(ISNUMBER(AVERAGE('20250815_ETF_Options_Exhibits'!M1150:M1154)),AVERAGE('20250815_ETF_Options_Exhibits'!M1150:M1154),"")</f>
        <v/>
      </c>
      <c r="N1154" s="3">
        <f>IF(ISNUMBER(AVERAGE('20250815_ETF_Options_Exhibits'!N1150:N1154)),AVERAGE('20250815_ETF_Options_Exhibits'!N1150:N1154),"")</f>
        <v/>
      </c>
      <c r="O1154" s="3">
        <f>IF(ISNUMBER(AVERAGE('20250815_ETF_Options_Exhibits'!O1150:O1154)),AVERAGE('20250815_ETF_Options_Exhibits'!O1150:O1154),"")</f>
        <v/>
      </c>
      <c r="P1154" s="3">
        <f>IF(ISNUMBER(AVERAGE('20250815_ETF_Options_Exhibits'!P1150:P1154)),AVERAGE('20250815_ETF_Options_Exhibits'!P1150:P1154),"")</f>
        <v/>
      </c>
      <c r="Q1154" s="3">
        <f>IF(ISNUMBER(AVERAGE('20250815_ETF_Options_Exhibits'!Q1150:Q1154)),AVERAGE('20250815_ETF_Options_Exhibits'!Q1150:Q1154),"")</f>
        <v/>
      </c>
      <c r="R1154" s="3">
        <f>IF(ISNUMBER(AVERAGE('20250815_ETF_Options_Exhibits'!R1150:R1154)),AVERAGE('20250815_ETF_Options_Exhibits'!R1150:R1154),"")</f>
        <v/>
      </c>
      <c r="S1154" s="3">
        <f>IF(ISNUMBER(AVERAGE('20250815_ETF_Options_Exhibits'!S1150:S1154)),AVERAGE('20250815_ETF_Options_Exhibits'!S1150:S1154),"")</f>
        <v/>
      </c>
      <c r="T1154" s="3">
        <f>IF(ISNUMBER(AVERAGE('20250815_ETF_Options_Exhibits'!T1150:T1154)),AVERAGE('20250815_ETF_Options_Exhibits'!T1150:T1154),"")</f>
        <v/>
      </c>
      <c r="U1154" s="3">
        <f>IF(ISNUMBER(AVERAGE('20250815_ETF_Options_Exhibits'!U1150:U1154)),AVERAGE('20250815_ETF_Options_Exhibits'!U1150:U1154),"")</f>
        <v/>
      </c>
      <c r="V1154" s="3">
        <f>IF(ISNUMBER(AVERAGE('20250815_ETF_Options_Exhibits'!V1150:V1154)),AVERAGE('20250815_ETF_Options_Exhibits'!V1150:V1154),"")</f>
        <v/>
      </c>
      <c r="W1154" s="3">
        <f>IF(ISNUMBER(AVERAGE('20250815_ETF_Options_Exhibits'!W1150:W1154)),AVERAGE('20250815_ETF_Options_Exhibits'!W1150:W1154),"")</f>
        <v/>
      </c>
      <c r="X1154" s="3">
        <f>IF(ISNUMBER(AVERAGE('20250815_ETF_Options_Exhibits'!X1150:X1154)),AVERAGE('20250815_ETF_Options_Exhibits'!X1150:X1154),"")</f>
        <v/>
      </c>
      <c r="Y1154" s="3">
        <f>IF(ISNUMBER(AVERAGE('20250815_ETF_Options_Exhibits'!Y1150:Y1154)),AVERAGE('20250815_ETF_Options_Exhibits'!Y1150:Y1154),"")</f>
        <v/>
      </c>
      <c r="Z1154" s="3">
        <f>IF(ISNUMBER(AVERAGE('20250815_ETF_Options_Exhibits'!Z1150:Z1154)),AVERAGE('20250815_ETF_Options_Exhibits'!Z1150:Z1154),"")</f>
        <v/>
      </c>
      <c r="AA1154" s="3">
        <f>IF(ISNUMBER(AVERAGE('20250815_ETF_Options_Exhibits'!AA1150:AA1154)),AVERAGE('20250815_ETF_Options_Exhibits'!AA1150:AA1154),"")</f>
        <v/>
      </c>
    </row>
    <row r="1155">
      <c r="A1155" s="1" t="n">
        <v>43678</v>
      </c>
      <c r="B1155" s="3">
        <f>IF(ISNUMBER(AVERAGE('20250815_ETF_Options_Exhibits'!B1151:B1155)),AVERAGE('20250815_ETF_Options_Exhibits'!B1151:B1155),"")</f>
        <v/>
      </c>
      <c r="C1155" s="3">
        <f>IF(ISNUMBER(AVERAGE('20250815_ETF_Options_Exhibits'!C1151:C1155)),AVERAGE('20250815_ETF_Options_Exhibits'!C1151:C1155),"")</f>
        <v/>
      </c>
      <c r="D1155" s="3">
        <f>IF(ISNUMBER(AVERAGE('20250815_ETF_Options_Exhibits'!D1151:D1155)),AVERAGE('20250815_ETF_Options_Exhibits'!D1151:D1155),"")</f>
        <v/>
      </c>
      <c r="E1155" s="3">
        <f>IF(ISNUMBER(AVERAGE('20250815_ETF_Options_Exhibits'!E1151:E1155)),AVERAGE('20250815_ETF_Options_Exhibits'!E1151:E1155),"")</f>
        <v/>
      </c>
      <c r="F1155" s="3">
        <f>IF(ISNUMBER(AVERAGE('20250815_ETF_Options_Exhibits'!F1151:F1155)),AVERAGE('20250815_ETF_Options_Exhibits'!F1151:F1155),"")</f>
        <v/>
      </c>
      <c r="G1155" s="3">
        <f>IF(ISNUMBER(AVERAGE('20250815_ETF_Options_Exhibits'!G1151:G1155)),AVERAGE('20250815_ETF_Options_Exhibits'!G1151:G1155),"")</f>
        <v/>
      </c>
      <c r="H1155" s="3">
        <f>IF(ISNUMBER(AVERAGE('20250815_ETF_Options_Exhibits'!H1151:H1155)),AVERAGE('20250815_ETF_Options_Exhibits'!H1151:H1155),"")</f>
        <v/>
      </c>
      <c r="I1155" s="3">
        <f>IF(ISNUMBER(AVERAGE('20250815_ETF_Options_Exhibits'!I1151:I1155)),AVERAGE('20250815_ETF_Options_Exhibits'!I1151:I1155),"")</f>
        <v/>
      </c>
      <c r="J1155" s="3">
        <f>IF(ISNUMBER(AVERAGE('20250815_ETF_Options_Exhibits'!J1151:J1155)),AVERAGE('20250815_ETF_Options_Exhibits'!J1151:J1155),"")</f>
        <v/>
      </c>
      <c r="K1155" s="3">
        <f>IF(ISNUMBER(AVERAGE('20250815_ETF_Options_Exhibits'!K1151:K1155)),AVERAGE('20250815_ETF_Options_Exhibits'!K1151:K1155),"")</f>
        <v/>
      </c>
      <c r="L1155" s="3">
        <f>IF(ISNUMBER(AVERAGE('20250815_ETF_Options_Exhibits'!L1151:L1155)),AVERAGE('20250815_ETF_Options_Exhibits'!L1151:L1155),"")</f>
        <v/>
      </c>
      <c r="M1155" s="3">
        <f>IF(ISNUMBER(AVERAGE('20250815_ETF_Options_Exhibits'!M1151:M1155)),AVERAGE('20250815_ETF_Options_Exhibits'!M1151:M1155),"")</f>
        <v/>
      </c>
      <c r="N1155" s="3">
        <f>IF(ISNUMBER(AVERAGE('20250815_ETF_Options_Exhibits'!N1151:N1155)),AVERAGE('20250815_ETF_Options_Exhibits'!N1151:N1155),"")</f>
        <v/>
      </c>
      <c r="O1155" s="3">
        <f>IF(ISNUMBER(AVERAGE('20250815_ETF_Options_Exhibits'!O1151:O1155)),AVERAGE('20250815_ETF_Options_Exhibits'!O1151:O1155),"")</f>
        <v/>
      </c>
      <c r="P1155" s="3">
        <f>IF(ISNUMBER(AVERAGE('20250815_ETF_Options_Exhibits'!P1151:P1155)),AVERAGE('20250815_ETF_Options_Exhibits'!P1151:P1155),"")</f>
        <v/>
      </c>
      <c r="Q1155" s="3">
        <f>IF(ISNUMBER(AVERAGE('20250815_ETF_Options_Exhibits'!Q1151:Q1155)),AVERAGE('20250815_ETF_Options_Exhibits'!Q1151:Q1155),"")</f>
        <v/>
      </c>
      <c r="R1155" s="3">
        <f>IF(ISNUMBER(AVERAGE('20250815_ETF_Options_Exhibits'!R1151:R1155)),AVERAGE('20250815_ETF_Options_Exhibits'!R1151:R1155),"")</f>
        <v/>
      </c>
      <c r="S1155" s="3">
        <f>IF(ISNUMBER(AVERAGE('20250815_ETF_Options_Exhibits'!S1151:S1155)),AVERAGE('20250815_ETF_Options_Exhibits'!S1151:S1155),"")</f>
        <v/>
      </c>
      <c r="T1155" s="3">
        <f>IF(ISNUMBER(AVERAGE('20250815_ETF_Options_Exhibits'!T1151:T1155)),AVERAGE('20250815_ETF_Options_Exhibits'!T1151:T1155),"")</f>
        <v/>
      </c>
      <c r="U1155" s="3">
        <f>IF(ISNUMBER(AVERAGE('20250815_ETF_Options_Exhibits'!U1151:U1155)),AVERAGE('20250815_ETF_Options_Exhibits'!U1151:U1155),"")</f>
        <v/>
      </c>
      <c r="V1155" s="3">
        <f>IF(ISNUMBER(AVERAGE('20250815_ETF_Options_Exhibits'!V1151:V1155)),AVERAGE('20250815_ETF_Options_Exhibits'!V1151:V1155),"")</f>
        <v/>
      </c>
      <c r="W1155" s="3">
        <f>IF(ISNUMBER(AVERAGE('20250815_ETF_Options_Exhibits'!W1151:W1155)),AVERAGE('20250815_ETF_Options_Exhibits'!W1151:W1155),"")</f>
        <v/>
      </c>
      <c r="X1155" s="3">
        <f>IF(ISNUMBER(AVERAGE('20250815_ETF_Options_Exhibits'!X1151:X1155)),AVERAGE('20250815_ETF_Options_Exhibits'!X1151:X1155),"")</f>
        <v/>
      </c>
      <c r="Y1155" s="3">
        <f>IF(ISNUMBER(AVERAGE('20250815_ETF_Options_Exhibits'!Y1151:Y1155)),AVERAGE('20250815_ETF_Options_Exhibits'!Y1151:Y1155),"")</f>
        <v/>
      </c>
      <c r="Z1155" s="3">
        <f>IF(ISNUMBER(AVERAGE('20250815_ETF_Options_Exhibits'!Z1151:Z1155)),AVERAGE('20250815_ETF_Options_Exhibits'!Z1151:Z1155),"")</f>
        <v/>
      </c>
      <c r="AA1155" s="3">
        <f>IF(ISNUMBER(AVERAGE('20250815_ETF_Options_Exhibits'!AA1151:AA1155)),AVERAGE('20250815_ETF_Options_Exhibits'!AA1151:AA1155),"")</f>
        <v/>
      </c>
    </row>
    <row r="1156">
      <c r="A1156" s="1" t="n">
        <v>43679</v>
      </c>
      <c r="B1156" s="3">
        <f>IF(ISNUMBER(AVERAGE('20250815_ETF_Options_Exhibits'!B1152:B1156)),AVERAGE('20250815_ETF_Options_Exhibits'!B1152:B1156),"")</f>
        <v/>
      </c>
      <c r="C1156" s="3">
        <f>IF(ISNUMBER(AVERAGE('20250815_ETF_Options_Exhibits'!C1152:C1156)),AVERAGE('20250815_ETF_Options_Exhibits'!C1152:C1156),"")</f>
        <v/>
      </c>
      <c r="D1156" s="3">
        <f>IF(ISNUMBER(AVERAGE('20250815_ETF_Options_Exhibits'!D1152:D1156)),AVERAGE('20250815_ETF_Options_Exhibits'!D1152:D1156),"")</f>
        <v/>
      </c>
      <c r="E1156" s="3">
        <f>IF(ISNUMBER(AVERAGE('20250815_ETF_Options_Exhibits'!E1152:E1156)),AVERAGE('20250815_ETF_Options_Exhibits'!E1152:E1156),"")</f>
        <v/>
      </c>
      <c r="F1156" s="3">
        <f>IF(ISNUMBER(AVERAGE('20250815_ETF_Options_Exhibits'!F1152:F1156)),AVERAGE('20250815_ETF_Options_Exhibits'!F1152:F1156),"")</f>
        <v/>
      </c>
      <c r="G1156" s="3">
        <f>IF(ISNUMBER(AVERAGE('20250815_ETF_Options_Exhibits'!G1152:G1156)),AVERAGE('20250815_ETF_Options_Exhibits'!G1152:G1156),"")</f>
        <v/>
      </c>
      <c r="H1156" s="3">
        <f>IF(ISNUMBER(AVERAGE('20250815_ETF_Options_Exhibits'!H1152:H1156)),AVERAGE('20250815_ETF_Options_Exhibits'!H1152:H1156),"")</f>
        <v/>
      </c>
      <c r="I1156" s="3">
        <f>IF(ISNUMBER(AVERAGE('20250815_ETF_Options_Exhibits'!I1152:I1156)),AVERAGE('20250815_ETF_Options_Exhibits'!I1152:I1156),"")</f>
        <v/>
      </c>
      <c r="J1156" s="3">
        <f>IF(ISNUMBER(AVERAGE('20250815_ETF_Options_Exhibits'!J1152:J1156)),AVERAGE('20250815_ETF_Options_Exhibits'!J1152:J1156),"")</f>
        <v/>
      </c>
      <c r="K1156" s="3">
        <f>IF(ISNUMBER(AVERAGE('20250815_ETF_Options_Exhibits'!K1152:K1156)),AVERAGE('20250815_ETF_Options_Exhibits'!K1152:K1156),"")</f>
        <v/>
      </c>
      <c r="L1156" s="3">
        <f>IF(ISNUMBER(AVERAGE('20250815_ETF_Options_Exhibits'!L1152:L1156)),AVERAGE('20250815_ETF_Options_Exhibits'!L1152:L1156),"")</f>
        <v/>
      </c>
      <c r="M1156" s="3">
        <f>IF(ISNUMBER(AVERAGE('20250815_ETF_Options_Exhibits'!M1152:M1156)),AVERAGE('20250815_ETF_Options_Exhibits'!M1152:M1156),"")</f>
        <v/>
      </c>
      <c r="N1156" s="3">
        <f>IF(ISNUMBER(AVERAGE('20250815_ETF_Options_Exhibits'!N1152:N1156)),AVERAGE('20250815_ETF_Options_Exhibits'!N1152:N1156),"")</f>
        <v/>
      </c>
      <c r="O1156" s="3">
        <f>IF(ISNUMBER(AVERAGE('20250815_ETF_Options_Exhibits'!O1152:O1156)),AVERAGE('20250815_ETF_Options_Exhibits'!O1152:O1156),"")</f>
        <v/>
      </c>
      <c r="P1156" s="3">
        <f>IF(ISNUMBER(AVERAGE('20250815_ETF_Options_Exhibits'!P1152:P1156)),AVERAGE('20250815_ETF_Options_Exhibits'!P1152:P1156),"")</f>
        <v/>
      </c>
      <c r="Q1156" s="3">
        <f>IF(ISNUMBER(AVERAGE('20250815_ETF_Options_Exhibits'!Q1152:Q1156)),AVERAGE('20250815_ETF_Options_Exhibits'!Q1152:Q1156),"")</f>
        <v/>
      </c>
      <c r="R1156" s="3">
        <f>IF(ISNUMBER(AVERAGE('20250815_ETF_Options_Exhibits'!R1152:R1156)),AVERAGE('20250815_ETF_Options_Exhibits'!R1152:R1156),"")</f>
        <v/>
      </c>
      <c r="S1156" s="3">
        <f>IF(ISNUMBER(AVERAGE('20250815_ETF_Options_Exhibits'!S1152:S1156)),AVERAGE('20250815_ETF_Options_Exhibits'!S1152:S1156),"")</f>
        <v/>
      </c>
      <c r="T1156" s="3">
        <f>IF(ISNUMBER(AVERAGE('20250815_ETF_Options_Exhibits'!T1152:T1156)),AVERAGE('20250815_ETF_Options_Exhibits'!T1152:T1156),"")</f>
        <v/>
      </c>
      <c r="U1156" s="3">
        <f>IF(ISNUMBER(AVERAGE('20250815_ETF_Options_Exhibits'!U1152:U1156)),AVERAGE('20250815_ETF_Options_Exhibits'!U1152:U1156),"")</f>
        <v/>
      </c>
      <c r="V1156" s="3">
        <f>IF(ISNUMBER(AVERAGE('20250815_ETF_Options_Exhibits'!V1152:V1156)),AVERAGE('20250815_ETF_Options_Exhibits'!V1152:V1156),"")</f>
        <v/>
      </c>
      <c r="W1156" s="3">
        <f>IF(ISNUMBER(AVERAGE('20250815_ETF_Options_Exhibits'!W1152:W1156)),AVERAGE('20250815_ETF_Options_Exhibits'!W1152:W1156),"")</f>
        <v/>
      </c>
      <c r="X1156" s="3">
        <f>IF(ISNUMBER(AVERAGE('20250815_ETF_Options_Exhibits'!X1152:X1156)),AVERAGE('20250815_ETF_Options_Exhibits'!X1152:X1156),"")</f>
        <v/>
      </c>
      <c r="Y1156" s="3">
        <f>IF(ISNUMBER(AVERAGE('20250815_ETF_Options_Exhibits'!Y1152:Y1156)),AVERAGE('20250815_ETF_Options_Exhibits'!Y1152:Y1156),"")</f>
        <v/>
      </c>
      <c r="Z1156" s="3">
        <f>IF(ISNUMBER(AVERAGE('20250815_ETF_Options_Exhibits'!Z1152:Z1156)),AVERAGE('20250815_ETF_Options_Exhibits'!Z1152:Z1156),"")</f>
        <v/>
      </c>
      <c r="AA1156" s="3">
        <f>IF(ISNUMBER(AVERAGE('20250815_ETF_Options_Exhibits'!AA1152:AA1156)),AVERAGE('20250815_ETF_Options_Exhibits'!AA1152:AA1156),"")</f>
        <v/>
      </c>
    </row>
    <row r="1157">
      <c r="A1157" s="1" t="n">
        <v>43682</v>
      </c>
      <c r="B1157" s="3">
        <f>IF(ISNUMBER(AVERAGE('20250815_ETF_Options_Exhibits'!B1153:B1157)),AVERAGE('20250815_ETF_Options_Exhibits'!B1153:B1157),"")</f>
        <v/>
      </c>
      <c r="C1157" s="3">
        <f>IF(ISNUMBER(AVERAGE('20250815_ETF_Options_Exhibits'!C1153:C1157)),AVERAGE('20250815_ETF_Options_Exhibits'!C1153:C1157),"")</f>
        <v/>
      </c>
      <c r="D1157" s="3">
        <f>IF(ISNUMBER(AVERAGE('20250815_ETF_Options_Exhibits'!D1153:D1157)),AVERAGE('20250815_ETF_Options_Exhibits'!D1153:D1157),"")</f>
        <v/>
      </c>
      <c r="E1157" s="3">
        <f>IF(ISNUMBER(AVERAGE('20250815_ETF_Options_Exhibits'!E1153:E1157)),AVERAGE('20250815_ETF_Options_Exhibits'!E1153:E1157),"")</f>
        <v/>
      </c>
      <c r="F1157" s="3">
        <f>IF(ISNUMBER(AVERAGE('20250815_ETF_Options_Exhibits'!F1153:F1157)),AVERAGE('20250815_ETF_Options_Exhibits'!F1153:F1157),"")</f>
        <v/>
      </c>
      <c r="G1157" s="3">
        <f>IF(ISNUMBER(AVERAGE('20250815_ETF_Options_Exhibits'!G1153:G1157)),AVERAGE('20250815_ETF_Options_Exhibits'!G1153:G1157),"")</f>
        <v/>
      </c>
      <c r="H1157" s="3">
        <f>IF(ISNUMBER(AVERAGE('20250815_ETF_Options_Exhibits'!H1153:H1157)),AVERAGE('20250815_ETF_Options_Exhibits'!H1153:H1157),"")</f>
        <v/>
      </c>
      <c r="I1157" s="3">
        <f>IF(ISNUMBER(AVERAGE('20250815_ETF_Options_Exhibits'!I1153:I1157)),AVERAGE('20250815_ETF_Options_Exhibits'!I1153:I1157),"")</f>
        <v/>
      </c>
      <c r="J1157" s="3">
        <f>IF(ISNUMBER(AVERAGE('20250815_ETF_Options_Exhibits'!J1153:J1157)),AVERAGE('20250815_ETF_Options_Exhibits'!J1153:J1157),"")</f>
        <v/>
      </c>
      <c r="K1157" s="3">
        <f>IF(ISNUMBER(AVERAGE('20250815_ETF_Options_Exhibits'!K1153:K1157)),AVERAGE('20250815_ETF_Options_Exhibits'!K1153:K1157),"")</f>
        <v/>
      </c>
      <c r="L1157" s="3">
        <f>IF(ISNUMBER(AVERAGE('20250815_ETF_Options_Exhibits'!L1153:L1157)),AVERAGE('20250815_ETF_Options_Exhibits'!L1153:L1157),"")</f>
        <v/>
      </c>
      <c r="M1157" s="3">
        <f>IF(ISNUMBER(AVERAGE('20250815_ETF_Options_Exhibits'!M1153:M1157)),AVERAGE('20250815_ETF_Options_Exhibits'!M1153:M1157),"")</f>
        <v/>
      </c>
      <c r="N1157" s="3">
        <f>IF(ISNUMBER(AVERAGE('20250815_ETF_Options_Exhibits'!N1153:N1157)),AVERAGE('20250815_ETF_Options_Exhibits'!N1153:N1157),"")</f>
        <v/>
      </c>
      <c r="O1157" s="3">
        <f>IF(ISNUMBER(AVERAGE('20250815_ETF_Options_Exhibits'!O1153:O1157)),AVERAGE('20250815_ETF_Options_Exhibits'!O1153:O1157),"")</f>
        <v/>
      </c>
      <c r="P1157" s="3">
        <f>IF(ISNUMBER(AVERAGE('20250815_ETF_Options_Exhibits'!P1153:P1157)),AVERAGE('20250815_ETF_Options_Exhibits'!P1153:P1157),"")</f>
        <v/>
      </c>
      <c r="Q1157" s="3">
        <f>IF(ISNUMBER(AVERAGE('20250815_ETF_Options_Exhibits'!Q1153:Q1157)),AVERAGE('20250815_ETF_Options_Exhibits'!Q1153:Q1157),"")</f>
        <v/>
      </c>
      <c r="R1157" s="3">
        <f>IF(ISNUMBER(AVERAGE('20250815_ETF_Options_Exhibits'!R1153:R1157)),AVERAGE('20250815_ETF_Options_Exhibits'!R1153:R1157),"")</f>
        <v/>
      </c>
      <c r="S1157" s="3">
        <f>IF(ISNUMBER(AVERAGE('20250815_ETF_Options_Exhibits'!S1153:S1157)),AVERAGE('20250815_ETF_Options_Exhibits'!S1153:S1157),"")</f>
        <v/>
      </c>
      <c r="T1157" s="3">
        <f>IF(ISNUMBER(AVERAGE('20250815_ETF_Options_Exhibits'!T1153:T1157)),AVERAGE('20250815_ETF_Options_Exhibits'!T1153:T1157),"")</f>
        <v/>
      </c>
      <c r="U1157" s="3">
        <f>IF(ISNUMBER(AVERAGE('20250815_ETF_Options_Exhibits'!U1153:U1157)),AVERAGE('20250815_ETF_Options_Exhibits'!U1153:U1157),"")</f>
        <v/>
      </c>
      <c r="V1157" s="3">
        <f>IF(ISNUMBER(AVERAGE('20250815_ETF_Options_Exhibits'!V1153:V1157)),AVERAGE('20250815_ETF_Options_Exhibits'!V1153:V1157),"")</f>
        <v/>
      </c>
      <c r="W1157" s="3">
        <f>IF(ISNUMBER(AVERAGE('20250815_ETF_Options_Exhibits'!W1153:W1157)),AVERAGE('20250815_ETF_Options_Exhibits'!W1153:W1157),"")</f>
        <v/>
      </c>
      <c r="X1157" s="3">
        <f>IF(ISNUMBER(AVERAGE('20250815_ETF_Options_Exhibits'!X1153:X1157)),AVERAGE('20250815_ETF_Options_Exhibits'!X1153:X1157),"")</f>
        <v/>
      </c>
      <c r="Y1157" s="3">
        <f>IF(ISNUMBER(AVERAGE('20250815_ETF_Options_Exhibits'!Y1153:Y1157)),AVERAGE('20250815_ETF_Options_Exhibits'!Y1153:Y1157),"")</f>
        <v/>
      </c>
      <c r="Z1157" s="3">
        <f>IF(ISNUMBER(AVERAGE('20250815_ETF_Options_Exhibits'!Z1153:Z1157)),AVERAGE('20250815_ETF_Options_Exhibits'!Z1153:Z1157),"")</f>
        <v/>
      </c>
      <c r="AA1157" s="3">
        <f>IF(ISNUMBER(AVERAGE('20250815_ETF_Options_Exhibits'!AA1153:AA1157)),AVERAGE('20250815_ETF_Options_Exhibits'!AA1153:AA1157),"")</f>
        <v/>
      </c>
    </row>
    <row r="1158">
      <c r="A1158" s="1" t="n">
        <v>43683</v>
      </c>
      <c r="B1158" s="3">
        <f>IF(ISNUMBER(AVERAGE('20250815_ETF_Options_Exhibits'!B1154:B1158)),AVERAGE('20250815_ETF_Options_Exhibits'!B1154:B1158),"")</f>
        <v/>
      </c>
      <c r="C1158" s="3">
        <f>IF(ISNUMBER(AVERAGE('20250815_ETF_Options_Exhibits'!C1154:C1158)),AVERAGE('20250815_ETF_Options_Exhibits'!C1154:C1158),"")</f>
        <v/>
      </c>
      <c r="D1158" s="3">
        <f>IF(ISNUMBER(AVERAGE('20250815_ETF_Options_Exhibits'!D1154:D1158)),AVERAGE('20250815_ETF_Options_Exhibits'!D1154:D1158),"")</f>
        <v/>
      </c>
      <c r="E1158" s="3">
        <f>IF(ISNUMBER(AVERAGE('20250815_ETF_Options_Exhibits'!E1154:E1158)),AVERAGE('20250815_ETF_Options_Exhibits'!E1154:E1158),"")</f>
        <v/>
      </c>
      <c r="F1158" s="3">
        <f>IF(ISNUMBER(AVERAGE('20250815_ETF_Options_Exhibits'!F1154:F1158)),AVERAGE('20250815_ETF_Options_Exhibits'!F1154:F1158),"")</f>
        <v/>
      </c>
      <c r="G1158" s="3">
        <f>IF(ISNUMBER(AVERAGE('20250815_ETF_Options_Exhibits'!G1154:G1158)),AVERAGE('20250815_ETF_Options_Exhibits'!G1154:G1158),"")</f>
        <v/>
      </c>
      <c r="H1158" s="3">
        <f>IF(ISNUMBER(AVERAGE('20250815_ETF_Options_Exhibits'!H1154:H1158)),AVERAGE('20250815_ETF_Options_Exhibits'!H1154:H1158),"")</f>
        <v/>
      </c>
      <c r="I1158" s="3">
        <f>IF(ISNUMBER(AVERAGE('20250815_ETF_Options_Exhibits'!I1154:I1158)),AVERAGE('20250815_ETF_Options_Exhibits'!I1154:I1158),"")</f>
        <v/>
      </c>
      <c r="J1158" s="3">
        <f>IF(ISNUMBER(AVERAGE('20250815_ETF_Options_Exhibits'!J1154:J1158)),AVERAGE('20250815_ETF_Options_Exhibits'!J1154:J1158),"")</f>
        <v/>
      </c>
      <c r="K1158" s="3">
        <f>IF(ISNUMBER(AVERAGE('20250815_ETF_Options_Exhibits'!K1154:K1158)),AVERAGE('20250815_ETF_Options_Exhibits'!K1154:K1158),"")</f>
        <v/>
      </c>
      <c r="L1158" s="3">
        <f>IF(ISNUMBER(AVERAGE('20250815_ETF_Options_Exhibits'!L1154:L1158)),AVERAGE('20250815_ETF_Options_Exhibits'!L1154:L1158),"")</f>
        <v/>
      </c>
      <c r="M1158" s="3">
        <f>IF(ISNUMBER(AVERAGE('20250815_ETF_Options_Exhibits'!M1154:M1158)),AVERAGE('20250815_ETF_Options_Exhibits'!M1154:M1158),"")</f>
        <v/>
      </c>
      <c r="N1158" s="3">
        <f>IF(ISNUMBER(AVERAGE('20250815_ETF_Options_Exhibits'!N1154:N1158)),AVERAGE('20250815_ETF_Options_Exhibits'!N1154:N1158),"")</f>
        <v/>
      </c>
      <c r="O1158" s="3">
        <f>IF(ISNUMBER(AVERAGE('20250815_ETF_Options_Exhibits'!O1154:O1158)),AVERAGE('20250815_ETF_Options_Exhibits'!O1154:O1158),"")</f>
        <v/>
      </c>
      <c r="P1158" s="3">
        <f>IF(ISNUMBER(AVERAGE('20250815_ETF_Options_Exhibits'!P1154:P1158)),AVERAGE('20250815_ETF_Options_Exhibits'!P1154:P1158),"")</f>
        <v/>
      </c>
      <c r="Q1158" s="3">
        <f>IF(ISNUMBER(AVERAGE('20250815_ETF_Options_Exhibits'!Q1154:Q1158)),AVERAGE('20250815_ETF_Options_Exhibits'!Q1154:Q1158),"")</f>
        <v/>
      </c>
      <c r="R1158" s="3">
        <f>IF(ISNUMBER(AVERAGE('20250815_ETF_Options_Exhibits'!R1154:R1158)),AVERAGE('20250815_ETF_Options_Exhibits'!R1154:R1158),"")</f>
        <v/>
      </c>
      <c r="S1158" s="3">
        <f>IF(ISNUMBER(AVERAGE('20250815_ETF_Options_Exhibits'!S1154:S1158)),AVERAGE('20250815_ETF_Options_Exhibits'!S1154:S1158),"")</f>
        <v/>
      </c>
      <c r="T1158" s="3">
        <f>IF(ISNUMBER(AVERAGE('20250815_ETF_Options_Exhibits'!T1154:T1158)),AVERAGE('20250815_ETF_Options_Exhibits'!T1154:T1158),"")</f>
        <v/>
      </c>
      <c r="U1158" s="3">
        <f>IF(ISNUMBER(AVERAGE('20250815_ETF_Options_Exhibits'!U1154:U1158)),AVERAGE('20250815_ETF_Options_Exhibits'!U1154:U1158),"")</f>
        <v/>
      </c>
      <c r="V1158" s="3">
        <f>IF(ISNUMBER(AVERAGE('20250815_ETF_Options_Exhibits'!V1154:V1158)),AVERAGE('20250815_ETF_Options_Exhibits'!V1154:V1158),"")</f>
        <v/>
      </c>
      <c r="W1158" s="3">
        <f>IF(ISNUMBER(AVERAGE('20250815_ETF_Options_Exhibits'!W1154:W1158)),AVERAGE('20250815_ETF_Options_Exhibits'!W1154:W1158),"")</f>
        <v/>
      </c>
      <c r="X1158" s="3">
        <f>IF(ISNUMBER(AVERAGE('20250815_ETF_Options_Exhibits'!X1154:X1158)),AVERAGE('20250815_ETF_Options_Exhibits'!X1154:X1158),"")</f>
        <v/>
      </c>
      <c r="Y1158" s="3">
        <f>IF(ISNUMBER(AVERAGE('20250815_ETF_Options_Exhibits'!Y1154:Y1158)),AVERAGE('20250815_ETF_Options_Exhibits'!Y1154:Y1158),"")</f>
        <v/>
      </c>
      <c r="Z1158" s="3">
        <f>IF(ISNUMBER(AVERAGE('20250815_ETF_Options_Exhibits'!Z1154:Z1158)),AVERAGE('20250815_ETF_Options_Exhibits'!Z1154:Z1158),"")</f>
        <v/>
      </c>
      <c r="AA1158" s="3">
        <f>IF(ISNUMBER(AVERAGE('20250815_ETF_Options_Exhibits'!AA1154:AA1158)),AVERAGE('20250815_ETF_Options_Exhibits'!AA1154:AA1158),"")</f>
        <v/>
      </c>
    </row>
    <row r="1159">
      <c r="A1159" s="1" t="n">
        <v>43684</v>
      </c>
      <c r="B1159" s="3">
        <f>IF(ISNUMBER(AVERAGE('20250815_ETF_Options_Exhibits'!B1155:B1159)),AVERAGE('20250815_ETF_Options_Exhibits'!B1155:B1159),"")</f>
        <v/>
      </c>
      <c r="C1159" s="3">
        <f>IF(ISNUMBER(AVERAGE('20250815_ETF_Options_Exhibits'!C1155:C1159)),AVERAGE('20250815_ETF_Options_Exhibits'!C1155:C1159),"")</f>
        <v/>
      </c>
      <c r="D1159" s="3">
        <f>IF(ISNUMBER(AVERAGE('20250815_ETF_Options_Exhibits'!D1155:D1159)),AVERAGE('20250815_ETF_Options_Exhibits'!D1155:D1159),"")</f>
        <v/>
      </c>
      <c r="E1159" s="3">
        <f>IF(ISNUMBER(AVERAGE('20250815_ETF_Options_Exhibits'!E1155:E1159)),AVERAGE('20250815_ETF_Options_Exhibits'!E1155:E1159),"")</f>
        <v/>
      </c>
      <c r="F1159" s="3">
        <f>IF(ISNUMBER(AVERAGE('20250815_ETF_Options_Exhibits'!F1155:F1159)),AVERAGE('20250815_ETF_Options_Exhibits'!F1155:F1159),"")</f>
        <v/>
      </c>
      <c r="G1159" s="3">
        <f>IF(ISNUMBER(AVERAGE('20250815_ETF_Options_Exhibits'!G1155:G1159)),AVERAGE('20250815_ETF_Options_Exhibits'!G1155:G1159),"")</f>
        <v/>
      </c>
      <c r="H1159" s="3">
        <f>IF(ISNUMBER(AVERAGE('20250815_ETF_Options_Exhibits'!H1155:H1159)),AVERAGE('20250815_ETF_Options_Exhibits'!H1155:H1159),"")</f>
        <v/>
      </c>
      <c r="I1159" s="3">
        <f>IF(ISNUMBER(AVERAGE('20250815_ETF_Options_Exhibits'!I1155:I1159)),AVERAGE('20250815_ETF_Options_Exhibits'!I1155:I1159),"")</f>
        <v/>
      </c>
      <c r="J1159" s="3">
        <f>IF(ISNUMBER(AVERAGE('20250815_ETF_Options_Exhibits'!J1155:J1159)),AVERAGE('20250815_ETF_Options_Exhibits'!J1155:J1159),"")</f>
        <v/>
      </c>
      <c r="K1159" s="3">
        <f>IF(ISNUMBER(AVERAGE('20250815_ETF_Options_Exhibits'!K1155:K1159)),AVERAGE('20250815_ETF_Options_Exhibits'!K1155:K1159),"")</f>
        <v/>
      </c>
      <c r="L1159" s="3">
        <f>IF(ISNUMBER(AVERAGE('20250815_ETF_Options_Exhibits'!L1155:L1159)),AVERAGE('20250815_ETF_Options_Exhibits'!L1155:L1159),"")</f>
        <v/>
      </c>
      <c r="M1159" s="3">
        <f>IF(ISNUMBER(AVERAGE('20250815_ETF_Options_Exhibits'!M1155:M1159)),AVERAGE('20250815_ETF_Options_Exhibits'!M1155:M1159),"")</f>
        <v/>
      </c>
      <c r="N1159" s="3">
        <f>IF(ISNUMBER(AVERAGE('20250815_ETF_Options_Exhibits'!N1155:N1159)),AVERAGE('20250815_ETF_Options_Exhibits'!N1155:N1159),"")</f>
        <v/>
      </c>
      <c r="O1159" s="3">
        <f>IF(ISNUMBER(AVERAGE('20250815_ETF_Options_Exhibits'!O1155:O1159)),AVERAGE('20250815_ETF_Options_Exhibits'!O1155:O1159),"")</f>
        <v/>
      </c>
      <c r="P1159" s="3">
        <f>IF(ISNUMBER(AVERAGE('20250815_ETF_Options_Exhibits'!P1155:P1159)),AVERAGE('20250815_ETF_Options_Exhibits'!P1155:P1159),"")</f>
        <v/>
      </c>
      <c r="Q1159" s="3">
        <f>IF(ISNUMBER(AVERAGE('20250815_ETF_Options_Exhibits'!Q1155:Q1159)),AVERAGE('20250815_ETF_Options_Exhibits'!Q1155:Q1159),"")</f>
        <v/>
      </c>
      <c r="R1159" s="3">
        <f>IF(ISNUMBER(AVERAGE('20250815_ETF_Options_Exhibits'!R1155:R1159)),AVERAGE('20250815_ETF_Options_Exhibits'!R1155:R1159),"")</f>
        <v/>
      </c>
      <c r="S1159" s="3">
        <f>IF(ISNUMBER(AVERAGE('20250815_ETF_Options_Exhibits'!S1155:S1159)),AVERAGE('20250815_ETF_Options_Exhibits'!S1155:S1159),"")</f>
        <v/>
      </c>
      <c r="T1159" s="3">
        <f>IF(ISNUMBER(AVERAGE('20250815_ETF_Options_Exhibits'!T1155:T1159)),AVERAGE('20250815_ETF_Options_Exhibits'!T1155:T1159),"")</f>
        <v/>
      </c>
      <c r="U1159" s="3">
        <f>IF(ISNUMBER(AVERAGE('20250815_ETF_Options_Exhibits'!U1155:U1159)),AVERAGE('20250815_ETF_Options_Exhibits'!U1155:U1159),"")</f>
        <v/>
      </c>
      <c r="V1159" s="3">
        <f>IF(ISNUMBER(AVERAGE('20250815_ETF_Options_Exhibits'!V1155:V1159)),AVERAGE('20250815_ETF_Options_Exhibits'!V1155:V1159),"")</f>
        <v/>
      </c>
      <c r="W1159" s="3">
        <f>IF(ISNUMBER(AVERAGE('20250815_ETF_Options_Exhibits'!W1155:W1159)),AVERAGE('20250815_ETF_Options_Exhibits'!W1155:W1159),"")</f>
        <v/>
      </c>
      <c r="X1159" s="3">
        <f>IF(ISNUMBER(AVERAGE('20250815_ETF_Options_Exhibits'!X1155:X1159)),AVERAGE('20250815_ETF_Options_Exhibits'!X1155:X1159),"")</f>
        <v/>
      </c>
      <c r="Y1159" s="3">
        <f>IF(ISNUMBER(AVERAGE('20250815_ETF_Options_Exhibits'!Y1155:Y1159)),AVERAGE('20250815_ETF_Options_Exhibits'!Y1155:Y1159),"")</f>
        <v/>
      </c>
      <c r="Z1159" s="3">
        <f>IF(ISNUMBER(AVERAGE('20250815_ETF_Options_Exhibits'!Z1155:Z1159)),AVERAGE('20250815_ETF_Options_Exhibits'!Z1155:Z1159),"")</f>
        <v/>
      </c>
      <c r="AA1159" s="3">
        <f>IF(ISNUMBER(AVERAGE('20250815_ETF_Options_Exhibits'!AA1155:AA1159)),AVERAGE('20250815_ETF_Options_Exhibits'!AA1155:AA1159),"")</f>
        <v/>
      </c>
    </row>
    <row r="1160">
      <c r="A1160" s="1" t="n">
        <v>43685</v>
      </c>
      <c r="B1160" s="3">
        <f>IF(ISNUMBER(AVERAGE('20250815_ETF_Options_Exhibits'!B1156:B1160)),AVERAGE('20250815_ETF_Options_Exhibits'!B1156:B1160),"")</f>
        <v/>
      </c>
      <c r="C1160" s="3">
        <f>IF(ISNUMBER(AVERAGE('20250815_ETF_Options_Exhibits'!C1156:C1160)),AVERAGE('20250815_ETF_Options_Exhibits'!C1156:C1160),"")</f>
        <v/>
      </c>
      <c r="D1160" s="3">
        <f>IF(ISNUMBER(AVERAGE('20250815_ETF_Options_Exhibits'!D1156:D1160)),AVERAGE('20250815_ETF_Options_Exhibits'!D1156:D1160),"")</f>
        <v/>
      </c>
      <c r="E1160" s="3">
        <f>IF(ISNUMBER(AVERAGE('20250815_ETF_Options_Exhibits'!E1156:E1160)),AVERAGE('20250815_ETF_Options_Exhibits'!E1156:E1160),"")</f>
        <v/>
      </c>
      <c r="F1160" s="3">
        <f>IF(ISNUMBER(AVERAGE('20250815_ETF_Options_Exhibits'!F1156:F1160)),AVERAGE('20250815_ETF_Options_Exhibits'!F1156:F1160),"")</f>
        <v/>
      </c>
      <c r="G1160" s="3">
        <f>IF(ISNUMBER(AVERAGE('20250815_ETF_Options_Exhibits'!G1156:G1160)),AVERAGE('20250815_ETF_Options_Exhibits'!G1156:G1160),"")</f>
        <v/>
      </c>
      <c r="H1160" s="3">
        <f>IF(ISNUMBER(AVERAGE('20250815_ETF_Options_Exhibits'!H1156:H1160)),AVERAGE('20250815_ETF_Options_Exhibits'!H1156:H1160),"")</f>
        <v/>
      </c>
      <c r="I1160" s="3">
        <f>IF(ISNUMBER(AVERAGE('20250815_ETF_Options_Exhibits'!I1156:I1160)),AVERAGE('20250815_ETF_Options_Exhibits'!I1156:I1160),"")</f>
        <v/>
      </c>
      <c r="J1160" s="3">
        <f>IF(ISNUMBER(AVERAGE('20250815_ETF_Options_Exhibits'!J1156:J1160)),AVERAGE('20250815_ETF_Options_Exhibits'!J1156:J1160),"")</f>
        <v/>
      </c>
      <c r="K1160" s="3">
        <f>IF(ISNUMBER(AVERAGE('20250815_ETF_Options_Exhibits'!K1156:K1160)),AVERAGE('20250815_ETF_Options_Exhibits'!K1156:K1160),"")</f>
        <v/>
      </c>
      <c r="L1160" s="3">
        <f>IF(ISNUMBER(AVERAGE('20250815_ETF_Options_Exhibits'!L1156:L1160)),AVERAGE('20250815_ETF_Options_Exhibits'!L1156:L1160),"")</f>
        <v/>
      </c>
      <c r="M1160" s="3">
        <f>IF(ISNUMBER(AVERAGE('20250815_ETF_Options_Exhibits'!M1156:M1160)),AVERAGE('20250815_ETF_Options_Exhibits'!M1156:M1160),"")</f>
        <v/>
      </c>
      <c r="N1160" s="3">
        <f>IF(ISNUMBER(AVERAGE('20250815_ETF_Options_Exhibits'!N1156:N1160)),AVERAGE('20250815_ETF_Options_Exhibits'!N1156:N1160),"")</f>
        <v/>
      </c>
      <c r="O1160" s="3">
        <f>IF(ISNUMBER(AVERAGE('20250815_ETF_Options_Exhibits'!O1156:O1160)),AVERAGE('20250815_ETF_Options_Exhibits'!O1156:O1160),"")</f>
        <v/>
      </c>
      <c r="P1160" s="3">
        <f>IF(ISNUMBER(AVERAGE('20250815_ETF_Options_Exhibits'!P1156:P1160)),AVERAGE('20250815_ETF_Options_Exhibits'!P1156:P1160),"")</f>
        <v/>
      </c>
      <c r="Q1160" s="3">
        <f>IF(ISNUMBER(AVERAGE('20250815_ETF_Options_Exhibits'!Q1156:Q1160)),AVERAGE('20250815_ETF_Options_Exhibits'!Q1156:Q1160),"")</f>
        <v/>
      </c>
      <c r="R1160" s="3">
        <f>IF(ISNUMBER(AVERAGE('20250815_ETF_Options_Exhibits'!R1156:R1160)),AVERAGE('20250815_ETF_Options_Exhibits'!R1156:R1160),"")</f>
        <v/>
      </c>
      <c r="S1160" s="3">
        <f>IF(ISNUMBER(AVERAGE('20250815_ETF_Options_Exhibits'!S1156:S1160)),AVERAGE('20250815_ETF_Options_Exhibits'!S1156:S1160),"")</f>
        <v/>
      </c>
      <c r="T1160" s="3">
        <f>IF(ISNUMBER(AVERAGE('20250815_ETF_Options_Exhibits'!T1156:T1160)),AVERAGE('20250815_ETF_Options_Exhibits'!T1156:T1160),"")</f>
        <v/>
      </c>
      <c r="U1160" s="3">
        <f>IF(ISNUMBER(AVERAGE('20250815_ETF_Options_Exhibits'!U1156:U1160)),AVERAGE('20250815_ETF_Options_Exhibits'!U1156:U1160),"")</f>
        <v/>
      </c>
      <c r="V1160" s="3">
        <f>IF(ISNUMBER(AVERAGE('20250815_ETF_Options_Exhibits'!V1156:V1160)),AVERAGE('20250815_ETF_Options_Exhibits'!V1156:V1160),"")</f>
        <v/>
      </c>
      <c r="W1160" s="3">
        <f>IF(ISNUMBER(AVERAGE('20250815_ETF_Options_Exhibits'!W1156:W1160)),AVERAGE('20250815_ETF_Options_Exhibits'!W1156:W1160),"")</f>
        <v/>
      </c>
      <c r="X1160" s="3">
        <f>IF(ISNUMBER(AVERAGE('20250815_ETF_Options_Exhibits'!X1156:X1160)),AVERAGE('20250815_ETF_Options_Exhibits'!X1156:X1160),"")</f>
        <v/>
      </c>
      <c r="Y1160" s="3">
        <f>IF(ISNUMBER(AVERAGE('20250815_ETF_Options_Exhibits'!Y1156:Y1160)),AVERAGE('20250815_ETF_Options_Exhibits'!Y1156:Y1160),"")</f>
        <v/>
      </c>
      <c r="Z1160" s="3">
        <f>IF(ISNUMBER(AVERAGE('20250815_ETF_Options_Exhibits'!Z1156:Z1160)),AVERAGE('20250815_ETF_Options_Exhibits'!Z1156:Z1160),"")</f>
        <v/>
      </c>
      <c r="AA1160" s="3">
        <f>IF(ISNUMBER(AVERAGE('20250815_ETF_Options_Exhibits'!AA1156:AA1160)),AVERAGE('20250815_ETF_Options_Exhibits'!AA1156:AA1160),"")</f>
        <v/>
      </c>
    </row>
    <row r="1161">
      <c r="A1161" s="1" t="n">
        <v>43686</v>
      </c>
      <c r="B1161" s="3">
        <f>IF(ISNUMBER(AVERAGE('20250815_ETF_Options_Exhibits'!B1157:B1161)),AVERAGE('20250815_ETF_Options_Exhibits'!B1157:B1161),"")</f>
        <v/>
      </c>
      <c r="C1161" s="3">
        <f>IF(ISNUMBER(AVERAGE('20250815_ETF_Options_Exhibits'!C1157:C1161)),AVERAGE('20250815_ETF_Options_Exhibits'!C1157:C1161),"")</f>
        <v/>
      </c>
      <c r="D1161" s="3">
        <f>IF(ISNUMBER(AVERAGE('20250815_ETF_Options_Exhibits'!D1157:D1161)),AVERAGE('20250815_ETF_Options_Exhibits'!D1157:D1161),"")</f>
        <v/>
      </c>
      <c r="E1161" s="3">
        <f>IF(ISNUMBER(AVERAGE('20250815_ETF_Options_Exhibits'!E1157:E1161)),AVERAGE('20250815_ETF_Options_Exhibits'!E1157:E1161),"")</f>
        <v/>
      </c>
      <c r="F1161" s="3">
        <f>IF(ISNUMBER(AVERAGE('20250815_ETF_Options_Exhibits'!F1157:F1161)),AVERAGE('20250815_ETF_Options_Exhibits'!F1157:F1161),"")</f>
        <v/>
      </c>
      <c r="G1161" s="3">
        <f>IF(ISNUMBER(AVERAGE('20250815_ETF_Options_Exhibits'!G1157:G1161)),AVERAGE('20250815_ETF_Options_Exhibits'!G1157:G1161),"")</f>
        <v/>
      </c>
      <c r="H1161" s="3">
        <f>IF(ISNUMBER(AVERAGE('20250815_ETF_Options_Exhibits'!H1157:H1161)),AVERAGE('20250815_ETF_Options_Exhibits'!H1157:H1161),"")</f>
        <v/>
      </c>
      <c r="I1161" s="3">
        <f>IF(ISNUMBER(AVERAGE('20250815_ETF_Options_Exhibits'!I1157:I1161)),AVERAGE('20250815_ETF_Options_Exhibits'!I1157:I1161),"")</f>
        <v/>
      </c>
      <c r="J1161" s="3">
        <f>IF(ISNUMBER(AVERAGE('20250815_ETF_Options_Exhibits'!J1157:J1161)),AVERAGE('20250815_ETF_Options_Exhibits'!J1157:J1161),"")</f>
        <v/>
      </c>
      <c r="K1161" s="3">
        <f>IF(ISNUMBER(AVERAGE('20250815_ETF_Options_Exhibits'!K1157:K1161)),AVERAGE('20250815_ETF_Options_Exhibits'!K1157:K1161),"")</f>
        <v/>
      </c>
      <c r="L1161" s="3">
        <f>IF(ISNUMBER(AVERAGE('20250815_ETF_Options_Exhibits'!L1157:L1161)),AVERAGE('20250815_ETF_Options_Exhibits'!L1157:L1161),"")</f>
        <v/>
      </c>
      <c r="M1161" s="3">
        <f>IF(ISNUMBER(AVERAGE('20250815_ETF_Options_Exhibits'!M1157:M1161)),AVERAGE('20250815_ETF_Options_Exhibits'!M1157:M1161),"")</f>
        <v/>
      </c>
      <c r="N1161" s="3">
        <f>IF(ISNUMBER(AVERAGE('20250815_ETF_Options_Exhibits'!N1157:N1161)),AVERAGE('20250815_ETF_Options_Exhibits'!N1157:N1161),"")</f>
        <v/>
      </c>
      <c r="O1161" s="3">
        <f>IF(ISNUMBER(AVERAGE('20250815_ETF_Options_Exhibits'!O1157:O1161)),AVERAGE('20250815_ETF_Options_Exhibits'!O1157:O1161),"")</f>
        <v/>
      </c>
      <c r="P1161" s="3">
        <f>IF(ISNUMBER(AVERAGE('20250815_ETF_Options_Exhibits'!P1157:P1161)),AVERAGE('20250815_ETF_Options_Exhibits'!P1157:P1161),"")</f>
        <v/>
      </c>
      <c r="Q1161" s="3">
        <f>IF(ISNUMBER(AVERAGE('20250815_ETF_Options_Exhibits'!Q1157:Q1161)),AVERAGE('20250815_ETF_Options_Exhibits'!Q1157:Q1161),"")</f>
        <v/>
      </c>
      <c r="R1161" s="3">
        <f>IF(ISNUMBER(AVERAGE('20250815_ETF_Options_Exhibits'!R1157:R1161)),AVERAGE('20250815_ETF_Options_Exhibits'!R1157:R1161),"")</f>
        <v/>
      </c>
      <c r="S1161" s="3">
        <f>IF(ISNUMBER(AVERAGE('20250815_ETF_Options_Exhibits'!S1157:S1161)),AVERAGE('20250815_ETF_Options_Exhibits'!S1157:S1161),"")</f>
        <v/>
      </c>
      <c r="T1161" s="3">
        <f>IF(ISNUMBER(AVERAGE('20250815_ETF_Options_Exhibits'!T1157:T1161)),AVERAGE('20250815_ETF_Options_Exhibits'!T1157:T1161),"")</f>
        <v/>
      </c>
      <c r="U1161" s="3">
        <f>IF(ISNUMBER(AVERAGE('20250815_ETF_Options_Exhibits'!U1157:U1161)),AVERAGE('20250815_ETF_Options_Exhibits'!U1157:U1161),"")</f>
        <v/>
      </c>
      <c r="V1161" s="3">
        <f>IF(ISNUMBER(AVERAGE('20250815_ETF_Options_Exhibits'!V1157:V1161)),AVERAGE('20250815_ETF_Options_Exhibits'!V1157:V1161),"")</f>
        <v/>
      </c>
      <c r="W1161" s="3">
        <f>IF(ISNUMBER(AVERAGE('20250815_ETF_Options_Exhibits'!W1157:W1161)),AVERAGE('20250815_ETF_Options_Exhibits'!W1157:W1161),"")</f>
        <v/>
      </c>
      <c r="X1161" s="3">
        <f>IF(ISNUMBER(AVERAGE('20250815_ETF_Options_Exhibits'!X1157:X1161)),AVERAGE('20250815_ETF_Options_Exhibits'!X1157:X1161),"")</f>
        <v/>
      </c>
      <c r="Y1161" s="3">
        <f>IF(ISNUMBER(AVERAGE('20250815_ETF_Options_Exhibits'!Y1157:Y1161)),AVERAGE('20250815_ETF_Options_Exhibits'!Y1157:Y1161),"")</f>
        <v/>
      </c>
      <c r="Z1161" s="3">
        <f>IF(ISNUMBER(AVERAGE('20250815_ETF_Options_Exhibits'!Z1157:Z1161)),AVERAGE('20250815_ETF_Options_Exhibits'!Z1157:Z1161),"")</f>
        <v/>
      </c>
      <c r="AA1161" s="3">
        <f>IF(ISNUMBER(AVERAGE('20250815_ETF_Options_Exhibits'!AA1157:AA1161)),AVERAGE('20250815_ETF_Options_Exhibits'!AA1157:AA1161),"")</f>
        <v/>
      </c>
    </row>
    <row r="1162">
      <c r="A1162" s="1" t="n">
        <v>43689</v>
      </c>
      <c r="B1162" s="3">
        <f>IF(ISNUMBER(AVERAGE('20250815_ETF_Options_Exhibits'!B1158:B1162)),AVERAGE('20250815_ETF_Options_Exhibits'!B1158:B1162),"")</f>
        <v/>
      </c>
      <c r="C1162" s="3">
        <f>IF(ISNUMBER(AVERAGE('20250815_ETF_Options_Exhibits'!C1158:C1162)),AVERAGE('20250815_ETF_Options_Exhibits'!C1158:C1162),"")</f>
        <v/>
      </c>
      <c r="D1162" s="3">
        <f>IF(ISNUMBER(AVERAGE('20250815_ETF_Options_Exhibits'!D1158:D1162)),AVERAGE('20250815_ETF_Options_Exhibits'!D1158:D1162),"")</f>
        <v/>
      </c>
      <c r="E1162" s="3">
        <f>IF(ISNUMBER(AVERAGE('20250815_ETF_Options_Exhibits'!E1158:E1162)),AVERAGE('20250815_ETF_Options_Exhibits'!E1158:E1162),"")</f>
        <v/>
      </c>
      <c r="F1162" s="3">
        <f>IF(ISNUMBER(AVERAGE('20250815_ETF_Options_Exhibits'!F1158:F1162)),AVERAGE('20250815_ETF_Options_Exhibits'!F1158:F1162),"")</f>
        <v/>
      </c>
      <c r="G1162" s="3">
        <f>IF(ISNUMBER(AVERAGE('20250815_ETF_Options_Exhibits'!G1158:G1162)),AVERAGE('20250815_ETF_Options_Exhibits'!G1158:G1162),"")</f>
        <v/>
      </c>
      <c r="H1162" s="3">
        <f>IF(ISNUMBER(AVERAGE('20250815_ETF_Options_Exhibits'!H1158:H1162)),AVERAGE('20250815_ETF_Options_Exhibits'!H1158:H1162),"")</f>
        <v/>
      </c>
      <c r="I1162" s="3">
        <f>IF(ISNUMBER(AVERAGE('20250815_ETF_Options_Exhibits'!I1158:I1162)),AVERAGE('20250815_ETF_Options_Exhibits'!I1158:I1162),"")</f>
        <v/>
      </c>
      <c r="J1162" s="3">
        <f>IF(ISNUMBER(AVERAGE('20250815_ETF_Options_Exhibits'!J1158:J1162)),AVERAGE('20250815_ETF_Options_Exhibits'!J1158:J1162),"")</f>
        <v/>
      </c>
      <c r="K1162" s="3">
        <f>IF(ISNUMBER(AVERAGE('20250815_ETF_Options_Exhibits'!K1158:K1162)),AVERAGE('20250815_ETF_Options_Exhibits'!K1158:K1162),"")</f>
        <v/>
      </c>
      <c r="L1162" s="3">
        <f>IF(ISNUMBER(AVERAGE('20250815_ETF_Options_Exhibits'!L1158:L1162)),AVERAGE('20250815_ETF_Options_Exhibits'!L1158:L1162),"")</f>
        <v/>
      </c>
      <c r="M1162" s="3">
        <f>IF(ISNUMBER(AVERAGE('20250815_ETF_Options_Exhibits'!M1158:M1162)),AVERAGE('20250815_ETF_Options_Exhibits'!M1158:M1162),"")</f>
        <v/>
      </c>
      <c r="N1162" s="3">
        <f>IF(ISNUMBER(AVERAGE('20250815_ETF_Options_Exhibits'!N1158:N1162)),AVERAGE('20250815_ETF_Options_Exhibits'!N1158:N1162),"")</f>
        <v/>
      </c>
      <c r="O1162" s="3">
        <f>IF(ISNUMBER(AVERAGE('20250815_ETF_Options_Exhibits'!O1158:O1162)),AVERAGE('20250815_ETF_Options_Exhibits'!O1158:O1162),"")</f>
        <v/>
      </c>
      <c r="P1162" s="3">
        <f>IF(ISNUMBER(AVERAGE('20250815_ETF_Options_Exhibits'!P1158:P1162)),AVERAGE('20250815_ETF_Options_Exhibits'!P1158:P1162),"")</f>
        <v/>
      </c>
      <c r="Q1162" s="3">
        <f>IF(ISNUMBER(AVERAGE('20250815_ETF_Options_Exhibits'!Q1158:Q1162)),AVERAGE('20250815_ETF_Options_Exhibits'!Q1158:Q1162),"")</f>
        <v/>
      </c>
      <c r="R1162" s="3">
        <f>IF(ISNUMBER(AVERAGE('20250815_ETF_Options_Exhibits'!R1158:R1162)),AVERAGE('20250815_ETF_Options_Exhibits'!R1158:R1162),"")</f>
        <v/>
      </c>
      <c r="S1162" s="3">
        <f>IF(ISNUMBER(AVERAGE('20250815_ETF_Options_Exhibits'!S1158:S1162)),AVERAGE('20250815_ETF_Options_Exhibits'!S1158:S1162),"")</f>
        <v/>
      </c>
      <c r="T1162" s="3">
        <f>IF(ISNUMBER(AVERAGE('20250815_ETF_Options_Exhibits'!T1158:T1162)),AVERAGE('20250815_ETF_Options_Exhibits'!T1158:T1162),"")</f>
        <v/>
      </c>
      <c r="U1162" s="3">
        <f>IF(ISNUMBER(AVERAGE('20250815_ETF_Options_Exhibits'!U1158:U1162)),AVERAGE('20250815_ETF_Options_Exhibits'!U1158:U1162),"")</f>
        <v/>
      </c>
      <c r="V1162" s="3">
        <f>IF(ISNUMBER(AVERAGE('20250815_ETF_Options_Exhibits'!V1158:V1162)),AVERAGE('20250815_ETF_Options_Exhibits'!V1158:V1162),"")</f>
        <v/>
      </c>
      <c r="W1162" s="3">
        <f>IF(ISNUMBER(AVERAGE('20250815_ETF_Options_Exhibits'!W1158:W1162)),AVERAGE('20250815_ETF_Options_Exhibits'!W1158:W1162),"")</f>
        <v/>
      </c>
      <c r="X1162" s="3">
        <f>IF(ISNUMBER(AVERAGE('20250815_ETF_Options_Exhibits'!X1158:X1162)),AVERAGE('20250815_ETF_Options_Exhibits'!X1158:X1162),"")</f>
        <v/>
      </c>
      <c r="Y1162" s="3">
        <f>IF(ISNUMBER(AVERAGE('20250815_ETF_Options_Exhibits'!Y1158:Y1162)),AVERAGE('20250815_ETF_Options_Exhibits'!Y1158:Y1162),"")</f>
        <v/>
      </c>
      <c r="Z1162" s="3">
        <f>IF(ISNUMBER(AVERAGE('20250815_ETF_Options_Exhibits'!Z1158:Z1162)),AVERAGE('20250815_ETF_Options_Exhibits'!Z1158:Z1162),"")</f>
        <v/>
      </c>
      <c r="AA1162" s="3">
        <f>IF(ISNUMBER(AVERAGE('20250815_ETF_Options_Exhibits'!AA1158:AA1162)),AVERAGE('20250815_ETF_Options_Exhibits'!AA1158:AA1162),"")</f>
        <v/>
      </c>
    </row>
    <row r="1163">
      <c r="A1163" s="1" t="n">
        <v>43690</v>
      </c>
      <c r="B1163" s="3">
        <f>IF(ISNUMBER(AVERAGE('20250815_ETF_Options_Exhibits'!B1159:B1163)),AVERAGE('20250815_ETF_Options_Exhibits'!B1159:B1163),"")</f>
        <v/>
      </c>
      <c r="C1163" s="3">
        <f>IF(ISNUMBER(AVERAGE('20250815_ETF_Options_Exhibits'!C1159:C1163)),AVERAGE('20250815_ETF_Options_Exhibits'!C1159:C1163),"")</f>
        <v/>
      </c>
      <c r="D1163" s="3">
        <f>IF(ISNUMBER(AVERAGE('20250815_ETF_Options_Exhibits'!D1159:D1163)),AVERAGE('20250815_ETF_Options_Exhibits'!D1159:D1163),"")</f>
        <v/>
      </c>
      <c r="E1163" s="3">
        <f>IF(ISNUMBER(AVERAGE('20250815_ETF_Options_Exhibits'!E1159:E1163)),AVERAGE('20250815_ETF_Options_Exhibits'!E1159:E1163),"")</f>
        <v/>
      </c>
      <c r="F1163" s="3">
        <f>IF(ISNUMBER(AVERAGE('20250815_ETF_Options_Exhibits'!F1159:F1163)),AVERAGE('20250815_ETF_Options_Exhibits'!F1159:F1163),"")</f>
        <v/>
      </c>
      <c r="G1163" s="3">
        <f>IF(ISNUMBER(AVERAGE('20250815_ETF_Options_Exhibits'!G1159:G1163)),AVERAGE('20250815_ETF_Options_Exhibits'!G1159:G1163),"")</f>
        <v/>
      </c>
      <c r="H1163" s="3">
        <f>IF(ISNUMBER(AVERAGE('20250815_ETF_Options_Exhibits'!H1159:H1163)),AVERAGE('20250815_ETF_Options_Exhibits'!H1159:H1163),"")</f>
        <v/>
      </c>
      <c r="I1163" s="3">
        <f>IF(ISNUMBER(AVERAGE('20250815_ETF_Options_Exhibits'!I1159:I1163)),AVERAGE('20250815_ETF_Options_Exhibits'!I1159:I1163),"")</f>
        <v/>
      </c>
      <c r="J1163" s="3">
        <f>IF(ISNUMBER(AVERAGE('20250815_ETF_Options_Exhibits'!J1159:J1163)),AVERAGE('20250815_ETF_Options_Exhibits'!J1159:J1163),"")</f>
        <v/>
      </c>
      <c r="K1163" s="3">
        <f>IF(ISNUMBER(AVERAGE('20250815_ETF_Options_Exhibits'!K1159:K1163)),AVERAGE('20250815_ETF_Options_Exhibits'!K1159:K1163),"")</f>
        <v/>
      </c>
      <c r="L1163" s="3">
        <f>IF(ISNUMBER(AVERAGE('20250815_ETF_Options_Exhibits'!L1159:L1163)),AVERAGE('20250815_ETF_Options_Exhibits'!L1159:L1163),"")</f>
        <v/>
      </c>
      <c r="M1163" s="3">
        <f>IF(ISNUMBER(AVERAGE('20250815_ETF_Options_Exhibits'!M1159:M1163)),AVERAGE('20250815_ETF_Options_Exhibits'!M1159:M1163),"")</f>
        <v/>
      </c>
      <c r="N1163" s="3">
        <f>IF(ISNUMBER(AVERAGE('20250815_ETF_Options_Exhibits'!N1159:N1163)),AVERAGE('20250815_ETF_Options_Exhibits'!N1159:N1163),"")</f>
        <v/>
      </c>
      <c r="O1163" s="3">
        <f>IF(ISNUMBER(AVERAGE('20250815_ETF_Options_Exhibits'!O1159:O1163)),AVERAGE('20250815_ETF_Options_Exhibits'!O1159:O1163),"")</f>
        <v/>
      </c>
      <c r="P1163" s="3">
        <f>IF(ISNUMBER(AVERAGE('20250815_ETF_Options_Exhibits'!P1159:P1163)),AVERAGE('20250815_ETF_Options_Exhibits'!P1159:P1163),"")</f>
        <v/>
      </c>
      <c r="Q1163" s="3">
        <f>IF(ISNUMBER(AVERAGE('20250815_ETF_Options_Exhibits'!Q1159:Q1163)),AVERAGE('20250815_ETF_Options_Exhibits'!Q1159:Q1163),"")</f>
        <v/>
      </c>
      <c r="R1163" s="3">
        <f>IF(ISNUMBER(AVERAGE('20250815_ETF_Options_Exhibits'!R1159:R1163)),AVERAGE('20250815_ETF_Options_Exhibits'!R1159:R1163),"")</f>
        <v/>
      </c>
      <c r="S1163" s="3">
        <f>IF(ISNUMBER(AVERAGE('20250815_ETF_Options_Exhibits'!S1159:S1163)),AVERAGE('20250815_ETF_Options_Exhibits'!S1159:S1163),"")</f>
        <v/>
      </c>
      <c r="T1163" s="3">
        <f>IF(ISNUMBER(AVERAGE('20250815_ETF_Options_Exhibits'!T1159:T1163)),AVERAGE('20250815_ETF_Options_Exhibits'!T1159:T1163),"")</f>
        <v/>
      </c>
      <c r="U1163" s="3">
        <f>IF(ISNUMBER(AVERAGE('20250815_ETF_Options_Exhibits'!U1159:U1163)),AVERAGE('20250815_ETF_Options_Exhibits'!U1159:U1163),"")</f>
        <v/>
      </c>
      <c r="V1163" s="3">
        <f>IF(ISNUMBER(AVERAGE('20250815_ETF_Options_Exhibits'!V1159:V1163)),AVERAGE('20250815_ETF_Options_Exhibits'!V1159:V1163),"")</f>
        <v/>
      </c>
      <c r="W1163" s="3">
        <f>IF(ISNUMBER(AVERAGE('20250815_ETF_Options_Exhibits'!W1159:W1163)),AVERAGE('20250815_ETF_Options_Exhibits'!W1159:W1163),"")</f>
        <v/>
      </c>
      <c r="X1163" s="3">
        <f>IF(ISNUMBER(AVERAGE('20250815_ETF_Options_Exhibits'!X1159:X1163)),AVERAGE('20250815_ETF_Options_Exhibits'!X1159:X1163),"")</f>
        <v/>
      </c>
      <c r="Y1163" s="3">
        <f>IF(ISNUMBER(AVERAGE('20250815_ETF_Options_Exhibits'!Y1159:Y1163)),AVERAGE('20250815_ETF_Options_Exhibits'!Y1159:Y1163),"")</f>
        <v/>
      </c>
      <c r="Z1163" s="3">
        <f>IF(ISNUMBER(AVERAGE('20250815_ETF_Options_Exhibits'!Z1159:Z1163)),AVERAGE('20250815_ETF_Options_Exhibits'!Z1159:Z1163),"")</f>
        <v/>
      </c>
      <c r="AA1163" s="3">
        <f>IF(ISNUMBER(AVERAGE('20250815_ETF_Options_Exhibits'!AA1159:AA1163)),AVERAGE('20250815_ETF_Options_Exhibits'!AA1159:AA1163),"")</f>
        <v/>
      </c>
    </row>
    <row r="1164">
      <c r="A1164" s="1" t="n">
        <v>43691</v>
      </c>
      <c r="B1164" s="3">
        <f>IF(ISNUMBER(AVERAGE('20250815_ETF_Options_Exhibits'!B1160:B1164)),AVERAGE('20250815_ETF_Options_Exhibits'!B1160:B1164),"")</f>
        <v/>
      </c>
      <c r="C1164" s="3">
        <f>IF(ISNUMBER(AVERAGE('20250815_ETF_Options_Exhibits'!C1160:C1164)),AVERAGE('20250815_ETF_Options_Exhibits'!C1160:C1164),"")</f>
        <v/>
      </c>
      <c r="D1164" s="3">
        <f>IF(ISNUMBER(AVERAGE('20250815_ETF_Options_Exhibits'!D1160:D1164)),AVERAGE('20250815_ETF_Options_Exhibits'!D1160:D1164),"")</f>
        <v/>
      </c>
      <c r="E1164" s="3">
        <f>IF(ISNUMBER(AVERAGE('20250815_ETF_Options_Exhibits'!E1160:E1164)),AVERAGE('20250815_ETF_Options_Exhibits'!E1160:E1164),"")</f>
        <v/>
      </c>
      <c r="F1164" s="3">
        <f>IF(ISNUMBER(AVERAGE('20250815_ETF_Options_Exhibits'!F1160:F1164)),AVERAGE('20250815_ETF_Options_Exhibits'!F1160:F1164),"")</f>
        <v/>
      </c>
      <c r="G1164" s="3">
        <f>IF(ISNUMBER(AVERAGE('20250815_ETF_Options_Exhibits'!G1160:G1164)),AVERAGE('20250815_ETF_Options_Exhibits'!G1160:G1164),"")</f>
        <v/>
      </c>
      <c r="H1164" s="3">
        <f>IF(ISNUMBER(AVERAGE('20250815_ETF_Options_Exhibits'!H1160:H1164)),AVERAGE('20250815_ETF_Options_Exhibits'!H1160:H1164),"")</f>
        <v/>
      </c>
      <c r="I1164" s="3">
        <f>IF(ISNUMBER(AVERAGE('20250815_ETF_Options_Exhibits'!I1160:I1164)),AVERAGE('20250815_ETF_Options_Exhibits'!I1160:I1164),"")</f>
        <v/>
      </c>
      <c r="J1164" s="3">
        <f>IF(ISNUMBER(AVERAGE('20250815_ETF_Options_Exhibits'!J1160:J1164)),AVERAGE('20250815_ETF_Options_Exhibits'!J1160:J1164),"")</f>
        <v/>
      </c>
      <c r="K1164" s="3">
        <f>IF(ISNUMBER(AVERAGE('20250815_ETF_Options_Exhibits'!K1160:K1164)),AVERAGE('20250815_ETF_Options_Exhibits'!K1160:K1164),"")</f>
        <v/>
      </c>
      <c r="L1164" s="3">
        <f>IF(ISNUMBER(AVERAGE('20250815_ETF_Options_Exhibits'!L1160:L1164)),AVERAGE('20250815_ETF_Options_Exhibits'!L1160:L1164),"")</f>
        <v/>
      </c>
      <c r="M1164" s="3">
        <f>IF(ISNUMBER(AVERAGE('20250815_ETF_Options_Exhibits'!M1160:M1164)),AVERAGE('20250815_ETF_Options_Exhibits'!M1160:M1164),"")</f>
        <v/>
      </c>
      <c r="N1164" s="3">
        <f>IF(ISNUMBER(AVERAGE('20250815_ETF_Options_Exhibits'!N1160:N1164)),AVERAGE('20250815_ETF_Options_Exhibits'!N1160:N1164),"")</f>
        <v/>
      </c>
      <c r="O1164" s="3">
        <f>IF(ISNUMBER(AVERAGE('20250815_ETF_Options_Exhibits'!O1160:O1164)),AVERAGE('20250815_ETF_Options_Exhibits'!O1160:O1164),"")</f>
        <v/>
      </c>
      <c r="P1164" s="3">
        <f>IF(ISNUMBER(AVERAGE('20250815_ETF_Options_Exhibits'!P1160:P1164)),AVERAGE('20250815_ETF_Options_Exhibits'!P1160:P1164),"")</f>
        <v/>
      </c>
      <c r="Q1164" s="3">
        <f>IF(ISNUMBER(AVERAGE('20250815_ETF_Options_Exhibits'!Q1160:Q1164)),AVERAGE('20250815_ETF_Options_Exhibits'!Q1160:Q1164),"")</f>
        <v/>
      </c>
      <c r="R1164" s="3">
        <f>IF(ISNUMBER(AVERAGE('20250815_ETF_Options_Exhibits'!R1160:R1164)),AVERAGE('20250815_ETF_Options_Exhibits'!R1160:R1164),"")</f>
        <v/>
      </c>
      <c r="S1164" s="3">
        <f>IF(ISNUMBER(AVERAGE('20250815_ETF_Options_Exhibits'!S1160:S1164)),AVERAGE('20250815_ETF_Options_Exhibits'!S1160:S1164),"")</f>
        <v/>
      </c>
      <c r="T1164" s="3">
        <f>IF(ISNUMBER(AVERAGE('20250815_ETF_Options_Exhibits'!T1160:T1164)),AVERAGE('20250815_ETF_Options_Exhibits'!T1160:T1164),"")</f>
        <v/>
      </c>
      <c r="U1164" s="3">
        <f>IF(ISNUMBER(AVERAGE('20250815_ETF_Options_Exhibits'!U1160:U1164)),AVERAGE('20250815_ETF_Options_Exhibits'!U1160:U1164),"")</f>
        <v/>
      </c>
      <c r="V1164" s="3">
        <f>IF(ISNUMBER(AVERAGE('20250815_ETF_Options_Exhibits'!V1160:V1164)),AVERAGE('20250815_ETF_Options_Exhibits'!V1160:V1164),"")</f>
        <v/>
      </c>
      <c r="W1164" s="3">
        <f>IF(ISNUMBER(AVERAGE('20250815_ETF_Options_Exhibits'!W1160:W1164)),AVERAGE('20250815_ETF_Options_Exhibits'!W1160:W1164),"")</f>
        <v/>
      </c>
      <c r="X1164" s="3">
        <f>IF(ISNUMBER(AVERAGE('20250815_ETF_Options_Exhibits'!X1160:X1164)),AVERAGE('20250815_ETF_Options_Exhibits'!X1160:X1164),"")</f>
        <v/>
      </c>
      <c r="Y1164" s="3">
        <f>IF(ISNUMBER(AVERAGE('20250815_ETF_Options_Exhibits'!Y1160:Y1164)),AVERAGE('20250815_ETF_Options_Exhibits'!Y1160:Y1164),"")</f>
        <v/>
      </c>
      <c r="Z1164" s="3">
        <f>IF(ISNUMBER(AVERAGE('20250815_ETF_Options_Exhibits'!Z1160:Z1164)),AVERAGE('20250815_ETF_Options_Exhibits'!Z1160:Z1164),"")</f>
        <v/>
      </c>
      <c r="AA1164" s="3">
        <f>IF(ISNUMBER(AVERAGE('20250815_ETF_Options_Exhibits'!AA1160:AA1164)),AVERAGE('20250815_ETF_Options_Exhibits'!AA1160:AA1164),"")</f>
        <v/>
      </c>
    </row>
    <row r="1165">
      <c r="A1165" s="1" t="n">
        <v>43692</v>
      </c>
      <c r="B1165" s="3">
        <f>IF(ISNUMBER(AVERAGE('20250815_ETF_Options_Exhibits'!B1161:B1165)),AVERAGE('20250815_ETF_Options_Exhibits'!B1161:B1165),"")</f>
        <v/>
      </c>
      <c r="C1165" s="3">
        <f>IF(ISNUMBER(AVERAGE('20250815_ETF_Options_Exhibits'!C1161:C1165)),AVERAGE('20250815_ETF_Options_Exhibits'!C1161:C1165),"")</f>
        <v/>
      </c>
      <c r="D1165" s="3">
        <f>IF(ISNUMBER(AVERAGE('20250815_ETF_Options_Exhibits'!D1161:D1165)),AVERAGE('20250815_ETF_Options_Exhibits'!D1161:D1165),"")</f>
        <v/>
      </c>
      <c r="E1165" s="3">
        <f>IF(ISNUMBER(AVERAGE('20250815_ETF_Options_Exhibits'!E1161:E1165)),AVERAGE('20250815_ETF_Options_Exhibits'!E1161:E1165),"")</f>
        <v/>
      </c>
      <c r="F1165" s="3">
        <f>IF(ISNUMBER(AVERAGE('20250815_ETF_Options_Exhibits'!F1161:F1165)),AVERAGE('20250815_ETF_Options_Exhibits'!F1161:F1165),"")</f>
        <v/>
      </c>
      <c r="G1165" s="3">
        <f>IF(ISNUMBER(AVERAGE('20250815_ETF_Options_Exhibits'!G1161:G1165)),AVERAGE('20250815_ETF_Options_Exhibits'!G1161:G1165),"")</f>
        <v/>
      </c>
      <c r="H1165" s="3">
        <f>IF(ISNUMBER(AVERAGE('20250815_ETF_Options_Exhibits'!H1161:H1165)),AVERAGE('20250815_ETF_Options_Exhibits'!H1161:H1165),"")</f>
        <v/>
      </c>
      <c r="I1165" s="3">
        <f>IF(ISNUMBER(AVERAGE('20250815_ETF_Options_Exhibits'!I1161:I1165)),AVERAGE('20250815_ETF_Options_Exhibits'!I1161:I1165),"")</f>
        <v/>
      </c>
      <c r="J1165" s="3">
        <f>IF(ISNUMBER(AVERAGE('20250815_ETF_Options_Exhibits'!J1161:J1165)),AVERAGE('20250815_ETF_Options_Exhibits'!J1161:J1165),"")</f>
        <v/>
      </c>
      <c r="K1165" s="3">
        <f>IF(ISNUMBER(AVERAGE('20250815_ETF_Options_Exhibits'!K1161:K1165)),AVERAGE('20250815_ETF_Options_Exhibits'!K1161:K1165),"")</f>
        <v/>
      </c>
      <c r="L1165" s="3">
        <f>IF(ISNUMBER(AVERAGE('20250815_ETF_Options_Exhibits'!L1161:L1165)),AVERAGE('20250815_ETF_Options_Exhibits'!L1161:L1165),"")</f>
        <v/>
      </c>
      <c r="M1165" s="3">
        <f>IF(ISNUMBER(AVERAGE('20250815_ETF_Options_Exhibits'!M1161:M1165)),AVERAGE('20250815_ETF_Options_Exhibits'!M1161:M1165),"")</f>
        <v/>
      </c>
      <c r="N1165" s="3">
        <f>IF(ISNUMBER(AVERAGE('20250815_ETF_Options_Exhibits'!N1161:N1165)),AVERAGE('20250815_ETF_Options_Exhibits'!N1161:N1165),"")</f>
        <v/>
      </c>
      <c r="O1165" s="3">
        <f>IF(ISNUMBER(AVERAGE('20250815_ETF_Options_Exhibits'!O1161:O1165)),AVERAGE('20250815_ETF_Options_Exhibits'!O1161:O1165),"")</f>
        <v/>
      </c>
      <c r="P1165" s="3">
        <f>IF(ISNUMBER(AVERAGE('20250815_ETF_Options_Exhibits'!P1161:P1165)),AVERAGE('20250815_ETF_Options_Exhibits'!P1161:P1165),"")</f>
        <v/>
      </c>
      <c r="Q1165" s="3">
        <f>IF(ISNUMBER(AVERAGE('20250815_ETF_Options_Exhibits'!Q1161:Q1165)),AVERAGE('20250815_ETF_Options_Exhibits'!Q1161:Q1165),"")</f>
        <v/>
      </c>
      <c r="R1165" s="3">
        <f>IF(ISNUMBER(AVERAGE('20250815_ETF_Options_Exhibits'!R1161:R1165)),AVERAGE('20250815_ETF_Options_Exhibits'!R1161:R1165),"")</f>
        <v/>
      </c>
      <c r="S1165" s="3">
        <f>IF(ISNUMBER(AVERAGE('20250815_ETF_Options_Exhibits'!S1161:S1165)),AVERAGE('20250815_ETF_Options_Exhibits'!S1161:S1165),"")</f>
        <v/>
      </c>
      <c r="T1165" s="3">
        <f>IF(ISNUMBER(AVERAGE('20250815_ETF_Options_Exhibits'!T1161:T1165)),AVERAGE('20250815_ETF_Options_Exhibits'!T1161:T1165),"")</f>
        <v/>
      </c>
      <c r="U1165" s="3">
        <f>IF(ISNUMBER(AVERAGE('20250815_ETF_Options_Exhibits'!U1161:U1165)),AVERAGE('20250815_ETF_Options_Exhibits'!U1161:U1165),"")</f>
        <v/>
      </c>
      <c r="V1165" s="3">
        <f>IF(ISNUMBER(AVERAGE('20250815_ETF_Options_Exhibits'!V1161:V1165)),AVERAGE('20250815_ETF_Options_Exhibits'!V1161:V1165),"")</f>
        <v/>
      </c>
      <c r="W1165" s="3">
        <f>IF(ISNUMBER(AVERAGE('20250815_ETF_Options_Exhibits'!W1161:W1165)),AVERAGE('20250815_ETF_Options_Exhibits'!W1161:W1165),"")</f>
        <v/>
      </c>
      <c r="X1165" s="3">
        <f>IF(ISNUMBER(AVERAGE('20250815_ETF_Options_Exhibits'!X1161:X1165)),AVERAGE('20250815_ETF_Options_Exhibits'!X1161:X1165),"")</f>
        <v/>
      </c>
      <c r="Y1165" s="3">
        <f>IF(ISNUMBER(AVERAGE('20250815_ETF_Options_Exhibits'!Y1161:Y1165)),AVERAGE('20250815_ETF_Options_Exhibits'!Y1161:Y1165),"")</f>
        <v/>
      </c>
      <c r="Z1165" s="3">
        <f>IF(ISNUMBER(AVERAGE('20250815_ETF_Options_Exhibits'!Z1161:Z1165)),AVERAGE('20250815_ETF_Options_Exhibits'!Z1161:Z1165),"")</f>
        <v/>
      </c>
      <c r="AA1165" s="3">
        <f>IF(ISNUMBER(AVERAGE('20250815_ETF_Options_Exhibits'!AA1161:AA1165)),AVERAGE('20250815_ETF_Options_Exhibits'!AA1161:AA1165),"")</f>
        <v/>
      </c>
    </row>
    <row r="1166">
      <c r="A1166" s="1" t="n">
        <v>43693</v>
      </c>
      <c r="B1166" s="3">
        <f>IF(ISNUMBER(AVERAGE('20250815_ETF_Options_Exhibits'!B1162:B1166)),AVERAGE('20250815_ETF_Options_Exhibits'!B1162:B1166),"")</f>
        <v/>
      </c>
      <c r="C1166" s="3">
        <f>IF(ISNUMBER(AVERAGE('20250815_ETF_Options_Exhibits'!C1162:C1166)),AVERAGE('20250815_ETF_Options_Exhibits'!C1162:C1166),"")</f>
        <v/>
      </c>
      <c r="D1166" s="3">
        <f>IF(ISNUMBER(AVERAGE('20250815_ETF_Options_Exhibits'!D1162:D1166)),AVERAGE('20250815_ETF_Options_Exhibits'!D1162:D1166),"")</f>
        <v/>
      </c>
      <c r="E1166" s="3">
        <f>IF(ISNUMBER(AVERAGE('20250815_ETF_Options_Exhibits'!E1162:E1166)),AVERAGE('20250815_ETF_Options_Exhibits'!E1162:E1166),"")</f>
        <v/>
      </c>
      <c r="F1166" s="3">
        <f>IF(ISNUMBER(AVERAGE('20250815_ETF_Options_Exhibits'!F1162:F1166)),AVERAGE('20250815_ETF_Options_Exhibits'!F1162:F1166),"")</f>
        <v/>
      </c>
      <c r="G1166" s="3">
        <f>IF(ISNUMBER(AVERAGE('20250815_ETF_Options_Exhibits'!G1162:G1166)),AVERAGE('20250815_ETF_Options_Exhibits'!G1162:G1166),"")</f>
        <v/>
      </c>
      <c r="H1166" s="3">
        <f>IF(ISNUMBER(AVERAGE('20250815_ETF_Options_Exhibits'!H1162:H1166)),AVERAGE('20250815_ETF_Options_Exhibits'!H1162:H1166),"")</f>
        <v/>
      </c>
      <c r="I1166" s="3">
        <f>IF(ISNUMBER(AVERAGE('20250815_ETF_Options_Exhibits'!I1162:I1166)),AVERAGE('20250815_ETF_Options_Exhibits'!I1162:I1166),"")</f>
        <v/>
      </c>
      <c r="J1166" s="3">
        <f>IF(ISNUMBER(AVERAGE('20250815_ETF_Options_Exhibits'!J1162:J1166)),AVERAGE('20250815_ETF_Options_Exhibits'!J1162:J1166),"")</f>
        <v/>
      </c>
      <c r="K1166" s="3">
        <f>IF(ISNUMBER(AVERAGE('20250815_ETF_Options_Exhibits'!K1162:K1166)),AVERAGE('20250815_ETF_Options_Exhibits'!K1162:K1166),"")</f>
        <v/>
      </c>
      <c r="L1166" s="3">
        <f>IF(ISNUMBER(AVERAGE('20250815_ETF_Options_Exhibits'!L1162:L1166)),AVERAGE('20250815_ETF_Options_Exhibits'!L1162:L1166),"")</f>
        <v/>
      </c>
      <c r="M1166" s="3">
        <f>IF(ISNUMBER(AVERAGE('20250815_ETF_Options_Exhibits'!M1162:M1166)),AVERAGE('20250815_ETF_Options_Exhibits'!M1162:M1166),"")</f>
        <v/>
      </c>
      <c r="N1166" s="3">
        <f>IF(ISNUMBER(AVERAGE('20250815_ETF_Options_Exhibits'!N1162:N1166)),AVERAGE('20250815_ETF_Options_Exhibits'!N1162:N1166),"")</f>
        <v/>
      </c>
      <c r="O1166" s="3">
        <f>IF(ISNUMBER(AVERAGE('20250815_ETF_Options_Exhibits'!O1162:O1166)),AVERAGE('20250815_ETF_Options_Exhibits'!O1162:O1166),"")</f>
        <v/>
      </c>
      <c r="P1166" s="3">
        <f>IF(ISNUMBER(AVERAGE('20250815_ETF_Options_Exhibits'!P1162:P1166)),AVERAGE('20250815_ETF_Options_Exhibits'!P1162:P1166),"")</f>
        <v/>
      </c>
      <c r="Q1166" s="3">
        <f>IF(ISNUMBER(AVERAGE('20250815_ETF_Options_Exhibits'!Q1162:Q1166)),AVERAGE('20250815_ETF_Options_Exhibits'!Q1162:Q1166),"")</f>
        <v/>
      </c>
      <c r="R1166" s="3">
        <f>IF(ISNUMBER(AVERAGE('20250815_ETF_Options_Exhibits'!R1162:R1166)),AVERAGE('20250815_ETF_Options_Exhibits'!R1162:R1166),"")</f>
        <v/>
      </c>
      <c r="S1166" s="3">
        <f>IF(ISNUMBER(AVERAGE('20250815_ETF_Options_Exhibits'!S1162:S1166)),AVERAGE('20250815_ETF_Options_Exhibits'!S1162:S1166),"")</f>
        <v/>
      </c>
      <c r="T1166" s="3">
        <f>IF(ISNUMBER(AVERAGE('20250815_ETF_Options_Exhibits'!T1162:T1166)),AVERAGE('20250815_ETF_Options_Exhibits'!T1162:T1166),"")</f>
        <v/>
      </c>
      <c r="U1166" s="3">
        <f>IF(ISNUMBER(AVERAGE('20250815_ETF_Options_Exhibits'!U1162:U1166)),AVERAGE('20250815_ETF_Options_Exhibits'!U1162:U1166),"")</f>
        <v/>
      </c>
      <c r="V1166" s="3">
        <f>IF(ISNUMBER(AVERAGE('20250815_ETF_Options_Exhibits'!V1162:V1166)),AVERAGE('20250815_ETF_Options_Exhibits'!V1162:V1166),"")</f>
        <v/>
      </c>
      <c r="W1166" s="3">
        <f>IF(ISNUMBER(AVERAGE('20250815_ETF_Options_Exhibits'!W1162:W1166)),AVERAGE('20250815_ETF_Options_Exhibits'!W1162:W1166),"")</f>
        <v/>
      </c>
      <c r="X1166" s="3">
        <f>IF(ISNUMBER(AVERAGE('20250815_ETF_Options_Exhibits'!X1162:X1166)),AVERAGE('20250815_ETF_Options_Exhibits'!X1162:X1166),"")</f>
        <v/>
      </c>
      <c r="Y1166" s="3">
        <f>IF(ISNUMBER(AVERAGE('20250815_ETF_Options_Exhibits'!Y1162:Y1166)),AVERAGE('20250815_ETF_Options_Exhibits'!Y1162:Y1166),"")</f>
        <v/>
      </c>
      <c r="Z1166" s="3">
        <f>IF(ISNUMBER(AVERAGE('20250815_ETF_Options_Exhibits'!Z1162:Z1166)),AVERAGE('20250815_ETF_Options_Exhibits'!Z1162:Z1166),"")</f>
        <v/>
      </c>
      <c r="AA1166" s="3">
        <f>IF(ISNUMBER(AVERAGE('20250815_ETF_Options_Exhibits'!AA1162:AA1166)),AVERAGE('20250815_ETF_Options_Exhibits'!AA1162:AA1166),"")</f>
        <v/>
      </c>
    </row>
    <row r="1167">
      <c r="A1167" s="1" t="n">
        <v>43696</v>
      </c>
      <c r="B1167" s="3">
        <f>IF(ISNUMBER(AVERAGE('20250815_ETF_Options_Exhibits'!B1163:B1167)),AVERAGE('20250815_ETF_Options_Exhibits'!B1163:B1167),"")</f>
        <v/>
      </c>
      <c r="C1167" s="3">
        <f>IF(ISNUMBER(AVERAGE('20250815_ETF_Options_Exhibits'!C1163:C1167)),AVERAGE('20250815_ETF_Options_Exhibits'!C1163:C1167),"")</f>
        <v/>
      </c>
      <c r="D1167" s="3">
        <f>IF(ISNUMBER(AVERAGE('20250815_ETF_Options_Exhibits'!D1163:D1167)),AVERAGE('20250815_ETF_Options_Exhibits'!D1163:D1167),"")</f>
        <v/>
      </c>
      <c r="E1167" s="3">
        <f>IF(ISNUMBER(AVERAGE('20250815_ETF_Options_Exhibits'!E1163:E1167)),AVERAGE('20250815_ETF_Options_Exhibits'!E1163:E1167),"")</f>
        <v/>
      </c>
      <c r="F1167" s="3">
        <f>IF(ISNUMBER(AVERAGE('20250815_ETF_Options_Exhibits'!F1163:F1167)),AVERAGE('20250815_ETF_Options_Exhibits'!F1163:F1167),"")</f>
        <v/>
      </c>
      <c r="G1167" s="3">
        <f>IF(ISNUMBER(AVERAGE('20250815_ETF_Options_Exhibits'!G1163:G1167)),AVERAGE('20250815_ETF_Options_Exhibits'!G1163:G1167),"")</f>
        <v/>
      </c>
      <c r="H1167" s="3">
        <f>IF(ISNUMBER(AVERAGE('20250815_ETF_Options_Exhibits'!H1163:H1167)),AVERAGE('20250815_ETF_Options_Exhibits'!H1163:H1167),"")</f>
        <v/>
      </c>
      <c r="I1167" s="3">
        <f>IF(ISNUMBER(AVERAGE('20250815_ETF_Options_Exhibits'!I1163:I1167)),AVERAGE('20250815_ETF_Options_Exhibits'!I1163:I1167),"")</f>
        <v/>
      </c>
      <c r="J1167" s="3">
        <f>IF(ISNUMBER(AVERAGE('20250815_ETF_Options_Exhibits'!J1163:J1167)),AVERAGE('20250815_ETF_Options_Exhibits'!J1163:J1167),"")</f>
        <v/>
      </c>
      <c r="K1167" s="3">
        <f>IF(ISNUMBER(AVERAGE('20250815_ETF_Options_Exhibits'!K1163:K1167)),AVERAGE('20250815_ETF_Options_Exhibits'!K1163:K1167),"")</f>
        <v/>
      </c>
      <c r="L1167" s="3">
        <f>IF(ISNUMBER(AVERAGE('20250815_ETF_Options_Exhibits'!L1163:L1167)),AVERAGE('20250815_ETF_Options_Exhibits'!L1163:L1167),"")</f>
        <v/>
      </c>
      <c r="M1167" s="3">
        <f>IF(ISNUMBER(AVERAGE('20250815_ETF_Options_Exhibits'!M1163:M1167)),AVERAGE('20250815_ETF_Options_Exhibits'!M1163:M1167),"")</f>
        <v/>
      </c>
      <c r="N1167" s="3">
        <f>IF(ISNUMBER(AVERAGE('20250815_ETF_Options_Exhibits'!N1163:N1167)),AVERAGE('20250815_ETF_Options_Exhibits'!N1163:N1167),"")</f>
        <v/>
      </c>
      <c r="O1167" s="3">
        <f>IF(ISNUMBER(AVERAGE('20250815_ETF_Options_Exhibits'!O1163:O1167)),AVERAGE('20250815_ETF_Options_Exhibits'!O1163:O1167),"")</f>
        <v/>
      </c>
      <c r="P1167" s="3">
        <f>IF(ISNUMBER(AVERAGE('20250815_ETF_Options_Exhibits'!P1163:P1167)),AVERAGE('20250815_ETF_Options_Exhibits'!P1163:P1167),"")</f>
        <v/>
      </c>
      <c r="Q1167" s="3">
        <f>IF(ISNUMBER(AVERAGE('20250815_ETF_Options_Exhibits'!Q1163:Q1167)),AVERAGE('20250815_ETF_Options_Exhibits'!Q1163:Q1167),"")</f>
        <v/>
      </c>
      <c r="R1167" s="3">
        <f>IF(ISNUMBER(AVERAGE('20250815_ETF_Options_Exhibits'!R1163:R1167)),AVERAGE('20250815_ETF_Options_Exhibits'!R1163:R1167),"")</f>
        <v/>
      </c>
      <c r="S1167" s="3">
        <f>IF(ISNUMBER(AVERAGE('20250815_ETF_Options_Exhibits'!S1163:S1167)),AVERAGE('20250815_ETF_Options_Exhibits'!S1163:S1167),"")</f>
        <v/>
      </c>
      <c r="T1167" s="3">
        <f>IF(ISNUMBER(AVERAGE('20250815_ETF_Options_Exhibits'!T1163:T1167)),AVERAGE('20250815_ETF_Options_Exhibits'!T1163:T1167),"")</f>
        <v/>
      </c>
      <c r="U1167" s="3">
        <f>IF(ISNUMBER(AVERAGE('20250815_ETF_Options_Exhibits'!U1163:U1167)),AVERAGE('20250815_ETF_Options_Exhibits'!U1163:U1167),"")</f>
        <v/>
      </c>
      <c r="V1167" s="3">
        <f>IF(ISNUMBER(AVERAGE('20250815_ETF_Options_Exhibits'!V1163:V1167)),AVERAGE('20250815_ETF_Options_Exhibits'!V1163:V1167),"")</f>
        <v/>
      </c>
      <c r="W1167" s="3">
        <f>IF(ISNUMBER(AVERAGE('20250815_ETF_Options_Exhibits'!W1163:W1167)),AVERAGE('20250815_ETF_Options_Exhibits'!W1163:W1167),"")</f>
        <v/>
      </c>
      <c r="X1167" s="3">
        <f>IF(ISNUMBER(AVERAGE('20250815_ETF_Options_Exhibits'!X1163:X1167)),AVERAGE('20250815_ETF_Options_Exhibits'!X1163:X1167),"")</f>
        <v/>
      </c>
      <c r="Y1167" s="3">
        <f>IF(ISNUMBER(AVERAGE('20250815_ETF_Options_Exhibits'!Y1163:Y1167)),AVERAGE('20250815_ETF_Options_Exhibits'!Y1163:Y1167),"")</f>
        <v/>
      </c>
      <c r="Z1167" s="3">
        <f>IF(ISNUMBER(AVERAGE('20250815_ETF_Options_Exhibits'!Z1163:Z1167)),AVERAGE('20250815_ETF_Options_Exhibits'!Z1163:Z1167),"")</f>
        <v/>
      </c>
      <c r="AA1167" s="3">
        <f>IF(ISNUMBER(AVERAGE('20250815_ETF_Options_Exhibits'!AA1163:AA1167)),AVERAGE('20250815_ETF_Options_Exhibits'!AA1163:AA1167),"")</f>
        <v/>
      </c>
    </row>
    <row r="1168">
      <c r="A1168" s="1" t="n">
        <v>43697</v>
      </c>
      <c r="B1168" s="3">
        <f>IF(ISNUMBER(AVERAGE('20250815_ETF_Options_Exhibits'!B1164:B1168)),AVERAGE('20250815_ETF_Options_Exhibits'!B1164:B1168),"")</f>
        <v/>
      </c>
      <c r="C1168" s="3">
        <f>IF(ISNUMBER(AVERAGE('20250815_ETF_Options_Exhibits'!C1164:C1168)),AVERAGE('20250815_ETF_Options_Exhibits'!C1164:C1168),"")</f>
        <v/>
      </c>
      <c r="D1168" s="3">
        <f>IF(ISNUMBER(AVERAGE('20250815_ETF_Options_Exhibits'!D1164:D1168)),AVERAGE('20250815_ETF_Options_Exhibits'!D1164:D1168),"")</f>
        <v/>
      </c>
      <c r="E1168" s="3">
        <f>IF(ISNUMBER(AVERAGE('20250815_ETF_Options_Exhibits'!E1164:E1168)),AVERAGE('20250815_ETF_Options_Exhibits'!E1164:E1168),"")</f>
        <v/>
      </c>
      <c r="F1168" s="3">
        <f>IF(ISNUMBER(AVERAGE('20250815_ETF_Options_Exhibits'!F1164:F1168)),AVERAGE('20250815_ETF_Options_Exhibits'!F1164:F1168),"")</f>
        <v/>
      </c>
      <c r="G1168" s="3">
        <f>IF(ISNUMBER(AVERAGE('20250815_ETF_Options_Exhibits'!G1164:G1168)),AVERAGE('20250815_ETF_Options_Exhibits'!G1164:G1168),"")</f>
        <v/>
      </c>
      <c r="H1168" s="3">
        <f>IF(ISNUMBER(AVERAGE('20250815_ETF_Options_Exhibits'!H1164:H1168)),AVERAGE('20250815_ETF_Options_Exhibits'!H1164:H1168),"")</f>
        <v/>
      </c>
      <c r="I1168" s="3">
        <f>IF(ISNUMBER(AVERAGE('20250815_ETF_Options_Exhibits'!I1164:I1168)),AVERAGE('20250815_ETF_Options_Exhibits'!I1164:I1168),"")</f>
        <v/>
      </c>
      <c r="J1168" s="3">
        <f>IF(ISNUMBER(AVERAGE('20250815_ETF_Options_Exhibits'!J1164:J1168)),AVERAGE('20250815_ETF_Options_Exhibits'!J1164:J1168),"")</f>
        <v/>
      </c>
      <c r="K1168" s="3">
        <f>IF(ISNUMBER(AVERAGE('20250815_ETF_Options_Exhibits'!K1164:K1168)),AVERAGE('20250815_ETF_Options_Exhibits'!K1164:K1168),"")</f>
        <v/>
      </c>
      <c r="L1168" s="3">
        <f>IF(ISNUMBER(AVERAGE('20250815_ETF_Options_Exhibits'!L1164:L1168)),AVERAGE('20250815_ETF_Options_Exhibits'!L1164:L1168),"")</f>
        <v/>
      </c>
      <c r="M1168" s="3">
        <f>IF(ISNUMBER(AVERAGE('20250815_ETF_Options_Exhibits'!M1164:M1168)),AVERAGE('20250815_ETF_Options_Exhibits'!M1164:M1168),"")</f>
        <v/>
      </c>
      <c r="N1168" s="3">
        <f>IF(ISNUMBER(AVERAGE('20250815_ETF_Options_Exhibits'!N1164:N1168)),AVERAGE('20250815_ETF_Options_Exhibits'!N1164:N1168),"")</f>
        <v/>
      </c>
      <c r="O1168" s="3">
        <f>IF(ISNUMBER(AVERAGE('20250815_ETF_Options_Exhibits'!O1164:O1168)),AVERAGE('20250815_ETF_Options_Exhibits'!O1164:O1168),"")</f>
        <v/>
      </c>
      <c r="P1168" s="3">
        <f>IF(ISNUMBER(AVERAGE('20250815_ETF_Options_Exhibits'!P1164:P1168)),AVERAGE('20250815_ETF_Options_Exhibits'!P1164:P1168),"")</f>
        <v/>
      </c>
      <c r="Q1168" s="3">
        <f>IF(ISNUMBER(AVERAGE('20250815_ETF_Options_Exhibits'!Q1164:Q1168)),AVERAGE('20250815_ETF_Options_Exhibits'!Q1164:Q1168),"")</f>
        <v/>
      </c>
      <c r="R1168" s="3">
        <f>IF(ISNUMBER(AVERAGE('20250815_ETF_Options_Exhibits'!R1164:R1168)),AVERAGE('20250815_ETF_Options_Exhibits'!R1164:R1168),"")</f>
        <v/>
      </c>
      <c r="S1168" s="3">
        <f>IF(ISNUMBER(AVERAGE('20250815_ETF_Options_Exhibits'!S1164:S1168)),AVERAGE('20250815_ETF_Options_Exhibits'!S1164:S1168),"")</f>
        <v/>
      </c>
      <c r="T1168" s="3">
        <f>IF(ISNUMBER(AVERAGE('20250815_ETF_Options_Exhibits'!T1164:T1168)),AVERAGE('20250815_ETF_Options_Exhibits'!T1164:T1168),"")</f>
        <v/>
      </c>
      <c r="U1168" s="3">
        <f>IF(ISNUMBER(AVERAGE('20250815_ETF_Options_Exhibits'!U1164:U1168)),AVERAGE('20250815_ETF_Options_Exhibits'!U1164:U1168),"")</f>
        <v/>
      </c>
      <c r="V1168" s="3">
        <f>IF(ISNUMBER(AVERAGE('20250815_ETF_Options_Exhibits'!V1164:V1168)),AVERAGE('20250815_ETF_Options_Exhibits'!V1164:V1168),"")</f>
        <v/>
      </c>
      <c r="W1168" s="3">
        <f>IF(ISNUMBER(AVERAGE('20250815_ETF_Options_Exhibits'!W1164:W1168)),AVERAGE('20250815_ETF_Options_Exhibits'!W1164:W1168),"")</f>
        <v/>
      </c>
      <c r="X1168" s="3">
        <f>IF(ISNUMBER(AVERAGE('20250815_ETF_Options_Exhibits'!X1164:X1168)),AVERAGE('20250815_ETF_Options_Exhibits'!X1164:X1168),"")</f>
        <v/>
      </c>
      <c r="Y1168" s="3">
        <f>IF(ISNUMBER(AVERAGE('20250815_ETF_Options_Exhibits'!Y1164:Y1168)),AVERAGE('20250815_ETF_Options_Exhibits'!Y1164:Y1168),"")</f>
        <v/>
      </c>
      <c r="Z1168" s="3">
        <f>IF(ISNUMBER(AVERAGE('20250815_ETF_Options_Exhibits'!Z1164:Z1168)),AVERAGE('20250815_ETF_Options_Exhibits'!Z1164:Z1168),"")</f>
        <v/>
      </c>
      <c r="AA1168" s="3">
        <f>IF(ISNUMBER(AVERAGE('20250815_ETF_Options_Exhibits'!AA1164:AA1168)),AVERAGE('20250815_ETF_Options_Exhibits'!AA1164:AA1168),"")</f>
        <v/>
      </c>
    </row>
    <row r="1169">
      <c r="A1169" s="1" t="n">
        <v>43698</v>
      </c>
      <c r="B1169" s="3">
        <f>IF(ISNUMBER(AVERAGE('20250815_ETF_Options_Exhibits'!B1165:B1169)),AVERAGE('20250815_ETF_Options_Exhibits'!B1165:B1169),"")</f>
        <v/>
      </c>
      <c r="C1169" s="3">
        <f>IF(ISNUMBER(AVERAGE('20250815_ETF_Options_Exhibits'!C1165:C1169)),AVERAGE('20250815_ETF_Options_Exhibits'!C1165:C1169),"")</f>
        <v/>
      </c>
      <c r="D1169" s="3">
        <f>IF(ISNUMBER(AVERAGE('20250815_ETF_Options_Exhibits'!D1165:D1169)),AVERAGE('20250815_ETF_Options_Exhibits'!D1165:D1169),"")</f>
        <v/>
      </c>
      <c r="E1169" s="3">
        <f>IF(ISNUMBER(AVERAGE('20250815_ETF_Options_Exhibits'!E1165:E1169)),AVERAGE('20250815_ETF_Options_Exhibits'!E1165:E1169),"")</f>
        <v/>
      </c>
      <c r="F1169" s="3">
        <f>IF(ISNUMBER(AVERAGE('20250815_ETF_Options_Exhibits'!F1165:F1169)),AVERAGE('20250815_ETF_Options_Exhibits'!F1165:F1169),"")</f>
        <v/>
      </c>
      <c r="G1169" s="3">
        <f>IF(ISNUMBER(AVERAGE('20250815_ETF_Options_Exhibits'!G1165:G1169)),AVERAGE('20250815_ETF_Options_Exhibits'!G1165:G1169),"")</f>
        <v/>
      </c>
      <c r="H1169" s="3">
        <f>IF(ISNUMBER(AVERAGE('20250815_ETF_Options_Exhibits'!H1165:H1169)),AVERAGE('20250815_ETF_Options_Exhibits'!H1165:H1169),"")</f>
        <v/>
      </c>
      <c r="I1169" s="3">
        <f>IF(ISNUMBER(AVERAGE('20250815_ETF_Options_Exhibits'!I1165:I1169)),AVERAGE('20250815_ETF_Options_Exhibits'!I1165:I1169),"")</f>
        <v/>
      </c>
      <c r="J1169" s="3">
        <f>IF(ISNUMBER(AVERAGE('20250815_ETF_Options_Exhibits'!J1165:J1169)),AVERAGE('20250815_ETF_Options_Exhibits'!J1165:J1169),"")</f>
        <v/>
      </c>
      <c r="K1169" s="3">
        <f>IF(ISNUMBER(AVERAGE('20250815_ETF_Options_Exhibits'!K1165:K1169)),AVERAGE('20250815_ETF_Options_Exhibits'!K1165:K1169),"")</f>
        <v/>
      </c>
      <c r="L1169" s="3">
        <f>IF(ISNUMBER(AVERAGE('20250815_ETF_Options_Exhibits'!L1165:L1169)),AVERAGE('20250815_ETF_Options_Exhibits'!L1165:L1169),"")</f>
        <v/>
      </c>
      <c r="M1169" s="3">
        <f>IF(ISNUMBER(AVERAGE('20250815_ETF_Options_Exhibits'!M1165:M1169)),AVERAGE('20250815_ETF_Options_Exhibits'!M1165:M1169),"")</f>
        <v/>
      </c>
      <c r="N1169" s="3">
        <f>IF(ISNUMBER(AVERAGE('20250815_ETF_Options_Exhibits'!N1165:N1169)),AVERAGE('20250815_ETF_Options_Exhibits'!N1165:N1169),"")</f>
        <v/>
      </c>
      <c r="O1169" s="3">
        <f>IF(ISNUMBER(AVERAGE('20250815_ETF_Options_Exhibits'!O1165:O1169)),AVERAGE('20250815_ETF_Options_Exhibits'!O1165:O1169),"")</f>
        <v/>
      </c>
      <c r="P1169" s="3">
        <f>IF(ISNUMBER(AVERAGE('20250815_ETF_Options_Exhibits'!P1165:P1169)),AVERAGE('20250815_ETF_Options_Exhibits'!P1165:P1169),"")</f>
        <v/>
      </c>
      <c r="Q1169" s="3">
        <f>IF(ISNUMBER(AVERAGE('20250815_ETF_Options_Exhibits'!Q1165:Q1169)),AVERAGE('20250815_ETF_Options_Exhibits'!Q1165:Q1169),"")</f>
        <v/>
      </c>
      <c r="R1169" s="3">
        <f>IF(ISNUMBER(AVERAGE('20250815_ETF_Options_Exhibits'!R1165:R1169)),AVERAGE('20250815_ETF_Options_Exhibits'!R1165:R1169),"")</f>
        <v/>
      </c>
      <c r="S1169" s="3">
        <f>IF(ISNUMBER(AVERAGE('20250815_ETF_Options_Exhibits'!S1165:S1169)),AVERAGE('20250815_ETF_Options_Exhibits'!S1165:S1169),"")</f>
        <v/>
      </c>
      <c r="T1169" s="3">
        <f>IF(ISNUMBER(AVERAGE('20250815_ETF_Options_Exhibits'!T1165:T1169)),AVERAGE('20250815_ETF_Options_Exhibits'!T1165:T1169),"")</f>
        <v/>
      </c>
      <c r="U1169" s="3">
        <f>IF(ISNUMBER(AVERAGE('20250815_ETF_Options_Exhibits'!U1165:U1169)),AVERAGE('20250815_ETF_Options_Exhibits'!U1165:U1169),"")</f>
        <v/>
      </c>
      <c r="V1169" s="3">
        <f>IF(ISNUMBER(AVERAGE('20250815_ETF_Options_Exhibits'!V1165:V1169)),AVERAGE('20250815_ETF_Options_Exhibits'!V1165:V1169),"")</f>
        <v/>
      </c>
      <c r="W1169" s="3">
        <f>IF(ISNUMBER(AVERAGE('20250815_ETF_Options_Exhibits'!W1165:W1169)),AVERAGE('20250815_ETF_Options_Exhibits'!W1165:W1169),"")</f>
        <v/>
      </c>
      <c r="X1169" s="3">
        <f>IF(ISNUMBER(AVERAGE('20250815_ETF_Options_Exhibits'!X1165:X1169)),AVERAGE('20250815_ETF_Options_Exhibits'!X1165:X1169),"")</f>
        <v/>
      </c>
      <c r="Y1169" s="3">
        <f>IF(ISNUMBER(AVERAGE('20250815_ETF_Options_Exhibits'!Y1165:Y1169)),AVERAGE('20250815_ETF_Options_Exhibits'!Y1165:Y1169),"")</f>
        <v/>
      </c>
      <c r="Z1169" s="3">
        <f>IF(ISNUMBER(AVERAGE('20250815_ETF_Options_Exhibits'!Z1165:Z1169)),AVERAGE('20250815_ETF_Options_Exhibits'!Z1165:Z1169),"")</f>
        <v/>
      </c>
      <c r="AA1169" s="3">
        <f>IF(ISNUMBER(AVERAGE('20250815_ETF_Options_Exhibits'!AA1165:AA1169)),AVERAGE('20250815_ETF_Options_Exhibits'!AA1165:AA1169),"")</f>
        <v/>
      </c>
    </row>
    <row r="1170">
      <c r="A1170" s="1" t="n">
        <v>43699</v>
      </c>
      <c r="B1170" s="3">
        <f>IF(ISNUMBER(AVERAGE('20250815_ETF_Options_Exhibits'!B1166:B1170)),AVERAGE('20250815_ETF_Options_Exhibits'!B1166:B1170),"")</f>
        <v/>
      </c>
      <c r="C1170" s="3">
        <f>IF(ISNUMBER(AVERAGE('20250815_ETF_Options_Exhibits'!C1166:C1170)),AVERAGE('20250815_ETF_Options_Exhibits'!C1166:C1170),"")</f>
        <v/>
      </c>
      <c r="D1170" s="3">
        <f>IF(ISNUMBER(AVERAGE('20250815_ETF_Options_Exhibits'!D1166:D1170)),AVERAGE('20250815_ETF_Options_Exhibits'!D1166:D1170),"")</f>
        <v/>
      </c>
      <c r="E1170" s="3">
        <f>IF(ISNUMBER(AVERAGE('20250815_ETF_Options_Exhibits'!E1166:E1170)),AVERAGE('20250815_ETF_Options_Exhibits'!E1166:E1170),"")</f>
        <v/>
      </c>
      <c r="F1170" s="3">
        <f>IF(ISNUMBER(AVERAGE('20250815_ETF_Options_Exhibits'!F1166:F1170)),AVERAGE('20250815_ETF_Options_Exhibits'!F1166:F1170),"")</f>
        <v/>
      </c>
      <c r="G1170" s="3">
        <f>IF(ISNUMBER(AVERAGE('20250815_ETF_Options_Exhibits'!G1166:G1170)),AVERAGE('20250815_ETF_Options_Exhibits'!G1166:G1170),"")</f>
        <v/>
      </c>
      <c r="H1170" s="3">
        <f>IF(ISNUMBER(AVERAGE('20250815_ETF_Options_Exhibits'!H1166:H1170)),AVERAGE('20250815_ETF_Options_Exhibits'!H1166:H1170),"")</f>
        <v/>
      </c>
      <c r="I1170" s="3">
        <f>IF(ISNUMBER(AVERAGE('20250815_ETF_Options_Exhibits'!I1166:I1170)),AVERAGE('20250815_ETF_Options_Exhibits'!I1166:I1170),"")</f>
        <v/>
      </c>
      <c r="J1170" s="3">
        <f>IF(ISNUMBER(AVERAGE('20250815_ETF_Options_Exhibits'!J1166:J1170)),AVERAGE('20250815_ETF_Options_Exhibits'!J1166:J1170),"")</f>
        <v/>
      </c>
      <c r="K1170" s="3">
        <f>IF(ISNUMBER(AVERAGE('20250815_ETF_Options_Exhibits'!K1166:K1170)),AVERAGE('20250815_ETF_Options_Exhibits'!K1166:K1170),"")</f>
        <v/>
      </c>
      <c r="L1170" s="3">
        <f>IF(ISNUMBER(AVERAGE('20250815_ETF_Options_Exhibits'!L1166:L1170)),AVERAGE('20250815_ETF_Options_Exhibits'!L1166:L1170),"")</f>
        <v/>
      </c>
      <c r="M1170" s="3">
        <f>IF(ISNUMBER(AVERAGE('20250815_ETF_Options_Exhibits'!M1166:M1170)),AVERAGE('20250815_ETF_Options_Exhibits'!M1166:M1170),"")</f>
        <v/>
      </c>
      <c r="N1170" s="3">
        <f>IF(ISNUMBER(AVERAGE('20250815_ETF_Options_Exhibits'!N1166:N1170)),AVERAGE('20250815_ETF_Options_Exhibits'!N1166:N1170),"")</f>
        <v/>
      </c>
      <c r="O1170" s="3">
        <f>IF(ISNUMBER(AVERAGE('20250815_ETF_Options_Exhibits'!O1166:O1170)),AVERAGE('20250815_ETF_Options_Exhibits'!O1166:O1170),"")</f>
        <v/>
      </c>
      <c r="P1170" s="3">
        <f>IF(ISNUMBER(AVERAGE('20250815_ETF_Options_Exhibits'!P1166:P1170)),AVERAGE('20250815_ETF_Options_Exhibits'!P1166:P1170),"")</f>
        <v/>
      </c>
      <c r="Q1170" s="3">
        <f>IF(ISNUMBER(AVERAGE('20250815_ETF_Options_Exhibits'!Q1166:Q1170)),AVERAGE('20250815_ETF_Options_Exhibits'!Q1166:Q1170),"")</f>
        <v/>
      </c>
      <c r="R1170" s="3">
        <f>IF(ISNUMBER(AVERAGE('20250815_ETF_Options_Exhibits'!R1166:R1170)),AVERAGE('20250815_ETF_Options_Exhibits'!R1166:R1170),"")</f>
        <v/>
      </c>
      <c r="S1170" s="3">
        <f>IF(ISNUMBER(AVERAGE('20250815_ETF_Options_Exhibits'!S1166:S1170)),AVERAGE('20250815_ETF_Options_Exhibits'!S1166:S1170),"")</f>
        <v/>
      </c>
      <c r="T1170" s="3">
        <f>IF(ISNUMBER(AVERAGE('20250815_ETF_Options_Exhibits'!T1166:T1170)),AVERAGE('20250815_ETF_Options_Exhibits'!T1166:T1170),"")</f>
        <v/>
      </c>
      <c r="U1170" s="3">
        <f>IF(ISNUMBER(AVERAGE('20250815_ETF_Options_Exhibits'!U1166:U1170)),AVERAGE('20250815_ETF_Options_Exhibits'!U1166:U1170),"")</f>
        <v/>
      </c>
      <c r="V1170" s="3">
        <f>IF(ISNUMBER(AVERAGE('20250815_ETF_Options_Exhibits'!V1166:V1170)),AVERAGE('20250815_ETF_Options_Exhibits'!V1166:V1170),"")</f>
        <v/>
      </c>
      <c r="W1170" s="3">
        <f>IF(ISNUMBER(AVERAGE('20250815_ETF_Options_Exhibits'!W1166:W1170)),AVERAGE('20250815_ETF_Options_Exhibits'!W1166:W1170),"")</f>
        <v/>
      </c>
      <c r="X1170" s="3">
        <f>IF(ISNUMBER(AVERAGE('20250815_ETF_Options_Exhibits'!X1166:X1170)),AVERAGE('20250815_ETF_Options_Exhibits'!X1166:X1170),"")</f>
        <v/>
      </c>
      <c r="Y1170" s="3">
        <f>IF(ISNUMBER(AVERAGE('20250815_ETF_Options_Exhibits'!Y1166:Y1170)),AVERAGE('20250815_ETF_Options_Exhibits'!Y1166:Y1170),"")</f>
        <v/>
      </c>
      <c r="Z1170" s="3">
        <f>IF(ISNUMBER(AVERAGE('20250815_ETF_Options_Exhibits'!Z1166:Z1170)),AVERAGE('20250815_ETF_Options_Exhibits'!Z1166:Z1170),"")</f>
        <v/>
      </c>
      <c r="AA1170" s="3">
        <f>IF(ISNUMBER(AVERAGE('20250815_ETF_Options_Exhibits'!AA1166:AA1170)),AVERAGE('20250815_ETF_Options_Exhibits'!AA1166:AA1170),"")</f>
        <v/>
      </c>
    </row>
    <row r="1171">
      <c r="A1171" s="1" t="n">
        <v>43700</v>
      </c>
      <c r="B1171" s="3">
        <f>IF(ISNUMBER(AVERAGE('20250815_ETF_Options_Exhibits'!B1167:B1171)),AVERAGE('20250815_ETF_Options_Exhibits'!B1167:B1171),"")</f>
        <v/>
      </c>
      <c r="C1171" s="3">
        <f>IF(ISNUMBER(AVERAGE('20250815_ETF_Options_Exhibits'!C1167:C1171)),AVERAGE('20250815_ETF_Options_Exhibits'!C1167:C1171),"")</f>
        <v/>
      </c>
      <c r="D1171" s="3">
        <f>IF(ISNUMBER(AVERAGE('20250815_ETF_Options_Exhibits'!D1167:D1171)),AVERAGE('20250815_ETF_Options_Exhibits'!D1167:D1171),"")</f>
        <v/>
      </c>
      <c r="E1171" s="3">
        <f>IF(ISNUMBER(AVERAGE('20250815_ETF_Options_Exhibits'!E1167:E1171)),AVERAGE('20250815_ETF_Options_Exhibits'!E1167:E1171),"")</f>
        <v/>
      </c>
      <c r="F1171" s="3">
        <f>IF(ISNUMBER(AVERAGE('20250815_ETF_Options_Exhibits'!F1167:F1171)),AVERAGE('20250815_ETF_Options_Exhibits'!F1167:F1171),"")</f>
        <v/>
      </c>
      <c r="G1171" s="3">
        <f>IF(ISNUMBER(AVERAGE('20250815_ETF_Options_Exhibits'!G1167:G1171)),AVERAGE('20250815_ETF_Options_Exhibits'!G1167:G1171),"")</f>
        <v/>
      </c>
      <c r="H1171" s="3">
        <f>IF(ISNUMBER(AVERAGE('20250815_ETF_Options_Exhibits'!H1167:H1171)),AVERAGE('20250815_ETF_Options_Exhibits'!H1167:H1171),"")</f>
        <v/>
      </c>
      <c r="I1171" s="3">
        <f>IF(ISNUMBER(AVERAGE('20250815_ETF_Options_Exhibits'!I1167:I1171)),AVERAGE('20250815_ETF_Options_Exhibits'!I1167:I1171),"")</f>
        <v/>
      </c>
      <c r="J1171" s="3">
        <f>IF(ISNUMBER(AVERAGE('20250815_ETF_Options_Exhibits'!J1167:J1171)),AVERAGE('20250815_ETF_Options_Exhibits'!J1167:J1171),"")</f>
        <v/>
      </c>
      <c r="K1171" s="3">
        <f>IF(ISNUMBER(AVERAGE('20250815_ETF_Options_Exhibits'!K1167:K1171)),AVERAGE('20250815_ETF_Options_Exhibits'!K1167:K1171),"")</f>
        <v/>
      </c>
      <c r="L1171" s="3">
        <f>IF(ISNUMBER(AVERAGE('20250815_ETF_Options_Exhibits'!L1167:L1171)),AVERAGE('20250815_ETF_Options_Exhibits'!L1167:L1171),"")</f>
        <v/>
      </c>
      <c r="M1171" s="3">
        <f>IF(ISNUMBER(AVERAGE('20250815_ETF_Options_Exhibits'!M1167:M1171)),AVERAGE('20250815_ETF_Options_Exhibits'!M1167:M1171),"")</f>
        <v/>
      </c>
      <c r="N1171" s="3">
        <f>IF(ISNUMBER(AVERAGE('20250815_ETF_Options_Exhibits'!N1167:N1171)),AVERAGE('20250815_ETF_Options_Exhibits'!N1167:N1171),"")</f>
        <v/>
      </c>
      <c r="O1171" s="3">
        <f>IF(ISNUMBER(AVERAGE('20250815_ETF_Options_Exhibits'!O1167:O1171)),AVERAGE('20250815_ETF_Options_Exhibits'!O1167:O1171),"")</f>
        <v/>
      </c>
      <c r="P1171" s="3">
        <f>IF(ISNUMBER(AVERAGE('20250815_ETF_Options_Exhibits'!P1167:P1171)),AVERAGE('20250815_ETF_Options_Exhibits'!P1167:P1171),"")</f>
        <v/>
      </c>
      <c r="Q1171" s="3">
        <f>IF(ISNUMBER(AVERAGE('20250815_ETF_Options_Exhibits'!Q1167:Q1171)),AVERAGE('20250815_ETF_Options_Exhibits'!Q1167:Q1171),"")</f>
        <v/>
      </c>
      <c r="R1171" s="3">
        <f>IF(ISNUMBER(AVERAGE('20250815_ETF_Options_Exhibits'!R1167:R1171)),AVERAGE('20250815_ETF_Options_Exhibits'!R1167:R1171),"")</f>
        <v/>
      </c>
      <c r="S1171" s="3">
        <f>IF(ISNUMBER(AVERAGE('20250815_ETF_Options_Exhibits'!S1167:S1171)),AVERAGE('20250815_ETF_Options_Exhibits'!S1167:S1171),"")</f>
        <v/>
      </c>
      <c r="T1171" s="3">
        <f>IF(ISNUMBER(AVERAGE('20250815_ETF_Options_Exhibits'!T1167:T1171)),AVERAGE('20250815_ETF_Options_Exhibits'!T1167:T1171),"")</f>
        <v/>
      </c>
      <c r="U1171" s="3">
        <f>IF(ISNUMBER(AVERAGE('20250815_ETF_Options_Exhibits'!U1167:U1171)),AVERAGE('20250815_ETF_Options_Exhibits'!U1167:U1171),"")</f>
        <v/>
      </c>
      <c r="V1171" s="3">
        <f>IF(ISNUMBER(AVERAGE('20250815_ETF_Options_Exhibits'!V1167:V1171)),AVERAGE('20250815_ETF_Options_Exhibits'!V1167:V1171),"")</f>
        <v/>
      </c>
      <c r="W1171" s="3">
        <f>IF(ISNUMBER(AVERAGE('20250815_ETF_Options_Exhibits'!W1167:W1171)),AVERAGE('20250815_ETF_Options_Exhibits'!W1167:W1171),"")</f>
        <v/>
      </c>
      <c r="X1171" s="3">
        <f>IF(ISNUMBER(AVERAGE('20250815_ETF_Options_Exhibits'!X1167:X1171)),AVERAGE('20250815_ETF_Options_Exhibits'!X1167:X1171),"")</f>
        <v/>
      </c>
      <c r="Y1171" s="3">
        <f>IF(ISNUMBER(AVERAGE('20250815_ETF_Options_Exhibits'!Y1167:Y1171)),AVERAGE('20250815_ETF_Options_Exhibits'!Y1167:Y1171),"")</f>
        <v/>
      </c>
      <c r="Z1171" s="3">
        <f>IF(ISNUMBER(AVERAGE('20250815_ETF_Options_Exhibits'!Z1167:Z1171)),AVERAGE('20250815_ETF_Options_Exhibits'!Z1167:Z1171),"")</f>
        <v/>
      </c>
      <c r="AA1171" s="3">
        <f>IF(ISNUMBER(AVERAGE('20250815_ETF_Options_Exhibits'!AA1167:AA1171)),AVERAGE('20250815_ETF_Options_Exhibits'!AA1167:AA1171),"")</f>
        <v/>
      </c>
    </row>
    <row r="1172">
      <c r="A1172" s="1" t="n">
        <v>43703</v>
      </c>
      <c r="B1172" s="3">
        <f>IF(ISNUMBER(AVERAGE('20250815_ETF_Options_Exhibits'!B1168:B1172)),AVERAGE('20250815_ETF_Options_Exhibits'!B1168:B1172),"")</f>
        <v/>
      </c>
      <c r="C1172" s="3">
        <f>IF(ISNUMBER(AVERAGE('20250815_ETF_Options_Exhibits'!C1168:C1172)),AVERAGE('20250815_ETF_Options_Exhibits'!C1168:C1172),"")</f>
        <v/>
      </c>
      <c r="D1172" s="3">
        <f>IF(ISNUMBER(AVERAGE('20250815_ETF_Options_Exhibits'!D1168:D1172)),AVERAGE('20250815_ETF_Options_Exhibits'!D1168:D1172),"")</f>
        <v/>
      </c>
      <c r="E1172" s="3">
        <f>IF(ISNUMBER(AVERAGE('20250815_ETF_Options_Exhibits'!E1168:E1172)),AVERAGE('20250815_ETF_Options_Exhibits'!E1168:E1172),"")</f>
        <v/>
      </c>
      <c r="F1172" s="3">
        <f>IF(ISNUMBER(AVERAGE('20250815_ETF_Options_Exhibits'!F1168:F1172)),AVERAGE('20250815_ETF_Options_Exhibits'!F1168:F1172),"")</f>
        <v/>
      </c>
      <c r="G1172" s="3">
        <f>IF(ISNUMBER(AVERAGE('20250815_ETF_Options_Exhibits'!G1168:G1172)),AVERAGE('20250815_ETF_Options_Exhibits'!G1168:G1172),"")</f>
        <v/>
      </c>
      <c r="H1172" s="3">
        <f>IF(ISNUMBER(AVERAGE('20250815_ETF_Options_Exhibits'!H1168:H1172)),AVERAGE('20250815_ETF_Options_Exhibits'!H1168:H1172),"")</f>
        <v/>
      </c>
      <c r="I1172" s="3">
        <f>IF(ISNUMBER(AVERAGE('20250815_ETF_Options_Exhibits'!I1168:I1172)),AVERAGE('20250815_ETF_Options_Exhibits'!I1168:I1172),"")</f>
        <v/>
      </c>
      <c r="J1172" s="3">
        <f>IF(ISNUMBER(AVERAGE('20250815_ETF_Options_Exhibits'!J1168:J1172)),AVERAGE('20250815_ETF_Options_Exhibits'!J1168:J1172),"")</f>
        <v/>
      </c>
      <c r="K1172" s="3">
        <f>IF(ISNUMBER(AVERAGE('20250815_ETF_Options_Exhibits'!K1168:K1172)),AVERAGE('20250815_ETF_Options_Exhibits'!K1168:K1172),"")</f>
        <v/>
      </c>
      <c r="L1172" s="3">
        <f>IF(ISNUMBER(AVERAGE('20250815_ETF_Options_Exhibits'!L1168:L1172)),AVERAGE('20250815_ETF_Options_Exhibits'!L1168:L1172),"")</f>
        <v/>
      </c>
      <c r="M1172" s="3">
        <f>IF(ISNUMBER(AVERAGE('20250815_ETF_Options_Exhibits'!M1168:M1172)),AVERAGE('20250815_ETF_Options_Exhibits'!M1168:M1172),"")</f>
        <v/>
      </c>
      <c r="N1172" s="3">
        <f>IF(ISNUMBER(AVERAGE('20250815_ETF_Options_Exhibits'!N1168:N1172)),AVERAGE('20250815_ETF_Options_Exhibits'!N1168:N1172),"")</f>
        <v/>
      </c>
      <c r="O1172" s="3">
        <f>IF(ISNUMBER(AVERAGE('20250815_ETF_Options_Exhibits'!O1168:O1172)),AVERAGE('20250815_ETF_Options_Exhibits'!O1168:O1172),"")</f>
        <v/>
      </c>
      <c r="P1172" s="3">
        <f>IF(ISNUMBER(AVERAGE('20250815_ETF_Options_Exhibits'!P1168:P1172)),AVERAGE('20250815_ETF_Options_Exhibits'!P1168:P1172),"")</f>
        <v/>
      </c>
      <c r="Q1172" s="3">
        <f>IF(ISNUMBER(AVERAGE('20250815_ETF_Options_Exhibits'!Q1168:Q1172)),AVERAGE('20250815_ETF_Options_Exhibits'!Q1168:Q1172),"")</f>
        <v/>
      </c>
      <c r="R1172" s="3">
        <f>IF(ISNUMBER(AVERAGE('20250815_ETF_Options_Exhibits'!R1168:R1172)),AVERAGE('20250815_ETF_Options_Exhibits'!R1168:R1172),"")</f>
        <v/>
      </c>
      <c r="S1172" s="3">
        <f>IF(ISNUMBER(AVERAGE('20250815_ETF_Options_Exhibits'!S1168:S1172)),AVERAGE('20250815_ETF_Options_Exhibits'!S1168:S1172),"")</f>
        <v/>
      </c>
      <c r="T1172" s="3">
        <f>IF(ISNUMBER(AVERAGE('20250815_ETF_Options_Exhibits'!T1168:T1172)),AVERAGE('20250815_ETF_Options_Exhibits'!T1168:T1172),"")</f>
        <v/>
      </c>
      <c r="U1172" s="3">
        <f>IF(ISNUMBER(AVERAGE('20250815_ETF_Options_Exhibits'!U1168:U1172)),AVERAGE('20250815_ETF_Options_Exhibits'!U1168:U1172),"")</f>
        <v/>
      </c>
      <c r="V1172" s="3">
        <f>IF(ISNUMBER(AVERAGE('20250815_ETF_Options_Exhibits'!V1168:V1172)),AVERAGE('20250815_ETF_Options_Exhibits'!V1168:V1172),"")</f>
        <v/>
      </c>
      <c r="W1172" s="3">
        <f>IF(ISNUMBER(AVERAGE('20250815_ETF_Options_Exhibits'!W1168:W1172)),AVERAGE('20250815_ETF_Options_Exhibits'!W1168:W1172),"")</f>
        <v/>
      </c>
      <c r="X1172" s="3">
        <f>IF(ISNUMBER(AVERAGE('20250815_ETF_Options_Exhibits'!X1168:X1172)),AVERAGE('20250815_ETF_Options_Exhibits'!X1168:X1172),"")</f>
        <v/>
      </c>
      <c r="Y1172" s="3">
        <f>IF(ISNUMBER(AVERAGE('20250815_ETF_Options_Exhibits'!Y1168:Y1172)),AVERAGE('20250815_ETF_Options_Exhibits'!Y1168:Y1172),"")</f>
        <v/>
      </c>
      <c r="Z1172" s="3">
        <f>IF(ISNUMBER(AVERAGE('20250815_ETF_Options_Exhibits'!Z1168:Z1172)),AVERAGE('20250815_ETF_Options_Exhibits'!Z1168:Z1172),"")</f>
        <v/>
      </c>
      <c r="AA1172" s="3">
        <f>IF(ISNUMBER(AVERAGE('20250815_ETF_Options_Exhibits'!AA1168:AA1172)),AVERAGE('20250815_ETF_Options_Exhibits'!AA1168:AA1172),"")</f>
        <v/>
      </c>
    </row>
    <row r="1173">
      <c r="A1173" s="1" t="n">
        <v>43704</v>
      </c>
      <c r="B1173" s="3">
        <f>IF(ISNUMBER(AVERAGE('20250815_ETF_Options_Exhibits'!B1169:B1173)),AVERAGE('20250815_ETF_Options_Exhibits'!B1169:B1173),"")</f>
        <v/>
      </c>
      <c r="C1173" s="3">
        <f>IF(ISNUMBER(AVERAGE('20250815_ETF_Options_Exhibits'!C1169:C1173)),AVERAGE('20250815_ETF_Options_Exhibits'!C1169:C1173),"")</f>
        <v/>
      </c>
      <c r="D1173" s="3">
        <f>IF(ISNUMBER(AVERAGE('20250815_ETF_Options_Exhibits'!D1169:D1173)),AVERAGE('20250815_ETF_Options_Exhibits'!D1169:D1173),"")</f>
        <v/>
      </c>
      <c r="E1173" s="3">
        <f>IF(ISNUMBER(AVERAGE('20250815_ETF_Options_Exhibits'!E1169:E1173)),AVERAGE('20250815_ETF_Options_Exhibits'!E1169:E1173),"")</f>
        <v/>
      </c>
      <c r="F1173" s="3">
        <f>IF(ISNUMBER(AVERAGE('20250815_ETF_Options_Exhibits'!F1169:F1173)),AVERAGE('20250815_ETF_Options_Exhibits'!F1169:F1173),"")</f>
        <v/>
      </c>
      <c r="G1173" s="3">
        <f>IF(ISNUMBER(AVERAGE('20250815_ETF_Options_Exhibits'!G1169:G1173)),AVERAGE('20250815_ETF_Options_Exhibits'!G1169:G1173),"")</f>
        <v/>
      </c>
      <c r="H1173" s="3">
        <f>IF(ISNUMBER(AVERAGE('20250815_ETF_Options_Exhibits'!H1169:H1173)),AVERAGE('20250815_ETF_Options_Exhibits'!H1169:H1173),"")</f>
        <v/>
      </c>
      <c r="I1173" s="3">
        <f>IF(ISNUMBER(AVERAGE('20250815_ETF_Options_Exhibits'!I1169:I1173)),AVERAGE('20250815_ETF_Options_Exhibits'!I1169:I1173),"")</f>
        <v/>
      </c>
      <c r="J1173" s="3">
        <f>IF(ISNUMBER(AVERAGE('20250815_ETF_Options_Exhibits'!J1169:J1173)),AVERAGE('20250815_ETF_Options_Exhibits'!J1169:J1173),"")</f>
        <v/>
      </c>
      <c r="K1173" s="3">
        <f>IF(ISNUMBER(AVERAGE('20250815_ETF_Options_Exhibits'!K1169:K1173)),AVERAGE('20250815_ETF_Options_Exhibits'!K1169:K1173),"")</f>
        <v/>
      </c>
      <c r="L1173" s="3">
        <f>IF(ISNUMBER(AVERAGE('20250815_ETF_Options_Exhibits'!L1169:L1173)),AVERAGE('20250815_ETF_Options_Exhibits'!L1169:L1173),"")</f>
        <v/>
      </c>
      <c r="M1173" s="3">
        <f>IF(ISNUMBER(AVERAGE('20250815_ETF_Options_Exhibits'!M1169:M1173)),AVERAGE('20250815_ETF_Options_Exhibits'!M1169:M1173),"")</f>
        <v/>
      </c>
      <c r="N1173" s="3">
        <f>IF(ISNUMBER(AVERAGE('20250815_ETF_Options_Exhibits'!N1169:N1173)),AVERAGE('20250815_ETF_Options_Exhibits'!N1169:N1173),"")</f>
        <v/>
      </c>
      <c r="O1173" s="3">
        <f>IF(ISNUMBER(AVERAGE('20250815_ETF_Options_Exhibits'!O1169:O1173)),AVERAGE('20250815_ETF_Options_Exhibits'!O1169:O1173),"")</f>
        <v/>
      </c>
      <c r="P1173" s="3">
        <f>IF(ISNUMBER(AVERAGE('20250815_ETF_Options_Exhibits'!P1169:P1173)),AVERAGE('20250815_ETF_Options_Exhibits'!P1169:P1173),"")</f>
        <v/>
      </c>
      <c r="Q1173" s="3">
        <f>IF(ISNUMBER(AVERAGE('20250815_ETF_Options_Exhibits'!Q1169:Q1173)),AVERAGE('20250815_ETF_Options_Exhibits'!Q1169:Q1173),"")</f>
        <v/>
      </c>
      <c r="R1173" s="3">
        <f>IF(ISNUMBER(AVERAGE('20250815_ETF_Options_Exhibits'!R1169:R1173)),AVERAGE('20250815_ETF_Options_Exhibits'!R1169:R1173),"")</f>
        <v/>
      </c>
      <c r="S1173" s="3">
        <f>IF(ISNUMBER(AVERAGE('20250815_ETF_Options_Exhibits'!S1169:S1173)),AVERAGE('20250815_ETF_Options_Exhibits'!S1169:S1173),"")</f>
        <v/>
      </c>
      <c r="T1173" s="3">
        <f>IF(ISNUMBER(AVERAGE('20250815_ETF_Options_Exhibits'!T1169:T1173)),AVERAGE('20250815_ETF_Options_Exhibits'!T1169:T1173),"")</f>
        <v/>
      </c>
      <c r="U1173" s="3">
        <f>IF(ISNUMBER(AVERAGE('20250815_ETF_Options_Exhibits'!U1169:U1173)),AVERAGE('20250815_ETF_Options_Exhibits'!U1169:U1173),"")</f>
        <v/>
      </c>
      <c r="V1173" s="3">
        <f>IF(ISNUMBER(AVERAGE('20250815_ETF_Options_Exhibits'!V1169:V1173)),AVERAGE('20250815_ETF_Options_Exhibits'!V1169:V1173),"")</f>
        <v/>
      </c>
      <c r="W1173" s="3">
        <f>IF(ISNUMBER(AVERAGE('20250815_ETF_Options_Exhibits'!W1169:W1173)),AVERAGE('20250815_ETF_Options_Exhibits'!W1169:W1173),"")</f>
        <v/>
      </c>
      <c r="X1173" s="3">
        <f>IF(ISNUMBER(AVERAGE('20250815_ETF_Options_Exhibits'!X1169:X1173)),AVERAGE('20250815_ETF_Options_Exhibits'!X1169:X1173),"")</f>
        <v/>
      </c>
      <c r="Y1173" s="3">
        <f>IF(ISNUMBER(AVERAGE('20250815_ETF_Options_Exhibits'!Y1169:Y1173)),AVERAGE('20250815_ETF_Options_Exhibits'!Y1169:Y1173),"")</f>
        <v/>
      </c>
      <c r="Z1173" s="3">
        <f>IF(ISNUMBER(AVERAGE('20250815_ETF_Options_Exhibits'!Z1169:Z1173)),AVERAGE('20250815_ETF_Options_Exhibits'!Z1169:Z1173),"")</f>
        <v/>
      </c>
      <c r="AA1173" s="3">
        <f>IF(ISNUMBER(AVERAGE('20250815_ETF_Options_Exhibits'!AA1169:AA1173)),AVERAGE('20250815_ETF_Options_Exhibits'!AA1169:AA1173),"")</f>
        <v/>
      </c>
    </row>
    <row r="1174">
      <c r="A1174" s="1" t="n">
        <v>43705</v>
      </c>
      <c r="B1174" s="3">
        <f>IF(ISNUMBER(AVERAGE('20250815_ETF_Options_Exhibits'!B1170:B1174)),AVERAGE('20250815_ETF_Options_Exhibits'!B1170:B1174),"")</f>
        <v/>
      </c>
      <c r="C1174" s="3">
        <f>IF(ISNUMBER(AVERAGE('20250815_ETF_Options_Exhibits'!C1170:C1174)),AVERAGE('20250815_ETF_Options_Exhibits'!C1170:C1174),"")</f>
        <v/>
      </c>
      <c r="D1174" s="3">
        <f>IF(ISNUMBER(AVERAGE('20250815_ETF_Options_Exhibits'!D1170:D1174)),AVERAGE('20250815_ETF_Options_Exhibits'!D1170:D1174),"")</f>
        <v/>
      </c>
      <c r="E1174" s="3">
        <f>IF(ISNUMBER(AVERAGE('20250815_ETF_Options_Exhibits'!E1170:E1174)),AVERAGE('20250815_ETF_Options_Exhibits'!E1170:E1174),"")</f>
        <v/>
      </c>
      <c r="F1174" s="3">
        <f>IF(ISNUMBER(AVERAGE('20250815_ETF_Options_Exhibits'!F1170:F1174)),AVERAGE('20250815_ETF_Options_Exhibits'!F1170:F1174),"")</f>
        <v/>
      </c>
      <c r="G1174" s="3">
        <f>IF(ISNUMBER(AVERAGE('20250815_ETF_Options_Exhibits'!G1170:G1174)),AVERAGE('20250815_ETF_Options_Exhibits'!G1170:G1174),"")</f>
        <v/>
      </c>
      <c r="H1174" s="3">
        <f>IF(ISNUMBER(AVERAGE('20250815_ETF_Options_Exhibits'!H1170:H1174)),AVERAGE('20250815_ETF_Options_Exhibits'!H1170:H1174),"")</f>
        <v/>
      </c>
      <c r="I1174" s="3">
        <f>IF(ISNUMBER(AVERAGE('20250815_ETF_Options_Exhibits'!I1170:I1174)),AVERAGE('20250815_ETF_Options_Exhibits'!I1170:I1174),"")</f>
        <v/>
      </c>
      <c r="J1174" s="3">
        <f>IF(ISNUMBER(AVERAGE('20250815_ETF_Options_Exhibits'!J1170:J1174)),AVERAGE('20250815_ETF_Options_Exhibits'!J1170:J1174),"")</f>
        <v/>
      </c>
      <c r="K1174" s="3">
        <f>IF(ISNUMBER(AVERAGE('20250815_ETF_Options_Exhibits'!K1170:K1174)),AVERAGE('20250815_ETF_Options_Exhibits'!K1170:K1174),"")</f>
        <v/>
      </c>
      <c r="L1174" s="3">
        <f>IF(ISNUMBER(AVERAGE('20250815_ETF_Options_Exhibits'!L1170:L1174)),AVERAGE('20250815_ETF_Options_Exhibits'!L1170:L1174),"")</f>
        <v/>
      </c>
      <c r="M1174" s="3">
        <f>IF(ISNUMBER(AVERAGE('20250815_ETF_Options_Exhibits'!M1170:M1174)),AVERAGE('20250815_ETF_Options_Exhibits'!M1170:M1174),"")</f>
        <v/>
      </c>
      <c r="N1174" s="3">
        <f>IF(ISNUMBER(AVERAGE('20250815_ETF_Options_Exhibits'!N1170:N1174)),AVERAGE('20250815_ETF_Options_Exhibits'!N1170:N1174),"")</f>
        <v/>
      </c>
      <c r="O1174" s="3">
        <f>IF(ISNUMBER(AVERAGE('20250815_ETF_Options_Exhibits'!O1170:O1174)),AVERAGE('20250815_ETF_Options_Exhibits'!O1170:O1174),"")</f>
        <v/>
      </c>
      <c r="P1174" s="3">
        <f>IF(ISNUMBER(AVERAGE('20250815_ETF_Options_Exhibits'!P1170:P1174)),AVERAGE('20250815_ETF_Options_Exhibits'!P1170:P1174),"")</f>
        <v/>
      </c>
      <c r="Q1174" s="3">
        <f>IF(ISNUMBER(AVERAGE('20250815_ETF_Options_Exhibits'!Q1170:Q1174)),AVERAGE('20250815_ETF_Options_Exhibits'!Q1170:Q1174),"")</f>
        <v/>
      </c>
      <c r="R1174" s="3">
        <f>IF(ISNUMBER(AVERAGE('20250815_ETF_Options_Exhibits'!R1170:R1174)),AVERAGE('20250815_ETF_Options_Exhibits'!R1170:R1174),"")</f>
        <v/>
      </c>
      <c r="S1174" s="3">
        <f>IF(ISNUMBER(AVERAGE('20250815_ETF_Options_Exhibits'!S1170:S1174)),AVERAGE('20250815_ETF_Options_Exhibits'!S1170:S1174),"")</f>
        <v/>
      </c>
      <c r="T1174" s="3">
        <f>IF(ISNUMBER(AVERAGE('20250815_ETF_Options_Exhibits'!T1170:T1174)),AVERAGE('20250815_ETF_Options_Exhibits'!T1170:T1174),"")</f>
        <v/>
      </c>
      <c r="U1174" s="3">
        <f>IF(ISNUMBER(AVERAGE('20250815_ETF_Options_Exhibits'!U1170:U1174)),AVERAGE('20250815_ETF_Options_Exhibits'!U1170:U1174),"")</f>
        <v/>
      </c>
      <c r="V1174" s="3">
        <f>IF(ISNUMBER(AVERAGE('20250815_ETF_Options_Exhibits'!V1170:V1174)),AVERAGE('20250815_ETF_Options_Exhibits'!V1170:V1174),"")</f>
        <v/>
      </c>
      <c r="W1174" s="3">
        <f>IF(ISNUMBER(AVERAGE('20250815_ETF_Options_Exhibits'!W1170:W1174)),AVERAGE('20250815_ETF_Options_Exhibits'!W1170:W1174),"")</f>
        <v/>
      </c>
      <c r="X1174" s="3">
        <f>IF(ISNUMBER(AVERAGE('20250815_ETF_Options_Exhibits'!X1170:X1174)),AVERAGE('20250815_ETF_Options_Exhibits'!X1170:X1174),"")</f>
        <v/>
      </c>
      <c r="Y1174" s="3">
        <f>IF(ISNUMBER(AVERAGE('20250815_ETF_Options_Exhibits'!Y1170:Y1174)),AVERAGE('20250815_ETF_Options_Exhibits'!Y1170:Y1174),"")</f>
        <v/>
      </c>
      <c r="Z1174" s="3">
        <f>IF(ISNUMBER(AVERAGE('20250815_ETF_Options_Exhibits'!Z1170:Z1174)),AVERAGE('20250815_ETF_Options_Exhibits'!Z1170:Z1174),"")</f>
        <v/>
      </c>
      <c r="AA1174" s="3">
        <f>IF(ISNUMBER(AVERAGE('20250815_ETF_Options_Exhibits'!AA1170:AA1174)),AVERAGE('20250815_ETF_Options_Exhibits'!AA1170:AA1174),"")</f>
        <v/>
      </c>
    </row>
    <row r="1175">
      <c r="A1175" s="1" t="n">
        <v>43706</v>
      </c>
      <c r="B1175" s="3">
        <f>IF(ISNUMBER(AVERAGE('20250815_ETF_Options_Exhibits'!B1171:B1175)),AVERAGE('20250815_ETF_Options_Exhibits'!B1171:B1175),"")</f>
        <v/>
      </c>
      <c r="C1175" s="3">
        <f>IF(ISNUMBER(AVERAGE('20250815_ETF_Options_Exhibits'!C1171:C1175)),AVERAGE('20250815_ETF_Options_Exhibits'!C1171:C1175),"")</f>
        <v/>
      </c>
      <c r="D1175" s="3">
        <f>IF(ISNUMBER(AVERAGE('20250815_ETF_Options_Exhibits'!D1171:D1175)),AVERAGE('20250815_ETF_Options_Exhibits'!D1171:D1175),"")</f>
        <v/>
      </c>
      <c r="E1175" s="3">
        <f>IF(ISNUMBER(AVERAGE('20250815_ETF_Options_Exhibits'!E1171:E1175)),AVERAGE('20250815_ETF_Options_Exhibits'!E1171:E1175),"")</f>
        <v/>
      </c>
      <c r="F1175" s="3">
        <f>IF(ISNUMBER(AVERAGE('20250815_ETF_Options_Exhibits'!F1171:F1175)),AVERAGE('20250815_ETF_Options_Exhibits'!F1171:F1175),"")</f>
        <v/>
      </c>
      <c r="G1175" s="3">
        <f>IF(ISNUMBER(AVERAGE('20250815_ETF_Options_Exhibits'!G1171:G1175)),AVERAGE('20250815_ETF_Options_Exhibits'!G1171:G1175),"")</f>
        <v/>
      </c>
      <c r="H1175" s="3">
        <f>IF(ISNUMBER(AVERAGE('20250815_ETF_Options_Exhibits'!H1171:H1175)),AVERAGE('20250815_ETF_Options_Exhibits'!H1171:H1175),"")</f>
        <v/>
      </c>
      <c r="I1175" s="3">
        <f>IF(ISNUMBER(AVERAGE('20250815_ETF_Options_Exhibits'!I1171:I1175)),AVERAGE('20250815_ETF_Options_Exhibits'!I1171:I1175),"")</f>
        <v/>
      </c>
      <c r="J1175" s="3">
        <f>IF(ISNUMBER(AVERAGE('20250815_ETF_Options_Exhibits'!J1171:J1175)),AVERAGE('20250815_ETF_Options_Exhibits'!J1171:J1175),"")</f>
        <v/>
      </c>
      <c r="K1175" s="3">
        <f>IF(ISNUMBER(AVERAGE('20250815_ETF_Options_Exhibits'!K1171:K1175)),AVERAGE('20250815_ETF_Options_Exhibits'!K1171:K1175),"")</f>
        <v/>
      </c>
      <c r="L1175" s="3">
        <f>IF(ISNUMBER(AVERAGE('20250815_ETF_Options_Exhibits'!L1171:L1175)),AVERAGE('20250815_ETF_Options_Exhibits'!L1171:L1175),"")</f>
        <v/>
      </c>
      <c r="M1175" s="3">
        <f>IF(ISNUMBER(AVERAGE('20250815_ETF_Options_Exhibits'!M1171:M1175)),AVERAGE('20250815_ETF_Options_Exhibits'!M1171:M1175),"")</f>
        <v/>
      </c>
      <c r="N1175" s="3">
        <f>IF(ISNUMBER(AVERAGE('20250815_ETF_Options_Exhibits'!N1171:N1175)),AVERAGE('20250815_ETF_Options_Exhibits'!N1171:N1175),"")</f>
        <v/>
      </c>
      <c r="O1175" s="3">
        <f>IF(ISNUMBER(AVERAGE('20250815_ETF_Options_Exhibits'!O1171:O1175)),AVERAGE('20250815_ETF_Options_Exhibits'!O1171:O1175),"")</f>
        <v/>
      </c>
      <c r="P1175" s="3">
        <f>IF(ISNUMBER(AVERAGE('20250815_ETF_Options_Exhibits'!P1171:P1175)),AVERAGE('20250815_ETF_Options_Exhibits'!P1171:P1175),"")</f>
        <v/>
      </c>
      <c r="Q1175" s="3">
        <f>IF(ISNUMBER(AVERAGE('20250815_ETF_Options_Exhibits'!Q1171:Q1175)),AVERAGE('20250815_ETF_Options_Exhibits'!Q1171:Q1175),"")</f>
        <v/>
      </c>
      <c r="R1175" s="3">
        <f>IF(ISNUMBER(AVERAGE('20250815_ETF_Options_Exhibits'!R1171:R1175)),AVERAGE('20250815_ETF_Options_Exhibits'!R1171:R1175),"")</f>
        <v/>
      </c>
      <c r="S1175" s="3">
        <f>IF(ISNUMBER(AVERAGE('20250815_ETF_Options_Exhibits'!S1171:S1175)),AVERAGE('20250815_ETF_Options_Exhibits'!S1171:S1175),"")</f>
        <v/>
      </c>
      <c r="T1175" s="3">
        <f>IF(ISNUMBER(AVERAGE('20250815_ETF_Options_Exhibits'!T1171:T1175)),AVERAGE('20250815_ETF_Options_Exhibits'!T1171:T1175),"")</f>
        <v/>
      </c>
      <c r="U1175" s="3">
        <f>IF(ISNUMBER(AVERAGE('20250815_ETF_Options_Exhibits'!U1171:U1175)),AVERAGE('20250815_ETF_Options_Exhibits'!U1171:U1175),"")</f>
        <v/>
      </c>
      <c r="V1175" s="3">
        <f>IF(ISNUMBER(AVERAGE('20250815_ETF_Options_Exhibits'!V1171:V1175)),AVERAGE('20250815_ETF_Options_Exhibits'!V1171:V1175),"")</f>
        <v/>
      </c>
      <c r="W1175" s="3">
        <f>IF(ISNUMBER(AVERAGE('20250815_ETF_Options_Exhibits'!W1171:W1175)),AVERAGE('20250815_ETF_Options_Exhibits'!W1171:W1175),"")</f>
        <v/>
      </c>
      <c r="X1175" s="3">
        <f>IF(ISNUMBER(AVERAGE('20250815_ETF_Options_Exhibits'!X1171:X1175)),AVERAGE('20250815_ETF_Options_Exhibits'!X1171:X1175),"")</f>
        <v/>
      </c>
      <c r="Y1175" s="3">
        <f>IF(ISNUMBER(AVERAGE('20250815_ETF_Options_Exhibits'!Y1171:Y1175)),AVERAGE('20250815_ETF_Options_Exhibits'!Y1171:Y1175),"")</f>
        <v/>
      </c>
      <c r="Z1175" s="3">
        <f>IF(ISNUMBER(AVERAGE('20250815_ETF_Options_Exhibits'!Z1171:Z1175)),AVERAGE('20250815_ETF_Options_Exhibits'!Z1171:Z1175),"")</f>
        <v/>
      </c>
      <c r="AA1175" s="3">
        <f>IF(ISNUMBER(AVERAGE('20250815_ETF_Options_Exhibits'!AA1171:AA1175)),AVERAGE('20250815_ETF_Options_Exhibits'!AA1171:AA1175),"")</f>
        <v/>
      </c>
    </row>
    <row r="1176">
      <c r="A1176" s="1" t="n">
        <v>43707</v>
      </c>
      <c r="B1176" s="3">
        <f>IF(ISNUMBER(AVERAGE('20250815_ETF_Options_Exhibits'!B1172:B1176)),AVERAGE('20250815_ETF_Options_Exhibits'!B1172:B1176),"")</f>
        <v/>
      </c>
      <c r="C1176" s="3">
        <f>IF(ISNUMBER(AVERAGE('20250815_ETF_Options_Exhibits'!C1172:C1176)),AVERAGE('20250815_ETF_Options_Exhibits'!C1172:C1176),"")</f>
        <v/>
      </c>
      <c r="D1176" s="3">
        <f>IF(ISNUMBER(AVERAGE('20250815_ETF_Options_Exhibits'!D1172:D1176)),AVERAGE('20250815_ETF_Options_Exhibits'!D1172:D1176),"")</f>
        <v/>
      </c>
      <c r="E1176" s="3">
        <f>IF(ISNUMBER(AVERAGE('20250815_ETF_Options_Exhibits'!E1172:E1176)),AVERAGE('20250815_ETF_Options_Exhibits'!E1172:E1176),"")</f>
        <v/>
      </c>
      <c r="F1176" s="3">
        <f>IF(ISNUMBER(AVERAGE('20250815_ETF_Options_Exhibits'!F1172:F1176)),AVERAGE('20250815_ETF_Options_Exhibits'!F1172:F1176),"")</f>
        <v/>
      </c>
      <c r="G1176" s="3">
        <f>IF(ISNUMBER(AVERAGE('20250815_ETF_Options_Exhibits'!G1172:G1176)),AVERAGE('20250815_ETF_Options_Exhibits'!G1172:G1176),"")</f>
        <v/>
      </c>
      <c r="H1176" s="3">
        <f>IF(ISNUMBER(AVERAGE('20250815_ETF_Options_Exhibits'!H1172:H1176)),AVERAGE('20250815_ETF_Options_Exhibits'!H1172:H1176),"")</f>
        <v/>
      </c>
      <c r="I1176" s="3">
        <f>IF(ISNUMBER(AVERAGE('20250815_ETF_Options_Exhibits'!I1172:I1176)),AVERAGE('20250815_ETF_Options_Exhibits'!I1172:I1176),"")</f>
        <v/>
      </c>
      <c r="J1176" s="3">
        <f>IF(ISNUMBER(AVERAGE('20250815_ETF_Options_Exhibits'!J1172:J1176)),AVERAGE('20250815_ETF_Options_Exhibits'!J1172:J1176),"")</f>
        <v/>
      </c>
      <c r="K1176" s="3">
        <f>IF(ISNUMBER(AVERAGE('20250815_ETF_Options_Exhibits'!K1172:K1176)),AVERAGE('20250815_ETF_Options_Exhibits'!K1172:K1176),"")</f>
        <v/>
      </c>
      <c r="L1176" s="3">
        <f>IF(ISNUMBER(AVERAGE('20250815_ETF_Options_Exhibits'!L1172:L1176)),AVERAGE('20250815_ETF_Options_Exhibits'!L1172:L1176),"")</f>
        <v/>
      </c>
      <c r="M1176" s="3">
        <f>IF(ISNUMBER(AVERAGE('20250815_ETF_Options_Exhibits'!M1172:M1176)),AVERAGE('20250815_ETF_Options_Exhibits'!M1172:M1176),"")</f>
        <v/>
      </c>
      <c r="N1176" s="3">
        <f>IF(ISNUMBER(AVERAGE('20250815_ETF_Options_Exhibits'!N1172:N1176)),AVERAGE('20250815_ETF_Options_Exhibits'!N1172:N1176),"")</f>
        <v/>
      </c>
      <c r="O1176" s="3">
        <f>IF(ISNUMBER(AVERAGE('20250815_ETF_Options_Exhibits'!O1172:O1176)),AVERAGE('20250815_ETF_Options_Exhibits'!O1172:O1176),"")</f>
        <v/>
      </c>
      <c r="P1176" s="3">
        <f>IF(ISNUMBER(AVERAGE('20250815_ETF_Options_Exhibits'!P1172:P1176)),AVERAGE('20250815_ETF_Options_Exhibits'!P1172:P1176),"")</f>
        <v/>
      </c>
      <c r="Q1176" s="3">
        <f>IF(ISNUMBER(AVERAGE('20250815_ETF_Options_Exhibits'!Q1172:Q1176)),AVERAGE('20250815_ETF_Options_Exhibits'!Q1172:Q1176),"")</f>
        <v/>
      </c>
      <c r="R1176" s="3">
        <f>IF(ISNUMBER(AVERAGE('20250815_ETF_Options_Exhibits'!R1172:R1176)),AVERAGE('20250815_ETF_Options_Exhibits'!R1172:R1176),"")</f>
        <v/>
      </c>
      <c r="S1176" s="3">
        <f>IF(ISNUMBER(AVERAGE('20250815_ETF_Options_Exhibits'!S1172:S1176)),AVERAGE('20250815_ETF_Options_Exhibits'!S1172:S1176),"")</f>
        <v/>
      </c>
      <c r="T1176" s="3">
        <f>IF(ISNUMBER(AVERAGE('20250815_ETF_Options_Exhibits'!T1172:T1176)),AVERAGE('20250815_ETF_Options_Exhibits'!T1172:T1176),"")</f>
        <v/>
      </c>
      <c r="U1176" s="3">
        <f>IF(ISNUMBER(AVERAGE('20250815_ETF_Options_Exhibits'!U1172:U1176)),AVERAGE('20250815_ETF_Options_Exhibits'!U1172:U1176),"")</f>
        <v/>
      </c>
      <c r="V1176" s="3">
        <f>IF(ISNUMBER(AVERAGE('20250815_ETF_Options_Exhibits'!V1172:V1176)),AVERAGE('20250815_ETF_Options_Exhibits'!V1172:V1176),"")</f>
        <v/>
      </c>
      <c r="W1176" s="3">
        <f>IF(ISNUMBER(AVERAGE('20250815_ETF_Options_Exhibits'!W1172:W1176)),AVERAGE('20250815_ETF_Options_Exhibits'!W1172:W1176),"")</f>
        <v/>
      </c>
      <c r="X1176" s="3">
        <f>IF(ISNUMBER(AVERAGE('20250815_ETF_Options_Exhibits'!X1172:X1176)),AVERAGE('20250815_ETF_Options_Exhibits'!X1172:X1176),"")</f>
        <v/>
      </c>
      <c r="Y1176" s="3">
        <f>IF(ISNUMBER(AVERAGE('20250815_ETF_Options_Exhibits'!Y1172:Y1176)),AVERAGE('20250815_ETF_Options_Exhibits'!Y1172:Y1176),"")</f>
        <v/>
      </c>
      <c r="Z1176" s="3">
        <f>IF(ISNUMBER(AVERAGE('20250815_ETF_Options_Exhibits'!Z1172:Z1176)),AVERAGE('20250815_ETF_Options_Exhibits'!Z1172:Z1176),"")</f>
        <v/>
      </c>
      <c r="AA1176" s="3">
        <f>IF(ISNUMBER(AVERAGE('20250815_ETF_Options_Exhibits'!AA1172:AA1176)),AVERAGE('20250815_ETF_Options_Exhibits'!AA1172:AA1176),"")</f>
        <v/>
      </c>
    </row>
    <row r="1177">
      <c r="A1177" s="1" t="n">
        <v>43711</v>
      </c>
      <c r="B1177" s="3">
        <f>IF(ISNUMBER(AVERAGE('20250815_ETF_Options_Exhibits'!B1173:B1177)),AVERAGE('20250815_ETF_Options_Exhibits'!B1173:B1177),"")</f>
        <v/>
      </c>
      <c r="C1177" s="3">
        <f>IF(ISNUMBER(AVERAGE('20250815_ETF_Options_Exhibits'!C1173:C1177)),AVERAGE('20250815_ETF_Options_Exhibits'!C1173:C1177),"")</f>
        <v/>
      </c>
      <c r="D1177" s="3">
        <f>IF(ISNUMBER(AVERAGE('20250815_ETF_Options_Exhibits'!D1173:D1177)),AVERAGE('20250815_ETF_Options_Exhibits'!D1173:D1177),"")</f>
        <v/>
      </c>
      <c r="E1177" s="3">
        <f>IF(ISNUMBER(AVERAGE('20250815_ETF_Options_Exhibits'!E1173:E1177)),AVERAGE('20250815_ETF_Options_Exhibits'!E1173:E1177),"")</f>
        <v/>
      </c>
      <c r="F1177" s="3">
        <f>IF(ISNUMBER(AVERAGE('20250815_ETF_Options_Exhibits'!F1173:F1177)),AVERAGE('20250815_ETF_Options_Exhibits'!F1173:F1177),"")</f>
        <v/>
      </c>
      <c r="G1177" s="3">
        <f>IF(ISNUMBER(AVERAGE('20250815_ETF_Options_Exhibits'!G1173:G1177)),AVERAGE('20250815_ETF_Options_Exhibits'!G1173:G1177),"")</f>
        <v/>
      </c>
      <c r="H1177" s="3">
        <f>IF(ISNUMBER(AVERAGE('20250815_ETF_Options_Exhibits'!H1173:H1177)),AVERAGE('20250815_ETF_Options_Exhibits'!H1173:H1177),"")</f>
        <v/>
      </c>
      <c r="I1177" s="3">
        <f>IF(ISNUMBER(AVERAGE('20250815_ETF_Options_Exhibits'!I1173:I1177)),AVERAGE('20250815_ETF_Options_Exhibits'!I1173:I1177),"")</f>
        <v/>
      </c>
      <c r="J1177" s="3">
        <f>IF(ISNUMBER(AVERAGE('20250815_ETF_Options_Exhibits'!J1173:J1177)),AVERAGE('20250815_ETF_Options_Exhibits'!J1173:J1177),"")</f>
        <v/>
      </c>
      <c r="K1177" s="3">
        <f>IF(ISNUMBER(AVERAGE('20250815_ETF_Options_Exhibits'!K1173:K1177)),AVERAGE('20250815_ETF_Options_Exhibits'!K1173:K1177),"")</f>
        <v/>
      </c>
      <c r="L1177" s="3">
        <f>IF(ISNUMBER(AVERAGE('20250815_ETF_Options_Exhibits'!L1173:L1177)),AVERAGE('20250815_ETF_Options_Exhibits'!L1173:L1177),"")</f>
        <v/>
      </c>
      <c r="M1177" s="3">
        <f>IF(ISNUMBER(AVERAGE('20250815_ETF_Options_Exhibits'!M1173:M1177)),AVERAGE('20250815_ETF_Options_Exhibits'!M1173:M1177),"")</f>
        <v/>
      </c>
      <c r="N1177" s="3">
        <f>IF(ISNUMBER(AVERAGE('20250815_ETF_Options_Exhibits'!N1173:N1177)),AVERAGE('20250815_ETF_Options_Exhibits'!N1173:N1177),"")</f>
        <v/>
      </c>
      <c r="O1177" s="3">
        <f>IF(ISNUMBER(AVERAGE('20250815_ETF_Options_Exhibits'!O1173:O1177)),AVERAGE('20250815_ETF_Options_Exhibits'!O1173:O1177),"")</f>
        <v/>
      </c>
      <c r="P1177" s="3">
        <f>IF(ISNUMBER(AVERAGE('20250815_ETF_Options_Exhibits'!P1173:P1177)),AVERAGE('20250815_ETF_Options_Exhibits'!P1173:P1177),"")</f>
        <v/>
      </c>
      <c r="Q1177" s="3">
        <f>IF(ISNUMBER(AVERAGE('20250815_ETF_Options_Exhibits'!Q1173:Q1177)),AVERAGE('20250815_ETF_Options_Exhibits'!Q1173:Q1177),"")</f>
        <v/>
      </c>
      <c r="R1177" s="3">
        <f>IF(ISNUMBER(AVERAGE('20250815_ETF_Options_Exhibits'!R1173:R1177)),AVERAGE('20250815_ETF_Options_Exhibits'!R1173:R1177),"")</f>
        <v/>
      </c>
      <c r="S1177" s="3">
        <f>IF(ISNUMBER(AVERAGE('20250815_ETF_Options_Exhibits'!S1173:S1177)),AVERAGE('20250815_ETF_Options_Exhibits'!S1173:S1177),"")</f>
        <v/>
      </c>
      <c r="T1177" s="3">
        <f>IF(ISNUMBER(AVERAGE('20250815_ETF_Options_Exhibits'!T1173:T1177)),AVERAGE('20250815_ETF_Options_Exhibits'!T1173:T1177),"")</f>
        <v/>
      </c>
      <c r="U1177" s="3">
        <f>IF(ISNUMBER(AVERAGE('20250815_ETF_Options_Exhibits'!U1173:U1177)),AVERAGE('20250815_ETF_Options_Exhibits'!U1173:U1177),"")</f>
        <v/>
      </c>
      <c r="V1177" s="3">
        <f>IF(ISNUMBER(AVERAGE('20250815_ETF_Options_Exhibits'!V1173:V1177)),AVERAGE('20250815_ETF_Options_Exhibits'!V1173:V1177),"")</f>
        <v/>
      </c>
      <c r="W1177" s="3">
        <f>IF(ISNUMBER(AVERAGE('20250815_ETF_Options_Exhibits'!W1173:W1177)),AVERAGE('20250815_ETF_Options_Exhibits'!W1173:W1177),"")</f>
        <v/>
      </c>
      <c r="X1177" s="3">
        <f>IF(ISNUMBER(AVERAGE('20250815_ETF_Options_Exhibits'!X1173:X1177)),AVERAGE('20250815_ETF_Options_Exhibits'!X1173:X1177),"")</f>
        <v/>
      </c>
      <c r="Y1177" s="3">
        <f>IF(ISNUMBER(AVERAGE('20250815_ETF_Options_Exhibits'!Y1173:Y1177)),AVERAGE('20250815_ETF_Options_Exhibits'!Y1173:Y1177),"")</f>
        <v/>
      </c>
      <c r="Z1177" s="3">
        <f>IF(ISNUMBER(AVERAGE('20250815_ETF_Options_Exhibits'!Z1173:Z1177)),AVERAGE('20250815_ETF_Options_Exhibits'!Z1173:Z1177),"")</f>
        <v/>
      </c>
      <c r="AA1177" s="3">
        <f>IF(ISNUMBER(AVERAGE('20250815_ETF_Options_Exhibits'!AA1173:AA1177)),AVERAGE('20250815_ETF_Options_Exhibits'!AA1173:AA1177),"")</f>
        <v/>
      </c>
    </row>
    <row r="1178">
      <c r="A1178" s="1" t="n">
        <v>43712</v>
      </c>
      <c r="B1178" s="3">
        <f>IF(ISNUMBER(AVERAGE('20250815_ETF_Options_Exhibits'!B1174:B1178)),AVERAGE('20250815_ETF_Options_Exhibits'!B1174:B1178),"")</f>
        <v/>
      </c>
      <c r="C1178" s="3">
        <f>IF(ISNUMBER(AVERAGE('20250815_ETF_Options_Exhibits'!C1174:C1178)),AVERAGE('20250815_ETF_Options_Exhibits'!C1174:C1178),"")</f>
        <v/>
      </c>
      <c r="D1178" s="3">
        <f>IF(ISNUMBER(AVERAGE('20250815_ETF_Options_Exhibits'!D1174:D1178)),AVERAGE('20250815_ETF_Options_Exhibits'!D1174:D1178),"")</f>
        <v/>
      </c>
      <c r="E1178" s="3">
        <f>IF(ISNUMBER(AVERAGE('20250815_ETF_Options_Exhibits'!E1174:E1178)),AVERAGE('20250815_ETF_Options_Exhibits'!E1174:E1178),"")</f>
        <v/>
      </c>
      <c r="F1178" s="3">
        <f>IF(ISNUMBER(AVERAGE('20250815_ETF_Options_Exhibits'!F1174:F1178)),AVERAGE('20250815_ETF_Options_Exhibits'!F1174:F1178),"")</f>
        <v/>
      </c>
      <c r="G1178" s="3">
        <f>IF(ISNUMBER(AVERAGE('20250815_ETF_Options_Exhibits'!G1174:G1178)),AVERAGE('20250815_ETF_Options_Exhibits'!G1174:G1178),"")</f>
        <v/>
      </c>
      <c r="H1178" s="3">
        <f>IF(ISNUMBER(AVERAGE('20250815_ETF_Options_Exhibits'!H1174:H1178)),AVERAGE('20250815_ETF_Options_Exhibits'!H1174:H1178),"")</f>
        <v/>
      </c>
      <c r="I1178" s="3">
        <f>IF(ISNUMBER(AVERAGE('20250815_ETF_Options_Exhibits'!I1174:I1178)),AVERAGE('20250815_ETF_Options_Exhibits'!I1174:I1178),"")</f>
        <v/>
      </c>
      <c r="J1178" s="3">
        <f>IF(ISNUMBER(AVERAGE('20250815_ETF_Options_Exhibits'!J1174:J1178)),AVERAGE('20250815_ETF_Options_Exhibits'!J1174:J1178),"")</f>
        <v/>
      </c>
      <c r="K1178" s="3">
        <f>IF(ISNUMBER(AVERAGE('20250815_ETF_Options_Exhibits'!K1174:K1178)),AVERAGE('20250815_ETF_Options_Exhibits'!K1174:K1178),"")</f>
        <v/>
      </c>
      <c r="L1178" s="3">
        <f>IF(ISNUMBER(AVERAGE('20250815_ETF_Options_Exhibits'!L1174:L1178)),AVERAGE('20250815_ETF_Options_Exhibits'!L1174:L1178),"")</f>
        <v/>
      </c>
      <c r="M1178" s="3">
        <f>IF(ISNUMBER(AVERAGE('20250815_ETF_Options_Exhibits'!M1174:M1178)),AVERAGE('20250815_ETF_Options_Exhibits'!M1174:M1178),"")</f>
        <v/>
      </c>
      <c r="N1178" s="3">
        <f>IF(ISNUMBER(AVERAGE('20250815_ETF_Options_Exhibits'!N1174:N1178)),AVERAGE('20250815_ETF_Options_Exhibits'!N1174:N1178),"")</f>
        <v/>
      </c>
      <c r="O1178" s="3">
        <f>IF(ISNUMBER(AVERAGE('20250815_ETF_Options_Exhibits'!O1174:O1178)),AVERAGE('20250815_ETF_Options_Exhibits'!O1174:O1178),"")</f>
        <v/>
      </c>
      <c r="P1178" s="3">
        <f>IF(ISNUMBER(AVERAGE('20250815_ETF_Options_Exhibits'!P1174:P1178)),AVERAGE('20250815_ETF_Options_Exhibits'!P1174:P1178),"")</f>
        <v/>
      </c>
      <c r="Q1178" s="3">
        <f>IF(ISNUMBER(AVERAGE('20250815_ETF_Options_Exhibits'!Q1174:Q1178)),AVERAGE('20250815_ETF_Options_Exhibits'!Q1174:Q1178),"")</f>
        <v/>
      </c>
      <c r="R1178" s="3">
        <f>IF(ISNUMBER(AVERAGE('20250815_ETF_Options_Exhibits'!R1174:R1178)),AVERAGE('20250815_ETF_Options_Exhibits'!R1174:R1178),"")</f>
        <v/>
      </c>
      <c r="S1178" s="3">
        <f>IF(ISNUMBER(AVERAGE('20250815_ETF_Options_Exhibits'!S1174:S1178)),AVERAGE('20250815_ETF_Options_Exhibits'!S1174:S1178),"")</f>
        <v/>
      </c>
      <c r="T1178" s="3">
        <f>IF(ISNUMBER(AVERAGE('20250815_ETF_Options_Exhibits'!T1174:T1178)),AVERAGE('20250815_ETF_Options_Exhibits'!T1174:T1178),"")</f>
        <v/>
      </c>
      <c r="U1178" s="3">
        <f>IF(ISNUMBER(AVERAGE('20250815_ETF_Options_Exhibits'!U1174:U1178)),AVERAGE('20250815_ETF_Options_Exhibits'!U1174:U1178),"")</f>
        <v/>
      </c>
      <c r="V1178" s="3">
        <f>IF(ISNUMBER(AVERAGE('20250815_ETF_Options_Exhibits'!V1174:V1178)),AVERAGE('20250815_ETF_Options_Exhibits'!V1174:V1178),"")</f>
        <v/>
      </c>
      <c r="W1178" s="3">
        <f>IF(ISNUMBER(AVERAGE('20250815_ETF_Options_Exhibits'!W1174:W1178)),AVERAGE('20250815_ETF_Options_Exhibits'!W1174:W1178),"")</f>
        <v/>
      </c>
      <c r="X1178" s="3">
        <f>IF(ISNUMBER(AVERAGE('20250815_ETF_Options_Exhibits'!X1174:X1178)),AVERAGE('20250815_ETF_Options_Exhibits'!X1174:X1178),"")</f>
        <v/>
      </c>
      <c r="Y1178" s="3">
        <f>IF(ISNUMBER(AVERAGE('20250815_ETF_Options_Exhibits'!Y1174:Y1178)),AVERAGE('20250815_ETF_Options_Exhibits'!Y1174:Y1178),"")</f>
        <v/>
      </c>
      <c r="Z1178" s="3">
        <f>IF(ISNUMBER(AVERAGE('20250815_ETF_Options_Exhibits'!Z1174:Z1178)),AVERAGE('20250815_ETF_Options_Exhibits'!Z1174:Z1178),"")</f>
        <v/>
      </c>
      <c r="AA1178" s="3">
        <f>IF(ISNUMBER(AVERAGE('20250815_ETF_Options_Exhibits'!AA1174:AA1178)),AVERAGE('20250815_ETF_Options_Exhibits'!AA1174:AA1178),"")</f>
        <v/>
      </c>
    </row>
    <row r="1179">
      <c r="A1179" s="1" t="n">
        <v>43713</v>
      </c>
      <c r="B1179" s="3">
        <f>IF(ISNUMBER(AVERAGE('20250815_ETF_Options_Exhibits'!B1175:B1179)),AVERAGE('20250815_ETF_Options_Exhibits'!B1175:B1179),"")</f>
        <v/>
      </c>
      <c r="C1179" s="3">
        <f>IF(ISNUMBER(AVERAGE('20250815_ETF_Options_Exhibits'!C1175:C1179)),AVERAGE('20250815_ETF_Options_Exhibits'!C1175:C1179),"")</f>
        <v/>
      </c>
      <c r="D1179" s="3">
        <f>IF(ISNUMBER(AVERAGE('20250815_ETF_Options_Exhibits'!D1175:D1179)),AVERAGE('20250815_ETF_Options_Exhibits'!D1175:D1179),"")</f>
        <v/>
      </c>
      <c r="E1179" s="3">
        <f>IF(ISNUMBER(AVERAGE('20250815_ETF_Options_Exhibits'!E1175:E1179)),AVERAGE('20250815_ETF_Options_Exhibits'!E1175:E1179),"")</f>
        <v/>
      </c>
      <c r="F1179" s="3">
        <f>IF(ISNUMBER(AVERAGE('20250815_ETF_Options_Exhibits'!F1175:F1179)),AVERAGE('20250815_ETF_Options_Exhibits'!F1175:F1179),"")</f>
        <v/>
      </c>
      <c r="G1179" s="3">
        <f>IF(ISNUMBER(AVERAGE('20250815_ETF_Options_Exhibits'!G1175:G1179)),AVERAGE('20250815_ETF_Options_Exhibits'!G1175:G1179),"")</f>
        <v/>
      </c>
      <c r="H1179" s="3">
        <f>IF(ISNUMBER(AVERAGE('20250815_ETF_Options_Exhibits'!H1175:H1179)),AVERAGE('20250815_ETF_Options_Exhibits'!H1175:H1179),"")</f>
        <v/>
      </c>
      <c r="I1179" s="3">
        <f>IF(ISNUMBER(AVERAGE('20250815_ETF_Options_Exhibits'!I1175:I1179)),AVERAGE('20250815_ETF_Options_Exhibits'!I1175:I1179),"")</f>
        <v/>
      </c>
      <c r="J1179" s="3">
        <f>IF(ISNUMBER(AVERAGE('20250815_ETF_Options_Exhibits'!J1175:J1179)),AVERAGE('20250815_ETF_Options_Exhibits'!J1175:J1179),"")</f>
        <v/>
      </c>
      <c r="K1179" s="3">
        <f>IF(ISNUMBER(AVERAGE('20250815_ETF_Options_Exhibits'!K1175:K1179)),AVERAGE('20250815_ETF_Options_Exhibits'!K1175:K1179),"")</f>
        <v/>
      </c>
      <c r="L1179" s="3">
        <f>IF(ISNUMBER(AVERAGE('20250815_ETF_Options_Exhibits'!L1175:L1179)),AVERAGE('20250815_ETF_Options_Exhibits'!L1175:L1179),"")</f>
        <v/>
      </c>
      <c r="M1179" s="3">
        <f>IF(ISNUMBER(AVERAGE('20250815_ETF_Options_Exhibits'!M1175:M1179)),AVERAGE('20250815_ETF_Options_Exhibits'!M1175:M1179),"")</f>
        <v/>
      </c>
      <c r="N1179" s="3">
        <f>IF(ISNUMBER(AVERAGE('20250815_ETF_Options_Exhibits'!N1175:N1179)),AVERAGE('20250815_ETF_Options_Exhibits'!N1175:N1179),"")</f>
        <v/>
      </c>
      <c r="O1179" s="3">
        <f>IF(ISNUMBER(AVERAGE('20250815_ETF_Options_Exhibits'!O1175:O1179)),AVERAGE('20250815_ETF_Options_Exhibits'!O1175:O1179),"")</f>
        <v/>
      </c>
      <c r="P1179" s="3">
        <f>IF(ISNUMBER(AVERAGE('20250815_ETF_Options_Exhibits'!P1175:P1179)),AVERAGE('20250815_ETF_Options_Exhibits'!P1175:P1179),"")</f>
        <v/>
      </c>
      <c r="Q1179" s="3">
        <f>IF(ISNUMBER(AVERAGE('20250815_ETF_Options_Exhibits'!Q1175:Q1179)),AVERAGE('20250815_ETF_Options_Exhibits'!Q1175:Q1179),"")</f>
        <v/>
      </c>
      <c r="R1179" s="3">
        <f>IF(ISNUMBER(AVERAGE('20250815_ETF_Options_Exhibits'!R1175:R1179)),AVERAGE('20250815_ETF_Options_Exhibits'!R1175:R1179),"")</f>
        <v/>
      </c>
      <c r="S1179" s="3">
        <f>IF(ISNUMBER(AVERAGE('20250815_ETF_Options_Exhibits'!S1175:S1179)),AVERAGE('20250815_ETF_Options_Exhibits'!S1175:S1179),"")</f>
        <v/>
      </c>
      <c r="T1179" s="3">
        <f>IF(ISNUMBER(AVERAGE('20250815_ETF_Options_Exhibits'!T1175:T1179)),AVERAGE('20250815_ETF_Options_Exhibits'!T1175:T1179),"")</f>
        <v/>
      </c>
      <c r="U1179" s="3">
        <f>IF(ISNUMBER(AVERAGE('20250815_ETF_Options_Exhibits'!U1175:U1179)),AVERAGE('20250815_ETF_Options_Exhibits'!U1175:U1179),"")</f>
        <v/>
      </c>
      <c r="V1179" s="3">
        <f>IF(ISNUMBER(AVERAGE('20250815_ETF_Options_Exhibits'!V1175:V1179)),AVERAGE('20250815_ETF_Options_Exhibits'!V1175:V1179),"")</f>
        <v/>
      </c>
      <c r="W1179" s="3">
        <f>IF(ISNUMBER(AVERAGE('20250815_ETF_Options_Exhibits'!W1175:W1179)),AVERAGE('20250815_ETF_Options_Exhibits'!W1175:W1179),"")</f>
        <v/>
      </c>
      <c r="X1179" s="3">
        <f>IF(ISNUMBER(AVERAGE('20250815_ETF_Options_Exhibits'!X1175:X1179)),AVERAGE('20250815_ETF_Options_Exhibits'!X1175:X1179),"")</f>
        <v/>
      </c>
      <c r="Y1179" s="3">
        <f>IF(ISNUMBER(AVERAGE('20250815_ETF_Options_Exhibits'!Y1175:Y1179)),AVERAGE('20250815_ETF_Options_Exhibits'!Y1175:Y1179),"")</f>
        <v/>
      </c>
      <c r="Z1179" s="3">
        <f>IF(ISNUMBER(AVERAGE('20250815_ETF_Options_Exhibits'!Z1175:Z1179)),AVERAGE('20250815_ETF_Options_Exhibits'!Z1175:Z1179),"")</f>
        <v/>
      </c>
      <c r="AA1179" s="3">
        <f>IF(ISNUMBER(AVERAGE('20250815_ETF_Options_Exhibits'!AA1175:AA1179)),AVERAGE('20250815_ETF_Options_Exhibits'!AA1175:AA1179),"")</f>
        <v/>
      </c>
    </row>
    <row r="1180">
      <c r="A1180" s="1" t="n">
        <v>43714</v>
      </c>
      <c r="B1180" s="3">
        <f>IF(ISNUMBER(AVERAGE('20250815_ETF_Options_Exhibits'!B1176:B1180)),AVERAGE('20250815_ETF_Options_Exhibits'!B1176:B1180),"")</f>
        <v/>
      </c>
      <c r="C1180" s="3">
        <f>IF(ISNUMBER(AVERAGE('20250815_ETF_Options_Exhibits'!C1176:C1180)),AVERAGE('20250815_ETF_Options_Exhibits'!C1176:C1180),"")</f>
        <v/>
      </c>
      <c r="D1180" s="3">
        <f>IF(ISNUMBER(AVERAGE('20250815_ETF_Options_Exhibits'!D1176:D1180)),AVERAGE('20250815_ETF_Options_Exhibits'!D1176:D1180),"")</f>
        <v/>
      </c>
      <c r="E1180" s="3">
        <f>IF(ISNUMBER(AVERAGE('20250815_ETF_Options_Exhibits'!E1176:E1180)),AVERAGE('20250815_ETF_Options_Exhibits'!E1176:E1180),"")</f>
        <v/>
      </c>
      <c r="F1180" s="3">
        <f>IF(ISNUMBER(AVERAGE('20250815_ETF_Options_Exhibits'!F1176:F1180)),AVERAGE('20250815_ETF_Options_Exhibits'!F1176:F1180),"")</f>
        <v/>
      </c>
      <c r="G1180" s="3">
        <f>IF(ISNUMBER(AVERAGE('20250815_ETF_Options_Exhibits'!G1176:G1180)),AVERAGE('20250815_ETF_Options_Exhibits'!G1176:G1180),"")</f>
        <v/>
      </c>
      <c r="H1180" s="3">
        <f>IF(ISNUMBER(AVERAGE('20250815_ETF_Options_Exhibits'!H1176:H1180)),AVERAGE('20250815_ETF_Options_Exhibits'!H1176:H1180),"")</f>
        <v/>
      </c>
      <c r="I1180" s="3">
        <f>IF(ISNUMBER(AVERAGE('20250815_ETF_Options_Exhibits'!I1176:I1180)),AVERAGE('20250815_ETF_Options_Exhibits'!I1176:I1180),"")</f>
        <v/>
      </c>
      <c r="J1180" s="3">
        <f>IF(ISNUMBER(AVERAGE('20250815_ETF_Options_Exhibits'!J1176:J1180)),AVERAGE('20250815_ETF_Options_Exhibits'!J1176:J1180),"")</f>
        <v/>
      </c>
      <c r="K1180" s="3">
        <f>IF(ISNUMBER(AVERAGE('20250815_ETF_Options_Exhibits'!K1176:K1180)),AVERAGE('20250815_ETF_Options_Exhibits'!K1176:K1180),"")</f>
        <v/>
      </c>
      <c r="L1180" s="3">
        <f>IF(ISNUMBER(AVERAGE('20250815_ETF_Options_Exhibits'!L1176:L1180)),AVERAGE('20250815_ETF_Options_Exhibits'!L1176:L1180),"")</f>
        <v/>
      </c>
      <c r="M1180" s="3">
        <f>IF(ISNUMBER(AVERAGE('20250815_ETF_Options_Exhibits'!M1176:M1180)),AVERAGE('20250815_ETF_Options_Exhibits'!M1176:M1180),"")</f>
        <v/>
      </c>
      <c r="N1180" s="3">
        <f>IF(ISNUMBER(AVERAGE('20250815_ETF_Options_Exhibits'!N1176:N1180)),AVERAGE('20250815_ETF_Options_Exhibits'!N1176:N1180),"")</f>
        <v/>
      </c>
      <c r="O1180" s="3">
        <f>IF(ISNUMBER(AVERAGE('20250815_ETF_Options_Exhibits'!O1176:O1180)),AVERAGE('20250815_ETF_Options_Exhibits'!O1176:O1180),"")</f>
        <v/>
      </c>
      <c r="P1180" s="3">
        <f>IF(ISNUMBER(AVERAGE('20250815_ETF_Options_Exhibits'!P1176:P1180)),AVERAGE('20250815_ETF_Options_Exhibits'!P1176:P1180),"")</f>
        <v/>
      </c>
      <c r="Q1180" s="3">
        <f>IF(ISNUMBER(AVERAGE('20250815_ETF_Options_Exhibits'!Q1176:Q1180)),AVERAGE('20250815_ETF_Options_Exhibits'!Q1176:Q1180),"")</f>
        <v/>
      </c>
      <c r="R1180" s="3">
        <f>IF(ISNUMBER(AVERAGE('20250815_ETF_Options_Exhibits'!R1176:R1180)),AVERAGE('20250815_ETF_Options_Exhibits'!R1176:R1180),"")</f>
        <v/>
      </c>
      <c r="S1180" s="3">
        <f>IF(ISNUMBER(AVERAGE('20250815_ETF_Options_Exhibits'!S1176:S1180)),AVERAGE('20250815_ETF_Options_Exhibits'!S1176:S1180),"")</f>
        <v/>
      </c>
      <c r="T1180" s="3">
        <f>IF(ISNUMBER(AVERAGE('20250815_ETF_Options_Exhibits'!T1176:T1180)),AVERAGE('20250815_ETF_Options_Exhibits'!T1176:T1180),"")</f>
        <v/>
      </c>
      <c r="U1180" s="3">
        <f>IF(ISNUMBER(AVERAGE('20250815_ETF_Options_Exhibits'!U1176:U1180)),AVERAGE('20250815_ETF_Options_Exhibits'!U1176:U1180),"")</f>
        <v/>
      </c>
      <c r="V1180" s="3">
        <f>IF(ISNUMBER(AVERAGE('20250815_ETF_Options_Exhibits'!V1176:V1180)),AVERAGE('20250815_ETF_Options_Exhibits'!V1176:V1180),"")</f>
        <v/>
      </c>
      <c r="W1180" s="3">
        <f>IF(ISNUMBER(AVERAGE('20250815_ETF_Options_Exhibits'!W1176:W1180)),AVERAGE('20250815_ETF_Options_Exhibits'!W1176:W1180),"")</f>
        <v/>
      </c>
      <c r="X1180" s="3">
        <f>IF(ISNUMBER(AVERAGE('20250815_ETF_Options_Exhibits'!X1176:X1180)),AVERAGE('20250815_ETF_Options_Exhibits'!X1176:X1180),"")</f>
        <v/>
      </c>
      <c r="Y1180" s="3">
        <f>IF(ISNUMBER(AVERAGE('20250815_ETF_Options_Exhibits'!Y1176:Y1180)),AVERAGE('20250815_ETF_Options_Exhibits'!Y1176:Y1180),"")</f>
        <v/>
      </c>
      <c r="Z1180" s="3">
        <f>IF(ISNUMBER(AVERAGE('20250815_ETF_Options_Exhibits'!Z1176:Z1180)),AVERAGE('20250815_ETF_Options_Exhibits'!Z1176:Z1180),"")</f>
        <v/>
      </c>
      <c r="AA1180" s="3">
        <f>IF(ISNUMBER(AVERAGE('20250815_ETF_Options_Exhibits'!AA1176:AA1180)),AVERAGE('20250815_ETF_Options_Exhibits'!AA1176:AA1180),"")</f>
        <v/>
      </c>
    </row>
    <row r="1181">
      <c r="A1181" s="1" t="n">
        <v>43717</v>
      </c>
      <c r="B1181" s="3">
        <f>IF(ISNUMBER(AVERAGE('20250815_ETF_Options_Exhibits'!B1177:B1181)),AVERAGE('20250815_ETF_Options_Exhibits'!B1177:B1181),"")</f>
        <v/>
      </c>
      <c r="C1181" s="3">
        <f>IF(ISNUMBER(AVERAGE('20250815_ETF_Options_Exhibits'!C1177:C1181)),AVERAGE('20250815_ETF_Options_Exhibits'!C1177:C1181),"")</f>
        <v/>
      </c>
      <c r="D1181" s="3">
        <f>IF(ISNUMBER(AVERAGE('20250815_ETF_Options_Exhibits'!D1177:D1181)),AVERAGE('20250815_ETF_Options_Exhibits'!D1177:D1181),"")</f>
        <v/>
      </c>
      <c r="E1181" s="3">
        <f>IF(ISNUMBER(AVERAGE('20250815_ETF_Options_Exhibits'!E1177:E1181)),AVERAGE('20250815_ETF_Options_Exhibits'!E1177:E1181),"")</f>
        <v/>
      </c>
      <c r="F1181" s="3">
        <f>IF(ISNUMBER(AVERAGE('20250815_ETF_Options_Exhibits'!F1177:F1181)),AVERAGE('20250815_ETF_Options_Exhibits'!F1177:F1181),"")</f>
        <v/>
      </c>
      <c r="G1181" s="3">
        <f>IF(ISNUMBER(AVERAGE('20250815_ETF_Options_Exhibits'!G1177:G1181)),AVERAGE('20250815_ETF_Options_Exhibits'!G1177:G1181),"")</f>
        <v/>
      </c>
      <c r="H1181" s="3">
        <f>IF(ISNUMBER(AVERAGE('20250815_ETF_Options_Exhibits'!H1177:H1181)),AVERAGE('20250815_ETF_Options_Exhibits'!H1177:H1181),"")</f>
        <v/>
      </c>
      <c r="I1181" s="3">
        <f>IF(ISNUMBER(AVERAGE('20250815_ETF_Options_Exhibits'!I1177:I1181)),AVERAGE('20250815_ETF_Options_Exhibits'!I1177:I1181),"")</f>
        <v/>
      </c>
      <c r="J1181" s="3">
        <f>IF(ISNUMBER(AVERAGE('20250815_ETF_Options_Exhibits'!J1177:J1181)),AVERAGE('20250815_ETF_Options_Exhibits'!J1177:J1181),"")</f>
        <v/>
      </c>
      <c r="K1181" s="3">
        <f>IF(ISNUMBER(AVERAGE('20250815_ETF_Options_Exhibits'!K1177:K1181)),AVERAGE('20250815_ETF_Options_Exhibits'!K1177:K1181),"")</f>
        <v/>
      </c>
      <c r="L1181" s="3">
        <f>IF(ISNUMBER(AVERAGE('20250815_ETF_Options_Exhibits'!L1177:L1181)),AVERAGE('20250815_ETF_Options_Exhibits'!L1177:L1181),"")</f>
        <v/>
      </c>
      <c r="M1181" s="3">
        <f>IF(ISNUMBER(AVERAGE('20250815_ETF_Options_Exhibits'!M1177:M1181)),AVERAGE('20250815_ETF_Options_Exhibits'!M1177:M1181),"")</f>
        <v/>
      </c>
      <c r="N1181" s="3">
        <f>IF(ISNUMBER(AVERAGE('20250815_ETF_Options_Exhibits'!N1177:N1181)),AVERAGE('20250815_ETF_Options_Exhibits'!N1177:N1181),"")</f>
        <v/>
      </c>
      <c r="O1181" s="3">
        <f>IF(ISNUMBER(AVERAGE('20250815_ETF_Options_Exhibits'!O1177:O1181)),AVERAGE('20250815_ETF_Options_Exhibits'!O1177:O1181),"")</f>
        <v/>
      </c>
      <c r="P1181" s="3">
        <f>IF(ISNUMBER(AVERAGE('20250815_ETF_Options_Exhibits'!P1177:P1181)),AVERAGE('20250815_ETF_Options_Exhibits'!P1177:P1181),"")</f>
        <v/>
      </c>
      <c r="Q1181" s="3">
        <f>IF(ISNUMBER(AVERAGE('20250815_ETF_Options_Exhibits'!Q1177:Q1181)),AVERAGE('20250815_ETF_Options_Exhibits'!Q1177:Q1181),"")</f>
        <v/>
      </c>
      <c r="R1181" s="3">
        <f>IF(ISNUMBER(AVERAGE('20250815_ETF_Options_Exhibits'!R1177:R1181)),AVERAGE('20250815_ETF_Options_Exhibits'!R1177:R1181),"")</f>
        <v/>
      </c>
      <c r="S1181" s="3">
        <f>IF(ISNUMBER(AVERAGE('20250815_ETF_Options_Exhibits'!S1177:S1181)),AVERAGE('20250815_ETF_Options_Exhibits'!S1177:S1181),"")</f>
        <v/>
      </c>
      <c r="T1181" s="3">
        <f>IF(ISNUMBER(AVERAGE('20250815_ETF_Options_Exhibits'!T1177:T1181)),AVERAGE('20250815_ETF_Options_Exhibits'!T1177:T1181),"")</f>
        <v/>
      </c>
      <c r="U1181" s="3">
        <f>IF(ISNUMBER(AVERAGE('20250815_ETF_Options_Exhibits'!U1177:U1181)),AVERAGE('20250815_ETF_Options_Exhibits'!U1177:U1181),"")</f>
        <v/>
      </c>
      <c r="V1181" s="3">
        <f>IF(ISNUMBER(AVERAGE('20250815_ETF_Options_Exhibits'!V1177:V1181)),AVERAGE('20250815_ETF_Options_Exhibits'!V1177:V1181),"")</f>
        <v/>
      </c>
      <c r="W1181" s="3">
        <f>IF(ISNUMBER(AVERAGE('20250815_ETF_Options_Exhibits'!W1177:W1181)),AVERAGE('20250815_ETF_Options_Exhibits'!W1177:W1181),"")</f>
        <v/>
      </c>
      <c r="X1181" s="3">
        <f>IF(ISNUMBER(AVERAGE('20250815_ETF_Options_Exhibits'!X1177:X1181)),AVERAGE('20250815_ETF_Options_Exhibits'!X1177:X1181),"")</f>
        <v/>
      </c>
      <c r="Y1181" s="3">
        <f>IF(ISNUMBER(AVERAGE('20250815_ETF_Options_Exhibits'!Y1177:Y1181)),AVERAGE('20250815_ETF_Options_Exhibits'!Y1177:Y1181),"")</f>
        <v/>
      </c>
      <c r="Z1181" s="3">
        <f>IF(ISNUMBER(AVERAGE('20250815_ETF_Options_Exhibits'!Z1177:Z1181)),AVERAGE('20250815_ETF_Options_Exhibits'!Z1177:Z1181),"")</f>
        <v/>
      </c>
      <c r="AA1181" s="3">
        <f>IF(ISNUMBER(AVERAGE('20250815_ETF_Options_Exhibits'!AA1177:AA1181)),AVERAGE('20250815_ETF_Options_Exhibits'!AA1177:AA1181),"")</f>
        <v/>
      </c>
    </row>
    <row r="1182">
      <c r="A1182" s="1" t="n">
        <v>43718</v>
      </c>
      <c r="B1182" s="3">
        <f>IF(ISNUMBER(AVERAGE('20250815_ETF_Options_Exhibits'!B1178:B1182)),AVERAGE('20250815_ETF_Options_Exhibits'!B1178:B1182),"")</f>
        <v/>
      </c>
      <c r="C1182" s="3">
        <f>IF(ISNUMBER(AVERAGE('20250815_ETF_Options_Exhibits'!C1178:C1182)),AVERAGE('20250815_ETF_Options_Exhibits'!C1178:C1182),"")</f>
        <v/>
      </c>
      <c r="D1182" s="3">
        <f>IF(ISNUMBER(AVERAGE('20250815_ETF_Options_Exhibits'!D1178:D1182)),AVERAGE('20250815_ETF_Options_Exhibits'!D1178:D1182),"")</f>
        <v/>
      </c>
      <c r="E1182" s="3">
        <f>IF(ISNUMBER(AVERAGE('20250815_ETF_Options_Exhibits'!E1178:E1182)),AVERAGE('20250815_ETF_Options_Exhibits'!E1178:E1182),"")</f>
        <v/>
      </c>
      <c r="F1182" s="3">
        <f>IF(ISNUMBER(AVERAGE('20250815_ETF_Options_Exhibits'!F1178:F1182)),AVERAGE('20250815_ETF_Options_Exhibits'!F1178:F1182),"")</f>
        <v/>
      </c>
      <c r="G1182" s="3">
        <f>IF(ISNUMBER(AVERAGE('20250815_ETF_Options_Exhibits'!G1178:G1182)),AVERAGE('20250815_ETF_Options_Exhibits'!G1178:G1182),"")</f>
        <v/>
      </c>
      <c r="H1182" s="3">
        <f>IF(ISNUMBER(AVERAGE('20250815_ETF_Options_Exhibits'!H1178:H1182)),AVERAGE('20250815_ETF_Options_Exhibits'!H1178:H1182),"")</f>
        <v/>
      </c>
      <c r="I1182" s="3">
        <f>IF(ISNUMBER(AVERAGE('20250815_ETF_Options_Exhibits'!I1178:I1182)),AVERAGE('20250815_ETF_Options_Exhibits'!I1178:I1182),"")</f>
        <v/>
      </c>
      <c r="J1182" s="3">
        <f>IF(ISNUMBER(AVERAGE('20250815_ETF_Options_Exhibits'!J1178:J1182)),AVERAGE('20250815_ETF_Options_Exhibits'!J1178:J1182),"")</f>
        <v/>
      </c>
      <c r="K1182" s="3">
        <f>IF(ISNUMBER(AVERAGE('20250815_ETF_Options_Exhibits'!K1178:K1182)),AVERAGE('20250815_ETF_Options_Exhibits'!K1178:K1182),"")</f>
        <v/>
      </c>
      <c r="L1182" s="3">
        <f>IF(ISNUMBER(AVERAGE('20250815_ETF_Options_Exhibits'!L1178:L1182)),AVERAGE('20250815_ETF_Options_Exhibits'!L1178:L1182),"")</f>
        <v/>
      </c>
      <c r="M1182" s="3">
        <f>IF(ISNUMBER(AVERAGE('20250815_ETF_Options_Exhibits'!M1178:M1182)),AVERAGE('20250815_ETF_Options_Exhibits'!M1178:M1182),"")</f>
        <v/>
      </c>
      <c r="N1182" s="3">
        <f>IF(ISNUMBER(AVERAGE('20250815_ETF_Options_Exhibits'!N1178:N1182)),AVERAGE('20250815_ETF_Options_Exhibits'!N1178:N1182),"")</f>
        <v/>
      </c>
      <c r="O1182" s="3">
        <f>IF(ISNUMBER(AVERAGE('20250815_ETF_Options_Exhibits'!O1178:O1182)),AVERAGE('20250815_ETF_Options_Exhibits'!O1178:O1182),"")</f>
        <v/>
      </c>
      <c r="P1182" s="3">
        <f>IF(ISNUMBER(AVERAGE('20250815_ETF_Options_Exhibits'!P1178:P1182)),AVERAGE('20250815_ETF_Options_Exhibits'!P1178:P1182),"")</f>
        <v/>
      </c>
      <c r="Q1182" s="3">
        <f>IF(ISNUMBER(AVERAGE('20250815_ETF_Options_Exhibits'!Q1178:Q1182)),AVERAGE('20250815_ETF_Options_Exhibits'!Q1178:Q1182),"")</f>
        <v/>
      </c>
      <c r="R1182" s="3">
        <f>IF(ISNUMBER(AVERAGE('20250815_ETF_Options_Exhibits'!R1178:R1182)),AVERAGE('20250815_ETF_Options_Exhibits'!R1178:R1182),"")</f>
        <v/>
      </c>
      <c r="S1182" s="3">
        <f>IF(ISNUMBER(AVERAGE('20250815_ETF_Options_Exhibits'!S1178:S1182)),AVERAGE('20250815_ETF_Options_Exhibits'!S1178:S1182),"")</f>
        <v/>
      </c>
      <c r="T1182" s="3">
        <f>IF(ISNUMBER(AVERAGE('20250815_ETF_Options_Exhibits'!T1178:T1182)),AVERAGE('20250815_ETF_Options_Exhibits'!T1178:T1182),"")</f>
        <v/>
      </c>
      <c r="U1182" s="3">
        <f>IF(ISNUMBER(AVERAGE('20250815_ETF_Options_Exhibits'!U1178:U1182)),AVERAGE('20250815_ETF_Options_Exhibits'!U1178:U1182),"")</f>
        <v/>
      </c>
      <c r="V1182" s="3">
        <f>IF(ISNUMBER(AVERAGE('20250815_ETF_Options_Exhibits'!V1178:V1182)),AVERAGE('20250815_ETF_Options_Exhibits'!V1178:V1182),"")</f>
        <v/>
      </c>
      <c r="W1182" s="3">
        <f>IF(ISNUMBER(AVERAGE('20250815_ETF_Options_Exhibits'!W1178:W1182)),AVERAGE('20250815_ETF_Options_Exhibits'!W1178:W1182),"")</f>
        <v/>
      </c>
      <c r="X1182" s="3">
        <f>IF(ISNUMBER(AVERAGE('20250815_ETF_Options_Exhibits'!X1178:X1182)),AVERAGE('20250815_ETF_Options_Exhibits'!X1178:X1182),"")</f>
        <v/>
      </c>
      <c r="Y1182" s="3">
        <f>IF(ISNUMBER(AVERAGE('20250815_ETF_Options_Exhibits'!Y1178:Y1182)),AVERAGE('20250815_ETF_Options_Exhibits'!Y1178:Y1182),"")</f>
        <v/>
      </c>
      <c r="Z1182" s="3">
        <f>IF(ISNUMBER(AVERAGE('20250815_ETF_Options_Exhibits'!Z1178:Z1182)),AVERAGE('20250815_ETF_Options_Exhibits'!Z1178:Z1182),"")</f>
        <v/>
      </c>
      <c r="AA1182" s="3">
        <f>IF(ISNUMBER(AVERAGE('20250815_ETF_Options_Exhibits'!AA1178:AA1182)),AVERAGE('20250815_ETF_Options_Exhibits'!AA1178:AA1182),"")</f>
        <v/>
      </c>
    </row>
    <row r="1183">
      <c r="A1183" s="1" t="n">
        <v>43719</v>
      </c>
      <c r="B1183" s="3">
        <f>IF(ISNUMBER(AVERAGE('20250815_ETF_Options_Exhibits'!B1179:B1183)),AVERAGE('20250815_ETF_Options_Exhibits'!B1179:B1183),"")</f>
        <v/>
      </c>
      <c r="C1183" s="3">
        <f>IF(ISNUMBER(AVERAGE('20250815_ETF_Options_Exhibits'!C1179:C1183)),AVERAGE('20250815_ETF_Options_Exhibits'!C1179:C1183),"")</f>
        <v/>
      </c>
      <c r="D1183" s="3">
        <f>IF(ISNUMBER(AVERAGE('20250815_ETF_Options_Exhibits'!D1179:D1183)),AVERAGE('20250815_ETF_Options_Exhibits'!D1179:D1183),"")</f>
        <v/>
      </c>
      <c r="E1183" s="3">
        <f>IF(ISNUMBER(AVERAGE('20250815_ETF_Options_Exhibits'!E1179:E1183)),AVERAGE('20250815_ETF_Options_Exhibits'!E1179:E1183),"")</f>
        <v/>
      </c>
      <c r="F1183" s="3">
        <f>IF(ISNUMBER(AVERAGE('20250815_ETF_Options_Exhibits'!F1179:F1183)),AVERAGE('20250815_ETF_Options_Exhibits'!F1179:F1183),"")</f>
        <v/>
      </c>
      <c r="G1183" s="3">
        <f>IF(ISNUMBER(AVERAGE('20250815_ETF_Options_Exhibits'!G1179:G1183)),AVERAGE('20250815_ETF_Options_Exhibits'!G1179:G1183),"")</f>
        <v/>
      </c>
      <c r="H1183" s="3">
        <f>IF(ISNUMBER(AVERAGE('20250815_ETF_Options_Exhibits'!H1179:H1183)),AVERAGE('20250815_ETF_Options_Exhibits'!H1179:H1183),"")</f>
        <v/>
      </c>
      <c r="I1183" s="3">
        <f>IF(ISNUMBER(AVERAGE('20250815_ETF_Options_Exhibits'!I1179:I1183)),AVERAGE('20250815_ETF_Options_Exhibits'!I1179:I1183),"")</f>
        <v/>
      </c>
      <c r="J1183" s="3">
        <f>IF(ISNUMBER(AVERAGE('20250815_ETF_Options_Exhibits'!J1179:J1183)),AVERAGE('20250815_ETF_Options_Exhibits'!J1179:J1183),"")</f>
        <v/>
      </c>
      <c r="K1183" s="3">
        <f>IF(ISNUMBER(AVERAGE('20250815_ETF_Options_Exhibits'!K1179:K1183)),AVERAGE('20250815_ETF_Options_Exhibits'!K1179:K1183),"")</f>
        <v/>
      </c>
      <c r="L1183" s="3">
        <f>IF(ISNUMBER(AVERAGE('20250815_ETF_Options_Exhibits'!L1179:L1183)),AVERAGE('20250815_ETF_Options_Exhibits'!L1179:L1183),"")</f>
        <v/>
      </c>
      <c r="M1183" s="3">
        <f>IF(ISNUMBER(AVERAGE('20250815_ETF_Options_Exhibits'!M1179:M1183)),AVERAGE('20250815_ETF_Options_Exhibits'!M1179:M1183),"")</f>
        <v/>
      </c>
      <c r="N1183" s="3">
        <f>IF(ISNUMBER(AVERAGE('20250815_ETF_Options_Exhibits'!N1179:N1183)),AVERAGE('20250815_ETF_Options_Exhibits'!N1179:N1183),"")</f>
        <v/>
      </c>
      <c r="O1183" s="3">
        <f>IF(ISNUMBER(AVERAGE('20250815_ETF_Options_Exhibits'!O1179:O1183)),AVERAGE('20250815_ETF_Options_Exhibits'!O1179:O1183),"")</f>
        <v/>
      </c>
      <c r="P1183" s="3">
        <f>IF(ISNUMBER(AVERAGE('20250815_ETF_Options_Exhibits'!P1179:P1183)),AVERAGE('20250815_ETF_Options_Exhibits'!P1179:P1183),"")</f>
        <v/>
      </c>
      <c r="Q1183" s="3">
        <f>IF(ISNUMBER(AVERAGE('20250815_ETF_Options_Exhibits'!Q1179:Q1183)),AVERAGE('20250815_ETF_Options_Exhibits'!Q1179:Q1183),"")</f>
        <v/>
      </c>
      <c r="R1183" s="3">
        <f>IF(ISNUMBER(AVERAGE('20250815_ETF_Options_Exhibits'!R1179:R1183)),AVERAGE('20250815_ETF_Options_Exhibits'!R1179:R1183),"")</f>
        <v/>
      </c>
      <c r="S1183" s="3">
        <f>IF(ISNUMBER(AVERAGE('20250815_ETF_Options_Exhibits'!S1179:S1183)),AVERAGE('20250815_ETF_Options_Exhibits'!S1179:S1183),"")</f>
        <v/>
      </c>
      <c r="T1183" s="3">
        <f>IF(ISNUMBER(AVERAGE('20250815_ETF_Options_Exhibits'!T1179:T1183)),AVERAGE('20250815_ETF_Options_Exhibits'!T1179:T1183),"")</f>
        <v/>
      </c>
      <c r="U1183" s="3">
        <f>IF(ISNUMBER(AVERAGE('20250815_ETF_Options_Exhibits'!U1179:U1183)),AVERAGE('20250815_ETF_Options_Exhibits'!U1179:U1183),"")</f>
        <v/>
      </c>
      <c r="V1183" s="3">
        <f>IF(ISNUMBER(AVERAGE('20250815_ETF_Options_Exhibits'!V1179:V1183)),AVERAGE('20250815_ETF_Options_Exhibits'!V1179:V1183),"")</f>
        <v/>
      </c>
      <c r="W1183" s="3">
        <f>IF(ISNUMBER(AVERAGE('20250815_ETF_Options_Exhibits'!W1179:W1183)),AVERAGE('20250815_ETF_Options_Exhibits'!W1179:W1183),"")</f>
        <v/>
      </c>
      <c r="X1183" s="3">
        <f>IF(ISNUMBER(AVERAGE('20250815_ETF_Options_Exhibits'!X1179:X1183)),AVERAGE('20250815_ETF_Options_Exhibits'!X1179:X1183),"")</f>
        <v/>
      </c>
      <c r="Y1183" s="3">
        <f>IF(ISNUMBER(AVERAGE('20250815_ETF_Options_Exhibits'!Y1179:Y1183)),AVERAGE('20250815_ETF_Options_Exhibits'!Y1179:Y1183),"")</f>
        <v/>
      </c>
      <c r="Z1183" s="3">
        <f>IF(ISNUMBER(AVERAGE('20250815_ETF_Options_Exhibits'!Z1179:Z1183)),AVERAGE('20250815_ETF_Options_Exhibits'!Z1179:Z1183),"")</f>
        <v/>
      </c>
      <c r="AA1183" s="3">
        <f>IF(ISNUMBER(AVERAGE('20250815_ETF_Options_Exhibits'!AA1179:AA1183)),AVERAGE('20250815_ETF_Options_Exhibits'!AA1179:AA1183),"")</f>
        <v/>
      </c>
    </row>
    <row r="1184">
      <c r="A1184" s="1" t="n">
        <v>43720</v>
      </c>
      <c r="B1184" s="3">
        <f>IF(ISNUMBER(AVERAGE('20250815_ETF_Options_Exhibits'!B1180:B1184)),AVERAGE('20250815_ETF_Options_Exhibits'!B1180:B1184),"")</f>
        <v/>
      </c>
      <c r="C1184" s="3">
        <f>IF(ISNUMBER(AVERAGE('20250815_ETF_Options_Exhibits'!C1180:C1184)),AVERAGE('20250815_ETF_Options_Exhibits'!C1180:C1184),"")</f>
        <v/>
      </c>
      <c r="D1184" s="3">
        <f>IF(ISNUMBER(AVERAGE('20250815_ETF_Options_Exhibits'!D1180:D1184)),AVERAGE('20250815_ETF_Options_Exhibits'!D1180:D1184),"")</f>
        <v/>
      </c>
      <c r="E1184" s="3">
        <f>IF(ISNUMBER(AVERAGE('20250815_ETF_Options_Exhibits'!E1180:E1184)),AVERAGE('20250815_ETF_Options_Exhibits'!E1180:E1184),"")</f>
        <v/>
      </c>
      <c r="F1184" s="3">
        <f>IF(ISNUMBER(AVERAGE('20250815_ETF_Options_Exhibits'!F1180:F1184)),AVERAGE('20250815_ETF_Options_Exhibits'!F1180:F1184),"")</f>
        <v/>
      </c>
      <c r="G1184" s="3">
        <f>IF(ISNUMBER(AVERAGE('20250815_ETF_Options_Exhibits'!G1180:G1184)),AVERAGE('20250815_ETF_Options_Exhibits'!G1180:G1184),"")</f>
        <v/>
      </c>
      <c r="H1184" s="3">
        <f>IF(ISNUMBER(AVERAGE('20250815_ETF_Options_Exhibits'!H1180:H1184)),AVERAGE('20250815_ETF_Options_Exhibits'!H1180:H1184),"")</f>
        <v/>
      </c>
      <c r="I1184" s="3">
        <f>IF(ISNUMBER(AVERAGE('20250815_ETF_Options_Exhibits'!I1180:I1184)),AVERAGE('20250815_ETF_Options_Exhibits'!I1180:I1184),"")</f>
        <v/>
      </c>
      <c r="J1184" s="3">
        <f>IF(ISNUMBER(AVERAGE('20250815_ETF_Options_Exhibits'!J1180:J1184)),AVERAGE('20250815_ETF_Options_Exhibits'!J1180:J1184),"")</f>
        <v/>
      </c>
      <c r="K1184" s="3">
        <f>IF(ISNUMBER(AVERAGE('20250815_ETF_Options_Exhibits'!K1180:K1184)),AVERAGE('20250815_ETF_Options_Exhibits'!K1180:K1184),"")</f>
        <v/>
      </c>
      <c r="L1184" s="3">
        <f>IF(ISNUMBER(AVERAGE('20250815_ETF_Options_Exhibits'!L1180:L1184)),AVERAGE('20250815_ETF_Options_Exhibits'!L1180:L1184),"")</f>
        <v/>
      </c>
      <c r="M1184" s="3">
        <f>IF(ISNUMBER(AVERAGE('20250815_ETF_Options_Exhibits'!M1180:M1184)),AVERAGE('20250815_ETF_Options_Exhibits'!M1180:M1184),"")</f>
        <v/>
      </c>
      <c r="N1184" s="3">
        <f>IF(ISNUMBER(AVERAGE('20250815_ETF_Options_Exhibits'!N1180:N1184)),AVERAGE('20250815_ETF_Options_Exhibits'!N1180:N1184),"")</f>
        <v/>
      </c>
      <c r="O1184" s="3">
        <f>IF(ISNUMBER(AVERAGE('20250815_ETF_Options_Exhibits'!O1180:O1184)),AVERAGE('20250815_ETF_Options_Exhibits'!O1180:O1184),"")</f>
        <v/>
      </c>
      <c r="P1184" s="3">
        <f>IF(ISNUMBER(AVERAGE('20250815_ETF_Options_Exhibits'!P1180:P1184)),AVERAGE('20250815_ETF_Options_Exhibits'!P1180:P1184),"")</f>
        <v/>
      </c>
      <c r="Q1184" s="3">
        <f>IF(ISNUMBER(AVERAGE('20250815_ETF_Options_Exhibits'!Q1180:Q1184)),AVERAGE('20250815_ETF_Options_Exhibits'!Q1180:Q1184),"")</f>
        <v/>
      </c>
      <c r="R1184" s="3">
        <f>IF(ISNUMBER(AVERAGE('20250815_ETF_Options_Exhibits'!R1180:R1184)),AVERAGE('20250815_ETF_Options_Exhibits'!R1180:R1184),"")</f>
        <v/>
      </c>
      <c r="S1184" s="3">
        <f>IF(ISNUMBER(AVERAGE('20250815_ETF_Options_Exhibits'!S1180:S1184)),AVERAGE('20250815_ETF_Options_Exhibits'!S1180:S1184),"")</f>
        <v/>
      </c>
      <c r="T1184" s="3">
        <f>IF(ISNUMBER(AVERAGE('20250815_ETF_Options_Exhibits'!T1180:T1184)),AVERAGE('20250815_ETF_Options_Exhibits'!T1180:T1184),"")</f>
        <v/>
      </c>
      <c r="U1184" s="3">
        <f>IF(ISNUMBER(AVERAGE('20250815_ETF_Options_Exhibits'!U1180:U1184)),AVERAGE('20250815_ETF_Options_Exhibits'!U1180:U1184),"")</f>
        <v/>
      </c>
      <c r="V1184" s="3">
        <f>IF(ISNUMBER(AVERAGE('20250815_ETF_Options_Exhibits'!V1180:V1184)),AVERAGE('20250815_ETF_Options_Exhibits'!V1180:V1184),"")</f>
        <v/>
      </c>
      <c r="W1184" s="3">
        <f>IF(ISNUMBER(AVERAGE('20250815_ETF_Options_Exhibits'!W1180:W1184)),AVERAGE('20250815_ETF_Options_Exhibits'!W1180:W1184),"")</f>
        <v/>
      </c>
      <c r="X1184" s="3">
        <f>IF(ISNUMBER(AVERAGE('20250815_ETF_Options_Exhibits'!X1180:X1184)),AVERAGE('20250815_ETF_Options_Exhibits'!X1180:X1184),"")</f>
        <v/>
      </c>
      <c r="Y1184" s="3">
        <f>IF(ISNUMBER(AVERAGE('20250815_ETF_Options_Exhibits'!Y1180:Y1184)),AVERAGE('20250815_ETF_Options_Exhibits'!Y1180:Y1184),"")</f>
        <v/>
      </c>
      <c r="Z1184" s="3">
        <f>IF(ISNUMBER(AVERAGE('20250815_ETF_Options_Exhibits'!Z1180:Z1184)),AVERAGE('20250815_ETF_Options_Exhibits'!Z1180:Z1184),"")</f>
        <v/>
      </c>
      <c r="AA1184" s="3">
        <f>IF(ISNUMBER(AVERAGE('20250815_ETF_Options_Exhibits'!AA1180:AA1184)),AVERAGE('20250815_ETF_Options_Exhibits'!AA1180:AA1184),"")</f>
        <v/>
      </c>
    </row>
    <row r="1185">
      <c r="A1185" s="1" t="n">
        <v>43721</v>
      </c>
      <c r="B1185" s="3">
        <f>IF(ISNUMBER(AVERAGE('20250815_ETF_Options_Exhibits'!B1181:B1185)),AVERAGE('20250815_ETF_Options_Exhibits'!B1181:B1185),"")</f>
        <v/>
      </c>
      <c r="C1185" s="3">
        <f>IF(ISNUMBER(AVERAGE('20250815_ETF_Options_Exhibits'!C1181:C1185)),AVERAGE('20250815_ETF_Options_Exhibits'!C1181:C1185),"")</f>
        <v/>
      </c>
      <c r="D1185" s="3">
        <f>IF(ISNUMBER(AVERAGE('20250815_ETF_Options_Exhibits'!D1181:D1185)),AVERAGE('20250815_ETF_Options_Exhibits'!D1181:D1185),"")</f>
        <v/>
      </c>
      <c r="E1185" s="3">
        <f>IF(ISNUMBER(AVERAGE('20250815_ETF_Options_Exhibits'!E1181:E1185)),AVERAGE('20250815_ETF_Options_Exhibits'!E1181:E1185),"")</f>
        <v/>
      </c>
      <c r="F1185" s="3">
        <f>IF(ISNUMBER(AVERAGE('20250815_ETF_Options_Exhibits'!F1181:F1185)),AVERAGE('20250815_ETF_Options_Exhibits'!F1181:F1185),"")</f>
        <v/>
      </c>
      <c r="G1185" s="3">
        <f>IF(ISNUMBER(AVERAGE('20250815_ETF_Options_Exhibits'!G1181:G1185)),AVERAGE('20250815_ETF_Options_Exhibits'!G1181:G1185),"")</f>
        <v/>
      </c>
      <c r="H1185" s="3">
        <f>IF(ISNUMBER(AVERAGE('20250815_ETF_Options_Exhibits'!H1181:H1185)),AVERAGE('20250815_ETF_Options_Exhibits'!H1181:H1185),"")</f>
        <v/>
      </c>
      <c r="I1185" s="3">
        <f>IF(ISNUMBER(AVERAGE('20250815_ETF_Options_Exhibits'!I1181:I1185)),AVERAGE('20250815_ETF_Options_Exhibits'!I1181:I1185),"")</f>
        <v/>
      </c>
      <c r="J1185" s="3">
        <f>IF(ISNUMBER(AVERAGE('20250815_ETF_Options_Exhibits'!J1181:J1185)),AVERAGE('20250815_ETF_Options_Exhibits'!J1181:J1185),"")</f>
        <v/>
      </c>
      <c r="K1185" s="3">
        <f>IF(ISNUMBER(AVERAGE('20250815_ETF_Options_Exhibits'!K1181:K1185)),AVERAGE('20250815_ETF_Options_Exhibits'!K1181:K1185),"")</f>
        <v/>
      </c>
      <c r="L1185" s="3">
        <f>IF(ISNUMBER(AVERAGE('20250815_ETF_Options_Exhibits'!L1181:L1185)),AVERAGE('20250815_ETF_Options_Exhibits'!L1181:L1185),"")</f>
        <v/>
      </c>
      <c r="M1185" s="3">
        <f>IF(ISNUMBER(AVERAGE('20250815_ETF_Options_Exhibits'!M1181:M1185)),AVERAGE('20250815_ETF_Options_Exhibits'!M1181:M1185),"")</f>
        <v/>
      </c>
      <c r="N1185" s="3">
        <f>IF(ISNUMBER(AVERAGE('20250815_ETF_Options_Exhibits'!N1181:N1185)),AVERAGE('20250815_ETF_Options_Exhibits'!N1181:N1185),"")</f>
        <v/>
      </c>
      <c r="O1185" s="3">
        <f>IF(ISNUMBER(AVERAGE('20250815_ETF_Options_Exhibits'!O1181:O1185)),AVERAGE('20250815_ETF_Options_Exhibits'!O1181:O1185),"")</f>
        <v/>
      </c>
      <c r="P1185" s="3">
        <f>IF(ISNUMBER(AVERAGE('20250815_ETF_Options_Exhibits'!P1181:P1185)),AVERAGE('20250815_ETF_Options_Exhibits'!P1181:P1185),"")</f>
        <v/>
      </c>
      <c r="Q1185" s="3">
        <f>IF(ISNUMBER(AVERAGE('20250815_ETF_Options_Exhibits'!Q1181:Q1185)),AVERAGE('20250815_ETF_Options_Exhibits'!Q1181:Q1185),"")</f>
        <v/>
      </c>
      <c r="R1185" s="3">
        <f>IF(ISNUMBER(AVERAGE('20250815_ETF_Options_Exhibits'!R1181:R1185)),AVERAGE('20250815_ETF_Options_Exhibits'!R1181:R1185),"")</f>
        <v/>
      </c>
      <c r="S1185" s="3">
        <f>IF(ISNUMBER(AVERAGE('20250815_ETF_Options_Exhibits'!S1181:S1185)),AVERAGE('20250815_ETF_Options_Exhibits'!S1181:S1185),"")</f>
        <v/>
      </c>
      <c r="T1185" s="3">
        <f>IF(ISNUMBER(AVERAGE('20250815_ETF_Options_Exhibits'!T1181:T1185)),AVERAGE('20250815_ETF_Options_Exhibits'!T1181:T1185),"")</f>
        <v/>
      </c>
      <c r="U1185" s="3">
        <f>IF(ISNUMBER(AVERAGE('20250815_ETF_Options_Exhibits'!U1181:U1185)),AVERAGE('20250815_ETF_Options_Exhibits'!U1181:U1185),"")</f>
        <v/>
      </c>
      <c r="V1185" s="3">
        <f>IF(ISNUMBER(AVERAGE('20250815_ETF_Options_Exhibits'!V1181:V1185)),AVERAGE('20250815_ETF_Options_Exhibits'!V1181:V1185),"")</f>
        <v/>
      </c>
      <c r="W1185" s="3">
        <f>IF(ISNUMBER(AVERAGE('20250815_ETF_Options_Exhibits'!W1181:W1185)),AVERAGE('20250815_ETF_Options_Exhibits'!W1181:W1185),"")</f>
        <v/>
      </c>
      <c r="X1185" s="3">
        <f>IF(ISNUMBER(AVERAGE('20250815_ETF_Options_Exhibits'!X1181:X1185)),AVERAGE('20250815_ETF_Options_Exhibits'!X1181:X1185),"")</f>
        <v/>
      </c>
      <c r="Y1185" s="3">
        <f>IF(ISNUMBER(AVERAGE('20250815_ETF_Options_Exhibits'!Y1181:Y1185)),AVERAGE('20250815_ETF_Options_Exhibits'!Y1181:Y1185),"")</f>
        <v/>
      </c>
      <c r="Z1185" s="3">
        <f>IF(ISNUMBER(AVERAGE('20250815_ETF_Options_Exhibits'!Z1181:Z1185)),AVERAGE('20250815_ETF_Options_Exhibits'!Z1181:Z1185),"")</f>
        <v/>
      </c>
      <c r="AA1185" s="3">
        <f>IF(ISNUMBER(AVERAGE('20250815_ETF_Options_Exhibits'!AA1181:AA1185)),AVERAGE('20250815_ETF_Options_Exhibits'!AA1181:AA1185),"")</f>
        <v/>
      </c>
    </row>
    <row r="1186">
      <c r="A1186" s="1" t="n">
        <v>43724</v>
      </c>
      <c r="B1186" s="3">
        <f>IF(ISNUMBER(AVERAGE('20250815_ETF_Options_Exhibits'!B1182:B1186)),AVERAGE('20250815_ETF_Options_Exhibits'!B1182:B1186),"")</f>
        <v/>
      </c>
      <c r="C1186" s="3">
        <f>IF(ISNUMBER(AVERAGE('20250815_ETF_Options_Exhibits'!C1182:C1186)),AVERAGE('20250815_ETF_Options_Exhibits'!C1182:C1186),"")</f>
        <v/>
      </c>
      <c r="D1186" s="3">
        <f>IF(ISNUMBER(AVERAGE('20250815_ETF_Options_Exhibits'!D1182:D1186)),AVERAGE('20250815_ETF_Options_Exhibits'!D1182:D1186),"")</f>
        <v/>
      </c>
      <c r="E1186" s="3">
        <f>IF(ISNUMBER(AVERAGE('20250815_ETF_Options_Exhibits'!E1182:E1186)),AVERAGE('20250815_ETF_Options_Exhibits'!E1182:E1186),"")</f>
        <v/>
      </c>
      <c r="F1186" s="3">
        <f>IF(ISNUMBER(AVERAGE('20250815_ETF_Options_Exhibits'!F1182:F1186)),AVERAGE('20250815_ETF_Options_Exhibits'!F1182:F1186),"")</f>
        <v/>
      </c>
      <c r="G1186" s="3">
        <f>IF(ISNUMBER(AVERAGE('20250815_ETF_Options_Exhibits'!G1182:G1186)),AVERAGE('20250815_ETF_Options_Exhibits'!G1182:G1186),"")</f>
        <v/>
      </c>
      <c r="H1186" s="3">
        <f>IF(ISNUMBER(AVERAGE('20250815_ETF_Options_Exhibits'!H1182:H1186)),AVERAGE('20250815_ETF_Options_Exhibits'!H1182:H1186),"")</f>
        <v/>
      </c>
      <c r="I1186" s="3">
        <f>IF(ISNUMBER(AVERAGE('20250815_ETF_Options_Exhibits'!I1182:I1186)),AVERAGE('20250815_ETF_Options_Exhibits'!I1182:I1186),"")</f>
        <v/>
      </c>
      <c r="J1186" s="3">
        <f>IF(ISNUMBER(AVERAGE('20250815_ETF_Options_Exhibits'!J1182:J1186)),AVERAGE('20250815_ETF_Options_Exhibits'!J1182:J1186),"")</f>
        <v/>
      </c>
      <c r="K1186" s="3">
        <f>IF(ISNUMBER(AVERAGE('20250815_ETF_Options_Exhibits'!K1182:K1186)),AVERAGE('20250815_ETF_Options_Exhibits'!K1182:K1186),"")</f>
        <v/>
      </c>
      <c r="L1186" s="3">
        <f>IF(ISNUMBER(AVERAGE('20250815_ETF_Options_Exhibits'!L1182:L1186)),AVERAGE('20250815_ETF_Options_Exhibits'!L1182:L1186),"")</f>
        <v/>
      </c>
      <c r="M1186" s="3">
        <f>IF(ISNUMBER(AVERAGE('20250815_ETF_Options_Exhibits'!M1182:M1186)),AVERAGE('20250815_ETF_Options_Exhibits'!M1182:M1186),"")</f>
        <v/>
      </c>
      <c r="N1186" s="3">
        <f>IF(ISNUMBER(AVERAGE('20250815_ETF_Options_Exhibits'!N1182:N1186)),AVERAGE('20250815_ETF_Options_Exhibits'!N1182:N1186),"")</f>
        <v/>
      </c>
      <c r="O1186" s="3">
        <f>IF(ISNUMBER(AVERAGE('20250815_ETF_Options_Exhibits'!O1182:O1186)),AVERAGE('20250815_ETF_Options_Exhibits'!O1182:O1186),"")</f>
        <v/>
      </c>
      <c r="P1186" s="3">
        <f>IF(ISNUMBER(AVERAGE('20250815_ETF_Options_Exhibits'!P1182:P1186)),AVERAGE('20250815_ETF_Options_Exhibits'!P1182:P1186),"")</f>
        <v/>
      </c>
      <c r="Q1186" s="3">
        <f>IF(ISNUMBER(AVERAGE('20250815_ETF_Options_Exhibits'!Q1182:Q1186)),AVERAGE('20250815_ETF_Options_Exhibits'!Q1182:Q1186),"")</f>
        <v/>
      </c>
      <c r="R1186" s="3">
        <f>IF(ISNUMBER(AVERAGE('20250815_ETF_Options_Exhibits'!R1182:R1186)),AVERAGE('20250815_ETF_Options_Exhibits'!R1182:R1186),"")</f>
        <v/>
      </c>
      <c r="S1186" s="3">
        <f>IF(ISNUMBER(AVERAGE('20250815_ETF_Options_Exhibits'!S1182:S1186)),AVERAGE('20250815_ETF_Options_Exhibits'!S1182:S1186),"")</f>
        <v/>
      </c>
      <c r="T1186" s="3">
        <f>IF(ISNUMBER(AVERAGE('20250815_ETF_Options_Exhibits'!T1182:T1186)),AVERAGE('20250815_ETF_Options_Exhibits'!T1182:T1186),"")</f>
        <v/>
      </c>
      <c r="U1186" s="3">
        <f>IF(ISNUMBER(AVERAGE('20250815_ETF_Options_Exhibits'!U1182:U1186)),AVERAGE('20250815_ETF_Options_Exhibits'!U1182:U1186),"")</f>
        <v/>
      </c>
      <c r="V1186" s="3">
        <f>IF(ISNUMBER(AVERAGE('20250815_ETF_Options_Exhibits'!V1182:V1186)),AVERAGE('20250815_ETF_Options_Exhibits'!V1182:V1186),"")</f>
        <v/>
      </c>
      <c r="W1186" s="3">
        <f>IF(ISNUMBER(AVERAGE('20250815_ETF_Options_Exhibits'!W1182:W1186)),AVERAGE('20250815_ETF_Options_Exhibits'!W1182:W1186),"")</f>
        <v/>
      </c>
      <c r="X1186" s="3">
        <f>IF(ISNUMBER(AVERAGE('20250815_ETF_Options_Exhibits'!X1182:X1186)),AVERAGE('20250815_ETF_Options_Exhibits'!X1182:X1186),"")</f>
        <v/>
      </c>
      <c r="Y1186" s="3">
        <f>IF(ISNUMBER(AVERAGE('20250815_ETF_Options_Exhibits'!Y1182:Y1186)),AVERAGE('20250815_ETF_Options_Exhibits'!Y1182:Y1186),"")</f>
        <v/>
      </c>
      <c r="Z1186" s="3">
        <f>IF(ISNUMBER(AVERAGE('20250815_ETF_Options_Exhibits'!Z1182:Z1186)),AVERAGE('20250815_ETF_Options_Exhibits'!Z1182:Z1186),"")</f>
        <v/>
      </c>
      <c r="AA1186" s="3">
        <f>IF(ISNUMBER(AVERAGE('20250815_ETF_Options_Exhibits'!AA1182:AA1186)),AVERAGE('20250815_ETF_Options_Exhibits'!AA1182:AA1186),"")</f>
        <v/>
      </c>
    </row>
    <row r="1187">
      <c r="A1187" s="1" t="n">
        <v>43725</v>
      </c>
      <c r="B1187" s="3">
        <f>IF(ISNUMBER(AVERAGE('20250815_ETF_Options_Exhibits'!B1183:B1187)),AVERAGE('20250815_ETF_Options_Exhibits'!B1183:B1187),"")</f>
        <v/>
      </c>
      <c r="C1187" s="3">
        <f>IF(ISNUMBER(AVERAGE('20250815_ETF_Options_Exhibits'!C1183:C1187)),AVERAGE('20250815_ETF_Options_Exhibits'!C1183:C1187),"")</f>
        <v/>
      </c>
      <c r="D1187" s="3">
        <f>IF(ISNUMBER(AVERAGE('20250815_ETF_Options_Exhibits'!D1183:D1187)),AVERAGE('20250815_ETF_Options_Exhibits'!D1183:D1187),"")</f>
        <v/>
      </c>
      <c r="E1187" s="3">
        <f>IF(ISNUMBER(AVERAGE('20250815_ETF_Options_Exhibits'!E1183:E1187)),AVERAGE('20250815_ETF_Options_Exhibits'!E1183:E1187),"")</f>
        <v/>
      </c>
      <c r="F1187" s="3">
        <f>IF(ISNUMBER(AVERAGE('20250815_ETF_Options_Exhibits'!F1183:F1187)),AVERAGE('20250815_ETF_Options_Exhibits'!F1183:F1187),"")</f>
        <v/>
      </c>
      <c r="G1187" s="3">
        <f>IF(ISNUMBER(AVERAGE('20250815_ETF_Options_Exhibits'!G1183:G1187)),AVERAGE('20250815_ETF_Options_Exhibits'!G1183:G1187),"")</f>
        <v/>
      </c>
      <c r="H1187" s="3">
        <f>IF(ISNUMBER(AVERAGE('20250815_ETF_Options_Exhibits'!H1183:H1187)),AVERAGE('20250815_ETF_Options_Exhibits'!H1183:H1187),"")</f>
        <v/>
      </c>
      <c r="I1187" s="3">
        <f>IF(ISNUMBER(AVERAGE('20250815_ETF_Options_Exhibits'!I1183:I1187)),AVERAGE('20250815_ETF_Options_Exhibits'!I1183:I1187),"")</f>
        <v/>
      </c>
      <c r="J1187" s="3">
        <f>IF(ISNUMBER(AVERAGE('20250815_ETF_Options_Exhibits'!J1183:J1187)),AVERAGE('20250815_ETF_Options_Exhibits'!J1183:J1187),"")</f>
        <v/>
      </c>
      <c r="K1187" s="3">
        <f>IF(ISNUMBER(AVERAGE('20250815_ETF_Options_Exhibits'!K1183:K1187)),AVERAGE('20250815_ETF_Options_Exhibits'!K1183:K1187),"")</f>
        <v/>
      </c>
      <c r="L1187" s="3">
        <f>IF(ISNUMBER(AVERAGE('20250815_ETF_Options_Exhibits'!L1183:L1187)),AVERAGE('20250815_ETF_Options_Exhibits'!L1183:L1187),"")</f>
        <v/>
      </c>
      <c r="M1187" s="3">
        <f>IF(ISNUMBER(AVERAGE('20250815_ETF_Options_Exhibits'!M1183:M1187)),AVERAGE('20250815_ETF_Options_Exhibits'!M1183:M1187),"")</f>
        <v/>
      </c>
      <c r="N1187" s="3">
        <f>IF(ISNUMBER(AVERAGE('20250815_ETF_Options_Exhibits'!N1183:N1187)),AVERAGE('20250815_ETF_Options_Exhibits'!N1183:N1187),"")</f>
        <v/>
      </c>
      <c r="O1187" s="3">
        <f>IF(ISNUMBER(AVERAGE('20250815_ETF_Options_Exhibits'!O1183:O1187)),AVERAGE('20250815_ETF_Options_Exhibits'!O1183:O1187),"")</f>
        <v/>
      </c>
      <c r="P1187" s="3">
        <f>IF(ISNUMBER(AVERAGE('20250815_ETF_Options_Exhibits'!P1183:P1187)),AVERAGE('20250815_ETF_Options_Exhibits'!P1183:P1187),"")</f>
        <v/>
      </c>
      <c r="Q1187" s="3">
        <f>IF(ISNUMBER(AVERAGE('20250815_ETF_Options_Exhibits'!Q1183:Q1187)),AVERAGE('20250815_ETF_Options_Exhibits'!Q1183:Q1187),"")</f>
        <v/>
      </c>
      <c r="R1187" s="3">
        <f>IF(ISNUMBER(AVERAGE('20250815_ETF_Options_Exhibits'!R1183:R1187)),AVERAGE('20250815_ETF_Options_Exhibits'!R1183:R1187),"")</f>
        <v/>
      </c>
      <c r="S1187" s="3">
        <f>IF(ISNUMBER(AVERAGE('20250815_ETF_Options_Exhibits'!S1183:S1187)),AVERAGE('20250815_ETF_Options_Exhibits'!S1183:S1187),"")</f>
        <v/>
      </c>
      <c r="T1187" s="3">
        <f>IF(ISNUMBER(AVERAGE('20250815_ETF_Options_Exhibits'!T1183:T1187)),AVERAGE('20250815_ETF_Options_Exhibits'!T1183:T1187),"")</f>
        <v/>
      </c>
      <c r="U1187" s="3">
        <f>IF(ISNUMBER(AVERAGE('20250815_ETF_Options_Exhibits'!U1183:U1187)),AVERAGE('20250815_ETF_Options_Exhibits'!U1183:U1187),"")</f>
        <v/>
      </c>
      <c r="V1187" s="3">
        <f>IF(ISNUMBER(AVERAGE('20250815_ETF_Options_Exhibits'!V1183:V1187)),AVERAGE('20250815_ETF_Options_Exhibits'!V1183:V1187),"")</f>
        <v/>
      </c>
      <c r="W1187" s="3">
        <f>IF(ISNUMBER(AVERAGE('20250815_ETF_Options_Exhibits'!W1183:W1187)),AVERAGE('20250815_ETF_Options_Exhibits'!W1183:W1187),"")</f>
        <v/>
      </c>
      <c r="X1187" s="3">
        <f>IF(ISNUMBER(AVERAGE('20250815_ETF_Options_Exhibits'!X1183:X1187)),AVERAGE('20250815_ETF_Options_Exhibits'!X1183:X1187),"")</f>
        <v/>
      </c>
      <c r="Y1187" s="3">
        <f>IF(ISNUMBER(AVERAGE('20250815_ETF_Options_Exhibits'!Y1183:Y1187)),AVERAGE('20250815_ETF_Options_Exhibits'!Y1183:Y1187),"")</f>
        <v/>
      </c>
      <c r="Z1187" s="3">
        <f>IF(ISNUMBER(AVERAGE('20250815_ETF_Options_Exhibits'!Z1183:Z1187)),AVERAGE('20250815_ETF_Options_Exhibits'!Z1183:Z1187),"")</f>
        <v/>
      </c>
      <c r="AA1187" s="3">
        <f>IF(ISNUMBER(AVERAGE('20250815_ETF_Options_Exhibits'!AA1183:AA1187)),AVERAGE('20250815_ETF_Options_Exhibits'!AA1183:AA1187),"")</f>
        <v/>
      </c>
    </row>
    <row r="1188">
      <c r="A1188" s="1" t="n">
        <v>43726</v>
      </c>
      <c r="B1188" s="3">
        <f>IF(ISNUMBER(AVERAGE('20250815_ETF_Options_Exhibits'!B1184:B1188)),AVERAGE('20250815_ETF_Options_Exhibits'!B1184:B1188),"")</f>
        <v/>
      </c>
      <c r="C1188" s="3">
        <f>IF(ISNUMBER(AVERAGE('20250815_ETF_Options_Exhibits'!C1184:C1188)),AVERAGE('20250815_ETF_Options_Exhibits'!C1184:C1188),"")</f>
        <v/>
      </c>
      <c r="D1188" s="3">
        <f>IF(ISNUMBER(AVERAGE('20250815_ETF_Options_Exhibits'!D1184:D1188)),AVERAGE('20250815_ETF_Options_Exhibits'!D1184:D1188),"")</f>
        <v/>
      </c>
      <c r="E1188" s="3">
        <f>IF(ISNUMBER(AVERAGE('20250815_ETF_Options_Exhibits'!E1184:E1188)),AVERAGE('20250815_ETF_Options_Exhibits'!E1184:E1188),"")</f>
        <v/>
      </c>
      <c r="F1188" s="3">
        <f>IF(ISNUMBER(AVERAGE('20250815_ETF_Options_Exhibits'!F1184:F1188)),AVERAGE('20250815_ETF_Options_Exhibits'!F1184:F1188),"")</f>
        <v/>
      </c>
      <c r="G1188" s="3">
        <f>IF(ISNUMBER(AVERAGE('20250815_ETF_Options_Exhibits'!G1184:G1188)),AVERAGE('20250815_ETF_Options_Exhibits'!G1184:G1188),"")</f>
        <v/>
      </c>
      <c r="H1188" s="3">
        <f>IF(ISNUMBER(AVERAGE('20250815_ETF_Options_Exhibits'!H1184:H1188)),AVERAGE('20250815_ETF_Options_Exhibits'!H1184:H1188),"")</f>
        <v/>
      </c>
      <c r="I1188" s="3">
        <f>IF(ISNUMBER(AVERAGE('20250815_ETF_Options_Exhibits'!I1184:I1188)),AVERAGE('20250815_ETF_Options_Exhibits'!I1184:I1188),"")</f>
        <v/>
      </c>
      <c r="J1188" s="3">
        <f>IF(ISNUMBER(AVERAGE('20250815_ETF_Options_Exhibits'!J1184:J1188)),AVERAGE('20250815_ETF_Options_Exhibits'!J1184:J1188),"")</f>
        <v/>
      </c>
      <c r="K1188" s="3">
        <f>IF(ISNUMBER(AVERAGE('20250815_ETF_Options_Exhibits'!K1184:K1188)),AVERAGE('20250815_ETF_Options_Exhibits'!K1184:K1188),"")</f>
        <v/>
      </c>
      <c r="L1188" s="3">
        <f>IF(ISNUMBER(AVERAGE('20250815_ETF_Options_Exhibits'!L1184:L1188)),AVERAGE('20250815_ETF_Options_Exhibits'!L1184:L1188),"")</f>
        <v/>
      </c>
      <c r="M1188" s="3">
        <f>IF(ISNUMBER(AVERAGE('20250815_ETF_Options_Exhibits'!M1184:M1188)),AVERAGE('20250815_ETF_Options_Exhibits'!M1184:M1188),"")</f>
        <v/>
      </c>
      <c r="N1188" s="3">
        <f>IF(ISNUMBER(AVERAGE('20250815_ETF_Options_Exhibits'!N1184:N1188)),AVERAGE('20250815_ETF_Options_Exhibits'!N1184:N1188),"")</f>
        <v/>
      </c>
      <c r="O1188" s="3">
        <f>IF(ISNUMBER(AVERAGE('20250815_ETF_Options_Exhibits'!O1184:O1188)),AVERAGE('20250815_ETF_Options_Exhibits'!O1184:O1188),"")</f>
        <v/>
      </c>
      <c r="P1188" s="3">
        <f>IF(ISNUMBER(AVERAGE('20250815_ETF_Options_Exhibits'!P1184:P1188)),AVERAGE('20250815_ETF_Options_Exhibits'!P1184:P1188),"")</f>
        <v/>
      </c>
      <c r="Q1188" s="3">
        <f>IF(ISNUMBER(AVERAGE('20250815_ETF_Options_Exhibits'!Q1184:Q1188)),AVERAGE('20250815_ETF_Options_Exhibits'!Q1184:Q1188),"")</f>
        <v/>
      </c>
      <c r="R1188" s="3">
        <f>IF(ISNUMBER(AVERAGE('20250815_ETF_Options_Exhibits'!R1184:R1188)),AVERAGE('20250815_ETF_Options_Exhibits'!R1184:R1188),"")</f>
        <v/>
      </c>
      <c r="S1188" s="3">
        <f>IF(ISNUMBER(AVERAGE('20250815_ETF_Options_Exhibits'!S1184:S1188)),AVERAGE('20250815_ETF_Options_Exhibits'!S1184:S1188),"")</f>
        <v/>
      </c>
      <c r="T1188" s="3">
        <f>IF(ISNUMBER(AVERAGE('20250815_ETF_Options_Exhibits'!T1184:T1188)),AVERAGE('20250815_ETF_Options_Exhibits'!T1184:T1188),"")</f>
        <v/>
      </c>
      <c r="U1188" s="3">
        <f>IF(ISNUMBER(AVERAGE('20250815_ETF_Options_Exhibits'!U1184:U1188)),AVERAGE('20250815_ETF_Options_Exhibits'!U1184:U1188),"")</f>
        <v/>
      </c>
      <c r="V1188" s="3">
        <f>IF(ISNUMBER(AVERAGE('20250815_ETF_Options_Exhibits'!V1184:V1188)),AVERAGE('20250815_ETF_Options_Exhibits'!V1184:V1188),"")</f>
        <v/>
      </c>
      <c r="W1188" s="3">
        <f>IF(ISNUMBER(AVERAGE('20250815_ETF_Options_Exhibits'!W1184:W1188)),AVERAGE('20250815_ETF_Options_Exhibits'!W1184:W1188),"")</f>
        <v/>
      </c>
      <c r="X1188" s="3">
        <f>IF(ISNUMBER(AVERAGE('20250815_ETF_Options_Exhibits'!X1184:X1188)),AVERAGE('20250815_ETF_Options_Exhibits'!X1184:X1188),"")</f>
        <v/>
      </c>
      <c r="Y1188" s="3">
        <f>IF(ISNUMBER(AVERAGE('20250815_ETF_Options_Exhibits'!Y1184:Y1188)),AVERAGE('20250815_ETF_Options_Exhibits'!Y1184:Y1188),"")</f>
        <v/>
      </c>
      <c r="Z1188" s="3">
        <f>IF(ISNUMBER(AVERAGE('20250815_ETF_Options_Exhibits'!Z1184:Z1188)),AVERAGE('20250815_ETF_Options_Exhibits'!Z1184:Z1188),"")</f>
        <v/>
      </c>
      <c r="AA1188" s="3">
        <f>IF(ISNUMBER(AVERAGE('20250815_ETF_Options_Exhibits'!AA1184:AA1188)),AVERAGE('20250815_ETF_Options_Exhibits'!AA1184:AA1188),"")</f>
        <v/>
      </c>
    </row>
    <row r="1189">
      <c r="A1189" s="1" t="n">
        <v>43727</v>
      </c>
      <c r="B1189" s="3">
        <f>IF(ISNUMBER(AVERAGE('20250815_ETF_Options_Exhibits'!B1185:B1189)),AVERAGE('20250815_ETF_Options_Exhibits'!B1185:B1189),"")</f>
        <v/>
      </c>
      <c r="C1189" s="3">
        <f>IF(ISNUMBER(AVERAGE('20250815_ETF_Options_Exhibits'!C1185:C1189)),AVERAGE('20250815_ETF_Options_Exhibits'!C1185:C1189),"")</f>
        <v/>
      </c>
      <c r="D1189" s="3">
        <f>IF(ISNUMBER(AVERAGE('20250815_ETF_Options_Exhibits'!D1185:D1189)),AVERAGE('20250815_ETF_Options_Exhibits'!D1185:D1189),"")</f>
        <v/>
      </c>
      <c r="E1189" s="3">
        <f>IF(ISNUMBER(AVERAGE('20250815_ETF_Options_Exhibits'!E1185:E1189)),AVERAGE('20250815_ETF_Options_Exhibits'!E1185:E1189),"")</f>
        <v/>
      </c>
      <c r="F1189" s="3">
        <f>IF(ISNUMBER(AVERAGE('20250815_ETF_Options_Exhibits'!F1185:F1189)),AVERAGE('20250815_ETF_Options_Exhibits'!F1185:F1189),"")</f>
        <v/>
      </c>
      <c r="G1189" s="3">
        <f>IF(ISNUMBER(AVERAGE('20250815_ETF_Options_Exhibits'!G1185:G1189)),AVERAGE('20250815_ETF_Options_Exhibits'!G1185:G1189),"")</f>
        <v/>
      </c>
      <c r="H1189" s="3">
        <f>IF(ISNUMBER(AVERAGE('20250815_ETF_Options_Exhibits'!H1185:H1189)),AVERAGE('20250815_ETF_Options_Exhibits'!H1185:H1189),"")</f>
        <v/>
      </c>
      <c r="I1189" s="3">
        <f>IF(ISNUMBER(AVERAGE('20250815_ETF_Options_Exhibits'!I1185:I1189)),AVERAGE('20250815_ETF_Options_Exhibits'!I1185:I1189),"")</f>
        <v/>
      </c>
      <c r="J1189" s="3">
        <f>IF(ISNUMBER(AVERAGE('20250815_ETF_Options_Exhibits'!J1185:J1189)),AVERAGE('20250815_ETF_Options_Exhibits'!J1185:J1189),"")</f>
        <v/>
      </c>
      <c r="K1189" s="3">
        <f>IF(ISNUMBER(AVERAGE('20250815_ETF_Options_Exhibits'!K1185:K1189)),AVERAGE('20250815_ETF_Options_Exhibits'!K1185:K1189),"")</f>
        <v/>
      </c>
      <c r="L1189" s="3">
        <f>IF(ISNUMBER(AVERAGE('20250815_ETF_Options_Exhibits'!L1185:L1189)),AVERAGE('20250815_ETF_Options_Exhibits'!L1185:L1189),"")</f>
        <v/>
      </c>
      <c r="M1189" s="3">
        <f>IF(ISNUMBER(AVERAGE('20250815_ETF_Options_Exhibits'!M1185:M1189)),AVERAGE('20250815_ETF_Options_Exhibits'!M1185:M1189),"")</f>
        <v/>
      </c>
      <c r="N1189" s="3">
        <f>IF(ISNUMBER(AVERAGE('20250815_ETF_Options_Exhibits'!N1185:N1189)),AVERAGE('20250815_ETF_Options_Exhibits'!N1185:N1189),"")</f>
        <v/>
      </c>
      <c r="O1189" s="3">
        <f>IF(ISNUMBER(AVERAGE('20250815_ETF_Options_Exhibits'!O1185:O1189)),AVERAGE('20250815_ETF_Options_Exhibits'!O1185:O1189),"")</f>
        <v/>
      </c>
      <c r="P1189" s="3">
        <f>IF(ISNUMBER(AVERAGE('20250815_ETF_Options_Exhibits'!P1185:P1189)),AVERAGE('20250815_ETF_Options_Exhibits'!P1185:P1189),"")</f>
        <v/>
      </c>
      <c r="Q1189" s="3">
        <f>IF(ISNUMBER(AVERAGE('20250815_ETF_Options_Exhibits'!Q1185:Q1189)),AVERAGE('20250815_ETF_Options_Exhibits'!Q1185:Q1189),"")</f>
        <v/>
      </c>
      <c r="R1189" s="3">
        <f>IF(ISNUMBER(AVERAGE('20250815_ETF_Options_Exhibits'!R1185:R1189)),AVERAGE('20250815_ETF_Options_Exhibits'!R1185:R1189),"")</f>
        <v/>
      </c>
      <c r="S1189" s="3">
        <f>IF(ISNUMBER(AVERAGE('20250815_ETF_Options_Exhibits'!S1185:S1189)),AVERAGE('20250815_ETF_Options_Exhibits'!S1185:S1189),"")</f>
        <v/>
      </c>
      <c r="T1189" s="3">
        <f>IF(ISNUMBER(AVERAGE('20250815_ETF_Options_Exhibits'!T1185:T1189)),AVERAGE('20250815_ETF_Options_Exhibits'!T1185:T1189),"")</f>
        <v/>
      </c>
      <c r="U1189" s="3">
        <f>IF(ISNUMBER(AVERAGE('20250815_ETF_Options_Exhibits'!U1185:U1189)),AVERAGE('20250815_ETF_Options_Exhibits'!U1185:U1189),"")</f>
        <v/>
      </c>
      <c r="V1189" s="3">
        <f>IF(ISNUMBER(AVERAGE('20250815_ETF_Options_Exhibits'!V1185:V1189)),AVERAGE('20250815_ETF_Options_Exhibits'!V1185:V1189),"")</f>
        <v/>
      </c>
      <c r="W1189" s="3">
        <f>IF(ISNUMBER(AVERAGE('20250815_ETF_Options_Exhibits'!W1185:W1189)),AVERAGE('20250815_ETF_Options_Exhibits'!W1185:W1189),"")</f>
        <v/>
      </c>
      <c r="X1189" s="3">
        <f>IF(ISNUMBER(AVERAGE('20250815_ETF_Options_Exhibits'!X1185:X1189)),AVERAGE('20250815_ETF_Options_Exhibits'!X1185:X1189),"")</f>
        <v/>
      </c>
      <c r="Y1189" s="3">
        <f>IF(ISNUMBER(AVERAGE('20250815_ETF_Options_Exhibits'!Y1185:Y1189)),AVERAGE('20250815_ETF_Options_Exhibits'!Y1185:Y1189),"")</f>
        <v/>
      </c>
      <c r="Z1189" s="3">
        <f>IF(ISNUMBER(AVERAGE('20250815_ETF_Options_Exhibits'!Z1185:Z1189)),AVERAGE('20250815_ETF_Options_Exhibits'!Z1185:Z1189),"")</f>
        <v/>
      </c>
      <c r="AA1189" s="3">
        <f>IF(ISNUMBER(AVERAGE('20250815_ETF_Options_Exhibits'!AA1185:AA1189)),AVERAGE('20250815_ETF_Options_Exhibits'!AA1185:AA1189),"")</f>
        <v/>
      </c>
    </row>
    <row r="1190">
      <c r="A1190" s="1" t="n">
        <v>43728</v>
      </c>
      <c r="B1190" s="3">
        <f>IF(ISNUMBER(AVERAGE('20250815_ETF_Options_Exhibits'!B1186:B1190)),AVERAGE('20250815_ETF_Options_Exhibits'!B1186:B1190),"")</f>
        <v/>
      </c>
      <c r="C1190" s="3">
        <f>IF(ISNUMBER(AVERAGE('20250815_ETF_Options_Exhibits'!C1186:C1190)),AVERAGE('20250815_ETF_Options_Exhibits'!C1186:C1190),"")</f>
        <v/>
      </c>
      <c r="D1190" s="3">
        <f>IF(ISNUMBER(AVERAGE('20250815_ETF_Options_Exhibits'!D1186:D1190)),AVERAGE('20250815_ETF_Options_Exhibits'!D1186:D1190),"")</f>
        <v/>
      </c>
      <c r="E1190" s="3">
        <f>IF(ISNUMBER(AVERAGE('20250815_ETF_Options_Exhibits'!E1186:E1190)),AVERAGE('20250815_ETF_Options_Exhibits'!E1186:E1190),"")</f>
        <v/>
      </c>
      <c r="F1190" s="3">
        <f>IF(ISNUMBER(AVERAGE('20250815_ETF_Options_Exhibits'!F1186:F1190)),AVERAGE('20250815_ETF_Options_Exhibits'!F1186:F1190),"")</f>
        <v/>
      </c>
      <c r="G1190" s="3">
        <f>IF(ISNUMBER(AVERAGE('20250815_ETF_Options_Exhibits'!G1186:G1190)),AVERAGE('20250815_ETF_Options_Exhibits'!G1186:G1190),"")</f>
        <v/>
      </c>
      <c r="H1190" s="3">
        <f>IF(ISNUMBER(AVERAGE('20250815_ETF_Options_Exhibits'!H1186:H1190)),AVERAGE('20250815_ETF_Options_Exhibits'!H1186:H1190),"")</f>
        <v/>
      </c>
      <c r="I1190" s="3">
        <f>IF(ISNUMBER(AVERAGE('20250815_ETF_Options_Exhibits'!I1186:I1190)),AVERAGE('20250815_ETF_Options_Exhibits'!I1186:I1190),"")</f>
        <v/>
      </c>
      <c r="J1190" s="3">
        <f>IF(ISNUMBER(AVERAGE('20250815_ETF_Options_Exhibits'!J1186:J1190)),AVERAGE('20250815_ETF_Options_Exhibits'!J1186:J1190),"")</f>
        <v/>
      </c>
      <c r="K1190" s="3">
        <f>IF(ISNUMBER(AVERAGE('20250815_ETF_Options_Exhibits'!K1186:K1190)),AVERAGE('20250815_ETF_Options_Exhibits'!K1186:K1190),"")</f>
        <v/>
      </c>
      <c r="L1190" s="3">
        <f>IF(ISNUMBER(AVERAGE('20250815_ETF_Options_Exhibits'!L1186:L1190)),AVERAGE('20250815_ETF_Options_Exhibits'!L1186:L1190),"")</f>
        <v/>
      </c>
      <c r="M1190" s="3">
        <f>IF(ISNUMBER(AVERAGE('20250815_ETF_Options_Exhibits'!M1186:M1190)),AVERAGE('20250815_ETF_Options_Exhibits'!M1186:M1190),"")</f>
        <v/>
      </c>
      <c r="N1190" s="3">
        <f>IF(ISNUMBER(AVERAGE('20250815_ETF_Options_Exhibits'!N1186:N1190)),AVERAGE('20250815_ETF_Options_Exhibits'!N1186:N1190),"")</f>
        <v/>
      </c>
      <c r="O1190" s="3">
        <f>IF(ISNUMBER(AVERAGE('20250815_ETF_Options_Exhibits'!O1186:O1190)),AVERAGE('20250815_ETF_Options_Exhibits'!O1186:O1190),"")</f>
        <v/>
      </c>
      <c r="P1190" s="3">
        <f>IF(ISNUMBER(AVERAGE('20250815_ETF_Options_Exhibits'!P1186:P1190)),AVERAGE('20250815_ETF_Options_Exhibits'!P1186:P1190),"")</f>
        <v/>
      </c>
      <c r="Q1190" s="3">
        <f>IF(ISNUMBER(AVERAGE('20250815_ETF_Options_Exhibits'!Q1186:Q1190)),AVERAGE('20250815_ETF_Options_Exhibits'!Q1186:Q1190),"")</f>
        <v/>
      </c>
      <c r="R1190" s="3">
        <f>IF(ISNUMBER(AVERAGE('20250815_ETF_Options_Exhibits'!R1186:R1190)),AVERAGE('20250815_ETF_Options_Exhibits'!R1186:R1190),"")</f>
        <v/>
      </c>
      <c r="S1190" s="3">
        <f>IF(ISNUMBER(AVERAGE('20250815_ETF_Options_Exhibits'!S1186:S1190)),AVERAGE('20250815_ETF_Options_Exhibits'!S1186:S1190),"")</f>
        <v/>
      </c>
      <c r="T1190" s="3">
        <f>IF(ISNUMBER(AVERAGE('20250815_ETF_Options_Exhibits'!T1186:T1190)),AVERAGE('20250815_ETF_Options_Exhibits'!T1186:T1190),"")</f>
        <v/>
      </c>
      <c r="U1190" s="3">
        <f>IF(ISNUMBER(AVERAGE('20250815_ETF_Options_Exhibits'!U1186:U1190)),AVERAGE('20250815_ETF_Options_Exhibits'!U1186:U1190),"")</f>
        <v/>
      </c>
      <c r="V1190" s="3">
        <f>IF(ISNUMBER(AVERAGE('20250815_ETF_Options_Exhibits'!V1186:V1190)),AVERAGE('20250815_ETF_Options_Exhibits'!V1186:V1190),"")</f>
        <v/>
      </c>
      <c r="W1190" s="3">
        <f>IF(ISNUMBER(AVERAGE('20250815_ETF_Options_Exhibits'!W1186:W1190)),AVERAGE('20250815_ETF_Options_Exhibits'!W1186:W1190),"")</f>
        <v/>
      </c>
      <c r="X1190" s="3">
        <f>IF(ISNUMBER(AVERAGE('20250815_ETF_Options_Exhibits'!X1186:X1190)),AVERAGE('20250815_ETF_Options_Exhibits'!X1186:X1190),"")</f>
        <v/>
      </c>
      <c r="Y1190" s="3">
        <f>IF(ISNUMBER(AVERAGE('20250815_ETF_Options_Exhibits'!Y1186:Y1190)),AVERAGE('20250815_ETF_Options_Exhibits'!Y1186:Y1190),"")</f>
        <v/>
      </c>
      <c r="Z1190" s="3">
        <f>IF(ISNUMBER(AVERAGE('20250815_ETF_Options_Exhibits'!Z1186:Z1190)),AVERAGE('20250815_ETF_Options_Exhibits'!Z1186:Z1190),"")</f>
        <v/>
      </c>
      <c r="AA1190" s="3">
        <f>IF(ISNUMBER(AVERAGE('20250815_ETF_Options_Exhibits'!AA1186:AA1190)),AVERAGE('20250815_ETF_Options_Exhibits'!AA1186:AA1190),"")</f>
        <v/>
      </c>
    </row>
    <row r="1191">
      <c r="A1191" s="1" t="n">
        <v>43731</v>
      </c>
      <c r="B1191" s="3">
        <f>IF(ISNUMBER(AVERAGE('20250815_ETF_Options_Exhibits'!B1187:B1191)),AVERAGE('20250815_ETF_Options_Exhibits'!B1187:B1191),"")</f>
        <v/>
      </c>
      <c r="C1191" s="3">
        <f>IF(ISNUMBER(AVERAGE('20250815_ETF_Options_Exhibits'!C1187:C1191)),AVERAGE('20250815_ETF_Options_Exhibits'!C1187:C1191),"")</f>
        <v/>
      </c>
      <c r="D1191" s="3">
        <f>IF(ISNUMBER(AVERAGE('20250815_ETF_Options_Exhibits'!D1187:D1191)),AVERAGE('20250815_ETF_Options_Exhibits'!D1187:D1191),"")</f>
        <v/>
      </c>
      <c r="E1191" s="3">
        <f>IF(ISNUMBER(AVERAGE('20250815_ETF_Options_Exhibits'!E1187:E1191)),AVERAGE('20250815_ETF_Options_Exhibits'!E1187:E1191),"")</f>
        <v/>
      </c>
      <c r="F1191" s="3">
        <f>IF(ISNUMBER(AVERAGE('20250815_ETF_Options_Exhibits'!F1187:F1191)),AVERAGE('20250815_ETF_Options_Exhibits'!F1187:F1191),"")</f>
        <v/>
      </c>
      <c r="G1191" s="3">
        <f>IF(ISNUMBER(AVERAGE('20250815_ETF_Options_Exhibits'!G1187:G1191)),AVERAGE('20250815_ETF_Options_Exhibits'!G1187:G1191),"")</f>
        <v/>
      </c>
      <c r="H1191" s="3">
        <f>IF(ISNUMBER(AVERAGE('20250815_ETF_Options_Exhibits'!H1187:H1191)),AVERAGE('20250815_ETF_Options_Exhibits'!H1187:H1191),"")</f>
        <v/>
      </c>
      <c r="I1191" s="3">
        <f>IF(ISNUMBER(AVERAGE('20250815_ETF_Options_Exhibits'!I1187:I1191)),AVERAGE('20250815_ETF_Options_Exhibits'!I1187:I1191),"")</f>
        <v/>
      </c>
      <c r="J1191" s="3">
        <f>IF(ISNUMBER(AVERAGE('20250815_ETF_Options_Exhibits'!J1187:J1191)),AVERAGE('20250815_ETF_Options_Exhibits'!J1187:J1191),"")</f>
        <v/>
      </c>
      <c r="K1191" s="3">
        <f>IF(ISNUMBER(AVERAGE('20250815_ETF_Options_Exhibits'!K1187:K1191)),AVERAGE('20250815_ETF_Options_Exhibits'!K1187:K1191),"")</f>
        <v/>
      </c>
      <c r="L1191" s="3">
        <f>IF(ISNUMBER(AVERAGE('20250815_ETF_Options_Exhibits'!L1187:L1191)),AVERAGE('20250815_ETF_Options_Exhibits'!L1187:L1191),"")</f>
        <v/>
      </c>
      <c r="M1191" s="3">
        <f>IF(ISNUMBER(AVERAGE('20250815_ETF_Options_Exhibits'!M1187:M1191)),AVERAGE('20250815_ETF_Options_Exhibits'!M1187:M1191),"")</f>
        <v/>
      </c>
      <c r="N1191" s="3">
        <f>IF(ISNUMBER(AVERAGE('20250815_ETF_Options_Exhibits'!N1187:N1191)),AVERAGE('20250815_ETF_Options_Exhibits'!N1187:N1191),"")</f>
        <v/>
      </c>
      <c r="O1191" s="3">
        <f>IF(ISNUMBER(AVERAGE('20250815_ETF_Options_Exhibits'!O1187:O1191)),AVERAGE('20250815_ETF_Options_Exhibits'!O1187:O1191),"")</f>
        <v/>
      </c>
      <c r="P1191" s="3">
        <f>IF(ISNUMBER(AVERAGE('20250815_ETF_Options_Exhibits'!P1187:P1191)),AVERAGE('20250815_ETF_Options_Exhibits'!P1187:P1191),"")</f>
        <v/>
      </c>
      <c r="Q1191" s="3">
        <f>IF(ISNUMBER(AVERAGE('20250815_ETF_Options_Exhibits'!Q1187:Q1191)),AVERAGE('20250815_ETF_Options_Exhibits'!Q1187:Q1191),"")</f>
        <v/>
      </c>
      <c r="R1191" s="3">
        <f>IF(ISNUMBER(AVERAGE('20250815_ETF_Options_Exhibits'!R1187:R1191)),AVERAGE('20250815_ETF_Options_Exhibits'!R1187:R1191),"")</f>
        <v/>
      </c>
      <c r="S1191" s="3">
        <f>IF(ISNUMBER(AVERAGE('20250815_ETF_Options_Exhibits'!S1187:S1191)),AVERAGE('20250815_ETF_Options_Exhibits'!S1187:S1191),"")</f>
        <v/>
      </c>
      <c r="T1191" s="3">
        <f>IF(ISNUMBER(AVERAGE('20250815_ETF_Options_Exhibits'!T1187:T1191)),AVERAGE('20250815_ETF_Options_Exhibits'!T1187:T1191),"")</f>
        <v/>
      </c>
      <c r="U1191" s="3">
        <f>IF(ISNUMBER(AVERAGE('20250815_ETF_Options_Exhibits'!U1187:U1191)),AVERAGE('20250815_ETF_Options_Exhibits'!U1187:U1191),"")</f>
        <v/>
      </c>
      <c r="V1191" s="3">
        <f>IF(ISNUMBER(AVERAGE('20250815_ETF_Options_Exhibits'!V1187:V1191)),AVERAGE('20250815_ETF_Options_Exhibits'!V1187:V1191),"")</f>
        <v/>
      </c>
      <c r="W1191" s="3">
        <f>IF(ISNUMBER(AVERAGE('20250815_ETF_Options_Exhibits'!W1187:W1191)),AVERAGE('20250815_ETF_Options_Exhibits'!W1187:W1191),"")</f>
        <v/>
      </c>
      <c r="X1191" s="3">
        <f>IF(ISNUMBER(AVERAGE('20250815_ETF_Options_Exhibits'!X1187:X1191)),AVERAGE('20250815_ETF_Options_Exhibits'!X1187:X1191),"")</f>
        <v/>
      </c>
      <c r="Y1191" s="3">
        <f>IF(ISNUMBER(AVERAGE('20250815_ETF_Options_Exhibits'!Y1187:Y1191)),AVERAGE('20250815_ETF_Options_Exhibits'!Y1187:Y1191),"")</f>
        <v/>
      </c>
      <c r="Z1191" s="3">
        <f>IF(ISNUMBER(AVERAGE('20250815_ETF_Options_Exhibits'!Z1187:Z1191)),AVERAGE('20250815_ETF_Options_Exhibits'!Z1187:Z1191),"")</f>
        <v/>
      </c>
      <c r="AA1191" s="3">
        <f>IF(ISNUMBER(AVERAGE('20250815_ETF_Options_Exhibits'!AA1187:AA1191)),AVERAGE('20250815_ETF_Options_Exhibits'!AA1187:AA1191),"")</f>
        <v/>
      </c>
    </row>
    <row r="1192">
      <c r="A1192" s="1" t="n">
        <v>43732</v>
      </c>
      <c r="B1192" s="3">
        <f>IF(ISNUMBER(AVERAGE('20250815_ETF_Options_Exhibits'!B1188:B1192)),AVERAGE('20250815_ETF_Options_Exhibits'!B1188:B1192),"")</f>
        <v/>
      </c>
      <c r="C1192" s="3">
        <f>IF(ISNUMBER(AVERAGE('20250815_ETF_Options_Exhibits'!C1188:C1192)),AVERAGE('20250815_ETF_Options_Exhibits'!C1188:C1192),"")</f>
        <v/>
      </c>
      <c r="D1192" s="3">
        <f>IF(ISNUMBER(AVERAGE('20250815_ETF_Options_Exhibits'!D1188:D1192)),AVERAGE('20250815_ETF_Options_Exhibits'!D1188:D1192),"")</f>
        <v/>
      </c>
      <c r="E1192" s="3">
        <f>IF(ISNUMBER(AVERAGE('20250815_ETF_Options_Exhibits'!E1188:E1192)),AVERAGE('20250815_ETF_Options_Exhibits'!E1188:E1192),"")</f>
        <v/>
      </c>
      <c r="F1192" s="3">
        <f>IF(ISNUMBER(AVERAGE('20250815_ETF_Options_Exhibits'!F1188:F1192)),AVERAGE('20250815_ETF_Options_Exhibits'!F1188:F1192),"")</f>
        <v/>
      </c>
      <c r="G1192" s="3">
        <f>IF(ISNUMBER(AVERAGE('20250815_ETF_Options_Exhibits'!G1188:G1192)),AVERAGE('20250815_ETF_Options_Exhibits'!G1188:G1192),"")</f>
        <v/>
      </c>
      <c r="H1192" s="3">
        <f>IF(ISNUMBER(AVERAGE('20250815_ETF_Options_Exhibits'!H1188:H1192)),AVERAGE('20250815_ETF_Options_Exhibits'!H1188:H1192),"")</f>
        <v/>
      </c>
      <c r="I1192" s="3">
        <f>IF(ISNUMBER(AVERAGE('20250815_ETF_Options_Exhibits'!I1188:I1192)),AVERAGE('20250815_ETF_Options_Exhibits'!I1188:I1192),"")</f>
        <v/>
      </c>
      <c r="J1192" s="3">
        <f>IF(ISNUMBER(AVERAGE('20250815_ETF_Options_Exhibits'!J1188:J1192)),AVERAGE('20250815_ETF_Options_Exhibits'!J1188:J1192),"")</f>
        <v/>
      </c>
      <c r="K1192" s="3">
        <f>IF(ISNUMBER(AVERAGE('20250815_ETF_Options_Exhibits'!K1188:K1192)),AVERAGE('20250815_ETF_Options_Exhibits'!K1188:K1192),"")</f>
        <v/>
      </c>
      <c r="L1192" s="3">
        <f>IF(ISNUMBER(AVERAGE('20250815_ETF_Options_Exhibits'!L1188:L1192)),AVERAGE('20250815_ETF_Options_Exhibits'!L1188:L1192),"")</f>
        <v/>
      </c>
      <c r="M1192" s="3">
        <f>IF(ISNUMBER(AVERAGE('20250815_ETF_Options_Exhibits'!M1188:M1192)),AVERAGE('20250815_ETF_Options_Exhibits'!M1188:M1192),"")</f>
        <v/>
      </c>
      <c r="N1192" s="3">
        <f>IF(ISNUMBER(AVERAGE('20250815_ETF_Options_Exhibits'!N1188:N1192)),AVERAGE('20250815_ETF_Options_Exhibits'!N1188:N1192),"")</f>
        <v/>
      </c>
      <c r="O1192" s="3">
        <f>IF(ISNUMBER(AVERAGE('20250815_ETF_Options_Exhibits'!O1188:O1192)),AVERAGE('20250815_ETF_Options_Exhibits'!O1188:O1192),"")</f>
        <v/>
      </c>
      <c r="P1192" s="3">
        <f>IF(ISNUMBER(AVERAGE('20250815_ETF_Options_Exhibits'!P1188:P1192)),AVERAGE('20250815_ETF_Options_Exhibits'!P1188:P1192),"")</f>
        <v/>
      </c>
      <c r="Q1192" s="3">
        <f>IF(ISNUMBER(AVERAGE('20250815_ETF_Options_Exhibits'!Q1188:Q1192)),AVERAGE('20250815_ETF_Options_Exhibits'!Q1188:Q1192),"")</f>
        <v/>
      </c>
      <c r="R1192" s="3">
        <f>IF(ISNUMBER(AVERAGE('20250815_ETF_Options_Exhibits'!R1188:R1192)),AVERAGE('20250815_ETF_Options_Exhibits'!R1188:R1192),"")</f>
        <v/>
      </c>
      <c r="S1192" s="3">
        <f>IF(ISNUMBER(AVERAGE('20250815_ETF_Options_Exhibits'!S1188:S1192)),AVERAGE('20250815_ETF_Options_Exhibits'!S1188:S1192),"")</f>
        <v/>
      </c>
      <c r="T1192" s="3">
        <f>IF(ISNUMBER(AVERAGE('20250815_ETF_Options_Exhibits'!T1188:T1192)),AVERAGE('20250815_ETF_Options_Exhibits'!T1188:T1192),"")</f>
        <v/>
      </c>
      <c r="U1192" s="3">
        <f>IF(ISNUMBER(AVERAGE('20250815_ETF_Options_Exhibits'!U1188:U1192)),AVERAGE('20250815_ETF_Options_Exhibits'!U1188:U1192),"")</f>
        <v/>
      </c>
      <c r="V1192" s="3">
        <f>IF(ISNUMBER(AVERAGE('20250815_ETF_Options_Exhibits'!V1188:V1192)),AVERAGE('20250815_ETF_Options_Exhibits'!V1188:V1192),"")</f>
        <v/>
      </c>
      <c r="W1192" s="3">
        <f>IF(ISNUMBER(AVERAGE('20250815_ETF_Options_Exhibits'!W1188:W1192)),AVERAGE('20250815_ETF_Options_Exhibits'!W1188:W1192),"")</f>
        <v/>
      </c>
      <c r="X1192" s="3">
        <f>IF(ISNUMBER(AVERAGE('20250815_ETF_Options_Exhibits'!X1188:X1192)),AVERAGE('20250815_ETF_Options_Exhibits'!X1188:X1192),"")</f>
        <v/>
      </c>
      <c r="Y1192" s="3">
        <f>IF(ISNUMBER(AVERAGE('20250815_ETF_Options_Exhibits'!Y1188:Y1192)),AVERAGE('20250815_ETF_Options_Exhibits'!Y1188:Y1192),"")</f>
        <v/>
      </c>
      <c r="Z1192" s="3">
        <f>IF(ISNUMBER(AVERAGE('20250815_ETF_Options_Exhibits'!Z1188:Z1192)),AVERAGE('20250815_ETF_Options_Exhibits'!Z1188:Z1192),"")</f>
        <v/>
      </c>
      <c r="AA1192" s="3">
        <f>IF(ISNUMBER(AVERAGE('20250815_ETF_Options_Exhibits'!AA1188:AA1192)),AVERAGE('20250815_ETF_Options_Exhibits'!AA1188:AA1192),"")</f>
        <v/>
      </c>
    </row>
    <row r="1193">
      <c r="A1193" s="1" t="n">
        <v>43733</v>
      </c>
      <c r="B1193" s="3">
        <f>IF(ISNUMBER(AVERAGE('20250815_ETF_Options_Exhibits'!B1189:B1193)),AVERAGE('20250815_ETF_Options_Exhibits'!B1189:B1193),"")</f>
        <v/>
      </c>
      <c r="C1193" s="3">
        <f>IF(ISNUMBER(AVERAGE('20250815_ETF_Options_Exhibits'!C1189:C1193)),AVERAGE('20250815_ETF_Options_Exhibits'!C1189:C1193),"")</f>
        <v/>
      </c>
      <c r="D1193" s="3">
        <f>IF(ISNUMBER(AVERAGE('20250815_ETF_Options_Exhibits'!D1189:D1193)),AVERAGE('20250815_ETF_Options_Exhibits'!D1189:D1193),"")</f>
        <v/>
      </c>
      <c r="E1193" s="3">
        <f>IF(ISNUMBER(AVERAGE('20250815_ETF_Options_Exhibits'!E1189:E1193)),AVERAGE('20250815_ETF_Options_Exhibits'!E1189:E1193),"")</f>
        <v/>
      </c>
      <c r="F1193" s="3">
        <f>IF(ISNUMBER(AVERAGE('20250815_ETF_Options_Exhibits'!F1189:F1193)),AVERAGE('20250815_ETF_Options_Exhibits'!F1189:F1193),"")</f>
        <v/>
      </c>
      <c r="G1193" s="3">
        <f>IF(ISNUMBER(AVERAGE('20250815_ETF_Options_Exhibits'!G1189:G1193)),AVERAGE('20250815_ETF_Options_Exhibits'!G1189:G1193),"")</f>
        <v/>
      </c>
      <c r="H1193" s="3">
        <f>IF(ISNUMBER(AVERAGE('20250815_ETF_Options_Exhibits'!H1189:H1193)),AVERAGE('20250815_ETF_Options_Exhibits'!H1189:H1193),"")</f>
        <v/>
      </c>
      <c r="I1193" s="3">
        <f>IF(ISNUMBER(AVERAGE('20250815_ETF_Options_Exhibits'!I1189:I1193)),AVERAGE('20250815_ETF_Options_Exhibits'!I1189:I1193),"")</f>
        <v/>
      </c>
      <c r="J1193" s="3">
        <f>IF(ISNUMBER(AVERAGE('20250815_ETF_Options_Exhibits'!J1189:J1193)),AVERAGE('20250815_ETF_Options_Exhibits'!J1189:J1193),"")</f>
        <v/>
      </c>
      <c r="K1193" s="3">
        <f>IF(ISNUMBER(AVERAGE('20250815_ETF_Options_Exhibits'!K1189:K1193)),AVERAGE('20250815_ETF_Options_Exhibits'!K1189:K1193),"")</f>
        <v/>
      </c>
      <c r="L1193" s="3">
        <f>IF(ISNUMBER(AVERAGE('20250815_ETF_Options_Exhibits'!L1189:L1193)),AVERAGE('20250815_ETF_Options_Exhibits'!L1189:L1193),"")</f>
        <v/>
      </c>
      <c r="M1193" s="3">
        <f>IF(ISNUMBER(AVERAGE('20250815_ETF_Options_Exhibits'!M1189:M1193)),AVERAGE('20250815_ETF_Options_Exhibits'!M1189:M1193),"")</f>
        <v/>
      </c>
      <c r="N1193" s="3">
        <f>IF(ISNUMBER(AVERAGE('20250815_ETF_Options_Exhibits'!N1189:N1193)),AVERAGE('20250815_ETF_Options_Exhibits'!N1189:N1193),"")</f>
        <v/>
      </c>
      <c r="O1193" s="3">
        <f>IF(ISNUMBER(AVERAGE('20250815_ETF_Options_Exhibits'!O1189:O1193)),AVERAGE('20250815_ETF_Options_Exhibits'!O1189:O1193),"")</f>
        <v/>
      </c>
      <c r="P1193" s="3">
        <f>IF(ISNUMBER(AVERAGE('20250815_ETF_Options_Exhibits'!P1189:P1193)),AVERAGE('20250815_ETF_Options_Exhibits'!P1189:P1193),"")</f>
        <v/>
      </c>
      <c r="Q1193" s="3">
        <f>IF(ISNUMBER(AVERAGE('20250815_ETF_Options_Exhibits'!Q1189:Q1193)),AVERAGE('20250815_ETF_Options_Exhibits'!Q1189:Q1193),"")</f>
        <v/>
      </c>
      <c r="R1193" s="3">
        <f>IF(ISNUMBER(AVERAGE('20250815_ETF_Options_Exhibits'!R1189:R1193)),AVERAGE('20250815_ETF_Options_Exhibits'!R1189:R1193),"")</f>
        <v/>
      </c>
      <c r="S1193" s="3">
        <f>IF(ISNUMBER(AVERAGE('20250815_ETF_Options_Exhibits'!S1189:S1193)),AVERAGE('20250815_ETF_Options_Exhibits'!S1189:S1193),"")</f>
        <v/>
      </c>
      <c r="T1193" s="3">
        <f>IF(ISNUMBER(AVERAGE('20250815_ETF_Options_Exhibits'!T1189:T1193)),AVERAGE('20250815_ETF_Options_Exhibits'!T1189:T1193),"")</f>
        <v/>
      </c>
      <c r="U1193" s="3">
        <f>IF(ISNUMBER(AVERAGE('20250815_ETF_Options_Exhibits'!U1189:U1193)),AVERAGE('20250815_ETF_Options_Exhibits'!U1189:U1193),"")</f>
        <v/>
      </c>
      <c r="V1193" s="3">
        <f>IF(ISNUMBER(AVERAGE('20250815_ETF_Options_Exhibits'!V1189:V1193)),AVERAGE('20250815_ETF_Options_Exhibits'!V1189:V1193),"")</f>
        <v/>
      </c>
      <c r="W1193" s="3">
        <f>IF(ISNUMBER(AVERAGE('20250815_ETF_Options_Exhibits'!W1189:W1193)),AVERAGE('20250815_ETF_Options_Exhibits'!W1189:W1193),"")</f>
        <v/>
      </c>
      <c r="X1193" s="3">
        <f>IF(ISNUMBER(AVERAGE('20250815_ETF_Options_Exhibits'!X1189:X1193)),AVERAGE('20250815_ETF_Options_Exhibits'!X1189:X1193),"")</f>
        <v/>
      </c>
      <c r="Y1193" s="3">
        <f>IF(ISNUMBER(AVERAGE('20250815_ETF_Options_Exhibits'!Y1189:Y1193)),AVERAGE('20250815_ETF_Options_Exhibits'!Y1189:Y1193),"")</f>
        <v/>
      </c>
      <c r="Z1193" s="3">
        <f>IF(ISNUMBER(AVERAGE('20250815_ETF_Options_Exhibits'!Z1189:Z1193)),AVERAGE('20250815_ETF_Options_Exhibits'!Z1189:Z1193),"")</f>
        <v/>
      </c>
      <c r="AA1193" s="3">
        <f>IF(ISNUMBER(AVERAGE('20250815_ETF_Options_Exhibits'!AA1189:AA1193)),AVERAGE('20250815_ETF_Options_Exhibits'!AA1189:AA1193),"")</f>
        <v/>
      </c>
    </row>
    <row r="1194">
      <c r="A1194" s="1" t="n">
        <v>43734</v>
      </c>
      <c r="B1194" s="3">
        <f>IF(ISNUMBER(AVERAGE('20250815_ETF_Options_Exhibits'!B1190:B1194)),AVERAGE('20250815_ETF_Options_Exhibits'!B1190:B1194),"")</f>
        <v/>
      </c>
      <c r="C1194" s="3">
        <f>IF(ISNUMBER(AVERAGE('20250815_ETF_Options_Exhibits'!C1190:C1194)),AVERAGE('20250815_ETF_Options_Exhibits'!C1190:C1194),"")</f>
        <v/>
      </c>
      <c r="D1194" s="3">
        <f>IF(ISNUMBER(AVERAGE('20250815_ETF_Options_Exhibits'!D1190:D1194)),AVERAGE('20250815_ETF_Options_Exhibits'!D1190:D1194),"")</f>
        <v/>
      </c>
      <c r="E1194" s="3">
        <f>IF(ISNUMBER(AVERAGE('20250815_ETF_Options_Exhibits'!E1190:E1194)),AVERAGE('20250815_ETF_Options_Exhibits'!E1190:E1194),"")</f>
        <v/>
      </c>
      <c r="F1194" s="3">
        <f>IF(ISNUMBER(AVERAGE('20250815_ETF_Options_Exhibits'!F1190:F1194)),AVERAGE('20250815_ETF_Options_Exhibits'!F1190:F1194),"")</f>
        <v/>
      </c>
      <c r="G1194" s="3">
        <f>IF(ISNUMBER(AVERAGE('20250815_ETF_Options_Exhibits'!G1190:G1194)),AVERAGE('20250815_ETF_Options_Exhibits'!G1190:G1194),"")</f>
        <v/>
      </c>
      <c r="H1194" s="3">
        <f>IF(ISNUMBER(AVERAGE('20250815_ETF_Options_Exhibits'!H1190:H1194)),AVERAGE('20250815_ETF_Options_Exhibits'!H1190:H1194),"")</f>
        <v/>
      </c>
      <c r="I1194" s="3">
        <f>IF(ISNUMBER(AVERAGE('20250815_ETF_Options_Exhibits'!I1190:I1194)),AVERAGE('20250815_ETF_Options_Exhibits'!I1190:I1194),"")</f>
        <v/>
      </c>
      <c r="J1194" s="3">
        <f>IF(ISNUMBER(AVERAGE('20250815_ETF_Options_Exhibits'!J1190:J1194)),AVERAGE('20250815_ETF_Options_Exhibits'!J1190:J1194),"")</f>
        <v/>
      </c>
      <c r="K1194" s="3">
        <f>IF(ISNUMBER(AVERAGE('20250815_ETF_Options_Exhibits'!K1190:K1194)),AVERAGE('20250815_ETF_Options_Exhibits'!K1190:K1194),"")</f>
        <v/>
      </c>
      <c r="L1194" s="3">
        <f>IF(ISNUMBER(AVERAGE('20250815_ETF_Options_Exhibits'!L1190:L1194)),AVERAGE('20250815_ETF_Options_Exhibits'!L1190:L1194),"")</f>
        <v/>
      </c>
      <c r="M1194" s="3">
        <f>IF(ISNUMBER(AVERAGE('20250815_ETF_Options_Exhibits'!M1190:M1194)),AVERAGE('20250815_ETF_Options_Exhibits'!M1190:M1194),"")</f>
        <v/>
      </c>
      <c r="N1194" s="3">
        <f>IF(ISNUMBER(AVERAGE('20250815_ETF_Options_Exhibits'!N1190:N1194)),AVERAGE('20250815_ETF_Options_Exhibits'!N1190:N1194),"")</f>
        <v/>
      </c>
      <c r="O1194" s="3">
        <f>IF(ISNUMBER(AVERAGE('20250815_ETF_Options_Exhibits'!O1190:O1194)),AVERAGE('20250815_ETF_Options_Exhibits'!O1190:O1194),"")</f>
        <v/>
      </c>
      <c r="P1194" s="3">
        <f>IF(ISNUMBER(AVERAGE('20250815_ETF_Options_Exhibits'!P1190:P1194)),AVERAGE('20250815_ETF_Options_Exhibits'!P1190:P1194),"")</f>
        <v/>
      </c>
      <c r="Q1194" s="3">
        <f>IF(ISNUMBER(AVERAGE('20250815_ETF_Options_Exhibits'!Q1190:Q1194)),AVERAGE('20250815_ETF_Options_Exhibits'!Q1190:Q1194),"")</f>
        <v/>
      </c>
      <c r="R1194" s="3">
        <f>IF(ISNUMBER(AVERAGE('20250815_ETF_Options_Exhibits'!R1190:R1194)),AVERAGE('20250815_ETF_Options_Exhibits'!R1190:R1194),"")</f>
        <v/>
      </c>
      <c r="S1194" s="3">
        <f>IF(ISNUMBER(AVERAGE('20250815_ETF_Options_Exhibits'!S1190:S1194)),AVERAGE('20250815_ETF_Options_Exhibits'!S1190:S1194),"")</f>
        <v/>
      </c>
      <c r="T1194" s="3">
        <f>IF(ISNUMBER(AVERAGE('20250815_ETF_Options_Exhibits'!T1190:T1194)),AVERAGE('20250815_ETF_Options_Exhibits'!T1190:T1194),"")</f>
        <v/>
      </c>
      <c r="U1194" s="3">
        <f>IF(ISNUMBER(AVERAGE('20250815_ETF_Options_Exhibits'!U1190:U1194)),AVERAGE('20250815_ETF_Options_Exhibits'!U1190:U1194),"")</f>
        <v/>
      </c>
      <c r="V1194" s="3">
        <f>IF(ISNUMBER(AVERAGE('20250815_ETF_Options_Exhibits'!V1190:V1194)),AVERAGE('20250815_ETF_Options_Exhibits'!V1190:V1194),"")</f>
        <v/>
      </c>
      <c r="W1194" s="3">
        <f>IF(ISNUMBER(AVERAGE('20250815_ETF_Options_Exhibits'!W1190:W1194)),AVERAGE('20250815_ETF_Options_Exhibits'!W1190:W1194),"")</f>
        <v/>
      </c>
      <c r="X1194" s="3">
        <f>IF(ISNUMBER(AVERAGE('20250815_ETF_Options_Exhibits'!X1190:X1194)),AVERAGE('20250815_ETF_Options_Exhibits'!X1190:X1194),"")</f>
        <v/>
      </c>
      <c r="Y1194" s="3">
        <f>IF(ISNUMBER(AVERAGE('20250815_ETF_Options_Exhibits'!Y1190:Y1194)),AVERAGE('20250815_ETF_Options_Exhibits'!Y1190:Y1194),"")</f>
        <v/>
      </c>
      <c r="Z1194" s="3">
        <f>IF(ISNUMBER(AVERAGE('20250815_ETF_Options_Exhibits'!Z1190:Z1194)),AVERAGE('20250815_ETF_Options_Exhibits'!Z1190:Z1194),"")</f>
        <v/>
      </c>
      <c r="AA1194" s="3">
        <f>IF(ISNUMBER(AVERAGE('20250815_ETF_Options_Exhibits'!AA1190:AA1194)),AVERAGE('20250815_ETF_Options_Exhibits'!AA1190:AA1194),"")</f>
        <v/>
      </c>
    </row>
    <row r="1195">
      <c r="A1195" s="1" t="n">
        <v>43735</v>
      </c>
      <c r="B1195" s="3">
        <f>IF(ISNUMBER(AVERAGE('20250815_ETF_Options_Exhibits'!B1191:B1195)),AVERAGE('20250815_ETF_Options_Exhibits'!B1191:B1195),"")</f>
        <v/>
      </c>
      <c r="C1195" s="3">
        <f>IF(ISNUMBER(AVERAGE('20250815_ETF_Options_Exhibits'!C1191:C1195)),AVERAGE('20250815_ETF_Options_Exhibits'!C1191:C1195),"")</f>
        <v/>
      </c>
      <c r="D1195" s="3">
        <f>IF(ISNUMBER(AVERAGE('20250815_ETF_Options_Exhibits'!D1191:D1195)),AVERAGE('20250815_ETF_Options_Exhibits'!D1191:D1195),"")</f>
        <v/>
      </c>
      <c r="E1195" s="3">
        <f>IF(ISNUMBER(AVERAGE('20250815_ETF_Options_Exhibits'!E1191:E1195)),AVERAGE('20250815_ETF_Options_Exhibits'!E1191:E1195),"")</f>
        <v/>
      </c>
      <c r="F1195" s="3">
        <f>IF(ISNUMBER(AVERAGE('20250815_ETF_Options_Exhibits'!F1191:F1195)),AVERAGE('20250815_ETF_Options_Exhibits'!F1191:F1195),"")</f>
        <v/>
      </c>
      <c r="G1195" s="3">
        <f>IF(ISNUMBER(AVERAGE('20250815_ETF_Options_Exhibits'!G1191:G1195)),AVERAGE('20250815_ETF_Options_Exhibits'!G1191:G1195),"")</f>
        <v/>
      </c>
      <c r="H1195" s="3">
        <f>IF(ISNUMBER(AVERAGE('20250815_ETF_Options_Exhibits'!H1191:H1195)),AVERAGE('20250815_ETF_Options_Exhibits'!H1191:H1195),"")</f>
        <v/>
      </c>
      <c r="I1195" s="3">
        <f>IF(ISNUMBER(AVERAGE('20250815_ETF_Options_Exhibits'!I1191:I1195)),AVERAGE('20250815_ETF_Options_Exhibits'!I1191:I1195),"")</f>
        <v/>
      </c>
      <c r="J1195" s="3">
        <f>IF(ISNUMBER(AVERAGE('20250815_ETF_Options_Exhibits'!J1191:J1195)),AVERAGE('20250815_ETF_Options_Exhibits'!J1191:J1195),"")</f>
        <v/>
      </c>
      <c r="K1195" s="3">
        <f>IF(ISNUMBER(AVERAGE('20250815_ETF_Options_Exhibits'!K1191:K1195)),AVERAGE('20250815_ETF_Options_Exhibits'!K1191:K1195),"")</f>
        <v/>
      </c>
      <c r="L1195" s="3">
        <f>IF(ISNUMBER(AVERAGE('20250815_ETF_Options_Exhibits'!L1191:L1195)),AVERAGE('20250815_ETF_Options_Exhibits'!L1191:L1195),"")</f>
        <v/>
      </c>
      <c r="M1195" s="3">
        <f>IF(ISNUMBER(AVERAGE('20250815_ETF_Options_Exhibits'!M1191:M1195)),AVERAGE('20250815_ETF_Options_Exhibits'!M1191:M1195),"")</f>
        <v/>
      </c>
      <c r="N1195" s="3">
        <f>IF(ISNUMBER(AVERAGE('20250815_ETF_Options_Exhibits'!N1191:N1195)),AVERAGE('20250815_ETF_Options_Exhibits'!N1191:N1195),"")</f>
        <v/>
      </c>
      <c r="O1195" s="3">
        <f>IF(ISNUMBER(AVERAGE('20250815_ETF_Options_Exhibits'!O1191:O1195)),AVERAGE('20250815_ETF_Options_Exhibits'!O1191:O1195),"")</f>
        <v/>
      </c>
      <c r="P1195" s="3">
        <f>IF(ISNUMBER(AVERAGE('20250815_ETF_Options_Exhibits'!P1191:P1195)),AVERAGE('20250815_ETF_Options_Exhibits'!P1191:P1195),"")</f>
        <v/>
      </c>
      <c r="Q1195" s="3">
        <f>IF(ISNUMBER(AVERAGE('20250815_ETF_Options_Exhibits'!Q1191:Q1195)),AVERAGE('20250815_ETF_Options_Exhibits'!Q1191:Q1195),"")</f>
        <v/>
      </c>
      <c r="R1195" s="3">
        <f>IF(ISNUMBER(AVERAGE('20250815_ETF_Options_Exhibits'!R1191:R1195)),AVERAGE('20250815_ETF_Options_Exhibits'!R1191:R1195),"")</f>
        <v/>
      </c>
      <c r="S1195" s="3">
        <f>IF(ISNUMBER(AVERAGE('20250815_ETF_Options_Exhibits'!S1191:S1195)),AVERAGE('20250815_ETF_Options_Exhibits'!S1191:S1195),"")</f>
        <v/>
      </c>
      <c r="T1195" s="3">
        <f>IF(ISNUMBER(AVERAGE('20250815_ETF_Options_Exhibits'!T1191:T1195)),AVERAGE('20250815_ETF_Options_Exhibits'!T1191:T1195),"")</f>
        <v/>
      </c>
      <c r="U1195" s="3">
        <f>IF(ISNUMBER(AVERAGE('20250815_ETF_Options_Exhibits'!U1191:U1195)),AVERAGE('20250815_ETF_Options_Exhibits'!U1191:U1195),"")</f>
        <v/>
      </c>
      <c r="V1195" s="3">
        <f>IF(ISNUMBER(AVERAGE('20250815_ETF_Options_Exhibits'!V1191:V1195)),AVERAGE('20250815_ETF_Options_Exhibits'!V1191:V1195),"")</f>
        <v/>
      </c>
      <c r="W1195" s="3">
        <f>IF(ISNUMBER(AVERAGE('20250815_ETF_Options_Exhibits'!W1191:W1195)),AVERAGE('20250815_ETF_Options_Exhibits'!W1191:W1195),"")</f>
        <v/>
      </c>
      <c r="X1195" s="3">
        <f>IF(ISNUMBER(AVERAGE('20250815_ETF_Options_Exhibits'!X1191:X1195)),AVERAGE('20250815_ETF_Options_Exhibits'!X1191:X1195),"")</f>
        <v/>
      </c>
      <c r="Y1195" s="3">
        <f>IF(ISNUMBER(AVERAGE('20250815_ETF_Options_Exhibits'!Y1191:Y1195)),AVERAGE('20250815_ETF_Options_Exhibits'!Y1191:Y1195),"")</f>
        <v/>
      </c>
      <c r="Z1195" s="3">
        <f>IF(ISNUMBER(AVERAGE('20250815_ETF_Options_Exhibits'!Z1191:Z1195)),AVERAGE('20250815_ETF_Options_Exhibits'!Z1191:Z1195),"")</f>
        <v/>
      </c>
      <c r="AA1195" s="3">
        <f>IF(ISNUMBER(AVERAGE('20250815_ETF_Options_Exhibits'!AA1191:AA1195)),AVERAGE('20250815_ETF_Options_Exhibits'!AA1191:AA1195),"")</f>
        <v/>
      </c>
    </row>
    <row r="1196">
      <c r="A1196" s="1" t="n">
        <v>43738</v>
      </c>
      <c r="B1196" s="3">
        <f>IF(ISNUMBER(AVERAGE('20250815_ETF_Options_Exhibits'!B1192:B1196)),AVERAGE('20250815_ETF_Options_Exhibits'!B1192:B1196),"")</f>
        <v/>
      </c>
      <c r="C1196" s="3">
        <f>IF(ISNUMBER(AVERAGE('20250815_ETF_Options_Exhibits'!C1192:C1196)),AVERAGE('20250815_ETF_Options_Exhibits'!C1192:C1196),"")</f>
        <v/>
      </c>
      <c r="D1196" s="3">
        <f>IF(ISNUMBER(AVERAGE('20250815_ETF_Options_Exhibits'!D1192:D1196)),AVERAGE('20250815_ETF_Options_Exhibits'!D1192:D1196),"")</f>
        <v/>
      </c>
      <c r="E1196" s="3">
        <f>IF(ISNUMBER(AVERAGE('20250815_ETF_Options_Exhibits'!E1192:E1196)),AVERAGE('20250815_ETF_Options_Exhibits'!E1192:E1196),"")</f>
        <v/>
      </c>
      <c r="F1196" s="3">
        <f>IF(ISNUMBER(AVERAGE('20250815_ETF_Options_Exhibits'!F1192:F1196)),AVERAGE('20250815_ETF_Options_Exhibits'!F1192:F1196),"")</f>
        <v/>
      </c>
      <c r="G1196" s="3">
        <f>IF(ISNUMBER(AVERAGE('20250815_ETF_Options_Exhibits'!G1192:G1196)),AVERAGE('20250815_ETF_Options_Exhibits'!G1192:G1196),"")</f>
        <v/>
      </c>
      <c r="H1196" s="3">
        <f>IF(ISNUMBER(AVERAGE('20250815_ETF_Options_Exhibits'!H1192:H1196)),AVERAGE('20250815_ETF_Options_Exhibits'!H1192:H1196),"")</f>
        <v/>
      </c>
      <c r="I1196" s="3">
        <f>IF(ISNUMBER(AVERAGE('20250815_ETF_Options_Exhibits'!I1192:I1196)),AVERAGE('20250815_ETF_Options_Exhibits'!I1192:I1196),"")</f>
        <v/>
      </c>
      <c r="J1196" s="3">
        <f>IF(ISNUMBER(AVERAGE('20250815_ETF_Options_Exhibits'!J1192:J1196)),AVERAGE('20250815_ETF_Options_Exhibits'!J1192:J1196),"")</f>
        <v/>
      </c>
      <c r="K1196" s="3">
        <f>IF(ISNUMBER(AVERAGE('20250815_ETF_Options_Exhibits'!K1192:K1196)),AVERAGE('20250815_ETF_Options_Exhibits'!K1192:K1196),"")</f>
        <v/>
      </c>
      <c r="L1196" s="3">
        <f>IF(ISNUMBER(AVERAGE('20250815_ETF_Options_Exhibits'!L1192:L1196)),AVERAGE('20250815_ETF_Options_Exhibits'!L1192:L1196),"")</f>
        <v/>
      </c>
      <c r="M1196" s="3">
        <f>IF(ISNUMBER(AVERAGE('20250815_ETF_Options_Exhibits'!M1192:M1196)),AVERAGE('20250815_ETF_Options_Exhibits'!M1192:M1196),"")</f>
        <v/>
      </c>
      <c r="N1196" s="3">
        <f>IF(ISNUMBER(AVERAGE('20250815_ETF_Options_Exhibits'!N1192:N1196)),AVERAGE('20250815_ETF_Options_Exhibits'!N1192:N1196),"")</f>
        <v/>
      </c>
      <c r="O1196" s="3">
        <f>IF(ISNUMBER(AVERAGE('20250815_ETF_Options_Exhibits'!O1192:O1196)),AVERAGE('20250815_ETF_Options_Exhibits'!O1192:O1196),"")</f>
        <v/>
      </c>
      <c r="P1196" s="3">
        <f>IF(ISNUMBER(AVERAGE('20250815_ETF_Options_Exhibits'!P1192:P1196)),AVERAGE('20250815_ETF_Options_Exhibits'!P1192:P1196),"")</f>
        <v/>
      </c>
      <c r="Q1196" s="3">
        <f>IF(ISNUMBER(AVERAGE('20250815_ETF_Options_Exhibits'!Q1192:Q1196)),AVERAGE('20250815_ETF_Options_Exhibits'!Q1192:Q1196),"")</f>
        <v/>
      </c>
      <c r="R1196" s="3">
        <f>IF(ISNUMBER(AVERAGE('20250815_ETF_Options_Exhibits'!R1192:R1196)),AVERAGE('20250815_ETF_Options_Exhibits'!R1192:R1196),"")</f>
        <v/>
      </c>
      <c r="S1196" s="3">
        <f>IF(ISNUMBER(AVERAGE('20250815_ETF_Options_Exhibits'!S1192:S1196)),AVERAGE('20250815_ETF_Options_Exhibits'!S1192:S1196),"")</f>
        <v/>
      </c>
      <c r="T1196" s="3">
        <f>IF(ISNUMBER(AVERAGE('20250815_ETF_Options_Exhibits'!T1192:T1196)),AVERAGE('20250815_ETF_Options_Exhibits'!T1192:T1196),"")</f>
        <v/>
      </c>
      <c r="U1196" s="3">
        <f>IF(ISNUMBER(AVERAGE('20250815_ETF_Options_Exhibits'!U1192:U1196)),AVERAGE('20250815_ETF_Options_Exhibits'!U1192:U1196),"")</f>
        <v/>
      </c>
      <c r="V1196" s="3">
        <f>IF(ISNUMBER(AVERAGE('20250815_ETF_Options_Exhibits'!V1192:V1196)),AVERAGE('20250815_ETF_Options_Exhibits'!V1192:V1196),"")</f>
        <v/>
      </c>
      <c r="W1196" s="3">
        <f>IF(ISNUMBER(AVERAGE('20250815_ETF_Options_Exhibits'!W1192:W1196)),AVERAGE('20250815_ETF_Options_Exhibits'!W1192:W1196),"")</f>
        <v/>
      </c>
      <c r="X1196" s="3">
        <f>IF(ISNUMBER(AVERAGE('20250815_ETF_Options_Exhibits'!X1192:X1196)),AVERAGE('20250815_ETF_Options_Exhibits'!X1192:X1196),"")</f>
        <v/>
      </c>
      <c r="Y1196" s="3">
        <f>IF(ISNUMBER(AVERAGE('20250815_ETF_Options_Exhibits'!Y1192:Y1196)),AVERAGE('20250815_ETF_Options_Exhibits'!Y1192:Y1196),"")</f>
        <v/>
      </c>
      <c r="Z1196" s="3">
        <f>IF(ISNUMBER(AVERAGE('20250815_ETF_Options_Exhibits'!Z1192:Z1196)),AVERAGE('20250815_ETF_Options_Exhibits'!Z1192:Z1196),"")</f>
        <v/>
      </c>
      <c r="AA1196" s="3">
        <f>IF(ISNUMBER(AVERAGE('20250815_ETF_Options_Exhibits'!AA1192:AA1196)),AVERAGE('20250815_ETF_Options_Exhibits'!AA1192:AA1196),"")</f>
        <v/>
      </c>
    </row>
    <row r="1197">
      <c r="A1197" s="1" t="n">
        <v>43739</v>
      </c>
      <c r="B1197" s="3">
        <f>IF(ISNUMBER(AVERAGE('20250815_ETF_Options_Exhibits'!B1193:B1197)),AVERAGE('20250815_ETF_Options_Exhibits'!B1193:B1197),"")</f>
        <v/>
      </c>
      <c r="C1197" s="3">
        <f>IF(ISNUMBER(AVERAGE('20250815_ETF_Options_Exhibits'!C1193:C1197)),AVERAGE('20250815_ETF_Options_Exhibits'!C1193:C1197),"")</f>
        <v/>
      </c>
      <c r="D1197" s="3">
        <f>IF(ISNUMBER(AVERAGE('20250815_ETF_Options_Exhibits'!D1193:D1197)),AVERAGE('20250815_ETF_Options_Exhibits'!D1193:D1197),"")</f>
        <v/>
      </c>
      <c r="E1197" s="3">
        <f>IF(ISNUMBER(AVERAGE('20250815_ETF_Options_Exhibits'!E1193:E1197)),AVERAGE('20250815_ETF_Options_Exhibits'!E1193:E1197),"")</f>
        <v/>
      </c>
      <c r="F1197" s="3">
        <f>IF(ISNUMBER(AVERAGE('20250815_ETF_Options_Exhibits'!F1193:F1197)),AVERAGE('20250815_ETF_Options_Exhibits'!F1193:F1197),"")</f>
        <v/>
      </c>
      <c r="G1197" s="3">
        <f>IF(ISNUMBER(AVERAGE('20250815_ETF_Options_Exhibits'!G1193:G1197)),AVERAGE('20250815_ETF_Options_Exhibits'!G1193:G1197),"")</f>
        <v/>
      </c>
      <c r="H1197" s="3">
        <f>IF(ISNUMBER(AVERAGE('20250815_ETF_Options_Exhibits'!H1193:H1197)),AVERAGE('20250815_ETF_Options_Exhibits'!H1193:H1197),"")</f>
        <v/>
      </c>
      <c r="I1197" s="3">
        <f>IF(ISNUMBER(AVERAGE('20250815_ETF_Options_Exhibits'!I1193:I1197)),AVERAGE('20250815_ETF_Options_Exhibits'!I1193:I1197),"")</f>
        <v/>
      </c>
      <c r="J1197" s="3">
        <f>IF(ISNUMBER(AVERAGE('20250815_ETF_Options_Exhibits'!J1193:J1197)),AVERAGE('20250815_ETF_Options_Exhibits'!J1193:J1197),"")</f>
        <v/>
      </c>
      <c r="K1197" s="3">
        <f>IF(ISNUMBER(AVERAGE('20250815_ETF_Options_Exhibits'!K1193:K1197)),AVERAGE('20250815_ETF_Options_Exhibits'!K1193:K1197),"")</f>
        <v/>
      </c>
      <c r="L1197" s="3">
        <f>IF(ISNUMBER(AVERAGE('20250815_ETF_Options_Exhibits'!L1193:L1197)),AVERAGE('20250815_ETF_Options_Exhibits'!L1193:L1197),"")</f>
        <v/>
      </c>
      <c r="M1197" s="3">
        <f>IF(ISNUMBER(AVERAGE('20250815_ETF_Options_Exhibits'!M1193:M1197)),AVERAGE('20250815_ETF_Options_Exhibits'!M1193:M1197),"")</f>
        <v/>
      </c>
      <c r="N1197" s="3">
        <f>IF(ISNUMBER(AVERAGE('20250815_ETF_Options_Exhibits'!N1193:N1197)),AVERAGE('20250815_ETF_Options_Exhibits'!N1193:N1197),"")</f>
        <v/>
      </c>
      <c r="O1197" s="3">
        <f>IF(ISNUMBER(AVERAGE('20250815_ETF_Options_Exhibits'!O1193:O1197)),AVERAGE('20250815_ETF_Options_Exhibits'!O1193:O1197),"")</f>
        <v/>
      </c>
      <c r="P1197" s="3">
        <f>IF(ISNUMBER(AVERAGE('20250815_ETF_Options_Exhibits'!P1193:P1197)),AVERAGE('20250815_ETF_Options_Exhibits'!P1193:P1197),"")</f>
        <v/>
      </c>
      <c r="Q1197" s="3">
        <f>IF(ISNUMBER(AVERAGE('20250815_ETF_Options_Exhibits'!Q1193:Q1197)),AVERAGE('20250815_ETF_Options_Exhibits'!Q1193:Q1197),"")</f>
        <v/>
      </c>
      <c r="R1197" s="3">
        <f>IF(ISNUMBER(AVERAGE('20250815_ETF_Options_Exhibits'!R1193:R1197)),AVERAGE('20250815_ETF_Options_Exhibits'!R1193:R1197),"")</f>
        <v/>
      </c>
      <c r="S1197" s="3">
        <f>IF(ISNUMBER(AVERAGE('20250815_ETF_Options_Exhibits'!S1193:S1197)),AVERAGE('20250815_ETF_Options_Exhibits'!S1193:S1197),"")</f>
        <v/>
      </c>
      <c r="T1197" s="3">
        <f>IF(ISNUMBER(AVERAGE('20250815_ETF_Options_Exhibits'!T1193:T1197)),AVERAGE('20250815_ETF_Options_Exhibits'!T1193:T1197),"")</f>
        <v/>
      </c>
      <c r="U1197" s="3">
        <f>IF(ISNUMBER(AVERAGE('20250815_ETF_Options_Exhibits'!U1193:U1197)),AVERAGE('20250815_ETF_Options_Exhibits'!U1193:U1197),"")</f>
        <v/>
      </c>
      <c r="V1197" s="3">
        <f>IF(ISNUMBER(AVERAGE('20250815_ETF_Options_Exhibits'!V1193:V1197)),AVERAGE('20250815_ETF_Options_Exhibits'!V1193:V1197),"")</f>
        <v/>
      </c>
      <c r="W1197" s="3">
        <f>IF(ISNUMBER(AVERAGE('20250815_ETF_Options_Exhibits'!W1193:W1197)),AVERAGE('20250815_ETF_Options_Exhibits'!W1193:W1197),"")</f>
        <v/>
      </c>
      <c r="X1197" s="3">
        <f>IF(ISNUMBER(AVERAGE('20250815_ETF_Options_Exhibits'!X1193:X1197)),AVERAGE('20250815_ETF_Options_Exhibits'!X1193:X1197),"")</f>
        <v/>
      </c>
      <c r="Y1197" s="3">
        <f>IF(ISNUMBER(AVERAGE('20250815_ETF_Options_Exhibits'!Y1193:Y1197)),AVERAGE('20250815_ETF_Options_Exhibits'!Y1193:Y1197),"")</f>
        <v/>
      </c>
      <c r="Z1197" s="3">
        <f>IF(ISNUMBER(AVERAGE('20250815_ETF_Options_Exhibits'!Z1193:Z1197)),AVERAGE('20250815_ETF_Options_Exhibits'!Z1193:Z1197),"")</f>
        <v/>
      </c>
      <c r="AA1197" s="3">
        <f>IF(ISNUMBER(AVERAGE('20250815_ETF_Options_Exhibits'!AA1193:AA1197)),AVERAGE('20250815_ETF_Options_Exhibits'!AA1193:AA1197),"")</f>
        <v/>
      </c>
    </row>
    <row r="1198">
      <c r="A1198" s="1" t="n">
        <v>43740</v>
      </c>
      <c r="B1198" s="3">
        <f>IF(ISNUMBER(AVERAGE('20250815_ETF_Options_Exhibits'!B1194:B1198)),AVERAGE('20250815_ETF_Options_Exhibits'!B1194:B1198),"")</f>
        <v/>
      </c>
      <c r="C1198" s="3">
        <f>IF(ISNUMBER(AVERAGE('20250815_ETF_Options_Exhibits'!C1194:C1198)),AVERAGE('20250815_ETF_Options_Exhibits'!C1194:C1198),"")</f>
        <v/>
      </c>
      <c r="D1198" s="3">
        <f>IF(ISNUMBER(AVERAGE('20250815_ETF_Options_Exhibits'!D1194:D1198)),AVERAGE('20250815_ETF_Options_Exhibits'!D1194:D1198),"")</f>
        <v/>
      </c>
      <c r="E1198" s="3">
        <f>IF(ISNUMBER(AVERAGE('20250815_ETF_Options_Exhibits'!E1194:E1198)),AVERAGE('20250815_ETF_Options_Exhibits'!E1194:E1198),"")</f>
        <v/>
      </c>
      <c r="F1198" s="3">
        <f>IF(ISNUMBER(AVERAGE('20250815_ETF_Options_Exhibits'!F1194:F1198)),AVERAGE('20250815_ETF_Options_Exhibits'!F1194:F1198),"")</f>
        <v/>
      </c>
      <c r="G1198" s="3">
        <f>IF(ISNUMBER(AVERAGE('20250815_ETF_Options_Exhibits'!G1194:G1198)),AVERAGE('20250815_ETF_Options_Exhibits'!G1194:G1198),"")</f>
        <v/>
      </c>
      <c r="H1198" s="3">
        <f>IF(ISNUMBER(AVERAGE('20250815_ETF_Options_Exhibits'!H1194:H1198)),AVERAGE('20250815_ETF_Options_Exhibits'!H1194:H1198),"")</f>
        <v/>
      </c>
      <c r="I1198" s="3">
        <f>IF(ISNUMBER(AVERAGE('20250815_ETF_Options_Exhibits'!I1194:I1198)),AVERAGE('20250815_ETF_Options_Exhibits'!I1194:I1198),"")</f>
        <v/>
      </c>
      <c r="J1198" s="3">
        <f>IF(ISNUMBER(AVERAGE('20250815_ETF_Options_Exhibits'!J1194:J1198)),AVERAGE('20250815_ETF_Options_Exhibits'!J1194:J1198),"")</f>
        <v/>
      </c>
      <c r="K1198" s="3">
        <f>IF(ISNUMBER(AVERAGE('20250815_ETF_Options_Exhibits'!K1194:K1198)),AVERAGE('20250815_ETF_Options_Exhibits'!K1194:K1198),"")</f>
        <v/>
      </c>
      <c r="L1198" s="3">
        <f>IF(ISNUMBER(AVERAGE('20250815_ETF_Options_Exhibits'!L1194:L1198)),AVERAGE('20250815_ETF_Options_Exhibits'!L1194:L1198),"")</f>
        <v/>
      </c>
      <c r="M1198" s="3">
        <f>IF(ISNUMBER(AVERAGE('20250815_ETF_Options_Exhibits'!M1194:M1198)),AVERAGE('20250815_ETF_Options_Exhibits'!M1194:M1198),"")</f>
        <v/>
      </c>
      <c r="N1198" s="3">
        <f>IF(ISNUMBER(AVERAGE('20250815_ETF_Options_Exhibits'!N1194:N1198)),AVERAGE('20250815_ETF_Options_Exhibits'!N1194:N1198),"")</f>
        <v/>
      </c>
      <c r="O1198" s="3">
        <f>IF(ISNUMBER(AVERAGE('20250815_ETF_Options_Exhibits'!O1194:O1198)),AVERAGE('20250815_ETF_Options_Exhibits'!O1194:O1198),"")</f>
        <v/>
      </c>
      <c r="P1198" s="3">
        <f>IF(ISNUMBER(AVERAGE('20250815_ETF_Options_Exhibits'!P1194:P1198)),AVERAGE('20250815_ETF_Options_Exhibits'!P1194:P1198),"")</f>
        <v/>
      </c>
      <c r="Q1198" s="3">
        <f>IF(ISNUMBER(AVERAGE('20250815_ETF_Options_Exhibits'!Q1194:Q1198)),AVERAGE('20250815_ETF_Options_Exhibits'!Q1194:Q1198),"")</f>
        <v/>
      </c>
      <c r="R1198" s="3">
        <f>IF(ISNUMBER(AVERAGE('20250815_ETF_Options_Exhibits'!R1194:R1198)),AVERAGE('20250815_ETF_Options_Exhibits'!R1194:R1198),"")</f>
        <v/>
      </c>
      <c r="S1198" s="3">
        <f>IF(ISNUMBER(AVERAGE('20250815_ETF_Options_Exhibits'!S1194:S1198)),AVERAGE('20250815_ETF_Options_Exhibits'!S1194:S1198),"")</f>
        <v/>
      </c>
      <c r="T1198" s="3">
        <f>IF(ISNUMBER(AVERAGE('20250815_ETF_Options_Exhibits'!T1194:T1198)),AVERAGE('20250815_ETF_Options_Exhibits'!T1194:T1198),"")</f>
        <v/>
      </c>
      <c r="U1198" s="3">
        <f>IF(ISNUMBER(AVERAGE('20250815_ETF_Options_Exhibits'!U1194:U1198)),AVERAGE('20250815_ETF_Options_Exhibits'!U1194:U1198),"")</f>
        <v/>
      </c>
      <c r="V1198" s="3">
        <f>IF(ISNUMBER(AVERAGE('20250815_ETF_Options_Exhibits'!V1194:V1198)),AVERAGE('20250815_ETF_Options_Exhibits'!V1194:V1198),"")</f>
        <v/>
      </c>
      <c r="W1198" s="3">
        <f>IF(ISNUMBER(AVERAGE('20250815_ETF_Options_Exhibits'!W1194:W1198)),AVERAGE('20250815_ETF_Options_Exhibits'!W1194:W1198),"")</f>
        <v/>
      </c>
      <c r="X1198" s="3">
        <f>IF(ISNUMBER(AVERAGE('20250815_ETF_Options_Exhibits'!X1194:X1198)),AVERAGE('20250815_ETF_Options_Exhibits'!X1194:X1198),"")</f>
        <v/>
      </c>
      <c r="Y1198" s="3">
        <f>IF(ISNUMBER(AVERAGE('20250815_ETF_Options_Exhibits'!Y1194:Y1198)),AVERAGE('20250815_ETF_Options_Exhibits'!Y1194:Y1198),"")</f>
        <v/>
      </c>
      <c r="Z1198" s="3">
        <f>IF(ISNUMBER(AVERAGE('20250815_ETF_Options_Exhibits'!Z1194:Z1198)),AVERAGE('20250815_ETF_Options_Exhibits'!Z1194:Z1198),"")</f>
        <v/>
      </c>
      <c r="AA1198" s="3">
        <f>IF(ISNUMBER(AVERAGE('20250815_ETF_Options_Exhibits'!AA1194:AA1198)),AVERAGE('20250815_ETF_Options_Exhibits'!AA1194:AA1198),"")</f>
        <v/>
      </c>
    </row>
    <row r="1199">
      <c r="A1199" s="1" t="n">
        <v>43741</v>
      </c>
      <c r="B1199" s="3">
        <f>IF(ISNUMBER(AVERAGE('20250815_ETF_Options_Exhibits'!B1195:B1199)),AVERAGE('20250815_ETF_Options_Exhibits'!B1195:B1199),"")</f>
        <v/>
      </c>
      <c r="C1199" s="3">
        <f>IF(ISNUMBER(AVERAGE('20250815_ETF_Options_Exhibits'!C1195:C1199)),AVERAGE('20250815_ETF_Options_Exhibits'!C1195:C1199),"")</f>
        <v/>
      </c>
      <c r="D1199" s="3">
        <f>IF(ISNUMBER(AVERAGE('20250815_ETF_Options_Exhibits'!D1195:D1199)),AVERAGE('20250815_ETF_Options_Exhibits'!D1195:D1199),"")</f>
        <v/>
      </c>
      <c r="E1199" s="3">
        <f>IF(ISNUMBER(AVERAGE('20250815_ETF_Options_Exhibits'!E1195:E1199)),AVERAGE('20250815_ETF_Options_Exhibits'!E1195:E1199),"")</f>
        <v/>
      </c>
      <c r="F1199" s="3">
        <f>IF(ISNUMBER(AVERAGE('20250815_ETF_Options_Exhibits'!F1195:F1199)),AVERAGE('20250815_ETF_Options_Exhibits'!F1195:F1199),"")</f>
        <v/>
      </c>
      <c r="G1199" s="3">
        <f>IF(ISNUMBER(AVERAGE('20250815_ETF_Options_Exhibits'!G1195:G1199)),AVERAGE('20250815_ETF_Options_Exhibits'!G1195:G1199),"")</f>
        <v/>
      </c>
      <c r="H1199" s="3">
        <f>IF(ISNUMBER(AVERAGE('20250815_ETF_Options_Exhibits'!H1195:H1199)),AVERAGE('20250815_ETF_Options_Exhibits'!H1195:H1199),"")</f>
        <v/>
      </c>
      <c r="I1199" s="3">
        <f>IF(ISNUMBER(AVERAGE('20250815_ETF_Options_Exhibits'!I1195:I1199)),AVERAGE('20250815_ETF_Options_Exhibits'!I1195:I1199),"")</f>
        <v/>
      </c>
      <c r="J1199" s="3">
        <f>IF(ISNUMBER(AVERAGE('20250815_ETF_Options_Exhibits'!J1195:J1199)),AVERAGE('20250815_ETF_Options_Exhibits'!J1195:J1199),"")</f>
        <v/>
      </c>
      <c r="K1199" s="3">
        <f>IF(ISNUMBER(AVERAGE('20250815_ETF_Options_Exhibits'!K1195:K1199)),AVERAGE('20250815_ETF_Options_Exhibits'!K1195:K1199),"")</f>
        <v/>
      </c>
      <c r="L1199" s="3">
        <f>IF(ISNUMBER(AVERAGE('20250815_ETF_Options_Exhibits'!L1195:L1199)),AVERAGE('20250815_ETF_Options_Exhibits'!L1195:L1199),"")</f>
        <v/>
      </c>
      <c r="M1199" s="3">
        <f>IF(ISNUMBER(AVERAGE('20250815_ETF_Options_Exhibits'!M1195:M1199)),AVERAGE('20250815_ETF_Options_Exhibits'!M1195:M1199),"")</f>
        <v/>
      </c>
      <c r="N1199" s="3">
        <f>IF(ISNUMBER(AVERAGE('20250815_ETF_Options_Exhibits'!N1195:N1199)),AVERAGE('20250815_ETF_Options_Exhibits'!N1195:N1199),"")</f>
        <v/>
      </c>
      <c r="O1199" s="3">
        <f>IF(ISNUMBER(AVERAGE('20250815_ETF_Options_Exhibits'!O1195:O1199)),AVERAGE('20250815_ETF_Options_Exhibits'!O1195:O1199),"")</f>
        <v/>
      </c>
      <c r="P1199" s="3">
        <f>IF(ISNUMBER(AVERAGE('20250815_ETF_Options_Exhibits'!P1195:P1199)),AVERAGE('20250815_ETF_Options_Exhibits'!P1195:P1199),"")</f>
        <v/>
      </c>
      <c r="Q1199" s="3">
        <f>IF(ISNUMBER(AVERAGE('20250815_ETF_Options_Exhibits'!Q1195:Q1199)),AVERAGE('20250815_ETF_Options_Exhibits'!Q1195:Q1199),"")</f>
        <v/>
      </c>
      <c r="R1199" s="3">
        <f>IF(ISNUMBER(AVERAGE('20250815_ETF_Options_Exhibits'!R1195:R1199)),AVERAGE('20250815_ETF_Options_Exhibits'!R1195:R1199),"")</f>
        <v/>
      </c>
      <c r="S1199" s="3">
        <f>IF(ISNUMBER(AVERAGE('20250815_ETF_Options_Exhibits'!S1195:S1199)),AVERAGE('20250815_ETF_Options_Exhibits'!S1195:S1199),"")</f>
        <v/>
      </c>
      <c r="T1199" s="3">
        <f>IF(ISNUMBER(AVERAGE('20250815_ETF_Options_Exhibits'!T1195:T1199)),AVERAGE('20250815_ETF_Options_Exhibits'!T1195:T1199),"")</f>
        <v/>
      </c>
      <c r="U1199" s="3">
        <f>IF(ISNUMBER(AVERAGE('20250815_ETF_Options_Exhibits'!U1195:U1199)),AVERAGE('20250815_ETF_Options_Exhibits'!U1195:U1199),"")</f>
        <v/>
      </c>
      <c r="V1199" s="3">
        <f>IF(ISNUMBER(AVERAGE('20250815_ETF_Options_Exhibits'!V1195:V1199)),AVERAGE('20250815_ETF_Options_Exhibits'!V1195:V1199),"")</f>
        <v/>
      </c>
      <c r="W1199" s="3">
        <f>IF(ISNUMBER(AVERAGE('20250815_ETF_Options_Exhibits'!W1195:W1199)),AVERAGE('20250815_ETF_Options_Exhibits'!W1195:W1199),"")</f>
        <v/>
      </c>
      <c r="X1199" s="3">
        <f>IF(ISNUMBER(AVERAGE('20250815_ETF_Options_Exhibits'!X1195:X1199)),AVERAGE('20250815_ETF_Options_Exhibits'!X1195:X1199),"")</f>
        <v/>
      </c>
      <c r="Y1199" s="3">
        <f>IF(ISNUMBER(AVERAGE('20250815_ETF_Options_Exhibits'!Y1195:Y1199)),AVERAGE('20250815_ETF_Options_Exhibits'!Y1195:Y1199),"")</f>
        <v/>
      </c>
      <c r="Z1199" s="3">
        <f>IF(ISNUMBER(AVERAGE('20250815_ETF_Options_Exhibits'!Z1195:Z1199)),AVERAGE('20250815_ETF_Options_Exhibits'!Z1195:Z1199),"")</f>
        <v/>
      </c>
      <c r="AA1199" s="3">
        <f>IF(ISNUMBER(AVERAGE('20250815_ETF_Options_Exhibits'!AA1195:AA1199)),AVERAGE('20250815_ETF_Options_Exhibits'!AA1195:AA1199),"")</f>
        <v/>
      </c>
    </row>
    <row r="1200">
      <c r="A1200" s="1" t="n">
        <v>43742</v>
      </c>
      <c r="B1200" s="3">
        <f>IF(ISNUMBER(AVERAGE('20250815_ETF_Options_Exhibits'!B1196:B1200)),AVERAGE('20250815_ETF_Options_Exhibits'!B1196:B1200),"")</f>
        <v/>
      </c>
      <c r="C1200" s="3">
        <f>IF(ISNUMBER(AVERAGE('20250815_ETF_Options_Exhibits'!C1196:C1200)),AVERAGE('20250815_ETF_Options_Exhibits'!C1196:C1200),"")</f>
        <v/>
      </c>
      <c r="D1200" s="3">
        <f>IF(ISNUMBER(AVERAGE('20250815_ETF_Options_Exhibits'!D1196:D1200)),AVERAGE('20250815_ETF_Options_Exhibits'!D1196:D1200),"")</f>
        <v/>
      </c>
      <c r="E1200" s="3">
        <f>IF(ISNUMBER(AVERAGE('20250815_ETF_Options_Exhibits'!E1196:E1200)),AVERAGE('20250815_ETF_Options_Exhibits'!E1196:E1200),"")</f>
        <v/>
      </c>
      <c r="F1200" s="3">
        <f>IF(ISNUMBER(AVERAGE('20250815_ETF_Options_Exhibits'!F1196:F1200)),AVERAGE('20250815_ETF_Options_Exhibits'!F1196:F1200),"")</f>
        <v/>
      </c>
      <c r="G1200" s="3">
        <f>IF(ISNUMBER(AVERAGE('20250815_ETF_Options_Exhibits'!G1196:G1200)),AVERAGE('20250815_ETF_Options_Exhibits'!G1196:G1200),"")</f>
        <v/>
      </c>
      <c r="H1200" s="3">
        <f>IF(ISNUMBER(AVERAGE('20250815_ETF_Options_Exhibits'!H1196:H1200)),AVERAGE('20250815_ETF_Options_Exhibits'!H1196:H1200),"")</f>
        <v/>
      </c>
      <c r="I1200" s="3">
        <f>IF(ISNUMBER(AVERAGE('20250815_ETF_Options_Exhibits'!I1196:I1200)),AVERAGE('20250815_ETF_Options_Exhibits'!I1196:I1200),"")</f>
        <v/>
      </c>
      <c r="J1200" s="3">
        <f>IF(ISNUMBER(AVERAGE('20250815_ETF_Options_Exhibits'!J1196:J1200)),AVERAGE('20250815_ETF_Options_Exhibits'!J1196:J1200),"")</f>
        <v/>
      </c>
      <c r="K1200" s="3">
        <f>IF(ISNUMBER(AVERAGE('20250815_ETF_Options_Exhibits'!K1196:K1200)),AVERAGE('20250815_ETF_Options_Exhibits'!K1196:K1200),"")</f>
        <v/>
      </c>
      <c r="L1200" s="3">
        <f>IF(ISNUMBER(AVERAGE('20250815_ETF_Options_Exhibits'!L1196:L1200)),AVERAGE('20250815_ETF_Options_Exhibits'!L1196:L1200),"")</f>
        <v/>
      </c>
      <c r="M1200" s="3">
        <f>IF(ISNUMBER(AVERAGE('20250815_ETF_Options_Exhibits'!M1196:M1200)),AVERAGE('20250815_ETF_Options_Exhibits'!M1196:M1200),"")</f>
        <v/>
      </c>
      <c r="N1200" s="3">
        <f>IF(ISNUMBER(AVERAGE('20250815_ETF_Options_Exhibits'!N1196:N1200)),AVERAGE('20250815_ETF_Options_Exhibits'!N1196:N1200),"")</f>
        <v/>
      </c>
      <c r="O1200" s="3">
        <f>IF(ISNUMBER(AVERAGE('20250815_ETF_Options_Exhibits'!O1196:O1200)),AVERAGE('20250815_ETF_Options_Exhibits'!O1196:O1200),"")</f>
        <v/>
      </c>
      <c r="P1200" s="3">
        <f>IF(ISNUMBER(AVERAGE('20250815_ETF_Options_Exhibits'!P1196:P1200)),AVERAGE('20250815_ETF_Options_Exhibits'!P1196:P1200),"")</f>
        <v/>
      </c>
      <c r="Q1200" s="3">
        <f>IF(ISNUMBER(AVERAGE('20250815_ETF_Options_Exhibits'!Q1196:Q1200)),AVERAGE('20250815_ETF_Options_Exhibits'!Q1196:Q1200),"")</f>
        <v/>
      </c>
      <c r="R1200" s="3">
        <f>IF(ISNUMBER(AVERAGE('20250815_ETF_Options_Exhibits'!R1196:R1200)),AVERAGE('20250815_ETF_Options_Exhibits'!R1196:R1200),"")</f>
        <v/>
      </c>
      <c r="S1200" s="3">
        <f>IF(ISNUMBER(AVERAGE('20250815_ETF_Options_Exhibits'!S1196:S1200)),AVERAGE('20250815_ETF_Options_Exhibits'!S1196:S1200),"")</f>
        <v/>
      </c>
      <c r="T1200" s="3">
        <f>IF(ISNUMBER(AVERAGE('20250815_ETF_Options_Exhibits'!T1196:T1200)),AVERAGE('20250815_ETF_Options_Exhibits'!T1196:T1200),"")</f>
        <v/>
      </c>
      <c r="U1200" s="3">
        <f>IF(ISNUMBER(AVERAGE('20250815_ETF_Options_Exhibits'!U1196:U1200)),AVERAGE('20250815_ETF_Options_Exhibits'!U1196:U1200),"")</f>
        <v/>
      </c>
      <c r="V1200" s="3">
        <f>IF(ISNUMBER(AVERAGE('20250815_ETF_Options_Exhibits'!V1196:V1200)),AVERAGE('20250815_ETF_Options_Exhibits'!V1196:V1200),"")</f>
        <v/>
      </c>
      <c r="W1200" s="3">
        <f>IF(ISNUMBER(AVERAGE('20250815_ETF_Options_Exhibits'!W1196:W1200)),AVERAGE('20250815_ETF_Options_Exhibits'!W1196:W1200),"")</f>
        <v/>
      </c>
      <c r="X1200" s="3">
        <f>IF(ISNUMBER(AVERAGE('20250815_ETF_Options_Exhibits'!X1196:X1200)),AVERAGE('20250815_ETF_Options_Exhibits'!X1196:X1200),"")</f>
        <v/>
      </c>
      <c r="Y1200" s="3">
        <f>IF(ISNUMBER(AVERAGE('20250815_ETF_Options_Exhibits'!Y1196:Y1200)),AVERAGE('20250815_ETF_Options_Exhibits'!Y1196:Y1200),"")</f>
        <v/>
      </c>
      <c r="Z1200" s="3">
        <f>IF(ISNUMBER(AVERAGE('20250815_ETF_Options_Exhibits'!Z1196:Z1200)),AVERAGE('20250815_ETF_Options_Exhibits'!Z1196:Z1200),"")</f>
        <v/>
      </c>
      <c r="AA1200" s="3">
        <f>IF(ISNUMBER(AVERAGE('20250815_ETF_Options_Exhibits'!AA1196:AA1200)),AVERAGE('20250815_ETF_Options_Exhibits'!AA1196:AA1200),"")</f>
        <v/>
      </c>
    </row>
    <row r="1201">
      <c r="A1201" s="1" t="n">
        <v>43745</v>
      </c>
      <c r="B1201" s="3">
        <f>IF(ISNUMBER(AVERAGE('20250815_ETF_Options_Exhibits'!B1197:B1201)),AVERAGE('20250815_ETF_Options_Exhibits'!B1197:B1201),"")</f>
        <v/>
      </c>
      <c r="C1201" s="3">
        <f>IF(ISNUMBER(AVERAGE('20250815_ETF_Options_Exhibits'!C1197:C1201)),AVERAGE('20250815_ETF_Options_Exhibits'!C1197:C1201),"")</f>
        <v/>
      </c>
      <c r="D1201" s="3">
        <f>IF(ISNUMBER(AVERAGE('20250815_ETF_Options_Exhibits'!D1197:D1201)),AVERAGE('20250815_ETF_Options_Exhibits'!D1197:D1201),"")</f>
        <v/>
      </c>
      <c r="E1201" s="3">
        <f>IF(ISNUMBER(AVERAGE('20250815_ETF_Options_Exhibits'!E1197:E1201)),AVERAGE('20250815_ETF_Options_Exhibits'!E1197:E1201),"")</f>
        <v/>
      </c>
      <c r="F1201" s="3">
        <f>IF(ISNUMBER(AVERAGE('20250815_ETF_Options_Exhibits'!F1197:F1201)),AVERAGE('20250815_ETF_Options_Exhibits'!F1197:F1201),"")</f>
        <v/>
      </c>
      <c r="G1201" s="3">
        <f>IF(ISNUMBER(AVERAGE('20250815_ETF_Options_Exhibits'!G1197:G1201)),AVERAGE('20250815_ETF_Options_Exhibits'!G1197:G1201),"")</f>
        <v/>
      </c>
      <c r="H1201" s="3">
        <f>IF(ISNUMBER(AVERAGE('20250815_ETF_Options_Exhibits'!H1197:H1201)),AVERAGE('20250815_ETF_Options_Exhibits'!H1197:H1201),"")</f>
        <v/>
      </c>
      <c r="I1201" s="3">
        <f>IF(ISNUMBER(AVERAGE('20250815_ETF_Options_Exhibits'!I1197:I1201)),AVERAGE('20250815_ETF_Options_Exhibits'!I1197:I1201),"")</f>
        <v/>
      </c>
      <c r="J1201" s="3">
        <f>IF(ISNUMBER(AVERAGE('20250815_ETF_Options_Exhibits'!J1197:J1201)),AVERAGE('20250815_ETF_Options_Exhibits'!J1197:J1201),"")</f>
        <v/>
      </c>
      <c r="K1201" s="3">
        <f>IF(ISNUMBER(AVERAGE('20250815_ETF_Options_Exhibits'!K1197:K1201)),AVERAGE('20250815_ETF_Options_Exhibits'!K1197:K1201),"")</f>
        <v/>
      </c>
      <c r="L1201" s="3">
        <f>IF(ISNUMBER(AVERAGE('20250815_ETF_Options_Exhibits'!L1197:L1201)),AVERAGE('20250815_ETF_Options_Exhibits'!L1197:L1201),"")</f>
        <v/>
      </c>
      <c r="M1201" s="3">
        <f>IF(ISNUMBER(AVERAGE('20250815_ETF_Options_Exhibits'!M1197:M1201)),AVERAGE('20250815_ETF_Options_Exhibits'!M1197:M1201),"")</f>
        <v/>
      </c>
      <c r="N1201" s="3">
        <f>IF(ISNUMBER(AVERAGE('20250815_ETF_Options_Exhibits'!N1197:N1201)),AVERAGE('20250815_ETF_Options_Exhibits'!N1197:N1201),"")</f>
        <v/>
      </c>
      <c r="O1201" s="3">
        <f>IF(ISNUMBER(AVERAGE('20250815_ETF_Options_Exhibits'!O1197:O1201)),AVERAGE('20250815_ETF_Options_Exhibits'!O1197:O1201),"")</f>
        <v/>
      </c>
      <c r="P1201" s="3">
        <f>IF(ISNUMBER(AVERAGE('20250815_ETF_Options_Exhibits'!P1197:P1201)),AVERAGE('20250815_ETF_Options_Exhibits'!P1197:P1201),"")</f>
        <v/>
      </c>
      <c r="Q1201" s="3">
        <f>IF(ISNUMBER(AVERAGE('20250815_ETF_Options_Exhibits'!Q1197:Q1201)),AVERAGE('20250815_ETF_Options_Exhibits'!Q1197:Q1201),"")</f>
        <v/>
      </c>
      <c r="R1201" s="3">
        <f>IF(ISNUMBER(AVERAGE('20250815_ETF_Options_Exhibits'!R1197:R1201)),AVERAGE('20250815_ETF_Options_Exhibits'!R1197:R1201),"")</f>
        <v/>
      </c>
      <c r="S1201" s="3">
        <f>IF(ISNUMBER(AVERAGE('20250815_ETF_Options_Exhibits'!S1197:S1201)),AVERAGE('20250815_ETF_Options_Exhibits'!S1197:S1201),"")</f>
        <v/>
      </c>
      <c r="T1201" s="3">
        <f>IF(ISNUMBER(AVERAGE('20250815_ETF_Options_Exhibits'!T1197:T1201)),AVERAGE('20250815_ETF_Options_Exhibits'!T1197:T1201),"")</f>
        <v/>
      </c>
      <c r="U1201" s="3">
        <f>IF(ISNUMBER(AVERAGE('20250815_ETF_Options_Exhibits'!U1197:U1201)),AVERAGE('20250815_ETF_Options_Exhibits'!U1197:U1201),"")</f>
        <v/>
      </c>
      <c r="V1201" s="3">
        <f>IF(ISNUMBER(AVERAGE('20250815_ETF_Options_Exhibits'!V1197:V1201)),AVERAGE('20250815_ETF_Options_Exhibits'!V1197:V1201),"")</f>
        <v/>
      </c>
      <c r="W1201" s="3">
        <f>IF(ISNUMBER(AVERAGE('20250815_ETF_Options_Exhibits'!W1197:W1201)),AVERAGE('20250815_ETF_Options_Exhibits'!W1197:W1201),"")</f>
        <v/>
      </c>
      <c r="X1201" s="3">
        <f>IF(ISNUMBER(AVERAGE('20250815_ETF_Options_Exhibits'!X1197:X1201)),AVERAGE('20250815_ETF_Options_Exhibits'!X1197:X1201),"")</f>
        <v/>
      </c>
      <c r="Y1201" s="3">
        <f>IF(ISNUMBER(AVERAGE('20250815_ETF_Options_Exhibits'!Y1197:Y1201)),AVERAGE('20250815_ETF_Options_Exhibits'!Y1197:Y1201),"")</f>
        <v/>
      </c>
      <c r="Z1201" s="3">
        <f>IF(ISNUMBER(AVERAGE('20250815_ETF_Options_Exhibits'!Z1197:Z1201)),AVERAGE('20250815_ETF_Options_Exhibits'!Z1197:Z1201),"")</f>
        <v/>
      </c>
      <c r="AA1201" s="3">
        <f>IF(ISNUMBER(AVERAGE('20250815_ETF_Options_Exhibits'!AA1197:AA1201)),AVERAGE('20250815_ETF_Options_Exhibits'!AA1197:AA1201),"")</f>
        <v/>
      </c>
    </row>
    <row r="1202">
      <c r="A1202" s="1" t="n">
        <v>43746</v>
      </c>
      <c r="B1202" s="3">
        <f>IF(ISNUMBER(AVERAGE('20250815_ETF_Options_Exhibits'!B1198:B1202)),AVERAGE('20250815_ETF_Options_Exhibits'!B1198:B1202),"")</f>
        <v/>
      </c>
      <c r="C1202" s="3">
        <f>IF(ISNUMBER(AVERAGE('20250815_ETF_Options_Exhibits'!C1198:C1202)),AVERAGE('20250815_ETF_Options_Exhibits'!C1198:C1202),"")</f>
        <v/>
      </c>
      <c r="D1202" s="3">
        <f>IF(ISNUMBER(AVERAGE('20250815_ETF_Options_Exhibits'!D1198:D1202)),AVERAGE('20250815_ETF_Options_Exhibits'!D1198:D1202),"")</f>
        <v/>
      </c>
      <c r="E1202" s="3">
        <f>IF(ISNUMBER(AVERAGE('20250815_ETF_Options_Exhibits'!E1198:E1202)),AVERAGE('20250815_ETF_Options_Exhibits'!E1198:E1202),"")</f>
        <v/>
      </c>
      <c r="F1202" s="3">
        <f>IF(ISNUMBER(AVERAGE('20250815_ETF_Options_Exhibits'!F1198:F1202)),AVERAGE('20250815_ETF_Options_Exhibits'!F1198:F1202),"")</f>
        <v/>
      </c>
      <c r="G1202" s="3">
        <f>IF(ISNUMBER(AVERAGE('20250815_ETF_Options_Exhibits'!G1198:G1202)),AVERAGE('20250815_ETF_Options_Exhibits'!G1198:G1202),"")</f>
        <v/>
      </c>
      <c r="H1202" s="3">
        <f>IF(ISNUMBER(AVERAGE('20250815_ETF_Options_Exhibits'!H1198:H1202)),AVERAGE('20250815_ETF_Options_Exhibits'!H1198:H1202),"")</f>
        <v/>
      </c>
      <c r="I1202" s="3">
        <f>IF(ISNUMBER(AVERAGE('20250815_ETF_Options_Exhibits'!I1198:I1202)),AVERAGE('20250815_ETF_Options_Exhibits'!I1198:I1202),"")</f>
        <v/>
      </c>
      <c r="J1202" s="3">
        <f>IF(ISNUMBER(AVERAGE('20250815_ETF_Options_Exhibits'!J1198:J1202)),AVERAGE('20250815_ETF_Options_Exhibits'!J1198:J1202),"")</f>
        <v/>
      </c>
      <c r="K1202" s="3">
        <f>IF(ISNUMBER(AVERAGE('20250815_ETF_Options_Exhibits'!K1198:K1202)),AVERAGE('20250815_ETF_Options_Exhibits'!K1198:K1202),"")</f>
        <v/>
      </c>
      <c r="L1202" s="3">
        <f>IF(ISNUMBER(AVERAGE('20250815_ETF_Options_Exhibits'!L1198:L1202)),AVERAGE('20250815_ETF_Options_Exhibits'!L1198:L1202),"")</f>
        <v/>
      </c>
      <c r="M1202" s="3">
        <f>IF(ISNUMBER(AVERAGE('20250815_ETF_Options_Exhibits'!M1198:M1202)),AVERAGE('20250815_ETF_Options_Exhibits'!M1198:M1202),"")</f>
        <v/>
      </c>
      <c r="N1202" s="3">
        <f>IF(ISNUMBER(AVERAGE('20250815_ETF_Options_Exhibits'!N1198:N1202)),AVERAGE('20250815_ETF_Options_Exhibits'!N1198:N1202),"")</f>
        <v/>
      </c>
      <c r="O1202" s="3">
        <f>IF(ISNUMBER(AVERAGE('20250815_ETF_Options_Exhibits'!O1198:O1202)),AVERAGE('20250815_ETF_Options_Exhibits'!O1198:O1202),"")</f>
        <v/>
      </c>
      <c r="P1202" s="3">
        <f>IF(ISNUMBER(AVERAGE('20250815_ETF_Options_Exhibits'!P1198:P1202)),AVERAGE('20250815_ETF_Options_Exhibits'!P1198:P1202),"")</f>
        <v/>
      </c>
      <c r="Q1202" s="3">
        <f>IF(ISNUMBER(AVERAGE('20250815_ETF_Options_Exhibits'!Q1198:Q1202)),AVERAGE('20250815_ETF_Options_Exhibits'!Q1198:Q1202),"")</f>
        <v/>
      </c>
      <c r="R1202" s="3">
        <f>IF(ISNUMBER(AVERAGE('20250815_ETF_Options_Exhibits'!R1198:R1202)),AVERAGE('20250815_ETF_Options_Exhibits'!R1198:R1202),"")</f>
        <v/>
      </c>
      <c r="S1202" s="3">
        <f>IF(ISNUMBER(AVERAGE('20250815_ETF_Options_Exhibits'!S1198:S1202)),AVERAGE('20250815_ETF_Options_Exhibits'!S1198:S1202),"")</f>
        <v/>
      </c>
      <c r="T1202" s="3">
        <f>IF(ISNUMBER(AVERAGE('20250815_ETF_Options_Exhibits'!T1198:T1202)),AVERAGE('20250815_ETF_Options_Exhibits'!T1198:T1202),"")</f>
        <v/>
      </c>
      <c r="U1202" s="3">
        <f>IF(ISNUMBER(AVERAGE('20250815_ETF_Options_Exhibits'!U1198:U1202)),AVERAGE('20250815_ETF_Options_Exhibits'!U1198:U1202),"")</f>
        <v/>
      </c>
      <c r="V1202" s="3">
        <f>IF(ISNUMBER(AVERAGE('20250815_ETF_Options_Exhibits'!V1198:V1202)),AVERAGE('20250815_ETF_Options_Exhibits'!V1198:V1202),"")</f>
        <v/>
      </c>
      <c r="W1202" s="3">
        <f>IF(ISNUMBER(AVERAGE('20250815_ETF_Options_Exhibits'!W1198:W1202)),AVERAGE('20250815_ETF_Options_Exhibits'!W1198:W1202),"")</f>
        <v/>
      </c>
      <c r="X1202" s="3">
        <f>IF(ISNUMBER(AVERAGE('20250815_ETF_Options_Exhibits'!X1198:X1202)),AVERAGE('20250815_ETF_Options_Exhibits'!X1198:X1202),"")</f>
        <v/>
      </c>
      <c r="Y1202" s="3">
        <f>IF(ISNUMBER(AVERAGE('20250815_ETF_Options_Exhibits'!Y1198:Y1202)),AVERAGE('20250815_ETF_Options_Exhibits'!Y1198:Y1202),"")</f>
        <v/>
      </c>
      <c r="Z1202" s="3">
        <f>IF(ISNUMBER(AVERAGE('20250815_ETF_Options_Exhibits'!Z1198:Z1202)),AVERAGE('20250815_ETF_Options_Exhibits'!Z1198:Z1202),"")</f>
        <v/>
      </c>
      <c r="AA1202" s="3">
        <f>IF(ISNUMBER(AVERAGE('20250815_ETF_Options_Exhibits'!AA1198:AA1202)),AVERAGE('20250815_ETF_Options_Exhibits'!AA1198:AA1202),"")</f>
        <v/>
      </c>
    </row>
    <row r="1203">
      <c r="A1203" s="1" t="n">
        <v>43747</v>
      </c>
      <c r="B1203" s="3">
        <f>IF(ISNUMBER(AVERAGE('20250815_ETF_Options_Exhibits'!B1199:B1203)),AVERAGE('20250815_ETF_Options_Exhibits'!B1199:B1203),"")</f>
        <v/>
      </c>
      <c r="C1203" s="3">
        <f>IF(ISNUMBER(AVERAGE('20250815_ETF_Options_Exhibits'!C1199:C1203)),AVERAGE('20250815_ETF_Options_Exhibits'!C1199:C1203),"")</f>
        <v/>
      </c>
      <c r="D1203" s="3">
        <f>IF(ISNUMBER(AVERAGE('20250815_ETF_Options_Exhibits'!D1199:D1203)),AVERAGE('20250815_ETF_Options_Exhibits'!D1199:D1203),"")</f>
        <v/>
      </c>
      <c r="E1203" s="3">
        <f>IF(ISNUMBER(AVERAGE('20250815_ETF_Options_Exhibits'!E1199:E1203)),AVERAGE('20250815_ETF_Options_Exhibits'!E1199:E1203),"")</f>
        <v/>
      </c>
      <c r="F1203" s="3">
        <f>IF(ISNUMBER(AVERAGE('20250815_ETF_Options_Exhibits'!F1199:F1203)),AVERAGE('20250815_ETF_Options_Exhibits'!F1199:F1203),"")</f>
        <v/>
      </c>
      <c r="G1203" s="3">
        <f>IF(ISNUMBER(AVERAGE('20250815_ETF_Options_Exhibits'!G1199:G1203)),AVERAGE('20250815_ETF_Options_Exhibits'!G1199:G1203),"")</f>
        <v/>
      </c>
      <c r="H1203" s="3">
        <f>IF(ISNUMBER(AVERAGE('20250815_ETF_Options_Exhibits'!H1199:H1203)),AVERAGE('20250815_ETF_Options_Exhibits'!H1199:H1203),"")</f>
        <v/>
      </c>
      <c r="I1203" s="3">
        <f>IF(ISNUMBER(AVERAGE('20250815_ETF_Options_Exhibits'!I1199:I1203)),AVERAGE('20250815_ETF_Options_Exhibits'!I1199:I1203),"")</f>
        <v/>
      </c>
      <c r="J1203" s="3">
        <f>IF(ISNUMBER(AVERAGE('20250815_ETF_Options_Exhibits'!J1199:J1203)),AVERAGE('20250815_ETF_Options_Exhibits'!J1199:J1203),"")</f>
        <v/>
      </c>
      <c r="K1203" s="3">
        <f>IF(ISNUMBER(AVERAGE('20250815_ETF_Options_Exhibits'!K1199:K1203)),AVERAGE('20250815_ETF_Options_Exhibits'!K1199:K1203),"")</f>
        <v/>
      </c>
      <c r="L1203" s="3">
        <f>IF(ISNUMBER(AVERAGE('20250815_ETF_Options_Exhibits'!L1199:L1203)),AVERAGE('20250815_ETF_Options_Exhibits'!L1199:L1203),"")</f>
        <v/>
      </c>
      <c r="M1203" s="3">
        <f>IF(ISNUMBER(AVERAGE('20250815_ETF_Options_Exhibits'!M1199:M1203)),AVERAGE('20250815_ETF_Options_Exhibits'!M1199:M1203),"")</f>
        <v/>
      </c>
      <c r="N1203" s="3">
        <f>IF(ISNUMBER(AVERAGE('20250815_ETF_Options_Exhibits'!N1199:N1203)),AVERAGE('20250815_ETF_Options_Exhibits'!N1199:N1203),"")</f>
        <v/>
      </c>
      <c r="O1203" s="3">
        <f>IF(ISNUMBER(AVERAGE('20250815_ETF_Options_Exhibits'!O1199:O1203)),AVERAGE('20250815_ETF_Options_Exhibits'!O1199:O1203),"")</f>
        <v/>
      </c>
      <c r="P1203" s="3">
        <f>IF(ISNUMBER(AVERAGE('20250815_ETF_Options_Exhibits'!P1199:P1203)),AVERAGE('20250815_ETF_Options_Exhibits'!P1199:P1203),"")</f>
        <v/>
      </c>
      <c r="Q1203" s="3">
        <f>IF(ISNUMBER(AVERAGE('20250815_ETF_Options_Exhibits'!Q1199:Q1203)),AVERAGE('20250815_ETF_Options_Exhibits'!Q1199:Q1203),"")</f>
        <v/>
      </c>
      <c r="R1203" s="3">
        <f>IF(ISNUMBER(AVERAGE('20250815_ETF_Options_Exhibits'!R1199:R1203)),AVERAGE('20250815_ETF_Options_Exhibits'!R1199:R1203),"")</f>
        <v/>
      </c>
      <c r="S1203" s="3">
        <f>IF(ISNUMBER(AVERAGE('20250815_ETF_Options_Exhibits'!S1199:S1203)),AVERAGE('20250815_ETF_Options_Exhibits'!S1199:S1203),"")</f>
        <v/>
      </c>
      <c r="T1203" s="3">
        <f>IF(ISNUMBER(AVERAGE('20250815_ETF_Options_Exhibits'!T1199:T1203)),AVERAGE('20250815_ETF_Options_Exhibits'!T1199:T1203),"")</f>
        <v/>
      </c>
      <c r="U1203" s="3">
        <f>IF(ISNUMBER(AVERAGE('20250815_ETF_Options_Exhibits'!U1199:U1203)),AVERAGE('20250815_ETF_Options_Exhibits'!U1199:U1203),"")</f>
        <v/>
      </c>
      <c r="V1203" s="3">
        <f>IF(ISNUMBER(AVERAGE('20250815_ETF_Options_Exhibits'!V1199:V1203)),AVERAGE('20250815_ETF_Options_Exhibits'!V1199:V1203),"")</f>
        <v/>
      </c>
      <c r="W1203" s="3">
        <f>IF(ISNUMBER(AVERAGE('20250815_ETF_Options_Exhibits'!W1199:W1203)),AVERAGE('20250815_ETF_Options_Exhibits'!W1199:W1203),"")</f>
        <v/>
      </c>
      <c r="X1203" s="3">
        <f>IF(ISNUMBER(AVERAGE('20250815_ETF_Options_Exhibits'!X1199:X1203)),AVERAGE('20250815_ETF_Options_Exhibits'!X1199:X1203),"")</f>
        <v/>
      </c>
      <c r="Y1203" s="3">
        <f>IF(ISNUMBER(AVERAGE('20250815_ETF_Options_Exhibits'!Y1199:Y1203)),AVERAGE('20250815_ETF_Options_Exhibits'!Y1199:Y1203),"")</f>
        <v/>
      </c>
      <c r="Z1203" s="3">
        <f>IF(ISNUMBER(AVERAGE('20250815_ETF_Options_Exhibits'!Z1199:Z1203)),AVERAGE('20250815_ETF_Options_Exhibits'!Z1199:Z1203),"")</f>
        <v/>
      </c>
      <c r="AA1203" s="3">
        <f>IF(ISNUMBER(AVERAGE('20250815_ETF_Options_Exhibits'!AA1199:AA1203)),AVERAGE('20250815_ETF_Options_Exhibits'!AA1199:AA1203),"")</f>
        <v/>
      </c>
    </row>
    <row r="1204">
      <c r="A1204" s="1" t="n">
        <v>43748</v>
      </c>
      <c r="B1204" s="3">
        <f>IF(ISNUMBER(AVERAGE('20250815_ETF_Options_Exhibits'!B1200:B1204)),AVERAGE('20250815_ETF_Options_Exhibits'!B1200:B1204),"")</f>
        <v/>
      </c>
      <c r="C1204" s="3">
        <f>IF(ISNUMBER(AVERAGE('20250815_ETF_Options_Exhibits'!C1200:C1204)),AVERAGE('20250815_ETF_Options_Exhibits'!C1200:C1204),"")</f>
        <v/>
      </c>
      <c r="D1204" s="3">
        <f>IF(ISNUMBER(AVERAGE('20250815_ETF_Options_Exhibits'!D1200:D1204)),AVERAGE('20250815_ETF_Options_Exhibits'!D1200:D1204),"")</f>
        <v/>
      </c>
      <c r="E1204" s="3">
        <f>IF(ISNUMBER(AVERAGE('20250815_ETF_Options_Exhibits'!E1200:E1204)),AVERAGE('20250815_ETF_Options_Exhibits'!E1200:E1204),"")</f>
        <v/>
      </c>
      <c r="F1204" s="3">
        <f>IF(ISNUMBER(AVERAGE('20250815_ETF_Options_Exhibits'!F1200:F1204)),AVERAGE('20250815_ETF_Options_Exhibits'!F1200:F1204),"")</f>
        <v/>
      </c>
      <c r="G1204" s="3">
        <f>IF(ISNUMBER(AVERAGE('20250815_ETF_Options_Exhibits'!G1200:G1204)),AVERAGE('20250815_ETF_Options_Exhibits'!G1200:G1204),"")</f>
        <v/>
      </c>
      <c r="H1204" s="3">
        <f>IF(ISNUMBER(AVERAGE('20250815_ETF_Options_Exhibits'!H1200:H1204)),AVERAGE('20250815_ETF_Options_Exhibits'!H1200:H1204),"")</f>
        <v/>
      </c>
      <c r="I1204" s="3">
        <f>IF(ISNUMBER(AVERAGE('20250815_ETF_Options_Exhibits'!I1200:I1204)),AVERAGE('20250815_ETF_Options_Exhibits'!I1200:I1204),"")</f>
        <v/>
      </c>
      <c r="J1204" s="3">
        <f>IF(ISNUMBER(AVERAGE('20250815_ETF_Options_Exhibits'!J1200:J1204)),AVERAGE('20250815_ETF_Options_Exhibits'!J1200:J1204),"")</f>
        <v/>
      </c>
      <c r="K1204" s="3">
        <f>IF(ISNUMBER(AVERAGE('20250815_ETF_Options_Exhibits'!K1200:K1204)),AVERAGE('20250815_ETF_Options_Exhibits'!K1200:K1204),"")</f>
        <v/>
      </c>
      <c r="L1204" s="3">
        <f>IF(ISNUMBER(AVERAGE('20250815_ETF_Options_Exhibits'!L1200:L1204)),AVERAGE('20250815_ETF_Options_Exhibits'!L1200:L1204),"")</f>
        <v/>
      </c>
      <c r="M1204" s="3">
        <f>IF(ISNUMBER(AVERAGE('20250815_ETF_Options_Exhibits'!M1200:M1204)),AVERAGE('20250815_ETF_Options_Exhibits'!M1200:M1204),"")</f>
        <v/>
      </c>
      <c r="N1204" s="3">
        <f>IF(ISNUMBER(AVERAGE('20250815_ETF_Options_Exhibits'!N1200:N1204)),AVERAGE('20250815_ETF_Options_Exhibits'!N1200:N1204),"")</f>
        <v/>
      </c>
      <c r="O1204" s="3">
        <f>IF(ISNUMBER(AVERAGE('20250815_ETF_Options_Exhibits'!O1200:O1204)),AVERAGE('20250815_ETF_Options_Exhibits'!O1200:O1204),"")</f>
        <v/>
      </c>
      <c r="P1204" s="3">
        <f>IF(ISNUMBER(AVERAGE('20250815_ETF_Options_Exhibits'!P1200:P1204)),AVERAGE('20250815_ETF_Options_Exhibits'!P1200:P1204),"")</f>
        <v/>
      </c>
      <c r="Q1204" s="3">
        <f>IF(ISNUMBER(AVERAGE('20250815_ETF_Options_Exhibits'!Q1200:Q1204)),AVERAGE('20250815_ETF_Options_Exhibits'!Q1200:Q1204),"")</f>
        <v/>
      </c>
      <c r="R1204" s="3">
        <f>IF(ISNUMBER(AVERAGE('20250815_ETF_Options_Exhibits'!R1200:R1204)),AVERAGE('20250815_ETF_Options_Exhibits'!R1200:R1204),"")</f>
        <v/>
      </c>
      <c r="S1204" s="3">
        <f>IF(ISNUMBER(AVERAGE('20250815_ETF_Options_Exhibits'!S1200:S1204)),AVERAGE('20250815_ETF_Options_Exhibits'!S1200:S1204),"")</f>
        <v/>
      </c>
      <c r="T1204" s="3">
        <f>IF(ISNUMBER(AVERAGE('20250815_ETF_Options_Exhibits'!T1200:T1204)),AVERAGE('20250815_ETF_Options_Exhibits'!T1200:T1204),"")</f>
        <v/>
      </c>
      <c r="U1204" s="3">
        <f>IF(ISNUMBER(AVERAGE('20250815_ETF_Options_Exhibits'!U1200:U1204)),AVERAGE('20250815_ETF_Options_Exhibits'!U1200:U1204),"")</f>
        <v/>
      </c>
      <c r="V1204" s="3">
        <f>IF(ISNUMBER(AVERAGE('20250815_ETF_Options_Exhibits'!V1200:V1204)),AVERAGE('20250815_ETF_Options_Exhibits'!V1200:V1204),"")</f>
        <v/>
      </c>
      <c r="W1204" s="3">
        <f>IF(ISNUMBER(AVERAGE('20250815_ETF_Options_Exhibits'!W1200:W1204)),AVERAGE('20250815_ETF_Options_Exhibits'!W1200:W1204),"")</f>
        <v/>
      </c>
      <c r="X1204" s="3">
        <f>IF(ISNUMBER(AVERAGE('20250815_ETF_Options_Exhibits'!X1200:X1204)),AVERAGE('20250815_ETF_Options_Exhibits'!X1200:X1204),"")</f>
        <v/>
      </c>
      <c r="Y1204" s="3">
        <f>IF(ISNUMBER(AVERAGE('20250815_ETF_Options_Exhibits'!Y1200:Y1204)),AVERAGE('20250815_ETF_Options_Exhibits'!Y1200:Y1204),"")</f>
        <v/>
      </c>
      <c r="Z1204" s="3">
        <f>IF(ISNUMBER(AVERAGE('20250815_ETF_Options_Exhibits'!Z1200:Z1204)),AVERAGE('20250815_ETF_Options_Exhibits'!Z1200:Z1204),"")</f>
        <v/>
      </c>
      <c r="AA1204" s="3">
        <f>IF(ISNUMBER(AVERAGE('20250815_ETF_Options_Exhibits'!AA1200:AA1204)),AVERAGE('20250815_ETF_Options_Exhibits'!AA1200:AA1204),"")</f>
        <v/>
      </c>
    </row>
    <row r="1205">
      <c r="A1205" s="1" t="n">
        <v>43749</v>
      </c>
      <c r="B1205" s="3">
        <f>IF(ISNUMBER(AVERAGE('20250815_ETF_Options_Exhibits'!B1201:B1205)),AVERAGE('20250815_ETF_Options_Exhibits'!B1201:B1205),"")</f>
        <v/>
      </c>
      <c r="C1205" s="3">
        <f>IF(ISNUMBER(AVERAGE('20250815_ETF_Options_Exhibits'!C1201:C1205)),AVERAGE('20250815_ETF_Options_Exhibits'!C1201:C1205),"")</f>
        <v/>
      </c>
      <c r="D1205" s="3">
        <f>IF(ISNUMBER(AVERAGE('20250815_ETF_Options_Exhibits'!D1201:D1205)),AVERAGE('20250815_ETF_Options_Exhibits'!D1201:D1205),"")</f>
        <v/>
      </c>
      <c r="E1205" s="3">
        <f>IF(ISNUMBER(AVERAGE('20250815_ETF_Options_Exhibits'!E1201:E1205)),AVERAGE('20250815_ETF_Options_Exhibits'!E1201:E1205),"")</f>
        <v/>
      </c>
      <c r="F1205" s="3">
        <f>IF(ISNUMBER(AVERAGE('20250815_ETF_Options_Exhibits'!F1201:F1205)),AVERAGE('20250815_ETF_Options_Exhibits'!F1201:F1205),"")</f>
        <v/>
      </c>
      <c r="G1205" s="3">
        <f>IF(ISNUMBER(AVERAGE('20250815_ETF_Options_Exhibits'!G1201:G1205)),AVERAGE('20250815_ETF_Options_Exhibits'!G1201:G1205),"")</f>
        <v/>
      </c>
      <c r="H1205" s="3">
        <f>IF(ISNUMBER(AVERAGE('20250815_ETF_Options_Exhibits'!H1201:H1205)),AVERAGE('20250815_ETF_Options_Exhibits'!H1201:H1205),"")</f>
        <v/>
      </c>
      <c r="I1205" s="3">
        <f>IF(ISNUMBER(AVERAGE('20250815_ETF_Options_Exhibits'!I1201:I1205)),AVERAGE('20250815_ETF_Options_Exhibits'!I1201:I1205),"")</f>
        <v/>
      </c>
      <c r="J1205" s="3">
        <f>IF(ISNUMBER(AVERAGE('20250815_ETF_Options_Exhibits'!J1201:J1205)),AVERAGE('20250815_ETF_Options_Exhibits'!J1201:J1205),"")</f>
        <v/>
      </c>
      <c r="K1205" s="3">
        <f>IF(ISNUMBER(AVERAGE('20250815_ETF_Options_Exhibits'!K1201:K1205)),AVERAGE('20250815_ETF_Options_Exhibits'!K1201:K1205),"")</f>
        <v/>
      </c>
      <c r="L1205" s="3">
        <f>IF(ISNUMBER(AVERAGE('20250815_ETF_Options_Exhibits'!L1201:L1205)),AVERAGE('20250815_ETF_Options_Exhibits'!L1201:L1205),"")</f>
        <v/>
      </c>
      <c r="M1205" s="3">
        <f>IF(ISNUMBER(AVERAGE('20250815_ETF_Options_Exhibits'!M1201:M1205)),AVERAGE('20250815_ETF_Options_Exhibits'!M1201:M1205),"")</f>
        <v/>
      </c>
      <c r="N1205" s="3">
        <f>IF(ISNUMBER(AVERAGE('20250815_ETF_Options_Exhibits'!N1201:N1205)),AVERAGE('20250815_ETF_Options_Exhibits'!N1201:N1205),"")</f>
        <v/>
      </c>
      <c r="O1205" s="3">
        <f>IF(ISNUMBER(AVERAGE('20250815_ETF_Options_Exhibits'!O1201:O1205)),AVERAGE('20250815_ETF_Options_Exhibits'!O1201:O1205),"")</f>
        <v/>
      </c>
      <c r="P1205" s="3">
        <f>IF(ISNUMBER(AVERAGE('20250815_ETF_Options_Exhibits'!P1201:P1205)),AVERAGE('20250815_ETF_Options_Exhibits'!P1201:P1205),"")</f>
        <v/>
      </c>
      <c r="Q1205" s="3">
        <f>IF(ISNUMBER(AVERAGE('20250815_ETF_Options_Exhibits'!Q1201:Q1205)),AVERAGE('20250815_ETF_Options_Exhibits'!Q1201:Q1205),"")</f>
        <v/>
      </c>
      <c r="R1205" s="3">
        <f>IF(ISNUMBER(AVERAGE('20250815_ETF_Options_Exhibits'!R1201:R1205)),AVERAGE('20250815_ETF_Options_Exhibits'!R1201:R1205),"")</f>
        <v/>
      </c>
      <c r="S1205" s="3">
        <f>IF(ISNUMBER(AVERAGE('20250815_ETF_Options_Exhibits'!S1201:S1205)),AVERAGE('20250815_ETF_Options_Exhibits'!S1201:S1205),"")</f>
        <v/>
      </c>
      <c r="T1205" s="3">
        <f>IF(ISNUMBER(AVERAGE('20250815_ETF_Options_Exhibits'!T1201:T1205)),AVERAGE('20250815_ETF_Options_Exhibits'!T1201:T1205),"")</f>
        <v/>
      </c>
      <c r="U1205" s="3">
        <f>IF(ISNUMBER(AVERAGE('20250815_ETF_Options_Exhibits'!U1201:U1205)),AVERAGE('20250815_ETF_Options_Exhibits'!U1201:U1205),"")</f>
        <v/>
      </c>
      <c r="V1205" s="3">
        <f>IF(ISNUMBER(AVERAGE('20250815_ETF_Options_Exhibits'!V1201:V1205)),AVERAGE('20250815_ETF_Options_Exhibits'!V1201:V1205),"")</f>
        <v/>
      </c>
      <c r="W1205" s="3">
        <f>IF(ISNUMBER(AVERAGE('20250815_ETF_Options_Exhibits'!W1201:W1205)),AVERAGE('20250815_ETF_Options_Exhibits'!W1201:W1205),"")</f>
        <v/>
      </c>
      <c r="X1205" s="3">
        <f>IF(ISNUMBER(AVERAGE('20250815_ETF_Options_Exhibits'!X1201:X1205)),AVERAGE('20250815_ETF_Options_Exhibits'!X1201:X1205),"")</f>
        <v/>
      </c>
      <c r="Y1205" s="3">
        <f>IF(ISNUMBER(AVERAGE('20250815_ETF_Options_Exhibits'!Y1201:Y1205)),AVERAGE('20250815_ETF_Options_Exhibits'!Y1201:Y1205),"")</f>
        <v/>
      </c>
      <c r="Z1205" s="3">
        <f>IF(ISNUMBER(AVERAGE('20250815_ETF_Options_Exhibits'!Z1201:Z1205)),AVERAGE('20250815_ETF_Options_Exhibits'!Z1201:Z1205),"")</f>
        <v/>
      </c>
      <c r="AA1205" s="3">
        <f>IF(ISNUMBER(AVERAGE('20250815_ETF_Options_Exhibits'!AA1201:AA1205)),AVERAGE('20250815_ETF_Options_Exhibits'!AA1201:AA1205),"")</f>
        <v/>
      </c>
    </row>
    <row r="1206">
      <c r="A1206" s="1" t="n">
        <v>43752</v>
      </c>
      <c r="B1206" s="3">
        <f>IF(ISNUMBER(AVERAGE('20250815_ETF_Options_Exhibits'!B1202:B1206)),AVERAGE('20250815_ETF_Options_Exhibits'!B1202:B1206),"")</f>
        <v/>
      </c>
      <c r="C1206" s="3">
        <f>IF(ISNUMBER(AVERAGE('20250815_ETF_Options_Exhibits'!C1202:C1206)),AVERAGE('20250815_ETF_Options_Exhibits'!C1202:C1206),"")</f>
        <v/>
      </c>
      <c r="D1206" s="3">
        <f>IF(ISNUMBER(AVERAGE('20250815_ETF_Options_Exhibits'!D1202:D1206)),AVERAGE('20250815_ETF_Options_Exhibits'!D1202:D1206),"")</f>
        <v/>
      </c>
      <c r="E1206" s="3">
        <f>IF(ISNUMBER(AVERAGE('20250815_ETF_Options_Exhibits'!E1202:E1206)),AVERAGE('20250815_ETF_Options_Exhibits'!E1202:E1206),"")</f>
        <v/>
      </c>
      <c r="F1206" s="3">
        <f>IF(ISNUMBER(AVERAGE('20250815_ETF_Options_Exhibits'!F1202:F1206)),AVERAGE('20250815_ETF_Options_Exhibits'!F1202:F1206),"")</f>
        <v/>
      </c>
      <c r="G1206" s="3">
        <f>IF(ISNUMBER(AVERAGE('20250815_ETF_Options_Exhibits'!G1202:G1206)),AVERAGE('20250815_ETF_Options_Exhibits'!G1202:G1206),"")</f>
        <v/>
      </c>
      <c r="H1206" s="3">
        <f>IF(ISNUMBER(AVERAGE('20250815_ETF_Options_Exhibits'!H1202:H1206)),AVERAGE('20250815_ETF_Options_Exhibits'!H1202:H1206),"")</f>
        <v/>
      </c>
      <c r="I1206" s="3">
        <f>IF(ISNUMBER(AVERAGE('20250815_ETF_Options_Exhibits'!I1202:I1206)),AVERAGE('20250815_ETF_Options_Exhibits'!I1202:I1206),"")</f>
        <v/>
      </c>
      <c r="J1206" s="3">
        <f>IF(ISNUMBER(AVERAGE('20250815_ETF_Options_Exhibits'!J1202:J1206)),AVERAGE('20250815_ETF_Options_Exhibits'!J1202:J1206),"")</f>
        <v/>
      </c>
      <c r="K1206" s="3">
        <f>IF(ISNUMBER(AVERAGE('20250815_ETF_Options_Exhibits'!K1202:K1206)),AVERAGE('20250815_ETF_Options_Exhibits'!K1202:K1206),"")</f>
        <v/>
      </c>
      <c r="L1206" s="3">
        <f>IF(ISNUMBER(AVERAGE('20250815_ETF_Options_Exhibits'!L1202:L1206)),AVERAGE('20250815_ETF_Options_Exhibits'!L1202:L1206),"")</f>
        <v/>
      </c>
      <c r="M1206" s="3">
        <f>IF(ISNUMBER(AVERAGE('20250815_ETF_Options_Exhibits'!M1202:M1206)),AVERAGE('20250815_ETF_Options_Exhibits'!M1202:M1206),"")</f>
        <v/>
      </c>
      <c r="N1206" s="3">
        <f>IF(ISNUMBER(AVERAGE('20250815_ETF_Options_Exhibits'!N1202:N1206)),AVERAGE('20250815_ETF_Options_Exhibits'!N1202:N1206),"")</f>
        <v/>
      </c>
      <c r="O1206" s="3">
        <f>IF(ISNUMBER(AVERAGE('20250815_ETF_Options_Exhibits'!O1202:O1206)),AVERAGE('20250815_ETF_Options_Exhibits'!O1202:O1206),"")</f>
        <v/>
      </c>
      <c r="P1206" s="3">
        <f>IF(ISNUMBER(AVERAGE('20250815_ETF_Options_Exhibits'!P1202:P1206)),AVERAGE('20250815_ETF_Options_Exhibits'!P1202:P1206),"")</f>
        <v/>
      </c>
      <c r="Q1206" s="3">
        <f>IF(ISNUMBER(AVERAGE('20250815_ETF_Options_Exhibits'!Q1202:Q1206)),AVERAGE('20250815_ETF_Options_Exhibits'!Q1202:Q1206),"")</f>
        <v/>
      </c>
      <c r="R1206" s="3">
        <f>IF(ISNUMBER(AVERAGE('20250815_ETF_Options_Exhibits'!R1202:R1206)),AVERAGE('20250815_ETF_Options_Exhibits'!R1202:R1206),"")</f>
        <v/>
      </c>
      <c r="S1206" s="3">
        <f>IF(ISNUMBER(AVERAGE('20250815_ETF_Options_Exhibits'!S1202:S1206)),AVERAGE('20250815_ETF_Options_Exhibits'!S1202:S1206),"")</f>
        <v/>
      </c>
      <c r="T1206" s="3">
        <f>IF(ISNUMBER(AVERAGE('20250815_ETF_Options_Exhibits'!T1202:T1206)),AVERAGE('20250815_ETF_Options_Exhibits'!T1202:T1206),"")</f>
        <v/>
      </c>
      <c r="U1206" s="3">
        <f>IF(ISNUMBER(AVERAGE('20250815_ETF_Options_Exhibits'!U1202:U1206)),AVERAGE('20250815_ETF_Options_Exhibits'!U1202:U1206),"")</f>
        <v/>
      </c>
      <c r="V1206" s="3">
        <f>IF(ISNUMBER(AVERAGE('20250815_ETF_Options_Exhibits'!V1202:V1206)),AVERAGE('20250815_ETF_Options_Exhibits'!V1202:V1206),"")</f>
        <v/>
      </c>
      <c r="W1206" s="3">
        <f>IF(ISNUMBER(AVERAGE('20250815_ETF_Options_Exhibits'!W1202:W1206)),AVERAGE('20250815_ETF_Options_Exhibits'!W1202:W1206),"")</f>
        <v/>
      </c>
      <c r="X1206" s="3">
        <f>IF(ISNUMBER(AVERAGE('20250815_ETF_Options_Exhibits'!X1202:X1206)),AVERAGE('20250815_ETF_Options_Exhibits'!X1202:X1206),"")</f>
        <v/>
      </c>
      <c r="Y1206" s="3">
        <f>IF(ISNUMBER(AVERAGE('20250815_ETF_Options_Exhibits'!Y1202:Y1206)),AVERAGE('20250815_ETF_Options_Exhibits'!Y1202:Y1206),"")</f>
        <v/>
      </c>
      <c r="Z1206" s="3">
        <f>IF(ISNUMBER(AVERAGE('20250815_ETF_Options_Exhibits'!Z1202:Z1206)),AVERAGE('20250815_ETF_Options_Exhibits'!Z1202:Z1206),"")</f>
        <v/>
      </c>
      <c r="AA1206" s="3">
        <f>IF(ISNUMBER(AVERAGE('20250815_ETF_Options_Exhibits'!AA1202:AA1206)),AVERAGE('20250815_ETF_Options_Exhibits'!AA1202:AA1206),"")</f>
        <v/>
      </c>
    </row>
    <row r="1207">
      <c r="A1207" s="1" t="n">
        <v>43753</v>
      </c>
      <c r="B1207" s="3">
        <f>IF(ISNUMBER(AVERAGE('20250815_ETF_Options_Exhibits'!B1203:B1207)),AVERAGE('20250815_ETF_Options_Exhibits'!B1203:B1207),"")</f>
        <v/>
      </c>
      <c r="C1207" s="3">
        <f>IF(ISNUMBER(AVERAGE('20250815_ETF_Options_Exhibits'!C1203:C1207)),AVERAGE('20250815_ETF_Options_Exhibits'!C1203:C1207),"")</f>
        <v/>
      </c>
      <c r="D1207" s="3">
        <f>IF(ISNUMBER(AVERAGE('20250815_ETF_Options_Exhibits'!D1203:D1207)),AVERAGE('20250815_ETF_Options_Exhibits'!D1203:D1207),"")</f>
        <v/>
      </c>
      <c r="E1207" s="3">
        <f>IF(ISNUMBER(AVERAGE('20250815_ETF_Options_Exhibits'!E1203:E1207)),AVERAGE('20250815_ETF_Options_Exhibits'!E1203:E1207),"")</f>
        <v/>
      </c>
      <c r="F1207" s="3">
        <f>IF(ISNUMBER(AVERAGE('20250815_ETF_Options_Exhibits'!F1203:F1207)),AVERAGE('20250815_ETF_Options_Exhibits'!F1203:F1207),"")</f>
        <v/>
      </c>
      <c r="G1207" s="3">
        <f>IF(ISNUMBER(AVERAGE('20250815_ETF_Options_Exhibits'!G1203:G1207)),AVERAGE('20250815_ETF_Options_Exhibits'!G1203:G1207),"")</f>
        <v/>
      </c>
      <c r="H1207" s="3">
        <f>IF(ISNUMBER(AVERAGE('20250815_ETF_Options_Exhibits'!H1203:H1207)),AVERAGE('20250815_ETF_Options_Exhibits'!H1203:H1207),"")</f>
        <v/>
      </c>
      <c r="I1207" s="3">
        <f>IF(ISNUMBER(AVERAGE('20250815_ETF_Options_Exhibits'!I1203:I1207)),AVERAGE('20250815_ETF_Options_Exhibits'!I1203:I1207),"")</f>
        <v/>
      </c>
      <c r="J1207" s="3">
        <f>IF(ISNUMBER(AVERAGE('20250815_ETF_Options_Exhibits'!J1203:J1207)),AVERAGE('20250815_ETF_Options_Exhibits'!J1203:J1207),"")</f>
        <v/>
      </c>
      <c r="K1207" s="3">
        <f>IF(ISNUMBER(AVERAGE('20250815_ETF_Options_Exhibits'!K1203:K1207)),AVERAGE('20250815_ETF_Options_Exhibits'!K1203:K1207),"")</f>
        <v/>
      </c>
      <c r="L1207" s="3">
        <f>IF(ISNUMBER(AVERAGE('20250815_ETF_Options_Exhibits'!L1203:L1207)),AVERAGE('20250815_ETF_Options_Exhibits'!L1203:L1207),"")</f>
        <v/>
      </c>
      <c r="M1207" s="3">
        <f>IF(ISNUMBER(AVERAGE('20250815_ETF_Options_Exhibits'!M1203:M1207)),AVERAGE('20250815_ETF_Options_Exhibits'!M1203:M1207),"")</f>
        <v/>
      </c>
      <c r="N1207" s="3">
        <f>IF(ISNUMBER(AVERAGE('20250815_ETF_Options_Exhibits'!N1203:N1207)),AVERAGE('20250815_ETF_Options_Exhibits'!N1203:N1207),"")</f>
        <v/>
      </c>
      <c r="O1207" s="3">
        <f>IF(ISNUMBER(AVERAGE('20250815_ETF_Options_Exhibits'!O1203:O1207)),AVERAGE('20250815_ETF_Options_Exhibits'!O1203:O1207),"")</f>
        <v/>
      </c>
      <c r="P1207" s="3">
        <f>IF(ISNUMBER(AVERAGE('20250815_ETF_Options_Exhibits'!P1203:P1207)),AVERAGE('20250815_ETF_Options_Exhibits'!P1203:P1207),"")</f>
        <v/>
      </c>
      <c r="Q1207" s="3">
        <f>IF(ISNUMBER(AVERAGE('20250815_ETF_Options_Exhibits'!Q1203:Q1207)),AVERAGE('20250815_ETF_Options_Exhibits'!Q1203:Q1207),"")</f>
        <v/>
      </c>
      <c r="R1207" s="3">
        <f>IF(ISNUMBER(AVERAGE('20250815_ETF_Options_Exhibits'!R1203:R1207)),AVERAGE('20250815_ETF_Options_Exhibits'!R1203:R1207),"")</f>
        <v/>
      </c>
      <c r="S1207" s="3">
        <f>IF(ISNUMBER(AVERAGE('20250815_ETF_Options_Exhibits'!S1203:S1207)),AVERAGE('20250815_ETF_Options_Exhibits'!S1203:S1207),"")</f>
        <v/>
      </c>
      <c r="T1207" s="3">
        <f>IF(ISNUMBER(AVERAGE('20250815_ETF_Options_Exhibits'!T1203:T1207)),AVERAGE('20250815_ETF_Options_Exhibits'!T1203:T1207),"")</f>
        <v/>
      </c>
      <c r="U1207" s="3">
        <f>IF(ISNUMBER(AVERAGE('20250815_ETF_Options_Exhibits'!U1203:U1207)),AVERAGE('20250815_ETF_Options_Exhibits'!U1203:U1207),"")</f>
        <v/>
      </c>
      <c r="V1207" s="3">
        <f>IF(ISNUMBER(AVERAGE('20250815_ETF_Options_Exhibits'!V1203:V1207)),AVERAGE('20250815_ETF_Options_Exhibits'!V1203:V1207),"")</f>
        <v/>
      </c>
      <c r="W1207" s="3">
        <f>IF(ISNUMBER(AVERAGE('20250815_ETF_Options_Exhibits'!W1203:W1207)),AVERAGE('20250815_ETF_Options_Exhibits'!W1203:W1207),"")</f>
        <v/>
      </c>
      <c r="X1207" s="3">
        <f>IF(ISNUMBER(AVERAGE('20250815_ETF_Options_Exhibits'!X1203:X1207)),AVERAGE('20250815_ETF_Options_Exhibits'!X1203:X1207),"")</f>
        <v/>
      </c>
      <c r="Y1207" s="3">
        <f>IF(ISNUMBER(AVERAGE('20250815_ETF_Options_Exhibits'!Y1203:Y1207)),AVERAGE('20250815_ETF_Options_Exhibits'!Y1203:Y1207),"")</f>
        <v/>
      </c>
      <c r="Z1207" s="3">
        <f>IF(ISNUMBER(AVERAGE('20250815_ETF_Options_Exhibits'!Z1203:Z1207)),AVERAGE('20250815_ETF_Options_Exhibits'!Z1203:Z1207),"")</f>
        <v/>
      </c>
      <c r="AA1207" s="3">
        <f>IF(ISNUMBER(AVERAGE('20250815_ETF_Options_Exhibits'!AA1203:AA1207)),AVERAGE('20250815_ETF_Options_Exhibits'!AA1203:AA1207),"")</f>
        <v/>
      </c>
    </row>
    <row r="1208">
      <c r="A1208" s="1" t="n">
        <v>43754</v>
      </c>
      <c r="B1208" s="3">
        <f>IF(ISNUMBER(AVERAGE('20250815_ETF_Options_Exhibits'!B1204:B1208)),AVERAGE('20250815_ETF_Options_Exhibits'!B1204:B1208),"")</f>
        <v/>
      </c>
      <c r="C1208" s="3">
        <f>IF(ISNUMBER(AVERAGE('20250815_ETF_Options_Exhibits'!C1204:C1208)),AVERAGE('20250815_ETF_Options_Exhibits'!C1204:C1208),"")</f>
        <v/>
      </c>
      <c r="D1208" s="3">
        <f>IF(ISNUMBER(AVERAGE('20250815_ETF_Options_Exhibits'!D1204:D1208)),AVERAGE('20250815_ETF_Options_Exhibits'!D1204:D1208),"")</f>
        <v/>
      </c>
      <c r="E1208" s="3">
        <f>IF(ISNUMBER(AVERAGE('20250815_ETF_Options_Exhibits'!E1204:E1208)),AVERAGE('20250815_ETF_Options_Exhibits'!E1204:E1208),"")</f>
        <v/>
      </c>
      <c r="F1208" s="3">
        <f>IF(ISNUMBER(AVERAGE('20250815_ETF_Options_Exhibits'!F1204:F1208)),AVERAGE('20250815_ETF_Options_Exhibits'!F1204:F1208),"")</f>
        <v/>
      </c>
      <c r="G1208" s="3">
        <f>IF(ISNUMBER(AVERAGE('20250815_ETF_Options_Exhibits'!G1204:G1208)),AVERAGE('20250815_ETF_Options_Exhibits'!G1204:G1208),"")</f>
        <v/>
      </c>
      <c r="H1208" s="3">
        <f>IF(ISNUMBER(AVERAGE('20250815_ETF_Options_Exhibits'!H1204:H1208)),AVERAGE('20250815_ETF_Options_Exhibits'!H1204:H1208),"")</f>
        <v/>
      </c>
      <c r="I1208" s="3">
        <f>IF(ISNUMBER(AVERAGE('20250815_ETF_Options_Exhibits'!I1204:I1208)),AVERAGE('20250815_ETF_Options_Exhibits'!I1204:I1208),"")</f>
        <v/>
      </c>
      <c r="J1208" s="3">
        <f>IF(ISNUMBER(AVERAGE('20250815_ETF_Options_Exhibits'!J1204:J1208)),AVERAGE('20250815_ETF_Options_Exhibits'!J1204:J1208),"")</f>
        <v/>
      </c>
      <c r="K1208" s="3">
        <f>IF(ISNUMBER(AVERAGE('20250815_ETF_Options_Exhibits'!K1204:K1208)),AVERAGE('20250815_ETF_Options_Exhibits'!K1204:K1208),"")</f>
        <v/>
      </c>
      <c r="L1208" s="3">
        <f>IF(ISNUMBER(AVERAGE('20250815_ETF_Options_Exhibits'!L1204:L1208)),AVERAGE('20250815_ETF_Options_Exhibits'!L1204:L1208),"")</f>
        <v/>
      </c>
      <c r="M1208" s="3">
        <f>IF(ISNUMBER(AVERAGE('20250815_ETF_Options_Exhibits'!M1204:M1208)),AVERAGE('20250815_ETF_Options_Exhibits'!M1204:M1208),"")</f>
        <v/>
      </c>
      <c r="N1208" s="3">
        <f>IF(ISNUMBER(AVERAGE('20250815_ETF_Options_Exhibits'!N1204:N1208)),AVERAGE('20250815_ETF_Options_Exhibits'!N1204:N1208),"")</f>
        <v/>
      </c>
      <c r="O1208" s="3">
        <f>IF(ISNUMBER(AVERAGE('20250815_ETF_Options_Exhibits'!O1204:O1208)),AVERAGE('20250815_ETF_Options_Exhibits'!O1204:O1208),"")</f>
        <v/>
      </c>
      <c r="P1208" s="3">
        <f>IF(ISNUMBER(AVERAGE('20250815_ETF_Options_Exhibits'!P1204:P1208)),AVERAGE('20250815_ETF_Options_Exhibits'!P1204:P1208),"")</f>
        <v/>
      </c>
      <c r="Q1208" s="3">
        <f>IF(ISNUMBER(AVERAGE('20250815_ETF_Options_Exhibits'!Q1204:Q1208)),AVERAGE('20250815_ETF_Options_Exhibits'!Q1204:Q1208),"")</f>
        <v/>
      </c>
      <c r="R1208" s="3">
        <f>IF(ISNUMBER(AVERAGE('20250815_ETF_Options_Exhibits'!R1204:R1208)),AVERAGE('20250815_ETF_Options_Exhibits'!R1204:R1208),"")</f>
        <v/>
      </c>
      <c r="S1208" s="3">
        <f>IF(ISNUMBER(AVERAGE('20250815_ETF_Options_Exhibits'!S1204:S1208)),AVERAGE('20250815_ETF_Options_Exhibits'!S1204:S1208),"")</f>
        <v/>
      </c>
      <c r="T1208" s="3">
        <f>IF(ISNUMBER(AVERAGE('20250815_ETF_Options_Exhibits'!T1204:T1208)),AVERAGE('20250815_ETF_Options_Exhibits'!T1204:T1208),"")</f>
        <v/>
      </c>
      <c r="U1208" s="3">
        <f>IF(ISNUMBER(AVERAGE('20250815_ETF_Options_Exhibits'!U1204:U1208)),AVERAGE('20250815_ETF_Options_Exhibits'!U1204:U1208),"")</f>
        <v/>
      </c>
      <c r="V1208" s="3">
        <f>IF(ISNUMBER(AVERAGE('20250815_ETF_Options_Exhibits'!V1204:V1208)),AVERAGE('20250815_ETF_Options_Exhibits'!V1204:V1208),"")</f>
        <v/>
      </c>
      <c r="W1208" s="3">
        <f>IF(ISNUMBER(AVERAGE('20250815_ETF_Options_Exhibits'!W1204:W1208)),AVERAGE('20250815_ETF_Options_Exhibits'!W1204:W1208),"")</f>
        <v/>
      </c>
      <c r="X1208" s="3">
        <f>IF(ISNUMBER(AVERAGE('20250815_ETF_Options_Exhibits'!X1204:X1208)),AVERAGE('20250815_ETF_Options_Exhibits'!X1204:X1208),"")</f>
        <v/>
      </c>
      <c r="Y1208" s="3">
        <f>IF(ISNUMBER(AVERAGE('20250815_ETF_Options_Exhibits'!Y1204:Y1208)),AVERAGE('20250815_ETF_Options_Exhibits'!Y1204:Y1208),"")</f>
        <v/>
      </c>
      <c r="Z1208" s="3">
        <f>IF(ISNUMBER(AVERAGE('20250815_ETF_Options_Exhibits'!Z1204:Z1208)),AVERAGE('20250815_ETF_Options_Exhibits'!Z1204:Z1208),"")</f>
        <v/>
      </c>
      <c r="AA1208" s="3">
        <f>IF(ISNUMBER(AVERAGE('20250815_ETF_Options_Exhibits'!AA1204:AA1208)),AVERAGE('20250815_ETF_Options_Exhibits'!AA1204:AA1208),"")</f>
        <v/>
      </c>
    </row>
    <row r="1209">
      <c r="A1209" s="1" t="n">
        <v>43755</v>
      </c>
      <c r="B1209" s="3">
        <f>IF(ISNUMBER(AVERAGE('20250815_ETF_Options_Exhibits'!B1205:B1209)),AVERAGE('20250815_ETF_Options_Exhibits'!B1205:B1209),"")</f>
        <v/>
      </c>
      <c r="C1209" s="3">
        <f>IF(ISNUMBER(AVERAGE('20250815_ETF_Options_Exhibits'!C1205:C1209)),AVERAGE('20250815_ETF_Options_Exhibits'!C1205:C1209),"")</f>
        <v/>
      </c>
      <c r="D1209" s="3">
        <f>IF(ISNUMBER(AVERAGE('20250815_ETF_Options_Exhibits'!D1205:D1209)),AVERAGE('20250815_ETF_Options_Exhibits'!D1205:D1209),"")</f>
        <v/>
      </c>
      <c r="E1209" s="3">
        <f>IF(ISNUMBER(AVERAGE('20250815_ETF_Options_Exhibits'!E1205:E1209)),AVERAGE('20250815_ETF_Options_Exhibits'!E1205:E1209),"")</f>
        <v/>
      </c>
      <c r="F1209" s="3">
        <f>IF(ISNUMBER(AVERAGE('20250815_ETF_Options_Exhibits'!F1205:F1209)),AVERAGE('20250815_ETF_Options_Exhibits'!F1205:F1209),"")</f>
        <v/>
      </c>
      <c r="G1209" s="3">
        <f>IF(ISNUMBER(AVERAGE('20250815_ETF_Options_Exhibits'!G1205:G1209)),AVERAGE('20250815_ETF_Options_Exhibits'!G1205:G1209),"")</f>
        <v/>
      </c>
      <c r="H1209" s="3">
        <f>IF(ISNUMBER(AVERAGE('20250815_ETF_Options_Exhibits'!H1205:H1209)),AVERAGE('20250815_ETF_Options_Exhibits'!H1205:H1209),"")</f>
        <v/>
      </c>
      <c r="I1209" s="3">
        <f>IF(ISNUMBER(AVERAGE('20250815_ETF_Options_Exhibits'!I1205:I1209)),AVERAGE('20250815_ETF_Options_Exhibits'!I1205:I1209),"")</f>
        <v/>
      </c>
      <c r="J1209" s="3">
        <f>IF(ISNUMBER(AVERAGE('20250815_ETF_Options_Exhibits'!J1205:J1209)),AVERAGE('20250815_ETF_Options_Exhibits'!J1205:J1209),"")</f>
        <v/>
      </c>
      <c r="K1209" s="3">
        <f>IF(ISNUMBER(AVERAGE('20250815_ETF_Options_Exhibits'!K1205:K1209)),AVERAGE('20250815_ETF_Options_Exhibits'!K1205:K1209),"")</f>
        <v/>
      </c>
      <c r="L1209" s="3">
        <f>IF(ISNUMBER(AVERAGE('20250815_ETF_Options_Exhibits'!L1205:L1209)),AVERAGE('20250815_ETF_Options_Exhibits'!L1205:L1209),"")</f>
        <v/>
      </c>
      <c r="M1209" s="3">
        <f>IF(ISNUMBER(AVERAGE('20250815_ETF_Options_Exhibits'!M1205:M1209)),AVERAGE('20250815_ETF_Options_Exhibits'!M1205:M1209),"")</f>
        <v/>
      </c>
      <c r="N1209" s="3">
        <f>IF(ISNUMBER(AVERAGE('20250815_ETF_Options_Exhibits'!N1205:N1209)),AVERAGE('20250815_ETF_Options_Exhibits'!N1205:N1209),"")</f>
        <v/>
      </c>
      <c r="O1209" s="3">
        <f>IF(ISNUMBER(AVERAGE('20250815_ETF_Options_Exhibits'!O1205:O1209)),AVERAGE('20250815_ETF_Options_Exhibits'!O1205:O1209),"")</f>
        <v/>
      </c>
      <c r="P1209" s="3">
        <f>IF(ISNUMBER(AVERAGE('20250815_ETF_Options_Exhibits'!P1205:P1209)),AVERAGE('20250815_ETF_Options_Exhibits'!P1205:P1209),"")</f>
        <v/>
      </c>
      <c r="Q1209" s="3">
        <f>IF(ISNUMBER(AVERAGE('20250815_ETF_Options_Exhibits'!Q1205:Q1209)),AVERAGE('20250815_ETF_Options_Exhibits'!Q1205:Q1209),"")</f>
        <v/>
      </c>
      <c r="R1209" s="3">
        <f>IF(ISNUMBER(AVERAGE('20250815_ETF_Options_Exhibits'!R1205:R1209)),AVERAGE('20250815_ETF_Options_Exhibits'!R1205:R1209),"")</f>
        <v/>
      </c>
      <c r="S1209" s="3">
        <f>IF(ISNUMBER(AVERAGE('20250815_ETF_Options_Exhibits'!S1205:S1209)),AVERAGE('20250815_ETF_Options_Exhibits'!S1205:S1209),"")</f>
        <v/>
      </c>
      <c r="T1209" s="3">
        <f>IF(ISNUMBER(AVERAGE('20250815_ETF_Options_Exhibits'!T1205:T1209)),AVERAGE('20250815_ETF_Options_Exhibits'!T1205:T1209),"")</f>
        <v/>
      </c>
      <c r="U1209" s="3">
        <f>IF(ISNUMBER(AVERAGE('20250815_ETF_Options_Exhibits'!U1205:U1209)),AVERAGE('20250815_ETF_Options_Exhibits'!U1205:U1209),"")</f>
        <v/>
      </c>
      <c r="V1209" s="3">
        <f>IF(ISNUMBER(AVERAGE('20250815_ETF_Options_Exhibits'!V1205:V1209)),AVERAGE('20250815_ETF_Options_Exhibits'!V1205:V1209),"")</f>
        <v/>
      </c>
      <c r="W1209" s="3">
        <f>IF(ISNUMBER(AVERAGE('20250815_ETF_Options_Exhibits'!W1205:W1209)),AVERAGE('20250815_ETF_Options_Exhibits'!W1205:W1209),"")</f>
        <v/>
      </c>
      <c r="X1209" s="3">
        <f>IF(ISNUMBER(AVERAGE('20250815_ETF_Options_Exhibits'!X1205:X1209)),AVERAGE('20250815_ETF_Options_Exhibits'!X1205:X1209),"")</f>
        <v/>
      </c>
      <c r="Y1209" s="3">
        <f>IF(ISNUMBER(AVERAGE('20250815_ETF_Options_Exhibits'!Y1205:Y1209)),AVERAGE('20250815_ETF_Options_Exhibits'!Y1205:Y1209),"")</f>
        <v/>
      </c>
      <c r="Z1209" s="3">
        <f>IF(ISNUMBER(AVERAGE('20250815_ETF_Options_Exhibits'!Z1205:Z1209)),AVERAGE('20250815_ETF_Options_Exhibits'!Z1205:Z1209),"")</f>
        <v/>
      </c>
      <c r="AA1209" s="3">
        <f>IF(ISNUMBER(AVERAGE('20250815_ETF_Options_Exhibits'!AA1205:AA1209)),AVERAGE('20250815_ETF_Options_Exhibits'!AA1205:AA1209),"")</f>
        <v/>
      </c>
    </row>
    <row r="1210">
      <c r="A1210" s="1" t="n">
        <v>43756</v>
      </c>
      <c r="B1210" s="3">
        <f>IF(ISNUMBER(AVERAGE('20250815_ETF_Options_Exhibits'!B1206:B1210)),AVERAGE('20250815_ETF_Options_Exhibits'!B1206:B1210),"")</f>
        <v/>
      </c>
      <c r="C1210" s="3">
        <f>IF(ISNUMBER(AVERAGE('20250815_ETF_Options_Exhibits'!C1206:C1210)),AVERAGE('20250815_ETF_Options_Exhibits'!C1206:C1210),"")</f>
        <v/>
      </c>
      <c r="D1210" s="3">
        <f>IF(ISNUMBER(AVERAGE('20250815_ETF_Options_Exhibits'!D1206:D1210)),AVERAGE('20250815_ETF_Options_Exhibits'!D1206:D1210),"")</f>
        <v/>
      </c>
      <c r="E1210" s="3">
        <f>IF(ISNUMBER(AVERAGE('20250815_ETF_Options_Exhibits'!E1206:E1210)),AVERAGE('20250815_ETF_Options_Exhibits'!E1206:E1210),"")</f>
        <v/>
      </c>
      <c r="F1210" s="3">
        <f>IF(ISNUMBER(AVERAGE('20250815_ETF_Options_Exhibits'!F1206:F1210)),AVERAGE('20250815_ETF_Options_Exhibits'!F1206:F1210),"")</f>
        <v/>
      </c>
      <c r="G1210" s="3">
        <f>IF(ISNUMBER(AVERAGE('20250815_ETF_Options_Exhibits'!G1206:G1210)),AVERAGE('20250815_ETF_Options_Exhibits'!G1206:G1210),"")</f>
        <v/>
      </c>
      <c r="H1210" s="3">
        <f>IF(ISNUMBER(AVERAGE('20250815_ETF_Options_Exhibits'!H1206:H1210)),AVERAGE('20250815_ETF_Options_Exhibits'!H1206:H1210),"")</f>
        <v/>
      </c>
      <c r="I1210" s="3">
        <f>IF(ISNUMBER(AVERAGE('20250815_ETF_Options_Exhibits'!I1206:I1210)),AVERAGE('20250815_ETF_Options_Exhibits'!I1206:I1210),"")</f>
        <v/>
      </c>
      <c r="J1210" s="3">
        <f>IF(ISNUMBER(AVERAGE('20250815_ETF_Options_Exhibits'!J1206:J1210)),AVERAGE('20250815_ETF_Options_Exhibits'!J1206:J1210),"")</f>
        <v/>
      </c>
      <c r="K1210" s="3">
        <f>IF(ISNUMBER(AVERAGE('20250815_ETF_Options_Exhibits'!K1206:K1210)),AVERAGE('20250815_ETF_Options_Exhibits'!K1206:K1210),"")</f>
        <v/>
      </c>
      <c r="L1210" s="3">
        <f>IF(ISNUMBER(AVERAGE('20250815_ETF_Options_Exhibits'!L1206:L1210)),AVERAGE('20250815_ETF_Options_Exhibits'!L1206:L1210),"")</f>
        <v/>
      </c>
      <c r="M1210" s="3">
        <f>IF(ISNUMBER(AVERAGE('20250815_ETF_Options_Exhibits'!M1206:M1210)),AVERAGE('20250815_ETF_Options_Exhibits'!M1206:M1210),"")</f>
        <v/>
      </c>
      <c r="N1210" s="3">
        <f>IF(ISNUMBER(AVERAGE('20250815_ETF_Options_Exhibits'!N1206:N1210)),AVERAGE('20250815_ETF_Options_Exhibits'!N1206:N1210),"")</f>
        <v/>
      </c>
      <c r="O1210" s="3">
        <f>IF(ISNUMBER(AVERAGE('20250815_ETF_Options_Exhibits'!O1206:O1210)),AVERAGE('20250815_ETF_Options_Exhibits'!O1206:O1210),"")</f>
        <v/>
      </c>
      <c r="P1210" s="3">
        <f>IF(ISNUMBER(AVERAGE('20250815_ETF_Options_Exhibits'!P1206:P1210)),AVERAGE('20250815_ETF_Options_Exhibits'!P1206:P1210),"")</f>
        <v/>
      </c>
      <c r="Q1210" s="3">
        <f>IF(ISNUMBER(AVERAGE('20250815_ETF_Options_Exhibits'!Q1206:Q1210)),AVERAGE('20250815_ETF_Options_Exhibits'!Q1206:Q1210),"")</f>
        <v/>
      </c>
      <c r="R1210" s="3">
        <f>IF(ISNUMBER(AVERAGE('20250815_ETF_Options_Exhibits'!R1206:R1210)),AVERAGE('20250815_ETF_Options_Exhibits'!R1206:R1210),"")</f>
        <v/>
      </c>
      <c r="S1210" s="3">
        <f>IF(ISNUMBER(AVERAGE('20250815_ETF_Options_Exhibits'!S1206:S1210)),AVERAGE('20250815_ETF_Options_Exhibits'!S1206:S1210),"")</f>
        <v/>
      </c>
      <c r="T1210" s="3">
        <f>IF(ISNUMBER(AVERAGE('20250815_ETF_Options_Exhibits'!T1206:T1210)),AVERAGE('20250815_ETF_Options_Exhibits'!T1206:T1210),"")</f>
        <v/>
      </c>
      <c r="U1210" s="3">
        <f>IF(ISNUMBER(AVERAGE('20250815_ETF_Options_Exhibits'!U1206:U1210)),AVERAGE('20250815_ETF_Options_Exhibits'!U1206:U1210),"")</f>
        <v/>
      </c>
      <c r="V1210" s="3">
        <f>IF(ISNUMBER(AVERAGE('20250815_ETF_Options_Exhibits'!V1206:V1210)),AVERAGE('20250815_ETF_Options_Exhibits'!V1206:V1210),"")</f>
        <v/>
      </c>
      <c r="W1210" s="3">
        <f>IF(ISNUMBER(AVERAGE('20250815_ETF_Options_Exhibits'!W1206:W1210)),AVERAGE('20250815_ETF_Options_Exhibits'!W1206:W1210),"")</f>
        <v/>
      </c>
      <c r="X1210" s="3">
        <f>IF(ISNUMBER(AVERAGE('20250815_ETF_Options_Exhibits'!X1206:X1210)),AVERAGE('20250815_ETF_Options_Exhibits'!X1206:X1210),"")</f>
        <v/>
      </c>
      <c r="Y1210" s="3">
        <f>IF(ISNUMBER(AVERAGE('20250815_ETF_Options_Exhibits'!Y1206:Y1210)),AVERAGE('20250815_ETF_Options_Exhibits'!Y1206:Y1210),"")</f>
        <v/>
      </c>
      <c r="Z1210" s="3">
        <f>IF(ISNUMBER(AVERAGE('20250815_ETF_Options_Exhibits'!Z1206:Z1210)),AVERAGE('20250815_ETF_Options_Exhibits'!Z1206:Z1210),"")</f>
        <v/>
      </c>
      <c r="AA1210" s="3">
        <f>IF(ISNUMBER(AVERAGE('20250815_ETF_Options_Exhibits'!AA1206:AA1210)),AVERAGE('20250815_ETF_Options_Exhibits'!AA1206:AA1210),"")</f>
        <v/>
      </c>
    </row>
    <row r="1211">
      <c r="A1211" s="1" t="n">
        <v>43759</v>
      </c>
      <c r="B1211" s="3">
        <f>IF(ISNUMBER(AVERAGE('20250815_ETF_Options_Exhibits'!B1207:B1211)),AVERAGE('20250815_ETF_Options_Exhibits'!B1207:B1211),"")</f>
        <v/>
      </c>
      <c r="C1211" s="3">
        <f>IF(ISNUMBER(AVERAGE('20250815_ETF_Options_Exhibits'!C1207:C1211)),AVERAGE('20250815_ETF_Options_Exhibits'!C1207:C1211),"")</f>
        <v/>
      </c>
      <c r="D1211" s="3">
        <f>IF(ISNUMBER(AVERAGE('20250815_ETF_Options_Exhibits'!D1207:D1211)),AVERAGE('20250815_ETF_Options_Exhibits'!D1207:D1211),"")</f>
        <v/>
      </c>
      <c r="E1211" s="3">
        <f>IF(ISNUMBER(AVERAGE('20250815_ETF_Options_Exhibits'!E1207:E1211)),AVERAGE('20250815_ETF_Options_Exhibits'!E1207:E1211),"")</f>
        <v/>
      </c>
      <c r="F1211" s="3">
        <f>IF(ISNUMBER(AVERAGE('20250815_ETF_Options_Exhibits'!F1207:F1211)),AVERAGE('20250815_ETF_Options_Exhibits'!F1207:F1211),"")</f>
        <v/>
      </c>
      <c r="G1211" s="3">
        <f>IF(ISNUMBER(AVERAGE('20250815_ETF_Options_Exhibits'!G1207:G1211)),AVERAGE('20250815_ETF_Options_Exhibits'!G1207:G1211),"")</f>
        <v/>
      </c>
      <c r="H1211" s="3">
        <f>IF(ISNUMBER(AVERAGE('20250815_ETF_Options_Exhibits'!H1207:H1211)),AVERAGE('20250815_ETF_Options_Exhibits'!H1207:H1211),"")</f>
        <v/>
      </c>
      <c r="I1211" s="3">
        <f>IF(ISNUMBER(AVERAGE('20250815_ETF_Options_Exhibits'!I1207:I1211)),AVERAGE('20250815_ETF_Options_Exhibits'!I1207:I1211),"")</f>
        <v/>
      </c>
      <c r="J1211" s="3">
        <f>IF(ISNUMBER(AVERAGE('20250815_ETF_Options_Exhibits'!J1207:J1211)),AVERAGE('20250815_ETF_Options_Exhibits'!J1207:J1211),"")</f>
        <v/>
      </c>
      <c r="K1211" s="3">
        <f>IF(ISNUMBER(AVERAGE('20250815_ETF_Options_Exhibits'!K1207:K1211)),AVERAGE('20250815_ETF_Options_Exhibits'!K1207:K1211),"")</f>
        <v/>
      </c>
      <c r="L1211" s="3">
        <f>IF(ISNUMBER(AVERAGE('20250815_ETF_Options_Exhibits'!L1207:L1211)),AVERAGE('20250815_ETF_Options_Exhibits'!L1207:L1211),"")</f>
        <v/>
      </c>
      <c r="M1211" s="3">
        <f>IF(ISNUMBER(AVERAGE('20250815_ETF_Options_Exhibits'!M1207:M1211)),AVERAGE('20250815_ETF_Options_Exhibits'!M1207:M1211),"")</f>
        <v/>
      </c>
      <c r="N1211" s="3">
        <f>IF(ISNUMBER(AVERAGE('20250815_ETF_Options_Exhibits'!N1207:N1211)),AVERAGE('20250815_ETF_Options_Exhibits'!N1207:N1211),"")</f>
        <v/>
      </c>
      <c r="O1211" s="3">
        <f>IF(ISNUMBER(AVERAGE('20250815_ETF_Options_Exhibits'!O1207:O1211)),AVERAGE('20250815_ETF_Options_Exhibits'!O1207:O1211),"")</f>
        <v/>
      </c>
      <c r="P1211" s="3">
        <f>IF(ISNUMBER(AVERAGE('20250815_ETF_Options_Exhibits'!P1207:P1211)),AVERAGE('20250815_ETF_Options_Exhibits'!P1207:P1211),"")</f>
        <v/>
      </c>
      <c r="Q1211" s="3">
        <f>IF(ISNUMBER(AVERAGE('20250815_ETF_Options_Exhibits'!Q1207:Q1211)),AVERAGE('20250815_ETF_Options_Exhibits'!Q1207:Q1211),"")</f>
        <v/>
      </c>
      <c r="R1211" s="3">
        <f>IF(ISNUMBER(AVERAGE('20250815_ETF_Options_Exhibits'!R1207:R1211)),AVERAGE('20250815_ETF_Options_Exhibits'!R1207:R1211),"")</f>
        <v/>
      </c>
      <c r="S1211" s="3">
        <f>IF(ISNUMBER(AVERAGE('20250815_ETF_Options_Exhibits'!S1207:S1211)),AVERAGE('20250815_ETF_Options_Exhibits'!S1207:S1211),"")</f>
        <v/>
      </c>
      <c r="T1211" s="3">
        <f>IF(ISNUMBER(AVERAGE('20250815_ETF_Options_Exhibits'!T1207:T1211)),AVERAGE('20250815_ETF_Options_Exhibits'!T1207:T1211),"")</f>
        <v/>
      </c>
      <c r="U1211" s="3">
        <f>IF(ISNUMBER(AVERAGE('20250815_ETF_Options_Exhibits'!U1207:U1211)),AVERAGE('20250815_ETF_Options_Exhibits'!U1207:U1211),"")</f>
        <v/>
      </c>
      <c r="V1211" s="3">
        <f>IF(ISNUMBER(AVERAGE('20250815_ETF_Options_Exhibits'!V1207:V1211)),AVERAGE('20250815_ETF_Options_Exhibits'!V1207:V1211),"")</f>
        <v/>
      </c>
      <c r="W1211" s="3">
        <f>IF(ISNUMBER(AVERAGE('20250815_ETF_Options_Exhibits'!W1207:W1211)),AVERAGE('20250815_ETF_Options_Exhibits'!W1207:W1211),"")</f>
        <v/>
      </c>
      <c r="X1211" s="3">
        <f>IF(ISNUMBER(AVERAGE('20250815_ETF_Options_Exhibits'!X1207:X1211)),AVERAGE('20250815_ETF_Options_Exhibits'!X1207:X1211),"")</f>
        <v/>
      </c>
      <c r="Y1211" s="3">
        <f>IF(ISNUMBER(AVERAGE('20250815_ETF_Options_Exhibits'!Y1207:Y1211)),AVERAGE('20250815_ETF_Options_Exhibits'!Y1207:Y1211),"")</f>
        <v/>
      </c>
      <c r="Z1211" s="3">
        <f>IF(ISNUMBER(AVERAGE('20250815_ETF_Options_Exhibits'!Z1207:Z1211)),AVERAGE('20250815_ETF_Options_Exhibits'!Z1207:Z1211),"")</f>
        <v/>
      </c>
      <c r="AA1211" s="3">
        <f>IF(ISNUMBER(AVERAGE('20250815_ETF_Options_Exhibits'!AA1207:AA1211)),AVERAGE('20250815_ETF_Options_Exhibits'!AA1207:AA1211),"")</f>
        <v/>
      </c>
    </row>
    <row r="1212">
      <c r="A1212" s="1" t="n">
        <v>43760</v>
      </c>
      <c r="B1212" s="3">
        <f>IF(ISNUMBER(AVERAGE('20250815_ETF_Options_Exhibits'!B1208:B1212)),AVERAGE('20250815_ETF_Options_Exhibits'!B1208:B1212),"")</f>
        <v/>
      </c>
      <c r="C1212" s="3">
        <f>IF(ISNUMBER(AVERAGE('20250815_ETF_Options_Exhibits'!C1208:C1212)),AVERAGE('20250815_ETF_Options_Exhibits'!C1208:C1212),"")</f>
        <v/>
      </c>
      <c r="D1212" s="3">
        <f>IF(ISNUMBER(AVERAGE('20250815_ETF_Options_Exhibits'!D1208:D1212)),AVERAGE('20250815_ETF_Options_Exhibits'!D1208:D1212),"")</f>
        <v/>
      </c>
      <c r="E1212" s="3">
        <f>IF(ISNUMBER(AVERAGE('20250815_ETF_Options_Exhibits'!E1208:E1212)),AVERAGE('20250815_ETF_Options_Exhibits'!E1208:E1212),"")</f>
        <v/>
      </c>
      <c r="F1212" s="3">
        <f>IF(ISNUMBER(AVERAGE('20250815_ETF_Options_Exhibits'!F1208:F1212)),AVERAGE('20250815_ETF_Options_Exhibits'!F1208:F1212),"")</f>
        <v/>
      </c>
      <c r="G1212" s="3">
        <f>IF(ISNUMBER(AVERAGE('20250815_ETF_Options_Exhibits'!G1208:G1212)),AVERAGE('20250815_ETF_Options_Exhibits'!G1208:G1212),"")</f>
        <v/>
      </c>
      <c r="H1212" s="3">
        <f>IF(ISNUMBER(AVERAGE('20250815_ETF_Options_Exhibits'!H1208:H1212)),AVERAGE('20250815_ETF_Options_Exhibits'!H1208:H1212),"")</f>
        <v/>
      </c>
      <c r="I1212" s="3">
        <f>IF(ISNUMBER(AVERAGE('20250815_ETF_Options_Exhibits'!I1208:I1212)),AVERAGE('20250815_ETF_Options_Exhibits'!I1208:I1212),"")</f>
        <v/>
      </c>
      <c r="J1212" s="3">
        <f>IF(ISNUMBER(AVERAGE('20250815_ETF_Options_Exhibits'!J1208:J1212)),AVERAGE('20250815_ETF_Options_Exhibits'!J1208:J1212),"")</f>
        <v/>
      </c>
      <c r="K1212" s="3">
        <f>IF(ISNUMBER(AVERAGE('20250815_ETF_Options_Exhibits'!K1208:K1212)),AVERAGE('20250815_ETF_Options_Exhibits'!K1208:K1212),"")</f>
        <v/>
      </c>
      <c r="L1212" s="3">
        <f>IF(ISNUMBER(AVERAGE('20250815_ETF_Options_Exhibits'!L1208:L1212)),AVERAGE('20250815_ETF_Options_Exhibits'!L1208:L1212),"")</f>
        <v/>
      </c>
      <c r="M1212" s="3">
        <f>IF(ISNUMBER(AVERAGE('20250815_ETF_Options_Exhibits'!M1208:M1212)),AVERAGE('20250815_ETF_Options_Exhibits'!M1208:M1212),"")</f>
        <v/>
      </c>
      <c r="N1212" s="3">
        <f>IF(ISNUMBER(AVERAGE('20250815_ETF_Options_Exhibits'!N1208:N1212)),AVERAGE('20250815_ETF_Options_Exhibits'!N1208:N1212),"")</f>
        <v/>
      </c>
      <c r="O1212" s="3">
        <f>IF(ISNUMBER(AVERAGE('20250815_ETF_Options_Exhibits'!O1208:O1212)),AVERAGE('20250815_ETF_Options_Exhibits'!O1208:O1212),"")</f>
        <v/>
      </c>
      <c r="P1212" s="3">
        <f>IF(ISNUMBER(AVERAGE('20250815_ETF_Options_Exhibits'!P1208:P1212)),AVERAGE('20250815_ETF_Options_Exhibits'!P1208:P1212),"")</f>
        <v/>
      </c>
      <c r="Q1212" s="3">
        <f>IF(ISNUMBER(AVERAGE('20250815_ETF_Options_Exhibits'!Q1208:Q1212)),AVERAGE('20250815_ETF_Options_Exhibits'!Q1208:Q1212),"")</f>
        <v/>
      </c>
      <c r="R1212" s="3">
        <f>IF(ISNUMBER(AVERAGE('20250815_ETF_Options_Exhibits'!R1208:R1212)),AVERAGE('20250815_ETF_Options_Exhibits'!R1208:R1212),"")</f>
        <v/>
      </c>
      <c r="S1212" s="3">
        <f>IF(ISNUMBER(AVERAGE('20250815_ETF_Options_Exhibits'!S1208:S1212)),AVERAGE('20250815_ETF_Options_Exhibits'!S1208:S1212),"")</f>
        <v/>
      </c>
      <c r="T1212" s="3">
        <f>IF(ISNUMBER(AVERAGE('20250815_ETF_Options_Exhibits'!T1208:T1212)),AVERAGE('20250815_ETF_Options_Exhibits'!T1208:T1212),"")</f>
        <v/>
      </c>
      <c r="U1212" s="3">
        <f>IF(ISNUMBER(AVERAGE('20250815_ETF_Options_Exhibits'!U1208:U1212)),AVERAGE('20250815_ETF_Options_Exhibits'!U1208:U1212),"")</f>
        <v/>
      </c>
      <c r="V1212" s="3">
        <f>IF(ISNUMBER(AVERAGE('20250815_ETF_Options_Exhibits'!V1208:V1212)),AVERAGE('20250815_ETF_Options_Exhibits'!V1208:V1212),"")</f>
        <v/>
      </c>
      <c r="W1212" s="3">
        <f>IF(ISNUMBER(AVERAGE('20250815_ETF_Options_Exhibits'!W1208:W1212)),AVERAGE('20250815_ETF_Options_Exhibits'!W1208:W1212),"")</f>
        <v/>
      </c>
      <c r="X1212" s="3">
        <f>IF(ISNUMBER(AVERAGE('20250815_ETF_Options_Exhibits'!X1208:X1212)),AVERAGE('20250815_ETF_Options_Exhibits'!X1208:X1212),"")</f>
        <v/>
      </c>
      <c r="Y1212" s="3">
        <f>IF(ISNUMBER(AVERAGE('20250815_ETF_Options_Exhibits'!Y1208:Y1212)),AVERAGE('20250815_ETF_Options_Exhibits'!Y1208:Y1212),"")</f>
        <v/>
      </c>
      <c r="Z1212" s="3">
        <f>IF(ISNUMBER(AVERAGE('20250815_ETF_Options_Exhibits'!Z1208:Z1212)),AVERAGE('20250815_ETF_Options_Exhibits'!Z1208:Z1212),"")</f>
        <v/>
      </c>
      <c r="AA1212" s="3">
        <f>IF(ISNUMBER(AVERAGE('20250815_ETF_Options_Exhibits'!AA1208:AA1212)),AVERAGE('20250815_ETF_Options_Exhibits'!AA1208:AA1212),"")</f>
        <v/>
      </c>
    </row>
    <row r="1213">
      <c r="A1213" s="1" t="n">
        <v>43761</v>
      </c>
      <c r="B1213" s="3">
        <f>IF(ISNUMBER(AVERAGE('20250815_ETF_Options_Exhibits'!B1209:B1213)),AVERAGE('20250815_ETF_Options_Exhibits'!B1209:B1213),"")</f>
        <v/>
      </c>
      <c r="C1213" s="3">
        <f>IF(ISNUMBER(AVERAGE('20250815_ETF_Options_Exhibits'!C1209:C1213)),AVERAGE('20250815_ETF_Options_Exhibits'!C1209:C1213),"")</f>
        <v/>
      </c>
      <c r="D1213" s="3">
        <f>IF(ISNUMBER(AVERAGE('20250815_ETF_Options_Exhibits'!D1209:D1213)),AVERAGE('20250815_ETF_Options_Exhibits'!D1209:D1213),"")</f>
        <v/>
      </c>
      <c r="E1213" s="3">
        <f>IF(ISNUMBER(AVERAGE('20250815_ETF_Options_Exhibits'!E1209:E1213)),AVERAGE('20250815_ETF_Options_Exhibits'!E1209:E1213),"")</f>
        <v/>
      </c>
      <c r="F1213" s="3">
        <f>IF(ISNUMBER(AVERAGE('20250815_ETF_Options_Exhibits'!F1209:F1213)),AVERAGE('20250815_ETF_Options_Exhibits'!F1209:F1213),"")</f>
        <v/>
      </c>
      <c r="G1213" s="3">
        <f>IF(ISNUMBER(AVERAGE('20250815_ETF_Options_Exhibits'!G1209:G1213)),AVERAGE('20250815_ETF_Options_Exhibits'!G1209:G1213),"")</f>
        <v/>
      </c>
      <c r="H1213" s="3">
        <f>IF(ISNUMBER(AVERAGE('20250815_ETF_Options_Exhibits'!H1209:H1213)),AVERAGE('20250815_ETF_Options_Exhibits'!H1209:H1213),"")</f>
        <v/>
      </c>
      <c r="I1213" s="3">
        <f>IF(ISNUMBER(AVERAGE('20250815_ETF_Options_Exhibits'!I1209:I1213)),AVERAGE('20250815_ETF_Options_Exhibits'!I1209:I1213),"")</f>
        <v/>
      </c>
      <c r="J1213" s="3">
        <f>IF(ISNUMBER(AVERAGE('20250815_ETF_Options_Exhibits'!J1209:J1213)),AVERAGE('20250815_ETF_Options_Exhibits'!J1209:J1213),"")</f>
        <v/>
      </c>
      <c r="K1213" s="3">
        <f>IF(ISNUMBER(AVERAGE('20250815_ETF_Options_Exhibits'!K1209:K1213)),AVERAGE('20250815_ETF_Options_Exhibits'!K1209:K1213),"")</f>
        <v/>
      </c>
      <c r="L1213" s="3">
        <f>IF(ISNUMBER(AVERAGE('20250815_ETF_Options_Exhibits'!L1209:L1213)),AVERAGE('20250815_ETF_Options_Exhibits'!L1209:L1213),"")</f>
        <v/>
      </c>
      <c r="M1213" s="3">
        <f>IF(ISNUMBER(AVERAGE('20250815_ETF_Options_Exhibits'!M1209:M1213)),AVERAGE('20250815_ETF_Options_Exhibits'!M1209:M1213),"")</f>
        <v/>
      </c>
      <c r="N1213" s="3">
        <f>IF(ISNUMBER(AVERAGE('20250815_ETF_Options_Exhibits'!N1209:N1213)),AVERAGE('20250815_ETF_Options_Exhibits'!N1209:N1213),"")</f>
        <v/>
      </c>
      <c r="O1213" s="3">
        <f>IF(ISNUMBER(AVERAGE('20250815_ETF_Options_Exhibits'!O1209:O1213)),AVERAGE('20250815_ETF_Options_Exhibits'!O1209:O1213),"")</f>
        <v/>
      </c>
      <c r="P1213" s="3">
        <f>IF(ISNUMBER(AVERAGE('20250815_ETF_Options_Exhibits'!P1209:P1213)),AVERAGE('20250815_ETF_Options_Exhibits'!P1209:P1213),"")</f>
        <v/>
      </c>
      <c r="Q1213" s="3">
        <f>IF(ISNUMBER(AVERAGE('20250815_ETF_Options_Exhibits'!Q1209:Q1213)),AVERAGE('20250815_ETF_Options_Exhibits'!Q1209:Q1213),"")</f>
        <v/>
      </c>
      <c r="R1213" s="3">
        <f>IF(ISNUMBER(AVERAGE('20250815_ETF_Options_Exhibits'!R1209:R1213)),AVERAGE('20250815_ETF_Options_Exhibits'!R1209:R1213),"")</f>
        <v/>
      </c>
      <c r="S1213" s="3">
        <f>IF(ISNUMBER(AVERAGE('20250815_ETF_Options_Exhibits'!S1209:S1213)),AVERAGE('20250815_ETF_Options_Exhibits'!S1209:S1213),"")</f>
        <v/>
      </c>
      <c r="T1213" s="3">
        <f>IF(ISNUMBER(AVERAGE('20250815_ETF_Options_Exhibits'!T1209:T1213)),AVERAGE('20250815_ETF_Options_Exhibits'!T1209:T1213),"")</f>
        <v/>
      </c>
      <c r="U1213" s="3">
        <f>IF(ISNUMBER(AVERAGE('20250815_ETF_Options_Exhibits'!U1209:U1213)),AVERAGE('20250815_ETF_Options_Exhibits'!U1209:U1213),"")</f>
        <v/>
      </c>
      <c r="V1213" s="3">
        <f>IF(ISNUMBER(AVERAGE('20250815_ETF_Options_Exhibits'!V1209:V1213)),AVERAGE('20250815_ETF_Options_Exhibits'!V1209:V1213),"")</f>
        <v/>
      </c>
      <c r="W1213" s="3">
        <f>IF(ISNUMBER(AVERAGE('20250815_ETF_Options_Exhibits'!W1209:W1213)),AVERAGE('20250815_ETF_Options_Exhibits'!W1209:W1213),"")</f>
        <v/>
      </c>
      <c r="X1213" s="3">
        <f>IF(ISNUMBER(AVERAGE('20250815_ETF_Options_Exhibits'!X1209:X1213)),AVERAGE('20250815_ETF_Options_Exhibits'!X1209:X1213),"")</f>
        <v/>
      </c>
      <c r="Y1213" s="3">
        <f>IF(ISNUMBER(AVERAGE('20250815_ETF_Options_Exhibits'!Y1209:Y1213)),AVERAGE('20250815_ETF_Options_Exhibits'!Y1209:Y1213),"")</f>
        <v/>
      </c>
      <c r="Z1213" s="3">
        <f>IF(ISNUMBER(AVERAGE('20250815_ETF_Options_Exhibits'!Z1209:Z1213)),AVERAGE('20250815_ETF_Options_Exhibits'!Z1209:Z1213),"")</f>
        <v/>
      </c>
      <c r="AA1213" s="3">
        <f>IF(ISNUMBER(AVERAGE('20250815_ETF_Options_Exhibits'!AA1209:AA1213)),AVERAGE('20250815_ETF_Options_Exhibits'!AA1209:AA1213),"")</f>
        <v/>
      </c>
    </row>
    <row r="1214">
      <c r="A1214" s="1" t="n">
        <v>43762</v>
      </c>
      <c r="B1214" s="3">
        <f>IF(ISNUMBER(AVERAGE('20250815_ETF_Options_Exhibits'!B1210:B1214)),AVERAGE('20250815_ETF_Options_Exhibits'!B1210:B1214),"")</f>
        <v/>
      </c>
      <c r="C1214" s="3">
        <f>IF(ISNUMBER(AVERAGE('20250815_ETF_Options_Exhibits'!C1210:C1214)),AVERAGE('20250815_ETF_Options_Exhibits'!C1210:C1214),"")</f>
        <v/>
      </c>
      <c r="D1214" s="3">
        <f>IF(ISNUMBER(AVERAGE('20250815_ETF_Options_Exhibits'!D1210:D1214)),AVERAGE('20250815_ETF_Options_Exhibits'!D1210:D1214),"")</f>
        <v/>
      </c>
      <c r="E1214" s="3">
        <f>IF(ISNUMBER(AVERAGE('20250815_ETF_Options_Exhibits'!E1210:E1214)),AVERAGE('20250815_ETF_Options_Exhibits'!E1210:E1214),"")</f>
        <v/>
      </c>
      <c r="F1214" s="3">
        <f>IF(ISNUMBER(AVERAGE('20250815_ETF_Options_Exhibits'!F1210:F1214)),AVERAGE('20250815_ETF_Options_Exhibits'!F1210:F1214),"")</f>
        <v/>
      </c>
      <c r="G1214" s="3">
        <f>IF(ISNUMBER(AVERAGE('20250815_ETF_Options_Exhibits'!G1210:G1214)),AVERAGE('20250815_ETF_Options_Exhibits'!G1210:G1214),"")</f>
        <v/>
      </c>
      <c r="H1214" s="3">
        <f>IF(ISNUMBER(AVERAGE('20250815_ETF_Options_Exhibits'!H1210:H1214)),AVERAGE('20250815_ETF_Options_Exhibits'!H1210:H1214),"")</f>
        <v/>
      </c>
      <c r="I1214" s="3">
        <f>IF(ISNUMBER(AVERAGE('20250815_ETF_Options_Exhibits'!I1210:I1214)),AVERAGE('20250815_ETF_Options_Exhibits'!I1210:I1214),"")</f>
        <v/>
      </c>
      <c r="J1214" s="3">
        <f>IF(ISNUMBER(AVERAGE('20250815_ETF_Options_Exhibits'!J1210:J1214)),AVERAGE('20250815_ETF_Options_Exhibits'!J1210:J1214),"")</f>
        <v/>
      </c>
      <c r="K1214" s="3">
        <f>IF(ISNUMBER(AVERAGE('20250815_ETF_Options_Exhibits'!K1210:K1214)),AVERAGE('20250815_ETF_Options_Exhibits'!K1210:K1214),"")</f>
        <v/>
      </c>
      <c r="L1214" s="3">
        <f>IF(ISNUMBER(AVERAGE('20250815_ETF_Options_Exhibits'!L1210:L1214)),AVERAGE('20250815_ETF_Options_Exhibits'!L1210:L1214),"")</f>
        <v/>
      </c>
      <c r="M1214" s="3">
        <f>IF(ISNUMBER(AVERAGE('20250815_ETF_Options_Exhibits'!M1210:M1214)),AVERAGE('20250815_ETF_Options_Exhibits'!M1210:M1214),"")</f>
        <v/>
      </c>
      <c r="N1214" s="3">
        <f>IF(ISNUMBER(AVERAGE('20250815_ETF_Options_Exhibits'!N1210:N1214)),AVERAGE('20250815_ETF_Options_Exhibits'!N1210:N1214),"")</f>
        <v/>
      </c>
      <c r="O1214" s="3">
        <f>IF(ISNUMBER(AVERAGE('20250815_ETF_Options_Exhibits'!O1210:O1214)),AVERAGE('20250815_ETF_Options_Exhibits'!O1210:O1214),"")</f>
        <v/>
      </c>
      <c r="P1214" s="3">
        <f>IF(ISNUMBER(AVERAGE('20250815_ETF_Options_Exhibits'!P1210:P1214)),AVERAGE('20250815_ETF_Options_Exhibits'!P1210:P1214),"")</f>
        <v/>
      </c>
      <c r="Q1214" s="3">
        <f>IF(ISNUMBER(AVERAGE('20250815_ETF_Options_Exhibits'!Q1210:Q1214)),AVERAGE('20250815_ETF_Options_Exhibits'!Q1210:Q1214),"")</f>
        <v/>
      </c>
      <c r="R1214" s="3">
        <f>IF(ISNUMBER(AVERAGE('20250815_ETF_Options_Exhibits'!R1210:R1214)),AVERAGE('20250815_ETF_Options_Exhibits'!R1210:R1214),"")</f>
        <v/>
      </c>
      <c r="S1214" s="3">
        <f>IF(ISNUMBER(AVERAGE('20250815_ETF_Options_Exhibits'!S1210:S1214)),AVERAGE('20250815_ETF_Options_Exhibits'!S1210:S1214),"")</f>
        <v/>
      </c>
      <c r="T1214" s="3">
        <f>IF(ISNUMBER(AVERAGE('20250815_ETF_Options_Exhibits'!T1210:T1214)),AVERAGE('20250815_ETF_Options_Exhibits'!T1210:T1214),"")</f>
        <v/>
      </c>
      <c r="U1214" s="3">
        <f>IF(ISNUMBER(AVERAGE('20250815_ETF_Options_Exhibits'!U1210:U1214)),AVERAGE('20250815_ETF_Options_Exhibits'!U1210:U1214),"")</f>
        <v/>
      </c>
      <c r="V1214" s="3">
        <f>IF(ISNUMBER(AVERAGE('20250815_ETF_Options_Exhibits'!V1210:V1214)),AVERAGE('20250815_ETF_Options_Exhibits'!V1210:V1214),"")</f>
        <v/>
      </c>
      <c r="W1214" s="3">
        <f>IF(ISNUMBER(AVERAGE('20250815_ETF_Options_Exhibits'!W1210:W1214)),AVERAGE('20250815_ETF_Options_Exhibits'!W1210:W1214),"")</f>
        <v/>
      </c>
      <c r="X1214" s="3">
        <f>IF(ISNUMBER(AVERAGE('20250815_ETF_Options_Exhibits'!X1210:X1214)),AVERAGE('20250815_ETF_Options_Exhibits'!X1210:X1214),"")</f>
        <v/>
      </c>
      <c r="Y1214" s="3">
        <f>IF(ISNUMBER(AVERAGE('20250815_ETF_Options_Exhibits'!Y1210:Y1214)),AVERAGE('20250815_ETF_Options_Exhibits'!Y1210:Y1214),"")</f>
        <v/>
      </c>
      <c r="Z1214" s="3">
        <f>IF(ISNUMBER(AVERAGE('20250815_ETF_Options_Exhibits'!Z1210:Z1214)),AVERAGE('20250815_ETF_Options_Exhibits'!Z1210:Z1214),"")</f>
        <v/>
      </c>
      <c r="AA1214" s="3">
        <f>IF(ISNUMBER(AVERAGE('20250815_ETF_Options_Exhibits'!AA1210:AA1214)),AVERAGE('20250815_ETF_Options_Exhibits'!AA1210:AA1214),"")</f>
        <v/>
      </c>
    </row>
    <row r="1215">
      <c r="A1215" s="1" t="n">
        <v>43763</v>
      </c>
      <c r="B1215" s="3">
        <f>IF(ISNUMBER(AVERAGE('20250815_ETF_Options_Exhibits'!B1211:B1215)),AVERAGE('20250815_ETF_Options_Exhibits'!B1211:B1215),"")</f>
        <v/>
      </c>
      <c r="C1215" s="3">
        <f>IF(ISNUMBER(AVERAGE('20250815_ETF_Options_Exhibits'!C1211:C1215)),AVERAGE('20250815_ETF_Options_Exhibits'!C1211:C1215),"")</f>
        <v/>
      </c>
      <c r="D1215" s="3">
        <f>IF(ISNUMBER(AVERAGE('20250815_ETF_Options_Exhibits'!D1211:D1215)),AVERAGE('20250815_ETF_Options_Exhibits'!D1211:D1215),"")</f>
        <v/>
      </c>
      <c r="E1215" s="3">
        <f>IF(ISNUMBER(AVERAGE('20250815_ETF_Options_Exhibits'!E1211:E1215)),AVERAGE('20250815_ETF_Options_Exhibits'!E1211:E1215),"")</f>
        <v/>
      </c>
      <c r="F1215" s="3">
        <f>IF(ISNUMBER(AVERAGE('20250815_ETF_Options_Exhibits'!F1211:F1215)),AVERAGE('20250815_ETF_Options_Exhibits'!F1211:F1215),"")</f>
        <v/>
      </c>
      <c r="G1215" s="3">
        <f>IF(ISNUMBER(AVERAGE('20250815_ETF_Options_Exhibits'!G1211:G1215)),AVERAGE('20250815_ETF_Options_Exhibits'!G1211:G1215),"")</f>
        <v/>
      </c>
      <c r="H1215" s="3">
        <f>IF(ISNUMBER(AVERAGE('20250815_ETF_Options_Exhibits'!H1211:H1215)),AVERAGE('20250815_ETF_Options_Exhibits'!H1211:H1215),"")</f>
        <v/>
      </c>
      <c r="I1215" s="3">
        <f>IF(ISNUMBER(AVERAGE('20250815_ETF_Options_Exhibits'!I1211:I1215)),AVERAGE('20250815_ETF_Options_Exhibits'!I1211:I1215),"")</f>
        <v/>
      </c>
      <c r="J1215" s="3">
        <f>IF(ISNUMBER(AVERAGE('20250815_ETF_Options_Exhibits'!J1211:J1215)),AVERAGE('20250815_ETF_Options_Exhibits'!J1211:J1215),"")</f>
        <v/>
      </c>
      <c r="K1215" s="3">
        <f>IF(ISNUMBER(AVERAGE('20250815_ETF_Options_Exhibits'!K1211:K1215)),AVERAGE('20250815_ETF_Options_Exhibits'!K1211:K1215),"")</f>
        <v/>
      </c>
      <c r="L1215" s="3">
        <f>IF(ISNUMBER(AVERAGE('20250815_ETF_Options_Exhibits'!L1211:L1215)),AVERAGE('20250815_ETF_Options_Exhibits'!L1211:L1215),"")</f>
        <v/>
      </c>
      <c r="M1215" s="3">
        <f>IF(ISNUMBER(AVERAGE('20250815_ETF_Options_Exhibits'!M1211:M1215)),AVERAGE('20250815_ETF_Options_Exhibits'!M1211:M1215),"")</f>
        <v/>
      </c>
      <c r="N1215" s="3">
        <f>IF(ISNUMBER(AVERAGE('20250815_ETF_Options_Exhibits'!N1211:N1215)),AVERAGE('20250815_ETF_Options_Exhibits'!N1211:N1215),"")</f>
        <v/>
      </c>
      <c r="O1215" s="3">
        <f>IF(ISNUMBER(AVERAGE('20250815_ETF_Options_Exhibits'!O1211:O1215)),AVERAGE('20250815_ETF_Options_Exhibits'!O1211:O1215),"")</f>
        <v/>
      </c>
      <c r="P1215" s="3">
        <f>IF(ISNUMBER(AVERAGE('20250815_ETF_Options_Exhibits'!P1211:P1215)),AVERAGE('20250815_ETF_Options_Exhibits'!P1211:P1215),"")</f>
        <v/>
      </c>
      <c r="Q1215" s="3">
        <f>IF(ISNUMBER(AVERAGE('20250815_ETF_Options_Exhibits'!Q1211:Q1215)),AVERAGE('20250815_ETF_Options_Exhibits'!Q1211:Q1215),"")</f>
        <v/>
      </c>
      <c r="R1215" s="3">
        <f>IF(ISNUMBER(AVERAGE('20250815_ETF_Options_Exhibits'!R1211:R1215)),AVERAGE('20250815_ETF_Options_Exhibits'!R1211:R1215),"")</f>
        <v/>
      </c>
      <c r="S1215" s="3">
        <f>IF(ISNUMBER(AVERAGE('20250815_ETF_Options_Exhibits'!S1211:S1215)),AVERAGE('20250815_ETF_Options_Exhibits'!S1211:S1215),"")</f>
        <v/>
      </c>
      <c r="T1215" s="3">
        <f>IF(ISNUMBER(AVERAGE('20250815_ETF_Options_Exhibits'!T1211:T1215)),AVERAGE('20250815_ETF_Options_Exhibits'!T1211:T1215),"")</f>
        <v/>
      </c>
      <c r="U1215" s="3">
        <f>IF(ISNUMBER(AVERAGE('20250815_ETF_Options_Exhibits'!U1211:U1215)),AVERAGE('20250815_ETF_Options_Exhibits'!U1211:U1215),"")</f>
        <v/>
      </c>
      <c r="V1215" s="3">
        <f>IF(ISNUMBER(AVERAGE('20250815_ETF_Options_Exhibits'!V1211:V1215)),AVERAGE('20250815_ETF_Options_Exhibits'!V1211:V1215),"")</f>
        <v/>
      </c>
      <c r="W1215" s="3">
        <f>IF(ISNUMBER(AVERAGE('20250815_ETF_Options_Exhibits'!W1211:W1215)),AVERAGE('20250815_ETF_Options_Exhibits'!W1211:W1215),"")</f>
        <v/>
      </c>
      <c r="X1215" s="3">
        <f>IF(ISNUMBER(AVERAGE('20250815_ETF_Options_Exhibits'!X1211:X1215)),AVERAGE('20250815_ETF_Options_Exhibits'!X1211:X1215),"")</f>
        <v/>
      </c>
      <c r="Y1215" s="3">
        <f>IF(ISNUMBER(AVERAGE('20250815_ETF_Options_Exhibits'!Y1211:Y1215)),AVERAGE('20250815_ETF_Options_Exhibits'!Y1211:Y1215),"")</f>
        <v/>
      </c>
      <c r="Z1215" s="3">
        <f>IF(ISNUMBER(AVERAGE('20250815_ETF_Options_Exhibits'!Z1211:Z1215)),AVERAGE('20250815_ETF_Options_Exhibits'!Z1211:Z1215),"")</f>
        <v/>
      </c>
      <c r="AA1215" s="3">
        <f>IF(ISNUMBER(AVERAGE('20250815_ETF_Options_Exhibits'!AA1211:AA1215)),AVERAGE('20250815_ETF_Options_Exhibits'!AA1211:AA1215),"")</f>
        <v/>
      </c>
    </row>
    <row r="1216">
      <c r="A1216" s="1" t="n">
        <v>43766</v>
      </c>
      <c r="B1216" s="3">
        <f>IF(ISNUMBER(AVERAGE('20250815_ETF_Options_Exhibits'!B1212:B1216)),AVERAGE('20250815_ETF_Options_Exhibits'!B1212:B1216),"")</f>
        <v/>
      </c>
      <c r="C1216" s="3">
        <f>IF(ISNUMBER(AVERAGE('20250815_ETF_Options_Exhibits'!C1212:C1216)),AVERAGE('20250815_ETF_Options_Exhibits'!C1212:C1216),"")</f>
        <v/>
      </c>
      <c r="D1216" s="3">
        <f>IF(ISNUMBER(AVERAGE('20250815_ETF_Options_Exhibits'!D1212:D1216)),AVERAGE('20250815_ETF_Options_Exhibits'!D1212:D1216),"")</f>
        <v/>
      </c>
      <c r="E1216" s="3">
        <f>IF(ISNUMBER(AVERAGE('20250815_ETF_Options_Exhibits'!E1212:E1216)),AVERAGE('20250815_ETF_Options_Exhibits'!E1212:E1216),"")</f>
        <v/>
      </c>
      <c r="F1216" s="3">
        <f>IF(ISNUMBER(AVERAGE('20250815_ETF_Options_Exhibits'!F1212:F1216)),AVERAGE('20250815_ETF_Options_Exhibits'!F1212:F1216),"")</f>
        <v/>
      </c>
      <c r="G1216" s="3">
        <f>IF(ISNUMBER(AVERAGE('20250815_ETF_Options_Exhibits'!G1212:G1216)),AVERAGE('20250815_ETF_Options_Exhibits'!G1212:G1216),"")</f>
        <v/>
      </c>
      <c r="H1216" s="3">
        <f>IF(ISNUMBER(AVERAGE('20250815_ETF_Options_Exhibits'!H1212:H1216)),AVERAGE('20250815_ETF_Options_Exhibits'!H1212:H1216),"")</f>
        <v/>
      </c>
      <c r="I1216" s="3">
        <f>IF(ISNUMBER(AVERAGE('20250815_ETF_Options_Exhibits'!I1212:I1216)),AVERAGE('20250815_ETF_Options_Exhibits'!I1212:I1216),"")</f>
        <v/>
      </c>
      <c r="J1216" s="3">
        <f>IF(ISNUMBER(AVERAGE('20250815_ETF_Options_Exhibits'!J1212:J1216)),AVERAGE('20250815_ETF_Options_Exhibits'!J1212:J1216),"")</f>
        <v/>
      </c>
      <c r="K1216" s="3">
        <f>IF(ISNUMBER(AVERAGE('20250815_ETF_Options_Exhibits'!K1212:K1216)),AVERAGE('20250815_ETF_Options_Exhibits'!K1212:K1216),"")</f>
        <v/>
      </c>
      <c r="L1216" s="3">
        <f>IF(ISNUMBER(AVERAGE('20250815_ETF_Options_Exhibits'!L1212:L1216)),AVERAGE('20250815_ETF_Options_Exhibits'!L1212:L1216),"")</f>
        <v/>
      </c>
      <c r="M1216" s="3">
        <f>IF(ISNUMBER(AVERAGE('20250815_ETF_Options_Exhibits'!M1212:M1216)),AVERAGE('20250815_ETF_Options_Exhibits'!M1212:M1216),"")</f>
        <v/>
      </c>
      <c r="N1216" s="3">
        <f>IF(ISNUMBER(AVERAGE('20250815_ETF_Options_Exhibits'!N1212:N1216)),AVERAGE('20250815_ETF_Options_Exhibits'!N1212:N1216),"")</f>
        <v/>
      </c>
      <c r="O1216" s="3">
        <f>IF(ISNUMBER(AVERAGE('20250815_ETF_Options_Exhibits'!O1212:O1216)),AVERAGE('20250815_ETF_Options_Exhibits'!O1212:O1216),"")</f>
        <v/>
      </c>
      <c r="P1216" s="3">
        <f>IF(ISNUMBER(AVERAGE('20250815_ETF_Options_Exhibits'!P1212:P1216)),AVERAGE('20250815_ETF_Options_Exhibits'!P1212:P1216),"")</f>
        <v/>
      </c>
      <c r="Q1216" s="3">
        <f>IF(ISNUMBER(AVERAGE('20250815_ETF_Options_Exhibits'!Q1212:Q1216)),AVERAGE('20250815_ETF_Options_Exhibits'!Q1212:Q1216),"")</f>
        <v/>
      </c>
      <c r="R1216" s="3">
        <f>IF(ISNUMBER(AVERAGE('20250815_ETF_Options_Exhibits'!R1212:R1216)),AVERAGE('20250815_ETF_Options_Exhibits'!R1212:R1216),"")</f>
        <v/>
      </c>
      <c r="S1216" s="3">
        <f>IF(ISNUMBER(AVERAGE('20250815_ETF_Options_Exhibits'!S1212:S1216)),AVERAGE('20250815_ETF_Options_Exhibits'!S1212:S1216),"")</f>
        <v/>
      </c>
      <c r="T1216" s="3">
        <f>IF(ISNUMBER(AVERAGE('20250815_ETF_Options_Exhibits'!T1212:T1216)),AVERAGE('20250815_ETF_Options_Exhibits'!T1212:T1216),"")</f>
        <v/>
      </c>
      <c r="U1216" s="3">
        <f>IF(ISNUMBER(AVERAGE('20250815_ETF_Options_Exhibits'!U1212:U1216)),AVERAGE('20250815_ETF_Options_Exhibits'!U1212:U1216),"")</f>
        <v/>
      </c>
      <c r="V1216" s="3">
        <f>IF(ISNUMBER(AVERAGE('20250815_ETF_Options_Exhibits'!V1212:V1216)),AVERAGE('20250815_ETF_Options_Exhibits'!V1212:V1216),"")</f>
        <v/>
      </c>
      <c r="W1216" s="3">
        <f>IF(ISNUMBER(AVERAGE('20250815_ETF_Options_Exhibits'!W1212:W1216)),AVERAGE('20250815_ETF_Options_Exhibits'!W1212:W1216),"")</f>
        <v/>
      </c>
      <c r="X1216" s="3">
        <f>IF(ISNUMBER(AVERAGE('20250815_ETF_Options_Exhibits'!X1212:X1216)),AVERAGE('20250815_ETF_Options_Exhibits'!X1212:X1216),"")</f>
        <v/>
      </c>
      <c r="Y1216" s="3">
        <f>IF(ISNUMBER(AVERAGE('20250815_ETF_Options_Exhibits'!Y1212:Y1216)),AVERAGE('20250815_ETF_Options_Exhibits'!Y1212:Y1216),"")</f>
        <v/>
      </c>
      <c r="Z1216" s="3">
        <f>IF(ISNUMBER(AVERAGE('20250815_ETF_Options_Exhibits'!Z1212:Z1216)),AVERAGE('20250815_ETF_Options_Exhibits'!Z1212:Z1216),"")</f>
        <v/>
      </c>
      <c r="AA1216" s="3">
        <f>IF(ISNUMBER(AVERAGE('20250815_ETF_Options_Exhibits'!AA1212:AA1216)),AVERAGE('20250815_ETF_Options_Exhibits'!AA1212:AA1216),"")</f>
        <v/>
      </c>
    </row>
    <row r="1217">
      <c r="A1217" s="1" t="n">
        <v>43767</v>
      </c>
      <c r="B1217" s="3">
        <f>IF(ISNUMBER(AVERAGE('20250815_ETF_Options_Exhibits'!B1213:B1217)),AVERAGE('20250815_ETF_Options_Exhibits'!B1213:B1217),"")</f>
        <v/>
      </c>
      <c r="C1217" s="3">
        <f>IF(ISNUMBER(AVERAGE('20250815_ETF_Options_Exhibits'!C1213:C1217)),AVERAGE('20250815_ETF_Options_Exhibits'!C1213:C1217),"")</f>
        <v/>
      </c>
      <c r="D1217" s="3">
        <f>IF(ISNUMBER(AVERAGE('20250815_ETF_Options_Exhibits'!D1213:D1217)),AVERAGE('20250815_ETF_Options_Exhibits'!D1213:D1217),"")</f>
        <v/>
      </c>
      <c r="E1217" s="3">
        <f>IF(ISNUMBER(AVERAGE('20250815_ETF_Options_Exhibits'!E1213:E1217)),AVERAGE('20250815_ETF_Options_Exhibits'!E1213:E1217),"")</f>
        <v/>
      </c>
      <c r="F1217" s="3">
        <f>IF(ISNUMBER(AVERAGE('20250815_ETF_Options_Exhibits'!F1213:F1217)),AVERAGE('20250815_ETF_Options_Exhibits'!F1213:F1217),"")</f>
        <v/>
      </c>
      <c r="G1217" s="3">
        <f>IF(ISNUMBER(AVERAGE('20250815_ETF_Options_Exhibits'!G1213:G1217)),AVERAGE('20250815_ETF_Options_Exhibits'!G1213:G1217),"")</f>
        <v/>
      </c>
      <c r="H1217" s="3">
        <f>IF(ISNUMBER(AVERAGE('20250815_ETF_Options_Exhibits'!H1213:H1217)),AVERAGE('20250815_ETF_Options_Exhibits'!H1213:H1217),"")</f>
        <v/>
      </c>
      <c r="I1217" s="3">
        <f>IF(ISNUMBER(AVERAGE('20250815_ETF_Options_Exhibits'!I1213:I1217)),AVERAGE('20250815_ETF_Options_Exhibits'!I1213:I1217),"")</f>
        <v/>
      </c>
      <c r="J1217" s="3">
        <f>IF(ISNUMBER(AVERAGE('20250815_ETF_Options_Exhibits'!J1213:J1217)),AVERAGE('20250815_ETF_Options_Exhibits'!J1213:J1217),"")</f>
        <v/>
      </c>
      <c r="K1217" s="3">
        <f>IF(ISNUMBER(AVERAGE('20250815_ETF_Options_Exhibits'!K1213:K1217)),AVERAGE('20250815_ETF_Options_Exhibits'!K1213:K1217),"")</f>
        <v/>
      </c>
      <c r="L1217" s="3">
        <f>IF(ISNUMBER(AVERAGE('20250815_ETF_Options_Exhibits'!L1213:L1217)),AVERAGE('20250815_ETF_Options_Exhibits'!L1213:L1217),"")</f>
        <v/>
      </c>
      <c r="M1217" s="3">
        <f>IF(ISNUMBER(AVERAGE('20250815_ETF_Options_Exhibits'!M1213:M1217)),AVERAGE('20250815_ETF_Options_Exhibits'!M1213:M1217),"")</f>
        <v/>
      </c>
      <c r="N1217" s="3">
        <f>IF(ISNUMBER(AVERAGE('20250815_ETF_Options_Exhibits'!N1213:N1217)),AVERAGE('20250815_ETF_Options_Exhibits'!N1213:N1217),"")</f>
        <v/>
      </c>
      <c r="O1217" s="3">
        <f>IF(ISNUMBER(AVERAGE('20250815_ETF_Options_Exhibits'!O1213:O1217)),AVERAGE('20250815_ETF_Options_Exhibits'!O1213:O1217),"")</f>
        <v/>
      </c>
      <c r="P1217" s="3">
        <f>IF(ISNUMBER(AVERAGE('20250815_ETF_Options_Exhibits'!P1213:P1217)),AVERAGE('20250815_ETF_Options_Exhibits'!P1213:P1217),"")</f>
        <v/>
      </c>
      <c r="Q1217" s="3">
        <f>IF(ISNUMBER(AVERAGE('20250815_ETF_Options_Exhibits'!Q1213:Q1217)),AVERAGE('20250815_ETF_Options_Exhibits'!Q1213:Q1217),"")</f>
        <v/>
      </c>
      <c r="R1217" s="3">
        <f>IF(ISNUMBER(AVERAGE('20250815_ETF_Options_Exhibits'!R1213:R1217)),AVERAGE('20250815_ETF_Options_Exhibits'!R1213:R1217),"")</f>
        <v/>
      </c>
      <c r="S1217" s="3">
        <f>IF(ISNUMBER(AVERAGE('20250815_ETF_Options_Exhibits'!S1213:S1217)),AVERAGE('20250815_ETF_Options_Exhibits'!S1213:S1217),"")</f>
        <v/>
      </c>
      <c r="T1217" s="3">
        <f>IF(ISNUMBER(AVERAGE('20250815_ETF_Options_Exhibits'!T1213:T1217)),AVERAGE('20250815_ETF_Options_Exhibits'!T1213:T1217),"")</f>
        <v/>
      </c>
      <c r="U1217" s="3">
        <f>IF(ISNUMBER(AVERAGE('20250815_ETF_Options_Exhibits'!U1213:U1217)),AVERAGE('20250815_ETF_Options_Exhibits'!U1213:U1217),"")</f>
        <v/>
      </c>
      <c r="V1217" s="3">
        <f>IF(ISNUMBER(AVERAGE('20250815_ETF_Options_Exhibits'!V1213:V1217)),AVERAGE('20250815_ETF_Options_Exhibits'!V1213:V1217),"")</f>
        <v/>
      </c>
      <c r="W1217" s="3">
        <f>IF(ISNUMBER(AVERAGE('20250815_ETF_Options_Exhibits'!W1213:W1217)),AVERAGE('20250815_ETF_Options_Exhibits'!W1213:W1217),"")</f>
        <v/>
      </c>
      <c r="X1217" s="3">
        <f>IF(ISNUMBER(AVERAGE('20250815_ETF_Options_Exhibits'!X1213:X1217)),AVERAGE('20250815_ETF_Options_Exhibits'!X1213:X1217),"")</f>
        <v/>
      </c>
      <c r="Y1217" s="3">
        <f>IF(ISNUMBER(AVERAGE('20250815_ETF_Options_Exhibits'!Y1213:Y1217)),AVERAGE('20250815_ETF_Options_Exhibits'!Y1213:Y1217),"")</f>
        <v/>
      </c>
      <c r="Z1217" s="3">
        <f>IF(ISNUMBER(AVERAGE('20250815_ETF_Options_Exhibits'!Z1213:Z1217)),AVERAGE('20250815_ETF_Options_Exhibits'!Z1213:Z1217),"")</f>
        <v/>
      </c>
      <c r="AA1217" s="3">
        <f>IF(ISNUMBER(AVERAGE('20250815_ETF_Options_Exhibits'!AA1213:AA1217)),AVERAGE('20250815_ETF_Options_Exhibits'!AA1213:AA1217),"")</f>
        <v/>
      </c>
    </row>
    <row r="1218">
      <c r="A1218" s="1" t="n">
        <v>43768</v>
      </c>
      <c r="B1218" s="3">
        <f>IF(ISNUMBER(AVERAGE('20250815_ETF_Options_Exhibits'!B1214:B1218)),AVERAGE('20250815_ETF_Options_Exhibits'!B1214:B1218),"")</f>
        <v/>
      </c>
      <c r="C1218" s="3">
        <f>IF(ISNUMBER(AVERAGE('20250815_ETF_Options_Exhibits'!C1214:C1218)),AVERAGE('20250815_ETF_Options_Exhibits'!C1214:C1218),"")</f>
        <v/>
      </c>
      <c r="D1218" s="3">
        <f>IF(ISNUMBER(AVERAGE('20250815_ETF_Options_Exhibits'!D1214:D1218)),AVERAGE('20250815_ETF_Options_Exhibits'!D1214:D1218),"")</f>
        <v/>
      </c>
      <c r="E1218" s="3">
        <f>IF(ISNUMBER(AVERAGE('20250815_ETF_Options_Exhibits'!E1214:E1218)),AVERAGE('20250815_ETF_Options_Exhibits'!E1214:E1218),"")</f>
        <v/>
      </c>
      <c r="F1218" s="3">
        <f>IF(ISNUMBER(AVERAGE('20250815_ETF_Options_Exhibits'!F1214:F1218)),AVERAGE('20250815_ETF_Options_Exhibits'!F1214:F1218),"")</f>
        <v/>
      </c>
      <c r="G1218" s="3">
        <f>IF(ISNUMBER(AVERAGE('20250815_ETF_Options_Exhibits'!G1214:G1218)),AVERAGE('20250815_ETF_Options_Exhibits'!G1214:G1218),"")</f>
        <v/>
      </c>
      <c r="H1218" s="3">
        <f>IF(ISNUMBER(AVERAGE('20250815_ETF_Options_Exhibits'!H1214:H1218)),AVERAGE('20250815_ETF_Options_Exhibits'!H1214:H1218),"")</f>
        <v/>
      </c>
      <c r="I1218" s="3">
        <f>IF(ISNUMBER(AVERAGE('20250815_ETF_Options_Exhibits'!I1214:I1218)),AVERAGE('20250815_ETF_Options_Exhibits'!I1214:I1218),"")</f>
        <v/>
      </c>
      <c r="J1218" s="3">
        <f>IF(ISNUMBER(AVERAGE('20250815_ETF_Options_Exhibits'!J1214:J1218)),AVERAGE('20250815_ETF_Options_Exhibits'!J1214:J1218),"")</f>
        <v/>
      </c>
      <c r="K1218" s="3">
        <f>IF(ISNUMBER(AVERAGE('20250815_ETF_Options_Exhibits'!K1214:K1218)),AVERAGE('20250815_ETF_Options_Exhibits'!K1214:K1218),"")</f>
        <v/>
      </c>
      <c r="L1218" s="3">
        <f>IF(ISNUMBER(AVERAGE('20250815_ETF_Options_Exhibits'!L1214:L1218)),AVERAGE('20250815_ETF_Options_Exhibits'!L1214:L1218),"")</f>
        <v/>
      </c>
      <c r="M1218" s="3">
        <f>IF(ISNUMBER(AVERAGE('20250815_ETF_Options_Exhibits'!M1214:M1218)),AVERAGE('20250815_ETF_Options_Exhibits'!M1214:M1218),"")</f>
        <v/>
      </c>
      <c r="N1218" s="3">
        <f>IF(ISNUMBER(AVERAGE('20250815_ETF_Options_Exhibits'!N1214:N1218)),AVERAGE('20250815_ETF_Options_Exhibits'!N1214:N1218),"")</f>
        <v/>
      </c>
      <c r="O1218" s="3">
        <f>IF(ISNUMBER(AVERAGE('20250815_ETF_Options_Exhibits'!O1214:O1218)),AVERAGE('20250815_ETF_Options_Exhibits'!O1214:O1218),"")</f>
        <v/>
      </c>
      <c r="P1218" s="3">
        <f>IF(ISNUMBER(AVERAGE('20250815_ETF_Options_Exhibits'!P1214:P1218)),AVERAGE('20250815_ETF_Options_Exhibits'!P1214:P1218),"")</f>
        <v/>
      </c>
      <c r="Q1218" s="3">
        <f>IF(ISNUMBER(AVERAGE('20250815_ETF_Options_Exhibits'!Q1214:Q1218)),AVERAGE('20250815_ETF_Options_Exhibits'!Q1214:Q1218),"")</f>
        <v/>
      </c>
      <c r="R1218" s="3">
        <f>IF(ISNUMBER(AVERAGE('20250815_ETF_Options_Exhibits'!R1214:R1218)),AVERAGE('20250815_ETF_Options_Exhibits'!R1214:R1218),"")</f>
        <v/>
      </c>
      <c r="S1218" s="3">
        <f>IF(ISNUMBER(AVERAGE('20250815_ETF_Options_Exhibits'!S1214:S1218)),AVERAGE('20250815_ETF_Options_Exhibits'!S1214:S1218),"")</f>
        <v/>
      </c>
      <c r="T1218" s="3">
        <f>IF(ISNUMBER(AVERAGE('20250815_ETF_Options_Exhibits'!T1214:T1218)),AVERAGE('20250815_ETF_Options_Exhibits'!T1214:T1218),"")</f>
        <v/>
      </c>
      <c r="U1218" s="3">
        <f>IF(ISNUMBER(AVERAGE('20250815_ETF_Options_Exhibits'!U1214:U1218)),AVERAGE('20250815_ETF_Options_Exhibits'!U1214:U1218),"")</f>
        <v/>
      </c>
      <c r="V1218" s="3">
        <f>IF(ISNUMBER(AVERAGE('20250815_ETF_Options_Exhibits'!V1214:V1218)),AVERAGE('20250815_ETF_Options_Exhibits'!V1214:V1218),"")</f>
        <v/>
      </c>
      <c r="W1218" s="3">
        <f>IF(ISNUMBER(AVERAGE('20250815_ETF_Options_Exhibits'!W1214:W1218)),AVERAGE('20250815_ETF_Options_Exhibits'!W1214:W1218),"")</f>
        <v/>
      </c>
      <c r="X1218" s="3">
        <f>IF(ISNUMBER(AVERAGE('20250815_ETF_Options_Exhibits'!X1214:X1218)),AVERAGE('20250815_ETF_Options_Exhibits'!X1214:X1218),"")</f>
        <v/>
      </c>
      <c r="Y1218" s="3">
        <f>IF(ISNUMBER(AVERAGE('20250815_ETF_Options_Exhibits'!Y1214:Y1218)),AVERAGE('20250815_ETF_Options_Exhibits'!Y1214:Y1218),"")</f>
        <v/>
      </c>
      <c r="Z1218" s="3">
        <f>IF(ISNUMBER(AVERAGE('20250815_ETF_Options_Exhibits'!Z1214:Z1218)),AVERAGE('20250815_ETF_Options_Exhibits'!Z1214:Z1218),"")</f>
        <v/>
      </c>
      <c r="AA1218" s="3">
        <f>IF(ISNUMBER(AVERAGE('20250815_ETF_Options_Exhibits'!AA1214:AA1218)),AVERAGE('20250815_ETF_Options_Exhibits'!AA1214:AA1218),"")</f>
        <v/>
      </c>
    </row>
    <row r="1219">
      <c r="A1219" s="1" t="n">
        <v>43769</v>
      </c>
      <c r="B1219" s="3">
        <f>IF(ISNUMBER(AVERAGE('20250815_ETF_Options_Exhibits'!B1215:B1219)),AVERAGE('20250815_ETF_Options_Exhibits'!B1215:B1219),"")</f>
        <v/>
      </c>
      <c r="C1219" s="3">
        <f>IF(ISNUMBER(AVERAGE('20250815_ETF_Options_Exhibits'!C1215:C1219)),AVERAGE('20250815_ETF_Options_Exhibits'!C1215:C1219),"")</f>
        <v/>
      </c>
      <c r="D1219" s="3">
        <f>IF(ISNUMBER(AVERAGE('20250815_ETF_Options_Exhibits'!D1215:D1219)),AVERAGE('20250815_ETF_Options_Exhibits'!D1215:D1219),"")</f>
        <v/>
      </c>
      <c r="E1219" s="3">
        <f>IF(ISNUMBER(AVERAGE('20250815_ETF_Options_Exhibits'!E1215:E1219)),AVERAGE('20250815_ETF_Options_Exhibits'!E1215:E1219),"")</f>
        <v/>
      </c>
      <c r="F1219" s="3">
        <f>IF(ISNUMBER(AVERAGE('20250815_ETF_Options_Exhibits'!F1215:F1219)),AVERAGE('20250815_ETF_Options_Exhibits'!F1215:F1219),"")</f>
        <v/>
      </c>
      <c r="G1219" s="3">
        <f>IF(ISNUMBER(AVERAGE('20250815_ETF_Options_Exhibits'!G1215:G1219)),AVERAGE('20250815_ETF_Options_Exhibits'!G1215:G1219),"")</f>
        <v/>
      </c>
      <c r="H1219" s="3">
        <f>IF(ISNUMBER(AVERAGE('20250815_ETF_Options_Exhibits'!H1215:H1219)),AVERAGE('20250815_ETF_Options_Exhibits'!H1215:H1219),"")</f>
        <v/>
      </c>
      <c r="I1219" s="3">
        <f>IF(ISNUMBER(AVERAGE('20250815_ETF_Options_Exhibits'!I1215:I1219)),AVERAGE('20250815_ETF_Options_Exhibits'!I1215:I1219),"")</f>
        <v/>
      </c>
      <c r="J1219" s="3">
        <f>IF(ISNUMBER(AVERAGE('20250815_ETF_Options_Exhibits'!J1215:J1219)),AVERAGE('20250815_ETF_Options_Exhibits'!J1215:J1219),"")</f>
        <v/>
      </c>
      <c r="K1219" s="3">
        <f>IF(ISNUMBER(AVERAGE('20250815_ETF_Options_Exhibits'!K1215:K1219)),AVERAGE('20250815_ETF_Options_Exhibits'!K1215:K1219),"")</f>
        <v/>
      </c>
      <c r="L1219" s="3">
        <f>IF(ISNUMBER(AVERAGE('20250815_ETF_Options_Exhibits'!L1215:L1219)),AVERAGE('20250815_ETF_Options_Exhibits'!L1215:L1219),"")</f>
        <v/>
      </c>
      <c r="M1219" s="3">
        <f>IF(ISNUMBER(AVERAGE('20250815_ETF_Options_Exhibits'!M1215:M1219)),AVERAGE('20250815_ETF_Options_Exhibits'!M1215:M1219),"")</f>
        <v/>
      </c>
      <c r="N1219" s="3">
        <f>IF(ISNUMBER(AVERAGE('20250815_ETF_Options_Exhibits'!N1215:N1219)),AVERAGE('20250815_ETF_Options_Exhibits'!N1215:N1219),"")</f>
        <v/>
      </c>
      <c r="O1219" s="3">
        <f>IF(ISNUMBER(AVERAGE('20250815_ETF_Options_Exhibits'!O1215:O1219)),AVERAGE('20250815_ETF_Options_Exhibits'!O1215:O1219),"")</f>
        <v/>
      </c>
      <c r="P1219" s="3">
        <f>IF(ISNUMBER(AVERAGE('20250815_ETF_Options_Exhibits'!P1215:P1219)),AVERAGE('20250815_ETF_Options_Exhibits'!P1215:P1219),"")</f>
        <v/>
      </c>
      <c r="Q1219" s="3">
        <f>IF(ISNUMBER(AVERAGE('20250815_ETF_Options_Exhibits'!Q1215:Q1219)),AVERAGE('20250815_ETF_Options_Exhibits'!Q1215:Q1219),"")</f>
        <v/>
      </c>
      <c r="R1219" s="3">
        <f>IF(ISNUMBER(AVERAGE('20250815_ETF_Options_Exhibits'!R1215:R1219)),AVERAGE('20250815_ETF_Options_Exhibits'!R1215:R1219),"")</f>
        <v/>
      </c>
      <c r="S1219" s="3">
        <f>IF(ISNUMBER(AVERAGE('20250815_ETF_Options_Exhibits'!S1215:S1219)),AVERAGE('20250815_ETF_Options_Exhibits'!S1215:S1219),"")</f>
        <v/>
      </c>
      <c r="T1219" s="3">
        <f>IF(ISNUMBER(AVERAGE('20250815_ETF_Options_Exhibits'!T1215:T1219)),AVERAGE('20250815_ETF_Options_Exhibits'!T1215:T1219),"")</f>
        <v/>
      </c>
      <c r="U1219" s="3">
        <f>IF(ISNUMBER(AVERAGE('20250815_ETF_Options_Exhibits'!U1215:U1219)),AVERAGE('20250815_ETF_Options_Exhibits'!U1215:U1219),"")</f>
        <v/>
      </c>
      <c r="V1219" s="3">
        <f>IF(ISNUMBER(AVERAGE('20250815_ETF_Options_Exhibits'!V1215:V1219)),AVERAGE('20250815_ETF_Options_Exhibits'!V1215:V1219),"")</f>
        <v/>
      </c>
      <c r="W1219" s="3">
        <f>IF(ISNUMBER(AVERAGE('20250815_ETF_Options_Exhibits'!W1215:W1219)),AVERAGE('20250815_ETF_Options_Exhibits'!W1215:W1219),"")</f>
        <v/>
      </c>
      <c r="X1219" s="3">
        <f>IF(ISNUMBER(AVERAGE('20250815_ETF_Options_Exhibits'!X1215:X1219)),AVERAGE('20250815_ETF_Options_Exhibits'!X1215:X1219),"")</f>
        <v/>
      </c>
      <c r="Y1219" s="3">
        <f>IF(ISNUMBER(AVERAGE('20250815_ETF_Options_Exhibits'!Y1215:Y1219)),AVERAGE('20250815_ETF_Options_Exhibits'!Y1215:Y1219),"")</f>
        <v/>
      </c>
      <c r="Z1219" s="3">
        <f>IF(ISNUMBER(AVERAGE('20250815_ETF_Options_Exhibits'!Z1215:Z1219)),AVERAGE('20250815_ETF_Options_Exhibits'!Z1215:Z1219),"")</f>
        <v/>
      </c>
      <c r="AA1219" s="3">
        <f>IF(ISNUMBER(AVERAGE('20250815_ETF_Options_Exhibits'!AA1215:AA1219)),AVERAGE('20250815_ETF_Options_Exhibits'!AA1215:AA1219),"")</f>
        <v/>
      </c>
    </row>
    <row r="1220">
      <c r="A1220" s="1" t="n">
        <v>43770</v>
      </c>
      <c r="B1220" s="3">
        <f>IF(ISNUMBER(AVERAGE('20250815_ETF_Options_Exhibits'!B1216:B1220)),AVERAGE('20250815_ETF_Options_Exhibits'!B1216:B1220),"")</f>
        <v/>
      </c>
      <c r="C1220" s="3">
        <f>IF(ISNUMBER(AVERAGE('20250815_ETF_Options_Exhibits'!C1216:C1220)),AVERAGE('20250815_ETF_Options_Exhibits'!C1216:C1220),"")</f>
        <v/>
      </c>
      <c r="D1220" s="3">
        <f>IF(ISNUMBER(AVERAGE('20250815_ETF_Options_Exhibits'!D1216:D1220)),AVERAGE('20250815_ETF_Options_Exhibits'!D1216:D1220),"")</f>
        <v/>
      </c>
      <c r="E1220" s="3">
        <f>IF(ISNUMBER(AVERAGE('20250815_ETF_Options_Exhibits'!E1216:E1220)),AVERAGE('20250815_ETF_Options_Exhibits'!E1216:E1220),"")</f>
        <v/>
      </c>
      <c r="F1220" s="3">
        <f>IF(ISNUMBER(AVERAGE('20250815_ETF_Options_Exhibits'!F1216:F1220)),AVERAGE('20250815_ETF_Options_Exhibits'!F1216:F1220),"")</f>
        <v/>
      </c>
      <c r="G1220" s="3">
        <f>IF(ISNUMBER(AVERAGE('20250815_ETF_Options_Exhibits'!G1216:G1220)),AVERAGE('20250815_ETF_Options_Exhibits'!G1216:G1220),"")</f>
        <v/>
      </c>
      <c r="H1220" s="3">
        <f>IF(ISNUMBER(AVERAGE('20250815_ETF_Options_Exhibits'!H1216:H1220)),AVERAGE('20250815_ETF_Options_Exhibits'!H1216:H1220),"")</f>
        <v/>
      </c>
      <c r="I1220" s="3">
        <f>IF(ISNUMBER(AVERAGE('20250815_ETF_Options_Exhibits'!I1216:I1220)),AVERAGE('20250815_ETF_Options_Exhibits'!I1216:I1220),"")</f>
        <v/>
      </c>
      <c r="J1220" s="3">
        <f>IF(ISNUMBER(AVERAGE('20250815_ETF_Options_Exhibits'!J1216:J1220)),AVERAGE('20250815_ETF_Options_Exhibits'!J1216:J1220),"")</f>
        <v/>
      </c>
      <c r="K1220" s="3">
        <f>IF(ISNUMBER(AVERAGE('20250815_ETF_Options_Exhibits'!K1216:K1220)),AVERAGE('20250815_ETF_Options_Exhibits'!K1216:K1220),"")</f>
        <v/>
      </c>
      <c r="L1220" s="3">
        <f>IF(ISNUMBER(AVERAGE('20250815_ETF_Options_Exhibits'!L1216:L1220)),AVERAGE('20250815_ETF_Options_Exhibits'!L1216:L1220),"")</f>
        <v/>
      </c>
      <c r="M1220" s="3">
        <f>IF(ISNUMBER(AVERAGE('20250815_ETF_Options_Exhibits'!M1216:M1220)),AVERAGE('20250815_ETF_Options_Exhibits'!M1216:M1220),"")</f>
        <v/>
      </c>
      <c r="N1220" s="3">
        <f>IF(ISNUMBER(AVERAGE('20250815_ETF_Options_Exhibits'!N1216:N1220)),AVERAGE('20250815_ETF_Options_Exhibits'!N1216:N1220),"")</f>
        <v/>
      </c>
      <c r="O1220" s="3">
        <f>IF(ISNUMBER(AVERAGE('20250815_ETF_Options_Exhibits'!O1216:O1220)),AVERAGE('20250815_ETF_Options_Exhibits'!O1216:O1220),"")</f>
        <v/>
      </c>
      <c r="P1220" s="3">
        <f>IF(ISNUMBER(AVERAGE('20250815_ETF_Options_Exhibits'!P1216:P1220)),AVERAGE('20250815_ETF_Options_Exhibits'!P1216:P1220),"")</f>
        <v/>
      </c>
      <c r="Q1220" s="3">
        <f>IF(ISNUMBER(AVERAGE('20250815_ETF_Options_Exhibits'!Q1216:Q1220)),AVERAGE('20250815_ETF_Options_Exhibits'!Q1216:Q1220),"")</f>
        <v/>
      </c>
      <c r="R1220" s="3">
        <f>IF(ISNUMBER(AVERAGE('20250815_ETF_Options_Exhibits'!R1216:R1220)),AVERAGE('20250815_ETF_Options_Exhibits'!R1216:R1220),"")</f>
        <v/>
      </c>
      <c r="S1220" s="3">
        <f>IF(ISNUMBER(AVERAGE('20250815_ETF_Options_Exhibits'!S1216:S1220)),AVERAGE('20250815_ETF_Options_Exhibits'!S1216:S1220),"")</f>
        <v/>
      </c>
      <c r="T1220" s="3">
        <f>IF(ISNUMBER(AVERAGE('20250815_ETF_Options_Exhibits'!T1216:T1220)),AVERAGE('20250815_ETF_Options_Exhibits'!T1216:T1220),"")</f>
        <v/>
      </c>
      <c r="U1220" s="3">
        <f>IF(ISNUMBER(AVERAGE('20250815_ETF_Options_Exhibits'!U1216:U1220)),AVERAGE('20250815_ETF_Options_Exhibits'!U1216:U1220),"")</f>
        <v/>
      </c>
      <c r="V1220" s="3">
        <f>IF(ISNUMBER(AVERAGE('20250815_ETF_Options_Exhibits'!V1216:V1220)),AVERAGE('20250815_ETF_Options_Exhibits'!V1216:V1220),"")</f>
        <v/>
      </c>
      <c r="W1220" s="3">
        <f>IF(ISNUMBER(AVERAGE('20250815_ETF_Options_Exhibits'!W1216:W1220)),AVERAGE('20250815_ETF_Options_Exhibits'!W1216:W1220),"")</f>
        <v/>
      </c>
      <c r="X1220" s="3">
        <f>IF(ISNUMBER(AVERAGE('20250815_ETF_Options_Exhibits'!X1216:X1220)),AVERAGE('20250815_ETF_Options_Exhibits'!X1216:X1220),"")</f>
        <v/>
      </c>
      <c r="Y1220" s="3">
        <f>IF(ISNUMBER(AVERAGE('20250815_ETF_Options_Exhibits'!Y1216:Y1220)),AVERAGE('20250815_ETF_Options_Exhibits'!Y1216:Y1220),"")</f>
        <v/>
      </c>
      <c r="Z1220" s="3">
        <f>IF(ISNUMBER(AVERAGE('20250815_ETF_Options_Exhibits'!Z1216:Z1220)),AVERAGE('20250815_ETF_Options_Exhibits'!Z1216:Z1220),"")</f>
        <v/>
      </c>
      <c r="AA1220" s="3">
        <f>IF(ISNUMBER(AVERAGE('20250815_ETF_Options_Exhibits'!AA1216:AA1220)),AVERAGE('20250815_ETF_Options_Exhibits'!AA1216:AA1220),"")</f>
        <v/>
      </c>
    </row>
    <row r="1221">
      <c r="A1221" s="1" t="n">
        <v>43773</v>
      </c>
      <c r="B1221" s="3">
        <f>IF(ISNUMBER(AVERAGE('20250815_ETF_Options_Exhibits'!B1217:B1221)),AVERAGE('20250815_ETF_Options_Exhibits'!B1217:B1221),"")</f>
        <v/>
      </c>
      <c r="C1221" s="3">
        <f>IF(ISNUMBER(AVERAGE('20250815_ETF_Options_Exhibits'!C1217:C1221)),AVERAGE('20250815_ETF_Options_Exhibits'!C1217:C1221),"")</f>
        <v/>
      </c>
      <c r="D1221" s="3">
        <f>IF(ISNUMBER(AVERAGE('20250815_ETF_Options_Exhibits'!D1217:D1221)),AVERAGE('20250815_ETF_Options_Exhibits'!D1217:D1221),"")</f>
        <v/>
      </c>
      <c r="E1221" s="3">
        <f>IF(ISNUMBER(AVERAGE('20250815_ETF_Options_Exhibits'!E1217:E1221)),AVERAGE('20250815_ETF_Options_Exhibits'!E1217:E1221),"")</f>
        <v/>
      </c>
      <c r="F1221" s="3">
        <f>IF(ISNUMBER(AVERAGE('20250815_ETF_Options_Exhibits'!F1217:F1221)),AVERAGE('20250815_ETF_Options_Exhibits'!F1217:F1221),"")</f>
        <v/>
      </c>
      <c r="G1221" s="3">
        <f>IF(ISNUMBER(AVERAGE('20250815_ETF_Options_Exhibits'!G1217:G1221)),AVERAGE('20250815_ETF_Options_Exhibits'!G1217:G1221),"")</f>
        <v/>
      </c>
      <c r="H1221" s="3">
        <f>IF(ISNUMBER(AVERAGE('20250815_ETF_Options_Exhibits'!H1217:H1221)),AVERAGE('20250815_ETF_Options_Exhibits'!H1217:H1221),"")</f>
        <v/>
      </c>
      <c r="I1221" s="3">
        <f>IF(ISNUMBER(AVERAGE('20250815_ETF_Options_Exhibits'!I1217:I1221)),AVERAGE('20250815_ETF_Options_Exhibits'!I1217:I1221),"")</f>
        <v/>
      </c>
      <c r="J1221" s="3">
        <f>IF(ISNUMBER(AVERAGE('20250815_ETF_Options_Exhibits'!J1217:J1221)),AVERAGE('20250815_ETF_Options_Exhibits'!J1217:J1221),"")</f>
        <v/>
      </c>
      <c r="K1221" s="3">
        <f>IF(ISNUMBER(AVERAGE('20250815_ETF_Options_Exhibits'!K1217:K1221)),AVERAGE('20250815_ETF_Options_Exhibits'!K1217:K1221),"")</f>
        <v/>
      </c>
      <c r="L1221" s="3">
        <f>IF(ISNUMBER(AVERAGE('20250815_ETF_Options_Exhibits'!L1217:L1221)),AVERAGE('20250815_ETF_Options_Exhibits'!L1217:L1221),"")</f>
        <v/>
      </c>
      <c r="M1221" s="3">
        <f>IF(ISNUMBER(AVERAGE('20250815_ETF_Options_Exhibits'!M1217:M1221)),AVERAGE('20250815_ETF_Options_Exhibits'!M1217:M1221),"")</f>
        <v/>
      </c>
      <c r="N1221" s="3">
        <f>IF(ISNUMBER(AVERAGE('20250815_ETF_Options_Exhibits'!N1217:N1221)),AVERAGE('20250815_ETF_Options_Exhibits'!N1217:N1221),"")</f>
        <v/>
      </c>
      <c r="O1221" s="3">
        <f>IF(ISNUMBER(AVERAGE('20250815_ETF_Options_Exhibits'!O1217:O1221)),AVERAGE('20250815_ETF_Options_Exhibits'!O1217:O1221),"")</f>
        <v/>
      </c>
      <c r="P1221" s="3">
        <f>IF(ISNUMBER(AVERAGE('20250815_ETF_Options_Exhibits'!P1217:P1221)),AVERAGE('20250815_ETF_Options_Exhibits'!P1217:P1221),"")</f>
        <v/>
      </c>
      <c r="Q1221" s="3">
        <f>IF(ISNUMBER(AVERAGE('20250815_ETF_Options_Exhibits'!Q1217:Q1221)),AVERAGE('20250815_ETF_Options_Exhibits'!Q1217:Q1221),"")</f>
        <v/>
      </c>
      <c r="R1221" s="3">
        <f>IF(ISNUMBER(AVERAGE('20250815_ETF_Options_Exhibits'!R1217:R1221)),AVERAGE('20250815_ETF_Options_Exhibits'!R1217:R1221),"")</f>
        <v/>
      </c>
      <c r="S1221" s="3">
        <f>IF(ISNUMBER(AVERAGE('20250815_ETF_Options_Exhibits'!S1217:S1221)),AVERAGE('20250815_ETF_Options_Exhibits'!S1217:S1221),"")</f>
        <v/>
      </c>
      <c r="T1221" s="3">
        <f>IF(ISNUMBER(AVERAGE('20250815_ETF_Options_Exhibits'!T1217:T1221)),AVERAGE('20250815_ETF_Options_Exhibits'!T1217:T1221),"")</f>
        <v/>
      </c>
      <c r="U1221" s="3">
        <f>IF(ISNUMBER(AVERAGE('20250815_ETF_Options_Exhibits'!U1217:U1221)),AVERAGE('20250815_ETF_Options_Exhibits'!U1217:U1221),"")</f>
        <v/>
      </c>
      <c r="V1221" s="3">
        <f>IF(ISNUMBER(AVERAGE('20250815_ETF_Options_Exhibits'!V1217:V1221)),AVERAGE('20250815_ETF_Options_Exhibits'!V1217:V1221),"")</f>
        <v/>
      </c>
      <c r="W1221" s="3">
        <f>IF(ISNUMBER(AVERAGE('20250815_ETF_Options_Exhibits'!W1217:W1221)),AVERAGE('20250815_ETF_Options_Exhibits'!W1217:W1221),"")</f>
        <v/>
      </c>
      <c r="X1221" s="3">
        <f>IF(ISNUMBER(AVERAGE('20250815_ETF_Options_Exhibits'!X1217:X1221)),AVERAGE('20250815_ETF_Options_Exhibits'!X1217:X1221),"")</f>
        <v/>
      </c>
      <c r="Y1221" s="3">
        <f>IF(ISNUMBER(AVERAGE('20250815_ETF_Options_Exhibits'!Y1217:Y1221)),AVERAGE('20250815_ETF_Options_Exhibits'!Y1217:Y1221),"")</f>
        <v/>
      </c>
      <c r="Z1221" s="3">
        <f>IF(ISNUMBER(AVERAGE('20250815_ETF_Options_Exhibits'!Z1217:Z1221)),AVERAGE('20250815_ETF_Options_Exhibits'!Z1217:Z1221),"")</f>
        <v/>
      </c>
      <c r="AA1221" s="3">
        <f>IF(ISNUMBER(AVERAGE('20250815_ETF_Options_Exhibits'!AA1217:AA1221)),AVERAGE('20250815_ETF_Options_Exhibits'!AA1217:AA1221),"")</f>
        <v/>
      </c>
    </row>
    <row r="1222">
      <c r="A1222" s="1" t="n">
        <v>43774</v>
      </c>
      <c r="B1222" s="3">
        <f>IF(ISNUMBER(AVERAGE('20250815_ETF_Options_Exhibits'!B1218:B1222)),AVERAGE('20250815_ETF_Options_Exhibits'!B1218:B1222),"")</f>
        <v/>
      </c>
      <c r="C1222" s="3">
        <f>IF(ISNUMBER(AVERAGE('20250815_ETF_Options_Exhibits'!C1218:C1222)),AVERAGE('20250815_ETF_Options_Exhibits'!C1218:C1222),"")</f>
        <v/>
      </c>
      <c r="D1222" s="3">
        <f>IF(ISNUMBER(AVERAGE('20250815_ETF_Options_Exhibits'!D1218:D1222)),AVERAGE('20250815_ETF_Options_Exhibits'!D1218:D1222),"")</f>
        <v/>
      </c>
      <c r="E1222" s="3">
        <f>IF(ISNUMBER(AVERAGE('20250815_ETF_Options_Exhibits'!E1218:E1222)),AVERAGE('20250815_ETF_Options_Exhibits'!E1218:E1222),"")</f>
        <v/>
      </c>
      <c r="F1222" s="3">
        <f>IF(ISNUMBER(AVERAGE('20250815_ETF_Options_Exhibits'!F1218:F1222)),AVERAGE('20250815_ETF_Options_Exhibits'!F1218:F1222),"")</f>
        <v/>
      </c>
      <c r="G1222" s="3">
        <f>IF(ISNUMBER(AVERAGE('20250815_ETF_Options_Exhibits'!G1218:G1222)),AVERAGE('20250815_ETF_Options_Exhibits'!G1218:G1222),"")</f>
        <v/>
      </c>
      <c r="H1222" s="3">
        <f>IF(ISNUMBER(AVERAGE('20250815_ETF_Options_Exhibits'!H1218:H1222)),AVERAGE('20250815_ETF_Options_Exhibits'!H1218:H1222),"")</f>
        <v/>
      </c>
      <c r="I1222" s="3">
        <f>IF(ISNUMBER(AVERAGE('20250815_ETF_Options_Exhibits'!I1218:I1222)),AVERAGE('20250815_ETF_Options_Exhibits'!I1218:I1222),"")</f>
        <v/>
      </c>
      <c r="J1222" s="3">
        <f>IF(ISNUMBER(AVERAGE('20250815_ETF_Options_Exhibits'!J1218:J1222)),AVERAGE('20250815_ETF_Options_Exhibits'!J1218:J1222),"")</f>
        <v/>
      </c>
      <c r="K1222" s="3">
        <f>IF(ISNUMBER(AVERAGE('20250815_ETF_Options_Exhibits'!K1218:K1222)),AVERAGE('20250815_ETF_Options_Exhibits'!K1218:K1222),"")</f>
        <v/>
      </c>
      <c r="L1222" s="3">
        <f>IF(ISNUMBER(AVERAGE('20250815_ETF_Options_Exhibits'!L1218:L1222)),AVERAGE('20250815_ETF_Options_Exhibits'!L1218:L1222),"")</f>
        <v/>
      </c>
      <c r="M1222" s="3">
        <f>IF(ISNUMBER(AVERAGE('20250815_ETF_Options_Exhibits'!M1218:M1222)),AVERAGE('20250815_ETF_Options_Exhibits'!M1218:M1222),"")</f>
        <v/>
      </c>
      <c r="N1222" s="3">
        <f>IF(ISNUMBER(AVERAGE('20250815_ETF_Options_Exhibits'!N1218:N1222)),AVERAGE('20250815_ETF_Options_Exhibits'!N1218:N1222),"")</f>
        <v/>
      </c>
      <c r="O1222" s="3">
        <f>IF(ISNUMBER(AVERAGE('20250815_ETF_Options_Exhibits'!O1218:O1222)),AVERAGE('20250815_ETF_Options_Exhibits'!O1218:O1222),"")</f>
        <v/>
      </c>
      <c r="P1222" s="3">
        <f>IF(ISNUMBER(AVERAGE('20250815_ETF_Options_Exhibits'!P1218:P1222)),AVERAGE('20250815_ETF_Options_Exhibits'!P1218:P1222),"")</f>
        <v/>
      </c>
      <c r="Q1222" s="3">
        <f>IF(ISNUMBER(AVERAGE('20250815_ETF_Options_Exhibits'!Q1218:Q1222)),AVERAGE('20250815_ETF_Options_Exhibits'!Q1218:Q1222),"")</f>
        <v/>
      </c>
      <c r="R1222" s="3">
        <f>IF(ISNUMBER(AVERAGE('20250815_ETF_Options_Exhibits'!R1218:R1222)),AVERAGE('20250815_ETF_Options_Exhibits'!R1218:R1222),"")</f>
        <v/>
      </c>
      <c r="S1222" s="3">
        <f>IF(ISNUMBER(AVERAGE('20250815_ETF_Options_Exhibits'!S1218:S1222)),AVERAGE('20250815_ETF_Options_Exhibits'!S1218:S1222),"")</f>
        <v/>
      </c>
      <c r="T1222" s="3">
        <f>IF(ISNUMBER(AVERAGE('20250815_ETF_Options_Exhibits'!T1218:T1222)),AVERAGE('20250815_ETF_Options_Exhibits'!T1218:T1222),"")</f>
        <v/>
      </c>
      <c r="U1222" s="3">
        <f>IF(ISNUMBER(AVERAGE('20250815_ETF_Options_Exhibits'!U1218:U1222)),AVERAGE('20250815_ETF_Options_Exhibits'!U1218:U1222),"")</f>
        <v/>
      </c>
      <c r="V1222" s="3">
        <f>IF(ISNUMBER(AVERAGE('20250815_ETF_Options_Exhibits'!V1218:V1222)),AVERAGE('20250815_ETF_Options_Exhibits'!V1218:V1222),"")</f>
        <v/>
      </c>
      <c r="W1222" s="3">
        <f>IF(ISNUMBER(AVERAGE('20250815_ETF_Options_Exhibits'!W1218:W1222)),AVERAGE('20250815_ETF_Options_Exhibits'!W1218:W1222),"")</f>
        <v/>
      </c>
      <c r="X1222" s="3">
        <f>IF(ISNUMBER(AVERAGE('20250815_ETF_Options_Exhibits'!X1218:X1222)),AVERAGE('20250815_ETF_Options_Exhibits'!X1218:X1222),"")</f>
        <v/>
      </c>
      <c r="Y1222" s="3">
        <f>IF(ISNUMBER(AVERAGE('20250815_ETF_Options_Exhibits'!Y1218:Y1222)),AVERAGE('20250815_ETF_Options_Exhibits'!Y1218:Y1222),"")</f>
        <v/>
      </c>
      <c r="Z1222" s="3">
        <f>IF(ISNUMBER(AVERAGE('20250815_ETF_Options_Exhibits'!Z1218:Z1222)),AVERAGE('20250815_ETF_Options_Exhibits'!Z1218:Z1222),"")</f>
        <v/>
      </c>
      <c r="AA1222" s="3">
        <f>IF(ISNUMBER(AVERAGE('20250815_ETF_Options_Exhibits'!AA1218:AA1222)),AVERAGE('20250815_ETF_Options_Exhibits'!AA1218:AA1222),"")</f>
        <v/>
      </c>
    </row>
    <row r="1223">
      <c r="A1223" s="1" t="n">
        <v>43775</v>
      </c>
      <c r="B1223" s="3">
        <f>IF(ISNUMBER(AVERAGE('20250815_ETF_Options_Exhibits'!B1219:B1223)),AVERAGE('20250815_ETF_Options_Exhibits'!B1219:B1223),"")</f>
        <v/>
      </c>
      <c r="C1223" s="3">
        <f>IF(ISNUMBER(AVERAGE('20250815_ETF_Options_Exhibits'!C1219:C1223)),AVERAGE('20250815_ETF_Options_Exhibits'!C1219:C1223),"")</f>
        <v/>
      </c>
      <c r="D1223" s="3">
        <f>IF(ISNUMBER(AVERAGE('20250815_ETF_Options_Exhibits'!D1219:D1223)),AVERAGE('20250815_ETF_Options_Exhibits'!D1219:D1223),"")</f>
        <v/>
      </c>
      <c r="E1223" s="3">
        <f>IF(ISNUMBER(AVERAGE('20250815_ETF_Options_Exhibits'!E1219:E1223)),AVERAGE('20250815_ETF_Options_Exhibits'!E1219:E1223),"")</f>
        <v/>
      </c>
      <c r="F1223" s="3">
        <f>IF(ISNUMBER(AVERAGE('20250815_ETF_Options_Exhibits'!F1219:F1223)),AVERAGE('20250815_ETF_Options_Exhibits'!F1219:F1223),"")</f>
        <v/>
      </c>
      <c r="G1223" s="3">
        <f>IF(ISNUMBER(AVERAGE('20250815_ETF_Options_Exhibits'!G1219:G1223)),AVERAGE('20250815_ETF_Options_Exhibits'!G1219:G1223),"")</f>
        <v/>
      </c>
      <c r="H1223" s="3">
        <f>IF(ISNUMBER(AVERAGE('20250815_ETF_Options_Exhibits'!H1219:H1223)),AVERAGE('20250815_ETF_Options_Exhibits'!H1219:H1223),"")</f>
        <v/>
      </c>
      <c r="I1223" s="3">
        <f>IF(ISNUMBER(AVERAGE('20250815_ETF_Options_Exhibits'!I1219:I1223)),AVERAGE('20250815_ETF_Options_Exhibits'!I1219:I1223),"")</f>
        <v/>
      </c>
      <c r="J1223" s="3">
        <f>IF(ISNUMBER(AVERAGE('20250815_ETF_Options_Exhibits'!J1219:J1223)),AVERAGE('20250815_ETF_Options_Exhibits'!J1219:J1223),"")</f>
        <v/>
      </c>
      <c r="K1223" s="3">
        <f>IF(ISNUMBER(AVERAGE('20250815_ETF_Options_Exhibits'!K1219:K1223)),AVERAGE('20250815_ETF_Options_Exhibits'!K1219:K1223),"")</f>
        <v/>
      </c>
      <c r="L1223" s="3">
        <f>IF(ISNUMBER(AVERAGE('20250815_ETF_Options_Exhibits'!L1219:L1223)),AVERAGE('20250815_ETF_Options_Exhibits'!L1219:L1223),"")</f>
        <v/>
      </c>
      <c r="M1223" s="3">
        <f>IF(ISNUMBER(AVERAGE('20250815_ETF_Options_Exhibits'!M1219:M1223)),AVERAGE('20250815_ETF_Options_Exhibits'!M1219:M1223),"")</f>
        <v/>
      </c>
      <c r="N1223" s="3">
        <f>IF(ISNUMBER(AVERAGE('20250815_ETF_Options_Exhibits'!N1219:N1223)),AVERAGE('20250815_ETF_Options_Exhibits'!N1219:N1223),"")</f>
        <v/>
      </c>
      <c r="O1223" s="3">
        <f>IF(ISNUMBER(AVERAGE('20250815_ETF_Options_Exhibits'!O1219:O1223)),AVERAGE('20250815_ETF_Options_Exhibits'!O1219:O1223),"")</f>
        <v/>
      </c>
      <c r="P1223" s="3">
        <f>IF(ISNUMBER(AVERAGE('20250815_ETF_Options_Exhibits'!P1219:P1223)),AVERAGE('20250815_ETF_Options_Exhibits'!P1219:P1223),"")</f>
        <v/>
      </c>
      <c r="Q1223" s="3">
        <f>IF(ISNUMBER(AVERAGE('20250815_ETF_Options_Exhibits'!Q1219:Q1223)),AVERAGE('20250815_ETF_Options_Exhibits'!Q1219:Q1223),"")</f>
        <v/>
      </c>
      <c r="R1223" s="3">
        <f>IF(ISNUMBER(AVERAGE('20250815_ETF_Options_Exhibits'!R1219:R1223)),AVERAGE('20250815_ETF_Options_Exhibits'!R1219:R1223),"")</f>
        <v/>
      </c>
      <c r="S1223" s="3">
        <f>IF(ISNUMBER(AVERAGE('20250815_ETF_Options_Exhibits'!S1219:S1223)),AVERAGE('20250815_ETF_Options_Exhibits'!S1219:S1223),"")</f>
        <v/>
      </c>
      <c r="T1223" s="3">
        <f>IF(ISNUMBER(AVERAGE('20250815_ETF_Options_Exhibits'!T1219:T1223)),AVERAGE('20250815_ETF_Options_Exhibits'!T1219:T1223),"")</f>
        <v/>
      </c>
      <c r="U1223" s="3">
        <f>IF(ISNUMBER(AVERAGE('20250815_ETF_Options_Exhibits'!U1219:U1223)),AVERAGE('20250815_ETF_Options_Exhibits'!U1219:U1223),"")</f>
        <v/>
      </c>
      <c r="V1223" s="3">
        <f>IF(ISNUMBER(AVERAGE('20250815_ETF_Options_Exhibits'!V1219:V1223)),AVERAGE('20250815_ETF_Options_Exhibits'!V1219:V1223),"")</f>
        <v/>
      </c>
      <c r="W1223" s="3">
        <f>IF(ISNUMBER(AVERAGE('20250815_ETF_Options_Exhibits'!W1219:W1223)),AVERAGE('20250815_ETF_Options_Exhibits'!W1219:W1223),"")</f>
        <v/>
      </c>
      <c r="X1223" s="3">
        <f>IF(ISNUMBER(AVERAGE('20250815_ETF_Options_Exhibits'!X1219:X1223)),AVERAGE('20250815_ETF_Options_Exhibits'!X1219:X1223),"")</f>
        <v/>
      </c>
      <c r="Y1223" s="3">
        <f>IF(ISNUMBER(AVERAGE('20250815_ETF_Options_Exhibits'!Y1219:Y1223)),AVERAGE('20250815_ETF_Options_Exhibits'!Y1219:Y1223),"")</f>
        <v/>
      </c>
      <c r="Z1223" s="3">
        <f>IF(ISNUMBER(AVERAGE('20250815_ETF_Options_Exhibits'!Z1219:Z1223)),AVERAGE('20250815_ETF_Options_Exhibits'!Z1219:Z1223),"")</f>
        <v/>
      </c>
      <c r="AA1223" s="3">
        <f>IF(ISNUMBER(AVERAGE('20250815_ETF_Options_Exhibits'!AA1219:AA1223)),AVERAGE('20250815_ETF_Options_Exhibits'!AA1219:AA1223),"")</f>
        <v/>
      </c>
    </row>
    <row r="1224">
      <c r="A1224" s="1" t="n">
        <v>43776</v>
      </c>
      <c r="B1224" s="3">
        <f>IF(ISNUMBER(AVERAGE('20250815_ETF_Options_Exhibits'!B1220:B1224)),AVERAGE('20250815_ETF_Options_Exhibits'!B1220:B1224),"")</f>
        <v/>
      </c>
      <c r="C1224" s="3">
        <f>IF(ISNUMBER(AVERAGE('20250815_ETF_Options_Exhibits'!C1220:C1224)),AVERAGE('20250815_ETF_Options_Exhibits'!C1220:C1224),"")</f>
        <v/>
      </c>
      <c r="D1224" s="3">
        <f>IF(ISNUMBER(AVERAGE('20250815_ETF_Options_Exhibits'!D1220:D1224)),AVERAGE('20250815_ETF_Options_Exhibits'!D1220:D1224),"")</f>
        <v/>
      </c>
      <c r="E1224" s="3">
        <f>IF(ISNUMBER(AVERAGE('20250815_ETF_Options_Exhibits'!E1220:E1224)),AVERAGE('20250815_ETF_Options_Exhibits'!E1220:E1224),"")</f>
        <v/>
      </c>
      <c r="F1224" s="3">
        <f>IF(ISNUMBER(AVERAGE('20250815_ETF_Options_Exhibits'!F1220:F1224)),AVERAGE('20250815_ETF_Options_Exhibits'!F1220:F1224),"")</f>
        <v/>
      </c>
      <c r="G1224" s="3">
        <f>IF(ISNUMBER(AVERAGE('20250815_ETF_Options_Exhibits'!G1220:G1224)),AVERAGE('20250815_ETF_Options_Exhibits'!G1220:G1224),"")</f>
        <v/>
      </c>
      <c r="H1224" s="3">
        <f>IF(ISNUMBER(AVERAGE('20250815_ETF_Options_Exhibits'!H1220:H1224)),AVERAGE('20250815_ETF_Options_Exhibits'!H1220:H1224),"")</f>
        <v/>
      </c>
      <c r="I1224" s="3">
        <f>IF(ISNUMBER(AVERAGE('20250815_ETF_Options_Exhibits'!I1220:I1224)),AVERAGE('20250815_ETF_Options_Exhibits'!I1220:I1224),"")</f>
        <v/>
      </c>
      <c r="J1224" s="3">
        <f>IF(ISNUMBER(AVERAGE('20250815_ETF_Options_Exhibits'!J1220:J1224)),AVERAGE('20250815_ETF_Options_Exhibits'!J1220:J1224),"")</f>
        <v/>
      </c>
      <c r="K1224" s="3">
        <f>IF(ISNUMBER(AVERAGE('20250815_ETF_Options_Exhibits'!K1220:K1224)),AVERAGE('20250815_ETF_Options_Exhibits'!K1220:K1224),"")</f>
        <v/>
      </c>
      <c r="L1224" s="3">
        <f>IF(ISNUMBER(AVERAGE('20250815_ETF_Options_Exhibits'!L1220:L1224)),AVERAGE('20250815_ETF_Options_Exhibits'!L1220:L1224),"")</f>
        <v/>
      </c>
      <c r="M1224" s="3">
        <f>IF(ISNUMBER(AVERAGE('20250815_ETF_Options_Exhibits'!M1220:M1224)),AVERAGE('20250815_ETF_Options_Exhibits'!M1220:M1224),"")</f>
        <v/>
      </c>
      <c r="N1224" s="3">
        <f>IF(ISNUMBER(AVERAGE('20250815_ETF_Options_Exhibits'!N1220:N1224)),AVERAGE('20250815_ETF_Options_Exhibits'!N1220:N1224),"")</f>
        <v/>
      </c>
      <c r="O1224" s="3">
        <f>IF(ISNUMBER(AVERAGE('20250815_ETF_Options_Exhibits'!O1220:O1224)),AVERAGE('20250815_ETF_Options_Exhibits'!O1220:O1224),"")</f>
        <v/>
      </c>
      <c r="P1224" s="3">
        <f>IF(ISNUMBER(AVERAGE('20250815_ETF_Options_Exhibits'!P1220:P1224)),AVERAGE('20250815_ETF_Options_Exhibits'!P1220:P1224),"")</f>
        <v/>
      </c>
      <c r="Q1224" s="3">
        <f>IF(ISNUMBER(AVERAGE('20250815_ETF_Options_Exhibits'!Q1220:Q1224)),AVERAGE('20250815_ETF_Options_Exhibits'!Q1220:Q1224),"")</f>
        <v/>
      </c>
      <c r="R1224" s="3">
        <f>IF(ISNUMBER(AVERAGE('20250815_ETF_Options_Exhibits'!R1220:R1224)),AVERAGE('20250815_ETF_Options_Exhibits'!R1220:R1224),"")</f>
        <v/>
      </c>
      <c r="S1224" s="3">
        <f>IF(ISNUMBER(AVERAGE('20250815_ETF_Options_Exhibits'!S1220:S1224)),AVERAGE('20250815_ETF_Options_Exhibits'!S1220:S1224),"")</f>
        <v/>
      </c>
      <c r="T1224" s="3">
        <f>IF(ISNUMBER(AVERAGE('20250815_ETF_Options_Exhibits'!T1220:T1224)),AVERAGE('20250815_ETF_Options_Exhibits'!T1220:T1224),"")</f>
        <v/>
      </c>
      <c r="U1224" s="3">
        <f>IF(ISNUMBER(AVERAGE('20250815_ETF_Options_Exhibits'!U1220:U1224)),AVERAGE('20250815_ETF_Options_Exhibits'!U1220:U1224),"")</f>
        <v/>
      </c>
      <c r="V1224" s="3">
        <f>IF(ISNUMBER(AVERAGE('20250815_ETF_Options_Exhibits'!V1220:V1224)),AVERAGE('20250815_ETF_Options_Exhibits'!V1220:V1224),"")</f>
        <v/>
      </c>
      <c r="W1224" s="3">
        <f>IF(ISNUMBER(AVERAGE('20250815_ETF_Options_Exhibits'!W1220:W1224)),AVERAGE('20250815_ETF_Options_Exhibits'!W1220:W1224),"")</f>
        <v/>
      </c>
      <c r="X1224" s="3">
        <f>IF(ISNUMBER(AVERAGE('20250815_ETF_Options_Exhibits'!X1220:X1224)),AVERAGE('20250815_ETF_Options_Exhibits'!X1220:X1224),"")</f>
        <v/>
      </c>
      <c r="Y1224" s="3">
        <f>IF(ISNUMBER(AVERAGE('20250815_ETF_Options_Exhibits'!Y1220:Y1224)),AVERAGE('20250815_ETF_Options_Exhibits'!Y1220:Y1224),"")</f>
        <v/>
      </c>
      <c r="Z1224" s="3">
        <f>IF(ISNUMBER(AVERAGE('20250815_ETF_Options_Exhibits'!Z1220:Z1224)),AVERAGE('20250815_ETF_Options_Exhibits'!Z1220:Z1224),"")</f>
        <v/>
      </c>
      <c r="AA1224" s="3">
        <f>IF(ISNUMBER(AVERAGE('20250815_ETF_Options_Exhibits'!AA1220:AA1224)),AVERAGE('20250815_ETF_Options_Exhibits'!AA1220:AA1224),"")</f>
        <v/>
      </c>
    </row>
    <row r="1225">
      <c r="A1225" s="1" t="n">
        <v>43777</v>
      </c>
      <c r="B1225" s="3">
        <f>IF(ISNUMBER(AVERAGE('20250815_ETF_Options_Exhibits'!B1221:B1225)),AVERAGE('20250815_ETF_Options_Exhibits'!B1221:B1225),"")</f>
        <v/>
      </c>
      <c r="C1225" s="3">
        <f>IF(ISNUMBER(AVERAGE('20250815_ETF_Options_Exhibits'!C1221:C1225)),AVERAGE('20250815_ETF_Options_Exhibits'!C1221:C1225),"")</f>
        <v/>
      </c>
      <c r="D1225" s="3">
        <f>IF(ISNUMBER(AVERAGE('20250815_ETF_Options_Exhibits'!D1221:D1225)),AVERAGE('20250815_ETF_Options_Exhibits'!D1221:D1225),"")</f>
        <v/>
      </c>
      <c r="E1225" s="3">
        <f>IF(ISNUMBER(AVERAGE('20250815_ETF_Options_Exhibits'!E1221:E1225)),AVERAGE('20250815_ETF_Options_Exhibits'!E1221:E1225),"")</f>
        <v/>
      </c>
      <c r="F1225" s="3">
        <f>IF(ISNUMBER(AVERAGE('20250815_ETF_Options_Exhibits'!F1221:F1225)),AVERAGE('20250815_ETF_Options_Exhibits'!F1221:F1225),"")</f>
        <v/>
      </c>
      <c r="G1225" s="3">
        <f>IF(ISNUMBER(AVERAGE('20250815_ETF_Options_Exhibits'!G1221:G1225)),AVERAGE('20250815_ETF_Options_Exhibits'!G1221:G1225),"")</f>
        <v/>
      </c>
      <c r="H1225" s="3">
        <f>IF(ISNUMBER(AVERAGE('20250815_ETF_Options_Exhibits'!H1221:H1225)),AVERAGE('20250815_ETF_Options_Exhibits'!H1221:H1225),"")</f>
        <v/>
      </c>
      <c r="I1225" s="3">
        <f>IF(ISNUMBER(AVERAGE('20250815_ETF_Options_Exhibits'!I1221:I1225)),AVERAGE('20250815_ETF_Options_Exhibits'!I1221:I1225),"")</f>
        <v/>
      </c>
      <c r="J1225" s="3">
        <f>IF(ISNUMBER(AVERAGE('20250815_ETF_Options_Exhibits'!J1221:J1225)),AVERAGE('20250815_ETF_Options_Exhibits'!J1221:J1225),"")</f>
        <v/>
      </c>
      <c r="K1225" s="3">
        <f>IF(ISNUMBER(AVERAGE('20250815_ETF_Options_Exhibits'!K1221:K1225)),AVERAGE('20250815_ETF_Options_Exhibits'!K1221:K1225),"")</f>
        <v/>
      </c>
      <c r="L1225" s="3">
        <f>IF(ISNUMBER(AVERAGE('20250815_ETF_Options_Exhibits'!L1221:L1225)),AVERAGE('20250815_ETF_Options_Exhibits'!L1221:L1225),"")</f>
        <v/>
      </c>
      <c r="M1225" s="3">
        <f>IF(ISNUMBER(AVERAGE('20250815_ETF_Options_Exhibits'!M1221:M1225)),AVERAGE('20250815_ETF_Options_Exhibits'!M1221:M1225),"")</f>
        <v/>
      </c>
      <c r="N1225" s="3">
        <f>IF(ISNUMBER(AVERAGE('20250815_ETF_Options_Exhibits'!N1221:N1225)),AVERAGE('20250815_ETF_Options_Exhibits'!N1221:N1225),"")</f>
        <v/>
      </c>
      <c r="O1225" s="3">
        <f>IF(ISNUMBER(AVERAGE('20250815_ETF_Options_Exhibits'!O1221:O1225)),AVERAGE('20250815_ETF_Options_Exhibits'!O1221:O1225),"")</f>
        <v/>
      </c>
      <c r="P1225" s="3">
        <f>IF(ISNUMBER(AVERAGE('20250815_ETF_Options_Exhibits'!P1221:P1225)),AVERAGE('20250815_ETF_Options_Exhibits'!P1221:P1225),"")</f>
        <v/>
      </c>
      <c r="Q1225" s="3">
        <f>IF(ISNUMBER(AVERAGE('20250815_ETF_Options_Exhibits'!Q1221:Q1225)),AVERAGE('20250815_ETF_Options_Exhibits'!Q1221:Q1225),"")</f>
        <v/>
      </c>
      <c r="R1225" s="3">
        <f>IF(ISNUMBER(AVERAGE('20250815_ETF_Options_Exhibits'!R1221:R1225)),AVERAGE('20250815_ETF_Options_Exhibits'!R1221:R1225),"")</f>
        <v/>
      </c>
      <c r="S1225" s="3">
        <f>IF(ISNUMBER(AVERAGE('20250815_ETF_Options_Exhibits'!S1221:S1225)),AVERAGE('20250815_ETF_Options_Exhibits'!S1221:S1225),"")</f>
        <v/>
      </c>
      <c r="T1225" s="3">
        <f>IF(ISNUMBER(AVERAGE('20250815_ETF_Options_Exhibits'!T1221:T1225)),AVERAGE('20250815_ETF_Options_Exhibits'!T1221:T1225),"")</f>
        <v/>
      </c>
      <c r="U1225" s="3">
        <f>IF(ISNUMBER(AVERAGE('20250815_ETF_Options_Exhibits'!U1221:U1225)),AVERAGE('20250815_ETF_Options_Exhibits'!U1221:U1225),"")</f>
        <v/>
      </c>
      <c r="V1225" s="3">
        <f>IF(ISNUMBER(AVERAGE('20250815_ETF_Options_Exhibits'!V1221:V1225)),AVERAGE('20250815_ETF_Options_Exhibits'!V1221:V1225),"")</f>
        <v/>
      </c>
      <c r="W1225" s="3">
        <f>IF(ISNUMBER(AVERAGE('20250815_ETF_Options_Exhibits'!W1221:W1225)),AVERAGE('20250815_ETF_Options_Exhibits'!W1221:W1225),"")</f>
        <v/>
      </c>
      <c r="X1225" s="3">
        <f>IF(ISNUMBER(AVERAGE('20250815_ETF_Options_Exhibits'!X1221:X1225)),AVERAGE('20250815_ETF_Options_Exhibits'!X1221:X1225),"")</f>
        <v/>
      </c>
      <c r="Y1225" s="3">
        <f>IF(ISNUMBER(AVERAGE('20250815_ETF_Options_Exhibits'!Y1221:Y1225)),AVERAGE('20250815_ETF_Options_Exhibits'!Y1221:Y1225),"")</f>
        <v/>
      </c>
      <c r="Z1225" s="3">
        <f>IF(ISNUMBER(AVERAGE('20250815_ETF_Options_Exhibits'!Z1221:Z1225)),AVERAGE('20250815_ETF_Options_Exhibits'!Z1221:Z1225),"")</f>
        <v/>
      </c>
      <c r="AA1225" s="3">
        <f>IF(ISNUMBER(AVERAGE('20250815_ETF_Options_Exhibits'!AA1221:AA1225)),AVERAGE('20250815_ETF_Options_Exhibits'!AA1221:AA1225),"")</f>
        <v/>
      </c>
    </row>
    <row r="1226">
      <c r="A1226" s="1" t="n">
        <v>43780</v>
      </c>
      <c r="B1226" s="3">
        <f>IF(ISNUMBER(AVERAGE('20250815_ETF_Options_Exhibits'!B1222:B1226)),AVERAGE('20250815_ETF_Options_Exhibits'!B1222:B1226),"")</f>
        <v/>
      </c>
      <c r="C1226" s="3">
        <f>IF(ISNUMBER(AVERAGE('20250815_ETF_Options_Exhibits'!C1222:C1226)),AVERAGE('20250815_ETF_Options_Exhibits'!C1222:C1226),"")</f>
        <v/>
      </c>
      <c r="D1226" s="3">
        <f>IF(ISNUMBER(AVERAGE('20250815_ETF_Options_Exhibits'!D1222:D1226)),AVERAGE('20250815_ETF_Options_Exhibits'!D1222:D1226),"")</f>
        <v/>
      </c>
      <c r="E1226" s="3">
        <f>IF(ISNUMBER(AVERAGE('20250815_ETF_Options_Exhibits'!E1222:E1226)),AVERAGE('20250815_ETF_Options_Exhibits'!E1222:E1226),"")</f>
        <v/>
      </c>
      <c r="F1226" s="3">
        <f>IF(ISNUMBER(AVERAGE('20250815_ETF_Options_Exhibits'!F1222:F1226)),AVERAGE('20250815_ETF_Options_Exhibits'!F1222:F1226),"")</f>
        <v/>
      </c>
      <c r="G1226" s="3">
        <f>IF(ISNUMBER(AVERAGE('20250815_ETF_Options_Exhibits'!G1222:G1226)),AVERAGE('20250815_ETF_Options_Exhibits'!G1222:G1226),"")</f>
        <v/>
      </c>
      <c r="H1226" s="3">
        <f>IF(ISNUMBER(AVERAGE('20250815_ETF_Options_Exhibits'!H1222:H1226)),AVERAGE('20250815_ETF_Options_Exhibits'!H1222:H1226),"")</f>
        <v/>
      </c>
      <c r="I1226" s="3">
        <f>IF(ISNUMBER(AVERAGE('20250815_ETF_Options_Exhibits'!I1222:I1226)),AVERAGE('20250815_ETF_Options_Exhibits'!I1222:I1226),"")</f>
        <v/>
      </c>
      <c r="J1226" s="3">
        <f>IF(ISNUMBER(AVERAGE('20250815_ETF_Options_Exhibits'!J1222:J1226)),AVERAGE('20250815_ETF_Options_Exhibits'!J1222:J1226),"")</f>
        <v/>
      </c>
      <c r="K1226" s="3">
        <f>IF(ISNUMBER(AVERAGE('20250815_ETF_Options_Exhibits'!K1222:K1226)),AVERAGE('20250815_ETF_Options_Exhibits'!K1222:K1226),"")</f>
        <v/>
      </c>
      <c r="L1226" s="3">
        <f>IF(ISNUMBER(AVERAGE('20250815_ETF_Options_Exhibits'!L1222:L1226)),AVERAGE('20250815_ETF_Options_Exhibits'!L1222:L1226),"")</f>
        <v/>
      </c>
      <c r="M1226" s="3">
        <f>IF(ISNUMBER(AVERAGE('20250815_ETF_Options_Exhibits'!M1222:M1226)),AVERAGE('20250815_ETF_Options_Exhibits'!M1222:M1226),"")</f>
        <v/>
      </c>
      <c r="N1226" s="3">
        <f>IF(ISNUMBER(AVERAGE('20250815_ETF_Options_Exhibits'!N1222:N1226)),AVERAGE('20250815_ETF_Options_Exhibits'!N1222:N1226),"")</f>
        <v/>
      </c>
      <c r="O1226" s="3">
        <f>IF(ISNUMBER(AVERAGE('20250815_ETF_Options_Exhibits'!O1222:O1226)),AVERAGE('20250815_ETF_Options_Exhibits'!O1222:O1226),"")</f>
        <v/>
      </c>
      <c r="P1226" s="3">
        <f>IF(ISNUMBER(AVERAGE('20250815_ETF_Options_Exhibits'!P1222:P1226)),AVERAGE('20250815_ETF_Options_Exhibits'!P1222:P1226),"")</f>
        <v/>
      </c>
      <c r="Q1226" s="3">
        <f>IF(ISNUMBER(AVERAGE('20250815_ETF_Options_Exhibits'!Q1222:Q1226)),AVERAGE('20250815_ETF_Options_Exhibits'!Q1222:Q1226),"")</f>
        <v/>
      </c>
      <c r="R1226" s="3">
        <f>IF(ISNUMBER(AVERAGE('20250815_ETF_Options_Exhibits'!R1222:R1226)),AVERAGE('20250815_ETF_Options_Exhibits'!R1222:R1226),"")</f>
        <v/>
      </c>
      <c r="S1226" s="3">
        <f>IF(ISNUMBER(AVERAGE('20250815_ETF_Options_Exhibits'!S1222:S1226)),AVERAGE('20250815_ETF_Options_Exhibits'!S1222:S1226),"")</f>
        <v/>
      </c>
      <c r="T1226" s="3">
        <f>IF(ISNUMBER(AVERAGE('20250815_ETF_Options_Exhibits'!T1222:T1226)),AVERAGE('20250815_ETF_Options_Exhibits'!T1222:T1226),"")</f>
        <v/>
      </c>
      <c r="U1226" s="3">
        <f>IF(ISNUMBER(AVERAGE('20250815_ETF_Options_Exhibits'!U1222:U1226)),AVERAGE('20250815_ETF_Options_Exhibits'!U1222:U1226),"")</f>
        <v/>
      </c>
      <c r="V1226" s="3">
        <f>IF(ISNUMBER(AVERAGE('20250815_ETF_Options_Exhibits'!V1222:V1226)),AVERAGE('20250815_ETF_Options_Exhibits'!V1222:V1226),"")</f>
        <v/>
      </c>
      <c r="W1226" s="3">
        <f>IF(ISNUMBER(AVERAGE('20250815_ETF_Options_Exhibits'!W1222:W1226)),AVERAGE('20250815_ETF_Options_Exhibits'!W1222:W1226),"")</f>
        <v/>
      </c>
      <c r="X1226" s="3">
        <f>IF(ISNUMBER(AVERAGE('20250815_ETF_Options_Exhibits'!X1222:X1226)),AVERAGE('20250815_ETF_Options_Exhibits'!X1222:X1226),"")</f>
        <v/>
      </c>
      <c r="Y1226" s="3">
        <f>IF(ISNUMBER(AVERAGE('20250815_ETF_Options_Exhibits'!Y1222:Y1226)),AVERAGE('20250815_ETF_Options_Exhibits'!Y1222:Y1226),"")</f>
        <v/>
      </c>
      <c r="Z1226" s="3">
        <f>IF(ISNUMBER(AVERAGE('20250815_ETF_Options_Exhibits'!Z1222:Z1226)),AVERAGE('20250815_ETF_Options_Exhibits'!Z1222:Z1226),"")</f>
        <v/>
      </c>
      <c r="AA1226" s="3">
        <f>IF(ISNUMBER(AVERAGE('20250815_ETF_Options_Exhibits'!AA1222:AA1226)),AVERAGE('20250815_ETF_Options_Exhibits'!AA1222:AA1226),"")</f>
        <v/>
      </c>
    </row>
    <row r="1227">
      <c r="A1227" s="1" t="n">
        <v>43781</v>
      </c>
      <c r="B1227" s="3">
        <f>IF(ISNUMBER(AVERAGE('20250815_ETF_Options_Exhibits'!B1223:B1227)),AVERAGE('20250815_ETF_Options_Exhibits'!B1223:B1227),"")</f>
        <v/>
      </c>
      <c r="C1227" s="3">
        <f>IF(ISNUMBER(AVERAGE('20250815_ETF_Options_Exhibits'!C1223:C1227)),AVERAGE('20250815_ETF_Options_Exhibits'!C1223:C1227),"")</f>
        <v/>
      </c>
      <c r="D1227" s="3">
        <f>IF(ISNUMBER(AVERAGE('20250815_ETF_Options_Exhibits'!D1223:D1227)),AVERAGE('20250815_ETF_Options_Exhibits'!D1223:D1227),"")</f>
        <v/>
      </c>
      <c r="E1227" s="3">
        <f>IF(ISNUMBER(AVERAGE('20250815_ETF_Options_Exhibits'!E1223:E1227)),AVERAGE('20250815_ETF_Options_Exhibits'!E1223:E1227),"")</f>
        <v/>
      </c>
      <c r="F1227" s="3">
        <f>IF(ISNUMBER(AVERAGE('20250815_ETF_Options_Exhibits'!F1223:F1227)),AVERAGE('20250815_ETF_Options_Exhibits'!F1223:F1227),"")</f>
        <v/>
      </c>
      <c r="G1227" s="3">
        <f>IF(ISNUMBER(AVERAGE('20250815_ETF_Options_Exhibits'!G1223:G1227)),AVERAGE('20250815_ETF_Options_Exhibits'!G1223:G1227),"")</f>
        <v/>
      </c>
      <c r="H1227" s="3">
        <f>IF(ISNUMBER(AVERAGE('20250815_ETF_Options_Exhibits'!H1223:H1227)),AVERAGE('20250815_ETF_Options_Exhibits'!H1223:H1227),"")</f>
        <v/>
      </c>
      <c r="I1227" s="3">
        <f>IF(ISNUMBER(AVERAGE('20250815_ETF_Options_Exhibits'!I1223:I1227)),AVERAGE('20250815_ETF_Options_Exhibits'!I1223:I1227),"")</f>
        <v/>
      </c>
      <c r="J1227" s="3">
        <f>IF(ISNUMBER(AVERAGE('20250815_ETF_Options_Exhibits'!J1223:J1227)),AVERAGE('20250815_ETF_Options_Exhibits'!J1223:J1227),"")</f>
        <v/>
      </c>
      <c r="K1227" s="3">
        <f>IF(ISNUMBER(AVERAGE('20250815_ETF_Options_Exhibits'!K1223:K1227)),AVERAGE('20250815_ETF_Options_Exhibits'!K1223:K1227),"")</f>
        <v/>
      </c>
      <c r="L1227" s="3">
        <f>IF(ISNUMBER(AVERAGE('20250815_ETF_Options_Exhibits'!L1223:L1227)),AVERAGE('20250815_ETF_Options_Exhibits'!L1223:L1227),"")</f>
        <v/>
      </c>
      <c r="M1227" s="3">
        <f>IF(ISNUMBER(AVERAGE('20250815_ETF_Options_Exhibits'!M1223:M1227)),AVERAGE('20250815_ETF_Options_Exhibits'!M1223:M1227),"")</f>
        <v/>
      </c>
      <c r="N1227" s="3">
        <f>IF(ISNUMBER(AVERAGE('20250815_ETF_Options_Exhibits'!N1223:N1227)),AVERAGE('20250815_ETF_Options_Exhibits'!N1223:N1227),"")</f>
        <v/>
      </c>
      <c r="O1227" s="3">
        <f>IF(ISNUMBER(AVERAGE('20250815_ETF_Options_Exhibits'!O1223:O1227)),AVERAGE('20250815_ETF_Options_Exhibits'!O1223:O1227),"")</f>
        <v/>
      </c>
      <c r="P1227" s="3">
        <f>IF(ISNUMBER(AVERAGE('20250815_ETF_Options_Exhibits'!P1223:P1227)),AVERAGE('20250815_ETF_Options_Exhibits'!P1223:P1227),"")</f>
        <v/>
      </c>
      <c r="Q1227" s="3">
        <f>IF(ISNUMBER(AVERAGE('20250815_ETF_Options_Exhibits'!Q1223:Q1227)),AVERAGE('20250815_ETF_Options_Exhibits'!Q1223:Q1227),"")</f>
        <v/>
      </c>
      <c r="R1227" s="3">
        <f>IF(ISNUMBER(AVERAGE('20250815_ETF_Options_Exhibits'!R1223:R1227)),AVERAGE('20250815_ETF_Options_Exhibits'!R1223:R1227),"")</f>
        <v/>
      </c>
      <c r="S1227" s="3">
        <f>IF(ISNUMBER(AVERAGE('20250815_ETF_Options_Exhibits'!S1223:S1227)),AVERAGE('20250815_ETF_Options_Exhibits'!S1223:S1227),"")</f>
        <v/>
      </c>
      <c r="T1227" s="3">
        <f>IF(ISNUMBER(AVERAGE('20250815_ETF_Options_Exhibits'!T1223:T1227)),AVERAGE('20250815_ETF_Options_Exhibits'!T1223:T1227),"")</f>
        <v/>
      </c>
      <c r="U1227" s="3">
        <f>IF(ISNUMBER(AVERAGE('20250815_ETF_Options_Exhibits'!U1223:U1227)),AVERAGE('20250815_ETF_Options_Exhibits'!U1223:U1227),"")</f>
        <v/>
      </c>
      <c r="V1227" s="3">
        <f>IF(ISNUMBER(AVERAGE('20250815_ETF_Options_Exhibits'!V1223:V1227)),AVERAGE('20250815_ETF_Options_Exhibits'!V1223:V1227),"")</f>
        <v/>
      </c>
      <c r="W1227" s="3">
        <f>IF(ISNUMBER(AVERAGE('20250815_ETF_Options_Exhibits'!W1223:W1227)),AVERAGE('20250815_ETF_Options_Exhibits'!W1223:W1227),"")</f>
        <v/>
      </c>
      <c r="X1227" s="3">
        <f>IF(ISNUMBER(AVERAGE('20250815_ETF_Options_Exhibits'!X1223:X1227)),AVERAGE('20250815_ETF_Options_Exhibits'!X1223:X1227),"")</f>
        <v/>
      </c>
      <c r="Y1227" s="3">
        <f>IF(ISNUMBER(AVERAGE('20250815_ETF_Options_Exhibits'!Y1223:Y1227)),AVERAGE('20250815_ETF_Options_Exhibits'!Y1223:Y1227),"")</f>
        <v/>
      </c>
      <c r="Z1227" s="3">
        <f>IF(ISNUMBER(AVERAGE('20250815_ETF_Options_Exhibits'!Z1223:Z1227)),AVERAGE('20250815_ETF_Options_Exhibits'!Z1223:Z1227),"")</f>
        <v/>
      </c>
      <c r="AA1227" s="3">
        <f>IF(ISNUMBER(AVERAGE('20250815_ETF_Options_Exhibits'!AA1223:AA1227)),AVERAGE('20250815_ETF_Options_Exhibits'!AA1223:AA1227),"")</f>
        <v/>
      </c>
    </row>
    <row r="1228">
      <c r="A1228" s="1" t="n">
        <v>43782</v>
      </c>
      <c r="B1228" s="3">
        <f>IF(ISNUMBER(AVERAGE('20250815_ETF_Options_Exhibits'!B1224:B1228)),AVERAGE('20250815_ETF_Options_Exhibits'!B1224:B1228),"")</f>
        <v/>
      </c>
      <c r="C1228" s="3">
        <f>IF(ISNUMBER(AVERAGE('20250815_ETF_Options_Exhibits'!C1224:C1228)),AVERAGE('20250815_ETF_Options_Exhibits'!C1224:C1228),"")</f>
        <v/>
      </c>
      <c r="D1228" s="3">
        <f>IF(ISNUMBER(AVERAGE('20250815_ETF_Options_Exhibits'!D1224:D1228)),AVERAGE('20250815_ETF_Options_Exhibits'!D1224:D1228),"")</f>
        <v/>
      </c>
      <c r="E1228" s="3">
        <f>IF(ISNUMBER(AVERAGE('20250815_ETF_Options_Exhibits'!E1224:E1228)),AVERAGE('20250815_ETF_Options_Exhibits'!E1224:E1228),"")</f>
        <v/>
      </c>
      <c r="F1228" s="3">
        <f>IF(ISNUMBER(AVERAGE('20250815_ETF_Options_Exhibits'!F1224:F1228)),AVERAGE('20250815_ETF_Options_Exhibits'!F1224:F1228),"")</f>
        <v/>
      </c>
      <c r="G1228" s="3">
        <f>IF(ISNUMBER(AVERAGE('20250815_ETF_Options_Exhibits'!G1224:G1228)),AVERAGE('20250815_ETF_Options_Exhibits'!G1224:G1228),"")</f>
        <v/>
      </c>
      <c r="H1228" s="3">
        <f>IF(ISNUMBER(AVERAGE('20250815_ETF_Options_Exhibits'!H1224:H1228)),AVERAGE('20250815_ETF_Options_Exhibits'!H1224:H1228),"")</f>
        <v/>
      </c>
      <c r="I1228" s="3">
        <f>IF(ISNUMBER(AVERAGE('20250815_ETF_Options_Exhibits'!I1224:I1228)),AVERAGE('20250815_ETF_Options_Exhibits'!I1224:I1228),"")</f>
        <v/>
      </c>
      <c r="J1228" s="3">
        <f>IF(ISNUMBER(AVERAGE('20250815_ETF_Options_Exhibits'!J1224:J1228)),AVERAGE('20250815_ETF_Options_Exhibits'!J1224:J1228),"")</f>
        <v/>
      </c>
      <c r="K1228" s="3">
        <f>IF(ISNUMBER(AVERAGE('20250815_ETF_Options_Exhibits'!K1224:K1228)),AVERAGE('20250815_ETF_Options_Exhibits'!K1224:K1228),"")</f>
        <v/>
      </c>
      <c r="L1228" s="3">
        <f>IF(ISNUMBER(AVERAGE('20250815_ETF_Options_Exhibits'!L1224:L1228)),AVERAGE('20250815_ETF_Options_Exhibits'!L1224:L1228),"")</f>
        <v/>
      </c>
      <c r="M1228" s="3">
        <f>IF(ISNUMBER(AVERAGE('20250815_ETF_Options_Exhibits'!M1224:M1228)),AVERAGE('20250815_ETF_Options_Exhibits'!M1224:M1228),"")</f>
        <v/>
      </c>
      <c r="N1228" s="3">
        <f>IF(ISNUMBER(AVERAGE('20250815_ETF_Options_Exhibits'!N1224:N1228)),AVERAGE('20250815_ETF_Options_Exhibits'!N1224:N1228),"")</f>
        <v/>
      </c>
      <c r="O1228" s="3">
        <f>IF(ISNUMBER(AVERAGE('20250815_ETF_Options_Exhibits'!O1224:O1228)),AVERAGE('20250815_ETF_Options_Exhibits'!O1224:O1228),"")</f>
        <v/>
      </c>
      <c r="P1228" s="3">
        <f>IF(ISNUMBER(AVERAGE('20250815_ETF_Options_Exhibits'!P1224:P1228)),AVERAGE('20250815_ETF_Options_Exhibits'!P1224:P1228),"")</f>
        <v/>
      </c>
      <c r="Q1228" s="3">
        <f>IF(ISNUMBER(AVERAGE('20250815_ETF_Options_Exhibits'!Q1224:Q1228)),AVERAGE('20250815_ETF_Options_Exhibits'!Q1224:Q1228),"")</f>
        <v/>
      </c>
      <c r="R1228" s="3">
        <f>IF(ISNUMBER(AVERAGE('20250815_ETF_Options_Exhibits'!R1224:R1228)),AVERAGE('20250815_ETF_Options_Exhibits'!R1224:R1228),"")</f>
        <v/>
      </c>
      <c r="S1228" s="3">
        <f>IF(ISNUMBER(AVERAGE('20250815_ETF_Options_Exhibits'!S1224:S1228)),AVERAGE('20250815_ETF_Options_Exhibits'!S1224:S1228),"")</f>
        <v/>
      </c>
      <c r="T1228" s="3">
        <f>IF(ISNUMBER(AVERAGE('20250815_ETF_Options_Exhibits'!T1224:T1228)),AVERAGE('20250815_ETF_Options_Exhibits'!T1224:T1228),"")</f>
        <v/>
      </c>
      <c r="U1228" s="3">
        <f>IF(ISNUMBER(AVERAGE('20250815_ETF_Options_Exhibits'!U1224:U1228)),AVERAGE('20250815_ETF_Options_Exhibits'!U1224:U1228),"")</f>
        <v/>
      </c>
      <c r="V1228" s="3">
        <f>IF(ISNUMBER(AVERAGE('20250815_ETF_Options_Exhibits'!V1224:V1228)),AVERAGE('20250815_ETF_Options_Exhibits'!V1224:V1228),"")</f>
        <v/>
      </c>
      <c r="W1228" s="3">
        <f>IF(ISNUMBER(AVERAGE('20250815_ETF_Options_Exhibits'!W1224:W1228)),AVERAGE('20250815_ETF_Options_Exhibits'!W1224:W1228),"")</f>
        <v/>
      </c>
      <c r="X1228" s="3">
        <f>IF(ISNUMBER(AVERAGE('20250815_ETF_Options_Exhibits'!X1224:X1228)),AVERAGE('20250815_ETF_Options_Exhibits'!X1224:X1228),"")</f>
        <v/>
      </c>
      <c r="Y1228" s="3">
        <f>IF(ISNUMBER(AVERAGE('20250815_ETF_Options_Exhibits'!Y1224:Y1228)),AVERAGE('20250815_ETF_Options_Exhibits'!Y1224:Y1228),"")</f>
        <v/>
      </c>
      <c r="Z1228" s="3">
        <f>IF(ISNUMBER(AVERAGE('20250815_ETF_Options_Exhibits'!Z1224:Z1228)),AVERAGE('20250815_ETF_Options_Exhibits'!Z1224:Z1228),"")</f>
        <v/>
      </c>
      <c r="AA1228" s="3">
        <f>IF(ISNUMBER(AVERAGE('20250815_ETF_Options_Exhibits'!AA1224:AA1228)),AVERAGE('20250815_ETF_Options_Exhibits'!AA1224:AA1228),"")</f>
        <v/>
      </c>
    </row>
    <row r="1229">
      <c r="A1229" s="1" t="n">
        <v>43783</v>
      </c>
      <c r="B1229" s="3">
        <f>IF(ISNUMBER(AVERAGE('20250815_ETF_Options_Exhibits'!B1225:B1229)),AVERAGE('20250815_ETF_Options_Exhibits'!B1225:B1229),"")</f>
        <v/>
      </c>
      <c r="C1229" s="3">
        <f>IF(ISNUMBER(AVERAGE('20250815_ETF_Options_Exhibits'!C1225:C1229)),AVERAGE('20250815_ETF_Options_Exhibits'!C1225:C1229),"")</f>
        <v/>
      </c>
      <c r="D1229" s="3">
        <f>IF(ISNUMBER(AVERAGE('20250815_ETF_Options_Exhibits'!D1225:D1229)),AVERAGE('20250815_ETF_Options_Exhibits'!D1225:D1229),"")</f>
        <v/>
      </c>
      <c r="E1229" s="3">
        <f>IF(ISNUMBER(AVERAGE('20250815_ETF_Options_Exhibits'!E1225:E1229)),AVERAGE('20250815_ETF_Options_Exhibits'!E1225:E1229),"")</f>
        <v/>
      </c>
      <c r="F1229" s="3">
        <f>IF(ISNUMBER(AVERAGE('20250815_ETF_Options_Exhibits'!F1225:F1229)),AVERAGE('20250815_ETF_Options_Exhibits'!F1225:F1229),"")</f>
        <v/>
      </c>
      <c r="G1229" s="3">
        <f>IF(ISNUMBER(AVERAGE('20250815_ETF_Options_Exhibits'!G1225:G1229)),AVERAGE('20250815_ETF_Options_Exhibits'!G1225:G1229),"")</f>
        <v/>
      </c>
      <c r="H1229" s="3">
        <f>IF(ISNUMBER(AVERAGE('20250815_ETF_Options_Exhibits'!H1225:H1229)),AVERAGE('20250815_ETF_Options_Exhibits'!H1225:H1229),"")</f>
        <v/>
      </c>
      <c r="I1229" s="3">
        <f>IF(ISNUMBER(AVERAGE('20250815_ETF_Options_Exhibits'!I1225:I1229)),AVERAGE('20250815_ETF_Options_Exhibits'!I1225:I1229),"")</f>
        <v/>
      </c>
      <c r="J1229" s="3">
        <f>IF(ISNUMBER(AVERAGE('20250815_ETF_Options_Exhibits'!J1225:J1229)),AVERAGE('20250815_ETF_Options_Exhibits'!J1225:J1229),"")</f>
        <v/>
      </c>
      <c r="K1229" s="3">
        <f>IF(ISNUMBER(AVERAGE('20250815_ETF_Options_Exhibits'!K1225:K1229)),AVERAGE('20250815_ETF_Options_Exhibits'!K1225:K1229),"")</f>
        <v/>
      </c>
      <c r="L1229" s="3">
        <f>IF(ISNUMBER(AVERAGE('20250815_ETF_Options_Exhibits'!L1225:L1229)),AVERAGE('20250815_ETF_Options_Exhibits'!L1225:L1229),"")</f>
        <v/>
      </c>
      <c r="M1229" s="3">
        <f>IF(ISNUMBER(AVERAGE('20250815_ETF_Options_Exhibits'!M1225:M1229)),AVERAGE('20250815_ETF_Options_Exhibits'!M1225:M1229),"")</f>
        <v/>
      </c>
      <c r="N1229" s="3">
        <f>IF(ISNUMBER(AVERAGE('20250815_ETF_Options_Exhibits'!N1225:N1229)),AVERAGE('20250815_ETF_Options_Exhibits'!N1225:N1229),"")</f>
        <v/>
      </c>
      <c r="O1229" s="3">
        <f>IF(ISNUMBER(AVERAGE('20250815_ETF_Options_Exhibits'!O1225:O1229)),AVERAGE('20250815_ETF_Options_Exhibits'!O1225:O1229),"")</f>
        <v/>
      </c>
      <c r="P1229" s="3">
        <f>IF(ISNUMBER(AVERAGE('20250815_ETF_Options_Exhibits'!P1225:P1229)),AVERAGE('20250815_ETF_Options_Exhibits'!P1225:P1229),"")</f>
        <v/>
      </c>
      <c r="Q1229" s="3">
        <f>IF(ISNUMBER(AVERAGE('20250815_ETF_Options_Exhibits'!Q1225:Q1229)),AVERAGE('20250815_ETF_Options_Exhibits'!Q1225:Q1229),"")</f>
        <v/>
      </c>
      <c r="R1229" s="3">
        <f>IF(ISNUMBER(AVERAGE('20250815_ETF_Options_Exhibits'!R1225:R1229)),AVERAGE('20250815_ETF_Options_Exhibits'!R1225:R1229),"")</f>
        <v/>
      </c>
      <c r="S1229" s="3">
        <f>IF(ISNUMBER(AVERAGE('20250815_ETF_Options_Exhibits'!S1225:S1229)),AVERAGE('20250815_ETF_Options_Exhibits'!S1225:S1229),"")</f>
        <v/>
      </c>
      <c r="T1229" s="3">
        <f>IF(ISNUMBER(AVERAGE('20250815_ETF_Options_Exhibits'!T1225:T1229)),AVERAGE('20250815_ETF_Options_Exhibits'!T1225:T1229),"")</f>
        <v/>
      </c>
      <c r="U1229" s="3">
        <f>IF(ISNUMBER(AVERAGE('20250815_ETF_Options_Exhibits'!U1225:U1229)),AVERAGE('20250815_ETF_Options_Exhibits'!U1225:U1229),"")</f>
        <v/>
      </c>
      <c r="V1229" s="3">
        <f>IF(ISNUMBER(AVERAGE('20250815_ETF_Options_Exhibits'!V1225:V1229)),AVERAGE('20250815_ETF_Options_Exhibits'!V1225:V1229),"")</f>
        <v/>
      </c>
      <c r="W1229" s="3">
        <f>IF(ISNUMBER(AVERAGE('20250815_ETF_Options_Exhibits'!W1225:W1229)),AVERAGE('20250815_ETF_Options_Exhibits'!W1225:W1229),"")</f>
        <v/>
      </c>
      <c r="X1229" s="3">
        <f>IF(ISNUMBER(AVERAGE('20250815_ETF_Options_Exhibits'!X1225:X1229)),AVERAGE('20250815_ETF_Options_Exhibits'!X1225:X1229),"")</f>
        <v/>
      </c>
      <c r="Y1229" s="3">
        <f>IF(ISNUMBER(AVERAGE('20250815_ETF_Options_Exhibits'!Y1225:Y1229)),AVERAGE('20250815_ETF_Options_Exhibits'!Y1225:Y1229),"")</f>
        <v/>
      </c>
      <c r="Z1229" s="3">
        <f>IF(ISNUMBER(AVERAGE('20250815_ETF_Options_Exhibits'!Z1225:Z1229)),AVERAGE('20250815_ETF_Options_Exhibits'!Z1225:Z1229),"")</f>
        <v/>
      </c>
      <c r="AA1229" s="3">
        <f>IF(ISNUMBER(AVERAGE('20250815_ETF_Options_Exhibits'!AA1225:AA1229)),AVERAGE('20250815_ETF_Options_Exhibits'!AA1225:AA1229),"")</f>
        <v/>
      </c>
    </row>
    <row r="1230">
      <c r="A1230" s="1" t="n">
        <v>43784</v>
      </c>
      <c r="B1230" s="3">
        <f>IF(ISNUMBER(AVERAGE('20250815_ETF_Options_Exhibits'!B1226:B1230)),AVERAGE('20250815_ETF_Options_Exhibits'!B1226:B1230),"")</f>
        <v/>
      </c>
      <c r="C1230" s="3">
        <f>IF(ISNUMBER(AVERAGE('20250815_ETF_Options_Exhibits'!C1226:C1230)),AVERAGE('20250815_ETF_Options_Exhibits'!C1226:C1230),"")</f>
        <v/>
      </c>
      <c r="D1230" s="3">
        <f>IF(ISNUMBER(AVERAGE('20250815_ETF_Options_Exhibits'!D1226:D1230)),AVERAGE('20250815_ETF_Options_Exhibits'!D1226:D1230),"")</f>
        <v/>
      </c>
      <c r="E1230" s="3">
        <f>IF(ISNUMBER(AVERAGE('20250815_ETF_Options_Exhibits'!E1226:E1230)),AVERAGE('20250815_ETF_Options_Exhibits'!E1226:E1230),"")</f>
        <v/>
      </c>
      <c r="F1230" s="3">
        <f>IF(ISNUMBER(AVERAGE('20250815_ETF_Options_Exhibits'!F1226:F1230)),AVERAGE('20250815_ETF_Options_Exhibits'!F1226:F1230),"")</f>
        <v/>
      </c>
      <c r="G1230" s="3">
        <f>IF(ISNUMBER(AVERAGE('20250815_ETF_Options_Exhibits'!G1226:G1230)),AVERAGE('20250815_ETF_Options_Exhibits'!G1226:G1230),"")</f>
        <v/>
      </c>
      <c r="H1230" s="3">
        <f>IF(ISNUMBER(AVERAGE('20250815_ETF_Options_Exhibits'!H1226:H1230)),AVERAGE('20250815_ETF_Options_Exhibits'!H1226:H1230),"")</f>
        <v/>
      </c>
      <c r="I1230" s="3">
        <f>IF(ISNUMBER(AVERAGE('20250815_ETF_Options_Exhibits'!I1226:I1230)),AVERAGE('20250815_ETF_Options_Exhibits'!I1226:I1230),"")</f>
        <v/>
      </c>
      <c r="J1230" s="3">
        <f>IF(ISNUMBER(AVERAGE('20250815_ETF_Options_Exhibits'!J1226:J1230)),AVERAGE('20250815_ETF_Options_Exhibits'!J1226:J1230),"")</f>
        <v/>
      </c>
      <c r="K1230" s="3">
        <f>IF(ISNUMBER(AVERAGE('20250815_ETF_Options_Exhibits'!K1226:K1230)),AVERAGE('20250815_ETF_Options_Exhibits'!K1226:K1230),"")</f>
        <v/>
      </c>
      <c r="L1230" s="3">
        <f>IF(ISNUMBER(AVERAGE('20250815_ETF_Options_Exhibits'!L1226:L1230)),AVERAGE('20250815_ETF_Options_Exhibits'!L1226:L1230),"")</f>
        <v/>
      </c>
      <c r="M1230" s="3">
        <f>IF(ISNUMBER(AVERAGE('20250815_ETF_Options_Exhibits'!M1226:M1230)),AVERAGE('20250815_ETF_Options_Exhibits'!M1226:M1230),"")</f>
        <v/>
      </c>
      <c r="N1230" s="3">
        <f>IF(ISNUMBER(AVERAGE('20250815_ETF_Options_Exhibits'!N1226:N1230)),AVERAGE('20250815_ETF_Options_Exhibits'!N1226:N1230),"")</f>
        <v/>
      </c>
      <c r="O1230" s="3">
        <f>IF(ISNUMBER(AVERAGE('20250815_ETF_Options_Exhibits'!O1226:O1230)),AVERAGE('20250815_ETF_Options_Exhibits'!O1226:O1230),"")</f>
        <v/>
      </c>
      <c r="P1230" s="3">
        <f>IF(ISNUMBER(AVERAGE('20250815_ETF_Options_Exhibits'!P1226:P1230)),AVERAGE('20250815_ETF_Options_Exhibits'!P1226:P1230),"")</f>
        <v/>
      </c>
      <c r="Q1230" s="3">
        <f>IF(ISNUMBER(AVERAGE('20250815_ETF_Options_Exhibits'!Q1226:Q1230)),AVERAGE('20250815_ETF_Options_Exhibits'!Q1226:Q1230),"")</f>
        <v/>
      </c>
      <c r="R1230" s="3">
        <f>IF(ISNUMBER(AVERAGE('20250815_ETF_Options_Exhibits'!R1226:R1230)),AVERAGE('20250815_ETF_Options_Exhibits'!R1226:R1230),"")</f>
        <v/>
      </c>
      <c r="S1230" s="3">
        <f>IF(ISNUMBER(AVERAGE('20250815_ETF_Options_Exhibits'!S1226:S1230)),AVERAGE('20250815_ETF_Options_Exhibits'!S1226:S1230),"")</f>
        <v/>
      </c>
      <c r="T1230" s="3">
        <f>IF(ISNUMBER(AVERAGE('20250815_ETF_Options_Exhibits'!T1226:T1230)),AVERAGE('20250815_ETF_Options_Exhibits'!T1226:T1230),"")</f>
        <v/>
      </c>
      <c r="U1230" s="3">
        <f>IF(ISNUMBER(AVERAGE('20250815_ETF_Options_Exhibits'!U1226:U1230)),AVERAGE('20250815_ETF_Options_Exhibits'!U1226:U1230),"")</f>
        <v/>
      </c>
      <c r="V1230" s="3">
        <f>IF(ISNUMBER(AVERAGE('20250815_ETF_Options_Exhibits'!V1226:V1230)),AVERAGE('20250815_ETF_Options_Exhibits'!V1226:V1230),"")</f>
        <v/>
      </c>
      <c r="W1230" s="3">
        <f>IF(ISNUMBER(AVERAGE('20250815_ETF_Options_Exhibits'!W1226:W1230)),AVERAGE('20250815_ETF_Options_Exhibits'!W1226:W1230),"")</f>
        <v/>
      </c>
      <c r="X1230" s="3">
        <f>IF(ISNUMBER(AVERAGE('20250815_ETF_Options_Exhibits'!X1226:X1230)),AVERAGE('20250815_ETF_Options_Exhibits'!X1226:X1230),"")</f>
        <v/>
      </c>
      <c r="Y1230" s="3">
        <f>IF(ISNUMBER(AVERAGE('20250815_ETF_Options_Exhibits'!Y1226:Y1230)),AVERAGE('20250815_ETF_Options_Exhibits'!Y1226:Y1230),"")</f>
        <v/>
      </c>
      <c r="Z1230" s="3">
        <f>IF(ISNUMBER(AVERAGE('20250815_ETF_Options_Exhibits'!Z1226:Z1230)),AVERAGE('20250815_ETF_Options_Exhibits'!Z1226:Z1230),"")</f>
        <v/>
      </c>
      <c r="AA1230" s="3">
        <f>IF(ISNUMBER(AVERAGE('20250815_ETF_Options_Exhibits'!AA1226:AA1230)),AVERAGE('20250815_ETF_Options_Exhibits'!AA1226:AA1230),"")</f>
        <v/>
      </c>
    </row>
    <row r="1231">
      <c r="A1231" s="1" t="n">
        <v>43787</v>
      </c>
      <c r="B1231" s="3">
        <f>IF(ISNUMBER(AVERAGE('20250815_ETF_Options_Exhibits'!B1227:B1231)),AVERAGE('20250815_ETF_Options_Exhibits'!B1227:B1231),"")</f>
        <v/>
      </c>
      <c r="C1231" s="3">
        <f>IF(ISNUMBER(AVERAGE('20250815_ETF_Options_Exhibits'!C1227:C1231)),AVERAGE('20250815_ETF_Options_Exhibits'!C1227:C1231),"")</f>
        <v/>
      </c>
      <c r="D1231" s="3">
        <f>IF(ISNUMBER(AVERAGE('20250815_ETF_Options_Exhibits'!D1227:D1231)),AVERAGE('20250815_ETF_Options_Exhibits'!D1227:D1231),"")</f>
        <v/>
      </c>
      <c r="E1231" s="3">
        <f>IF(ISNUMBER(AVERAGE('20250815_ETF_Options_Exhibits'!E1227:E1231)),AVERAGE('20250815_ETF_Options_Exhibits'!E1227:E1231),"")</f>
        <v/>
      </c>
      <c r="F1231" s="3">
        <f>IF(ISNUMBER(AVERAGE('20250815_ETF_Options_Exhibits'!F1227:F1231)),AVERAGE('20250815_ETF_Options_Exhibits'!F1227:F1231),"")</f>
        <v/>
      </c>
      <c r="G1231" s="3">
        <f>IF(ISNUMBER(AVERAGE('20250815_ETF_Options_Exhibits'!G1227:G1231)),AVERAGE('20250815_ETF_Options_Exhibits'!G1227:G1231),"")</f>
        <v/>
      </c>
      <c r="H1231" s="3">
        <f>IF(ISNUMBER(AVERAGE('20250815_ETF_Options_Exhibits'!H1227:H1231)),AVERAGE('20250815_ETF_Options_Exhibits'!H1227:H1231),"")</f>
        <v/>
      </c>
      <c r="I1231" s="3">
        <f>IF(ISNUMBER(AVERAGE('20250815_ETF_Options_Exhibits'!I1227:I1231)),AVERAGE('20250815_ETF_Options_Exhibits'!I1227:I1231),"")</f>
        <v/>
      </c>
      <c r="J1231" s="3">
        <f>IF(ISNUMBER(AVERAGE('20250815_ETF_Options_Exhibits'!J1227:J1231)),AVERAGE('20250815_ETF_Options_Exhibits'!J1227:J1231),"")</f>
        <v/>
      </c>
      <c r="K1231" s="3">
        <f>IF(ISNUMBER(AVERAGE('20250815_ETF_Options_Exhibits'!K1227:K1231)),AVERAGE('20250815_ETF_Options_Exhibits'!K1227:K1231),"")</f>
        <v/>
      </c>
      <c r="L1231" s="3">
        <f>IF(ISNUMBER(AVERAGE('20250815_ETF_Options_Exhibits'!L1227:L1231)),AVERAGE('20250815_ETF_Options_Exhibits'!L1227:L1231),"")</f>
        <v/>
      </c>
      <c r="M1231" s="3">
        <f>IF(ISNUMBER(AVERAGE('20250815_ETF_Options_Exhibits'!M1227:M1231)),AVERAGE('20250815_ETF_Options_Exhibits'!M1227:M1231),"")</f>
        <v/>
      </c>
      <c r="N1231" s="3">
        <f>IF(ISNUMBER(AVERAGE('20250815_ETF_Options_Exhibits'!N1227:N1231)),AVERAGE('20250815_ETF_Options_Exhibits'!N1227:N1231),"")</f>
        <v/>
      </c>
      <c r="O1231" s="3">
        <f>IF(ISNUMBER(AVERAGE('20250815_ETF_Options_Exhibits'!O1227:O1231)),AVERAGE('20250815_ETF_Options_Exhibits'!O1227:O1231),"")</f>
        <v/>
      </c>
      <c r="P1231" s="3">
        <f>IF(ISNUMBER(AVERAGE('20250815_ETF_Options_Exhibits'!P1227:P1231)),AVERAGE('20250815_ETF_Options_Exhibits'!P1227:P1231),"")</f>
        <v/>
      </c>
      <c r="Q1231" s="3">
        <f>IF(ISNUMBER(AVERAGE('20250815_ETF_Options_Exhibits'!Q1227:Q1231)),AVERAGE('20250815_ETF_Options_Exhibits'!Q1227:Q1231),"")</f>
        <v/>
      </c>
      <c r="R1231" s="3">
        <f>IF(ISNUMBER(AVERAGE('20250815_ETF_Options_Exhibits'!R1227:R1231)),AVERAGE('20250815_ETF_Options_Exhibits'!R1227:R1231),"")</f>
        <v/>
      </c>
      <c r="S1231" s="3">
        <f>IF(ISNUMBER(AVERAGE('20250815_ETF_Options_Exhibits'!S1227:S1231)),AVERAGE('20250815_ETF_Options_Exhibits'!S1227:S1231),"")</f>
        <v/>
      </c>
      <c r="T1231" s="3">
        <f>IF(ISNUMBER(AVERAGE('20250815_ETF_Options_Exhibits'!T1227:T1231)),AVERAGE('20250815_ETF_Options_Exhibits'!T1227:T1231),"")</f>
        <v/>
      </c>
      <c r="U1231" s="3">
        <f>IF(ISNUMBER(AVERAGE('20250815_ETF_Options_Exhibits'!U1227:U1231)),AVERAGE('20250815_ETF_Options_Exhibits'!U1227:U1231),"")</f>
        <v/>
      </c>
      <c r="V1231" s="3">
        <f>IF(ISNUMBER(AVERAGE('20250815_ETF_Options_Exhibits'!V1227:V1231)),AVERAGE('20250815_ETF_Options_Exhibits'!V1227:V1231),"")</f>
        <v/>
      </c>
      <c r="W1231" s="3">
        <f>IF(ISNUMBER(AVERAGE('20250815_ETF_Options_Exhibits'!W1227:W1231)),AVERAGE('20250815_ETF_Options_Exhibits'!W1227:W1231),"")</f>
        <v/>
      </c>
      <c r="X1231" s="3">
        <f>IF(ISNUMBER(AVERAGE('20250815_ETF_Options_Exhibits'!X1227:X1231)),AVERAGE('20250815_ETF_Options_Exhibits'!X1227:X1231),"")</f>
        <v/>
      </c>
      <c r="Y1231" s="3">
        <f>IF(ISNUMBER(AVERAGE('20250815_ETF_Options_Exhibits'!Y1227:Y1231)),AVERAGE('20250815_ETF_Options_Exhibits'!Y1227:Y1231),"")</f>
        <v/>
      </c>
      <c r="Z1231" s="3">
        <f>IF(ISNUMBER(AVERAGE('20250815_ETF_Options_Exhibits'!Z1227:Z1231)),AVERAGE('20250815_ETF_Options_Exhibits'!Z1227:Z1231),"")</f>
        <v/>
      </c>
      <c r="AA1231" s="3">
        <f>IF(ISNUMBER(AVERAGE('20250815_ETF_Options_Exhibits'!AA1227:AA1231)),AVERAGE('20250815_ETF_Options_Exhibits'!AA1227:AA1231),"")</f>
        <v/>
      </c>
    </row>
    <row r="1232">
      <c r="A1232" s="1" t="n">
        <v>43788</v>
      </c>
      <c r="B1232" s="3">
        <f>IF(ISNUMBER(AVERAGE('20250815_ETF_Options_Exhibits'!B1228:B1232)),AVERAGE('20250815_ETF_Options_Exhibits'!B1228:B1232),"")</f>
        <v/>
      </c>
      <c r="C1232" s="3">
        <f>IF(ISNUMBER(AVERAGE('20250815_ETF_Options_Exhibits'!C1228:C1232)),AVERAGE('20250815_ETF_Options_Exhibits'!C1228:C1232),"")</f>
        <v/>
      </c>
      <c r="D1232" s="3">
        <f>IF(ISNUMBER(AVERAGE('20250815_ETF_Options_Exhibits'!D1228:D1232)),AVERAGE('20250815_ETF_Options_Exhibits'!D1228:D1232),"")</f>
        <v/>
      </c>
      <c r="E1232" s="3">
        <f>IF(ISNUMBER(AVERAGE('20250815_ETF_Options_Exhibits'!E1228:E1232)),AVERAGE('20250815_ETF_Options_Exhibits'!E1228:E1232),"")</f>
        <v/>
      </c>
      <c r="F1232" s="3">
        <f>IF(ISNUMBER(AVERAGE('20250815_ETF_Options_Exhibits'!F1228:F1232)),AVERAGE('20250815_ETF_Options_Exhibits'!F1228:F1232),"")</f>
        <v/>
      </c>
      <c r="G1232" s="3">
        <f>IF(ISNUMBER(AVERAGE('20250815_ETF_Options_Exhibits'!G1228:G1232)),AVERAGE('20250815_ETF_Options_Exhibits'!G1228:G1232),"")</f>
        <v/>
      </c>
      <c r="H1232" s="3">
        <f>IF(ISNUMBER(AVERAGE('20250815_ETF_Options_Exhibits'!H1228:H1232)),AVERAGE('20250815_ETF_Options_Exhibits'!H1228:H1232),"")</f>
        <v/>
      </c>
      <c r="I1232" s="3">
        <f>IF(ISNUMBER(AVERAGE('20250815_ETF_Options_Exhibits'!I1228:I1232)),AVERAGE('20250815_ETF_Options_Exhibits'!I1228:I1232),"")</f>
        <v/>
      </c>
      <c r="J1232" s="3">
        <f>IF(ISNUMBER(AVERAGE('20250815_ETF_Options_Exhibits'!J1228:J1232)),AVERAGE('20250815_ETF_Options_Exhibits'!J1228:J1232),"")</f>
        <v/>
      </c>
      <c r="K1232" s="3">
        <f>IF(ISNUMBER(AVERAGE('20250815_ETF_Options_Exhibits'!K1228:K1232)),AVERAGE('20250815_ETF_Options_Exhibits'!K1228:K1232),"")</f>
        <v/>
      </c>
      <c r="L1232" s="3">
        <f>IF(ISNUMBER(AVERAGE('20250815_ETF_Options_Exhibits'!L1228:L1232)),AVERAGE('20250815_ETF_Options_Exhibits'!L1228:L1232),"")</f>
        <v/>
      </c>
      <c r="M1232" s="3">
        <f>IF(ISNUMBER(AVERAGE('20250815_ETF_Options_Exhibits'!M1228:M1232)),AVERAGE('20250815_ETF_Options_Exhibits'!M1228:M1232),"")</f>
        <v/>
      </c>
      <c r="N1232" s="3">
        <f>IF(ISNUMBER(AVERAGE('20250815_ETF_Options_Exhibits'!N1228:N1232)),AVERAGE('20250815_ETF_Options_Exhibits'!N1228:N1232),"")</f>
        <v/>
      </c>
      <c r="O1232" s="3">
        <f>IF(ISNUMBER(AVERAGE('20250815_ETF_Options_Exhibits'!O1228:O1232)),AVERAGE('20250815_ETF_Options_Exhibits'!O1228:O1232),"")</f>
        <v/>
      </c>
      <c r="P1232" s="3">
        <f>IF(ISNUMBER(AVERAGE('20250815_ETF_Options_Exhibits'!P1228:P1232)),AVERAGE('20250815_ETF_Options_Exhibits'!P1228:P1232),"")</f>
        <v/>
      </c>
      <c r="Q1232" s="3">
        <f>IF(ISNUMBER(AVERAGE('20250815_ETF_Options_Exhibits'!Q1228:Q1232)),AVERAGE('20250815_ETF_Options_Exhibits'!Q1228:Q1232),"")</f>
        <v/>
      </c>
      <c r="R1232" s="3">
        <f>IF(ISNUMBER(AVERAGE('20250815_ETF_Options_Exhibits'!R1228:R1232)),AVERAGE('20250815_ETF_Options_Exhibits'!R1228:R1232),"")</f>
        <v/>
      </c>
      <c r="S1232" s="3">
        <f>IF(ISNUMBER(AVERAGE('20250815_ETF_Options_Exhibits'!S1228:S1232)),AVERAGE('20250815_ETF_Options_Exhibits'!S1228:S1232),"")</f>
        <v/>
      </c>
      <c r="T1232" s="3">
        <f>IF(ISNUMBER(AVERAGE('20250815_ETF_Options_Exhibits'!T1228:T1232)),AVERAGE('20250815_ETF_Options_Exhibits'!T1228:T1232),"")</f>
        <v/>
      </c>
      <c r="U1232" s="3">
        <f>IF(ISNUMBER(AVERAGE('20250815_ETF_Options_Exhibits'!U1228:U1232)),AVERAGE('20250815_ETF_Options_Exhibits'!U1228:U1232),"")</f>
        <v/>
      </c>
      <c r="V1232" s="3">
        <f>IF(ISNUMBER(AVERAGE('20250815_ETF_Options_Exhibits'!V1228:V1232)),AVERAGE('20250815_ETF_Options_Exhibits'!V1228:V1232),"")</f>
        <v/>
      </c>
      <c r="W1232" s="3">
        <f>IF(ISNUMBER(AVERAGE('20250815_ETF_Options_Exhibits'!W1228:W1232)),AVERAGE('20250815_ETF_Options_Exhibits'!W1228:W1232),"")</f>
        <v/>
      </c>
      <c r="X1232" s="3">
        <f>IF(ISNUMBER(AVERAGE('20250815_ETF_Options_Exhibits'!X1228:X1232)),AVERAGE('20250815_ETF_Options_Exhibits'!X1228:X1232),"")</f>
        <v/>
      </c>
      <c r="Y1232" s="3">
        <f>IF(ISNUMBER(AVERAGE('20250815_ETF_Options_Exhibits'!Y1228:Y1232)),AVERAGE('20250815_ETF_Options_Exhibits'!Y1228:Y1232),"")</f>
        <v/>
      </c>
      <c r="Z1232" s="3">
        <f>IF(ISNUMBER(AVERAGE('20250815_ETF_Options_Exhibits'!Z1228:Z1232)),AVERAGE('20250815_ETF_Options_Exhibits'!Z1228:Z1232),"")</f>
        <v/>
      </c>
      <c r="AA1232" s="3">
        <f>IF(ISNUMBER(AVERAGE('20250815_ETF_Options_Exhibits'!AA1228:AA1232)),AVERAGE('20250815_ETF_Options_Exhibits'!AA1228:AA1232),"")</f>
        <v/>
      </c>
    </row>
    <row r="1233">
      <c r="A1233" s="1" t="n">
        <v>43789</v>
      </c>
      <c r="B1233" s="3">
        <f>IF(ISNUMBER(AVERAGE('20250815_ETF_Options_Exhibits'!B1229:B1233)),AVERAGE('20250815_ETF_Options_Exhibits'!B1229:B1233),"")</f>
        <v/>
      </c>
      <c r="C1233" s="3">
        <f>IF(ISNUMBER(AVERAGE('20250815_ETF_Options_Exhibits'!C1229:C1233)),AVERAGE('20250815_ETF_Options_Exhibits'!C1229:C1233),"")</f>
        <v/>
      </c>
      <c r="D1233" s="3">
        <f>IF(ISNUMBER(AVERAGE('20250815_ETF_Options_Exhibits'!D1229:D1233)),AVERAGE('20250815_ETF_Options_Exhibits'!D1229:D1233),"")</f>
        <v/>
      </c>
      <c r="E1233" s="3">
        <f>IF(ISNUMBER(AVERAGE('20250815_ETF_Options_Exhibits'!E1229:E1233)),AVERAGE('20250815_ETF_Options_Exhibits'!E1229:E1233),"")</f>
        <v/>
      </c>
      <c r="F1233" s="3">
        <f>IF(ISNUMBER(AVERAGE('20250815_ETF_Options_Exhibits'!F1229:F1233)),AVERAGE('20250815_ETF_Options_Exhibits'!F1229:F1233),"")</f>
        <v/>
      </c>
      <c r="G1233" s="3">
        <f>IF(ISNUMBER(AVERAGE('20250815_ETF_Options_Exhibits'!G1229:G1233)),AVERAGE('20250815_ETF_Options_Exhibits'!G1229:G1233),"")</f>
        <v/>
      </c>
      <c r="H1233" s="3">
        <f>IF(ISNUMBER(AVERAGE('20250815_ETF_Options_Exhibits'!H1229:H1233)),AVERAGE('20250815_ETF_Options_Exhibits'!H1229:H1233),"")</f>
        <v/>
      </c>
      <c r="I1233" s="3">
        <f>IF(ISNUMBER(AVERAGE('20250815_ETF_Options_Exhibits'!I1229:I1233)),AVERAGE('20250815_ETF_Options_Exhibits'!I1229:I1233),"")</f>
        <v/>
      </c>
      <c r="J1233" s="3">
        <f>IF(ISNUMBER(AVERAGE('20250815_ETF_Options_Exhibits'!J1229:J1233)),AVERAGE('20250815_ETF_Options_Exhibits'!J1229:J1233),"")</f>
        <v/>
      </c>
      <c r="K1233" s="3">
        <f>IF(ISNUMBER(AVERAGE('20250815_ETF_Options_Exhibits'!K1229:K1233)),AVERAGE('20250815_ETF_Options_Exhibits'!K1229:K1233),"")</f>
        <v/>
      </c>
      <c r="L1233" s="3">
        <f>IF(ISNUMBER(AVERAGE('20250815_ETF_Options_Exhibits'!L1229:L1233)),AVERAGE('20250815_ETF_Options_Exhibits'!L1229:L1233),"")</f>
        <v/>
      </c>
      <c r="M1233" s="3">
        <f>IF(ISNUMBER(AVERAGE('20250815_ETF_Options_Exhibits'!M1229:M1233)),AVERAGE('20250815_ETF_Options_Exhibits'!M1229:M1233),"")</f>
        <v/>
      </c>
      <c r="N1233" s="3">
        <f>IF(ISNUMBER(AVERAGE('20250815_ETF_Options_Exhibits'!N1229:N1233)),AVERAGE('20250815_ETF_Options_Exhibits'!N1229:N1233),"")</f>
        <v/>
      </c>
      <c r="O1233" s="3">
        <f>IF(ISNUMBER(AVERAGE('20250815_ETF_Options_Exhibits'!O1229:O1233)),AVERAGE('20250815_ETF_Options_Exhibits'!O1229:O1233),"")</f>
        <v/>
      </c>
      <c r="P1233" s="3">
        <f>IF(ISNUMBER(AVERAGE('20250815_ETF_Options_Exhibits'!P1229:P1233)),AVERAGE('20250815_ETF_Options_Exhibits'!P1229:P1233),"")</f>
        <v/>
      </c>
      <c r="Q1233" s="3">
        <f>IF(ISNUMBER(AVERAGE('20250815_ETF_Options_Exhibits'!Q1229:Q1233)),AVERAGE('20250815_ETF_Options_Exhibits'!Q1229:Q1233),"")</f>
        <v/>
      </c>
      <c r="R1233" s="3">
        <f>IF(ISNUMBER(AVERAGE('20250815_ETF_Options_Exhibits'!R1229:R1233)),AVERAGE('20250815_ETF_Options_Exhibits'!R1229:R1233),"")</f>
        <v/>
      </c>
      <c r="S1233" s="3">
        <f>IF(ISNUMBER(AVERAGE('20250815_ETF_Options_Exhibits'!S1229:S1233)),AVERAGE('20250815_ETF_Options_Exhibits'!S1229:S1233),"")</f>
        <v/>
      </c>
      <c r="T1233" s="3">
        <f>IF(ISNUMBER(AVERAGE('20250815_ETF_Options_Exhibits'!T1229:T1233)),AVERAGE('20250815_ETF_Options_Exhibits'!T1229:T1233),"")</f>
        <v/>
      </c>
      <c r="U1233" s="3">
        <f>IF(ISNUMBER(AVERAGE('20250815_ETF_Options_Exhibits'!U1229:U1233)),AVERAGE('20250815_ETF_Options_Exhibits'!U1229:U1233),"")</f>
        <v/>
      </c>
      <c r="V1233" s="3">
        <f>IF(ISNUMBER(AVERAGE('20250815_ETF_Options_Exhibits'!V1229:V1233)),AVERAGE('20250815_ETF_Options_Exhibits'!V1229:V1233),"")</f>
        <v/>
      </c>
      <c r="W1233" s="3">
        <f>IF(ISNUMBER(AVERAGE('20250815_ETF_Options_Exhibits'!W1229:W1233)),AVERAGE('20250815_ETF_Options_Exhibits'!W1229:W1233),"")</f>
        <v/>
      </c>
      <c r="X1233" s="3">
        <f>IF(ISNUMBER(AVERAGE('20250815_ETF_Options_Exhibits'!X1229:X1233)),AVERAGE('20250815_ETF_Options_Exhibits'!X1229:X1233),"")</f>
        <v/>
      </c>
      <c r="Y1233" s="3">
        <f>IF(ISNUMBER(AVERAGE('20250815_ETF_Options_Exhibits'!Y1229:Y1233)),AVERAGE('20250815_ETF_Options_Exhibits'!Y1229:Y1233),"")</f>
        <v/>
      </c>
      <c r="Z1233" s="3">
        <f>IF(ISNUMBER(AVERAGE('20250815_ETF_Options_Exhibits'!Z1229:Z1233)),AVERAGE('20250815_ETF_Options_Exhibits'!Z1229:Z1233),"")</f>
        <v/>
      </c>
      <c r="AA1233" s="3">
        <f>IF(ISNUMBER(AVERAGE('20250815_ETF_Options_Exhibits'!AA1229:AA1233)),AVERAGE('20250815_ETF_Options_Exhibits'!AA1229:AA1233),"")</f>
        <v/>
      </c>
    </row>
    <row r="1234">
      <c r="A1234" s="1" t="n">
        <v>43790</v>
      </c>
      <c r="B1234" s="3">
        <f>IF(ISNUMBER(AVERAGE('20250815_ETF_Options_Exhibits'!B1230:B1234)),AVERAGE('20250815_ETF_Options_Exhibits'!B1230:B1234),"")</f>
        <v/>
      </c>
      <c r="C1234" s="3">
        <f>IF(ISNUMBER(AVERAGE('20250815_ETF_Options_Exhibits'!C1230:C1234)),AVERAGE('20250815_ETF_Options_Exhibits'!C1230:C1234),"")</f>
        <v/>
      </c>
      <c r="D1234" s="3">
        <f>IF(ISNUMBER(AVERAGE('20250815_ETF_Options_Exhibits'!D1230:D1234)),AVERAGE('20250815_ETF_Options_Exhibits'!D1230:D1234),"")</f>
        <v/>
      </c>
      <c r="E1234" s="3">
        <f>IF(ISNUMBER(AVERAGE('20250815_ETF_Options_Exhibits'!E1230:E1234)),AVERAGE('20250815_ETF_Options_Exhibits'!E1230:E1234),"")</f>
        <v/>
      </c>
      <c r="F1234" s="3">
        <f>IF(ISNUMBER(AVERAGE('20250815_ETF_Options_Exhibits'!F1230:F1234)),AVERAGE('20250815_ETF_Options_Exhibits'!F1230:F1234),"")</f>
        <v/>
      </c>
      <c r="G1234" s="3">
        <f>IF(ISNUMBER(AVERAGE('20250815_ETF_Options_Exhibits'!G1230:G1234)),AVERAGE('20250815_ETF_Options_Exhibits'!G1230:G1234),"")</f>
        <v/>
      </c>
      <c r="H1234" s="3">
        <f>IF(ISNUMBER(AVERAGE('20250815_ETF_Options_Exhibits'!H1230:H1234)),AVERAGE('20250815_ETF_Options_Exhibits'!H1230:H1234),"")</f>
        <v/>
      </c>
      <c r="I1234" s="3">
        <f>IF(ISNUMBER(AVERAGE('20250815_ETF_Options_Exhibits'!I1230:I1234)),AVERAGE('20250815_ETF_Options_Exhibits'!I1230:I1234),"")</f>
        <v/>
      </c>
      <c r="J1234" s="3">
        <f>IF(ISNUMBER(AVERAGE('20250815_ETF_Options_Exhibits'!J1230:J1234)),AVERAGE('20250815_ETF_Options_Exhibits'!J1230:J1234),"")</f>
        <v/>
      </c>
      <c r="K1234" s="3">
        <f>IF(ISNUMBER(AVERAGE('20250815_ETF_Options_Exhibits'!K1230:K1234)),AVERAGE('20250815_ETF_Options_Exhibits'!K1230:K1234),"")</f>
        <v/>
      </c>
      <c r="L1234" s="3">
        <f>IF(ISNUMBER(AVERAGE('20250815_ETF_Options_Exhibits'!L1230:L1234)),AVERAGE('20250815_ETF_Options_Exhibits'!L1230:L1234),"")</f>
        <v/>
      </c>
      <c r="M1234" s="3">
        <f>IF(ISNUMBER(AVERAGE('20250815_ETF_Options_Exhibits'!M1230:M1234)),AVERAGE('20250815_ETF_Options_Exhibits'!M1230:M1234),"")</f>
        <v/>
      </c>
      <c r="N1234" s="3">
        <f>IF(ISNUMBER(AVERAGE('20250815_ETF_Options_Exhibits'!N1230:N1234)),AVERAGE('20250815_ETF_Options_Exhibits'!N1230:N1234),"")</f>
        <v/>
      </c>
      <c r="O1234" s="3">
        <f>IF(ISNUMBER(AVERAGE('20250815_ETF_Options_Exhibits'!O1230:O1234)),AVERAGE('20250815_ETF_Options_Exhibits'!O1230:O1234),"")</f>
        <v/>
      </c>
      <c r="P1234" s="3">
        <f>IF(ISNUMBER(AVERAGE('20250815_ETF_Options_Exhibits'!P1230:P1234)),AVERAGE('20250815_ETF_Options_Exhibits'!P1230:P1234),"")</f>
        <v/>
      </c>
      <c r="Q1234" s="3">
        <f>IF(ISNUMBER(AVERAGE('20250815_ETF_Options_Exhibits'!Q1230:Q1234)),AVERAGE('20250815_ETF_Options_Exhibits'!Q1230:Q1234),"")</f>
        <v/>
      </c>
      <c r="R1234" s="3">
        <f>IF(ISNUMBER(AVERAGE('20250815_ETF_Options_Exhibits'!R1230:R1234)),AVERAGE('20250815_ETF_Options_Exhibits'!R1230:R1234),"")</f>
        <v/>
      </c>
      <c r="S1234" s="3">
        <f>IF(ISNUMBER(AVERAGE('20250815_ETF_Options_Exhibits'!S1230:S1234)),AVERAGE('20250815_ETF_Options_Exhibits'!S1230:S1234),"")</f>
        <v/>
      </c>
      <c r="T1234" s="3">
        <f>IF(ISNUMBER(AVERAGE('20250815_ETF_Options_Exhibits'!T1230:T1234)),AVERAGE('20250815_ETF_Options_Exhibits'!T1230:T1234),"")</f>
        <v/>
      </c>
      <c r="U1234" s="3">
        <f>IF(ISNUMBER(AVERAGE('20250815_ETF_Options_Exhibits'!U1230:U1234)),AVERAGE('20250815_ETF_Options_Exhibits'!U1230:U1234),"")</f>
        <v/>
      </c>
      <c r="V1234" s="3">
        <f>IF(ISNUMBER(AVERAGE('20250815_ETF_Options_Exhibits'!V1230:V1234)),AVERAGE('20250815_ETF_Options_Exhibits'!V1230:V1234),"")</f>
        <v/>
      </c>
      <c r="W1234" s="3">
        <f>IF(ISNUMBER(AVERAGE('20250815_ETF_Options_Exhibits'!W1230:W1234)),AVERAGE('20250815_ETF_Options_Exhibits'!W1230:W1234),"")</f>
        <v/>
      </c>
      <c r="X1234" s="3">
        <f>IF(ISNUMBER(AVERAGE('20250815_ETF_Options_Exhibits'!X1230:X1234)),AVERAGE('20250815_ETF_Options_Exhibits'!X1230:X1234),"")</f>
        <v/>
      </c>
      <c r="Y1234" s="3">
        <f>IF(ISNUMBER(AVERAGE('20250815_ETF_Options_Exhibits'!Y1230:Y1234)),AVERAGE('20250815_ETF_Options_Exhibits'!Y1230:Y1234),"")</f>
        <v/>
      </c>
      <c r="Z1234" s="3">
        <f>IF(ISNUMBER(AVERAGE('20250815_ETF_Options_Exhibits'!Z1230:Z1234)),AVERAGE('20250815_ETF_Options_Exhibits'!Z1230:Z1234),"")</f>
        <v/>
      </c>
      <c r="AA1234" s="3">
        <f>IF(ISNUMBER(AVERAGE('20250815_ETF_Options_Exhibits'!AA1230:AA1234)),AVERAGE('20250815_ETF_Options_Exhibits'!AA1230:AA1234),"")</f>
        <v/>
      </c>
    </row>
    <row r="1235">
      <c r="A1235" s="1" t="n">
        <v>43791</v>
      </c>
      <c r="B1235" s="3">
        <f>IF(ISNUMBER(AVERAGE('20250815_ETF_Options_Exhibits'!B1231:B1235)),AVERAGE('20250815_ETF_Options_Exhibits'!B1231:B1235),"")</f>
        <v/>
      </c>
      <c r="C1235" s="3">
        <f>IF(ISNUMBER(AVERAGE('20250815_ETF_Options_Exhibits'!C1231:C1235)),AVERAGE('20250815_ETF_Options_Exhibits'!C1231:C1235),"")</f>
        <v/>
      </c>
      <c r="D1235" s="3">
        <f>IF(ISNUMBER(AVERAGE('20250815_ETF_Options_Exhibits'!D1231:D1235)),AVERAGE('20250815_ETF_Options_Exhibits'!D1231:D1235),"")</f>
        <v/>
      </c>
      <c r="E1235" s="3">
        <f>IF(ISNUMBER(AVERAGE('20250815_ETF_Options_Exhibits'!E1231:E1235)),AVERAGE('20250815_ETF_Options_Exhibits'!E1231:E1235),"")</f>
        <v/>
      </c>
      <c r="F1235" s="3">
        <f>IF(ISNUMBER(AVERAGE('20250815_ETF_Options_Exhibits'!F1231:F1235)),AVERAGE('20250815_ETF_Options_Exhibits'!F1231:F1235),"")</f>
        <v/>
      </c>
      <c r="G1235" s="3">
        <f>IF(ISNUMBER(AVERAGE('20250815_ETF_Options_Exhibits'!G1231:G1235)),AVERAGE('20250815_ETF_Options_Exhibits'!G1231:G1235),"")</f>
        <v/>
      </c>
      <c r="H1235" s="3">
        <f>IF(ISNUMBER(AVERAGE('20250815_ETF_Options_Exhibits'!H1231:H1235)),AVERAGE('20250815_ETF_Options_Exhibits'!H1231:H1235),"")</f>
        <v/>
      </c>
      <c r="I1235" s="3">
        <f>IF(ISNUMBER(AVERAGE('20250815_ETF_Options_Exhibits'!I1231:I1235)),AVERAGE('20250815_ETF_Options_Exhibits'!I1231:I1235),"")</f>
        <v/>
      </c>
      <c r="J1235" s="3">
        <f>IF(ISNUMBER(AVERAGE('20250815_ETF_Options_Exhibits'!J1231:J1235)),AVERAGE('20250815_ETF_Options_Exhibits'!J1231:J1235),"")</f>
        <v/>
      </c>
      <c r="K1235" s="3">
        <f>IF(ISNUMBER(AVERAGE('20250815_ETF_Options_Exhibits'!K1231:K1235)),AVERAGE('20250815_ETF_Options_Exhibits'!K1231:K1235),"")</f>
        <v/>
      </c>
      <c r="L1235" s="3">
        <f>IF(ISNUMBER(AVERAGE('20250815_ETF_Options_Exhibits'!L1231:L1235)),AVERAGE('20250815_ETF_Options_Exhibits'!L1231:L1235),"")</f>
        <v/>
      </c>
      <c r="M1235" s="3">
        <f>IF(ISNUMBER(AVERAGE('20250815_ETF_Options_Exhibits'!M1231:M1235)),AVERAGE('20250815_ETF_Options_Exhibits'!M1231:M1235),"")</f>
        <v/>
      </c>
      <c r="N1235" s="3">
        <f>IF(ISNUMBER(AVERAGE('20250815_ETF_Options_Exhibits'!N1231:N1235)),AVERAGE('20250815_ETF_Options_Exhibits'!N1231:N1235),"")</f>
        <v/>
      </c>
      <c r="O1235" s="3">
        <f>IF(ISNUMBER(AVERAGE('20250815_ETF_Options_Exhibits'!O1231:O1235)),AVERAGE('20250815_ETF_Options_Exhibits'!O1231:O1235),"")</f>
        <v/>
      </c>
      <c r="P1235" s="3">
        <f>IF(ISNUMBER(AVERAGE('20250815_ETF_Options_Exhibits'!P1231:P1235)),AVERAGE('20250815_ETF_Options_Exhibits'!P1231:P1235),"")</f>
        <v/>
      </c>
      <c r="Q1235" s="3">
        <f>IF(ISNUMBER(AVERAGE('20250815_ETF_Options_Exhibits'!Q1231:Q1235)),AVERAGE('20250815_ETF_Options_Exhibits'!Q1231:Q1235),"")</f>
        <v/>
      </c>
      <c r="R1235" s="3">
        <f>IF(ISNUMBER(AVERAGE('20250815_ETF_Options_Exhibits'!R1231:R1235)),AVERAGE('20250815_ETF_Options_Exhibits'!R1231:R1235),"")</f>
        <v/>
      </c>
      <c r="S1235" s="3">
        <f>IF(ISNUMBER(AVERAGE('20250815_ETF_Options_Exhibits'!S1231:S1235)),AVERAGE('20250815_ETF_Options_Exhibits'!S1231:S1235),"")</f>
        <v/>
      </c>
      <c r="T1235" s="3">
        <f>IF(ISNUMBER(AVERAGE('20250815_ETF_Options_Exhibits'!T1231:T1235)),AVERAGE('20250815_ETF_Options_Exhibits'!T1231:T1235),"")</f>
        <v/>
      </c>
      <c r="U1235" s="3">
        <f>IF(ISNUMBER(AVERAGE('20250815_ETF_Options_Exhibits'!U1231:U1235)),AVERAGE('20250815_ETF_Options_Exhibits'!U1231:U1235),"")</f>
        <v/>
      </c>
      <c r="V1235" s="3">
        <f>IF(ISNUMBER(AVERAGE('20250815_ETF_Options_Exhibits'!V1231:V1235)),AVERAGE('20250815_ETF_Options_Exhibits'!V1231:V1235),"")</f>
        <v/>
      </c>
      <c r="W1235" s="3">
        <f>IF(ISNUMBER(AVERAGE('20250815_ETF_Options_Exhibits'!W1231:W1235)),AVERAGE('20250815_ETF_Options_Exhibits'!W1231:W1235),"")</f>
        <v/>
      </c>
      <c r="X1235" s="3">
        <f>IF(ISNUMBER(AVERAGE('20250815_ETF_Options_Exhibits'!X1231:X1235)),AVERAGE('20250815_ETF_Options_Exhibits'!X1231:X1235),"")</f>
        <v/>
      </c>
      <c r="Y1235" s="3">
        <f>IF(ISNUMBER(AVERAGE('20250815_ETF_Options_Exhibits'!Y1231:Y1235)),AVERAGE('20250815_ETF_Options_Exhibits'!Y1231:Y1235),"")</f>
        <v/>
      </c>
      <c r="Z1235" s="3">
        <f>IF(ISNUMBER(AVERAGE('20250815_ETF_Options_Exhibits'!Z1231:Z1235)),AVERAGE('20250815_ETF_Options_Exhibits'!Z1231:Z1235),"")</f>
        <v/>
      </c>
      <c r="AA1235" s="3">
        <f>IF(ISNUMBER(AVERAGE('20250815_ETF_Options_Exhibits'!AA1231:AA1235)),AVERAGE('20250815_ETF_Options_Exhibits'!AA1231:AA1235),"")</f>
        <v/>
      </c>
    </row>
    <row r="1236">
      <c r="A1236" s="1" t="n">
        <v>43794</v>
      </c>
      <c r="B1236" s="3">
        <f>IF(ISNUMBER(AVERAGE('20250815_ETF_Options_Exhibits'!B1232:B1236)),AVERAGE('20250815_ETF_Options_Exhibits'!B1232:B1236),"")</f>
        <v/>
      </c>
      <c r="C1236" s="3">
        <f>IF(ISNUMBER(AVERAGE('20250815_ETF_Options_Exhibits'!C1232:C1236)),AVERAGE('20250815_ETF_Options_Exhibits'!C1232:C1236),"")</f>
        <v/>
      </c>
      <c r="D1236" s="3">
        <f>IF(ISNUMBER(AVERAGE('20250815_ETF_Options_Exhibits'!D1232:D1236)),AVERAGE('20250815_ETF_Options_Exhibits'!D1232:D1236),"")</f>
        <v/>
      </c>
      <c r="E1236" s="3">
        <f>IF(ISNUMBER(AVERAGE('20250815_ETF_Options_Exhibits'!E1232:E1236)),AVERAGE('20250815_ETF_Options_Exhibits'!E1232:E1236),"")</f>
        <v/>
      </c>
      <c r="F1236" s="3">
        <f>IF(ISNUMBER(AVERAGE('20250815_ETF_Options_Exhibits'!F1232:F1236)),AVERAGE('20250815_ETF_Options_Exhibits'!F1232:F1236),"")</f>
        <v/>
      </c>
      <c r="G1236" s="3">
        <f>IF(ISNUMBER(AVERAGE('20250815_ETF_Options_Exhibits'!G1232:G1236)),AVERAGE('20250815_ETF_Options_Exhibits'!G1232:G1236),"")</f>
        <v/>
      </c>
      <c r="H1236" s="3">
        <f>IF(ISNUMBER(AVERAGE('20250815_ETF_Options_Exhibits'!H1232:H1236)),AVERAGE('20250815_ETF_Options_Exhibits'!H1232:H1236),"")</f>
        <v/>
      </c>
      <c r="I1236" s="3">
        <f>IF(ISNUMBER(AVERAGE('20250815_ETF_Options_Exhibits'!I1232:I1236)),AVERAGE('20250815_ETF_Options_Exhibits'!I1232:I1236),"")</f>
        <v/>
      </c>
      <c r="J1236" s="3">
        <f>IF(ISNUMBER(AVERAGE('20250815_ETF_Options_Exhibits'!J1232:J1236)),AVERAGE('20250815_ETF_Options_Exhibits'!J1232:J1236),"")</f>
        <v/>
      </c>
      <c r="K1236" s="3">
        <f>IF(ISNUMBER(AVERAGE('20250815_ETF_Options_Exhibits'!K1232:K1236)),AVERAGE('20250815_ETF_Options_Exhibits'!K1232:K1236),"")</f>
        <v/>
      </c>
      <c r="L1236" s="3">
        <f>IF(ISNUMBER(AVERAGE('20250815_ETF_Options_Exhibits'!L1232:L1236)),AVERAGE('20250815_ETF_Options_Exhibits'!L1232:L1236),"")</f>
        <v/>
      </c>
      <c r="M1236" s="3">
        <f>IF(ISNUMBER(AVERAGE('20250815_ETF_Options_Exhibits'!M1232:M1236)),AVERAGE('20250815_ETF_Options_Exhibits'!M1232:M1236),"")</f>
        <v/>
      </c>
      <c r="N1236" s="3">
        <f>IF(ISNUMBER(AVERAGE('20250815_ETF_Options_Exhibits'!N1232:N1236)),AVERAGE('20250815_ETF_Options_Exhibits'!N1232:N1236),"")</f>
        <v/>
      </c>
      <c r="O1236" s="3">
        <f>IF(ISNUMBER(AVERAGE('20250815_ETF_Options_Exhibits'!O1232:O1236)),AVERAGE('20250815_ETF_Options_Exhibits'!O1232:O1236),"")</f>
        <v/>
      </c>
      <c r="P1236" s="3">
        <f>IF(ISNUMBER(AVERAGE('20250815_ETF_Options_Exhibits'!P1232:P1236)),AVERAGE('20250815_ETF_Options_Exhibits'!P1232:P1236),"")</f>
        <v/>
      </c>
      <c r="Q1236" s="3">
        <f>IF(ISNUMBER(AVERAGE('20250815_ETF_Options_Exhibits'!Q1232:Q1236)),AVERAGE('20250815_ETF_Options_Exhibits'!Q1232:Q1236),"")</f>
        <v/>
      </c>
      <c r="R1236" s="3">
        <f>IF(ISNUMBER(AVERAGE('20250815_ETF_Options_Exhibits'!R1232:R1236)),AVERAGE('20250815_ETF_Options_Exhibits'!R1232:R1236),"")</f>
        <v/>
      </c>
      <c r="S1236" s="3">
        <f>IF(ISNUMBER(AVERAGE('20250815_ETF_Options_Exhibits'!S1232:S1236)),AVERAGE('20250815_ETF_Options_Exhibits'!S1232:S1236),"")</f>
        <v/>
      </c>
      <c r="T1236" s="3">
        <f>IF(ISNUMBER(AVERAGE('20250815_ETF_Options_Exhibits'!T1232:T1236)),AVERAGE('20250815_ETF_Options_Exhibits'!T1232:T1236),"")</f>
        <v/>
      </c>
      <c r="U1236" s="3">
        <f>IF(ISNUMBER(AVERAGE('20250815_ETF_Options_Exhibits'!U1232:U1236)),AVERAGE('20250815_ETF_Options_Exhibits'!U1232:U1236),"")</f>
        <v/>
      </c>
      <c r="V1236" s="3">
        <f>IF(ISNUMBER(AVERAGE('20250815_ETF_Options_Exhibits'!V1232:V1236)),AVERAGE('20250815_ETF_Options_Exhibits'!V1232:V1236),"")</f>
        <v/>
      </c>
      <c r="W1236" s="3">
        <f>IF(ISNUMBER(AVERAGE('20250815_ETF_Options_Exhibits'!W1232:W1236)),AVERAGE('20250815_ETF_Options_Exhibits'!W1232:W1236),"")</f>
        <v/>
      </c>
      <c r="X1236" s="3">
        <f>IF(ISNUMBER(AVERAGE('20250815_ETF_Options_Exhibits'!X1232:X1236)),AVERAGE('20250815_ETF_Options_Exhibits'!X1232:X1236),"")</f>
        <v/>
      </c>
      <c r="Y1236" s="3">
        <f>IF(ISNUMBER(AVERAGE('20250815_ETF_Options_Exhibits'!Y1232:Y1236)),AVERAGE('20250815_ETF_Options_Exhibits'!Y1232:Y1236),"")</f>
        <v/>
      </c>
      <c r="Z1236" s="3">
        <f>IF(ISNUMBER(AVERAGE('20250815_ETF_Options_Exhibits'!Z1232:Z1236)),AVERAGE('20250815_ETF_Options_Exhibits'!Z1232:Z1236),"")</f>
        <v/>
      </c>
      <c r="AA1236" s="3">
        <f>IF(ISNUMBER(AVERAGE('20250815_ETF_Options_Exhibits'!AA1232:AA1236)),AVERAGE('20250815_ETF_Options_Exhibits'!AA1232:AA1236),"")</f>
        <v/>
      </c>
    </row>
    <row r="1237">
      <c r="A1237" s="1" t="n">
        <v>43795</v>
      </c>
      <c r="B1237" s="3">
        <f>IF(ISNUMBER(AVERAGE('20250815_ETF_Options_Exhibits'!B1233:B1237)),AVERAGE('20250815_ETF_Options_Exhibits'!B1233:B1237),"")</f>
        <v/>
      </c>
      <c r="C1237" s="3">
        <f>IF(ISNUMBER(AVERAGE('20250815_ETF_Options_Exhibits'!C1233:C1237)),AVERAGE('20250815_ETF_Options_Exhibits'!C1233:C1237),"")</f>
        <v/>
      </c>
      <c r="D1237" s="3">
        <f>IF(ISNUMBER(AVERAGE('20250815_ETF_Options_Exhibits'!D1233:D1237)),AVERAGE('20250815_ETF_Options_Exhibits'!D1233:D1237),"")</f>
        <v/>
      </c>
      <c r="E1237" s="3">
        <f>IF(ISNUMBER(AVERAGE('20250815_ETF_Options_Exhibits'!E1233:E1237)),AVERAGE('20250815_ETF_Options_Exhibits'!E1233:E1237),"")</f>
        <v/>
      </c>
      <c r="F1237" s="3">
        <f>IF(ISNUMBER(AVERAGE('20250815_ETF_Options_Exhibits'!F1233:F1237)),AVERAGE('20250815_ETF_Options_Exhibits'!F1233:F1237),"")</f>
        <v/>
      </c>
      <c r="G1237" s="3">
        <f>IF(ISNUMBER(AVERAGE('20250815_ETF_Options_Exhibits'!G1233:G1237)),AVERAGE('20250815_ETF_Options_Exhibits'!G1233:G1237),"")</f>
        <v/>
      </c>
      <c r="H1237" s="3">
        <f>IF(ISNUMBER(AVERAGE('20250815_ETF_Options_Exhibits'!H1233:H1237)),AVERAGE('20250815_ETF_Options_Exhibits'!H1233:H1237),"")</f>
        <v/>
      </c>
      <c r="I1237" s="3">
        <f>IF(ISNUMBER(AVERAGE('20250815_ETF_Options_Exhibits'!I1233:I1237)),AVERAGE('20250815_ETF_Options_Exhibits'!I1233:I1237),"")</f>
        <v/>
      </c>
      <c r="J1237" s="3">
        <f>IF(ISNUMBER(AVERAGE('20250815_ETF_Options_Exhibits'!J1233:J1237)),AVERAGE('20250815_ETF_Options_Exhibits'!J1233:J1237),"")</f>
        <v/>
      </c>
      <c r="K1237" s="3">
        <f>IF(ISNUMBER(AVERAGE('20250815_ETF_Options_Exhibits'!K1233:K1237)),AVERAGE('20250815_ETF_Options_Exhibits'!K1233:K1237),"")</f>
        <v/>
      </c>
      <c r="L1237" s="3">
        <f>IF(ISNUMBER(AVERAGE('20250815_ETF_Options_Exhibits'!L1233:L1237)),AVERAGE('20250815_ETF_Options_Exhibits'!L1233:L1237),"")</f>
        <v/>
      </c>
      <c r="M1237" s="3">
        <f>IF(ISNUMBER(AVERAGE('20250815_ETF_Options_Exhibits'!M1233:M1237)),AVERAGE('20250815_ETF_Options_Exhibits'!M1233:M1237),"")</f>
        <v/>
      </c>
      <c r="N1237" s="3">
        <f>IF(ISNUMBER(AVERAGE('20250815_ETF_Options_Exhibits'!N1233:N1237)),AVERAGE('20250815_ETF_Options_Exhibits'!N1233:N1237),"")</f>
        <v/>
      </c>
      <c r="O1237" s="3">
        <f>IF(ISNUMBER(AVERAGE('20250815_ETF_Options_Exhibits'!O1233:O1237)),AVERAGE('20250815_ETF_Options_Exhibits'!O1233:O1237),"")</f>
        <v/>
      </c>
      <c r="P1237" s="3">
        <f>IF(ISNUMBER(AVERAGE('20250815_ETF_Options_Exhibits'!P1233:P1237)),AVERAGE('20250815_ETF_Options_Exhibits'!P1233:P1237),"")</f>
        <v/>
      </c>
      <c r="Q1237" s="3">
        <f>IF(ISNUMBER(AVERAGE('20250815_ETF_Options_Exhibits'!Q1233:Q1237)),AVERAGE('20250815_ETF_Options_Exhibits'!Q1233:Q1237),"")</f>
        <v/>
      </c>
      <c r="R1237" s="3">
        <f>IF(ISNUMBER(AVERAGE('20250815_ETF_Options_Exhibits'!R1233:R1237)),AVERAGE('20250815_ETF_Options_Exhibits'!R1233:R1237),"")</f>
        <v/>
      </c>
      <c r="S1237" s="3">
        <f>IF(ISNUMBER(AVERAGE('20250815_ETF_Options_Exhibits'!S1233:S1237)),AVERAGE('20250815_ETF_Options_Exhibits'!S1233:S1237),"")</f>
        <v/>
      </c>
      <c r="T1237" s="3">
        <f>IF(ISNUMBER(AVERAGE('20250815_ETF_Options_Exhibits'!T1233:T1237)),AVERAGE('20250815_ETF_Options_Exhibits'!T1233:T1237),"")</f>
        <v/>
      </c>
      <c r="U1237" s="3">
        <f>IF(ISNUMBER(AVERAGE('20250815_ETF_Options_Exhibits'!U1233:U1237)),AVERAGE('20250815_ETF_Options_Exhibits'!U1233:U1237),"")</f>
        <v/>
      </c>
      <c r="V1237" s="3">
        <f>IF(ISNUMBER(AVERAGE('20250815_ETF_Options_Exhibits'!V1233:V1237)),AVERAGE('20250815_ETF_Options_Exhibits'!V1233:V1237),"")</f>
        <v/>
      </c>
      <c r="W1237" s="3">
        <f>IF(ISNUMBER(AVERAGE('20250815_ETF_Options_Exhibits'!W1233:W1237)),AVERAGE('20250815_ETF_Options_Exhibits'!W1233:W1237),"")</f>
        <v/>
      </c>
      <c r="X1237" s="3">
        <f>IF(ISNUMBER(AVERAGE('20250815_ETF_Options_Exhibits'!X1233:X1237)),AVERAGE('20250815_ETF_Options_Exhibits'!X1233:X1237),"")</f>
        <v/>
      </c>
      <c r="Y1237" s="3">
        <f>IF(ISNUMBER(AVERAGE('20250815_ETF_Options_Exhibits'!Y1233:Y1237)),AVERAGE('20250815_ETF_Options_Exhibits'!Y1233:Y1237),"")</f>
        <v/>
      </c>
      <c r="Z1237" s="3">
        <f>IF(ISNUMBER(AVERAGE('20250815_ETF_Options_Exhibits'!Z1233:Z1237)),AVERAGE('20250815_ETF_Options_Exhibits'!Z1233:Z1237),"")</f>
        <v/>
      </c>
      <c r="AA1237" s="3">
        <f>IF(ISNUMBER(AVERAGE('20250815_ETF_Options_Exhibits'!AA1233:AA1237)),AVERAGE('20250815_ETF_Options_Exhibits'!AA1233:AA1237),"")</f>
        <v/>
      </c>
    </row>
    <row r="1238">
      <c r="A1238" s="1" t="n">
        <v>43796</v>
      </c>
      <c r="B1238" s="3">
        <f>IF(ISNUMBER(AVERAGE('20250815_ETF_Options_Exhibits'!B1234:B1238)),AVERAGE('20250815_ETF_Options_Exhibits'!B1234:B1238),"")</f>
        <v/>
      </c>
      <c r="C1238" s="3">
        <f>IF(ISNUMBER(AVERAGE('20250815_ETF_Options_Exhibits'!C1234:C1238)),AVERAGE('20250815_ETF_Options_Exhibits'!C1234:C1238),"")</f>
        <v/>
      </c>
      <c r="D1238" s="3">
        <f>IF(ISNUMBER(AVERAGE('20250815_ETF_Options_Exhibits'!D1234:D1238)),AVERAGE('20250815_ETF_Options_Exhibits'!D1234:D1238),"")</f>
        <v/>
      </c>
      <c r="E1238" s="3">
        <f>IF(ISNUMBER(AVERAGE('20250815_ETF_Options_Exhibits'!E1234:E1238)),AVERAGE('20250815_ETF_Options_Exhibits'!E1234:E1238),"")</f>
        <v/>
      </c>
      <c r="F1238" s="3">
        <f>IF(ISNUMBER(AVERAGE('20250815_ETF_Options_Exhibits'!F1234:F1238)),AVERAGE('20250815_ETF_Options_Exhibits'!F1234:F1238),"")</f>
        <v/>
      </c>
      <c r="G1238" s="3">
        <f>IF(ISNUMBER(AVERAGE('20250815_ETF_Options_Exhibits'!G1234:G1238)),AVERAGE('20250815_ETF_Options_Exhibits'!G1234:G1238),"")</f>
        <v/>
      </c>
      <c r="H1238" s="3">
        <f>IF(ISNUMBER(AVERAGE('20250815_ETF_Options_Exhibits'!H1234:H1238)),AVERAGE('20250815_ETF_Options_Exhibits'!H1234:H1238),"")</f>
        <v/>
      </c>
      <c r="I1238" s="3">
        <f>IF(ISNUMBER(AVERAGE('20250815_ETF_Options_Exhibits'!I1234:I1238)),AVERAGE('20250815_ETF_Options_Exhibits'!I1234:I1238),"")</f>
        <v/>
      </c>
      <c r="J1238" s="3">
        <f>IF(ISNUMBER(AVERAGE('20250815_ETF_Options_Exhibits'!J1234:J1238)),AVERAGE('20250815_ETF_Options_Exhibits'!J1234:J1238),"")</f>
        <v/>
      </c>
      <c r="K1238" s="3">
        <f>IF(ISNUMBER(AVERAGE('20250815_ETF_Options_Exhibits'!K1234:K1238)),AVERAGE('20250815_ETF_Options_Exhibits'!K1234:K1238),"")</f>
        <v/>
      </c>
      <c r="L1238" s="3">
        <f>IF(ISNUMBER(AVERAGE('20250815_ETF_Options_Exhibits'!L1234:L1238)),AVERAGE('20250815_ETF_Options_Exhibits'!L1234:L1238),"")</f>
        <v/>
      </c>
      <c r="M1238" s="3">
        <f>IF(ISNUMBER(AVERAGE('20250815_ETF_Options_Exhibits'!M1234:M1238)),AVERAGE('20250815_ETF_Options_Exhibits'!M1234:M1238),"")</f>
        <v/>
      </c>
      <c r="N1238" s="3">
        <f>IF(ISNUMBER(AVERAGE('20250815_ETF_Options_Exhibits'!N1234:N1238)),AVERAGE('20250815_ETF_Options_Exhibits'!N1234:N1238),"")</f>
        <v/>
      </c>
      <c r="O1238" s="3">
        <f>IF(ISNUMBER(AVERAGE('20250815_ETF_Options_Exhibits'!O1234:O1238)),AVERAGE('20250815_ETF_Options_Exhibits'!O1234:O1238),"")</f>
        <v/>
      </c>
      <c r="P1238" s="3">
        <f>IF(ISNUMBER(AVERAGE('20250815_ETF_Options_Exhibits'!P1234:P1238)),AVERAGE('20250815_ETF_Options_Exhibits'!P1234:P1238),"")</f>
        <v/>
      </c>
      <c r="Q1238" s="3">
        <f>IF(ISNUMBER(AVERAGE('20250815_ETF_Options_Exhibits'!Q1234:Q1238)),AVERAGE('20250815_ETF_Options_Exhibits'!Q1234:Q1238),"")</f>
        <v/>
      </c>
      <c r="R1238" s="3">
        <f>IF(ISNUMBER(AVERAGE('20250815_ETF_Options_Exhibits'!R1234:R1238)),AVERAGE('20250815_ETF_Options_Exhibits'!R1234:R1238),"")</f>
        <v/>
      </c>
      <c r="S1238" s="3">
        <f>IF(ISNUMBER(AVERAGE('20250815_ETF_Options_Exhibits'!S1234:S1238)),AVERAGE('20250815_ETF_Options_Exhibits'!S1234:S1238),"")</f>
        <v/>
      </c>
      <c r="T1238" s="3">
        <f>IF(ISNUMBER(AVERAGE('20250815_ETF_Options_Exhibits'!T1234:T1238)),AVERAGE('20250815_ETF_Options_Exhibits'!T1234:T1238),"")</f>
        <v/>
      </c>
      <c r="U1238" s="3">
        <f>IF(ISNUMBER(AVERAGE('20250815_ETF_Options_Exhibits'!U1234:U1238)),AVERAGE('20250815_ETF_Options_Exhibits'!U1234:U1238),"")</f>
        <v/>
      </c>
      <c r="V1238" s="3">
        <f>IF(ISNUMBER(AVERAGE('20250815_ETF_Options_Exhibits'!V1234:V1238)),AVERAGE('20250815_ETF_Options_Exhibits'!V1234:V1238),"")</f>
        <v/>
      </c>
      <c r="W1238" s="3">
        <f>IF(ISNUMBER(AVERAGE('20250815_ETF_Options_Exhibits'!W1234:W1238)),AVERAGE('20250815_ETF_Options_Exhibits'!W1234:W1238),"")</f>
        <v/>
      </c>
      <c r="X1238" s="3">
        <f>IF(ISNUMBER(AVERAGE('20250815_ETF_Options_Exhibits'!X1234:X1238)),AVERAGE('20250815_ETF_Options_Exhibits'!X1234:X1238),"")</f>
        <v/>
      </c>
      <c r="Y1238" s="3">
        <f>IF(ISNUMBER(AVERAGE('20250815_ETF_Options_Exhibits'!Y1234:Y1238)),AVERAGE('20250815_ETF_Options_Exhibits'!Y1234:Y1238),"")</f>
        <v/>
      </c>
      <c r="Z1238" s="3">
        <f>IF(ISNUMBER(AVERAGE('20250815_ETF_Options_Exhibits'!Z1234:Z1238)),AVERAGE('20250815_ETF_Options_Exhibits'!Z1234:Z1238),"")</f>
        <v/>
      </c>
      <c r="AA1238" s="3">
        <f>IF(ISNUMBER(AVERAGE('20250815_ETF_Options_Exhibits'!AA1234:AA1238)),AVERAGE('20250815_ETF_Options_Exhibits'!AA1234:AA1238),"")</f>
        <v/>
      </c>
    </row>
    <row r="1239">
      <c r="A1239" s="1" t="n">
        <v>43798</v>
      </c>
      <c r="B1239" s="3">
        <f>IF(ISNUMBER(AVERAGE('20250815_ETF_Options_Exhibits'!B1235:B1239)),AVERAGE('20250815_ETF_Options_Exhibits'!B1235:B1239),"")</f>
        <v/>
      </c>
      <c r="C1239" s="3">
        <f>IF(ISNUMBER(AVERAGE('20250815_ETF_Options_Exhibits'!C1235:C1239)),AVERAGE('20250815_ETF_Options_Exhibits'!C1235:C1239),"")</f>
        <v/>
      </c>
      <c r="D1239" s="3">
        <f>IF(ISNUMBER(AVERAGE('20250815_ETF_Options_Exhibits'!D1235:D1239)),AVERAGE('20250815_ETF_Options_Exhibits'!D1235:D1239),"")</f>
        <v/>
      </c>
      <c r="E1239" s="3">
        <f>IF(ISNUMBER(AVERAGE('20250815_ETF_Options_Exhibits'!E1235:E1239)),AVERAGE('20250815_ETF_Options_Exhibits'!E1235:E1239),"")</f>
        <v/>
      </c>
      <c r="F1239" s="3">
        <f>IF(ISNUMBER(AVERAGE('20250815_ETF_Options_Exhibits'!F1235:F1239)),AVERAGE('20250815_ETF_Options_Exhibits'!F1235:F1239),"")</f>
        <v/>
      </c>
      <c r="G1239" s="3">
        <f>IF(ISNUMBER(AVERAGE('20250815_ETF_Options_Exhibits'!G1235:G1239)),AVERAGE('20250815_ETF_Options_Exhibits'!G1235:G1239),"")</f>
        <v/>
      </c>
      <c r="H1239" s="3">
        <f>IF(ISNUMBER(AVERAGE('20250815_ETF_Options_Exhibits'!H1235:H1239)),AVERAGE('20250815_ETF_Options_Exhibits'!H1235:H1239),"")</f>
        <v/>
      </c>
      <c r="I1239" s="3">
        <f>IF(ISNUMBER(AVERAGE('20250815_ETF_Options_Exhibits'!I1235:I1239)),AVERAGE('20250815_ETF_Options_Exhibits'!I1235:I1239),"")</f>
        <v/>
      </c>
      <c r="J1239" s="3">
        <f>IF(ISNUMBER(AVERAGE('20250815_ETF_Options_Exhibits'!J1235:J1239)),AVERAGE('20250815_ETF_Options_Exhibits'!J1235:J1239),"")</f>
        <v/>
      </c>
      <c r="K1239" s="3">
        <f>IF(ISNUMBER(AVERAGE('20250815_ETF_Options_Exhibits'!K1235:K1239)),AVERAGE('20250815_ETF_Options_Exhibits'!K1235:K1239),"")</f>
        <v/>
      </c>
      <c r="L1239" s="3">
        <f>IF(ISNUMBER(AVERAGE('20250815_ETF_Options_Exhibits'!L1235:L1239)),AVERAGE('20250815_ETF_Options_Exhibits'!L1235:L1239),"")</f>
        <v/>
      </c>
      <c r="M1239" s="3">
        <f>IF(ISNUMBER(AVERAGE('20250815_ETF_Options_Exhibits'!M1235:M1239)),AVERAGE('20250815_ETF_Options_Exhibits'!M1235:M1239),"")</f>
        <v/>
      </c>
      <c r="N1239" s="3">
        <f>IF(ISNUMBER(AVERAGE('20250815_ETF_Options_Exhibits'!N1235:N1239)),AVERAGE('20250815_ETF_Options_Exhibits'!N1235:N1239),"")</f>
        <v/>
      </c>
      <c r="O1239" s="3">
        <f>IF(ISNUMBER(AVERAGE('20250815_ETF_Options_Exhibits'!O1235:O1239)),AVERAGE('20250815_ETF_Options_Exhibits'!O1235:O1239),"")</f>
        <v/>
      </c>
      <c r="P1239" s="3">
        <f>IF(ISNUMBER(AVERAGE('20250815_ETF_Options_Exhibits'!P1235:P1239)),AVERAGE('20250815_ETF_Options_Exhibits'!P1235:P1239),"")</f>
        <v/>
      </c>
      <c r="Q1239" s="3">
        <f>IF(ISNUMBER(AVERAGE('20250815_ETF_Options_Exhibits'!Q1235:Q1239)),AVERAGE('20250815_ETF_Options_Exhibits'!Q1235:Q1239),"")</f>
        <v/>
      </c>
      <c r="R1239" s="3">
        <f>IF(ISNUMBER(AVERAGE('20250815_ETF_Options_Exhibits'!R1235:R1239)),AVERAGE('20250815_ETF_Options_Exhibits'!R1235:R1239),"")</f>
        <v/>
      </c>
      <c r="S1239" s="3">
        <f>IF(ISNUMBER(AVERAGE('20250815_ETF_Options_Exhibits'!S1235:S1239)),AVERAGE('20250815_ETF_Options_Exhibits'!S1235:S1239),"")</f>
        <v/>
      </c>
      <c r="T1239" s="3">
        <f>IF(ISNUMBER(AVERAGE('20250815_ETF_Options_Exhibits'!T1235:T1239)),AVERAGE('20250815_ETF_Options_Exhibits'!T1235:T1239),"")</f>
        <v/>
      </c>
      <c r="U1239" s="3">
        <f>IF(ISNUMBER(AVERAGE('20250815_ETF_Options_Exhibits'!U1235:U1239)),AVERAGE('20250815_ETF_Options_Exhibits'!U1235:U1239),"")</f>
        <v/>
      </c>
      <c r="V1239" s="3">
        <f>IF(ISNUMBER(AVERAGE('20250815_ETF_Options_Exhibits'!V1235:V1239)),AVERAGE('20250815_ETF_Options_Exhibits'!V1235:V1239),"")</f>
        <v/>
      </c>
      <c r="W1239" s="3">
        <f>IF(ISNUMBER(AVERAGE('20250815_ETF_Options_Exhibits'!W1235:W1239)),AVERAGE('20250815_ETF_Options_Exhibits'!W1235:W1239),"")</f>
        <v/>
      </c>
      <c r="X1239" s="3">
        <f>IF(ISNUMBER(AVERAGE('20250815_ETF_Options_Exhibits'!X1235:X1239)),AVERAGE('20250815_ETF_Options_Exhibits'!X1235:X1239),"")</f>
        <v/>
      </c>
      <c r="Y1239" s="3">
        <f>IF(ISNUMBER(AVERAGE('20250815_ETF_Options_Exhibits'!Y1235:Y1239)),AVERAGE('20250815_ETF_Options_Exhibits'!Y1235:Y1239),"")</f>
        <v/>
      </c>
      <c r="Z1239" s="3">
        <f>IF(ISNUMBER(AVERAGE('20250815_ETF_Options_Exhibits'!Z1235:Z1239)),AVERAGE('20250815_ETF_Options_Exhibits'!Z1235:Z1239),"")</f>
        <v/>
      </c>
      <c r="AA1239" s="3">
        <f>IF(ISNUMBER(AVERAGE('20250815_ETF_Options_Exhibits'!AA1235:AA1239)),AVERAGE('20250815_ETF_Options_Exhibits'!AA1235:AA1239),"")</f>
        <v/>
      </c>
    </row>
    <row r="1240">
      <c r="A1240" s="1" t="n">
        <v>43801</v>
      </c>
      <c r="B1240" s="3">
        <f>IF(ISNUMBER(AVERAGE('20250815_ETF_Options_Exhibits'!B1236:B1240)),AVERAGE('20250815_ETF_Options_Exhibits'!B1236:B1240),"")</f>
        <v/>
      </c>
      <c r="C1240" s="3">
        <f>IF(ISNUMBER(AVERAGE('20250815_ETF_Options_Exhibits'!C1236:C1240)),AVERAGE('20250815_ETF_Options_Exhibits'!C1236:C1240),"")</f>
        <v/>
      </c>
      <c r="D1240" s="3">
        <f>IF(ISNUMBER(AVERAGE('20250815_ETF_Options_Exhibits'!D1236:D1240)),AVERAGE('20250815_ETF_Options_Exhibits'!D1236:D1240),"")</f>
        <v/>
      </c>
      <c r="E1240" s="3">
        <f>IF(ISNUMBER(AVERAGE('20250815_ETF_Options_Exhibits'!E1236:E1240)),AVERAGE('20250815_ETF_Options_Exhibits'!E1236:E1240),"")</f>
        <v/>
      </c>
      <c r="F1240" s="3">
        <f>IF(ISNUMBER(AVERAGE('20250815_ETF_Options_Exhibits'!F1236:F1240)),AVERAGE('20250815_ETF_Options_Exhibits'!F1236:F1240),"")</f>
        <v/>
      </c>
      <c r="G1240" s="3">
        <f>IF(ISNUMBER(AVERAGE('20250815_ETF_Options_Exhibits'!G1236:G1240)),AVERAGE('20250815_ETF_Options_Exhibits'!G1236:G1240),"")</f>
        <v/>
      </c>
      <c r="H1240" s="3">
        <f>IF(ISNUMBER(AVERAGE('20250815_ETF_Options_Exhibits'!H1236:H1240)),AVERAGE('20250815_ETF_Options_Exhibits'!H1236:H1240),"")</f>
        <v/>
      </c>
      <c r="I1240" s="3">
        <f>IF(ISNUMBER(AVERAGE('20250815_ETF_Options_Exhibits'!I1236:I1240)),AVERAGE('20250815_ETF_Options_Exhibits'!I1236:I1240),"")</f>
        <v/>
      </c>
      <c r="J1240" s="3">
        <f>IF(ISNUMBER(AVERAGE('20250815_ETF_Options_Exhibits'!J1236:J1240)),AVERAGE('20250815_ETF_Options_Exhibits'!J1236:J1240),"")</f>
        <v/>
      </c>
      <c r="K1240" s="3">
        <f>IF(ISNUMBER(AVERAGE('20250815_ETF_Options_Exhibits'!K1236:K1240)),AVERAGE('20250815_ETF_Options_Exhibits'!K1236:K1240),"")</f>
        <v/>
      </c>
      <c r="L1240" s="3">
        <f>IF(ISNUMBER(AVERAGE('20250815_ETF_Options_Exhibits'!L1236:L1240)),AVERAGE('20250815_ETF_Options_Exhibits'!L1236:L1240),"")</f>
        <v/>
      </c>
      <c r="M1240" s="3">
        <f>IF(ISNUMBER(AVERAGE('20250815_ETF_Options_Exhibits'!M1236:M1240)),AVERAGE('20250815_ETF_Options_Exhibits'!M1236:M1240),"")</f>
        <v/>
      </c>
      <c r="N1240" s="3">
        <f>IF(ISNUMBER(AVERAGE('20250815_ETF_Options_Exhibits'!N1236:N1240)),AVERAGE('20250815_ETF_Options_Exhibits'!N1236:N1240),"")</f>
        <v/>
      </c>
      <c r="O1240" s="3">
        <f>IF(ISNUMBER(AVERAGE('20250815_ETF_Options_Exhibits'!O1236:O1240)),AVERAGE('20250815_ETF_Options_Exhibits'!O1236:O1240),"")</f>
        <v/>
      </c>
      <c r="P1240" s="3">
        <f>IF(ISNUMBER(AVERAGE('20250815_ETF_Options_Exhibits'!P1236:P1240)),AVERAGE('20250815_ETF_Options_Exhibits'!P1236:P1240),"")</f>
        <v/>
      </c>
      <c r="Q1240" s="3">
        <f>IF(ISNUMBER(AVERAGE('20250815_ETF_Options_Exhibits'!Q1236:Q1240)),AVERAGE('20250815_ETF_Options_Exhibits'!Q1236:Q1240),"")</f>
        <v/>
      </c>
      <c r="R1240" s="3">
        <f>IF(ISNUMBER(AVERAGE('20250815_ETF_Options_Exhibits'!R1236:R1240)),AVERAGE('20250815_ETF_Options_Exhibits'!R1236:R1240),"")</f>
        <v/>
      </c>
      <c r="S1240" s="3">
        <f>IF(ISNUMBER(AVERAGE('20250815_ETF_Options_Exhibits'!S1236:S1240)),AVERAGE('20250815_ETF_Options_Exhibits'!S1236:S1240),"")</f>
        <v/>
      </c>
      <c r="T1240" s="3">
        <f>IF(ISNUMBER(AVERAGE('20250815_ETF_Options_Exhibits'!T1236:T1240)),AVERAGE('20250815_ETF_Options_Exhibits'!T1236:T1240),"")</f>
        <v/>
      </c>
      <c r="U1240" s="3">
        <f>IF(ISNUMBER(AVERAGE('20250815_ETF_Options_Exhibits'!U1236:U1240)),AVERAGE('20250815_ETF_Options_Exhibits'!U1236:U1240),"")</f>
        <v/>
      </c>
      <c r="V1240" s="3">
        <f>IF(ISNUMBER(AVERAGE('20250815_ETF_Options_Exhibits'!V1236:V1240)),AVERAGE('20250815_ETF_Options_Exhibits'!V1236:V1240),"")</f>
        <v/>
      </c>
      <c r="W1240" s="3">
        <f>IF(ISNUMBER(AVERAGE('20250815_ETF_Options_Exhibits'!W1236:W1240)),AVERAGE('20250815_ETF_Options_Exhibits'!W1236:W1240),"")</f>
        <v/>
      </c>
      <c r="X1240" s="3">
        <f>IF(ISNUMBER(AVERAGE('20250815_ETF_Options_Exhibits'!X1236:X1240)),AVERAGE('20250815_ETF_Options_Exhibits'!X1236:X1240),"")</f>
        <v/>
      </c>
      <c r="Y1240" s="3">
        <f>IF(ISNUMBER(AVERAGE('20250815_ETF_Options_Exhibits'!Y1236:Y1240)),AVERAGE('20250815_ETF_Options_Exhibits'!Y1236:Y1240),"")</f>
        <v/>
      </c>
      <c r="Z1240" s="3">
        <f>IF(ISNUMBER(AVERAGE('20250815_ETF_Options_Exhibits'!Z1236:Z1240)),AVERAGE('20250815_ETF_Options_Exhibits'!Z1236:Z1240),"")</f>
        <v/>
      </c>
      <c r="AA1240" s="3">
        <f>IF(ISNUMBER(AVERAGE('20250815_ETF_Options_Exhibits'!AA1236:AA1240)),AVERAGE('20250815_ETF_Options_Exhibits'!AA1236:AA1240),"")</f>
        <v/>
      </c>
    </row>
    <row r="1241">
      <c r="A1241" s="1" t="n">
        <v>43802</v>
      </c>
      <c r="B1241" s="3">
        <f>IF(ISNUMBER(AVERAGE('20250815_ETF_Options_Exhibits'!B1237:B1241)),AVERAGE('20250815_ETF_Options_Exhibits'!B1237:B1241),"")</f>
        <v/>
      </c>
      <c r="C1241" s="3">
        <f>IF(ISNUMBER(AVERAGE('20250815_ETF_Options_Exhibits'!C1237:C1241)),AVERAGE('20250815_ETF_Options_Exhibits'!C1237:C1241),"")</f>
        <v/>
      </c>
      <c r="D1241" s="3">
        <f>IF(ISNUMBER(AVERAGE('20250815_ETF_Options_Exhibits'!D1237:D1241)),AVERAGE('20250815_ETF_Options_Exhibits'!D1237:D1241),"")</f>
        <v/>
      </c>
      <c r="E1241" s="3">
        <f>IF(ISNUMBER(AVERAGE('20250815_ETF_Options_Exhibits'!E1237:E1241)),AVERAGE('20250815_ETF_Options_Exhibits'!E1237:E1241),"")</f>
        <v/>
      </c>
      <c r="F1241" s="3">
        <f>IF(ISNUMBER(AVERAGE('20250815_ETF_Options_Exhibits'!F1237:F1241)),AVERAGE('20250815_ETF_Options_Exhibits'!F1237:F1241),"")</f>
        <v/>
      </c>
      <c r="G1241" s="3">
        <f>IF(ISNUMBER(AVERAGE('20250815_ETF_Options_Exhibits'!G1237:G1241)),AVERAGE('20250815_ETF_Options_Exhibits'!G1237:G1241),"")</f>
        <v/>
      </c>
      <c r="H1241" s="3">
        <f>IF(ISNUMBER(AVERAGE('20250815_ETF_Options_Exhibits'!H1237:H1241)),AVERAGE('20250815_ETF_Options_Exhibits'!H1237:H1241),"")</f>
        <v/>
      </c>
      <c r="I1241" s="3">
        <f>IF(ISNUMBER(AVERAGE('20250815_ETF_Options_Exhibits'!I1237:I1241)),AVERAGE('20250815_ETF_Options_Exhibits'!I1237:I1241),"")</f>
        <v/>
      </c>
      <c r="J1241" s="3">
        <f>IF(ISNUMBER(AVERAGE('20250815_ETF_Options_Exhibits'!J1237:J1241)),AVERAGE('20250815_ETF_Options_Exhibits'!J1237:J1241),"")</f>
        <v/>
      </c>
      <c r="K1241" s="3">
        <f>IF(ISNUMBER(AVERAGE('20250815_ETF_Options_Exhibits'!K1237:K1241)),AVERAGE('20250815_ETF_Options_Exhibits'!K1237:K1241),"")</f>
        <v/>
      </c>
      <c r="L1241" s="3">
        <f>IF(ISNUMBER(AVERAGE('20250815_ETF_Options_Exhibits'!L1237:L1241)),AVERAGE('20250815_ETF_Options_Exhibits'!L1237:L1241),"")</f>
        <v/>
      </c>
      <c r="M1241" s="3">
        <f>IF(ISNUMBER(AVERAGE('20250815_ETF_Options_Exhibits'!M1237:M1241)),AVERAGE('20250815_ETF_Options_Exhibits'!M1237:M1241),"")</f>
        <v/>
      </c>
      <c r="N1241" s="3">
        <f>IF(ISNUMBER(AVERAGE('20250815_ETF_Options_Exhibits'!N1237:N1241)),AVERAGE('20250815_ETF_Options_Exhibits'!N1237:N1241),"")</f>
        <v/>
      </c>
      <c r="O1241" s="3">
        <f>IF(ISNUMBER(AVERAGE('20250815_ETF_Options_Exhibits'!O1237:O1241)),AVERAGE('20250815_ETF_Options_Exhibits'!O1237:O1241),"")</f>
        <v/>
      </c>
      <c r="P1241" s="3">
        <f>IF(ISNUMBER(AVERAGE('20250815_ETF_Options_Exhibits'!P1237:P1241)),AVERAGE('20250815_ETF_Options_Exhibits'!P1237:P1241),"")</f>
        <v/>
      </c>
      <c r="Q1241" s="3">
        <f>IF(ISNUMBER(AVERAGE('20250815_ETF_Options_Exhibits'!Q1237:Q1241)),AVERAGE('20250815_ETF_Options_Exhibits'!Q1237:Q1241),"")</f>
        <v/>
      </c>
      <c r="R1241" s="3">
        <f>IF(ISNUMBER(AVERAGE('20250815_ETF_Options_Exhibits'!R1237:R1241)),AVERAGE('20250815_ETF_Options_Exhibits'!R1237:R1241),"")</f>
        <v/>
      </c>
      <c r="S1241" s="3">
        <f>IF(ISNUMBER(AVERAGE('20250815_ETF_Options_Exhibits'!S1237:S1241)),AVERAGE('20250815_ETF_Options_Exhibits'!S1237:S1241),"")</f>
        <v/>
      </c>
      <c r="T1241" s="3">
        <f>IF(ISNUMBER(AVERAGE('20250815_ETF_Options_Exhibits'!T1237:T1241)),AVERAGE('20250815_ETF_Options_Exhibits'!T1237:T1241),"")</f>
        <v/>
      </c>
      <c r="U1241" s="3">
        <f>IF(ISNUMBER(AVERAGE('20250815_ETF_Options_Exhibits'!U1237:U1241)),AVERAGE('20250815_ETF_Options_Exhibits'!U1237:U1241),"")</f>
        <v/>
      </c>
      <c r="V1241" s="3">
        <f>IF(ISNUMBER(AVERAGE('20250815_ETF_Options_Exhibits'!V1237:V1241)),AVERAGE('20250815_ETF_Options_Exhibits'!V1237:V1241),"")</f>
        <v/>
      </c>
      <c r="W1241" s="3">
        <f>IF(ISNUMBER(AVERAGE('20250815_ETF_Options_Exhibits'!W1237:W1241)),AVERAGE('20250815_ETF_Options_Exhibits'!W1237:W1241),"")</f>
        <v/>
      </c>
      <c r="X1241" s="3">
        <f>IF(ISNUMBER(AVERAGE('20250815_ETF_Options_Exhibits'!X1237:X1241)),AVERAGE('20250815_ETF_Options_Exhibits'!X1237:X1241),"")</f>
        <v/>
      </c>
      <c r="Y1241" s="3">
        <f>IF(ISNUMBER(AVERAGE('20250815_ETF_Options_Exhibits'!Y1237:Y1241)),AVERAGE('20250815_ETF_Options_Exhibits'!Y1237:Y1241),"")</f>
        <v/>
      </c>
      <c r="Z1241" s="3">
        <f>IF(ISNUMBER(AVERAGE('20250815_ETF_Options_Exhibits'!Z1237:Z1241)),AVERAGE('20250815_ETF_Options_Exhibits'!Z1237:Z1241),"")</f>
        <v/>
      </c>
      <c r="AA1241" s="3">
        <f>IF(ISNUMBER(AVERAGE('20250815_ETF_Options_Exhibits'!AA1237:AA1241)),AVERAGE('20250815_ETF_Options_Exhibits'!AA1237:AA1241),"")</f>
        <v/>
      </c>
    </row>
    <row r="1242">
      <c r="A1242" s="1" t="n">
        <v>43803</v>
      </c>
      <c r="B1242" s="3">
        <f>IF(ISNUMBER(AVERAGE('20250815_ETF_Options_Exhibits'!B1238:B1242)),AVERAGE('20250815_ETF_Options_Exhibits'!B1238:B1242),"")</f>
        <v/>
      </c>
      <c r="C1242" s="3">
        <f>IF(ISNUMBER(AVERAGE('20250815_ETF_Options_Exhibits'!C1238:C1242)),AVERAGE('20250815_ETF_Options_Exhibits'!C1238:C1242),"")</f>
        <v/>
      </c>
      <c r="D1242" s="3">
        <f>IF(ISNUMBER(AVERAGE('20250815_ETF_Options_Exhibits'!D1238:D1242)),AVERAGE('20250815_ETF_Options_Exhibits'!D1238:D1242),"")</f>
        <v/>
      </c>
      <c r="E1242" s="3">
        <f>IF(ISNUMBER(AVERAGE('20250815_ETF_Options_Exhibits'!E1238:E1242)),AVERAGE('20250815_ETF_Options_Exhibits'!E1238:E1242),"")</f>
        <v/>
      </c>
      <c r="F1242" s="3">
        <f>IF(ISNUMBER(AVERAGE('20250815_ETF_Options_Exhibits'!F1238:F1242)),AVERAGE('20250815_ETF_Options_Exhibits'!F1238:F1242),"")</f>
        <v/>
      </c>
      <c r="G1242" s="3">
        <f>IF(ISNUMBER(AVERAGE('20250815_ETF_Options_Exhibits'!G1238:G1242)),AVERAGE('20250815_ETF_Options_Exhibits'!G1238:G1242),"")</f>
        <v/>
      </c>
      <c r="H1242" s="3">
        <f>IF(ISNUMBER(AVERAGE('20250815_ETF_Options_Exhibits'!H1238:H1242)),AVERAGE('20250815_ETF_Options_Exhibits'!H1238:H1242),"")</f>
        <v/>
      </c>
      <c r="I1242" s="3">
        <f>IF(ISNUMBER(AVERAGE('20250815_ETF_Options_Exhibits'!I1238:I1242)),AVERAGE('20250815_ETF_Options_Exhibits'!I1238:I1242),"")</f>
        <v/>
      </c>
      <c r="J1242" s="3">
        <f>IF(ISNUMBER(AVERAGE('20250815_ETF_Options_Exhibits'!J1238:J1242)),AVERAGE('20250815_ETF_Options_Exhibits'!J1238:J1242),"")</f>
        <v/>
      </c>
      <c r="K1242" s="3">
        <f>IF(ISNUMBER(AVERAGE('20250815_ETF_Options_Exhibits'!K1238:K1242)),AVERAGE('20250815_ETF_Options_Exhibits'!K1238:K1242),"")</f>
        <v/>
      </c>
      <c r="L1242" s="3">
        <f>IF(ISNUMBER(AVERAGE('20250815_ETF_Options_Exhibits'!L1238:L1242)),AVERAGE('20250815_ETF_Options_Exhibits'!L1238:L1242),"")</f>
        <v/>
      </c>
      <c r="M1242" s="3">
        <f>IF(ISNUMBER(AVERAGE('20250815_ETF_Options_Exhibits'!M1238:M1242)),AVERAGE('20250815_ETF_Options_Exhibits'!M1238:M1242),"")</f>
        <v/>
      </c>
      <c r="N1242" s="3">
        <f>IF(ISNUMBER(AVERAGE('20250815_ETF_Options_Exhibits'!N1238:N1242)),AVERAGE('20250815_ETF_Options_Exhibits'!N1238:N1242),"")</f>
        <v/>
      </c>
      <c r="O1242" s="3">
        <f>IF(ISNUMBER(AVERAGE('20250815_ETF_Options_Exhibits'!O1238:O1242)),AVERAGE('20250815_ETF_Options_Exhibits'!O1238:O1242),"")</f>
        <v/>
      </c>
      <c r="P1242" s="3">
        <f>IF(ISNUMBER(AVERAGE('20250815_ETF_Options_Exhibits'!P1238:P1242)),AVERAGE('20250815_ETF_Options_Exhibits'!P1238:P1242),"")</f>
        <v/>
      </c>
      <c r="Q1242" s="3">
        <f>IF(ISNUMBER(AVERAGE('20250815_ETF_Options_Exhibits'!Q1238:Q1242)),AVERAGE('20250815_ETF_Options_Exhibits'!Q1238:Q1242),"")</f>
        <v/>
      </c>
      <c r="R1242" s="3">
        <f>IF(ISNUMBER(AVERAGE('20250815_ETF_Options_Exhibits'!R1238:R1242)),AVERAGE('20250815_ETF_Options_Exhibits'!R1238:R1242),"")</f>
        <v/>
      </c>
      <c r="S1242" s="3">
        <f>IF(ISNUMBER(AVERAGE('20250815_ETF_Options_Exhibits'!S1238:S1242)),AVERAGE('20250815_ETF_Options_Exhibits'!S1238:S1242),"")</f>
        <v/>
      </c>
      <c r="T1242" s="3">
        <f>IF(ISNUMBER(AVERAGE('20250815_ETF_Options_Exhibits'!T1238:T1242)),AVERAGE('20250815_ETF_Options_Exhibits'!T1238:T1242),"")</f>
        <v/>
      </c>
      <c r="U1242" s="3">
        <f>IF(ISNUMBER(AVERAGE('20250815_ETF_Options_Exhibits'!U1238:U1242)),AVERAGE('20250815_ETF_Options_Exhibits'!U1238:U1242),"")</f>
        <v/>
      </c>
      <c r="V1242" s="3">
        <f>IF(ISNUMBER(AVERAGE('20250815_ETF_Options_Exhibits'!V1238:V1242)),AVERAGE('20250815_ETF_Options_Exhibits'!V1238:V1242),"")</f>
        <v/>
      </c>
      <c r="W1242" s="3">
        <f>IF(ISNUMBER(AVERAGE('20250815_ETF_Options_Exhibits'!W1238:W1242)),AVERAGE('20250815_ETF_Options_Exhibits'!W1238:W1242),"")</f>
        <v/>
      </c>
      <c r="X1242" s="3">
        <f>IF(ISNUMBER(AVERAGE('20250815_ETF_Options_Exhibits'!X1238:X1242)),AVERAGE('20250815_ETF_Options_Exhibits'!X1238:X1242),"")</f>
        <v/>
      </c>
      <c r="Y1242" s="3">
        <f>IF(ISNUMBER(AVERAGE('20250815_ETF_Options_Exhibits'!Y1238:Y1242)),AVERAGE('20250815_ETF_Options_Exhibits'!Y1238:Y1242),"")</f>
        <v/>
      </c>
      <c r="Z1242" s="3">
        <f>IF(ISNUMBER(AVERAGE('20250815_ETF_Options_Exhibits'!Z1238:Z1242)),AVERAGE('20250815_ETF_Options_Exhibits'!Z1238:Z1242),"")</f>
        <v/>
      </c>
      <c r="AA1242" s="3">
        <f>IF(ISNUMBER(AVERAGE('20250815_ETF_Options_Exhibits'!AA1238:AA1242)),AVERAGE('20250815_ETF_Options_Exhibits'!AA1238:AA1242),"")</f>
        <v/>
      </c>
    </row>
    <row r="1243">
      <c r="A1243" s="1" t="n">
        <v>43804</v>
      </c>
      <c r="B1243" s="3">
        <f>IF(ISNUMBER(AVERAGE('20250815_ETF_Options_Exhibits'!B1239:B1243)),AVERAGE('20250815_ETF_Options_Exhibits'!B1239:B1243),"")</f>
        <v/>
      </c>
      <c r="C1243" s="3">
        <f>IF(ISNUMBER(AVERAGE('20250815_ETF_Options_Exhibits'!C1239:C1243)),AVERAGE('20250815_ETF_Options_Exhibits'!C1239:C1243),"")</f>
        <v/>
      </c>
      <c r="D1243" s="3">
        <f>IF(ISNUMBER(AVERAGE('20250815_ETF_Options_Exhibits'!D1239:D1243)),AVERAGE('20250815_ETF_Options_Exhibits'!D1239:D1243),"")</f>
        <v/>
      </c>
      <c r="E1243" s="3">
        <f>IF(ISNUMBER(AVERAGE('20250815_ETF_Options_Exhibits'!E1239:E1243)),AVERAGE('20250815_ETF_Options_Exhibits'!E1239:E1243),"")</f>
        <v/>
      </c>
      <c r="F1243" s="3">
        <f>IF(ISNUMBER(AVERAGE('20250815_ETF_Options_Exhibits'!F1239:F1243)),AVERAGE('20250815_ETF_Options_Exhibits'!F1239:F1243),"")</f>
        <v/>
      </c>
      <c r="G1243" s="3">
        <f>IF(ISNUMBER(AVERAGE('20250815_ETF_Options_Exhibits'!G1239:G1243)),AVERAGE('20250815_ETF_Options_Exhibits'!G1239:G1243),"")</f>
        <v/>
      </c>
      <c r="H1243" s="3">
        <f>IF(ISNUMBER(AVERAGE('20250815_ETF_Options_Exhibits'!H1239:H1243)),AVERAGE('20250815_ETF_Options_Exhibits'!H1239:H1243),"")</f>
        <v/>
      </c>
      <c r="I1243" s="3">
        <f>IF(ISNUMBER(AVERAGE('20250815_ETF_Options_Exhibits'!I1239:I1243)),AVERAGE('20250815_ETF_Options_Exhibits'!I1239:I1243),"")</f>
        <v/>
      </c>
      <c r="J1243" s="3">
        <f>IF(ISNUMBER(AVERAGE('20250815_ETF_Options_Exhibits'!J1239:J1243)),AVERAGE('20250815_ETF_Options_Exhibits'!J1239:J1243),"")</f>
        <v/>
      </c>
      <c r="K1243" s="3">
        <f>IF(ISNUMBER(AVERAGE('20250815_ETF_Options_Exhibits'!K1239:K1243)),AVERAGE('20250815_ETF_Options_Exhibits'!K1239:K1243),"")</f>
        <v/>
      </c>
      <c r="L1243" s="3">
        <f>IF(ISNUMBER(AVERAGE('20250815_ETF_Options_Exhibits'!L1239:L1243)),AVERAGE('20250815_ETF_Options_Exhibits'!L1239:L1243),"")</f>
        <v/>
      </c>
      <c r="M1243" s="3">
        <f>IF(ISNUMBER(AVERAGE('20250815_ETF_Options_Exhibits'!M1239:M1243)),AVERAGE('20250815_ETF_Options_Exhibits'!M1239:M1243),"")</f>
        <v/>
      </c>
      <c r="N1243" s="3">
        <f>IF(ISNUMBER(AVERAGE('20250815_ETF_Options_Exhibits'!N1239:N1243)),AVERAGE('20250815_ETF_Options_Exhibits'!N1239:N1243),"")</f>
        <v/>
      </c>
      <c r="O1243" s="3">
        <f>IF(ISNUMBER(AVERAGE('20250815_ETF_Options_Exhibits'!O1239:O1243)),AVERAGE('20250815_ETF_Options_Exhibits'!O1239:O1243),"")</f>
        <v/>
      </c>
      <c r="P1243" s="3">
        <f>IF(ISNUMBER(AVERAGE('20250815_ETF_Options_Exhibits'!P1239:P1243)),AVERAGE('20250815_ETF_Options_Exhibits'!P1239:P1243),"")</f>
        <v/>
      </c>
      <c r="Q1243" s="3">
        <f>IF(ISNUMBER(AVERAGE('20250815_ETF_Options_Exhibits'!Q1239:Q1243)),AVERAGE('20250815_ETF_Options_Exhibits'!Q1239:Q1243),"")</f>
        <v/>
      </c>
      <c r="R1243" s="3">
        <f>IF(ISNUMBER(AVERAGE('20250815_ETF_Options_Exhibits'!R1239:R1243)),AVERAGE('20250815_ETF_Options_Exhibits'!R1239:R1243),"")</f>
        <v/>
      </c>
      <c r="S1243" s="3">
        <f>IF(ISNUMBER(AVERAGE('20250815_ETF_Options_Exhibits'!S1239:S1243)),AVERAGE('20250815_ETF_Options_Exhibits'!S1239:S1243),"")</f>
        <v/>
      </c>
      <c r="T1243" s="3">
        <f>IF(ISNUMBER(AVERAGE('20250815_ETF_Options_Exhibits'!T1239:T1243)),AVERAGE('20250815_ETF_Options_Exhibits'!T1239:T1243),"")</f>
        <v/>
      </c>
      <c r="U1243" s="3">
        <f>IF(ISNUMBER(AVERAGE('20250815_ETF_Options_Exhibits'!U1239:U1243)),AVERAGE('20250815_ETF_Options_Exhibits'!U1239:U1243),"")</f>
        <v/>
      </c>
      <c r="V1243" s="3">
        <f>IF(ISNUMBER(AVERAGE('20250815_ETF_Options_Exhibits'!V1239:V1243)),AVERAGE('20250815_ETF_Options_Exhibits'!V1239:V1243),"")</f>
        <v/>
      </c>
      <c r="W1243" s="3">
        <f>IF(ISNUMBER(AVERAGE('20250815_ETF_Options_Exhibits'!W1239:W1243)),AVERAGE('20250815_ETF_Options_Exhibits'!W1239:W1243),"")</f>
        <v/>
      </c>
      <c r="X1243" s="3">
        <f>IF(ISNUMBER(AVERAGE('20250815_ETF_Options_Exhibits'!X1239:X1243)),AVERAGE('20250815_ETF_Options_Exhibits'!X1239:X1243),"")</f>
        <v/>
      </c>
      <c r="Y1243" s="3">
        <f>IF(ISNUMBER(AVERAGE('20250815_ETF_Options_Exhibits'!Y1239:Y1243)),AVERAGE('20250815_ETF_Options_Exhibits'!Y1239:Y1243),"")</f>
        <v/>
      </c>
      <c r="Z1243" s="3">
        <f>IF(ISNUMBER(AVERAGE('20250815_ETF_Options_Exhibits'!Z1239:Z1243)),AVERAGE('20250815_ETF_Options_Exhibits'!Z1239:Z1243),"")</f>
        <v/>
      </c>
      <c r="AA1243" s="3">
        <f>IF(ISNUMBER(AVERAGE('20250815_ETF_Options_Exhibits'!AA1239:AA1243)),AVERAGE('20250815_ETF_Options_Exhibits'!AA1239:AA1243),"")</f>
        <v/>
      </c>
    </row>
    <row r="1244">
      <c r="A1244" s="1" t="n">
        <v>43805</v>
      </c>
      <c r="B1244" s="3">
        <f>IF(ISNUMBER(AVERAGE('20250815_ETF_Options_Exhibits'!B1240:B1244)),AVERAGE('20250815_ETF_Options_Exhibits'!B1240:B1244),"")</f>
        <v/>
      </c>
      <c r="C1244" s="3">
        <f>IF(ISNUMBER(AVERAGE('20250815_ETF_Options_Exhibits'!C1240:C1244)),AVERAGE('20250815_ETF_Options_Exhibits'!C1240:C1244),"")</f>
        <v/>
      </c>
      <c r="D1244" s="3">
        <f>IF(ISNUMBER(AVERAGE('20250815_ETF_Options_Exhibits'!D1240:D1244)),AVERAGE('20250815_ETF_Options_Exhibits'!D1240:D1244),"")</f>
        <v/>
      </c>
      <c r="E1244" s="3">
        <f>IF(ISNUMBER(AVERAGE('20250815_ETF_Options_Exhibits'!E1240:E1244)),AVERAGE('20250815_ETF_Options_Exhibits'!E1240:E1244),"")</f>
        <v/>
      </c>
      <c r="F1244" s="3">
        <f>IF(ISNUMBER(AVERAGE('20250815_ETF_Options_Exhibits'!F1240:F1244)),AVERAGE('20250815_ETF_Options_Exhibits'!F1240:F1244),"")</f>
        <v/>
      </c>
      <c r="G1244" s="3">
        <f>IF(ISNUMBER(AVERAGE('20250815_ETF_Options_Exhibits'!G1240:G1244)),AVERAGE('20250815_ETF_Options_Exhibits'!G1240:G1244),"")</f>
        <v/>
      </c>
      <c r="H1244" s="3">
        <f>IF(ISNUMBER(AVERAGE('20250815_ETF_Options_Exhibits'!H1240:H1244)),AVERAGE('20250815_ETF_Options_Exhibits'!H1240:H1244),"")</f>
        <v/>
      </c>
      <c r="I1244" s="3">
        <f>IF(ISNUMBER(AVERAGE('20250815_ETF_Options_Exhibits'!I1240:I1244)),AVERAGE('20250815_ETF_Options_Exhibits'!I1240:I1244),"")</f>
        <v/>
      </c>
      <c r="J1244" s="3">
        <f>IF(ISNUMBER(AVERAGE('20250815_ETF_Options_Exhibits'!J1240:J1244)),AVERAGE('20250815_ETF_Options_Exhibits'!J1240:J1244),"")</f>
        <v/>
      </c>
      <c r="K1244" s="3">
        <f>IF(ISNUMBER(AVERAGE('20250815_ETF_Options_Exhibits'!K1240:K1244)),AVERAGE('20250815_ETF_Options_Exhibits'!K1240:K1244),"")</f>
        <v/>
      </c>
      <c r="L1244" s="3">
        <f>IF(ISNUMBER(AVERAGE('20250815_ETF_Options_Exhibits'!L1240:L1244)),AVERAGE('20250815_ETF_Options_Exhibits'!L1240:L1244),"")</f>
        <v/>
      </c>
      <c r="M1244" s="3">
        <f>IF(ISNUMBER(AVERAGE('20250815_ETF_Options_Exhibits'!M1240:M1244)),AVERAGE('20250815_ETF_Options_Exhibits'!M1240:M1244),"")</f>
        <v/>
      </c>
      <c r="N1244" s="3">
        <f>IF(ISNUMBER(AVERAGE('20250815_ETF_Options_Exhibits'!N1240:N1244)),AVERAGE('20250815_ETF_Options_Exhibits'!N1240:N1244),"")</f>
        <v/>
      </c>
      <c r="O1244" s="3">
        <f>IF(ISNUMBER(AVERAGE('20250815_ETF_Options_Exhibits'!O1240:O1244)),AVERAGE('20250815_ETF_Options_Exhibits'!O1240:O1244),"")</f>
        <v/>
      </c>
      <c r="P1244" s="3">
        <f>IF(ISNUMBER(AVERAGE('20250815_ETF_Options_Exhibits'!P1240:P1244)),AVERAGE('20250815_ETF_Options_Exhibits'!P1240:P1244),"")</f>
        <v/>
      </c>
      <c r="Q1244" s="3">
        <f>IF(ISNUMBER(AVERAGE('20250815_ETF_Options_Exhibits'!Q1240:Q1244)),AVERAGE('20250815_ETF_Options_Exhibits'!Q1240:Q1244),"")</f>
        <v/>
      </c>
      <c r="R1244" s="3">
        <f>IF(ISNUMBER(AVERAGE('20250815_ETF_Options_Exhibits'!R1240:R1244)),AVERAGE('20250815_ETF_Options_Exhibits'!R1240:R1244),"")</f>
        <v/>
      </c>
      <c r="S1244" s="3">
        <f>IF(ISNUMBER(AVERAGE('20250815_ETF_Options_Exhibits'!S1240:S1244)),AVERAGE('20250815_ETF_Options_Exhibits'!S1240:S1244),"")</f>
        <v/>
      </c>
      <c r="T1244" s="3">
        <f>IF(ISNUMBER(AVERAGE('20250815_ETF_Options_Exhibits'!T1240:T1244)),AVERAGE('20250815_ETF_Options_Exhibits'!T1240:T1244),"")</f>
        <v/>
      </c>
      <c r="U1244" s="3">
        <f>IF(ISNUMBER(AVERAGE('20250815_ETF_Options_Exhibits'!U1240:U1244)),AVERAGE('20250815_ETF_Options_Exhibits'!U1240:U1244),"")</f>
        <v/>
      </c>
      <c r="V1244" s="3">
        <f>IF(ISNUMBER(AVERAGE('20250815_ETF_Options_Exhibits'!V1240:V1244)),AVERAGE('20250815_ETF_Options_Exhibits'!V1240:V1244),"")</f>
        <v/>
      </c>
      <c r="W1244" s="3">
        <f>IF(ISNUMBER(AVERAGE('20250815_ETF_Options_Exhibits'!W1240:W1244)),AVERAGE('20250815_ETF_Options_Exhibits'!W1240:W1244),"")</f>
        <v/>
      </c>
      <c r="X1244" s="3">
        <f>IF(ISNUMBER(AVERAGE('20250815_ETF_Options_Exhibits'!X1240:X1244)),AVERAGE('20250815_ETF_Options_Exhibits'!X1240:X1244),"")</f>
        <v/>
      </c>
      <c r="Y1244" s="3">
        <f>IF(ISNUMBER(AVERAGE('20250815_ETF_Options_Exhibits'!Y1240:Y1244)),AVERAGE('20250815_ETF_Options_Exhibits'!Y1240:Y1244),"")</f>
        <v/>
      </c>
      <c r="Z1244" s="3">
        <f>IF(ISNUMBER(AVERAGE('20250815_ETF_Options_Exhibits'!Z1240:Z1244)),AVERAGE('20250815_ETF_Options_Exhibits'!Z1240:Z1244),"")</f>
        <v/>
      </c>
      <c r="AA1244" s="3">
        <f>IF(ISNUMBER(AVERAGE('20250815_ETF_Options_Exhibits'!AA1240:AA1244)),AVERAGE('20250815_ETF_Options_Exhibits'!AA1240:AA1244),"")</f>
        <v/>
      </c>
    </row>
    <row r="1245">
      <c r="A1245" s="1" t="n">
        <v>43808</v>
      </c>
      <c r="B1245" s="3">
        <f>IF(ISNUMBER(AVERAGE('20250815_ETF_Options_Exhibits'!B1241:B1245)),AVERAGE('20250815_ETF_Options_Exhibits'!B1241:B1245),"")</f>
        <v/>
      </c>
      <c r="C1245" s="3">
        <f>IF(ISNUMBER(AVERAGE('20250815_ETF_Options_Exhibits'!C1241:C1245)),AVERAGE('20250815_ETF_Options_Exhibits'!C1241:C1245),"")</f>
        <v/>
      </c>
      <c r="D1245" s="3">
        <f>IF(ISNUMBER(AVERAGE('20250815_ETF_Options_Exhibits'!D1241:D1245)),AVERAGE('20250815_ETF_Options_Exhibits'!D1241:D1245),"")</f>
        <v/>
      </c>
      <c r="E1245" s="3">
        <f>IF(ISNUMBER(AVERAGE('20250815_ETF_Options_Exhibits'!E1241:E1245)),AVERAGE('20250815_ETF_Options_Exhibits'!E1241:E1245),"")</f>
        <v/>
      </c>
      <c r="F1245" s="3">
        <f>IF(ISNUMBER(AVERAGE('20250815_ETF_Options_Exhibits'!F1241:F1245)),AVERAGE('20250815_ETF_Options_Exhibits'!F1241:F1245),"")</f>
        <v/>
      </c>
      <c r="G1245" s="3">
        <f>IF(ISNUMBER(AVERAGE('20250815_ETF_Options_Exhibits'!G1241:G1245)),AVERAGE('20250815_ETF_Options_Exhibits'!G1241:G1245),"")</f>
        <v/>
      </c>
      <c r="H1245" s="3">
        <f>IF(ISNUMBER(AVERAGE('20250815_ETF_Options_Exhibits'!H1241:H1245)),AVERAGE('20250815_ETF_Options_Exhibits'!H1241:H1245),"")</f>
        <v/>
      </c>
      <c r="I1245" s="3">
        <f>IF(ISNUMBER(AVERAGE('20250815_ETF_Options_Exhibits'!I1241:I1245)),AVERAGE('20250815_ETF_Options_Exhibits'!I1241:I1245),"")</f>
        <v/>
      </c>
      <c r="J1245" s="3">
        <f>IF(ISNUMBER(AVERAGE('20250815_ETF_Options_Exhibits'!J1241:J1245)),AVERAGE('20250815_ETF_Options_Exhibits'!J1241:J1245),"")</f>
        <v/>
      </c>
      <c r="K1245" s="3">
        <f>IF(ISNUMBER(AVERAGE('20250815_ETF_Options_Exhibits'!K1241:K1245)),AVERAGE('20250815_ETF_Options_Exhibits'!K1241:K1245),"")</f>
        <v/>
      </c>
      <c r="L1245" s="3">
        <f>IF(ISNUMBER(AVERAGE('20250815_ETF_Options_Exhibits'!L1241:L1245)),AVERAGE('20250815_ETF_Options_Exhibits'!L1241:L1245),"")</f>
        <v/>
      </c>
      <c r="M1245" s="3">
        <f>IF(ISNUMBER(AVERAGE('20250815_ETF_Options_Exhibits'!M1241:M1245)),AVERAGE('20250815_ETF_Options_Exhibits'!M1241:M1245),"")</f>
        <v/>
      </c>
      <c r="N1245" s="3">
        <f>IF(ISNUMBER(AVERAGE('20250815_ETF_Options_Exhibits'!N1241:N1245)),AVERAGE('20250815_ETF_Options_Exhibits'!N1241:N1245),"")</f>
        <v/>
      </c>
      <c r="O1245" s="3">
        <f>IF(ISNUMBER(AVERAGE('20250815_ETF_Options_Exhibits'!O1241:O1245)),AVERAGE('20250815_ETF_Options_Exhibits'!O1241:O1245),"")</f>
        <v/>
      </c>
      <c r="P1245" s="3">
        <f>IF(ISNUMBER(AVERAGE('20250815_ETF_Options_Exhibits'!P1241:P1245)),AVERAGE('20250815_ETF_Options_Exhibits'!P1241:P1245),"")</f>
        <v/>
      </c>
      <c r="Q1245" s="3">
        <f>IF(ISNUMBER(AVERAGE('20250815_ETF_Options_Exhibits'!Q1241:Q1245)),AVERAGE('20250815_ETF_Options_Exhibits'!Q1241:Q1245),"")</f>
        <v/>
      </c>
      <c r="R1245" s="3">
        <f>IF(ISNUMBER(AVERAGE('20250815_ETF_Options_Exhibits'!R1241:R1245)),AVERAGE('20250815_ETF_Options_Exhibits'!R1241:R1245),"")</f>
        <v/>
      </c>
      <c r="S1245" s="3">
        <f>IF(ISNUMBER(AVERAGE('20250815_ETF_Options_Exhibits'!S1241:S1245)),AVERAGE('20250815_ETF_Options_Exhibits'!S1241:S1245),"")</f>
        <v/>
      </c>
      <c r="T1245" s="3">
        <f>IF(ISNUMBER(AVERAGE('20250815_ETF_Options_Exhibits'!T1241:T1245)),AVERAGE('20250815_ETF_Options_Exhibits'!T1241:T1245),"")</f>
        <v/>
      </c>
      <c r="U1245" s="3">
        <f>IF(ISNUMBER(AVERAGE('20250815_ETF_Options_Exhibits'!U1241:U1245)),AVERAGE('20250815_ETF_Options_Exhibits'!U1241:U1245),"")</f>
        <v/>
      </c>
      <c r="V1245" s="3">
        <f>IF(ISNUMBER(AVERAGE('20250815_ETF_Options_Exhibits'!V1241:V1245)),AVERAGE('20250815_ETF_Options_Exhibits'!V1241:V1245),"")</f>
        <v/>
      </c>
      <c r="W1245" s="3">
        <f>IF(ISNUMBER(AVERAGE('20250815_ETF_Options_Exhibits'!W1241:W1245)),AVERAGE('20250815_ETF_Options_Exhibits'!W1241:W1245),"")</f>
        <v/>
      </c>
      <c r="X1245" s="3">
        <f>IF(ISNUMBER(AVERAGE('20250815_ETF_Options_Exhibits'!X1241:X1245)),AVERAGE('20250815_ETF_Options_Exhibits'!X1241:X1245),"")</f>
        <v/>
      </c>
      <c r="Y1245" s="3">
        <f>IF(ISNUMBER(AVERAGE('20250815_ETF_Options_Exhibits'!Y1241:Y1245)),AVERAGE('20250815_ETF_Options_Exhibits'!Y1241:Y1245),"")</f>
        <v/>
      </c>
      <c r="Z1245" s="3">
        <f>IF(ISNUMBER(AVERAGE('20250815_ETF_Options_Exhibits'!Z1241:Z1245)),AVERAGE('20250815_ETF_Options_Exhibits'!Z1241:Z1245),"")</f>
        <v/>
      </c>
      <c r="AA1245" s="3">
        <f>IF(ISNUMBER(AVERAGE('20250815_ETF_Options_Exhibits'!AA1241:AA1245)),AVERAGE('20250815_ETF_Options_Exhibits'!AA1241:AA1245),"")</f>
        <v/>
      </c>
    </row>
    <row r="1246">
      <c r="A1246" s="1" t="n">
        <v>43809</v>
      </c>
      <c r="B1246" s="3">
        <f>IF(ISNUMBER(AVERAGE('20250815_ETF_Options_Exhibits'!B1242:B1246)),AVERAGE('20250815_ETF_Options_Exhibits'!B1242:B1246),"")</f>
        <v/>
      </c>
      <c r="C1246" s="3">
        <f>IF(ISNUMBER(AVERAGE('20250815_ETF_Options_Exhibits'!C1242:C1246)),AVERAGE('20250815_ETF_Options_Exhibits'!C1242:C1246),"")</f>
        <v/>
      </c>
      <c r="D1246" s="3">
        <f>IF(ISNUMBER(AVERAGE('20250815_ETF_Options_Exhibits'!D1242:D1246)),AVERAGE('20250815_ETF_Options_Exhibits'!D1242:D1246),"")</f>
        <v/>
      </c>
      <c r="E1246" s="3">
        <f>IF(ISNUMBER(AVERAGE('20250815_ETF_Options_Exhibits'!E1242:E1246)),AVERAGE('20250815_ETF_Options_Exhibits'!E1242:E1246),"")</f>
        <v/>
      </c>
      <c r="F1246" s="3">
        <f>IF(ISNUMBER(AVERAGE('20250815_ETF_Options_Exhibits'!F1242:F1246)),AVERAGE('20250815_ETF_Options_Exhibits'!F1242:F1246),"")</f>
        <v/>
      </c>
      <c r="G1246" s="3">
        <f>IF(ISNUMBER(AVERAGE('20250815_ETF_Options_Exhibits'!G1242:G1246)),AVERAGE('20250815_ETF_Options_Exhibits'!G1242:G1246),"")</f>
        <v/>
      </c>
      <c r="H1246" s="3">
        <f>IF(ISNUMBER(AVERAGE('20250815_ETF_Options_Exhibits'!H1242:H1246)),AVERAGE('20250815_ETF_Options_Exhibits'!H1242:H1246),"")</f>
        <v/>
      </c>
      <c r="I1246" s="3">
        <f>IF(ISNUMBER(AVERAGE('20250815_ETF_Options_Exhibits'!I1242:I1246)),AVERAGE('20250815_ETF_Options_Exhibits'!I1242:I1246),"")</f>
        <v/>
      </c>
      <c r="J1246" s="3">
        <f>IF(ISNUMBER(AVERAGE('20250815_ETF_Options_Exhibits'!J1242:J1246)),AVERAGE('20250815_ETF_Options_Exhibits'!J1242:J1246),"")</f>
        <v/>
      </c>
      <c r="K1246" s="3">
        <f>IF(ISNUMBER(AVERAGE('20250815_ETF_Options_Exhibits'!K1242:K1246)),AVERAGE('20250815_ETF_Options_Exhibits'!K1242:K1246),"")</f>
        <v/>
      </c>
      <c r="L1246" s="3">
        <f>IF(ISNUMBER(AVERAGE('20250815_ETF_Options_Exhibits'!L1242:L1246)),AVERAGE('20250815_ETF_Options_Exhibits'!L1242:L1246),"")</f>
        <v/>
      </c>
      <c r="M1246" s="3">
        <f>IF(ISNUMBER(AVERAGE('20250815_ETF_Options_Exhibits'!M1242:M1246)),AVERAGE('20250815_ETF_Options_Exhibits'!M1242:M1246),"")</f>
        <v/>
      </c>
      <c r="N1246" s="3">
        <f>IF(ISNUMBER(AVERAGE('20250815_ETF_Options_Exhibits'!N1242:N1246)),AVERAGE('20250815_ETF_Options_Exhibits'!N1242:N1246),"")</f>
        <v/>
      </c>
      <c r="O1246" s="3">
        <f>IF(ISNUMBER(AVERAGE('20250815_ETF_Options_Exhibits'!O1242:O1246)),AVERAGE('20250815_ETF_Options_Exhibits'!O1242:O1246),"")</f>
        <v/>
      </c>
      <c r="P1246" s="3">
        <f>IF(ISNUMBER(AVERAGE('20250815_ETF_Options_Exhibits'!P1242:P1246)),AVERAGE('20250815_ETF_Options_Exhibits'!P1242:P1246),"")</f>
        <v/>
      </c>
      <c r="Q1246" s="3">
        <f>IF(ISNUMBER(AVERAGE('20250815_ETF_Options_Exhibits'!Q1242:Q1246)),AVERAGE('20250815_ETF_Options_Exhibits'!Q1242:Q1246),"")</f>
        <v/>
      </c>
      <c r="R1246" s="3">
        <f>IF(ISNUMBER(AVERAGE('20250815_ETF_Options_Exhibits'!R1242:R1246)),AVERAGE('20250815_ETF_Options_Exhibits'!R1242:R1246),"")</f>
        <v/>
      </c>
      <c r="S1246" s="3">
        <f>IF(ISNUMBER(AVERAGE('20250815_ETF_Options_Exhibits'!S1242:S1246)),AVERAGE('20250815_ETF_Options_Exhibits'!S1242:S1246),"")</f>
        <v/>
      </c>
      <c r="T1246" s="3">
        <f>IF(ISNUMBER(AVERAGE('20250815_ETF_Options_Exhibits'!T1242:T1246)),AVERAGE('20250815_ETF_Options_Exhibits'!T1242:T1246),"")</f>
        <v/>
      </c>
      <c r="U1246" s="3">
        <f>IF(ISNUMBER(AVERAGE('20250815_ETF_Options_Exhibits'!U1242:U1246)),AVERAGE('20250815_ETF_Options_Exhibits'!U1242:U1246),"")</f>
        <v/>
      </c>
      <c r="V1246" s="3">
        <f>IF(ISNUMBER(AVERAGE('20250815_ETF_Options_Exhibits'!V1242:V1246)),AVERAGE('20250815_ETF_Options_Exhibits'!V1242:V1246),"")</f>
        <v/>
      </c>
      <c r="W1246" s="3">
        <f>IF(ISNUMBER(AVERAGE('20250815_ETF_Options_Exhibits'!W1242:W1246)),AVERAGE('20250815_ETF_Options_Exhibits'!W1242:W1246),"")</f>
        <v/>
      </c>
      <c r="X1246" s="3">
        <f>IF(ISNUMBER(AVERAGE('20250815_ETF_Options_Exhibits'!X1242:X1246)),AVERAGE('20250815_ETF_Options_Exhibits'!X1242:X1246),"")</f>
        <v/>
      </c>
      <c r="Y1246" s="3">
        <f>IF(ISNUMBER(AVERAGE('20250815_ETF_Options_Exhibits'!Y1242:Y1246)),AVERAGE('20250815_ETF_Options_Exhibits'!Y1242:Y1246),"")</f>
        <v/>
      </c>
      <c r="Z1246" s="3">
        <f>IF(ISNUMBER(AVERAGE('20250815_ETF_Options_Exhibits'!Z1242:Z1246)),AVERAGE('20250815_ETF_Options_Exhibits'!Z1242:Z1246),"")</f>
        <v/>
      </c>
      <c r="AA1246" s="3">
        <f>IF(ISNUMBER(AVERAGE('20250815_ETF_Options_Exhibits'!AA1242:AA1246)),AVERAGE('20250815_ETF_Options_Exhibits'!AA1242:AA1246),"")</f>
        <v/>
      </c>
    </row>
    <row r="1247">
      <c r="A1247" s="1" t="n">
        <v>43810</v>
      </c>
      <c r="B1247" s="3">
        <f>IF(ISNUMBER(AVERAGE('20250815_ETF_Options_Exhibits'!B1243:B1247)),AVERAGE('20250815_ETF_Options_Exhibits'!B1243:B1247),"")</f>
        <v/>
      </c>
      <c r="C1247" s="3">
        <f>IF(ISNUMBER(AVERAGE('20250815_ETF_Options_Exhibits'!C1243:C1247)),AVERAGE('20250815_ETF_Options_Exhibits'!C1243:C1247),"")</f>
        <v/>
      </c>
      <c r="D1247" s="3">
        <f>IF(ISNUMBER(AVERAGE('20250815_ETF_Options_Exhibits'!D1243:D1247)),AVERAGE('20250815_ETF_Options_Exhibits'!D1243:D1247),"")</f>
        <v/>
      </c>
      <c r="E1247" s="3">
        <f>IF(ISNUMBER(AVERAGE('20250815_ETF_Options_Exhibits'!E1243:E1247)),AVERAGE('20250815_ETF_Options_Exhibits'!E1243:E1247),"")</f>
        <v/>
      </c>
      <c r="F1247" s="3">
        <f>IF(ISNUMBER(AVERAGE('20250815_ETF_Options_Exhibits'!F1243:F1247)),AVERAGE('20250815_ETF_Options_Exhibits'!F1243:F1247),"")</f>
        <v/>
      </c>
      <c r="G1247" s="3">
        <f>IF(ISNUMBER(AVERAGE('20250815_ETF_Options_Exhibits'!G1243:G1247)),AVERAGE('20250815_ETF_Options_Exhibits'!G1243:G1247),"")</f>
        <v/>
      </c>
      <c r="H1247" s="3">
        <f>IF(ISNUMBER(AVERAGE('20250815_ETF_Options_Exhibits'!H1243:H1247)),AVERAGE('20250815_ETF_Options_Exhibits'!H1243:H1247),"")</f>
        <v/>
      </c>
      <c r="I1247" s="3">
        <f>IF(ISNUMBER(AVERAGE('20250815_ETF_Options_Exhibits'!I1243:I1247)),AVERAGE('20250815_ETF_Options_Exhibits'!I1243:I1247),"")</f>
        <v/>
      </c>
      <c r="J1247" s="3">
        <f>IF(ISNUMBER(AVERAGE('20250815_ETF_Options_Exhibits'!J1243:J1247)),AVERAGE('20250815_ETF_Options_Exhibits'!J1243:J1247),"")</f>
        <v/>
      </c>
      <c r="K1247" s="3">
        <f>IF(ISNUMBER(AVERAGE('20250815_ETF_Options_Exhibits'!K1243:K1247)),AVERAGE('20250815_ETF_Options_Exhibits'!K1243:K1247),"")</f>
        <v/>
      </c>
      <c r="L1247" s="3">
        <f>IF(ISNUMBER(AVERAGE('20250815_ETF_Options_Exhibits'!L1243:L1247)),AVERAGE('20250815_ETF_Options_Exhibits'!L1243:L1247),"")</f>
        <v/>
      </c>
      <c r="M1247" s="3">
        <f>IF(ISNUMBER(AVERAGE('20250815_ETF_Options_Exhibits'!M1243:M1247)),AVERAGE('20250815_ETF_Options_Exhibits'!M1243:M1247),"")</f>
        <v/>
      </c>
      <c r="N1247" s="3">
        <f>IF(ISNUMBER(AVERAGE('20250815_ETF_Options_Exhibits'!N1243:N1247)),AVERAGE('20250815_ETF_Options_Exhibits'!N1243:N1247),"")</f>
        <v/>
      </c>
      <c r="O1247" s="3">
        <f>IF(ISNUMBER(AVERAGE('20250815_ETF_Options_Exhibits'!O1243:O1247)),AVERAGE('20250815_ETF_Options_Exhibits'!O1243:O1247),"")</f>
        <v/>
      </c>
      <c r="P1247" s="3">
        <f>IF(ISNUMBER(AVERAGE('20250815_ETF_Options_Exhibits'!P1243:P1247)),AVERAGE('20250815_ETF_Options_Exhibits'!P1243:P1247),"")</f>
        <v/>
      </c>
      <c r="Q1247" s="3">
        <f>IF(ISNUMBER(AVERAGE('20250815_ETF_Options_Exhibits'!Q1243:Q1247)),AVERAGE('20250815_ETF_Options_Exhibits'!Q1243:Q1247),"")</f>
        <v/>
      </c>
      <c r="R1247" s="3">
        <f>IF(ISNUMBER(AVERAGE('20250815_ETF_Options_Exhibits'!R1243:R1247)),AVERAGE('20250815_ETF_Options_Exhibits'!R1243:R1247),"")</f>
        <v/>
      </c>
      <c r="S1247" s="3">
        <f>IF(ISNUMBER(AVERAGE('20250815_ETF_Options_Exhibits'!S1243:S1247)),AVERAGE('20250815_ETF_Options_Exhibits'!S1243:S1247),"")</f>
        <v/>
      </c>
      <c r="T1247" s="3">
        <f>IF(ISNUMBER(AVERAGE('20250815_ETF_Options_Exhibits'!T1243:T1247)),AVERAGE('20250815_ETF_Options_Exhibits'!T1243:T1247),"")</f>
        <v/>
      </c>
      <c r="U1247" s="3">
        <f>IF(ISNUMBER(AVERAGE('20250815_ETF_Options_Exhibits'!U1243:U1247)),AVERAGE('20250815_ETF_Options_Exhibits'!U1243:U1247),"")</f>
        <v/>
      </c>
      <c r="V1247" s="3">
        <f>IF(ISNUMBER(AVERAGE('20250815_ETF_Options_Exhibits'!V1243:V1247)),AVERAGE('20250815_ETF_Options_Exhibits'!V1243:V1247),"")</f>
        <v/>
      </c>
      <c r="W1247" s="3">
        <f>IF(ISNUMBER(AVERAGE('20250815_ETF_Options_Exhibits'!W1243:W1247)),AVERAGE('20250815_ETF_Options_Exhibits'!W1243:W1247),"")</f>
        <v/>
      </c>
      <c r="X1247" s="3">
        <f>IF(ISNUMBER(AVERAGE('20250815_ETF_Options_Exhibits'!X1243:X1247)),AVERAGE('20250815_ETF_Options_Exhibits'!X1243:X1247),"")</f>
        <v/>
      </c>
      <c r="Y1247" s="3">
        <f>IF(ISNUMBER(AVERAGE('20250815_ETF_Options_Exhibits'!Y1243:Y1247)),AVERAGE('20250815_ETF_Options_Exhibits'!Y1243:Y1247),"")</f>
        <v/>
      </c>
      <c r="Z1247" s="3">
        <f>IF(ISNUMBER(AVERAGE('20250815_ETF_Options_Exhibits'!Z1243:Z1247)),AVERAGE('20250815_ETF_Options_Exhibits'!Z1243:Z1247),"")</f>
        <v/>
      </c>
      <c r="AA1247" s="3">
        <f>IF(ISNUMBER(AVERAGE('20250815_ETF_Options_Exhibits'!AA1243:AA1247)),AVERAGE('20250815_ETF_Options_Exhibits'!AA1243:AA1247),"")</f>
        <v/>
      </c>
    </row>
    <row r="1248">
      <c r="A1248" s="1" t="n">
        <v>43811</v>
      </c>
      <c r="B1248" s="3">
        <f>IF(ISNUMBER(AVERAGE('20250815_ETF_Options_Exhibits'!B1244:B1248)),AVERAGE('20250815_ETF_Options_Exhibits'!B1244:B1248),"")</f>
        <v/>
      </c>
      <c r="C1248" s="3">
        <f>IF(ISNUMBER(AVERAGE('20250815_ETF_Options_Exhibits'!C1244:C1248)),AVERAGE('20250815_ETF_Options_Exhibits'!C1244:C1248),"")</f>
        <v/>
      </c>
      <c r="D1248" s="3">
        <f>IF(ISNUMBER(AVERAGE('20250815_ETF_Options_Exhibits'!D1244:D1248)),AVERAGE('20250815_ETF_Options_Exhibits'!D1244:D1248),"")</f>
        <v/>
      </c>
      <c r="E1248" s="3">
        <f>IF(ISNUMBER(AVERAGE('20250815_ETF_Options_Exhibits'!E1244:E1248)),AVERAGE('20250815_ETF_Options_Exhibits'!E1244:E1248),"")</f>
        <v/>
      </c>
      <c r="F1248" s="3">
        <f>IF(ISNUMBER(AVERAGE('20250815_ETF_Options_Exhibits'!F1244:F1248)),AVERAGE('20250815_ETF_Options_Exhibits'!F1244:F1248),"")</f>
        <v/>
      </c>
      <c r="G1248" s="3">
        <f>IF(ISNUMBER(AVERAGE('20250815_ETF_Options_Exhibits'!G1244:G1248)),AVERAGE('20250815_ETF_Options_Exhibits'!G1244:G1248),"")</f>
        <v/>
      </c>
      <c r="H1248" s="3">
        <f>IF(ISNUMBER(AVERAGE('20250815_ETF_Options_Exhibits'!H1244:H1248)),AVERAGE('20250815_ETF_Options_Exhibits'!H1244:H1248),"")</f>
        <v/>
      </c>
      <c r="I1248" s="3">
        <f>IF(ISNUMBER(AVERAGE('20250815_ETF_Options_Exhibits'!I1244:I1248)),AVERAGE('20250815_ETF_Options_Exhibits'!I1244:I1248),"")</f>
        <v/>
      </c>
      <c r="J1248" s="3">
        <f>IF(ISNUMBER(AVERAGE('20250815_ETF_Options_Exhibits'!J1244:J1248)),AVERAGE('20250815_ETF_Options_Exhibits'!J1244:J1248),"")</f>
        <v/>
      </c>
      <c r="K1248" s="3">
        <f>IF(ISNUMBER(AVERAGE('20250815_ETF_Options_Exhibits'!K1244:K1248)),AVERAGE('20250815_ETF_Options_Exhibits'!K1244:K1248),"")</f>
        <v/>
      </c>
      <c r="L1248" s="3">
        <f>IF(ISNUMBER(AVERAGE('20250815_ETF_Options_Exhibits'!L1244:L1248)),AVERAGE('20250815_ETF_Options_Exhibits'!L1244:L1248),"")</f>
        <v/>
      </c>
      <c r="M1248" s="3">
        <f>IF(ISNUMBER(AVERAGE('20250815_ETF_Options_Exhibits'!M1244:M1248)),AVERAGE('20250815_ETF_Options_Exhibits'!M1244:M1248),"")</f>
        <v/>
      </c>
      <c r="N1248" s="3">
        <f>IF(ISNUMBER(AVERAGE('20250815_ETF_Options_Exhibits'!N1244:N1248)),AVERAGE('20250815_ETF_Options_Exhibits'!N1244:N1248),"")</f>
        <v/>
      </c>
      <c r="O1248" s="3">
        <f>IF(ISNUMBER(AVERAGE('20250815_ETF_Options_Exhibits'!O1244:O1248)),AVERAGE('20250815_ETF_Options_Exhibits'!O1244:O1248),"")</f>
        <v/>
      </c>
      <c r="P1248" s="3">
        <f>IF(ISNUMBER(AVERAGE('20250815_ETF_Options_Exhibits'!P1244:P1248)),AVERAGE('20250815_ETF_Options_Exhibits'!P1244:P1248),"")</f>
        <v/>
      </c>
      <c r="Q1248" s="3">
        <f>IF(ISNUMBER(AVERAGE('20250815_ETF_Options_Exhibits'!Q1244:Q1248)),AVERAGE('20250815_ETF_Options_Exhibits'!Q1244:Q1248),"")</f>
        <v/>
      </c>
      <c r="R1248" s="3">
        <f>IF(ISNUMBER(AVERAGE('20250815_ETF_Options_Exhibits'!R1244:R1248)),AVERAGE('20250815_ETF_Options_Exhibits'!R1244:R1248),"")</f>
        <v/>
      </c>
      <c r="S1248" s="3">
        <f>IF(ISNUMBER(AVERAGE('20250815_ETF_Options_Exhibits'!S1244:S1248)),AVERAGE('20250815_ETF_Options_Exhibits'!S1244:S1248),"")</f>
        <v/>
      </c>
      <c r="T1248" s="3">
        <f>IF(ISNUMBER(AVERAGE('20250815_ETF_Options_Exhibits'!T1244:T1248)),AVERAGE('20250815_ETF_Options_Exhibits'!T1244:T1248),"")</f>
        <v/>
      </c>
      <c r="U1248" s="3">
        <f>IF(ISNUMBER(AVERAGE('20250815_ETF_Options_Exhibits'!U1244:U1248)),AVERAGE('20250815_ETF_Options_Exhibits'!U1244:U1248),"")</f>
        <v/>
      </c>
      <c r="V1248" s="3">
        <f>IF(ISNUMBER(AVERAGE('20250815_ETF_Options_Exhibits'!V1244:V1248)),AVERAGE('20250815_ETF_Options_Exhibits'!V1244:V1248),"")</f>
        <v/>
      </c>
      <c r="W1248" s="3">
        <f>IF(ISNUMBER(AVERAGE('20250815_ETF_Options_Exhibits'!W1244:W1248)),AVERAGE('20250815_ETF_Options_Exhibits'!W1244:W1248),"")</f>
        <v/>
      </c>
      <c r="X1248" s="3">
        <f>IF(ISNUMBER(AVERAGE('20250815_ETF_Options_Exhibits'!X1244:X1248)),AVERAGE('20250815_ETF_Options_Exhibits'!X1244:X1248),"")</f>
        <v/>
      </c>
      <c r="Y1248" s="3">
        <f>IF(ISNUMBER(AVERAGE('20250815_ETF_Options_Exhibits'!Y1244:Y1248)),AVERAGE('20250815_ETF_Options_Exhibits'!Y1244:Y1248),"")</f>
        <v/>
      </c>
      <c r="Z1248" s="3">
        <f>IF(ISNUMBER(AVERAGE('20250815_ETF_Options_Exhibits'!Z1244:Z1248)),AVERAGE('20250815_ETF_Options_Exhibits'!Z1244:Z1248),"")</f>
        <v/>
      </c>
      <c r="AA1248" s="3">
        <f>IF(ISNUMBER(AVERAGE('20250815_ETF_Options_Exhibits'!AA1244:AA1248)),AVERAGE('20250815_ETF_Options_Exhibits'!AA1244:AA1248),"")</f>
        <v/>
      </c>
    </row>
    <row r="1249">
      <c r="A1249" s="1" t="n">
        <v>43812</v>
      </c>
      <c r="B1249" s="3">
        <f>IF(ISNUMBER(AVERAGE('20250815_ETF_Options_Exhibits'!B1245:B1249)),AVERAGE('20250815_ETF_Options_Exhibits'!B1245:B1249),"")</f>
        <v/>
      </c>
      <c r="C1249" s="3">
        <f>IF(ISNUMBER(AVERAGE('20250815_ETF_Options_Exhibits'!C1245:C1249)),AVERAGE('20250815_ETF_Options_Exhibits'!C1245:C1249),"")</f>
        <v/>
      </c>
      <c r="D1249" s="3">
        <f>IF(ISNUMBER(AVERAGE('20250815_ETF_Options_Exhibits'!D1245:D1249)),AVERAGE('20250815_ETF_Options_Exhibits'!D1245:D1249),"")</f>
        <v/>
      </c>
      <c r="E1249" s="3">
        <f>IF(ISNUMBER(AVERAGE('20250815_ETF_Options_Exhibits'!E1245:E1249)),AVERAGE('20250815_ETF_Options_Exhibits'!E1245:E1249),"")</f>
        <v/>
      </c>
      <c r="F1249" s="3">
        <f>IF(ISNUMBER(AVERAGE('20250815_ETF_Options_Exhibits'!F1245:F1249)),AVERAGE('20250815_ETF_Options_Exhibits'!F1245:F1249),"")</f>
        <v/>
      </c>
      <c r="G1249" s="3">
        <f>IF(ISNUMBER(AVERAGE('20250815_ETF_Options_Exhibits'!G1245:G1249)),AVERAGE('20250815_ETF_Options_Exhibits'!G1245:G1249),"")</f>
        <v/>
      </c>
      <c r="H1249" s="3">
        <f>IF(ISNUMBER(AVERAGE('20250815_ETF_Options_Exhibits'!H1245:H1249)),AVERAGE('20250815_ETF_Options_Exhibits'!H1245:H1249),"")</f>
        <v/>
      </c>
      <c r="I1249" s="3">
        <f>IF(ISNUMBER(AVERAGE('20250815_ETF_Options_Exhibits'!I1245:I1249)),AVERAGE('20250815_ETF_Options_Exhibits'!I1245:I1249),"")</f>
        <v/>
      </c>
      <c r="J1249" s="3">
        <f>IF(ISNUMBER(AVERAGE('20250815_ETF_Options_Exhibits'!J1245:J1249)),AVERAGE('20250815_ETF_Options_Exhibits'!J1245:J1249),"")</f>
        <v/>
      </c>
      <c r="K1249" s="3">
        <f>IF(ISNUMBER(AVERAGE('20250815_ETF_Options_Exhibits'!K1245:K1249)),AVERAGE('20250815_ETF_Options_Exhibits'!K1245:K1249),"")</f>
        <v/>
      </c>
      <c r="L1249" s="3">
        <f>IF(ISNUMBER(AVERAGE('20250815_ETF_Options_Exhibits'!L1245:L1249)),AVERAGE('20250815_ETF_Options_Exhibits'!L1245:L1249),"")</f>
        <v/>
      </c>
      <c r="M1249" s="3">
        <f>IF(ISNUMBER(AVERAGE('20250815_ETF_Options_Exhibits'!M1245:M1249)),AVERAGE('20250815_ETF_Options_Exhibits'!M1245:M1249),"")</f>
        <v/>
      </c>
      <c r="N1249" s="3">
        <f>IF(ISNUMBER(AVERAGE('20250815_ETF_Options_Exhibits'!N1245:N1249)),AVERAGE('20250815_ETF_Options_Exhibits'!N1245:N1249),"")</f>
        <v/>
      </c>
      <c r="O1249" s="3">
        <f>IF(ISNUMBER(AVERAGE('20250815_ETF_Options_Exhibits'!O1245:O1249)),AVERAGE('20250815_ETF_Options_Exhibits'!O1245:O1249),"")</f>
        <v/>
      </c>
      <c r="P1249" s="3">
        <f>IF(ISNUMBER(AVERAGE('20250815_ETF_Options_Exhibits'!P1245:P1249)),AVERAGE('20250815_ETF_Options_Exhibits'!P1245:P1249),"")</f>
        <v/>
      </c>
      <c r="Q1249" s="3">
        <f>IF(ISNUMBER(AVERAGE('20250815_ETF_Options_Exhibits'!Q1245:Q1249)),AVERAGE('20250815_ETF_Options_Exhibits'!Q1245:Q1249),"")</f>
        <v/>
      </c>
      <c r="R1249" s="3">
        <f>IF(ISNUMBER(AVERAGE('20250815_ETF_Options_Exhibits'!R1245:R1249)),AVERAGE('20250815_ETF_Options_Exhibits'!R1245:R1249),"")</f>
        <v/>
      </c>
      <c r="S1249" s="3">
        <f>IF(ISNUMBER(AVERAGE('20250815_ETF_Options_Exhibits'!S1245:S1249)),AVERAGE('20250815_ETF_Options_Exhibits'!S1245:S1249),"")</f>
        <v/>
      </c>
      <c r="T1249" s="3">
        <f>IF(ISNUMBER(AVERAGE('20250815_ETF_Options_Exhibits'!T1245:T1249)),AVERAGE('20250815_ETF_Options_Exhibits'!T1245:T1249),"")</f>
        <v/>
      </c>
      <c r="U1249" s="3">
        <f>IF(ISNUMBER(AVERAGE('20250815_ETF_Options_Exhibits'!U1245:U1249)),AVERAGE('20250815_ETF_Options_Exhibits'!U1245:U1249),"")</f>
        <v/>
      </c>
      <c r="V1249" s="3">
        <f>IF(ISNUMBER(AVERAGE('20250815_ETF_Options_Exhibits'!V1245:V1249)),AVERAGE('20250815_ETF_Options_Exhibits'!V1245:V1249),"")</f>
        <v/>
      </c>
      <c r="W1249" s="3">
        <f>IF(ISNUMBER(AVERAGE('20250815_ETF_Options_Exhibits'!W1245:W1249)),AVERAGE('20250815_ETF_Options_Exhibits'!W1245:W1249),"")</f>
        <v/>
      </c>
      <c r="X1249" s="3">
        <f>IF(ISNUMBER(AVERAGE('20250815_ETF_Options_Exhibits'!X1245:X1249)),AVERAGE('20250815_ETF_Options_Exhibits'!X1245:X1249),"")</f>
        <v/>
      </c>
      <c r="Y1249" s="3">
        <f>IF(ISNUMBER(AVERAGE('20250815_ETF_Options_Exhibits'!Y1245:Y1249)),AVERAGE('20250815_ETF_Options_Exhibits'!Y1245:Y1249),"")</f>
        <v/>
      </c>
      <c r="Z1249" s="3">
        <f>IF(ISNUMBER(AVERAGE('20250815_ETF_Options_Exhibits'!Z1245:Z1249)),AVERAGE('20250815_ETF_Options_Exhibits'!Z1245:Z1249),"")</f>
        <v/>
      </c>
      <c r="AA1249" s="3">
        <f>IF(ISNUMBER(AVERAGE('20250815_ETF_Options_Exhibits'!AA1245:AA1249)),AVERAGE('20250815_ETF_Options_Exhibits'!AA1245:AA1249),"")</f>
        <v/>
      </c>
    </row>
    <row r="1250">
      <c r="A1250" s="1" t="n">
        <v>43815</v>
      </c>
      <c r="B1250" s="3">
        <f>IF(ISNUMBER(AVERAGE('20250815_ETF_Options_Exhibits'!B1246:B1250)),AVERAGE('20250815_ETF_Options_Exhibits'!B1246:B1250),"")</f>
        <v/>
      </c>
      <c r="C1250" s="3">
        <f>IF(ISNUMBER(AVERAGE('20250815_ETF_Options_Exhibits'!C1246:C1250)),AVERAGE('20250815_ETF_Options_Exhibits'!C1246:C1250),"")</f>
        <v/>
      </c>
      <c r="D1250" s="3">
        <f>IF(ISNUMBER(AVERAGE('20250815_ETF_Options_Exhibits'!D1246:D1250)),AVERAGE('20250815_ETF_Options_Exhibits'!D1246:D1250),"")</f>
        <v/>
      </c>
      <c r="E1250" s="3">
        <f>IF(ISNUMBER(AVERAGE('20250815_ETF_Options_Exhibits'!E1246:E1250)),AVERAGE('20250815_ETF_Options_Exhibits'!E1246:E1250),"")</f>
        <v/>
      </c>
      <c r="F1250" s="3">
        <f>IF(ISNUMBER(AVERAGE('20250815_ETF_Options_Exhibits'!F1246:F1250)),AVERAGE('20250815_ETF_Options_Exhibits'!F1246:F1250),"")</f>
        <v/>
      </c>
      <c r="G1250" s="3">
        <f>IF(ISNUMBER(AVERAGE('20250815_ETF_Options_Exhibits'!G1246:G1250)),AVERAGE('20250815_ETF_Options_Exhibits'!G1246:G1250),"")</f>
        <v/>
      </c>
      <c r="H1250" s="3">
        <f>IF(ISNUMBER(AVERAGE('20250815_ETF_Options_Exhibits'!H1246:H1250)),AVERAGE('20250815_ETF_Options_Exhibits'!H1246:H1250),"")</f>
        <v/>
      </c>
      <c r="I1250" s="3">
        <f>IF(ISNUMBER(AVERAGE('20250815_ETF_Options_Exhibits'!I1246:I1250)),AVERAGE('20250815_ETF_Options_Exhibits'!I1246:I1250),"")</f>
        <v/>
      </c>
      <c r="J1250" s="3">
        <f>IF(ISNUMBER(AVERAGE('20250815_ETF_Options_Exhibits'!J1246:J1250)),AVERAGE('20250815_ETF_Options_Exhibits'!J1246:J1250),"")</f>
        <v/>
      </c>
      <c r="K1250" s="3">
        <f>IF(ISNUMBER(AVERAGE('20250815_ETF_Options_Exhibits'!K1246:K1250)),AVERAGE('20250815_ETF_Options_Exhibits'!K1246:K1250),"")</f>
        <v/>
      </c>
      <c r="L1250" s="3">
        <f>IF(ISNUMBER(AVERAGE('20250815_ETF_Options_Exhibits'!L1246:L1250)),AVERAGE('20250815_ETF_Options_Exhibits'!L1246:L1250),"")</f>
        <v/>
      </c>
      <c r="M1250" s="3">
        <f>IF(ISNUMBER(AVERAGE('20250815_ETF_Options_Exhibits'!M1246:M1250)),AVERAGE('20250815_ETF_Options_Exhibits'!M1246:M1250),"")</f>
        <v/>
      </c>
      <c r="N1250" s="3">
        <f>IF(ISNUMBER(AVERAGE('20250815_ETF_Options_Exhibits'!N1246:N1250)),AVERAGE('20250815_ETF_Options_Exhibits'!N1246:N1250),"")</f>
        <v/>
      </c>
      <c r="O1250" s="3">
        <f>IF(ISNUMBER(AVERAGE('20250815_ETF_Options_Exhibits'!O1246:O1250)),AVERAGE('20250815_ETF_Options_Exhibits'!O1246:O1250),"")</f>
        <v/>
      </c>
      <c r="P1250" s="3">
        <f>IF(ISNUMBER(AVERAGE('20250815_ETF_Options_Exhibits'!P1246:P1250)),AVERAGE('20250815_ETF_Options_Exhibits'!P1246:P1250),"")</f>
        <v/>
      </c>
      <c r="Q1250" s="3">
        <f>IF(ISNUMBER(AVERAGE('20250815_ETF_Options_Exhibits'!Q1246:Q1250)),AVERAGE('20250815_ETF_Options_Exhibits'!Q1246:Q1250),"")</f>
        <v/>
      </c>
      <c r="R1250" s="3">
        <f>IF(ISNUMBER(AVERAGE('20250815_ETF_Options_Exhibits'!R1246:R1250)),AVERAGE('20250815_ETF_Options_Exhibits'!R1246:R1250),"")</f>
        <v/>
      </c>
      <c r="S1250" s="3">
        <f>IF(ISNUMBER(AVERAGE('20250815_ETF_Options_Exhibits'!S1246:S1250)),AVERAGE('20250815_ETF_Options_Exhibits'!S1246:S1250),"")</f>
        <v/>
      </c>
      <c r="T1250" s="3">
        <f>IF(ISNUMBER(AVERAGE('20250815_ETF_Options_Exhibits'!T1246:T1250)),AVERAGE('20250815_ETF_Options_Exhibits'!T1246:T1250),"")</f>
        <v/>
      </c>
      <c r="U1250" s="3">
        <f>IF(ISNUMBER(AVERAGE('20250815_ETF_Options_Exhibits'!U1246:U1250)),AVERAGE('20250815_ETF_Options_Exhibits'!U1246:U1250),"")</f>
        <v/>
      </c>
      <c r="V1250" s="3">
        <f>IF(ISNUMBER(AVERAGE('20250815_ETF_Options_Exhibits'!V1246:V1250)),AVERAGE('20250815_ETF_Options_Exhibits'!V1246:V1250),"")</f>
        <v/>
      </c>
      <c r="W1250" s="3">
        <f>IF(ISNUMBER(AVERAGE('20250815_ETF_Options_Exhibits'!W1246:W1250)),AVERAGE('20250815_ETF_Options_Exhibits'!W1246:W1250),"")</f>
        <v/>
      </c>
      <c r="X1250" s="3">
        <f>IF(ISNUMBER(AVERAGE('20250815_ETF_Options_Exhibits'!X1246:X1250)),AVERAGE('20250815_ETF_Options_Exhibits'!X1246:X1250),"")</f>
        <v/>
      </c>
      <c r="Y1250" s="3">
        <f>IF(ISNUMBER(AVERAGE('20250815_ETF_Options_Exhibits'!Y1246:Y1250)),AVERAGE('20250815_ETF_Options_Exhibits'!Y1246:Y1250),"")</f>
        <v/>
      </c>
      <c r="Z1250" s="3">
        <f>IF(ISNUMBER(AVERAGE('20250815_ETF_Options_Exhibits'!Z1246:Z1250)),AVERAGE('20250815_ETF_Options_Exhibits'!Z1246:Z1250),"")</f>
        <v/>
      </c>
      <c r="AA1250" s="3">
        <f>IF(ISNUMBER(AVERAGE('20250815_ETF_Options_Exhibits'!AA1246:AA1250)),AVERAGE('20250815_ETF_Options_Exhibits'!AA1246:AA1250),"")</f>
        <v/>
      </c>
    </row>
    <row r="1251">
      <c r="A1251" s="1" t="n">
        <v>43816</v>
      </c>
      <c r="B1251" s="3">
        <f>IF(ISNUMBER(AVERAGE('20250815_ETF_Options_Exhibits'!B1247:B1251)),AVERAGE('20250815_ETF_Options_Exhibits'!B1247:B1251),"")</f>
        <v/>
      </c>
      <c r="C1251" s="3">
        <f>IF(ISNUMBER(AVERAGE('20250815_ETF_Options_Exhibits'!C1247:C1251)),AVERAGE('20250815_ETF_Options_Exhibits'!C1247:C1251),"")</f>
        <v/>
      </c>
      <c r="D1251" s="3">
        <f>IF(ISNUMBER(AVERAGE('20250815_ETF_Options_Exhibits'!D1247:D1251)),AVERAGE('20250815_ETF_Options_Exhibits'!D1247:D1251),"")</f>
        <v/>
      </c>
      <c r="E1251" s="3">
        <f>IF(ISNUMBER(AVERAGE('20250815_ETF_Options_Exhibits'!E1247:E1251)),AVERAGE('20250815_ETF_Options_Exhibits'!E1247:E1251),"")</f>
        <v/>
      </c>
      <c r="F1251" s="3">
        <f>IF(ISNUMBER(AVERAGE('20250815_ETF_Options_Exhibits'!F1247:F1251)),AVERAGE('20250815_ETF_Options_Exhibits'!F1247:F1251),"")</f>
        <v/>
      </c>
      <c r="G1251" s="3">
        <f>IF(ISNUMBER(AVERAGE('20250815_ETF_Options_Exhibits'!G1247:G1251)),AVERAGE('20250815_ETF_Options_Exhibits'!G1247:G1251),"")</f>
        <v/>
      </c>
      <c r="H1251" s="3">
        <f>IF(ISNUMBER(AVERAGE('20250815_ETF_Options_Exhibits'!H1247:H1251)),AVERAGE('20250815_ETF_Options_Exhibits'!H1247:H1251),"")</f>
        <v/>
      </c>
      <c r="I1251" s="3">
        <f>IF(ISNUMBER(AVERAGE('20250815_ETF_Options_Exhibits'!I1247:I1251)),AVERAGE('20250815_ETF_Options_Exhibits'!I1247:I1251),"")</f>
        <v/>
      </c>
      <c r="J1251" s="3">
        <f>IF(ISNUMBER(AVERAGE('20250815_ETF_Options_Exhibits'!J1247:J1251)),AVERAGE('20250815_ETF_Options_Exhibits'!J1247:J1251),"")</f>
        <v/>
      </c>
      <c r="K1251" s="3">
        <f>IF(ISNUMBER(AVERAGE('20250815_ETF_Options_Exhibits'!K1247:K1251)),AVERAGE('20250815_ETF_Options_Exhibits'!K1247:K1251),"")</f>
        <v/>
      </c>
      <c r="L1251" s="3">
        <f>IF(ISNUMBER(AVERAGE('20250815_ETF_Options_Exhibits'!L1247:L1251)),AVERAGE('20250815_ETF_Options_Exhibits'!L1247:L1251),"")</f>
        <v/>
      </c>
      <c r="M1251" s="3">
        <f>IF(ISNUMBER(AVERAGE('20250815_ETF_Options_Exhibits'!M1247:M1251)),AVERAGE('20250815_ETF_Options_Exhibits'!M1247:M1251),"")</f>
        <v/>
      </c>
      <c r="N1251" s="3">
        <f>IF(ISNUMBER(AVERAGE('20250815_ETF_Options_Exhibits'!N1247:N1251)),AVERAGE('20250815_ETF_Options_Exhibits'!N1247:N1251),"")</f>
        <v/>
      </c>
      <c r="O1251" s="3">
        <f>IF(ISNUMBER(AVERAGE('20250815_ETF_Options_Exhibits'!O1247:O1251)),AVERAGE('20250815_ETF_Options_Exhibits'!O1247:O1251),"")</f>
        <v/>
      </c>
      <c r="P1251" s="3">
        <f>IF(ISNUMBER(AVERAGE('20250815_ETF_Options_Exhibits'!P1247:P1251)),AVERAGE('20250815_ETF_Options_Exhibits'!P1247:P1251),"")</f>
        <v/>
      </c>
      <c r="Q1251" s="3">
        <f>IF(ISNUMBER(AVERAGE('20250815_ETF_Options_Exhibits'!Q1247:Q1251)),AVERAGE('20250815_ETF_Options_Exhibits'!Q1247:Q1251),"")</f>
        <v/>
      </c>
      <c r="R1251" s="3">
        <f>IF(ISNUMBER(AVERAGE('20250815_ETF_Options_Exhibits'!R1247:R1251)),AVERAGE('20250815_ETF_Options_Exhibits'!R1247:R1251),"")</f>
        <v/>
      </c>
      <c r="S1251" s="3">
        <f>IF(ISNUMBER(AVERAGE('20250815_ETF_Options_Exhibits'!S1247:S1251)),AVERAGE('20250815_ETF_Options_Exhibits'!S1247:S1251),"")</f>
        <v/>
      </c>
      <c r="T1251" s="3">
        <f>IF(ISNUMBER(AVERAGE('20250815_ETF_Options_Exhibits'!T1247:T1251)),AVERAGE('20250815_ETF_Options_Exhibits'!T1247:T1251),"")</f>
        <v/>
      </c>
      <c r="U1251" s="3">
        <f>IF(ISNUMBER(AVERAGE('20250815_ETF_Options_Exhibits'!U1247:U1251)),AVERAGE('20250815_ETF_Options_Exhibits'!U1247:U1251),"")</f>
        <v/>
      </c>
      <c r="V1251" s="3">
        <f>IF(ISNUMBER(AVERAGE('20250815_ETF_Options_Exhibits'!V1247:V1251)),AVERAGE('20250815_ETF_Options_Exhibits'!V1247:V1251),"")</f>
        <v/>
      </c>
      <c r="W1251" s="3">
        <f>IF(ISNUMBER(AVERAGE('20250815_ETF_Options_Exhibits'!W1247:W1251)),AVERAGE('20250815_ETF_Options_Exhibits'!W1247:W1251),"")</f>
        <v/>
      </c>
      <c r="X1251" s="3">
        <f>IF(ISNUMBER(AVERAGE('20250815_ETF_Options_Exhibits'!X1247:X1251)),AVERAGE('20250815_ETF_Options_Exhibits'!X1247:X1251),"")</f>
        <v/>
      </c>
      <c r="Y1251" s="3">
        <f>IF(ISNUMBER(AVERAGE('20250815_ETF_Options_Exhibits'!Y1247:Y1251)),AVERAGE('20250815_ETF_Options_Exhibits'!Y1247:Y1251),"")</f>
        <v/>
      </c>
      <c r="Z1251" s="3">
        <f>IF(ISNUMBER(AVERAGE('20250815_ETF_Options_Exhibits'!Z1247:Z1251)),AVERAGE('20250815_ETF_Options_Exhibits'!Z1247:Z1251),"")</f>
        <v/>
      </c>
      <c r="AA1251" s="3">
        <f>IF(ISNUMBER(AVERAGE('20250815_ETF_Options_Exhibits'!AA1247:AA1251)),AVERAGE('20250815_ETF_Options_Exhibits'!AA1247:AA1251),"")</f>
        <v/>
      </c>
    </row>
    <row r="1252">
      <c r="A1252" s="1" t="n">
        <v>43817</v>
      </c>
      <c r="B1252" s="3">
        <f>IF(ISNUMBER(AVERAGE('20250815_ETF_Options_Exhibits'!B1248:B1252)),AVERAGE('20250815_ETF_Options_Exhibits'!B1248:B1252),"")</f>
        <v/>
      </c>
      <c r="C1252" s="3">
        <f>IF(ISNUMBER(AVERAGE('20250815_ETF_Options_Exhibits'!C1248:C1252)),AVERAGE('20250815_ETF_Options_Exhibits'!C1248:C1252),"")</f>
        <v/>
      </c>
      <c r="D1252" s="3">
        <f>IF(ISNUMBER(AVERAGE('20250815_ETF_Options_Exhibits'!D1248:D1252)),AVERAGE('20250815_ETF_Options_Exhibits'!D1248:D1252),"")</f>
        <v/>
      </c>
      <c r="E1252" s="3">
        <f>IF(ISNUMBER(AVERAGE('20250815_ETF_Options_Exhibits'!E1248:E1252)),AVERAGE('20250815_ETF_Options_Exhibits'!E1248:E1252),"")</f>
        <v/>
      </c>
      <c r="F1252" s="3">
        <f>IF(ISNUMBER(AVERAGE('20250815_ETF_Options_Exhibits'!F1248:F1252)),AVERAGE('20250815_ETF_Options_Exhibits'!F1248:F1252),"")</f>
        <v/>
      </c>
      <c r="G1252" s="3">
        <f>IF(ISNUMBER(AVERAGE('20250815_ETF_Options_Exhibits'!G1248:G1252)),AVERAGE('20250815_ETF_Options_Exhibits'!G1248:G1252),"")</f>
        <v/>
      </c>
      <c r="H1252" s="3">
        <f>IF(ISNUMBER(AVERAGE('20250815_ETF_Options_Exhibits'!H1248:H1252)),AVERAGE('20250815_ETF_Options_Exhibits'!H1248:H1252),"")</f>
        <v/>
      </c>
      <c r="I1252" s="3">
        <f>IF(ISNUMBER(AVERAGE('20250815_ETF_Options_Exhibits'!I1248:I1252)),AVERAGE('20250815_ETF_Options_Exhibits'!I1248:I1252),"")</f>
        <v/>
      </c>
      <c r="J1252" s="3">
        <f>IF(ISNUMBER(AVERAGE('20250815_ETF_Options_Exhibits'!J1248:J1252)),AVERAGE('20250815_ETF_Options_Exhibits'!J1248:J1252),"")</f>
        <v/>
      </c>
      <c r="K1252" s="3">
        <f>IF(ISNUMBER(AVERAGE('20250815_ETF_Options_Exhibits'!K1248:K1252)),AVERAGE('20250815_ETF_Options_Exhibits'!K1248:K1252),"")</f>
        <v/>
      </c>
      <c r="L1252" s="3">
        <f>IF(ISNUMBER(AVERAGE('20250815_ETF_Options_Exhibits'!L1248:L1252)),AVERAGE('20250815_ETF_Options_Exhibits'!L1248:L1252),"")</f>
        <v/>
      </c>
      <c r="M1252" s="3">
        <f>IF(ISNUMBER(AVERAGE('20250815_ETF_Options_Exhibits'!M1248:M1252)),AVERAGE('20250815_ETF_Options_Exhibits'!M1248:M1252),"")</f>
        <v/>
      </c>
      <c r="N1252" s="3">
        <f>IF(ISNUMBER(AVERAGE('20250815_ETF_Options_Exhibits'!N1248:N1252)),AVERAGE('20250815_ETF_Options_Exhibits'!N1248:N1252),"")</f>
        <v/>
      </c>
      <c r="O1252" s="3">
        <f>IF(ISNUMBER(AVERAGE('20250815_ETF_Options_Exhibits'!O1248:O1252)),AVERAGE('20250815_ETF_Options_Exhibits'!O1248:O1252),"")</f>
        <v/>
      </c>
      <c r="P1252" s="3">
        <f>IF(ISNUMBER(AVERAGE('20250815_ETF_Options_Exhibits'!P1248:P1252)),AVERAGE('20250815_ETF_Options_Exhibits'!P1248:P1252),"")</f>
        <v/>
      </c>
      <c r="Q1252" s="3">
        <f>IF(ISNUMBER(AVERAGE('20250815_ETF_Options_Exhibits'!Q1248:Q1252)),AVERAGE('20250815_ETF_Options_Exhibits'!Q1248:Q1252),"")</f>
        <v/>
      </c>
      <c r="R1252" s="3">
        <f>IF(ISNUMBER(AVERAGE('20250815_ETF_Options_Exhibits'!R1248:R1252)),AVERAGE('20250815_ETF_Options_Exhibits'!R1248:R1252),"")</f>
        <v/>
      </c>
      <c r="S1252" s="3">
        <f>IF(ISNUMBER(AVERAGE('20250815_ETF_Options_Exhibits'!S1248:S1252)),AVERAGE('20250815_ETF_Options_Exhibits'!S1248:S1252),"")</f>
        <v/>
      </c>
      <c r="T1252" s="3">
        <f>IF(ISNUMBER(AVERAGE('20250815_ETF_Options_Exhibits'!T1248:T1252)),AVERAGE('20250815_ETF_Options_Exhibits'!T1248:T1252),"")</f>
        <v/>
      </c>
      <c r="U1252" s="3">
        <f>IF(ISNUMBER(AVERAGE('20250815_ETF_Options_Exhibits'!U1248:U1252)),AVERAGE('20250815_ETF_Options_Exhibits'!U1248:U1252),"")</f>
        <v/>
      </c>
      <c r="V1252" s="3">
        <f>IF(ISNUMBER(AVERAGE('20250815_ETF_Options_Exhibits'!V1248:V1252)),AVERAGE('20250815_ETF_Options_Exhibits'!V1248:V1252),"")</f>
        <v/>
      </c>
      <c r="W1252" s="3">
        <f>IF(ISNUMBER(AVERAGE('20250815_ETF_Options_Exhibits'!W1248:W1252)),AVERAGE('20250815_ETF_Options_Exhibits'!W1248:W1252),"")</f>
        <v/>
      </c>
      <c r="X1252" s="3">
        <f>IF(ISNUMBER(AVERAGE('20250815_ETF_Options_Exhibits'!X1248:X1252)),AVERAGE('20250815_ETF_Options_Exhibits'!X1248:X1252),"")</f>
        <v/>
      </c>
      <c r="Y1252" s="3">
        <f>IF(ISNUMBER(AVERAGE('20250815_ETF_Options_Exhibits'!Y1248:Y1252)),AVERAGE('20250815_ETF_Options_Exhibits'!Y1248:Y1252),"")</f>
        <v/>
      </c>
      <c r="Z1252" s="3">
        <f>IF(ISNUMBER(AVERAGE('20250815_ETF_Options_Exhibits'!Z1248:Z1252)),AVERAGE('20250815_ETF_Options_Exhibits'!Z1248:Z1252),"")</f>
        <v/>
      </c>
      <c r="AA1252" s="3">
        <f>IF(ISNUMBER(AVERAGE('20250815_ETF_Options_Exhibits'!AA1248:AA1252)),AVERAGE('20250815_ETF_Options_Exhibits'!AA1248:AA1252),"")</f>
        <v/>
      </c>
    </row>
    <row r="1253">
      <c r="A1253" s="1" t="n">
        <v>43818</v>
      </c>
      <c r="B1253" s="3">
        <f>IF(ISNUMBER(AVERAGE('20250815_ETF_Options_Exhibits'!B1249:B1253)),AVERAGE('20250815_ETF_Options_Exhibits'!B1249:B1253),"")</f>
        <v/>
      </c>
      <c r="C1253" s="3">
        <f>IF(ISNUMBER(AVERAGE('20250815_ETF_Options_Exhibits'!C1249:C1253)),AVERAGE('20250815_ETF_Options_Exhibits'!C1249:C1253),"")</f>
        <v/>
      </c>
      <c r="D1253" s="3">
        <f>IF(ISNUMBER(AVERAGE('20250815_ETF_Options_Exhibits'!D1249:D1253)),AVERAGE('20250815_ETF_Options_Exhibits'!D1249:D1253),"")</f>
        <v/>
      </c>
      <c r="E1253" s="3">
        <f>IF(ISNUMBER(AVERAGE('20250815_ETF_Options_Exhibits'!E1249:E1253)),AVERAGE('20250815_ETF_Options_Exhibits'!E1249:E1253),"")</f>
        <v/>
      </c>
      <c r="F1253" s="3">
        <f>IF(ISNUMBER(AVERAGE('20250815_ETF_Options_Exhibits'!F1249:F1253)),AVERAGE('20250815_ETF_Options_Exhibits'!F1249:F1253),"")</f>
        <v/>
      </c>
      <c r="G1253" s="3">
        <f>IF(ISNUMBER(AVERAGE('20250815_ETF_Options_Exhibits'!G1249:G1253)),AVERAGE('20250815_ETF_Options_Exhibits'!G1249:G1253),"")</f>
        <v/>
      </c>
      <c r="H1253" s="3">
        <f>IF(ISNUMBER(AVERAGE('20250815_ETF_Options_Exhibits'!H1249:H1253)),AVERAGE('20250815_ETF_Options_Exhibits'!H1249:H1253),"")</f>
        <v/>
      </c>
      <c r="I1253" s="3">
        <f>IF(ISNUMBER(AVERAGE('20250815_ETF_Options_Exhibits'!I1249:I1253)),AVERAGE('20250815_ETF_Options_Exhibits'!I1249:I1253),"")</f>
        <v/>
      </c>
      <c r="J1253" s="3">
        <f>IF(ISNUMBER(AVERAGE('20250815_ETF_Options_Exhibits'!J1249:J1253)),AVERAGE('20250815_ETF_Options_Exhibits'!J1249:J1253),"")</f>
        <v/>
      </c>
      <c r="K1253" s="3">
        <f>IF(ISNUMBER(AVERAGE('20250815_ETF_Options_Exhibits'!K1249:K1253)),AVERAGE('20250815_ETF_Options_Exhibits'!K1249:K1253),"")</f>
        <v/>
      </c>
      <c r="L1253" s="3">
        <f>IF(ISNUMBER(AVERAGE('20250815_ETF_Options_Exhibits'!L1249:L1253)),AVERAGE('20250815_ETF_Options_Exhibits'!L1249:L1253),"")</f>
        <v/>
      </c>
      <c r="M1253" s="3">
        <f>IF(ISNUMBER(AVERAGE('20250815_ETF_Options_Exhibits'!M1249:M1253)),AVERAGE('20250815_ETF_Options_Exhibits'!M1249:M1253),"")</f>
        <v/>
      </c>
      <c r="N1253" s="3">
        <f>IF(ISNUMBER(AVERAGE('20250815_ETF_Options_Exhibits'!N1249:N1253)),AVERAGE('20250815_ETF_Options_Exhibits'!N1249:N1253),"")</f>
        <v/>
      </c>
      <c r="O1253" s="3">
        <f>IF(ISNUMBER(AVERAGE('20250815_ETF_Options_Exhibits'!O1249:O1253)),AVERAGE('20250815_ETF_Options_Exhibits'!O1249:O1253),"")</f>
        <v/>
      </c>
      <c r="P1253" s="3">
        <f>IF(ISNUMBER(AVERAGE('20250815_ETF_Options_Exhibits'!P1249:P1253)),AVERAGE('20250815_ETF_Options_Exhibits'!P1249:P1253),"")</f>
        <v/>
      </c>
      <c r="Q1253" s="3">
        <f>IF(ISNUMBER(AVERAGE('20250815_ETF_Options_Exhibits'!Q1249:Q1253)),AVERAGE('20250815_ETF_Options_Exhibits'!Q1249:Q1253),"")</f>
        <v/>
      </c>
      <c r="R1253" s="3">
        <f>IF(ISNUMBER(AVERAGE('20250815_ETF_Options_Exhibits'!R1249:R1253)),AVERAGE('20250815_ETF_Options_Exhibits'!R1249:R1253),"")</f>
        <v/>
      </c>
      <c r="S1253" s="3">
        <f>IF(ISNUMBER(AVERAGE('20250815_ETF_Options_Exhibits'!S1249:S1253)),AVERAGE('20250815_ETF_Options_Exhibits'!S1249:S1253),"")</f>
        <v/>
      </c>
      <c r="T1253" s="3">
        <f>IF(ISNUMBER(AVERAGE('20250815_ETF_Options_Exhibits'!T1249:T1253)),AVERAGE('20250815_ETF_Options_Exhibits'!T1249:T1253),"")</f>
        <v/>
      </c>
      <c r="U1253" s="3">
        <f>IF(ISNUMBER(AVERAGE('20250815_ETF_Options_Exhibits'!U1249:U1253)),AVERAGE('20250815_ETF_Options_Exhibits'!U1249:U1253),"")</f>
        <v/>
      </c>
      <c r="V1253" s="3">
        <f>IF(ISNUMBER(AVERAGE('20250815_ETF_Options_Exhibits'!V1249:V1253)),AVERAGE('20250815_ETF_Options_Exhibits'!V1249:V1253),"")</f>
        <v/>
      </c>
      <c r="W1253" s="3">
        <f>IF(ISNUMBER(AVERAGE('20250815_ETF_Options_Exhibits'!W1249:W1253)),AVERAGE('20250815_ETF_Options_Exhibits'!W1249:W1253),"")</f>
        <v/>
      </c>
      <c r="X1253" s="3">
        <f>IF(ISNUMBER(AVERAGE('20250815_ETF_Options_Exhibits'!X1249:X1253)),AVERAGE('20250815_ETF_Options_Exhibits'!X1249:X1253),"")</f>
        <v/>
      </c>
      <c r="Y1253" s="3">
        <f>IF(ISNUMBER(AVERAGE('20250815_ETF_Options_Exhibits'!Y1249:Y1253)),AVERAGE('20250815_ETF_Options_Exhibits'!Y1249:Y1253),"")</f>
        <v/>
      </c>
      <c r="Z1253" s="3">
        <f>IF(ISNUMBER(AVERAGE('20250815_ETF_Options_Exhibits'!Z1249:Z1253)),AVERAGE('20250815_ETF_Options_Exhibits'!Z1249:Z1253),"")</f>
        <v/>
      </c>
      <c r="AA1253" s="3">
        <f>IF(ISNUMBER(AVERAGE('20250815_ETF_Options_Exhibits'!AA1249:AA1253)),AVERAGE('20250815_ETF_Options_Exhibits'!AA1249:AA1253),"")</f>
        <v/>
      </c>
    </row>
    <row r="1254">
      <c r="A1254" s="1" t="n">
        <v>43819</v>
      </c>
      <c r="B1254" s="3">
        <f>IF(ISNUMBER(AVERAGE('20250815_ETF_Options_Exhibits'!B1250:B1254)),AVERAGE('20250815_ETF_Options_Exhibits'!B1250:B1254),"")</f>
        <v/>
      </c>
      <c r="C1254" s="3">
        <f>IF(ISNUMBER(AVERAGE('20250815_ETF_Options_Exhibits'!C1250:C1254)),AVERAGE('20250815_ETF_Options_Exhibits'!C1250:C1254),"")</f>
        <v/>
      </c>
      <c r="D1254" s="3">
        <f>IF(ISNUMBER(AVERAGE('20250815_ETF_Options_Exhibits'!D1250:D1254)),AVERAGE('20250815_ETF_Options_Exhibits'!D1250:D1254),"")</f>
        <v/>
      </c>
      <c r="E1254" s="3">
        <f>IF(ISNUMBER(AVERAGE('20250815_ETF_Options_Exhibits'!E1250:E1254)),AVERAGE('20250815_ETF_Options_Exhibits'!E1250:E1254),"")</f>
        <v/>
      </c>
      <c r="F1254" s="3">
        <f>IF(ISNUMBER(AVERAGE('20250815_ETF_Options_Exhibits'!F1250:F1254)),AVERAGE('20250815_ETF_Options_Exhibits'!F1250:F1254),"")</f>
        <v/>
      </c>
      <c r="G1254" s="3">
        <f>IF(ISNUMBER(AVERAGE('20250815_ETF_Options_Exhibits'!G1250:G1254)),AVERAGE('20250815_ETF_Options_Exhibits'!G1250:G1254),"")</f>
        <v/>
      </c>
      <c r="H1254" s="3">
        <f>IF(ISNUMBER(AVERAGE('20250815_ETF_Options_Exhibits'!H1250:H1254)),AVERAGE('20250815_ETF_Options_Exhibits'!H1250:H1254),"")</f>
        <v/>
      </c>
      <c r="I1254" s="3">
        <f>IF(ISNUMBER(AVERAGE('20250815_ETF_Options_Exhibits'!I1250:I1254)),AVERAGE('20250815_ETF_Options_Exhibits'!I1250:I1254),"")</f>
        <v/>
      </c>
      <c r="J1254" s="3">
        <f>IF(ISNUMBER(AVERAGE('20250815_ETF_Options_Exhibits'!J1250:J1254)),AVERAGE('20250815_ETF_Options_Exhibits'!J1250:J1254),"")</f>
        <v/>
      </c>
      <c r="K1254" s="3">
        <f>IF(ISNUMBER(AVERAGE('20250815_ETF_Options_Exhibits'!K1250:K1254)),AVERAGE('20250815_ETF_Options_Exhibits'!K1250:K1254),"")</f>
        <v/>
      </c>
      <c r="L1254" s="3">
        <f>IF(ISNUMBER(AVERAGE('20250815_ETF_Options_Exhibits'!L1250:L1254)),AVERAGE('20250815_ETF_Options_Exhibits'!L1250:L1254),"")</f>
        <v/>
      </c>
      <c r="M1254" s="3">
        <f>IF(ISNUMBER(AVERAGE('20250815_ETF_Options_Exhibits'!M1250:M1254)),AVERAGE('20250815_ETF_Options_Exhibits'!M1250:M1254),"")</f>
        <v/>
      </c>
      <c r="N1254" s="3">
        <f>IF(ISNUMBER(AVERAGE('20250815_ETF_Options_Exhibits'!N1250:N1254)),AVERAGE('20250815_ETF_Options_Exhibits'!N1250:N1254),"")</f>
        <v/>
      </c>
      <c r="O1254" s="3">
        <f>IF(ISNUMBER(AVERAGE('20250815_ETF_Options_Exhibits'!O1250:O1254)),AVERAGE('20250815_ETF_Options_Exhibits'!O1250:O1254),"")</f>
        <v/>
      </c>
      <c r="P1254" s="3">
        <f>IF(ISNUMBER(AVERAGE('20250815_ETF_Options_Exhibits'!P1250:P1254)),AVERAGE('20250815_ETF_Options_Exhibits'!P1250:P1254),"")</f>
        <v/>
      </c>
      <c r="Q1254" s="3">
        <f>IF(ISNUMBER(AVERAGE('20250815_ETF_Options_Exhibits'!Q1250:Q1254)),AVERAGE('20250815_ETF_Options_Exhibits'!Q1250:Q1254),"")</f>
        <v/>
      </c>
      <c r="R1254" s="3">
        <f>IF(ISNUMBER(AVERAGE('20250815_ETF_Options_Exhibits'!R1250:R1254)),AVERAGE('20250815_ETF_Options_Exhibits'!R1250:R1254),"")</f>
        <v/>
      </c>
      <c r="S1254" s="3">
        <f>IF(ISNUMBER(AVERAGE('20250815_ETF_Options_Exhibits'!S1250:S1254)),AVERAGE('20250815_ETF_Options_Exhibits'!S1250:S1254),"")</f>
        <v/>
      </c>
      <c r="T1254" s="3">
        <f>IF(ISNUMBER(AVERAGE('20250815_ETF_Options_Exhibits'!T1250:T1254)),AVERAGE('20250815_ETF_Options_Exhibits'!T1250:T1254),"")</f>
        <v/>
      </c>
      <c r="U1254" s="3">
        <f>IF(ISNUMBER(AVERAGE('20250815_ETF_Options_Exhibits'!U1250:U1254)),AVERAGE('20250815_ETF_Options_Exhibits'!U1250:U1254),"")</f>
        <v/>
      </c>
      <c r="V1254" s="3">
        <f>IF(ISNUMBER(AVERAGE('20250815_ETF_Options_Exhibits'!V1250:V1254)),AVERAGE('20250815_ETF_Options_Exhibits'!V1250:V1254),"")</f>
        <v/>
      </c>
      <c r="W1254" s="3">
        <f>IF(ISNUMBER(AVERAGE('20250815_ETF_Options_Exhibits'!W1250:W1254)),AVERAGE('20250815_ETF_Options_Exhibits'!W1250:W1254),"")</f>
        <v/>
      </c>
      <c r="X1254" s="3">
        <f>IF(ISNUMBER(AVERAGE('20250815_ETF_Options_Exhibits'!X1250:X1254)),AVERAGE('20250815_ETF_Options_Exhibits'!X1250:X1254),"")</f>
        <v/>
      </c>
      <c r="Y1254" s="3">
        <f>IF(ISNUMBER(AVERAGE('20250815_ETF_Options_Exhibits'!Y1250:Y1254)),AVERAGE('20250815_ETF_Options_Exhibits'!Y1250:Y1254),"")</f>
        <v/>
      </c>
      <c r="Z1254" s="3">
        <f>IF(ISNUMBER(AVERAGE('20250815_ETF_Options_Exhibits'!Z1250:Z1254)),AVERAGE('20250815_ETF_Options_Exhibits'!Z1250:Z1254),"")</f>
        <v/>
      </c>
      <c r="AA1254" s="3">
        <f>IF(ISNUMBER(AVERAGE('20250815_ETF_Options_Exhibits'!AA1250:AA1254)),AVERAGE('20250815_ETF_Options_Exhibits'!AA1250:AA1254),"")</f>
        <v/>
      </c>
    </row>
    <row r="1255">
      <c r="A1255" s="1" t="n">
        <v>43822</v>
      </c>
      <c r="B1255" s="3">
        <f>IF(ISNUMBER(AVERAGE('20250815_ETF_Options_Exhibits'!B1251:B1255)),AVERAGE('20250815_ETF_Options_Exhibits'!B1251:B1255),"")</f>
        <v/>
      </c>
      <c r="C1255" s="3">
        <f>IF(ISNUMBER(AVERAGE('20250815_ETF_Options_Exhibits'!C1251:C1255)),AVERAGE('20250815_ETF_Options_Exhibits'!C1251:C1255),"")</f>
        <v/>
      </c>
      <c r="D1255" s="3">
        <f>IF(ISNUMBER(AVERAGE('20250815_ETF_Options_Exhibits'!D1251:D1255)),AVERAGE('20250815_ETF_Options_Exhibits'!D1251:D1255),"")</f>
        <v/>
      </c>
      <c r="E1255" s="3">
        <f>IF(ISNUMBER(AVERAGE('20250815_ETF_Options_Exhibits'!E1251:E1255)),AVERAGE('20250815_ETF_Options_Exhibits'!E1251:E1255),"")</f>
        <v/>
      </c>
      <c r="F1255" s="3">
        <f>IF(ISNUMBER(AVERAGE('20250815_ETF_Options_Exhibits'!F1251:F1255)),AVERAGE('20250815_ETF_Options_Exhibits'!F1251:F1255),"")</f>
        <v/>
      </c>
      <c r="G1255" s="3">
        <f>IF(ISNUMBER(AVERAGE('20250815_ETF_Options_Exhibits'!G1251:G1255)),AVERAGE('20250815_ETF_Options_Exhibits'!G1251:G1255),"")</f>
        <v/>
      </c>
      <c r="H1255" s="3">
        <f>IF(ISNUMBER(AVERAGE('20250815_ETF_Options_Exhibits'!H1251:H1255)),AVERAGE('20250815_ETF_Options_Exhibits'!H1251:H1255),"")</f>
        <v/>
      </c>
      <c r="I1255" s="3">
        <f>IF(ISNUMBER(AVERAGE('20250815_ETF_Options_Exhibits'!I1251:I1255)),AVERAGE('20250815_ETF_Options_Exhibits'!I1251:I1255),"")</f>
        <v/>
      </c>
      <c r="J1255" s="3">
        <f>IF(ISNUMBER(AVERAGE('20250815_ETF_Options_Exhibits'!J1251:J1255)),AVERAGE('20250815_ETF_Options_Exhibits'!J1251:J1255),"")</f>
        <v/>
      </c>
      <c r="K1255" s="3">
        <f>IF(ISNUMBER(AVERAGE('20250815_ETF_Options_Exhibits'!K1251:K1255)),AVERAGE('20250815_ETF_Options_Exhibits'!K1251:K1255),"")</f>
        <v/>
      </c>
      <c r="L1255" s="3">
        <f>IF(ISNUMBER(AVERAGE('20250815_ETF_Options_Exhibits'!L1251:L1255)),AVERAGE('20250815_ETF_Options_Exhibits'!L1251:L1255),"")</f>
        <v/>
      </c>
      <c r="M1255" s="3">
        <f>IF(ISNUMBER(AVERAGE('20250815_ETF_Options_Exhibits'!M1251:M1255)),AVERAGE('20250815_ETF_Options_Exhibits'!M1251:M1255),"")</f>
        <v/>
      </c>
      <c r="N1255" s="3">
        <f>IF(ISNUMBER(AVERAGE('20250815_ETF_Options_Exhibits'!N1251:N1255)),AVERAGE('20250815_ETF_Options_Exhibits'!N1251:N1255),"")</f>
        <v/>
      </c>
      <c r="O1255" s="3">
        <f>IF(ISNUMBER(AVERAGE('20250815_ETF_Options_Exhibits'!O1251:O1255)),AVERAGE('20250815_ETF_Options_Exhibits'!O1251:O1255),"")</f>
        <v/>
      </c>
      <c r="P1255" s="3">
        <f>IF(ISNUMBER(AVERAGE('20250815_ETF_Options_Exhibits'!P1251:P1255)),AVERAGE('20250815_ETF_Options_Exhibits'!P1251:P1255),"")</f>
        <v/>
      </c>
      <c r="Q1255" s="3">
        <f>IF(ISNUMBER(AVERAGE('20250815_ETF_Options_Exhibits'!Q1251:Q1255)),AVERAGE('20250815_ETF_Options_Exhibits'!Q1251:Q1255),"")</f>
        <v/>
      </c>
      <c r="R1255" s="3">
        <f>IF(ISNUMBER(AVERAGE('20250815_ETF_Options_Exhibits'!R1251:R1255)),AVERAGE('20250815_ETF_Options_Exhibits'!R1251:R1255),"")</f>
        <v/>
      </c>
      <c r="S1255" s="3">
        <f>IF(ISNUMBER(AVERAGE('20250815_ETF_Options_Exhibits'!S1251:S1255)),AVERAGE('20250815_ETF_Options_Exhibits'!S1251:S1255),"")</f>
        <v/>
      </c>
      <c r="T1255" s="3">
        <f>IF(ISNUMBER(AVERAGE('20250815_ETF_Options_Exhibits'!T1251:T1255)),AVERAGE('20250815_ETF_Options_Exhibits'!T1251:T1255),"")</f>
        <v/>
      </c>
      <c r="U1255" s="3">
        <f>IF(ISNUMBER(AVERAGE('20250815_ETF_Options_Exhibits'!U1251:U1255)),AVERAGE('20250815_ETF_Options_Exhibits'!U1251:U1255),"")</f>
        <v/>
      </c>
      <c r="V1255" s="3">
        <f>IF(ISNUMBER(AVERAGE('20250815_ETF_Options_Exhibits'!V1251:V1255)),AVERAGE('20250815_ETF_Options_Exhibits'!V1251:V1255),"")</f>
        <v/>
      </c>
      <c r="W1255" s="3">
        <f>IF(ISNUMBER(AVERAGE('20250815_ETF_Options_Exhibits'!W1251:W1255)),AVERAGE('20250815_ETF_Options_Exhibits'!W1251:W1255),"")</f>
        <v/>
      </c>
      <c r="X1255" s="3">
        <f>IF(ISNUMBER(AVERAGE('20250815_ETF_Options_Exhibits'!X1251:X1255)),AVERAGE('20250815_ETF_Options_Exhibits'!X1251:X1255),"")</f>
        <v/>
      </c>
      <c r="Y1255" s="3">
        <f>IF(ISNUMBER(AVERAGE('20250815_ETF_Options_Exhibits'!Y1251:Y1255)),AVERAGE('20250815_ETF_Options_Exhibits'!Y1251:Y1255),"")</f>
        <v/>
      </c>
      <c r="Z1255" s="3">
        <f>IF(ISNUMBER(AVERAGE('20250815_ETF_Options_Exhibits'!Z1251:Z1255)),AVERAGE('20250815_ETF_Options_Exhibits'!Z1251:Z1255),"")</f>
        <v/>
      </c>
      <c r="AA1255" s="3">
        <f>IF(ISNUMBER(AVERAGE('20250815_ETF_Options_Exhibits'!AA1251:AA1255)),AVERAGE('20250815_ETF_Options_Exhibits'!AA1251:AA1255),"")</f>
        <v/>
      </c>
    </row>
    <row r="1256">
      <c r="A1256" s="1" t="n">
        <v>43823</v>
      </c>
      <c r="B1256" s="3">
        <f>IF(ISNUMBER(AVERAGE('20250815_ETF_Options_Exhibits'!B1252:B1256)),AVERAGE('20250815_ETF_Options_Exhibits'!B1252:B1256),"")</f>
        <v/>
      </c>
      <c r="C1256" s="3">
        <f>IF(ISNUMBER(AVERAGE('20250815_ETF_Options_Exhibits'!C1252:C1256)),AVERAGE('20250815_ETF_Options_Exhibits'!C1252:C1256),"")</f>
        <v/>
      </c>
      <c r="D1256" s="3">
        <f>IF(ISNUMBER(AVERAGE('20250815_ETF_Options_Exhibits'!D1252:D1256)),AVERAGE('20250815_ETF_Options_Exhibits'!D1252:D1256),"")</f>
        <v/>
      </c>
      <c r="E1256" s="3">
        <f>IF(ISNUMBER(AVERAGE('20250815_ETF_Options_Exhibits'!E1252:E1256)),AVERAGE('20250815_ETF_Options_Exhibits'!E1252:E1256),"")</f>
        <v/>
      </c>
      <c r="F1256" s="3">
        <f>IF(ISNUMBER(AVERAGE('20250815_ETF_Options_Exhibits'!F1252:F1256)),AVERAGE('20250815_ETF_Options_Exhibits'!F1252:F1256),"")</f>
        <v/>
      </c>
      <c r="G1256" s="3">
        <f>IF(ISNUMBER(AVERAGE('20250815_ETF_Options_Exhibits'!G1252:G1256)),AVERAGE('20250815_ETF_Options_Exhibits'!G1252:G1256),"")</f>
        <v/>
      </c>
      <c r="H1256" s="3">
        <f>IF(ISNUMBER(AVERAGE('20250815_ETF_Options_Exhibits'!H1252:H1256)),AVERAGE('20250815_ETF_Options_Exhibits'!H1252:H1256),"")</f>
        <v/>
      </c>
      <c r="I1256" s="3">
        <f>IF(ISNUMBER(AVERAGE('20250815_ETF_Options_Exhibits'!I1252:I1256)),AVERAGE('20250815_ETF_Options_Exhibits'!I1252:I1256),"")</f>
        <v/>
      </c>
      <c r="J1256" s="3">
        <f>IF(ISNUMBER(AVERAGE('20250815_ETF_Options_Exhibits'!J1252:J1256)),AVERAGE('20250815_ETF_Options_Exhibits'!J1252:J1256),"")</f>
        <v/>
      </c>
      <c r="K1256" s="3">
        <f>IF(ISNUMBER(AVERAGE('20250815_ETF_Options_Exhibits'!K1252:K1256)),AVERAGE('20250815_ETF_Options_Exhibits'!K1252:K1256),"")</f>
        <v/>
      </c>
      <c r="L1256" s="3">
        <f>IF(ISNUMBER(AVERAGE('20250815_ETF_Options_Exhibits'!L1252:L1256)),AVERAGE('20250815_ETF_Options_Exhibits'!L1252:L1256),"")</f>
        <v/>
      </c>
      <c r="M1256" s="3">
        <f>IF(ISNUMBER(AVERAGE('20250815_ETF_Options_Exhibits'!M1252:M1256)),AVERAGE('20250815_ETF_Options_Exhibits'!M1252:M1256),"")</f>
        <v/>
      </c>
      <c r="N1256" s="3">
        <f>IF(ISNUMBER(AVERAGE('20250815_ETF_Options_Exhibits'!N1252:N1256)),AVERAGE('20250815_ETF_Options_Exhibits'!N1252:N1256),"")</f>
        <v/>
      </c>
      <c r="O1256" s="3">
        <f>IF(ISNUMBER(AVERAGE('20250815_ETF_Options_Exhibits'!O1252:O1256)),AVERAGE('20250815_ETF_Options_Exhibits'!O1252:O1256),"")</f>
        <v/>
      </c>
      <c r="P1256" s="3">
        <f>IF(ISNUMBER(AVERAGE('20250815_ETF_Options_Exhibits'!P1252:P1256)),AVERAGE('20250815_ETF_Options_Exhibits'!P1252:P1256),"")</f>
        <v/>
      </c>
      <c r="Q1256" s="3">
        <f>IF(ISNUMBER(AVERAGE('20250815_ETF_Options_Exhibits'!Q1252:Q1256)),AVERAGE('20250815_ETF_Options_Exhibits'!Q1252:Q1256),"")</f>
        <v/>
      </c>
      <c r="R1256" s="3">
        <f>IF(ISNUMBER(AVERAGE('20250815_ETF_Options_Exhibits'!R1252:R1256)),AVERAGE('20250815_ETF_Options_Exhibits'!R1252:R1256),"")</f>
        <v/>
      </c>
      <c r="S1256" s="3">
        <f>IF(ISNUMBER(AVERAGE('20250815_ETF_Options_Exhibits'!S1252:S1256)),AVERAGE('20250815_ETF_Options_Exhibits'!S1252:S1256),"")</f>
        <v/>
      </c>
      <c r="T1256" s="3">
        <f>IF(ISNUMBER(AVERAGE('20250815_ETF_Options_Exhibits'!T1252:T1256)),AVERAGE('20250815_ETF_Options_Exhibits'!T1252:T1256),"")</f>
        <v/>
      </c>
      <c r="U1256" s="3">
        <f>IF(ISNUMBER(AVERAGE('20250815_ETF_Options_Exhibits'!U1252:U1256)),AVERAGE('20250815_ETF_Options_Exhibits'!U1252:U1256),"")</f>
        <v/>
      </c>
      <c r="V1256" s="3">
        <f>IF(ISNUMBER(AVERAGE('20250815_ETF_Options_Exhibits'!V1252:V1256)),AVERAGE('20250815_ETF_Options_Exhibits'!V1252:V1256),"")</f>
        <v/>
      </c>
      <c r="W1256" s="3">
        <f>IF(ISNUMBER(AVERAGE('20250815_ETF_Options_Exhibits'!W1252:W1256)),AVERAGE('20250815_ETF_Options_Exhibits'!W1252:W1256),"")</f>
        <v/>
      </c>
      <c r="X1256" s="3">
        <f>IF(ISNUMBER(AVERAGE('20250815_ETF_Options_Exhibits'!X1252:X1256)),AVERAGE('20250815_ETF_Options_Exhibits'!X1252:X1256),"")</f>
        <v/>
      </c>
      <c r="Y1256" s="3">
        <f>IF(ISNUMBER(AVERAGE('20250815_ETF_Options_Exhibits'!Y1252:Y1256)),AVERAGE('20250815_ETF_Options_Exhibits'!Y1252:Y1256),"")</f>
        <v/>
      </c>
      <c r="Z1256" s="3">
        <f>IF(ISNUMBER(AVERAGE('20250815_ETF_Options_Exhibits'!Z1252:Z1256)),AVERAGE('20250815_ETF_Options_Exhibits'!Z1252:Z1256),"")</f>
        <v/>
      </c>
      <c r="AA1256" s="3">
        <f>IF(ISNUMBER(AVERAGE('20250815_ETF_Options_Exhibits'!AA1252:AA1256)),AVERAGE('20250815_ETF_Options_Exhibits'!AA1252:AA1256),"")</f>
        <v/>
      </c>
    </row>
    <row r="1257">
      <c r="A1257" s="1" t="n">
        <v>43825</v>
      </c>
      <c r="B1257" s="3">
        <f>IF(ISNUMBER(AVERAGE('20250815_ETF_Options_Exhibits'!B1253:B1257)),AVERAGE('20250815_ETF_Options_Exhibits'!B1253:B1257),"")</f>
        <v/>
      </c>
      <c r="C1257" s="3">
        <f>IF(ISNUMBER(AVERAGE('20250815_ETF_Options_Exhibits'!C1253:C1257)),AVERAGE('20250815_ETF_Options_Exhibits'!C1253:C1257),"")</f>
        <v/>
      </c>
      <c r="D1257" s="3">
        <f>IF(ISNUMBER(AVERAGE('20250815_ETF_Options_Exhibits'!D1253:D1257)),AVERAGE('20250815_ETF_Options_Exhibits'!D1253:D1257),"")</f>
        <v/>
      </c>
      <c r="E1257" s="3">
        <f>IF(ISNUMBER(AVERAGE('20250815_ETF_Options_Exhibits'!E1253:E1257)),AVERAGE('20250815_ETF_Options_Exhibits'!E1253:E1257),"")</f>
        <v/>
      </c>
      <c r="F1257" s="3">
        <f>IF(ISNUMBER(AVERAGE('20250815_ETF_Options_Exhibits'!F1253:F1257)),AVERAGE('20250815_ETF_Options_Exhibits'!F1253:F1257),"")</f>
        <v/>
      </c>
      <c r="G1257" s="3">
        <f>IF(ISNUMBER(AVERAGE('20250815_ETF_Options_Exhibits'!G1253:G1257)),AVERAGE('20250815_ETF_Options_Exhibits'!G1253:G1257),"")</f>
        <v/>
      </c>
      <c r="H1257" s="3">
        <f>IF(ISNUMBER(AVERAGE('20250815_ETF_Options_Exhibits'!H1253:H1257)),AVERAGE('20250815_ETF_Options_Exhibits'!H1253:H1257),"")</f>
        <v/>
      </c>
      <c r="I1257" s="3">
        <f>IF(ISNUMBER(AVERAGE('20250815_ETF_Options_Exhibits'!I1253:I1257)),AVERAGE('20250815_ETF_Options_Exhibits'!I1253:I1257),"")</f>
        <v/>
      </c>
      <c r="J1257" s="3">
        <f>IF(ISNUMBER(AVERAGE('20250815_ETF_Options_Exhibits'!J1253:J1257)),AVERAGE('20250815_ETF_Options_Exhibits'!J1253:J1257),"")</f>
        <v/>
      </c>
      <c r="K1257" s="3">
        <f>IF(ISNUMBER(AVERAGE('20250815_ETF_Options_Exhibits'!K1253:K1257)),AVERAGE('20250815_ETF_Options_Exhibits'!K1253:K1257),"")</f>
        <v/>
      </c>
      <c r="L1257" s="3">
        <f>IF(ISNUMBER(AVERAGE('20250815_ETF_Options_Exhibits'!L1253:L1257)),AVERAGE('20250815_ETF_Options_Exhibits'!L1253:L1257),"")</f>
        <v/>
      </c>
      <c r="M1257" s="3">
        <f>IF(ISNUMBER(AVERAGE('20250815_ETF_Options_Exhibits'!M1253:M1257)),AVERAGE('20250815_ETF_Options_Exhibits'!M1253:M1257),"")</f>
        <v/>
      </c>
      <c r="N1257" s="3">
        <f>IF(ISNUMBER(AVERAGE('20250815_ETF_Options_Exhibits'!N1253:N1257)),AVERAGE('20250815_ETF_Options_Exhibits'!N1253:N1257),"")</f>
        <v/>
      </c>
      <c r="O1257" s="3">
        <f>IF(ISNUMBER(AVERAGE('20250815_ETF_Options_Exhibits'!O1253:O1257)),AVERAGE('20250815_ETF_Options_Exhibits'!O1253:O1257),"")</f>
        <v/>
      </c>
      <c r="P1257" s="3">
        <f>IF(ISNUMBER(AVERAGE('20250815_ETF_Options_Exhibits'!P1253:P1257)),AVERAGE('20250815_ETF_Options_Exhibits'!P1253:P1257),"")</f>
        <v/>
      </c>
      <c r="Q1257" s="3">
        <f>IF(ISNUMBER(AVERAGE('20250815_ETF_Options_Exhibits'!Q1253:Q1257)),AVERAGE('20250815_ETF_Options_Exhibits'!Q1253:Q1257),"")</f>
        <v/>
      </c>
      <c r="R1257" s="3">
        <f>IF(ISNUMBER(AVERAGE('20250815_ETF_Options_Exhibits'!R1253:R1257)),AVERAGE('20250815_ETF_Options_Exhibits'!R1253:R1257),"")</f>
        <v/>
      </c>
      <c r="S1257" s="3">
        <f>IF(ISNUMBER(AVERAGE('20250815_ETF_Options_Exhibits'!S1253:S1257)),AVERAGE('20250815_ETF_Options_Exhibits'!S1253:S1257),"")</f>
        <v/>
      </c>
      <c r="T1257" s="3">
        <f>IF(ISNUMBER(AVERAGE('20250815_ETF_Options_Exhibits'!T1253:T1257)),AVERAGE('20250815_ETF_Options_Exhibits'!T1253:T1257),"")</f>
        <v/>
      </c>
      <c r="U1257" s="3">
        <f>IF(ISNUMBER(AVERAGE('20250815_ETF_Options_Exhibits'!U1253:U1257)),AVERAGE('20250815_ETF_Options_Exhibits'!U1253:U1257),"")</f>
        <v/>
      </c>
      <c r="V1257" s="3">
        <f>IF(ISNUMBER(AVERAGE('20250815_ETF_Options_Exhibits'!V1253:V1257)),AVERAGE('20250815_ETF_Options_Exhibits'!V1253:V1257),"")</f>
        <v/>
      </c>
      <c r="W1257" s="3">
        <f>IF(ISNUMBER(AVERAGE('20250815_ETF_Options_Exhibits'!W1253:W1257)),AVERAGE('20250815_ETF_Options_Exhibits'!W1253:W1257),"")</f>
        <v/>
      </c>
      <c r="X1257" s="3">
        <f>IF(ISNUMBER(AVERAGE('20250815_ETF_Options_Exhibits'!X1253:X1257)),AVERAGE('20250815_ETF_Options_Exhibits'!X1253:X1257),"")</f>
        <v/>
      </c>
      <c r="Y1257" s="3">
        <f>IF(ISNUMBER(AVERAGE('20250815_ETF_Options_Exhibits'!Y1253:Y1257)),AVERAGE('20250815_ETF_Options_Exhibits'!Y1253:Y1257),"")</f>
        <v/>
      </c>
      <c r="Z1257" s="3">
        <f>IF(ISNUMBER(AVERAGE('20250815_ETF_Options_Exhibits'!Z1253:Z1257)),AVERAGE('20250815_ETF_Options_Exhibits'!Z1253:Z1257),"")</f>
        <v/>
      </c>
      <c r="AA1257" s="3">
        <f>IF(ISNUMBER(AVERAGE('20250815_ETF_Options_Exhibits'!AA1253:AA1257)),AVERAGE('20250815_ETF_Options_Exhibits'!AA1253:AA1257),"")</f>
        <v/>
      </c>
    </row>
    <row r="1258">
      <c r="A1258" s="1" t="n">
        <v>43826</v>
      </c>
      <c r="B1258" s="3">
        <f>IF(ISNUMBER(AVERAGE('20250815_ETF_Options_Exhibits'!B1254:B1258)),AVERAGE('20250815_ETF_Options_Exhibits'!B1254:B1258),"")</f>
        <v/>
      </c>
      <c r="C1258" s="3">
        <f>IF(ISNUMBER(AVERAGE('20250815_ETF_Options_Exhibits'!C1254:C1258)),AVERAGE('20250815_ETF_Options_Exhibits'!C1254:C1258),"")</f>
        <v/>
      </c>
      <c r="D1258" s="3">
        <f>IF(ISNUMBER(AVERAGE('20250815_ETF_Options_Exhibits'!D1254:D1258)),AVERAGE('20250815_ETF_Options_Exhibits'!D1254:D1258),"")</f>
        <v/>
      </c>
      <c r="E1258" s="3">
        <f>IF(ISNUMBER(AVERAGE('20250815_ETF_Options_Exhibits'!E1254:E1258)),AVERAGE('20250815_ETF_Options_Exhibits'!E1254:E1258),"")</f>
        <v/>
      </c>
      <c r="F1258" s="3">
        <f>IF(ISNUMBER(AVERAGE('20250815_ETF_Options_Exhibits'!F1254:F1258)),AVERAGE('20250815_ETF_Options_Exhibits'!F1254:F1258),"")</f>
        <v/>
      </c>
      <c r="G1258" s="3">
        <f>IF(ISNUMBER(AVERAGE('20250815_ETF_Options_Exhibits'!G1254:G1258)),AVERAGE('20250815_ETF_Options_Exhibits'!G1254:G1258),"")</f>
        <v/>
      </c>
      <c r="H1258" s="3">
        <f>IF(ISNUMBER(AVERAGE('20250815_ETF_Options_Exhibits'!H1254:H1258)),AVERAGE('20250815_ETF_Options_Exhibits'!H1254:H1258),"")</f>
        <v/>
      </c>
      <c r="I1258" s="3">
        <f>IF(ISNUMBER(AVERAGE('20250815_ETF_Options_Exhibits'!I1254:I1258)),AVERAGE('20250815_ETF_Options_Exhibits'!I1254:I1258),"")</f>
        <v/>
      </c>
      <c r="J1258" s="3">
        <f>IF(ISNUMBER(AVERAGE('20250815_ETF_Options_Exhibits'!J1254:J1258)),AVERAGE('20250815_ETF_Options_Exhibits'!J1254:J1258),"")</f>
        <v/>
      </c>
      <c r="K1258" s="3">
        <f>IF(ISNUMBER(AVERAGE('20250815_ETF_Options_Exhibits'!K1254:K1258)),AVERAGE('20250815_ETF_Options_Exhibits'!K1254:K1258),"")</f>
        <v/>
      </c>
      <c r="L1258" s="3">
        <f>IF(ISNUMBER(AVERAGE('20250815_ETF_Options_Exhibits'!L1254:L1258)),AVERAGE('20250815_ETF_Options_Exhibits'!L1254:L1258),"")</f>
        <v/>
      </c>
      <c r="M1258" s="3">
        <f>IF(ISNUMBER(AVERAGE('20250815_ETF_Options_Exhibits'!M1254:M1258)),AVERAGE('20250815_ETF_Options_Exhibits'!M1254:M1258),"")</f>
        <v/>
      </c>
      <c r="N1258" s="3">
        <f>IF(ISNUMBER(AVERAGE('20250815_ETF_Options_Exhibits'!N1254:N1258)),AVERAGE('20250815_ETF_Options_Exhibits'!N1254:N1258),"")</f>
        <v/>
      </c>
      <c r="O1258" s="3">
        <f>IF(ISNUMBER(AVERAGE('20250815_ETF_Options_Exhibits'!O1254:O1258)),AVERAGE('20250815_ETF_Options_Exhibits'!O1254:O1258),"")</f>
        <v/>
      </c>
      <c r="P1258" s="3">
        <f>IF(ISNUMBER(AVERAGE('20250815_ETF_Options_Exhibits'!P1254:P1258)),AVERAGE('20250815_ETF_Options_Exhibits'!P1254:P1258),"")</f>
        <v/>
      </c>
      <c r="Q1258" s="3">
        <f>IF(ISNUMBER(AVERAGE('20250815_ETF_Options_Exhibits'!Q1254:Q1258)),AVERAGE('20250815_ETF_Options_Exhibits'!Q1254:Q1258),"")</f>
        <v/>
      </c>
      <c r="R1258" s="3">
        <f>IF(ISNUMBER(AVERAGE('20250815_ETF_Options_Exhibits'!R1254:R1258)),AVERAGE('20250815_ETF_Options_Exhibits'!R1254:R1258),"")</f>
        <v/>
      </c>
      <c r="S1258" s="3">
        <f>IF(ISNUMBER(AVERAGE('20250815_ETF_Options_Exhibits'!S1254:S1258)),AVERAGE('20250815_ETF_Options_Exhibits'!S1254:S1258),"")</f>
        <v/>
      </c>
      <c r="T1258" s="3">
        <f>IF(ISNUMBER(AVERAGE('20250815_ETF_Options_Exhibits'!T1254:T1258)),AVERAGE('20250815_ETF_Options_Exhibits'!T1254:T1258),"")</f>
        <v/>
      </c>
      <c r="U1258" s="3">
        <f>IF(ISNUMBER(AVERAGE('20250815_ETF_Options_Exhibits'!U1254:U1258)),AVERAGE('20250815_ETF_Options_Exhibits'!U1254:U1258),"")</f>
        <v/>
      </c>
      <c r="V1258" s="3">
        <f>IF(ISNUMBER(AVERAGE('20250815_ETF_Options_Exhibits'!V1254:V1258)),AVERAGE('20250815_ETF_Options_Exhibits'!V1254:V1258),"")</f>
        <v/>
      </c>
      <c r="W1258" s="3">
        <f>IF(ISNUMBER(AVERAGE('20250815_ETF_Options_Exhibits'!W1254:W1258)),AVERAGE('20250815_ETF_Options_Exhibits'!W1254:W1258),"")</f>
        <v/>
      </c>
      <c r="X1258" s="3">
        <f>IF(ISNUMBER(AVERAGE('20250815_ETF_Options_Exhibits'!X1254:X1258)),AVERAGE('20250815_ETF_Options_Exhibits'!X1254:X1258),"")</f>
        <v/>
      </c>
      <c r="Y1258" s="3">
        <f>IF(ISNUMBER(AVERAGE('20250815_ETF_Options_Exhibits'!Y1254:Y1258)),AVERAGE('20250815_ETF_Options_Exhibits'!Y1254:Y1258),"")</f>
        <v/>
      </c>
      <c r="Z1258" s="3">
        <f>IF(ISNUMBER(AVERAGE('20250815_ETF_Options_Exhibits'!Z1254:Z1258)),AVERAGE('20250815_ETF_Options_Exhibits'!Z1254:Z1258),"")</f>
        <v/>
      </c>
      <c r="AA1258" s="3">
        <f>IF(ISNUMBER(AVERAGE('20250815_ETF_Options_Exhibits'!AA1254:AA1258)),AVERAGE('20250815_ETF_Options_Exhibits'!AA1254:AA1258),"")</f>
        <v/>
      </c>
    </row>
    <row r="1259">
      <c r="A1259" s="1" t="n">
        <v>43829</v>
      </c>
      <c r="B1259" s="3">
        <f>IF(ISNUMBER(AVERAGE('20250815_ETF_Options_Exhibits'!B1255:B1259)),AVERAGE('20250815_ETF_Options_Exhibits'!B1255:B1259),"")</f>
        <v/>
      </c>
      <c r="C1259" s="3">
        <f>IF(ISNUMBER(AVERAGE('20250815_ETF_Options_Exhibits'!C1255:C1259)),AVERAGE('20250815_ETF_Options_Exhibits'!C1255:C1259),"")</f>
        <v/>
      </c>
      <c r="D1259" s="3">
        <f>IF(ISNUMBER(AVERAGE('20250815_ETF_Options_Exhibits'!D1255:D1259)),AVERAGE('20250815_ETF_Options_Exhibits'!D1255:D1259),"")</f>
        <v/>
      </c>
      <c r="E1259" s="3">
        <f>IF(ISNUMBER(AVERAGE('20250815_ETF_Options_Exhibits'!E1255:E1259)),AVERAGE('20250815_ETF_Options_Exhibits'!E1255:E1259),"")</f>
        <v/>
      </c>
      <c r="F1259" s="3">
        <f>IF(ISNUMBER(AVERAGE('20250815_ETF_Options_Exhibits'!F1255:F1259)),AVERAGE('20250815_ETF_Options_Exhibits'!F1255:F1259),"")</f>
        <v/>
      </c>
      <c r="G1259" s="3">
        <f>IF(ISNUMBER(AVERAGE('20250815_ETF_Options_Exhibits'!G1255:G1259)),AVERAGE('20250815_ETF_Options_Exhibits'!G1255:G1259),"")</f>
        <v/>
      </c>
      <c r="H1259" s="3">
        <f>IF(ISNUMBER(AVERAGE('20250815_ETF_Options_Exhibits'!H1255:H1259)),AVERAGE('20250815_ETF_Options_Exhibits'!H1255:H1259),"")</f>
        <v/>
      </c>
      <c r="I1259" s="3">
        <f>IF(ISNUMBER(AVERAGE('20250815_ETF_Options_Exhibits'!I1255:I1259)),AVERAGE('20250815_ETF_Options_Exhibits'!I1255:I1259),"")</f>
        <v/>
      </c>
      <c r="J1259" s="3">
        <f>IF(ISNUMBER(AVERAGE('20250815_ETF_Options_Exhibits'!J1255:J1259)),AVERAGE('20250815_ETF_Options_Exhibits'!J1255:J1259),"")</f>
        <v/>
      </c>
      <c r="K1259" s="3">
        <f>IF(ISNUMBER(AVERAGE('20250815_ETF_Options_Exhibits'!K1255:K1259)),AVERAGE('20250815_ETF_Options_Exhibits'!K1255:K1259),"")</f>
        <v/>
      </c>
      <c r="L1259" s="3">
        <f>IF(ISNUMBER(AVERAGE('20250815_ETF_Options_Exhibits'!L1255:L1259)),AVERAGE('20250815_ETF_Options_Exhibits'!L1255:L1259),"")</f>
        <v/>
      </c>
      <c r="M1259" s="3">
        <f>IF(ISNUMBER(AVERAGE('20250815_ETF_Options_Exhibits'!M1255:M1259)),AVERAGE('20250815_ETF_Options_Exhibits'!M1255:M1259),"")</f>
        <v/>
      </c>
      <c r="N1259" s="3">
        <f>IF(ISNUMBER(AVERAGE('20250815_ETF_Options_Exhibits'!N1255:N1259)),AVERAGE('20250815_ETF_Options_Exhibits'!N1255:N1259),"")</f>
        <v/>
      </c>
      <c r="O1259" s="3">
        <f>IF(ISNUMBER(AVERAGE('20250815_ETF_Options_Exhibits'!O1255:O1259)),AVERAGE('20250815_ETF_Options_Exhibits'!O1255:O1259),"")</f>
        <v/>
      </c>
      <c r="P1259" s="3">
        <f>IF(ISNUMBER(AVERAGE('20250815_ETF_Options_Exhibits'!P1255:P1259)),AVERAGE('20250815_ETF_Options_Exhibits'!P1255:P1259),"")</f>
        <v/>
      </c>
      <c r="Q1259" s="3">
        <f>IF(ISNUMBER(AVERAGE('20250815_ETF_Options_Exhibits'!Q1255:Q1259)),AVERAGE('20250815_ETF_Options_Exhibits'!Q1255:Q1259),"")</f>
        <v/>
      </c>
      <c r="R1259" s="3">
        <f>IF(ISNUMBER(AVERAGE('20250815_ETF_Options_Exhibits'!R1255:R1259)),AVERAGE('20250815_ETF_Options_Exhibits'!R1255:R1259),"")</f>
        <v/>
      </c>
      <c r="S1259" s="3">
        <f>IF(ISNUMBER(AVERAGE('20250815_ETF_Options_Exhibits'!S1255:S1259)),AVERAGE('20250815_ETF_Options_Exhibits'!S1255:S1259),"")</f>
        <v/>
      </c>
      <c r="T1259" s="3">
        <f>IF(ISNUMBER(AVERAGE('20250815_ETF_Options_Exhibits'!T1255:T1259)),AVERAGE('20250815_ETF_Options_Exhibits'!T1255:T1259),"")</f>
        <v/>
      </c>
      <c r="U1259" s="3">
        <f>IF(ISNUMBER(AVERAGE('20250815_ETF_Options_Exhibits'!U1255:U1259)),AVERAGE('20250815_ETF_Options_Exhibits'!U1255:U1259),"")</f>
        <v/>
      </c>
      <c r="V1259" s="3">
        <f>IF(ISNUMBER(AVERAGE('20250815_ETF_Options_Exhibits'!V1255:V1259)),AVERAGE('20250815_ETF_Options_Exhibits'!V1255:V1259),"")</f>
        <v/>
      </c>
      <c r="W1259" s="3">
        <f>IF(ISNUMBER(AVERAGE('20250815_ETF_Options_Exhibits'!W1255:W1259)),AVERAGE('20250815_ETF_Options_Exhibits'!W1255:W1259),"")</f>
        <v/>
      </c>
      <c r="X1259" s="3">
        <f>IF(ISNUMBER(AVERAGE('20250815_ETF_Options_Exhibits'!X1255:X1259)),AVERAGE('20250815_ETF_Options_Exhibits'!X1255:X1259),"")</f>
        <v/>
      </c>
      <c r="Y1259" s="3">
        <f>IF(ISNUMBER(AVERAGE('20250815_ETF_Options_Exhibits'!Y1255:Y1259)),AVERAGE('20250815_ETF_Options_Exhibits'!Y1255:Y1259),"")</f>
        <v/>
      </c>
      <c r="Z1259" s="3">
        <f>IF(ISNUMBER(AVERAGE('20250815_ETF_Options_Exhibits'!Z1255:Z1259)),AVERAGE('20250815_ETF_Options_Exhibits'!Z1255:Z1259),"")</f>
        <v/>
      </c>
      <c r="AA1259" s="3">
        <f>IF(ISNUMBER(AVERAGE('20250815_ETF_Options_Exhibits'!AA1255:AA1259)),AVERAGE('20250815_ETF_Options_Exhibits'!AA1255:AA1259),"")</f>
        <v/>
      </c>
    </row>
    <row r="1260">
      <c r="A1260" s="1" t="n">
        <v>43830</v>
      </c>
      <c r="B1260" s="3">
        <f>IF(ISNUMBER(AVERAGE('20250815_ETF_Options_Exhibits'!B1256:B1260)),AVERAGE('20250815_ETF_Options_Exhibits'!B1256:B1260),"")</f>
        <v/>
      </c>
      <c r="C1260" s="3">
        <f>IF(ISNUMBER(AVERAGE('20250815_ETF_Options_Exhibits'!C1256:C1260)),AVERAGE('20250815_ETF_Options_Exhibits'!C1256:C1260),"")</f>
        <v/>
      </c>
      <c r="D1260" s="3">
        <f>IF(ISNUMBER(AVERAGE('20250815_ETF_Options_Exhibits'!D1256:D1260)),AVERAGE('20250815_ETF_Options_Exhibits'!D1256:D1260),"")</f>
        <v/>
      </c>
      <c r="E1260" s="3">
        <f>IF(ISNUMBER(AVERAGE('20250815_ETF_Options_Exhibits'!E1256:E1260)),AVERAGE('20250815_ETF_Options_Exhibits'!E1256:E1260),"")</f>
        <v/>
      </c>
      <c r="F1260" s="3">
        <f>IF(ISNUMBER(AVERAGE('20250815_ETF_Options_Exhibits'!F1256:F1260)),AVERAGE('20250815_ETF_Options_Exhibits'!F1256:F1260),"")</f>
        <v/>
      </c>
      <c r="G1260" s="3">
        <f>IF(ISNUMBER(AVERAGE('20250815_ETF_Options_Exhibits'!G1256:G1260)),AVERAGE('20250815_ETF_Options_Exhibits'!G1256:G1260),"")</f>
        <v/>
      </c>
      <c r="H1260" s="3">
        <f>IF(ISNUMBER(AVERAGE('20250815_ETF_Options_Exhibits'!H1256:H1260)),AVERAGE('20250815_ETF_Options_Exhibits'!H1256:H1260),"")</f>
        <v/>
      </c>
      <c r="I1260" s="3">
        <f>IF(ISNUMBER(AVERAGE('20250815_ETF_Options_Exhibits'!I1256:I1260)),AVERAGE('20250815_ETF_Options_Exhibits'!I1256:I1260),"")</f>
        <v/>
      </c>
      <c r="J1260" s="3">
        <f>IF(ISNUMBER(AVERAGE('20250815_ETF_Options_Exhibits'!J1256:J1260)),AVERAGE('20250815_ETF_Options_Exhibits'!J1256:J1260),"")</f>
        <v/>
      </c>
      <c r="K1260" s="3">
        <f>IF(ISNUMBER(AVERAGE('20250815_ETF_Options_Exhibits'!K1256:K1260)),AVERAGE('20250815_ETF_Options_Exhibits'!K1256:K1260),"")</f>
        <v/>
      </c>
      <c r="L1260" s="3">
        <f>IF(ISNUMBER(AVERAGE('20250815_ETF_Options_Exhibits'!L1256:L1260)),AVERAGE('20250815_ETF_Options_Exhibits'!L1256:L1260),"")</f>
        <v/>
      </c>
      <c r="M1260" s="3">
        <f>IF(ISNUMBER(AVERAGE('20250815_ETF_Options_Exhibits'!M1256:M1260)),AVERAGE('20250815_ETF_Options_Exhibits'!M1256:M1260),"")</f>
        <v/>
      </c>
      <c r="N1260" s="3">
        <f>IF(ISNUMBER(AVERAGE('20250815_ETF_Options_Exhibits'!N1256:N1260)),AVERAGE('20250815_ETF_Options_Exhibits'!N1256:N1260),"")</f>
        <v/>
      </c>
      <c r="O1260" s="3">
        <f>IF(ISNUMBER(AVERAGE('20250815_ETF_Options_Exhibits'!O1256:O1260)),AVERAGE('20250815_ETF_Options_Exhibits'!O1256:O1260),"")</f>
        <v/>
      </c>
      <c r="P1260" s="3">
        <f>IF(ISNUMBER(AVERAGE('20250815_ETF_Options_Exhibits'!P1256:P1260)),AVERAGE('20250815_ETF_Options_Exhibits'!P1256:P1260),"")</f>
        <v/>
      </c>
      <c r="Q1260" s="3">
        <f>IF(ISNUMBER(AVERAGE('20250815_ETF_Options_Exhibits'!Q1256:Q1260)),AVERAGE('20250815_ETF_Options_Exhibits'!Q1256:Q1260),"")</f>
        <v/>
      </c>
      <c r="R1260" s="3">
        <f>IF(ISNUMBER(AVERAGE('20250815_ETF_Options_Exhibits'!R1256:R1260)),AVERAGE('20250815_ETF_Options_Exhibits'!R1256:R1260),"")</f>
        <v/>
      </c>
      <c r="S1260" s="3">
        <f>IF(ISNUMBER(AVERAGE('20250815_ETF_Options_Exhibits'!S1256:S1260)),AVERAGE('20250815_ETF_Options_Exhibits'!S1256:S1260),"")</f>
        <v/>
      </c>
      <c r="T1260" s="3">
        <f>IF(ISNUMBER(AVERAGE('20250815_ETF_Options_Exhibits'!T1256:T1260)),AVERAGE('20250815_ETF_Options_Exhibits'!T1256:T1260),"")</f>
        <v/>
      </c>
      <c r="U1260" s="3">
        <f>IF(ISNUMBER(AVERAGE('20250815_ETF_Options_Exhibits'!U1256:U1260)),AVERAGE('20250815_ETF_Options_Exhibits'!U1256:U1260),"")</f>
        <v/>
      </c>
      <c r="V1260" s="3">
        <f>IF(ISNUMBER(AVERAGE('20250815_ETF_Options_Exhibits'!V1256:V1260)),AVERAGE('20250815_ETF_Options_Exhibits'!V1256:V1260),"")</f>
        <v/>
      </c>
      <c r="W1260" s="3">
        <f>IF(ISNUMBER(AVERAGE('20250815_ETF_Options_Exhibits'!W1256:W1260)),AVERAGE('20250815_ETF_Options_Exhibits'!W1256:W1260),"")</f>
        <v/>
      </c>
      <c r="X1260" s="3">
        <f>IF(ISNUMBER(AVERAGE('20250815_ETF_Options_Exhibits'!X1256:X1260)),AVERAGE('20250815_ETF_Options_Exhibits'!X1256:X1260),"")</f>
        <v/>
      </c>
      <c r="Y1260" s="3">
        <f>IF(ISNUMBER(AVERAGE('20250815_ETF_Options_Exhibits'!Y1256:Y1260)),AVERAGE('20250815_ETF_Options_Exhibits'!Y1256:Y1260),"")</f>
        <v/>
      </c>
      <c r="Z1260" s="3">
        <f>IF(ISNUMBER(AVERAGE('20250815_ETF_Options_Exhibits'!Z1256:Z1260)),AVERAGE('20250815_ETF_Options_Exhibits'!Z1256:Z1260),"")</f>
        <v/>
      </c>
      <c r="AA1260" s="3">
        <f>IF(ISNUMBER(AVERAGE('20250815_ETF_Options_Exhibits'!AA1256:AA1260)),AVERAGE('20250815_ETF_Options_Exhibits'!AA1256:AA1260),"")</f>
        <v/>
      </c>
    </row>
    <row r="1261">
      <c r="A1261" s="1" t="n">
        <v>43832</v>
      </c>
      <c r="B1261" s="3">
        <f>IF(ISNUMBER(AVERAGE('20250815_ETF_Options_Exhibits'!B1257:B1261)),AVERAGE('20250815_ETF_Options_Exhibits'!B1257:B1261),"")</f>
        <v/>
      </c>
      <c r="C1261" s="3">
        <f>IF(ISNUMBER(AVERAGE('20250815_ETF_Options_Exhibits'!C1257:C1261)),AVERAGE('20250815_ETF_Options_Exhibits'!C1257:C1261),"")</f>
        <v/>
      </c>
      <c r="D1261" s="3">
        <f>IF(ISNUMBER(AVERAGE('20250815_ETF_Options_Exhibits'!D1257:D1261)),AVERAGE('20250815_ETF_Options_Exhibits'!D1257:D1261),"")</f>
        <v/>
      </c>
      <c r="E1261" s="3">
        <f>IF(ISNUMBER(AVERAGE('20250815_ETF_Options_Exhibits'!E1257:E1261)),AVERAGE('20250815_ETF_Options_Exhibits'!E1257:E1261),"")</f>
        <v/>
      </c>
      <c r="F1261" s="3">
        <f>IF(ISNUMBER(AVERAGE('20250815_ETF_Options_Exhibits'!F1257:F1261)),AVERAGE('20250815_ETF_Options_Exhibits'!F1257:F1261),"")</f>
        <v/>
      </c>
      <c r="G1261" s="3">
        <f>IF(ISNUMBER(AVERAGE('20250815_ETF_Options_Exhibits'!G1257:G1261)),AVERAGE('20250815_ETF_Options_Exhibits'!G1257:G1261),"")</f>
        <v/>
      </c>
      <c r="H1261" s="3">
        <f>IF(ISNUMBER(AVERAGE('20250815_ETF_Options_Exhibits'!H1257:H1261)),AVERAGE('20250815_ETF_Options_Exhibits'!H1257:H1261),"")</f>
        <v/>
      </c>
      <c r="I1261" s="3">
        <f>IF(ISNUMBER(AVERAGE('20250815_ETF_Options_Exhibits'!I1257:I1261)),AVERAGE('20250815_ETF_Options_Exhibits'!I1257:I1261),"")</f>
        <v/>
      </c>
      <c r="J1261" s="3">
        <f>IF(ISNUMBER(AVERAGE('20250815_ETF_Options_Exhibits'!J1257:J1261)),AVERAGE('20250815_ETF_Options_Exhibits'!J1257:J1261),"")</f>
        <v/>
      </c>
      <c r="K1261" s="3">
        <f>IF(ISNUMBER(AVERAGE('20250815_ETF_Options_Exhibits'!K1257:K1261)),AVERAGE('20250815_ETF_Options_Exhibits'!K1257:K1261),"")</f>
        <v/>
      </c>
      <c r="L1261" s="3">
        <f>IF(ISNUMBER(AVERAGE('20250815_ETF_Options_Exhibits'!L1257:L1261)),AVERAGE('20250815_ETF_Options_Exhibits'!L1257:L1261),"")</f>
        <v/>
      </c>
      <c r="M1261" s="3">
        <f>IF(ISNUMBER(AVERAGE('20250815_ETF_Options_Exhibits'!M1257:M1261)),AVERAGE('20250815_ETF_Options_Exhibits'!M1257:M1261),"")</f>
        <v/>
      </c>
      <c r="N1261" s="3">
        <f>IF(ISNUMBER(AVERAGE('20250815_ETF_Options_Exhibits'!N1257:N1261)),AVERAGE('20250815_ETF_Options_Exhibits'!N1257:N1261),"")</f>
        <v/>
      </c>
      <c r="O1261" s="3">
        <f>IF(ISNUMBER(AVERAGE('20250815_ETF_Options_Exhibits'!O1257:O1261)),AVERAGE('20250815_ETF_Options_Exhibits'!O1257:O1261),"")</f>
        <v/>
      </c>
      <c r="P1261" s="3">
        <f>IF(ISNUMBER(AVERAGE('20250815_ETF_Options_Exhibits'!P1257:P1261)),AVERAGE('20250815_ETF_Options_Exhibits'!P1257:P1261),"")</f>
        <v/>
      </c>
      <c r="Q1261" s="3">
        <f>IF(ISNUMBER(AVERAGE('20250815_ETF_Options_Exhibits'!Q1257:Q1261)),AVERAGE('20250815_ETF_Options_Exhibits'!Q1257:Q1261),"")</f>
        <v/>
      </c>
      <c r="R1261" s="3">
        <f>IF(ISNUMBER(AVERAGE('20250815_ETF_Options_Exhibits'!R1257:R1261)),AVERAGE('20250815_ETF_Options_Exhibits'!R1257:R1261),"")</f>
        <v/>
      </c>
      <c r="S1261" s="3">
        <f>IF(ISNUMBER(AVERAGE('20250815_ETF_Options_Exhibits'!S1257:S1261)),AVERAGE('20250815_ETF_Options_Exhibits'!S1257:S1261),"")</f>
        <v/>
      </c>
      <c r="T1261" s="3">
        <f>IF(ISNUMBER(AVERAGE('20250815_ETF_Options_Exhibits'!T1257:T1261)),AVERAGE('20250815_ETF_Options_Exhibits'!T1257:T1261),"")</f>
        <v/>
      </c>
      <c r="U1261" s="3">
        <f>IF(ISNUMBER(AVERAGE('20250815_ETF_Options_Exhibits'!U1257:U1261)),AVERAGE('20250815_ETF_Options_Exhibits'!U1257:U1261),"")</f>
        <v/>
      </c>
      <c r="V1261" s="3">
        <f>IF(ISNUMBER(AVERAGE('20250815_ETF_Options_Exhibits'!V1257:V1261)),AVERAGE('20250815_ETF_Options_Exhibits'!V1257:V1261),"")</f>
        <v/>
      </c>
      <c r="W1261" s="3">
        <f>IF(ISNUMBER(AVERAGE('20250815_ETF_Options_Exhibits'!W1257:W1261)),AVERAGE('20250815_ETF_Options_Exhibits'!W1257:W1261),"")</f>
        <v/>
      </c>
      <c r="X1261" s="3">
        <f>IF(ISNUMBER(AVERAGE('20250815_ETF_Options_Exhibits'!X1257:X1261)),AVERAGE('20250815_ETF_Options_Exhibits'!X1257:X1261),"")</f>
        <v/>
      </c>
      <c r="Y1261" s="3">
        <f>IF(ISNUMBER(AVERAGE('20250815_ETF_Options_Exhibits'!Y1257:Y1261)),AVERAGE('20250815_ETF_Options_Exhibits'!Y1257:Y1261),"")</f>
        <v/>
      </c>
      <c r="Z1261" s="3">
        <f>IF(ISNUMBER(AVERAGE('20250815_ETF_Options_Exhibits'!Z1257:Z1261)),AVERAGE('20250815_ETF_Options_Exhibits'!Z1257:Z1261),"")</f>
        <v/>
      </c>
      <c r="AA1261" s="3">
        <f>IF(ISNUMBER(AVERAGE('20250815_ETF_Options_Exhibits'!AA1257:AA1261)),AVERAGE('20250815_ETF_Options_Exhibits'!AA1257:AA1261),"")</f>
        <v/>
      </c>
    </row>
    <row r="1262">
      <c r="A1262" s="1" t="n">
        <v>43833</v>
      </c>
      <c r="B1262" s="3">
        <f>IF(ISNUMBER(AVERAGE('20250815_ETF_Options_Exhibits'!B1258:B1262)),AVERAGE('20250815_ETF_Options_Exhibits'!B1258:B1262),"")</f>
        <v/>
      </c>
      <c r="C1262" s="3">
        <f>IF(ISNUMBER(AVERAGE('20250815_ETF_Options_Exhibits'!C1258:C1262)),AVERAGE('20250815_ETF_Options_Exhibits'!C1258:C1262),"")</f>
        <v/>
      </c>
      <c r="D1262" s="3">
        <f>IF(ISNUMBER(AVERAGE('20250815_ETF_Options_Exhibits'!D1258:D1262)),AVERAGE('20250815_ETF_Options_Exhibits'!D1258:D1262),"")</f>
        <v/>
      </c>
      <c r="E1262" s="3">
        <f>IF(ISNUMBER(AVERAGE('20250815_ETF_Options_Exhibits'!E1258:E1262)),AVERAGE('20250815_ETF_Options_Exhibits'!E1258:E1262),"")</f>
        <v/>
      </c>
      <c r="F1262" s="3">
        <f>IF(ISNUMBER(AVERAGE('20250815_ETF_Options_Exhibits'!F1258:F1262)),AVERAGE('20250815_ETF_Options_Exhibits'!F1258:F1262),"")</f>
        <v/>
      </c>
      <c r="G1262" s="3">
        <f>IF(ISNUMBER(AVERAGE('20250815_ETF_Options_Exhibits'!G1258:G1262)),AVERAGE('20250815_ETF_Options_Exhibits'!G1258:G1262),"")</f>
        <v/>
      </c>
      <c r="H1262" s="3">
        <f>IF(ISNUMBER(AVERAGE('20250815_ETF_Options_Exhibits'!H1258:H1262)),AVERAGE('20250815_ETF_Options_Exhibits'!H1258:H1262),"")</f>
        <v/>
      </c>
      <c r="I1262" s="3">
        <f>IF(ISNUMBER(AVERAGE('20250815_ETF_Options_Exhibits'!I1258:I1262)),AVERAGE('20250815_ETF_Options_Exhibits'!I1258:I1262),"")</f>
        <v/>
      </c>
      <c r="J1262" s="3">
        <f>IF(ISNUMBER(AVERAGE('20250815_ETF_Options_Exhibits'!J1258:J1262)),AVERAGE('20250815_ETF_Options_Exhibits'!J1258:J1262),"")</f>
        <v/>
      </c>
      <c r="K1262" s="3">
        <f>IF(ISNUMBER(AVERAGE('20250815_ETF_Options_Exhibits'!K1258:K1262)),AVERAGE('20250815_ETF_Options_Exhibits'!K1258:K1262),"")</f>
        <v/>
      </c>
      <c r="L1262" s="3">
        <f>IF(ISNUMBER(AVERAGE('20250815_ETF_Options_Exhibits'!L1258:L1262)),AVERAGE('20250815_ETF_Options_Exhibits'!L1258:L1262),"")</f>
        <v/>
      </c>
      <c r="M1262" s="3">
        <f>IF(ISNUMBER(AVERAGE('20250815_ETF_Options_Exhibits'!M1258:M1262)),AVERAGE('20250815_ETF_Options_Exhibits'!M1258:M1262),"")</f>
        <v/>
      </c>
      <c r="N1262" s="3">
        <f>IF(ISNUMBER(AVERAGE('20250815_ETF_Options_Exhibits'!N1258:N1262)),AVERAGE('20250815_ETF_Options_Exhibits'!N1258:N1262),"")</f>
        <v/>
      </c>
      <c r="O1262" s="3">
        <f>IF(ISNUMBER(AVERAGE('20250815_ETF_Options_Exhibits'!O1258:O1262)),AVERAGE('20250815_ETF_Options_Exhibits'!O1258:O1262),"")</f>
        <v/>
      </c>
      <c r="P1262" s="3">
        <f>IF(ISNUMBER(AVERAGE('20250815_ETF_Options_Exhibits'!P1258:P1262)),AVERAGE('20250815_ETF_Options_Exhibits'!P1258:P1262),"")</f>
        <v/>
      </c>
      <c r="Q1262" s="3">
        <f>IF(ISNUMBER(AVERAGE('20250815_ETF_Options_Exhibits'!Q1258:Q1262)),AVERAGE('20250815_ETF_Options_Exhibits'!Q1258:Q1262),"")</f>
        <v/>
      </c>
      <c r="R1262" s="3">
        <f>IF(ISNUMBER(AVERAGE('20250815_ETF_Options_Exhibits'!R1258:R1262)),AVERAGE('20250815_ETF_Options_Exhibits'!R1258:R1262),"")</f>
        <v/>
      </c>
      <c r="S1262" s="3">
        <f>IF(ISNUMBER(AVERAGE('20250815_ETF_Options_Exhibits'!S1258:S1262)),AVERAGE('20250815_ETF_Options_Exhibits'!S1258:S1262),"")</f>
        <v/>
      </c>
      <c r="T1262" s="3">
        <f>IF(ISNUMBER(AVERAGE('20250815_ETF_Options_Exhibits'!T1258:T1262)),AVERAGE('20250815_ETF_Options_Exhibits'!T1258:T1262),"")</f>
        <v/>
      </c>
      <c r="U1262" s="3">
        <f>IF(ISNUMBER(AVERAGE('20250815_ETF_Options_Exhibits'!U1258:U1262)),AVERAGE('20250815_ETF_Options_Exhibits'!U1258:U1262),"")</f>
        <v/>
      </c>
      <c r="V1262" s="3">
        <f>IF(ISNUMBER(AVERAGE('20250815_ETF_Options_Exhibits'!V1258:V1262)),AVERAGE('20250815_ETF_Options_Exhibits'!V1258:V1262),"")</f>
        <v/>
      </c>
      <c r="W1262" s="3">
        <f>IF(ISNUMBER(AVERAGE('20250815_ETF_Options_Exhibits'!W1258:W1262)),AVERAGE('20250815_ETF_Options_Exhibits'!W1258:W1262),"")</f>
        <v/>
      </c>
      <c r="X1262" s="3">
        <f>IF(ISNUMBER(AVERAGE('20250815_ETF_Options_Exhibits'!X1258:X1262)),AVERAGE('20250815_ETF_Options_Exhibits'!X1258:X1262),"")</f>
        <v/>
      </c>
      <c r="Y1262" s="3">
        <f>IF(ISNUMBER(AVERAGE('20250815_ETF_Options_Exhibits'!Y1258:Y1262)),AVERAGE('20250815_ETF_Options_Exhibits'!Y1258:Y1262),"")</f>
        <v/>
      </c>
      <c r="Z1262" s="3">
        <f>IF(ISNUMBER(AVERAGE('20250815_ETF_Options_Exhibits'!Z1258:Z1262)),AVERAGE('20250815_ETF_Options_Exhibits'!Z1258:Z1262),"")</f>
        <v/>
      </c>
      <c r="AA1262" s="3">
        <f>IF(ISNUMBER(AVERAGE('20250815_ETF_Options_Exhibits'!AA1258:AA1262)),AVERAGE('20250815_ETF_Options_Exhibits'!AA1258:AA1262),"")</f>
        <v/>
      </c>
    </row>
    <row r="1263">
      <c r="A1263" s="1" t="n">
        <v>43836</v>
      </c>
      <c r="B1263" s="3">
        <f>IF(ISNUMBER(AVERAGE('20250815_ETF_Options_Exhibits'!B1259:B1263)),AVERAGE('20250815_ETF_Options_Exhibits'!B1259:B1263),"")</f>
        <v/>
      </c>
      <c r="C1263" s="3">
        <f>IF(ISNUMBER(AVERAGE('20250815_ETF_Options_Exhibits'!C1259:C1263)),AVERAGE('20250815_ETF_Options_Exhibits'!C1259:C1263),"")</f>
        <v/>
      </c>
      <c r="D1263" s="3">
        <f>IF(ISNUMBER(AVERAGE('20250815_ETF_Options_Exhibits'!D1259:D1263)),AVERAGE('20250815_ETF_Options_Exhibits'!D1259:D1263),"")</f>
        <v/>
      </c>
      <c r="E1263" s="3">
        <f>IF(ISNUMBER(AVERAGE('20250815_ETF_Options_Exhibits'!E1259:E1263)),AVERAGE('20250815_ETF_Options_Exhibits'!E1259:E1263),"")</f>
        <v/>
      </c>
      <c r="F1263" s="3">
        <f>IF(ISNUMBER(AVERAGE('20250815_ETF_Options_Exhibits'!F1259:F1263)),AVERAGE('20250815_ETF_Options_Exhibits'!F1259:F1263),"")</f>
        <v/>
      </c>
      <c r="G1263" s="3">
        <f>IF(ISNUMBER(AVERAGE('20250815_ETF_Options_Exhibits'!G1259:G1263)),AVERAGE('20250815_ETF_Options_Exhibits'!G1259:G1263),"")</f>
        <v/>
      </c>
      <c r="H1263" s="3">
        <f>IF(ISNUMBER(AVERAGE('20250815_ETF_Options_Exhibits'!H1259:H1263)),AVERAGE('20250815_ETF_Options_Exhibits'!H1259:H1263),"")</f>
        <v/>
      </c>
      <c r="I1263" s="3">
        <f>IF(ISNUMBER(AVERAGE('20250815_ETF_Options_Exhibits'!I1259:I1263)),AVERAGE('20250815_ETF_Options_Exhibits'!I1259:I1263),"")</f>
        <v/>
      </c>
      <c r="J1263" s="3">
        <f>IF(ISNUMBER(AVERAGE('20250815_ETF_Options_Exhibits'!J1259:J1263)),AVERAGE('20250815_ETF_Options_Exhibits'!J1259:J1263),"")</f>
        <v/>
      </c>
      <c r="K1263" s="3">
        <f>IF(ISNUMBER(AVERAGE('20250815_ETF_Options_Exhibits'!K1259:K1263)),AVERAGE('20250815_ETF_Options_Exhibits'!K1259:K1263),"")</f>
        <v/>
      </c>
      <c r="L1263" s="3">
        <f>IF(ISNUMBER(AVERAGE('20250815_ETF_Options_Exhibits'!L1259:L1263)),AVERAGE('20250815_ETF_Options_Exhibits'!L1259:L1263),"")</f>
        <v/>
      </c>
      <c r="M1263" s="3">
        <f>IF(ISNUMBER(AVERAGE('20250815_ETF_Options_Exhibits'!M1259:M1263)),AVERAGE('20250815_ETF_Options_Exhibits'!M1259:M1263),"")</f>
        <v/>
      </c>
      <c r="N1263" s="3">
        <f>IF(ISNUMBER(AVERAGE('20250815_ETF_Options_Exhibits'!N1259:N1263)),AVERAGE('20250815_ETF_Options_Exhibits'!N1259:N1263),"")</f>
        <v/>
      </c>
      <c r="O1263" s="3">
        <f>IF(ISNUMBER(AVERAGE('20250815_ETF_Options_Exhibits'!O1259:O1263)),AVERAGE('20250815_ETF_Options_Exhibits'!O1259:O1263),"")</f>
        <v/>
      </c>
      <c r="P1263" s="3">
        <f>IF(ISNUMBER(AVERAGE('20250815_ETF_Options_Exhibits'!P1259:P1263)),AVERAGE('20250815_ETF_Options_Exhibits'!P1259:P1263),"")</f>
        <v/>
      </c>
      <c r="Q1263" s="3">
        <f>IF(ISNUMBER(AVERAGE('20250815_ETF_Options_Exhibits'!Q1259:Q1263)),AVERAGE('20250815_ETF_Options_Exhibits'!Q1259:Q1263),"")</f>
        <v/>
      </c>
      <c r="R1263" s="3">
        <f>IF(ISNUMBER(AVERAGE('20250815_ETF_Options_Exhibits'!R1259:R1263)),AVERAGE('20250815_ETF_Options_Exhibits'!R1259:R1263),"")</f>
        <v/>
      </c>
      <c r="S1263" s="3">
        <f>IF(ISNUMBER(AVERAGE('20250815_ETF_Options_Exhibits'!S1259:S1263)),AVERAGE('20250815_ETF_Options_Exhibits'!S1259:S1263),"")</f>
        <v/>
      </c>
      <c r="T1263" s="3">
        <f>IF(ISNUMBER(AVERAGE('20250815_ETF_Options_Exhibits'!T1259:T1263)),AVERAGE('20250815_ETF_Options_Exhibits'!T1259:T1263),"")</f>
        <v/>
      </c>
      <c r="U1263" s="3">
        <f>IF(ISNUMBER(AVERAGE('20250815_ETF_Options_Exhibits'!U1259:U1263)),AVERAGE('20250815_ETF_Options_Exhibits'!U1259:U1263),"")</f>
        <v/>
      </c>
      <c r="V1263" s="3">
        <f>IF(ISNUMBER(AVERAGE('20250815_ETF_Options_Exhibits'!V1259:V1263)),AVERAGE('20250815_ETF_Options_Exhibits'!V1259:V1263),"")</f>
        <v/>
      </c>
      <c r="W1263" s="3">
        <f>IF(ISNUMBER(AVERAGE('20250815_ETF_Options_Exhibits'!W1259:W1263)),AVERAGE('20250815_ETF_Options_Exhibits'!W1259:W1263),"")</f>
        <v/>
      </c>
      <c r="X1263" s="3">
        <f>IF(ISNUMBER(AVERAGE('20250815_ETF_Options_Exhibits'!X1259:X1263)),AVERAGE('20250815_ETF_Options_Exhibits'!X1259:X1263),"")</f>
        <v/>
      </c>
      <c r="Y1263" s="3">
        <f>IF(ISNUMBER(AVERAGE('20250815_ETF_Options_Exhibits'!Y1259:Y1263)),AVERAGE('20250815_ETF_Options_Exhibits'!Y1259:Y1263),"")</f>
        <v/>
      </c>
      <c r="Z1263" s="3">
        <f>IF(ISNUMBER(AVERAGE('20250815_ETF_Options_Exhibits'!Z1259:Z1263)),AVERAGE('20250815_ETF_Options_Exhibits'!Z1259:Z1263),"")</f>
        <v/>
      </c>
      <c r="AA1263" s="3">
        <f>IF(ISNUMBER(AVERAGE('20250815_ETF_Options_Exhibits'!AA1259:AA1263)),AVERAGE('20250815_ETF_Options_Exhibits'!AA1259:AA1263),"")</f>
        <v/>
      </c>
    </row>
    <row r="1264">
      <c r="A1264" s="1" t="n">
        <v>43837</v>
      </c>
      <c r="B1264" s="3">
        <f>IF(ISNUMBER(AVERAGE('20250815_ETF_Options_Exhibits'!B1260:B1264)),AVERAGE('20250815_ETF_Options_Exhibits'!B1260:B1264),"")</f>
        <v/>
      </c>
      <c r="C1264" s="3">
        <f>IF(ISNUMBER(AVERAGE('20250815_ETF_Options_Exhibits'!C1260:C1264)),AVERAGE('20250815_ETF_Options_Exhibits'!C1260:C1264),"")</f>
        <v/>
      </c>
      <c r="D1264" s="3">
        <f>IF(ISNUMBER(AVERAGE('20250815_ETF_Options_Exhibits'!D1260:D1264)),AVERAGE('20250815_ETF_Options_Exhibits'!D1260:D1264),"")</f>
        <v/>
      </c>
      <c r="E1264" s="3">
        <f>IF(ISNUMBER(AVERAGE('20250815_ETF_Options_Exhibits'!E1260:E1264)),AVERAGE('20250815_ETF_Options_Exhibits'!E1260:E1264),"")</f>
        <v/>
      </c>
      <c r="F1264" s="3">
        <f>IF(ISNUMBER(AVERAGE('20250815_ETF_Options_Exhibits'!F1260:F1264)),AVERAGE('20250815_ETF_Options_Exhibits'!F1260:F1264),"")</f>
        <v/>
      </c>
      <c r="G1264" s="3">
        <f>IF(ISNUMBER(AVERAGE('20250815_ETF_Options_Exhibits'!G1260:G1264)),AVERAGE('20250815_ETF_Options_Exhibits'!G1260:G1264),"")</f>
        <v/>
      </c>
      <c r="H1264" s="3">
        <f>IF(ISNUMBER(AVERAGE('20250815_ETF_Options_Exhibits'!H1260:H1264)),AVERAGE('20250815_ETF_Options_Exhibits'!H1260:H1264),"")</f>
        <v/>
      </c>
      <c r="I1264" s="3">
        <f>IF(ISNUMBER(AVERAGE('20250815_ETF_Options_Exhibits'!I1260:I1264)),AVERAGE('20250815_ETF_Options_Exhibits'!I1260:I1264),"")</f>
        <v/>
      </c>
      <c r="J1264" s="3">
        <f>IF(ISNUMBER(AVERAGE('20250815_ETF_Options_Exhibits'!J1260:J1264)),AVERAGE('20250815_ETF_Options_Exhibits'!J1260:J1264),"")</f>
        <v/>
      </c>
      <c r="K1264" s="3">
        <f>IF(ISNUMBER(AVERAGE('20250815_ETF_Options_Exhibits'!K1260:K1264)),AVERAGE('20250815_ETF_Options_Exhibits'!K1260:K1264),"")</f>
        <v/>
      </c>
      <c r="L1264" s="3">
        <f>IF(ISNUMBER(AVERAGE('20250815_ETF_Options_Exhibits'!L1260:L1264)),AVERAGE('20250815_ETF_Options_Exhibits'!L1260:L1264),"")</f>
        <v/>
      </c>
      <c r="M1264" s="3">
        <f>IF(ISNUMBER(AVERAGE('20250815_ETF_Options_Exhibits'!M1260:M1264)),AVERAGE('20250815_ETF_Options_Exhibits'!M1260:M1264),"")</f>
        <v/>
      </c>
      <c r="N1264" s="3">
        <f>IF(ISNUMBER(AVERAGE('20250815_ETF_Options_Exhibits'!N1260:N1264)),AVERAGE('20250815_ETF_Options_Exhibits'!N1260:N1264),"")</f>
        <v/>
      </c>
      <c r="O1264" s="3">
        <f>IF(ISNUMBER(AVERAGE('20250815_ETF_Options_Exhibits'!O1260:O1264)),AVERAGE('20250815_ETF_Options_Exhibits'!O1260:O1264),"")</f>
        <v/>
      </c>
      <c r="P1264" s="3">
        <f>IF(ISNUMBER(AVERAGE('20250815_ETF_Options_Exhibits'!P1260:P1264)),AVERAGE('20250815_ETF_Options_Exhibits'!P1260:P1264),"")</f>
        <v/>
      </c>
      <c r="Q1264" s="3">
        <f>IF(ISNUMBER(AVERAGE('20250815_ETF_Options_Exhibits'!Q1260:Q1264)),AVERAGE('20250815_ETF_Options_Exhibits'!Q1260:Q1264),"")</f>
        <v/>
      </c>
      <c r="R1264" s="3">
        <f>IF(ISNUMBER(AVERAGE('20250815_ETF_Options_Exhibits'!R1260:R1264)),AVERAGE('20250815_ETF_Options_Exhibits'!R1260:R1264),"")</f>
        <v/>
      </c>
      <c r="S1264" s="3">
        <f>IF(ISNUMBER(AVERAGE('20250815_ETF_Options_Exhibits'!S1260:S1264)),AVERAGE('20250815_ETF_Options_Exhibits'!S1260:S1264),"")</f>
        <v/>
      </c>
      <c r="T1264" s="3">
        <f>IF(ISNUMBER(AVERAGE('20250815_ETF_Options_Exhibits'!T1260:T1264)),AVERAGE('20250815_ETF_Options_Exhibits'!T1260:T1264),"")</f>
        <v/>
      </c>
      <c r="U1264" s="3">
        <f>IF(ISNUMBER(AVERAGE('20250815_ETF_Options_Exhibits'!U1260:U1264)),AVERAGE('20250815_ETF_Options_Exhibits'!U1260:U1264),"")</f>
        <v/>
      </c>
      <c r="V1264" s="3">
        <f>IF(ISNUMBER(AVERAGE('20250815_ETF_Options_Exhibits'!V1260:V1264)),AVERAGE('20250815_ETF_Options_Exhibits'!V1260:V1264),"")</f>
        <v/>
      </c>
      <c r="W1264" s="3">
        <f>IF(ISNUMBER(AVERAGE('20250815_ETF_Options_Exhibits'!W1260:W1264)),AVERAGE('20250815_ETF_Options_Exhibits'!W1260:W1264),"")</f>
        <v/>
      </c>
      <c r="X1264" s="3">
        <f>IF(ISNUMBER(AVERAGE('20250815_ETF_Options_Exhibits'!X1260:X1264)),AVERAGE('20250815_ETF_Options_Exhibits'!X1260:X1264),"")</f>
        <v/>
      </c>
      <c r="Y1264" s="3">
        <f>IF(ISNUMBER(AVERAGE('20250815_ETF_Options_Exhibits'!Y1260:Y1264)),AVERAGE('20250815_ETF_Options_Exhibits'!Y1260:Y1264),"")</f>
        <v/>
      </c>
      <c r="Z1264" s="3">
        <f>IF(ISNUMBER(AVERAGE('20250815_ETF_Options_Exhibits'!Z1260:Z1264)),AVERAGE('20250815_ETF_Options_Exhibits'!Z1260:Z1264),"")</f>
        <v/>
      </c>
      <c r="AA1264" s="3">
        <f>IF(ISNUMBER(AVERAGE('20250815_ETF_Options_Exhibits'!AA1260:AA1264)),AVERAGE('20250815_ETF_Options_Exhibits'!AA1260:AA1264),"")</f>
        <v/>
      </c>
    </row>
    <row r="1265">
      <c r="A1265" s="1" t="n">
        <v>43838</v>
      </c>
      <c r="B1265" s="3">
        <f>IF(ISNUMBER(AVERAGE('20250815_ETF_Options_Exhibits'!B1261:B1265)),AVERAGE('20250815_ETF_Options_Exhibits'!B1261:B1265),"")</f>
        <v/>
      </c>
      <c r="C1265" s="3">
        <f>IF(ISNUMBER(AVERAGE('20250815_ETF_Options_Exhibits'!C1261:C1265)),AVERAGE('20250815_ETF_Options_Exhibits'!C1261:C1265),"")</f>
        <v/>
      </c>
      <c r="D1265" s="3">
        <f>IF(ISNUMBER(AVERAGE('20250815_ETF_Options_Exhibits'!D1261:D1265)),AVERAGE('20250815_ETF_Options_Exhibits'!D1261:D1265),"")</f>
        <v/>
      </c>
      <c r="E1265" s="3">
        <f>IF(ISNUMBER(AVERAGE('20250815_ETF_Options_Exhibits'!E1261:E1265)),AVERAGE('20250815_ETF_Options_Exhibits'!E1261:E1265),"")</f>
        <v/>
      </c>
      <c r="F1265" s="3">
        <f>IF(ISNUMBER(AVERAGE('20250815_ETF_Options_Exhibits'!F1261:F1265)),AVERAGE('20250815_ETF_Options_Exhibits'!F1261:F1265),"")</f>
        <v/>
      </c>
      <c r="G1265" s="3">
        <f>IF(ISNUMBER(AVERAGE('20250815_ETF_Options_Exhibits'!G1261:G1265)),AVERAGE('20250815_ETF_Options_Exhibits'!G1261:G1265),"")</f>
        <v/>
      </c>
      <c r="H1265" s="3">
        <f>IF(ISNUMBER(AVERAGE('20250815_ETF_Options_Exhibits'!H1261:H1265)),AVERAGE('20250815_ETF_Options_Exhibits'!H1261:H1265),"")</f>
        <v/>
      </c>
      <c r="I1265" s="3">
        <f>IF(ISNUMBER(AVERAGE('20250815_ETF_Options_Exhibits'!I1261:I1265)),AVERAGE('20250815_ETF_Options_Exhibits'!I1261:I1265),"")</f>
        <v/>
      </c>
      <c r="J1265" s="3">
        <f>IF(ISNUMBER(AVERAGE('20250815_ETF_Options_Exhibits'!J1261:J1265)),AVERAGE('20250815_ETF_Options_Exhibits'!J1261:J1265),"")</f>
        <v/>
      </c>
      <c r="K1265" s="3">
        <f>IF(ISNUMBER(AVERAGE('20250815_ETF_Options_Exhibits'!K1261:K1265)),AVERAGE('20250815_ETF_Options_Exhibits'!K1261:K1265),"")</f>
        <v/>
      </c>
      <c r="L1265" s="3">
        <f>IF(ISNUMBER(AVERAGE('20250815_ETF_Options_Exhibits'!L1261:L1265)),AVERAGE('20250815_ETF_Options_Exhibits'!L1261:L1265),"")</f>
        <v/>
      </c>
      <c r="M1265" s="3">
        <f>IF(ISNUMBER(AVERAGE('20250815_ETF_Options_Exhibits'!M1261:M1265)),AVERAGE('20250815_ETF_Options_Exhibits'!M1261:M1265),"")</f>
        <v/>
      </c>
      <c r="N1265" s="3">
        <f>IF(ISNUMBER(AVERAGE('20250815_ETF_Options_Exhibits'!N1261:N1265)),AVERAGE('20250815_ETF_Options_Exhibits'!N1261:N1265),"")</f>
        <v/>
      </c>
      <c r="O1265" s="3">
        <f>IF(ISNUMBER(AVERAGE('20250815_ETF_Options_Exhibits'!O1261:O1265)),AVERAGE('20250815_ETF_Options_Exhibits'!O1261:O1265),"")</f>
        <v/>
      </c>
      <c r="P1265" s="3">
        <f>IF(ISNUMBER(AVERAGE('20250815_ETF_Options_Exhibits'!P1261:P1265)),AVERAGE('20250815_ETF_Options_Exhibits'!P1261:P1265),"")</f>
        <v/>
      </c>
      <c r="Q1265" s="3">
        <f>IF(ISNUMBER(AVERAGE('20250815_ETF_Options_Exhibits'!Q1261:Q1265)),AVERAGE('20250815_ETF_Options_Exhibits'!Q1261:Q1265),"")</f>
        <v/>
      </c>
      <c r="R1265" s="3">
        <f>IF(ISNUMBER(AVERAGE('20250815_ETF_Options_Exhibits'!R1261:R1265)),AVERAGE('20250815_ETF_Options_Exhibits'!R1261:R1265),"")</f>
        <v/>
      </c>
      <c r="S1265" s="3">
        <f>IF(ISNUMBER(AVERAGE('20250815_ETF_Options_Exhibits'!S1261:S1265)),AVERAGE('20250815_ETF_Options_Exhibits'!S1261:S1265),"")</f>
        <v/>
      </c>
      <c r="T1265" s="3">
        <f>IF(ISNUMBER(AVERAGE('20250815_ETF_Options_Exhibits'!T1261:T1265)),AVERAGE('20250815_ETF_Options_Exhibits'!T1261:T1265),"")</f>
        <v/>
      </c>
      <c r="U1265" s="3">
        <f>IF(ISNUMBER(AVERAGE('20250815_ETF_Options_Exhibits'!U1261:U1265)),AVERAGE('20250815_ETF_Options_Exhibits'!U1261:U1265),"")</f>
        <v/>
      </c>
      <c r="V1265" s="3">
        <f>IF(ISNUMBER(AVERAGE('20250815_ETF_Options_Exhibits'!V1261:V1265)),AVERAGE('20250815_ETF_Options_Exhibits'!V1261:V1265),"")</f>
        <v/>
      </c>
      <c r="W1265" s="3">
        <f>IF(ISNUMBER(AVERAGE('20250815_ETF_Options_Exhibits'!W1261:W1265)),AVERAGE('20250815_ETF_Options_Exhibits'!W1261:W1265),"")</f>
        <v/>
      </c>
      <c r="X1265" s="3">
        <f>IF(ISNUMBER(AVERAGE('20250815_ETF_Options_Exhibits'!X1261:X1265)),AVERAGE('20250815_ETF_Options_Exhibits'!X1261:X1265),"")</f>
        <v/>
      </c>
      <c r="Y1265" s="3">
        <f>IF(ISNUMBER(AVERAGE('20250815_ETF_Options_Exhibits'!Y1261:Y1265)),AVERAGE('20250815_ETF_Options_Exhibits'!Y1261:Y1265),"")</f>
        <v/>
      </c>
      <c r="Z1265" s="3">
        <f>IF(ISNUMBER(AVERAGE('20250815_ETF_Options_Exhibits'!Z1261:Z1265)),AVERAGE('20250815_ETF_Options_Exhibits'!Z1261:Z1265),"")</f>
        <v/>
      </c>
      <c r="AA1265" s="3">
        <f>IF(ISNUMBER(AVERAGE('20250815_ETF_Options_Exhibits'!AA1261:AA1265)),AVERAGE('20250815_ETF_Options_Exhibits'!AA1261:AA1265),"")</f>
        <v/>
      </c>
    </row>
    <row r="1266">
      <c r="A1266" s="1" t="n">
        <v>43839</v>
      </c>
      <c r="B1266" s="3">
        <f>IF(ISNUMBER(AVERAGE('20250815_ETF_Options_Exhibits'!B1262:B1266)),AVERAGE('20250815_ETF_Options_Exhibits'!B1262:B1266),"")</f>
        <v/>
      </c>
      <c r="C1266" s="3">
        <f>IF(ISNUMBER(AVERAGE('20250815_ETF_Options_Exhibits'!C1262:C1266)),AVERAGE('20250815_ETF_Options_Exhibits'!C1262:C1266),"")</f>
        <v/>
      </c>
      <c r="D1266" s="3">
        <f>IF(ISNUMBER(AVERAGE('20250815_ETF_Options_Exhibits'!D1262:D1266)),AVERAGE('20250815_ETF_Options_Exhibits'!D1262:D1266),"")</f>
        <v/>
      </c>
      <c r="E1266" s="3">
        <f>IF(ISNUMBER(AVERAGE('20250815_ETF_Options_Exhibits'!E1262:E1266)),AVERAGE('20250815_ETF_Options_Exhibits'!E1262:E1266),"")</f>
        <v/>
      </c>
      <c r="F1266" s="3">
        <f>IF(ISNUMBER(AVERAGE('20250815_ETF_Options_Exhibits'!F1262:F1266)),AVERAGE('20250815_ETF_Options_Exhibits'!F1262:F1266),"")</f>
        <v/>
      </c>
      <c r="G1266" s="3">
        <f>IF(ISNUMBER(AVERAGE('20250815_ETF_Options_Exhibits'!G1262:G1266)),AVERAGE('20250815_ETF_Options_Exhibits'!G1262:G1266),"")</f>
        <v/>
      </c>
      <c r="H1266" s="3">
        <f>IF(ISNUMBER(AVERAGE('20250815_ETF_Options_Exhibits'!H1262:H1266)),AVERAGE('20250815_ETF_Options_Exhibits'!H1262:H1266),"")</f>
        <v/>
      </c>
      <c r="I1266" s="3">
        <f>IF(ISNUMBER(AVERAGE('20250815_ETF_Options_Exhibits'!I1262:I1266)),AVERAGE('20250815_ETF_Options_Exhibits'!I1262:I1266),"")</f>
        <v/>
      </c>
      <c r="J1266" s="3">
        <f>IF(ISNUMBER(AVERAGE('20250815_ETF_Options_Exhibits'!J1262:J1266)),AVERAGE('20250815_ETF_Options_Exhibits'!J1262:J1266),"")</f>
        <v/>
      </c>
      <c r="K1266" s="3">
        <f>IF(ISNUMBER(AVERAGE('20250815_ETF_Options_Exhibits'!K1262:K1266)),AVERAGE('20250815_ETF_Options_Exhibits'!K1262:K1266),"")</f>
        <v/>
      </c>
      <c r="L1266" s="3">
        <f>IF(ISNUMBER(AVERAGE('20250815_ETF_Options_Exhibits'!L1262:L1266)),AVERAGE('20250815_ETF_Options_Exhibits'!L1262:L1266),"")</f>
        <v/>
      </c>
      <c r="M1266" s="3">
        <f>IF(ISNUMBER(AVERAGE('20250815_ETF_Options_Exhibits'!M1262:M1266)),AVERAGE('20250815_ETF_Options_Exhibits'!M1262:M1266),"")</f>
        <v/>
      </c>
      <c r="N1266" s="3">
        <f>IF(ISNUMBER(AVERAGE('20250815_ETF_Options_Exhibits'!N1262:N1266)),AVERAGE('20250815_ETF_Options_Exhibits'!N1262:N1266),"")</f>
        <v/>
      </c>
      <c r="O1266" s="3">
        <f>IF(ISNUMBER(AVERAGE('20250815_ETF_Options_Exhibits'!O1262:O1266)),AVERAGE('20250815_ETF_Options_Exhibits'!O1262:O1266),"")</f>
        <v/>
      </c>
      <c r="P1266" s="3">
        <f>IF(ISNUMBER(AVERAGE('20250815_ETF_Options_Exhibits'!P1262:P1266)),AVERAGE('20250815_ETF_Options_Exhibits'!P1262:P1266),"")</f>
        <v/>
      </c>
      <c r="Q1266" s="3">
        <f>IF(ISNUMBER(AVERAGE('20250815_ETF_Options_Exhibits'!Q1262:Q1266)),AVERAGE('20250815_ETF_Options_Exhibits'!Q1262:Q1266),"")</f>
        <v/>
      </c>
      <c r="R1266" s="3">
        <f>IF(ISNUMBER(AVERAGE('20250815_ETF_Options_Exhibits'!R1262:R1266)),AVERAGE('20250815_ETF_Options_Exhibits'!R1262:R1266),"")</f>
        <v/>
      </c>
      <c r="S1266" s="3">
        <f>IF(ISNUMBER(AVERAGE('20250815_ETF_Options_Exhibits'!S1262:S1266)),AVERAGE('20250815_ETF_Options_Exhibits'!S1262:S1266),"")</f>
        <v/>
      </c>
      <c r="T1266" s="3">
        <f>IF(ISNUMBER(AVERAGE('20250815_ETF_Options_Exhibits'!T1262:T1266)),AVERAGE('20250815_ETF_Options_Exhibits'!T1262:T1266),"")</f>
        <v/>
      </c>
      <c r="U1266" s="3">
        <f>IF(ISNUMBER(AVERAGE('20250815_ETF_Options_Exhibits'!U1262:U1266)),AVERAGE('20250815_ETF_Options_Exhibits'!U1262:U1266),"")</f>
        <v/>
      </c>
      <c r="V1266" s="3">
        <f>IF(ISNUMBER(AVERAGE('20250815_ETF_Options_Exhibits'!V1262:V1266)),AVERAGE('20250815_ETF_Options_Exhibits'!V1262:V1266),"")</f>
        <v/>
      </c>
      <c r="W1266" s="3">
        <f>IF(ISNUMBER(AVERAGE('20250815_ETF_Options_Exhibits'!W1262:W1266)),AVERAGE('20250815_ETF_Options_Exhibits'!W1262:W1266),"")</f>
        <v/>
      </c>
      <c r="X1266" s="3">
        <f>IF(ISNUMBER(AVERAGE('20250815_ETF_Options_Exhibits'!X1262:X1266)),AVERAGE('20250815_ETF_Options_Exhibits'!X1262:X1266),"")</f>
        <v/>
      </c>
      <c r="Y1266" s="3">
        <f>IF(ISNUMBER(AVERAGE('20250815_ETF_Options_Exhibits'!Y1262:Y1266)),AVERAGE('20250815_ETF_Options_Exhibits'!Y1262:Y1266),"")</f>
        <v/>
      </c>
      <c r="Z1266" s="3">
        <f>IF(ISNUMBER(AVERAGE('20250815_ETF_Options_Exhibits'!Z1262:Z1266)),AVERAGE('20250815_ETF_Options_Exhibits'!Z1262:Z1266),"")</f>
        <v/>
      </c>
      <c r="AA1266" s="3">
        <f>IF(ISNUMBER(AVERAGE('20250815_ETF_Options_Exhibits'!AA1262:AA1266)),AVERAGE('20250815_ETF_Options_Exhibits'!AA1262:AA1266),"")</f>
        <v/>
      </c>
    </row>
    <row r="1267">
      <c r="A1267" s="1" t="n">
        <v>43840</v>
      </c>
      <c r="B1267" s="3">
        <f>IF(ISNUMBER(AVERAGE('20250815_ETF_Options_Exhibits'!B1263:B1267)),AVERAGE('20250815_ETF_Options_Exhibits'!B1263:B1267),"")</f>
        <v/>
      </c>
      <c r="C1267" s="3">
        <f>IF(ISNUMBER(AVERAGE('20250815_ETF_Options_Exhibits'!C1263:C1267)),AVERAGE('20250815_ETF_Options_Exhibits'!C1263:C1267),"")</f>
        <v/>
      </c>
      <c r="D1267" s="3">
        <f>IF(ISNUMBER(AVERAGE('20250815_ETF_Options_Exhibits'!D1263:D1267)),AVERAGE('20250815_ETF_Options_Exhibits'!D1263:D1267),"")</f>
        <v/>
      </c>
      <c r="E1267" s="3">
        <f>IF(ISNUMBER(AVERAGE('20250815_ETF_Options_Exhibits'!E1263:E1267)),AVERAGE('20250815_ETF_Options_Exhibits'!E1263:E1267),"")</f>
        <v/>
      </c>
      <c r="F1267" s="3">
        <f>IF(ISNUMBER(AVERAGE('20250815_ETF_Options_Exhibits'!F1263:F1267)),AVERAGE('20250815_ETF_Options_Exhibits'!F1263:F1267),"")</f>
        <v/>
      </c>
      <c r="G1267" s="3">
        <f>IF(ISNUMBER(AVERAGE('20250815_ETF_Options_Exhibits'!G1263:G1267)),AVERAGE('20250815_ETF_Options_Exhibits'!G1263:G1267),"")</f>
        <v/>
      </c>
      <c r="H1267" s="3">
        <f>IF(ISNUMBER(AVERAGE('20250815_ETF_Options_Exhibits'!H1263:H1267)),AVERAGE('20250815_ETF_Options_Exhibits'!H1263:H1267),"")</f>
        <v/>
      </c>
      <c r="I1267" s="3">
        <f>IF(ISNUMBER(AVERAGE('20250815_ETF_Options_Exhibits'!I1263:I1267)),AVERAGE('20250815_ETF_Options_Exhibits'!I1263:I1267),"")</f>
        <v/>
      </c>
      <c r="J1267" s="3">
        <f>IF(ISNUMBER(AVERAGE('20250815_ETF_Options_Exhibits'!J1263:J1267)),AVERAGE('20250815_ETF_Options_Exhibits'!J1263:J1267),"")</f>
        <v/>
      </c>
      <c r="K1267" s="3">
        <f>IF(ISNUMBER(AVERAGE('20250815_ETF_Options_Exhibits'!K1263:K1267)),AVERAGE('20250815_ETF_Options_Exhibits'!K1263:K1267),"")</f>
        <v/>
      </c>
      <c r="L1267" s="3">
        <f>IF(ISNUMBER(AVERAGE('20250815_ETF_Options_Exhibits'!L1263:L1267)),AVERAGE('20250815_ETF_Options_Exhibits'!L1263:L1267),"")</f>
        <v/>
      </c>
      <c r="M1267" s="3">
        <f>IF(ISNUMBER(AVERAGE('20250815_ETF_Options_Exhibits'!M1263:M1267)),AVERAGE('20250815_ETF_Options_Exhibits'!M1263:M1267),"")</f>
        <v/>
      </c>
      <c r="N1267" s="3">
        <f>IF(ISNUMBER(AVERAGE('20250815_ETF_Options_Exhibits'!N1263:N1267)),AVERAGE('20250815_ETF_Options_Exhibits'!N1263:N1267),"")</f>
        <v/>
      </c>
      <c r="O1267" s="3">
        <f>IF(ISNUMBER(AVERAGE('20250815_ETF_Options_Exhibits'!O1263:O1267)),AVERAGE('20250815_ETF_Options_Exhibits'!O1263:O1267),"")</f>
        <v/>
      </c>
      <c r="P1267" s="3">
        <f>IF(ISNUMBER(AVERAGE('20250815_ETF_Options_Exhibits'!P1263:P1267)),AVERAGE('20250815_ETF_Options_Exhibits'!P1263:P1267),"")</f>
        <v/>
      </c>
      <c r="Q1267" s="3">
        <f>IF(ISNUMBER(AVERAGE('20250815_ETF_Options_Exhibits'!Q1263:Q1267)),AVERAGE('20250815_ETF_Options_Exhibits'!Q1263:Q1267),"")</f>
        <v/>
      </c>
      <c r="R1267" s="3">
        <f>IF(ISNUMBER(AVERAGE('20250815_ETF_Options_Exhibits'!R1263:R1267)),AVERAGE('20250815_ETF_Options_Exhibits'!R1263:R1267),"")</f>
        <v/>
      </c>
      <c r="S1267" s="3">
        <f>IF(ISNUMBER(AVERAGE('20250815_ETF_Options_Exhibits'!S1263:S1267)),AVERAGE('20250815_ETF_Options_Exhibits'!S1263:S1267),"")</f>
        <v/>
      </c>
      <c r="T1267" s="3">
        <f>IF(ISNUMBER(AVERAGE('20250815_ETF_Options_Exhibits'!T1263:T1267)),AVERAGE('20250815_ETF_Options_Exhibits'!T1263:T1267),"")</f>
        <v/>
      </c>
      <c r="U1267" s="3">
        <f>IF(ISNUMBER(AVERAGE('20250815_ETF_Options_Exhibits'!U1263:U1267)),AVERAGE('20250815_ETF_Options_Exhibits'!U1263:U1267),"")</f>
        <v/>
      </c>
      <c r="V1267" s="3">
        <f>IF(ISNUMBER(AVERAGE('20250815_ETF_Options_Exhibits'!V1263:V1267)),AVERAGE('20250815_ETF_Options_Exhibits'!V1263:V1267),"")</f>
        <v/>
      </c>
      <c r="W1267" s="3">
        <f>IF(ISNUMBER(AVERAGE('20250815_ETF_Options_Exhibits'!W1263:W1267)),AVERAGE('20250815_ETF_Options_Exhibits'!W1263:W1267),"")</f>
        <v/>
      </c>
      <c r="X1267" s="3">
        <f>IF(ISNUMBER(AVERAGE('20250815_ETF_Options_Exhibits'!X1263:X1267)),AVERAGE('20250815_ETF_Options_Exhibits'!X1263:X1267),"")</f>
        <v/>
      </c>
      <c r="Y1267" s="3">
        <f>IF(ISNUMBER(AVERAGE('20250815_ETF_Options_Exhibits'!Y1263:Y1267)),AVERAGE('20250815_ETF_Options_Exhibits'!Y1263:Y1267),"")</f>
        <v/>
      </c>
      <c r="Z1267" s="3">
        <f>IF(ISNUMBER(AVERAGE('20250815_ETF_Options_Exhibits'!Z1263:Z1267)),AVERAGE('20250815_ETF_Options_Exhibits'!Z1263:Z1267),"")</f>
        <v/>
      </c>
      <c r="AA1267" s="3">
        <f>IF(ISNUMBER(AVERAGE('20250815_ETF_Options_Exhibits'!AA1263:AA1267)),AVERAGE('20250815_ETF_Options_Exhibits'!AA1263:AA1267),"")</f>
        <v/>
      </c>
    </row>
    <row r="1268">
      <c r="A1268" s="1" t="n">
        <v>43843</v>
      </c>
      <c r="B1268" s="3">
        <f>IF(ISNUMBER(AVERAGE('20250815_ETF_Options_Exhibits'!B1264:B1268)),AVERAGE('20250815_ETF_Options_Exhibits'!B1264:B1268),"")</f>
        <v/>
      </c>
      <c r="C1268" s="3">
        <f>IF(ISNUMBER(AVERAGE('20250815_ETF_Options_Exhibits'!C1264:C1268)),AVERAGE('20250815_ETF_Options_Exhibits'!C1264:C1268),"")</f>
        <v/>
      </c>
      <c r="D1268" s="3">
        <f>IF(ISNUMBER(AVERAGE('20250815_ETF_Options_Exhibits'!D1264:D1268)),AVERAGE('20250815_ETF_Options_Exhibits'!D1264:D1268),"")</f>
        <v/>
      </c>
      <c r="E1268" s="3">
        <f>IF(ISNUMBER(AVERAGE('20250815_ETF_Options_Exhibits'!E1264:E1268)),AVERAGE('20250815_ETF_Options_Exhibits'!E1264:E1268),"")</f>
        <v/>
      </c>
      <c r="F1268" s="3">
        <f>IF(ISNUMBER(AVERAGE('20250815_ETF_Options_Exhibits'!F1264:F1268)),AVERAGE('20250815_ETF_Options_Exhibits'!F1264:F1268),"")</f>
        <v/>
      </c>
      <c r="G1268" s="3">
        <f>IF(ISNUMBER(AVERAGE('20250815_ETF_Options_Exhibits'!G1264:G1268)),AVERAGE('20250815_ETF_Options_Exhibits'!G1264:G1268),"")</f>
        <v/>
      </c>
      <c r="H1268" s="3">
        <f>IF(ISNUMBER(AVERAGE('20250815_ETF_Options_Exhibits'!H1264:H1268)),AVERAGE('20250815_ETF_Options_Exhibits'!H1264:H1268),"")</f>
        <v/>
      </c>
      <c r="I1268" s="3">
        <f>IF(ISNUMBER(AVERAGE('20250815_ETF_Options_Exhibits'!I1264:I1268)),AVERAGE('20250815_ETF_Options_Exhibits'!I1264:I1268),"")</f>
        <v/>
      </c>
      <c r="J1268" s="3">
        <f>IF(ISNUMBER(AVERAGE('20250815_ETF_Options_Exhibits'!J1264:J1268)),AVERAGE('20250815_ETF_Options_Exhibits'!J1264:J1268),"")</f>
        <v/>
      </c>
      <c r="K1268" s="3">
        <f>IF(ISNUMBER(AVERAGE('20250815_ETF_Options_Exhibits'!K1264:K1268)),AVERAGE('20250815_ETF_Options_Exhibits'!K1264:K1268),"")</f>
        <v/>
      </c>
      <c r="L1268" s="3">
        <f>IF(ISNUMBER(AVERAGE('20250815_ETF_Options_Exhibits'!L1264:L1268)),AVERAGE('20250815_ETF_Options_Exhibits'!L1264:L1268),"")</f>
        <v/>
      </c>
      <c r="M1268" s="3">
        <f>IF(ISNUMBER(AVERAGE('20250815_ETF_Options_Exhibits'!M1264:M1268)),AVERAGE('20250815_ETF_Options_Exhibits'!M1264:M1268),"")</f>
        <v/>
      </c>
      <c r="N1268" s="3">
        <f>IF(ISNUMBER(AVERAGE('20250815_ETF_Options_Exhibits'!N1264:N1268)),AVERAGE('20250815_ETF_Options_Exhibits'!N1264:N1268),"")</f>
        <v/>
      </c>
      <c r="O1268" s="3">
        <f>IF(ISNUMBER(AVERAGE('20250815_ETF_Options_Exhibits'!O1264:O1268)),AVERAGE('20250815_ETF_Options_Exhibits'!O1264:O1268),"")</f>
        <v/>
      </c>
      <c r="P1268" s="3">
        <f>IF(ISNUMBER(AVERAGE('20250815_ETF_Options_Exhibits'!P1264:P1268)),AVERAGE('20250815_ETF_Options_Exhibits'!P1264:P1268),"")</f>
        <v/>
      </c>
      <c r="Q1268" s="3">
        <f>IF(ISNUMBER(AVERAGE('20250815_ETF_Options_Exhibits'!Q1264:Q1268)),AVERAGE('20250815_ETF_Options_Exhibits'!Q1264:Q1268),"")</f>
        <v/>
      </c>
      <c r="R1268" s="3">
        <f>IF(ISNUMBER(AVERAGE('20250815_ETF_Options_Exhibits'!R1264:R1268)),AVERAGE('20250815_ETF_Options_Exhibits'!R1264:R1268),"")</f>
        <v/>
      </c>
      <c r="S1268" s="3">
        <f>IF(ISNUMBER(AVERAGE('20250815_ETF_Options_Exhibits'!S1264:S1268)),AVERAGE('20250815_ETF_Options_Exhibits'!S1264:S1268),"")</f>
        <v/>
      </c>
      <c r="T1268" s="3">
        <f>IF(ISNUMBER(AVERAGE('20250815_ETF_Options_Exhibits'!T1264:T1268)),AVERAGE('20250815_ETF_Options_Exhibits'!T1264:T1268),"")</f>
        <v/>
      </c>
      <c r="U1268" s="3">
        <f>IF(ISNUMBER(AVERAGE('20250815_ETF_Options_Exhibits'!U1264:U1268)),AVERAGE('20250815_ETF_Options_Exhibits'!U1264:U1268),"")</f>
        <v/>
      </c>
      <c r="V1268" s="3">
        <f>IF(ISNUMBER(AVERAGE('20250815_ETF_Options_Exhibits'!V1264:V1268)),AVERAGE('20250815_ETF_Options_Exhibits'!V1264:V1268),"")</f>
        <v/>
      </c>
      <c r="W1268" s="3">
        <f>IF(ISNUMBER(AVERAGE('20250815_ETF_Options_Exhibits'!W1264:W1268)),AVERAGE('20250815_ETF_Options_Exhibits'!W1264:W1268),"")</f>
        <v/>
      </c>
      <c r="X1268" s="3">
        <f>IF(ISNUMBER(AVERAGE('20250815_ETF_Options_Exhibits'!X1264:X1268)),AVERAGE('20250815_ETF_Options_Exhibits'!X1264:X1268),"")</f>
        <v/>
      </c>
      <c r="Y1268" s="3">
        <f>IF(ISNUMBER(AVERAGE('20250815_ETF_Options_Exhibits'!Y1264:Y1268)),AVERAGE('20250815_ETF_Options_Exhibits'!Y1264:Y1268),"")</f>
        <v/>
      </c>
      <c r="Z1268" s="3">
        <f>IF(ISNUMBER(AVERAGE('20250815_ETF_Options_Exhibits'!Z1264:Z1268)),AVERAGE('20250815_ETF_Options_Exhibits'!Z1264:Z1268),"")</f>
        <v/>
      </c>
      <c r="AA1268" s="3">
        <f>IF(ISNUMBER(AVERAGE('20250815_ETF_Options_Exhibits'!AA1264:AA1268)),AVERAGE('20250815_ETF_Options_Exhibits'!AA1264:AA1268),"")</f>
        <v/>
      </c>
    </row>
    <row r="1269">
      <c r="A1269" s="1" t="n">
        <v>43844</v>
      </c>
      <c r="B1269" s="3">
        <f>IF(ISNUMBER(AVERAGE('20250815_ETF_Options_Exhibits'!B1265:B1269)),AVERAGE('20250815_ETF_Options_Exhibits'!B1265:B1269),"")</f>
        <v/>
      </c>
      <c r="C1269" s="3">
        <f>IF(ISNUMBER(AVERAGE('20250815_ETF_Options_Exhibits'!C1265:C1269)),AVERAGE('20250815_ETF_Options_Exhibits'!C1265:C1269),"")</f>
        <v/>
      </c>
      <c r="D1269" s="3">
        <f>IF(ISNUMBER(AVERAGE('20250815_ETF_Options_Exhibits'!D1265:D1269)),AVERAGE('20250815_ETF_Options_Exhibits'!D1265:D1269),"")</f>
        <v/>
      </c>
      <c r="E1269" s="3">
        <f>IF(ISNUMBER(AVERAGE('20250815_ETF_Options_Exhibits'!E1265:E1269)),AVERAGE('20250815_ETF_Options_Exhibits'!E1265:E1269),"")</f>
        <v/>
      </c>
      <c r="F1269" s="3">
        <f>IF(ISNUMBER(AVERAGE('20250815_ETF_Options_Exhibits'!F1265:F1269)),AVERAGE('20250815_ETF_Options_Exhibits'!F1265:F1269),"")</f>
        <v/>
      </c>
      <c r="G1269" s="3">
        <f>IF(ISNUMBER(AVERAGE('20250815_ETF_Options_Exhibits'!G1265:G1269)),AVERAGE('20250815_ETF_Options_Exhibits'!G1265:G1269),"")</f>
        <v/>
      </c>
      <c r="H1269" s="3">
        <f>IF(ISNUMBER(AVERAGE('20250815_ETF_Options_Exhibits'!H1265:H1269)),AVERAGE('20250815_ETF_Options_Exhibits'!H1265:H1269),"")</f>
        <v/>
      </c>
      <c r="I1269" s="3">
        <f>IF(ISNUMBER(AVERAGE('20250815_ETF_Options_Exhibits'!I1265:I1269)),AVERAGE('20250815_ETF_Options_Exhibits'!I1265:I1269),"")</f>
        <v/>
      </c>
      <c r="J1269" s="3">
        <f>IF(ISNUMBER(AVERAGE('20250815_ETF_Options_Exhibits'!J1265:J1269)),AVERAGE('20250815_ETF_Options_Exhibits'!J1265:J1269),"")</f>
        <v/>
      </c>
      <c r="K1269" s="3">
        <f>IF(ISNUMBER(AVERAGE('20250815_ETF_Options_Exhibits'!K1265:K1269)),AVERAGE('20250815_ETF_Options_Exhibits'!K1265:K1269),"")</f>
        <v/>
      </c>
      <c r="L1269" s="3">
        <f>IF(ISNUMBER(AVERAGE('20250815_ETF_Options_Exhibits'!L1265:L1269)),AVERAGE('20250815_ETF_Options_Exhibits'!L1265:L1269),"")</f>
        <v/>
      </c>
      <c r="M1269" s="3">
        <f>IF(ISNUMBER(AVERAGE('20250815_ETF_Options_Exhibits'!M1265:M1269)),AVERAGE('20250815_ETF_Options_Exhibits'!M1265:M1269),"")</f>
        <v/>
      </c>
      <c r="N1269" s="3">
        <f>IF(ISNUMBER(AVERAGE('20250815_ETF_Options_Exhibits'!N1265:N1269)),AVERAGE('20250815_ETF_Options_Exhibits'!N1265:N1269),"")</f>
        <v/>
      </c>
      <c r="O1269" s="3">
        <f>IF(ISNUMBER(AVERAGE('20250815_ETF_Options_Exhibits'!O1265:O1269)),AVERAGE('20250815_ETF_Options_Exhibits'!O1265:O1269),"")</f>
        <v/>
      </c>
      <c r="P1269" s="3">
        <f>IF(ISNUMBER(AVERAGE('20250815_ETF_Options_Exhibits'!P1265:P1269)),AVERAGE('20250815_ETF_Options_Exhibits'!P1265:P1269),"")</f>
        <v/>
      </c>
      <c r="Q1269" s="3">
        <f>IF(ISNUMBER(AVERAGE('20250815_ETF_Options_Exhibits'!Q1265:Q1269)),AVERAGE('20250815_ETF_Options_Exhibits'!Q1265:Q1269),"")</f>
        <v/>
      </c>
      <c r="R1269" s="3">
        <f>IF(ISNUMBER(AVERAGE('20250815_ETF_Options_Exhibits'!R1265:R1269)),AVERAGE('20250815_ETF_Options_Exhibits'!R1265:R1269),"")</f>
        <v/>
      </c>
      <c r="S1269" s="3">
        <f>IF(ISNUMBER(AVERAGE('20250815_ETF_Options_Exhibits'!S1265:S1269)),AVERAGE('20250815_ETF_Options_Exhibits'!S1265:S1269),"")</f>
        <v/>
      </c>
      <c r="T1269" s="3">
        <f>IF(ISNUMBER(AVERAGE('20250815_ETF_Options_Exhibits'!T1265:T1269)),AVERAGE('20250815_ETF_Options_Exhibits'!T1265:T1269),"")</f>
        <v/>
      </c>
      <c r="U1269" s="3">
        <f>IF(ISNUMBER(AVERAGE('20250815_ETF_Options_Exhibits'!U1265:U1269)),AVERAGE('20250815_ETF_Options_Exhibits'!U1265:U1269),"")</f>
        <v/>
      </c>
      <c r="V1269" s="3">
        <f>IF(ISNUMBER(AVERAGE('20250815_ETF_Options_Exhibits'!V1265:V1269)),AVERAGE('20250815_ETF_Options_Exhibits'!V1265:V1269),"")</f>
        <v/>
      </c>
      <c r="W1269" s="3">
        <f>IF(ISNUMBER(AVERAGE('20250815_ETF_Options_Exhibits'!W1265:W1269)),AVERAGE('20250815_ETF_Options_Exhibits'!W1265:W1269),"")</f>
        <v/>
      </c>
      <c r="X1269" s="3">
        <f>IF(ISNUMBER(AVERAGE('20250815_ETF_Options_Exhibits'!X1265:X1269)),AVERAGE('20250815_ETF_Options_Exhibits'!X1265:X1269),"")</f>
        <v/>
      </c>
      <c r="Y1269" s="3">
        <f>IF(ISNUMBER(AVERAGE('20250815_ETF_Options_Exhibits'!Y1265:Y1269)),AVERAGE('20250815_ETF_Options_Exhibits'!Y1265:Y1269),"")</f>
        <v/>
      </c>
      <c r="Z1269" s="3">
        <f>IF(ISNUMBER(AVERAGE('20250815_ETF_Options_Exhibits'!Z1265:Z1269)),AVERAGE('20250815_ETF_Options_Exhibits'!Z1265:Z1269),"")</f>
        <v/>
      </c>
      <c r="AA1269" s="3">
        <f>IF(ISNUMBER(AVERAGE('20250815_ETF_Options_Exhibits'!AA1265:AA1269)),AVERAGE('20250815_ETF_Options_Exhibits'!AA1265:AA1269),"")</f>
        <v/>
      </c>
    </row>
    <row r="1270">
      <c r="A1270" s="1" t="n">
        <v>43845</v>
      </c>
      <c r="B1270" s="3">
        <f>IF(ISNUMBER(AVERAGE('20250815_ETF_Options_Exhibits'!B1266:B1270)),AVERAGE('20250815_ETF_Options_Exhibits'!B1266:B1270),"")</f>
        <v/>
      </c>
      <c r="C1270" s="3">
        <f>IF(ISNUMBER(AVERAGE('20250815_ETF_Options_Exhibits'!C1266:C1270)),AVERAGE('20250815_ETF_Options_Exhibits'!C1266:C1270),"")</f>
        <v/>
      </c>
      <c r="D1270" s="3">
        <f>IF(ISNUMBER(AVERAGE('20250815_ETF_Options_Exhibits'!D1266:D1270)),AVERAGE('20250815_ETF_Options_Exhibits'!D1266:D1270),"")</f>
        <v/>
      </c>
      <c r="E1270" s="3">
        <f>IF(ISNUMBER(AVERAGE('20250815_ETF_Options_Exhibits'!E1266:E1270)),AVERAGE('20250815_ETF_Options_Exhibits'!E1266:E1270),"")</f>
        <v/>
      </c>
      <c r="F1270" s="3">
        <f>IF(ISNUMBER(AVERAGE('20250815_ETF_Options_Exhibits'!F1266:F1270)),AVERAGE('20250815_ETF_Options_Exhibits'!F1266:F1270),"")</f>
        <v/>
      </c>
      <c r="G1270" s="3">
        <f>IF(ISNUMBER(AVERAGE('20250815_ETF_Options_Exhibits'!G1266:G1270)),AVERAGE('20250815_ETF_Options_Exhibits'!G1266:G1270),"")</f>
        <v/>
      </c>
      <c r="H1270" s="3">
        <f>IF(ISNUMBER(AVERAGE('20250815_ETF_Options_Exhibits'!H1266:H1270)),AVERAGE('20250815_ETF_Options_Exhibits'!H1266:H1270),"")</f>
        <v/>
      </c>
      <c r="I1270" s="3">
        <f>IF(ISNUMBER(AVERAGE('20250815_ETF_Options_Exhibits'!I1266:I1270)),AVERAGE('20250815_ETF_Options_Exhibits'!I1266:I1270),"")</f>
        <v/>
      </c>
      <c r="J1270" s="3">
        <f>IF(ISNUMBER(AVERAGE('20250815_ETF_Options_Exhibits'!J1266:J1270)),AVERAGE('20250815_ETF_Options_Exhibits'!J1266:J1270),"")</f>
        <v/>
      </c>
      <c r="K1270" s="3">
        <f>IF(ISNUMBER(AVERAGE('20250815_ETF_Options_Exhibits'!K1266:K1270)),AVERAGE('20250815_ETF_Options_Exhibits'!K1266:K1270),"")</f>
        <v/>
      </c>
      <c r="L1270" s="3">
        <f>IF(ISNUMBER(AVERAGE('20250815_ETF_Options_Exhibits'!L1266:L1270)),AVERAGE('20250815_ETF_Options_Exhibits'!L1266:L1270),"")</f>
        <v/>
      </c>
      <c r="M1270" s="3">
        <f>IF(ISNUMBER(AVERAGE('20250815_ETF_Options_Exhibits'!M1266:M1270)),AVERAGE('20250815_ETF_Options_Exhibits'!M1266:M1270),"")</f>
        <v/>
      </c>
      <c r="N1270" s="3">
        <f>IF(ISNUMBER(AVERAGE('20250815_ETF_Options_Exhibits'!N1266:N1270)),AVERAGE('20250815_ETF_Options_Exhibits'!N1266:N1270),"")</f>
        <v/>
      </c>
      <c r="O1270" s="3">
        <f>IF(ISNUMBER(AVERAGE('20250815_ETF_Options_Exhibits'!O1266:O1270)),AVERAGE('20250815_ETF_Options_Exhibits'!O1266:O1270),"")</f>
        <v/>
      </c>
      <c r="P1270" s="3">
        <f>IF(ISNUMBER(AVERAGE('20250815_ETF_Options_Exhibits'!P1266:P1270)),AVERAGE('20250815_ETF_Options_Exhibits'!P1266:P1270),"")</f>
        <v/>
      </c>
      <c r="Q1270" s="3">
        <f>IF(ISNUMBER(AVERAGE('20250815_ETF_Options_Exhibits'!Q1266:Q1270)),AVERAGE('20250815_ETF_Options_Exhibits'!Q1266:Q1270),"")</f>
        <v/>
      </c>
      <c r="R1270" s="3">
        <f>IF(ISNUMBER(AVERAGE('20250815_ETF_Options_Exhibits'!R1266:R1270)),AVERAGE('20250815_ETF_Options_Exhibits'!R1266:R1270),"")</f>
        <v/>
      </c>
      <c r="S1270" s="3">
        <f>IF(ISNUMBER(AVERAGE('20250815_ETF_Options_Exhibits'!S1266:S1270)),AVERAGE('20250815_ETF_Options_Exhibits'!S1266:S1270),"")</f>
        <v/>
      </c>
      <c r="T1270" s="3">
        <f>IF(ISNUMBER(AVERAGE('20250815_ETF_Options_Exhibits'!T1266:T1270)),AVERAGE('20250815_ETF_Options_Exhibits'!T1266:T1270),"")</f>
        <v/>
      </c>
      <c r="U1270" s="3">
        <f>IF(ISNUMBER(AVERAGE('20250815_ETF_Options_Exhibits'!U1266:U1270)),AVERAGE('20250815_ETF_Options_Exhibits'!U1266:U1270),"")</f>
        <v/>
      </c>
      <c r="V1270" s="3">
        <f>IF(ISNUMBER(AVERAGE('20250815_ETF_Options_Exhibits'!V1266:V1270)),AVERAGE('20250815_ETF_Options_Exhibits'!V1266:V1270),"")</f>
        <v/>
      </c>
      <c r="W1270" s="3">
        <f>IF(ISNUMBER(AVERAGE('20250815_ETF_Options_Exhibits'!W1266:W1270)),AVERAGE('20250815_ETF_Options_Exhibits'!W1266:W1270),"")</f>
        <v/>
      </c>
      <c r="X1270" s="3">
        <f>IF(ISNUMBER(AVERAGE('20250815_ETF_Options_Exhibits'!X1266:X1270)),AVERAGE('20250815_ETF_Options_Exhibits'!X1266:X1270),"")</f>
        <v/>
      </c>
      <c r="Y1270" s="3">
        <f>IF(ISNUMBER(AVERAGE('20250815_ETF_Options_Exhibits'!Y1266:Y1270)),AVERAGE('20250815_ETF_Options_Exhibits'!Y1266:Y1270),"")</f>
        <v/>
      </c>
      <c r="Z1270" s="3">
        <f>IF(ISNUMBER(AVERAGE('20250815_ETF_Options_Exhibits'!Z1266:Z1270)),AVERAGE('20250815_ETF_Options_Exhibits'!Z1266:Z1270),"")</f>
        <v/>
      </c>
      <c r="AA1270" s="3">
        <f>IF(ISNUMBER(AVERAGE('20250815_ETF_Options_Exhibits'!AA1266:AA1270)),AVERAGE('20250815_ETF_Options_Exhibits'!AA1266:AA1270),"")</f>
        <v/>
      </c>
    </row>
    <row r="1271">
      <c r="A1271" s="1" t="n">
        <v>43846</v>
      </c>
      <c r="B1271" s="3">
        <f>IF(ISNUMBER(AVERAGE('20250815_ETF_Options_Exhibits'!B1267:B1271)),AVERAGE('20250815_ETF_Options_Exhibits'!B1267:B1271),"")</f>
        <v/>
      </c>
      <c r="C1271" s="3">
        <f>IF(ISNUMBER(AVERAGE('20250815_ETF_Options_Exhibits'!C1267:C1271)),AVERAGE('20250815_ETF_Options_Exhibits'!C1267:C1271),"")</f>
        <v/>
      </c>
      <c r="D1271" s="3">
        <f>IF(ISNUMBER(AVERAGE('20250815_ETF_Options_Exhibits'!D1267:D1271)),AVERAGE('20250815_ETF_Options_Exhibits'!D1267:D1271),"")</f>
        <v/>
      </c>
      <c r="E1271" s="3">
        <f>IF(ISNUMBER(AVERAGE('20250815_ETF_Options_Exhibits'!E1267:E1271)),AVERAGE('20250815_ETF_Options_Exhibits'!E1267:E1271),"")</f>
        <v/>
      </c>
      <c r="F1271" s="3">
        <f>IF(ISNUMBER(AVERAGE('20250815_ETF_Options_Exhibits'!F1267:F1271)),AVERAGE('20250815_ETF_Options_Exhibits'!F1267:F1271),"")</f>
        <v/>
      </c>
      <c r="G1271" s="3">
        <f>IF(ISNUMBER(AVERAGE('20250815_ETF_Options_Exhibits'!G1267:G1271)),AVERAGE('20250815_ETF_Options_Exhibits'!G1267:G1271),"")</f>
        <v/>
      </c>
      <c r="H1271" s="3">
        <f>IF(ISNUMBER(AVERAGE('20250815_ETF_Options_Exhibits'!H1267:H1271)),AVERAGE('20250815_ETF_Options_Exhibits'!H1267:H1271),"")</f>
        <v/>
      </c>
      <c r="I1271" s="3">
        <f>IF(ISNUMBER(AVERAGE('20250815_ETF_Options_Exhibits'!I1267:I1271)),AVERAGE('20250815_ETF_Options_Exhibits'!I1267:I1271),"")</f>
        <v/>
      </c>
      <c r="J1271" s="3">
        <f>IF(ISNUMBER(AVERAGE('20250815_ETF_Options_Exhibits'!J1267:J1271)),AVERAGE('20250815_ETF_Options_Exhibits'!J1267:J1271),"")</f>
        <v/>
      </c>
      <c r="K1271" s="3">
        <f>IF(ISNUMBER(AVERAGE('20250815_ETF_Options_Exhibits'!K1267:K1271)),AVERAGE('20250815_ETF_Options_Exhibits'!K1267:K1271),"")</f>
        <v/>
      </c>
      <c r="L1271" s="3">
        <f>IF(ISNUMBER(AVERAGE('20250815_ETF_Options_Exhibits'!L1267:L1271)),AVERAGE('20250815_ETF_Options_Exhibits'!L1267:L1271),"")</f>
        <v/>
      </c>
      <c r="M1271" s="3">
        <f>IF(ISNUMBER(AVERAGE('20250815_ETF_Options_Exhibits'!M1267:M1271)),AVERAGE('20250815_ETF_Options_Exhibits'!M1267:M1271),"")</f>
        <v/>
      </c>
      <c r="N1271" s="3">
        <f>IF(ISNUMBER(AVERAGE('20250815_ETF_Options_Exhibits'!N1267:N1271)),AVERAGE('20250815_ETF_Options_Exhibits'!N1267:N1271),"")</f>
        <v/>
      </c>
      <c r="O1271" s="3">
        <f>IF(ISNUMBER(AVERAGE('20250815_ETF_Options_Exhibits'!O1267:O1271)),AVERAGE('20250815_ETF_Options_Exhibits'!O1267:O1271),"")</f>
        <v/>
      </c>
      <c r="P1271" s="3">
        <f>IF(ISNUMBER(AVERAGE('20250815_ETF_Options_Exhibits'!P1267:P1271)),AVERAGE('20250815_ETF_Options_Exhibits'!P1267:P1271),"")</f>
        <v/>
      </c>
      <c r="Q1271" s="3">
        <f>IF(ISNUMBER(AVERAGE('20250815_ETF_Options_Exhibits'!Q1267:Q1271)),AVERAGE('20250815_ETF_Options_Exhibits'!Q1267:Q1271),"")</f>
        <v/>
      </c>
      <c r="R1271" s="3">
        <f>IF(ISNUMBER(AVERAGE('20250815_ETF_Options_Exhibits'!R1267:R1271)),AVERAGE('20250815_ETF_Options_Exhibits'!R1267:R1271),"")</f>
        <v/>
      </c>
      <c r="S1271" s="3">
        <f>IF(ISNUMBER(AVERAGE('20250815_ETF_Options_Exhibits'!S1267:S1271)),AVERAGE('20250815_ETF_Options_Exhibits'!S1267:S1271),"")</f>
        <v/>
      </c>
      <c r="T1271" s="3">
        <f>IF(ISNUMBER(AVERAGE('20250815_ETF_Options_Exhibits'!T1267:T1271)),AVERAGE('20250815_ETF_Options_Exhibits'!T1267:T1271),"")</f>
        <v/>
      </c>
      <c r="U1271" s="3">
        <f>IF(ISNUMBER(AVERAGE('20250815_ETF_Options_Exhibits'!U1267:U1271)),AVERAGE('20250815_ETF_Options_Exhibits'!U1267:U1271),"")</f>
        <v/>
      </c>
      <c r="V1271" s="3">
        <f>IF(ISNUMBER(AVERAGE('20250815_ETF_Options_Exhibits'!V1267:V1271)),AVERAGE('20250815_ETF_Options_Exhibits'!V1267:V1271),"")</f>
        <v/>
      </c>
      <c r="W1271" s="3">
        <f>IF(ISNUMBER(AVERAGE('20250815_ETF_Options_Exhibits'!W1267:W1271)),AVERAGE('20250815_ETF_Options_Exhibits'!W1267:W1271),"")</f>
        <v/>
      </c>
      <c r="X1271" s="3">
        <f>IF(ISNUMBER(AVERAGE('20250815_ETF_Options_Exhibits'!X1267:X1271)),AVERAGE('20250815_ETF_Options_Exhibits'!X1267:X1271),"")</f>
        <v/>
      </c>
      <c r="Y1271" s="3">
        <f>IF(ISNUMBER(AVERAGE('20250815_ETF_Options_Exhibits'!Y1267:Y1271)),AVERAGE('20250815_ETF_Options_Exhibits'!Y1267:Y1271),"")</f>
        <v/>
      </c>
      <c r="Z1271" s="3">
        <f>IF(ISNUMBER(AVERAGE('20250815_ETF_Options_Exhibits'!Z1267:Z1271)),AVERAGE('20250815_ETF_Options_Exhibits'!Z1267:Z1271),"")</f>
        <v/>
      </c>
      <c r="AA1271" s="3">
        <f>IF(ISNUMBER(AVERAGE('20250815_ETF_Options_Exhibits'!AA1267:AA1271)),AVERAGE('20250815_ETF_Options_Exhibits'!AA1267:AA1271),"")</f>
        <v/>
      </c>
    </row>
    <row r="1272">
      <c r="A1272" s="1" t="n">
        <v>43847</v>
      </c>
      <c r="B1272" s="3">
        <f>IF(ISNUMBER(AVERAGE('20250815_ETF_Options_Exhibits'!B1268:B1272)),AVERAGE('20250815_ETF_Options_Exhibits'!B1268:B1272),"")</f>
        <v/>
      </c>
      <c r="C1272" s="3">
        <f>IF(ISNUMBER(AVERAGE('20250815_ETF_Options_Exhibits'!C1268:C1272)),AVERAGE('20250815_ETF_Options_Exhibits'!C1268:C1272),"")</f>
        <v/>
      </c>
      <c r="D1272" s="3">
        <f>IF(ISNUMBER(AVERAGE('20250815_ETF_Options_Exhibits'!D1268:D1272)),AVERAGE('20250815_ETF_Options_Exhibits'!D1268:D1272),"")</f>
        <v/>
      </c>
      <c r="E1272" s="3">
        <f>IF(ISNUMBER(AVERAGE('20250815_ETF_Options_Exhibits'!E1268:E1272)),AVERAGE('20250815_ETF_Options_Exhibits'!E1268:E1272),"")</f>
        <v/>
      </c>
      <c r="F1272" s="3">
        <f>IF(ISNUMBER(AVERAGE('20250815_ETF_Options_Exhibits'!F1268:F1272)),AVERAGE('20250815_ETF_Options_Exhibits'!F1268:F1272),"")</f>
        <v/>
      </c>
      <c r="G1272" s="3">
        <f>IF(ISNUMBER(AVERAGE('20250815_ETF_Options_Exhibits'!G1268:G1272)),AVERAGE('20250815_ETF_Options_Exhibits'!G1268:G1272),"")</f>
        <v/>
      </c>
      <c r="H1272" s="3">
        <f>IF(ISNUMBER(AVERAGE('20250815_ETF_Options_Exhibits'!H1268:H1272)),AVERAGE('20250815_ETF_Options_Exhibits'!H1268:H1272),"")</f>
        <v/>
      </c>
      <c r="I1272" s="3">
        <f>IF(ISNUMBER(AVERAGE('20250815_ETF_Options_Exhibits'!I1268:I1272)),AVERAGE('20250815_ETF_Options_Exhibits'!I1268:I1272),"")</f>
        <v/>
      </c>
      <c r="J1272" s="3">
        <f>IF(ISNUMBER(AVERAGE('20250815_ETF_Options_Exhibits'!J1268:J1272)),AVERAGE('20250815_ETF_Options_Exhibits'!J1268:J1272),"")</f>
        <v/>
      </c>
      <c r="K1272" s="3">
        <f>IF(ISNUMBER(AVERAGE('20250815_ETF_Options_Exhibits'!K1268:K1272)),AVERAGE('20250815_ETF_Options_Exhibits'!K1268:K1272),"")</f>
        <v/>
      </c>
      <c r="L1272" s="3">
        <f>IF(ISNUMBER(AVERAGE('20250815_ETF_Options_Exhibits'!L1268:L1272)),AVERAGE('20250815_ETF_Options_Exhibits'!L1268:L1272),"")</f>
        <v/>
      </c>
      <c r="M1272" s="3">
        <f>IF(ISNUMBER(AVERAGE('20250815_ETF_Options_Exhibits'!M1268:M1272)),AVERAGE('20250815_ETF_Options_Exhibits'!M1268:M1272),"")</f>
        <v/>
      </c>
      <c r="N1272" s="3">
        <f>IF(ISNUMBER(AVERAGE('20250815_ETF_Options_Exhibits'!N1268:N1272)),AVERAGE('20250815_ETF_Options_Exhibits'!N1268:N1272),"")</f>
        <v/>
      </c>
      <c r="O1272" s="3">
        <f>IF(ISNUMBER(AVERAGE('20250815_ETF_Options_Exhibits'!O1268:O1272)),AVERAGE('20250815_ETF_Options_Exhibits'!O1268:O1272),"")</f>
        <v/>
      </c>
      <c r="P1272" s="3">
        <f>IF(ISNUMBER(AVERAGE('20250815_ETF_Options_Exhibits'!P1268:P1272)),AVERAGE('20250815_ETF_Options_Exhibits'!P1268:P1272),"")</f>
        <v/>
      </c>
      <c r="Q1272" s="3">
        <f>IF(ISNUMBER(AVERAGE('20250815_ETF_Options_Exhibits'!Q1268:Q1272)),AVERAGE('20250815_ETF_Options_Exhibits'!Q1268:Q1272),"")</f>
        <v/>
      </c>
      <c r="R1272" s="3">
        <f>IF(ISNUMBER(AVERAGE('20250815_ETF_Options_Exhibits'!R1268:R1272)),AVERAGE('20250815_ETF_Options_Exhibits'!R1268:R1272),"")</f>
        <v/>
      </c>
      <c r="S1272" s="3">
        <f>IF(ISNUMBER(AVERAGE('20250815_ETF_Options_Exhibits'!S1268:S1272)),AVERAGE('20250815_ETF_Options_Exhibits'!S1268:S1272),"")</f>
        <v/>
      </c>
      <c r="T1272" s="3">
        <f>IF(ISNUMBER(AVERAGE('20250815_ETF_Options_Exhibits'!T1268:T1272)),AVERAGE('20250815_ETF_Options_Exhibits'!T1268:T1272),"")</f>
        <v/>
      </c>
      <c r="U1272" s="3">
        <f>IF(ISNUMBER(AVERAGE('20250815_ETF_Options_Exhibits'!U1268:U1272)),AVERAGE('20250815_ETF_Options_Exhibits'!U1268:U1272),"")</f>
        <v/>
      </c>
      <c r="V1272" s="3">
        <f>IF(ISNUMBER(AVERAGE('20250815_ETF_Options_Exhibits'!V1268:V1272)),AVERAGE('20250815_ETF_Options_Exhibits'!V1268:V1272),"")</f>
        <v/>
      </c>
      <c r="W1272" s="3">
        <f>IF(ISNUMBER(AVERAGE('20250815_ETF_Options_Exhibits'!W1268:W1272)),AVERAGE('20250815_ETF_Options_Exhibits'!W1268:W1272),"")</f>
        <v/>
      </c>
      <c r="X1272" s="3">
        <f>IF(ISNUMBER(AVERAGE('20250815_ETF_Options_Exhibits'!X1268:X1272)),AVERAGE('20250815_ETF_Options_Exhibits'!X1268:X1272),"")</f>
        <v/>
      </c>
      <c r="Y1272" s="3">
        <f>IF(ISNUMBER(AVERAGE('20250815_ETF_Options_Exhibits'!Y1268:Y1272)),AVERAGE('20250815_ETF_Options_Exhibits'!Y1268:Y1272),"")</f>
        <v/>
      </c>
      <c r="Z1272" s="3">
        <f>IF(ISNUMBER(AVERAGE('20250815_ETF_Options_Exhibits'!Z1268:Z1272)),AVERAGE('20250815_ETF_Options_Exhibits'!Z1268:Z1272),"")</f>
        <v/>
      </c>
      <c r="AA1272" s="3">
        <f>IF(ISNUMBER(AVERAGE('20250815_ETF_Options_Exhibits'!AA1268:AA1272)),AVERAGE('20250815_ETF_Options_Exhibits'!AA1268:AA1272),"")</f>
        <v/>
      </c>
    </row>
    <row r="1273">
      <c r="A1273" s="1" t="n">
        <v>43851</v>
      </c>
      <c r="B1273" s="3">
        <f>IF(ISNUMBER(AVERAGE('20250815_ETF_Options_Exhibits'!B1269:B1273)),AVERAGE('20250815_ETF_Options_Exhibits'!B1269:B1273),"")</f>
        <v/>
      </c>
      <c r="C1273" s="3">
        <f>IF(ISNUMBER(AVERAGE('20250815_ETF_Options_Exhibits'!C1269:C1273)),AVERAGE('20250815_ETF_Options_Exhibits'!C1269:C1273),"")</f>
        <v/>
      </c>
      <c r="D1273" s="3">
        <f>IF(ISNUMBER(AVERAGE('20250815_ETF_Options_Exhibits'!D1269:D1273)),AVERAGE('20250815_ETF_Options_Exhibits'!D1269:D1273),"")</f>
        <v/>
      </c>
      <c r="E1273" s="3">
        <f>IF(ISNUMBER(AVERAGE('20250815_ETF_Options_Exhibits'!E1269:E1273)),AVERAGE('20250815_ETF_Options_Exhibits'!E1269:E1273),"")</f>
        <v/>
      </c>
      <c r="F1273" s="3">
        <f>IF(ISNUMBER(AVERAGE('20250815_ETF_Options_Exhibits'!F1269:F1273)),AVERAGE('20250815_ETF_Options_Exhibits'!F1269:F1273),"")</f>
        <v/>
      </c>
      <c r="G1273" s="3">
        <f>IF(ISNUMBER(AVERAGE('20250815_ETF_Options_Exhibits'!G1269:G1273)),AVERAGE('20250815_ETF_Options_Exhibits'!G1269:G1273),"")</f>
        <v/>
      </c>
      <c r="H1273" s="3">
        <f>IF(ISNUMBER(AVERAGE('20250815_ETF_Options_Exhibits'!H1269:H1273)),AVERAGE('20250815_ETF_Options_Exhibits'!H1269:H1273),"")</f>
        <v/>
      </c>
      <c r="I1273" s="3">
        <f>IF(ISNUMBER(AVERAGE('20250815_ETF_Options_Exhibits'!I1269:I1273)),AVERAGE('20250815_ETF_Options_Exhibits'!I1269:I1273),"")</f>
        <v/>
      </c>
      <c r="J1273" s="3">
        <f>IF(ISNUMBER(AVERAGE('20250815_ETF_Options_Exhibits'!J1269:J1273)),AVERAGE('20250815_ETF_Options_Exhibits'!J1269:J1273),"")</f>
        <v/>
      </c>
      <c r="K1273" s="3">
        <f>IF(ISNUMBER(AVERAGE('20250815_ETF_Options_Exhibits'!K1269:K1273)),AVERAGE('20250815_ETF_Options_Exhibits'!K1269:K1273),"")</f>
        <v/>
      </c>
      <c r="L1273" s="3">
        <f>IF(ISNUMBER(AVERAGE('20250815_ETF_Options_Exhibits'!L1269:L1273)),AVERAGE('20250815_ETF_Options_Exhibits'!L1269:L1273),"")</f>
        <v/>
      </c>
      <c r="M1273" s="3">
        <f>IF(ISNUMBER(AVERAGE('20250815_ETF_Options_Exhibits'!M1269:M1273)),AVERAGE('20250815_ETF_Options_Exhibits'!M1269:M1273),"")</f>
        <v/>
      </c>
      <c r="N1273" s="3">
        <f>IF(ISNUMBER(AVERAGE('20250815_ETF_Options_Exhibits'!N1269:N1273)),AVERAGE('20250815_ETF_Options_Exhibits'!N1269:N1273),"")</f>
        <v/>
      </c>
      <c r="O1273" s="3">
        <f>IF(ISNUMBER(AVERAGE('20250815_ETF_Options_Exhibits'!O1269:O1273)),AVERAGE('20250815_ETF_Options_Exhibits'!O1269:O1273),"")</f>
        <v/>
      </c>
      <c r="P1273" s="3">
        <f>IF(ISNUMBER(AVERAGE('20250815_ETF_Options_Exhibits'!P1269:P1273)),AVERAGE('20250815_ETF_Options_Exhibits'!P1269:P1273),"")</f>
        <v/>
      </c>
      <c r="Q1273" s="3">
        <f>IF(ISNUMBER(AVERAGE('20250815_ETF_Options_Exhibits'!Q1269:Q1273)),AVERAGE('20250815_ETF_Options_Exhibits'!Q1269:Q1273),"")</f>
        <v/>
      </c>
      <c r="R1273" s="3">
        <f>IF(ISNUMBER(AVERAGE('20250815_ETF_Options_Exhibits'!R1269:R1273)),AVERAGE('20250815_ETF_Options_Exhibits'!R1269:R1273),"")</f>
        <v/>
      </c>
      <c r="S1273" s="3">
        <f>IF(ISNUMBER(AVERAGE('20250815_ETF_Options_Exhibits'!S1269:S1273)),AVERAGE('20250815_ETF_Options_Exhibits'!S1269:S1273),"")</f>
        <v/>
      </c>
      <c r="T1273" s="3">
        <f>IF(ISNUMBER(AVERAGE('20250815_ETF_Options_Exhibits'!T1269:T1273)),AVERAGE('20250815_ETF_Options_Exhibits'!T1269:T1273),"")</f>
        <v/>
      </c>
      <c r="U1273" s="3">
        <f>IF(ISNUMBER(AVERAGE('20250815_ETF_Options_Exhibits'!U1269:U1273)),AVERAGE('20250815_ETF_Options_Exhibits'!U1269:U1273),"")</f>
        <v/>
      </c>
      <c r="V1273" s="3">
        <f>IF(ISNUMBER(AVERAGE('20250815_ETF_Options_Exhibits'!V1269:V1273)),AVERAGE('20250815_ETF_Options_Exhibits'!V1269:V1273),"")</f>
        <v/>
      </c>
      <c r="W1273" s="3">
        <f>IF(ISNUMBER(AVERAGE('20250815_ETF_Options_Exhibits'!W1269:W1273)),AVERAGE('20250815_ETF_Options_Exhibits'!W1269:W1273),"")</f>
        <v/>
      </c>
      <c r="X1273" s="3">
        <f>IF(ISNUMBER(AVERAGE('20250815_ETF_Options_Exhibits'!X1269:X1273)),AVERAGE('20250815_ETF_Options_Exhibits'!X1269:X1273),"")</f>
        <v/>
      </c>
      <c r="Y1273" s="3">
        <f>IF(ISNUMBER(AVERAGE('20250815_ETF_Options_Exhibits'!Y1269:Y1273)),AVERAGE('20250815_ETF_Options_Exhibits'!Y1269:Y1273),"")</f>
        <v/>
      </c>
      <c r="Z1273" s="3">
        <f>IF(ISNUMBER(AVERAGE('20250815_ETF_Options_Exhibits'!Z1269:Z1273)),AVERAGE('20250815_ETF_Options_Exhibits'!Z1269:Z1273),"")</f>
        <v/>
      </c>
      <c r="AA1273" s="3">
        <f>IF(ISNUMBER(AVERAGE('20250815_ETF_Options_Exhibits'!AA1269:AA1273)),AVERAGE('20250815_ETF_Options_Exhibits'!AA1269:AA1273),"")</f>
        <v/>
      </c>
    </row>
    <row r="1274">
      <c r="A1274" s="1" t="n">
        <v>43852</v>
      </c>
      <c r="B1274" s="3">
        <f>IF(ISNUMBER(AVERAGE('20250815_ETF_Options_Exhibits'!B1270:B1274)),AVERAGE('20250815_ETF_Options_Exhibits'!B1270:B1274),"")</f>
        <v/>
      </c>
      <c r="C1274" s="3">
        <f>IF(ISNUMBER(AVERAGE('20250815_ETF_Options_Exhibits'!C1270:C1274)),AVERAGE('20250815_ETF_Options_Exhibits'!C1270:C1274),"")</f>
        <v/>
      </c>
      <c r="D1274" s="3">
        <f>IF(ISNUMBER(AVERAGE('20250815_ETF_Options_Exhibits'!D1270:D1274)),AVERAGE('20250815_ETF_Options_Exhibits'!D1270:D1274),"")</f>
        <v/>
      </c>
      <c r="E1274" s="3">
        <f>IF(ISNUMBER(AVERAGE('20250815_ETF_Options_Exhibits'!E1270:E1274)),AVERAGE('20250815_ETF_Options_Exhibits'!E1270:E1274),"")</f>
        <v/>
      </c>
      <c r="F1274" s="3">
        <f>IF(ISNUMBER(AVERAGE('20250815_ETF_Options_Exhibits'!F1270:F1274)),AVERAGE('20250815_ETF_Options_Exhibits'!F1270:F1274),"")</f>
        <v/>
      </c>
      <c r="G1274" s="3">
        <f>IF(ISNUMBER(AVERAGE('20250815_ETF_Options_Exhibits'!G1270:G1274)),AVERAGE('20250815_ETF_Options_Exhibits'!G1270:G1274),"")</f>
        <v/>
      </c>
      <c r="H1274" s="3">
        <f>IF(ISNUMBER(AVERAGE('20250815_ETF_Options_Exhibits'!H1270:H1274)),AVERAGE('20250815_ETF_Options_Exhibits'!H1270:H1274),"")</f>
        <v/>
      </c>
      <c r="I1274" s="3">
        <f>IF(ISNUMBER(AVERAGE('20250815_ETF_Options_Exhibits'!I1270:I1274)),AVERAGE('20250815_ETF_Options_Exhibits'!I1270:I1274),"")</f>
        <v/>
      </c>
      <c r="J1274" s="3">
        <f>IF(ISNUMBER(AVERAGE('20250815_ETF_Options_Exhibits'!J1270:J1274)),AVERAGE('20250815_ETF_Options_Exhibits'!J1270:J1274),"")</f>
        <v/>
      </c>
      <c r="K1274" s="3">
        <f>IF(ISNUMBER(AVERAGE('20250815_ETF_Options_Exhibits'!K1270:K1274)),AVERAGE('20250815_ETF_Options_Exhibits'!K1270:K1274),"")</f>
        <v/>
      </c>
      <c r="L1274" s="3">
        <f>IF(ISNUMBER(AVERAGE('20250815_ETF_Options_Exhibits'!L1270:L1274)),AVERAGE('20250815_ETF_Options_Exhibits'!L1270:L1274),"")</f>
        <v/>
      </c>
      <c r="M1274" s="3">
        <f>IF(ISNUMBER(AVERAGE('20250815_ETF_Options_Exhibits'!M1270:M1274)),AVERAGE('20250815_ETF_Options_Exhibits'!M1270:M1274),"")</f>
        <v/>
      </c>
      <c r="N1274" s="3">
        <f>IF(ISNUMBER(AVERAGE('20250815_ETF_Options_Exhibits'!N1270:N1274)),AVERAGE('20250815_ETF_Options_Exhibits'!N1270:N1274),"")</f>
        <v/>
      </c>
      <c r="O1274" s="3">
        <f>IF(ISNUMBER(AVERAGE('20250815_ETF_Options_Exhibits'!O1270:O1274)),AVERAGE('20250815_ETF_Options_Exhibits'!O1270:O1274),"")</f>
        <v/>
      </c>
      <c r="P1274" s="3">
        <f>IF(ISNUMBER(AVERAGE('20250815_ETF_Options_Exhibits'!P1270:P1274)),AVERAGE('20250815_ETF_Options_Exhibits'!P1270:P1274),"")</f>
        <v/>
      </c>
      <c r="Q1274" s="3">
        <f>IF(ISNUMBER(AVERAGE('20250815_ETF_Options_Exhibits'!Q1270:Q1274)),AVERAGE('20250815_ETF_Options_Exhibits'!Q1270:Q1274),"")</f>
        <v/>
      </c>
      <c r="R1274" s="3">
        <f>IF(ISNUMBER(AVERAGE('20250815_ETF_Options_Exhibits'!R1270:R1274)),AVERAGE('20250815_ETF_Options_Exhibits'!R1270:R1274),"")</f>
        <v/>
      </c>
      <c r="S1274" s="3">
        <f>IF(ISNUMBER(AVERAGE('20250815_ETF_Options_Exhibits'!S1270:S1274)),AVERAGE('20250815_ETF_Options_Exhibits'!S1270:S1274),"")</f>
        <v/>
      </c>
      <c r="T1274" s="3">
        <f>IF(ISNUMBER(AVERAGE('20250815_ETF_Options_Exhibits'!T1270:T1274)),AVERAGE('20250815_ETF_Options_Exhibits'!T1270:T1274),"")</f>
        <v/>
      </c>
      <c r="U1274" s="3">
        <f>IF(ISNUMBER(AVERAGE('20250815_ETF_Options_Exhibits'!U1270:U1274)),AVERAGE('20250815_ETF_Options_Exhibits'!U1270:U1274),"")</f>
        <v/>
      </c>
      <c r="V1274" s="3">
        <f>IF(ISNUMBER(AVERAGE('20250815_ETF_Options_Exhibits'!V1270:V1274)),AVERAGE('20250815_ETF_Options_Exhibits'!V1270:V1274),"")</f>
        <v/>
      </c>
      <c r="W1274" s="3">
        <f>IF(ISNUMBER(AVERAGE('20250815_ETF_Options_Exhibits'!W1270:W1274)),AVERAGE('20250815_ETF_Options_Exhibits'!W1270:W1274),"")</f>
        <v/>
      </c>
      <c r="X1274" s="3">
        <f>IF(ISNUMBER(AVERAGE('20250815_ETF_Options_Exhibits'!X1270:X1274)),AVERAGE('20250815_ETF_Options_Exhibits'!X1270:X1274),"")</f>
        <v/>
      </c>
      <c r="Y1274" s="3">
        <f>IF(ISNUMBER(AVERAGE('20250815_ETF_Options_Exhibits'!Y1270:Y1274)),AVERAGE('20250815_ETF_Options_Exhibits'!Y1270:Y1274),"")</f>
        <v/>
      </c>
      <c r="Z1274" s="3">
        <f>IF(ISNUMBER(AVERAGE('20250815_ETF_Options_Exhibits'!Z1270:Z1274)),AVERAGE('20250815_ETF_Options_Exhibits'!Z1270:Z1274),"")</f>
        <v/>
      </c>
      <c r="AA1274" s="3">
        <f>IF(ISNUMBER(AVERAGE('20250815_ETF_Options_Exhibits'!AA1270:AA1274)),AVERAGE('20250815_ETF_Options_Exhibits'!AA1270:AA1274),"")</f>
        <v/>
      </c>
    </row>
    <row r="1275">
      <c r="A1275" s="1" t="n">
        <v>43853</v>
      </c>
      <c r="B1275" s="3">
        <f>IF(ISNUMBER(AVERAGE('20250815_ETF_Options_Exhibits'!B1271:B1275)),AVERAGE('20250815_ETF_Options_Exhibits'!B1271:B1275),"")</f>
        <v/>
      </c>
      <c r="C1275" s="3">
        <f>IF(ISNUMBER(AVERAGE('20250815_ETF_Options_Exhibits'!C1271:C1275)),AVERAGE('20250815_ETF_Options_Exhibits'!C1271:C1275),"")</f>
        <v/>
      </c>
      <c r="D1275" s="3">
        <f>IF(ISNUMBER(AVERAGE('20250815_ETF_Options_Exhibits'!D1271:D1275)),AVERAGE('20250815_ETF_Options_Exhibits'!D1271:D1275),"")</f>
        <v/>
      </c>
      <c r="E1275" s="3">
        <f>IF(ISNUMBER(AVERAGE('20250815_ETF_Options_Exhibits'!E1271:E1275)),AVERAGE('20250815_ETF_Options_Exhibits'!E1271:E1275),"")</f>
        <v/>
      </c>
      <c r="F1275" s="3">
        <f>IF(ISNUMBER(AVERAGE('20250815_ETF_Options_Exhibits'!F1271:F1275)),AVERAGE('20250815_ETF_Options_Exhibits'!F1271:F1275),"")</f>
        <v/>
      </c>
      <c r="G1275" s="3">
        <f>IF(ISNUMBER(AVERAGE('20250815_ETF_Options_Exhibits'!G1271:G1275)),AVERAGE('20250815_ETF_Options_Exhibits'!G1271:G1275),"")</f>
        <v/>
      </c>
      <c r="H1275" s="3">
        <f>IF(ISNUMBER(AVERAGE('20250815_ETF_Options_Exhibits'!H1271:H1275)),AVERAGE('20250815_ETF_Options_Exhibits'!H1271:H1275),"")</f>
        <v/>
      </c>
      <c r="I1275" s="3">
        <f>IF(ISNUMBER(AVERAGE('20250815_ETF_Options_Exhibits'!I1271:I1275)),AVERAGE('20250815_ETF_Options_Exhibits'!I1271:I1275),"")</f>
        <v/>
      </c>
      <c r="J1275" s="3">
        <f>IF(ISNUMBER(AVERAGE('20250815_ETF_Options_Exhibits'!J1271:J1275)),AVERAGE('20250815_ETF_Options_Exhibits'!J1271:J1275),"")</f>
        <v/>
      </c>
      <c r="K1275" s="3">
        <f>IF(ISNUMBER(AVERAGE('20250815_ETF_Options_Exhibits'!K1271:K1275)),AVERAGE('20250815_ETF_Options_Exhibits'!K1271:K1275),"")</f>
        <v/>
      </c>
      <c r="L1275" s="3">
        <f>IF(ISNUMBER(AVERAGE('20250815_ETF_Options_Exhibits'!L1271:L1275)),AVERAGE('20250815_ETF_Options_Exhibits'!L1271:L1275),"")</f>
        <v/>
      </c>
      <c r="M1275" s="3">
        <f>IF(ISNUMBER(AVERAGE('20250815_ETF_Options_Exhibits'!M1271:M1275)),AVERAGE('20250815_ETF_Options_Exhibits'!M1271:M1275),"")</f>
        <v/>
      </c>
      <c r="N1275" s="3">
        <f>IF(ISNUMBER(AVERAGE('20250815_ETF_Options_Exhibits'!N1271:N1275)),AVERAGE('20250815_ETF_Options_Exhibits'!N1271:N1275),"")</f>
        <v/>
      </c>
      <c r="O1275" s="3">
        <f>IF(ISNUMBER(AVERAGE('20250815_ETF_Options_Exhibits'!O1271:O1275)),AVERAGE('20250815_ETF_Options_Exhibits'!O1271:O1275),"")</f>
        <v/>
      </c>
      <c r="P1275" s="3">
        <f>IF(ISNUMBER(AVERAGE('20250815_ETF_Options_Exhibits'!P1271:P1275)),AVERAGE('20250815_ETF_Options_Exhibits'!P1271:P1275),"")</f>
        <v/>
      </c>
      <c r="Q1275" s="3">
        <f>IF(ISNUMBER(AVERAGE('20250815_ETF_Options_Exhibits'!Q1271:Q1275)),AVERAGE('20250815_ETF_Options_Exhibits'!Q1271:Q1275),"")</f>
        <v/>
      </c>
      <c r="R1275" s="3">
        <f>IF(ISNUMBER(AVERAGE('20250815_ETF_Options_Exhibits'!R1271:R1275)),AVERAGE('20250815_ETF_Options_Exhibits'!R1271:R1275),"")</f>
        <v/>
      </c>
      <c r="S1275" s="3">
        <f>IF(ISNUMBER(AVERAGE('20250815_ETF_Options_Exhibits'!S1271:S1275)),AVERAGE('20250815_ETF_Options_Exhibits'!S1271:S1275),"")</f>
        <v/>
      </c>
      <c r="T1275" s="3">
        <f>IF(ISNUMBER(AVERAGE('20250815_ETF_Options_Exhibits'!T1271:T1275)),AVERAGE('20250815_ETF_Options_Exhibits'!T1271:T1275),"")</f>
        <v/>
      </c>
      <c r="U1275" s="3">
        <f>IF(ISNUMBER(AVERAGE('20250815_ETF_Options_Exhibits'!U1271:U1275)),AVERAGE('20250815_ETF_Options_Exhibits'!U1271:U1275),"")</f>
        <v/>
      </c>
      <c r="V1275" s="3">
        <f>IF(ISNUMBER(AVERAGE('20250815_ETF_Options_Exhibits'!V1271:V1275)),AVERAGE('20250815_ETF_Options_Exhibits'!V1271:V1275),"")</f>
        <v/>
      </c>
      <c r="W1275" s="3">
        <f>IF(ISNUMBER(AVERAGE('20250815_ETF_Options_Exhibits'!W1271:W1275)),AVERAGE('20250815_ETF_Options_Exhibits'!W1271:W1275),"")</f>
        <v/>
      </c>
      <c r="X1275" s="3">
        <f>IF(ISNUMBER(AVERAGE('20250815_ETF_Options_Exhibits'!X1271:X1275)),AVERAGE('20250815_ETF_Options_Exhibits'!X1271:X1275),"")</f>
        <v/>
      </c>
      <c r="Y1275" s="3">
        <f>IF(ISNUMBER(AVERAGE('20250815_ETF_Options_Exhibits'!Y1271:Y1275)),AVERAGE('20250815_ETF_Options_Exhibits'!Y1271:Y1275),"")</f>
        <v/>
      </c>
      <c r="Z1275" s="3">
        <f>IF(ISNUMBER(AVERAGE('20250815_ETF_Options_Exhibits'!Z1271:Z1275)),AVERAGE('20250815_ETF_Options_Exhibits'!Z1271:Z1275),"")</f>
        <v/>
      </c>
      <c r="AA1275" s="3">
        <f>IF(ISNUMBER(AVERAGE('20250815_ETF_Options_Exhibits'!AA1271:AA1275)),AVERAGE('20250815_ETF_Options_Exhibits'!AA1271:AA1275),"")</f>
        <v/>
      </c>
    </row>
    <row r="1276">
      <c r="A1276" s="1" t="n">
        <v>43854</v>
      </c>
      <c r="B1276" s="3">
        <f>IF(ISNUMBER(AVERAGE('20250815_ETF_Options_Exhibits'!B1272:B1276)),AVERAGE('20250815_ETF_Options_Exhibits'!B1272:B1276),"")</f>
        <v/>
      </c>
      <c r="C1276" s="3">
        <f>IF(ISNUMBER(AVERAGE('20250815_ETF_Options_Exhibits'!C1272:C1276)),AVERAGE('20250815_ETF_Options_Exhibits'!C1272:C1276),"")</f>
        <v/>
      </c>
      <c r="D1276" s="3">
        <f>IF(ISNUMBER(AVERAGE('20250815_ETF_Options_Exhibits'!D1272:D1276)),AVERAGE('20250815_ETF_Options_Exhibits'!D1272:D1276),"")</f>
        <v/>
      </c>
      <c r="E1276" s="3">
        <f>IF(ISNUMBER(AVERAGE('20250815_ETF_Options_Exhibits'!E1272:E1276)),AVERAGE('20250815_ETF_Options_Exhibits'!E1272:E1276),"")</f>
        <v/>
      </c>
      <c r="F1276" s="3">
        <f>IF(ISNUMBER(AVERAGE('20250815_ETF_Options_Exhibits'!F1272:F1276)),AVERAGE('20250815_ETF_Options_Exhibits'!F1272:F1276),"")</f>
        <v/>
      </c>
      <c r="G1276" s="3">
        <f>IF(ISNUMBER(AVERAGE('20250815_ETF_Options_Exhibits'!G1272:G1276)),AVERAGE('20250815_ETF_Options_Exhibits'!G1272:G1276),"")</f>
        <v/>
      </c>
      <c r="H1276" s="3">
        <f>IF(ISNUMBER(AVERAGE('20250815_ETF_Options_Exhibits'!H1272:H1276)),AVERAGE('20250815_ETF_Options_Exhibits'!H1272:H1276),"")</f>
        <v/>
      </c>
      <c r="I1276" s="3">
        <f>IF(ISNUMBER(AVERAGE('20250815_ETF_Options_Exhibits'!I1272:I1276)),AVERAGE('20250815_ETF_Options_Exhibits'!I1272:I1276),"")</f>
        <v/>
      </c>
      <c r="J1276" s="3">
        <f>IF(ISNUMBER(AVERAGE('20250815_ETF_Options_Exhibits'!J1272:J1276)),AVERAGE('20250815_ETF_Options_Exhibits'!J1272:J1276),"")</f>
        <v/>
      </c>
      <c r="K1276" s="3">
        <f>IF(ISNUMBER(AVERAGE('20250815_ETF_Options_Exhibits'!K1272:K1276)),AVERAGE('20250815_ETF_Options_Exhibits'!K1272:K1276),"")</f>
        <v/>
      </c>
      <c r="L1276" s="3">
        <f>IF(ISNUMBER(AVERAGE('20250815_ETF_Options_Exhibits'!L1272:L1276)),AVERAGE('20250815_ETF_Options_Exhibits'!L1272:L1276),"")</f>
        <v/>
      </c>
      <c r="M1276" s="3">
        <f>IF(ISNUMBER(AVERAGE('20250815_ETF_Options_Exhibits'!M1272:M1276)),AVERAGE('20250815_ETF_Options_Exhibits'!M1272:M1276),"")</f>
        <v/>
      </c>
      <c r="N1276" s="3">
        <f>IF(ISNUMBER(AVERAGE('20250815_ETF_Options_Exhibits'!N1272:N1276)),AVERAGE('20250815_ETF_Options_Exhibits'!N1272:N1276),"")</f>
        <v/>
      </c>
      <c r="O1276" s="3">
        <f>IF(ISNUMBER(AVERAGE('20250815_ETF_Options_Exhibits'!O1272:O1276)),AVERAGE('20250815_ETF_Options_Exhibits'!O1272:O1276),"")</f>
        <v/>
      </c>
      <c r="P1276" s="3">
        <f>IF(ISNUMBER(AVERAGE('20250815_ETF_Options_Exhibits'!P1272:P1276)),AVERAGE('20250815_ETF_Options_Exhibits'!P1272:P1276),"")</f>
        <v/>
      </c>
      <c r="Q1276" s="3">
        <f>IF(ISNUMBER(AVERAGE('20250815_ETF_Options_Exhibits'!Q1272:Q1276)),AVERAGE('20250815_ETF_Options_Exhibits'!Q1272:Q1276),"")</f>
        <v/>
      </c>
      <c r="R1276" s="3">
        <f>IF(ISNUMBER(AVERAGE('20250815_ETF_Options_Exhibits'!R1272:R1276)),AVERAGE('20250815_ETF_Options_Exhibits'!R1272:R1276),"")</f>
        <v/>
      </c>
      <c r="S1276" s="3">
        <f>IF(ISNUMBER(AVERAGE('20250815_ETF_Options_Exhibits'!S1272:S1276)),AVERAGE('20250815_ETF_Options_Exhibits'!S1272:S1276),"")</f>
        <v/>
      </c>
      <c r="T1276" s="3">
        <f>IF(ISNUMBER(AVERAGE('20250815_ETF_Options_Exhibits'!T1272:T1276)),AVERAGE('20250815_ETF_Options_Exhibits'!T1272:T1276),"")</f>
        <v/>
      </c>
      <c r="U1276" s="3">
        <f>IF(ISNUMBER(AVERAGE('20250815_ETF_Options_Exhibits'!U1272:U1276)),AVERAGE('20250815_ETF_Options_Exhibits'!U1272:U1276),"")</f>
        <v/>
      </c>
      <c r="V1276" s="3">
        <f>IF(ISNUMBER(AVERAGE('20250815_ETF_Options_Exhibits'!V1272:V1276)),AVERAGE('20250815_ETF_Options_Exhibits'!V1272:V1276),"")</f>
        <v/>
      </c>
      <c r="W1276" s="3">
        <f>IF(ISNUMBER(AVERAGE('20250815_ETF_Options_Exhibits'!W1272:W1276)),AVERAGE('20250815_ETF_Options_Exhibits'!W1272:W1276),"")</f>
        <v/>
      </c>
      <c r="X1276" s="3">
        <f>IF(ISNUMBER(AVERAGE('20250815_ETF_Options_Exhibits'!X1272:X1276)),AVERAGE('20250815_ETF_Options_Exhibits'!X1272:X1276),"")</f>
        <v/>
      </c>
      <c r="Y1276" s="3">
        <f>IF(ISNUMBER(AVERAGE('20250815_ETF_Options_Exhibits'!Y1272:Y1276)),AVERAGE('20250815_ETF_Options_Exhibits'!Y1272:Y1276),"")</f>
        <v/>
      </c>
      <c r="Z1276" s="3">
        <f>IF(ISNUMBER(AVERAGE('20250815_ETF_Options_Exhibits'!Z1272:Z1276)),AVERAGE('20250815_ETF_Options_Exhibits'!Z1272:Z1276),"")</f>
        <v/>
      </c>
      <c r="AA1276" s="3">
        <f>IF(ISNUMBER(AVERAGE('20250815_ETF_Options_Exhibits'!AA1272:AA1276)),AVERAGE('20250815_ETF_Options_Exhibits'!AA1272:AA1276),"")</f>
        <v/>
      </c>
    </row>
    <row r="1277">
      <c r="A1277" s="1" t="n">
        <v>43857</v>
      </c>
      <c r="B1277" s="3">
        <f>IF(ISNUMBER(AVERAGE('20250815_ETF_Options_Exhibits'!B1273:B1277)),AVERAGE('20250815_ETF_Options_Exhibits'!B1273:B1277),"")</f>
        <v/>
      </c>
      <c r="C1277" s="3">
        <f>IF(ISNUMBER(AVERAGE('20250815_ETF_Options_Exhibits'!C1273:C1277)),AVERAGE('20250815_ETF_Options_Exhibits'!C1273:C1277),"")</f>
        <v/>
      </c>
      <c r="D1277" s="3">
        <f>IF(ISNUMBER(AVERAGE('20250815_ETF_Options_Exhibits'!D1273:D1277)),AVERAGE('20250815_ETF_Options_Exhibits'!D1273:D1277),"")</f>
        <v/>
      </c>
      <c r="E1277" s="3">
        <f>IF(ISNUMBER(AVERAGE('20250815_ETF_Options_Exhibits'!E1273:E1277)),AVERAGE('20250815_ETF_Options_Exhibits'!E1273:E1277),"")</f>
        <v/>
      </c>
      <c r="F1277" s="3">
        <f>IF(ISNUMBER(AVERAGE('20250815_ETF_Options_Exhibits'!F1273:F1277)),AVERAGE('20250815_ETF_Options_Exhibits'!F1273:F1277),"")</f>
        <v/>
      </c>
      <c r="G1277" s="3">
        <f>IF(ISNUMBER(AVERAGE('20250815_ETF_Options_Exhibits'!G1273:G1277)),AVERAGE('20250815_ETF_Options_Exhibits'!G1273:G1277),"")</f>
        <v/>
      </c>
      <c r="H1277" s="3">
        <f>IF(ISNUMBER(AVERAGE('20250815_ETF_Options_Exhibits'!H1273:H1277)),AVERAGE('20250815_ETF_Options_Exhibits'!H1273:H1277),"")</f>
        <v/>
      </c>
      <c r="I1277" s="3">
        <f>IF(ISNUMBER(AVERAGE('20250815_ETF_Options_Exhibits'!I1273:I1277)),AVERAGE('20250815_ETF_Options_Exhibits'!I1273:I1277),"")</f>
        <v/>
      </c>
      <c r="J1277" s="3">
        <f>IF(ISNUMBER(AVERAGE('20250815_ETF_Options_Exhibits'!J1273:J1277)),AVERAGE('20250815_ETF_Options_Exhibits'!J1273:J1277),"")</f>
        <v/>
      </c>
      <c r="K1277" s="3">
        <f>IF(ISNUMBER(AVERAGE('20250815_ETF_Options_Exhibits'!K1273:K1277)),AVERAGE('20250815_ETF_Options_Exhibits'!K1273:K1277),"")</f>
        <v/>
      </c>
      <c r="L1277" s="3">
        <f>IF(ISNUMBER(AVERAGE('20250815_ETF_Options_Exhibits'!L1273:L1277)),AVERAGE('20250815_ETF_Options_Exhibits'!L1273:L1277),"")</f>
        <v/>
      </c>
      <c r="M1277" s="3">
        <f>IF(ISNUMBER(AVERAGE('20250815_ETF_Options_Exhibits'!M1273:M1277)),AVERAGE('20250815_ETF_Options_Exhibits'!M1273:M1277),"")</f>
        <v/>
      </c>
      <c r="N1277" s="3">
        <f>IF(ISNUMBER(AVERAGE('20250815_ETF_Options_Exhibits'!N1273:N1277)),AVERAGE('20250815_ETF_Options_Exhibits'!N1273:N1277),"")</f>
        <v/>
      </c>
      <c r="O1277" s="3">
        <f>IF(ISNUMBER(AVERAGE('20250815_ETF_Options_Exhibits'!O1273:O1277)),AVERAGE('20250815_ETF_Options_Exhibits'!O1273:O1277),"")</f>
        <v/>
      </c>
      <c r="P1277" s="3">
        <f>IF(ISNUMBER(AVERAGE('20250815_ETF_Options_Exhibits'!P1273:P1277)),AVERAGE('20250815_ETF_Options_Exhibits'!P1273:P1277),"")</f>
        <v/>
      </c>
      <c r="Q1277" s="3">
        <f>IF(ISNUMBER(AVERAGE('20250815_ETF_Options_Exhibits'!Q1273:Q1277)),AVERAGE('20250815_ETF_Options_Exhibits'!Q1273:Q1277),"")</f>
        <v/>
      </c>
      <c r="R1277" s="3">
        <f>IF(ISNUMBER(AVERAGE('20250815_ETF_Options_Exhibits'!R1273:R1277)),AVERAGE('20250815_ETF_Options_Exhibits'!R1273:R1277),"")</f>
        <v/>
      </c>
      <c r="S1277" s="3">
        <f>IF(ISNUMBER(AVERAGE('20250815_ETF_Options_Exhibits'!S1273:S1277)),AVERAGE('20250815_ETF_Options_Exhibits'!S1273:S1277),"")</f>
        <v/>
      </c>
      <c r="T1277" s="3">
        <f>IF(ISNUMBER(AVERAGE('20250815_ETF_Options_Exhibits'!T1273:T1277)),AVERAGE('20250815_ETF_Options_Exhibits'!T1273:T1277),"")</f>
        <v/>
      </c>
      <c r="U1277" s="3">
        <f>IF(ISNUMBER(AVERAGE('20250815_ETF_Options_Exhibits'!U1273:U1277)),AVERAGE('20250815_ETF_Options_Exhibits'!U1273:U1277),"")</f>
        <v/>
      </c>
      <c r="V1277" s="3">
        <f>IF(ISNUMBER(AVERAGE('20250815_ETF_Options_Exhibits'!V1273:V1277)),AVERAGE('20250815_ETF_Options_Exhibits'!V1273:V1277),"")</f>
        <v/>
      </c>
      <c r="W1277" s="3">
        <f>IF(ISNUMBER(AVERAGE('20250815_ETF_Options_Exhibits'!W1273:W1277)),AVERAGE('20250815_ETF_Options_Exhibits'!W1273:W1277),"")</f>
        <v/>
      </c>
      <c r="X1277" s="3">
        <f>IF(ISNUMBER(AVERAGE('20250815_ETF_Options_Exhibits'!X1273:X1277)),AVERAGE('20250815_ETF_Options_Exhibits'!X1273:X1277),"")</f>
        <v/>
      </c>
      <c r="Y1277" s="3">
        <f>IF(ISNUMBER(AVERAGE('20250815_ETF_Options_Exhibits'!Y1273:Y1277)),AVERAGE('20250815_ETF_Options_Exhibits'!Y1273:Y1277),"")</f>
        <v/>
      </c>
      <c r="Z1277" s="3">
        <f>IF(ISNUMBER(AVERAGE('20250815_ETF_Options_Exhibits'!Z1273:Z1277)),AVERAGE('20250815_ETF_Options_Exhibits'!Z1273:Z1277),"")</f>
        <v/>
      </c>
      <c r="AA1277" s="3">
        <f>IF(ISNUMBER(AVERAGE('20250815_ETF_Options_Exhibits'!AA1273:AA1277)),AVERAGE('20250815_ETF_Options_Exhibits'!AA1273:AA1277),"")</f>
        <v/>
      </c>
    </row>
    <row r="1278">
      <c r="A1278" s="1" t="n">
        <v>43858</v>
      </c>
      <c r="B1278" s="3">
        <f>IF(ISNUMBER(AVERAGE('20250815_ETF_Options_Exhibits'!B1274:B1278)),AVERAGE('20250815_ETF_Options_Exhibits'!B1274:B1278),"")</f>
        <v/>
      </c>
      <c r="C1278" s="3">
        <f>IF(ISNUMBER(AVERAGE('20250815_ETF_Options_Exhibits'!C1274:C1278)),AVERAGE('20250815_ETF_Options_Exhibits'!C1274:C1278),"")</f>
        <v/>
      </c>
      <c r="D1278" s="3">
        <f>IF(ISNUMBER(AVERAGE('20250815_ETF_Options_Exhibits'!D1274:D1278)),AVERAGE('20250815_ETF_Options_Exhibits'!D1274:D1278),"")</f>
        <v/>
      </c>
      <c r="E1278" s="3">
        <f>IF(ISNUMBER(AVERAGE('20250815_ETF_Options_Exhibits'!E1274:E1278)),AVERAGE('20250815_ETF_Options_Exhibits'!E1274:E1278),"")</f>
        <v/>
      </c>
      <c r="F1278" s="3">
        <f>IF(ISNUMBER(AVERAGE('20250815_ETF_Options_Exhibits'!F1274:F1278)),AVERAGE('20250815_ETF_Options_Exhibits'!F1274:F1278),"")</f>
        <v/>
      </c>
      <c r="G1278" s="3">
        <f>IF(ISNUMBER(AVERAGE('20250815_ETF_Options_Exhibits'!G1274:G1278)),AVERAGE('20250815_ETF_Options_Exhibits'!G1274:G1278),"")</f>
        <v/>
      </c>
      <c r="H1278" s="3">
        <f>IF(ISNUMBER(AVERAGE('20250815_ETF_Options_Exhibits'!H1274:H1278)),AVERAGE('20250815_ETF_Options_Exhibits'!H1274:H1278),"")</f>
        <v/>
      </c>
      <c r="I1278" s="3">
        <f>IF(ISNUMBER(AVERAGE('20250815_ETF_Options_Exhibits'!I1274:I1278)),AVERAGE('20250815_ETF_Options_Exhibits'!I1274:I1278),"")</f>
        <v/>
      </c>
      <c r="J1278" s="3">
        <f>IF(ISNUMBER(AVERAGE('20250815_ETF_Options_Exhibits'!J1274:J1278)),AVERAGE('20250815_ETF_Options_Exhibits'!J1274:J1278),"")</f>
        <v/>
      </c>
      <c r="K1278" s="3">
        <f>IF(ISNUMBER(AVERAGE('20250815_ETF_Options_Exhibits'!K1274:K1278)),AVERAGE('20250815_ETF_Options_Exhibits'!K1274:K1278),"")</f>
        <v/>
      </c>
      <c r="L1278" s="3">
        <f>IF(ISNUMBER(AVERAGE('20250815_ETF_Options_Exhibits'!L1274:L1278)),AVERAGE('20250815_ETF_Options_Exhibits'!L1274:L1278),"")</f>
        <v/>
      </c>
      <c r="M1278" s="3">
        <f>IF(ISNUMBER(AVERAGE('20250815_ETF_Options_Exhibits'!M1274:M1278)),AVERAGE('20250815_ETF_Options_Exhibits'!M1274:M1278),"")</f>
        <v/>
      </c>
      <c r="N1278" s="3">
        <f>IF(ISNUMBER(AVERAGE('20250815_ETF_Options_Exhibits'!N1274:N1278)),AVERAGE('20250815_ETF_Options_Exhibits'!N1274:N1278),"")</f>
        <v/>
      </c>
      <c r="O1278" s="3">
        <f>IF(ISNUMBER(AVERAGE('20250815_ETF_Options_Exhibits'!O1274:O1278)),AVERAGE('20250815_ETF_Options_Exhibits'!O1274:O1278),"")</f>
        <v/>
      </c>
      <c r="P1278" s="3">
        <f>IF(ISNUMBER(AVERAGE('20250815_ETF_Options_Exhibits'!P1274:P1278)),AVERAGE('20250815_ETF_Options_Exhibits'!P1274:P1278),"")</f>
        <v/>
      </c>
      <c r="Q1278" s="3">
        <f>IF(ISNUMBER(AVERAGE('20250815_ETF_Options_Exhibits'!Q1274:Q1278)),AVERAGE('20250815_ETF_Options_Exhibits'!Q1274:Q1278),"")</f>
        <v/>
      </c>
      <c r="R1278" s="3">
        <f>IF(ISNUMBER(AVERAGE('20250815_ETF_Options_Exhibits'!R1274:R1278)),AVERAGE('20250815_ETF_Options_Exhibits'!R1274:R1278),"")</f>
        <v/>
      </c>
      <c r="S1278" s="3">
        <f>IF(ISNUMBER(AVERAGE('20250815_ETF_Options_Exhibits'!S1274:S1278)),AVERAGE('20250815_ETF_Options_Exhibits'!S1274:S1278),"")</f>
        <v/>
      </c>
      <c r="T1278" s="3">
        <f>IF(ISNUMBER(AVERAGE('20250815_ETF_Options_Exhibits'!T1274:T1278)),AVERAGE('20250815_ETF_Options_Exhibits'!T1274:T1278),"")</f>
        <v/>
      </c>
      <c r="U1278" s="3">
        <f>IF(ISNUMBER(AVERAGE('20250815_ETF_Options_Exhibits'!U1274:U1278)),AVERAGE('20250815_ETF_Options_Exhibits'!U1274:U1278),"")</f>
        <v/>
      </c>
      <c r="V1278" s="3">
        <f>IF(ISNUMBER(AVERAGE('20250815_ETF_Options_Exhibits'!V1274:V1278)),AVERAGE('20250815_ETF_Options_Exhibits'!V1274:V1278),"")</f>
        <v/>
      </c>
      <c r="W1278" s="3">
        <f>IF(ISNUMBER(AVERAGE('20250815_ETF_Options_Exhibits'!W1274:W1278)),AVERAGE('20250815_ETF_Options_Exhibits'!W1274:W1278),"")</f>
        <v/>
      </c>
      <c r="X1278" s="3">
        <f>IF(ISNUMBER(AVERAGE('20250815_ETF_Options_Exhibits'!X1274:X1278)),AVERAGE('20250815_ETF_Options_Exhibits'!X1274:X1278),"")</f>
        <v/>
      </c>
      <c r="Y1278" s="3">
        <f>IF(ISNUMBER(AVERAGE('20250815_ETF_Options_Exhibits'!Y1274:Y1278)),AVERAGE('20250815_ETF_Options_Exhibits'!Y1274:Y1278),"")</f>
        <v/>
      </c>
      <c r="Z1278" s="3">
        <f>IF(ISNUMBER(AVERAGE('20250815_ETF_Options_Exhibits'!Z1274:Z1278)),AVERAGE('20250815_ETF_Options_Exhibits'!Z1274:Z1278),"")</f>
        <v/>
      </c>
      <c r="AA1278" s="3">
        <f>IF(ISNUMBER(AVERAGE('20250815_ETF_Options_Exhibits'!AA1274:AA1278)),AVERAGE('20250815_ETF_Options_Exhibits'!AA1274:AA1278),"")</f>
        <v/>
      </c>
    </row>
    <row r="1279">
      <c r="A1279" s="1" t="n">
        <v>43859</v>
      </c>
      <c r="B1279" s="3">
        <f>IF(ISNUMBER(AVERAGE('20250815_ETF_Options_Exhibits'!B1275:B1279)),AVERAGE('20250815_ETF_Options_Exhibits'!B1275:B1279),"")</f>
        <v/>
      </c>
      <c r="C1279" s="3">
        <f>IF(ISNUMBER(AVERAGE('20250815_ETF_Options_Exhibits'!C1275:C1279)),AVERAGE('20250815_ETF_Options_Exhibits'!C1275:C1279),"")</f>
        <v/>
      </c>
      <c r="D1279" s="3">
        <f>IF(ISNUMBER(AVERAGE('20250815_ETF_Options_Exhibits'!D1275:D1279)),AVERAGE('20250815_ETF_Options_Exhibits'!D1275:D1279),"")</f>
        <v/>
      </c>
      <c r="E1279" s="3">
        <f>IF(ISNUMBER(AVERAGE('20250815_ETF_Options_Exhibits'!E1275:E1279)),AVERAGE('20250815_ETF_Options_Exhibits'!E1275:E1279),"")</f>
        <v/>
      </c>
      <c r="F1279" s="3">
        <f>IF(ISNUMBER(AVERAGE('20250815_ETF_Options_Exhibits'!F1275:F1279)),AVERAGE('20250815_ETF_Options_Exhibits'!F1275:F1279),"")</f>
        <v/>
      </c>
      <c r="G1279" s="3">
        <f>IF(ISNUMBER(AVERAGE('20250815_ETF_Options_Exhibits'!G1275:G1279)),AVERAGE('20250815_ETF_Options_Exhibits'!G1275:G1279),"")</f>
        <v/>
      </c>
      <c r="H1279" s="3">
        <f>IF(ISNUMBER(AVERAGE('20250815_ETF_Options_Exhibits'!H1275:H1279)),AVERAGE('20250815_ETF_Options_Exhibits'!H1275:H1279),"")</f>
        <v/>
      </c>
      <c r="I1279" s="3">
        <f>IF(ISNUMBER(AVERAGE('20250815_ETF_Options_Exhibits'!I1275:I1279)),AVERAGE('20250815_ETF_Options_Exhibits'!I1275:I1279),"")</f>
        <v/>
      </c>
      <c r="J1279" s="3">
        <f>IF(ISNUMBER(AVERAGE('20250815_ETF_Options_Exhibits'!J1275:J1279)),AVERAGE('20250815_ETF_Options_Exhibits'!J1275:J1279),"")</f>
        <v/>
      </c>
      <c r="K1279" s="3">
        <f>IF(ISNUMBER(AVERAGE('20250815_ETF_Options_Exhibits'!K1275:K1279)),AVERAGE('20250815_ETF_Options_Exhibits'!K1275:K1279),"")</f>
        <v/>
      </c>
      <c r="L1279" s="3">
        <f>IF(ISNUMBER(AVERAGE('20250815_ETF_Options_Exhibits'!L1275:L1279)),AVERAGE('20250815_ETF_Options_Exhibits'!L1275:L1279),"")</f>
        <v/>
      </c>
      <c r="M1279" s="3">
        <f>IF(ISNUMBER(AVERAGE('20250815_ETF_Options_Exhibits'!M1275:M1279)),AVERAGE('20250815_ETF_Options_Exhibits'!M1275:M1279),"")</f>
        <v/>
      </c>
      <c r="N1279" s="3">
        <f>IF(ISNUMBER(AVERAGE('20250815_ETF_Options_Exhibits'!N1275:N1279)),AVERAGE('20250815_ETF_Options_Exhibits'!N1275:N1279),"")</f>
        <v/>
      </c>
      <c r="O1279" s="3">
        <f>IF(ISNUMBER(AVERAGE('20250815_ETF_Options_Exhibits'!O1275:O1279)),AVERAGE('20250815_ETF_Options_Exhibits'!O1275:O1279),"")</f>
        <v/>
      </c>
      <c r="P1279" s="3">
        <f>IF(ISNUMBER(AVERAGE('20250815_ETF_Options_Exhibits'!P1275:P1279)),AVERAGE('20250815_ETF_Options_Exhibits'!P1275:P1279),"")</f>
        <v/>
      </c>
      <c r="Q1279" s="3">
        <f>IF(ISNUMBER(AVERAGE('20250815_ETF_Options_Exhibits'!Q1275:Q1279)),AVERAGE('20250815_ETF_Options_Exhibits'!Q1275:Q1279),"")</f>
        <v/>
      </c>
      <c r="R1279" s="3">
        <f>IF(ISNUMBER(AVERAGE('20250815_ETF_Options_Exhibits'!R1275:R1279)),AVERAGE('20250815_ETF_Options_Exhibits'!R1275:R1279),"")</f>
        <v/>
      </c>
      <c r="S1279" s="3">
        <f>IF(ISNUMBER(AVERAGE('20250815_ETF_Options_Exhibits'!S1275:S1279)),AVERAGE('20250815_ETF_Options_Exhibits'!S1275:S1279),"")</f>
        <v/>
      </c>
      <c r="T1279" s="3">
        <f>IF(ISNUMBER(AVERAGE('20250815_ETF_Options_Exhibits'!T1275:T1279)),AVERAGE('20250815_ETF_Options_Exhibits'!T1275:T1279),"")</f>
        <v/>
      </c>
      <c r="U1279" s="3">
        <f>IF(ISNUMBER(AVERAGE('20250815_ETF_Options_Exhibits'!U1275:U1279)),AVERAGE('20250815_ETF_Options_Exhibits'!U1275:U1279),"")</f>
        <v/>
      </c>
      <c r="V1279" s="3">
        <f>IF(ISNUMBER(AVERAGE('20250815_ETF_Options_Exhibits'!V1275:V1279)),AVERAGE('20250815_ETF_Options_Exhibits'!V1275:V1279),"")</f>
        <v/>
      </c>
      <c r="W1279" s="3">
        <f>IF(ISNUMBER(AVERAGE('20250815_ETF_Options_Exhibits'!W1275:W1279)),AVERAGE('20250815_ETF_Options_Exhibits'!W1275:W1279),"")</f>
        <v/>
      </c>
      <c r="X1279" s="3">
        <f>IF(ISNUMBER(AVERAGE('20250815_ETF_Options_Exhibits'!X1275:X1279)),AVERAGE('20250815_ETF_Options_Exhibits'!X1275:X1279),"")</f>
        <v/>
      </c>
      <c r="Y1279" s="3">
        <f>IF(ISNUMBER(AVERAGE('20250815_ETF_Options_Exhibits'!Y1275:Y1279)),AVERAGE('20250815_ETF_Options_Exhibits'!Y1275:Y1279),"")</f>
        <v/>
      </c>
      <c r="Z1279" s="3">
        <f>IF(ISNUMBER(AVERAGE('20250815_ETF_Options_Exhibits'!Z1275:Z1279)),AVERAGE('20250815_ETF_Options_Exhibits'!Z1275:Z1279),"")</f>
        <v/>
      </c>
      <c r="AA1279" s="3">
        <f>IF(ISNUMBER(AVERAGE('20250815_ETF_Options_Exhibits'!AA1275:AA1279)),AVERAGE('20250815_ETF_Options_Exhibits'!AA1275:AA1279),"")</f>
        <v/>
      </c>
    </row>
    <row r="1280">
      <c r="A1280" s="1" t="n">
        <v>43860</v>
      </c>
      <c r="B1280" s="3">
        <f>IF(ISNUMBER(AVERAGE('20250815_ETF_Options_Exhibits'!B1276:B1280)),AVERAGE('20250815_ETF_Options_Exhibits'!B1276:B1280),"")</f>
        <v/>
      </c>
      <c r="C1280" s="3">
        <f>IF(ISNUMBER(AVERAGE('20250815_ETF_Options_Exhibits'!C1276:C1280)),AVERAGE('20250815_ETF_Options_Exhibits'!C1276:C1280),"")</f>
        <v/>
      </c>
      <c r="D1280" s="3">
        <f>IF(ISNUMBER(AVERAGE('20250815_ETF_Options_Exhibits'!D1276:D1280)),AVERAGE('20250815_ETF_Options_Exhibits'!D1276:D1280),"")</f>
        <v/>
      </c>
      <c r="E1280" s="3">
        <f>IF(ISNUMBER(AVERAGE('20250815_ETF_Options_Exhibits'!E1276:E1280)),AVERAGE('20250815_ETF_Options_Exhibits'!E1276:E1280),"")</f>
        <v/>
      </c>
      <c r="F1280" s="3">
        <f>IF(ISNUMBER(AVERAGE('20250815_ETF_Options_Exhibits'!F1276:F1280)),AVERAGE('20250815_ETF_Options_Exhibits'!F1276:F1280),"")</f>
        <v/>
      </c>
      <c r="G1280" s="3">
        <f>IF(ISNUMBER(AVERAGE('20250815_ETF_Options_Exhibits'!G1276:G1280)),AVERAGE('20250815_ETF_Options_Exhibits'!G1276:G1280),"")</f>
        <v/>
      </c>
      <c r="H1280" s="3">
        <f>IF(ISNUMBER(AVERAGE('20250815_ETF_Options_Exhibits'!H1276:H1280)),AVERAGE('20250815_ETF_Options_Exhibits'!H1276:H1280),"")</f>
        <v/>
      </c>
      <c r="I1280" s="3">
        <f>IF(ISNUMBER(AVERAGE('20250815_ETF_Options_Exhibits'!I1276:I1280)),AVERAGE('20250815_ETF_Options_Exhibits'!I1276:I1280),"")</f>
        <v/>
      </c>
      <c r="J1280" s="3">
        <f>IF(ISNUMBER(AVERAGE('20250815_ETF_Options_Exhibits'!J1276:J1280)),AVERAGE('20250815_ETF_Options_Exhibits'!J1276:J1280),"")</f>
        <v/>
      </c>
      <c r="K1280" s="3">
        <f>IF(ISNUMBER(AVERAGE('20250815_ETF_Options_Exhibits'!K1276:K1280)),AVERAGE('20250815_ETF_Options_Exhibits'!K1276:K1280),"")</f>
        <v/>
      </c>
      <c r="L1280" s="3">
        <f>IF(ISNUMBER(AVERAGE('20250815_ETF_Options_Exhibits'!L1276:L1280)),AVERAGE('20250815_ETF_Options_Exhibits'!L1276:L1280),"")</f>
        <v/>
      </c>
      <c r="M1280" s="3">
        <f>IF(ISNUMBER(AVERAGE('20250815_ETF_Options_Exhibits'!M1276:M1280)),AVERAGE('20250815_ETF_Options_Exhibits'!M1276:M1280),"")</f>
        <v/>
      </c>
      <c r="N1280" s="3">
        <f>IF(ISNUMBER(AVERAGE('20250815_ETF_Options_Exhibits'!N1276:N1280)),AVERAGE('20250815_ETF_Options_Exhibits'!N1276:N1280),"")</f>
        <v/>
      </c>
      <c r="O1280" s="3">
        <f>IF(ISNUMBER(AVERAGE('20250815_ETF_Options_Exhibits'!O1276:O1280)),AVERAGE('20250815_ETF_Options_Exhibits'!O1276:O1280),"")</f>
        <v/>
      </c>
      <c r="P1280" s="3">
        <f>IF(ISNUMBER(AVERAGE('20250815_ETF_Options_Exhibits'!P1276:P1280)),AVERAGE('20250815_ETF_Options_Exhibits'!P1276:P1280),"")</f>
        <v/>
      </c>
      <c r="Q1280" s="3">
        <f>IF(ISNUMBER(AVERAGE('20250815_ETF_Options_Exhibits'!Q1276:Q1280)),AVERAGE('20250815_ETF_Options_Exhibits'!Q1276:Q1280),"")</f>
        <v/>
      </c>
      <c r="R1280" s="3">
        <f>IF(ISNUMBER(AVERAGE('20250815_ETF_Options_Exhibits'!R1276:R1280)),AVERAGE('20250815_ETF_Options_Exhibits'!R1276:R1280),"")</f>
        <v/>
      </c>
      <c r="S1280" s="3">
        <f>IF(ISNUMBER(AVERAGE('20250815_ETF_Options_Exhibits'!S1276:S1280)),AVERAGE('20250815_ETF_Options_Exhibits'!S1276:S1280),"")</f>
        <v/>
      </c>
      <c r="T1280" s="3">
        <f>IF(ISNUMBER(AVERAGE('20250815_ETF_Options_Exhibits'!T1276:T1280)),AVERAGE('20250815_ETF_Options_Exhibits'!T1276:T1280),"")</f>
        <v/>
      </c>
      <c r="U1280" s="3">
        <f>IF(ISNUMBER(AVERAGE('20250815_ETF_Options_Exhibits'!U1276:U1280)),AVERAGE('20250815_ETF_Options_Exhibits'!U1276:U1280),"")</f>
        <v/>
      </c>
      <c r="V1280" s="3">
        <f>IF(ISNUMBER(AVERAGE('20250815_ETF_Options_Exhibits'!V1276:V1280)),AVERAGE('20250815_ETF_Options_Exhibits'!V1276:V1280),"")</f>
        <v/>
      </c>
      <c r="W1280" s="3">
        <f>IF(ISNUMBER(AVERAGE('20250815_ETF_Options_Exhibits'!W1276:W1280)),AVERAGE('20250815_ETF_Options_Exhibits'!W1276:W1280),"")</f>
        <v/>
      </c>
      <c r="X1280" s="3">
        <f>IF(ISNUMBER(AVERAGE('20250815_ETF_Options_Exhibits'!X1276:X1280)),AVERAGE('20250815_ETF_Options_Exhibits'!X1276:X1280),"")</f>
        <v/>
      </c>
      <c r="Y1280" s="3">
        <f>IF(ISNUMBER(AVERAGE('20250815_ETF_Options_Exhibits'!Y1276:Y1280)),AVERAGE('20250815_ETF_Options_Exhibits'!Y1276:Y1280),"")</f>
        <v/>
      </c>
      <c r="Z1280" s="3">
        <f>IF(ISNUMBER(AVERAGE('20250815_ETF_Options_Exhibits'!Z1276:Z1280)),AVERAGE('20250815_ETF_Options_Exhibits'!Z1276:Z1280),"")</f>
        <v/>
      </c>
      <c r="AA1280" s="3">
        <f>IF(ISNUMBER(AVERAGE('20250815_ETF_Options_Exhibits'!AA1276:AA1280)),AVERAGE('20250815_ETF_Options_Exhibits'!AA1276:AA1280),"")</f>
        <v/>
      </c>
    </row>
    <row r="1281">
      <c r="A1281" s="1" t="n">
        <v>43861</v>
      </c>
      <c r="B1281" s="3">
        <f>IF(ISNUMBER(AVERAGE('20250815_ETF_Options_Exhibits'!B1277:B1281)),AVERAGE('20250815_ETF_Options_Exhibits'!B1277:B1281),"")</f>
        <v/>
      </c>
      <c r="C1281" s="3">
        <f>IF(ISNUMBER(AVERAGE('20250815_ETF_Options_Exhibits'!C1277:C1281)),AVERAGE('20250815_ETF_Options_Exhibits'!C1277:C1281),"")</f>
        <v/>
      </c>
      <c r="D1281" s="3">
        <f>IF(ISNUMBER(AVERAGE('20250815_ETF_Options_Exhibits'!D1277:D1281)),AVERAGE('20250815_ETF_Options_Exhibits'!D1277:D1281),"")</f>
        <v/>
      </c>
      <c r="E1281" s="3">
        <f>IF(ISNUMBER(AVERAGE('20250815_ETF_Options_Exhibits'!E1277:E1281)),AVERAGE('20250815_ETF_Options_Exhibits'!E1277:E1281),"")</f>
        <v/>
      </c>
      <c r="F1281" s="3">
        <f>IF(ISNUMBER(AVERAGE('20250815_ETF_Options_Exhibits'!F1277:F1281)),AVERAGE('20250815_ETF_Options_Exhibits'!F1277:F1281),"")</f>
        <v/>
      </c>
      <c r="G1281" s="3">
        <f>IF(ISNUMBER(AVERAGE('20250815_ETF_Options_Exhibits'!G1277:G1281)),AVERAGE('20250815_ETF_Options_Exhibits'!G1277:G1281),"")</f>
        <v/>
      </c>
      <c r="H1281" s="3">
        <f>IF(ISNUMBER(AVERAGE('20250815_ETF_Options_Exhibits'!H1277:H1281)),AVERAGE('20250815_ETF_Options_Exhibits'!H1277:H1281),"")</f>
        <v/>
      </c>
      <c r="I1281" s="3">
        <f>IF(ISNUMBER(AVERAGE('20250815_ETF_Options_Exhibits'!I1277:I1281)),AVERAGE('20250815_ETF_Options_Exhibits'!I1277:I1281),"")</f>
        <v/>
      </c>
      <c r="J1281" s="3">
        <f>IF(ISNUMBER(AVERAGE('20250815_ETF_Options_Exhibits'!J1277:J1281)),AVERAGE('20250815_ETF_Options_Exhibits'!J1277:J1281),"")</f>
        <v/>
      </c>
      <c r="K1281" s="3">
        <f>IF(ISNUMBER(AVERAGE('20250815_ETF_Options_Exhibits'!K1277:K1281)),AVERAGE('20250815_ETF_Options_Exhibits'!K1277:K1281),"")</f>
        <v/>
      </c>
      <c r="L1281" s="3">
        <f>IF(ISNUMBER(AVERAGE('20250815_ETF_Options_Exhibits'!L1277:L1281)),AVERAGE('20250815_ETF_Options_Exhibits'!L1277:L1281),"")</f>
        <v/>
      </c>
      <c r="M1281" s="3">
        <f>IF(ISNUMBER(AVERAGE('20250815_ETF_Options_Exhibits'!M1277:M1281)),AVERAGE('20250815_ETF_Options_Exhibits'!M1277:M1281),"")</f>
        <v/>
      </c>
      <c r="N1281" s="3">
        <f>IF(ISNUMBER(AVERAGE('20250815_ETF_Options_Exhibits'!N1277:N1281)),AVERAGE('20250815_ETF_Options_Exhibits'!N1277:N1281),"")</f>
        <v/>
      </c>
      <c r="O1281" s="3">
        <f>IF(ISNUMBER(AVERAGE('20250815_ETF_Options_Exhibits'!O1277:O1281)),AVERAGE('20250815_ETF_Options_Exhibits'!O1277:O1281),"")</f>
        <v/>
      </c>
      <c r="P1281" s="3">
        <f>IF(ISNUMBER(AVERAGE('20250815_ETF_Options_Exhibits'!P1277:P1281)),AVERAGE('20250815_ETF_Options_Exhibits'!P1277:P1281),"")</f>
        <v/>
      </c>
      <c r="Q1281" s="3">
        <f>IF(ISNUMBER(AVERAGE('20250815_ETF_Options_Exhibits'!Q1277:Q1281)),AVERAGE('20250815_ETF_Options_Exhibits'!Q1277:Q1281),"")</f>
        <v/>
      </c>
      <c r="R1281" s="3">
        <f>IF(ISNUMBER(AVERAGE('20250815_ETF_Options_Exhibits'!R1277:R1281)),AVERAGE('20250815_ETF_Options_Exhibits'!R1277:R1281),"")</f>
        <v/>
      </c>
      <c r="S1281" s="3">
        <f>IF(ISNUMBER(AVERAGE('20250815_ETF_Options_Exhibits'!S1277:S1281)),AVERAGE('20250815_ETF_Options_Exhibits'!S1277:S1281),"")</f>
        <v/>
      </c>
      <c r="T1281" s="3">
        <f>IF(ISNUMBER(AVERAGE('20250815_ETF_Options_Exhibits'!T1277:T1281)),AVERAGE('20250815_ETF_Options_Exhibits'!T1277:T1281),"")</f>
        <v/>
      </c>
      <c r="U1281" s="3">
        <f>IF(ISNUMBER(AVERAGE('20250815_ETF_Options_Exhibits'!U1277:U1281)),AVERAGE('20250815_ETF_Options_Exhibits'!U1277:U1281),"")</f>
        <v/>
      </c>
      <c r="V1281" s="3">
        <f>IF(ISNUMBER(AVERAGE('20250815_ETF_Options_Exhibits'!V1277:V1281)),AVERAGE('20250815_ETF_Options_Exhibits'!V1277:V1281),"")</f>
        <v/>
      </c>
      <c r="W1281" s="3">
        <f>IF(ISNUMBER(AVERAGE('20250815_ETF_Options_Exhibits'!W1277:W1281)),AVERAGE('20250815_ETF_Options_Exhibits'!W1277:W1281),"")</f>
        <v/>
      </c>
      <c r="X1281" s="3">
        <f>IF(ISNUMBER(AVERAGE('20250815_ETF_Options_Exhibits'!X1277:X1281)),AVERAGE('20250815_ETF_Options_Exhibits'!X1277:X1281),"")</f>
        <v/>
      </c>
      <c r="Y1281" s="3">
        <f>IF(ISNUMBER(AVERAGE('20250815_ETF_Options_Exhibits'!Y1277:Y1281)),AVERAGE('20250815_ETF_Options_Exhibits'!Y1277:Y1281),"")</f>
        <v/>
      </c>
      <c r="Z1281" s="3">
        <f>IF(ISNUMBER(AVERAGE('20250815_ETF_Options_Exhibits'!Z1277:Z1281)),AVERAGE('20250815_ETF_Options_Exhibits'!Z1277:Z1281),"")</f>
        <v/>
      </c>
      <c r="AA1281" s="3">
        <f>IF(ISNUMBER(AVERAGE('20250815_ETF_Options_Exhibits'!AA1277:AA1281)),AVERAGE('20250815_ETF_Options_Exhibits'!AA1277:AA1281),"")</f>
        <v/>
      </c>
    </row>
    <row r="1282">
      <c r="A1282" s="1" t="n">
        <v>43864</v>
      </c>
      <c r="B1282" s="3">
        <f>IF(ISNUMBER(AVERAGE('20250815_ETF_Options_Exhibits'!B1278:B1282)),AVERAGE('20250815_ETF_Options_Exhibits'!B1278:B1282),"")</f>
        <v/>
      </c>
      <c r="C1282" s="3">
        <f>IF(ISNUMBER(AVERAGE('20250815_ETF_Options_Exhibits'!C1278:C1282)),AVERAGE('20250815_ETF_Options_Exhibits'!C1278:C1282),"")</f>
        <v/>
      </c>
      <c r="D1282" s="3">
        <f>IF(ISNUMBER(AVERAGE('20250815_ETF_Options_Exhibits'!D1278:D1282)),AVERAGE('20250815_ETF_Options_Exhibits'!D1278:D1282),"")</f>
        <v/>
      </c>
      <c r="E1282" s="3">
        <f>IF(ISNUMBER(AVERAGE('20250815_ETF_Options_Exhibits'!E1278:E1282)),AVERAGE('20250815_ETF_Options_Exhibits'!E1278:E1282),"")</f>
        <v/>
      </c>
      <c r="F1282" s="3">
        <f>IF(ISNUMBER(AVERAGE('20250815_ETF_Options_Exhibits'!F1278:F1282)),AVERAGE('20250815_ETF_Options_Exhibits'!F1278:F1282),"")</f>
        <v/>
      </c>
      <c r="G1282" s="3">
        <f>IF(ISNUMBER(AVERAGE('20250815_ETF_Options_Exhibits'!G1278:G1282)),AVERAGE('20250815_ETF_Options_Exhibits'!G1278:G1282),"")</f>
        <v/>
      </c>
      <c r="H1282" s="3">
        <f>IF(ISNUMBER(AVERAGE('20250815_ETF_Options_Exhibits'!H1278:H1282)),AVERAGE('20250815_ETF_Options_Exhibits'!H1278:H1282),"")</f>
        <v/>
      </c>
      <c r="I1282" s="3">
        <f>IF(ISNUMBER(AVERAGE('20250815_ETF_Options_Exhibits'!I1278:I1282)),AVERAGE('20250815_ETF_Options_Exhibits'!I1278:I1282),"")</f>
        <v/>
      </c>
      <c r="J1282" s="3">
        <f>IF(ISNUMBER(AVERAGE('20250815_ETF_Options_Exhibits'!J1278:J1282)),AVERAGE('20250815_ETF_Options_Exhibits'!J1278:J1282),"")</f>
        <v/>
      </c>
      <c r="K1282" s="3">
        <f>IF(ISNUMBER(AVERAGE('20250815_ETF_Options_Exhibits'!K1278:K1282)),AVERAGE('20250815_ETF_Options_Exhibits'!K1278:K1282),"")</f>
        <v/>
      </c>
      <c r="L1282" s="3">
        <f>IF(ISNUMBER(AVERAGE('20250815_ETF_Options_Exhibits'!L1278:L1282)),AVERAGE('20250815_ETF_Options_Exhibits'!L1278:L1282),"")</f>
        <v/>
      </c>
      <c r="M1282" s="3">
        <f>IF(ISNUMBER(AVERAGE('20250815_ETF_Options_Exhibits'!M1278:M1282)),AVERAGE('20250815_ETF_Options_Exhibits'!M1278:M1282),"")</f>
        <v/>
      </c>
      <c r="N1282" s="3">
        <f>IF(ISNUMBER(AVERAGE('20250815_ETF_Options_Exhibits'!N1278:N1282)),AVERAGE('20250815_ETF_Options_Exhibits'!N1278:N1282),"")</f>
        <v/>
      </c>
      <c r="O1282" s="3">
        <f>IF(ISNUMBER(AVERAGE('20250815_ETF_Options_Exhibits'!O1278:O1282)),AVERAGE('20250815_ETF_Options_Exhibits'!O1278:O1282),"")</f>
        <v/>
      </c>
      <c r="P1282" s="3">
        <f>IF(ISNUMBER(AVERAGE('20250815_ETF_Options_Exhibits'!P1278:P1282)),AVERAGE('20250815_ETF_Options_Exhibits'!P1278:P1282),"")</f>
        <v/>
      </c>
      <c r="Q1282" s="3">
        <f>IF(ISNUMBER(AVERAGE('20250815_ETF_Options_Exhibits'!Q1278:Q1282)),AVERAGE('20250815_ETF_Options_Exhibits'!Q1278:Q1282),"")</f>
        <v/>
      </c>
      <c r="R1282" s="3">
        <f>IF(ISNUMBER(AVERAGE('20250815_ETF_Options_Exhibits'!R1278:R1282)),AVERAGE('20250815_ETF_Options_Exhibits'!R1278:R1282),"")</f>
        <v/>
      </c>
      <c r="S1282" s="3">
        <f>IF(ISNUMBER(AVERAGE('20250815_ETF_Options_Exhibits'!S1278:S1282)),AVERAGE('20250815_ETF_Options_Exhibits'!S1278:S1282),"")</f>
        <v/>
      </c>
      <c r="T1282" s="3">
        <f>IF(ISNUMBER(AVERAGE('20250815_ETF_Options_Exhibits'!T1278:T1282)),AVERAGE('20250815_ETF_Options_Exhibits'!T1278:T1282),"")</f>
        <v/>
      </c>
      <c r="U1282" s="3">
        <f>IF(ISNUMBER(AVERAGE('20250815_ETF_Options_Exhibits'!U1278:U1282)),AVERAGE('20250815_ETF_Options_Exhibits'!U1278:U1282),"")</f>
        <v/>
      </c>
      <c r="V1282" s="3">
        <f>IF(ISNUMBER(AVERAGE('20250815_ETF_Options_Exhibits'!V1278:V1282)),AVERAGE('20250815_ETF_Options_Exhibits'!V1278:V1282),"")</f>
        <v/>
      </c>
      <c r="W1282" s="3">
        <f>IF(ISNUMBER(AVERAGE('20250815_ETF_Options_Exhibits'!W1278:W1282)),AVERAGE('20250815_ETF_Options_Exhibits'!W1278:W1282),"")</f>
        <v/>
      </c>
      <c r="X1282" s="3">
        <f>IF(ISNUMBER(AVERAGE('20250815_ETF_Options_Exhibits'!X1278:X1282)),AVERAGE('20250815_ETF_Options_Exhibits'!X1278:X1282),"")</f>
        <v/>
      </c>
      <c r="Y1282" s="3">
        <f>IF(ISNUMBER(AVERAGE('20250815_ETF_Options_Exhibits'!Y1278:Y1282)),AVERAGE('20250815_ETF_Options_Exhibits'!Y1278:Y1282),"")</f>
        <v/>
      </c>
      <c r="Z1282" s="3">
        <f>IF(ISNUMBER(AVERAGE('20250815_ETF_Options_Exhibits'!Z1278:Z1282)),AVERAGE('20250815_ETF_Options_Exhibits'!Z1278:Z1282),"")</f>
        <v/>
      </c>
      <c r="AA1282" s="3">
        <f>IF(ISNUMBER(AVERAGE('20250815_ETF_Options_Exhibits'!AA1278:AA1282)),AVERAGE('20250815_ETF_Options_Exhibits'!AA1278:AA1282),"")</f>
        <v/>
      </c>
    </row>
    <row r="1283">
      <c r="A1283" s="1" t="n">
        <v>43865</v>
      </c>
      <c r="B1283" s="3">
        <f>IF(ISNUMBER(AVERAGE('20250815_ETF_Options_Exhibits'!B1279:B1283)),AVERAGE('20250815_ETF_Options_Exhibits'!B1279:B1283),"")</f>
        <v/>
      </c>
      <c r="C1283" s="3">
        <f>IF(ISNUMBER(AVERAGE('20250815_ETF_Options_Exhibits'!C1279:C1283)),AVERAGE('20250815_ETF_Options_Exhibits'!C1279:C1283),"")</f>
        <v/>
      </c>
      <c r="D1283" s="3">
        <f>IF(ISNUMBER(AVERAGE('20250815_ETF_Options_Exhibits'!D1279:D1283)),AVERAGE('20250815_ETF_Options_Exhibits'!D1279:D1283),"")</f>
        <v/>
      </c>
      <c r="E1283" s="3">
        <f>IF(ISNUMBER(AVERAGE('20250815_ETF_Options_Exhibits'!E1279:E1283)),AVERAGE('20250815_ETF_Options_Exhibits'!E1279:E1283),"")</f>
        <v/>
      </c>
      <c r="F1283" s="3">
        <f>IF(ISNUMBER(AVERAGE('20250815_ETF_Options_Exhibits'!F1279:F1283)),AVERAGE('20250815_ETF_Options_Exhibits'!F1279:F1283),"")</f>
        <v/>
      </c>
      <c r="G1283" s="3">
        <f>IF(ISNUMBER(AVERAGE('20250815_ETF_Options_Exhibits'!G1279:G1283)),AVERAGE('20250815_ETF_Options_Exhibits'!G1279:G1283),"")</f>
        <v/>
      </c>
      <c r="H1283" s="3">
        <f>IF(ISNUMBER(AVERAGE('20250815_ETF_Options_Exhibits'!H1279:H1283)),AVERAGE('20250815_ETF_Options_Exhibits'!H1279:H1283),"")</f>
        <v/>
      </c>
      <c r="I1283" s="3">
        <f>IF(ISNUMBER(AVERAGE('20250815_ETF_Options_Exhibits'!I1279:I1283)),AVERAGE('20250815_ETF_Options_Exhibits'!I1279:I1283),"")</f>
        <v/>
      </c>
      <c r="J1283" s="3">
        <f>IF(ISNUMBER(AVERAGE('20250815_ETF_Options_Exhibits'!J1279:J1283)),AVERAGE('20250815_ETF_Options_Exhibits'!J1279:J1283),"")</f>
        <v/>
      </c>
      <c r="K1283" s="3">
        <f>IF(ISNUMBER(AVERAGE('20250815_ETF_Options_Exhibits'!K1279:K1283)),AVERAGE('20250815_ETF_Options_Exhibits'!K1279:K1283),"")</f>
        <v/>
      </c>
      <c r="L1283" s="3">
        <f>IF(ISNUMBER(AVERAGE('20250815_ETF_Options_Exhibits'!L1279:L1283)),AVERAGE('20250815_ETF_Options_Exhibits'!L1279:L1283),"")</f>
        <v/>
      </c>
      <c r="M1283" s="3">
        <f>IF(ISNUMBER(AVERAGE('20250815_ETF_Options_Exhibits'!M1279:M1283)),AVERAGE('20250815_ETF_Options_Exhibits'!M1279:M1283),"")</f>
        <v/>
      </c>
      <c r="N1283" s="3">
        <f>IF(ISNUMBER(AVERAGE('20250815_ETF_Options_Exhibits'!N1279:N1283)),AVERAGE('20250815_ETF_Options_Exhibits'!N1279:N1283),"")</f>
        <v/>
      </c>
      <c r="O1283" s="3">
        <f>IF(ISNUMBER(AVERAGE('20250815_ETF_Options_Exhibits'!O1279:O1283)),AVERAGE('20250815_ETF_Options_Exhibits'!O1279:O1283),"")</f>
        <v/>
      </c>
      <c r="P1283" s="3">
        <f>IF(ISNUMBER(AVERAGE('20250815_ETF_Options_Exhibits'!P1279:P1283)),AVERAGE('20250815_ETF_Options_Exhibits'!P1279:P1283),"")</f>
        <v/>
      </c>
      <c r="Q1283" s="3">
        <f>IF(ISNUMBER(AVERAGE('20250815_ETF_Options_Exhibits'!Q1279:Q1283)),AVERAGE('20250815_ETF_Options_Exhibits'!Q1279:Q1283),"")</f>
        <v/>
      </c>
      <c r="R1283" s="3">
        <f>IF(ISNUMBER(AVERAGE('20250815_ETF_Options_Exhibits'!R1279:R1283)),AVERAGE('20250815_ETF_Options_Exhibits'!R1279:R1283),"")</f>
        <v/>
      </c>
      <c r="S1283" s="3">
        <f>IF(ISNUMBER(AVERAGE('20250815_ETF_Options_Exhibits'!S1279:S1283)),AVERAGE('20250815_ETF_Options_Exhibits'!S1279:S1283),"")</f>
        <v/>
      </c>
      <c r="T1283" s="3">
        <f>IF(ISNUMBER(AVERAGE('20250815_ETF_Options_Exhibits'!T1279:T1283)),AVERAGE('20250815_ETF_Options_Exhibits'!T1279:T1283),"")</f>
        <v/>
      </c>
      <c r="U1283" s="3">
        <f>IF(ISNUMBER(AVERAGE('20250815_ETF_Options_Exhibits'!U1279:U1283)),AVERAGE('20250815_ETF_Options_Exhibits'!U1279:U1283),"")</f>
        <v/>
      </c>
      <c r="V1283" s="3">
        <f>IF(ISNUMBER(AVERAGE('20250815_ETF_Options_Exhibits'!V1279:V1283)),AVERAGE('20250815_ETF_Options_Exhibits'!V1279:V1283),"")</f>
        <v/>
      </c>
      <c r="W1283" s="3">
        <f>IF(ISNUMBER(AVERAGE('20250815_ETF_Options_Exhibits'!W1279:W1283)),AVERAGE('20250815_ETF_Options_Exhibits'!W1279:W1283),"")</f>
        <v/>
      </c>
      <c r="X1283" s="3">
        <f>IF(ISNUMBER(AVERAGE('20250815_ETF_Options_Exhibits'!X1279:X1283)),AVERAGE('20250815_ETF_Options_Exhibits'!X1279:X1283),"")</f>
        <v/>
      </c>
      <c r="Y1283" s="3">
        <f>IF(ISNUMBER(AVERAGE('20250815_ETF_Options_Exhibits'!Y1279:Y1283)),AVERAGE('20250815_ETF_Options_Exhibits'!Y1279:Y1283),"")</f>
        <v/>
      </c>
      <c r="Z1283" s="3">
        <f>IF(ISNUMBER(AVERAGE('20250815_ETF_Options_Exhibits'!Z1279:Z1283)),AVERAGE('20250815_ETF_Options_Exhibits'!Z1279:Z1283),"")</f>
        <v/>
      </c>
      <c r="AA1283" s="3">
        <f>IF(ISNUMBER(AVERAGE('20250815_ETF_Options_Exhibits'!AA1279:AA1283)),AVERAGE('20250815_ETF_Options_Exhibits'!AA1279:AA1283),"")</f>
        <v/>
      </c>
    </row>
    <row r="1284">
      <c r="A1284" s="1" t="n">
        <v>43866</v>
      </c>
      <c r="B1284" s="3">
        <f>IF(ISNUMBER(AVERAGE('20250815_ETF_Options_Exhibits'!B1280:B1284)),AVERAGE('20250815_ETF_Options_Exhibits'!B1280:B1284),"")</f>
        <v/>
      </c>
      <c r="C1284" s="3">
        <f>IF(ISNUMBER(AVERAGE('20250815_ETF_Options_Exhibits'!C1280:C1284)),AVERAGE('20250815_ETF_Options_Exhibits'!C1280:C1284),"")</f>
        <v/>
      </c>
      <c r="D1284" s="3">
        <f>IF(ISNUMBER(AVERAGE('20250815_ETF_Options_Exhibits'!D1280:D1284)),AVERAGE('20250815_ETF_Options_Exhibits'!D1280:D1284),"")</f>
        <v/>
      </c>
      <c r="E1284" s="3">
        <f>IF(ISNUMBER(AVERAGE('20250815_ETF_Options_Exhibits'!E1280:E1284)),AVERAGE('20250815_ETF_Options_Exhibits'!E1280:E1284),"")</f>
        <v/>
      </c>
      <c r="F1284" s="3">
        <f>IF(ISNUMBER(AVERAGE('20250815_ETF_Options_Exhibits'!F1280:F1284)),AVERAGE('20250815_ETF_Options_Exhibits'!F1280:F1284),"")</f>
        <v/>
      </c>
      <c r="G1284" s="3">
        <f>IF(ISNUMBER(AVERAGE('20250815_ETF_Options_Exhibits'!G1280:G1284)),AVERAGE('20250815_ETF_Options_Exhibits'!G1280:G1284),"")</f>
        <v/>
      </c>
      <c r="H1284" s="3">
        <f>IF(ISNUMBER(AVERAGE('20250815_ETF_Options_Exhibits'!H1280:H1284)),AVERAGE('20250815_ETF_Options_Exhibits'!H1280:H1284),"")</f>
        <v/>
      </c>
      <c r="I1284" s="3">
        <f>IF(ISNUMBER(AVERAGE('20250815_ETF_Options_Exhibits'!I1280:I1284)),AVERAGE('20250815_ETF_Options_Exhibits'!I1280:I1284),"")</f>
        <v/>
      </c>
      <c r="J1284" s="3">
        <f>IF(ISNUMBER(AVERAGE('20250815_ETF_Options_Exhibits'!J1280:J1284)),AVERAGE('20250815_ETF_Options_Exhibits'!J1280:J1284),"")</f>
        <v/>
      </c>
      <c r="K1284" s="3">
        <f>IF(ISNUMBER(AVERAGE('20250815_ETF_Options_Exhibits'!K1280:K1284)),AVERAGE('20250815_ETF_Options_Exhibits'!K1280:K1284),"")</f>
        <v/>
      </c>
      <c r="L1284" s="3">
        <f>IF(ISNUMBER(AVERAGE('20250815_ETF_Options_Exhibits'!L1280:L1284)),AVERAGE('20250815_ETF_Options_Exhibits'!L1280:L1284),"")</f>
        <v/>
      </c>
      <c r="M1284" s="3">
        <f>IF(ISNUMBER(AVERAGE('20250815_ETF_Options_Exhibits'!M1280:M1284)),AVERAGE('20250815_ETF_Options_Exhibits'!M1280:M1284),"")</f>
        <v/>
      </c>
      <c r="N1284" s="3">
        <f>IF(ISNUMBER(AVERAGE('20250815_ETF_Options_Exhibits'!N1280:N1284)),AVERAGE('20250815_ETF_Options_Exhibits'!N1280:N1284),"")</f>
        <v/>
      </c>
      <c r="O1284" s="3">
        <f>IF(ISNUMBER(AVERAGE('20250815_ETF_Options_Exhibits'!O1280:O1284)),AVERAGE('20250815_ETF_Options_Exhibits'!O1280:O1284),"")</f>
        <v/>
      </c>
      <c r="P1284" s="3">
        <f>IF(ISNUMBER(AVERAGE('20250815_ETF_Options_Exhibits'!P1280:P1284)),AVERAGE('20250815_ETF_Options_Exhibits'!P1280:P1284),"")</f>
        <v/>
      </c>
      <c r="Q1284" s="3">
        <f>IF(ISNUMBER(AVERAGE('20250815_ETF_Options_Exhibits'!Q1280:Q1284)),AVERAGE('20250815_ETF_Options_Exhibits'!Q1280:Q1284),"")</f>
        <v/>
      </c>
      <c r="R1284" s="3">
        <f>IF(ISNUMBER(AVERAGE('20250815_ETF_Options_Exhibits'!R1280:R1284)),AVERAGE('20250815_ETF_Options_Exhibits'!R1280:R1284),"")</f>
        <v/>
      </c>
      <c r="S1284" s="3">
        <f>IF(ISNUMBER(AVERAGE('20250815_ETF_Options_Exhibits'!S1280:S1284)),AVERAGE('20250815_ETF_Options_Exhibits'!S1280:S1284),"")</f>
        <v/>
      </c>
      <c r="T1284" s="3">
        <f>IF(ISNUMBER(AVERAGE('20250815_ETF_Options_Exhibits'!T1280:T1284)),AVERAGE('20250815_ETF_Options_Exhibits'!T1280:T1284),"")</f>
        <v/>
      </c>
      <c r="U1284" s="3">
        <f>IF(ISNUMBER(AVERAGE('20250815_ETF_Options_Exhibits'!U1280:U1284)),AVERAGE('20250815_ETF_Options_Exhibits'!U1280:U1284),"")</f>
        <v/>
      </c>
      <c r="V1284" s="3">
        <f>IF(ISNUMBER(AVERAGE('20250815_ETF_Options_Exhibits'!V1280:V1284)),AVERAGE('20250815_ETF_Options_Exhibits'!V1280:V1284),"")</f>
        <v/>
      </c>
      <c r="W1284" s="3">
        <f>IF(ISNUMBER(AVERAGE('20250815_ETF_Options_Exhibits'!W1280:W1284)),AVERAGE('20250815_ETF_Options_Exhibits'!W1280:W1284),"")</f>
        <v/>
      </c>
      <c r="X1284" s="3">
        <f>IF(ISNUMBER(AVERAGE('20250815_ETF_Options_Exhibits'!X1280:X1284)),AVERAGE('20250815_ETF_Options_Exhibits'!X1280:X1284),"")</f>
        <v/>
      </c>
      <c r="Y1284" s="3">
        <f>IF(ISNUMBER(AVERAGE('20250815_ETF_Options_Exhibits'!Y1280:Y1284)),AVERAGE('20250815_ETF_Options_Exhibits'!Y1280:Y1284),"")</f>
        <v/>
      </c>
      <c r="Z1284" s="3">
        <f>IF(ISNUMBER(AVERAGE('20250815_ETF_Options_Exhibits'!Z1280:Z1284)),AVERAGE('20250815_ETF_Options_Exhibits'!Z1280:Z1284),"")</f>
        <v/>
      </c>
      <c r="AA1284" s="3">
        <f>IF(ISNUMBER(AVERAGE('20250815_ETF_Options_Exhibits'!AA1280:AA1284)),AVERAGE('20250815_ETF_Options_Exhibits'!AA1280:AA1284),"")</f>
        <v/>
      </c>
    </row>
    <row r="1285">
      <c r="A1285" s="1" t="n">
        <v>43867</v>
      </c>
      <c r="B1285" s="3">
        <f>IF(ISNUMBER(AVERAGE('20250815_ETF_Options_Exhibits'!B1281:B1285)),AVERAGE('20250815_ETF_Options_Exhibits'!B1281:B1285),"")</f>
        <v/>
      </c>
      <c r="C1285" s="3">
        <f>IF(ISNUMBER(AVERAGE('20250815_ETF_Options_Exhibits'!C1281:C1285)),AVERAGE('20250815_ETF_Options_Exhibits'!C1281:C1285),"")</f>
        <v/>
      </c>
      <c r="D1285" s="3">
        <f>IF(ISNUMBER(AVERAGE('20250815_ETF_Options_Exhibits'!D1281:D1285)),AVERAGE('20250815_ETF_Options_Exhibits'!D1281:D1285),"")</f>
        <v/>
      </c>
      <c r="E1285" s="3">
        <f>IF(ISNUMBER(AVERAGE('20250815_ETF_Options_Exhibits'!E1281:E1285)),AVERAGE('20250815_ETF_Options_Exhibits'!E1281:E1285),"")</f>
        <v/>
      </c>
      <c r="F1285" s="3">
        <f>IF(ISNUMBER(AVERAGE('20250815_ETF_Options_Exhibits'!F1281:F1285)),AVERAGE('20250815_ETF_Options_Exhibits'!F1281:F1285),"")</f>
        <v/>
      </c>
      <c r="G1285" s="3">
        <f>IF(ISNUMBER(AVERAGE('20250815_ETF_Options_Exhibits'!G1281:G1285)),AVERAGE('20250815_ETF_Options_Exhibits'!G1281:G1285),"")</f>
        <v/>
      </c>
      <c r="H1285" s="3">
        <f>IF(ISNUMBER(AVERAGE('20250815_ETF_Options_Exhibits'!H1281:H1285)),AVERAGE('20250815_ETF_Options_Exhibits'!H1281:H1285),"")</f>
        <v/>
      </c>
      <c r="I1285" s="3">
        <f>IF(ISNUMBER(AVERAGE('20250815_ETF_Options_Exhibits'!I1281:I1285)),AVERAGE('20250815_ETF_Options_Exhibits'!I1281:I1285),"")</f>
        <v/>
      </c>
      <c r="J1285" s="3">
        <f>IF(ISNUMBER(AVERAGE('20250815_ETF_Options_Exhibits'!J1281:J1285)),AVERAGE('20250815_ETF_Options_Exhibits'!J1281:J1285),"")</f>
        <v/>
      </c>
      <c r="K1285" s="3">
        <f>IF(ISNUMBER(AVERAGE('20250815_ETF_Options_Exhibits'!K1281:K1285)),AVERAGE('20250815_ETF_Options_Exhibits'!K1281:K1285),"")</f>
        <v/>
      </c>
      <c r="L1285" s="3">
        <f>IF(ISNUMBER(AVERAGE('20250815_ETF_Options_Exhibits'!L1281:L1285)),AVERAGE('20250815_ETF_Options_Exhibits'!L1281:L1285),"")</f>
        <v/>
      </c>
      <c r="M1285" s="3">
        <f>IF(ISNUMBER(AVERAGE('20250815_ETF_Options_Exhibits'!M1281:M1285)),AVERAGE('20250815_ETF_Options_Exhibits'!M1281:M1285),"")</f>
        <v/>
      </c>
      <c r="N1285" s="3">
        <f>IF(ISNUMBER(AVERAGE('20250815_ETF_Options_Exhibits'!N1281:N1285)),AVERAGE('20250815_ETF_Options_Exhibits'!N1281:N1285),"")</f>
        <v/>
      </c>
      <c r="O1285" s="3">
        <f>IF(ISNUMBER(AVERAGE('20250815_ETF_Options_Exhibits'!O1281:O1285)),AVERAGE('20250815_ETF_Options_Exhibits'!O1281:O1285),"")</f>
        <v/>
      </c>
      <c r="P1285" s="3">
        <f>IF(ISNUMBER(AVERAGE('20250815_ETF_Options_Exhibits'!P1281:P1285)),AVERAGE('20250815_ETF_Options_Exhibits'!P1281:P1285),"")</f>
        <v/>
      </c>
      <c r="Q1285" s="3">
        <f>IF(ISNUMBER(AVERAGE('20250815_ETF_Options_Exhibits'!Q1281:Q1285)),AVERAGE('20250815_ETF_Options_Exhibits'!Q1281:Q1285),"")</f>
        <v/>
      </c>
      <c r="R1285" s="3">
        <f>IF(ISNUMBER(AVERAGE('20250815_ETF_Options_Exhibits'!R1281:R1285)),AVERAGE('20250815_ETF_Options_Exhibits'!R1281:R1285),"")</f>
        <v/>
      </c>
      <c r="S1285" s="3">
        <f>IF(ISNUMBER(AVERAGE('20250815_ETF_Options_Exhibits'!S1281:S1285)),AVERAGE('20250815_ETF_Options_Exhibits'!S1281:S1285),"")</f>
        <v/>
      </c>
      <c r="T1285" s="3">
        <f>IF(ISNUMBER(AVERAGE('20250815_ETF_Options_Exhibits'!T1281:T1285)),AVERAGE('20250815_ETF_Options_Exhibits'!T1281:T1285),"")</f>
        <v/>
      </c>
      <c r="U1285" s="3">
        <f>IF(ISNUMBER(AVERAGE('20250815_ETF_Options_Exhibits'!U1281:U1285)),AVERAGE('20250815_ETF_Options_Exhibits'!U1281:U1285),"")</f>
        <v/>
      </c>
      <c r="V1285" s="3">
        <f>IF(ISNUMBER(AVERAGE('20250815_ETF_Options_Exhibits'!V1281:V1285)),AVERAGE('20250815_ETF_Options_Exhibits'!V1281:V1285),"")</f>
        <v/>
      </c>
      <c r="W1285" s="3">
        <f>IF(ISNUMBER(AVERAGE('20250815_ETF_Options_Exhibits'!W1281:W1285)),AVERAGE('20250815_ETF_Options_Exhibits'!W1281:W1285),"")</f>
        <v/>
      </c>
      <c r="X1285" s="3">
        <f>IF(ISNUMBER(AVERAGE('20250815_ETF_Options_Exhibits'!X1281:X1285)),AVERAGE('20250815_ETF_Options_Exhibits'!X1281:X1285),"")</f>
        <v/>
      </c>
      <c r="Y1285" s="3">
        <f>IF(ISNUMBER(AVERAGE('20250815_ETF_Options_Exhibits'!Y1281:Y1285)),AVERAGE('20250815_ETF_Options_Exhibits'!Y1281:Y1285),"")</f>
        <v/>
      </c>
      <c r="Z1285" s="3">
        <f>IF(ISNUMBER(AVERAGE('20250815_ETF_Options_Exhibits'!Z1281:Z1285)),AVERAGE('20250815_ETF_Options_Exhibits'!Z1281:Z1285),"")</f>
        <v/>
      </c>
      <c r="AA1285" s="3">
        <f>IF(ISNUMBER(AVERAGE('20250815_ETF_Options_Exhibits'!AA1281:AA1285)),AVERAGE('20250815_ETF_Options_Exhibits'!AA1281:AA1285),"")</f>
        <v/>
      </c>
    </row>
    <row r="1286">
      <c r="A1286" s="1" t="n">
        <v>43868</v>
      </c>
      <c r="B1286" s="3">
        <f>IF(ISNUMBER(AVERAGE('20250815_ETF_Options_Exhibits'!B1282:B1286)),AVERAGE('20250815_ETF_Options_Exhibits'!B1282:B1286),"")</f>
        <v/>
      </c>
      <c r="C1286" s="3">
        <f>IF(ISNUMBER(AVERAGE('20250815_ETF_Options_Exhibits'!C1282:C1286)),AVERAGE('20250815_ETF_Options_Exhibits'!C1282:C1286),"")</f>
        <v/>
      </c>
      <c r="D1286" s="3">
        <f>IF(ISNUMBER(AVERAGE('20250815_ETF_Options_Exhibits'!D1282:D1286)),AVERAGE('20250815_ETF_Options_Exhibits'!D1282:D1286),"")</f>
        <v/>
      </c>
      <c r="E1286" s="3">
        <f>IF(ISNUMBER(AVERAGE('20250815_ETF_Options_Exhibits'!E1282:E1286)),AVERAGE('20250815_ETF_Options_Exhibits'!E1282:E1286),"")</f>
        <v/>
      </c>
      <c r="F1286" s="3">
        <f>IF(ISNUMBER(AVERAGE('20250815_ETF_Options_Exhibits'!F1282:F1286)),AVERAGE('20250815_ETF_Options_Exhibits'!F1282:F1286),"")</f>
        <v/>
      </c>
      <c r="G1286" s="3">
        <f>IF(ISNUMBER(AVERAGE('20250815_ETF_Options_Exhibits'!G1282:G1286)),AVERAGE('20250815_ETF_Options_Exhibits'!G1282:G1286),"")</f>
        <v/>
      </c>
      <c r="H1286" s="3">
        <f>IF(ISNUMBER(AVERAGE('20250815_ETF_Options_Exhibits'!H1282:H1286)),AVERAGE('20250815_ETF_Options_Exhibits'!H1282:H1286),"")</f>
        <v/>
      </c>
      <c r="I1286" s="3">
        <f>IF(ISNUMBER(AVERAGE('20250815_ETF_Options_Exhibits'!I1282:I1286)),AVERAGE('20250815_ETF_Options_Exhibits'!I1282:I1286),"")</f>
        <v/>
      </c>
      <c r="J1286" s="3">
        <f>IF(ISNUMBER(AVERAGE('20250815_ETF_Options_Exhibits'!J1282:J1286)),AVERAGE('20250815_ETF_Options_Exhibits'!J1282:J1286),"")</f>
        <v/>
      </c>
      <c r="K1286" s="3">
        <f>IF(ISNUMBER(AVERAGE('20250815_ETF_Options_Exhibits'!K1282:K1286)),AVERAGE('20250815_ETF_Options_Exhibits'!K1282:K1286),"")</f>
        <v/>
      </c>
      <c r="L1286" s="3">
        <f>IF(ISNUMBER(AVERAGE('20250815_ETF_Options_Exhibits'!L1282:L1286)),AVERAGE('20250815_ETF_Options_Exhibits'!L1282:L1286),"")</f>
        <v/>
      </c>
      <c r="M1286" s="3">
        <f>IF(ISNUMBER(AVERAGE('20250815_ETF_Options_Exhibits'!M1282:M1286)),AVERAGE('20250815_ETF_Options_Exhibits'!M1282:M1286),"")</f>
        <v/>
      </c>
      <c r="N1286" s="3">
        <f>IF(ISNUMBER(AVERAGE('20250815_ETF_Options_Exhibits'!N1282:N1286)),AVERAGE('20250815_ETF_Options_Exhibits'!N1282:N1286),"")</f>
        <v/>
      </c>
      <c r="O1286" s="3">
        <f>IF(ISNUMBER(AVERAGE('20250815_ETF_Options_Exhibits'!O1282:O1286)),AVERAGE('20250815_ETF_Options_Exhibits'!O1282:O1286),"")</f>
        <v/>
      </c>
      <c r="P1286" s="3">
        <f>IF(ISNUMBER(AVERAGE('20250815_ETF_Options_Exhibits'!P1282:P1286)),AVERAGE('20250815_ETF_Options_Exhibits'!P1282:P1286),"")</f>
        <v/>
      </c>
      <c r="Q1286" s="3">
        <f>IF(ISNUMBER(AVERAGE('20250815_ETF_Options_Exhibits'!Q1282:Q1286)),AVERAGE('20250815_ETF_Options_Exhibits'!Q1282:Q1286),"")</f>
        <v/>
      </c>
      <c r="R1286" s="3">
        <f>IF(ISNUMBER(AVERAGE('20250815_ETF_Options_Exhibits'!R1282:R1286)),AVERAGE('20250815_ETF_Options_Exhibits'!R1282:R1286),"")</f>
        <v/>
      </c>
      <c r="S1286" s="3">
        <f>IF(ISNUMBER(AVERAGE('20250815_ETF_Options_Exhibits'!S1282:S1286)),AVERAGE('20250815_ETF_Options_Exhibits'!S1282:S1286),"")</f>
        <v/>
      </c>
      <c r="T1286" s="3">
        <f>IF(ISNUMBER(AVERAGE('20250815_ETF_Options_Exhibits'!T1282:T1286)),AVERAGE('20250815_ETF_Options_Exhibits'!T1282:T1286),"")</f>
        <v/>
      </c>
      <c r="U1286" s="3">
        <f>IF(ISNUMBER(AVERAGE('20250815_ETF_Options_Exhibits'!U1282:U1286)),AVERAGE('20250815_ETF_Options_Exhibits'!U1282:U1286),"")</f>
        <v/>
      </c>
      <c r="V1286" s="3">
        <f>IF(ISNUMBER(AVERAGE('20250815_ETF_Options_Exhibits'!V1282:V1286)),AVERAGE('20250815_ETF_Options_Exhibits'!V1282:V1286),"")</f>
        <v/>
      </c>
      <c r="W1286" s="3">
        <f>IF(ISNUMBER(AVERAGE('20250815_ETF_Options_Exhibits'!W1282:W1286)),AVERAGE('20250815_ETF_Options_Exhibits'!W1282:W1286),"")</f>
        <v/>
      </c>
      <c r="X1286" s="3">
        <f>IF(ISNUMBER(AVERAGE('20250815_ETF_Options_Exhibits'!X1282:X1286)),AVERAGE('20250815_ETF_Options_Exhibits'!X1282:X1286),"")</f>
        <v/>
      </c>
      <c r="Y1286" s="3">
        <f>IF(ISNUMBER(AVERAGE('20250815_ETF_Options_Exhibits'!Y1282:Y1286)),AVERAGE('20250815_ETF_Options_Exhibits'!Y1282:Y1286),"")</f>
        <v/>
      </c>
      <c r="Z1286" s="3">
        <f>IF(ISNUMBER(AVERAGE('20250815_ETF_Options_Exhibits'!Z1282:Z1286)),AVERAGE('20250815_ETF_Options_Exhibits'!Z1282:Z1286),"")</f>
        <v/>
      </c>
      <c r="AA1286" s="3">
        <f>IF(ISNUMBER(AVERAGE('20250815_ETF_Options_Exhibits'!AA1282:AA1286)),AVERAGE('20250815_ETF_Options_Exhibits'!AA1282:AA1286),"")</f>
        <v/>
      </c>
    </row>
    <row r="1287">
      <c r="A1287" s="1" t="n">
        <v>43871</v>
      </c>
      <c r="B1287" s="3">
        <f>IF(ISNUMBER(AVERAGE('20250815_ETF_Options_Exhibits'!B1283:B1287)),AVERAGE('20250815_ETF_Options_Exhibits'!B1283:B1287),"")</f>
        <v/>
      </c>
      <c r="C1287" s="3">
        <f>IF(ISNUMBER(AVERAGE('20250815_ETF_Options_Exhibits'!C1283:C1287)),AVERAGE('20250815_ETF_Options_Exhibits'!C1283:C1287),"")</f>
        <v/>
      </c>
      <c r="D1287" s="3">
        <f>IF(ISNUMBER(AVERAGE('20250815_ETF_Options_Exhibits'!D1283:D1287)),AVERAGE('20250815_ETF_Options_Exhibits'!D1283:D1287),"")</f>
        <v/>
      </c>
      <c r="E1287" s="3">
        <f>IF(ISNUMBER(AVERAGE('20250815_ETF_Options_Exhibits'!E1283:E1287)),AVERAGE('20250815_ETF_Options_Exhibits'!E1283:E1287),"")</f>
        <v/>
      </c>
      <c r="F1287" s="3">
        <f>IF(ISNUMBER(AVERAGE('20250815_ETF_Options_Exhibits'!F1283:F1287)),AVERAGE('20250815_ETF_Options_Exhibits'!F1283:F1287),"")</f>
        <v/>
      </c>
      <c r="G1287" s="3">
        <f>IF(ISNUMBER(AVERAGE('20250815_ETF_Options_Exhibits'!G1283:G1287)),AVERAGE('20250815_ETF_Options_Exhibits'!G1283:G1287),"")</f>
        <v/>
      </c>
      <c r="H1287" s="3">
        <f>IF(ISNUMBER(AVERAGE('20250815_ETF_Options_Exhibits'!H1283:H1287)),AVERAGE('20250815_ETF_Options_Exhibits'!H1283:H1287),"")</f>
        <v/>
      </c>
      <c r="I1287" s="3">
        <f>IF(ISNUMBER(AVERAGE('20250815_ETF_Options_Exhibits'!I1283:I1287)),AVERAGE('20250815_ETF_Options_Exhibits'!I1283:I1287),"")</f>
        <v/>
      </c>
      <c r="J1287" s="3">
        <f>IF(ISNUMBER(AVERAGE('20250815_ETF_Options_Exhibits'!J1283:J1287)),AVERAGE('20250815_ETF_Options_Exhibits'!J1283:J1287),"")</f>
        <v/>
      </c>
      <c r="K1287" s="3">
        <f>IF(ISNUMBER(AVERAGE('20250815_ETF_Options_Exhibits'!K1283:K1287)),AVERAGE('20250815_ETF_Options_Exhibits'!K1283:K1287),"")</f>
        <v/>
      </c>
      <c r="L1287" s="3">
        <f>IF(ISNUMBER(AVERAGE('20250815_ETF_Options_Exhibits'!L1283:L1287)),AVERAGE('20250815_ETF_Options_Exhibits'!L1283:L1287),"")</f>
        <v/>
      </c>
      <c r="M1287" s="3">
        <f>IF(ISNUMBER(AVERAGE('20250815_ETF_Options_Exhibits'!M1283:M1287)),AVERAGE('20250815_ETF_Options_Exhibits'!M1283:M1287),"")</f>
        <v/>
      </c>
      <c r="N1287" s="3">
        <f>IF(ISNUMBER(AVERAGE('20250815_ETF_Options_Exhibits'!N1283:N1287)),AVERAGE('20250815_ETF_Options_Exhibits'!N1283:N1287),"")</f>
        <v/>
      </c>
      <c r="O1287" s="3">
        <f>IF(ISNUMBER(AVERAGE('20250815_ETF_Options_Exhibits'!O1283:O1287)),AVERAGE('20250815_ETF_Options_Exhibits'!O1283:O1287),"")</f>
        <v/>
      </c>
      <c r="P1287" s="3">
        <f>IF(ISNUMBER(AVERAGE('20250815_ETF_Options_Exhibits'!P1283:P1287)),AVERAGE('20250815_ETF_Options_Exhibits'!P1283:P1287),"")</f>
        <v/>
      </c>
      <c r="Q1287" s="3">
        <f>IF(ISNUMBER(AVERAGE('20250815_ETF_Options_Exhibits'!Q1283:Q1287)),AVERAGE('20250815_ETF_Options_Exhibits'!Q1283:Q1287),"")</f>
        <v/>
      </c>
      <c r="R1287" s="3">
        <f>IF(ISNUMBER(AVERAGE('20250815_ETF_Options_Exhibits'!R1283:R1287)),AVERAGE('20250815_ETF_Options_Exhibits'!R1283:R1287),"")</f>
        <v/>
      </c>
      <c r="S1287" s="3">
        <f>IF(ISNUMBER(AVERAGE('20250815_ETF_Options_Exhibits'!S1283:S1287)),AVERAGE('20250815_ETF_Options_Exhibits'!S1283:S1287),"")</f>
        <v/>
      </c>
      <c r="T1287" s="3">
        <f>IF(ISNUMBER(AVERAGE('20250815_ETF_Options_Exhibits'!T1283:T1287)),AVERAGE('20250815_ETF_Options_Exhibits'!T1283:T1287),"")</f>
        <v/>
      </c>
      <c r="U1287" s="3">
        <f>IF(ISNUMBER(AVERAGE('20250815_ETF_Options_Exhibits'!U1283:U1287)),AVERAGE('20250815_ETF_Options_Exhibits'!U1283:U1287),"")</f>
        <v/>
      </c>
      <c r="V1287" s="3">
        <f>IF(ISNUMBER(AVERAGE('20250815_ETF_Options_Exhibits'!V1283:V1287)),AVERAGE('20250815_ETF_Options_Exhibits'!V1283:V1287),"")</f>
        <v/>
      </c>
      <c r="W1287" s="3">
        <f>IF(ISNUMBER(AVERAGE('20250815_ETF_Options_Exhibits'!W1283:W1287)),AVERAGE('20250815_ETF_Options_Exhibits'!W1283:W1287),"")</f>
        <v/>
      </c>
      <c r="X1287" s="3">
        <f>IF(ISNUMBER(AVERAGE('20250815_ETF_Options_Exhibits'!X1283:X1287)),AVERAGE('20250815_ETF_Options_Exhibits'!X1283:X1287),"")</f>
        <v/>
      </c>
      <c r="Y1287" s="3">
        <f>IF(ISNUMBER(AVERAGE('20250815_ETF_Options_Exhibits'!Y1283:Y1287)),AVERAGE('20250815_ETF_Options_Exhibits'!Y1283:Y1287),"")</f>
        <v/>
      </c>
      <c r="Z1287" s="3">
        <f>IF(ISNUMBER(AVERAGE('20250815_ETF_Options_Exhibits'!Z1283:Z1287)),AVERAGE('20250815_ETF_Options_Exhibits'!Z1283:Z1287),"")</f>
        <v/>
      </c>
      <c r="AA1287" s="3">
        <f>IF(ISNUMBER(AVERAGE('20250815_ETF_Options_Exhibits'!AA1283:AA1287)),AVERAGE('20250815_ETF_Options_Exhibits'!AA1283:AA1287),"")</f>
        <v/>
      </c>
    </row>
    <row r="1288">
      <c r="A1288" s="1" t="n">
        <v>43872</v>
      </c>
      <c r="B1288" s="3">
        <f>IF(ISNUMBER(AVERAGE('20250815_ETF_Options_Exhibits'!B1284:B1288)),AVERAGE('20250815_ETF_Options_Exhibits'!B1284:B1288),"")</f>
        <v/>
      </c>
      <c r="C1288" s="3">
        <f>IF(ISNUMBER(AVERAGE('20250815_ETF_Options_Exhibits'!C1284:C1288)),AVERAGE('20250815_ETF_Options_Exhibits'!C1284:C1288),"")</f>
        <v/>
      </c>
      <c r="D1288" s="3">
        <f>IF(ISNUMBER(AVERAGE('20250815_ETF_Options_Exhibits'!D1284:D1288)),AVERAGE('20250815_ETF_Options_Exhibits'!D1284:D1288),"")</f>
        <v/>
      </c>
      <c r="E1288" s="3">
        <f>IF(ISNUMBER(AVERAGE('20250815_ETF_Options_Exhibits'!E1284:E1288)),AVERAGE('20250815_ETF_Options_Exhibits'!E1284:E1288),"")</f>
        <v/>
      </c>
      <c r="F1288" s="3">
        <f>IF(ISNUMBER(AVERAGE('20250815_ETF_Options_Exhibits'!F1284:F1288)),AVERAGE('20250815_ETF_Options_Exhibits'!F1284:F1288),"")</f>
        <v/>
      </c>
      <c r="G1288" s="3">
        <f>IF(ISNUMBER(AVERAGE('20250815_ETF_Options_Exhibits'!G1284:G1288)),AVERAGE('20250815_ETF_Options_Exhibits'!G1284:G1288),"")</f>
        <v/>
      </c>
      <c r="H1288" s="3">
        <f>IF(ISNUMBER(AVERAGE('20250815_ETF_Options_Exhibits'!H1284:H1288)),AVERAGE('20250815_ETF_Options_Exhibits'!H1284:H1288),"")</f>
        <v/>
      </c>
      <c r="I1288" s="3">
        <f>IF(ISNUMBER(AVERAGE('20250815_ETF_Options_Exhibits'!I1284:I1288)),AVERAGE('20250815_ETF_Options_Exhibits'!I1284:I1288),"")</f>
        <v/>
      </c>
      <c r="J1288" s="3">
        <f>IF(ISNUMBER(AVERAGE('20250815_ETF_Options_Exhibits'!J1284:J1288)),AVERAGE('20250815_ETF_Options_Exhibits'!J1284:J1288),"")</f>
        <v/>
      </c>
      <c r="K1288" s="3">
        <f>IF(ISNUMBER(AVERAGE('20250815_ETF_Options_Exhibits'!K1284:K1288)),AVERAGE('20250815_ETF_Options_Exhibits'!K1284:K1288),"")</f>
        <v/>
      </c>
      <c r="L1288" s="3">
        <f>IF(ISNUMBER(AVERAGE('20250815_ETF_Options_Exhibits'!L1284:L1288)),AVERAGE('20250815_ETF_Options_Exhibits'!L1284:L1288),"")</f>
        <v/>
      </c>
      <c r="M1288" s="3">
        <f>IF(ISNUMBER(AVERAGE('20250815_ETF_Options_Exhibits'!M1284:M1288)),AVERAGE('20250815_ETF_Options_Exhibits'!M1284:M1288),"")</f>
        <v/>
      </c>
      <c r="N1288" s="3">
        <f>IF(ISNUMBER(AVERAGE('20250815_ETF_Options_Exhibits'!N1284:N1288)),AVERAGE('20250815_ETF_Options_Exhibits'!N1284:N1288),"")</f>
        <v/>
      </c>
      <c r="O1288" s="3">
        <f>IF(ISNUMBER(AVERAGE('20250815_ETF_Options_Exhibits'!O1284:O1288)),AVERAGE('20250815_ETF_Options_Exhibits'!O1284:O1288),"")</f>
        <v/>
      </c>
      <c r="P1288" s="3">
        <f>IF(ISNUMBER(AVERAGE('20250815_ETF_Options_Exhibits'!P1284:P1288)),AVERAGE('20250815_ETF_Options_Exhibits'!P1284:P1288),"")</f>
        <v/>
      </c>
      <c r="Q1288" s="3">
        <f>IF(ISNUMBER(AVERAGE('20250815_ETF_Options_Exhibits'!Q1284:Q1288)),AVERAGE('20250815_ETF_Options_Exhibits'!Q1284:Q1288),"")</f>
        <v/>
      </c>
      <c r="R1288" s="3">
        <f>IF(ISNUMBER(AVERAGE('20250815_ETF_Options_Exhibits'!R1284:R1288)),AVERAGE('20250815_ETF_Options_Exhibits'!R1284:R1288),"")</f>
        <v/>
      </c>
      <c r="S1288" s="3">
        <f>IF(ISNUMBER(AVERAGE('20250815_ETF_Options_Exhibits'!S1284:S1288)),AVERAGE('20250815_ETF_Options_Exhibits'!S1284:S1288),"")</f>
        <v/>
      </c>
      <c r="T1288" s="3">
        <f>IF(ISNUMBER(AVERAGE('20250815_ETF_Options_Exhibits'!T1284:T1288)),AVERAGE('20250815_ETF_Options_Exhibits'!T1284:T1288),"")</f>
        <v/>
      </c>
      <c r="U1288" s="3">
        <f>IF(ISNUMBER(AVERAGE('20250815_ETF_Options_Exhibits'!U1284:U1288)),AVERAGE('20250815_ETF_Options_Exhibits'!U1284:U1288),"")</f>
        <v/>
      </c>
      <c r="V1288" s="3">
        <f>IF(ISNUMBER(AVERAGE('20250815_ETF_Options_Exhibits'!V1284:V1288)),AVERAGE('20250815_ETF_Options_Exhibits'!V1284:V1288),"")</f>
        <v/>
      </c>
      <c r="W1288" s="3">
        <f>IF(ISNUMBER(AVERAGE('20250815_ETF_Options_Exhibits'!W1284:W1288)),AVERAGE('20250815_ETF_Options_Exhibits'!W1284:W1288),"")</f>
        <v/>
      </c>
      <c r="X1288" s="3">
        <f>IF(ISNUMBER(AVERAGE('20250815_ETF_Options_Exhibits'!X1284:X1288)),AVERAGE('20250815_ETF_Options_Exhibits'!X1284:X1288),"")</f>
        <v/>
      </c>
      <c r="Y1288" s="3">
        <f>IF(ISNUMBER(AVERAGE('20250815_ETF_Options_Exhibits'!Y1284:Y1288)),AVERAGE('20250815_ETF_Options_Exhibits'!Y1284:Y1288),"")</f>
        <v/>
      </c>
      <c r="Z1288" s="3">
        <f>IF(ISNUMBER(AVERAGE('20250815_ETF_Options_Exhibits'!Z1284:Z1288)),AVERAGE('20250815_ETF_Options_Exhibits'!Z1284:Z1288),"")</f>
        <v/>
      </c>
      <c r="AA1288" s="3">
        <f>IF(ISNUMBER(AVERAGE('20250815_ETF_Options_Exhibits'!AA1284:AA1288)),AVERAGE('20250815_ETF_Options_Exhibits'!AA1284:AA1288),"")</f>
        <v/>
      </c>
    </row>
    <row r="1289">
      <c r="A1289" s="1" t="n">
        <v>43873</v>
      </c>
      <c r="B1289" s="3">
        <f>IF(ISNUMBER(AVERAGE('20250815_ETF_Options_Exhibits'!B1285:B1289)),AVERAGE('20250815_ETF_Options_Exhibits'!B1285:B1289),"")</f>
        <v/>
      </c>
      <c r="C1289" s="3">
        <f>IF(ISNUMBER(AVERAGE('20250815_ETF_Options_Exhibits'!C1285:C1289)),AVERAGE('20250815_ETF_Options_Exhibits'!C1285:C1289),"")</f>
        <v/>
      </c>
      <c r="D1289" s="3">
        <f>IF(ISNUMBER(AVERAGE('20250815_ETF_Options_Exhibits'!D1285:D1289)),AVERAGE('20250815_ETF_Options_Exhibits'!D1285:D1289),"")</f>
        <v/>
      </c>
      <c r="E1289" s="3">
        <f>IF(ISNUMBER(AVERAGE('20250815_ETF_Options_Exhibits'!E1285:E1289)),AVERAGE('20250815_ETF_Options_Exhibits'!E1285:E1289),"")</f>
        <v/>
      </c>
      <c r="F1289" s="3">
        <f>IF(ISNUMBER(AVERAGE('20250815_ETF_Options_Exhibits'!F1285:F1289)),AVERAGE('20250815_ETF_Options_Exhibits'!F1285:F1289),"")</f>
        <v/>
      </c>
      <c r="G1289" s="3">
        <f>IF(ISNUMBER(AVERAGE('20250815_ETF_Options_Exhibits'!G1285:G1289)),AVERAGE('20250815_ETF_Options_Exhibits'!G1285:G1289),"")</f>
        <v/>
      </c>
      <c r="H1289" s="3">
        <f>IF(ISNUMBER(AVERAGE('20250815_ETF_Options_Exhibits'!H1285:H1289)),AVERAGE('20250815_ETF_Options_Exhibits'!H1285:H1289),"")</f>
        <v/>
      </c>
      <c r="I1289" s="3">
        <f>IF(ISNUMBER(AVERAGE('20250815_ETF_Options_Exhibits'!I1285:I1289)),AVERAGE('20250815_ETF_Options_Exhibits'!I1285:I1289),"")</f>
        <v/>
      </c>
      <c r="J1289" s="3">
        <f>IF(ISNUMBER(AVERAGE('20250815_ETF_Options_Exhibits'!J1285:J1289)),AVERAGE('20250815_ETF_Options_Exhibits'!J1285:J1289),"")</f>
        <v/>
      </c>
      <c r="K1289" s="3">
        <f>IF(ISNUMBER(AVERAGE('20250815_ETF_Options_Exhibits'!K1285:K1289)),AVERAGE('20250815_ETF_Options_Exhibits'!K1285:K1289),"")</f>
        <v/>
      </c>
      <c r="L1289" s="3">
        <f>IF(ISNUMBER(AVERAGE('20250815_ETF_Options_Exhibits'!L1285:L1289)),AVERAGE('20250815_ETF_Options_Exhibits'!L1285:L1289),"")</f>
        <v/>
      </c>
      <c r="M1289" s="3">
        <f>IF(ISNUMBER(AVERAGE('20250815_ETF_Options_Exhibits'!M1285:M1289)),AVERAGE('20250815_ETF_Options_Exhibits'!M1285:M1289),"")</f>
        <v/>
      </c>
      <c r="N1289" s="3">
        <f>IF(ISNUMBER(AVERAGE('20250815_ETF_Options_Exhibits'!N1285:N1289)),AVERAGE('20250815_ETF_Options_Exhibits'!N1285:N1289),"")</f>
        <v/>
      </c>
      <c r="O1289" s="3">
        <f>IF(ISNUMBER(AVERAGE('20250815_ETF_Options_Exhibits'!O1285:O1289)),AVERAGE('20250815_ETF_Options_Exhibits'!O1285:O1289),"")</f>
        <v/>
      </c>
      <c r="P1289" s="3">
        <f>IF(ISNUMBER(AVERAGE('20250815_ETF_Options_Exhibits'!P1285:P1289)),AVERAGE('20250815_ETF_Options_Exhibits'!P1285:P1289),"")</f>
        <v/>
      </c>
      <c r="Q1289" s="3">
        <f>IF(ISNUMBER(AVERAGE('20250815_ETF_Options_Exhibits'!Q1285:Q1289)),AVERAGE('20250815_ETF_Options_Exhibits'!Q1285:Q1289),"")</f>
        <v/>
      </c>
      <c r="R1289" s="3">
        <f>IF(ISNUMBER(AVERAGE('20250815_ETF_Options_Exhibits'!R1285:R1289)),AVERAGE('20250815_ETF_Options_Exhibits'!R1285:R1289),"")</f>
        <v/>
      </c>
      <c r="S1289" s="3">
        <f>IF(ISNUMBER(AVERAGE('20250815_ETF_Options_Exhibits'!S1285:S1289)),AVERAGE('20250815_ETF_Options_Exhibits'!S1285:S1289),"")</f>
        <v/>
      </c>
      <c r="T1289" s="3">
        <f>IF(ISNUMBER(AVERAGE('20250815_ETF_Options_Exhibits'!T1285:T1289)),AVERAGE('20250815_ETF_Options_Exhibits'!T1285:T1289),"")</f>
        <v/>
      </c>
      <c r="U1289" s="3">
        <f>IF(ISNUMBER(AVERAGE('20250815_ETF_Options_Exhibits'!U1285:U1289)),AVERAGE('20250815_ETF_Options_Exhibits'!U1285:U1289),"")</f>
        <v/>
      </c>
      <c r="V1289" s="3">
        <f>IF(ISNUMBER(AVERAGE('20250815_ETF_Options_Exhibits'!V1285:V1289)),AVERAGE('20250815_ETF_Options_Exhibits'!V1285:V1289),"")</f>
        <v/>
      </c>
      <c r="W1289" s="3">
        <f>IF(ISNUMBER(AVERAGE('20250815_ETF_Options_Exhibits'!W1285:W1289)),AVERAGE('20250815_ETF_Options_Exhibits'!W1285:W1289),"")</f>
        <v/>
      </c>
      <c r="X1289" s="3">
        <f>IF(ISNUMBER(AVERAGE('20250815_ETF_Options_Exhibits'!X1285:X1289)),AVERAGE('20250815_ETF_Options_Exhibits'!X1285:X1289),"")</f>
        <v/>
      </c>
      <c r="Y1289" s="3">
        <f>IF(ISNUMBER(AVERAGE('20250815_ETF_Options_Exhibits'!Y1285:Y1289)),AVERAGE('20250815_ETF_Options_Exhibits'!Y1285:Y1289),"")</f>
        <v/>
      </c>
      <c r="Z1289" s="3">
        <f>IF(ISNUMBER(AVERAGE('20250815_ETF_Options_Exhibits'!Z1285:Z1289)),AVERAGE('20250815_ETF_Options_Exhibits'!Z1285:Z1289),"")</f>
        <v/>
      </c>
      <c r="AA1289" s="3">
        <f>IF(ISNUMBER(AVERAGE('20250815_ETF_Options_Exhibits'!AA1285:AA1289)),AVERAGE('20250815_ETF_Options_Exhibits'!AA1285:AA1289),"")</f>
        <v/>
      </c>
    </row>
    <row r="1290">
      <c r="A1290" s="1" t="n">
        <v>43874</v>
      </c>
      <c r="B1290" s="3">
        <f>IF(ISNUMBER(AVERAGE('20250815_ETF_Options_Exhibits'!B1286:B1290)),AVERAGE('20250815_ETF_Options_Exhibits'!B1286:B1290),"")</f>
        <v/>
      </c>
      <c r="C1290" s="3">
        <f>IF(ISNUMBER(AVERAGE('20250815_ETF_Options_Exhibits'!C1286:C1290)),AVERAGE('20250815_ETF_Options_Exhibits'!C1286:C1290),"")</f>
        <v/>
      </c>
      <c r="D1290" s="3">
        <f>IF(ISNUMBER(AVERAGE('20250815_ETF_Options_Exhibits'!D1286:D1290)),AVERAGE('20250815_ETF_Options_Exhibits'!D1286:D1290),"")</f>
        <v/>
      </c>
      <c r="E1290" s="3">
        <f>IF(ISNUMBER(AVERAGE('20250815_ETF_Options_Exhibits'!E1286:E1290)),AVERAGE('20250815_ETF_Options_Exhibits'!E1286:E1290),"")</f>
        <v/>
      </c>
      <c r="F1290" s="3">
        <f>IF(ISNUMBER(AVERAGE('20250815_ETF_Options_Exhibits'!F1286:F1290)),AVERAGE('20250815_ETF_Options_Exhibits'!F1286:F1290),"")</f>
        <v/>
      </c>
      <c r="G1290" s="3">
        <f>IF(ISNUMBER(AVERAGE('20250815_ETF_Options_Exhibits'!G1286:G1290)),AVERAGE('20250815_ETF_Options_Exhibits'!G1286:G1290),"")</f>
        <v/>
      </c>
      <c r="H1290" s="3">
        <f>IF(ISNUMBER(AVERAGE('20250815_ETF_Options_Exhibits'!H1286:H1290)),AVERAGE('20250815_ETF_Options_Exhibits'!H1286:H1290),"")</f>
        <v/>
      </c>
      <c r="I1290" s="3">
        <f>IF(ISNUMBER(AVERAGE('20250815_ETF_Options_Exhibits'!I1286:I1290)),AVERAGE('20250815_ETF_Options_Exhibits'!I1286:I1290),"")</f>
        <v/>
      </c>
      <c r="J1290" s="3">
        <f>IF(ISNUMBER(AVERAGE('20250815_ETF_Options_Exhibits'!J1286:J1290)),AVERAGE('20250815_ETF_Options_Exhibits'!J1286:J1290),"")</f>
        <v/>
      </c>
      <c r="K1290" s="3">
        <f>IF(ISNUMBER(AVERAGE('20250815_ETF_Options_Exhibits'!K1286:K1290)),AVERAGE('20250815_ETF_Options_Exhibits'!K1286:K1290),"")</f>
        <v/>
      </c>
      <c r="L1290" s="3">
        <f>IF(ISNUMBER(AVERAGE('20250815_ETF_Options_Exhibits'!L1286:L1290)),AVERAGE('20250815_ETF_Options_Exhibits'!L1286:L1290),"")</f>
        <v/>
      </c>
      <c r="M1290" s="3">
        <f>IF(ISNUMBER(AVERAGE('20250815_ETF_Options_Exhibits'!M1286:M1290)),AVERAGE('20250815_ETF_Options_Exhibits'!M1286:M1290),"")</f>
        <v/>
      </c>
      <c r="N1290" s="3">
        <f>IF(ISNUMBER(AVERAGE('20250815_ETF_Options_Exhibits'!N1286:N1290)),AVERAGE('20250815_ETF_Options_Exhibits'!N1286:N1290),"")</f>
        <v/>
      </c>
      <c r="O1290" s="3">
        <f>IF(ISNUMBER(AVERAGE('20250815_ETF_Options_Exhibits'!O1286:O1290)),AVERAGE('20250815_ETF_Options_Exhibits'!O1286:O1290),"")</f>
        <v/>
      </c>
      <c r="P1290" s="3">
        <f>IF(ISNUMBER(AVERAGE('20250815_ETF_Options_Exhibits'!P1286:P1290)),AVERAGE('20250815_ETF_Options_Exhibits'!P1286:P1290),"")</f>
        <v/>
      </c>
      <c r="Q1290" s="3">
        <f>IF(ISNUMBER(AVERAGE('20250815_ETF_Options_Exhibits'!Q1286:Q1290)),AVERAGE('20250815_ETF_Options_Exhibits'!Q1286:Q1290),"")</f>
        <v/>
      </c>
      <c r="R1290" s="3">
        <f>IF(ISNUMBER(AVERAGE('20250815_ETF_Options_Exhibits'!R1286:R1290)),AVERAGE('20250815_ETF_Options_Exhibits'!R1286:R1290),"")</f>
        <v/>
      </c>
      <c r="S1290" s="3">
        <f>IF(ISNUMBER(AVERAGE('20250815_ETF_Options_Exhibits'!S1286:S1290)),AVERAGE('20250815_ETF_Options_Exhibits'!S1286:S1290),"")</f>
        <v/>
      </c>
      <c r="T1290" s="3">
        <f>IF(ISNUMBER(AVERAGE('20250815_ETF_Options_Exhibits'!T1286:T1290)),AVERAGE('20250815_ETF_Options_Exhibits'!T1286:T1290),"")</f>
        <v/>
      </c>
      <c r="U1290" s="3">
        <f>IF(ISNUMBER(AVERAGE('20250815_ETF_Options_Exhibits'!U1286:U1290)),AVERAGE('20250815_ETF_Options_Exhibits'!U1286:U1290),"")</f>
        <v/>
      </c>
      <c r="V1290" s="3">
        <f>IF(ISNUMBER(AVERAGE('20250815_ETF_Options_Exhibits'!V1286:V1290)),AVERAGE('20250815_ETF_Options_Exhibits'!V1286:V1290),"")</f>
        <v/>
      </c>
      <c r="W1290" s="3">
        <f>IF(ISNUMBER(AVERAGE('20250815_ETF_Options_Exhibits'!W1286:W1290)),AVERAGE('20250815_ETF_Options_Exhibits'!W1286:W1290),"")</f>
        <v/>
      </c>
      <c r="X1290" s="3">
        <f>IF(ISNUMBER(AVERAGE('20250815_ETF_Options_Exhibits'!X1286:X1290)),AVERAGE('20250815_ETF_Options_Exhibits'!X1286:X1290),"")</f>
        <v/>
      </c>
      <c r="Y1290" s="3">
        <f>IF(ISNUMBER(AVERAGE('20250815_ETF_Options_Exhibits'!Y1286:Y1290)),AVERAGE('20250815_ETF_Options_Exhibits'!Y1286:Y1290),"")</f>
        <v/>
      </c>
      <c r="Z1290" s="3">
        <f>IF(ISNUMBER(AVERAGE('20250815_ETF_Options_Exhibits'!Z1286:Z1290)),AVERAGE('20250815_ETF_Options_Exhibits'!Z1286:Z1290),"")</f>
        <v/>
      </c>
      <c r="AA1290" s="3">
        <f>IF(ISNUMBER(AVERAGE('20250815_ETF_Options_Exhibits'!AA1286:AA1290)),AVERAGE('20250815_ETF_Options_Exhibits'!AA1286:AA1290),"")</f>
        <v/>
      </c>
    </row>
    <row r="1291">
      <c r="A1291" s="1" t="n">
        <v>43875</v>
      </c>
      <c r="B1291" s="3">
        <f>IF(ISNUMBER(AVERAGE('20250815_ETF_Options_Exhibits'!B1287:B1291)),AVERAGE('20250815_ETF_Options_Exhibits'!B1287:B1291),"")</f>
        <v/>
      </c>
      <c r="C1291" s="3">
        <f>IF(ISNUMBER(AVERAGE('20250815_ETF_Options_Exhibits'!C1287:C1291)),AVERAGE('20250815_ETF_Options_Exhibits'!C1287:C1291),"")</f>
        <v/>
      </c>
      <c r="D1291" s="3">
        <f>IF(ISNUMBER(AVERAGE('20250815_ETF_Options_Exhibits'!D1287:D1291)),AVERAGE('20250815_ETF_Options_Exhibits'!D1287:D1291),"")</f>
        <v/>
      </c>
      <c r="E1291" s="3">
        <f>IF(ISNUMBER(AVERAGE('20250815_ETF_Options_Exhibits'!E1287:E1291)),AVERAGE('20250815_ETF_Options_Exhibits'!E1287:E1291),"")</f>
        <v/>
      </c>
      <c r="F1291" s="3">
        <f>IF(ISNUMBER(AVERAGE('20250815_ETF_Options_Exhibits'!F1287:F1291)),AVERAGE('20250815_ETF_Options_Exhibits'!F1287:F1291),"")</f>
        <v/>
      </c>
      <c r="G1291" s="3">
        <f>IF(ISNUMBER(AVERAGE('20250815_ETF_Options_Exhibits'!G1287:G1291)),AVERAGE('20250815_ETF_Options_Exhibits'!G1287:G1291),"")</f>
        <v/>
      </c>
      <c r="H1291" s="3">
        <f>IF(ISNUMBER(AVERAGE('20250815_ETF_Options_Exhibits'!H1287:H1291)),AVERAGE('20250815_ETF_Options_Exhibits'!H1287:H1291),"")</f>
        <v/>
      </c>
      <c r="I1291" s="3">
        <f>IF(ISNUMBER(AVERAGE('20250815_ETF_Options_Exhibits'!I1287:I1291)),AVERAGE('20250815_ETF_Options_Exhibits'!I1287:I1291),"")</f>
        <v/>
      </c>
      <c r="J1291" s="3">
        <f>IF(ISNUMBER(AVERAGE('20250815_ETF_Options_Exhibits'!J1287:J1291)),AVERAGE('20250815_ETF_Options_Exhibits'!J1287:J1291),"")</f>
        <v/>
      </c>
      <c r="K1291" s="3">
        <f>IF(ISNUMBER(AVERAGE('20250815_ETF_Options_Exhibits'!K1287:K1291)),AVERAGE('20250815_ETF_Options_Exhibits'!K1287:K1291),"")</f>
        <v/>
      </c>
      <c r="L1291" s="3">
        <f>IF(ISNUMBER(AVERAGE('20250815_ETF_Options_Exhibits'!L1287:L1291)),AVERAGE('20250815_ETF_Options_Exhibits'!L1287:L1291),"")</f>
        <v/>
      </c>
      <c r="M1291" s="3">
        <f>IF(ISNUMBER(AVERAGE('20250815_ETF_Options_Exhibits'!M1287:M1291)),AVERAGE('20250815_ETF_Options_Exhibits'!M1287:M1291),"")</f>
        <v/>
      </c>
      <c r="N1291" s="3">
        <f>IF(ISNUMBER(AVERAGE('20250815_ETF_Options_Exhibits'!N1287:N1291)),AVERAGE('20250815_ETF_Options_Exhibits'!N1287:N1291),"")</f>
        <v/>
      </c>
      <c r="O1291" s="3">
        <f>IF(ISNUMBER(AVERAGE('20250815_ETF_Options_Exhibits'!O1287:O1291)),AVERAGE('20250815_ETF_Options_Exhibits'!O1287:O1291),"")</f>
        <v/>
      </c>
      <c r="P1291" s="3">
        <f>IF(ISNUMBER(AVERAGE('20250815_ETF_Options_Exhibits'!P1287:P1291)),AVERAGE('20250815_ETF_Options_Exhibits'!P1287:P1291),"")</f>
        <v/>
      </c>
      <c r="Q1291" s="3">
        <f>IF(ISNUMBER(AVERAGE('20250815_ETF_Options_Exhibits'!Q1287:Q1291)),AVERAGE('20250815_ETF_Options_Exhibits'!Q1287:Q1291),"")</f>
        <v/>
      </c>
      <c r="R1291" s="3">
        <f>IF(ISNUMBER(AVERAGE('20250815_ETF_Options_Exhibits'!R1287:R1291)),AVERAGE('20250815_ETF_Options_Exhibits'!R1287:R1291),"")</f>
        <v/>
      </c>
      <c r="S1291" s="3">
        <f>IF(ISNUMBER(AVERAGE('20250815_ETF_Options_Exhibits'!S1287:S1291)),AVERAGE('20250815_ETF_Options_Exhibits'!S1287:S1291),"")</f>
        <v/>
      </c>
      <c r="T1291" s="3">
        <f>IF(ISNUMBER(AVERAGE('20250815_ETF_Options_Exhibits'!T1287:T1291)),AVERAGE('20250815_ETF_Options_Exhibits'!T1287:T1291),"")</f>
        <v/>
      </c>
      <c r="U1291" s="3">
        <f>IF(ISNUMBER(AVERAGE('20250815_ETF_Options_Exhibits'!U1287:U1291)),AVERAGE('20250815_ETF_Options_Exhibits'!U1287:U1291),"")</f>
        <v/>
      </c>
      <c r="V1291" s="3">
        <f>IF(ISNUMBER(AVERAGE('20250815_ETF_Options_Exhibits'!V1287:V1291)),AVERAGE('20250815_ETF_Options_Exhibits'!V1287:V1291),"")</f>
        <v/>
      </c>
      <c r="W1291" s="3">
        <f>IF(ISNUMBER(AVERAGE('20250815_ETF_Options_Exhibits'!W1287:W1291)),AVERAGE('20250815_ETF_Options_Exhibits'!W1287:W1291),"")</f>
        <v/>
      </c>
      <c r="X1291" s="3">
        <f>IF(ISNUMBER(AVERAGE('20250815_ETF_Options_Exhibits'!X1287:X1291)),AVERAGE('20250815_ETF_Options_Exhibits'!X1287:X1291),"")</f>
        <v/>
      </c>
      <c r="Y1291" s="3">
        <f>IF(ISNUMBER(AVERAGE('20250815_ETF_Options_Exhibits'!Y1287:Y1291)),AVERAGE('20250815_ETF_Options_Exhibits'!Y1287:Y1291),"")</f>
        <v/>
      </c>
      <c r="Z1291" s="3">
        <f>IF(ISNUMBER(AVERAGE('20250815_ETF_Options_Exhibits'!Z1287:Z1291)),AVERAGE('20250815_ETF_Options_Exhibits'!Z1287:Z1291),"")</f>
        <v/>
      </c>
      <c r="AA1291" s="3">
        <f>IF(ISNUMBER(AVERAGE('20250815_ETF_Options_Exhibits'!AA1287:AA1291)),AVERAGE('20250815_ETF_Options_Exhibits'!AA1287:AA1291),"")</f>
        <v/>
      </c>
    </row>
    <row r="1292">
      <c r="A1292" s="1" t="n">
        <v>43879</v>
      </c>
      <c r="B1292" s="3">
        <f>IF(ISNUMBER(AVERAGE('20250815_ETF_Options_Exhibits'!B1288:B1292)),AVERAGE('20250815_ETF_Options_Exhibits'!B1288:B1292),"")</f>
        <v/>
      </c>
      <c r="C1292" s="3">
        <f>IF(ISNUMBER(AVERAGE('20250815_ETF_Options_Exhibits'!C1288:C1292)),AVERAGE('20250815_ETF_Options_Exhibits'!C1288:C1292),"")</f>
        <v/>
      </c>
      <c r="D1292" s="3">
        <f>IF(ISNUMBER(AVERAGE('20250815_ETF_Options_Exhibits'!D1288:D1292)),AVERAGE('20250815_ETF_Options_Exhibits'!D1288:D1292),"")</f>
        <v/>
      </c>
      <c r="E1292" s="3">
        <f>IF(ISNUMBER(AVERAGE('20250815_ETF_Options_Exhibits'!E1288:E1292)),AVERAGE('20250815_ETF_Options_Exhibits'!E1288:E1292),"")</f>
        <v/>
      </c>
      <c r="F1292" s="3">
        <f>IF(ISNUMBER(AVERAGE('20250815_ETF_Options_Exhibits'!F1288:F1292)),AVERAGE('20250815_ETF_Options_Exhibits'!F1288:F1292),"")</f>
        <v/>
      </c>
      <c r="G1292" s="3">
        <f>IF(ISNUMBER(AVERAGE('20250815_ETF_Options_Exhibits'!G1288:G1292)),AVERAGE('20250815_ETF_Options_Exhibits'!G1288:G1292),"")</f>
        <v/>
      </c>
      <c r="H1292" s="3">
        <f>IF(ISNUMBER(AVERAGE('20250815_ETF_Options_Exhibits'!H1288:H1292)),AVERAGE('20250815_ETF_Options_Exhibits'!H1288:H1292),"")</f>
        <v/>
      </c>
      <c r="I1292" s="3">
        <f>IF(ISNUMBER(AVERAGE('20250815_ETF_Options_Exhibits'!I1288:I1292)),AVERAGE('20250815_ETF_Options_Exhibits'!I1288:I1292),"")</f>
        <v/>
      </c>
      <c r="J1292" s="3">
        <f>IF(ISNUMBER(AVERAGE('20250815_ETF_Options_Exhibits'!J1288:J1292)),AVERAGE('20250815_ETF_Options_Exhibits'!J1288:J1292),"")</f>
        <v/>
      </c>
      <c r="K1292" s="3">
        <f>IF(ISNUMBER(AVERAGE('20250815_ETF_Options_Exhibits'!K1288:K1292)),AVERAGE('20250815_ETF_Options_Exhibits'!K1288:K1292),"")</f>
        <v/>
      </c>
      <c r="L1292" s="3">
        <f>IF(ISNUMBER(AVERAGE('20250815_ETF_Options_Exhibits'!L1288:L1292)),AVERAGE('20250815_ETF_Options_Exhibits'!L1288:L1292),"")</f>
        <v/>
      </c>
      <c r="M1292" s="3">
        <f>IF(ISNUMBER(AVERAGE('20250815_ETF_Options_Exhibits'!M1288:M1292)),AVERAGE('20250815_ETF_Options_Exhibits'!M1288:M1292),"")</f>
        <v/>
      </c>
      <c r="N1292" s="3">
        <f>IF(ISNUMBER(AVERAGE('20250815_ETF_Options_Exhibits'!N1288:N1292)),AVERAGE('20250815_ETF_Options_Exhibits'!N1288:N1292),"")</f>
        <v/>
      </c>
      <c r="O1292" s="3">
        <f>IF(ISNUMBER(AVERAGE('20250815_ETF_Options_Exhibits'!O1288:O1292)),AVERAGE('20250815_ETF_Options_Exhibits'!O1288:O1292),"")</f>
        <v/>
      </c>
      <c r="P1292" s="3">
        <f>IF(ISNUMBER(AVERAGE('20250815_ETF_Options_Exhibits'!P1288:P1292)),AVERAGE('20250815_ETF_Options_Exhibits'!P1288:P1292),"")</f>
        <v/>
      </c>
      <c r="Q1292" s="3">
        <f>IF(ISNUMBER(AVERAGE('20250815_ETF_Options_Exhibits'!Q1288:Q1292)),AVERAGE('20250815_ETF_Options_Exhibits'!Q1288:Q1292),"")</f>
        <v/>
      </c>
      <c r="R1292" s="3">
        <f>IF(ISNUMBER(AVERAGE('20250815_ETF_Options_Exhibits'!R1288:R1292)),AVERAGE('20250815_ETF_Options_Exhibits'!R1288:R1292),"")</f>
        <v/>
      </c>
      <c r="S1292" s="3">
        <f>IF(ISNUMBER(AVERAGE('20250815_ETF_Options_Exhibits'!S1288:S1292)),AVERAGE('20250815_ETF_Options_Exhibits'!S1288:S1292),"")</f>
        <v/>
      </c>
      <c r="T1292" s="3">
        <f>IF(ISNUMBER(AVERAGE('20250815_ETF_Options_Exhibits'!T1288:T1292)),AVERAGE('20250815_ETF_Options_Exhibits'!T1288:T1292),"")</f>
        <v/>
      </c>
      <c r="U1292" s="3">
        <f>IF(ISNUMBER(AVERAGE('20250815_ETF_Options_Exhibits'!U1288:U1292)),AVERAGE('20250815_ETF_Options_Exhibits'!U1288:U1292),"")</f>
        <v/>
      </c>
      <c r="V1292" s="3">
        <f>IF(ISNUMBER(AVERAGE('20250815_ETF_Options_Exhibits'!V1288:V1292)),AVERAGE('20250815_ETF_Options_Exhibits'!V1288:V1292),"")</f>
        <v/>
      </c>
      <c r="W1292" s="3">
        <f>IF(ISNUMBER(AVERAGE('20250815_ETF_Options_Exhibits'!W1288:W1292)),AVERAGE('20250815_ETF_Options_Exhibits'!W1288:W1292),"")</f>
        <v/>
      </c>
      <c r="X1292" s="3">
        <f>IF(ISNUMBER(AVERAGE('20250815_ETF_Options_Exhibits'!X1288:X1292)),AVERAGE('20250815_ETF_Options_Exhibits'!X1288:X1292),"")</f>
        <v/>
      </c>
      <c r="Y1292" s="3">
        <f>IF(ISNUMBER(AVERAGE('20250815_ETF_Options_Exhibits'!Y1288:Y1292)),AVERAGE('20250815_ETF_Options_Exhibits'!Y1288:Y1292),"")</f>
        <v/>
      </c>
      <c r="Z1292" s="3">
        <f>IF(ISNUMBER(AVERAGE('20250815_ETF_Options_Exhibits'!Z1288:Z1292)),AVERAGE('20250815_ETF_Options_Exhibits'!Z1288:Z1292),"")</f>
        <v/>
      </c>
      <c r="AA1292" s="3">
        <f>IF(ISNUMBER(AVERAGE('20250815_ETF_Options_Exhibits'!AA1288:AA1292)),AVERAGE('20250815_ETF_Options_Exhibits'!AA1288:AA1292),"")</f>
        <v/>
      </c>
    </row>
    <row r="1293">
      <c r="A1293" s="1" t="n">
        <v>43880</v>
      </c>
      <c r="B1293" s="3">
        <f>IF(ISNUMBER(AVERAGE('20250815_ETF_Options_Exhibits'!B1289:B1293)),AVERAGE('20250815_ETF_Options_Exhibits'!B1289:B1293),"")</f>
        <v/>
      </c>
      <c r="C1293" s="3">
        <f>IF(ISNUMBER(AVERAGE('20250815_ETF_Options_Exhibits'!C1289:C1293)),AVERAGE('20250815_ETF_Options_Exhibits'!C1289:C1293),"")</f>
        <v/>
      </c>
      <c r="D1293" s="3">
        <f>IF(ISNUMBER(AVERAGE('20250815_ETF_Options_Exhibits'!D1289:D1293)),AVERAGE('20250815_ETF_Options_Exhibits'!D1289:D1293),"")</f>
        <v/>
      </c>
      <c r="E1293" s="3">
        <f>IF(ISNUMBER(AVERAGE('20250815_ETF_Options_Exhibits'!E1289:E1293)),AVERAGE('20250815_ETF_Options_Exhibits'!E1289:E1293),"")</f>
        <v/>
      </c>
      <c r="F1293" s="3">
        <f>IF(ISNUMBER(AVERAGE('20250815_ETF_Options_Exhibits'!F1289:F1293)),AVERAGE('20250815_ETF_Options_Exhibits'!F1289:F1293),"")</f>
        <v/>
      </c>
      <c r="G1293" s="3">
        <f>IF(ISNUMBER(AVERAGE('20250815_ETF_Options_Exhibits'!G1289:G1293)),AVERAGE('20250815_ETF_Options_Exhibits'!G1289:G1293),"")</f>
        <v/>
      </c>
      <c r="H1293" s="3">
        <f>IF(ISNUMBER(AVERAGE('20250815_ETF_Options_Exhibits'!H1289:H1293)),AVERAGE('20250815_ETF_Options_Exhibits'!H1289:H1293),"")</f>
        <v/>
      </c>
      <c r="I1293" s="3">
        <f>IF(ISNUMBER(AVERAGE('20250815_ETF_Options_Exhibits'!I1289:I1293)),AVERAGE('20250815_ETF_Options_Exhibits'!I1289:I1293),"")</f>
        <v/>
      </c>
      <c r="J1293" s="3">
        <f>IF(ISNUMBER(AVERAGE('20250815_ETF_Options_Exhibits'!J1289:J1293)),AVERAGE('20250815_ETF_Options_Exhibits'!J1289:J1293),"")</f>
        <v/>
      </c>
      <c r="K1293" s="3">
        <f>IF(ISNUMBER(AVERAGE('20250815_ETF_Options_Exhibits'!K1289:K1293)),AVERAGE('20250815_ETF_Options_Exhibits'!K1289:K1293),"")</f>
        <v/>
      </c>
      <c r="L1293" s="3">
        <f>IF(ISNUMBER(AVERAGE('20250815_ETF_Options_Exhibits'!L1289:L1293)),AVERAGE('20250815_ETF_Options_Exhibits'!L1289:L1293),"")</f>
        <v/>
      </c>
      <c r="M1293" s="3">
        <f>IF(ISNUMBER(AVERAGE('20250815_ETF_Options_Exhibits'!M1289:M1293)),AVERAGE('20250815_ETF_Options_Exhibits'!M1289:M1293),"")</f>
        <v/>
      </c>
      <c r="N1293" s="3">
        <f>IF(ISNUMBER(AVERAGE('20250815_ETF_Options_Exhibits'!N1289:N1293)),AVERAGE('20250815_ETF_Options_Exhibits'!N1289:N1293),"")</f>
        <v/>
      </c>
      <c r="O1293" s="3">
        <f>IF(ISNUMBER(AVERAGE('20250815_ETF_Options_Exhibits'!O1289:O1293)),AVERAGE('20250815_ETF_Options_Exhibits'!O1289:O1293),"")</f>
        <v/>
      </c>
      <c r="P1293" s="3">
        <f>IF(ISNUMBER(AVERAGE('20250815_ETF_Options_Exhibits'!P1289:P1293)),AVERAGE('20250815_ETF_Options_Exhibits'!P1289:P1293),"")</f>
        <v/>
      </c>
      <c r="Q1293" s="3">
        <f>IF(ISNUMBER(AVERAGE('20250815_ETF_Options_Exhibits'!Q1289:Q1293)),AVERAGE('20250815_ETF_Options_Exhibits'!Q1289:Q1293),"")</f>
        <v/>
      </c>
      <c r="R1293" s="3">
        <f>IF(ISNUMBER(AVERAGE('20250815_ETF_Options_Exhibits'!R1289:R1293)),AVERAGE('20250815_ETF_Options_Exhibits'!R1289:R1293),"")</f>
        <v/>
      </c>
      <c r="S1293" s="3">
        <f>IF(ISNUMBER(AVERAGE('20250815_ETF_Options_Exhibits'!S1289:S1293)),AVERAGE('20250815_ETF_Options_Exhibits'!S1289:S1293),"")</f>
        <v/>
      </c>
      <c r="T1293" s="3">
        <f>IF(ISNUMBER(AVERAGE('20250815_ETF_Options_Exhibits'!T1289:T1293)),AVERAGE('20250815_ETF_Options_Exhibits'!T1289:T1293),"")</f>
        <v/>
      </c>
      <c r="U1293" s="3">
        <f>IF(ISNUMBER(AVERAGE('20250815_ETF_Options_Exhibits'!U1289:U1293)),AVERAGE('20250815_ETF_Options_Exhibits'!U1289:U1293),"")</f>
        <v/>
      </c>
      <c r="V1293" s="3">
        <f>IF(ISNUMBER(AVERAGE('20250815_ETF_Options_Exhibits'!V1289:V1293)),AVERAGE('20250815_ETF_Options_Exhibits'!V1289:V1293),"")</f>
        <v/>
      </c>
      <c r="W1293" s="3">
        <f>IF(ISNUMBER(AVERAGE('20250815_ETF_Options_Exhibits'!W1289:W1293)),AVERAGE('20250815_ETF_Options_Exhibits'!W1289:W1293),"")</f>
        <v/>
      </c>
      <c r="X1293" s="3">
        <f>IF(ISNUMBER(AVERAGE('20250815_ETF_Options_Exhibits'!X1289:X1293)),AVERAGE('20250815_ETF_Options_Exhibits'!X1289:X1293),"")</f>
        <v/>
      </c>
      <c r="Y1293" s="3">
        <f>IF(ISNUMBER(AVERAGE('20250815_ETF_Options_Exhibits'!Y1289:Y1293)),AVERAGE('20250815_ETF_Options_Exhibits'!Y1289:Y1293),"")</f>
        <v/>
      </c>
      <c r="Z1293" s="3">
        <f>IF(ISNUMBER(AVERAGE('20250815_ETF_Options_Exhibits'!Z1289:Z1293)),AVERAGE('20250815_ETF_Options_Exhibits'!Z1289:Z1293),"")</f>
        <v/>
      </c>
      <c r="AA1293" s="3">
        <f>IF(ISNUMBER(AVERAGE('20250815_ETF_Options_Exhibits'!AA1289:AA1293)),AVERAGE('20250815_ETF_Options_Exhibits'!AA1289:AA1293),"")</f>
        <v/>
      </c>
    </row>
    <row r="1294">
      <c r="A1294" s="1" t="n">
        <v>43881</v>
      </c>
      <c r="B1294" s="3">
        <f>IF(ISNUMBER(AVERAGE('20250815_ETF_Options_Exhibits'!B1290:B1294)),AVERAGE('20250815_ETF_Options_Exhibits'!B1290:B1294),"")</f>
        <v/>
      </c>
      <c r="C1294" s="3">
        <f>IF(ISNUMBER(AVERAGE('20250815_ETF_Options_Exhibits'!C1290:C1294)),AVERAGE('20250815_ETF_Options_Exhibits'!C1290:C1294),"")</f>
        <v/>
      </c>
      <c r="D1294" s="3">
        <f>IF(ISNUMBER(AVERAGE('20250815_ETF_Options_Exhibits'!D1290:D1294)),AVERAGE('20250815_ETF_Options_Exhibits'!D1290:D1294),"")</f>
        <v/>
      </c>
      <c r="E1294" s="3">
        <f>IF(ISNUMBER(AVERAGE('20250815_ETF_Options_Exhibits'!E1290:E1294)),AVERAGE('20250815_ETF_Options_Exhibits'!E1290:E1294),"")</f>
        <v/>
      </c>
      <c r="F1294" s="3">
        <f>IF(ISNUMBER(AVERAGE('20250815_ETF_Options_Exhibits'!F1290:F1294)),AVERAGE('20250815_ETF_Options_Exhibits'!F1290:F1294),"")</f>
        <v/>
      </c>
      <c r="G1294" s="3">
        <f>IF(ISNUMBER(AVERAGE('20250815_ETF_Options_Exhibits'!G1290:G1294)),AVERAGE('20250815_ETF_Options_Exhibits'!G1290:G1294),"")</f>
        <v/>
      </c>
      <c r="H1294" s="3">
        <f>IF(ISNUMBER(AVERAGE('20250815_ETF_Options_Exhibits'!H1290:H1294)),AVERAGE('20250815_ETF_Options_Exhibits'!H1290:H1294),"")</f>
        <v/>
      </c>
      <c r="I1294" s="3">
        <f>IF(ISNUMBER(AVERAGE('20250815_ETF_Options_Exhibits'!I1290:I1294)),AVERAGE('20250815_ETF_Options_Exhibits'!I1290:I1294),"")</f>
        <v/>
      </c>
      <c r="J1294" s="3">
        <f>IF(ISNUMBER(AVERAGE('20250815_ETF_Options_Exhibits'!J1290:J1294)),AVERAGE('20250815_ETF_Options_Exhibits'!J1290:J1294),"")</f>
        <v/>
      </c>
      <c r="K1294" s="3">
        <f>IF(ISNUMBER(AVERAGE('20250815_ETF_Options_Exhibits'!K1290:K1294)),AVERAGE('20250815_ETF_Options_Exhibits'!K1290:K1294),"")</f>
        <v/>
      </c>
      <c r="L1294" s="3">
        <f>IF(ISNUMBER(AVERAGE('20250815_ETF_Options_Exhibits'!L1290:L1294)),AVERAGE('20250815_ETF_Options_Exhibits'!L1290:L1294),"")</f>
        <v/>
      </c>
      <c r="M1294" s="3">
        <f>IF(ISNUMBER(AVERAGE('20250815_ETF_Options_Exhibits'!M1290:M1294)),AVERAGE('20250815_ETF_Options_Exhibits'!M1290:M1294),"")</f>
        <v/>
      </c>
      <c r="N1294" s="3">
        <f>IF(ISNUMBER(AVERAGE('20250815_ETF_Options_Exhibits'!N1290:N1294)),AVERAGE('20250815_ETF_Options_Exhibits'!N1290:N1294),"")</f>
        <v/>
      </c>
      <c r="O1294" s="3">
        <f>IF(ISNUMBER(AVERAGE('20250815_ETF_Options_Exhibits'!O1290:O1294)),AVERAGE('20250815_ETF_Options_Exhibits'!O1290:O1294),"")</f>
        <v/>
      </c>
      <c r="P1294" s="3">
        <f>IF(ISNUMBER(AVERAGE('20250815_ETF_Options_Exhibits'!P1290:P1294)),AVERAGE('20250815_ETF_Options_Exhibits'!P1290:P1294),"")</f>
        <v/>
      </c>
      <c r="Q1294" s="3">
        <f>IF(ISNUMBER(AVERAGE('20250815_ETF_Options_Exhibits'!Q1290:Q1294)),AVERAGE('20250815_ETF_Options_Exhibits'!Q1290:Q1294),"")</f>
        <v/>
      </c>
      <c r="R1294" s="3">
        <f>IF(ISNUMBER(AVERAGE('20250815_ETF_Options_Exhibits'!R1290:R1294)),AVERAGE('20250815_ETF_Options_Exhibits'!R1290:R1294),"")</f>
        <v/>
      </c>
      <c r="S1294" s="3">
        <f>IF(ISNUMBER(AVERAGE('20250815_ETF_Options_Exhibits'!S1290:S1294)),AVERAGE('20250815_ETF_Options_Exhibits'!S1290:S1294),"")</f>
        <v/>
      </c>
      <c r="T1294" s="3">
        <f>IF(ISNUMBER(AVERAGE('20250815_ETF_Options_Exhibits'!T1290:T1294)),AVERAGE('20250815_ETF_Options_Exhibits'!T1290:T1294),"")</f>
        <v/>
      </c>
      <c r="U1294" s="3">
        <f>IF(ISNUMBER(AVERAGE('20250815_ETF_Options_Exhibits'!U1290:U1294)),AVERAGE('20250815_ETF_Options_Exhibits'!U1290:U1294),"")</f>
        <v/>
      </c>
      <c r="V1294" s="3">
        <f>IF(ISNUMBER(AVERAGE('20250815_ETF_Options_Exhibits'!V1290:V1294)),AVERAGE('20250815_ETF_Options_Exhibits'!V1290:V1294),"")</f>
        <v/>
      </c>
      <c r="W1294" s="3">
        <f>IF(ISNUMBER(AVERAGE('20250815_ETF_Options_Exhibits'!W1290:W1294)),AVERAGE('20250815_ETF_Options_Exhibits'!W1290:W1294),"")</f>
        <v/>
      </c>
      <c r="X1294" s="3">
        <f>IF(ISNUMBER(AVERAGE('20250815_ETF_Options_Exhibits'!X1290:X1294)),AVERAGE('20250815_ETF_Options_Exhibits'!X1290:X1294),"")</f>
        <v/>
      </c>
      <c r="Y1294" s="3">
        <f>IF(ISNUMBER(AVERAGE('20250815_ETF_Options_Exhibits'!Y1290:Y1294)),AVERAGE('20250815_ETF_Options_Exhibits'!Y1290:Y1294),"")</f>
        <v/>
      </c>
      <c r="Z1294" s="3">
        <f>IF(ISNUMBER(AVERAGE('20250815_ETF_Options_Exhibits'!Z1290:Z1294)),AVERAGE('20250815_ETF_Options_Exhibits'!Z1290:Z1294),"")</f>
        <v/>
      </c>
      <c r="AA1294" s="3">
        <f>IF(ISNUMBER(AVERAGE('20250815_ETF_Options_Exhibits'!AA1290:AA1294)),AVERAGE('20250815_ETF_Options_Exhibits'!AA1290:AA1294),"")</f>
        <v/>
      </c>
    </row>
    <row r="1295">
      <c r="A1295" s="1" t="n">
        <v>43882</v>
      </c>
      <c r="B1295" s="3">
        <f>IF(ISNUMBER(AVERAGE('20250815_ETF_Options_Exhibits'!B1291:B1295)),AVERAGE('20250815_ETF_Options_Exhibits'!B1291:B1295),"")</f>
        <v/>
      </c>
      <c r="C1295" s="3">
        <f>IF(ISNUMBER(AVERAGE('20250815_ETF_Options_Exhibits'!C1291:C1295)),AVERAGE('20250815_ETF_Options_Exhibits'!C1291:C1295),"")</f>
        <v/>
      </c>
      <c r="D1295" s="3">
        <f>IF(ISNUMBER(AVERAGE('20250815_ETF_Options_Exhibits'!D1291:D1295)),AVERAGE('20250815_ETF_Options_Exhibits'!D1291:D1295),"")</f>
        <v/>
      </c>
      <c r="E1295" s="3">
        <f>IF(ISNUMBER(AVERAGE('20250815_ETF_Options_Exhibits'!E1291:E1295)),AVERAGE('20250815_ETF_Options_Exhibits'!E1291:E1295),"")</f>
        <v/>
      </c>
      <c r="F1295" s="3">
        <f>IF(ISNUMBER(AVERAGE('20250815_ETF_Options_Exhibits'!F1291:F1295)),AVERAGE('20250815_ETF_Options_Exhibits'!F1291:F1295),"")</f>
        <v/>
      </c>
      <c r="G1295" s="3">
        <f>IF(ISNUMBER(AVERAGE('20250815_ETF_Options_Exhibits'!G1291:G1295)),AVERAGE('20250815_ETF_Options_Exhibits'!G1291:G1295),"")</f>
        <v/>
      </c>
      <c r="H1295" s="3">
        <f>IF(ISNUMBER(AVERAGE('20250815_ETF_Options_Exhibits'!H1291:H1295)),AVERAGE('20250815_ETF_Options_Exhibits'!H1291:H1295),"")</f>
        <v/>
      </c>
      <c r="I1295" s="3">
        <f>IF(ISNUMBER(AVERAGE('20250815_ETF_Options_Exhibits'!I1291:I1295)),AVERAGE('20250815_ETF_Options_Exhibits'!I1291:I1295),"")</f>
        <v/>
      </c>
      <c r="J1295" s="3">
        <f>IF(ISNUMBER(AVERAGE('20250815_ETF_Options_Exhibits'!J1291:J1295)),AVERAGE('20250815_ETF_Options_Exhibits'!J1291:J1295),"")</f>
        <v/>
      </c>
      <c r="K1295" s="3">
        <f>IF(ISNUMBER(AVERAGE('20250815_ETF_Options_Exhibits'!K1291:K1295)),AVERAGE('20250815_ETF_Options_Exhibits'!K1291:K1295),"")</f>
        <v/>
      </c>
      <c r="L1295" s="3">
        <f>IF(ISNUMBER(AVERAGE('20250815_ETF_Options_Exhibits'!L1291:L1295)),AVERAGE('20250815_ETF_Options_Exhibits'!L1291:L1295),"")</f>
        <v/>
      </c>
      <c r="M1295" s="3">
        <f>IF(ISNUMBER(AVERAGE('20250815_ETF_Options_Exhibits'!M1291:M1295)),AVERAGE('20250815_ETF_Options_Exhibits'!M1291:M1295),"")</f>
        <v/>
      </c>
      <c r="N1295" s="3">
        <f>IF(ISNUMBER(AVERAGE('20250815_ETF_Options_Exhibits'!N1291:N1295)),AVERAGE('20250815_ETF_Options_Exhibits'!N1291:N1295),"")</f>
        <v/>
      </c>
      <c r="O1295" s="3">
        <f>IF(ISNUMBER(AVERAGE('20250815_ETF_Options_Exhibits'!O1291:O1295)),AVERAGE('20250815_ETF_Options_Exhibits'!O1291:O1295),"")</f>
        <v/>
      </c>
      <c r="P1295" s="3">
        <f>IF(ISNUMBER(AVERAGE('20250815_ETF_Options_Exhibits'!P1291:P1295)),AVERAGE('20250815_ETF_Options_Exhibits'!P1291:P1295),"")</f>
        <v/>
      </c>
      <c r="Q1295" s="3">
        <f>IF(ISNUMBER(AVERAGE('20250815_ETF_Options_Exhibits'!Q1291:Q1295)),AVERAGE('20250815_ETF_Options_Exhibits'!Q1291:Q1295),"")</f>
        <v/>
      </c>
      <c r="R1295" s="3">
        <f>IF(ISNUMBER(AVERAGE('20250815_ETF_Options_Exhibits'!R1291:R1295)),AVERAGE('20250815_ETF_Options_Exhibits'!R1291:R1295),"")</f>
        <v/>
      </c>
      <c r="S1295" s="3">
        <f>IF(ISNUMBER(AVERAGE('20250815_ETF_Options_Exhibits'!S1291:S1295)),AVERAGE('20250815_ETF_Options_Exhibits'!S1291:S1295),"")</f>
        <v/>
      </c>
      <c r="T1295" s="3">
        <f>IF(ISNUMBER(AVERAGE('20250815_ETF_Options_Exhibits'!T1291:T1295)),AVERAGE('20250815_ETF_Options_Exhibits'!T1291:T1295),"")</f>
        <v/>
      </c>
      <c r="U1295" s="3">
        <f>IF(ISNUMBER(AVERAGE('20250815_ETF_Options_Exhibits'!U1291:U1295)),AVERAGE('20250815_ETF_Options_Exhibits'!U1291:U1295),"")</f>
        <v/>
      </c>
      <c r="V1295" s="3">
        <f>IF(ISNUMBER(AVERAGE('20250815_ETF_Options_Exhibits'!V1291:V1295)),AVERAGE('20250815_ETF_Options_Exhibits'!V1291:V1295),"")</f>
        <v/>
      </c>
      <c r="W1295" s="3">
        <f>IF(ISNUMBER(AVERAGE('20250815_ETF_Options_Exhibits'!W1291:W1295)),AVERAGE('20250815_ETF_Options_Exhibits'!W1291:W1295),"")</f>
        <v/>
      </c>
      <c r="X1295" s="3">
        <f>IF(ISNUMBER(AVERAGE('20250815_ETF_Options_Exhibits'!X1291:X1295)),AVERAGE('20250815_ETF_Options_Exhibits'!X1291:X1295),"")</f>
        <v/>
      </c>
      <c r="Y1295" s="3">
        <f>IF(ISNUMBER(AVERAGE('20250815_ETF_Options_Exhibits'!Y1291:Y1295)),AVERAGE('20250815_ETF_Options_Exhibits'!Y1291:Y1295),"")</f>
        <v/>
      </c>
      <c r="Z1295" s="3">
        <f>IF(ISNUMBER(AVERAGE('20250815_ETF_Options_Exhibits'!Z1291:Z1295)),AVERAGE('20250815_ETF_Options_Exhibits'!Z1291:Z1295),"")</f>
        <v/>
      </c>
      <c r="AA1295" s="3">
        <f>IF(ISNUMBER(AVERAGE('20250815_ETF_Options_Exhibits'!AA1291:AA1295)),AVERAGE('20250815_ETF_Options_Exhibits'!AA1291:AA1295),"")</f>
        <v/>
      </c>
    </row>
    <row r="1296">
      <c r="A1296" s="1" t="n">
        <v>43885</v>
      </c>
      <c r="B1296" s="3">
        <f>IF(ISNUMBER(AVERAGE('20250815_ETF_Options_Exhibits'!B1292:B1296)),AVERAGE('20250815_ETF_Options_Exhibits'!B1292:B1296),"")</f>
        <v/>
      </c>
      <c r="C1296" s="3">
        <f>IF(ISNUMBER(AVERAGE('20250815_ETF_Options_Exhibits'!C1292:C1296)),AVERAGE('20250815_ETF_Options_Exhibits'!C1292:C1296),"")</f>
        <v/>
      </c>
      <c r="D1296" s="3">
        <f>IF(ISNUMBER(AVERAGE('20250815_ETF_Options_Exhibits'!D1292:D1296)),AVERAGE('20250815_ETF_Options_Exhibits'!D1292:D1296),"")</f>
        <v/>
      </c>
      <c r="E1296" s="3">
        <f>IF(ISNUMBER(AVERAGE('20250815_ETF_Options_Exhibits'!E1292:E1296)),AVERAGE('20250815_ETF_Options_Exhibits'!E1292:E1296),"")</f>
        <v/>
      </c>
      <c r="F1296" s="3">
        <f>IF(ISNUMBER(AVERAGE('20250815_ETF_Options_Exhibits'!F1292:F1296)),AVERAGE('20250815_ETF_Options_Exhibits'!F1292:F1296),"")</f>
        <v/>
      </c>
      <c r="G1296" s="3">
        <f>IF(ISNUMBER(AVERAGE('20250815_ETF_Options_Exhibits'!G1292:G1296)),AVERAGE('20250815_ETF_Options_Exhibits'!G1292:G1296),"")</f>
        <v/>
      </c>
      <c r="H1296" s="3">
        <f>IF(ISNUMBER(AVERAGE('20250815_ETF_Options_Exhibits'!H1292:H1296)),AVERAGE('20250815_ETF_Options_Exhibits'!H1292:H1296),"")</f>
        <v/>
      </c>
      <c r="I1296" s="3">
        <f>IF(ISNUMBER(AVERAGE('20250815_ETF_Options_Exhibits'!I1292:I1296)),AVERAGE('20250815_ETF_Options_Exhibits'!I1292:I1296),"")</f>
        <v/>
      </c>
      <c r="J1296" s="3">
        <f>IF(ISNUMBER(AVERAGE('20250815_ETF_Options_Exhibits'!J1292:J1296)),AVERAGE('20250815_ETF_Options_Exhibits'!J1292:J1296),"")</f>
        <v/>
      </c>
      <c r="K1296" s="3">
        <f>IF(ISNUMBER(AVERAGE('20250815_ETF_Options_Exhibits'!K1292:K1296)),AVERAGE('20250815_ETF_Options_Exhibits'!K1292:K1296),"")</f>
        <v/>
      </c>
      <c r="L1296" s="3">
        <f>IF(ISNUMBER(AVERAGE('20250815_ETF_Options_Exhibits'!L1292:L1296)),AVERAGE('20250815_ETF_Options_Exhibits'!L1292:L1296),"")</f>
        <v/>
      </c>
      <c r="M1296" s="3">
        <f>IF(ISNUMBER(AVERAGE('20250815_ETF_Options_Exhibits'!M1292:M1296)),AVERAGE('20250815_ETF_Options_Exhibits'!M1292:M1296),"")</f>
        <v/>
      </c>
      <c r="N1296" s="3">
        <f>IF(ISNUMBER(AVERAGE('20250815_ETF_Options_Exhibits'!N1292:N1296)),AVERAGE('20250815_ETF_Options_Exhibits'!N1292:N1296),"")</f>
        <v/>
      </c>
      <c r="O1296" s="3">
        <f>IF(ISNUMBER(AVERAGE('20250815_ETF_Options_Exhibits'!O1292:O1296)),AVERAGE('20250815_ETF_Options_Exhibits'!O1292:O1296),"")</f>
        <v/>
      </c>
      <c r="P1296" s="3">
        <f>IF(ISNUMBER(AVERAGE('20250815_ETF_Options_Exhibits'!P1292:P1296)),AVERAGE('20250815_ETF_Options_Exhibits'!P1292:P1296),"")</f>
        <v/>
      </c>
      <c r="Q1296" s="3">
        <f>IF(ISNUMBER(AVERAGE('20250815_ETF_Options_Exhibits'!Q1292:Q1296)),AVERAGE('20250815_ETF_Options_Exhibits'!Q1292:Q1296),"")</f>
        <v/>
      </c>
      <c r="R1296" s="3">
        <f>IF(ISNUMBER(AVERAGE('20250815_ETF_Options_Exhibits'!R1292:R1296)),AVERAGE('20250815_ETF_Options_Exhibits'!R1292:R1296),"")</f>
        <v/>
      </c>
      <c r="S1296" s="3">
        <f>IF(ISNUMBER(AVERAGE('20250815_ETF_Options_Exhibits'!S1292:S1296)),AVERAGE('20250815_ETF_Options_Exhibits'!S1292:S1296),"")</f>
        <v/>
      </c>
      <c r="T1296" s="3">
        <f>IF(ISNUMBER(AVERAGE('20250815_ETF_Options_Exhibits'!T1292:T1296)),AVERAGE('20250815_ETF_Options_Exhibits'!T1292:T1296),"")</f>
        <v/>
      </c>
      <c r="U1296" s="3">
        <f>IF(ISNUMBER(AVERAGE('20250815_ETF_Options_Exhibits'!U1292:U1296)),AVERAGE('20250815_ETF_Options_Exhibits'!U1292:U1296),"")</f>
        <v/>
      </c>
      <c r="V1296" s="3">
        <f>IF(ISNUMBER(AVERAGE('20250815_ETF_Options_Exhibits'!V1292:V1296)),AVERAGE('20250815_ETF_Options_Exhibits'!V1292:V1296),"")</f>
        <v/>
      </c>
      <c r="W1296" s="3">
        <f>IF(ISNUMBER(AVERAGE('20250815_ETF_Options_Exhibits'!W1292:W1296)),AVERAGE('20250815_ETF_Options_Exhibits'!W1292:W1296),"")</f>
        <v/>
      </c>
      <c r="X1296" s="3">
        <f>IF(ISNUMBER(AVERAGE('20250815_ETF_Options_Exhibits'!X1292:X1296)),AVERAGE('20250815_ETF_Options_Exhibits'!X1292:X1296),"")</f>
        <v/>
      </c>
      <c r="Y1296" s="3">
        <f>IF(ISNUMBER(AVERAGE('20250815_ETF_Options_Exhibits'!Y1292:Y1296)),AVERAGE('20250815_ETF_Options_Exhibits'!Y1292:Y1296),"")</f>
        <v/>
      </c>
      <c r="Z1296" s="3">
        <f>IF(ISNUMBER(AVERAGE('20250815_ETF_Options_Exhibits'!Z1292:Z1296)),AVERAGE('20250815_ETF_Options_Exhibits'!Z1292:Z1296),"")</f>
        <v/>
      </c>
      <c r="AA1296" s="3">
        <f>IF(ISNUMBER(AVERAGE('20250815_ETF_Options_Exhibits'!AA1292:AA1296)),AVERAGE('20250815_ETF_Options_Exhibits'!AA1292:AA1296),"")</f>
        <v/>
      </c>
    </row>
    <row r="1297">
      <c r="A1297" s="1" t="n">
        <v>43886</v>
      </c>
      <c r="B1297" s="3">
        <f>IF(ISNUMBER(AVERAGE('20250815_ETF_Options_Exhibits'!B1293:B1297)),AVERAGE('20250815_ETF_Options_Exhibits'!B1293:B1297),"")</f>
        <v/>
      </c>
      <c r="C1297" s="3">
        <f>IF(ISNUMBER(AVERAGE('20250815_ETF_Options_Exhibits'!C1293:C1297)),AVERAGE('20250815_ETF_Options_Exhibits'!C1293:C1297),"")</f>
        <v/>
      </c>
      <c r="D1297" s="3">
        <f>IF(ISNUMBER(AVERAGE('20250815_ETF_Options_Exhibits'!D1293:D1297)),AVERAGE('20250815_ETF_Options_Exhibits'!D1293:D1297),"")</f>
        <v/>
      </c>
      <c r="E1297" s="3">
        <f>IF(ISNUMBER(AVERAGE('20250815_ETF_Options_Exhibits'!E1293:E1297)),AVERAGE('20250815_ETF_Options_Exhibits'!E1293:E1297),"")</f>
        <v/>
      </c>
      <c r="F1297" s="3">
        <f>IF(ISNUMBER(AVERAGE('20250815_ETF_Options_Exhibits'!F1293:F1297)),AVERAGE('20250815_ETF_Options_Exhibits'!F1293:F1297),"")</f>
        <v/>
      </c>
      <c r="G1297" s="3">
        <f>IF(ISNUMBER(AVERAGE('20250815_ETF_Options_Exhibits'!G1293:G1297)),AVERAGE('20250815_ETF_Options_Exhibits'!G1293:G1297),"")</f>
        <v/>
      </c>
      <c r="H1297" s="3">
        <f>IF(ISNUMBER(AVERAGE('20250815_ETF_Options_Exhibits'!H1293:H1297)),AVERAGE('20250815_ETF_Options_Exhibits'!H1293:H1297),"")</f>
        <v/>
      </c>
      <c r="I1297" s="3">
        <f>IF(ISNUMBER(AVERAGE('20250815_ETF_Options_Exhibits'!I1293:I1297)),AVERAGE('20250815_ETF_Options_Exhibits'!I1293:I1297),"")</f>
        <v/>
      </c>
      <c r="J1297" s="3">
        <f>IF(ISNUMBER(AVERAGE('20250815_ETF_Options_Exhibits'!J1293:J1297)),AVERAGE('20250815_ETF_Options_Exhibits'!J1293:J1297),"")</f>
        <v/>
      </c>
      <c r="K1297" s="3">
        <f>IF(ISNUMBER(AVERAGE('20250815_ETF_Options_Exhibits'!K1293:K1297)),AVERAGE('20250815_ETF_Options_Exhibits'!K1293:K1297),"")</f>
        <v/>
      </c>
      <c r="L1297" s="3">
        <f>IF(ISNUMBER(AVERAGE('20250815_ETF_Options_Exhibits'!L1293:L1297)),AVERAGE('20250815_ETF_Options_Exhibits'!L1293:L1297),"")</f>
        <v/>
      </c>
      <c r="M1297" s="3">
        <f>IF(ISNUMBER(AVERAGE('20250815_ETF_Options_Exhibits'!M1293:M1297)),AVERAGE('20250815_ETF_Options_Exhibits'!M1293:M1297),"")</f>
        <v/>
      </c>
      <c r="N1297" s="3">
        <f>IF(ISNUMBER(AVERAGE('20250815_ETF_Options_Exhibits'!N1293:N1297)),AVERAGE('20250815_ETF_Options_Exhibits'!N1293:N1297),"")</f>
        <v/>
      </c>
      <c r="O1297" s="3">
        <f>IF(ISNUMBER(AVERAGE('20250815_ETF_Options_Exhibits'!O1293:O1297)),AVERAGE('20250815_ETF_Options_Exhibits'!O1293:O1297),"")</f>
        <v/>
      </c>
      <c r="P1297" s="3">
        <f>IF(ISNUMBER(AVERAGE('20250815_ETF_Options_Exhibits'!P1293:P1297)),AVERAGE('20250815_ETF_Options_Exhibits'!P1293:P1297),"")</f>
        <v/>
      </c>
      <c r="Q1297" s="3">
        <f>IF(ISNUMBER(AVERAGE('20250815_ETF_Options_Exhibits'!Q1293:Q1297)),AVERAGE('20250815_ETF_Options_Exhibits'!Q1293:Q1297),"")</f>
        <v/>
      </c>
      <c r="R1297" s="3">
        <f>IF(ISNUMBER(AVERAGE('20250815_ETF_Options_Exhibits'!R1293:R1297)),AVERAGE('20250815_ETF_Options_Exhibits'!R1293:R1297),"")</f>
        <v/>
      </c>
      <c r="S1297" s="3">
        <f>IF(ISNUMBER(AVERAGE('20250815_ETF_Options_Exhibits'!S1293:S1297)),AVERAGE('20250815_ETF_Options_Exhibits'!S1293:S1297),"")</f>
        <v/>
      </c>
      <c r="T1297" s="3">
        <f>IF(ISNUMBER(AVERAGE('20250815_ETF_Options_Exhibits'!T1293:T1297)),AVERAGE('20250815_ETF_Options_Exhibits'!T1293:T1297),"")</f>
        <v/>
      </c>
      <c r="U1297" s="3">
        <f>IF(ISNUMBER(AVERAGE('20250815_ETF_Options_Exhibits'!U1293:U1297)),AVERAGE('20250815_ETF_Options_Exhibits'!U1293:U1297),"")</f>
        <v/>
      </c>
      <c r="V1297" s="3">
        <f>IF(ISNUMBER(AVERAGE('20250815_ETF_Options_Exhibits'!V1293:V1297)),AVERAGE('20250815_ETF_Options_Exhibits'!V1293:V1297),"")</f>
        <v/>
      </c>
      <c r="W1297" s="3">
        <f>IF(ISNUMBER(AVERAGE('20250815_ETF_Options_Exhibits'!W1293:W1297)),AVERAGE('20250815_ETF_Options_Exhibits'!W1293:W1297),"")</f>
        <v/>
      </c>
      <c r="X1297" s="3">
        <f>IF(ISNUMBER(AVERAGE('20250815_ETF_Options_Exhibits'!X1293:X1297)),AVERAGE('20250815_ETF_Options_Exhibits'!X1293:X1297),"")</f>
        <v/>
      </c>
      <c r="Y1297" s="3">
        <f>IF(ISNUMBER(AVERAGE('20250815_ETF_Options_Exhibits'!Y1293:Y1297)),AVERAGE('20250815_ETF_Options_Exhibits'!Y1293:Y1297),"")</f>
        <v/>
      </c>
      <c r="Z1297" s="3">
        <f>IF(ISNUMBER(AVERAGE('20250815_ETF_Options_Exhibits'!Z1293:Z1297)),AVERAGE('20250815_ETF_Options_Exhibits'!Z1293:Z1297),"")</f>
        <v/>
      </c>
      <c r="AA1297" s="3">
        <f>IF(ISNUMBER(AVERAGE('20250815_ETF_Options_Exhibits'!AA1293:AA1297)),AVERAGE('20250815_ETF_Options_Exhibits'!AA1293:AA1297),"")</f>
        <v/>
      </c>
    </row>
    <row r="1298">
      <c r="A1298" s="1" t="n">
        <v>43887</v>
      </c>
      <c r="B1298" s="3">
        <f>IF(ISNUMBER(AVERAGE('20250815_ETF_Options_Exhibits'!B1294:B1298)),AVERAGE('20250815_ETF_Options_Exhibits'!B1294:B1298),"")</f>
        <v/>
      </c>
      <c r="C1298" s="3">
        <f>IF(ISNUMBER(AVERAGE('20250815_ETF_Options_Exhibits'!C1294:C1298)),AVERAGE('20250815_ETF_Options_Exhibits'!C1294:C1298),"")</f>
        <v/>
      </c>
      <c r="D1298" s="3">
        <f>IF(ISNUMBER(AVERAGE('20250815_ETF_Options_Exhibits'!D1294:D1298)),AVERAGE('20250815_ETF_Options_Exhibits'!D1294:D1298),"")</f>
        <v/>
      </c>
      <c r="E1298" s="3">
        <f>IF(ISNUMBER(AVERAGE('20250815_ETF_Options_Exhibits'!E1294:E1298)),AVERAGE('20250815_ETF_Options_Exhibits'!E1294:E1298),"")</f>
        <v/>
      </c>
      <c r="F1298" s="3">
        <f>IF(ISNUMBER(AVERAGE('20250815_ETF_Options_Exhibits'!F1294:F1298)),AVERAGE('20250815_ETF_Options_Exhibits'!F1294:F1298),"")</f>
        <v/>
      </c>
      <c r="G1298" s="3">
        <f>IF(ISNUMBER(AVERAGE('20250815_ETF_Options_Exhibits'!G1294:G1298)),AVERAGE('20250815_ETF_Options_Exhibits'!G1294:G1298),"")</f>
        <v/>
      </c>
      <c r="H1298" s="3">
        <f>IF(ISNUMBER(AVERAGE('20250815_ETF_Options_Exhibits'!H1294:H1298)),AVERAGE('20250815_ETF_Options_Exhibits'!H1294:H1298),"")</f>
        <v/>
      </c>
      <c r="I1298" s="3">
        <f>IF(ISNUMBER(AVERAGE('20250815_ETF_Options_Exhibits'!I1294:I1298)),AVERAGE('20250815_ETF_Options_Exhibits'!I1294:I1298),"")</f>
        <v/>
      </c>
      <c r="J1298" s="3">
        <f>IF(ISNUMBER(AVERAGE('20250815_ETF_Options_Exhibits'!J1294:J1298)),AVERAGE('20250815_ETF_Options_Exhibits'!J1294:J1298),"")</f>
        <v/>
      </c>
      <c r="K1298" s="3">
        <f>IF(ISNUMBER(AVERAGE('20250815_ETF_Options_Exhibits'!K1294:K1298)),AVERAGE('20250815_ETF_Options_Exhibits'!K1294:K1298),"")</f>
        <v/>
      </c>
      <c r="L1298" s="3">
        <f>IF(ISNUMBER(AVERAGE('20250815_ETF_Options_Exhibits'!L1294:L1298)),AVERAGE('20250815_ETF_Options_Exhibits'!L1294:L1298),"")</f>
        <v/>
      </c>
      <c r="M1298" s="3">
        <f>IF(ISNUMBER(AVERAGE('20250815_ETF_Options_Exhibits'!M1294:M1298)),AVERAGE('20250815_ETF_Options_Exhibits'!M1294:M1298),"")</f>
        <v/>
      </c>
      <c r="N1298" s="3">
        <f>IF(ISNUMBER(AVERAGE('20250815_ETF_Options_Exhibits'!N1294:N1298)),AVERAGE('20250815_ETF_Options_Exhibits'!N1294:N1298),"")</f>
        <v/>
      </c>
      <c r="O1298" s="3">
        <f>IF(ISNUMBER(AVERAGE('20250815_ETF_Options_Exhibits'!O1294:O1298)),AVERAGE('20250815_ETF_Options_Exhibits'!O1294:O1298),"")</f>
        <v/>
      </c>
      <c r="P1298" s="3">
        <f>IF(ISNUMBER(AVERAGE('20250815_ETF_Options_Exhibits'!P1294:P1298)),AVERAGE('20250815_ETF_Options_Exhibits'!P1294:P1298),"")</f>
        <v/>
      </c>
      <c r="Q1298" s="3">
        <f>IF(ISNUMBER(AVERAGE('20250815_ETF_Options_Exhibits'!Q1294:Q1298)),AVERAGE('20250815_ETF_Options_Exhibits'!Q1294:Q1298),"")</f>
        <v/>
      </c>
      <c r="R1298" s="3">
        <f>IF(ISNUMBER(AVERAGE('20250815_ETF_Options_Exhibits'!R1294:R1298)),AVERAGE('20250815_ETF_Options_Exhibits'!R1294:R1298),"")</f>
        <v/>
      </c>
      <c r="S1298" s="3">
        <f>IF(ISNUMBER(AVERAGE('20250815_ETF_Options_Exhibits'!S1294:S1298)),AVERAGE('20250815_ETF_Options_Exhibits'!S1294:S1298),"")</f>
        <v/>
      </c>
      <c r="T1298" s="3">
        <f>IF(ISNUMBER(AVERAGE('20250815_ETF_Options_Exhibits'!T1294:T1298)),AVERAGE('20250815_ETF_Options_Exhibits'!T1294:T1298),"")</f>
        <v/>
      </c>
      <c r="U1298" s="3">
        <f>IF(ISNUMBER(AVERAGE('20250815_ETF_Options_Exhibits'!U1294:U1298)),AVERAGE('20250815_ETF_Options_Exhibits'!U1294:U1298),"")</f>
        <v/>
      </c>
      <c r="V1298" s="3">
        <f>IF(ISNUMBER(AVERAGE('20250815_ETF_Options_Exhibits'!V1294:V1298)),AVERAGE('20250815_ETF_Options_Exhibits'!V1294:V1298),"")</f>
        <v/>
      </c>
      <c r="W1298" s="3">
        <f>IF(ISNUMBER(AVERAGE('20250815_ETF_Options_Exhibits'!W1294:W1298)),AVERAGE('20250815_ETF_Options_Exhibits'!W1294:W1298),"")</f>
        <v/>
      </c>
      <c r="X1298" s="3">
        <f>IF(ISNUMBER(AVERAGE('20250815_ETF_Options_Exhibits'!X1294:X1298)),AVERAGE('20250815_ETF_Options_Exhibits'!X1294:X1298),"")</f>
        <v/>
      </c>
      <c r="Y1298" s="3">
        <f>IF(ISNUMBER(AVERAGE('20250815_ETF_Options_Exhibits'!Y1294:Y1298)),AVERAGE('20250815_ETF_Options_Exhibits'!Y1294:Y1298),"")</f>
        <v/>
      </c>
      <c r="Z1298" s="3">
        <f>IF(ISNUMBER(AVERAGE('20250815_ETF_Options_Exhibits'!Z1294:Z1298)),AVERAGE('20250815_ETF_Options_Exhibits'!Z1294:Z1298),"")</f>
        <v/>
      </c>
      <c r="AA1298" s="3">
        <f>IF(ISNUMBER(AVERAGE('20250815_ETF_Options_Exhibits'!AA1294:AA1298)),AVERAGE('20250815_ETF_Options_Exhibits'!AA1294:AA1298),"")</f>
        <v/>
      </c>
    </row>
    <row r="1299">
      <c r="A1299" s="1" t="n">
        <v>43888</v>
      </c>
      <c r="B1299" s="3">
        <f>IF(ISNUMBER(AVERAGE('20250815_ETF_Options_Exhibits'!B1295:B1299)),AVERAGE('20250815_ETF_Options_Exhibits'!B1295:B1299),"")</f>
        <v/>
      </c>
      <c r="C1299" s="3">
        <f>IF(ISNUMBER(AVERAGE('20250815_ETF_Options_Exhibits'!C1295:C1299)),AVERAGE('20250815_ETF_Options_Exhibits'!C1295:C1299),"")</f>
        <v/>
      </c>
      <c r="D1299" s="3">
        <f>IF(ISNUMBER(AVERAGE('20250815_ETF_Options_Exhibits'!D1295:D1299)),AVERAGE('20250815_ETF_Options_Exhibits'!D1295:D1299),"")</f>
        <v/>
      </c>
      <c r="E1299" s="3">
        <f>IF(ISNUMBER(AVERAGE('20250815_ETF_Options_Exhibits'!E1295:E1299)),AVERAGE('20250815_ETF_Options_Exhibits'!E1295:E1299),"")</f>
        <v/>
      </c>
      <c r="F1299" s="3">
        <f>IF(ISNUMBER(AVERAGE('20250815_ETF_Options_Exhibits'!F1295:F1299)),AVERAGE('20250815_ETF_Options_Exhibits'!F1295:F1299),"")</f>
        <v/>
      </c>
      <c r="G1299" s="3">
        <f>IF(ISNUMBER(AVERAGE('20250815_ETF_Options_Exhibits'!G1295:G1299)),AVERAGE('20250815_ETF_Options_Exhibits'!G1295:G1299),"")</f>
        <v/>
      </c>
      <c r="H1299" s="3">
        <f>IF(ISNUMBER(AVERAGE('20250815_ETF_Options_Exhibits'!H1295:H1299)),AVERAGE('20250815_ETF_Options_Exhibits'!H1295:H1299),"")</f>
        <v/>
      </c>
      <c r="I1299" s="3">
        <f>IF(ISNUMBER(AVERAGE('20250815_ETF_Options_Exhibits'!I1295:I1299)),AVERAGE('20250815_ETF_Options_Exhibits'!I1295:I1299),"")</f>
        <v/>
      </c>
      <c r="J1299" s="3">
        <f>IF(ISNUMBER(AVERAGE('20250815_ETF_Options_Exhibits'!J1295:J1299)),AVERAGE('20250815_ETF_Options_Exhibits'!J1295:J1299),"")</f>
        <v/>
      </c>
      <c r="K1299" s="3">
        <f>IF(ISNUMBER(AVERAGE('20250815_ETF_Options_Exhibits'!K1295:K1299)),AVERAGE('20250815_ETF_Options_Exhibits'!K1295:K1299),"")</f>
        <v/>
      </c>
      <c r="L1299" s="3">
        <f>IF(ISNUMBER(AVERAGE('20250815_ETF_Options_Exhibits'!L1295:L1299)),AVERAGE('20250815_ETF_Options_Exhibits'!L1295:L1299),"")</f>
        <v/>
      </c>
      <c r="M1299" s="3">
        <f>IF(ISNUMBER(AVERAGE('20250815_ETF_Options_Exhibits'!M1295:M1299)),AVERAGE('20250815_ETF_Options_Exhibits'!M1295:M1299),"")</f>
        <v/>
      </c>
      <c r="N1299" s="3">
        <f>IF(ISNUMBER(AVERAGE('20250815_ETF_Options_Exhibits'!N1295:N1299)),AVERAGE('20250815_ETF_Options_Exhibits'!N1295:N1299),"")</f>
        <v/>
      </c>
      <c r="O1299" s="3">
        <f>IF(ISNUMBER(AVERAGE('20250815_ETF_Options_Exhibits'!O1295:O1299)),AVERAGE('20250815_ETF_Options_Exhibits'!O1295:O1299),"")</f>
        <v/>
      </c>
      <c r="P1299" s="3">
        <f>IF(ISNUMBER(AVERAGE('20250815_ETF_Options_Exhibits'!P1295:P1299)),AVERAGE('20250815_ETF_Options_Exhibits'!P1295:P1299),"")</f>
        <v/>
      </c>
      <c r="Q1299" s="3">
        <f>IF(ISNUMBER(AVERAGE('20250815_ETF_Options_Exhibits'!Q1295:Q1299)),AVERAGE('20250815_ETF_Options_Exhibits'!Q1295:Q1299),"")</f>
        <v/>
      </c>
      <c r="R1299" s="3">
        <f>IF(ISNUMBER(AVERAGE('20250815_ETF_Options_Exhibits'!R1295:R1299)),AVERAGE('20250815_ETF_Options_Exhibits'!R1295:R1299),"")</f>
        <v/>
      </c>
      <c r="S1299" s="3">
        <f>IF(ISNUMBER(AVERAGE('20250815_ETF_Options_Exhibits'!S1295:S1299)),AVERAGE('20250815_ETF_Options_Exhibits'!S1295:S1299),"")</f>
        <v/>
      </c>
      <c r="T1299" s="3">
        <f>IF(ISNUMBER(AVERAGE('20250815_ETF_Options_Exhibits'!T1295:T1299)),AVERAGE('20250815_ETF_Options_Exhibits'!T1295:T1299),"")</f>
        <v/>
      </c>
      <c r="U1299" s="3">
        <f>IF(ISNUMBER(AVERAGE('20250815_ETF_Options_Exhibits'!U1295:U1299)),AVERAGE('20250815_ETF_Options_Exhibits'!U1295:U1299),"")</f>
        <v/>
      </c>
      <c r="V1299" s="3">
        <f>IF(ISNUMBER(AVERAGE('20250815_ETF_Options_Exhibits'!V1295:V1299)),AVERAGE('20250815_ETF_Options_Exhibits'!V1295:V1299),"")</f>
        <v/>
      </c>
      <c r="W1299" s="3">
        <f>IF(ISNUMBER(AVERAGE('20250815_ETF_Options_Exhibits'!W1295:W1299)),AVERAGE('20250815_ETF_Options_Exhibits'!W1295:W1299),"")</f>
        <v/>
      </c>
      <c r="X1299" s="3">
        <f>IF(ISNUMBER(AVERAGE('20250815_ETF_Options_Exhibits'!X1295:X1299)),AVERAGE('20250815_ETF_Options_Exhibits'!X1295:X1299),"")</f>
        <v/>
      </c>
      <c r="Y1299" s="3">
        <f>IF(ISNUMBER(AVERAGE('20250815_ETF_Options_Exhibits'!Y1295:Y1299)),AVERAGE('20250815_ETF_Options_Exhibits'!Y1295:Y1299),"")</f>
        <v/>
      </c>
      <c r="Z1299" s="3">
        <f>IF(ISNUMBER(AVERAGE('20250815_ETF_Options_Exhibits'!Z1295:Z1299)),AVERAGE('20250815_ETF_Options_Exhibits'!Z1295:Z1299),"")</f>
        <v/>
      </c>
      <c r="AA1299" s="3">
        <f>IF(ISNUMBER(AVERAGE('20250815_ETF_Options_Exhibits'!AA1295:AA1299)),AVERAGE('20250815_ETF_Options_Exhibits'!AA1295:AA1299),"")</f>
        <v/>
      </c>
    </row>
    <row r="1300">
      <c r="A1300" s="1" t="n">
        <v>43889</v>
      </c>
      <c r="B1300" s="3">
        <f>IF(ISNUMBER(AVERAGE('20250815_ETF_Options_Exhibits'!B1296:B1300)),AVERAGE('20250815_ETF_Options_Exhibits'!B1296:B1300),"")</f>
        <v/>
      </c>
      <c r="C1300" s="3">
        <f>IF(ISNUMBER(AVERAGE('20250815_ETF_Options_Exhibits'!C1296:C1300)),AVERAGE('20250815_ETF_Options_Exhibits'!C1296:C1300),"")</f>
        <v/>
      </c>
      <c r="D1300" s="3">
        <f>IF(ISNUMBER(AVERAGE('20250815_ETF_Options_Exhibits'!D1296:D1300)),AVERAGE('20250815_ETF_Options_Exhibits'!D1296:D1300),"")</f>
        <v/>
      </c>
      <c r="E1300" s="3">
        <f>IF(ISNUMBER(AVERAGE('20250815_ETF_Options_Exhibits'!E1296:E1300)),AVERAGE('20250815_ETF_Options_Exhibits'!E1296:E1300),"")</f>
        <v/>
      </c>
      <c r="F1300" s="3">
        <f>IF(ISNUMBER(AVERAGE('20250815_ETF_Options_Exhibits'!F1296:F1300)),AVERAGE('20250815_ETF_Options_Exhibits'!F1296:F1300),"")</f>
        <v/>
      </c>
      <c r="G1300" s="3">
        <f>IF(ISNUMBER(AVERAGE('20250815_ETF_Options_Exhibits'!G1296:G1300)),AVERAGE('20250815_ETF_Options_Exhibits'!G1296:G1300),"")</f>
        <v/>
      </c>
      <c r="H1300" s="3">
        <f>IF(ISNUMBER(AVERAGE('20250815_ETF_Options_Exhibits'!H1296:H1300)),AVERAGE('20250815_ETF_Options_Exhibits'!H1296:H1300),"")</f>
        <v/>
      </c>
      <c r="I1300" s="3">
        <f>IF(ISNUMBER(AVERAGE('20250815_ETF_Options_Exhibits'!I1296:I1300)),AVERAGE('20250815_ETF_Options_Exhibits'!I1296:I1300),"")</f>
        <v/>
      </c>
      <c r="J1300" s="3">
        <f>IF(ISNUMBER(AVERAGE('20250815_ETF_Options_Exhibits'!J1296:J1300)),AVERAGE('20250815_ETF_Options_Exhibits'!J1296:J1300),"")</f>
        <v/>
      </c>
      <c r="K1300" s="3">
        <f>IF(ISNUMBER(AVERAGE('20250815_ETF_Options_Exhibits'!K1296:K1300)),AVERAGE('20250815_ETF_Options_Exhibits'!K1296:K1300),"")</f>
        <v/>
      </c>
      <c r="L1300" s="3">
        <f>IF(ISNUMBER(AVERAGE('20250815_ETF_Options_Exhibits'!L1296:L1300)),AVERAGE('20250815_ETF_Options_Exhibits'!L1296:L1300),"")</f>
        <v/>
      </c>
      <c r="M1300" s="3">
        <f>IF(ISNUMBER(AVERAGE('20250815_ETF_Options_Exhibits'!M1296:M1300)),AVERAGE('20250815_ETF_Options_Exhibits'!M1296:M1300),"")</f>
        <v/>
      </c>
      <c r="N1300" s="3">
        <f>IF(ISNUMBER(AVERAGE('20250815_ETF_Options_Exhibits'!N1296:N1300)),AVERAGE('20250815_ETF_Options_Exhibits'!N1296:N1300),"")</f>
        <v/>
      </c>
      <c r="O1300" s="3">
        <f>IF(ISNUMBER(AVERAGE('20250815_ETF_Options_Exhibits'!O1296:O1300)),AVERAGE('20250815_ETF_Options_Exhibits'!O1296:O1300),"")</f>
        <v/>
      </c>
      <c r="P1300" s="3">
        <f>IF(ISNUMBER(AVERAGE('20250815_ETF_Options_Exhibits'!P1296:P1300)),AVERAGE('20250815_ETF_Options_Exhibits'!P1296:P1300),"")</f>
        <v/>
      </c>
      <c r="Q1300" s="3">
        <f>IF(ISNUMBER(AVERAGE('20250815_ETF_Options_Exhibits'!Q1296:Q1300)),AVERAGE('20250815_ETF_Options_Exhibits'!Q1296:Q1300),"")</f>
        <v/>
      </c>
      <c r="R1300" s="3">
        <f>IF(ISNUMBER(AVERAGE('20250815_ETF_Options_Exhibits'!R1296:R1300)),AVERAGE('20250815_ETF_Options_Exhibits'!R1296:R1300),"")</f>
        <v/>
      </c>
      <c r="S1300" s="3">
        <f>IF(ISNUMBER(AVERAGE('20250815_ETF_Options_Exhibits'!S1296:S1300)),AVERAGE('20250815_ETF_Options_Exhibits'!S1296:S1300),"")</f>
        <v/>
      </c>
      <c r="T1300" s="3">
        <f>IF(ISNUMBER(AVERAGE('20250815_ETF_Options_Exhibits'!T1296:T1300)),AVERAGE('20250815_ETF_Options_Exhibits'!T1296:T1300),"")</f>
        <v/>
      </c>
      <c r="U1300" s="3">
        <f>IF(ISNUMBER(AVERAGE('20250815_ETF_Options_Exhibits'!U1296:U1300)),AVERAGE('20250815_ETF_Options_Exhibits'!U1296:U1300),"")</f>
        <v/>
      </c>
      <c r="V1300" s="3">
        <f>IF(ISNUMBER(AVERAGE('20250815_ETF_Options_Exhibits'!V1296:V1300)),AVERAGE('20250815_ETF_Options_Exhibits'!V1296:V1300),"")</f>
        <v/>
      </c>
      <c r="W1300" s="3">
        <f>IF(ISNUMBER(AVERAGE('20250815_ETF_Options_Exhibits'!W1296:W1300)),AVERAGE('20250815_ETF_Options_Exhibits'!W1296:W1300),"")</f>
        <v/>
      </c>
      <c r="X1300" s="3">
        <f>IF(ISNUMBER(AVERAGE('20250815_ETF_Options_Exhibits'!X1296:X1300)),AVERAGE('20250815_ETF_Options_Exhibits'!X1296:X1300),"")</f>
        <v/>
      </c>
      <c r="Y1300" s="3">
        <f>IF(ISNUMBER(AVERAGE('20250815_ETF_Options_Exhibits'!Y1296:Y1300)),AVERAGE('20250815_ETF_Options_Exhibits'!Y1296:Y1300),"")</f>
        <v/>
      </c>
      <c r="Z1300" s="3">
        <f>IF(ISNUMBER(AVERAGE('20250815_ETF_Options_Exhibits'!Z1296:Z1300)),AVERAGE('20250815_ETF_Options_Exhibits'!Z1296:Z1300),"")</f>
        <v/>
      </c>
      <c r="AA1300" s="3">
        <f>IF(ISNUMBER(AVERAGE('20250815_ETF_Options_Exhibits'!AA1296:AA1300)),AVERAGE('20250815_ETF_Options_Exhibits'!AA1296:AA1300),"")</f>
        <v/>
      </c>
    </row>
    <row r="1301">
      <c r="A1301" s="1" t="n">
        <v>43892</v>
      </c>
      <c r="B1301" s="3">
        <f>IF(ISNUMBER(AVERAGE('20250815_ETF_Options_Exhibits'!B1297:B1301)),AVERAGE('20250815_ETF_Options_Exhibits'!B1297:B1301),"")</f>
        <v/>
      </c>
      <c r="C1301" s="3">
        <f>IF(ISNUMBER(AVERAGE('20250815_ETF_Options_Exhibits'!C1297:C1301)),AVERAGE('20250815_ETF_Options_Exhibits'!C1297:C1301),"")</f>
        <v/>
      </c>
      <c r="D1301" s="3">
        <f>IF(ISNUMBER(AVERAGE('20250815_ETF_Options_Exhibits'!D1297:D1301)),AVERAGE('20250815_ETF_Options_Exhibits'!D1297:D1301),"")</f>
        <v/>
      </c>
      <c r="E1301" s="3">
        <f>IF(ISNUMBER(AVERAGE('20250815_ETF_Options_Exhibits'!E1297:E1301)),AVERAGE('20250815_ETF_Options_Exhibits'!E1297:E1301),"")</f>
        <v/>
      </c>
      <c r="F1301" s="3">
        <f>IF(ISNUMBER(AVERAGE('20250815_ETF_Options_Exhibits'!F1297:F1301)),AVERAGE('20250815_ETF_Options_Exhibits'!F1297:F1301),"")</f>
        <v/>
      </c>
      <c r="G1301" s="3">
        <f>IF(ISNUMBER(AVERAGE('20250815_ETF_Options_Exhibits'!G1297:G1301)),AVERAGE('20250815_ETF_Options_Exhibits'!G1297:G1301),"")</f>
        <v/>
      </c>
      <c r="H1301" s="3">
        <f>IF(ISNUMBER(AVERAGE('20250815_ETF_Options_Exhibits'!H1297:H1301)),AVERAGE('20250815_ETF_Options_Exhibits'!H1297:H1301),"")</f>
        <v/>
      </c>
      <c r="I1301" s="3">
        <f>IF(ISNUMBER(AVERAGE('20250815_ETF_Options_Exhibits'!I1297:I1301)),AVERAGE('20250815_ETF_Options_Exhibits'!I1297:I1301),"")</f>
        <v/>
      </c>
      <c r="J1301" s="3">
        <f>IF(ISNUMBER(AVERAGE('20250815_ETF_Options_Exhibits'!J1297:J1301)),AVERAGE('20250815_ETF_Options_Exhibits'!J1297:J1301),"")</f>
        <v/>
      </c>
      <c r="K1301" s="3">
        <f>IF(ISNUMBER(AVERAGE('20250815_ETF_Options_Exhibits'!K1297:K1301)),AVERAGE('20250815_ETF_Options_Exhibits'!K1297:K1301),"")</f>
        <v/>
      </c>
      <c r="L1301" s="3">
        <f>IF(ISNUMBER(AVERAGE('20250815_ETF_Options_Exhibits'!L1297:L1301)),AVERAGE('20250815_ETF_Options_Exhibits'!L1297:L1301),"")</f>
        <v/>
      </c>
      <c r="M1301" s="3">
        <f>IF(ISNUMBER(AVERAGE('20250815_ETF_Options_Exhibits'!M1297:M1301)),AVERAGE('20250815_ETF_Options_Exhibits'!M1297:M1301),"")</f>
        <v/>
      </c>
      <c r="N1301" s="3">
        <f>IF(ISNUMBER(AVERAGE('20250815_ETF_Options_Exhibits'!N1297:N1301)),AVERAGE('20250815_ETF_Options_Exhibits'!N1297:N1301),"")</f>
        <v/>
      </c>
      <c r="O1301" s="3">
        <f>IF(ISNUMBER(AVERAGE('20250815_ETF_Options_Exhibits'!O1297:O1301)),AVERAGE('20250815_ETF_Options_Exhibits'!O1297:O1301),"")</f>
        <v/>
      </c>
      <c r="P1301" s="3">
        <f>IF(ISNUMBER(AVERAGE('20250815_ETF_Options_Exhibits'!P1297:P1301)),AVERAGE('20250815_ETF_Options_Exhibits'!P1297:P1301),"")</f>
        <v/>
      </c>
      <c r="Q1301" s="3">
        <f>IF(ISNUMBER(AVERAGE('20250815_ETF_Options_Exhibits'!Q1297:Q1301)),AVERAGE('20250815_ETF_Options_Exhibits'!Q1297:Q1301),"")</f>
        <v/>
      </c>
      <c r="R1301" s="3">
        <f>IF(ISNUMBER(AVERAGE('20250815_ETF_Options_Exhibits'!R1297:R1301)),AVERAGE('20250815_ETF_Options_Exhibits'!R1297:R1301),"")</f>
        <v/>
      </c>
      <c r="S1301" s="3">
        <f>IF(ISNUMBER(AVERAGE('20250815_ETF_Options_Exhibits'!S1297:S1301)),AVERAGE('20250815_ETF_Options_Exhibits'!S1297:S1301),"")</f>
        <v/>
      </c>
      <c r="T1301" s="3">
        <f>IF(ISNUMBER(AVERAGE('20250815_ETF_Options_Exhibits'!T1297:T1301)),AVERAGE('20250815_ETF_Options_Exhibits'!T1297:T1301),"")</f>
        <v/>
      </c>
      <c r="U1301" s="3">
        <f>IF(ISNUMBER(AVERAGE('20250815_ETF_Options_Exhibits'!U1297:U1301)),AVERAGE('20250815_ETF_Options_Exhibits'!U1297:U1301),"")</f>
        <v/>
      </c>
      <c r="V1301" s="3">
        <f>IF(ISNUMBER(AVERAGE('20250815_ETF_Options_Exhibits'!V1297:V1301)),AVERAGE('20250815_ETF_Options_Exhibits'!V1297:V1301),"")</f>
        <v/>
      </c>
      <c r="W1301" s="3">
        <f>IF(ISNUMBER(AVERAGE('20250815_ETF_Options_Exhibits'!W1297:W1301)),AVERAGE('20250815_ETF_Options_Exhibits'!W1297:W1301),"")</f>
        <v/>
      </c>
      <c r="X1301" s="3">
        <f>IF(ISNUMBER(AVERAGE('20250815_ETF_Options_Exhibits'!X1297:X1301)),AVERAGE('20250815_ETF_Options_Exhibits'!X1297:X1301),"")</f>
        <v/>
      </c>
      <c r="Y1301" s="3">
        <f>IF(ISNUMBER(AVERAGE('20250815_ETF_Options_Exhibits'!Y1297:Y1301)),AVERAGE('20250815_ETF_Options_Exhibits'!Y1297:Y1301),"")</f>
        <v/>
      </c>
      <c r="Z1301" s="3">
        <f>IF(ISNUMBER(AVERAGE('20250815_ETF_Options_Exhibits'!Z1297:Z1301)),AVERAGE('20250815_ETF_Options_Exhibits'!Z1297:Z1301),"")</f>
        <v/>
      </c>
      <c r="AA1301" s="3">
        <f>IF(ISNUMBER(AVERAGE('20250815_ETF_Options_Exhibits'!AA1297:AA1301)),AVERAGE('20250815_ETF_Options_Exhibits'!AA1297:AA1301),"")</f>
        <v/>
      </c>
    </row>
    <row r="1302">
      <c r="A1302" s="1" t="n">
        <v>43893</v>
      </c>
      <c r="B1302" s="3">
        <f>IF(ISNUMBER(AVERAGE('20250815_ETF_Options_Exhibits'!B1298:B1302)),AVERAGE('20250815_ETF_Options_Exhibits'!B1298:B1302),"")</f>
        <v/>
      </c>
      <c r="C1302" s="3">
        <f>IF(ISNUMBER(AVERAGE('20250815_ETF_Options_Exhibits'!C1298:C1302)),AVERAGE('20250815_ETF_Options_Exhibits'!C1298:C1302),"")</f>
        <v/>
      </c>
      <c r="D1302" s="3">
        <f>IF(ISNUMBER(AVERAGE('20250815_ETF_Options_Exhibits'!D1298:D1302)),AVERAGE('20250815_ETF_Options_Exhibits'!D1298:D1302),"")</f>
        <v/>
      </c>
      <c r="E1302" s="3">
        <f>IF(ISNUMBER(AVERAGE('20250815_ETF_Options_Exhibits'!E1298:E1302)),AVERAGE('20250815_ETF_Options_Exhibits'!E1298:E1302),"")</f>
        <v/>
      </c>
      <c r="F1302" s="3">
        <f>IF(ISNUMBER(AVERAGE('20250815_ETF_Options_Exhibits'!F1298:F1302)),AVERAGE('20250815_ETF_Options_Exhibits'!F1298:F1302),"")</f>
        <v/>
      </c>
      <c r="G1302" s="3">
        <f>IF(ISNUMBER(AVERAGE('20250815_ETF_Options_Exhibits'!G1298:G1302)),AVERAGE('20250815_ETF_Options_Exhibits'!G1298:G1302),"")</f>
        <v/>
      </c>
      <c r="H1302" s="3">
        <f>IF(ISNUMBER(AVERAGE('20250815_ETF_Options_Exhibits'!H1298:H1302)),AVERAGE('20250815_ETF_Options_Exhibits'!H1298:H1302),"")</f>
        <v/>
      </c>
      <c r="I1302" s="3">
        <f>IF(ISNUMBER(AVERAGE('20250815_ETF_Options_Exhibits'!I1298:I1302)),AVERAGE('20250815_ETF_Options_Exhibits'!I1298:I1302),"")</f>
        <v/>
      </c>
      <c r="J1302" s="3">
        <f>IF(ISNUMBER(AVERAGE('20250815_ETF_Options_Exhibits'!J1298:J1302)),AVERAGE('20250815_ETF_Options_Exhibits'!J1298:J1302),"")</f>
        <v/>
      </c>
      <c r="K1302" s="3">
        <f>IF(ISNUMBER(AVERAGE('20250815_ETF_Options_Exhibits'!K1298:K1302)),AVERAGE('20250815_ETF_Options_Exhibits'!K1298:K1302),"")</f>
        <v/>
      </c>
      <c r="L1302" s="3">
        <f>IF(ISNUMBER(AVERAGE('20250815_ETF_Options_Exhibits'!L1298:L1302)),AVERAGE('20250815_ETF_Options_Exhibits'!L1298:L1302),"")</f>
        <v/>
      </c>
      <c r="M1302" s="3">
        <f>IF(ISNUMBER(AVERAGE('20250815_ETF_Options_Exhibits'!M1298:M1302)),AVERAGE('20250815_ETF_Options_Exhibits'!M1298:M1302),"")</f>
        <v/>
      </c>
      <c r="N1302" s="3">
        <f>IF(ISNUMBER(AVERAGE('20250815_ETF_Options_Exhibits'!N1298:N1302)),AVERAGE('20250815_ETF_Options_Exhibits'!N1298:N1302),"")</f>
        <v/>
      </c>
      <c r="O1302" s="3">
        <f>IF(ISNUMBER(AVERAGE('20250815_ETF_Options_Exhibits'!O1298:O1302)),AVERAGE('20250815_ETF_Options_Exhibits'!O1298:O1302),"")</f>
        <v/>
      </c>
      <c r="P1302" s="3">
        <f>IF(ISNUMBER(AVERAGE('20250815_ETF_Options_Exhibits'!P1298:P1302)),AVERAGE('20250815_ETF_Options_Exhibits'!P1298:P1302),"")</f>
        <v/>
      </c>
      <c r="Q1302" s="3">
        <f>IF(ISNUMBER(AVERAGE('20250815_ETF_Options_Exhibits'!Q1298:Q1302)),AVERAGE('20250815_ETF_Options_Exhibits'!Q1298:Q1302),"")</f>
        <v/>
      </c>
      <c r="R1302" s="3">
        <f>IF(ISNUMBER(AVERAGE('20250815_ETF_Options_Exhibits'!R1298:R1302)),AVERAGE('20250815_ETF_Options_Exhibits'!R1298:R1302),"")</f>
        <v/>
      </c>
      <c r="S1302" s="3">
        <f>IF(ISNUMBER(AVERAGE('20250815_ETF_Options_Exhibits'!S1298:S1302)),AVERAGE('20250815_ETF_Options_Exhibits'!S1298:S1302),"")</f>
        <v/>
      </c>
      <c r="T1302" s="3">
        <f>IF(ISNUMBER(AVERAGE('20250815_ETF_Options_Exhibits'!T1298:T1302)),AVERAGE('20250815_ETF_Options_Exhibits'!T1298:T1302),"")</f>
        <v/>
      </c>
      <c r="U1302" s="3">
        <f>IF(ISNUMBER(AVERAGE('20250815_ETF_Options_Exhibits'!U1298:U1302)),AVERAGE('20250815_ETF_Options_Exhibits'!U1298:U1302),"")</f>
        <v/>
      </c>
      <c r="V1302" s="3">
        <f>IF(ISNUMBER(AVERAGE('20250815_ETF_Options_Exhibits'!V1298:V1302)),AVERAGE('20250815_ETF_Options_Exhibits'!V1298:V1302),"")</f>
        <v/>
      </c>
      <c r="W1302" s="3">
        <f>IF(ISNUMBER(AVERAGE('20250815_ETF_Options_Exhibits'!W1298:W1302)),AVERAGE('20250815_ETF_Options_Exhibits'!W1298:W1302),"")</f>
        <v/>
      </c>
      <c r="X1302" s="3">
        <f>IF(ISNUMBER(AVERAGE('20250815_ETF_Options_Exhibits'!X1298:X1302)),AVERAGE('20250815_ETF_Options_Exhibits'!X1298:X1302),"")</f>
        <v/>
      </c>
      <c r="Y1302" s="3">
        <f>IF(ISNUMBER(AVERAGE('20250815_ETF_Options_Exhibits'!Y1298:Y1302)),AVERAGE('20250815_ETF_Options_Exhibits'!Y1298:Y1302),"")</f>
        <v/>
      </c>
      <c r="Z1302" s="3">
        <f>IF(ISNUMBER(AVERAGE('20250815_ETF_Options_Exhibits'!Z1298:Z1302)),AVERAGE('20250815_ETF_Options_Exhibits'!Z1298:Z1302),"")</f>
        <v/>
      </c>
      <c r="AA1302" s="3">
        <f>IF(ISNUMBER(AVERAGE('20250815_ETF_Options_Exhibits'!AA1298:AA1302)),AVERAGE('20250815_ETF_Options_Exhibits'!AA1298:AA1302),"")</f>
        <v/>
      </c>
    </row>
    <row r="1303">
      <c r="A1303" s="1" t="n">
        <v>43894</v>
      </c>
      <c r="B1303" s="3">
        <f>IF(ISNUMBER(AVERAGE('20250815_ETF_Options_Exhibits'!B1299:B1303)),AVERAGE('20250815_ETF_Options_Exhibits'!B1299:B1303),"")</f>
        <v/>
      </c>
      <c r="C1303" s="3">
        <f>IF(ISNUMBER(AVERAGE('20250815_ETF_Options_Exhibits'!C1299:C1303)),AVERAGE('20250815_ETF_Options_Exhibits'!C1299:C1303),"")</f>
        <v/>
      </c>
      <c r="D1303" s="3">
        <f>IF(ISNUMBER(AVERAGE('20250815_ETF_Options_Exhibits'!D1299:D1303)),AVERAGE('20250815_ETF_Options_Exhibits'!D1299:D1303),"")</f>
        <v/>
      </c>
      <c r="E1303" s="3">
        <f>IF(ISNUMBER(AVERAGE('20250815_ETF_Options_Exhibits'!E1299:E1303)),AVERAGE('20250815_ETF_Options_Exhibits'!E1299:E1303),"")</f>
        <v/>
      </c>
      <c r="F1303" s="3">
        <f>IF(ISNUMBER(AVERAGE('20250815_ETF_Options_Exhibits'!F1299:F1303)),AVERAGE('20250815_ETF_Options_Exhibits'!F1299:F1303),"")</f>
        <v/>
      </c>
      <c r="G1303" s="3">
        <f>IF(ISNUMBER(AVERAGE('20250815_ETF_Options_Exhibits'!G1299:G1303)),AVERAGE('20250815_ETF_Options_Exhibits'!G1299:G1303),"")</f>
        <v/>
      </c>
      <c r="H1303" s="3">
        <f>IF(ISNUMBER(AVERAGE('20250815_ETF_Options_Exhibits'!H1299:H1303)),AVERAGE('20250815_ETF_Options_Exhibits'!H1299:H1303),"")</f>
        <v/>
      </c>
      <c r="I1303" s="3">
        <f>IF(ISNUMBER(AVERAGE('20250815_ETF_Options_Exhibits'!I1299:I1303)),AVERAGE('20250815_ETF_Options_Exhibits'!I1299:I1303),"")</f>
        <v/>
      </c>
      <c r="J1303" s="3">
        <f>IF(ISNUMBER(AVERAGE('20250815_ETF_Options_Exhibits'!J1299:J1303)),AVERAGE('20250815_ETF_Options_Exhibits'!J1299:J1303),"")</f>
        <v/>
      </c>
      <c r="K1303" s="3">
        <f>IF(ISNUMBER(AVERAGE('20250815_ETF_Options_Exhibits'!K1299:K1303)),AVERAGE('20250815_ETF_Options_Exhibits'!K1299:K1303),"")</f>
        <v/>
      </c>
      <c r="L1303" s="3">
        <f>IF(ISNUMBER(AVERAGE('20250815_ETF_Options_Exhibits'!L1299:L1303)),AVERAGE('20250815_ETF_Options_Exhibits'!L1299:L1303),"")</f>
        <v/>
      </c>
      <c r="M1303" s="3">
        <f>IF(ISNUMBER(AVERAGE('20250815_ETF_Options_Exhibits'!M1299:M1303)),AVERAGE('20250815_ETF_Options_Exhibits'!M1299:M1303),"")</f>
        <v/>
      </c>
      <c r="N1303" s="3">
        <f>IF(ISNUMBER(AVERAGE('20250815_ETF_Options_Exhibits'!N1299:N1303)),AVERAGE('20250815_ETF_Options_Exhibits'!N1299:N1303),"")</f>
        <v/>
      </c>
      <c r="O1303" s="3">
        <f>IF(ISNUMBER(AVERAGE('20250815_ETF_Options_Exhibits'!O1299:O1303)),AVERAGE('20250815_ETF_Options_Exhibits'!O1299:O1303),"")</f>
        <v/>
      </c>
      <c r="P1303" s="3">
        <f>IF(ISNUMBER(AVERAGE('20250815_ETF_Options_Exhibits'!P1299:P1303)),AVERAGE('20250815_ETF_Options_Exhibits'!P1299:P1303),"")</f>
        <v/>
      </c>
      <c r="Q1303" s="3">
        <f>IF(ISNUMBER(AVERAGE('20250815_ETF_Options_Exhibits'!Q1299:Q1303)),AVERAGE('20250815_ETF_Options_Exhibits'!Q1299:Q1303),"")</f>
        <v/>
      </c>
      <c r="R1303" s="3">
        <f>IF(ISNUMBER(AVERAGE('20250815_ETF_Options_Exhibits'!R1299:R1303)),AVERAGE('20250815_ETF_Options_Exhibits'!R1299:R1303),"")</f>
        <v/>
      </c>
      <c r="S1303" s="3">
        <f>IF(ISNUMBER(AVERAGE('20250815_ETF_Options_Exhibits'!S1299:S1303)),AVERAGE('20250815_ETF_Options_Exhibits'!S1299:S1303),"")</f>
        <v/>
      </c>
      <c r="T1303" s="3">
        <f>IF(ISNUMBER(AVERAGE('20250815_ETF_Options_Exhibits'!T1299:T1303)),AVERAGE('20250815_ETF_Options_Exhibits'!T1299:T1303),"")</f>
        <v/>
      </c>
      <c r="U1303" s="3">
        <f>IF(ISNUMBER(AVERAGE('20250815_ETF_Options_Exhibits'!U1299:U1303)),AVERAGE('20250815_ETF_Options_Exhibits'!U1299:U1303),"")</f>
        <v/>
      </c>
      <c r="V1303" s="3">
        <f>IF(ISNUMBER(AVERAGE('20250815_ETF_Options_Exhibits'!V1299:V1303)),AVERAGE('20250815_ETF_Options_Exhibits'!V1299:V1303),"")</f>
        <v/>
      </c>
      <c r="W1303" s="3">
        <f>IF(ISNUMBER(AVERAGE('20250815_ETF_Options_Exhibits'!W1299:W1303)),AVERAGE('20250815_ETF_Options_Exhibits'!W1299:W1303),"")</f>
        <v/>
      </c>
      <c r="X1303" s="3">
        <f>IF(ISNUMBER(AVERAGE('20250815_ETF_Options_Exhibits'!X1299:X1303)),AVERAGE('20250815_ETF_Options_Exhibits'!X1299:X1303),"")</f>
        <v/>
      </c>
      <c r="Y1303" s="3">
        <f>IF(ISNUMBER(AVERAGE('20250815_ETF_Options_Exhibits'!Y1299:Y1303)),AVERAGE('20250815_ETF_Options_Exhibits'!Y1299:Y1303),"")</f>
        <v/>
      </c>
      <c r="Z1303" s="3">
        <f>IF(ISNUMBER(AVERAGE('20250815_ETF_Options_Exhibits'!Z1299:Z1303)),AVERAGE('20250815_ETF_Options_Exhibits'!Z1299:Z1303),"")</f>
        <v/>
      </c>
      <c r="AA1303" s="3">
        <f>IF(ISNUMBER(AVERAGE('20250815_ETF_Options_Exhibits'!AA1299:AA1303)),AVERAGE('20250815_ETF_Options_Exhibits'!AA1299:AA1303),"")</f>
        <v/>
      </c>
    </row>
    <row r="1304">
      <c r="A1304" s="1" t="n">
        <v>43895</v>
      </c>
      <c r="B1304" s="3">
        <f>IF(ISNUMBER(AVERAGE('20250815_ETF_Options_Exhibits'!B1300:B1304)),AVERAGE('20250815_ETF_Options_Exhibits'!B1300:B1304),"")</f>
        <v/>
      </c>
      <c r="C1304" s="3">
        <f>IF(ISNUMBER(AVERAGE('20250815_ETF_Options_Exhibits'!C1300:C1304)),AVERAGE('20250815_ETF_Options_Exhibits'!C1300:C1304),"")</f>
        <v/>
      </c>
      <c r="D1304" s="3">
        <f>IF(ISNUMBER(AVERAGE('20250815_ETF_Options_Exhibits'!D1300:D1304)),AVERAGE('20250815_ETF_Options_Exhibits'!D1300:D1304),"")</f>
        <v/>
      </c>
      <c r="E1304" s="3">
        <f>IF(ISNUMBER(AVERAGE('20250815_ETF_Options_Exhibits'!E1300:E1304)),AVERAGE('20250815_ETF_Options_Exhibits'!E1300:E1304),"")</f>
        <v/>
      </c>
      <c r="F1304" s="3">
        <f>IF(ISNUMBER(AVERAGE('20250815_ETF_Options_Exhibits'!F1300:F1304)),AVERAGE('20250815_ETF_Options_Exhibits'!F1300:F1304),"")</f>
        <v/>
      </c>
      <c r="G1304" s="3">
        <f>IF(ISNUMBER(AVERAGE('20250815_ETF_Options_Exhibits'!G1300:G1304)),AVERAGE('20250815_ETF_Options_Exhibits'!G1300:G1304),"")</f>
        <v/>
      </c>
      <c r="H1304" s="3">
        <f>IF(ISNUMBER(AVERAGE('20250815_ETF_Options_Exhibits'!H1300:H1304)),AVERAGE('20250815_ETF_Options_Exhibits'!H1300:H1304),"")</f>
        <v/>
      </c>
      <c r="I1304" s="3">
        <f>IF(ISNUMBER(AVERAGE('20250815_ETF_Options_Exhibits'!I1300:I1304)),AVERAGE('20250815_ETF_Options_Exhibits'!I1300:I1304),"")</f>
        <v/>
      </c>
      <c r="J1304" s="3">
        <f>IF(ISNUMBER(AVERAGE('20250815_ETF_Options_Exhibits'!J1300:J1304)),AVERAGE('20250815_ETF_Options_Exhibits'!J1300:J1304),"")</f>
        <v/>
      </c>
      <c r="K1304" s="3">
        <f>IF(ISNUMBER(AVERAGE('20250815_ETF_Options_Exhibits'!K1300:K1304)),AVERAGE('20250815_ETF_Options_Exhibits'!K1300:K1304),"")</f>
        <v/>
      </c>
      <c r="L1304" s="3">
        <f>IF(ISNUMBER(AVERAGE('20250815_ETF_Options_Exhibits'!L1300:L1304)),AVERAGE('20250815_ETF_Options_Exhibits'!L1300:L1304),"")</f>
        <v/>
      </c>
      <c r="M1304" s="3">
        <f>IF(ISNUMBER(AVERAGE('20250815_ETF_Options_Exhibits'!M1300:M1304)),AVERAGE('20250815_ETF_Options_Exhibits'!M1300:M1304),"")</f>
        <v/>
      </c>
      <c r="N1304" s="3">
        <f>IF(ISNUMBER(AVERAGE('20250815_ETF_Options_Exhibits'!N1300:N1304)),AVERAGE('20250815_ETF_Options_Exhibits'!N1300:N1304),"")</f>
        <v/>
      </c>
      <c r="O1304" s="3">
        <f>IF(ISNUMBER(AVERAGE('20250815_ETF_Options_Exhibits'!O1300:O1304)),AVERAGE('20250815_ETF_Options_Exhibits'!O1300:O1304),"")</f>
        <v/>
      </c>
      <c r="P1304" s="3">
        <f>IF(ISNUMBER(AVERAGE('20250815_ETF_Options_Exhibits'!P1300:P1304)),AVERAGE('20250815_ETF_Options_Exhibits'!P1300:P1304),"")</f>
        <v/>
      </c>
      <c r="Q1304" s="3">
        <f>IF(ISNUMBER(AVERAGE('20250815_ETF_Options_Exhibits'!Q1300:Q1304)),AVERAGE('20250815_ETF_Options_Exhibits'!Q1300:Q1304),"")</f>
        <v/>
      </c>
      <c r="R1304" s="3">
        <f>IF(ISNUMBER(AVERAGE('20250815_ETF_Options_Exhibits'!R1300:R1304)),AVERAGE('20250815_ETF_Options_Exhibits'!R1300:R1304),"")</f>
        <v/>
      </c>
      <c r="S1304" s="3">
        <f>IF(ISNUMBER(AVERAGE('20250815_ETF_Options_Exhibits'!S1300:S1304)),AVERAGE('20250815_ETF_Options_Exhibits'!S1300:S1304),"")</f>
        <v/>
      </c>
      <c r="T1304" s="3">
        <f>IF(ISNUMBER(AVERAGE('20250815_ETF_Options_Exhibits'!T1300:T1304)),AVERAGE('20250815_ETF_Options_Exhibits'!T1300:T1304),"")</f>
        <v/>
      </c>
      <c r="U1304" s="3">
        <f>IF(ISNUMBER(AVERAGE('20250815_ETF_Options_Exhibits'!U1300:U1304)),AVERAGE('20250815_ETF_Options_Exhibits'!U1300:U1304),"")</f>
        <v/>
      </c>
      <c r="V1304" s="3">
        <f>IF(ISNUMBER(AVERAGE('20250815_ETF_Options_Exhibits'!V1300:V1304)),AVERAGE('20250815_ETF_Options_Exhibits'!V1300:V1304),"")</f>
        <v/>
      </c>
      <c r="W1304" s="3">
        <f>IF(ISNUMBER(AVERAGE('20250815_ETF_Options_Exhibits'!W1300:W1304)),AVERAGE('20250815_ETF_Options_Exhibits'!W1300:W1304),"")</f>
        <v/>
      </c>
      <c r="X1304" s="3">
        <f>IF(ISNUMBER(AVERAGE('20250815_ETF_Options_Exhibits'!X1300:X1304)),AVERAGE('20250815_ETF_Options_Exhibits'!X1300:X1304),"")</f>
        <v/>
      </c>
      <c r="Y1304" s="3">
        <f>IF(ISNUMBER(AVERAGE('20250815_ETF_Options_Exhibits'!Y1300:Y1304)),AVERAGE('20250815_ETF_Options_Exhibits'!Y1300:Y1304),"")</f>
        <v/>
      </c>
      <c r="Z1304" s="3">
        <f>IF(ISNUMBER(AVERAGE('20250815_ETF_Options_Exhibits'!Z1300:Z1304)),AVERAGE('20250815_ETF_Options_Exhibits'!Z1300:Z1304),"")</f>
        <v/>
      </c>
      <c r="AA1304" s="3">
        <f>IF(ISNUMBER(AVERAGE('20250815_ETF_Options_Exhibits'!AA1300:AA1304)),AVERAGE('20250815_ETF_Options_Exhibits'!AA1300:AA1304),"")</f>
        <v/>
      </c>
    </row>
    <row r="1305">
      <c r="A1305" s="1" t="n">
        <v>43896</v>
      </c>
      <c r="B1305" s="3">
        <f>IF(ISNUMBER(AVERAGE('20250815_ETF_Options_Exhibits'!B1301:B1305)),AVERAGE('20250815_ETF_Options_Exhibits'!B1301:B1305),"")</f>
        <v/>
      </c>
      <c r="C1305" s="3">
        <f>IF(ISNUMBER(AVERAGE('20250815_ETF_Options_Exhibits'!C1301:C1305)),AVERAGE('20250815_ETF_Options_Exhibits'!C1301:C1305),"")</f>
        <v/>
      </c>
      <c r="D1305" s="3">
        <f>IF(ISNUMBER(AVERAGE('20250815_ETF_Options_Exhibits'!D1301:D1305)),AVERAGE('20250815_ETF_Options_Exhibits'!D1301:D1305),"")</f>
        <v/>
      </c>
      <c r="E1305" s="3">
        <f>IF(ISNUMBER(AVERAGE('20250815_ETF_Options_Exhibits'!E1301:E1305)),AVERAGE('20250815_ETF_Options_Exhibits'!E1301:E1305),"")</f>
        <v/>
      </c>
      <c r="F1305" s="3">
        <f>IF(ISNUMBER(AVERAGE('20250815_ETF_Options_Exhibits'!F1301:F1305)),AVERAGE('20250815_ETF_Options_Exhibits'!F1301:F1305),"")</f>
        <v/>
      </c>
      <c r="G1305" s="3">
        <f>IF(ISNUMBER(AVERAGE('20250815_ETF_Options_Exhibits'!G1301:G1305)),AVERAGE('20250815_ETF_Options_Exhibits'!G1301:G1305),"")</f>
        <v/>
      </c>
      <c r="H1305" s="3">
        <f>IF(ISNUMBER(AVERAGE('20250815_ETF_Options_Exhibits'!H1301:H1305)),AVERAGE('20250815_ETF_Options_Exhibits'!H1301:H1305),"")</f>
        <v/>
      </c>
      <c r="I1305" s="3">
        <f>IF(ISNUMBER(AVERAGE('20250815_ETF_Options_Exhibits'!I1301:I1305)),AVERAGE('20250815_ETF_Options_Exhibits'!I1301:I1305),"")</f>
        <v/>
      </c>
      <c r="J1305" s="3">
        <f>IF(ISNUMBER(AVERAGE('20250815_ETF_Options_Exhibits'!J1301:J1305)),AVERAGE('20250815_ETF_Options_Exhibits'!J1301:J1305),"")</f>
        <v/>
      </c>
      <c r="K1305" s="3">
        <f>IF(ISNUMBER(AVERAGE('20250815_ETF_Options_Exhibits'!K1301:K1305)),AVERAGE('20250815_ETF_Options_Exhibits'!K1301:K1305),"")</f>
        <v/>
      </c>
      <c r="L1305" s="3">
        <f>IF(ISNUMBER(AVERAGE('20250815_ETF_Options_Exhibits'!L1301:L1305)),AVERAGE('20250815_ETF_Options_Exhibits'!L1301:L1305),"")</f>
        <v/>
      </c>
      <c r="M1305" s="3">
        <f>IF(ISNUMBER(AVERAGE('20250815_ETF_Options_Exhibits'!M1301:M1305)),AVERAGE('20250815_ETF_Options_Exhibits'!M1301:M1305),"")</f>
        <v/>
      </c>
      <c r="N1305" s="3">
        <f>IF(ISNUMBER(AVERAGE('20250815_ETF_Options_Exhibits'!N1301:N1305)),AVERAGE('20250815_ETF_Options_Exhibits'!N1301:N1305),"")</f>
        <v/>
      </c>
      <c r="O1305" s="3">
        <f>IF(ISNUMBER(AVERAGE('20250815_ETF_Options_Exhibits'!O1301:O1305)),AVERAGE('20250815_ETF_Options_Exhibits'!O1301:O1305),"")</f>
        <v/>
      </c>
      <c r="P1305" s="3">
        <f>IF(ISNUMBER(AVERAGE('20250815_ETF_Options_Exhibits'!P1301:P1305)),AVERAGE('20250815_ETF_Options_Exhibits'!P1301:P1305),"")</f>
        <v/>
      </c>
      <c r="Q1305" s="3">
        <f>IF(ISNUMBER(AVERAGE('20250815_ETF_Options_Exhibits'!Q1301:Q1305)),AVERAGE('20250815_ETF_Options_Exhibits'!Q1301:Q1305),"")</f>
        <v/>
      </c>
      <c r="R1305" s="3">
        <f>IF(ISNUMBER(AVERAGE('20250815_ETF_Options_Exhibits'!R1301:R1305)),AVERAGE('20250815_ETF_Options_Exhibits'!R1301:R1305),"")</f>
        <v/>
      </c>
      <c r="S1305" s="3">
        <f>IF(ISNUMBER(AVERAGE('20250815_ETF_Options_Exhibits'!S1301:S1305)),AVERAGE('20250815_ETF_Options_Exhibits'!S1301:S1305),"")</f>
        <v/>
      </c>
      <c r="T1305" s="3">
        <f>IF(ISNUMBER(AVERAGE('20250815_ETF_Options_Exhibits'!T1301:T1305)),AVERAGE('20250815_ETF_Options_Exhibits'!T1301:T1305),"")</f>
        <v/>
      </c>
      <c r="U1305" s="3">
        <f>IF(ISNUMBER(AVERAGE('20250815_ETF_Options_Exhibits'!U1301:U1305)),AVERAGE('20250815_ETF_Options_Exhibits'!U1301:U1305),"")</f>
        <v/>
      </c>
      <c r="V1305" s="3">
        <f>IF(ISNUMBER(AVERAGE('20250815_ETF_Options_Exhibits'!V1301:V1305)),AVERAGE('20250815_ETF_Options_Exhibits'!V1301:V1305),"")</f>
        <v/>
      </c>
      <c r="W1305" s="3">
        <f>IF(ISNUMBER(AVERAGE('20250815_ETF_Options_Exhibits'!W1301:W1305)),AVERAGE('20250815_ETF_Options_Exhibits'!W1301:W1305),"")</f>
        <v/>
      </c>
      <c r="X1305" s="3">
        <f>IF(ISNUMBER(AVERAGE('20250815_ETF_Options_Exhibits'!X1301:X1305)),AVERAGE('20250815_ETF_Options_Exhibits'!X1301:X1305),"")</f>
        <v/>
      </c>
      <c r="Y1305" s="3">
        <f>IF(ISNUMBER(AVERAGE('20250815_ETF_Options_Exhibits'!Y1301:Y1305)),AVERAGE('20250815_ETF_Options_Exhibits'!Y1301:Y1305),"")</f>
        <v/>
      </c>
      <c r="Z1305" s="3">
        <f>IF(ISNUMBER(AVERAGE('20250815_ETF_Options_Exhibits'!Z1301:Z1305)),AVERAGE('20250815_ETF_Options_Exhibits'!Z1301:Z1305),"")</f>
        <v/>
      </c>
      <c r="AA1305" s="3">
        <f>IF(ISNUMBER(AVERAGE('20250815_ETF_Options_Exhibits'!AA1301:AA1305)),AVERAGE('20250815_ETF_Options_Exhibits'!AA1301:AA1305),"")</f>
        <v/>
      </c>
    </row>
    <row r="1306">
      <c r="A1306" s="1" t="n">
        <v>43899</v>
      </c>
      <c r="B1306" s="3">
        <f>IF(ISNUMBER(AVERAGE('20250815_ETF_Options_Exhibits'!B1302:B1306)),AVERAGE('20250815_ETF_Options_Exhibits'!B1302:B1306),"")</f>
        <v/>
      </c>
      <c r="C1306" s="3">
        <f>IF(ISNUMBER(AVERAGE('20250815_ETF_Options_Exhibits'!C1302:C1306)),AVERAGE('20250815_ETF_Options_Exhibits'!C1302:C1306),"")</f>
        <v/>
      </c>
      <c r="D1306" s="3">
        <f>IF(ISNUMBER(AVERAGE('20250815_ETF_Options_Exhibits'!D1302:D1306)),AVERAGE('20250815_ETF_Options_Exhibits'!D1302:D1306),"")</f>
        <v/>
      </c>
      <c r="E1306" s="3">
        <f>IF(ISNUMBER(AVERAGE('20250815_ETF_Options_Exhibits'!E1302:E1306)),AVERAGE('20250815_ETF_Options_Exhibits'!E1302:E1306),"")</f>
        <v/>
      </c>
      <c r="F1306" s="3">
        <f>IF(ISNUMBER(AVERAGE('20250815_ETF_Options_Exhibits'!F1302:F1306)),AVERAGE('20250815_ETF_Options_Exhibits'!F1302:F1306),"")</f>
        <v/>
      </c>
      <c r="G1306" s="3">
        <f>IF(ISNUMBER(AVERAGE('20250815_ETF_Options_Exhibits'!G1302:G1306)),AVERAGE('20250815_ETF_Options_Exhibits'!G1302:G1306),"")</f>
        <v/>
      </c>
      <c r="H1306" s="3">
        <f>IF(ISNUMBER(AVERAGE('20250815_ETF_Options_Exhibits'!H1302:H1306)),AVERAGE('20250815_ETF_Options_Exhibits'!H1302:H1306),"")</f>
        <v/>
      </c>
      <c r="I1306" s="3">
        <f>IF(ISNUMBER(AVERAGE('20250815_ETF_Options_Exhibits'!I1302:I1306)),AVERAGE('20250815_ETF_Options_Exhibits'!I1302:I1306),"")</f>
        <v/>
      </c>
      <c r="J1306" s="3">
        <f>IF(ISNUMBER(AVERAGE('20250815_ETF_Options_Exhibits'!J1302:J1306)),AVERAGE('20250815_ETF_Options_Exhibits'!J1302:J1306),"")</f>
        <v/>
      </c>
      <c r="K1306" s="3">
        <f>IF(ISNUMBER(AVERAGE('20250815_ETF_Options_Exhibits'!K1302:K1306)),AVERAGE('20250815_ETF_Options_Exhibits'!K1302:K1306),"")</f>
        <v/>
      </c>
      <c r="L1306" s="3">
        <f>IF(ISNUMBER(AVERAGE('20250815_ETF_Options_Exhibits'!L1302:L1306)),AVERAGE('20250815_ETF_Options_Exhibits'!L1302:L1306),"")</f>
        <v/>
      </c>
      <c r="M1306" s="3">
        <f>IF(ISNUMBER(AVERAGE('20250815_ETF_Options_Exhibits'!M1302:M1306)),AVERAGE('20250815_ETF_Options_Exhibits'!M1302:M1306),"")</f>
        <v/>
      </c>
      <c r="N1306" s="3">
        <f>IF(ISNUMBER(AVERAGE('20250815_ETF_Options_Exhibits'!N1302:N1306)),AVERAGE('20250815_ETF_Options_Exhibits'!N1302:N1306),"")</f>
        <v/>
      </c>
      <c r="O1306" s="3">
        <f>IF(ISNUMBER(AVERAGE('20250815_ETF_Options_Exhibits'!O1302:O1306)),AVERAGE('20250815_ETF_Options_Exhibits'!O1302:O1306),"")</f>
        <v/>
      </c>
      <c r="P1306" s="3">
        <f>IF(ISNUMBER(AVERAGE('20250815_ETF_Options_Exhibits'!P1302:P1306)),AVERAGE('20250815_ETF_Options_Exhibits'!P1302:P1306),"")</f>
        <v/>
      </c>
      <c r="Q1306" s="3">
        <f>IF(ISNUMBER(AVERAGE('20250815_ETF_Options_Exhibits'!Q1302:Q1306)),AVERAGE('20250815_ETF_Options_Exhibits'!Q1302:Q1306),"")</f>
        <v/>
      </c>
      <c r="R1306" s="3">
        <f>IF(ISNUMBER(AVERAGE('20250815_ETF_Options_Exhibits'!R1302:R1306)),AVERAGE('20250815_ETF_Options_Exhibits'!R1302:R1306),"")</f>
        <v/>
      </c>
      <c r="S1306" s="3">
        <f>IF(ISNUMBER(AVERAGE('20250815_ETF_Options_Exhibits'!S1302:S1306)),AVERAGE('20250815_ETF_Options_Exhibits'!S1302:S1306),"")</f>
        <v/>
      </c>
      <c r="T1306" s="3">
        <f>IF(ISNUMBER(AVERAGE('20250815_ETF_Options_Exhibits'!T1302:T1306)),AVERAGE('20250815_ETF_Options_Exhibits'!T1302:T1306),"")</f>
        <v/>
      </c>
      <c r="U1306" s="3">
        <f>IF(ISNUMBER(AVERAGE('20250815_ETF_Options_Exhibits'!U1302:U1306)),AVERAGE('20250815_ETF_Options_Exhibits'!U1302:U1306),"")</f>
        <v/>
      </c>
      <c r="V1306" s="3">
        <f>IF(ISNUMBER(AVERAGE('20250815_ETF_Options_Exhibits'!V1302:V1306)),AVERAGE('20250815_ETF_Options_Exhibits'!V1302:V1306),"")</f>
        <v/>
      </c>
      <c r="W1306" s="3">
        <f>IF(ISNUMBER(AVERAGE('20250815_ETF_Options_Exhibits'!W1302:W1306)),AVERAGE('20250815_ETF_Options_Exhibits'!W1302:W1306),"")</f>
        <v/>
      </c>
      <c r="X1306" s="3">
        <f>IF(ISNUMBER(AVERAGE('20250815_ETF_Options_Exhibits'!X1302:X1306)),AVERAGE('20250815_ETF_Options_Exhibits'!X1302:X1306),"")</f>
        <v/>
      </c>
      <c r="Y1306" s="3">
        <f>IF(ISNUMBER(AVERAGE('20250815_ETF_Options_Exhibits'!Y1302:Y1306)),AVERAGE('20250815_ETF_Options_Exhibits'!Y1302:Y1306),"")</f>
        <v/>
      </c>
      <c r="Z1306" s="3">
        <f>IF(ISNUMBER(AVERAGE('20250815_ETF_Options_Exhibits'!Z1302:Z1306)),AVERAGE('20250815_ETF_Options_Exhibits'!Z1302:Z1306),"")</f>
        <v/>
      </c>
      <c r="AA1306" s="3">
        <f>IF(ISNUMBER(AVERAGE('20250815_ETF_Options_Exhibits'!AA1302:AA1306)),AVERAGE('20250815_ETF_Options_Exhibits'!AA1302:AA1306),"")</f>
        <v/>
      </c>
    </row>
    <row r="1307">
      <c r="A1307" s="1" t="n">
        <v>43900</v>
      </c>
      <c r="B1307" s="3">
        <f>IF(ISNUMBER(AVERAGE('20250815_ETF_Options_Exhibits'!B1303:B1307)),AVERAGE('20250815_ETF_Options_Exhibits'!B1303:B1307),"")</f>
        <v/>
      </c>
      <c r="C1307" s="3">
        <f>IF(ISNUMBER(AVERAGE('20250815_ETF_Options_Exhibits'!C1303:C1307)),AVERAGE('20250815_ETF_Options_Exhibits'!C1303:C1307),"")</f>
        <v/>
      </c>
      <c r="D1307" s="3">
        <f>IF(ISNUMBER(AVERAGE('20250815_ETF_Options_Exhibits'!D1303:D1307)),AVERAGE('20250815_ETF_Options_Exhibits'!D1303:D1307),"")</f>
        <v/>
      </c>
      <c r="E1307" s="3">
        <f>IF(ISNUMBER(AVERAGE('20250815_ETF_Options_Exhibits'!E1303:E1307)),AVERAGE('20250815_ETF_Options_Exhibits'!E1303:E1307),"")</f>
        <v/>
      </c>
      <c r="F1307" s="3">
        <f>IF(ISNUMBER(AVERAGE('20250815_ETF_Options_Exhibits'!F1303:F1307)),AVERAGE('20250815_ETF_Options_Exhibits'!F1303:F1307),"")</f>
        <v/>
      </c>
      <c r="G1307" s="3">
        <f>IF(ISNUMBER(AVERAGE('20250815_ETF_Options_Exhibits'!G1303:G1307)),AVERAGE('20250815_ETF_Options_Exhibits'!G1303:G1307),"")</f>
        <v/>
      </c>
      <c r="H1307" s="3">
        <f>IF(ISNUMBER(AVERAGE('20250815_ETF_Options_Exhibits'!H1303:H1307)),AVERAGE('20250815_ETF_Options_Exhibits'!H1303:H1307),"")</f>
        <v/>
      </c>
      <c r="I1307" s="3">
        <f>IF(ISNUMBER(AVERAGE('20250815_ETF_Options_Exhibits'!I1303:I1307)),AVERAGE('20250815_ETF_Options_Exhibits'!I1303:I1307),"")</f>
        <v/>
      </c>
      <c r="J1307" s="3">
        <f>IF(ISNUMBER(AVERAGE('20250815_ETF_Options_Exhibits'!J1303:J1307)),AVERAGE('20250815_ETF_Options_Exhibits'!J1303:J1307),"")</f>
        <v/>
      </c>
      <c r="K1307" s="3">
        <f>IF(ISNUMBER(AVERAGE('20250815_ETF_Options_Exhibits'!K1303:K1307)),AVERAGE('20250815_ETF_Options_Exhibits'!K1303:K1307),"")</f>
        <v/>
      </c>
      <c r="L1307" s="3">
        <f>IF(ISNUMBER(AVERAGE('20250815_ETF_Options_Exhibits'!L1303:L1307)),AVERAGE('20250815_ETF_Options_Exhibits'!L1303:L1307),"")</f>
        <v/>
      </c>
      <c r="M1307" s="3">
        <f>IF(ISNUMBER(AVERAGE('20250815_ETF_Options_Exhibits'!M1303:M1307)),AVERAGE('20250815_ETF_Options_Exhibits'!M1303:M1307),"")</f>
        <v/>
      </c>
      <c r="N1307" s="3">
        <f>IF(ISNUMBER(AVERAGE('20250815_ETF_Options_Exhibits'!N1303:N1307)),AVERAGE('20250815_ETF_Options_Exhibits'!N1303:N1307),"")</f>
        <v/>
      </c>
      <c r="O1307" s="3">
        <f>IF(ISNUMBER(AVERAGE('20250815_ETF_Options_Exhibits'!O1303:O1307)),AVERAGE('20250815_ETF_Options_Exhibits'!O1303:O1307),"")</f>
        <v/>
      </c>
      <c r="P1307" s="3">
        <f>IF(ISNUMBER(AVERAGE('20250815_ETF_Options_Exhibits'!P1303:P1307)),AVERAGE('20250815_ETF_Options_Exhibits'!P1303:P1307),"")</f>
        <v/>
      </c>
      <c r="Q1307" s="3">
        <f>IF(ISNUMBER(AVERAGE('20250815_ETF_Options_Exhibits'!Q1303:Q1307)),AVERAGE('20250815_ETF_Options_Exhibits'!Q1303:Q1307),"")</f>
        <v/>
      </c>
      <c r="R1307" s="3">
        <f>IF(ISNUMBER(AVERAGE('20250815_ETF_Options_Exhibits'!R1303:R1307)),AVERAGE('20250815_ETF_Options_Exhibits'!R1303:R1307),"")</f>
        <v/>
      </c>
      <c r="S1307" s="3">
        <f>IF(ISNUMBER(AVERAGE('20250815_ETF_Options_Exhibits'!S1303:S1307)),AVERAGE('20250815_ETF_Options_Exhibits'!S1303:S1307),"")</f>
        <v/>
      </c>
      <c r="T1307" s="3">
        <f>IF(ISNUMBER(AVERAGE('20250815_ETF_Options_Exhibits'!T1303:T1307)),AVERAGE('20250815_ETF_Options_Exhibits'!T1303:T1307),"")</f>
        <v/>
      </c>
      <c r="U1307" s="3">
        <f>IF(ISNUMBER(AVERAGE('20250815_ETF_Options_Exhibits'!U1303:U1307)),AVERAGE('20250815_ETF_Options_Exhibits'!U1303:U1307),"")</f>
        <v/>
      </c>
      <c r="V1307" s="3">
        <f>IF(ISNUMBER(AVERAGE('20250815_ETF_Options_Exhibits'!V1303:V1307)),AVERAGE('20250815_ETF_Options_Exhibits'!V1303:V1307),"")</f>
        <v/>
      </c>
      <c r="W1307" s="3">
        <f>IF(ISNUMBER(AVERAGE('20250815_ETF_Options_Exhibits'!W1303:W1307)),AVERAGE('20250815_ETF_Options_Exhibits'!W1303:W1307),"")</f>
        <v/>
      </c>
      <c r="X1307" s="3">
        <f>IF(ISNUMBER(AVERAGE('20250815_ETF_Options_Exhibits'!X1303:X1307)),AVERAGE('20250815_ETF_Options_Exhibits'!X1303:X1307),"")</f>
        <v/>
      </c>
      <c r="Y1307" s="3">
        <f>IF(ISNUMBER(AVERAGE('20250815_ETF_Options_Exhibits'!Y1303:Y1307)),AVERAGE('20250815_ETF_Options_Exhibits'!Y1303:Y1307),"")</f>
        <v/>
      </c>
      <c r="Z1307" s="3">
        <f>IF(ISNUMBER(AVERAGE('20250815_ETF_Options_Exhibits'!Z1303:Z1307)),AVERAGE('20250815_ETF_Options_Exhibits'!Z1303:Z1307),"")</f>
        <v/>
      </c>
      <c r="AA1307" s="3">
        <f>IF(ISNUMBER(AVERAGE('20250815_ETF_Options_Exhibits'!AA1303:AA1307)),AVERAGE('20250815_ETF_Options_Exhibits'!AA1303:AA1307),"")</f>
        <v/>
      </c>
    </row>
    <row r="1308">
      <c r="A1308" s="1" t="n">
        <v>43901</v>
      </c>
      <c r="B1308" s="3">
        <f>IF(ISNUMBER(AVERAGE('20250815_ETF_Options_Exhibits'!B1304:B1308)),AVERAGE('20250815_ETF_Options_Exhibits'!B1304:B1308),"")</f>
        <v/>
      </c>
      <c r="C1308" s="3">
        <f>IF(ISNUMBER(AVERAGE('20250815_ETF_Options_Exhibits'!C1304:C1308)),AVERAGE('20250815_ETF_Options_Exhibits'!C1304:C1308),"")</f>
        <v/>
      </c>
      <c r="D1308" s="3">
        <f>IF(ISNUMBER(AVERAGE('20250815_ETF_Options_Exhibits'!D1304:D1308)),AVERAGE('20250815_ETF_Options_Exhibits'!D1304:D1308),"")</f>
        <v/>
      </c>
      <c r="E1308" s="3">
        <f>IF(ISNUMBER(AVERAGE('20250815_ETF_Options_Exhibits'!E1304:E1308)),AVERAGE('20250815_ETF_Options_Exhibits'!E1304:E1308),"")</f>
        <v/>
      </c>
      <c r="F1308" s="3">
        <f>IF(ISNUMBER(AVERAGE('20250815_ETF_Options_Exhibits'!F1304:F1308)),AVERAGE('20250815_ETF_Options_Exhibits'!F1304:F1308),"")</f>
        <v/>
      </c>
      <c r="G1308" s="3">
        <f>IF(ISNUMBER(AVERAGE('20250815_ETF_Options_Exhibits'!G1304:G1308)),AVERAGE('20250815_ETF_Options_Exhibits'!G1304:G1308),"")</f>
        <v/>
      </c>
      <c r="H1308" s="3">
        <f>IF(ISNUMBER(AVERAGE('20250815_ETF_Options_Exhibits'!H1304:H1308)),AVERAGE('20250815_ETF_Options_Exhibits'!H1304:H1308),"")</f>
        <v/>
      </c>
      <c r="I1308" s="3">
        <f>IF(ISNUMBER(AVERAGE('20250815_ETF_Options_Exhibits'!I1304:I1308)),AVERAGE('20250815_ETF_Options_Exhibits'!I1304:I1308),"")</f>
        <v/>
      </c>
      <c r="J1308" s="3">
        <f>IF(ISNUMBER(AVERAGE('20250815_ETF_Options_Exhibits'!J1304:J1308)),AVERAGE('20250815_ETF_Options_Exhibits'!J1304:J1308),"")</f>
        <v/>
      </c>
      <c r="K1308" s="3">
        <f>IF(ISNUMBER(AVERAGE('20250815_ETF_Options_Exhibits'!K1304:K1308)),AVERAGE('20250815_ETF_Options_Exhibits'!K1304:K1308),"")</f>
        <v/>
      </c>
      <c r="L1308" s="3">
        <f>IF(ISNUMBER(AVERAGE('20250815_ETF_Options_Exhibits'!L1304:L1308)),AVERAGE('20250815_ETF_Options_Exhibits'!L1304:L1308),"")</f>
        <v/>
      </c>
      <c r="M1308" s="3">
        <f>IF(ISNUMBER(AVERAGE('20250815_ETF_Options_Exhibits'!M1304:M1308)),AVERAGE('20250815_ETF_Options_Exhibits'!M1304:M1308),"")</f>
        <v/>
      </c>
      <c r="N1308" s="3">
        <f>IF(ISNUMBER(AVERAGE('20250815_ETF_Options_Exhibits'!N1304:N1308)),AVERAGE('20250815_ETF_Options_Exhibits'!N1304:N1308),"")</f>
        <v/>
      </c>
      <c r="O1308" s="3">
        <f>IF(ISNUMBER(AVERAGE('20250815_ETF_Options_Exhibits'!O1304:O1308)),AVERAGE('20250815_ETF_Options_Exhibits'!O1304:O1308),"")</f>
        <v/>
      </c>
      <c r="P1308" s="3">
        <f>IF(ISNUMBER(AVERAGE('20250815_ETF_Options_Exhibits'!P1304:P1308)),AVERAGE('20250815_ETF_Options_Exhibits'!P1304:P1308),"")</f>
        <v/>
      </c>
      <c r="Q1308" s="3">
        <f>IF(ISNUMBER(AVERAGE('20250815_ETF_Options_Exhibits'!Q1304:Q1308)),AVERAGE('20250815_ETF_Options_Exhibits'!Q1304:Q1308),"")</f>
        <v/>
      </c>
      <c r="R1308" s="3">
        <f>IF(ISNUMBER(AVERAGE('20250815_ETF_Options_Exhibits'!R1304:R1308)),AVERAGE('20250815_ETF_Options_Exhibits'!R1304:R1308),"")</f>
        <v/>
      </c>
      <c r="S1308" s="3">
        <f>IF(ISNUMBER(AVERAGE('20250815_ETF_Options_Exhibits'!S1304:S1308)),AVERAGE('20250815_ETF_Options_Exhibits'!S1304:S1308),"")</f>
        <v/>
      </c>
      <c r="T1308" s="3">
        <f>IF(ISNUMBER(AVERAGE('20250815_ETF_Options_Exhibits'!T1304:T1308)),AVERAGE('20250815_ETF_Options_Exhibits'!T1304:T1308),"")</f>
        <v/>
      </c>
      <c r="U1308" s="3">
        <f>IF(ISNUMBER(AVERAGE('20250815_ETF_Options_Exhibits'!U1304:U1308)),AVERAGE('20250815_ETF_Options_Exhibits'!U1304:U1308),"")</f>
        <v/>
      </c>
      <c r="V1308" s="3">
        <f>IF(ISNUMBER(AVERAGE('20250815_ETF_Options_Exhibits'!V1304:V1308)),AVERAGE('20250815_ETF_Options_Exhibits'!V1304:V1308),"")</f>
        <v/>
      </c>
      <c r="W1308" s="3">
        <f>IF(ISNUMBER(AVERAGE('20250815_ETF_Options_Exhibits'!W1304:W1308)),AVERAGE('20250815_ETF_Options_Exhibits'!W1304:W1308),"")</f>
        <v/>
      </c>
      <c r="X1308" s="3">
        <f>IF(ISNUMBER(AVERAGE('20250815_ETF_Options_Exhibits'!X1304:X1308)),AVERAGE('20250815_ETF_Options_Exhibits'!X1304:X1308),"")</f>
        <v/>
      </c>
      <c r="Y1308" s="3">
        <f>IF(ISNUMBER(AVERAGE('20250815_ETF_Options_Exhibits'!Y1304:Y1308)),AVERAGE('20250815_ETF_Options_Exhibits'!Y1304:Y1308),"")</f>
        <v/>
      </c>
      <c r="Z1308" s="3">
        <f>IF(ISNUMBER(AVERAGE('20250815_ETF_Options_Exhibits'!Z1304:Z1308)),AVERAGE('20250815_ETF_Options_Exhibits'!Z1304:Z1308),"")</f>
        <v/>
      </c>
      <c r="AA1308" s="3">
        <f>IF(ISNUMBER(AVERAGE('20250815_ETF_Options_Exhibits'!AA1304:AA1308)),AVERAGE('20250815_ETF_Options_Exhibits'!AA1304:AA1308),"")</f>
        <v/>
      </c>
    </row>
    <row r="1309">
      <c r="A1309" s="1" t="n">
        <v>43902</v>
      </c>
      <c r="B1309" s="3">
        <f>IF(ISNUMBER(AVERAGE('20250815_ETF_Options_Exhibits'!B1305:B1309)),AVERAGE('20250815_ETF_Options_Exhibits'!B1305:B1309),"")</f>
        <v/>
      </c>
      <c r="C1309" s="3">
        <f>IF(ISNUMBER(AVERAGE('20250815_ETF_Options_Exhibits'!C1305:C1309)),AVERAGE('20250815_ETF_Options_Exhibits'!C1305:C1309),"")</f>
        <v/>
      </c>
      <c r="D1309" s="3">
        <f>IF(ISNUMBER(AVERAGE('20250815_ETF_Options_Exhibits'!D1305:D1309)),AVERAGE('20250815_ETF_Options_Exhibits'!D1305:D1309),"")</f>
        <v/>
      </c>
      <c r="E1309" s="3">
        <f>IF(ISNUMBER(AVERAGE('20250815_ETF_Options_Exhibits'!E1305:E1309)),AVERAGE('20250815_ETF_Options_Exhibits'!E1305:E1309),"")</f>
        <v/>
      </c>
      <c r="F1309" s="3">
        <f>IF(ISNUMBER(AVERAGE('20250815_ETF_Options_Exhibits'!F1305:F1309)),AVERAGE('20250815_ETF_Options_Exhibits'!F1305:F1309),"")</f>
        <v/>
      </c>
      <c r="G1309" s="3">
        <f>IF(ISNUMBER(AVERAGE('20250815_ETF_Options_Exhibits'!G1305:G1309)),AVERAGE('20250815_ETF_Options_Exhibits'!G1305:G1309),"")</f>
        <v/>
      </c>
      <c r="H1309" s="3">
        <f>IF(ISNUMBER(AVERAGE('20250815_ETF_Options_Exhibits'!H1305:H1309)),AVERAGE('20250815_ETF_Options_Exhibits'!H1305:H1309),"")</f>
        <v/>
      </c>
      <c r="I1309" s="3">
        <f>IF(ISNUMBER(AVERAGE('20250815_ETF_Options_Exhibits'!I1305:I1309)),AVERAGE('20250815_ETF_Options_Exhibits'!I1305:I1309),"")</f>
        <v/>
      </c>
      <c r="J1309" s="3">
        <f>IF(ISNUMBER(AVERAGE('20250815_ETF_Options_Exhibits'!J1305:J1309)),AVERAGE('20250815_ETF_Options_Exhibits'!J1305:J1309),"")</f>
        <v/>
      </c>
      <c r="K1309" s="3">
        <f>IF(ISNUMBER(AVERAGE('20250815_ETF_Options_Exhibits'!K1305:K1309)),AVERAGE('20250815_ETF_Options_Exhibits'!K1305:K1309),"")</f>
        <v/>
      </c>
      <c r="L1309" s="3">
        <f>IF(ISNUMBER(AVERAGE('20250815_ETF_Options_Exhibits'!L1305:L1309)),AVERAGE('20250815_ETF_Options_Exhibits'!L1305:L1309),"")</f>
        <v/>
      </c>
      <c r="M1309" s="3">
        <f>IF(ISNUMBER(AVERAGE('20250815_ETF_Options_Exhibits'!M1305:M1309)),AVERAGE('20250815_ETF_Options_Exhibits'!M1305:M1309),"")</f>
        <v/>
      </c>
      <c r="N1309" s="3">
        <f>IF(ISNUMBER(AVERAGE('20250815_ETF_Options_Exhibits'!N1305:N1309)),AVERAGE('20250815_ETF_Options_Exhibits'!N1305:N1309),"")</f>
        <v/>
      </c>
      <c r="O1309" s="3">
        <f>IF(ISNUMBER(AVERAGE('20250815_ETF_Options_Exhibits'!O1305:O1309)),AVERAGE('20250815_ETF_Options_Exhibits'!O1305:O1309),"")</f>
        <v/>
      </c>
      <c r="P1309" s="3">
        <f>IF(ISNUMBER(AVERAGE('20250815_ETF_Options_Exhibits'!P1305:P1309)),AVERAGE('20250815_ETF_Options_Exhibits'!P1305:P1309),"")</f>
        <v/>
      </c>
      <c r="Q1309" s="3">
        <f>IF(ISNUMBER(AVERAGE('20250815_ETF_Options_Exhibits'!Q1305:Q1309)),AVERAGE('20250815_ETF_Options_Exhibits'!Q1305:Q1309),"")</f>
        <v/>
      </c>
      <c r="R1309" s="3">
        <f>IF(ISNUMBER(AVERAGE('20250815_ETF_Options_Exhibits'!R1305:R1309)),AVERAGE('20250815_ETF_Options_Exhibits'!R1305:R1309),"")</f>
        <v/>
      </c>
      <c r="S1309" s="3">
        <f>IF(ISNUMBER(AVERAGE('20250815_ETF_Options_Exhibits'!S1305:S1309)),AVERAGE('20250815_ETF_Options_Exhibits'!S1305:S1309),"")</f>
        <v/>
      </c>
      <c r="T1309" s="3">
        <f>IF(ISNUMBER(AVERAGE('20250815_ETF_Options_Exhibits'!T1305:T1309)),AVERAGE('20250815_ETF_Options_Exhibits'!T1305:T1309),"")</f>
        <v/>
      </c>
      <c r="U1309" s="3">
        <f>IF(ISNUMBER(AVERAGE('20250815_ETF_Options_Exhibits'!U1305:U1309)),AVERAGE('20250815_ETF_Options_Exhibits'!U1305:U1309),"")</f>
        <v/>
      </c>
      <c r="V1309" s="3">
        <f>IF(ISNUMBER(AVERAGE('20250815_ETF_Options_Exhibits'!V1305:V1309)),AVERAGE('20250815_ETF_Options_Exhibits'!V1305:V1309),"")</f>
        <v/>
      </c>
      <c r="W1309" s="3">
        <f>IF(ISNUMBER(AVERAGE('20250815_ETF_Options_Exhibits'!W1305:W1309)),AVERAGE('20250815_ETF_Options_Exhibits'!W1305:W1309),"")</f>
        <v/>
      </c>
      <c r="X1309" s="3">
        <f>IF(ISNUMBER(AVERAGE('20250815_ETF_Options_Exhibits'!X1305:X1309)),AVERAGE('20250815_ETF_Options_Exhibits'!X1305:X1309),"")</f>
        <v/>
      </c>
      <c r="Y1309" s="3">
        <f>IF(ISNUMBER(AVERAGE('20250815_ETF_Options_Exhibits'!Y1305:Y1309)),AVERAGE('20250815_ETF_Options_Exhibits'!Y1305:Y1309),"")</f>
        <v/>
      </c>
      <c r="Z1309" s="3">
        <f>IF(ISNUMBER(AVERAGE('20250815_ETF_Options_Exhibits'!Z1305:Z1309)),AVERAGE('20250815_ETF_Options_Exhibits'!Z1305:Z1309),"")</f>
        <v/>
      </c>
      <c r="AA1309" s="3">
        <f>IF(ISNUMBER(AVERAGE('20250815_ETF_Options_Exhibits'!AA1305:AA1309)),AVERAGE('20250815_ETF_Options_Exhibits'!AA1305:AA1309),"")</f>
        <v/>
      </c>
    </row>
    <row r="1310">
      <c r="A1310" s="1" t="n">
        <v>43903</v>
      </c>
      <c r="B1310" s="3">
        <f>IF(ISNUMBER(AVERAGE('20250815_ETF_Options_Exhibits'!B1306:B1310)),AVERAGE('20250815_ETF_Options_Exhibits'!B1306:B1310),"")</f>
        <v/>
      </c>
      <c r="C1310" s="3">
        <f>IF(ISNUMBER(AVERAGE('20250815_ETF_Options_Exhibits'!C1306:C1310)),AVERAGE('20250815_ETF_Options_Exhibits'!C1306:C1310),"")</f>
        <v/>
      </c>
      <c r="D1310" s="3">
        <f>IF(ISNUMBER(AVERAGE('20250815_ETF_Options_Exhibits'!D1306:D1310)),AVERAGE('20250815_ETF_Options_Exhibits'!D1306:D1310),"")</f>
        <v/>
      </c>
      <c r="E1310" s="3">
        <f>IF(ISNUMBER(AVERAGE('20250815_ETF_Options_Exhibits'!E1306:E1310)),AVERAGE('20250815_ETF_Options_Exhibits'!E1306:E1310),"")</f>
        <v/>
      </c>
      <c r="F1310" s="3">
        <f>IF(ISNUMBER(AVERAGE('20250815_ETF_Options_Exhibits'!F1306:F1310)),AVERAGE('20250815_ETF_Options_Exhibits'!F1306:F1310),"")</f>
        <v/>
      </c>
      <c r="G1310" s="3">
        <f>IF(ISNUMBER(AVERAGE('20250815_ETF_Options_Exhibits'!G1306:G1310)),AVERAGE('20250815_ETF_Options_Exhibits'!G1306:G1310),"")</f>
        <v/>
      </c>
      <c r="H1310" s="3">
        <f>IF(ISNUMBER(AVERAGE('20250815_ETF_Options_Exhibits'!H1306:H1310)),AVERAGE('20250815_ETF_Options_Exhibits'!H1306:H1310),"")</f>
        <v/>
      </c>
      <c r="I1310" s="3">
        <f>IF(ISNUMBER(AVERAGE('20250815_ETF_Options_Exhibits'!I1306:I1310)),AVERAGE('20250815_ETF_Options_Exhibits'!I1306:I1310),"")</f>
        <v/>
      </c>
      <c r="J1310" s="3">
        <f>IF(ISNUMBER(AVERAGE('20250815_ETF_Options_Exhibits'!J1306:J1310)),AVERAGE('20250815_ETF_Options_Exhibits'!J1306:J1310),"")</f>
        <v/>
      </c>
      <c r="K1310" s="3">
        <f>IF(ISNUMBER(AVERAGE('20250815_ETF_Options_Exhibits'!K1306:K1310)),AVERAGE('20250815_ETF_Options_Exhibits'!K1306:K1310),"")</f>
        <v/>
      </c>
      <c r="L1310" s="3">
        <f>IF(ISNUMBER(AVERAGE('20250815_ETF_Options_Exhibits'!L1306:L1310)),AVERAGE('20250815_ETF_Options_Exhibits'!L1306:L1310),"")</f>
        <v/>
      </c>
      <c r="M1310" s="3">
        <f>IF(ISNUMBER(AVERAGE('20250815_ETF_Options_Exhibits'!M1306:M1310)),AVERAGE('20250815_ETF_Options_Exhibits'!M1306:M1310),"")</f>
        <v/>
      </c>
      <c r="N1310" s="3">
        <f>IF(ISNUMBER(AVERAGE('20250815_ETF_Options_Exhibits'!N1306:N1310)),AVERAGE('20250815_ETF_Options_Exhibits'!N1306:N1310),"")</f>
        <v/>
      </c>
      <c r="O1310" s="3">
        <f>IF(ISNUMBER(AVERAGE('20250815_ETF_Options_Exhibits'!O1306:O1310)),AVERAGE('20250815_ETF_Options_Exhibits'!O1306:O1310),"")</f>
        <v/>
      </c>
      <c r="P1310" s="3">
        <f>IF(ISNUMBER(AVERAGE('20250815_ETF_Options_Exhibits'!P1306:P1310)),AVERAGE('20250815_ETF_Options_Exhibits'!P1306:P1310),"")</f>
        <v/>
      </c>
      <c r="Q1310" s="3">
        <f>IF(ISNUMBER(AVERAGE('20250815_ETF_Options_Exhibits'!Q1306:Q1310)),AVERAGE('20250815_ETF_Options_Exhibits'!Q1306:Q1310),"")</f>
        <v/>
      </c>
      <c r="R1310" s="3">
        <f>IF(ISNUMBER(AVERAGE('20250815_ETF_Options_Exhibits'!R1306:R1310)),AVERAGE('20250815_ETF_Options_Exhibits'!R1306:R1310),"")</f>
        <v/>
      </c>
      <c r="S1310" s="3">
        <f>IF(ISNUMBER(AVERAGE('20250815_ETF_Options_Exhibits'!S1306:S1310)),AVERAGE('20250815_ETF_Options_Exhibits'!S1306:S1310),"")</f>
        <v/>
      </c>
      <c r="T1310" s="3">
        <f>IF(ISNUMBER(AVERAGE('20250815_ETF_Options_Exhibits'!T1306:T1310)),AVERAGE('20250815_ETF_Options_Exhibits'!T1306:T1310),"")</f>
        <v/>
      </c>
      <c r="U1310" s="3">
        <f>IF(ISNUMBER(AVERAGE('20250815_ETF_Options_Exhibits'!U1306:U1310)),AVERAGE('20250815_ETF_Options_Exhibits'!U1306:U1310),"")</f>
        <v/>
      </c>
      <c r="V1310" s="3">
        <f>IF(ISNUMBER(AVERAGE('20250815_ETF_Options_Exhibits'!V1306:V1310)),AVERAGE('20250815_ETF_Options_Exhibits'!V1306:V1310),"")</f>
        <v/>
      </c>
      <c r="W1310" s="3">
        <f>IF(ISNUMBER(AVERAGE('20250815_ETF_Options_Exhibits'!W1306:W1310)),AVERAGE('20250815_ETF_Options_Exhibits'!W1306:W1310),"")</f>
        <v/>
      </c>
      <c r="X1310" s="3">
        <f>IF(ISNUMBER(AVERAGE('20250815_ETF_Options_Exhibits'!X1306:X1310)),AVERAGE('20250815_ETF_Options_Exhibits'!X1306:X1310),"")</f>
        <v/>
      </c>
      <c r="Y1310" s="3">
        <f>IF(ISNUMBER(AVERAGE('20250815_ETF_Options_Exhibits'!Y1306:Y1310)),AVERAGE('20250815_ETF_Options_Exhibits'!Y1306:Y1310),"")</f>
        <v/>
      </c>
      <c r="Z1310" s="3">
        <f>IF(ISNUMBER(AVERAGE('20250815_ETF_Options_Exhibits'!Z1306:Z1310)),AVERAGE('20250815_ETF_Options_Exhibits'!Z1306:Z1310),"")</f>
        <v/>
      </c>
      <c r="AA1310" s="3">
        <f>IF(ISNUMBER(AVERAGE('20250815_ETF_Options_Exhibits'!AA1306:AA1310)),AVERAGE('20250815_ETF_Options_Exhibits'!AA1306:AA1310),"")</f>
        <v/>
      </c>
    </row>
    <row r="1311">
      <c r="A1311" s="1" t="n">
        <v>43906</v>
      </c>
      <c r="B1311" s="3">
        <f>IF(ISNUMBER(AVERAGE('20250815_ETF_Options_Exhibits'!B1307:B1311)),AVERAGE('20250815_ETF_Options_Exhibits'!B1307:B1311),"")</f>
        <v/>
      </c>
      <c r="C1311" s="3">
        <f>IF(ISNUMBER(AVERAGE('20250815_ETF_Options_Exhibits'!C1307:C1311)),AVERAGE('20250815_ETF_Options_Exhibits'!C1307:C1311),"")</f>
        <v/>
      </c>
      <c r="D1311" s="3">
        <f>IF(ISNUMBER(AVERAGE('20250815_ETF_Options_Exhibits'!D1307:D1311)),AVERAGE('20250815_ETF_Options_Exhibits'!D1307:D1311),"")</f>
        <v/>
      </c>
      <c r="E1311" s="3">
        <f>IF(ISNUMBER(AVERAGE('20250815_ETF_Options_Exhibits'!E1307:E1311)),AVERAGE('20250815_ETF_Options_Exhibits'!E1307:E1311),"")</f>
        <v/>
      </c>
      <c r="F1311" s="3">
        <f>IF(ISNUMBER(AVERAGE('20250815_ETF_Options_Exhibits'!F1307:F1311)),AVERAGE('20250815_ETF_Options_Exhibits'!F1307:F1311),"")</f>
        <v/>
      </c>
      <c r="G1311" s="3">
        <f>IF(ISNUMBER(AVERAGE('20250815_ETF_Options_Exhibits'!G1307:G1311)),AVERAGE('20250815_ETF_Options_Exhibits'!G1307:G1311),"")</f>
        <v/>
      </c>
      <c r="H1311" s="3">
        <f>IF(ISNUMBER(AVERAGE('20250815_ETF_Options_Exhibits'!H1307:H1311)),AVERAGE('20250815_ETF_Options_Exhibits'!H1307:H1311),"")</f>
        <v/>
      </c>
      <c r="I1311" s="3">
        <f>IF(ISNUMBER(AVERAGE('20250815_ETF_Options_Exhibits'!I1307:I1311)),AVERAGE('20250815_ETF_Options_Exhibits'!I1307:I1311),"")</f>
        <v/>
      </c>
      <c r="J1311" s="3">
        <f>IF(ISNUMBER(AVERAGE('20250815_ETF_Options_Exhibits'!J1307:J1311)),AVERAGE('20250815_ETF_Options_Exhibits'!J1307:J1311),"")</f>
        <v/>
      </c>
      <c r="K1311" s="3">
        <f>IF(ISNUMBER(AVERAGE('20250815_ETF_Options_Exhibits'!K1307:K1311)),AVERAGE('20250815_ETF_Options_Exhibits'!K1307:K1311),"")</f>
        <v/>
      </c>
      <c r="L1311" s="3">
        <f>IF(ISNUMBER(AVERAGE('20250815_ETF_Options_Exhibits'!L1307:L1311)),AVERAGE('20250815_ETF_Options_Exhibits'!L1307:L1311),"")</f>
        <v/>
      </c>
      <c r="M1311" s="3">
        <f>IF(ISNUMBER(AVERAGE('20250815_ETF_Options_Exhibits'!M1307:M1311)),AVERAGE('20250815_ETF_Options_Exhibits'!M1307:M1311),"")</f>
        <v/>
      </c>
      <c r="N1311" s="3">
        <f>IF(ISNUMBER(AVERAGE('20250815_ETF_Options_Exhibits'!N1307:N1311)),AVERAGE('20250815_ETF_Options_Exhibits'!N1307:N1311),"")</f>
        <v/>
      </c>
      <c r="O1311" s="3">
        <f>IF(ISNUMBER(AVERAGE('20250815_ETF_Options_Exhibits'!O1307:O1311)),AVERAGE('20250815_ETF_Options_Exhibits'!O1307:O1311),"")</f>
        <v/>
      </c>
      <c r="P1311" s="3">
        <f>IF(ISNUMBER(AVERAGE('20250815_ETF_Options_Exhibits'!P1307:P1311)),AVERAGE('20250815_ETF_Options_Exhibits'!P1307:P1311),"")</f>
        <v/>
      </c>
      <c r="Q1311" s="3">
        <f>IF(ISNUMBER(AVERAGE('20250815_ETF_Options_Exhibits'!Q1307:Q1311)),AVERAGE('20250815_ETF_Options_Exhibits'!Q1307:Q1311),"")</f>
        <v/>
      </c>
      <c r="R1311" s="3">
        <f>IF(ISNUMBER(AVERAGE('20250815_ETF_Options_Exhibits'!R1307:R1311)),AVERAGE('20250815_ETF_Options_Exhibits'!R1307:R1311),"")</f>
        <v/>
      </c>
      <c r="S1311" s="3">
        <f>IF(ISNUMBER(AVERAGE('20250815_ETF_Options_Exhibits'!S1307:S1311)),AVERAGE('20250815_ETF_Options_Exhibits'!S1307:S1311),"")</f>
        <v/>
      </c>
      <c r="T1311" s="3">
        <f>IF(ISNUMBER(AVERAGE('20250815_ETF_Options_Exhibits'!T1307:T1311)),AVERAGE('20250815_ETF_Options_Exhibits'!T1307:T1311),"")</f>
        <v/>
      </c>
      <c r="U1311" s="3">
        <f>IF(ISNUMBER(AVERAGE('20250815_ETF_Options_Exhibits'!U1307:U1311)),AVERAGE('20250815_ETF_Options_Exhibits'!U1307:U1311),"")</f>
        <v/>
      </c>
      <c r="V1311" s="3">
        <f>IF(ISNUMBER(AVERAGE('20250815_ETF_Options_Exhibits'!V1307:V1311)),AVERAGE('20250815_ETF_Options_Exhibits'!V1307:V1311),"")</f>
        <v/>
      </c>
      <c r="W1311" s="3">
        <f>IF(ISNUMBER(AVERAGE('20250815_ETF_Options_Exhibits'!W1307:W1311)),AVERAGE('20250815_ETF_Options_Exhibits'!W1307:W1311),"")</f>
        <v/>
      </c>
      <c r="X1311" s="3">
        <f>IF(ISNUMBER(AVERAGE('20250815_ETF_Options_Exhibits'!X1307:X1311)),AVERAGE('20250815_ETF_Options_Exhibits'!X1307:X1311),"")</f>
        <v/>
      </c>
      <c r="Y1311" s="3">
        <f>IF(ISNUMBER(AVERAGE('20250815_ETF_Options_Exhibits'!Y1307:Y1311)),AVERAGE('20250815_ETF_Options_Exhibits'!Y1307:Y1311),"")</f>
        <v/>
      </c>
      <c r="Z1311" s="3">
        <f>IF(ISNUMBER(AVERAGE('20250815_ETF_Options_Exhibits'!Z1307:Z1311)),AVERAGE('20250815_ETF_Options_Exhibits'!Z1307:Z1311),"")</f>
        <v/>
      </c>
      <c r="AA1311" s="3">
        <f>IF(ISNUMBER(AVERAGE('20250815_ETF_Options_Exhibits'!AA1307:AA1311)),AVERAGE('20250815_ETF_Options_Exhibits'!AA1307:AA1311),"")</f>
        <v/>
      </c>
    </row>
    <row r="1312">
      <c r="A1312" s="1" t="n">
        <v>43907</v>
      </c>
      <c r="B1312" s="3">
        <f>IF(ISNUMBER(AVERAGE('20250815_ETF_Options_Exhibits'!B1308:B1312)),AVERAGE('20250815_ETF_Options_Exhibits'!B1308:B1312),"")</f>
        <v/>
      </c>
      <c r="C1312" s="3">
        <f>IF(ISNUMBER(AVERAGE('20250815_ETF_Options_Exhibits'!C1308:C1312)),AVERAGE('20250815_ETF_Options_Exhibits'!C1308:C1312),"")</f>
        <v/>
      </c>
      <c r="D1312" s="3">
        <f>IF(ISNUMBER(AVERAGE('20250815_ETF_Options_Exhibits'!D1308:D1312)),AVERAGE('20250815_ETF_Options_Exhibits'!D1308:D1312),"")</f>
        <v/>
      </c>
      <c r="E1312" s="3">
        <f>IF(ISNUMBER(AVERAGE('20250815_ETF_Options_Exhibits'!E1308:E1312)),AVERAGE('20250815_ETF_Options_Exhibits'!E1308:E1312),"")</f>
        <v/>
      </c>
      <c r="F1312" s="3">
        <f>IF(ISNUMBER(AVERAGE('20250815_ETF_Options_Exhibits'!F1308:F1312)),AVERAGE('20250815_ETF_Options_Exhibits'!F1308:F1312),"")</f>
        <v/>
      </c>
      <c r="G1312" s="3">
        <f>IF(ISNUMBER(AVERAGE('20250815_ETF_Options_Exhibits'!G1308:G1312)),AVERAGE('20250815_ETF_Options_Exhibits'!G1308:G1312),"")</f>
        <v/>
      </c>
      <c r="H1312" s="3">
        <f>IF(ISNUMBER(AVERAGE('20250815_ETF_Options_Exhibits'!H1308:H1312)),AVERAGE('20250815_ETF_Options_Exhibits'!H1308:H1312),"")</f>
        <v/>
      </c>
      <c r="I1312" s="3">
        <f>IF(ISNUMBER(AVERAGE('20250815_ETF_Options_Exhibits'!I1308:I1312)),AVERAGE('20250815_ETF_Options_Exhibits'!I1308:I1312),"")</f>
        <v/>
      </c>
      <c r="J1312" s="3">
        <f>IF(ISNUMBER(AVERAGE('20250815_ETF_Options_Exhibits'!J1308:J1312)),AVERAGE('20250815_ETF_Options_Exhibits'!J1308:J1312),"")</f>
        <v/>
      </c>
      <c r="K1312" s="3">
        <f>IF(ISNUMBER(AVERAGE('20250815_ETF_Options_Exhibits'!K1308:K1312)),AVERAGE('20250815_ETF_Options_Exhibits'!K1308:K1312),"")</f>
        <v/>
      </c>
      <c r="L1312" s="3">
        <f>IF(ISNUMBER(AVERAGE('20250815_ETF_Options_Exhibits'!L1308:L1312)),AVERAGE('20250815_ETF_Options_Exhibits'!L1308:L1312),"")</f>
        <v/>
      </c>
      <c r="M1312" s="3">
        <f>IF(ISNUMBER(AVERAGE('20250815_ETF_Options_Exhibits'!M1308:M1312)),AVERAGE('20250815_ETF_Options_Exhibits'!M1308:M1312),"")</f>
        <v/>
      </c>
      <c r="N1312" s="3">
        <f>IF(ISNUMBER(AVERAGE('20250815_ETF_Options_Exhibits'!N1308:N1312)),AVERAGE('20250815_ETF_Options_Exhibits'!N1308:N1312),"")</f>
        <v/>
      </c>
      <c r="O1312" s="3">
        <f>IF(ISNUMBER(AVERAGE('20250815_ETF_Options_Exhibits'!O1308:O1312)),AVERAGE('20250815_ETF_Options_Exhibits'!O1308:O1312),"")</f>
        <v/>
      </c>
      <c r="P1312" s="3">
        <f>IF(ISNUMBER(AVERAGE('20250815_ETF_Options_Exhibits'!P1308:P1312)),AVERAGE('20250815_ETF_Options_Exhibits'!P1308:P1312),"")</f>
        <v/>
      </c>
      <c r="Q1312" s="3">
        <f>IF(ISNUMBER(AVERAGE('20250815_ETF_Options_Exhibits'!Q1308:Q1312)),AVERAGE('20250815_ETF_Options_Exhibits'!Q1308:Q1312),"")</f>
        <v/>
      </c>
      <c r="R1312" s="3">
        <f>IF(ISNUMBER(AVERAGE('20250815_ETF_Options_Exhibits'!R1308:R1312)),AVERAGE('20250815_ETF_Options_Exhibits'!R1308:R1312),"")</f>
        <v/>
      </c>
      <c r="S1312" s="3">
        <f>IF(ISNUMBER(AVERAGE('20250815_ETF_Options_Exhibits'!S1308:S1312)),AVERAGE('20250815_ETF_Options_Exhibits'!S1308:S1312),"")</f>
        <v/>
      </c>
      <c r="T1312" s="3">
        <f>IF(ISNUMBER(AVERAGE('20250815_ETF_Options_Exhibits'!T1308:T1312)),AVERAGE('20250815_ETF_Options_Exhibits'!T1308:T1312),"")</f>
        <v/>
      </c>
      <c r="U1312" s="3">
        <f>IF(ISNUMBER(AVERAGE('20250815_ETF_Options_Exhibits'!U1308:U1312)),AVERAGE('20250815_ETF_Options_Exhibits'!U1308:U1312),"")</f>
        <v/>
      </c>
      <c r="V1312" s="3">
        <f>IF(ISNUMBER(AVERAGE('20250815_ETF_Options_Exhibits'!V1308:V1312)),AVERAGE('20250815_ETF_Options_Exhibits'!V1308:V1312),"")</f>
        <v/>
      </c>
      <c r="W1312" s="3">
        <f>IF(ISNUMBER(AVERAGE('20250815_ETF_Options_Exhibits'!W1308:W1312)),AVERAGE('20250815_ETF_Options_Exhibits'!W1308:W1312),"")</f>
        <v/>
      </c>
      <c r="X1312" s="3">
        <f>IF(ISNUMBER(AVERAGE('20250815_ETF_Options_Exhibits'!X1308:X1312)),AVERAGE('20250815_ETF_Options_Exhibits'!X1308:X1312),"")</f>
        <v/>
      </c>
      <c r="Y1312" s="3">
        <f>IF(ISNUMBER(AVERAGE('20250815_ETF_Options_Exhibits'!Y1308:Y1312)),AVERAGE('20250815_ETF_Options_Exhibits'!Y1308:Y1312),"")</f>
        <v/>
      </c>
      <c r="Z1312" s="3">
        <f>IF(ISNUMBER(AVERAGE('20250815_ETF_Options_Exhibits'!Z1308:Z1312)),AVERAGE('20250815_ETF_Options_Exhibits'!Z1308:Z1312),"")</f>
        <v/>
      </c>
      <c r="AA1312" s="3">
        <f>IF(ISNUMBER(AVERAGE('20250815_ETF_Options_Exhibits'!AA1308:AA1312)),AVERAGE('20250815_ETF_Options_Exhibits'!AA1308:AA1312),"")</f>
        <v/>
      </c>
    </row>
    <row r="1313">
      <c r="A1313" s="1" t="n">
        <v>43908</v>
      </c>
      <c r="B1313" s="3">
        <f>IF(ISNUMBER(AVERAGE('20250815_ETF_Options_Exhibits'!B1309:B1313)),AVERAGE('20250815_ETF_Options_Exhibits'!B1309:B1313),"")</f>
        <v/>
      </c>
      <c r="C1313" s="3">
        <f>IF(ISNUMBER(AVERAGE('20250815_ETF_Options_Exhibits'!C1309:C1313)),AVERAGE('20250815_ETF_Options_Exhibits'!C1309:C1313),"")</f>
        <v/>
      </c>
      <c r="D1313" s="3">
        <f>IF(ISNUMBER(AVERAGE('20250815_ETF_Options_Exhibits'!D1309:D1313)),AVERAGE('20250815_ETF_Options_Exhibits'!D1309:D1313),"")</f>
        <v/>
      </c>
      <c r="E1313" s="3">
        <f>IF(ISNUMBER(AVERAGE('20250815_ETF_Options_Exhibits'!E1309:E1313)),AVERAGE('20250815_ETF_Options_Exhibits'!E1309:E1313),"")</f>
        <v/>
      </c>
      <c r="F1313" s="3">
        <f>IF(ISNUMBER(AVERAGE('20250815_ETF_Options_Exhibits'!F1309:F1313)),AVERAGE('20250815_ETF_Options_Exhibits'!F1309:F1313),"")</f>
        <v/>
      </c>
      <c r="G1313" s="3">
        <f>IF(ISNUMBER(AVERAGE('20250815_ETF_Options_Exhibits'!G1309:G1313)),AVERAGE('20250815_ETF_Options_Exhibits'!G1309:G1313),"")</f>
        <v/>
      </c>
      <c r="H1313" s="3">
        <f>IF(ISNUMBER(AVERAGE('20250815_ETF_Options_Exhibits'!H1309:H1313)),AVERAGE('20250815_ETF_Options_Exhibits'!H1309:H1313),"")</f>
        <v/>
      </c>
      <c r="I1313" s="3">
        <f>IF(ISNUMBER(AVERAGE('20250815_ETF_Options_Exhibits'!I1309:I1313)),AVERAGE('20250815_ETF_Options_Exhibits'!I1309:I1313),"")</f>
        <v/>
      </c>
      <c r="J1313" s="3">
        <f>IF(ISNUMBER(AVERAGE('20250815_ETF_Options_Exhibits'!J1309:J1313)),AVERAGE('20250815_ETF_Options_Exhibits'!J1309:J1313),"")</f>
        <v/>
      </c>
      <c r="K1313" s="3">
        <f>IF(ISNUMBER(AVERAGE('20250815_ETF_Options_Exhibits'!K1309:K1313)),AVERAGE('20250815_ETF_Options_Exhibits'!K1309:K1313),"")</f>
        <v/>
      </c>
      <c r="L1313" s="3">
        <f>IF(ISNUMBER(AVERAGE('20250815_ETF_Options_Exhibits'!L1309:L1313)),AVERAGE('20250815_ETF_Options_Exhibits'!L1309:L1313),"")</f>
        <v/>
      </c>
      <c r="M1313" s="3">
        <f>IF(ISNUMBER(AVERAGE('20250815_ETF_Options_Exhibits'!M1309:M1313)),AVERAGE('20250815_ETF_Options_Exhibits'!M1309:M1313),"")</f>
        <v/>
      </c>
      <c r="N1313" s="3">
        <f>IF(ISNUMBER(AVERAGE('20250815_ETF_Options_Exhibits'!N1309:N1313)),AVERAGE('20250815_ETF_Options_Exhibits'!N1309:N1313),"")</f>
        <v/>
      </c>
      <c r="O1313" s="3">
        <f>IF(ISNUMBER(AVERAGE('20250815_ETF_Options_Exhibits'!O1309:O1313)),AVERAGE('20250815_ETF_Options_Exhibits'!O1309:O1313),"")</f>
        <v/>
      </c>
      <c r="P1313" s="3">
        <f>IF(ISNUMBER(AVERAGE('20250815_ETF_Options_Exhibits'!P1309:P1313)),AVERAGE('20250815_ETF_Options_Exhibits'!P1309:P1313),"")</f>
        <v/>
      </c>
      <c r="Q1313" s="3">
        <f>IF(ISNUMBER(AVERAGE('20250815_ETF_Options_Exhibits'!Q1309:Q1313)),AVERAGE('20250815_ETF_Options_Exhibits'!Q1309:Q1313),"")</f>
        <v/>
      </c>
      <c r="R1313" s="3">
        <f>IF(ISNUMBER(AVERAGE('20250815_ETF_Options_Exhibits'!R1309:R1313)),AVERAGE('20250815_ETF_Options_Exhibits'!R1309:R1313),"")</f>
        <v/>
      </c>
      <c r="S1313" s="3">
        <f>IF(ISNUMBER(AVERAGE('20250815_ETF_Options_Exhibits'!S1309:S1313)),AVERAGE('20250815_ETF_Options_Exhibits'!S1309:S1313),"")</f>
        <v/>
      </c>
      <c r="T1313" s="3">
        <f>IF(ISNUMBER(AVERAGE('20250815_ETF_Options_Exhibits'!T1309:T1313)),AVERAGE('20250815_ETF_Options_Exhibits'!T1309:T1313),"")</f>
        <v/>
      </c>
      <c r="U1313" s="3">
        <f>IF(ISNUMBER(AVERAGE('20250815_ETF_Options_Exhibits'!U1309:U1313)),AVERAGE('20250815_ETF_Options_Exhibits'!U1309:U1313),"")</f>
        <v/>
      </c>
      <c r="V1313" s="3">
        <f>IF(ISNUMBER(AVERAGE('20250815_ETF_Options_Exhibits'!V1309:V1313)),AVERAGE('20250815_ETF_Options_Exhibits'!V1309:V1313),"")</f>
        <v/>
      </c>
      <c r="W1313" s="3">
        <f>IF(ISNUMBER(AVERAGE('20250815_ETF_Options_Exhibits'!W1309:W1313)),AVERAGE('20250815_ETF_Options_Exhibits'!W1309:W1313),"")</f>
        <v/>
      </c>
      <c r="X1313" s="3">
        <f>IF(ISNUMBER(AVERAGE('20250815_ETF_Options_Exhibits'!X1309:X1313)),AVERAGE('20250815_ETF_Options_Exhibits'!X1309:X1313),"")</f>
        <v/>
      </c>
      <c r="Y1313" s="3">
        <f>IF(ISNUMBER(AVERAGE('20250815_ETF_Options_Exhibits'!Y1309:Y1313)),AVERAGE('20250815_ETF_Options_Exhibits'!Y1309:Y1313),"")</f>
        <v/>
      </c>
      <c r="Z1313" s="3">
        <f>IF(ISNUMBER(AVERAGE('20250815_ETF_Options_Exhibits'!Z1309:Z1313)),AVERAGE('20250815_ETF_Options_Exhibits'!Z1309:Z1313),"")</f>
        <v/>
      </c>
      <c r="AA1313" s="3">
        <f>IF(ISNUMBER(AVERAGE('20250815_ETF_Options_Exhibits'!AA1309:AA1313)),AVERAGE('20250815_ETF_Options_Exhibits'!AA1309:AA1313),"")</f>
        <v/>
      </c>
    </row>
    <row r="1314">
      <c r="A1314" s="1" t="n">
        <v>43909</v>
      </c>
      <c r="B1314" s="3">
        <f>IF(ISNUMBER(AVERAGE('20250815_ETF_Options_Exhibits'!B1310:B1314)),AVERAGE('20250815_ETF_Options_Exhibits'!B1310:B1314),"")</f>
        <v/>
      </c>
      <c r="C1314" s="3">
        <f>IF(ISNUMBER(AVERAGE('20250815_ETF_Options_Exhibits'!C1310:C1314)),AVERAGE('20250815_ETF_Options_Exhibits'!C1310:C1314),"")</f>
        <v/>
      </c>
      <c r="D1314" s="3">
        <f>IF(ISNUMBER(AVERAGE('20250815_ETF_Options_Exhibits'!D1310:D1314)),AVERAGE('20250815_ETF_Options_Exhibits'!D1310:D1314),"")</f>
        <v/>
      </c>
      <c r="E1314" s="3">
        <f>IF(ISNUMBER(AVERAGE('20250815_ETF_Options_Exhibits'!E1310:E1314)),AVERAGE('20250815_ETF_Options_Exhibits'!E1310:E1314),"")</f>
        <v/>
      </c>
      <c r="F1314" s="3">
        <f>IF(ISNUMBER(AVERAGE('20250815_ETF_Options_Exhibits'!F1310:F1314)),AVERAGE('20250815_ETF_Options_Exhibits'!F1310:F1314),"")</f>
        <v/>
      </c>
      <c r="G1314" s="3">
        <f>IF(ISNUMBER(AVERAGE('20250815_ETF_Options_Exhibits'!G1310:G1314)),AVERAGE('20250815_ETF_Options_Exhibits'!G1310:G1314),"")</f>
        <v/>
      </c>
      <c r="H1314" s="3">
        <f>IF(ISNUMBER(AVERAGE('20250815_ETF_Options_Exhibits'!H1310:H1314)),AVERAGE('20250815_ETF_Options_Exhibits'!H1310:H1314),"")</f>
        <v/>
      </c>
      <c r="I1314" s="3">
        <f>IF(ISNUMBER(AVERAGE('20250815_ETF_Options_Exhibits'!I1310:I1314)),AVERAGE('20250815_ETF_Options_Exhibits'!I1310:I1314),"")</f>
        <v/>
      </c>
      <c r="J1314" s="3">
        <f>IF(ISNUMBER(AVERAGE('20250815_ETF_Options_Exhibits'!J1310:J1314)),AVERAGE('20250815_ETF_Options_Exhibits'!J1310:J1314),"")</f>
        <v/>
      </c>
      <c r="K1314" s="3">
        <f>IF(ISNUMBER(AVERAGE('20250815_ETF_Options_Exhibits'!K1310:K1314)),AVERAGE('20250815_ETF_Options_Exhibits'!K1310:K1314),"")</f>
        <v/>
      </c>
      <c r="L1314" s="3">
        <f>IF(ISNUMBER(AVERAGE('20250815_ETF_Options_Exhibits'!L1310:L1314)),AVERAGE('20250815_ETF_Options_Exhibits'!L1310:L1314),"")</f>
        <v/>
      </c>
      <c r="M1314" s="3">
        <f>IF(ISNUMBER(AVERAGE('20250815_ETF_Options_Exhibits'!M1310:M1314)),AVERAGE('20250815_ETF_Options_Exhibits'!M1310:M1314),"")</f>
        <v/>
      </c>
      <c r="N1314" s="3">
        <f>IF(ISNUMBER(AVERAGE('20250815_ETF_Options_Exhibits'!N1310:N1314)),AVERAGE('20250815_ETF_Options_Exhibits'!N1310:N1314),"")</f>
        <v/>
      </c>
      <c r="O1314" s="3">
        <f>IF(ISNUMBER(AVERAGE('20250815_ETF_Options_Exhibits'!O1310:O1314)),AVERAGE('20250815_ETF_Options_Exhibits'!O1310:O1314),"")</f>
        <v/>
      </c>
      <c r="P1314" s="3">
        <f>IF(ISNUMBER(AVERAGE('20250815_ETF_Options_Exhibits'!P1310:P1314)),AVERAGE('20250815_ETF_Options_Exhibits'!P1310:P1314),"")</f>
        <v/>
      </c>
      <c r="Q1314" s="3">
        <f>IF(ISNUMBER(AVERAGE('20250815_ETF_Options_Exhibits'!Q1310:Q1314)),AVERAGE('20250815_ETF_Options_Exhibits'!Q1310:Q1314),"")</f>
        <v/>
      </c>
      <c r="R1314" s="3">
        <f>IF(ISNUMBER(AVERAGE('20250815_ETF_Options_Exhibits'!R1310:R1314)),AVERAGE('20250815_ETF_Options_Exhibits'!R1310:R1314),"")</f>
        <v/>
      </c>
      <c r="S1314" s="3">
        <f>IF(ISNUMBER(AVERAGE('20250815_ETF_Options_Exhibits'!S1310:S1314)),AVERAGE('20250815_ETF_Options_Exhibits'!S1310:S1314),"")</f>
        <v/>
      </c>
      <c r="T1314" s="3">
        <f>IF(ISNUMBER(AVERAGE('20250815_ETF_Options_Exhibits'!T1310:T1314)),AVERAGE('20250815_ETF_Options_Exhibits'!T1310:T1314),"")</f>
        <v/>
      </c>
      <c r="U1314" s="3">
        <f>IF(ISNUMBER(AVERAGE('20250815_ETF_Options_Exhibits'!U1310:U1314)),AVERAGE('20250815_ETF_Options_Exhibits'!U1310:U1314),"")</f>
        <v/>
      </c>
      <c r="V1314" s="3">
        <f>IF(ISNUMBER(AVERAGE('20250815_ETF_Options_Exhibits'!V1310:V1314)),AVERAGE('20250815_ETF_Options_Exhibits'!V1310:V1314),"")</f>
        <v/>
      </c>
      <c r="W1314" s="3">
        <f>IF(ISNUMBER(AVERAGE('20250815_ETF_Options_Exhibits'!W1310:W1314)),AVERAGE('20250815_ETF_Options_Exhibits'!W1310:W1314),"")</f>
        <v/>
      </c>
      <c r="X1314" s="3">
        <f>IF(ISNUMBER(AVERAGE('20250815_ETF_Options_Exhibits'!X1310:X1314)),AVERAGE('20250815_ETF_Options_Exhibits'!X1310:X1314),"")</f>
        <v/>
      </c>
      <c r="Y1314" s="3">
        <f>IF(ISNUMBER(AVERAGE('20250815_ETF_Options_Exhibits'!Y1310:Y1314)),AVERAGE('20250815_ETF_Options_Exhibits'!Y1310:Y1314),"")</f>
        <v/>
      </c>
      <c r="Z1314" s="3">
        <f>IF(ISNUMBER(AVERAGE('20250815_ETF_Options_Exhibits'!Z1310:Z1314)),AVERAGE('20250815_ETF_Options_Exhibits'!Z1310:Z1314),"")</f>
        <v/>
      </c>
      <c r="AA1314" s="3">
        <f>IF(ISNUMBER(AVERAGE('20250815_ETF_Options_Exhibits'!AA1310:AA1314)),AVERAGE('20250815_ETF_Options_Exhibits'!AA1310:AA1314),"")</f>
        <v/>
      </c>
    </row>
    <row r="1315">
      <c r="A1315" s="1" t="n">
        <v>43910</v>
      </c>
      <c r="B1315" s="3">
        <f>IF(ISNUMBER(AVERAGE('20250815_ETF_Options_Exhibits'!B1311:B1315)),AVERAGE('20250815_ETF_Options_Exhibits'!B1311:B1315),"")</f>
        <v/>
      </c>
      <c r="C1315" s="3">
        <f>IF(ISNUMBER(AVERAGE('20250815_ETF_Options_Exhibits'!C1311:C1315)),AVERAGE('20250815_ETF_Options_Exhibits'!C1311:C1315),"")</f>
        <v/>
      </c>
      <c r="D1315" s="3">
        <f>IF(ISNUMBER(AVERAGE('20250815_ETF_Options_Exhibits'!D1311:D1315)),AVERAGE('20250815_ETF_Options_Exhibits'!D1311:D1315),"")</f>
        <v/>
      </c>
      <c r="E1315" s="3">
        <f>IF(ISNUMBER(AVERAGE('20250815_ETF_Options_Exhibits'!E1311:E1315)),AVERAGE('20250815_ETF_Options_Exhibits'!E1311:E1315),"")</f>
        <v/>
      </c>
      <c r="F1315" s="3">
        <f>IF(ISNUMBER(AVERAGE('20250815_ETF_Options_Exhibits'!F1311:F1315)),AVERAGE('20250815_ETF_Options_Exhibits'!F1311:F1315),"")</f>
        <v/>
      </c>
      <c r="G1315" s="3">
        <f>IF(ISNUMBER(AVERAGE('20250815_ETF_Options_Exhibits'!G1311:G1315)),AVERAGE('20250815_ETF_Options_Exhibits'!G1311:G1315),"")</f>
        <v/>
      </c>
      <c r="H1315" s="3">
        <f>IF(ISNUMBER(AVERAGE('20250815_ETF_Options_Exhibits'!H1311:H1315)),AVERAGE('20250815_ETF_Options_Exhibits'!H1311:H1315),"")</f>
        <v/>
      </c>
      <c r="I1315" s="3">
        <f>IF(ISNUMBER(AVERAGE('20250815_ETF_Options_Exhibits'!I1311:I1315)),AVERAGE('20250815_ETF_Options_Exhibits'!I1311:I1315),"")</f>
        <v/>
      </c>
      <c r="J1315" s="3">
        <f>IF(ISNUMBER(AVERAGE('20250815_ETF_Options_Exhibits'!J1311:J1315)),AVERAGE('20250815_ETF_Options_Exhibits'!J1311:J1315),"")</f>
        <v/>
      </c>
      <c r="K1315" s="3">
        <f>IF(ISNUMBER(AVERAGE('20250815_ETF_Options_Exhibits'!K1311:K1315)),AVERAGE('20250815_ETF_Options_Exhibits'!K1311:K1315),"")</f>
        <v/>
      </c>
      <c r="L1315" s="3">
        <f>IF(ISNUMBER(AVERAGE('20250815_ETF_Options_Exhibits'!L1311:L1315)),AVERAGE('20250815_ETF_Options_Exhibits'!L1311:L1315),"")</f>
        <v/>
      </c>
      <c r="M1315" s="3">
        <f>IF(ISNUMBER(AVERAGE('20250815_ETF_Options_Exhibits'!M1311:M1315)),AVERAGE('20250815_ETF_Options_Exhibits'!M1311:M1315),"")</f>
        <v/>
      </c>
      <c r="N1315" s="3">
        <f>IF(ISNUMBER(AVERAGE('20250815_ETF_Options_Exhibits'!N1311:N1315)),AVERAGE('20250815_ETF_Options_Exhibits'!N1311:N1315),"")</f>
        <v/>
      </c>
      <c r="O1315" s="3">
        <f>IF(ISNUMBER(AVERAGE('20250815_ETF_Options_Exhibits'!O1311:O1315)),AVERAGE('20250815_ETF_Options_Exhibits'!O1311:O1315),"")</f>
        <v/>
      </c>
      <c r="P1315" s="3">
        <f>IF(ISNUMBER(AVERAGE('20250815_ETF_Options_Exhibits'!P1311:P1315)),AVERAGE('20250815_ETF_Options_Exhibits'!P1311:P1315),"")</f>
        <v/>
      </c>
      <c r="Q1315" s="3">
        <f>IF(ISNUMBER(AVERAGE('20250815_ETF_Options_Exhibits'!Q1311:Q1315)),AVERAGE('20250815_ETF_Options_Exhibits'!Q1311:Q1315),"")</f>
        <v/>
      </c>
      <c r="R1315" s="3">
        <f>IF(ISNUMBER(AVERAGE('20250815_ETF_Options_Exhibits'!R1311:R1315)),AVERAGE('20250815_ETF_Options_Exhibits'!R1311:R1315),"")</f>
        <v/>
      </c>
      <c r="S1315" s="3">
        <f>IF(ISNUMBER(AVERAGE('20250815_ETF_Options_Exhibits'!S1311:S1315)),AVERAGE('20250815_ETF_Options_Exhibits'!S1311:S1315),"")</f>
        <v/>
      </c>
      <c r="T1315" s="3">
        <f>IF(ISNUMBER(AVERAGE('20250815_ETF_Options_Exhibits'!T1311:T1315)),AVERAGE('20250815_ETF_Options_Exhibits'!T1311:T1315),"")</f>
        <v/>
      </c>
      <c r="U1315" s="3">
        <f>IF(ISNUMBER(AVERAGE('20250815_ETF_Options_Exhibits'!U1311:U1315)),AVERAGE('20250815_ETF_Options_Exhibits'!U1311:U1315),"")</f>
        <v/>
      </c>
      <c r="V1315" s="3">
        <f>IF(ISNUMBER(AVERAGE('20250815_ETF_Options_Exhibits'!V1311:V1315)),AVERAGE('20250815_ETF_Options_Exhibits'!V1311:V1315),"")</f>
        <v/>
      </c>
      <c r="W1315" s="3">
        <f>IF(ISNUMBER(AVERAGE('20250815_ETF_Options_Exhibits'!W1311:W1315)),AVERAGE('20250815_ETF_Options_Exhibits'!W1311:W1315),"")</f>
        <v/>
      </c>
      <c r="X1315" s="3">
        <f>IF(ISNUMBER(AVERAGE('20250815_ETF_Options_Exhibits'!X1311:X1315)),AVERAGE('20250815_ETF_Options_Exhibits'!X1311:X1315),"")</f>
        <v/>
      </c>
      <c r="Y1315" s="3">
        <f>IF(ISNUMBER(AVERAGE('20250815_ETF_Options_Exhibits'!Y1311:Y1315)),AVERAGE('20250815_ETF_Options_Exhibits'!Y1311:Y1315),"")</f>
        <v/>
      </c>
      <c r="Z1315" s="3">
        <f>IF(ISNUMBER(AVERAGE('20250815_ETF_Options_Exhibits'!Z1311:Z1315)),AVERAGE('20250815_ETF_Options_Exhibits'!Z1311:Z1315),"")</f>
        <v/>
      </c>
      <c r="AA1315" s="3">
        <f>IF(ISNUMBER(AVERAGE('20250815_ETF_Options_Exhibits'!AA1311:AA1315)),AVERAGE('20250815_ETF_Options_Exhibits'!AA1311:AA1315),"")</f>
        <v/>
      </c>
    </row>
    <row r="1316">
      <c r="A1316" s="1" t="n">
        <v>43913</v>
      </c>
      <c r="B1316" s="3">
        <f>IF(ISNUMBER(AVERAGE('20250815_ETF_Options_Exhibits'!B1312:B1316)),AVERAGE('20250815_ETF_Options_Exhibits'!B1312:B1316),"")</f>
        <v/>
      </c>
      <c r="C1316" s="3">
        <f>IF(ISNUMBER(AVERAGE('20250815_ETF_Options_Exhibits'!C1312:C1316)),AVERAGE('20250815_ETF_Options_Exhibits'!C1312:C1316),"")</f>
        <v/>
      </c>
      <c r="D1316" s="3">
        <f>IF(ISNUMBER(AVERAGE('20250815_ETF_Options_Exhibits'!D1312:D1316)),AVERAGE('20250815_ETF_Options_Exhibits'!D1312:D1316),"")</f>
        <v/>
      </c>
      <c r="E1316" s="3">
        <f>IF(ISNUMBER(AVERAGE('20250815_ETF_Options_Exhibits'!E1312:E1316)),AVERAGE('20250815_ETF_Options_Exhibits'!E1312:E1316),"")</f>
        <v/>
      </c>
      <c r="F1316" s="3">
        <f>IF(ISNUMBER(AVERAGE('20250815_ETF_Options_Exhibits'!F1312:F1316)),AVERAGE('20250815_ETF_Options_Exhibits'!F1312:F1316),"")</f>
        <v/>
      </c>
      <c r="G1316" s="3">
        <f>IF(ISNUMBER(AVERAGE('20250815_ETF_Options_Exhibits'!G1312:G1316)),AVERAGE('20250815_ETF_Options_Exhibits'!G1312:G1316),"")</f>
        <v/>
      </c>
      <c r="H1316" s="3">
        <f>IF(ISNUMBER(AVERAGE('20250815_ETF_Options_Exhibits'!H1312:H1316)),AVERAGE('20250815_ETF_Options_Exhibits'!H1312:H1316),"")</f>
        <v/>
      </c>
      <c r="I1316" s="3">
        <f>IF(ISNUMBER(AVERAGE('20250815_ETF_Options_Exhibits'!I1312:I1316)),AVERAGE('20250815_ETF_Options_Exhibits'!I1312:I1316),"")</f>
        <v/>
      </c>
      <c r="J1316" s="3">
        <f>IF(ISNUMBER(AVERAGE('20250815_ETF_Options_Exhibits'!J1312:J1316)),AVERAGE('20250815_ETF_Options_Exhibits'!J1312:J1316),"")</f>
        <v/>
      </c>
      <c r="K1316" s="3">
        <f>IF(ISNUMBER(AVERAGE('20250815_ETF_Options_Exhibits'!K1312:K1316)),AVERAGE('20250815_ETF_Options_Exhibits'!K1312:K1316),"")</f>
        <v/>
      </c>
      <c r="L1316" s="3">
        <f>IF(ISNUMBER(AVERAGE('20250815_ETF_Options_Exhibits'!L1312:L1316)),AVERAGE('20250815_ETF_Options_Exhibits'!L1312:L1316),"")</f>
        <v/>
      </c>
      <c r="M1316" s="3">
        <f>IF(ISNUMBER(AVERAGE('20250815_ETF_Options_Exhibits'!M1312:M1316)),AVERAGE('20250815_ETF_Options_Exhibits'!M1312:M1316),"")</f>
        <v/>
      </c>
      <c r="N1316" s="3">
        <f>IF(ISNUMBER(AVERAGE('20250815_ETF_Options_Exhibits'!N1312:N1316)),AVERAGE('20250815_ETF_Options_Exhibits'!N1312:N1316),"")</f>
        <v/>
      </c>
      <c r="O1316" s="3">
        <f>IF(ISNUMBER(AVERAGE('20250815_ETF_Options_Exhibits'!O1312:O1316)),AVERAGE('20250815_ETF_Options_Exhibits'!O1312:O1316),"")</f>
        <v/>
      </c>
      <c r="P1316" s="3">
        <f>IF(ISNUMBER(AVERAGE('20250815_ETF_Options_Exhibits'!P1312:P1316)),AVERAGE('20250815_ETF_Options_Exhibits'!P1312:P1316),"")</f>
        <v/>
      </c>
      <c r="Q1316" s="3">
        <f>IF(ISNUMBER(AVERAGE('20250815_ETF_Options_Exhibits'!Q1312:Q1316)),AVERAGE('20250815_ETF_Options_Exhibits'!Q1312:Q1316),"")</f>
        <v/>
      </c>
      <c r="R1316" s="3">
        <f>IF(ISNUMBER(AVERAGE('20250815_ETF_Options_Exhibits'!R1312:R1316)),AVERAGE('20250815_ETF_Options_Exhibits'!R1312:R1316),"")</f>
        <v/>
      </c>
      <c r="S1316" s="3">
        <f>IF(ISNUMBER(AVERAGE('20250815_ETF_Options_Exhibits'!S1312:S1316)),AVERAGE('20250815_ETF_Options_Exhibits'!S1312:S1316),"")</f>
        <v/>
      </c>
      <c r="T1316" s="3">
        <f>IF(ISNUMBER(AVERAGE('20250815_ETF_Options_Exhibits'!T1312:T1316)),AVERAGE('20250815_ETF_Options_Exhibits'!T1312:T1316),"")</f>
        <v/>
      </c>
      <c r="U1316" s="3">
        <f>IF(ISNUMBER(AVERAGE('20250815_ETF_Options_Exhibits'!U1312:U1316)),AVERAGE('20250815_ETF_Options_Exhibits'!U1312:U1316),"")</f>
        <v/>
      </c>
      <c r="V1316" s="3">
        <f>IF(ISNUMBER(AVERAGE('20250815_ETF_Options_Exhibits'!V1312:V1316)),AVERAGE('20250815_ETF_Options_Exhibits'!V1312:V1316),"")</f>
        <v/>
      </c>
      <c r="W1316" s="3">
        <f>IF(ISNUMBER(AVERAGE('20250815_ETF_Options_Exhibits'!W1312:W1316)),AVERAGE('20250815_ETF_Options_Exhibits'!W1312:W1316),"")</f>
        <v/>
      </c>
      <c r="X1316" s="3">
        <f>IF(ISNUMBER(AVERAGE('20250815_ETF_Options_Exhibits'!X1312:X1316)),AVERAGE('20250815_ETF_Options_Exhibits'!X1312:X1316),"")</f>
        <v/>
      </c>
      <c r="Y1316" s="3">
        <f>IF(ISNUMBER(AVERAGE('20250815_ETF_Options_Exhibits'!Y1312:Y1316)),AVERAGE('20250815_ETF_Options_Exhibits'!Y1312:Y1316),"")</f>
        <v/>
      </c>
      <c r="Z1316" s="3">
        <f>IF(ISNUMBER(AVERAGE('20250815_ETF_Options_Exhibits'!Z1312:Z1316)),AVERAGE('20250815_ETF_Options_Exhibits'!Z1312:Z1316),"")</f>
        <v/>
      </c>
      <c r="AA1316" s="3">
        <f>IF(ISNUMBER(AVERAGE('20250815_ETF_Options_Exhibits'!AA1312:AA1316)),AVERAGE('20250815_ETF_Options_Exhibits'!AA1312:AA1316),"")</f>
        <v/>
      </c>
    </row>
    <row r="1317">
      <c r="A1317" s="1" t="n">
        <v>43914</v>
      </c>
      <c r="B1317" s="3">
        <f>IF(ISNUMBER(AVERAGE('20250815_ETF_Options_Exhibits'!B1313:B1317)),AVERAGE('20250815_ETF_Options_Exhibits'!B1313:B1317),"")</f>
        <v/>
      </c>
      <c r="C1317" s="3">
        <f>IF(ISNUMBER(AVERAGE('20250815_ETF_Options_Exhibits'!C1313:C1317)),AVERAGE('20250815_ETF_Options_Exhibits'!C1313:C1317),"")</f>
        <v/>
      </c>
      <c r="D1317" s="3">
        <f>IF(ISNUMBER(AVERAGE('20250815_ETF_Options_Exhibits'!D1313:D1317)),AVERAGE('20250815_ETF_Options_Exhibits'!D1313:D1317),"")</f>
        <v/>
      </c>
      <c r="E1317" s="3">
        <f>IF(ISNUMBER(AVERAGE('20250815_ETF_Options_Exhibits'!E1313:E1317)),AVERAGE('20250815_ETF_Options_Exhibits'!E1313:E1317),"")</f>
        <v/>
      </c>
      <c r="F1317" s="3">
        <f>IF(ISNUMBER(AVERAGE('20250815_ETF_Options_Exhibits'!F1313:F1317)),AVERAGE('20250815_ETF_Options_Exhibits'!F1313:F1317),"")</f>
        <v/>
      </c>
      <c r="G1317" s="3">
        <f>IF(ISNUMBER(AVERAGE('20250815_ETF_Options_Exhibits'!G1313:G1317)),AVERAGE('20250815_ETF_Options_Exhibits'!G1313:G1317),"")</f>
        <v/>
      </c>
      <c r="H1317" s="3">
        <f>IF(ISNUMBER(AVERAGE('20250815_ETF_Options_Exhibits'!H1313:H1317)),AVERAGE('20250815_ETF_Options_Exhibits'!H1313:H1317),"")</f>
        <v/>
      </c>
      <c r="I1317" s="3">
        <f>IF(ISNUMBER(AVERAGE('20250815_ETF_Options_Exhibits'!I1313:I1317)),AVERAGE('20250815_ETF_Options_Exhibits'!I1313:I1317),"")</f>
        <v/>
      </c>
      <c r="J1317" s="3">
        <f>IF(ISNUMBER(AVERAGE('20250815_ETF_Options_Exhibits'!J1313:J1317)),AVERAGE('20250815_ETF_Options_Exhibits'!J1313:J1317),"")</f>
        <v/>
      </c>
      <c r="K1317" s="3">
        <f>IF(ISNUMBER(AVERAGE('20250815_ETF_Options_Exhibits'!K1313:K1317)),AVERAGE('20250815_ETF_Options_Exhibits'!K1313:K1317),"")</f>
        <v/>
      </c>
      <c r="L1317" s="3">
        <f>IF(ISNUMBER(AVERAGE('20250815_ETF_Options_Exhibits'!L1313:L1317)),AVERAGE('20250815_ETF_Options_Exhibits'!L1313:L1317),"")</f>
        <v/>
      </c>
      <c r="M1317" s="3">
        <f>IF(ISNUMBER(AVERAGE('20250815_ETF_Options_Exhibits'!M1313:M1317)),AVERAGE('20250815_ETF_Options_Exhibits'!M1313:M1317),"")</f>
        <v/>
      </c>
      <c r="N1317" s="3">
        <f>IF(ISNUMBER(AVERAGE('20250815_ETF_Options_Exhibits'!N1313:N1317)),AVERAGE('20250815_ETF_Options_Exhibits'!N1313:N1317),"")</f>
        <v/>
      </c>
      <c r="O1317" s="3">
        <f>IF(ISNUMBER(AVERAGE('20250815_ETF_Options_Exhibits'!O1313:O1317)),AVERAGE('20250815_ETF_Options_Exhibits'!O1313:O1317),"")</f>
        <v/>
      </c>
      <c r="P1317" s="3">
        <f>IF(ISNUMBER(AVERAGE('20250815_ETF_Options_Exhibits'!P1313:P1317)),AVERAGE('20250815_ETF_Options_Exhibits'!P1313:P1317),"")</f>
        <v/>
      </c>
      <c r="Q1317" s="3">
        <f>IF(ISNUMBER(AVERAGE('20250815_ETF_Options_Exhibits'!Q1313:Q1317)),AVERAGE('20250815_ETF_Options_Exhibits'!Q1313:Q1317),"")</f>
        <v/>
      </c>
      <c r="R1317" s="3">
        <f>IF(ISNUMBER(AVERAGE('20250815_ETF_Options_Exhibits'!R1313:R1317)),AVERAGE('20250815_ETF_Options_Exhibits'!R1313:R1317),"")</f>
        <v/>
      </c>
      <c r="S1317" s="3">
        <f>IF(ISNUMBER(AVERAGE('20250815_ETF_Options_Exhibits'!S1313:S1317)),AVERAGE('20250815_ETF_Options_Exhibits'!S1313:S1317),"")</f>
        <v/>
      </c>
      <c r="T1317" s="3">
        <f>IF(ISNUMBER(AVERAGE('20250815_ETF_Options_Exhibits'!T1313:T1317)),AVERAGE('20250815_ETF_Options_Exhibits'!T1313:T1317),"")</f>
        <v/>
      </c>
      <c r="U1317" s="3">
        <f>IF(ISNUMBER(AVERAGE('20250815_ETF_Options_Exhibits'!U1313:U1317)),AVERAGE('20250815_ETF_Options_Exhibits'!U1313:U1317),"")</f>
        <v/>
      </c>
      <c r="V1317" s="3">
        <f>IF(ISNUMBER(AVERAGE('20250815_ETF_Options_Exhibits'!V1313:V1317)),AVERAGE('20250815_ETF_Options_Exhibits'!V1313:V1317),"")</f>
        <v/>
      </c>
      <c r="W1317" s="3">
        <f>IF(ISNUMBER(AVERAGE('20250815_ETF_Options_Exhibits'!W1313:W1317)),AVERAGE('20250815_ETF_Options_Exhibits'!W1313:W1317),"")</f>
        <v/>
      </c>
      <c r="X1317" s="3">
        <f>IF(ISNUMBER(AVERAGE('20250815_ETF_Options_Exhibits'!X1313:X1317)),AVERAGE('20250815_ETF_Options_Exhibits'!X1313:X1317),"")</f>
        <v/>
      </c>
      <c r="Y1317" s="3">
        <f>IF(ISNUMBER(AVERAGE('20250815_ETF_Options_Exhibits'!Y1313:Y1317)),AVERAGE('20250815_ETF_Options_Exhibits'!Y1313:Y1317),"")</f>
        <v/>
      </c>
      <c r="Z1317" s="3">
        <f>IF(ISNUMBER(AVERAGE('20250815_ETF_Options_Exhibits'!Z1313:Z1317)),AVERAGE('20250815_ETF_Options_Exhibits'!Z1313:Z1317),"")</f>
        <v/>
      </c>
      <c r="AA1317" s="3">
        <f>IF(ISNUMBER(AVERAGE('20250815_ETF_Options_Exhibits'!AA1313:AA1317)),AVERAGE('20250815_ETF_Options_Exhibits'!AA1313:AA1317),"")</f>
        <v/>
      </c>
    </row>
    <row r="1318">
      <c r="A1318" s="1" t="n">
        <v>43915</v>
      </c>
      <c r="B1318" s="3">
        <f>IF(ISNUMBER(AVERAGE('20250815_ETF_Options_Exhibits'!B1314:B1318)),AVERAGE('20250815_ETF_Options_Exhibits'!B1314:B1318),"")</f>
        <v/>
      </c>
      <c r="C1318" s="3">
        <f>IF(ISNUMBER(AVERAGE('20250815_ETF_Options_Exhibits'!C1314:C1318)),AVERAGE('20250815_ETF_Options_Exhibits'!C1314:C1318),"")</f>
        <v/>
      </c>
      <c r="D1318" s="3">
        <f>IF(ISNUMBER(AVERAGE('20250815_ETF_Options_Exhibits'!D1314:D1318)),AVERAGE('20250815_ETF_Options_Exhibits'!D1314:D1318),"")</f>
        <v/>
      </c>
      <c r="E1318" s="3">
        <f>IF(ISNUMBER(AVERAGE('20250815_ETF_Options_Exhibits'!E1314:E1318)),AVERAGE('20250815_ETF_Options_Exhibits'!E1314:E1318),"")</f>
        <v/>
      </c>
      <c r="F1318" s="3">
        <f>IF(ISNUMBER(AVERAGE('20250815_ETF_Options_Exhibits'!F1314:F1318)),AVERAGE('20250815_ETF_Options_Exhibits'!F1314:F1318),"")</f>
        <v/>
      </c>
      <c r="G1318" s="3">
        <f>IF(ISNUMBER(AVERAGE('20250815_ETF_Options_Exhibits'!G1314:G1318)),AVERAGE('20250815_ETF_Options_Exhibits'!G1314:G1318),"")</f>
        <v/>
      </c>
      <c r="H1318" s="3">
        <f>IF(ISNUMBER(AVERAGE('20250815_ETF_Options_Exhibits'!H1314:H1318)),AVERAGE('20250815_ETF_Options_Exhibits'!H1314:H1318),"")</f>
        <v/>
      </c>
      <c r="I1318" s="3">
        <f>IF(ISNUMBER(AVERAGE('20250815_ETF_Options_Exhibits'!I1314:I1318)),AVERAGE('20250815_ETF_Options_Exhibits'!I1314:I1318),"")</f>
        <v/>
      </c>
      <c r="J1318" s="3">
        <f>IF(ISNUMBER(AVERAGE('20250815_ETF_Options_Exhibits'!J1314:J1318)),AVERAGE('20250815_ETF_Options_Exhibits'!J1314:J1318),"")</f>
        <v/>
      </c>
      <c r="K1318" s="3">
        <f>IF(ISNUMBER(AVERAGE('20250815_ETF_Options_Exhibits'!K1314:K1318)),AVERAGE('20250815_ETF_Options_Exhibits'!K1314:K1318),"")</f>
        <v/>
      </c>
      <c r="L1318" s="3">
        <f>IF(ISNUMBER(AVERAGE('20250815_ETF_Options_Exhibits'!L1314:L1318)),AVERAGE('20250815_ETF_Options_Exhibits'!L1314:L1318),"")</f>
        <v/>
      </c>
      <c r="M1318" s="3">
        <f>IF(ISNUMBER(AVERAGE('20250815_ETF_Options_Exhibits'!M1314:M1318)),AVERAGE('20250815_ETF_Options_Exhibits'!M1314:M1318),"")</f>
        <v/>
      </c>
      <c r="N1318" s="3">
        <f>IF(ISNUMBER(AVERAGE('20250815_ETF_Options_Exhibits'!N1314:N1318)),AVERAGE('20250815_ETF_Options_Exhibits'!N1314:N1318),"")</f>
        <v/>
      </c>
      <c r="O1318" s="3">
        <f>IF(ISNUMBER(AVERAGE('20250815_ETF_Options_Exhibits'!O1314:O1318)),AVERAGE('20250815_ETF_Options_Exhibits'!O1314:O1318),"")</f>
        <v/>
      </c>
      <c r="P1318" s="3">
        <f>IF(ISNUMBER(AVERAGE('20250815_ETF_Options_Exhibits'!P1314:P1318)),AVERAGE('20250815_ETF_Options_Exhibits'!P1314:P1318),"")</f>
        <v/>
      </c>
      <c r="Q1318" s="3">
        <f>IF(ISNUMBER(AVERAGE('20250815_ETF_Options_Exhibits'!Q1314:Q1318)),AVERAGE('20250815_ETF_Options_Exhibits'!Q1314:Q1318),"")</f>
        <v/>
      </c>
      <c r="R1318" s="3">
        <f>IF(ISNUMBER(AVERAGE('20250815_ETF_Options_Exhibits'!R1314:R1318)),AVERAGE('20250815_ETF_Options_Exhibits'!R1314:R1318),"")</f>
        <v/>
      </c>
      <c r="S1318" s="3">
        <f>IF(ISNUMBER(AVERAGE('20250815_ETF_Options_Exhibits'!S1314:S1318)),AVERAGE('20250815_ETF_Options_Exhibits'!S1314:S1318),"")</f>
        <v/>
      </c>
      <c r="T1318" s="3">
        <f>IF(ISNUMBER(AVERAGE('20250815_ETF_Options_Exhibits'!T1314:T1318)),AVERAGE('20250815_ETF_Options_Exhibits'!T1314:T1318),"")</f>
        <v/>
      </c>
      <c r="U1318" s="3">
        <f>IF(ISNUMBER(AVERAGE('20250815_ETF_Options_Exhibits'!U1314:U1318)),AVERAGE('20250815_ETF_Options_Exhibits'!U1314:U1318),"")</f>
        <v/>
      </c>
      <c r="V1318" s="3">
        <f>IF(ISNUMBER(AVERAGE('20250815_ETF_Options_Exhibits'!V1314:V1318)),AVERAGE('20250815_ETF_Options_Exhibits'!V1314:V1318),"")</f>
        <v/>
      </c>
      <c r="W1318" s="3">
        <f>IF(ISNUMBER(AVERAGE('20250815_ETF_Options_Exhibits'!W1314:W1318)),AVERAGE('20250815_ETF_Options_Exhibits'!W1314:W1318),"")</f>
        <v/>
      </c>
      <c r="X1318" s="3">
        <f>IF(ISNUMBER(AVERAGE('20250815_ETF_Options_Exhibits'!X1314:X1318)),AVERAGE('20250815_ETF_Options_Exhibits'!X1314:X1318),"")</f>
        <v/>
      </c>
      <c r="Y1318" s="3">
        <f>IF(ISNUMBER(AVERAGE('20250815_ETF_Options_Exhibits'!Y1314:Y1318)),AVERAGE('20250815_ETF_Options_Exhibits'!Y1314:Y1318),"")</f>
        <v/>
      </c>
      <c r="Z1318" s="3">
        <f>IF(ISNUMBER(AVERAGE('20250815_ETF_Options_Exhibits'!Z1314:Z1318)),AVERAGE('20250815_ETF_Options_Exhibits'!Z1314:Z1318),"")</f>
        <v/>
      </c>
      <c r="AA1318" s="3">
        <f>IF(ISNUMBER(AVERAGE('20250815_ETF_Options_Exhibits'!AA1314:AA1318)),AVERAGE('20250815_ETF_Options_Exhibits'!AA1314:AA1318),"")</f>
        <v/>
      </c>
    </row>
    <row r="1319">
      <c r="A1319" s="1" t="n">
        <v>43916</v>
      </c>
      <c r="B1319" s="3">
        <f>IF(ISNUMBER(AVERAGE('20250815_ETF_Options_Exhibits'!B1315:B1319)),AVERAGE('20250815_ETF_Options_Exhibits'!B1315:B1319),"")</f>
        <v/>
      </c>
      <c r="C1319" s="3">
        <f>IF(ISNUMBER(AVERAGE('20250815_ETF_Options_Exhibits'!C1315:C1319)),AVERAGE('20250815_ETF_Options_Exhibits'!C1315:C1319),"")</f>
        <v/>
      </c>
      <c r="D1319" s="3">
        <f>IF(ISNUMBER(AVERAGE('20250815_ETF_Options_Exhibits'!D1315:D1319)),AVERAGE('20250815_ETF_Options_Exhibits'!D1315:D1319),"")</f>
        <v/>
      </c>
      <c r="E1319" s="3">
        <f>IF(ISNUMBER(AVERAGE('20250815_ETF_Options_Exhibits'!E1315:E1319)),AVERAGE('20250815_ETF_Options_Exhibits'!E1315:E1319),"")</f>
        <v/>
      </c>
      <c r="F1319" s="3">
        <f>IF(ISNUMBER(AVERAGE('20250815_ETF_Options_Exhibits'!F1315:F1319)),AVERAGE('20250815_ETF_Options_Exhibits'!F1315:F1319),"")</f>
        <v/>
      </c>
      <c r="G1319" s="3">
        <f>IF(ISNUMBER(AVERAGE('20250815_ETF_Options_Exhibits'!G1315:G1319)),AVERAGE('20250815_ETF_Options_Exhibits'!G1315:G1319),"")</f>
        <v/>
      </c>
      <c r="H1319" s="3">
        <f>IF(ISNUMBER(AVERAGE('20250815_ETF_Options_Exhibits'!H1315:H1319)),AVERAGE('20250815_ETF_Options_Exhibits'!H1315:H1319),"")</f>
        <v/>
      </c>
      <c r="I1319" s="3">
        <f>IF(ISNUMBER(AVERAGE('20250815_ETF_Options_Exhibits'!I1315:I1319)),AVERAGE('20250815_ETF_Options_Exhibits'!I1315:I1319),"")</f>
        <v/>
      </c>
      <c r="J1319" s="3">
        <f>IF(ISNUMBER(AVERAGE('20250815_ETF_Options_Exhibits'!J1315:J1319)),AVERAGE('20250815_ETF_Options_Exhibits'!J1315:J1319),"")</f>
        <v/>
      </c>
      <c r="K1319" s="3">
        <f>IF(ISNUMBER(AVERAGE('20250815_ETF_Options_Exhibits'!K1315:K1319)),AVERAGE('20250815_ETF_Options_Exhibits'!K1315:K1319),"")</f>
        <v/>
      </c>
      <c r="L1319" s="3">
        <f>IF(ISNUMBER(AVERAGE('20250815_ETF_Options_Exhibits'!L1315:L1319)),AVERAGE('20250815_ETF_Options_Exhibits'!L1315:L1319),"")</f>
        <v/>
      </c>
      <c r="M1319" s="3">
        <f>IF(ISNUMBER(AVERAGE('20250815_ETF_Options_Exhibits'!M1315:M1319)),AVERAGE('20250815_ETF_Options_Exhibits'!M1315:M1319),"")</f>
        <v/>
      </c>
      <c r="N1319" s="3">
        <f>IF(ISNUMBER(AVERAGE('20250815_ETF_Options_Exhibits'!N1315:N1319)),AVERAGE('20250815_ETF_Options_Exhibits'!N1315:N1319),"")</f>
        <v/>
      </c>
      <c r="O1319" s="3">
        <f>IF(ISNUMBER(AVERAGE('20250815_ETF_Options_Exhibits'!O1315:O1319)),AVERAGE('20250815_ETF_Options_Exhibits'!O1315:O1319),"")</f>
        <v/>
      </c>
      <c r="P1319" s="3">
        <f>IF(ISNUMBER(AVERAGE('20250815_ETF_Options_Exhibits'!P1315:P1319)),AVERAGE('20250815_ETF_Options_Exhibits'!P1315:P1319),"")</f>
        <v/>
      </c>
      <c r="Q1319" s="3">
        <f>IF(ISNUMBER(AVERAGE('20250815_ETF_Options_Exhibits'!Q1315:Q1319)),AVERAGE('20250815_ETF_Options_Exhibits'!Q1315:Q1319),"")</f>
        <v/>
      </c>
      <c r="R1319" s="3">
        <f>IF(ISNUMBER(AVERAGE('20250815_ETF_Options_Exhibits'!R1315:R1319)),AVERAGE('20250815_ETF_Options_Exhibits'!R1315:R1319),"")</f>
        <v/>
      </c>
      <c r="S1319" s="3">
        <f>IF(ISNUMBER(AVERAGE('20250815_ETF_Options_Exhibits'!S1315:S1319)),AVERAGE('20250815_ETF_Options_Exhibits'!S1315:S1319),"")</f>
        <v/>
      </c>
      <c r="T1319" s="3">
        <f>IF(ISNUMBER(AVERAGE('20250815_ETF_Options_Exhibits'!T1315:T1319)),AVERAGE('20250815_ETF_Options_Exhibits'!T1315:T1319),"")</f>
        <v/>
      </c>
      <c r="U1319" s="3">
        <f>IF(ISNUMBER(AVERAGE('20250815_ETF_Options_Exhibits'!U1315:U1319)),AVERAGE('20250815_ETF_Options_Exhibits'!U1315:U1319),"")</f>
        <v/>
      </c>
      <c r="V1319" s="3">
        <f>IF(ISNUMBER(AVERAGE('20250815_ETF_Options_Exhibits'!V1315:V1319)),AVERAGE('20250815_ETF_Options_Exhibits'!V1315:V1319),"")</f>
        <v/>
      </c>
      <c r="W1319" s="3">
        <f>IF(ISNUMBER(AVERAGE('20250815_ETF_Options_Exhibits'!W1315:W1319)),AVERAGE('20250815_ETF_Options_Exhibits'!W1315:W1319),"")</f>
        <v/>
      </c>
      <c r="X1319" s="3">
        <f>IF(ISNUMBER(AVERAGE('20250815_ETF_Options_Exhibits'!X1315:X1319)),AVERAGE('20250815_ETF_Options_Exhibits'!X1315:X1319),"")</f>
        <v/>
      </c>
      <c r="Y1319" s="3">
        <f>IF(ISNUMBER(AVERAGE('20250815_ETF_Options_Exhibits'!Y1315:Y1319)),AVERAGE('20250815_ETF_Options_Exhibits'!Y1315:Y1319),"")</f>
        <v/>
      </c>
      <c r="Z1319" s="3">
        <f>IF(ISNUMBER(AVERAGE('20250815_ETF_Options_Exhibits'!Z1315:Z1319)),AVERAGE('20250815_ETF_Options_Exhibits'!Z1315:Z1319),"")</f>
        <v/>
      </c>
      <c r="AA1319" s="3">
        <f>IF(ISNUMBER(AVERAGE('20250815_ETF_Options_Exhibits'!AA1315:AA1319)),AVERAGE('20250815_ETF_Options_Exhibits'!AA1315:AA1319),"")</f>
        <v/>
      </c>
    </row>
    <row r="1320">
      <c r="A1320" s="1" t="n">
        <v>43917</v>
      </c>
      <c r="B1320" s="3">
        <f>IF(ISNUMBER(AVERAGE('20250815_ETF_Options_Exhibits'!B1316:B1320)),AVERAGE('20250815_ETF_Options_Exhibits'!B1316:B1320),"")</f>
        <v/>
      </c>
      <c r="C1320" s="3">
        <f>IF(ISNUMBER(AVERAGE('20250815_ETF_Options_Exhibits'!C1316:C1320)),AVERAGE('20250815_ETF_Options_Exhibits'!C1316:C1320),"")</f>
        <v/>
      </c>
      <c r="D1320" s="3">
        <f>IF(ISNUMBER(AVERAGE('20250815_ETF_Options_Exhibits'!D1316:D1320)),AVERAGE('20250815_ETF_Options_Exhibits'!D1316:D1320),"")</f>
        <v/>
      </c>
      <c r="E1320" s="3">
        <f>IF(ISNUMBER(AVERAGE('20250815_ETF_Options_Exhibits'!E1316:E1320)),AVERAGE('20250815_ETF_Options_Exhibits'!E1316:E1320),"")</f>
        <v/>
      </c>
      <c r="F1320" s="3">
        <f>IF(ISNUMBER(AVERAGE('20250815_ETF_Options_Exhibits'!F1316:F1320)),AVERAGE('20250815_ETF_Options_Exhibits'!F1316:F1320),"")</f>
        <v/>
      </c>
      <c r="G1320" s="3">
        <f>IF(ISNUMBER(AVERAGE('20250815_ETF_Options_Exhibits'!G1316:G1320)),AVERAGE('20250815_ETF_Options_Exhibits'!G1316:G1320),"")</f>
        <v/>
      </c>
      <c r="H1320" s="3">
        <f>IF(ISNUMBER(AVERAGE('20250815_ETF_Options_Exhibits'!H1316:H1320)),AVERAGE('20250815_ETF_Options_Exhibits'!H1316:H1320),"")</f>
        <v/>
      </c>
      <c r="I1320" s="3">
        <f>IF(ISNUMBER(AVERAGE('20250815_ETF_Options_Exhibits'!I1316:I1320)),AVERAGE('20250815_ETF_Options_Exhibits'!I1316:I1320),"")</f>
        <v/>
      </c>
      <c r="J1320" s="3">
        <f>IF(ISNUMBER(AVERAGE('20250815_ETF_Options_Exhibits'!J1316:J1320)),AVERAGE('20250815_ETF_Options_Exhibits'!J1316:J1320),"")</f>
        <v/>
      </c>
      <c r="K1320" s="3">
        <f>IF(ISNUMBER(AVERAGE('20250815_ETF_Options_Exhibits'!K1316:K1320)),AVERAGE('20250815_ETF_Options_Exhibits'!K1316:K1320),"")</f>
        <v/>
      </c>
      <c r="L1320" s="3">
        <f>IF(ISNUMBER(AVERAGE('20250815_ETF_Options_Exhibits'!L1316:L1320)),AVERAGE('20250815_ETF_Options_Exhibits'!L1316:L1320),"")</f>
        <v/>
      </c>
      <c r="M1320" s="3">
        <f>IF(ISNUMBER(AVERAGE('20250815_ETF_Options_Exhibits'!M1316:M1320)),AVERAGE('20250815_ETF_Options_Exhibits'!M1316:M1320),"")</f>
        <v/>
      </c>
      <c r="N1320" s="3">
        <f>IF(ISNUMBER(AVERAGE('20250815_ETF_Options_Exhibits'!N1316:N1320)),AVERAGE('20250815_ETF_Options_Exhibits'!N1316:N1320),"")</f>
        <v/>
      </c>
      <c r="O1320" s="3">
        <f>IF(ISNUMBER(AVERAGE('20250815_ETF_Options_Exhibits'!O1316:O1320)),AVERAGE('20250815_ETF_Options_Exhibits'!O1316:O1320),"")</f>
        <v/>
      </c>
      <c r="P1320" s="3">
        <f>IF(ISNUMBER(AVERAGE('20250815_ETF_Options_Exhibits'!P1316:P1320)),AVERAGE('20250815_ETF_Options_Exhibits'!P1316:P1320),"")</f>
        <v/>
      </c>
      <c r="Q1320" s="3">
        <f>IF(ISNUMBER(AVERAGE('20250815_ETF_Options_Exhibits'!Q1316:Q1320)),AVERAGE('20250815_ETF_Options_Exhibits'!Q1316:Q1320),"")</f>
        <v/>
      </c>
      <c r="R1320" s="3">
        <f>IF(ISNUMBER(AVERAGE('20250815_ETF_Options_Exhibits'!R1316:R1320)),AVERAGE('20250815_ETF_Options_Exhibits'!R1316:R1320),"")</f>
        <v/>
      </c>
      <c r="S1320" s="3">
        <f>IF(ISNUMBER(AVERAGE('20250815_ETF_Options_Exhibits'!S1316:S1320)),AVERAGE('20250815_ETF_Options_Exhibits'!S1316:S1320),"")</f>
        <v/>
      </c>
      <c r="T1320" s="3">
        <f>IF(ISNUMBER(AVERAGE('20250815_ETF_Options_Exhibits'!T1316:T1320)),AVERAGE('20250815_ETF_Options_Exhibits'!T1316:T1320),"")</f>
        <v/>
      </c>
      <c r="U1320" s="3">
        <f>IF(ISNUMBER(AVERAGE('20250815_ETF_Options_Exhibits'!U1316:U1320)),AVERAGE('20250815_ETF_Options_Exhibits'!U1316:U1320),"")</f>
        <v/>
      </c>
      <c r="V1320" s="3">
        <f>IF(ISNUMBER(AVERAGE('20250815_ETF_Options_Exhibits'!V1316:V1320)),AVERAGE('20250815_ETF_Options_Exhibits'!V1316:V1320),"")</f>
        <v/>
      </c>
      <c r="W1320" s="3">
        <f>IF(ISNUMBER(AVERAGE('20250815_ETF_Options_Exhibits'!W1316:W1320)),AVERAGE('20250815_ETF_Options_Exhibits'!W1316:W1320),"")</f>
        <v/>
      </c>
      <c r="X1320" s="3">
        <f>IF(ISNUMBER(AVERAGE('20250815_ETF_Options_Exhibits'!X1316:X1320)),AVERAGE('20250815_ETF_Options_Exhibits'!X1316:X1320),"")</f>
        <v/>
      </c>
      <c r="Y1320" s="3">
        <f>IF(ISNUMBER(AVERAGE('20250815_ETF_Options_Exhibits'!Y1316:Y1320)),AVERAGE('20250815_ETF_Options_Exhibits'!Y1316:Y1320),"")</f>
        <v/>
      </c>
      <c r="Z1320" s="3">
        <f>IF(ISNUMBER(AVERAGE('20250815_ETF_Options_Exhibits'!Z1316:Z1320)),AVERAGE('20250815_ETF_Options_Exhibits'!Z1316:Z1320),"")</f>
        <v/>
      </c>
      <c r="AA1320" s="3">
        <f>IF(ISNUMBER(AVERAGE('20250815_ETF_Options_Exhibits'!AA1316:AA1320)),AVERAGE('20250815_ETF_Options_Exhibits'!AA1316:AA1320),"")</f>
        <v/>
      </c>
    </row>
    <row r="1321">
      <c r="A1321" s="1" t="n">
        <v>43920</v>
      </c>
      <c r="B1321" s="3">
        <f>IF(ISNUMBER(AVERAGE('20250815_ETF_Options_Exhibits'!B1317:B1321)),AVERAGE('20250815_ETF_Options_Exhibits'!B1317:B1321),"")</f>
        <v/>
      </c>
      <c r="C1321" s="3">
        <f>IF(ISNUMBER(AVERAGE('20250815_ETF_Options_Exhibits'!C1317:C1321)),AVERAGE('20250815_ETF_Options_Exhibits'!C1317:C1321),"")</f>
        <v/>
      </c>
      <c r="D1321" s="3">
        <f>IF(ISNUMBER(AVERAGE('20250815_ETF_Options_Exhibits'!D1317:D1321)),AVERAGE('20250815_ETF_Options_Exhibits'!D1317:D1321),"")</f>
        <v/>
      </c>
      <c r="E1321" s="3">
        <f>IF(ISNUMBER(AVERAGE('20250815_ETF_Options_Exhibits'!E1317:E1321)),AVERAGE('20250815_ETF_Options_Exhibits'!E1317:E1321),"")</f>
        <v/>
      </c>
      <c r="F1321" s="3">
        <f>IF(ISNUMBER(AVERAGE('20250815_ETF_Options_Exhibits'!F1317:F1321)),AVERAGE('20250815_ETF_Options_Exhibits'!F1317:F1321),"")</f>
        <v/>
      </c>
      <c r="G1321" s="3">
        <f>IF(ISNUMBER(AVERAGE('20250815_ETF_Options_Exhibits'!G1317:G1321)),AVERAGE('20250815_ETF_Options_Exhibits'!G1317:G1321),"")</f>
        <v/>
      </c>
      <c r="H1321" s="3">
        <f>IF(ISNUMBER(AVERAGE('20250815_ETF_Options_Exhibits'!H1317:H1321)),AVERAGE('20250815_ETF_Options_Exhibits'!H1317:H1321),"")</f>
        <v/>
      </c>
      <c r="I1321" s="3">
        <f>IF(ISNUMBER(AVERAGE('20250815_ETF_Options_Exhibits'!I1317:I1321)),AVERAGE('20250815_ETF_Options_Exhibits'!I1317:I1321),"")</f>
        <v/>
      </c>
      <c r="J1321" s="3">
        <f>IF(ISNUMBER(AVERAGE('20250815_ETF_Options_Exhibits'!J1317:J1321)),AVERAGE('20250815_ETF_Options_Exhibits'!J1317:J1321),"")</f>
        <v/>
      </c>
      <c r="K1321" s="3">
        <f>IF(ISNUMBER(AVERAGE('20250815_ETF_Options_Exhibits'!K1317:K1321)),AVERAGE('20250815_ETF_Options_Exhibits'!K1317:K1321),"")</f>
        <v/>
      </c>
      <c r="L1321" s="3">
        <f>IF(ISNUMBER(AVERAGE('20250815_ETF_Options_Exhibits'!L1317:L1321)),AVERAGE('20250815_ETF_Options_Exhibits'!L1317:L1321),"")</f>
        <v/>
      </c>
      <c r="M1321" s="3">
        <f>IF(ISNUMBER(AVERAGE('20250815_ETF_Options_Exhibits'!M1317:M1321)),AVERAGE('20250815_ETF_Options_Exhibits'!M1317:M1321),"")</f>
        <v/>
      </c>
      <c r="N1321" s="3">
        <f>IF(ISNUMBER(AVERAGE('20250815_ETF_Options_Exhibits'!N1317:N1321)),AVERAGE('20250815_ETF_Options_Exhibits'!N1317:N1321),"")</f>
        <v/>
      </c>
      <c r="O1321" s="3">
        <f>IF(ISNUMBER(AVERAGE('20250815_ETF_Options_Exhibits'!O1317:O1321)),AVERAGE('20250815_ETF_Options_Exhibits'!O1317:O1321),"")</f>
        <v/>
      </c>
      <c r="P1321" s="3">
        <f>IF(ISNUMBER(AVERAGE('20250815_ETF_Options_Exhibits'!P1317:P1321)),AVERAGE('20250815_ETF_Options_Exhibits'!P1317:P1321),"")</f>
        <v/>
      </c>
      <c r="Q1321" s="3">
        <f>IF(ISNUMBER(AVERAGE('20250815_ETF_Options_Exhibits'!Q1317:Q1321)),AVERAGE('20250815_ETF_Options_Exhibits'!Q1317:Q1321),"")</f>
        <v/>
      </c>
      <c r="R1321" s="3">
        <f>IF(ISNUMBER(AVERAGE('20250815_ETF_Options_Exhibits'!R1317:R1321)),AVERAGE('20250815_ETF_Options_Exhibits'!R1317:R1321),"")</f>
        <v/>
      </c>
      <c r="S1321" s="3">
        <f>IF(ISNUMBER(AVERAGE('20250815_ETF_Options_Exhibits'!S1317:S1321)),AVERAGE('20250815_ETF_Options_Exhibits'!S1317:S1321),"")</f>
        <v/>
      </c>
      <c r="T1321" s="3">
        <f>IF(ISNUMBER(AVERAGE('20250815_ETF_Options_Exhibits'!T1317:T1321)),AVERAGE('20250815_ETF_Options_Exhibits'!T1317:T1321),"")</f>
        <v/>
      </c>
      <c r="U1321" s="3">
        <f>IF(ISNUMBER(AVERAGE('20250815_ETF_Options_Exhibits'!U1317:U1321)),AVERAGE('20250815_ETF_Options_Exhibits'!U1317:U1321),"")</f>
        <v/>
      </c>
      <c r="V1321" s="3">
        <f>IF(ISNUMBER(AVERAGE('20250815_ETF_Options_Exhibits'!V1317:V1321)),AVERAGE('20250815_ETF_Options_Exhibits'!V1317:V1321),"")</f>
        <v/>
      </c>
      <c r="W1321" s="3">
        <f>IF(ISNUMBER(AVERAGE('20250815_ETF_Options_Exhibits'!W1317:W1321)),AVERAGE('20250815_ETF_Options_Exhibits'!W1317:W1321),"")</f>
        <v/>
      </c>
      <c r="X1321" s="3">
        <f>IF(ISNUMBER(AVERAGE('20250815_ETF_Options_Exhibits'!X1317:X1321)),AVERAGE('20250815_ETF_Options_Exhibits'!X1317:X1321),"")</f>
        <v/>
      </c>
      <c r="Y1321" s="3">
        <f>IF(ISNUMBER(AVERAGE('20250815_ETF_Options_Exhibits'!Y1317:Y1321)),AVERAGE('20250815_ETF_Options_Exhibits'!Y1317:Y1321),"")</f>
        <v/>
      </c>
      <c r="Z1321" s="3">
        <f>IF(ISNUMBER(AVERAGE('20250815_ETF_Options_Exhibits'!Z1317:Z1321)),AVERAGE('20250815_ETF_Options_Exhibits'!Z1317:Z1321),"")</f>
        <v/>
      </c>
      <c r="AA1321" s="3">
        <f>IF(ISNUMBER(AVERAGE('20250815_ETF_Options_Exhibits'!AA1317:AA1321)),AVERAGE('20250815_ETF_Options_Exhibits'!AA1317:AA1321),"")</f>
        <v/>
      </c>
    </row>
    <row r="1322">
      <c r="A1322" s="1" t="n">
        <v>43921</v>
      </c>
      <c r="B1322" s="3">
        <f>IF(ISNUMBER(AVERAGE('20250815_ETF_Options_Exhibits'!B1318:B1322)),AVERAGE('20250815_ETF_Options_Exhibits'!B1318:B1322),"")</f>
        <v/>
      </c>
      <c r="C1322" s="3">
        <f>IF(ISNUMBER(AVERAGE('20250815_ETF_Options_Exhibits'!C1318:C1322)),AVERAGE('20250815_ETF_Options_Exhibits'!C1318:C1322),"")</f>
        <v/>
      </c>
      <c r="D1322" s="3">
        <f>IF(ISNUMBER(AVERAGE('20250815_ETF_Options_Exhibits'!D1318:D1322)),AVERAGE('20250815_ETF_Options_Exhibits'!D1318:D1322),"")</f>
        <v/>
      </c>
      <c r="E1322" s="3">
        <f>IF(ISNUMBER(AVERAGE('20250815_ETF_Options_Exhibits'!E1318:E1322)),AVERAGE('20250815_ETF_Options_Exhibits'!E1318:E1322),"")</f>
        <v/>
      </c>
      <c r="F1322" s="3">
        <f>IF(ISNUMBER(AVERAGE('20250815_ETF_Options_Exhibits'!F1318:F1322)),AVERAGE('20250815_ETF_Options_Exhibits'!F1318:F1322),"")</f>
        <v/>
      </c>
      <c r="G1322" s="3">
        <f>IF(ISNUMBER(AVERAGE('20250815_ETF_Options_Exhibits'!G1318:G1322)),AVERAGE('20250815_ETF_Options_Exhibits'!G1318:G1322),"")</f>
        <v/>
      </c>
      <c r="H1322" s="3">
        <f>IF(ISNUMBER(AVERAGE('20250815_ETF_Options_Exhibits'!H1318:H1322)),AVERAGE('20250815_ETF_Options_Exhibits'!H1318:H1322),"")</f>
        <v/>
      </c>
      <c r="I1322" s="3">
        <f>IF(ISNUMBER(AVERAGE('20250815_ETF_Options_Exhibits'!I1318:I1322)),AVERAGE('20250815_ETF_Options_Exhibits'!I1318:I1322),"")</f>
        <v/>
      </c>
      <c r="J1322" s="3">
        <f>IF(ISNUMBER(AVERAGE('20250815_ETF_Options_Exhibits'!J1318:J1322)),AVERAGE('20250815_ETF_Options_Exhibits'!J1318:J1322),"")</f>
        <v/>
      </c>
      <c r="K1322" s="3">
        <f>IF(ISNUMBER(AVERAGE('20250815_ETF_Options_Exhibits'!K1318:K1322)),AVERAGE('20250815_ETF_Options_Exhibits'!K1318:K1322),"")</f>
        <v/>
      </c>
      <c r="L1322" s="3">
        <f>IF(ISNUMBER(AVERAGE('20250815_ETF_Options_Exhibits'!L1318:L1322)),AVERAGE('20250815_ETF_Options_Exhibits'!L1318:L1322),"")</f>
        <v/>
      </c>
      <c r="M1322" s="3">
        <f>IF(ISNUMBER(AVERAGE('20250815_ETF_Options_Exhibits'!M1318:M1322)),AVERAGE('20250815_ETF_Options_Exhibits'!M1318:M1322),"")</f>
        <v/>
      </c>
      <c r="N1322" s="3">
        <f>IF(ISNUMBER(AVERAGE('20250815_ETF_Options_Exhibits'!N1318:N1322)),AVERAGE('20250815_ETF_Options_Exhibits'!N1318:N1322),"")</f>
        <v/>
      </c>
      <c r="O1322" s="3">
        <f>IF(ISNUMBER(AVERAGE('20250815_ETF_Options_Exhibits'!O1318:O1322)),AVERAGE('20250815_ETF_Options_Exhibits'!O1318:O1322),"")</f>
        <v/>
      </c>
      <c r="P1322" s="3">
        <f>IF(ISNUMBER(AVERAGE('20250815_ETF_Options_Exhibits'!P1318:P1322)),AVERAGE('20250815_ETF_Options_Exhibits'!P1318:P1322),"")</f>
        <v/>
      </c>
      <c r="Q1322" s="3">
        <f>IF(ISNUMBER(AVERAGE('20250815_ETF_Options_Exhibits'!Q1318:Q1322)),AVERAGE('20250815_ETF_Options_Exhibits'!Q1318:Q1322),"")</f>
        <v/>
      </c>
      <c r="R1322" s="3">
        <f>IF(ISNUMBER(AVERAGE('20250815_ETF_Options_Exhibits'!R1318:R1322)),AVERAGE('20250815_ETF_Options_Exhibits'!R1318:R1322),"")</f>
        <v/>
      </c>
      <c r="S1322" s="3">
        <f>IF(ISNUMBER(AVERAGE('20250815_ETF_Options_Exhibits'!S1318:S1322)),AVERAGE('20250815_ETF_Options_Exhibits'!S1318:S1322),"")</f>
        <v/>
      </c>
      <c r="T1322" s="3">
        <f>IF(ISNUMBER(AVERAGE('20250815_ETF_Options_Exhibits'!T1318:T1322)),AVERAGE('20250815_ETF_Options_Exhibits'!T1318:T1322),"")</f>
        <v/>
      </c>
      <c r="U1322" s="3">
        <f>IF(ISNUMBER(AVERAGE('20250815_ETF_Options_Exhibits'!U1318:U1322)),AVERAGE('20250815_ETF_Options_Exhibits'!U1318:U1322),"")</f>
        <v/>
      </c>
      <c r="V1322" s="3">
        <f>IF(ISNUMBER(AVERAGE('20250815_ETF_Options_Exhibits'!V1318:V1322)),AVERAGE('20250815_ETF_Options_Exhibits'!V1318:V1322),"")</f>
        <v/>
      </c>
      <c r="W1322" s="3">
        <f>IF(ISNUMBER(AVERAGE('20250815_ETF_Options_Exhibits'!W1318:W1322)),AVERAGE('20250815_ETF_Options_Exhibits'!W1318:W1322),"")</f>
        <v/>
      </c>
      <c r="X1322" s="3">
        <f>IF(ISNUMBER(AVERAGE('20250815_ETF_Options_Exhibits'!X1318:X1322)),AVERAGE('20250815_ETF_Options_Exhibits'!X1318:X1322),"")</f>
        <v/>
      </c>
      <c r="Y1322" s="3">
        <f>IF(ISNUMBER(AVERAGE('20250815_ETF_Options_Exhibits'!Y1318:Y1322)),AVERAGE('20250815_ETF_Options_Exhibits'!Y1318:Y1322),"")</f>
        <v/>
      </c>
      <c r="Z1322" s="3">
        <f>IF(ISNUMBER(AVERAGE('20250815_ETF_Options_Exhibits'!Z1318:Z1322)),AVERAGE('20250815_ETF_Options_Exhibits'!Z1318:Z1322),"")</f>
        <v/>
      </c>
      <c r="AA1322" s="3">
        <f>IF(ISNUMBER(AVERAGE('20250815_ETF_Options_Exhibits'!AA1318:AA1322)),AVERAGE('20250815_ETF_Options_Exhibits'!AA1318:AA1322),"")</f>
        <v/>
      </c>
    </row>
    <row r="1323">
      <c r="A1323" s="1" t="n">
        <v>43922</v>
      </c>
      <c r="B1323" s="3">
        <f>IF(ISNUMBER(AVERAGE('20250815_ETF_Options_Exhibits'!B1319:B1323)),AVERAGE('20250815_ETF_Options_Exhibits'!B1319:B1323),"")</f>
        <v/>
      </c>
      <c r="C1323" s="3">
        <f>IF(ISNUMBER(AVERAGE('20250815_ETF_Options_Exhibits'!C1319:C1323)),AVERAGE('20250815_ETF_Options_Exhibits'!C1319:C1323),"")</f>
        <v/>
      </c>
      <c r="D1323" s="3">
        <f>IF(ISNUMBER(AVERAGE('20250815_ETF_Options_Exhibits'!D1319:D1323)),AVERAGE('20250815_ETF_Options_Exhibits'!D1319:D1323),"")</f>
        <v/>
      </c>
      <c r="E1323" s="3">
        <f>IF(ISNUMBER(AVERAGE('20250815_ETF_Options_Exhibits'!E1319:E1323)),AVERAGE('20250815_ETF_Options_Exhibits'!E1319:E1323),"")</f>
        <v/>
      </c>
      <c r="F1323" s="3">
        <f>IF(ISNUMBER(AVERAGE('20250815_ETF_Options_Exhibits'!F1319:F1323)),AVERAGE('20250815_ETF_Options_Exhibits'!F1319:F1323),"")</f>
        <v/>
      </c>
      <c r="G1323" s="3">
        <f>IF(ISNUMBER(AVERAGE('20250815_ETF_Options_Exhibits'!G1319:G1323)),AVERAGE('20250815_ETF_Options_Exhibits'!G1319:G1323),"")</f>
        <v/>
      </c>
      <c r="H1323" s="3">
        <f>IF(ISNUMBER(AVERAGE('20250815_ETF_Options_Exhibits'!H1319:H1323)),AVERAGE('20250815_ETF_Options_Exhibits'!H1319:H1323),"")</f>
        <v/>
      </c>
      <c r="I1323" s="3">
        <f>IF(ISNUMBER(AVERAGE('20250815_ETF_Options_Exhibits'!I1319:I1323)),AVERAGE('20250815_ETF_Options_Exhibits'!I1319:I1323),"")</f>
        <v/>
      </c>
      <c r="J1323" s="3">
        <f>IF(ISNUMBER(AVERAGE('20250815_ETF_Options_Exhibits'!J1319:J1323)),AVERAGE('20250815_ETF_Options_Exhibits'!J1319:J1323),"")</f>
        <v/>
      </c>
      <c r="K1323" s="3">
        <f>IF(ISNUMBER(AVERAGE('20250815_ETF_Options_Exhibits'!K1319:K1323)),AVERAGE('20250815_ETF_Options_Exhibits'!K1319:K1323),"")</f>
        <v/>
      </c>
      <c r="L1323" s="3">
        <f>IF(ISNUMBER(AVERAGE('20250815_ETF_Options_Exhibits'!L1319:L1323)),AVERAGE('20250815_ETF_Options_Exhibits'!L1319:L1323),"")</f>
        <v/>
      </c>
      <c r="M1323" s="3">
        <f>IF(ISNUMBER(AVERAGE('20250815_ETF_Options_Exhibits'!M1319:M1323)),AVERAGE('20250815_ETF_Options_Exhibits'!M1319:M1323),"")</f>
        <v/>
      </c>
      <c r="N1323" s="3">
        <f>IF(ISNUMBER(AVERAGE('20250815_ETF_Options_Exhibits'!N1319:N1323)),AVERAGE('20250815_ETF_Options_Exhibits'!N1319:N1323),"")</f>
        <v/>
      </c>
      <c r="O1323" s="3">
        <f>IF(ISNUMBER(AVERAGE('20250815_ETF_Options_Exhibits'!O1319:O1323)),AVERAGE('20250815_ETF_Options_Exhibits'!O1319:O1323),"")</f>
        <v/>
      </c>
      <c r="P1323" s="3">
        <f>IF(ISNUMBER(AVERAGE('20250815_ETF_Options_Exhibits'!P1319:P1323)),AVERAGE('20250815_ETF_Options_Exhibits'!P1319:P1323),"")</f>
        <v/>
      </c>
      <c r="Q1323" s="3">
        <f>IF(ISNUMBER(AVERAGE('20250815_ETF_Options_Exhibits'!Q1319:Q1323)),AVERAGE('20250815_ETF_Options_Exhibits'!Q1319:Q1323),"")</f>
        <v/>
      </c>
      <c r="R1323" s="3">
        <f>IF(ISNUMBER(AVERAGE('20250815_ETF_Options_Exhibits'!R1319:R1323)),AVERAGE('20250815_ETF_Options_Exhibits'!R1319:R1323),"")</f>
        <v/>
      </c>
      <c r="S1323" s="3">
        <f>IF(ISNUMBER(AVERAGE('20250815_ETF_Options_Exhibits'!S1319:S1323)),AVERAGE('20250815_ETF_Options_Exhibits'!S1319:S1323),"")</f>
        <v/>
      </c>
      <c r="T1323" s="3">
        <f>IF(ISNUMBER(AVERAGE('20250815_ETF_Options_Exhibits'!T1319:T1323)),AVERAGE('20250815_ETF_Options_Exhibits'!T1319:T1323),"")</f>
        <v/>
      </c>
      <c r="U1323" s="3">
        <f>IF(ISNUMBER(AVERAGE('20250815_ETF_Options_Exhibits'!U1319:U1323)),AVERAGE('20250815_ETF_Options_Exhibits'!U1319:U1323),"")</f>
        <v/>
      </c>
      <c r="V1323" s="3">
        <f>IF(ISNUMBER(AVERAGE('20250815_ETF_Options_Exhibits'!V1319:V1323)),AVERAGE('20250815_ETF_Options_Exhibits'!V1319:V1323),"")</f>
        <v/>
      </c>
      <c r="W1323" s="3">
        <f>IF(ISNUMBER(AVERAGE('20250815_ETF_Options_Exhibits'!W1319:W1323)),AVERAGE('20250815_ETF_Options_Exhibits'!W1319:W1323),"")</f>
        <v/>
      </c>
      <c r="X1323" s="3">
        <f>IF(ISNUMBER(AVERAGE('20250815_ETF_Options_Exhibits'!X1319:X1323)),AVERAGE('20250815_ETF_Options_Exhibits'!X1319:X1323),"")</f>
        <v/>
      </c>
      <c r="Y1323" s="3">
        <f>IF(ISNUMBER(AVERAGE('20250815_ETF_Options_Exhibits'!Y1319:Y1323)),AVERAGE('20250815_ETF_Options_Exhibits'!Y1319:Y1323),"")</f>
        <v/>
      </c>
      <c r="Z1323" s="3">
        <f>IF(ISNUMBER(AVERAGE('20250815_ETF_Options_Exhibits'!Z1319:Z1323)),AVERAGE('20250815_ETF_Options_Exhibits'!Z1319:Z1323),"")</f>
        <v/>
      </c>
      <c r="AA1323" s="3">
        <f>IF(ISNUMBER(AVERAGE('20250815_ETF_Options_Exhibits'!AA1319:AA1323)),AVERAGE('20250815_ETF_Options_Exhibits'!AA1319:AA1323),"")</f>
        <v/>
      </c>
    </row>
    <row r="1324">
      <c r="A1324" s="1" t="n">
        <v>43923</v>
      </c>
      <c r="B1324" s="3">
        <f>IF(ISNUMBER(AVERAGE('20250815_ETF_Options_Exhibits'!B1320:B1324)),AVERAGE('20250815_ETF_Options_Exhibits'!B1320:B1324),"")</f>
        <v/>
      </c>
      <c r="C1324" s="3">
        <f>IF(ISNUMBER(AVERAGE('20250815_ETF_Options_Exhibits'!C1320:C1324)),AVERAGE('20250815_ETF_Options_Exhibits'!C1320:C1324),"")</f>
        <v/>
      </c>
      <c r="D1324" s="3">
        <f>IF(ISNUMBER(AVERAGE('20250815_ETF_Options_Exhibits'!D1320:D1324)),AVERAGE('20250815_ETF_Options_Exhibits'!D1320:D1324),"")</f>
        <v/>
      </c>
      <c r="E1324" s="3">
        <f>IF(ISNUMBER(AVERAGE('20250815_ETF_Options_Exhibits'!E1320:E1324)),AVERAGE('20250815_ETF_Options_Exhibits'!E1320:E1324),"")</f>
        <v/>
      </c>
      <c r="F1324" s="3">
        <f>IF(ISNUMBER(AVERAGE('20250815_ETF_Options_Exhibits'!F1320:F1324)),AVERAGE('20250815_ETF_Options_Exhibits'!F1320:F1324),"")</f>
        <v/>
      </c>
      <c r="G1324" s="3">
        <f>IF(ISNUMBER(AVERAGE('20250815_ETF_Options_Exhibits'!G1320:G1324)),AVERAGE('20250815_ETF_Options_Exhibits'!G1320:G1324),"")</f>
        <v/>
      </c>
      <c r="H1324" s="3">
        <f>IF(ISNUMBER(AVERAGE('20250815_ETF_Options_Exhibits'!H1320:H1324)),AVERAGE('20250815_ETF_Options_Exhibits'!H1320:H1324),"")</f>
        <v/>
      </c>
      <c r="I1324" s="3">
        <f>IF(ISNUMBER(AVERAGE('20250815_ETF_Options_Exhibits'!I1320:I1324)),AVERAGE('20250815_ETF_Options_Exhibits'!I1320:I1324),"")</f>
        <v/>
      </c>
      <c r="J1324" s="3">
        <f>IF(ISNUMBER(AVERAGE('20250815_ETF_Options_Exhibits'!J1320:J1324)),AVERAGE('20250815_ETF_Options_Exhibits'!J1320:J1324),"")</f>
        <v/>
      </c>
      <c r="K1324" s="3">
        <f>IF(ISNUMBER(AVERAGE('20250815_ETF_Options_Exhibits'!K1320:K1324)),AVERAGE('20250815_ETF_Options_Exhibits'!K1320:K1324),"")</f>
        <v/>
      </c>
      <c r="L1324" s="3">
        <f>IF(ISNUMBER(AVERAGE('20250815_ETF_Options_Exhibits'!L1320:L1324)),AVERAGE('20250815_ETF_Options_Exhibits'!L1320:L1324),"")</f>
        <v/>
      </c>
      <c r="M1324" s="3">
        <f>IF(ISNUMBER(AVERAGE('20250815_ETF_Options_Exhibits'!M1320:M1324)),AVERAGE('20250815_ETF_Options_Exhibits'!M1320:M1324),"")</f>
        <v/>
      </c>
      <c r="N1324" s="3">
        <f>IF(ISNUMBER(AVERAGE('20250815_ETF_Options_Exhibits'!N1320:N1324)),AVERAGE('20250815_ETF_Options_Exhibits'!N1320:N1324),"")</f>
        <v/>
      </c>
      <c r="O1324" s="3">
        <f>IF(ISNUMBER(AVERAGE('20250815_ETF_Options_Exhibits'!O1320:O1324)),AVERAGE('20250815_ETF_Options_Exhibits'!O1320:O1324),"")</f>
        <v/>
      </c>
      <c r="P1324" s="3">
        <f>IF(ISNUMBER(AVERAGE('20250815_ETF_Options_Exhibits'!P1320:P1324)),AVERAGE('20250815_ETF_Options_Exhibits'!P1320:P1324),"")</f>
        <v/>
      </c>
      <c r="Q1324" s="3">
        <f>IF(ISNUMBER(AVERAGE('20250815_ETF_Options_Exhibits'!Q1320:Q1324)),AVERAGE('20250815_ETF_Options_Exhibits'!Q1320:Q1324),"")</f>
        <v/>
      </c>
      <c r="R1324" s="3">
        <f>IF(ISNUMBER(AVERAGE('20250815_ETF_Options_Exhibits'!R1320:R1324)),AVERAGE('20250815_ETF_Options_Exhibits'!R1320:R1324),"")</f>
        <v/>
      </c>
      <c r="S1324" s="3">
        <f>IF(ISNUMBER(AVERAGE('20250815_ETF_Options_Exhibits'!S1320:S1324)),AVERAGE('20250815_ETF_Options_Exhibits'!S1320:S1324),"")</f>
        <v/>
      </c>
      <c r="T1324" s="3">
        <f>IF(ISNUMBER(AVERAGE('20250815_ETF_Options_Exhibits'!T1320:T1324)),AVERAGE('20250815_ETF_Options_Exhibits'!T1320:T1324),"")</f>
        <v/>
      </c>
      <c r="U1324" s="3">
        <f>IF(ISNUMBER(AVERAGE('20250815_ETF_Options_Exhibits'!U1320:U1324)),AVERAGE('20250815_ETF_Options_Exhibits'!U1320:U1324),"")</f>
        <v/>
      </c>
      <c r="V1324" s="3">
        <f>IF(ISNUMBER(AVERAGE('20250815_ETF_Options_Exhibits'!V1320:V1324)),AVERAGE('20250815_ETF_Options_Exhibits'!V1320:V1324),"")</f>
        <v/>
      </c>
      <c r="W1324" s="3">
        <f>IF(ISNUMBER(AVERAGE('20250815_ETF_Options_Exhibits'!W1320:W1324)),AVERAGE('20250815_ETF_Options_Exhibits'!W1320:W1324),"")</f>
        <v/>
      </c>
      <c r="X1324" s="3">
        <f>IF(ISNUMBER(AVERAGE('20250815_ETF_Options_Exhibits'!X1320:X1324)),AVERAGE('20250815_ETF_Options_Exhibits'!X1320:X1324),"")</f>
        <v/>
      </c>
      <c r="Y1324" s="3">
        <f>IF(ISNUMBER(AVERAGE('20250815_ETF_Options_Exhibits'!Y1320:Y1324)),AVERAGE('20250815_ETF_Options_Exhibits'!Y1320:Y1324),"")</f>
        <v/>
      </c>
      <c r="Z1324" s="3">
        <f>IF(ISNUMBER(AVERAGE('20250815_ETF_Options_Exhibits'!Z1320:Z1324)),AVERAGE('20250815_ETF_Options_Exhibits'!Z1320:Z1324),"")</f>
        <v/>
      </c>
      <c r="AA1324" s="3">
        <f>IF(ISNUMBER(AVERAGE('20250815_ETF_Options_Exhibits'!AA1320:AA1324)),AVERAGE('20250815_ETF_Options_Exhibits'!AA1320:AA1324),"")</f>
        <v/>
      </c>
    </row>
    <row r="1325">
      <c r="A1325" s="1" t="n">
        <v>43924</v>
      </c>
      <c r="B1325" s="3">
        <f>IF(ISNUMBER(AVERAGE('20250815_ETF_Options_Exhibits'!B1321:B1325)),AVERAGE('20250815_ETF_Options_Exhibits'!B1321:B1325),"")</f>
        <v/>
      </c>
      <c r="C1325" s="3">
        <f>IF(ISNUMBER(AVERAGE('20250815_ETF_Options_Exhibits'!C1321:C1325)),AVERAGE('20250815_ETF_Options_Exhibits'!C1321:C1325),"")</f>
        <v/>
      </c>
      <c r="D1325" s="3">
        <f>IF(ISNUMBER(AVERAGE('20250815_ETF_Options_Exhibits'!D1321:D1325)),AVERAGE('20250815_ETF_Options_Exhibits'!D1321:D1325),"")</f>
        <v/>
      </c>
      <c r="E1325" s="3">
        <f>IF(ISNUMBER(AVERAGE('20250815_ETF_Options_Exhibits'!E1321:E1325)),AVERAGE('20250815_ETF_Options_Exhibits'!E1321:E1325),"")</f>
        <v/>
      </c>
      <c r="F1325" s="3">
        <f>IF(ISNUMBER(AVERAGE('20250815_ETF_Options_Exhibits'!F1321:F1325)),AVERAGE('20250815_ETF_Options_Exhibits'!F1321:F1325),"")</f>
        <v/>
      </c>
      <c r="G1325" s="3">
        <f>IF(ISNUMBER(AVERAGE('20250815_ETF_Options_Exhibits'!G1321:G1325)),AVERAGE('20250815_ETF_Options_Exhibits'!G1321:G1325),"")</f>
        <v/>
      </c>
      <c r="H1325" s="3">
        <f>IF(ISNUMBER(AVERAGE('20250815_ETF_Options_Exhibits'!H1321:H1325)),AVERAGE('20250815_ETF_Options_Exhibits'!H1321:H1325),"")</f>
        <v/>
      </c>
      <c r="I1325" s="3">
        <f>IF(ISNUMBER(AVERAGE('20250815_ETF_Options_Exhibits'!I1321:I1325)),AVERAGE('20250815_ETF_Options_Exhibits'!I1321:I1325),"")</f>
        <v/>
      </c>
      <c r="J1325" s="3">
        <f>IF(ISNUMBER(AVERAGE('20250815_ETF_Options_Exhibits'!J1321:J1325)),AVERAGE('20250815_ETF_Options_Exhibits'!J1321:J1325),"")</f>
        <v/>
      </c>
      <c r="K1325" s="3">
        <f>IF(ISNUMBER(AVERAGE('20250815_ETF_Options_Exhibits'!K1321:K1325)),AVERAGE('20250815_ETF_Options_Exhibits'!K1321:K1325),"")</f>
        <v/>
      </c>
      <c r="L1325" s="3">
        <f>IF(ISNUMBER(AVERAGE('20250815_ETF_Options_Exhibits'!L1321:L1325)),AVERAGE('20250815_ETF_Options_Exhibits'!L1321:L1325),"")</f>
        <v/>
      </c>
      <c r="M1325" s="3">
        <f>IF(ISNUMBER(AVERAGE('20250815_ETF_Options_Exhibits'!M1321:M1325)),AVERAGE('20250815_ETF_Options_Exhibits'!M1321:M1325),"")</f>
        <v/>
      </c>
      <c r="N1325" s="3">
        <f>IF(ISNUMBER(AVERAGE('20250815_ETF_Options_Exhibits'!N1321:N1325)),AVERAGE('20250815_ETF_Options_Exhibits'!N1321:N1325),"")</f>
        <v/>
      </c>
      <c r="O1325" s="3">
        <f>IF(ISNUMBER(AVERAGE('20250815_ETF_Options_Exhibits'!O1321:O1325)),AVERAGE('20250815_ETF_Options_Exhibits'!O1321:O1325),"")</f>
        <v/>
      </c>
      <c r="P1325" s="3">
        <f>IF(ISNUMBER(AVERAGE('20250815_ETF_Options_Exhibits'!P1321:P1325)),AVERAGE('20250815_ETF_Options_Exhibits'!P1321:P1325),"")</f>
        <v/>
      </c>
      <c r="Q1325" s="3">
        <f>IF(ISNUMBER(AVERAGE('20250815_ETF_Options_Exhibits'!Q1321:Q1325)),AVERAGE('20250815_ETF_Options_Exhibits'!Q1321:Q1325),"")</f>
        <v/>
      </c>
      <c r="R1325" s="3">
        <f>IF(ISNUMBER(AVERAGE('20250815_ETF_Options_Exhibits'!R1321:R1325)),AVERAGE('20250815_ETF_Options_Exhibits'!R1321:R1325),"")</f>
        <v/>
      </c>
      <c r="S1325" s="3">
        <f>IF(ISNUMBER(AVERAGE('20250815_ETF_Options_Exhibits'!S1321:S1325)),AVERAGE('20250815_ETF_Options_Exhibits'!S1321:S1325),"")</f>
        <v/>
      </c>
      <c r="T1325" s="3">
        <f>IF(ISNUMBER(AVERAGE('20250815_ETF_Options_Exhibits'!T1321:T1325)),AVERAGE('20250815_ETF_Options_Exhibits'!T1321:T1325),"")</f>
        <v/>
      </c>
      <c r="U1325" s="3">
        <f>IF(ISNUMBER(AVERAGE('20250815_ETF_Options_Exhibits'!U1321:U1325)),AVERAGE('20250815_ETF_Options_Exhibits'!U1321:U1325),"")</f>
        <v/>
      </c>
      <c r="V1325" s="3">
        <f>IF(ISNUMBER(AVERAGE('20250815_ETF_Options_Exhibits'!V1321:V1325)),AVERAGE('20250815_ETF_Options_Exhibits'!V1321:V1325),"")</f>
        <v/>
      </c>
      <c r="W1325" s="3">
        <f>IF(ISNUMBER(AVERAGE('20250815_ETF_Options_Exhibits'!W1321:W1325)),AVERAGE('20250815_ETF_Options_Exhibits'!W1321:W1325),"")</f>
        <v/>
      </c>
      <c r="X1325" s="3">
        <f>IF(ISNUMBER(AVERAGE('20250815_ETF_Options_Exhibits'!X1321:X1325)),AVERAGE('20250815_ETF_Options_Exhibits'!X1321:X1325),"")</f>
        <v/>
      </c>
      <c r="Y1325" s="3">
        <f>IF(ISNUMBER(AVERAGE('20250815_ETF_Options_Exhibits'!Y1321:Y1325)),AVERAGE('20250815_ETF_Options_Exhibits'!Y1321:Y1325),"")</f>
        <v/>
      </c>
      <c r="Z1325" s="3">
        <f>IF(ISNUMBER(AVERAGE('20250815_ETF_Options_Exhibits'!Z1321:Z1325)),AVERAGE('20250815_ETF_Options_Exhibits'!Z1321:Z1325),"")</f>
        <v/>
      </c>
      <c r="AA1325" s="3">
        <f>IF(ISNUMBER(AVERAGE('20250815_ETF_Options_Exhibits'!AA1321:AA1325)),AVERAGE('20250815_ETF_Options_Exhibits'!AA1321:AA1325),"")</f>
        <v/>
      </c>
    </row>
    <row r="1326">
      <c r="A1326" s="1" t="n">
        <v>43927</v>
      </c>
      <c r="B1326" s="3">
        <f>IF(ISNUMBER(AVERAGE('20250815_ETF_Options_Exhibits'!B1322:B1326)),AVERAGE('20250815_ETF_Options_Exhibits'!B1322:B1326),"")</f>
        <v/>
      </c>
      <c r="C1326" s="3">
        <f>IF(ISNUMBER(AVERAGE('20250815_ETF_Options_Exhibits'!C1322:C1326)),AVERAGE('20250815_ETF_Options_Exhibits'!C1322:C1326),"")</f>
        <v/>
      </c>
      <c r="D1326" s="3">
        <f>IF(ISNUMBER(AVERAGE('20250815_ETF_Options_Exhibits'!D1322:D1326)),AVERAGE('20250815_ETF_Options_Exhibits'!D1322:D1326),"")</f>
        <v/>
      </c>
      <c r="E1326" s="3">
        <f>IF(ISNUMBER(AVERAGE('20250815_ETF_Options_Exhibits'!E1322:E1326)),AVERAGE('20250815_ETF_Options_Exhibits'!E1322:E1326),"")</f>
        <v/>
      </c>
      <c r="F1326" s="3">
        <f>IF(ISNUMBER(AVERAGE('20250815_ETF_Options_Exhibits'!F1322:F1326)),AVERAGE('20250815_ETF_Options_Exhibits'!F1322:F1326),"")</f>
        <v/>
      </c>
      <c r="G1326" s="3">
        <f>IF(ISNUMBER(AVERAGE('20250815_ETF_Options_Exhibits'!G1322:G1326)),AVERAGE('20250815_ETF_Options_Exhibits'!G1322:G1326),"")</f>
        <v/>
      </c>
      <c r="H1326" s="3">
        <f>IF(ISNUMBER(AVERAGE('20250815_ETF_Options_Exhibits'!H1322:H1326)),AVERAGE('20250815_ETF_Options_Exhibits'!H1322:H1326),"")</f>
        <v/>
      </c>
      <c r="I1326" s="3">
        <f>IF(ISNUMBER(AVERAGE('20250815_ETF_Options_Exhibits'!I1322:I1326)),AVERAGE('20250815_ETF_Options_Exhibits'!I1322:I1326),"")</f>
        <v/>
      </c>
      <c r="J1326" s="3">
        <f>IF(ISNUMBER(AVERAGE('20250815_ETF_Options_Exhibits'!J1322:J1326)),AVERAGE('20250815_ETF_Options_Exhibits'!J1322:J1326),"")</f>
        <v/>
      </c>
      <c r="K1326" s="3">
        <f>IF(ISNUMBER(AVERAGE('20250815_ETF_Options_Exhibits'!K1322:K1326)),AVERAGE('20250815_ETF_Options_Exhibits'!K1322:K1326),"")</f>
        <v/>
      </c>
      <c r="L1326" s="3">
        <f>IF(ISNUMBER(AVERAGE('20250815_ETF_Options_Exhibits'!L1322:L1326)),AVERAGE('20250815_ETF_Options_Exhibits'!L1322:L1326),"")</f>
        <v/>
      </c>
      <c r="M1326" s="3">
        <f>IF(ISNUMBER(AVERAGE('20250815_ETF_Options_Exhibits'!M1322:M1326)),AVERAGE('20250815_ETF_Options_Exhibits'!M1322:M1326),"")</f>
        <v/>
      </c>
      <c r="N1326" s="3">
        <f>IF(ISNUMBER(AVERAGE('20250815_ETF_Options_Exhibits'!N1322:N1326)),AVERAGE('20250815_ETF_Options_Exhibits'!N1322:N1326),"")</f>
        <v/>
      </c>
      <c r="O1326" s="3">
        <f>IF(ISNUMBER(AVERAGE('20250815_ETF_Options_Exhibits'!O1322:O1326)),AVERAGE('20250815_ETF_Options_Exhibits'!O1322:O1326),"")</f>
        <v/>
      </c>
      <c r="P1326" s="3">
        <f>IF(ISNUMBER(AVERAGE('20250815_ETF_Options_Exhibits'!P1322:P1326)),AVERAGE('20250815_ETF_Options_Exhibits'!P1322:P1326),"")</f>
        <v/>
      </c>
      <c r="Q1326" s="3">
        <f>IF(ISNUMBER(AVERAGE('20250815_ETF_Options_Exhibits'!Q1322:Q1326)),AVERAGE('20250815_ETF_Options_Exhibits'!Q1322:Q1326),"")</f>
        <v/>
      </c>
      <c r="R1326" s="3">
        <f>IF(ISNUMBER(AVERAGE('20250815_ETF_Options_Exhibits'!R1322:R1326)),AVERAGE('20250815_ETF_Options_Exhibits'!R1322:R1326),"")</f>
        <v/>
      </c>
      <c r="S1326" s="3">
        <f>IF(ISNUMBER(AVERAGE('20250815_ETF_Options_Exhibits'!S1322:S1326)),AVERAGE('20250815_ETF_Options_Exhibits'!S1322:S1326),"")</f>
        <v/>
      </c>
      <c r="T1326" s="3">
        <f>IF(ISNUMBER(AVERAGE('20250815_ETF_Options_Exhibits'!T1322:T1326)),AVERAGE('20250815_ETF_Options_Exhibits'!T1322:T1326),"")</f>
        <v/>
      </c>
      <c r="U1326" s="3">
        <f>IF(ISNUMBER(AVERAGE('20250815_ETF_Options_Exhibits'!U1322:U1326)),AVERAGE('20250815_ETF_Options_Exhibits'!U1322:U1326),"")</f>
        <v/>
      </c>
      <c r="V1326" s="3">
        <f>IF(ISNUMBER(AVERAGE('20250815_ETF_Options_Exhibits'!V1322:V1326)),AVERAGE('20250815_ETF_Options_Exhibits'!V1322:V1326),"")</f>
        <v/>
      </c>
      <c r="W1326" s="3">
        <f>IF(ISNUMBER(AVERAGE('20250815_ETF_Options_Exhibits'!W1322:W1326)),AVERAGE('20250815_ETF_Options_Exhibits'!W1322:W1326),"")</f>
        <v/>
      </c>
      <c r="X1326" s="3">
        <f>IF(ISNUMBER(AVERAGE('20250815_ETF_Options_Exhibits'!X1322:X1326)),AVERAGE('20250815_ETF_Options_Exhibits'!X1322:X1326),"")</f>
        <v/>
      </c>
      <c r="Y1326" s="3">
        <f>IF(ISNUMBER(AVERAGE('20250815_ETF_Options_Exhibits'!Y1322:Y1326)),AVERAGE('20250815_ETF_Options_Exhibits'!Y1322:Y1326),"")</f>
        <v/>
      </c>
      <c r="Z1326" s="3">
        <f>IF(ISNUMBER(AVERAGE('20250815_ETF_Options_Exhibits'!Z1322:Z1326)),AVERAGE('20250815_ETF_Options_Exhibits'!Z1322:Z1326),"")</f>
        <v/>
      </c>
      <c r="AA1326" s="3">
        <f>IF(ISNUMBER(AVERAGE('20250815_ETF_Options_Exhibits'!AA1322:AA1326)),AVERAGE('20250815_ETF_Options_Exhibits'!AA1322:AA1326),"")</f>
        <v/>
      </c>
    </row>
    <row r="1327">
      <c r="A1327" s="1" t="n">
        <v>43928</v>
      </c>
      <c r="B1327" s="3">
        <f>IF(ISNUMBER(AVERAGE('20250815_ETF_Options_Exhibits'!B1323:B1327)),AVERAGE('20250815_ETF_Options_Exhibits'!B1323:B1327),"")</f>
        <v/>
      </c>
      <c r="C1327" s="3">
        <f>IF(ISNUMBER(AVERAGE('20250815_ETF_Options_Exhibits'!C1323:C1327)),AVERAGE('20250815_ETF_Options_Exhibits'!C1323:C1327),"")</f>
        <v/>
      </c>
      <c r="D1327" s="3">
        <f>IF(ISNUMBER(AVERAGE('20250815_ETF_Options_Exhibits'!D1323:D1327)),AVERAGE('20250815_ETF_Options_Exhibits'!D1323:D1327),"")</f>
        <v/>
      </c>
      <c r="E1327" s="3">
        <f>IF(ISNUMBER(AVERAGE('20250815_ETF_Options_Exhibits'!E1323:E1327)),AVERAGE('20250815_ETF_Options_Exhibits'!E1323:E1327),"")</f>
        <v/>
      </c>
      <c r="F1327" s="3">
        <f>IF(ISNUMBER(AVERAGE('20250815_ETF_Options_Exhibits'!F1323:F1327)),AVERAGE('20250815_ETF_Options_Exhibits'!F1323:F1327),"")</f>
        <v/>
      </c>
      <c r="G1327" s="3">
        <f>IF(ISNUMBER(AVERAGE('20250815_ETF_Options_Exhibits'!G1323:G1327)),AVERAGE('20250815_ETF_Options_Exhibits'!G1323:G1327),"")</f>
        <v/>
      </c>
      <c r="H1327" s="3">
        <f>IF(ISNUMBER(AVERAGE('20250815_ETF_Options_Exhibits'!H1323:H1327)),AVERAGE('20250815_ETF_Options_Exhibits'!H1323:H1327),"")</f>
        <v/>
      </c>
      <c r="I1327" s="3">
        <f>IF(ISNUMBER(AVERAGE('20250815_ETF_Options_Exhibits'!I1323:I1327)),AVERAGE('20250815_ETF_Options_Exhibits'!I1323:I1327),"")</f>
        <v/>
      </c>
      <c r="J1327" s="3">
        <f>IF(ISNUMBER(AVERAGE('20250815_ETF_Options_Exhibits'!J1323:J1327)),AVERAGE('20250815_ETF_Options_Exhibits'!J1323:J1327),"")</f>
        <v/>
      </c>
      <c r="K1327" s="3">
        <f>IF(ISNUMBER(AVERAGE('20250815_ETF_Options_Exhibits'!K1323:K1327)),AVERAGE('20250815_ETF_Options_Exhibits'!K1323:K1327),"")</f>
        <v/>
      </c>
      <c r="L1327" s="3">
        <f>IF(ISNUMBER(AVERAGE('20250815_ETF_Options_Exhibits'!L1323:L1327)),AVERAGE('20250815_ETF_Options_Exhibits'!L1323:L1327),"")</f>
        <v/>
      </c>
      <c r="M1327" s="3">
        <f>IF(ISNUMBER(AVERAGE('20250815_ETF_Options_Exhibits'!M1323:M1327)),AVERAGE('20250815_ETF_Options_Exhibits'!M1323:M1327),"")</f>
        <v/>
      </c>
      <c r="N1327" s="3">
        <f>IF(ISNUMBER(AVERAGE('20250815_ETF_Options_Exhibits'!N1323:N1327)),AVERAGE('20250815_ETF_Options_Exhibits'!N1323:N1327),"")</f>
        <v/>
      </c>
      <c r="O1327" s="3">
        <f>IF(ISNUMBER(AVERAGE('20250815_ETF_Options_Exhibits'!O1323:O1327)),AVERAGE('20250815_ETF_Options_Exhibits'!O1323:O1327),"")</f>
        <v/>
      </c>
      <c r="P1327" s="3">
        <f>IF(ISNUMBER(AVERAGE('20250815_ETF_Options_Exhibits'!P1323:P1327)),AVERAGE('20250815_ETF_Options_Exhibits'!P1323:P1327),"")</f>
        <v/>
      </c>
      <c r="Q1327" s="3">
        <f>IF(ISNUMBER(AVERAGE('20250815_ETF_Options_Exhibits'!Q1323:Q1327)),AVERAGE('20250815_ETF_Options_Exhibits'!Q1323:Q1327),"")</f>
        <v/>
      </c>
      <c r="R1327" s="3">
        <f>IF(ISNUMBER(AVERAGE('20250815_ETF_Options_Exhibits'!R1323:R1327)),AVERAGE('20250815_ETF_Options_Exhibits'!R1323:R1327),"")</f>
        <v/>
      </c>
      <c r="S1327" s="3">
        <f>IF(ISNUMBER(AVERAGE('20250815_ETF_Options_Exhibits'!S1323:S1327)),AVERAGE('20250815_ETF_Options_Exhibits'!S1323:S1327),"")</f>
        <v/>
      </c>
      <c r="T1327" s="3">
        <f>IF(ISNUMBER(AVERAGE('20250815_ETF_Options_Exhibits'!T1323:T1327)),AVERAGE('20250815_ETF_Options_Exhibits'!T1323:T1327),"")</f>
        <v/>
      </c>
      <c r="U1327" s="3">
        <f>IF(ISNUMBER(AVERAGE('20250815_ETF_Options_Exhibits'!U1323:U1327)),AVERAGE('20250815_ETF_Options_Exhibits'!U1323:U1327),"")</f>
        <v/>
      </c>
      <c r="V1327" s="3">
        <f>IF(ISNUMBER(AVERAGE('20250815_ETF_Options_Exhibits'!V1323:V1327)),AVERAGE('20250815_ETF_Options_Exhibits'!V1323:V1327),"")</f>
        <v/>
      </c>
      <c r="W1327" s="3">
        <f>IF(ISNUMBER(AVERAGE('20250815_ETF_Options_Exhibits'!W1323:W1327)),AVERAGE('20250815_ETF_Options_Exhibits'!W1323:W1327),"")</f>
        <v/>
      </c>
      <c r="X1327" s="3">
        <f>IF(ISNUMBER(AVERAGE('20250815_ETF_Options_Exhibits'!X1323:X1327)),AVERAGE('20250815_ETF_Options_Exhibits'!X1323:X1327),"")</f>
        <v/>
      </c>
      <c r="Y1327" s="3">
        <f>IF(ISNUMBER(AVERAGE('20250815_ETF_Options_Exhibits'!Y1323:Y1327)),AVERAGE('20250815_ETF_Options_Exhibits'!Y1323:Y1327),"")</f>
        <v/>
      </c>
      <c r="Z1327" s="3">
        <f>IF(ISNUMBER(AVERAGE('20250815_ETF_Options_Exhibits'!Z1323:Z1327)),AVERAGE('20250815_ETF_Options_Exhibits'!Z1323:Z1327),"")</f>
        <v/>
      </c>
      <c r="AA1327" s="3">
        <f>IF(ISNUMBER(AVERAGE('20250815_ETF_Options_Exhibits'!AA1323:AA1327)),AVERAGE('20250815_ETF_Options_Exhibits'!AA1323:AA1327),"")</f>
        <v/>
      </c>
    </row>
    <row r="1328">
      <c r="A1328" s="1" t="n">
        <v>43929</v>
      </c>
      <c r="B1328" s="3">
        <f>IF(ISNUMBER(AVERAGE('20250815_ETF_Options_Exhibits'!B1324:B1328)),AVERAGE('20250815_ETF_Options_Exhibits'!B1324:B1328),"")</f>
        <v/>
      </c>
      <c r="C1328" s="3">
        <f>IF(ISNUMBER(AVERAGE('20250815_ETF_Options_Exhibits'!C1324:C1328)),AVERAGE('20250815_ETF_Options_Exhibits'!C1324:C1328),"")</f>
        <v/>
      </c>
      <c r="D1328" s="3">
        <f>IF(ISNUMBER(AVERAGE('20250815_ETF_Options_Exhibits'!D1324:D1328)),AVERAGE('20250815_ETF_Options_Exhibits'!D1324:D1328),"")</f>
        <v/>
      </c>
      <c r="E1328" s="3">
        <f>IF(ISNUMBER(AVERAGE('20250815_ETF_Options_Exhibits'!E1324:E1328)),AVERAGE('20250815_ETF_Options_Exhibits'!E1324:E1328),"")</f>
        <v/>
      </c>
      <c r="F1328" s="3">
        <f>IF(ISNUMBER(AVERAGE('20250815_ETF_Options_Exhibits'!F1324:F1328)),AVERAGE('20250815_ETF_Options_Exhibits'!F1324:F1328),"")</f>
        <v/>
      </c>
      <c r="G1328" s="3">
        <f>IF(ISNUMBER(AVERAGE('20250815_ETF_Options_Exhibits'!G1324:G1328)),AVERAGE('20250815_ETF_Options_Exhibits'!G1324:G1328),"")</f>
        <v/>
      </c>
      <c r="H1328" s="3">
        <f>IF(ISNUMBER(AVERAGE('20250815_ETF_Options_Exhibits'!H1324:H1328)),AVERAGE('20250815_ETF_Options_Exhibits'!H1324:H1328),"")</f>
        <v/>
      </c>
      <c r="I1328" s="3">
        <f>IF(ISNUMBER(AVERAGE('20250815_ETF_Options_Exhibits'!I1324:I1328)),AVERAGE('20250815_ETF_Options_Exhibits'!I1324:I1328),"")</f>
        <v/>
      </c>
      <c r="J1328" s="3">
        <f>IF(ISNUMBER(AVERAGE('20250815_ETF_Options_Exhibits'!J1324:J1328)),AVERAGE('20250815_ETF_Options_Exhibits'!J1324:J1328),"")</f>
        <v/>
      </c>
      <c r="K1328" s="3">
        <f>IF(ISNUMBER(AVERAGE('20250815_ETF_Options_Exhibits'!K1324:K1328)),AVERAGE('20250815_ETF_Options_Exhibits'!K1324:K1328),"")</f>
        <v/>
      </c>
      <c r="L1328" s="3">
        <f>IF(ISNUMBER(AVERAGE('20250815_ETF_Options_Exhibits'!L1324:L1328)),AVERAGE('20250815_ETF_Options_Exhibits'!L1324:L1328),"")</f>
        <v/>
      </c>
      <c r="M1328" s="3">
        <f>IF(ISNUMBER(AVERAGE('20250815_ETF_Options_Exhibits'!M1324:M1328)),AVERAGE('20250815_ETF_Options_Exhibits'!M1324:M1328),"")</f>
        <v/>
      </c>
      <c r="N1328" s="3">
        <f>IF(ISNUMBER(AVERAGE('20250815_ETF_Options_Exhibits'!N1324:N1328)),AVERAGE('20250815_ETF_Options_Exhibits'!N1324:N1328),"")</f>
        <v/>
      </c>
      <c r="O1328" s="3">
        <f>IF(ISNUMBER(AVERAGE('20250815_ETF_Options_Exhibits'!O1324:O1328)),AVERAGE('20250815_ETF_Options_Exhibits'!O1324:O1328),"")</f>
        <v/>
      </c>
      <c r="P1328" s="3">
        <f>IF(ISNUMBER(AVERAGE('20250815_ETF_Options_Exhibits'!P1324:P1328)),AVERAGE('20250815_ETF_Options_Exhibits'!P1324:P1328),"")</f>
        <v/>
      </c>
      <c r="Q1328" s="3">
        <f>IF(ISNUMBER(AVERAGE('20250815_ETF_Options_Exhibits'!Q1324:Q1328)),AVERAGE('20250815_ETF_Options_Exhibits'!Q1324:Q1328),"")</f>
        <v/>
      </c>
      <c r="R1328" s="3">
        <f>IF(ISNUMBER(AVERAGE('20250815_ETF_Options_Exhibits'!R1324:R1328)),AVERAGE('20250815_ETF_Options_Exhibits'!R1324:R1328),"")</f>
        <v/>
      </c>
      <c r="S1328" s="3">
        <f>IF(ISNUMBER(AVERAGE('20250815_ETF_Options_Exhibits'!S1324:S1328)),AVERAGE('20250815_ETF_Options_Exhibits'!S1324:S1328),"")</f>
        <v/>
      </c>
      <c r="T1328" s="3">
        <f>IF(ISNUMBER(AVERAGE('20250815_ETF_Options_Exhibits'!T1324:T1328)),AVERAGE('20250815_ETF_Options_Exhibits'!T1324:T1328),"")</f>
        <v/>
      </c>
      <c r="U1328" s="3">
        <f>IF(ISNUMBER(AVERAGE('20250815_ETF_Options_Exhibits'!U1324:U1328)),AVERAGE('20250815_ETF_Options_Exhibits'!U1324:U1328),"")</f>
        <v/>
      </c>
      <c r="V1328" s="3">
        <f>IF(ISNUMBER(AVERAGE('20250815_ETF_Options_Exhibits'!V1324:V1328)),AVERAGE('20250815_ETF_Options_Exhibits'!V1324:V1328),"")</f>
        <v/>
      </c>
      <c r="W1328" s="3">
        <f>IF(ISNUMBER(AVERAGE('20250815_ETF_Options_Exhibits'!W1324:W1328)),AVERAGE('20250815_ETF_Options_Exhibits'!W1324:W1328),"")</f>
        <v/>
      </c>
      <c r="X1328" s="3">
        <f>IF(ISNUMBER(AVERAGE('20250815_ETF_Options_Exhibits'!X1324:X1328)),AVERAGE('20250815_ETF_Options_Exhibits'!X1324:X1328),"")</f>
        <v/>
      </c>
      <c r="Y1328" s="3">
        <f>IF(ISNUMBER(AVERAGE('20250815_ETF_Options_Exhibits'!Y1324:Y1328)),AVERAGE('20250815_ETF_Options_Exhibits'!Y1324:Y1328),"")</f>
        <v/>
      </c>
      <c r="Z1328" s="3">
        <f>IF(ISNUMBER(AVERAGE('20250815_ETF_Options_Exhibits'!Z1324:Z1328)),AVERAGE('20250815_ETF_Options_Exhibits'!Z1324:Z1328),"")</f>
        <v/>
      </c>
      <c r="AA1328" s="3">
        <f>IF(ISNUMBER(AVERAGE('20250815_ETF_Options_Exhibits'!AA1324:AA1328)),AVERAGE('20250815_ETF_Options_Exhibits'!AA1324:AA1328),"")</f>
        <v/>
      </c>
    </row>
    <row r="1329">
      <c r="A1329" s="1" t="n">
        <v>43930</v>
      </c>
      <c r="B1329" s="3">
        <f>IF(ISNUMBER(AVERAGE('20250815_ETF_Options_Exhibits'!B1325:B1329)),AVERAGE('20250815_ETF_Options_Exhibits'!B1325:B1329),"")</f>
        <v/>
      </c>
      <c r="C1329" s="3">
        <f>IF(ISNUMBER(AVERAGE('20250815_ETF_Options_Exhibits'!C1325:C1329)),AVERAGE('20250815_ETF_Options_Exhibits'!C1325:C1329),"")</f>
        <v/>
      </c>
      <c r="D1329" s="3">
        <f>IF(ISNUMBER(AVERAGE('20250815_ETF_Options_Exhibits'!D1325:D1329)),AVERAGE('20250815_ETF_Options_Exhibits'!D1325:D1329),"")</f>
        <v/>
      </c>
      <c r="E1329" s="3">
        <f>IF(ISNUMBER(AVERAGE('20250815_ETF_Options_Exhibits'!E1325:E1329)),AVERAGE('20250815_ETF_Options_Exhibits'!E1325:E1329),"")</f>
        <v/>
      </c>
      <c r="F1329" s="3">
        <f>IF(ISNUMBER(AVERAGE('20250815_ETF_Options_Exhibits'!F1325:F1329)),AVERAGE('20250815_ETF_Options_Exhibits'!F1325:F1329),"")</f>
        <v/>
      </c>
      <c r="G1329" s="3">
        <f>IF(ISNUMBER(AVERAGE('20250815_ETF_Options_Exhibits'!G1325:G1329)),AVERAGE('20250815_ETF_Options_Exhibits'!G1325:G1329),"")</f>
        <v/>
      </c>
      <c r="H1329" s="3">
        <f>IF(ISNUMBER(AVERAGE('20250815_ETF_Options_Exhibits'!H1325:H1329)),AVERAGE('20250815_ETF_Options_Exhibits'!H1325:H1329),"")</f>
        <v/>
      </c>
      <c r="I1329" s="3">
        <f>IF(ISNUMBER(AVERAGE('20250815_ETF_Options_Exhibits'!I1325:I1329)),AVERAGE('20250815_ETF_Options_Exhibits'!I1325:I1329),"")</f>
        <v/>
      </c>
      <c r="J1329" s="3">
        <f>IF(ISNUMBER(AVERAGE('20250815_ETF_Options_Exhibits'!J1325:J1329)),AVERAGE('20250815_ETF_Options_Exhibits'!J1325:J1329),"")</f>
        <v/>
      </c>
      <c r="K1329" s="3">
        <f>IF(ISNUMBER(AVERAGE('20250815_ETF_Options_Exhibits'!K1325:K1329)),AVERAGE('20250815_ETF_Options_Exhibits'!K1325:K1329),"")</f>
        <v/>
      </c>
      <c r="L1329" s="3">
        <f>IF(ISNUMBER(AVERAGE('20250815_ETF_Options_Exhibits'!L1325:L1329)),AVERAGE('20250815_ETF_Options_Exhibits'!L1325:L1329),"")</f>
        <v/>
      </c>
      <c r="M1329" s="3">
        <f>IF(ISNUMBER(AVERAGE('20250815_ETF_Options_Exhibits'!M1325:M1329)),AVERAGE('20250815_ETF_Options_Exhibits'!M1325:M1329),"")</f>
        <v/>
      </c>
      <c r="N1329" s="3">
        <f>IF(ISNUMBER(AVERAGE('20250815_ETF_Options_Exhibits'!N1325:N1329)),AVERAGE('20250815_ETF_Options_Exhibits'!N1325:N1329),"")</f>
        <v/>
      </c>
      <c r="O1329" s="3">
        <f>IF(ISNUMBER(AVERAGE('20250815_ETF_Options_Exhibits'!O1325:O1329)),AVERAGE('20250815_ETF_Options_Exhibits'!O1325:O1329),"")</f>
        <v/>
      </c>
      <c r="P1329" s="3">
        <f>IF(ISNUMBER(AVERAGE('20250815_ETF_Options_Exhibits'!P1325:P1329)),AVERAGE('20250815_ETF_Options_Exhibits'!P1325:P1329),"")</f>
        <v/>
      </c>
      <c r="Q1329" s="3">
        <f>IF(ISNUMBER(AVERAGE('20250815_ETF_Options_Exhibits'!Q1325:Q1329)),AVERAGE('20250815_ETF_Options_Exhibits'!Q1325:Q1329),"")</f>
        <v/>
      </c>
      <c r="R1329" s="3">
        <f>IF(ISNUMBER(AVERAGE('20250815_ETF_Options_Exhibits'!R1325:R1329)),AVERAGE('20250815_ETF_Options_Exhibits'!R1325:R1329),"")</f>
        <v/>
      </c>
      <c r="S1329" s="3">
        <f>IF(ISNUMBER(AVERAGE('20250815_ETF_Options_Exhibits'!S1325:S1329)),AVERAGE('20250815_ETF_Options_Exhibits'!S1325:S1329),"")</f>
        <v/>
      </c>
      <c r="T1329" s="3">
        <f>IF(ISNUMBER(AVERAGE('20250815_ETF_Options_Exhibits'!T1325:T1329)),AVERAGE('20250815_ETF_Options_Exhibits'!T1325:T1329),"")</f>
        <v/>
      </c>
      <c r="U1329" s="3">
        <f>IF(ISNUMBER(AVERAGE('20250815_ETF_Options_Exhibits'!U1325:U1329)),AVERAGE('20250815_ETF_Options_Exhibits'!U1325:U1329),"")</f>
        <v/>
      </c>
      <c r="V1329" s="3">
        <f>IF(ISNUMBER(AVERAGE('20250815_ETF_Options_Exhibits'!V1325:V1329)),AVERAGE('20250815_ETF_Options_Exhibits'!V1325:V1329),"")</f>
        <v/>
      </c>
      <c r="W1329" s="3">
        <f>IF(ISNUMBER(AVERAGE('20250815_ETF_Options_Exhibits'!W1325:W1329)),AVERAGE('20250815_ETF_Options_Exhibits'!W1325:W1329),"")</f>
        <v/>
      </c>
      <c r="X1329" s="3">
        <f>IF(ISNUMBER(AVERAGE('20250815_ETF_Options_Exhibits'!X1325:X1329)),AVERAGE('20250815_ETF_Options_Exhibits'!X1325:X1329),"")</f>
        <v/>
      </c>
      <c r="Y1329" s="3">
        <f>IF(ISNUMBER(AVERAGE('20250815_ETF_Options_Exhibits'!Y1325:Y1329)),AVERAGE('20250815_ETF_Options_Exhibits'!Y1325:Y1329),"")</f>
        <v/>
      </c>
      <c r="Z1329" s="3">
        <f>IF(ISNUMBER(AVERAGE('20250815_ETF_Options_Exhibits'!Z1325:Z1329)),AVERAGE('20250815_ETF_Options_Exhibits'!Z1325:Z1329),"")</f>
        <v/>
      </c>
      <c r="AA1329" s="3">
        <f>IF(ISNUMBER(AVERAGE('20250815_ETF_Options_Exhibits'!AA1325:AA1329)),AVERAGE('20250815_ETF_Options_Exhibits'!AA1325:AA1329),"")</f>
        <v/>
      </c>
    </row>
    <row r="1330">
      <c r="A1330" s="1" t="n">
        <v>43934</v>
      </c>
      <c r="B1330" s="3">
        <f>IF(ISNUMBER(AVERAGE('20250815_ETF_Options_Exhibits'!B1326:B1330)),AVERAGE('20250815_ETF_Options_Exhibits'!B1326:B1330),"")</f>
        <v/>
      </c>
      <c r="C1330" s="3">
        <f>IF(ISNUMBER(AVERAGE('20250815_ETF_Options_Exhibits'!C1326:C1330)),AVERAGE('20250815_ETF_Options_Exhibits'!C1326:C1330),"")</f>
        <v/>
      </c>
      <c r="D1330" s="3">
        <f>IF(ISNUMBER(AVERAGE('20250815_ETF_Options_Exhibits'!D1326:D1330)),AVERAGE('20250815_ETF_Options_Exhibits'!D1326:D1330),"")</f>
        <v/>
      </c>
      <c r="E1330" s="3">
        <f>IF(ISNUMBER(AVERAGE('20250815_ETF_Options_Exhibits'!E1326:E1330)),AVERAGE('20250815_ETF_Options_Exhibits'!E1326:E1330),"")</f>
        <v/>
      </c>
      <c r="F1330" s="3">
        <f>IF(ISNUMBER(AVERAGE('20250815_ETF_Options_Exhibits'!F1326:F1330)),AVERAGE('20250815_ETF_Options_Exhibits'!F1326:F1330),"")</f>
        <v/>
      </c>
      <c r="G1330" s="3">
        <f>IF(ISNUMBER(AVERAGE('20250815_ETF_Options_Exhibits'!G1326:G1330)),AVERAGE('20250815_ETF_Options_Exhibits'!G1326:G1330),"")</f>
        <v/>
      </c>
      <c r="H1330" s="3">
        <f>IF(ISNUMBER(AVERAGE('20250815_ETF_Options_Exhibits'!H1326:H1330)),AVERAGE('20250815_ETF_Options_Exhibits'!H1326:H1330),"")</f>
        <v/>
      </c>
      <c r="I1330" s="3">
        <f>IF(ISNUMBER(AVERAGE('20250815_ETF_Options_Exhibits'!I1326:I1330)),AVERAGE('20250815_ETF_Options_Exhibits'!I1326:I1330),"")</f>
        <v/>
      </c>
      <c r="J1330" s="3">
        <f>IF(ISNUMBER(AVERAGE('20250815_ETF_Options_Exhibits'!J1326:J1330)),AVERAGE('20250815_ETF_Options_Exhibits'!J1326:J1330),"")</f>
        <v/>
      </c>
      <c r="K1330" s="3">
        <f>IF(ISNUMBER(AVERAGE('20250815_ETF_Options_Exhibits'!K1326:K1330)),AVERAGE('20250815_ETF_Options_Exhibits'!K1326:K1330),"")</f>
        <v/>
      </c>
      <c r="L1330" s="3">
        <f>IF(ISNUMBER(AVERAGE('20250815_ETF_Options_Exhibits'!L1326:L1330)),AVERAGE('20250815_ETF_Options_Exhibits'!L1326:L1330),"")</f>
        <v/>
      </c>
      <c r="M1330" s="3">
        <f>IF(ISNUMBER(AVERAGE('20250815_ETF_Options_Exhibits'!M1326:M1330)),AVERAGE('20250815_ETF_Options_Exhibits'!M1326:M1330),"")</f>
        <v/>
      </c>
      <c r="N1330" s="3">
        <f>IF(ISNUMBER(AVERAGE('20250815_ETF_Options_Exhibits'!N1326:N1330)),AVERAGE('20250815_ETF_Options_Exhibits'!N1326:N1330),"")</f>
        <v/>
      </c>
      <c r="O1330" s="3">
        <f>IF(ISNUMBER(AVERAGE('20250815_ETF_Options_Exhibits'!O1326:O1330)),AVERAGE('20250815_ETF_Options_Exhibits'!O1326:O1330),"")</f>
        <v/>
      </c>
      <c r="P1330" s="3">
        <f>IF(ISNUMBER(AVERAGE('20250815_ETF_Options_Exhibits'!P1326:P1330)),AVERAGE('20250815_ETF_Options_Exhibits'!P1326:P1330),"")</f>
        <v/>
      </c>
      <c r="Q1330" s="3">
        <f>IF(ISNUMBER(AVERAGE('20250815_ETF_Options_Exhibits'!Q1326:Q1330)),AVERAGE('20250815_ETF_Options_Exhibits'!Q1326:Q1330),"")</f>
        <v/>
      </c>
      <c r="R1330" s="3">
        <f>IF(ISNUMBER(AVERAGE('20250815_ETF_Options_Exhibits'!R1326:R1330)),AVERAGE('20250815_ETF_Options_Exhibits'!R1326:R1330),"")</f>
        <v/>
      </c>
      <c r="S1330" s="3">
        <f>IF(ISNUMBER(AVERAGE('20250815_ETF_Options_Exhibits'!S1326:S1330)),AVERAGE('20250815_ETF_Options_Exhibits'!S1326:S1330),"")</f>
        <v/>
      </c>
      <c r="T1330" s="3">
        <f>IF(ISNUMBER(AVERAGE('20250815_ETF_Options_Exhibits'!T1326:T1330)),AVERAGE('20250815_ETF_Options_Exhibits'!T1326:T1330),"")</f>
        <v/>
      </c>
      <c r="U1330" s="3">
        <f>IF(ISNUMBER(AVERAGE('20250815_ETF_Options_Exhibits'!U1326:U1330)),AVERAGE('20250815_ETF_Options_Exhibits'!U1326:U1330),"")</f>
        <v/>
      </c>
      <c r="V1330" s="3">
        <f>IF(ISNUMBER(AVERAGE('20250815_ETF_Options_Exhibits'!V1326:V1330)),AVERAGE('20250815_ETF_Options_Exhibits'!V1326:V1330),"")</f>
        <v/>
      </c>
      <c r="W1330" s="3">
        <f>IF(ISNUMBER(AVERAGE('20250815_ETF_Options_Exhibits'!W1326:W1330)),AVERAGE('20250815_ETF_Options_Exhibits'!W1326:W1330),"")</f>
        <v/>
      </c>
      <c r="X1330" s="3">
        <f>IF(ISNUMBER(AVERAGE('20250815_ETF_Options_Exhibits'!X1326:X1330)),AVERAGE('20250815_ETF_Options_Exhibits'!X1326:X1330),"")</f>
        <v/>
      </c>
      <c r="Y1330" s="3">
        <f>IF(ISNUMBER(AVERAGE('20250815_ETF_Options_Exhibits'!Y1326:Y1330)),AVERAGE('20250815_ETF_Options_Exhibits'!Y1326:Y1330),"")</f>
        <v/>
      </c>
      <c r="Z1330" s="3">
        <f>IF(ISNUMBER(AVERAGE('20250815_ETF_Options_Exhibits'!Z1326:Z1330)),AVERAGE('20250815_ETF_Options_Exhibits'!Z1326:Z1330),"")</f>
        <v/>
      </c>
      <c r="AA1330" s="3">
        <f>IF(ISNUMBER(AVERAGE('20250815_ETF_Options_Exhibits'!AA1326:AA1330)),AVERAGE('20250815_ETF_Options_Exhibits'!AA1326:AA1330),"")</f>
        <v/>
      </c>
    </row>
    <row r="1331">
      <c r="A1331" s="1" t="n">
        <v>43935</v>
      </c>
      <c r="B1331" s="3">
        <f>IF(ISNUMBER(AVERAGE('20250815_ETF_Options_Exhibits'!B1327:B1331)),AVERAGE('20250815_ETF_Options_Exhibits'!B1327:B1331),"")</f>
        <v/>
      </c>
      <c r="C1331" s="3">
        <f>IF(ISNUMBER(AVERAGE('20250815_ETF_Options_Exhibits'!C1327:C1331)),AVERAGE('20250815_ETF_Options_Exhibits'!C1327:C1331),"")</f>
        <v/>
      </c>
      <c r="D1331" s="3">
        <f>IF(ISNUMBER(AVERAGE('20250815_ETF_Options_Exhibits'!D1327:D1331)),AVERAGE('20250815_ETF_Options_Exhibits'!D1327:D1331),"")</f>
        <v/>
      </c>
      <c r="E1331" s="3">
        <f>IF(ISNUMBER(AVERAGE('20250815_ETF_Options_Exhibits'!E1327:E1331)),AVERAGE('20250815_ETF_Options_Exhibits'!E1327:E1331),"")</f>
        <v/>
      </c>
      <c r="F1331" s="3">
        <f>IF(ISNUMBER(AVERAGE('20250815_ETF_Options_Exhibits'!F1327:F1331)),AVERAGE('20250815_ETF_Options_Exhibits'!F1327:F1331),"")</f>
        <v/>
      </c>
      <c r="G1331" s="3">
        <f>IF(ISNUMBER(AVERAGE('20250815_ETF_Options_Exhibits'!G1327:G1331)),AVERAGE('20250815_ETF_Options_Exhibits'!G1327:G1331),"")</f>
        <v/>
      </c>
      <c r="H1331" s="3">
        <f>IF(ISNUMBER(AVERAGE('20250815_ETF_Options_Exhibits'!H1327:H1331)),AVERAGE('20250815_ETF_Options_Exhibits'!H1327:H1331),"")</f>
        <v/>
      </c>
      <c r="I1331" s="3">
        <f>IF(ISNUMBER(AVERAGE('20250815_ETF_Options_Exhibits'!I1327:I1331)),AVERAGE('20250815_ETF_Options_Exhibits'!I1327:I1331),"")</f>
        <v/>
      </c>
      <c r="J1331" s="3">
        <f>IF(ISNUMBER(AVERAGE('20250815_ETF_Options_Exhibits'!J1327:J1331)),AVERAGE('20250815_ETF_Options_Exhibits'!J1327:J1331),"")</f>
        <v/>
      </c>
      <c r="K1331" s="3">
        <f>IF(ISNUMBER(AVERAGE('20250815_ETF_Options_Exhibits'!K1327:K1331)),AVERAGE('20250815_ETF_Options_Exhibits'!K1327:K1331),"")</f>
        <v/>
      </c>
      <c r="L1331" s="3">
        <f>IF(ISNUMBER(AVERAGE('20250815_ETF_Options_Exhibits'!L1327:L1331)),AVERAGE('20250815_ETF_Options_Exhibits'!L1327:L1331),"")</f>
        <v/>
      </c>
      <c r="M1331" s="3">
        <f>IF(ISNUMBER(AVERAGE('20250815_ETF_Options_Exhibits'!M1327:M1331)),AVERAGE('20250815_ETF_Options_Exhibits'!M1327:M1331),"")</f>
        <v/>
      </c>
      <c r="N1331" s="3">
        <f>IF(ISNUMBER(AVERAGE('20250815_ETF_Options_Exhibits'!N1327:N1331)),AVERAGE('20250815_ETF_Options_Exhibits'!N1327:N1331),"")</f>
        <v/>
      </c>
      <c r="O1331" s="3">
        <f>IF(ISNUMBER(AVERAGE('20250815_ETF_Options_Exhibits'!O1327:O1331)),AVERAGE('20250815_ETF_Options_Exhibits'!O1327:O1331),"")</f>
        <v/>
      </c>
      <c r="P1331" s="3">
        <f>IF(ISNUMBER(AVERAGE('20250815_ETF_Options_Exhibits'!P1327:P1331)),AVERAGE('20250815_ETF_Options_Exhibits'!P1327:P1331),"")</f>
        <v/>
      </c>
      <c r="Q1331" s="3">
        <f>IF(ISNUMBER(AVERAGE('20250815_ETF_Options_Exhibits'!Q1327:Q1331)),AVERAGE('20250815_ETF_Options_Exhibits'!Q1327:Q1331),"")</f>
        <v/>
      </c>
      <c r="R1331" s="3">
        <f>IF(ISNUMBER(AVERAGE('20250815_ETF_Options_Exhibits'!R1327:R1331)),AVERAGE('20250815_ETF_Options_Exhibits'!R1327:R1331),"")</f>
        <v/>
      </c>
      <c r="S1331" s="3">
        <f>IF(ISNUMBER(AVERAGE('20250815_ETF_Options_Exhibits'!S1327:S1331)),AVERAGE('20250815_ETF_Options_Exhibits'!S1327:S1331),"")</f>
        <v/>
      </c>
      <c r="T1331" s="3">
        <f>IF(ISNUMBER(AVERAGE('20250815_ETF_Options_Exhibits'!T1327:T1331)),AVERAGE('20250815_ETF_Options_Exhibits'!T1327:T1331),"")</f>
        <v/>
      </c>
      <c r="U1331" s="3">
        <f>IF(ISNUMBER(AVERAGE('20250815_ETF_Options_Exhibits'!U1327:U1331)),AVERAGE('20250815_ETF_Options_Exhibits'!U1327:U1331),"")</f>
        <v/>
      </c>
      <c r="V1331" s="3">
        <f>IF(ISNUMBER(AVERAGE('20250815_ETF_Options_Exhibits'!V1327:V1331)),AVERAGE('20250815_ETF_Options_Exhibits'!V1327:V1331),"")</f>
        <v/>
      </c>
      <c r="W1331" s="3">
        <f>IF(ISNUMBER(AVERAGE('20250815_ETF_Options_Exhibits'!W1327:W1331)),AVERAGE('20250815_ETF_Options_Exhibits'!W1327:W1331),"")</f>
        <v/>
      </c>
      <c r="X1331" s="3">
        <f>IF(ISNUMBER(AVERAGE('20250815_ETF_Options_Exhibits'!X1327:X1331)),AVERAGE('20250815_ETF_Options_Exhibits'!X1327:X1331),"")</f>
        <v/>
      </c>
      <c r="Y1331" s="3">
        <f>IF(ISNUMBER(AVERAGE('20250815_ETF_Options_Exhibits'!Y1327:Y1331)),AVERAGE('20250815_ETF_Options_Exhibits'!Y1327:Y1331),"")</f>
        <v/>
      </c>
      <c r="Z1331" s="3">
        <f>IF(ISNUMBER(AVERAGE('20250815_ETF_Options_Exhibits'!Z1327:Z1331)),AVERAGE('20250815_ETF_Options_Exhibits'!Z1327:Z1331),"")</f>
        <v/>
      </c>
      <c r="AA1331" s="3">
        <f>IF(ISNUMBER(AVERAGE('20250815_ETF_Options_Exhibits'!AA1327:AA1331)),AVERAGE('20250815_ETF_Options_Exhibits'!AA1327:AA1331),"")</f>
        <v/>
      </c>
    </row>
    <row r="1332">
      <c r="A1332" s="1" t="n">
        <v>43936</v>
      </c>
      <c r="B1332" s="3">
        <f>IF(ISNUMBER(AVERAGE('20250815_ETF_Options_Exhibits'!B1328:B1332)),AVERAGE('20250815_ETF_Options_Exhibits'!B1328:B1332),"")</f>
        <v/>
      </c>
      <c r="C1332" s="3">
        <f>IF(ISNUMBER(AVERAGE('20250815_ETF_Options_Exhibits'!C1328:C1332)),AVERAGE('20250815_ETF_Options_Exhibits'!C1328:C1332),"")</f>
        <v/>
      </c>
      <c r="D1332" s="3">
        <f>IF(ISNUMBER(AVERAGE('20250815_ETF_Options_Exhibits'!D1328:D1332)),AVERAGE('20250815_ETF_Options_Exhibits'!D1328:D1332),"")</f>
        <v/>
      </c>
      <c r="E1332" s="3">
        <f>IF(ISNUMBER(AVERAGE('20250815_ETF_Options_Exhibits'!E1328:E1332)),AVERAGE('20250815_ETF_Options_Exhibits'!E1328:E1332),"")</f>
        <v/>
      </c>
      <c r="F1332" s="3">
        <f>IF(ISNUMBER(AVERAGE('20250815_ETF_Options_Exhibits'!F1328:F1332)),AVERAGE('20250815_ETF_Options_Exhibits'!F1328:F1332),"")</f>
        <v/>
      </c>
      <c r="G1332" s="3">
        <f>IF(ISNUMBER(AVERAGE('20250815_ETF_Options_Exhibits'!G1328:G1332)),AVERAGE('20250815_ETF_Options_Exhibits'!G1328:G1332),"")</f>
        <v/>
      </c>
      <c r="H1332" s="3">
        <f>IF(ISNUMBER(AVERAGE('20250815_ETF_Options_Exhibits'!H1328:H1332)),AVERAGE('20250815_ETF_Options_Exhibits'!H1328:H1332),"")</f>
        <v/>
      </c>
      <c r="I1332" s="3">
        <f>IF(ISNUMBER(AVERAGE('20250815_ETF_Options_Exhibits'!I1328:I1332)),AVERAGE('20250815_ETF_Options_Exhibits'!I1328:I1332),"")</f>
        <v/>
      </c>
      <c r="J1332" s="3">
        <f>IF(ISNUMBER(AVERAGE('20250815_ETF_Options_Exhibits'!J1328:J1332)),AVERAGE('20250815_ETF_Options_Exhibits'!J1328:J1332),"")</f>
        <v/>
      </c>
      <c r="K1332" s="3">
        <f>IF(ISNUMBER(AVERAGE('20250815_ETF_Options_Exhibits'!K1328:K1332)),AVERAGE('20250815_ETF_Options_Exhibits'!K1328:K1332),"")</f>
        <v/>
      </c>
      <c r="L1332" s="3">
        <f>IF(ISNUMBER(AVERAGE('20250815_ETF_Options_Exhibits'!L1328:L1332)),AVERAGE('20250815_ETF_Options_Exhibits'!L1328:L1332),"")</f>
        <v/>
      </c>
      <c r="M1332" s="3">
        <f>IF(ISNUMBER(AVERAGE('20250815_ETF_Options_Exhibits'!M1328:M1332)),AVERAGE('20250815_ETF_Options_Exhibits'!M1328:M1332),"")</f>
        <v/>
      </c>
      <c r="N1332" s="3">
        <f>IF(ISNUMBER(AVERAGE('20250815_ETF_Options_Exhibits'!N1328:N1332)),AVERAGE('20250815_ETF_Options_Exhibits'!N1328:N1332),"")</f>
        <v/>
      </c>
      <c r="O1332" s="3">
        <f>IF(ISNUMBER(AVERAGE('20250815_ETF_Options_Exhibits'!O1328:O1332)),AVERAGE('20250815_ETF_Options_Exhibits'!O1328:O1332),"")</f>
        <v/>
      </c>
      <c r="P1332" s="3">
        <f>IF(ISNUMBER(AVERAGE('20250815_ETF_Options_Exhibits'!P1328:P1332)),AVERAGE('20250815_ETF_Options_Exhibits'!P1328:P1332),"")</f>
        <v/>
      </c>
      <c r="Q1332" s="3">
        <f>IF(ISNUMBER(AVERAGE('20250815_ETF_Options_Exhibits'!Q1328:Q1332)),AVERAGE('20250815_ETF_Options_Exhibits'!Q1328:Q1332),"")</f>
        <v/>
      </c>
      <c r="R1332" s="3">
        <f>IF(ISNUMBER(AVERAGE('20250815_ETF_Options_Exhibits'!R1328:R1332)),AVERAGE('20250815_ETF_Options_Exhibits'!R1328:R1332),"")</f>
        <v/>
      </c>
      <c r="S1332" s="3">
        <f>IF(ISNUMBER(AVERAGE('20250815_ETF_Options_Exhibits'!S1328:S1332)),AVERAGE('20250815_ETF_Options_Exhibits'!S1328:S1332),"")</f>
        <v/>
      </c>
      <c r="T1332" s="3">
        <f>IF(ISNUMBER(AVERAGE('20250815_ETF_Options_Exhibits'!T1328:T1332)),AVERAGE('20250815_ETF_Options_Exhibits'!T1328:T1332),"")</f>
        <v/>
      </c>
      <c r="U1332" s="3">
        <f>IF(ISNUMBER(AVERAGE('20250815_ETF_Options_Exhibits'!U1328:U1332)),AVERAGE('20250815_ETF_Options_Exhibits'!U1328:U1332),"")</f>
        <v/>
      </c>
      <c r="V1332" s="3">
        <f>IF(ISNUMBER(AVERAGE('20250815_ETF_Options_Exhibits'!V1328:V1332)),AVERAGE('20250815_ETF_Options_Exhibits'!V1328:V1332),"")</f>
        <v/>
      </c>
      <c r="W1332" s="3">
        <f>IF(ISNUMBER(AVERAGE('20250815_ETF_Options_Exhibits'!W1328:W1332)),AVERAGE('20250815_ETF_Options_Exhibits'!W1328:W1332),"")</f>
        <v/>
      </c>
      <c r="X1332" s="3">
        <f>IF(ISNUMBER(AVERAGE('20250815_ETF_Options_Exhibits'!X1328:X1332)),AVERAGE('20250815_ETF_Options_Exhibits'!X1328:X1332),"")</f>
        <v/>
      </c>
      <c r="Y1332" s="3">
        <f>IF(ISNUMBER(AVERAGE('20250815_ETF_Options_Exhibits'!Y1328:Y1332)),AVERAGE('20250815_ETF_Options_Exhibits'!Y1328:Y1332),"")</f>
        <v/>
      </c>
      <c r="Z1332" s="3">
        <f>IF(ISNUMBER(AVERAGE('20250815_ETF_Options_Exhibits'!Z1328:Z1332)),AVERAGE('20250815_ETF_Options_Exhibits'!Z1328:Z1332),"")</f>
        <v/>
      </c>
      <c r="AA1332" s="3">
        <f>IF(ISNUMBER(AVERAGE('20250815_ETF_Options_Exhibits'!AA1328:AA1332)),AVERAGE('20250815_ETF_Options_Exhibits'!AA1328:AA1332),"")</f>
        <v/>
      </c>
    </row>
    <row r="1333">
      <c r="A1333" s="1" t="n">
        <v>43937</v>
      </c>
      <c r="B1333" s="3">
        <f>IF(ISNUMBER(AVERAGE('20250815_ETF_Options_Exhibits'!B1329:B1333)),AVERAGE('20250815_ETF_Options_Exhibits'!B1329:B1333),"")</f>
        <v/>
      </c>
      <c r="C1333" s="3">
        <f>IF(ISNUMBER(AVERAGE('20250815_ETF_Options_Exhibits'!C1329:C1333)),AVERAGE('20250815_ETF_Options_Exhibits'!C1329:C1333),"")</f>
        <v/>
      </c>
      <c r="D1333" s="3">
        <f>IF(ISNUMBER(AVERAGE('20250815_ETF_Options_Exhibits'!D1329:D1333)),AVERAGE('20250815_ETF_Options_Exhibits'!D1329:D1333),"")</f>
        <v/>
      </c>
      <c r="E1333" s="3">
        <f>IF(ISNUMBER(AVERAGE('20250815_ETF_Options_Exhibits'!E1329:E1333)),AVERAGE('20250815_ETF_Options_Exhibits'!E1329:E1333),"")</f>
        <v/>
      </c>
      <c r="F1333" s="3">
        <f>IF(ISNUMBER(AVERAGE('20250815_ETF_Options_Exhibits'!F1329:F1333)),AVERAGE('20250815_ETF_Options_Exhibits'!F1329:F1333),"")</f>
        <v/>
      </c>
      <c r="G1333" s="3">
        <f>IF(ISNUMBER(AVERAGE('20250815_ETF_Options_Exhibits'!G1329:G1333)),AVERAGE('20250815_ETF_Options_Exhibits'!G1329:G1333),"")</f>
        <v/>
      </c>
      <c r="H1333" s="3">
        <f>IF(ISNUMBER(AVERAGE('20250815_ETF_Options_Exhibits'!H1329:H1333)),AVERAGE('20250815_ETF_Options_Exhibits'!H1329:H1333),"")</f>
        <v/>
      </c>
      <c r="I1333" s="3">
        <f>IF(ISNUMBER(AVERAGE('20250815_ETF_Options_Exhibits'!I1329:I1333)),AVERAGE('20250815_ETF_Options_Exhibits'!I1329:I1333),"")</f>
        <v/>
      </c>
      <c r="J1333" s="3">
        <f>IF(ISNUMBER(AVERAGE('20250815_ETF_Options_Exhibits'!J1329:J1333)),AVERAGE('20250815_ETF_Options_Exhibits'!J1329:J1333),"")</f>
        <v/>
      </c>
      <c r="K1333" s="3">
        <f>IF(ISNUMBER(AVERAGE('20250815_ETF_Options_Exhibits'!K1329:K1333)),AVERAGE('20250815_ETF_Options_Exhibits'!K1329:K1333),"")</f>
        <v/>
      </c>
      <c r="L1333" s="3">
        <f>IF(ISNUMBER(AVERAGE('20250815_ETF_Options_Exhibits'!L1329:L1333)),AVERAGE('20250815_ETF_Options_Exhibits'!L1329:L1333),"")</f>
        <v/>
      </c>
      <c r="M1333" s="3">
        <f>IF(ISNUMBER(AVERAGE('20250815_ETF_Options_Exhibits'!M1329:M1333)),AVERAGE('20250815_ETF_Options_Exhibits'!M1329:M1333),"")</f>
        <v/>
      </c>
      <c r="N1333" s="3">
        <f>IF(ISNUMBER(AVERAGE('20250815_ETF_Options_Exhibits'!N1329:N1333)),AVERAGE('20250815_ETF_Options_Exhibits'!N1329:N1333),"")</f>
        <v/>
      </c>
      <c r="O1333" s="3">
        <f>IF(ISNUMBER(AVERAGE('20250815_ETF_Options_Exhibits'!O1329:O1333)),AVERAGE('20250815_ETF_Options_Exhibits'!O1329:O1333),"")</f>
        <v/>
      </c>
      <c r="P1333" s="3">
        <f>IF(ISNUMBER(AVERAGE('20250815_ETF_Options_Exhibits'!P1329:P1333)),AVERAGE('20250815_ETF_Options_Exhibits'!P1329:P1333),"")</f>
        <v/>
      </c>
      <c r="Q1333" s="3">
        <f>IF(ISNUMBER(AVERAGE('20250815_ETF_Options_Exhibits'!Q1329:Q1333)),AVERAGE('20250815_ETF_Options_Exhibits'!Q1329:Q1333),"")</f>
        <v/>
      </c>
      <c r="R1333" s="3">
        <f>IF(ISNUMBER(AVERAGE('20250815_ETF_Options_Exhibits'!R1329:R1333)),AVERAGE('20250815_ETF_Options_Exhibits'!R1329:R1333),"")</f>
        <v/>
      </c>
      <c r="S1333" s="3">
        <f>IF(ISNUMBER(AVERAGE('20250815_ETF_Options_Exhibits'!S1329:S1333)),AVERAGE('20250815_ETF_Options_Exhibits'!S1329:S1333),"")</f>
        <v/>
      </c>
      <c r="T1333" s="3">
        <f>IF(ISNUMBER(AVERAGE('20250815_ETF_Options_Exhibits'!T1329:T1333)),AVERAGE('20250815_ETF_Options_Exhibits'!T1329:T1333),"")</f>
        <v/>
      </c>
      <c r="U1333" s="3">
        <f>IF(ISNUMBER(AVERAGE('20250815_ETF_Options_Exhibits'!U1329:U1333)),AVERAGE('20250815_ETF_Options_Exhibits'!U1329:U1333),"")</f>
        <v/>
      </c>
      <c r="V1333" s="3">
        <f>IF(ISNUMBER(AVERAGE('20250815_ETF_Options_Exhibits'!V1329:V1333)),AVERAGE('20250815_ETF_Options_Exhibits'!V1329:V1333),"")</f>
        <v/>
      </c>
      <c r="W1333" s="3">
        <f>IF(ISNUMBER(AVERAGE('20250815_ETF_Options_Exhibits'!W1329:W1333)),AVERAGE('20250815_ETF_Options_Exhibits'!W1329:W1333),"")</f>
        <v/>
      </c>
      <c r="X1333" s="3">
        <f>IF(ISNUMBER(AVERAGE('20250815_ETF_Options_Exhibits'!X1329:X1333)),AVERAGE('20250815_ETF_Options_Exhibits'!X1329:X1333),"")</f>
        <v/>
      </c>
      <c r="Y1333" s="3">
        <f>IF(ISNUMBER(AVERAGE('20250815_ETF_Options_Exhibits'!Y1329:Y1333)),AVERAGE('20250815_ETF_Options_Exhibits'!Y1329:Y1333),"")</f>
        <v/>
      </c>
      <c r="Z1333" s="3">
        <f>IF(ISNUMBER(AVERAGE('20250815_ETF_Options_Exhibits'!Z1329:Z1333)),AVERAGE('20250815_ETF_Options_Exhibits'!Z1329:Z1333),"")</f>
        <v/>
      </c>
      <c r="AA1333" s="3">
        <f>IF(ISNUMBER(AVERAGE('20250815_ETF_Options_Exhibits'!AA1329:AA1333)),AVERAGE('20250815_ETF_Options_Exhibits'!AA1329:AA1333),"")</f>
        <v/>
      </c>
    </row>
    <row r="1334">
      <c r="A1334" s="1" t="n">
        <v>43938</v>
      </c>
      <c r="B1334" s="3">
        <f>IF(ISNUMBER(AVERAGE('20250815_ETF_Options_Exhibits'!B1330:B1334)),AVERAGE('20250815_ETF_Options_Exhibits'!B1330:B1334),"")</f>
        <v/>
      </c>
      <c r="C1334" s="3">
        <f>IF(ISNUMBER(AVERAGE('20250815_ETF_Options_Exhibits'!C1330:C1334)),AVERAGE('20250815_ETF_Options_Exhibits'!C1330:C1334),"")</f>
        <v/>
      </c>
      <c r="D1334" s="3">
        <f>IF(ISNUMBER(AVERAGE('20250815_ETF_Options_Exhibits'!D1330:D1334)),AVERAGE('20250815_ETF_Options_Exhibits'!D1330:D1334),"")</f>
        <v/>
      </c>
      <c r="E1334" s="3">
        <f>IF(ISNUMBER(AVERAGE('20250815_ETF_Options_Exhibits'!E1330:E1334)),AVERAGE('20250815_ETF_Options_Exhibits'!E1330:E1334),"")</f>
        <v/>
      </c>
      <c r="F1334" s="3">
        <f>IF(ISNUMBER(AVERAGE('20250815_ETF_Options_Exhibits'!F1330:F1334)),AVERAGE('20250815_ETF_Options_Exhibits'!F1330:F1334),"")</f>
        <v/>
      </c>
      <c r="G1334" s="3">
        <f>IF(ISNUMBER(AVERAGE('20250815_ETF_Options_Exhibits'!G1330:G1334)),AVERAGE('20250815_ETF_Options_Exhibits'!G1330:G1334),"")</f>
        <v/>
      </c>
      <c r="H1334" s="3">
        <f>IF(ISNUMBER(AVERAGE('20250815_ETF_Options_Exhibits'!H1330:H1334)),AVERAGE('20250815_ETF_Options_Exhibits'!H1330:H1334),"")</f>
        <v/>
      </c>
      <c r="I1334" s="3">
        <f>IF(ISNUMBER(AVERAGE('20250815_ETF_Options_Exhibits'!I1330:I1334)),AVERAGE('20250815_ETF_Options_Exhibits'!I1330:I1334),"")</f>
        <v/>
      </c>
      <c r="J1334" s="3">
        <f>IF(ISNUMBER(AVERAGE('20250815_ETF_Options_Exhibits'!J1330:J1334)),AVERAGE('20250815_ETF_Options_Exhibits'!J1330:J1334),"")</f>
        <v/>
      </c>
      <c r="K1334" s="3">
        <f>IF(ISNUMBER(AVERAGE('20250815_ETF_Options_Exhibits'!K1330:K1334)),AVERAGE('20250815_ETF_Options_Exhibits'!K1330:K1334),"")</f>
        <v/>
      </c>
      <c r="L1334" s="3">
        <f>IF(ISNUMBER(AVERAGE('20250815_ETF_Options_Exhibits'!L1330:L1334)),AVERAGE('20250815_ETF_Options_Exhibits'!L1330:L1334),"")</f>
        <v/>
      </c>
      <c r="M1334" s="3">
        <f>IF(ISNUMBER(AVERAGE('20250815_ETF_Options_Exhibits'!M1330:M1334)),AVERAGE('20250815_ETF_Options_Exhibits'!M1330:M1334),"")</f>
        <v/>
      </c>
      <c r="N1334" s="3">
        <f>IF(ISNUMBER(AVERAGE('20250815_ETF_Options_Exhibits'!N1330:N1334)),AVERAGE('20250815_ETF_Options_Exhibits'!N1330:N1334),"")</f>
        <v/>
      </c>
      <c r="O1334" s="3">
        <f>IF(ISNUMBER(AVERAGE('20250815_ETF_Options_Exhibits'!O1330:O1334)),AVERAGE('20250815_ETF_Options_Exhibits'!O1330:O1334),"")</f>
        <v/>
      </c>
      <c r="P1334" s="3">
        <f>IF(ISNUMBER(AVERAGE('20250815_ETF_Options_Exhibits'!P1330:P1334)),AVERAGE('20250815_ETF_Options_Exhibits'!P1330:P1334),"")</f>
        <v/>
      </c>
      <c r="Q1334" s="3">
        <f>IF(ISNUMBER(AVERAGE('20250815_ETF_Options_Exhibits'!Q1330:Q1334)),AVERAGE('20250815_ETF_Options_Exhibits'!Q1330:Q1334),"")</f>
        <v/>
      </c>
      <c r="R1334" s="3">
        <f>IF(ISNUMBER(AVERAGE('20250815_ETF_Options_Exhibits'!R1330:R1334)),AVERAGE('20250815_ETF_Options_Exhibits'!R1330:R1334),"")</f>
        <v/>
      </c>
      <c r="S1334" s="3">
        <f>IF(ISNUMBER(AVERAGE('20250815_ETF_Options_Exhibits'!S1330:S1334)),AVERAGE('20250815_ETF_Options_Exhibits'!S1330:S1334),"")</f>
        <v/>
      </c>
      <c r="T1334" s="3">
        <f>IF(ISNUMBER(AVERAGE('20250815_ETF_Options_Exhibits'!T1330:T1334)),AVERAGE('20250815_ETF_Options_Exhibits'!T1330:T1334),"")</f>
        <v/>
      </c>
      <c r="U1334" s="3">
        <f>IF(ISNUMBER(AVERAGE('20250815_ETF_Options_Exhibits'!U1330:U1334)),AVERAGE('20250815_ETF_Options_Exhibits'!U1330:U1334),"")</f>
        <v/>
      </c>
      <c r="V1334" s="3">
        <f>IF(ISNUMBER(AVERAGE('20250815_ETF_Options_Exhibits'!V1330:V1334)),AVERAGE('20250815_ETF_Options_Exhibits'!V1330:V1334),"")</f>
        <v/>
      </c>
      <c r="W1334" s="3">
        <f>IF(ISNUMBER(AVERAGE('20250815_ETF_Options_Exhibits'!W1330:W1334)),AVERAGE('20250815_ETF_Options_Exhibits'!W1330:W1334),"")</f>
        <v/>
      </c>
      <c r="X1334" s="3">
        <f>IF(ISNUMBER(AVERAGE('20250815_ETF_Options_Exhibits'!X1330:X1334)),AVERAGE('20250815_ETF_Options_Exhibits'!X1330:X1334),"")</f>
        <v/>
      </c>
      <c r="Y1334" s="3">
        <f>IF(ISNUMBER(AVERAGE('20250815_ETF_Options_Exhibits'!Y1330:Y1334)),AVERAGE('20250815_ETF_Options_Exhibits'!Y1330:Y1334),"")</f>
        <v/>
      </c>
      <c r="Z1334" s="3">
        <f>IF(ISNUMBER(AVERAGE('20250815_ETF_Options_Exhibits'!Z1330:Z1334)),AVERAGE('20250815_ETF_Options_Exhibits'!Z1330:Z1334),"")</f>
        <v/>
      </c>
      <c r="AA1334" s="3">
        <f>IF(ISNUMBER(AVERAGE('20250815_ETF_Options_Exhibits'!AA1330:AA1334)),AVERAGE('20250815_ETF_Options_Exhibits'!AA1330:AA1334),"")</f>
        <v/>
      </c>
    </row>
    <row r="1335">
      <c r="A1335" s="1" t="n">
        <v>43941</v>
      </c>
      <c r="B1335" s="3">
        <f>IF(ISNUMBER(AVERAGE('20250815_ETF_Options_Exhibits'!B1331:B1335)),AVERAGE('20250815_ETF_Options_Exhibits'!B1331:B1335),"")</f>
        <v/>
      </c>
      <c r="C1335" s="3">
        <f>IF(ISNUMBER(AVERAGE('20250815_ETF_Options_Exhibits'!C1331:C1335)),AVERAGE('20250815_ETF_Options_Exhibits'!C1331:C1335),"")</f>
        <v/>
      </c>
      <c r="D1335" s="3">
        <f>IF(ISNUMBER(AVERAGE('20250815_ETF_Options_Exhibits'!D1331:D1335)),AVERAGE('20250815_ETF_Options_Exhibits'!D1331:D1335),"")</f>
        <v/>
      </c>
      <c r="E1335" s="3">
        <f>IF(ISNUMBER(AVERAGE('20250815_ETF_Options_Exhibits'!E1331:E1335)),AVERAGE('20250815_ETF_Options_Exhibits'!E1331:E1335),"")</f>
        <v/>
      </c>
      <c r="F1335" s="3">
        <f>IF(ISNUMBER(AVERAGE('20250815_ETF_Options_Exhibits'!F1331:F1335)),AVERAGE('20250815_ETF_Options_Exhibits'!F1331:F1335),"")</f>
        <v/>
      </c>
      <c r="G1335" s="3">
        <f>IF(ISNUMBER(AVERAGE('20250815_ETF_Options_Exhibits'!G1331:G1335)),AVERAGE('20250815_ETF_Options_Exhibits'!G1331:G1335),"")</f>
        <v/>
      </c>
      <c r="H1335" s="3">
        <f>IF(ISNUMBER(AVERAGE('20250815_ETF_Options_Exhibits'!H1331:H1335)),AVERAGE('20250815_ETF_Options_Exhibits'!H1331:H1335),"")</f>
        <v/>
      </c>
      <c r="I1335" s="3">
        <f>IF(ISNUMBER(AVERAGE('20250815_ETF_Options_Exhibits'!I1331:I1335)),AVERAGE('20250815_ETF_Options_Exhibits'!I1331:I1335),"")</f>
        <v/>
      </c>
      <c r="J1335" s="3">
        <f>IF(ISNUMBER(AVERAGE('20250815_ETF_Options_Exhibits'!J1331:J1335)),AVERAGE('20250815_ETF_Options_Exhibits'!J1331:J1335),"")</f>
        <v/>
      </c>
      <c r="K1335" s="3">
        <f>IF(ISNUMBER(AVERAGE('20250815_ETF_Options_Exhibits'!K1331:K1335)),AVERAGE('20250815_ETF_Options_Exhibits'!K1331:K1335),"")</f>
        <v/>
      </c>
      <c r="L1335" s="3">
        <f>IF(ISNUMBER(AVERAGE('20250815_ETF_Options_Exhibits'!L1331:L1335)),AVERAGE('20250815_ETF_Options_Exhibits'!L1331:L1335),"")</f>
        <v/>
      </c>
      <c r="M1335" s="3">
        <f>IF(ISNUMBER(AVERAGE('20250815_ETF_Options_Exhibits'!M1331:M1335)),AVERAGE('20250815_ETF_Options_Exhibits'!M1331:M1335),"")</f>
        <v/>
      </c>
      <c r="N1335" s="3">
        <f>IF(ISNUMBER(AVERAGE('20250815_ETF_Options_Exhibits'!N1331:N1335)),AVERAGE('20250815_ETF_Options_Exhibits'!N1331:N1335),"")</f>
        <v/>
      </c>
      <c r="O1335" s="3">
        <f>IF(ISNUMBER(AVERAGE('20250815_ETF_Options_Exhibits'!O1331:O1335)),AVERAGE('20250815_ETF_Options_Exhibits'!O1331:O1335),"")</f>
        <v/>
      </c>
      <c r="P1335" s="3">
        <f>IF(ISNUMBER(AVERAGE('20250815_ETF_Options_Exhibits'!P1331:P1335)),AVERAGE('20250815_ETF_Options_Exhibits'!P1331:P1335),"")</f>
        <v/>
      </c>
      <c r="Q1335" s="3">
        <f>IF(ISNUMBER(AVERAGE('20250815_ETF_Options_Exhibits'!Q1331:Q1335)),AVERAGE('20250815_ETF_Options_Exhibits'!Q1331:Q1335),"")</f>
        <v/>
      </c>
      <c r="R1335" s="3">
        <f>IF(ISNUMBER(AVERAGE('20250815_ETF_Options_Exhibits'!R1331:R1335)),AVERAGE('20250815_ETF_Options_Exhibits'!R1331:R1335),"")</f>
        <v/>
      </c>
      <c r="S1335" s="3">
        <f>IF(ISNUMBER(AVERAGE('20250815_ETF_Options_Exhibits'!S1331:S1335)),AVERAGE('20250815_ETF_Options_Exhibits'!S1331:S1335),"")</f>
        <v/>
      </c>
      <c r="T1335" s="3">
        <f>IF(ISNUMBER(AVERAGE('20250815_ETF_Options_Exhibits'!T1331:T1335)),AVERAGE('20250815_ETF_Options_Exhibits'!T1331:T1335),"")</f>
        <v/>
      </c>
      <c r="U1335" s="3">
        <f>IF(ISNUMBER(AVERAGE('20250815_ETF_Options_Exhibits'!U1331:U1335)),AVERAGE('20250815_ETF_Options_Exhibits'!U1331:U1335),"")</f>
        <v/>
      </c>
      <c r="V1335" s="3">
        <f>IF(ISNUMBER(AVERAGE('20250815_ETF_Options_Exhibits'!V1331:V1335)),AVERAGE('20250815_ETF_Options_Exhibits'!V1331:V1335),"")</f>
        <v/>
      </c>
      <c r="W1335" s="3">
        <f>IF(ISNUMBER(AVERAGE('20250815_ETF_Options_Exhibits'!W1331:W1335)),AVERAGE('20250815_ETF_Options_Exhibits'!W1331:W1335),"")</f>
        <v/>
      </c>
      <c r="X1335" s="3">
        <f>IF(ISNUMBER(AVERAGE('20250815_ETF_Options_Exhibits'!X1331:X1335)),AVERAGE('20250815_ETF_Options_Exhibits'!X1331:X1335),"")</f>
        <v/>
      </c>
      <c r="Y1335" s="3">
        <f>IF(ISNUMBER(AVERAGE('20250815_ETF_Options_Exhibits'!Y1331:Y1335)),AVERAGE('20250815_ETF_Options_Exhibits'!Y1331:Y1335),"")</f>
        <v/>
      </c>
      <c r="Z1335" s="3">
        <f>IF(ISNUMBER(AVERAGE('20250815_ETF_Options_Exhibits'!Z1331:Z1335)),AVERAGE('20250815_ETF_Options_Exhibits'!Z1331:Z1335),"")</f>
        <v/>
      </c>
      <c r="AA1335" s="3">
        <f>IF(ISNUMBER(AVERAGE('20250815_ETF_Options_Exhibits'!AA1331:AA1335)),AVERAGE('20250815_ETF_Options_Exhibits'!AA1331:AA1335),"")</f>
        <v/>
      </c>
    </row>
    <row r="1336">
      <c r="A1336" s="1" t="n">
        <v>43942</v>
      </c>
      <c r="B1336" s="3">
        <f>IF(ISNUMBER(AVERAGE('20250815_ETF_Options_Exhibits'!B1332:B1336)),AVERAGE('20250815_ETF_Options_Exhibits'!B1332:B1336),"")</f>
        <v/>
      </c>
      <c r="C1336" s="3">
        <f>IF(ISNUMBER(AVERAGE('20250815_ETF_Options_Exhibits'!C1332:C1336)),AVERAGE('20250815_ETF_Options_Exhibits'!C1332:C1336),"")</f>
        <v/>
      </c>
      <c r="D1336" s="3">
        <f>IF(ISNUMBER(AVERAGE('20250815_ETF_Options_Exhibits'!D1332:D1336)),AVERAGE('20250815_ETF_Options_Exhibits'!D1332:D1336),"")</f>
        <v/>
      </c>
      <c r="E1336" s="3">
        <f>IF(ISNUMBER(AVERAGE('20250815_ETF_Options_Exhibits'!E1332:E1336)),AVERAGE('20250815_ETF_Options_Exhibits'!E1332:E1336),"")</f>
        <v/>
      </c>
      <c r="F1336" s="3">
        <f>IF(ISNUMBER(AVERAGE('20250815_ETF_Options_Exhibits'!F1332:F1336)),AVERAGE('20250815_ETF_Options_Exhibits'!F1332:F1336),"")</f>
        <v/>
      </c>
      <c r="G1336" s="3">
        <f>IF(ISNUMBER(AVERAGE('20250815_ETF_Options_Exhibits'!G1332:G1336)),AVERAGE('20250815_ETF_Options_Exhibits'!G1332:G1336),"")</f>
        <v/>
      </c>
      <c r="H1336" s="3">
        <f>IF(ISNUMBER(AVERAGE('20250815_ETF_Options_Exhibits'!H1332:H1336)),AVERAGE('20250815_ETF_Options_Exhibits'!H1332:H1336),"")</f>
        <v/>
      </c>
      <c r="I1336" s="3">
        <f>IF(ISNUMBER(AVERAGE('20250815_ETF_Options_Exhibits'!I1332:I1336)),AVERAGE('20250815_ETF_Options_Exhibits'!I1332:I1336),"")</f>
        <v/>
      </c>
      <c r="J1336" s="3">
        <f>IF(ISNUMBER(AVERAGE('20250815_ETF_Options_Exhibits'!J1332:J1336)),AVERAGE('20250815_ETF_Options_Exhibits'!J1332:J1336),"")</f>
        <v/>
      </c>
      <c r="K1336" s="3">
        <f>IF(ISNUMBER(AVERAGE('20250815_ETF_Options_Exhibits'!K1332:K1336)),AVERAGE('20250815_ETF_Options_Exhibits'!K1332:K1336),"")</f>
        <v/>
      </c>
      <c r="L1336" s="3">
        <f>IF(ISNUMBER(AVERAGE('20250815_ETF_Options_Exhibits'!L1332:L1336)),AVERAGE('20250815_ETF_Options_Exhibits'!L1332:L1336),"")</f>
        <v/>
      </c>
      <c r="M1336" s="3">
        <f>IF(ISNUMBER(AVERAGE('20250815_ETF_Options_Exhibits'!M1332:M1336)),AVERAGE('20250815_ETF_Options_Exhibits'!M1332:M1336),"")</f>
        <v/>
      </c>
      <c r="N1336" s="3">
        <f>IF(ISNUMBER(AVERAGE('20250815_ETF_Options_Exhibits'!N1332:N1336)),AVERAGE('20250815_ETF_Options_Exhibits'!N1332:N1336),"")</f>
        <v/>
      </c>
      <c r="O1336" s="3">
        <f>IF(ISNUMBER(AVERAGE('20250815_ETF_Options_Exhibits'!O1332:O1336)),AVERAGE('20250815_ETF_Options_Exhibits'!O1332:O1336),"")</f>
        <v/>
      </c>
      <c r="P1336" s="3">
        <f>IF(ISNUMBER(AVERAGE('20250815_ETF_Options_Exhibits'!P1332:P1336)),AVERAGE('20250815_ETF_Options_Exhibits'!P1332:P1336),"")</f>
        <v/>
      </c>
      <c r="Q1336" s="3">
        <f>IF(ISNUMBER(AVERAGE('20250815_ETF_Options_Exhibits'!Q1332:Q1336)),AVERAGE('20250815_ETF_Options_Exhibits'!Q1332:Q1336),"")</f>
        <v/>
      </c>
      <c r="R1336" s="3">
        <f>IF(ISNUMBER(AVERAGE('20250815_ETF_Options_Exhibits'!R1332:R1336)),AVERAGE('20250815_ETF_Options_Exhibits'!R1332:R1336),"")</f>
        <v/>
      </c>
      <c r="S1336" s="3">
        <f>IF(ISNUMBER(AVERAGE('20250815_ETF_Options_Exhibits'!S1332:S1336)),AVERAGE('20250815_ETF_Options_Exhibits'!S1332:S1336),"")</f>
        <v/>
      </c>
      <c r="T1336" s="3">
        <f>IF(ISNUMBER(AVERAGE('20250815_ETF_Options_Exhibits'!T1332:T1336)),AVERAGE('20250815_ETF_Options_Exhibits'!T1332:T1336),"")</f>
        <v/>
      </c>
      <c r="U1336" s="3">
        <f>IF(ISNUMBER(AVERAGE('20250815_ETF_Options_Exhibits'!U1332:U1336)),AVERAGE('20250815_ETF_Options_Exhibits'!U1332:U1336),"")</f>
        <v/>
      </c>
      <c r="V1336" s="3">
        <f>IF(ISNUMBER(AVERAGE('20250815_ETF_Options_Exhibits'!V1332:V1336)),AVERAGE('20250815_ETF_Options_Exhibits'!V1332:V1336),"")</f>
        <v/>
      </c>
      <c r="W1336" s="3">
        <f>IF(ISNUMBER(AVERAGE('20250815_ETF_Options_Exhibits'!W1332:W1336)),AVERAGE('20250815_ETF_Options_Exhibits'!W1332:W1336),"")</f>
        <v/>
      </c>
      <c r="X1336" s="3">
        <f>IF(ISNUMBER(AVERAGE('20250815_ETF_Options_Exhibits'!X1332:X1336)),AVERAGE('20250815_ETF_Options_Exhibits'!X1332:X1336),"")</f>
        <v/>
      </c>
      <c r="Y1336" s="3">
        <f>IF(ISNUMBER(AVERAGE('20250815_ETF_Options_Exhibits'!Y1332:Y1336)),AVERAGE('20250815_ETF_Options_Exhibits'!Y1332:Y1336),"")</f>
        <v/>
      </c>
      <c r="Z1336" s="3">
        <f>IF(ISNUMBER(AVERAGE('20250815_ETF_Options_Exhibits'!Z1332:Z1336)),AVERAGE('20250815_ETF_Options_Exhibits'!Z1332:Z1336),"")</f>
        <v/>
      </c>
      <c r="AA1336" s="3">
        <f>IF(ISNUMBER(AVERAGE('20250815_ETF_Options_Exhibits'!AA1332:AA1336)),AVERAGE('20250815_ETF_Options_Exhibits'!AA1332:AA1336),"")</f>
        <v/>
      </c>
    </row>
    <row r="1337">
      <c r="A1337" s="1" t="n">
        <v>43943</v>
      </c>
      <c r="B1337" s="3">
        <f>IF(ISNUMBER(AVERAGE('20250815_ETF_Options_Exhibits'!B1333:B1337)),AVERAGE('20250815_ETF_Options_Exhibits'!B1333:B1337),"")</f>
        <v/>
      </c>
      <c r="C1337" s="3">
        <f>IF(ISNUMBER(AVERAGE('20250815_ETF_Options_Exhibits'!C1333:C1337)),AVERAGE('20250815_ETF_Options_Exhibits'!C1333:C1337),"")</f>
        <v/>
      </c>
      <c r="D1337" s="3">
        <f>IF(ISNUMBER(AVERAGE('20250815_ETF_Options_Exhibits'!D1333:D1337)),AVERAGE('20250815_ETF_Options_Exhibits'!D1333:D1337),"")</f>
        <v/>
      </c>
      <c r="E1337" s="3">
        <f>IF(ISNUMBER(AVERAGE('20250815_ETF_Options_Exhibits'!E1333:E1337)),AVERAGE('20250815_ETF_Options_Exhibits'!E1333:E1337),"")</f>
        <v/>
      </c>
      <c r="F1337" s="3">
        <f>IF(ISNUMBER(AVERAGE('20250815_ETF_Options_Exhibits'!F1333:F1337)),AVERAGE('20250815_ETF_Options_Exhibits'!F1333:F1337),"")</f>
        <v/>
      </c>
      <c r="G1337" s="3">
        <f>IF(ISNUMBER(AVERAGE('20250815_ETF_Options_Exhibits'!G1333:G1337)),AVERAGE('20250815_ETF_Options_Exhibits'!G1333:G1337),"")</f>
        <v/>
      </c>
      <c r="H1337" s="3">
        <f>IF(ISNUMBER(AVERAGE('20250815_ETF_Options_Exhibits'!H1333:H1337)),AVERAGE('20250815_ETF_Options_Exhibits'!H1333:H1337),"")</f>
        <v/>
      </c>
      <c r="I1337" s="3">
        <f>IF(ISNUMBER(AVERAGE('20250815_ETF_Options_Exhibits'!I1333:I1337)),AVERAGE('20250815_ETF_Options_Exhibits'!I1333:I1337),"")</f>
        <v/>
      </c>
      <c r="J1337" s="3">
        <f>IF(ISNUMBER(AVERAGE('20250815_ETF_Options_Exhibits'!J1333:J1337)),AVERAGE('20250815_ETF_Options_Exhibits'!J1333:J1337),"")</f>
        <v/>
      </c>
      <c r="K1337" s="3">
        <f>IF(ISNUMBER(AVERAGE('20250815_ETF_Options_Exhibits'!K1333:K1337)),AVERAGE('20250815_ETF_Options_Exhibits'!K1333:K1337),"")</f>
        <v/>
      </c>
      <c r="L1337" s="3">
        <f>IF(ISNUMBER(AVERAGE('20250815_ETF_Options_Exhibits'!L1333:L1337)),AVERAGE('20250815_ETF_Options_Exhibits'!L1333:L1337),"")</f>
        <v/>
      </c>
      <c r="M1337" s="3">
        <f>IF(ISNUMBER(AVERAGE('20250815_ETF_Options_Exhibits'!M1333:M1337)),AVERAGE('20250815_ETF_Options_Exhibits'!M1333:M1337),"")</f>
        <v/>
      </c>
      <c r="N1337" s="3">
        <f>IF(ISNUMBER(AVERAGE('20250815_ETF_Options_Exhibits'!N1333:N1337)),AVERAGE('20250815_ETF_Options_Exhibits'!N1333:N1337),"")</f>
        <v/>
      </c>
      <c r="O1337" s="3">
        <f>IF(ISNUMBER(AVERAGE('20250815_ETF_Options_Exhibits'!O1333:O1337)),AVERAGE('20250815_ETF_Options_Exhibits'!O1333:O1337),"")</f>
        <v/>
      </c>
      <c r="P1337" s="3">
        <f>IF(ISNUMBER(AVERAGE('20250815_ETF_Options_Exhibits'!P1333:P1337)),AVERAGE('20250815_ETF_Options_Exhibits'!P1333:P1337),"")</f>
        <v/>
      </c>
      <c r="Q1337" s="3">
        <f>IF(ISNUMBER(AVERAGE('20250815_ETF_Options_Exhibits'!Q1333:Q1337)),AVERAGE('20250815_ETF_Options_Exhibits'!Q1333:Q1337),"")</f>
        <v/>
      </c>
      <c r="R1337" s="3">
        <f>IF(ISNUMBER(AVERAGE('20250815_ETF_Options_Exhibits'!R1333:R1337)),AVERAGE('20250815_ETF_Options_Exhibits'!R1333:R1337),"")</f>
        <v/>
      </c>
      <c r="S1337" s="3">
        <f>IF(ISNUMBER(AVERAGE('20250815_ETF_Options_Exhibits'!S1333:S1337)),AVERAGE('20250815_ETF_Options_Exhibits'!S1333:S1337),"")</f>
        <v/>
      </c>
      <c r="T1337" s="3">
        <f>IF(ISNUMBER(AVERAGE('20250815_ETF_Options_Exhibits'!T1333:T1337)),AVERAGE('20250815_ETF_Options_Exhibits'!T1333:T1337),"")</f>
        <v/>
      </c>
      <c r="U1337" s="3">
        <f>IF(ISNUMBER(AVERAGE('20250815_ETF_Options_Exhibits'!U1333:U1337)),AVERAGE('20250815_ETF_Options_Exhibits'!U1333:U1337),"")</f>
        <v/>
      </c>
      <c r="V1337" s="3">
        <f>IF(ISNUMBER(AVERAGE('20250815_ETF_Options_Exhibits'!V1333:V1337)),AVERAGE('20250815_ETF_Options_Exhibits'!V1333:V1337),"")</f>
        <v/>
      </c>
      <c r="W1337" s="3">
        <f>IF(ISNUMBER(AVERAGE('20250815_ETF_Options_Exhibits'!W1333:W1337)),AVERAGE('20250815_ETF_Options_Exhibits'!W1333:W1337),"")</f>
        <v/>
      </c>
      <c r="X1337" s="3">
        <f>IF(ISNUMBER(AVERAGE('20250815_ETF_Options_Exhibits'!X1333:X1337)),AVERAGE('20250815_ETF_Options_Exhibits'!X1333:X1337),"")</f>
        <v/>
      </c>
      <c r="Y1337" s="3">
        <f>IF(ISNUMBER(AVERAGE('20250815_ETF_Options_Exhibits'!Y1333:Y1337)),AVERAGE('20250815_ETF_Options_Exhibits'!Y1333:Y1337),"")</f>
        <v/>
      </c>
      <c r="Z1337" s="3">
        <f>IF(ISNUMBER(AVERAGE('20250815_ETF_Options_Exhibits'!Z1333:Z1337)),AVERAGE('20250815_ETF_Options_Exhibits'!Z1333:Z1337),"")</f>
        <v/>
      </c>
      <c r="AA1337" s="3">
        <f>IF(ISNUMBER(AVERAGE('20250815_ETF_Options_Exhibits'!AA1333:AA1337)),AVERAGE('20250815_ETF_Options_Exhibits'!AA1333:AA1337),"")</f>
        <v/>
      </c>
    </row>
    <row r="1338">
      <c r="A1338" s="1" t="n">
        <v>43944</v>
      </c>
      <c r="B1338" s="3">
        <f>IF(ISNUMBER(AVERAGE('20250815_ETF_Options_Exhibits'!B1334:B1338)),AVERAGE('20250815_ETF_Options_Exhibits'!B1334:B1338),"")</f>
        <v/>
      </c>
      <c r="C1338" s="3">
        <f>IF(ISNUMBER(AVERAGE('20250815_ETF_Options_Exhibits'!C1334:C1338)),AVERAGE('20250815_ETF_Options_Exhibits'!C1334:C1338),"")</f>
        <v/>
      </c>
      <c r="D1338" s="3">
        <f>IF(ISNUMBER(AVERAGE('20250815_ETF_Options_Exhibits'!D1334:D1338)),AVERAGE('20250815_ETF_Options_Exhibits'!D1334:D1338),"")</f>
        <v/>
      </c>
      <c r="E1338" s="3">
        <f>IF(ISNUMBER(AVERAGE('20250815_ETF_Options_Exhibits'!E1334:E1338)),AVERAGE('20250815_ETF_Options_Exhibits'!E1334:E1338),"")</f>
        <v/>
      </c>
      <c r="F1338" s="3">
        <f>IF(ISNUMBER(AVERAGE('20250815_ETF_Options_Exhibits'!F1334:F1338)),AVERAGE('20250815_ETF_Options_Exhibits'!F1334:F1338),"")</f>
        <v/>
      </c>
      <c r="G1338" s="3">
        <f>IF(ISNUMBER(AVERAGE('20250815_ETF_Options_Exhibits'!G1334:G1338)),AVERAGE('20250815_ETF_Options_Exhibits'!G1334:G1338),"")</f>
        <v/>
      </c>
      <c r="H1338" s="3">
        <f>IF(ISNUMBER(AVERAGE('20250815_ETF_Options_Exhibits'!H1334:H1338)),AVERAGE('20250815_ETF_Options_Exhibits'!H1334:H1338),"")</f>
        <v/>
      </c>
      <c r="I1338" s="3">
        <f>IF(ISNUMBER(AVERAGE('20250815_ETF_Options_Exhibits'!I1334:I1338)),AVERAGE('20250815_ETF_Options_Exhibits'!I1334:I1338),"")</f>
        <v/>
      </c>
      <c r="J1338" s="3">
        <f>IF(ISNUMBER(AVERAGE('20250815_ETF_Options_Exhibits'!J1334:J1338)),AVERAGE('20250815_ETF_Options_Exhibits'!J1334:J1338),"")</f>
        <v/>
      </c>
      <c r="K1338" s="3">
        <f>IF(ISNUMBER(AVERAGE('20250815_ETF_Options_Exhibits'!K1334:K1338)),AVERAGE('20250815_ETF_Options_Exhibits'!K1334:K1338),"")</f>
        <v/>
      </c>
      <c r="L1338" s="3">
        <f>IF(ISNUMBER(AVERAGE('20250815_ETF_Options_Exhibits'!L1334:L1338)),AVERAGE('20250815_ETF_Options_Exhibits'!L1334:L1338),"")</f>
        <v/>
      </c>
      <c r="M1338" s="3">
        <f>IF(ISNUMBER(AVERAGE('20250815_ETF_Options_Exhibits'!M1334:M1338)),AVERAGE('20250815_ETF_Options_Exhibits'!M1334:M1338),"")</f>
        <v/>
      </c>
      <c r="N1338" s="3">
        <f>IF(ISNUMBER(AVERAGE('20250815_ETF_Options_Exhibits'!N1334:N1338)),AVERAGE('20250815_ETF_Options_Exhibits'!N1334:N1338),"")</f>
        <v/>
      </c>
      <c r="O1338" s="3">
        <f>IF(ISNUMBER(AVERAGE('20250815_ETF_Options_Exhibits'!O1334:O1338)),AVERAGE('20250815_ETF_Options_Exhibits'!O1334:O1338),"")</f>
        <v/>
      </c>
      <c r="P1338" s="3">
        <f>IF(ISNUMBER(AVERAGE('20250815_ETF_Options_Exhibits'!P1334:P1338)),AVERAGE('20250815_ETF_Options_Exhibits'!P1334:P1338),"")</f>
        <v/>
      </c>
      <c r="Q1338" s="3">
        <f>IF(ISNUMBER(AVERAGE('20250815_ETF_Options_Exhibits'!Q1334:Q1338)),AVERAGE('20250815_ETF_Options_Exhibits'!Q1334:Q1338),"")</f>
        <v/>
      </c>
      <c r="R1338" s="3">
        <f>IF(ISNUMBER(AVERAGE('20250815_ETF_Options_Exhibits'!R1334:R1338)),AVERAGE('20250815_ETF_Options_Exhibits'!R1334:R1338),"")</f>
        <v/>
      </c>
      <c r="S1338" s="3">
        <f>IF(ISNUMBER(AVERAGE('20250815_ETF_Options_Exhibits'!S1334:S1338)),AVERAGE('20250815_ETF_Options_Exhibits'!S1334:S1338),"")</f>
        <v/>
      </c>
      <c r="T1338" s="3">
        <f>IF(ISNUMBER(AVERAGE('20250815_ETF_Options_Exhibits'!T1334:T1338)),AVERAGE('20250815_ETF_Options_Exhibits'!T1334:T1338),"")</f>
        <v/>
      </c>
      <c r="U1338" s="3">
        <f>IF(ISNUMBER(AVERAGE('20250815_ETF_Options_Exhibits'!U1334:U1338)),AVERAGE('20250815_ETF_Options_Exhibits'!U1334:U1338),"")</f>
        <v/>
      </c>
      <c r="V1338" s="3">
        <f>IF(ISNUMBER(AVERAGE('20250815_ETF_Options_Exhibits'!V1334:V1338)),AVERAGE('20250815_ETF_Options_Exhibits'!V1334:V1338),"")</f>
        <v/>
      </c>
      <c r="W1338" s="3">
        <f>IF(ISNUMBER(AVERAGE('20250815_ETF_Options_Exhibits'!W1334:W1338)),AVERAGE('20250815_ETF_Options_Exhibits'!W1334:W1338),"")</f>
        <v/>
      </c>
      <c r="X1338" s="3">
        <f>IF(ISNUMBER(AVERAGE('20250815_ETF_Options_Exhibits'!X1334:X1338)),AVERAGE('20250815_ETF_Options_Exhibits'!X1334:X1338),"")</f>
        <v/>
      </c>
      <c r="Y1338" s="3">
        <f>IF(ISNUMBER(AVERAGE('20250815_ETF_Options_Exhibits'!Y1334:Y1338)),AVERAGE('20250815_ETF_Options_Exhibits'!Y1334:Y1338),"")</f>
        <v/>
      </c>
      <c r="Z1338" s="3">
        <f>IF(ISNUMBER(AVERAGE('20250815_ETF_Options_Exhibits'!Z1334:Z1338)),AVERAGE('20250815_ETF_Options_Exhibits'!Z1334:Z1338),"")</f>
        <v/>
      </c>
      <c r="AA1338" s="3">
        <f>IF(ISNUMBER(AVERAGE('20250815_ETF_Options_Exhibits'!AA1334:AA1338)),AVERAGE('20250815_ETF_Options_Exhibits'!AA1334:AA1338),"")</f>
        <v/>
      </c>
    </row>
    <row r="1339">
      <c r="A1339" s="1" t="n">
        <v>43945</v>
      </c>
      <c r="B1339" s="3">
        <f>IF(ISNUMBER(AVERAGE('20250815_ETF_Options_Exhibits'!B1335:B1339)),AVERAGE('20250815_ETF_Options_Exhibits'!B1335:B1339),"")</f>
        <v/>
      </c>
      <c r="C1339" s="3">
        <f>IF(ISNUMBER(AVERAGE('20250815_ETF_Options_Exhibits'!C1335:C1339)),AVERAGE('20250815_ETF_Options_Exhibits'!C1335:C1339),"")</f>
        <v/>
      </c>
      <c r="D1339" s="3">
        <f>IF(ISNUMBER(AVERAGE('20250815_ETF_Options_Exhibits'!D1335:D1339)),AVERAGE('20250815_ETF_Options_Exhibits'!D1335:D1339),"")</f>
        <v/>
      </c>
      <c r="E1339" s="3">
        <f>IF(ISNUMBER(AVERAGE('20250815_ETF_Options_Exhibits'!E1335:E1339)),AVERAGE('20250815_ETF_Options_Exhibits'!E1335:E1339),"")</f>
        <v/>
      </c>
      <c r="F1339" s="3">
        <f>IF(ISNUMBER(AVERAGE('20250815_ETF_Options_Exhibits'!F1335:F1339)),AVERAGE('20250815_ETF_Options_Exhibits'!F1335:F1339),"")</f>
        <v/>
      </c>
      <c r="G1339" s="3">
        <f>IF(ISNUMBER(AVERAGE('20250815_ETF_Options_Exhibits'!G1335:G1339)),AVERAGE('20250815_ETF_Options_Exhibits'!G1335:G1339),"")</f>
        <v/>
      </c>
      <c r="H1339" s="3">
        <f>IF(ISNUMBER(AVERAGE('20250815_ETF_Options_Exhibits'!H1335:H1339)),AVERAGE('20250815_ETF_Options_Exhibits'!H1335:H1339),"")</f>
        <v/>
      </c>
      <c r="I1339" s="3">
        <f>IF(ISNUMBER(AVERAGE('20250815_ETF_Options_Exhibits'!I1335:I1339)),AVERAGE('20250815_ETF_Options_Exhibits'!I1335:I1339),"")</f>
        <v/>
      </c>
      <c r="J1339" s="3">
        <f>IF(ISNUMBER(AVERAGE('20250815_ETF_Options_Exhibits'!J1335:J1339)),AVERAGE('20250815_ETF_Options_Exhibits'!J1335:J1339),"")</f>
        <v/>
      </c>
      <c r="K1339" s="3">
        <f>IF(ISNUMBER(AVERAGE('20250815_ETF_Options_Exhibits'!K1335:K1339)),AVERAGE('20250815_ETF_Options_Exhibits'!K1335:K1339),"")</f>
        <v/>
      </c>
      <c r="L1339" s="3">
        <f>IF(ISNUMBER(AVERAGE('20250815_ETF_Options_Exhibits'!L1335:L1339)),AVERAGE('20250815_ETF_Options_Exhibits'!L1335:L1339),"")</f>
        <v/>
      </c>
      <c r="M1339" s="3">
        <f>IF(ISNUMBER(AVERAGE('20250815_ETF_Options_Exhibits'!M1335:M1339)),AVERAGE('20250815_ETF_Options_Exhibits'!M1335:M1339),"")</f>
        <v/>
      </c>
      <c r="N1339" s="3">
        <f>IF(ISNUMBER(AVERAGE('20250815_ETF_Options_Exhibits'!N1335:N1339)),AVERAGE('20250815_ETF_Options_Exhibits'!N1335:N1339),"")</f>
        <v/>
      </c>
      <c r="O1339" s="3">
        <f>IF(ISNUMBER(AVERAGE('20250815_ETF_Options_Exhibits'!O1335:O1339)),AVERAGE('20250815_ETF_Options_Exhibits'!O1335:O1339),"")</f>
        <v/>
      </c>
      <c r="P1339" s="3">
        <f>IF(ISNUMBER(AVERAGE('20250815_ETF_Options_Exhibits'!P1335:P1339)),AVERAGE('20250815_ETF_Options_Exhibits'!P1335:P1339),"")</f>
        <v/>
      </c>
      <c r="Q1339" s="3">
        <f>IF(ISNUMBER(AVERAGE('20250815_ETF_Options_Exhibits'!Q1335:Q1339)),AVERAGE('20250815_ETF_Options_Exhibits'!Q1335:Q1339),"")</f>
        <v/>
      </c>
      <c r="R1339" s="3">
        <f>IF(ISNUMBER(AVERAGE('20250815_ETF_Options_Exhibits'!R1335:R1339)),AVERAGE('20250815_ETF_Options_Exhibits'!R1335:R1339),"")</f>
        <v/>
      </c>
      <c r="S1339" s="3">
        <f>IF(ISNUMBER(AVERAGE('20250815_ETF_Options_Exhibits'!S1335:S1339)),AVERAGE('20250815_ETF_Options_Exhibits'!S1335:S1339),"")</f>
        <v/>
      </c>
      <c r="T1339" s="3">
        <f>IF(ISNUMBER(AVERAGE('20250815_ETF_Options_Exhibits'!T1335:T1339)),AVERAGE('20250815_ETF_Options_Exhibits'!T1335:T1339),"")</f>
        <v/>
      </c>
      <c r="U1339" s="3">
        <f>IF(ISNUMBER(AVERAGE('20250815_ETF_Options_Exhibits'!U1335:U1339)),AVERAGE('20250815_ETF_Options_Exhibits'!U1335:U1339),"")</f>
        <v/>
      </c>
      <c r="V1339" s="3">
        <f>IF(ISNUMBER(AVERAGE('20250815_ETF_Options_Exhibits'!V1335:V1339)),AVERAGE('20250815_ETF_Options_Exhibits'!V1335:V1339),"")</f>
        <v/>
      </c>
      <c r="W1339" s="3">
        <f>IF(ISNUMBER(AVERAGE('20250815_ETF_Options_Exhibits'!W1335:W1339)),AVERAGE('20250815_ETF_Options_Exhibits'!W1335:W1339),"")</f>
        <v/>
      </c>
      <c r="X1339" s="3">
        <f>IF(ISNUMBER(AVERAGE('20250815_ETF_Options_Exhibits'!X1335:X1339)),AVERAGE('20250815_ETF_Options_Exhibits'!X1335:X1339),"")</f>
        <v/>
      </c>
      <c r="Y1339" s="3">
        <f>IF(ISNUMBER(AVERAGE('20250815_ETF_Options_Exhibits'!Y1335:Y1339)),AVERAGE('20250815_ETF_Options_Exhibits'!Y1335:Y1339),"")</f>
        <v/>
      </c>
      <c r="Z1339" s="3">
        <f>IF(ISNUMBER(AVERAGE('20250815_ETF_Options_Exhibits'!Z1335:Z1339)),AVERAGE('20250815_ETF_Options_Exhibits'!Z1335:Z1339),"")</f>
        <v/>
      </c>
      <c r="AA1339" s="3">
        <f>IF(ISNUMBER(AVERAGE('20250815_ETF_Options_Exhibits'!AA1335:AA1339)),AVERAGE('20250815_ETF_Options_Exhibits'!AA1335:AA1339),"")</f>
        <v/>
      </c>
    </row>
    <row r="1340">
      <c r="A1340" s="1" t="n">
        <v>43948</v>
      </c>
      <c r="B1340" s="3">
        <f>IF(ISNUMBER(AVERAGE('20250815_ETF_Options_Exhibits'!B1336:B1340)),AVERAGE('20250815_ETF_Options_Exhibits'!B1336:B1340),"")</f>
        <v/>
      </c>
      <c r="C1340" s="3">
        <f>IF(ISNUMBER(AVERAGE('20250815_ETF_Options_Exhibits'!C1336:C1340)),AVERAGE('20250815_ETF_Options_Exhibits'!C1336:C1340),"")</f>
        <v/>
      </c>
      <c r="D1340" s="3">
        <f>IF(ISNUMBER(AVERAGE('20250815_ETF_Options_Exhibits'!D1336:D1340)),AVERAGE('20250815_ETF_Options_Exhibits'!D1336:D1340),"")</f>
        <v/>
      </c>
      <c r="E1340" s="3">
        <f>IF(ISNUMBER(AVERAGE('20250815_ETF_Options_Exhibits'!E1336:E1340)),AVERAGE('20250815_ETF_Options_Exhibits'!E1336:E1340),"")</f>
        <v/>
      </c>
      <c r="F1340" s="3">
        <f>IF(ISNUMBER(AVERAGE('20250815_ETF_Options_Exhibits'!F1336:F1340)),AVERAGE('20250815_ETF_Options_Exhibits'!F1336:F1340),"")</f>
        <v/>
      </c>
      <c r="G1340" s="3">
        <f>IF(ISNUMBER(AVERAGE('20250815_ETF_Options_Exhibits'!G1336:G1340)),AVERAGE('20250815_ETF_Options_Exhibits'!G1336:G1340),"")</f>
        <v/>
      </c>
      <c r="H1340" s="3">
        <f>IF(ISNUMBER(AVERAGE('20250815_ETF_Options_Exhibits'!H1336:H1340)),AVERAGE('20250815_ETF_Options_Exhibits'!H1336:H1340),"")</f>
        <v/>
      </c>
      <c r="I1340" s="3">
        <f>IF(ISNUMBER(AVERAGE('20250815_ETF_Options_Exhibits'!I1336:I1340)),AVERAGE('20250815_ETF_Options_Exhibits'!I1336:I1340),"")</f>
        <v/>
      </c>
      <c r="J1340" s="3">
        <f>IF(ISNUMBER(AVERAGE('20250815_ETF_Options_Exhibits'!J1336:J1340)),AVERAGE('20250815_ETF_Options_Exhibits'!J1336:J1340),"")</f>
        <v/>
      </c>
      <c r="K1340" s="3">
        <f>IF(ISNUMBER(AVERAGE('20250815_ETF_Options_Exhibits'!K1336:K1340)),AVERAGE('20250815_ETF_Options_Exhibits'!K1336:K1340),"")</f>
        <v/>
      </c>
      <c r="L1340" s="3">
        <f>IF(ISNUMBER(AVERAGE('20250815_ETF_Options_Exhibits'!L1336:L1340)),AVERAGE('20250815_ETF_Options_Exhibits'!L1336:L1340),"")</f>
        <v/>
      </c>
      <c r="M1340" s="3">
        <f>IF(ISNUMBER(AVERAGE('20250815_ETF_Options_Exhibits'!M1336:M1340)),AVERAGE('20250815_ETF_Options_Exhibits'!M1336:M1340),"")</f>
        <v/>
      </c>
      <c r="N1340" s="3">
        <f>IF(ISNUMBER(AVERAGE('20250815_ETF_Options_Exhibits'!N1336:N1340)),AVERAGE('20250815_ETF_Options_Exhibits'!N1336:N1340),"")</f>
        <v/>
      </c>
      <c r="O1340" s="3">
        <f>IF(ISNUMBER(AVERAGE('20250815_ETF_Options_Exhibits'!O1336:O1340)),AVERAGE('20250815_ETF_Options_Exhibits'!O1336:O1340),"")</f>
        <v/>
      </c>
      <c r="P1340" s="3">
        <f>IF(ISNUMBER(AVERAGE('20250815_ETF_Options_Exhibits'!P1336:P1340)),AVERAGE('20250815_ETF_Options_Exhibits'!P1336:P1340),"")</f>
        <v/>
      </c>
      <c r="Q1340" s="3">
        <f>IF(ISNUMBER(AVERAGE('20250815_ETF_Options_Exhibits'!Q1336:Q1340)),AVERAGE('20250815_ETF_Options_Exhibits'!Q1336:Q1340),"")</f>
        <v/>
      </c>
      <c r="R1340" s="3">
        <f>IF(ISNUMBER(AVERAGE('20250815_ETF_Options_Exhibits'!R1336:R1340)),AVERAGE('20250815_ETF_Options_Exhibits'!R1336:R1340),"")</f>
        <v/>
      </c>
      <c r="S1340" s="3">
        <f>IF(ISNUMBER(AVERAGE('20250815_ETF_Options_Exhibits'!S1336:S1340)),AVERAGE('20250815_ETF_Options_Exhibits'!S1336:S1340),"")</f>
        <v/>
      </c>
      <c r="T1340" s="3">
        <f>IF(ISNUMBER(AVERAGE('20250815_ETF_Options_Exhibits'!T1336:T1340)),AVERAGE('20250815_ETF_Options_Exhibits'!T1336:T1340),"")</f>
        <v/>
      </c>
      <c r="U1340" s="3">
        <f>IF(ISNUMBER(AVERAGE('20250815_ETF_Options_Exhibits'!U1336:U1340)),AVERAGE('20250815_ETF_Options_Exhibits'!U1336:U1340),"")</f>
        <v/>
      </c>
      <c r="V1340" s="3">
        <f>IF(ISNUMBER(AVERAGE('20250815_ETF_Options_Exhibits'!V1336:V1340)),AVERAGE('20250815_ETF_Options_Exhibits'!V1336:V1340),"")</f>
        <v/>
      </c>
      <c r="W1340" s="3">
        <f>IF(ISNUMBER(AVERAGE('20250815_ETF_Options_Exhibits'!W1336:W1340)),AVERAGE('20250815_ETF_Options_Exhibits'!W1336:W1340),"")</f>
        <v/>
      </c>
      <c r="X1340" s="3">
        <f>IF(ISNUMBER(AVERAGE('20250815_ETF_Options_Exhibits'!X1336:X1340)),AVERAGE('20250815_ETF_Options_Exhibits'!X1336:X1340),"")</f>
        <v/>
      </c>
      <c r="Y1340" s="3">
        <f>IF(ISNUMBER(AVERAGE('20250815_ETF_Options_Exhibits'!Y1336:Y1340)),AVERAGE('20250815_ETF_Options_Exhibits'!Y1336:Y1340),"")</f>
        <v/>
      </c>
      <c r="Z1340" s="3">
        <f>IF(ISNUMBER(AVERAGE('20250815_ETF_Options_Exhibits'!Z1336:Z1340)),AVERAGE('20250815_ETF_Options_Exhibits'!Z1336:Z1340),"")</f>
        <v/>
      </c>
      <c r="AA1340" s="3">
        <f>IF(ISNUMBER(AVERAGE('20250815_ETF_Options_Exhibits'!AA1336:AA1340)),AVERAGE('20250815_ETF_Options_Exhibits'!AA1336:AA1340),"")</f>
        <v/>
      </c>
    </row>
    <row r="1341">
      <c r="A1341" s="1" t="n">
        <v>43949</v>
      </c>
      <c r="B1341" s="3">
        <f>IF(ISNUMBER(AVERAGE('20250815_ETF_Options_Exhibits'!B1337:B1341)),AVERAGE('20250815_ETF_Options_Exhibits'!B1337:B1341),"")</f>
        <v/>
      </c>
      <c r="C1341" s="3">
        <f>IF(ISNUMBER(AVERAGE('20250815_ETF_Options_Exhibits'!C1337:C1341)),AVERAGE('20250815_ETF_Options_Exhibits'!C1337:C1341),"")</f>
        <v/>
      </c>
      <c r="D1341" s="3">
        <f>IF(ISNUMBER(AVERAGE('20250815_ETF_Options_Exhibits'!D1337:D1341)),AVERAGE('20250815_ETF_Options_Exhibits'!D1337:D1341),"")</f>
        <v/>
      </c>
      <c r="E1341" s="3">
        <f>IF(ISNUMBER(AVERAGE('20250815_ETF_Options_Exhibits'!E1337:E1341)),AVERAGE('20250815_ETF_Options_Exhibits'!E1337:E1341),"")</f>
        <v/>
      </c>
      <c r="F1341" s="3">
        <f>IF(ISNUMBER(AVERAGE('20250815_ETF_Options_Exhibits'!F1337:F1341)),AVERAGE('20250815_ETF_Options_Exhibits'!F1337:F1341),"")</f>
        <v/>
      </c>
      <c r="G1341" s="3">
        <f>IF(ISNUMBER(AVERAGE('20250815_ETF_Options_Exhibits'!G1337:G1341)),AVERAGE('20250815_ETF_Options_Exhibits'!G1337:G1341),"")</f>
        <v/>
      </c>
      <c r="H1341" s="3">
        <f>IF(ISNUMBER(AVERAGE('20250815_ETF_Options_Exhibits'!H1337:H1341)),AVERAGE('20250815_ETF_Options_Exhibits'!H1337:H1341),"")</f>
        <v/>
      </c>
      <c r="I1341" s="3">
        <f>IF(ISNUMBER(AVERAGE('20250815_ETF_Options_Exhibits'!I1337:I1341)),AVERAGE('20250815_ETF_Options_Exhibits'!I1337:I1341),"")</f>
        <v/>
      </c>
      <c r="J1341" s="3">
        <f>IF(ISNUMBER(AVERAGE('20250815_ETF_Options_Exhibits'!J1337:J1341)),AVERAGE('20250815_ETF_Options_Exhibits'!J1337:J1341),"")</f>
        <v/>
      </c>
      <c r="K1341" s="3">
        <f>IF(ISNUMBER(AVERAGE('20250815_ETF_Options_Exhibits'!K1337:K1341)),AVERAGE('20250815_ETF_Options_Exhibits'!K1337:K1341),"")</f>
        <v/>
      </c>
      <c r="L1341" s="3">
        <f>IF(ISNUMBER(AVERAGE('20250815_ETF_Options_Exhibits'!L1337:L1341)),AVERAGE('20250815_ETF_Options_Exhibits'!L1337:L1341),"")</f>
        <v/>
      </c>
      <c r="M1341" s="3">
        <f>IF(ISNUMBER(AVERAGE('20250815_ETF_Options_Exhibits'!M1337:M1341)),AVERAGE('20250815_ETF_Options_Exhibits'!M1337:M1341),"")</f>
        <v/>
      </c>
      <c r="N1341" s="3">
        <f>IF(ISNUMBER(AVERAGE('20250815_ETF_Options_Exhibits'!N1337:N1341)),AVERAGE('20250815_ETF_Options_Exhibits'!N1337:N1341),"")</f>
        <v/>
      </c>
      <c r="O1341" s="3">
        <f>IF(ISNUMBER(AVERAGE('20250815_ETF_Options_Exhibits'!O1337:O1341)),AVERAGE('20250815_ETF_Options_Exhibits'!O1337:O1341),"")</f>
        <v/>
      </c>
      <c r="P1341" s="3">
        <f>IF(ISNUMBER(AVERAGE('20250815_ETF_Options_Exhibits'!P1337:P1341)),AVERAGE('20250815_ETF_Options_Exhibits'!P1337:P1341),"")</f>
        <v/>
      </c>
      <c r="Q1341" s="3">
        <f>IF(ISNUMBER(AVERAGE('20250815_ETF_Options_Exhibits'!Q1337:Q1341)),AVERAGE('20250815_ETF_Options_Exhibits'!Q1337:Q1341),"")</f>
        <v/>
      </c>
      <c r="R1341" s="3">
        <f>IF(ISNUMBER(AVERAGE('20250815_ETF_Options_Exhibits'!R1337:R1341)),AVERAGE('20250815_ETF_Options_Exhibits'!R1337:R1341),"")</f>
        <v/>
      </c>
      <c r="S1341" s="3">
        <f>IF(ISNUMBER(AVERAGE('20250815_ETF_Options_Exhibits'!S1337:S1341)),AVERAGE('20250815_ETF_Options_Exhibits'!S1337:S1341),"")</f>
        <v/>
      </c>
      <c r="T1341" s="3">
        <f>IF(ISNUMBER(AVERAGE('20250815_ETF_Options_Exhibits'!T1337:T1341)),AVERAGE('20250815_ETF_Options_Exhibits'!T1337:T1341),"")</f>
        <v/>
      </c>
      <c r="U1341" s="3">
        <f>IF(ISNUMBER(AVERAGE('20250815_ETF_Options_Exhibits'!U1337:U1341)),AVERAGE('20250815_ETF_Options_Exhibits'!U1337:U1341),"")</f>
        <v/>
      </c>
      <c r="V1341" s="3">
        <f>IF(ISNUMBER(AVERAGE('20250815_ETF_Options_Exhibits'!V1337:V1341)),AVERAGE('20250815_ETF_Options_Exhibits'!V1337:V1341),"")</f>
        <v/>
      </c>
      <c r="W1341" s="3">
        <f>IF(ISNUMBER(AVERAGE('20250815_ETF_Options_Exhibits'!W1337:W1341)),AVERAGE('20250815_ETF_Options_Exhibits'!W1337:W1341),"")</f>
        <v/>
      </c>
      <c r="X1341" s="3">
        <f>IF(ISNUMBER(AVERAGE('20250815_ETF_Options_Exhibits'!X1337:X1341)),AVERAGE('20250815_ETF_Options_Exhibits'!X1337:X1341),"")</f>
        <v/>
      </c>
      <c r="Y1341" s="3">
        <f>IF(ISNUMBER(AVERAGE('20250815_ETF_Options_Exhibits'!Y1337:Y1341)),AVERAGE('20250815_ETF_Options_Exhibits'!Y1337:Y1341),"")</f>
        <v/>
      </c>
      <c r="Z1341" s="3">
        <f>IF(ISNUMBER(AVERAGE('20250815_ETF_Options_Exhibits'!Z1337:Z1341)),AVERAGE('20250815_ETF_Options_Exhibits'!Z1337:Z1341),"")</f>
        <v/>
      </c>
      <c r="AA1341" s="3">
        <f>IF(ISNUMBER(AVERAGE('20250815_ETF_Options_Exhibits'!AA1337:AA1341)),AVERAGE('20250815_ETF_Options_Exhibits'!AA1337:AA1341),"")</f>
        <v/>
      </c>
    </row>
    <row r="1342">
      <c r="A1342" s="1" t="n">
        <v>43950</v>
      </c>
      <c r="B1342" s="3">
        <f>IF(ISNUMBER(AVERAGE('20250815_ETF_Options_Exhibits'!B1338:B1342)),AVERAGE('20250815_ETF_Options_Exhibits'!B1338:B1342),"")</f>
        <v/>
      </c>
      <c r="C1342" s="3">
        <f>IF(ISNUMBER(AVERAGE('20250815_ETF_Options_Exhibits'!C1338:C1342)),AVERAGE('20250815_ETF_Options_Exhibits'!C1338:C1342),"")</f>
        <v/>
      </c>
      <c r="D1342" s="3">
        <f>IF(ISNUMBER(AVERAGE('20250815_ETF_Options_Exhibits'!D1338:D1342)),AVERAGE('20250815_ETF_Options_Exhibits'!D1338:D1342),"")</f>
        <v/>
      </c>
      <c r="E1342" s="3">
        <f>IF(ISNUMBER(AVERAGE('20250815_ETF_Options_Exhibits'!E1338:E1342)),AVERAGE('20250815_ETF_Options_Exhibits'!E1338:E1342),"")</f>
        <v/>
      </c>
      <c r="F1342" s="3">
        <f>IF(ISNUMBER(AVERAGE('20250815_ETF_Options_Exhibits'!F1338:F1342)),AVERAGE('20250815_ETF_Options_Exhibits'!F1338:F1342),"")</f>
        <v/>
      </c>
      <c r="G1342" s="3">
        <f>IF(ISNUMBER(AVERAGE('20250815_ETF_Options_Exhibits'!G1338:G1342)),AVERAGE('20250815_ETF_Options_Exhibits'!G1338:G1342),"")</f>
        <v/>
      </c>
      <c r="H1342" s="3">
        <f>IF(ISNUMBER(AVERAGE('20250815_ETF_Options_Exhibits'!H1338:H1342)),AVERAGE('20250815_ETF_Options_Exhibits'!H1338:H1342),"")</f>
        <v/>
      </c>
      <c r="I1342" s="3">
        <f>IF(ISNUMBER(AVERAGE('20250815_ETF_Options_Exhibits'!I1338:I1342)),AVERAGE('20250815_ETF_Options_Exhibits'!I1338:I1342),"")</f>
        <v/>
      </c>
      <c r="J1342" s="3">
        <f>IF(ISNUMBER(AVERAGE('20250815_ETF_Options_Exhibits'!J1338:J1342)),AVERAGE('20250815_ETF_Options_Exhibits'!J1338:J1342),"")</f>
        <v/>
      </c>
      <c r="K1342" s="3">
        <f>IF(ISNUMBER(AVERAGE('20250815_ETF_Options_Exhibits'!K1338:K1342)),AVERAGE('20250815_ETF_Options_Exhibits'!K1338:K1342),"")</f>
        <v/>
      </c>
      <c r="L1342" s="3">
        <f>IF(ISNUMBER(AVERAGE('20250815_ETF_Options_Exhibits'!L1338:L1342)),AVERAGE('20250815_ETF_Options_Exhibits'!L1338:L1342),"")</f>
        <v/>
      </c>
      <c r="M1342" s="3">
        <f>IF(ISNUMBER(AVERAGE('20250815_ETF_Options_Exhibits'!M1338:M1342)),AVERAGE('20250815_ETF_Options_Exhibits'!M1338:M1342),"")</f>
        <v/>
      </c>
      <c r="N1342" s="3">
        <f>IF(ISNUMBER(AVERAGE('20250815_ETF_Options_Exhibits'!N1338:N1342)),AVERAGE('20250815_ETF_Options_Exhibits'!N1338:N1342),"")</f>
        <v/>
      </c>
      <c r="O1342" s="3">
        <f>IF(ISNUMBER(AVERAGE('20250815_ETF_Options_Exhibits'!O1338:O1342)),AVERAGE('20250815_ETF_Options_Exhibits'!O1338:O1342),"")</f>
        <v/>
      </c>
      <c r="P1342" s="3">
        <f>IF(ISNUMBER(AVERAGE('20250815_ETF_Options_Exhibits'!P1338:P1342)),AVERAGE('20250815_ETF_Options_Exhibits'!P1338:P1342),"")</f>
        <v/>
      </c>
      <c r="Q1342" s="3">
        <f>IF(ISNUMBER(AVERAGE('20250815_ETF_Options_Exhibits'!Q1338:Q1342)),AVERAGE('20250815_ETF_Options_Exhibits'!Q1338:Q1342),"")</f>
        <v/>
      </c>
      <c r="R1342" s="3">
        <f>IF(ISNUMBER(AVERAGE('20250815_ETF_Options_Exhibits'!R1338:R1342)),AVERAGE('20250815_ETF_Options_Exhibits'!R1338:R1342),"")</f>
        <v/>
      </c>
      <c r="S1342" s="3">
        <f>IF(ISNUMBER(AVERAGE('20250815_ETF_Options_Exhibits'!S1338:S1342)),AVERAGE('20250815_ETF_Options_Exhibits'!S1338:S1342),"")</f>
        <v/>
      </c>
      <c r="T1342" s="3">
        <f>IF(ISNUMBER(AVERAGE('20250815_ETF_Options_Exhibits'!T1338:T1342)),AVERAGE('20250815_ETF_Options_Exhibits'!T1338:T1342),"")</f>
        <v/>
      </c>
      <c r="U1342" s="3">
        <f>IF(ISNUMBER(AVERAGE('20250815_ETF_Options_Exhibits'!U1338:U1342)),AVERAGE('20250815_ETF_Options_Exhibits'!U1338:U1342),"")</f>
        <v/>
      </c>
      <c r="V1342" s="3">
        <f>IF(ISNUMBER(AVERAGE('20250815_ETF_Options_Exhibits'!V1338:V1342)),AVERAGE('20250815_ETF_Options_Exhibits'!V1338:V1342),"")</f>
        <v/>
      </c>
      <c r="W1342" s="3">
        <f>IF(ISNUMBER(AVERAGE('20250815_ETF_Options_Exhibits'!W1338:W1342)),AVERAGE('20250815_ETF_Options_Exhibits'!W1338:W1342),"")</f>
        <v/>
      </c>
      <c r="X1342" s="3">
        <f>IF(ISNUMBER(AVERAGE('20250815_ETF_Options_Exhibits'!X1338:X1342)),AVERAGE('20250815_ETF_Options_Exhibits'!X1338:X1342),"")</f>
        <v/>
      </c>
      <c r="Y1342" s="3">
        <f>IF(ISNUMBER(AVERAGE('20250815_ETF_Options_Exhibits'!Y1338:Y1342)),AVERAGE('20250815_ETF_Options_Exhibits'!Y1338:Y1342),"")</f>
        <v/>
      </c>
      <c r="Z1342" s="3">
        <f>IF(ISNUMBER(AVERAGE('20250815_ETF_Options_Exhibits'!Z1338:Z1342)),AVERAGE('20250815_ETF_Options_Exhibits'!Z1338:Z1342),"")</f>
        <v/>
      </c>
      <c r="AA1342" s="3">
        <f>IF(ISNUMBER(AVERAGE('20250815_ETF_Options_Exhibits'!AA1338:AA1342)),AVERAGE('20250815_ETF_Options_Exhibits'!AA1338:AA1342),"")</f>
        <v/>
      </c>
    </row>
    <row r="1343">
      <c r="A1343" s="1" t="n">
        <v>43951</v>
      </c>
      <c r="B1343" s="3">
        <f>IF(ISNUMBER(AVERAGE('20250815_ETF_Options_Exhibits'!B1339:B1343)),AVERAGE('20250815_ETF_Options_Exhibits'!B1339:B1343),"")</f>
        <v/>
      </c>
      <c r="C1343" s="3">
        <f>IF(ISNUMBER(AVERAGE('20250815_ETF_Options_Exhibits'!C1339:C1343)),AVERAGE('20250815_ETF_Options_Exhibits'!C1339:C1343),"")</f>
        <v/>
      </c>
      <c r="D1343" s="3">
        <f>IF(ISNUMBER(AVERAGE('20250815_ETF_Options_Exhibits'!D1339:D1343)),AVERAGE('20250815_ETF_Options_Exhibits'!D1339:D1343),"")</f>
        <v/>
      </c>
      <c r="E1343" s="3">
        <f>IF(ISNUMBER(AVERAGE('20250815_ETF_Options_Exhibits'!E1339:E1343)),AVERAGE('20250815_ETF_Options_Exhibits'!E1339:E1343),"")</f>
        <v/>
      </c>
      <c r="F1343" s="3">
        <f>IF(ISNUMBER(AVERAGE('20250815_ETF_Options_Exhibits'!F1339:F1343)),AVERAGE('20250815_ETF_Options_Exhibits'!F1339:F1343),"")</f>
        <v/>
      </c>
      <c r="G1343" s="3">
        <f>IF(ISNUMBER(AVERAGE('20250815_ETF_Options_Exhibits'!G1339:G1343)),AVERAGE('20250815_ETF_Options_Exhibits'!G1339:G1343),"")</f>
        <v/>
      </c>
      <c r="H1343" s="3">
        <f>IF(ISNUMBER(AVERAGE('20250815_ETF_Options_Exhibits'!H1339:H1343)),AVERAGE('20250815_ETF_Options_Exhibits'!H1339:H1343),"")</f>
        <v/>
      </c>
      <c r="I1343" s="3">
        <f>IF(ISNUMBER(AVERAGE('20250815_ETF_Options_Exhibits'!I1339:I1343)),AVERAGE('20250815_ETF_Options_Exhibits'!I1339:I1343),"")</f>
        <v/>
      </c>
      <c r="J1343" s="3">
        <f>IF(ISNUMBER(AVERAGE('20250815_ETF_Options_Exhibits'!J1339:J1343)),AVERAGE('20250815_ETF_Options_Exhibits'!J1339:J1343),"")</f>
        <v/>
      </c>
      <c r="K1343" s="3">
        <f>IF(ISNUMBER(AVERAGE('20250815_ETF_Options_Exhibits'!K1339:K1343)),AVERAGE('20250815_ETF_Options_Exhibits'!K1339:K1343),"")</f>
        <v/>
      </c>
      <c r="L1343" s="3">
        <f>IF(ISNUMBER(AVERAGE('20250815_ETF_Options_Exhibits'!L1339:L1343)),AVERAGE('20250815_ETF_Options_Exhibits'!L1339:L1343),"")</f>
        <v/>
      </c>
      <c r="M1343" s="3">
        <f>IF(ISNUMBER(AVERAGE('20250815_ETF_Options_Exhibits'!M1339:M1343)),AVERAGE('20250815_ETF_Options_Exhibits'!M1339:M1343),"")</f>
        <v/>
      </c>
      <c r="N1343" s="3">
        <f>IF(ISNUMBER(AVERAGE('20250815_ETF_Options_Exhibits'!N1339:N1343)),AVERAGE('20250815_ETF_Options_Exhibits'!N1339:N1343),"")</f>
        <v/>
      </c>
      <c r="O1343" s="3">
        <f>IF(ISNUMBER(AVERAGE('20250815_ETF_Options_Exhibits'!O1339:O1343)),AVERAGE('20250815_ETF_Options_Exhibits'!O1339:O1343),"")</f>
        <v/>
      </c>
      <c r="P1343" s="3">
        <f>IF(ISNUMBER(AVERAGE('20250815_ETF_Options_Exhibits'!P1339:P1343)),AVERAGE('20250815_ETF_Options_Exhibits'!P1339:P1343),"")</f>
        <v/>
      </c>
      <c r="Q1343" s="3">
        <f>IF(ISNUMBER(AVERAGE('20250815_ETF_Options_Exhibits'!Q1339:Q1343)),AVERAGE('20250815_ETF_Options_Exhibits'!Q1339:Q1343),"")</f>
        <v/>
      </c>
      <c r="R1343" s="3">
        <f>IF(ISNUMBER(AVERAGE('20250815_ETF_Options_Exhibits'!R1339:R1343)),AVERAGE('20250815_ETF_Options_Exhibits'!R1339:R1343),"")</f>
        <v/>
      </c>
      <c r="S1343" s="3">
        <f>IF(ISNUMBER(AVERAGE('20250815_ETF_Options_Exhibits'!S1339:S1343)),AVERAGE('20250815_ETF_Options_Exhibits'!S1339:S1343),"")</f>
        <v/>
      </c>
      <c r="T1343" s="3">
        <f>IF(ISNUMBER(AVERAGE('20250815_ETF_Options_Exhibits'!T1339:T1343)),AVERAGE('20250815_ETF_Options_Exhibits'!T1339:T1343),"")</f>
        <v/>
      </c>
      <c r="U1343" s="3">
        <f>IF(ISNUMBER(AVERAGE('20250815_ETF_Options_Exhibits'!U1339:U1343)),AVERAGE('20250815_ETF_Options_Exhibits'!U1339:U1343),"")</f>
        <v/>
      </c>
      <c r="V1343" s="3">
        <f>IF(ISNUMBER(AVERAGE('20250815_ETF_Options_Exhibits'!V1339:V1343)),AVERAGE('20250815_ETF_Options_Exhibits'!V1339:V1343),"")</f>
        <v/>
      </c>
      <c r="W1343" s="3">
        <f>IF(ISNUMBER(AVERAGE('20250815_ETF_Options_Exhibits'!W1339:W1343)),AVERAGE('20250815_ETF_Options_Exhibits'!W1339:W1343),"")</f>
        <v/>
      </c>
      <c r="X1343" s="3">
        <f>IF(ISNUMBER(AVERAGE('20250815_ETF_Options_Exhibits'!X1339:X1343)),AVERAGE('20250815_ETF_Options_Exhibits'!X1339:X1343),"")</f>
        <v/>
      </c>
      <c r="Y1343" s="3">
        <f>IF(ISNUMBER(AVERAGE('20250815_ETF_Options_Exhibits'!Y1339:Y1343)),AVERAGE('20250815_ETF_Options_Exhibits'!Y1339:Y1343),"")</f>
        <v/>
      </c>
      <c r="Z1343" s="3">
        <f>IF(ISNUMBER(AVERAGE('20250815_ETF_Options_Exhibits'!Z1339:Z1343)),AVERAGE('20250815_ETF_Options_Exhibits'!Z1339:Z1343),"")</f>
        <v/>
      </c>
      <c r="AA1343" s="3">
        <f>IF(ISNUMBER(AVERAGE('20250815_ETF_Options_Exhibits'!AA1339:AA1343)),AVERAGE('20250815_ETF_Options_Exhibits'!AA1339:AA1343),"")</f>
        <v/>
      </c>
    </row>
    <row r="1344">
      <c r="A1344" s="1" t="n">
        <v>43952</v>
      </c>
      <c r="B1344" s="3">
        <f>IF(ISNUMBER(AVERAGE('20250815_ETF_Options_Exhibits'!B1340:B1344)),AVERAGE('20250815_ETF_Options_Exhibits'!B1340:B1344),"")</f>
        <v/>
      </c>
      <c r="C1344" s="3">
        <f>IF(ISNUMBER(AVERAGE('20250815_ETF_Options_Exhibits'!C1340:C1344)),AVERAGE('20250815_ETF_Options_Exhibits'!C1340:C1344),"")</f>
        <v/>
      </c>
      <c r="D1344" s="3">
        <f>IF(ISNUMBER(AVERAGE('20250815_ETF_Options_Exhibits'!D1340:D1344)),AVERAGE('20250815_ETF_Options_Exhibits'!D1340:D1344),"")</f>
        <v/>
      </c>
      <c r="E1344" s="3">
        <f>IF(ISNUMBER(AVERAGE('20250815_ETF_Options_Exhibits'!E1340:E1344)),AVERAGE('20250815_ETF_Options_Exhibits'!E1340:E1344),"")</f>
        <v/>
      </c>
      <c r="F1344" s="3">
        <f>IF(ISNUMBER(AVERAGE('20250815_ETF_Options_Exhibits'!F1340:F1344)),AVERAGE('20250815_ETF_Options_Exhibits'!F1340:F1344),"")</f>
        <v/>
      </c>
      <c r="G1344" s="3">
        <f>IF(ISNUMBER(AVERAGE('20250815_ETF_Options_Exhibits'!G1340:G1344)),AVERAGE('20250815_ETF_Options_Exhibits'!G1340:G1344),"")</f>
        <v/>
      </c>
      <c r="H1344" s="3">
        <f>IF(ISNUMBER(AVERAGE('20250815_ETF_Options_Exhibits'!H1340:H1344)),AVERAGE('20250815_ETF_Options_Exhibits'!H1340:H1344),"")</f>
        <v/>
      </c>
      <c r="I1344" s="3">
        <f>IF(ISNUMBER(AVERAGE('20250815_ETF_Options_Exhibits'!I1340:I1344)),AVERAGE('20250815_ETF_Options_Exhibits'!I1340:I1344),"")</f>
        <v/>
      </c>
      <c r="J1344" s="3">
        <f>IF(ISNUMBER(AVERAGE('20250815_ETF_Options_Exhibits'!J1340:J1344)),AVERAGE('20250815_ETF_Options_Exhibits'!J1340:J1344),"")</f>
        <v/>
      </c>
      <c r="K1344" s="3">
        <f>IF(ISNUMBER(AVERAGE('20250815_ETF_Options_Exhibits'!K1340:K1344)),AVERAGE('20250815_ETF_Options_Exhibits'!K1340:K1344),"")</f>
        <v/>
      </c>
      <c r="L1344" s="3">
        <f>IF(ISNUMBER(AVERAGE('20250815_ETF_Options_Exhibits'!L1340:L1344)),AVERAGE('20250815_ETF_Options_Exhibits'!L1340:L1344),"")</f>
        <v/>
      </c>
      <c r="M1344" s="3">
        <f>IF(ISNUMBER(AVERAGE('20250815_ETF_Options_Exhibits'!M1340:M1344)),AVERAGE('20250815_ETF_Options_Exhibits'!M1340:M1344),"")</f>
        <v/>
      </c>
      <c r="N1344" s="3">
        <f>IF(ISNUMBER(AVERAGE('20250815_ETF_Options_Exhibits'!N1340:N1344)),AVERAGE('20250815_ETF_Options_Exhibits'!N1340:N1344),"")</f>
        <v/>
      </c>
      <c r="O1344" s="3">
        <f>IF(ISNUMBER(AVERAGE('20250815_ETF_Options_Exhibits'!O1340:O1344)),AVERAGE('20250815_ETF_Options_Exhibits'!O1340:O1344),"")</f>
        <v/>
      </c>
      <c r="P1344" s="3">
        <f>IF(ISNUMBER(AVERAGE('20250815_ETF_Options_Exhibits'!P1340:P1344)),AVERAGE('20250815_ETF_Options_Exhibits'!P1340:P1344),"")</f>
        <v/>
      </c>
      <c r="Q1344" s="3">
        <f>IF(ISNUMBER(AVERAGE('20250815_ETF_Options_Exhibits'!Q1340:Q1344)),AVERAGE('20250815_ETF_Options_Exhibits'!Q1340:Q1344),"")</f>
        <v/>
      </c>
      <c r="R1344" s="3">
        <f>IF(ISNUMBER(AVERAGE('20250815_ETF_Options_Exhibits'!R1340:R1344)),AVERAGE('20250815_ETF_Options_Exhibits'!R1340:R1344),"")</f>
        <v/>
      </c>
      <c r="S1344" s="3">
        <f>IF(ISNUMBER(AVERAGE('20250815_ETF_Options_Exhibits'!S1340:S1344)),AVERAGE('20250815_ETF_Options_Exhibits'!S1340:S1344),"")</f>
        <v/>
      </c>
      <c r="T1344" s="3">
        <f>IF(ISNUMBER(AVERAGE('20250815_ETF_Options_Exhibits'!T1340:T1344)),AVERAGE('20250815_ETF_Options_Exhibits'!T1340:T1344),"")</f>
        <v/>
      </c>
      <c r="U1344" s="3">
        <f>IF(ISNUMBER(AVERAGE('20250815_ETF_Options_Exhibits'!U1340:U1344)),AVERAGE('20250815_ETF_Options_Exhibits'!U1340:U1344),"")</f>
        <v/>
      </c>
      <c r="V1344" s="3">
        <f>IF(ISNUMBER(AVERAGE('20250815_ETF_Options_Exhibits'!V1340:V1344)),AVERAGE('20250815_ETF_Options_Exhibits'!V1340:V1344),"")</f>
        <v/>
      </c>
      <c r="W1344" s="3">
        <f>IF(ISNUMBER(AVERAGE('20250815_ETF_Options_Exhibits'!W1340:W1344)),AVERAGE('20250815_ETF_Options_Exhibits'!W1340:W1344),"")</f>
        <v/>
      </c>
      <c r="X1344" s="3">
        <f>IF(ISNUMBER(AVERAGE('20250815_ETF_Options_Exhibits'!X1340:X1344)),AVERAGE('20250815_ETF_Options_Exhibits'!X1340:X1344),"")</f>
        <v/>
      </c>
      <c r="Y1344" s="3">
        <f>IF(ISNUMBER(AVERAGE('20250815_ETF_Options_Exhibits'!Y1340:Y1344)),AVERAGE('20250815_ETF_Options_Exhibits'!Y1340:Y1344),"")</f>
        <v/>
      </c>
      <c r="Z1344" s="3">
        <f>IF(ISNUMBER(AVERAGE('20250815_ETF_Options_Exhibits'!Z1340:Z1344)),AVERAGE('20250815_ETF_Options_Exhibits'!Z1340:Z1344),"")</f>
        <v/>
      </c>
      <c r="AA1344" s="3">
        <f>IF(ISNUMBER(AVERAGE('20250815_ETF_Options_Exhibits'!AA1340:AA1344)),AVERAGE('20250815_ETF_Options_Exhibits'!AA1340:AA1344),"")</f>
        <v/>
      </c>
    </row>
    <row r="1345">
      <c r="A1345" s="1" t="n">
        <v>43955</v>
      </c>
      <c r="B1345" s="3">
        <f>IF(ISNUMBER(AVERAGE('20250815_ETF_Options_Exhibits'!B1341:B1345)),AVERAGE('20250815_ETF_Options_Exhibits'!B1341:B1345),"")</f>
        <v/>
      </c>
      <c r="C1345" s="3">
        <f>IF(ISNUMBER(AVERAGE('20250815_ETF_Options_Exhibits'!C1341:C1345)),AVERAGE('20250815_ETF_Options_Exhibits'!C1341:C1345),"")</f>
        <v/>
      </c>
      <c r="D1345" s="3">
        <f>IF(ISNUMBER(AVERAGE('20250815_ETF_Options_Exhibits'!D1341:D1345)),AVERAGE('20250815_ETF_Options_Exhibits'!D1341:D1345),"")</f>
        <v/>
      </c>
      <c r="E1345" s="3">
        <f>IF(ISNUMBER(AVERAGE('20250815_ETF_Options_Exhibits'!E1341:E1345)),AVERAGE('20250815_ETF_Options_Exhibits'!E1341:E1345),"")</f>
        <v/>
      </c>
      <c r="F1345" s="3">
        <f>IF(ISNUMBER(AVERAGE('20250815_ETF_Options_Exhibits'!F1341:F1345)),AVERAGE('20250815_ETF_Options_Exhibits'!F1341:F1345),"")</f>
        <v/>
      </c>
      <c r="G1345" s="3">
        <f>IF(ISNUMBER(AVERAGE('20250815_ETF_Options_Exhibits'!G1341:G1345)),AVERAGE('20250815_ETF_Options_Exhibits'!G1341:G1345),"")</f>
        <v/>
      </c>
      <c r="H1345" s="3">
        <f>IF(ISNUMBER(AVERAGE('20250815_ETF_Options_Exhibits'!H1341:H1345)),AVERAGE('20250815_ETF_Options_Exhibits'!H1341:H1345),"")</f>
        <v/>
      </c>
      <c r="I1345" s="3">
        <f>IF(ISNUMBER(AVERAGE('20250815_ETF_Options_Exhibits'!I1341:I1345)),AVERAGE('20250815_ETF_Options_Exhibits'!I1341:I1345),"")</f>
        <v/>
      </c>
      <c r="J1345" s="3">
        <f>IF(ISNUMBER(AVERAGE('20250815_ETF_Options_Exhibits'!J1341:J1345)),AVERAGE('20250815_ETF_Options_Exhibits'!J1341:J1345),"")</f>
        <v/>
      </c>
      <c r="K1345" s="3">
        <f>IF(ISNUMBER(AVERAGE('20250815_ETF_Options_Exhibits'!K1341:K1345)),AVERAGE('20250815_ETF_Options_Exhibits'!K1341:K1345),"")</f>
        <v/>
      </c>
      <c r="L1345" s="3">
        <f>IF(ISNUMBER(AVERAGE('20250815_ETF_Options_Exhibits'!L1341:L1345)),AVERAGE('20250815_ETF_Options_Exhibits'!L1341:L1345),"")</f>
        <v/>
      </c>
      <c r="M1345" s="3">
        <f>IF(ISNUMBER(AVERAGE('20250815_ETF_Options_Exhibits'!M1341:M1345)),AVERAGE('20250815_ETF_Options_Exhibits'!M1341:M1345),"")</f>
        <v/>
      </c>
      <c r="N1345" s="3">
        <f>IF(ISNUMBER(AVERAGE('20250815_ETF_Options_Exhibits'!N1341:N1345)),AVERAGE('20250815_ETF_Options_Exhibits'!N1341:N1345),"")</f>
        <v/>
      </c>
      <c r="O1345" s="3">
        <f>IF(ISNUMBER(AVERAGE('20250815_ETF_Options_Exhibits'!O1341:O1345)),AVERAGE('20250815_ETF_Options_Exhibits'!O1341:O1345),"")</f>
        <v/>
      </c>
      <c r="P1345" s="3">
        <f>IF(ISNUMBER(AVERAGE('20250815_ETF_Options_Exhibits'!P1341:P1345)),AVERAGE('20250815_ETF_Options_Exhibits'!P1341:P1345),"")</f>
        <v/>
      </c>
      <c r="Q1345" s="3">
        <f>IF(ISNUMBER(AVERAGE('20250815_ETF_Options_Exhibits'!Q1341:Q1345)),AVERAGE('20250815_ETF_Options_Exhibits'!Q1341:Q1345),"")</f>
        <v/>
      </c>
      <c r="R1345" s="3">
        <f>IF(ISNUMBER(AVERAGE('20250815_ETF_Options_Exhibits'!R1341:R1345)),AVERAGE('20250815_ETF_Options_Exhibits'!R1341:R1345),"")</f>
        <v/>
      </c>
      <c r="S1345" s="3">
        <f>IF(ISNUMBER(AVERAGE('20250815_ETF_Options_Exhibits'!S1341:S1345)),AVERAGE('20250815_ETF_Options_Exhibits'!S1341:S1345),"")</f>
        <v/>
      </c>
      <c r="T1345" s="3">
        <f>IF(ISNUMBER(AVERAGE('20250815_ETF_Options_Exhibits'!T1341:T1345)),AVERAGE('20250815_ETF_Options_Exhibits'!T1341:T1345),"")</f>
        <v/>
      </c>
      <c r="U1345" s="3">
        <f>IF(ISNUMBER(AVERAGE('20250815_ETF_Options_Exhibits'!U1341:U1345)),AVERAGE('20250815_ETF_Options_Exhibits'!U1341:U1345),"")</f>
        <v/>
      </c>
      <c r="V1345" s="3">
        <f>IF(ISNUMBER(AVERAGE('20250815_ETF_Options_Exhibits'!V1341:V1345)),AVERAGE('20250815_ETF_Options_Exhibits'!V1341:V1345),"")</f>
        <v/>
      </c>
      <c r="W1345" s="3">
        <f>IF(ISNUMBER(AVERAGE('20250815_ETF_Options_Exhibits'!W1341:W1345)),AVERAGE('20250815_ETF_Options_Exhibits'!W1341:W1345),"")</f>
        <v/>
      </c>
      <c r="X1345" s="3">
        <f>IF(ISNUMBER(AVERAGE('20250815_ETF_Options_Exhibits'!X1341:X1345)),AVERAGE('20250815_ETF_Options_Exhibits'!X1341:X1345),"")</f>
        <v/>
      </c>
      <c r="Y1345" s="3">
        <f>IF(ISNUMBER(AVERAGE('20250815_ETF_Options_Exhibits'!Y1341:Y1345)),AVERAGE('20250815_ETF_Options_Exhibits'!Y1341:Y1345),"")</f>
        <v/>
      </c>
      <c r="Z1345" s="3">
        <f>IF(ISNUMBER(AVERAGE('20250815_ETF_Options_Exhibits'!Z1341:Z1345)),AVERAGE('20250815_ETF_Options_Exhibits'!Z1341:Z1345),"")</f>
        <v/>
      </c>
      <c r="AA1345" s="3">
        <f>IF(ISNUMBER(AVERAGE('20250815_ETF_Options_Exhibits'!AA1341:AA1345)),AVERAGE('20250815_ETF_Options_Exhibits'!AA1341:AA1345),"")</f>
        <v/>
      </c>
    </row>
    <row r="1346">
      <c r="A1346" s="1" t="n">
        <v>43956</v>
      </c>
      <c r="B1346" s="3">
        <f>IF(ISNUMBER(AVERAGE('20250815_ETF_Options_Exhibits'!B1342:B1346)),AVERAGE('20250815_ETF_Options_Exhibits'!B1342:B1346),"")</f>
        <v/>
      </c>
      <c r="C1346" s="3">
        <f>IF(ISNUMBER(AVERAGE('20250815_ETF_Options_Exhibits'!C1342:C1346)),AVERAGE('20250815_ETF_Options_Exhibits'!C1342:C1346),"")</f>
        <v/>
      </c>
      <c r="D1346" s="3">
        <f>IF(ISNUMBER(AVERAGE('20250815_ETF_Options_Exhibits'!D1342:D1346)),AVERAGE('20250815_ETF_Options_Exhibits'!D1342:D1346),"")</f>
        <v/>
      </c>
      <c r="E1346" s="3">
        <f>IF(ISNUMBER(AVERAGE('20250815_ETF_Options_Exhibits'!E1342:E1346)),AVERAGE('20250815_ETF_Options_Exhibits'!E1342:E1346),"")</f>
        <v/>
      </c>
      <c r="F1346" s="3">
        <f>IF(ISNUMBER(AVERAGE('20250815_ETF_Options_Exhibits'!F1342:F1346)),AVERAGE('20250815_ETF_Options_Exhibits'!F1342:F1346),"")</f>
        <v/>
      </c>
      <c r="G1346" s="3">
        <f>IF(ISNUMBER(AVERAGE('20250815_ETF_Options_Exhibits'!G1342:G1346)),AVERAGE('20250815_ETF_Options_Exhibits'!G1342:G1346),"")</f>
        <v/>
      </c>
      <c r="H1346" s="3">
        <f>IF(ISNUMBER(AVERAGE('20250815_ETF_Options_Exhibits'!H1342:H1346)),AVERAGE('20250815_ETF_Options_Exhibits'!H1342:H1346),"")</f>
        <v/>
      </c>
      <c r="I1346" s="3">
        <f>IF(ISNUMBER(AVERAGE('20250815_ETF_Options_Exhibits'!I1342:I1346)),AVERAGE('20250815_ETF_Options_Exhibits'!I1342:I1346),"")</f>
        <v/>
      </c>
      <c r="J1346" s="3">
        <f>IF(ISNUMBER(AVERAGE('20250815_ETF_Options_Exhibits'!J1342:J1346)),AVERAGE('20250815_ETF_Options_Exhibits'!J1342:J1346),"")</f>
        <v/>
      </c>
      <c r="K1346" s="3">
        <f>IF(ISNUMBER(AVERAGE('20250815_ETF_Options_Exhibits'!K1342:K1346)),AVERAGE('20250815_ETF_Options_Exhibits'!K1342:K1346),"")</f>
        <v/>
      </c>
      <c r="L1346" s="3">
        <f>IF(ISNUMBER(AVERAGE('20250815_ETF_Options_Exhibits'!L1342:L1346)),AVERAGE('20250815_ETF_Options_Exhibits'!L1342:L1346),"")</f>
        <v/>
      </c>
      <c r="M1346" s="3">
        <f>IF(ISNUMBER(AVERAGE('20250815_ETF_Options_Exhibits'!M1342:M1346)),AVERAGE('20250815_ETF_Options_Exhibits'!M1342:M1346),"")</f>
        <v/>
      </c>
      <c r="N1346" s="3">
        <f>IF(ISNUMBER(AVERAGE('20250815_ETF_Options_Exhibits'!N1342:N1346)),AVERAGE('20250815_ETF_Options_Exhibits'!N1342:N1346),"")</f>
        <v/>
      </c>
      <c r="O1346" s="3">
        <f>IF(ISNUMBER(AVERAGE('20250815_ETF_Options_Exhibits'!O1342:O1346)),AVERAGE('20250815_ETF_Options_Exhibits'!O1342:O1346),"")</f>
        <v/>
      </c>
      <c r="P1346" s="3">
        <f>IF(ISNUMBER(AVERAGE('20250815_ETF_Options_Exhibits'!P1342:P1346)),AVERAGE('20250815_ETF_Options_Exhibits'!P1342:P1346),"")</f>
        <v/>
      </c>
      <c r="Q1346" s="3">
        <f>IF(ISNUMBER(AVERAGE('20250815_ETF_Options_Exhibits'!Q1342:Q1346)),AVERAGE('20250815_ETF_Options_Exhibits'!Q1342:Q1346),"")</f>
        <v/>
      </c>
      <c r="R1346" s="3">
        <f>IF(ISNUMBER(AVERAGE('20250815_ETF_Options_Exhibits'!R1342:R1346)),AVERAGE('20250815_ETF_Options_Exhibits'!R1342:R1346),"")</f>
        <v/>
      </c>
      <c r="S1346" s="3">
        <f>IF(ISNUMBER(AVERAGE('20250815_ETF_Options_Exhibits'!S1342:S1346)),AVERAGE('20250815_ETF_Options_Exhibits'!S1342:S1346),"")</f>
        <v/>
      </c>
      <c r="T1346" s="3">
        <f>IF(ISNUMBER(AVERAGE('20250815_ETF_Options_Exhibits'!T1342:T1346)),AVERAGE('20250815_ETF_Options_Exhibits'!T1342:T1346),"")</f>
        <v/>
      </c>
      <c r="U1346" s="3">
        <f>IF(ISNUMBER(AVERAGE('20250815_ETF_Options_Exhibits'!U1342:U1346)),AVERAGE('20250815_ETF_Options_Exhibits'!U1342:U1346),"")</f>
        <v/>
      </c>
      <c r="V1346" s="3">
        <f>IF(ISNUMBER(AVERAGE('20250815_ETF_Options_Exhibits'!V1342:V1346)),AVERAGE('20250815_ETF_Options_Exhibits'!V1342:V1346),"")</f>
        <v/>
      </c>
      <c r="W1346" s="3">
        <f>IF(ISNUMBER(AVERAGE('20250815_ETF_Options_Exhibits'!W1342:W1346)),AVERAGE('20250815_ETF_Options_Exhibits'!W1342:W1346),"")</f>
        <v/>
      </c>
      <c r="X1346" s="3">
        <f>IF(ISNUMBER(AVERAGE('20250815_ETF_Options_Exhibits'!X1342:X1346)),AVERAGE('20250815_ETF_Options_Exhibits'!X1342:X1346),"")</f>
        <v/>
      </c>
      <c r="Y1346" s="3">
        <f>IF(ISNUMBER(AVERAGE('20250815_ETF_Options_Exhibits'!Y1342:Y1346)),AVERAGE('20250815_ETF_Options_Exhibits'!Y1342:Y1346),"")</f>
        <v/>
      </c>
      <c r="Z1346" s="3">
        <f>IF(ISNUMBER(AVERAGE('20250815_ETF_Options_Exhibits'!Z1342:Z1346)),AVERAGE('20250815_ETF_Options_Exhibits'!Z1342:Z1346),"")</f>
        <v/>
      </c>
      <c r="AA1346" s="3">
        <f>IF(ISNUMBER(AVERAGE('20250815_ETF_Options_Exhibits'!AA1342:AA1346)),AVERAGE('20250815_ETF_Options_Exhibits'!AA1342:AA1346),"")</f>
        <v/>
      </c>
    </row>
    <row r="1347">
      <c r="A1347" s="1" t="n">
        <v>43957</v>
      </c>
      <c r="B1347" s="3">
        <f>IF(ISNUMBER(AVERAGE('20250815_ETF_Options_Exhibits'!B1343:B1347)),AVERAGE('20250815_ETF_Options_Exhibits'!B1343:B1347),"")</f>
        <v/>
      </c>
      <c r="C1347" s="3">
        <f>IF(ISNUMBER(AVERAGE('20250815_ETF_Options_Exhibits'!C1343:C1347)),AVERAGE('20250815_ETF_Options_Exhibits'!C1343:C1347),"")</f>
        <v/>
      </c>
      <c r="D1347" s="3">
        <f>IF(ISNUMBER(AVERAGE('20250815_ETF_Options_Exhibits'!D1343:D1347)),AVERAGE('20250815_ETF_Options_Exhibits'!D1343:D1347),"")</f>
        <v/>
      </c>
      <c r="E1347" s="3">
        <f>IF(ISNUMBER(AVERAGE('20250815_ETF_Options_Exhibits'!E1343:E1347)),AVERAGE('20250815_ETF_Options_Exhibits'!E1343:E1347),"")</f>
        <v/>
      </c>
      <c r="F1347" s="3">
        <f>IF(ISNUMBER(AVERAGE('20250815_ETF_Options_Exhibits'!F1343:F1347)),AVERAGE('20250815_ETF_Options_Exhibits'!F1343:F1347),"")</f>
        <v/>
      </c>
      <c r="G1347" s="3">
        <f>IF(ISNUMBER(AVERAGE('20250815_ETF_Options_Exhibits'!G1343:G1347)),AVERAGE('20250815_ETF_Options_Exhibits'!G1343:G1347),"")</f>
        <v/>
      </c>
      <c r="H1347" s="3">
        <f>IF(ISNUMBER(AVERAGE('20250815_ETF_Options_Exhibits'!H1343:H1347)),AVERAGE('20250815_ETF_Options_Exhibits'!H1343:H1347),"")</f>
        <v/>
      </c>
      <c r="I1347" s="3">
        <f>IF(ISNUMBER(AVERAGE('20250815_ETF_Options_Exhibits'!I1343:I1347)),AVERAGE('20250815_ETF_Options_Exhibits'!I1343:I1347),"")</f>
        <v/>
      </c>
      <c r="J1347" s="3">
        <f>IF(ISNUMBER(AVERAGE('20250815_ETF_Options_Exhibits'!J1343:J1347)),AVERAGE('20250815_ETF_Options_Exhibits'!J1343:J1347),"")</f>
        <v/>
      </c>
      <c r="K1347" s="3">
        <f>IF(ISNUMBER(AVERAGE('20250815_ETF_Options_Exhibits'!K1343:K1347)),AVERAGE('20250815_ETF_Options_Exhibits'!K1343:K1347),"")</f>
        <v/>
      </c>
      <c r="L1347" s="3">
        <f>IF(ISNUMBER(AVERAGE('20250815_ETF_Options_Exhibits'!L1343:L1347)),AVERAGE('20250815_ETF_Options_Exhibits'!L1343:L1347),"")</f>
        <v/>
      </c>
      <c r="M1347" s="3">
        <f>IF(ISNUMBER(AVERAGE('20250815_ETF_Options_Exhibits'!M1343:M1347)),AVERAGE('20250815_ETF_Options_Exhibits'!M1343:M1347),"")</f>
        <v/>
      </c>
      <c r="N1347" s="3">
        <f>IF(ISNUMBER(AVERAGE('20250815_ETF_Options_Exhibits'!N1343:N1347)),AVERAGE('20250815_ETF_Options_Exhibits'!N1343:N1347),"")</f>
        <v/>
      </c>
      <c r="O1347" s="3">
        <f>IF(ISNUMBER(AVERAGE('20250815_ETF_Options_Exhibits'!O1343:O1347)),AVERAGE('20250815_ETF_Options_Exhibits'!O1343:O1347),"")</f>
        <v/>
      </c>
      <c r="P1347" s="3">
        <f>IF(ISNUMBER(AVERAGE('20250815_ETF_Options_Exhibits'!P1343:P1347)),AVERAGE('20250815_ETF_Options_Exhibits'!P1343:P1347),"")</f>
        <v/>
      </c>
      <c r="Q1347" s="3">
        <f>IF(ISNUMBER(AVERAGE('20250815_ETF_Options_Exhibits'!Q1343:Q1347)),AVERAGE('20250815_ETF_Options_Exhibits'!Q1343:Q1347),"")</f>
        <v/>
      </c>
      <c r="R1347" s="3">
        <f>IF(ISNUMBER(AVERAGE('20250815_ETF_Options_Exhibits'!R1343:R1347)),AVERAGE('20250815_ETF_Options_Exhibits'!R1343:R1347),"")</f>
        <v/>
      </c>
      <c r="S1347" s="3">
        <f>IF(ISNUMBER(AVERAGE('20250815_ETF_Options_Exhibits'!S1343:S1347)),AVERAGE('20250815_ETF_Options_Exhibits'!S1343:S1347),"")</f>
        <v/>
      </c>
      <c r="T1347" s="3">
        <f>IF(ISNUMBER(AVERAGE('20250815_ETF_Options_Exhibits'!T1343:T1347)),AVERAGE('20250815_ETF_Options_Exhibits'!T1343:T1347),"")</f>
        <v/>
      </c>
      <c r="U1347" s="3">
        <f>IF(ISNUMBER(AVERAGE('20250815_ETF_Options_Exhibits'!U1343:U1347)),AVERAGE('20250815_ETF_Options_Exhibits'!U1343:U1347),"")</f>
        <v/>
      </c>
      <c r="V1347" s="3">
        <f>IF(ISNUMBER(AVERAGE('20250815_ETF_Options_Exhibits'!V1343:V1347)),AVERAGE('20250815_ETF_Options_Exhibits'!V1343:V1347),"")</f>
        <v/>
      </c>
      <c r="W1347" s="3">
        <f>IF(ISNUMBER(AVERAGE('20250815_ETF_Options_Exhibits'!W1343:W1347)),AVERAGE('20250815_ETF_Options_Exhibits'!W1343:W1347),"")</f>
        <v/>
      </c>
      <c r="X1347" s="3">
        <f>IF(ISNUMBER(AVERAGE('20250815_ETF_Options_Exhibits'!X1343:X1347)),AVERAGE('20250815_ETF_Options_Exhibits'!X1343:X1347),"")</f>
        <v/>
      </c>
      <c r="Y1347" s="3">
        <f>IF(ISNUMBER(AVERAGE('20250815_ETF_Options_Exhibits'!Y1343:Y1347)),AVERAGE('20250815_ETF_Options_Exhibits'!Y1343:Y1347),"")</f>
        <v/>
      </c>
      <c r="Z1347" s="3">
        <f>IF(ISNUMBER(AVERAGE('20250815_ETF_Options_Exhibits'!Z1343:Z1347)),AVERAGE('20250815_ETF_Options_Exhibits'!Z1343:Z1347),"")</f>
        <v/>
      </c>
      <c r="AA1347" s="3">
        <f>IF(ISNUMBER(AVERAGE('20250815_ETF_Options_Exhibits'!AA1343:AA1347)),AVERAGE('20250815_ETF_Options_Exhibits'!AA1343:AA1347),"")</f>
        <v/>
      </c>
    </row>
    <row r="1348">
      <c r="A1348" s="1" t="n">
        <v>43958</v>
      </c>
      <c r="B1348" s="3">
        <f>IF(ISNUMBER(AVERAGE('20250815_ETF_Options_Exhibits'!B1344:B1348)),AVERAGE('20250815_ETF_Options_Exhibits'!B1344:B1348),"")</f>
        <v/>
      </c>
      <c r="C1348" s="3">
        <f>IF(ISNUMBER(AVERAGE('20250815_ETF_Options_Exhibits'!C1344:C1348)),AVERAGE('20250815_ETF_Options_Exhibits'!C1344:C1348),"")</f>
        <v/>
      </c>
      <c r="D1348" s="3">
        <f>IF(ISNUMBER(AVERAGE('20250815_ETF_Options_Exhibits'!D1344:D1348)),AVERAGE('20250815_ETF_Options_Exhibits'!D1344:D1348),"")</f>
        <v/>
      </c>
      <c r="E1348" s="3">
        <f>IF(ISNUMBER(AVERAGE('20250815_ETF_Options_Exhibits'!E1344:E1348)),AVERAGE('20250815_ETF_Options_Exhibits'!E1344:E1348),"")</f>
        <v/>
      </c>
      <c r="F1348" s="3">
        <f>IF(ISNUMBER(AVERAGE('20250815_ETF_Options_Exhibits'!F1344:F1348)),AVERAGE('20250815_ETF_Options_Exhibits'!F1344:F1348),"")</f>
        <v/>
      </c>
      <c r="G1348" s="3">
        <f>IF(ISNUMBER(AVERAGE('20250815_ETF_Options_Exhibits'!G1344:G1348)),AVERAGE('20250815_ETF_Options_Exhibits'!G1344:G1348),"")</f>
        <v/>
      </c>
      <c r="H1348" s="3">
        <f>IF(ISNUMBER(AVERAGE('20250815_ETF_Options_Exhibits'!H1344:H1348)),AVERAGE('20250815_ETF_Options_Exhibits'!H1344:H1348),"")</f>
        <v/>
      </c>
      <c r="I1348" s="3">
        <f>IF(ISNUMBER(AVERAGE('20250815_ETF_Options_Exhibits'!I1344:I1348)),AVERAGE('20250815_ETF_Options_Exhibits'!I1344:I1348),"")</f>
        <v/>
      </c>
      <c r="J1348" s="3">
        <f>IF(ISNUMBER(AVERAGE('20250815_ETF_Options_Exhibits'!J1344:J1348)),AVERAGE('20250815_ETF_Options_Exhibits'!J1344:J1348),"")</f>
        <v/>
      </c>
      <c r="K1348" s="3">
        <f>IF(ISNUMBER(AVERAGE('20250815_ETF_Options_Exhibits'!K1344:K1348)),AVERAGE('20250815_ETF_Options_Exhibits'!K1344:K1348),"")</f>
        <v/>
      </c>
      <c r="L1348" s="3">
        <f>IF(ISNUMBER(AVERAGE('20250815_ETF_Options_Exhibits'!L1344:L1348)),AVERAGE('20250815_ETF_Options_Exhibits'!L1344:L1348),"")</f>
        <v/>
      </c>
      <c r="M1348" s="3">
        <f>IF(ISNUMBER(AVERAGE('20250815_ETF_Options_Exhibits'!M1344:M1348)),AVERAGE('20250815_ETF_Options_Exhibits'!M1344:M1348),"")</f>
        <v/>
      </c>
      <c r="N1348" s="3">
        <f>IF(ISNUMBER(AVERAGE('20250815_ETF_Options_Exhibits'!N1344:N1348)),AVERAGE('20250815_ETF_Options_Exhibits'!N1344:N1348),"")</f>
        <v/>
      </c>
      <c r="O1348" s="3">
        <f>IF(ISNUMBER(AVERAGE('20250815_ETF_Options_Exhibits'!O1344:O1348)),AVERAGE('20250815_ETF_Options_Exhibits'!O1344:O1348),"")</f>
        <v/>
      </c>
      <c r="P1348" s="3">
        <f>IF(ISNUMBER(AVERAGE('20250815_ETF_Options_Exhibits'!P1344:P1348)),AVERAGE('20250815_ETF_Options_Exhibits'!P1344:P1348),"")</f>
        <v/>
      </c>
      <c r="Q1348" s="3">
        <f>IF(ISNUMBER(AVERAGE('20250815_ETF_Options_Exhibits'!Q1344:Q1348)),AVERAGE('20250815_ETF_Options_Exhibits'!Q1344:Q1348),"")</f>
        <v/>
      </c>
      <c r="R1348" s="3">
        <f>IF(ISNUMBER(AVERAGE('20250815_ETF_Options_Exhibits'!R1344:R1348)),AVERAGE('20250815_ETF_Options_Exhibits'!R1344:R1348),"")</f>
        <v/>
      </c>
      <c r="S1348" s="3">
        <f>IF(ISNUMBER(AVERAGE('20250815_ETF_Options_Exhibits'!S1344:S1348)),AVERAGE('20250815_ETF_Options_Exhibits'!S1344:S1348),"")</f>
        <v/>
      </c>
      <c r="T1348" s="3">
        <f>IF(ISNUMBER(AVERAGE('20250815_ETF_Options_Exhibits'!T1344:T1348)),AVERAGE('20250815_ETF_Options_Exhibits'!T1344:T1348),"")</f>
        <v/>
      </c>
      <c r="U1348" s="3">
        <f>IF(ISNUMBER(AVERAGE('20250815_ETF_Options_Exhibits'!U1344:U1348)),AVERAGE('20250815_ETF_Options_Exhibits'!U1344:U1348),"")</f>
        <v/>
      </c>
      <c r="V1348" s="3">
        <f>IF(ISNUMBER(AVERAGE('20250815_ETF_Options_Exhibits'!V1344:V1348)),AVERAGE('20250815_ETF_Options_Exhibits'!V1344:V1348),"")</f>
        <v/>
      </c>
      <c r="W1348" s="3">
        <f>IF(ISNUMBER(AVERAGE('20250815_ETF_Options_Exhibits'!W1344:W1348)),AVERAGE('20250815_ETF_Options_Exhibits'!W1344:W1348),"")</f>
        <v/>
      </c>
      <c r="X1348" s="3">
        <f>IF(ISNUMBER(AVERAGE('20250815_ETF_Options_Exhibits'!X1344:X1348)),AVERAGE('20250815_ETF_Options_Exhibits'!X1344:X1348),"")</f>
        <v/>
      </c>
      <c r="Y1348" s="3">
        <f>IF(ISNUMBER(AVERAGE('20250815_ETF_Options_Exhibits'!Y1344:Y1348)),AVERAGE('20250815_ETF_Options_Exhibits'!Y1344:Y1348),"")</f>
        <v/>
      </c>
      <c r="Z1348" s="3">
        <f>IF(ISNUMBER(AVERAGE('20250815_ETF_Options_Exhibits'!Z1344:Z1348)),AVERAGE('20250815_ETF_Options_Exhibits'!Z1344:Z1348),"")</f>
        <v/>
      </c>
      <c r="AA1348" s="3">
        <f>IF(ISNUMBER(AVERAGE('20250815_ETF_Options_Exhibits'!AA1344:AA1348)),AVERAGE('20250815_ETF_Options_Exhibits'!AA1344:AA1348),"")</f>
        <v/>
      </c>
    </row>
    <row r="1349">
      <c r="A1349" s="1" t="n">
        <v>43959</v>
      </c>
      <c r="B1349" s="3">
        <f>IF(ISNUMBER(AVERAGE('20250815_ETF_Options_Exhibits'!B1345:B1349)),AVERAGE('20250815_ETF_Options_Exhibits'!B1345:B1349),"")</f>
        <v/>
      </c>
      <c r="C1349" s="3">
        <f>IF(ISNUMBER(AVERAGE('20250815_ETF_Options_Exhibits'!C1345:C1349)),AVERAGE('20250815_ETF_Options_Exhibits'!C1345:C1349),"")</f>
        <v/>
      </c>
      <c r="D1349" s="3">
        <f>IF(ISNUMBER(AVERAGE('20250815_ETF_Options_Exhibits'!D1345:D1349)),AVERAGE('20250815_ETF_Options_Exhibits'!D1345:D1349),"")</f>
        <v/>
      </c>
      <c r="E1349" s="3">
        <f>IF(ISNUMBER(AVERAGE('20250815_ETF_Options_Exhibits'!E1345:E1349)),AVERAGE('20250815_ETF_Options_Exhibits'!E1345:E1349),"")</f>
        <v/>
      </c>
      <c r="F1349" s="3">
        <f>IF(ISNUMBER(AVERAGE('20250815_ETF_Options_Exhibits'!F1345:F1349)),AVERAGE('20250815_ETF_Options_Exhibits'!F1345:F1349),"")</f>
        <v/>
      </c>
      <c r="G1349" s="3">
        <f>IF(ISNUMBER(AVERAGE('20250815_ETF_Options_Exhibits'!G1345:G1349)),AVERAGE('20250815_ETF_Options_Exhibits'!G1345:G1349),"")</f>
        <v/>
      </c>
      <c r="H1349" s="3">
        <f>IF(ISNUMBER(AVERAGE('20250815_ETF_Options_Exhibits'!H1345:H1349)),AVERAGE('20250815_ETF_Options_Exhibits'!H1345:H1349),"")</f>
        <v/>
      </c>
      <c r="I1349" s="3">
        <f>IF(ISNUMBER(AVERAGE('20250815_ETF_Options_Exhibits'!I1345:I1349)),AVERAGE('20250815_ETF_Options_Exhibits'!I1345:I1349),"")</f>
        <v/>
      </c>
      <c r="J1349" s="3">
        <f>IF(ISNUMBER(AVERAGE('20250815_ETF_Options_Exhibits'!J1345:J1349)),AVERAGE('20250815_ETF_Options_Exhibits'!J1345:J1349),"")</f>
        <v/>
      </c>
      <c r="K1349" s="3">
        <f>IF(ISNUMBER(AVERAGE('20250815_ETF_Options_Exhibits'!K1345:K1349)),AVERAGE('20250815_ETF_Options_Exhibits'!K1345:K1349),"")</f>
        <v/>
      </c>
      <c r="L1349" s="3">
        <f>IF(ISNUMBER(AVERAGE('20250815_ETF_Options_Exhibits'!L1345:L1349)),AVERAGE('20250815_ETF_Options_Exhibits'!L1345:L1349),"")</f>
        <v/>
      </c>
      <c r="M1349" s="3">
        <f>IF(ISNUMBER(AVERAGE('20250815_ETF_Options_Exhibits'!M1345:M1349)),AVERAGE('20250815_ETF_Options_Exhibits'!M1345:M1349),"")</f>
        <v/>
      </c>
      <c r="N1349" s="3">
        <f>IF(ISNUMBER(AVERAGE('20250815_ETF_Options_Exhibits'!N1345:N1349)),AVERAGE('20250815_ETF_Options_Exhibits'!N1345:N1349),"")</f>
        <v/>
      </c>
      <c r="O1349" s="3">
        <f>IF(ISNUMBER(AVERAGE('20250815_ETF_Options_Exhibits'!O1345:O1349)),AVERAGE('20250815_ETF_Options_Exhibits'!O1345:O1349),"")</f>
        <v/>
      </c>
      <c r="P1349" s="3">
        <f>IF(ISNUMBER(AVERAGE('20250815_ETF_Options_Exhibits'!P1345:P1349)),AVERAGE('20250815_ETF_Options_Exhibits'!P1345:P1349),"")</f>
        <v/>
      </c>
      <c r="Q1349" s="3">
        <f>IF(ISNUMBER(AVERAGE('20250815_ETF_Options_Exhibits'!Q1345:Q1349)),AVERAGE('20250815_ETF_Options_Exhibits'!Q1345:Q1349),"")</f>
        <v/>
      </c>
      <c r="R1349" s="3">
        <f>IF(ISNUMBER(AVERAGE('20250815_ETF_Options_Exhibits'!R1345:R1349)),AVERAGE('20250815_ETF_Options_Exhibits'!R1345:R1349),"")</f>
        <v/>
      </c>
      <c r="S1349" s="3">
        <f>IF(ISNUMBER(AVERAGE('20250815_ETF_Options_Exhibits'!S1345:S1349)),AVERAGE('20250815_ETF_Options_Exhibits'!S1345:S1349),"")</f>
        <v/>
      </c>
      <c r="T1349" s="3">
        <f>IF(ISNUMBER(AVERAGE('20250815_ETF_Options_Exhibits'!T1345:T1349)),AVERAGE('20250815_ETF_Options_Exhibits'!T1345:T1349),"")</f>
        <v/>
      </c>
      <c r="U1349" s="3">
        <f>IF(ISNUMBER(AVERAGE('20250815_ETF_Options_Exhibits'!U1345:U1349)),AVERAGE('20250815_ETF_Options_Exhibits'!U1345:U1349),"")</f>
        <v/>
      </c>
      <c r="V1349" s="3">
        <f>IF(ISNUMBER(AVERAGE('20250815_ETF_Options_Exhibits'!V1345:V1349)),AVERAGE('20250815_ETF_Options_Exhibits'!V1345:V1349),"")</f>
        <v/>
      </c>
      <c r="W1349" s="3">
        <f>IF(ISNUMBER(AVERAGE('20250815_ETF_Options_Exhibits'!W1345:W1349)),AVERAGE('20250815_ETF_Options_Exhibits'!W1345:W1349),"")</f>
        <v/>
      </c>
      <c r="X1349" s="3">
        <f>IF(ISNUMBER(AVERAGE('20250815_ETF_Options_Exhibits'!X1345:X1349)),AVERAGE('20250815_ETF_Options_Exhibits'!X1345:X1349),"")</f>
        <v/>
      </c>
      <c r="Y1349" s="3">
        <f>IF(ISNUMBER(AVERAGE('20250815_ETF_Options_Exhibits'!Y1345:Y1349)),AVERAGE('20250815_ETF_Options_Exhibits'!Y1345:Y1349),"")</f>
        <v/>
      </c>
      <c r="Z1349" s="3">
        <f>IF(ISNUMBER(AVERAGE('20250815_ETF_Options_Exhibits'!Z1345:Z1349)),AVERAGE('20250815_ETF_Options_Exhibits'!Z1345:Z1349),"")</f>
        <v/>
      </c>
      <c r="AA1349" s="3">
        <f>IF(ISNUMBER(AVERAGE('20250815_ETF_Options_Exhibits'!AA1345:AA1349)),AVERAGE('20250815_ETF_Options_Exhibits'!AA1345:AA1349),"")</f>
        <v/>
      </c>
    </row>
    <row r="1350">
      <c r="A1350" s="1" t="n">
        <v>43962</v>
      </c>
      <c r="B1350" s="3">
        <f>IF(ISNUMBER(AVERAGE('20250815_ETF_Options_Exhibits'!B1346:B1350)),AVERAGE('20250815_ETF_Options_Exhibits'!B1346:B1350),"")</f>
        <v/>
      </c>
      <c r="C1350" s="3">
        <f>IF(ISNUMBER(AVERAGE('20250815_ETF_Options_Exhibits'!C1346:C1350)),AVERAGE('20250815_ETF_Options_Exhibits'!C1346:C1350),"")</f>
        <v/>
      </c>
      <c r="D1350" s="3">
        <f>IF(ISNUMBER(AVERAGE('20250815_ETF_Options_Exhibits'!D1346:D1350)),AVERAGE('20250815_ETF_Options_Exhibits'!D1346:D1350),"")</f>
        <v/>
      </c>
      <c r="E1350" s="3">
        <f>IF(ISNUMBER(AVERAGE('20250815_ETF_Options_Exhibits'!E1346:E1350)),AVERAGE('20250815_ETF_Options_Exhibits'!E1346:E1350),"")</f>
        <v/>
      </c>
      <c r="F1350" s="3">
        <f>IF(ISNUMBER(AVERAGE('20250815_ETF_Options_Exhibits'!F1346:F1350)),AVERAGE('20250815_ETF_Options_Exhibits'!F1346:F1350),"")</f>
        <v/>
      </c>
      <c r="G1350" s="3">
        <f>IF(ISNUMBER(AVERAGE('20250815_ETF_Options_Exhibits'!G1346:G1350)),AVERAGE('20250815_ETF_Options_Exhibits'!G1346:G1350),"")</f>
        <v/>
      </c>
      <c r="H1350" s="3">
        <f>IF(ISNUMBER(AVERAGE('20250815_ETF_Options_Exhibits'!H1346:H1350)),AVERAGE('20250815_ETF_Options_Exhibits'!H1346:H1350),"")</f>
        <v/>
      </c>
      <c r="I1350" s="3">
        <f>IF(ISNUMBER(AVERAGE('20250815_ETF_Options_Exhibits'!I1346:I1350)),AVERAGE('20250815_ETF_Options_Exhibits'!I1346:I1350),"")</f>
        <v/>
      </c>
      <c r="J1350" s="3">
        <f>IF(ISNUMBER(AVERAGE('20250815_ETF_Options_Exhibits'!J1346:J1350)),AVERAGE('20250815_ETF_Options_Exhibits'!J1346:J1350),"")</f>
        <v/>
      </c>
      <c r="K1350" s="3">
        <f>IF(ISNUMBER(AVERAGE('20250815_ETF_Options_Exhibits'!K1346:K1350)),AVERAGE('20250815_ETF_Options_Exhibits'!K1346:K1350),"")</f>
        <v/>
      </c>
      <c r="L1350" s="3">
        <f>IF(ISNUMBER(AVERAGE('20250815_ETF_Options_Exhibits'!L1346:L1350)),AVERAGE('20250815_ETF_Options_Exhibits'!L1346:L1350),"")</f>
        <v/>
      </c>
      <c r="M1350" s="3">
        <f>IF(ISNUMBER(AVERAGE('20250815_ETF_Options_Exhibits'!M1346:M1350)),AVERAGE('20250815_ETF_Options_Exhibits'!M1346:M1350),"")</f>
        <v/>
      </c>
      <c r="N1350" s="3">
        <f>IF(ISNUMBER(AVERAGE('20250815_ETF_Options_Exhibits'!N1346:N1350)),AVERAGE('20250815_ETF_Options_Exhibits'!N1346:N1350),"")</f>
        <v/>
      </c>
      <c r="O1350" s="3">
        <f>IF(ISNUMBER(AVERAGE('20250815_ETF_Options_Exhibits'!O1346:O1350)),AVERAGE('20250815_ETF_Options_Exhibits'!O1346:O1350),"")</f>
        <v/>
      </c>
      <c r="P1350" s="3">
        <f>IF(ISNUMBER(AVERAGE('20250815_ETF_Options_Exhibits'!P1346:P1350)),AVERAGE('20250815_ETF_Options_Exhibits'!P1346:P1350),"")</f>
        <v/>
      </c>
      <c r="Q1350" s="3">
        <f>IF(ISNUMBER(AVERAGE('20250815_ETF_Options_Exhibits'!Q1346:Q1350)),AVERAGE('20250815_ETF_Options_Exhibits'!Q1346:Q1350),"")</f>
        <v/>
      </c>
      <c r="R1350" s="3">
        <f>IF(ISNUMBER(AVERAGE('20250815_ETF_Options_Exhibits'!R1346:R1350)),AVERAGE('20250815_ETF_Options_Exhibits'!R1346:R1350),"")</f>
        <v/>
      </c>
      <c r="S1350" s="3">
        <f>IF(ISNUMBER(AVERAGE('20250815_ETF_Options_Exhibits'!S1346:S1350)),AVERAGE('20250815_ETF_Options_Exhibits'!S1346:S1350),"")</f>
        <v/>
      </c>
      <c r="T1350" s="3">
        <f>IF(ISNUMBER(AVERAGE('20250815_ETF_Options_Exhibits'!T1346:T1350)),AVERAGE('20250815_ETF_Options_Exhibits'!T1346:T1350),"")</f>
        <v/>
      </c>
      <c r="U1350" s="3">
        <f>IF(ISNUMBER(AVERAGE('20250815_ETF_Options_Exhibits'!U1346:U1350)),AVERAGE('20250815_ETF_Options_Exhibits'!U1346:U1350),"")</f>
        <v/>
      </c>
      <c r="V1350" s="3">
        <f>IF(ISNUMBER(AVERAGE('20250815_ETF_Options_Exhibits'!V1346:V1350)),AVERAGE('20250815_ETF_Options_Exhibits'!V1346:V1350),"")</f>
        <v/>
      </c>
      <c r="W1350" s="3">
        <f>IF(ISNUMBER(AVERAGE('20250815_ETF_Options_Exhibits'!W1346:W1350)),AVERAGE('20250815_ETF_Options_Exhibits'!W1346:W1350),"")</f>
        <v/>
      </c>
      <c r="X1350" s="3">
        <f>IF(ISNUMBER(AVERAGE('20250815_ETF_Options_Exhibits'!X1346:X1350)),AVERAGE('20250815_ETF_Options_Exhibits'!X1346:X1350),"")</f>
        <v/>
      </c>
      <c r="Y1350" s="3">
        <f>IF(ISNUMBER(AVERAGE('20250815_ETF_Options_Exhibits'!Y1346:Y1350)),AVERAGE('20250815_ETF_Options_Exhibits'!Y1346:Y1350),"")</f>
        <v/>
      </c>
      <c r="Z1350" s="3">
        <f>IF(ISNUMBER(AVERAGE('20250815_ETF_Options_Exhibits'!Z1346:Z1350)),AVERAGE('20250815_ETF_Options_Exhibits'!Z1346:Z1350),"")</f>
        <v/>
      </c>
      <c r="AA1350" s="3">
        <f>IF(ISNUMBER(AVERAGE('20250815_ETF_Options_Exhibits'!AA1346:AA1350)),AVERAGE('20250815_ETF_Options_Exhibits'!AA1346:AA1350),"")</f>
        <v/>
      </c>
    </row>
    <row r="1351">
      <c r="A1351" s="1" t="n">
        <v>43963</v>
      </c>
      <c r="B1351" s="3">
        <f>IF(ISNUMBER(AVERAGE('20250815_ETF_Options_Exhibits'!B1347:B1351)),AVERAGE('20250815_ETF_Options_Exhibits'!B1347:B1351),"")</f>
        <v/>
      </c>
      <c r="C1351" s="3">
        <f>IF(ISNUMBER(AVERAGE('20250815_ETF_Options_Exhibits'!C1347:C1351)),AVERAGE('20250815_ETF_Options_Exhibits'!C1347:C1351),"")</f>
        <v/>
      </c>
      <c r="D1351" s="3">
        <f>IF(ISNUMBER(AVERAGE('20250815_ETF_Options_Exhibits'!D1347:D1351)),AVERAGE('20250815_ETF_Options_Exhibits'!D1347:D1351),"")</f>
        <v/>
      </c>
      <c r="E1351" s="3">
        <f>IF(ISNUMBER(AVERAGE('20250815_ETF_Options_Exhibits'!E1347:E1351)),AVERAGE('20250815_ETF_Options_Exhibits'!E1347:E1351),"")</f>
        <v/>
      </c>
      <c r="F1351" s="3">
        <f>IF(ISNUMBER(AVERAGE('20250815_ETF_Options_Exhibits'!F1347:F1351)),AVERAGE('20250815_ETF_Options_Exhibits'!F1347:F1351),"")</f>
        <v/>
      </c>
      <c r="G1351" s="3">
        <f>IF(ISNUMBER(AVERAGE('20250815_ETF_Options_Exhibits'!G1347:G1351)),AVERAGE('20250815_ETF_Options_Exhibits'!G1347:G1351),"")</f>
        <v/>
      </c>
      <c r="H1351" s="3">
        <f>IF(ISNUMBER(AVERAGE('20250815_ETF_Options_Exhibits'!H1347:H1351)),AVERAGE('20250815_ETF_Options_Exhibits'!H1347:H1351),"")</f>
        <v/>
      </c>
      <c r="I1351" s="3">
        <f>IF(ISNUMBER(AVERAGE('20250815_ETF_Options_Exhibits'!I1347:I1351)),AVERAGE('20250815_ETF_Options_Exhibits'!I1347:I1351),"")</f>
        <v/>
      </c>
      <c r="J1351" s="3">
        <f>IF(ISNUMBER(AVERAGE('20250815_ETF_Options_Exhibits'!J1347:J1351)),AVERAGE('20250815_ETF_Options_Exhibits'!J1347:J1351),"")</f>
        <v/>
      </c>
      <c r="K1351" s="3">
        <f>IF(ISNUMBER(AVERAGE('20250815_ETF_Options_Exhibits'!K1347:K1351)),AVERAGE('20250815_ETF_Options_Exhibits'!K1347:K1351),"")</f>
        <v/>
      </c>
      <c r="L1351" s="3">
        <f>IF(ISNUMBER(AVERAGE('20250815_ETF_Options_Exhibits'!L1347:L1351)),AVERAGE('20250815_ETF_Options_Exhibits'!L1347:L1351),"")</f>
        <v/>
      </c>
      <c r="M1351" s="3">
        <f>IF(ISNUMBER(AVERAGE('20250815_ETF_Options_Exhibits'!M1347:M1351)),AVERAGE('20250815_ETF_Options_Exhibits'!M1347:M1351),"")</f>
        <v/>
      </c>
      <c r="N1351" s="3">
        <f>IF(ISNUMBER(AVERAGE('20250815_ETF_Options_Exhibits'!N1347:N1351)),AVERAGE('20250815_ETF_Options_Exhibits'!N1347:N1351),"")</f>
        <v/>
      </c>
      <c r="O1351" s="3">
        <f>IF(ISNUMBER(AVERAGE('20250815_ETF_Options_Exhibits'!O1347:O1351)),AVERAGE('20250815_ETF_Options_Exhibits'!O1347:O1351),"")</f>
        <v/>
      </c>
      <c r="P1351" s="3">
        <f>IF(ISNUMBER(AVERAGE('20250815_ETF_Options_Exhibits'!P1347:P1351)),AVERAGE('20250815_ETF_Options_Exhibits'!P1347:P1351),"")</f>
        <v/>
      </c>
      <c r="Q1351" s="3">
        <f>IF(ISNUMBER(AVERAGE('20250815_ETF_Options_Exhibits'!Q1347:Q1351)),AVERAGE('20250815_ETF_Options_Exhibits'!Q1347:Q1351),"")</f>
        <v/>
      </c>
      <c r="R1351" s="3">
        <f>IF(ISNUMBER(AVERAGE('20250815_ETF_Options_Exhibits'!R1347:R1351)),AVERAGE('20250815_ETF_Options_Exhibits'!R1347:R1351),"")</f>
        <v/>
      </c>
      <c r="S1351" s="3">
        <f>IF(ISNUMBER(AVERAGE('20250815_ETF_Options_Exhibits'!S1347:S1351)),AVERAGE('20250815_ETF_Options_Exhibits'!S1347:S1351),"")</f>
        <v/>
      </c>
      <c r="T1351" s="3">
        <f>IF(ISNUMBER(AVERAGE('20250815_ETF_Options_Exhibits'!T1347:T1351)),AVERAGE('20250815_ETF_Options_Exhibits'!T1347:T1351),"")</f>
        <v/>
      </c>
      <c r="U1351" s="3">
        <f>IF(ISNUMBER(AVERAGE('20250815_ETF_Options_Exhibits'!U1347:U1351)),AVERAGE('20250815_ETF_Options_Exhibits'!U1347:U1351),"")</f>
        <v/>
      </c>
      <c r="V1351" s="3">
        <f>IF(ISNUMBER(AVERAGE('20250815_ETF_Options_Exhibits'!V1347:V1351)),AVERAGE('20250815_ETF_Options_Exhibits'!V1347:V1351),"")</f>
        <v/>
      </c>
      <c r="W1351" s="3">
        <f>IF(ISNUMBER(AVERAGE('20250815_ETF_Options_Exhibits'!W1347:W1351)),AVERAGE('20250815_ETF_Options_Exhibits'!W1347:W1351),"")</f>
        <v/>
      </c>
      <c r="X1351" s="3">
        <f>IF(ISNUMBER(AVERAGE('20250815_ETF_Options_Exhibits'!X1347:X1351)),AVERAGE('20250815_ETF_Options_Exhibits'!X1347:X1351),"")</f>
        <v/>
      </c>
      <c r="Y1351" s="3">
        <f>IF(ISNUMBER(AVERAGE('20250815_ETF_Options_Exhibits'!Y1347:Y1351)),AVERAGE('20250815_ETF_Options_Exhibits'!Y1347:Y1351),"")</f>
        <v/>
      </c>
      <c r="Z1351" s="3">
        <f>IF(ISNUMBER(AVERAGE('20250815_ETF_Options_Exhibits'!Z1347:Z1351)),AVERAGE('20250815_ETF_Options_Exhibits'!Z1347:Z1351),"")</f>
        <v/>
      </c>
      <c r="AA1351" s="3">
        <f>IF(ISNUMBER(AVERAGE('20250815_ETF_Options_Exhibits'!AA1347:AA1351)),AVERAGE('20250815_ETF_Options_Exhibits'!AA1347:AA1351),"")</f>
        <v/>
      </c>
    </row>
    <row r="1352">
      <c r="A1352" s="1" t="n">
        <v>43964</v>
      </c>
      <c r="B1352" s="3">
        <f>IF(ISNUMBER(AVERAGE('20250815_ETF_Options_Exhibits'!B1348:B1352)),AVERAGE('20250815_ETF_Options_Exhibits'!B1348:B1352),"")</f>
        <v/>
      </c>
      <c r="C1352" s="3">
        <f>IF(ISNUMBER(AVERAGE('20250815_ETF_Options_Exhibits'!C1348:C1352)),AVERAGE('20250815_ETF_Options_Exhibits'!C1348:C1352),"")</f>
        <v/>
      </c>
      <c r="D1352" s="3">
        <f>IF(ISNUMBER(AVERAGE('20250815_ETF_Options_Exhibits'!D1348:D1352)),AVERAGE('20250815_ETF_Options_Exhibits'!D1348:D1352),"")</f>
        <v/>
      </c>
      <c r="E1352" s="3">
        <f>IF(ISNUMBER(AVERAGE('20250815_ETF_Options_Exhibits'!E1348:E1352)),AVERAGE('20250815_ETF_Options_Exhibits'!E1348:E1352),"")</f>
        <v/>
      </c>
      <c r="F1352" s="3">
        <f>IF(ISNUMBER(AVERAGE('20250815_ETF_Options_Exhibits'!F1348:F1352)),AVERAGE('20250815_ETF_Options_Exhibits'!F1348:F1352),"")</f>
        <v/>
      </c>
      <c r="G1352" s="3">
        <f>IF(ISNUMBER(AVERAGE('20250815_ETF_Options_Exhibits'!G1348:G1352)),AVERAGE('20250815_ETF_Options_Exhibits'!G1348:G1352),"")</f>
        <v/>
      </c>
      <c r="H1352" s="3">
        <f>IF(ISNUMBER(AVERAGE('20250815_ETF_Options_Exhibits'!H1348:H1352)),AVERAGE('20250815_ETF_Options_Exhibits'!H1348:H1352),"")</f>
        <v/>
      </c>
      <c r="I1352" s="3">
        <f>IF(ISNUMBER(AVERAGE('20250815_ETF_Options_Exhibits'!I1348:I1352)),AVERAGE('20250815_ETF_Options_Exhibits'!I1348:I1352),"")</f>
        <v/>
      </c>
      <c r="J1352" s="3">
        <f>IF(ISNUMBER(AVERAGE('20250815_ETF_Options_Exhibits'!J1348:J1352)),AVERAGE('20250815_ETF_Options_Exhibits'!J1348:J1352),"")</f>
        <v/>
      </c>
      <c r="K1352" s="3">
        <f>IF(ISNUMBER(AVERAGE('20250815_ETF_Options_Exhibits'!K1348:K1352)),AVERAGE('20250815_ETF_Options_Exhibits'!K1348:K1352),"")</f>
        <v/>
      </c>
      <c r="L1352" s="3">
        <f>IF(ISNUMBER(AVERAGE('20250815_ETF_Options_Exhibits'!L1348:L1352)),AVERAGE('20250815_ETF_Options_Exhibits'!L1348:L1352),"")</f>
        <v/>
      </c>
      <c r="M1352" s="3">
        <f>IF(ISNUMBER(AVERAGE('20250815_ETF_Options_Exhibits'!M1348:M1352)),AVERAGE('20250815_ETF_Options_Exhibits'!M1348:M1352),"")</f>
        <v/>
      </c>
      <c r="N1352" s="3">
        <f>IF(ISNUMBER(AVERAGE('20250815_ETF_Options_Exhibits'!N1348:N1352)),AVERAGE('20250815_ETF_Options_Exhibits'!N1348:N1352),"")</f>
        <v/>
      </c>
      <c r="O1352" s="3">
        <f>IF(ISNUMBER(AVERAGE('20250815_ETF_Options_Exhibits'!O1348:O1352)),AVERAGE('20250815_ETF_Options_Exhibits'!O1348:O1352),"")</f>
        <v/>
      </c>
      <c r="P1352" s="3">
        <f>IF(ISNUMBER(AVERAGE('20250815_ETF_Options_Exhibits'!P1348:P1352)),AVERAGE('20250815_ETF_Options_Exhibits'!P1348:P1352),"")</f>
        <v/>
      </c>
      <c r="Q1352" s="3">
        <f>IF(ISNUMBER(AVERAGE('20250815_ETF_Options_Exhibits'!Q1348:Q1352)),AVERAGE('20250815_ETF_Options_Exhibits'!Q1348:Q1352),"")</f>
        <v/>
      </c>
      <c r="R1352" s="3">
        <f>IF(ISNUMBER(AVERAGE('20250815_ETF_Options_Exhibits'!R1348:R1352)),AVERAGE('20250815_ETF_Options_Exhibits'!R1348:R1352),"")</f>
        <v/>
      </c>
      <c r="S1352" s="3">
        <f>IF(ISNUMBER(AVERAGE('20250815_ETF_Options_Exhibits'!S1348:S1352)),AVERAGE('20250815_ETF_Options_Exhibits'!S1348:S1352),"")</f>
        <v/>
      </c>
      <c r="T1352" s="3">
        <f>IF(ISNUMBER(AVERAGE('20250815_ETF_Options_Exhibits'!T1348:T1352)),AVERAGE('20250815_ETF_Options_Exhibits'!T1348:T1352),"")</f>
        <v/>
      </c>
      <c r="U1352" s="3">
        <f>IF(ISNUMBER(AVERAGE('20250815_ETF_Options_Exhibits'!U1348:U1352)),AVERAGE('20250815_ETF_Options_Exhibits'!U1348:U1352),"")</f>
        <v/>
      </c>
      <c r="V1352" s="3">
        <f>IF(ISNUMBER(AVERAGE('20250815_ETF_Options_Exhibits'!V1348:V1352)),AVERAGE('20250815_ETF_Options_Exhibits'!V1348:V1352),"")</f>
        <v/>
      </c>
      <c r="W1352" s="3">
        <f>IF(ISNUMBER(AVERAGE('20250815_ETF_Options_Exhibits'!W1348:W1352)),AVERAGE('20250815_ETF_Options_Exhibits'!W1348:W1352),"")</f>
        <v/>
      </c>
      <c r="X1352" s="3">
        <f>IF(ISNUMBER(AVERAGE('20250815_ETF_Options_Exhibits'!X1348:X1352)),AVERAGE('20250815_ETF_Options_Exhibits'!X1348:X1352),"")</f>
        <v/>
      </c>
      <c r="Y1352" s="3">
        <f>IF(ISNUMBER(AVERAGE('20250815_ETF_Options_Exhibits'!Y1348:Y1352)),AVERAGE('20250815_ETF_Options_Exhibits'!Y1348:Y1352),"")</f>
        <v/>
      </c>
      <c r="Z1352" s="3">
        <f>IF(ISNUMBER(AVERAGE('20250815_ETF_Options_Exhibits'!Z1348:Z1352)),AVERAGE('20250815_ETF_Options_Exhibits'!Z1348:Z1352),"")</f>
        <v/>
      </c>
      <c r="AA1352" s="3">
        <f>IF(ISNUMBER(AVERAGE('20250815_ETF_Options_Exhibits'!AA1348:AA1352)),AVERAGE('20250815_ETF_Options_Exhibits'!AA1348:AA1352),"")</f>
        <v/>
      </c>
    </row>
    <row r="1353">
      <c r="A1353" s="1" t="n">
        <v>43965</v>
      </c>
      <c r="B1353" s="3">
        <f>IF(ISNUMBER(AVERAGE('20250815_ETF_Options_Exhibits'!B1349:B1353)),AVERAGE('20250815_ETF_Options_Exhibits'!B1349:B1353),"")</f>
        <v/>
      </c>
      <c r="C1353" s="3">
        <f>IF(ISNUMBER(AVERAGE('20250815_ETF_Options_Exhibits'!C1349:C1353)),AVERAGE('20250815_ETF_Options_Exhibits'!C1349:C1353),"")</f>
        <v/>
      </c>
      <c r="D1353" s="3">
        <f>IF(ISNUMBER(AVERAGE('20250815_ETF_Options_Exhibits'!D1349:D1353)),AVERAGE('20250815_ETF_Options_Exhibits'!D1349:D1353),"")</f>
        <v/>
      </c>
      <c r="E1353" s="3">
        <f>IF(ISNUMBER(AVERAGE('20250815_ETF_Options_Exhibits'!E1349:E1353)),AVERAGE('20250815_ETF_Options_Exhibits'!E1349:E1353),"")</f>
        <v/>
      </c>
      <c r="F1353" s="3">
        <f>IF(ISNUMBER(AVERAGE('20250815_ETF_Options_Exhibits'!F1349:F1353)),AVERAGE('20250815_ETF_Options_Exhibits'!F1349:F1353),"")</f>
        <v/>
      </c>
      <c r="G1353" s="3">
        <f>IF(ISNUMBER(AVERAGE('20250815_ETF_Options_Exhibits'!G1349:G1353)),AVERAGE('20250815_ETF_Options_Exhibits'!G1349:G1353),"")</f>
        <v/>
      </c>
      <c r="H1353" s="3">
        <f>IF(ISNUMBER(AVERAGE('20250815_ETF_Options_Exhibits'!H1349:H1353)),AVERAGE('20250815_ETF_Options_Exhibits'!H1349:H1353),"")</f>
        <v/>
      </c>
      <c r="I1353" s="3">
        <f>IF(ISNUMBER(AVERAGE('20250815_ETF_Options_Exhibits'!I1349:I1353)),AVERAGE('20250815_ETF_Options_Exhibits'!I1349:I1353),"")</f>
        <v/>
      </c>
      <c r="J1353" s="3">
        <f>IF(ISNUMBER(AVERAGE('20250815_ETF_Options_Exhibits'!J1349:J1353)),AVERAGE('20250815_ETF_Options_Exhibits'!J1349:J1353),"")</f>
        <v/>
      </c>
      <c r="K1353" s="3">
        <f>IF(ISNUMBER(AVERAGE('20250815_ETF_Options_Exhibits'!K1349:K1353)),AVERAGE('20250815_ETF_Options_Exhibits'!K1349:K1353),"")</f>
        <v/>
      </c>
      <c r="L1353" s="3">
        <f>IF(ISNUMBER(AVERAGE('20250815_ETF_Options_Exhibits'!L1349:L1353)),AVERAGE('20250815_ETF_Options_Exhibits'!L1349:L1353),"")</f>
        <v/>
      </c>
      <c r="M1353" s="3">
        <f>IF(ISNUMBER(AVERAGE('20250815_ETF_Options_Exhibits'!M1349:M1353)),AVERAGE('20250815_ETF_Options_Exhibits'!M1349:M1353),"")</f>
        <v/>
      </c>
      <c r="N1353" s="3">
        <f>IF(ISNUMBER(AVERAGE('20250815_ETF_Options_Exhibits'!N1349:N1353)),AVERAGE('20250815_ETF_Options_Exhibits'!N1349:N1353),"")</f>
        <v/>
      </c>
      <c r="O1353" s="3">
        <f>IF(ISNUMBER(AVERAGE('20250815_ETF_Options_Exhibits'!O1349:O1353)),AVERAGE('20250815_ETF_Options_Exhibits'!O1349:O1353),"")</f>
        <v/>
      </c>
      <c r="P1353" s="3">
        <f>IF(ISNUMBER(AVERAGE('20250815_ETF_Options_Exhibits'!P1349:P1353)),AVERAGE('20250815_ETF_Options_Exhibits'!P1349:P1353),"")</f>
        <v/>
      </c>
      <c r="Q1353" s="3">
        <f>IF(ISNUMBER(AVERAGE('20250815_ETF_Options_Exhibits'!Q1349:Q1353)),AVERAGE('20250815_ETF_Options_Exhibits'!Q1349:Q1353),"")</f>
        <v/>
      </c>
      <c r="R1353" s="3">
        <f>IF(ISNUMBER(AVERAGE('20250815_ETF_Options_Exhibits'!R1349:R1353)),AVERAGE('20250815_ETF_Options_Exhibits'!R1349:R1353),"")</f>
        <v/>
      </c>
      <c r="S1353" s="3">
        <f>IF(ISNUMBER(AVERAGE('20250815_ETF_Options_Exhibits'!S1349:S1353)),AVERAGE('20250815_ETF_Options_Exhibits'!S1349:S1353),"")</f>
        <v/>
      </c>
      <c r="T1353" s="3">
        <f>IF(ISNUMBER(AVERAGE('20250815_ETF_Options_Exhibits'!T1349:T1353)),AVERAGE('20250815_ETF_Options_Exhibits'!T1349:T1353),"")</f>
        <v/>
      </c>
      <c r="U1353" s="3">
        <f>IF(ISNUMBER(AVERAGE('20250815_ETF_Options_Exhibits'!U1349:U1353)),AVERAGE('20250815_ETF_Options_Exhibits'!U1349:U1353),"")</f>
        <v/>
      </c>
      <c r="V1353" s="3">
        <f>IF(ISNUMBER(AVERAGE('20250815_ETF_Options_Exhibits'!V1349:V1353)),AVERAGE('20250815_ETF_Options_Exhibits'!V1349:V1353),"")</f>
        <v/>
      </c>
      <c r="W1353" s="3">
        <f>IF(ISNUMBER(AVERAGE('20250815_ETF_Options_Exhibits'!W1349:W1353)),AVERAGE('20250815_ETF_Options_Exhibits'!W1349:W1353),"")</f>
        <v/>
      </c>
      <c r="X1353" s="3">
        <f>IF(ISNUMBER(AVERAGE('20250815_ETF_Options_Exhibits'!X1349:X1353)),AVERAGE('20250815_ETF_Options_Exhibits'!X1349:X1353),"")</f>
        <v/>
      </c>
      <c r="Y1353" s="3">
        <f>IF(ISNUMBER(AVERAGE('20250815_ETF_Options_Exhibits'!Y1349:Y1353)),AVERAGE('20250815_ETF_Options_Exhibits'!Y1349:Y1353),"")</f>
        <v/>
      </c>
      <c r="Z1353" s="3">
        <f>IF(ISNUMBER(AVERAGE('20250815_ETF_Options_Exhibits'!Z1349:Z1353)),AVERAGE('20250815_ETF_Options_Exhibits'!Z1349:Z1353),"")</f>
        <v/>
      </c>
      <c r="AA1353" s="3">
        <f>IF(ISNUMBER(AVERAGE('20250815_ETF_Options_Exhibits'!AA1349:AA1353)),AVERAGE('20250815_ETF_Options_Exhibits'!AA1349:AA1353),"")</f>
        <v/>
      </c>
    </row>
    <row r="1354">
      <c r="A1354" s="1" t="n">
        <v>43966</v>
      </c>
      <c r="B1354" s="3">
        <f>IF(ISNUMBER(AVERAGE('20250815_ETF_Options_Exhibits'!B1350:B1354)),AVERAGE('20250815_ETF_Options_Exhibits'!B1350:B1354),"")</f>
        <v/>
      </c>
      <c r="C1354" s="3">
        <f>IF(ISNUMBER(AVERAGE('20250815_ETF_Options_Exhibits'!C1350:C1354)),AVERAGE('20250815_ETF_Options_Exhibits'!C1350:C1354),"")</f>
        <v/>
      </c>
      <c r="D1354" s="3">
        <f>IF(ISNUMBER(AVERAGE('20250815_ETF_Options_Exhibits'!D1350:D1354)),AVERAGE('20250815_ETF_Options_Exhibits'!D1350:D1354),"")</f>
        <v/>
      </c>
      <c r="E1354" s="3">
        <f>IF(ISNUMBER(AVERAGE('20250815_ETF_Options_Exhibits'!E1350:E1354)),AVERAGE('20250815_ETF_Options_Exhibits'!E1350:E1354),"")</f>
        <v/>
      </c>
      <c r="F1354" s="3">
        <f>IF(ISNUMBER(AVERAGE('20250815_ETF_Options_Exhibits'!F1350:F1354)),AVERAGE('20250815_ETF_Options_Exhibits'!F1350:F1354),"")</f>
        <v/>
      </c>
      <c r="G1354" s="3">
        <f>IF(ISNUMBER(AVERAGE('20250815_ETF_Options_Exhibits'!G1350:G1354)),AVERAGE('20250815_ETF_Options_Exhibits'!G1350:G1354),"")</f>
        <v/>
      </c>
      <c r="H1354" s="3">
        <f>IF(ISNUMBER(AVERAGE('20250815_ETF_Options_Exhibits'!H1350:H1354)),AVERAGE('20250815_ETF_Options_Exhibits'!H1350:H1354),"")</f>
        <v/>
      </c>
      <c r="I1354" s="3">
        <f>IF(ISNUMBER(AVERAGE('20250815_ETF_Options_Exhibits'!I1350:I1354)),AVERAGE('20250815_ETF_Options_Exhibits'!I1350:I1354),"")</f>
        <v/>
      </c>
      <c r="J1354" s="3">
        <f>IF(ISNUMBER(AVERAGE('20250815_ETF_Options_Exhibits'!J1350:J1354)),AVERAGE('20250815_ETF_Options_Exhibits'!J1350:J1354),"")</f>
        <v/>
      </c>
      <c r="K1354" s="3">
        <f>IF(ISNUMBER(AVERAGE('20250815_ETF_Options_Exhibits'!K1350:K1354)),AVERAGE('20250815_ETF_Options_Exhibits'!K1350:K1354),"")</f>
        <v/>
      </c>
      <c r="L1354" s="3">
        <f>IF(ISNUMBER(AVERAGE('20250815_ETF_Options_Exhibits'!L1350:L1354)),AVERAGE('20250815_ETF_Options_Exhibits'!L1350:L1354),"")</f>
        <v/>
      </c>
      <c r="M1354" s="3">
        <f>IF(ISNUMBER(AVERAGE('20250815_ETF_Options_Exhibits'!M1350:M1354)),AVERAGE('20250815_ETF_Options_Exhibits'!M1350:M1354),"")</f>
        <v/>
      </c>
      <c r="N1354" s="3">
        <f>IF(ISNUMBER(AVERAGE('20250815_ETF_Options_Exhibits'!N1350:N1354)),AVERAGE('20250815_ETF_Options_Exhibits'!N1350:N1354),"")</f>
        <v/>
      </c>
      <c r="O1354" s="3">
        <f>IF(ISNUMBER(AVERAGE('20250815_ETF_Options_Exhibits'!O1350:O1354)),AVERAGE('20250815_ETF_Options_Exhibits'!O1350:O1354),"")</f>
        <v/>
      </c>
      <c r="P1354" s="3">
        <f>IF(ISNUMBER(AVERAGE('20250815_ETF_Options_Exhibits'!P1350:P1354)),AVERAGE('20250815_ETF_Options_Exhibits'!P1350:P1354),"")</f>
        <v/>
      </c>
      <c r="Q1354" s="3">
        <f>IF(ISNUMBER(AVERAGE('20250815_ETF_Options_Exhibits'!Q1350:Q1354)),AVERAGE('20250815_ETF_Options_Exhibits'!Q1350:Q1354),"")</f>
        <v/>
      </c>
      <c r="R1354" s="3">
        <f>IF(ISNUMBER(AVERAGE('20250815_ETF_Options_Exhibits'!R1350:R1354)),AVERAGE('20250815_ETF_Options_Exhibits'!R1350:R1354),"")</f>
        <v/>
      </c>
      <c r="S1354" s="3">
        <f>IF(ISNUMBER(AVERAGE('20250815_ETF_Options_Exhibits'!S1350:S1354)),AVERAGE('20250815_ETF_Options_Exhibits'!S1350:S1354),"")</f>
        <v/>
      </c>
      <c r="T1354" s="3">
        <f>IF(ISNUMBER(AVERAGE('20250815_ETF_Options_Exhibits'!T1350:T1354)),AVERAGE('20250815_ETF_Options_Exhibits'!T1350:T1354),"")</f>
        <v/>
      </c>
      <c r="U1354" s="3">
        <f>IF(ISNUMBER(AVERAGE('20250815_ETF_Options_Exhibits'!U1350:U1354)),AVERAGE('20250815_ETF_Options_Exhibits'!U1350:U1354),"")</f>
        <v/>
      </c>
      <c r="V1354" s="3">
        <f>IF(ISNUMBER(AVERAGE('20250815_ETF_Options_Exhibits'!V1350:V1354)),AVERAGE('20250815_ETF_Options_Exhibits'!V1350:V1354),"")</f>
        <v/>
      </c>
      <c r="W1354" s="3">
        <f>IF(ISNUMBER(AVERAGE('20250815_ETF_Options_Exhibits'!W1350:W1354)),AVERAGE('20250815_ETF_Options_Exhibits'!W1350:W1354),"")</f>
        <v/>
      </c>
      <c r="X1354" s="3">
        <f>IF(ISNUMBER(AVERAGE('20250815_ETF_Options_Exhibits'!X1350:X1354)),AVERAGE('20250815_ETF_Options_Exhibits'!X1350:X1354),"")</f>
        <v/>
      </c>
      <c r="Y1354" s="3">
        <f>IF(ISNUMBER(AVERAGE('20250815_ETF_Options_Exhibits'!Y1350:Y1354)),AVERAGE('20250815_ETF_Options_Exhibits'!Y1350:Y1354),"")</f>
        <v/>
      </c>
      <c r="Z1354" s="3">
        <f>IF(ISNUMBER(AVERAGE('20250815_ETF_Options_Exhibits'!Z1350:Z1354)),AVERAGE('20250815_ETF_Options_Exhibits'!Z1350:Z1354),"")</f>
        <v/>
      </c>
      <c r="AA1354" s="3">
        <f>IF(ISNUMBER(AVERAGE('20250815_ETF_Options_Exhibits'!AA1350:AA1354)),AVERAGE('20250815_ETF_Options_Exhibits'!AA1350:AA1354),"")</f>
        <v/>
      </c>
    </row>
    <row r="1355">
      <c r="A1355" s="1" t="n">
        <v>43969</v>
      </c>
      <c r="B1355" s="3">
        <f>IF(ISNUMBER(AVERAGE('20250815_ETF_Options_Exhibits'!B1351:B1355)),AVERAGE('20250815_ETF_Options_Exhibits'!B1351:B1355),"")</f>
        <v/>
      </c>
      <c r="C1355" s="3">
        <f>IF(ISNUMBER(AVERAGE('20250815_ETF_Options_Exhibits'!C1351:C1355)),AVERAGE('20250815_ETF_Options_Exhibits'!C1351:C1355),"")</f>
        <v/>
      </c>
      <c r="D1355" s="3">
        <f>IF(ISNUMBER(AVERAGE('20250815_ETF_Options_Exhibits'!D1351:D1355)),AVERAGE('20250815_ETF_Options_Exhibits'!D1351:D1355),"")</f>
        <v/>
      </c>
      <c r="E1355" s="3">
        <f>IF(ISNUMBER(AVERAGE('20250815_ETF_Options_Exhibits'!E1351:E1355)),AVERAGE('20250815_ETF_Options_Exhibits'!E1351:E1355),"")</f>
        <v/>
      </c>
      <c r="F1355" s="3">
        <f>IF(ISNUMBER(AVERAGE('20250815_ETF_Options_Exhibits'!F1351:F1355)),AVERAGE('20250815_ETF_Options_Exhibits'!F1351:F1355),"")</f>
        <v/>
      </c>
      <c r="G1355" s="3">
        <f>IF(ISNUMBER(AVERAGE('20250815_ETF_Options_Exhibits'!G1351:G1355)),AVERAGE('20250815_ETF_Options_Exhibits'!G1351:G1355),"")</f>
        <v/>
      </c>
      <c r="H1355" s="3">
        <f>IF(ISNUMBER(AVERAGE('20250815_ETF_Options_Exhibits'!H1351:H1355)),AVERAGE('20250815_ETF_Options_Exhibits'!H1351:H1355),"")</f>
        <v/>
      </c>
      <c r="I1355" s="3">
        <f>IF(ISNUMBER(AVERAGE('20250815_ETF_Options_Exhibits'!I1351:I1355)),AVERAGE('20250815_ETF_Options_Exhibits'!I1351:I1355),"")</f>
        <v/>
      </c>
      <c r="J1355" s="3">
        <f>IF(ISNUMBER(AVERAGE('20250815_ETF_Options_Exhibits'!J1351:J1355)),AVERAGE('20250815_ETF_Options_Exhibits'!J1351:J1355),"")</f>
        <v/>
      </c>
      <c r="K1355" s="3">
        <f>IF(ISNUMBER(AVERAGE('20250815_ETF_Options_Exhibits'!K1351:K1355)),AVERAGE('20250815_ETF_Options_Exhibits'!K1351:K1355),"")</f>
        <v/>
      </c>
      <c r="L1355" s="3">
        <f>IF(ISNUMBER(AVERAGE('20250815_ETF_Options_Exhibits'!L1351:L1355)),AVERAGE('20250815_ETF_Options_Exhibits'!L1351:L1355),"")</f>
        <v/>
      </c>
      <c r="M1355" s="3">
        <f>IF(ISNUMBER(AVERAGE('20250815_ETF_Options_Exhibits'!M1351:M1355)),AVERAGE('20250815_ETF_Options_Exhibits'!M1351:M1355),"")</f>
        <v/>
      </c>
      <c r="N1355" s="3">
        <f>IF(ISNUMBER(AVERAGE('20250815_ETF_Options_Exhibits'!N1351:N1355)),AVERAGE('20250815_ETF_Options_Exhibits'!N1351:N1355),"")</f>
        <v/>
      </c>
      <c r="O1355" s="3">
        <f>IF(ISNUMBER(AVERAGE('20250815_ETF_Options_Exhibits'!O1351:O1355)),AVERAGE('20250815_ETF_Options_Exhibits'!O1351:O1355),"")</f>
        <v/>
      </c>
      <c r="P1355" s="3">
        <f>IF(ISNUMBER(AVERAGE('20250815_ETF_Options_Exhibits'!P1351:P1355)),AVERAGE('20250815_ETF_Options_Exhibits'!P1351:P1355),"")</f>
        <v/>
      </c>
      <c r="Q1355" s="3">
        <f>IF(ISNUMBER(AVERAGE('20250815_ETF_Options_Exhibits'!Q1351:Q1355)),AVERAGE('20250815_ETF_Options_Exhibits'!Q1351:Q1355),"")</f>
        <v/>
      </c>
      <c r="R1355" s="3">
        <f>IF(ISNUMBER(AVERAGE('20250815_ETF_Options_Exhibits'!R1351:R1355)),AVERAGE('20250815_ETF_Options_Exhibits'!R1351:R1355),"")</f>
        <v/>
      </c>
      <c r="S1355" s="3">
        <f>IF(ISNUMBER(AVERAGE('20250815_ETF_Options_Exhibits'!S1351:S1355)),AVERAGE('20250815_ETF_Options_Exhibits'!S1351:S1355),"")</f>
        <v/>
      </c>
      <c r="T1355" s="3">
        <f>IF(ISNUMBER(AVERAGE('20250815_ETF_Options_Exhibits'!T1351:T1355)),AVERAGE('20250815_ETF_Options_Exhibits'!T1351:T1355),"")</f>
        <v/>
      </c>
      <c r="U1355" s="3">
        <f>IF(ISNUMBER(AVERAGE('20250815_ETF_Options_Exhibits'!U1351:U1355)),AVERAGE('20250815_ETF_Options_Exhibits'!U1351:U1355),"")</f>
        <v/>
      </c>
      <c r="V1355" s="3">
        <f>IF(ISNUMBER(AVERAGE('20250815_ETF_Options_Exhibits'!V1351:V1355)),AVERAGE('20250815_ETF_Options_Exhibits'!V1351:V1355),"")</f>
        <v/>
      </c>
      <c r="W1355" s="3">
        <f>IF(ISNUMBER(AVERAGE('20250815_ETF_Options_Exhibits'!W1351:W1355)),AVERAGE('20250815_ETF_Options_Exhibits'!W1351:W1355),"")</f>
        <v/>
      </c>
      <c r="X1355" s="3">
        <f>IF(ISNUMBER(AVERAGE('20250815_ETF_Options_Exhibits'!X1351:X1355)),AVERAGE('20250815_ETF_Options_Exhibits'!X1351:X1355),"")</f>
        <v/>
      </c>
      <c r="Y1355" s="3">
        <f>IF(ISNUMBER(AVERAGE('20250815_ETF_Options_Exhibits'!Y1351:Y1355)),AVERAGE('20250815_ETF_Options_Exhibits'!Y1351:Y1355),"")</f>
        <v/>
      </c>
      <c r="Z1355" s="3">
        <f>IF(ISNUMBER(AVERAGE('20250815_ETF_Options_Exhibits'!Z1351:Z1355)),AVERAGE('20250815_ETF_Options_Exhibits'!Z1351:Z1355),"")</f>
        <v/>
      </c>
      <c r="AA1355" s="3">
        <f>IF(ISNUMBER(AVERAGE('20250815_ETF_Options_Exhibits'!AA1351:AA1355)),AVERAGE('20250815_ETF_Options_Exhibits'!AA1351:AA1355),"")</f>
        <v/>
      </c>
    </row>
    <row r="1356">
      <c r="A1356" s="1" t="n">
        <v>43970</v>
      </c>
      <c r="B1356" s="3">
        <f>IF(ISNUMBER(AVERAGE('20250815_ETF_Options_Exhibits'!B1352:B1356)),AVERAGE('20250815_ETF_Options_Exhibits'!B1352:B1356),"")</f>
        <v/>
      </c>
      <c r="C1356" s="3">
        <f>IF(ISNUMBER(AVERAGE('20250815_ETF_Options_Exhibits'!C1352:C1356)),AVERAGE('20250815_ETF_Options_Exhibits'!C1352:C1356),"")</f>
        <v/>
      </c>
      <c r="D1356" s="3">
        <f>IF(ISNUMBER(AVERAGE('20250815_ETF_Options_Exhibits'!D1352:D1356)),AVERAGE('20250815_ETF_Options_Exhibits'!D1352:D1356),"")</f>
        <v/>
      </c>
      <c r="E1356" s="3">
        <f>IF(ISNUMBER(AVERAGE('20250815_ETF_Options_Exhibits'!E1352:E1356)),AVERAGE('20250815_ETF_Options_Exhibits'!E1352:E1356),"")</f>
        <v/>
      </c>
      <c r="F1356" s="3">
        <f>IF(ISNUMBER(AVERAGE('20250815_ETF_Options_Exhibits'!F1352:F1356)),AVERAGE('20250815_ETF_Options_Exhibits'!F1352:F1356),"")</f>
        <v/>
      </c>
      <c r="G1356" s="3">
        <f>IF(ISNUMBER(AVERAGE('20250815_ETF_Options_Exhibits'!G1352:G1356)),AVERAGE('20250815_ETF_Options_Exhibits'!G1352:G1356),"")</f>
        <v/>
      </c>
      <c r="H1356" s="3">
        <f>IF(ISNUMBER(AVERAGE('20250815_ETF_Options_Exhibits'!H1352:H1356)),AVERAGE('20250815_ETF_Options_Exhibits'!H1352:H1356),"")</f>
        <v/>
      </c>
      <c r="I1356" s="3">
        <f>IF(ISNUMBER(AVERAGE('20250815_ETF_Options_Exhibits'!I1352:I1356)),AVERAGE('20250815_ETF_Options_Exhibits'!I1352:I1356),"")</f>
        <v/>
      </c>
      <c r="J1356" s="3">
        <f>IF(ISNUMBER(AVERAGE('20250815_ETF_Options_Exhibits'!J1352:J1356)),AVERAGE('20250815_ETF_Options_Exhibits'!J1352:J1356),"")</f>
        <v/>
      </c>
      <c r="K1356" s="3">
        <f>IF(ISNUMBER(AVERAGE('20250815_ETF_Options_Exhibits'!K1352:K1356)),AVERAGE('20250815_ETF_Options_Exhibits'!K1352:K1356),"")</f>
        <v/>
      </c>
      <c r="L1356" s="3">
        <f>IF(ISNUMBER(AVERAGE('20250815_ETF_Options_Exhibits'!L1352:L1356)),AVERAGE('20250815_ETF_Options_Exhibits'!L1352:L1356),"")</f>
        <v/>
      </c>
      <c r="M1356" s="3">
        <f>IF(ISNUMBER(AVERAGE('20250815_ETF_Options_Exhibits'!M1352:M1356)),AVERAGE('20250815_ETF_Options_Exhibits'!M1352:M1356),"")</f>
        <v/>
      </c>
      <c r="N1356" s="3">
        <f>IF(ISNUMBER(AVERAGE('20250815_ETF_Options_Exhibits'!N1352:N1356)),AVERAGE('20250815_ETF_Options_Exhibits'!N1352:N1356),"")</f>
        <v/>
      </c>
      <c r="O1356" s="3">
        <f>IF(ISNUMBER(AVERAGE('20250815_ETF_Options_Exhibits'!O1352:O1356)),AVERAGE('20250815_ETF_Options_Exhibits'!O1352:O1356),"")</f>
        <v/>
      </c>
      <c r="P1356" s="3">
        <f>IF(ISNUMBER(AVERAGE('20250815_ETF_Options_Exhibits'!P1352:P1356)),AVERAGE('20250815_ETF_Options_Exhibits'!P1352:P1356),"")</f>
        <v/>
      </c>
      <c r="Q1356" s="3">
        <f>IF(ISNUMBER(AVERAGE('20250815_ETF_Options_Exhibits'!Q1352:Q1356)),AVERAGE('20250815_ETF_Options_Exhibits'!Q1352:Q1356),"")</f>
        <v/>
      </c>
      <c r="R1356" s="3">
        <f>IF(ISNUMBER(AVERAGE('20250815_ETF_Options_Exhibits'!R1352:R1356)),AVERAGE('20250815_ETF_Options_Exhibits'!R1352:R1356),"")</f>
        <v/>
      </c>
      <c r="S1356" s="3">
        <f>IF(ISNUMBER(AVERAGE('20250815_ETF_Options_Exhibits'!S1352:S1356)),AVERAGE('20250815_ETF_Options_Exhibits'!S1352:S1356),"")</f>
        <v/>
      </c>
      <c r="T1356" s="3">
        <f>IF(ISNUMBER(AVERAGE('20250815_ETF_Options_Exhibits'!T1352:T1356)),AVERAGE('20250815_ETF_Options_Exhibits'!T1352:T1356),"")</f>
        <v/>
      </c>
      <c r="U1356" s="3">
        <f>IF(ISNUMBER(AVERAGE('20250815_ETF_Options_Exhibits'!U1352:U1356)),AVERAGE('20250815_ETF_Options_Exhibits'!U1352:U1356),"")</f>
        <v/>
      </c>
      <c r="V1356" s="3">
        <f>IF(ISNUMBER(AVERAGE('20250815_ETF_Options_Exhibits'!V1352:V1356)),AVERAGE('20250815_ETF_Options_Exhibits'!V1352:V1356),"")</f>
        <v/>
      </c>
      <c r="W1356" s="3">
        <f>IF(ISNUMBER(AVERAGE('20250815_ETF_Options_Exhibits'!W1352:W1356)),AVERAGE('20250815_ETF_Options_Exhibits'!W1352:W1356),"")</f>
        <v/>
      </c>
      <c r="X1356" s="3">
        <f>IF(ISNUMBER(AVERAGE('20250815_ETF_Options_Exhibits'!X1352:X1356)),AVERAGE('20250815_ETF_Options_Exhibits'!X1352:X1356),"")</f>
        <v/>
      </c>
      <c r="Y1356" s="3">
        <f>IF(ISNUMBER(AVERAGE('20250815_ETF_Options_Exhibits'!Y1352:Y1356)),AVERAGE('20250815_ETF_Options_Exhibits'!Y1352:Y1356),"")</f>
        <v/>
      </c>
      <c r="Z1356" s="3">
        <f>IF(ISNUMBER(AVERAGE('20250815_ETF_Options_Exhibits'!Z1352:Z1356)),AVERAGE('20250815_ETF_Options_Exhibits'!Z1352:Z1356),"")</f>
        <v/>
      </c>
      <c r="AA1356" s="3">
        <f>IF(ISNUMBER(AVERAGE('20250815_ETF_Options_Exhibits'!AA1352:AA1356)),AVERAGE('20250815_ETF_Options_Exhibits'!AA1352:AA1356),"")</f>
        <v/>
      </c>
    </row>
    <row r="1357">
      <c r="A1357" s="1" t="n">
        <v>43971</v>
      </c>
      <c r="B1357" s="3">
        <f>IF(ISNUMBER(AVERAGE('20250815_ETF_Options_Exhibits'!B1353:B1357)),AVERAGE('20250815_ETF_Options_Exhibits'!B1353:B1357),"")</f>
        <v/>
      </c>
      <c r="C1357" s="3">
        <f>IF(ISNUMBER(AVERAGE('20250815_ETF_Options_Exhibits'!C1353:C1357)),AVERAGE('20250815_ETF_Options_Exhibits'!C1353:C1357),"")</f>
        <v/>
      </c>
      <c r="D1357" s="3">
        <f>IF(ISNUMBER(AVERAGE('20250815_ETF_Options_Exhibits'!D1353:D1357)),AVERAGE('20250815_ETF_Options_Exhibits'!D1353:D1357),"")</f>
        <v/>
      </c>
      <c r="E1357" s="3">
        <f>IF(ISNUMBER(AVERAGE('20250815_ETF_Options_Exhibits'!E1353:E1357)),AVERAGE('20250815_ETF_Options_Exhibits'!E1353:E1357),"")</f>
        <v/>
      </c>
      <c r="F1357" s="3">
        <f>IF(ISNUMBER(AVERAGE('20250815_ETF_Options_Exhibits'!F1353:F1357)),AVERAGE('20250815_ETF_Options_Exhibits'!F1353:F1357),"")</f>
        <v/>
      </c>
      <c r="G1357" s="3">
        <f>IF(ISNUMBER(AVERAGE('20250815_ETF_Options_Exhibits'!G1353:G1357)),AVERAGE('20250815_ETF_Options_Exhibits'!G1353:G1357),"")</f>
        <v/>
      </c>
      <c r="H1357" s="3">
        <f>IF(ISNUMBER(AVERAGE('20250815_ETF_Options_Exhibits'!H1353:H1357)),AVERAGE('20250815_ETF_Options_Exhibits'!H1353:H1357),"")</f>
        <v/>
      </c>
      <c r="I1357" s="3">
        <f>IF(ISNUMBER(AVERAGE('20250815_ETF_Options_Exhibits'!I1353:I1357)),AVERAGE('20250815_ETF_Options_Exhibits'!I1353:I1357),"")</f>
        <v/>
      </c>
      <c r="J1357" s="3">
        <f>IF(ISNUMBER(AVERAGE('20250815_ETF_Options_Exhibits'!J1353:J1357)),AVERAGE('20250815_ETF_Options_Exhibits'!J1353:J1357),"")</f>
        <v/>
      </c>
      <c r="K1357" s="3">
        <f>IF(ISNUMBER(AVERAGE('20250815_ETF_Options_Exhibits'!K1353:K1357)),AVERAGE('20250815_ETF_Options_Exhibits'!K1353:K1357),"")</f>
        <v/>
      </c>
      <c r="L1357" s="3">
        <f>IF(ISNUMBER(AVERAGE('20250815_ETF_Options_Exhibits'!L1353:L1357)),AVERAGE('20250815_ETF_Options_Exhibits'!L1353:L1357),"")</f>
        <v/>
      </c>
      <c r="M1357" s="3">
        <f>IF(ISNUMBER(AVERAGE('20250815_ETF_Options_Exhibits'!M1353:M1357)),AVERAGE('20250815_ETF_Options_Exhibits'!M1353:M1357),"")</f>
        <v/>
      </c>
      <c r="N1357" s="3">
        <f>IF(ISNUMBER(AVERAGE('20250815_ETF_Options_Exhibits'!N1353:N1357)),AVERAGE('20250815_ETF_Options_Exhibits'!N1353:N1357),"")</f>
        <v/>
      </c>
      <c r="O1357" s="3">
        <f>IF(ISNUMBER(AVERAGE('20250815_ETF_Options_Exhibits'!O1353:O1357)),AVERAGE('20250815_ETF_Options_Exhibits'!O1353:O1357),"")</f>
        <v/>
      </c>
      <c r="P1357" s="3">
        <f>IF(ISNUMBER(AVERAGE('20250815_ETF_Options_Exhibits'!P1353:P1357)),AVERAGE('20250815_ETF_Options_Exhibits'!P1353:P1357),"")</f>
        <v/>
      </c>
      <c r="Q1357" s="3">
        <f>IF(ISNUMBER(AVERAGE('20250815_ETF_Options_Exhibits'!Q1353:Q1357)),AVERAGE('20250815_ETF_Options_Exhibits'!Q1353:Q1357),"")</f>
        <v/>
      </c>
      <c r="R1357" s="3">
        <f>IF(ISNUMBER(AVERAGE('20250815_ETF_Options_Exhibits'!R1353:R1357)),AVERAGE('20250815_ETF_Options_Exhibits'!R1353:R1357),"")</f>
        <v/>
      </c>
      <c r="S1357" s="3">
        <f>IF(ISNUMBER(AVERAGE('20250815_ETF_Options_Exhibits'!S1353:S1357)),AVERAGE('20250815_ETF_Options_Exhibits'!S1353:S1357),"")</f>
        <v/>
      </c>
      <c r="T1357" s="3">
        <f>IF(ISNUMBER(AVERAGE('20250815_ETF_Options_Exhibits'!T1353:T1357)),AVERAGE('20250815_ETF_Options_Exhibits'!T1353:T1357),"")</f>
        <v/>
      </c>
      <c r="U1357" s="3">
        <f>IF(ISNUMBER(AVERAGE('20250815_ETF_Options_Exhibits'!U1353:U1357)),AVERAGE('20250815_ETF_Options_Exhibits'!U1353:U1357),"")</f>
        <v/>
      </c>
      <c r="V1357" s="3">
        <f>IF(ISNUMBER(AVERAGE('20250815_ETF_Options_Exhibits'!V1353:V1357)),AVERAGE('20250815_ETF_Options_Exhibits'!V1353:V1357),"")</f>
        <v/>
      </c>
      <c r="W1357" s="3">
        <f>IF(ISNUMBER(AVERAGE('20250815_ETF_Options_Exhibits'!W1353:W1357)),AVERAGE('20250815_ETF_Options_Exhibits'!W1353:W1357),"")</f>
        <v/>
      </c>
      <c r="X1357" s="3">
        <f>IF(ISNUMBER(AVERAGE('20250815_ETF_Options_Exhibits'!X1353:X1357)),AVERAGE('20250815_ETF_Options_Exhibits'!X1353:X1357),"")</f>
        <v/>
      </c>
      <c r="Y1357" s="3">
        <f>IF(ISNUMBER(AVERAGE('20250815_ETF_Options_Exhibits'!Y1353:Y1357)),AVERAGE('20250815_ETF_Options_Exhibits'!Y1353:Y1357),"")</f>
        <v/>
      </c>
      <c r="Z1357" s="3">
        <f>IF(ISNUMBER(AVERAGE('20250815_ETF_Options_Exhibits'!Z1353:Z1357)),AVERAGE('20250815_ETF_Options_Exhibits'!Z1353:Z1357),"")</f>
        <v/>
      </c>
      <c r="AA1357" s="3">
        <f>IF(ISNUMBER(AVERAGE('20250815_ETF_Options_Exhibits'!AA1353:AA1357)),AVERAGE('20250815_ETF_Options_Exhibits'!AA1353:AA1357),"")</f>
        <v/>
      </c>
    </row>
    <row r="1358">
      <c r="A1358" s="1" t="n">
        <v>43972</v>
      </c>
      <c r="B1358" s="3">
        <f>IF(ISNUMBER(AVERAGE('20250815_ETF_Options_Exhibits'!B1354:B1358)),AVERAGE('20250815_ETF_Options_Exhibits'!B1354:B1358),"")</f>
        <v/>
      </c>
      <c r="C1358" s="3">
        <f>IF(ISNUMBER(AVERAGE('20250815_ETF_Options_Exhibits'!C1354:C1358)),AVERAGE('20250815_ETF_Options_Exhibits'!C1354:C1358),"")</f>
        <v/>
      </c>
      <c r="D1358" s="3">
        <f>IF(ISNUMBER(AVERAGE('20250815_ETF_Options_Exhibits'!D1354:D1358)),AVERAGE('20250815_ETF_Options_Exhibits'!D1354:D1358),"")</f>
        <v/>
      </c>
      <c r="E1358" s="3">
        <f>IF(ISNUMBER(AVERAGE('20250815_ETF_Options_Exhibits'!E1354:E1358)),AVERAGE('20250815_ETF_Options_Exhibits'!E1354:E1358),"")</f>
        <v/>
      </c>
      <c r="F1358" s="3">
        <f>IF(ISNUMBER(AVERAGE('20250815_ETF_Options_Exhibits'!F1354:F1358)),AVERAGE('20250815_ETF_Options_Exhibits'!F1354:F1358),"")</f>
        <v/>
      </c>
      <c r="G1358" s="3">
        <f>IF(ISNUMBER(AVERAGE('20250815_ETF_Options_Exhibits'!G1354:G1358)),AVERAGE('20250815_ETF_Options_Exhibits'!G1354:G1358),"")</f>
        <v/>
      </c>
      <c r="H1358" s="3">
        <f>IF(ISNUMBER(AVERAGE('20250815_ETF_Options_Exhibits'!H1354:H1358)),AVERAGE('20250815_ETF_Options_Exhibits'!H1354:H1358),"")</f>
        <v/>
      </c>
      <c r="I1358" s="3">
        <f>IF(ISNUMBER(AVERAGE('20250815_ETF_Options_Exhibits'!I1354:I1358)),AVERAGE('20250815_ETF_Options_Exhibits'!I1354:I1358),"")</f>
        <v/>
      </c>
      <c r="J1358" s="3">
        <f>IF(ISNUMBER(AVERAGE('20250815_ETF_Options_Exhibits'!J1354:J1358)),AVERAGE('20250815_ETF_Options_Exhibits'!J1354:J1358),"")</f>
        <v/>
      </c>
      <c r="K1358" s="3">
        <f>IF(ISNUMBER(AVERAGE('20250815_ETF_Options_Exhibits'!K1354:K1358)),AVERAGE('20250815_ETF_Options_Exhibits'!K1354:K1358),"")</f>
        <v/>
      </c>
      <c r="L1358" s="3">
        <f>IF(ISNUMBER(AVERAGE('20250815_ETF_Options_Exhibits'!L1354:L1358)),AVERAGE('20250815_ETF_Options_Exhibits'!L1354:L1358),"")</f>
        <v/>
      </c>
      <c r="M1358" s="3">
        <f>IF(ISNUMBER(AVERAGE('20250815_ETF_Options_Exhibits'!M1354:M1358)),AVERAGE('20250815_ETF_Options_Exhibits'!M1354:M1358),"")</f>
        <v/>
      </c>
      <c r="N1358" s="3">
        <f>IF(ISNUMBER(AVERAGE('20250815_ETF_Options_Exhibits'!N1354:N1358)),AVERAGE('20250815_ETF_Options_Exhibits'!N1354:N1358),"")</f>
        <v/>
      </c>
      <c r="O1358" s="3">
        <f>IF(ISNUMBER(AVERAGE('20250815_ETF_Options_Exhibits'!O1354:O1358)),AVERAGE('20250815_ETF_Options_Exhibits'!O1354:O1358),"")</f>
        <v/>
      </c>
      <c r="P1358" s="3">
        <f>IF(ISNUMBER(AVERAGE('20250815_ETF_Options_Exhibits'!P1354:P1358)),AVERAGE('20250815_ETF_Options_Exhibits'!P1354:P1358),"")</f>
        <v/>
      </c>
      <c r="Q1358" s="3">
        <f>IF(ISNUMBER(AVERAGE('20250815_ETF_Options_Exhibits'!Q1354:Q1358)),AVERAGE('20250815_ETF_Options_Exhibits'!Q1354:Q1358),"")</f>
        <v/>
      </c>
      <c r="R1358" s="3">
        <f>IF(ISNUMBER(AVERAGE('20250815_ETF_Options_Exhibits'!R1354:R1358)),AVERAGE('20250815_ETF_Options_Exhibits'!R1354:R1358),"")</f>
        <v/>
      </c>
      <c r="S1358" s="3">
        <f>IF(ISNUMBER(AVERAGE('20250815_ETF_Options_Exhibits'!S1354:S1358)),AVERAGE('20250815_ETF_Options_Exhibits'!S1354:S1358),"")</f>
        <v/>
      </c>
      <c r="T1358" s="3">
        <f>IF(ISNUMBER(AVERAGE('20250815_ETF_Options_Exhibits'!T1354:T1358)),AVERAGE('20250815_ETF_Options_Exhibits'!T1354:T1358),"")</f>
        <v/>
      </c>
      <c r="U1358" s="3">
        <f>IF(ISNUMBER(AVERAGE('20250815_ETF_Options_Exhibits'!U1354:U1358)),AVERAGE('20250815_ETF_Options_Exhibits'!U1354:U1358),"")</f>
        <v/>
      </c>
      <c r="V1358" s="3">
        <f>IF(ISNUMBER(AVERAGE('20250815_ETF_Options_Exhibits'!V1354:V1358)),AVERAGE('20250815_ETF_Options_Exhibits'!V1354:V1358),"")</f>
        <v/>
      </c>
      <c r="W1358" s="3">
        <f>IF(ISNUMBER(AVERAGE('20250815_ETF_Options_Exhibits'!W1354:W1358)),AVERAGE('20250815_ETF_Options_Exhibits'!W1354:W1358),"")</f>
        <v/>
      </c>
      <c r="X1358" s="3">
        <f>IF(ISNUMBER(AVERAGE('20250815_ETF_Options_Exhibits'!X1354:X1358)),AVERAGE('20250815_ETF_Options_Exhibits'!X1354:X1358),"")</f>
        <v/>
      </c>
      <c r="Y1358" s="3">
        <f>IF(ISNUMBER(AVERAGE('20250815_ETF_Options_Exhibits'!Y1354:Y1358)),AVERAGE('20250815_ETF_Options_Exhibits'!Y1354:Y1358),"")</f>
        <v/>
      </c>
      <c r="Z1358" s="3">
        <f>IF(ISNUMBER(AVERAGE('20250815_ETF_Options_Exhibits'!Z1354:Z1358)),AVERAGE('20250815_ETF_Options_Exhibits'!Z1354:Z1358),"")</f>
        <v/>
      </c>
      <c r="AA1358" s="3">
        <f>IF(ISNUMBER(AVERAGE('20250815_ETF_Options_Exhibits'!AA1354:AA1358)),AVERAGE('20250815_ETF_Options_Exhibits'!AA1354:AA1358),"")</f>
        <v/>
      </c>
    </row>
    <row r="1359">
      <c r="A1359" s="1" t="n">
        <v>43973</v>
      </c>
      <c r="B1359" s="3">
        <f>IF(ISNUMBER(AVERAGE('20250815_ETF_Options_Exhibits'!B1355:B1359)),AVERAGE('20250815_ETF_Options_Exhibits'!B1355:B1359),"")</f>
        <v/>
      </c>
      <c r="C1359" s="3">
        <f>IF(ISNUMBER(AVERAGE('20250815_ETF_Options_Exhibits'!C1355:C1359)),AVERAGE('20250815_ETF_Options_Exhibits'!C1355:C1359),"")</f>
        <v/>
      </c>
      <c r="D1359" s="3">
        <f>IF(ISNUMBER(AVERAGE('20250815_ETF_Options_Exhibits'!D1355:D1359)),AVERAGE('20250815_ETF_Options_Exhibits'!D1355:D1359),"")</f>
        <v/>
      </c>
      <c r="E1359" s="3">
        <f>IF(ISNUMBER(AVERAGE('20250815_ETF_Options_Exhibits'!E1355:E1359)),AVERAGE('20250815_ETF_Options_Exhibits'!E1355:E1359),"")</f>
        <v/>
      </c>
      <c r="F1359" s="3">
        <f>IF(ISNUMBER(AVERAGE('20250815_ETF_Options_Exhibits'!F1355:F1359)),AVERAGE('20250815_ETF_Options_Exhibits'!F1355:F1359),"")</f>
        <v/>
      </c>
      <c r="G1359" s="3">
        <f>IF(ISNUMBER(AVERAGE('20250815_ETF_Options_Exhibits'!G1355:G1359)),AVERAGE('20250815_ETF_Options_Exhibits'!G1355:G1359),"")</f>
        <v/>
      </c>
      <c r="H1359" s="3">
        <f>IF(ISNUMBER(AVERAGE('20250815_ETF_Options_Exhibits'!H1355:H1359)),AVERAGE('20250815_ETF_Options_Exhibits'!H1355:H1359),"")</f>
        <v/>
      </c>
      <c r="I1359" s="3">
        <f>IF(ISNUMBER(AVERAGE('20250815_ETF_Options_Exhibits'!I1355:I1359)),AVERAGE('20250815_ETF_Options_Exhibits'!I1355:I1359),"")</f>
        <v/>
      </c>
      <c r="J1359" s="3">
        <f>IF(ISNUMBER(AVERAGE('20250815_ETF_Options_Exhibits'!J1355:J1359)),AVERAGE('20250815_ETF_Options_Exhibits'!J1355:J1359),"")</f>
        <v/>
      </c>
      <c r="K1359" s="3">
        <f>IF(ISNUMBER(AVERAGE('20250815_ETF_Options_Exhibits'!K1355:K1359)),AVERAGE('20250815_ETF_Options_Exhibits'!K1355:K1359),"")</f>
        <v/>
      </c>
      <c r="L1359" s="3">
        <f>IF(ISNUMBER(AVERAGE('20250815_ETF_Options_Exhibits'!L1355:L1359)),AVERAGE('20250815_ETF_Options_Exhibits'!L1355:L1359),"")</f>
        <v/>
      </c>
      <c r="M1359" s="3">
        <f>IF(ISNUMBER(AVERAGE('20250815_ETF_Options_Exhibits'!M1355:M1359)),AVERAGE('20250815_ETF_Options_Exhibits'!M1355:M1359),"")</f>
        <v/>
      </c>
      <c r="N1359" s="3">
        <f>IF(ISNUMBER(AVERAGE('20250815_ETF_Options_Exhibits'!N1355:N1359)),AVERAGE('20250815_ETF_Options_Exhibits'!N1355:N1359),"")</f>
        <v/>
      </c>
      <c r="O1359" s="3">
        <f>IF(ISNUMBER(AVERAGE('20250815_ETF_Options_Exhibits'!O1355:O1359)),AVERAGE('20250815_ETF_Options_Exhibits'!O1355:O1359),"")</f>
        <v/>
      </c>
      <c r="P1359" s="3">
        <f>IF(ISNUMBER(AVERAGE('20250815_ETF_Options_Exhibits'!P1355:P1359)),AVERAGE('20250815_ETF_Options_Exhibits'!P1355:P1359),"")</f>
        <v/>
      </c>
      <c r="Q1359" s="3">
        <f>IF(ISNUMBER(AVERAGE('20250815_ETF_Options_Exhibits'!Q1355:Q1359)),AVERAGE('20250815_ETF_Options_Exhibits'!Q1355:Q1359),"")</f>
        <v/>
      </c>
      <c r="R1359" s="3">
        <f>IF(ISNUMBER(AVERAGE('20250815_ETF_Options_Exhibits'!R1355:R1359)),AVERAGE('20250815_ETF_Options_Exhibits'!R1355:R1359),"")</f>
        <v/>
      </c>
      <c r="S1359" s="3">
        <f>IF(ISNUMBER(AVERAGE('20250815_ETF_Options_Exhibits'!S1355:S1359)),AVERAGE('20250815_ETF_Options_Exhibits'!S1355:S1359),"")</f>
        <v/>
      </c>
      <c r="T1359" s="3">
        <f>IF(ISNUMBER(AVERAGE('20250815_ETF_Options_Exhibits'!T1355:T1359)),AVERAGE('20250815_ETF_Options_Exhibits'!T1355:T1359),"")</f>
        <v/>
      </c>
      <c r="U1359" s="3">
        <f>IF(ISNUMBER(AVERAGE('20250815_ETF_Options_Exhibits'!U1355:U1359)),AVERAGE('20250815_ETF_Options_Exhibits'!U1355:U1359),"")</f>
        <v/>
      </c>
      <c r="V1359" s="3">
        <f>IF(ISNUMBER(AVERAGE('20250815_ETF_Options_Exhibits'!V1355:V1359)),AVERAGE('20250815_ETF_Options_Exhibits'!V1355:V1359),"")</f>
        <v/>
      </c>
      <c r="W1359" s="3">
        <f>IF(ISNUMBER(AVERAGE('20250815_ETF_Options_Exhibits'!W1355:W1359)),AVERAGE('20250815_ETF_Options_Exhibits'!W1355:W1359),"")</f>
        <v/>
      </c>
      <c r="X1359" s="3">
        <f>IF(ISNUMBER(AVERAGE('20250815_ETF_Options_Exhibits'!X1355:X1359)),AVERAGE('20250815_ETF_Options_Exhibits'!X1355:X1359),"")</f>
        <v/>
      </c>
      <c r="Y1359" s="3">
        <f>IF(ISNUMBER(AVERAGE('20250815_ETF_Options_Exhibits'!Y1355:Y1359)),AVERAGE('20250815_ETF_Options_Exhibits'!Y1355:Y1359),"")</f>
        <v/>
      </c>
      <c r="Z1359" s="3">
        <f>IF(ISNUMBER(AVERAGE('20250815_ETF_Options_Exhibits'!Z1355:Z1359)),AVERAGE('20250815_ETF_Options_Exhibits'!Z1355:Z1359),"")</f>
        <v/>
      </c>
      <c r="AA1359" s="3">
        <f>IF(ISNUMBER(AVERAGE('20250815_ETF_Options_Exhibits'!AA1355:AA1359)),AVERAGE('20250815_ETF_Options_Exhibits'!AA1355:AA1359),"")</f>
        <v/>
      </c>
    </row>
    <row r="1360">
      <c r="A1360" s="1" t="n">
        <v>43977</v>
      </c>
      <c r="B1360" s="3">
        <f>IF(ISNUMBER(AVERAGE('20250815_ETF_Options_Exhibits'!B1356:B1360)),AVERAGE('20250815_ETF_Options_Exhibits'!B1356:B1360),"")</f>
        <v/>
      </c>
      <c r="C1360" s="3">
        <f>IF(ISNUMBER(AVERAGE('20250815_ETF_Options_Exhibits'!C1356:C1360)),AVERAGE('20250815_ETF_Options_Exhibits'!C1356:C1360),"")</f>
        <v/>
      </c>
      <c r="D1360" s="3">
        <f>IF(ISNUMBER(AVERAGE('20250815_ETF_Options_Exhibits'!D1356:D1360)),AVERAGE('20250815_ETF_Options_Exhibits'!D1356:D1360),"")</f>
        <v/>
      </c>
      <c r="E1360" s="3">
        <f>IF(ISNUMBER(AVERAGE('20250815_ETF_Options_Exhibits'!E1356:E1360)),AVERAGE('20250815_ETF_Options_Exhibits'!E1356:E1360),"")</f>
        <v/>
      </c>
      <c r="F1360" s="3">
        <f>IF(ISNUMBER(AVERAGE('20250815_ETF_Options_Exhibits'!F1356:F1360)),AVERAGE('20250815_ETF_Options_Exhibits'!F1356:F1360),"")</f>
        <v/>
      </c>
      <c r="G1360" s="3">
        <f>IF(ISNUMBER(AVERAGE('20250815_ETF_Options_Exhibits'!G1356:G1360)),AVERAGE('20250815_ETF_Options_Exhibits'!G1356:G1360),"")</f>
        <v/>
      </c>
      <c r="H1360" s="3">
        <f>IF(ISNUMBER(AVERAGE('20250815_ETF_Options_Exhibits'!H1356:H1360)),AVERAGE('20250815_ETF_Options_Exhibits'!H1356:H1360),"")</f>
        <v/>
      </c>
      <c r="I1360" s="3">
        <f>IF(ISNUMBER(AVERAGE('20250815_ETF_Options_Exhibits'!I1356:I1360)),AVERAGE('20250815_ETF_Options_Exhibits'!I1356:I1360),"")</f>
        <v/>
      </c>
      <c r="J1360" s="3">
        <f>IF(ISNUMBER(AVERAGE('20250815_ETF_Options_Exhibits'!J1356:J1360)),AVERAGE('20250815_ETF_Options_Exhibits'!J1356:J1360),"")</f>
        <v/>
      </c>
      <c r="K1360" s="3">
        <f>IF(ISNUMBER(AVERAGE('20250815_ETF_Options_Exhibits'!K1356:K1360)),AVERAGE('20250815_ETF_Options_Exhibits'!K1356:K1360),"")</f>
        <v/>
      </c>
      <c r="L1360" s="3">
        <f>IF(ISNUMBER(AVERAGE('20250815_ETF_Options_Exhibits'!L1356:L1360)),AVERAGE('20250815_ETF_Options_Exhibits'!L1356:L1360),"")</f>
        <v/>
      </c>
      <c r="M1360" s="3">
        <f>IF(ISNUMBER(AVERAGE('20250815_ETF_Options_Exhibits'!M1356:M1360)),AVERAGE('20250815_ETF_Options_Exhibits'!M1356:M1360),"")</f>
        <v/>
      </c>
      <c r="N1360" s="3">
        <f>IF(ISNUMBER(AVERAGE('20250815_ETF_Options_Exhibits'!N1356:N1360)),AVERAGE('20250815_ETF_Options_Exhibits'!N1356:N1360),"")</f>
        <v/>
      </c>
      <c r="O1360" s="3">
        <f>IF(ISNUMBER(AVERAGE('20250815_ETF_Options_Exhibits'!O1356:O1360)),AVERAGE('20250815_ETF_Options_Exhibits'!O1356:O1360),"")</f>
        <v/>
      </c>
      <c r="P1360" s="3">
        <f>IF(ISNUMBER(AVERAGE('20250815_ETF_Options_Exhibits'!P1356:P1360)),AVERAGE('20250815_ETF_Options_Exhibits'!P1356:P1360),"")</f>
        <v/>
      </c>
      <c r="Q1360" s="3">
        <f>IF(ISNUMBER(AVERAGE('20250815_ETF_Options_Exhibits'!Q1356:Q1360)),AVERAGE('20250815_ETF_Options_Exhibits'!Q1356:Q1360),"")</f>
        <v/>
      </c>
      <c r="R1360" s="3">
        <f>IF(ISNUMBER(AVERAGE('20250815_ETF_Options_Exhibits'!R1356:R1360)),AVERAGE('20250815_ETF_Options_Exhibits'!R1356:R1360),"")</f>
        <v/>
      </c>
      <c r="S1360" s="3">
        <f>IF(ISNUMBER(AVERAGE('20250815_ETF_Options_Exhibits'!S1356:S1360)),AVERAGE('20250815_ETF_Options_Exhibits'!S1356:S1360),"")</f>
        <v/>
      </c>
      <c r="T1360" s="3">
        <f>IF(ISNUMBER(AVERAGE('20250815_ETF_Options_Exhibits'!T1356:T1360)),AVERAGE('20250815_ETF_Options_Exhibits'!T1356:T1360),"")</f>
        <v/>
      </c>
      <c r="U1360" s="3">
        <f>IF(ISNUMBER(AVERAGE('20250815_ETF_Options_Exhibits'!U1356:U1360)),AVERAGE('20250815_ETF_Options_Exhibits'!U1356:U1360),"")</f>
        <v/>
      </c>
      <c r="V1360" s="3">
        <f>IF(ISNUMBER(AVERAGE('20250815_ETF_Options_Exhibits'!V1356:V1360)),AVERAGE('20250815_ETF_Options_Exhibits'!V1356:V1360),"")</f>
        <v/>
      </c>
      <c r="W1360" s="3">
        <f>IF(ISNUMBER(AVERAGE('20250815_ETF_Options_Exhibits'!W1356:W1360)),AVERAGE('20250815_ETF_Options_Exhibits'!W1356:W1360),"")</f>
        <v/>
      </c>
      <c r="X1360" s="3">
        <f>IF(ISNUMBER(AVERAGE('20250815_ETF_Options_Exhibits'!X1356:X1360)),AVERAGE('20250815_ETF_Options_Exhibits'!X1356:X1360),"")</f>
        <v/>
      </c>
      <c r="Y1360" s="3">
        <f>IF(ISNUMBER(AVERAGE('20250815_ETF_Options_Exhibits'!Y1356:Y1360)),AVERAGE('20250815_ETF_Options_Exhibits'!Y1356:Y1360),"")</f>
        <v/>
      </c>
      <c r="Z1360" s="3">
        <f>IF(ISNUMBER(AVERAGE('20250815_ETF_Options_Exhibits'!Z1356:Z1360)),AVERAGE('20250815_ETF_Options_Exhibits'!Z1356:Z1360),"")</f>
        <v/>
      </c>
      <c r="AA1360" s="3">
        <f>IF(ISNUMBER(AVERAGE('20250815_ETF_Options_Exhibits'!AA1356:AA1360)),AVERAGE('20250815_ETF_Options_Exhibits'!AA1356:AA1360),"")</f>
        <v/>
      </c>
    </row>
    <row r="1361">
      <c r="A1361" s="1" t="n">
        <v>43978</v>
      </c>
      <c r="B1361" s="3">
        <f>IF(ISNUMBER(AVERAGE('20250815_ETF_Options_Exhibits'!B1357:B1361)),AVERAGE('20250815_ETF_Options_Exhibits'!B1357:B1361),"")</f>
        <v/>
      </c>
      <c r="C1361" s="3">
        <f>IF(ISNUMBER(AVERAGE('20250815_ETF_Options_Exhibits'!C1357:C1361)),AVERAGE('20250815_ETF_Options_Exhibits'!C1357:C1361),"")</f>
        <v/>
      </c>
      <c r="D1361" s="3">
        <f>IF(ISNUMBER(AVERAGE('20250815_ETF_Options_Exhibits'!D1357:D1361)),AVERAGE('20250815_ETF_Options_Exhibits'!D1357:D1361),"")</f>
        <v/>
      </c>
      <c r="E1361" s="3">
        <f>IF(ISNUMBER(AVERAGE('20250815_ETF_Options_Exhibits'!E1357:E1361)),AVERAGE('20250815_ETF_Options_Exhibits'!E1357:E1361),"")</f>
        <v/>
      </c>
      <c r="F1361" s="3">
        <f>IF(ISNUMBER(AVERAGE('20250815_ETF_Options_Exhibits'!F1357:F1361)),AVERAGE('20250815_ETF_Options_Exhibits'!F1357:F1361),"")</f>
        <v/>
      </c>
      <c r="G1361" s="3">
        <f>IF(ISNUMBER(AVERAGE('20250815_ETF_Options_Exhibits'!G1357:G1361)),AVERAGE('20250815_ETF_Options_Exhibits'!G1357:G1361),"")</f>
        <v/>
      </c>
      <c r="H1361" s="3">
        <f>IF(ISNUMBER(AVERAGE('20250815_ETF_Options_Exhibits'!H1357:H1361)),AVERAGE('20250815_ETF_Options_Exhibits'!H1357:H1361),"")</f>
        <v/>
      </c>
      <c r="I1361" s="3">
        <f>IF(ISNUMBER(AVERAGE('20250815_ETF_Options_Exhibits'!I1357:I1361)),AVERAGE('20250815_ETF_Options_Exhibits'!I1357:I1361),"")</f>
        <v/>
      </c>
      <c r="J1361" s="3">
        <f>IF(ISNUMBER(AVERAGE('20250815_ETF_Options_Exhibits'!J1357:J1361)),AVERAGE('20250815_ETF_Options_Exhibits'!J1357:J1361),"")</f>
        <v/>
      </c>
      <c r="K1361" s="3">
        <f>IF(ISNUMBER(AVERAGE('20250815_ETF_Options_Exhibits'!K1357:K1361)),AVERAGE('20250815_ETF_Options_Exhibits'!K1357:K1361),"")</f>
        <v/>
      </c>
      <c r="L1361" s="3">
        <f>IF(ISNUMBER(AVERAGE('20250815_ETF_Options_Exhibits'!L1357:L1361)),AVERAGE('20250815_ETF_Options_Exhibits'!L1357:L1361),"")</f>
        <v/>
      </c>
      <c r="M1361" s="3">
        <f>IF(ISNUMBER(AVERAGE('20250815_ETF_Options_Exhibits'!M1357:M1361)),AVERAGE('20250815_ETF_Options_Exhibits'!M1357:M1361),"")</f>
        <v/>
      </c>
      <c r="N1361" s="3">
        <f>IF(ISNUMBER(AVERAGE('20250815_ETF_Options_Exhibits'!N1357:N1361)),AVERAGE('20250815_ETF_Options_Exhibits'!N1357:N1361),"")</f>
        <v/>
      </c>
      <c r="O1361" s="3">
        <f>IF(ISNUMBER(AVERAGE('20250815_ETF_Options_Exhibits'!O1357:O1361)),AVERAGE('20250815_ETF_Options_Exhibits'!O1357:O1361),"")</f>
        <v/>
      </c>
      <c r="P1361" s="3">
        <f>IF(ISNUMBER(AVERAGE('20250815_ETF_Options_Exhibits'!P1357:P1361)),AVERAGE('20250815_ETF_Options_Exhibits'!P1357:P1361),"")</f>
        <v/>
      </c>
      <c r="Q1361" s="3">
        <f>IF(ISNUMBER(AVERAGE('20250815_ETF_Options_Exhibits'!Q1357:Q1361)),AVERAGE('20250815_ETF_Options_Exhibits'!Q1357:Q1361),"")</f>
        <v/>
      </c>
      <c r="R1361" s="3">
        <f>IF(ISNUMBER(AVERAGE('20250815_ETF_Options_Exhibits'!R1357:R1361)),AVERAGE('20250815_ETF_Options_Exhibits'!R1357:R1361),"")</f>
        <v/>
      </c>
      <c r="S1361" s="3">
        <f>IF(ISNUMBER(AVERAGE('20250815_ETF_Options_Exhibits'!S1357:S1361)),AVERAGE('20250815_ETF_Options_Exhibits'!S1357:S1361),"")</f>
        <v/>
      </c>
      <c r="T1361" s="3">
        <f>IF(ISNUMBER(AVERAGE('20250815_ETF_Options_Exhibits'!T1357:T1361)),AVERAGE('20250815_ETF_Options_Exhibits'!T1357:T1361),"")</f>
        <v/>
      </c>
      <c r="U1361" s="3">
        <f>IF(ISNUMBER(AVERAGE('20250815_ETF_Options_Exhibits'!U1357:U1361)),AVERAGE('20250815_ETF_Options_Exhibits'!U1357:U1361),"")</f>
        <v/>
      </c>
      <c r="V1361" s="3">
        <f>IF(ISNUMBER(AVERAGE('20250815_ETF_Options_Exhibits'!V1357:V1361)),AVERAGE('20250815_ETF_Options_Exhibits'!V1357:V1361),"")</f>
        <v/>
      </c>
      <c r="W1361" s="3">
        <f>IF(ISNUMBER(AVERAGE('20250815_ETF_Options_Exhibits'!W1357:W1361)),AVERAGE('20250815_ETF_Options_Exhibits'!W1357:W1361),"")</f>
        <v/>
      </c>
      <c r="X1361" s="3">
        <f>IF(ISNUMBER(AVERAGE('20250815_ETF_Options_Exhibits'!X1357:X1361)),AVERAGE('20250815_ETF_Options_Exhibits'!X1357:X1361),"")</f>
        <v/>
      </c>
      <c r="Y1361" s="3">
        <f>IF(ISNUMBER(AVERAGE('20250815_ETF_Options_Exhibits'!Y1357:Y1361)),AVERAGE('20250815_ETF_Options_Exhibits'!Y1357:Y1361),"")</f>
        <v/>
      </c>
      <c r="Z1361" s="3">
        <f>IF(ISNUMBER(AVERAGE('20250815_ETF_Options_Exhibits'!Z1357:Z1361)),AVERAGE('20250815_ETF_Options_Exhibits'!Z1357:Z1361),"")</f>
        <v/>
      </c>
      <c r="AA1361" s="3">
        <f>IF(ISNUMBER(AVERAGE('20250815_ETF_Options_Exhibits'!AA1357:AA1361)),AVERAGE('20250815_ETF_Options_Exhibits'!AA1357:AA1361),"")</f>
        <v/>
      </c>
    </row>
    <row r="1362">
      <c r="A1362" s="1" t="n">
        <v>43979</v>
      </c>
      <c r="B1362" s="3">
        <f>IF(ISNUMBER(AVERAGE('20250815_ETF_Options_Exhibits'!B1358:B1362)),AVERAGE('20250815_ETF_Options_Exhibits'!B1358:B1362),"")</f>
        <v/>
      </c>
      <c r="C1362" s="3">
        <f>IF(ISNUMBER(AVERAGE('20250815_ETF_Options_Exhibits'!C1358:C1362)),AVERAGE('20250815_ETF_Options_Exhibits'!C1358:C1362),"")</f>
        <v/>
      </c>
      <c r="D1362" s="3">
        <f>IF(ISNUMBER(AVERAGE('20250815_ETF_Options_Exhibits'!D1358:D1362)),AVERAGE('20250815_ETF_Options_Exhibits'!D1358:D1362),"")</f>
        <v/>
      </c>
      <c r="E1362" s="3">
        <f>IF(ISNUMBER(AVERAGE('20250815_ETF_Options_Exhibits'!E1358:E1362)),AVERAGE('20250815_ETF_Options_Exhibits'!E1358:E1362),"")</f>
        <v/>
      </c>
      <c r="F1362" s="3">
        <f>IF(ISNUMBER(AVERAGE('20250815_ETF_Options_Exhibits'!F1358:F1362)),AVERAGE('20250815_ETF_Options_Exhibits'!F1358:F1362),"")</f>
        <v/>
      </c>
      <c r="G1362" s="3">
        <f>IF(ISNUMBER(AVERAGE('20250815_ETF_Options_Exhibits'!G1358:G1362)),AVERAGE('20250815_ETF_Options_Exhibits'!G1358:G1362),"")</f>
        <v/>
      </c>
      <c r="H1362" s="3">
        <f>IF(ISNUMBER(AVERAGE('20250815_ETF_Options_Exhibits'!H1358:H1362)),AVERAGE('20250815_ETF_Options_Exhibits'!H1358:H1362),"")</f>
        <v/>
      </c>
      <c r="I1362" s="3">
        <f>IF(ISNUMBER(AVERAGE('20250815_ETF_Options_Exhibits'!I1358:I1362)),AVERAGE('20250815_ETF_Options_Exhibits'!I1358:I1362),"")</f>
        <v/>
      </c>
      <c r="J1362" s="3">
        <f>IF(ISNUMBER(AVERAGE('20250815_ETF_Options_Exhibits'!J1358:J1362)),AVERAGE('20250815_ETF_Options_Exhibits'!J1358:J1362),"")</f>
        <v/>
      </c>
      <c r="K1362" s="3">
        <f>IF(ISNUMBER(AVERAGE('20250815_ETF_Options_Exhibits'!K1358:K1362)),AVERAGE('20250815_ETF_Options_Exhibits'!K1358:K1362),"")</f>
        <v/>
      </c>
      <c r="L1362" s="3">
        <f>IF(ISNUMBER(AVERAGE('20250815_ETF_Options_Exhibits'!L1358:L1362)),AVERAGE('20250815_ETF_Options_Exhibits'!L1358:L1362),"")</f>
        <v/>
      </c>
      <c r="M1362" s="3">
        <f>IF(ISNUMBER(AVERAGE('20250815_ETF_Options_Exhibits'!M1358:M1362)),AVERAGE('20250815_ETF_Options_Exhibits'!M1358:M1362),"")</f>
        <v/>
      </c>
      <c r="N1362" s="3">
        <f>IF(ISNUMBER(AVERAGE('20250815_ETF_Options_Exhibits'!N1358:N1362)),AVERAGE('20250815_ETF_Options_Exhibits'!N1358:N1362),"")</f>
        <v/>
      </c>
      <c r="O1362" s="3">
        <f>IF(ISNUMBER(AVERAGE('20250815_ETF_Options_Exhibits'!O1358:O1362)),AVERAGE('20250815_ETF_Options_Exhibits'!O1358:O1362),"")</f>
        <v/>
      </c>
      <c r="P1362" s="3">
        <f>IF(ISNUMBER(AVERAGE('20250815_ETF_Options_Exhibits'!P1358:P1362)),AVERAGE('20250815_ETF_Options_Exhibits'!P1358:P1362),"")</f>
        <v/>
      </c>
      <c r="Q1362" s="3">
        <f>IF(ISNUMBER(AVERAGE('20250815_ETF_Options_Exhibits'!Q1358:Q1362)),AVERAGE('20250815_ETF_Options_Exhibits'!Q1358:Q1362),"")</f>
        <v/>
      </c>
      <c r="R1362" s="3">
        <f>IF(ISNUMBER(AVERAGE('20250815_ETF_Options_Exhibits'!R1358:R1362)),AVERAGE('20250815_ETF_Options_Exhibits'!R1358:R1362),"")</f>
        <v/>
      </c>
      <c r="S1362" s="3">
        <f>IF(ISNUMBER(AVERAGE('20250815_ETF_Options_Exhibits'!S1358:S1362)),AVERAGE('20250815_ETF_Options_Exhibits'!S1358:S1362),"")</f>
        <v/>
      </c>
      <c r="T1362" s="3">
        <f>IF(ISNUMBER(AVERAGE('20250815_ETF_Options_Exhibits'!T1358:T1362)),AVERAGE('20250815_ETF_Options_Exhibits'!T1358:T1362),"")</f>
        <v/>
      </c>
      <c r="U1362" s="3">
        <f>IF(ISNUMBER(AVERAGE('20250815_ETF_Options_Exhibits'!U1358:U1362)),AVERAGE('20250815_ETF_Options_Exhibits'!U1358:U1362),"")</f>
        <v/>
      </c>
      <c r="V1362" s="3">
        <f>IF(ISNUMBER(AVERAGE('20250815_ETF_Options_Exhibits'!V1358:V1362)),AVERAGE('20250815_ETF_Options_Exhibits'!V1358:V1362),"")</f>
        <v/>
      </c>
      <c r="W1362" s="3">
        <f>IF(ISNUMBER(AVERAGE('20250815_ETF_Options_Exhibits'!W1358:W1362)),AVERAGE('20250815_ETF_Options_Exhibits'!W1358:W1362),"")</f>
        <v/>
      </c>
      <c r="X1362" s="3">
        <f>IF(ISNUMBER(AVERAGE('20250815_ETF_Options_Exhibits'!X1358:X1362)),AVERAGE('20250815_ETF_Options_Exhibits'!X1358:X1362),"")</f>
        <v/>
      </c>
      <c r="Y1362" s="3">
        <f>IF(ISNUMBER(AVERAGE('20250815_ETF_Options_Exhibits'!Y1358:Y1362)),AVERAGE('20250815_ETF_Options_Exhibits'!Y1358:Y1362),"")</f>
        <v/>
      </c>
      <c r="Z1362" s="3">
        <f>IF(ISNUMBER(AVERAGE('20250815_ETF_Options_Exhibits'!Z1358:Z1362)),AVERAGE('20250815_ETF_Options_Exhibits'!Z1358:Z1362),"")</f>
        <v/>
      </c>
      <c r="AA1362" s="3">
        <f>IF(ISNUMBER(AVERAGE('20250815_ETF_Options_Exhibits'!AA1358:AA1362)),AVERAGE('20250815_ETF_Options_Exhibits'!AA1358:AA1362),"")</f>
        <v/>
      </c>
    </row>
    <row r="1363">
      <c r="A1363" s="1" t="n">
        <v>43980</v>
      </c>
      <c r="B1363" s="3">
        <f>IF(ISNUMBER(AVERAGE('20250815_ETF_Options_Exhibits'!B1359:B1363)),AVERAGE('20250815_ETF_Options_Exhibits'!B1359:B1363),"")</f>
        <v/>
      </c>
      <c r="C1363" s="3">
        <f>IF(ISNUMBER(AVERAGE('20250815_ETF_Options_Exhibits'!C1359:C1363)),AVERAGE('20250815_ETF_Options_Exhibits'!C1359:C1363),"")</f>
        <v/>
      </c>
      <c r="D1363" s="3">
        <f>IF(ISNUMBER(AVERAGE('20250815_ETF_Options_Exhibits'!D1359:D1363)),AVERAGE('20250815_ETF_Options_Exhibits'!D1359:D1363),"")</f>
        <v/>
      </c>
      <c r="E1363" s="3">
        <f>IF(ISNUMBER(AVERAGE('20250815_ETF_Options_Exhibits'!E1359:E1363)),AVERAGE('20250815_ETF_Options_Exhibits'!E1359:E1363),"")</f>
        <v/>
      </c>
      <c r="F1363" s="3">
        <f>IF(ISNUMBER(AVERAGE('20250815_ETF_Options_Exhibits'!F1359:F1363)),AVERAGE('20250815_ETF_Options_Exhibits'!F1359:F1363),"")</f>
        <v/>
      </c>
      <c r="G1363" s="3">
        <f>IF(ISNUMBER(AVERAGE('20250815_ETF_Options_Exhibits'!G1359:G1363)),AVERAGE('20250815_ETF_Options_Exhibits'!G1359:G1363),"")</f>
        <v/>
      </c>
      <c r="H1363" s="3">
        <f>IF(ISNUMBER(AVERAGE('20250815_ETF_Options_Exhibits'!H1359:H1363)),AVERAGE('20250815_ETF_Options_Exhibits'!H1359:H1363),"")</f>
        <v/>
      </c>
      <c r="I1363" s="3">
        <f>IF(ISNUMBER(AVERAGE('20250815_ETF_Options_Exhibits'!I1359:I1363)),AVERAGE('20250815_ETF_Options_Exhibits'!I1359:I1363),"")</f>
        <v/>
      </c>
      <c r="J1363" s="3">
        <f>IF(ISNUMBER(AVERAGE('20250815_ETF_Options_Exhibits'!J1359:J1363)),AVERAGE('20250815_ETF_Options_Exhibits'!J1359:J1363),"")</f>
        <v/>
      </c>
      <c r="K1363" s="3">
        <f>IF(ISNUMBER(AVERAGE('20250815_ETF_Options_Exhibits'!K1359:K1363)),AVERAGE('20250815_ETF_Options_Exhibits'!K1359:K1363),"")</f>
        <v/>
      </c>
      <c r="L1363" s="3">
        <f>IF(ISNUMBER(AVERAGE('20250815_ETF_Options_Exhibits'!L1359:L1363)),AVERAGE('20250815_ETF_Options_Exhibits'!L1359:L1363),"")</f>
        <v/>
      </c>
      <c r="M1363" s="3">
        <f>IF(ISNUMBER(AVERAGE('20250815_ETF_Options_Exhibits'!M1359:M1363)),AVERAGE('20250815_ETF_Options_Exhibits'!M1359:M1363),"")</f>
        <v/>
      </c>
      <c r="N1363" s="3">
        <f>IF(ISNUMBER(AVERAGE('20250815_ETF_Options_Exhibits'!N1359:N1363)),AVERAGE('20250815_ETF_Options_Exhibits'!N1359:N1363),"")</f>
        <v/>
      </c>
      <c r="O1363" s="3">
        <f>IF(ISNUMBER(AVERAGE('20250815_ETF_Options_Exhibits'!O1359:O1363)),AVERAGE('20250815_ETF_Options_Exhibits'!O1359:O1363),"")</f>
        <v/>
      </c>
      <c r="P1363" s="3">
        <f>IF(ISNUMBER(AVERAGE('20250815_ETF_Options_Exhibits'!P1359:P1363)),AVERAGE('20250815_ETF_Options_Exhibits'!P1359:P1363),"")</f>
        <v/>
      </c>
      <c r="Q1363" s="3">
        <f>IF(ISNUMBER(AVERAGE('20250815_ETF_Options_Exhibits'!Q1359:Q1363)),AVERAGE('20250815_ETF_Options_Exhibits'!Q1359:Q1363),"")</f>
        <v/>
      </c>
      <c r="R1363" s="3">
        <f>IF(ISNUMBER(AVERAGE('20250815_ETF_Options_Exhibits'!R1359:R1363)),AVERAGE('20250815_ETF_Options_Exhibits'!R1359:R1363),"")</f>
        <v/>
      </c>
      <c r="S1363" s="3">
        <f>IF(ISNUMBER(AVERAGE('20250815_ETF_Options_Exhibits'!S1359:S1363)),AVERAGE('20250815_ETF_Options_Exhibits'!S1359:S1363),"")</f>
        <v/>
      </c>
      <c r="T1363" s="3">
        <f>IF(ISNUMBER(AVERAGE('20250815_ETF_Options_Exhibits'!T1359:T1363)),AVERAGE('20250815_ETF_Options_Exhibits'!T1359:T1363),"")</f>
        <v/>
      </c>
      <c r="U1363" s="3">
        <f>IF(ISNUMBER(AVERAGE('20250815_ETF_Options_Exhibits'!U1359:U1363)),AVERAGE('20250815_ETF_Options_Exhibits'!U1359:U1363),"")</f>
        <v/>
      </c>
      <c r="V1363" s="3">
        <f>IF(ISNUMBER(AVERAGE('20250815_ETF_Options_Exhibits'!V1359:V1363)),AVERAGE('20250815_ETF_Options_Exhibits'!V1359:V1363),"")</f>
        <v/>
      </c>
      <c r="W1363" s="3">
        <f>IF(ISNUMBER(AVERAGE('20250815_ETF_Options_Exhibits'!W1359:W1363)),AVERAGE('20250815_ETF_Options_Exhibits'!W1359:W1363),"")</f>
        <v/>
      </c>
      <c r="X1363" s="3">
        <f>IF(ISNUMBER(AVERAGE('20250815_ETF_Options_Exhibits'!X1359:X1363)),AVERAGE('20250815_ETF_Options_Exhibits'!X1359:X1363),"")</f>
        <v/>
      </c>
      <c r="Y1363" s="3">
        <f>IF(ISNUMBER(AVERAGE('20250815_ETF_Options_Exhibits'!Y1359:Y1363)),AVERAGE('20250815_ETF_Options_Exhibits'!Y1359:Y1363),"")</f>
        <v/>
      </c>
      <c r="Z1363" s="3">
        <f>IF(ISNUMBER(AVERAGE('20250815_ETF_Options_Exhibits'!Z1359:Z1363)),AVERAGE('20250815_ETF_Options_Exhibits'!Z1359:Z1363),"")</f>
        <v/>
      </c>
      <c r="AA1363" s="3">
        <f>IF(ISNUMBER(AVERAGE('20250815_ETF_Options_Exhibits'!AA1359:AA1363)),AVERAGE('20250815_ETF_Options_Exhibits'!AA1359:AA1363),"")</f>
        <v/>
      </c>
    </row>
    <row r="1364">
      <c r="A1364" s="1" t="n">
        <v>43983</v>
      </c>
      <c r="B1364" s="3">
        <f>IF(ISNUMBER(AVERAGE('20250815_ETF_Options_Exhibits'!B1360:B1364)),AVERAGE('20250815_ETF_Options_Exhibits'!B1360:B1364),"")</f>
        <v/>
      </c>
      <c r="C1364" s="3">
        <f>IF(ISNUMBER(AVERAGE('20250815_ETF_Options_Exhibits'!C1360:C1364)),AVERAGE('20250815_ETF_Options_Exhibits'!C1360:C1364),"")</f>
        <v/>
      </c>
      <c r="D1364" s="3">
        <f>IF(ISNUMBER(AVERAGE('20250815_ETF_Options_Exhibits'!D1360:D1364)),AVERAGE('20250815_ETF_Options_Exhibits'!D1360:D1364),"")</f>
        <v/>
      </c>
      <c r="E1364" s="3">
        <f>IF(ISNUMBER(AVERAGE('20250815_ETF_Options_Exhibits'!E1360:E1364)),AVERAGE('20250815_ETF_Options_Exhibits'!E1360:E1364),"")</f>
        <v/>
      </c>
      <c r="F1364" s="3">
        <f>IF(ISNUMBER(AVERAGE('20250815_ETF_Options_Exhibits'!F1360:F1364)),AVERAGE('20250815_ETF_Options_Exhibits'!F1360:F1364),"")</f>
        <v/>
      </c>
      <c r="G1364" s="3">
        <f>IF(ISNUMBER(AVERAGE('20250815_ETF_Options_Exhibits'!G1360:G1364)),AVERAGE('20250815_ETF_Options_Exhibits'!G1360:G1364),"")</f>
        <v/>
      </c>
      <c r="H1364" s="3">
        <f>IF(ISNUMBER(AVERAGE('20250815_ETF_Options_Exhibits'!H1360:H1364)),AVERAGE('20250815_ETF_Options_Exhibits'!H1360:H1364),"")</f>
        <v/>
      </c>
      <c r="I1364" s="3">
        <f>IF(ISNUMBER(AVERAGE('20250815_ETF_Options_Exhibits'!I1360:I1364)),AVERAGE('20250815_ETF_Options_Exhibits'!I1360:I1364),"")</f>
        <v/>
      </c>
      <c r="J1364" s="3">
        <f>IF(ISNUMBER(AVERAGE('20250815_ETF_Options_Exhibits'!J1360:J1364)),AVERAGE('20250815_ETF_Options_Exhibits'!J1360:J1364),"")</f>
        <v/>
      </c>
      <c r="K1364" s="3">
        <f>IF(ISNUMBER(AVERAGE('20250815_ETF_Options_Exhibits'!K1360:K1364)),AVERAGE('20250815_ETF_Options_Exhibits'!K1360:K1364),"")</f>
        <v/>
      </c>
      <c r="L1364" s="3">
        <f>IF(ISNUMBER(AVERAGE('20250815_ETF_Options_Exhibits'!L1360:L1364)),AVERAGE('20250815_ETF_Options_Exhibits'!L1360:L1364),"")</f>
        <v/>
      </c>
      <c r="M1364" s="3">
        <f>IF(ISNUMBER(AVERAGE('20250815_ETF_Options_Exhibits'!M1360:M1364)),AVERAGE('20250815_ETF_Options_Exhibits'!M1360:M1364),"")</f>
        <v/>
      </c>
      <c r="N1364" s="3">
        <f>IF(ISNUMBER(AVERAGE('20250815_ETF_Options_Exhibits'!N1360:N1364)),AVERAGE('20250815_ETF_Options_Exhibits'!N1360:N1364),"")</f>
        <v/>
      </c>
      <c r="O1364" s="3">
        <f>IF(ISNUMBER(AVERAGE('20250815_ETF_Options_Exhibits'!O1360:O1364)),AVERAGE('20250815_ETF_Options_Exhibits'!O1360:O1364),"")</f>
        <v/>
      </c>
      <c r="P1364" s="3">
        <f>IF(ISNUMBER(AVERAGE('20250815_ETF_Options_Exhibits'!P1360:P1364)),AVERAGE('20250815_ETF_Options_Exhibits'!P1360:P1364),"")</f>
        <v/>
      </c>
      <c r="Q1364" s="3">
        <f>IF(ISNUMBER(AVERAGE('20250815_ETF_Options_Exhibits'!Q1360:Q1364)),AVERAGE('20250815_ETF_Options_Exhibits'!Q1360:Q1364),"")</f>
        <v/>
      </c>
      <c r="R1364" s="3">
        <f>IF(ISNUMBER(AVERAGE('20250815_ETF_Options_Exhibits'!R1360:R1364)),AVERAGE('20250815_ETF_Options_Exhibits'!R1360:R1364),"")</f>
        <v/>
      </c>
      <c r="S1364" s="3">
        <f>IF(ISNUMBER(AVERAGE('20250815_ETF_Options_Exhibits'!S1360:S1364)),AVERAGE('20250815_ETF_Options_Exhibits'!S1360:S1364),"")</f>
        <v/>
      </c>
      <c r="T1364" s="3">
        <f>IF(ISNUMBER(AVERAGE('20250815_ETF_Options_Exhibits'!T1360:T1364)),AVERAGE('20250815_ETF_Options_Exhibits'!T1360:T1364),"")</f>
        <v/>
      </c>
      <c r="U1364" s="3">
        <f>IF(ISNUMBER(AVERAGE('20250815_ETF_Options_Exhibits'!U1360:U1364)),AVERAGE('20250815_ETF_Options_Exhibits'!U1360:U1364),"")</f>
        <v/>
      </c>
      <c r="V1364" s="3">
        <f>IF(ISNUMBER(AVERAGE('20250815_ETF_Options_Exhibits'!V1360:V1364)),AVERAGE('20250815_ETF_Options_Exhibits'!V1360:V1364),"")</f>
        <v/>
      </c>
      <c r="W1364" s="3">
        <f>IF(ISNUMBER(AVERAGE('20250815_ETF_Options_Exhibits'!W1360:W1364)),AVERAGE('20250815_ETF_Options_Exhibits'!W1360:W1364),"")</f>
        <v/>
      </c>
      <c r="X1364" s="3">
        <f>IF(ISNUMBER(AVERAGE('20250815_ETF_Options_Exhibits'!X1360:X1364)),AVERAGE('20250815_ETF_Options_Exhibits'!X1360:X1364),"")</f>
        <v/>
      </c>
      <c r="Y1364" s="3">
        <f>IF(ISNUMBER(AVERAGE('20250815_ETF_Options_Exhibits'!Y1360:Y1364)),AVERAGE('20250815_ETF_Options_Exhibits'!Y1360:Y1364),"")</f>
        <v/>
      </c>
      <c r="Z1364" s="3">
        <f>IF(ISNUMBER(AVERAGE('20250815_ETF_Options_Exhibits'!Z1360:Z1364)),AVERAGE('20250815_ETF_Options_Exhibits'!Z1360:Z1364),"")</f>
        <v/>
      </c>
      <c r="AA1364" s="3">
        <f>IF(ISNUMBER(AVERAGE('20250815_ETF_Options_Exhibits'!AA1360:AA1364)),AVERAGE('20250815_ETF_Options_Exhibits'!AA1360:AA1364),"")</f>
        <v/>
      </c>
    </row>
    <row r="1365">
      <c r="A1365" s="1" t="n">
        <v>43984</v>
      </c>
      <c r="B1365" s="3">
        <f>IF(ISNUMBER(AVERAGE('20250815_ETF_Options_Exhibits'!B1361:B1365)),AVERAGE('20250815_ETF_Options_Exhibits'!B1361:B1365),"")</f>
        <v/>
      </c>
      <c r="C1365" s="3">
        <f>IF(ISNUMBER(AVERAGE('20250815_ETF_Options_Exhibits'!C1361:C1365)),AVERAGE('20250815_ETF_Options_Exhibits'!C1361:C1365),"")</f>
        <v/>
      </c>
      <c r="D1365" s="3">
        <f>IF(ISNUMBER(AVERAGE('20250815_ETF_Options_Exhibits'!D1361:D1365)),AVERAGE('20250815_ETF_Options_Exhibits'!D1361:D1365),"")</f>
        <v/>
      </c>
      <c r="E1365" s="3">
        <f>IF(ISNUMBER(AVERAGE('20250815_ETF_Options_Exhibits'!E1361:E1365)),AVERAGE('20250815_ETF_Options_Exhibits'!E1361:E1365),"")</f>
        <v/>
      </c>
      <c r="F1365" s="3">
        <f>IF(ISNUMBER(AVERAGE('20250815_ETF_Options_Exhibits'!F1361:F1365)),AVERAGE('20250815_ETF_Options_Exhibits'!F1361:F1365),"")</f>
        <v/>
      </c>
      <c r="G1365" s="3">
        <f>IF(ISNUMBER(AVERAGE('20250815_ETF_Options_Exhibits'!G1361:G1365)),AVERAGE('20250815_ETF_Options_Exhibits'!G1361:G1365),"")</f>
        <v/>
      </c>
      <c r="H1365" s="3">
        <f>IF(ISNUMBER(AVERAGE('20250815_ETF_Options_Exhibits'!H1361:H1365)),AVERAGE('20250815_ETF_Options_Exhibits'!H1361:H1365),"")</f>
        <v/>
      </c>
      <c r="I1365" s="3">
        <f>IF(ISNUMBER(AVERAGE('20250815_ETF_Options_Exhibits'!I1361:I1365)),AVERAGE('20250815_ETF_Options_Exhibits'!I1361:I1365),"")</f>
        <v/>
      </c>
      <c r="J1365" s="3">
        <f>IF(ISNUMBER(AVERAGE('20250815_ETF_Options_Exhibits'!J1361:J1365)),AVERAGE('20250815_ETF_Options_Exhibits'!J1361:J1365),"")</f>
        <v/>
      </c>
      <c r="K1365" s="3">
        <f>IF(ISNUMBER(AVERAGE('20250815_ETF_Options_Exhibits'!K1361:K1365)),AVERAGE('20250815_ETF_Options_Exhibits'!K1361:K1365),"")</f>
        <v/>
      </c>
      <c r="L1365" s="3">
        <f>IF(ISNUMBER(AVERAGE('20250815_ETF_Options_Exhibits'!L1361:L1365)),AVERAGE('20250815_ETF_Options_Exhibits'!L1361:L1365),"")</f>
        <v/>
      </c>
      <c r="M1365" s="3">
        <f>IF(ISNUMBER(AVERAGE('20250815_ETF_Options_Exhibits'!M1361:M1365)),AVERAGE('20250815_ETF_Options_Exhibits'!M1361:M1365),"")</f>
        <v/>
      </c>
      <c r="N1365" s="3">
        <f>IF(ISNUMBER(AVERAGE('20250815_ETF_Options_Exhibits'!N1361:N1365)),AVERAGE('20250815_ETF_Options_Exhibits'!N1361:N1365),"")</f>
        <v/>
      </c>
      <c r="O1365" s="3">
        <f>IF(ISNUMBER(AVERAGE('20250815_ETF_Options_Exhibits'!O1361:O1365)),AVERAGE('20250815_ETF_Options_Exhibits'!O1361:O1365),"")</f>
        <v/>
      </c>
      <c r="P1365" s="3">
        <f>IF(ISNUMBER(AVERAGE('20250815_ETF_Options_Exhibits'!P1361:P1365)),AVERAGE('20250815_ETF_Options_Exhibits'!P1361:P1365),"")</f>
        <v/>
      </c>
      <c r="Q1365" s="3">
        <f>IF(ISNUMBER(AVERAGE('20250815_ETF_Options_Exhibits'!Q1361:Q1365)),AVERAGE('20250815_ETF_Options_Exhibits'!Q1361:Q1365),"")</f>
        <v/>
      </c>
      <c r="R1365" s="3">
        <f>IF(ISNUMBER(AVERAGE('20250815_ETF_Options_Exhibits'!R1361:R1365)),AVERAGE('20250815_ETF_Options_Exhibits'!R1361:R1365),"")</f>
        <v/>
      </c>
      <c r="S1365" s="3">
        <f>IF(ISNUMBER(AVERAGE('20250815_ETF_Options_Exhibits'!S1361:S1365)),AVERAGE('20250815_ETF_Options_Exhibits'!S1361:S1365),"")</f>
        <v/>
      </c>
      <c r="T1365" s="3">
        <f>IF(ISNUMBER(AVERAGE('20250815_ETF_Options_Exhibits'!T1361:T1365)),AVERAGE('20250815_ETF_Options_Exhibits'!T1361:T1365),"")</f>
        <v/>
      </c>
      <c r="U1365" s="3">
        <f>IF(ISNUMBER(AVERAGE('20250815_ETF_Options_Exhibits'!U1361:U1365)),AVERAGE('20250815_ETF_Options_Exhibits'!U1361:U1365),"")</f>
        <v/>
      </c>
      <c r="V1365" s="3">
        <f>IF(ISNUMBER(AVERAGE('20250815_ETF_Options_Exhibits'!V1361:V1365)),AVERAGE('20250815_ETF_Options_Exhibits'!V1361:V1365),"")</f>
        <v/>
      </c>
      <c r="W1365" s="3">
        <f>IF(ISNUMBER(AVERAGE('20250815_ETF_Options_Exhibits'!W1361:W1365)),AVERAGE('20250815_ETF_Options_Exhibits'!W1361:W1365),"")</f>
        <v/>
      </c>
      <c r="X1365" s="3">
        <f>IF(ISNUMBER(AVERAGE('20250815_ETF_Options_Exhibits'!X1361:X1365)),AVERAGE('20250815_ETF_Options_Exhibits'!X1361:X1365),"")</f>
        <v/>
      </c>
      <c r="Y1365" s="3">
        <f>IF(ISNUMBER(AVERAGE('20250815_ETF_Options_Exhibits'!Y1361:Y1365)),AVERAGE('20250815_ETF_Options_Exhibits'!Y1361:Y1365),"")</f>
        <v/>
      </c>
      <c r="Z1365" s="3">
        <f>IF(ISNUMBER(AVERAGE('20250815_ETF_Options_Exhibits'!Z1361:Z1365)),AVERAGE('20250815_ETF_Options_Exhibits'!Z1361:Z1365),"")</f>
        <v/>
      </c>
      <c r="AA1365" s="3">
        <f>IF(ISNUMBER(AVERAGE('20250815_ETF_Options_Exhibits'!AA1361:AA1365)),AVERAGE('20250815_ETF_Options_Exhibits'!AA1361:AA1365),"")</f>
        <v/>
      </c>
    </row>
    <row r="1366">
      <c r="A1366" s="1" t="n">
        <v>43985</v>
      </c>
      <c r="B1366" s="3">
        <f>IF(ISNUMBER(AVERAGE('20250815_ETF_Options_Exhibits'!B1362:B1366)),AVERAGE('20250815_ETF_Options_Exhibits'!B1362:B1366),"")</f>
        <v/>
      </c>
      <c r="C1366" s="3">
        <f>IF(ISNUMBER(AVERAGE('20250815_ETF_Options_Exhibits'!C1362:C1366)),AVERAGE('20250815_ETF_Options_Exhibits'!C1362:C1366),"")</f>
        <v/>
      </c>
      <c r="D1366" s="3">
        <f>IF(ISNUMBER(AVERAGE('20250815_ETF_Options_Exhibits'!D1362:D1366)),AVERAGE('20250815_ETF_Options_Exhibits'!D1362:D1366),"")</f>
        <v/>
      </c>
      <c r="E1366" s="3">
        <f>IF(ISNUMBER(AVERAGE('20250815_ETF_Options_Exhibits'!E1362:E1366)),AVERAGE('20250815_ETF_Options_Exhibits'!E1362:E1366),"")</f>
        <v/>
      </c>
      <c r="F1366" s="3">
        <f>IF(ISNUMBER(AVERAGE('20250815_ETF_Options_Exhibits'!F1362:F1366)),AVERAGE('20250815_ETF_Options_Exhibits'!F1362:F1366),"")</f>
        <v/>
      </c>
      <c r="G1366" s="3">
        <f>IF(ISNUMBER(AVERAGE('20250815_ETF_Options_Exhibits'!G1362:G1366)),AVERAGE('20250815_ETF_Options_Exhibits'!G1362:G1366),"")</f>
        <v/>
      </c>
      <c r="H1366" s="3">
        <f>IF(ISNUMBER(AVERAGE('20250815_ETF_Options_Exhibits'!H1362:H1366)),AVERAGE('20250815_ETF_Options_Exhibits'!H1362:H1366),"")</f>
        <v/>
      </c>
      <c r="I1366" s="3">
        <f>IF(ISNUMBER(AVERAGE('20250815_ETF_Options_Exhibits'!I1362:I1366)),AVERAGE('20250815_ETF_Options_Exhibits'!I1362:I1366),"")</f>
        <v/>
      </c>
      <c r="J1366" s="3">
        <f>IF(ISNUMBER(AVERAGE('20250815_ETF_Options_Exhibits'!J1362:J1366)),AVERAGE('20250815_ETF_Options_Exhibits'!J1362:J1366),"")</f>
        <v/>
      </c>
      <c r="K1366" s="3">
        <f>IF(ISNUMBER(AVERAGE('20250815_ETF_Options_Exhibits'!K1362:K1366)),AVERAGE('20250815_ETF_Options_Exhibits'!K1362:K1366),"")</f>
        <v/>
      </c>
      <c r="L1366" s="3">
        <f>IF(ISNUMBER(AVERAGE('20250815_ETF_Options_Exhibits'!L1362:L1366)),AVERAGE('20250815_ETF_Options_Exhibits'!L1362:L1366),"")</f>
        <v/>
      </c>
      <c r="M1366" s="3">
        <f>IF(ISNUMBER(AVERAGE('20250815_ETF_Options_Exhibits'!M1362:M1366)),AVERAGE('20250815_ETF_Options_Exhibits'!M1362:M1366),"")</f>
        <v/>
      </c>
      <c r="N1366" s="3">
        <f>IF(ISNUMBER(AVERAGE('20250815_ETF_Options_Exhibits'!N1362:N1366)),AVERAGE('20250815_ETF_Options_Exhibits'!N1362:N1366),"")</f>
        <v/>
      </c>
      <c r="O1366" s="3">
        <f>IF(ISNUMBER(AVERAGE('20250815_ETF_Options_Exhibits'!O1362:O1366)),AVERAGE('20250815_ETF_Options_Exhibits'!O1362:O1366),"")</f>
        <v/>
      </c>
      <c r="P1366" s="3">
        <f>IF(ISNUMBER(AVERAGE('20250815_ETF_Options_Exhibits'!P1362:P1366)),AVERAGE('20250815_ETF_Options_Exhibits'!P1362:P1366),"")</f>
        <v/>
      </c>
      <c r="Q1366" s="3">
        <f>IF(ISNUMBER(AVERAGE('20250815_ETF_Options_Exhibits'!Q1362:Q1366)),AVERAGE('20250815_ETF_Options_Exhibits'!Q1362:Q1366),"")</f>
        <v/>
      </c>
      <c r="R1366" s="3">
        <f>IF(ISNUMBER(AVERAGE('20250815_ETF_Options_Exhibits'!R1362:R1366)),AVERAGE('20250815_ETF_Options_Exhibits'!R1362:R1366),"")</f>
        <v/>
      </c>
      <c r="S1366" s="3">
        <f>IF(ISNUMBER(AVERAGE('20250815_ETF_Options_Exhibits'!S1362:S1366)),AVERAGE('20250815_ETF_Options_Exhibits'!S1362:S1366),"")</f>
        <v/>
      </c>
      <c r="T1366" s="3">
        <f>IF(ISNUMBER(AVERAGE('20250815_ETF_Options_Exhibits'!T1362:T1366)),AVERAGE('20250815_ETF_Options_Exhibits'!T1362:T1366),"")</f>
        <v/>
      </c>
      <c r="U1366" s="3">
        <f>IF(ISNUMBER(AVERAGE('20250815_ETF_Options_Exhibits'!U1362:U1366)),AVERAGE('20250815_ETF_Options_Exhibits'!U1362:U1366),"")</f>
        <v/>
      </c>
      <c r="V1366" s="3">
        <f>IF(ISNUMBER(AVERAGE('20250815_ETF_Options_Exhibits'!V1362:V1366)),AVERAGE('20250815_ETF_Options_Exhibits'!V1362:V1366),"")</f>
        <v/>
      </c>
      <c r="W1366" s="3">
        <f>IF(ISNUMBER(AVERAGE('20250815_ETF_Options_Exhibits'!W1362:W1366)),AVERAGE('20250815_ETF_Options_Exhibits'!W1362:W1366),"")</f>
        <v/>
      </c>
      <c r="X1366" s="3">
        <f>IF(ISNUMBER(AVERAGE('20250815_ETF_Options_Exhibits'!X1362:X1366)),AVERAGE('20250815_ETF_Options_Exhibits'!X1362:X1366),"")</f>
        <v/>
      </c>
      <c r="Y1366" s="3">
        <f>IF(ISNUMBER(AVERAGE('20250815_ETF_Options_Exhibits'!Y1362:Y1366)),AVERAGE('20250815_ETF_Options_Exhibits'!Y1362:Y1366),"")</f>
        <v/>
      </c>
      <c r="Z1366" s="3">
        <f>IF(ISNUMBER(AVERAGE('20250815_ETF_Options_Exhibits'!Z1362:Z1366)),AVERAGE('20250815_ETF_Options_Exhibits'!Z1362:Z1366),"")</f>
        <v/>
      </c>
      <c r="AA1366" s="3">
        <f>IF(ISNUMBER(AVERAGE('20250815_ETF_Options_Exhibits'!AA1362:AA1366)),AVERAGE('20250815_ETF_Options_Exhibits'!AA1362:AA1366),"")</f>
        <v/>
      </c>
    </row>
    <row r="1367">
      <c r="A1367" s="1" t="n">
        <v>43986</v>
      </c>
      <c r="B1367" s="3">
        <f>IF(ISNUMBER(AVERAGE('20250815_ETF_Options_Exhibits'!B1363:B1367)),AVERAGE('20250815_ETF_Options_Exhibits'!B1363:B1367),"")</f>
        <v/>
      </c>
      <c r="C1367" s="3">
        <f>IF(ISNUMBER(AVERAGE('20250815_ETF_Options_Exhibits'!C1363:C1367)),AVERAGE('20250815_ETF_Options_Exhibits'!C1363:C1367),"")</f>
        <v/>
      </c>
      <c r="D1367" s="3">
        <f>IF(ISNUMBER(AVERAGE('20250815_ETF_Options_Exhibits'!D1363:D1367)),AVERAGE('20250815_ETF_Options_Exhibits'!D1363:D1367),"")</f>
        <v/>
      </c>
      <c r="E1367" s="3">
        <f>IF(ISNUMBER(AVERAGE('20250815_ETF_Options_Exhibits'!E1363:E1367)),AVERAGE('20250815_ETF_Options_Exhibits'!E1363:E1367),"")</f>
        <v/>
      </c>
      <c r="F1367" s="3">
        <f>IF(ISNUMBER(AVERAGE('20250815_ETF_Options_Exhibits'!F1363:F1367)),AVERAGE('20250815_ETF_Options_Exhibits'!F1363:F1367),"")</f>
        <v/>
      </c>
      <c r="G1367" s="3">
        <f>IF(ISNUMBER(AVERAGE('20250815_ETF_Options_Exhibits'!G1363:G1367)),AVERAGE('20250815_ETF_Options_Exhibits'!G1363:G1367),"")</f>
        <v/>
      </c>
      <c r="H1367" s="3">
        <f>IF(ISNUMBER(AVERAGE('20250815_ETF_Options_Exhibits'!H1363:H1367)),AVERAGE('20250815_ETF_Options_Exhibits'!H1363:H1367),"")</f>
        <v/>
      </c>
      <c r="I1367" s="3">
        <f>IF(ISNUMBER(AVERAGE('20250815_ETF_Options_Exhibits'!I1363:I1367)),AVERAGE('20250815_ETF_Options_Exhibits'!I1363:I1367),"")</f>
        <v/>
      </c>
      <c r="J1367" s="3">
        <f>IF(ISNUMBER(AVERAGE('20250815_ETF_Options_Exhibits'!J1363:J1367)),AVERAGE('20250815_ETF_Options_Exhibits'!J1363:J1367),"")</f>
        <v/>
      </c>
      <c r="K1367" s="3">
        <f>IF(ISNUMBER(AVERAGE('20250815_ETF_Options_Exhibits'!K1363:K1367)),AVERAGE('20250815_ETF_Options_Exhibits'!K1363:K1367),"")</f>
        <v/>
      </c>
      <c r="L1367" s="3">
        <f>IF(ISNUMBER(AVERAGE('20250815_ETF_Options_Exhibits'!L1363:L1367)),AVERAGE('20250815_ETF_Options_Exhibits'!L1363:L1367),"")</f>
        <v/>
      </c>
      <c r="M1367" s="3">
        <f>IF(ISNUMBER(AVERAGE('20250815_ETF_Options_Exhibits'!M1363:M1367)),AVERAGE('20250815_ETF_Options_Exhibits'!M1363:M1367),"")</f>
        <v/>
      </c>
      <c r="N1367" s="3">
        <f>IF(ISNUMBER(AVERAGE('20250815_ETF_Options_Exhibits'!N1363:N1367)),AVERAGE('20250815_ETF_Options_Exhibits'!N1363:N1367),"")</f>
        <v/>
      </c>
      <c r="O1367" s="3">
        <f>IF(ISNUMBER(AVERAGE('20250815_ETF_Options_Exhibits'!O1363:O1367)),AVERAGE('20250815_ETF_Options_Exhibits'!O1363:O1367),"")</f>
        <v/>
      </c>
      <c r="P1367" s="3">
        <f>IF(ISNUMBER(AVERAGE('20250815_ETF_Options_Exhibits'!P1363:P1367)),AVERAGE('20250815_ETF_Options_Exhibits'!P1363:P1367),"")</f>
        <v/>
      </c>
      <c r="Q1367" s="3">
        <f>IF(ISNUMBER(AVERAGE('20250815_ETF_Options_Exhibits'!Q1363:Q1367)),AVERAGE('20250815_ETF_Options_Exhibits'!Q1363:Q1367),"")</f>
        <v/>
      </c>
      <c r="R1367" s="3">
        <f>IF(ISNUMBER(AVERAGE('20250815_ETF_Options_Exhibits'!R1363:R1367)),AVERAGE('20250815_ETF_Options_Exhibits'!R1363:R1367),"")</f>
        <v/>
      </c>
      <c r="S1367" s="3">
        <f>IF(ISNUMBER(AVERAGE('20250815_ETF_Options_Exhibits'!S1363:S1367)),AVERAGE('20250815_ETF_Options_Exhibits'!S1363:S1367),"")</f>
        <v/>
      </c>
      <c r="T1367" s="3">
        <f>IF(ISNUMBER(AVERAGE('20250815_ETF_Options_Exhibits'!T1363:T1367)),AVERAGE('20250815_ETF_Options_Exhibits'!T1363:T1367),"")</f>
        <v/>
      </c>
      <c r="U1367" s="3">
        <f>IF(ISNUMBER(AVERAGE('20250815_ETF_Options_Exhibits'!U1363:U1367)),AVERAGE('20250815_ETF_Options_Exhibits'!U1363:U1367),"")</f>
        <v/>
      </c>
      <c r="V1367" s="3">
        <f>IF(ISNUMBER(AVERAGE('20250815_ETF_Options_Exhibits'!V1363:V1367)),AVERAGE('20250815_ETF_Options_Exhibits'!V1363:V1367),"")</f>
        <v/>
      </c>
      <c r="W1367" s="3">
        <f>IF(ISNUMBER(AVERAGE('20250815_ETF_Options_Exhibits'!W1363:W1367)),AVERAGE('20250815_ETF_Options_Exhibits'!W1363:W1367),"")</f>
        <v/>
      </c>
      <c r="X1367" s="3">
        <f>IF(ISNUMBER(AVERAGE('20250815_ETF_Options_Exhibits'!X1363:X1367)),AVERAGE('20250815_ETF_Options_Exhibits'!X1363:X1367),"")</f>
        <v/>
      </c>
      <c r="Y1367" s="3">
        <f>IF(ISNUMBER(AVERAGE('20250815_ETF_Options_Exhibits'!Y1363:Y1367)),AVERAGE('20250815_ETF_Options_Exhibits'!Y1363:Y1367),"")</f>
        <v/>
      </c>
      <c r="Z1367" s="3">
        <f>IF(ISNUMBER(AVERAGE('20250815_ETF_Options_Exhibits'!Z1363:Z1367)),AVERAGE('20250815_ETF_Options_Exhibits'!Z1363:Z1367),"")</f>
        <v/>
      </c>
      <c r="AA1367" s="3">
        <f>IF(ISNUMBER(AVERAGE('20250815_ETF_Options_Exhibits'!AA1363:AA1367)),AVERAGE('20250815_ETF_Options_Exhibits'!AA1363:AA1367),"")</f>
        <v/>
      </c>
    </row>
    <row r="1368">
      <c r="A1368" s="1" t="n">
        <v>43987</v>
      </c>
      <c r="B1368" s="3">
        <f>IF(ISNUMBER(AVERAGE('20250815_ETF_Options_Exhibits'!B1364:B1368)),AVERAGE('20250815_ETF_Options_Exhibits'!B1364:B1368),"")</f>
        <v/>
      </c>
      <c r="C1368" s="3">
        <f>IF(ISNUMBER(AVERAGE('20250815_ETF_Options_Exhibits'!C1364:C1368)),AVERAGE('20250815_ETF_Options_Exhibits'!C1364:C1368),"")</f>
        <v/>
      </c>
      <c r="D1368" s="3">
        <f>IF(ISNUMBER(AVERAGE('20250815_ETF_Options_Exhibits'!D1364:D1368)),AVERAGE('20250815_ETF_Options_Exhibits'!D1364:D1368),"")</f>
        <v/>
      </c>
      <c r="E1368" s="3">
        <f>IF(ISNUMBER(AVERAGE('20250815_ETF_Options_Exhibits'!E1364:E1368)),AVERAGE('20250815_ETF_Options_Exhibits'!E1364:E1368),"")</f>
        <v/>
      </c>
      <c r="F1368" s="3">
        <f>IF(ISNUMBER(AVERAGE('20250815_ETF_Options_Exhibits'!F1364:F1368)),AVERAGE('20250815_ETF_Options_Exhibits'!F1364:F1368),"")</f>
        <v/>
      </c>
      <c r="G1368" s="3">
        <f>IF(ISNUMBER(AVERAGE('20250815_ETF_Options_Exhibits'!G1364:G1368)),AVERAGE('20250815_ETF_Options_Exhibits'!G1364:G1368),"")</f>
        <v/>
      </c>
      <c r="H1368" s="3">
        <f>IF(ISNUMBER(AVERAGE('20250815_ETF_Options_Exhibits'!H1364:H1368)),AVERAGE('20250815_ETF_Options_Exhibits'!H1364:H1368),"")</f>
        <v/>
      </c>
      <c r="I1368" s="3">
        <f>IF(ISNUMBER(AVERAGE('20250815_ETF_Options_Exhibits'!I1364:I1368)),AVERAGE('20250815_ETF_Options_Exhibits'!I1364:I1368),"")</f>
        <v/>
      </c>
      <c r="J1368" s="3">
        <f>IF(ISNUMBER(AVERAGE('20250815_ETF_Options_Exhibits'!J1364:J1368)),AVERAGE('20250815_ETF_Options_Exhibits'!J1364:J1368),"")</f>
        <v/>
      </c>
      <c r="K1368" s="3">
        <f>IF(ISNUMBER(AVERAGE('20250815_ETF_Options_Exhibits'!K1364:K1368)),AVERAGE('20250815_ETF_Options_Exhibits'!K1364:K1368),"")</f>
        <v/>
      </c>
      <c r="L1368" s="3">
        <f>IF(ISNUMBER(AVERAGE('20250815_ETF_Options_Exhibits'!L1364:L1368)),AVERAGE('20250815_ETF_Options_Exhibits'!L1364:L1368),"")</f>
        <v/>
      </c>
      <c r="M1368" s="3">
        <f>IF(ISNUMBER(AVERAGE('20250815_ETF_Options_Exhibits'!M1364:M1368)),AVERAGE('20250815_ETF_Options_Exhibits'!M1364:M1368),"")</f>
        <v/>
      </c>
      <c r="N1368" s="3">
        <f>IF(ISNUMBER(AVERAGE('20250815_ETF_Options_Exhibits'!N1364:N1368)),AVERAGE('20250815_ETF_Options_Exhibits'!N1364:N1368),"")</f>
        <v/>
      </c>
      <c r="O1368" s="3">
        <f>IF(ISNUMBER(AVERAGE('20250815_ETF_Options_Exhibits'!O1364:O1368)),AVERAGE('20250815_ETF_Options_Exhibits'!O1364:O1368),"")</f>
        <v/>
      </c>
      <c r="P1368" s="3">
        <f>IF(ISNUMBER(AVERAGE('20250815_ETF_Options_Exhibits'!P1364:P1368)),AVERAGE('20250815_ETF_Options_Exhibits'!P1364:P1368),"")</f>
        <v/>
      </c>
      <c r="Q1368" s="3">
        <f>IF(ISNUMBER(AVERAGE('20250815_ETF_Options_Exhibits'!Q1364:Q1368)),AVERAGE('20250815_ETF_Options_Exhibits'!Q1364:Q1368),"")</f>
        <v/>
      </c>
      <c r="R1368" s="3">
        <f>IF(ISNUMBER(AVERAGE('20250815_ETF_Options_Exhibits'!R1364:R1368)),AVERAGE('20250815_ETF_Options_Exhibits'!R1364:R1368),"")</f>
        <v/>
      </c>
      <c r="S1368" s="3">
        <f>IF(ISNUMBER(AVERAGE('20250815_ETF_Options_Exhibits'!S1364:S1368)),AVERAGE('20250815_ETF_Options_Exhibits'!S1364:S1368),"")</f>
        <v/>
      </c>
      <c r="T1368" s="3">
        <f>IF(ISNUMBER(AVERAGE('20250815_ETF_Options_Exhibits'!T1364:T1368)),AVERAGE('20250815_ETF_Options_Exhibits'!T1364:T1368),"")</f>
        <v/>
      </c>
      <c r="U1368" s="3">
        <f>IF(ISNUMBER(AVERAGE('20250815_ETF_Options_Exhibits'!U1364:U1368)),AVERAGE('20250815_ETF_Options_Exhibits'!U1364:U1368),"")</f>
        <v/>
      </c>
      <c r="V1368" s="3">
        <f>IF(ISNUMBER(AVERAGE('20250815_ETF_Options_Exhibits'!V1364:V1368)),AVERAGE('20250815_ETF_Options_Exhibits'!V1364:V1368),"")</f>
        <v/>
      </c>
      <c r="W1368" s="3">
        <f>IF(ISNUMBER(AVERAGE('20250815_ETF_Options_Exhibits'!W1364:W1368)),AVERAGE('20250815_ETF_Options_Exhibits'!W1364:W1368),"")</f>
        <v/>
      </c>
      <c r="X1368" s="3">
        <f>IF(ISNUMBER(AVERAGE('20250815_ETF_Options_Exhibits'!X1364:X1368)),AVERAGE('20250815_ETF_Options_Exhibits'!X1364:X1368),"")</f>
        <v/>
      </c>
      <c r="Y1368" s="3">
        <f>IF(ISNUMBER(AVERAGE('20250815_ETF_Options_Exhibits'!Y1364:Y1368)),AVERAGE('20250815_ETF_Options_Exhibits'!Y1364:Y1368),"")</f>
        <v/>
      </c>
      <c r="Z1368" s="3">
        <f>IF(ISNUMBER(AVERAGE('20250815_ETF_Options_Exhibits'!Z1364:Z1368)),AVERAGE('20250815_ETF_Options_Exhibits'!Z1364:Z1368),"")</f>
        <v/>
      </c>
      <c r="AA1368" s="3">
        <f>IF(ISNUMBER(AVERAGE('20250815_ETF_Options_Exhibits'!AA1364:AA1368)),AVERAGE('20250815_ETF_Options_Exhibits'!AA1364:AA1368),"")</f>
        <v/>
      </c>
    </row>
    <row r="1369">
      <c r="A1369" s="1" t="n">
        <v>43990</v>
      </c>
      <c r="B1369" s="3">
        <f>IF(ISNUMBER(AVERAGE('20250815_ETF_Options_Exhibits'!B1365:B1369)),AVERAGE('20250815_ETF_Options_Exhibits'!B1365:B1369),"")</f>
        <v/>
      </c>
      <c r="C1369" s="3">
        <f>IF(ISNUMBER(AVERAGE('20250815_ETF_Options_Exhibits'!C1365:C1369)),AVERAGE('20250815_ETF_Options_Exhibits'!C1365:C1369),"")</f>
        <v/>
      </c>
      <c r="D1369" s="3">
        <f>IF(ISNUMBER(AVERAGE('20250815_ETF_Options_Exhibits'!D1365:D1369)),AVERAGE('20250815_ETF_Options_Exhibits'!D1365:D1369),"")</f>
        <v/>
      </c>
      <c r="E1369" s="3">
        <f>IF(ISNUMBER(AVERAGE('20250815_ETF_Options_Exhibits'!E1365:E1369)),AVERAGE('20250815_ETF_Options_Exhibits'!E1365:E1369),"")</f>
        <v/>
      </c>
      <c r="F1369" s="3">
        <f>IF(ISNUMBER(AVERAGE('20250815_ETF_Options_Exhibits'!F1365:F1369)),AVERAGE('20250815_ETF_Options_Exhibits'!F1365:F1369),"")</f>
        <v/>
      </c>
      <c r="G1369" s="3">
        <f>IF(ISNUMBER(AVERAGE('20250815_ETF_Options_Exhibits'!G1365:G1369)),AVERAGE('20250815_ETF_Options_Exhibits'!G1365:G1369),"")</f>
        <v/>
      </c>
      <c r="H1369" s="3">
        <f>IF(ISNUMBER(AVERAGE('20250815_ETF_Options_Exhibits'!H1365:H1369)),AVERAGE('20250815_ETF_Options_Exhibits'!H1365:H1369),"")</f>
        <v/>
      </c>
      <c r="I1369" s="3">
        <f>IF(ISNUMBER(AVERAGE('20250815_ETF_Options_Exhibits'!I1365:I1369)),AVERAGE('20250815_ETF_Options_Exhibits'!I1365:I1369),"")</f>
        <v/>
      </c>
      <c r="J1369" s="3">
        <f>IF(ISNUMBER(AVERAGE('20250815_ETF_Options_Exhibits'!J1365:J1369)),AVERAGE('20250815_ETF_Options_Exhibits'!J1365:J1369),"")</f>
        <v/>
      </c>
      <c r="K1369" s="3">
        <f>IF(ISNUMBER(AVERAGE('20250815_ETF_Options_Exhibits'!K1365:K1369)),AVERAGE('20250815_ETF_Options_Exhibits'!K1365:K1369),"")</f>
        <v/>
      </c>
      <c r="L1369" s="3">
        <f>IF(ISNUMBER(AVERAGE('20250815_ETF_Options_Exhibits'!L1365:L1369)),AVERAGE('20250815_ETF_Options_Exhibits'!L1365:L1369),"")</f>
        <v/>
      </c>
      <c r="M1369" s="3">
        <f>IF(ISNUMBER(AVERAGE('20250815_ETF_Options_Exhibits'!M1365:M1369)),AVERAGE('20250815_ETF_Options_Exhibits'!M1365:M1369),"")</f>
        <v/>
      </c>
      <c r="N1369" s="3">
        <f>IF(ISNUMBER(AVERAGE('20250815_ETF_Options_Exhibits'!N1365:N1369)),AVERAGE('20250815_ETF_Options_Exhibits'!N1365:N1369),"")</f>
        <v/>
      </c>
      <c r="O1369" s="3">
        <f>IF(ISNUMBER(AVERAGE('20250815_ETF_Options_Exhibits'!O1365:O1369)),AVERAGE('20250815_ETF_Options_Exhibits'!O1365:O1369),"")</f>
        <v/>
      </c>
      <c r="P1369" s="3">
        <f>IF(ISNUMBER(AVERAGE('20250815_ETF_Options_Exhibits'!P1365:P1369)),AVERAGE('20250815_ETF_Options_Exhibits'!P1365:P1369),"")</f>
        <v/>
      </c>
      <c r="Q1369" s="3">
        <f>IF(ISNUMBER(AVERAGE('20250815_ETF_Options_Exhibits'!Q1365:Q1369)),AVERAGE('20250815_ETF_Options_Exhibits'!Q1365:Q1369),"")</f>
        <v/>
      </c>
      <c r="R1369" s="3">
        <f>IF(ISNUMBER(AVERAGE('20250815_ETF_Options_Exhibits'!R1365:R1369)),AVERAGE('20250815_ETF_Options_Exhibits'!R1365:R1369),"")</f>
        <v/>
      </c>
      <c r="S1369" s="3">
        <f>IF(ISNUMBER(AVERAGE('20250815_ETF_Options_Exhibits'!S1365:S1369)),AVERAGE('20250815_ETF_Options_Exhibits'!S1365:S1369),"")</f>
        <v/>
      </c>
      <c r="T1369" s="3">
        <f>IF(ISNUMBER(AVERAGE('20250815_ETF_Options_Exhibits'!T1365:T1369)),AVERAGE('20250815_ETF_Options_Exhibits'!T1365:T1369),"")</f>
        <v/>
      </c>
      <c r="U1369" s="3">
        <f>IF(ISNUMBER(AVERAGE('20250815_ETF_Options_Exhibits'!U1365:U1369)),AVERAGE('20250815_ETF_Options_Exhibits'!U1365:U1369),"")</f>
        <v/>
      </c>
      <c r="V1369" s="3">
        <f>IF(ISNUMBER(AVERAGE('20250815_ETF_Options_Exhibits'!V1365:V1369)),AVERAGE('20250815_ETF_Options_Exhibits'!V1365:V1369),"")</f>
        <v/>
      </c>
      <c r="W1369" s="3">
        <f>IF(ISNUMBER(AVERAGE('20250815_ETF_Options_Exhibits'!W1365:W1369)),AVERAGE('20250815_ETF_Options_Exhibits'!W1365:W1369),"")</f>
        <v/>
      </c>
      <c r="X1369" s="3">
        <f>IF(ISNUMBER(AVERAGE('20250815_ETF_Options_Exhibits'!X1365:X1369)),AVERAGE('20250815_ETF_Options_Exhibits'!X1365:X1369),"")</f>
        <v/>
      </c>
      <c r="Y1369" s="3">
        <f>IF(ISNUMBER(AVERAGE('20250815_ETF_Options_Exhibits'!Y1365:Y1369)),AVERAGE('20250815_ETF_Options_Exhibits'!Y1365:Y1369),"")</f>
        <v/>
      </c>
      <c r="Z1369" s="3">
        <f>IF(ISNUMBER(AVERAGE('20250815_ETF_Options_Exhibits'!Z1365:Z1369)),AVERAGE('20250815_ETF_Options_Exhibits'!Z1365:Z1369),"")</f>
        <v/>
      </c>
      <c r="AA1369" s="3">
        <f>IF(ISNUMBER(AVERAGE('20250815_ETF_Options_Exhibits'!AA1365:AA1369)),AVERAGE('20250815_ETF_Options_Exhibits'!AA1365:AA1369),"")</f>
        <v/>
      </c>
    </row>
    <row r="1370">
      <c r="A1370" s="1" t="n">
        <v>43991</v>
      </c>
      <c r="B1370" s="3">
        <f>IF(ISNUMBER(AVERAGE('20250815_ETF_Options_Exhibits'!B1366:B1370)),AVERAGE('20250815_ETF_Options_Exhibits'!B1366:B1370),"")</f>
        <v/>
      </c>
      <c r="C1370" s="3">
        <f>IF(ISNUMBER(AVERAGE('20250815_ETF_Options_Exhibits'!C1366:C1370)),AVERAGE('20250815_ETF_Options_Exhibits'!C1366:C1370),"")</f>
        <v/>
      </c>
      <c r="D1370" s="3">
        <f>IF(ISNUMBER(AVERAGE('20250815_ETF_Options_Exhibits'!D1366:D1370)),AVERAGE('20250815_ETF_Options_Exhibits'!D1366:D1370),"")</f>
        <v/>
      </c>
      <c r="E1370" s="3">
        <f>IF(ISNUMBER(AVERAGE('20250815_ETF_Options_Exhibits'!E1366:E1370)),AVERAGE('20250815_ETF_Options_Exhibits'!E1366:E1370),"")</f>
        <v/>
      </c>
      <c r="F1370" s="3">
        <f>IF(ISNUMBER(AVERAGE('20250815_ETF_Options_Exhibits'!F1366:F1370)),AVERAGE('20250815_ETF_Options_Exhibits'!F1366:F1370),"")</f>
        <v/>
      </c>
      <c r="G1370" s="3">
        <f>IF(ISNUMBER(AVERAGE('20250815_ETF_Options_Exhibits'!G1366:G1370)),AVERAGE('20250815_ETF_Options_Exhibits'!G1366:G1370),"")</f>
        <v/>
      </c>
      <c r="H1370" s="3">
        <f>IF(ISNUMBER(AVERAGE('20250815_ETF_Options_Exhibits'!H1366:H1370)),AVERAGE('20250815_ETF_Options_Exhibits'!H1366:H1370),"")</f>
        <v/>
      </c>
      <c r="I1370" s="3">
        <f>IF(ISNUMBER(AVERAGE('20250815_ETF_Options_Exhibits'!I1366:I1370)),AVERAGE('20250815_ETF_Options_Exhibits'!I1366:I1370),"")</f>
        <v/>
      </c>
      <c r="J1370" s="3">
        <f>IF(ISNUMBER(AVERAGE('20250815_ETF_Options_Exhibits'!J1366:J1370)),AVERAGE('20250815_ETF_Options_Exhibits'!J1366:J1370),"")</f>
        <v/>
      </c>
      <c r="K1370" s="3">
        <f>IF(ISNUMBER(AVERAGE('20250815_ETF_Options_Exhibits'!K1366:K1370)),AVERAGE('20250815_ETF_Options_Exhibits'!K1366:K1370),"")</f>
        <v/>
      </c>
      <c r="L1370" s="3">
        <f>IF(ISNUMBER(AVERAGE('20250815_ETF_Options_Exhibits'!L1366:L1370)),AVERAGE('20250815_ETF_Options_Exhibits'!L1366:L1370),"")</f>
        <v/>
      </c>
      <c r="M1370" s="3">
        <f>IF(ISNUMBER(AVERAGE('20250815_ETF_Options_Exhibits'!M1366:M1370)),AVERAGE('20250815_ETF_Options_Exhibits'!M1366:M1370),"")</f>
        <v/>
      </c>
      <c r="N1370" s="3">
        <f>IF(ISNUMBER(AVERAGE('20250815_ETF_Options_Exhibits'!N1366:N1370)),AVERAGE('20250815_ETF_Options_Exhibits'!N1366:N1370),"")</f>
        <v/>
      </c>
      <c r="O1370" s="3">
        <f>IF(ISNUMBER(AVERAGE('20250815_ETF_Options_Exhibits'!O1366:O1370)),AVERAGE('20250815_ETF_Options_Exhibits'!O1366:O1370),"")</f>
        <v/>
      </c>
      <c r="P1370" s="3">
        <f>IF(ISNUMBER(AVERAGE('20250815_ETF_Options_Exhibits'!P1366:P1370)),AVERAGE('20250815_ETF_Options_Exhibits'!P1366:P1370),"")</f>
        <v/>
      </c>
      <c r="Q1370" s="3">
        <f>IF(ISNUMBER(AVERAGE('20250815_ETF_Options_Exhibits'!Q1366:Q1370)),AVERAGE('20250815_ETF_Options_Exhibits'!Q1366:Q1370),"")</f>
        <v/>
      </c>
      <c r="R1370" s="3">
        <f>IF(ISNUMBER(AVERAGE('20250815_ETF_Options_Exhibits'!R1366:R1370)),AVERAGE('20250815_ETF_Options_Exhibits'!R1366:R1370),"")</f>
        <v/>
      </c>
      <c r="S1370" s="3">
        <f>IF(ISNUMBER(AVERAGE('20250815_ETF_Options_Exhibits'!S1366:S1370)),AVERAGE('20250815_ETF_Options_Exhibits'!S1366:S1370),"")</f>
        <v/>
      </c>
      <c r="T1370" s="3">
        <f>IF(ISNUMBER(AVERAGE('20250815_ETF_Options_Exhibits'!T1366:T1370)),AVERAGE('20250815_ETF_Options_Exhibits'!T1366:T1370),"")</f>
        <v/>
      </c>
      <c r="U1370" s="3">
        <f>IF(ISNUMBER(AVERAGE('20250815_ETF_Options_Exhibits'!U1366:U1370)),AVERAGE('20250815_ETF_Options_Exhibits'!U1366:U1370),"")</f>
        <v/>
      </c>
      <c r="V1370" s="3">
        <f>IF(ISNUMBER(AVERAGE('20250815_ETF_Options_Exhibits'!V1366:V1370)),AVERAGE('20250815_ETF_Options_Exhibits'!V1366:V1370),"")</f>
        <v/>
      </c>
      <c r="W1370" s="3">
        <f>IF(ISNUMBER(AVERAGE('20250815_ETF_Options_Exhibits'!W1366:W1370)),AVERAGE('20250815_ETF_Options_Exhibits'!W1366:W1370),"")</f>
        <v/>
      </c>
      <c r="X1370" s="3">
        <f>IF(ISNUMBER(AVERAGE('20250815_ETF_Options_Exhibits'!X1366:X1370)),AVERAGE('20250815_ETF_Options_Exhibits'!X1366:X1370),"")</f>
        <v/>
      </c>
      <c r="Y1370" s="3">
        <f>IF(ISNUMBER(AVERAGE('20250815_ETF_Options_Exhibits'!Y1366:Y1370)),AVERAGE('20250815_ETF_Options_Exhibits'!Y1366:Y1370),"")</f>
        <v/>
      </c>
      <c r="Z1370" s="3">
        <f>IF(ISNUMBER(AVERAGE('20250815_ETF_Options_Exhibits'!Z1366:Z1370)),AVERAGE('20250815_ETF_Options_Exhibits'!Z1366:Z1370),"")</f>
        <v/>
      </c>
      <c r="AA1370" s="3">
        <f>IF(ISNUMBER(AVERAGE('20250815_ETF_Options_Exhibits'!AA1366:AA1370)),AVERAGE('20250815_ETF_Options_Exhibits'!AA1366:AA1370),"")</f>
        <v/>
      </c>
    </row>
    <row r="1371">
      <c r="A1371" s="1" t="n">
        <v>43992</v>
      </c>
      <c r="B1371" s="3">
        <f>IF(ISNUMBER(AVERAGE('20250815_ETF_Options_Exhibits'!B1367:B1371)),AVERAGE('20250815_ETF_Options_Exhibits'!B1367:B1371),"")</f>
        <v/>
      </c>
      <c r="C1371" s="3">
        <f>IF(ISNUMBER(AVERAGE('20250815_ETF_Options_Exhibits'!C1367:C1371)),AVERAGE('20250815_ETF_Options_Exhibits'!C1367:C1371),"")</f>
        <v/>
      </c>
      <c r="D1371" s="3">
        <f>IF(ISNUMBER(AVERAGE('20250815_ETF_Options_Exhibits'!D1367:D1371)),AVERAGE('20250815_ETF_Options_Exhibits'!D1367:D1371),"")</f>
        <v/>
      </c>
      <c r="E1371" s="3">
        <f>IF(ISNUMBER(AVERAGE('20250815_ETF_Options_Exhibits'!E1367:E1371)),AVERAGE('20250815_ETF_Options_Exhibits'!E1367:E1371),"")</f>
        <v/>
      </c>
      <c r="F1371" s="3">
        <f>IF(ISNUMBER(AVERAGE('20250815_ETF_Options_Exhibits'!F1367:F1371)),AVERAGE('20250815_ETF_Options_Exhibits'!F1367:F1371),"")</f>
        <v/>
      </c>
      <c r="G1371" s="3">
        <f>IF(ISNUMBER(AVERAGE('20250815_ETF_Options_Exhibits'!G1367:G1371)),AVERAGE('20250815_ETF_Options_Exhibits'!G1367:G1371),"")</f>
        <v/>
      </c>
      <c r="H1371" s="3">
        <f>IF(ISNUMBER(AVERAGE('20250815_ETF_Options_Exhibits'!H1367:H1371)),AVERAGE('20250815_ETF_Options_Exhibits'!H1367:H1371),"")</f>
        <v/>
      </c>
      <c r="I1371" s="3">
        <f>IF(ISNUMBER(AVERAGE('20250815_ETF_Options_Exhibits'!I1367:I1371)),AVERAGE('20250815_ETF_Options_Exhibits'!I1367:I1371),"")</f>
        <v/>
      </c>
      <c r="J1371" s="3">
        <f>IF(ISNUMBER(AVERAGE('20250815_ETF_Options_Exhibits'!J1367:J1371)),AVERAGE('20250815_ETF_Options_Exhibits'!J1367:J1371),"")</f>
        <v/>
      </c>
      <c r="K1371" s="3">
        <f>IF(ISNUMBER(AVERAGE('20250815_ETF_Options_Exhibits'!K1367:K1371)),AVERAGE('20250815_ETF_Options_Exhibits'!K1367:K1371),"")</f>
        <v/>
      </c>
      <c r="L1371" s="3">
        <f>IF(ISNUMBER(AVERAGE('20250815_ETF_Options_Exhibits'!L1367:L1371)),AVERAGE('20250815_ETF_Options_Exhibits'!L1367:L1371),"")</f>
        <v/>
      </c>
      <c r="M1371" s="3">
        <f>IF(ISNUMBER(AVERAGE('20250815_ETF_Options_Exhibits'!M1367:M1371)),AVERAGE('20250815_ETF_Options_Exhibits'!M1367:M1371),"")</f>
        <v/>
      </c>
      <c r="N1371" s="3">
        <f>IF(ISNUMBER(AVERAGE('20250815_ETF_Options_Exhibits'!N1367:N1371)),AVERAGE('20250815_ETF_Options_Exhibits'!N1367:N1371),"")</f>
        <v/>
      </c>
      <c r="O1371" s="3">
        <f>IF(ISNUMBER(AVERAGE('20250815_ETF_Options_Exhibits'!O1367:O1371)),AVERAGE('20250815_ETF_Options_Exhibits'!O1367:O1371),"")</f>
        <v/>
      </c>
      <c r="P1371" s="3">
        <f>IF(ISNUMBER(AVERAGE('20250815_ETF_Options_Exhibits'!P1367:P1371)),AVERAGE('20250815_ETF_Options_Exhibits'!P1367:P1371),"")</f>
        <v/>
      </c>
      <c r="Q1371" s="3">
        <f>IF(ISNUMBER(AVERAGE('20250815_ETF_Options_Exhibits'!Q1367:Q1371)),AVERAGE('20250815_ETF_Options_Exhibits'!Q1367:Q1371),"")</f>
        <v/>
      </c>
      <c r="R1371" s="3">
        <f>IF(ISNUMBER(AVERAGE('20250815_ETF_Options_Exhibits'!R1367:R1371)),AVERAGE('20250815_ETF_Options_Exhibits'!R1367:R1371),"")</f>
        <v/>
      </c>
      <c r="S1371" s="3">
        <f>IF(ISNUMBER(AVERAGE('20250815_ETF_Options_Exhibits'!S1367:S1371)),AVERAGE('20250815_ETF_Options_Exhibits'!S1367:S1371),"")</f>
        <v/>
      </c>
      <c r="T1371" s="3">
        <f>IF(ISNUMBER(AVERAGE('20250815_ETF_Options_Exhibits'!T1367:T1371)),AVERAGE('20250815_ETF_Options_Exhibits'!T1367:T1371),"")</f>
        <v/>
      </c>
      <c r="U1371" s="3">
        <f>IF(ISNUMBER(AVERAGE('20250815_ETF_Options_Exhibits'!U1367:U1371)),AVERAGE('20250815_ETF_Options_Exhibits'!U1367:U1371),"")</f>
        <v/>
      </c>
      <c r="V1371" s="3">
        <f>IF(ISNUMBER(AVERAGE('20250815_ETF_Options_Exhibits'!V1367:V1371)),AVERAGE('20250815_ETF_Options_Exhibits'!V1367:V1371),"")</f>
        <v/>
      </c>
      <c r="W1371" s="3">
        <f>IF(ISNUMBER(AVERAGE('20250815_ETF_Options_Exhibits'!W1367:W1371)),AVERAGE('20250815_ETF_Options_Exhibits'!W1367:W1371),"")</f>
        <v/>
      </c>
      <c r="X1371" s="3">
        <f>IF(ISNUMBER(AVERAGE('20250815_ETF_Options_Exhibits'!X1367:X1371)),AVERAGE('20250815_ETF_Options_Exhibits'!X1367:X1371),"")</f>
        <v/>
      </c>
      <c r="Y1371" s="3">
        <f>IF(ISNUMBER(AVERAGE('20250815_ETF_Options_Exhibits'!Y1367:Y1371)),AVERAGE('20250815_ETF_Options_Exhibits'!Y1367:Y1371),"")</f>
        <v/>
      </c>
      <c r="Z1371" s="3">
        <f>IF(ISNUMBER(AVERAGE('20250815_ETF_Options_Exhibits'!Z1367:Z1371)),AVERAGE('20250815_ETF_Options_Exhibits'!Z1367:Z1371),"")</f>
        <v/>
      </c>
      <c r="AA1371" s="3">
        <f>IF(ISNUMBER(AVERAGE('20250815_ETF_Options_Exhibits'!AA1367:AA1371)),AVERAGE('20250815_ETF_Options_Exhibits'!AA1367:AA1371),"")</f>
        <v/>
      </c>
    </row>
    <row r="1372">
      <c r="A1372" s="1" t="n">
        <v>43993</v>
      </c>
      <c r="B1372" s="3">
        <f>IF(ISNUMBER(AVERAGE('20250815_ETF_Options_Exhibits'!B1368:B1372)),AVERAGE('20250815_ETF_Options_Exhibits'!B1368:B1372),"")</f>
        <v/>
      </c>
      <c r="C1372" s="3">
        <f>IF(ISNUMBER(AVERAGE('20250815_ETF_Options_Exhibits'!C1368:C1372)),AVERAGE('20250815_ETF_Options_Exhibits'!C1368:C1372),"")</f>
        <v/>
      </c>
      <c r="D1372" s="3">
        <f>IF(ISNUMBER(AVERAGE('20250815_ETF_Options_Exhibits'!D1368:D1372)),AVERAGE('20250815_ETF_Options_Exhibits'!D1368:D1372),"")</f>
        <v/>
      </c>
      <c r="E1372" s="3">
        <f>IF(ISNUMBER(AVERAGE('20250815_ETF_Options_Exhibits'!E1368:E1372)),AVERAGE('20250815_ETF_Options_Exhibits'!E1368:E1372),"")</f>
        <v/>
      </c>
      <c r="F1372" s="3">
        <f>IF(ISNUMBER(AVERAGE('20250815_ETF_Options_Exhibits'!F1368:F1372)),AVERAGE('20250815_ETF_Options_Exhibits'!F1368:F1372),"")</f>
        <v/>
      </c>
      <c r="G1372" s="3">
        <f>IF(ISNUMBER(AVERAGE('20250815_ETF_Options_Exhibits'!G1368:G1372)),AVERAGE('20250815_ETF_Options_Exhibits'!G1368:G1372),"")</f>
        <v/>
      </c>
      <c r="H1372" s="3">
        <f>IF(ISNUMBER(AVERAGE('20250815_ETF_Options_Exhibits'!H1368:H1372)),AVERAGE('20250815_ETF_Options_Exhibits'!H1368:H1372),"")</f>
        <v/>
      </c>
      <c r="I1372" s="3">
        <f>IF(ISNUMBER(AVERAGE('20250815_ETF_Options_Exhibits'!I1368:I1372)),AVERAGE('20250815_ETF_Options_Exhibits'!I1368:I1372),"")</f>
        <v/>
      </c>
      <c r="J1372" s="3">
        <f>IF(ISNUMBER(AVERAGE('20250815_ETF_Options_Exhibits'!J1368:J1372)),AVERAGE('20250815_ETF_Options_Exhibits'!J1368:J1372),"")</f>
        <v/>
      </c>
      <c r="K1372" s="3">
        <f>IF(ISNUMBER(AVERAGE('20250815_ETF_Options_Exhibits'!K1368:K1372)),AVERAGE('20250815_ETF_Options_Exhibits'!K1368:K1372),"")</f>
        <v/>
      </c>
      <c r="L1372" s="3">
        <f>IF(ISNUMBER(AVERAGE('20250815_ETF_Options_Exhibits'!L1368:L1372)),AVERAGE('20250815_ETF_Options_Exhibits'!L1368:L1372),"")</f>
        <v/>
      </c>
      <c r="M1372" s="3">
        <f>IF(ISNUMBER(AVERAGE('20250815_ETF_Options_Exhibits'!M1368:M1372)),AVERAGE('20250815_ETF_Options_Exhibits'!M1368:M1372),"")</f>
        <v/>
      </c>
      <c r="N1372" s="3">
        <f>IF(ISNUMBER(AVERAGE('20250815_ETF_Options_Exhibits'!N1368:N1372)),AVERAGE('20250815_ETF_Options_Exhibits'!N1368:N1372),"")</f>
        <v/>
      </c>
      <c r="O1372" s="3">
        <f>IF(ISNUMBER(AVERAGE('20250815_ETF_Options_Exhibits'!O1368:O1372)),AVERAGE('20250815_ETF_Options_Exhibits'!O1368:O1372),"")</f>
        <v/>
      </c>
      <c r="P1372" s="3">
        <f>IF(ISNUMBER(AVERAGE('20250815_ETF_Options_Exhibits'!P1368:P1372)),AVERAGE('20250815_ETF_Options_Exhibits'!P1368:P1372),"")</f>
        <v/>
      </c>
      <c r="Q1372" s="3">
        <f>IF(ISNUMBER(AVERAGE('20250815_ETF_Options_Exhibits'!Q1368:Q1372)),AVERAGE('20250815_ETF_Options_Exhibits'!Q1368:Q1372),"")</f>
        <v/>
      </c>
      <c r="R1372" s="3">
        <f>IF(ISNUMBER(AVERAGE('20250815_ETF_Options_Exhibits'!R1368:R1372)),AVERAGE('20250815_ETF_Options_Exhibits'!R1368:R1372),"")</f>
        <v/>
      </c>
      <c r="S1372" s="3">
        <f>IF(ISNUMBER(AVERAGE('20250815_ETF_Options_Exhibits'!S1368:S1372)),AVERAGE('20250815_ETF_Options_Exhibits'!S1368:S1372),"")</f>
        <v/>
      </c>
      <c r="T1372" s="3">
        <f>IF(ISNUMBER(AVERAGE('20250815_ETF_Options_Exhibits'!T1368:T1372)),AVERAGE('20250815_ETF_Options_Exhibits'!T1368:T1372),"")</f>
        <v/>
      </c>
      <c r="U1372" s="3">
        <f>IF(ISNUMBER(AVERAGE('20250815_ETF_Options_Exhibits'!U1368:U1372)),AVERAGE('20250815_ETF_Options_Exhibits'!U1368:U1372),"")</f>
        <v/>
      </c>
      <c r="V1372" s="3">
        <f>IF(ISNUMBER(AVERAGE('20250815_ETF_Options_Exhibits'!V1368:V1372)),AVERAGE('20250815_ETF_Options_Exhibits'!V1368:V1372),"")</f>
        <v/>
      </c>
      <c r="W1372" s="3">
        <f>IF(ISNUMBER(AVERAGE('20250815_ETF_Options_Exhibits'!W1368:W1372)),AVERAGE('20250815_ETF_Options_Exhibits'!W1368:W1372),"")</f>
        <v/>
      </c>
      <c r="X1372" s="3">
        <f>IF(ISNUMBER(AVERAGE('20250815_ETF_Options_Exhibits'!X1368:X1372)),AVERAGE('20250815_ETF_Options_Exhibits'!X1368:X1372),"")</f>
        <v/>
      </c>
      <c r="Y1372" s="3">
        <f>IF(ISNUMBER(AVERAGE('20250815_ETF_Options_Exhibits'!Y1368:Y1372)),AVERAGE('20250815_ETF_Options_Exhibits'!Y1368:Y1372),"")</f>
        <v/>
      </c>
      <c r="Z1372" s="3">
        <f>IF(ISNUMBER(AVERAGE('20250815_ETF_Options_Exhibits'!Z1368:Z1372)),AVERAGE('20250815_ETF_Options_Exhibits'!Z1368:Z1372),"")</f>
        <v/>
      </c>
      <c r="AA1372" s="3">
        <f>IF(ISNUMBER(AVERAGE('20250815_ETF_Options_Exhibits'!AA1368:AA1372)),AVERAGE('20250815_ETF_Options_Exhibits'!AA1368:AA1372),"")</f>
        <v/>
      </c>
    </row>
    <row r="1373">
      <c r="A1373" s="1" t="n">
        <v>43994</v>
      </c>
      <c r="B1373" s="3">
        <f>IF(ISNUMBER(AVERAGE('20250815_ETF_Options_Exhibits'!B1369:B1373)),AVERAGE('20250815_ETF_Options_Exhibits'!B1369:B1373),"")</f>
        <v/>
      </c>
      <c r="C1373" s="3">
        <f>IF(ISNUMBER(AVERAGE('20250815_ETF_Options_Exhibits'!C1369:C1373)),AVERAGE('20250815_ETF_Options_Exhibits'!C1369:C1373),"")</f>
        <v/>
      </c>
      <c r="D1373" s="3">
        <f>IF(ISNUMBER(AVERAGE('20250815_ETF_Options_Exhibits'!D1369:D1373)),AVERAGE('20250815_ETF_Options_Exhibits'!D1369:D1373),"")</f>
        <v/>
      </c>
      <c r="E1373" s="3">
        <f>IF(ISNUMBER(AVERAGE('20250815_ETF_Options_Exhibits'!E1369:E1373)),AVERAGE('20250815_ETF_Options_Exhibits'!E1369:E1373),"")</f>
        <v/>
      </c>
      <c r="F1373" s="3">
        <f>IF(ISNUMBER(AVERAGE('20250815_ETF_Options_Exhibits'!F1369:F1373)),AVERAGE('20250815_ETF_Options_Exhibits'!F1369:F1373),"")</f>
        <v/>
      </c>
      <c r="G1373" s="3">
        <f>IF(ISNUMBER(AVERAGE('20250815_ETF_Options_Exhibits'!G1369:G1373)),AVERAGE('20250815_ETF_Options_Exhibits'!G1369:G1373),"")</f>
        <v/>
      </c>
      <c r="H1373" s="3">
        <f>IF(ISNUMBER(AVERAGE('20250815_ETF_Options_Exhibits'!H1369:H1373)),AVERAGE('20250815_ETF_Options_Exhibits'!H1369:H1373),"")</f>
        <v/>
      </c>
      <c r="I1373" s="3">
        <f>IF(ISNUMBER(AVERAGE('20250815_ETF_Options_Exhibits'!I1369:I1373)),AVERAGE('20250815_ETF_Options_Exhibits'!I1369:I1373),"")</f>
        <v/>
      </c>
      <c r="J1373" s="3">
        <f>IF(ISNUMBER(AVERAGE('20250815_ETF_Options_Exhibits'!J1369:J1373)),AVERAGE('20250815_ETF_Options_Exhibits'!J1369:J1373),"")</f>
        <v/>
      </c>
      <c r="K1373" s="3">
        <f>IF(ISNUMBER(AVERAGE('20250815_ETF_Options_Exhibits'!K1369:K1373)),AVERAGE('20250815_ETF_Options_Exhibits'!K1369:K1373),"")</f>
        <v/>
      </c>
      <c r="L1373" s="3">
        <f>IF(ISNUMBER(AVERAGE('20250815_ETF_Options_Exhibits'!L1369:L1373)),AVERAGE('20250815_ETF_Options_Exhibits'!L1369:L1373),"")</f>
        <v/>
      </c>
      <c r="M1373" s="3">
        <f>IF(ISNUMBER(AVERAGE('20250815_ETF_Options_Exhibits'!M1369:M1373)),AVERAGE('20250815_ETF_Options_Exhibits'!M1369:M1373),"")</f>
        <v/>
      </c>
      <c r="N1373" s="3">
        <f>IF(ISNUMBER(AVERAGE('20250815_ETF_Options_Exhibits'!N1369:N1373)),AVERAGE('20250815_ETF_Options_Exhibits'!N1369:N1373),"")</f>
        <v/>
      </c>
      <c r="O1373" s="3">
        <f>IF(ISNUMBER(AVERAGE('20250815_ETF_Options_Exhibits'!O1369:O1373)),AVERAGE('20250815_ETF_Options_Exhibits'!O1369:O1373),"")</f>
        <v/>
      </c>
      <c r="P1373" s="3">
        <f>IF(ISNUMBER(AVERAGE('20250815_ETF_Options_Exhibits'!P1369:P1373)),AVERAGE('20250815_ETF_Options_Exhibits'!P1369:P1373),"")</f>
        <v/>
      </c>
      <c r="Q1373" s="3">
        <f>IF(ISNUMBER(AVERAGE('20250815_ETF_Options_Exhibits'!Q1369:Q1373)),AVERAGE('20250815_ETF_Options_Exhibits'!Q1369:Q1373),"")</f>
        <v/>
      </c>
      <c r="R1373" s="3">
        <f>IF(ISNUMBER(AVERAGE('20250815_ETF_Options_Exhibits'!R1369:R1373)),AVERAGE('20250815_ETF_Options_Exhibits'!R1369:R1373),"")</f>
        <v/>
      </c>
      <c r="S1373" s="3">
        <f>IF(ISNUMBER(AVERAGE('20250815_ETF_Options_Exhibits'!S1369:S1373)),AVERAGE('20250815_ETF_Options_Exhibits'!S1369:S1373),"")</f>
        <v/>
      </c>
      <c r="T1373" s="3">
        <f>IF(ISNUMBER(AVERAGE('20250815_ETF_Options_Exhibits'!T1369:T1373)),AVERAGE('20250815_ETF_Options_Exhibits'!T1369:T1373),"")</f>
        <v/>
      </c>
      <c r="U1373" s="3">
        <f>IF(ISNUMBER(AVERAGE('20250815_ETF_Options_Exhibits'!U1369:U1373)),AVERAGE('20250815_ETF_Options_Exhibits'!U1369:U1373),"")</f>
        <v/>
      </c>
      <c r="V1373" s="3">
        <f>IF(ISNUMBER(AVERAGE('20250815_ETF_Options_Exhibits'!V1369:V1373)),AVERAGE('20250815_ETF_Options_Exhibits'!V1369:V1373),"")</f>
        <v/>
      </c>
      <c r="W1373" s="3">
        <f>IF(ISNUMBER(AVERAGE('20250815_ETF_Options_Exhibits'!W1369:W1373)),AVERAGE('20250815_ETF_Options_Exhibits'!W1369:W1373),"")</f>
        <v/>
      </c>
      <c r="X1373" s="3">
        <f>IF(ISNUMBER(AVERAGE('20250815_ETF_Options_Exhibits'!X1369:X1373)),AVERAGE('20250815_ETF_Options_Exhibits'!X1369:X1373),"")</f>
        <v/>
      </c>
      <c r="Y1373" s="3">
        <f>IF(ISNUMBER(AVERAGE('20250815_ETF_Options_Exhibits'!Y1369:Y1373)),AVERAGE('20250815_ETF_Options_Exhibits'!Y1369:Y1373),"")</f>
        <v/>
      </c>
      <c r="Z1373" s="3">
        <f>IF(ISNUMBER(AVERAGE('20250815_ETF_Options_Exhibits'!Z1369:Z1373)),AVERAGE('20250815_ETF_Options_Exhibits'!Z1369:Z1373),"")</f>
        <v/>
      </c>
      <c r="AA1373" s="3">
        <f>IF(ISNUMBER(AVERAGE('20250815_ETF_Options_Exhibits'!AA1369:AA1373)),AVERAGE('20250815_ETF_Options_Exhibits'!AA1369:AA1373),"")</f>
        <v/>
      </c>
    </row>
    <row r="1374">
      <c r="A1374" s="1" t="n">
        <v>43997</v>
      </c>
      <c r="B1374" s="3">
        <f>IF(ISNUMBER(AVERAGE('20250815_ETF_Options_Exhibits'!B1370:B1374)),AVERAGE('20250815_ETF_Options_Exhibits'!B1370:B1374),"")</f>
        <v/>
      </c>
      <c r="C1374" s="3">
        <f>IF(ISNUMBER(AVERAGE('20250815_ETF_Options_Exhibits'!C1370:C1374)),AVERAGE('20250815_ETF_Options_Exhibits'!C1370:C1374),"")</f>
        <v/>
      </c>
      <c r="D1374" s="3">
        <f>IF(ISNUMBER(AVERAGE('20250815_ETF_Options_Exhibits'!D1370:D1374)),AVERAGE('20250815_ETF_Options_Exhibits'!D1370:D1374),"")</f>
        <v/>
      </c>
      <c r="E1374" s="3">
        <f>IF(ISNUMBER(AVERAGE('20250815_ETF_Options_Exhibits'!E1370:E1374)),AVERAGE('20250815_ETF_Options_Exhibits'!E1370:E1374),"")</f>
        <v/>
      </c>
      <c r="F1374" s="3">
        <f>IF(ISNUMBER(AVERAGE('20250815_ETF_Options_Exhibits'!F1370:F1374)),AVERAGE('20250815_ETF_Options_Exhibits'!F1370:F1374),"")</f>
        <v/>
      </c>
      <c r="G1374" s="3">
        <f>IF(ISNUMBER(AVERAGE('20250815_ETF_Options_Exhibits'!G1370:G1374)),AVERAGE('20250815_ETF_Options_Exhibits'!G1370:G1374),"")</f>
        <v/>
      </c>
      <c r="H1374" s="3">
        <f>IF(ISNUMBER(AVERAGE('20250815_ETF_Options_Exhibits'!H1370:H1374)),AVERAGE('20250815_ETF_Options_Exhibits'!H1370:H1374),"")</f>
        <v/>
      </c>
      <c r="I1374" s="3">
        <f>IF(ISNUMBER(AVERAGE('20250815_ETF_Options_Exhibits'!I1370:I1374)),AVERAGE('20250815_ETF_Options_Exhibits'!I1370:I1374),"")</f>
        <v/>
      </c>
      <c r="J1374" s="3">
        <f>IF(ISNUMBER(AVERAGE('20250815_ETF_Options_Exhibits'!J1370:J1374)),AVERAGE('20250815_ETF_Options_Exhibits'!J1370:J1374),"")</f>
        <v/>
      </c>
      <c r="K1374" s="3">
        <f>IF(ISNUMBER(AVERAGE('20250815_ETF_Options_Exhibits'!K1370:K1374)),AVERAGE('20250815_ETF_Options_Exhibits'!K1370:K1374),"")</f>
        <v/>
      </c>
      <c r="L1374" s="3">
        <f>IF(ISNUMBER(AVERAGE('20250815_ETF_Options_Exhibits'!L1370:L1374)),AVERAGE('20250815_ETF_Options_Exhibits'!L1370:L1374),"")</f>
        <v/>
      </c>
      <c r="M1374" s="3">
        <f>IF(ISNUMBER(AVERAGE('20250815_ETF_Options_Exhibits'!M1370:M1374)),AVERAGE('20250815_ETF_Options_Exhibits'!M1370:M1374),"")</f>
        <v/>
      </c>
      <c r="N1374" s="3">
        <f>IF(ISNUMBER(AVERAGE('20250815_ETF_Options_Exhibits'!N1370:N1374)),AVERAGE('20250815_ETF_Options_Exhibits'!N1370:N1374),"")</f>
        <v/>
      </c>
      <c r="O1374" s="3">
        <f>IF(ISNUMBER(AVERAGE('20250815_ETF_Options_Exhibits'!O1370:O1374)),AVERAGE('20250815_ETF_Options_Exhibits'!O1370:O1374),"")</f>
        <v/>
      </c>
      <c r="P1374" s="3">
        <f>IF(ISNUMBER(AVERAGE('20250815_ETF_Options_Exhibits'!P1370:P1374)),AVERAGE('20250815_ETF_Options_Exhibits'!P1370:P1374),"")</f>
        <v/>
      </c>
      <c r="Q1374" s="3">
        <f>IF(ISNUMBER(AVERAGE('20250815_ETF_Options_Exhibits'!Q1370:Q1374)),AVERAGE('20250815_ETF_Options_Exhibits'!Q1370:Q1374),"")</f>
        <v/>
      </c>
      <c r="R1374" s="3">
        <f>IF(ISNUMBER(AVERAGE('20250815_ETF_Options_Exhibits'!R1370:R1374)),AVERAGE('20250815_ETF_Options_Exhibits'!R1370:R1374),"")</f>
        <v/>
      </c>
      <c r="S1374" s="3">
        <f>IF(ISNUMBER(AVERAGE('20250815_ETF_Options_Exhibits'!S1370:S1374)),AVERAGE('20250815_ETF_Options_Exhibits'!S1370:S1374),"")</f>
        <v/>
      </c>
      <c r="T1374" s="3">
        <f>IF(ISNUMBER(AVERAGE('20250815_ETF_Options_Exhibits'!T1370:T1374)),AVERAGE('20250815_ETF_Options_Exhibits'!T1370:T1374),"")</f>
        <v/>
      </c>
      <c r="U1374" s="3">
        <f>IF(ISNUMBER(AVERAGE('20250815_ETF_Options_Exhibits'!U1370:U1374)),AVERAGE('20250815_ETF_Options_Exhibits'!U1370:U1374),"")</f>
        <v/>
      </c>
      <c r="V1374" s="3">
        <f>IF(ISNUMBER(AVERAGE('20250815_ETF_Options_Exhibits'!V1370:V1374)),AVERAGE('20250815_ETF_Options_Exhibits'!V1370:V1374),"")</f>
        <v/>
      </c>
      <c r="W1374" s="3">
        <f>IF(ISNUMBER(AVERAGE('20250815_ETF_Options_Exhibits'!W1370:W1374)),AVERAGE('20250815_ETF_Options_Exhibits'!W1370:W1374),"")</f>
        <v/>
      </c>
      <c r="X1374" s="3">
        <f>IF(ISNUMBER(AVERAGE('20250815_ETF_Options_Exhibits'!X1370:X1374)),AVERAGE('20250815_ETF_Options_Exhibits'!X1370:X1374),"")</f>
        <v/>
      </c>
      <c r="Y1374" s="3">
        <f>IF(ISNUMBER(AVERAGE('20250815_ETF_Options_Exhibits'!Y1370:Y1374)),AVERAGE('20250815_ETF_Options_Exhibits'!Y1370:Y1374),"")</f>
        <v/>
      </c>
      <c r="Z1374" s="3">
        <f>IF(ISNUMBER(AVERAGE('20250815_ETF_Options_Exhibits'!Z1370:Z1374)),AVERAGE('20250815_ETF_Options_Exhibits'!Z1370:Z1374),"")</f>
        <v/>
      </c>
      <c r="AA1374" s="3">
        <f>IF(ISNUMBER(AVERAGE('20250815_ETF_Options_Exhibits'!AA1370:AA1374)),AVERAGE('20250815_ETF_Options_Exhibits'!AA1370:AA1374),"")</f>
        <v/>
      </c>
    </row>
    <row r="1375">
      <c r="A1375" s="1" t="n">
        <v>43998</v>
      </c>
      <c r="B1375" s="3">
        <f>IF(ISNUMBER(AVERAGE('20250815_ETF_Options_Exhibits'!B1371:B1375)),AVERAGE('20250815_ETF_Options_Exhibits'!B1371:B1375),"")</f>
        <v/>
      </c>
      <c r="C1375" s="3">
        <f>IF(ISNUMBER(AVERAGE('20250815_ETF_Options_Exhibits'!C1371:C1375)),AVERAGE('20250815_ETF_Options_Exhibits'!C1371:C1375),"")</f>
        <v/>
      </c>
      <c r="D1375" s="3">
        <f>IF(ISNUMBER(AVERAGE('20250815_ETF_Options_Exhibits'!D1371:D1375)),AVERAGE('20250815_ETF_Options_Exhibits'!D1371:D1375),"")</f>
        <v/>
      </c>
      <c r="E1375" s="3">
        <f>IF(ISNUMBER(AVERAGE('20250815_ETF_Options_Exhibits'!E1371:E1375)),AVERAGE('20250815_ETF_Options_Exhibits'!E1371:E1375),"")</f>
        <v/>
      </c>
      <c r="F1375" s="3">
        <f>IF(ISNUMBER(AVERAGE('20250815_ETF_Options_Exhibits'!F1371:F1375)),AVERAGE('20250815_ETF_Options_Exhibits'!F1371:F1375),"")</f>
        <v/>
      </c>
      <c r="G1375" s="3">
        <f>IF(ISNUMBER(AVERAGE('20250815_ETF_Options_Exhibits'!G1371:G1375)),AVERAGE('20250815_ETF_Options_Exhibits'!G1371:G1375),"")</f>
        <v/>
      </c>
      <c r="H1375" s="3">
        <f>IF(ISNUMBER(AVERAGE('20250815_ETF_Options_Exhibits'!H1371:H1375)),AVERAGE('20250815_ETF_Options_Exhibits'!H1371:H1375),"")</f>
        <v/>
      </c>
      <c r="I1375" s="3">
        <f>IF(ISNUMBER(AVERAGE('20250815_ETF_Options_Exhibits'!I1371:I1375)),AVERAGE('20250815_ETF_Options_Exhibits'!I1371:I1375),"")</f>
        <v/>
      </c>
      <c r="J1375" s="3">
        <f>IF(ISNUMBER(AVERAGE('20250815_ETF_Options_Exhibits'!J1371:J1375)),AVERAGE('20250815_ETF_Options_Exhibits'!J1371:J1375),"")</f>
        <v/>
      </c>
      <c r="K1375" s="3">
        <f>IF(ISNUMBER(AVERAGE('20250815_ETF_Options_Exhibits'!K1371:K1375)),AVERAGE('20250815_ETF_Options_Exhibits'!K1371:K1375),"")</f>
        <v/>
      </c>
      <c r="L1375" s="3">
        <f>IF(ISNUMBER(AVERAGE('20250815_ETF_Options_Exhibits'!L1371:L1375)),AVERAGE('20250815_ETF_Options_Exhibits'!L1371:L1375),"")</f>
        <v/>
      </c>
      <c r="M1375" s="3">
        <f>IF(ISNUMBER(AVERAGE('20250815_ETF_Options_Exhibits'!M1371:M1375)),AVERAGE('20250815_ETF_Options_Exhibits'!M1371:M1375),"")</f>
        <v/>
      </c>
      <c r="N1375" s="3">
        <f>IF(ISNUMBER(AVERAGE('20250815_ETF_Options_Exhibits'!N1371:N1375)),AVERAGE('20250815_ETF_Options_Exhibits'!N1371:N1375),"")</f>
        <v/>
      </c>
      <c r="O1375" s="3">
        <f>IF(ISNUMBER(AVERAGE('20250815_ETF_Options_Exhibits'!O1371:O1375)),AVERAGE('20250815_ETF_Options_Exhibits'!O1371:O1375),"")</f>
        <v/>
      </c>
      <c r="P1375" s="3">
        <f>IF(ISNUMBER(AVERAGE('20250815_ETF_Options_Exhibits'!P1371:P1375)),AVERAGE('20250815_ETF_Options_Exhibits'!P1371:P1375),"")</f>
        <v/>
      </c>
      <c r="Q1375" s="3">
        <f>IF(ISNUMBER(AVERAGE('20250815_ETF_Options_Exhibits'!Q1371:Q1375)),AVERAGE('20250815_ETF_Options_Exhibits'!Q1371:Q1375),"")</f>
        <v/>
      </c>
      <c r="R1375" s="3">
        <f>IF(ISNUMBER(AVERAGE('20250815_ETF_Options_Exhibits'!R1371:R1375)),AVERAGE('20250815_ETF_Options_Exhibits'!R1371:R1375),"")</f>
        <v/>
      </c>
      <c r="S1375" s="3">
        <f>IF(ISNUMBER(AVERAGE('20250815_ETF_Options_Exhibits'!S1371:S1375)),AVERAGE('20250815_ETF_Options_Exhibits'!S1371:S1375),"")</f>
        <v/>
      </c>
      <c r="T1375" s="3">
        <f>IF(ISNUMBER(AVERAGE('20250815_ETF_Options_Exhibits'!T1371:T1375)),AVERAGE('20250815_ETF_Options_Exhibits'!T1371:T1375),"")</f>
        <v/>
      </c>
      <c r="U1375" s="3">
        <f>IF(ISNUMBER(AVERAGE('20250815_ETF_Options_Exhibits'!U1371:U1375)),AVERAGE('20250815_ETF_Options_Exhibits'!U1371:U1375),"")</f>
        <v/>
      </c>
      <c r="V1375" s="3">
        <f>IF(ISNUMBER(AVERAGE('20250815_ETF_Options_Exhibits'!V1371:V1375)),AVERAGE('20250815_ETF_Options_Exhibits'!V1371:V1375),"")</f>
        <v/>
      </c>
      <c r="W1375" s="3">
        <f>IF(ISNUMBER(AVERAGE('20250815_ETF_Options_Exhibits'!W1371:W1375)),AVERAGE('20250815_ETF_Options_Exhibits'!W1371:W1375),"")</f>
        <v/>
      </c>
      <c r="X1375" s="3">
        <f>IF(ISNUMBER(AVERAGE('20250815_ETF_Options_Exhibits'!X1371:X1375)),AVERAGE('20250815_ETF_Options_Exhibits'!X1371:X1375),"")</f>
        <v/>
      </c>
      <c r="Y1375" s="3">
        <f>IF(ISNUMBER(AVERAGE('20250815_ETF_Options_Exhibits'!Y1371:Y1375)),AVERAGE('20250815_ETF_Options_Exhibits'!Y1371:Y1375),"")</f>
        <v/>
      </c>
      <c r="Z1375" s="3">
        <f>IF(ISNUMBER(AVERAGE('20250815_ETF_Options_Exhibits'!Z1371:Z1375)),AVERAGE('20250815_ETF_Options_Exhibits'!Z1371:Z1375),"")</f>
        <v/>
      </c>
      <c r="AA1375" s="3">
        <f>IF(ISNUMBER(AVERAGE('20250815_ETF_Options_Exhibits'!AA1371:AA1375)),AVERAGE('20250815_ETF_Options_Exhibits'!AA1371:AA1375),"")</f>
        <v/>
      </c>
    </row>
    <row r="1376">
      <c r="A1376" s="1" t="n">
        <v>43999</v>
      </c>
      <c r="B1376" s="3">
        <f>IF(ISNUMBER(AVERAGE('20250815_ETF_Options_Exhibits'!B1372:B1376)),AVERAGE('20250815_ETF_Options_Exhibits'!B1372:B1376),"")</f>
        <v/>
      </c>
      <c r="C1376" s="3">
        <f>IF(ISNUMBER(AVERAGE('20250815_ETF_Options_Exhibits'!C1372:C1376)),AVERAGE('20250815_ETF_Options_Exhibits'!C1372:C1376),"")</f>
        <v/>
      </c>
      <c r="D1376" s="3">
        <f>IF(ISNUMBER(AVERAGE('20250815_ETF_Options_Exhibits'!D1372:D1376)),AVERAGE('20250815_ETF_Options_Exhibits'!D1372:D1376),"")</f>
        <v/>
      </c>
      <c r="E1376" s="3">
        <f>IF(ISNUMBER(AVERAGE('20250815_ETF_Options_Exhibits'!E1372:E1376)),AVERAGE('20250815_ETF_Options_Exhibits'!E1372:E1376),"")</f>
        <v/>
      </c>
      <c r="F1376" s="3">
        <f>IF(ISNUMBER(AVERAGE('20250815_ETF_Options_Exhibits'!F1372:F1376)),AVERAGE('20250815_ETF_Options_Exhibits'!F1372:F1376),"")</f>
        <v/>
      </c>
      <c r="G1376" s="3">
        <f>IF(ISNUMBER(AVERAGE('20250815_ETF_Options_Exhibits'!G1372:G1376)),AVERAGE('20250815_ETF_Options_Exhibits'!G1372:G1376),"")</f>
        <v/>
      </c>
      <c r="H1376" s="3">
        <f>IF(ISNUMBER(AVERAGE('20250815_ETF_Options_Exhibits'!H1372:H1376)),AVERAGE('20250815_ETF_Options_Exhibits'!H1372:H1376),"")</f>
        <v/>
      </c>
      <c r="I1376" s="3">
        <f>IF(ISNUMBER(AVERAGE('20250815_ETF_Options_Exhibits'!I1372:I1376)),AVERAGE('20250815_ETF_Options_Exhibits'!I1372:I1376),"")</f>
        <v/>
      </c>
      <c r="J1376" s="3">
        <f>IF(ISNUMBER(AVERAGE('20250815_ETF_Options_Exhibits'!J1372:J1376)),AVERAGE('20250815_ETF_Options_Exhibits'!J1372:J1376),"")</f>
        <v/>
      </c>
      <c r="K1376" s="3">
        <f>IF(ISNUMBER(AVERAGE('20250815_ETF_Options_Exhibits'!K1372:K1376)),AVERAGE('20250815_ETF_Options_Exhibits'!K1372:K1376),"")</f>
        <v/>
      </c>
      <c r="L1376" s="3">
        <f>IF(ISNUMBER(AVERAGE('20250815_ETF_Options_Exhibits'!L1372:L1376)),AVERAGE('20250815_ETF_Options_Exhibits'!L1372:L1376),"")</f>
        <v/>
      </c>
      <c r="M1376" s="3">
        <f>IF(ISNUMBER(AVERAGE('20250815_ETF_Options_Exhibits'!M1372:M1376)),AVERAGE('20250815_ETF_Options_Exhibits'!M1372:M1376),"")</f>
        <v/>
      </c>
      <c r="N1376" s="3">
        <f>IF(ISNUMBER(AVERAGE('20250815_ETF_Options_Exhibits'!N1372:N1376)),AVERAGE('20250815_ETF_Options_Exhibits'!N1372:N1376),"")</f>
        <v/>
      </c>
      <c r="O1376" s="3">
        <f>IF(ISNUMBER(AVERAGE('20250815_ETF_Options_Exhibits'!O1372:O1376)),AVERAGE('20250815_ETF_Options_Exhibits'!O1372:O1376),"")</f>
        <v/>
      </c>
      <c r="P1376" s="3">
        <f>IF(ISNUMBER(AVERAGE('20250815_ETF_Options_Exhibits'!P1372:P1376)),AVERAGE('20250815_ETF_Options_Exhibits'!P1372:P1376),"")</f>
        <v/>
      </c>
      <c r="Q1376" s="3">
        <f>IF(ISNUMBER(AVERAGE('20250815_ETF_Options_Exhibits'!Q1372:Q1376)),AVERAGE('20250815_ETF_Options_Exhibits'!Q1372:Q1376),"")</f>
        <v/>
      </c>
      <c r="R1376" s="3">
        <f>IF(ISNUMBER(AVERAGE('20250815_ETF_Options_Exhibits'!R1372:R1376)),AVERAGE('20250815_ETF_Options_Exhibits'!R1372:R1376),"")</f>
        <v/>
      </c>
      <c r="S1376" s="3">
        <f>IF(ISNUMBER(AVERAGE('20250815_ETF_Options_Exhibits'!S1372:S1376)),AVERAGE('20250815_ETF_Options_Exhibits'!S1372:S1376),"")</f>
        <v/>
      </c>
      <c r="T1376" s="3">
        <f>IF(ISNUMBER(AVERAGE('20250815_ETF_Options_Exhibits'!T1372:T1376)),AVERAGE('20250815_ETF_Options_Exhibits'!T1372:T1376),"")</f>
        <v/>
      </c>
      <c r="U1376" s="3">
        <f>IF(ISNUMBER(AVERAGE('20250815_ETF_Options_Exhibits'!U1372:U1376)),AVERAGE('20250815_ETF_Options_Exhibits'!U1372:U1376),"")</f>
        <v/>
      </c>
      <c r="V1376" s="3">
        <f>IF(ISNUMBER(AVERAGE('20250815_ETF_Options_Exhibits'!V1372:V1376)),AVERAGE('20250815_ETF_Options_Exhibits'!V1372:V1376),"")</f>
        <v/>
      </c>
      <c r="W1376" s="3">
        <f>IF(ISNUMBER(AVERAGE('20250815_ETF_Options_Exhibits'!W1372:W1376)),AVERAGE('20250815_ETF_Options_Exhibits'!W1372:W1376),"")</f>
        <v/>
      </c>
      <c r="X1376" s="3">
        <f>IF(ISNUMBER(AVERAGE('20250815_ETF_Options_Exhibits'!X1372:X1376)),AVERAGE('20250815_ETF_Options_Exhibits'!X1372:X1376),"")</f>
        <v/>
      </c>
      <c r="Y1376" s="3">
        <f>IF(ISNUMBER(AVERAGE('20250815_ETF_Options_Exhibits'!Y1372:Y1376)),AVERAGE('20250815_ETF_Options_Exhibits'!Y1372:Y1376),"")</f>
        <v/>
      </c>
      <c r="Z1376" s="3">
        <f>IF(ISNUMBER(AVERAGE('20250815_ETF_Options_Exhibits'!Z1372:Z1376)),AVERAGE('20250815_ETF_Options_Exhibits'!Z1372:Z1376),"")</f>
        <v/>
      </c>
      <c r="AA1376" s="3">
        <f>IF(ISNUMBER(AVERAGE('20250815_ETF_Options_Exhibits'!AA1372:AA1376)),AVERAGE('20250815_ETF_Options_Exhibits'!AA1372:AA1376),"")</f>
        <v/>
      </c>
    </row>
    <row r="1377">
      <c r="A1377" s="1" t="n">
        <v>44000</v>
      </c>
      <c r="B1377" s="3">
        <f>IF(ISNUMBER(AVERAGE('20250815_ETF_Options_Exhibits'!B1373:B1377)),AVERAGE('20250815_ETF_Options_Exhibits'!B1373:B1377),"")</f>
        <v/>
      </c>
      <c r="C1377" s="3">
        <f>IF(ISNUMBER(AVERAGE('20250815_ETF_Options_Exhibits'!C1373:C1377)),AVERAGE('20250815_ETF_Options_Exhibits'!C1373:C1377),"")</f>
        <v/>
      </c>
      <c r="D1377" s="3">
        <f>IF(ISNUMBER(AVERAGE('20250815_ETF_Options_Exhibits'!D1373:D1377)),AVERAGE('20250815_ETF_Options_Exhibits'!D1373:D1377),"")</f>
        <v/>
      </c>
      <c r="E1377" s="3">
        <f>IF(ISNUMBER(AVERAGE('20250815_ETF_Options_Exhibits'!E1373:E1377)),AVERAGE('20250815_ETF_Options_Exhibits'!E1373:E1377),"")</f>
        <v/>
      </c>
      <c r="F1377" s="3">
        <f>IF(ISNUMBER(AVERAGE('20250815_ETF_Options_Exhibits'!F1373:F1377)),AVERAGE('20250815_ETF_Options_Exhibits'!F1373:F1377),"")</f>
        <v/>
      </c>
      <c r="G1377" s="3">
        <f>IF(ISNUMBER(AVERAGE('20250815_ETF_Options_Exhibits'!G1373:G1377)),AVERAGE('20250815_ETF_Options_Exhibits'!G1373:G1377),"")</f>
        <v/>
      </c>
      <c r="H1377" s="3">
        <f>IF(ISNUMBER(AVERAGE('20250815_ETF_Options_Exhibits'!H1373:H1377)),AVERAGE('20250815_ETF_Options_Exhibits'!H1373:H1377),"")</f>
        <v/>
      </c>
      <c r="I1377" s="3">
        <f>IF(ISNUMBER(AVERAGE('20250815_ETF_Options_Exhibits'!I1373:I1377)),AVERAGE('20250815_ETF_Options_Exhibits'!I1373:I1377),"")</f>
        <v/>
      </c>
      <c r="J1377" s="3">
        <f>IF(ISNUMBER(AVERAGE('20250815_ETF_Options_Exhibits'!J1373:J1377)),AVERAGE('20250815_ETF_Options_Exhibits'!J1373:J1377),"")</f>
        <v/>
      </c>
      <c r="K1377" s="3">
        <f>IF(ISNUMBER(AVERAGE('20250815_ETF_Options_Exhibits'!K1373:K1377)),AVERAGE('20250815_ETF_Options_Exhibits'!K1373:K1377),"")</f>
        <v/>
      </c>
      <c r="L1377" s="3">
        <f>IF(ISNUMBER(AVERAGE('20250815_ETF_Options_Exhibits'!L1373:L1377)),AVERAGE('20250815_ETF_Options_Exhibits'!L1373:L1377),"")</f>
        <v/>
      </c>
      <c r="M1377" s="3">
        <f>IF(ISNUMBER(AVERAGE('20250815_ETF_Options_Exhibits'!M1373:M1377)),AVERAGE('20250815_ETF_Options_Exhibits'!M1373:M1377),"")</f>
        <v/>
      </c>
      <c r="N1377" s="3">
        <f>IF(ISNUMBER(AVERAGE('20250815_ETF_Options_Exhibits'!N1373:N1377)),AVERAGE('20250815_ETF_Options_Exhibits'!N1373:N1377),"")</f>
        <v/>
      </c>
      <c r="O1377" s="3">
        <f>IF(ISNUMBER(AVERAGE('20250815_ETF_Options_Exhibits'!O1373:O1377)),AVERAGE('20250815_ETF_Options_Exhibits'!O1373:O1377),"")</f>
        <v/>
      </c>
      <c r="P1377" s="3">
        <f>IF(ISNUMBER(AVERAGE('20250815_ETF_Options_Exhibits'!P1373:P1377)),AVERAGE('20250815_ETF_Options_Exhibits'!P1373:P1377),"")</f>
        <v/>
      </c>
      <c r="Q1377" s="3">
        <f>IF(ISNUMBER(AVERAGE('20250815_ETF_Options_Exhibits'!Q1373:Q1377)),AVERAGE('20250815_ETF_Options_Exhibits'!Q1373:Q1377),"")</f>
        <v/>
      </c>
      <c r="R1377" s="3">
        <f>IF(ISNUMBER(AVERAGE('20250815_ETF_Options_Exhibits'!R1373:R1377)),AVERAGE('20250815_ETF_Options_Exhibits'!R1373:R1377),"")</f>
        <v/>
      </c>
      <c r="S1377" s="3">
        <f>IF(ISNUMBER(AVERAGE('20250815_ETF_Options_Exhibits'!S1373:S1377)),AVERAGE('20250815_ETF_Options_Exhibits'!S1373:S1377),"")</f>
        <v/>
      </c>
      <c r="T1377" s="3">
        <f>IF(ISNUMBER(AVERAGE('20250815_ETF_Options_Exhibits'!T1373:T1377)),AVERAGE('20250815_ETF_Options_Exhibits'!T1373:T1377),"")</f>
        <v/>
      </c>
      <c r="U1377" s="3">
        <f>IF(ISNUMBER(AVERAGE('20250815_ETF_Options_Exhibits'!U1373:U1377)),AVERAGE('20250815_ETF_Options_Exhibits'!U1373:U1377),"")</f>
        <v/>
      </c>
      <c r="V1377" s="3">
        <f>IF(ISNUMBER(AVERAGE('20250815_ETF_Options_Exhibits'!V1373:V1377)),AVERAGE('20250815_ETF_Options_Exhibits'!V1373:V1377),"")</f>
        <v/>
      </c>
      <c r="W1377" s="3">
        <f>IF(ISNUMBER(AVERAGE('20250815_ETF_Options_Exhibits'!W1373:W1377)),AVERAGE('20250815_ETF_Options_Exhibits'!W1373:W1377),"")</f>
        <v/>
      </c>
      <c r="X1377" s="3">
        <f>IF(ISNUMBER(AVERAGE('20250815_ETF_Options_Exhibits'!X1373:X1377)),AVERAGE('20250815_ETF_Options_Exhibits'!X1373:X1377),"")</f>
        <v/>
      </c>
      <c r="Y1377" s="3">
        <f>IF(ISNUMBER(AVERAGE('20250815_ETF_Options_Exhibits'!Y1373:Y1377)),AVERAGE('20250815_ETF_Options_Exhibits'!Y1373:Y1377),"")</f>
        <v/>
      </c>
      <c r="Z1377" s="3">
        <f>IF(ISNUMBER(AVERAGE('20250815_ETF_Options_Exhibits'!Z1373:Z1377)),AVERAGE('20250815_ETF_Options_Exhibits'!Z1373:Z1377),"")</f>
        <v/>
      </c>
      <c r="AA1377" s="3">
        <f>IF(ISNUMBER(AVERAGE('20250815_ETF_Options_Exhibits'!AA1373:AA1377)),AVERAGE('20250815_ETF_Options_Exhibits'!AA1373:AA1377),"")</f>
        <v/>
      </c>
    </row>
    <row r="1378">
      <c r="A1378" s="1" t="n">
        <v>44001</v>
      </c>
      <c r="B1378" s="3">
        <f>IF(ISNUMBER(AVERAGE('20250815_ETF_Options_Exhibits'!B1374:B1378)),AVERAGE('20250815_ETF_Options_Exhibits'!B1374:B1378),"")</f>
        <v/>
      </c>
      <c r="C1378" s="3">
        <f>IF(ISNUMBER(AVERAGE('20250815_ETF_Options_Exhibits'!C1374:C1378)),AVERAGE('20250815_ETF_Options_Exhibits'!C1374:C1378),"")</f>
        <v/>
      </c>
      <c r="D1378" s="3">
        <f>IF(ISNUMBER(AVERAGE('20250815_ETF_Options_Exhibits'!D1374:D1378)),AVERAGE('20250815_ETF_Options_Exhibits'!D1374:D1378),"")</f>
        <v/>
      </c>
      <c r="E1378" s="3">
        <f>IF(ISNUMBER(AVERAGE('20250815_ETF_Options_Exhibits'!E1374:E1378)),AVERAGE('20250815_ETF_Options_Exhibits'!E1374:E1378),"")</f>
        <v/>
      </c>
      <c r="F1378" s="3">
        <f>IF(ISNUMBER(AVERAGE('20250815_ETF_Options_Exhibits'!F1374:F1378)),AVERAGE('20250815_ETF_Options_Exhibits'!F1374:F1378),"")</f>
        <v/>
      </c>
      <c r="G1378" s="3">
        <f>IF(ISNUMBER(AVERAGE('20250815_ETF_Options_Exhibits'!G1374:G1378)),AVERAGE('20250815_ETF_Options_Exhibits'!G1374:G1378),"")</f>
        <v/>
      </c>
      <c r="H1378" s="3">
        <f>IF(ISNUMBER(AVERAGE('20250815_ETF_Options_Exhibits'!H1374:H1378)),AVERAGE('20250815_ETF_Options_Exhibits'!H1374:H1378),"")</f>
        <v/>
      </c>
      <c r="I1378" s="3">
        <f>IF(ISNUMBER(AVERAGE('20250815_ETF_Options_Exhibits'!I1374:I1378)),AVERAGE('20250815_ETF_Options_Exhibits'!I1374:I1378),"")</f>
        <v/>
      </c>
      <c r="J1378" s="3">
        <f>IF(ISNUMBER(AVERAGE('20250815_ETF_Options_Exhibits'!J1374:J1378)),AVERAGE('20250815_ETF_Options_Exhibits'!J1374:J1378),"")</f>
        <v/>
      </c>
      <c r="K1378" s="3">
        <f>IF(ISNUMBER(AVERAGE('20250815_ETF_Options_Exhibits'!K1374:K1378)),AVERAGE('20250815_ETF_Options_Exhibits'!K1374:K1378),"")</f>
        <v/>
      </c>
      <c r="L1378" s="3">
        <f>IF(ISNUMBER(AVERAGE('20250815_ETF_Options_Exhibits'!L1374:L1378)),AVERAGE('20250815_ETF_Options_Exhibits'!L1374:L1378),"")</f>
        <v/>
      </c>
      <c r="M1378" s="3">
        <f>IF(ISNUMBER(AVERAGE('20250815_ETF_Options_Exhibits'!M1374:M1378)),AVERAGE('20250815_ETF_Options_Exhibits'!M1374:M1378),"")</f>
        <v/>
      </c>
      <c r="N1378" s="3">
        <f>IF(ISNUMBER(AVERAGE('20250815_ETF_Options_Exhibits'!N1374:N1378)),AVERAGE('20250815_ETF_Options_Exhibits'!N1374:N1378),"")</f>
        <v/>
      </c>
      <c r="O1378" s="3">
        <f>IF(ISNUMBER(AVERAGE('20250815_ETF_Options_Exhibits'!O1374:O1378)),AVERAGE('20250815_ETF_Options_Exhibits'!O1374:O1378),"")</f>
        <v/>
      </c>
      <c r="P1378" s="3">
        <f>IF(ISNUMBER(AVERAGE('20250815_ETF_Options_Exhibits'!P1374:P1378)),AVERAGE('20250815_ETF_Options_Exhibits'!P1374:P1378),"")</f>
        <v/>
      </c>
      <c r="Q1378" s="3">
        <f>IF(ISNUMBER(AVERAGE('20250815_ETF_Options_Exhibits'!Q1374:Q1378)),AVERAGE('20250815_ETF_Options_Exhibits'!Q1374:Q1378),"")</f>
        <v/>
      </c>
      <c r="R1378" s="3">
        <f>IF(ISNUMBER(AVERAGE('20250815_ETF_Options_Exhibits'!R1374:R1378)),AVERAGE('20250815_ETF_Options_Exhibits'!R1374:R1378),"")</f>
        <v/>
      </c>
      <c r="S1378" s="3">
        <f>IF(ISNUMBER(AVERAGE('20250815_ETF_Options_Exhibits'!S1374:S1378)),AVERAGE('20250815_ETF_Options_Exhibits'!S1374:S1378),"")</f>
        <v/>
      </c>
      <c r="T1378" s="3">
        <f>IF(ISNUMBER(AVERAGE('20250815_ETF_Options_Exhibits'!T1374:T1378)),AVERAGE('20250815_ETF_Options_Exhibits'!T1374:T1378),"")</f>
        <v/>
      </c>
      <c r="U1378" s="3">
        <f>IF(ISNUMBER(AVERAGE('20250815_ETF_Options_Exhibits'!U1374:U1378)),AVERAGE('20250815_ETF_Options_Exhibits'!U1374:U1378),"")</f>
        <v/>
      </c>
      <c r="V1378" s="3">
        <f>IF(ISNUMBER(AVERAGE('20250815_ETF_Options_Exhibits'!V1374:V1378)),AVERAGE('20250815_ETF_Options_Exhibits'!V1374:V1378),"")</f>
        <v/>
      </c>
      <c r="W1378" s="3">
        <f>IF(ISNUMBER(AVERAGE('20250815_ETF_Options_Exhibits'!W1374:W1378)),AVERAGE('20250815_ETF_Options_Exhibits'!W1374:W1378),"")</f>
        <v/>
      </c>
      <c r="X1378" s="3">
        <f>IF(ISNUMBER(AVERAGE('20250815_ETF_Options_Exhibits'!X1374:X1378)),AVERAGE('20250815_ETF_Options_Exhibits'!X1374:X1378),"")</f>
        <v/>
      </c>
      <c r="Y1378" s="3">
        <f>IF(ISNUMBER(AVERAGE('20250815_ETF_Options_Exhibits'!Y1374:Y1378)),AVERAGE('20250815_ETF_Options_Exhibits'!Y1374:Y1378),"")</f>
        <v/>
      </c>
      <c r="Z1378" s="3">
        <f>IF(ISNUMBER(AVERAGE('20250815_ETF_Options_Exhibits'!Z1374:Z1378)),AVERAGE('20250815_ETF_Options_Exhibits'!Z1374:Z1378),"")</f>
        <v/>
      </c>
      <c r="AA1378" s="3">
        <f>IF(ISNUMBER(AVERAGE('20250815_ETF_Options_Exhibits'!AA1374:AA1378)),AVERAGE('20250815_ETF_Options_Exhibits'!AA1374:AA1378),"")</f>
        <v/>
      </c>
    </row>
    <row r="1379">
      <c r="A1379" s="1" t="n">
        <v>44004</v>
      </c>
      <c r="B1379" s="3">
        <f>IF(ISNUMBER(AVERAGE('20250815_ETF_Options_Exhibits'!B1375:B1379)),AVERAGE('20250815_ETF_Options_Exhibits'!B1375:B1379),"")</f>
        <v/>
      </c>
      <c r="C1379" s="3">
        <f>IF(ISNUMBER(AVERAGE('20250815_ETF_Options_Exhibits'!C1375:C1379)),AVERAGE('20250815_ETF_Options_Exhibits'!C1375:C1379),"")</f>
        <v/>
      </c>
      <c r="D1379" s="3">
        <f>IF(ISNUMBER(AVERAGE('20250815_ETF_Options_Exhibits'!D1375:D1379)),AVERAGE('20250815_ETF_Options_Exhibits'!D1375:D1379),"")</f>
        <v/>
      </c>
      <c r="E1379" s="3">
        <f>IF(ISNUMBER(AVERAGE('20250815_ETF_Options_Exhibits'!E1375:E1379)),AVERAGE('20250815_ETF_Options_Exhibits'!E1375:E1379),"")</f>
        <v/>
      </c>
      <c r="F1379" s="3">
        <f>IF(ISNUMBER(AVERAGE('20250815_ETF_Options_Exhibits'!F1375:F1379)),AVERAGE('20250815_ETF_Options_Exhibits'!F1375:F1379),"")</f>
        <v/>
      </c>
      <c r="G1379" s="3">
        <f>IF(ISNUMBER(AVERAGE('20250815_ETF_Options_Exhibits'!G1375:G1379)),AVERAGE('20250815_ETF_Options_Exhibits'!G1375:G1379),"")</f>
        <v/>
      </c>
      <c r="H1379" s="3">
        <f>IF(ISNUMBER(AVERAGE('20250815_ETF_Options_Exhibits'!H1375:H1379)),AVERAGE('20250815_ETF_Options_Exhibits'!H1375:H1379),"")</f>
        <v/>
      </c>
      <c r="I1379" s="3">
        <f>IF(ISNUMBER(AVERAGE('20250815_ETF_Options_Exhibits'!I1375:I1379)),AVERAGE('20250815_ETF_Options_Exhibits'!I1375:I1379),"")</f>
        <v/>
      </c>
      <c r="J1379" s="3">
        <f>IF(ISNUMBER(AVERAGE('20250815_ETF_Options_Exhibits'!J1375:J1379)),AVERAGE('20250815_ETF_Options_Exhibits'!J1375:J1379),"")</f>
        <v/>
      </c>
      <c r="K1379" s="3">
        <f>IF(ISNUMBER(AVERAGE('20250815_ETF_Options_Exhibits'!K1375:K1379)),AVERAGE('20250815_ETF_Options_Exhibits'!K1375:K1379),"")</f>
        <v/>
      </c>
      <c r="L1379" s="3">
        <f>IF(ISNUMBER(AVERAGE('20250815_ETF_Options_Exhibits'!L1375:L1379)),AVERAGE('20250815_ETF_Options_Exhibits'!L1375:L1379),"")</f>
        <v/>
      </c>
      <c r="M1379" s="3">
        <f>IF(ISNUMBER(AVERAGE('20250815_ETF_Options_Exhibits'!M1375:M1379)),AVERAGE('20250815_ETF_Options_Exhibits'!M1375:M1379),"")</f>
        <v/>
      </c>
      <c r="N1379" s="3">
        <f>IF(ISNUMBER(AVERAGE('20250815_ETF_Options_Exhibits'!N1375:N1379)),AVERAGE('20250815_ETF_Options_Exhibits'!N1375:N1379),"")</f>
        <v/>
      </c>
      <c r="O1379" s="3">
        <f>IF(ISNUMBER(AVERAGE('20250815_ETF_Options_Exhibits'!O1375:O1379)),AVERAGE('20250815_ETF_Options_Exhibits'!O1375:O1379),"")</f>
        <v/>
      </c>
      <c r="P1379" s="3">
        <f>IF(ISNUMBER(AVERAGE('20250815_ETF_Options_Exhibits'!P1375:P1379)),AVERAGE('20250815_ETF_Options_Exhibits'!P1375:P1379),"")</f>
        <v/>
      </c>
      <c r="Q1379" s="3">
        <f>IF(ISNUMBER(AVERAGE('20250815_ETF_Options_Exhibits'!Q1375:Q1379)),AVERAGE('20250815_ETF_Options_Exhibits'!Q1375:Q1379),"")</f>
        <v/>
      </c>
      <c r="R1379" s="3">
        <f>IF(ISNUMBER(AVERAGE('20250815_ETF_Options_Exhibits'!R1375:R1379)),AVERAGE('20250815_ETF_Options_Exhibits'!R1375:R1379),"")</f>
        <v/>
      </c>
      <c r="S1379" s="3">
        <f>IF(ISNUMBER(AVERAGE('20250815_ETF_Options_Exhibits'!S1375:S1379)),AVERAGE('20250815_ETF_Options_Exhibits'!S1375:S1379),"")</f>
        <v/>
      </c>
      <c r="T1379" s="3">
        <f>IF(ISNUMBER(AVERAGE('20250815_ETF_Options_Exhibits'!T1375:T1379)),AVERAGE('20250815_ETF_Options_Exhibits'!T1375:T1379),"")</f>
        <v/>
      </c>
      <c r="U1379" s="3">
        <f>IF(ISNUMBER(AVERAGE('20250815_ETF_Options_Exhibits'!U1375:U1379)),AVERAGE('20250815_ETF_Options_Exhibits'!U1375:U1379),"")</f>
        <v/>
      </c>
      <c r="V1379" s="3">
        <f>IF(ISNUMBER(AVERAGE('20250815_ETF_Options_Exhibits'!V1375:V1379)),AVERAGE('20250815_ETF_Options_Exhibits'!V1375:V1379),"")</f>
        <v/>
      </c>
      <c r="W1379" s="3">
        <f>IF(ISNUMBER(AVERAGE('20250815_ETF_Options_Exhibits'!W1375:W1379)),AVERAGE('20250815_ETF_Options_Exhibits'!W1375:W1379),"")</f>
        <v/>
      </c>
      <c r="X1379" s="3">
        <f>IF(ISNUMBER(AVERAGE('20250815_ETF_Options_Exhibits'!X1375:X1379)),AVERAGE('20250815_ETF_Options_Exhibits'!X1375:X1379),"")</f>
        <v/>
      </c>
      <c r="Y1379" s="3">
        <f>IF(ISNUMBER(AVERAGE('20250815_ETF_Options_Exhibits'!Y1375:Y1379)),AVERAGE('20250815_ETF_Options_Exhibits'!Y1375:Y1379),"")</f>
        <v/>
      </c>
      <c r="Z1379" s="3">
        <f>IF(ISNUMBER(AVERAGE('20250815_ETF_Options_Exhibits'!Z1375:Z1379)),AVERAGE('20250815_ETF_Options_Exhibits'!Z1375:Z1379),"")</f>
        <v/>
      </c>
      <c r="AA1379" s="3">
        <f>IF(ISNUMBER(AVERAGE('20250815_ETF_Options_Exhibits'!AA1375:AA1379)),AVERAGE('20250815_ETF_Options_Exhibits'!AA1375:AA1379),"")</f>
        <v/>
      </c>
    </row>
    <row r="1380">
      <c r="A1380" s="1" t="n">
        <v>44005</v>
      </c>
      <c r="B1380" s="3">
        <f>IF(ISNUMBER(AVERAGE('20250815_ETF_Options_Exhibits'!B1376:B1380)),AVERAGE('20250815_ETF_Options_Exhibits'!B1376:B1380),"")</f>
        <v/>
      </c>
      <c r="C1380" s="3">
        <f>IF(ISNUMBER(AVERAGE('20250815_ETF_Options_Exhibits'!C1376:C1380)),AVERAGE('20250815_ETF_Options_Exhibits'!C1376:C1380),"")</f>
        <v/>
      </c>
      <c r="D1380" s="3">
        <f>IF(ISNUMBER(AVERAGE('20250815_ETF_Options_Exhibits'!D1376:D1380)),AVERAGE('20250815_ETF_Options_Exhibits'!D1376:D1380),"")</f>
        <v/>
      </c>
      <c r="E1380" s="3">
        <f>IF(ISNUMBER(AVERAGE('20250815_ETF_Options_Exhibits'!E1376:E1380)),AVERAGE('20250815_ETF_Options_Exhibits'!E1376:E1380),"")</f>
        <v/>
      </c>
      <c r="F1380" s="3">
        <f>IF(ISNUMBER(AVERAGE('20250815_ETF_Options_Exhibits'!F1376:F1380)),AVERAGE('20250815_ETF_Options_Exhibits'!F1376:F1380),"")</f>
        <v/>
      </c>
      <c r="G1380" s="3">
        <f>IF(ISNUMBER(AVERAGE('20250815_ETF_Options_Exhibits'!G1376:G1380)),AVERAGE('20250815_ETF_Options_Exhibits'!G1376:G1380),"")</f>
        <v/>
      </c>
      <c r="H1380" s="3">
        <f>IF(ISNUMBER(AVERAGE('20250815_ETF_Options_Exhibits'!H1376:H1380)),AVERAGE('20250815_ETF_Options_Exhibits'!H1376:H1380),"")</f>
        <v/>
      </c>
      <c r="I1380" s="3">
        <f>IF(ISNUMBER(AVERAGE('20250815_ETF_Options_Exhibits'!I1376:I1380)),AVERAGE('20250815_ETF_Options_Exhibits'!I1376:I1380),"")</f>
        <v/>
      </c>
      <c r="J1380" s="3">
        <f>IF(ISNUMBER(AVERAGE('20250815_ETF_Options_Exhibits'!J1376:J1380)),AVERAGE('20250815_ETF_Options_Exhibits'!J1376:J1380),"")</f>
        <v/>
      </c>
      <c r="K1380" s="3">
        <f>IF(ISNUMBER(AVERAGE('20250815_ETF_Options_Exhibits'!K1376:K1380)),AVERAGE('20250815_ETF_Options_Exhibits'!K1376:K1380),"")</f>
        <v/>
      </c>
      <c r="L1380" s="3">
        <f>IF(ISNUMBER(AVERAGE('20250815_ETF_Options_Exhibits'!L1376:L1380)),AVERAGE('20250815_ETF_Options_Exhibits'!L1376:L1380),"")</f>
        <v/>
      </c>
      <c r="M1380" s="3">
        <f>IF(ISNUMBER(AVERAGE('20250815_ETF_Options_Exhibits'!M1376:M1380)),AVERAGE('20250815_ETF_Options_Exhibits'!M1376:M1380),"")</f>
        <v/>
      </c>
      <c r="N1380" s="3">
        <f>IF(ISNUMBER(AVERAGE('20250815_ETF_Options_Exhibits'!N1376:N1380)),AVERAGE('20250815_ETF_Options_Exhibits'!N1376:N1380),"")</f>
        <v/>
      </c>
      <c r="O1380" s="3">
        <f>IF(ISNUMBER(AVERAGE('20250815_ETF_Options_Exhibits'!O1376:O1380)),AVERAGE('20250815_ETF_Options_Exhibits'!O1376:O1380),"")</f>
        <v/>
      </c>
      <c r="P1380" s="3">
        <f>IF(ISNUMBER(AVERAGE('20250815_ETF_Options_Exhibits'!P1376:P1380)),AVERAGE('20250815_ETF_Options_Exhibits'!P1376:P1380),"")</f>
        <v/>
      </c>
      <c r="Q1380" s="3">
        <f>IF(ISNUMBER(AVERAGE('20250815_ETF_Options_Exhibits'!Q1376:Q1380)),AVERAGE('20250815_ETF_Options_Exhibits'!Q1376:Q1380),"")</f>
        <v/>
      </c>
      <c r="R1380" s="3">
        <f>IF(ISNUMBER(AVERAGE('20250815_ETF_Options_Exhibits'!R1376:R1380)),AVERAGE('20250815_ETF_Options_Exhibits'!R1376:R1380),"")</f>
        <v/>
      </c>
      <c r="S1380" s="3">
        <f>IF(ISNUMBER(AVERAGE('20250815_ETF_Options_Exhibits'!S1376:S1380)),AVERAGE('20250815_ETF_Options_Exhibits'!S1376:S1380),"")</f>
        <v/>
      </c>
      <c r="T1380" s="3">
        <f>IF(ISNUMBER(AVERAGE('20250815_ETF_Options_Exhibits'!T1376:T1380)),AVERAGE('20250815_ETF_Options_Exhibits'!T1376:T1380),"")</f>
        <v/>
      </c>
      <c r="U1380" s="3">
        <f>IF(ISNUMBER(AVERAGE('20250815_ETF_Options_Exhibits'!U1376:U1380)),AVERAGE('20250815_ETF_Options_Exhibits'!U1376:U1380),"")</f>
        <v/>
      </c>
      <c r="V1380" s="3">
        <f>IF(ISNUMBER(AVERAGE('20250815_ETF_Options_Exhibits'!V1376:V1380)),AVERAGE('20250815_ETF_Options_Exhibits'!V1376:V1380),"")</f>
        <v/>
      </c>
      <c r="W1380" s="3">
        <f>IF(ISNUMBER(AVERAGE('20250815_ETF_Options_Exhibits'!W1376:W1380)),AVERAGE('20250815_ETF_Options_Exhibits'!W1376:W1380),"")</f>
        <v/>
      </c>
      <c r="X1380" s="3">
        <f>IF(ISNUMBER(AVERAGE('20250815_ETF_Options_Exhibits'!X1376:X1380)),AVERAGE('20250815_ETF_Options_Exhibits'!X1376:X1380),"")</f>
        <v/>
      </c>
      <c r="Y1380" s="3">
        <f>IF(ISNUMBER(AVERAGE('20250815_ETF_Options_Exhibits'!Y1376:Y1380)),AVERAGE('20250815_ETF_Options_Exhibits'!Y1376:Y1380),"")</f>
        <v/>
      </c>
      <c r="Z1380" s="3">
        <f>IF(ISNUMBER(AVERAGE('20250815_ETF_Options_Exhibits'!Z1376:Z1380)),AVERAGE('20250815_ETF_Options_Exhibits'!Z1376:Z1380),"")</f>
        <v/>
      </c>
      <c r="AA1380" s="3">
        <f>IF(ISNUMBER(AVERAGE('20250815_ETF_Options_Exhibits'!AA1376:AA1380)),AVERAGE('20250815_ETF_Options_Exhibits'!AA1376:AA1380),"")</f>
        <v/>
      </c>
    </row>
    <row r="1381">
      <c r="A1381" s="1" t="n">
        <v>44006</v>
      </c>
      <c r="B1381" s="3">
        <f>IF(ISNUMBER(AVERAGE('20250815_ETF_Options_Exhibits'!B1377:B1381)),AVERAGE('20250815_ETF_Options_Exhibits'!B1377:B1381),"")</f>
        <v/>
      </c>
      <c r="C1381" s="3">
        <f>IF(ISNUMBER(AVERAGE('20250815_ETF_Options_Exhibits'!C1377:C1381)),AVERAGE('20250815_ETF_Options_Exhibits'!C1377:C1381),"")</f>
        <v/>
      </c>
      <c r="D1381" s="3">
        <f>IF(ISNUMBER(AVERAGE('20250815_ETF_Options_Exhibits'!D1377:D1381)),AVERAGE('20250815_ETF_Options_Exhibits'!D1377:D1381),"")</f>
        <v/>
      </c>
      <c r="E1381" s="3">
        <f>IF(ISNUMBER(AVERAGE('20250815_ETF_Options_Exhibits'!E1377:E1381)),AVERAGE('20250815_ETF_Options_Exhibits'!E1377:E1381),"")</f>
        <v/>
      </c>
      <c r="F1381" s="3">
        <f>IF(ISNUMBER(AVERAGE('20250815_ETF_Options_Exhibits'!F1377:F1381)),AVERAGE('20250815_ETF_Options_Exhibits'!F1377:F1381),"")</f>
        <v/>
      </c>
      <c r="G1381" s="3">
        <f>IF(ISNUMBER(AVERAGE('20250815_ETF_Options_Exhibits'!G1377:G1381)),AVERAGE('20250815_ETF_Options_Exhibits'!G1377:G1381),"")</f>
        <v/>
      </c>
      <c r="H1381" s="3">
        <f>IF(ISNUMBER(AVERAGE('20250815_ETF_Options_Exhibits'!H1377:H1381)),AVERAGE('20250815_ETF_Options_Exhibits'!H1377:H1381),"")</f>
        <v/>
      </c>
      <c r="I1381" s="3">
        <f>IF(ISNUMBER(AVERAGE('20250815_ETF_Options_Exhibits'!I1377:I1381)),AVERAGE('20250815_ETF_Options_Exhibits'!I1377:I1381),"")</f>
        <v/>
      </c>
      <c r="J1381" s="3">
        <f>IF(ISNUMBER(AVERAGE('20250815_ETF_Options_Exhibits'!J1377:J1381)),AVERAGE('20250815_ETF_Options_Exhibits'!J1377:J1381),"")</f>
        <v/>
      </c>
      <c r="K1381" s="3">
        <f>IF(ISNUMBER(AVERAGE('20250815_ETF_Options_Exhibits'!K1377:K1381)),AVERAGE('20250815_ETF_Options_Exhibits'!K1377:K1381),"")</f>
        <v/>
      </c>
      <c r="L1381" s="3">
        <f>IF(ISNUMBER(AVERAGE('20250815_ETF_Options_Exhibits'!L1377:L1381)),AVERAGE('20250815_ETF_Options_Exhibits'!L1377:L1381),"")</f>
        <v/>
      </c>
      <c r="M1381" s="3">
        <f>IF(ISNUMBER(AVERAGE('20250815_ETF_Options_Exhibits'!M1377:M1381)),AVERAGE('20250815_ETF_Options_Exhibits'!M1377:M1381),"")</f>
        <v/>
      </c>
      <c r="N1381" s="3">
        <f>IF(ISNUMBER(AVERAGE('20250815_ETF_Options_Exhibits'!N1377:N1381)),AVERAGE('20250815_ETF_Options_Exhibits'!N1377:N1381),"")</f>
        <v/>
      </c>
      <c r="O1381" s="3">
        <f>IF(ISNUMBER(AVERAGE('20250815_ETF_Options_Exhibits'!O1377:O1381)),AVERAGE('20250815_ETF_Options_Exhibits'!O1377:O1381),"")</f>
        <v/>
      </c>
      <c r="P1381" s="3">
        <f>IF(ISNUMBER(AVERAGE('20250815_ETF_Options_Exhibits'!P1377:P1381)),AVERAGE('20250815_ETF_Options_Exhibits'!P1377:P1381),"")</f>
        <v/>
      </c>
      <c r="Q1381" s="3">
        <f>IF(ISNUMBER(AVERAGE('20250815_ETF_Options_Exhibits'!Q1377:Q1381)),AVERAGE('20250815_ETF_Options_Exhibits'!Q1377:Q1381),"")</f>
        <v/>
      </c>
      <c r="R1381" s="3">
        <f>IF(ISNUMBER(AVERAGE('20250815_ETF_Options_Exhibits'!R1377:R1381)),AVERAGE('20250815_ETF_Options_Exhibits'!R1377:R1381),"")</f>
        <v/>
      </c>
      <c r="S1381" s="3">
        <f>IF(ISNUMBER(AVERAGE('20250815_ETF_Options_Exhibits'!S1377:S1381)),AVERAGE('20250815_ETF_Options_Exhibits'!S1377:S1381),"")</f>
        <v/>
      </c>
      <c r="T1381" s="3">
        <f>IF(ISNUMBER(AVERAGE('20250815_ETF_Options_Exhibits'!T1377:T1381)),AVERAGE('20250815_ETF_Options_Exhibits'!T1377:T1381),"")</f>
        <v/>
      </c>
      <c r="U1381" s="3">
        <f>IF(ISNUMBER(AVERAGE('20250815_ETF_Options_Exhibits'!U1377:U1381)),AVERAGE('20250815_ETF_Options_Exhibits'!U1377:U1381),"")</f>
        <v/>
      </c>
      <c r="V1381" s="3">
        <f>IF(ISNUMBER(AVERAGE('20250815_ETF_Options_Exhibits'!V1377:V1381)),AVERAGE('20250815_ETF_Options_Exhibits'!V1377:V1381),"")</f>
        <v/>
      </c>
      <c r="W1381" s="3">
        <f>IF(ISNUMBER(AVERAGE('20250815_ETF_Options_Exhibits'!W1377:W1381)),AVERAGE('20250815_ETF_Options_Exhibits'!W1377:W1381),"")</f>
        <v/>
      </c>
      <c r="X1381" s="3">
        <f>IF(ISNUMBER(AVERAGE('20250815_ETF_Options_Exhibits'!X1377:X1381)),AVERAGE('20250815_ETF_Options_Exhibits'!X1377:X1381),"")</f>
        <v/>
      </c>
      <c r="Y1381" s="3">
        <f>IF(ISNUMBER(AVERAGE('20250815_ETF_Options_Exhibits'!Y1377:Y1381)),AVERAGE('20250815_ETF_Options_Exhibits'!Y1377:Y1381),"")</f>
        <v/>
      </c>
      <c r="Z1381" s="3">
        <f>IF(ISNUMBER(AVERAGE('20250815_ETF_Options_Exhibits'!Z1377:Z1381)),AVERAGE('20250815_ETF_Options_Exhibits'!Z1377:Z1381),"")</f>
        <v/>
      </c>
      <c r="AA1381" s="3">
        <f>IF(ISNUMBER(AVERAGE('20250815_ETF_Options_Exhibits'!AA1377:AA1381)),AVERAGE('20250815_ETF_Options_Exhibits'!AA1377:AA1381),"")</f>
        <v/>
      </c>
    </row>
    <row r="1382">
      <c r="A1382" s="1" t="n">
        <v>44007</v>
      </c>
      <c r="B1382" s="3">
        <f>IF(ISNUMBER(AVERAGE('20250815_ETF_Options_Exhibits'!B1378:B1382)),AVERAGE('20250815_ETF_Options_Exhibits'!B1378:B1382),"")</f>
        <v/>
      </c>
      <c r="C1382" s="3">
        <f>IF(ISNUMBER(AVERAGE('20250815_ETF_Options_Exhibits'!C1378:C1382)),AVERAGE('20250815_ETF_Options_Exhibits'!C1378:C1382),"")</f>
        <v/>
      </c>
      <c r="D1382" s="3">
        <f>IF(ISNUMBER(AVERAGE('20250815_ETF_Options_Exhibits'!D1378:D1382)),AVERAGE('20250815_ETF_Options_Exhibits'!D1378:D1382),"")</f>
        <v/>
      </c>
      <c r="E1382" s="3">
        <f>IF(ISNUMBER(AVERAGE('20250815_ETF_Options_Exhibits'!E1378:E1382)),AVERAGE('20250815_ETF_Options_Exhibits'!E1378:E1382),"")</f>
        <v/>
      </c>
      <c r="F1382" s="3">
        <f>IF(ISNUMBER(AVERAGE('20250815_ETF_Options_Exhibits'!F1378:F1382)),AVERAGE('20250815_ETF_Options_Exhibits'!F1378:F1382),"")</f>
        <v/>
      </c>
      <c r="G1382" s="3">
        <f>IF(ISNUMBER(AVERAGE('20250815_ETF_Options_Exhibits'!G1378:G1382)),AVERAGE('20250815_ETF_Options_Exhibits'!G1378:G1382),"")</f>
        <v/>
      </c>
      <c r="H1382" s="3">
        <f>IF(ISNUMBER(AVERAGE('20250815_ETF_Options_Exhibits'!H1378:H1382)),AVERAGE('20250815_ETF_Options_Exhibits'!H1378:H1382),"")</f>
        <v/>
      </c>
      <c r="I1382" s="3">
        <f>IF(ISNUMBER(AVERAGE('20250815_ETF_Options_Exhibits'!I1378:I1382)),AVERAGE('20250815_ETF_Options_Exhibits'!I1378:I1382),"")</f>
        <v/>
      </c>
      <c r="J1382" s="3">
        <f>IF(ISNUMBER(AVERAGE('20250815_ETF_Options_Exhibits'!J1378:J1382)),AVERAGE('20250815_ETF_Options_Exhibits'!J1378:J1382),"")</f>
        <v/>
      </c>
      <c r="K1382" s="3">
        <f>IF(ISNUMBER(AVERAGE('20250815_ETF_Options_Exhibits'!K1378:K1382)),AVERAGE('20250815_ETF_Options_Exhibits'!K1378:K1382),"")</f>
        <v/>
      </c>
      <c r="L1382" s="3">
        <f>IF(ISNUMBER(AVERAGE('20250815_ETF_Options_Exhibits'!L1378:L1382)),AVERAGE('20250815_ETF_Options_Exhibits'!L1378:L1382),"")</f>
        <v/>
      </c>
      <c r="M1382" s="3">
        <f>IF(ISNUMBER(AVERAGE('20250815_ETF_Options_Exhibits'!M1378:M1382)),AVERAGE('20250815_ETF_Options_Exhibits'!M1378:M1382),"")</f>
        <v/>
      </c>
      <c r="N1382" s="3">
        <f>IF(ISNUMBER(AVERAGE('20250815_ETF_Options_Exhibits'!N1378:N1382)),AVERAGE('20250815_ETF_Options_Exhibits'!N1378:N1382),"")</f>
        <v/>
      </c>
      <c r="O1382" s="3">
        <f>IF(ISNUMBER(AVERAGE('20250815_ETF_Options_Exhibits'!O1378:O1382)),AVERAGE('20250815_ETF_Options_Exhibits'!O1378:O1382),"")</f>
        <v/>
      </c>
      <c r="P1382" s="3">
        <f>IF(ISNUMBER(AVERAGE('20250815_ETF_Options_Exhibits'!P1378:P1382)),AVERAGE('20250815_ETF_Options_Exhibits'!P1378:P1382),"")</f>
        <v/>
      </c>
      <c r="Q1382" s="3">
        <f>IF(ISNUMBER(AVERAGE('20250815_ETF_Options_Exhibits'!Q1378:Q1382)),AVERAGE('20250815_ETF_Options_Exhibits'!Q1378:Q1382),"")</f>
        <v/>
      </c>
      <c r="R1382" s="3">
        <f>IF(ISNUMBER(AVERAGE('20250815_ETF_Options_Exhibits'!R1378:R1382)),AVERAGE('20250815_ETF_Options_Exhibits'!R1378:R1382),"")</f>
        <v/>
      </c>
      <c r="S1382" s="3">
        <f>IF(ISNUMBER(AVERAGE('20250815_ETF_Options_Exhibits'!S1378:S1382)),AVERAGE('20250815_ETF_Options_Exhibits'!S1378:S1382),"")</f>
        <v/>
      </c>
      <c r="T1382" s="3">
        <f>IF(ISNUMBER(AVERAGE('20250815_ETF_Options_Exhibits'!T1378:T1382)),AVERAGE('20250815_ETF_Options_Exhibits'!T1378:T1382),"")</f>
        <v/>
      </c>
      <c r="U1382" s="3">
        <f>IF(ISNUMBER(AVERAGE('20250815_ETF_Options_Exhibits'!U1378:U1382)),AVERAGE('20250815_ETF_Options_Exhibits'!U1378:U1382),"")</f>
        <v/>
      </c>
      <c r="V1382" s="3">
        <f>IF(ISNUMBER(AVERAGE('20250815_ETF_Options_Exhibits'!V1378:V1382)),AVERAGE('20250815_ETF_Options_Exhibits'!V1378:V1382),"")</f>
        <v/>
      </c>
      <c r="W1382" s="3">
        <f>IF(ISNUMBER(AVERAGE('20250815_ETF_Options_Exhibits'!W1378:W1382)),AVERAGE('20250815_ETF_Options_Exhibits'!W1378:W1382),"")</f>
        <v/>
      </c>
      <c r="X1382" s="3">
        <f>IF(ISNUMBER(AVERAGE('20250815_ETF_Options_Exhibits'!X1378:X1382)),AVERAGE('20250815_ETF_Options_Exhibits'!X1378:X1382),"")</f>
        <v/>
      </c>
      <c r="Y1382" s="3">
        <f>IF(ISNUMBER(AVERAGE('20250815_ETF_Options_Exhibits'!Y1378:Y1382)),AVERAGE('20250815_ETF_Options_Exhibits'!Y1378:Y1382),"")</f>
        <v/>
      </c>
      <c r="Z1382" s="3">
        <f>IF(ISNUMBER(AVERAGE('20250815_ETF_Options_Exhibits'!Z1378:Z1382)),AVERAGE('20250815_ETF_Options_Exhibits'!Z1378:Z1382),"")</f>
        <v/>
      </c>
      <c r="AA1382" s="3">
        <f>IF(ISNUMBER(AVERAGE('20250815_ETF_Options_Exhibits'!AA1378:AA1382)),AVERAGE('20250815_ETF_Options_Exhibits'!AA1378:AA1382),"")</f>
        <v/>
      </c>
    </row>
    <row r="1383">
      <c r="A1383" s="1" t="n">
        <v>44008</v>
      </c>
      <c r="B1383" s="3">
        <f>IF(ISNUMBER(AVERAGE('20250815_ETF_Options_Exhibits'!B1379:B1383)),AVERAGE('20250815_ETF_Options_Exhibits'!B1379:B1383),"")</f>
        <v/>
      </c>
      <c r="C1383" s="3">
        <f>IF(ISNUMBER(AVERAGE('20250815_ETF_Options_Exhibits'!C1379:C1383)),AVERAGE('20250815_ETF_Options_Exhibits'!C1379:C1383),"")</f>
        <v/>
      </c>
      <c r="D1383" s="3">
        <f>IF(ISNUMBER(AVERAGE('20250815_ETF_Options_Exhibits'!D1379:D1383)),AVERAGE('20250815_ETF_Options_Exhibits'!D1379:D1383),"")</f>
        <v/>
      </c>
      <c r="E1383" s="3">
        <f>IF(ISNUMBER(AVERAGE('20250815_ETF_Options_Exhibits'!E1379:E1383)),AVERAGE('20250815_ETF_Options_Exhibits'!E1379:E1383),"")</f>
        <v/>
      </c>
      <c r="F1383" s="3">
        <f>IF(ISNUMBER(AVERAGE('20250815_ETF_Options_Exhibits'!F1379:F1383)),AVERAGE('20250815_ETF_Options_Exhibits'!F1379:F1383),"")</f>
        <v/>
      </c>
      <c r="G1383" s="3">
        <f>IF(ISNUMBER(AVERAGE('20250815_ETF_Options_Exhibits'!G1379:G1383)),AVERAGE('20250815_ETF_Options_Exhibits'!G1379:G1383),"")</f>
        <v/>
      </c>
      <c r="H1383" s="3">
        <f>IF(ISNUMBER(AVERAGE('20250815_ETF_Options_Exhibits'!H1379:H1383)),AVERAGE('20250815_ETF_Options_Exhibits'!H1379:H1383),"")</f>
        <v/>
      </c>
      <c r="I1383" s="3">
        <f>IF(ISNUMBER(AVERAGE('20250815_ETF_Options_Exhibits'!I1379:I1383)),AVERAGE('20250815_ETF_Options_Exhibits'!I1379:I1383),"")</f>
        <v/>
      </c>
      <c r="J1383" s="3">
        <f>IF(ISNUMBER(AVERAGE('20250815_ETF_Options_Exhibits'!J1379:J1383)),AVERAGE('20250815_ETF_Options_Exhibits'!J1379:J1383),"")</f>
        <v/>
      </c>
      <c r="K1383" s="3">
        <f>IF(ISNUMBER(AVERAGE('20250815_ETF_Options_Exhibits'!K1379:K1383)),AVERAGE('20250815_ETF_Options_Exhibits'!K1379:K1383),"")</f>
        <v/>
      </c>
      <c r="L1383" s="3">
        <f>IF(ISNUMBER(AVERAGE('20250815_ETF_Options_Exhibits'!L1379:L1383)),AVERAGE('20250815_ETF_Options_Exhibits'!L1379:L1383),"")</f>
        <v/>
      </c>
      <c r="M1383" s="3">
        <f>IF(ISNUMBER(AVERAGE('20250815_ETF_Options_Exhibits'!M1379:M1383)),AVERAGE('20250815_ETF_Options_Exhibits'!M1379:M1383),"")</f>
        <v/>
      </c>
      <c r="N1383" s="3">
        <f>IF(ISNUMBER(AVERAGE('20250815_ETF_Options_Exhibits'!N1379:N1383)),AVERAGE('20250815_ETF_Options_Exhibits'!N1379:N1383),"")</f>
        <v/>
      </c>
      <c r="O1383" s="3">
        <f>IF(ISNUMBER(AVERAGE('20250815_ETF_Options_Exhibits'!O1379:O1383)),AVERAGE('20250815_ETF_Options_Exhibits'!O1379:O1383),"")</f>
        <v/>
      </c>
      <c r="P1383" s="3">
        <f>IF(ISNUMBER(AVERAGE('20250815_ETF_Options_Exhibits'!P1379:P1383)),AVERAGE('20250815_ETF_Options_Exhibits'!P1379:P1383),"")</f>
        <v/>
      </c>
      <c r="Q1383" s="3">
        <f>IF(ISNUMBER(AVERAGE('20250815_ETF_Options_Exhibits'!Q1379:Q1383)),AVERAGE('20250815_ETF_Options_Exhibits'!Q1379:Q1383),"")</f>
        <v/>
      </c>
      <c r="R1383" s="3">
        <f>IF(ISNUMBER(AVERAGE('20250815_ETF_Options_Exhibits'!R1379:R1383)),AVERAGE('20250815_ETF_Options_Exhibits'!R1379:R1383),"")</f>
        <v/>
      </c>
      <c r="S1383" s="3">
        <f>IF(ISNUMBER(AVERAGE('20250815_ETF_Options_Exhibits'!S1379:S1383)),AVERAGE('20250815_ETF_Options_Exhibits'!S1379:S1383),"")</f>
        <v/>
      </c>
      <c r="T1383" s="3">
        <f>IF(ISNUMBER(AVERAGE('20250815_ETF_Options_Exhibits'!T1379:T1383)),AVERAGE('20250815_ETF_Options_Exhibits'!T1379:T1383),"")</f>
        <v/>
      </c>
      <c r="U1383" s="3">
        <f>IF(ISNUMBER(AVERAGE('20250815_ETF_Options_Exhibits'!U1379:U1383)),AVERAGE('20250815_ETF_Options_Exhibits'!U1379:U1383),"")</f>
        <v/>
      </c>
      <c r="V1383" s="3">
        <f>IF(ISNUMBER(AVERAGE('20250815_ETF_Options_Exhibits'!V1379:V1383)),AVERAGE('20250815_ETF_Options_Exhibits'!V1379:V1383),"")</f>
        <v/>
      </c>
      <c r="W1383" s="3">
        <f>IF(ISNUMBER(AVERAGE('20250815_ETF_Options_Exhibits'!W1379:W1383)),AVERAGE('20250815_ETF_Options_Exhibits'!W1379:W1383),"")</f>
        <v/>
      </c>
      <c r="X1383" s="3">
        <f>IF(ISNUMBER(AVERAGE('20250815_ETF_Options_Exhibits'!X1379:X1383)),AVERAGE('20250815_ETF_Options_Exhibits'!X1379:X1383),"")</f>
        <v/>
      </c>
      <c r="Y1383" s="3">
        <f>IF(ISNUMBER(AVERAGE('20250815_ETF_Options_Exhibits'!Y1379:Y1383)),AVERAGE('20250815_ETF_Options_Exhibits'!Y1379:Y1383),"")</f>
        <v/>
      </c>
      <c r="Z1383" s="3">
        <f>IF(ISNUMBER(AVERAGE('20250815_ETF_Options_Exhibits'!Z1379:Z1383)),AVERAGE('20250815_ETF_Options_Exhibits'!Z1379:Z1383),"")</f>
        <v/>
      </c>
      <c r="AA1383" s="3">
        <f>IF(ISNUMBER(AVERAGE('20250815_ETF_Options_Exhibits'!AA1379:AA1383)),AVERAGE('20250815_ETF_Options_Exhibits'!AA1379:AA1383),"")</f>
        <v/>
      </c>
    </row>
    <row r="1384">
      <c r="A1384" s="1" t="n">
        <v>44011</v>
      </c>
      <c r="B1384" s="3">
        <f>IF(ISNUMBER(AVERAGE('20250815_ETF_Options_Exhibits'!B1380:B1384)),AVERAGE('20250815_ETF_Options_Exhibits'!B1380:B1384),"")</f>
        <v/>
      </c>
      <c r="C1384" s="3">
        <f>IF(ISNUMBER(AVERAGE('20250815_ETF_Options_Exhibits'!C1380:C1384)),AVERAGE('20250815_ETF_Options_Exhibits'!C1380:C1384),"")</f>
        <v/>
      </c>
      <c r="D1384" s="3">
        <f>IF(ISNUMBER(AVERAGE('20250815_ETF_Options_Exhibits'!D1380:D1384)),AVERAGE('20250815_ETF_Options_Exhibits'!D1380:D1384),"")</f>
        <v/>
      </c>
      <c r="E1384" s="3">
        <f>IF(ISNUMBER(AVERAGE('20250815_ETF_Options_Exhibits'!E1380:E1384)),AVERAGE('20250815_ETF_Options_Exhibits'!E1380:E1384),"")</f>
        <v/>
      </c>
      <c r="F1384" s="3">
        <f>IF(ISNUMBER(AVERAGE('20250815_ETF_Options_Exhibits'!F1380:F1384)),AVERAGE('20250815_ETF_Options_Exhibits'!F1380:F1384),"")</f>
        <v/>
      </c>
      <c r="G1384" s="3">
        <f>IF(ISNUMBER(AVERAGE('20250815_ETF_Options_Exhibits'!G1380:G1384)),AVERAGE('20250815_ETF_Options_Exhibits'!G1380:G1384),"")</f>
        <v/>
      </c>
      <c r="H1384" s="3">
        <f>IF(ISNUMBER(AVERAGE('20250815_ETF_Options_Exhibits'!H1380:H1384)),AVERAGE('20250815_ETF_Options_Exhibits'!H1380:H1384),"")</f>
        <v/>
      </c>
      <c r="I1384" s="3">
        <f>IF(ISNUMBER(AVERAGE('20250815_ETF_Options_Exhibits'!I1380:I1384)),AVERAGE('20250815_ETF_Options_Exhibits'!I1380:I1384),"")</f>
        <v/>
      </c>
      <c r="J1384" s="3">
        <f>IF(ISNUMBER(AVERAGE('20250815_ETF_Options_Exhibits'!J1380:J1384)),AVERAGE('20250815_ETF_Options_Exhibits'!J1380:J1384),"")</f>
        <v/>
      </c>
      <c r="K1384" s="3">
        <f>IF(ISNUMBER(AVERAGE('20250815_ETF_Options_Exhibits'!K1380:K1384)),AVERAGE('20250815_ETF_Options_Exhibits'!K1380:K1384),"")</f>
        <v/>
      </c>
      <c r="L1384" s="3">
        <f>IF(ISNUMBER(AVERAGE('20250815_ETF_Options_Exhibits'!L1380:L1384)),AVERAGE('20250815_ETF_Options_Exhibits'!L1380:L1384),"")</f>
        <v/>
      </c>
      <c r="M1384" s="3">
        <f>IF(ISNUMBER(AVERAGE('20250815_ETF_Options_Exhibits'!M1380:M1384)),AVERAGE('20250815_ETF_Options_Exhibits'!M1380:M1384),"")</f>
        <v/>
      </c>
      <c r="N1384" s="3">
        <f>IF(ISNUMBER(AVERAGE('20250815_ETF_Options_Exhibits'!N1380:N1384)),AVERAGE('20250815_ETF_Options_Exhibits'!N1380:N1384),"")</f>
        <v/>
      </c>
      <c r="O1384" s="3">
        <f>IF(ISNUMBER(AVERAGE('20250815_ETF_Options_Exhibits'!O1380:O1384)),AVERAGE('20250815_ETF_Options_Exhibits'!O1380:O1384),"")</f>
        <v/>
      </c>
      <c r="P1384" s="3">
        <f>IF(ISNUMBER(AVERAGE('20250815_ETF_Options_Exhibits'!P1380:P1384)),AVERAGE('20250815_ETF_Options_Exhibits'!P1380:P1384),"")</f>
        <v/>
      </c>
      <c r="Q1384" s="3">
        <f>IF(ISNUMBER(AVERAGE('20250815_ETF_Options_Exhibits'!Q1380:Q1384)),AVERAGE('20250815_ETF_Options_Exhibits'!Q1380:Q1384),"")</f>
        <v/>
      </c>
      <c r="R1384" s="3">
        <f>IF(ISNUMBER(AVERAGE('20250815_ETF_Options_Exhibits'!R1380:R1384)),AVERAGE('20250815_ETF_Options_Exhibits'!R1380:R1384),"")</f>
        <v/>
      </c>
      <c r="S1384" s="3">
        <f>IF(ISNUMBER(AVERAGE('20250815_ETF_Options_Exhibits'!S1380:S1384)),AVERAGE('20250815_ETF_Options_Exhibits'!S1380:S1384),"")</f>
        <v/>
      </c>
      <c r="T1384" s="3">
        <f>IF(ISNUMBER(AVERAGE('20250815_ETF_Options_Exhibits'!T1380:T1384)),AVERAGE('20250815_ETF_Options_Exhibits'!T1380:T1384),"")</f>
        <v/>
      </c>
      <c r="U1384" s="3">
        <f>IF(ISNUMBER(AVERAGE('20250815_ETF_Options_Exhibits'!U1380:U1384)),AVERAGE('20250815_ETF_Options_Exhibits'!U1380:U1384),"")</f>
        <v/>
      </c>
      <c r="V1384" s="3">
        <f>IF(ISNUMBER(AVERAGE('20250815_ETF_Options_Exhibits'!V1380:V1384)),AVERAGE('20250815_ETF_Options_Exhibits'!V1380:V1384),"")</f>
        <v/>
      </c>
      <c r="W1384" s="3">
        <f>IF(ISNUMBER(AVERAGE('20250815_ETF_Options_Exhibits'!W1380:W1384)),AVERAGE('20250815_ETF_Options_Exhibits'!W1380:W1384),"")</f>
        <v/>
      </c>
      <c r="X1384" s="3">
        <f>IF(ISNUMBER(AVERAGE('20250815_ETF_Options_Exhibits'!X1380:X1384)),AVERAGE('20250815_ETF_Options_Exhibits'!X1380:X1384),"")</f>
        <v/>
      </c>
      <c r="Y1384" s="3">
        <f>IF(ISNUMBER(AVERAGE('20250815_ETF_Options_Exhibits'!Y1380:Y1384)),AVERAGE('20250815_ETF_Options_Exhibits'!Y1380:Y1384),"")</f>
        <v/>
      </c>
      <c r="Z1384" s="3">
        <f>IF(ISNUMBER(AVERAGE('20250815_ETF_Options_Exhibits'!Z1380:Z1384)),AVERAGE('20250815_ETF_Options_Exhibits'!Z1380:Z1384),"")</f>
        <v/>
      </c>
      <c r="AA1384" s="3">
        <f>IF(ISNUMBER(AVERAGE('20250815_ETF_Options_Exhibits'!AA1380:AA1384)),AVERAGE('20250815_ETF_Options_Exhibits'!AA1380:AA1384),"")</f>
        <v/>
      </c>
    </row>
    <row r="1385">
      <c r="A1385" s="1" t="n">
        <v>44012</v>
      </c>
      <c r="B1385" s="3">
        <f>IF(ISNUMBER(AVERAGE('20250815_ETF_Options_Exhibits'!B1381:B1385)),AVERAGE('20250815_ETF_Options_Exhibits'!B1381:B1385),"")</f>
        <v/>
      </c>
      <c r="C1385" s="3">
        <f>IF(ISNUMBER(AVERAGE('20250815_ETF_Options_Exhibits'!C1381:C1385)),AVERAGE('20250815_ETF_Options_Exhibits'!C1381:C1385),"")</f>
        <v/>
      </c>
      <c r="D1385" s="3">
        <f>IF(ISNUMBER(AVERAGE('20250815_ETF_Options_Exhibits'!D1381:D1385)),AVERAGE('20250815_ETF_Options_Exhibits'!D1381:D1385),"")</f>
        <v/>
      </c>
      <c r="E1385" s="3">
        <f>IF(ISNUMBER(AVERAGE('20250815_ETF_Options_Exhibits'!E1381:E1385)),AVERAGE('20250815_ETF_Options_Exhibits'!E1381:E1385),"")</f>
        <v/>
      </c>
      <c r="F1385" s="3">
        <f>IF(ISNUMBER(AVERAGE('20250815_ETF_Options_Exhibits'!F1381:F1385)),AVERAGE('20250815_ETF_Options_Exhibits'!F1381:F1385),"")</f>
        <v/>
      </c>
      <c r="G1385" s="3">
        <f>IF(ISNUMBER(AVERAGE('20250815_ETF_Options_Exhibits'!G1381:G1385)),AVERAGE('20250815_ETF_Options_Exhibits'!G1381:G1385),"")</f>
        <v/>
      </c>
      <c r="H1385" s="3">
        <f>IF(ISNUMBER(AVERAGE('20250815_ETF_Options_Exhibits'!H1381:H1385)),AVERAGE('20250815_ETF_Options_Exhibits'!H1381:H1385),"")</f>
        <v/>
      </c>
      <c r="I1385" s="3">
        <f>IF(ISNUMBER(AVERAGE('20250815_ETF_Options_Exhibits'!I1381:I1385)),AVERAGE('20250815_ETF_Options_Exhibits'!I1381:I1385),"")</f>
        <v/>
      </c>
      <c r="J1385" s="3">
        <f>IF(ISNUMBER(AVERAGE('20250815_ETF_Options_Exhibits'!J1381:J1385)),AVERAGE('20250815_ETF_Options_Exhibits'!J1381:J1385),"")</f>
        <v/>
      </c>
      <c r="K1385" s="3">
        <f>IF(ISNUMBER(AVERAGE('20250815_ETF_Options_Exhibits'!K1381:K1385)),AVERAGE('20250815_ETF_Options_Exhibits'!K1381:K1385),"")</f>
        <v/>
      </c>
      <c r="L1385" s="3">
        <f>IF(ISNUMBER(AVERAGE('20250815_ETF_Options_Exhibits'!L1381:L1385)),AVERAGE('20250815_ETF_Options_Exhibits'!L1381:L1385),"")</f>
        <v/>
      </c>
      <c r="M1385" s="3">
        <f>IF(ISNUMBER(AVERAGE('20250815_ETF_Options_Exhibits'!M1381:M1385)),AVERAGE('20250815_ETF_Options_Exhibits'!M1381:M1385),"")</f>
        <v/>
      </c>
      <c r="N1385" s="3">
        <f>IF(ISNUMBER(AVERAGE('20250815_ETF_Options_Exhibits'!N1381:N1385)),AVERAGE('20250815_ETF_Options_Exhibits'!N1381:N1385),"")</f>
        <v/>
      </c>
      <c r="O1385" s="3">
        <f>IF(ISNUMBER(AVERAGE('20250815_ETF_Options_Exhibits'!O1381:O1385)),AVERAGE('20250815_ETF_Options_Exhibits'!O1381:O1385),"")</f>
        <v/>
      </c>
      <c r="P1385" s="3">
        <f>IF(ISNUMBER(AVERAGE('20250815_ETF_Options_Exhibits'!P1381:P1385)),AVERAGE('20250815_ETF_Options_Exhibits'!P1381:P1385),"")</f>
        <v/>
      </c>
      <c r="Q1385" s="3">
        <f>IF(ISNUMBER(AVERAGE('20250815_ETF_Options_Exhibits'!Q1381:Q1385)),AVERAGE('20250815_ETF_Options_Exhibits'!Q1381:Q1385),"")</f>
        <v/>
      </c>
      <c r="R1385" s="3">
        <f>IF(ISNUMBER(AVERAGE('20250815_ETF_Options_Exhibits'!R1381:R1385)),AVERAGE('20250815_ETF_Options_Exhibits'!R1381:R1385),"")</f>
        <v/>
      </c>
      <c r="S1385" s="3">
        <f>IF(ISNUMBER(AVERAGE('20250815_ETF_Options_Exhibits'!S1381:S1385)),AVERAGE('20250815_ETF_Options_Exhibits'!S1381:S1385),"")</f>
        <v/>
      </c>
      <c r="T1385" s="3">
        <f>IF(ISNUMBER(AVERAGE('20250815_ETF_Options_Exhibits'!T1381:T1385)),AVERAGE('20250815_ETF_Options_Exhibits'!T1381:T1385),"")</f>
        <v/>
      </c>
      <c r="U1385" s="3">
        <f>IF(ISNUMBER(AVERAGE('20250815_ETF_Options_Exhibits'!U1381:U1385)),AVERAGE('20250815_ETF_Options_Exhibits'!U1381:U1385),"")</f>
        <v/>
      </c>
      <c r="V1385" s="3">
        <f>IF(ISNUMBER(AVERAGE('20250815_ETF_Options_Exhibits'!V1381:V1385)),AVERAGE('20250815_ETF_Options_Exhibits'!V1381:V1385),"")</f>
        <v/>
      </c>
      <c r="W1385" s="3">
        <f>IF(ISNUMBER(AVERAGE('20250815_ETF_Options_Exhibits'!W1381:W1385)),AVERAGE('20250815_ETF_Options_Exhibits'!W1381:W1385),"")</f>
        <v/>
      </c>
      <c r="X1385" s="3">
        <f>IF(ISNUMBER(AVERAGE('20250815_ETF_Options_Exhibits'!X1381:X1385)),AVERAGE('20250815_ETF_Options_Exhibits'!X1381:X1385),"")</f>
        <v/>
      </c>
      <c r="Y1385" s="3">
        <f>IF(ISNUMBER(AVERAGE('20250815_ETF_Options_Exhibits'!Y1381:Y1385)),AVERAGE('20250815_ETF_Options_Exhibits'!Y1381:Y1385),"")</f>
        <v/>
      </c>
      <c r="Z1385" s="3">
        <f>IF(ISNUMBER(AVERAGE('20250815_ETF_Options_Exhibits'!Z1381:Z1385)),AVERAGE('20250815_ETF_Options_Exhibits'!Z1381:Z1385),"")</f>
        <v/>
      </c>
      <c r="AA1385" s="3">
        <f>IF(ISNUMBER(AVERAGE('20250815_ETF_Options_Exhibits'!AA1381:AA1385)),AVERAGE('20250815_ETF_Options_Exhibits'!AA1381:AA1385),"")</f>
        <v/>
      </c>
    </row>
    <row r="1386">
      <c r="A1386" s="1" t="n">
        <v>44013</v>
      </c>
      <c r="B1386" s="3">
        <f>IF(ISNUMBER(AVERAGE('20250815_ETF_Options_Exhibits'!B1382:B1386)),AVERAGE('20250815_ETF_Options_Exhibits'!B1382:B1386),"")</f>
        <v/>
      </c>
      <c r="C1386" s="3">
        <f>IF(ISNUMBER(AVERAGE('20250815_ETF_Options_Exhibits'!C1382:C1386)),AVERAGE('20250815_ETF_Options_Exhibits'!C1382:C1386),"")</f>
        <v/>
      </c>
      <c r="D1386" s="3">
        <f>IF(ISNUMBER(AVERAGE('20250815_ETF_Options_Exhibits'!D1382:D1386)),AVERAGE('20250815_ETF_Options_Exhibits'!D1382:D1386),"")</f>
        <v/>
      </c>
      <c r="E1386" s="3">
        <f>IF(ISNUMBER(AVERAGE('20250815_ETF_Options_Exhibits'!E1382:E1386)),AVERAGE('20250815_ETF_Options_Exhibits'!E1382:E1386),"")</f>
        <v/>
      </c>
      <c r="F1386" s="3">
        <f>IF(ISNUMBER(AVERAGE('20250815_ETF_Options_Exhibits'!F1382:F1386)),AVERAGE('20250815_ETF_Options_Exhibits'!F1382:F1386),"")</f>
        <v/>
      </c>
      <c r="G1386" s="3">
        <f>IF(ISNUMBER(AVERAGE('20250815_ETF_Options_Exhibits'!G1382:G1386)),AVERAGE('20250815_ETF_Options_Exhibits'!G1382:G1386),"")</f>
        <v/>
      </c>
      <c r="H1386" s="3">
        <f>IF(ISNUMBER(AVERAGE('20250815_ETF_Options_Exhibits'!H1382:H1386)),AVERAGE('20250815_ETF_Options_Exhibits'!H1382:H1386),"")</f>
        <v/>
      </c>
      <c r="I1386" s="3">
        <f>IF(ISNUMBER(AVERAGE('20250815_ETF_Options_Exhibits'!I1382:I1386)),AVERAGE('20250815_ETF_Options_Exhibits'!I1382:I1386),"")</f>
        <v/>
      </c>
      <c r="J1386" s="3">
        <f>IF(ISNUMBER(AVERAGE('20250815_ETF_Options_Exhibits'!J1382:J1386)),AVERAGE('20250815_ETF_Options_Exhibits'!J1382:J1386),"")</f>
        <v/>
      </c>
      <c r="K1386" s="3">
        <f>IF(ISNUMBER(AVERAGE('20250815_ETF_Options_Exhibits'!K1382:K1386)),AVERAGE('20250815_ETF_Options_Exhibits'!K1382:K1386),"")</f>
        <v/>
      </c>
      <c r="L1386" s="3">
        <f>IF(ISNUMBER(AVERAGE('20250815_ETF_Options_Exhibits'!L1382:L1386)),AVERAGE('20250815_ETF_Options_Exhibits'!L1382:L1386),"")</f>
        <v/>
      </c>
      <c r="M1386" s="3">
        <f>IF(ISNUMBER(AVERAGE('20250815_ETF_Options_Exhibits'!M1382:M1386)),AVERAGE('20250815_ETF_Options_Exhibits'!M1382:M1386),"")</f>
        <v/>
      </c>
      <c r="N1386" s="3">
        <f>IF(ISNUMBER(AVERAGE('20250815_ETF_Options_Exhibits'!N1382:N1386)),AVERAGE('20250815_ETF_Options_Exhibits'!N1382:N1386),"")</f>
        <v/>
      </c>
      <c r="O1386" s="3">
        <f>IF(ISNUMBER(AVERAGE('20250815_ETF_Options_Exhibits'!O1382:O1386)),AVERAGE('20250815_ETF_Options_Exhibits'!O1382:O1386),"")</f>
        <v/>
      </c>
      <c r="P1386" s="3">
        <f>IF(ISNUMBER(AVERAGE('20250815_ETF_Options_Exhibits'!P1382:P1386)),AVERAGE('20250815_ETF_Options_Exhibits'!P1382:P1386),"")</f>
        <v/>
      </c>
      <c r="Q1386" s="3">
        <f>IF(ISNUMBER(AVERAGE('20250815_ETF_Options_Exhibits'!Q1382:Q1386)),AVERAGE('20250815_ETF_Options_Exhibits'!Q1382:Q1386),"")</f>
        <v/>
      </c>
      <c r="R1386" s="3">
        <f>IF(ISNUMBER(AVERAGE('20250815_ETF_Options_Exhibits'!R1382:R1386)),AVERAGE('20250815_ETF_Options_Exhibits'!R1382:R1386),"")</f>
        <v/>
      </c>
      <c r="S1386" s="3">
        <f>IF(ISNUMBER(AVERAGE('20250815_ETF_Options_Exhibits'!S1382:S1386)),AVERAGE('20250815_ETF_Options_Exhibits'!S1382:S1386),"")</f>
        <v/>
      </c>
      <c r="T1386" s="3">
        <f>IF(ISNUMBER(AVERAGE('20250815_ETF_Options_Exhibits'!T1382:T1386)),AVERAGE('20250815_ETF_Options_Exhibits'!T1382:T1386),"")</f>
        <v/>
      </c>
      <c r="U1386" s="3">
        <f>IF(ISNUMBER(AVERAGE('20250815_ETF_Options_Exhibits'!U1382:U1386)),AVERAGE('20250815_ETF_Options_Exhibits'!U1382:U1386),"")</f>
        <v/>
      </c>
      <c r="V1386" s="3">
        <f>IF(ISNUMBER(AVERAGE('20250815_ETF_Options_Exhibits'!V1382:V1386)),AVERAGE('20250815_ETF_Options_Exhibits'!V1382:V1386),"")</f>
        <v/>
      </c>
      <c r="W1386" s="3">
        <f>IF(ISNUMBER(AVERAGE('20250815_ETF_Options_Exhibits'!W1382:W1386)),AVERAGE('20250815_ETF_Options_Exhibits'!W1382:W1386),"")</f>
        <v/>
      </c>
      <c r="X1386" s="3">
        <f>IF(ISNUMBER(AVERAGE('20250815_ETF_Options_Exhibits'!X1382:X1386)),AVERAGE('20250815_ETF_Options_Exhibits'!X1382:X1386),"")</f>
        <v/>
      </c>
      <c r="Y1386" s="3">
        <f>IF(ISNUMBER(AVERAGE('20250815_ETF_Options_Exhibits'!Y1382:Y1386)),AVERAGE('20250815_ETF_Options_Exhibits'!Y1382:Y1386),"")</f>
        <v/>
      </c>
      <c r="Z1386" s="3">
        <f>IF(ISNUMBER(AVERAGE('20250815_ETF_Options_Exhibits'!Z1382:Z1386)),AVERAGE('20250815_ETF_Options_Exhibits'!Z1382:Z1386),"")</f>
        <v/>
      </c>
      <c r="AA1386" s="3">
        <f>IF(ISNUMBER(AVERAGE('20250815_ETF_Options_Exhibits'!AA1382:AA1386)),AVERAGE('20250815_ETF_Options_Exhibits'!AA1382:AA1386),"")</f>
        <v/>
      </c>
    </row>
    <row r="1387">
      <c r="A1387" s="1" t="n">
        <v>44014</v>
      </c>
      <c r="B1387" s="3">
        <f>IF(ISNUMBER(AVERAGE('20250815_ETF_Options_Exhibits'!B1383:B1387)),AVERAGE('20250815_ETF_Options_Exhibits'!B1383:B1387),"")</f>
        <v/>
      </c>
      <c r="C1387" s="3">
        <f>IF(ISNUMBER(AVERAGE('20250815_ETF_Options_Exhibits'!C1383:C1387)),AVERAGE('20250815_ETF_Options_Exhibits'!C1383:C1387),"")</f>
        <v/>
      </c>
      <c r="D1387" s="3">
        <f>IF(ISNUMBER(AVERAGE('20250815_ETF_Options_Exhibits'!D1383:D1387)),AVERAGE('20250815_ETF_Options_Exhibits'!D1383:D1387),"")</f>
        <v/>
      </c>
      <c r="E1387" s="3">
        <f>IF(ISNUMBER(AVERAGE('20250815_ETF_Options_Exhibits'!E1383:E1387)),AVERAGE('20250815_ETF_Options_Exhibits'!E1383:E1387),"")</f>
        <v/>
      </c>
      <c r="F1387" s="3">
        <f>IF(ISNUMBER(AVERAGE('20250815_ETF_Options_Exhibits'!F1383:F1387)),AVERAGE('20250815_ETF_Options_Exhibits'!F1383:F1387),"")</f>
        <v/>
      </c>
      <c r="G1387" s="3">
        <f>IF(ISNUMBER(AVERAGE('20250815_ETF_Options_Exhibits'!G1383:G1387)),AVERAGE('20250815_ETF_Options_Exhibits'!G1383:G1387),"")</f>
        <v/>
      </c>
      <c r="H1387" s="3">
        <f>IF(ISNUMBER(AVERAGE('20250815_ETF_Options_Exhibits'!H1383:H1387)),AVERAGE('20250815_ETF_Options_Exhibits'!H1383:H1387),"")</f>
        <v/>
      </c>
      <c r="I1387" s="3">
        <f>IF(ISNUMBER(AVERAGE('20250815_ETF_Options_Exhibits'!I1383:I1387)),AVERAGE('20250815_ETF_Options_Exhibits'!I1383:I1387),"")</f>
        <v/>
      </c>
      <c r="J1387" s="3">
        <f>IF(ISNUMBER(AVERAGE('20250815_ETF_Options_Exhibits'!J1383:J1387)),AVERAGE('20250815_ETF_Options_Exhibits'!J1383:J1387),"")</f>
        <v/>
      </c>
      <c r="K1387" s="3">
        <f>IF(ISNUMBER(AVERAGE('20250815_ETF_Options_Exhibits'!K1383:K1387)),AVERAGE('20250815_ETF_Options_Exhibits'!K1383:K1387),"")</f>
        <v/>
      </c>
      <c r="L1387" s="3">
        <f>IF(ISNUMBER(AVERAGE('20250815_ETF_Options_Exhibits'!L1383:L1387)),AVERAGE('20250815_ETF_Options_Exhibits'!L1383:L1387),"")</f>
        <v/>
      </c>
      <c r="M1387" s="3">
        <f>IF(ISNUMBER(AVERAGE('20250815_ETF_Options_Exhibits'!M1383:M1387)),AVERAGE('20250815_ETF_Options_Exhibits'!M1383:M1387),"")</f>
        <v/>
      </c>
      <c r="N1387" s="3">
        <f>IF(ISNUMBER(AVERAGE('20250815_ETF_Options_Exhibits'!N1383:N1387)),AVERAGE('20250815_ETF_Options_Exhibits'!N1383:N1387),"")</f>
        <v/>
      </c>
      <c r="O1387" s="3">
        <f>IF(ISNUMBER(AVERAGE('20250815_ETF_Options_Exhibits'!O1383:O1387)),AVERAGE('20250815_ETF_Options_Exhibits'!O1383:O1387),"")</f>
        <v/>
      </c>
      <c r="P1387" s="3">
        <f>IF(ISNUMBER(AVERAGE('20250815_ETF_Options_Exhibits'!P1383:P1387)),AVERAGE('20250815_ETF_Options_Exhibits'!P1383:P1387),"")</f>
        <v/>
      </c>
      <c r="Q1387" s="3">
        <f>IF(ISNUMBER(AVERAGE('20250815_ETF_Options_Exhibits'!Q1383:Q1387)),AVERAGE('20250815_ETF_Options_Exhibits'!Q1383:Q1387),"")</f>
        <v/>
      </c>
      <c r="R1387" s="3">
        <f>IF(ISNUMBER(AVERAGE('20250815_ETF_Options_Exhibits'!R1383:R1387)),AVERAGE('20250815_ETF_Options_Exhibits'!R1383:R1387),"")</f>
        <v/>
      </c>
      <c r="S1387" s="3">
        <f>IF(ISNUMBER(AVERAGE('20250815_ETF_Options_Exhibits'!S1383:S1387)),AVERAGE('20250815_ETF_Options_Exhibits'!S1383:S1387),"")</f>
        <v/>
      </c>
      <c r="T1387" s="3">
        <f>IF(ISNUMBER(AVERAGE('20250815_ETF_Options_Exhibits'!T1383:T1387)),AVERAGE('20250815_ETF_Options_Exhibits'!T1383:T1387),"")</f>
        <v/>
      </c>
      <c r="U1387" s="3">
        <f>IF(ISNUMBER(AVERAGE('20250815_ETF_Options_Exhibits'!U1383:U1387)),AVERAGE('20250815_ETF_Options_Exhibits'!U1383:U1387),"")</f>
        <v/>
      </c>
      <c r="V1387" s="3">
        <f>IF(ISNUMBER(AVERAGE('20250815_ETF_Options_Exhibits'!V1383:V1387)),AVERAGE('20250815_ETF_Options_Exhibits'!V1383:V1387),"")</f>
        <v/>
      </c>
      <c r="W1387" s="3">
        <f>IF(ISNUMBER(AVERAGE('20250815_ETF_Options_Exhibits'!W1383:W1387)),AVERAGE('20250815_ETF_Options_Exhibits'!W1383:W1387),"")</f>
        <v/>
      </c>
      <c r="X1387" s="3">
        <f>IF(ISNUMBER(AVERAGE('20250815_ETF_Options_Exhibits'!X1383:X1387)),AVERAGE('20250815_ETF_Options_Exhibits'!X1383:X1387),"")</f>
        <v/>
      </c>
      <c r="Y1387" s="3">
        <f>IF(ISNUMBER(AVERAGE('20250815_ETF_Options_Exhibits'!Y1383:Y1387)),AVERAGE('20250815_ETF_Options_Exhibits'!Y1383:Y1387),"")</f>
        <v/>
      </c>
      <c r="Z1387" s="3">
        <f>IF(ISNUMBER(AVERAGE('20250815_ETF_Options_Exhibits'!Z1383:Z1387)),AVERAGE('20250815_ETF_Options_Exhibits'!Z1383:Z1387),"")</f>
        <v/>
      </c>
      <c r="AA1387" s="3">
        <f>IF(ISNUMBER(AVERAGE('20250815_ETF_Options_Exhibits'!AA1383:AA1387)),AVERAGE('20250815_ETF_Options_Exhibits'!AA1383:AA1387),"")</f>
        <v/>
      </c>
    </row>
    <row r="1388">
      <c r="A1388" s="1" t="n">
        <v>44018</v>
      </c>
      <c r="B1388" s="3">
        <f>IF(ISNUMBER(AVERAGE('20250815_ETF_Options_Exhibits'!B1384:B1388)),AVERAGE('20250815_ETF_Options_Exhibits'!B1384:B1388),"")</f>
        <v/>
      </c>
      <c r="C1388" s="3">
        <f>IF(ISNUMBER(AVERAGE('20250815_ETF_Options_Exhibits'!C1384:C1388)),AVERAGE('20250815_ETF_Options_Exhibits'!C1384:C1388),"")</f>
        <v/>
      </c>
      <c r="D1388" s="3">
        <f>IF(ISNUMBER(AVERAGE('20250815_ETF_Options_Exhibits'!D1384:D1388)),AVERAGE('20250815_ETF_Options_Exhibits'!D1384:D1388),"")</f>
        <v/>
      </c>
      <c r="E1388" s="3">
        <f>IF(ISNUMBER(AVERAGE('20250815_ETF_Options_Exhibits'!E1384:E1388)),AVERAGE('20250815_ETF_Options_Exhibits'!E1384:E1388),"")</f>
        <v/>
      </c>
      <c r="F1388" s="3">
        <f>IF(ISNUMBER(AVERAGE('20250815_ETF_Options_Exhibits'!F1384:F1388)),AVERAGE('20250815_ETF_Options_Exhibits'!F1384:F1388),"")</f>
        <v/>
      </c>
      <c r="G1388" s="3">
        <f>IF(ISNUMBER(AVERAGE('20250815_ETF_Options_Exhibits'!G1384:G1388)),AVERAGE('20250815_ETF_Options_Exhibits'!G1384:G1388),"")</f>
        <v/>
      </c>
      <c r="H1388" s="3">
        <f>IF(ISNUMBER(AVERAGE('20250815_ETF_Options_Exhibits'!H1384:H1388)),AVERAGE('20250815_ETF_Options_Exhibits'!H1384:H1388),"")</f>
        <v/>
      </c>
      <c r="I1388" s="3">
        <f>IF(ISNUMBER(AVERAGE('20250815_ETF_Options_Exhibits'!I1384:I1388)),AVERAGE('20250815_ETF_Options_Exhibits'!I1384:I1388),"")</f>
        <v/>
      </c>
      <c r="J1388" s="3">
        <f>IF(ISNUMBER(AVERAGE('20250815_ETF_Options_Exhibits'!J1384:J1388)),AVERAGE('20250815_ETF_Options_Exhibits'!J1384:J1388),"")</f>
        <v/>
      </c>
      <c r="K1388" s="3">
        <f>IF(ISNUMBER(AVERAGE('20250815_ETF_Options_Exhibits'!K1384:K1388)),AVERAGE('20250815_ETF_Options_Exhibits'!K1384:K1388),"")</f>
        <v/>
      </c>
      <c r="L1388" s="3">
        <f>IF(ISNUMBER(AVERAGE('20250815_ETF_Options_Exhibits'!L1384:L1388)),AVERAGE('20250815_ETF_Options_Exhibits'!L1384:L1388),"")</f>
        <v/>
      </c>
      <c r="M1388" s="3">
        <f>IF(ISNUMBER(AVERAGE('20250815_ETF_Options_Exhibits'!M1384:M1388)),AVERAGE('20250815_ETF_Options_Exhibits'!M1384:M1388),"")</f>
        <v/>
      </c>
      <c r="N1388" s="3">
        <f>IF(ISNUMBER(AVERAGE('20250815_ETF_Options_Exhibits'!N1384:N1388)),AVERAGE('20250815_ETF_Options_Exhibits'!N1384:N1388),"")</f>
        <v/>
      </c>
      <c r="O1388" s="3">
        <f>IF(ISNUMBER(AVERAGE('20250815_ETF_Options_Exhibits'!O1384:O1388)),AVERAGE('20250815_ETF_Options_Exhibits'!O1384:O1388),"")</f>
        <v/>
      </c>
      <c r="P1388" s="3">
        <f>IF(ISNUMBER(AVERAGE('20250815_ETF_Options_Exhibits'!P1384:P1388)),AVERAGE('20250815_ETF_Options_Exhibits'!P1384:P1388),"")</f>
        <v/>
      </c>
      <c r="Q1388" s="3">
        <f>IF(ISNUMBER(AVERAGE('20250815_ETF_Options_Exhibits'!Q1384:Q1388)),AVERAGE('20250815_ETF_Options_Exhibits'!Q1384:Q1388),"")</f>
        <v/>
      </c>
      <c r="R1388" s="3">
        <f>IF(ISNUMBER(AVERAGE('20250815_ETF_Options_Exhibits'!R1384:R1388)),AVERAGE('20250815_ETF_Options_Exhibits'!R1384:R1388),"")</f>
        <v/>
      </c>
      <c r="S1388" s="3">
        <f>IF(ISNUMBER(AVERAGE('20250815_ETF_Options_Exhibits'!S1384:S1388)),AVERAGE('20250815_ETF_Options_Exhibits'!S1384:S1388),"")</f>
        <v/>
      </c>
      <c r="T1388" s="3">
        <f>IF(ISNUMBER(AVERAGE('20250815_ETF_Options_Exhibits'!T1384:T1388)),AVERAGE('20250815_ETF_Options_Exhibits'!T1384:T1388),"")</f>
        <v/>
      </c>
      <c r="U1388" s="3">
        <f>IF(ISNUMBER(AVERAGE('20250815_ETF_Options_Exhibits'!U1384:U1388)),AVERAGE('20250815_ETF_Options_Exhibits'!U1384:U1388),"")</f>
        <v/>
      </c>
      <c r="V1388" s="3">
        <f>IF(ISNUMBER(AVERAGE('20250815_ETF_Options_Exhibits'!V1384:V1388)),AVERAGE('20250815_ETF_Options_Exhibits'!V1384:V1388),"")</f>
        <v/>
      </c>
      <c r="W1388" s="3">
        <f>IF(ISNUMBER(AVERAGE('20250815_ETF_Options_Exhibits'!W1384:W1388)),AVERAGE('20250815_ETF_Options_Exhibits'!W1384:W1388),"")</f>
        <v/>
      </c>
      <c r="X1388" s="3">
        <f>IF(ISNUMBER(AVERAGE('20250815_ETF_Options_Exhibits'!X1384:X1388)),AVERAGE('20250815_ETF_Options_Exhibits'!X1384:X1388),"")</f>
        <v/>
      </c>
      <c r="Y1388" s="3">
        <f>IF(ISNUMBER(AVERAGE('20250815_ETF_Options_Exhibits'!Y1384:Y1388)),AVERAGE('20250815_ETF_Options_Exhibits'!Y1384:Y1388),"")</f>
        <v/>
      </c>
      <c r="Z1388" s="3">
        <f>IF(ISNUMBER(AVERAGE('20250815_ETF_Options_Exhibits'!Z1384:Z1388)),AVERAGE('20250815_ETF_Options_Exhibits'!Z1384:Z1388),"")</f>
        <v/>
      </c>
      <c r="AA1388" s="3">
        <f>IF(ISNUMBER(AVERAGE('20250815_ETF_Options_Exhibits'!AA1384:AA1388)),AVERAGE('20250815_ETF_Options_Exhibits'!AA1384:AA1388),"")</f>
        <v/>
      </c>
    </row>
    <row r="1389">
      <c r="A1389" s="1" t="n">
        <v>44019</v>
      </c>
      <c r="B1389" s="3">
        <f>IF(ISNUMBER(AVERAGE('20250815_ETF_Options_Exhibits'!B1385:B1389)),AVERAGE('20250815_ETF_Options_Exhibits'!B1385:B1389),"")</f>
        <v/>
      </c>
      <c r="C1389" s="3">
        <f>IF(ISNUMBER(AVERAGE('20250815_ETF_Options_Exhibits'!C1385:C1389)),AVERAGE('20250815_ETF_Options_Exhibits'!C1385:C1389),"")</f>
        <v/>
      </c>
      <c r="D1389" s="3">
        <f>IF(ISNUMBER(AVERAGE('20250815_ETF_Options_Exhibits'!D1385:D1389)),AVERAGE('20250815_ETF_Options_Exhibits'!D1385:D1389),"")</f>
        <v/>
      </c>
      <c r="E1389" s="3">
        <f>IF(ISNUMBER(AVERAGE('20250815_ETF_Options_Exhibits'!E1385:E1389)),AVERAGE('20250815_ETF_Options_Exhibits'!E1385:E1389),"")</f>
        <v/>
      </c>
      <c r="F1389" s="3">
        <f>IF(ISNUMBER(AVERAGE('20250815_ETF_Options_Exhibits'!F1385:F1389)),AVERAGE('20250815_ETF_Options_Exhibits'!F1385:F1389),"")</f>
        <v/>
      </c>
      <c r="G1389" s="3">
        <f>IF(ISNUMBER(AVERAGE('20250815_ETF_Options_Exhibits'!G1385:G1389)),AVERAGE('20250815_ETF_Options_Exhibits'!G1385:G1389),"")</f>
        <v/>
      </c>
      <c r="H1389" s="3">
        <f>IF(ISNUMBER(AVERAGE('20250815_ETF_Options_Exhibits'!H1385:H1389)),AVERAGE('20250815_ETF_Options_Exhibits'!H1385:H1389),"")</f>
        <v/>
      </c>
      <c r="I1389" s="3">
        <f>IF(ISNUMBER(AVERAGE('20250815_ETF_Options_Exhibits'!I1385:I1389)),AVERAGE('20250815_ETF_Options_Exhibits'!I1385:I1389),"")</f>
        <v/>
      </c>
      <c r="J1389" s="3">
        <f>IF(ISNUMBER(AVERAGE('20250815_ETF_Options_Exhibits'!J1385:J1389)),AVERAGE('20250815_ETF_Options_Exhibits'!J1385:J1389),"")</f>
        <v/>
      </c>
      <c r="K1389" s="3">
        <f>IF(ISNUMBER(AVERAGE('20250815_ETF_Options_Exhibits'!K1385:K1389)),AVERAGE('20250815_ETF_Options_Exhibits'!K1385:K1389),"")</f>
        <v/>
      </c>
      <c r="L1389" s="3">
        <f>IF(ISNUMBER(AVERAGE('20250815_ETF_Options_Exhibits'!L1385:L1389)),AVERAGE('20250815_ETF_Options_Exhibits'!L1385:L1389),"")</f>
        <v/>
      </c>
      <c r="M1389" s="3">
        <f>IF(ISNUMBER(AVERAGE('20250815_ETF_Options_Exhibits'!M1385:M1389)),AVERAGE('20250815_ETF_Options_Exhibits'!M1385:M1389),"")</f>
        <v/>
      </c>
      <c r="N1389" s="3">
        <f>IF(ISNUMBER(AVERAGE('20250815_ETF_Options_Exhibits'!N1385:N1389)),AVERAGE('20250815_ETF_Options_Exhibits'!N1385:N1389),"")</f>
        <v/>
      </c>
      <c r="O1389" s="3">
        <f>IF(ISNUMBER(AVERAGE('20250815_ETF_Options_Exhibits'!O1385:O1389)),AVERAGE('20250815_ETF_Options_Exhibits'!O1385:O1389),"")</f>
        <v/>
      </c>
      <c r="P1389" s="3">
        <f>IF(ISNUMBER(AVERAGE('20250815_ETF_Options_Exhibits'!P1385:P1389)),AVERAGE('20250815_ETF_Options_Exhibits'!P1385:P1389),"")</f>
        <v/>
      </c>
      <c r="Q1389" s="3">
        <f>IF(ISNUMBER(AVERAGE('20250815_ETF_Options_Exhibits'!Q1385:Q1389)),AVERAGE('20250815_ETF_Options_Exhibits'!Q1385:Q1389),"")</f>
        <v/>
      </c>
      <c r="R1389" s="3">
        <f>IF(ISNUMBER(AVERAGE('20250815_ETF_Options_Exhibits'!R1385:R1389)),AVERAGE('20250815_ETF_Options_Exhibits'!R1385:R1389),"")</f>
        <v/>
      </c>
      <c r="S1389" s="3">
        <f>IF(ISNUMBER(AVERAGE('20250815_ETF_Options_Exhibits'!S1385:S1389)),AVERAGE('20250815_ETF_Options_Exhibits'!S1385:S1389),"")</f>
        <v/>
      </c>
      <c r="T1389" s="3">
        <f>IF(ISNUMBER(AVERAGE('20250815_ETF_Options_Exhibits'!T1385:T1389)),AVERAGE('20250815_ETF_Options_Exhibits'!T1385:T1389),"")</f>
        <v/>
      </c>
      <c r="U1389" s="3">
        <f>IF(ISNUMBER(AVERAGE('20250815_ETF_Options_Exhibits'!U1385:U1389)),AVERAGE('20250815_ETF_Options_Exhibits'!U1385:U1389),"")</f>
        <v/>
      </c>
      <c r="V1389" s="3">
        <f>IF(ISNUMBER(AVERAGE('20250815_ETF_Options_Exhibits'!V1385:V1389)),AVERAGE('20250815_ETF_Options_Exhibits'!V1385:V1389),"")</f>
        <v/>
      </c>
      <c r="W1389" s="3">
        <f>IF(ISNUMBER(AVERAGE('20250815_ETF_Options_Exhibits'!W1385:W1389)),AVERAGE('20250815_ETF_Options_Exhibits'!W1385:W1389),"")</f>
        <v/>
      </c>
      <c r="X1389" s="3">
        <f>IF(ISNUMBER(AVERAGE('20250815_ETF_Options_Exhibits'!X1385:X1389)),AVERAGE('20250815_ETF_Options_Exhibits'!X1385:X1389),"")</f>
        <v/>
      </c>
      <c r="Y1389" s="3">
        <f>IF(ISNUMBER(AVERAGE('20250815_ETF_Options_Exhibits'!Y1385:Y1389)),AVERAGE('20250815_ETF_Options_Exhibits'!Y1385:Y1389),"")</f>
        <v/>
      </c>
      <c r="Z1389" s="3">
        <f>IF(ISNUMBER(AVERAGE('20250815_ETF_Options_Exhibits'!Z1385:Z1389)),AVERAGE('20250815_ETF_Options_Exhibits'!Z1385:Z1389),"")</f>
        <v/>
      </c>
      <c r="AA1389" s="3">
        <f>IF(ISNUMBER(AVERAGE('20250815_ETF_Options_Exhibits'!AA1385:AA1389)),AVERAGE('20250815_ETF_Options_Exhibits'!AA1385:AA1389),"")</f>
        <v/>
      </c>
    </row>
    <row r="1390">
      <c r="A1390" s="1" t="n">
        <v>44020</v>
      </c>
      <c r="B1390" s="3">
        <f>IF(ISNUMBER(AVERAGE('20250815_ETF_Options_Exhibits'!B1386:B1390)),AVERAGE('20250815_ETF_Options_Exhibits'!B1386:B1390),"")</f>
        <v/>
      </c>
      <c r="C1390" s="3">
        <f>IF(ISNUMBER(AVERAGE('20250815_ETF_Options_Exhibits'!C1386:C1390)),AVERAGE('20250815_ETF_Options_Exhibits'!C1386:C1390),"")</f>
        <v/>
      </c>
      <c r="D1390" s="3">
        <f>IF(ISNUMBER(AVERAGE('20250815_ETF_Options_Exhibits'!D1386:D1390)),AVERAGE('20250815_ETF_Options_Exhibits'!D1386:D1390),"")</f>
        <v/>
      </c>
      <c r="E1390" s="3">
        <f>IF(ISNUMBER(AVERAGE('20250815_ETF_Options_Exhibits'!E1386:E1390)),AVERAGE('20250815_ETF_Options_Exhibits'!E1386:E1390),"")</f>
        <v/>
      </c>
      <c r="F1390" s="3">
        <f>IF(ISNUMBER(AVERAGE('20250815_ETF_Options_Exhibits'!F1386:F1390)),AVERAGE('20250815_ETF_Options_Exhibits'!F1386:F1390),"")</f>
        <v/>
      </c>
      <c r="G1390" s="3">
        <f>IF(ISNUMBER(AVERAGE('20250815_ETF_Options_Exhibits'!G1386:G1390)),AVERAGE('20250815_ETF_Options_Exhibits'!G1386:G1390),"")</f>
        <v/>
      </c>
      <c r="H1390" s="3">
        <f>IF(ISNUMBER(AVERAGE('20250815_ETF_Options_Exhibits'!H1386:H1390)),AVERAGE('20250815_ETF_Options_Exhibits'!H1386:H1390),"")</f>
        <v/>
      </c>
      <c r="I1390" s="3">
        <f>IF(ISNUMBER(AVERAGE('20250815_ETF_Options_Exhibits'!I1386:I1390)),AVERAGE('20250815_ETF_Options_Exhibits'!I1386:I1390),"")</f>
        <v/>
      </c>
      <c r="J1390" s="3">
        <f>IF(ISNUMBER(AVERAGE('20250815_ETF_Options_Exhibits'!J1386:J1390)),AVERAGE('20250815_ETF_Options_Exhibits'!J1386:J1390),"")</f>
        <v/>
      </c>
      <c r="K1390" s="3">
        <f>IF(ISNUMBER(AVERAGE('20250815_ETF_Options_Exhibits'!K1386:K1390)),AVERAGE('20250815_ETF_Options_Exhibits'!K1386:K1390),"")</f>
        <v/>
      </c>
      <c r="L1390" s="3">
        <f>IF(ISNUMBER(AVERAGE('20250815_ETF_Options_Exhibits'!L1386:L1390)),AVERAGE('20250815_ETF_Options_Exhibits'!L1386:L1390),"")</f>
        <v/>
      </c>
      <c r="M1390" s="3">
        <f>IF(ISNUMBER(AVERAGE('20250815_ETF_Options_Exhibits'!M1386:M1390)),AVERAGE('20250815_ETF_Options_Exhibits'!M1386:M1390),"")</f>
        <v/>
      </c>
      <c r="N1390" s="3">
        <f>IF(ISNUMBER(AVERAGE('20250815_ETF_Options_Exhibits'!N1386:N1390)),AVERAGE('20250815_ETF_Options_Exhibits'!N1386:N1390),"")</f>
        <v/>
      </c>
      <c r="O1390" s="3">
        <f>IF(ISNUMBER(AVERAGE('20250815_ETF_Options_Exhibits'!O1386:O1390)),AVERAGE('20250815_ETF_Options_Exhibits'!O1386:O1390),"")</f>
        <v/>
      </c>
      <c r="P1390" s="3">
        <f>IF(ISNUMBER(AVERAGE('20250815_ETF_Options_Exhibits'!P1386:P1390)),AVERAGE('20250815_ETF_Options_Exhibits'!P1386:P1390),"")</f>
        <v/>
      </c>
      <c r="Q1390" s="3">
        <f>IF(ISNUMBER(AVERAGE('20250815_ETF_Options_Exhibits'!Q1386:Q1390)),AVERAGE('20250815_ETF_Options_Exhibits'!Q1386:Q1390),"")</f>
        <v/>
      </c>
      <c r="R1390" s="3">
        <f>IF(ISNUMBER(AVERAGE('20250815_ETF_Options_Exhibits'!R1386:R1390)),AVERAGE('20250815_ETF_Options_Exhibits'!R1386:R1390),"")</f>
        <v/>
      </c>
      <c r="S1390" s="3">
        <f>IF(ISNUMBER(AVERAGE('20250815_ETF_Options_Exhibits'!S1386:S1390)),AVERAGE('20250815_ETF_Options_Exhibits'!S1386:S1390),"")</f>
        <v/>
      </c>
      <c r="T1390" s="3">
        <f>IF(ISNUMBER(AVERAGE('20250815_ETF_Options_Exhibits'!T1386:T1390)),AVERAGE('20250815_ETF_Options_Exhibits'!T1386:T1390),"")</f>
        <v/>
      </c>
      <c r="U1390" s="3">
        <f>IF(ISNUMBER(AVERAGE('20250815_ETF_Options_Exhibits'!U1386:U1390)),AVERAGE('20250815_ETF_Options_Exhibits'!U1386:U1390),"")</f>
        <v/>
      </c>
      <c r="V1390" s="3">
        <f>IF(ISNUMBER(AVERAGE('20250815_ETF_Options_Exhibits'!V1386:V1390)),AVERAGE('20250815_ETF_Options_Exhibits'!V1386:V1390),"")</f>
        <v/>
      </c>
      <c r="W1390" s="3">
        <f>IF(ISNUMBER(AVERAGE('20250815_ETF_Options_Exhibits'!W1386:W1390)),AVERAGE('20250815_ETF_Options_Exhibits'!W1386:W1390),"")</f>
        <v/>
      </c>
      <c r="X1390" s="3">
        <f>IF(ISNUMBER(AVERAGE('20250815_ETF_Options_Exhibits'!X1386:X1390)),AVERAGE('20250815_ETF_Options_Exhibits'!X1386:X1390),"")</f>
        <v/>
      </c>
      <c r="Y1390" s="3">
        <f>IF(ISNUMBER(AVERAGE('20250815_ETF_Options_Exhibits'!Y1386:Y1390)),AVERAGE('20250815_ETF_Options_Exhibits'!Y1386:Y1390),"")</f>
        <v/>
      </c>
      <c r="Z1390" s="3">
        <f>IF(ISNUMBER(AVERAGE('20250815_ETF_Options_Exhibits'!Z1386:Z1390)),AVERAGE('20250815_ETF_Options_Exhibits'!Z1386:Z1390),"")</f>
        <v/>
      </c>
      <c r="AA1390" s="3">
        <f>IF(ISNUMBER(AVERAGE('20250815_ETF_Options_Exhibits'!AA1386:AA1390)),AVERAGE('20250815_ETF_Options_Exhibits'!AA1386:AA1390),"")</f>
        <v/>
      </c>
    </row>
    <row r="1391">
      <c r="A1391" s="1" t="n">
        <v>44021</v>
      </c>
      <c r="B1391" s="3">
        <f>IF(ISNUMBER(AVERAGE('20250815_ETF_Options_Exhibits'!B1387:B1391)),AVERAGE('20250815_ETF_Options_Exhibits'!B1387:B1391),"")</f>
        <v/>
      </c>
      <c r="C1391" s="3">
        <f>IF(ISNUMBER(AVERAGE('20250815_ETF_Options_Exhibits'!C1387:C1391)),AVERAGE('20250815_ETF_Options_Exhibits'!C1387:C1391),"")</f>
        <v/>
      </c>
      <c r="D1391" s="3">
        <f>IF(ISNUMBER(AVERAGE('20250815_ETF_Options_Exhibits'!D1387:D1391)),AVERAGE('20250815_ETF_Options_Exhibits'!D1387:D1391),"")</f>
        <v/>
      </c>
      <c r="E1391" s="3">
        <f>IF(ISNUMBER(AVERAGE('20250815_ETF_Options_Exhibits'!E1387:E1391)),AVERAGE('20250815_ETF_Options_Exhibits'!E1387:E1391),"")</f>
        <v/>
      </c>
      <c r="F1391" s="3">
        <f>IF(ISNUMBER(AVERAGE('20250815_ETF_Options_Exhibits'!F1387:F1391)),AVERAGE('20250815_ETF_Options_Exhibits'!F1387:F1391),"")</f>
        <v/>
      </c>
      <c r="G1391" s="3">
        <f>IF(ISNUMBER(AVERAGE('20250815_ETF_Options_Exhibits'!G1387:G1391)),AVERAGE('20250815_ETF_Options_Exhibits'!G1387:G1391),"")</f>
        <v/>
      </c>
      <c r="H1391" s="3">
        <f>IF(ISNUMBER(AVERAGE('20250815_ETF_Options_Exhibits'!H1387:H1391)),AVERAGE('20250815_ETF_Options_Exhibits'!H1387:H1391),"")</f>
        <v/>
      </c>
      <c r="I1391" s="3">
        <f>IF(ISNUMBER(AVERAGE('20250815_ETF_Options_Exhibits'!I1387:I1391)),AVERAGE('20250815_ETF_Options_Exhibits'!I1387:I1391),"")</f>
        <v/>
      </c>
      <c r="J1391" s="3">
        <f>IF(ISNUMBER(AVERAGE('20250815_ETF_Options_Exhibits'!J1387:J1391)),AVERAGE('20250815_ETF_Options_Exhibits'!J1387:J1391),"")</f>
        <v/>
      </c>
      <c r="K1391" s="3">
        <f>IF(ISNUMBER(AVERAGE('20250815_ETF_Options_Exhibits'!K1387:K1391)),AVERAGE('20250815_ETF_Options_Exhibits'!K1387:K1391),"")</f>
        <v/>
      </c>
      <c r="L1391" s="3">
        <f>IF(ISNUMBER(AVERAGE('20250815_ETF_Options_Exhibits'!L1387:L1391)),AVERAGE('20250815_ETF_Options_Exhibits'!L1387:L1391),"")</f>
        <v/>
      </c>
      <c r="M1391" s="3">
        <f>IF(ISNUMBER(AVERAGE('20250815_ETF_Options_Exhibits'!M1387:M1391)),AVERAGE('20250815_ETF_Options_Exhibits'!M1387:M1391),"")</f>
        <v/>
      </c>
      <c r="N1391" s="3">
        <f>IF(ISNUMBER(AVERAGE('20250815_ETF_Options_Exhibits'!N1387:N1391)),AVERAGE('20250815_ETF_Options_Exhibits'!N1387:N1391),"")</f>
        <v/>
      </c>
      <c r="O1391" s="3">
        <f>IF(ISNUMBER(AVERAGE('20250815_ETF_Options_Exhibits'!O1387:O1391)),AVERAGE('20250815_ETF_Options_Exhibits'!O1387:O1391),"")</f>
        <v/>
      </c>
      <c r="P1391" s="3">
        <f>IF(ISNUMBER(AVERAGE('20250815_ETF_Options_Exhibits'!P1387:P1391)),AVERAGE('20250815_ETF_Options_Exhibits'!P1387:P1391),"")</f>
        <v/>
      </c>
      <c r="Q1391" s="3">
        <f>IF(ISNUMBER(AVERAGE('20250815_ETF_Options_Exhibits'!Q1387:Q1391)),AVERAGE('20250815_ETF_Options_Exhibits'!Q1387:Q1391),"")</f>
        <v/>
      </c>
      <c r="R1391" s="3">
        <f>IF(ISNUMBER(AVERAGE('20250815_ETF_Options_Exhibits'!R1387:R1391)),AVERAGE('20250815_ETF_Options_Exhibits'!R1387:R1391),"")</f>
        <v/>
      </c>
      <c r="S1391" s="3">
        <f>IF(ISNUMBER(AVERAGE('20250815_ETF_Options_Exhibits'!S1387:S1391)),AVERAGE('20250815_ETF_Options_Exhibits'!S1387:S1391),"")</f>
        <v/>
      </c>
      <c r="T1391" s="3">
        <f>IF(ISNUMBER(AVERAGE('20250815_ETF_Options_Exhibits'!T1387:T1391)),AVERAGE('20250815_ETF_Options_Exhibits'!T1387:T1391),"")</f>
        <v/>
      </c>
      <c r="U1391" s="3">
        <f>IF(ISNUMBER(AVERAGE('20250815_ETF_Options_Exhibits'!U1387:U1391)),AVERAGE('20250815_ETF_Options_Exhibits'!U1387:U1391),"")</f>
        <v/>
      </c>
      <c r="V1391" s="3">
        <f>IF(ISNUMBER(AVERAGE('20250815_ETF_Options_Exhibits'!V1387:V1391)),AVERAGE('20250815_ETF_Options_Exhibits'!V1387:V1391),"")</f>
        <v/>
      </c>
      <c r="W1391" s="3">
        <f>IF(ISNUMBER(AVERAGE('20250815_ETF_Options_Exhibits'!W1387:W1391)),AVERAGE('20250815_ETF_Options_Exhibits'!W1387:W1391),"")</f>
        <v/>
      </c>
      <c r="X1391" s="3">
        <f>IF(ISNUMBER(AVERAGE('20250815_ETF_Options_Exhibits'!X1387:X1391)),AVERAGE('20250815_ETF_Options_Exhibits'!X1387:X1391),"")</f>
        <v/>
      </c>
      <c r="Y1391" s="3">
        <f>IF(ISNUMBER(AVERAGE('20250815_ETF_Options_Exhibits'!Y1387:Y1391)),AVERAGE('20250815_ETF_Options_Exhibits'!Y1387:Y1391),"")</f>
        <v/>
      </c>
      <c r="Z1391" s="3">
        <f>IF(ISNUMBER(AVERAGE('20250815_ETF_Options_Exhibits'!Z1387:Z1391)),AVERAGE('20250815_ETF_Options_Exhibits'!Z1387:Z1391),"")</f>
        <v/>
      </c>
      <c r="AA1391" s="3">
        <f>IF(ISNUMBER(AVERAGE('20250815_ETF_Options_Exhibits'!AA1387:AA1391)),AVERAGE('20250815_ETF_Options_Exhibits'!AA1387:AA1391),"")</f>
        <v/>
      </c>
    </row>
    <row r="1392">
      <c r="A1392" s="1" t="n">
        <v>44022</v>
      </c>
      <c r="B1392" s="3">
        <f>IF(ISNUMBER(AVERAGE('20250815_ETF_Options_Exhibits'!B1388:B1392)),AVERAGE('20250815_ETF_Options_Exhibits'!B1388:B1392),"")</f>
        <v/>
      </c>
      <c r="C1392" s="3">
        <f>IF(ISNUMBER(AVERAGE('20250815_ETF_Options_Exhibits'!C1388:C1392)),AVERAGE('20250815_ETF_Options_Exhibits'!C1388:C1392),"")</f>
        <v/>
      </c>
      <c r="D1392" s="3">
        <f>IF(ISNUMBER(AVERAGE('20250815_ETF_Options_Exhibits'!D1388:D1392)),AVERAGE('20250815_ETF_Options_Exhibits'!D1388:D1392),"")</f>
        <v/>
      </c>
      <c r="E1392" s="3">
        <f>IF(ISNUMBER(AVERAGE('20250815_ETF_Options_Exhibits'!E1388:E1392)),AVERAGE('20250815_ETF_Options_Exhibits'!E1388:E1392),"")</f>
        <v/>
      </c>
      <c r="F1392" s="3">
        <f>IF(ISNUMBER(AVERAGE('20250815_ETF_Options_Exhibits'!F1388:F1392)),AVERAGE('20250815_ETF_Options_Exhibits'!F1388:F1392),"")</f>
        <v/>
      </c>
      <c r="G1392" s="3">
        <f>IF(ISNUMBER(AVERAGE('20250815_ETF_Options_Exhibits'!G1388:G1392)),AVERAGE('20250815_ETF_Options_Exhibits'!G1388:G1392),"")</f>
        <v/>
      </c>
      <c r="H1392" s="3">
        <f>IF(ISNUMBER(AVERAGE('20250815_ETF_Options_Exhibits'!H1388:H1392)),AVERAGE('20250815_ETF_Options_Exhibits'!H1388:H1392),"")</f>
        <v/>
      </c>
      <c r="I1392" s="3">
        <f>IF(ISNUMBER(AVERAGE('20250815_ETF_Options_Exhibits'!I1388:I1392)),AVERAGE('20250815_ETF_Options_Exhibits'!I1388:I1392),"")</f>
        <v/>
      </c>
      <c r="J1392" s="3">
        <f>IF(ISNUMBER(AVERAGE('20250815_ETF_Options_Exhibits'!J1388:J1392)),AVERAGE('20250815_ETF_Options_Exhibits'!J1388:J1392),"")</f>
        <v/>
      </c>
      <c r="K1392" s="3">
        <f>IF(ISNUMBER(AVERAGE('20250815_ETF_Options_Exhibits'!K1388:K1392)),AVERAGE('20250815_ETF_Options_Exhibits'!K1388:K1392),"")</f>
        <v/>
      </c>
      <c r="L1392" s="3">
        <f>IF(ISNUMBER(AVERAGE('20250815_ETF_Options_Exhibits'!L1388:L1392)),AVERAGE('20250815_ETF_Options_Exhibits'!L1388:L1392),"")</f>
        <v/>
      </c>
      <c r="M1392" s="3">
        <f>IF(ISNUMBER(AVERAGE('20250815_ETF_Options_Exhibits'!M1388:M1392)),AVERAGE('20250815_ETF_Options_Exhibits'!M1388:M1392),"")</f>
        <v/>
      </c>
      <c r="N1392" s="3">
        <f>IF(ISNUMBER(AVERAGE('20250815_ETF_Options_Exhibits'!N1388:N1392)),AVERAGE('20250815_ETF_Options_Exhibits'!N1388:N1392),"")</f>
        <v/>
      </c>
      <c r="O1392" s="3">
        <f>IF(ISNUMBER(AVERAGE('20250815_ETF_Options_Exhibits'!O1388:O1392)),AVERAGE('20250815_ETF_Options_Exhibits'!O1388:O1392),"")</f>
        <v/>
      </c>
      <c r="P1392" s="3">
        <f>IF(ISNUMBER(AVERAGE('20250815_ETF_Options_Exhibits'!P1388:P1392)),AVERAGE('20250815_ETF_Options_Exhibits'!P1388:P1392),"")</f>
        <v/>
      </c>
      <c r="Q1392" s="3">
        <f>IF(ISNUMBER(AVERAGE('20250815_ETF_Options_Exhibits'!Q1388:Q1392)),AVERAGE('20250815_ETF_Options_Exhibits'!Q1388:Q1392),"")</f>
        <v/>
      </c>
      <c r="R1392" s="3">
        <f>IF(ISNUMBER(AVERAGE('20250815_ETF_Options_Exhibits'!R1388:R1392)),AVERAGE('20250815_ETF_Options_Exhibits'!R1388:R1392),"")</f>
        <v/>
      </c>
      <c r="S1392" s="3">
        <f>IF(ISNUMBER(AVERAGE('20250815_ETF_Options_Exhibits'!S1388:S1392)),AVERAGE('20250815_ETF_Options_Exhibits'!S1388:S1392),"")</f>
        <v/>
      </c>
      <c r="T1392" s="3">
        <f>IF(ISNUMBER(AVERAGE('20250815_ETF_Options_Exhibits'!T1388:T1392)),AVERAGE('20250815_ETF_Options_Exhibits'!T1388:T1392),"")</f>
        <v/>
      </c>
      <c r="U1392" s="3">
        <f>IF(ISNUMBER(AVERAGE('20250815_ETF_Options_Exhibits'!U1388:U1392)),AVERAGE('20250815_ETF_Options_Exhibits'!U1388:U1392),"")</f>
        <v/>
      </c>
      <c r="V1392" s="3">
        <f>IF(ISNUMBER(AVERAGE('20250815_ETF_Options_Exhibits'!V1388:V1392)),AVERAGE('20250815_ETF_Options_Exhibits'!V1388:V1392),"")</f>
        <v/>
      </c>
      <c r="W1392" s="3">
        <f>IF(ISNUMBER(AVERAGE('20250815_ETF_Options_Exhibits'!W1388:W1392)),AVERAGE('20250815_ETF_Options_Exhibits'!W1388:W1392),"")</f>
        <v/>
      </c>
      <c r="X1392" s="3">
        <f>IF(ISNUMBER(AVERAGE('20250815_ETF_Options_Exhibits'!X1388:X1392)),AVERAGE('20250815_ETF_Options_Exhibits'!X1388:X1392),"")</f>
        <v/>
      </c>
      <c r="Y1392" s="3">
        <f>IF(ISNUMBER(AVERAGE('20250815_ETF_Options_Exhibits'!Y1388:Y1392)),AVERAGE('20250815_ETF_Options_Exhibits'!Y1388:Y1392),"")</f>
        <v/>
      </c>
      <c r="Z1392" s="3">
        <f>IF(ISNUMBER(AVERAGE('20250815_ETF_Options_Exhibits'!Z1388:Z1392)),AVERAGE('20250815_ETF_Options_Exhibits'!Z1388:Z1392),"")</f>
        <v/>
      </c>
      <c r="AA1392" s="3">
        <f>IF(ISNUMBER(AVERAGE('20250815_ETF_Options_Exhibits'!AA1388:AA1392)),AVERAGE('20250815_ETF_Options_Exhibits'!AA1388:AA1392),"")</f>
        <v/>
      </c>
    </row>
    <row r="1393">
      <c r="A1393" s="1" t="n">
        <v>44025</v>
      </c>
      <c r="B1393" s="3">
        <f>IF(ISNUMBER(AVERAGE('20250815_ETF_Options_Exhibits'!B1389:B1393)),AVERAGE('20250815_ETF_Options_Exhibits'!B1389:B1393),"")</f>
        <v/>
      </c>
      <c r="C1393" s="3">
        <f>IF(ISNUMBER(AVERAGE('20250815_ETF_Options_Exhibits'!C1389:C1393)),AVERAGE('20250815_ETF_Options_Exhibits'!C1389:C1393),"")</f>
        <v/>
      </c>
      <c r="D1393" s="3">
        <f>IF(ISNUMBER(AVERAGE('20250815_ETF_Options_Exhibits'!D1389:D1393)),AVERAGE('20250815_ETF_Options_Exhibits'!D1389:D1393),"")</f>
        <v/>
      </c>
      <c r="E1393" s="3">
        <f>IF(ISNUMBER(AVERAGE('20250815_ETF_Options_Exhibits'!E1389:E1393)),AVERAGE('20250815_ETF_Options_Exhibits'!E1389:E1393),"")</f>
        <v/>
      </c>
      <c r="F1393" s="3">
        <f>IF(ISNUMBER(AVERAGE('20250815_ETF_Options_Exhibits'!F1389:F1393)),AVERAGE('20250815_ETF_Options_Exhibits'!F1389:F1393),"")</f>
        <v/>
      </c>
      <c r="G1393" s="3">
        <f>IF(ISNUMBER(AVERAGE('20250815_ETF_Options_Exhibits'!G1389:G1393)),AVERAGE('20250815_ETF_Options_Exhibits'!G1389:G1393),"")</f>
        <v/>
      </c>
      <c r="H1393" s="3">
        <f>IF(ISNUMBER(AVERAGE('20250815_ETF_Options_Exhibits'!H1389:H1393)),AVERAGE('20250815_ETF_Options_Exhibits'!H1389:H1393),"")</f>
        <v/>
      </c>
      <c r="I1393" s="3">
        <f>IF(ISNUMBER(AVERAGE('20250815_ETF_Options_Exhibits'!I1389:I1393)),AVERAGE('20250815_ETF_Options_Exhibits'!I1389:I1393),"")</f>
        <v/>
      </c>
      <c r="J1393" s="3">
        <f>IF(ISNUMBER(AVERAGE('20250815_ETF_Options_Exhibits'!J1389:J1393)),AVERAGE('20250815_ETF_Options_Exhibits'!J1389:J1393),"")</f>
        <v/>
      </c>
      <c r="K1393" s="3">
        <f>IF(ISNUMBER(AVERAGE('20250815_ETF_Options_Exhibits'!K1389:K1393)),AVERAGE('20250815_ETF_Options_Exhibits'!K1389:K1393),"")</f>
        <v/>
      </c>
      <c r="L1393" s="3">
        <f>IF(ISNUMBER(AVERAGE('20250815_ETF_Options_Exhibits'!L1389:L1393)),AVERAGE('20250815_ETF_Options_Exhibits'!L1389:L1393),"")</f>
        <v/>
      </c>
      <c r="M1393" s="3">
        <f>IF(ISNUMBER(AVERAGE('20250815_ETF_Options_Exhibits'!M1389:M1393)),AVERAGE('20250815_ETF_Options_Exhibits'!M1389:M1393),"")</f>
        <v/>
      </c>
      <c r="N1393" s="3">
        <f>IF(ISNUMBER(AVERAGE('20250815_ETF_Options_Exhibits'!N1389:N1393)),AVERAGE('20250815_ETF_Options_Exhibits'!N1389:N1393),"")</f>
        <v/>
      </c>
      <c r="O1393" s="3">
        <f>IF(ISNUMBER(AVERAGE('20250815_ETF_Options_Exhibits'!O1389:O1393)),AVERAGE('20250815_ETF_Options_Exhibits'!O1389:O1393),"")</f>
        <v/>
      </c>
      <c r="P1393" s="3">
        <f>IF(ISNUMBER(AVERAGE('20250815_ETF_Options_Exhibits'!P1389:P1393)),AVERAGE('20250815_ETF_Options_Exhibits'!P1389:P1393),"")</f>
        <v/>
      </c>
      <c r="Q1393" s="3">
        <f>IF(ISNUMBER(AVERAGE('20250815_ETF_Options_Exhibits'!Q1389:Q1393)),AVERAGE('20250815_ETF_Options_Exhibits'!Q1389:Q1393),"")</f>
        <v/>
      </c>
      <c r="R1393" s="3">
        <f>IF(ISNUMBER(AVERAGE('20250815_ETF_Options_Exhibits'!R1389:R1393)),AVERAGE('20250815_ETF_Options_Exhibits'!R1389:R1393),"")</f>
        <v/>
      </c>
      <c r="S1393" s="3">
        <f>IF(ISNUMBER(AVERAGE('20250815_ETF_Options_Exhibits'!S1389:S1393)),AVERAGE('20250815_ETF_Options_Exhibits'!S1389:S1393),"")</f>
        <v/>
      </c>
      <c r="T1393" s="3">
        <f>IF(ISNUMBER(AVERAGE('20250815_ETF_Options_Exhibits'!T1389:T1393)),AVERAGE('20250815_ETF_Options_Exhibits'!T1389:T1393),"")</f>
        <v/>
      </c>
      <c r="U1393" s="3">
        <f>IF(ISNUMBER(AVERAGE('20250815_ETF_Options_Exhibits'!U1389:U1393)),AVERAGE('20250815_ETF_Options_Exhibits'!U1389:U1393),"")</f>
        <v/>
      </c>
      <c r="V1393" s="3">
        <f>IF(ISNUMBER(AVERAGE('20250815_ETF_Options_Exhibits'!V1389:V1393)),AVERAGE('20250815_ETF_Options_Exhibits'!V1389:V1393),"")</f>
        <v/>
      </c>
      <c r="W1393" s="3">
        <f>IF(ISNUMBER(AVERAGE('20250815_ETF_Options_Exhibits'!W1389:W1393)),AVERAGE('20250815_ETF_Options_Exhibits'!W1389:W1393),"")</f>
        <v/>
      </c>
      <c r="X1393" s="3">
        <f>IF(ISNUMBER(AVERAGE('20250815_ETF_Options_Exhibits'!X1389:X1393)),AVERAGE('20250815_ETF_Options_Exhibits'!X1389:X1393),"")</f>
        <v/>
      </c>
      <c r="Y1393" s="3">
        <f>IF(ISNUMBER(AVERAGE('20250815_ETF_Options_Exhibits'!Y1389:Y1393)),AVERAGE('20250815_ETF_Options_Exhibits'!Y1389:Y1393),"")</f>
        <v/>
      </c>
      <c r="Z1393" s="3">
        <f>IF(ISNUMBER(AVERAGE('20250815_ETF_Options_Exhibits'!Z1389:Z1393)),AVERAGE('20250815_ETF_Options_Exhibits'!Z1389:Z1393),"")</f>
        <v/>
      </c>
      <c r="AA1393" s="3">
        <f>IF(ISNUMBER(AVERAGE('20250815_ETF_Options_Exhibits'!AA1389:AA1393)),AVERAGE('20250815_ETF_Options_Exhibits'!AA1389:AA1393),"")</f>
        <v/>
      </c>
    </row>
    <row r="1394">
      <c r="A1394" s="1" t="n">
        <v>44026</v>
      </c>
      <c r="B1394" s="3">
        <f>IF(ISNUMBER(AVERAGE('20250815_ETF_Options_Exhibits'!B1390:B1394)),AVERAGE('20250815_ETF_Options_Exhibits'!B1390:B1394),"")</f>
        <v/>
      </c>
      <c r="C1394" s="3">
        <f>IF(ISNUMBER(AVERAGE('20250815_ETF_Options_Exhibits'!C1390:C1394)),AVERAGE('20250815_ETF_Options_Exhibits'!C1390:C1394),"")</f>
        <v/>
      </c>
      <c r="D1394" s="3">
        <f>IF(ISNUMBER(AVERAGE('20250815_ETF_Options_Exhibits'!D1390:D1394)),AVERAGE('20250815_ETF_Options_Exhibits'!D1390:D1394),"")</f>
        <v/>
      </c>
      <c r="E1394" s="3">
        <f>IF(ISNUMBER(AVERAGE('20250815_ETF_Options_Exhibits'!E1390:E1394)),AVERAGE('20250815_ETF_Options_Exhibits'!E1390:E1394),"")</f>
        <v/>
      </c>
      <c r="F1394" s="3">
        <f>IF(ISNUMBER(AVERAGE('20250815_ETF_Options_Exhibits'!F1390:F1394)),AVERAGE('20250815_ETF_Options_Exhibits'!F1390:F1394),"")</f>
        <v/>
      </c>
      <c r="G1394" s="3">
        <f>IF(ISNUMBER(AVERAGE('20250815_ETF_Options_Exhibits'!G1390:G1394)),AVERAGE('20250815_ETF_Options_Exhibits'!G1390:G1394),"")</f>
        <v/>
      </c>
      <c r="H1394" s="3">
        <f>IF(ISNUMBER(AVERAGE('20250815_ETF_Options_Exhibits'!H1390:H1394)),AVERAGE('20250815_ETF_Options_Exhibits'!H1390:H1394),"")</f>
        <v/>
      </c>
      <c r="I1394" s="3">
        <f>IF(ISNUMBER(AVERAGE('20250815_ETF_Options_Exhibits'!I1390:I1394)),AVERAGE('20250815_ETF_Options_Exhibits'!I1390:I1394),"")</f>
        <v/>
      </c>
      <c r="J1394" s="3">
        <f>IF(ISNUMBER(AVERAGE('20250815_ETF_Options_Exhibits'!J1390:J1394)),AVERAGE('20250815_ETF_Options_Exhibits'!J1390:J1394),"")</f>
        <v/>
      </c>
      <c r="K1394" s="3">
        <f>IF(ISNUMBER(AVERAGE('20250815_ETF_Options_Exhibits'!K1390:K1394)),AVERAGE('20250815_ETF_Options_Exhibits'!K1390:K1394),"")</f>
        <v/>
      </c>
      <c r="L1394" s="3">
        <f>IF(ISNUMBER(AVERAGE('20250815_ETF_Options_Exhibits'!L1390:L1394)),AVERAGE('20250815_ETF_Options_Exhibits'!L1390:L1394),"")</f>
        <v/>
      </c>
      <c r="M1394" s="3">
        <f>IF(ISNUMBER(AVERAGE('20250815_ETF_Options_Exhibits'!M1390:M1394)),AVERAGE('20250815_ETF_Options_Exhibits'!M1390:M1394),"")</f>
        <v/>
      </c>
      <c r="N1394" s="3">
        <f>IF(ISNUMBER(AVERAGE('20250815_ETF_Options_Exhibits'!N1390:N1394)),AVERAGE('20250815_ETF_Options_Exhibits'!N1390:N1394),"")</f>
        <v/>
      </c>
      <c r="O1394" s="3">
        <f>IF(ISNUMBER(AVERAGE('20250815_ETF_Options_Exhibits'!O1390:O1394)),AVERAGE('20250815_ETF_Options_Exhibits'!O1390:O1394),"")</f>
        <v/>
      </c>
      <c r="P1394" s="3">
        <f>IF(ISNUMBER(AVERAGE('20250815_ETF_Options_Exhibits'!P1390:P1394)),AVERAGE('20250815_ETF_Options_Exhibits'!P1390:P1394),"")</f>
        <v/>
      </c>
      <c r="Q1394" s="3">
        <f>IF(ISNUMBER(AVERAGE('20250815_ETF_Options_Exhibits'!Q1390:Q1394)),AVERAGE('20250815_ETF_Options_Exhibits'!Q1390:Q1394),"")</f>
        <v/>
      </c>
      <c r="R1394" s="3">
        <f>IF(ISNUMBER(AVERAGE('20250815_ETF_Options_Exhibits'!R1390:R1394)),AVERAGE('20250815_ETF_Options_Exhibits'!R1390:R1394),"")</f>
        <v/>
      </c>
      <c r="S1394" s="3">
        <f>IF(ISNUMBER(AVERAGE('20250815_ETF_Options_Exhibits'!S1390:S1394)),AVERAGE('20250815_ETF_Options_Exhibits'!S1390:S1394),"")</f>
        <v/>
      </c>
      <c r="T1394" s="3">
        <f>IF(ISNUMBER(AVERAGE('20250815_ETF_Options_Exhibits'!T1390:T1394)),AVERAGE('20250815_ETF_Options_Exhibits'!T1390:T1394),"")</f>
        <v/>
      </c>
      <c r="U1394" s="3">
        <f>IF(ISNUMBER(AVERAGE('20250815_ETF_Options_Exhibits'!U1390:U1394)),AVERAGE('20250815_ETF_Options_Exhibits'!U1390:U1394),"")</f>
        <v/>
      </c>
      <c r="V1394" s="3">
        <f>IF(ISNUMBER(AVERAGE('20250815_ETF_Options_Exhibits'!V1390:V1394)),AVERAGE('20250815_ETF_Options_Exhibits'!V1390:V1394),"")</f>
        <v/>
      </c>
      <c r="W1394" s="3">
        <f>IF(ISNUMBER(AVERAGE('20250815_ETF_Options_Exhibits'!W1390:W1394)),AVERAGE('20250815_ETF_Options_Exhibits'!W1390:W1394),"")</f>
        <v/>
      </c>
      <c r="X1394" s="3">
        <f>IF(ISNUMBER(AVERAGE('20250815_ETF_Options_Exhibits'!X1390:X1394)),AVERAGE('20250815_ETF_Options_Exhibits'!X1390:X1394),"")</f>
        <v/>
      </c>
      <c r="Y1394" s="3">
        <f>IF(ISNUMBER(AVERAGE('20250815_ETF_Options_Exhibits'!Y1390:Y1394)),AVERAGE('20250815_ETF_Options_Exhibits'!Y1390:Y1394),"")</f>
        <v/>
      </c>
      <c r="Z1394" s="3">
        <f>IF(ISNUMBER(AVERAGE('20250815_ETF_Options_Exhibits'!Z1390:Z1394)),AVERAGE('20250815_ETF_Options_Exhibits'!Z1390:Z1394),"")</f>
        <v/>
      </c>
      <c r="AA1394" s="3">
        <f>IF(ISNUMBER(AVERAGE('20250815_ETF_Options_Exhibits'!AA1390:AA1394)),AVERAGE('20250815_ETF_Options_Exhibits'!AA1390:AA1394),"")</f>
        <v/>
      </c>
    </row>
    <row r="1395">
      <c r="A1395" s="1" t="n">
        <v>44027</v>
      </c>
      <c r="B1395" s="3">
        <f>IF(ISNUMBER(AVERAGE('20250815_ETF_Options_Exhibits'!B1391:B1395)),AVERAGE('20250815_ETF_Options_Exhibits'!B1391:B1395),"")</f>
        <v/>
      </c>
      <c r="C1395" s="3">
        <f>IF(ISNUMBER(AVERAGE('20250815_ETF_Options_Exhibits'!C1391:C1395)),AVERAGE('20250815_ETF_Options_Exhibits'!C1391:C1395),"")</f>
        <v/>
      </c>
      <c r="D1395" s="3">
        <f>IF(ISNUMBER(AVERAGE('20250815_ETF_Options_Exhibits'!D1391:D1395)),AVERAGE('20250815_ETF_Options_Exhibits'!D1391:D1395),"")</f>
        <v/>
      </c>
      <c r="E1395" s="3">
        <f>IF(ISNUMBER(AVERAGE('20250815_ETF_Options_Exhibits'!E1391:E1395)),AVERAGE('20250815_ETF_Options_Exhibits'!E1391:E1395),"")</f>
        <v/>
      </c>
      <c r="F1395" s="3">
        <f>IF(ISNUMBER(AVERAGE('20250815_ETF_Options_Exhibits'!F1391:F1395)),AVERAGE('20250815_ETF_Options_Exhibits'!F1391:F1395),"")</f>
        <v/>
      </c>
      <c r="G1395" s="3">
        <f>IF(ISNUMBER(AVERAGE('20250815_ETF_Options_Exhibits'!G1391:G1395)),AVERAGE('20250815_ETF_Options_Exhibits'!G1391:G1395),"")</f>
        <v/>
      </c>
      <c r="H1395" s="3">
        <f>IF(ISNUMBER(AVERAGE('20250815_ETF_Options_Exhibits'!H1391:H1395)),AVERAGE('20250815_ETF_Options_Exhibits'!H1391:H1395),"")</f>
        <v/>
      </c>
      <c r="I1395" s="3">
        <f>IF(ISNUMBER(AVERAGE('20250815_ETF_Options_Exhibits'!I1391:I1395)),AVERAGE('20250815_ETF_Options_Exhibits'!I1391:I1395),"")</f>
        <v/>
      </c>
      <c r="J1395" s="3">
        <f>IF(ISNUMBER(AVERAGE('20250815_ETF_Options_Exhibits'!J1391:J1395)),AVERAGE('20250815_ETF_Options_Exhibits'!J1391:J1395),"")</f>
        <v/>
      </c>
      <c r="K1395" s="3">
        <f>IF(ISNUMBER(AVERAGE('20250815_ETF_Options_Exhibits'!K1391:K1395)),AVERAGE('20250815_ETF_Options_Exhibits'!K1391:K1395),"")</f>
        <v/>
      </c>
      <c r="L1395" s="3">
        <f>IF(ISNUMBER(AVERAGE('20250815_ETF_Options_Exhibits'!L1391:L1395)),AVERAGE('20250815_ETF_Options_Exhibits'!L1391:L1395),"")</f>
        <v/>
      </c>
      <c r="M1395" s="3">
        <f>IF(ISNUMBER(AVERAGE('20250815_ETF_Options_Exhibits'!M1391:M1395)),AVERAGE('20250815_ETF_Options_Exhibits'!M1391:M1395),"")</f>
        <v/>
      </c>
      <c r="N1395" s="3">
        <f>IF(ISNUMBER(AVERAGE('20250815_ETF_Options_Exhibits'!N1391:N1395)),AVERAGE('20250815_ETF_Options_Exhibits'!N1391:N1395),"")</f>
        <v/>
      </c>
      <c r="O1395" s="3">
        <f>IF(ISNUMBER(AVERAGE('20250815_ETF_Options_Exhibits'!O1391:O1395)),AVERAGE('20250815_ETF_Options_Exhibits'!O1391:O1395),"")</f>
        <v/>
      </c>
      <c r="P1395" s="3">
        <f>IF(ISNUMBER(AVERAGE('20250815_ETF_Options_Exhibits'!P1391:P1395)),AVERAGE('20250815_ETF_Options_Exhibits'!P1391:P1395),"")</f>
        <v/>
      </c>
      <c r="Q1395" s="3">
        <f>IF(ISNUMBER(AVERAGE('20250815_ETF_Options_Exhibits'!Q1391:Q1395)),AVERAGE('20250815_ETF_Options_Exhibits'!Q1391:Q1395),"")</f>
        <v/>
      </c>
      <c r="R1395" s="3">
        <f>IF(ISNUMBER(AVERAGE('20250815_ETF_Options_Exhibits'!R1391:R1395)),AVERAGE('20250815_ETF_Options_Exhibits'!R1391:R1395),"")</f>
        <v/>
      </c>
      <c r="S1395" s="3">
        <f>IF(ISNUMBER(AVERAGE('20250815_ETF_Options_Exhibits'!S1391:S1395)),AVERAGE('20250815_ETF_Options_Exhibits'!S1391:S1395),"")</f>
        <v/>
      </c>
      <c r="T1395" s="3">
        <f>IF(ISNUMBER(AVERAGE('20250815_ETF_Options_Exhibits'!T1391:T1395)),AVERAGE('20250815_ETF_Options_Exhibits'!T1391:T1395),"")</f>
        <v/>
      </c>
      <c r="U1395" s="3">
        <f>IF(ISNUMBER(AVERAGE('20250815_ETF_Options_Exhibits'!U1391:U1395)),AVERAGE('20250815_ETF_Options_Exhibits'!U1391:U1395),"")</f>
        <v/>
      </c>
      <c r="V1395" s="3">
        <f>IF(ISNUMBER(AVERAGE('20250815_ETF_Options_Exhibits'!V1391:V1395)),AVERAGE('20250815_ETF_Options_Exhibits'!V1391:V1395),"")</f>
        <v/>
      </c>
      <c r="W1395" s="3">
        <f>IF(ISNUMBER(AVERAGE('20250815_ETF_Options_Exhibits'!W1391:W1395)),AVERAGE('20250815_ETF_Options_Exhibits'!W1391:W1395),"")</f>
        <v/>
      </c>
      <c r="X1395" s="3">
        <f>IF(ISNUMBER(AVERAGE('20250815_ETF_Options_Exhibits'!X1391:X1395)),AVERAGE('20250815_ETF_Options_Exhibits'!X1391:X1395),"")</f>
        <v/>
      </c>
      <c r="Y1395" s="3">
        <f>IF(ISNUMBER(AVERAGE('20250815_ETF_Options_Exhibits'!Y1391:Y1395)),AVERAGE('20250815_ETF_Options_Exhibits'!Y1391:Y1395),"")</f>
        <v/>
      </c>
      <c r="Z1395" s="3">
        <f>IF(ISNUMBER(AVERAGE('20250815_ETF_Options_Exhibits'!Z1391:Z1395)),AVERAGE('20250815_ETF_Options_Exhibits'!Z1391:Z1395),"")</f>
        <v/>
      </c>
      <c r="AA1395" s="3">
        <f>IF(ISNUMBER(AVERAGE('20250815_ETF_Options_Exhibits'!AA1391:AA1395)),AVERAGE('20250815_ETF_Options_Exhibits'!AA1391:AA1395),"")</f>
        <v/>
      </c>
    </row>
    <row r="1396">
      <c r="A1396" s="1" t="n">
        <v>44028</v>
      </c>
      <c r="B1396" s="3">
        <f>IF(ISNUMBER(AVERAGE('20250815_ETF_Options_Exhibits'!B1392:B1396)),AVERAGE('20250815_ETF_Options_Exhibits'!B1392:B1396),"")</f>
        <v/>
      </c>
      <c r="C1396" s="3">
        <f>IF(ISNUMBER(AVERAGE('20250815_ETF_Options_Exhibits'!C1392:C1396)),AVERAGE('20250815_ETF_Options_Exhibits'!C1392:C1396),"")</f>
        <v/>
      </c>
      <c r="D1396" s="3">
        <f>IF(ISNUMBER(AVERAGE('20250815_ETF_Options_Exhibits'!D1392:D1396)),AVERAGE('20250815_ETF_Options_Exhibits'!D1392:D1396),"")</f>
        <v/>
      </c>
      <c r="E1396" s="3">
        <f>IF(ISNUMBER(AVERAGE('20250815_ETF_Options_Exhibits'!E1392:E1396)),AVERAGE('20250815_ETF_Options_Exhibits'!E1392:E1396),"")</f>
        <v/>
      </c>
      <c r="F1396" s="3">
        <f>IF(ISNUMBER(AVERAGE('20250815_ETF_Options_Exhibits'!F1392:F1396)),AVERAGE('20250815_ETF_Options_Exhibits'!F1392:F1396),"")</f>
        <v/>
      </c>
      <c r="G1396" s="3">
        <f>IF(ISNUMBER(AVERAGE('20250815_ETF_Options_Exhibits'!G1392:G1396)),AVERAGE('20250815_ETF_Options_Exhibits'!G1392:G1396),"")</f>
        <v/>
      </c>
      <c r="H1396" s="3">
        <f>IF(ISNUMBER(AVERAGE('20250815_ETF_Options_Exhibits'!H1392:H1396)),AVERAGE('20250815_ETF_Options_Exhibits'!H1392:H1396),"")</f>
        <v/>
      </c>
      <c r="I1396" s="3">
        <f>IF(ISNUMBER(AVERAGE('20250815_ETF_Options_Exhibits'!I1392:I1396)),AVERAGE('20250815_ETF_Options_Exhibits'!I1392:I1396),"")</f>
        <v/>
      </c>
      <c r="J1396" s="3">
        <f>IF(ISNUMBER(AVERAGE('20250815_ETF_Options_Exhibits'!J1392:J1396)),AVERAGE('20250815_ETF_Options_Exhibits'!J1392:J1396),"")</f>
        <v/>
      </c>
      <c r="K1396" s="3">
        <f>IF(ISNUMBER(AVERAGE('20250815_ETF_Options_Exhibits'!K1392:K1396)),AVERAGE('20250815_ETF_Options_Exhibits'!K1392:K1396),"")</f>
        <v/>
      </c>
      <c r="L1396" s="3">
        <f>IF(ISNUMBER(AVERAGE('20250815_ETF_Options_Exhibits'!L1392:L1396)),AVERAGE('20250815_ETF_Options_Exhibits'!L1392:L1396),"")</f>
        <v/>
      </c>
      <c r="M1396" s="3">
        <f>IF(ISNUMBER(AVERAGE('20250815_ETF_Options_Exhibits'!M1392:M1396)),AVERAGE('20250815_ETF_Options_Exhibits'!M1392:M1396),"")</f>
        <v/>
      </c>
      <c r="N1396" s="3">
        <f>IF(ISNUMBER(AVERAGE('20250815_ETF_Options_Exhibits'!N1392:N1396)),AVERAGE('20250815_ETF_Options_Exhibits'!N1392:N1396),"")</f>
        <v/>
      </c>
      <c r="O1396" s="3">
        <f>IF(ISNUMBER(AVERAGE('20250815_ETF_Options_Exhibits'!O1392:O1396)),AVERAGE('20250815_ETF_Options_Exhibits'!O1392:O1396),"")</f>
        <v/>
      </c>
      <c r="P1396" s="3">
        <f>IF(ISNUMBER(AVERAGE('20250815_ETF_Options_Exhibits'!P1392:P1396)),AVERAGE('20250815_ETF_Options_Exhibits'!P1392:P1396),"")</f>
        <v/>
      </c>
      <c r="Q1396" s="3">
        <f>IF(ISNUMBER(AVERAGE('20250815_ETF_Options_Exhibits'!Q1392:Q1396)),AVERAGE('20250815_ETF_Options_Exhibits'!Q1392:Q1396),"")</f>
        <v/>
      </c>
      <c r="R1396" s="3">
        <f>IF(ISNUMBER(AVERAGE('20250815_ETF_Options_Exhibits'!R1392:R1396)),AVERAGE('20250815_ETF_Options_Exhibits'!R1392:R1396),"")</f>
        <v/>
      </c>
      <c r="S1396" s="3">
        <f>IF(ISNUMBER(AVERAGE('20250815_ETF_Options_Exhibits'!S1392:S1396)),AVERAGE('20250815_ETF_Options_Exhibits'!S1392:S1396),"")</f>
        <v/>
      </c>
      <c r="T1396" s="3">
        <f>IF(ISNUMBER(AVERAGE('20250815_ETF_Options_Exhibits'!T1392:T1396)),AVERAGE('20250815_ETF_Options_Exhibits'!T1392:T1396),"")</f>
        <v/>
      </c>
      <c r="U1396" s="3">
        <f>IF(ISNUMBER(AVERAGE('20250815_ETF_Options_Exhibits'!U1392:U1396)),AVERAGE('20250815_ETF_Options_Exhibits'!U1392:U1396),"")</f>
        <v/>
      </c>
      <c r="V1396" s="3">
        <f>IF(ISNUMBER(AVERAGE('20250815_ETF_Options_Exhibits'!V1392:V1396)),AVERAGE('20250815_ETF_Options_Exhibits'!V1392:V1396),"")</f>
        <v/>
      </c>
      <c r="W1396" s="3">
        <f>IF(ISNUMBER(AVERAGE('20250815_ETF_Options_Exhibits'!W1392:W1396)),AVERAGE('20250815_ETF_Options_Exhibits'!W1392:W1396),"")</f>
        <v/>
      </c>
      <c r="X1396" s="3">
        <f>IF(ISNUMBER(AVERAGE('20250815_ETF_Options_Exhibits'!X1392:X1396)),AVERAGE('20250815_ETF_Options_Exhibits'!X1392:X1396),"")</f>
        <v/>
      </c>
      <c r="Y1396" s="3">
        <f>IF(ISNUMBER(AVERAGE('20250815_ETF_Options_Exhibits'!Y1392:Y1396)),AVERAGE('20250815_ETF_Options_Exhibits'!Y1392:Y1396),"")</f>
        <v/>
      </c>
      <c r="Z1396" s="3">
        <f>IF(ISNUMBER(AVERAGE('20250815_ETF_Options_Exhibits'!Z1392:Z1396)),AVERAGE('20250815_ETF_Options_Exhibits'!Z1392:Z1396),"")</f>
        <v/>
      </c>
      <c r="AA1396" s="3">
        <f>IF(ISNUMBER(AVERAGE('20250815_ETF_Options_Exhibits'!AA1392:AA1396)),AVERAGE('20250815_ETF_Options_Exhibits'!AA1392:AA1396),"")</f>
        <v/>
      </c>
    </row>
    <row r="1397">
      <c r="A1397" s="1" t="n">
        <v>44029</v>
      </c>
      <c r="B1397" s="3">
        <f>IF(ISNUMBER(AVERAGE('20250815_ETF_Options_Exhibits'!B1393:B1397)),AVERAGE('20250815_ETF_Options_Exhibits'!B1393:B1397),"")</f>
        <v/>
      </c>
      <c r="C1397" s="3">
        <f>IF(ISNUMBER(AVERAGE('20250815_ETF_Options_Exhibits'!C1393:C1397)),AVERAGE('20250815_ETF_Options_Exhibits'!C1393:C1397),"")</f>
        <v/>
      </c>
      <c r="D1397" s="3">
        <f>IF(ISNUMBER(AVERAGE('20250815_ETF_Options_Exhibits'!D1393:D1397)),AVERAGE('20250815_ETF_Options_Exhibits'!D1393:D1397),"")</f>
        <v/>
      </c>
      <c r="E1397" s="3">
        <f>IF(ISNUMBER(AVERAGE('20250815_ETF_Options_Exhibits'!E1393:E1397)),AVERAGE('20250815_ETF_Options_Exhibits'!E1393:E1397),"")</f>
        <v/>
      </c>
      <c r="F1397" s="3">
        <f>IF(ISNUMBER(AVERAGE('20250815_ETF_Options_Exhibits'!F1393:F1397)),AVERAGE('20250815_ETF_Options_Exhibits'!F1393:F1397),"")</f>
        <v/>
      </c>
      <c r="G1397" s="3">
        <f>IF(ISNUMBER(AVERAGE('20250815_ETF_Options_Exhibits'!G1393:G1397)),AVERAGE('20250815_ETF_Options_Exhibits'!G1393:G1397),"")</f>
        <v/>
      </c>
      <c r="H1397" s="3">
        <f>IF(ISNUMBER(AVERAGE('20250815_ETF_Options_Exhibits'!H1393:H1397)),AVERAGE('20250815_ETF_Options_Exhibits'!H1393:H1397),"")</f>
        <v/>
      </c>
      <c r="I1397" s="3">
        <f>IF(ISNUMBER(AVERAGE('20250815_ETF_Options_Exhibits'!I1393:I1397)),AVERAGE('20250815_ETF_Options_Exhibits'!I1393:I1397),"")</f>
        <v/>
      </c>
      <c r="J1397" s="3">
        <f>IF(ISNUMBER(AVERAGE('20250815_ETF_Options_Exhibits'!J1393:J1397)),AVERAGE('20250815_ETF_Options_Exhibits'!J1393:J1397),"")</f>
        <v/>
      </c>
      <c r="K1397" s="3">
        <f>IF(ISNUMBER(AVERAGE('20250815_ETF_Options_Exhibits'!K1393:K1397)),AVERAGE('20250815_ETF_Options_Exhibits'!K1393:K1397),"")</f>
        <v/>
      </c>
      <c r="L1397" s="3">
        <f>IF(ISNUMBER(AVERAGE('20250815_ETF_Options_Exhibits'!L1393:L1397)),AVERAGE('20250815_ETF_Options_Exhibits'!L1393:L1397),"")</f>
        <v/>
      </c>
      <c r="M1397" s="3">
        <f>IF(ISNUMBER(AVERAGE('20250815_ETF_Options_Exhibits'!M1393:M1397)),AVERAGE('20250815_ETF_Options_Exhibits'!M1393:M1397),"")</f>
        <v/>
      </c>
      <c r="N1397" s="3">
        <f>IF(ISNUMBER(AVERAGE('20250815_ETF_Options_Exhibits'!N1393:N1397)),AVERAGE('20250815_ETF_Options_Exhibits'!N1393:N1397),"")</f>
        <v/>
      </c>
      <c r="O1397" s="3">
        <f>IF(ISNUMBER(AVERAGE('20250815_ETF_Options_Exhibits'!O1393:O1397)),AVERAGE('20250815_ETF_Options_Exhibits'!O1393:O1397),"")</f>
        <v/>
      </c>
      <c r="P1397" s="3">
        <f>IF(ISNUMBER(AVERAGE('20250815_ETF_Options_Exhibits'!P1393:P1397)),AVERAGE('20250815_ETF_Options_Exhibits'!P1393:P1397),"")</f>
        <v/>
      </c>
      <c r="Q1397" s="3">
        <f>IF(ISNUMBER(AVERAGE('20250815_ETF_Options_Exhibits'!Q1393:Q1397)),AVERAGE('20250815_ETF_Options_Exhibits'!Q1393:Q1397),"")</f>
        <v/>
      </c>
      <c r="R1397" s="3">
        <f>IF(ISNUMBER(AVERAGE('20250815_ETF_Options_Exhibits'!R1393:R1397)),AVERAGE('20250815_ETF_Options_Exhibits'!R1393:R1397),"")</f>
        <v/>
      </c>
      <c r="S1397" s="3">
        <f>IF(ISNUMBER(AVERAGE('20250815_ETF_Options_Exhibits'!S1393:S1397)),AVERAGE('20250815_ETF_Options_Exhibits'!S1393:S1397),"")</f>
        <v/>
      </c>
      <c r="T1397" s="3">
        <f>IF(ISNUMBER(AVERAGE('20250815_ETF_Options_Exhibits'!T1393:T1397)),AVERAGE('20250815_ETF_Options_Exhibits'!T1393:T1397),"")</f>
        <v/>
      </c>
      <c r="U1397" s="3">
        <f>IF(ISNUMBER(AVERAGE('20250815_ETF_Options_Exhibits'!U1393:U1397)),AVERAGE('20250815_ETF_Options_Exhibits'!U1393:U1397),"")</f>
        <v/>
      </c>
      <c r="V1397" s="3">
        <f>IF(ISNUMBER(AVERAGE('20250815_ETF_Options_Exhibits'!V1393:V1397)),AVERAGE('20250815_ETF_Options_Exhibits'!V1393:V1397),"")</f>
        <v/>
      </c>
      <c r="W1397" s="3">
        <f>IF(ISNUMBER(AVERAGE('20250815_ETF_Options_Exhibits'!W1393:W1397)),AVERAGE('20250815_ETF_Options_Exhibits'!W1393:W1397),"")</f>
        <v/>
      </c>
      <c r="X1397" s="3">
        <f>IF(ISNUMBER(AVERAGE('20250815_ETF_Options_Exhibits'!X1393:X1397)),AVERAGE('20250815_ETF_Options_Exhibits'!X1393:X1397),"")</f>
        <v/>
      </c>
      <c r="Y1397" s="3">
        <f>IF(ISNUMBER(AVERAGE('20250815_ETF_Options_Exhibits'!Y1393:Y1397)),AVERAGE('20250815_ETF_Options_Exhibits'!Y1393:Y1397),"")</f>
        <v/>
      </c>
      <c r="Z1397" s="3">
        <f>IF(ISNUMBER(AVERAGE('20250815_ETF_Options_Exhibits'!Z1393:Z1397)),AVERAGE('20250815_ETF_Options_Exhibits'!Z1393:Z1397),"")</f>
        <v/>
      </c>
      <c r="AA1397" s="3">
        <f>IF(ISNUMBER(AVERAGE('20250815_ETF_Options_Exhibits'!AA1393:AA1397)),AVERAGE('20250815_ETF_Options_Exhibits'!AA1393:AA1397),"")</f>
        <v/>
      </c>
    </row>
    <row r="1398">
      <c r="A1398" s="1" t="n">
        <v>44032</v>
      </c>
      <c r="B1398" s="3">
        <f>IF(ISNUMBER(AVERAGE('20250815_ETF_Options_Exhibits'!B1394:B1398)),AVERAGE('20250815_ETF_Options_Exhibits'!B1394:B1398),"")</f>
        <v/>
      </c>
      <c r="C1398" s="3">
        <f>IF(ISNUMBER(AVERAGE('20250815_ETF_Options_Exhibits'!C1394:C1398)),AVERAGE('20250815_ETF_Options_Exhibits'!C1394:C1398),"")</f>
        <v/>
      </c>
      <c r="D1398" s="3">
        <f>IF(ISNUMBER(AVERAGE('20250815_ETF_Options_Exhibits'!D1394:D1398)),AVERAGE('20250815_ETF_Options_Exhibits'!D1394:D1398),"")</f>
        <v/>
      </c>
      <c r="E1398" s="3">
        <f>IF(ISNUMBER(AVERAGE('20250815_ETF_Options_Exhibits'!E1394:E1398)),AVERAGE('20250815_ETF_Options_Exhibits'!E1394:E1398),"")</f>
        <v/>
      </c>
      <c r="F1398" s="3">
        <f>IF(ISNUMBER(AVERAGE('20250815_ETF_Options_Exhibits'!F1394:F1398)),AVERAGE('20250815_ETF_Options_Exhibits'!F1394:F1398),"")</f>
        <v/>
      </c>
      <c r="G1398" s="3">
        <f>IF(ISNUMBER(AVERAGE('20250815_ETF_Options_Exhibits'!G1394:G1398)),AVERAGE('20250815_ETF_Options_Exhibits'!G1394:G1398),"")</f>
        <v/>
      </c>
      <c r="H1398" s="3">
        <f>IF(ISNUMBER(AVERAGE('20250815_ETF_Options_Exhibits'!H1394:H1398)),AVERAGE('20250815_ETF_Options_Exhibits'!H1394:H1398),"")</f>
        <v/>
      </c>
      <c r="I1398" s="3">
        <f>IF(ISNUMBER(AVERAGE('20250815_ETF_Options_Exhibits'!I1394:I1398)),AVERAGE('20250815_ETF_Options_Exhibits'!I1394:I1398),"")</f>
        <v/>
      </c>
      <c r="J1398" s="3">
        <f>IF(ISNUMBER(AVERAGE('20250815_ETF_Options_Exhibits'!J1394:J1398)),AVERAGE('20250815_ETF_Options_Exhibits'!J1394:J1398),"")</f>
        <v/>
      </c>
      <c r="K1398" s="3">
        <f>IF(ISNUMBER(AVERAGE('20250815_ETF_Options_Exhibits'!K1394:K1398)),AVERAGE('20250815_ETF_Options_Exhibits'!K1394:K1398),"")</f>
        <v/>
      </c>
      <c r="L1398" s="3">
        <f>IF(ISNUMBER(AVERAGE('20250815_ETF_Options_Exhibits'!L1394:L1398)),AVERAGE('20250815_ETF_Options_Exhibits'!L1394:L1398),"")</f>
        <v/>
      </c>
      <c r="M1398" s="3">
        <f>IF(ISNUMBER(AVERAGE('20250815_ETF_Options_Exhibits'!M1394:M1398)),AVERAGE('20250815_ETF_Options_Exhibits'!M1394:M1398),"")</f>
        <v/>
      </c>
      <c r="N1398" s="3">
        <f>IF(ISNUMBER(AVERAGE('20250815_ETF_Options_Exhibits'!N1394:N1398)),AVERAGE('20250815_ETF_Options_Exhibits'!N1394:N1398),"")</f>
        <v/>
      </c>
      <c r="O1398" s="3">
        <f>IF(ISNUMBER(AVERAGE('20250815_ETF_Options_Exhibits'!O1394:O1398)),AVERAGE('20250815_ETF_Options_Exhibits'!O1394:O1398),"")</f>
        <v/>
      </c>
      <c r="P1398" s="3">
        <f>IF(ISNUMBER(AVERAGE('20250815_ETF_Options_Exhibits'!P1394:P1398)),AVERAGE('20250815_ETF_Options_Exhibits'!P1394:P1398),"")</f>
        <v/>
      </c>
      <c r="Q1398" s="3">
        <f>IF(ISNUMBER(AVERAGE('20250815_ETF_Options_Exhibits'!Q1394:Q1398)),AVERAGE('20250815_ETF_Options_Exhibits'!Q1394:Q1398),"")</f>
        <v/>
      </c>
      <c r="R1398" s="3">
        <f>IF(ISNUMBER(AVERAGE('20250815_ETF_Options_Exhibits'!R1394:R1398)),AVERAGE('20250815_ETF_Options_Exhibits'!R1394:R1398),"")</f>
        <v/>
      </c>
      <c r="S1398" s="3">
        <f>IF(ISNUMBER(AVERAGE('20250815_ETF_Options_Exhibits'!S1394:S1398)),AVERAGE('20250815_ETF_Options_Exhibits'!S1394:S1398),"")</f>
        <v/>
      </c>
      <c r="T1398" s="3">
        <f>IF(ISNUMBER(AVERAGE('20250815_ETF_Options_Exhibits'!T1394:T1398)),AVERAGE('20250815_ETF_Options_Exhibits'!T1394:T1398),"")</f>
        <v/>
      </c>
      <c r="U1398" s="3">
        <f>IF(ISNUMBER(AVERAGE('20250815_ETF_Options_Exhibits'!U1394:U1398)),AVERAGE('20250815_ETF_Options_Exhibits'!U1394:U1398),"")</f>
        <v/>
      </c>
      <c r="V1398" s="3">
        <f>IF(ISNUMBER(AVERAGE('20250815_ETF_Options_Exhibits'!V1394:V1398)),AVERAGE('20250815_ETF_Options_Exhibits'!V1394:V1398),"")</f>
        <v/>
      </c>
      <c r="W1398" s="3">
        <f>IF(ISNUMBER(AVERAGE('20250815_ETF_Options_Exhibits'!W1394:W1398)),AVERAGE('20250815_ETF_Options_Exhibits'!W1394:W1398),"")</f>
        <v/>
      </c>
      <c r="X1398" s="3">
        <f>IF(ISNUMBER(AVERAGE('20250815_ETF_Options_Exhibits'!X1394:X1398)),AVERAGE('20250815_ETF_Options_Exhibits'!X1394:X1398),"")</f>
        <v/>
      </c>
      <c r="Y1398" s="3">
        <f>IF(ISNUMBER(AVERAGE('20250815_ETF_Options_Exhibits'!Y1394:Y1398)),AVERAGE('20250815_ETF_Options_Exhibits'!Y1394:Y1398),"")</f>
        <v/>
      </c>
      <c r="Z1398" s="3">
        <f>IF(ISNUMBER(AVERAGE('20250815_ETF_Options_Exhibits'!Z1394:Z1398)),AVERAGE('20250815_ETF_Options_Exhibits'!Z1394:Z1398),"")</f>
        <v/>
      </c>
      <c r="AA1398" s="3">
        <f>IF(ISNUMBER(AVERAGE('20250815_ETF_Options_Exhibits'!AA1394:AA1398)),AVERAGE('20250815_ETF_Options_Exhibits'!AA1394:AA1398),"")</f>
        <v/>
      </c>
    </row>
    <row r="1399">
      <c r="A1399" s="1" t="n">
        <v>44033</v>
      </c>
      <c r="B1399" s="3">
        <f>IF(ISNUMBER(AVERAGE('20250815_ETF_Options_Exhibits'!B1395:B1399)),AVERAGE('20250815_ETF_Options_Exhibits'!B1395:B1399),"")</f>
        <v/>
      </c>
      <c r="C1399" s="3">
        <f>IF(ISNUMBER(AVERAGE('20250815_ETF_Options_Exhibits'!C1395:C1399)),AVERAGE('20250815_ETF_Options_Exhibits'!C1395:C1399),"")</f>
        <v/>
      </c>
      <c r="D1399" s="3">
        <f>IF(ISNUMBER(AVERAGE('20250815_ETF_Options_Exhibits'!D1395:D1399)),AVERAGE('20250815_ETF_Options_Exhibits'!D1395:D1399),"")</f>
        <v/>
      </c>
      <c r="E1399" s="3">
        <f>IF(ISNUMBER(AVERAGE('20250815_ETF_Options_Exhibits'!E1395:E1399)),AVERAGE('20250815_ETF_Options_Exhibits'!E1395:E1399),"")</f>
        <v/>
      </c>
      <c r="F1399" s="3">
        <f>IF(ISNUMBER(AVERAGE('20250815_ETF_Options_Exhibits'!F1395:F1399)),AVERAGE('20250815_ETF_Options_Exhibits'!F1395:F1399),"")</f>
        <v/>
      </c>
      <c r="G1399" s="3">
        <f>IF(ISNUMBER(AVERAGE('20250815_ETF_Options_Exhibits'!G1395:G1399)),AVERAGE('20250815_ETF_Options_Exhibits'!G1395:G1399),"")</f>
        <v/>
      </c>
      <c r="H1399" s="3">
        <f>IF(ISNUMBER(AVERAGE('20250815_ETF_Options_Exhibits'!H1395:H1399)),AVERAGE('20250815_ETF_Options_Exhibits'!H1395:H1399),"")</f>
        <v/>
      </c>
      <c r="I1399" s="3">
        <f>IF(ISNUMBER(AVERAGE('20250815_ETF_Options_Exhibits'!I1395:I1399)),AVERAGE('20250815_ETF_Options_Exhibits'!I1395:I1399),"")</f>
        <v/>
      </c>
      <c r="J1399" s="3">
        <f>IF(ISNUMBER(AVERAGE('20250815_ETF_Options_Exhibits'!J1395:J1399)),AVERAGE('20250815_ETF_Options_Exhibits'!J1395:J1399),"")</f>
        <v/>
      </c>
      <c r="K1399" s="3">
        <f>IF(ISNUMBER(AVERAGE('20250815_ETF_Options_Exhibits'!K1395:K1399)),AVERAGE('20250815_ETF_Options_Exhibits'!K1395:K1399),"")</f>
        <v/>
      </c>
      <c r="L1399" s="3">
        <f>IF(ISNUMBER(AVERAGE('20250815_ETF_Options_Exhibits'!L1395:L1399)),AVERAGE('20250815_ETF_Options_Exhibits'!L1395:L1399),"")</f>
        <v/>
      </c>
      <c r="M1399" s="3">
        <f>IF(ISNUMBER(AVERAGE('20250815_ETF_Options_Exhibits'!M1395:M1399)),AVERAGE('20250815_ETF_Options_Exhibits'!M1395:M1399),"")</f>
        <v/>
      </c>
      <c r="N1399" s="3">
        <f>IF(ISNUMBER(AVERAGE('20250815_ETF_Options_Exhibits'!N1395:N1399)),AVERAGE('20250815_ETF_Options_Exhibits'!N1395:N1399),"")</f>
        <v/>
      </c>
      <c r="O1399" s="3">
        <f>IF(ISNUMBER(AVERAGE('20250815_ETF_Options_Exhibits'!O1395:O1399)),AVERAGE('20250815_ETF_Options_Exhibits'!O1395:O1399),"")</f>
        <v/>
      </c>
      <c r="P1399" s="3">
        <f>IF(ISNUMBER(AVERAGE('20250815_ETF_Options_Exhibits'!P1395:P1399)),AVERAGE('20250815_ETF_Options_Exhibits'!P1395:P1399),"")</f>
        <v/>
      </c>
      <c r="Q1399" s="3">
        <f>IF(ISNUMBER(AVERAGE('20250815_ETF_Options_Exhibits'!Q1395:Q1399)),AVERAGE('20250815_ETF_Options_Exhibits'!Q1395:Q1399),"")</f>
        <v/>
      </c>
      <c r="R1399" s="3">
        <f>IF(ISNUMBER(AVERAGE('20250815_ETF_Options_Exhibits'!R1395:R1399)),AVERAGE('20250815_ETF_Options_Exhibits'!R1395:R1399),"")</f>
        <v/>
      </c>
      <c r="S1399" s="3">
        <f>IF(ISNUMBER(AVERAGE('20250815_ETF_Options_Exhibits'!S1395:S1399)),AVERAGE('20250815_ETF_Options_Exhibits'!S1395:S1399),"")</f>
        <v/>
      </c>
      <c r="T1399" s="3">
        <f>IF(ISNUMBER(AVERAGE('20250815_ETF_Options_Exhibits'!T1395:T1399)),AVERAGE('20250815_ETF_Options_Exhibits'!T1395:T1399),"")</f>
        <v/>
      </c>
      <c r="U1399" s="3">
        <f>IF(ISNUMBER(AVERAGE('20250815_ETF_Options_Exhibits'!U1395:U1399)),AVERAGE('20250815_ETF_Options_Exhibits'!U1395:U1399),"")</f>
        <v/>
      </c>
      <c r="V1399" s="3">
        <f>IF(ISNUMBER(AVERAGE('20250815_ETF_Options_Exhibits'!V1395:V1399)),AVERAGE('20250815_ETF_Options_Exhibits'!V1395:V1399),"")</f>
        <v/>
      </c>
      <c r="W1399" s="3">
        <f>IF(ISNUMBER(AVERAGE('20250815_ETF_Options_Exhibits'!W1395:W1399)),AVERAGE('20250815_ETF_Options_Exhibits'!W1395:W1399),"")</f>
        <v/>
      </c>
      <c r="X1399" s="3">
        <f>IF(ISNUMBER(AVERAGE('20250815_ETF_Options_Exhibits'!X1395:X1399)),AVERAGE('20250815_ETF_Options_Exhibits'!X1395:X1399),"")</f>
        <v/>
      </c>
      <c r="Y1399" s="3">
        <f>IF(ISNUMBER(AVERAGE('20250815_ETF_Options_Exhibits'!Y1395:Y1399)),AVERAGE('20250815_ETF_Options_Exhibits'!Y1395:Y1399),"")</f>
        <v/>
      </c>
      <c r="Z1399" s="3">
        <f>IF(ISNUMBER(AVERAGE('20250815_ETF_Options_Exhibits'!Z1395:Z1399)),AVERAGE('20250815_ETF_Options_Exhibits'!Z1395:Z1399),"")</f>
        <v/>
      </c>
      <c r="AA1399" s="3">
        <f>IF(ISNUMBER(AVERAGE('20250815_ETF_Options_Exhibits'!AA1395:AA1399)),AVERAGE('20250815_ETF_Options_Exhibits'!AA1395:AA1399),"")</f>
        <v/>
      </c>
    </row>
    <row r="1400">
      <c r="A1400" s="1" t="n">
        <v>44034</v>
      </c>
      <c r="B1400" s="3">
        <f>IF(ISNUMBER(AVERAGE('20250815_ETF_Options_Exhibits'!B1396:B1400)),AVERAGE('20250815_ETF_Options_Exhibits'!B1396:B1400),"")</f>
        <v/>
      </c>
      <c r="C1400" s="3">
        <f>IF(ISNUMBER(AVERAGE('20250815_ETF_Options_Exhibits'!C1396:C1400)),AVERAGE('20250815_ETF_Options_Exhibits'!C1396:C1400),"")</f>
        <v/>
      </c>
      <c r="D1400" s="3">
        <f>IF(ISNUMBER(AVERAGE('20250815_ETF_Options_Exhibits'!D1396:D1400)),AVERAGE('20250815_ETF_Options_Exhibits'!D1396:D1400),"")</f>
        <v/>
      </c>
      <c r="E1400" s="3">
        <f>IF(ISNUMBER(AVERAGE('20250815_ETF_Options_Exhibits'!E1396:E1400)),AVERAGE('20250815_ETF_Options_Exhibits'!E1396:E1400),"")</f>
        <v/>
      </c>
      <c r="F1400" s="3">
        <f>IF(ISNUMBER(AVERAGE('20250815_ETF_Options_Exhibits'!F1396:F1400)),AVERAGE('20250815_ETF_Options_Exhibits'!F1396:F1400),"")</f>
        <v/>
      </c>
      <c r="G1400" s="3">
        <f>IF(ISNUMBER(AVERAGE('20250815_ETF_Options_Exhibits'!G1396:G1400)),AVERAGE('20250815_ETF_Options_Exhibits'!G1396:G1400),"")</f>
        <v/>
      </c>
      <c r="H1400" s="3">
        <f>IF(ISNUMBER(AVERAGE('20250815_ETF_Options_Exhibits'!H1396:H1400)),AVERAGE('20250815_ETF_Options_Exhibits'!H1396:H1400),"")</f>
        <v/>
      </c>
      <c r="I1400" s="3">
        <f>IF(ISNUMBER(AVERAGE('20250815_ETF_Options_Exhibits'!I1396:I1400)),AVERAGE('20250815_ETF_Options_Exhibits'!I1396:I1400),"")</f>
        <v/>
      </c>
      <c r="J1400" s="3">
        <f>IF(ISNUMBER(AVERAGE('20250815_ETF_Options_Exhibits'!J1396:J1400)),AVERAGE('20250815_ETF_Options_Exhibits'!J1396:J1400),"")</f>
        <v/>
      </c>
      <c r="K1400" s="3">
        <f>IF(ISNUMBER(AVERAGE('20250815_ETF_Options_Exhibits'!K1396:K1400)),AVERAGE('20250815_ETF_Options_Exhibits'!K1396:K1400),"")</f>
        <v/>
      </c>
      <c r="L1400" s="3">
        <f>IF(ISNUMBER(AVERAGE('20250815_ETF_Options_Exhibits'!L1396:L1400)),AVERAGE('20250815_ETF_Options_Exhibits'!L1396:L1400),"")</f>
        <v/>
      </c>
      <c r="M1400" s="3">
        <f>IF(ISNUMBER(AVERAGE('20250815_ETF_Options_Exhibits'!M1396:M1400)),AVERAGE('20250815_ETF_Options_Exhibits'!M1396:M1400),"")</f>
        <v/>
      </c>
      <c r="N1400" s="3">
        <f>IF(ISNUMBER(AVERAGE('20250815_ETF_Options_Exhibits'!N1396:N1400)),AVERAGE('20250815_ETF_Options_Exhibits'!N1396:N1400),"")</f>
        <v/>
      </c>
      <c r="O1400" s="3">
        <f>IF(ISNUMBER(AVERAGE('20250815_ETF_Options_Exhibits'!O1396:O1400)),AVERAGE('20250815_ETF_Options_Exhibits'!O1396:O1400),"")</f>
        <v/>
      </c>
      <c r="P1400" s="3">
        <f>IF(ISNUMBER(AVERAGE('20250815_ETF_Options_Exhibits'!P1396:P1400)),AVERAGE('20250815_ETF_Options_Exhibits'!P1396:P1400),"")</f>
        <v/>
      </c>
      <c r="Q1400" s="3">
        <f>IF(ISNUMBER(AVERAGE('20250815_ETF_Options_Exhibits'!Q1396:Q1400)),AVERAGE('20250815_ETF_Options_Exhibits'!Q1396:Q1400),"")</f>
        <v/>
      </c>
      <c r="R1400" s="3">
        <f>IF(ISNUMBER(AVERAGE('20250815_ETF_Options_Exhibits'!R1396:R1400)),AVERAGE('20250815_ETF_Options_Exhibits'!R1396:R1400),"")</f>
        <v/>
      </c>
      <c r="S1400" s="3">
        <f>IF(ISNUMBER(AVERAGE('20250815_ETF_Options_Exhibits'!S1396:S1400)),AVERAGE('20250815_ETF_Options_Exhibits'!S1396:S1400),"")</f>
        <v/>
      </c>
      <c r="T1400" s="3">
        <f>IF(ISNUMBER(AVERAGE('20250815_ETF_Options_Exhibits'!T1396:T1400)),AVERAGE('20250815_ETF_Options_Exhibits'!T1396:T1400),"")</f>
        <v/>
      </c>
      <c r="U1400" s="3">
        <f>IF(ISNUMBER(AVERAGE('20250815_ETF_Options_Exhibits'!U1396:U1400)),AVERAGE('20250815_ETF_Options_Exhibits'!U1396:U1400),"")</f>
        <v/>
      </c>
      <c r="V1400" s="3">
        <f>IF(ISNUMBER(AVERAGE('20250815_ETF_Options_Exhibits'!V1396:V1400)),AVERAGE('20250815_ETF_Options_Exhibits'!V1396:V1400),"")</f>
        <v/>
      </c>
      <c r="W1400" s="3">
        <f>IF(ISNUMBER(AVERAGE('20250815_ETF_Options_Exhibits'!W1396:W1400)),AVERAGE('20250815_ETF_Options_Exhibits'!W1396:W1400),"")</f>
        <v/>
      </c>
      <c r="X1400" s="3">
        <f>IF(ISNUMBER(AVERAGE('20250815_ETF_Options_Exhibits'!X1396:X1400)),AVERAGE('20250815_ETF_Options_Exhibits'!X1396:X1400),"")</f>
        <v/>
      </c>
      <c r="Y1400" s="3">
        <f>IF(ISNUMBER(AVERAGE('20250815_ETF_Options_Exhibits'!Y1396:Y1400)),AVERAGE('20250815_ETF_Options_Exhibits'!Y1396:Y1400),"")</f>
        <v/>
      </c>
      <c r="Z1400" s="3">
        <f>IF(ISNUMBER(AVERAGE('20250815_ETF_Options_Exhibits'!Z1396:Z1400)),AVERAGE('20250815_ETF_Options_Exhibits'!Z1396:Z1400),"")</f>
        <v/>
      </c>
      <c r="AA1400" s="3">
        <f>IF(ISNUMBER(AVERAGE('20250815_ETF_Options_Exhibits'!AA1396:AA1400)),AVERAGE('20250815_ETF_Options_Exhibits'!AA1396:AA1400),"")</f>
        <v/>
      </c>
    </row>
    <row r="1401">
      <c r="A1401" s="1" t="n">
        <v>44035</v>
      </c>
      <c r="B1401" s="3">
        <f>IF(ISNUMBER(AVERAGE('20250815_ETF_Options_Exhibits'!B1397:B1401)),AVERAGE('20250815_ETF_Options_Exhibits'!B1397:B1401),"")</f>
        <v/>
      </c>
      <c r="C1401" s="3">
        <f>IF(ISNUMBER(AVERAGE('20250815_ETF_Options_Exhibits'!C1397:C1401)),AVERAGE('20250815_ETF_Options_Exhibits'!C1397:C1401),"")</f>
        <v/>
      </c>
      <c r="D1401" s="3">
        <f>IF(ISNUMBER(AVERAGE('20250815_ETF_Options_Exhibits'!D1397:D1401)),AVERAGE('20250815_ETF_Options_Exhibits'!D1397:D1401),"")</f>
        <v/>
      </c>
      <c r="E1401" s="3">
        <f>IF(ISNUMBER(AVERAGE('20250815_ETF_Options_Exhibits'!E1397:E1401)),AVERAGE('20250815_ETF_Options_Exhibits'!E1397:E1401),"")</f>
        <v/>
      </c>
      <c r="F1401" s="3">
        <f>IF(ISNUMBER(AVERAGE('20250815_ETF_Options_Exhibits'!F1397:F1401)),AVERAGE('20250815_ETF_Options_Exhibits'!F1397:F1401),"")</f>
        <v/>
      </c>
      <c r="G1401" s="3">
        <f>IF(ISNUMBER(AVERAGE('20250815_ETF_Options_Exhibits'!G1397:G1401)),AVERAGE('20250815_ETF_Options_Exhibits'!G1397:G1401),"")</f>
        <v/>
      </c>
      <c r="H1401" s="3">
        <f>IF(ISNUMBER(AVERAGE('20250815_ETF_Options_Exhibits'!H1397:H1401)),AVERAGE('20250815_ETF_Options_Exhibits'!H1397:H1401),"")</f>
        <v/>
      </c>
      <c r="I1401" s="3">
        <f>IF(ISNUMBER(AVERAGE('20250815_ETF_Options_Exhibits'!I1397:I1401)),AVERAGE('20250815_ETF_Options_Exhibits'!I1397:I1401),"")</f>
        <v/>
      </c>
      <c r="J1401" s="3">
        <f>IF(ISNUMBER(AVERAGE('20250815_ETF_Options_Exhibits'!J1397:J1401)),AVERAGE('20250815_ETF_Options_Exhibits'!J1397:J1401),"")</f>
        <v/>
      </c>
      <c r="K1401" s="3">
        <f>IF(ISNUMBER(AVERAGE('20250815_ETF_Options_Exhibits'!K1397:K1401)),AVERAGE('20250815_ETF_Options_Exhibits'!K1397:K1401),"")</f>
        <v/>
      </c>
      <c r="L1401" s="3">
        <f>IF(ISNUMBER(AVERAGE('20250815_ETF_Options_Exhibits'!L1397:L1401)),AVERAGE('20250815_ETF_Options_Exhibits'!L1397:L1401),"")</f>
        <v/>
      </c>
      <c r="M1401" s="3">
        <f>IF(ISNUMBER(AVERAGE('20250815_ETF_Options_Exhibits'!M1397:M1401)),AVERAGE('20250815_ETF_Options_Exhibits'!M1397:M1401),"")</f>
        <v/>
      </c>
      <c r="N1401" s="3">
        <f>IF(ISNUMBER(AVERAGE('20250815_ETF_Options_Exhibits'!N1397:N1401)),AVERAGE('20250815_ETF_Options_Exhibits'!N1397:N1401),"")</f>
        <v/>
      </c>
      <c r="O1401" s="3">
        <f>IF(ISNUMBER(AVERAGE('20250815_ETF_Options_Exhibits'!O1397:O1401)),AVERAGE('20250815_ETF_Options_Exhibits'!O1397:O1401),"")</f>
        <v/>
      </c>
      <c r="P1401" s="3">
        <f>IF(ISNUMBER(AVERAGE('20250815_ETF_Options_Exhibits'!P1397:P1401)),AVERAGE('20250815_ETF_Options_Exhibits'!P1397:P1401),"")</f>
        <v/>
      </c>
      <c r="Q1401" s="3">
        <f>IF(ISNUMBER(AVERAGE('20250815_ETF_Options_Exhibits'!Q1397:Q1401)),AVERAGE('20250815_ETF_Options_Exhibits'!Q1397:Q1401),"")</f>
        <v/>
      </c>
      <c r="R1401" s="3">
        <f>IF(ISNUMBER(AVERAGE('20250815_ETF_Options_Exhibits'!R1397:R1401)),AVERAGE('20250815_ETF_Options_Exhibits'!R1397:R1401),"")</f>
        <v/>
      </c>
      <c r="S1401" s="3">
        <f>IF(ISNUMBER(AVERAGE('20250815_ETF_Options_Exhibits'!S1397:S1401)),AVERAGE('20250815_ETF_Options_Exhibits'!S1397:S1401),"")</f>
        <v/>
      </c>
      <c r="T1401" s="3">
        <f>IF(ISNUMBER(AVERAGE('20250815_ETF_Options_Exhibits'!T1397:T1401)),AVERAGE('20250815_ETF_Options_Exhibits'!T1397:T1401),"")</f>
        <v/>
      </c>
      <c r="U1401" s="3">
        <f>IF(ISNUMBER(AVERAGE('20250815_ETF_Options_Exhibits'!U1397:U1401)),AVERAGE('20250815_ETF_Options_Exhibits'!U1397:U1401),"")</f>
        <v/>
      </c>
      <c r="V1401" s="3">
        <f>IF(ISNUMBER(AVERAGE('20250815_ETF_Options_Exhibits'!V1397:V1401)),AVERAGE('20250815_ETF_Options_Exhibits'!V1397:V1401),"")</f>
        <v/>
      </c>
      <c r="W1401" s="3">
        <f>IF(ISNUMBER(AVERAGE('20250815_ETF_Options_Exhibits'!W1397:W1401)),AVERAGE('20250815_ETF_Options_Exhibits'!W1397:W1401),"")</f>
        <v/>
      </c>
      <c r="X1401" s="3">
        <f>IF(ISNUMBER(AVERAGE('20250815_ETF_Options_Exhibits'!X1397:X1401)),AVERAGE('20250815_ETF_Options_Exhibits'!X1397:X1401),"")</f>
        <v/>
      </c>
      <c r="Y1401" s="3">
        <f>IF(ISNUMBER(AVERAGE('20250815_ETF_Options_Exhibits'!Y1397:Y1401)),AVERAGE('20250815_ETF_Options_Exhibits'!Y1397:Y1401),"")</f>
        <v/>
      </c>
      <c r="Z1401" s="3">
        <f>IF(ISNUMBER(AVERAGE('20250815_ETF_Options_Exhibits'!Z1397:Z1401)),AVERAGE('20250815_ETF_Options_Exhibits'!Z1397:Z1401),"")</f>
        <v/>
      </c>
      <c r="AA1401" s="3">
        <f>IF(ISNUMBER(AVERAGE('20250815_ETF_Options_Exhibits'!AA1397:AA1401)),AVERAGE('20250815_ETF_Options_Exhibits'!AA1397:AA1401),"")</f>
        <v/>
      </c>
    </row>
    <row r="1402">
      <c r="A1402" s="1" t="n">
        <v>44036</v>
      </c>
      <c r="B1402" s="3">
        <f>IF(ISNUMBER(AVERAGE('20250815_ETF_Options_Exhibits'!B1398:B1402)),AVERAGE('20250815_ETF_Options_Exhibits'!B1398:B1402),"")</f>
        <v/>
      </c>
      <c r="C1402" s="3">
        <f>IF(ISNUMBER(AVERAGE('20250815_ETF_Options_Exhibits'!C1398:C1402)),AVERAGE('20250815_ETF_Options_Exhibits'!C1398:C1402),"")</f>
        <v/>
      </c>
      <c r="D1402" s="3">
        <f>IF(ISNUMBER(AVERAGE('20250815_ETF_Options_Exhibits'!D1398:D1402)),AVERAGE('20250815_ETF_Options_Exhibits'!D1398:D1402),"")</f>
        <v/>
      </c>
      <c r="E1402" s="3">
        <f>IF(ISNUMBER(AVERAGE('20250815_ETF_Options_Exhibits'!E1398:E1402)),AVERAGE('20250815_ETF_Options_Exhibits'!E1398:E1402),"")</f>
        <v/>
      </c>
      <c r="F1402" s="3">
        <f>IF(ISNUMBER(AVERAGE('20250815_ETF_Options_Exhibits'!F1398:F1402)),AVERAGE('20250815_ETF_Options_Exhibits'!F1398:F1402),"")</f>
        <v/>
      </c>
      <c r="G1402" s="3">
        <f>IF(ISNUMBER(AVERAGE('20250815_ETF_Options_Exhibits'!G1398:G1402)),AVERAGE('20250815_ETF_Options_Exhibits'!G1398:G1402),"")</f>
        <v/>
      </c>
      <c r="H1402" s="3">
        <f>IF(ISNUMBER(AVERAGE('20250815_ETF_Options_Exhibits'!H1398:H1402)),AVERAGE('20250815_ETF_Options_Exhibits'!H1398:H1402),"")</f>
        <v/>
      </c>
      <c r="I1402" s="3">
        <f>IF(ISNUMBER(AVERAGE('20250815_ETF_Options_Exhibits'!I1398:I1402)),AVERAGE('20250815_ETF_Options_Exhibits'!I1398:I1402),"")</f>
        <v/>
      </c>
      <c r="J1402" s="3">
        <f>IF(ISNUMBER(AVERAGE('20250815_ETF_Options_Exhibits'!J1398:J1402)),AVERAGE('20250815_ETF_Options_Exhibits'!J1398:J1402),"")</f>
        <v/>
      </c>
      <c r="K1402" s="3">
        <f>IF(ISNUMBER(AVERAGE('20250815_ETF_Options_Exhibits'!K1398:K1402)),AVERAGE('20250815_ETF_Options_Exhibits'!K1398:K1402),"")</f>
        <v/>
      </c>
      <c r="L1402" s="3">
        <f>IF(ISNUMBER(AVERAGE('20250815_ETF_Options_Exhibits'!L1398:L1402)),AVERAGE('20250815_ETF_Options_Exhibits'!L1398:L1402),"")</f>
        <v/>
      </c>
      <c r="M1402" s="3">
        <f>IF(ISNUMBER(AVERAGE('20250815_ETF_Options_Exhibits'!M1398:M1402)),AVERAGE('20250815_ETF_Options_Exhibits'!M1398:M1402),"")</f>
        <v/>
      </c>
      <c r="N1402" s="3">
        <f>IF(ISNUMBER(AVERAGE('20250815_ETF_Options_Exhibits'!N1398:N1402)),AVERAGE('20250815_ETF_Options_Exhibits'!N1398:N1402),"")</f>
        <v/>
      </c>
      <c r="O1402" s="3">
        <f>IF(ISNUMBER(AVERAGE('20250815_ETF_Options_Exhibits'!O1398:O1402)),AVERAGE('20250815_ETF_Options_Exhibits'!O1398:O1402),"")</f>
        <v/>
      </c>
      <c r="P1402" s="3">
        <f>IF(ISNUMBER(AVERAGE('20250815_ETF_Options_Exhibits'!P1398:P1402)),AVERAGE('20250815_ETF_Options_Exhibits'!P1398:P1402),"")</f>
        <v/>
      </c>
      <c r="Q1402" s="3">
        <f>IF(ISNUMBER(AVERAGE('20250815_ETF_Options_Exhibits'!Q1398:Q1402)),AVERAGE('20250815_ETF_Options_Exhibits'!Q1398:Q1402),"")</f>
        <v/>
      </c>
      <c r="R1402" s="3">
        <f>IF(ISNUMBER(AVERAGE('20250815_ETF_Options_Exhibits'!R1398:R1402)),AVERAGE('20250815_ETF_Options_Exhibits'!R1398:R1402),"")</f>
        <v/>
      </c>
      <c r="S1402" s="3">
        <f>IF(ISNUMBER(AVERAGE('20250815_ETF_Options_Exhibits'!S1398:S1402)),AVERAGE('20250815_ETF_Options_Exhibits'!S1398:S1402),"")</f>
        <v/>
      </c>
      <c r="T1402" s="3">
        <f>IF(ISNUMBER(AVERAGE('20250815_ETF_Options_Exhibits'!T1398:T1402)),AVERAGE('20250815_ETF_Options_Exhibits'!T1398:T1402),"")</f>
        <v/>
      </c>
      <c r="U1402" s="3">
        <f>IF(ISNUMBER(AVERAGE('20250815_ETF_Options_Exhibits'!U1398:U1402)),AVERAGE('20250815_ETF_Options_Exhibits'!U1398:U1402),"")</f>
        <v/>
      </c>
      <c r="V1402" s="3">
        <f>IF(ISNUMBER(AVERAGE('20250815_ETF_Options_Exhibits'!V1398:V1402)),AVERAGE('20250815_ETF_Options_Exhibits'!V1398:V1402),"")</f>
        <v/>
      </c>
      <c r="W1402" s="3">
        <f>IF(ISNUMBER(AVERAGE('20250815_ETF_Options_Exhibits'!W1398:W1402)),AVERAGE('20250815_ETF_Options_Exhibits'!W1398:W1402),"")</f>
        <v/>
      </c>
      <c r="X1402" s="3">
        <f>IF(ISNUMBER(AVERAGE('20250815_ETF_Options_Exhibits'!X1398:X1402)),AVERAGE('20250815_ETF_Options_Exhibits'!X1398:X1402),"")</f>
        <v/>
      </c>
      <c r="Y1402" s="3">
        <f>IF(ISNUMBER(AVERAGE('20250815_ETF_Options_Exhibits'!Y1398:Y1402)),AVERAGE('20250815_ETF_Options_Exhibits'!Y1398:Y1402),"")</f>
        <v/>
      </c>
      <c r="Z1402" s="3">
        <f>IF(ISNUMBER(AVERAGE('20250815_ETF_Options_Exhibits'!Z1398:Z1402)),AVERAGE('20250815_ETF_Options_Exhibits'!Z1398:Z1402),"")</f>
        <v/>
      </c>
      <c r="AA1402" s="3">
        <f>IF(ISNUMBER(AVERAGE('20250815_ETF_Options_Exhibits'!AA1398:AA1402)),AVERAGE('20250815_ETF_Options_Exhibits'!AA1398:AA1402),"")</f>
        <v/>
      </c>
    </row>
    <row r="1403">
      <c r="A1403" s="1" t="n">
        <v>44039</v>
      </c>
      <c r="B1403" s="3">
        <f>IF(ISNUMBER(AVERAGE('20250815_ETF_Options_Exhibits'!B1399:B1403)),AVERAGE('20250815_ETF_Options_Exhibits'!B1399:B1403),"")</f>
        <v/>
      </c>
      <c r="C1403" s="3">
        <f>IF(ISNUMBER(AVERAGE('20250815_ETF_Options_Exhibits'!C1399:C1403)),AVERAGE('20250815_ETF_Options_Exhibits'!C1399:C1403),"")</f>
        <v/>
      </c>
      <c r="D1403" s="3">
        <f>IF(ISNUMBER(AVERAGE('20250815_ETF_Options_Exhibits'!D1399:D1403)),AVERAGE('20250815_ETF_Options_Exhibits'!D1399:D1403),"")</f>
        <v/>
      </c>
      <c r="E1403" s="3">
        <f>IF(ISNUMBER(AVERAGE('20250815_ETF_Options_Exhibits'!E1399:E1403)),AVERAGE('20250815_ETF_Options_Exhibits'!E1399:E1403),"")</f>
        <v/>
      </c>
      <c r="F1403" s="3">
        <f>IF(ISNUMBER(AVERAGE('20250815_ETF_Options_Exhibits'!F1399:F1403)),AVERAGE('20250815_ETF_Options_Exhibits'!F1399:F1403),"")</f>
        <v/>
      </c>
      <c r="G1403" s="3">
        <f>IF(ISNUMBER(AVERAGE('20250815_ETF_Options_Exhibits'!G1399:G1403)),AVERAGE('20250815_ETF_Options_Exhibits'!G1399:G1403),"")</f>
        <v/>
      </c>
      <c r="H1403" s="3">
        <f>IF(ISNUMBER(AVERAGE('20250815_ETF_Options_Exhibits'!H1399:H1403)),AVERAGE('20250815_ETF_Options_Exhibits'!H1399:H1403),"")</f>
        <v/>
      </c>
      <c r="I1403" s="3">
        <f>IF(ISNUMBER(AVERAGE('20250815_ETF_Options_Exhibits'!I1399:I1403)),AVERAGE('20250815_ETF_Options_Exhibits'!I1399:I1403),"")</f>
        <v/>
      </c>
      <c r="J1403" s="3">
        <f>IF(ISNUMBER(AVERAGE('20250815_ETF_Options_Exhibits'!J1399:J1403)),AVERAGE('20250815_ETF_Options_Exhibits'!J1399:J1403),"")</f>
        <v/>
      </c>
      <c r="K1403" s="3">
        <f>IF(ISNUMBER(AVERAGE('20250815_ETF_Options_Exhibits'!K1399:K1403)),AVERAGE('20250815_ETF_Options_Exhibits'!K1399:K1403),"")</f>
        <v/>
      </c>
      <c r="L1403" s="3">
        <f>IF(ISNUMBER(AVERAGE('20250815_ETF_Options_Exhibits'!L1399:L1403)),AVERAGE('20250815_ETF_Options_Exhibits'!L1399:L1403),"")</f>
        <v/>
      </c>
      <c r="M1403" s="3">
        <f>IF(ISNUMBER(AVERAGE('20250815_ETF_Options_Exhibits'!M1399:M1403)),AVERAGE('20250815_ETF_Options_Exhibits'!M1399:M1403),"")</f>
        <v/>
      </c>
      <c r="N1403" s="3">
        <f>IF(ISNUMBER(AVERAGE('20250815_ETF_Options_Exhibits'!N1399:N1403)),AVERAGE('20250815_ETF_Options_Exhibits'!N1399:N1403),"")</f>
        <v/>
      </c>
      <c r="O1403" s="3">
        <f>IF(ISNUMBER(AVERAGE('20250815_ETF_Options_Exhibits'!O1399:O1403)),AVERAGE('20250815_ETF_Options_Exhibits'!O1399:O1403),"")</f>
        <v/>
      </c>
      <c r="P1403" s="3">
        <f>IF(ISNUMBER(AVERAGE('20250815_ETF_Options_Exhibits'!P1399:P1403)),AVERAGE('20250815_ETF_Options_Exhibits'!P1399:P1403),"")</f>
        <v/>
      </c>
      <c r="Q1403" s="3">
        <f>IF(ISNUMBER(AVERAGE('20250815_ETF_Options_Exhibits'!Q1399:Q1403)),AVERAGE('20250815_ETF_Options_Exhibits'!Q1399:Q1403),"")</f>
        <v/>
      </c>
      <c r="R1403" s="3">
        <f>IF(ISNUMBER(AVERAGE('20250815_ETF_Options_Exhibits'!R1399:R1403)),AVERAGE('20250815_ETF_Options_Exhibits'!R1399:R1403),"")</f>
        <v/>
      </c>
      <c r="S1403" s="3">
        <f>IF(ISNUMBER(AVERAGE('20250815_ETF_Options_Exhibits'!S1399:S1403)),AVERAGE('20250815_ETF_Options_Exhibits'!S1399:S1403),"")</f>
        <v/>
      </c>
      <c r="T1403" s="3">
        <f>IF(ISNUMBER(AVERAGE('20250815_ETF_Options_Exhibits'!T1399:T1403)),AVERAGE('20250815_ETF_Options_Exhibits'!T1399:T1403),"")</f>
        <v/>
      </c>
      <c r="U1403" s="3">
        <f>IF(ISNUMBER(AVERAGE('20250815_ETF_Options_Exhibits'!U1399:U1403)),AVERAGE('20250815_ETF_Options_Exhibits'!U1399:U1403),"")</f>
        <v/>
      </c>
      <c r="V1403" s="3">
        <f>IF(ISNUMBER(AVERAGE('20250815_ETF_Options_Exhibits'!V1399:V1403)),AVERAGE('20250815_ETF_Options_Exhibits'!V1399:V1403),"")</f>
        <v/>
      </c>
      <c r="W1403" s="3">
        <f>IF(ISNUMBER(AVERAGE('20250815_ETF_Options_Exhibits'!W1399:W1403)),AVERAGE('20250815_ETF_Options_Exhibits'!W1399:W1403),"")</f>
        <v/>
      </c>
      <c r="X1403" s="3">
        <f>IF(ISNUMBER(AVERAGE('20250815_ETF_Options_Exhibits'!X1399:X1403)),AVERAGE('20250815_ETF_Options_Exhibits'!X1399:X1403),"")</f>
        <v/>
      </c>
      <c r="Y1403" s="3">
        <f>IF(ISNUMBER(AVERAGE('20250815_ETF_Options_Exhibits'!Y1399:Y1403)),AVERAGE('20250815_ETF_Options_Exhibits'!Y1399:Y1403),"")</f>
        <v/>
      </c>
      <c r="Z1403" s="3">
        <f>IF(ISNUMBER(AVERAGE('20250815_ETF_Options_Exhibits'!Z1399:Z1403)),AVERAGE('20250815_ETF_Options_Exhibits'!Z1399:Z1403),"")</f>
        <v/>
      </c>
      <c r="AA1403" s="3">
        <f>IF(ISNUMBER(AVERAGE('20250815_ETF_Options_Exhibits'!AA1399:AA1403)),AVERAGE('20250815_ETF_Options_Exhibits'!AA1399:AA1403),"")</f>
        <v/>
      </c>
    </row>
    <row r="1404">
      <c r="A1404" s="1" t="n">
        <v>44040</v>
      </c>
      <c r="B1404" s="3">
        <f>IF(ISNUMBER(AVERAGE('20250815_ETF_Options_Exhibits'!B1400:B1404)),AVERAGE('20250815_ETF_Options_Exhibits'!B1400:B1404),"")</f>
        <v/>
      </c>
      <c r="C1404" s="3">
        <f>IF(ISNUMBER(AVERAGE('20250815_ETF_Options_Exhibits'!C1400:C1404)),AVERAGE('20250815_ETF_Options_Exhibits'!C1400:C1404),"")</f>
        <v/>
      </c>
      <c r="D1404" s="3">
        <f>IF(ISNUMBER(AVERAGE('20250815_ETF_Options_Exhibits'!D1400:D1404)),AVERAGE('20250815_ETF_Options_Exhibits'!D1400:D1404),"")</f>
        <v/>
      </c>
      <c r="E1404" s="3">
        <f>IF(ISNUMBER(AVERAGE('20250815_ETF_Options_Exhibits'!E1400:E1404)),AVERAGE('20250815_ETF_Options_Exhibits'!E1400:E1404),"")</f>
        <v/>
      </c>
      <c r="F1404" s="3">
        <f>IF(ISNUMBER(AVERAGE('20250815_ETF_Options_Exhibits'!F1400:F1404)),AVERAGE('20250815_ETF_Options_Exhibits'!F1400:F1404),"")</f>
        <v/>
      </c>
      <c r="G1404" s="3">
        <f>IF(ISNUMBER(AVERAGE('20250815_ETF_Options_Exhibits'!G1400:G1404)),AVERAGE('20250815_ETF_Options_Exhibits'!G1400:G1404),"")</f>
        <v/>
      </c>
      <c r="H1404" s="3">
        <f>IF(ISNUMBER(AVERAGE('20250815_ETF_Options_Exhibits'!H1400:H1404)),AVERAGE('20250815_ETF_Options_Exhibits'!H1400:H1404),"")</f>
        <v/>
      </c>
      <c r="I1404" s="3">
        <f>IF(ISNUMBER(AVERAGE('20250815_ETF_Options_Exhibits'!I1400:I1404)),AVERAGE('20250815_ETF_Options_Exhibits'!I1400:I1404),"")</f>
        <v/>
      </c>
      <c r="J1404" s="3">
        <f>IF(ISNUMBER(AVERAGE('20250815_ETF_Options_Exhibits'!J1400:J1404)),AVERAGE('20250815_ETF_Options_Exhibits'!J1400:J1404),"")</f>
        <v/>
      </c>
      <c r="K1404" s="3">
        <f>IF(ISNUMBER(AVERAGE('20250815_ETF_Options_Exhibits'!K1400:K1404)),AVERAGE('20250815_ETF_Options_Exhibits'!K1400:K1404),"")</f>
        <v/>
      </c>
      <c r="L1404" s="3">
        <f>IF(ISNUMBER(AVERAGE('20250815_ETF_Options_Exhibits'!L1400:L1404)),AVERAGE('20250815_ETF_Options_Exhibits'!L1400:L1404),"")</f>
        <v/>
      </c>
      <c r="M1404" s="3">
        <f>IF(ISNUMBER(AVERAGE('20250815_ETF_Options_Exhibits'!M1400:M1404)),AVERAGE('20250815_ETF_Options_Exhibits'!M1400:M1404),"")</f>
        <v/>
      </c>
      <c r="N1404" s="3">
        <f>IF(ISNUMBER(AVERAGE('20250815_ETF_Options_Exhibits'!N1400:N1404)),AVERAGE('20250815_ETF_Options_Exhibits'!N1400:N1404),"")</f>
        <v/>
      </c>
      <c r="O1404" s="3">
        <f>IF(ISNUMBER(AVERAGE('20250815_ETF_Options_Exhibits'!O1400:O1404)),AVERAGE('20250815_ETF_Options_Exhibits'!O1400:O1404),"")</f>
        <v/>
      </c>
      <c r="P1404" s="3">
        <f>IF(ISNUMBER(AVERAGE('20250815_ETF_Options_Exhibits'!P1400:P1404)),AVERAGE('20250815_ETF_Options_Exhibits'!P1400:P1404),"")</f>
        <v/>
      </c>
      <c r="Q1404" s="3">
        <f>IF(ISNUMBER(AVERAGE('20250815_ETF_Options_Exhibits'!Q1400:Q1404)),AVERAGE('20250815_ETF_Options_Exhibits'!Q1400:Q1404),"")</f>
        <v/>
      </c>
      <c r="R1404" s="3">
        <f>IF(ISNUMBER(AVERAGE('20250815_ETF_Options_Exhibits'!R1400:R1404)),AVERAGE('20250815_ETF_Options_Exhibits'!R1400:R1404),"")</f>
        <v/>
      </c>
      <c r="S1404" s="3">
        <f>IF(ISNUMBER(AVERAGE('20250815_ETF_Options_Exhibits'!S1400:S1404)),AVERAGE('20250815_ETF_Options_Exhibits'!S1400:S1404),"")</f>
        <v/>
      </c>
      <c r="T1404" s="3">
        <f>IF(ISNUMBER(AVERAGE('20250815_ETF_Options_Exhibits'!T1400:T1404)),AVERAGE('20250815_ETF_Options_Exhibits'!T1400:T1404),"")</f>
        <v/>
      </c>
      <c r="U1404" s="3">
        <f>IF(ISNUMBER(AVERAGE('20250815_ETF_Options_Exhibits'!U1400:U1404)),AVERAGE('20250815_ETF_Options_Exhibits'!U1400:U1404),"")</f>
        <v/>
      </c>
      <c r="V1404" s="3">
        <f>IF(ISNUMBER(AVERAGE('20250815_ETF_Options_Exhibits'!V1400:V1404)),AVERAGE('20250815_ETF_Options_Exhibits'!V1400:V1404),"")</f>
        <v/>
      </c>
      <c r="W1404" s="3">
        <f>IF(ISNUMBER(AVERAGE('20250815_ETF_Options_Exhibits'!W1400:W1404)),AVERAGE('20250815_ETF_Options_Exhibits'!W1400:W1404),"")</f>
        <v/>
      </c>
      <c r="X1404" s="3">
        <f>IF(ISNUMBER(AVERAGE('20250815_ETF_Options_Exhibits'!X1400:X1404)),AVERAGE('20250815_ETF_Options_Exhibits'!X1400:X1404),"")</f>
        <v/>
      </c>
      <c r="Y1404" s="3">
        <f>IF(ISNUMBER(AVERAGE('20250815_ETF_Options_Exhibits'!Y1400:Y1404)),AVERAGE('20250815_ETF_Options_Exhibits'!Y1400:Y1404),"")</f>
        <v/>
      </c>
      <c r="Z1404" s="3">
        <f>IF(ISNUMBER(AVERAGE('20250815_ETF_Options_Exhibits'!Z1400:Z1404)),AVERAGE('20250815_ETF_Options_Exhibits'!Z1400:Z1404),"")</f>
        <v/>
      </c>
      <c r="AA1404" s="3">
        <f>IF(ISNUMBER(AVERAGE('20250815_ETF_Options_Exhibits'!AA1400:AA1404)),AVERAGE('20250815_ETF_Options_Exhibits'!AA1400:AA1404),"")</f>
        <v/>
      </c>
    </row>
    <row r="1405">
      <c r="A1405" s="1" t="n">
        <v>44041</v>
      </c>
      <c r="B1405" s="3">
        <f>IF(ISNUMBER(AVERAGE('20250815_ETF_Options_Exhibits'!B1401:B1405)),AVERAGE('20250815_ETF_Options_Exhibits'!B1401:B1405),"")</f>
        <v/>
      </c>
      <c r="C1405" s="3">
        <f>IF(ISNUMBER(AVERAGE('20250815_ETF_Options_Exhibits'!C1401:C1405)),AVERAGE('20250815_ETF_Options_Exhibits'!C1401:C1405),"")</f>
        <v/>
      </c>
      <c r="D1405" s="3">
        <f>IF(ISNUMBER(AVERAGE('20250815_ETF_Options_Exhibits'!D1401:D1405)),AVERAGE('20250815_ETF_Options_Exhibits'!D1401:D1405),"")</f>
        <v/>
      </c>
      <c r="E1405" s="3">
        <f>IF(ISNUMBER(AVERAGE('20250815_ETF_Options_Exhibits'!E1401:E1405)),AVERAGE('20250815_ETF_Options_Exhibits'!E1401:E1405),"")</f>
        <v/>
      </c>
      <c r="F1405" s="3">
        <f>IF(ISNUMBER(AVERAGE('20250815_ETF_Options_Exhibits'!F1401:F1405)),AVERAGE('20250815_ETF_Options_Exhibits'!F1401:F1405),"")</f>
        <v/>
      </c>
      <c r="G1405" s="3">
        <f>IF(ISNUMBER(AVERAGE('20250815_ETF_Options_Exhibits'!G1401:G1405)),AVERAGE('20250815_ETF_Options_Exhibits'!G1401:G1405),"")</f>
        <v/>
      </c>
      <c r="H1405" s="3">
        <f>IF(ISNUMBER(AVERAGE('20250815_ETF_Options_Exhibits'!H1401:H1405)),AVERAGE('20250815_ETF_Options_Exhibits'!H1401:H1405),"")</f>
        <v/>
      </c>
      <c r="I1405" s="3">
        <f>IF(ISNUMBER(AVERAGE('20250815_ETF_Options_Exhibits'!I1401:I1405)),AVERAGE('20250815_ETF_Options_Exhibits'!I1401:I1405),"")</f>
        <v/>
      </c>
      <c r="J1405" s="3">
        <f>IF(ISNUMBER(AVERAGE('20250815_ETF_Options_Exhibits'!J1401:J1405)),AVERAGE('20250815_ETF_Options_Exhibits'!J1401:J1405),"")</f>
        <v/>
      </c>
      <c r="K1405" s="3">
        <f>IF(ISNUMBER(AVERAGE('20250815_ETF_Options_Exhibits'!K1401:K1405)),AVERAGE('20250815_ETF_Options_Exhibits'!K1401:K1405),"")</f>
        <v/>
      </c>
      <c r="L1405" s="3">
        <f>IF(ISNUMBER(AVERAGE('20250815_ETF_Options_Exhibits'!L1401:L1405)),AVERAGE('20250815_ETF_Options_Exhibits'!L1401:L1405),"")</f>
        <v/>
      </c>
      <c r="M1405" s="3">
        <f>IF(ISNUMBER(AVERAGE('20250815_ETF_Options_Exhibits'!M1401:M1405)),AVERAGE('20250815_ETF_Options_Exhibits'!M1401:M1405),"")</f>
        <v/>
      </c>
      <c r="N1405" s="3">
        <f>IF(ISNUMBER(AVERAGE('20250815_ETF_Options_Exhibits'!N1401:N1405)),AVERAGE('20250815_ETF_Options_Exhibits'!N1401:N1405),"")</f>
        <v/>
      </c>
      <c r="O1405" s="3">
        <f>IF(ISNUMBER(AVERAGE('20250815_ETF_Options_Exhibits'!O1401:O1405)),AVERAGE('20250815_ETF_Options_Exhibits'!O1401:O1405),"")</f>
        <v/>
      </c>
      <c r="P1405" s="3">
        <f>IF(ISNUMBER(AVERAGE('20250815_ETF_Options_Exhibits'!P1401:P1405)),AVERAGE('20250815_ETF_Options_Exhibits'!P1401:P1405),"")</f>
        <v/>
      </c>
      <c r="Q1405" s="3">
        <f>IF(ISNUMBER(AVERAGE('20250815_ETF_Options_Exhibits'!Q1401:Q1405)),AVERAGE('20250815_ETF_Options_Exhibits'!Q1401:Q1405),"")</f>
        <v/>
      </c>
      <c r="R1405" s="3">
        <f>IF(ISNUMBER(AVERAGE('20250815_ETF_Options_Exhibits'!R1401:R1405)),AVERAGE('20250815_ETF_Options_Exhibits'!R1401:R1405),"")</f>
        <v/>
      </c>
      <c r="S1405" s="3">
        <f>IF(ISNUMBER(AVERAGE('20250815_ETF_Options_Exhibits'!S1401:S1405)),AVERAGE('20250815_ETF_Options_Exhibits'!S1401:S1405),"")</f>
        <v/>
      </c>
      <c r="T1405" s="3">
        <f>IF(ISNUMBER(AVERAGE('20250815_ETF_Options_Exhibits'!T1401:T1405)),AVERAGE('20250815_ETF_Options_Exhibits'!T1401:T1405),"")</f>
        <v/>
      </c>
      <c r="U1405" s="3">
        <f>IF(ISNUMBER(AVERAGE('20250815_ETF_Options_Exhibits'!U1401:U1405)),AVERAGE('20250815_ETF_Options_Exhibits'!U1401:U1405),"")</f>
        <v/>
      </c>
      <c r="V1405" s="3">
        <f>IF(ISNUMBER(AVERAGE('20250815_ETF_Options_Exhibits'!V1401:V1405)),AVERAGE('20250815_ETF_Options_Exhibits'!V1401:V1405),"")</f>
        <v/>
      </c>
      <c r="W1405" s="3">
        <f>IF(ISNUMBER(AVERAGE('20250815_ETF_Options_Exhibits'!W1401:W1405)),AVERAGE('20250815_ETF_Options_Exhibits'!W1401:W1405),"")</f>
        <v/>
      </c>
      <c r="X1405" s="3">
        <f>IF(ISNUMBER(AVERAGE('20250815_ETF_Options_Exhibits'!X1401:X1405)),AVERAGE('20250815_ETF_Options_Exhibits'!X1401:X1405),"")</f>
        <v/>
      </c>
      <c r="Y1405" s="3">
        <f>IF(ISNUMBER(AVERAGE('20250815_ETF_Options_Exhibits'!Y1401:Y1405)),AVERAGE('20250815_ETF_Options_Exhibits'!Y1401:Y1405),"")</f>
        <v/>
      </c>
      <c r="Z1405" s="3">
        <f>IF(ISNUMBER(AVERAGE('20250815_ETF_Options_Exhibits'!Z1401:Z1405)),AVERAGE('20250815_ETF_Options_Exhibits'!Z1401:Z1405),"")</f>
        <v/>
      </c>
      <c r="AA1405" s="3">
        <f>IF(ISNUMBER(AVERAGE('20250815_ETF_Options_Exhibits'!AA1401:AA1405)),AVERAGE('20250815_ETF_Options_Exhibits'!AA1401:AA1405),"")</f>
        <v/>
      </c>
    </row>
    <row r="1406">
      <c r="A1406" s="1" t="n">
        <v>44042</v>
      </c>
      <c r="B1406" s="3">
        <f>IF(ISNUMBER(AVERAGE('20250815_ETF_Options_Exhibits'!B1402:B1406)),AVERAGE('20250815_ETF_Options_Exhibits'!B1402:B1406),"")</f>
        <v/>
      </c>
      <c r="C1406" s="3">
        <f>IF(ISNUMBER(AVERAGE('20250815_ETF_Options_Exhibits'!C1402:C1406)),AVERAGE('20250815_ETF_Options_Exhibits'!C1402:C1406),"")</f>
        <v/>
      </c>
      <c r="D1406" s="3">
        <f>IF(ISNUMBER(AVERAGE('20250815_ETF_Options_Exhibits'!D1402:D1406)),AVERAGE('20250815_ETF_Options_Exhibits'!D1402:D1406),"")</f>
        <v/>
      </c>
      <c r="E1406" s="3">
        <f>IF(ISNUMBER(AVERAGE('20250815_ETF_Options_Exhibits'!E1402:E1406)),AVERAGE('20250815_ETF_Options_Exhibits'!E1402:E1406),"")</f>
        <v/>
      </c>
      <c r="F1406" s="3">
        <f>IF(ISNUMBER(AVERAGE('20250815_ETF_Options_Exhibits'!F1402:F1406)),AVERAGE('20250815_ETF_Options_Exhibits'!F1402:F1406),"")</f>
        <v/>
      </c>
      <c r="G1406" s="3">
        <f>IF(ISNUMBER(AVERAGE('20250815_ETF_Options_Exhibits'!G1402:G1406)),AVERAGE('20250815_ETF_Options_Exhibits'!G1402:G1406),"")</f>
        <v/>
      </c>
      <c r="H1406" s="3">
        <f>IF(ISNUMBER(AVERAGE('20250815_ETF_Options_Exhibits'!H1402:H1406)),AVERAGE('20250815_ETF_Options_Exhibits'!H1402:H1406),"")</f>
        <v/>
      </c>
      <c r="I1406" s="3">
        <f>IF(ISNUMBER(AVERAGE('20250815_ETF_Options_Exhibits'!I1402:I1406)),AVERAGE('20250815_ETF_Options_Exhibits'!I1402:I1406),"")</f>
        <v/>
      </c>
      <c r="J1406" s="3">
        <f>IF(ISNUMBER(AVERAGE('20250815_ETF_Options_Exhibits'!J1402:J1406)),AVERAGE('20250815_ETF_Options_Exhibits'!J1402:J1406),"")</f>
        <v/>
      </c>
      <c r="K1406" s="3">
        <f>IF(ISNUMBER(AVERAGE('20250815_ETF_Options_Exhibits'!K1402:K1406)),AVERAGE('20250815_ETF_Options_Exhibits'!K1402:K1406),"")</f>
        <v/>
      </c>
      <c r="L1406" s="3">
        <f>IF(ISNUMBER(AVERAGE('20250815_ETF_Options_Exhibits'!L1402:L1406)),AVERAGE('20250815_ETF_Options_Exhibits'!L1402:L1406),"")</f>
        <v/>
      </c>
      <c r="M1406" s="3">
        <f>IF(ISNUMBER(AVERAGE('20250815_ETF_Options_Exhibits'!M1402:M1406)),AVERAGE('20250815_ETF_Options_Exhibits'!M1402:M1406),"")</f>
        <v/>
      </c>
      <c r="N1406" s="3">
        <f>IF(ISNUMBER(AVERAGE('20250815_ETF_Options_Exhibits'!N1402:N1406)),AVERAGE('20250815_ETF_Options_Exhibits'!N1402:N1406),"")</f>
        <v/>
      </c>
      <c r="O1406" s="3">
        <f>IF(ISNUMBER(AVERAGE('20250815_ETF_Options_Exhibits'!O1402:O1406)),AVERAGE('20250815_ETF_Options_Exhibits'!O1402:O1406),"")</f>
        <v/>
      </c>
      <c r="P1406" s="3">
        <f>IF(ISNUMBER(AVERAGE('20250815_ETF_Options_Exhibits'!P1402:P1406)),AVERAGE('20250815_ETF_Options_Exhibits'!P1402:P1406),"")</f>
        <v/>
      </c>
      <c r="Q1406" s="3">
        <f>IF(ISNUMBER(AVERAGE('20250815_ETF_Options_Exhibits'!Q1402:Q1406)),AVERAGE('20250815_ETF_Options_Exhibits'!Q1402:Q1406),"")</f>
        <v/>
      </c>
      <c r="R1406" s="3">
        <f>IF(ISNUMBER(AVERAGE('20250815_ETF_Options_Exhibits'!R1402:R1406)),AVERAGE('20250815_ETF_Options_Exhibits'!R1402:R1406),"")</f>
        <v/>
      </c>
      <c r="S1406" s="3">
        <f>IF(ISNUMBER(AVERAGE('20250815_ETF_Options_Exhibits'!S1402:S1406)),AVERAGE('20250815_ETF_Options_Exhibits'!S1402:S1406),"")</f>
        <v/>
      </c>
      <c r="T1406" s="3">
        <f>IF(ISNUMBER(AVERAGE('20250815_ETF_Options_Exhibits'!T1402:T1406)),AVERAGE('20250815_ETF_Options_Exhibits'!T1402:T1406),"")</f>
        <v/>
      </c>
      <c r="U1406" s="3">
        <f>IF(ISNUMBER(AVERAGE('20250815_ETF_Options_Exhibits'!U1402:U1406)),AVERAGE('20250815_ETF_Options_Exhibits'!U1402:U1406),"")</f>
        <v/>
      </c>
      <c r="V1406" s="3">
        <f>IF(ISNUMBER(AVERAGE('20250815_ETF_Options_Exhibits'!V1402:V1406)),AVERAGE('20250815_ETF_Options_Exhibits'!V1402:V1406),"")</f>
        <v/>
      </c>
      <c r="W1406" s="3">
        <f>IF(ISNUMBER(AVERAGE('20250815_ETF_Options_Exhibits'!W1402:W1406)),AVERAGE('20250815_ETF_Options_Exhibits'!W1402:W1406),"")</f>
        <v/>
      </c>
      <c r="X1406" s="3">
        <f>IF(ISNUMBER(AVERAGE('20250815_ETF_Options_Exhibits'!X1402:X1406)),AVERAGE('20250815_ETF_Options_Exhibits'!X1402:X1406),"")</f>
        <v/>
      </c>
      <c r="Y1406" s="3">
        <f>IF(ISNUMBER(AVERAGE('20250815_ETF_Options_Exhibits'!Y1402:Y1406)),AVERAGE('20250815_ETF_Options_Exhibits'!Y1402:Y1406),"")</f>
        <v/>
      </c>
      <c r="Z1406" s="3">
        <f>IF(ISNUMBER(AVERAGE('20250815_ETF_Options_Exhibits'!Z1402:Z1406)),AVERAGE('20250815_ETF_Options_Exhibits'!Z1402:Z1406),"")</f>
        <v/>
      </c>
      <c r="AA1406" s="3">
        <f>IF(ISNUMBER(AVERAGE('20250815_ETF_Options_Exhibits'!AA1402:AA1406)),AVERAGE('20250815_ETF_Options_Exhibits'!AA1402:AA1406),"")</f>
        <v/>
      </c>
    </row>
    <row r="1407">
      <c r="A1407" s="1" t="n">
        <v>44043</v>
      </c>
      <c r="B1407" s="3">
        <f>IF(ISNUMBER(AVERAGE('20250815_ETF_Options_Exhibits'!B1403:B1407)),AVERAGE('20250815_ETF_Options_Exhibits'!B1403:B1407),"")</f>
        <v/>
      </c>
      <c r="C1407" s="3">
        <f>IF(ISNUMBER(AVERAGE('20250815_ETF_Options_Exhibits'!C1403:C1407)),AVERAGE('20250815_ETF_Options_Exhibits'!C1403:C1407),"")</f>
        <v/>
      </c>
      <c r="D1407" s="3">
        <f>IF(ISNUMBER(AVERAGE('20250815_ETF_Options_Exhibits'!D1403:D1407)),AVERAGE('20250815_ETF_Options_Exhibits'!D1403:D1407),"")</f>
        <v/>
      </c>
      <c r="E1407" s="3">
        <f>IF(ISNUMBER(AVERAGE('20250815_ETF_Options_Exhibits'!E1403:E1407)),AVERAGE('20250815_ETF_Options_Exhibits'!E1403:E1407),"")</f>
        <v/>
      </c>
      <c r="F1407" s="3">
        <f>IF(ISNUMBER(AVERAGE('20250815_ETF_Options_Exhibits'!F1403:F1407)),AVERAGE('20250815_ETF_Options_Exhibits'!F1403:F1407),"")</f>
        <v/>
      </c>
      <c r="G1407" s="3">
        <f>IF(ISNUMBER(AVERAGE('20250815_ETF_Options_Exhibits'!G1403:G1407)),AVERAGE('20250815_ETF_Options_Exhibits'!G1403:G1407),"")</f>
        <v/>
      </c>
      <c r="H1407" s="3">
        <f>IF(ISNUMBER(AVERAGE('20250815_ETF_Options_Exhibits'!H1403:H1407)),AVERAGE('20250815_ETF_Options_Exhibits'!H1403:H1407),"")</f>
        <v/>
      </c>
      <c r="I1407" s="3">
        <f>IF(ISNUMBER(AVERAGE('20250815_ETF_Options_Exhibits'!I1403:I1407)),AVERAGE('20250815_ETF_Options_Exhibits'!I1403:I1407),"")</f>
        <v/>
      </c>
      <c r="J1407" s="3">
        <f>IF(ISNUMBER(AVERAGE('20250815_ETF_Options_Exhibits'!J1403:J1407)),AVERAGE('20250815_ETF_Options_Exhibits'!J1403:J1407),"")</f>
        <v/>
      </c>
      <c r="K1407" s="3">
        <f>IF(ISNUMBER(AVERAGE('20250815_ETF_Options_Exhibits'!K1403:K1407)),AVERAGE('20250815_ETF_Options_Exhibits'!K1403:K1407),"")</f>
        <v/>
      </c>
      <c r="L1407" s="3">
        <f>IF(ISNUMBER(AVERAGE('20250815_ETF_Options_Exhibits'!L1403:L1407)),AVERAGE('20250815_ETF_Options_Exhibits'!L1403:L1407),"")</f>
        <v/>
      </c>
      <c r="M1407" s="3">
        <f>IF(ISNUMBER(AVERAGE('20250815_ETF_Options_Exhibits'!M1403:M1407)),AVERAGE('20250815_ETF_Options_Exhibits'!M1403:M1407),"")</f>
        <v/>
      </c>
      <c r="N1407" s="3">
        <f>IF(ISNUMBER(AVERAGE('20250815_ETF_Options_Exhibits'!N1403:N1407)),AVERAGE('20250815_ETF_Options_Exhibits'!N1403:N1407),"")</f>
        <v/>
      </c>
      <c r="O1407" s="3">
        <f>IF(ISNUMBER(AVERAGE('20250815_ETF_Options_Exhibits'!O1403:O1407)),AVERAGE('20250815_ETF_Options_Exhibits'!O1403:O1407),"")</f>
        <v/>
      </c>
      <c r="P1407" s="3">
        <f>IF(ISNUMBER(AVERAGE('20250815_ETF_Options_Exhibits'!P1403:P1407)),AVERAGE('20250815_ETF_Options_Exhibits'!P1403:P1407),"")</f>
        <v/>
      </c>
      <c r="Q1407" s="3">
        <f>IF(ISNUMBER(AVERAGE('20250815_ETF_Options_Exhibits'!Q1403:Q1407)),AVERAGE('20250815_ETF_Options_Exhibits'!Q1403:Q1407),"")</f>
        <v/>
      </c>
      <c r="R1407" s="3">
        <f>IF(ISNUMBER(AVERAGE('20250815_ETF_Options_Exhibits'!R1403:R1407)),AVERAGE('20250815_ETF_Options_Exhibits'!R1403:R1407),"")</f>
        <v/>
      </c>
      <c r="S1407" s="3">
        <f>IF(ISNUMBER(AVERAGE('20250815_ETF_Options_Exhibits'!S1403:S1407)),AVERAGE('20250815_ETF_Options_Exhibits'!S1403:S1407),"")</f>
        <v/>
      </c>
      <c r="T1407" s="3">
        <f>IF(ISNUMBER(AVERAGE('20250815_ETF_Options_Exhibits'!T1403:T1407)),AVERAGE('20250815_ETF_Options_Exhibits'!T1403:T1407),"")</f>
        <v/>
      </c>
      <c r="U1407" s="3">
        <f>IF(ISNUMBER(AVERAGE('20250815_ETF_Options_Exhibits'!U1403:U1407)),AVERAGE('20250815_ETF_Options_Exhibits'!U1403:U1407),"")</f>
        <v/>
      </c>
      <c r="V1407" s="3">
        <f>IF(ISNUMBER(AVERAGE('20250815_ETF_Options_Exhibits'!V1403:V1407)),AVERAGE('20250815_ETF_Options_Exhibits'!V1403:V1407),"")</f>
        <v/>
      </c>
      <c r="W1407" s="3">
        <f>IF(ISNUMBER(AVERAGE('20250815_ETF_Options_Exhibits'!W1403:W1407)),AVERAGE('20250815_ETF_Options_Exhibits'!W1403:W1407),"")</f>
        <v/>
      </c>
      <c r="X1407" s="3">
        <f>IF(ISNUMBER(AVERAGE('20250815_ETF_Options_Exhibits'!X1403:X1407)),AVERAGE('20250815_ETF_Options_Exhibits'!X1403:X1407),"")</f>
        <v/>
      </c>
      <c r="Y1407" s="3">
        <f>IF(ISNUMBER(AVERAGE('20250815_ETF_Options_Exhibits'!Y1403:Y1407)),AVERAGE('20250815_ETF_Options_Exhibits'!Y1403:Y1407),"")</f>
        <v/>
      </c>
      <c r="Z1407" s="3">
        <f>IF(ISNUMBER(AVERAGE('20250815_ETF_Options_Exhibits'!Z1403:Z1407)),AVERAGE('20250815_ETF_Options_Exhibits'!Z1403:Z1407),"")</f>
        <v/>
      </c>
      <c r="AA1407" s="3">
        <f>IF(ISNUMBER(AVERAGE('20250815_ETF_Options_Exhibits'!AA1403:AA1407)),AVERAGE('20250815_ETF_Options_Exhibits'!AA1403:AA1407),"")</f>
        <v/>
      </c>
    </row>
    <row r="1408">
      <c r="A1408" s="1" t="n">
        <v>44046</v>
      </c>
      <c r="B1408" s="3">
        <f>IF(ISNUMBER(AVERAGE('20250815_ETF_Options_Exhibits'!B1404:B1408)),AVERAGE('20250815_ETF_Options_Exhibits'!B1404:B1408),"")</f>
        <v/>
      </c>
      <c r="C1408" s="3">
        <f>IF(ISNUMBER(AVERAGE('20250815_ETF_Options_Exhibits'!C1404:C1408)),AVERAGE('20250815_ETF_Options_Exhibits'!C1404:C1408),"")</f>
        <v/>
      </c>
      <c r="D1408" s="3">
        <f>IF(ISNUMBER(AVERAGE('20250815_ETF_Options_Exhibits'!D1404:D1408)),AVERAGE('20250815_ETF_Options_Exhibits'!D1404:D1408),"")</f>
        <v/>
      </c>
      <c r="E1408" s="3">
        <f>IF(ISNUMBER(AVERAGE('20250815_ETF_Options_Exhibits'!E1404:E1408)),AVERAGE('20250815_ETF_Options_Exhibits'!E1404:E1408),"")</f>
        <v/>
      </c>
      <c r="F1408" s="3">
        <f>IF(ISNUMBER(AVERAGE('20250815_ETF_Options_Exhibits'!F1404:F1408)),AVERAGE('20250815_ETF_Options_Exhibits'!F1404:F1408),"")</f>
        <v/>
      </c>
      <c r="G1408" s="3">
        <f>IF(ISNUMBER(AVERAGE('20250815_ETF_Options_Exhibits'!G1404:G1408)),AVERAGE('20250815_ETF_Options_Exhibits'!G1404:G1408),"")</f>
        <v/>
      </c>
      <c r="H1408" s="3">
        <f>IF(ISNUMBER(AVERAGE('20250815_ETF_Options_Exhibits'!H1404:H1408)),AVERAGE('20250815_ETF_Options_Exhibits'!H1404:H1408),"")</f>
        <v/>
      </c>
      <c r="I1408" s="3">
        <f>IF(ISNUMBER(AVERAGE('20250815_ETF_Options_Exhibits'!I1404:I1408)),AVERAGE('20250815_ETF_Options_Exhibits'!I1404:I1408),"")</f>
        <v/>
      </c>
      <c r="J1408" s="3">
        <f>IF(ISNUMBER(AVERAGE('20250815_ETF_Options_Exhibits'!J1404:J1408)),AVERAGE('20250815_ETF_Options_Exhibits'!J1404:J1408),"")</f>
        <v/>
      </c>
      <c r="K1408" s="3">
        <f>IF(ISNUMBER(AVERAGE('20250815_ETF_Options_Exhibits'!K1404:K1408)),AVERAGE('20250815_ETF_Options_Exhibits'!K1404:K1408),"")</f>
        <v/>
      </c>
      <c r="L1408" s="3">
        <f>IF(ISNUMBER(AVERAGE('20250815_ETF_Options_Exhibits'!L1404:L1408)),AVERAGE('20250815_ETF_Options_Exhibits'!L1404:L1408),"")</f>
        <v/>
      </c>
      <c r="M1408" s="3">
        <f>IF(ISNUMBER(AVERAGE('20250815_ETF_Options_Exhibits'!M1404:M1408)),AVERAGE('20250815_ETF_Options_Exhibits'!M1404:M1408),"")</f>
        <v/>
      </c>
      <c r="N1408" s="3">
        <f>IF(ISNUMBER(AVERAGE('20250815_ETF_Options_Exhibits'!N1404:N1408)),AVERAGE('20250815_ETF_Options_Exhibits'!N1404:N1408),"")</f>
        <v/>
      </c>
      <c r="O1408" s="3">
        <f>IF(ISNUMBER(AVERAGE('20250815_ETF_Options_Exhibits'!O1404:O1408)),AVERAGE('20250815_ETF_Options_Exhibits'!O1404:O1408),"")</f>
        <v/>
      </c>
      <c r="P1408" s="3">
        <f>IF(ISNUMBER(AVERAGE('20250815_ETF_Options_Exhibits'!P1404:P1408)),AVERAGE('20250815_ETF_Options_Exhibits'!P1404:P1408),"")</f>
        <v/>
      </c>
      <c r="Q1408" s="3">
        <f>IF(ISNUMBER(AVERAGE('20250815_ETF_Options_Exhibits'!Q1404:Q1408)),AVERAGE('20250815_ETF_Options_Exhibits'!Q1404:Q1408),"")</f>
        <v/>
      </c>
      <c r="R1408" s="3">
        <f>IF(ISNUMBER(AVERAGE('20250815_ETF_Options_Exhibits'!R1404:R1408)),AVERAGE('20250815_ETF_Options_Exhibits'!R1404:R1408),"")</f>
        <v/>
      </c>
      <c r="S1408" s="3">
        <f>IF(ISNUMBER(AVERAGE('20250815_ETF_Options_Exhibits'!S1404:S1408)),AVERAGE('20250815_ETF_Options_Exhibits'!S1404:S1408),"")</f>
        <v/>
      </c>
      <c r="T1408" s="3">
        <f>IF(ISNUMBER(AVERAGE('20250815_ETF_Options_Exhibits'!T1404:T1408)),AVERAGE('20250815_ETF_Options_Exhibits'!T1404:T1408),"")</f>
        <v/>
      </c>
      <c r="U1408" s="3">
        <f>IF(ISNUMBER(AVERAGE('20250815_ETF_Options_Exhibits'!U1404:U1408)),AVERAGE('20250815_ETF_Options_Exhibits'!U1404:U1408),"")</f>
        <v/>
      </c>
      <c r="V1408" s="3">
        <f>IF(ISNUMBER(AVERAGE('20250815_ETF_Options_Exhibits'!V1404:V1408)),AVERAGE('20250815_ETF_Options_Exhibits'!V1404:V1408),"")</f>
        <v/>
      </c>
      <c r="W1408" s="3">
        <f>IF(ISNUMBER(AVERAGE('20250815_ETF_Options_Exhibits'!W1404:W1408)),AVERAGE('20250815_ETF_Options_Exhibits'!W1404:W1408),"")</f>
        <v/>
      </c>
      <c r="X1408" s="3">
        <f>IF(ISNUMBER(AVERAGE('20250815_ETF_Options_Exhibits'!X1404:X1408)),AVERAGE('20250815_ETF_Options_Exhibits'!X1404:X1408),"")</f>
        <v/>
      </c>
      <c r="Y1408" s="3">
        <f>IF(ISNUMBER(AVERAGE('20250815_ETF_Options_Exhibits'!Y1404:Y1408)),AVERAGE('20250815_ETF_Options_Exhibits'!Y1404:Y1408),"")</f>
        <v/>
      </c>
      <c r="Z1408" s="3">
        <f>IF(ISNUMBER(AVERAGE('20250815_ETF_Options_Exhibits'!Z1404:Z1408)),AVERAGE('20250815_ETF_Options_Exhibits'!Z1404:Z1408),"")</f>
        <v/>
      </c>
      <c r="AA1408" s="3">
        <f>IF(ISNUMBER(AVERAGE('20250815_ETF_Options_Exhibits'!AA1404:AA1408)),AVERAGE('20250815_ETF_Options_Exhibits'!AA1404:AA1408),"")</f>
        <v/>
      </c>
    </row>
    <row r="1409">
      <c r="A1409" s="1" t="n">
        <v>44047</v>
      </c>
      <c r="B1409" s="3">
        <f>IF(ISNUMBER(AVERAGE('20250815_ETF_Options_Exhibits'!B1405:B1409)),AVERAGE('20250815_ETF_Options_Exhibits'!B1405:B1409),"")</f>
        <v/>
      </c>
      <c r="C1409" s="3">
        <f>IF(ISNUMBER(AVERAGE('20250815_ETF_Options_Exhibits'!C1405:C1409)),AVERAGE('20250815_ETF_Options_Exhibits'!C1405:C1409),"")</f>
        <v/>
      </c>
      <c r="D1409" s="3">
        <f>IF(ISNUMBER(AVERAGE('20250815_ETF_Options_Exhibits'!D1405:D1409)),AVERAGE('20250815_ETF_Options_Exhibits'!D1405:D1409),"")</f>
        <v/>
      </c>
      <c r="E1409" s="3">
        <f>IF(ISNUMBER(AVERAGE('20250815_ETF_Options_Exhibits'!E1405:E1409)),AVERAGE('20250815_ETF_Options_Exhibits'!E1405:E1409),"")</f>
        <v/>
      </c>
      <c r="F1409" s="3">
        <f>IF(ISNUMBER(AVERAGE('20250815_ETF_Options_Exhibits'!F1405:F1409)),AVERAGE('20250815_ETF_Options_Exhibits'!F1405:F1409),"")</f>
        <v/>
      </c>
      <c r="G1409" s="3">
        <f>IF(ISNUMBER(AVERAGE('20250815_ETF_Options_Exhibits'!G1405:G1409)),AVERAGE('20250815_ETF_Options_Exhibits'!G1405:G1409),"")</f>
        <v/>
      </c>
      <c r="H1409" s="3">
        <f>IF(ISNUMBER(AVERAGE('20250815_ETF_Options_Exhibits'!H1405:H1409)),AVERAGE('20250815_ETF_Options_Exhibits'!H1405:H1409),"")</f>
        <v/>
      </c>
      <c r="I1409" s="3">
        <f>IF(ISNUMBER(AVERAGE('20250815_ETF_Options_Exhibits'!I1405:I1409)),AVERAGE('20250815_ETF_Options_Exhibits'!I1405:I1409),"")</f>
        <v/>
      </c>
      <c r="J1409" s="3">
        <f>IF(ISNUMBER(AVERAGE('20250815_ETF_Options_Exhibits'!J1405:J1409)),AVERAGE('20250815_ETF_Options_Exhibits'!J1405:J1409),"")</f>
        <v/>
      </c>
      <c r="K1409" s="3">
        <f>IF(ISNUMBER(AVERAGE('20250815_ETF_Options_Exhibits'!K1405:K1409)),AVERAGE('20250815_ETF_Options_Exhibits'!K1405:K1409),"")</f>
        <v/>
      </c>
      <c r="L1409" s="3">
        <f>IF(ISNUMBER(AVERAGE('20250815_ETF_Options_Exhibits'!L1405:L1409)),AVERAGE('20250815_ETF_Options_Exhibits'!L1405:L1409),"")</f>
        <v/>
      </c>
      <c r="M1409" s="3">
        <f>IF(ISNUMBER(AVERAGE('20250815_ETF_Options_Exhibits'!M1405:M1409)),AVERAGE('20250815_ETF_Options_Exhibits'!M1405:M1409),"")</f>
        <v/>
      </c>
      <c r="N1409" s="3">
        <f>IF(ISNUMBER(AVERAGE('20250815_ETF_Options_Exhibits'!N1405:N1409)),AVERAGE('20250815_ETF_Options_Exhibits'!N1405:N1409),"")</f>
        <v/>
      </c>
      <c r="O1409" s="3">
        <f>IF(ISNUMBER(AVERAGE('20250815_ETF_Options_Exhibits'!O1405:O1409)),AVERAGE('20250815_ETF_Options_Exhibits'!O1405:O1409),"")</f>
        <v/>
      </c>
      <c r="P1409" s="3">
        <f>IF(ISNUMBER(AVERAGE('20250815_ETF_Options_Exhibits'!P1405:P1409)),AVERAGE('20250815_ETF_Options_Exhibits'!P1405:P1409),"")</f>
        <v/>
      </c>
      <c r="Q1409" s="3">
        <f>IF(ISNUMBER(AVERAGE('20250815_ETF_Options_Exhibits'!Q1405:Q1409)),AVERAGE('20250815_ETF_Options_Exhibits'!Q1405:Q1409),"")</f>
        <v/>
      </c>
      <c r="R1409" s="3">
        <f>IF(ISNUMBER(AVERAGE('20250815_ETF_Options_Exhibits'!R1405:R1409)),AVERAGE('20250815_ETF_Options_Exhibits'!R1405:R1409),"")</f>
        <v/>
      </c>
      <c r="S1409" s="3">
        <f>IF(ISNUMBER(AVERAGE('20250815_ETF_Options_Exhibits'!S1405:S1409)),AVERAGE('20250815_ETF_Options_Exhibits'!S1405:S1409),"")</f>
        <v/>
      </c>
      <c r="T1409" s="3">
        <f>IF(ISNUMBER(AVERAGE('20250815_ETF_Options_Exhibits'!T1405:T1409)),AVERAGE('20250815_ETF_Options_Exhibits'!T1405:T1409),"")</f>
        <v/>
      </c>
      <c r="U1409" s="3">
        <f>IF(ISNUMBER(AVERAGE('20250815_ETF_Options_Exhibits'!U1405:U1409)),AVERAGE('20250815_ETF_Options_Exhibits'!U1405:U1409),"")</f>
        <v/>
      </c>
      <c r="V1409" s="3">
        <f>IF(ISNUMBER(AVERAGE('20250815_ETF_Options_Exhibits'!V1405:V1409)),AVERAGE('20250815_ETF_Options_Exhibits'!V1405:V1409),"")</f>
        <v/>
      </c>
      <c r="W1409" s="3">
        <f>IF(ISNUMBER(AVERAGE('20250815_ETF_Options_Exhibits'!W1405:W1409)),AVERAGE('20250815_ETF_Options_Exhibits'!W1405:W1409),"")</f>
        <v/>
      </c>
      <c r="X1409" s="3">
        <f>IF(ISNUMBER(AVERAGE('20250815_ETF_Options_Exhibits'!X1405:X1409)),AVERAGE('20250815_ETF_Options_Exhibits'!X1405:X1409),"")</f>
        <v/>
      </c>
      <c r="Y1409" s="3">
        <f>IF(ISNUMBER(AVERAGE('20250815_ETF_Options_Exhibits'!Y1405:Y1409)),AVERAGE('20250815_ETF_Options_Exhibits'!Y1405:Y1409),"")</f>
        <v/>
      </c>
      <c r="Z1409" s="3">
        <f>IF(ISNUMBER(AVERAGE('20250815_ETF_Options_Exhibits'!Z1405:Z1409)),AVERAGE('20250815_ETF_Options_Exhibits'!Z1405:Z1409),"")</f>
        <v/>
      </c>
      <c r="AA1409" s="3">
        <f>IF(ISNUMBER(AVERAGE('20250815_ETF_Options_Exhibits'!AA1405:AA1409)),AVERAGE('20250815_ETF_Options_Exhibits'!AA1405:AA1409),"")</f>
        <v/>
      </c>
    </row>
    <row r="1410">
      <c r="A1410" s="1" t="n">
        <v>44048</v>
      </c>
      <c r="B1410" s="3">
        <f>IF(ISNUMBER(AVERAGE('20250815_ETF_Options_Exhibits'!B1406:B1410)),AVERAGE('20250815_ETF_Options_Exhibits'!B1406:B1410),"")</f>
        <v/>
      </c>
      <c r="C1410" s="3">
        <f>IF(ISNUMBER(AVERAGE('20250815_ETF_Options_Exhibits'!C1406:C1410)),AVERAGE('20250815_ETF_Options_Exhibits'!C1406:C1410),"")</f>
        <v/>
      </c>
      <c r="D1410" s="3">
        <f>IF(ISNUMBER(AVERAGE('20250815_ETF_Options_Exhibits'!D1406:D1410)),AVERAGE('20250815_ETF_Options_Exhibits'!D1406:D1410),"")</f>
        <v/>
      </c>
      <c r="E1410" s="3">
        <f>IF(ISNUMBER(AVERAGE('20250815_ETF_Options_Exhibits'!E1406:E1410)),AVERAGE('20250815_ETF_Options_Exhibits'!E1406:E1410),"")</f>
        <v/>
      </c>
      <c r="F1410" s="3">
        <f>IF(ISNUMBER(AVERAGE('20250815_ETF_Options_Exhibits'!F1406:F1410)),AVERAGE('20250815_ETF_Options_Exhibits'!F1406:F1410),"")</f>
        <v/>
      </c>
      <c r="G1410" s="3">
        <f>IF(ISNUMBER(AVERAGE('20250815_ETF_Options_Exhibits'!G1406:G1410)),AVERAGE('20250815_ETF_Options_Exhibits'!G1406:G1410),"")</f>
        <v/>
      </c>
      <c r="H1410" s="3">
        <f>IF(ISNUMBER(AVERAGE('20250815_ETF_Options_Exhibits'!H1406:H1410)),AVERAGE('20250815_ETF_Options_Exhibits'!H1406:H1410),"")</f>
        <v/>
      </c>
      <c r="I1410" s="3">
        <f>IF(ISNUMBER(AVERAGE('20250815_ETF_Options_Exhibits'!I1406:I1410)),AVERAGE('20250815_ETF_Options_Exhibits'!I1406:I1410),"")</f>
        <v/>
      </c>
      <c r="J1410" s="3">
        <f>IF(ISNUMBER(AVERAGE('20250815_ETF_Options_Exhibits'!J1406:J1410)),AVERAGE('20250815_ETF_Options_Exhibits'!J1406:J1410),"")</f>
        <v/>
      </c>
      <c r="K1410" s="3">
        <f>IF(ISNUMBER(AVERAGE('20250815_ETF_Options_Exhibits'!K1406:K1410)),AVERAGE('20250815_ETF_Options_Exhibits'!K1406:K1410),"")</f>
        <v/>
      </c>
      <c r="L1410" s="3">
        <f>IF(ISNUMBER(AVERAGE('20250815_ETF_Options_Exhibits'!L1406:L1410)),AVERAGE('20250815_ETF_Options_Exhibits'!L1406:L1410),"")</f>
        <v/>
      </c>
      <c r="M1410" s="3">
        <f>IF(ISNUMBER(AVERAGE('20250815_ETF_Options_Exhibits'!M1406:M1410)),AVERAGE('20250815_ETF_Options_Exhibits'!M1406:M1410),"")</f>
        <v/>
      </c>
      <c r="N1410" s="3">
        <f>IF(ISNUMBER(AVERAGE('20250815_ETF_Options_Exhibits'!N1406:N1410)),AVERAGE('20250815_ETF_Options_Exhibits'!N1406:N1410),"")</f>
        <v/>
      </c>
      <c r="O1410" s="3">
        <f>IF(ISNUMBER(AVERAGE('20250815_ETF_Options_Exhibits'!O1406:O1410)),AVERAGE('20250815_ETF_Options_Exhibits'!O1406:O1410),"")</f>
        <v/>
      </c>
      <c r="P1410" s="3">
        <f>IF(ISNUMBER(AVERAGE('20250815_ETF_Options_Exhibits'!P1406:P1410)),AVERAGE('20250815_ETF_Options_Exhibits'!P1406:P1410),"")</f>
        <v/>
      </c>
      <c r="Q1410" s="3">
        <f>IF(ISNUMBER(AVERAGE('20250815_ETF_Options_Exhibits'!Q1406:Q1410)),AVERAGE('20250815_ETF_Options_Exhibits'!Q1406:Q1410),"")</f>
        <v/>
      </c>
      <c r="R1410" s="3">
        <f>IF(ISNUMBER(AVERAGE('20250815_ETF_Options_Exhibits'!R1406:R1410)),AVERAGE('20250815_ETF_Options_Exhibits'!R1406:R1410),"")</f>
        <v/>
      </c>
      <c r="S1410" s="3">
        <f>IF(ISNUMBER(AVERAGE('20250815_ETF_Options_Exhibits'!S1406:S1410)),AVERAGE('20250815_ETF_Options_Exhibits'!S1406:S1410),"")</f>
        <v/>
      </c>
      <c r="T1410" s="3">
        <f>IF(ISNUMBER(AVERAGE('20250815_ETF_Options_Exhibits'!T1406:T1410)),AVERAGE('20250815_ETF_Options_Exhibits'!T1406:T1410),"")</f>
        <v/>
      </c>
      <c r="U1410" s="3">
        <f>IF(ISNUMBER(AVERAGE('20250815_ETF_Options_Exhibits'!U1406:U1410)),AVERAGE('20250815_ETF_Options_Exhibits'!U1406:U1410),"")</f>
        <v/>
      </c>
      <c r="V1410" s="3">
        <f>IF(ISNUMBER(AVERAGE('20250815_ETF_Options_Exhibits'!V1406:V1410)),AVERAGE('20250815_ETF_Options_Exhibits'!V1406:V1410),"")</f>
        <v/>
      </c>
      <c r="W1410" s="3">
        <f>IF(ISNUMBER(AVERAGE('20250815_ETF_Options_Exhibits'!W1406:W1410)),AVERAGE('20250815_ETF_Options_Exhibits'!W1406:W1410),"")</f>
        <v/>
      </c>
      <c r="X1410" s="3">
        <f>IF(ISNUMBER(AVERAGE('20250815_ETF_Options_Exhibits'!X1406:X1410)),AVERAGE('20250815_ETF_Options_Exhibits'!X1406:X1410),"")</f>
        <v/>
      </c>
      <c r="Y1410" s="3">
        <f>IF(ISNUMBER(AVERAGE('20250815_ETF_Options_Exhibits'!Y1406:Y1410)),AVERAGE('20250815_ETF_Options_Exhibits'!Y1406:Y1410),"")</f>
        <v/>
      </c>
      <c r="Z1410" s="3">
        <f>IF(ISNUMBER(AVERAGE('20250815_ETF_Options_Exhibits'!Z1406:Z1410)),AVERAGE('20250815_ETF_Options_Exhibits'!Z1406:Z1410),"")</f>
        <v/>
      </c>
      <c r="AA1410" s="3">
        <f>IF(ISNUMBER(AVERAGE('20250815_ETF_Options_Exhibits'!AA1406:AA1410)),AVERAGE('20250815_ETF_Options_Exhibits'!AA1406:AA1410),"")</f>
        <v/>
      </c>
    </row>
    <row r="1411">
      <c r="A1411" s="1" t="n">
        <v>44049</v>
      </c>
      <c r="B1411" s="3">
        <f>IF(ISNUMBER(AVERAGE('20250815_ETF_Options_Exhibits'!B1407:B1411)),AVERAGE('20250815_ETF_Options_Exhibits'!B1407:B1411),"")</f>
        <v/>
      </c>
      <c r="C1411" s="3">
        <f>IF(ISNUMBER(AVERAGE('20250815_ETF_Options_Exhibits'!C1407:C1411)),AVERAGE('20250815_ETF_Options_Exhibits'!C1407:C1411),"")</f>
        <v/>
      </c>
      <c r="D1411" s="3">
        <f>IF(ISNUMBER(AVERAGE('20250815_ETF_Options_Exhibits'!D1407:D1411)),AVERAGE('20250815_ETF_Options_Exhibits'!D1407:D1411),"")</f>
        <v/>
      </c>
      <c r="E1411" s="3">
        <f>IF(ISNUMBER(AVERAGE('20250815_ETF_Options_Exhibits'!E1407:E1411)),AVERAGE('20250815_ETF_Options_Exhibits'!E1407:E1411),"")</f>
        <v/>
      </c>
      <c r="F1411" s="3">
        <f>IF(ISNUMBER(AVERAGE('20250815_ETF_Options_Exhibits'!F1407:F1411)),AVERAGE('20250815_ETF_Options_Exhibits'!F1407:F1411),"")</f>
        <v/>
      </c>
      <c r="G1411" s="3">
        <f>IF(ISNUMBER(AVERAGE('20250815_ETF_Options_Exhibits'!G1407:G1411)),AVERAGE('20250815_ETF_Options_Exhibits'!G1407:G1411),"")</f>
        <v/>
      </c>
      <c r="H1411" s="3">
        <f>IF(ISNUMBER(AVERAGE('20250815_ETF_Options_Exhibits'!H1407:H1411)),AVERAGE('20250815_ETF_Options_Exhibits'!H1407:H1411),"")</f>
        <v/>
      </c>
      <c r="I1411" s="3">
        <f>IF(ISNUMBER(AVERAGE('20250815_ETF_Options_Exhibits'!I1407:I1411)),AVERAGE('20250815_ETF_Options_Exhibits'!I1407:I1411),"")</f>
        <v/>
      </c>
      <c r="J1411" s="3">
        <f>IF(ISNUMBER(AVERAGE('20250815_ETF_Options_Exhibits'!J1407:J1411)),AVERAGE('20250815_ETF_Options_Exhibits'!J1407:J1411),"")</f>
        <v/>
      </c>
      <c r="K1411" s="3">
        <f>IF(ISNUMBER(AVERAGE('20250815_ETF_Options_Exhibits'!K1407:K1411)),AVERAGE('20250815_ETF_Options_Exhibits'!K1407:K1411),"")</f>
        <v/>
      </c>
      <c r="L1411" s="3">
        <f>IF(ISNUMBER(AVERAGE('20250815_ETF_Options_Exhibits'!L1407:L1411)),AVERAGE('20250815_ETF_Options_Exhibits'!L1407:L1411),"")</f>
        <v/>
      </c>
      <c r="M1411" s="3">
        <f>IF(ISNUMBER(AVERAGE('20250815_ETF_Options_Exhibits'!M1407:M1411)),AVERAGE('20250815_ETF_Options_Exhibits'!M1407:M1411),"")</f>
        <v/>
      </c>
      <c r="N1411" s="3">
        <f>IF(ISNUMBER(AVERAGE('20250815_ETF_Options_Exhibits'!N1407:N1411)),AVERAGE('20250815_ETF_Options_Exhibits'!N1407:N1411),"")</f>
        <v/>
      </c>
      <c r="O1411" s="3">
        <f>IF(ISNUMBER(AVERAGE('20250815_ETF_Options_Exhibits'!O1407:O1411)),AVERAGE('20250815_ETF_Options_Exhibits'!O1407:O1411),"")</f>
        <v/>
      </c>
      <c r="P1411" s="3">
        <f>IF(ISNUMBER(AVERAGE('20250815_ETF_Options_Exhibits'!P1407:P1411)),AVERAGE('20250815_ETF_Options_Exhibits'!P1407:P1411),"")</f>
        <v/>
      </c>
      <c r="Q1411" s="3">
        <f>IF(ISNUMBER(AVERAGE('20250815_ETF_Options_Exhibits'!Q1407:Q1411)),AVERAGE('20250815_ETF_Options_Exhibits'!Q1407:Q1411),"")</f>
        <v/>
      </c>
      <c r="R1411" s="3">
        <f>IF(ISNUMBER(AVERAGE('20250815_ETF_Options_Exhibits'!R1407:R1411)),AVERAGE('20250815_ETF_Options_Exhibits'!R1407:R1411),"")</f>
        <v/>
      </c>
      <c r="S1411" s="3">
        <f>IF(ISNUMBER(AVERAGE('20250815_ETF_Options_Exhibits'!S1407:S1411)),AVERAGE('20250815_ETF_Options_Exhibits'!S1407:S1411),"")</f>
        <v/>
      </c>
      <c r="T1411" s="3">
        <f>IF(ISNUMBER(AVERAGE('20250815_ETF_Options_Exhibits'!T1407:T1411)),AVERAGE('20250815_ETF_Options_Exhibits'!T1407:T1411),"")</f>
        <v/>
      </c>
      <c r="U1411" s="3">
        <f>IF(ISNUMBER(AVERAGE('20250815_ETF_Options_Exhibits'!U1407:U1411)),AVERAGE('20250815_ETF_Options_Exhibits'!U1407:U1411),"")</f>
        <v/>
      </c>
      <c r="V1411" s="3">
        <f>IF(ISNUMBER(AVERAGE('20250815_ETF_Options_Exhibits'!V1407:V1411)),AVERAGE('20250815_ETF_Options_Exhibits'!V1407:V1411),"")</f>
        <v/>
      </c>
      <c r="W1411" s="3">
        <f>IF(ISNUMBER(AVERAGE('20250815_ETF_Options_Exhibits'!W1407:W1411)),AVERAGE('20250815_ETF_Options_Exhibits'!W1407:W1411),"")</f>
        <v/>
      </c>
      <c r="X1411" s="3">
        <f>IF(ISNUMBER(AVERAGE('20250815_ETF_Options_Exhibits'!X1407:X1411)),AVERAGE('20250815_ETF_Options_Exhibits'!X1407:X1411),"")</f>
        <v/>
      </c>
      <c r="Y1411" s="3">
        <f>IF(ISNUMBER(AVERAGE('20250815_ETF_Options_Exhibits'!Y1407:Y1411)),AVERAGE('20250815_ETF_Options_Exhibits'!Y1407:Y1411),"")</f>
        <v/>
      </c>
      <c r="Z1411" s="3">
        <f>IF(ISNUMBER(AVERAGE('20250815_ETF_Options_Exhibits'!Z1407:Z1411)),AVERAGE('20250815_ETF_Options_Exhibits'!Z1407:Z1411),"")</f>
        <v/>
      </c>
      <c r="AA1411" s="3">
        <f>IF(ISNUMBER(AVERAGE('20250815_ETF_Options_Exhibits'!AA1407:AA1411)),AVERAGE('20250815_ETF_Options_Exhibits'!AA1407:AA1411),"")</f>
        <v/>
      </c>
    </row>
    <row r="1412">
      <c r="A1412" s="1" t="n">
        <v>44050</v>
      </c>
      <c r="B1412" s="3">
        <f>IF(ISNUMBER(AVERAGE('20250815_ETF_Options_Exhibits'!B1408:B1412)),AVERAGE('20250815_ETF_Options_Exhibits'!B1408:B1412),"")</f>
        <v/>
      </c>
      <c r="C1412" s="3">
        <f>IF(ISNUMBER(AVERAGE('20250815_ETF_Options_Exhibits'!C1408:C1412)),AVERAGE('20250815_ETF_Options_Exhibits'!C1408:C1412),"")</f>
        <v/>
      </c>
      <c r="D1412" s="3">
        <f>IF(ISNUMBER(AVERAGE('20250815_ETF_Options_Exhibits'!D1408:D1412)),AVERAGE('20250815_ETF_Options_Exhibits'!D1408:D1412),"")</f>
        <v/>
      </c>
      <c r="E1412" s="3">
        <f>IF(ISNUMBER(AVERAGE('20250815_ETF_Options_Exhibits'!E1408:E1412)),AVERAGE('20250815_ETF_Options_Exhibits'!E1408:E1412),"")</f>
        <v/>
      </c>
      <c r="F1412" s="3">
        <f>IF(ISNUMBER(AVERAGE('20250815_ETF_Options_Exhibits'!F1408:F1412)),AVERAGE('20250815_ETF_Options_Exhibits'!F1408:F1412),"")</f>
        <v/>
      </c>
      <c r="G1412" s="3">
        <f>IF(ISNUMBER(AVERAGE('20250815_ETF_Options_Exhibits'!G1408:G1412)),AVERAGE('20250815_ETF_Options_Exhibits'!G1408:G1412),"")</f>
        <v/>
      </c>
      <c r="H1412" s="3">
        <f>IF(ISNUMBER(AVERAGE('20250815_ETF_Options_Exhibits'!H1408:H1412)),AVERAGE('20250815_ETF_Options_Exhibits'!H1408:H1412),"")</f>
        <v/>
      </c>
      <c r="I1412" s="3">
        <f>IF(ISNUMBER(AVERAGE('20250815_ETF_Options_Exhibits'!I1408:I1412)),AVERAGE('20250815_ETF_Options_Exhibits'!I1408:I1412),"")</f>
        <v/>
      </c>
      <c r="J1412" s="3">
        <f>IF(ISNUMBER(AVERAGE('20250815_ETF_Options_Exhibits'!J1408:J1412)),AVERAGE('20250815_ETF_Options_Exhibits'!J1408:J1412),"")</f>
        <v/>
      </c>
      <c r="K1412" s="3">
        <f>IF(ISNUMBER(AVERAGE('20250815_ETF_Options_Exhibits'!K1408:K1412)),AVERAGE('20250815_ETF_Options_Exhibits'!K1408:K1412),"")</f>
        <v/>
      </c>
      <c r="L1412" s="3">
        <f>IF(ISNUMBER(AVERAGE('20250815_ETF_Options_Exhibits'!L1408:L1412)),AVERAGE('20250815_ETF_Options_Exhibits'!L1408:L1412),"")</f>
        <v/>
      </c>
      <c r="M1412" s="3">
        <f>IF(ISNUMBER(AVERAGE('20250815_ETF_Options_Exhibits'!M1408:M1412)),AVERAGE('20250815_ETF_Options_Exhibits'!M1408:M1412),"")</f>
        <v/>
      </c>
      <c r="N1412" s="3">
        <f>IF(ISNUMBER(AVERAGE('20250815_ETF_Options_Exhibits'!N1408:N1412)),AVERAGE('20250815_ETF_Options_Exhibits'!N1408:N1412),"")</f>
        <v/>
      </c>
      <c r="O1412" s="3">
        <f>IF(ISNUMBER(AVERAGE('20250815_ETF_Options_Exhibits'!O1408:O1412)),AVERAGE('20250815_ETF_Options_Exhibits'!O1408:O1412),"")</f>
        <v/>
      </c>
      <c r="P1412" s="3">
        <f>IF(ISNUMBER(AVERAGE('20250815_ETF_Options_Exhibits'!P1408:P1412)),AVERAGE('20250815_ETF_Options_Exhibits'!P1408:P1412),"")</f>
        <v/>
      </c>
      <c r="Q1412" s="3">
        <f>IF(ISNUMBER(AVERAGE('20250815_ETF_Options_Exhibits'!Q1408:Q1412)),AVERAGE('20250815_ETF_Options_Exhibits'!Q1408:Q1412),"")</f>
        <v/>
      </c>
      <c r="R1412" s="3">
        <f>IF(ISNUMBER(AVERAGE('20250815_ETF_Options_Exhibits'!R1408:R1412)),AVERAGE('20250815_ETF_Options_Exhibits'!R1408:R1412),"")</f>
        <v/>
      </c>
      <c r="S1412" s="3">
        <f>IF(ISNUMBER(AVERAGE('20250815_ETF_Options_Exhibits'!S1408:S1412)),AVERAGE('20250815_ETF_Options_Exhibits'!S1408:S1412),"")</f>
        <v/>
      </c>
      <c r="T1412" s="3">
        <f>IF(ISNUMBER(AVERAGE('20250815_ETF_Options_Exhibits'!T1408:T1412)),AVERAGE('20250815_ETF_Options_Exhibits'!T1408:T1412),"")</f>
        <v/>
      </c>
      <c r="U1412" s="3">
        <f>IF(ISNUMBER(AVERAGE('20250815_ETF_Options_Exhibits'!U1408:U1412)),AVERAGE('20250815_ETF_Options_Exhibits'!U1408:U1412),"")</f>
        <v/>
      </c>
      <c r="V1412" s="3">
        <f>IF(ISNUMBER(AVERAGE('20250815_ETF_Options_Exhibits'!V1408:V1412)),AVERAGE('20250815_ETF_Options_Exhibits'!V1408:V1412),"")</f>
        <v/>
      </c>
      <c r="W1412" s="3">
        <f>IF(ISNUMBER(AVERAGE('20250815_ETF_Options_Exhibits'!W1408:W1412)),AVERAGE('20250815_ETF_Options_Exhibits'!W1408:W1412),"")</f>
        <v/>
      </c>
      <c r="X1412" s="3">
        <f>IF(ISNUMBER(AVERAGE('20250815_ETF_Options_Exhibits'!X1408:X1412)),AVERAGE('20250815_ETF_Options_Exhibits'!X1408:X1412),"")</f>
        <v/>
      </c>
      <c r="Y1412" s="3">
        <f>IF(ISNUMBER(AVERAGE('20250815_ETF_Options_Exhibits'!Y1408:Y1412)),AVERAGE('20250815_ETF_Options_Exhibits'!Y1408:Y1412),"")</f>
        <v/>
      </c>
      <c r="Z1412" s="3">
        <f>IF(ISNUMBER(AVERAGE('20250815_ETF_Options_Exhibits'!Z1408:Z1412)),AVERAGE('20250815_ETF_Options_Exhibits'!Z1408:Z1412),"")</f>
        <v/>
      </c>
      <c r="AA1412" s="3">
        <f>IF(ISNUMBER(AVERAGE('20250815_ETF_Options_Exhibits'!AA1408:AA1412)),AVERAGE('20250815_ETF_Options_Exhibits'!AA1408:AA1412),"")</f>
        <v/>
      </c>
    </row>
    <row r="1413">
      <c r="A1413" s="1" t="n">
        <v>44053</v>
      </c>
      <c r="B1413" s="3">
        <f>IF(ISNUMBER(AVERAGE('20250815_ETF_Options_Exhibits'!B1409:B1413)),AVERAGE('20250815_ETF_Options_Exhibits'!B1409:B1413),"")</f>
        <v/>
      </c>
      <c r="C1413" s="3">
        <f>IF(ISNUMBER(AVERAGE('20250815_ETF_Options_Exhibits'!C1409:C1413)),AVERAGE('20250815_ETF_Options_Exhibits'!C1409:C1413),"")</f>
        <v/>
      </c>
      <c r="D1413" s="3">
        <f>IF(ISNUMBER(AVERAGE('20250815_ETF_Options_Exhibits'!D1409:D1413)),AVERAGE('20250815_ETF_Options_Exhibits'!D1409:D1413),"")</f>
        <v/>
      </c>
      <c r="E1413" s="3">
        <f>IF(ISNUMBER(AVERAGE('20250815_ETF_Options_Exhibits'!E1409:E1413)),AVERAGE('20250815_ETF_Options_Exhibits'!E1409:E1413),"")</f>
        <v/>
      </c>
      <c r="F1413" s="3">
        <f>IF(ISNUMBER(AVERAGE('20250815_ETF_Options_Exhibits'!F1409:F1413)),AVERAGE('20250815_ETF_Options_Exhibits'!F1409:F1413),"")</f>
        <v/>
      </c>
      <c r="G1413" s="3">
        <f>IF(ISNUMBER(AVERAGE('20250815_ETF_Options_Exhibits'!G1409:G1413)),AVERAGE('20250815_ETF_Options_Exhibits'!G1409:G1413),"")</f>
        <v/>
      </c>
      <c r="H1413" s="3">
        <f>IF(ISNUMBER(AVERAGE('20250815_ETF_Options_Exhibits'!H1409:H1413)),AVERAGE('20250815_ETF_Options_Exhibits'!H1409:H1413),"")</f>
        <v/>
      </c>
      <c r="I1413" s="3">
        <f>IF(ISNUMBER(AVERAGE('20250815_ETF_Options_Exhibits'!I1409:I1413)),AVERAGE('20250815_ETF_Options_Exhibits'!I1409:I1413),"")</f>
        <v/>
      </c>
      <c r="J1413" s="3">
        <f>IF(ISNUMBER(AVERAGE('20250815_ETF_Options_Exhibits'!J1409:J1413)),AVERAGE('20250815_ETF_Options_Exhibits'!J1409:J1413),"")</f>
        <v/>
      </c>
      <c r="K1413" s="3">
        <f>IF(ISNUMBER(AVERAGE('20250815_ETF_Options_Exhibits'!K1409:K1413)),AVERAGE('20250815_ETF_Options_Exhibits'!K1409:K1413),"")</f>
        <v/>
      </c>
      <c r="L1413" s="3">
        <f>IF(ISNUMBER(AVERAGE('20250815_ETF_Options_Exhibits'!L1409:L1413)),AVERAGE('20250815_ETF_Options_Exhibits'!L1409:L1413),"")</f>
        <v/>
      </c>
      <c r="M1413" s="3">
        <f>IF(ISNUMBER(AVERAGE('20250815_ETF_Options_Exhibits'!M1409:M1413)),AVERAGE('20250815_ETF_Options_Exhibits'!M1409:M1413),"")</f>
        <v/>
      </c>
      <c r="N1413" s="3">
        <f>IF(ISNUMBER(AVERAGE('20250815_ETF_Options_Exhibits'!N1409:N1413)),AVERAGE('20250815_ETF_Options_Exhibits'!N1409:N1413),"")</f>
        <v/>
      </c>
      <c r="O1413" s="3">
        <f>IF(ISNUMBER(AVERAGE('20250815_ETF_Options_Exhibits'!O1409:O1413)),AVERAGE('20250815_ETF_Options_Exhibits'!O1409:O1413),"")</f>
        <v/>
      </c>
      <c r="P1413" s="3">
        <f>IF(ISNUMBER(AVERAGE('20250815_ETF_Options_Exhibits'!P1409:P1413)),AVERAGE('20250815_ETF_Options_Exhibits'!P1409:P1413),"")</f>
        <v/>
      </c>
      <c r="Q1413" s="3">
        <f>IF(ISNUMBER(AVERAGE('20250815_ETF_Options_Exhibits'!Q1409:Q1413)),AVERAGE('20250815_ETF_Options_Exhibits'!Q1409:Q1413),"")</f>
        <v/>
      </c>
      <c r="R1413" s="3">
        <f>IF(ISNUMBER(AVERAGE('20250815_ETF_Options_Exhibits'!R1409:R1413)),AVERAGE('20250815_ETF_Options_Exhibits'!R1409:R1413),"")</f>
        <v/>
      </c>
      <c r="S1413" s="3">
        <f>IF(ISNUMBER(AVERAGE('20250815_ETF_Options_Exhibits'!S1409:S1413)),AVERAGE('20250815_ETF_Options_Exhibits'!S1409:S1413),"")</f>
        <v/>
      </c>
      <c r="T1413" s="3">
        <f>IF(ISNUMBER(AVERAGE('20250815_ETF_Options_Exhibits'!T1409:T1413)),AVERAGE('20250815_ETF_Options_Exhibits'!T1409:T1413),"")</f>
        <v/>
      </c>
      <c r="U1413" s="3">
        <f>IF(ISNUMBER(AVERAGE('20250815_ETF_Options_Exhibits'!U1409:U1413)),AVERAGE('20250815_ETF_Options_Exhibits'!U1409:U1413),"")</f>
        <v/>
      </c>
      <c r="V1413" s="3">
        <f>IF(ISNUMBER(AVERAGE('20250815_ETF_Options_Exhibits'!V1409:V1413)),AVERAGE('20250815_ETF_Options_Exhibits'!V1409:V1413),"")</f>
        <v/>
      </c>
      <c r="W1413" s="3">
        <f>IF(ISNUMBER(AVERAGE('20250815_ETF_Options_Exhibits'!W1409:W1413)),AVERAGE('20250815_ETF_Options_Exhibits'!W1409:W1413),"")</f>
        <v/>
      </c>
      <c r="X1413" s="3">
        <f>IF(ISNUMBER(AVERAGE('20250815_ETF_Options_Exhibits'!X1409:X1413)),AVERAGE('20250815_ETF_Options_Exhibits'!X1409:X1413),"")</f>
        <v/>
      </c>
      <c r="Y1413" s="3">
        <f>IF(ISNUMBER(AVERAGE('20250815_ETF_Options_Exhibits'!Y1409:Y1413)),AVERAGE('20250815_ETF_Options_Exhibits'!Y1409:Y1413),"")</f>
        <v/>
      </c>
      <c r="Z1413" s="3">
        <f>IF(ISNUMBER(AVERAGE('20250815_ETF_Options_Exhibits'!Z1409:Z1413)),AVERAGE('20250815_ETF_Options_Exhibits'!Z1409:Z1413),"")</f>
        <v/>
      </c>
      <c r="AA1413" s="3">
        <f>IF(ISNUMBER(AVERAGE('20250815_ETF_Options_Exhibits'!AA1409:AA1413)),AVERAGE('20250815_ETF_Options_Exhibits'!AA1409:AA1413),"")</f>
        <v/>
      </c>
    </row>
    <row r="1414">
      <c r="A1414" s="1" t="n">
        <v>44054</v>
      </c>
      <c r="B1414" s="3">
        <f>IF(ISNUMBER(AVERAGE('20250815_ETF_Options_Exhibits'!B1410:B1414)),AVERAGE('20250815_ETF_Options_Exhibits'!B1410:B1414),"")</f>
        <v/>
      </c>
      <c r="C1414" s="3">
        <f>IF(ISNUMBER(AVERAGE('20250815_ETF_Options_Exhibits'!C1410:C1414)),AVERAGE('20250815_ETF_Options_Exhibits'!C1410:C1414),"")</f>
        <v/>
      </c>
      <c r="D1414" s="3">
        <f>IF(ISNUMBER(AVERAGE('20250815_ETF_Options_Exhibits'!D1410:D1414)),AVERAGE('20250815_ETF_Options_Exhibits'!D1410:D1414),"")</f>
        <v/>
      </c>
      <c r="E1414" s="3">
        <f>IF(ISNUMBER(AVERAGE('20250815_ETF_Options_Exhibits'!E1410:E1414)),AVERAGE('20250815_ETF_Options_Exhibits'!E1410:E1414),"")</f>
        <v/>
      </c>
      <c r="F1414" s="3">
        <f>IF(ISNUMBER(AVERAGE('20250815_ETF_Options_Exhibits'!F1410:F1414)),AVERAGE('20250815_ETF_Options_Exhibits'!F1410:F1414),"")</f>
        <v/>
      </c>
      <c r="G1414" s="3">
        <f>IF(ISNUMBER(AVERAGE('20250815_ETF_Options_Exhibits'!G1410:G1414)),AVERAGE('20250815_ETF_Options_Exhibits'!G1410:G1414),"")</f>
        <v/>
      </c>
      <c r="H1414" s="3">
        <f>IF(ISNUMBER(AVERAGE('20250815_ETF_Options_Exhibits'!H1410:H1414)),AVERAGE('20250815_ETF_Options_Exhibits'!H1410:H1414),"")</f>
        <v/>
      </c>
      <c r="I1414" s="3">
        <f>IF(ISNUMBER(AVERAGE('20250815_ETF_Options_Exhibits'!I1410:I1414)),AVERAGE('20250815_ETF_Options_Exhibits'!I1410:I1414),"")</f>
        <v/>
      </c>
      <c r="J1414" s="3">
        <f>IF(ISNUMBER(AVERAGE('20250815_ETF_Options_Exhibits'!J1410:J1414)),AVERAGE('20250815_ETF_Options_Exhibits'!J1410:J1414),"")</f>
        <v/>
      </c>
      <c r="K1414" s="3">
        <f>IF(ISNUMBER(AVERAGE('20250815_ETF_Options_Exhibits'!K1410:K1414)),AVERAGE('20250815_ETF_Options_Exhibits'!K1410:K1414),"")</f>
        <v/>
      </c>
      <c r="L1414" s="3">
        <f>IF(ISNUMBER(AVERAGE('20250815_ETF_Options_Exhibits'!L1410:L1414)),AVERAGE('20250815_ETF_Options_Exhibits'!L1410:L1414),"")</f>
        <v/>
      </c>
      <c r="M1414" s="3">
        <f>IF(ISNUMBER(AVERAGE('20250815_ETF_Options_Exhibits'!M1410:M1414)),AVERAGE('20250815_ETF_Options_Exhibits'!M1410:M1414),"")</f>
        <v/>
      </c>
      <c r="N1414" s="3">
        <f>IF(ISNUMBER(AVERAGE('20250815_ETF_Options_Exhibits'!N1410:N1414)),AVERAGE('20250815_ETF_Options_Exhibits'!N1410:N1414),"")</f>
        <v/>
      </c>
      <c r="O1414" s="3">
        <f>IF(ISNUMBER(AVERAGE('20250815_ETF_Options_Exhibits'!O1410:O1414)),AVERAGE('20250815_ETF_Options_Exhibits'!O1410:O1414),"")</f>
        <v/>
      </c>
      <c r="P1414" s="3">
        <f>IF(ISNUMBER(AVERAGE('20250815_ETF_Options_Exhibits'!P1410:P1414)),AVERAGE('20250815_ETF_Options_Exhibits'!P1410:P1414),"")</f>
        <v/>
      </c>
      <c r="Q1414" s="3">
        <f>IF(ISNUMBER(AVERAGE('20250815_ETF_Options_Exhibits'!Q1410:Q1414)),AVERAGE('20250815_ETF_Options_Exhibits'!Q1410:Q1414),"")</f>
        <v/>
      </c>
      <c r="R1414" s="3">
        <f>IF(ISNUMBER(AVERAGE('20250815_ETF_Options_Exhibits'!R1410:R1414)),AVERAGE('20250815_ETF_Options_Exhibits'!R1410:R1414),"")</f>
        <v/>
      </c>
      <c r="S1414" s="3">
        <f>IF(ISNUMBER(AVERAGE('20250815_ETF_Options_Exhibits'!S1410:S1414)),AVERAGE('20250815_ETF_Options_Exhibits'!S1410:S1414),"")</f>
        <v/>
      </c>
      <c r="T1414" s="3">
        <f>IF(ISNUMBER(AVERAGE('20250815_ETF_Options_Exhibits'!T1410:T1414)),AVERAGE('20250815_ETF_Options_Exhibits'!T1410:T1414),"")</f>
        <v/>
      </c>
      <c r="U1414" s="3">
        <f>IF(ISNUMBER(AVERAGE('20250815_ETF_Options_Exhibits'!U1410:U1414)),AVERAGE('20250815_ETF_Options_Exhibits'!U1410:U1414),"")</f>
        <v/>
      </c>
      <c r="V1414" s="3">
        <f>IF(ISNUMBER(AVERAGE('20250815_ETF_Options_Exhibits'!V1410:V1414)),AVERAGE('20250815_ETF_Options_Exhibits'!V1410:V1414),"")</f>
        <v/>
      </c>
      <c r="W1414" s="3">
        <f>IF(ISNUMBER(AVERAGE('20250815_ETF_Options_Exhibits'!W1410:W1414)),AVERAGE('20250815_ETF_Options_Exhibits'!W1410:W1414),"")</f>
        <v/>
      </c>
      <c r="X1414" s="3">
        <f>IF(ISNUMBER(AVERAGE('20250815_ETF_Options_Exhibits'!X1410:X1414)),AVERAGE('20250815_ETF_Options_Exhibits'!X1410:X1414),"")</f>
        <v/>
      </c>
      <c r="Y1414" s="3">
        <f>IF(ISNUMBER(AVERAGE('20250815_ETF_Options_Exhibits'!Y1410:Y1414)),AVERAGE('20250815_ETF_Options_Exhibits'!Y1410:Y1414),"")</f>
        <v/>
      </c>
      <c r="Z1414" s="3">
        <f>IF(ISNUMBER(AVERAGE('20250815_ETF_Options_Exhibits'!Z1410:Z1414)),AVERAGE('20250815_ETF_Options_Exhibits'!Z1410:Z1414),"")</f>
        <v/>
      </c>
      <c r="AA1414" s="3">
        <f>IF(ISNUMBER(AVERAGE('20250815_ETF_Options_Exhibits'!AA1410:AA1414)),AVERAGE('20250815_ETF_Options_Exhibits'!AA1410:AA1414),"")</f>
        <v/>
      </c>
    </row>
    <row r="1415">
      <c r="A1415" s="1" t="n">
        <v>44055</v>
      </c>
      <c r="B1415" s="3">
        <f>IF(ISNUMBER(AVERAGE('20250815_ETF_Options_Exhibits'!B1411:B1415)),AVERAGE('20250815_ETF_Options_Exhibits'!B1411:B1415),"")</f>
        <v/>
      </c>
      <c r="C1415" s="3">
        <f>IF(ISNUMBER(AVERAGE('20250815_ETF_Options_Exhibits'!C1411:C1415)),AVERAGE('20250815_ETF_Options_Exhibits'!C1411:C1415),"")</f>
        <v/>
      </c>
      <c r="D1415" s="3">
        <f>IF(ISNUMBER(AVERAGE('20250815_ETF_Options_Exhibits'!D1411:D1415)),AVERAGE('20250815_ETF_Options_Exhibits'!D1411:D1415),"")</f>
        <v/>
      </c>
      <c r="E1415" s="3">
        <f>IF(ISNUMBER(AVERAGE('20250815_ETF_Options_Exhibits'!E1411:E1415)),AVERAGE('20250815_ETF_Options_Exhibits'!E1411:E1415),"")</f>
        <v/>
      </c>
      <c r="F1415" s="3">
        <f>IF(ISNUMBER(AVERAGE('20250815_ETF_Options_Exhibits'!F1411:F1415)),AVERAGE('20250815_ETF_Options_Exhibits'!F1411:F1415),"")</f>
        <v/>
      </c>
      <c r="G1415" s="3">
        <f>IF(ISNUMBER(AVERAGE('20250815_ETF_Options_Exhibits'!G1411:G1415)),AVERAGE('20250815_ETF_Options_Exhibits'!G1411:G1415),"")</f>
        <v/>
      </c>
      <c r="H1415" s="3">
        <f>IF(ISNUMBER(AVERAGE('20250815_ETF_Options_Exhibits'!H1411:H1415)),AVERAGE('20250815_ETF_Options_Exhibits'!H1411:H1415),"")</f>
        <v/>
      </c>
      <c r="I1415" s="3">
        <f>IF(ISNUMBER(AVERAGE('20250815_ETF_Options_Exhibits'!I1411:I1415)),AVERAGE('20250815_ETF_Options_Exhibits'!I1411:I1415),"")</f>
        <v/>
      </c>
      <c r="J1415" s="3">
        <f>IF(ISNUMBER(AVERAGE('20250815_ETF_Options_Exhibits'!J1411:J1415)),AVERAGE('20250815_ETF_Options_Exhibits'!J1411:J1415),"")</f>
        <v/>
      </c>
      <c r="K1415" s="3">
        <f>IF(ISNUMBER(AVERAGE('20250815_ETF_Options_Exhibits'!K1411:K1415)),AVERAGE('20250815_ETF_Options_Exhibits'!K1411:K1415),"")</f>
        <v/>
      </c>
      <c r="L1415" s="3">
        <f>IF(ISNUMBER(AVERAGE('20250815_ETF_Options_Exhibits'!L1411:L1415)),AVERAGE('20250815_ETF_Options_Exhibits'!L1411:L1415),"")</f>
        <v/>
      </c>
      <c r="M1415" s="3">
        <f>IF(ISNUMBER(AVERAGE('20250815_ETF_Options_Exhibits'!M1411:M1415)),AVERAGE('20250815_ETF_Options_Exhibits'!M1411:M1415),"")</f>
        <v/>
      </c>
      <c r="N1415" s="3">
        <f>IF(ISNUMBER(AVERAGE('20250815_ETF_Options_Exhibits'!N1411:N1415)),AVERAGE('20250815_ETF_Options_Exhibits'!N1411:N1415),"")</f>
        <v/>
      </c>
      <c r="O1415" s="3">
        <f>IF(ISNUMBER(AVERAGE('20250815_ETF_Options_Exhibits'!O1411:O1415)),AVERAGE('20250815_ETF_Options_Exhibits'!O1411:O1415),"")</f>
        <v/>
      </c>
      <c r="P1415" s="3">
        <f>IF(ISNUMBER(AVERAGE('20250815_ETF_Options_Exhibits'!P1411:P1415)),AVERAGE('20250815_ETF_Options_Exhibits'!P1411:P1415),"")</f>
        <v/>
      </c>
      <c r="Q1415" s="3">
        <f>IF(ISNUMBER(AVERAGE('20250815_ETF_Options_Exhibits'!Q1411:Q1415)),AVERAGE('20250815_ETF_Options_Exhibits'!Q1411:Q1415),"")</f>
        <v/>
      </c>
      <c r="R1415" s="3">
        <f>IF(ISNUMBER(AVERAGE('20250815_ETF_Options_Exhibits'!R1411:R1415)),AVERAGE('20250815_ETF_Options_Exhibits'!R1411:R1415),"")</f>
        <v/>
      </c>
      <c r="S1415" s="3">
        <f>IF(ISNUMBER(AVERAGE('20250815_ETF_Options_Exhibits'!S1411:S1415)),AVERAGE('20250815_ETF_Options_Exhibits'!S1411:S1415),"")</f>
        <v/>
      </c>
      <c r="T1415" s="3">
        <f>IF(ISNUMBER(AVERAGE('20250815_ETF_Options_Exhibits'!T1411:T1415)),AVERAGE('20250815_ETF_Options_Exhibits'!T1411:T1415),"")</f>
        <v/>
      </c>
      <c r="U1415" s="3">
        <f>IF(ISNUMBER(AVERAGE('20250815_ETF_Options_Exhibits'!U1411:U1415)),AVERAGE('20250815_ETF_Options_Exhibits'!U1411:U1415),"")</f>
        <v/>
      </c>
      <c r="V1415" s="3">
        <f>IF(ISNUMBER(AVERAGE('20250815_ETF_Options_Exhibits'!V1411:V1415)),AVERAGE('20250815_ETF_Options_Exhibits'!V1411:V1415),"")</f>
        <v/>
      </c>
      <c r="W1415" s="3">
        <f>IF(ISNUMBER(AVERAGE('20250815_ETF_Options_Exhibits'!W1411:W1415)),AVERAGE('20250815_ETF_Options_Exhibits'!W1411:W1415),"")</f>
        <v/>
      </c>
      <c r="X1415" s="3">
        <f>IF(ISNUMBER(AVERAGE('20250815_ETF_Options_Exhibits'!X1411:X1415)),AVERAGE('20250815_ETF_Options_Exhibits'!X1411:X1415),"")</f>
        <v/>
      </c>
      <c r="Y1415" s="3">
        <f>IF(ISNUMBER(AVERAGE('20250815_ETF_Options_Exhibits'!Y1411:Y1415)),AVERAGE('20250815_ETF_Options_Exhibits'!Y1411:Y1415),"")</f>
        <v/>
      </c>
      <c r="Z1415" s="3">
        <f>IF(ISNUMBER(AVERAGE('20250815_ETF_Options_Exhibits'!Z1411:Z1415)),AVERAGE('20250815_ETF_Options_Exhibits'!Z1411:Z1415),"")</f>
        <v/>
      </c>
      <c r="AA1415" s="3">
        <f>IF(ISNUMBER(AVERAGE('20250815_ETF_Options_Exhibits'!AA1411:AA1415)),AVERAGE('20250815_ETF_Options_Exhibits'!AA1411:AA1415),"")</f>
        <v/>
      </c>
    </row>
    <row r="1416">
      <c r="A1416" s="1" t="n">
        <v>44056</v>
      </c>
      <c r="B1416" s="3">
        <f>IF(ISNUMBER(AVERAGE('20250815_ETF_Options_Exhibits'!B1412:B1416)),AVERAGE('20250815_ETF_Options_Exhibits'!B1412:B1416),"")</f>
        <v/>
      </c>
      <c r="C1416" s="3">
        <f>IF(ISNUMBER(AVERAGE('20250815_ETF_Options_Exhibits'!C1412:C1416)),AVERAGE('20250815_ETF_Options_Exhibits'!C1412:C1416),"")</f>
        <v/>
      </c>
      <c r="D1416" s="3">
        <f>IF(ISNUMBER(AVERAGE('20250815_ETF_Options_Exhibits'!D1412:D1416)),AVERAGE('20250815_ETF_Options_Exhibits'!D1412:D1416),"")</f>
        <v/>
      </c>
      <c r="E1416" s="3">
        <f>IF(ISNUMBER(AVERAGE('20250815_ETF_Options_Exhibits'!E1412:E1416)),AVERAGE('20250815_ETF_Options_Exhibits'!E1412:E1416),"")</f>
        <v/>
      </c>
      <c r="F1416" s="3">
        <f>IF(ISNUMBER(AVERAGE('20250815_ETF_Options_Exhibits'!F1412:F1416)),AVERAGE('20250815_ETF_Options_Exhibits'!F1412:F1416),"")</f>
        <v/>
      </c>
      <c r="G1416" s="3">
        <f>IF(ISNUMBER(AVERAGE('20250815_ETF_Options_Exhibits'!G1412:G1416)),AVERAGE('20250815_ETF_Options_Exhibits'!G1412:G1416),"")</f>
        <v/>
      </c>
      <c r="H1416" s="3">
        <f>IF(ISNUMBER(AVERAGE('20250815_ETF_Options_Exhibits'!H1412:H1416)),AVERAGE('20250815_ETF_Options_Exhibits'!H1412:H1416),"")</f>
        <v/>
      </c>
      <c r="I1416" s="3">
        <f>IF(ISNUMBER(AVERAGE('20250815_ETF_Options_Exhibits'!I1412:I1416)),AVERAGE('20250815_ETF_Options_Exhibits'!I1412:I1416),"")</f>
        <v/>
      </c>
      <c r="J1416" s="3">
        <f>IF(ISNUMBER(AVERAGE('20250815_ETF_Options_Exhibits'!J1412:J1416)),AVERAGE('20250815_ETF_Options_Exhibits'!J1412:J1416),"")</f>
        <v/>
      </c>
      <c r="K1416" s="3">
        <f>IF(ISNUMBER(AVERAGE('20250815_ETF_Options_Exhibits'!K1412:K1416)),AVERAGE('20250815_ETF_Options_Exhibits'!K1412:K1416),"")</f>
        <v/>
      </c>
      <c r="L1416" s="3">
        <f>IF(ISNUMBER(AVERAGE('20250815_ETF_Options_Exhibits'!L1412:L1416)),AVERAGE('20250815_ETF_Options_Exhibits'!L1412:L1416),"")</f>
        <v/>
      </c>
      <c r="M1416" s="3">
        <f>IF(ISNUMBER(AVERAGE('20250815_ETF_Options_Exhibits'!M1412:M1416)),AVERAGE('20250815_ETF_Options_Exhibits'!M1412:M1416),"")</f>
        <v/>
      </c>
      <c r="N1416" s="3">
        <f>IF(ISNUMBER(AVERAGE('20250815_ETF_Options_Exhibits'!N1412:N1416)),AVERAGE('20250815_ETF_Options_Exhibits'!N1412:N1416),"")</f>
        <v/>
      </c>
      <c r="O1416" s="3">
        <f>IF(ISNUMBER(AVERAGE('20250815_ETF_Options_Exhibits'!O1412:O1416)),AVERAGE('20250815_ETF_Options_Exhibits'!O1412:O1416),"")</f>
        <v/>
      </c>
      <c r="P1416" s="3">
        <f>IF(ISNUMBER(AVERAGE('20250815_ETF_Options_Exhibits'!P1412:P1416)),AVERAGE('20250815_ETF_Options_Exhibits'!P1412:P1416),"")</f>
        <v/>
      </c>
      <c r="Q1416" s="3">
        <f>IF(ISNUMBER(AVERAGE('20250815_ETF_Options_Exhibits'!Q1412:Q1416)),AVERAGE('20250815_ETF_Options_Exhibits'!Q1412:Q1416),"")</f>
        <v/>
      </c>
      <c r="R1416" s="3">
        <f>IF(ISNUMBER(AVERAGE('20250815_ETF_Options_Exhibits'!R1412:R1416)),AVERAGE('20250815_ETF_Options_Exhibits'!R1412:R1416),"")</f>
        <v/>
      </c>
      <c r="S1416" s="3">
        <f>IF(ISNUMBER(AVERAGE('20250815_ETF_Options_Exhibits'!S1412:S1416)),AVERAGE('20250815_ETF_Options_Exhibits'!S1412:S1416),"")</f>
        <v/>
      </c>
      <c r="T1416" s="3">
        <f>IF(ISNUMBER(AVERAGE('20250815_ETF_Options_Exhibits'!T1412:T1416)),AVERAGE('20250815_ETF_Options_Exhibits'!T1412:T1416),"")</f>
        <v/>
      </c>
      <c r="U1416" s="3">
        <f>IF(ISNUMBER(AVERAGE('20250815_ETF_Options_Exhibits'!U1412:U1416)),AVERAGE('20250815_ETF_Options_Exhibits'!U1412:U1416),"")</f>
        <v/>
      </c>
      <c r="V1416" s="3">
        <f>IF(ISNUMBER(AVERAGE('20250815_ETF_Options_Exhibits'!V1412:V1416)),AVERAGE('20250815_ETF_Options_Exhibits'!V1412:V1416),"")</f>
        <v/>
      </c>
      <c r="W1416" s="3">
        <f>IF(ISNUMBER(AVERAGE('20250815_ETF_Options_Exhibits'!W1412:W1416)),AVERAGE('20250815_ETF_Options_Exhibits'!W1412:W1416),"")</f>
        <v/>
      </c>
      <c r="X1416" s="3">
        <f>IF(ISNUMBER(AVERAGE('20250815_ETF_Options_Exhibits'!X1412:X1416)),AVERAGE('20250815_ETF_Options_Exhibits'!X1412:X1416),"")</f>
        <v/>
      </c>
      <c r="Y1416" s="3">
        <f>IF(ISNUMBER(AVERAGE('20250815_ETF_Options_Exhibits'!Y1412:Y1416)),AVERAGE('20250815_ETF_Options_Exhibits'!Y1412:Y1416),"")</f>
        <v/>
      </c>
      <c r="Z1416" s="3">
        <f>IF(ISNUMBER(AVERAGE('20250815_ETF_Options_Exhibits'!Z1412:Z1416)),AVERAGE('20250815_ETF_Options_Exhibits'!Z1412:Z1416),"")</f>
        <v/>
      </c>
      <c r="AA1416" s="3">
        <f>IF(ISNUMBER(AVERAGE('20250815_ETF_Options_Exhibits'!AA1412:AA1416)),AVERAGE('20250815_ETF_Options_Exhibits'!AA1412:AA1416),"")</f>
        <v/>
      </c>
    </row>
    <row r="1417">
      <c r="A1417" s="1" t="n">
        <v>44057</v>
      </c>
      <c r="B1417" s="3">
        <f>IF(ISNUMBER(AVERAGE('20250815_ETF_Options_Exhibits'!B1413:B1417)),AVERAGE('20250815_ETF_Options_Exhibits'!B1413:B1417),"")</f>
        <v/>
      </c>
      <c r="C1417" s="3">
        <f>IF(ISNUMBER(AVERAGE('20250815_ETF_Options_Exhibits'!C1413:C1417)),AVERAGE('20250815_ETF_Options_Exhibits'!C1413:C1417),"")</f>
        <v/>
      </c>
      <c r="D1417" s="3">
        <f>IF(ISNUMBER(AVERAGE('20250815_ETF_Options_Exhibits'!D1413:D1417)),AVERAGE('20250815_ETF_Options_Exhibits'!D1413:D1417),"")</f>
        <v/>
      </c>
      <c r="E1417" s="3">
        <f>IF(ISNUMBER(AVERAGE('20250815_ETF_Options_Exhibits'!E1413:E1417)),AVERAGE('20250815_ETF_Options_Exhibits'!E1413:E1417),"")</f>
        <v/>
      </c>
      <c r="F1417" s="3">
        <f>IF(ISNUMBER(AVERAGE('20250815_ETF_Options_Exhibits'!F1413:F1417)),AVERAGE('20250815_ETF_Options_Exhibits'!F1413:F1417),"")</f>
        <v/>
      </c>
      <c r="G1417" s="3">
        <f>IF(ISNUMBER(AVERAGE('20250815_ETF_Options_Exhibits'!G1413:G1417)),AVERAGE('20250815_ETF_Options_Exhibits'!G1413:G1417),"")</f>
        <v/>
      </c>
      <c r="H1417" s="3">
        <f>IF(ISNUMBER(AVERAGE('20250815_ETF_Options_Exhibits'!H1413:H1417)),AVERAGE('20250815_ETF_Options_Exhibits'!H1413:H1417),"")</f>
        <v/>
      </c>
      <c r="I1417" s="3">
        <f>IF(ISNUMBER(AVERAGE('20250815_ETF_Options_Exhibits'!I1413:I1417)),AVERAGE('20250815_ETF_Options_Exhibits'!I1413:I1417),"")</f>
        <v/>
      </c>
      <c r="J1417" s="3">
        <f>IF(ISNUMBER(AVERAGE('20250815_ETF_Options_Exhibits'!J1413:J1417)),AVERAGE('20250815_ETF_Options_Exhibits'!J1413:J1417),"")</f>
        <v/>
      </c>
      <c r="K1417" s="3">
        <f>IF(ISNUMBER(AVERAGE('20250815_ETF_Options_Exhibits'!K1413:K1417)),AVERAGE('20250815_ETF_Options_Exhibits'!K1413:K1417),"")</f>
        <v/>
      </c>
      <c r="L1417" s="3">
        <f>IF(ISNUMBER(AVERAGE('20250815_ETF_Options_Exhibits'!L1413:L1417)),AVERAGE('20250815_ETF_Options_Exhibits'!L1413:L1417),"")</f>
        <v/>
      </c>
      <c r="M1417" s="3">
        <f>IF(ISNUMBER(AVERAGE('20250815_ETF_Options_Exhibits'!M1413:M1417)),AVERAGE('20250815_ETF_Options_Exhibits'!M1413:M1417),"")</f>
        <v/>
      </c>
      <c r="N1417" s="3">
        <f>IF(ISNUMBER(AVERAGE('20250815_ETF_Options_Exhibits'!N1413:N1417)),AVERAGE('20250815_ETF_Options_Exhibits'!N1413:N1417),"")</f>
        <v/>
      </c>
      <c r="O1417" s="3">
        <f>IF(ISNUMBER(AVERAGE('20250815_ETF_Options_Exhibits'!O1413:O1417)),AVERAGE('20250815_ETF_Options_Exhibits'!O1413:O1417),"")</f>
        <v/>
      </c>
      <c r="P1417" s="3">
        <f>IF(ISNUMBER(AVERAGE('20250815_ETF_Options_Exhibits'!P1413:P1417)),AVERAGE('20250815_ETF_Options_Exhibits'!P1413:P1417),"")</f>
        <v/>
      </c>
      <c r="Q1417" s="3">
        <f>IF(ISNUMBER(AVERAGE('20250815_ETF_Options_Exhibits'!Q1413:Q1417)),AVERAGE('20250815_ETF_Options_Exhibits'!Q1413:Q1417),"")</f>
        <v/>
      </c>
      <c r="R1417" s="3">
        <f>IF(ISNUMBER(AVERAGE('20250815_ETF_Options_Exhibits'!R1413:R1417)),AVERAGE('20250815_ETF_Options_Exhibits'!R1413:R1417),"")</f>
        <v/>
      </c>
      <c r="S1417" s="3">
        <f>IF(ISNUMBER(AVERAGE('20250815_ETF_Options_Exhibits'!S1413:S1417)),AVERAGE('20250815_ETF_Options_Exhibits'!S1413:S1417),"")</f>
        <v/>
      </c>
      <c r="T1417" s="3">
        <f>IF(ISNUMBER(AVERAGE('20250815_ETF_Options_Exhibits'!T1413:T1417)),AVERAGE('20250815_ETF_Options_Exhibits'!T1413:T1417),"")</f>
        <v/>
      </c>
      <c r="U1417" s="3">
        <f>IF(ISNUMBER(AVERAGE('20250815_ETF_Options_Exhibits'!U1413:U1417)),AVERAGE('20250815_ETF_Options_Exhibits'!U1413:U1417),"")</f>
        <v/>
      </c>
      <c r="V1417" s="3">
        <f>IF(ISNUMBER(AVERAGE('20250815_ETF_Options_Exhibits'!V1413:V1417)),AVERAGE('20250815_ETF_Options_Exhibits'!V1413:V1417),"")</f>
        <v/>
      </c>
      <c r="W1417" s="3">
        <f>IF(ISNUMBER(AVERAGE('20250815_ETF_Options_Exhibits'!W1413:W1417)),AVERAGE('20250815_ETF_Options_Exhibits'!W1413:W1417),"")</f>
        <v/>
      </c>
      <c r="X1417" s="3">
        <f>IF(ISNUMBER(AVERAGE('20250815_ETF_Options_Exhibits'!X1413:X1417)),AVERAGE('20250815_ETF_Options_Exhibits'!X1413:X1417),"")</f>
        <v/>
      </c>
      <c r="Y1417" s="3">
        <f>IF(ISNUMBER(AVERAGE('20250815_ETF_Options_Exhibits'!Y1413:Y1417)),AVERAGE('20250815_ETF_Options_Exhibits'!Y1413:Y1417),"")</f>
        <v/>
      </c>
      <c r="Z1417" s="3">
        <f>IF(ISNUMBER(AVERAGE('20250815_ETF_Options_Exhibits'!Z1413:Z1417)),AVERAGE('20250815_ETF_Options_Exhibits'!Z1413:Z1417),"")</f>
        <v/>
      </c>
      <c r="AA1417" s="3">
        <f>IF(ISNUMBER(AVERAGE('20250815_ETF_Options_Exhibits'!AA1413:AA1417)),AVERAGE('20250815_ETF_Options_Exhibits'!AA1413:AA1417),"")</f>
        <v/>
      </c>
    </row>
    <row r="1418">
      <c r="A1418" s="1" t="n">
        <v>44060</v>
      </c>
      <c r="B1418" s="3">
        <f>IF(ISNUMBER(AVERAGE('20250815_ETF_Options_Exhibits'!B1414:B1418)),AVERAGE('20250815_ETF_Options_Exhibits'!B1414:B1418),"")</f>
        <v/>
      </c>
      <c r="C1418" s="3">
        <f>IF(ISNUMBER(AVERAGE('20250815_ETF_Options_Exhibits'!C1414:C1418)),AVERAGE('20250815_ETF_Options_Exhibits'!C1414:C1418),"")</f>
        <v/>
      </c>
      <c r="D1418" s="3">
        <f>IF(ISNUMBER(AVERAGE('20250815_ETF_Options_Exhibits'!D1414:D1418)),AVERAGE('20250815_ETF_Options_Exhibits'!D1414:D1418),"")</f>
        <v/>
      </c>
      <c r="E1418" s="3">
        <f>IF(ISNUMBER(AVERAGE('20250815_ETF_Options_Exhibits'!E1414:E1418)),AVERAGE('20250815_ETF_Options_Exhibits'!E1414:E1418),"")</f>
        <v/>
      </c>
      <c r="F1418" s="3">
        <f>IF(ISNUMBER(AVERAGE('20250815_ETF_Options_Exhibits'!F1414:F1418)),AVERAGE('20250815_ETF_Options_Exhibits'!F1414:F1418),"")</f>
        <v/>
      </c>
      <c r="G1418" s="3">
        <f>IF(ISNUMBER(AVERAGE('20250815_ETF_Options_Exhibits'!G1414:G1418)),AVERAGE('20250815_ETF_Options_Exhibits'!G1414:G1418),"")</f>
        <v/>
      </c>
      <c r="H1418" s="3">
        <f>IF(ISNUMBER(AVERAGE('20250815_ETF_Options_Exhibits'!H1414:H1418)),AVERAGE('20250815_ETF_Options_Exhibits'!H1414:H1418),"")</f>
        <v/>
      </c>
      <c r="I1418" s="3">
        <f>IF(ISNUMBER(AVERAGE('20250815_ETF_Options_Exhibits'!I1414:I1418)),AVERAGE('20250815_ETF_Options_Exhibits'!I1414:I1418),"")</f>
        <v/>
      </c>
      <c r="J1418" s="3">
        <f>IF(ISNUMBER(AVERAGE('20250815_ETF_Options_Exhibits'!J1414:J1418)),AVERAGE('20250815_ETF_Options_Exhibits'!J1414:J1418),"")</f>
        <v/>
      </c>
      <c r="K1418" s="3">
        <f>IF(ISNUMBER(AVERAGE('20250815_ETF_Options_Exhibits'!K1414:K1418)),AVERAGE('20250815_ETF_Options_Exhibits'!K1414:K1418),"")</f>
        <v/>
      </c>
      <c r="L1418" s="3">
        <f>IF(ISNUMBER(AVERAGE('20250815_ETF_Options_Exhibits'!L1414:L1418)),AVERAGE('20250815_ETF_Options_Exhibits'!L1414:L1418),"")</f>
        <v/>
      </c>
      <c r="M1418" s="3">
        <f>IF(ISNUMBER(AVERAGE('20250815_ETF_Options_Exhibits'!M1414:M1418)),AVERAGE('20250815_ETF_Options_Exhibits'!M1414:M1418),"")</f>
        <v/>
      </c>
      <c r="N1418" s="3">
        <f>IF(ISNUMBER(AVERAGE('20250815_ETF_Options_Exhibits'!N1414:N1418)),AVERAGE('20250815_ETF_Options_Exhibits'!N1414:N1418),"")</f>
        <v/>
      </c>
      <c r="O1418" s="3">
        <f>IF(ISNUMBER(AVERAGE('20250815_ETF_Options_Exhibits'!O1414:O1418)),AVERAGE('20250815_ETF_Options_Exhibits'!O1414:O1418),"")</f>
        <v/>
      </c>
      <c r="P1418" s="3">
        <f>IF(ISNUMBER(AVERAGE('20250815_ETF_Options_Exhibits'!P1414:P1418)),AVERAGE('20250815_ETF_Options_Exhibits'!P1414:P1418),"")</f>
        <v/>
      </c>
      <c r="Q1418" s="3">
        <f>IF(ISNUMBER(AVERAGE('20250815_ETF_Options_Exhibits'!Q1414:Q1418)),AVERAGE('20250815_ETF_Options_Exhibits'!Q1414:Q1418),"")</f>
        <v/>
      </c>
      <c r="R1418" s="3">
        <f>IF(ISNUMBER(AVERAGE('20250815_ETF_Options_Exhibits'!R1414:R1418)),AVERAGE('20250815_ETF_Options_Exhibits'!R1414:R1418),"")</f>
        <v/>
      </c>
      <c r="S1418" s="3">
        <f>IF(ISNUMBER(AVERAGE('20250815_ETF_Options_Exhibits'!S1414:S1418)),AVERAGE('20250815_ETF_Options_Exhibits'!S1414:S1418),"")</f>
        <v/>
      </c>
      <c r="T1418" s="3">
        <f>IF(ISNUMBER(AVERAGE('20250815_ETF_Options_Exhibits'!T1414:T1418)),AVERAGE('20250815_ETF_Options_Exhibits'!T1414:T1418),"")</f>
        <v/>
      </c>
      <c r="U1418" s="3">
        <f>IF(ISNUMBER(AVERAGE('20250815_ETF_Options_Exhibits'!U1414:U1418)),AVERAGE('20250815_ETF_Options_Exhibits'!U1414:U1418),"")</f>
        <v/>
      </c>
      <c r="V1418" s="3">
        <f>IF(ISNUMBER(AVERAGE('20250815_ETF_Options_Exhibits'!V1414:V1418)),AVERAGE('20250815_ETF_Options_Exhibits'!V1414:V1418),"")</f>
        <v/>
      </c>
      <c r="W1418" s="3">
        <f>IF(ISNUMBER(AVERAGE('20250815_ETF_Options_Exhibits'!W1414:W1418)),AVERAGE('20250815_ETF_Options_Exhibits'!W1414:W1418),"")</f>
        <v/>
      </c>
      <c r="X1418" s="3">
        <f>IF(ISNUMBER(AVERAGE('20250815_ETF_Options_Exhibits'!X1414:X1418)),AVERAGE('20250815_ETF_Options_Exhibits'!X1414:X1418),"")</f>
        <v/>
      </c>
      <c r="Y1418" s="3">
        <f>IF(ISNUMBER(AVERAGE('20250815_ETF_Options_Exhibits'!Y1414:Y1418)),AVERAGE('20250815_ETF_Options_Exhibits'!Y1414:Y1418),"")</f>
        <v/>
      </c>
      <c r="Z1418" s="3">
        <f>IF(ISNUMBER(AVERAGE('20250815_ETF_Options_Exhibits'!Z1414:Z1418)),AVERAGE('20250815_ETF_Options_Exhibits'!Z1414:Z1418),"")</f>
        <v/>
      </c>
      <c r="AA1418" s="3">
        <f>IF(ISNUMBER(AVERAGE('20250815_ETF_Options_Exhibits'!AA1414:AA1418)),AVERAGE('20250815_ETF_Options_Exhibits'!AA1414:AA1418),"")</f>
        <v/>
      </c>
    </row>
    <row r="1419">
      <c r="A1419" s="1" t="n">
        <v>44061</v>
      </c>
      <c r="B1419" s="3">
        <f>IF(ISNUMBER(AVERAGE('20250815_ETF_Options_Exhibits'!B1415:B1419)),AVERAGE('20250815_ETF_Options_Exhibits'!B1415:B1419),"")</f>
        <v/>
      </c>
      <c r="C1419" s="3">
        <f>IF(ISNUMBER(AVERAGE('20250815_ETF_Options_Exhibits'!C1415:C1419)),AVERAGE('20250815_ETF_Options_Exhibits'!C1415:C1419),"")</f>
        <v/>
      </c>
      <c r="D1419" s="3">
        <f>IF(ISNUMBER(AVERAGE('20250815_ETF_Options_Exhibits'!D1415:D1419)),AVERAGE('20250815_ETF_Options_Exhibits'!D1415:D1419),"")</f>
        <v/>
      </c>
      <c r="E1419" s="3">
        <f>IF(ISNUMBER(AVERAGE('20250815_ETF_Options_Exhibits'!E1415:E1419)),AVERAGE('20250815_ETF_Options_Exhibits'!E1415:E1419),"")</f>
        <v/>
      </c>
      <c r="F1419" s="3">
        <f>IF(ISNUMBER(AVERAGE('20250815_ETF_Options_Exhibits'!F1415:F1419)),AVERAGE('20250815_ETF_Options_Exhibits'!F1415:F1419),"")</f>
        <v/>
      </c>
      <c r="G1419" s="3">
        <f>IF(ISNUMBER(AVERAGE('20250815_ETF_Options_Exhibits'!G1415:G1419)),AVERAGE('20250815_ETF_Options_Exhibits'!G1415:G1419),"")</f>
        <v/>
      </c>
      <c r="H1419" s="3">
        <f>IF(ISNUMBER(AVERAGE('20250815_ETF_Options_Exhibits'!H1415:H1419)),AVERAGE('20250815_ETF_Options_Exhibits'!H1415:H1419),"")</f>
        <v/>
      </c>
      <c r="I1419" s="3">
        <f>IF(ISNUMBER(AVERAGE('20250815_ETF_Options_Exhibits'!I1415:I1419)),AVERAGE('20250815_ETF_Options_Exhibits'!I1415:I1419),"")</f>
        <v/>
      </c>
      <c r="J1419" s="3">
        <f>IF(ISNUMBER(AVERAGE('20250815_ETF_Options_Exhibits'!J1415:J1419)),AVERAGE('20250815_ETF_Options_Exhibits'!J1415:J1419),"")</f>
        <v/>
      </c>
      <c r="K1419" s="3">
        <f>IF(ISNUMBER(AVERAGE('20250815_ETF_Options_Exhibits'!K1415:K1419)),AVERAGE('20250815_ETF_Options_Exhibits'!K1415:K1419),"")</f>
        <v/>
      </c>
      <c r="L1419" s="3">
        <f>IF(ISNUMBER(AVERAGE('20250815_ETF_Options_Exhibits'!L1415:L1419)),AVERAGE('20250815_ETF_Options_Exhibits'!L1415:L1419),"")</f>
        <v/>
      </c>
      <c r="M1419" s="3">
        <f>IF(ISNUMBER(AVERAGE('20250815_ETF_Options_Exhibits'!M1415:M1419)),AVERAGE('20250815_ETF_Options_Exhibits'!M1415:M1419),"")</f>
        <v/>
      </c>
      <c r="N1419" s="3">
        <f>IF(ISNUMBER(AVERAGE('20250815_ETF_Options_Exhibits'!N1415:N1419)),AVERAGE('20250815_ETF_Options_Exhibits'!N1415:N1419),"")</f>
        <v/>
      </c>
      <c r="O1419" s="3">
        <f>IF(ISNUMBER(AVERAGE('20250815_ETF_Options_Exhibits'!O1415:O1419)),AVERAGE('20250815_ETF_Options_Exhibits'!O1415:O1419),"")</f>
        <v/>
      </c>
      <c r="P1419" s="3">
        <f>IF(ISNUMBER(AVERAGE('20250815_ETF_Options_Exhibits'!P1415:P1419)),AVERAGE('20250815_ETF_Options_Exhibits'!P1415:P1419),"")</f>
        <v/>
      </c>
      <c r="Q1419" s="3">
        <f>IF(ISNUMBER(AVERAGE('20250815_ETF_Options_Exhibits'!Q1415:Q1419)),AVERAGE('20250815_ETF_Options_Exhibits'!Q1415:Q1419),"")</f>
        <v/>
      </c>
      <c r="R1419" s="3">
        <f>IF(ISNUMBER(AVERAGE('20250815_ETF_Options_Exhibits'!R1415:R1419)),AVERAGE('20250815_ETF_Options_Exhibits'!R1415:R1419),"")</f>
        <v/>
      </c>
      <c r="S1419" s="3">
        <f>IF(ISNUMBER(AVERAGE('20250815_ETF_Options_Exhibits'!S1415:S1419)),AVERAGE('20250815_ETF_Options_Exhibits'!S1415:S1419),"")</f>
        <v/>
      </c>
      <c r="T1419" s="3">
        <f>IF(ISNUMBER(AVERAGE('20250815_ETF_Options_Exhibits'!T1415:T1419)),AVERAGE('20250815_ETF_Options_Exhibits'!T1415:T1419),"")</f>
        <v/>
      </c>
      <c r="U1419" s="3">
        <f>IF(ISNUMBER(AVERAGE('20250815_ETF_Options_Exhibits'!U1415:U1419)),AVERAGE('20250815_ETF_Options_Exhibits'!U1415:U1419),"")</f>
        <v/>
      </c>
      <c r="V1419" s="3">
        <f>IF(ISNUMBER(AVERAGE('20250815_ETF_Options_Exhibits'!V1415:V1419)),AVERAGE('20250815_ETF_Options_Exhibits'!V1415:V1419),"")</f>
        <v/>
      </c>
      <c r="W1419" s="3">
        <f>IF(ISNUMBER(AVERAGE('20250815_ETF_Options_Exhibits'!W1415:W1419)),AVERAGE('20250815_ETF_Options_Exhibits'!W1415:W1419),"")</f>
        <v/>
      </c>
      <c r="X1419" s="3">
        <f>IF(ISNUMBER(AVERAGE('20250815_ETF_Options_Exhibits'!X1415:X1419)),AVERAGE('20250815_ETF_Options_Exhibits'!X1415:X1419),"")</f>
        <v/>
      </c>
      <c r="Y1419" s="3">
        <f>IF(ISNUMBER(AVERAGE('20250815_ETF_Options_Exhibits'!Y1415:Y1419)),AVERAGE('20250815_ETF_Options_Exhibits'!Y1415:Y1419),"")</f>
        <v/>
      </c>
      <c r="Z1419" s="3">
        <f>IF(ISNUMBER(AVERAGE('20250815_ETF_Options_Exhibits'!Z1415:Z1419)),AVERAGE('20250815_ETF_Options_Exhibits'!Z1415:Z1419),"")</f>
        <v/>
      </c>
      <c r="AA1419" s="3">
        <f>IF(ISNUMBER(AVERAGE('20250815_ETF_Options_Exhibits'!AA1415:AA1419)),AVERAGE('20250815_ETF_Options_Exhibits'!AA1415:AA1419),"")</f>
        <v/>
      </c>
    </row>
    <row r="1420">
      <c r="A1420" s="1" t="n">
        <v>44062</v>
      </c>
      <c r="B1420" s="3">
        <f>IF(ISNUMBER(AVERAGE('20250815_ETF_Options_Exhibits'!B1416:B1420)),AVERAGE('20250815_ETF_Options_Exhibits'!B1416:B1420),"")</f>
        <v/>
      </c>
      <c r="C1420" s="3">
        <f>IF(ISNUMBER(AVERAGE('20250815_ETF_Options_Exhibits'!C1416:C1420)),AVERAGE('20250815_ETF_Options_Exhibits'!C1416:C1420),"")</f>
        <v/>
      </c>
      <c r="D1420" s="3">
        <f>IF(ISNUMBER(AVERAGE('20250815_ETF_Options_Exhibits'!D1416:D1420)),AVERAGE('20250815_ETF_Options_Exhibits'!D1416:D1420),"")</f>
        <v/>
      </c>
      <c r="E1420" s="3">
        <f>IF(ISNUMBER(AVERAGE('20250815_ETF_Options_Exhibits'!E1416:E1420)),AVERAGE('20250815_ETF_Options_Exhibits'!E1416:E1420),"")</f>
        <v/>
      </c>
      <c r="F1420" s="3">
        <f>IF(ISNUMBER(AVERAGE('20250815_ETF_Options_Exhibits'!F1416:F1420)),AVERAGE('20250815_ETF_Options_Exhibits'!F1416:F1420),"")</f>
        <v/>
      </c>
      <c r="G1420" s="3">
        <f>IF(ISNUMBER(AVERAGE('20250815_ETF_Options_Exhibits'!G1416:G1420)),AVERAGE('20250815_ETF_Options_Exhibits'!G1416:G1420),"")</f>
        <v/>
      </c>
      <c r="H1420" s="3">
        <f>IF(ISNUMBER(AVERAGE('20250815_ETF_Options_Exhibits'!H1416:H1420)),AVERAGE('20250815_ETF_Options_Exhibits'!H1416:H1420),"")</f>
        <v/>
      </c>
      <c r="I1420" s="3">
        <f>IF(ISNUMBER(AVERAGE('20250815_ETF_Options_Exhibits'!I1416:I1420)),AVERAGE('20250815_ETF_Options_Exhibits'!I1416:I1420),"")</f>
        <v/>
      </c>
      <c r="J1420" s="3">
        <f>IF(ISNUMBER(AVERAGE('20250815_ETF_Options_Exhibits'!J1416:J1420)),AVERAGE('20250815_ETF_Options_Exhibits'!J1416:J1420),"")</f>
        <v/>
      </c>
      <c r="K1420" s="3">
        <f>IF(ISNUMBER(AVERAGE('20250815_ETF_Options_Exhibits'!K1416:K1420)),AVERAGE('20250815_ETF_Options_Exhibits'!K1416:K1420),"")</f>
        <v/>
      </c>
      <c r="L1420" s="3">
        <f>IF(ISNUMBER(AVERAGE('20250815_ETF_Options_Exhibits'!L1416:L1420)),AVERAGE('20250815_ETF_Options_Exhibits'!L1416:L1420),"")</f>
        <v/>
      </c>
      <c r="M1420" s="3">
        <f>IF(ISNUMBER(AVERAGE('20250815_ETF_Options_Exhibits'!M1416:M1420)),AVERAGE('20250815_ETF_Options_Exhibits'!M1416:M1420),"")</f>
        <v/>
      </c>
      <c r="N1420" s="3">
        <f>IF(ISNUMBER(AVERAGE('20250815_ETF_Options_Exhibits'!N1416:N1420)),AVERAGE('20250815_ETF_Options_Exhibits'!N1416:N1420),"")</f>
        <v/>
      </c>
      <c r="O1420" s="3">
        <f>IF(ISNUMBER(AVERAGE('20250815_ETF_Options_Exhibits'!O1416:O1420)),AVERAGE('20250815_ETF_Options_Exhibits'!O1416:O1420),"")</f>
        <v/>
      </c>
      <c r="P1420" s="3">
        <f>IF(ISNUMBER(AVERAGE('20250815_ETF_Options_Exhibits'!P1416:P1420)),AVERAGE('20250815_ETF_Options_Exhibits'!P1416:P1420),"")</f>
        <v/>
      </c>
      <c r="Q1420" s="3">
        <f>IF(ISNUMBER(AVERAGE('20250815_ETF_Options_Exhibits'!Q1416:Q1420)),AVERAGE('20250815_ETF_Options_Exhibits'!Q1416:Q1420),"")</f>
        <v/>
      </c>
      <c r="R1420" s="3">
        <f>IF(ISNUMBER(AVERAGE('20250815_ETF_Options_Exhibits'!R1416:R1420)),AVERAGE('20250815_ETF_Options_Exhibits'!R1416:R1420),"")</f>
        <v/>
      </c>
      <c r="S1420" s="3">
        <f>IF(ISNUMBER(AVERAGE('20250815_ETF_Options_Exhibits'!S1416:S1420)),AVERAGE('20250815_ETF_Options_Exhibits'!S1416:S1420),"")</f>
        <v/>
      </c>
      <c r="T1420" s="3">
        <f>IF(ISNUMBER(AVERAGE('20250815_ETF_Options_Exhibits'!T1416:T1420)),AVERAGE('20250815_ETF_Options_Exhibits'!T1416:T1420),"")</f>
        <v/>
      </c>
      <c r="U1420" s="3">
        <f>IF(ISNUMBER(AVERAGE('20250815_ETF_Options_Exhibits'!U1416:U1420)),AVERAGE('20250815_ETF_Options_Exhibits'!U1416:U1420),"")</f>
        <v/>
      </c>
      <c r="V1420" s="3">
        <f>IF(ISNUMBER(AVERAGE('20250815_ETF_Options_Exhibits'!V1416:V1420)),AVERAGE('20250815_ETF_Options_Exhibits'!V1416:V1420),"")</f>
        <v/>
      </c>
      <c r="W1420" s="3">
        <f>IF(ISNUMBER(AVERAGE('20250815_ETF_Options_Exhibits'!W1416:W1420)),AVERAGE('20250815_ETF_Options_Exhibits'!W1416:W1420),"")</f>
        <v/>
      </c>
      <c r="X1420" s="3">
        <f>IF(ISNUMBER(AVERAGE('20250815_ETF_Options_Exhibits'!X1416:X1420)),AVERAGE('20250815_ETF_Options_Exhibits'!X1416:X1420),"")</f>
        <v/>
      </c>
      <c r="Y1420" s="3">
        <f>IF(ISNUMBER(AVERAGE('20250815_ETF_Options_Exhibits'!Y1416:Y1420)),AVERAGE('20250815_ETF_Options_Exhibits'!Y1416:Y1420),"")</f>
        <v/>
      </c>
      <c r="Z1420" s="3">
        <f>IF(ISNUMBER(AVERAGE('20250815_ETF_Options_Exhibits'!Z1416:Z1420)),AVERAGE('20250815_ETF_Options_Exhibits'!Z1416:Z1420),"")</f>
        <v/>
      </c>
      <c r="AA1420" s="3">
        <f>IF(ISNUMBER(AVERAGE('20250815_ETF_Options_Exhibits'!AA1416:AA1420)),AVERAGE('20250815_ETF_Options_Exhibits'!AA1416:AA1420),"")</f>
        <v/>
      </c>
    </row>
    <row r="1421">
      <c r="A1421" s="1" t="n">
        <v>44063</v>
      </c>
      <c r="B1421" s="3">
        <f>IF(ISNUMBER(AVERAGE('20250815_ETF_Options_Exhibits'!B1417:B1421)),AVERAGE('20250815_ETF_Options_Exhibits'!B1417:B1421),"")</f>
        <v/>
      </c>
      <c r="C1421" s="3">
        <f>IF(ISNUMBER(AVERAGE('20250815_ETF_Options_Exhibits'!C1417:C1421)),AVERAGE('20250815_ETF_Options_Exhibits'!C1417:C1421),"")</f>
        <v/>
      </c>
      <c r="D1421" s="3">
        <f>IF(ISNUMBER(AVERAGE('20250815_ETF_Options_Exhibits'!D1417:D1421)),AVERAGE('20250815_ETF_Options_Exhibits'!D1417:D1421),"")</f>
        <v/>
      </c>
      <c r="E1421" s="3">
        <f>IF(ISNUMBER(AVERAGE('20250815_ETF_Options_Exhibits'!E1417:E1421)),AVERAGE('20250815_ETF_Options_Exhibits'!E1417:E1421),"")</f>
        <v/>
      </c>
      <c r="F1421" s="3">
        <f>IF(ISNUMBER(AVERAGE('20250815_ETF_Options_Exhibits'!F1417:F1421)),AVERAGE('20250815_ETF_Options_Exhibits'!F1417:F1421),"")</f>
        <v/>
      </c>
      <c r="G1421" s="3">
        <f>IF(ISNUMBER(AVERAGE('20250815_ETF_Options_Exhibits'!G1417:G1421)),AVERAGE('20250815_ETF_Options_Exhibits'!G1417:G1421),"")</f>
        <v/>
      </c>
      <c r="H1421" s="3">
        <f>IF(ISNUMBER(AVERAGE('20250815_ETF_Options_Exhibits'!H1417:H1421)),AVERAGE('20250815_ETF_Options_Exhibits'!H1417:H1421),"")</f>
        <v/>
      </c>
      <c r="I1421" s="3">
        <f>IF(ISNUMBER(AVERAGE('20250815_ETF_Options_Exhibits'!I1417:I1421)),AVERAGE('20250815_ETF_Options_Exhibits'!I1417:I1421),"")</f>
        <v/>
      </c>
      <c r="J1421" s="3">
        <f>IF(ISNUMBER(AVERAGE('20250815_ETF_Options_Exhibits'!J1417:J1421)),AVERAGE('20250815_ETF_Options_Exhibits'!J1417:J1421),"")</f>
        <v/>
      </c>
      <c r="K1421" s="3">
        <f>IF(ISNUMBER(AVERAGE('20250815_ETF_Options_Exhibits'!K1417:K1421)),AVERAGE('20250815_ETF_Options_Exhibits'!K1417:K1421),"")</f>
        <v/>
      </c>
      <c r="L1421" s="3">
        <f>IF(ISNUMBER(AVERAGE('20250815_ETF_Options_Exhibits'!L1417:L1421)),AVERAGE('20250815_ETF_Options_Exhibits'!L1417:L1421),"")</f>
        <v/>
      </c>
      <c r="M1421" s="3">
        <f>IF(ISNUMBER(AVERAGE('20250815_ETF_Options_Exhibits'!M1417:M1421)),AVERAGE('20250815_ETF_Options_Exhibits'!M1417:M1421),"")</f>
        <v/>
      </c>
      <c r="N1421" s="3">
        <f>IF(ISNUMBER(AVERAGE('20250815_ETF_Options_Exhibits'!N1417:N1421)),AVERAGE('20250815_ETF_Options_Exhibits'!N1417:N1421),"")</f>
        <v/>
      </c>
      <c r="O1421" s="3">
        <f>IF(ISNUMBER(AVERAGE('20250815_ETF_Options_Exhibits'!O1417:O1421)),AVERAGE('20250815_ETF_Options_Exhibits'!O1417:O1421),"")</f>
        <v/>
      </c>
      <c r="P1421" s="3">
        <f>IF(ISNUMBER(AVERAGE('20250815_ETF_Options_Exhibits'!P1417:P1421)),AVERAGE('20250815_ETF_Options_Exhibits'!P1417:P1421),"")</f>
        <v/>
      </c>
      <c r="Q1421" s="3">
        <f>IF(ISNUMBER(AVERAGE('20250815_ETF_Options_Exhibits'!Q1417:Q1421)),AVERAGE('20250815_ETF_Options_Exhibits'!Q1417:Q1421),"")</f>
        <v/>
      </c>
      <c r="R1421" s="3">
        <f>IF(ISNUMBER(AVERAGE('20250815_ETF_Options_Exhibits'!R1417:R1421)),AVERAGE('20250815_ETF_Options_Exhibits'!R1417:R1421),"")</f>
        <v/>
      </c>
      <c r="S1421" s="3">
        <f>IF(ISNUMBER(AVERAGE('20250815_ETF_Options_Exhibits'!S1417:S1421)),AVERAGE('20250815_ETF_Options_Exhibits'!S1417:S1421),"")</f>
        <v/>
      </c>
      <c r="T1421" s="3">
        <f>IF(ISNUMBER(AVERAGE('20250815_ETF_Options_Exhibits'!T1417:T1421)),AVERAGE('20250815_ETF_Options_Exhibits'!T1417:T1421),"")</f>
        <v/>
      </c>
      <c r="U1421" s="3">
        <f>IF(ISNUMBER(AVERAGE('20250815_ETF_Options_Exhibits'!U1417:U1421)),AVERAGE('20250815_ETF_Options_Exhibits'!U1417:U1421),"")</f>
        <v/>
      </c>
      <c r="V1421" s="3">
        <f>IF(ISNUMBER(AVERAGE('20250815_ETF_Options_Exhibits'!V1417:V1421)),AVERAGE('20250815_ETF_Options_Exhibits'!V1417:V1421),"")</f>
        <v/>
      </c>
      <c r="W1421" s="3">
        <f>IF(ISNUMBER(AVERAGE('20250815_ETF_Options_Exhibits'!W1417:W1421)),AVERAGE('20250815_ETF_Options_Exhibits'!W1417:W1421),"")</f>
        <v/>
      </c>
      <c r="X1421" s="3">
        <f>IF(ISNUMBER(AVERAGE('20250815_ETF_Options_Exhibits'!X1417:X1421)),AVERAGE('20250815_ETF_Options_Exhibits'!X1417:X1421),"")</f>
        <v/>
      </c>
      <c r="Y1421" s="3">
        <f>IF(ISNUMBER(AVERAGE('20250815_ETF_Options_Exhibits'!Y1417:Y1421)),AVERAGE('20250815_ETF_Options_Exhibits'!Y1417:Y1421),"")</f>
        <v/>
      </c>
      <c r="Z1421" s="3">
        <f>IF(ISNUMBER(AVERAGE('20250815_ETF_Options_Exhibits'!Z1417:Z1421)),AVERAGE('20250815_ETF_Options_Exhibits'!Z1417:Z1421),"")</f>
        <v/>
      </c>
      <c r="AA1421" s="3">
        <f>IF(ISNUMBER(AVERAGE('20250815_ETF_Options_Exhibits'!AA1417:AA1421)),AVERAGE('20250815_ETF_Options_Exhibits'!AA1417:AA1421),"")</f>
        <v/>
      </c>
    </row>
    <row r="1422">
      <c r="A1422" s="1" t="n">
        <v>44064</v>
      </c>
      <c r="B1422" s="3">
        <f>IF(ISNUMBER(AVERAGE('20250815_ETF_Options_Exhibits'!B1418:B1422)),AVERAGE('20250815_ETF_Options_Exhibits'!B1418:B1422),"")</f>
        <v/>
      </c>
      <c r="C1422" s="3">
        <f>IF(ISNUMBER(AVERAGE('20250815_ETF_Options_Exhibits'!C1418:C1422)),AVERAGE('20250815_ETF_Options_Exhibits'!C1418:C1422),"")</f>
        <v/>
      </c>
      <c r="D1422" s="3">
        <f>IF(ISNUMBER(AVERAGE('20250815_ETF_Options_Exhibits'!D1418:D1422)),AVERAGE('20250815_ETF_Options_Exhibits'!D1418:D1422),"")</f>
        <v/>
      </c>
      <c r="E1422" s="3">
        <f>IF(ISNUMBER(AVERAGE('20250815_ETF_Options_Exhibits'!E1418:E1422)),AVERAGE('20250815_ETF_Options_Exhibits'!E1418:E1422),"")</f>
        <v/>
      </c>
      <c r="F1422" s="3">
        <f>IF(ISNUMBER(AVERAGE('20250815_ETF_Options_Exhibits'!F1418:F1422)),AVERAGE('20250815_ETF_Options_Exhibits'!F1418:F1422),"")</f>
        <v/>
      </c>
      <c r="G1422" s="3">
        <f>IF(ISNUMBER(AVERAGE('20250815_ETF_Options_Exhibits'!G1418:G1422)),AVERAGE('20250815_ETF_Options_Exhibits'!G1418:G1422),"")</f>
        <v/>
      </c>
      <c r="H1422" s="3">
        <f>IF(ISNUMBER(AVERAGE('20250815_ETF_Options_Exhibits'!H1418:H1422)),AVERAGE('20250815_ETF_Options_Exhibits'!H1418:H1422),"")</f>
        <v/>
      </c>
      <c r="I1422" s="3">
        <f>IF(ISNUMBER(AVERAGE('20250815_ETF_Options_Exhibits'!I1418:I1422)),AVERAGE('20250815_ETF_Options_Exhibits'!I1418:I1422),"")</f>
        <v/>
      </c>
      <c r="J1422" s="3">
        <f>IF(ISNUMBER(AVERAGE('20250815_ETF_Options_Exhibits'!J1418:J1422)),AVERAGE('20250815_ETF_Options_Exhibits'!J1418:J1422),"")</f>
        <v/>
      </c>
      <c r="K1422" s="3">
        <f>IF(ISNUMBER(AVERAGE('20250815_ETF_Options_Exhibits'!K1418:K1422)),AVERAGE('20250815_ETF_Options_Exhibits'!K1418:K1422),"")</f>
        <v/>
      </c>
      <c r="L1422" s="3">
        <f>IF(ISNUMBER(AVERAGE('20250815_ETF_Options_Exhibits'!L1418:L1422)),AVERAGE('20250815_ETF_Options_Exhibits'!L1418:L1422),"")</f>
        <v/>
      </c>
      <c r="M1422" s="3">
        <f>IF(ISNUMBER(AVERAGE('20250815_ETF_Options_Exhibits'!M1418:M1422)),AVERAGE('20250815_ETF_Options_Exhibits'!M1418:M1422),"")</f>
        <v/>
      </c>
      <c r="N1422" s="3">
        <f>IF(ISNUMBER(AVERAGE('20250815_ETF_Options_Exhibits'!N1418:N1422)),AVERAGE('20250815_ETF_Options_Exhibits'!N1418:N1422),"")</f>
        <v/>
      </c>
      <c r="O1422" s="3">
        <f>IF(ISNUMBER(AVERAGE('20250815_ETF_Options_Exhibits'!O1418:O1422)),AVERAGE('20250815_ETF_Options_Exhibits'!O1418:O1422),"")</f>
        <v/>
      </c>
      <c r="P1422" s="3">
        <f>IF(ISNUMBER(AVERAGE('20250815_ETF_Options_Exhibits'!P1418:P1422)),AVERAGE('20250815_ETF_Options_Exhibits'!P1418:P1422),"")</f>
        <v/>
      </c>
      <c r="Q1422" s="3">
        <f>IF(ISNUMBER(AVERAGE('20250815_ETF_Options_Exhibits'!Q1418:Q1422)),AVERAGE('20250815_ETF_Options_Exhibits'!Q1418:Q1422),"")</f>
        <v/>
      </c>
      <c r="R1422" s="3">
        <f>IF(ISNUMBER(AVERAGE('20250815_ETF_Options_Exhibits'!R1418:R1422)),AVERAGE('20250815_ETF_Options_Exhibits'!R1418:R1422),"")</f>
        <v/>
      </c>
      <c r="S1422" s="3">
        <f>IF(ISNUMBER(AVERAGE('20250815_ETF_Options_Exhibits'!S1418:S1422)),AVERAGE('20250815_ETF_Options_Exhibits'!S1418:S1422),"")</f>
        <v/>
      </c>
      <c r="T1422" s="3">
        <f>IF(ISNUMBER(AVERAGE('20250815_ETF_Options_Exhibits'!T1418:T1422)),AVERAGE('20250815_ETF_Options_Exhibits'!T1418:T1422),"")</f>
        <v/>
      </c>
      <c r="U1422" s="3">
        <f>IF(ISNUMBER(AVERAGE('20250815_ETF_Options_Exhibits'!U1418:U1422)),AVERAGE('20250815_ETF_Options_Exhibits'!U1418:U1422),"")</f>
        <v/>
      </c>
      <c r="V1422" s="3">
        <f>IF(ISNUMBER(AVERAGE('20250815_ETF_Options_Exhibits'!V1418:V1422)),AVERAGE('20250815_ETF_Options_Exhibits'!V1418:V1422),"")</f>
        <v/>
      </c>
      <c r="W1422" s="3">
        <f>IF(ISNUMBER(AVERAGE('20250815_ETF_Options_Exhibits'!W1418:W1422)),AVERAGE('20250815_ETF_Options_Exhibits'!W1418:W1422),"")</f>
        <v/>
      </c>
      <c r="X1422" s="3">
        <f>IF(ISNUMBER(AVERAGE('20250815_ETF_Options_Exhibits'!X1418:X1422)),AVERAGE('20250815_ETF_Options_Exhibits'!X1418:X1422),"")</f>
        <v/>
      </c>
      <c r="Y1422" s="3">
        <f>IF(ISNUMBER(AVERAGE('20250815_ETF_Options_Exhibits'!Y1418:Y1422)),AVERAGE('20250815_ETF_Options_Exhibits'!Y1418:Y1422),"")</f>
        <v/>
      </c>
      <c r="Z1422" s="3">
        <f>IF(ISNUMBER(AVERAGE('20250815_ETF_Options_Exhibits'!Z1418:Z1422)),AVERAGE('20250815_ETF_Options_Exhibits'!Z1418:Z1422),"")</f>
        <v/>
      </c>
      <c r="AA1422" s="3">
        <f>IF(ISNUMBER(AVERAGE('20250815_ETF_Options_Exhibits'!AA1418:AA1422)),AVERAGE('20250815_ETF_Options_Exhibits'!AA1418:AA1422),"")</f>
        <v/>
      </c>
    </row>
    <row r="1423">
      <c r="A1423" s="1" t="n">
        <v>44067</v>
      </c>
      <c r="B1423" s="3">
        <f>IF(ISNUMBER(AVERAGE('20250815_ETF_Options_Exhibits'!B1419:B1423)),AVERAGE('20250815_ETF_Options_Exhibits'!B1419:B1423),"")</f>
        <v/>
      </c>
      <c r="C1423" s="3">
        <f>IF(ISNUMBER(AVERAGE('20250815_ETF_Options_Exhibits'!C1419:C1423)),AVERAGE('20250815_ETF_Options_Exhibits'!C1419:C1423),"")</f>
        <v/>
      </c>
      <c r="D1423" s="3">
        <f>IF(ISNUMBER(AVERAGE('20250815_ETF_Options_Exhibits'!D1419:D1423)),AVERAGE('20250815_ETF_Options_Exhibits'!D1419:D1423),"")</f>
        <v/>
      </c>
      <c r="E1423" s="3">
        <f>IF(ISNUMBER(AVERAGE('20250815_ETF_Options_Exhibits'!E1419:E1423)),AVERAGE('20250815_ETF_Options_Exhibits'!E1419:E1423),"")</f>
        <v/>
      </c>
      <c r="F1423" s="3">
        <f>IF(ISNUMBER(AVERAGE('20250815_ETF_Options_Exhibits'!F1419:F1423)),AVERAGE('20250815_ETF_Options_Exhibits'!F1419:F1423),"")</f>
        <v/>
      </c>
      <c r="G1423" s="3">
        <f>IF(ISNUMBER(AVERAGE('20250815_ETF_Options_Exhibits'!G1419:G1423)),AVERAGE('20250815_ETF_Options_Exhibits'!G1419:G1423),"")</f>
        <v/>
      </c>
      <c r="H1423" s="3">
        <f>IF(ISNUMBER(AVERAGE('20250815_ETF_Options_Exhibits'!H1419:H1423)),AVERAGE('20250815_ETF_Options_Exhibits'!H1419:H1423),"")</f>
        <v/>
      </c>
      <c r="I1423" s="3">
        <f>IF(ISNUMBER(AVERAGE('20250815_ETF_Options_Exhibits'!I1419:I1423)),AVERAGE('20250815_ETF_Options_Exhibits'!I1419:I1423),"")</f>
        <v/>
      </c>
      <c r="J1423" s="3">
        <f>IF(ISNUMBER(AVERAGE('20250815_ETF_Options_Exhibits'!J1419:J1423)),AVERAGE('20250815_ETF_Options_Exhibits'!J1419:J1423),"")</f>
        <v/>
      </c>
      <c r="K1423" s="3">
        <f>IF(ISNUMBER(AVERAGE('20250815_ETF_Options_Exhibits'!K1419:K1423)),AVERAGE('20250815_ETF_Options_Exhibits'!K1419:K1423),"")</f>
        <v/>
      </c>
      <c r="L1423" s="3">
        <f>IF(ISNUMBER(AVERAGE('20250815_ETF_Options_Exhibits'!L1419:L1423)),AVERAGE('20250815_ETF_Options_Exhibits'!L1419:L1423),"")</f>
        <v/>
      </c>
      <c r="M1423" s="3">
        <f>IF(ISNUMBER(AVERAGE('20250815_ETF_Options_Exhibits'!M1419:M1423)),AVERAGE('20250815_ETF_Options_Exhibits'!M1419:M1423),"")</f>
        <v/>
      </c>
      <c r="N1423" s="3">
        <f>IF(ISNUMBER(AVERAGE('20250815_ETF_Options_Exhibits'!N1419:N1423)),AVERAGE('20250815_ETF_Options_Exhibits'!N1419:N1423),"")</f>
        <v/>
      </c>
      <c r="O1423" s="3">
        <f>IF(ISNUMBER(AVERAGE('20250815_ETF_Options_Exhibits'!O1419:O1423)),AVERAGE('20250815_ETF_Options_Exhibits'!O1419:O1423),"")</f>
        <v/>
      </c>
      <c r="P1423" s="3">
        <f>IF(ISNUMBER(AVERAGE('20250815_ETF_Options_Exhibits'!P1419:P1423)),AVERAGE('20250815_ETF_Options_Exhibits'!P1419:P1423),"")</f>
        <v/>
      </c>
      <c r="Q1423" s="3">
        <f>IF(ISNUMBER(AVERAGE('20250815_ETF_Options_Exhibits'!Q1419:Q1423)),AVERAGE('20250815_ETF_Options_Exhibits'!Q1419:Q1423),"")</f>
        <v/>
      </c>
      <c r="R1423" s="3">
        <f>IF(ISNUMBER(AVERAGE('20250815_ETF_Options_Exhibits'!R1419:R1423)),AVERAGE('20250815_ETF_Options_Exhibits'!R1419:R1423),"")</f>
        <v/>
      </c>
      <c r="S1423" s="3">
        <f>IF(ISNUMBER(AVERAGE('20250815_ETF_Options_Exhibits'!S1419:S1423)),AVERAGE('20250815_ETF_Options_Exhibits'!S1419:S1423),"")</f>
        <v/>
      </c>
      <c r="T1423" s="3">
        <f>IF(ISNUMBER(AVERAGE('20250815_ETF_Options_Exhibits'!T1419:T1423)),AVERAGE('20250815_ETF_Options_Exhibits'!T1419:T1423),"")</f>
        <v/>
      </c>
      <c r="U1423" s="3">
        <f>IF(ISNUMBER(AVERAGE('20250815_ETF_Options_Exhibits'!U1419:U1423)),AVERAGE('20250815_ETF_Options_Exhibits'!U1419:U1423),"")</f>
        <v/>
      </c>
      <c r="V1423" s="3">
        <f>IF(ISNUMBER(AVERAGE('20250815_ETF_Options_Exhibits'!V1419:V1423)),AVERAGE('20250815_ETF_Options_Exhibits'!V1419:V1423),"")</f>
        <v/>
      </c>
      <c r="W1423" s="3">
        <f>IF(ISNUMBER(AVERAGE('20250815_ETF_Options_Exhibits'!W1419:W1423)),AVERAGE('20250815_ETF_Options_Exhibits'!W1419:W1423),"")</f>
        <v/>
      </c>
      <c r="X1423" s="3">
        <f>IF(ISNUMBER(AVERAGE('20250815_ETF_Options_Exhibits'!X1419:X1423)),AVERAGE('20250815_ETF_Options_Exhibits'!X1419:X1423),"")</f>
        <v/>
      </c>
      <c r="Y1423" s="3">
        <f>IF(ISNUMBER(AVERAGE('20250815_ETF_Options_Exhibits'!Y1419:Y1423)),AVERAGE('20250815_ETF_Options_Exhibits'!Y1419:Y1423),"")</f>
        <v/>
      </c>
      <c r="Z1423" s="3">
        <f>IF(ISNUMBER(AVERAGE('20250815_ETF_Options_Exhibits'!Z1419:Z1423)),AVERAGE('20250815_ETF_Options_Exhibits'!Z1419:Z1423),"")</f>
        <v/>
      </c>
      <c r="AA1423" s="3">
        <f>IF(ISNUMBER(AVERAGE('20250815_ETF_Options_Exhibits'!AA1419:AA1423)),AVERAGE('20250815_ETF_Options_Exhibits'!AA1419:AA1423),"")</f>
        <v/>
      </c>
    </row>
    <row r="1424">
      <c r="A1424" s="1" t="n">
        <v>44068</v>
      </c>
      <c r="B1424" s="3">
        <f>IF(ISNUMBER(AVERAGE('20250815_ETF_Options_Exhibits'!B1420:B1424)),AVERAGE('20250815_ETF_Options_Exhibits'!B1420:B1424),"")</f>
        <v/>
      </c>
      <c r="C1424" s="3">
        <f>IF(ISNUMBER(AVERAGE('20250815_ETF_Options_Exhibits'!C1420:C1424)),AVERAGE('20250815_ETF_Options_Exhibits'!C1420:C1424),"")</f>
        <v/>
      </c>
      <c r="D1424" s="3">
        <f>IF(ISNUMBER(AVERAGE('20250815_ETF_Options_Exhibits'!D1420:D1424)),AVERAGE('20250815_ETF_Options_Exhibits'!D1420:D1424),"")</f>
        <v/>
      </c>
      <c r="E1424" s="3">
        <f>IF(ISNUMBER(AVERAGE('20250815_ETF_Options_Exhibits'!E1420:E1424)),AVERAGE('20250815_ETF_Options_Exhibits'!E1420:E1424),"")</f>
        <v/>
      </c>
      <c r="F1424" s="3">
        <f>IF(ISNUMBER(AVERAGE('20250815_ETF_Options_Exhibits'!F1420:F1424)),AVERAGE('20250815_ETF_Options_Exhibits'!F1420:F1424),"")</f>
        <v/>
      </c>
      <c r="G1424" s="3">
        <f>IF(ISNUMBER(AVERAGE('20250815_ETF_Options_Exhibits'!G1420:G1424)),AVERAGE('20250815_ETF_Options_Exhibits'!G1420:G1424),"")</f>
        <v/>
      </c>
      <c r="H1424" s="3">
        <f>IF(ISNUMBER(AVERAGE('20250815_ETF_Options_Exhibits'!H1420:H1424)),AVERAGE('20250815_ETF_Options_Exhibits'!H1420:H1424),"")</f>
        <v/>
      </c>
      <c r="I1424" s="3">
        <f>IF(ISNUMBER(AVERAGE('20250815_ETF_Options_Exhibits'!I1420:I1424)),AVERAGE('20250815_ETF_Options_Exhibits'!I1420:I1424),"")</f>
        <v/>
      </c>
      <c r="J1424" s="3">
        <f>IF(ISNUMBER(AVERAGE('20250815_ETF_Options_Exhibits'!J1420:J1424)),AVERAGE('20250815_ETF_Options_Exhibits'!J1420:J1424),"")</f>
        <v/>
      </c>
      <c r="K1424" s="3">
        <f>IF(ISNUMBER(AVERAGE('20250815_ETF_Options_Exhibits'!K1420:K1424)),AVERAGE('20250815_ETF_Options_Exhibits'!K1420:K1424),"")</f>
        <v/>
      </c>
      <c r="L1424" s="3">
        <f>IF(ISNUMBER(AVERAGE('20250815_ETF_Options_Exhibits'!L1420:L1424)),AVERAGE('20250815_ETF_Options_Exhibits'!L1420:L1424),"")</f>
        <v/>
      </c>
      <c r="M1424" s="3">
        <f>IF(ISNUMBER(AVERAGE('20250815_ETF_Options_Exhibits'!M1420:M1424)),AVERAGE('20250815_ETF_Options_Exhibits'!M1420:M1424),"")</f>
        <v/>
      </c>
      <c r="N1424" s="3">
        <f>IF(ISNUMBER(AVERAGE('20250815_ETF_Options_Exhibits'!N1420:N1424)),AVERAGE('20250815_ETF_Options_Exhibits'!N1420:N1424),"")</f>
        <v/>
      </c>
      <c r="O1424" s="3">
        <f>IF(ISNUMBER(AVERAGE('20250815_ETF_Options_Exhibits'!O1420:O1424)),AVERAGE('20250815_ETF_Options_Exhibits'!O1420:O1424),"")</f>
        <v/>
      </c>
      <c r="P1424" s="3">
        <f>IF(ISNUMBER(AVERAGE('20250815_ETF_Options_Exhibits'!P1420:P1424)),AVERAGE('20250815_ETF_Options_Exhibits'!P1420:P1424),"")</f>
        <v/>
      </c>
      <c r="Q1424" s="3">
        <f>IF(ISNUMBER(AVERAGE('20250815_ETF_Options_Exhibits'!Q1420:Q1424)),AVERAGE('20250815_ETF_Options_Exhibits'!Q1420:Q1424),"")</f>
        <v/>
      </c>
      <c r="R1424" s="3">
        <f>IF(ISNUMBER(AVERAGE('20250815_ETF_Options_Exhibits'!R1420:R1424)),AVERAGE('20250815_ETF_Options_Exhibits'!R1420:R1424),"")</f>
        <v/>
      </c>
      <c r="S1424" s="3">
        <f>IF(ISNUMBER(AVERAGE('20250815_ETF_Options_Exhibits'!S1420:S1424)),AVERAGE('20250815_ETF_Options_Exhibits'!S1420:S1424),"")</f>
        <v/>
      </c>
      <c r="T1424" s="3">
        <f>IF(ISNUMBER(AVERAGE('20250815_ETF_Options_Exhibits'!T1420:T1424)),AVERAGE('20250815_ETF_Options_Exhibits'!T1420:T1424),"")</f>
        <v/>
      </c>
      <c r="U1424" s="3">
        <f>IF(ISNUMBER(AVERAGE('20250815_ETF_Options_Exhibits'!U1420:U1424)),AVERAGE('20250815_ETF_Options_Exhibits'!U1420:U1424),"")</f>
        <v/>
      </c>
      <c r="V1424" s="3">
        <f>IF(ISNUMBER(AVERAGE('20250815_ETF_Options_Exhibits'!V1420:V1424)),AVERAGE('20250815_ETF_Options_Exhibits'!V1420:V1424),"")</f>
        <v/>
      </c>
      <c r="W1424" s="3">
        <f>IF(ISNUMBER(AVERAGE('20250815_ETF_Options_Exhibits'!W1420:W1424)),AVERAGE('20250815_ETF_Options_Exhibits'!W1420:W1424),"")</f>
        <v/>
      </c>
      <c r="X1424" s="3">
        <f>IF(ISNUMBER(AVERAGE('20250815_ETF_Options_Exhibits'!X1420:X1424)),AVERAGE('20250815_ETF_Options_Exhibits'!X1420:X1424),"")</f>
        <v/>
      </c>
      <c r="Y1424" s="3">
        <f>IF(ISNUMBER(AVERAGE('20250815_ETF_Options_Exhibits'!Y1420:Y1424)),AVERAGE('20250815_ETF_Options_Exhibits'!Y1420:Y1424),"")</f>
        <v/>
      </c>
      <c r="Z1424" s="3">
        <f>IF(ISNUMBER(AVERAGE('20250815_ETF_Options_Exhibits'!Z1420:Z1424)),AVERAGE('20250815_ETF_Options_Exhibits'!Z1420:Z1424),"")</f>
        <v/>
      </c>
      <c r="AA1424" s="3">
        <f>IF(ISNUMBER(AVERAGE('20250815_ETF_Options_Exhibits'!AA1420:AA1424)),AVERAGE('20250815_ETF_Options_Exhibits'!AA1420:AA1424),"")</f>
        <v/>
      </c>
    </row>
    <row r="1425">
      <c r="A1425" s="1" t="n">
        <v>44069</v>
      </c>
      <c r="B1425" s="3">
        <f>IF(ISNUMBER(AVERAGE('20250815_ETF_Options_Exhibits'!B1421:B1425)),AVERAGE('20250815_ETF_Options_Exhibits'!B1421:B1425),"")</f>
        <v/>
      </c>
      <c r="C1425" s="3">
        <f>IF(ISNUMBER(AVERAGE('20250815_ETF_Options_Exhibits'!C1421:C1425)),AVERAGE('20250815_ETF_Options_Exhibits'!C1421:C1425),"")</f>
        <v/>
      </c>
      <c r="D1425" s="3">
        <f>IF(ISNUMBER(AVERAGE('20250815_ETF_Options_Exhibits'!D1421:D1425)),AVERAGE('20250815_ETF_Options_Exhibits'!D1421:D1425),"")</f>
        <v/>
      </c>
      <c r="E1425" s="3">
        <f>IF(ISNUMBER(AVERAGE('20250815_ETF_Options_Exhibits'!E1421:E1425)),AVERAGE('20250815_ETF_Options_Exhibits'!E1421:E1425),"")</f>
        <v/>
      </c>
      <c r="F1425" s="3">
        <f>IF(ISNUMBER(AVERAGE('20250815_ETF_Options_Exhibits'!F1421:F1425)),AVERAGE('20250815_ETF_Options_Exhibits'!F1421:F1425),"")</f>
        <v/>
      </c>
      <c r="G1425" s="3">
        <f>IF(ISNUMBER(AVERAGE('20250815_ETF_Options_Exhibits'!G1421:G1425)),AVERAGE('20250815_ETF_Options_Exhibits'!G1421:G1425),"")</f>
        <v/>
      </c>
      <c r="H1425" s="3">
        <f>IF(ISNUMBER(AVERAGE('20250815_ETF_Options_Exhibits'!H1421:H1425)),AVERAGE('20250815_ETF_Options_Exhibits'!H1421:H1425),"")</f>
        <v/>
      </c>
      <c r="I1425" s="3">
        <f>IF(ISNUMBER(AVERAGE('20250815_ETF_Options_Exhibits'!I1421:I1425)),AVERAGE('20250815_ETF_Options_Exhibits'!I1421:I1425),"")</f>
        <v/>
      </c>
      <c r="J1425" s="3">
        <f>IF(ISNUMBER(AVERAGE('20250815_ETF_Options_Exhibits'!J1421:J1425)),AVERAGE('20250815_ETF_Options_Exhibits'!J1421:J1425),"")</f>
        <v/>
      </c>
      <c r="K1425" s="3">
        <f>IF(ISNUMBER(AVERAGE('20250815_ETF_Options_Exhibits'!K1421:K1425)),AVERAGE('20250815_ETF_Options_Exhibits'!K1421:K1425),"")</f>
        <v/>
      </c>
      <c r="L1425" s="3">
        <f>IF(ISNUMBER(AVERAGE('20250815_ETF_Options_Exhibits'!L1421:L1425)),AVERAGE('20250815_ETF_Options_Exhibits'!L1421:L1425),"")</f>
        <v/>
      </c>
      <c r="M1425" s="3">
        <f>IF(ISNUMBER(AVERAGE('20250815_ETF_Options_Exhibits'!M1421:M1425)),AVERAGE('20250815_ETF_Options_Exhibits'!M1421:M1425),"")</f>
        <v/>
      </c>
      <c r="N1425" s="3">
        <f>IF(ISNUMBER(AVERAGE('20250815_ETF_Options_Exhibits'!N1421:N1425)),AVERAGE('20250815_ETF_Options_Exhibits'!N1421:N1425),"")</f>
        <v/>
      </c>
      <c r="O1425" s="3">
        <f>IF(ISNUMBER(AVERAGE('20250815_ETF_Options_Exhibits'!O1421:O1425)),AVERAGE('20250815_ETF_Options_Exhibits'!O1421:O1425),"")</f>
        <v/>
      </c>
      <c r="P1425" s="3">
        <f>IF(ISNUMBER(AVERAGE('20250815_ETF_Options_Exhibits'!P1421:P1425)),AVERAGE('20250815_ETF_Options_Exhibits'!P1421:P1425),"")</f>
        <v/>
      </c>
      <c r="Q1425" s="3">
        <f>IF(ISNUMBER(AVERAGE('20250815_ETF_Options_Exhibits'!Q1421:Q1425)),AVERAGE('20250815_ETF_Options_Exhibits'!Q1421:Q1425),"")</f>
        <v/>
      </c>
      <c r="R1425" s="3">
        <f>IF(ISNUMBER(AVERAGE('20250815_ETF_Options_Exhibits'!R1421:R1425)),AVERAGE('20250815_ETF_Options_Exhibits'!R1421:R1425),"")</f>
        <v/>
      </c>
      <c r="S1425" s="3">
        <f>IF(ISNUMBER(AVERAGE('20250815_ETF_Options_Exhibits'!S1421:S1425)),AVERAGE('20250815_ETF_Options_Exhibits'!S1421:S1425),"")</f>
        <v/>
      </c>
      <c r="T1425" s="3">
        <f>IF(ISNUMBER(AVERAGE('20250815_ETF_Options_Exhibits'!T1421:T1425)),AVERAGE('20250815_ETF_Options_Exhibits'!T1421:T1425),"")</f>
        <v/>
      </c>
      <c r="U1425" s="3">
        <f>IF(ISNUMBER(AVERAGE('20250815_ETF_Options_Exhibits'!U1421:U1425)),AVERAGE('20250815_ETF_Options_Exhibits'!U1421:U1425),"")</f>
        <v/>
      </c>
      <c r="V1425" s="3">
        <f>IF(ISNUMBER(AVERAGE('20250815_ETF_Options_Exhibits'!V1421:V1425)),AVERAGE('20250815_ETF_Options_Exhibits'!V1421:V1425),"")</f>
        <v/>
      </c>
      <c r="W1425" s="3">
        <f>IF(ISNUMBER(AVERAGE('20250815_ETF_Options_Exhibits'!W1421:W1425)),AVERAGE('20250815_ETF_Options_Exhibits'!W1421:W1425),"")</f>
        <v/>
      </c>
      <c r="X1425" s="3">
        <f>IF(ISNUMBER(AVERAGE('20250815_ETF_Options_Exhibits'!X1421:X1425)),AVERAGE('20250815_ETF_Options_Exhibits'!X1421:X1425),"")</f>
        <v/>
      </c>
      <c r="Y1425" s="3">
        <f>IF(ISNUMBER(AVERAGE('20250815_ETF_Options_Exhibits'!Y1421:Y1425)),AVERAGE('20250815_ETF_Options_Exhibits'!Y1421:Y1425),"")</f>
        <v/>
      </c>
      <c r="Z1425" s="3">
        <f>IF(ISNUMBER(AVERAGE('20250815_ETF_Options_Exhibits'!Z1421:Z1425)),AVERAGE('20250815_ETF_Options_Exhibits'!Z1421:Z1425),"")</f>
        <v/>
      </c>
      <c r="AA1425" s="3">
        <f>IF(ISNUMBER(AVERAGE('20250815_ETF_Options_Exhibits'!AA1421:AA1425)),AVERAGE('20250815_ETF_Options_Exhibits'!AA1421:AA1425),"")</f>
        <v/>
      </c>
    </row>
    <row r="1426">
      <c r="A1426" s="1" t="n">
        <v>44070</v>
      </c>
      <c r="B1426" s="3">
        <f>IF(ISNUMBER(AVERAGE('20250815_ETF_Options_Exhibits'!B1422:B1426)),AVERAGE('20250815_ETF_Options_Exhibits'!B1422:B1426),"")</f>
        <v/>
      </c>
      <c r="C1426" s="3">
        <f>IF(ISNUMBER(AVERAGE('20250815_ETF_Options_Exhibits'!C1422:C1426)),AVERAGE('20250815_ETF_Options_Exhibits'!C1422:C1426),"")</f>
        <v/>
      </c>
      <c r="D1426" s="3">
        <f>IF(ISNUMBER(AVERAGE('20250815_ETF_Options_Exhibits'!D1422:D1426)),AVERAGE('20250815_ETF_Options_Exhibits'!D1422:D1426),"")</f>
        <v/>
      </c>
      <c r="E1426" s="3">
        <f>IF(ISNUMBER(AVERAGE('20250815_ETF_Options_Exhibits'!E1422:E1426)),AVERAGE('20250815_ETF_Options_Exhibits'!E1422:E1426),"")</f>
        <v/>
      </c>
      <c r="F1426" s="3">
        <f>IF(ISNUMBER(AVERAGE('20250815_ETF_Options_Exhibits'!F1422:F1426)),AVERAGE('20250815_ETF_Options_Exhibits'!F1422:F1426),"")</f>
        <v/>
      </c>
      <c r="G1426" s="3">
        <f>IF(ISNUMBER(AVERAGE('20250815_ETF_Options_Exhibits'!G1422:G1426)),AVERAGE('20250815_ETF_Options_Exhibits'!G1422:G1426),"")</f>
        <v/>
      </c>
      <c r="H1426" s="3">
        <f>IF(ISNUMBER(AVERAGE('20250815_ETF_Options_Exhibits'!H1422:H1426)),AVERAGE('20250815_ETF_Options_Exhibits'!H1422:H1426),"")</f>
        <v/>
      </c>
      <c r="I1426" s="3">
        <f>IF(ISNUMBER(AVERAGE('20250815_ETF_Options_Exhibits'!I1422:I1426)),AVERAGE('20250815_ETF_Options_Exhibits'!I1422:I1426),"")</f>
        <v/>
      </c>
      <c r="J1426" s="3">
        <f>IF(ISNUMBER(AVERAGE('20250815_ETF_Options_Exhibits'!J1422:J1426)),AVERAGE('20250815_ETF_Options_Exhibits'!J1422:J1426),"")</f>
        <v/>
      </c>
      <c r="K1426" s="3">
        <f>IF(ISNUMBER(AVERAGE('20250815_ETF_Options_Exhibits'!K1422:K1426)),AVERAGE('20250815_ETF_Options_Exhibits'!K1422:K1426),"")</f>
        <v/>
      </c>
      <c r="L1426" s="3">
        <f>IF(ISNUMBER(AVERAGE('20250815_ETF_Options_Exhibits'!L1422:L1426)),AVERAGE('20250815_ETF_Options_Exhibits'!L1422:L1426),"")</f>
        <v/>
      </c>
      <c r="M1426" s="3">
        <f>IF(ISNUMBER(AVERAGE('20250815_ETF_Options_Exhibits'!M1422:M1426)),AVERAGE('20250815_ETF_Options_Exhibits'!M1422:M1426),"")</f>
        <v/>
      </c>
      <c r="N1426" s="3">
        <f>IF(ISNUMBER(AVERAGE('20250815_ETF_Options_Exhibits'!N1422:N1426)),AVERAGE('20250815_ETF_Options_Exhibits'!N1422:N1426),"")</f>
        <v/>
      </c>
      <c r="O1426" s="3">
        <f>IF(ISNUMBER(AVERAGE('20250815_ETF_Options_Exhibits'!O1422:O1426)),AVERAGE('20250815_ETF_Options_Exhibits'!O1422:O1426),"")</f>
        <v/>
      </c>
      <c r="P1426" s="3">
        <f>IF(ISNUMBER(AVERAGE('20250815_ETF_Options_Exhibits'!P1422:P1426)),AVERAGE('20250815_ETF_Options_Exhibits'!P1422:P1426),"")</f>
        <v/>
      </c>
      <c r="Q1426" s="3">
        <f>IF(ISNUMBER(AVERAGE('20250815_ETF_Options_Exhibits'!Q1422:Q1426)),AVERAGE('20250815_ETF_Options_Exhibits'!Q1422:Q1426),"")</f>
        <v/>
      </c>
      <c r="R1426" s="3">
        <f>IF(ISNUMBER(AVERAGE('20250815_ETF_Options_Exhibits'!R1422:R1426)),AVERAGE('20250815_ETF_Options_Exhibits'!R1422:R1426),"")</f>
        <v/>
      </c>
      <c r="S1426" s="3">
        <f>IF(ISNUMBER(AVERAGE('20250815_ETF_Options_Exhibits'!S1422:S1426)),AVERAGE('20250815_ETF_Options_Exhibits'!S1422:S1426),"")</f>
        <v/>
      </c>
      <c r="T1426" s="3">
        <f>IF(ISNUMBER(AVERAGE('20250815_ETF_Options_Exhibits'!T1422:T1426)),AVERAGE('20250815_ETF_Options_Exhibits'!T1422:T1426),"")</f>
        <v/>
      </c>
      <c r="U1426" s="3">
        <f>IF(ISNUMBER(AVERAGE('20250815_ETF_Options_Exhibits'!U1422:U1426)),AVERAGE('20250815_ETF_Options_Exhibits'!U1422:U1426),"")</f>
        <v/>
      </c>
      <c r="V1426" s="3">
        <f>IF(ISNUMBER(AVERAGE('20250815_ETF_Options_Exhibits'!V1422:V1426)),AVERAGE('20250815_ETF_Options_Exhibits'!V1422:V1426),"")</f>
        <v/>
      </c>
      <c r="W1426" s="3">
        <f>IF(ISNUMBER(AVERAGE('20250815_ETF_Options_Exhibits'!W1422:W1426)),AVERAGE('20250815_ETF_Options_Exhibits'!W1422:W1426),"")</f>
        <v/>
      </c>
      <c r="X1426" s="3">
        <f>IF(ISNUMBER(AVERAGE('20250815_ETF_Options_Exhibits'!X1422:X1426)),AVERAGE('20250815_ETF_Options_Exhibits'!X1422:X1426),"")</f>
        <v/>
      </c>
      <c r="Y1426" s="3">
        <f>IF(ISNUMBER(AVERAGE('20250815_ETF_Options_Exhibits'!Y1422:Y1426)),AVERAGE('20250815_ETF_Options_Exhibits'!Y1422:Y1426),"")</f>
        <v/>
      </c>
      <c r="Z1426" s="3">
        <f>IF(ISNUMBER(AVERAGE('20250815_ETF_Options_Exhibits'!Z1422:Z1426)),AVERAGE('20250815_ETF_Options_Exhibits'!Z1422:Z1426),"")</f>
        <v/>
      </c>
      <c r="AA1426" s="3">
        <f>IF(ISNUMBER(AVERAGE('20250815_ETF_Options_Exhibits'!AA1422:AA1426)),AVERAGE('20250815_ETF_Options_Exhibits'!AA1422:AA1426),"")</f>
        <v/>
      </c>
    </row>
    <row r="1427">
      <c r="A1427" s="1" t="n">
        <v>44071</v>
      </c>
      <c r="B1427" s="3">
        <f>IF(ISNUMBER(AVERAGE('20250815_ETF_Options_Exhibits'!B1423:B1427)),AVERAGE('20250815_ETF_Options_Exhibits'!B1423:B1427),"")</f>
        <v/>
      </c>
      <c r="C1427" s="3">
        <f>IF(ISNUMBER(AVERAGE('20250815_ETF_Options_Exhibits'!C1423:C1427)),AVERAGE('20250815_ETF_Options_Exhibits'!C1423:C1427),"")</f>
        <v/>
      </c>
      <c r="D1427" s="3">
        <f>IF(ISNUMBER(AVERAGE('20250815_ETF_Options_Exhibits'!D1423:D1427)),AVERAGE('20250815_ETF_Options_Exhibits'!D1423:D1427),"")</f>
        <v/>
      </c>
      <c r="E1427" s="3">
        <f>IF(ISNUMBER(AVERAGE('20250815_ETF_Options_Exhibits'!E1423:E1427)),AVERAGE('20250815_ETF_Options_Exhibits'!E1423:E1427),"")</f>
        <v/>
      </c>
      <c r="F1427" s="3">
        <f>IF(ISNUMBER(AVERAGE('20250815_ETF_Options_Exhibits'!F1423:F1427)),AVERAGE('20250815_ETF_Options_Exhibits'!F1423:F1427),"")</f>
        <v/>
      </c>
      <c r="G1427" s="3">
        <f>IF(ISNUMBER(AVERAGE('20250815_ETF_Options_Exhibits'!G1423:G1427)),AVERAGE('20250815_ETF_Options_Exhibits'!G1423:G1427),"")</f>
        <v/>
      </c>
      <c r="H1427" s="3">
        <f>IF(ISNUMBER(AVERAGE('20250815_ETF_Options_Exhibits'!H1423:H1427)),AVERAGE('20250815_ETF_Options_Exhibits'!H1423:H1427),"")</f>
        <v/>
      </c>
      <c r="I1427" s="3">
        <f>IF(ISNUMBER(AVERAGE('20250815_ETF_Options_Exhibits'!I1423:I1427)),AVERAGE('20250815_ETF_Options_Exhibits'!I1423:I1427),"")</f>
        <v/>
      </c>
      <c r="J1427" s="3">
        <f>IF(ISNUMBER(AVERAGE('20250815_ETF_Options_Exhibits'!J1423:J1427)),AVERAGE('20250815_ETF_Options_Exhibits'!J1423:J1427),"")</f>
        <v/>
      </c>
      <c r="K1427" s="3">
        <f>IF(ISNUMBER(AVERAGE('20250815_ETF_Options_Exhibits'!K1423:K1427)),AVERAGE('20250815_ETF_Options_Exhibits'!K1423:K1427),"")</f>
        <v/>
      </c>
      <c r="L1427" s="3">
        <f>IF(ISNUMBER(AVERAGE('20250815_ETF_Options_Exhibits'!L1423:L1427)),AVERAGE('20250815_ETF_Options_Exhibits'!L1423:L1427),"")</f>
        <v/>
      </c>
      <c r="M1427" s="3">
        <f>IF(ISNUMBER(AVERAGE('20250815_ETF_Options_Exhibits'!M1423:M1427)),AVERAGE('20250815_ETF_Options_Exhibits'!M1423:M1427),"")</f>
        <v/>
      </c>
      <c r="N1427" s="3">
        <f>IF(ISNUMBER(AVERAGE('20250815_ETF_Options_Exhibits'!N1423:N1427)),AVERAGE('20250815_ETF_Options_Exhibits'!N1423:N1427),"")</f>
        <v/>
      </c>
      <c r="O1427" s="3">
        <f>IF(ISNUMBER(AVERAGE('20250815_ETF_Options_Exhibits'!O1423:O1427)),AVERAGE('20250815_ETF_Options_Exhibits'!O1423:O1427),"")</f>
        <v/>
      </c>
      <c r="P1427" s="3">
        <f>IF(ISNUMBER(AVERAGE('20250815_ETF_Options_Exhibits'!P1423:P1427)),AVERAGE('20250815_ETF_Options_Exhibits'!P1423:P1427),"")</f>
        <v/>
      </c>
      <c r="Q1427" s="3">
        <f>IF(ISNUMBER(AVERAGE('20250815_ETF_Options_Exhibits'!Q1423:Q1427)),AVERAGE('20250815_ETF_Options_Exhibits'!Q1423:Q1427),"")</f>
        <v/>
      </c>
      <c r="R1427" s="3">
        <f>IF(ISNUMBER(AVERAGE('20250815_ETF_Options_Exhibits'!R1423:R1427)),AVERAGE('20250815_ETF_Options_Exhibits'!R1423:R1427),"")</f>
        <v/>
      </c>
      <c r="S1427" s="3">
        <f>IF(ISNUMBER(AVERAGE('20250815_ETF_Options_Exhibits'!S1423:S1427)),AVERAGE('20250815_ETF_Options_Exhibits'!S1423:S1427),"")</f>
        <v/>
      </c>
      <c r="T1427" s="3">
        <f>IF(ISNUMBER(AVERAGE('20250815_ETF_Options_Exhibits'!T1423:T1427)),AVERAGE('20250815_ETF_Options_Exhibits'!T1423:T1427),"")</f>
        <v/>
      </c>
      <c r="U1427" s="3">
        <f>IF(ISNUMBER(AVERAGE('20250815_ETF_Options_Exhibits'!U1423:U1427)),AVERAGE('20250815_ETF_Options_Exhibits'!U1423:U1427),"")</f>
        <v/>
      </c>
      <c r="V1427" s="3">
        <f>IF(ISNUMBER(AVERAGE('20250815_ETF_Options_Exhibits'!V1423:V1427)),AVERAGE('20250815_ETF_Options_Exhibits'!V1423:V1427),"")</f>
        <v/>
      </c>
      <c r="W1427" s="3">
        <f>IF(ISNUMBER(AVERAGE('20250815_ETF_Options_Exhibits'!W1423:W1427)),AVERAGE('20250815_ETF_Options_Exhibits'!W1423:W1427),"")</f>
        <v/>
      </c>
      <c r="X1427" s="3">
        <f>IF(ISNUMBER(AVERAGE('20250815_ETF_Options_Exhibits'!X1423:X1427)),AVERAGE('20250815_ETF_Options_Exhibits'!X1423:X1427),"")</f>
        <v/>
      </c>
      <c r="Y1427" s="3">
        <f>IF(ISNUMBER(AVERAGE('20250815_ETF_Options_Exhibits'!Y1423:Y1427)),AVERAGE('20250815_ETF_Options_Exhibits'!Y1423:Y1427),"")</f>
        <v/>
      </c>
      <c r="Z1427" s="3">
        <f>IF(ISNUMBER(AVERAGE('20250815_ETF_Options_Exhibits'!Z1423:Z1427)),AVERAGE('20250815_ETF_Options_Exhibits'!Z1423:Z1427),"")</f>
        <v/>
      </c>
      <c r="AA1427" s="3">
        <f>IF(ISNUMBER(AVERAGE('20250815_ETF_Options_Exhibits'!AA1423:AA1427)),AVERAGE('20250815_ETF_Options_Exhibits'!AA1423:AA1427),"")</f>
        <v/>
      </c>
    </row>
    <row r="1428">
      <c r="A1428" s="1" t="n">
        <v>44074</v>
      </c>
      <c r="B1428" s="3">
        <f>IF(ISNUMBER(AVERAGE('20250815_ETF_Options_Exhibits'!B1424:B1428)),AVERAGE('20250815_ETF_Options_Exhibits'!B1424:B1428),"")</f>
        <v/>
      </c>
      <c r="C1428" s="3">
        <f>IF(ISNUMBER(AVERAGE('20250815_ETF_Options_Exhibits'!C1424:C1428)),AVERAGE('20250815_ETF_Options_Exhibits'!C1424:C1428),"")</f>
        <v/>
      </c>
      <c r="D1428" s="3">
        <f>IF(ISNUMBER(AVERAGE('20250815_ETF_Options_Exhibits'!D1424:D1428)),AVERAGE('20250815_ETF_Options_Exhibits'!D1424:D1428),"")</f>
        <v/>
      </c>
      <c r="E1428" s="3">
        <f>IF(ISNUMBER(AVERAGE('20250815_ETF_Options_Exhibits'!E1424:E1428)),AVERAGE('20250815_ETF_Options_Exhibits'!E1424:E1428),"")</f>
        <v/>
      </c>
      <c r="F1428" s="3">
        <f>IF(ISNUMBER(AVERAGE('20250815_ETF_Options_Exhibits'!F1424:F1428)),AVERAGE('20250815_ETF_Options_Exhibits'!F1424:F1428),"")</f>
        <v/>
      </c>
      <c r="G1428" s="3">
        <f>IF(ISNUMBER(AVERAGE('20250815_ETF_Options_Exhibits'!G1424:G1428)),AVERAGE('20250815_ETF_Options_Exhibits'!G1424:G1428),"")</f>
        <v/>
      </c>
      <c r="H1428" s="3">
        <f>IF(ISNUMBER(AVERAGE('20250815_ETF_Options_Exhibits'!H1424:H1428)),AVERAGE('20250815_ETF_Options_Exhibits'!H1424:H1428),"")</f>
        <v/>
      </c>
      <c r="I1428" s="3">
        <f>IF(ISNUMBER(AVERAGE('20250815_ETF_Options_Exhibits'!I1424:I1428)),AVERAGE('20250815_ETF_Options_Exhibits'!I1424:I1428),"")</f>
        <v/>
      </c>
      <c r="J1428" s="3">
        <f>IF(ISNUMBER(AVERAGE('20250815_ETF_Options_Exhibits'!J1424:J1428)),AVERAGE('20250815_ETF_Options_Exhibits'!J1424:J1428),"")</f>
        <v/>
      </c>
      <c r="K1428" s="3">
        <f>IF(ISNUMBER(AVERAGE('20250815_ETF_Options_Exhibits'!K1424:K1428)),AVERAGE('20250815_ETF_Options_Exhibits'!K1424:K1428),"")</f>
        <v/>
      </c>
      <c r="L1428" s="3">
        <f>IF(ISNUMBER(AVERAGE('20250815_ETF_Options_Exhibits'!L1424:L1428)),AVERAGE('20250815_ETF_Options_Exhibits'!L1424:L1428),"")</f>
        <v/>
      </c>
      <c r="M1428" s="3">
        <f>IF(ISNUMBER(AVERAGE('20250815_ETF_Options_Exhibits'!M1424:M1428)),AVERAGE('20250815_ETF_Options_Exhibits'!M1424:M1428),"")</f>
        <v/>
      </c>
      <c r="N1428" s="3">
        <f>IF(ISNUMBER(AVERAGE('20250815_ETF_Options_Exhibits'!N1424:N1428)),AVERAGE('20250815_ETF_Options_Exhibits'!N1424:N1428),"")</f>
        <v/>
      </c>
      <c r="O1428" s="3">
        <f>IF(ISNUMBER(AVERAGE('20250815_ETF_Options_Exhibits'!O1424:O1428)),AVERAGE('20250815_ETF_Options_Exhibits'!O1424:O1428),"")</f>
        <v/>
      </c>
      <c r="P1428" s="3">
        <f>IF(ISNUMBER(AVERAGE('20250815_ETF_Options_Exhibits'!P1424:P1428)),AVERAGE('20250815_ETF_Options_Exhibits'!P1424:P1428),"")</f>
        <v/>
      </c>
      <c r="Q1428" s="3">
        <f>IF(ISNUMBER(AVERAGE('20250815_ETF_Options_Exhibits'!Q1424:Q1428)),AVERAGE('20250815_ETF_Options_Exhibits'!Q1424:Q1428),"")</f>
        <v/>
      </c>
      <c r="R1428" s="3">
        <f>IF(ISNUMBER(AVERAGE('20250815_ETF_Options_Exhibits'!R1424:R1428)),AVERAGE('20250815_ETF_Options_Exhibits'!R1424:R1428),"")</f>
        <v/>
      </c>
      <c r="S1428" s="3">
        <f>IF(ISNUMBER(AVERAGE('20250815_ETF_Options_Exhibits'!S1424:S1428)),AVERAGE('20250815_ETF_Options_Exhibits'!S1424:S1428),"")</f>
        <v/>
      </c>
      <c r="T1428" s="3">
        <f>IF(ISNUMBER(AVERAGE('20250815_ETF_Options_Exhibits'!T1424:T1428)),AVERAGE('20250815_ETF_Options_Exhibits'!T1424:T1428),"")</f>
        <v/>
      </c>
      <c r="U1428" s="3">
        <f>IF(ISNUMBER(AVERAGE('20250815_ETF_Options_Exhibits'!U1424:U1428)),AVERAGE('20250815_ETF_Options_Exhibits'!U1424:U1428),"")</f>
        <v/>
      </c>
      <c r="V1428" s="3">
        <f>IF(ISNUMBER(AVERAGE('20250815_ETF_Options_Exhibits'!V1424:V1428)),AVERAGE('20250815_ETF_Options_Exhibits'!V1424:V1428),"")</f>
        <v/>
      </c>
      <c r="W1428" s="3">
        <f>IF(ISNUMBER(AVERAGE('20250815_ETF_Options_Exhibits'!W1424:W1428)),AVERAGE('20250815_ETF_Options_Exhibits'!W1424:W1428),"")</f>
        <v/>
      </c>
      <c r="X1428" s="3">
        <f>IF(ISNUMBER(AVERAGE('20250815_ETF_Options_Exhibits'!X1424:X1428)),AVERAGE('20250815_ETF_Options_Exhibits'!X1424:X1428),"")</f>
        <v/>
      </c>
      <c r="Y1428" s="3">
        <f>IF(ISNUMBER(AVERAGE('20250815_ETF_Options_Exhibits'!Y1424:Y1428)),AVERAGE('20250815_ETF_Options_Exhibits'!Y1424:Y1428),"")</f>
        <v/>
      </c>
      <c r="Z1428" s="3">
        <f>IF(ISNUMBER(AVERAGE('20250815_ETF_Options_Exhibits'!Z1424:Z1428)),AVERAGE('20250815_ETF_Options_Exhibits'!Z1424:Z1428),"")</f>
        <v/>
      </c>
      <c r="AA1428" s="3">
        <f>IF(ISNUMBER(AVERAGE('20250815_ETF_Options_Exhibits'!AA1424:AA1428)),AVERAGE('20250815_ETF_Options_Exhibits'!AA1424:AA1428),"")</f>
        <v/>
      </c>
    </row>
    <row r="1429">
      <c r="A1429" s="1" t="n">
        <v>44075</v>
      </c>
      <c r="B1429" s="3">
        <f>IF(ISNUMBER(AVERAGE('20250815_ETF_Options_Exhibits'!B1425:B1429)),AVERAGE('20250815_ETF_Options_Exhibits'!B1425:B1429),"")</f>
        <v/>
      </c>
      <c r="C1429" s="3">
        <f>IF(ISNUMBER(AVERAGE('20250815_ETF_Options_Exhibits'!C1425:C1429)),AVERAGE('20250815_ETF_Options_Exhibits'!C1425:C1429),"")</f>
        <v/>
      </c>
      <c r="D1429" s="3">
        <f>IF(ISNUMBER(AVERAGE('20250815_ETF_Options_Exhibits'!D1425:D1429)),AVERAGE('20250815_ETF_Options_Exhibits'!D1425:D1429),"")</f>
        <v/>
      </c>
      <c r="E1429" s="3">
        <f>IF(ISNUMBER(AVERAGE('20250815_ETF_Options_Exhibits'!E1425:E1429)),AVERAGE('20250815_ETF_Options_Exhibits'!E1425:E1429),"")</f>
        <v/>
      </c>
      <c r="F1429" s="3">
        <f>IF(ISNUMBER(AVERAGE('20250815_ETF_Options_Exhibits'!F1425:F1429)),AVERAGE('20250815_ETF_Options_Exhibits'!F1425:F1429),"")</f>
        <v/>
      </c>
      <c r="G1429" s="3">
        <f>IF(ISNUMBER(AVERAGE('20250815_ETF_Options_Exhibits'!G1425:G1429)),AVERAGE('20250815_ETF_Options_Exhibits'!G1425:G1429),"")</f>
        <v/>
      </c>
      <c r="H1429" s="3">
        <f>IF(ISNUMBER(AVERAGE('20250815_ETF_Options_Exhibits'!H1425:H1429)),AVERAGE('20250815_ETF_Options_Exhibits'!H1425:H1429),"")</f>
        <v/>
      </c>
      <c r="I1429" s="3">
        <f>IF(ISNUMBER(AVERAGE('20250815_ETF_Options_Exhibits'!I1425:I1429)),AVERAGE('20250815_ETF_Options_Exhibits'!I1425:I1429),"")</f>
        <v/>
      </c>
      <c r="J1429" s="3">
        <f>IF(ISNUMBER(AVERAGE('20250815_ETF_Options_Exhibits'!J1425:J1429)),AVERAGE('20250815_ETF_Options_Exhibits'!J1425:J1429),"")</f>
        <v/>
      </c>
      <c r="K1429" s="3">
        <f>IF(ISNUMBER(AVERAGE('20250815_ETF_Options_Exhibits'!K1425:K1429)),AVERAGE('20250815_ETF_Options_Exhibits'!K1425:K1429),"")</f>
        <v/>
      </c>
      <c r="L1429" s="3">
        <f>IF(ISNUMBER(AVERAGE('20250815_ETF_Options_Exhibits'!L1425:L1429)),AVERAGE('20250815_ETF_Options_Exhibits'!L1425:L1429),"")</f>
        <v/>
      </c>
      <c r="M1429" s="3">
        <f>IF(ISNUMBER(AVERAGE('20250815_ETF_Options_Exhibits'!M1425:M1429)),AVERAGE('20250815_ETF_Options_Exhibits'!M1425:M1429),"")</f>
        <v/>
      </c>
      <c r="N1429" s="3">
        <f>IF(ISNUMBER(AVERAGE('20250815_ETF_Options_Exhibits'!N1425:N1429)),AVERAGE('20250815_ETF_Options_Exhibits'!N1425:N1429),"")</f>
        <v/>
      </c>
      <c r="O1429" s="3">
        <f>IF(ISNUMBER(AVERAGE('20250815_ETF_Options_Exhibits'!O1425:O1429)),AVERAGE('20250815_ETF_Options_Exhibits'!O1425:O1429),"")</f>
        <v/>
      </c>
      <c r="P1429" s="3">
        <f>IF(ISNUMBER(AVERAGE('20250815_ETF_Options_Exhibits'!P1425:P1429)),AVERAGE('20250815_ETF_Options_Exhibits'!P1425:P1429),"")</f>
        <v/>
      </c>
      <c r="Q1429" s="3">
        <f>IF(ISNUMBER(AVERAGE('20250815_ETF_Options_Exhibits'!Q1425:Q1429)),AVERAGE('20250815_ETF_Options_Exhibits'!Q1425:Q1429),"")</f>
        <v/>
      </c>
      <c r="R1429" s="3">
        <f>IF(ISNUMBER(AVERAGE('20250815_ETF_Options_Exhibits'!R1425:R1429)),AVERAGE('20250815_ETF_Options_Exhibits'!R1425:R1429),"")</f>
        <v/>
      </c>
      <c r="S1429" s="3">
        <f>IF(ISNUMBER(AVERAGE('20250815_ETF_Options_Exhibits'!S1425:S1429)),AVERAGE('20250815_ETF_Options_Exhibits'!S1425:S1429),"")</f>
        <v/>
      </c>
      <c r="T1429" s="3">
        <f>IF(ISNUMBER(AVERAGE('20250815_ETF_Options_Exhibits'!T1425:T1429)),AVERAGE('20250815_ETF_Options_Exhibits'!T1425:T1429),"")</f>
        <v/>
      </c>
      <c r="U1429" s="3">
        <f>IF(ISNUMBER(AVERAGE('20250815_ETF_Options_Exhibits'!U1425:U1429)),AVERAGE('20250815_ETF_Options_Exhibits'!U1425:U1429),"")</f>
        <v/>
      </c>
      <c r="V1429" s="3">
        <f>IF(ISNUMBER(AVERAGE('20250815_ETF_Options_Exhibits'!V1425:V1429)),AVERAGE('20250815_ETF_Options_Exhibits'!V1425:V1429),"")</f>
        <v/>
      </c>
      <c r="W1429" s="3">
        <f>IF(ISNUMBER(AVERAGE('20250815_ETF_Options_Exhibits'!W1425:W1429)),AVERAGE('20250815_ETF_Options_Exhibits'!W1425:W1429),"")</f>
        <v/>
      </c>
      <c r="X1429" s="3">
        <f>IF(ISNUMBER(AVERAGE('20250815_ETF_Options_Exhibits'!X1425:X1429)),AVERAGE('20250815_ETF_Options_Exhibits'!X1425:X1429),"")</f>
        <v/>
      </c>
      <c r="Y1429" s="3">
        <f>IF(ISNUMBER(AVERAGE('20250815_ETF_Options_Exhibits'!Y1425:Y1429)),AVERAGE('20250815_ETF_Options_Exhibits'!Y1425:Y1429),"")</f>
        <v/>
      </c>
      <c r="Z1429" s="3">
        <f>IF(ISNUMBER(AVERAGE('20250815_ETF_Options_Exhibits'!Z1425:Z1429)),AVERAGE('20250815_ETF_Options_Exhibits'!Z1425:Z1429),"")</f>
        <v/>
      </c>
      <c r="AA1429" s="3">
        <f>IF(ISNUMBER(AVERAGE('20250815_ETF_Options_Exhibits'!AA1425:AA1429)),AVERAGE('20250815_ETF_Options_Exhibits'!AA1425:AA1429),"")</f>
        <v/>
      </c>
    </row>
    <row r="1430">
      <c r="A1430" s="1" t="n">
        <v>44076</v>
      </c>
      <c r="B1430" s="3">
        <f>IF(ISNUMBER(AVERAGE('20250815_ETF_Options_Exhibits'!B1426:B1430)),AVERAGE('20250815_ETF_Options_Exhibits'!B1426:B1430),"")</f>
        <v/>
      </c>
      <c r="C1430" s="3">
        <f>IF(ISNUMBER(AVERAGE('20250815_ETF_Options_Exhibits'!C1426:C1430)),AVERAGE('20250815_ETF_Options_Exhibits'!C1426:C1430),"")</f>
        <v/>
      </c>
      <c r="D1430" s="3">
        <f>IF(ISNUMBER(AVERAGE('20250815_ETF_Options_Exhibits'!D1426:D1430)),AVERAGE('20250815_ETF_Options_Exhibits'!D1426:D1430),"")</f>
        <v/>
      </c>
      <c r="E1430" s="3">
        <f>IF(ISNUMBER(AVERAGE('20250815_ETF_Options_Exhibits'!E1426:E1430)),AVERAGE('20250815_ETF_Options_Exhibits'!E1426:E1430),"")</f>
        <v/>
      </c>
      <c r="F1430" s="3">
        <f>IF(ISNUMBER(AVERAGE('20250815_ETF_Options_Exhibits'!F1426:F1430)),AVERAGE('20250815_ETF_Options_Exhibits'!F1426:F1430),"")</f>
        <v/>
      </c>
      <c r="G1430" s="3">
        <f>IF(ISNUMBER(AVERAGE('20250815_ETF_Options_Exhibits'!G1426:G1430)),AVERAGE('20250815_ETF_Options_Exhibits'!G1426:G1430),"")</f>
        <v/>
      </c>
      <c r="H1430" s="3">
        <f>IF(ISNUMBER(AVERAGE('20250815_ETF_Options_Exhibits'!H1426:H1430)),AVERAGE('20250815_ETF_Options_Exhibits'!H1426:H1430),"")</f>
        <v/>
      </c>
      <c r="I1430" s="3">
        <f>IF(ISNUMBER(AVERAGE('20250815_ETF_Options_Exhibits'!I1426:I1430)),AVERAGE('20250815_ETF_Options_Exhibits'!I1426:I1430),"")</f>
        <v/>
      </c>
      <c r="J1430" s="3">
        <f>IF(ISNUMBER(AVERAGE('20250815_ETF_Options_Exhibits'!J1426:J1430)),AVERAGE('20250815_ETF_Options_Exhibits'!J1426:J1430),"")</f>
        <v/>
      </c>
      <c r="K1430" s="3">
        <f>IF(ISNUMBER(AVERAGE('20250815_ETF_Options_Exhibits'!K1426:K1430)),AVERAGE('20250815_ETF_Options_Exhibits'!K1426:K1430),"")</f>
        <v/>
      </c>
      <c r="L1430" s="3">
        <f>IF(ISNUMBER(AVERAGE('20250815_ETF_Options_Exhibits'!L1426:L1430)),AVERAGE('20250815_ETF_Options_Exhibits'!L1426:L1430),"")</f>
        <v/>
      </c>
      <c r="M1430" s="3">
        <f>IF(ISNUMBER(AVERAGE('20250815_ETF_Options_Exhibits'!M1426:M1430)),AVERAGE('20250815_ETF_Options_Exhibits'!M1426:M1430),"")</f>
        <v/>
      </c>
      <c r="N1430" s="3">
        <f>IF(ISNUMBER(AVERAGE('20250815_ETF_Options_Exhibits'!N1426:N1430)),AVERAGE('20250815_ETF_Options_Exhibits'!N1426:N1430),"")</f>
        <v/>
      </c>
      <c r="O1430" s="3">
        <f>IF(ISNUMBER(AVERAGE('20250815_ETF_Options_Exhibits'!O1426:O1430)),AVERAGE('20250815_ETF_Options_Exhibits'!O1426:O1430),"")</f>
        <v/>
      </c>
      <c r="P1430" s="3">
        <f>IF(ISNUMBER(AVERAGE('20250815_ETF_Options_Exhibits'!P1426:P1430)),AVERAGE('20250815_ETF_Options_Exhibits'!P1426:P1430),"")</f>
        <v/>
      </c>
      <c r="Q1430" s="3">
        <f>IF(ISNUMBER(AVERAGE('20250815_ETF_Options_Exhibits'!Q1426:Q1430)),AVERAGE('20250815_ETF_Options_Exhibits'!Q1426:Q1430),"")</f>
        <v/>
      </c>
      <c r="R1430" s="3">
        <f>IF(ISNUMBER(AVERAGE('20250815_ETF_Options_Exhibits'!R1426:R1430)),AVERAGE('20250815_ETF_Options_Exhibits'!R1426:R1430),"")</f>
        <v/>
      </c>
      <c r="S1430" s="3">
        <f>IF(ISNUMBER(AVERAGE('20250815_ETF_Options_Exhibits'!S1426:S1430)),AVERAGE('20250815_ETF_Options_Exhibits'!S1426:S1430),"")</f>
        <v/>
      </c>
      <c r="T1430" s="3">
        <f>IF(ISNUMBER(AVERAGE('20250815_ETF_Options_Exhibits'!T1426:T1430)),AVERAGE('20250815_ETF_Options_Exhibits'!T1426:T1430),"")</f>
        <v/>
      </c>
      <c r="U1430" s="3">
        <f>IF(ISNUMBER(AVERAGE('20250815_ETF_Options_Exhibits'!U1426:U1430)),AVERAGE('20250815_ETF_Options_Exhibits'!U1426:U1430),"")</f>
        <v/>
      </c>
      <c r="V1430" s="3">
        <f>IF(ISNUMBER(AVERAGE('20250815_ETF_Options_Exhibits'!V1426:V1430)),AVERAGE('20250815_ETF_Options_Exhibits'!V1426:V1430),"")</f>
        <v/>
      </c>
      <c r="W1430" s="3">
        <f>IF(ISNUMBER(AVERAGE('20250815_ETF_Options_Exhibits'!W1426:W1430)),AVERAGE('20250815_ETF_Options_Exhibits'!W1426:W1430),"")</f>
        <v/>
      </c>
      <c r="X1430" s="3">
        <f>IF(ISNUMBER(AVERAGE('20250815_ETF_Options_Exhibits'!X1426:X1430)),AVERAGE('20250815_ETF_Options_Exhibits'!X1426:X1430),"")</f>
        <v/>
      </c>
      <c r="Y1430" s="3">
        <f>IF(ISNUMBER(AVERAGE('20250815_ETF_Options_Exhibits'!Y1426:Y1430)),AVERAGE('20250815_ETF_Options_Exhibits'!Y1426:Y1430),"")</f>
        <v/>
      </c>
      <c r="Z1430" s="3">
        <f>IF(ISNUMBER(AVERAGE('20250815_ETF_Options_Exhibits'!Z1426:Z1430)),AVERAGE('20250815_ETF_Options_Exhibits'!Z1426:Z1430),"")</f>
        <v/>
      </c>
      <c r="AA1430" s="3">
        <f>IF(ISNUMBER(AVERAGE('20250815_ETF_Options_Exhibits'!AA1426:AA1430)),AVERAGE('20250815_ETF_Options_Exhibits'!AA1426:AA1430),"")</f>
        <v/>
      </c>
    </row>
    <row r="1431">
      <c r="A1431" s="1" t="n">
        <v>44077</v>
      </c>
      <c r="B1431" s="3">
        <f>IF(ISNUMBER(AVERAGE('20250815_ETF_Options_Exhibits'!B1427:B1431)),AVERAGE('20250815_ETF_Options_Exhibits'!B1427:B1431),"")</f>
        <v/>
      </c>
      <c r="C1431" s="3">
        <f>IF(ISNUMBER(AVERAGE('20250815_ETF_Options_Exhibits'!C1427:C1431)),AVERAGE('20250815_ETF_Options_Exhibits'!C1427:C1431),"")</f>
        <v/>
      </c>
      <c r="D1431" s="3">
        <f>IF(ISNUMBER(AVERAGE('20250815_ETF_Options_Exhibits'!D1427:D1431)),AVERAGE('20250815_ETF_Options_Exhibits'!D1427:D1431),"")</f>
        <v/>
      </c>
      <c r="E1431" s="3">
        <f>IF(ISNUMBER(AVERAGE('20250815_ETF_Options_Exhibits'!E1427:E1431)),AVERAGE('20250815_ETF_Options_Exhibits'!E1427:E1431),"")</f>
        <v/>
      </c>
      <c r="F1431" s="3">
        <f>IF(ISNUMBER(AVERAGE('20250815_ETF_Options_Exhibits'!F1427:F1431)),AVERAGE('20250815_ETF_Options_Exhibits'!F1427:F1431),"")</f>
        <v/>
      </c>
      <c r="G1431" s="3">
        <f>IF(ISNUMBER(AVERAGE('20250815_ETF_Options_Exhibits'!G1427:G1431)),AVERAGE('20250815_ETF_Options_Exhibits'!G1427:G1431),"")</f>
        <v/>
      </c>
      <c r="H1431" s="3">
        <f>IF(ISNUMBER(AVERAGE('20250815_ETF_Options_Exhibits'!H1427:H1431)),AVERAGE('20250815_ETF_Options_Exhibits'!H1427:H1431),"")</f>
        <v/>
      </c>
      <c r="I1431" s="3">
        <f>IF(ISNUMBER(AVERAGE('20250815_ETF_Options_Exhibits'!I1427:I1431)),AVERAGE('20250815_ETF_Options_Exhibits'!I1427:I1431),"")</f>
        <v/>
      </c>
      <c r="J1431" s="3">
        <f>IF(ISNUMBER(AVERAGE('20250815_ETF_Options_Exhibits'!J1427:J1431)),AVERAGE('20250815_ETF_Options_Exhibits'!J1427:J1431),"")</f>
        <v/>
      </c>
      <c r="K1431" s="3">
        <f>IF(ISNUMBER(AVERAGE('20250815_ETF_Options_Exhibits'!K1427:K1431)),AVERAGE('20250815_ETF_Options_Exhibits'!K1427:K1431),"")</f>
        <v/>
      </c>
      <c r="L1431" s="3">
        <f>IF(ISNUMBER(AVERAGE('20250815_ETF_Options_Exhibits'!L1427:L1431)),AVERAGE('20250815_ETF_Options_Exhibits'!L1427:L1431),"")</f>
        <v/>
      </c>
      <c r="M1431" s="3">
        <f>IF(ISNUMBER(AVERAGE('20250815_ETF_Options_Exhibits'!M1427:M1431)),AVERAGE('20250815_ETF_Options_Exhibits'!M1427:M1431),"")</f>
        <v/>
      </c>
      <c r="N1431" s="3">
        <f>IF(ISNUMBER(AVERAGE('20250815_ETF_Options_Exhibits'!N1427:N1431)),AVERAGE('20250815_ETF_Options_Exhibits'!N1427:N1431),"")</f>
        <v/>
      </c>
      <c r="O1431" s="3">
        <f>IF(ISNUMBER(AVERAGE('20250815_ETF_Options_Exhibits'!O1427:O1431)),AVERAGE('20250815_ETF_Options_Exhibits'!O1427:O1431),"")</f>
        <v/>
      </c>
      <c r="P1431" s="3">
        <f>IF(ISNUMBER(AVERAGE('20250815_ETF_Options_Exhibits'!P1427:P1431)),AVERAGE('20250815_ETF_Options_Exhibits'!P1427:P1431),"")</f>
        <v/>
      </c>
      <c r="Q1431" s="3">
        <f>IF(ISNUMBER(AVERAGE('20250815_ETF_Options_Exhibits'!Q1427:Q1431)),AVERAGE('20250815_ETF_Options_Exhibits'!Q1427:Q1431),"")</f>
        <v/>
      </c>
      <c r="R1431" s="3">
        <f>IF(ISNUMBER(AVERAGE('20250815_ETF_Options_Exhibits'!R1427:R1431)),AVERAGE('20250815_ETF_Options_Exhibits'!R1427:R1431),"")</f>
        <v/>
      </c>
      <c r="S1431" s="3">
        <f>IF(ISNUMBER(AVERAGE('20250815_ETF_Options_Exhibits'!S1427:S1431)),AVERAGE('20250815_ETF_Options_Exhibits'!S1427:S1431),"")</f>
        <v/>
      </c>
      <c r="T1431" s="3">
        <f>IF(ISNUMBER(AVERAGE('20250815_ETF_Options_Exhibits'!T1427:T1431)),AVERAGE('20250815_ETF_Options_Exhibits'!T1427:T1431),"")</f>
        <v/>
      </c>
      <c r="U1431" s="3">
        <f>IF(ISNUMBER(AVERAGE('20250815_ETF_Options_Exhibits'!U1427:U1431)),AVERAGE('20250815_ETF_Options_Exhibits'!U1427:U1431),"")</f>
        <v/>
      </c>
      <c r="V1431" s="3">
        <f>IF(ISNUMBER(AVERAGE('20250815_ETF_Options_Exhibits'!V1427:V1431)),AVERAGE('20250815_ETF_Options_Exhibits'!V1427:V1431),"")</f>
        <v/>
      </c>
      <c r="W1431" s="3">
        <f>IF(ISNUMBER(AVERAGE('20250815_ETF_Options_Exhibits'!W1427:W1431)),AVERAGE('20250815_ETF_Options_Exhibits'!W1427:W1431),"")</f>
        <v/>
      </c>
      <c r="X1431" s="3">
        <f>IF(ISNUMBER(AVERAGE('20250815_ETF_Options_Exhibits'!X1427:X1431)),AVERAGE('20250815_ETF_Options_Exhibits'!X1427:X1431),"")</f>
        <v/>
      </c>
      <c r="Y1431" s="3">
        <f>IF(ISNUMBER(AVERAGE('20250815_ETF_Options_Exhibits'!Y1427:Y1431)),AVERAGE('20250815_ETF_Options_Exhibits'!Y1427:Y1431),"")</f>
        <v/>
      </c>
      <c r="Z1431" s="3">
        <f>IF(ISNUMBER(AVERAGE('20250815_ETF_Options_Exhibits'!Z1427:Z1431)),AVERAGE('20250815_ETF_Options_Exhibits'!Z1427:Z1431),"")</f>
        <v/>
      </c>
      <c r="AA1431" s="3">
        <f>IF(ISNUMBER(AVERAGE('20250815_ETF_Options_Exhibits'!AA1427:AA1431)),AVERAGE('20250815_ETF_Options_Exhibits'!AA1427:AA1431),"")</f>
        <v/>
      </c>
    </row>
    <row r="1432">
      <c r="A1432" s="1" t="n">
        <v>44078</v>
      </c>
      <c r="B1432" s="3">
        <f>IF(ISNUMBER(AVERAGE('20250815_ETF_Options_Exhibits'!B1428:B1432)),AVERAGE('20250815_ETF_Options_Exhibits'!B1428:B1432),"")</f>
        <v/>
      </c>
      <c r="C1432" s="3">
        <f>IF(ISNUMBER(AVERAGE('20250815_ETF_Options_Exhibits'!C1428:C1432)),AVERAGE('20250815_ETF_Options_Exhibits'!C1428:C1432),"")</f>
        <v/>
      </c>
      <c r="D1432" s="3">
        <f>IF(ISNUMBER(AVERAGE('20250815_ETF_Options_Exhibits'!D1428:D1432)),AVERAGE('20250815_ETF_Options_Exhibits'!D1428:D1432),"")</f>
        <v/>
      </c>
      <c r="E1432" s="3">
        <f>IF(ISNUMBER(AVERAGE('20250815_ETF_Options_Exhibits'!E1428:E1432)),AVERAGE('20250815_ETF_Options_Exhibits'!E1428:E1432),"")</f>
        <v/>
      </c>
      <c r="F1432" s="3">
        <f>IF(ISNUMBER(AVERAGE('20250815_ETF_Options_Exhibits'!F1428:F1432)),AVERAGE('20250815_ETF_Options_Exhibits'!F1428:F1432),"")</f>
        <v/>
      </c>
      <c r="G1432" s="3">
        <f>IF(ISNUMBER(AVERAGE('20250815_ETF_Options_Exhibits'!G1428:G1432)),AVERAGE('20250815_ETF_Options_Exhibits'!G1428:G1432),"")</f>
        <v/>
      </c>
      <c r="H1432" s="3">
        <f>IF(ISNUMBER(AVERAGE('20250815_ETF_Options_Exhibits'!H1428:H1432)),AVERAGE('20250815_ETF_Options_Exhibits'!H1428:H1432),"")</f>
        <v/>
      </c>
      <c r="I1432" s="3">
        <f>IF(ISNUMBER(AVERAGE('20250815_ETF_Options_Exhibits'!I1428:I1432)),AVERAGE('20250815_ETF_Options_Exhibits'!I1428:I1432),"")</f>
        <v/>
      </c>
      <c r="J1432" s="3">
        <f>IF(ISNUMBER(AVERAGE('20250815_ETF_Options_Exhibits'!J1428:J1432)),AVERAGE('20250815_ETF_Options_Exhibits'!J1428:J1432),"")</f>
        <v/>
      </c>
      <c r="K1432" s="3">
        <f>IF(ISNUMBER(AVERAGE('20250815_ETF_Options_Exhibits'!K1428:K1432)),AVERAGE('20250815_ETF_Options_Exhibits'!K1428:K1432),"")</f>
        <v/>
      </c>
      <c r="L1432" s="3">
        <f>IF(ISNUMBER(AVERAGE('20250815_ETF_Options_Exhibits'!L1428:L1432)),AVERAGE('20250815_ETF_Options_Exhibits'!L1428:L1432),"")</f>
        <v/>
      </c>
      <c r="M1432" s="3">
        <f>IF(ISNUMBER(AVERAGE('20250815_ETF_Options_Exhibits'!M1428:M1432)),AVERAGE('20250815_ETF_Options_Exhibits'!M1428:M1432),"")</f>
        <v/>
      </c>
      <c r="N1432" s="3">
        <f>IF(ISNUMBER(AVERAGE('20250815_ETF_Options_Exhibits'!N1428:N1432)),AVERAGE('20250815_ETF_Options_Exhibits'!N1428:N1432),"")</f>
        <v/>
      </c>
      <c r="O1432" s="3">
        <f>IF(ISNUMBER(AVERAGE('20250815_ETF_Options_Exhibits'!O1428:O1432)),AVERAGE('20250815_ETF_Options_Exhibits'!O1428:O1432),"")</f>
        <v/>
      </c>
      <c r="P1432" s="3">
        <f>IF(ISNUMBER(AVERAGE('20250815_ETF_Options_Exhibits'!P1428:P1432)),AVERAGE('20250815_ETF_Options_Exhibits'!P1428:P1432),"")</f>
        <v/>
      </c>
      <c r="Q1432" s="3">
        <f>IF(ISNUMBER(AVERAGE('20250815_ETF_Options_Exhibits'!Q1428:Q1432)),AVERAGE('20250815_ETF_Options_Exhibits'!Q1428:Q1432),"")</f>
        <v/>
      </c>
      <c r="R1432" s="3">
        <f>IF(ISNUMBER(AVERAGE('20250815_ETF_Options_Exhibits'!R1428:R1432)),AVERAGE('20250815_ETF_Options_Exhibits'!R1428:R1432),"")</f>
        <v/>
      </c>
      <c r="S1432" s="3">
        <f>IF(ISNUMBER(AVERAGE('20250815_ETF_Options_Exhibits'!S1428:S1432)),AVERAGE('20250815_ETF_Options_Exhibits'!S1428:S1432),"")</f>
        <v/>
      </c>
      <c r="T1432" s="3">
        <f>IF(ISNUMBER(AVERAGE('20250815_ETF_Options_Exhibits'!T1428:T1432)),AVERAGE('20250815_ETF_Options_Exhibits'!T1428:T1432),"")</f>
        <v/>
      </c>
      <c r="U1432" s="3">
        <f>IF(ISNUMBER(AVERAGE('20250815_ETF_Options_Exhibits'!U1428:U1432)),AVERAGE('20250815_ETF_Options_Exhibits'!U1428:U1432),"")</f>
        <v/>
      </c>
      <c r="V1432" s="3">
        <f>IF(ISNUMBER(AVERAGE('20250815_ETF_Options_Exhibits'!V1428:V1432)),AVERAGE('20250815_ETF_Options_Exhibits'!V1428:V1432),"")</f>
        <v/>
      </c>
      <c r="W1432" s="3">
        <f>IF(ISNUMBER(AVERAGE('20250815_ETF_Options_Exhibits'!W1428:W1432)),AVERAGE('20250815_ETF_Options_Exhibits'!W1428:W1432),"")</f>
        <v/>
      </c>
      <c r="X1432" s="3">
        <f>IF(ISNUMBER(AVERAGE('20250815_ETF_Options_Exhibits'!X1428:X1432)),AVERAGE('20250815_ETF_Options_Exhibits'!X1428:X1432),"")</f>
        <v/>
      </c>
      <c r="Y1432" s="3">
        <f>IF(ISNUMBER(AVERAGE('20250815_ETF_Options_Exhibits'!Y1428:Y1432)),AVERAGE('20250815_ETF_Options_Exhibits'!Y1428:Y1432),"")</f>
        <v/>
      </c>
      <c r="Z1432" s="3">
        <f>IF(ISNUMBER(AVERAGE('20250815_ETF_Options_Exhibits'!Z1428:Z1432)),AVERAGE('20250815_ETF_Options_Exhibits'!Z1428:Z1432),"")</f>
        <v/>
      </c>
      <c r="AA1432" s="3">
        <f>IF(ISNUMBER(AVERAGE('20250815_ETF_Options_Exhibits'!AA1428:AA1432)),AVERAGE('20250815_ETF_Options_Exhibits'!AA1428:AA1432),"")</f>
        <v/>
      </c>
    </row>
    <row r="1433">
      <c r="A1433" s="1" t="n">
        <v>44082</v>
      </c>
      <c r="B1433" s="3">
        <f>IF(ISNUMBER(AVERAGE('20250815_ETF_Options_Exhibits'!B1429:B1433)),AVERAGE('20250815_ETF_Options_Exhibits'!B1429:B1433),"")</f>
        <v/>
      </c>
      <c r="C1433" s="3">
        <f>IF(ISNUMBER(AVERAGE('20250815_ETF_Options_Exhibits'!C1429:C1433)),AVERAGE('20250815_ETF_Options_Exhibits'!C1429:C1433),"")</f>
        <v/>
      </c>
      <c r="D1433" s="3">
        <f>IF(ISNUMBER(AVERAGE('20250815_ETF_Options_Exhibits'!D1429:D1433)),AVERAGE('20250815_ETF_Options_Exhibits'!D1429:D1433),"")</f>
        <v/>
      </c>
      <c r="E1433" s="3">
        <f>IF(ISNUMBER(AVERAGE('20250815_ETF_Options_Exhibits'!E1429:E1433)),AVERAGE('20250815_ETF_Options_Exhibits'!E1429:E1433),"")</f>
        <v/>
      </c>
      <c r="F1433" s="3">
        <f>IF(ISNUMBER(AVERAGE('20250815_ETF_Options_Exhibits'!F1429:F1433)),AVERAGE('20250815_ETF_Options_Exhibits'!F1429:F1433),"")</f>
        <v/>
      </c>
      <c r="G1433" s="3">
        <f>IF(ISNUMBER(AVERAGE('20250815_ETF_Options_Exhibits'!G1429:G1433)),AVERAGE('20250815_ETF_Options_Exhibits'!G1429:G1433),"")</f>
        <v/>
      </c>
      <c r="H1433" s="3">
        <f>IF(ISNUMBER(AVERAGE('20250815_ETF_Options_Exhibits'!H1429:H1433)),AVERAGE('20250815_ETF_Options_Exhibits'!H1429:H1433),"")</f>
        <v/>
      </c>
      <c r="I1433" s="3">
        <f>IF(ISNUMBER(AVERAGE('20250815_ETF_Options_Exhibits'!I1429:I1433)),AVERAGE('20250815_ETF_Options_Exhibits'!I1429:I1433),"")</f>
        <v/>
      </c>
      <c r="J1433" s="3">
        <f>IF(ISNUMBER(AVERAGE('20250815_ETF_Options_Exhibits'!J1429:J1433)),AVERAGE('20250815_ETF_Options_Exhibits'!J1429:J1433),"")</f>
        <v/>
      </c>
      <c r="K1433" s="3">
        <f>IF(ISNUMBER(AVERAGE('20250815_ETF_Options_Exhibits'!K1429:K1433)),AVERAGE('20250815_ETF_Options_Exhibits'!K1429:K1433),"")</f>
        <v/>
      </c>
      <c r="L1433" s="3">
        <f>IF(ISNUMBER(AVERAGE('20250815_ETF_Options_Exhibits'!L1429:L1433)),AVERAGE('20250815_ETF_Options_Exhibits'!L1429:L1433),"")</f>
        <v/>
      </c>
      <c r="M1433" s="3">
        <f>IF(ISNUMBER(AVERAGE('20250815_ETF_Options_Exhibits'!M1429:M1433)),AVERAGE('20250815_ETF_Options_Exhibits'!M1429:M1433),"")</f>
        <v/>
      </c>
      <c r="N1433" s="3">
        <f>IF(ISNUMBER(AVERAGE('20250815_ETF_Options_Exhibits'!N1429:N1433)),AVERAGE('20250815_ETF_Options_Exhibits'!N1429:N1433),"")</f>
        <v/>
      </c>
      <c r="O1433" s="3">
        <f>IF(ISNUMBER(AVERAGE('20250815_ETF_Options_Exhibits'!O1429:O1433)),AVERAGE('20250815_ETF_Options_Exhibits'!O1429:O1433),"")</f>
        <v/>
      </c>
      <c r="P1433" s="3">
        <f>IF(ISNUMBER(AVERAGE('20250815_ETF_Options_Exhibits'!P1429:P1433)),AVERAGE('20250815_ETF_Options_Exhibits'!P1429:P1433),"")</f>
        <v/>
      </c>
      <c r="Q1433" s="3">
        <f>IF(ISNUMBER(AVERAGE('20250815_ETF_Options_Exhibits'!Q1429:Q1433)),AVERAGE('20250815_ETF_Options_Exhibits'!Q1429:Q1433),"")</f>
        <v/>
      </c>
      <c r="R1433" s="3">
        <f>IF(ISNUMBER(AVERAGE('20250815_ETF_Options_Exhibits'!R1429:R1433)),AVERAGE('20250815_ETF_Options_Exhibits'!R1429:R1433),"")</f>
        <v/>
      </c>
      <c r="S1433" s="3">
        <f>IF(ISNUMBER(AVERAGE('20250815_ETF_Options_Exhibits'!S1429:S1433)),AVERAGE('20250815_ETF_Options_Exhibits'!S1429:S1433),"")</f>
        <v/>
      </c>
      <c r="T1433" s="3">
        <f>IF(ISNUMBER(AVERAGE('20250815_ETF_Options_Exhibits'!T1429:T1433)),AVERAGE('20250815_ETF_Options_Exhibits'!T1429:T1433),"")</f>
        <v/>
      </c>
      <c r="U1433" s="3">
        <f>IF(ISNUMBER(AVERAGE('20250815_ETF_Options_Exhibits'!U1429:U1433)),AVERAGE('20250815_ETF_Options_Exhibits'!U1429:U1433),"")</f>
        <v/>
      </c>
      <c r="V1433" s="3">
        <f>IF(ISNUMBER(AVERAGE('20250815_ETF_Options_Exhibits'!V1429:V1433)),AVERAGE('20250815_ETF_Options_Exhibits'!V1429:V1433),"")</f>
        <v/>
      </c>
      <c r="W1433" s="3">
        <f>IF(ISNUMBER(AVERAGE('20250815_ETF_Options_Exhibits'!W1429:W1433)),AVERAGE('20250815_ETF_Options_Exhibits'!W1429:W1433),"")</f>
        <v/>
      </c>
      <c r="X1433" s="3">
        <f>IF(ISNUMBER(AVERAGE('20250815_ETF_Options_Exhibits'!X1429:X1433)),AVERAGE('20250815_ETF_Options_Exhibits'!X1429:X1433),"")</f>
        <v/>
      </c>
      <c r="Y1433" s="3">
        <f>IF(ISNUMBER(AVERAGE('20250815_ETF_Options_Exhibits'!Y1429:Y1433)),AVERAGE('20250815_ETF_Options_Exhibits'!Y1429:Y1433),"")</f>
        <v/>
      </c>
      <c r="Z1433" s="3">
        <f>IF(ISNUMBER(AVERAGE('20250815_ETF_Options_Exhibits'!Z1429:Z1433)),AVERAGE('20250815_ETF_Options_Exhibits'!Z1429:Z1433),"")</f>
        <v/>
      </c>
      <c r="AA1433" s="3">
        <f>IF(ISNUMBER(AVERAGE('20250815_ETF_Options_Exhibits'!AA1429:AA1433)),AVERAGE('20250815_ETF_Options_Exhibits'!AA1429:AA1433),"")</f>
        <v/>
      </c>
    </row>
    <row r="1434">
      <c r="A1434" s="1" t="n">
        <v>44083</v>
      </c>
      <c r="B1434" s="3">
        <f>IF(ISNUMBER(AVERAGE('20250815_ETF_Options_Exhibits'!B1430:B1434)),AVERAGE('20250815_ETF_Options_Exhibits'!B1430:B1434),"")</f>
        <v/>
      </c>
      <c r="C1434" s="3">
        <f>IF(ISNUMBER(AVERAGE('20250815_ETF_Options_Exhibits'!C1430:C1434)),AVERAGE('20250815_ETF_Options_Exhibits'!C1430:C1434),"")</f>
        <v/>
      </c>
      <c r="D1434" s="3">
        <f>IF(ISNUMBER(AVERAGE('20250815_ETF_Options_Exhibits'!D1430:D1434)),AVERAGE('20250815_ETF_Options_Exhibits'!D1430:D1434),"")</f>
        <v/>
      </c>
      <c r="E1434" s="3">
        <f>IF(ISNUMBER(AVERAGE('20250815_ETF_Options_Exhibits'!E1430:E1434)),AVERAGE('20250815_ETF_Options_Exhibits'!E1430:E1434),"")</f>
        <v/>
      </c>
      <c r="F1434" s="3">
        <f>IF(ISNUMBER(AVERAGE('20250815_ETF_Options_Exhibits'!F1430:F1434)),AVERAGE('20250815_ETF_Options_Exhibits'!F1430:F1434),"")</f>
        <v/>
      </c>
      <c r="G1434" s="3">
        <f>IF(ISNUMBER(AVERAGE('20250815_ETF_Options_Exhibits'!G1430:G1434)),AVERAGE('20250815_ETF_Options_Exhibits'!G1430:G1434),"")</f>
        <v/>
      </c>
      <c r="H1434" s="3">
        <f>IF(ISNUMBER(AVERAGE('20250815_ETF_Options_Exhibits'!H1430:H1434)),AVERAGE('20250815_ETF_Options_Exhibits'!H1430:H1434),"")</f>
        <v/>
      </c>
      <c r="I1434" s="3">
        <f>IF(ISNUMBER(AVERAGE('20250815_ETF_Options_Exhibits'!I1430:I1434)),AVERAGE('20250815_ETF_Options_Exhibits'!I1430:I1434),"")</f>
        <v/>
      </c>
      <c r="J1434" s="3">
        <f>IF(ISNUMBER(AVERAGE('20250815_ETF_Options_Exhibits'!J1430:J1434)),AVERAGE('20250815_ETF_Options_Exhibits'!J1430:J1434),"")</f>
        <v/>
      </c>
      <c r="K1434" s="3">
        <f>IF(ISNUMBER(AVERAGE('20250815_ETF_Options_Exhibits'!K1430:K1434)),AVERAGE('20250815_ETF_Options_Exhibits'!K1430:K1434),"")</f>
        <v/>
      </c>
      <c r="L1434" s="3">
        <f>IF(ISNUMBER(AVERAGE('20250815_ETF_Options_Exhibits'!L1430:L1434)),AVERAGE('20250815_ETF_Options_Exhibits'!L1430:L1434),"")</f>
        <v/>
      </c>
      <c r="M1434" s="3">
        <f>IF(ISNUMBER(AVERAGE('20250815_ETF_Options_Exhibits'!M1430:M1434)),AVERAGE('20250815_ETF_Options_Exhibits'!M1430:M1434),"")</f>
        <v/>
      </c>
      <c r="N1434" s="3">
        <f>IF(ISNUMBER(AVERAGE('20250815_ETF_Options_Exhibits'!N1430:N1434)),AVERAGE('20250815_ETF_Options_Exhibits'!N1430:N1434),"")</f>
        <v/>
      </c>
      <c r="O1434" s="3">
        <f>IF(ISNUMBER(AVERAGE('20250815_ETF_Options_Exhibits'!O1430:O1434)),AVERAGE('20250815_ETF_Options_Exhibits'!O1430:O1434),"")</f>
        <v/>
      </c>
      <c r="P1434" s="3">
        <f>IF(ISNUMBER(AVERAGE('20250815_ETF_Options_Exhibits'!P1430:P1434)),AVERAGE('20250815_ETF_Options_Exhibits'!P1430:P1434),"")</f>
        <v/>
      </c>
      <c r="Q1434" s="3">
        <f>IF(ISNUMBER(AVERAGE('20250815_ETF_Options_Exhibits'!Q1430:Q1434)),AVERAGE('20250815_ETF_Options_Exhibits'!Q1430:Q1434),"")</f>
        <v/>
      </c>
      <c r="R1434" s="3">
        <f>IF(ISNUMBER(AVERAGE('20250815_ETF_Options_Exhibits'!R1430:R1434)),AVERAGE('20250815_ETF_Options_Exhibits'!R1430:R1434),"")</f>
        <v/>
      </c>
      <c r="S1434" s="3">
        <f>IF(ISNUMBER(AVERAGE('20250815_ETF_Options_Exhibits'!S1430:S1434)),AVERAGE('20250815_ETF_Options_Exhibits'!S1430:S1434),"")</f>
        <v/>
      </c>
      <c r="T1434" s="3">
        <f>IF(ISNUMBER(AVERAGE('20250815_ETF_Options_Exhibits'!T1430:T1434)),AVERAGE('20250815_ETF_Options_Exhibits'!T1430:T1434),"")</f>
        <v/>
      </c>
      <c r="U1434" s="3">
        <f>IF(ISNUMBER(AVERAGE('20250815_ETF_Options_Exhibits'!U1430:U1434)),AVERAGE('20250815_ETF_Options_Exhibits'!U1430:U1434),"")</f>
        <v/>
      </c>
      <c r="V1434" s="3">
        <f>IF(ISNUMBER(AVERAGE('20250815_ETF_Options_Exhibits'!V1430:V1434)),AVERAGE('20250815_ETF_Options_Exhibits'!V1430:V1434),"")</f>
        <v/>
      </c>
      <c r="W1434" s="3">
        <f>IF(ISNUMBER(AVERAGE('20250815_ETF_Options_Exhibits'!W1430:W1434)),AVERAGE('20250815_ETF_Options_Exhibits'!W1430:W1434),"")</f>
        <v/>
      </c>
      <c r="X1434" s="3">
        <f>IF(ISNUMBER(AVERAGE('20250815_ETF_Options_Exhibits'!X1430:X1434)),AVERAGE('20250815_ETF_Options_Exhibits'!X1430:X1434),"")</f>
        <v/>
      </c>
      <c r="Y1434" s="3">
        <f>IF(ISNUMBER(AVERAGE('20250815_ETF_Options_Exhibits'!Y1430:Y1434)),AVERAGE('20250815_ETF_Options_Exhibits'!Y1430:Y1434),"")</f>
        <v/>
      </c>
      <c r="Z1434" s="3">
        <f>IF(ISNUMBER(AVERAGE('20250815_ETF_Options_Exhibits'!Z1430:Z1434)),AVERAGE('20250815_ETF_Options_Exhibits'!Z1430:Z1434),"")</f>
        <v/>
      </c>
      <c r="AA1434" s="3">
        <f>IF(ISNUMBER(AVERAGE('20250815_ETF_Options_Exhibits'!AA1430:AA1434)),AVERAGE('20250815_ETF_Options_Exhibits'!AA1430:AA1434),"")</f>
        <v/>
      </c>
    </row>
    <row r="1435">
      <c r="A1435" s="1" t="n">
        <v>44084</v>
      </c>
      <c r="B1435" s="3">
        <f>IF(ISNUMBER(AVERAGE('20250815_ETF_Options_Exhibits'!B1431:B1435)),AVERAGE('20250815_ETF_Options_Exhibits'!B1431:B1435),"")</f>
        <v/>
      </c>
      <c r="C1435" s="3">
        <f>IF(ISNUMBER(AVERAGE('20250815_ETF_Options_Exhibits'!C1431:C1435)),AVERAGE('20250815_ETF_Options_Exhibits'!C1431:C1435),"")</f>
        <v/>
      </c>
      <c r="D1435" s="3">
        <f>IF(ISNUMBER(AVERAGE('20250815_ETF_Options_Exhibits'!D1431:D1435)),AVERAGE('20250815_ETF_Options_Exhibits'!D1431:D1435),"")</f>
        <v/>
      </c>
      <c r="E1435" s="3">
        <f>IF(ISNUMBER(AVERAGE('20250815_ETF_Options_Exhibits'!E1431:E1435)),AVERAGE('20250815_ETF_Options_Exhibits'!E1431:E1435),"")</f>
        <v/>
      </c>
      <c r="F1435" s="3">
        <f>IF(ISNUMBER(AVERAGE('20250815_ETF_Options_Exhibits'!F1431:F1435)),AVERAGE('20250815_ETF_Options_Exhibits'!F1431:F1435),"")</f>
        <v/>
      </c>
      <c r="G1435" s="3">
        <f>IF(ISNUMBER(AVERAGE('20250815_ETF_Options_Exhibits'!G1431:G1435)),AVERAGE('20250815_ETF_Options_Exhibits'!G1431:G1435),"")</f>
        <v/>
      </c>
      <c r="H1435" s="3">
        <f>IF(ISNUMBER(AVERAGE('20250815_ETF_Options_Exhibits'!H1431:H1435)),AVERAGE('20250815_ETF_Options_Exhibits'!H1431:H1435),"")</f>
        <v/>
      </c>
      <c r="I1435" s="3">
        <f>IF(ISNUMBER(AVERAGE('20250815_ETF_Options_Exhibits'!I1431:I1435)),AVERAGE('20250815_ETF_Options_Exhibits'!I1431:I1435),"")</f>
        <v/>
      </c>
      <c r="J1435" s="3">
        <f>IF(ISNUMBER(AVERAGE('20250815_ETF_Options_Exhibits'!J1431:J1435)),AVERAGE('20250815_ETF_Options_Exhibits'!J1431:J1435),"")</f>
        <v/>
      </c>
      <c r="K1435" s="3">
        <f>IF(ISNUMBER(AVERAGE('20250815_ETF_Options_Exhibits'!K1431:K1435)),AVERAGE('20250815_ETF_Options_Exhibits'!K1431:K1435),"")</f>
        <v/>
      </c>
      <c r="L1435" s="3">
        <f>IF(ISNUMBER(AVERAGE('20250815_ETF_Options_Exhibits'!L1431:L1435)),AVERAGE('20250815_ETF_Options_Exhibits'!L1431:L1435),"")</f>
        <v/>
      </c>
      <c r="M1435" s="3">
        <f>IF(ISNUMBER(AVERAGE('20250815_ETF_Options_Exhibits'!M1431:M1435)),AVERAGE('20250815_ETF_Options_Exhibits'!M1431:M1435),"")</f>
        <v/>
      </c>
      <c r="N1435" s="3">
        <f>IF(ISNUMBER(AVERAGE('20250815_ETF_Options_Exhibits'!N1431:N1435)),AVERAGE('20250815_ETF_Options_Exhibits'!N1431:N1435),"")</f>
        <v/>
      </c>
      <c r="O1435" s="3">
        <f>IF(ISNUMBER(AVERAGE('20250815_ETF_Options_Exhibits'!O1431:O1435)),AVERAGE('20250815_ETF_Options_Exhibits'!O1431:O1435),"")</f>
        <v/>
      </c>
      <c r="P1435" s="3">
        <f>IF(ISNUMBER(AVERAGE('20250815_ETF_Options_Exhibits'!P1431:P1435)),AVERAGE('20250815_ETF_Options_Exhibits'!P1431:P1435),"")</f>
        <v/>
      </c>
      <c r="Q1435" s="3">
        <f>IF(ISNUMBER(AVERAGE('20250815_ETF_Options_Exhibits'!Q1431:Q1435)),AVERAGE('20250815_ETF_Options_Exhibits'!Q1431:Q1435),"")</f>
        <v/>
      </c>
      <c r="R1435" s="3">
        <f>IF(ISNUMBER(AVERAGE('20250815_ETF_Options_Exhibits'!R1431:R1435)),AVERAGE('20250815_ETF_Options_Exhibits'!R1431:R1435),"")</f>
        <v/>
      </c>
      <c r="S1435" s="3">
        <f>IF(ISNUMBER(AVERAGE('20250815_ETF_Options_Exhibits'!S1431:S1435)),AVERAGE('20250815_ETF_Options_Exhibits'!S1431:S1435),"")</f>
        <v/>
      </c>
      <c r="T1435" s="3">
        <f>IF(ISNUMBER(AVERAGE('20250815_ETF_Options_Exhibits'!T1431:T1435)),AVERAGE('20250815_ETF_Options_Exhibits'!T1431:T1435),"")</f>
        <v/>
      </c>
      <c r="U1435" s="3">
        <f>IF(ISNUMBER(AVERAGE('20250815_ETF_Options_Exhibits'!U1431:U1435)),AVERAGE('20250815_ETF_Options_Exhibits'!U1431:U1435),"")</f>
        <v/>
      </c>
      <c r="V1435" s="3">
        <f>IF(ISNUMBER(AVERAGE('20250815_ETF_Options_Exhibits'!V1431:V1435)),AVERAGE('20250815_ETF_Options_Exhibits'!V1431:V1435),"")</f>
        <v/>
      </c>
      <c r="W1435" s="3">
        <f>IF(ISNUMBER(AVERAGE('20250815_ETF_Options_Exhibits'!W1431:W1435)),AVERAGE('20250815_ETF_Options_Exhibits'!W1431:W1435),"")</f>
        <v/>
      </c>
      <c r="X1435" s="3">
        <f>IF(ISNUMBER(AVERAGE('20250815_ETF_Options_Exhibits'!X1431:X1435)),AVERAGE('20250815_ETF_Options_Exhibits'!X1431:X1435),"")</f>
        <v/>
      </c>
      <c r="Y1435" s="3">
        <f>IF(ISNUMBER(AVERAGE('20250815_ETF_Options_Exhibits'!Y1431:Y1435)),AVERAGE('20250815_ETF_Options_Exhibits'!Y1431:Y1435),"")</f>
        <v/>
      </c>
      <c r="Z1435" s="3">
        <f>IF(ISNUMBER(AVERAGE('20250815_ETF_Options_Exhibits'!Z1431:Z1435)),AVERAGE('20250815_ETF_Options_Exhibits'!Z1431:Z1435),"")</f>
        <v/>
      </c>
      <c r="AA1435" s="3">
        <f>IF(ISNUMBER(AVERAGE('20250815_ETF_Options_Exhibits'!AA1431:AA1435)),AVERAGE('20250815_ETF_Options_Exhibits'!AA1431:AA1435),"")</f>
        <v/>
      </c>
    </row>
    <row r="1436">
      <c r="A1436" s="1" t="n">
        <v>44085</v>
      </c>
      <c r="B1436" s="3">
        <f>IF(ISNUMBER(AVERAGE('20250815_ETF_Options_Exhibits'!B1432:B1436)),AVERAGE('20250815_ETF_Options_Exhibits'!B1432:B1436),"")</f>
        <v/>
      </c>
      <c r="C1436" s="3">
        <f>IF(ISNUMBER(AVERAGE('20250815_ETF_Options_Exhibits'!C1432:C1436)),AVERAGE('20250815_ETF_Options_Exhibits'!C1432:C1436),"")</f>
        <v/>
      </c>
      <c r="D1436" s="3">
        <f>IF(ISNUMBER(AVERAGE('20250815_ETF_Options_Exhibits'!D1432:D1436)),AVERAGE('20250815_ETF_Options_Exhibits'!D1432:D1436),"")</f>
        <v/>
      </c>
      <c r="E1436" s="3">
        <f>IF(ISNUMBER(AVERAGE('20250815_ETF_Options_Exhibits'!E1432:E1436)),AVERAGE('20250815_ETF_Options_Exhibits'!E1432:E1436),"")</f>
        <v/>
      </c>
      <c r="F1436" s="3">
        <f>IF(ISNUMBER(AVERAGE('20250815_ETF_Options_Exhibits'!F1432:F1436)),AVERAGE('20250815_ETF_Options_Exhibits'!F1432:F1436),"")</f>
        <v/>
      </c>
      <c r="G1436" s="3">
        <f>IF(ISNUMBER(AVERAGE('20250815_ETF_Options_Exhibits'!G1432:G1436)),AVERAGE('20250815_ETF_Options_Exhibits'!G1432:G1436),"")</f>
        <v/>
      </c>
      <c r="H1436" s="3">
        <f>IF(ISNUMBER(AVERAGE('20250815_ETF_Options_Exhibits'!H1432:H1436)),AVERAGE('20250815_ETF_Options_Exhibits'!H1432:H1436),"")</f>
        <v/>
      </c>
      <c r="I1436" s="3">
        <f>IF(ISNUMBER(AVERAGE('20250815_ETF_Options_Exhibits'!I1432:I1436)),AVERAGE('20250815_ETF_Options_Exhibits'!I1432:I1436),"")</f>
        <v/>
      </c>
      <c r="J1436" s="3">
        <f>IF(ISNUMBER(AVERAGE('20250815_ETF_Options_Exhibits'!J1432:J1436)),AVERAGE('20250815_ETF_Options_Exhibits'!J1432:J1436),"")</f>
        <v/>
      </c>
      <c r="K1436" s="3">
        <f>IF(ISNUMBER(AVERAGE('20250815_ETF_Options_Exhibits'!K1432:K1436)),AVERAGE('20250815_ETF_Options_Exhibits'!K1432:K1436),"")</f>
        <v/>
      </c>
      <c r="L1436" s="3">
        <f>IF(ISNUMBER(AVERAGE('20250815_ETF_Options_Exhibits'!L1432:L1436)),AVERAGE('20250815_ETF_Options_Exhibits'!L1432:L1436),"")</f>
        <v/>
      </c>
      <c r="M1436" s="3">
        <f>IF(ISNUMBER(AVERAGE('20250815_ETF_Options_Exhibits'!M1432:M1436)),AVERAGE('20250815_ETF_Options_Exhibits'!M1432:M1436),"")</f>
        <v/>
      </c>
      <c r="N1436" s="3">
        <f>IF(ISNUMBER(AVERAGE('20250815_ETF_Options_Exhibits'!N1432:N1436)),AVERAGE('20250815_ETF_Options_Exhibits'!N1432:N1436),"")</f>
        <v/>
      </c>
      <c r="O1436" s="3">
        <f>IF(ISNUMBER(AVERAGE('20250815_ETF_Options_Exhibits'!O1432:O1436)),AVERAGE('20250815_ETF_Options_Exhibits'!O1432:O1436),"")</f>
        <v/>
      </c>
      <c r="P1436" s="3">
        <f>IF(ISNUMBER(AVERAGE('20250815_ETF_Options_Exhibits'!P1432:P1436)),AVERAGE('20250815_ETF_Options_Exhibits'!P1432:P1436),"")</f>
        <v/>
      </c>
      <c r="Q1436" s="3">
        <f>IF(ISNUMBER(AVERAGE('20250815_ETF_Options_Exhibits'!Q1432:Q1436)),AVERAGE('20250815_ETF_Options_Exhibits'!Q1432:Q1436),"")</f>
        <v/>
      </c>
      <c r="R1436" s="3">
        <f>IF(ISNUMBER(AVERAGE('20250815_ETF_Options_Exhibits'!R1432:R1436)),AVERAGE('20250815_ETF_Options_Exhibits'!R1432:R1436),"")</f>
        <v/>
      </c>
      <c r="S1436" s="3">
        <f>IF(ISNUMBER(AVERAGE('20250815_ETF_Options_Exhibits'!S1432:S1436)),AVERAGE('20250815_ETF_Options_Exhibits'!S1432:S1436),"")</f>
        <v/>
      </c>
      <c r="T1436" s="3">
        <f>IF(ISNUMBER(AVERAGE('20250815_ETF_Options_Exhibits'!T1432:T1436)),AVERAGE('20250815_ETF_Options_Exhibits'!T1432:T1436),"")</f>
        <v/>
      </c>
      <c r="U1436" s="3">
        <f>IF(ISNUMBER(AVERAGE('20250815_ETF_Options_Exhibits'!U1432:U1436)),AVERAGE('20250815_ETF_Options_Exhibits'!U1432:U1436),"")</f>
        <v/>
      </c>
      <c r="V1436" s="3">
        <f>IF(ISNUMBER(AVERAGE('20250815_ETF_Options_Exhibits'!V1432:V1436)),AVERAGE('20250815_ETF_Options_Exhibits'!V1432:V1436),"")</f>
        <v/>
      </c>
      <c r="W1436" s="3">
        <f>IF(ISNUMBER(AVERAGE('20250815_ETF_Options_Exhibits'!W1432:W1436)),AVERAGE('20250815_ETF_Options_Exhibits'!W1432:W1436),"")</f>
        <v/>
      </c>
      <c r="X1436" s="3">
        <f>IF(ISNUMBER(AVERAGE('20250815_ETF_Options_Exhibits'!X1432:X1436)),AVERAGE('20250815_ETF_Options_Exhibits'!X1432:X1436),"")</f>
        <v/>
      </c>
      <c r="Y1436" s="3">
        <f>IF(ISNUMBER(AVERAGE('20250815_ETF_Options_Exhibits'!Y1432:Y1436)),AVERAGE('20250815_ETF_Options_Exhibits'!Y1432:Y1436),"")</f>
        <v/>
      </c>
      <c r="Z1436" s="3">
        <f>IF(ISNUMBER(AVERAGE('20250815_ETF_Options_Exhibits'!Z1432:Z1436)),AVERAGE('20250815_ETF_Options_Exhibits'!Z1432:Z1436),"")</f>
        <v/>
      </c>
      <c r="AA1436" s="3">
        <f>IF(ISNUMBER(AVERAGE('20250815_ETF_Options_Exhibits'!AA1432:AA1436)),AVERAGE('20250815_ETF_Options_Exhibits'!AA1432:AA1436),"")</f>
        <v/>
      </c>
    </row>
    <row r="1437">
      <c r="A1437" s="1" t="n">
        <v>44088</v>
      </c>
      <c r="B1437" s="3">
        <f>IF(ISNUMBER(AVERAGE('20250815_ETF_Options_Exhibits'!B1433:B1437)),AVERAGE('20250815_ETF_Options_Exhibits'!B1433:B1437),"")</f>
        <v/>
      </c>
      <c r="C1437" s="3">
        <f>IF(ISNUMBER(AVERAGE('20250815_ETF_Options_Exhibits'!C1433:C1437)),AVERAGE('20250815_ETF_Options_Exhibits'!C1433:C1437),"")</f>
        <v/>
      </c>
      <c r="D1437" s="3">
        <f>IF(ISNUMBER(AVERAGE('20250815_ETF_Options_Exhibits'!D1433:D1437)),AVERAGE('20250815_ETF_Options_Exhibits'!D1433:D1437),"")</f>
        <v/>
      </c>
      <c r="E1437" s="3">
        <f>IF(ISNUMBER(AVERAGE('20250815_ETF_Options_Exhibits'!E1433:E1437)),AVERAGE('20250815_ETF_Options_Exhibits'!E1433:E1437),"")</f>
        <v/>
      </c>
      <c r="F1437" s="3">
        <f>IF(ISNUMBER(AVERAGE('20250815_ETF_Options_Exhibits'!F1433:F1437)),AVERAGE('20250815_ETF_Options_Exhibits'!F1433:F1437),"")</f>
        <v/>
      </c>
      <c r="G1437" s="3">
        <f>IF(ISNUMBER(AVERAGE('20250815_ETF_Options_Exhibits'!G1433:G1437)),AVERAGE('20250815_ETF_Options_Exhibits'!G1433:G1437),"")</f>
        <v/>
      </c>
      <c r="H1437" s="3">
        <f>IF(ISNUMBER(AVERAGE('20250815_ETF_Options_Exhibits'!H1433:H1437)),AVERAGE('20250815_ETF_Options_Exhibits'!H1433:H1437),"")</f>
        <v/>
      </c>
      <c r="I1437" s="3">
        <f>IF(ISNUMBER(AVERAGE('20250815_ETF_Options_Exhibits'!I1433:I1437)),AVERAGE('20250815_ETF_Options_Exhibits'!I1433:I1437),"")</f>
        <v/>
      </c>
      <c r="J1437" s="3">
        <f>IF(ISNUMBER(AVERAGE('20250815_ETF_Options_Exhibits'!J1433:J1437)),AVERAGE('20250815_ETF_Options_Exhibits'!J1433:J1437),"")</f>
        <v/>
      </c>
      <c r="K1437" s="3">
        <f>IF(ISNUMBER(AVERAGE('20250815_ETF_Options_Exhibits'!K1433:K1437)),AVERAGE('20250815_ETF_Options_Exhibits'!K1433:K1437),"")</f>
        <v/>
      </c>
      <c r="L1437" s="3">
        <f>IF(ISNUMBER(AVERAGE('20250815_ETF_Options_Exhibits'!L1433:L1437)),AVERAGE('20250815_ETF_Options_Exhibits'!L1433:L1437),"")</f>
        <v/>
      </c>
      <c r="M1437" s="3">
        <f>IF(ISNUMBER(AVERAGE('20250815_ETF_Options_Exhibits'!M1433:M1437)),AVERAGE('20250815_ETF_Options_Exhibits'!M1433:M1437),"")</f>
        <v/>
      </c>
      <c r="N1437" s="3">
        <f>IF(ISNUMBER(AVERAGE('20250815_ETF_Options_Exhibits'!N1433:N1437)),AVERAGE('20250815_ETF_Options_Exhibits'!N1433:N1437),"")</f>
        <v/>
      </c>
      <c r="O1437" s="3">
        <f>IF(ISNUMBER(AVERAGE('20250815_ETF_Options_Exhibits'!O1433:O1437)),AVERAGE('20250815_ETF_Options_Exhibits'!O1433:O1437),"")</f>
        <v/>
      </c>
      <c r="P1437" s="3">
        <f>IF(ISNUMBER(AVERAGE('20250815_ETF_Options_Exhibits'!P1433:P1437)),AVERAGE('20250815_ETF_Options_Exhibits'!P1433:P1437),"")</f>
        <v/>
      </c>
      <c r="Q1437" s="3">
        <f>IF(ISNUMBER(AVERAGE('20250815_ETF_Options_Exhibits'!Q1433:Q1437)),AVERAGE('20250815_ETF_Options_Exhibits'!Q1433:Q1437),"")</f>
        <v/>
      </c>
      <c r="R1437" s="3">
        <f>IF(ISNUMBER(AVERAGE('20250815_ETF_Options_Exhibits'!R1433:R1437)),AVERAGE('20250815_ETF_Options_Exhibits'!R1433:R1437),"")</f>
        <v/>
      </c>
      <c r="S1437" s="3">
        <f>IF(ISNUMBER(AVERAGE('20250815_ETF_Options_Exhibits'!S1433:S1437)),AVERAGE('20250815_ETF_Options_Exhibits'!S1433:S1437),"")</f>
        <v/>
      </c>
      <c r="T1437" s="3">
        <f>IF(ISNUMBER(AVERAGE('20250815_ETF_Options_Exhibits'!T1433:T1437)),AVERAGE('20250815_ETF_Options_Exhibits'!T1433:T1437),"")</f>
        <v/>
      </c>
      <c r="U1437" s="3">
        <f>IF(ISNUMBER(AVERAGE('20250815_ETF_Options_Exhibits'!U1433:U1437)),AVERAGE('20250815_ETF_Options_Exhibits'!U1433:U1437),"")</f>
        <v/>
      </c>
      <c r="V1437" s="3">
        <f>IF(ISNUMBER(AVERAGE('20250815_ETF_Options_Exhibits'!V1433:V1437)),AVERAGE('20250815_ETF_Options_Exhibits'!V1433:V1437),"")</f>
        <v/>
      </c>
      <c r="W1437" s="3">
        <f>IF(ISNUMBER(AVERAGE('20250815_ETF_Options_Exhibits'!W1433:W1437)),AVERAGE('20250815_ETF_Options_Exhibits'!W1433:W1437),"")</f>
        <v/>
      </c>
      <c r="X1437" s="3">
        <f>IF(ISNUMBER(AVERAGE('20250815_ETF_Options_Exhibits'!X1433:X1437)),AVERAGE('20250815_ETF_Options_Exhibits'!X1433:X1437),"")</f>
        <v/>
      </c>
      <c r="Y1437" s="3">
        <f>IF(ISNUMBER(AVERAGE('20250815_ETF_Options_Exhibits'!Y1433:Y1437)),AVERAGE('20250815_ETF_Options_Exhibits'!Y1433:Y1437),"")</f>
        <v/>
      </c>
      <c r="Z1437" s="3">
        <f>IF(ISNUMBER(AVERAGE('20250815_ETF_Options_Exhibits'!Z1433:Z1437)),AVERAGE('20250815_ETF_Options_Exhibits'!Z1433:Z1437),"")</f>
        <v/>
      </c>
      <c r="AA1437" s="3">
        <f>IF(ISNUMBER(AVERAGE('20250815_ETF_Options_Exhibits'!AA1433:AA1437)),AVERAGE('20250815_ETF_Options_Exhibits'!AA1433:AA1437),"")</f>
        <v/>
      </c>
    </row>
    <row r="1438">
      <c r="A1438" s="1" t="n">
        <v>44089</v>
      </c>
      <c r="B1438" s="3">
        <f>IF(ISNUMBER(AVERAGE('20250815_ETF_Options_Exhibits'!B1434:B1438)),AVERAGE('20250815_ETF_Options_Exhibits'!B1434:B1438),"")</f>
        <v/>
      </c>
      <c r="C1438" s="3">
        <f>IF(ISNUMBER(AVERAGE('20250815_ETF_Options_Exhibits'!C1434:C1438)),AVERAGE('20250815_ETF_Options_Exhibits'!C1434:C1438),"")</f>
        <v/>
      </c>
      <c r="D1438" s="3">
        <f>IF(ISNUMBER(AVERAGE('20250815_ETF_Options_Exhibits'!D1434:D1438)),AVERAGE('20250815_ETF_Options_Exhibits'!D1434:D1438),"")</f>
        <v/>
      </c>
      <c r="E1438" s="3">
        <f>IF(ISNUMBER(AVERAGE('20250815_ETF_Options_Exhibits'!E1434:E1438)),AVERAGE('20250815_ETF_Options_Exhibits'!E1434:E1438),"")</f>
        <v/>
      </c>
      <c r="F1438" s="3">
        <f>IF(ISNUMBER(AVERAGE('20250815_ETF_Options_Exhibits'!F1434:F1438)),AVERAGE('20250815_ETF_Options_Exhibits'!F1434:F1438),"")</f>
        <v/>
      </c>
      <c r="G1438" s="3">
        <f>IF(ISNUMBER(AVERAGE('20250815_ETF_Options_Exhibits'!G1434:G1438)),AVERAGE('20250815_ETF_Options_Exhibits'!G1434:G1438),"")</f>
        <v/>
      </c>
      <c r="H1438" s="3">
        <f>IF(ISNUMBER(AVERAGE('20250815_ETF_Options_Exhibits'!H1434:H1438)),AVERAGE('20250815_ETF_Options_Exhibits'!H1434:H1438),"")</f>
        <v/>
      </c>
      <c r="I1438" s="3">
        <f>IF(ISNUMBER(AVERAGE('20250815_ETF_Options_Exhibits'!I1434:I1438)),AVERAGE('20250815_ETF_Options_Exhibits'!I1434:I1438),"")</f>
        <v/>
      </c>
      <c r="J1438" s="3">
        <f>IF(ISNUMBER(AVERAGE('20250815_ETF_Options_Exhibits'!J1434:J1438)),AVERAGE('20250815_ETF_Options_Exhibits'!J1434:J1438),"")</f>
        <v/>
      </c>
      <c r="K1438" s="3">
        <f>IF(ISNUMBER(AVERAGE('20250815_ETF_Options_Exhibits'!K1434:K1438)),AVERAGE('20250815_ETF_Options_Exhibits'!K1434:K1438),"")</f>
        <v/>
      </c>
      <c r="L1438" s="3">
        <f>IF(ISNUMBER(AVERAGE('20250815_ETF_Options_Exhibits'!L1434:L1438)),AVERAGE('20250815_ETF_Options_Exhibits'!L1434:L1438),"")</f>
        <v/>
      </c>
      <c r="M1438" s="3">
        <f>IF(ISNUMBER(AVERAGE('20250815_ETF_Options_Exhibits'!M1434:M1438)),AVERAGE('20250815_ETF_Options_Exhibits'!M1434:M1438),"")</f>
        <v/>
      </c>
      <c r="N1438" s="3">
        <f>IF(ISNUMBER(AVERAGE('20250815_ETF_Options_Exhibits'!N1434:N1438)),AVERAGE('20250815_ETF_Options_Exhibits'!N1434:N1438),"")</f>
        <v/>
      </c>
      <c r="O1438" s="3">
        <f>IF(ISNUMBER(AVERAGE('20250815_ETF_Options_Exhibits'!O1434:O1438)),AVERAGE('20250815_ETF_Options_Exhibits'!O1434:O1438),"")</f>
        <v/>
      </c>
      <c r="P1438" s="3">
        <f>IF(ISNUMBER(AVERAGE('20250815_ETF_Options_Exhibits'!P1434:P1438)),AVERAGE('20250815_ETF_Options_Exhibits'!P1434:P1438),"")</f>
        <v/>
      </c>
      <c r="Q1438" s="3">
        <f>IF(ISNUMBER(AVERAGE('20250815_ETF_Options_Exhibits'!Q1434:Q1438)),AVERAGE('20250815_ETF_Options_Exhibits'!Q1434:Q1438),"")</f>
        <v/>
      </c>
      <c r="R1438" s="3">
        <f>IF(ISNUMBER(AVERAGE('20250815_ETF_Options_Exhibits'!R1434:R1438)),AVERAGE('20250815_ETF_Options_Exhibits'!R1434:R1438),"")</f>
        <v/>
      </c>
      <c r="S1438" s="3">
        <f>IF(ISNUMBER(AVERAGE('20250815_ETF_Options_Exhibits'!S1434:S1438)),AVERAGE('20250815_ETF_Options_Exhibits'!S1434:S1438),"")</f>
        <v/>
      </c>
      <c r="T1438" s="3">
        <f>IF(ISNUMBER(AVERAGE('20250815_ETF_Options_Exhibits'!T1434:T1438)),AVERAGE('20250815_ETF_Options_Exhibits'!T1434:T1438),"")</f>
        <v/>
      </c>
      <c r="U1438" s="3">
        <f>IF(ISNUMBER(AVERAGE('20250815_ETF_Options_Exhibits'!U1434:U1438)),AVERAGE('20250815_ETF_Options_Exhibits'!U1434:U1438),"")</f>
        <v/>
      </c>
      <c r="V1438" s="3">
        <f>IF(ISNUMBER(AVERAGE('20250815_ETF_Options_Exhibits'!V1434:V1438)),AVERAGE('20250815_ETF_Options_Exhibits'!V1434:V1438),"")</f>
        <v/>
      </c>
      <c r="W1438" s="3">
        <f>IF(ISNUMBER(AVERAGE('20250815_ETF_Options_Exhibits'!W1434:W1438)),AVERAGE('20250815_ETF_Options_Exhibits'!W1434:W1438),"")</f>
        <v/>
      </c>
      <c r="X1438" s="3">
        <f>IF(ISNUMBER(AVERAGE('20250815_ETF_Options_Exhibits'!X1434:X1438)),AVERAGE('20250815_ETF_Options_Exhibits'!X1434:X1438),"")</f>
        <v/>
      </c>
      <c r="Y1438" s="3">
        <f>IF(ISNUMBER(AVERAGE('20250815_ETF_Options_Exhibits'!Y1434:Y1438)),AVERAGE('20250815_ETF_Options_Exhibits'!Y1434:Y1438),"")</f>
        <v/>
      </c>
      <c r="Z1438" s="3">
        <f>IF(ISNUMBER(AVERAGE('20250815_ETF_Options_Exhibits'!Z1434:Z1438)),AVERAGE('20250815_ETF_Options_Exhibits'!Z1434:Z1438),"")</f>
        <v/>
      </c>
      <c r="AA1438" s="3">
        <f>IF(ISNUMBER(AVERAGE('20250815_ETF_Options_Exhibits'!AA1434:AA1438)),AVERAGE('20250815_ETF_Options_Exhibits'!AA1434:AA1438),"")</f>
        <v/>
      </c>
    </row>
    <row r="1439">
      <c r="A1439" s="1" t="n">
        <v>44090</v>
      </c>
      <c r="B1439" s="3">
        <f>IF(ISNUMBER(AVERAGE('20250815_ETF_Options_Exhibits'!B1435:B1439)),AVERAGE('20250815_ETF_Options_Exhibits'!B1435:B1439),"")</f>
        <v/>
      </c>
      <c r="C1439" s="3">
        <f>IF(ISNUMBER(AVERAGE('20250815_ETF_Options_Exhibits'!C1435:C1439)),AVERAGE('20250815_ETF_Options_Exhibits'!C1435:C1439),"")</f>
        <v/>
      </c>
      <c r="D1439" s="3">
        <f>IF(ISNUMBER(AVERAGE('20250815_ETF_Options_Exhibits'!D1435:D1439)),AVERAGE('20250815_ETF_Options_Exhibits'!D1435:D1439),"")</f>
        <v/>
      </c>
      <c r="E1439" s="3">
        <f>IF(ISNUMBER(AVERAGE('20250815_ETF_Options_Exhibits'!E1435:E1439)),AVERAGE('20250815_ETF_Options_Exhibits'!E1435:E1439),"")</f>
        <v/>
      </c>
      <c r="F1439" s="3">
        <f>IF(ISNUMBER(AVERAGE('20250815_ETF_Options_Exhibits'!F1435:F1439)),AVERAGE('20250815_ETF_Options_Exhibits'!F1435:F1439),"")</f>
        <v/>
      </c>
      <c r="G1439" s="3">
        <f>IF(ISNUMBER(AVERAGE('20250815_ETF_Options_Exhibits'!G1435:G1439)),AVERAGE('20250815_ETF_Options_Exhibits'!G1435:G1439),"")</f>
        <v/>
      </c>
      <c r="H1439" s="3">
        <f>IF(ISNUMBER(AVERAGE('20250815_ETF_Options_Exhibits'!H1435:H1439)),AVERAGE('20250815_ETF_Options_Exhibits'!H1435:H1439),"")</f>
        <v/>
      </c>
      <c r="I1439" s="3">
        <f>IF(ISNUMBER(AVERAGE('20250815_ETF_Options_Exhibits'!I1435:I1439)),AVERAGE('20250815_ETF_Options_Exhibits'!I1435:I1439),"")</f>
        <v/>
      </c>
      <c r="J1439" s="3">
        <f>IF(ISNUMBER(AVERAGE('20250815_ETF_Options_Exhibits'!J1435:J1439)),AVERAGE('20250815_ETF_Options_Exhibits'!J1435:J1439),"")</f>
        <v/>
      </c>
      <c r="K1439" s="3">
        <f>IF(ISNUMBER(AVERAGE('20250815_ETF_Options_Exhibits'!K1435:K1439)),AVERAGE('20250815_ETF_Options_Exhibits'!K1435:K1439),"")</f>
        <v/>
      </c>
      <c r="L1439" s="3">
        <f>IF(ISNUMBER(AVERAGE('20250815_ETF_Options_Exhibits'!L1435:L1439)),AVERAGE('20250815_ETF_Options_Exhibits'!L1435:L1439),"")</f>
        <v/>
      </c>
      <c r="M1439" s="3">
        <f>IF(ISNUMBER(AVERAGE('20250815_ETF_Options_Exhibits'!M1435:M1439)),AVERAGE('20250815_ETF_Options_Exhibits'!M1435:M1439),"")</f>
        <v/>
      </c>
      <c r="N1439" s="3">
        <f>IF(ISNUMBER(AVERAGE('20250815_ETF_Options_Exhibits'!N1435:N1439)),AVERAGE('20250815_ETF_Options_Exhibits'!N1435:N1439),"")</f>
        <v/>
      </c>
      <c r="O1439" s="3">
        <f>IF(ISNUMBER(AVERAGE('20250815_ETF_Options_Exhibits'!O1435:O1439)),AVERAGE('20250815_ETF_Options_Exhibits'!O1435:O1439),"")</f>
        <v/>
      </c>
      <c r="P1439" s="3">
        <f>IF(ISNUMBER(AVERAGE('20250815_ETF_Options_Exhibits'!P1435:P1439)),AVERAGE('20250815_ETF_Options_Exhibits'!P1435:P1439),"")</f>
        <v/>
      </c>
      <c r="Q1439" s="3">
        <f>IF(ISNUMBER(AVERAGE('20250815_ETF_Options_Exhibits'!Q1435:Q1439)),AVERAGE('20250815_ETF_Options_Exhibits'!Q1435:Q1439),"")</f>
        <v/>
      </c>
      <c r="R1439" s="3">
        <f>IF(ISNUMBER(AVERAGE('20250815_ETF_Options_Exhibits'!R1435:R1439)),AVERAGE('20250815_ETF_Options_Exhibits'!R1435:R1439),"")</f>
        <v/>
      </c>
      <c r="S1439" s="3">
        <f>IF(ISNUMBER(AVERAGE('20250815_ETF_Options_Exhibits'!S1435:S1439)),AVERAGE('20250815_ETF_Options_Exhibits'!S1435:S1439),"")</f>
        <v/>
      </c>
      <c r="T1439" s="3">
        <f>IF(ISNUMBER(AVERAGE('20250815_ETF_Options_Exhibits'!T1435:T1439)),AVERAGE('20250815_ETF_Options_Exhibits'!T1435:T1439),"")</f>
        <v/>
      </c>
      <c r="U1439" s="3">
        <f>IF(ISNUMBER(AVERAGE('20250815_ETF_Options_Exhibits'!U1435:U1439)),AVERAGE('20250815_ETF_Options_Exhibits'!U1435:U1439),"")</f>
        <v/>
      </c>
      <c r="V1439" s="3">
        <f>IF(ISNUMBER(AVERAGE('20250815_ETF_Options_Exhibits'!V1435:V1439)),AVERAGE('20250815_ETF_Options_Exhibits'!V1435:V1439),"")</f>
        <v/>
      </c>
      <c r="W1439" s="3">
        <f>IF(ISNUMBER(AVERAGE('20250815_ETF_Options_Exhibits'!W1435:W1439)),AVERAGE('20250815_ETF_Options_Exhibits'!W1435:W1439),"")</f>
        <v/>
      </c>
      <c r="X1439" s="3">
        <f>IF(ISNUMBER(AVERAGE('20250815_ETF_Options_Exhibits'!X1435:X1439)),AVERAGE('20250815_ETF_Options_Exhibits'!X1435:X1439),"")</f>
        <v/>
      </c>
      <c r="Y1439" s="3">
        <f>IF(ISNUMBER(AVERAGE('20250815_ETF_Options_Exhibits'!Y1435:Y1439)),AVERAGE('20250815_ETF_Options_Exhibits'!Y1435:Y1439),"")</f>
        <v/>
      </c>
      <c r="Z1439" s="3">
        <f>IF(ISNUMBER(AVERAGE('20250815_ETF_Options_Exhibits'!Z1435:Z1439)),AVERAGE('20250815_ETF_Options_Exhibits'!Z1435:Z1439),"")</f>
        <v/>
      </c>
      <c r="AA1439" s="3">
        <f>IF(ISNUMBER(AVERAGE('20250815_ETF_Options_Exhibits'!AA1435:AA1439)),AVERAGE('20250815_ETF_Options_Exhibits'!AA1435:AA1439),"")</f>
        <v/>
      </c>
    </row>
    <row r="1440">
      <c r="A1440" s="1" t="n">
        <v>44091</v>
      </c>
      <c r="B1440" s="3">
        <f>IF(ISNUMBER(AVERAGE('20250815_ETF_Options_Exhibits'!B1436:B1440)),AVERAGE('20250815_ETF_Options_Exhibits'!B1436:B1440),"")</f>
        <v/>
      </c>
      <c r="C1440" s="3">
        <f>IF(ISNUMBER(AVERAGE('20250815_ETF_Options_Exhibits'!C1436:C1440)),AVERAGE('20250815_ETF_Options_Exhibits'!C1436:C1440),"")</f>
        <v/>
      </c>
      <c r="D1440" s="3">
        <f>IF(ISNUMBER(AVERAGE('20250815_ETF_Options_Exhibits'!D1436:D1440)),AVERAGE('20250815_ETF_Options_Exhibits'!D1436:D1440),"")</f>
        <v/>
      </c>
      <c r="E1440" s="3">
        <f>IF(ISNUMBER(AVERAGE('20250815_ETF_Options_Exhibits'!E1436:E1440)),AVERAGE('20250815_ETF_Options_Exhibits'!E1436:E1440),"")</f>
        <v/>
      </c>
      <c r="F1440" s="3">
        <f>IF(ISNUMBER(AVERAGE('20250815_ETF_Options_Exhibits'!F1436:F1440)),AVERAGE('20250815_ETF_Options_Exhibits'!F1436:F1440),"")</f>
        <v/>
      </c>
      <c r="G1440" s="3">
        <f>IF(ISNUMBER(AVERAGE('20250815_ETF_Options_Exhibits'!G1436:G1440)),AVERAGE('20250815_ETF_Options_Exhibits'!G1436:G1440),"")</f>
        <v/>
      </c>
      <c r="H1440" s="3">
        <f>IF(ISNUMBER(AVERAGE('20250815_ETF_Options_Exhibits'!H1436:H1440)),AVERAGE('20250815_ETF_Options_Exhibits'!H1436:H1440),"")</f>
        <v/>
      </c>
      <c r="I1440" s="3">
        <f>IF(ISNUMBER(AVERAGE('20250815_ETF_Options_Exhibits'!I1436:I1440)),AVERAGE('20250815_ETF_Options_Exhibits'!I1436:I1440),"")</f>
        <v/>
      </c>
      <c r="J1440" s="3">
        <f>IF(ISNUMBER(AVERAGE('20250815_ETF_Options_Exhibits'!J1436:J1440)),AVERAGE('20250815_ETF_Options_Exhibits'!J1436:J1440),"")</f>
        <v/>
      </c>
      <c r="K1440" s="3">
        <f>IF(ISNUMBER(AVERAGE('20250815_ETF_Options_Exhibits'!K1436:K1440)),AVERAGE('20250815_ETF_Options_Exhibits'!K1436:K1440),"")</f>
        <v/>
      </c>
      <c r="L1440" s="3">
        <f>IF(ISNUMBER(AVERAGE('20250815_ETF_Options_Exhibits'!L1436:L1440)),AVERAGE('20250815_ETF_Options_Exhibits'!L1436:L1440),"")</f>
        <v/>
      </c>
      <c r="M1440" s="3">
        <f>IF(ISNUMBER(AVERAGE('20250815_ETF_Options_Exhibits'!M1436:M1440)),AVERAGE('20250815_ETF_Options_Exhibits'!M1436:M1440),"")</f>
        <v/>
      </c>
      <c r="N1440" s="3">
        <f>IF(ISNUMBER(AVERAGE('20250815_ETF_Options_Exhibits'!N1436:N1440)),AVERAGE('20250815_ETF_Options_Exhibits'!N1436:N1440),"")</f>
        <v/>
      </c>
      <c r="O1440" s="3">
        <f>IF(ISNUMBER(AVERAGE('20250815_ETF_Options_Exhibits'!O1436:O1440)),AVERAGE('20250815_ETF_Options_Exhibits'!O1436:O1440),"")</f>
        <v/>
      </c>
      <c r="P1440" s="3">
        <f>IF(ISNUMBER(AVERAGE('20250815_ETF_Options_Exhibits'!P1436:P1440)),AVERAGE('20250815_ETF_Options_Exhibits'!P1436:P1440),"")</f>
        <v/>
      </c>
      <c r="Q1440" s="3">
        <f>IF(ISNUMBER(AVERAGE('20250815_ETF_Options_Exhibits'!Q1436:Q1440)),AVERAGE('20250815_ETF_Options_Exhibits'!Q1436:Q1440),"")</f>
        <v/>
      </c>
      <c r="R1440" s="3">
        <f>IF(ISNUMBER(AVERAGE('20250815_ETF_Options_Exhibits'!R1436:R1440)),AVERAGE('20250815_ETF_Options_Exhibits'!R1436:R1440),"")</f>
        <v/>
      </c>
      <c r="S1440" s="3">
        <f>IF(ISNUMBER(AVERAGE('20250815_ETF_Options_Exhibits'!S1436:S1440)),AVERAGE('20250815_ETF_Options_Exhibits'!S1436:S1440),"")</f>
        <v/>
      </c>
      <c r="T1440" s="3">
        <f>IF(ISNUMBER(AVERAGE('20250815_ETF_Options_Exhibits'!T1436:T1440)),AVERAGE('20250815_ETF_Options_Exhibits'!T1436:T1440),"")</f>
        <v/>
      </c>
      <c r="U1440" s="3">
        <f>IF(ISNUMBER(AVERAGE('20250815_ETF_Options_Exhibits'!U1436:U1440)),AVERAGE('20250815_ETF_Options_Exhibits'!U1436:U1440),"")</f>
        <v/>
      </c>
      <c r="V1440" s="3">
        <f>IF(ISNUMBER(AVERAGE('20250815_ETF_Options_Exhibits'!V1436:V1440)),AVERAGE('20250815_ETF_Options_Exhibits'!V1436:V1440),"")</f>
        <v/>
      </c>
      <c r="W1440" s="3">
        <f>IF(ISNUMBER(AVERAGE('20250815_ETF_Options_Exhibits'!W1436:W1440)),AVERAGE('20250815_ETF_Options_Exhibits'!W1436:W1440),"")</f>
        <v/>
      </c>
      <c r="X1440" s="3">
        <f>IF(ISNUMBER(AVERAGE('20250815_ETF_Options_Exhibits'!X1436:X1440)),AVERAGE('20250815_ETF_Options_Exhibits'!X1436:X1440),"")</f>
        <v/>
      </c>
      <c r="Y1440" s="3">
        <f>IF(ISNUMBER(AVERAGE('20250815_ETF_Options_Exhibits'!Y1436:Y1440)),AVERAGE('20250815_ETF_Options_Exhibits'!Y1436:Y1440),"")</f>
        <v/>
      </c>
      <c r="Z1440" s="3">
        <f>IF(ISNUMBER(AVERAGE('20250815_ETF_Options_Exhibits'!Z1436:Z1440)),AVERAGE('20250815_ETF_Options_Exhibits'!Z1436:Z1440),"")</f>
        <v/>
      </c>
      <c r="AA1440" s="3">
        <f>IF(ISNUMBER(AVERAGE('20250815_ETF_Options_Exhibits'!AA1436:AA1440)),AVERAGE('20250815_ETF_Options_Exhibits'!AA1436:AA1440),"")</f>
        <v/>
      </c>
    </row>
    <row r="1441">
      <c r="A1441" s="1" t="n">
        <v>44092</v>
      </c>
      <c r="B1441" s="3">
        <f>IF(ISNUMBER(AVERAGE('20250815_ETF_Options_Exhibits'!B1437:B1441)),AVERAGE('20250815_ETF_Options_Exhibits'!B1437:B1441),"")</f>
        <v/>
      </c>
      <c r="C1441" s="3">
        <f>IF(ISNUMBER(AVERAGE('20250815_ETF_Options_Exhibits'!C1437:C1441)),AVERAGE('20250815_ETF_Options_Exhibits'!C1437:C1441),"")</f>
        <v/>
      </c>
      <c r="D1441" s="3">
        <f>IF(ISNUMBER(AVERAGE('20250815_ETF_Options_Exhibits'!D1437:D1441)),AVERAGE('20250815_ETF_Options_Exhibits'!D1437:D1441),"")</f>
        <v/>
      </c>
      <c r="E1441" s="3">
        <f>IF(ISNUMBER(AVERAGE('20250815_ETF_Options_Exhibits'!E1437:E1441)),AVERAGE('20250815_ETF_Options_Exhibits'!E1437:E1441),"")</f>
        <v/>
      </c>
      <c r="F1441" s="3">
        <f>IF(ISNUMBER(AVERAGE('20250815_ETF_Options_Exhibits'!F1437:F1441)),AVERAGE('20250815_ETF_Options_Exhibits'!F1437:F1441),"")</f>
        <v/>
      </c>
      <c r="G1441" s="3">
        <f>IF(ISNUMBER(AVERAGE('20250815_ETF_Options_Exhibits'!G1437:G1441)),AVERAGE('20250815_ETF_Options_Exhibits'!G1437:G1441),"")</f>
        <v/>
      </c>
      <c r="H1441" s="3">
        <f>IF(ISNUMBER(AVERAGE('20250815_ETF_Options_Exhibits'!H1437:H1441)),AVERAGE('20250815_ETF_Options_Exhibits'!H1437:H1441),"")</f>
        <v/>
      </c>
      <c r="I1441" s="3">
        <f>IF(ISNUMBER(AVERAGE('20250815_ETF_Options_Exhibits'!I1437:I1441)),AVERAGE('20250815_ETF_Options_Exhibits'!I1437:I1441),"")</f>
        <v/>
      </c>
      <c r="J1441" s="3">
        <f>IF(ISNUMBER(AVERAGE('20250815_ETF_Options_Exhibits'!J1437:J1441)),AVERAGE('20250815_ETF_Options_Exhibits'!J1437:J1441),"")</f>
        <v/>
      </c>
      <c r="K1441" s="3">
        <f>IF(ISNUMBER(AVERAGE('20250815_ETF_Options_Exhibits'!K1437:K1441)),AVERAGE('20250815_ETF_Options_Exhibits'!K1437:K1441),"")</f>
        <v/>
      </c>
      <c r="L1441" s="3">
        <f>IF(ISNUMBER(AVERAGE('20250815_ETF_Options_Exhibits'!L1437:L1441)),AVERAGE('20250815_ETF_Options_Exhibits'!L1437:L1441),"")</f>
        <v/>
      </c>
      <c r="M1441" s="3">
        <f>IF(ISNUMBER(AVERAGE('20250815_ETF_Options_Exhibits'!M1437:M1441)),AVERAGE('20250815_ETF_Options_Exhibits'!M1437:M1441),"")</f>
        <v/>
      </c>
      <c r="N1441" s="3">
        <f>IF(ISNUMBER(AVERAGE('20250815_ETF_Options_Exhibits'!N1437:N1441)),AVERAGE('20250815_ETF_Options_Exhibits'!N1437:N1441),"")</f>
        <v/>
      </c>
      <c r="O1441" s="3">
        <f>IF(ISNUMBER(AVERAGE('20250815_ETF_Options_Exhibits'!O1437:O1441)),AVERAGE('20250815_ETF_Options_Exhibits'!O1437:O1441),"")</f>
        <v/>
      </c>
      <c r="P1441" s="3">
        <f>IF(ISNUMBER(AVERAGE('20250815_ETF_Options_Exhibits'!P1437:P1441)),AVERAGE('20250815_ETF_Options_Exhibits'!P1437:P1441),"")</f>
        <v/>
      </c>
      <c r="Q1441" s="3">
        <f>IF(ISNUMBER(AVERAGE('20250815_ETF_Options_Exhibits'!Q1437:Q1441)),AVERAGE('20250815_ETF_Options_Exhibits'!Q1437:Q1441),"")</f>
        <v/>
      </c>
      <c r="R1441" s="3">
        <f>IF(ISNUMBER(AVERAGE('20250815_ETF_Options_Exhibits'!R1437:R1441)),AVERAGE('20250815_ETF_Options_Exhibits'!R1437:R1441),"")</f>
        <v/>
      </c>
      <c r="S1441" s="3">
        <f>IF(ISNUMBER(AVERAGE('20250815_ETF_Options_Exhibits'!S1437:S1441)),AVERAGE('20250815_ETF_Options_Exhibits'!S1437:S1441),"")</f>
        <v/>
      </c>
      <c r="T1441" s="3">
        <f>IF(ISNUMBER(AVERAGE('20250815_ETF_Options_Exhibits'!T1437:T1441)),AVERAGE('20250815_ETF_Options_Exhibits'!T1437:T1441),"")</f>
        <v/>
      </c>
      <c r="U1441" s="3">
        <f>IF(ISNUMBER(AVERAGE('20250815_ETF_Options_Exhibits'!U1437:U1441)),AVERAGE('20250815_ETF_Options_Exhibits'!U1437:U1441),"")</f>
        <v/>
      </c>
      <c r="V1441" s="3">
        <f>IF(ISNUMBER(AVERAGE('20250815_ETF_Options_Exhibits'!V1437:V1441)),AVERAGE('20250815_ETF_Options_Exhibits'!V1437:V1441),"")</f>
        <v/>
      </c>
      <c r="W1441" s="3">
        <f>IF(ISNUMBER(AVERAGE('20250815_ETF_Options_Exhibits'!W1437:W1441)),AVERAGE('20250815_ETF_Options_Exhibits'!W1437:W1441),"")</f>
        <v/>
      </c>
      <c r="X1441" s="3">
        <f>IF(ISNUMBER(AVERAGE('20250815_ETF_Options_Exhibits'!X1437:X1441)),AVERAGE('20250815_ETF_Options_Exhibits'!X1437:X1441),"")</f>
        <v/>
      </c>
      <c r="Y1441" s="3">
        <f>IF(ISNUMBER(AVERAGE('20250815_ETF_Options_Exhibits'!Y1437:Y1441)),AVERAGE('20250815_ETF_Options_Exhibits'!Y1437:Y1441),"")</f>
        <v/>
      </c>
      <c r="Z1441" s="3">
        <f>IF(ISNUMBER(AVERAGE('20250815_ETF_Options_Exhibits'!Z1437:Z1441)),AVERAGE('20250815_ETF_Options_Exhibits'!Z1437:Z1441),"")</f>
        <v/>
      </c>
      <c r="AA1441" s="3">
        <f>IF(ISNUMBER(AVERAGE('20250815_ETF_Options_Exhibits'!AA1437:AA1441)),AVERAGE('20250815_ETF_Options_Exhibits'!AA1437:AA1441),"")</f>
        <v/>
      </c>
    </row>
    <row r="1442">
      <c r="A1442" s="1" t="n">
        <v>44095</v>
      </c>
      <c r="B1442" s="3">
        <f>IF(ISNUMBER(AVERAGE('20250815_ETF_Options_Exhibits'!B1438:B1442)),AVERAGE('20250815_ETF_Options_Exhibits'!B1438:B1442),"")</f>
        <v/>
      </c>
      <c r="C1442" s="3">
        <f>IF(ISNUMBER(AVERAGE('20250815_ETF_Options_Exhibits'!C1438:C1442)),AVERAGE('20250815_ETF_Options_Exhibits'!C1438:C1442),"")</f>
        <v/>
      </c>
      <c r="D1442" s="3">
        <f>IF(ISNUMBER(AVERAGE('20250815_ETF_Options_Exhibits'!D1438:D1442)),AVERAGE('20250815_ETF_Options_Exhibits'!D1438:D1442),"")</f>
        <v/>
      </c>
      <c r="E1442" s="3">
        <f>IF(ISNUMBER(AVERAGE('20250815_ETF_Options_Exhibits'!E1438:E1442)),AVERAGE('20250815_ETF_Options_Exhibits'!E1438:E1442),"")</f>
        <v/>
      </c>
      <c r="F1442" s="3">
        <f>IF(ISNUMBER(AVERAGE('20250815_ETF_Options_Exhibits'!F1438:F1442)),AVERAGE('20250815_ETF_Options_Exhibits'!F1438:F1442),"")</f>
        <v/>
      </c>
      <c r="G1442" s="3">
        <f>IF(ISNUMBER(AVERAGE('20250815_ETF_Options_Exhibits'!G1438:G1442)),AVERAGE('20250815_ETF_Options_Exhibits'!G1438:G1442),"")</f>
        <v/>
      </c>
      <c r="H1442" s="3">
        <f>IF(ISNUMBER(AVERAGE('20250815_ETF_Options_Exhibits'!H1438:H1442)),AVERAGE('20250815_ETF_Options_Exhibits'!H1438:H1442),"")</f>
        <v/>
      </c>
      <c r="I1442" s="3">
        <f>IF(ISNUMBER(AVERAGE('20250815_ETF_Options_Exhibits'!I1438:I1442)),AVERAGE('20250815_ETF_Options_Exhibits'!I1438:I1442),"")</f>
        <v/>
      </c>
      <c r="J1442" s="3">
        <f>IF(ISNUMBER(AVERAGE('20250815_ETF_Options_Exhibits'!J1438:J1442)),AVERAGE('20250815_ETF_Options_Exhibits'!J1438:J1442),"")</f>
        <v/>
      </c>
      <c r="K1442" s="3">
        <f>IF(ISNUMBER(AVERAGE('20250815_ETF_Options_Exhibits'!K1438:K1442)),AVERAGE('20250815_ETF_Options_Exhibits'!K1438:K1442),"")</f>
        <v/>
      </c>
      <c r="L1442" s="3">
        <f>IF(ISNUMBER(AVERAGE('20250815_ETF_Options_Exhibits'!L1438:L1442)),AVERAGE('20250815_ETF_Options_Exhibits'!L1438:L1442),"")</f>
        <v/>
      </c>
      <c r="M1442" s="3">
        <f>IF(ISNUMBER(AVERAGE('20250815_ETF_Options_Exhibits'!M1438:M1442)),AVERAGE('20250815_ETF_Options_Exhibits'!M1438:M1442),"")</f>
        <v/>
      </c>
      <c r="N1442" s="3">
        <f>IF(ISNUMBER(AVERAGE('20250815_ETF_Options_Exhibits'!N1438:N1442)),AVERAGE('20250815_ETF_Options_Exhibits'!N1438:N1442),"")</f>
        <v/>
      </c>
      <c r="O1442" s="3">
        <f>IF(ISNUMBER(AVERAGE('20250815_ETF_Options_Exhibits'!O1438:O1442)),AVERAGE('20250815_ETF_Options_Exhibits'!O1438:O1442),"")</f>
        <v/>
      </c>
      <c r="P1442" s="3">
        <f>IF(ISNUMBER(AVERAGE('20250815_ETF_Options_Exhibits'!P1438:P1442)),AVERAGE('20250815_ETF_Options_Exhibits'!P1438:P1442),"")</f>
        <v/>
      </c>
      <c r="Q1442" s="3">
        <f>IF(ISNUMBER(AVERAGE('20250815_ETF_Options_Exhibits'!Q1438:Q1442)),AVERAGE('20250815_ETF_Options_Exhibits'!Q1438:Q1442),"")</f>
        <v/>
      </c>
      <c r="R1442" s="3">
        <f>IF(ISNUMBER(AVERAGE('20250815_ETF_Options_Exhibits'!R1438:R1442)),AVERAGE('20250815_ETF_Options_Exhibits'!R1438:R1442),"")</f>
        <v/>
      </c>
      <c r="S1442" s="3">
        <f>IF(ISNUMBER(AVERAGE('20250815_ETF_Options_Exhibits'!S1438:S1442)),AVERAGE('20250815_ETF_Options_Exhibits'!S1438:S1442),"")</f>
        <v/>
      </c>
      <c r="T1442" s="3">
        <f>IF(ISNUMBER(AVERAGE('20250815_ETF_Options_Exhibits'!T1438:T1442)),AVERAGE('20250815_ETF_Options_Exhibits'!T1438:T1442),"")</f>
        <v/>
      </c>
      <c r="U1442" s="3">
        <f>IF(ISNUMBER(AVERAGE('20250815_ETF_Options_Exhibits'!U1438:U1442)),AVERAGE('20250815_ETF_Options_Exhibits'!U1438:U1442),"")</f>
        <v/>
      </c>
      <c r="V1442" s="3">
        <f>IF(ISNUMBER(AVERAGE('20250815_ETF_Options_Exhibits'!V1438:V1442)),AVERAGE('20250815_ETF_Options_Exhibits'!V1438:V1442),"")</f>
        <v/>
      </c>
      <c r="W1442" s="3">
        <f>IF(ISNUMBER(AVERAGE('20250815_ETF_Options_Exhibits'!W1438:W1442)),AVERAGE('20250815_ETF_Options_Exhibits'!W1438:W1442),"")</f>
        <v/>
      </c>
      <c r="X1442" s="3">
        <f>IF(ISNUMBER(AVERAGE('20250815_ETF_Options_Exhibits'!X1438:X1442)),AVERAGE('20250815_ETF_Options_Exhibits'!X1438:X1442),"")</f>
        <v/>
      </c>
      <c r="Y1442" s="3">
        <f>IF(ISNUMBER(AVERAGE('20250815_ETF_Options_Exhibits'!Y1438:Y1442)),AVERAGE('20250815_ETF_Options_Exhibits'!Y1438:Y1442),"")</f>
        <v/>
      </c>
      <c r="Z1442" s="3">
        <f>IF(ISNUMBER(AVERAGE('20250815_ETF_Options_Exhibits'!Z1438:Z1442)),AVERAGE('20250815_ETF_Options_Exhibits'!Z1438:Z1442),"")</f>
        <v/>
      </c>
      <c r="AA1442" s="3">
        <f>IF(ISNUMBER(AVERAGE('20250815_ETF_Options_Exhibits'!AA1438:AA1442)),AVERAGE('20250815_ETF_Options_Exhibits'!AA1438:AA1442),"")</f>
        <v/>
      </c>
    </row>
    <row r="1443">
      <c r="A1443" s="1" t="n">
        <v>44096</v>
      </c>
      <c r="B1443" s="3">
        <f>IF(ISNUMBER(AVERAGE('20250815_ETF_Options_Exhibits'!B1439:B1443)),AVERAGE('20250815_ETF_Options_Exhibits'!B1439:B1443),"")</f>
        <v/>
      </c>
      <c r="C1443" s="3">
        <f>IF(ISNUMBER(AVERAGE('20250815_ETF_Options_Exhibits'!C1439:C1443)),AVERAGE('20250815_ETF_Options_Exhibits'!C1439:C1443),"")</f>
        <v/>
      </c>
      <c r="D1443" s="3">
        <f>IF(ISNUMBER(AVERAGE('20250815_ETF_Options_Exhibits'!D1439:D1443)),AVERAGE('20250815_ETF_Options_Exhibits'!D1439:D1443),"")</f>
        <v/>
      </c>
      <c r="E1443" s="3">
        <f>IF(ISNUMBER(AVERAGE('20250815_ETF_Options_Exhibits'!E1439:E1443)),AVERAGE('20250815_ETF_Options_Exhibits'!E1439:E1443),"")</f>
        <v/>
      </c>
      <c r="F1443" s="3">
        <f>IF(ISNUMBER(AVERAGE('20250815_ETF_Options_Exhibits'!F1439:F1443)),AVERAGE('20250815_ETF_Options_Exhibits'!F1439:F1443),"")</f>
        <v/>
      </c>
      <c r="G1443" s="3">
        <f>IF(ISNUMBER(AVERAGE('20250815_ETF_Options_Exhibits'!G1439:G1443)),AVERAGE('20250815_ETF_Options_Exhibits'!G1439:G1443),"")</f>
        <v/>
      </c>
      <c r="H1443" s="3">
        <f>IF(ISNUMBER(AVERAGE('20250815_ETF_Options_Exhibits'!H1439:H1443)),AVERAGE('20250815_ETF_Options_Exhibits'!H1439:H1443),"")</f>
        <v/>
      </c>
      <c r="I1443" s="3">
        <f>IF(ISNUMBER(AVERAGE('20250815_ETF_Options_Exhibits'!I1439:I1443)),AVERAGE('20250815_ETF_Options_Exhibits'!I1439:I1443),"")</f>
        <v/>
      </c>
      <c r="J1443" s="3">
        <f>IF(ISNUMBER(AVERAGE('20250815_ETF_Options_Exhibits'!J1439:J1443)),AVERAGE('20250815_ETF_Options_Exhibits'!J1439:J1443),"")</f>
        <v/>
      </c>
      <c r="K1443" s="3">
        <f>IF(ISNUMBER(AVERAGE('20250815_ETF_Options_Exhibits'!K1439:K1443)),AVERAGE('20250815_ETF_Options_Exhibits'!K1439:K1443),"")</f>
        <v/>
      </c>
      <c r="L1443" s="3">
        <f>IF(ISNUMBER(AVERAGE('20250815_ETF_Options_Exhibits'!L1439:L1443)),AVERAGE('20250815_ETF_Options_Exhibits'!L1439:L1443),"")</f>
        <v/>
      </c>
      <c r="M1443" s="3">
        <f>IF(ISNUMBER(AVERAGE('20250815_ETF_Options_Exhibits'!M1439:M1443)),AVERAGE('20250815_ETF_Options_Exhibits'!M1439:M1443),"")</f>
        <v/>
      </c>
      <c r="N1443" s="3">
        <f>IF(ISNUMBER(AVERAGE('20250815_ETF_Options_Exhibits'!N1439:N1443)),AVERAGE('20250815_ETF_Options_Exhibits'!N1439:N1443),"")</f>
        <v/>
      </c>
      <c r="O1443" s="3">
        <f>IF(ISNUMBER(AVERAGE('20250815_ETF_Options_Exhibits'!O1439:O1443)),AVERAGE('20250815_ETF_Options_Exhibits'!O1439:O1443),"")</f>
        <v/>
      </c>
      <c r="P1443" s="3">
        <f>IF(ISNUMBER(AVERAGE('20250815_ETF_Options_Exhibits'!P1439:P1443)),AVERAGE('20250815_ETF_Options_Exhibits'!P1439:P1443),"")</f>
        <v/>
      </c>
      <c r="Q1443" s="3">
        <f>IF(ISNUMBER(AVERAGE('20250815_ETF_Options_Exhibits'!Q1439:Q1443)),AVERAGE('20250815_ETF_Options_Exhibits'!Q1439:Q1443),"")</f>
        <v/>
      </c>
      <c r="R1443" s="3">
        <f>IF(ISNUMBER(AVERAGE('20250815_ETF_Options_Exhibits'!R1439:R1443)),AVERAGE('20250815_ETF_Options_Exhibits'!R1439:R1443),"")</f>
        <v/>
      </c>
      <c r="S1443" s="3">
        <f>IF(ISNUMBER(AVERAGE('20250815_ETF_Options_Exhibits'!S1439:S1443)),AVERAGE('20250815_ETF_Options_Exhibits'!S1439:S1443),"")</f>
        <v/>
      </c>
      <c r="T1443" s="3">
        <f>IF(ISNUMBER(AVERAGE('20250815_ETF_Options_Exhibits'!T1439:T1443)),AVERAGE('20250815_ETF_Options_Exhibits'!T1439:T1443),"")</f>
        <v/>
      </c>
      <c r="U1443" s="3">
        <f>IF(ISNUMBER(AVERAGE('20250815_ETF_Options_Exhibits'!U1439:U1443)),AVERAGE('20250815_ETF_Options_Exhibits'!U1439:U1443),"")</f>
        <v/>
      </c>
      <c r="V1443" s="3">
        <f>IF(ISNUMBER(AVERAGE('20250815_ETF_Options_Exhibits'!V1439:V1443)),AVERAGE('20250815_ETF_Options_Exhibits'!V1439:V1443),"")</f>
        <v/>
      </c>
      <c r="W1443" s="3">
        <f>IF(ISNUMBER(AVERAGE('20250815_ETF_Options_Exhibits'!W1439:W1443)),AVERAGE('20250815_ETF_Options_Exhibits'!W1439:W1443),"")</f>
        <v/>
      </c>
      <c r="X1443" s="3">
        <f>IF(ISNUMBER(AVERAGE('20250815_ETF_Options_Exhibits'!X1439:X1443)),AVERAGE('20250815_ETF_Options_Exhibits'!X1439:X1443),"")</f>
        <v/>
      </c>
      <c r="Y1443" s="3">
        <f>IF(ISNUMBER(AVERAGE('20250815_ETF_Options_Exhibits'!Y1439:Y1443)),AVERAGE('20250815_ETF_Options_Exhibits'!Y1439:Y1443),"")</f>
        <v/>
      </c>
      <c r="Z1443" s="3">
        <f>IF(ISNUMBER(AVERAGE('20250815_ETF_Options_Exhibits'!Z1439:Z1443)),AVERAGE('20250815_ETF_Options_Exhibits'!Z1439:Z1443),"")</f>
        <v/>
      </c>
      <c r="AA1443" s="3">
        <f>IF(ISNUMBER(AVERAGE('20250815_ETF_Options_Exhibits'!AA1439:AA1443)),AVERAGE('20250815_ETF_Options_Exhibits'!AA1439:AA1443),"")</f>
        <v/>
      </c>
    </row>
    <row r="1444">
      <c r="A1444" s="1" t="n">
        <v>44097</v>
      </c>
      <c r="B1444" s="3">
        <f>IF(ISNUMBER(AVERAGE('20250815_ETF_Options_Exhibits'!B1440:B1444)),AVERAGE('20250815_ETF_Options_Exhibits'!B1440:B1444),"")</f>
        <v/>
      </c>
      <c r="C1444" s="3">
        <f>IF(ISNUMBER(AVERAGE('20250815_ETF_Options_Exhibits'!C1440:C1444)),AVERAGE('20250815_ETF_Options_Exhibits'!C1440:C1444),"")</f>
        <v/>
      </c>
      <c r="D1444" s="3">
        <f>IF(ISNUMBER(AVERAGE('20250815_ETF_Options_Exhibits'!D1440:D1444)),AVERAGE('20250815_ETF_Options_Exhibits'!D1440:D1444),"")</f>
        <v/>
      </c>
      <c r="E1444" s="3">
        <f>IF(ISNUMBER(AVERAGE('20250815_ETF_Options_Exhibits'!E1440:E1444)),AVERAGE('20250815_ETF_Options_Exhibits'!E1440:E1444),"")</f>
        <v/>
      </c>
      <c r="F1444" s="3">
        <f>IF(ISNUMBER(AVERAGE('20250815_ETF_Options_Exhibits'!F1440:F1444)),AVERAGE('20250815_ETF_Options_Exhibits'!F1440:F1444),"")</f>
        <v/>
      </c>
      <c r="G1444" s="3">
        <f>IF(ISNUMBER(AVERAGE('20250815_ETF_Options_Exhibits'!G1440:G1444)),AVERAGE('20250815_ETF_Options_Exhibits'!G1440:G1444),"")</f>
        <v/>
      </c>
      <c r="H1444" s="3">
        <f>IF(ISNUMBER(AVERAGE('20250815_ETF_Options_Exhibits'!H1440:H1444)),AVERAGE('20250815_ETF_Options_Exhibits'!H1440:H1444),"")</f>
        <v/>
      </c>
      <c r="I1444" s="3">
        <f>IF(ISNUMBER(AVERAGE('20250815_ETF_Options_Exhibits'!I1440:I1444)),AVERAGE('20250815_ETF_Options_Exhibits'!I1440:I1444),"")</f>
        <v/>
      </c>
      <c r="J1444" s="3">
        <f>IF(ISNUMBER(AVERAGE('20250815_ETF_Options_Exhibits'!J1440:J1444)),AVERAGE('20250815_ETF_Options_Exhibits'!J1440:J1444),"")</f>
        <v/>
      </c>
      <c r="K1444" s="3">
        <f>IF(ISNUMBER(AVERAGE('20250815_ETF_Options_Exhibits'!K1440:K1444)),AVERAGE('20250815_ETF_Options_Exhibits'!K1440:K1444),"")</f>
        <v/>
      </c>
      <c r="L1444" s="3">
        <f>IF(ISNUMBER(AVERAGE('20250815_ETF_Options_Exhibits'!L1440:L1444)),AVERAGE('20250815_ETF_Options_Exhibits'!L1440:L1444),"")</f>
        <v/>
      </c>
      <c r="M1444" s="3">
        <f>IF(ISNUMBER(AVERAGE('20250815_ETF_Options_Exhibits'!M1440:M1444)),AVERAGE('20250815_ETF_Options_Exhibits'!M1440:M1444),"")</f>
        <v/>
      </c>
      <c r="N1444" s="3">
        <f>IF(ISNUMBER(AVERAGE('20250815_ETF_Options_Exhibits'!N1440:N1444)),AVERAGE('20250815_ETF_Options_Exhibits'!N1440:N1444),"")</f>
        <v/>
      </c>
      <c r="O1444" s="3">
        <f>IF(ISNUMBER(AVERAGE('20250815_ETF_Options_Exhibits'!O1440:O1444)),AVERAGE('20250815_ETF_Options_Exhibits'!O1440:O1444),"")</f>
        <v/>
      </c>
      <c r="P1444" s="3">
        <f>IF(ISNUMBER(AVERAGE('20250815_ETF_Options_Exhibits'!P1440:P1444)),AVERAGE('20250815_ETF_Options_Exhibits'!P1440:P1444),"")</f>
        <v/>
      </c>
      <c r="Q1444" s="3">
        <f>IF(ISNUMBER(AVERAGE('20250815_ETF_Options_Exhibits'!Q1440:Q1444)),AVERAGE('20250815_ETF_Options_Exhibits'!Q1440:Q1444),"")</f>
        <v/>
      </c>
      <c r="R1444" s="3">
        <f>IF(ISNUMBER(AVERAGE('20250815_ETF_Options_Exhibits'!R1440:R1444)),AVERAGE('20250815_ETF_Options_Exhibits'!R1440:R1444),"")</f>
        <v/>
      </c>
      <c r="S1444" s="3">
        <f>IF(ISNUMBER(AVERAGE('20250815_ETF_Options_Exhibits'!S1440:S1444)),AVERAGE('20250815_ETF_Options_Exhibits'!S1440:S1444),"")</f>
        <v/>
      </c>
      <c r="T1444" s="3">
        <f>IF(ISNUMBER(AVERAGE('20250815_ETF_Options_Exhibits'!T1440:T1444)),AVERAGE('20250815_ETF_Options_Exhibits'!T1440:T1444),"")</f>
        <v/>
      </c>
      <c r="U1444" s="3">
        <f>IF(ISNUMBER(AVERAGE('20250815_ETF_Options_Exhibits'!U1440:U1444)),AVERAGE('20250815_ETF_Options_Exhibits'!U1440:U1444),"")</f>
        <v/>
      </c>
      <c r="V1444" s="3">
        <f>IF(ISNUMBER(AVERAGE('20250815_ETF_Options_Exhibits'!V1440:V1444)),AVERAGE('20250815_ETF_Options_Exhibits'!V1440:V1444),"")</f>
        <v/>
      </c>
      <c r="W1444" s="3">
        <f>IF(ISNUMBER(AVERAGE('20250815_ETF_Options_Exhibits'!W1440:W1444)),AVERAGE('20250815_ETF_Options_Exhibits'!W1440:W1444),"")</f>
        <v/>
      </c>
      <c r="X1444" s="3">
        <f>IF(ISNUMBER(AVERAGE('20250815_ETF_Options_Exhibits'!X1440:X1444)),AVERAGE('20250815_ETF_Options_Exhibits'!X1440:X1444),"")</f>
        <v/>
      </c>
      <c r="Y1444" s="3">
        <f>IF(ISNUMBER(AVERAGE('20250815_ETF_Options_Exhibits'!Y1440:Y1444)),AVERAGE('20250815_ETF_Options_Exhibits'!Y1440:Y1444),"")</f>
        <v/>
      </c>
      <c r="Z1444" s="3">
        <f>IF(ISNUMBER(AVERAGE('20250815_ETF_Options_Exhibits'!Z1440:Z1444)),AVERAGE('20250815_ETF_Options_Exhibits'!Z1440:Z1444),"")</f>
        <v/>
      </c>
      <c r="AA1444" s="3">
        <f>IF(ISNUMBER(AVERAGE('20250815_ETF_Options_Exhibits'!AA1440:AA1444)),AVERAGE('20250815_ETF_Options_Exhibits'!AA1440:AA1444),"")</f>
        <v/>
      </c>
    </row>
    <row r="1445">
      <c r="A1445" s="1" t="n">
        <v>44098</v>
      </c>
      <c r="B1445" s="3">
        <f>IF(ISNUMBER(AVERAGE('20250815_ETF_Options_Exhibits'!B1441:B1445)),AVERAGE('20250815_ETF_Options_Exhibits'!B1441:B1445),"")</f>
        <v/>
      </c>
      <c r="C1445" s="3">
        <f>IF(ISNUMBER(AVERAGE('20250815_ETF_Options_Exhibits'!C1441:C1445)),AVERAGE('20250815_ETF_Options_Exhibits'!C1441:C1445),"")</f>
        <v/>
      </c>
      <c r="D1445" s="3">
        <f>IF(ISNUMBER(AVERAGE('20250815_ETF_Options_Exhibits'!D1441:D1445)),AVERAGE('20250815_ETF_Options_Exhibits'!D1441:D1445),"")</f>
        <v/>
      </c>
      <c r="E1445" s="3">
        <f>IF(ISNUMBER(AVERAGE('20250815_ETF_Options_Exhibits'!E1441:E1445)),AVERAGE('20250815_ETF_Options_Exhibits'!E1441:E1445),"")</f>
        <v/>
      </c>
      <c r="F1445" s="3">
        <f>IF(ISNUMBER(AVERAGE('20250815_ETF_Options_Exhibits'!F1441:F1445)),AVERAGE('20250815_ETF_Options_Exhibits'!F1441:F1445),"")</f>
        <v/>
      </c>
      <c r="G1445" s="3">
        <f>IF(ISNUMBER(AVERAGE('20250815_ETF_Options_Exhibits'!G1441:G1445)),AVERAGE('20250815_ETF_Options_Exhibits'!G1441:G1445),"")</f>
        <v/>
      </c>
      <c r="H1445" s="3">
        <f>IF(ISNUMBER(AVERAGE('20250815_ETF_Options_Exhibits'!H1441:H1445)),AVERAGE('20250815_ETF_Options_Exhibits'!H1441:H1445),"")</f>
        <v/>
      </c>
      <c r="I1445" s="3">
        <f>IF(ISNUMBER(AVERAGE('20250815_ETF_Options_Exhibits'!I1441:I1445)),AVERAGE('20250815_ETF_Options_Exhibits'!I1441:I1445),"")</f>
        <v/>
      </c>
      <c r="J1445" s="3">
        <f>IF(ISNUMBER(AVERAGE('20250815_ETF_Options_Exhibits'!J1441:J1445)),AVERAGE('20250815_ETF_Options_Exhibits'!J1441:J1445),"")</f>
        <v/>
      </c>
      <c r="K1445" s="3">
        <f>IF(ISNUMBER(AVERAGE('20250815_ETF_Options_Exhibits'!K1441:K1445)),AVERAGE('20250815_ETF_Options_Exhibits'!K1441:K1445),"")</f>
        <v/>
      </c>
      <c r="L1445" s="3">
        <f>IF(ISNUMBER(AVERAGE('20250815_ETF_Options_Exhibits'!L1441:L1445)),AVERAGE('20250815_ETF_Options_Exhibits'!L1441:L1445),"")</f>
        <v/>
      </c>
      <c r="M1445" s="3">
        <f>IF(ISNUMBER(AVERAGE('20250815_ETF_Options_Exhibits'!M1441:M1445)),AVERAGE('20250815_ETF_Options_Exhibits'!M1441:M1445),"")</f>
        <v/>
      </c>
      <c r="N1445" s="3">
        <f>IF(ISNUMBER(AVERAGE('20250815_ETF_Options_Exhibits'!N1441:N1445)),AVERAGE('20250815_ETF_Options_Exhibits'!N1441:N1445),"")</f>
        <v/>
      </c>
      <c r="O1445" s="3">
        <f>IF(ISNUMBER(AVERAGE('20250815_ETF_Options_Exhibits'!O1441:O1445)),AVERAGE('20250815_ETF_Options_Exhibits'!O1441:O1445),"")</f>
        <v/>
      </c>
      <c r="P1445" s="3">
        <f>IF(ISNUMBER(AVERAGE('20250815_ETF_Options_Exhibits'!P1441:P1445)),AVERAGE('20250815_ETF_Options_Exhibits'!P1441:P1445),"")</f>
        <v/>
      </c>
      <c r="Q1445" s="3">
        <f>IF(ISNUMBER(AVERAGE('20250815_ETF_Options_Exhibits'!Q1441:Q1445)),AVERAGE('20250815_ETF_Options_Exhibits'!Q1441:Q1445),"")</f>
        <v/>
      </c>
      <c r="R1445" s="3">
        <f>IF(ISNUMBER(AVERAGE('20250815_ETF_Options_Exhibits'!R1441:R1445)),AVERAGE('20250815_ETF_Options_Exhibits'!R1441:R1445),"")</f>
        <v/>
      </c>
      <c r="S1445" s="3">
        <f>IF(ISNUMBER(AVERAGE('20250815_ETF_Options_Exhibits'!S1441:S1445)),AVERAGE('20250815_ETF_Options_Exhibits'!S1441:S1445),"")</f>
        <v/>
      </c>
      <c r="T1445" s="3">
        <f>IF(ISNUMBER(AVERAGE('20250815_ETF_Options_Exhibits'!T1441:T1445)),AVERAGE('20250815_ETF_Options_Exhibits'!T1441:T1445),"")</f>
        <v/>
      </c>
      <c r="U1445" s="3">
        <f>IF(ISNUMBER(AVERAGE('20250815_ETF_Options_Exhibits'!U1441:U1445)),AVERAGE('20250815_ETF_Options_Exhibits'!U1441:U1445),"")</f>
        <v/>
      </c>
      <c r="V1445" s="3">
        <f>IF(ISNUMBER(AVERAGE('20250815_ETF_Options_Exhibits'!V1441:V1445)),AVERAGE('20250815_ETF_Options_Exhibits'!V1441:V1445),"")</f>
        <v/>
      </c>
      <c r="W1445" s="3">
        <f>IF(ISNUMBER(AVERAGE('20250815_ETF_Options_Exhibits'!W1441:W1445)),AVERAGE('20250815_ETF_Options_Exhibits'!W1441:W1445),"")</f>
        <v/>
      </c>
      <c r="X1445" s="3">
        <f>IF(ISNUMBER(AVERAGE('20250815_ETF_Options_Exhibits'!X1441:X1445)),AVERAGE('20250815_ETF_Options_Exhibits'!X1441:X1445),"")</f>
        <v/>
      </c>
      <c r="Y1445" s="3">
        <f>IF(ISNUMBER(AVERAGE('20250815_ETF_Options_Exhibits'!Y1441:Y1445)),AVERAGE('20250815_ETF_Options_Exhibits'!Y1441:Y1445),"")</f>
        <v/>
      </c>
      <c r="Z1445" s="3">
        <f>IF(ISNUMBER(AVERAGE('20250815_ETF_Options_Exhibits'!Z1441:Z1445)),AVERAGE('20250815_ETF_Options_Exhibits'!Z1441:Z1445),"")</f>
        <v/>
      </c>
      <c r="AA1445" s="3">
        <f>IF(ISNUMBER(AVERAGE('20250815_ETF_Options_Exhibits'!AA1441:AA1445)),AVERAGE('20250815_ETF_Options_Exhibits'!AA1441:AA1445),"")</f>
        <v/>
      </c>
    </row>
    <row r="1446">
      <c r="A1446" s="1" t="n">
        <v>44099</v>
      </c>
      <c r="B1446" s="3">
        <f>IF(ISNUMBER(AVERAGE('20250815_ETF_Options_Exhibits'!B1442:B1446)),AVERAGE('20250815_ETF_Options_Exhibits'!B1442:B1446),"")</f>
        <v/>
      </c>
      <c r="C1446" s="3">
        <f>IF(ISNUMBER(AVERAGE('20250815_ETF_Options_Exhibits'!C1442:C1446)),AVERAGE('20250815_ETF_Options_Exhibits'!C1442:C1446),"")</f>
        <v/>
      </c>
      <c r="D1446" s="3">
        <f>IF(ISNUMBER(AVERAGE('20250815_ETF_Options_Exhibits'!D1442:D1446)),AVERAGE('20250815_ETF_Options_Exhibits'!D1442:D1446),"")</f>
        <v/>
      </c>
      <c r="E1446" s="3">
        <f>IF(ISNUMBER(AVERAGE('20250815_ETF_Options_Exhibits'!E1442:E1446)),AVERAGE('20250815_ETF_Options_Exhibits'!E1442:E1446),"")</f>
        <v/>
      </c>
      <c r="F1446" s="3">
        <f>IF(ISNUMBER(AVERAGE('20250815_ETF_Options_Exhibits'!F1442:F1446)),AVERAGE('20250815_ETF_Options_Exhibits'!F1442:F1446),"")</f>
        <v/>
      </c>
      <c r="G1446" s="3">
        <f>IF(ISNUMBER(AVERAGE('20250815_ETF_Options_Exhibits'!G1442:G1446)),AVERAGE('20250815_ETF_Options_Exhibits'!G1442:G1446),"")</f>
        <v/>
      </c>
      <c r="H1446" s="3">
        <f>IF(ISNUMBER(AVERAGE('20250815_ETF_Options_Exhibits'!H1442:H1446)),AVERAGE('20250815_ETF_Options_Exhibits'!H1442:H1446),"")</f>
        <v/>
      </c>
      <c r="I1446" s="3">
        <f>IF(ISNUMBER(AVERAGE('20250815_ETF_Options_Exhibits'!I1442:I1446)),AVERAGE('20250815_ETF_Options_Exhibits'!I1442:I1446),"")</f>
        <v/>
      </c>
      <c r="J1446" s="3">
        <f>IF(ISNUMBER(AVERAGE('20250815_ETF_Options_Exhibits'!J1442:J1446)),AVERAGE('20250815_ETF_Options_Exhibits'!J1442:J1446),"")</f>
        <v/>
      </c>
      <c r="K1446" s="3">
        <f>IF(ISNUMBER(AVERAGE('20250815_ETF_Options_Exhibits'!K1442:K1446)),AVERAGE('20250815_ETF_Options_Exhibits'!K1442:K1446),"")</f>
        <v/>
      </c>
      <c r="L1446" s="3">
        <f>IF(ISNUMBER(AVERAGE('20250815_ETF_Options_Exhibits'!L1442:L1446)),AVERAGE('20250815_ETF_Options_Exhibits'!L1442:L1446),"")</f>
        <v/>
      </c>
      <c r="M1446" s="3">
        <f>IF(ISNUMBER(AVERAGE('20250815_ETF_Options_Exhibits'!M1442:M1446)),AVERAGE('20250815_ETF_Options_Exhibits'!M1442:M1446),"")</f>
        <v/>
      </c>
      <c r="N1446" s="3">
        <f>IF(ISNUMBER(AVERAGE('20250815_ETF_Options_Exhibits'!N1442:N1446)),AVERAGE('20250815_ETF_Options_Exhibits'!N1442:N1446),"")</f>
        <v/>
      </c>
      <c r="O1446" s="3">
        <f>IF(ISNUMBER(AVERAGE('20250815_ETF_Options_Exhibits'!O1442:O1446)),AVERAGE('20250815_ETF_Options_Exhibits'!O1442:O1446),"")</f>
        <v/>
      </c>
      <c r="P1446" s="3">
        <f>IF(ISNUMBER(AVERAGE('20250815_ETF_Options_Exhibits'!P1442:P1446)),AVERAGE('20250815_ETF_Options_Exhibits'!P1442:P1446),"")</f>
        <v/>
      </c>
      <c r="Q1446" s="3">
        <f>IF(ISNUMBER(AVERAGE('20250815_ETF_Options_Exhibits'!Q1442:Q1446)),AVERAGE('20250815_ETF_Options_Exhibits'!Q1442:Q1446),"")</f>
        <v/>
      </c>
      <c r="R1446" s="3">
        <f>IF(ISNUMBER(AVERAGE('20250815_ETF_Options_Exhibits'!R1442:R1446)),AVERAGE('20250815_ETF_Options_Exhibits'!R1442:R1446),"")</f>
        <v/>
      </c>
      <c r="S1446" s="3">
        <f>IF(ISNUMBER(AVERAGE('20250815_ETF_Options_Exhibits'!S1442:S1446)),AVERAGE('20250815_ETF_Options_Exhibits'!S1442:S1446),"")</f>
        <v/>
      </c>
      <c r="T1446" s="3">
        <f>IF(ISNUMBER(AVERAGE('20250815_ETF_Options_Exhibits'!T1442:T1446)),AVERAGE('20250815_ETF_Options_Exhibits'!T1442:T1446),"")</f>
        <v/>
      </c>
      <c r="U1446" s="3">
        <f>IF(ISNUMBER(AVERAGE('20250815_ETF_Options_Exhibits'!U1442:U1446)),AVERAGE('20250815_ETF_Options_Exhibits'!U1442:U1446),"")</f>
        <v/>
      </c>
      <c r="V1446" s="3">
        <f>IF(ISNUMBER(AVERAGE('20250815_ETF_Options_Exhibits'!V1442:V1446)),AVERAGE('20250815_ETF_Options_Exhibits'!V1442:V1446),"")</f>
        <v/>
      </c>
      <c r="W1446" s="3">
        <f>IF(ISNUMBER(AVERAGE('20250815_ETF_Options_Exhibits'!W1442:W1446)),AVERAGE('20250815_ETF_Options_Exhibits'!W1442:W1446),"")</f>
        <v/>
      </c>
      <c r="X1446" s="3">
        <f>IF(ISNUMBER(AVERAGE('20250815_ETF_Options_Exhibits'!X1442:X1446)),AVERAGE('20250815_ETF_Options_Exhibits'!X1442:X1446),"")</f>
        <v/>
      </c>
      <c r="Y1446" s="3">
        <f>IF(ISNUMBER(AVERAGE('20250815_ETF_Options_Exhibits'!Y1442:Y1446)),AVERAGE('20250815_ETF_Options_Exhibits'!Y1442:Y1446),"")</f>
        <v/>
      </c>
      <c r="Z1446" s="3">
        <f>IF(ISNUMBER(AVERAGE('20250815_ETF_Options_Exhibits'!Z1442:Z1446)),AVERAGE('20250815_ETF_Options_Exhibits'!Z1442:Z1446),"")</f>
        <v/>
      </c>
      <c r="AA1446" s="3">
        <f>IF(ISNUMBER(AVERAGE('20250815_ETF_Options_Exhibits'!AA1442:AA1446)),AVERAGE('20250815_ETF_Options_Exhibits'!AA1442:AA1446),"")</f>
        <v/>
      </c>
    </row>
    <row r="1447">
      <c r="A1447" s="1" t="n">
        <v>44102</v>
      </c>
      <c r="B1447" s="3">
        <f>IF(ISNUMBER(AVERAGE('20250815_ETF_Options_Exhibits'!B1443:B1447)),AVERAGE('20250815_ETF_Options_Exhibits'!B1443:B1447),"")</f>
        <v/>
      </c>
      <c r="C1447" s="3">
        <f>IF(ISNUMBER(AVERAGE('20250815_ETF_Options_Exhibits'!C1443:C1447)),AVERAGE('20250815_ETF_Options_Exhibits'!C1443:C1447),"")</f>
        <v/>
      </c>
      <c r="D1447" s="3">
        <f>IF(ISNUMBER(AVERAGE('20250815_ETF_Options_Exhibits'!D1443:D1447)),AVERAGE('20250815_ETF_Options_Exhibits'!D1443:D1447),"")</f>
        <v/>
      </c>
      <c r="E1447" s="3">
        <f>IF(ISNUMBER(AVERAGE('20250815_ETF_Options_Exhibits'!E1443:E1447)),AVERAGE('20250815_ETF_Options_Exhibits'!E1443:E1447),"")</f>
        <v/>
      </c>
      <c r="F1447" s="3">
        <f>IF(ISNUMBER(AVERAGE('20250815_ETF_Options_Exhibits'!F1443:F1447)),AVERAGE('20250815_ETF_Options_Exhibits'!F1443:F1447),"")</f>
        <v/>
      </c>
      <c r="G1447" s="3">
        <f>IF(ISNUMBER(AVERAGE('20250815_ETF_Options_Exhibits'!G1443:G1447)),AVERAGE('20250815_ETF_Options_Exhibits'!G1443:G1447),"")</f>
        <v/>
      </c>
      <c r="H1447" s="3">
        <f>IF(ISNUMBER(AVERAGE('20250815_ETF_Options_Exhibits'!H1443:H1447)),AVERAGE('20250815_ETF_Options_Exhibits'!H1443:H1447),"")</f>
        <v/>
      </c>
      <c r="I1447" s="3">
        <f>IF(ISNUMBER(AVERAGE('20250815_ETF_Options_Exhibits'!I1443:I1447)),AVERAGE('20250815_ETF_Options_Exhibits'!I1443:I1447),"")</f>
        <v/>
      </c>
      <c r="J1447" s="3">
        <f>IF(ISNUMBER(AVERAGE('20250815_ETF_Options_Exhibits'!J1443:J1447)),AVERAGE('20250815_ETF_Options_Exhibits'!J1443:J1447),"")</f>
        <v/>
      </c>
      <c r="K1447" s="3">
        <f>IF(ISNUMBER(AVERAGE('20250815_ETF_Options_Exhibits'!K1443:K1447)),AVERAGE('20250815_ETF_Options_Exhibits'!K1443:K1447),"")</f>
        <v/>
      </c>
      <c r="L1447" s="3">
        <f>IF(ISNUMBER(AVERAGE('20250815_ETF_Options_Exhibits'!L1443:L1447)),AVERAGE('20250815_ETF_Options_Exhibits'!L1443:L1447),"")</f>
        <v/>
      </c>
      <c r="M1447" s="3">
        <f>IF(ISNUMBER(AVERAGE('20250815_ETF_Options_Exhibits'!M1443:M1447)),AVERAGE('20250815_ETF_Options_Exhibits'!M1443:M1447),"")</f>
        <v/>
      </c>
      <c r="N1447" s="3">
        <f>IF(ISNUMBER(AVERAGE('20250815_ETF_Options_Exhibits'!N1443:N1447)),AVERAGE('20250815_ETF_Options_Exhibits'!N1443:N1447),"")</f>
        <v/>
      </c>
      <c r="O1447" s="3">
        <f>IF(ISNUMBER(AVERAGE('20250815_ETF_Options_Exhibits'!O1443:O1447)),AVERAGE('20250815_ETF_Options_Exhibits'!O1443:O1447),"")</f>
        <v/>
      </c>
      <c r="P1447" s="3">
        <f>IF(ISNUMBER(AVERAGE('20250815_ETF_Options_Exhibits'!P1443:P1447)),AVERAGE('20250815_ETF_Options_Exhibits'!P1443:P1447),"")</f>
        <v/>
      </c>
      <c r="Q1447" s="3">
        <f>IF(ISNUMBER(AVERAGE('20250815_ETF_Options_Exhibits'!Q1443:Q1447)),AVERAGE('20250815_ETF_Options_Exhibits'!Q1443:Q1447),"")</f>
        <v/>
      </c>
      <c r="R1447" s="3">
        <f>IF(ISNUMBER(AVERAGE('20250815_ETF_Options_Exhibits'!R1443:R1447)),AVERAGE('20250815_ETF_Options_Exhibits'!R1443:R1447),"")</f>
        <v/>
      </c>
      <c r="S1447" s="3">
        <f>IF(ISNUMBER(AVERAGE('20250815_ETF_Options_Exhibits'!S1443:S1447)),AVERAGE('20250815_ETF_Options_Exhibits'!S1443:S1447),"")</f>
        <v/>
      </c>
      <c r="T1447" s="3">
        <f>IF(ISNUMBER(AVERAGE('20250815_ETF_Options_Exhibits'!T1443:T1447)),AVERAGE('20250815_ETF_Options_Exhibits'!T1443:T1447),"")</f>
        <v/>
      </c>
      <c r="U1447" s="3">
        <f>IF(ISNUMBER(AVERAGE('20250815_ETF_Options_Exhibits'!U1443:U1447)),AVERAGE('20250815_ETF_Options_Exhibits'!U1443:U1447),"")</f>
        <v/>
      </c>
      <c r="V1447" s="3">
        <f>IF(ISNUMBER(AVERAGE('20250815_ETF_Options_Exhibits'!V1443:V1447)),AVERAGE('20250815_ETF_Options_Exhibits'!V1443:V1447),"")</f>
        <v/>
      </c>
      <c r="W1447" s="3">
        <f>IF(ISNUMBER(AVERAGE('20250815_ETF_Options_Exhibits'!W1443:W1447)),AVERAGE('20250815_ETF_Options_Exhibits'!W1443:W1447),"")</f>
        <v/>
      </c>
      <c r="X1447" s="3">
        <f>IF(ISNUMBER(AVERAGE('20250815_ETF_Options_Exhibits'!X1443:X1447)),AVERAGE('20250815_ETF_Options_Exhibits'!X1443:X1447),"")</f>
        <v/>
      </c>
      <c r="Y1447" s="3">
        <f>IF(ISNUMBER(AVERAGE('20250815_ETF_Options_Exhibits'!Y1443:Y1447)),AVERAGE('20250815_ETF_Options_Exhibits'!Y1443:Y1447),"")</f>
        <v/>
      </c>
      <c r="Z1447" s="3">
        <f>IF(ISNUMBER(AVERAGE('20250815_ETF_Options_Exhibits'!Z1443:Z1447)),AVERAGE('20250815_ETF_Options_Exhibits'!Z1443:Z1447),"")</f>
        <v/>
      </c>
      <c r="AA1447" s="3">
        <f>IF(ISNUMBER(AVERAGE('20250815_ETF_Options_Exhibits'!AA1443:AA1447)),AVERAGE('20250815_ETF_Options_Exhibits'!AA1443:AA1447),"")</f>
        <v/>
      </c>
    </row>
    <row r="1448">
      <c r="A1448" s="1" t="n">
        <v>44103</v>
      </c>
      <c r="B1448" s="3">
        <f>IF(ISNUMBER(AVERAGE('20250815_ETF_Options_Exhibits'!B1444:B1448)),AVERAGE('20250815_ETF_Options_Exhibits'!B1444:B1448),"")</f>
        <v/>
      </c>
      <c r="C1448" s="3">
        <f>IF(ISNUMBER(AVERAGE('20250815_ETF_Options_Exhibits'!C1444:C1448)),AVERAGE('20250815_ETF_Options_Exhibits'!C1444:C1448),"")</f>
        <v/>
      </c>
      <c r="D1448" s="3">
        <f>IF(ISNUMBER(AVERAGE('20250815_ETF_Options_Exhibits'!D1444:D1448)),AVERAGE('20250815_ETF_Options_Exhibits'!D1444:D1448),"")</f>
        <v/>
      </c>
      <c r="E1448" s="3">
        <f>IF(ISNUMBER(AVERAGE('20250815_ETF_Options_Exhibits'!E1444:E1448)),AVERAGE('20250815_ETF_Options_Exhibits'!E1444:E1448),"")</f>
        <v/>
      </c>
      <c r="F1448" s="3">
        <f>IF(ISNUMBER(AVERAGE('20250815_ETF_Options_Exhibits'!F1444:F1448)),AVERAGE('20250815_ETF_Options_Exhibits'!F1444:F1448),"")</f>
        <v/>
      </c>
      <c r="G1448" s="3">
        <f>IF(ISNUMBER(AVERAGE('20250815_ETF_Options_Exhibits'!G1444:G1448)),AVERAGE('20250815_ETF_Options_Exhibits'!G1444:G1448),"")</f>
        <v/>
      </c>
      <c r="H1448" s="3">
        <f>IF(ISNUMBER(AVERAGE('20250815_ETF_Options_Exhibits'!H1444:H1448)),AVERAGE('20250815_ETF_Options_Exhibits'!H1444:H1448),"")</f>
        <v/>
      </c>
      <c r="I1448" s="3">
        <f>IF(ISNUMBER(AVERAGE('20250815_ETF_Options_Exhibits'!I1444:I1448)),AVERAGE('20250815_ETF_Options_Exhibits'!I1444:I1448),"")</f>
        <v/>
      </c>
      <c r="J1448" s="3">
        <f>IF(ISNUMBER(AVERAGE('20250815_ETF_Options_Exhibits'!J1444:J1448)),AVERAGE('20250815_ETF_Options_Exhibits'!J1444:J1448),"")</f>
        <v/>
      </c>
      <c r="K1448" s="3">
        <f>IF(ISNUMBER(AVERAGE('20250815_ETF_Options_Exhibits'!K1444:K1448)),AVERAGE('20250815_ETF_Options_Exhibits'!K1444:K1448),"")</f>
        <v/>
      </c>
      <c r="L1448" s="3">
        <f>IF(ISNUMBER(AVERAGE('20250815_ETF_Options_Exhibits'!L1444:L1448)),AVERAGE('20250815_ETF_Options_Exhibits'!L1444:L1448),"")</f>
        <v/>
      </c>
      <c r="M1448" s="3">
        <f>IF(ISNUMBER(AVERAGE('20250815_ETF_Options_Exhibits'!M1444:M1448)),AVERAGE('20250815_ETF_Options_Exhibits'!M1444:M1448),"")</f>
        <v/>
      </c>
      <c r="N1448" s="3">
        <f>IF(ISNUMBER(AVERAGE('20250815_ETF_Options_Exhibits'!N1444:N1448)),AVERAGE('20250815_ETF_Options_Exhibits'!N1444:N1448),"")</f>
        <v/>
      </c>
      <c r="O1448" s="3">
        <f>IF(ISNUMBER(AVERAGE('20250815_ETF_Options_Exhibits'!O1444:O1448)),AVERAGE('20250815_ETF_Options_Exhibits'!O1444:O1448),"")</f>
        <v/>
      </c>
      <c r="P1448" s="3">
        <f>IF(ISNUMBER(AVERAGE('20250815_ETF_Options_Exhibits'!P1444:P1448)),AVERAGE('20250815_ETF_Options_Exhibits'!P1444:P1448),"")</f>
        <v/>
      </c>
      <c r="Q1448" s="3">
        <f>IF(ISNUMBER(AVERAGE('20250815_ETF_Options_Exhibits'!Q1444:Q1448)),AVERAGE('20250815_ETF_Options_Exhibits'!Q1444:Q1448),"")</f>
        <v/>
      </c>
      <c r="R1448" s="3">
        <f>IF(ISNUMBER(AVERAGE('20250815_ETF_Options_Exhibits'!R1444:R1448)),AVERAGE('20250815_ETF_Options_Exhibits'!R1444:R1448),"")</f>
        <v/>
      </c>
      <c r="S1448" s="3">
        <f>IF(ISNUMBER(AVERAGE('20250815_ETF_Options_Exhibits'!S1444:S1448)),AVERAGE('20250815_ETF_Options_Exhibits'!S1444:S1448),"")</f>
        <v/>
      </c>
      <c r="T1448" s="3">
        <f>IF(ISNUMBER(AVERAGE('20250815_ETF_Options_Exhibits'!T1444:T1448)),AVERAGE('20250815_ETF_Options_Exhibits'!T1444:T1448),"")</f>
        <v/>
      </c>
      <c r="U1448" s="3">
        <f>IF(ISNUMBER(AVERAGE('20250815_ETF_Options_Exhibits'!U1444:U1448)),AVERAGE('20250815_ETF_Options_Exhibits'!U1444:U1448),"")</f>
        <v/>
      </c>
      <c r="V1448" s="3">
        <f>IF(ISNUMBER(AVERAGE('20250815_ETF_Options_Exhibits'!V1444:V1448)),AVERAGE('20250815_ETF_Options_Exhibits'!V1444:V1448),"")</f>
        <v/>
      </c>
      <c r="W1448" s="3">
        <f>IF(ISNUMBER(AVERAGE('20250815_ETF_Options_Exhibits'!W1444:W1448)),AVERAGE('20250815_ETF_Options_Exhibits'!W1444:W1448),"")</f>
        <v/>
      </c>
      <c r="X1448" s="3">
        <f>IF(ISNUMBER(AVERAGE('20250815_ETF_Options_Exhibits'!X1444:X1448)),AVERAGE('20250815_ETF_Options_Exhibits'!X1444:X1448),"")</f>
        <v/>
      </c>
      <c r="Y1448" s="3">
        <f>IF(ISNUMBER(AVERAGE('20250815_ETF_Options_Exhibits'!Y1444:Y1448)),AVERAGE('20250815_ETF_Options_Exhibits'!Y1444:Y1448),"")</f>
        <v/>
      </c>
      <c r="Z1448" s="3">
        <f>IF(ISNUMBER(AVERAGE('20250815_ETF_Options_Exhibits'!Z1444:Z1448)),AVERAGE('20250815_ETF_Options_Exhibits'!Z1444:Z1448),"")</f>
        <v/>
      </c>
      <c r="AA1448" s="3">
        <f>IF(ISNUMBER(AVERAGE('20250815_ETF_Options_Exhibits'!AA1444:AA1448)),AVERAGE('20250815_ETF_Options_Exhibits'!AA1444:AA1448),"")</f>
        <v/>
      </c>
    </row>
    <row r="1449">
      <c r="A1449" s="1" t="n">
        <v>44104</v>
      </c>
      <c r="B1449" s="3">
        <f>IF(ISNUMBER(AVERAGE('20250815_ETF_Options_Exhibits'!B1445:B1449)),AVERAGE('20250815_ETF_Options_Exhibits'!B1445:B1449),"")</f>
        <v/>
      </c>
      <c r="C1449" s="3">
        <f>IF(ISNUMBER(AVERAGE('20250815_ETF_Options_Exhibits'!C1445:C1449)),AVERAGE('20250815_ETF_Options_Exhibits'!C1445:C1449),"")</f>
        <v/>
      </c>
      <c r="D1449" s="3">
        <f>IF(ISNUMBER(AVERAGE('20250815_ETF_Options_Exhibits'!D1445:D1449)),AVERAGE('20250815_ETF_Options_Exhibits'!D1445:D1449),"")</f>
        <v/>
      </c>
      <c r="E1449" s="3">
        <f>IF(ISNUMBER(AVERAGE('20250815_ETF_Options_Exhibits'!E1445:E1449)),AVERAGE('20250815_ETF_Options_Exhibits'!E1445:E1449),"")</f>
        <v/>
      </c>
      <c r="F1449" s="3">
        <f>IF(ISNUMBER(AVERAGE('20250815_ETF_Options_Exhibits'!F1445:F1449)),AVERAGE('20250815_ETF_Options_Exhibits'!F1445:F1449),"")</f>
        <v/>
      </c>
      <c r="G1449" s="3">
        <f>IF(ISNUMBER(AVERAGE('20250815_ETF_Options_Exhibits'!G1445:G1449)),AVERAGE('20250815_ETF_Options_Exhibits'!G1445:G1449),"")</f>
        <v/>
      </c>
      <c r="H1449" s="3">
        <f>IF(ISNUMBER(AVERAGE('20250815_ETF_Options_Exhibits'!H1445:H1449)),AVERAGE('20250815_ETF_Options_Exhibits'!H1445:H1449),"")</f>
        <v/>
      </c>
      <c r="I1449" s="3">
        <f>IF(ISNUMBER(AVERAGE('20250815_ETF_Options_Exhibits'!I1445:I1449)),AVERAGE('20250815_ETF_Options_Exhibits'!I1445:I1449),"")</f>
        <v/>
      </c>
      <c r="J1449" s="3">
        <f>IF(ISNUMBER(AVERAGE('20250815_ETF_Options_Exhibits'!J1445:J1449)),AVERAGE('20250815_ETF_Options_Exhibits'!J1445:J1449),"")</f>
        <v/>
      </c>
      <c r="K1449" s="3">
        <f>IF(ISNUMBER(AVERAGE('20250815_ETF_Options_Exhibits'!K1445:K1449)),AVERAGE('20250815_ETF_Options_Exhibits'!K1445:K1449),"")</f>
        <v/>
      </c>
      <c r="L1449" s="3">
        <f>IF(ISNUMBER(AVERAGE('20250815_ETF_Options_Exhibits'!L1445:L1449)),AVERAGE('20250815_ETF_Options_Exhibits'!L1445:L1449),"")</f>
        <v/>
      </c>
      <c r="M1449" s="3">
        <f>IF(ISNUMBER(AVERAGE('20250815_ETF_Options_Exhibits'!M1445:M1449)),AVERAGE('20250815_ETF_Options_Exhibits'!M1445:M1449),"")</f>
        <v/>
      </c>
      <c r="N1449" s="3">
        <f>IF(ISNUMBER(AVERAGE('20250815_ETF_Options_Exhibits'!N1445:N1449)),AVERAGE('20250815_ETF_Options_Exhibits'!N1445:N1449),"")</f>
        <v/>
      </c>
      <c r="O1449" s="3">
        <f>IF(ISNUMBER(AVERAGE('20250815_ETF_Options_Exhibits'!O1445:O1449)),AVERAGE('20250815_ETF_Options_Exhibits'!O1445:O1449),"")</f>
        <v/>
      </c>
      <c r="P1449" s="3">
        <f>IF(ISNUMBER(AVERAGE('20250815_ETF_Options_Exhibits'!P1445:P1449)),AVERAGE('20250815_ETF_Options_Exhibits'!P1445:P1449),"")</f>
        <v/>
      </c>
      <c r="Q1449" s="3">
        <f>IF(ISNUMBER(AVERAGE('20250815_ETF_Options_Exhibits'!Q1445:Q1449)),AVERAGE('20250815_ETF_Options_Exhibits'!Q1445:Q1449),"")</f>
        <v/>
      </c>
      <c r="R1449" s="3">
        <f>IF(ISNUMBER(AVERAGE('20250815_ETF_Options_Exhibits'!R1445:R1449)),AVERAGE('20250815_ETF_Options_Exhibits'!R1445:R1449),"")</f>
        <v/>
      </c>
      <c r="S1449" s="3">
        <f>IF(ISNUMBER(AVERAGE('20250815_ETF_Options_Exhibits'!S1445:S1449)),AVERAGE('20250815_ETF_Options_Exhibits'!S1445:S1449),"")</f>
        <v/>
      </c>
      <c r="T1449" s="3">
        <f>IF(ISNUMBER(AVERAGE('20250815_ETF_Options_Exhibits'!T1445:T1449)),AVERAGE('20250815_ETF_Options_Exhibits'!T1445:T1449),"")</f>
        <v/>
      </c>
      <c r="U1449" s="3">
        <f>IF(ISNUMBER(AVERAGE('20250815_ETF_Options_Exhibits'!U1445:U1449)),AVERAGE('20250815_ETF_Options_Exhibits'!U1445:U1449),"")</f>
        <v/>
      </c>
      <c r="V1449" s="3">
        <f>IF(ISNUMBER(AVERAGE('20250815_ETF_Options_Exhibits'!V1445:V1449)),AVERAGE('20250815_ETF_Options_Exhibits'!V1445:V1449),"")</f>
        <v/>
      </c>
      <c r="W1449" s="3">
        <f>IF(ISNUMBER(AVERAGE('20250815_ETF_Options_Exhibits'!W1445:W1449)),AVERAGE('20250815_ETF_Options_Exhibits'!W1445:W1449),"")</f>
        <v/>
      </c>
      <c r="X1449" s="3">
        <f>IF(ISNUMBER(AVERAGE('20250815_ETF_Options_Exhibits'!X1445:X1449)),AVERAGE('20250815_ETF_Options_Exhibits'!X1445:X1449),"")</f>
        <v/>
      </c>
      <c r="Y1449" s="3">
        <f>IF(ISNUMBER(AVERAGE('20250815_ETF_Options_Exhibits'!Y1445:Y1449)),AVERAGE('20250815_ETF_Options_Exhibits'!Y1445:Y1449),"")</f>
        <v/>
      </c>
      <c r="Z1449" s="3">
        <f>IF(ISNUMBER(AVERAGE('20250815_ETF_Options_Exhibits'!Z1445:Z1449)),AVERAGE('20250815_ETF_Options_Exhibits'!Z1445:Z1449),"")</f>
        <v/>
      </c>
      <c r="AA1449" s="3">
        <f>IF(ISNUMBER(AVERAGE('20250815_ETF_Options_Exhibits'!AA1445:AA1449)),AVERAGE('20250815_ETF_Options_Exhibits'!AA1445:AA1449),"")</f>
        <v/>
      </c>
    </row>
    <row r="1450">
      <c r="A1450" s="1" t="n">
        <v>44105</v>
      </c>
      <c r="B1450" s="3">
        <f>IF(ISNUMBER(AVERAGE('20250815_ETF_Options_Exhibits'!B1446:B1450)),AVERAGE('20250815_ETF_Options_Exhibits'!B1446:B1450),"")</f>
        <v/>
      </c>
      <c r="C1450" s="3">
        <f>IF(ISNUMBER(AVERAGE('20250815_ETF_Options_Exhibits'!C1446:C1450)),AVERAGE('20250815_ETF_Options_Exhibits'!C1446:C1450),"")</f>
        <v/>
      </c>
      <c r="D1450" s="3">
        <f>IF(ISNUMBER(AVERAGE('20250815_ETF_Options_Exhibits'!D1446:D1450)),AVERAGE('20250815_ETF_Options_Exhibits'!D1446:D1450),"")</f>
        <v/>
      </c>
      <c r="E1450" s="3">
        <f>IF(ISNUMBER(AVERAGE('20250815_ETF_Options_Exhibits'!E1446:E1450)),AVERAGE('20250815_ETF_Options_Exhibits'!E1446:E1450),"")</f>
        <v/>
      </c>
      <c r="F1450" s="3">
        <f>IF(ISNUMBER(AVERAGE('20250815_ETF_Options_Exhibits'!F1446:F1450)),AVERAGE('20250815_ETF_Options_Exhibits'!F1446:F1450),"")</f>
        <v/>
      </c>
      <c r="G1450" s="3">
        <f>IF(ISNUMBER(AVERAGE('20250815_ETF_Options_Exhibits'!G1446:G1450)),AVERAGE('20250815_ETF_Options_Exhibits'!G1446:G1450),"")</f>
        <v/>
      </c>
      <c r="H1450" s="3">
        <f>IF(ISNUMBER(AVERAGE('20250815_ETF_Options_Exhibits'!H1446:H1450)),AVERAGE('20250815_ETF_Options_Exhibits'!H1446:H1450),"")</f>
        <v/>
      </c>
      <c r="I1450" s="3">
        <f>IF(ISNUMBER(AVERAGE('20250815_ETF_Options_Exhibits'!I1446:I1450)),AVERAGE('20250815_ETF_Options_Exhibits'!I1446:I1450),"")</f>
        <v/>
      </c>
      <c r="J1450" s="3">
        <f>IF(ISNUMBER(AVERAGE('20250815_ETF_Options_Exhibits'!J1446:J1450)),AVERAGE('20250815_ETF_Options_Exhibits'!J1446:J1450),"")</f>
        <v/>
      </c>
      <c r="K1450" s="3">
        <f>IF(ISNUMBER(AVERAGE('20250815_ETF_Options_Exhibits'!K1446:K1450)),AVERAGE('20250815_ETF_Options_Exhibits'!K1446:K1450),"")</f>
        <v/>
      </c>
      <c r="L1450" s="3">
        <f>IF(ISNUMBER(AVERAGE('20250815_ETF_Options_Exhibits'!L1446:L1450)),AVERAGE('20250815_ETF_Options_Exhibits'!L1446:L1450),"")</f>
        <v/>
      </c>
      <c r="M1450" s="3">
        <f>IF(ISNUMBER(AVERAGE('20250815_ETF_Options_Exhibits'!M1446:M1450)),AVERAGE('20250815_ETF_Options_Exhibits'!M1446:M1450),"")</f>
        <v/>
      </c>
      <c r="N1450" s="3">
        <f>IF(ISNUMBER(AVERAGE('20250815_ETF_Options_Exhibits'!N1446:N1450)),AVERAGE('20250815_ETF_Options_Exhibits'!N1446:N1450),"")</f>
        <v/>
      </c>
      <c r="O1450" s="3">
        <f>IF(ISNUMBER(AVERAGE('20250815_ETF_Options_Exhibits'!O1446:O1450)),AVERAGE('20250815_ETF_Options_Exhibits'!O1446:O1450),"")</f>
        <v/>
      </c>
      <c r="P1450" s="3">
        <f>IF(ISNUMBER(AVERAGE('20250815_ETF_Options_Exhibits'!P1446:P1450)),AVERAGE('20250815_ETF_Options_Exhibits'!P1446:P1450),"")</f>
        <v/>
      </c>
      <c r="Q1450" s="3">
        <f>IF(ISNUMBER(AVERAGE('20250815_ETF_Options_Exhibits'!Q1446:Q1450)),AVERAGE('20250815_ETF_Options_Exhibits'!Q1446:Q1450),"")</f>
        <v/>
      </c>
      <c r="R1450" s="3">
        <f>IF(ISNUMBER(AVERAGE('20250815_ETF_Options_Exhibits'!R1446:R1450)),AVERAGE('20250815_ETF_Options_Exhibits'!R1446:R1450),"")</f>
        <v/>
      </c>
      <c r="S1450" s="3">
        <f>IF(ISNUMBER(AVERAGE('20250815_ETF_Options_Exhibits'!S1446:S1450)),AVERAGE('20250815_ETF_Options_Exhibits'!S1446:S1450),"")</f>
        <v/>
      </c>
      <c r="T1450" s="3">
        <f>IF(ISNUMBER(AVERAGE('20250815_ETF_Options_Exhibits'!T1446:T1450)),AVERAGE('20250815_ETF_Options_Exhibits'!T1446:T1450),"")</f>
        <v/>
      </c>
      <c r="U1450" s="3">
        <f>IF(ISNUMBER(AVERAGE('20250815_ETF_Options_Exhibits'!U1446:U1450)),AVERAGE('20250815_ETF_Options_Exhibits'!U1446:U1450),"")</f>
        <v/>
      </c>
      <c r="V1450" s="3">
        <f>IF(ISNUMBER(AVERAGE('20250815_ETF_Options_Exhibits'!V1446:V1450)),AVERAGE('20250815_ETF_Options_Exhibits'!V1446:V1450),"")</f>
        <v/>
      </c>
      <c r="W1450" s="3">
        <f>IF(ISNUMBER(AVERAGE('20250815_ETF_Options_Exhibits'!W1446:W1450)),AVERAGE('20250815_ETF_Options_Exhibits'!W1446:W1450),"")</f>
        <v/>
      </c>
      <c r="X1450" s="3">
        <f>IF(ISNUMBER(AVERAGE('20250815_ETF_Options_Exhibits'!X1446:X1450)),AVERAGE('20250815_ETF_Options_Exhibits'!X1446:X1450),"")</f>
        <v/>
      </c>
      <c r="Y1450" s="3">
        <f>IF(ISNUMBER(AVERAGE('20250815_ETF_Options_Exhibits'!Y1446:Y1450)),AVERAGE('20250815_ETF_Options_Exhibits'!Y1446:Y1450),"")</f>
        <v/>
      </c>
      <c r="Z1450" s="3">
        <f>IF(ISNUMBER(AVERAGE('20250815_ETF_Options_Exhibits'!Z1446:Z1450)),AVERAGE('20250815_ETF_Options_Exhibits'!Z1446:Z1450),"")</f>
        <v/>
      </c>
      <c r="AA1450" s="3">
        <f>IF(ISNUMBER(AVERAGE('20250815_ETF_Options_Exhibits'!AA1446:AA1450)),AVERAGE('20250815_ETF_Options_Exhibits'!AA1446:AA1450),"")</f>
        <v/>
      </c>
    </row>
    <row r="1451">
      <c r="A1451" s="1" t="n">
        <v>44106</v>
      </c>
      <c r="B1451" s="3">
        <f>IF(ISNUMBER(AVERAGE('20250815_ETF_Options_Exhibits'!B1447:B1451)),AVERAGE('20250815_ETF_Options_Exhibits'!B1447:B1451),"")</f>
        <v/>
      </c>
      <c r="C1451" s="3">
        <f>IF(ISNUMBER(AVERAGE('20250815_ETF_Options_Exhibits'!C1447:C1451)),AVERAGE('20250815_ETF_Options_Exhibits'!C1447:C1451),"")</f>
        <v/>
      </c>
      <c r="D1451" s="3">
        <f>IF(ISNUMBER(AVERAGE('20250815_ETF_Options_Exhibits'!D1447:D1451)),AVERAGE('20250815_ETF_Options_Exhibits'!D1447:D1451),"")</f>
        <v/>
      </c>
      <c r="E1451" s="3">
        <f>IF(ISNUMBER(AVERAGE('20250815_ETF_Options_Exhibits'!E1447:E1451)),AVERAGE('20250815_ETF_Options_Exhibits'!E1447:E1451),"")</f>
        <v/>
      </c>
      <c r="F1451" s="3">
        <f>IF(ISNUMBER(AVERAGE('20250815_ETF_Options_Exhibits'!F1447:F1451)),AVERAGE('20250815_ETF_Options_Exhibits'!F1447:F1451),"")</f>
        <v/>
      </c>
      <c r="G1451" s="3">
        <f>IF(ISNUMBER(AVERAGE('20250815_ETF_Options_Exhibits'!G1447:G1451)),AVERAGE('20250815_ETF_Options_Exhibits'!G1447:G1451),"")</f>
        <v/>
      </c>
      <c r="H1451" s="3">
        <f>IF(ISNUMBER(AVERAGE('20250815_ETF_Options_Exhibits'!H1447:H1451)),AVERAGE('20250815_ETF_Options_Exhibits'!H1447:H1451),"")</f>
        <v/>
      </c>
      <c r="I1451" s="3">
        <f>IF(ISNUMBER(AVERAGE('20250815_ETF_Options_Exhibits'!I1447:I1451)),AVERAGE('20250815_ETF_Options_Exhibits'!I1447:I1451),"")</f>
        <v/>
      </c>
      <c r="J1451" s="3">
        <f>IF(ISNUMBER(AVERAGE('20250815_ETF_Options_Exhibits'!J1447:J1451)),AVERAGE('20250815_ETF_Options_Exhibits'!J1447:J1451),"")</f>
        <v/>
      </c>
      <c r="K1451" s="3">
        <f>IF(ISNUMBER(AVERAGE('20250815_ETF_Options_Exhibits'!K1447:K1451)),AVERAGE('20250815_ETF_Options_Exhibits'!K1447:K1451),"")</f>
        <v/>
      </c>
      <c r="L1451" s="3">
        <f>IF(ISNUMBER(AVERAGE('20250815_ETF_Options_Exhibits'!L1447:L1451)),AVERAGE('20250815_ETF_Options_Exhibits'!L1447:L1451),"")</f>
        <v/>
      </c>
      <c r="M1451" s="3">
        <f>IF(ISNUMBER(AVERAGE('20250815_ETF_Options_Exhibits'!M1447:M1451)),AVERAGE('20250815_ETF_Options_Exhibits'!M1447:M1451),"")</f>
        <v/>
      </c>
      <c r="N1451" s="3">
        <f>IF(ISNUMBER(AVERAGE('20250815_ETF_Options_Exhibits'!N1447:N1451)),AVERAGE('20250815_ETF_Options_Exhibits'!N1447:N1451),"")</f>
        <v/>
      </c>
      <c r="O1451" s="3">
        <f>IF(ISNUMBER(AVERAGE('20250815_ETF_Options_Exhibits'!O1447:O1451)),AVERAGE('20250815_ETF_Options_Exhibits'!O1447:O1451),"")</f>
        <v/>
      </c>
      <c r="P1451" s="3">
        <f>IF(ISNUMBER(AVERAGE('20250815_ETF_Options_Exhibits'!P1447:P1451)),AVERAGE('20250815_ETF_Options_Exhibits'!P1447:P1451),"")</f>
        <v/>
      </c>
      <c r="Q1451" s="3">
        <f>IF(ISNUMBER(AVERAGE('20250815_ETF_Options_Exhibits'!Q1447:Q1451)),AVERAGE('20250815_ETF_Options_Exhibits'!Q1447:Q1451),"")</f>
        <v/>
      </c>
      <c r="R1451" s="3">
        <f>IF(ISNUMBER(AVERAGE('20250815_ETF_Options_Exhibits'!R1447:R1451)),AVERAGE('20250815_ETF_Options_Exhibits'!R1447:R1451),"")</f>
        <v/>
      </c>
      <c r="S1451" s="3">
        <f>IF(ISNUMBER(AVERAGE('20250815_ETF_Options_Exhibits'!S1447:S1451)),AVERAGE('20250815_ETF_Options_Exhibits'!S1447:S1451),"")</f>
        <v/>
      </c>
      <c r="T1451" s="3">
        <f>IF(ISNUMBER(AVERAGE('20250815_ETF_Options_Exhibits'!T1447:T1451)),AVERAGE('20250815_ETF_Options_Exhibits'!T1447:T1451),"")</f>
        <v/>
      </c>
      <c r="U1451" s="3">
        <f>IF(ISNUMBER(AVERAGE('20250815_ETF_Options_Exhibits'!U1447:U1451)),AVERAGE('20250815_ETF_Options_Exhibits'!U1447:U1451),"")</f>
        <v/>
      </c>
      <c r="V1451" s="3">
        <f>IF(ISNUMBER(AVERAGE('20250815_ETF_Options_Exhibits'!V1447:V1451)),AVERAGE('20250815_ETF_Options_Exhibits'!V1447:V1451),"")</f>
        <v/>
      </c>
      <c r="W1451" s="3">
        <f>IF(ISNUMBER(AVERAGE('20250815_ETF_Options_Exhibits'!W1447:W1451)),AVERAGE('20250815_ETF_Options_Exhibits'!W1447:W1451),"")</f>
        <v/>
      </c>
      <c r="X1451" s="3">
        <f>IF(ISNUMBER(AVERAGE('20250815_ETF_Options_Exhibits'!X1447:X1451)),AVERAGE('20250815_ETF_Options_Exhibits'!X1447:X1451),"")</f>
        <v/>
      </c>
      <c r="Y1451" s="3">
        <f>IF(ISNUMBER(AVERAGE('20250815_ETF_Options_Exhibits'!Y1447:Y1451)),AVERAGE('20250815_ETF_Options_Exhibits'!Y1447:Y1451),"")</f>
        <v/>
      </c>
      <c r="Z1451" s="3">
        <f>IF(ISNUMBER(AVERAGE('20250815_ETF_Options_Exhibits'!Z1447:Z1451)),AVERAGE('20250815_ETF_Options_Exhibits'!Z1447:Z1451),"")</f>
        <v/>
      </c>
      <c r="AA1451" s="3">
        <f>IF(ISNUMBER(AVERAGE('20250815_ETF_Options_Exhibits'!AA1447:AA1451)),AVERAGE('20250815_ETF_Options_Exhibits'!AA1447:AA1451),"")</f>
        <v/>
      </c>
    </row>
    <row r="1452">
      <c r="A1452" s="1" t="n">
        <v>44109</v>
      </c>
      <c r="B1452" s="3">
        <f>IF(ISNUMBER(AVERAGE('20250815_ETF_Options_Exhibits'!B1448:B1452)),AVERAGE('20250815_ETF_Options_Exhibits'!B1448:B1452),"")</f>
        <v/>
      </c>
      <c r="C1452" s="3">
        <f>IF(ISNUMBER(AVERAGE('20250815_ETF_Options_Exhibits'!C1448:C1452)),AVERAGE('20250815_ETF_Options_Exhibits'!C1448:C1452),"")</f>
        <v/>
      </c>
      <c r="D1452" s="3">
        <f>IF(ISNUMBER(AVERAGE('20250815_ETF_Options_Exhibits'!D1448:D1452)),AVERAGE('20250815_ETF_Options_Exhibits'!D1448:D1452),"")</f>
        <v/>
      </c>
      <c r="E1452" s="3">
        <f>IF(ISNUMBER(AVERAGE('20250815_ETF_Options_Exhibits'!E1448:E1452)),AVERAGE('20250815_ETF_Options_Exhibits'!E1448:E1452),"")</f>
        <v/>
      </c>
      <c r="F1452" s="3">
        <f>IF(ISNUMBER(AVERAGE('20250815_ETF_Options_Exhibits'!F1448:F1452)),AVERAGE('20250815_ETF_Options_Exhibits'!F1448:F1452),"")</f>
        <v/>
      </c>
      <c r="G1452" s="3">
        <f>IF(ISNUMBER(AVERAGE('20250815_ETF_Options_Exhibits'!G1448:G1452)),AVERAGE('20250815_ETF_Options_Exhibits'!G1448:G1452),"")</f>
        <v/>
      </c>
      <c r="H1452" s="3">
        <f>IF(ISNUMBER(AVERAGE('20250815_ETF_Options_Exhibits'!H1448:H1452)),AVERAGE('20250815_ETF_Options_Exhibits'!H1448:H1452),"")</f>
        <v/>
      </c>
      <c r="I1452" s="3">
        <f>IF(ISNUMBER(AVERAGE('20250815_ETF_Options_Exhibits'!I1448:I1452)),AVERAGE('20250815_ETF_Options_Exhibits'!I1448:I1452),"")</f>
        <v/>
      </c>
      <c r="J1452" s="3">
        <f>IF(ISNUMBER(AVERAGE('20250815_ETF_Options_Exhibits'!J1448:J1452)),AVERAGE('20250815_ETF_Options_Exhibits'!J1448:J1452),"")</f>
        <v/>
      </c>
      <c r="K1452" s="3">
        <f>IF(ISNUMBER(AVERAGE('20250815_ETF_Options_Exhibits'!K1448:K1452)),AVERAGE('20250815_ETF_Options_Exhibits'!K1448:K1452),"")</f>
        <v/>
      </c>
      <c r="L1452" s="3">
        <f>IF(ISNUMBER(AVERAGE('20250815_ETF_Options_Exhibits'!L1448:L1452)),AVERAGE('20250815_ETF_Options_Exhibits'!L1448:L1452),"")</f>
        <v/>
      </c>
      <c r="M1452" s="3">
        <f>IF(ISNUMBER(AVERAGE('20250815_ETF_Options_Exhibits'!M1448:M1452)),AVERAGE('20250815_ETF_Options_Exhibits'!M1448:M1452),"")</f>
        <v/>
      </c>
      <c r="N1452" s="3">
        <f>IF(ISNUMBER(AVERAGE('20250815_ETF_Options_Exhibits'!N1448:N1452)),AVERAGE('20250815_ETF_Options_Exhibits'!N1448:N1452),"")</f>
        <v/>
      </c>
      <c r="O1452" s="3">
        <f>IF(ISNUMBER(AVERAGE('20250815_ETF_Options_Exhibits'!O1448:O1452)),AVERAGE('20250815_ETF_Options_Exhibits'!O1448:O1452),"")</f>
        <v/>
      </c>
      <c r="P1452" s="3">
        <f>IF(ISNUMBER(AVERAGE('20250815_ETF_Options_Exhibits'!P1448:P1452)),AVERAGE('20250815_ETF_Options_Exhibits'!P1448:P1452),"")</f>
        <v/>
      </c>
      <c r="Q1452" s="3">
        <f>IF(ISNUMBER(AVERAGE('20250815_ETF_Options_Exhibits'!Q1448:Q1452)),AVERAGE('20250815_ETF_Options_Exhibits'!Q1448:Q1452),"")</f>
        <v/>
      </c>
      <c r="R1452" s="3">
        <f>IF(ISNUMBER(AVERAGE('20250815_ETF_Options_Exhibits'!R1448:R1452)),AVERAGE('20250815_ETF_Options_Exhibits'!R1448:R1452),"")</f>
        <v/>
      </c>
      <c r="S1452" s="3">
        <f>IF(ISNUMBER(AVERAGE('20250815_ETF_Options_Exhibits'!S1448:S1452)),AVERAGE('20250815_ETF_Options_Exhibits'!S1448:S1452),"")</f>
        <v/>
      </c>
      <c r="T1452" s="3">
        <f>IF(ISNUMBER(AVERAGE('20250815_ETF_Options_Exhibits'!T1448:T1452)),AVERAGE('20250815_ETF_Options_Exhibits'!T1448:T1452),"")</f>
        <v/>
      </c>
      <c r="U1452" s="3">
        <f>IF(ISNUMBER(AVERAGE('20250815_ETF_Options_Exhibits'!U1448:U1452)),AVERAGE('20250815_ETF_Options_Exhibits'!U1448:U1452),"")</f>
        <v/>
      </c>
      <c r="V1452" s="3">
        <f>IF(ISNUMBER(AVERAGE('20250815_ETF_Options_Exhibits'!V1448:V1452)),AVERAGE('20250815_ETF_Options_Exhibits'!V1448:V1452),"")</f>
        <v/>
      </c>
      <c r="W1452" s="3">
        <f>IF(ISNUMBER(AVERAGE('20250815_ETF_Options_Exhibits'!W1448:W1452)),AVERAGE('20250815_ETF_Options_Exhibits'!W1448:W1452),"")</f>
        <v/>
      </c>
      <c r="X1452" s="3">
        <f>IF(ISNUMBER(AVERAGE('20250815_ETF_Options_Exhibits'!X1448:X1452)),AVERAGE('20250815_ETF_Options_Exhibits'!X1448:X1452),"")</f>
        <v/>
      </c>
      <c r="Y1452" s="3">
        <f>IF(ISNUMBER(AVERAGE('20250815_ETF_Options_Exhibits'!Y1448:Y1452)),AVERAGE('20250815_ETF_Options_Exhibits'!Y1448:Y1452),"")</f>
        <v/>
      </c>
      <c r="Z1452" s="3">
        <f>IF(ISNUMBER(AVERAGE('20250815_ETF_Options_Exhibits'!Z1448:Z1452)),AVERAGE('20250815_ETF_Options_Exhibits'!Z1448:Z1452),"")</f>
        <v/>
      </c>
      <c r="AA1452" s="3">
        <f>IF(ISNUMBER(AVERAGE('20250815_ETF_Options_Exhibits'!AA1448:AA1452)),AVERAGE('20250815_ETF_Options_Exhibits'!AA1448:AA1452),"")</f>
        <v/>
      </c>
    </row>
    <row r="1453">
      <c r="A1453" s="1" t="n">
        <v>44110</v>
      </c>
      <c r="B1453" s="3">
        <f>IF(ISNUMBER(AVERAGE('20250815_ETF_Options_Exhibits'!B1449:B1453)),AVERAGE('20250815_ETF_Options_Exhibits'!B1449:B1453),"")</f>
        <v/>
      </c>
      <c r="C1453" s="3">
        <f>IF(ISNUMBER(AVERAGE('20250815_ETF_Options_Exhibits'!C1449:C1453)),AVERAGE('20250815_ETF_Options_Exhibits'!C1449:C1453),"")</f>
        <v/>
      </c>
      <c r="D1453" s="3">
        <f>IF(ISNUMBER(AVERAGE('20250815_ETF_Options_Exhibits'!D1449:D1453)),AVERAGE('20250815_ETF_Options_Exhibits'!D1449:D1453),"")</f>
        <v/>
      </c>
      <c r="E1453" s="3">
        <f>IF(ISNUMBER(AVERAGE('20250815_ETF_Options_Exhibits'!E1449:E1453)),AVERAGE('20250815_ETF_Options_Exhibits'!E1449:E1453),"")</f>
        <v/>
      </c>
      <c r="F1453" s="3">
        <f>IF(ISNUMBER(AVERAGE('20250815_ETF_Options_Exhibits'!F1449:F1453)),AVERAGE('20250815_ETF_Options_Exhibits'!F1449:F1453),"")</f>
        <v/>
      </c>
      <c r="G1453" s="3">
        <f>IF(ISNUMBER(AVERAGE('20250815_ETF_Options_Exhibits'!G1449:G1453)),AVERAGE('20250815_ETF_Options_Exhibits'!G1449:G1453),"")</f>
        <v/>
      </c>
      <c r="H1453" s="3">
        <f>IF(ISNUMBER(AVERAGE('20250815_ETF_Options_Exhibits'!H1449:H1453)),AVERAGE('20250815_ETF_Options_Exhibits'!H1449:H1453),"")</f>
        <v/>
      </c>
      <c r="I1453" s="3">
        <f>IF(ISNUMBER(AVERAGE('20250815_ETF_Options_Exhibits'!I1449:I1453)),AVERAGE('20250815_ETF_Options_Exhibits'!I1449:I1453),"")</f>
        <v/>
      </c>
      <c r="J1453" s="3">
        <f>IF(ISNUMBER(AVERAGE('20250815_ETF_Options_Exhibits'!J1449:J1453)),AVERAGE('20250815_ETF_Options_Exhibits'!J1449:J1453),"")</f>
        <v/>
      </c>
      <c r="K1453" s="3">
        <f>IF(ISNUMBER(AVERAGE('20250815_ETF_Options_Exhibits'!K1449:K1453)),AVERAGE('20250815_ETF_Options_Exhibits'!K1449:K1453),"")</f>
        <v/>
      </c>
      <c r="L1453" s="3">
        <f>IF(ISNUMBER(AVERAGE('20250815_ETF_Options_Exhibits'!L1449:L1453)),AVERAGE('20250815_ETF_Options_Exhibits'!L1449:L1453),"")</f>
        <v/>
      </c>
      <c r="M1453" s="3">
        <f>IF(ISNUMBER(AVERAGE('20250815_ETF_Options_Exhibits'!M1449:M1453)),AVERAGE('20250815_ETF_Options_Exhibits'!M1449:M1453),"")</f>
        <v/>
      </c>
      <c r="N1453" s="3">
        <f>IF(ISNUMBER(AVERAGE('20250815_ETF_Options_Exhibits'!N1449:N1453)),AVERAGE('20250815_ETF_Options_Exhibits'!N1449:N1453),"")</f>
        <v/>
      </c>
      <c r="O1453" s="3">
        <f>IF(ISNUMBER(AVERAGE('20250815_ETF_Options_Exhibits'!O1449:O1453)),AVERAGE('20250815_ETF_Options_Exhibits'!O1449:O1453),"")</f>
        <v/>
      </c>
      <c r="P1453" s="3">
        <f>IF(ISNUMBER(AVERAGE('20250815_ETF_Options_Exhibits'!P1449:P1453)),AVERAGE('20250815_ETF_Options_Exhibits'!P1449:P1453),"")</f>
        <v/>
      </c>
      <c r="Q1453" s="3">
        <f>IF(ISNUMBER(AVERAGE('20250815_ETF_Options_Exhibits'!Q1449:Q1453)),AVERAGE('20250815_ETF_Options_Exhibits'!Q1449:Q1453),"")</f>
        <v/>
      </c>
      <c r="R1453" s="3">
        <f>IF(ISNUMBER(AVERAGE('20250815_ETF_Options_Exhibits'!R1449:R1453)),AVERAGE('20250815_ETF_Options_Exhibits'!R1449:R1453),"")</f>
        <v/>
      </c>
      <c r="S1453" s="3">
        <f>IF(ISNUMBER(AVERAGE('20250815_ETF_Options_Exhibits'!S1449:S1453)),AVERAGE('20250815_ETF_Options_Exhibits'!S1449:S1453),"")</f>
        <v/>
      </c>
      <c r="T1453" s="3">
        <f>IF(ISNUMBER(AVERAGE('20250815_ETF_Options_Exhibits'!T1449:T1453)),AVERAGE('20250815_ETF_Options_Exhibits'!T1449:T1453),"")</f>
        <v/>
      </c>
      <c r="U1453" s="3">
        <f>IF(ISNUMBER(AVERAGE('20250815_ETF_Options_Exhibits'!U1449:U1453)),AVERAGE('20250815_ETF_Options_Exhibits'!U1449:U1453),"")</f>
        <v/>
      </c>
      <c r="V1453" s="3">
        <f>IF(ISNUMBER(AVERAGE('20250815_ETF_Options_Exhibits'!V1449:V1453)),AVERAGE('20250815_ETF_Options_Exhibits'!V1449:V1453),"")</f>
        <v/>
      </c>
      <c r="W1453" s="3">
        <f>IF(ISNUMBER(AVERAGE('20250815_ETF_Options_Exhibits'!W1449:W1453)),AVERAGE('20250815_ETF_Options_Exhibits'!W1449:W1453),"")</f>
        <v/>
      </c>
      <c r="X1453" s="3">
        <f>IF(ISNUMBER(AVERAGE('20250815_ETF_Options_Exhibits'!X1449:X1453)),AVERAGE('20250815_ETF_Options_Exhibits'!X1449:X1453),"")</f>
        <v/>
      </c>
      <c r="Y1453" s="3">
        <f>IF(ISNUMBER(AVERAGE('20250815_ETF_Options_Exhibits'!Y1449:Y1453)),AVERAGE('20250815_ETF_Options_Exhibits'!Y1449:Y1453),"")</f>
        <v/>
      </c>
      <c r="Z1453" s="3">
        <f>IF(ISNUMBER(AVERAGE('20250815_ETF_Options_Exhibits'!Z1449:Z1453)),AVERAGE('20250815_ETF_Options_Exhibits'!Z1449:Z1453),"")</f>
        <v/>
      </c>
      <c r="AA1453" s="3">
        <f>IF(ISNUMBER(AVERAGE('20250815_ETF_Options_Exhibits'!AA1449:AA1453)),AVERAGE('20250815_ETF_Options_Exhibits'!AA1449:AA1453),"")</f>
        <v/>
      </c>
    </row>
    <row r="1454">
      <c r="A1454" s="1" t="n">
        <v>44111</v>
      </c>
      <c r="B1454" s="3">
        <f>IF(ISNUMBER(AVERAGE('20250815_ETF_Options_Exhibits'!B1450:B1454)),AVERAGE('20250815_ETF_Options_Exhibits'!B1450:B1454),"")</f>
        <v/>
      </c>
      <c r="C1454" s="3">
        <f>IF(ISNUMBER(AVERAGE('20250815_ETF_Options_Exhibits'!C1450:C1454)),AVERAGE('20250815_ETF_Options_Exhibits'!C1450:C1454),"")</f>
        <v/>
      </c>
      <c r="D1454" s="3">
        <f>IF(ISNUMBER(AVERAGE('20250815_ETF_Options_Exhibits'!D1450:D1454)),AVERAGE('20250815_ETF_Options_Exhibits'!D1450:D1454),"")</f>
        <v/>
      </c>
      <c r="E1454" s="3">
        <f>IF(ISNUMBER(AVERAGE('20250815_ETF_Options_Exhibits'!E1450:E1454)),AVERAGE('20250815_ETF_Options_Exhibits'!E1450:E1454),"")</f>
        <v/>
      </c>
      <c r="F1454" s="3">
        <f>IF(ISNUMBER(AVERAGE('20250815_ETF_Options_Exhibits'!F1450:F1454)),AVERAGE('20250815_ETF_Options_Exhibits'!F1450:F1454),"")</f>
        <v/>
      </c>
      <c r="G1454" s="3">
        <f>IF(ISNUMBER(AVERAGE('20250815_ETF_Options_Exhibits'!G1450:G1454)),AVERAGE('20250815_ETF_Options_Exhibits'!G1450:G1454),"")</f>
        <v/>
      </c>
      <c r="H1454" s="3">
        <f>IF(ISNUMBER(AVERAGE('20250815_ETF_Options_Exhibits'!H1450:H1454)),AVERAGE('20250815_ETF_Options_Exhibits'!H1450:H1454),"")</f>
        <v/>
      </c>
      <c r="I1454" s="3">
        <f>IF(ISNUMBER(AVERAGE('20250815_ETF_Options_Exhibits'!I1450:I1454)),AVERAGE('20250815_ETF_Options_Exhibits'!I1450:I1454),"")</f>
        <v/>
      </c>
      <c r="J1454" s="3">
        <f>IF(ISNUMBER(AVERAGE('20250815_ETF_Options_Exhibits'!J1450:J1454)),AVERAGE('20250815_ETF_Options_Exhibits'!J1450:J1454),"")</f>
        <v/>
      </c>
      <c r="K1454" s="3">
        <f>IF(ISNUMBER(AVERAGE('20250815_ETF_Options_Exhibits'!K1450:K1454)),AVERAGE('20250815_ETF_Options_Exhibits'!K1450:K1454),"")</f>
        <v/>
      </c>
      <c r="L1454" s="3">
        <f>IF(ISNUMBER(AVERAGE('20250815_ETF_Options_Exhibits'!L1450:L1454)),AVERAGE('20250815_ETF_Options_Exhibits'!L1450:L1454),"")</f>
        <v/>
      </c>
      <c r="M1454" s="3">
        <f>IF(ISNUMBER(AVERAGE('20250815_ETF_Options_Exhibits'!M1450:M1454)),AVERAGE('20250815_ETF_Options_Exhibits'!M1450:M1454),"")</f>
        <v/>
      </c>
      <c r="N1454" s="3">
        <f>IF(ISNUMBER(AVERAGE('20250815_ETF_Options_Exhibits'!N1450:N1454)),AVERAGE('20250815_ETF_Options_Exhibits'!N1450:N1454),"")</f>
        <v/>
      </c>
      <c r="O1454" s="3">
        <f>IF(ISNUMBER(AVERAGE('20250815_ETF_Options_Exhibits'!O1450:O1454)),AVERAGE('20250815_ETF_Options_Exhibits'!O1450:O1454),"")</f>
        <v/>
      </c>
      <c r="P1454" s="3">
        <f>IF(ISNUMBER(AVERAGE('20250815_ETF_Options_Exhibits'!P1450:P1454)),AVERAGE('20250815_ETF_Options_Exhibits'!P1450:P1454),"")</f>
        <v/>
      </c>
      <c r="Q1454" s="3">
        <f>IF(ISNUMBER(AVERAGE('20250815_ETF_Options_Exhibits'!Q1450:Q1454)),AVERAGE('20250815_ETF_Options_Exhibits'!Q1450:Q1454),"")</f>
        <v/>
      </c>
      <c r="R1454" s="3">
        <f>IF(ISNUMBER(AVERAGE('20250815_ETF_Options_Exhibits'!R1450:R1454)),AVERAGE('20250815_ETF_Options_Exhibits'!R1450:R1454),"")</f>
        <v/>
      </c>
      <c r="S1454" s="3">
        <f>IF(ISNUMBER(AVERAGE('20250815_ETF_Options_Exhibits'!S1450:S1454)),AVERAGE('20250815_ETF_Options_Exhibits'!S1450:S1454),"")</f>
        <v/>
      </c>
      <c r="T1454" s="3">
        <f>IF(ISNUMBER(AVERAGE('20250815_ETF_Options_Exhibits'!T1450:T1454)),AVERAGE('20250815_ETF_Options_Exhibits'!T1450:T1454),"")</f>
        <v/>
      </c>
      <c r="U1454" s="3">
        <f>IF(ISNUMBER(AVERAGE('20250815_ETF_Options_Exhibits'!U1450:U1454)),AVERAGE('20250815_ETF_Options_Exhibits'!U1450:U1454),"")</f>
        <v/>
      </c>
      <c r="V1454" s="3">
        <f>IF(ISNUMBER(AVERAGE('20250815_ETF_Options_Exhibits'!V1450:V1454)),AVERAGE('20250815_ETF_Options_Exhibits'!V1450:V1454),"")</f>
        <v/>
      </c>
      <c r="W1454" s="3">
        <f>IF(ISNUMBER(AVERAGE('20250815_ETF_Options_Exhibits'!W1450:W1454)),AVERAGE('20250815_ETF_Options_Exhibits'!W1450:W1454),"")</f>
        <v/>
      </c>
      <c r="X1454" s="3">
        <f>IF(ISNUMBER(AVERAGE('20250815_ETF_Options_Exhibits'!X1450:X1454)),AVERAGE('20250815_ETF_Options_Exhibits'!X1450:X1454),"")</f>
        <v/>
      </c>
      <c r="Y1454" s="3">
        <f>IF(ISNUMBER(AVERAGE('20250815_ETF_Options_Exhibits'!Y1450:Y1454)),AVERAGE('20250815_ETF_Options_Exhibits'!Y1450:Y1454),"")</f>
        <v/>
      </c>
      <c r="Z1454" s="3">
        <f>IF(ISNUMBER(AVERAGE('20250815_ETF_Options_Exhibits'!Z1450:Z1454)),AVERAGE('20250815_ETF_Options_Exhibits'!Z1450:Z1454),"")</f>
        <v/>
      </c>
      <c r="AA1454" s="3">
        <f>IF(ISNUMBER(AVERAGE('20250815_ETF_Options_Exhibits'!AA1450:AA1454)),AVERAGE('20250815_ETF_Options_Exhibits'!AA1450:AA1454),"")</f>
        <v/>
      </c>
    </row>
    <row r="1455">
      <c r="A1455" s="1" t="n">
        <v>44112</v>
      </c>
      <c r="B1455" s="3">
        <f>IF(ISNUMBER(AVERAGE('20250815_ETF_Options_Exhibits'!B1451:B1455)),AVERAGE('20250815_ETF_Options_Exhibits'!B1451:B1455),"")</f>
        <v/>
      </c>
      <c r="C1455" s="3">
        <f>IF(ISNUMBER(AVERAGE('20250815_ETF_Options_Exhibits'!C1451:C1455)),AVERAGE('20250815_ETF_Options_Exhibits'!C1451:C1455),"")</f>
        <v/>
      </c>
      <c r="D1455" s="3">
        <f>IF(ISNUMBER(AVERAGE('20250815_ETF_Options_Exhibits'!D1451:D1455)),AVERAGE('20250815_ETF_Options_Exhibits'!D1451:D1455),"")</f>
        <v/>
      </c>
      <c r="E1455" s="3">
        <f>IF(ISNUMBER(AVERAGE('20250815_ETF_Options_Exhibits'!E1451:E1455)),AVERAGE('20250815_ETF_Options_Exhibits'!E1451:E1455),"")</f>
        <v/>
      </c>
      <c r="F1455" s="3">
        <f>IF(ISNUMBER(AVERAGE('20250815_ETF_Options_Exhibits'!F1451:F1455)),AVERAGE('20250815_ETF_Options_Exhibits'!F1451:F1455),"")</f>
        <v/>
      </c>
      <c r="G1455" s="3">
        <f>IF(ISNUMBER(AVERAGE('20250815_ETF_Options_Exhibits'!G1451:G1455)),AVERAGE('20250815_ETF_Options_Exhibits'!G1451:G1455),"")</f>
        <v/>
      </c>
      <c r="H1455" s="3">
        <f>IF(ISNUMBER(AVERAGE('20250815_ETF_Options_Exhibits'!H1451:H1455)),AVERAGE('20250815_ETF_Options_Exhibits'!H1451:H1455),"")</f>
        <v/>
      </c>
      <c r="I1455" s="3">
        <f>IF(ISNUMBER(AVERAGE('20250815_ETF_Options_Exhibits'!I1451:I1455)),AVERAGE('20250815_ETF_Options_Exhibits'!I1451:I1455),"")</f>
        <v/>
      </c>
      <c r="J1455" s="3">
        <f>IF(ISNUMBER(AVERAGE('20250815_ETF_Options_Exhibits'!J1451:J1455)),AVERAGE('20250815_ETF_Options_Exhibits'!J1451:J1455),"")</f>
        <v/>
      </c>
      <c r="K1455" s="3">
        <f>IF(ISNUMBER(AVERAGE('20250815_ETF_Options_Exhibits'!K1451:K1455)),AVERAGE('20250815_ETF_Options_Exhibits'!K1451:K1455),"")</f>
        <v/>
      </c>
      <c r="L1455" s="3">
        <f>IF(ISNUMBER(AVERAGE('20250815_ETF_Options_Exhibits'!L1451:L1455)),AVERAGE('20250815_ETF_Options_Exhibits'!L1451:L1455),"")</f>
        <v/>
      </c>
      <c r="M1455" s="3">
        <f>IF(ISNUMBER(AVERAGE('20250815_ETF_Options_Exhibits'!M1451:M1455)),AVERAGE('20250815_ETF_Options_Exhibits'!M1451:M1455),"")</f>
        <v/>
      </c>
      <c r="N1455" s="3">
        <f>IF(ISNUMBER(AVERAGE('20250815_ETF_Options_Exhibits'!N1451:N1455)),AVERAGE('20250815_ETF_Options_Exhibits'!N1451:N1455),"")</f>
        <v/>
      </c>
      <c r="O1455" s="3">
        <f>IF(ISNUMBER(AVERAGE('20250815_ETF_Options_Exhibits'!O1451:O1455)),AVERAGE('20250815_ETF_Options_Exhibits'!O1451:O1455),"")</f>
        <v/>
      </c>
      <c r="P1455" s="3">
        <f>IF(ISNUMBER(AVERAGE('20250815_ETF_Options_Exhibits'!P1451:P1455)),AVERAGE('20250815_ETF_Options_Exhibits'!P1451:P1455),"")</f>
        <v/>
      </c>
      <c r="Q1455" s="3">
        <f>IF(ISNUMBER(AVERAGE('20250815_ETF_Options_Exhibits'!Q1451:Q1455)),AVERAGE('20250815_ETF_Options_Exhibits'!Q1451:Q1455),"")</f>
        <v/>
      </c>
      <c r="R1455" s="3">
        <f>IF(ISNUMBER(AVERAGE('20250815_ETF_Options_Exhibits'!R1451:R1455)),AVERAGE('20250815_ETF_Options_Exhibits'!R1451:R1455),"")</f>
        <v/>
      </c>
      <c r="S1455" s="3">
        <f>IF(ISNUMBER(AVERAGE('20250815_ETF_Options_Exhibits'!S1451:S1455)),AVERAGE('20250815_ETF_Options_Exhibits'!S1451:S1455),"")</f>
        <v/>
      </c>
      <c r="T1455" s="3">
        <f>IF(ISNUMBER(AVERAGE('20250815_ETF_Options_Exhibits'!T1451:T1455)),AVERAGE('20250815_ETF_Options_Exhibits'!T1451:T1455),"")</f>
        <v/>
      </c>
      <c r="U1455" s="3">
        <f>IF(ISNUMBER(AVERAGE('20250815_ETF_Options_Exhibits'!U1451:U1455)),AVERAGE('20250815_ETF_Options_Exhibits'!U1451:U1455),"")</f>
        <v/>
      </c>
      <c r="V1455" s="3">
        <f>IF(ISNUMBER(AVERAGE('20250815_ETF_Options_Exhibits'!V1451:V1455)),AVERAGE('20250815_ETF_Options_Exhibits'!V1451:V1455),"")</f>
        <v/>
      </c>
      <c r="W1455" s="3">
        <f>IF(ISNUMBER(AVERAGE('20250815_ETF_Options_Exhibits'!W1451:W1455)),AVERAGE('20250815_ETF_Options_Exhibits'!W1451:W1455),"")</f>
        <v/>
      </c>
      <c r="X1455" s="3">
        <f>IF(ISNUMBER(AVERAGE('20250815_ETF_Options_Exhibits'!X1451:X1455)),AVERAGE('20250815_ETF_Options_Exhibits'!X1451:X1455),"")</f>
        <v/>
      </c>
      <c r="Y1455" s="3">
        <f>IF(ISNUMBER(AVERAGE('20250815_ETF_Options_Exhibits'!Y1451:Y1455)),AVERAGE('20250815_ETF_Options_Exhibits'!Y1451:Y1455),"")</f>
        <v/>
      </c>
      <c r="Z1455" s="3">
        <f>IF(ISNUMBER(AVERAGE('20250815_ETF_Options_Exhibits'!Z1451:Z1455)),AVERAGE('20250815_ETF_Options_Exhibits'!Z1451:Z1455),"")</f>
        <v/>
      </c>
      <c r="AA1455" s="3">
        <f>IF(ISNUMBER(AVERAGE('20250815_ETF_Options_Exhibits'!AA1451:AA1455)),AVERAGE('20250815_ETF_Options_Exhibits'!AA1451:AA1455),"")</f>
        <v/>
      </c>
    </row>
    <row r="1456">
      <c r="A1456" s="1" t="n">
        <v>44113</v>
      </c>
      <c r="B1456" s="3">
        <f>IF(ISNUMBER(AVERAGE('20250815_ETF_Options_Exhibits'!B1452:B1456)),AVERAGE('20250815_ETF_Options_Exhibits'!B1452:B1456),"")</f>
        <v/>
      </c>
      <c r="C1456" s="3">
        <f>IF(ISNUMBER(AVERAGE('20250815_ETF_Options_Exhibits'!C1452:C1456)),AVERAGE('20250815_ETF_Options_Exhibits'!C1452:C1456),"")</f>
        <v/>
      </c>
      <c r="D1456" s="3">
        <f>IF(ISNUMBER(AVERAGE('20250815_ETF_Options_Exhibits'!D1452:D1456)),AVERAGE('20250815_ETF_Options_Exhibits'!D1452:D1456),"")</f>
        <v/>
      </c>
      <c r="E1456" s="3">
        <f>IF(ISNUMBER(AVERAGE('20250815_ETF_Options_Exhibits'!E1452:E1456)),AVERAGE('20250815_ETF_Options_Exhibits'!E1452:E1456),"")</f>
        <v/>
      </c>
      <c r="F1456" s="3">
        <f>IF(ISNUMBER(AVERAGE('20250815_ETF_Options_Exhibits'!F1452:F1456)),AVERAGE('20250815_ETF_Options_Exhibits'!F1452:F1456),"")</f>
        <v/>
      </c>
      <c r="G1456" s="3">
        <f>IF(ISNUMBER(AVERAGE('20250815_ETF_Options_Exhibits'!G1452:G1456)),AVERAGE('20250815_ETF_Options_Exhibits'!G1452:G1456),"")</f>
        <v/>
      </c>
      <c r="H1456" s="3">
        <f>IF(ISNUMBER(AVERAGE('20250815_ETF_Options_Exhibits'!H1452:H1456)),AVERAGE('20250815_ETF_Options_Exhibits'!H1452:H1456),"")</f>
        <v/>
      </c>
      <c r="I1456" s="3">
        <f>IF(ISNUMBER(AVERAGE('20250815_ETF_Options_Exhibits'!I1452:I1456)),AVERAGE('20250815_ETF_Options_Exhibits'!I1452:I1456),"")</f>
        <v/>
      </c>
      <c r="J1456" s="3">
        <f>IF(ISNUMBER(AVERAGE('20250815_ETF_Options_Exhibits'!J1452:J1456)),AVERAGE('20250815_ETF_Options_Exhibits'!J1452:J1456),"")</f>
        <v/>
      </c>
      <c r="K1456" s="3">
        <f>IF(ISNUMBER(AVERAGE('20250815_ETF_Options_Exhibits'!K1452:K1456)),AVERAGE('20250815_ETF_Options_Exhibits'!K1452:K1456),"")</f>
        <v/>
      </c>
      <c r="L1456" s="3">
        <f>IF(ISNUMBER(AVERAGE('20250815_ETF_Options_Exhibits'!L1452:L1456)),AVERAGE('20250815_ETF_Options_Exhibits'!L1452:L1456),"")</f>
        <v/>
      </c>
      <c r="M1456" s="3">
        <f>IF(ISNUMBER(AVERAGE('20250815_ETF_Options_Exhibits'!M1452:M1456)),AVERAGE('20250815_ETF_Options_Exhibits'!M1452:M1456),"")</f>
        <v/>
      </c>
      <c r="N1456" s="3">
        <f>IF(ISNUMBER(AVERAGE('20250815_ETF_Options_Exhibits'!N1452:N1456)),AVERAGE('20250815_ETF_Options_Exhibits'!N1452:N1456),"")</f>
        <v/>
      </c>
      <c r="O1456" s="3">
        <f>IF(ISNUMBER(AVERAGE('20250815_ETF_Options_Exhibits'!O1452:O1456)),AVERAGE('20250815_ETF_Options_Exhibits'!O1452:O1456),"")</f>
        <v/>
      </c>
      <c r="P1456" s="3">
        <f>IF(ISNUMBER(AVERAGE('20250815_ETF_Options_Exhibits'!P1452:P1456)),AVERAGE('20250815_ETF_Options_Exhibits'!P1452:P1456),"")</f>
        <v/>
      </c>
      <c r="Q1456" s="3">
        <f>IF(ISNUMBER(AVERAGE('20250815_ETF_Options_Exhibits'!Q1452:Q1456)),AVERAGE('20250815_ETF_Options_Exhibits'!Q1452:Q1456),"")</f>
        <v/>
      </c>
      <c r="R1456" s="3">
        <f>IF(ISNUMBER(AVERAGE('20250815_ETF_Options_Exhibits'!R1452:R1456)),AVERAGE('20250815_ETF_Options_Exhibits'!R1452:R1456),"")</f>
        <v/>
      </c>
      <c r="S1456" s="3">
        <f>IF(ISNUMBER(AVERAGE('20250815_ETF_Options_Exhibits'!S1452:S1456)),AVERAGE('20250815_ETF_Options_Exhibits'!S1452:S1456),"")</f>
        <v/>
      </c>
      <c r="T1456" s="3">
        <f>IF(ISNUMBER(AVERAGE('20250815_ETF_Options_Exhibits'!T1452:T1456)),AVERAGE('20250815_ETF_Options_Exhibits'!T1452:T1456),"")</f>
        <v/>
      </c>
      <c r="U1456" s="3">
        <f>IF(ISNUMBER(AVERAGE('20250815_ETF_Options_Exhibits'!U1452:U1456)),AVERAGE('20250815_ETF_Options_Exhibits'!U1452:U1456),"")</f>
        <v/>
      </c>
      <c r="V1456" s="3">
        <f>IF(ISNUMBER(AVERAGE('20250815_ETF_Options_Exhibits'!V1452:V1456)),AVERAGE('20250815_ETF_Options_Exhibits'!V1452:V1456),"")</f>
        <v/>
      </c>
      <c r="W1456" s="3">
        <f>IF(ISNUMBER(AVERAGE('20250815_ETF_Options_Exhibits'!W1452:W1456)),AVERAGE('20250815_ETF_Options_Exhibits'!W1452:W1456),"")</f>
        <v/>
      </c>
      <c r="X1456" s="3">
        <f>IF(ISNUMBER(AVERAGE('20250815_ETF_Options_Exhibits'!X1452:X1456)),AVERAGE('20250815_ETF_Options_Exhibits'!X1452:X1456),"")</f>
        <v/>
      </c>
      <c r="Y1456" s="3">
        <f>IF(ISNUMBER(AVERAGE('20250815_ETF_Options_Exhibits'!Y1452:Y1456)),AVERAGE('20250815_ETF_Options_Exhibits'!Y1452:Y1456),"")</f>
        <v/>
      </c>
      <c r="Z1456" s="3">
        <f>IF(ISNUMBER(AVERAGE('20250815_ETF_Options_Exhibits'!Z1452:Z1456)),AVERAGE('20250815_ETF_Options_Exhibits'!Z1452:Z1456),"")</f>
        <v/>
      </c>
      <c r="AA1456" s="3">
        <f>IF(ISNUMBER(AVERAGE('20250815_ETF_Options_Exhibits'!AA1452:AA1456)),AVERAGE('20250815_ETF_Options_Exhibits'!AA1452:AA1456),"")</f>
        <v/>
      </c>
    </row>
    <row r="1457">
      <c r="A1457" s="1" t="n">
        <v>44116</v>
      </c>
      <c r="B1457" s="3">
        <f>IF(ISNUMBER(AVERAGE('20250815_ETF_Options_Exhibits'!B1453:B1457)),AVERAGE('20250815_ETF_Options_Exhibits'!B1453:B1457),"")</f>
        <v/>
      </c>
      <c r="C1457" s="3">
        <f>IF(ISNUMBER(AVERAGE('20250815_ETF_Options_Exhibits'!C1453:C1457)),AVERAGE('20250815_ETF_Options_Exhibits'!C1453:C1457),"")</f>
        <v/>
      </c>
      <c r="D1457" s="3">
        <f>IF(ISNUMBER(AVERAGE('20250815_ETF_Options_Exhibits'!D1453:D1457)),AVERAGE('20250815_ETF_Options_Exhibits'!D1453:D1457),"")</f>
        <v/>
      </c>
      <c r="E1457" s="3">
        <f>IF(ISNUMBER(AVERAGE('20250815_ETF_Options_Exhibits'!E1453:E1457)),AVERAGE('20250815_ETF_Options_Exhibits'!E1453:E1457),"")</f>
        <v/>
      </c>
      <c r="F1457" s="3">
        <f>IF(ISNUMBER(AVERAGE('20250815_ETF_Options_Exhibits'!F1453:F1457)),AVERAGE('20250815_ETF_Options_Exhibits'!F1453:F1457),"")</f>
        <v/>
      </c>
      <c r="G1457" s="3">
        <f>IF(ISNUMBER(AVERAGE('20250815_ETF_Options_Exhibits'!G1453:G1457)),AVERAGE('20250815_ETF_Options_Exhibits'!G1453:G1457),"")</f>
        <v/>
      </c>
      <c r="H1457" s="3">
        <f>IF(ISNUMBER(AVERAGE('20250815_ETF_Options_Exhibits'!H1453:H1457)),AVERAGE('20250815_ETF_Options_Exhibits'!H1453:H1457),"")</f>
        <v/>
      </c>
      <c r="I1457" s="3">
        <f>IF(ISNUMBER(AVERAGE('20250815_ETF_Options_Exhibits'!I1453:I1457)),AVERAGE('20250815_ETF_Options_Exhibits'!I1453:I1457),"")</f>
        <v/>
      </c>
      <c r="J1457" s="3">
        <f>IF(ISNUMBER(AVERAGE('20250815_ETF_Options_Exhibits'!J1453:J1457)),AVERAGE('20250815_ETF_Options_Exhibits'!J1453:J1457),"")</f>
        <v/>
      </c>
      <c r="K1457" s="3">
        <f>IF(ISNUMBER(AVERAGE('20250815_ETF_Options_Exhibits'!K1453:K1457)),AVERAGE('20250815_ETF_Options_Exhibits'!K1453:K1457),"")</f>
        <v/>
      </c>
      <c r="L1457" s="3">
        <f>IF(ISNUMBER(AVERAGE('20250815_ETF_Options_Exhibits'!L1453:L1457)),AVERAGE('20250815_ETF_Options_Exhibits'!L1453:L1457),"")</f>
        <v/>
      </c>
      <c r="M1457" s="3">
        <f>IF(ISNUMBER(AVERAGE('20250815_ETF_Options_Exhibits'!M1453:M1457)),AVERAGE('20250815_ETF_Options_Exhibits'!M1453:M1457),"")</f>
        <v/>
      </c>
      <c r="N1457" s="3">
        <f>IF(ISNUMBER(AVERAGE('20250815_ETF_Options_Exhibits'!N1453:N1457)),AVERAGE('20250815_ETF_Options_Exhibits'!N1453:N1457),"")</f>
        <v/>
      </c>
      <c r="O1457" s="3">
        <f>IF(ISNUMBER(AVERAGE('20250815_ETF_Options_Exhibits'!O1453:O1457)),AVERAGE('20250815_ETF_Options_Exhibits'!O1453:O1457),"")</f>
        <v/>
      </c>
      <c r="P1457" s="3">
        <f>IF(ISNUMBER(AVERAGE('20250815_ETF_Options_Exhibits'!P1453:P1457)),AVERAGE('20250815_ETF_Options_Exhibits'!P1453:P1457),"")</f>
        <v/>
      </c>
      <c r="Q1457" s="3">
        <f>IF(ISNUMBER(AVERAGE('20250815_ETF_Options_Exhibits'!Q1453:Q1457)),AVERAGE('20250815_ETF_Options_Exhibits'!Q1453:Q1457),"")</f>
        <v/>
      </c>
      <c r="R1457" s="3">
        <f>IF(ISNUMBER(AVERAGE('20250815_ETF_Options_Exhibits'!R1453:R1457)),AVERAGE('20250815_ETF_Options_Exhibits'!R1453:R1457),"")</f>
        <v/>
      </c>
      <c r="S1457" s="3">
        <f>IF(ISNUMBER(AVERAGE('20250815_ETF_Options_Exhibits'!S1453:S1457)),AVERAGE('20250815_ETF_Options_Exhibits'!S1453:S1457),"")</f>
        <v/>
      </c>
      <c r="T1457" s="3">
        <f>IF(ISNUMBER(AVERAGE('20250815_ETF_Options_Exhibits'!T1453:T1457)),AVERAGE('20250815_ETF_Options_Exhibits'!T1453:T1457),"")</f>
        <v/>
      </c>
      <c r="U1457" s="3">
        <f>IF(ISNUMBER(AVERAGE('20250815_ETF_Options_Exhibits'!U1453:U1457)),AVERAGE('20250815_ETF_Options_Exhibits'!U1453:U1457),"")</f>
        <v/>
      </c>
      <c r="V1457" s="3">
        <f>IF(ISNUMBER(AVERAGE('20250815_ETF_Options_Exhibits'!V1453:V1457)),AVERAGE('20250815_ETF_Options_Exhibits'!V1453:V1457),"")</f>
        <v/>
      </c>
      <c r="W1457" s="3">
        <f>IF(ISNUMBER(AVERAGE('20250815_ETF_Options_Exhibits'!W1453:W1457)),AVERAGE('20250815_ETF_Options_Exhibits'!W1453:W1457),"")</f>
        <v/>
      </c>
      <c r="X1457" s="3">
        <f>IF(ISNUMBER(AVERAGE('20250815_ETF_Options_Exhibits'!X1453:X1457)),AVERAGE('20250815_ETF_Options_Exhibits'!X1453:X1457),"")</f>
        <v/>
      </c>
      <c r="Y1457" s="3">
        <f>IF(ISNUMBER(AVERAGE('20250815_ETF_Options_Exhibits'!Y1453:Y1457)),AVERAGE('20250815_ETF_Options_Exhibits'!Y1453:Y1457),"")</f>
        <v/>
      </c>
      <c r="Z1457" s="3">
        <f>IF(ISNUMBER(AVERAGE('20250815_ETF_Options_Exhibits'!Z1453:Z1457)),AVERAGE('20250815_ETF_Options_Exhibits'!Z1453:Z1457),"")</f>
        <v/>
      </c>
      <c r="AA1457" s="3">
        <f>IF(ISNUMBER(AVERAGE('20250815_ETF_Options_Exhibits'!AA1453:AA1457)),AVERAGE('20250815_ETF_Options_Exhibits'!AA1453:AA1457),"")</f>
        <v/>
      </c>
    </row>
    <row r="1458">
      <c r="A1458" s="1" t="n">
        <v>44117</v>
      </c>
      <c r="B1458" s="3">
        <f>IF(ISNUMBER(AVERAGE('20250815_ETF_Options_Exhibits'!B1454:B1458)),AVERAGE('20250815_ETF_Options_Exhibits'!B1454:B1458),"")</f>
        <v/>
      </c>
      <c r="C1458" s="3">
        <f>IF(ISNUMBER(AVERAGE('20250815_ETF_Options_Exhibits'!C1454:C1458)),AVERAGE('20250815_ETF_Options_Exhibits'!C1454:C1458),"")</f>
        <v/>
      </c>
      <c r="D1458" s="3">
        <f>IF(ISNUMBER(AVERAGE('20250815_ETF_Options_Exhibits'!D1454:D1458)),AVERAGE('20250815_ETF_Options_Exhibits'!D1454:D1458),"")</f>
        <v/>
      </c>
      <c r="E1458" s="3">
        <f>IF(ISNUMBER(AVERAGE('20250815_ETF_Options_Exhibits'!E1454:E1458)),AVERAGE('20250815_ETF_Options_Exhibits'!E1454:E1458),"")</f>
        <v/>
      </c>
      <c r="F1458" s="3">
        <f>IF(ISNUMBER(AVERAGE('20250815_ETF_Options_Exhibits'!F1454:F1458)),AVERAGE('20250815_ETF_Options_Exhibits'!F1454:F1458),"")</f>
        <v/>
      </c>
      <c r="G1458" s="3">
        <f>IF(ISNUMBER(AVERAGE('20250815_ETF_Options_Exhibits'!G1454:G1458)),AVERAGE('20250815_ETF_Options_Exhibits'!G1454:G1458),"")</f>
        <v/>
      </c>
      <c r="H1458" s="3">
        <f>IF(ISNUMBER(AVERAGE('20250815_ETF_Options_Exhibits'!H1454:H1458)),AVERAGE('20250815_ETF_Options_Exhibits'!H1454:H1458),"")</f>
        <v/>
      </c>
      <c r="I1458" s="3">
        <f>IF(ISNUMBER(AVERAGE('20250815_ETF_Options_Exhibits'!I1454:I1458)),AVERAGE('20250815_ETF_Options_Exhibits'!I1454:I1458),"")</f>
        <v/>
      </c>
      <c r="J1458" s="3">
        <f>IF(ISNUMBER(AVERAGE('20250815_ETF_Options_Exhibits'!J1454:J1458)),AVERAGE('20250815_ETF_Options_Exhibits'!J1454:J1458),"")</f>
        <v/>
      </c>
      <c r="K1458" s="3">
        <f>IF(ISNUMBER(AVERAGE('20250815_ETF_Options_Exhibits'!K1454:K1458)),AVERAGE('20250815_ETF_Options_Exhibits'!K1454:K1458),"")</f>
        <v/>
      </c>
      <c r="L1458" s="3">
        <f>IF(ISNUMBER(AVERAGE('20250815_ETF_Options_Exhibits'!L1454:L1458)),AVERAGE('20250815_ETF_Options_Exhibits'!L1454:L1458),"")</f>
        <v/>
      </c>
      <c r="M1458" s="3">
        <f>IF(ISNUMBER(AVERAGE('20250815_ETF_Options_Exhibits'!M1454:M1458)),AVERAGE('20250815_ETF_Options_Exhibits'!M1454:M1458),"")</f>
        <v/>
      </c>
      <c r="N1458" s="3">
        <f>IF(ISNUMBER(AVERAGE('20250815_ETF_Options_Exhibits'!N1454:N1458)),AVERAGE('20250815_ETF_Options_Exhibits'!N1454:N1458),"")</f>
        <v/>
      </c>
      <c r="O1458" s="3">
        <f>IF(ISNUMBER(AVERAGE('20250815_ETF_Options_Exhibits'!O1454:O1458)),AVERAGE('20250815_ETF_Options_Exhibits'!O1454:O1458),"")</f>
        <v/>
      </c>
      <c r="P1458" s="3">
        <f>IF(ISNUMBER(AVERAGE('20250815_ETF_Options_Exhibits'!P1454:P1458)),AVERAGE('20250815_ETF_Options_Exhibits'!P1454:P1458),"")</f>
        <v/>
      </c>
      <c r="Q1458" s="3">
        <f>IF(ISNUMBER(AVERAGE('20250815_ETF_Options_Exhibits'!Q1454:Q1458)),AVERAGE('20250815_ETF_Options_Exhibits'!Q1454:Q1458),"")</f>
        <v/>
      </c>
      <c r="R1458" s="3">
        <f>IF(ISNUMBER(AVERAGE('20250815_ETF_Options_Exhibits'!R1454:R1458)),AVERAGE('20250815_ETF_Options_Exhibits'!R1454:R1458),"")</f>
        <v/>
      </c>
      <c r="S1458" s="3">
        <f>IF(ISNUMBER(AVERAGE('20250815_ETF_Options_Exhibits'!S1454:S1458)),AVERAGE('20250815_ETF_Options_Exhibits'!S1454:S1458),"")</f>
        <v/>
      </c>
      <c r="T1458" s="3">
        <f>IF(ISNUMBER(AVERAGE('20250815_ETF_Options_Exhibits'!T1454:T1458)),AVERAGE('20250815_ETF_Options_Exhibits'!T1454:T1458),"")</f>
        <v/>
      </c>
      <c r="U1458" s="3">
        <f>IF(ISNUMBER(AVERAGE('20250815_ETF_Options_Exhibits'!U1454:U1458)),AVERAGE('20250815_ETF_Options_Exhibits'!U1454:U1458),"")</f>
        <v/>
      </c>
      <c r="V1458" s="3">
        <f>IF(ISNUMBER(AVERAGE('20250815_ETF_Options_Exhibits'!V1454:V1458)),AVERAGE('20250815_ETF_Options_Exhibits'!V1454:V1458),"")</f>
        <v/>
      </c>
      <c r="W1458" s="3">
        <f>IF(ISNUMBER(AVERAGE('20250815_ETF_Options_Exhibits'!W1454:W1458)),AVERAGE('20250815_ETF_Options_Exhibits'!W1454:W1458),"")</f>
        <v/>
      </c>
      <c r="X1458" s="3">
        <f>IF(ISNUMBER(AVERAGE('20250815_ETF_Options_Exhibits'!X1454:X1458)),AVERAGE('20250815_ETF_Options_Exhibits'!X1454:X1458),"")</f>
        <v/>
      </c>
      <c r="Y1458" s="3">
        <f>IF(ISNUMBER(AVERAGE('20250815_ETF_Options_Exhibits'!Y1454:Y1458)),AVERAGE('20250815_ETF_Options_Exhibits'!Y1454:Y1458),"")</f>
        <v/>
      </c>
      <c r="Z1458" s="3">
        <f>IF(ISNUMBER(AVERAGE('20250815_ETF_Options_Exhibits'!Z1454:Z1458)),AVERAGE('20250815_ETF_Options_Exhibits'!Z1454:Z1458),"")</f>
        <v/>
      </c>
      <c r="AA1458" s="3">
        <f>IF(ISNUMBER(AVERAGE('20250815_ETF_Options_Exhibits'!AA1454:AA1458)),AVERAGE('20250815_ETF_Options_Exhibits'!AA1454:AA1458),"")</f>
        <v/>
      </c>
    </row>
    <row r="1459">
      <c r="A1459" s="1" t="n">
        <v>44118</v>
      </c>
      <c r="B1459" s="3">
        <f>IF(ISNUMBER(AVERAGE('20250815_ETF_Options_Exhibits'!B1455:B1459)),AVERAGE('20250815_ETF_Options_Exhibits'!B1455:B1459),"")</f>
        <v/>
      </c>
      <c r="C1459" s="3">
        <f>IF(ISNUMBER(AVERAGE('20250815_ETF_Options_Exhibits'!C1455:C1459)),AVERAGE('20250815_ETF_Options_Exhibits'!C1455:C1459),"")</f>
        <v/>
      </c>
      <c r="D1459" s="3">
        <f>IF(ISNUMBER(AVERAGE('20250815_ETF_Options_Exhibits'!D1455:D1459)),AVERAGE('20250815_ETF_Options_Exhibits'!D1455:D1459),"")</f>
        <v/>
      </c>
      <c r="E1459" s="3">
        <f>IF(ISNUMBER(AVERAGE('20250815_ETF_Options_Exhibits'!E1455:E1459)),AVERAGE('20250815_ETF_Options_Exhibits'!E1455:E1459),"")</f>
        <v/>
      </c>
      <c r="F1459" s="3">
        <f>IF(ISNUMBER(AVERAGE('20250815_ETF_Options_Exhibits'!F1455:F1459)),AVERAGE('20250815_ETF_Options_Exhibits'!F1455:F1459),"")</f>
        <v/>
      </c>
      <c r="G1459" s="3">
        <f>IF(ISNUMBER(AVERAGE('20250815_ETF_Options_Exhibits'!G1455:G1459)),AVERAGE('20250815_ETF_Options_Exhibits'!G1455:G1459),"")</f>
        <v/>
      </c>
      <c r="H1459" s="3">
        <f>IF(ISNUMBER(AVERAGE('20250815_ETF_Options_Exhibits'!H1455:H1459)),AVERAGE('20250815_ETF_Options_Exhibits'!H1455:H1459),"")</f>
        <v/>
      </c>
      <c r="I1459" s="3">
        <f>IF(ISNUMBER(AVERAGE('20250815_ETF_Options_Exhibits'!I1455:I1459)),AVERAGE('20250815_ETF_Options_Exhibits'!I1455:I1459),"")</f>
        <v/>
      </c>
      <c r="J1459" s="3">
        <f>IF(ISNUMBER(AVERAGE('20250815_ETF_Options_Exhibits'!J1455:J1459)),AVERAGE('20250815_ETF_Options_Exhibits'!J1455:J1459),"")</f>
        <v/>
      </c>
      <c r="K1459" s="3">
        <f>IF(ISNUMBER(AVERAGE('20250815_ETF_Options_Exhibits'!K1455:K1459)),AVERAGE('20250815_ETF_Options_Exhibits'!K1455:K1459),"")</f>
        <v/>
      </c>
      <c r="L1459" s="3">
        <f>IF(ISNUMBER(AVERAGE('20250815_ETF_Options_Exhibits'!L1455:L1459)),AVERAGE('20250815_ETF_Options_Exhibits'!L1455:L1459),"")</f>
        <v/>
      </c>
      <c r="M1459" s="3">
        <f>IF(ISNUMBER(AVERAGE('20250815_ETF_Options_Exhibits'!M1455:M1459)),AVERAGE('20250815_ETF_Options_Exhibits'!M1455:M1459),"")</f>
        <v/>
      </c>
      <c r="N1459" s="3">
        <f>IF(ISNUMBER(AVERAGE('20250815_ETF_Options_Exhibits'!N1455:N1459)),AVERAGE('20250815_ETF_Options_Exhibits'!N1455:N1459),"")</f>
        <v/>
      </c>
      <c r="O1459" s="3">
        <f>IF(ISNUMBER(AVERAGE('20250815_ETF_Options_Exhibits'!O1455:O1459)),AVERAGE('20250815_ETF_Options_Exhibits'!O1455:O1459),"")</f>
        <v/>
      </c>
      <c r="P1459" s="3">
        <f>IF(ISNUMBER(AVERAGE('20250815_ETF_Options_Exhibits'!P1455:P1459)),AVERAGE('20250815_ETF_Options_Exhibits'!P1455:P1459),"")</f>
        <v/>
      </c>
      <c r="Q1459" s="3">
        <f>IF(ISNUMBER(AVERAGE('20250815_ETF_Options_Exhibits'!Q1455:Q1459)),AVERAGE('20250815_ETF_Options_Exhibits'!Q1455:Q1459),"")</f>
        <v/>
      </c>
      <c r="R1459" s="3">
        <f>IF(ISNUMBER(AVERAGE('20250815_ETF_Options_Exhibits'!R1455:R1459)),AVERAGE('20250815_ETF_Options_Exhibits'!R1455:R1459),"")</f>
        <v/>
      </c>
      <c r="S1459" s="3">
        <f>IF(ISNUMBER(AVERAGE('20250815_ETF_Options_Exhibits'!S1455:S1459)),AVERAGE('20250815_ETF_Options_Exhibits'!S1455:S1459),"")</f>
        <v/>
      </c>
      <c r="T1459" s="3">
        <f>IF(ISNUMBER(AVERAGE('20250815_ETF_Options_Exhibits'!T1455:T1459)),AVERAGE('20250815_ETF_Options_Exhibits'!T1455:T1459),"")</f>
        <v/>
      </c>
      <c r="U1459" s="3">
        <f>IF(ISNUMBER(AVERAGE('20250815_ETF_Options_Exhibits'!U1455:U1459)),AVERAGE('20250815_ETF_Options_Exhibits'!U1455:U1459),"")</f>
        <v/>
      </c>
      <c r="V1459" s="3">
        <f>IF(ISNUMBER(AVERAGE('20250815_ETF_Options_Exhibits'!V1455:V1459)),AVERAGE('20250815_ETF_Options_Exhibits'!V1455:V1459),"")</f>
        <v/>
      </c>
      <c r="W1459" s="3">
        <f>IF(ISNUMBER(AVERAGE('20250815_ETF_Options_Exhibits'!W1455:W1459)),AVERAGE('20250815_ETF_Options_Exhibits'!W1455:W1459),"")</f>
        <v/>
      </c>
      <c r="X1459" s="3">
        <f>IF(ISNUMBER(AVERAGE('20250815_ETF_Options_Exhibits'!X1455:X1459)),AVERAGE('20250815_ETF_Options_Exhibits'!X1455:X1459),"")</f>
        <v/>
      </c>
      <c r="Y1459" s="3">
        <f>IF(ISNUMBER(AVERAGE('20250815_ETF_Options_Exhibits'!Y1455:Y1459)),AVERAGE('20250815_ETF_Options_Exhibits'!Y1455:Y1459),"")</f>
        <v/>
      </c>
      <c r="Z1459" s="3">
        <f>IF(ISNUMBER(AVERAGE('20250815_ETF_Options_Exhibits'!Z1455:Z1459)),AVERAGE('20250815_ETF_Options_Exhibits'!Z1455:Z1459),"")</f>
        <v/>
      </c>
      <c r="AA1459" s="3">
        <f>IF(ISNUMBER(AVERAGE('20250815_ETF_Options_Exhibits'!AA1455:AA1459)),AVERAGE('20250815_ETF_Options_Exhibits'!AA1455:AA1459),"")</f>
        <v/>
      </c>
    </row>
    <row r="1460">
      <c r="A1460" s="1" t="n">
        <v>44119</v>
      </c>
      <c r="B1460" s="3">
        <f>IF(ISNUMBER(AVERAGE('20250815_ETF_Options_Exhibits'!B1456:B1460)),AVERAGE('20250815_ETF_Options_Exhibits'!B1456:B1460),"")</f>
        <v/>
      </c>
      <c r="C1460" s="3">
        <f>IF(ISNUMBER(AVERAGE('20250815_ETF_Options_Exhibits'!C1456:C1460)),AVERAGE('20250815_ETF_Options_Exhibits'!C1456:C1460),"")</f>
        <v/>
      </c>
      <c r="D1460" s="3">
        <f>IF(ISNUMBER(AVERAGE('20250815_ETF_Options_Exhibits'!D1456:D1460)),AVERAGE('20250815_ETF_Options_Exhibits'!D1456:D1460),"")</f>
        <v/>
      </c>
      <c r="E1460" s="3">
        <f>IF(ISNUMBER(AVERAGE('20250815_ETF_Options_Exhibits'!E1456:E1460)),AVERAGE('20250815_ETF_Options_Exhibits'!E1456:E1460),"")</f>
        <v/>
      </c>
      <c r="F1460" s="3">
        <f>IF(ISNUMBER(AVERAGE('20250815_ETF_Options_Exhibits'!F1456:F1460)),AVERAGE('20250815_ETF_Options_Exhibits'!F1456:F1460),"")</f>
        <v/>
      </c>
      <c r="G1460" s="3">
        <f>IF(ISNUMBER(AVERAGE('20250815_ETF_Options_Exhibits'!G1456:G1460)),AVERAGE('20250815_ETF_Options_Exhibits'!G1456:G1460),"")</f>
        <v/>
      </c>
      <c r="H1460" s="3">
        <f>IF(ISNUMBER(AVERAGE('20250815_ETF_Options_Exhibits'!H1456:H1460)),AVERAGE('20250815_ETF_Options_Exhibits'!H1456:H1460),"")</f>
        <v/>
      </c>
      <c r="I1460" s="3">
        <f>IF(ISNUMBER(AVERAGE('20250815_ETF_Options_Exhibits'!I1456:I1460)),AVERAGE('20250815_ETF_Options_Exhibits'!I1456:I1460),"")</f>
        <v/>
      </c>
      <c r="J1460" s="3">
        <f>IF(ISNUMBER(AVERAGE('20250815_ETF_Options_Exhibits'!J1456:J1460)),AVERAGE('20250815_ETF_Options_Exhibits'!J1456:J1460),"")</f>
        <v/>
      </c>
      <c r="K1460" s="3">
        <f>IF(ISNUMBER(AVERAGE('20250815_ETF_Options_Exhibits'!K1456:K1460)),AVERAGE('20250815_ETF_Options_Exhibits'!K1456:K1460),"")</f>
        <v/>
      </c>
      <c r="L1460" s="3">
        <f>IF(ISNUMBER(AVERAGE('20250815_ETF_Options_Exhibits'!L1456:L1460)),AVERAGE('20250815_ETF_Options_Exhibits'!L1456:L1460),"")</f>
        <v/>
      </c>
      <c r="M1460" s="3">
        <f>IF(ISNUMBER(AVERAGE('20250815_ETF_Options_Exhibits'!M1456:M1460)),AVERAGE('20250815_ETF_Options_Exhibits'!M1456:M1460),"")</f>
        <v/>
      </c>
      <c r="N1460" s="3">
        <f>IF(ISNUMBER(AVERAGE('20250815_ETF_Options_Exhibits'!N1456:N1460)),AVERAGE('20250815_ETF_Options_Exhibits'!N1456:N1460),"")</f>
        <v/>
      </c>
      <c r="O1460" s="3">
        <f>IF(ISNUMBER(AVERAGE('20250815_ETF_Options_Exhibits'!O1456:O1460)),AVERAGE('20250815_ETF_Options_Exhibits'!O1456:O1460),"")</f>
        <v/>
      </c>
      <c r="P1460" s="3">
        <f>IF(ISNUMBER(AVERAGE('20250815_ETF_Options_Exhibits'!P1456:P1460)),AVERAGE('20250815_ETF_Options_Exhibits'!P1456:P1460),"")</f>
        <v/>
      </c>
      <c r="Q1460" s="3">
        <f>IF(ISNUMBER(AVERAGE('20250815_ETF_Options_Exhibits'!Q1456:Q1460)),AVERAGE('20250815_ETF_Options_Exhibits'!Q1456:Q1460),"")</f>
        <v/>
      </c>
      <c r="R1460" s="3">
        <f>IF(ISNUMBER(AVERAGE('20250815_ETF_Options_Exhibits'!R1456:R1460)),AVERAGE('20250815_ETF_Options_Exhibits'!R1456:R1460),"")</f>
        <v/>
      </c>
      <c r="S1460" s="3">
        <f>IF(ISNUMBER(AVERAGE('20250815_ETF_Options_Exhibits'!S1456:S1460)),AVERAGE('20250815_ETF_Options_Exhibits'!S1456:S1460),"")</f>
        <v/>
      </c>
      <c r="T1460" s="3">
        <f>IF(ISNUMBER(AVERAGE('20250815_ETF_Options_Exhibits'!T1456:T1460)),AVERAGE('20250815_ETF_Options_Exhibits'!T1456:T1460),"")</f>
        <v/>
      </c>
      <c r="U1460" s="3">
        <f>IF(ISNUMBER(AVERAGE('20250815_ETF_Options_Exhibits'!U1456:U1460)),AVERAGE('20250815_ETF_Options_Exhibits'!U1456:U1460),"")</f>
        <v/>
      </c>
      <c r="V1460" s="3">
        <f>IF(ISNUMBER(AVERAGE('20250815_ETF_Options_Exhibits'!V1456:V1460)),AVERAGE('20250815_ETF_Options_Exhibits'!V1456:V1460),"")</f>
        <v/>
      </c>
      <c r="W1460" s="3">
        <f>IF(ISNUMBER(AVERAGE('20250815_ETF_Options_Exhibits'!W1456:W1460)),AVERAGE('20250815_ETF_Options_Exhibits'!W1456:W1460),"")</f>
        <v/>
      </c>
      <c r="X1460" s="3">
        <f>IF(ISNUMBER(AVERAGE('20250815_ETF_Options_Exhibits'!X1456:X1460)),AVERAGE('20250815_ETF_Options_Exhibits'!X1456:X1460),"")</f>
        <v/>
      </c>
      <c r="Y1460" s="3">
        <f>IF(ISNUMBER(AVERAGE('20250815_ETF_Options_Exhibits'!Y1456:Y1460)),AVERAGE('20250815_ETF_Options_Exhibits'!Y1456:Y1460),"")</f>
        <v/>
      </c>
      <c r="Z1460" s="3">
        <f>IF(ISNUMBER(AVERAGE('20250815_ETF_Options_Exhibits'!Z1456:Z1460)),AVERAGE('20250815_ETF_Options_Exhibits'!Z1456:Z1460),"")</f>
        <v/>
      </c>
      <c r="AA1460" s="3">
        <f>IF(ISNUMBER(AVERAGE('20250815_ETF_Options_Exhibits'!AA1456:AA1460)),AVERAGE('20250815_ETF_Options_Exhibits'!AA1456:AA1460),"")</f>
        <v/>
      </c>
    </row>
    <row r="1461">
      <c r="A1461" s="1" t="n">
        <v>44120</v>
      </c>
      <c r="B1461" s="3">
        <f>IF(ISNUMBER(AVERAGE('20250815_ETF_Options_Exhibits'!B1457:B1461)),AVERAGE('20250815_ETF_Options_Exhibits'!B1457:B1461),"")</f>
        <v/>
      </c>
      <c r="C1461" s="3">
        <f>IF(ISNUMBER(AVERAGE('20250815_ETF_Options_Exhibits'!C1457:C1461)),AVERAGE('20250815_ETF_Options_Exhibits'!C1457:C1461),"")</f>
        <v/>
      </c>
      <c r="D1461" s="3">
        <f>IF(ISNUMBER(AVERAGE('20250815_ETF_Options_Exhibits'!D1457:D1461)),AVERAGE('20250815_ETF_Options_Exhibits'!D1457:D1461),"")</f>
        <v/>
      </c>
      <c r="E1461" s="3">
        <f>IF(ISNUMBER(AVERAGE('20250815_ETF_Options_Exhibits'!E1457:E1461)),AVERAGE('20250815_ETF_Options_Exhibits'!E1457:E1461),"")</f>
        <v/>
      </c>
      <c r="F1461" s="3">
        <f>IF(ISNUMBER(AVERAGE('20250815_ETF_Options_Exhibits'!F1457:F1461)),AVERAGE('20250815_ETF_Options_Exhibits'!F1457:F1461),"")</f>
        <v/>
      </c>
      <c r="G1461" s="3">
        <f>IF(ISNUMBER(AVERAGE('20250815_ETF_Options_Exhibits'!G1457:G1461)),AVERAGE('20250815_ETF_Options_Exhibits'!G1457:G1461),"")</f>
        <v/>
      </c>
      <c r="H1461" s="3">
        <f>IF(ISNUMBER(AVERAGE('20250815_ETF_Options_Exhibits'!H1457:H1461)),AVERAGE('20250815_ETF_Options_Exhibits'!H1457:H1461),"")</f>
        <v/>
      </c>
      <c r="I1461" s="3">
        <f>IF(ISNUMBER(AVERAGE('20250815_ETF_Options_Exhibits'!I1457:I1461)),AVERAGE('20250815_ETF_Options_Exhibits'!I1457:I1461),"")</f>
        <v/>
      </c>
      <c r="J1461" s="3">
        <f>IF(ISNUMBER(AVERAGE('20250815_ETF_Options_Exhibits'!J1457:J1461)),AVERAGE('20250815_ETF_Options_Exhibits'!J1457:J1461),"")</f>
        <v/>
      </c>
      <c r="K1461" s="3">
        <f>IF(ISNUMBER(AVERAGE('20250815_ETF_Options_Exhibits'!K1457:K1461)),AVERAGE('20250815_ETF_Options_Exhibits'!K1457:K1461),"")</f>
        <v/>
      </c>
      <c r="L1461" s="3">
        <f>IF(ISNUMBER(AVERAGE('20250815_ETF_Options_Exhibits'!L1457:L1461)),AVERAGE('20250815_ETF_Options_Exhibits'!L1457:L1461),"")</f>
        <v/>
      </c>
      <c r="M1461" s="3">
        <f>IF(ISNUMBER(AVERAGE('20250815_ETF_Options_Exhibits'!M1457:M1461)),AVERAGE('20250815_ETF_Options_Exhibits'!M1457:M1461),"")</f>
        <v/>
      </c>
      <c r="N1461" s="3">
        <f>IF(ISNUMBER(AVERAGE('20250815_ETF_Options_Exhibits'!N1457:N1461)),AVERAGE('20250815_ETF_Options_Exhibits'!N1457:N1461),"")</f>
        <v/>
      </c>
      <c r="O1461" s="3">
        <f>IF(ISNUMBER(AVERAGE('20250815_ETF_Options_Exhibits'!O1457:O1461)),AVERAGE('20250815_ETF_Options_Exhibits'!O1457:O1461),"")</f>
        <v/>
      </c>
      <c r="P1461" s="3">
        <f>IF(ISNUMBER(AVERAGE('20250815_ETF_Options_Exhibits'!P1457:P1461)),AVERAGE('20250815_ETF_Options_Exhibits'!P1457:P1461),"")</f>
        <v/>
      </c>
      <c r="Q1461" s="3">
        <f>IF(ISNUMBER(AVERAGE('20250815_ETF_Options_Exhibits'!Q1457:Q1461)),AVERAGE('20250815_ETF_Options_Exhibits'!Q1457:Q1461),"")</f>
        <v/>
      </c>
      <c r="R1461" s="3">
        <f>IF(ISNUMBER(AVERAGE('20250815_ETF_Options_Exhibits'!R1457:R1461)),AVERAGE('20250815_ETF_Options_Exhibits'!R1457:R1461),"")</f>
        <v/>
      </c>
      <c r="S1461" s="3">
        <f>IF(ISNUMBER(AVERAGE('20250815_ETF_Options_Exhibits'!S1457:S1461)),AVERAGE('20250815_ETF_Options_Exhibits'!S1457:S1461),"")</f>
        <v/>
      </c>
      <c r="T1461" s="3">
        <f>IF(ISNUMBER(AVERAGE('20250815_ETF_Options_Exhibits'!T1457:T1461)),AVERAGE('20250815_ETF_Options_Exhibits'!T1457:T1461),"")</f>
        <v/>
      </c>
      <c r="U1461" s="3">
        <f>IF(ISNUMBER(AVERAGE('20250815_ETF_Options_Exhibits'!U1457:U1461)),AVERAGE('20250815_ETF_Options_Exhibits'!U1457:U1461),"")</f>
        <v/>
      </c>
      <c r="V1461" s="3">
        <f>IF(ISNUMBER(AVERAGE('20250815_ETF_Options_Exhibits'!V1457:V1461)),AVERAGE('20250815_ETF_Options_Exhibits'!V1457:V1461),"")</f>
        <v/>
      </c>
      <c r="W1461" s="3">
        <f>IF(ISNUMBER(AVERAGE('20250815_ETF_Options_Exhibits'!W1457:W1461)),AVERAGE('20250815_ETF_Options_Exhibits'!W1457:W1461),"")</f>
        <v/>
      </c>
      <c r="X1461" s="3">
        <f>IF(ISNUMBER(AVERAGE('20250815_ETF_Options_Exhibits'!X1457:X1461)),AVERAGE('20250815_ETF_Options_Exhibits'!X1457:X1461),"")</f>
        <v/>
      </c>
      <c r="Y1461" s="3">
        <f>IF(ISNUMBER(AVERAGE('20250815_ETF_Options_Exhibits'!Y1457:Y1461)),AVERAGE('20250815_ETF_Options_Exhibits'!Y1457:Y1461),"")</f>
        <v/>
      </c>
      <c r="Z1461" s="3">
        <f>IF(ISNUMBER(AVERAGE('20250815_ETF_Options_Exhibits'!Z1457:Z1461)),AVERAGE('20250815_ETF_Options_Exhibits'!Z1457:Z1461),"")</f>
        <v/>
      </c>
      <c r="AA1461" s="3">
        <f>IF(ISNUMBER(AVERAGE('20250815_ETF_Options_Exhibits'!AA1457:AA1461)),AVERAGE('20250815_ETF_Options_Exhibits'!AA1457:AA1461),"")</f>
        <v/>
      </c>
    </row>
    <row r="1462">
      <c r="A1462" s="1" t="n">
        <v>44123</v>
      </c>
      <c r="B1462" s="3">
        <f>IF(ISNUMBER(AVERAGE('20250815_ETF_Options_Exhibits'!B1458:B1462)),AVERAGE('20250815_ETF_Options_Exhibits'!B1458:B1462),"")</f>
        <v/>
      </c>
      <c r="C1462" s="3">
        <f>IF(ISNUMBER(AVERAGE('20250815_ETF_Options_Exhibits'!C1458:C1462)),AVERAGE('20250815_ETF_Options_Exhibits'!C1458:C1462),"")</f>
        <v/>
      </c>
      <c r="D1462" s="3">
        <f>IF(ISNUMBER(AVERAGE('20250815_ETF_Options_Exhibits'!D1458:D1462)),AVERAGE('20250815_ETF_Options_Exhibits'!D1458:D1462),"")</f>
        <v/>
      </c>
      <c r="E1462" s="3">
        <f>IF(ISNUMBER(AVERAGE('20250815_ETF_Options_Exhibits'!E1458:E1462)),AVERAGE('20250815_ETF_Options_Exhibits'!E1458:E1462),"")</f>
        <v/>
      </c>
      <c r="F1462" s="3">
        <f>IF(ISNUMBER(AVERAGE('20250815_ETF_Options_Exhibits'!F1458:F1462)),AVERAGE('20250815_ETF_Options_Exhibits'!F1458:F1462),"")</f>
        <v/>
      </c>
      <c r="G1462" s="3">
        <f>IF(ISNUMBER(AVERAGE('20250815_ETF_Options_Exhibits'!G1458:G1462)),AVERAGE('20250815_ETF_Options_Exhibits'!G1458:G1462),"")</f>
        <v/>
      </c>
      <c r="H1462" s="3">
        <f>IF(ISNUMBER(AVERAGE('20250815_ETF_Options_Exhibits'!H1458:H1462)),AVERAGE('20250815_ETF_Options_Exhibits'!H1458:H1462),"")</f>
        <v/>
      </c>
      <c r="I1462" s="3">
        <f>IF(ISNUMBER(AVERAGE('20250815_ETF_Options_Exhibits'!I1458:I1462)),AVERAGE('20250815_ETF_Options_Exhibits'!I1458:I1462),"")</f>
        <v/>
      </c>
      <c r="J1462" s="3">
        <f>IF(ISNUMBER(AVERAGE('20250815_ETF_Options_Exhibits'!J1458:J1462)),AVERAGE('20250815_ETF_Options_Exhibits'!J1458:J1462),"")</f>
        <v/>
      </c>
      <c r="K1462" s="3">
        <f>IF(ISNUMBER(AVERAGE('20250815_ETF_Options_Exhibits'!K1458:K1462)),AVERAGE('20250815_ETF_Options_Exhibits'!K1458:K1462),"")</f>
        <v/>
      </c>
      <c r="L1462" s="3">
        <f>IF(ISNUMBER(AVERAGE('20250815_ETF_Options_Exhibits'!L1458:L1462)),AVERAGE('20250815_ETF_Options_Exhibits'!L1458:L1462),"")</f>
        <v/>
      </c>
      <c r="M1462" s="3">
        <f>IF(ISNUMBER(AVERAGE('20250815_ETF_Options_Exhibits'!M1458:M1462)),AVERAGE('20250815_ETF_Options_Exhibits'!M1458:M1462),"")</f>
        <v/>
      </c>
      <c r="N1462" s="3">
        <f>IF(ISNUMBER(AVERAGE('20250815_ETF_Options_Exhibits'!N1458:N1462)),AVERAGE('20250815_ETF_Options_Exhibits'!N1458:N1462),"")</f>
        <v/>
      </c>
      <c r="O1462" s="3">
        <f>IF(ISNUMBER(AVERAGE('20250815_ETF_Options_Exhibits'!O1458:O1462)),AVERAGE('20250815_ETF_Options_Exhibits'!O1458:O1462),"")</f>
        <v/>
      </c>
      <c r="P1462" s="3">
        <f>IF(ISNUMBER(AVERAGE('20250815_ETF_Options_Exhibits'!P1458:P1462)),AVERAGE('20250815_ETF_Options_Exhibits'!P1458:P1462),"")</f>
        <v/>
      </c>
      <c r="Q1462" s="3">
        <f>IF(ISNUMBER(AVERAGE('20250815_ETF_Options_Exhibits'!Q1458:Q1462)),AVERAGE('20250815_ETF_Options_Exhibits'!Q1458:Q1462),"")</f>
        <v/>
      </c>
      <c r="R1462" s="3">
        <f>IF(ISNUMBER(AVERAGE('20250815_ETF_Options_Exhibits'!R1458:R1462)),AVERAGE('20250815_ETF_Options_Exhibits'!R1458:R1462),"")</f>
        <v/>
      </c>
      <c r="S1462" s="3">
        <f>IF(ISNUMBER(AVERAGE('20250815_ETF_Options_Exhibits'!S1458:S1462)),AVERAGE('20250815_ETF_Options_Exhibits'!S1458:S1462),"")</f>
        <v/>
      </c>
      <c r="T1462" s="3">
        <f>IF(ISNUMBER(AVERAGE('20250815_ETF_Options_Exhibits'!T1458:T1462)),AVERAGE('20250815_ETF_Options_Exhibits'!T1458:T1462),"")</f>
        <v/>
      </c>
      <c r="U1462" s="3">
        <f>IF(ISNUMBER(AVERAGE('20250815_ETF_Options_Exhibits'!U1458:U1462)),AVERAGE('20250815_ETF_Options_Exhibits'!U1458:U1462),"")</f>
        <v/>
      </c>
      <c r="V1462" s="3">
        <f>IF(ISNUMBER(AVERAGE('20250815_ETF_Options_Exhibits'!V1458:V1462)),AVERAGE('20250815_ETF_Options_Exhibits'!V1458:V1462),"")</f>
        <v/>
      </c>
      <c r="W1462" s="3">
        <f>IF(ISNUMBER(AVERAGE('20250815_ETF_Options_Exhibits'!W1458:W1462)),AVERAGE('20250815_ETF_Options_Exhibits'!W1458:W1462),"")</f>
        <v/>
      </c>
      <c r="X1462" s="3">
        <f>IF(ISNUMBER(AVERAGE('20250815_ETF_Options_Exhibits'!X1458:X1462)),AVERAGE('20250815_ETF_Options_Exhibits'!X1458:X1462),"")</f>
        <v/>
      </c>
      <c r="Y1462" s="3">
        <f>IF(ISNUMBER(AVERAGE('20250815_ETF_Options_Exhibits'!Y1458:Y1462)),AVERAGE('20250815_ETF_Options_Exhibits'!Y1458:Y1462),"")</f>
        <v/>
      </c>
      <c r="Z1462" s="3">
        <f>IF(ISNUMBER(AVERAGE('20250815_ETF_Options_Exhibits'!Z1458:Z1462)),AVERAGE('20250815_ETF_Options_Exhibits'!Z1458:Z1462),"")</f>
        <v/>
      </c>
      <c r="AA1462" s="3">
        <f>IF(ISNUMBER(AVERAGE('20250815_ETF_Options_Exhibits'!AA1458:AA1462)),AVERAGE('20250815_ETF_Options_Exhibits'!AA1458:AA1462),"")</f>
        <v/>
      </c>
    </row>
    <row r="1463">
      <c r="A1463" s="1" t="n">
        <v>44124</v>
      </c>
      <c r="B1463" s="3">
        <f>IF(ISNUMBER(AVERAGE('20250815_ETF_Options_Exhibits'!B1459:B1463)),AVERAGE('20250815_ETF_Options_Exhibits'!B1459:B1463),"")</f>
        <v/>
      </c>
      <c r="C1463" s="3">
        <f>IF(ISNUMBER(AVERAGE('20250815_ETF_Options_Exhibits'!C1459:C1463)),AVERAGE('20250815_ETF_Options_Exhibits'!C1459:C1463),"")</f>
        <v/>
      </c>
      <c r="D1463" s="3">
        <f>IF(ISNUMBER(AVERAGE('20250815_ETF_Options_Exhibits'!D1459:D1463)),AVERAGE('20250815_ETF_Options_Exhibits'!D1459:D1463),"")</f>
        <v/>
      </c>
      <c r="E1463" s="3">
        <f>IF(ISNUMBER(AVERAGE('20250815_ETF_Options_Exhibits'!E1459:E1463)),AVERAGE('20250815_ETF_Options_Exhibits'!E1459:E1463),"")</f>
        <v/>
      </c>
      <c r="F1463" s="3">
        <f>IF(ISNUMBER(AVERAGE('20250815_ETF_Options_Exhibits'!F1459:F1463)),AVERAGE('20250815_ETF_Options_Exhibits'!F1459:F1463),"")</f>
        <v/>
      </c>
      <c r="G1463" s="3">
        <f>IF(ISNUMBER(AVERAGE('20250815_ETF_Options_Exhibits'!G1459:G1463)),AVERAGE('20250815_ETF_Options_Exhibits'!G1459:G1463),"")</f>
        <v/>
      </c>
      <c r="H1463" s="3">
        <f>IF(ISNUMBER(AVERAGE('20250815_ETF_Options_Exhibits'!H1459:H1463)),AVERAGE('20250815_ETF_Options_Exhibits'!H1459:H1463),"")</f>
        <v/>
      </c>
      <c r="I1463" s="3">
        <f>IF(ISNUMBER(AVERAGE('20250815_ETF_Options_Exhibits'!I1459:I1463)),AVERAGE('20250815_ETF_Options_Exhibits'!I1459:I1463),"")</f>
        <v/>
      </c>
      <c r="J1463" s="3">
        <f>IF(ISNUMBER(AVERAGE('20250815_ETF_Options_Exhibits'!J1459:J1463)),AVERAGE('20250815_ETF_Options_Exhibits'!J1459:J1463),"")</f>
        <v/>
      </c>
      <c r="K1463" s="3">
        <f>IF(ISNUMBER(AVERAGE('20250815_ETF_Options_Exhibits'!K1459:K1463)),AVERAGE('20250815_ETF_Options_Exhibits'!K1459:K1463),"")</f>
        <v/>
      </c>
      <c r="L1463" s="3">
        <f>IF(ISNUMBER(AVERAGE('20250815_ETF_Options_Exhibits'!L1459:L1463)),AVERAGE('20250815_ETF_Options_Exhibits'!L1459:L1463),"")</f>
        <v/>
      </c>
      <c r="M1463" s="3">
        <f>IF(ISNUMBER(AVERAGE('20250815_ETF_Options_Exhibits'!M1459:M1463)),AVERAGE('20250815_ETF_Options_Exhibits'!M1459:M1463),"")</f>
        <v/>
      </c>
      <c r="N1463" s="3">
        <f>IF(ISNUMBER(AVERAGE('20250815_ETF_Options_Exhibits'!N1459:N1463)),AVERAGE('20250815_ETF_Options_Exhibits'!N1459:N1463),"")</f>
        <v/>
      </c>
      <c r="O1463" s="3">
        <f>IF(ISNUMBER(AVERAGE('20250815_ETF_Options_Exhibits'!O1459:O1463)),AVERAGE('20250815_ETF_Options_Exhibits'!O1459:O1463),"")</f>
        <v/>
      </c>
      <c r="P1463" s="3">
        <f>IF(ISNUMBER(AVERAGE('20250815_ETF_Options_Exhibits'!P1459:P1463)),AVERAGE('20250815_ETF_Options_Exhibits'!P1459:P1463),"")</f>
        <v/>
      </c>
      <c r="Q1463" s="3">
        <f>IF(ISNUMBER(AVERAGE('20250815_ETF_Options_Exhibits'!Q1459:Q1463)),AVERAGE('20250815_ETF_Options_Exhibits'!Q1459:Q1463),"")</f>
        <v/>
      </c>
      <c r="R1463" s="3">
        <f>IF(ISNUMBER(AVERAGE('20250815_ETF_Options_Exhibits'!R1459:R1463)),AVERAGE('20250815_ETF_Options_Exhibits'!R1459:R1463),"")</f>
        <v/>
      </c>
      <c r="S1463" s="3">
        <f>IF(ISNUMBER(AVERAGE('20250815_ETF_Options_Exhibits'!S1459:S1463)),AVERAGE('20250815_ETF_Options_Exhibits'!S1459:S1463),"")</f>
        <v/>
      </c>
      <c r="T1463" s="3">
        <f>IF(ISNUMBER(AVERAGE('20250815_ETF_Options_Exhibits'!T1459:T1463)),AVERAGE('20250815_ETF_Options_Exhibits'!T1459:T1463),"")</f>
        <v/>
      </c>
      <c r="U1463" s="3">
        <f>IF(ISNUMBER(AVERAGE('20250815_ETF_Options_Exhibits'!U1459:U1463)),AVERAGE('20250815_ETF_Options_Exhibits'!U1459:U1463),"")</f>
        <v/>
      </c>
      <c r="V1463" s="3">
        <f>IF(ISNUMBER(AVERAGE('20250815_ETF_Options_Exhibits'!V1459:V1463)),AVERAGE('20250815_ETF_Options_Exhibits'!V1459:V1463),"")</f>
        <v/>
      </c>
      <c r="W1463" s="3">
        <f>IF(ISNUMBER(AVERAGE('20250815_ETF_Options_Exhibits'!W1459:W1463)),AVERAGE('20250815_ETF_Options_Exhibits'!W1459:W1463),"")</f>
        <v/>
      </c>
      <c r="X1463" s="3">
        <f>IF(ISNUMBER(AVERAGE('20250815_ETF_Options_Exhibits'!X1459:X1463)),AVERAGE('20250815_ETF_Options_Exhibits'!X1459:X1463),"")</f>
        <v/>
      </c>
      <c r="Y1463" s="3">
        <f>IF(ISNUMBER(AVERAGE('20250815_ETF_Options_Exhibits'!Y1459:Y1463)),AVERAGE('20250815_ETF_Options_Exhibits'!Y1459:Y1463),"")</f>
        <v/>
      </c>
      <c r="Z1463" s="3">
        <f>IF(ISNUMBER(AVERAGE('20250815_ETF_Options_Exhibits'!Z1459:Z1463)),AVERAGE('20250815_ETF_Options_Exhibits'!Z1459:Z1463),"")</f>
        <v/>
      </c>
      <c r="AA1463" s="3">
        <f>IF(ISNUMBER(AVERAGE('20250815_ETF_Options_Exhibits'!AA1459:AA1463)),AVERAGE('20250815_ETF_Options_Exhibits'!AA1459:AA1463),"")</f>
        <v/>
      </c>
    </row>
    <row r="1464">
      <c r="A1464" s="1" t="n">
        <v>44125</v>
      </c>
      <c r="B1464" s="3">
        <f>IF(ISNUMBER(AVERAGE('20250815_ETF_Options_Exhibits'!B1460:B1464)),AVERAGE('20250815_ETF_Options_Exhibits'!B1460:B1464),"")</f>
        <v/>
      </c>
      <c r="C1464" s="3">
        <f>IF(ISNUMBER(AVERAGE('20250815_ETF_Options_Exhibits'!C1460:C1464)),AVERAGE('20250815_ETF_Options_Exhibits'!C1460:C1464),"")</f>
        <v/>
      </c>
      <c r="D1464" s="3">
        <f>IF(ISNUMBER(AVERAGE('20250815_ETF_Options_Exhibits'!D1460:D1464)),AVERAGE('20250815_ETF_Options_Exhibits'!D1460:D1464),"")</f>
        <v/>
      </c>
      <c r="E1464" s="3">
        <f>IF(ISNUMBER(AVERAGE('20250815_ETF_Options_Exhibits'!E1460:E1464)),AVERAGE('20250815_ETF_Options_Exhibits'!E1460:E1464),"")</f>
        <v/>
      </c>
      <c r="F1464" s="3">
        <f>IF(ISNUMBER(AVERAGE('20250815_ETF_Options_Exhibits'!F1460:F1464)),AVERAGE('20250815_ETF_Options_Exhibits'!F1460:F1464),"")</f>
        <v/>
      </c>
      <c r="G1464" s="3">
        <f>IF(ISNUMBER(AVERAGE('20250815_ETF_Options_Exhibits'!G1460:G1464)),AVERAGE('20250815_ETF_Options_Exhibits'!G1460:G1464),"")</f>
        <v/>
      </c>
      <c r="H1464" s="3">
        <f>IF(ISNUMBER(AVERAGE('20250815_ETF_Options_Exhibits'!H1460:H1464)),AVERAGE('20250815_ETF_Options_Exhibits'!H1460:H1464),"")</f>
        <v/>
      </c>
      <c r="I1464" s="3">
        <f>IF(ISNUMBER(AVERAGE('20250815_ETF_Options_Exhibits'!I1460:I1464)),AVERAGE('20250815_ETF_Options_Exhibits'!I1460:I1464),"")</f>
        <v/>
      </c>
      <c r="J1464" s="3">
        <f>IF(ISNUMBER(AVERAGE('20250815_ETF_Options_Exhibits'!J1460:J1464)),AVERAGE('20250815_ETF_Options_Exhibits'!J1460:J1464),"")</f>
        <v/>
      </c>
      <c r="K1464" s="3">
        <f>IF(ISNUMBER(AVERAGE('20250815_ETF_Options_Exhibits'!K1460:K1464)),AVERAGE('20250815_ETF_Options_Exhibits'!K1460:K1464),"")</f>
        <v/>
      </c>
      <c r="L1464" s="3">
        <f>IF(ISNUMBER(AVERAGE('20250815_ETF_Options_Exhibits'!L1460:L1464)),AVERAGE('20250815_ETF_Options_Exhibits'!L1460:L1464),"")</f>
        <v/>
      </c>
      <c r="M1464" s="3">
        <f>IF(ISNUMBER(AVERAGE('20250815_ETF_Options_Exhibits'!M1460:M1464)),AVERAGE('20250815_ETF_Options_Exhibits'!M1460:M1464),"")</f>
        <v/>
      </c>
      <c r="N1464" s="3">
        <f>IF(ISNUMBER(AVERAGE('20250815_ETF_Options_Exhibits'!N1460:N1464)),AVERAGE('20250815_ETF_Options_Exhibits'!N1460:N1464),"")</f>
        <v/>
      </c>
      <c r="O1464" s="3">
        <f>IF(ISNUMBER(AVERAGE('20250815_ETF_Options_Exhibits'!O1460:O1464)),AVERAGE('20250815_ETF_Options_Exhibits'!O1460:O1464),"")</f>
        <v/>
      </c>
      <c r="P1464" s="3">
        <f>IF(ISNUMBER(AVERAGE('20250815_ETF_Options_Exhibits'!P1460:P1464)),AVERAGE('20250815_ETF_Options_Exhibits'!P1460:P1464),"")</f>
        <v/>
      </c>
      <c r="Q1464" s="3">
        <f>IF(ISNUMBER(AVERAGE('20250815_ETF_Options_Exhibits'!Q1460:Q1464)),AVERAGE('20250815_ETF_Options_Exhibits'!Q1460:Q1464),"")</f>
        <v/>
      </c>
      <c r="R1464" s="3">
        <f>IF(ISNUMBER(AVERAGE('20250815_ETF_Options_Exhibits'!R1460:R1464)),AVERAGE('20250815_ETF_Options_Exhibits'!R1460:R1464),"")</f>
        <v/>
      </c>
      <c r="S1464" s="3">
        <f>IF(ISNUMBER(AVERAGE('20250815_ETF_Options_Exhibits'!S1460:S1464)),AVERAGE('20250815_ETF_Options_Exhibits'!S1460:S1464),"")</f>
        <v/>
      </c>
      <c r="T1464" s="3">
        <f>IF(ISNUMBER(AVERAGE('20250815_ETF_Options_Exhibits'!T1460:T1464)),AVERAGE('20250815_ETF_Options_Exhibits'!T1460:T1464),"")</f>
        <v/>
      </c>
      <c r="U1464" s="3">
        <f>IF(ISNUMBER(AVERAGE('20250815_ETF_Options_Exhibits'!U1460:U1464)),AVERAGE('20250815_ETF_Options_Exhibits'!U1460:U1464),"")</f>
        <v/>
      </c>
      <c r="V1464" s="3">
        <f>IF(ISNUMBER(AVERAGE('20250815_ETF_Options_Exhibits'!V1460:V1464)),AVERAGE('20250815_ETF_Options_Exhibits'!V1460:V1464),"")</f>
        <v/>
      </c>
      <c r="W1464" s="3">
        <f>IF(ISNUMBER(AVERAGE('20250815_ETF_Options_Exhibits'!W1460:W1464)),AVERAGE('20250815_ETF_Options_Exhibits'!W1460:W1464),"")</f>
        <v/>
      </c>
      <c r="X1464" s="3">
        <f>IF(ISNUMBER(AVERAGE('20250815_ETF_Options_Exhibits'!X1460:X1464)),AVERAGE('20250815_ETF_Options_Exhibits'!X1460:X1464),"")</f>
        <v/>
      </c>
      <c r="Y1464" s="3">
        <f>IF(ISNUMBER(AVERAGE('20250815_ETF_Options_Exhibits'!Y1460:Y1464)),AVERAGE('20250815_ETF_Options_Exhibits'!Y1460:Y1464),"")</f>
        <v/>
      </c>
      <c r="Z1464" s="3">
        <f>IF(ISNUMBER(AVERAGE('20250815_ETF_Options_Exhibits'!Z1460:Z1464)),AVERAGE('20250815_ETF_Options_Exhibits'!Z1460:Z1464),"")</f>
        <v/>
      </c>
      <c r="AA1464" s="3">
        <f>IF(ISNUMBER(AVERAGE('20250815_ETF_Options_Exhibits'!AA1460:AA1464)),AVERAGE('20250815_ETF_Options_Exhibits'!AA1460:AA1464),"")</f>
        <v/>
      </c>
    </row>
    <row r="1465">
      <c r="A1465" s="1" t="n">
        <v>44126</v>
      </c>
      <c r="B1465" s="3">
        <f>IF(ISNUMBER(AVERAGE('20250815_ETF_Options_Exhibits'!B1461:B1465)),AVERAGE('20250815_ETF_Options_Exhibits'!B1461:B1465),"")</f>
        <v/>
      </c>
      <c r="C1465" s="3">
        <f>IF(ISNUMBER(AVERAGE('20250815_ETF_Options_Exhibits'!C1461:C1465)),AVERAGE('20250815_ETF_Options_Exhibits'!C1461:C1465),"")</f>
        <v/>
      </c>
      <c r="D1465" s="3">
        <f>IF(ISNUMBER(AVERAGE('20250815_ETF_Options_Exhibits'!D1461:D1465)),AVERAGE('20250815_ETF_Options_Exhibits'!D1461:D1465),"")</f>
        <v/>
      </c>
      <c r="E1465" s="3">
        <f>IF(ISNUMBER(AVERAGE('20250815_ETF_Options_Exhibits'!E1461:E1465)),AVERAGE('20250815_ETF_Options_Exhibits'!E1461:E1465),"")</f>
        <v/>
      </c>
      <c r="F1465" s="3">
        <f>IF(ISNUMBER(AVERAGE('20250815_ETF_Options_Exhibits'!F1461:F1465)),AVERAGE('20250815_ETF_Options_Exhibits'!F1461:F1465),"")</f>
        <v/>
      </c>
      <c r="G1465" s="3">
        <f>IF(ISNUMBER(AVERAGE('20250815_ETF_Options_Exhibits'!G1461:G1465)),AVERAGE('20250815_ETF_Options_Exhibits'!G1461:G1465),"")</f>
        <v/>
      </c>
      <c r="H1465" s="3">
        <f>IF(ISNUMBER(AVERAGE('20250815_ETF_Options_Exhibits'!H1461:H1465)),AVERAGE('20250815_ETF_Options_Exhibits'!H1461:H1465),"")</f>
        <v/>
      </c>
      <c r="I1465" s="3">
        <f>IF(ISNUMBER(AVERAGE('20250815_ETF_Options_Exhibits'!I1461:I1465)),AVERAGE('20250815_ETF_Options_Exhibits'!I1461:I1465),"")</f>
        <v/>
      </c>
      <c r="J1465" s="3">
        <f>IF(ISNUMBER(AVERAGE('20250815_ETF_Options_Exhibits'!J1461:J1465)),AVERAGE('20250815_ETF_Options_Exhibits'!J1461:J1465),"")</f>
        <v/>
      </c>
      <c r="K1465" s="3">
        <f>IF(ISNUMBER(AVERAGE('20250815_ETF_Options_Exhibits'!K1461:K1465)),AVERAGE('20250815_ETF_Options_Exhibits'!K1461:K1465),"")</f>
        <v/>
      </c>
      <c r="L1465" s="3">
        <f>IF(ISNUMBER(AVERAGE('20250815_ETF_Options_Exhibits'!L1461:L1465)),AVERAGE('20250815_ETF_Options_Exhibits'!L1461:L1465),"")</f>
        <v/>
      </c>
      <c r="M1465" s="3">
        <f>IF(ISNUMBER(AVERAGE('20250815_ETF_Options_Exhibits'!M1461:M1465)),AVERAGE('20250815_ETF_Options_Exhibits'!M1461:M1465),"")</f>
        <v/>
      </c>
      <c r="N1465" s="3">
        <f>IF(ISNUMBER(AVERAGE('20250815_ETF_Options_Exhibits'!N1461:N1465)),AVERAGE('20250815_ETF_Options_Exhibits'!N1461:N1465),"")</f>
        <v/>
      </c>
      <c r="O1465" s="3">
        <f>IF(ISNUMBER(AVERAGE('20250815_ETF_Options_Exhibits'!O1461:O1465)),AVERAGE('20250815_ETF_Options_Exhibits'!O1461:O1465),"")</f>
        <v/>
      </c>
      <c r="P1465" s="3">
        <f>IF(ISNUMBER(AVERAGE('20250815_ETF_Options_Exhibits'!P1461:P1465)),AVERAGE('20250815_ETF_Options_Exhibits'!P1461:P1465),"")</f>
        <v/>
      </c>
      <c r="Q1465" s="3">
        <f>IF(ISNUMBER(AVERAGE('20250815_ETF_Options_Exhibits'!Q1461:Q1465)),AVERAGE('20250815_ETF_Options_Exhibits'!Q1461:Q1465),"")</f>
        <v/>
      </c>
      <c r="R1465" s="3">
        <f>IF(ISNUMBER(AVERAGE('20250815_ETF_Options_Exhibits'!R1461:R1465)),AVERAGE('20250815_ETF_Options_Exhibits'!R1461:R1465),"")</f>
        <v/>
      </c>
      <c r="S1465" s="3">
        <f>IF(ISNUMBER(AVERAGE('20250815_ETF_Options_Exhibits'!S1461:S1465)),AVERAGE('20250815_ETF_Options_Exhibits'!S1461:S1465),"")</f>
        <v/>
      </c>
      <c r="T1465" s="3">
        <f>IF(ISNUMBER(AVERAGE('20250815_ETF_Options_Exhibits'!T1461:T1465)),AVERAGE('20250815_ETF_Options_Exhibits'!T1461:T1465),"")</f>
        <v/>
      </c>
      <c r="U1465" s="3">
        <f>IF(ISNUMBER(AVERAGE('20250815_ETF_Options_Exhibits'!U1461:U1465)),AVERAGE('20250815_ETF_Options_Exhibits'!U1461:U1465),"")</f>
        <v/>
      </c>
      <c r="V1465" s="3">
        <f>IF(ISNUMBER(AVERAGE('20250815_ETF_Options_Exhibits'!V1461:V1465)),AVERAGE('20250815_ETF_Options_Exhibits'!V1461:V1465),"")</f>
        <v/>
      </c>
      <c r="W1465" s="3">
        <f>IF(ISNUMBER(AVERAGE('20250815_ETF_Options_Exhibits'!W1461:W1465)),AVERAGE('20250815_ETF_Options_Exhibits'!W1461:W1465),"")</f>
        <v/>
      </c>
      <c r="X1465" s="3">
        <f>IF(ISNUMBER(AVERAGE('20250815_ETF_Options_Exhibits'!X1461:X1465)),AVERAGE('20250815_ETF_Options_Exhibits'!X1461:X1465),"")</f>
        <v/>
      </c>
      <c r="Y1465" s="3">
        <f>IF(ISNUMBER(AVERAGE('20250815_ETF_Options_Exhibits'!Y1461:Y1465)),AVERAGE('20250815_ETF_Options_Exhibits'!Y1461:Y1465),"")</f>
        <v/>
      </c>
      <c r="Z1465" s="3">
        <f>IF(ISNUMBER(AVERAGE('20250815_ETF_Options_Exhibits'!Z1461:Z1465)),AVERAGE('20250815_ETF_Options_Exhibits'!Z1461:Z1465),"")</f>
        <v/>
      </c>
      <c r="AA1465" s="3">
        <f>IF(ISNUMBER(AVERAGE('20250815_ETF_Options_Exhibits'!AA1461:AA1465)),AVERAGE('20250815_ETF_Options_Exhibits'!AA1461:AA1465),"")</f>
        <v/>
      </c>
    </row>
    <row r="1466">
      <c r="A1466" s="1" t="n">
        <v>44127</v>
      </c>
      <c r="B1466" s="3">
        <f>IF(ISNUMBER(AVERAGE('20250815_ETF_Options_Exhibits'!B1462:B1466)),AVERAGE('20250815_ETF_Options_Exhibits'!B1462:B1466),"")</f>
        <v/>
      </c>
      <c r="C1466" s="3">
        <f>IF(ISNUMBER(AVERAGE('20250815_ETF_Options_Exhibits'!C1462:C1466)),AVERAGE('20250815_ETF_Options_Exhibits'!C1462:C1466),"")</f>
        <v/>
      </c>
      <c r="D1466" s="3">
        <f>IF(ISNUMBER(AVERAGE('20250815_ETF_Options_Exhibits'!D1462:D1466)),AVERAGE('20250815_ETF_Options_Exhibits'!D1462:D1466),"")</f>
        <v/>
      </c>
      <c r="E1466" s="3">
        <f>IF(ISNUMBER(AVERAGE('20250815_ETF_Options_Exhibits'!E1462:E1466)),AVERAGE('20250815_ETF_Options_Exhibits'!E1462:E1466),"")</f>
        <v/>
      </c>
      <c r="F1466" s="3">
        <f>IF(ISNUMBER(AVERAGE('20250815_ETF_Options_Exhibits'!F1462:F1466)),AVERAGE('20250815_ETF_Options_Exhibits'!F1462:F1466),"")</f>
        <v/>
      </c>
      <c r="G1466" s="3">
        <f>IF(ISNUMBER(AVERAGE('20250815_ETF_Options_Exhibits'!G1462:G1466)),AVERAGE('20250815_ETF_Options_Exhibits'!G1462:G1466),"")</f>
        <v/>
      </c>
      <c r="H1466" s="3">
        <f>IF(ISNUMBER(AVERAGE('20250815_ETF_Options_Exhibits'!H1462:H1466)),AVERAGE('20250815_ETF_Options_Exhibits'!H1462:H1466),"")</f>
        <v/>
      </c>
      <c r="I1466" s="3">
        <f>IF(ISNUMBER(AVERAGE('20250815_ETF_Options_Exhibits'!I1462:I1466)),AVERAGE('20250815_ETF_Options_Exhibits'!I1462:I1466),"")</f>
        <v/>
      </c>
      <c r="J1466" s="3">
        <f>IF(ISNUMBER(AVERAGE('20250815_ETF_Options_Exhibits'!J1462:J1466)),AVERAGE('20250815_ETF_Options_Exhibits'!J1462:J1466),"")</f>
        <v/>
      </c>
      <c r="K1466" s="3">
        <f>IF(ISNUMBER(AVERAGE('20250815_ETF_Options_Exhibits'!K1462:K1466)),AVERAGE('20250815_ETF_Options_Exhibits'!K1462:K1466),"")</f>
        <v/>
      </c>
      <c r="L1466" s="3">
        <f>IF(ISNUMBER(AVERAGE('20250815_ETF_Options_Exhibits'!L1462:L1466)),AVERAGE('20250815_ETF_Options_Exhibits'!L1462:L1466),"")</f>
        <v/>
      </c>
      <c r="M1466" s="3">
        <f>IF(ISNUMBER(AVERAGE('20250815_ETF_Options_Exhibits'!M1462:M1466)),AVERAGE('20250815_ETF_Options_Exhibits'!M1462:M1466),"")</f>
        <v/>
      </c>
      <c r="N1466" s="3">
        <f>IF(ISNUMBER(AVERAGE('20250815_ETF_Options_Exhibits'!N1462:N1466)),AVERAGE('20250815_ETF_Options_Exhibits'!N1462:N1466),"")</f>
        <v/>
      </c>
      <c r="O1466" s="3">
        <f>IF(ISNUMBER(AVERAGE('20250815_ETF_Options_Exhibits'!O1462:O1466)),AVERAGE('20250815_ETF_Options_Exhibits'!O1462:O1466),"")</f>
        <v/>
      </c>
      <c r="P1466" s="3">
        <f>IF(ISNUMBER(AVERAGE('20250815_ETF_Options_Exhibits'!P1462:P1466)),AVERAGE('20250815_ETF_Options_Exhibits'!P1462:P1466),"")</f>
        <v/>
      </c>
      <c r="Q1466" s="3">
        <f>IF(ISNUMBER(AVERAGE('20250815_ETF_Options_Exhibits'!Q1462:Q1466)),AVERAGE('20250815_ETF_Options_Exhibits'!Q1462:Q1466),"")</f>
        <v/>
      </c>
      <c r="R1466" s="3">
        <f>IF(ISNUMBER(AVERAGE('20250815_ETF_Options_Exhibits'!R1462:R1466)),AVERAGE('20250815_ETF_Options_Exhibits'!R1462:R1466),"")</f>
        <v/>
      </c>
      <c r="S1466" s="3">
        <f>IF(ISNUMBER(AVERAGE('20250815_ETF_Options_Exhibits'!S1462:S1466)),AVERAGE('20250815_ETF_Options_Exhibits'!S1462:S1466),"")</f>
        <v/>
      </c>
      <c r="T1466" s="3">
        <f>IF(ISNUMBER(AVERAGE('20250815_ETF_Options_Exhibits'!T1462:T1466)),AVERAGE('20250815_ETF_Options_Exhibits'!T1462:T1466),"")</f>
        <v/>
      </c>
      <c r="U1466" s="3">
        <f>IF(ISNUMBER(AVERAGE('20250815_ETF_Options_Exhibits'!U1462:U1466)),AVERAGE('20250815_ETF_Options_Exhibits'!U1462:U1466),"")</f>
        <v/>
      </c>
      <c r="V1466" s="3">
        <f>IF(ISNUMBER(AVERAGE('20250815_ETF_Options_Exhibits'!V1462:V1466)),AVERAGE('20250815_ETF_Options_Exhibits'!V1462:V1466),"")</f>
        <v/>
      </c>
      <c r="W1466" s="3">
        <f>IF(ISNUMBER(AVERAGE('20250815_ETF_Options_Exhibits'!W1462:W1466)),AVERAGE('20250815_ETF_Options_Exhibits'!W1462:W1466),"")</f>
        <v/>
      </c>
      <c r="X1466" s="3">
        <f>IF(ISNUMBER(AVERAGE('20250815_ETF_Options_Exhibits'!X1462:X1466)),AVERAGE('20250815_ETF_Options_Exhibits'!X1462:X1466),"")</f>
        <v/>
      </c>
      <c r="Y1466" s="3">
        <f>IF(ISNUMBER(AVERAGE('20250815_ETF_Options_Exhibits'!Y1462:Y1466)),AVERAGE('20250815_ETF_Options_Exhibits'!Y1462:Y1466),"")</f>
        <v/>
      </c>
      <c r="Z1466" s="3">
        <f>IF(ISNUMBER(AVERAGE('20250815_ETF_Options_Exhibits'!Z1462:Z1466)),AVERAGE('20250815_ETF_Options_Exhibits'!Z1462:Z1466),"")</f>
        <v/>
      </c>
      <c r="AA1466" s="3">
        <f>IF(ISNUMBER(AVERAGE('20250815_ETF_Options_Exhibits'!AA1462:AA1466)),AVERAGE('20250815_ETF_Options_Exhibits'!AA1462:AA1466),"")</f>
        <v/>
      </c>
    </row>
    <row r="1467">
      <c r="A1467" s="1" t="n">
        <v>44130</v>
      </c>
      <c r="B1467" s="3">
        <f>IF(ISNUMBER(AVERAGE('20250815_ETF_Options_Exhibits'!B1463:B1467)),AVERAGE('20250815_ETF_Options_Exhibits'!B1463:B1467),"")</f>
        <v/>
      </c>
      <c r="C1467" s="3">
        <f>IF(ISNUMBER(AVERAGE('20250815_ETF_Options_Exhibits'!C1463:C1467)),AVERAGE('20250815_ETF_Options_Exhibits'!C1463:C1467),"")</f>
        <v/>
      </c>
      <c r="D1467" s="3">
        <f>IF(ISNUMBER(AVERAGE('20250815_ETF_Options_Exhibits'!D1463:D1467)),AVERAGE('20250815_ETF_Options_Exhibits'!D1463:D1467),"")</f>
        <v/>
      </c>
      <c r="E1467" s="3">
        <f>IF(ISNUMBER(AVERAGE('20250815_ETF_Options_Exhibits'!E1463:E1467)),AVERAGE('20250815_ETF_Options_Exhibits'!E1463:E1467),"")</f>
        <v/>
      </c>
      <c r="F1467" s="3">
        <f>IF(ISNUMBER(AVERAGE('20250815_ETF_Options_Exhibits'!F1463:F1467)),AVERAGE('20250815_ETF_Options_Exhibits'!F1463:F1467),"")</f>
        <v/>
      </c>
      <c r="G1467" s="3">
        <f>IF(ISNUMBER(AVERAGE('20250815_ETF_Options_Exhibits'!G1463:G1467)),AVERAGE('20250815_ETF_Options_Exhibits'!G1463:G1467),"")</f>
        <v/>
      </c>
      <c r="H1467" s="3">
        <f>IF(ISNUMBER(AVERAGE('20250815_ETF_Options_Exhibits'!H1463:H1467)),AVERAGE('20250815_ETF_Options_Exhibits'!H1463:H1467),"")</f>
        <v/>
      </c>
      <c r="I1467" s="3">
        <f>IF(ISNUMBER(AVERAGE('20250815_ETF_Options_Exhibits'!I1463:I1467)),AVERAGE('20250815_ETF_Options_Exhibits'!I1463:I1467),"")</f>
        <v/>
      </c>
      <c r="J1467" s="3">
        <f>IF(ISNUMBER(AVERAGE('20250815_ETF_Options_Exhibits'!J1463:J1467)),AVERAGE('20250815_ETF_Options_Exhibits'!J1463:J1467),"")</f>
        <v/>
      </c>
      <c r="K1467" s="3">
        <f>IF(ISNUMBER(AVERAGE('20250815_ETF_Options_Exhibits'!K1463:K1467)),AVERAGE('20250815_ETF_Options_Exhibits'!K1463:K1467),"")</f>
        <v/>
      </c>
      <c r="L1467" s="3">
        <f>IF(ISNUMBER(AVERAGE('20250815_ETF_Options_Exhibits'!L1463:L1467)),AVERAGE('20250815_ETF_Options_Exhibits'!L1463:L1467),"")</f>
        <v/>
      </c>
      <c r="M1467" s="3">
        <f>IF(ISNUMBER(AVERAGE('20250815_ETF_Options_Exhibits'!M1463:M1467)),AVERAGE('20250815_ETF_Options_Exhibits'!M1463:M1467),"")</f>
        <v/>
      </c>
      <c r="N1467" s="3">
        <f>IF(ISNUMBER(AVERAGE('20250815_ETF_Options_Exhibits'!N1463:N1467)),AVERAGE('20250815_ETF_Options_Exhibits'!N1463:N1467),"")</f>
        <v/>
      </c>
      <c r="O1467" s="3">
        <f>IF(ISNUMBER(AVERAGE('20250815_ETF_Options_Exhibits'!O1463:O1467)),AVERAGE('20250815_ETF_Options_Exhibits'!O1463:O1467),"")</f>
        <v/>
      </c>
      <c r="P1467" s="3">
        <f>IF(ISNUMBER(AVERAGE('20250815_ETF_Options_Exhibits'!P1463:P1467)),AVERAGE('20250815_ETF_Options_Exhibits'!P1463:P1467),"")</f>
        <v/>
      </c>
      <c r="Q1467" s="3">
        <f>IF(ISNUMBER(AVERAGE('20250815_ETF_Options_Exhibits'!Q1463:Q1467)),AVERAGE('20250815_ETF_Options_Exhibits'!Q1463:Q1467),"")</f>
        <v/>
      </c>
      <c r="R1467" s="3">
        <f>IF(ISNUMBER(AVERAGE('20250815_ETF_Options_Exhibits'!R1463:R1467)),AVERAGE('20250815_ETF_Options_Exhibits'!R1463:R1467),"")</f>
        <v/>
      </c>
      <c r="S1467" s="3">
        <f>IF(ISNUMBER(AVERAGE('20250815_ETF_Options_Exhibits'!S1463:S1467)),AVERAGE('20250815_ETF_Options_Exhibits'!S1463:S1467),"")</f>
        <v/>
      </c>
      <c r="T1467" s="3">
        <f>IF(ISNUMBER(AVERAGE('20250815_ETF_Options_Exhibits'!T1463:T1467)),AVERAGE('20250815_ETF_Options_Exhibits'!T1463:T1467),"")</f>
        <v/>
      </c>
      <c r="U1467" s="3">
        <f>IF(ISNUMBER(AVERAGE('20250815_ETF_Options_Exhibits'!U1463:U1467)),AVERAGE('20250815_ETF_Options_Exhibits'!U1463:U1467),"")</f>
        <v/>
      </c>
      <c r="V1467" s="3">
        <f>IF(ISNUMBER(AVERAGE('20250815_ETF_Options_Exhibits'!V1463:V1467)),AVERAGE('20250815_ETF_Options_Exhibits'!V1463:V1467),"")</f>
        <v/>
      </c>
      <c r="W1467" s="3">
        <f>IF(ISNUMBER(AVERAGE('20250815_ETF_Options_Exhibits'!W1463:W1467)),AVERAGE('20250815_ETF_Options_Exhibits'!W1463:W1467),"")</f>
        <v/>
      </c>
      <c r="X1467" s="3">
        <f>IF(ISNUMBER(AVERAGE('20250815_ETF_Options_Exhibits'!X1463:X1467)),AVERAGE('20250815_ETF_Options_Exhibits'!X1463:X1467),"")</f>
        <v/>
      </c>
      <c r="Y1467" s="3">
        <f>IF(ISNUMBER(AVERAGE('20250815_ETF_Options_Exhibits'!Y1463:Y1467)),AVERAGE('20250815_ETF_Options_Exhibits'!Y1463:Y1467),"")</f>
        <v/>
      </c>
      <c r="Z1467" s="3">
        <f>IF(ISNUMBER(AVERAGE('20250815_ETF_Options_Exhibits'!Z1463:Z1467)),AVERAGE('20250815_ETF_Options_Exhibits'!Z1463:Z1467),"")</f>
        <v/>
      </c>
      <c r="AA1467" s="3">
        <f>IF(ISNUMBER(AVERAGE('20250815_ETF_Options_Exhibits'!AA1463:AA1467)),AVERAGE('20250815_ETF_Options_Exhibits'!AA1463:AA1467),"")</f>
        <v/>
      </c>
    </row>
    <row r="1468">
      <c r="A1468" s="1" t="n">
        <v>44131</v>
      </c>
      <c r="B1468" s="3">
        <f>IF(ISNUMBER(AVERAGE('20250815_ETF_Options_Exhibits'!B1464:B1468)),AVERAGE('20250815_ETF_Options_Exhibits'!B1464:B1468),"")</f>
        <v/>
      </c>
      <c r="C1468" s="3">
        <f>IF(ISNUMBER(AVERAGE('20250815_ETF_Options_Exhibits'!C1464:C1468)),AVERAGE('20250815_ETF_Options_Exhibits'!C1464:C1468),"")</f>
        <v/>
      </c>
      <c r="D1468" s="3">
        <f>IF(ISNUMBER(AVERAGE('20250815_ETF_Options_Exhibits'!D1464:D1468)),AVERAGE('20250815_ETF_Options_Exhibits'!D1464:D1468),"")</f>
        <v/>
      </c>
      <c r="E1468" s="3">
        <f>IF(ISNUMBER(AVERAGE('20250815_ETF_Options_Exhibits'!E1464:E1468)),AVERAGE('20250815_ETF_Options_Exhibits'!E1464:E1468),"")</f>
        <v/>
      </c>
      <c r="F1468" s="3">
        <f>IF(ISNUMBER(AVERAGE('20250815_ETF_Options_Exhibits'!F1464:F1468)),AVERAGE('20250815_ETF_Options_Exhibits'!F1464:F1468),"")</f>
        <v/>
      </c>
      <c r="G1468" s="3">
        <f>IF(ISNUMBER(AVERAGE('20250815_ETF_Options_Exhibits'!G1464:G1468)),AVERAGE('20250815_ETF_Options_Exhibits'!G1464:G1468),"")</f>
        <v/>
      </c>
      <c r="H1468" s="3">
        <f>IF(ISNUMBER(AVERAGE('20250815_ETF_Options_Exhibits'!H1464:H1468)),AVERAGE('20250815_ETF_Options_Exhibits'!H1464:H1468),"")</f>
        <v/>
      </c>
      <c r="I1468" s="3">
        <f>IF(ISNUMBER(AVERAGE('20250815_ETF_Options_Exhibits'!I1464:I1468)),AVERAGE('20250815_ETF_Options_Exhibits'!I1464:I1468),"")</f>
        <v/>
      </c>
      <c r="J1468" s="3">
        <f>IF(ISNUMBER(AVERAGE('20250815_ETF_Options_Exhibits'!J1464:J1468)),AVERAGE('20250815_ETF_Options_Exhibits'!J1464:J1468),"")</f>
        <v/>
      </c>
      <c r="K1468" s="3">
        <f>IF(ISNUMBER(AVERAGE('20250815_ETF_Options_Exhibits'!K1464:K1468)),AVERAGE('20250815_ETF_Options_Exhibits'!K1464:K1468),"")</f>
        <v/>
      </c>
      <c r="L1468" s="3">
        <f>IF(ISNUMBER(AVERAGE('20250815_ETF_Options_Exhibits'!L1464:L1468)),AVERAGE('20250815_ETF_Options_Exhibits'!L1464:L1468),"")</f>
        <v/>
      </c>
      <c r="M1468" s="3">
        <f>IF(ISNUMBER(AVERAGE('20250815_ETF_Options_Exhibits'!M1464:M1468)),AVERAGE('20250815_ETF_Options_Exhibits'!M1464:M1468),"")</f>
        <v/>
      </c>
      <c r="N1468" s="3">
        <f>IF(ISNUMBER(AVERAGE('20250815_ETF_Options_Exhibits'!N1464:N1468)),AVERAGE('20250815_ETF_Options_Exhibits'!N1464:N1468),"")</f>
        <v/>
      </c>
      <c r="O1468" s="3">
        <f>IF(ISNUMBER(AVERAGE('20250815_ETF_Options_Exhibits'!O1464:O1468)),AVERAGE('20250815_ETF_Options_Exhibits'!O1464:O1468),"")</f>
        <v/>
      </c>
      <c r="P1468" s="3">
        <f>IF(ISNUMBER(AVERAGE('20250815_ETF_Options_Exhibits'!P1464:P1468)),AVERAGE('20250815_ETF_Options_Exhibits'!P1464:P1468),"")</f>
        <v/>
      </c>
      <c r="Q1468" s="3">
        <f>IF(ISNUMBER(AVERAGE('20250815_ETF_Options_Exhibits'!Q1464:Q1468)),AVERAGE('20250815_ETF_Options_Exhibits'!Q1464:Q1468),"")</f>
        <v/>
      </c>
      <c r="R1468" s="3">
        <f>IF(ISNUMBER(AVERAGE('20250815_ETF_Options_Exhibits'!R1464:R1468)),AVERAGE('20250815_ETF_Options_Exhibits'!R1464:R1468),"")</f>
        <v/>
      </c>
      <c r="S1468" s="3">
        <f>IF(ISNUMBER(AVERAGE('20250815_ETF_Options_Exhibits'!S1464:S1468)),AVERAGE('20250815_ETF_Options_Exhibits'!S1464:S1468),"")</f>
        <v/>
      </c>
      <c r="T1468" s="3">
        <f>IF(ISNUMBER(AVERAGE('20250815_ETF_Options_Exhibits'!T1464:T1468)),AVERAGE('20250815_ETF_Options_Exhibits'!T1464:T1468),"")</f>
        <v/>
      </c>
      <c r="U1468" s="3">
        <f>IF(ISNUMBER(AVERAGE('20250815_ETF_Options_Exhibits'!U1464:U1468)),AVERAGE('20250815_ETF_Options_Exhibits'!U1464:U1468),"")</f>
        <v/>
      </c>
      <c r="V1468" s="3">
        <f>IF(ISNUMBER(AVERAGE('20250815_ETF_Options_Exhibits'!V1464:V1468)),AVERAGE('20250815_ETF_Options_Exhibits'!V1464:V1468),"")</f>
        <v/>
      </c>
      <c r="W1468" s="3">
        <f>IF(ISNUMBER(AVERAGE('20250815_ETF_Options_Exhibits'!W1464:W1468)),AVERAGE('20250815_ETF_Options_Exhibits'!W1464:W1468),"")</f>
        <v/>
      </c>
      <c r="X1468" s="3">
        <f>IF(ISNUMBER(AVERAGE('20250815_ETF_Options_Exhibits'!X1464:X1468)),AVERAGE('20250815_ETF_Options_Exhibits'!X1464:X1468),"")</f>
        <v/>
      </c>
      <c r="Y1468" s="3">
        <f>IF(ISNUMBER(AVERAGE('20250815_ETF_Options_Exhibits'!Y1464:Y1468)),AVERAGE('20250815_ETF_Options_Exhibits'!Y1464:Y1468),"")</f>
        <v/>
      </c>
      <c r="Z1468" s="3">
        <f>IF(ISNUMBER(AVERAGE('20250815_ETF_Options_Exhibits'!Z1464:Z1468)),AVERAGE('20250815_ETF_Options_Exhibits'!Z1464:Z1468),"")</f>
        <v/>
      </c>
      <c r="AA1468" s="3">
        <f>IF(ISNUMBER(AVERAGE('20250815_ETF_Options_Exhibits'!AA1464:AA1468)),AVERAGE('20250815_ETF_Options_Exhibits'!AA1464:AA1468),"")</f>
        <v/>
      </c>
    </row>
    <row r="1469">
      <c r="A1469" s="1" t="n">
        <v>44132</v>
      </c>
      <c r="B1469" s="3">
        <f>IF(ISNUMBER(AVERAGE('20250815_ETF_Options_Exhibits'!B1465:B1469)),AVERAGE('20250815_ETF_Options_Exhibits'!B1465:B1469),"")</f>
        <v/>
      </c>
      <c r="C1469" s="3">
        <f>IF(ISNUMBER(AVERAGE('20250815_ETF_Options_Exhibits'!C1465:C1469)),AVERAGE('20250815_ETF_Options_Exhibits'!C1465:C1469),"")</f>
        <v/>
      </c>
      <c r="D1469" s="3">
        <f>IF(ISNUMBER(AVERAGE('20250815_ETF_Options_Exhibits'!D1465:D1469)),AVERAGE('20250815_ETF_Options_Exhibits'!D1465:D1469),"")</f>
        <v/>
      </c>
      <c r="E1469" s="3">
        <f>IF(ISNUMBER(AVERAGE('20250815_ETF_Options_Exhibits'!E1465:E1469)),AVERAGE('20250815_ETF_Options_Exhibits'!E1465:E1469),"")</f>
        <v/>
      </c>
      <c r="F1469" s="3">
        <f>IF(ISNUMBER(AVERAGE('20250815_ETF_Options_Exhibits'!F1465:F1469)),AVERAGE('20250815_ETF_Options_Exhibits'!F1465:F1469),"")</f>
        <v/>
      </c>
      <c r="G1469" s="3">
        <f>IF(ISNUMBER(AVERAGE('20250815_ETF_Options_Exhibits'!G1465:G1469)),AVERAGE('20250815_ETF_Options_Exhibits'!G1465:G1469),"")</f>
        <v/>
      </c>
      <c r="H1469" s="3">
        <f>IF(ISNUMBER(AVERAGE('20250815_ETF_Options_Exhibits'!H1465:H1469)),AVERAGE('20250815_ETF_Options_Exhibits'!H1465:H1469),"")</f>
        <v/>
      </c>
      <c r="I1469" s="3">
        <f>IF(ISNUMBER(AVERAGE('20250815_ETF_Options_Exhibits'!I1465:I1469)),AVERAGE('20250815_ETF_Options_Exhibits'!I1465:I1469),"")</f>
        <v/>
      </c>
      <c r="J1469" s="3">
        <f>IF(ISNUMBER(AVERAGE('20250815_ETF_Options_Exhibits'!J1465:J1469)),AVERAGE('20250815_ETF_Options_Exhibits'!J1465:J1469),"")</f>
        <v/>
      </c>
      <c r="K1469" s="3">
        <f>IF(ISNUMBER(AVERAGE('20250815_ETF_Options_Exhibits'!K1465:K1469)),AVERAGE('20250815_ETF_Options_Exhibits'!K1465:K1469),"")</f>
        <v/>
      </c>
      <c r="L1469" s="3">
        <f>IF(ISNUMBER(AVERAGE('20250815_ETF_Options_Exhibits'!L1465:L1469)),AVERAGE('20250815_ETF_Options_Exhibits'!L1465:L1469),"")</f>
        <v/>
      </c>
      <c r="M1469" s="3">
        <f>IF(ISNUMBER(AVERAGE('20250815_ETF_Options_Exhibits'!M1465:M1469)),AVERAGE('20250815_ETF_Options_Exhibits'!M1465:M1469),"")</f>
        <v/>
      </c>
      <c r="N1469" s="3">
        <f>IF(ISNUMBER(AVERAGE('20250815_ETF_Options_Exhibits'!N1465:N1469)),AVERAGE('20250815_ETF_Options_Exhibits'!N1465:N1469),"")</f>
        <v/>
      </c>
      <c r="O1469" s="3">
        <f>IF(ISNUMBER(AVERAGE('20250815_ETF_Options_Exhibits'!O1465:O1469)),AVERAGE('20250815_ETF_Options_Exhibits'!O1465:O1469),"")</f>
        <v/>
      </c>
      <c r="P1469" s="3">
        <f>IF(ISNUMBER(AVERAGE('20250815_ETF_Options_Exhibits'!P1465:P1469)),AVERAGE('20250815_ETF_Options_Exhibits'!P1465:P1469),"")</f>
        <v/>
      </c>
      <c r="Q1469" s="3">
        <f>IF(ISNUMBER(AVERAGE('20250815_ETF_Options_Exhibits'!Q1465:Q1469)),AVERAGE('20250815_ETF_Options_Exhibits'!Q1465:Q1469),"")</f>
        <v/>
      </c>
      <c r="R1469" s="3">
        <f>IF(ISNUMBER(AVERAGE('20250815_ETF_Options_Exhibits'!R1465:R1469)),AVERAGE('20250815_ETF_Options_Exhibits'!R1465:R1469),"")</f>
        <v/>
      </c>
      <c r="S1469" s="3">
        <f>IF(ISNUMBER(AVERAGE('20250815_ETF_Options_Exhibits'!S1465:S1469)),AVERAGE('20250815_ETF_Options_Exhibits'!S1465:S1469),"")</f>
        <v/>
      </c>
      <c r="T1469" s="3">
        <f>IF(ISNUMBER(AVERAGE('20250815_ETF_Options_Exhibits'!T1465:T1469)),AVERAGE('20250815_ETF_Options_Exhibits'!T1465:T1469),"")</f>
        <v/>
      </c>
      <c r="U1469" s="3">
        <f>IF(ISNUMBER(AVERAGE('20250815_ETF_Options_Exhibits'!U1465:U1469)),AVERAGE('20250815_ETF_Options_Exhibits'!U1465:U1469),"")</f>
        <v/>
      </c>
      <c r="V1469" s="3">
        <f>IF(ISNUMBER(AVERAGE('20250815_ETF_Options_Exhibits'!V1465:V1469)),AVERAGE('20250815_ETF_Options_Exhibits'!V1465:V1469),"")</f>
        <v/>
      </c>
      <c r="W1469" s="3">
        <f>IF(ISNUMBER(AVERAGE('20250815_ETF_Options_Exhibits'!W1465:W1469)),AVERAGE('20250815_ETF_Options_Exhibits'!W1465:W1469),"")</f>
        <v/>
      </c>
      <c r="X1469" s="3">
        <f>IF(ISNUMBER(AVERAGE('20250815_ETF_Options_Exhibits'!X1465:X1469)),AVERAGE('20250815_ETF_Options_Exhibits'!X1465:X1469),"")</f>
        <v/>
      </c>
      <c r="Y1469" s="3">
        <f>IF(ISNUMBER(AVERAGE('20250815_ETF_Options_Exhibits'!Y1465:Y1469)),AVERAGE('20250815_ETF_Options_Exhibits'!Y1465:Y1469),"")</f>
        <v/>
      </c>
      <c r="Z1469" s="3">
        <f>IF(ISNUMBER(AVERAGE('20250815_ETF_Options_Exhibits'!Z1465:Z1469)),AVERAGE('20250815_ETF_Options_Exhibits'!Z1465:Z1469),"")</f>
        <v/>
      </c>
      <c r="AA1469" s="3">
        <f>IF(ISNUMBER(AVERAGE('20250815_ETF_Options_Exhibits'!AA1465:AA1469)),AVERAGE('20250815_ETF_Options_Exhibits'!AA1465:AA1469),"")</f>
        <v/>
      </c>
    </row>
    <row r="1470">
      <c r="A1470" s="1" t="n">
        <v>44133</v>
      </c>
      <c r="B1470" s="3">
        <f>IF(ISNUMBER(AVERAGE('20250815_ETF_Options_Exhibits'!B1466:B1470)),AVERAGE('20250815_ETF_Options_Exhibits'!B1466:B1470),"")</f>
        <v/>
      </c>
      <c r="C1470" s="3">
        <f>IF(ISNUMBER(AVERAGE('20250815_ETF_Options_Exhibits'!C1466:C1470)),AVERAGE('20250815_ETF_Options_Exhibits'!C1466:C1470),"")</f>
        <v/>
      </c>
      <c r="D1470" s="3">
        <f>IF(ISNUMBER(AVERAGE('20250815_ETF_Options_Exhibits'!D1466:D1470)),AVERAGE('20250815_ETF_Options_Exhibits'!D1466:D1470),"")</f>
        <v/>
      </c>
      <c r="E1470" s="3">
        <f>IF(ISNUMBER(AVERAGE('20250815_ETF_Options_Exhibits'!E1466:E1470)),AVERAGE('20250815_ETF_Options_Exhibits'!E1466:E1470),"")</f>
        <v/>
      </c>
      <c r="F1470" s="3">
        <f>IF(ISNUMBER(AVERAGE('20250815_ETF_Options_Exhibits'!F1466:F1470)),AVERAGE('20250815_ETF_Options_Exhibits'!F1466:F1470),"")</f>
        <v/>
      </c>
      <c r="G1470" s="3">
        <f>IF(ISNUMBER(AVERAGE('20250815_ETF_Options_Exhibits'!G1466:G1470)),AVERAGE('20250815_ETF_Options_Exhibits'!G1466:G1470),"")</f>
        <v/>
      </c>
      <c r="H1470" s="3">
        <f>IF(ISNUMBER(AVERAGE('20250815_ETF_Options_Exhibits'!H1466:H1470)),AVERAGE('20250815_ETF_Options_Exhibits'!H1466:H1470),"")</f>
        <v/>
      </c>
      <c r="I1470" s="3">
        <f>IF(ISNUMBER(AVERAGE('20250815_ETF_Options_Exhibits'!I1466:I1470)),AVERAGE('20250815_ETF_Options_Exhibits'!I1466:I1470),"")</f>
        <v/>
      </c>
      <c r="J1470" s="3">
        <f>IF(ISNUMBER(AVERAGE('20250815_ETF_Options_Exhibits'!J1466:J1470)),AVERAGE('20250815_ETF_Options_Exhibits'!J1466:J1470),"")</f>
        <v/>
      </c>
      <c r="K1470" s="3">
        <f>IF(ISNUMBER(AVERAGE('20250815_ETF_Options_Exhibits'!K1466:K1470)),AVERAGE('20250815_ETF_Options_Exhibits'!K1466:K1470),"")</f>
        <v/>
      </c>
      <c r="L1470" s="3">
        <f>IF(ISNUMBER(AVERAGE('20250815_ETF_Options_Exhibits'!L1466:L1470)),AVERAGE('20250815_ETF_Options_Exhibits'!L1466:L1470),"")</f>
        <v/>
      </c>
      <c r="M1470" s="3">
        <f>IF(ISNUMBER(AVERAGE('20250815_ETF_Options_Exhibits'!M1466:M1470)),AVERAGE('20250815_ETF_Options_Exhibits'!M1466:M1470),"")</f>
        <v/>
      </c>
      <c r="N1470" s="3">
        <f>IF(ISNUMBER(AVERAGE('20250815_ETF_Options_Exhibits'!N1466:N1470)),AVERAGE('20250815_ETF_Options_Exhibits'!N1466:N1470),"")</f>
        <v/>
      </c>
      <c r="O1470" s="3">
        <f>IF(ISNUMBER(AVERAGE('20250815_ETF_Options_Exhibits'!O1466:O1470)),AVERAGE('20250815_ETF_Options_Exhibits'!O1466:O1470),"")</f>
        <v/>
      </c>
      <c r="P1470" s="3">
        <f>IF(ISNUMBER(AVERAGE('20250815_ETF_Options_Exhibits'!P1466:P1470)),AVERAGE('20250815_ETF_Options_Exhibits'!P1466:P1470),"")</f>
        <v/>
      </c>
      <c r="Q1470" s="3">
        <f>IF(ISNUMBER(AVERAGE('20250815_ETF_Options_Exhibits'!Q1466:Q1470)),AVERAGE('20250815_ETF_Options_Exhibits'!Q1466:Q1470),"")</f>
        <v/>
      </c>
      <c r="R1470" s="3">
        <f>IF(ISNUMBER(AVERAGE('20250815_ETF_Options_Exhibits'!R1466:R1470)),AVERAGE('20250815_ETF_Options_Exhibits'!R1466:R1470),"")</f>
        <v/>
      </c>
      <c r="S1470" s="3">
        <f>IF(ISNUMBER(AVERAGE('20250815_ETF_Options_Exhibits'!S1466:S1470)),AVERAGE('20250815_ETF_Options_Exhibits'!S1466:S1470),"")</f>
        <v/>
      </c>
      <c r="T1470" s="3">
        <f>IF(ISNUMBER(AVERAGE('20250815_ETF_Options_Exhibits'!T1466:T1470)),AVERAGE('20250815_ETF_Options_Exhibits'!T1466:T1470),"")</f>
        <v/>
      </c>
      <c r="U1470" s="3">
        <f>IF(ISNUMBER(AVERAGE('20250815_ETF_Options_Exhibits'!U1466:U1470)),AVERAGE('20250815_ETF_Options_Exhibits'!U1466:U1470),"")</f>
        <v/>
      </c>
      <c r="V1470" s="3">
        <f>IF(ISNUMBER(AVERAGE('20250815_ETF_Options_Exhibits'!V1466:V1470)),AVERAGE('20250815_ETF_Options_Exhibits'!V1466:V1470),"")</f>
        <v/>
      </c>
      <c r="W1470" s="3">
        <f>IF(ISNUMBER(AVERAGE('20250815_ETF_Options_Exhibits'!W1466:W1470)),AVERAGE('20250815_ETF_Options_Exhibits'!W1466:W1470),"")</f>
        <v/>
      </c>
      <c r="X1470" s="3">
        <f>IF(ISNUMBER(AVERAGE('20250815_ETF_Options_Exhibits'!X1466:X1470)),AVERAGE('20250815_ETF_Options_Exhibits'!X1466:X1470),"")</f>
        <v/>
      </c>
      <c r="Y1470" s="3">
        <f>IF(ISNUMBER(AVERAGE('20250815_ETF_Options_Exhibits'!Y1466:Y1470)),AVERAGE('20250815_ETF_Options_Exhibits'!Y1466:Y1470),"")</f>
        <v/>
      </c>
      <c r="Z1470" s="3">
        <f>IF(ISNUMBER(AVERAGE('20250815_ETF_Options_Exhibits'!Z1466:Z1470)),AVERAGE('20250815_ETF_Options_Exhibits'!Z1466:Z1470),"")</f>
        <v/>
      </c>
      <c r="AA1470" s="3">
        <f>IF(ISNUMBER(AVERAGE('20250815_ETF_Options_Exhibits'!AA1466:AA1470)),AVERAGE('20250815_ETF_Options_Exhibits'!AA1466:AA1470),"")</f>
        <v/>
      </c>
    </row>
    <row r="1471">
      <c r="A1471" s="1" t="n">
        <v>44134</v>
      </c>
      <c r="B1471" s="3">
        <f>IF(ISNUMBER(AVERAGE('20250815_ETF_Options_Exhibits'!B1467:B1471)),AVERAGE('20250815_ETF_Options_Exhibits'!B1467:B1471),"")</f>
        <v/>
      </c>
      <c r="C1471" s="3">
        <f>IF(ISNUMBER(AVERAGE('20250815_ETF_Options_Exhibits'!C1467:C1471)),AVERAGE('20250815_ETF_Options_Exhibits'!C1467:C1471),"")</f>
        <v/>
      </c>
      <c r="D1471" s="3">
        <f>IF(ISNUMBER(AVERAGE('20250815_ETF_Options_Exhibits'!D1467:D1471)),AVERAGE('20250815_ETF_Options_Exhibits'!D1467:D1471),"")</f>
        <v/>
      </c>
      <c r="E1471" s="3">
        <f>IF(ISNUMBER(AVERAGE('20250815_ETF_Options_Exhibits'!E1467:E1471)),AVERAGE('20250815_ETF_Options_Exhibits'!E1467:E1471),"")</f>
        <v/>
      </c>
      <c r="F1471" s="3">
        <f>IF(ISNUMBER(AVERAGE('20250815_ETF_Options_Exhibits'!F1467:F1471)),AVERAGE('20250815_ETF_Options_Exhibits'!F1467:F1471),"")</f>
        <v/>
      </c>
      <c r="G1471" s="3">
        <f>IF(ISNUMBER(AVERAGE('20250815_ETF_Options_Exhibits'!G1467:G1471)),AVERAGE('20250815_ETF_Options_Exhibits'!G1467:G1471),"")</f>
        <v/>
      </c>
      <c r="H1471" s="3">
        <f>IF(ISNUMBER(AVERAGE('20250815_ETF_Options_Exhibits'!H1467:H1471)),AVERAGE('20250815_ETF_Options_Exhibits'!H1467:H1471),"")</f>
        <v/>
      </c>
      <c r="I1471" s="3">
        <f>IF(ISNUMBER(AVERAGE('20250815_ETF_Options_Exhibits'!I1467:I1471)),AVERAGE('20250815_ETF_Options_Exhibits'!I1467:I1471),"")</f>
        <v/>
      </c>
      <c r="J1471" s="3">
        <f>IF(ISNUMBER(AVERAGE('20250815_ETF_Options_Exhibits'!J1467:J1471)),AVERAGE('20250815_ETF_Options_Exhibits'!J1467:J1471),"")</f>
        <v/>
      </c>
      <c r="K1471" s="3">
        <f>IF(ISNUMBER(AVERAGE('20250815_ETF_Options_Exhibits'!K1467:K1471)),AVERAGE('20250815_ETF_Options_Exhibits'!K1467:K1471),"")</f>
        <v/>
      </c>
      <c r="L1471" s="3">
        <f>IF(ISNUMBER(AVERAGE('20250815_ETF_Options_Exhibits'!L1467:L1471)),AVERAGE('20250815_ETF_Options_Exhibits'!L1467:L1471),"")</f>
        <v/>
      </c>
      <c r="M1471" s="3">
        <f>IF(ISNUMBER(AVERAGE('20250815_ETF_Options_Exhibits'!M1467:M1471)),AVERAGE('20250815_ETF_Options_Exhibits'!M1467:M1471),"")</f>
        <v/>
      </c>
      <c r="N1471" s="3">
        <f>IF(ISNUMBER(AVERAGE('20250815_ETF_Options_Exhibits'!N1467:N1471)),AVERAGE('20250815_ETF_Options_Exhibits'!N1467:N1471),"")</f>
        <v/>
      </c>
      <c r="O1471" s="3">
        <f>IF(ISNUMBER(AVERAGE('20250815_ETF_Options_Exhibits'!O1467:O1471)),AVERAGE('20250815_ETF_Options_Exhibits'!O1467:O1471),"")</f>
        <v/>
      </c>
      <c r="P1471" s="3">
        <f>IF(ISNUMBER(AVERAGE('20250815_ETF_Options_Exhibits'!P1467:P1471)),AVERAGE('20250815_ETF_Options_Exhibits'!P1467:P1471),"")</f>
        <v/>
      </c>
      <c r="Q1471" s="3">
        <f>IF(ISNUMBER(AVERAGE('20250815_ETF_Options_Exhibits'!Q1467:Q1471)),AVERAGE('20250815_ETF_Options_Exhibits'!Q1467:Q1471),"")</f>
        <v/>
      </c>
      <c r="R1471" s="3">
        <f>IF(ISNUMBER(AVERAGE('20250815_ETF_Options_Exhibits'!R1467:R1471)),AVERAGE('20250815_ETF_Options_Exhibits'!R1467:R1471),"")</f>
        <v/>
      </c>
      <c r="S1471" s="3">
        <f>IF(ISNUMBER(AVERAGE('20250815_ETF_Options_Exhibits'!S1467:S1471)),AVERAGE('20250815_ETF_Options_Exhibits'!S1467:S1471),"")</f>
        <v/>
      </c>
      <c r="T1471" s="3">
        <f>IF(ISNUMBER(AVERAGE('20250815_ETF_Options_Exhibits'!T1467:T1471)),AVERAGE('20250815_ETF_Options_Exhibits'!T1467:T1471),"")</f>
        <v/>
      </c>
      <c r="U1471" s="3">
        <f>IF(ISNUMBER(AVERAGE('20250815_ETF_Options_Exhibits'!U1467:U1471)),AVERAGE('20250815_ETF_Options_Exhibits'!U1467:U1471),"")</f>
        <v/>
      </c>
      <c r="V1471" s="3">
        <f>IF(ISNUMBER(AVERAGE('20250815_ETF_Options_Exhibits'!V1467:V1471)),AVERAGE('20250815_ETF_Options_Exhibits'!V1467:V1471),"")</f>
        <v/>
      </c>
      <c r="W1471" s="3">
        <f>IF(ISNUMBER(AVERAGE('20250815_ETF_Options_Exhibits'!W1467:W1471)),AVERAGE('20250815_ETF_Options_Exhibits'!W1467:W1471),"")</f>
        <v/>
      </c>
      <c r="X1471" s="3">
        <f>IF(ISNUMBER(AVERAGE('20250815_ETF_Options_Exhibits'!X1467:X1471)),AVERAGE('20250815_ETF_Options_Exhibits'!X1467:X1471),"")</f>
        <v/>
      </c>
      <c r="Y1471" s="3">
        <f>IF(ISNUMBER(AVERAGE('20250815_ETF_Options_Exhibits'!Y1467:Y1471)),AVERAGE('20250815_ETF_Options_Exhibits'!Y1467:Y1471),"")</f>
        <v/>
      </c>
      <c r="Z1471" s="3">
        <f>IF(ISNUMBER(AVERAGE('20250815_ETF_Options_Exhibits'!Z1467:Z1471)),AVERAGE('20250815_ETF_Options_Exhibits'!Z1467:Z1471),"")</f>
        <v/>
      </c>
      <c r="AA1471" s="3">
        <f>IF(ISNUMBER(AVERAGE('20250815_ETF_Options_Exhibits'!AA1467:AA1471)),AVERAGE('20250815_ETF_Options_Exhibits'!AA1467:AA1471),"")</f>
        <v/>
      </c>
    </row>
    <row r="1472">
      <c r="A1472" s="1" t="n">
        <v>44137</v>
      </c>
      <c r="B1472" s="3">
        <f>IF(ISNUMBER(AVERAGE('20250815_ETF_Options_Exhibits'!B1468:B1472)),AVERAGE('20250815_ETF_Options_Exhibits'!B1468:B1472),"")</f>
        <v/>
      </c>
      <c r="C1472" s="3">
        <f>IF(ISNUMBER(AVERAGE('20250815_ETF_Options_Exhibits'!C1468:C1472)),AVERAGE('20250815_ETF_Options_Exhibits'!C1468:C1472),"")</f>
        <v/>
      </c>
      <c r="D1472" s="3">
        <f>IF(ISNUMBER(AVERAGE('20250815_ETF_Options_Exhibits'!D1468:D1472)),AVERAGE('20250815_ETF_Options_Exhibits'!D1468:D1472),"")</f>
        <v/>
      </c>
      <c r="E1472" s="3">
        <f>IF(ISNUMBER(AVERAGE('20250815_ETF_Options_Exhibits'!E1468:E1472)),AVERAGE('20250815_ETF_Options_Exhibits'!E1468:E1472),"")</f>
        <v/>
      </c>
      <c r="F1472" s="3">
        <f>IF(ISNUMBER(AVERAGE('20250815_ETF_Options_Exhibits'!F1468:F1472)),AVERAGE('20250815_ETF_Options_Exhibits'!F1468:F1472),"")</f>
        <v/>
      </c>
      <c r="G1472" s="3">
        <f>IF(ISNUMBER(AVERAGE('20250815_ETF_Options_Exhibits'!G1468:G1472)),AVERAGE('20250815_ETF_Options_Exhibits'!G1468:G1472),"")</f>
        <v/>
      </c>
      <c r="H1472" s="3">
        <f>IF(ISNUMBER(AVERAGE('20250815_ETF_Options_Exhibits'!H1468:H1472)),AVERAGE('20250815_ETF_Options_Exhibits'!H1468:H1472),"")</f>
        <v/>
      </c>
      <c r="I1472" s="3">
        <f>IF(ISNUMBER(AVERAGE('20250815_ETF_Options_Exhibits'!I1468:I1472)),AVERAGE('20250815_ETF_Options_Exhibits'!I1468:I1472),"")</f>
        <v/>
      </c>
      <c r="J1472" s="3">
        <f>IF(ISNUMBER(AVERAGE('20250815_ETF_Options_Exhibits'!J1468:J1472)),AVERAGE('20250815_ETF_Options_Exhibits'!J1468:J1472),"")</f>
        <v/>
      </c>
      <c r="K1472" s="3">
        <f>IF(ISNUMBER(AVERAGE('20250815_ETF_Options_Exhibits'!K1468:K1472)),AVERAGE('20250815_ETF_Options_Exhibits'!K1468:K1472),"")</f>
        <v/>
      </c>
      <c r="L1472" s="3">
        <f>IF(ISNUMBER(AVERAGE('20250815_ETF_Options_Exhibits'!L1468:L1472)),AVERAGE('20250815_ETF_Options_Exhibits'!L1468:L1472),"")</f>
        <v/>
      </c>
      <c r="M1472" s="3">
        <f>IF(ISNUMBER(AVERAGE('20250815_ETF_Options_Exhibits'!M1468:M1472)),AVERAGE('20250815_ETF_Options_Exhibits'!M1468:M1472),"")</f>
        <v/>
      </c>
      <c r="N1472" s="3">
        <f>IF(ISNUMBER(AVERAGE('20250815_ETF_Options_Exhibits'!N1468:N1472)),AVERAGE('20250815_ETF_Options_Exhibits'!N1468:N1472),"")</f>
        <v/>
      </c>
      <c r="O1472" s="3">
        <f>IF(ISNUMBER(AVERAGE('20250815_ETF_Options_Exhibits'!O1468:O1472)),AVERAGE('20250815_ETF_Options_Exhibits'!O1468:O1472),"")</f>
        <v/>
      </c>
      <c r="P1472" s="3">
        <f>IF(ISNUMBER(AVERAGE('20250815_ETF_Options_Exhibits'!P1468:P1472)),AVERAGE('20250815_ETF_Options_Exhibits'!P1468:P1472),"")</f>
        <v/>
      </c>
      <c r="Q1472" s="3">
        <f>IF(ISNUMBER(AVERAGE('20250815_ETF_Options_Exhibits'!Q1468:Q1472)),AVERAGE('20250815_ETF_Options_Exhibits'!Q1468:Q1472),"")</f>
        <v/>
      </c>
      <c r="R1472" s="3">
        <f>IF(ISNUMBER(AVERAGE('20250815_ETF_Options_Exhibits'!R1468:R1472)),AVERAGE('20250815_ETF_Options_Exhibits'!R1468:R1472),"")</f>
        <v/>
      </c>
      <c r="S1472" s="3">
        <f>IF(ISNUMBER(AVERAGE('20250815_ETF_Options_Exhibits'!S1468:S1472)),AVERAGE('20250815_ETF_Options_Exhibits'!S1468:S1472),"")</f>
        <v/>
      </c>
      <c r="T1472" s="3">
        <f>IF(ISNUMBER(AVERAGE('20250815_ETF_Options_Exhibits'!T1468:T1472)),AVERAGE('20250815_ETF_Options_Exhibits'!T1468:T1472),"")</f>
        <v/>
      </c>
      <c r="U1472" s="3">
        <f>IF(ISNUMBER(AVERAGE('20250815_ETF_Options_Exhibits'!U1468:U1472)),AVERAGE('20250815_ETF_Options_Exhibits'!U1468:U1472),"")</f>
        <v/>
      </c>
      <c r="V1472" s="3">
        <f>IF(ISNUMBER(AVERAGE('20250815_ETF_Options_Exhibits'!V1468:V1472)),AVERAGE('20250815_ETF_Options_Exhibits'!V1468:V1472),"")</f>
        <v/>
      </c>
      <c r="W1472" s="3">
        <f>IF(ISNUMBER(AVERAGE('20250815_ETF_Options_Exhibits'!W1468:W1472)),AVERAGE('20250815_ETF_Options_Exhibits'!W1468:W1472),"")</f>
        <v/>
      </c>
      <c r="X1472" s="3">
        <f>IF(ISNUMBER(AVERAGE('20250815_ETF_Options_Exhibits'!X1468:X1472)),AVERAGE('20250815_ETF_Options_Exhibits'!X1468:X1472),"")</f>
        <v/>
      </c>
      <c r="Y1472" s="3">
        <f>IF(ISNUMBER(AVERAGE('20250815_ETF_Options_Exhibits'!Y1468:Y1472)),AVERAGE('20250815_ETF_Options_Exhibits'!Y1468:Y1472),"")</f>
        <v/>
      </c>
      <c r="Z1472" s="3">
        <f>IF(ISNUMBER(AVERAGE('20250815_ETF_Options_Exhibits'!Z1468:Z1472)),AVERAGE('20250815_ETF_Options_Exhibits'!Z1468:Z1472),"")</f>
        <v/>
      </c>
      <c r="AA1472" s="3">
        <f>IF(ISNUMBER(AVERAGE('20250815_ETF_Options_Exhibits'!AA1468:AA1472)),AVERAGE('20250815_ETF_Options_Exhibits'!AA1468:AA1472),"")</f>
        <v/>
      </c>
    </row>
    <row r="1473">
      <c r="A1473" s="1" t="n">
        <v>44138</v>
      </c>
      <c r="B1473" s="3">
        <f>IF(ISNUMBER(AVERAGE('20250815_ETF_Options_Exhibits'!B1469:B1473)),AVERAGE('20250815_ETF_Options_Exhibits'!B1469:B1473),"")</f>
        <v/>
      </c>
      <c r="C1473" s="3">
        <f>IF(ISNUMBER(AVERAGE('20250815_ETF_Options_Exhibits'!C1469:C1473)),AVERAGE('20250815_ETF_Options_Exhibits'!C1469:C1473),"")</f>
        <v/>
      </c>
      <c r="D1473" s="3">
        <f>IF(ISNUMBER(AVERAGE('20250815_ETF_Options_Exhibits'!D1469:D1473)),AVERAGE('20250815_ETF_Options_Exhibits'!D1469:D1473),"")</f>
        <v/>
      </c>
      <c r="E1473" s="3">
        <f>IF(ISNUMBER(AVERAGE('20250815_ETF_Options_Exhibits'!E1469:E1473)),AVERAGE('20250815_ETF_Options_Exhibits'!E1469:E1473),"")</f>
        <v/>
      </c>
      <c r="F1473" s="3">
        <f>IF(ISNUMBER(AVERAGE('20250815_ETF_Options_Exhibits'!F1469:F1473)),AVERAGE('20250815_ETF_Options_Exhibits'!F1469:F1473),"")</f>
        <v/>
      </c>
      <c r="G1473" s="3">
        <f>IF(ISNUMBER(AVERAGE('20250815_ETF_Options_Exhibits'!G1469:G1473)),AVERAGE('20250815_ETF_Options_Exhibits'!G1469:G1473),"")</f>
        <v/>
      </c>
      <c r="H1473" s="3">
        <f>IF(ISNUMBER(AVERAGE('20250815_ETF_Options_Exhibits'!H1469:H1473)),AVERAGE('20250815_ETF_Options_Exhibits'!H1469:H1473),"")</f>
        <v/>
      </c>
      <c r="I1473" s="3">
        <f>IF(ISNUMBER(AVERAGE('20250815_ETF_Options_Exhibits'!I1469:I1473)),AVERAGE('20250815_ETF_Options_Exhibits'!I1469:I1473),"")</f>
        <v/>
      </c>
      <c r="J1473" s="3">
        <f>IF(ISNUMBER(AVERAGE('20250815_ETF_Options_Exhibits'!J1469:J1473)),AVERAGE('20250815_ETF_Options_Exhibits'!J1469:J1473),"")</f>
        <v/>
      </c>
      <c r="K1473" s="3">
        <f>IF(ISNUMBER(AVERAGE('20250815_ETF_Options_Exhibits'!K1469:K1473)),AVERAGE('20250815_ETF_Options_Exhibits'!K1469:K1473),"")</f>
        <v/>
      </c>
      <c r="L1473" s="3">
        <f>IF(ISNUMBER(AVERAGE('20250815_ETF_Options_Exhibits'!L1469:L1473)),AVERAGE('20250815_ETF_Options_Exhibits'!L1469:L1473),"")</f>
        <v/>
      </c>
      <c r="M1473" s="3">
        <f>IF(ISNUMBER(AVERAGE('20250815_ETF_Options_Exhibits'!M1469:M1473)),AVERAGE('20250815_ETF_Options_Exhibits'!M1469:M1473),"")</f>
        <v/>
      </c>
      <c r="N1473" s="3">
        <f>IF(ISNUMBER(AVERAGE('20250815_ETF_Options_Exhibits'!N1469:N1473)),AVERAGE('20250815_ETF_Options_Exhibits'!N1469:N1473),"")</f>
        <v/>
      </c>
      <c r="O1473" s="3">
        <f>IF(ISNUMBER(AVERAGE('20250815_ETF_Options_Exhibits'!O1469:O1473)),AVERAGE('20250815_ETF_Options_Exhibits'!O1469:O1473),"")</f>
        <v/>
      </c>
      <c r="P1473" s="3">
        <f>IF(ISNUMBER(AVERAGE('20250815_ETF_Options_Exhibits'!P1469:P1473)),AVERAGE('20250815_ETF_Options_Exhibits'!P1469:P1473),"")</f>
        <v/>
      </c>
      <c r="Q1473" s="3">
        <f>IF(ISNUMBER(AVERAGE('20250815_ETF_Options_Exhibits'!Q1469:Q1473)),AVERAGE('20250815_ETF_Options_Exhibits'!Q1469:Q1473),"")</f>
        <v/>
      </c>
      <c r="R1473" s="3">
        <f>IF(ISNUMBER(AVERAGE('20250815_ETF_Options_Exhibits'!R1469:R1473)),AVERAGE('20250815_ETF_Options_Exhibits'!R1469:R1473),"")</f>
        <v/>
      </c>
      <c r="S1473" s="3">
        <f>IF(ISNUMBER(AVERAGE('20250815_ETF_Options_Exhibits'!S1469:S1473)),AVERAGE('20250815_ETF_Options_Exhibits'!S1469:S1473),"")</f>
        <v/>
      </c>
      <c r="T1473" s="3">
        <f>IF(ISNUMBER(AVERAGE('20250815_ETF_Options_Exhibits'!T1469:T1473)),AVERAGE('20250815_ETF_Options_Exhibits'!T1469:T1473),"")</f>
        <v/>
      </c>
      <c r="U1473" s="3">
        <f>IF(ISNUMBER(AVERAGE('20250815_ETF_Options_Exhibits'!U1469:U1473)),AVERAGE('20250815_ETF_Options_Exhibits'!U1469:U1473),"")</f>
        <v/>
      </c>
      <c r="V1473" s="3">
        <f>IF(ISNUMBER(AVERAGE('20250815_ETF_Options_Exhibits'!V1469:V1473)),AVERAGE('20250815_ETF_Options_Exhibits'!V1469:V1473),"")</f>
        <v/>
      </c>
      <c r="W1473" s="3">
        <f>IF(ISNUMBER(AVERAGE('20250815_ETF_Options_Exhibits'!W1469:W1473)),AVERAGE('20250815_ETF_Options_Exhibits'!W1469:W1473),"")</f>
        <v/>
      </c>
      <c r="X1473" s="3">
        <f>IF(ISNUMBER(AVERAGE('20250815_ETF_Options_Exhibits'!X1469:X1473)),AVERAGE('20250815_ETF_Options_Exhibits'!X1469:X1473),"")</f>
        <v/>
      </c>
      <c r="Y1473" s="3">
        <f>IF(ISNUMBER(AVERAGE('20250815_ETF_Options_Exhibits'!Y1469:Y1473)),AVERAGE('20250815_ETF_Options_Exhibits'!Y1469:Y1473),"")</f>
        <v/>
      </c>
      <c r="Z1473" s="3">
        <f>IF(ISNUMBER(AVERAGE('20250815_ETF_Options_Exhibits'!Z1469:Z1473)),AVERAGE('20250815_ETF_Options_Exhibits'!Z1469:Z1473),"")</f>
        <v/>
      </c>
      <c r="AA1473" s="3">
        <f>IF(ISNUMBER(AVERAGE('20250815_ETF_Options_Exhibits'!AA1469:AA1473)),AVERAGE('20250815_ETF_Options_Exhibits'!AA1469:AA1473),"")</f>
        <v/>
      </c>
    </row>
    <row r="1474">
      <c r="A1474" s="1" t="n">
        <v>44139</v>
      </c>
      <c r="B1474" s="3">
        <f>IF(ISNUMBER(AVERAGE('20250815_ETF_Options_Exhibits'!B1470:B1474)),AVERAGE('20250815_ETF_Options_Exhibits'!B1470:B1474),"")</f>
        <v/>
      </c>
      <c r="C1474" s="3">
        <f>IF(ISNUMBER(AVERAGE('20250815_ETF_Options_Exhibits'!C1470:C1474)),AVERAGE('20250815_ETF_Options_Exhibits'!C1470:C1474),"")</f>
        <v/>
      </c>
      <c r="D1474" s="3">
        <f>IF(ISNUMBER(AVERAGE('20250815_ETF_Options_Exhibits'!D1470:D1474)),AVERAGE('20250815_ETF_Options_Exhibits'!D1470:D1474),"")</f>
        <v/>
      </c>
      <c r="E1474" s="3">
        <f>IF(ISNUMBER(AVERAGE('20250815_ETF_Options_Exhibits'!E1470:E1474)),AVERAGE('20250815_ETF_Options_Exhibits'!E1470:E1474),"")</f>
        <v/>
      </c>
      <c r="F1474" s="3">
        <f>IF(ISNUMBER(AVERAGE('20250815_ETF_Options_Exhibits'!F1470:F1474)),AVERAGE('20250815_ETF_Options_Exhibits'!F1470:F1474),"")</f>
        <v/>
      </c>
      <c r="G1474" s="3">
        <f>IF(ISNUMBER(AVERAGE('20250815_ETF_Options_Exhibits'!G1470:G1474)),AVERAGE('20250815_ETF_Options_Exhibits'!G1470:G1474),"")</f>
        <v/>
      </c>
      <c r="H1474" s="3">
        <f>IF(ISNUMBER(AVERAGE('20250815_ETF_Options_Exhibits'!H1470:H1474)),AVERAGE('20250815_ETF_Options_Exhibits'!H1470:H1474),"")</f>
        <v/>
      </c>
      <c r="I1474" s="3">
        <f>IF(ISNUMBER(AVERAGE('20250815_ETF_Options_Exhibits'!I1470:I1474)),AVERAGE('20250815_ETF_Options_Exhibits'!I1470:I1474),"")</f>
        <v/>
      </c>
      <c r="J1474" s="3">
        <f>IF(ISNUMBER(AVERAGE('20250815_ETF_Options_Exhibits'!J1470:J1474)),AVERAGE('20250815_ETF_Options_Exhibits'!J1470:J1474),"")</f>
        <v/>
      </c>
      <c r="K1474" s="3">
        <f>IF(ISNUMBER(AVERAGE('20250815_ETF_Options_Exhibits'!K1470:K1474)),AVERAGE('20250815_ETF_Options_Exhibits'!K1470:K1474),"")</f>
        <v/>
      </c>
      <c r="L1474" s="3">
        <f>IF(ISNUMBER(AVERAGE('20250815_ETF_Options_Exhibits'!L1470:L1474)),AVERAGE('20250815_ETF_Options_Exhibits'!L1470:L1474),"")</f>
        <v/>
      </c>
      <c r="M1474" s="3">
        <f>IF(ISNUMBER(AVERAGE('20250815_ETF_Options_Exhibits'!M1470:M1474)),AVERAGE('20250815_ETF_Options_Exhibits'!M1470:M1474),"")</f>
        <v/>
      </c>
      <c r="N1474" s="3">
        <f>IF(ISNUMBER(AVERAGE('20250815_ETF_Options_Exhibits'!N1470:N1474)),AVERAGE('20250815_ETF_Options_Exhibits'!N1470:N1474),"")</f>
        <v/>
      </c>
      <c r="O1474" s="3">
        <f>IF(ISNUMBER(AVERAGE('20250815_ETF_Options_Exhibits'!O1470:O1474)),AVERAGE('20250815_ETF_Options_Exhibits'!O1470:O1474),"")</f>
        <v/>
      </c>
      <c r="P1474" s="3">
        <f>IF(ISNUMBER(AVERAGE('20250815_ETF_Options_Exhibits'!P1470:P1474)),AVERAGE('20250815_ETF_Options_Exhibits'!P1470:P1474),"")</f>
        <v/>
      </c>
      <c r="Q1474" s="3">
        <f>IF(ISNUMBER(AVERAGE('20250815_ETF_Options_Exhibits'!Q1470:Q1474)),AVERAGE('20250815_ETF_Options_Exhibits'!Q1470:Q1474),"")</f>
        <v/>
      </c>
      <c r="R1474" s="3">
        <f>IF(ISNUMBER(AVERAGE('20250815_ETF_Options_Exhibits'!R1470:R1474)),AVERAGE('20250815_ETF_Options_Exhibits'!R1470:R1474),"")</f>
        <v/>
      </c>
      <c r="S1474" s="3">
        <f>IF(ISNUMBER(AVERAGE('20250815_ETF_Options_Exhibits'!S1470:S1474)),AVERAGE('20250815_ETF_Options_Exhibits'!S1470:S1474),"")</f>
        <v/>
      </c>
      <c r="T1474" s="3">
        <f>IF(ISNUMBER(AVERAGE('20250815_ETF_Options_Exhibits'!T1470:T1474)),AVERAGE('20250815_ETF_Options_Exhibits'!T1470:T1474),"")</f>
        <v/>
      </c>
      <c r="U1474" s="3">
        <f>IF(ISNUMBER(AVERAGE('20250815_ETF_Options_Exhibits'!U1470:U1474)),AVERAGE('20250815_ETF_Options_Exhibits'!U1470:U1474),"")</f>
        <v/>
      </c>
      <c r="V1474" s="3">
        <f>IF(ISNUMBER(AVERAGE('20250815_ETF_Options_Exhibits'!V1470:V1474)),AVERAGE('20250815_ETF_Options_Exhibits'!V1470:V1474),"")</f>
        <v/>
      </c>
      <c r="W1474" s="3">
        <f>IF(ISNUMBER(AVERAGE('20250815_ETF_Options_Exhibits'!W1470:W1474)),AVERAGE('20250815_ETF_Options_Exhibits'!W1470:W1474),"")</f>
        <v/>
      </c>
      <c r="X1474" s="3">
        <f>IF(ISNUMBER(AVERAGE('20250815_ETF_Options_Exhibits'!X1470:X1474)),AVERAGE('20250815_ETF_Options_Exhibits'!X1470:X1474),"")</f>
        <v/>
      </c>
      <c r="Y1474" s="3">
        <f>IF(ISNUMBER(AVERAGE('20250815_ETF_Options_Exhibits'!Y1470:Y1474)),AVERAGE('20250815_ETF_Options_Exhibits'!Y1470:Y1474),"")</f>
        <v/>
      </c>
      <c r="Z1474" s="3">
        <f>IF(ISNUMBER(AVERAGE('20250815_ETF_Options_Exhibits'!Z1470:Z1474)),AVERAGE('20250815_ETF_Options_Exhibits'!Z1470:Z1474),"")</f>
        <v/>
      </c>
      <c r="AA1474" s="3">
        <f>IF(ISNUMBER(AVERAGE('20250815_ETF_Options_Exhibits'!AA1470:AA1474)),AVERAGE('20250815_ETF_Options_Exhibits'!AA1470:AA1474),"")</f>
        <v/>
      </c>
    </row>
    <row r="1475">
      <c r="A1475" s="1" t="n">
        <v>44140</v>
      </c>
      <c r="B1475" s="3">
        <f>IF(ISNUMBER(AVERAGE('20250815_ETF_Options_Exhibits'!B1471:B1475)),AVERAGE('20250815_ETF_Options_Exhibits'!B1471:B1475),"")</f>
        <v/>
      </c>
      <c r="C1475" s="3">
        <f>IF(ISNUMBER(AVERAGE('20250815_ETF_Options_Exhibits'!C1471:C1475)),AVERAGE('20250815_ETF_Options_Exhibits'!C1471:C1475),"")</f>
        <v/>
      </c>
      <c r="D1475" s="3">
        <f>IF(ISNUMBER(AVERAGE('20250815_ETF_Options_Exhibits'!D1471:D1475)),AVERAGE('20250815_ETF_Options_Exhibits'!D1471:D1475),"")</f>
        <v/>
      </c>
      <c r="E1475" s="3">
        <f>IF(ISNUMBER(AVERAGE('20250815_ETF_Options_Exhibits'!E1471:E1475)),AVERAGE('20250815_ETF_Options_Exhibits'!E1471:E1475),"")</f>
        <v/>
      </c>
      <c r="F1475" s="3">
        <f>IF(ISNUMBER(AVERAGE('20250815_ETF_Options_Exhibits'!F1471:F1475)),AVERAGE('20250815_ETF_Options_Exhibits'!F1471:F1475),"")</f>
        <v/>
      </c>
      <c r="G1475" s="3">
        <f>IF(ISNUMBER(AVERAGE('20250815_ETF_Options_Exhibits'!G1471:G1475)),AVERAGE('20250815_ETF_Options_Exhibits'!G1471:G1475),"")</f>
        <v/>
      </c>
      <c r="H1475" s="3">
        <f>IF(ISNUMBER(AVERAGE('20250815_ETF_Options_Exhibits'!H1471:H1475)),AVERAGE('20250815_ETF_Options_Exhibits'!H1471:H1475),"")</f>
        <v/>
      </c>
      <c r="I1475" s="3">
        <f>IF(ISNUMBER(AVERAGE('20250815_ETF_Options_Exhibits'!I1471:I1475)),AVERAGE('20250815_ETF_Options_Exhibits'!I1471:I1475),"")</f>
        <v/>
      </c>
      <c r="J1475" s="3">
        <f>IF(ISNUMBER(AVERAGE('20250815_ETF_Options_Exhibits'!J1471:J1475)),AVERAGE('20250815_ETF_Options_Exhibits'!J1471:J1475),"")</f>
        <v/>
      </c>
      <c r="K1475" s="3">
        <f>IF(ISNUMBER(AVERAGE('20250815_ETF_Options_Exhibits'!K1471:K1475)),AVERAGE('20250815_ETF_Options_Exhibits'!K1471:K1475),"")</f>
        <v/>
      </c>
      <c r="L1475" s="3">
        <f>IF(ISNUMBER(AVERAGE('20250815_ETF_Options_Exhibits'!L1471:L1475)),AVERAGE('20250815_ETF_Options_Exhibits'!L1471:L1475),"")</f>
        <v/>
      </c>
      <c r="M1475" s="3">
        <f>IF(ISNUMBER(AVERAGE('20250815_ETF_Options_Exhibits'!M1471:M1475)),AVERAGE('20250815_ETF_Options_Exhibits'!M1471:M1475),"")</f>
        <v/>
      </c>
      <c r="N1475" s="3">
        <f>IF(ISNUMBER(AVERAGE('20250815_ETF_Options_Exhibits'!N1471:N1475)),AVERAGE('20250815_ETF_Options_Exhibits'!N1471:N1475),"")</f>
        <v/>
      </c>
      <c r="O1475" s="3">
        <f>IF(ISNUMBER(AVERAGE('20250815_ETF_Options_Exhibits'!O1471:O1475)),AVERAGE('20250815_ETF_Options_Exhibits'!O1471:O1475),"")</f>
        <v/>
      </c>
      <c r="P1475" s="3">
        <f>IF(ISNUMBER(AVERAGE('20250815_ETF_Options_Exhibits'!P1471:P1475)),AVERAGE('20250815_ETF_Options_Exhibits'!P1471:P1475),"")</f>
        <v/>
      </c>
      <c r="Q1475" s="3">
        <f>IF(ISNUMBER(AVERAGE('20250815_ETF_Options_Exhibits'!Q1471:Q1475)),AVERAGE('20250815_ETF_Options_Exhibits'!Q1471:Q1475),"")</f>
        <v/>
      </c>
      <c r="R1475" s="3">
        <f>IF(ISNUMBER(AVERAGE('20250815_ETF_Options_Exhibits'!R1471:R1475)),AVERAGE('20250815_ETF_Options_Exhibits'!R1471:R1475),"")</f>
        <v/>
      </c>
      <c r="S1475" s="3">
        <f>IF(ISNUMBER(AVERAGE('20250815_ETF_Options_Exhibits'!S1471:S1475)),AVERAGE('20250815_ETF_Options_Exhibits'!S1471:S1475),"")</f>
        <v/>
      </c>
      <c r="T1475" s="3">
        <f>IF(ISNUMBER(AVERAGE('20250815_ETF_Options_Exhibits'!T1471:T1475)),AVERAGE('20250815_ETF_Options_Exhibits'!T1471:T1475),"")</f>
        <v/>
      </c>
      <c r="U1475" s="3">
        <f>IF(ISNUMBER(AVERAGE('20250815_ETF_Options_Exhibits'!U1471:U1475)),AVERAGE('20250815_ETF_Options_Exhibits'!U1471:U1475),"")</f>
        <v/>
      </c>
      <c r="V1475" s="3">
        <f>IF(ISNUMBER(AVERAGE('20250815_ETF_Options_Exhibits'!V1471:V1475)),AVERAGE('20250815_ETF_Options_Exhibits'!V1471:V1475),"")</f>
        <v/>
      </c>
      <c r="W1475" s="3">
        <f>IF(ISNUMBER(AVERAGE('20250815_ETF_Options_Exhibits'!W1471:W1475)),AVERAGE('20250815_ETF_Options_Exhibits'!W1471:W1475),"")</f>
        <v/>
      </c>
      <c r="X1475" s="3">
        <f>IF(ISNUMBER(AVERAGE('20250815_ETF_Options_Exhibits'!X1471:X1475)),AVERAGE('20250815_ETF_Options_Exhibits'!X1471:X1475),"")</f>
        <v/>
      </c>
      <c r="Y1475" s="3">
        <f>IF(ISNUMBER(AVERAGE('20250815_ETF_Options_Exhibits'!Y1471:Y1475)),AVERAGE('20250815_ETF_Options_Exhibits'!Y1471:Y1475),"")</f>
        <v/>
      </c>
      <c r="Z1475" s="3">
        <f>IF(ISNUMBER(AVERAGE('20250815_ETF_Options_Exhibits'!Z1471:Z1475)),AVERAGE('20250815_ETF_Options_Exhibits'!Z1471:Z1475),"")</f>
        <v/>
      </c>
      <c r="AA1475" s="3">
        <f>IF(ISNUMBER(AVERAGE('20250815_ETF_Options_Exhibits'!AA1471:AA1475)),AVERAGE('20250815_ETF_Options_Exhibits'!AA1471:AA1475),"")</f>
        <v/>
      </c>
    </row>
    <row r="1476">
      <c r="A1476" s="1" t="n">
        <v>44141</v>
      </c>
      <c r="B1476" s="3">
        <f>IF(ISNUMBER(AVERAGE('20250815_ETF_Options_Exhibits'!B1472:B1476)),AVERAGE('20250815_ETF_Options_Exhibits'!B1472:B1476),"")</f>
        <v/>
      </c>
      <c r="C1476" s="3">
        <f>IF(ISNUMBER(AVERAGE('20250815_ETF_Options_Exhibits'!C1472:C1476)),AVERAGE('20250815_ETF_Options_Exhibits'!C1472:C1476),"")</f>
        <v/>
      </c>
      <c r="D1476" s="3">
        <f>IF(ISNUMBER(AVERAGE('20250815_ETF_Options_Exhibits'!D1472:D1476)),AVERAGE('20250815_ETF_Options_Exhibits'!D1472:D1476),"")</f>
        <v/>
      </c>
      <c r="E1476" s="3">
        <f>IF(ISNUMBER(AVERAGE('20250815_ETF_Options_Exhibits'!E1472:E1476)),AVERAGE('20250815_ETF_Options_Exhibits'!E1472:E1476),"")</f>
        <v/>
      </c>
      <c r="F1476" s="3">
        <f>IF(ISNUMBER(AVERAGE('20250815_ETF_Options_Exhibits'!F1472:F1476)),AVERAGE('20250815_ETF_Options_Exhibits'!F1472:F1476),"")</f>
        <v/>
      </c>
      <c r="G1476" s="3">
        <f>IF(ISNUMBER(AVERAGE('20250815_ETF_Options_Exhibits'!G1472:G1476)),AVERAGE('20250815_ETF_Options_Exhibits'!G1472:G1476),"")</f>
        <v/>
      </c>
      <c r="H1476" s="3">
        <f>IF(ISNUMBER(AVERAGE('20250815_ETF_Options_Exhibits'!H1472:H1476)),AVERAGE('20250815_ETF_Options_Exhibits'!H1472:H1476),"")</f>
        <v/>
      </c>
      <c r="I1476" s="3">
        <f>IF(ISNUMBER(AVERAGE('20250815_ETF_Options_Exhibits'!I1472:I1476)),AVERAGE('20250815_ETF_Options_Exhibits'!I1472:I1476),"")</f>
        <v/>
      </c>
      <c r="J1476" s="3">
        <f>IF(ISNUMBER(AVERAGE('20250815_ETF_Options_Exhibits'!J1472:J1476)),AVERAGE('20250815_ETF_Options_Exhibits'!J1472:J1476),"")</f>
        <v/>
      </c>
      <c r="K1476" s="3">
        <f>IF(ISNUMBER(AVERAGE('20250815_ETF_Options_Exhibits'!K1472:K1476)),AVERAGE('20250815_ETF_Options_Exhibits'!K1472:K1476),"")</f>
        <v/>
      </c>
      <c r="L1476" s="3">
        <f>IF(ISNUMBER(AVERAGE('20250815_ETF_Options_Exhibits'!L1472:L1476)),AVERAGE('20250815_ETF_Options_Exhibits'!L1472:L1476),"")</f>
        <v/>
      </c>
      <c r="M1476" s="3">
        <f>IF(ISNUMBER(AVERAGE('20250815_ETF_Options_Exhibits'!M1472:M1476)),AVERAGE('20250815_ETF_Options_Exhibits'!M1472:M1476),"")</f>
        <v/>
      </c>
      <c r="N1476" s="3">
        <f>IF(ISNUMBER(AVERAGE('20250815_ETF_Options_Exhibits'!N1472:N1476)),AVERAGE('20250815_ETF_Options_Exhibits'!N1472:N1476),"")</f>
        <v/>
      </c>
      <c r="O1476" s="3">
        <f>IF(ISNUMBER(AVERAGE('20250815_ETF_Options_Exhibits'!O1472:O1476)),AVERAGE('20250815_ETF_Options_Exhibits'!O1472:O1476),"")</f>
        <v/>
      </c>
      <c r="P1476" s="3">
        <f>IF(ISNUMBER(AVERAGE('20250815_ETF_Options_Exhibits'!P1472:P1476)),AVERAGE('20250815_ETF_Options_Exhibits'!P1472:P1476),"")</f>
        <v/>
      </c>
      <c r="Q1476" s="3">
        <f>IF(ISNUMBER(AVERAGE('20250815_ETF_Options_Exhibits'!Q1472:Q1476)),AVERAGE('20250815_ETF_Options_Exhibits'!Q1472:Q1476),"")</f>
        <v/>
      </c>
      <c r="R1476" s="3">
        <f>IF(ISNUMBER(AVERAGE('20250815_ETF_Options_Exhibits'!R1472:R1476)),AVERAGE('20250815_ETF_Options_Exhibits'!R1472:R1476),"")</f>
        <v/>
      </c>
      <c r="S1476" s="3">
        <f>IF(ISNUMBER(AVERAGE('20250815_ETF_Options_Exhibits'!S1472:S1476)),AVERAGE('20250815_ETF_Options_Exhibits'!S1472:S1476),"")</f>
        <v/>
      </c>
      <c r="T1476" s="3">
        <f>IF(ISNUMBER(AVERAGE('20250815_ETF_Options_Exhibits'!T1472:T1476)),AVERAGE('20250815_ETF_Options_Exhibits'!T1472:T1476),"")</f>
        <v/>
      </c>
      <c r="U1476" s="3">
        <f>IF(ISNUMBER(AVERAGE('20250815_ETF_Options_Exhibits'!U1472:U1476)),AVERAGE('20250815_ETF_Options_Exhibits'!U1472:U1476),"")</f>
        <v/>
      </c>
      <c r="V1476" s="3">
        <f>IF(ISNUMBER(AVERAGE('20250815_ETF_Options_Exhibits'!V1472:V1476)),AVERAGE('20250815_ETF_Options_Exhibits'!V1472:V1476),"")</f>
        <v/>
      </c>
      <c r="W1476" s="3">
        <f>IF(ISNUMBER(AVERAGE('20250815_ETF_Options_Exhibits'!W1472:W1476)),AVERAGE('20250815_ETF_Options_Exhibits'!W1472:W1476),"")</f>
        <v/>
      </c>
      <c r="X1476" s="3">
        <f>IF(ISNUMBER(AVERAGE('20250815_ETF_Options_Exhibits'!X1472:X1476)),AVERAGE('20250815_ETF_Options_Exhibits'!X1472:X1476),"")</f>
        <v/>
      </c>
      <c r="Y1476" s="3">
        <f>IF(ISNUMBER(AVERAGE('20250815_ETF_Options_Exhibits'!Y1472:Y1476)),AVERAGE('20250815_ETF_Options_Exhibits'!Y1472:Y1476),"")</f>
        <v/>
      </c>
      <c r="Z1476" s="3">
        <f>IF(ISNUMBER(AVERAGE('20250815_ETF_Options_Exhibits'!Z1472:Z1476)),AVERAGE('20250815_ETF_Options_Exhibits'!Z1472:Z1476),"")</f>
        <v/>
      </c>
      <c r="AA1476" s="3">
        <f>IF(ISNUMBER(AVERAGE('20250815_ETF_Options_Exhibits'!AA1472:AA1476)),AVERAGE('20250815_ETF_Options_Exhibits'!AA1472:AA1476),"")</f>
        <v/>
      </c>
    </row>
    <row r="1477">
      <c r="A1477" s="1" t="n">
        <v>44144</v>
      </c>
      <c r="B1477" s="3">
        <f>IF(ISNUMBER(AVERAGE('20250815_ETF_Options_Exhibits'!B1473:B1477)),AVERAGE('20250815_ETF_Options_Exhibits'!B1473:B1477),"")</f>
        <v/>
      </c>
      <c r="C1477" s="3">
        <f>IF(ISNUMBER(AVERAGE('20250815_ETF_Options_Exhibits'!C1473:C1477)),AVERAGE('20250815_ETF_Options_Exhibits'!C1473:C1477),"")</f>
        <v/>
      </c>
      <c r="D1477" s="3">
        <f>IF(ISNUMBER(AVERAGE('20250815_ETF_Options_Exhibits'!D1473:D1477)),AVERAGE('20250815_ETF_Options_Exhibits'!D1473:D1477),"")</f>
        <v/>
      </c>
      <c r="E1477" s="3">
        <f>IF(ISNUMBER(AVERAGE('20250815_ETF_Options_Exhibits'!E1473:E1477)),AVERAGE('20250815_ETF_Options_Exhibits'!E1473:E1477),"")</f>
        <v/>
      </c>
      <c r="F1477" s="3">
        <f>IF(ISNUMBER(AVERAGE('20250815_ETF_Options_Exhibits'!F1473:F1477)),AVERAGE('20250815_ETF_Options_Exhibits'!F1473:F1477),"")</f>
        <v/>
      </c>
      <c r="G1477" s="3">
        <f>IF(ISNUMBER(AVERAGE('20250815_ETF_Options_Exhibits'!G1473:G1477)),AVERAGE('20250815_ETF_Options_Exhibits'!G1473:G1477),"")</f>
        <v/>
      </c>
      <c r="H1477" s="3">
        <f>IF(ISNUMBER(AVERAGE('20250815_ETF_Options_Exhibits'!H1473:H1477)),AVERAGE('20250815_ETF_Options_Exhibits'!H1473:H1477),"")</f>
        <v/>
      </c>
      <c r="I1477" s="3">
        <f>IF(ISNUMBER(AVERAGE('20250815_ETF_Options_Exhibits'!I1473:I1477)),AVERAGE('20250815_ETF_Options_Exhibits'!I1473:I1477),"")</f>
        <v/>
      </c>
      <c r="J1477" s="3">
        <f>IF(ISNUMBER(AVERAGE('20250815_ETF_Options_Exhibits'!J1473:J1477)),AVERAGE('20250815_ETF_Options_Exhibits'!J1473:J1477),"")</f>
        <v/>
      </c>
      <c r="K1477" s="3">
        <f>IF(ISNUMBER(AVERAGE('20250815_ETF_Options_Exhibits'!K1473:K1477)),AVERAGE('20250815_ETF_Options_Exhibits'!K1473:K1477),"")</f>
        <v/>
      </c>
      <c r="L1477" s="3">
        <f>IF(ISNUMBER(AVERAGE('20250815_ETF_Options_Exhibits'!L1473:L1477)),AVERAGE('20250815_ETF_Options_Exhibits'!L1473:L1477),"")</f>
        <v/>
      </c>
      <c r="M1477" s="3">
        <f>IF(ISNUMBER(AVERAGE('20250815_ETF_Options_Exhibits'!M1473:M1477)),AVERAGE('20250815_ETF_Options_Exhibits'!M1473:M1477),"")</f>
        <v/>
      </c>
      <c r="N1477" s="3">
        <f>IF(ISNUMBER(AVERAGE('20250815_ETF_Options_Exhibits'!N1473:N1477)),AVERAGE('20250815_ETF_Options_Exhibits'!N1473:N1477),"")</f>
        <v/>
      </c>
      <c r="O1477" s="3">
        <f>IF(ISNUMBER(AVERAGE('20250815_ETF_Options_Exhibits'!O1473:O1477)),AVERAGE('20250815_ETF_Options_Exhibits'!O1473:O1477),"")</f>
        <v/>
      </c>
      <c r="P1477" s="3">
        <f>IF(ISNUMBER(AVERAGE('20250815_ETF_Options_Exhibits'!P1473:P1477)),AVERAGE('20250815_ETF_Options_Exhibits'!P1473:P1477),"")</f>
        <v/>
      </c>
      <c r="Q1477" s="3">
        <f>IF(ISNUMBER(AVERAGE('20250815_ETF_Options_Exhibits'!Q1473:Q1477)),AVERAGE('20250815_ETF_Options_Exhibits'!Q1473:Q1477),"")</f>
        <v/>
      </c>
      <c r="R1477" s="3">
        <f>IF(ISNUMBER(AVERAGE('20250815_ETF_Options_Exhibits'!R1473:R1477)),AVERAGE('20250815_ETF_Options_Exhibits'!R1473:R1477),"")</f>
        <v/>
      </c>
      <c r="S1477" s="3">
        <f>IF(ISNUMBER(AVERAGE('20250815_ETF_Options_Exhibits'!S1473:S1477)),AVERAGE('20250815_ETF_Options_Exhibits'!S1473:S1477),"")</f>
        <v/>
      </c>
      <c r="T1477" s="3">
        <f>IF(ISNUMBER(AVERAGE('20250815_ETF_Options_Exhibits'!T1473:T1477)),AVERAGE('20250815_ETF_Options_Exhibits'!T1473:T1477),"")</f>
        <v/>
      </c>
      <c r="U1477" s="3">
        <f>IF(ISNUMBER(AVERAGE('20250815_ETF_Options_Exhibits'!U1473:U1477)),AVERAGE('20250815_ETF_Options_Exhibits'!U1473:U1477),"")</f>
        <v/>
      </c>
      <c r="V1477" s="3">
        <f>IF(ISNUMBER(AVERAGE('20250815_ETF_Options_Exhibits'!V1473:V1477)),AVERAGE('20250815_ETF_Options_Exhibits'!V1473:V1477),"")</f>
        <v/>
      </c>
      <c r="W1477" s="3">
        <f>IF(ISNUMBER(AVERAGE('20250815_ETF_Options_Exhibits'!W1473:W1477)),AVERAGE('20250815_ETF_Options_Exhibits'!W1473:W1477),"")</f>
        <v/>
      </c>
      <c r="X1477" s="3">
        <f>IF(ISNUMBER(AVERAGE('20250815_ETF_Options_Exhibits'!X1473:X1477)),AVERAGE('20250815_ETF_Options_Exhibits'!X1473:X1477),"")</f>
        <v/>
      </c>
      <c r="Y1477" s="3">
        <f>IF(ISNUMBER(AVERAGE('20250815_ETF_Options_Exhibits'!Y1473:Y1477)),AVERAGE('20250815_ETF_Options_Exhibits'!Y1473:Y1477),"")</f>
        <v/>
      </c>
      <c r="Z1477" s="3">
        <f>IF(ISNUMBER(AVERAGE('20250815_ETF_Options_Exhibits'!Z1473:Z1477)),AVERAGE('20250815_ETF_Options_Exhibits'!Z1473:Z1477),"")</f>
        <v/>
      </c>
      <c r="AA1477" s="3">
        <f>IF(ISNUMBER(AVERAGE('20250815_ETF_Options_Exhibits'!AA1473:AA1477)),AVERAGE('20250815_ETF_Options_Exhibits'!AA1473:AA1477),"")</f>
        <v/>
      </c>
    </row>
    <row r="1478">
      <c r="A1478" s="1" t="n">
        <v>44145</v>
      </c>
      <c r="B1478" s="3">
        <f>IF(ISNUMBER(AVERAGE('20250815_ETF_Options_Exhibits'!B1474:B1478)),AVERAGE('20250815_ETF_Options_Exhibits'!B1474:B1478),"")</f>
        <v/>
      </c>
      <c r="C1478" s="3">
        <f>IF(ISNUMBER(AVERAGE('20250815_ETF_Options_Exhibits'!C1474:C1478)),AVERAGE('20250815_ETF_Options_Exhibits'!C1474:C1478),"")</f>
        <v/>
      </c>
      <c r="D1478" s="3">
        <f>IF(ISNUMBER(AVERAGE('20250815_ETF_Options_Exhibits'!D1474:D1478)),AVERAGE('20250815_ETF_Options_Exhibits'!D1474:D1478),"")</f>
        <v/>
      </c>
      <c r="E1478" s="3">
        <f>IF(ISNUMBER(AVERAGE('20250815_ETF_Options_Exhibits'!E1474:E1478)),AVERAGE('20250815_ETF_Options_Exhibits'!E1474:E1478),"")</f>
        <v/>
      </c>
      <c r="F1478" s="3">
        <f>IF(ISNUMBER(AVERAGE('20250815_ETF_Options_Exhibits'!F1474:F1478)),AVERAGE('20250815_ETF_Options_Exhibits'!F1474:F1478),"")</f>
        <v/>
      </c>
      <c r="G1478" s="3">
        <f>IF(ISNUMBER(AVERAGE('20250815_ETF_Options_Exhibits'!G1474:G1478)),AVERAGE('20250815_ETF_Options_Exhibits'!G1474:G1478),"")</f>
        <v/>
      </c>
      <c r="H1478" s="3">
        <f>IF(ISNUMBER(AVERAGE('20250815_ETF_Options_Exhibits'!H1474:H1478)),AVERAGE('20250815_ETF_Options_Exhibits'!H1474:H1478),"")</f>
        <v/>
      </c>
      <c r="I1478" s="3">
        <f>IF(ISNUMBER(AVERAGE('20250815_ETF_Options_Exhibits'!I1474:I1478)),AVERAGE('20250815_ETF_Options_Exhibits'!I1474:I1478),"")</f>
        <v/>
      </c>
      <c r="J1478" s="3">
        <f>IF(ISNUMBER(AVERAGE('20250815_ETF_Options_Exhibits'!J1474:J1478)),AVERAGE('20250815_ETF_Options_Exhibits'!J1474:J1478),"")</f>
        <v/>
      </c>
      <c r="K1478" s="3">
        <f>IF(ISNUMBER(AVERAGE('20250815_ETF_Options_Exhibits'!K1474:K1478)),AVERAGE('20250815_ETF_Options_Exhibits'!K1474:K1478),"")</f>
        <v/>
      </c>
      <c r="L1478" s="3">
        <f>IF(ISNUMBER(AVERAGE('20250815_ETF_Options_Exhibits'!L1474:L1478)),AVERAGE('20250815_ETF_Options_Exhibits'!L1474:L1478),"")</f>
        <v/>
      </c>
      <c r="M1478" s="3">
        <f>IF(ISNUMBER(AVERAGE('20250815_ETF_Options_Exhibits'!M1474:M1478)),AVERAGE('20250815_ETF_Options_Exhibits'!M1474:M1478),"")</f>
        <v/>
      </c>
      <c r="N1478" s="3">
        <f>IF(ISNUMBER(AVERAGE('20250815_ETF_Options_Exhibits'!N1474:N1478)),AVERAGE('20250815_ETF_Options_Exhibits'!N1474:N1478),"")</f>
        <v/>
      </c>
      <c r="O1478" s="3">
        <f>IF(ISNUMBER(AVERAGE('20250815_ETF_Options_Exhibits'!O1474:O1478)),AVERAGE('20250815_ETF_Options_Exhibits'!O1474:O1478),"")</f>
        <v/>
      </c>
      <c r="P1478" s="3">
        <f>IF(ISNUMBER(AVERAGE('20250815_ETF_Options_Exhibits'!P1474:P1478)),AVERAGE('20250815_ETF_Options_Exhibits'!P1474:P1478),"")</f>
        <v/>
      </c>
      <c r="Q1478" s="3">
        <f>IF(ISNUMBER(AVERAGE('20250815_ETF_Options_Exhibits'!Q1474:Q1478)),AVERAGE('20250815_ETF_Options_Exhibits'!Q1474:Q1478),"")</f>
        <v/>
      </c>
      <c r="R1478" s="3">
        <f>IF(ISNUMBER(AVERAGE('20250815_ETF_Options_Exhibits'!R1474:R1478)),AVERAGE('20250815_ETF_Options_Exhibits'!R1474:R1478),"")</f>
        <v/>
      </c>
      <c r="S1478" s="3">
        <f>IF(ISNUMBER(AVERAGE('20250815_ETF_Options_Exhibits'!S1474:S1478)),AVERAGE('20250815_ETF_Options_Exhibits'!S1474:S1478),"")</f>
        <v/>
      </c>
      <c r="T1478" s="3">
        <f>IF(ISNUMBER(AVERAGE('20250815_ETF_Options_Exhibits'!T1474:T1478)),AVERAGE('20250815_ETF_Options_Exhibits'!T1474:T1478),"")</f>
        <v/>
      </c>
      <c r="U1478" s="3">
        <f>IF(ISNUMBER(AVERAGE('20250815_ETF_Options_Exhibits'!U1474:U1478)),AVERAGE('20250815_ETF_Options_Exhibits'!U1474:U1478),"")</f>
        <v/>
      </c>
      <c r="V1478" s="3">
        <f>IF(ISNUMBER(AVERAGE('20250815_ETF_Options_Exhibits'!V1474:V1478)),AVERAGE('20250815_ETF_Options_Exhibits'!V1474:V1478),"")</f>
        <v/>
      </c>
      <c r="W1478" s="3">
        <f>IF(ISNUMBER(AVERAGE('20250815_ETF_Options_Exhibits'!W1474:W1478)),AVERAGE('20250815_ETF_Options_Exhibits'!W1474:W1478),"")</f>
        <v/>
      </c>
      <c r="X1478" s="3">
        <f>IF(ISNUMBER(AVERAGE('20250815_ETF_Options_Exhibits'!X1474:X1478)),AVERAGE('20250815_ETF_Options_Exhibits'!X1474:X1478),"")</f>
        <v/>
      </c>
      <c r="Y1478" s="3">
        <f>IF(ISNUMBER(AVERAGE('20250815_ETF_Options_Exhibits'!Y1474:Y1478)),AVERAGE('20250815_ETF_Options_Exhibits'!Y1474:Y1478),"")</f>
        <v/>
      </c>
      <c r="Z1478" s="3">
        <f>IF(ISNUMBER(AVERAGE('20250815_ETF_Options_Exhibits'!Z1474:Z1478)),AVERAGE('20250815_ETF_Options_Exhibits'!Z1474:Z1478),"")</f>
        <v/>
      </c>
      <c r="AA1478" s="3">
        <f>IF(ISNUMBER(AVERAGE('20250815_ETF_Options_Exhibits'!AA1474:AA1478)),AVERAGE('20250815_ETF_Options_Exhibits'!AA1474:AA1478),"")</f>
        <v/>
      </c>
    </row>
    <row r="1479">
      <c r="A1479" s="1" t="n">
        <v>44146</v>
      </c>
      <c r="B1479" s="3">
        <f>IF(ISNUMBER(AVERAGE('20250815_ETF_Options_Exhibits'!B1475:B1479)),AVERAGE('20250815_ETF_Options_Exhibits'!B1475:B1479),"")</f>
        <v/>
      </c>
      <c r="C1479" s="3">
        <f>IF(ISNUMBER(AVERAGE('20250815_ETF_Options_Exhibits'!C1475:C1479)),AVERAGE('20250815_ETF_Options_Exhibits'!C1475:C1479),"")</f>
        <v/>
      </c>
      <c r="D1479" s="3">
        <f>IF(ISNUMBER(AVERAGE('20250815_ETF_Options_Exhibits'!D1475:D1479)),AVERAGE('20250815_ETF_Options_Exhibits'!D1475:D1479),"")</f>
        <v/>
      </c>
      <c r="E1479" s="3">
        <f>IF(ISNUMBER(AVERAGE('20250815_ETF_Options_Exhibits'!E1475:E1479)),AVERAGE('20250815_ETF_Options_Exhibits'!E1475:E1479),"")</f>
        <v/>
      </c>
      <c r="F1479" s="3">
        <f>IF(ISNUMBER(AVERAGE('20250815_ETF_Options_Exhibits'!F1475:F1479)),AVERAGE('20250815_ETF_Options_Exhibits'!F1475:F1479),"")</f>
        <v/>
      </c>
      <c r="G1479" s="3">
        <f>IF(ISNUMBER(AVERAGE('20250815_ETF_Options_Exhibits'!G1475:G1479)),AVERAGE('20250815_ETF_Options_Exhibits'!G1475:G1479),"")</f>
        <v/>
      </c>
      <c r="H1479" s="3">
        <f>IF(ISNUMBER(AVERAGE('20250815_ETF_Options_Exhibits'!H1475:H1479)),AVERAGE('20250815_ETF_Options_Exhibits'!H1475:H1479),"")</f>
        <v/>
      </c>
      <c r="I1479" s="3">
        <f>IF(ISNUMBER(AVERAGE('20250815_ETF_Options_Exhibits'!I1475:I1479)),AVERAGE('20250815_ETF_Options_Exhibits'!I1475:I1479),"")</f>
        <v/>
      </c>
      <c r="J1479" s="3">
        <f>IF(ISNUMBER(AVERAGE('20250815_ETF_Options_Exhibits'!J1475:J1479)),AVERAGE('20250815_ETF_Options_Exhibits'!J1475:J1479),"")</f>
        <v/>
      </c>
      <c r="K1479" s="3">
        <f>IF(ISNUMBER(AVERAGE('20250815_ETF_Options_Exhibits'!K1475:K1479)),AVERAGE('20250815_ETF_Options_Exhibits'!K1475:K1479),"")</f>
        <v/>
      </c>
      <c r="L1479" s="3">
        <f>IF(ISNUMBER(AVERAGE('20250815_ETF_Options_Exhibits'!L1475:L1479)),AVERAGE('20250815_ETF_Options_Exhibits'!L1475:L1479),"")</f>
        <v/>
      </c>
      <c r="M1479" s="3">
        <f>IF(ISNUMBER(AVERAGE('20250815_ETF_Options_Exhibits'!M1475:M1479)),AVERAGE('20250815_ETF_Options_Exhibits'!M1475:M1479),"")</f>
        <v/>
      </c>
      <c r="N1479" s="3">
        <f>IF(ISNUMBER(AVERAGE('20250815_ETF_Options_Exhibits'!N1475:N1479)),AVERAGE('20250815_ETF_Options_Exhibits'!N1475:N1479),"")</f>
        <v/>
      </c>
      <c r="O1479" s="3">
        <f>IF(ISNUMBER(AVERAGE('20250815_ETF_Options_Exhibits'!O1475:O1479)),AVERAGE('20250815_ETF_Options_Exhibits'!O1475:O1479),"")</f>
        <v/>
      </c>
      <c r="P1479" s="3">
        <f>IF(ISNUMBER(AVERAGE('20250815_ETF_Options_Exhibits'!P1475:P1479)),AVERAGE('20250815_ETF_Options_Exhibits'!P1475:P1479),"")</f>
        <v/>
      </c>
      <c r="Q1479" s="3">
        <f>IF(ISNUMBER(AVERAGE('20250815_ETF_Options_Exhibits'!Q1475:Q1479)),AVERAGE('20250815_ETF_Options_Exhibits'!Q1475:Q1479),"")</f>
        <v/>
      </c>
      <c r="R1479" s="3">
        <f>IF(ISNUMBER(AVERAGE('20250815_ETF_Options_Exhibits'!R1475:R1479)),AVERAGE('20250815_ETF_Options_Exhibits'!R1475:R1479),"")</f>
        <v/>
      </c>
      <c r="S1479" s="3">
        <f>IF(ISNUMBER(AVERAGE('20250815_ETF_Options_Exhibits'!S1475:S1479)),AVERAGE('20250815_ETF_Options_Exhibits'!S1475:S1479),"")</f>
        <v/>
      </c>
      <c r="T1479" s="3">
        <f>IF(ISNUMBER(AVERAGE('20250815_ETF_Options_Exhibits'!T1475:T1479)),AVERAGE('20250815_ETF_Options_Exhibits'!T1475:T1479),"")</f>
        <v/>
      </c>
      <c r="U1479" s="3">
        <f>IF(ISNUMBER(AVERAGE('20250815_ETF_Options_Exhibits'!U1475:U1479)),AVERAGE('20250815_ETF_Options_Exhibits'!U1475:U1479),"")</f>
        <v/>
      </c>
      <c r="V1479" s="3">
        <f>IF(ISNUMBER(AVERAGE('20250815_ETF_Options_Exhibits'!V1475:V1479)),AVERAGE('20250815_ETF_Options_Exhibits'!V1475:V1479),"")</f>
        <v/>
      </c>
      <c r="W1479" s="3">
        <f>IF(ISNUMBER(AVERAGE('20250815_ETF_Options_Exhibits'!W1475:W1479)),AVERAGE('20250815_ETF_Options_Exhibits'!W1475:W1479),"")</f>
        <v/>
      </c>
      <c r="X1479" s="3">
        <f>IF(ISNUMBER(AVERAGE('20250815_ETF_Options_Exhibits'!X1475:X1479)),AVERAGE('20250815_ETF_Options_Exhibits'!X1475:X1479),"")</f>
        <v/>
      </c>
      <c r="Y1479" s="3">
        <f>IF(ISNUMBER(AVERAGE('20250815_ETF_Options_Exhibits'!Y1475:Y1479)),AVERAGE('20250815_ETF_Options_Exhibits'!Y1475:Y1479),"")</f>
        <v/>
      </c>
      <c r="Z1479" s="3">
        <f>IF(ISNUMBER(AVERAGE('20250815_ETF_Options_Exhibits'!Z1475:Z1479)),AVERAGE('20250815_ETF_Options_Exhibits'!Z1475:Z1479),"")</f>
        <v/>
      </c>
      <c r="AA1479" s="3">
        <f>IF(ISNUMBER(AVERAGE('20250815_ETF_Options_Exhibits'!AA1475:AA1479)),AVERAGE('20250815_ETF_Options_Exhibits'!AA1475:AA1479),"")</f>
        <v/>
      </c>
    </row>
    <row r="1480">
      <c r="A1480" s="1" t="n">
        <v>44147</v>
      </c>
      <c r="B1480" s="3">
        <f>IF(ISNUMBER(AVERAGE('20250815_ETF_Options_Exhibits'!B1476:B1480)),AVERAGE('20250815_ETF_Options_Exhibits'!B1476:B1480),"")</f>
        <v/>
      </c>
      <c r="C1480" s="3">
        <f>IF(ISNUMBER(AVERAGE('20250815_ETF_Options_Exhibits'!C1476:C1480)),AVERAGE('20250815_ETF_Options_Exhibits'!C1476:C1480),"")</f>
        <v/>
      </c>
      <c r="D1480" s="3">
        <f>IF(ISNUMBER(AVERAGE('20250815_ETF_Options_Exhibits'!D1476:D1480)),AVERAGE('20250815_ETF_Options_Exhibits'!D1476:D1480),"")</f>
        <v/>
      </c>
      <c r="E1480" s="3">
        <f>IF(ISNUMBER(AVERAGE('20250815_ETF_Options_Exhibits'!E1476:E1480)),AVERAGE('20250815_ETF_Options_Exhibits'!E1476:E1480),"")</f>
        <v/>
      </c>
      <c r="F1480" s="3">
        <f>IF(ISNUMBER(AVERAGE('20250815_ETF_Options_Exhibits'!F1476:F1480)),AVERAGE('20250815_ETF_Options_Exhibits'!F1476:F1480),"")</f>
        <v/>
      </c>
      <c r="G1480" s="3">
        <f>IF(ISNUMBER(AVERAGE('20250815_ETF_Options_Exhibits'!G1476:G1480)),AVERAGE('20250815_ETF_Options_Exhibits'!G1476:G1480),"")</f>
        <v/>
      </c>
      <c r="H1480" s="3">
        <f>IF(ISNUMBER(AVERAGE('20250815_ETF_Options_Exhibits'!H1476:H1480)),AVERAGE('20250815_ETF_Options_Exhibits'!H1476:H1480),"")</f>
        <v/>
      </c>
      <c r="I1480" s="3">
        <f>IF(ISNUMBER(AVERAGE('20250815_ETF_Options_Exhibits'!I1476:I1480)),AVERAGE('20250815_ETF_Options_Exhibits'!I1476:I1480),"")</f>
        <v/>
      </c>
      <c r="J1480" s="3">
        <f>IF(ISNUMBER(AVERAGE('20250815_ETF_Options_Exhibits'!J1476:J1480)),AVERAGE('20250815_ETF_Options_Exhibits'!J1476:J1480),"")</f>
        <v/>
      </c>
      <c r="K1480" s="3">
        <f>IF(ISNUMBER(AVERAGE('20250815_ETF_Options_Exhibits'!K1476:K1480)),AVERAGE('20250815_ETF_Options_Exhibits'!K1476:K1480),"")</f>
        <v/>
      </c>
      <c r="L1480" s="3">
        <f>IF(ISNUMBER(AVERAGE('20250815_ETF_Options_Exhibits'!L1476:L1480)),AVERAGE('20250815_ETF_Options_Exhibits'!L1476:L1480),"")</f>
        <v/>
      </c>
      <c r="M1480" s="3">
        <f>IF(ISNUMBER(AVERAGE('20250815_ETF_Options_Exhibits'!M1476:M1480)),AVERAGE('20250815_ETF_Options_Exhibits'!M1476:M1480),"")</f>
        <v/>
      </c>
      <c r="N1480" s="3">
        <f>IF(ISNUMBER(AVERAGE('20250815_ETF_Options_Exhibits'!N1476:N1480)),AVERAGE('20250815_ETF_Options_Exhibits'!N1476:N1480),"")</f>
        <v/>
      </c>
      <c r="O1480" s="3">
        <f>IF(ISNUMBER(AVERAGE('20250815_ETF_Options_Exhibits'!O1476:O1480)),AVERAGE('20250815_ETF_Options_Exhibits'!O1476:O1480),"")</f>
        <v/>
      </c>
      <c r="P1480" s="3">
        <f>IF(ISNUMBER(AVERAGE('20250815_ETF_Options_Exhibits'!P1476:P1480)),AVERAGE('20250815_ETF_Options_Exhibits'!P1476:P1480),"")</f>
        <v/>
      </c>
      <c r="Q1480" s="3">
        <f>IF(ISNUMBER(AVERAGE('20250815_ETF_Options_Exhibits'!Q1476:Q1480)),AVERAGE('20250815_ETF_Options_Exhibits'!Q1476:Q1480),"")</f>
        <v/>
      </c>
      <c r="R1480" s="3">
        <f>IF(ISNUMBER(AVERAGE('20250815_ETF_Options_Exhibits'!R1476:R1480)),AVERAGE('20250815_ETF_Options_Exhibits'!R1476:R1480),"")</f>
        <v/>
      </c>
      <c r="S1480" s="3">
        <f>IF(ISNUMBER(AVERAGE('20250815_ETF_Options_Exhibits'!S1476:S1480)),AVERAGE('20250815_ETF_Options_Exhibits'!S1476:S1480),"")</f>
        <v/>
      </c>
      <c r="T1480" s="3">
        <f>IF(ISNUMBER(AVERAGE('20250815_ETF_Options_Exhibits'!T1476:T1480)),AVERAGE('20250815_ETF_Options_Exhibits'!T1476:T1480),"")</f>
        <v/>
      </c>
      <c r="U1480" s="3">
        <f>IF(ISNUMBER(AVERAGE('20250815_ETF_Options_Exhibits'!U1476:U1480)),AVERAGE('20250815_ETF_Options_Exhibits'!U1476:U1480),"")</f>
        <v/>
      </c>
      <c r="V1480" s="3">
        <f>IF(ISNUMBER(AVERAGE('20250815_ETF_Options_Exhibits'!V1476:V1480)),AVERAGE('20250815_ETF_Options_Exhibits'!V1476:V1480),"")</f>
        <v/>
      </c>
      <c r="W1480" s="3">
        <f>IF(ISNUMBER(AVERAGE('20250815_ETF_Options_Exhibits'!W1476:W1480)),AVERAGE('20250815_ETF_Options_Exhibits'!W1476:W1480),"")</f>
        <v/>
      </c>
      <c r="X1480" s="3">
        <f>IF(ISNUMBER(AVERAGE('20250815_ETF_Options_Exhibits'!X1476:X1480)),AVERAGE('20250815_ETF_Options_Exhibits'!X1476:X1480),"")</f>
        <v/>
      </c>
      <c r="Y1480" s="3">
        <f>IF(ISNUMBER(AVERAGE('20250815_ETF_Options_Exhibits'!Y1476:Y1480)),AVERAGE('20250815_ETF_Options_Exhibits'!Y1476:Y1480),"")</f>
        <v/>
      </c>
      <c r="Z1480" s="3">
        <f>IF(ISNUMBER(AVERAGE('20250815_ETF_Options_Exhibits'!Z1476:Z1480)),AVERAGE('20250815_ETF_Options_Exhibits'!Z1476:Z1480),"")</f>
        <v/>
      </c>
      <c r="AA1480" s="3">
        <f>IF(ISNUMBER(AVERAGE('20250815_ETF_Options_Exhibits'!AA1476:AA1480)),AVERAGE('20250815_ETF_Options_Exhibits'!AA1476:AA1480),"")</f>
        <v/>
      </c>
    </row>
    <row r="1481">
      <c r="A1481" s="1" t="n">
        <v>44148</v>
      </c>
      <c r="B1481" s="3">
        <f>IF(ISNUMBER(AVERAGE('20250815_ETF_Options_Exhibits'!B1477:B1481)),AVERAGE('20250815_ETF_Options_Exhibits'!B1477:B1481),"")</f>
        <v/>
      </c>
      <c r="C1481" s="3">
        <f>IF(ISNUMBER(AVERAGE('20250815_ETF_Options_Exhibits'!C1477:C1481)),AVERAGE('20250815_ETF_Options_Exhibits'!C1477:C1481),"")</f>
        <v/>
      </c>
      <c r="D1481" s="3">
        <f>IF(ISNUMBER(AVERAGE('20250815_ETF_Options_Exhibits'!D1477:D1481)),AVERAGE('20250815_ETF_Options_Exhibits'!D1477:D1481),"")</f>
        <v/>
      </c>
      <c r="E1481" s="3">
        <f>IF(ISNUMBER(AVERAGE('20250815_ETF_Options_Exhibits'!E1477:E1481)),AVERAGE('20250815_ETF_Options_Exhibits'!E1477:E1481),"")</f>
        <v/>
      </c>
      <c r="F1481" s="3">
        <f>IF(ISNUMBER(AVERAGE('20250815_ETF_Options_Exhibits'!F1477:F1481)),AVERAGE('20250815_ETF_Options_Exhibits'!F1477:F1481),"")</f>
        <v/>
      </c>
      <c r="G1481" s="3">
        <f>IF(ISNUMBER(AVERAGE('20250815_ETF_Options_Exhibits'!G1477:G1481)),AVERAGE('20250815_ETF_Options_Exhibits'!G1477:G1481),"")</f>
        <v/>
      </c>
      <c r="H1481" s="3">
        <f>IF(ISNUMBER(AVERAGE('20250815_ETF_Options_Exhibits'!H1477:H1481)),AVERAGE('20250815_ETF_Options_Exhibits'!H1477:H1481),"")</f>
        <v/>
      </c>
      <c r="I1481" s="3">
        <f>IF(ISNUMBER(AVERAGE('20250815_ETF_Options_Exhibits'!I1477:I1481)),AVERAGE('20250815_ETF_Options_Exhibits'!I1477:I1481),"")</f>
        <v/>
      </c>
      <c r="J1481" s="3">
        <f>IF(ISNUMBER(AVERAGE('20250815_ETF_Options_Exhibits'!J1477:J1481)),AVERAGE('20250815_ETF_Options_Exhibits'!J1477:J1481),"")</f>
        <v/>
      </c>
      <c r="K1481" s="3">
        <f>IF(ISNUMBER(AVERAGE('20250815_ETF_Options_Exhibits'!K1477:K1481)),AVERAGE('20250815_ETF_Options_Exhibits'!K1477:K1481),"")</f>
        <v/>
      </c>
      <c r="L1481" s="3">
        <f>IF(ISNUMBER(AVERAGE('20250815_ETF_Options_Exhibits'!L1477:L1481)),AVERAGE('20250815_ETF_Options_Exhibits'!L1477:L1481),"")</f>
        <v/>
      </c>
      <c r="M1481" s="3">
        <f>IF(ISNUMBER(AVERAGE('20250815_ETF_Options_Exhibits'!M1477:M1481)),AVERAGE('20250815_ETF_Options_Exhibits'!M1477:M1481),"")</f>
        <v/>
      </c>
      <c r="N1481" s="3">
        <f>IF(ISNUMBER(AVERAGE('20250815_ETF_Options_Exhibits'!N1477:N1481)),AVERAGE('20250815_ETF_Options_Exhibits'!N1477:N1481),"")</f>
        <v/>
      </c>
      <c r="O1481" s="3">
        <f>IF(ISNUMBER(AVERAGE('20250815_ETF_Options_Exhibits'!O1477:O1481)),AVERAGE('20250815_ETF_Options_Exhibits'!O1477:O1481),"")</f>
        <v/>
      </c>
      <c r="P1481" s="3">
        <f>IF(ISNUMBER(AVERAGE('20250815_ETF_Options_Exhibits'!P1477:P1481)),AVERAGE('20250815_ETF_Options_Exhibits'!P1477:P1481),"")</f>
        <v/>
      </c>
      <c r="Q1481" s="3">
        <f>IF(ISNUMBER(AVERAGE('20250815_ETF_Options_Exhibits'!Q1477:Q1481)),AVERAGE('20250815_ETF_Options_Exhibits'!Q1477:Q1481),"")</f>
        <v/>
      </c>
      <c r="R1481" s="3">
        <f>IF(ISNUMBER(AVERAGE('20250815_ETF_Options_Exhibits'!R1477:R1481)),AVERAGE('20250815_ETF_Options_Exhibits'!R1477:R1481),"")</f>
        <v/>
      </c>
      <c r="S1481" s="3">
        <f>IF(ISNUMBER(AVERAGE('20250815_ETF_Options_Exhibits'!S1477:S1481)),AVERAGE('20250815_ETF_Options_Exhibits'!S1477:S1481),"")</f>
        <v/>
      </c>
      <c r="T1481" s="3">
        <f>IF(ISNUMBER(AVERAGE('20250815_ETF_Options_Exhibits'!T1477:T1481)),AVERAGE('20250815_ETF_Options_Exhibits'!T1477:T1481),"")</f>
        <v/>
      </c>
      <c r="U1481" s="3">
        <f>IF(ISNUMBER(AVERAGE('20250815_ETF_Options_Exhibits'!U1477:U1481)),AVERAGE('20250815_ETF_Options_Exhibits'!U1477:U1481),"")</f>
        <v/>
      </c>
      <c r="V1481" s="3">
        <f>IF(ISNUMBER(AVERAGE('20250815_ETF_Options_Exhibits'!V1477:V1481)),AVERAGE('20250815_ETF_Options_Exhibits'!V1477:V1481),"")</f>
        <v/>
      </c>
      <c r="W1481" s="3">
        <f>IF(ISNUMBER(AVERAGE('20250815_ETF_Options_Exhibits'!W1477:W1481)),AVERAGE('20250815_ETF_Options_Exhibits'!W1477:W1481),"")</f>
        <v/>
      </c>
      <c r="X1481" s="3">
        <f>IF(ISNUMBER(AVERAGE('20250815_ETF_Options_Exhibits'!X1477:X1481)),AVERAGE('20250815_ETF_Options_Exhibits'!X1477:X1481),"")</f>
        <v/>
      </c>
      <c r="Y1481" s="3">
        <f>IF(ISNUMBER(AVERAGE('20250815_ETF_Options_Exhibits'!Y1477:Y1481)),AVERAGE('20250815_ETF_Options_Exhibits'!Y1477:Y1481),"")</f>
        <v/>
      </c>
      <c r="Z1481" s="3">
        <f>IF(ISNUMBER(AVERAGE('20250815_ETF_Options_Exhibits'!Z1477:Z1481)),AVERAGE('20250815_ETF_Options_Exhibits'!Z1477:Z1481),"")</f>
        <v/>
      </c>
      <c r="AA1481" s="3">
        <f>IF(ISNUMBER(AVERAGE('20250815_ETF_Options_Exhibits'!AA1477:AA1481)),AVERAGE('20250815_ETF_Options_Exhibits'!AA1477:AA1481),"")</f>
        <v/>
      </c>
    </row>
    <row r="1482">
      <c r="A1482" s="1" t="n">
        <v>44151</v>
      </c>
      <c r="B1482" s="3">
        <f>IF(ISNUMBER(AVERAGE('20250815_ETF_Options_Exhibits'!B1478:B1482)),AVERAGE('20250815_ETF_Options_Exhibits'!B1478:B1482),"")</f>
        <v/>
      </c>
      <c r="C1482" s="3">
        <f>IF(ISNUMBER(AVERAGE('20250815_ETF_Options_Exhibits'!C1478:C1482)),AVERAGE('20250815_ETF_Options_Exhibits'!C1478:C1482),"")</f>
        <v/>
      </c>
      <c r="D1482" s="3">
        <f>IF(ISNUMBER(AVERAGE('20250815_ETF_Options_Exhibits'!D1478:D1482)),AVERAGE('20250815_ETF_Options_Exhibits'!D1478:D1482),"")</f>
        <v/>
      </c>
      <c r="E1482" s="3">
        <f>IF(ISNUMBER(AVERAGE('20250815_ETF_Options_Exhibits'!E1478:E1482)),AVERAGE('20250815_ETF_Options_Exhibits'!E1478:E1482),"")</f>
        <v/>
      </c>
      <c r="F1482" s="3">
        <f>IF(ISNUMBER(AVERAGE('20250815_ETF_Options_Exhibits'!F1478:F1482)),AVERAGE('20250815_ETF_Options_Exhibits'!F1478:F1482),"")</f>
        <v/>
      </c>
      <c r="G1482" s="3">
        <f>IF(ISNUMBER(AVERAGE('20250815_ETF_Options_Exhibits'!G1478:G1482)),AVERAGE('20250815_ETF_Options_Exhibits'!G1478:G1482),"")</f>
        <v/>
      </c>
      <c r="H1482" s="3">
        <f>IF(ISNUMBER(AVERAGE('20250815_ETF_Options_Exhibits'!H1478:H1482)),AVERAGE('20250815_ETF_Options_Exhibits'!H1478:H1482),"")</f>
        <v/>
      </c>
      <c r="I1482" s="3">
        <f>IF(ISNUMBER(AVERAGE('20250815_ETF_Options_Exhibits'!I1478:I1482)),AVERAGE('20250815_ETF_Options_Exhibits'!I1478:I1482),"")</f>
        <v/>
      </c>
      <c r="J1482" s="3">
        <f>IF(ISNUMBER(AVERAGE('20250815_ETF_Options_Exhibits'!J1478:J1482)),AVERAGE('20250815_ETF_Options_Exhibits'!J1478:J1482),"")</f>
        <v/>
      </c>
      <c r="K1482" s="3">
        <f>IF(ISNUMBER(AVERAGE('20250815_ETF_Options_Exhibits'!K1478:K1482)),AVERAGE('20250815_ETF_Options_Exhibits'!K1478:K1482),"")</f>
        <v/>
      </c>
      <c r="L1482" s="3">
        <f>IF(ISNUMBER(AVERAGE('20250815_ETF_Options_Exhibits'!L1478:L1482)),AVERAGE('20250815_ETF_Options_Exhibits'!L1478:L1482),"")</f>
        <v/>
      </c>
      <c r="M1482" s="3">
        <f>IF(ISNUMBER(AVERAGE('20250815_ETF_Options_Exhibits'!M1478:M1482)),AVERAGE('20250815_ETF_Options_Exhibits'!M1478:M1482),"")</f>
        <v/>
      </c>
      <c r="N1482" s="3">
        <f>IF(ISNUMBER(AVERAGE('20250815_ETF_Options_Exhibits'!N1478:N1482)),AVERAGE('20250815_ETF_Options_Exhibits'!N1478:N1482),"")</f>
        <v/>
      </c>
      <c r="O1482" s="3">
        <f>IF(ISNUMBER(AVERAGE('20250815_ETF_Options_Exhibits'!O1478:O1482)),AVERAGE('20250815_ETF_Options_Exhibits'!O1478:O1482),"")</f>
        <v/>
      </c>
      <c r="P1482" s="3">
        <f>IF(ISNUMBER(AVERAGE('20250815_ETF_Options_Exhibits'!P1478:P1482)),AVERAGE('20250815_ETF_Options_Exhibits'!P1478:P1482),"")</f>
        <v/>
      </c>
      <c r="Q1482" s="3">
        <f>IF(ISNUMBER(AVERAGE('20250815_ETF_Options_Exhibits'!Q1478:Q1482)),AVERAGE('20250815_ETF_Options_Exhibits'!Q1478:Q1482),"")</f>
        <v/>
      </c>
      <c r="R1482" s="3">
        <f>IF(ISNUMBER(AVERAGE('20250815_ETF_Options_Exhibits'!R1478:R1482)),AVERAGE('20250815_ETF_Options_Exhibits'!R1478:R1482),"")</f>
        <v/>
      </c>
      <c r="S1482" s="3">
        <f>IF(ISNUMBER(AVERAGE('20250815_ETF_Options_Exhibits'!S1478:S1482)),AVERAGE('20250815_ETF_Options_Exhibits'!S1478:S1482),"")</f>
        <v/>
      </c>
      <c r="T1482" s="3">
        <f>IF(ISNUMBER(AVERAGE('20250815_ETF_Options_Exhibits'!T1478:T1482)),AVERAGE('20250815_ETF_Options_Exhibits'!T1478:T1482),"")</f>
        <v/>
      </c>
      <c r="U1482" s="3">
        <f>IF(ISNUMBER(AVERAGE('20250815_ETF_Options_Exhibits'!U1478:U1482)),AVERAGE('20250815_ETF_Options_Exhibits'!U1478:U1482),"")</f>
        <v/>
      </c>
      <c r="V1482" s="3">
        <f>IF(ISNUMBER(AVERAGE('20250815_ETF_Options_Exhibits'!V1478:V1482)),AVERAGE('20250815_ETF_Options_Exhibits'!V1478:V1482),"")</f>
        <v/>
      </c>
      <c r="W1482" s="3">
        <f>IF(ISNUMBER(AVERAGE('20250815_ETF_Options_Exhibits'!W1478:W1482)),AVERAGE('20250815_ETF_Options_Exhibits'!W1478:W1482),"")</f>
        <v/>
      </c>
      <c r="X1482" s="3">
        <f>IF(ISNUMBER(AVERAGE('20250815_ETF_Options_Exhibits'!X1478:X1482)),AVERAGE('20250815_ETF_Options_Exhibits'!X1478:X1482),"")</f>
        <v/>
      </c>
      <c r="Y1482" s="3">
        <f>IF(ISNUMBER(AVERAGE('20250815_ETF_Options_Exhibits'!Y1478:Y1482)),AVERAGE('20250815_ETF_Options_Exhibits'!Y1478:Y1482),"")</f>
        <v/>
      </c>
      <c r="Z1482" s="3">
        <f>IF(ISNUMBER(AVERAGE('20250815_ETF_Options_Exhibits'!Z1478:Z1482)),AVERAGE('20250815_ETF_Options_Exhibits'!Z1478:Z1482),"")</f>
        <v/>
      </c>
      <c r="AA1482" s="3">
        <f>IF(ISNUMBER(AVERAGE('20250815_ETF_Options_Exhibits'!AA1478:AA1482)),AVERAGE('20250815_ETF_Options_Exhibits'!AA1478:AA1482),"")</f>
        <v/>
      </c>
    </row>
    <row r="1483">
      <c r="A1483" s="1" t="n">
        <v>44152</v>
      </c>
      <c r="B1483" s="3">
        <f>IF(ISNUMBER(AVERAGE('20250815_ETF_Options_Exhibits'!B1479:B1483)),AVERAGE('20250815_ETF_Options_Exhibits'!B1479:B1483),"")</f>
        <v/>
      </c>
      <c r="C1483" s="3">
        <f>IF(ISNUMBER(AVERAGE('20250815_ETF_Options_Exhibits'!C1479:C1483)),AVERAGE('20250815_ETF_Options_Exhibits'!C1479:C1483),"")</f>
        <v/>
      </c>
      <c r="D1483" s="3">
        <f>IF(ISNUMBER(AVERAGE('20250815_ETF_Options_Exhibits'!D1479:D1483)),AVERAGE('20250815_ETF_Options_Exhibits'!D1479:D1483),"")</f>
        <v/>
      </c>
      <c r="E1483" s="3">
        <f>IF(ISNUMBER(AVERAGE('20250815_ETF_Options_Exhibits'!E1479:E1483)),AVERAGE('20250815_ETF_Options_Exhibits'!E1479:E1483),"")</f>
        <v/>
      </c>
      <c r="F1483" s="3">
        <f>IF(ISNUMBER(AVERAGE('20250815_ETF_Options_Exhibits'!F1479:F1483)),AVERAGE('20250815_ETF_Options_Exhibits'!F1479:F1483),"")</f>
        <v/>
      </c>
      <c r="G1483" s="3">
        <f>IF(ISNUMBER(AVERAGE('20250815_ETF_Options_Exhibits'!G1479:G1483)),AVERAGE('20250815_ETF_Options_Exhibits'!G1479:G1483),"")</f>
        <v/>
      </c>
      <c r="H1483" s="3">
        <f>IF(ISNUMBER(AVERAGE('20250815_ETF_Options_Exhibits'!H1479:H1483)),AVERAGE('20250815_ETF_Options_Exhibits'!H1479:H1483),"")</f>
        <v/>
      </c>
      <c r="I1483" s="3">
        <f>IF(ISNUMBER(AVERAGE('20250815_ETF_Options_Exhibits'!I1479:I1483)),AVERAGE('20250815_ETF_Options_Exhibits'!I1479:I1483),"")</f>
        <v/>
      </c>
      <c r="J1483" s="3">
        <f>IF(ISNUMBER(AVERAGE('20250815_ETF_Options_Exhibits'!J1479:J1483)),AVERAGE('20250815_ETF_Options_Exhibits'!J1479:J1483),"")</f>
        <v/>
      </c>
      <c r="K1483" s="3">
        <f>IF(ISNUMBER(AVERAGE('20250815_ETF_Options_Exhibits'!K1479:K1483)),AVERAGE('20250815_ETF_Options_Exhibits'!K1479:K1483),"")</f>
        <v/>
      </c>
      <c r="L1483" s="3">
        <f>IF(ISNUMBER(AVERAGE('20250815_ETF_Options_Exhibits'!L1479:L1483)),AVERAGE('20250815_ETF_Options_Exhibits'!L1479:L1483),"")</f>
        <v/>
      </c>
      <c r="M1483" s="3">
        <f>IF(ISNUMBER(AVERAGE('20250815_ETF_Options_Exhibits'!M1479:M1483)),AVERAGE('20250815_ETF_Options_Exhibits'!M1479:M1483),"")</f>
        <v/>
      </c>
      <c r="N1483" s="3">
        <f>IF(ISNUMBER(AVERAGE('20250815_ETF_Options_Exhibits'!N1479:N1483)),AVERAGE('20250815_ETF_Options_Exhibits'!N1479:N1483),"")</f>
        <v/>
      </c>
      <c r="O1483" s="3">
        <f>IF(ISNUMBER(AVERAGE('20250815_ETF_Options_Exhibits'!O1479:O1483)),AVERAGE('20250815_ETF_Options_Exhibits'!O1479:O1483),"")</f>
        <v/>
      </c>
      <c r="P1483" s="3">
        <f>IF(ISNUMBER(AVERAGE('20250815_ETF_Options_Exhibits'!P1479:P1483)),AVERAGE('20250815_ETF_Options_Exhibits'!P1479:P1483),"")</f>
        <v/>
      </c>
      <c r="Q1483" s="3">
        <f>IF(ISNUMBER(AVERAGE('20250815_ETF_Options_Exhibits'!Q1479:Q1483)),AVERAGE('20250815_ETF_Options_Exhibits'!Q1479:Q1483),"")</f>
        <v/>
      </c>
      <c r="R1483" s="3">
        <f>IF(ISNUMBER(AVERAGE('20250815_ETF_Options_Exhibits'!R1479:R1483)),AVERAGE('20250815_ETF_Options_Exhibits'!R1479:R1483),"")</f>
        <v/>
      </c>
      <c r="S1483" s="3">
        <f>IF(ISNUMBER(AVERAGE('20250815_ETF_Options_Exhibits'!S1479:S1483)),AVERAGE('20250815_ETF_Options_Exhibits'!S1479:S1483),"")</f>
        <v/>
      </c>
      <c r="T1483" s="3">
        <f>IF(ISNUMBER(AVERAGE('20250815_ETF_Options_Exhibits'!T1479:T1483)),AVERAGE('20250815_ETF_Options_Exhibits'!T1479:T1483),"")</f>
        <v/>
      </c>
      <c r="U1483" s="3">
        <f>IF(ISNUMBER(AVERAGE('20250815_ETF_Options_Exhibits'!U1479:U1483)),AVERAGE('20250815_ETF_Options_Exhibits'!U1479:U1483),"")</f>
        <v/>
      </c>
      <c r="V1483" s="3">
        <f>IF(ISNUMBER(AVERAGE('20250815_ETF_Options_Exhibits'!V1479:V1483)),AVERAGE('20250815_ETF_Options_Exhibits'!V1479:V1483),"")</f>
        <v/>
      </c>
      <c r="W1483" s="3">
        <f>IF(ISNUMBER(AVERAGE('20250815_ETF_Options_Exhibits'!W1479:W1483)),AVERAGE('20250815_ETF_Options_Exhibits'!W1479:W1483),"")</f>
        <v/>
      </c>
      <c r="X1483" s="3">
        <f>IF(ISNUMBER(AVERAGE('20250815_ETF_Options_Exhibits'!X1479:X1483)),AVERAGE('20250815_ETF_Options_Exhibits'!X1479:X1483),"")</f>
        <v/>
      </c>
      <c r="Y1483" s="3">
        <f>IF(ISNUMBER(AVERAGE('20250815_ETF_Options_Exhibits'!Y1479:Y1483)),AVERAGE('20250815_ETF_Options_Exhibits'!Y1479:Y1483),"")</f>
        <v/>
      </c>
      <c r="Z1483" s="3">
        <f>IF(ISNUMBER(AVERAGE('20250815_ETF_Options_Exhibits'!Z1479:Z1483)),AVERAGE('20250815_ETF_Options_Exhibits'!Z1479:Z1483),"")</f>
        <v/>
      </c>
      <c r="AA1483" s="3">
        <f>IF(ISNUMBER(AVERAGE('20250815_ETF_Options_Exhibits'!AA1479:AA1483)),AVERAGE('20250815_ETF_Options_Exhibits'!AA1479:AA1483),"")</f>
        <v/>
      </c>
    </row>
    <row r="1484">
      <c r="A1484" s="1" t="n">
        <v>44153</v>
      </c>
      <c r="B1484" s="3">
        <f>IF(ISNUMBER(AVERAGE('20250815_ETF_Options_Exhibits'!B1480:B1484)),AVERAGE('20250815_ETF_Options_Exhibits'!B1480:B1484),"")</f>
        <v/>
      </c>
      <c r="C1484" s="3">
        <f>IF(ISNUMBER(AVERAGE('20250815_ETF_Options_Exhibits'!C1480:C1484)),AVERAGE('20250815_ETF_Options_Exhibits'!C1480:C1484),"")</f>
        <v/>
      </c>
      <c r="D1484" s="3">
        <f>IF(ISNUMBER(AVERAGE('20250815_ETF_Options_Exhibits'!D1480:D1484)),AVERAGE('20250815_ETF_Options_Exhibits'!D1480:D1484),"")</f>
        <v/>
      </c>
      <c r="E1484" s="3">
        <f>IF(ISNUMBER(AVERAGE('20250815_ETF_Options_Exhibits'!E1480:E1484)),AVERAGE('20250815_ETF_Options_Exhibits'!E1480:E1484),"")</f>
        <v/>
      </c>
      <c r="F1484" s="3">
        <f>IF(ISNUMBER(AVERAGE('20250815_ETF_Options_Exhibits'!F1480:F1484)),AVERAGE('20250815_ETF_Options_Exhibits'!F1480:F1484),"")</f>
        <v/>
      </c>
      <c r="G1484" s="3">
        <f>IF(ISNUMBER(AVERAGE('20250815_ETF_Options_Exhibits'!G1480:G1484)),AVERAGE('20250815_ETF_Options_Exhibits'!G1480:G1484),"")</f>
        <v/>
      </c>
      <c r="H1484" s="3">
        <f>IF(ISNUMBER(AVERAGE('20250815_ETF_Options_Exhibits'!H1480:H1484)),AVERAGE('20250815_ETF_Options_Exhibits'!H1480:H1484),"")</f>
        <v/>
      </c>
      <c r="I1484" s="3">
        <f>IF(ISNUMBER(AVERAGE('20250815_ETF_Options_Exhibits'!I1480:I1484)),AVERAGE('20250815_ETF_Options_Exhibits'!I1480:I1484),"")</f>
        <v/>
      </c>
      <c r="J1484" s="3">
        <f>IF(ISNUMBER(AVERAGE('20250815_ETF_Options_Exhibits'!J1480:J1484)),AVERAGE('20250815_ETF_Options_Exhibits'!J1480:J1484),"")</f>
        <v/>
      </c>
      <c r="K1484" s="3">
        <f>IF(ISNUMBER(AVERAGE('20250815_ETF_Options_Exhibits'!K1480:K1484)),AVERAGE('20250815_ETF_Options_Exhibits'!K1480:K1484),"")</f>
        <v/>
      </c>
      <c r="L1484" s="3">
        <f>IF(ISNUMBER(AVERAGE('20250815_ETF_Options_Exhibits'!L1480:L1484)),AVERAGE('20250815_ETF_Options_Exhibits'!L1480:L1484),"")</f>
        <v/>
      </c>
      <c r="M1484" s="3">
        <f>IF(ISNUMBER(AVERAGE('20250815_ETF_Options_Exhibits'!M1480:M1484)),AVERAGE('20250815_ETF_Options_Exhibits'!M1480:M1484),"")</f>
        <v/>
      </c>
      <c r="N1484" s="3">
        <f>IF(ISNUMBER(AVERAGE('20250815_ETF_Options_Exhibits'!N1480:N1484)),AVERAGE('20250815_ETF_Options_Exhibits'!N1480:N1484),"")</f>
        <v/>
      </c>
      <c r="O1484" s="3">
        <f>IF(ISNUMBER(AVERAGE('20250815_ETF_Options_Exhibits'!O1480:O1484)),AVERAGE('20250815_ETF_Options_Exhibits'!O1480:O1484),"")</f>
        <v/>
      </c>
      <c r="P1484" s="3">
        <f>IF(ISNUMBER(AVERAGE('20250815_ETF_Options_Exhibits'!P1480:P1484)),AVERAGE('20250815_ETF_Options_Exhibits'!P1480:P1484),"")</f>
        <v/>
      </c>
      <c r="Q1484" s="3">
        <f>IF(ISNUMBER(AVERAGE('20250815_ETF_Options_Exhibits'!Q1480:Q1484)),AVERAGE('20250815_ETF_Options_Exhibits'!Q1480:Q1484),"")</f>
        <v/>
      </c>
      <c r="R1484" s="3">
        <f>IF(ISNUMBER(AVERAGE('20250815_ETF_Options_Exhibits'!R1480:R1484)),AVERAGE('20250815_ETF_Options_Exhibits'!R1480:R1484),"")</f>
        <v/>
      </c>
      <c r="S1484" s="3">
        <f>IF(ISNUMBER(AVERAGE('20250815_ETF_Options_Exhibits'!S1480:S1484)),AVERAGE('20250815_ETF_Options_Exhibits'!S1480:S1484),"")</f>
        <v/>
      </c>
      <c r="T1484" s="3">
        <f>IF(ISNUMBER(AVERAGE('20250815_ETF_Options_Exhibits'!T1480:T1484)),AVERAGE('20250815_ETF_Options_Exhibits'!T1480:T1484),"")</f>
        <v/>
      </c>
      <c r="U1484" s="3">
        <f>IF(ISNUMBER(AVERAGE('20250815_ETF_Options_Exhibits'!U1480:U1484)),AVERAGE('20250815_ETF_Options_Exhibits'!U1480:U1484),"")</f>
        <v/>
      </c>
      <c r="V1484" s="3">
        <f>IF(ISNUMBER(AVERAGE('20250815_ETF_Options_Exhibits'!V1480:V1484)),AVERAGE('20250815_ETF_Options_Exhibits'!V1480:V1484),"")</f>
        <v/>
      </c>
      <c r="W1484" s="3">
        <f>IF(ISNUMBER(AVERAGE('20250815_ETF_Options_Exhibits'!W1480:W1484)),AVERAGE('20250815_ETF_Options_Exhibits'!W1480:W1484),"")</f>
        <v/>
      </c>
      <c r="X1484" s="3">
        <f>IF(ISNUMBER(AVERAGE('20250815_ETF_Options_Exhibits'!X1480:X1484)),AVERAGE('20250815_ETF_Options_Exhibits'!X1480:X1484),"")</f>
        <v/>
      </c>
      <c r="Y1484" s="3">
        <f>IF(ISNUMBER(AVERAGE('20250815_ETF_Options_Exhibits'!Y1480:Y1484)),AVERAGE('20250815_ETF_Options_Exhibits'!Y1480:Y1484),"")</f>
        <v/>
      </c>
      <c r="Z1484" s="3">
        <f>IF(ISNUMBER(AVERAGE('20250815_ETF_Options_Exhibits'!Z1480:Z1484)),AVERAGE('20250815_ETF_Options_Exhibits'!Z1480:Z1484),"")</f>
        <v/>
      </c>
      <c r="AA1484" s="3">
        <f>IF(ISNUMBER(AVERAGE('20250815_ETF_Options_Exhibits'!AA1480:AA1484)),AVERAGE('20250815_ETF_Options_Exhibits'!AA1480:AA1484),"")</f>
        <v/>
      </c>
    </row>
    <row r="1485">
      <c r="A1485" s="1" t="n">
        <v>44154</v>
      </c>
      <c r="B1485" s="3">
        <f>IF(ISNUMBER(AVERAGE('20250815_ETF_Options_Exhibits'!B1481:B1485)),AVERAGE('20250815_ETF_Options_Exhibits'!B1481:B1485),"")</f>
        <v/>
      </c>
      <c r="C1485" s="3">
        <f>IF(ISNUMBER(AVERAGE('20250815_ETF_Options_Exhibits'!C1481:C1485)),AVERAGE('20250815_ETF_Options_Exhibits'!C1481:C1485),"")</f>
        <v/>
      </c>
      <c r="D1485" s="3">
        <f>IF(ISNUMBER(AVERAGE('20250815_ETF_Options_Exhibits'!D1481:D1485)),AVERAGE('20250815_ETF_Options_Exhibits'!D1481:D1485),"")</f>
        <v/>
      </c>
      <c r="E1485" s="3">
        <f>IF(ISNUMBER(AVERAGE('20250815_ETF_Options_Exhibits'!E1481:E1485)),AVERAGE('20250815_ETF_Options_Exhibits'!E1481:E1485),"")</f>
        <v/>
      </c>
      <c r="F1485" s="3">
        <f>IF(ISNUMBER(AVERAGE('20250815_ETF_Options_Exhibits'!F1481:F1485)),AVERAGE('20250815_ETF_Options_Exhibits'!F1481:F1485),"")</f>
        <v/>
      </c>
      <c r="G1485" s="3">
        <f>IF(ISNUMBER(AVERAGE('20250815_ETF_Options_Exhibits'!G1481:G1485)),AVERAGE('20250815_ETF_Options_Exhibits'!G1481:G1485),"")</f>
        <v/>
      </c>
      <c r="H1485" s="3">
        <f>IF(ISNUMBER(AVERAGE('20250815_ETF_Options_Exhibits'!H1481:H1485)),AVERAGE('20250815_ETF_Options_Exhibits'!H1481:H1485),"")</f>
        <v/>
      </c>
      <c r="I1485" s="3">
        <f>IF(ISNUMBER(AVERAGE('20250815_ETF_Options_Exhibits'!I1481:I1485)),AVERAGE('20250815_ETF_Options_Exhibits'!I1481:I1485),"")</f>
        <v/>
      </c>
      <c r="J1485" s="3">
        <f>IF(ISNUMBER(AVERAGE('20250815_ETF_Options_Exhibits'!J1481:J1485)),AVERAGE('20250815_ETF_Options_Exhibits'!J1481:J1485),"")</f>
        <v/>
      </c>
      <c r="K1485" s="3">
        <f>IF(ISNUMBER(AVERAGE('20250815_ETF_Options_Exhibits'!K1481:K1485)),AVERAGE('20250815_ETF_Options_Exhibits'!K1481:K1485),"")</f>
        <v/>
      </c>
      <c r="L1485" s="3">
        <f>IF(ISNUMBER(AVERAGE('20250815_ETF_Options_Exhibits'!L1481:L1485)),AVERAGE('20250815_ETF_Options_Exhibits'!L1481:L1485),"")</f>
        <v/>
      </c>
      <c r="M1485" s="3">
        <f>IF(ISNUMBER(AVERAGE('20250815_ETF_Options_Exhibits'!M1481:M1485)),AVERAGE('20250815_ETF_Options_Exhibits'!M1481:M1485),"")</f>
        <v/>
      </c>
      <c r="N1485" s="3">
        <f>IF(ISNUMBER(AVERAGE('20250815_ETF_Options_Exhibits'!N1481:N1485)),AVERAGE('20250815_ETF_Options_Exhibits'!N1481:N1485),"")</f>
        <v/>
      </c>
      <c r="O1485" s="3">
        <f>IF(ISNUMBER(AVERAGE('20250815_ETF_Options_Exhibits'!O1481:O1485)),AVERAGE('20250815_ETF_Options_Exhibits'!O1481:O1485),"")</f>
        <v/>
      </c>
      <c r="P1485" s="3">
        <f>IF(ISNUMBER(AVERAGE('20250815_ETF_Options_Exhibits'!P1481:P1485)),AVERAGE('20250815_ETF_Options_Exhibits'!P1481:P1485),"")</f>
        <v/>
      </c>
      <c r="Q1485" s="3">
        <f>IF(ISNUMBER(AVERAGE('20250815_ETF_Options_Exhibits'!Q1481:Q1485)),AVERAGE('20250815_ETF_Options_Exhibits'!Q1481:Q1485),"")</f>
        <v/>
      </c>
      <c r="R1485" s="3">
        <f>IF(ISNUMBER(AVERAGE('20250815_ETF_Options_Exhibits'!R1481:R1485)),AVERAGE('20250815_ETF_Options_Exhibits'!R1481:R1485),"")</f>
        <v/>
      </c>
      <c r="S1485" s="3">
        <f>IF(ISNUMBER(AVERAGE('20250815_ETF_Options_Exhibits'!S1481:S1485)),AVERAGE('20250815_ETF_Options_Exhibits'!S1481:S1485),"")</f>
        <v/>
      </c>
      <c r="T1485" s="3">
        <f>IF(ISNUMBER(AVERAGE('20250815_ETF_Options_Exhibits'!T1481:T1485)),AVERAGE('20250815_ETF_Options_Exhibits'!T1481:T1485),"")</f>
        <v/>
      </c>
      <c r="U1485" s="3">
        <f>IF(ISNUMBER(AVERAGE('20250815_ETF_Options_Exhibits'!U1481:U1485)),AVERAGE('20250815_ETF_Options_Exhibits'!U1481:U1485),"")</f>
        <v/>
      </c>
      <c r="V1485" s="3">
        <f>IF(ISNUMBER(AVERAGE('20250815_ETF_Options_Exhibits'!V1481:V1485)),AVERAGE('20250815_ETF_Options_Exhibits'!V1481:V1485),"")</f>
        <v/>
      </c>
      <c r="W1485" s="3">
        <f>IF(ISNUMBER(AVERAGE('20250815_ETF_Options_Exhibits'!W1481:W1485)),AVERAGE('20250815_ETF_Options_Exhibits'!W1481:W1485),"")</f>
        <v/>
      </c>
      <c r="X1485" s="3">
        <f>IF(ISNUMBER(AVERAGE('20250815_ETF_Options_Exhibits'!X1481:X1485)),AVERAGE('20250815_ETF_Options_Exhibits'!X1481:X1485),"")</f>
        <v/>
      </c>
      <c r="Y1485" s="3">
        <f>IF(ISNUMBER(AVERAGE('20250815_ETF_Options_Exhibits'!Y1481:Y1485)),AVERAGE('20250815_ETF_Options_Exhibits'!Y1481:Y1485),"")</f>
        <v/>
      </c>
      <c r="Z1485" s="3">
        <f>IF(ISNUMBER(AVERAGE('20250815_ETF_Options_Exhibits'!Z1481:Z1485)),AVERAGE('20250815_ETF_Options_Exhibits'!Z1481:Z1485),"")</f>
        <v/>
      </c>
      <c r="AA1485" s="3">
        <f>IF(ISNUMBER(AVERAGE('20250815_ETF_Options_Exhibits'!AA1481:AA1485)),AVERAGE('20250815_ETF_Options_Exhibits'!AA1481:AA1485),"")</f>
        <v/>
      </c>
    </row>
    <row r="1486">
      <c r="A1486" s="1" t="n">
        <v>44155</v>
      </c>
      <c r="B1486" s="3">
        <f>IF(ISNUMBER(AVERAGE('20250815_ETF_Options_Exhibits'!B1482:B1486)),AVERAGE('20250815_ETF_Options_Exhibits'!B1482:B1486),"")</f>
        <v/>
      </c>
      <c r="C1486" s="3">
        <f>IF(ISNUMBER(AVERAGE('20250815_ETF_Options_Exhibits'!C1482:C1486)),AVERAGE('20250815_ETF_Options_Exhibits'!C1482:C1486),"")</f>
        <v/>
      </c>
      <c r="D1486" s="3">
        <f>IF(ISNUMBER(AVERAGE('20250815_ETF_Options_Exhibits'!D1482:D1486)),AVERAGE('20250815_ETF_Options_Exhibits'!D1482:D1486),"")</f>
        <v/>
      </c>
      <c r="E1486" s="3">
        <f>IF(ISNUMBER(AVERAGE('20250815_ETF_Options_Exhibits'!E1482:E1486)),AVERAGE('20250815_ETF_Options_Exhibits'!E1482:E1486),"")</f>
        <v/>
      </c>
      <c r="F1486" s="3">
        <f>IF(ISNUMBER(AVERAGE('20250815_ETF_Options_Exhibits'!F1482:F1486)),AVERAGE('20250815_ETF_Options_Exhibits'!F1482:F1486),"")</f>
        <v/>
      </c>
      <c r="G1486" s="3">
        <f>IF(ISNUMBER(AVERAGE('20250815_ETF_Options_Exhibits'!G1482:G1486)),AVERAGE('20250815_ETF_Options_Exhibits'!G1482:G1486),"")</f>
        <v/>
      </c>
      <c r="H1486" s="3">
        <f>IF(ISNUMBER(AVERAGE('20250815_ETF_Options_Exhibits'!H1482:H1486)),AVERAGE('20250815_ETF_Options_Exhibits'!H1482:H1486),"")</f>
        <v/>
      </c>
      <c r="I1486" s="3">
        <f>IF(ISNUMBER(AVERAGE('20250815_ETF_Options_Exhibits'!I1482:I1486)),AVERAGE('20250815_ETF_Options_Exhibits'!I1482:I1486),"")</f>
        <v/>
      </c>
      <c r="J1486" s="3">
        <f>IF(ISNUMBER(AVERAGE('20250815_ETF_Options_Exhibits'!J1482:J1486)),AVERAGE('20250815_ETF_Options_Exhibits'!J1482:J1486),"")</f>
        <v/>
      </c>
      <c r="K1486" s="3">
        <f>IF(ISNUMBER(AVERAGE('20250815_ETF_Options_Exhibits'!K1482:K1486)),AVERAGE('20250815_ETF_Options_Exhibits'!K1482:K1486),"")</f>
        <v/>
      </c>
      <c r="L1486" s="3">
        <f>IF(ISNUMBER(AVERAGE('20250815_ETF_Options_Exhibits'!L1482:L1486)),AVERAGE('20250815_ETF_Options_Exhibits'!L1482:L1486),"")</f>
        <v/>
      </c>
      <c r="M1486" s="3">
        <f>IF(ISNUMBER(AVERAGE('20250815_ETF_Options_Exhibits'!M1482:M1486)),AVERAGE('20250815_ETF_Options_Exhibits'!M1482:M1486),"")</f>
        <v/>
      </c>
      <c r="N1486" s="3">
        <f>IF(ISNUMBER(AVERAGE('20250815_ETF_Options_Exhibits'!N1482:N1486)),AVERAGE('20250815_ETF_Options_Exhibits'!N1482:N1486),"")</f>
        <v/>
      </c>
      <c r="O1486" s="3">
        <f>IF(ISNUMBER(AVERAGE('20250815_ETF_Options_Exhibits'!O1482:O1486)),AVERAGE('20250815_ETF_Options_Exhibits'!O1482:O1486),"")</f>
        <v/>
      </c>
      <c r="P1486" s="3">
        <f>IF(ISNUMBER(AVERAGE('20250815_ETF_Options_Exhibits'!P1482:P1486)),AVERAGE('20250815_ETF_Options_Exhibits'!P1482:P1486),"")</f>
        <v/>
      </c>
      <c r="Q1486" s="3">
        <f>IF(ISNUMBER(AVERAGE('20250815_ETF_Options_Exhibits'!Q1482:Q1486)),AVERAGE('20250815_ETF_Options_Exhibits'!Q1482:Q1486),"")</f>
        <v/>
      </c>
      <c r="R1486" s="3">
        <f>IF(ISNUMBER(AVERAGE('20250815_ETF_Options_Exhibits'!R1482:R1486)),AVERAGE('20250815_ETF_Options_Exhibits'!R1482:R1486),"")</f>
        <v/>
      </c>
      <c r="S1486" s="3">
        <f>IF(ISNUMBER(AVERAGE('20250815_ETF_Options_Exhibits'!S1482:S1486)),AVERAGE('20250815_ETF_Options_Exhibits'!S1482:S1486),"")</f>
        <v/>
      </c>
      <c r="T1486" s="3">
        <f>IF(ISNUMBER(AVERAGE('20250815_ETF_Options_Exhibits'!T1482:T1486)),AVERAGE('20250815_ETF_Options_Exhibits'!T1482:T1486),"")</f>
        <v/>
      </c>
      <c r="U1486" s="3">
        <f>IF(ISNUMBER(AVERAGE('20250815_ETF_Options_Exhibits'!U1482:U1486)),AVERAGE('20250815_ETF_Options_Exhibits'!U1482:U1486),"")</f>
        <v/>
      </c>
      <c r="V1486" s="3">
        <f>IF(ISNUMBER(AVERAGE('20250815_ETF_Options_Exhibits'!V1482:V1486)),AVERAGE('20250815_ETF_Options_Exhibits'!V1482:V1486),"")</f>
        <v/>
      </c>
      <c r="W1486" s="3">
        <f>IF(ISNUMBER(AVERAGE('20250815_ETF_Options_Exhibits'!W1482:W1486)),AVERAGE('20250815_ETF_Options_Exhibits'!W1482:W1486),"")</f>
        <v/>
      </c>
      <c r="X1486" s="3">
        <f>IF(ISNUMBER(AVERAGE('20250815_ETF_Options_Exhibits'!X1482:X1486)),AVERAGE('20250815_ETF_Options_Exhibits'!X1482:X1486),"")</f>
        <v/>
      </c>
      <c r="Y1486" s="3">
        <f>IF(ISNUMBER(AVERAGE('20250815_ETF_Options_Exhibits'!Y1482:Y1486)),AVERAGE('20250815_ETF_Options_Exhibits'!Y1482:Y1486),"")</f>
        <v/>
      </c>
      <c r="Z1486" s="3">
        <f>IF(ISNUMBER(AVERAGE('20250815_ETF_Options_Exhibits'!Z1482:Z1486)),AVERAGE('20250815_ETF_Options_Exhibits'!Z1482:Z1486),"")</f>
        <v/>
      </c>
      <c r="AA1486" s="3">
        <f>IF(ISNUMBER(AVERAGE('20250815_ETF_Options_Exhibits'!AA1482:AA1486)),AVERAGE('20250815_ETF_Options_Exhibits'!AA1482:AA1486),"")</f>
        <v/>
      </c>
    </row>
    <row r="1487">
      <c r="A1487" s="1" t="n">
        <v>44158</v>
      </c>
      <c r="B1487" s="3">
        <f>IF(ISNUMBER(AVERAGE('20250815_ETF_Options_Exhibits'!B1483:B1487)),AVERAGE('20250815_ETF_Options_Exhibits'!B1483:B1487),"")</f>
        <v/>
      </c>
      <c r="C1487" s="3">
        <f>IF(ISNUMBER(AVERAGE('20250815_ETF_Options_Exhibits'!C1483:C1487)),AVERAGE('20250815_ETF_Options_Exhibits'!C1483:C1487),"")</f>
        <v/>
      </c>
      <c r="D1487" s="3">
        <f>IF(ISNUMBER(AVERAGE('20250815_ETF_Options_Exhibits'!D1483:D1487)),AVERAGE('20250815_ETF_Options_Exhibits'!D1483:D1487),"")</f>
        <v/>
      </c>
      <c r="E1487" s="3">
        <f>IF(ISNUMBER(AVERAGE('20250815_ETF_Options_Exhibits'!E1483:E1487)),AVERAGE('20250815_ETF_Options_Exhibits'!E1483:E1487),"")</f>
        <v/>
      </c>
      <c r="F1487" s="3">
        <f>IF(ISNUMBER(AVERAGE('20250815_ETF_Options_Exhibits'!F1483:F1487)),AVERAGE('20250815_ETF_Options_Exhibits'!F1483:F1487),"")</f>
        <v/>
      </c>
      <c r="G1487" s="3">
        <f>IF(ISNUMBER(AVERAGE('20250815_ETF_Options_Exhibits'!G1483:G1487)),AVERAGE('20250815_ETF_Options_Exhibits'!G1483:G1487),"")</f>
        <v/>
      </c>
      <c r="H1487" s="3">
        <f>IF(ISNUMBER(AVERAGE('20250815_ETF_Options_Exhibits'!H1483:H1487)),AVERAGE('20250815_ETF_Options_Exhibits'!H1483:H1487),"")</f>
        <v/>
      </c>
      <c r="I1487" s="3">
        <f>IF(ISNUMBER(AVERAGE('20250815_ETF_Options_Exhibits'!I1483:I1487)),AVERAGE('20250815_ETF_Options_Exhibits'!I1483:I1487),"")</f>
        <v/>
      </c>
      <c r="J1487" s="3">
        <f>IF(ISNUMBER(AVERAGE('20250815_ETF_Options_Exhibits'!J1483:J1487)),AVERAGE('20250815_ETF_Options_Exhibits'!J1483:J1487),"")</f>
        <v/>
      </c>
      <c r="K1487" s="3">
        <f>IF(ISNUMBER(AVERAGE('20250815_ETF_Options_Exhibits'!K1483:K1487)),AVERAGE('20250815_ETF_Options_Exhibits'!K1483:K1487),"")</f>
        <v/>
      </c>
      <c r="L1487" s="3">
        <f>IF(ISNUMBER(AVERAGE('20250815_ETF_Options_Exhibits'!L1483:L1487)),AVERAGE('20250815_ETF_Options_Exhibits'!L1483:L1487),"")</f>
        <v/>
      </c>
      <c r="M1487" s="3">
        <f>IF(ISNUMBER(AVERAGE('20250815_ETF_Options_Exhibits'!M1483:M1487)),AVERAGE('20250815_ETF_Options_Exhibits'!M1483:M1487),"")</f>
        <v/>
      </c>
      <c r="N1487" s="3">
        <f>IF(ISNUMBER(AVERAGE('20250815_ETF_Options_Exhibits'!N1483:N1487)),AVERAGE('20250815_ETF_Options_Exhibits'!N1483:N1487),"")</f>
        <v/>
      </c>
      <c r="O1487" s="3">
        <f>IF(ISNUMBER(AVERAGE('20250815_ETF_Options_Exhibits'!O1483:O1487)),AVERAGE('20250815_ETF_Options_Exhibits'!O1483:O1487),"")</f>
        <v/>
      </c>
      <c r="P1487" s="3">
        <f>IF(ISNUMBER(AVERAGE('20250815_ETF_Options_Exhibits'!P1483:P1487)),AVERAGE('20250815_ETF_Options_Exhibits'!P1483:P1487),"")</f>
        <v/>
      </c>
      <c r="Q1487" s="3">
        <f>IF(ISNUMBER(AVERAGE('20250815_ETF_Options_Exhibits'!Q1483:Q1487)),AVERAGE('20250815_ETF_Options_Exhibits'!Q1483:Q1487),"")</f>
        <v/>
      </c>
      <c r="R1487" s="3">
        <f>IF(ISNUMBER(AVERAGE('20250815_ETF_Options_Exhibits'!R1483:R1487)),AVERAGE('20250815_ETF_Options_Exhibits'!R1483:R1487),"")</f>
        <v/>
      </c>
      <c r="S1487" s="3">
        <f>IF(ISNUMBER(AVERAGE('20250815_ETF_Options_Exhibits'!S1483:S1487)),AVERAGE('20250815_ETF_Options_Exhibits'!S1483:S1487),"")</f>
        <v/>
      </c>
      <c r="T1487" s="3">
        <f>IF(ISNUMBER(AVERAGE('20250815_ETF_Options_Exhibits'!T1483:T1487)),AVERAGE('20250815_ETF_Options_Exhibits'!T1483:T1487),"")</f>
        <v/>
      </c>
      <c r="U1487" s="3">
        <f>IF(ISNUMBER(AVERAGE('20250815_ETF_Options_Exhibits'!U1483:U1487)),AVERAGE('20250815_ETF_Options_Exhibits'!U1483:U1487),"")</f>
        <v/>
      </c>
      <c r="V1487" s="3">
        <f>IF(ISNUMBER(AVERAGE('20250815_ETF_Options_Exhibits'!V1483:V1487)),AVERAGE('20250815_ETF_Options_Exhibits'!V1483:V1487),"")</f>
        <v/>
      </c>
      <c r="W1487" s="3">
        <f>IF(ISNUMBER(AVERAGE('20250815_ETF_Options_Exhibits'!W1483:W1487)),AVERAGE('20250815_ETF_Options_Exhibits'!W1483:W1487),"")</f>
        <v/>
      </c>
      <c r="X1487" s="3">
        <f>IF(ISNUMBER(AVERAGE('20250815_ETF_Options_Exhibits'!X1483:X1487)),AVERAGE('20250815_ETF_Options_Exhibits'!X1483:X1487),"")</f>
        <v/>
      </c>
      <c r="Y1487" s="3">
        <f>IF(ISNUMBER(AVERAGE('20250815_ETF_Options_Exhibits'!Y1483:Y1487)),AVERAGE('20250815_ETF_Options_Exhibits'!Y1483:Y1487),"")</f>
        <v/>
      </c>
      <c r="Z1487" s="3">
        <f>IF(ISNUMBER(AVERAGE('20250815_ETF_Options_Exhibits'!Z1483:Z1487)),AVERAGE('20250815_ETF_Options_Exhibits'!Z1483:Z1487),"")</f>
        <v/>
      </c>
      <c r="AA1487" s="3">
        <f>IF(ISNUMBER(AVERAGE('20250815_ETF_Options_Exhibits'!AA1483:AA1487)),AVERAGE('20250815_ETF_Options_Exhibits'!AA1483:AA1487),"")</f>
        <v/>
      </c>
    </row>
    <row r="1488">
      <c r="A1488" s="1" t="n">
        <v>44159</v>
      </c>
      <c r="B1488" s="3">
        <f>IF(ISNUMBER(AVERAGE('20250815_ETF_Options_Exhibits'!B1484:B1488)),AVERAGE('20250815_ETF_Options_Exhibits'!B1484:B1488),"")</f>
        <v/>
      </c>
      <c r="C1488" s="3">
        <f>IF(ISNUMBER(AVERAGE('20250815_ETF_Options_Exhibits'!C1484:C1488)),AVERAGE('20250815_ETF_Options_Exhibits'!C1484:C1488),"")</f>
        <v/>
      </c>
      <c r="D1488" s="3">
        <f>IF(ISNUMBER(AVERAGE('20250815_ETF_Options_Exhibits'!D1484:D1488)),AVERAGE('20250815_ETF_Options_Exhibits'!D1484:D1488),"")</f>
        <v/>
      </c>
      <c r="E1488" s="3">
        <f>IF(ISNUMBER(AVERAGE('20250815_ETF_Options_Exhibits'!E1484:E1488)),AVERAGE('20250815_ETF_Options_Exhibits'!E1484:E1488),"")</f>
        <v/>
      </c>
      <c r="F1488" s="3">
        <f>IF(ISNUMBER(AVERAGE('20250815_ETF_Options_Exhibits'!F1484:F1488)),AVERAGE('20250815_ETF_Options_Exhibits'!F1484:F1488),"")</f>
        <v/>
      </c>
      <c r="G1488" s="3">
        <f>IF(ISNUMBER(AVERAGE('20250815_ETF_Options_Exhibits'!G1484:G1488)),AVERAGE('20250815_ETF_Options_Exhibits'!G1484:G1488),"")</f>
        <v/>
      </c>
      <c r="H1488" s="3">
        <f>IF(ISNUMBER(AVERAGE('20250815_ETF_Options_Exhibits'!H1484:H1488)),AVERAGE('20250815_ETF_Options_Exhibits'!H1484:H1488),"")</f>
        <v/>
      </c>
      <c r="I1488" s="3">
        <f>IF(ISNUMBER(AVERAGE('20250815_ETF_Options_Exhibits'!I1484:I1488)),AVERAGE('20250815_ETF_Options_Exhibits'!I1484:I1488),"")</f>
        <v/>
      </c>
      <c r="J1488" s="3">
        <f>IF(ISNUMBER(AVERAGE('20250815_ETF_Options_Exhibits'!J1484:J1488)),AVERAGE('20250815_ETF_Options_Exhibits'!J1484:J1488),"")</f>
        <v/>
      </c>
      <c r="K1488" s="3">
        <f>IF(ISNUMBER(AVERAGE('20250815_ETF_Options_Exhibits'!K1484:K1488)),AVERAGE('20250815_ETF_Options_Exhibits'!K1484:K1488),"")</f>
        <v/>
      </c>
      <c r="L1488" s="3">
        <f>IF(ISNUMBER(AVERAGE('20250815_ETF_Options_Exhibits'!L1484:L1488)),AVERAGE('20250815_ETF_Options_Exhibits'!L1484:L1488),"")</f>
        <v/>
      </c>
      <c r="M1488" s="3">
        <f>IF(ISNUMBER(AVERAGE('20250815_ETF_Options_Exhibits'!M1484:M1488)),AVERAGE('20250815_ETF_Options_Exhibits'!M1484:M1488),"")</f>
        <v/>
      </c>
      <c r="N1488" s="3">
        <f>IF(ISNUMBER(AVERAGE('20250815_ETF_Options_Exhibits'!N1484:N1488)),AVERAGE('20250815_ETF_Options_Exhibits'!N1484:N1488),"")</f>
        <v/>
      </c>
      <c r="O1488" s="3">
        <f>IF(ISNUMBER(AVERAGE('20250815_ETF_Options_Exhibits'!O1484:O1488)),AVERAGE('20250815_ETF_Options_Exhibits'!O1484:O1488),"")</f>
        <v/>
      </c>
      <c r="P1488" s="3">
        <f>IF(ISNUMBER(AVERAGE('20250815_ETF_Options_Exhibits'!P1484:P1488)),AVERAGE('20250815_ETF_Options_Exhibits'!P1484:P1488),"")</f>
        <v/>
      </c>
      <c r="Q1488" s="3">
        <f>IF(ISNUMBER(AVERAGE('20250815_ETF_Options_Exhibits'!Q1484:Q1488)),AVERAGE('20250815_ETF_Options_Exhibits'!Q1484:Q1488),"")</f>
        <v/>
      </c>
      <c r="R1488" s="3">
        <f>IF(ISNUMBER(AVERAGE('20250815_ETF_Options_Exhibits'!R1484:R1488)),AVERAGE('20250815_ETF_Options_Exhibits'!R1484:R1488),"")</f>
        <v/>
      </c>
      <c r="S1488" s="3">
        <f>IF(ISNUMBER(AVERAGE('20250815_ETF_Options_Exhibits'!S1484:S1488)),AVERAGE('20250815_ETF_Options_Exhibits'!S1484:S1488),"")</f>
        <v/>
      </c>
      <c r="T1488" s="3">
        <f>IF(ISNUMBER(AVERAGE('20250815_ETF_Options_Exhibits'!T1484:T1488)),AVERAGE('20250815_ETF_Options_Exhibits'!T1484:T1488),"")</f>
        <v/>
      </c>
      <c r="U1488" s="3">
        <f>IF(ISNUMBER(AVERAGE('20250815_ETF_Options_Exhibits'!U1484:U1488)),AVERAGE('20250815_ETF_Options_Exhibits'!U1484:U1488),"")</f>
        <v/>
      </c>
      <c r="V1488" s="3">
        <f>IF(ISNUMBER(AVERAGE('20250815_ETF_Options_Exhibits'!V1484:V1488)),AVERAGE('20250815_ETF_Options_Exhibits'!V1484:V1488),"")</f>
        <v/>
      </c>
      <c r="W1488" s="3">
        <f>IF(ISNUMBER(AVERAGE('20250815_ETF_Options_Exhibits'!W1484:W1488)),AVERAGE('20250815_ETF_Options_Exhibits'!W1484:W1488),"")</f>
        <v/>
      </c>
      <c r="X1488" s="3">
        <f>IF(ISNUMBER(AVERAGE('20250815_ETF_Options_Exhibits'!X1484:X1488)),AVERAGE('20250815_ETF_Options_Exhibits'!X1484:X1488),"")</f>
        <v/>
      </c>
      <c r="Y1488" s="3">
        <f>IF(ISNUMBER(AVERAGE('20250815_ETF_Options_Exhibits'!Y1484:Y1488)),AVERAGE('20250815_ETF_Options_Exhibits'!Y1484:Y1488),"")</f>
        <v/>
      </c>
      <c r="Z1488" s="3">
        <f>IF(ISNUMBER(AVERAGE('20250815_ETF_Options_Exhibits'!Z1484:Z1488)),AVERAGE('20250815_ETF_Options_Exhibits'!Z1484:Z1488),"")</f>
        <v/>
      </c>
      <c r="AA1488" s="3">
        <f>IF(ISNUMBER(AVERAGE('20250815_ETF_Options_Exhibits'!AA1484:AA1488)),AVERAGE('20250815_ETF_Options_Exhibits'!AA1484:AA1488),"")</f>
        <v/>
      </c>
    </row>
    <row r="1489">
      <c r="A1489" s="1" t="n">
        <v>44160</v>
      </c>
      <c r="B1489" s="3">
        <f>IF(ISNUMBER(AVERAGE('20250815_ETF_Options_Exhibits'!B1485:B1489)),AVERAGE('20250815_ETF_Options_Exhibits'!B1485:B1489),"")</f>
        <v/>
      </c>
      <c r="C1489" s="3">
        <f>IF(ISNUMBER(AVERAGE('20250815_ETF_Options_Exhibits'!C1485:C1489)),AVERAGE('20250815_ETF_Options_Exhibits'!C1485:C1489),"")</f>
        <v/>
      </c>
      <c r="D1489" s="3">
        <f>IF(ISNUMBER(AVERAGE('20250815_ETF_Options_Exhibits'!D1485:D1489)),AVERAGE('20250815_ETF_Options_Exhibits'!D1485:D1489),"")</f>
        <v/>
      </c>
      <c r="E1489" s="3">
        <f>IF(ISNUMBER(AVERAGE('20250815_ETF_Options_Exhibits'!E1485:E1489)),AVERAGE('20250815_ETF_Options_Exhibits'!E1485:E1489),"")</f>
        <v/>
      </c>
      <c r="F1489" s="3">
        <f>IF(ISNUMBER(AVERAGE('20250815_ETF_Options_Exhibits'!F1485:F1489)),AVERAGE('20250815_ETF_Options_Exhibits'!F1485:F1489),"")</f>
        <v/>
      </c>
      <c r="G1489" s="3">
        <f>IF(ISNUMBER(AVERAGE('20250815_ETF_Options_Exhibits'!G1485:G1489)),AVERAGE('20250815_ETF_Options_Exhibits'!G1485:G1489),"")</f>
        <v/>
      </c>
      <c r="H1489" s="3">
        <f>IF(ISNUMBER(AVERAGE('20250815_ETF_Options_Exhibits'!H1485:H1489)),AVERAGE('20250815_ETF_Options_Exhibits'!H1485:H1489),"")</f>
        <v/>
      </c>
      <c r="I1489" s="3">
        <f>IF(ISNUMBER(AVERAGE('20250815_ETF_Options_Exhibits'!I1485:I1489)),AVERAGE('20250815_ETF_Options_Exhibits'!I1485:I1489),"")</f>
        <v/>
      </c>
      <c r="J1489" s="3">
        <f>IF(ISNUMBER(AVERAGE('20250815_ETF_Options_Exhibits'!J1485:J1489)),AVERAGE('20250815_ETF_Options_Exhibits'!J1485:J1489),"")</f>
        <v/>
      </c>
      <c r="K1489" s="3">
        <f>IF(ISNUMBER(AVERAGE('20250815_ETF_Options_Exhibits'!K1485:K1489)),AVERAGE('20250815_ETF_Options_Exhibits'!K1485:K1489),"")</f>
        <v/>
      </c>
      <c r="L1489" s="3">
        <f>IF(ISNUMBER(AVERAGE('20250815_ETF_Options_Exhibits'!L1485:L1489)),AVERAGE('20250815_ETF_Options_Exhibits'!L1485:L1489),"")</f>
        <v/>
      </c>
      <c r="M1489" s="3">
        <f>IF(ISNUMBER(AVERAGE('20250815_ETF_Options_Exhibits'!M1485:M1489)),AVERAGE('20250815_ETF_Options_Exhibits'!M1485:M1489),"")</f>
        <v/>
      </c>
      <c r="N1489" s="3">
        <f>IF(ISNUMBER(AVERAGE('20250815_ETF_Options_Exhibits'!N1485:N1489)),AVERAGE('20250815_ETF_Options_Exhibits'!N1485:N1489),"")</f>
        <v/>
      </c>
      <c r="O1489" s="3">
        <f>IF(ISNUMBER(AVERAGE('20250815_ETF_Options_Exhibits'!O1485:O1489)),AVERAGE('20250815_ETF_Options_Exhibits'!O1485:O1489),"")</f>
        <v/>
      </c>
      <c r="P1489" s="3">
        <f>IF(ISNUMBER(AVERAGE('20250815_ETF_Options_Exhibits'!P1485:P1489)),AVERAGE('20250815_ETF_Options_Exhibits'!P1485:P1489),"")</f>
        <v/>
      </c>
      <c r="Q1489" s="3">
        <f>IF(ISNUMBER(AVERAGE('20250815_ETF_Options_Exhibits'!Q1485:Q1489)),AVERAGE('20250815_ETF_Options_Exhibits'!Q1485:Q1489),"")</f>
        <v/>
      </c>
      <c r="R1489" s="3">
        <f>IF(ISNUMBER(AVERAGE('20250815_ETF_Options_Exhibits'!R1485:R1489)),AVERAGE('20250815_ETF_Options_Exhibits'!R1485:R1489),"")</f>
        <v/>
      </c>
      <c r="S1489" s="3">
        <f>IF(ISNUMBER(AVERAGE('20250815_ETF_Options_Exhibits'!S1485:S1489)),AVERAGE('20250815_ETF_Options_Exhibits'!S1485:S1489),"")</f>
        <v/>
      </c>
      <c r="T1489" s="3">
        <f>IF(ISNUMBER(AVERAGE('20250815_ETF_Options_Exhibits'!T1485:T1489)),AVERAGE('20250815_ETF_Options_Exhibits'!T1485:T1489),"")</f>
        <v/>
      </c>
      <c r="U1489" s="3">
        <f>IF(ISNUMBER(AVERAGE('20250815_ETF_Options_Exhibits'!U1485:U1489)),AVERAGE('20250815_ETF_Options_Exhibits'!U1485:U1489),"")</f>
        <v/>
      </c>
      <c r="V1489" s="3">
        <f>IF(ISNUMBER(AVERAGE('20250815_ETF_Options_Exhibits'!V1485:V1489)),AVERAGE('20250815_ETF_Options_Exhibits'!V1485:V1489),"")</f>
        <v/>
      </c>
      <c r="W1489" s="3">
        <f>IF(ISNUMBER(AVERAGE('20250815_ETF_Options_Exhibits'!W1485:W1489)),AVERAGE('20250815_ETF_Options_Exhibits'!W1485:W1489),"")</f>
        <v/>
      </c>
      <c r="X1489" s="3">
        <f>IF(ISNUMBER(AVERAGE('20250815_ETF_Options_Exhibits'!X1485:X1489)),AVERAGE('20250815_ETF_Options_Exhibits'!X1485:X1489),"")</f>
        <v/>
      </c>
      <c r="Y1489" s="3">
        <f>IF(ISNUMBER(AVERAGE('20250815_ETF_Options_Exhibits'!Y1485:Y1489)),AVERAGE('20250815_ETF_Options_Exhibits'!Y1485:Y1489),"")</f>
        <v/>
      </c>
      <c r="Z1489" s="3">
        <f>IF(ISNUMBER(AVERAGE('20250815_ETF_Options_Exhibits'!Z1485:Z1489)),AVERAGE('20250815_ETF_Options_Exhibits'!Z1485:Z1489),"")</f>
        <v/>
      </c>
      <c r="AA1489" s="3">
        <f>IF(ISNUMBER(AVERAGE('20250815_ETF_Options_Exhibits'!AA1485:AA1489)),AVERAGE('20250815_ETF_Options_Exhibits'!AA1485:AA1489),"")</f>
        <v/>
      </c>
    </row>
    <row r="1490">
      <c r="A1490" s="1" t="n">
        <v>44162</v>
      </c>
      <c r="B1490" s="3">
        <f>IF(ISNUMBER(AVERAGE('20250815_ETF_Options_Exhibits'!B1486:B1490)),AVERAGE('20250815_ETF_Options_Exhibits'!B1486:B1490),"")</f>
        <v/>
      </c>
      <c r="C1490" s="3">
        <f>IF(ISNUMBER(AVERAGE('20250815_ETF_Options_Exhibits'!C1486:C1490)),AVERAGE('20250815_ETF_Options_Exhibits'!C1486:C1490),"")</f>
        <v/>
      </c>
      <c r="D1490" s="3">
        <f>IF(ISNUMBER(AVERAGE('20250815_ETF_Options_Exhibits'!D1486:D1490)),AVERAGE('20250815_ETF_Options_Exhibits'!D1486:D1490),"")</f>
        <v/>
      </c>
      <c r="E1490" s="3">
        <f>IF(ISNUMBER(AVERAGE('20250815_ETF_Options_Exhibits'!E1486:E1490)),AVERAGE('20250815_ETF_Options_Exhibits'!E1486:E1490),"")</f>
        <v/>
      </c>
      <c r="F1490" s="3">
        <f>IF(ISNUMBER(AVERAGE('20250815_ETF_Options_Exhibits'!F1486:F1490)),AVERAGE('20250815_ETF_Options_Exhibits'!F1486:F1490),"")</f>
        <v/>
      </c>
      <c r="G1490" s="3">
        <f>IF(ISNUMBER(AVERAGE('20250815_ETF_Options_Exhibits'!G1486:G1490)),AVERAGE('20250815_ETF_Options_Exhibits'!G1486:G1490),"")</f>
        <v/>
      </c>
      <c r="H1490" s="3">
        <f>IF(ISNUMBER(AVERAGE('20250815_ETF_Options_Exhibits'!H1486:H1490)),AVERAGE('20250815_ETF_Options_Exhibits'!H1486:H1490),"")</f>
        <v/>
      </c>
      <c r="I1490" s="3">
        <f>IF(ISNUMBER(AVERAGE('20250815_ETF_Options_Exhibits'!I1486:I1490)),AVERAGE('20250815_ETF_Options_Exhibits'!I1486:I1490),"")</f>
        <v/>
      </c>
      <c r="J1490" s="3">
        <f>IF(ISNUMBER(AVERAGE('20250815_ETF_Options_Exhibits'!J1486:J1490)),AVERAGE('20250815_ETF_Options_Exhibits'!J1486:J1490),"")</f>
        <v/>
      </c>
      <c r="K1490" s="3">
        <f>IF(ISNUMBER(AVERAGE('20250815_ETF_Options_Exhibits'!K1486:K1490)),AVERAGE('20250815_ETF_Options_Exhibits'!K1486:K1490),"")</f>
        <v/>
      </c>
      <c r="L1490" s="3">
        <f>IF(ISNUMBER(AVERAGE('20250815_ETF_Options_Exhibits'!L1486:L1490)),AVERAGE('20250815_ETF_Options_Exhibits'!L1486:L1490),"")</f>
        <v/>
      </c>
      <c r="M1490" s="3">
        <f>IF(ISNUMBER(AVERAGE('20250815_ETF_Options_Exhibits'!M1486:M1490)),AVERAGE('20250815_ETF_Options_Exhibits'!M1486:M1490),"")</f>
        <v/>
      </c>
      <c r="N1490" s="3">
        <f>IF(ISNUMBER(AVERAGE('20250815_ETF_Options_Exhibits'!N1486:N1490)),AVERAGE('20250815_ETF_Options_Exhibits'!N1486:N1490),"")</f>
        <v/>
      </c>
      <c r="O1490" s="3">
        <f>IF(ISNUMBER(AVERAGE('20250815_ETF_Options_Exhibits'!O1486:O1490)),AVERAGE('20250815_ETF_Options_Exhibits'!O1486:O1490),"")</f>
        <v/>
      </c>
      <c r="P1490" s="3">
        <f>IF(ISNUMBER(AVERAGE('20250815_ETF_Options_Exhibits'!P1486:P1490)),AVERAGE('20250815_ETF_Options_Exhibits'!P1486:P1490),"")</f>
        <v/>
      </c>
      <c r="Q1490" s="3">
        <f>IF(ISNUMBER(AVERAGE('20250815_ETF_Options_Exhibits'!Q1486:Q1490)),AVERAGE('20250815_ETF_Options_Exhibits'!Q1486:Q1490),"")</f>
        <v/>
      </c>
      <c r="R1490" s="3">
        <f>IF(ISNUMBER(AVERAGE('20250815_ETF_Options_Exhibits'!R1486:R1490)),AVERAGE('20250815_ETF_Options_Exhibits'!R1486:R1490),"")</f>
        <v/>
      </c>
      <c r="S1490" s="3">
        <f>IF(ISNUMBER(AVERAGE('20250815_ETF_Options_Exhibits'!S1486:S1490)),AVERAGE('20250815_ETF_Options_Exhibits'!S1486:S1490),"")</f>
        <v/>
      </c>
      <c r="T1490" s="3">
        <f>IF(ISNUMBER(AVERAGE('20250815_ETF_Options_Exhibits'!T1486:T1490)),AVERAGE('20250815_ETF_Options_Exhibits'!T1486:T1490),"")</f>
        <v/>
      </c>
      <c r="U1490" s="3">
        <f>IF(ISNUMBER(AVERAGE('20250815_ETF_Options_Exhibits'!U1486:U1490)),AVERAGE('20250815_ETF_Options_Exhibits'!U1486:U1490),"")</f>
        <v/>
      </c>
      <c r="V1490" s="3">
        <f>IF(ISNUMBER(AVERAGE('20250815_ETF_Options_Exhibits'!V1486:V1490)),AVERAGE('20250815_ETF_Options_Exhibits'!V1486:V1490),"")</f>
        <v/>
      </c>
      <c r="W1490" s="3">
        <f>IF(ISNUMBER(AVERAGE('20250815_ETF_Options_Exhibits'!W1486:W1490)),AVERAGE('20250815_ETF_Options_Exhibits'!W1486:W1490),"")</f>
        <v/>
      </c>
      <c r="X1490" s="3">
        <f>IF(ISNUMBER(AVERAGE('20250815_ETF_Options_Exhibits'!X1486:X1490)),AVERAGE('20250815_ETF_Options_Exhibits'!X1486:X1490),"")</f>
        <v/>
      </c>
      <c r="Y1490" s="3">
        <f>IF(ISNUMBER(AVERAGE('20250815_ETF_Options_Exhibits'!Y1486:Y1490)),AVERAGE('20250815_ETF_Options_Exhibits'!Y1486:Y1490),"")</f>
        <v/>
      </c>
      <c r="Z1490" s="3">
        <f>IF(ISNUMBER(AVERAGE('20250815_ETF_Options_Exhibits'!Z1486:Z1490)),AVERAGE('20250815_ETF_Options_Exhibits'!Z1486:Z1490),"")</f>
        <v/>
      </c>
      <c r="AA1490" s="3">
        <f>IF(ISNUMBER(AVERAGE('20250815_ETF_Options_Exhibits'!AA1486:AA1490)),AVERAGE('20250815_ETF_Options_Exhibits'!AA1486:AA1490),"")</f>
        <v/>
      </c>
    </row>
    <row r="1491">
      <c r="A1491" s="1" t="n">
        <v>44165</v>
      </c>
      <c r="B1491" s="3">
        <f>IF(ISNUMBER(AVERAGE('20250815_ETF_Options_Exhibits'!B1487:B1491)),AVERAGE('20250815_ETF_Options_Exhibits'!B1487:B1491),"")</f>
        <v/>
      </c>
      <c r="C1491" s="3">
        <f>IF(ISNUMBER(AVERAGE('20250815_ETF_Options_Exhibits'!C1487:C1491)),AVERAGE('20250815_ETF_Options_Exhibits'!C1487:C1491),"")</f>
        <v/>
      </c>
      <c r="D1491" s="3">
        <f>IF(ISNUMBER(AVERAGE('20250815_ETF_Options_Exhibits'!D1487:D1491)),AVERAGE('20250815_ETF_Options_Exhibits'!D1487:D1491),"")</f>
        <v/>
      </c>
      <c r="E1491" s="3">
        <f>IF(ISNUMBER(AVERAGE('20250815_ETF_Options_Exhibits'!E1487:E1491)),AVERAGE('20250815_ETF_Options_Exhibits'!E1487:E1491),"")</f>
        <v/>
      </c>
      <c r="F1491" s="3">
        <f>IF(ISNUMBER(AVERAGE('20250815_ETF_Options_Exhibits'!F1487:F1491)),AVERAGE('20250815_ETF_Options_Exhibits'!F1487:F1491),"")</f>
        <v/>
      </c>
      <c r="G1491" s="3">
        <f>IF(ISNUMBER(AVERAGE('20250815_ETF_Options_Exhibits'!G1487:G1491)),AVERAGE('20250815_ETF_Options_Exhibits'!G1487:G1491),"")</f>
        <v/>
      </c>
      <c r="H1491" s="3">
        <f>IF(ISNUMBER(AVERAGE('20250815_ETF_Options_Exhibits'!H1487:H1491)),AVERAGE('20250815_ETF_Options_Exhibits'!H1487:H1491),"")</f>
        <v/>
      </c>
      <c r="I1491" s="3">
        <f>IF(ISNUMBER(AVERAGE('20250815_ETF_Options_Exhibits'!I1487:I1491)),AVERAGE('20250815_ETF_Options_Exhibits'!I1487:I1491),"")</f>
        <v/>
      </c>
      <c r="J1491" s="3">
        <f>IF(ISNUMBER(AVERAGE('20250815_ETF_Options_Exhibits'!J1487:J1491)),AVERAGE('20250815_ETF_Options_Exhibits'!J1487:J1491),"")</f>
        <v/>
      </c>
      <c r="K1491" s="3">
        <f>IF(ISNUMBER(AVERAGE('20250815_ETF_Options_Exhibits'!K1487:K1491)),AVERAGE('20250815_ETF_Options_Exhibits'!K1487:K1491),"")</f>
        <v/>
      </c>
      <c r="L1491" s="3">
        <f>IF(ISNUMBER(AVERAGE('20250815_ETF_Options_Exhibits'!L1487:L1491)),AVERAGE('20250815_ETF_Options_Exhibits'!L1487:L1491),"")</f>
        <v/>
      </c>
      <c r="M1491" s="3">
        <f>IF(ISNUMBER(AVERAGE('20250815_ETF_Options_Exhibits'!M1487:M1491)),AVERAGE('20250815_ETF_Options_Exhibits'!M1487:M1491),"")</f>
        <v/>
      </c>
      <c r="N1491" s="3">
        <f>IF(ISNUMBER(AVERAGE('20250815_ETF_Options_Exhibits'!N1487:N1491)),AVERAGE('20250815_ETF_Options_Exhibits'!N1487:N1491),"")</f>
        <v/>
      </c>
      <c r="O1491" s="3">
        <f>IF(ISNUMBER(AVERAGE('20250815_ETF_Options_Exhibits'!O1487:O1491)),AVERAGE('20250815_ETF_Options_Exhibits'!O1487:O1491),"")</f>
        <v/>
      </c>
      <c r="P1491" s="3">
        <f>IF(ISNUMBER(AVERAGE('20250815_ETF_Options_Exhibits'!P1487:P1491)),AVERAGE('20250815_ETF_Options_Exhibits'!P1487:P1491),"")</f>
        <v/>
      </c>
      <c r="Q1491" s="3">
        <f>IF(ISNUMBER(AVERAGE('20250815_ETF_Options_Exhibits'!Q1487:Q1491)),AVERAGE('20250815_ETF_Options_Exhibits'!Q1487:Q1491),"")</f>
        <v/>
      </c>
      <c r="R1491" s="3">
        <f>IF(ISNUMBER(AVERAGE('20250815_ETF_Options_Exhibits'!R1487:R1491)),AVERAGE('20250815_ETF_Options_Exhibits'!R1487:R1491),"")</f>
        <v/>
      </c>
      <c r="S1491" s="3">
        <f>IF(ISNUMBER(AVERAGE('20250815_ETF_Options_Exhibits'!S1487:S1491)),AVERAGE('20250815_ETF_Options_Exhibits'!S1487:S1491),"")</f>
        <v/>
      </c>
      <c r="T1491" s="3">
        <f>IF(ISNUMBER(AVERAGE('20250815_ETF_Options_Exhibits'!T1487:T1491)),AVERAGE('20250815_ETF_Options_Exhibits'!T1487:T1491),"")</f>
        <v/>
      </c>
      <c r="U1491" s="3">
        <f>IF(ISNUMBER(AVERAGE('20250815_ETF_Options_Exhibits'!U1487:U1491)),AVERAGE('20250815_ETF_Options_Exhibits'!U1487:U1491),"")</f>
        <v/>
      </c>
      <c r="V1491" s="3">
        <f>IF(ISNUMBER(AVERAGE('20250815_ETF_Options_Exhibits'!V1487:V1491)),AVERAGE('20250815_ETF_Options_Exhibits'!V1487:V1491),"")</f>
        <v/>
      </c>
      <c r="W1491" s="3">
        <f>IF(ISNUMBER(AVERAGE('20250815_ETF_Options_Exhibits'!W1487:W1491)),AVERAGE('20250815_ETF_Options_Exhibits'!W1487:W1491),"")</f>
        <v/>
      </c>
      <c r="X1491" s="3">
        <f>IF(ISNUMBER(AVERAGE('20250815_ETF_Options_Exhibits'!X1487:X1491)),AVERAGE('20250815_ETF_Options_Exhibits'!X1487:X1491),"")</f>
        <v/>
      </c>
      <c r="Y1491" s="3">
        <f>IF(ISNUMBER(AVERAGE('20250815_ETF_Options_Exhibits'!Y1487:Y1491)),AVERAGE('20250815_ETF_Options_Exhibits'!Y1487:Y1491),"")</f>
        <v/>
      </c>
      <c r="Z1491" s="3">
        <f>IF(ISNUMBER(AVERAGE('20250815_ETF_Options_Exhibits'!Z1487:Z1491)),AVERAGE('20250815_ETF_Options_Exhibits'!Z1487:Z1491),"")</f>
        <v/>
      </c>
      <c r="AA1491" s="3">
        <f>IF(ISNUMBER(AVERAGE('20250815_ETF_Options_Exhibits'!AA1487:AA1491)),AVERAGE('20250815_ETF_Options_Exhibits'!AA1487:AA1491),"")</f>
        <v/>
      </c>
    </row>
    <row r="1492">
      <c r="A1492" s="1" t="n">
        <v>44166</v>
      </c>
      <c r="B1492" s="3">
        <f>IF(ISNUMBER(AVERAGE('20250815_ETF_Options_Exhibits'!B1488:B1492)),AVERAGE('20250815_ETF_Options_Exhibits'!B1488:B1492),"")</f>
        <v/>
      </c>
      <c r="C1492" s="3">
        <f>IF(ISNUMBER(AVERAGE('20250815_ETF_Options_Exhibits'!C1488:C1492)),AVERAGE('20250815_ETF_Options_Exhibits'!C1488:C1492),"")</f>
        <v/>
      </c>
      <c r="D1492" s="3">
        <f>IF(ISNUMBER(AVERAGE('20250815_ETF_Options_Exhibits'!D1488:D1492)),AVERAGE('20250815_ETF_Options_Exhibits'!D1488:D1492),"")</f>
        <v/>
      </c>
      <c r="E1492" s="3">
        <f>IF(ISNUMBER(AVERAGE('20250815_ETF_Options_Exhibits'!E1488:E1492)),AVERAGE('20250815_ETF_Options_Exhibits'!E1488:E1492),"")</f>
        <v/>
      </c>
      <c r="F1492" s="3">
        <f>IF(ISNUMBER(AVERAGE('20250815_ETF_Options_Exhibits'!F1488:F1492)),AVERAGE('20250815_ETF_Options_Exhibits'!F1488:F1492),"")</f>
        <v/>
      </c>
      <c r="G1492" s="3">
        <f>IF(ISNUMBER(AVERAGE('20250815_ETF_Options_Exhibits'!G1488:G1492)),AVERAGE('20250815_ETF_Options_Exhibits'!G1488:G1492),"")</f>
        <v/>
      </c>
      <c r="H1492" s="3">
        <f>IF(ISNUMBER(AVERAGE('20250815_ETF_Options_Exhibits'!H1488:H1492)),AVERAGE('20250815_ETF_Options_Exhibits'!H1488:H1492),"")</f>
        <v/>
      </c>
      <c r="I1492" s="3">
        <f>IF(ISNUMBER(AVERAGE('20250815_ETF_Options_Exhibits'!I1488:I1492)),AVERAGE('20250815_ETF_Options_Exhibits'!I1488:I1492),"")</f>
        <v/>
      </c>
      <c r="J1492" s="3">
        <f>IF(ISNUMBER(AVERAGE('20250815_ETF_Options_Exhibits'!J1488:J1492)),AVERAGE('20250815_ETF_Options_Exhibits'!J1488:J1492),"")</f>
        <v/>
      </c>
      <c r="K1492" s="3">
        <f>IF(ISNUMBER(AVERAGE('20250815_ETF_Options_Exhibits'!K1488:K1492)),AVERAGE('20250815_ETF_Options_Exhibits'!K1488:K1492),"")</f>
        <v/>
      </c>
      <c r="L1492" s="3">
        <f>IF(ISNUMBER(AVERAGE('20250815_ETF_Options_Exhibits'!L1488:L1492)),AVERAGE('20250815_ETF_Options_Exhibits'!L1488:L1492),"")</f>
        <v/>
      </c>
      <c r="M1492" s="3">
        <f>IF(ISNUMBER(AVERAGE('20250815_ETF_Options_Exhibits'!M1488:M1492)),AVERAGE('20250815_ETF_Options_Exhibits'!M1488:M1492),"")</f>
        <v/>
      </c>
      <c r="N1492" s="3">
        <f>IF(ISNUMBER(AVERAGE('20250815_ETF_Options_Exhibits'!N1488:N1492)),AVERAGE('20250815_ETF_Options_Exhibits'!N1488:N1492),"")</f>
        <v/>
      </c>
      <c r="O1492" s="3">
        <f>IF(ISNUMBER(AVERAGE('20250815_ETF_Options_Exhibits'!O1488:O1492)),AVERAGE('20250815_ETF_Options_Exhibits'!O1488:O1492),"")</f>
        <v/>
      </c>
      <c r="P1492" s="3">
        <f>IF(ISNUMBER(AVERAGE('20250815_ETF_Options_Exhibits'!P1488:P1492)),AVERAGE('20250815_ETF_Options_Exhibits'!P1488:P1492),"")</f>
        <v/>
      </c>
      <c r="Q1492" s="3">
        <f>IF(ISNUMBER(AVERAGE('20250815_ETF_Options_Exhibits'!Q1488:Q1492)),AVERAGE('20250815_ETF_Options_Exhibits'!Q1488:Q1492),"")</f>
        <v/>
      </c>
      <c r="R1492" s="3">
        <f>IF(ISNUMBER(AVERAGE('20250815_ETF_Options_Exhibits'!R1488:R1492)),AVERAGE('20250815_ETF_Options_Exhibits'!R1488:R1492),"")</f>
        <v/>
      </c>
      <c r="S1492" s="3">
        <f>IF(ISNUMBER(AVERAGE('20250815_ETF_Options_Exhibits'!S1488:S1492)),AVERAGE('20250815_ETF_Options_Exhibits'!S1488:S1492),"")</f>
        <v/>
      </c>
      <c r="T1492" s="3">
        <f>IF(ISNUMBER(AVERAGE('20250815_ETF_Options_Exhibits'!T1488:T1492)),AVERAGE('20250815_ETF_Options_Exhibits'!T1488:T1492),"")</f>
        <v/>
      </c>
      <c r="U1492" s="3">
        <f>IF(ISNUMBER(AVERAGE('20250815_ETF_Options_Exhibits'!U1488:U1492)),AVERAGE('20250815_ETF_Options_Exhibits'!U1488:U1492),"")</f>
        <v/>
      </c>
      <c r="V1492" s="3">
        <f>IF(ISNUMBER(AVERAGE('20250815_ETF_Options_Exhibits'!V1488:V1492)),AVERAGE('20250815_ETF_Options_Exhibits'!V1488:V1492),"")</f>
        <v/>
      </c>
      <c r="W1492" s="3">
        <f>IF(ISNUMBER(AVERAGE('20250815_ETF_Options_Exhibits'!W1488:W1492)),AVERAGE('20250815_ETF_Options_Exhibits'!W1488:W1492),"")</f>
        <v/>
      </c>
      <c r="X1492" s="3">
        <f>IF(ISNUMBER(AVERAGE('20250815_ETF_Options_Exhibits'!X1488:X1492)),AVERAGE('20250815_ETF_Options_Exhibits'!X1488:X1492),"")</f>
        <v/>
      </c>
      <c r="Y1492" s="3">
        <f>IF(ISNUMBER(AVERAGE('20250815_ETF_Options_Exhibits'!Y1488:Y1492)),AVERAGE('20250815_ETF_Options_Exhibits'!Y1488:Y1492),"")</f>
        <v/>
      </c>
      <c r="Z1492" s="3">
        <f>IF(ISNUMBER(AVERAGE('20250815_ETF_Options_Exhibits'!Z1488:Z1492)),AVERAGE('20250815_ETF_Options_Exhibits'!Z1488:Z1492),"")</f>
        <v/>
      </c>
      <c r="AA1492" s="3">
        <f>IF(ISNUMBER(AVERAGE('20250815_ETF_Options_Exhibits'!AA1488:AA1492)),AVERAGE('20250815_ETF_Options_Exhibits'!AA1488:AA1492),"")</f>
        <v/>
      </c>
    </row>
    <row r="1493">
      <c r="A1493" s="1" t="n">
        <v>44167</v>
      </c>
      <c r="B1493" s="3">
        <f>IF(ISNUMBER(AVERAGE('20250815_ETF_Options_Exhibits'!B1489:B1493)),AVERAGE('20250815_ETF_Options_Exhibits'!B1489:B1493),"")</f>
        <v/>
      </c>
      <c r="C1493" s="3">
        <f>IF(ISNUMBER(AVERAGE('20250815_ETF_Options_Exhibits'!C1489:C1493)),AVERAGE('20250815_ETF_Options_Exhibits'!C1489:C1493),"")</f>
        <v/>
      </c>
      <c r="D1493" s="3">
        <f>IF(ISNUMBER(AVERAGE('20250815_ETF_Options_Exhibits'!D1489:D1493)),AVERAGE('20250815_ETF_Options_Exhibits'!D1489:D1493),"")</f>
        <v/>
      </c>
      <c r="E1493" s="3">
        <f>IF(ISNUMBER(AVERAGE('20250815_ETF_Options_Exhibits'!E1489:E1493)),AVERAGE('20250815_ETF_Options_Exhibits'!E1489:E1493),"")</f>
        <v/>
      </c>
      <c r="F1493" s="3">
        <f>IF(ISNUMBER(AVERAGE('20250815_ETF_Options_Exhibits'!F1489:F1493)),AVERAGE('20250815_ETF_Options_Exhibits'!F1489:F1493),"")</f>
        <v/>
      </c>
      <c r="G1493" s="3">
        <f>IF(ISNUMBER(AVERAGE('20250815_ETF_Options_Exhibits'!G1489:G1493)),AVERAGE('20250815_ETF_Options_Exhibits'!G1489:G1493),"")</f>
        <v/>
      </c>
      <c r="H1493" s="3">
        <f>IF(ISNUMBER(AVERAGE('20250815_ETF_Options_Exhibits'!H1489:H1493)),AVERAGE('20250815_ETF_Options_Exhibits'!H1489:H1493),"")</f>
        <v/>
      </c>
      <c r="I1493" s="3">
        <f>IF(ISNUMBER(AVERAGE('20250815_ETF_Options_Exhibits'!I1489:I1493)),AVERAGE('20250815_ETF_Options_Exhibits'!I1489:I1493),"")</f>
        <v/>
      </c>
      <c r="J1493" s="3">
        <f>IF(ISNUMBER(AVERAGE('20250815_ETF_Options_Exhibits'!J1489:J1493)),AVERAGE('20250815_ETF_Options_Exhibits'!J1489:J1493),"")</f>
        <v/>
      </c>
      <c r="K1493" s="3">
        <f>IF(ISNUMBER(AVERAGE('20250815_ETF_Options_Exhibits'!K1489:K1493)),AVERAGE('20250815_ETF_Options_Exhibits'!K1489:K1493),"")</f>
        <v/>
      </c>
      <c r="L1493" s="3">
        <f>IF(ISNUMBER(AVERAGE('20250815_ETF_Options_Exhibits'!L1489:L1493)),AVERAGE('20250815_ETF_Options_Exhibits'!L1489:L1493),"")</f>
        <v/>
      </c>
      <c r="M1493" s="3">
        <f>IF(ISNUMBER(AVERAGE('20250815_ETF_Options_Exhibits'!M1489:M1493)),AVERAGE('20250815_ETF_Options_Exhibits'!M1489:M1493),"")</f>
        <v/>
      </c>
      <c r="N1493" s="3">
        <f>IF(ISNUMBER(AVERAGE('20250815_ETF_Options_Exhibits'!N1489:N1493)),AVERAGE('20250815_ETF_Options_Exhibits'!N1489:N1493),"")</f>
        <v/>
      </c>
      <c r="O1493" s="3">
        <f>IF(ISNUMBER(AVERAGE('20250815_ETF_Options_Exhibits'!O1489:O1493)),AVERAGE('20250815_ETF_Options_Exhibits'!O1489:O1493),"")</f>
        <v/>
      </c>
      <c r="P1493" s="3">
        <f>IF(ISNUMBER(AVERAGE('20250815_ETF_Options_Exhibits'!P1489:P1493)),AVERAGE('20250815_ETF_Options_Exhibits'!P1489:P1493),"")</f>
        <v/>
      </c>
      <c r="Q1493" s="3">
        <f>IF(ISNUMBER(AVERAGE('20250815_ETF_Options_Exhibits'!Q1489:Q1493)),AVERAGE('20250815_ETF_Options_Exhibits'!Q1489:Q1493),"")</f>
        <v/>
      </c>
      <c r="R1493" s="3">
        <f>IF(ISNUMBER(AVERAGE('20250815_ETF_Options_Exhibits'!R1489:R1493)),AVERAGE('20250815_ETF_Options_Exhibits'!R1489:R1493),"")</f>
        <v/>
      </c>
      <c r="S1493" s="3">
        <f>IF(ISNUMBER(AVERAGE('20250815_ETF_Options_Exhibits'!S1489:S1493)),AVERAGE('20250815_ETF_Options_Exhibits'!S1489:S1493),"")</f>
        <v/>
      </c>
      <c r="T1493" s="3">
        <f>IF(ISNUMBER(AVERAGE('20250815_ETF_Options_Exhibits'!T1489:T1493)),AVERAGE('20250815_ETF_Options_Exhibits'!T1489:T1493),"")</f>
        <v/>
      </c>
      <c r="U1493" s="3">
        <f>IF(ISNUMBER(AVERAGE('20250815_ETF_Options_Exhibits'!U1489:U1493)),AVERAGE('20250815_ETF_Options_Exhibits'!U1489:U1493),"")</f>
        <v/>
      </c>
      <c r="V1493" s="3">
        <f>IF(ISNUMBER(AVERAGE('20250815_ETF_Options_Exhibits'!V1489:V1493)),AVERAGE('20250815_ETF_Options_Exhibits'!V1489:V1493),"")</f>
        <v/>
      </c>
      <c r="W1493" s="3">
        <f>IF(ISNUMBER(AVERAGE('20250815_ETF_Options_Exhibits'!W1489:W1493)),AVERAGE('20250815_ETF_Options_Exhibits'!W1489:W1493),"")</f>
        <v/>
      </c>
      <c r="X1493" s="3">
        <f>IF(ISNUMBER(AVERAGE('20250815_ETF_Options_Exhibits'!X1489:X1493)),AVERAGE('20250815_ETF_Options_Exhibits'!X1489:X1493),"")</f>
        <v/>
      </c>
      <c r="Y1493" s="3">
        <f>IF(ISNUMBER(AVERAGE('20250815_ETF_Options_Exhibits'!Y1489:Y1493)),AVERAGE('20250815_ETF_Options_Exhibits'!Y1489:Y1493),"")</f>
        <v/>
      </c>
      <c r="Z1493" s="3">
        <f>IF(ISNUMBER(AVERAGE('20250815_ETF_Options_Exhibits'!Z1489:Z1493)),AVERAGE('20250815_ETF_Options_Exhibits'!Z1489:Z1493),"")</f>
        <v/>
      </c>
      <c r="AA1493" s="3">
        <f>IF(ISNUMBER(AVERAGE('20250815_ETF_Options_Exhibits'!AA1489:AA1493)),AVERAGE('20250815_ETF_Options_Exhibits'!AA1489:AA1493),"")</f>
        <v/>
      </c>
    </row>
    <row r="1494">
      <c r="A1494" s="1" t="n">
        <v>44168</v>
      </c>
      <c r="B1494" s="3">
        <f>IF(ISNUMBER(AVERAGE('20250815_ETF_Options_Exhibits'!B1490:B1494)),AVERAGE('20250815_ETF_Options_Exhibits'!B1490:B1494),"")</f>
        <v/>
      </c>
      <c r="C1494" s="3">
        <f>IF(ISNUMBER(AVERAGE('20250815_ETF_Options_Exhibits'!C1490:C1494)),AVERAGE('20250815_ETF_Options_Exhibits'!C1490:C1494),"")</f>
        <v/>
      </c>
      <c r="D1494" s="3">
        <f>IF(ISNUMBER(AVERAGE('20250815_ETF_Options_Exhibits'!D1490:D1494)),AVERAGE('20250815_ETF_Options_Exhibits'!D1490:D1494),"")</f>
        <v/>
      </c>
      <c r="E1494" s="3">
        <f>IF(ISNUMBER(AVERAGE('20250815_ETF_Options_Exhibits'!E1490:E1494)),AVERAGE('20250815_ETF_Options_Exhibits'!E1490:E1494),"")</f>
        <v/>
      </c>
      <c r="F1494" s="3">
        <f>IF(ISNUMBER(AVERAGE('20250815_ETF_Options_Exhibits'!F1490:F1494)),AVERAGE('20250815_ETF_Options_Exhibits'!F1490:F1494),"")</f>
        <v/>
      </c>
      <c r="G1494" s="3">
        <f>IF(ISNUMBER(AVERAGE('20250815_ETF_Options_Exhibits'!G1490:G1494)),AVERAGE('20250815_ETF_Options_Exhibits'!G1490:G1494),"")</f>
        <v/>
      </c>
      <c r="H1494" s="3">
        <f>IF(ISNUMBER(AVERAGE('20250815_ETF_Options_Exhibits'!H1490:H1494)),AVERAGE('20250815_ETF_Options_Exhibits'!H1490:H1494),"")</f>
        <v/>
      </c>
      <c r="I1494" s="3">
        <f>IF(ISNUMBER(AVERAGE('20250815_ETF_Options_Exhibits'!I1490:I1494)),AVERAGE('20250815_ETF_Options_Exhibits'!I1490:I1494),"")</f>
        <v/>
      </c>
      <c r="J1494" s="3">
        <f>IF(ISNUMBER(AVERAGE('20250815_ETF_Options_Exhibits'!J1490:J1494)),AVERAGE('20250815_ETF_Options_Exhibits'!J1490:J1494),"")</f>
        <v/>
      </c>
      <c r="K1494" s="3">
        <f>IF(ISNUMBER(AVERAGE('20250815_ETF_Options_Exhibits'!K1490:K1494)),AVERAGE('20250815_ETF_Options_Exhibits'!K1490:K1494),"")</f>
        <v/>
      </c>
      <c r="L1494" s="3">
        <f>IF(ISNUMBER(AVERAGE('20250815_ETF_Options_Exhibits'!L1490:L1494)),AVERAGE('20250815_ETF_Options_Exhibits'!L1490:L1494),"")</f>
        <v/>
      </c>
      <c r="M1494" s="3">
        <f>IF(ISNUMBER(AVERAGE('20250815_ETF_Options_Exhibits'!M1490:M1494)),AVERAGE('20250815_ETF_Options_Exhibits'!M1490:M1494),"")</f>
        <v/>
      </c>
      <c r="N1494" s="3">
        <f>IF(ISNUMBER(AVERAGE('20250815_ETF_Options_Exhibits'!N1490:N1494)),AVERAGE('20250815_ETF_Options_Exhibits'!N1490:N1494),"")</f>
        <v/>
      </c>
      <c r="O1494" s="3">
        <f>IF(ISNUMBER(AVERAGE('20250815_ETF_Options_Exhibits'!O1490:O1494)),AVERAGE('20250815_ETF_Options_Exhibits'!O1490:O1494),"")</f>
        <v/>
      </c>
      <c r="P1494" s="3">
        <f>IF(ISNUMBER(AVERAGE('20250815_ETF_Options_Exhibits'!P1490:P1494)),AVERAGE('20250815_ETF_Options_Exhibits'!P1490:P1494),"")</f>
        <v/>
      </c>
      <c r="Q1494" s="3">
        <f>IF(ISNUMBER(AVERAGE('20250815_ETF_Options_Exhibits'!Q1490:Q1494)),AVERAGE('20250815_ETF_Options_Exhibits'!Q1490:Q1494),"")</f>
        <v/>
      </c>
      <c r="R1494" s="3">
        <f>IF(ISNUMBER(AVERAGE('20250815_ETF_Options_Exhibits'!R1490:R1494)),AVERAGE('20250815_ETF_Options_Exhibits'!R1490:R1494),"")</f>
        <v/>
      </c>
      <c r="S1494" s="3">
        <f>IF(ISNUMBER(AVERAGE('20250815_ETF_Options_Exhibits'!S1490:S1494)),AVERAGE('20250815_ETF_Options_Exhibits'!S1490:S1494),"")</f>
        <v/>
      </c>
      <c r="T1494" s="3">
        <f>IF(ISNUMBER(AVERAGE('20250815_ETF_Options_Exhibits'!T1490:T1494)),AVERAGE('20250815_ETF_Options_Exhibits'!T1490:T1494),"")</f>
        <v/>
      </c>
      <c r="U1494" s="3">
        <f>IF(ISNUMBER(AVERAGE('20250815_ETF_Options_Exhibits'!U1490:U1494)),AVERAGE('20250815_ETF_Options_Exhibits'!U1490:U1494),"")</f>
        <v/>
      </c>
      <c r="V1494" s="3">
        <f>IF(ISNUMBER(AVERAGE('20250815_ETF_Options_Exhibits'!V1490:V1494)),AVERAGE('20250815_ETF_Options_Exhibits'!V1490:V1494),"")</f>
        <v/>
      </c>
      <c r="W1494" s="3">
        <f>IF(ISNUMBER(AVERAGE('20250815_ETF_Options_Exhibits'!W1490:W1494)),AVERAGE('20250815_ETF_Options_Exhibits'!W1490:W1494),"")</f>
        <v/>
      </c>
      <c r="X1494" s="3">
        <f>IF(ISNUMBER(AVERAGE('20250815_ETF_Options_Exhibits'!X1490:X1494)),AVERAGE('20250815_ETF_Options_Exhibits'!X1490:X1494),"")</f>
        <v/>
      </c>
      <c r="Y1494" s="3">
        <f>IF(ISNUMBER(AVERAGE('20250815_ETF_Options_Exhibits'!Y1490:Y1494)),AVERAGE('20250815_ETF_Options_Exhibits'!Y1490:Y1494),"")</f>
        <v/>
      </c>
      <c r="Z1494" s="3">
        <f>IF(ISNUMBER(AVERAGE('20250815_ETF_Options_Exhibits'!Z1490:Z1494)),AVERAGE('20250815_ETF_Options_Exhibits'!Z1490:Z1494),"")</f>
        <v/>
      </c>
      <c r="AA1494" s="3">
        <f>IF(ISNUMBER(AVERAGE('20250815_ETF_Options_Exhibits'!AA1490:AA1494)),AVERAGE('20250815_ETF_Options_Exhibits'!AA1490:AA1494),"")</f>
        <v/>
      </c>
    </row>
    <row r="1495">
      <c r="A1495" s="1" t="n">
        <v>44169</v>
      </c>
      <c r="B1495" s="3">
        <f>IF(ISNUMBER(AVERAGE('20250815_ETF_Options_Exhibits'!B1491:B1495)),AVERAGE('20250815_ETF_Options_Exhibits'!B1491:B1495),"")</f>
        <v/>
      </c>
      <c r="C1495" s="3">
        <f>IF(ISNUMBER(AVERAGE('20250815_ETF_Options_Exhibits'!C1491:C1495)),AVERAGE('20250815_ETF_Options_Exhibits'!C1491:C1495),"")</f>
        <v/>
      </c>
      <c r="D1495" s="3">
        <f>IF(ISNUMBER(AVERAGE('20250815_ETF_Options_Exhibits'!D1491:D1495)),AVERAGE('20250815_ETF_Options_Exhibits'!D1491:D1495),"")</f>
        <v/>
      </c>
      <c r="E1495" s="3">
        <f>IF(ISNUMBER(AVERAGE('20250815_ETF_Options_Exhibits'!E1491:E1495)),AVERAGE('20250815_ETF_Options_Exhibits'!E1491:E1495),"")</f>
        <v/>
      </c>
      <c r="F1495" s="3">
        <f>IF(ISNUMBER(AVERAGE('20250815_ETF_Options_Exhibits'!F1491:F1495)),AVERAGE('20250815_ETF_Options_Exhibits'!F1491:F1495),"")</f>
        <v/>
      </c>
      <c r="G1495" s="3">
        <f>IF(ISNUMBER(AVERAGE('20250815_ETF_Options_Exhibits'!G1491:G1495)),AVERAGE('20250815_ETF_Options_Exhibits'!G1491:G1495),"")</f>
        <v/>
      </c>
      <c r="H1495" s="3">
        <f>IF(ISNUMBER(AVERAGE('20250815_ETF_Options_Exhibits'!H1491:H1495)),AVERAGE('20250815_ETF_Options_Exhibits'!H1491:H1495),"")</f>
        <v/>
      </c>
      <c r="I1495" s="3">
        <f>IF(ISNUMBER(AVERAGE('20250815_ETF_Options_Exhibits'!I1491:I1495)),AVERAGE('20250815_ETF_Options_Exhibits'!I1491:I1495),"")</f>
        <v/>
      </c>
      <c r="J1495" s="3">
        <f>IF(ISNUMBER(AVERAGE('20250815_ETF_Options_Exhibits'!J1491:J1495)),AVERAGE('20250815_ETF_Options_Exhibits'!J1491:J1495),"")</f>
        <v/>
      </c>
      <c r="K1495" s="3">
        <f>IF(ISNUMBER(AVERAGE('20250815_ETF_Options_Exhibits'!K1491:K1495)),AVERAGE('20250815_ETF_Options_Exhibits'!K1491:K1495),"")</f>
        <v/>
      </c>
      <c r="L1495" s="3">
        <f>IF(ISNUMBER(AVERAGE('20250815_ETF_Options_Exhibits'!L1491:L1495)),AVERAGE('20250815_ETF_Options_Exhibits'!L1491:L1495),"")</f>
        <v/>
      </c>
      <c r="M1495" s="3">
        <f>IF(ISNUMBER(AVERAGE('20250815_ETF_Options_Exhibits'!M1491:M1495)),AVERAGE('20250815_ETF_Options_Exhibits'!M1491:M1495),"")</f>
        <v/>
      </c>
      <c r="N1495" s="3">
        <f>IF(ISNUMBER(AVERAGE('20250815_ETF_Options_Exhibits'!N1491:N1495)),AVERAGE('20250815_ETF_Options_Exhibits'!N1491:N1495),"")</f>
        <v/>
      </c>
      <c r="O1495" s="3">
        <f>IF(ISNUMBER(AVERAGE('20250815_ETF_Options_Exhibits'!O1491:O1495)),AVERAGE('20250815_ETF_Options_Exhibits'!O1491:O1495),"")</f>
        <v/>
      </c>
      <c r="P1495" s="3">
        <f>IF(ISNUMBER(AVERAGE('20250815_ETF_Options_Exhibits'!P1491:P1495)),AVERAGE('20250815_ETF_Options_Exhibits'!P1491:P1495),"")</f>
        <v/>
      </c>
      <c r="Q1495" s="3">
        <f>IF(ISNUMBER(AVERAGE('20250815_ETF_Options_Exhibits'!Q1491:Q1495)),AVERAGE('20250815_ETF_Options_Exhibits'!Q1491:Q1495),"")</f>
        <v/>
      </c>
      <c r="R1495" s="3">
        <f>IF(ISNUMBER(AVERAGE('20250815_ETF_Options_Exhibits'!R1491:R1495)),AVERAGE('20250815_ETF_Options_Exhibits'!R1491:R1495),"")</f>
        <v/>
      </c>
      <c r="S1495" s="3">
        <f>IF(ISNUMBER(AVERAGE('20250815_ETF_Options_Exhibits'!S1491:S1495)),AVERAGE('20250815_ETF_Options_Exhibits'!S1491:S1495),"")</f>
        <v/>
      </c>
      <c r="T1495" s="3">
        <f>IF(ISNUMBER(AVERAGE('20250815_ETF_Options_Exhibits'!T1491:T1495)),AVERAGE('20250815_ETF_Options_Exhibits'!T1491:T1495),"")</f>
        <v/>
      </c>
      <c r="U1495" s="3">
        <f>IF(ISNUMBER(AVERAGE('20250815_ETF_Options_Exhibits'!U1491:U1495)),AVERAGE('20250815_ETF_Options_Exhibits'!U1491:U1495),"")</f>
        <v/>
      </c>
      <c r="V1495" s="3">
        <f>IF(ISNUMBER(AVERAGE('20250815_ETF_Options_Exhibits'!V1491:V1495)),AVERAGE('20250815_ETF_Options_Exhibits'!V1491:V1495),"")</f>
        <v/>
      </c>
      <c r="W1495" s="3">
        <f>IF(ISNUMBER(AVERAGE('20250815_ETF_Options_Exhibits'!W1491:W1495)),AVERAGE('20250815_ETF_Options_Exhibits'!W1491:W1495),"")</f>
        <v/>
      </c>
      <c r="X1495" s="3">
        <f>IF(ISNUMBER(AVERAGE('20250815_ETF_Options_Exhibits'!X1491:X1495)),AVERAGE('20250815_ETF_Options_Exhibits'!X1491:X1495),"")</f>
        <v/>
      </c>
      <c r="Y1495" s="3">
        <f>IF(ISNUMBER(AVERAGE('20250815_ETF_Options_Exhibits'!Y1491:Y1495)),AVERAGE('20250815_ETF_Options_Exhibits'!Y1491:Y1495),"")</f>
        <v/>
      </c>
      <c r="Z1495" s="3">
        <f>IF(ISNUMBER(AVERAGE('20250815_ETF_Options_Exhibits'!Z1491:Z1495)),AVERAGE('20250815_ETF_Options_Exhibits'!Z1491:Z1495),"")</f>
        <v/>
      </c>
      <c r="AA1495" s="3">
        <f>IF(ISNUMBER(AVERAGE('20250815_ETF_Options_Exhibits'!AA1491:AA1495)),AVERAGE('20250815_ETF_Options_Exhibits'!AA1491:AA1495),"")</f>
        <v/>
      </c>
    </row>
    <row r="1496">
      <c r="A1496" s="1" t="n">
        <v>44172</v>
      </c>
      <c r="B1496" s="3">
        <f>IF(ISNUMBER(AVERAGE('20250815_ETF_Options_Exhibits'!B1492:B1496)),AVERAGE('20250815_ETF_Options_Exhibits'!B1492:B1496),"")</f>
        <v/>
      </c>
      <c r="C1496" s="3">
        <f>IF(ISNUMBER(AVERAGE('20250815_ETF_Options_Exhibits'!C1492:C1496)),AVERAGE('20250815_ETF_Options_Exhibits'!C1492:C1496),"")</f>
        <v/>
      </c>
      <c r="D1496" s="3">
        <f>IF(ISNUMBER(AVERAGE('20250815_ETF_Options_Exhibits'!D1492:D1496)),AVERAGE('20250815_ETF_Options_Exhibits'!D1492:D1496),"")</f>
        <v/>
      </c>
      <c r="E1496" s="3">
        <f>IF(ISNUMBER(AVERAGE('20250815_ETF_Options_Exhibits'!E1492:E1496)),AVERAGE('20250815_ETF_Options_Exhibits'!E1492:E1496),"")</f>
        <v/>
      </c>
      <c r="F1496" s="3">
        <f>IF(ISNUMBER(AVERAGE('20250815_ETF_Options_Exhibits'!F1492:F1496)),AVERAGE('20250815_ETF_Options_Exhibits'!F1492:F1496),"")</f>
        <v/>
      </c>
      <c r="G1496" s="3">
        <f>IF(ISNUMBER(AVERAGE('20250815_ETF_Options_Exhibits'!G1492:G1496)),AVERAGE('20250815_ETF_Options_Exhibits'!G1492:G1496),"")</f>
        <v/>
      </c>
      <c r="H1496" s="3">
        <f>IF(ISNUMBER(AVERAGE('20250815_ETF_Options_Exhibits'!H1492:H1496)),AVERAGE('20250815_ETF_Options_Exhibits'!H1492:H1496),"")</f>
        <v/>
      </c>
      <c r="I1496" s="3">
        <f>IF(ISNUMBER(AVERAGE('20250815_ETF_Options_Exhibits'!I1492:I1496)),AVERAGE('20250815_ETF_Options_Exhibits'!I1492:I1496),"")</f>
        <v/>
      </c>
      <c r="J1496" s="3">
        <f>IF(ISNUMBER(AVERAGE('20250815_ETF_Options_Exhibits'!J1492:J1496)),AVERAGE('20250815_ETF_Options_Exhibits'!J1492:J1496),"")</f>
        <v/>
      </c>
      <c r="K1496" s="3">
        <f>IF(ISNUMBER(AVERAGE('20250815_ETF_Options_Exhibits'!K1492:K1496)),AVERAGE('20250815_ETF_Options_Exhibits'!K1492:K1496),"")</f>
        <v/>
      </c>
      <c r="L1496" s="3">
        <f>IF(ISNUMBER(AVERAGE('20250815_ETF_Options_Exhibits'!L1492:L1496)),AVERAGE('20250815_ETF_Options_Exhibits'!L1492:L1496),"")</f>
        <v/>
      </c>
      <c r="M1496" s="3">
        <f>IF(ISNUMBER(AVERAGE('20250815_ETF_Options_Exhibits'!M1492:M1496)),AVERAGE('20250815_ETF_Options_Exhibits'!M1492:M1496),"")</f>
        <v/>
      </c>
      <c r="N1496" s="3">
        <f>IF(ISNUMBER(AVERAGE('20250815_ETF_Options_Exhibits'!N1492:N1496)),AVERAGE('20250815_ETF_Options_Exhibits'!N1492:N1496),"")</f>
        <v/>
      </c>
      <c r="O1496" s="3">
        <f>IF(ISNUMBER(AVERAGE('20250815_ETF_Options_Exhibits'!O1492:O1496)),AVERAGE('20250815_ETF_Options_Exhibits'!O1492:O1496),"")</f>
        <v/>
      </c>
      <c r="P1496" s="3">
        <f>IF(ISNUMBER(AVERAGE('20250815_ETF_Options_Exhibits'!P1492:P1496)),AVERAGE('20250815_ETF_Options_Exhibits'!P1492:P1496),"")</f>
        <v/>
      </c>
      <c r="Q1496" s="3">
        <f>IF(ISNUMBER(AVERAGE('20250815_ETF_Options_Exhibits'!Q1492:Q1496)),AVERAGE('20250815_ETF_Options_Exhibits'!Q1492:Q1496),"")</f>
        <v/>
      </c>
      <c r="R1496" s="3">
        <f>IF(ISNUMBER(AVERAGE('20250815_ETF_Options_Exhibits'!R1492:R1496)),AVERAGE('20250815_ETF_Options_Exhibits'!R1492:R1496),"")</f>
        <v/>
      </c>
      <c r="S1496" s="3">
        <f>IF(ISNUMBER(AVERAGE('20250815_ETF_Options_Exhibits'!S1492:S1496)),AVERAGE('20250815_ETF_Options_Exhibits'!S1492:S1496),"")</f>
        <v/>
      </c>
      <c r="T1496" s="3">
        <f>IF(ISNUMBER(AVERAGE('20250815_ETF_Options_Exhibits'!T1492:T1496)),AVERAGE('20250815_ETF_Options_Exhibits'!T1492:T1496),"")</f>
        <v/>
      </c>
      <c r="U1496" s="3">
        <f>IF(ISNUMBER(AVERAGE('20250815_ETF_Options_Exhibits'!U1492:U1496)),AVERAGE('20250815_ETF_Options_Exhibits'!U1492:U1496),"")</f>
        <v/>
      </c>
      <c r="V1496" s="3">
        <f>IF(ISNUMBER(AVERAGE('20250815_ETF_Options_Exhibits'!V1492:V1496)),AVERAGE('20250815_ETF_Options_Exhibits'!V1492:V1496),"")</f>
        <v/>
      </c>
      <c r="W1496" s="3">
        <f>IF(ISNUMBER(AVERAGE('20250815_ETF_Options_Exhibits'!W1492:W1496)),AVERAGE('20250815_ETF_Options_Exhibits'!W1492:W1496),"")</f>
        <v/>
      </c>
      <c r="X1496" s="3">
        <f>IF(ISNUMBER(AVERAGE('20250815_ETF_Options_Exhibits'!X1492:X1496)),AVERAGE('20250815_ETF_Options_Exhibits'!X1492:X1496),"")</f>
        <v/>
      </c>
      <c r="Y1496" s="3">
        <f>IF(ISNUMBER(AVERAGE('20250815_ETF_Options_Exhibits'!Y1492:Y1496)),AVERAGE('20250815_ETF_Options_Exhibits'!Y1492:Y1496),"")</f>
        <v/>
      </c>
      <c r="Z1496" s="3">
        <f>IF(ISNUMBER(AVERAGE('20250815_ETF_Options_Exhibits'!Z1492:Z1496)),AVERAGE('20250815_ETF_Options_Exhibits'!Z1492:Z1496),"")</f>
        <v/>
      </c>
      <c r="AA1496" s="3">
        <f>IF(ISNUMBER(AVERAGE('20250815_ETF_Options_Exhibits'!AA1492:AA1496)),AVERAGE('20250815_ETF_Options_Exhibits'!AA1492:AA1496),"")</f>
        <v/>
      </c>
    </row>
    <row r="1497">
      <c r="A1497" s="1" t="n">
        <v>44173</v>
      </c>
      <c r="B1497" s="3">
        <f>IF(ISNUMBER(AVERAGE('20250815_ETF_Options_Exhibits'!B1493:B1497)),AVERAGE('20250815_ETF_Options_Exhibits'!B1493:B1497),"")</f>
        <v/>
      </c>
      <c r="C1497" s="3">
        <f>IF(ISNUMBER(AVERAGE('20250815_ETF_Options_Exhibits'!C1493:C1497)),AVERAGE('20250815_ETF_Options_Exhibits'!C1493:C1497),"")</f>
        <v/>
      </c>
      <c r="D1497" s="3">
        <f>IF(ISNUMBER(AVERAGE('20250815_ETF_Options_Exhibits'!D1493:D1497)),AVERAGE('20250815_ETF_Options_Exhibits'!D1493:D1497),"")</f>
        <v/>
      </c>
      <c r="E1497" s="3">
        <f>IF(ISNUMBER(AVERAGE('20250815_ETF_Options_Exhibits'!E1493:E1497)),AVERAGE('20250815_ETF_Options_Exhibits'!E1493:E1497),"")</f>
        <v/>
      </c>
      <c r="F1497" s="3">
        <f>IF(ISNUMBER(AVERAGE('20250815_ETF_Options_Exhibits'!F1493:F1497)),AVERAGE('20250815_ETF_Options_Exhibits'!F1493:F1497),"")</f>
        <v/>
      </c>
      <c r="G1497" s="3">
        <f>IF(ISNUMBER(AVERAGE('20250815_ETF_Options_Exhibits'!G1493:G1497)),AVERAGE('20250815_ETF_Options_Exhibits'!G1493:G1497),"")</f>
        <v/>
      </c>
      <c r="H1497" s="3">
        <f>IF(ISNUMBER(AVERAGE('20250815_ETF_Options_Exhibits'!H1493:H1497)),AVERAGE('20250815_ETF_Options_Exhibits'!H1493:H1497),"")</f>
        <v/>
      </c>
      <c r="I1497" s="3">
        <f>IF(ISNUMBER(AVERAGE('20250815_ETF_Options_Exhibits'!I1493:I1497)),AVERAGE('20250815_ETF_Options_Exhibits'!I1493:I1497),"")</f>
        <v/>
      </c>
      <c r="J1497" s="3">
        <f>IF(ISNUMBER(AVERAGE('20250815_ETF_Options_Exhibits'!J1493:J1497)),AVERAGE('20250815_ETF_Options_Exhibits'!J1493:J1497),"")</f>
        <v/>
      </c>
      <c r="K1497" s="3">
        <f>IF(ISNUMBER(AVERAGE('20250815_ETF_Options_Exhibits'!K1493:K1497)),AVERAGE('20250815_ETF_Options_Exhibits'!K1493:K1497),"")</f>
        <v/>
      </c>
      <c r="L1497" s="3">
        <f>IF(ISNUMBER(AVERAGE('20250815_ETF_Options_Exhibits'!L1493:L1497)),AVERAGE('20250815_ETF_Options_Exhibits'!L1493:L1497),"")</f>
        <v/>
      </c>
      <c r="M1497" s="3">
        <f>IF(ISNUMBER(AVERAGE('20250815_ETF_Options_Exhibits'!M1493:M1497)),AVERAGE('20250815_ETF_Options_Exhibits'!M1493:M1497),"")</f>
        <v/>
      </c>
      <c r="N1497" s="3">
        <f>IF(ISNUMBER(AVERAGE('20250815_ETF_Options_Exhibits'!N1493:N1497)),AVERAGE('20250815_ETF_Options_Exhibits'!N1493:N1497),"")</f>
        <v/>
      </c>
      <c r="O1497" s="3">
        <f>IF(ISNUMBER(AVERAGE('20250815_ETF_Options_Exhibits'!O1493:O1497)),AVERAGE('20250815_ETF_Options_Exhibits'!O1493:O1497),"")</f>
        <v/>
      </c>
      <c r="P1497" s="3">
        <f>IF(ISNUMBER(AVERAGE('20250815_ETF_Options_Exhibits'!P1493:P1497)),AVERAGE('20250815_ETF_Options_Exhibits'!P1493:P1497),"")</f>
        <v/>
      </c>
      <c r="Q1497" s="3">
        <f>IF(ISNUMBER(AVERAGE('20250815_ETF_Options_Exhibits'!Q1493:Q1497)),AVERAGE('20250815_ETF_Options_Exhibits'!Q1493:Q1497),"")</f>
        <v/>
      </c>
      <c r="R1497" s="3">
        <f>IF(ISNUMBER(AVERAGE('20250815_ETF_Options_Exhibits'!R1493:R1497)),AVERAGE('20250815_ETF_Options_Exhibits'!R1493:R1497),"")</f>
        <v/>
      </c>
      <c r="S1497" s="3">
        <f>IF(ISNUMBER(AVERAGE('20250815_ETF_Options_Exhibits'!S1493:S1497)),AVERAGE('20250815_ETF_Options_Exhibits'!S1493:S1497),"")</f>
        <v/>
      </c>
      <c r="T1497" s="3">
        <f>IF(ISNUMBER(AVERAGE('20250815_ETF_Options_Exhibits'!T1493:T1497)),AVERAGE('20250815_ETF_Options_Exhibits'!T1493:T1497),"")</f>
        <v/>
      </c>
      <c r="U1497" s="3">
        <f>IF(ISNUMBER(AVERAGE('20250815_ETF_Options_Exhibits'!U1493:U1497)),AVERAGE('20250815_ETF_Options_Exhibits'!U1493:U1497),"")</f>
        <v/>
      </c>
      <c r="V1497" s="3">
        <f>IF(ISNUMBER(AVERAGE('20250815_ETF_Options_Exhibits'!V1493:V1497)),AVERAGE('20250815_ETF_Options_Exhibits'!V1493:V1497),"")</f>
        <v/>
      </c>
      <c r="W1497" s="3">
        <f>IF(ISNUMBER(AVERAGE('20250815_ETF_Options_Exhibits'!W1493:W1497)),AVERAGE('20250815_ETF_Options_Exhibits'!W1493:W1497),"")</f>
        <v/>
      </c>
      <c r="X1497" s="3">
        <f>IF(ISNUMBER(AVERAGE('20250815_ETF_Options_Exhibits'!X1493:X1497)),AVERAGE('20250815_ETF_Options_Exhibits'!X1493:X1497),"")</f>
        <v/>
      </c>
      <c r="Y1497" s="3">
        <f>IF(ISNUMBER(AVERAGE('20250815_ETF_Options_Exhibits'!Y1493:Y1497)),AVERAGE('20250815_ETF_Options_Exhibits'!Y1493:Y1497),"")</f>
        <v/>
      </c>
      <c r="Z1497" s="3">
        <f>IF(ISNUMBER(AVERAGE('20250815_ETF_Options_Exhibits'!Z1493:Z1497)),AVERAGE('20250815_ETF_Options_Exhibits'!Z1493:Z1497),"")</f>
        <v/>
      </c>
      <c r="AA1497" s="3">
        <f>IF(ISNUMBER(AVERAGE('20250815_ETF_Options_Exhibits'!AA1493:AA1497)),AVERAGE('20250815_ETF_Options_Exhibits'!AA1493:AA1497),"")</f>
        <v/>
      </c>
    </row>
    <row r="1498">
      <c r="A1498" s="1" t="n">
        <v>44174</v>
      </c>
      <c r="B1498" s="3">
        <f>IF(ISNUMBER(AVERAGE('20250815_ETF_Options_Exhibits'!B1494:B1498)),AVERAGE('20250815_ETF_Options_Exhibits'!B1494:B1498),"")</f>
        <v/>
      </c>
      <c r="C1498" s="3">
        <f>IF(ISNUMBER(AVERAGE('20250815_ETF_Options_Exhibits'!C1494:C1498)),AVERAGE('20250815_ETF_Options_Exhibits'!C1494:C1498),"")</f>
        <v/>
      </c>
      <c r="D1498" s="3">
        <f>IF(ISNUMBER(AVERAGE('20250815_ETF_Options_Exhibits'!D1494:D1498)),AVERAGE('20250815_ETF_Options_Exhibits'!D1494:D1498),"")</f>
        <v/>
      </c>
      <c r="E1498" s="3">
        <f>IF(ISNUMBER(AVERAGE('20250815_ETF_Options_Exhibits'!E1494:E1498)),AVERAGE('20250815_ETF_Options_Exhibits'!E1494:E1498),"")</f>
        <v/>
      </c>
      <c r="F1498" s="3">
        <f>IF(ISNUMBER(AVERAGE('20250815_ETF_Options_Exhibits'!F1494:F1498)),AVERAGE('20250815_ETF_Options_Exhibits'!F1494:F1498),"")</f>
        <v/>
      </c>
      <c r="G1498" s="3">
        <f>IF(ISNUMBER(AVERAGE('20250815_ETF_Options_Exhibits'!G1494:G1498)),AVERAGE('20250815_ETF_Options_Exhibits'!G1494:G1498),"")</f>
        <v/>
      </c>
      <c r="H1498" s="3">
        <f>IF(ISNUMBER(AVERAGE('20250815_ETF_Options_Exhibits'!H1494:H1498)),AVERAGE('20250815_ETF_Options_Exhibits'!H1494:H1498),"")</f>
        <v/>
      </c>
      <c r="I1498" s="3">
        <f>IF(ISNUMBER(AVERAGE('20250815_ETF_Options_Exhibits'!I1494:I1498)),AVERAGE('20250815_ETF_Options_Exhibits'!I1494:I1498),"")</f>
        <v/>
      </c>
      <c r="J1498" s="3">
        <f>IF(ISNUMBER(AVERAGE('20250815_ETF_Options_Exhibits'!J1494:J1498)),AVERAGE('20250815_ETF_Options_Exhibits'!J1494:J1498),"")</f>
        <v/>
      </c>
      <c r="K1498" s="3">
        <f>IF(ISNUMBER(AVERAGE('20250815_ETF_Options_Exhibits'!K1494:K1498)),AVERAGE('20250815_ETF_Options_Exhibits'!K1494:K1498),"")</f>
        <v/>
      </c>
      <c r="L1498" s="3">
        <f>IF(ISNUMBER(AVERAGE('20250815_ETF_Options_Exhibits'!L1494:L1498)),AVERAGE('20250815_ETF_Options_Exhibits'!L1494:L1498),"")</f>
        <v/>
      </c>
      <c r="M1498" s="3">
        <f>IF(ISNUMBER(AVERAGE('20250815_ETF_Options_Exhibits'!M1494:M1498)),AVERAGE('20250815_ETF_Options_Exhibits'!M1494:M1498),"")</f>
        <v/>
      </c>
      <c r="N1498" s="3">
        <f>IF(ISNUMBER(AVERAGE('20250815_ETF_Options_Exhibits'!N1494:N1498)),AVERAGE('20250815_ETF_Options_Exhibits'!N1494:N1498),"")</f>
        <v/>
      </c>
      <c r="O1498" s="3">
        <f>IF(ISNUMBER(AVERAGE('20250815_ETF_Options_Exhibits'!O1494:O1498)),AVERAGE('20250815_ETF_Options_Exhibits'!O1494:O1498),"")</f>
        <v/>
      </c>
      <c r="P1498" s="3">
        <f>IF(ISNUMBER(AVERAGE('20250815_ETF_Options_Exhibits'!P1494:P1498)),AVERAGE('20250815_ETF_Options_Exhibits'!P1494:P1498),"")</f>
        <v/>
      </c>
      <c r="Q1498" s="3">
        <f>IF(ISNUMBER(AVERAGE('20250815_ETF_Options_Exhibits'!Q1494:Q1498)),AVERAGE('20250815_ETF_Options_Exhibits'!Q1494:Q1498),"")</f>
        <v/>
      </c>
      <c r="R1498" s="3">
        <f>IF(ISNUMBER(AVERAGE('20250815_ETF_Options_Exhibits'!R1494:R1498)),AVERAGE('20250815_ETF_Options_Exhibits'!R1494:R1498),"")</f>
        <v/>
      </c>
      <c r="S1498" s="3">
        <f>IF(ISNUMBER(AVERAGE('20250815_ETF_Options_Exhibits'!S1494:S1498)),AVERAGE('20250815_ETF_Options_Exhibits'!S1494:S1498),"")</f>
        <v/>
      </c>
      <c r="T1498" s="3">
        <f>IF(ISNUMBER(AVERAGE('20250815_ETF_Options_Exhibits'!T1494:T1498)),AVERAGE('20250815_ETF_Options_Exhibits'!T1494:T1498),"")</f>
        <v/>
      </c>
      <c r="U1498" s="3">
        <f>IF(ISNUMBER(AVERAGE('20250815_ETF_Options_Exhibits'!U1494:U1498)),AVERAGE('20250815_ETF_Options_Exhibits'!U1494:U1498),"")</f>
        <v/>
      </c>
      <c r="V1498" s="3">
        <f>IF(ISNUMBER(AVERAGE('20250815_ETF_Options_Exhibits'!V1494:V1498)),AVERAGE('20250815_ETF_Options_Exhibits'!V1494:V1498),"")</f>
        <v/>
      </c>
      <c r="W1498" s="3">
        <f>IF(ISNUMBER(AVERAGE('20250815_ETF_Options_Exhibits'!W1494:W1498)),AVERAGE('20250815_ETF_Options_Exhibits'!W1494:W1498),"")</f>
        <v/>
      </c>
      <c r="X1498" s="3">
        <f>IF(ISNUMBER(AVERAGE('20250815_ETF_Options_Exhibits'!X1494:X1498)),AVERAGE('20250815_ETF_Options_Exhibits'!X1494:X1498),"")</f>
        <v/>
      </c>
      <c r="Y1498" s="3">
        <f>IF(ISNUMBER(AVERAGE('20250815_ETF_Options_Exhibits'!Y1494:Y1498)),AVERAGE('20250815_ETF_Options_Exhibits'!Y1494:Y1498),"")</f>
        <v/>
      </c>
      <c r="Z1498" s="3">
        <f>IF(ISNUMBER(AVERAGE('20250815_ETF_Options_Exhibits'!Z1494:Z1498)),AVERAGE('20250815_ETF_Options_Exhibits'!Z1494:Z1498),"")</f>
        <v/>
      </c>
      <c r="AA1498" s="3">
        <f>IF(ISNUMBER(AVERAGE('20250815_ETF_Options_Exhibits'!AA1494:AA1498)),AVERAGE('20250815_ETF_Options_Exhibits'!AA1494:AA1498),"")</f>
        <v/>
      </c>
    </row>
    <row r="1499">
      <c r="A1499" s="1" t="n">
        <v>44175</v>
      </c>
      <c r="B1499" s="3">
        <f>IF(ISNUMBER(AVERAGE('20250815_ETF_Options_Exhibits'!B1495:B1499)),AVERAGE('20250815_ETF_Options_Exhibits'!B1495:B1499),"")</f>
        <v/>
      </c>
      <c r="C1499" s="3">
        <f>IF(ISNUMBER(AVERAGE('20250815_ETF_Options_Exhibits'!C1495:C1499)),AVERAGE('20250815_ETF_Options_Exhibits'!C1495:C1499),"")</f>
        <v/>
      </c>
      <c r="D1499" s="3">
        <f>IF(ISNUMBER(AVERAGE('20250815_ETF_Options_Exhibits'!D1495:D1499)),AVERAGE('20250815_ETF_Options_Exhibits'!D1495:D1499),"")</f>
        <v/>
      </c>
      <c r="E1499" s="3">
        <f>IF(ISNUMBER(AVERAGE('20250815_ETF_Options_Exhibits'!E1495:E1499)),AVERAGE('20250815_ETF_Options_Exhibits'!E1495:E1499),"")</f>
        <v/>
      </c>
      <c r="F1499" s="3">
        <f>IF(ISNUMBER(AVERAGE('20250815_ETF_Options_Exhibits'!F1495:F1499)),AVERAGE('20250815_ETF_Options_Exhibits'!F1495:F1499),"")</f>
        <v/>
      </c>
      <c r="G1499" s="3">
        <f>IF(ISNUMBER(AVERAGE('20250815_ETF_Options_Exhibits'!G1495:G1499)),AVERAGE('20250815_ETF_Options_Exhibits'!G1495:G1499),"")</f>
        <v/>
      </c>
      <c r="H1499" s="3">
        <f>IF(ISNUMBER(AVERAGE('20250815_ETF_Options_Exhibits'!H1495:H1499)),AVERAGE('20250815_ETF_Options_Exhibits'!H1495:H1499),"")</f>
        <v/>
      </c>
      <c r="I1499" s="3">
        <f>IF(ISNUMBER(AVERAGE('20250815_ETF_Options_Exhibits'!I1495:I1499)),AVERAGE('20250815_ETF_Options_Exhibits'!I1495:I1499),"")</f>
        <v/>
      </c>
      <c r="J1499" s="3">
        <f>IF(ISNUMBER(AVERAGE('20250815_ETF_Options_Exhibits'!J1495:J1499)),AVERAGE('20250815_ETF_Options_Exhibits'!J1495:J1499),"")</f>
        <v/>
      </c>
      <c r="K1499" s="3">
        <f>IF(ISNUMBER(AVERAGE('20250815_ETF_Options_Exhibits'!K1495:K1499)),AVERAGE('20250815_ETF_Options_Exhibits'!K1495:K1499),"")</f>
        <v/>
      </c>
      <c r="L1499" s="3">
        <f>IF(ISNUMBER(AVERAGE('20250815_ETF_Options_Exhibits'!L1495:L1499)),AVERAGE('20250815_ETF_Options_Exhibits'!L1495:L1499),"")</f>
        <v/>
      </c>
      <c r="M1499" s="3">
        <f>IF(ISNUMBER(AVERAGE('20250815_ETF_Options_Exhibits'!M1495:M1499)),AVERAGE('20250815_ETF_Options_Exhibits'!M1495:M1499),"")</f>
        <v/>
      </c>
      <c r="N1499" s="3">
        <f>IF(ISNUMBER(AVERAGE('20250815_ETF_Options_Exhibits'!N1495:N1499)),AVERAGE('20250815_ETF_Options_Exhibits'!N1495:N1499),"")</f>
        <v/>
      </c>
      <c r="O1499" s="3">
        <f>IF(ISNUMBER(AVERAGE('20250815_ETF_Options_Exhibits'!O1495:O1499)),AVERAGE('20250815_ETF_Options_Exhibits'!O1495:O1499),"")</f>
        <v/>
      </c>
      <c r="P1499" s="3">
        <f>IF(ISNUMBER(AVERAGE('20250815_ETF_Options_Exhibits'!P1495:P1499)),AVERAGE('20250815_ETF_Options_Exhibits'!P1495:P1499),"")</f>
        <v/>
      </c>
      <c r="Q1499" s="3">
        <f>IF(ISNUMBER(AVERAGE('20250815_ETF_Options_Exhibits'!Q1495:Q1499)),AVERAGE('20250815_ETF_Options_Exhibits'!Q1495:Q1499),"")</f>
        <v/>
      </c>
      <c r="R1499" s="3">
        <f>IF(ISNUMBER(AVERAGE('20250815_ETF_Options_Exhibits'!R1495:R1499)),AVERAGE('20250815_ETF_Options_Exhibits'!R1495:R1499),"")</f>
        <v/>
      </c>
      <c r="S1499" s="3">
        <f>IF(ISNUMBER(AVERAGE('20250815_ETF_Options_Exhibits'!S1495:S1499)),AVERAGE('20250815_ETF_Options_Exhibits'!S1495:S1499),"")</f>
        <v/>
      </c>
      <c r="T1499" s="3">
        <f>IF(ISNUMBER(AVERAGE('20250815_ETF_Options_Exhibits'!T1495:T1499)),AVERAGE('20250815_ETF_Options_Exhibits'!T1495:T1499),"")</f>
        <v/>
      </c>
      <c r="U1499" s="3">
        <f>IF(ISNUMBER(AVERAGE('20250815_ETF_Options_Exhibits'!U1495:U1499)),AVERAGE('20250815_ETF_Options_Exhibits'!U1495:U1499),"")</f>
        <v/>
      </c>
      <c r="V1499" s="3">
        <f>IF(ISNUMBER(AVERAGE('20250815_ETF_Options_Exhibits'!V1495:V1499)),AVERAGE('20250815_ETF_Options_Exhibits'!V1495:V1499),"")</f>
        <v/>
      </c>
      <c r="W1499" s="3">
        <f>IF(ISNUMBER(AVERAGE('20250815_ETF_Options_Exhibits'!W1495:W1499)),AVERAGE('20250815_ETF_Options_Exhibits'!W1495:W1499),"")</f>
        <v/>
      </c>
      <c r="X1499" s="3">
        <f>IF(ISNUMBER(AVERAGE('20250815_ETF_Options_Exhibits'!X1495:X1499)),AVERAGE('20250815_ETF_Options_Exhibits'!X1495:X1499),"")</f>
        <v/>
      </c>
      <c r="Y1499" s="3">
        <f>IF(ISNUMBER(AVERAGE('20250815_ETF_Options_Exhibits'!Y1495:Y1499)),AVERAGE('20250815_ETF_Options_Exhibits'!Y1495:Y1499),"")</f>
        <v/>
      </c>
      <c r="Z1499" s="3">
        <f>IF(ISNUMBER(AVERAGE('20250815_ETF_Options_Exhibits'!Z1495:Z1499)),AVERAGE('20250815_ETF_Options_Exhibits'!Z1495:Z1499),"")</f>
        <v/>
      </c>
      <c r="AA1499" s="3">
        <f>IF(ISNUMBER(AVERAGE('20250815_ETF_Options_Exhibits'!AA1495:AA1499)),AVERAGE('20250815_ETF_Options_Exhibits'!AA1495:AA1499),"")</f>
        <v/>
      </c>
    </row>
    <row r="1500">
      <c r="A1500" s="1" t="n">
        <v>44176</v>
      </c>
      <c r="B1500" s="3">
        <f>IF(ISNUMBER(AVERAGE('20250815_ETF_Options_Exhibits'!B1496:B1500)),AVERAGE('20250815_ETF_Options_Exhibits'!B1496:B1500),"")</f>
        <v/>
      </c>
      <c r="C1500" s="3">
        <f>IF(ISNUMBER(AVERAGE('20250815_ETF_Options_Exhibits'!C1496:C1500)),AVERAGE('20250815_ETF_Options_Exhibits'!C1496:C1500),"")</f>
        <v/>
      </c>
      <c r="D1500" s="3">
        <f>IF(ISNUMBER(AVERAGE('20250815_ETF_Options_Exhibits'!D1496:D1500)),AVERAGE('20250815_ETF_Options_Exhibits'!D1496:D1500),"")</f>
        <v/>
      </c>
      <c r="E1500" s="3">
        <f>IF(ISNUMBER(AVERAGE('20250815_ETF_Options_Exhibits'!E1496:E1500)),AVERAGE('20250815_ETF_Options_Exhibits'!E1496:E1500),"")</f>
        <v/>
      </c>
      <c r="F1500" s="3">
        <f>IF(ISNUMBER(AVERAGE('20250815_ETF_Options_Exhibits'!F1496:F1500)),AVERAGE('20250815_ETF_Options_Exhibits'!F1496:F1500),"")</f>
        <v/>
      </c>
      <c r="G1500" s="3">
        <f>IF(ISNUMBER(AVERAGE('20250815_ETF_Options_Exhibits'!G1496:G1500)),AVERAGE('20250815_ETF_Options_Exhibits'!G1496:G1500),"")</f>
        <v/>
      </c>
      <c r="H1500" s="3">
        <f>IF(ISNUMBER(AVERAGE('20250815_ETF_Options_Exhibits'!H1496:H1500)),AVERAGE('20250815_ETF_Options_Exhibits'!H1496:H1500),"")</f>
        <v/>
      </c>
      <c r="I1500" s="3">
        <f>IF(ISNUMBER(AVERAGE('20250815_ETF_Options_Exhibits'!I1496:I1500)),AVERAGE('20250815_ETF_Options_Exhibits'!I1496:I1500),"")</f>
        <v/>
      </c>
      <c r="J1500" s="3">
        <f>IF(ISNUMBER(AVERAGE('20250815_ETF_Options_Exhibits'!J1496:J1500)),AVERAGE('20250815_ETF_Options_Exhibits'!J1496:J1500),"")</f>
        <v/>
      </c>
      <c r="K1500" s="3">
        <f>IF(ISNUMBER(AVERAGE('20250815_ETF_Options_Exhibits'!K1496:K1500)),AVERAGE('20250815_ETF_Options_Exhibits'!K1496:K1500),"")</f>
        <v/>
      </c>
      <c r="L1500" s="3">
        <f>IF(ISNUMBER(AVERAGE('20250815_ETF_Options_Exhibits'!L1496:L1500)),AVERAGE('20250815_ETF_Options_Exhibits'!L1496:L1500),"")</f>
        <v/>
      </c>
      <c r="M1500" s="3">
        <f>IF(ISNUMBER(AVERAGE('20250815_ETF_Options_Exhibits'!M1496:M1500)),AVERAGE('20250815_ETF_Options_Exhibits'!M1496:M1500),"")</f>
        <v/>
      </c>
      <c r="N1500" s="3">
        <f>IF(ISNUMBER(AVERAGE('20250815_ETF_Options_Exhibits'!N1496:N1500)),AVERAGE('20250815_ETF_Options_Exhibits'!N1496:N1500),"")</f>
        <v/>
      </c>
      <c r="O1500" s="3">
        <f>IF(ISNUMBER(AVERAGE('20250815_ETF_Options_Exhibits'!O1496:O1500)),AVERAGE('20250815_ETF_Options_Exhibits'!O1496:O1500),"")</f>
        <v/>
      </c>
      <c r="P1500" s="3">
        <f>IF(ISNUMBER(AVERAGE('20250815_ETF_Options_Exhibits'!P1496:P1500)),AVERAGE('20250815_ETF_Options_Exhibits'!P1496:P1500),"")</f>
        <v/>
      </c>
      <c r="Q1500" s="3">
        <f>IF(ISNUMBER(AVERAGE('20250815_ETF_Options_Exhibits'!Q1496:Q1500)),AVERAGE('20250815_ETF_Options_Exhibits'!Q1496:Q1500),"")</f>
        <v/>
      </c>
      <c r="R1500" s="3">
        <f>IF(ISNUMBER(AVERAGE('20250815_ETF_Options_Exhibits'!R1496:R1500)),AVERAGE('20250815_ETF_Options_Exhibits'!R1496:R1500),"")</f>
        <v/>
      </c>
      <c r="S1500" s="3">
        <f>IF(ISNUMBER(AVERAGE('20250815_ETF_Options_Exhibits'!S1496:S1500)),AVERAGE('20250815_ETF_Options_Exhibits'!S1496:S1500),"")</f>
        <v/>
      </c>
      <c r="T1500" s="3">
        <f>IF(ISNUMBER(AVERAGE('20250815_ETF_Options_Exhibits'!T1496:T1500)),AVERAGE('20250815_ETF_Options_Exhibits'!T1496:T1500),"")</f>
        <v/>
      </c>
      <c r="U1500" s="3">
        <f>IF(ISNUMBER(AVERAGE('20250815_ETF_Options_Exhibits'!U1496:U1500)),AVERAGE('20250815_ETF_Options_Exhibits'!U1496:U1500),"")</f>
        <v/>
      </c>
      <c r="V1500" s="3">
        <f>IF(ISNUMBER(AVERAGE('20250815_ETF_Options_Exhibits'!V1496:V1500)),AVERAGE('20250815_ETF_Options_Exhibits'!V1496:V1500),"")</f>
        <v/>
      </c>
      <c r="W1500" s="3">
        <f>IF(ISNUMBER(AVERAGE('20250815_ETF_Options_Exhibits'!W1496:W1500)),AVERAGE('20250815_ETF_Options_Exhibits'!W1496:W1500),"")</f>
        <v/>
      </c>
      <c r="X1500" s="3">
        <f>IF(ISNUMBER(AVERAGE('20250815_ETF_Options_Exhibits'!X1496:X1500)),AVERAGE('20250815_ETF_Options_Exhibits'!X1496:X1500),"")</f>
        <v/>
      </c>
      <c r="Y1500" s="3">
        <f>IF(ISNUMBER(AVERAGE('20250815_ETF_Options_Exhibits'!Y1496:Y1500)),AVERAGE('20250815_ETF_Options_Exhibits'!Y1496:Y1500),"")</f>
        <v/>
      </c>
      <c r="Z1500" s="3">
        <f>IF(ISNUMBER(AVERAGE('20250815_ETF_Options_Exhibits'!Z1496:Z1500)),AVERAGE('20250815_ETF_Options_Exhibits'!Z1496:Z1500),"")</f>
        <v/>
      </c>
      <c r="AA1500" s="3">
        <f>IF(ISNUMBER(AVERAGE('20250815_ETF_Options_Exhibits'!AA1496:AA1500)),AVERAGE('20250815_ETF_Options_Exhibits'!AA1496:AA1500),"")</f>
        <v/>
      </c>
    </row>
    <row r="1501">
      <c r="A1501" s="1" t="n">
        <v>44179</v>
      </c>
      <c r="B1501" s="3">
        <f>IF(ISNUMBER(AVERAGE('20250815_ETF_Options_Exhibits'!B1497:B1501)),AVERAGE('20250815_ETF_Options_Exhibits'!B1497:B1501),"")</f>
        <v/>
      </c>
      <c r="C1501" s="3">
        <f>IF(ISNUMBER(AVERAGE('20250815_ETF_Options_Exhibits'!C1497:C1501)),AVERAGE('20250815_ETF_Options_Exhibits'!C1497:C1501),"")</f>
        <v/>
      </c>
      <c r="D1501" s="3">
        <f>IF(ISNUMBER(AVERAGE('20250815_ETF_Options_Exhibits'!D1497:D1501)),AVERAGE('20250815_ETF_Options_Exhibits'!D1497:D1501),"")</f>
        <v/>
      </c>
      <c r="E1501" s="3">
        <f>IF(ISNUMBER(AVERAGE('20250815_ETF_Options_Exhibits'!E1497:E1501)),AVERAGE('20250815_ETF_Options_Exhibits'!E1497:E1501),"")</f>
        <v/>
      </c>
      <c r="F1501" s="3">
        <f>IF(ISNUMBER(AVERAGE('20250815_ETF_Options_Exhibits'!F1497:F1501)),AVERAGE('20250815_ETF_Options_Exhibits'!F1497:F1501),"")</f>
        <v/>
      </c>
      <c r="G1501" s="3">
        <f>IF(ISNUMBER(AVERAGE('20250815_ETF_Options_Exhibits'!G1497:G1501)),AVERAGE('20250815_ETF_Options_Exhibits'!G1497:G1501),"")</f>
        <v/>
      </c>
      <c r="H1501" s="3">
        <f>IF(ISNUMBER(AVERAGE('20250815_ETF_Options_Exhibits'!H1497:H1501)),AVERAGE('20250815_ETF_Options_Exhibits'!H1497:H1501),"")</f>
        <v/>
      </c>
      <c r="I1501" s="3">
        <f>IF(ISNUMBER(AVERAGE('20250815_ETF_Options_Exhibits'!I1497:I1501)),AVERAGE('20250815_ETF_Options_Exhibits'!I1497:I1501),"")</f>
        <v/>
      </c>
      <c r="J1501" s="3">
        <f>IF(ISNUMBER(AVERAGE('20250815_ETF_Options_Exhibits'!J1497:J1501)),AVERAGE('20250815_ETF_Options_Exhibits'!J1497:J1501),"")</f>
        <v/>
      </c>
      <c r="K1501" s="3">
        <f>IF(ISNUMBER(AVERAGE('20250815_ETF_Options_Exhibits'!K1497:K1501)),AVERAGE('20250815_ETF_Options_Exhibits'!K1497:K1501),"")</f>
        <v/>
      </c>
      <c r="L1501" s="3">
        <f>IF(ISNUMBER(AVERAGE('20250815_ETF_Options_Exhibits'!L1497:L1501)),AVERAGE('20250815_ETF_Options_Exhibits'!L1497:L1501),"")</f>
        <v/>
      </c>
      <c r="M1501" s="3">
        <f>IF(ISNUMBER(AVERAGE('20250815_ETF_Options_Exhibits'!M1497:M1501)),AVERAGE('20250815_ETF_Options_Exhibits'!M1497:M1501),"")</f>
        <v/>
      </c>
      <c r="N1501" s="3">
        <f>IF(ISNUMBER(AVERAGE('20250815_ETF_Options_Exhibits'!N1497:N1501)),AVERAGE('20250815_ETF_Options_Exhibits'!N1497:N1501),"")</f>
        <v/>
      </c>
      <c r="O1501" s="3">
        <f>IF(ISNUMBER(AVERAGE('20250815_ETF_Options_Exhibits'!O1497:O1501)),AVERAGE('20250815_ETF_Options_Exhibits'!O1497:O1501),"")</f>
        <v/>
      </c>
      <c r="P1501" s="3">
        <f>IF(ISNUMBER(AVERAGE('20250815_ETF_Options_Exhibits'!P1497:P1501)),AVERAGE('20250815_ETF_Options_Exhibits'!P1497:P1501),"")</f>
        <v/>
      </c>
      <c r="Q1501" s="3">
        <f>IF(ISNUMBER(AVERAGE('20250815_ETF_Options_Exhibits'!Q1497:Q1501)),AVERAGE('20250815_ETF_Options_Exhibits'!Q1497:Q1501),"")</f>
        <v/>
      </c>
      <c r="R1501" s="3">
        <f>IF(ISNUMBER(AVERAGE('20250815_ETF_Options_Exhibits'!R1497:R1501)),AVERAGE('20250815_ETF_Options_Exhibits'!R1497:R1501),"")</f>
        <v/>
      </c>
      <c r="S1501" s="3">
        <f>IF(ISNUMBER(AVERAGE('20250815_ETF_Options_Exhibits'!S1497:S1501)),AVERAGE('20250815_ETF_Options_Exhibits'!S1497:S1501),"")</f>
        <v/>
      </c>
      <c r="T1501" s="3">
        <f>IF(ISNUMBER(AVERAGE('20250815_ETF_Options_Exhibits'!T1497:T1501)),AVERAGE('20250815_ETF_Options_Exhibits'!T1497:T1501),"")</f>
        <v/>
      </c>
      <c r="U1501" s="3">
        <f>IF(ISNUMBER(AVERAGE('20250815_ETF_Options_Exhibits'!U1497:U1501)),AVERAGE('20250815_ETF_Options_Exhibits'!U1497:U1501),"")</f>
        <v/>
      </c>
      <c r="V1501" s="3">
        <f>IF(ISNUMBER(AVERAGE('20250815_ETF_Options_Exhibits'!V1497:V1501)),AVERAGE('20250815_ETF_Options_Exhibits'!V1497:V1501),"")</f>
        <v/>
      </c>
      <c r="W1501" s="3">
        <f>IF(ISNUMBER(AVERAGE('20250815_ETF_Options_Exhibits'!W1497:W1501)),AVERAGE('20250815_ETF_Options_Exhibits'!W1497:W1501),"")</f>
        <v/>
      </c>
      <c r="X1501" s="3">
        <f>IF(ISNUMBER(AVERAGE('20250815_ETF_Options_Exhibits'!X1497:X1501)),AVERAGE('20250815_ETF_Options_Exhibits'!X1497:X1501),"")</f>
        <v/>
      </c>
      <c r="Y1501" s="3">
        <f>IF(ISNUMBER(AVERAGE('20250815_ETF_Options_Exhibits'!Y1497:Y1501)),AVERAGE('20250815_ETF_Options_Exhibits'!Y1497:Y1501),"")</f>
        <v/>
      </c>
      <c r="Z1501" s="3">
        <f>IF(ISNUMBER(AVERAGE('20250815_ETF_Options_Exhibits'!Z1497:Z1501)),AVERAGE('20250815_ETF_Options_Exhibits'!Z1497:Z1501),"")</f>
        <v/>
      </c>
      <c r="AA1501" s="3">
        <f>IF(ISNUMBER(AVERAGE('20250815_ETF_Options_Exhibits'!AA1497:AA1501)),AVERAGE('20250815_ETF_Options_Exhibits'!AA1497:AA1501),"")</f>
        <v/>
      </c>
    </row>
    <row r="1502">
      <c r="A1502" s="1" t="n">
        <v>44180</v>
      </c>
      <c r="B1502" s="3">
        <f>IF(ISNUMBER(AVERAGE('20250815_ETF_Options_Exhibits'!B1498:B1502)),AVERAGE('20250815_ETF_Options_Exhibits'!B1498:B1502),"")</f>
        <v/>
      </c>
      <c r="C1502" s="3">
        <f>IF(ISNUMBER(AVERAGE('20250815_ETF_Options_Exhibits'!C1498:C1502)),AVERAGE('20250815_ETF_Options_Exhibits'!C1498:C1502),"")</f>
        <v/>
      </c>
      <c r="D1502" s="3">
        <f>IF(ISNUMBER(AVERAGE('20250815_ETF_Options_Exhibits'!D1498:D1502)),AVERAGE('20250815_ETF_Options_Exhibits'!D1498:D1502),"")</f>
        <v/>
      </c>
      <c r="E1502" s="3">
        <f>IF(ISNUMBER(AVERAGE('20250815_ETF_Options_Exhibits'!E1498:E1502)),AVERAGE('20250815_ETF_Options_Exhibits'!E1498:E1502),"")</f>
        <v/>
      </c>
      <c r="F1502" s="3">
        <f>IF(ISNUMBER(AVERAGE('20250815_ETF_Options_Exhibits'!F1498:F1502)),AVERAGE('20250815_ETF_Options_Exhibits'!F1498:F1502),"")</f>
        <v/>
      </c>
      <c r="G1502" s="3">
        <f>IF(ISNUMBER(AVERAGE('20250815_ETF_Options_Exhibits'!G1498:G1502)),AVERAGE('20250815_ETF_Options_Exhibits'!G1498:G1502),"")</f>
        <v/>
      </c>
      <c r="H1502" s="3">
        <f>IF(ISNUMBER(AVERAGE('20250815_ETF_Options_Exhibits'!H1498:H1502)),AVERAGE('20250815_ETF_Options_Exhibits'!H1498:H1502),"")</f>
        <v/>
      </c>
      <c r="I1502" s="3">
        <f>IF(ISNUMBER(AVERAGE('20250815_ETF_Options_Exhibits'!I1498:I1502)),AVERAGE('20250815_ETF_Options_Exhibits'!I1498:I1502),"")</f>
        <v/>
      </c>
      <c r="J1502" s="3">
        <f>IF(ISNUMBER(AVERAGE('20250815_ETF_Options_Exhibits'!J1498:J1502)),AVERAGE('20250815_ETF_Options_Exhibits'!J1498:J1502),"")</f>
        <v/>
      </c>
      <c r="K1502" s="3">
        <f>IF(ISNUMBER(AVERAGE('20250815_ETF_Options_Exhibits'!K1498:K1502)),AVERAGE('20250815_ETF_Options_Exhibits'!K1498:K1502),"")</f>
        <v/>
      </c>
      <c r="L1502" s="3">
        <f>IF(ISNUMBER(AVERAGE('20250815_ETF_Options_Exhibits'!L1498:L1502)),AVERAGE('20250815_ETF_Options_Exhibits'!L1498:L1502),"")</f>
        <v/>
      </c>
      <c r="M1502" s="3">
        <f>IF(ISNUMBER(AVERAGE('20250815_ETF_Options_Exhibits'!M1498:M1502)),AVERAGE('20250815_ETF_Options_Exhibits'!M1498:M1502),"")</f>
        <v/>
      </c>
      <c r="N1502" s="3">
        <f>IF(ISNUMBER(AVERAGE('20250815_ETF_Options_Exhibits'!N1498:N1502)),AVERAGE('20250815_ETF_Options_Exhibits'!N1498:N1502),"")</f>
        <v/>
      </c>
      <c r="O1502" s="3">
        <f>IF(ISNUMBER(AVERAGE('20250815_ETF_Options_Exhibits'!O1498:O1502)),AVERAGE('20250815_ETF_Options_Exhibits'!O1498:O1502),"")</f>
        <v/>
      </c>
      <c r="P1502" s="3">
        <f>IF(ISNUMBER(AVERAGE('20250815_ETF_Options_Exhibits'!P1498:P1502)),AVERAGE('20250815_ETF_Options_Exhibits'!P1498:P1502),"")</f>
        <v/>
      </c>
      <c r="Q1502" s="3">
        <f>IF(ISNUMBER(AVERAGE('20250815_ETF_Options_Exhibits'!Q1498:Q1502)),AVERAGE('20250815_ETF_Options_Exhibits'!Q1498:Q1502),"")</f>
        <v/>
      </c>
      <c r="R1502" s="3">
        <f>IF(ISNUMBER(AVERAGE('20250815_ETF_Options_Exhibits'!R1498:R1502)),AVERAGE('20250815_ETF_Options_Exhibits'!R1498:R1502),"")</f>
        <v/>
      </c>
      <c r="S1502" s="3">
        <f>IF(ISNUMBER(AVERAGE('20250815_ETF_Options_Exhibits'!S1498:S1502)),AVERAGE('20250815_ETF_Options_Exhibits'!S1498:S1502),"")</f>
        <v/>
      </c>
      <c r="T1502" s="3">
        <f>IF(ISNUMBER(AVERAGE('20250815_ETF_Options_Exhibits'!T1498:T1502)),AVERAGE('20250815_ETF_Options_Exhibits'!T1498:T1502),"")</f>
        <v/>
      </c>
      <c r="U1502" s="3">
        <f>IF(ISNUMBER(AVERAGE('20250815_ETF_Options_Exhibits'!U1498:U1502)),AVERAGE('20250815_ETF_Options_Exhibits'!U1498:U1502),"")</f>
        <v/>
      </c>
      <c r="V1502" s="3">
        <f>IF(ISNUMBER(AVERAGE('20250815_ETF_Options_Exhibits'!V1498:V1502)),AVERAGE('20250815_ETF_Options_Exhibits'!V1498:V1502),"")</f>
        <v/>
      </c>
      <c r="W1502" s="3">
        <f>IF(ISNUMBER(AVERAGE('20250815_ETF_Options_Exhibits'!W1498:W1502)),AVERAGE('20250815_ETF_Options_Exhibits'!W1498:W1502),"")</f>
        <v/>
      </c>
      <c r="X1502" s="3">
        <f>IF(ISNUMBER(AVERAGE('20250815_ETF_Options_Exhibits'!X1498:X1502)),AVERAGE('20250815_ETF_Options_Exhibits'!X1498:X1502),"")</f>
        <v/>
      </c>
      <c r="Y1502" s="3">
        <f>IF(ISNUMBER(AVERAGE('20250815_ETF_Options_Exhibits'!Y1498:Y1502)),AVERAGE('20250815_ETF_Options_Exhibits'!Y1498:Y1502),"")</f>
        <v/>
      </c>
      <c r="Z1502" s="3">
        <f>IF(ISNUMBER(AVERAGE('20250815_ETF_Options_Exhibits'!Z1498:Z1502)),AVERAGE('20250815_ETF_Options_Exhibits'!Z1498:Z1502),"")</f>
        <v/>
      </c>
      <c r="AA1502" s="3">
        <f>IF(ISNUMBER(AVERAGE('20250815_ETF_Options_Exhibits'!AA1498:AA1502)),AVERAGE('20250815_ETF_Options_Exhibits'!AA1498:AA1502),"")</f>
        <v/>
      </c>
    </row>
    <row r="1503">
      <c r="A1503" s="1" t="n">
        <v>44181</v>
      </c>
      <c r="B1503" s="3">
        <f>IF(ISNUMBER(AVERAGE('20250815_ETF_Options_Exhibits'!B1499:B1503)),AVERAGE('20250815_ETF_Options_Exhibits'!B1499:B1503),"")</f>
        <v/>
      </c>
      <c r="C1503" s="3">
        <f>IF(ISNUMBER(AVERAGE('20250815_ETF_Options_Exhibits'!C1499:C1503)),AVERAGE('20250815_ETF_Options_Exhibits'!C1499:C1503),"")</f>
        <v/>
      </c>
      <c r="D1503" s="3">
        <f>IF(ISNUMBER(AVERAGE('20250815_ETF_Options_Exhibits'!D1499:D1503)),AVERAGE('20250815_ETF_Options_Exhibits'!D1499:D1503),"")</f>
        <v/>
      </c>
      <c r="E1503" s="3">
        <f>IF(ISNUMBER(AVERAGE('20250815_ETF_Options_Exhibits'!E1499:E1503)),AVERAGE('20250815_ETF_Options_Exhibits'!E1499:E1503),"")</f>
        <v/>
      </c>
      <c r="F1503" s="3">
        <f>IF(ISNUMBER(AVERAGE('20250815_ETF_Options_Exhibits'!F1499:F1503)),AVERAGE('20250815_ETF_Options_Exhibits'!F1499:F1503),"")</f>
        <v/>
      </c>
      <c r="G1503" s="3">
        <f>IF(ISNUMBER(AVERAGE('20250815_ETF_Options_Exhibits'!G1499:G1503)),AVERAGE('20250815_ETF_Options_Exhibits'!G1499:G1503),"")</f>
        <v/>
      </c>
      <c r="H1503" s="3">
        <f>IF(ISNUMBER(AVERAGE('20250815_ETF_Options_Exhibits'!H1499:H1503)),AVERAGE('20250815_ETF_Options_Exhibits'!H1499:H1503),"")</f>
        <v/>
      </c>
      <c r="I1503" s="3">
        <f>IF(ISNUMBER(AVERAGE('20250815_ETF_Options_Exhibits'!I1499:I1503)),AVERAGE('20250815_ETF_Options_Exhibits'!I1499:I1503),"")</f>
        <v/>
      </c>
      <c r="J1503" s="3">
        <f>IF(ISNUMBER(AVERAGE('20250815_ETF_Options_Exhibits'!J1499:J1503)),AVERAGE('20250815_ETF_Options_Exhibits'!J1499:J1503),"")</f>
        <v/>
      </c>
      <c r="K1503" s="3">
        <f>IF(ISNUMBER(AVERAGE('20250815_ETF_Options_Exhibits'!K1499:K1503)),AVERAGE('20250815_ETF_Options_Exhibits'!K1499:K1503),"")</f>
        <v/>
      </c>
      <c r="L1503" s="3">
        <f>IF(ISNUMBER(AVERAGE('20250815_ETF_Options_Exhibits'!L1499:L1503)),AVERAGE('20250815_ETF_Options_Exhibits'!L1499:L1503),"")</f>
        <v/>
      </c>
      <c r="M1503" s="3">
        <f>IF(ISNUMBER(AVERAGE('20250815_ETF_Options_Exhibits'!M1499:M1503)),AVERAGE('20250815_ETF_Options_Exhibits'!M1499:M1503),"")</f>
        <v/>
      </c>
      <c r="N1503" s="3">
        <f>IF(ISNUMBER(AVERAGE('20250815_ETF_Options_Exhibits'!N1499:N1503)),AVERAGE('20250815_ETF_Options_Exhibits'!N1499:N1503),"")</f>
        <v/>
      </c>
      <c r="O1503" s="3">
        <f>IF(ISNUMBER(AVERAGE('20250815_ETF_Options_Exhibits'!O1499:O1503)),AVERAGE('20250815_ETF_Options_Exhibits'!O1499:O1503),"")</f>
        <v/>
      </c>
      <c r="P1503" s="3">
        <f>IF(ISNUMBER(AVERAGE('20250815_ETF_Options_Exhibits'!P1499:P1503)),AVERAGE('20250815_ETF_Options_Exhibits'!P1499:P1503),"")</f>
        <v/>
      </c>
      <c r="Q1503" s="3">
        <f>IF(ISNUMBER(AVERAGE('20250815_ETF_Options_Exhibits'!Q1499:Q1503)),AVERAGE('20250815_ETF_Options_Exhibits'!Q1499:Q1503),"")</f>
        <v/>
      </c>
      <c r="R1503" s="3">
        <f>IF(ISNUMBER(AVERAGE('20250815_ETF_Options_Exhibits'!R1499:R1503)),AVERAGE('20250815_ETF_Options_Exhibits'!R1499:R1503),"")</f>
        <v/>
      </c>
      <c r="S1503" s="3">
        <f>IF(ISNUMBER(AVERAGE('20250815_ETF_Options_Exhibits'!S1499:S1503)),AVERAGE('20250815_ETF_Options_Exhibits'!S1499:S1503),"")</f>
        <v/>
      </c>
      <c r="T1503" s="3">
        <f>IF(ISNUMBER(AVERAGE('20250815_ETF_Options_Exhibits'!T1499:T1503)),AVERAGE('20250815_ETF_Options_Exhibits'!T1499:T1503),"")</f>
        <v/>
      </c>
      <c r="U1503" s="3">
        <f>IF(ISNUMBER(AVERAGE('20250815_ETF_Options_Exhibits'!U1499:U1503)),AVERAGE('20250815_ETF_Options_Exhibits'!U1499:U1503),"")</f>
        <v/>
      </c>
      <c r="V1503" s="3">
        <f>IF(ISNUMBER(AVERAGE('20250815_ETF_Options_Exhibits'!V1499:V1503)),AVERAGE('20250815_ETF_Options_Exhibits'!V1499:V1503),"")</f>
        <v/>
      </c>
      <c r="W1503" s="3">
        <f>IF(ISNUMBER(AVERAGE('20250815_ETF_Options_Exhibits'!W1499:W1503)),AVERAGE('20250815_ETF_Options_Exhibits'!W1499:W1503),"")</f>
        <v/>
      </c>
      <c r="X1503" s="3">
        <f>IF(ISNUMBER(AVERAGE('20250815_ETF_Options_Exhibits'!X1499:X1503)),AVERAGE('20250815_ETF_Options_Exhibits'!X1499:X1503),"")</f>
        <v/>
      </c>
      <c r="Y1503" s="3">
        <f>IF(ISNUMBER(AVERAGE('20250815_ETF_Options_Exhibits'!Y1499:Y1503)),AVERAGE('20250815_ETF_Options_Exhibits'!Y1499:Y1503),"")</f>
        <v/>
      </c>
      <c r="Z1503" s="3">
        <f>IF(ISNUMBER(AVERAGE('20250815_ETF_Options_Exhibits'!Z1499:Z1503)),AVERAGE('20250815_ETF_Options_Exhibits'!Z1499:Z1503),"")</f>
        <v/>
      </c>
      <c r="AA1503" s="3">
        <f>IF(ISNUMBER(AVERAGE('20250815_ETF_Options_Exhibits'!AA1499:AA1503)),AVERAGE('20250815_ETF_Options_Exhibits'!AA1499:AA1503),"")</f>
        <v/>
      </c>
    </row>
    <row r="1504">
      <c r="A1504" s="1" t="n">
        <v>44182</v>
      </c>
      <c r="B1504" s="3">
        <f>IF(ISNUMBER(AVERAGE('20250815_ETF_Options_Exhibits'!B1500:B1504)),AVERAGE('20250815_ETF_Options_Exhibits'!B1500:B1504),"")</f>
        <v/>
      </c>
      <c r="C1504" s="3">
        <f>IF(ISNUMBER(AVERAGE('20250815_ETF_Options_Exhibits'!C1500:C1504)),AVERAGE('20250815_ETF_Options_Exhibits'!C1500:C1504),"")</f>
        <v/>
      </c>
      <c r="D1504" s="3">
        <f>IF(ISNUMBER(AVERAGE('20250815_ETF_Options_Exhibits'!D1500:D1504)),AVERAGE('20250815_ETF_Options_Exhibits'!D1500:D1504),"")</f>
        <v/>
      </c>
      <c r="E1504" s="3">
        <f>IF(ISNUMBER(AVERAGE('20250815_ETF_Options_Exhibits'!E1500:E1504)),AVERAGE('20250815_ETF_Options_Exhibits'!E1500:E1504),"")</f>
        <v/>
      </c>
      <c r="F1504" s="3">
        <f>IF(ISNUMBER(AVERAGE('20250815_ETF_Options_Exhibits'!F1500:F1504)),AVERAGE('20250815_ETF_Options_Exhibits'!F1500:F1504),"")</f>
        <v/>
      </c>
      <c r="G1504" s="3">
        <f>IF(ISNUMBER(AVERAGE('20250815_ETF_Options_Exhibits'!G1500:G1504)),AVERAGE('20250815_ETF_Options_Exhibits'!G1500:G1504),"")</f>
        <v/>
      </c>
      <c r="H1504" s="3">
        <f>IF(ISNUMBER(AVERAGE('20250815_ETF_Options_Exhibits'!H1500:H1504)),AVERAGE('20250815_ETF_Options_Exhibits'!H1500:H1504),"")</f>
        <v/>
      </c>
      <c r="I1504" s="3">
        <f>IF(ISNUMBER(AVERAGE('20250815_ETF_Options_Exhibits'!I1500:I1504)),AVERAGE('20250815_ETF_Options_Exhibits'!I1500:I1504),"")</f>
        <v/>
      </c>
      <c r="J1504" s="3">
        <f>IF(ISNUMBER(AVERAGE('20250815_ETF_Options_Exhibits'!J1500:J1504)),AVERAGE('20250815_ETF_Options_Exhibits'!J1500:J1504),"")</f>
        <v/>
      </c>
      <c r="K1504" s="3">
        <f>IF(ISNUMBER(AVERAGE('20250815_ETF_Options_Exhibits'!K1500:K1504)),AVERAGE('20250815_ETF_Options_Exhibits'!K1500:K1504),"")</f>
        <v/>
      </c>
      <c r="L1504" s="3">
        <f>IF(ISNUMBER(AVERAGE('20250815_ETF_Options_Exhibits'!L1500:L1504)),AVERAGE('20250815_ETF_Options_Exhibits'!L1500:L1504),"")</f>
        <v/>
      </c>
      <c r="M1504" s="3">
        <f>IF(ISNUMBER(AVERAGE('20250815_ETF_Options_Exhibits'!M1500:M1504)),AVERAGE('20250815_ETF_Options_Exhibits'!M1500:M1504),"")</f>
        <v/>
      </c>
      <c r="N1504" s="3">
        <f>IF(ISNUMBER(AVERAGE('20250815_ETF_Options_Exhibits'!N1500:N1504)),AVERAGE('20250815_ETF_Options_Exhibits'!N1500:N1504),"")</f>
        <v/>
      </c>
      <c r="O1504" s="3">
        <f>IF(ISNUMBER(AVERAGE('20250815_ETF_Options_Exhibits'!O1500:O1504)),AVERAGE('20250815_ETF_Options_Exhibits'!O1500:O1504),"")</f>
        <v/>
      </c>
      <c r="P1504" s="3">
        <f>IF(ISNUMBER(AVERAGE('20250815_ETF_Options_Exhibits'!P1500:P1504)),AVERAGE('20250815_ETF_Options_Exhibits'!P1500:P1504),"")</f>
        <v/>
      </c>
      <c r="Q1504" s="3">
        <f>IF(ISNUMBER(AVERAGE('20250815_ETF_Options_Exhibits'!Q1500:Q1504)),AVERAGE('20250815_ETF_Options_Exhibits'!Q1500:Q1504),"")</f>
        <v/>
      </c>
      <c r="R1504" s="3">
        <f>IF(ISNUMBER(AVERAGE('20250815_ETF_Options_Exhibits'!R1500:R1504)),AVERAGE('20250815_ETF_Options_Exhibits'!R1500:R1504),"")</f>
        <v/>
      </c>
      <c r="S1504" s="3">
        <f>IF(ISNUMBER(AVERAGE('20250815_ETF_Options_Exhibits'!S1500:S1504)),AVERAGE('20250815_ETF_Options_Exhibits'!S1500:S1504),"")</f>
        <v/>
      </c>
      <c r="T1504" s="3">
        <f>IF(ISNUMBER(AVERAGE('20250815_ETF_Options_Exhibits'!T1500:T1504)),AVERAGE('20250815_ETF_Options_Exhibits'!T1500:T1504),"")</f>
        <v/>
      </c>
      <c r="U1504" s="3">
        <f>IF(ISNUMBER(AVERAGE('20250815_ETF_Options_Exhibits'!U1500:U1504)),AVERAGE('20250815_ETF_Options_Exhibits'!U1500:U1504),"")</f>
        <v/>
      </c>
      <c r="V1504" s="3">
        <f>IF(ISNUMBER(AVERAGE('20250815_ETF_Options_Exhibits'!V1500:V1504)),AVERAGE('20250815_ETF_Options_Exhibits'!V1500:V1504),"")</f>
        <v/>
      </c>
      <c r="W1504" s="3">
        <f>IF(ISNUMBER(AVERAGE('20250815_ETF_Options_Exhibits'!W1500:W1504)),AVERAGE('20250815_ETF_Options_Exhibits'!W1500:W1504),"")</f>
        <v/>
      </c>
      <c r="X1504" s="3">
        <f>IF(ISNUMBER(AVERAGE('20250815_ETF_Options_Exhibits'!X1500:X1504)),AVERAGE('20250815_ETF_Options_Exhibits'!X1500:X1504),"")</f>
        <v/>
      </c>
      <c r="Y1504" s="3">
        <f>IF(ISNUMBER(AVERAGE('20250815_ETF_Options_Exhibits'!Y1500:Y1504)),AVERAGE('20250815_ETF_Options_Exhibits'!Y1500:Y1504),"")</f>
        <v/>
      </c>
      <c r="Z1504" s="3">
        <f>IF(ISNUMBER(AVERAGE('20250815_ETF_Options_Exhibits'!Z1500:Z1504)),AVERAGE('20250815_ETF_Options_Exhibits'!Z1500:Z1504),"")</f>
        <v/>
      </c>
      <c r="AA1504" s="3">
        <f>IF(ISNUMBER(AVERAGE('20250815_ETF_Options_Exhibits'!AA1500:AA1504)),AVERAGE('20250815_ETF_Options_Exhibits'!AA1500:AA1504),"")</f>
        <v/>
      </c>
    </row>
    <row r="1505">
      <c r="A1505" s="1" t="n">
        <v>44183</v>
      </c>
      <c r="B1505" s="3">
        <f>IF(ISNUMBER(AVERAGE('20250815_ETF_Options_Exhibits'!B1501:B1505)),AVERAGE('20250815_ETF_Options_Exhibits'!B1501:B1505),"")</f>
        <v/>
      </c>
      <c r="C1505" s="3">
        <f>IF(ISNUMBER(AVERAGE('20250815_ETF_Options_Exhibits'!C1501:C1505)),AVERAGE('20250815_ETF_Options_Exhibits'!C1501:C1505),"")</f>
        <v/>
      </c>
      <c r="D1505" s="3">
        <f>IF(ISNUMBER(AVERAGE('20250815_ETF_Options_Exhibits'!D1501:D1505)),AVERAGE('20250815_ETF_Options_Exhibits'!D1501:D1505),"")</f>
        <v/>
      </c>
      <c r="E1505" s="3">
        <f>IF(ISNUMBER(AVERAGE('20250815_ETF_Options_Exhibits'!E1501:E1505)),AVERAGE('20250815_ETF_Options_Exhibits'!E1501:E1505),"")</f>
        <v/>
      </c>
      <c r="F1505" s="3">
        <f>IF(ISNUMBER(AVERAGE('20250815_ETF_Options_Exhibits'!F1501:F1505)),AVERAGE('20250815_ETF_Options_Exhibits'!F1501:F1505),"")</f>
        <v/>
      </c>
      <c r="G1505" s="3">
        <f>IF(ISNUMBER(AVERAGE('20250815_ETF_Options_Exhibits'!G1501:G1505)),AVERAGE('20250815_ETF_Options_Exhibits'!G1501:G1505),"")</f>
        <v/>
      </c>
      <c r="H1505" s="3">
        <f>IF(ISNUMBER(AVERAGE('20250815_ETF_Options_Exhibits'!H1501:H1505)),AVERAGE('20250815_ETF_Options_Exhibits'!H1501:H1505),"")</f>
        <v/>
      </c>
      <c r="I1505" s="3">
        <f>IF(ISNUMBER(AVERAGE('20250815_ETF_Options_Exhibits'!I1501:I1505)),AVERAGE('20250815_ETF_Options_Exhibits'!I1501:I1505),"")</f>
        <v/>
      </c>
      <c r="J1505" s="3">
        <f>IF(ISNUMBER(AVERAGE('20250815_ETF_Options_Exhibits'!J1501:J1505)),AVERAGE('20250815_ETF_Options_Exhibits'!J1501:J1505),"")</f>
        <v/>
      </c>
      <c r="K1505" s="3">
        <f>IF(ISNUMBER(AVERAGE('20250815_ETF_Options_Exhibits'!K1501:K1505)),AVERAGE('20250815_ETF_Options_Exhibits'!K1501:K1505),"")</f>
        <v/>
      </c>
      <c r="L1505" s="3">
        <f>IF(ISNUMBER(AVERAGE('20250815_ETF_Options_Exhibits'!L1501:L1505)),AVERAGE('20250815_ETF_Options_Exhibits'!L1501:L1505),"")</f>
        <v/>
      </c>
      <c r="M1505" s="3">
        <f>IF(ISNUMBER(AVERAGE('20250815_ETF_Options_Exhibits'!M1501:M1505)),AVERAGE('20250815_ETF_Options_Exhibits'!M1501:M1505),"")</f>
        <v/>
      </c>
      <c r="N1505" s="3">
        <f>IF(ISNUMBER(AVERAGE('20250815_ETF_Options_Exhibits'!N1501:N1505)),AVERAGE('20250815_ETF_Options_Exhibits'!N1501:N1505),"")</f>
        <v/>
      </c>
      <c r="O1505" s="3">
        <f>IF(ISNUMBER(AVERAGE('20250815_ETF_Options_Exhibits'!O1501:O1505)),AVERAGE('20250815_ETF_Options_Exhibits'!O1501:O1505),"")</f>
        <v/>
      </c>
      <c r="P1505" s="3">
        <f>IF(ISNUMBER(AVERAGE('20250815_ETF_Options_Exhibits'!P1501:P1505)),AVERAGE('20250815_ETF_Options_Exhibits'!P1501:P1505),"")</f>
        <v/>
      </c>
      <c r="Q1505" s="3">
        <f>IF(ISNUMBER(AVERAGE('20250815_ETF_Options_Exhibits'!Q1501:Q1505)),AVERAGE('20250815_ETF_Options_Exhibits'!Q1501:Q1505),"")</f>
        <v/>
      </c>
      <c r="R1505" s="3">
        <f>IF(ISNUMBER(AVERAGE('20250815_ETF_Options_Exhibits'!R1501:R1505)),AVERAGE('20250815_ETF_Options_Exhibits'!R1501:R1505),"")</f>
        <v/>
      </c>
      <c r="S1505" s="3">
        <f>IF(ISNUMBER(AVERAGE('20250815_ETF_Options_Exhibits'!S1501:S1505)),AVERAGE('20250815_ETF_Options_Exhibits'!S1501:S1505),"")</f>
        <v/>
      </c>
      <c r="T1505" s="3">
        <f>IF(ISNUMBER(AVERAGE('20250815_ETF_Options_Exhibits'!T1501:T1505)),AVERAGE('20250815_ETF_Options_Exhibits'!T1501:T1505),"")</f>
        <v/>
      </c>
      <c r="U1505" s="3">
        <f>IF(ISNUMBER(AVERAGE('20250815_ETF_Options_Exhibits'!U1501:U1505)),AVERAGE('20250815_ETF_Options_Exhibits'!U1501:U1505),"")</f>
        <v/>
      </c>
      <c r="V1505" s="3">
        <f>IF(ISNUMBER(AVERAGE('20250815_ETF_Options_Exhibits'!V1501:V1505)),AVERAGE('20250815_ETF_Options_Exhibits'!V1501:V1505),"")</f>
        <v/>
      </c>
      <c r="W1505" s="3">
        <f>IF(ISNUMBER(AVERAGE('20250815_ETF_Options_Exhibits'!W1501:W1505)),AVERAGE('20250815_ETF_Options_Exhibits'!W1501:W1505),"")</f>
        <v/>
      </c>
      <c r="X1505" s="3">
        <f>IF(ISNUMBER(AVERAGE('20250815_ETF_Options_Exhibits'!X1501:X1505)),AVERAGE('20250815_ETF_Options_Exhibits'!X1501:X1505),"")</f>
        <v/>
      </c>
      <c r="Y1505" s="3">
        <f>IF(ISNUMBER(AVERAGE('20250815_ETF_Options_Exhibits'!Y1501:Y1505)),AVERAGE('20250815_ETF_Options_Exhibits'!Y1501:Y1505),"")</f>
        <v/>
      </c>
      <c r="Z1505" s="3">
        <f>IF(ISNUMBER(AVERAGE('20250815_ETF_Options_Exhibits'!Z1501:Z1505)),AVERAGE('20250815_ETF_Options_Exhibits'!Z1501:Z1505),"")</f>
        <v/>
      </c>
      <c r="AA1505" s="3">
        <f>IF(ISNUMBER(AVERAGE('20250815_ETF_Options_Exhibits'!AA1501:AA1505)),AVERAGE('20250815_ETF_Options_Exhibits'!AA1501:AA1505),"")</f>
        <v/>
      </c>
    </row>
    <row r="1506">
      <c r="A1506" s="1" t="n">
        <v>44186</v>
      </c>
      <c r="B1506" s="3">
        <f>IF(ISNUMBER(AVERAGE('20250815_ETF_Options_Exhibits'!B1502:B1506)),AVERAGE('20250815_ETF_Options_Exhibits'!B1502:B1506),"")</f>
        <v/>
      </c>
      <c r="C1506" s="3">
        <f>IF(ISNUMBER(AVERAGE('20250815_ETF_Options_Exhibits'!C1502:C1506)),AVERAGE('20250815_ETF_Options_Exhibits'!C1502:C1506),"")</f>
        <v/>
      </c>
      <c r="D1506" s="3">
        <f>IF(ISNUMBER(AVERAGE('20250815_ETF_Options_Exhibits'!D1502:D1506)),AVERAGE('20250815_ETF_Options_Exhibits'!D1502:D1506),"")</f>
        <v/>
      </c>
      <c r="E1506" s="3">
        <f>IF(ISNUMBER(AVERAGE('20250815_ETF_Options_Exhibits'!E1502:E1506)),AVERAGE('20250815_ETF_Options_Exhibits'!E1502:E1506),"")</f>
        <v/>
      </c>
      <c r="F1506" s="3">
        <f>IF(ISNUMBER(AVERAGE('20250815_ETF_Options_Exhibits'!F1502:F1506)),AVERAGE('20250815_ETF_Options_Exhibits'!F1502:F1506),"")</f>
        <v/>
      </c>
      <c r="G1506" s="3">
        <f>IF(ISNUMBER(AVERAGE('20250815_ETF_Options_Exhibits'!G1502:G1506)),AVERAGE('20250815_ETF_Options_Exhibits'!G1502:G1506),"")</f>
        <v/>
      </c>
      <c r="H1506" s="3">
        <f>IF(ISNUMBER(AVERAGE('20250815_ETF_Options_Exhibits'!H1502:H1506)),AVERAGE('20250815_ETF_Options_Exhibits'!H1502:H1506),"")</f>
        <v/>
      </c>
      <c r="I1506" s="3">
        <f>IF(ISNUMBER(AVERAGE('20250815_ETF_Options_Exhibits'!I1502:I1506)),AVERAGE('20250815_ETF_Options_Exhibits'!I1502:I1506),"")</f>
        <v/>
      </c>
      <c r="J1506" s="3">
        <f>IF(ISNUMBER(AVERAGE('20250815_ETF_Options_Exhibits'!J1502:J1506)),AVERAGE('20250815_ETF_Options_Exhibits'!J1502:J1506),"")</f>
        <v/>
      </c>
      <c r="K1506" s="3">
        <f>IF(ISNUMBER(AVERAGE('20250815_ETF_Options_Exhibits'!K1502:K1506)),AVERAGE('20250815_ETF_Options_Exhibits'!K1502:K1506),"")</f>
        <v/>
      </c>
      <c r="L1506" s="3">
        <f>IF(ISNUMBER(AVERAGE('20250815_ETF_Options_Exhibits'!L1502:L1506)),AVERAGE('20250815_ETF_Options_Exhibits'!L1502:L1506),"")</f>
        <v/>
      </c>
      <c r="M1506" s="3">
        <f>IF(ISNUMBER(AVERAGE('20250815_ETF_Options_Exhibits'!M1502:M1506)),AVERAGE('20250815_ETF_Options_Exhibits'!M1502:M1506),"")</f>
        <v/>
      </c>
      <c r="N1506" s="3">
        <f>IF(ISNUMBER(AVERAGE('20250815_ETF_Options_Exhibits'!N1502:N1506)),AVERAGE('20250815_ETF_Options_Exhibits'!N1502:N1506),"")</f>
        <v/>
      </c>
      <c r="O1506" s="3">
        <f>IF(ISNUMBER(AVERAGE('20250815_ETF_Options_Exhibits'!O1502:O1506)),AVERAGE('20250815_ETF_Options_Exhibits'!O1502:O1506),"")</f>
        <v/>
      </c>
      <c r="P1506" s="3">
        <f>IF(ISNUMBER(AVERAGE('20250815_ETF_Options_Exhibits'!P1502:P1506)),AVERAGE('20250815_ETF_Options_Exhibits'!P1502:P1506),"")</f>
        <v/>
      </c>
      <c r="Q1506" s="3">
        <f>IF(ISNUMBER(AVERAGE('20250815_ETF_Options_Exhibits'!Q1502:Q1506)),AVERAGE('20250815_ETF_Options_Exhibits'!Q1502:Q1506),"")</f>
        <v/>
      </c>
      <c r="R1506" s="3">
        <f>IF(ISNUMBER(AVERAGE('20250815_ETF_Options_Exhibits'!R1502:R1506)),AVERAGE('20250815_ETF_Options_Exhibits'!R1502:R1506),"")</f>
        <v/>
      </c>
      <c r="S1506" s="3">
        <f>IF(ISNUMBER(AVERAGE('20250815_ETF_Options_Exhibits'!S1502:S1506)),AVERAGE('20250815_ETF_Options_Exhibits'!S1502:S1506),"")</f>
        <v/>
      </c>
      <c r="T1506" s="3">
        <f>IF(ISNUMBER(AVERAGE('20250815_ETF_Options_Exhibits'!T1502:T1506)),AVERAGE('20250815_ETF_Options_Exhibits'!T1502:T1506),"")</f>
        <v/>
      </c>
      <c r="U1506" s="3">
        <f>IF(ISNUMBER(AVERAGE('20250815_ETF_Options_Exhibits'!U1502:U1506)),AVERAGE('20250815_ETF_Options_Exhibits'!U1502:U1506),"")</f>
        <v/>
      </c>
      <c r="V1506" s="3">
        <f>IF(ISNUMBER(AVERAGE('20250815_ETF_Options_Exhibits'!V1502:V1506)),AVERAGE('20250815_ETF_Options_Exhibits'!V1502:V1506),"")</f>
        <v/>
      </c>
      <c r="W1506" s="3">
        <f>IF(ISNUMBER(AVERAGE('20250815_ETF_Options_Exhibits'!W1502:W1506)),AVERAGE('20250815_ETF_Options_Exhibits'!W1502:W1506),"")</f>
        <v/>
      </c>
      <c r="X1506" s="3">
        <f>IF(ISNUMBER(AVERAGE('20250815_ETF_Options_Exhibits'!X1502:X1506)),AVERAGE('20250815_ETF_Options_Exhibits'!X1502:X1506),"")</f>
        <v/>
      </c>
      <c r="Y1506" s="3">
        <f>IF(ISNUMBER(AVERAGE('20250815_ETF_Options_Exhibits'!Y1502:Y1506)),AVERAGE('20250815_ETF_Options_Exhibits'!Y1502:Y1506),"")</f>
        <v/>
      </c>
      <c r="Z1506" s="3">
        <f>IF(ISNUMBER(AVERAGE('20250815_ETF_Options_Exhibits'!Z1502:Z1506)),AVERAGE('20250815_ETF_Options_Exhibits'!Z1502:Z1506),"")</f>
        <v/>
      </c>
      <c r="AA1506" s="3">
        <f>IF(ISNUMBER(AVERAGE('20250815_ETF_Options_Exhibits'!AA1502:AA1506)),AVERAGE('20250815_ETF_Options_Exhibits'!AA1502:AA1506),"")</f>
        <v/>
      </c>
    </row>
    <row r="1507">
      <c r="A1507" s="1" t="n">
        <v>44187</v>
      </c>
      <c r="B1507" s="3">
        <f>IF(ISNUMBER(AVERAGE('20250815_ETF_Options_Exhibits'!B1503:B1507)),AVERAGE('20250815_ETF_Options_Exhibits'!B1503:B1507),"")</f>
        <v/>
      </c>
      <c r="C1507" s="3">
        <f>IF(ISNUMBER(AVERAGE('20250815_ETF_Options_Exhibits'!C1503:C1507)),AVERAGE('20250815_ETF_Options_Exhibits'!C1503:C1507),"")</f>
        <v/>
      </c>
      <c r="D1507" s="3">
        <f>IF(ISNUMBER(AVERAGE('20250815_ETF_Options_Exhibits'!D1503:D1507)),AVERAGE('20250815_ETF_Options_Exhibits'!D1503:D1507),"")</f>
        <v/>
      </c>
      <c r="E1507" s="3">
        <f>IF(ISNUMBER(AVERAGE('20250815_ETF_Options_Exhibits'!E1503:E1507)),AVERAGE('20250815_ETF_Options_Exhibits'!E1503:E1507),"")</f>
        <v/>
      </c>
      <c r="F1507" s="3">
        <f>IF(ISNUMBER(AVERAGE('20250815_ETF_Options_Exhibits'!F1503:F1507)),AVERAGE('20250815_ETF_Options_Exhibits'!F1503:F1507),"")</f>
        <v/>
      </c>
      <c r="G1507" s="3">
        <f>IF(ISNUMBER(AVERAGE('20250815_ETF_Options_Exhibits'!G1503:G1507)),AVERAGE('20250815_ETF_Options_Exhibits'!G1503:G1507),"")</f>
        <v/>
      </c>
      <c r="H1507" s="3">
        <f>IF(ISNUMBER(AVERAGE('20250815_ETF_Options_Exhibits'!H1503:H1507)),AVERAGE('20250815_ETF_Options_Exhibits'!H1503:H1507),"")</f>
        <v/>
      </c>
      <c r="I1507" s="3">
        <f>IF(ISNUMBER(AVERAGE('20250815_ETF_Options_Exhibits'!I1503:I1507)),AVERAGE('20250815_ETF_Options_Exhibits'!I1503:I1507),"")</f>
        <v/>
      </c>
      <c r="J1507" s="3">
        <f>IF(ISNUMBER(AVERAGE('20250815_ETF_Options_Exhibits'!J1503:J1507)),AVERAGE('20250815_ETF_Options_Exhibits'!J1503:J1507),"")</f>
        <v/>
      </c>
      <c r="K1507" s="3">
        <f>IF(ISNUMBER(AVERAGE('20250815_ETF_Options_Exhibits'!K1503:K1507)),AVERAGE('20250815_ETF_Options_Exhibits'!K1503:K1507),"")</f>
        <v/>
      </c>
      <c r="L1507" s="3">
        <f>IF(ISNUMBER(AVERAGE('20250815_ETF_Options_Exhibits'!L1503:L1507)),AVERAGE('20250815_ETF_Options_Exhibits'!L1503:L1507),"")</f>
        <v/>
      </c>
      <c r="M1507" s="3">
        <f>IF(ISNUMBER(AVERAGE('20250815_ETF_Options_Exhibits'!M1503:M1507)),AVERAGE('20250815_ETF_Options_Exhibits'!M1503:M1507),"")</f>
        <v/>
      </c>
      <c r="N1507" s="3">
        <f>IF(ISNUMBER(AVERAGE('20250815_ETF_Options_Exhibits'!N1503:N1507)),AVERAGE('20250815_ETF_Options_Exhibits'!N1503:N1507),"")</f>
        <v/>
      </c>
      <c r="O1507" s="3">
        <f>IF(ISNUMBER(AVERAGE('20250815_ETF_Options_Exhibits'!O1503:O1507)),AVERAGE('20250815_ETF_Options_Exhibits'!O1503:O1507),"")</f>
        <v/>
      </c>
      <c r="P1507" s="3">
        <f>IF(ISNUMBER(AVERAGE('20250815_ETF_Options_Exhibits'!P1503:P1507)),AVERAGE('20250815_ETF_Options_Exhibits'!P1503:P1507),"")</f>
        <v/>
      </c>
      <c r="Q1507" s="3">
        <f>IF(ISNUMBER(AVERAGE('20250815_ETF_Options_Exhibits'!Q1503:Q1507)),AVERAGE('20250815_ETF_Options_Exhibits'!Q1503:Q1507),"")</f>
        <v/>
      </c>
      <c r="R1507" s="3">
        <f>IF(ISNUMBER(AVERAGE('20250815_ETF_Options_Exhibits'!R1503:R1507)),AVERAGE('20250815_ETF_Options_Exhibits'!R1503:R1507),"")</f>
        <v/>
      </c>
      <c r="S1507" s="3">
        <f>IF(ISNUMBER(AVERAGE('20250815_ETF_Options_Exhibits'!S1503:S1507)),AVERAGE('20250815_ETF_Options_Exhibits'!S1503:S1507),"")</f>
        <v/>
      </c>
      <c r="T1507" s="3">
        <f>IF(ISNUMBER(AVERAGE('20250815_ETF_Options_Exhibits'!T1503:T1507)),AVERAGE('20250815_ETF_Options_Exhibits'!T1503:T1507),"")</f>
        <v/>
      </c>
      <c r="U1507" s="3">
        <f>IF(ISNUMBER(AVERAGE('20250815_ETF_Options_Exhibits'!U1503:U1507)),AVERAGE('20250815_ETF_Options_Exhibits'!U1503:U1507),"")</f>
        <v/>
      </c>
      <c r="V1507" s="3">
        <f>IF(ISNUMBER(AVERAGE('20250815_ETF_Options_Exhibits'!V1503:V1507)),AVERAGE('20250815_ETF_Options_Exhibits'!V1503:V1507),"")</f>
        <v/>
      </c>
      <c r="W1507" s="3">
        <f>IF(ISNUMBER(AVERAGE('20250815_ETF_Options_Exhibits'!W1503:W1507)),AVERAGE('20250815_ETF_Options_Exhibits'!W1503:W1507),"")</f>
        <v/>
      </c>
      <c r="X1507" s="3">
        <f>IF(ISNUMBER(AVERAGE('20250815_ETF_Options_Exhibits'!X1503:X1507)),AVERAGE('20250815_ETF_Options_Exhibits'!X1503:X1507),"")</f>
        <v/>
      </c>
      <c r="Y1507" s="3">
        <f>IF(ISNUMBER(AVERAGE('20250815_ETF_Options_Exhibits'!Y1503:Y1507)),AVERAGE('20250815_ETF_Options_Exhibits'!Y1503:Y1507),"")</f>
        <v/>
      </c>
      <c r="Z1507" s="3">
        <f>IF(ISNUMBER(AVERAGE('20250815_ETF_Options_Exhibits'!Z1503:Z1507)),AVERAGE('20250815_ETF_Options_Exhibits'!Z1503:Z1507),"")</f>
        <v/>
      </c>
      <c r="AA1507" s="3">
        <f>IF(ISNUMBER(AVERAGE('20250815_ETF_Options_Exhibits'!AA1503:AA1507)),AVERAGE('20250815_ETF_Options_Exhibits'!AA1503:AA1507),"")</f>
        <v/>
      </c>
    </row>
    <row r="1508">
      <c r="A1508" s="1" t="n">
        <v>44188</v>
      </c>
      <c r="B1508" s="3">
        <f>IF(ISNUMBER(AVERAGE('20250815_ETF_Options_Exhibits'!B1504:B1508)),AVERAGE('20250815_ETF_Options_Exhibits'!B1504:B1508),"")</f>
        <v/>
      </c>
      <c r="C1508" s="3">
        <f>IF(ISNUMBER(AVERAGE('20250815_ETF_Options_Exhibits'!C1504:C1508)),AVERAGE('20250815_ETF_Options_Exhibits'!C1504:C1508),"")</f>
        <v/>
      </c>
      <c r="D1508" s="3">
        <f>IF(ISNUMBER(AVERAGE('20250815_ETF_Options_Exhibits'!D1504:D1508)),AVERAGE('20250815_ETF_Options_Exhibits'!D1504:D1508),"")</f>
        <v/>
      </c>
      <c r="E1508" s="3">
        <f>IF(ISNUMBER(AVERAGE('20250815_ETF_Options_Exhibits'!E1504:E1508)),AVERAGE('20250815_ETF_Options_Exhibits'!E1504:E1508),"")</f>
        <v/>
      </c>
      <c r="F1508" s="3">
        <f>IF(ISNUMBER(AVERAGE('20250815_ETF_Options_Exhibits'!F1504:F1508)),AVERAGE('20250815_ETF_Options_Exhibits'!F1504:F1508),"")</f>
        <v/>
      </c>
      <c r="G1508" s="3">
        <f>IF(ISNUMBER(AVERAGE('20250815_ETF_Options_Exhibits'!G1504:G1508)),AVERAGE('20250815_ETF_Options_Exhibits'!G1504:G1508),"")</f>
        <v/>
      </c>
      <c r="H1508" s="3">
        <f>IF(ISNUMBER(AVERAGE('20250815_ETF_Options_Exhibits'!H1504:H1508)),AVERAGE('20250815_ETF_Options_Exhibits'!H1504:H1508),"")</f>
        <v/>
      </c>
      <c r="I1508" s="3">
        <f>IF(ISNUMBER(AVERAGE('20250815_ETF_Options_Exhibits'!I1504:I1508)),AVERAGE('20250815_ETF_Options_Exhibits'!I1504:I1508),"")</f>
        <v/>
      </c>
      <c r="J1508" s="3">
        <f>IF(ISNUMBER(AVERAGE('20250815_ETF_Options_Exhibits'!J1504:J1508)),AVERAGE('20250815_ETF_Options_Exhibits'!J1504:J1508),"")</f>
        <v/>
      </c>
      <c r="K1508" s="3">
        <f>IF(ISNUMBER(AVERAGE('20250815_ETF_Options_Exhibits'!K1504:K1508)),AVERAGE('20250815_ETF_Options_Exhibits'!K1504:K1508),"")</f>
        <v/>
      </c>
      <c r="L1508" s="3">
        <f>IF(ISNUMBER(AVERAGE('20250815_ETF_Options_Exhibits'!L1504:L1508)),AVERAGE('20250815_ETF_Options_Exhibits'!L1504:L1508),"")</f>
        <v/>
      </c>
      <c r="M1508" s="3">
        <f>IF(ISNUMBER(AVERAGE('20250815_ETF_Options_Exhibits'!M1504:M1508)),AVERAGE('20250815_ETF_Options_Exhibits'!M1504:M1508),"")</f>
        <v/>
      </c>
      <c r="N1508" s="3">
        <f>IF(ISNUMBER(AVERAGE('20250815_ETF_Options_Exhibits'!N1504:N1508)),AVERAGE('20250815_ETF_Options_Exhibits'!N1504:N1508),"")</f>
        <v/>
      </c>
      <c r="O1508" s="3">
        <f>IF(ISNUMBER(AVERAGE('20250815_ETF_Options_Exhibits'!O1504:O1508)),AVERAGE('20250815_ETF_Options_Exhibits'!O1504:O1508),"")</f>
        <v/>
      </c>
      <c r="P1508" s="3">
        <f>IF(ISNUMBER(AVERAGE('20250815_ETF_Options_Exhibits'!P1504:P1508)),AVERAGE('20250815_ETF_Options_Exhibits'!P1504:P1508),"")</f>
        <v/>
      </c>
      <c r="Q1508" s="3">
        <f>IF(ISNUMBER(AVERAGE('20250815_ETF_Options_Exhibits'!Q1504:Q1508)),AVERAGE('20250815_ETF_Options_Exhibits'!Q1504:Q1508),"")</f>
        <v/>
      </c>
      <c r="R1508" s="3">
        <f>IF(ISNUMBER(AVERAGE('20250815_ETF_Options_Exhibits'!R1504:R1508)),AVERAGE('20250815_ETF_Options_Exhibits'!R1504:R1508),"")</f>
        <v/>
      </c>
      <c r="S1508" s="3">
        <f>IF(ISNUMBER(AVERAGE('20250815_ETF_Options_Exhibits'!S1504:S1508)),AVERAGE('20250815_ETF_Options_Exhibits'!S1504:S1508),"")</f>
        <v/>
      </c>
      <c r="T1508" s="3">
        <f>IF(ISNUMBER(AVERAGE('20250815_ETF_Options_Exhibits'!T1504:T1508)),AVERAGE('20250815_ETF_Options_Exhibits'!T1504:T1508),"")</f>
        <v/>
      </c>
      <c r="U1508" s="3">
        <f>IF(ISNUMBER(AVERAGE('20250815_ETF_Options_Exhibits'!U1504:U1508)),AVERAGE('20250815_ETF_Options_Exhibits'!U1504:U1508),"")</f>
        <v/>
      </c>
      <c r="V1508" s="3">
        <f>IF(ISNUMBER(AVERAGE('20250815_ETF_Options_Exhibits'!V1504:V1508)),AVERAGE('20250815_ETF_Options_Exhibits'!V1504:V1508),"")</f>
        <v/>
      </c>
      <c r="W1508" s="3">
        <f>IF(ISNUMBER(AVERAGE('20250815_ETF_Options_Exhibits'!W1504:W1508)),AVERAGE('20250815_ETF_Options_Exhibits'!W1504:W1508),"")</f>
        <v/>
      </c>
      <c r="X1508" s="3">
        <f>IF(ISNUMBER(AVERAGE('20250815_ETF_Options_Exhibits'!X1504:X1508)),AVERAGE('20250815_ETF_Options_Exhibits'!X1504:X1508),"")</f>
        <v/>
      </c>
      <c r="Y1508" s="3">
        <f>IF(ISNUMBER(AVERAGE('20250815_ETF_Options_Exhibits'!Y1504:Y1508)),AVERAGE('20250815_ETF_Options_Exhibits'!Y1504:Y1508),"")</f>
        <v/>
      </c>
      <c r="Z1508" s="3">
        <f>IF(ISNUMBER(AVERAGE('20250815_ETF_Options_Exhibits'!Z1504:Z1508)),AVERAGE('20250815_ETF_Options_Exhibits'!Z1504:Z1508),"")</f>
        <v/>
      </c>
      <c r="AA1508" s="3">
        <f>IF(ISNUMBER(AVERAGE('20250815_ETF_Options_Exhibits'!AA1504:AA1508)),AVERAGE('20250815_ETF_Options_Exhibits'!AA1504:AA1508),"")</f>
        <v/>
      </c>
    </row>
    <row r="1509">
      <c r="A1509" s="1" t="n">
        <v>44189</v>
      </c>
      <c r="B1509" s="3">
        <f>IF(ISNUMBER(AVERAGE('20250815_ETF_Options_Exhibits'!B1505:B1509)),AVERAGE('20250815_ETF_Options_Exhibits'!B1505:B1509),"")</f>
        <v/>
      </c>
      <c r="C1509" s="3">
        <f>IF(ISNUMBER(AVERAGE('20250815_ETF_Options_Exhibits'!C1505:C1509)),AVERAGE('20250815_ETF_Options_Exhibits'!C1505:C1509),"")</f>
        <v/>
      </c>
      <c r="D1509" s="3">
        <f>IF(ISNUMBER(AVERAGE('20250815_ETF_Options_Exhibits'!D1505:D1509)),AVERAGE('20250815_ETF_Options_Exhibits'!D1505:D1509),"")</f>
        <v/>
      </c>
      <c r="E1509" s="3">
        <f>IF(ISNUMBER(AVERAGE('20250815_ETF_Options_Exhibits'!E1505:E1509)),AVERAGE('20250815_ETF_Options_Exhibits'!E1505:E1509),"")</f>
        <v/>
      </c>
      <c r="F1509" s="3">
        <f>IF(ISNUMBER(AVERAGE('20250815_ETF_Options_Exhibits'!F1505:F1509)),AVERAGE('20250815_ETF_Options_Exhibits'!F1505:F1509),"")</f>
        <v/>
      </c>
      <c r="G1509" s="3">
        <f>IF(ISNUMBER(AVERAGE('20250815_ETF_Options_Exhibits'!G1505:G1509)),AVERAGE('20250815_ETF_Options_Exhibits'!G1505:G1509),"")</f>
        <v/>
      </c>
      <c r="H1509" s="3">
        <f>IF(ISNUMBER(AVERAGE('20250815_ETF_Options_Exhibits'!H1505:H1509)),AVERAGE('20250815_ETF_Options_Exhibits'!H1505:H1509),"")</f>
        <v/>
      </c>
      <c r="I1509" s="3">
        <f>IF(ISNUMBER(AVERAGE('20250815_ETF_Options_Exhibits'!I1505:I1509)),AVERAGE('20250815_ETF_Options_Exhibits'!I1505:I1509),"")</f>
        <v/>
      </c>
      <c r="J1509" s="3">
        <f>IF(ISNUMBER(AVERAGE('20250815_ETF_Options_Exhibits'!J1505:J1509)),AVERAGE('20250815_ETF_Options_Exhibits'!J1505:J1509),"")</f>
        <v/>
      </c>
      <c r="K1509" s="3">
        <f>IF(ISNUMBER(AVERAGE('20250815_ETF_Options_Exhibits'!K1505:K1509)),AVERAGE('20250815_ETF_Options_Exhibits'!K1505:K1509),"")</f>
        <v/>
      </c>
      <c r="L1509" s="3">
        <f>IF(ISNUMBER(AVERAGE('20250815_ETF_Options_Exhibits'!L1505:L1509)),AVERAGE('20250815_ETF_Options_Exhibits'!L1505:L1509),"")</f>
        <v/>
      </c>
      <c r="M1509" s="3">
        <f>IF(ISNUMBER(AVERAGE('20250815_ETF_Options_Exhibits'!M1505:M1509)),AVERAGE('20250815_ETF_Options_Exhibits'!M1505:M1509),"")</f>
        <v/>
      </c>
      <c r="N1509" s="3">
        <f>IF(ISNUMBER(AVERAGE('20250815_ETF_Options_Exhibits'!N1505:N1509)),AVERAGE('20250815_ETF_Options_Exhibits'!N1505:N1509),"")</f>
        <v/>
      </c>
      <c r="O1509" s="3">
        <f>IF(ISNUMBER(AVERAGE('20250815_ETF_Options_Exhibits'!O1505:O1509)),AVERAGE('20250815_ETF_Options_Exhibits'!O1505:O1509),"")</f>
        <v/>
      </c>
      <c r="P1509" s="3">
        <f>IF(ISNUMBER(AVERAGE('20250815_ETF_Options_Exhibits'!P1505:P1509)),AVERAGE('20250815_ETF_Options_Exhibits'!P1505:P1509),"")</f>
        <v/>
      </c>
      <c r="Q1509" s="3">
        <f>IF(ISNUMBER(AVERAGE('20250815_ETF_Options_Exhibits'!Q1505:Q1509)),AVERAGE('20250815_ETF_Options_Exhibits'!Q1505:Q1509),"")</f>
        <v/>
      </c>
      <c r="R1509" s="3">
        <f>IF(ISNUMBER(AVERAGE('20250815_ETF_Options_Exhibits'!R1505:R1509)),AVERAGE('20250815_ETF_Options_Exhibits'!R1505:R1509),"")</f>
        <v/>
      </c>
      <c r="S1509" s="3">
        <f>IF(ISNUMBER(AVERAGE('20250815_ETF_Options_Exhibits'!S1505:S1509)),AVERAGE('20250815_ETF_Options_Exhibits'!S1505:S1509),"")</f>
        <v/>
      </c>
      <c r="T1509" s="3">
        <f>IF(ISNUMBER(AVERAGE('20250815_ETF_Options_Exhibits'!T1505:T1509)),AVERAGE('20250815_ETF_Options_Exhibits'!T1505:T1509),"")</f>
        <v/>
      </c>
      <c r="U1509" s="3">
        <f>IF(ISNUMBER(AVERAGE('20250815_ETF_Options_Exhibits'!U1505:U1509)),AVERAGE('20250815_ETF_Options_Exhibits'!U1505:U1509),"")</f>
        <v/>
      </c>
      <c r="V1509" s="3">
        <f>IF(ISNUMBER(AVERAGE('20250815_ETF_Options_Exhibits'!V1505:V1509)),AVERAGE('20250815_ETF_Options_Exhibits'!V1505:V1509),"")</f>
        <v/>
      </c>
      <c r="W1509" s="3">
        <f>IF(ISNUMBER(AVERAGE('20250815_ETF_Options_Exhibits'!W1505:W1509)),AVERAGE('20250815_ETF_Options_Exhibits'!W1505:W1509),"")</f>
        <v/>
      </c>
      <c r="X1509" s="3">
        <f>IF(ISNUMBER(AVERAGE('20250815_ETF_Options_Exhibits'!X1505:X1509)),AVERAGE('20250815_ETF_Options_Exhibits'!X1505:X1509),"")</f>
        <v/>
      </c>
      <c r="Y1509" s="3">
        <f>IF(ISNUMBER(AVERAGE('20250815_ETF_Options_Exhibits'!Y1505:Y1509)),AVERAGE('20250815_ETF_Options_Exhibits'!Y1505:Y1509),"")</f>
        <v/>
      </c>
      <c r="Z1509" s="3">
        <f>IF(ISNUMBER(AVERAGE('20250815_ETF_Options_Exhibits'!Z1505:Z1509)),AVERAGE('20250815_ETF_Options_Exhibits'!Z1505:Z1509),"")</f>
        <v/>
      </c>
      <c r="AA1509" s="3">
        <f>IF(ISNUMBER(AVERAGE('20250815_ETF_Options_Exhibits'!AA1505:AA1509)),AVERAGE('20250815_ETF_Options_Exhibits'!AA1505:AA1509),"")</f>
        <v/>
      </c>
    </row>
    <row r="1510">
      <c r="A1510" s="1" t="n">
        <v>44193</v>
      </c>
      <c r="B1510" s="3">
        <f>IF(ISNUMBER(AVERAGE('20250815_ETF_Options_Exhibits'!B1506:B1510)),AVERAGE('20250815_ETF_Options_Exhibits'!B1506:B1510),"")</f>
        <v/>
      </c>
      <c r="C1510" s="3">
        <f>IF(ISNUMBER(AVERAGE('20250815_ETF_Options_Exhibits'!C1506:C1510)),AVERAGE('20250815_ETF_Options_Exhibits'!C1506:C1510),"")</f>
        <v/>
      </c>
      <c r="D1510" s="3">
        <f>IF(ISNUMBER(AVERAGE('20250815_ETF_Options_Exhibits'!D1506:D1510)),AVERAGE('20250815_ETF_Options_Exhibits'!D1506:D1510),"")</f>
        <v/>
      </c>
      <c r="E1510" s="3">
        <f>IF(ISNUMBER(AVERAGE('20250815_ETF_Options_Exhibits'!E1506:E1510)),AVERAGE('20250815_ETF_Options_Exhibits'!E1506:E1510),"")</f>
        <v/>
      </c>
      <c r="F1510" s="3">
        <f>IF(ISNUMBER(AVERAGE('20250815_ETF_Options_Exhibits'!F1506:F1510)),AVERAGE('20250815_ETF_Options_Exhibits'!F1506:F1510),"")</f>
        <v/>
      </c>
      <c r="G1510" s="3">
        <f>IF(ISNUMBER(AVERAGE('20250815_ETF_Options_Exhibits'!G1506:G1510)),AVERAGE('20250815_ETF_Options_Exhibits'!G1506:G1510),"")</f>
        <v/>
      </c>
      <c r="H1510" s="3">
        <f>IF(ISNUMBER(AVERAGE('20250815_ETF_Options_Exhibits'!H1506:H1510)),AVERAGE('20250815_ETF_Options_Exhibits'!H1506:H1510),"")</f>
        <v/>
      </c>
      <c r="I1510" s="3">
        <f>IF(ISNUMBER(AVERAGE('20250815_ETF_Options_Exhibits'!I1506:I1510)),AVERAGE('20250815_ETF_Options_Exhibits'!I1506:I1510),"")</f>
        <v/>
      </c>
      <c r="J1510" s="3">
        <f>IF(ISNUMBER(AVERAGE('20250815_ETF_Options_Exhibits'!J1506:J1510)),AVERAGE('20250815_ETF_Options_Exhibits'!J1506:J1510),"")</f>
        <v/>
      </c>
      <c r="K1510" s="3">
        <f>IF(ISNUMBER(AVERAGE('20250815_ETF_Options_Exhibits'!K1506:K1510)),AVERAGE('20250815_ETF_Options_Exhibits'!K1506:K1510),"")</f>
        <v/>
      </c>
      <c r="L1510" s="3">
        <f>IF(ISNUMBER(AVERAGE('20250815_ETF_Options_Exhibits'!L1506:L1510)),AVERAGE('20250815_ETF_Options_Exhibits'!L1506:L1510),"")</f>
        <v/>
      </c>
      <c r="M1510" s="3">
        <f>IF(ISNUMBER(AVERAGE('20250815_ETF_Options_Exhibits'!M1506:M1510)),AVERAGE('20250815_ETF_Options_Exhibits'!M1506:M1510),"")</f>
        <v/>
      </c>
      <c r="N1510" s="3">
        <f>IF(ISNUMBER(AVERAGE('20250815_ETF_Options_Exhibits'!N1506:N1510)),AVERAGE('20250815_ETF_Options_Exhibits'!N1506:N1510),"")</f>
        <v/>
      </c>
      <c r="O1510" s="3">
        <f>IF(ISNUMBER(AVERAGE('20250815_ETF_Options_Exhibits'!O1506:O1510)),AVERAGE('20250815_ETF_Options_Exhibits'!O1506:O1510),"")</f>
        <v/>
      </c>
      <c r="P1510" s="3">
        <f>IF(ISNUMBER(AVERAGE('20250815_ETF_Options_Exhibits'!P1506:P1510)),AVERAGE('20250815_ETF_Options_Exhibits'!P1506:P1510),"")</f>
        <v/>
      </c>
      <c r="Q1510" s="3">
        <f>IF(ISNUMBER(AVERAGE('20250815_ETF_Options_Exhibits'!Q1506:Q1510)),AVERAGE('20250815_ETF_Options_Exhibits'!Q1506:Q1510),"")</f>
        <v/>
      </c>
      <c r="R1510" s="3">
        <f>IF(ISNUMBER(AVERAGE('20250815_ETF_Options_Exhibits'!R1506:R1510)),AVERAGE('20250815_ETF_Options_Exhibits'!R1506:R1510),"")</f>
        <v/>
      </c>
      <c r="S1510" s="3">
        <f>IF(ISNUMBER(AVERAGE('20250815_ETF_Options_Exhibits'!S1506:S1510)),AVERAGE('20250815_ETF_Options_Exhibits'!S1506:S1510),"")</f>
        <v/>
      </c>
      <c r="T1510" s="3">
        <f>IF(ISNUMBER(AVERAGE('20250815_ETF_Options_Exhibits'!T1506:T1510)),AVERAGE('20250815_ETF_Options_Exhibits'!T1506:T1510),"")</f>
        <v/>
      </c>
      <c r="U1510" s="3">
        <f>IF(ISNUMBER(AVERAGE('20250815_ETF_Options_Exhibits'!U1506:U1510)),AVERAGE('20250815_ETF_Options_Exhibits'!U1506:U1510),"")</f>
        <v/>
      </c>
      <c r="V1510" s="3">
        <f>IF(ISNUMBER(AVERAGE('20250815_ETF_Options_Exhibits'!V1506:V1510)),AVERAGE('20250815_ETF_Options_Exhibits'!V1506:V1510),"")</f>
        <v/>
      </c>
      <c r="W1510" s="3">
        <f>IF(ISNUMBER(AVERAGE('20250815_ETF_Options_Exhibits'!W1506:W1510)),AVERAGE('20250815_ETF_Options_Exhibits'!W1506:W1510),"")</f>
        <v/>
      </c>
      <c r="X1510" s="3">
        <f>IF(ISNUMBER(AVERAGE('20250815_ETF_Options_Exhibits'!X1506:X1510)),AVERAGE('20250815_ETF_Options_Exhibits'!X1506:X1510),"")</f>
        <v/>
      </c>
      <c r="Y1510" s="3">
        <f>IF(ISNUMBER(AVERAGE('20250815_ETF_Options_Exhibits'!Y1506:Y1510)),AVERAGE('20250815_ETF_Options_Exhibits'!Y1506:Y1510),"")</f>
        <v/>
      </c>
      <c r="Z1510" s="3">
        <f>IF(ISNUMBER(AVERAGE('20250815_ETF_Options_Exhibits'!Z1506:Z1510)),AVERAGE('20250815_ETF_Options_Exhibits'!Z1506:Z1510),"")</f>
        <v/>
      </c>
      <c r="AA1510" s="3">
        <f>IF(ISNUMBER(AVERAGE('20250815_ETF_Options_Exhibits'!AA1506:AA1510)),AVERAGE('20250815_ETF_Options_Exhibits'!AA1506:AA1510),"")</f>
        <v/>
      </c>
    </row>
    <row r="1511">
      <c r="A1511" s="1" t="n">
        <v>44194</v>
      </c>
      <c r="B1511" s="3">
        <f>IF(ISNUMBER(AVERAGE('20250815_ETF_Options_Exhibits'!B1507:B1511)),AVERAGE('20250815_ETF_Options_Exhibits'!B1507:B1511),"")</f>
        <v/>
      </c>
      <c r="C1511" s="3">
        <f>IF(ISNUMBER(AVERAGE('20250815_ETF_Options_Exhibits'!C1507:C1511)),AVERAGE('20250815_ETF_Options_Exhibits'!C1507:C1511),"")</f>
        <v/>
      </c>
      <c r="D1511" s="3">
        <f>IF(ISNUMBER(AVERAGE('20250815_ETF_Options_Exhibits'!D1507:D1511)),AVERAGE('20250815_ETF_Options_Exhibits'!D1507:D1511),"")</f>
        <v/>
      </c>
      <c r="E1511" s="3">
        <f>IF(ISNUMBER(AVERAGE('20250815_ETF_Options_Exhibits'!E1507:E1511)),AVERAGE('20250815_ETF_Options_Exhibits'!E1507:E1511),"")</f>
        <v/>
      </c>
      <c r="F1511" s="3">
        <f>IF(ISNUMBER(AVERAGE('20250815_ETF_Options_Exhibits'!F1507:F1511)),AVERAGE('20250815_ETF_Options_Exhibits'!F1507:F1511),"")</f>
        <v/>
      </c>
      <c r="G1511" s="3">
        <f>IF(ISNUMBER(AVERAGE('20250815_ETF_Options_Exhibits'!G1507:G1511)),AVERAGE('20250815_ETF_Options_Exhibits'!G1507:G1511),"")</f>
        <v/>
      </c>
      <c r="H1511" s="3">
        <f>IF(ISNUMBER(AVERAGE('20250815_ETF_Options_Exhibits'!H1507:H1511)),AVERAGE('20250815_ETF_Options_Exhibits'!H1507:H1511),"")</f>
        <v/>
      </c>
      <c r="I1511" s="3">
        <f>IF(ISNUMBER(AVERAGE('20250815_ETF_Options_Exhibits'!I1507:I1511)),AVERAGE('20250815_ETF_Options_Exhibits'!I1507:I1511),"")</f>
        <v/>
      </c>
      <c r="J1511" s="3">
        <f>IF(ISNUMBER(AVERAGE('20250815_ETF_Options_Exhibits'!J1507:J1511)),AVERAGE('20250815_ETF_Options_Exhibits'!J1507:J1511),"")</f>
        <v/>
      </c>
      <c r="K1511" s="3">
        <f>IF(ISNUMBER(AVERAGE('20250815_ETF_Options_Exhibits'!K1507:K1511)),AVERAGE('20250815_ETF_Options_Exhibits'!K1507:K1511),"")</f>
        <v/>
      </c>
      <c r="L1511" s="3">
        <f>IF(ISNUMBER(AVERAGE('20250815_ETF_Options_Exhibits'!L1507:L1511)),AVERAGE('20250815_ETF_Options_Exhibits'!L1507:L1511),"")</f>
        <v/>
      </c>
      <c r="M1511" s="3">
        <f>IF(ISNUMBER(AVERAGE('20250815_ETF_Options_Exhibits'!M1507:M1511)),AVERAGE('20250815_ETF_Options_Exhibits'!M1507:M1511),"")</f>
        <v/>
      </c>
      <c r="N1511" s="3">
        <f>IF(ISNUMBER(AVERAGE('20250815_ETF_Options_Exhibits'!N1507:N1511)),AVERAGE('20250815_ETF_Options_Exhibits'!N1507:N1511),"")</f>
        <v/>
      </c>
      <c r="O1511" s="3">
        <f>IF(ISNUMBER(AVERAGE('20250815_ETF_Options_Exhibits'!O1507:O1511)),AVERAGE('20250815_ETF_Options_Exhibits'!O1507:O1511),"")</f>
        <v/>
      </c>
      <c r="P1511" s="3">
        <f>IF(ISNUMBER(AVERAGE('20250815_ETF_Options_Exhibits'!P1507:P1511)),AVERAGE('20250815_ETF_Options_Exhibits'!P1507:P1511),"")</f>
        <v/>
      </c>
      <c r="Q1511" s="3">
        <f>IF(ISNUMBER(AVERAGE('20250815_ETF_Options_Exhibits'!Q1507:Q1511)),AVERAGE('20250815_ETF_Options_Exhibits'!Q1507:Q1511),"")</f>
        <v/>
      </c>
      <c r="R1511" s="3">
        <f>IF(ISNUMBER(AVERAGE('20250815_ETF_Options_Exhibits'!R1507:R1511)),AVERAGE('20250815_ETF_Options_Exhibits'!R1507:R1511),"")</f>
        <v/>
      </c>
      <c r="S1511" s="3">
        <f>IF(ISNUMBER(AVERAGE('20250815_ETF_Options_Exhibits'!S1507:S1511)),AVERAGE('20250815_ETF_Options_Exhibits'!S1507:S1511),"")</f>
        <v/>
      </c>
      <c r="T1511" s="3">
        <f>IF(ISNUMBER(AVERAGE('20250815_ETF_Options_Exhibits'!T1507:T1511)),AVERAGE('20250815_ETF_Options_Exhibits'!T1507:T1511),"")</f>
        <v/>
      </c>
      <c r="U1511" s="3">
        <f>IF(ISNUMBER(AVERAGE('20250815_ETF_Options_Exhibits'!U1507:U1511)),AVERAGE('20250815_ETF_Options_Exhibits'!U1507:U1511),"")</f>
        <v/>
      </c>
      <c r="V1511" s="3">
        <f>IF(ISNUMBER(AVERAGE('20250815_ETF_Options_Exhibits'!V1507:V1511)),AVERAGE('20250815_ETF_Options_Exhibits'!V1507:V1511),"")</f>
        <v/>
      </c>
      <c r="W1511" s="3">
        <f>IF(ISNUMBER(AVERAGE('20250815_ETF_Options_Exhibits'!W1507:W1511)),AVERAGE('20250815_ETF_Options_Exhibits'!W1507:W1511),"")</f>
        <v/>
      </c>
      <c r="X1511" s="3">
        <f>IF(ISNUMBER(AVERAGE('20250815_ETF_Options_Exhibits'!X1507:X1511)),AVERAGE('20250815_ETF_Options_Exhibits'!X1507:X1511),"")</f>
        <v/>
      </c>
      <c r="Y1511" s="3">
        <f>IF(ISNUMBER(AVERAGE('20250815_ETF_Options_Exhibits'!Y1507:Y1511)),AVERAGE('20250815_ETF_Options_Exhibits'!Y1507:Y1511),"")</f>
        <v/>
      </c>
      <c r="Z1511" s="3">
        <f>IF(ISNUMBER(AVERAGE('20250815_ETF_Options_Exhibits'!Z1507:Z1511)),AVERAGE('20250815_ETF_Options_Exhibits'!Z1507:Z1511),"")</f>
        <v/>
      </c>
      <c r="AA1511" s="3">
        <f>IF(ISNUMBER(AVERAGE('20250815_ETF_Options_Exhibits'!AA1507:AA1511)),AVERAGE('20250815_ETF_Options_Exhibits'!AA1507:AA1511),"")</f>
        <v/>
      </c>
    </row>
    <row r="1512">
      <c r="A1512" s="1" t="n">
        <v>44195</v>
      </c>
      <c r="B1512" s="3">
        <f>IF(ISNUMBER(AVERAGE('20250815_ETF_Options_Exhibits'!B1508:B1512)),AVERAGE('20250815_ETF_Options_Exhibits'!B1508:B1512),"")</f>
        <v/>
      </c>
      <c r="C1512" s="3">
        <f>IF(ISNUMBER(AVERAGE('20250815_ETF_Options_Exhibits'!C1508:C1512)),AVERAGE('20250815_ETF_Options_Exhibits'!C1508:C1512),"")</f>
        <v/>
      </c>
      <c r="D1512" s="3">
        <f>IF(ISNUMBER(AVERAGE('20250815_ETF_Options_Exhibits'!D1508:D1512)),AVERAGE('20250815_ETF_Options_Exhibits'!D1508:D1512),"")</f>
        <v/>
      </c>
      <c r="E1512" s="3">
        <f>IF(ISNUMBER(AVERAGE('20250815_ETF_Options_Exhibits'!E1508:E1512)),AVERAGE('20250815_ETF_Options_Exhibits'!E1508:E1512),"")</f>
        <v/>
      </c>
      <c r="F1512" s="3">
        <f>IF(ISNUMBER(AVERAGE('20250815_ETF_Options_Exhibits'!F1508:F1512)),AVERAGE('20250815_ETF_Options_Exhibits'!F1508:F1512),"")</f>
        <v/>
      </c>
      <c r="G1512" s="3">
        <f>IF(ISNUMBER(AVERAGE('20250815_ETF_Options_Exhibits'!G1508:G1512)),AVERAGE('20250815_ETF_Options_Exhibits'!G1508:G1512),"")</f>
        <v/>
      </c>
      <c r="H1512" s="3">
        <f>IF(ISNUMBER(AVERAGE('20250815_ETF_Options_Exhibits'!H1508:H1512)),AVERAGE('20250815_ETF_Options_Exhibits'!H1508:H1512),"")</f>
        <v/>
      </c>
      <c r="I1512" s="3">
        <f>IF(ISNUMBER(AVERAGE('20250815_ETF_Options_Exhibits'!I1508:I1512)),AVERAGE('20250815_ETF_Options_Exhibits'!I1508:I1512),"")</f>
        <v/>
      </c>
      <c r="J1512" s="3">
        <f>IF(ISNUMBER(AVERAGE('20250815_ETF_Options_Exhibits'!J1508:J1512)),AVERAGE('20250815_ETF_Options_Exhibits'!J1508:J1512),"")</f>
        <v/>
      </c>
      <c r="K1512" s="3">
        <f>IF(ISNUMBER(AVERAGE('20250815_ETF_Options_Exhibits'!K1508:K1512)),AVERAGE('20250815_ETF_Options_Exhibits'!K1508:K1512),"")</f>
        <v/>
      </c>
      <c r="L1512" s="3">
        <f>IF(ISNUMBER(AVERAGE('20250815_ETF_Options_Exhibits'!L1508:L1512)),AVERAGE('20250815_ETF_Options_Exhibits'!L1508:L1512),"")</f>
        <v/>
      </c>
      <c r="M1512" s="3">
        <f>IF(ISNUMBER(AVERAGE('20250815_ETF_Options_Exhibits'!M1508:M1512)),AVERAGE('20250815_ETF_Options_Exhibits'!M1508:M1512),"")</f>
        <v/>
      </c>
      <c r="N1512" s="3">
        <f>IF(ISNUMBER(AVERAGE('20250815_ETF_Options_Exhibits'!N1508:N1512)),AVERAGE('20250815_ETF_Options_Exhibits'!N1508:N1512),"")</f>
        <v/>
      </c>
      <c r="O1512" s="3">
        <f>IF(ISNUMBER(AVERAGE('20250815_ETF_Options_Exhibits'!O1508:O1512)),AVERAGE('20250815_ETF_Options_Exhibits'!O1508:O1512),"")</f>
        <v/>
      </c>
      <c r="P1512" s="3">
        <f>IF(ISNUMBER(AVERAGE('20250815_ETF_Options_Exhibits'!P1508:P1512)),AVERAGE('20250815_ETF_Options_Exhibits'!P1508:P1512),"")</f>
        <v/>
      </c>
      <c r="Q1512" s="3">
        <f>IF(ISNUMBER(AVERAGE('20250815_ETF_Options_Exhibits'!Q1508:Q1512)),AVERAGE('20250815_ETF_Options_Exhibits'!Q1508:Q1512),"")</f>
        <v/>
      </c>
      <c r="R1512" s="3">
        <f>IF(ISNUMBER(AVERAGE('20250815_ETF_Options_Exhibits'!R1508:R1512)),AVERAGE('20250815_ETF_Options_Exhibits'!R1508:R1512),"")</f>
        <v/>
      </c>
      <c r="S1512" s="3">
        <f>IF(ISNUMBER(AVERAGE('20250815_ETF_Options_Exhibits'!S1508:S1512)),AVERAGE('20250815_ETF_Options_Exhibits'!S1508:S1512),"")</f>
        <v/>
      </c>
      <c r="T1512" s="3">
        <f>IF(ISNUMBER(AVERAGE('20250815_ETF_Options_Exhibits'!T1508:T1512)),AVERAGE('20250815_ETF_Options_Exhibits'!T1508:T1512),"")</f>
        <v/>
      </c>
      <c r="U1512" s="3">
        <f>IF(ISNUMBER(AVERAGE('20250815_ETF_Options_Exhibits'!U1508:U1512)),AVERAGE('20250815_ETF_Options_Exhibits'!U1508:U1512),"")</f>
        <v/>
      </c>
      <c r="V1512" s="3">
        <f>IF(ISNUMBER(AVERAGE('20250815_ETF_Options_Exhibits'!V1508:V1512)),AVERAGE('20250815_ETF_Options_Exhibits'!V1508:V1512),"")</f>
        <v/>
      </c>
      <c r="W1512" s="3">
        <f>IF(ISNUMBER(AVERAGE('20250815_ETF_Options_Exhibits'!W1508:W1512)),AVERAGE('20250815_ETF_Options_Exhibits'!W1508:W1512),"")</f>
        <v/>
      </c>
      <c r="X1512" s="3">
        <f>IF(ISNUMBER(AVERAGE('20250815_ETF_Options_Exhibits'!X1508:X1512)),AVERAGE('20250815_ETF_Options_Exhibits'!X1508:X1512),"")</f>
        <v/>
      </c>
      <c r="Y1512" s="3">
        <f>IF(ISNUMBER(AVERAGE('20250815_ETF_Options_Exhibits'!Y1508:Y1512)),AVERAGE('20250815_ETF_Options_Exhibits'!Y1508:Y1512),"")</f>
        <v/>
      </c>
      <c r="Z1512" s="3">
        <f>IF(ISNUMBER(AVERAGE('20250815_ETF_Options_Exhibits'!Z1508:Z1512)),AVERAGE('20250815_ETF_Options_Exhibits'!Z1508:Z1512),"")</f>
        <v/>
      </c>
      <c r="AA1512" s="3">
        <f>IF(ISNUMBER(AVERAGE('20250815_ETF_Options_Exhibits'!AA1508:AA1512)),AVERAGE('20250815_ETF_Options_Exhibits'!AA1508:AA1512),"")</f>
        <v/>
      </c>
    </row>
    <row r="1513">
      <c r="A1513" s="1" t="n">
        <v>44196</v>
      </c>
      <c r="B1513" s="3">
        <f>IF(ISNUMBER(AVERAGE('20250815_ETF_Options_Exhibits'!B1509:B1513)),AVERAGE('20250815_ETF_Options_Exhibits'!B1509:B1513),"")</f>
        <v/>
      </c>
      <c r="C1513" s="3">
        <f>IF(ISNUMBER(AVERAGE('20250815_ETF_Options_Exhibits'!C1509:C1513)),AVERAGE('20250815_ETF_Options_Exhibits'!C1509:C1513),"")</f>
        <v/>
      </c>
      <c r="D1513" s="3">
        <f>IF(ISNUMBER(AVERAGE('20250815_ETF_Options_Exhibits'!D1509:D1513)),AVERAGE('20250815_ETF_Options_Exhibits'!D1509:D1513),"")</f>
        <v/>
      </c>
      <c r="E1513" s="3">
        <f>IF(ISNUMBER(AVERAGE('20250815_ETF_Options_Exhibits'!E1509:E1513)),AVERAGE('20250815_ETF_Options_Exhibits'!E1509:E1513),"")</f>
        <v/>
      </c>
      <c r="F1513" s="3">
        <f>IF(ISNUMBER(AVERAGE('20250815_ETF_Options_Exhibits'!F1509:F1513)),AVERAGE('20250815_ETF_Options_Exhibits'!F1509:F1513),"")</f>
        <v/>
      </c>
      <c r="G1513" s="3">
        <f>IF(ISNUMBER(AVERAGE('20250815_ETF_Options_Exhibits'!G1509:G1513)),AVERAGE('20250815_ETF_Options_Exhibits'!G1509:G1513),"")</f>
        <v/>
      </c>
      <c r="H1513" s="3">
        <f>IF(ISNUMBER(AVERAGE('20250815_ETF_Options_Exhibits'!H1509:H1513)),AVERAGE('20250815_ETF_Options_Exhibits'!H1509:H1513),"")</f>
        <v/>
      </c>
      <c r="I1513" s="3">
        <f>IF(ISNUMBER(AVERAGE('20250815_ETF_Options_Exhibits'!I1509:I1513)),AVERAGE('20250815_ETF_Options_Exhibits'!I1509:I1513),"")</f>
        <v/>
      </c>
      <c r="J1513" s="3">
        <f>IF(ISNUMBER(AVERAGE('20250815_ETF_Options_Exhibits'!J1509:J1513)),AVERAGE('20250815_ETF_Options_Exhibits'!J1509:J1513),"")</f>
        <v/>
      </c>
      <c r="K1513" s="3">
        <f>IF(ISNUMBER(AVERAGE('20250815_ETF_Options_Exhibits'!K1509:K1513)),AVERAGE('20250815_ETF_Options_Exhibits'!K1509:K1513),"")</f>
        <v/>
      </c>
      <c r="L1513" s="3">
        <f>IF(ISNUMBER(AVERAGE('20250815_ETF_Options_Exhibits'!L1509:L1513)),AVERAGE('20250815_ETF_Options_Exhibits'!L1509:L1513),"")</f>
        <v/>
      </c>
      <c r="M1513" s="3">
        <f>IF(ISNUMBER(AVERAGE('20250815_ETF_Options_Exhibits'!M1509:M1513)),AVERAGE('20250815_ETF_Options_Exhibits'!M1509:M1513),"")</f>
        <v/>
      </c>
      <c r="N1513" s="3">
        <f>IF(ISNUMBER(AVERAGE('20250815_ETF_Options_Exhibits'!N1509:N1513)),AVERAGE('20250815_ETF_Options_Exhibits'!N1509:N1513),"")</f>
        <v/>
      </c>
      <c r="O1513" s="3">
        <f>IF(ISNUMBER(AVERAGE('20250815_ETF_Options_Exhibits'!O1509:O1513)),AVERAGE('20250815_ETF_Options_Exhibits'!O1509:O1513),"")</f>
        <v/>
      </c>
      <c r="P1513" s="3">
        <f>IF(ISNUMBER(AVERAGE('20250815_ETF_Options_Exhibits'!P1509:P1513)),AVERAGE('20250815_ETF_Options_Exhibits'!P1509:P1513),"")</f>
        <v/>
      </c>
      <c r="Q1513" s="3">
        <f>IF(ISNUMBER(AVERAGE('20250815_ETF_Options_Exhibits'!Q1509:Q1513)),AVERAGE('20250815_ETF_Options_Exhibits'!Q1509:Q1513),"")</f>
        <v/>
      </c>
      <c r="R1513" s="3">
        <f>IF(ISNUMBER(AVERAGE('20250815_ETF_Options_Exhibits'!R1509:R1513)),AVERAGE('20250815_ETF_Options_Exhibits'!R1509:R1513),"")</f>
        <v/>
      </c>
      <c r="S1513" s="3">
        <f>IF(ISNUMBER(AVERAGE('20250815_ETF_Options_Exhibits'!S1509:S1513)),AVERAGE('20250815_ETF_Options_Exhibits'!S1509:S1513),"")</f>
        <v/>
      </c>
      <c r="T1513" s="3">
        <f>IF(ISNUMBER(AVERAGE('20250815_ETF_Options_Exhibits'!T1509:T1513)),AVERAGE('20250815_ETF_Options_Exhibits'!T1509:T1513),"")</f>
        <v/>
      </c>
      <c r="U1513" s="3">
        <f>IF(ISNUMBER(AVERAGE('20250815_ETF_Options_Exhibits'!U1509:U1513)),AVERAGE('20250815_ETF_Options_Exhibits'!U1509:U1513),"")</f>
        <v/>
      </c>
      <c r="V1513" s="3">
        <f>IF(ISNUMBER(AVERAGE('20250815_ETF_Options_Exhibits'!V1509:V1513)),AVERAGE('20250815_ETF_Options_Exhibits'!V1509:V1513),"")</f>
        <v/>
      </c>
      <c r="W1513" s="3">
        <f>IF(ISNUMBER(AVERAGE('20250815_ETF_Options_Exhibits'!W1509:W1513)),AVERAGE('20250815_ETF_Options_Exhibits'!W1509:W1513),"")</f>
        <v/>
      </c>
      <c r="X1513" s="3">
        <f>IF(ISNUMBER(AVERAGE('20250815_ETF_Options_Exhibits'!X1509:X1513)),AVERAGE('20250815_ETF_Options_Exhibits'!X1509:X1513),"")</f>
        <v/>
      </c>
      <c r="Y1513" s="3">
        <f>IF(ISNUMBER(AVERAGE('20250815_ETF_Options_Exhibits'!Y1509:Y1513)),AVERAGE('20250815_ETF_Options_Exhibits'!Y1509:Y1513),"")</f>
        <v/>
      </c>
      <c r="Z1513" s="3">
        <f>IF(ISNUMBER(AVERAGE('20250815_ETF_Options_Exhibits'!Z1509:Z1513)),AVERAGE('20250815_ETF_Options_Exhibits'!Z1509:Z1513),"")</f>
        <v/>
      </c>
      <c r="AA1513" s="3">
        <f>IF(ISNUMBER(AVERAGE('20250815_ETF_Options_Exhibits'!AA1509:AA1513)),AVERAGE('20250815_ETF_Options_Exhibits'!AA1509:AA1513),"")</f>
        <v/>
      </c>
    </row>
    <row r="1514">
      <c r="A1514" s="1" t="n">
        <v>44200</v>
      </c>
      <c r="B1514" s="3">
        <f>IF(ISNUMBER(AVERAGE('20250815_ETF_Options_Exhibits'!B1510:B1514)),AVERAGE('20250815_ETF_Options_Exhibits'!B1510:B1514),"")</f>
        <v/>
      </c>
      <c r="C1514" s="3">
        <f>IF(ISNUMBER(AVERAGE('20250815_ETF_Options_Exhibits'!C1510:C1514)),AVERAGE('20250815_ETF_Options_Exhibits'!C1510:C1514),"")</f>
        <v/>
      </c>
      <c r="D1514" s="3">
        <f>IF(ISNUMBER(AVERAGE('20250815_ETF_Options_Exhibits'!D1510:D1514)),AVERAGE('20250815_ETF_Options_Exhibits'!D1510:D1514),"")</f>
        <v/>
      </c>
      <c r="E1514" s="3">
        <f>IF(ISNUMBER(AVERAGE('20250815_ETF_Options_Exhibits'!E1510:E1514)),AVERAGE('20250815_ETF_Options_Exhibits'!E1510:E1514),"")</f>
        <v/>
      </c>
      <c r="F1514" s="3">
        <f>IF(ISNUMBER(AVERAGE('20250815_ETF_Options_Exhibits'!F1510:F1514)),AVERAGE('20250815_ETF_Options_Exhibits'!F1510:F1514),"")</f>
        <v/>
      </c>
      <c r="G1514" s="3">
        <f>IF(ISNUMBER(AVERAGE('20250815_ETF_Options_Exhibits'!G1510:G1514)),AVERAGE('20250815_ETF_Options_Exhibits'!G1510:G1514),"")</f>
        <v/>
      </c>
      <c r="H1514" s="3">
        <f>IF(ISNUMBER(AVERAGE('20250815_ETF_Options_Exhibits'!H1510:H1514)),AVERAGE('20250815_ETF_Options_Exhibits'!H1510:H1514),"")</f>
        <v/>
      </c>
      <c r="I1514" s="3">
        <f>IF(ISNUMBER(AVERAGE('20250815_ETF_Options_Exhibits'!I1510:I1514)),AVERAGE('20250815_ETF_Options_Exhibits'!I1510:I1514),"")</f>
        <v/>
      </c>
      <c r="J1514" s="3">
        <f>IF(ISNUMBER(AVERAGE('20250815_ETF_Options_Exhibits'!J1510:J1514)),AVERAGE('20250815_ETF_Options_Exhibits'!J1510:J1514),"")</f>
        <v/>
      </c>
      <c r="K1514" s="3">
        <f>IF(ISNUMBER(AVERAGE('20250815_ETF_Options_Exhibits'!K1510:K1514)),AVERAGE('20250815_ETF_Options_Exhibits'!K1510:K1514),"")</f>
        <v/>
      </c>
      <c r="L1514" s="3">
        <f>IF(ISNUMBER(AVERAGE('20250815_ETF_Options_Exhibits'!L1510:L1514)),AVERAGE('20250815_ETF_Options_Exhibits'!L1510:L1514),"")</f>
        <v/>
      </c>
      <c r="M1514" s="3">
        <f>IF(ISNUMBER(AVERAGE('20250815_ETF_Options_Exhibits'!M1510:M1514)),AVERAGE('20250815_ETF_Options_Exhibits'!M1510:M1514),"")</f>
        <v/>
      </c>
      <c r="N1514" s="3">
        <f>IF(ISNUMBER(AVERAGE('20250815_ETF_Options_Exhibits'!N1510:N1514)),AVERAGE('20250815_ETF_Options_Exhibits'!N1510:N1514),"")</f>
        <v/>
      </c>
      <c r="O1514" s="3">
        <f>IF(ISNUMBER(AVERAGE('20250815_ETF_Options_Exhibits'!O1510:O1514)),AVERAGE('20250815_ETF_Options_Exhibits'!O1510:O1514),"")</f>
        <v/>
      </c>
      <c r="P1514" s="3">
        <f>IF(ISNUMBER(AVERAGE('20250815_ETF_Options_Exhibits'!P1510:P1514)),AVERAGE('20250815_ETF_Options_Exhibits'!P1510:P1514),"")</f>
        <v/>
      </c>
      <c r="Q1514" s="3">
        <f>IF(ISNUMBER(AVERAGE('20250815_ETF_Options_Exhibits'!Q1510:Q1514)),AVERAGE('20250815_ETF_Options_Exhibits'!Q1510:Q1514),"")</f>
        <v/>
      </c>
      <c r="R1514" s="3">
        <f>IF(ISNUMBER(AVERAGE('20250815_ETF_Options_Exhibits'!R1510:R1514)),AVERAGE('20250815_ETF_Options_Exhibits'!R1510:R1514),"")</f>
        <v/>
      </c>
      <c r="S1514" s="3">
        <f>IF(ISNUMBER(AVERAGE('20250815_ETF_Options_Exhibits'!S1510:S1514)),AVERAGE('20250815_ETF_Options_Exhibits'!S1510:S1514),"")</f>
        <v/>
      </c>
      <c r="T1514" s="3">
        <f>IF(ISNUMBER(AVERAGE('20250815_ETF_Options_Exhibits'!T1510:T1514)),AVERAGE('20250815_ETF_Options_Exhibits'!T1510:T1514),"")</f>
        <v/>
      </c>
      <c r="U1514" s="3">
        <f>IF(ISNUMBER(AVERAGE('20250815_ETF_Options_Exhibits'!U1510:U1514)),AVERAGE('20250815_ETF_Options_Exhibits'!U1510:U1514),"")</f>
        <v/>
      </c>
      <c r="V1514" s="3">
        <f>IF(ISNUMBER(AVERAGE('20250815_ETF_Options_Exhibits'!V1510:V1514)),AVERAGE('20250815_ETF_Options_Exhibits'!V1510:V1514),"")</f>
        <v/>
      </c>
      <c r="W1514" s="3">
        <f>IF(ISNUMBER(AVERAGE('20250815_ETF_Options_Exhibits'!W1510:W1514)),AVERAGE('20250815_ETF_Options_Exhibits'!W1510:W1514),"")</f>
        <v/>
      </c>
      <c r="X1514" s="3">
        <f>IF(ISNUMBER(AVERAGE('20250815_ETF_Options_Exhibits'!X1510:X1514)),AVERAGE('20250815_ETF_Options_Exhibits'!X1510:X1514),"")</f>
        <v/>
      </c>
      <c r="Y1514" s="3">
        <f>IF(ISNUMBER(AVERAGE('20250815_ETF_Options_Exhibits'!Y1510:Y1514)),AVERAGE('20250815_ETF_Options_Exhibits'!Y1510:Y1514),"")</f>
        <v/>
      </c>
      <c r="Z1514" s="3">
        <f>IF(ISNUMBER(AVERAGE('20250815_ETF_Options_Exhibits'!Z1510:Z1514)),AVERAGE('20250815_ETF_Options_Exhibits'!Z1510:Z1514),"")</f>
        <v/>
      </c>
      <c r="AA1514" s="3">
        <f>IF(ISNUMBER(AVERAGE('20250815_ETF_Options_Exhibits'!AA1510:AA1514)),AVERAGE('20250815_ETF_Options_Exhibits'!AA1510:AA1514),"")</f>
        <v/>
      </c>
    </row>
    <row r="1515">
      <c r="A1515" s="1" t="n">
        <v>44201</v>
      </c>
      <c r="B1515" s="3">
        <f>IF(ISNUMBER(AVERAGE('20250815_ETF_Options_Exhibits'!B1511:B1515)),AVERAGE('20250815_ETF_Options_Exhibits'!B1511:B1515),"")</f>
        <v/>
      </c>
      <c r="C1515" s="3">
        <f>IF(ISNUMBER(AVERAGE('20250815_ETF_Options_Exhibits'!C1511:C1515)),AVERAGE('20250815_ETF_Options_Exhibits'!C1511:C1515),"")</f>
        <v/>
      </c>
      <c r="D1515" s="3">
        <f>IF(ISNUMBER(AVERAGE('20250815_ETF_Options_Exhibits'!D1511:D1515)),AVERAGE('20250815_ETF_Options_Exhibits'!D1511:D1515),"")</f>
        <v/>
      </c>
      <c r="E1515" s="3">
        <f>IF(ISNUMBER(AVERAGE('20250815_ETF_Options_Exhibits'!E1511:E1515)),AVERAGE('20250815_ETF_Options_Exhibits'!E1511:E1515),"")</f>
        <v/>
      </c>
      <c r="F1515" s="3">
        <f>IF(ISNUMBER(AVERAGE('20250815_ETF_Options_Exhibits'!F1511:F1515)),AVERAGE('20250815_ETF_Options_Exhibits'!F1511:F1515),"")</f>
        <v/>
      </c>
      <c r="G1515" s="3">
        <f>IF(ISNUMBER(AVERAGE('20250815_ETF_Options_Exhibits'!G1511:G1515)),AVERAGE('20250815_ETF_Options_Exhibits'!G1511:G1515),"")</f>
        <v/>
      </c>
      <c r="H1515" s="3">
        <f>IF(ISNUMBER(AVERAGE('20250815_ETF_Options_Exhibits'!H1511:H1515)),AVERAGE('20250815_ETF_Options_Exhibits'!H1511:H1515),"")</f>
        <v/>
      </c>
      <c r="I1515" s="3">
        <f>IF(ISNUMBER(AVERAGE('20250815_ETF_Options_Exhibits'!I1511:I1515)),AVERAGE('20250815_ETF_Options_Exhibits'!I1511:I1515),"")</f>
        <v/>
      </c>
      <c r="J1515" s="3">
        <f>IF(ISNUMBER(AVERAGE('20250815_ETF_Options_Exhibits'!J1511:J1515)),AVERAGE('20250815_ETF_Options_Exhibits'!J1511:J1515),"")</f>
        <v/>
      </c>
      <c r="K1515" s="3">
        <f>IF(ISNUMBER(AVERAGE('20250815_ETF_Options_Exhibits'!K1511:K1515)),AVERAGE('20250815_ETF_Options_Exhibits'!K1511:K1515),"")</f>
        <v/>
      </c>
      <c r="L1515" s="3">
        <f>IF(ISNUMBER(AVERAGE('20250815_ETF_Options_Exhibits'!L1511:L1515)),AVERAGE('20250815_ETF_Options_Exhibits'!L1511:L1515),"")</f>
        <v/>
      </c>
      <c r="M1515" s="3">
        <f>IF(ISNUMBER(AVERAGE('20250815_ETF_Options_Exhibits'!M1511:M1515)),AVERAGE('20250815_ETF_Options_Exhibits'!M1511:M1515),"")</f>
        <v/>
      </c>
      <c r="N1515" s="3">
        <f>IF(ISNUMBER(AVERAGE('20250815_ETF_Options_Exhibits'!N1511:N1515)),AVERAGE('20250815_ETF_Options_Exhibits'!N1511:N1515),"")</f>
        <v/>
      </c>
      <c r="O1515" s="3">
        <f>IF(ISNUMBER(AVERAGE('20250815_ETF_Options_Exhibits'!O1511:O1515)),AVERAGE('20250815_ETF_Options_Exhibits'!O1511:O1515),"")</f>
        <v/>
      </c>
      <c r="P1515" s="3">
        <f>IF(ISNUMBER(AVERAGE('20250815_ETF_Options_Exhibits'!P1511:P1515)),AVERAGE('20250815_ETF_Options_Exhibits'!P1511:P1515),"")</f>
        <v/>
      </c>
      <c r="Q1515" s="3">
        <f>IF(ISNUMBER(AVERAGE('20250815_ETF_Options_Exhibits'!Q1511:Q1515)),AVERAGE('20250815_ETF_Options_Exhibits'!Q1511:Q1515),"")</f>
        <v/>
      </c>
      <c r="R1515" s="3">
        <f>IF(ISNUMBER(AVERAGE('20250815_ETF_Options_Exhibits'!R1511:R1515)),AVERAGE('20250815_ETF_Options_Exhibits'!R1511:R1515),"")</f>
        <v/>
      </c>
      <c r="S1515" s="3">
        <f>IF(ISNUMBER(AVERAGE('20250815_ETF_Options_Exhibits'!S1511:S1515)),AVERAGE('20250815_ETF_Options_Exhibits'!S1511:S1515),"")</f>
        <v/>
      </c>
      <c r="T1515" s="3">
        <f>IF(ISNUMBER(AVERAGE('20250815_ETF_Options_Exhibits'!T1511:T1515)),AVERAGE('20250815_ETF_Options_Exhibits'!T1511:T1515),"")</f>
        <v/>
      </c>
      <c r="U1515" s="3">
        <f>IF(ISNUMBER(AVERAGE('20250815_ETF_Options_Exhibits'!U1511:U1515)),AVERAGE('20250815_ETF_Options_Exhibits'!U1511:U1515),"")</f>
        <v/>
      </c>
      <c r="V1515" s="3">
        <f>IF(ISNUMBER(AVERAGE('20250815_ETF_Options_Exhibits'!V1511:V1515)),AVERAGE('20250815_ETF_Options_Exhibits'!V1511:V1515),"")</f>
        <v/>
      </c>
      <c r="W1515" s="3">
        <f>IF(ISNUMBER(AVERAGE('20250815_ETF_Options_Exhibits'!W1511:W1515)),AVERAGE('20250815_ETF_Options_Exhibits'!W1511:W1515),"")</f>
        <v/>
      </c>
      <c r="X1515" s="3">
        <f>IF(ISNUMBER(AVERAGE('20250815_ETF_Options_Exhibits'!X1511:X1515)),AVERAGE('20250815_ETF_Options_Exhibits'!X1511:X1515),"")</f>
        <v/>
      </c>
      <c r="Y1515" s="3">
        <f>IF(ISNUMBER(AVERAGE('20250815_ETF_Options_Exhibits'!Y1511:Y1515)),AVERAGE('20250815_ETF_Options_Exhibits'!Y1511:Y1515),"")</f>
        <v/>
      </c>
      <c r="Z1515" s="3">
        <f>IF(ISNUMBER(AVERAGE('20250815_ETF_Options_Exhibits'!Z1511:Z1515)),AVERAGE('20250815_ETF_Options_Exhibits'!Z1511:Z1515),"")</f>
        <v/>
      </c>
      <c r="AA1515" s="3">
        <f>IF(ISNUMBER(AVERAGE('20250815_ETF_Options_Exhibits'!AA1511:AA1515)),AVERAGE('20250815_ETF_Options_Exhibits'!AA1511:AA1515),"")</f>
        <v/>
      </c>
    </row>
    <row r="1516">
      <c r="A1516" s="1" t="n">
        <v>44202</v>
      </c>
      <c r="B1516" s="3">
        <f>IF(ISNUMBER(AVERAGE('20250815_ETF_Options_Exhibits'!B1512:B1516)),AVERAGE('20250815_ETF_Options_Exhibits'!B1512:B1516),"")</f>
        <v/>
      </c>
      <c r="C1516" s="3">
        <f>IF(ISNUMBER(AVERAGE('20250815_ETF_Options_Exhibits'!C1512:C1516)),AVERAGE('20250815_ETF_Options_Exhibits'!C1512:C1516),"")</f>
        <v/>
      </c>
      <c r="D1516" s="3">
        <f>IF(ISNUMBER(AVERAGE('20250815_ETF_Options_Exhibits'!D1512:D1516)),AVERAGE('20250815_ETF_Options_Exhibits'!D1512:D1516),"")</f>
        <v/>
      </c>
      <c r="E1516" s="3">
        <f>IF(ISNUMBER(AVERAGE('20250815_ETF_Options_Exhibits'!E1512:E1516)),AVERAGE('20250815_ETF_Options_Exhibits'!E1512:E1516),"")</f>
        <v/>
      </c>
      <c r="F1516" s="3">
        <f>IF(ISNUMBER(AVERAGE('20250815_ETF_Options_Exhibits'!F1512:F1516)),AVERAGE('20250815_ETF_Options_Exhibits'!F1512:F1516),"")</f>
        <v/>
      </c>
      <c r="G1516" s="3">
        <f>IF(ISNUMBER(AVERAGE('20250815_ETF_Options_Exhibits'!G1512:G1516)),AVERAGE('20250815_ETF_Options_Exhibits'!G1512:G1516),"")</f>
        <v/>
      </c>
      <c r="H1516" s="3">
        <f>IF(ISNUMBER(AVERAGE('20250815_ETF_Options_Exhibits'!H1512:H1516)),AVERAGE('20250815_ETF_Options_Exhibits'!H1512:H1516),"")</f>
        <v/>
      </c>
      <c r="I1516" s="3">
        <f>IF(ISNUMBER(AVERAGE('20250815_ETF_Options_Exhibits'!I1512:I1516)),AVERAGE('20250815_ETF_Options_Exhibits'!I1512:I1516),"")</f>
        <v/>
      </c>
      <c r="J1516" s="3">
        <f>IF(ISNUMBER(AVERAGE('20250815_ETF_Options_Exhibits'!J1512:J1516)),AVERAGE('20250815_ETF_Options_Exhibits'!J1512:J1516),"")</f>
        <v/>
      </c>
      <c r="K1516" s="3">
        <f>IF(ISNUMBER(AVERAGE('20250815_ETF_Options_Exhibits'!K1512:K1516)),AVERAGE('20250815_ETF_Options_Exhibits'!K1512:K1516),"")</f>
        <v/>
      </c>
      <c r="L1516" s="3">
        <f>IF(ISNUMBER(AVERAGE('20250815_ETF_Options_Exhibits'!L1512:L1516)),AVERAGE('20250815_ETF_Options_Exhibits'!L1512:L1516),"")</f>
        <v/>
      </c>
      <c r="M1516" s="3">
        <f>IF(ISNUMBER(AVERAGE('20250815_ETF_Options_Exhibits'!M1512:M1516)),AVERAGE('20250815_ETF_Options_Exhibits'!M1512:M1516),"")</f>
        <v/>
      </c>
      <c r="N1516" s="3">
        <f>IF(ISNUMBER(AVERAGE('20250815_ETF_Options_Exhibits'!N1512:N1516)),AVERAGE('20250815_ETF_Options_Exhibits'!N1512:N1516),"")</f>
        <v/>
      </c>
      <c r="O1516" s="3">
        <f>IF(ISNUMBER(AVERAGE('20250815_ETF_Options_Exhibits'!O1512:O1516)),AVERAGE('20250815_ETF_Options_Exhibits'!O1512:O1516),"")</f>
        <v/>
      </c>
      <c r="P1516" s="3">
        <f>IF(ISNUMBER(AVERAGE('20250815_ETF_Options_Exhibits'!P1512:P1516)),AVERAGE('20250815_ETF_Options_Exhibits'!P1512:P1516),"")</f>
        <v/>
      </c>
      <c r="Q1516" s="3">
        <f>IF(ISNUMBER(AVERAGE('20250815_ETF_Options_Exhibits'!Q1512:Q1516)),AVERAGE('20250815_ETF_Options_Exhibits'!Q1512:Q1516),"")</f>
        <v/>
      </c>
      <c r="R1516" s="3">
        <f>IF(ISNUMBER(AVERAGE('20250815_ETF_Options_Exhibits'!R1512:R1516)),AVERAGE('20250815_ETF_Options_Exhibits'!R1512:R1516),"")</f>
        <v/>
      </c>
      <c r="S1516" s="3">
        <f>IF(ISNUMBER(AVERAGE('20250815_ETF_Options_Exhibits'!S1512:S1516)),AVERAGE('20250815_ETF_Options_Exhibits'!S1512:S1516),"")</f>
        <v/>
      </c>
      <c r="T1516" s="3">
        <f>IF(ISNUMBER(AVERAGE('20250815_ETF_Options_Exhibits'!T1512:T1516)),AVERAGE('20250815_ETF_Options_Exhibits'!T1512:T1516),"")</f>
        <v/>
      </c>
      <c r="U1516" s="3">
        <f>IF(ISNUMBER(AVERAGE('20250815_ETF_Options_Exhibits'!U1512:U1516)),AVERAGE('20250815_ETF_Options_Exhibits'!U1512:U1516),"")</f>
        <v/>
      </c>
      <c r="V1516" s="3">
        <f>IF(ISNUMBER(AVERAGE('20250815_ETF_Options_Exhibits'!V1512:V1516)),AVERAGE('20250815_ETF_Options_Exhibits'!V1512:V1516),"")</f>
        <v/>
      </c>
      <c r="W1516" s="3">
        <f>IF(ISNUMBER(AVERAGE('20250815_ETF_Options_Exhibits'!W1512:W1516)),AVERAGE('20250815_ETF_Options_Exhibits'!W1512:W1516),"")</f>
        <v/>
      </c>
      <c r="X1516" s="3">
        <f>IF(ISNUMBER(AVERAGE('20250815_ETF_Options_Exhibits'!X1512:X1516)),AVERAGE('20250815_ETF_Options_Exhibits'!X1512:X1516),"")</f>
        <v/>
      </c>
      <c r="Y1516" s="3">
        <f>IF(ISNUMBER(AVERAGE('20250815_ETF_Options_Exhibits'!Y1512:Y1516)),AVERAGE('20250815_ETF_Options_Exhibits'!Y1512:Y1516),"")</f>
        <v/>
      </c>
      <c r="Z1516" s="3">
        <f>IF(ISNUMBER(AVERAGE('20250815_ETF_Options_Exhibits'!Z1512:Z1516)),AVERAGE('20250815_ETF_Options_Exhibits'!Z1512:Z1516),"")</f>
        <v/>
      </c>
      <c r="AA1516" s="3">
        <f>IF(ISNUMBER(AVERAGE('20250815_ETF_Options_Exhibits'!AA1512:AA1516)),AVERAGE('20250815_ETF_Options_Exhibits'!AA1512:AA1516),"")</f>
        <v/>
      </c>
    </row>
    <row r="1517">
      <c r="A1517" s="1" t="n">
        <v>44203</v>
      </c>
      <c r="B1517" s="3">
        <f>IF(ISNUMBER(AVERAGE('20250815_ETF_Options_Exhibits'!B1513:B1517)),AVERAGE('20250815_ETF_Options_Exhibits'!B1513:B1517),"")</f>
        <v/>
      </c>
      <c r="C1517" s="3">
        <f>IF(ISNUMBER(AVERAGE('20250815_ETF_Options_Exhibits'!C1513:C1517)),AVERAGE('20250815_ETF_Options_Exhibits'!C1513:C1517),"")</f>
        <v/>
      </c>
      <c r="D1517" s="3">
        <f>IF(ISNUMBER(AVERAGE('20250815_ETF_Options_Exhibits'!D1513:D1517)),AVERAGE('20250815_ETF_Options_Exhibits'!D1513:D1517),"")</f>
        <v/>
      </c>
      <c r="E1517" s="3">
        <f>IF(ISNUMBER(AVERAGE('20250815_ETF_Options_Exhibits'!E1513:E1517)),AVERAGE('20250815_ETF_Options_Exhibits'!E1513:E1517),"")</f>
        <v/>
      </c>
      <c r="F1517" s="3">
        <f>IF(ISNUMBER(AVERAGE('20250815_ETF_Options_Exhibits'!F1513:F1517)),AVERAGE('20250815_ETF_Options_Exhibits'!F1513:F1517),"")</f>
        <v/>
      </c>
      <c r="G1517" s="3">
        <f>IF(ISNUMBER(AVERAGE('20250815_ETF_Options_Exhibits'!G1513:G1517)),AVERAGE('20250815_ETF_Options_Exhibits'!G1513:G1517),"")</f>
        <v/>
      </c>
      <c r="H1517" s="3">
        <f>IF(ISNUMBER(AVERAGE('20250815_ETF_Options_Exhibits'!H1513:H1517)),AVERAGE('20250815_ETF_Options_Exhibits'!H1513:H1517),"")</f>
        <v/>
      </c>
      <c r="I1517" s="3">
        <f>IF(ISNUMBER(AVERAGE('20250815_ETF_Options_Exhibits'!I1513:I1517)),AVERAGE('20250815_ETF_Options_Exhibits'!I1513:I1517),"")</f>
        <v/>
      </c>
      <c r="J1517" s="3">
        <f>IF(ISNUMBER(AVERAGE('20250815_ETF_Options_Exhibits'!J1513:J1517)),AVERAGE('20250815_ETF_Options_Exhibits'!J1513:J1517),"")</f>
        <v/>
      </c>
      <c r="K1517" s="3">
        <f>IF(ISNUMBER(AVERAGE('20250815_ETF_Options_Exhibits'!K1513:K1517)),AVERAGE('20250815_ETF_Options_Exhibits'!K1513:K1517),"")</f>
        <v/>
      </c>
      <c r="L1517" s="3">
        <f>IF(ISNUMBER(AVERAGE('20250815_ETF_Options_Exhibits'!L1513:L1517)),AVERAGE('20250815_ETF_Options_Exhibits'!L1513:L1517),"")</f>
        <v/>
      </c>
      <c r="M1517" s="3">
        <f>IF(ISNUMBER(AVERAGE('20250815_ETF_Options_Exhibits'!M1513:M1517)),AVERAGE('20250815_ETF_Options_Exhibits'!M1513:M1517),"")</f>
        <v/>
      </c>
      <c r="N1517" s="3">
        <f>IF(ISNUMBER(AVERAGE('20250815_ETF_Options_Exhibits'!N1513:N1517)),AVERAGE('20250815_ETF_Options_Exhibits'!N1513:N1517),"")</f>
        <v/>
      </c>
      <c r="O1517" s="3">
        <f>IF(ISNUMBER(AVERAGE('20250815_ETF_Options_Exhibits'!O1513:O1517)),AVERAGE('20250815_ETF_Options_Exhibits'!O1513:O1517),"")</f>
        <v/>
      </c>
      <c r="P1517" s="3">
        <f>IF(ISNUMBER(AVERAGE('20250815_ETF_Options_Exhibits'!P1513:P1517)),AVERAGE('20250815_ETF_Options_Exhibits'!P1513:P1517),"")</f>
        <v/>
      </c>
      <c r="Q1517" s="3">
        <f>IF(ISNUMBER(AVERAGE('20250815_ETF_Options_Exhibits'!Q1513:Q1517)),AVERAGE('20250815_ETF_Options_Exhibits'!Q1513:Q1517),"")</f>
        <v/>
      </c>
      <c r="R1517" s="3">
        <f>IF(ISNUMBER(AVERAGE('20250815_ETF_Options_Exhibits'!R1513:R1517)),AVERAGE('20250815_ETF_Options_Exhibits'!R1513:R1517),"")</f>
        <v/>
      </c>
      <c r="S1517" s="3">
        <f>IF(ISNUMBER(AVERAGE('20250815_ETF_Options_Exhibits'!S1513:S1517)),AVERAGE('20250815_ETF_Options_Exhibits'!S1513:S1517),"")</f>
        <v/>
      </c>
      <c r="T1517" s="3">
        <f>IF(ISNUMBER(AVERAGE('20250815_ETF_Options_Exhibits'!T1513:T1517)),AVERAGE('20250815_ETF_Options_Exhibits'!T1513:T1517),"")</f>
        <v/>
      </c>
      <c r="U1517" s="3">
        <f>IF(ISNUMBER(AVERAGE('20250815_ETF_Options_Exhibits'!U1513:U1517)),AVERAGE('20250815_ETF_Options_Exhibits'!U1513:U1517),"")</f>
        <v/>
      </c>
      <c r="V1517" s="3">
        <f>IF(ISNUMBER(AVERAGE('20250815_ETF_Options_Exhibits'!V1513:V1517)),AVERAGE('20250815_ETF_Options_Exhibits'!V1513:V1517),"")</f>
        <v/>
      </c>
      <c r="W1517" s="3">
        <f>IF(ISNUMBER(AVERAGE('20250815_ETF_Options_Exhibits'!W1513:W1517)),AVERAGE('20250815_ETF_Options_Exhibits'!W1513:W1517),"")</f>
        <v/>
      </c>
      <c r="X1517" s="3">
        <f>IF(ISNUMBER(AVERAGE('20250815_ETF_Options_Exhibits'!X1513:X1517)),AVERAGE('20250815_ETF_Options_Exhibits'!X1513:X1517),"")</f>
        <v/>
      </c>
      <c r="Y1517" s="3">
        <f>IF(ISNUMBER(AVERAGE('20250815_ETF_Options_Exhibits'!Y1513:Y1517)),AVERAGE('20250815_ETF_Options_Exhibits'!Y1513:Y1517),"")</f>
        <v/>
      </c>
      <c r="Z1517" s="3">
        <f>IF(ISNUMBER(AVERAGE('20250815_ETF_Options_Exhibits'!Z1513:Z1517)),AVERAGE('20250815_ETF_Options_Exhibits'!Z1513:Z1517),"")</f>
        <v/>
      </c>
      <c r="AA1517" s="3">
        <f>IF(ISNUMBER(AVERAGE('20250815_ETF_Options_Exhibits'!AA1513:AA1517)),AVERAGE('20250815_ETF_Options_Exhibits'!AA1513:AA1517),"")</f>
        <v/>
      </c>
    </row>
    <row r="1518">
      <c r="A1518" s="1" t="n">
        <v>44204</v>
      </c>
      <c r="B1518" s="3">
        <f>IF(ISNUMBER(AVERAGE('20250815_ETF_Options_Exhibits'!B1514:B1518)),AVERAGE('20250815_ETF_Options_Exhibits'!B1514:B1518),"")</f>
        <v/>
      </c>
      <c r="C1518" s="3">
        <f>IF(ISNUMBER(AVERAGE('20250815_ETF_Options_Exhibits'!C1514:C1518)),AVERAGE('20250815_ETF_Options_Exhibits'!C1514:C1518),"")</f>
        <v/>
      </c>
      <c r="D1518" s="3">
        <f>IF(ISNUMBER(AVERAGE('20250815_ETF_Options_Exhibits'!D1514:D1518)),AVERAGE('20250815_ETF_Options_Exhibits'!D1514:D1518),"")</f>
        <v/>
      </c>
      <c r="E1518" s="3">
        <f>IF(ISNUMBER(AVERAGE('20250815_ETF_Options_Exhibits'!E1514:E1518)),AVERAGE('20250815_ETF_Options_Exhibits'!E1514:E1518),"")</f>
        <v/>
      </c>
      <c r="F1518" s="3">
        <f>IF(ISNUMBER(AVERAGE('20250815_ETF_Options_Exhibits'!F1514:F1518)),AVERAGE('20250815_ETF_Options_Exhibits'!F1514:F1518),"")</f>
        <v/>
      </c>
      <c r="G1518" s="3">
        <f>IF(ISNUMBER(AVERAGE('20250815_ETF_Options_Exhibits'!G1514:G1518)),AVERAGE('20250815_ETF_Options_Exhibits'!G1514:G1518),"")</f>
        <v/>
      </c>
      <c r="H1518" s="3">
        <f>IF(ISNUMBER(AVERAGE('20250815_ETF_Options_Exhibits'!H1514:H1518)),AVERAGE('20250815_ETF_Options_Exhibits'!H1514:H1518),"")</f>
        <v/>
      </c>
      <c r="I1518" s="3">
        <f>IF(ISNUMBER(AVERAGE('20250815_ETF_Options_Exhibits'!I1514:I1518)),AVERAGE('20250815_ETF_Options_Exhibits'!I1514:I1518),"")</f>
        <v/>
      </c>
      <c r="J1518" s="3">
        <f>IF(ISNUMBER(AVERAGE('20250815_ETF_Options_Exhibits'!J1514:J1518)),AVERAGE('20250815_ETF_Options_Exhibits'!J1514:J1518),"")</f>
        <v/>
      </c>
      <c r="K1518" s="3">
        <f>IF(ISNUMBER(AVERAGE('20250815_ETF_Options_Exhibits'!K1514:K1518)),AVERAGE('20250815_ETF_Options_Exhibits'!K1514:K1518),"")</f>
        <v/>
      </c>
      <c r="L1518" s="3">
        <f>IF(ISNUMBER(AVERAGE('20250815_ETF_Options_Exhibits'!L1514:L1518)),AVERAGE('20250815_ETF_Options_Exhibits'!L1514:L1518),"")</f>
        <v/>
      </c>
      <c r="M1518" s="3">
        <f>IF(ISNUMBER(AVERAGE('20250815_ETF_Options_Exhibits'!M1514:M1518)),AVERAGE('20250815_ETF_Options_Exhibits'!M1514:M1518),"")</f>
        <v/>
      </c>
      <c r="N1518" s="3">
        <f>IF(ISNUMBER(AVERAGE('20250815_ETF_Options_Exhibits'!N1514:N1518)),AVERAGE('20250815_ETF_Options_Exhibits'!N1514:N1518),"")</f>
        <v/>
      </c>
      <c r="O1518" s="3">
        <f>IF(ISNUMBER(AVERAGE('20250815_ETF_Options_Exhibits'!O1514:O1518)),AVERAGE('20250815_ETF_Options_Exhibits'!O1514:O1518),"")</f>
        <v/>
      </c>
      <c r="P1518" s="3">
        <f>IF(ISNUMBER(AVERAGE('20250815_ETF_Options_Exhibits'!P1514:P1518)),AVERAGE('20250815_ETF_Options_Exhibits'!P1514:P1518),"")</f>
        <v/>
      </c>
      <c r="Q1518" s="3">
        <f>IF(ISNUMBER(AVERAGE('20250815_ETF_Options_Exhibits'!Q1514:Q1518)),AVERAGE('20250815_ETF_Options_Exhibits'!Q1514:Q1518),"")</f>
        <v/>
      </c>
      <c r="R1518" s="3">
        <f>IF(ISNUMBER(AVERAGE('20250815_ETF_Options_Exhibits'!R1514:R1518)),AVERAGE('20250815_ETF_Options_Exhibits'!R1514:R1518),"")</f>
        <v/>
      </c>
      <c r="S1518" s="3">
        <f>IF(ISNUMBER(AVERAGE('20250815_ETF_Options_Exhibits'!S1514:S1518)),AVERAGE('20250815_ETF_Options_Exhibits'!S1514:S1518),"")</f>
        <v/>
      </c>
      <c r="T1518" s="3">
        <f>IF(ISNUMBER(AVERAGE('20250815_ETF_Options_Exhibits'!T1514:T1518)),AVERAGE('20250815_ETF_Options_Exhibits'!T1514:T1518),"")</f>
        <v/>
      </c>
      <c r="U1518" s="3">
        <f>IF(ISNUMBER(AVERAGE('20250815_ETF_Options_Exhibits'!U1514:U1518)),AVERAGE('20250815_ETF_Options_Exhibits'!U1514:U1518),"")</f>
        <v/>
      </c>
      <c r="V1518" s="3">
        <f>IF(ISNUMBER(AVERAGE('20250815_ETF_Options_Exhibits'!V1514:V1518)),AVERAGE('20250815_ETF_Options_Exhibits'!V1514:V1518),"")</f>
        <v/>
      </c>
      <c r="W1518" s="3">
        <f>IF(ISNUMBER(AVERAGE('20250815_ETF_Options_Exhibits'!W1514:W1518)),AVERAGE('20250815_ETF_Options_Exhibits'!W1514:W1518),"")</f>
        <v/>
      </c>
      <c r="X1518" s="3">
        <f>IF(ISNUMBER(AVERAGE('20250815_ETF_Options_Exhibits'!X1514:X1518)),AVERAGE('20250815_ETF_Options_Exhibits'!X1514:X1518),"")</f>
        <v/>
      </c>
      <c r="Y1518" s="3">
        <f>IF(ISNUMBER(AVERAGE('20250815_ETF_Options_Exhibits'!Y1514:Y1518)),AVERAGE('20250815_ETF_Options_Exhibits'!Y1514:Y1518),"")</f>
        <v/>
      </c>
      <c r="Z1518" s="3">
        <f>IF(ISNUMBER(AVERAGE('20250815_ETF_Options_Exhibits'!Z1514:Z1518)),AVERAGE('20250815_ETF_Options_Exhibits'!Z1514:Z1518),"")</f>
        <v/>
      </c>
      <c r="AA1518" s="3">
        <f>IF(ISNUMBER(AVERAGE('20250815_ETF_Options_Exhibits'!AA1514:AA1518)),AVERAGE('20250815_ETF_Options_Exhibits'!AA1514:AA1518),"")</f>
        <v/>
      </c>
    </row>
    <row r="1519">
      <c r="A1519" s="1" t="n">
        <v>44207</v>
      </c>
      <c r="B1519" s="3">
        <f>IF(ISNUMBER(AVERAGE('20250815_ETF_Options_Exhibits'!B1515:B1519)),AVERAGE('20250815_ETF_Options_Exhibits'!B1515:B1519),"")</f>
        <v/>
      </c>
      <c r="C1519" s="3">
        <f>IF(ISNUMBER(AVERAGE('20250815_ETF_Options_Exhibits'!C1515:C1519)),AVERAGE('20250815_ETF_Options_Exhibits'!C1515:C1519),"")</f>
        <v/>
      </c>
      <c r="D1519" s="3">
        <f>IF(ISNUMBER(AVERAGE('20250815_ETF_Options_Exhibits'!D1515:D1519)),AVERAGE('20250815_ETF_Options_Exhibits'!D1515:D1519),"")</f>
        <v/>
      </c>
      <c r="E1519" s="3">
        <f>IF(ISNUMBER(AVERAGE('20250815_ETF_Options_Exhibits'!E1515:E1519)),AVERAGE('20250815_ETF_Options_Exhibits'!E1515:E1519),"")</f>
        <v/>
      </c>
      <c r="F1519" s="3">
        <f>IF(ISNUMBER(AVERAGE('20250815_ETF_Options_Exhibits'!F1515:F1519)),AVERAGE('20250815_ETF_Options_Exhibits'!F1515:F1519),"")</f>
        <v/>
      </c>
      <c r="G1519" s="3">
        <f>IF(ISNUMBER(AVERAGE('20250815_ETF_Options_Exhibits'!G1515:G1519)),AVERAGE('20250815_ETF_Options_Exhibits'!G1515:G1519),"")</f>
        <v/>
      </c>
      <c r="H1519" s="3">
        <f>IF(ISNUMBER(AVERAGE('20250815_ETF_Options_Exhibits'!H1515:H1519)),AVERAGE('20250815_ETF_Options_Exhibits'!H1515:H1519),"")</f>
        <v/>
      </c>
      <c r="I1519" s="3">
        <f>IF(ISNUMBER(AVERAGE('20250815_ETF_Options_Exhibits'!I1515:I1519)),AVERAGE('20250815_ETF_Options_Exhibits'!I1515:I1519),"")</f>
        <v/>
      </c>
      <c r="J1519" s="3">
        <f>IF(ISNUMBER(AVERAGE('20250815_ETF_Options_Exhibits'!J1515:J1519)),AVERAGE('20250815_ETF_Options_Exhibits'!J1515:J1519),"")</f>
        <v/>
      </c>
      <c r="K1519" s="3">
        <f>IF(ISNUMBER(AVERAGE('20250815_ETF_Options_Exhibits'!K1515:K1519)),AVERAGE('20250815_ETF_Options_Exhibits'!K1515:K1519),"")</f>
        <v/>
      </c>
      <c r="L1519" s="3">
        <f>IF(ISNUMBER(AVERAGE('20250815_ETF_Options_Exhibits'!L1515:L1519)),AVERAGE('20250815_ETF_Options_Exhibits'!L1515:L1519),"")</f>
        <v/>
      </c>
      <c r="M1519" s="3">
        <f>IF(ISNUMBER(AVERAGE('20250815_ETF_Options_Exhibits'!M1515:M1519)),AVERAGE('20250815_ETF_Options_Exhibits'!M1515:M1519),"")</f>
        <v/>
      </c>
      <c r="N1519" s="3">
        <f>IF(ISNUMBER(AVERAGE('20250815_ETF_Options_Exhibits'!N1515:N1519)),AVERAGE('20250815_ETF_Options_Exhibits'!N1515:N1519),"")</f>
        <v/>
      </c>
      <c r="O1519" s="3">
        <f>IF(ISNUMBER(AVERAGE('20250815_ETF_Options_Exhibits'!O1515:O1519)),AVERAGE('20250815_ETF_Options_Exhibits'!O1515:O1519),"")</f>
        <v/>
      </c>
      <c r="P1519" s="3">
        <f>IF(ISNUMBER(AVERAGE('20250815_ETF_Options_Exhibits'!P1515:P1519)),AVERAGE('20250815_ETF_Options_Exhibits'!P1515:P1519),"")</f>
        <v/>
      </c>
      <c r="Q1519" s="3">
        <f>IF(ISNUMBER(AVERAGE('20250815_ETF_Options_Exhibits'!Q1515:Q1519)),AVERAGE('20250815_ETF_Options_Exhibits'!Q1515:Q1519),"")</f>
        <v/>
      </c>
      <c r="R1519" s="3">
        <f>IF(ISNUMBER(AVERAGE('20250815_ETF_Options_Exhibits'!R1515:R1519)),AVERAGE('20250815_ETF_Options_Exhibits'!R1515:R1519),"")</f>
        <v/>
      </c>
      <c r="S1519" s="3">
        <f>IF(ISNUMBER(AVERAGE('20250815_ETF_Options_Exhibits'!S1515:S1519)),AVERAGE('20250815_ETF_Options_Exhibits'!S1515:S1519),"")</f>
        <v/>
      </c>
      <c r="T1519" s="3">
        <f>IF(ISNUMBER(AVERAGE('20250815_ETF_Options_Exhibits'!T1515:T1519)),AVERAGE('20250815_ETF_Options_Exhibits'!T1515:T1519),"")</f>
        <v/>
      </c>
      <c r="U1519" s="3">
        <f>IF(ISNUMBER(AVERAGE('20250815_ETF_Options_Exhibits'!U1515:U1519)),AVERAGE('20250815_ETF_Options_Exhibits'!U1515:U1519),"")</f>
        <v/>
      </c>
      <c r="V1519" s="3">
        <f>IF(ISNUMBER(AVERAGE('20250815_ETF_Options_Exhibits'!V1515:V1519)),AVERAGE('20250815_ETF_Options_Exhibits'!V1515:V1519),"")</f>
        <v/>
      </c>
      <c r="W1519" s="3">
        <f>IF(ISNUMBER(AVERAGE('20250815_ETF_Options_Exhibits'!W1515:W1519)),AVERAGE('20250815_ETF_Options_Exhibits'!W1515:W1519),"")</f>
        <v/>
      </c>
      <c r="X1519" s="3">
        <f>IF(ISNUMBER(AVERAGE('20250815_ETF_Options_Exhibits'!X1515:X1519)),AVERAGE('20250815_ETF_Options_Exhibits'!X1515:X1519),"")</f>
        <v/>
      </c>
      <c r="Y1519" s="3">
        <f>IF(ISNUMBER(AVERAGE('20250815_ETF_Options_Exhibits'!Y1515:Y1519)),AVERAGE('20250815_ETF_Options_Exhibits'!Y1515:Y1519),"")</f>
        <v/>
      </c>
      <c r="Z1519" s="3">
        <f>IF(ISNUMBER(AVERAGE('20250815_ETF_Options_Exhibits'!Z1515:Z1519)),AVERAGE('20250815_ETF_Options_Exhibits'!Z1515:Z1519),"")</f>
        <v/>
      </c>
      <c r="AA1519" s="3">
        <f>IF(ISNUMBER(AVERAGE('20250815_ETF_Options_Exhibits'!AA1515:AA1519)),AVERAGE('20250815_ETF_Options_Exhibits'!AA1515:AA1519),"")</f>
        <v/>
      </c>
    </row>
    <row r="1520">
      <c r="A1520" s="1" t="n">
        <v>44208</v>
      </c>
      <c r="B1520" s="3">
        <f>IF(ISNUMBER(AVERAGE('20250815_ETF_Options_Exhibits'!B1516:B1520)),AVERAGE('20250815_ETF_Options_Exhibits'!B1516:B1520),"")</f>
        <v/>
      </c>
      <c r="C1520" s="3">
        <f>IF(ISNUMBER(AVERAGE('20250815_ETF_Options_Exhibits'!C1516:C1520)),AVERAGE('20250815_ETF_Options_Exhibits'!C1516:C1520),"")</f>
        <v/>
      </c>
      <c r="D1520" s="3">
        <f>IF(ISNUMBER(AVERAGE('20250815_ETF_Options_Exhibits'!D1516:D1520)),AVERAGE('20250815_ETF_Options_Exhibits'!D1516:D1520),"")</f>
        <v/>
      </c>
      <c r="E1520" s="3">
        <f>IF(ISNUMBER(AVERAGE('20250815_ETF_Options_Exhibits'!E1516:E1520)),AVERAGE('20250815_ETF_Options_Exhibits'!E1516:E1520),"")</f>
        <v/>
      </c>
      <c r="F1520" s="3">
        <f>IF(ISNUMBER(AVERAGE('20250815_ETF_Options_Exhibits'!F1516:F1520)),AVERAGE('20250815_ETF_Options_Exhibits'!F1516:F1520),"")</f>
        <v/>
      </c>
      <c r="G1520" s="3">
        <f>IF(ISNUMBER(AVERAGE('20250815_ETF_Options_Exhibits'!G1516:G1520)),AVERAGE('20250815_ETF_Options_Exhibits'!G1516:G1520),"")</f>
        <v/>
      </c>
      <c r="H1520" s="3">
        <f>IF(ISNUMBER(AVERAGE('20250815_ETF_Options_Exhibits'!H1516:H1520)),AVERAGE('20250815_ETF_Options_Exhibits'!H1516:H1520),"")</f>
        <v/>
      </c>
      <c r="I1520" s="3">
        <f>IF(ISNUMBER(AVERAGE('20250815_ETF_Options_Exhibits'!I1516:I1520)),AVERAGE('20250815_ETF_Options_Exhibits'!I1516:I1520),"")</f>
        <v/>
      </c>
      <c r="J1520" s="3">
        <f>IF(ISNUMBER(AVERAGE('20250815_ETF_Options_Exhibits'!J1516:J1520)),AVERAGE('20250815_ETF_Options_Exhibits'!J1516:J1520),"")</f>
        <v/>
      </c>
      <c r="K1520" s="3">
        <f>IF(ISNUMBER(AVERAGE('20250815_ETF_Options_Exhibits'!K1516:K1520)),AVERAGE('20250815_ETF_Options_Exhibits'!K1516:K1520),"")</f>
        <v/>
      </c>
      <c r="L1520" s="3">
        <f>IF(ISNUMBER(AVERAGE('20250815_ETF_Options_Exhibits'!L1516:L1520)),AVERAGE('20250815_ETF_Options_Exhibits'!L1516:L1520),"")</f>
        <v/>
      </c>
      <c r="M1520" s="3">
        <f>IF(ISNUMBER(AVERAGE('20250815_ETF_Options_Exhibits'!M1516:M1520)),AVERAGE('20250815_ETF_Options_Exhibits'!M1516:M1520),"")</f>
        <v/>
      </c>
      <c r="N1520" s="3">
        <f>IF(ISNUMBER(AVERAGE('20250815_ETF_Options_Exhibits'!N1516:N1520)),AVERAGE('20250815_ETF_Options_Exhibits'!N1516:N1520),"")</f>
        <v/>
      </c>
      <c r="O1520" s="3">
        <f>IF(ISNUMBER(AVERAGE('20250815_ETF_Options_Exhibits'!O1516:O1520)),AVERAGE('20250815_ETF_Options_Exhibits'!O1516:O1520),"")</f>
        <v/>
      </c>
      <c r="P1520" s="3">
        <f>IF(ISNUMBER(AVERAGE('20250815_ETF_Options_Exhibits'!P1516:P1520)),AVERAGE('20250815_ETF_Options_Exhibits'!P1516:P1520),"")</f>
        <v/>
      </c>
      <c r="Q1520" s="3">
        <f>IF(ISNUMBER(AVERAGE('20250815_ETF_Options_Exhibits'!Q1516:Q1520)),AVERAGE('20250815_ETF_Options_Exhibits'!Q1516:Q1520),"")</f>
        <v/>
      </c>
      <c r="R1520" s="3">
        <f>IF(ISNUMBER(AVERAGE('20250815_ETF_Options_Exhibits'!R1516:R1520)),AVERAGE('20250815_ETF_Options_Exhibits'!R1516:R1520),"")</f>
        <v/>
      </c>
      <c r="S1520" s="3">
        <f>IF(ISNUMBER(AVERAGE('20250815_ETF_Options_Exhibits'!S1516:S1520)),AVERAGE('20250815_ETF_Options_Exhibits'!S1516:S1520),"")</f>
        <v/>
      </c>
      <c r="T1520" s="3">
        <f>IF(ISNUMBER(AVERAGE('20250815_ETF_Options_Exhibits'!T1516:T1520)),AVERAGE('20250815_ETF_Options_Exhibits'!T1516:T1520),"")</f>
        <v/>
      </c>
      <c r="U1520" s="3">
        <f>IF(ISNUMBER(AVERAGE('20250815_ETF_Options_Exhibits'!U1516:U1520)),AVERAGE('20250815_ETF_Options_Exhibits'!U1516:U1520),"")</f>
        <v/>
      </c>
      <c r="V1520" s="3">
        <f>IF(ISNUMBER(AVERAGE('20250815_ETF_Options_Exhibits'!V1516:V1520)),AVERAGE('20250815_ETF_Options_Exhibits'!V1516:V1520),"")</f>
        <v/>
      </c>
      <c r="W1520" s="3">
        <f>IF(ISNUMBER(AVERAGE('20250815_ETF_Options_Exhibits'!W1516:W1520)),AVERAGE('20250815_ETF_Options_Exhibits'!W1516:W1520),"")</f>
        <v/>
      </c>
      <c r="X1520" s="3">
        <f>IF(ISNUMBER(AVERAGE('20250815_ETF_Options_Exhibits'!X1516:X1520)),AVERAGE('20250815_ETF_Options_Exhibits'!X1516:X1520),"")</f>
        <v/>
      </c>
      <c r="Y1520" s="3">
        <f>IF(ISNUMBER(AVERAGE('20250815_ETF_Options_Exhibits'!Y1516:Y1520)),AVERAGE('20250815_ETF_Options_Exhibits'!Y1516:Y1520),"")</f>
        <v/>
      </c>
      <c r="Z1520" s="3">
        <f>IF(ISNUMBER(AVERAGE('20250815_ETF_Options_Exhibits'!Z1516:Z1520)),AVERAGE('20250815_ETF_Options_Exhibits'!Z1516:Z1520),"")</f>
        <v/>
      </c>
      <c r="AA1520" s="3">
        <f>IF(ISNUMBER(AVERAGE('20250815_ETF_Options_Exhibits'!AA1516:AA1520)),AVERAGE('20250815_ETF_Options_Exhibits'!AA1516:AA1520),"")</f>
        <v/>
      </c>
    </row>
    <row r="1521">
      <c r="A1521" s="1" t="n">
        <v>44209</v>
      </c>
      <c r="B1521" s="3">
        <f>IF(ISNUMBER(AVERAGE('20250815_ETF_Options_Exhibits'!B1517:B1521)),AVERAGE('20250815_ETF_Options_Exhibits'!B1517:B1521),"")</f>
        <v/>
      </c>
      <c r="C1521" s="3">
        <f>IF(ISNUMBER(AVERAGE('20250815_ETF_Options_Exhibits'!C1517:C1521)),AVERAGE('20250815_ETF_Options_Exhibits'!C1517:C1521),"")</f>
        <v/>
      </c>
      <c r="D1521" s="3">
        <f>IF(ISNUMBER(AVERAGE('20250815_ETF_Options_Exhibits'!D1517:D1521)),AVERAGE('20250815_ETF_Options_Exhibits'!D1517:D1521),"")</f>
        <v/>
      </c>
      <c r="E1521" s="3">
        <f>IF(ISNUMBER(AVERAGE('20250815_ETF_Options_Exhibits'!E1517:E1521)),AVERAGE('20250815_ETF_Options_Exhibits'!E1517:E1521),"")</f>
        <v/>
      </c>
      <c r="F1521" s="3">
        <f>IF(ISNUMBER(AVERAGE('20250815_ETF_Options_Exhibits'!F1517:F1521)),AVERAGE('20250815_ETF_Options_Exhibits'!F1517:F1521),"")</f>
        <v/>
      </c>
      <c r="G1521" s="3">
        <f>IF(ISNUMBER(AVERAGE('20250815_ETF_Options_Exhibits'!G1517:G1521)),AVERAGE('20250815_ETF_Options_Exhibits'!G1517:G1521),"")</f>
        <v/>
      </c>
      <c r="H1521" s="3">
        <f>IF(ISNUMBER(AVERAGE('20250815_ETF_Options_Exhibits'!H1517:H1521)),AVERAGE('20250815_ETF_Options_Exhibits'!H1517:H1521),"")</f>
        <v/>
      </c>
      <c r="I1521" s="3">
        <f>IF(ISNUMBER(AVERAGE('20250815_ETF_Options_Exhibits'!I1517:I1521)),AVERAGE('20250815_ETF_Options_Exhibits'!I1517:I1521),"")</f>
        <v/>
      </c>
      <c r="J1521" s="3">
        <f>IF(ISNUMBER(AVERAGE('20250815_ETF_Options_Exhibits'!J1517:J1521)),AVERAGE('20250815_ETF_Options_Exhibits'!J1517:J1521),"")</f>
        <v/>
      </c>
      <c r="K1521" s="3">
        <f>IF(ISNUMBER(AVERAGE('20250815_ETF_Options_Exhibits'!K1517:K1521)),AVERAGE('20250815_ETF_Options_Exhibits'!K1517:K1521),"")</f>
        <v/>
      </c>
      <c r="L1521" s="3">
        <f>IF(ISNUMBER(AVERAGE('20250815_ETF_Options_Exhibits'!L1517:L1521)),AVERAGE('20250815_ETF_Options_Exhibits'!L1517:L1521),"")</f>
        <v/>
      </c>
      <c r="M1521" s="3">
        <f>IF(ISNUMBER(AVERAGE('20250815_ETF_Options_Exhibits'!M1517:M1521)),AVERAGE('20250815_ETF_Options_Exhibits'!M1517:M1521),"")</f>
        <v/>
      </c>
      <c r="N1521" s="3">
        <f>IF(ISNUMBER(AVERAGE('20250815_ETF_Options_Exhibits'!N1517:N1521)),AVERAGE('20250815_ETF_Options_Exhibits'!N1517:N1521),"")</f>
        <v/>
      </c>
      <c r="O1521" s="3">
        <f>IF(ISNUMBER(AVERAGE('20250815_ETF_Options_Exhibits'!O1517:O1521)),AVERAGE('20250815_ETF_Options_Exhibits'!O1517:O1521),"")</f>
        <v/>
      </c>
      <c r="P1521" s="3">
        <f>IF(ISNUMBER(AVERAGE('20250815_ETF_Options_Exhibits'!P1517:P1521)),AVERAGE('20250815_ETF_Options_Exhibits'!P1517:P1521),"")</f>
        <v/>
      </c>
      <c r="Q1521" s="3">
        <f>IF(ISNUMBER(AVERAGE('20250815_ETF_Options_Exhibits'!Q1517:Q1521)),AVERAGE('20250815_ETF_Options_Exhibits'!Q1517:Q1521),"")</f>
        <v/>
      </c>
      <c r="R1521" s="3">
        <f>IF(ISNUMBER(AVERAGE('20250815_ETF_Options_Exhibits'!R1517:R1521)),AVERAGE('20250815_ETF_Options_Exhibits'!R1517:R1521),"")</f>
        <v/>
      </c>
      <c r="S1521" s="3">
        <f>IF(ISNUMBER(AVERAGE('20250815_ETF_Options_Exhibits'!S1517:S1521)),AVERAGE('20250815_ETF_Options_Exhibits'!S1517:S1521),"")</f>
        <v/>
      </c>
      <c r="T1521" s="3">
        <f>IF(ISNUMBER(AVERAGE('20250815_ETF_Options_Exhibits'!T1517:T1521)),AVERAGE('20250815_ETF_Options_Exhibits'!T1517:T1521),"")</f>
        <v/>
      </c>
      <c r="U1521" s="3">
        <f>IF(ISNUMBER(AVERAGE('20250815_ETF_Options_Exhibits'!U1517:U1521)),AVERAGE('20250815_ETF_Options_Exhibits'!U1517:U1521),"")</f>
        <v/>
      </c>
      <c r="V1521" s="3">
        <f>IF(ISNUMBER(AVERAGE('20250815_ETF_Options_Exhibits'!V1517:V1521)),AVERAGE('20250815_ETF_Options_Exhibits'!V1517:V1521),"")</f>
        <v/>
      </c>
      <c r="W1521" s="3">
        <f>IF(ISNUMBER(AVERAGE('20250815_ETF_Options_Exhibits'!W1517:W1521)),AVERAGE('20250815_ETF_Options_Exhibits'!W1517:W1521),"")</f>
        <v/>
      </c>
      <c r="X1521" s="3">
        <f>IF(ISNUMBER(AVERAGE('20250815_ETF_Options_Exhibits'!X1517:X1521)),AVERAGE('20250815_ETF_Options_Exhibits'!X1517:X1521),"")</f>
        <v/>
      </c>
      <c r="Y1521" s="3">
        <f>IF(ISNUMBER(AVERAGE('20250815_ETF_Options_Exhibits'!Y1517:Y1521)),AVERAGE('20250815_ETF_Options_Exhibits'!Y1517:Y1521),"")</f>
        <v/>
      </c>
      <c r="Z1521" s="3">
        <f>IF(ISNUMBER(AVERAGE('20250815_ETF_Options_Exhibits'!Z1517:Z1521)),AVERAGE('20250815_ETF_Options_Exhibits'!Z1517:Z1521),"")</f>
        <v/>
      </c>
      <c r="AA1521" s="3">
        <f>IF(ISNUMBER(AVERAGE('20250815_ETF_Options_Exhibits'!AA1517:AA1521)),AVERAGE('20250815_ETF_Options_Exhibits'!AA1517:AA1521),"")</f>
        <v/>
      </c>
    </row>
    <row r="1522">
      <c r="A1522" s="1" t="n">
        <v>44210</v>
      </c>
      <c r="B1522" s="3">
        <f>IF(ISNUMBER(AVERAGE('20250815_ETF_Options_Exhibits'!B1518:B1522)),AVERAGE('20250815_ETF_Options_Exhibits'!B1518:B1522),"")</f>
        <v/>
      </c>
      <c r="C1522" s="3">
        <f>IF(ISNUMBER(AVERAGE('20250815_ETF_Options_Exhibits'!C1518:C1522)),AVERAGE('20250815_ETF_Options_Exhibits'!C1518:C1522),"")</f>
        <v/>
      </c>
      <c r="D1522" s="3">
        <f>IF(ISNUMBER(AVERAGE('20250815_ETF_Options_Exhibits'!D1518:D1522)),AVERAGE('20250815_ETF_Options_Exhibits'!D1518:D1522),"")</f>
        <v/>
      </c>
      <c r="E1522" s="3">
        <f>IF(ISNUMBER(AVERAGE('20250815_ETF_Options_Exhibits'!E1518:E1522)),AVERAGE('20250815_ETF_Options_Exhibits'!E1518:E1522),"")</f>
        <v/>
      </c>
      <c r="F1522" s="3">
        <f>IF(ISNUMBER(AVERAGE('20250815_ETF_Options_Exhibits'!F1518:F1522)),AVERAGE('20250815_ETF_Options_Exhibits'!F1518:F1522),"")</f>
        <v/>
      </c>
      <c r="G1522" s="3">
        <f>IF(ISNUMBER(AVERAGE('20250815_ETF_Options_Exhibits'!G1518:G1522)),AVERAGE('20250815_ETF_Options_Exhibits'!G1518:G1522),"")</f>
        <v/>
      </c>
      <c r="H1522" s="3">
        <f>IF(ISNUMBER(AVERAGE('20250815_ETF_Options_Exhibits'!H1518:H1522)),AVERAGE('20250815_ETF_Options_Exhibits'!H1518:H1522),"")</f>
        <v/>
      </c>
      <c r="I1522" s="3">
        <f>IF(ISNUMBER(AVERAGE('20250815_ETF_Options_Exhibits'!I1518:I1522)),AVERAGE('20250815_ETF_Options_Exhibits'!I1518:I1522),"")</f>
        <v/>
      </c>
      <c r="J1522" s="3">
        <f>IF(ISNUMBER(AVERAGE('20250815_ETF_Options_Exhibits'!J1518:J1522)),AVERAGE('20250815_ETF_Options_Exhibits'!J1518:J1522),"")</f>
        <v/>
      </c>
      <c r="K1522" s="3">
        <f>IF(ISNUMBER(AVERAGE('20250815_ETF_Options_Exhibits'!K1518:K1522)),AVERAGE('20250815_ETF_Options_Exhibits'!K1518:K1522),"")</f>
        <v/>
      </c>
      <c r="L1522" s="3">
        <f>IF(ISNUMBER(AVERAGE('20250815_ETF_Options_Exhibits'!L1518:L1522)),AVERAGE('20250815_ETF_Options_Exhibits'!L1518:L1522),"")</f>
        <v/>
      </c>
      <c r="M1522" s="3">
        <f>IF(ISNUMBER(AVERAGE('20250815_ETF_Options_Exhibits'!M1518:M1522)),AVERAGE('20250815_ETF_Options_Exhibits'!M1518:M1522),"")</f>
        <v/>
      </c>
      <c r="N1522" s="3">
        <f>IF(ISNUMBER(AVERAGE('20250815_ETF_Options_Exhibits'!N1518:N1522)),AVERAGE('20250815_ETF_Options_Exhibits'!N1518:N1522),"")</f>
        <v/>
      </c>
      <c r="O1522" s="3">
        <f>IF(ISNUMBER(AVERAGE('20250815_ETF_Options_Exhibits'!O1518:O1522)),AVERAGE('20250815_ETF_Options_Exhibits'!O1518:O1522),"")</f>
        <v/>
      </c>
      <c r="P1522" s="3">
        <f>IF(ISNUMBER(AVERAGE('20250815_ETF_Options_Exhibits'!P1518:P1522)),AVERAGE('20250815_ETF_Options_Exhibits'!P1518:P1522),"")</f>
        <v/>
      </c>
      <c r="Q1522" s="3">
        <f>IF(ISNUMBER(AVERAGE('20250815_ETF_Options_Exhibits'!Q1518:Q1522)),AVERAGE('20250815_ETF_Options_Exhibits'!Q1518:Q1522),"")</f>
        <v/>
      </c>
      <c r="R1522" s="3">
        <f>IF(ISNUMBER(AVERAGE('20250815_ETF_Options_Exhibits'!R1518:R1522)),AVERAGE('20250815_ETF_Options_Exhibits'!R1518:R1522),"")</f>
        <v/>
      </c>
      <c r="S1522" s="3">
        <f>IF(ISNUMBER(AVERAGE('20250815_ETF_Options_Exhibits'!S1518:S1522)),AVERAGE('20250815_ETF_Options_Exhibits'!S1518:S1522),"")</f>
        <v/>
      </c>
      <c r="T1522" s="3">
        <f>IF(ISNUMBER(AVERAGE('20250815_ETF_Options_Exhibits'!T1518:T1522)),AVERAGE('20250815_ETF_Options_Exhibits'!T1518:T1522),"")</f>
        <v/>
      </c>
      <c r="U1522" s="3">
        <f>IF(ISNUMBER(AVERAGE('20250815_ETF_Options_Exhibits'!U1518:U1522)),AVERAGE('20250815_ETF_Options_Exhibits'!U1518:U1522),"")</f>
        <v/>
      </c>
      <c r="V1522" s="3">
        <f>IF(ISNUMBER(AVERAGE('20250815_ETF_Options_Exhibits'!V1518:V1522)),AVERAGE('20250815_ETF_Options_Exhibits'!V1518:V1522),"")</f>
        <v/>
      </c>
      <c r="W1522" s="3">
        <f>IF(ISNUMBER(AVERAGE('20250815_ETF_Options_Exhibits'!W1518:W1522)),AVERAGE('20250815_ETF_Options_Exhibits'!W1518:W1522),"")</f>
        <v/>
      </c>
      <c r="X1522" s="3">
        <f>IF(ISNUMBER(AVERAGE('20250815_ETF_Options_Exhibits'!X1518:X1522)),AVERAGE('20250815_ETF_Options_Exhibits'!X1518:X1522),"")</f>
        <v/>
      </c>
      <c r="Y1522" s="3">
        <f>IF(ISNUMBER(AVERAGE('20250815_ETF_Options_Exhibits'!Y1518:Y1522)),AVERAGE('20250815_ETF_Options_Exhibits'!Y1518:Y1522),"")</f>
        <v/>
      </c>
      <c r="Z1522" s="3">
        <f>IF(ISNUMBER(AVERAGE('20250815_ETF_Options_Exhibits'!Z1518:Z1522)),AVERAGE('20250815_ETF_Options_Exhibits'!Z1518:Z1522),"")</f>
        <v/>
      </c>
      <c r="AA1522" s="3">
        <f>IF(ISNUMBER(AVERAGE('20250815_ETF_Options_Exhibits'!AA1518:AA1522)),AVERAGE('20250815_ETF_Options_Exhibits'!AA1518:AA1522),"")</f>
        <v/>
      </c>
    </row>
    <row r="1523">
      <c r="A1523" s="1" t="n">
        <v>44211</v>
      </c>
      <c r="B1523" s="3">
        <f>IF(ISNUMBER(AVERAGE('20250815_ETF_Options_Exhibits'!B1519:B1523)),AVERAGE('20250815_ETF_Options_Exhibits'!B1519:B1523),"")</f>
        <v/>
      </c>
      <c r="C1523" s="3">
        <f>IF(ISNUMBER(AVERAGE('20250815_ETF_Options_Exhibits'!C1519:C1523)),AVERAGE('20250815_ETF_Options_Exhibits'!C1519:C1523),"")</f>
        <v/>
      </c>
      <c r="D1523" s="3">
        <f>IF(ISNUMBER(AVERAGE('20250815_ETF_Options_Exhibits'!D1519:D1523)),AVERAGE('20250815_ETF_Options_Exhibits'!D1519:D1523),"")</f>
        <v/>
      </c>
      <c r="E1523" s="3">
        <f>IF(ISNUMBER(AVERAGE('20250815_ETF_Options_Exhibits'!E1519:E1523)),AVERAGE('20250815_ETF_Options_Exhibits'!E1519:E1523),"")</f>
        <v/>
      </c>
      <c r="F1523" s="3">
        <f>IF(ISNUMBER(AVERAGE('20250815_ETF_Options_Exhibits'!F1519:F1523)),AVERAGE('20250815_ETF_Options_Exhibits'!F1519:F1523),"")</f>
        <v/>
      </c>
      <c r="G1523" s="3">
        <f>IF(ISNUMBER(AVERAGE('20250815_ETF_Options_Exhibits'!G1519:G1523)),AVERAGE('20250815_ETF_Options_Exhibits'!G1519:G1523),"")</f>
        <v/>
      </c>
      <c r="H1523" s="3">
        <f>IF(ISNUMBER(AVERAGE('20250815_ETF_Options_Exhibits'!H1519:H1523)),AVERAGE('20250815_ETF_Options_Exhibits'!H1519:H1523),"")</f>
        <v/>
      </c>
      <c r="I1523" s="3">
        <f>IF(ISNUMBER(AVERAGE('20250815_ETF_Options_Exhibits'!I1519:I1523)),AVERAGE('20250815_ETF_Options_Exhibits'!I1519:I1523),"")</f>
        <v/>
      </c>
      <c r="J1523" s="3">
        <f>IF(ISNUMBER(AVERAGE('20250815_ETF_Options_Exhibits'!J1519:J1523)),AVERAGE('20250815_ETF_Options_Exhibits'!J1519:J1523),"")</f>
        <v/>
      </c>
      <c r="K1523" s="3">
        <f>IF(ISNUMBER(AVERAGE('20250815_ETF_Options_Exhibits'!K1519:K1523)),AVERAGE('20250815_ETF_Options_Exhibits'!K1519:K1523),"")</f>
        <v/>
      </c>
      <c r="L1523" s="3">
        <f>IF(ISNUMBER(AVERAGE('20250815_ETF_Options_Exhibits'!L1519:L1523)),AVERAGE('20250815_ETF_Options_Exhibits'!L1519:L1523),"")</f>
        <v/>
      </c>
      <c r="M1523" s="3">
        <f>IF(ISNUMBER(AVERAGE('20250815_ETF_Options_Exhibits'!M1519:M1523)),AVERAGE('20250815_ETF_Options_Exhibits'!M1519:M1523),"")</f>
        <v/>
      </c>
      <c r="N1523" s="3">
        <f>IF(ISNUMBER(AVERAGE('20250815_ETF_Options_Exhibits'!N1519:N1523)),AVERAGE('20250815_ETF_Options_Exhibits'!N1519:N1523),"")</f>
        <v/>
      </c>
      <c r="O1523" s="3">
        <f>IF(ISNUMBER(AVERAGE('20250815_ETF_Options_Exhibits'!O1519:O1523)),AVERAGE('20250815_ETF_Options_Exhibits'!O1519:O1523),"")</f>
        <v/>
      </c>
      <c r="P1523" s="3">
        <f>IF(ISNUMBER(AVERAGE('20250815_ETF_Options_Exhibits'!P1519:P1523)),AVERAGE('20250815_ETF_Options_Exhibits'!P1519:P1523),"")</f>
        <v/>
      </c>
      <c r="Q1523" s="3">
        <f>IF(ISNUMBER(AVERAGE('20250815_ETF_Options_Exhibits'!Q1519:Q1523)),AVERAGE('20250815_ETF_Options_Exhibits'!Q1519:Q1523),"")</f>
        <v/>
      </c>
      <c r="R1523" s="3">
        <f>IF(ISNUMBER(AVERAGE('20250815_ETF_Options_Exhibits'!R1519:R1523)),AVERAGE('20250815_ETF_Options_Exhibits'!R1519:R1523),"")</f>
        <v/>
      </c>
      <c r="S1523" s="3">
        <f>IF(ISNUMBER(AVERAGE('20250815_ETF_Options_Exhibits'!S1519:S1523)),AVERAGE('20250815_ETF_Options_Exhibits'!S1519:S1523),"")</f>
        <v/>
      </c>
      <c r="T1523" s="3">
        <f>IF(ISNUMBER(AVERAGE('20250815_ETF_Options_Exhibits'!T1519:T1523)),AVERAGE('20250815_ETF_Options_Exhibits'!T1519:T1523),"")</f>
        <v/>
      </c>
      <c r="U1523" s="3">
        <f>IF(ISNUMBER(AVERAGE('20250815_ETF_Options_Exhibits'!U1519:U1523)),AVERAGE('20250815_ETF_Options_Exhibits'!U1519:U1523),"")</f>
        <v/>
      </c>
      <c r="V1523" s="3">
        <f>IF(ISNUMBER(AVERAGE('20250815_ETF_Options_Exhibits'!V1519:V1523)),AVERAGE('20250815_ETF_Options_Exhibits'!V1519:V1523),"")</f>
        <v/>
      </c>
      <c r="W1523" s="3">
        <f>IF(ISNUMBER(AVERAGE('20250815_ETF_Options_Exhibits'!W1519:W1523)),AVERAGE('20250815_ETF_Options_Exhibits'!W1519:W1523),"")</f>
        <v/>
      </c>
      <c r="X1523" s="3">
        <f>IF(ISNUMBER(AVERAGE('20250815_ETF_Options_Exhibits'!X1519:X1523)),AVERAGE('20250815_ETF_Options_Exhibits'!X1519:X1523),"")</f>
        <v/>
      </c>
      <c r="Y1523" s="3">
        <f>IF(ISNUMBER(AVERAGE('20250815_ETF_Options_Exhibits'!Y1519:Y1523)),AVERAGE('20250815_ETF_Options_Exhibits'!Y1519:Y1523),"")</f>
        <v/>
      </c>
      <c r="Z1523" s="3">
        <f>IF(ISNUMBER(AVERAGE('20250815_ETF_Options_Exhibits'!Z1519:Z1523)),AVERAGE('20250815_ETF_Options_Exhibits'!Z1519:Z1523),"")</f>
        <v/>
      </c>
      <c r="AA1523" s="3">
        <f>IF(ISNUMBER(AVERAGE('20250815_ETF_Options_Exhibits'!AA1519:AA1523)),AVERAGE('20250815_ETF_Options_Exhibits'!AA1519:AA1523),"")</f>
        <v/>
      </c>
    </row>
    <row r="1524">
      <c r="A1524" s="1" t="n">
        <v>44215</v>
      </c>
      <c r="B1524" s="3">
        <f>IF(ISNUMBER(AVERAGE('20250815_ETF_Options_Exhibits'!B1520:B1524)),AVERAGE('20250815_ETF_Options_Exhibits'!B1520:B1524),"")</f>
        <v/>
      </c>
      <c r="C1524" s="3">
        <f>IF(ISNUMBER(AVERAGE('20250815_ETF_Options_Exhibits'!C1520:C1524)),AVERAGE('20250815_ETF_Options_Exhibits'!C1520:C1524),"")</f>
        <v/>
      </c>
      <c r="D1524" s="3">
        <f>IF(ISNUMBER(AVERAGE('20250815_ETF_Options_Exhibits'!D1520:D1524)),AVERAGE('20250815_ETF_Options_Exhibits'!D1520:D1524),"")</f>
        <v/>
      </c>
      <c r="E1524" s="3">
        <f>IF(ISNUMBER(AVERAGE('20250815_ETF_Options_Exhibits'!E1520:E1524)),AVERAGE('20250815_ETF_Options_Exhibits'!E1520:E1524),"")</f>
        <v/>
      </c>
      <c r="F1524" s="3">
        <f>IF(ISNUMBER(AVERAGE('20250815_ETF_Options_Exhibits'!F1520:F1524)),AVERAGE('20250815_ETF_Options_Exhibits'!F1520:F1524),"")</f>
        <v/>
      </c>
      <c r="G1524" s="3">
        <f>IF(ISNUMBER(AVERAGE('20250815_ETF_Options_Exhibits'!G1520:G1524)),AVERAGE('20250815_ETF_Options_Exhibits'!G1520:G1524),"")</f>
        <v/>
      </c>
      <c r="H1524" s="3">
        <f>IF(ISNUMBER(AVERAGE('20250815_ETF_Options_Exhibits'!H1520:H1524)),AVERAGE('20250815_ETF_Options_Exhibits'!H1520:H1524),"")</f>
        <v/>
      </c>
      <c r="I1524" s="3">
        <f>IF(ISNUMBER(AVERAGE('20250815_ETF_Options_Exhibits'!I1520:I1524)),AVERAGE('20250815_ETF_Options_Exhibits'!I1520:I1524),"")</f>
        <v/>
      </c>
      <c r="J1524" s="3">
        <f>IF(ISNUMBER(AVERAGE('20250815_ETF_Options_Exhibits'!J1520:J1524)),AVERAGE('20250815_ETF_Options_Exhibits'!J1520:J1524),"")</f>
        <v/>
      </c>
      <c r="K1524" s="3">
        <f>IF(ISNUMBER(AVERAGE('20250815_ETF_Options_Exhibits'!K1520:K1524)),AVERAGE('20250815_ETF_Options_Exhibits'!K1520:K1524),"")</f>
        <v/>
      </c>
      <c r="L1524" s="3">
        <f>IF(ISNUMBER(AVERAGE('20250815_ETF_Options_Exhibits'!L1520:L1524)),AVERAGE('20250815_ETF_Options_Exhibits'!L1520:L1524),"")</f>
        <v/>
      </c>
      <c r="M1524" s="3">
        <f>IF(ISNUMBER(AVERAGE('20250815_ETF_Options_Exhibits'!M1520:M1524)),AVERAGE('20250815_ETF_Options_Exhibits'!M1520:M1524),"")</f>
        <v/>
      </c>
      <c r="N1524" s="3">
        <f>IF(ISNUMBER(AVERAGE('20250815_ETF_Options_Exhibits'!N1520:N1524)),AVERAGE('20250815_ETF_Options_Exhibits'!N1520:N1524),"")</f>
        <v/>
      </c>
      <c r="O1524" s="3">
        <f>IF(ISNUMBER(AVERAGE('20250815_ETF_Options_Exhibits'!O1520:O1524)),AVERAGE('20250815_ETF_Options_Exhibits'!O1520:O1524),"")</f>
        <v/>
      </c>
      <c r="P1524" s="3">
        <f>IF(ISNUMBER(AVERAGE('20250815_ETF_Options_Exhibits'!P1520:P1524)),AVERAGE('20250815_ETF_Options_Exhibits'!P1520:P1524),"")</f>
        <v/>
      </c>
      <c r="Q1524" s="3">
        <f>IF(ISNUMBER(AVERAGE('20250815_ETF_Options_Exhibits'!Q1520:Q1524)),AVERAGE('20250815_ETF_Options_Exhibits'!Q1520:Q1524),"")</f>
        <v/>
      </c>
      <c r="R1524" s="3">
        <f>IF(ISNUMBER(AVERAGE('20250815_ETF_Options_Exhibits'!R1520:R1524)),AVERAGE('20250815_ETF_Options_Exhibits'!R1520:R1524),"")</f>
        <v/>
      </c>
      <c r="S1524" s="3">
        <f>IF(ISNUMBER(AVERAGE('20250815_ETF_Options_Exhibits'!S1520:S1524)),AVERAGE('20250815_ETF_Options_Exhibits'!S1520:S1524),"")</f>
        <v/>
      </c>
      <c r="T1524" s="3">
        <f>IF(ISNUMBER(AVERAGE('20250815_ETF_Options_Exhibits'!T1520:T1524)),AVERAGE('20250815_ETF_Options_Exhibits'!T1520:T1524),"")</f>
        <v/>
      </c>
      <c r="U1524" s="3">
        <f>IF(ISNUMBER(AVERAGE('20250815_ETF_Options_Exhibits'!U1520:U1524)),AVERAGE('20250815_ETF_Options_Exhibits'!U1520:U1524),"")</f>
        <v/>
      </c>
      <c r="V1524" s="3">
        <f>IF(ISNUMBER(AVERAGE('20250815_ETF_Options_Exhibits'!V1520:V1524)),AVERAGE('20250815_ETF_Options_Exhibits'!V1520:V1524),"")</f>
        <v/>
      </c>
      <c r="W1524" s="3">
        <f>IF(ISNUMBER(AVERAGE('20250815_ETF_Options_Exhibits'!W1520:W1524)),AVERAGE('20250815_ETF_Options_Exhibits'!W1520:W1524),"")</f>
        <v/>
      </c>
      <c r="X1524" s="3">
        <f>IF(ISNUMBER(AVERAGE('20250815_ETF_Options_Exhibits'!X1520:X1524)),AVERAGE('20250815_ETF_Options_Exhibits'!X1520:X1524),"")</f>
        <v/>
      </c>
      <c r="Y1524" s="3">
        <f>IF(ISNUMBER(AVERAGE('20250815_ETF_Options_Exhibits'!Y1520:Y1524)),AVERAGE('20250815_ETF_Options_Exhibits'!Y1520:Y1524),"")</f>
        <v/>
      </c>
      <c r="Z1524" s="3">
        <f>IF(ISNUMBER(AVERAGE('20250815_ETF_Options_Exhibits'!Z1520:Z1524)),AVERAGE('20250815_ETF_Options_Exhibits'!Z1520:Z1524),"")</f>
        <v/>
      </c>
      <c r="AA1524" s="3">
        <f>IF(ISNUMBER(AVERAGE('20250815_ETF_Options_Exhibits'!AA1520:AA1524)),AVERAGE('20250815_ETF_Options_Exhibits'!AA1520:AA1524),"")</f>
        <v/>
      </c>
    </row>
    <row r="1525">
      <c r="A1525" s="1" t="n">
        <v>44216</v>
      </c>
      <c r="B1525" s="3">
        <f>IF(ISNUMBER(AVERAGE('20250815_ETF_Options_Exhibits'!B1521:B1525)),AVERAGE('20250815_ETF_Options_Exhibits'!B1521:B1525),"")</f>
        <v/>
      </c>
      <c r="C1525" s="3">
        <f>IF(ISNUMBER(AVERAGE('20250815_ETF_Options_Exhibits'!C1521:C1525)),AVERAGE('20250815_ETF_Options_Exhibits'!C1521:C1525),"")</f>
        <v/>
      </c>
      <c r="D1525" s="3">
        <f>IF(ISNUMBER(AVERAGE('20250815_ETF_Options_Exhibits'!D1521:D1525)),AVERAGE('20250815_ETF_Options_Exhibits'!D1521:D1525),"")</f>
        <v/>
      </c>
      <c r="E1525" s="3">
        <f>IF(ISNUMBER(AVERAGE('20250815_ETF_Options_Exhibits'!E1521:E1525)),AVERAGE('20250815_ETF_Options_Exhibits'!E1521:E1525),"")</f>
        <v/>
      </c>
      <c r="F1525" s="3">
        <f>IF(ISNUMBER(AVERAGE('20250815_ETF_Options_Exhibits'!F1521:F1525)),AVERAGE('20250815_ETF_Options_Exhibits'!F1521:F1525),"")</f>
        <v/>
      </c>
      <c r="G1525" s="3">
        <f>IF(ISNUMBER(AVERAGE('20250815_ETF_Options_Exhibits'!G1521:G1525)),AVERAGE('20250815_ETF_Options_Exhibits'!G1521:G1525),"")</f>
        <v/>
      </c>
      <c r="H1525" s="3">
        <f>IF(ISNUMBER(AVERAGE('20250815_ETF_Options_Exhibits'!H1521:H1525)),AVERAGE('20250815_ETF_Options_Exhibits'!H1521:H1525),"")</f>
        <v/>
      </c>
      <c r="I1525" s="3">
        <f>IF(ISNUMBER(AVERAGE('20250815_ETF_Options_Exhibits'!I1521:I1525)),AVERAGE('20250815_ETF_Options_Exhibits'!I1521:I1525),"")</f>
        <v/>
      </c>
      <c r="J1525" s="3">
        <f>IF(ISNUMBER(AVERAGE('20250815_ETF_Options_Exhibits'!J1521:J1525)),AVERAGE('20250815_ETF_Options_Exhibits'!J1521:J1525),"")</f>
        <v/>
      </c>
      <c r="K1525" s="3">
        <f>IF(ISNUMBER(AVERAGE('20250815_ETF_Options_Exhibits'!K1521:K1525)),AVERAGE('20250815_ETF_Options_Exhibits'!K1521:K1525),"")</f>
        <v/>
      </c>
      <c r="L1525" s="3">
        <f>IF(ISNUMBER(AVERAGE('20250815_ETF_Options_Exhibits'!L1521:L1525)),AVERAGE('20250815_ETF_Options_Exhibits'!L1521:L1525),"")</f>
        <v/>
      </c>
      <c r="M1525" s="3">
        <f>IF(ISNUMBER(AVERAGE('20250815_ETF_Options_Exhibits'!M1521:M1525)),AVERAGE('20250815_ETF_Options_Exhibits'!M1521:M1525),"")</f>
        <v/>
      </c>
      <c r="N1525" s="3">
        <f>IF(ISNUMBER(AVERAGE('20250815_ETF_Options_Exhibits'!N1521:N1525)),AVERAGE('20250815_ETF_Options_Exhibits'!N1521:N1525),"")</f>
        <v/>
      </c>
      <c r="O1525" s="3">
        <f>IF(ISNUMBER(AVERAGE('20250815_ETF_Options_Exhibits'!O1521:O1525)),AVERAGE('20250815_ETF_Options_Exhibits'!O1521:O1525),"")</f>
        <v/>
      </c>
      <c r="P1525" s="3">
        <f>IF(ISNUMBER(AVERAGE('20250815_ETF_Options_Exhibits'!P1521:P1525)),AVERAGE('20250815_ETF_Options_Exhibits'!P1521:P1525),"")</f>
        <v/>
      </c>
      <c r="Q1525" s="3">
        <f>IF(ISNUMBER(AVERAGE('20250815_ETF_Options_Exhibits'!Q1521:Q1525)),AVERAGE('20250815_ETF_Options_Exhibits'!Q1521:Q1525),"")</f>
        <v/>
      </c>
      <c r="R1525" s="3">
        <f>IF(ISNUMBER(AVERAGE('20250815_ETF_Options_Exhibits'!R1521:R1525)),AVERAGE('20250815_ETF_Options_Exhibits'!R1521:R1525),"")</f>
        <v/>
      </c>
      <c r="S1525" s="3">
        <f>IF(ISNUMBER(AVERAGE('20250815_ETF_Options_Exhibits'!S1521:S1525)),AVERAGE('20250815_ETF_Options_Exhibits'!S1521:S1525),"")</f>
        <v/>
      </c>
      <c r="T1525" s="3">
        <f>IF(ISNUMBER(AVERAGE('20250815_ETF_Options_Exhibits'!T1521:T1525)),AVERAGE('20250815_ETF_Options_Exhibits'!T1521:T1525),"")</f>
        <v/>
      </c>
      <c r="U1525" s="3">
        <f>IF(ISNUMBER(AVERAGE('20250815_ETF_Options_Exhibits'!U1521:U1525)),AVERAGE('20250815_ETF_Options_Exhibits'!U1521:U1525),"")</f>
        <v/>
      </c>
      <c r="V1525" s="3">
        <f>IF(ISNUMBER(AVERAGE('20250815_ETF_Options_Exhibits'!V1521:V1525)),AVERAGE('20250815_ETF_Options_Exhibits'!V1521:V1525),"")</f>
        <v/>
      </c>
      <c r="W1525" s="3">
        <f>IF(ISNUMBER(AVERAGE('20250815_ETF_Options_Exhibits'!W1521:W1525)),AVERAGE('20250815_ETF_Options_Exhibits'!W1521:W1525),"")</f>
        <v/>
      </c>
      <c r="X1525" s="3">
        <f>IF(ISNUMBER(AVERAGE('20250815_ETF_Options_Exhibits'!X1521:X1525)),AVERAGE('20250815_ETF_Options_Exhibits'!X1521:X1525),"")</f>
        <v/>
      </c>
      <c r="Y1525" s="3">
        <f>IF(ISNUMBER(AVERAGE('20250815_ETF_Options_Exhibits'!Y1521:Y1525)),AVERAGE('20250815_ETF_Options_Exhibits'!Y1521:Y1525),"")</f>
        <v/>
      </c>
      <c r="Z1525" s="3">
        <f>IF(ISNUMBER(AVERAGE('20250815_ETF_Options_Exhibits'!Z1521:Z1525)),AVERAGE('20250815_ETF_Options_Exhibits'!Z1521:Z1525),"")</f>
        <v/>
      </c>
      <c r="AA1525" s="3">
        <f>IF(ISNUMBER(AVERAGE('20250815_ETF_Options_Exhibits'!AA1521:AA1525)),AVERAGE('20250815_ETF_Options_Exhibits'!AA1521:AA1525),"")</f>
        <v/>
      </c>
    </row>
    <row r="1526">
      <c r="A1526" s="1" t="n">
        <v>44217</v>
      </c>
      <c r="B1526" s="3">
        <f>IF(ISNUMBER(AVERAGE('20250815_ETF_Options_Exhibits'!B1522:B1526)),AVERAGE('20250815_ETF_Options_Exhibits'!B1522:B1526),"")</f>
        <v/>
      </c>
      <c r="C1526" s="3">
        <f>IF(ISNUMBER(AVERAGE('20250815_ETF_Options_Exhibits'!C1522:C1526)),AVERAGE('20250815_ETF_Options_Exhibits'!C1522:C1526),"")</f>
        <v/>
      </c>
      <c r="D1526" s="3">
        <f>IF(ISNUMBER(AVERAGE('20250815_ETF_Options_Exhibits'!D1522:D1526)),AVERAGE('20250815_ETF_Options_Exhibits'!D1522:D1526),"")</f>
        <v/>
      </c>
      <c r="E1526" s="3">
        <f>IF(ISNUMBER(AVERAGE('20250815_ETF_Options_Exhibits'!E1522:E1526)),AVERAGE('20250815_ETF_Options_Exhibits'!E1522:E1526),"")</f>
        <v/>
      </c>
      <c r="F1526" s="3">
        <f>IF(ISNUMBER(AVERAGE('20250815_ETF_Options_Exhibits'!F1522:F1526)),AVERAGE('20250815_ETF_Options_Exhibits'!F1522:F1526),"")</f>
        <v/>
      </c>
      <c r="G1526" s="3">
        <f>IF(ISNUMBER(AVERAGE('20250815_ETF_Options_Exhibits'!G1522:G1526)),AVERAGE('20250815_ETF_Options_Exhibits'!G1522:G1526),"")</f>
        <v/>
      </c>
      <c r="H1526" s="3">
        <f>IF(ISNUMBER(AVERAGE('20250815_ETF_Options_Exhibits'!H1522:H1526)),AVERAGE('20250815_ETF_Options_Exhibits'!H1522:H1526),"")</f>
        <v/>
      </c>
      <c r="I1526" s="3">
        <f>IF(ISNUMBER(AVERAGE('20250815_ETF_Options_Exhibits'!I1522:I1526)),AVERAGE('20250815_ETF_Options_Exhibits'!I1522:I1526),"")</f>
        <v/>
      </c>
      <c r="J1526" s="3">
        <f>IF(ISNUMBER(AVERAGE('20250815_ETF_Options_Exhibits'!J1522:J1526)),AVERAGE('20250815_ETF_Options_Exhibits'!J1522:J1526),"")</f>
        <v/>
      </c>
      <c r="K1526" s="3">
        <f>IF(ISNUMBER(AVERAGE('20250815_ETF_Options_Exhibits'!K1522:K1526)),AVERAGE('20250815_ETF_Options_Exhibits'!K1522:K1526),"")</f>
        <v/>
      </c>
      <c r="L1526" s="3">
        <f>IF(ISNUMBER(AVERAGE('20250815_ETF_Options_Exhibits'!L1522:L1526)),AVERAGE('20250815_ETF_Options_Exhibits'!L1522:L1526),"")</f>
        <v/>
      </c>
      <c r="M1526" s="3">
        <f>IF(ISNUMBER(AVERAGE('20250815_ETF_Options_Exhibits'!M1522:M1526)),AVERAGE('20250815_ETF_Options_Exhibits'!M1522:M1526),"")</f>
        <v/>
      </c>
      <c r="N1526" s="3">
        <f>IF(ISNUMBER(AVERAGE('20250815_ETF_Options_Exhibits'!N1522:N1526)),AVERAGE('20250815_ETF_Options_Exhibits'!N1522:N1526),"")</f>
        <v/>
      </c>
      <c r="O1526" s="3">
        <f>IF(ISNUMBER(AVERAGE('20250815_ETF_Options_Exhibits'!O1522:O1526)),AVERAGE('20250815_ETF_Options_Exhibits'!O1522:O1526),"")</f>
        <v/>
      </c>
      <c r="P1526" s="3">
        <f>IF(ISNUMBER(AVERAGE('20250815_ETF_Options_Exhibits'!P1522:P1526)),AVERAGE('20250815_ETF_Options_Exhibits'!P1522:P1526),"")</f>
        <v/>
      </c>
      <c r="Q1526" s="3">
        <f>IF(ISNUMBER(AVERAGE('20250815_ETF_Options_Exhibits'!Q1522:Q1526)),AVERAGE('20250815_ETF_Options_Exhibits'!Q1522:Q1526),"")</f>
        <v/>
      </c>
      <c r="R1526" s="3">
        <f>IF(ISNUMBER(AVERAGE('20250815_ETF_Options_Exhibits'!R1522:R1526)),AVERAGE('20250815_ETF_Options_Exhibits'!R1522:R1526),"")</f>
        <v/>
      </c>
      <c r="S1526" s="3">
        <f>IF(ISNUMBER(AVERAGE('20250815_ETF_Options_Exhibits'!S1522:S1526)),AVERAGE('20250815_ETF_Options_Exhibits'!S1522:S1526),"")</f>
        <v/>
      </c>
      <c r="T1526" s="3">
        <f>IF(ISNUMBER(AVERAGE('20250815_ETF_Options_Exhibits'!T1522:T1526)),AVERAGE('20250815_ETF_Options_Exhibits'!T1522:T1526),"")</f>
        <v/>
      </c>
      <c r="U1526" s="3">
        <f>IF(ISNUMBER(AVERAGE('20250815_ETF_Options_Exhibits'!U1522:U1526)),AVERAGE('20250815_ETF_Options_Exhibits'!U1522:U1526),"")</f>
        <v/>
      </c>
      <c r="V1526" s="3">
        <f>IF(ISNUMBER(AVERAGE('20250815_ETF_Options_Exhibits'!V1522:V1526)),AVERAGE('20250815_ETF_Options_Exhibits'!V1522:V1526),"")</f>
        <v/>
      </c>
      <c r="W1526" s="3">
        <f>IF(ISNUMBER(AVERAGE('20250815_ETF_Options_Exhibits'!W1522:W1526)),AVERAGE('20250815_ETF_Options_Exhibits'!W1522:W1526),"")</f>
        <v/>
      </c>
      <c r="X1526" s="3">
        <f>IF(ISNUMBER(AVERAGE('20250815_ETF_Options_Exhibits'!X1522:X1526)),AVERAGE('20250815_ETF_Options_Exhibits'!X1522:X1526),"")</f>
        <v/>
      </c>
      <c r="Y1526" s="3">
        <f>IF(ISNUMBER(AVERAGE('20250815_ETF_Options_Exhibits'!Y1522:Y1526)),AVERAGE('20250815_ETF_Options_Exhibits'!Y1522:Y1526),"")</f>
        <v/>
      </c>
      <c r="Z1526" s="3">
        <f>IF(ISNUMBER(AVERAGE('20250815_ETF_Options_Exhibits'!Z1522:Z1526)),AVERAGE('20250815_ETF_Options_Exhibits'!Z1522:Z1526),"")</f>
        <v/>
      </c>
      <c r="AA1526" s="3">
        <f>IF(ISNUMBER(AVERAGE('20250815_ETF_Options_Exhibits'!AA1522:AA1526)),AVERAGE('20250815_ETF_Options_Exhibits'!AA1522:AA1526),"")</f>
        <v/>
      </c>
    </row>
    <row r="1527">
      <c r="A1527" s="1" t="n">
        <v>44218</v>
      </c>
      <c r="B1527" s="3">
        <f>IF(ISNUMBER(AVERAGE('20250815_ETF_Options_Exhibits'!B1523:B1527)),AVERAGE('20250815_ETF_Options_Exhibits'!B1523:B1527),"")</f>
        <v/>
      </c>
      <c r="C1527" s="3">
        <f>IF(ISNUMBER(AVERAGE('20250815_ETF_Options_Exhibits'!C1523:C1527)),AVERAGE('20250815_ETF_Options_Exhibits'!C1523:C1527),"")</f>
        <v/>
      </c>
      <c r="D1527" s="3">
        <f>IF(ISNUMBER(AVERAGE('20250815_ETF_Options_Exhibits'!D1523:D1527)),AVERAGE('20250815_ETF_Options_Exhibits'!D1523:D1527),"")</f>
        <v/>
      </c>
      <c r="E1527" s="3">
        <f>IF(ISNUMBER(AVERAGE('20250815_ETF_Options_Exhibits'!E1523:E1527)),AVERAGE('20250815_ETF_Options_Exhibits'!E1523:E1527),"")</f>
        <v/>
      </c>
      <c r="F1527" s="3">
        <f>IF(ISNUMBER(AVERAGE('20250815_ETF_Options_Exhibits'!F1523:F1527)),AVERAGE('20250815_ETF_Options_Exhibits'!F1523:F1527),"")</f>
        <v/>
      </c>
      <c r="G1527" s="3">
        <f>IF(ISNUMBER(AVERAGE('20250815_ETF_Options_Exhibits'!G1523:G1527)),AVERAGE('20250815_ETF_Options_Exhibits'!G1523:G1527),"")</f>
        <v/>
      </c>
      <c r="H1527" s="3">
        <f>IF(ISNUMBER(AVERAGE('20250815_ETF_Options_Exhibits'!H1523:H1527)),AVERAGE('20250815_ETF_Options_Exhibits'!H1523:H1527),"")</f>
        <v/>
      </c>
      <c r="I1527" s="3">
        <f>IF(ISNUMBER(AVERAGE('20250815_ETF_Options_Exhibits'!I1523:I1527)),AVERAGE('20250815_ETF_Options_Exhibits'!I1523:I1527),"")</f>
        <v/>
      </c>
      <c r="J1527" s="3">
        <f>IF(ISNUMBER(AVERAGE('20250815_ETF_Options_Exhibits'!J1523:J1527)),AVERAGE('20250815_ETF_Options_Exhibits'!J1523:J1527),"")</f>
        <v/>
      </c>
      <c r="K1527" s="3">
        <f>IF(ISNUMBER(AVERAGE('20250815_ETF_Options_Exhibits'!K1523:K1527)),AVERAGE('20250815_ETF_Options_Exhibits'!K1523:K1527),"")</f>
        <v/>
      </c>
      <c r="L1527" s="3">
        <f>IF(ISNUMBER(AVERAGE('20250815_ETF_Options_Exhibits'!L1523:L1527)),AVERAGE('20250815_ETF_Options_Exhibits'!L1523:L1527),"")</f>
        <v/>
      </c>
      <c r="M1527" s="3">
        <f>IF(ISNUMBER(AVERAGE('20250815_ETF_Options_Exhibits'!M1523:M1527)),AVERAGE('20250815_ETF_Options_Exhibits'!M1523:M1527),"")</f>
        <v/>
      </c>
      <c r="N1527" s="3">
        <f>IF(ISNUMBER(AVERAGE('20250815_ETF_Options_Exhibits'!N1523:N1527)),AVERAGE('20250815_ETF_Options_Exhibits'!N1523:N1527),"")</f>
        <v/>
      </c>
      <c r="O1527" s="3">
        <f>IF(ISNUMBER(AVERAGE('20250815_ETF_Options_Exhibits'!O1523:O1527)),AVERAGE('20250815_ETF_Options_Exhibits'!O1523:O1527),"")</f>
        <v/>
      </c>
      <c r="P1527" s="3">
        <f>IF(ISNUMBER(AVERAGE('20250815_ETF_Options_Exhibits'!P1523:P1527)),AVERAGE('20250815_ETF_Options_Exhibits'!P1523:P1527),"")</f>
        <v/>
      </c>
      <c r="Q1527" s="3">
        <f>IF(ISNUMBER(AVERAGE('20250815_ETF_Options_Exhibits'!Q1523:Q1527)),AVERAGE('20250815_ETF_Options_Exhibits'!Q1523:Q1527),"")</f>
        <v/>
      </c>
      <c r="R1527" s="3">
        <f>IF(ISNUMBER(AVERAGE('20250815_ETF_Options_Exhibits'!R1523:R1527)),AVERAGE('20250815_ETF_Options_Exhibits'!R1523:R1527),"")</f>
        <v/>
      </c>
      <c r="S1527" s="3">
        <f>IF(ISNUMBER(AVERAGE('20250815_ETF_Options_Exhibits'!S1523:S1527)),AVERAGE('20250815_ETF_Options_Exhibits'!S1523:S1527),"")</f>
        <v/>
      </c>
      <c r="T1527" s="3">
        <f>IF(ISNUMBER(AVERAGE('20250815_ETF_Options_Exhibits'!T1523:T1527)),AVERAGE('20250815_ETF_Options_Exhibits'!T1523:T1527),"")</f>
        <v/>
      </c>
      <c r="U1527" s="3">
        <f>IF(ISNUMBER(AVERAGE('20250815_ETF_Options_Exhibits'!U1523:U1527)),AVERAGE('20250815_ETF_Options_Exhibits'!U1523:U1527),"")</f>
        <v/>
      </c>
      <c r="V1527" s="3">
        <f>IF(ISNUMBER(AVERAGE('20250815_ETF_Options_Exhibits'!V1523:V1527)),AVERAGE('20250815_ETF_Options_Exhibits'!V1523:V1527),"")</f>
        <v/>
      </c>
      <c r="W1527" s="3">
        <f>IF(ISNUMBER(AVERAGE('20250815_ETF_Options_Exhibits'!W1523:W1527)),AVERAGE('20250815_ETF_Options_Exhibits'!W1523:W1527),"")</f>
        <v/>
      </c>
      <c r="X1527" s="3">
        <f>IF(ISNUMBER(AVERAGE('20250815_ETF_Options_Exhibits'!X1523:X1527)),AVERAGE('20250815_ETF_Options_Exhibits'!X1523:X1527),"")</f>
        <v/>
      </c>
      <c r="Y1527" s="3">
        <f>IF(ISNUMBER(AVERAGE('20250815_ETF_Options_Exhibits'!Y1523:Y1527)),AVERAGE('20250815_ETF_Options_Exhibits'!Y1523:Y1527),"")</f>
        <v/>
      </c>
      <c r="Z1527" s="3">
        <f>IF(ISNUMBER(AVERAGE('20250815_ETF_Options_Exhibits'!Z1523:Z1527)),AVERAGE('20250815_ETF_Options_Exhibits'!Z1523:Z1527),"")</f>
        <v/>
      </c>
      <c r="AA1527" s="3">
        <f>IF(ISNUMBER(AVERAGE('20250815_ETF_Options_Exhibits'!AA1523:AA1527)),AVERAGE('20250815_ETF_Options_Exhibits'!AA1523:AA1527),"")</f>
        <v/>
      </c>
    </row>
    <row r="1528">
      <c r="A1528" s="1" t="n">
        <v>44221</v>
      </c>
      <c r="B1528" s="3">
        <f>IF(ISNUMBER(AVERAGE('20250815_ETF_Options_Exhibits'!B1524:B1528)),AVERAGE('20250815_ETF_Options_Exhibits'!B1524:B1528),"")</f>
        <v/>
      </c>
      <c r="C1528" s="3">
        <f>IF(ISNUMBER(AVERAGE('20250815_ETF_Options_Exhibits'!C1524:C1528)),AVERAGE('20250815_ETF_Options_Exhibits'!C1524:C1528),"")</f>
        <v/>
      </c>
      <c r="D1528" s="3">
        <f>IF(ISNUMBER(AVERAGE('20250815_ETF_Options_Exhibits'!D1524:D1528)),AVERAGE('20250815_ETF_Options_Exhibits'!D1524:D1528),"")</f>
        <v/>
      </c>
      <c r="E1528" s="3">
        <f>IF(ISNUMBER(AVERAGE('20250815_ETF_Options_Exhibits'!E1524:E1528)),AVERAGE('20250815_ETF_Options_Exhibits'!E1524:E1528),"")</f>
        <v/>
      </c>
      <c r="F1528" s="3">
        <f>IF(ISNUMBER(AVERAGE('20250815_ETF_Options_Exhibits'!F1524:F1528)),AVERAGE('20250815_ETF_Options_Exhibits'!F1524:F1528),"")</f>
        <v/>
      </c>
      <c r="G1528" s="3">
        <f>IF(ISNUMBER(AVERAGE('20250815_ETF_Options_Exhibits'!G1524:G1528)),AVERAGE('20250815_ETF_Options_Exhibits'!G1524:G1528),"")</f>
        <v/>
      </c>
      <c r="H1528" s="3">
        <f>IF(ISNUMBER(AVERAGE('20250815_ETF_Options_Exhibits'!H1524:H1528)),AVERAGE('20250815_ETF_Options_Exhibits'!H1524:H1528),"")</f>
        <v/>
      </c>
      <c r="I1528" s="3">
        <f>IF(ISNUMBER(AVERAGE('20250815_ETF_Options_Exhibits'!I1524:I1528)),AVERAGE('20250815_ETF_Options_Exhibits'!I1524:I1528),"")</f>
        <v/>
      </c>
      <c r="J1528" s="3">
        <f>IF(ISNUMBER(AVERAGE('20250815_ETF_Options_Exhibits'!J1524:J1528)),AVERAGE('20250815_ETF_Options_Exhibits'!J1524:J1528),"")</f>
        <v/>
      </c>
      <c r="K1528" s="3">
        <f>IF(ISNUMBER(AVERAGE('20250815_ETF_Options_Exhibits'!K1524:K1528)),AVERAGE('20250815_ETF_Options_Exhibits'!K1524:K1528),"")</f>
        <v/>
      </c>
      <c r="L1528" s="3">
        <f>IF(ISNUMBER(AVERAGE('20250815_ETF_Options_Exhibits'!L1524:L1528)),AVERAGE('20250815_ETF_Options_Exhibits'!L1524:L1528),"")</f>
        <v/>
      </c>
      <c r="M1528" s="3">
        <f>IF(ISNUMBER(AVERAGE('20250815_ETF_Options_Exhibits'!M1524:M1528)),AVERAGE('20250815_ETF_Options_Exhibits'!M1524:M1528),"")</f>
        <v/>
      </c>
      <c r="N1528" s="3">
        <f>IF(ISNUMBER(AVERAGE('20250815_ETF_Options_Exhibits'!N1524:N1528)),AVERAGE('20250815_ETF_Options_Exhibits'!N1524:N1528),"")</f>
        <v/>
      </c>
      <c r="O1528" s="3">
        <f>IF(ISNUMBER(AVERAGE('20250815_ETF_Options_Exhibits'!O1524:O1528)),AVERAGE('20250815_ETF_Options_Exhibits'!O1524:O1528),"")</f>
        <v/>
      </c>
      <c r="P1528" s="3">
        <f>IF(ISNUMBER(AVERAGE('20250815_ETF_Options_Exhibits'!P1524:P1528)),AVERAGE('20250815_ETF_Options_Exhibits'!P1524:P1528),"")</f>
        <v/>
      </c>
      <c r="Q1528" s="3">
        <f>IF(ISNUMBER(AVERAGE('20250815_ETF_Options_Exhibits'!Q1524:Q1528)),AVERAGE('20250815_ETF_Options_Exhibits'!Q1524:Q1528),"")</f>
        <v/>
      </c>
      <c r="R1528" s="3">
        <f>IF(ISNUMBER(AVERAGE('20250815_ETF_Options_Exhibits'!R1524:R1528)),AVERAGE('20250815_ETF_Options_Exhibits'!R1524:R1528),"")</f>
        <v/>
      </c>
      <c r="S1528" s="3">
        <f>IF(ISNUMBER(AVERAGE('20250815_ETF_Options_Exhibits'!S1524:S1528)),AVERAGE('20250815_ETF_Options_Exhibits'!S1524:S1528),"")</f>
        <v/>
      </c>
      <c r="T1528" s="3">
        <f>IF(ISNUMBER(AVERAGE('20250815_ETF_Options_Exhibits'!T1524:T1528)),AVERAGE('20250815_ETF_Options_Exhibits'!T1524:T1528),"")</f>
        <v/>
      </c>
      <c r="U1528" s="3">
        <f>IF(ISNUMBER(AVERAGE('20250815_ETF_Options_Exhibits'!U1524:U1528)),AVERAGE('20250815_ETF_Options_Exhibits'!U1524:U1528),"")</f>
        <v/>
      </c>
      <c r="V1528" s="3">
        <f>IF(ISNUMBER(AVERAGE('20250815_ETF_Options_Exhibits'!V1524:V1528)),AVERAGE('20250815_ETF_Options_Exhibits'!V1524:V1528),"")</f>
        <v/>
      </c>
      <c r="W1528" s="3">
        <f>IF(ISNUMBER(AVERAGE('20250815_ETF_Options_Exhibits'!W1524:W1528)),AVERAGE('20250815_ETF_Options_Exhibits'!W1524:W1528),"")</f>
        <v/>
      </c>
      <c r="X1528" s="3">
        <f>IF(ISNUMBER(AVERAGE('20250815_ETF_Options_Exhibits'!X1524:X1528)),AVERAGE('20250815_ETF_Options_Exhibits'!X1524:X1528),"")</f>
        <v/>
      </c>
      <c r="Y1528" s="3">
        <f>IF(ISNUMBER(AVERAGE('20250815_ETF_Options_Exhibits'!Y1524:Y1528)),AVERAGE('20250815_ETF_Options_Exhibits'!Y1524:Y1528),"")</f>
        <v/>
      </c>
      <c r="Z1528" s="3">
        <f>IF(ISNUMBER(AVERAGE('20250815_ETF_Options_Exhibits'!Z1524:Z1528)),AVERAGE('20250815_ETF_Options_Exhibits'!Z1524:Z1528),"")</f>
        <v/>
      </c>
      <c r="AA1528" s="3">
        <f>IF(ISNUMBER(AVERAGE('20250815_ETF_Options_Exhibits'!AA1524:AA1528)),AVERAGE('20250815_ETF_Options_Exhibits'!AA1524:AA1528),"")</f>
        <v/>
      </c>
    </row>
    <row r="1529">
      <c r="A1529" s="1" t="n">
        <v>44222</v>
      </c>
      <c r="B1529" s="3">
        <f>IF(ISNUMBER(AVERAGE('20250815_ETF_Options_Exhibits'!B1525:B1529)),AVERAGE('20250815_ETF_Options_Exhibits'!B1525:B1529),"")</f>
        <v/>
      </c>
      <c r="C1529" s="3">
        <f>IF(ISNUMBER(AVERAGE('20250815_ETF_Options_Exhibits'!C1525:C1529)),AVERAGE('20250815_ETF_Options_Exhibits'!C1525:C1529),"")</f>
        <v/>
      </c>
      <c r="D1529" s="3">
        <f>IF(ISNUMBER(AVERAGE('20250815_ETF_Options_Exhibits'!D1525:D1529)),AVERAGE('20250815_ETF_Options_Exhibits'!D1525:D1529),"")</f>
        <v/>
      </c>
      <c r="E1529" s="3">
        <f>IF(ISNUMBER(AVERAGE('20250815_ETF_Options_Exhibits'!E1525:E1529)),AVERAGE('20250815_ETF_Options_Exhibits'!E1525:E1529),"")</f>
        <v/>
      </c>
      <c r="F1529" s="3">
        <f>IF(ISNUMBER(AVERAGE('20250815_ETF_Options_Exhibits'!F1525:F1529)),AVERAGE('20250815_ETF_Options_Exhibits'!F1525:F1529),"")</f>
        <v/>
      </c>
      <c r="G1529" s="3">
        <f>IF(ISNUMBER(AVERAGE('20250815_ETF_Options_Exhibits'!G1525:G1529)),AVERAGE('20250815_ETF_Options_Exhibits'!G1525:G1529),"")</f>
        <v/>
      </c>
      <c r="H1529" s="3">
        <f>IF(ISNUMBER(AVERAGE('20250815_ETF_Options_Exhibits'!H1525:H1529)),AVERAGE('20250815_ETF_Options_Exhibits'!H1525:H1529),"")</f>
        <v/>
      </c>
      <c r="I1529" s="3">
        <f>IF(ISNUMBER(AVERAGE('20250815_ETF_Options_Exhibits'!I1525:I1529)),AVERAGE('20250815_ETF_Options_Exhibits'!I1525:I1529),"")</f>
        <v/>
      </c>
      <c r="J1529" s="3">
        <f>IF(ISNUMBER(AVERAGE('20250815_ETF_Options_Exhibits'!J1525:J1529)),AVERAGE('20250815_ETF_Options_Exhibits'!J1525:J1529),"")</f>
        <v/>
      </c>
      <c r="K1529" s="3">
        <f>IF(ISNUMBER(AVERAGE('20250815_ETF_Options_Exhibits'!K1525:K1529)),AVERAGE('20250815_ETF_Options_Exhibits'!K1525:K1529),"")</f>
        <v/>
      </c>
      <c r="L1529" s="3">
        <f>IF(ISNUMBER(AVERAGE('20250815_ETF_Options_Exhibits'!L1525:L1529)),AVERAGE('20250815_ETF_Options_Exhibits'!L1525:L1529),"")</f>
        <v/>
      </c>
      <c r="M1529" s="3">
        <f>IF(ISNUMBER(AVERAGE('20250815_ETF_Options_Exhibits'!M1525:M1529)),AVERAGE('20250815_ETF_Options_Exhibits'!M1525:M1529),"")</f>
        <v/>
      </c>
      <c r="N1529" s="3">
        <f>IF(ISNUMBER(AVERAGE('20250815_ETF_Options_Exhibits'!N1525:N1529)),AVERAGE('20250815_ETF_Options_Exhibits'!N1525:N1529),"")</f>
        <v/>
      </c>
      <c r="O1529" s="3">
        <f>IF(ISNUMBER(AVERAGE('20250815_ETF_Options_Exhibits'!O1525:O1529)),AVERAGE('20250815_ETF_Options_Exhibits'!O1525:O1529),"")</f>
        <v/>
      </c>
      <c r="P1529" s="3">
        <f>IF(ISNUMBER(AVERAGE('20250815_ETF_Options_Exhibits'!P1525:P1529)),AVERAGE('20250815_ETF_Options_Exhibits'!P1525:P1529),"")</f>
        <v/>
      </c>
      <c r="Q1529" s="3">
        <f>IF(ISNUMBER(AVERAGE('20250815_ETF_Options_Exhibits'!Q1525:Q1529)),AVERAGE('20250815_ETF_Options_Exhibits'!Q1525:Q1529),"")</f>
        <v/>
      </c>
      <c r="R1529" s="3">
        <f>IF(ISNUMBER(AVERAGE('20250815_ETF_Options_Exhibits'!R1525:R1529)),AVERAGE('20250815_ETF_Options_Exhibits'!R1525:R1529),"")</f>
        <v/>
      </c>
      <c r="S1529" s="3">
        <f>IF(ISNUMBER(AVERAGE('20250815_ETF_Options_Exhibits'!S1525:S1529)),AVERAGE('20250815_ETF_Options_Exhibits'!S1525:S1529),"")</f>
        <v/>
      </c>
      <c r="T1529" s="3">
        <f>IF(ISNUMBER(AVERAGE('20250815_ETF_Options_Exhibits'!T1525:T1529)),AVERAGE('20250815_ETF_Options_Exhibits'!T1525:T1529),"")</f>
        <v/>
      </c>
      <c r="U1529" s="3">
        <f>IF(ISNUMBER(AVERAGE('20250815_ETF_Options_Exhibits'!U1525:U1529)),AVERAGE('20250815_ETF_Options_Exhibits'!U1525:U1529),"")</f>
        <v/>
      </c>
      <c r="V1529" s="3">
        <f>IF(ISNUMBER(AVERAGE('20250815_ETF_Options_Exhibits'!V1525:V1529)),AVERAGE('20250815_ETF_Options_Exhibits'!V1525:V1529),"")</f>
        <v/>
      </c>
      <c r="W1529" s="3">
        <f>IF(ISNUMBER(AVERAGE('20250815_ETF_Options_Exhibits'!W1525:W1529)),AVERAGE('20250815_ETF_Options_Exhibits'!W1525:W1529),"")</f>
        <v/>
      </c>
      <c r="X1529" s="3">
        <f>IF(ISNUMBER(AVERAGE('20250815_ETF_Options_Exhibits'!X1525:X1529)),AVERAGE('20250815_ETF_Options_Exhibits'!X1525:X1529),"")</f>
        <v/>
      </c>
      <c r="Y1529" s="3">
        <f>IF(ISNUMBER(AVERAGE('20250815_ETF_Options_Exhibits'!Y1525:Y1529)),AVERAGE('20250815_ETF_Options_Exhibits'!Y1525:Y1529),"")</f>
        <v/>
      </c>
      <c r="Z1529" s="3">
        <f>IF(ISNUMBER(AVERAGE('20250815_ETF_Options_Exhibits'!Z1525:Z1529)),AVERAGE('20250815_ETF_Options_Exhibits'!Z1525:Z1529),"")</f>
        <v/>
      </c>
      <c r="AA1529" s="3">
        <f>IF(ISNUMBER(AVERAGE('20250815_ETF_Options_Exhibits'!AA1525:AA1529)),AVERAGE('20250815_ETF_Options_Exhibits'!AA1525:AA1529),"")</f>
        <v/>
      </c>
    </row>
    <row r="1530">
      <c r="A1530" s="1" t="n">
        <v>44223</v>
      </c>
      <c r="B1530" s="3">
        <f>IF(ISNUMBER(AVERAGE('20250815_ETF_Options_Exhibits'!B1526:B1530)),AVERAGE('20250815_ETF_Options_Exhibits'!B1526:B1530),"")</f>
        <v/>
      </c>
      <c r="C1530" s="3">
        <f>IF(ISNUMBER(AVERAGE('20250815_ETF_Options_Exhibits'!C1526:C1530)),AVERAGE('20250815_ETF_Options_Exhibits'!C1526:C1530),"")</f>
        <v/>
      </c>
      <c r="D1530" s="3">
        <f>IF(ISNUMBER(AVERAGE('20250815_ETF_Options_Exhibits'!D1526:D1530)),AVERAGE('20250815_ETF_Options_Exhibits'!D1526:D1530),"")</f>
        <v/>
      </c>
      <c r="E1530" s="3">
        <f>IF(ISNUMBER(AVERAGE('20250815_ETF_Options_Exhibits'!E1526:E1530)),AVERAGE('20250815_ETF_Options_Exhibits'!E1526:E1530),"")</f>
        <v/>
      </c>
      <c r="F1530" s="3">
        <f>IF(ISNUMBER(AVERAGE('20250815_ETF_Options_Exhibits'!F1526:F1530)),AVERAGE('20250815_ETF_Options_Exhibits'!F1526:F1530),"")</f>
        <v/>
      </c>
      <c r="G1530" s="3">
        <f>IF(ISNUMBER(AVERAGE('20250815_ETF_Options_Exhibits'!G1526:G1530)),AVERAGE('20250815_ETF_Options_Exhibits'!G1526:G1530),"")</f>
        <v/>
      </c>
      <c r="H1530" s="3">
        <f>IF(ISNUMBER(AVERAGE('20250815_ETF_Options_Exhibits'!H1526:H1530)),AVERAGE('20250815_ETF_Options_Exhibits'!H1526:H1530),"")</f>
        <v/>
      </c>
      <c r="I1530" s="3">
        <f>IF(ISNUMBER(AVERAGE('20250815_ETF_Options_Exhibits'!I1526:I1530)),AVERAGE('20250815_ETF_Options_Exhibits'!I1526:I1530),"")</f>
        <v/>
      </c>
      <c r="J1530" s="3">
        <f>IF(ISNUMBER(AVERAGE('20250815_ETF_Options_Exhibits'!J1526:J1530)),AVERAGE('20250815_ETF_Options_Exhibits'!J1526:J1530),"")</f>
        <v/>
      </c>
      <c r="K1530" s="3">
        <f>IF(ISNUMBER(AVERAGE('20250815_ETF_Options_Exhibits'!K1526:K1530)),AVERAGE('20250815_ETF_Options_Exhibits'!K1526:K1530),"")</f>
        <v/>
      </c>
      <c r="L1530" s="3">
        <f>IF(ISNUMBER(AVERAGE('20250815_ETF_Options_Exhibits'!L1526:L1530)),AVERAGE('20250815_ETF_Options_Exhibits'!L1526:L1530),"")</f>
        <v/>
      </c>
      <c r="M1530" s="3">
        <f>IF(ISNUMBER(AVERAGE('20250815_ETF_Options_Exhibits'!M1526:M1530)),AVERAGE('20250815_ETF_Options_Exhibits'!M1526:M1530),"")</f>
        <v/>
      </c>
      <c r="N1530" s="3">
        <f>IF(ISNUMBER(AVERAGE('20250815_ETF_Options_Exhibits'!N1526:N1530)),AVERAGE('20250815_ETF_Options_Exhibits'!N1526:N1530),"")</f>
        <v/>
      </c>
      <c r="O1530" s="3">
        <f>IF(ISNUMBER(AVERAGE('20250815_ETF_Options_Exhibits'!O1526:O1530)),AVERAGE('20250815_ETF_Options_Exhibits'!O1526:O1530),"")</f>
        <v/>
      </c>
      <c r="P1530" s="3">
        <f>IF(ISNUMBER(AVERAGE('20250815_ETF_Options_Exhibits'!P1526:P1530)),AVERAGE('20250815_ETF_Options_Exhibits'!P1526:P1530),"")</f>
        <v/>
      </c>
      <c r="Q1530" s="3">
        <f>IF(ISNUMBER(AVERAGE('20250815_ETF_Options_Exhibits'!Q1526:Q1530)),AVERAGE('20250815_ETF_Options_Exhibits'!Q1526:Q1530),"")</f>
        <v/>
      </c>
      <c r="R1530" s="3">
        <f>IF(ISNUMBER(AVERAGE('20250815_ETF_Options_Exhibits'!R1526:R1530)),AVERAGE('20250815_ETF_Options_Exhibits'!R1526:R1530),"")</f>
        <v/>
      </c>
      <c r="S1530" s="3">
        <f>IF(ISNUMBER(AVERAGE('20250815_ETF_Options_Exhibits'!S1526:S1530)),AVERAGE('20250815_ETF_Options_Exhibits'!S1526:S1530),"")</f>
        <v/>
      </c>
      <c r="T1530" s="3">
        <f>IF(ISNUMBER(AVERAGE('20250815_ETF_Options_Exhibits'!T1526:T1530)),AVERAGE('20250815_ETF_Options_Exhibits'!T1526:T1530),"")</f>
        <v/>
      </c>
      <c r="U1530" s="3">
        <f>IF(ISNUMBER(AVERAGE('20250815_ETF_Options_Exhibits'!U1526:U1530)),AVERAGE('20250815_ETF_Options_Exhibits'!U1526:U1530),"")</f>
        <v/>
      </c>
      <c r="V1530" s="3">
        <f>IF(ISNUMBER(AVERAGE('20250815_ETF_Options_Exhibits'!V1526:V1530)),AVERAGE('20250815_ETF_Options_Exhibits'!V1526:V1530),"")</f>
        <v/>
      </c>
      <c r="W1530" s="3">
        <f>IF(ISNUMBER(AVERAGE('20250815_ETF_Options_Exhibits'!W1526:W1530)),AVERAGE('20250815_ETF_Options_Exhibits'!W1526:W1530),"")</f>
        <v/>
      </c>
      <c r="X1530" s="3">
        <f>IF(ISNUMBER(AVERAGE('20250815_ETF_Options_Exhibits'!X1526:X1530)),AVERAGE('20250815_ETF_Options_Exhibits'!X1526:X1530),"")</f>
        <v/>
      </c>
      <c r="Y1530" s="3">
        <f>IF(ISNUMBER(AVERAGE('20250815_ETF_Options_Exhibits'!Y1526:Y1530)),AVERAGE('20250815_ETF_Options_Exhibits'!Y1526:Y1530),"")</f>
        <v/>
      </c>
      <c r="Z1530" s="3">
        <f>IF(ISNUMBER(AVERAGE('20250815_ETF_Options_Exhibits'!Z1526:Z1530)),AVERAGE('20250815_ETF_Options_Exhibits'!Z1526:Z1530),"")</f>
        <v/>
      </c>
      <c r="AA1530" s="3">
        <f>IF(ISNUMBER(AVERAGE('20250815_ETF_Options_Exhibits'!AA1526:AA1530)),AVERAGE('20250815_ETF_Options_Exhibits'!AA1526:AA1530),"")</f>
        <v/>
      </c>
    </row>
    <row r="1531">
      <c r="A1531" s="1" t="n">
        <v>44224</v>
      </c>
      <c r="B1531" s="3">
        <f>IF(ISNUMBER(AVERAGE('20250815_ETF_Options_Exhibits'!B1527:B1531)),AVERAGE('20250815_ETF_Options_Exhibits'!B1527:B1531),"")</f>
        <v/>
      </c>
      <c r="C1531" s="3">
        <f>IF(ISNUMBER(AVERAGE('20250815_ETF_Options_Exhibits'!C1527:C1531)),AVERAGE('20250815_ETF_Options_Exhibits'!C1527:C1531),"")</f>
        <v/>
      </c>
      <c r="D1531" s="3">
        <f>IF(ISNUMBER(AVERAGE('20250815_ETF_Options_Exhibits'!D1527:D1531)),AVERAGE('20250815_ETF_Options_Exhibits'!D1527:D1531),"")</f>
        <v/>
      </c>
      <c r="E1531" s="3">
        <f>IF(ISNUMBER(AVERAGE('20250815_ETF_Options_Exhibits'!E1527:E1531)),AVERAGE('20250815_ETF_Options_Exhibits'!E1527:E1531),"")</f>
        <v/>
      </c>
      <c r="F1531" s="3">
        <f>IF(ISNUMBER(AVERAGE('20250815_ETF_Options_Exhibits'!F1527:F1531)),AVERAGE('20250815_ETF_Options_Exhibits'!F1527:F1531),"")</f>
        <v/>
      </c>
      <c r="G1531" s="3">
        <f>IF(ISNUMBER(AVERAGE('20250815_ETF_Options_Exhibits'!G1527:G1531)),AVERAGE('20250815_ETF_Options_Exhibits'!G1527:G1531),"")</f>
        <v/>
      </c>
      <c r="H1531" s="3">
        <f>IF(ISNUMBER(AVERAGE('20250815_ETF_Options_Exhibits'!H1527:H1531)),AVERAGE('20250815_ETF_Options_Exhibits'!H1527:H1531),"")</f>
        <v/>
      </c>
      <c r="I1531" s="3">
        <f>IF(ISNUMBER(AVERAGE('20250815_ETF_Options_Exhibits'!I1527:I1531)),AVERAGE('20250815_ETF_Options_Exhibits'!I1527:I1531),"")</f>
        <v/>
      </c>
      <c r="J1531" s="3">
        <f>IF(ISNUMBER(AVERAGE('20250815_ETF_Options_Exhibits'!J1527:J1531)),AVERAGE('20250815_ETF_Options_Exhibits'!J1527:J1531),"")</f>
        <v/>
      </c>
      <c r="K1531" s="3">
        <f>IF(ISNUMBER(AVERAGE('20250815_ETF_Options_Exhibits'!K1527:K1531)),AVERAGE('20250815_ETF_Options_Exhibits'!K1527:K1531),"")</f>
        <v/>
      </c>
      <c r="L1531" s="3">
        <f>IF(ISNUMBER(AVERAGE('20250815_ETF_Options_Exhibits'!L1527:L1531)),AVERAGE('20250815_ETF_Options_Exhibits'!L1527:L1531),"")</f>
        <v/>
      </c>
      <c r="M1531" s="3">
        <f>IF(ISNUMBER(AVERAGE('20250815_ETF_Options_Exhibits'!M1527:M1531)),AVERAGE('20250815_ETF_Options_Exhibits'!M1527:M1531),"")</f>
        <v/>
      </c>
      <c r="N1531" s="3">
        <f>IF(ISNUMBER(AVERAGE('20250815_ETF_Options_Exhibits'!N1527:N1531)),AVERAGE('20250815_ETF_Options_Exhibits'!N1527:N1531),"")</f>
        <v/>
      </c>
      <c r="O1531" s="3">
        <f>IF(ISNUMBER(AVERAGE('20250815_ETF_Options_Exhibits'!O1527:O1531)),AVERAGE('20250815_ETF_Options_Exhibits'!O1527:O1531),"")</f>
        <v/>
      </c>
      <c r="P1531" s="3">
        <f>IF(ISNUMBER(AVERAGE('20250815_ETF_Options_Exhibits'!P1527:P1531)),AVERAGE('20250815_ETF_Options_Exhibits'!P1527:P1531),"")</f>
        <v/>
      </c>
      <c r="Q1531" s="3">
        <f>IF(ISNUMBER(AVERAGE('20250815_ETF_Options_Exhibits'!Q1527:Q1531)),AVERAGE('20250815_ETF_Options_Exhibits'!Q1527:Q1531),"")</f>
        <v/>
      </c>
      <c r="R1531" s="3">
        <f>IF(ISNUMBER(AVERAGE('20250815_ETF_Options_Exhibits'!R1527:R1531)),AVERAGE('20250815_ETF_Options_Exhibits'!R1527:R1531),"")</f>
        <v/>
      </c>
      <c r="S1531" s="3">
        <f>IF(ISNUMBER(AVERAGE('20250815_ETF_Options_Exhibits'!S1527:S1531)),AVERAGE('20250815_ETF_Options_Exhibits'!S1527:S1531),"")</f>
        <v/>
      </c>
      <c r="T1531" s="3">
        <f>IF(ISNUMBER(AVERAGE('20250815_ETF_Options_Exhibits'!T1527:T1531)),AVERAGE('20250815_ETF_Options_Exhibits'!T1527:T1531),"")</f>
        <v/>
      </c>
      <c r="U1531" s="3">
        <f>IF(ISNUMBER(AVERAGE('20250815_ETF_Options_Exhibits'!U1527:U1531)),AVERAGE('20250815_ETF_Options_Exhibits'!U1527:U1531),"")</f>
        <v/>
      </c>
      <c r="V1531" s="3">
        <f>IF(ISNUMBER(AVERAGE('20250815_ETF_Options_Exhibits'!V1527:V1531)),AVERAGE('20250815_ETF_Options_Exhibits'!V1527:V1531),"")</f>
        <v/>
      </c>
      <c r="W1531" s="3">
        <f>IF(ISNUMBER(AVERAGE('20250815_ETF_Options_Exhibits'!W1527:W1531)),AVERAGE('20250815_ETF_Options_Exhibits'!W1527:W1531),"")</f>
        <v/>
      </c>
      <c r="X1531" s="3">
        <f>IF(ISNUMBER(AVERAGE('20250815_ETF_Options_Exhibits'!X1527:X1531)),AVERAGE('20250815_ETF_Options_Exhibits'!X1527:X1531),"")</f>
        <v/>
      </c>
      <c r="Y1531" s="3">
        <f>IF(ISNUMBER(AVERAGE('20250815_ETF_Options_Exhibits'!Y1527:Y1531)),AVERAGE('20250815_ETF_Options_Exhibits'!Y1527:Y1531),"")</f>
        <v/>
      </c>
      <c r="Z1531" s="3">
        <f>IF(ISNUMBER(AVERAGE('20250815_ETF_Options_Exhibits'!Z1527:Z1531)),AVERAGE('20250815_ETF_Options_Exhibits'!Z1527:Z1531),"")</f>
        <v/>
      </c>
      <c r="AA1531" s="3">
        <f>IF(ISNUMBER(AVERAGE('20250815_ETF_Options_Exhibits'!AA1527:AA1531)),AVERAGE('20250815_ETF_Options_Exhibits'!AA1527:AA1531),"")</f>
        <v/>
      </c>
    </row>
    <row r="1532">
      <c r="A1532" s="1" t="n">
        <v>44225</v>
      </c>
      <c r="B1532" s="3">
        <f>IF(ISNUMBER(AVERAGE('20250815_ETF_Options_Exhibits'!B1528:B1532)),AVERAGE('20250815_ETF_Options_Exhibits'!B1528:B1532),"")</f>
        <v/>
      </c>
      <c r="C1532" s="3">
        <f>IF(ISNUMBER(AVERAGE('20250815_ETF_Options_Exhibits'!C1528:C1532)),AVERAGE('20250815_ETF_Options_Exhibits'!C1528:C1532),"")</f>
        <v/>
      </c>
      <c r="D1532" s="3">
        <f>IF(ISNUMBER(AVERAGE('20250815_ETF_Options_Exhibits'!D1528:D1532)),AVERAGE('20250815_ETF_Options_Exhibits'!D1528:D1532),"")</f>
        <v/>
      </c>
      <c r="E1532" s="3">
        <f>IF(ISNUMBER(AVERAGE('20250815_ETF_Options_Exhibits'!E1528:E1532)),AVERAGE('20250815_ETF_Options_Exhibits'!E1528:E1532),"")</f>
        <v/>
      </c>
      <c r="F1532" s="3">
        <f>IF(ISNUMBER(AVERAGE('20250815_ETF_Options_Exhibits'!F1528:F1532)),AVERAGE('20250815_ETF_Options_Exhibits'!F1528:F1532),"")</f>
        <v/>
      </c>
      <c r="G1532" s="3">
        <f>IF(ISNUMBER(AVERAGE('20250815_ETF_Options_Exhibits'!G1528:G1532)),AVERAGE('20250815_ETF_Options_Exhibits'!G1528:G1532),"")</f>
        <v/>
      </c>
      <c r="H1532" s="3">
        <f>IF(ISNUMBER(AVERAGE('20250815_ETF_Options_Exhibits'!H1528:H1532)),AVERAGE('20250815_ETF_Options_Exhibits'!H1528:H1532),"")</f>
        <v/>
      </c>
      <c r="I1532" s="3">
        <f>IF(ISNUMBER(AVERAGE('20250815_ETF_Options_Exhibits'!I1528:I1532)),AVERAGE('20250815_ETF_Options_Exhibits'!I1528:I1532),"")</f>
        <v/>
      </c>
      <c r="J1532" s="3">
        <f>IF(ISNUMBER(AVERAGE('20250815_ETF_Options_Exhibits'!J1528:J1532)),AVERAGE('20250815_ETF_Options_Exhibits'!J1528:J1532),"")</f>
        <v/>
      </c>
      <c r="K1532" s="3">
        <f>IF(ISNUMBER(AVERAGE('20250815_ETF_Options_Exhibits'!K1528:K1532)),AVERAGE('20250815_ETF_Options_Exhibits'!K1528:K1532),"")</f>
        <v/>
      </c>
      <c r="L1532" s="3">
        <f>IF(ISNUMBER(AVERAGE('20250815_ETF_Options_Exhibits'!L1528:L1532)),AVERAGE('20250815_ETF_Options_Exhibits'!L1528:L1532),"")</f>
        <v/>
      </c>
      <c r="M1532" s="3">
        <f>IF(ISNUMBER(AVERAGE('20250815_ETF_Options_Exhibits'!M1528:M1532)),AVERAGE('20250815_ETF_Options_Exhibits'!M1528:M1532),"")</f>
        <v/>
      </c>
      <c r="N1532" s="3">
        <f>IF(ISNUMBER(AVERAGE('20250815_ETF_Options_Exhibits'!N1528:N1532)),AVERAGE('20250815_ETF_Options_Exhibits'!N1528:N1532),"")</f>
        <v/>
      </c>
      <c r="O1532" s="3">
        <f>IF(ISNUMBER(AVERAGE('20250815_ETF_Options_Exhibits'!O1528:O1532)),AVERAGE('20250815_ETF_Options_Exhibits'!O1528:O1532),"")</f>
        <v/>
      </c>
      <c r="P1532" s="3">
        <f>IF(ISNUMBER(AVERAGE('20250815_ETF_Options_Exhibits'!P1528:P1532)),AVERAGE('20250815_ETF_Options_Exhibits'!P1528:P1532),"")</f>
        <v/>
      </c>
      <c r="Q1532" s="3">
        <f>IF(ISNUMBER(AVERAGE('20250815_ETF_Options_Exhibits'!Q1528:Q1532)),AVERAGE('20250815_ETF_Options_Exhibits'!Q1528:Q1532),"")</f>
        <v/>
      </c>
      <c r="R1532" s="3">
        <f>IF(ISNUMBER(AVERAGE('20250815_ETF_Options_Exhibits'!R1528:R1532)),AVERAGE('20250815_ETF_Options_Exhibits'!R1528:R1532),"")</f>
        <v/>
      </c>
      <c r="S1532" s="3">
        <f>IF(ISNUMBER(AVERAGE('20250815_ETF_Options_Exhibits'!S1528:S1532)),AVERAGE('20250815_ETF_Options_Exhibits'!S1528:S1532),"")</f>
        <v/>
      </c>
      <c r="T1532" s="3">
        <f>IF(ISNUMBER(AVERAGE('20250815_ETF_Options_Exhibits'!T1528:T1532)),AVERAGE('20250815_ETF_Options_Exhibits'!T1528:T1532),"")</f>
        <v/>
      </c>
      <c r="U1532" s="3">
        <f>IF(ISNUMBER(AVERAGE('20250815_ETF_Options_Exhibits'!U1528:U1532)),AVERAGE('20250815_ETF_Options_Exhibits'!U1528:U1532),"")</f>
        <v/>
      </c>
      <c r="V1532" s="3">
        <f>IF(ISNUMBER(AVERAGE('20250815_ETF_Options_Exhibits'!V1528:V1532)),AVERAGE('20250815_ETF_Options_Exhibits'!V1528:V1532),"")</f>
        <v/>
      </c>
      <c r="W1532" s="3">
        <f>IF(ISNUMBER(AVERAGE('20250815_ETF_Options_Exhibits'!W1528:W1532)),AVERAGE('20250815_ETF_Options_Exhibits'!W1528:W1532),"")</f>
        <v/>
      </c>
      <c r="X1532" s="3">
        <f>IF(ISNUMBER(AVERAGE('20250815_ETF_Options_Exhibits'!X1528:X1532)),AVERAGE('20250815_ETF_Options_Exhibits'!X1528:X1532),"")</f>
        <v/>
      </c>
      <c r="Y1532" s="3">
        <f>IF(ISNUMBER(AVERAGE('20250815_ETF_Options_Exhibits'!Y1528:Y1532)),AVERAGE('20250815_ETF_Options_Exhibits'!Y1528:Y1532),"")</f>
        <v/>
      </c>
      <c r="Z1532" s="3">
        <f>IF(ISNUMBER(AVERAGE('20250815_ETF_Options_Exhibits'!Z1528:Z1532)),AVERAGE('20250815_ETF_Options_Exhibits'!Z1528:Z1532),"")</f>
        <v/>
      </c>
      <c r="AA1532" s="3">
        <f>IF(ISNUMBER(AVERAGE('20250815_ETF_Options_Exhibits'!AA1528:AA1532)),AVERAGE('20250815_ETF_Options_Exhibits'!AA1528:AA1532),"")</f>
        <v/>
      </c>
    </row>
    <row r="1533">
      <c r="A1533" s="1" t="n">
        <v>44228</v>
      </c>
      <c r="B1533" s="3">
        <f>IF(ISNUMBER(AVERAGE('20250815_ETF_Options_Exhibits'!B1529:B1533)),AVERAGE('20250815_ETF_Options_Exhibits'!B1529:B1533),"")</f>
        <v/>
      </c>
      <c r="C1533" s="3">
        <f>IF(ISNUMBER(AVERAGE('20250815_ETF_Options_Exhibits'!C1529:C1533)),AVERAGE('20250815_ETF_Options_Exhibits'!C1529:C1533),"")</f>
        <v/>
      </c>
      <c r="D1533" s="3">
        <f>IF(ISNUMBER(AVERAGE('20250815_ETF_Options_Exhibits'!D1529:D1533)),AVERAGE('20250815_ETF_Options_Exhibits'!D1529:D1533),"")</f>
        <v/>
      </c>
      <c r="E1533" s="3">
        <f>IF(ISNUMBER(AVERAGE('20250815_ETF_Options_Exhibits'!E1529:E1533)),AVERAGE('20250815_ETF_Options_Exhibits'!E1529:E1533),"")</f>
        <v/>
      </c>
      <c r="F1533" s="3">
        <f>IF(ISNUMBER(AVERAGE('20250815_ETF_Options_Exhibits'!F1529:F1533)),AVERAGE('20250815_ETF_Options_Exhibits'!F1529:F1533),"")</f>
        <v/>
      </c>
      <c r="G1533" s="3">
        <f>IF(ISNUMBER(AVERAGE('20250815_ETF_Options_Exhibits'!G1529:G1533)),AVERAGE('20250815_ETF_Options_Exhibits'!G1529:G1533),"")</f>
        <v/>
      </c>
      <c r="H1533" s="3">
        <f>IF(ISNUMBER(AVERAGE('20250815_ETF_Options_Exhibits'!H1529:H1533)),AVERAGE('20250815_ETF_Options_Exhibits'!H1529:H1533),"")</f>
        <v/>
      </c>
      <c r="I1533" s="3">
        <f>IF(ISNUMBER(AVERAGE('20250815_ETF_Options_Exhibits'!I1529:I1533)),AVERAGE('20250815_ETF_Options_Exhibits'!I1529:I1533),"")</f>
        <v/>
      </c>
      <c r="J1533" s="3">
        <f>IF(ISNUMBER(AVERAGE('20250815_ETF_Options_Exhibits'!J1529:J1533)),AVERAGE('20250815_ETF_Options_Exhibits'!J1529:J1533),"")</f>
        <v/>
      </c>
      <c r="K1533" s="3">
        <f>IF(ISNUMBER(AVERAGE('20250815_ETF_Options_Exhibits'!K1529:K1533)),AVERAGE('20250815_ETF_Options_Exhibits'!K1529:K1533),"")</f>
        <v/>
      </c>
      <c r="L1533" s="3">
        <f>IF(ISNUMBER(AVERAGE('20250815_ETF_Options_Exhibits'!L1529:L1533)),AVERAGE('20250815_ETF_Options_Exhibits'!L1529:L1533),"")</f>
        <v/>
      </c>
      <c r="M1533" s="3">
        <f>IF(ISNUMBER(AVERAGE('20250815_ETF_Options_Exhibits'!M1529:M1533)),AVERAGE('20250815_ETF_Options_Exhibits'!M1529:M1533),"")</f>
        <v/>
      </c>
      <c r="N1533" s="3">
        <f>IF(ISNUMBER(AVERAGE('20250815_ETF_Options_Exhibits'!N1529:N1533)),AVERAGE('20250815_ETF_Options_Exhibits'!N1529:N1533),"")</f>
        <v/>
      </c>
      <c r="O1533" s="3">
        <f>IF(ISNUMBER(AVERAGE('20250815_ETF_Options_Exhibits'!O1529:O1533)),AVERAGE('20250815_ETF_Options_Exhibits'!O1529:O1533),"")</f>
        <v/>
      </c>
      <c r="P1533" s="3">
        <f>IF(ISNUMBER(AVERAGE('20250815_ETF_Options_Exhibits'!P1529:P1533)),AVERAGE('20250815_ETF_Options_Exhibits'!P1529:P1533),"")</f>
        <v/>
      </c>
      <c r="Q1533" s="3">
        <f>IF(ISNUMBER(AVERAGE('20250815_ETF_Options_Exhibits'!Q1529:Q1533)),AVERAGE('20250815_ETF_Options_Exhibits'!Q1529:Q1533),"")</f>
        <v/>
      </c>
      <c r="R1533" s="3">
        <f>IF(ISNUMBER(AVERAGE('20250815_ETF_Options_Exhibits'!R1529:R1533)),AVERAGE('20250815_ETF_Options_Exhibits'!R1529:R1533),"")</f>
        <v/>
      </c>
      <c r="S1533" s="3">
        <f>IF(ISNUMBER(AVERAGE('20250815_ETF_Options_Exhibits'!S1529:S1533)),AVERAGE('20250815_ETF_Options_Exhibits'!S1529:S1533),"")</f>
        <v/>
      </c>
      <c r="T1533" s="3">
        <f>IF(ISNUMBER(AVERAGE('20250815_ETF_Options_Exhibits'!T1529:T1533)),AVERAGE('20250815_ETF_Options_Exhibits'!T1529:T1533),"")</f>
        <v/>
      </c>
      <c r="U1533" s="3">
        <f>IF(ISNUMBER(AVERAGE('20250815_ETF_Options_Exhibits'!U1529:U1533)),AVERAGE('20250815_ETF_Options_Exhibits'!U1529:U1533),"")</f>
        <v/>
      </c>
      <c r="V1533" s="3">
        <f>IF(ISNUMBER(AVERAGE('20250815_ETF_Options_Exhibits'!V1529:V1533)),AVERAGE('20250815_ETF_Options_Exhibits'!V1529:V1533),"")</f>
        <v/>
      </c>
      <c r="W1533" s="3">
        <f>IF(ISNUMBER(AVERAGE('20250815_ETF_Options_Exhibits'!W1529:W1533)),AVERAGE('20250815_ETF_Options_Exhibits'!W1529:W1533),"")</f>
        <v/>
      </c>
      <c r="X1533" s="3">
        <f>IF(ISNUMBER(AVERAGE('20250815_ETF_Options_Exhibits'!X1529:X1533)),AVERAGE('20250815_ETF_Options_Exhibits'!X1529:X1533),"")</f>
        <v/>
      </c>
      <c r="Y1533" s="3">
        <f>IF(ISNUMBER(AVERAGE('20250815_ETF_Options_Exhibits'!Y1529:Y1533)),AVERAGE('20250815_ETF_Options_Exhibits'!Y1529:Y1533),"")</f>
        <v/>
      </c>
      <c r="Z1533" s="3">
        <f>IF(ISNUMBER(AVERAGE('20250815_ETF_Options_Exhibits'!Z1529:Z1533)),AVERAGE('20250815_ETF_Options_Exhibits'!Z1529:Z1533),"")</f>
        <v/>
      </c>
      <c r="AA1533" s="3">
        <f>IF(ISNUMBER(AVERAGE('20250815_ETF_Options_Exhibits'!AA1529:AA1533)),AVERAGE('20250815_ETF_Options_Exhibits'!AA1529:AA1533),"")</f>
        <v/>
      </c>
    </row>
    <row r="1534">
      <c r="A1534" s="1" t="n">
        <v>44229</v>
      </c>
      <c r="B1534" s="3">
        <f>IF(ISNUMBER(AVERAGE('20250815_ETF_Options_Exhibits'!B1530:B1534)),AVERAGE('20250815_ETF_Options_Exhibits'!B1530:B1534),"")</f>
        <v/>
      </c>
      <c r="C1534" s="3">
        <f>IF(ISNUMBER(AVERAGE('20250815_ETF_Options_Exhibits'!C1530:C1534)),AVERAGE('20250815_ETF_Options_Exhibits'!C1530:C1534),"")</f>
        <v/>
      </c>
      <c r="D1534" s="3">
        <f>IF(ISNUMBER(AVERAGE('20250815_ETF_Options_Exhibits'!D1530:D1534)),AVERAGE('20250815_ETF_Options_Exhibits'!D1530:D1534),"")</f>
        <v/>
      </c>
      <c r="E1534" s="3">
        <f>IF(ISNUMBER(AVERAGE('20250815_ETF_Options_Exhibits'!E1530:E1534)),AVERAGE('20250815_ETF_Options_Exhibits'!E1530:E1534),"")</f>
        <v/>
      </c>
      <c r="F1534" s="3">
        <f>IF(ISNUMBER(AVERAGE('20250815_ETF_Options_Exhibits'!F1530:F1534)),AVERAGE('20250815_ETF_Options_Exhibits'!F1530:F1534),"")</f>
        <v/>
      </c>
      <c r="G1534" s="3">
        <f>IF(ISNUMBER(AVERAGE('20250815_ETF_Options_Exhibits'!G1530:G1534)),AVERAGE('20250815_ETF_Options_Exhibits'!G1530:G1534),"")</f>
        <v/>
      </c>
      <c r="H1534" s="3">
        <f>IF(ISNUMBER(AVERAGE('20250815_ETF_Options_Exhibits'!H1530:H1534)),AVERAGE('20250815_ETF_Options_Exhibits'!H1530:H1534),"")</f>
        <v/>
      </c>
      <c r="I1534" s="3">
        <f>IF(ISNUMBER(AVERAGE('20250815_ETF_Options_Exhibits'!I1530:I1534)),AVERAGE('20250815_ETF_Options_Exhibits'!I1530:I1534),"")</f>
        <v/>
      </c>
      <c r="J1534" s="3">
        <f>IF(ISNUMBER(AVERAGE('20250815_ETF_Options_Exhibits'!J1530:J1534)),AVERAGE('20250815_ETF_Options_Exhibits'!J1530:J1534),"")</f>
        <v/>
      </c>
      <c r="K1534" s="3">
        <f>IF(ISNUMBER(AVERAGE('20250815_ETF_Options_Exhibits'!K1530:K1534)),AVERAGE('20250815_ETF_Options_Exhibits'!K1530:K1534),"")</f>
        <v/>
      </c>
      <c r="L1534" s="3">
        <f>IF(ISNUMBER(AVERAGE('20250815_ETF_Options_Exhibits'!L1530:L1534)),AVERAGE('20250815_ETF_Options_Exhibits'!L1530:L1534),"")</f>
        <v/>
      </c>
      <c r="M1534" s="3">
        <f>IF(ISNUMBER(AVERAGE('20250815_ETF_Options_Exhibits'!M1530:M1534)),AVERAGE('20250815_ETF_Options_Exhibits'!M1530:M1534),"")</f>
        <v/>
      </c>
      <c r="N1534" s="3">
        <f>IF(ISNUMBER(AVERAGE('20250815_ETF_Options_Exhibits'!N1530:N1534)),AVERAGE('20250815_ETF_Options_Exhibits'!N1530:N1534),"")</f>
        <v/>
      </c>
      <c r="O1534" s="3">
        <f>IF(ISNUMBER(AVERAGE('20250815_ETF_Options_Exhibits'!O1530:O1534)),AVERAGE('20250815_ETF_Options_Exhibits'!O1530:O1534),"")</f>
        <v/>
      </c>
      <c r="P1534" s="3">
        <f>IF(ISNUMBER(AVERAGE('20250815_ETF_Options_Exhibits'!P1530:P1534)),AVERAGE('20250815_ETF_Options_Exhibits'!P1530:P1534),"")</f>
        <v/>
      </c>
      <c r="Q1534" s="3">
        <f>IF(ISNUMBER(AVERAGE('20250815_ETF_Options_Exhibits'!Q1530:Q1534)),AVERAGE('20250815_ETF_Options_Exhibits'!Q1530:Q1534),"")</f>
        <v/>
      </c>
      <c r="R1534" s="3">
        <f>IF(ISNUMBER(AVERAGE('20250815_ETF_Options_Exhibits'!R1530:R1534)),AVERAGE('20250815_ETF_Options_Exhibits'!R1530:R1534),"")</f>
        <v/>
      </c>
      <c r="S1534" s="3">
        <f>IF(ISNUMBER(AVERAGE('20250815_ETF_Options_Exhibits'!S1530:S1534)),AVERAGE('20250815_ETF_Options_Exhibits'!S1530:S1534),"")</f>
        <v/>
      </c>
      <c r="T1534" s="3">
        <f>IF(ISNUMBER(AVERAGE('20250815_ETF_Options_Exhibits'!T1530:T1534)),AVERAGE('20250815_ETF_Options_Exhibits'!T1530:T1534),"")</f>
        <v/>
      </c>
      <c r="U1534" s="3">
        <f>IF(ISNUMBER(AVERAGE('20250815_ETF_Options_Exhibits'!U1530:U1534)),AVERAGE('20250815_ETF_Options_Exhibits'!U1530:U1534),"")</f>
        <v/>
      </c>
      <c r="V1534" s="3">
        <f>IF(ISNUMBER(AVERAGE('20250815_ETF_Options_Exhibits'!V1530:V1534)),AVERAGE('20250815_ETF_Options_Exhibits'!V1530:V1534),"")</f>
        <v/>
      </c>
      <c r="W1534" s="3">
        <f>IF(ISNUMBER(AVERAGE('20250815_ETF_Options_Exhibits'!W1530:W1534)),AVERAGE('20250815_ETF_Options_Exhibits'!W1530:W1534),"")</f>
        <v/>
      </c>
      <c r="X1534" s="3">
        <f>IF(ISNUMBER(AVERAGE('20250815_ETF_Options_Exhibits'!X1530:X1534)),AVERAGE('20250815_ETF_Options_Exhibits'!X1530:X1534),"")</f>
        <v/>
      </c>
      <c r="Y1534" s="3">
        <f>IF(ISNUMBER(AVERAGE('20250815_ETF_Options_Exhibits'!Y1530:Y1534)),AVERAGE('20250815_ETF_Options_Exhibits'!Y1530:Y1534),"")</f>
        <v/>
      </c>
      <c r="Z1534" s="3">
        <f>IF(ISNUMBER(AVERAGE('20250815_ETF_Options_Exhibits'!Z1530:Z1534)),AVERAGE('20250815_ETF_Options_Exhibits'!Z1530:Z1534),"")</f>
        <v/>
      </c>
      <c r="AA1534" s="3">
        <f>IF(ISNUMBER(AVERAGE('20250815_ETF_Options_Exhibits'!AA1530:AA1534)),AVERAGE('20250815_ETF_Options_Exhibits'!AA1530:AA1534),"")</f>
        <v/>
      </c>
    </row>
    <row r="1535">
      <c r="A1535" s="1" t="n">
        <v>44230</v>
      </c>
      <c r="B1535" s="3">
        <f>IF(ISNUMBER(AVERAGE('20250815_ETF_Options_Exhibits'!B1531:B1535)),AVERAGE('20250815_ETF_Options_Exhibits'!B1531:B1535),"")</f>
        <v/>
      </c>
      <c r="C1535" s="3">
        <f>IF(ISNUMBER(AVERAGE('20250815_ETF_Options_Exhibits'!C1531:C1535)),AVERAGE('20250815_ETF_Options_Exhibits'!C1531:C1535),"")</f>
        <v/>
      </c>
      <c r="D1535" s="3">
        <f>IF(ISNUMBER(AVERAGE('20250815_ETF_Options_Exhibits'!D1531:D1535)),AVERAGE('20250815_ETF_Options_Exhibits'!D1531:D1535),"")</f>
        <v/>
      </c>
      <c r="E1535" s="3">
        <f>IF(ISNUMBER(AVERAGE('20250815_ETF_Options_Exhibits'!E1531:E1535)),AVERAGE('20250815_ETF_Options_Exhibits'!E1531:E1535),"")</f>
        <v/>
      </c>
      <c r="F1535" s="3">
        <f>IF(ISNUMBER(AVERAGE('20250815_ETF_Options_Exhibits'!F1531:F1535)),AVERAGE('20250815_ETF_Options_Exhibits'!F1531:F1535),"")</f>
        <v/>
      </c>
      <c r="G1535" s="3">
        <f>IF(ISNUMBER(AVERAGE('20250815_ETF_Options_Exhibits'!G1531:G1535)),AVERAGE('20250815_ETF_Options_Exhibits'!G1531:G1535),"")</f>
        <v/>
      </c>
      <c r="H1535" s="3">
        <f>IF(ISNUMBER(AVERAGE('20250815_ETF_Options_Exhibits'!H1531:H1535)),AVERAGE('20250815_ETF_Options_Exhibits'!H1531:H1535),"")</f>
        <v/>
      </c>
      <c r="I1535" s="3">
        <f>IF(ISNUMBER(AVERAGE('20250815_ETF_Options_Exhibits'!I1531:I1535)),AVERAGE('20250815_ETF_Options_Exhibits'!I1531:I1535),"")</f>
        <v/>
      </c>
      <c r="J1535" s="3">
        <f>IF(ISNUMBER(AVERAGE('20250815_ETF_Options_Exhibits'!J1531:J1535)),AVERAGE('20250815_ETF_Options_Exhibits'!J1531:J1535),"")</f>
        <v/>
      </c>
      <c r="K1535" s="3">
        <f>IF(ISNUMBER(AVERAGE('20250815_ETF_Options_Exhibits'!K1531:K1535)),AVERAGE('20250815_ETF_Options_Exhibits'!K1531:K1535),"")</f>
        <v/>
      </c>
      <c r="L1535" s="3">
        <f>IF(ISNUMBER(AVERAGE('20250815_ETF_Options_Exhibits'!L1531:L1535)),AVERAGE('20250815_ETF_Options_Exhibits'!L1531:L1535),"")</f>
        <v/>
      </c>
      <c r="M1535" s="3">
        <f>IF(ISNUMBER(AVERAGE('20250815_ETF_Options_Exhibits'!M1531:M1535)),AVERAGE('20250815_ETF_Options_Exhibits'!M1531:M1535),"")</f>
        <v/>
      </c>
      <c r="N1535" s="3">
        <f>IF(ISNUMBER(AVERAGE('20250815_ETF_Options_Exhibits'!N1531:N1535)),AVERAGE('20250815_ETF_Options_Exhibits'!N1531:N1535),"")</f>
        <v/>
      </c>
      <c r="O1535" s="3">
        <f>IF(ISNUMBER(AVERAGE('20250815_ETF_Options_Exhibits'!O1531:O1535)),AVERAGE('20250815_ETF_Options_Exhibits'!O1531:O1535),"")</f>
        <v/>
      </c>
      <c r="P1535" s="3">
        <f>IF(ISNUMBER(AVERAGE('20250815_ETF_Options_Exhibits'!P1531:P1535)),AVERAGE('20250815_ETF_Options_Exhibits'!P1531:P1535),"")</f>
        <v/>
      </c>
      <c r="Q1535" s="3">
        <f>IF(ISNUMBER(AVERAGE('20250815_ETF_Options_Exhibits'!Q1531:Q1535)),AVERAGE('20250815_ETF_Options_Exhibits'!Q1531:Q1535),"")</f>
        <v/>
      </c>
      <c r="R1535" s="3">
        <f>IF(ISNUMBER(AVERAGE('20250815_ETF_Options_Exhibits'!R1531:R1535)),AVERAGE('20250815_ETF_Options_Exhibits'!R1531:R1535),"")</f>
        <v/>
      </c>
      <c r="S1535" s="3">
        <f>IF(ISNUMBER(AVERAGE('20250815_ETF_Options_Exhibits'!S1531:S1535)),AVERAGE('20250815_ETF_Options_Exhibits'!S1531:S1535),"")</f>
        <v/>
      </c>
      <c r="T1535" s="3">
        <f>IF(ISNUMBER(AVERAGE('20250815_ETF_Options_Exhibits'!T1531:T1535)),AVERAGE('20250815_ETF_Options_Exhibits'!T1531:T1535),"")</f>
        <v/>
      </c>
      <c r="U1535" s="3">
        <f>IF(ISNUMBER(AVERAGE('20250815_ETF_Options_Exhibits'!U1531:U1535)),AVERAGE('20250815_ETF_Options_Exhibits'!U1531:U1535),"")</f>
        <v/>
      </c>
      <c r="V1535" s="3">
        <f>IF(ISNUMBER(AVERAGE('20250815_ETF_Options_Exhibits'!V1531:V1535)),AVERAGE('20250815_ETF_Options_Exhibits'!V1531:V1535),"")</f>
        <v/>
      </c>
      <c r="W1535" s="3">
        <f>IF(ISNUMBER(AVERAGE('20250815_ETF_Options_Exhibits'!W1531:W1535)),AVERAGE('20250815_ETF_Options_Exhibits'!W1531:W1535),"")</f>
        <v/>
      </c>
      <c r="X1535" s="3">
        <f>IF(ISNUMBER(AVERAGE('20250815_ETF_Options_Exhibits'!X1531:X1535)),AVERAGE('20250815_ETF_Options_Exhibits'!X1531:X1535),"")</f>
        <v/>
      </c>
      <c r="Y1535" s="3">
        <f>IF(ISNUMBER(AVERAGE('20250815_ETF_Options_Exhibits'!Y1531:Y1535)),AVERAGE('20250815_ETF_Options_Exhibits'!Y1531:Y1535),"")</f>
        <v/>
      </c>
      <c r="Z1535" s="3">
        <f>IF(ISNUMBER(AVERAGE('20250815_ETF_Options_Exhibits'!Z1531:Z1535)),AVERAGE('20250815_ETF_Options_Exhibits'!Z1531:Z1535),"")</f>
        <v/>
      </c>
      <c r="AA1535" s="3">
        <f>IF(ISNUMBER(AVERAGE('20250815_ETF_Options_Exhibits'!AA1531:AA1535)),AVERAGE('20250815_ETF_Options_Exhibits'!AA1531:AA1535),"")</f>
        <v/>
      </c>
    </row>
    <row r="1536">
      <c r="A1536" s="1" t="n">
        <v>44231</v>
      </c>
      <c r="B1536" s="3">
        <f>IF(ISNUMBER(AVERAGE('20250815_ETF_Options_Exhibits'!B1532:B1536)),AVERAGE('20250815_ETF_Options_Exhibits'!B1532:B1536),"")</f>
        <v/>
      </c>
      <c r="C1536" s="3">
        <f>IF(ISNUMBER(AVERAGE('20250815_ETF_Options_Exhibits'!C1532:C1536)),AVERAGE('20250815_ETF_Options_Exhibits'!C1532:C1536),"")</f>
        <v/>
      </c>
      <c r="D1536" s="3">
        <f>IF(ISNUMBER(AVERAGE('20250815_ETF_Options_Exhibits'!D1532:D1536)),AVERAGE('20250815_ETF_Options_Exhibits'!D1532:D1536),"")</f>
        <v/>
      </c>
      <c r="E1536" s="3">
        <f>IF(ISNUMBER(AVERAGE('20250815_ETF_Options_Exhibits'!E1532:E1536)),AVERAGE('20250815_ETF_Options_Exhibits'!E1532:E1536),"")</f>
        <v/>
      </c>
      <c r="F1536" s="3">
        <f>IF(ISNUMBER(AVERAGE('20250815_ETF_Options_Exhibits'!F1532:F1536)),AVERAGE('20250815_ETF_Options_Exhibits'!F1532:F1536),"")</f>
        <v/>
      </c>
      <c r="G1536" s="3">
        <f>IF(ISNUMBER(AVERAGE('20250815_ETF_Options_Exhibits'!G1532:G1536)),AVERAGE('20250815_ETF_Options_Exhibits'!G1532:G1536),"")</f>
        <v/>
      </c>
      <c r="H1536" s="3">
        <f>IF(ISNUMBER(AVERAGE('20250815_ETF_Options_Exhibits'!H1532:H1536)),AVERAGE('20250815_ETF_Options_Exhibits'!H1532:H1536),"")</f>
        <v/>
      </c>
      <c r="I1536" s="3">
        <f>IF(ISNUMBER(AVERAGE('20250815_ETF_Options_Exhibits'!I1532:I1536)),AVERAGE('20250815_ETF_Options_Exhibits'!I1532:I1536),"")</f>
        <v/>
      </c>
      <c r="J1536" s="3">
        <f>IF(ISNUMBER(AVERAGE('20250815_ETF_Options_Exhibits'!J1532:J1536)),AVERAGE('20250815_ETF_Options_Exhibits'!J1532:J1536),"")</f>
        <v/>
      </c>
      <c r="K1536" s="3">
        <f>IF(ISNUMBER(AVERAGE('20250815_ETF_Options_Exhibits'!K1532:K1536)),AVERAGE('20250815_ETF_Options_Exhibits'!K1532:K1536),"")</f>
        <v/>
      </c>
      <c r="L1536" s="3">
        <f>IF(ISNUMBER(AVERAGE('20250815_ETF_Options_Exhibits'!L1532:L1536)),AVERAGE('20250815_ETF_Options_Exhibits'!L1532:L1536),"")</f>
        <v/>
      </c>
      <c r="M1536" s="3">
        <f>IF(ISNUMBER(AVERAGE('20250815_ETF_Options_Exhibits'!M1532:M1536)),AVERAGE('20250815_ETF_Options_Exhibits'!M1532:M1536),"")</f>
        <v/>
      </c>
      <c r="N1536" s="3">
        <f>IF(ISNUMBER(AVERAGE('20250815_ETF_Options_Exhibits'!N1532:N1536)),AVERAGE('20250815_ETF_Options_Exhibits'!N1532:N1536),"")</f>
        <v/>
      </c>
      <c r="O1536" s="3">
        <f>IF(ISNUMBER(AVERAGE('20250815_ETF_Options_Exhibits'!O1532:O1536)),AVERAGE('20250815_ETF_Options_Exhibits'!O1532:O1536),"")</f>
        <v/>
      </c>
      <c r="P1536" s="3">
        <f>IF(ISNUMBER(AVERAGE('20250815_ETF_Options_Exhibits'!P1532:P1536)),AVERAGE('20250815_ETF_Options_Exhibits'!P1532:P1536),"")</f>
        <v/>
      </c>
      <c r="Q1536" s="3">
        <f>IF(ISNUMBER(AVERAGE('20250815_ETF_Options_Exhibits'!Q1532:Q1536)),AVERAGE('20250815_ETF_Options_Exhibits'!Q1532:Q1536),"")</f>
        <v/>
      </c>
      <c r="R1536" s="3">
        <f>IF(ISNUMBER(AVERAGE('20250815_ETF_Options_Exhibits'!R1532:R1536)),AVERAGE('20250815_ETF_Options_Exhibits'!R1532:R1536),"")</f>
        <v/>
      </c>
      <c r="S1536" s="3">
        <f>IF(ISNUMBER(AVERAGE('20250815_ETF_Options_Exhibits'!S1532:S1536)),AVERAGE('20250815_ETF_Options_Exhibits'!S1532:S1536),"")</f>
        <v/>
      </c>
      <c r="T1536" s="3">
        <f>IF(ISNUMBER(AVERAGE('20250815_ETF_Options_Exhibits'!T1532:T1536)),AVERAGE('20250815_ETF_Options_Exhibits'!T1532:T1536),"")</f>
        <v/>
      </c>
      <c r="U1536" s="3">
        <f>IF(ISNUMBER(AVERAGE('20250815_ETF_Options_Exhibits'!U1532:U1536)),AVERAGE('20250815_ETF_Options_Exhibits'!U1532:U1536),"")</f>
        <v/>
      </c>
      <c r="V1536" s="3">
        <f>IF(ISNUMBER(AVERAGE('20250815_ETF_Options_Exhibits'!V1532:V1536)),AVERAGE('20250815_ETF_Options_Exhibits'!V1532:V1536),"")</f>
        <v/>
      </c>
      <c r="W1536" s="3">
        <f>IF(ISNUMBER(AVERAGE('20250815_ETF_Options_Exhibits'!W1532:W1536)),AVERAGE('20250815_ETF_Options_Exhibits'!W1532:W1536),"")</f>
        <v/>
      </c>
      <c r="X1536" s="3">
        <f>IF(ISNUMBER(AVERAGE('20250815_ETF_Options_Exhibits'!X1532:X1536)),AVERAGE('20250815_ETF_Options_Exhibits'!X1532:X1536),"")</f>
        <v/>
      </c>
      <c r="Y1536" s="3">
        <f>IF(ISNUMBER(AVERAGE('20250815_ETF_Options_Exhibits'!Y1532:Y1536)),AVERAGE('20250815_ETF_Options_Exhibits'!Y1532:Y1536),"")</f>
        <v/>
      </c>
      <c r="Z1536" s="3">
        <f>IF(ISNUMBER(AVERAGE('20250815_ETF_Options_Exhibits'!Z1532:Z1536)),AVERAGE('20250815_ETF_Options_Exhibits'!Z1532:Z1536),"")</f>
        <v/>
      </c>
      <c r="AA1536" s="3">
        <f>IF(ISNUMBER(AVERAGE('20250815_ETF_Options_Exhibits'!AA1532:AA1536)),AVERAGE('20250815_ETF_Options_Exhibits'!AA1532:AA1536),"")</f>
        <v/>
      </c>
    </row>
    <row r="1537">
      <c r="A1537" s="1" t="n">
        <v>44232</v>
      </c>
      <c r="B1537" s="3">
        <f>IF(ISNUMBER(AVERAGE('20250815_ETF_Options_Exhibits'!B1533:B1537)),AVERAGE('20250815_ETF_Options_Exhibits'!B1533:B1537),"")</f>
        <v/>
      </c>
      <c r="C1537" s="3">
        <f>IF(ISNUMBER(AVERAGE('20250815_ETF_Options_Exhibits'!C1533:C1537)),AVERAGE('20250815_ETF_Options_Exhibits'!C1533:C1537),"")</f>
        <v/>
      </c>
      <c r="D1537" s="3">
        <f>IF(ISNUMBER(AVERAGE('20250815_ETF_Options_Exhibits'!D1533:D1537)),AVERAGE('20250815_ETF_Options_Exhibits'!D1533:D1537),"")</f>
        <v/>
      </c>
      <c r="E1537" s="3">
        <f>IF(ISNUMBER(AVERAGE('20250815_ETF_Options_Exhibits'!E1533:E1537)),AVERAGE('20250815_ETF_Options_Exhibits'!E1533:E1537),"")</f>
        <v/>
      </c>
      <c r="F1537" s="3">
        <f>IF(ISNUMBER(AVERAGE('20250815_ETF_Options_Exhibits'!F1533:F1537)),AVERAGE('20250815_ETF_Options_Exhibits'!F1533:F1537),"")</f>
        <v/>
      </c>
      <c r="G1537" s="3">
        <f>IF(ISNUMBER(AVERAGE('20250815_ETF_Options_Exhibits'!G1533:G1537)),AVERAGE('20250815_ETF_Options_Exhibits'!G1533:G1537),"")</f>
        <v/>
      </c>
      <c r="H1537" s="3">
        <f>IF(ISNUMBER(AVERAGE('20250815_ETF_Options_Exhibits'!H1533:H1537)),AVERAGE('20250815_ETF_Options_Exhibits'!H1533:H1537),"")</f>
        <v/>
      </c>
      <c r="I1537" s="3">
        <f>IF(ISNUMBER(AVERAGE('20250815_ETF_Options_Exhibits'!I1533:I1537)),AVERAGE('20250815_ETF_Options_Exhibits'!I1533:I1537),"")</f>
        <v/>
      </c>
      <c r="J1537" s="3">
        <f>IF(ISNUMBER(AVERAGE('20250815_ETF_Options_Exhibits'!J1533:J1537)),AVERAGE('20250815_ETF_Options_Exhibits'!J1533:J1537),"")</f>
        <v/>
      </c>
      <c r="K1537" s="3">
        <f>IF(ISNUMBER(AVERAGE('20250815_ETF_Options_Exhibits'!K1533:K1537)),AVERAGE('20250815_ETF_Options_Exhibits'!K1533:K1537),"")</f>
        <v/>
      </c>
      <c r="L1537" s="3">
        <f>IF(ISNUMBER(AVERAGE('20250815_ETF_Options_Exhibits'!L1533:L1537)),AVERAGE('20250815_ETF_Options_Exhibits'!L1533:L1537),"")</f>
        <v/>
      </c>
      <c r="M1537" s="3">
        <f>IF(ISNUMBER(AVERAGE('20250815_ETF_Options_Exhibits'!M1533:M1537)),AVERAGE('20250815_ETF_Options_Exhibits'!M1533:M1537),"")</f>
        <v/>
      </c>
      <c r="N1537" s="3">
        <f>IF(ISNUMBER(AVERAGE('20250815_ETF_Options_Exhibits'!N1533:N1537)),AVERAGE('20250815_ETF_Options_Exhibits'!N1533:N1537),"")</f>
        <v/>
      </c>
      <c r="O1537" s="3">
        <f>IF(ISNUMBER(AVERAGE('20250815_ETF_Options_Exhibits'!O1533:O1537)),AVERAGE('20250815_ETF_Options_Exhibits'!O1533:O1537),"")</f>
        <v/>
      </c>
      <c r="P1537" s="3">
        <f>IF(ISNUMBER(AVERAGE('20250815_ETF_Options_Exhibits'!P1533:P1537)),AVERAGE('20250815_ETF_Options_Exhibits'!P1533:P1537),"")</f>
        <v/>
      </c>
      <c r="Q1537" s="3">
        <f>IF(ISNUMBER(AVERAGE('20250815_ETF_Options_Exhibits'!Q1533:Q1537)),AVERAGE('20250815_ETF_Options_Exhibits'!Q1533:Q1537),"")</f>
        <v/>
      </c>
      <c r="R1537" s="3">
        <f>IF(ISNUMBER(AVERAGE('20250815_ETF_Options_Exhibits'!R1533:R1537)),AVERAGE('20250815_ETF_Options_Exhibits'!R1533:R1537),"")</f>
        <v/>
      </c>
      <c r="S1537" s="3">
        <f>IF(ISNUMBER(AVERAGE('20250815_ETF_Options_Exhibits'!S1533:S1537)),AVERAGE('20250815_ETF_Options_Exhibits'!S1533:S1537),"")</f>
        <v/>
      </c>
      <c r="T1537" s="3">
        <f>IF(ISNUMBER(AVERAGE('20250815_ETF_Options_Exhibits'!T1533:T1537)),AVERAGE('20250815_ETF_Options_Exhibits'!T1533:T1537),"")</f>
        <v/>
      </c>
      <c r="U1537" s="3">
        <f>IF(ISNUMBER(AVERAGE('20250815_ETF_Options_Exhibits'!U1533:U1537)),AVERAGE('20250815_ETF_Options_Exhibits'!U1533:U1537),"")</f>
        <v/>
      </c>
      <c r="V1537" s="3">
        <f>IF(ISNUMBER(AVERAGE('20250815_ETF_Options_Exhibits'!V1533:V1537)),AVERAGE('20250815_ETF_Options_Exhibits'!V1533:V1537),"")</f>
        <v/>
      </c>
      <c r="W1537" s="3">
        <f>IF(ISNUMBER(AVERAGE('20250815_ETF_Options_Exhibits'!W1533:W1537)),AVERAGE('20250815_ETF_Options_Exhibits'!W1533:W1537),"")</f>
        <v/>
      </c>
      <c r="X1537" s="3">
        <f>IF(ISNUMBER(AVERAGE('20250815_ETF_Options_Exhibits'!X1533:X1537)),AVERAGE('20250815_ETF_Options_Exhibits'!X1533:X1537),"")</f>
        <v/>
      </c>
      <c r="Y1537" s="3">
        <f>IF(ISNUMBER(AVERAGE('20250815_ETF_Options_Exhibits'!Y1533:Y1537)),AVERAGE('20250815_ETF_Options_Exhibits'!Y1533:Y1537),"")</f>
        <v/>
      </c>
      <c r="Z1537" s="3">
        <f>IF(ISNUMBER(AVERAGE('20250815_ETF_Options_Exhibits'!Z1533:Z1537)),AVERAGE('20250815_ETF_Options_Exhibits'!Z1533:Z1537),"")</f>
        <v/>
      </c>
      <c r="AA1537" s="3">
        <f>IF(ISNUMBER(AVERAGE('20250815_ETF_Options_Exhibits'!AA1533:AA1537)),AVERAGE('20250815_ETF_Options_Exhibits'!AA1533:AA1537),"")</f>
        <v/>
      </c>
    </row>
    <row r="1538">
      <c r="A1538" s="1" t="n">
        <v>44235</v>
      </c>
      <c r="B1538" s="3">
        <f>IF(ISNUMBER(AVERAGE('20250815_ETF_Options_Exhibits'!B1534:B1538)),AVERAGE('20250815_ETF_Options_Exhibits'!B1534:B1538),"")</f>
        <v/>
      </c>
      <c r="C1538" s="3">
        <f>IF(ISNUMBER(AVERAGE('20250815_ETF_Options_Exhibits'!C1534:C1538)),AVERAGE('20250815_ETF_Options_Exhibits'!C1534:C1538),"")</f>
        <v/>
      </c>
      <c r="D1538" s="3">
        <f>IF(ISNUMBER(AVERAGE('20250815_ETF_Options_Exhibits'!D1534:D1538)),AVERAGE('20250815_ETF_Options_Exhibits'!D1534:D1538),"")</f>
        <v/>
      </c>
      <c r="E1538" s="3">
        <f>IF(ISNUMBER(AVERAGE('20250815_ETF_Options_Exhibits'!E1534:E1538)),AVERAGE('20250815_ETF_Options_Exhibits'!E1534:E1538),"")</f>
        <v/>
      </c>
      <c r="F1538" s="3">
        <f>IF(ISNUMBER(AVERAGE('20250815_ETF_Options_Exhibits'!F1534:F1538)),AVERAGE('20250815_ETF_Options_Exhibits'!F1534:F1538),"")</f>
        <v/>
      </c>
      <c r="G1538" s="3">
        <f>IF(ISNUMBER(AVERAGE('20250815_ETF_Options_Exhibits'!G1534:G1538)),AVERAGE('20250815_ETF_Options_Exhibits'!G1534:G1538),"")</f>
        <v/>
      </c>
      <c r="H1538" s="3">
        <f>IF(ISNUMBER(AVERAGE('20250815_ETF_Options_Exhibits'!H1534:H1538)),AVERAGE('20250815_ETF_Options_Exhibits'!H1534:H1538),"")</f>
        <v/>
      </c>
      <c r="I1538" s="3">
        <f>IF(ISNUMBER(AVERAGE('20250815_ETF_Options_Exhibits'!I1534:I1538)),AVERAGE('20250815_ETF_Options_Exhibits'!I1534:I1538),"")</f>
        <v/>
      </c>
      <c r="J1538" s="3">
        <f>IF(ISNUMBER(AVERAGE('20250815_ETF_Options_Exhibits'!J1534:J1538)),AVERAGE('20250815_ETF_Options_Exhibits'!J1534:J1538),"")</f>
        <v/>
      </c>
      <c r="K1538" s="3">
        <f>IF(ISNUMBER(AVERAGE('20250815_ETF_Options_Exhibits'!K1534:K1538)),AVERAGE('20250815_ETF_Options_Exhibits'!K1534:K1538),"")</f>
        <v/>
      </c>
      <c r="L1538" s="3">
        <f>IF(ISNUMBER(AVERAGE('20250815_ETF_Options_Exhibits'!L1534:L1538)),AVERAGE('20250815_ETF_Options_Exhibits'!L1534:L1538),"")</f>
        <v/>
      </c>
      <c r="M1538" s="3">
        <f>IF(ISNUMBER(AVERAGE('20250815_ETF_Options_Exhibits'!M1534:M1538)),AVERAGE('20250815_ETF_Options_Exhibits'!M1534:M1538),"")</f>
        <v/>
      </c>
      <c r="N1538" s="3">
        <f>IF(ISNUMBER(AVERAGE('20250815_ETF_Options_Exhibits'!N1534:N1538)),AVERAGE('20250815_ETF_Options_Exhibits'!N1534:N1538),"")</f>
        <v/>
      </c>
      <c r="O1538" s="3">
        <f>IF(ISNUMBER(AVERAGE('20250815_ETF_Options_Exhibits'!O1534:O1538)),AVERAGE('20250815_ETF_Options_Exhibits'!O1534:O1538),"")</f>
        <v/>
      </c>
      <c r="P1538" s="3">
        <f>IF(ISNUMBER(AVERAGE('20250815_ETF_Options_Exhibits'!P1534:P1538)),AVERAGE('20250815_ETF_Options_Exhibits'!P1534:P1538),"")</f>
        <v/>
      </c>
      <c r="Q1538" s="3">
        <f>IF(ISNUMBER(AVERAGE('20250815_ETF_Options_Exhibits'!Q1534:Q1538)),AVERAGE('20250815_ETF_Options_Exhibits'!Q1534:Q1538),"")</f>
        <v/>
      </c>
      <c r="R1538" s="3">
        <f>IF(ISNUMBER(AVERAGE('20250815_ETF_Options_Exhibits'!R1534:R1538)),AVERAGE('20250815_ETF_Options_Exhibits'!R1534:R1538),"")</f>
        <v/>
      </c>
      <c r="S1538" s="3">
        <f>IF(ISNUMBER(AVERAGE('20250815_ETF_Options_Exhibits'!S1534:S1538)),AVERAGE('20250815_ETF_Options_Exhibits'!S1534:S1538),"")</f>
        <v/>
      </c>
      <c r="T1538" s="3">
        <f>IF(ISNUMBER(AVERAGE('20250815_ETF_Options_Exhibits'!T1534:T1538)),AVERAGE('20250815_ETF_Options_Exhibits'!T1534:T1538),"")</f>
        <v/>
      </c>
      <c r="U1538" s="3">
        <f>IF(ISNUMBER(AVERAGE('20250815_ETF_Options_Exhibits'!U1534:U1538)),AVERAGE('20250815_ETF_Options_Exhibits'!U1534:U1538),"")</f>
        <v/>
      </c>
      <c r="V1538" s="3">
        <f>IF(ISNUMBER(AVERAGE('20250815_ETF_Options_Exhibits'!V1534:V1538)),AVERAGE('20250815_ETF_Options_Exhibits'!V1534:V1538),"")</f>
        <v/>
      </c>
      <c r="W1538" s="3">
        <f>IF(ISNUMBER(AVERAGE('20250815_ETF_Options_Exhibits'!W1534:W1538)),AVERAGE('20250815_ETF_Options_Exhibits'!W1534:W1538),"")</f>
        <v/>
      </c>
      <c r="X1538" s="3">
        <f>IF(ISNUMBER(AVERAGE('20250815_ETF_Options_Exhibits'!X1534:X1538)),AVERAGE('20250815_ETF_Options_Exhibits'!X1534:X1538),"")</f>
        <v/>
      </c>
      <c r="Y1538" s="3">
        <f>IF(ISNUMBER(AVERAGE('20250815_ETF_Options_Exhibits'!Y1534:Y1538)),AVERAGE('20250815_ETF_Options_Exhibits'!Y1534:Y1538),"")</f>
        <v/>
      </c>
      <c r="Z1538" s="3">
        <f>IF(ISNUMBER(AVERAGE('20250815_ETF_Options_Exhibits'!Z1534:Z1538)),AVERAGE('20250815_ETF_Options_Exhibits'!Z1534:Z1538),"")</f>
        <v/>
      </c>
      <c r="AA1538" s="3">
        <f>IF(ISNUMBER(AVERAGE('20250815_ETF_Options_Exhibits'!AA1534:AA1538)),AVERAGE('20250815_ETF_Options_Exhibits'!AA1534:AA1538),"")</f>
        <v/>
      </c>
    </row>
    <row r="1539">
      <c r="A1539" s="1" t="n">
        <v>44236</v>
      </c>
      <c r="B1539" s="3">
        <f>IF(ISNUMBER(AVERAGE('20250815_ETF_Options_Exhibits'!B1535:B1539)),AVERAGE('20250815_ETF_Options_Exhibits'!B1535:B1539),"")</f>
        <v/>
      </c>
      <c r="C1539" s="3">
        <f>IF(ISNUMBER(AVERAGE('20250815_ETF_Options_Exhibits'!C1535:C1539)),AVERAGE('20250815_ETF_Options_Exhibits'!C1535:C1539),"")</f>
        <v/>
      </c>
      <c r="D1539" s="3">
        <f>IF(ISNUMBER(AVERAGE('20250815_ETF_Options_Exhibits'!D1535:D1539)),AVERAGE('20250815_ETF_Options_Exhibits'!D1535:D1539),"")</f>
        <v/>
      </c>
      <c r="E1539" s="3">
        <f>IF(ISNUMBER(AVERAGE('20250815_ETF_Options_Exhibits'!E1535:E1539)),AVERAGE('20250815_ETF_Options_Exhibits'!E1535:E1539),"")</f>
        <v/>
      </c>
      <c r="F1539" s="3">
        <f>IF(ISNUMBER(AVERAGE('20250815_ETF_Options_Exhibits'!F1535:F1539)),AVERAGE('20250815_ETF_Options_Exhibits'!F1535:F1539),"")</f>
        <v/>
      </c>
      <c r="G1539" s="3">
        <f>IF(ISNUMBER(AVERAGE('20250815_ETF_Options_Exhibits'!G1535:G1539)),AVERAGE('20250815_ETF_Options_Exhibits'!G1535:G1539),"")</f>
        <v/>
      </c>
      <c r="H1539" s="3">
        <f>IF(ISNUMBER(AVERAGE('20250815_ETF_Options_Exhibits'!H1535:H1539)),AVERAGE('20250815_ETF_Options_Exhibits'!H1535:H1539),"")</f>
        <v/>
      </c>
      <c r="I1539" s="3">
        <f>IF(ISNUMBER(AVERAGE('20250815_ETF_Options_Exhibits'!I1535:I1539)),AVERAGE('20250815_ETF_Options_Exhibits'!I1535:I1539),"")</f>
        <v/>
      </c>
      <c r="J1539" s="3">
        <f>IF(ISNUMBER(AVERAGE('20250815_ETF_Options_Exhibits'!J1535:J1539)),AVERAGE('20250815_ETF_Options_Exhibits'!J1535:J1539),"")</f>
        <v/>
      </c>
      <c r="K1539" s="3">
        <f>IF(ISNUMBER(AVERAGE('20250815_ETF_Options_Exhibits'!K1535:K1539)),AVERAGE('20250815_ETF_Options_Exhibits'!K1535:K1539),"")</f>
        <v/>
      </c>
      <c r="L1539" s="3">
        <f>IF(ISNUMBER(AVERAGE('20250815_ETF_Options_Exhibits'!L1535:L1539)),AVERAGE('20250815_ETF_Options_Exhibits'!L1535:L1539),"")</f>
        <v/>
      </c>
      <c r="M1539" s="3">
        <f>IF(ISNUMBER(AVERAGE('20250815_ETF_Options_Exhibits'!M1535:M1539)),AVERAGE('20250815_ETF_Options_Exhibits'!M1535:M1539),"")</f>
        <v/>
      </c>
      <c r="N1539" s="3">
        <f>IF(ISNUMBER(AVERAGE('20250815_ETF_Options_Exhibits'!N1535:N1539)),AVERAGE('20250815_ETF_Options_Exhibits'!N1535:N1539),"")</f>
        <v/>
      </c>
      <c r="O1539" s="3">
        <f>IF(ISNUMBER(AVERAGE('20250815_ETF_Options_Exhibits'!O1535:O1539)),AVERAGE('20250815_ETF_Options_Exhibits'!O1535:O1539),"")</f>
        <v/>
      </c>
      <c r="P1539" s="3">
        <f>IF(ISNUMBER(AVERAGE('20250815_ETF_Options_Exhibits'!P1535:P1539)),AVERAGE('20250815_ETF_Options_Exhibits'!P1535:P1539),"")</f>
        <v/>
      </c>
      <c r="Q1539" s="3">
        <f>IF(ISNUMBER(AVERAGE('20250815_ETF_Options_Exhibits'!Q1535:Q1539)),AVERAGE('20250815_ETF_Options_Exhibits'!Q1535:Q1539),"")</f>
        <v/>
      </c>
      <c r="R1539" s="3">
        <f>IF(ISNUMBER(AVERAGE('20250815_ETF_Options_Exhibits'!R1535:R1539)),AVERAGE('20250815_ETF_Options_Exhibits'!R1535:R1539),"")</f>
        <v/>
      </c>
      <c r="S1539" s="3">
        <f>IF(ISNUMBER(AVERAGE('20250815_ETF_Options_Exhibits'!S1535:S1539)),AVERAGE('20250815_ETF_Options_Exhibits'!S1535:S1539),"")</f>
        <v/>
      </c>
      <c r="T1539" s="3">
        <f>IF(ISNUMBER(AVERAGE('20250815_ETF_Options_Exhibits'!T1535:T1539)),AVERAGE('20250815_ETF_Options_Exhibits'!T1535:T1539),"")</f>
        <v/>
      </c>
      <c r="U1539" s="3">
        <f>IF(ISNUMBER(AVERAGE('20250815_ETF_Options_Exhibits'!U1535:U1539)),AVERAGE('20250815_ETF_Options_Exhibits'!U1535:U1539),"")</f>
        <v/>
      </c>
      <c r="V1539" s="3">
        <f>IF(ISNUMBER(AVERAGE('20250815_ETF_Options_Exhibits'!V1535:V1539)),AVERAGE('20250815_ETF_Options_Exhibits'!V1535:V1539),"")</f>
        <v/>
      </c>
      <c r="W1539" s="3">
        <f>IF(ISNUMBER(AVERAGE('20250815_ETF_Options_Exhibits'!W1535:W1539)),AVERAGE('20250815_ETF_Options_Exhibits'!W1535:W1539),"")</f>
        <v/>
      </c>
      <c r="X1539" s="3">
        <f>IF(ISNUMBER(AVERAGE('20250815_ETF_Options_Exhibits'!X1535:X1539)),AVERAGE('20250815_ETF_Options_Exhibits'!X1535:X1539),"")</f>
        <v/>
      </c>
      <c r="Y1539" s="3">
        <f>IF(ISNUMBER(AVERAGE('20250815_ETF_Options_Exhibits'!Y1535:Y1539)),AVERAGE('20250815_ETF_Options_Exhibits'!Y1535:Y1539),"")</f>
        <v/>
      </c>
      <c r="Z1539" s="3">
        <f>IF(ISNUMBER(AVERAGE('20250815_ETF_Options_Exhibits'!Z1535:Z1539)),AVERAGE('20250815_ETF_Options_Exhibits'!Z1535:Z1539),"")</f>
        <v/>
      </c>
      <c r="AA1539" s="3">
        <f>IF(ISNUMBER(AVERAGE('20250815_ETF_Options_Exhibits'!AA1535:AA1539)),AVERAGE('20250815_ETF_Options_Exhibits'!AA1535:AA1539),"")</f>
        <v/>
      </c>
    </row>
    <row r="1540">
      <c r="A1540" s="1" t="n">
        <v>44237</v>
      </c>
      <c r="B1540" s="3">
        <f>IF(ISNUMBER(AVERAGE('20250815_ETF_Options_Exhibits'!B1536:B1540)),AVERAGE('20250815_ETF_Options_Exhibits'!B1536:B1540),"")</f>
        <v/>
      </c>
      <c r="C1540" s="3">
        <f>IF(ISNUMBER(AVERAGE('20250815_ETF_Options_Exhibits'!C1536:C1540)),AVERAGE('20250815_ETF_Options_Exhibits'!C1536:C1540),"")</f>
        <v/>
      </c>
      <c r="D1540" s="3">
        <f>IF(ISNUMBER(AVERAGE('20250815_ETF_Options_Exhibits'!D1536:D1540)),AVERAGE('20250815_ETF_Options_Exhibits'!D1536:D1540),"")</f>
        <v/>
      </c>
      <c r="E1540" s="3">
        <f>IF(ISNUMBER(AVERAGE('20250815_ETF_Options_Exhibits'!E1536:E1540)),AVERAGE('20250815_ETF_Options_Exhibits'!E1536:E1540),"")</f>
        <v/>
      </c>
      <c r="F1540" s="3">
        <f>IF(ISNUMBER(AVERAGE('20250815_ETF_Options_Exhibits'!F1536:F1540)),AVERAGE('20250815_ETF_Options_Exhibits'!F1536:F1540),"")</f>
        <v/>
      </c>
      <c r="G1540" s="3">
        <f>IF(ISNUMBER(AVERAGE('20250815_ETF_Options_Exhibits'!G1536:G1540)),AVERAGE('20250815_ETF_Options_Exhibits'!G1536:G1540),"")</f>
        <v/>
      </c>
      <c r="H1540" s="3">
        <f>IF(ISNUMBER(AVERAGE('20250815_ETF_Options_Exhibits'!H1536:H1540)),AVERAGE('20250815_ETF_Options_Exhibits'!H1536:H1540),"")</f>
        <v/>
      </c>
      <c r="I1540" s="3">
        <f>IF(ISNUMBER(AVERAGE('20250815_ETF_Options_Exhibits'!I1536:I1540)),AVERAGE('20250815_ETF_Options_Exhibits'!I1536:I1540),"")</f>
        <v/>
      </c>
      <c r="J1540" s="3">
        <f>IF(ISNUMBER(AVERAGE('20250815_ETF_Options_Exhibits'!J1536:J1540)),AVERAGE('20250815_ETF_Options_Exhibits'!J1536:J1540),"")</f>
        <v/>
      </c>
      <c r="K1540" s="3">
        <f>IF(ISNUMBER(AVERAGE('20250815_ETF_Options_Exhibits'!K1536:K1540)),AVERAGE('20250815_ETF_Options_Exhibits'!K1536:K1540),"")</f>
        <v/>
      </c>
      <c r="L1540" s="3">
        <f>IF(ISNUMBER(AVERAGE('20250815_ETF_Options_Exhibits'!L1536:L1540)),AVERAGE('20250815_ETF_Options_Exhibits'!L1536:L1540),"")</f>
        <v/>
      </c>
      <c r="M1540" s="3">
        <f>IF(ISNUMBER(AVERAGE('20250815_ETF_Options_Exhibits'!M1536:M1540)),AVERAGE('20250815_ETF_Options_Exhibits'!M1536:M1540),"")</f>
        <v/>
      </c>
      <c r="N1540" s="3">
        <f>IF(ISNUMBER(AVERAGE('20250815_ETF_Options_Exhibits'!N1536:N1540)),AVERAGE('20250815_ETF_Options_Exhibits'!N1536:N1540),"")</f>
        <v/>
      </c>
      <c r="O1540" s="3">
        <f>IF(ISNUMBER(AVERAGE('20250815_ETF_Options_Exhibits'!O1536:O1540)),AVERAGE('20250815_ETF_Options_Exhibits'!O1536:O1540),"")</f>
        <v/>
      </c>
      <c r="P1540" s="3">
        <f>IF(ISNUMBER(AVERAGE('20250815_ETF_Options_Exhibits'!P1536:P1540)),AVERAGE('20250815_ETF_Options_Exhibits'!P1536:P1540),"")</f>
        <v/>
      </c>
      <c r="Q1540" s="3">
        <f>IF(ISNUMBER(AVERAGE('20250815_ETF_Options_Exhibits'!Q1536:Q1540)),AVERAGE('20250815_ETF_Options_Exhibits'!Q1536:Q1540),"")</f>
        <v/>
      </c>
      <c r="R1540" s="3">
        <f>IF(ISNUMBER(AVERAGE('20250815_ETF_Options_Exhibits'!R1536:R1540)),AVERAGE('20250815_ETF_Options_Exhibits'!R1536:R1540),"")</f>
        <v/>
      </c>
      <c r="S1540" s="3">
        <f>IF(ISNUMBER(AVERAGE('20250815_ETF_Options_Exhibits'!S1536:S1540)),AVERAGE('20250815_ETF_Options_Exhibits'!S1536:S1540),"")</f>
        <v/>
      </c>
      <c r="T1540" s="3">
        <f>IF(ISNUMBER(AVERAGE('20250815_ETF_Options_Exhibits'!T1536:T1540)),AVERAGE('20250815_ETF_Options_Exhibits'!T1536:T1540),"")</f>
        <v/>
      </c>
      <c r="U1540" s="3">
        <f>IF(ISNUMBER(AVERAGE('20250815_ETF_Options_Exhibits'!U1536:U1540)),AVERAGE('20250815_ETF_Options_Exhibits'!U1536:U1540),"")</f>
        <v/>
      </c>
      <c r="V1540" s="3">
        <f>IF(ISNUMBER(AVERAGE('20250815_ETF_Options_Exhibits'!V1536:V1540)),AVERAGE('20250815_ETF_Options_Exhibits'!V1536:V1540),"")</f>
        <v/>
      </c>
      <c r="W1540" s="3">
        <f>IF(ISNUMBER(AVERAGE('20250815_ETF_Options_Exhibits'!W1536:W1540)),AVERAGE('20250815_ETF_Options_Exhibits'!W1536:W1540),"")</f>
        <v/>
      </c>
      <c r="X1540" s="3">
        <f>IF(ISNUMBER(AVERAGE('20250815_ETF_Options_Exhibits'!X1536:X1540)),AVERAGE('20250815_ETF_Options_Exhibits'!X1536:X1540),"")</f>
        <v/>
      </c>
      <c r="Y1540" s="3">
        <f>IF(ISNUMBER(AVERAGE('20250815_ETF_Options_Exhibits'!Y1536:Y1540)),AVERAGE('20250815_ETF_Options_Exhibits'!Y1536:Y1540),"")</f>
        <v/>
      </c>
      <c r="Z1540" s="3">
        <f>IF(ISNUMBER(AVERAGE('20250815_ETF_Options_Exhibits'!Z1536:Z1540)),AVERAGE('20250815_ETF_Options_Exhibits'!Z1536:Z1540),"")</f>
        <v/>
      </c>
      <c r="AA1540" s="3">
        <f>IF(ISNUMBER(AVERAGE('20250815_ETF_Options_Exhibits'!AA1536:AA1540)),AVERAGE('20250815_ETF_Options_Exhibits'!AA1536:AA1540),"")</f>
        <v/>
      </c>
    </row>
    <row r="1541">
      <c r="A1541" s="1" t="n">
        <v>44238</v>
      </c>
      <c r="B1541" s="3">
        <f>IF(ISNUMBER(AVERAGE('20250815_ETF_Options_Exhibits'!B1537:B1541)),AVERAGE('20250815_ETF_Options_Exhibits'!B1537:B1541),"")</f>
        <v/>
      </c>
      <c r="C1541" s="3">
        <f>IF(ISNUMBER(AVERAGE('20250815_ETF_Options_Exhibits'!C1537:C1541)),AVERAGE('20250815_ETF_Options_Exhibits'!C1537:C1541),"")</f>
        <v/>
      </c>
      <c r="D1541" s="3">
        <f>IF(ISNUMBER(AVERAGE('20250815_ETF_Options_Exhibits'!D1537:D1541)),AVERAGE('20250815_ETF_Options_Exhibits'!D1537:D1541),"")</f>
        <v/>
      </c>
      <c r="E1541" s="3">
        <f>IF(ISNUMBER(AVERAGE('20250815_ETF_Options_Exhibits'!E1537:E1541)),AVERAGE('20250815_ETF_Options_Exhibits'!E1537:E1541),"")</f>
        <v/>
      </c>
      <c r="F1541" s="3">
        <f>IF(ISNUMBER(AVERAGE('20250815_ETF_Options_Exhibits'!F1537:F1541)),AVERAGE('20250815_ETF_Options_Exhibits'!F1537:F1541),"")</f>
        <v/>
      </c>
      <c r="G1541" s="3">
        <f>IF(ISNUMBER(AVERAGE('20250815_ETF_Options_Exhibits'!G1537:G1541)),AVERAGE('20250815_ETF_Options_Exhibits'!G1537:G1541),"")</f>
        <v/>
      </c>
      <c r="H1541" s="3">
        <f>IF(ISNUMBER(AVERAGE('20250815_ETF_Options_Exhibits'!H1537:H1541)),AVERAGE('20250815_ETF_Options_Exhibits'!H1537:H1541),"")</f>
        <v/>
      </c>
      <c r="I1541" s="3">
        <f>IF(ISNUMBER(AVERAGE('20250815_ETF_Options_Exhibits'!I1537:I1541)),AVERAGE('20250815_ETF_Options_Exhibits'!I1537:I1541),"")</f>
        <v/>
      </c>
      <c r="J1541" s="3">
        <f>IF(ISNUMBER(AVERAGE('20250815_ETF_Options_Exhibits'!J1537:J1541)),AVERAGE('20250815_ETF_Options_Exhibits'!J1537:J1541),"")</f>
        <v/>
      </c>
      <c r="K1541" s="3">
        <f>IF(ISNUMBER(AVERAGE('20250815_ETF_Options_Exhibits'!K1537:K1541)),AVERAGE('20250815_ETF_Options_Exhibits'!K1537:K1541),"")</f>
        <v/>
      </c>
      <c r="L1541" s="3">
        <f>IF(ISNUMBER(AVERAGE('20250815_ETF_Options_Exhibits'!L1537:L1541)),AVERAGE('20250815_ETF_Options_Exhibits'!L1537:L1541),"")</f>
        <v/>
      </c>
      <c r="M1541" s="3">
        <f>IF(ISNUMBER(AVERAGE('20250815_ETF_Options_Exhibits'!M1537:M1541)),AVERAGE('20250815_ETF_Options_Exhibits'!M1537:M1541),"")</f>
        <v/>
      </c>
      <c r="N1541" s="3">
        <f>IF(ISNUMBER(AVERAGE('20250815_ETF_Options_Exhibits'!N1537:N1541)),AVERAGE('20250815_ETF_Options_Exhibits'!N1537:N1541),"")</f>
        <v/>
      </c>
      <c r="O1541" s="3">
        <f>IF(ISNUMBER(AVERAGE('20250815_ETF_Options_Exhibits'!O1537:O1541)),AVERAGE('20250815_ETF_Options_Exhibits'!O1537:O1541),"")</f>
        <v/>
      </c>
      <c r="P1541" s="3">
        <f>IF(ISNUMBER(AVERAGE('20250815_ETF_Options_Exhibits'!P1537:P1541)),AVERAGE('20250815_ETF_Options_Exhibits'!P1537:P1541),"")</f>
        <v/>
      </c>
      <c r="Q1541" s="3">
        <f>IF(ISNUMBER(AVERAGE('20250815_ETF_Options_Exhibits'!Q1537:Q1541)),AVERAGE('20250815_ETF_Options_Exhibits'!Q1537:Q1541),"")</f>
        <v/>
      </c>
      <c r="R1541" s="3">
        <f>IF(ISNUMBER(AVERAGE('20250815_ETF_Options_Exhibits'!R1537:R1541)),AVERAGE('20250815_ETF_Options_Exhibits'!R1537:R1541),"")</f>
        <v/>
      </c>
      <c r="S1541" s="3">
        <f>IF(ISNUMBER(AVERAGE('20250815_ETF_Options_Exhibits'!S1537:S1541)),AVERAGE('20250815_ETF_Options_Exhibits'!S1537:S1541),"")</f>
        <v/>
      </c>
      <c r="T1541" s="3">
        <f>IF(ISNUMBER(AVERAGE('20250815_ETF_Options_Exhibits'!T1537:T1541)),AVERAGE('20250815_ETF_Options_Exhibits'!T1537:T1541),"")</f>
        <v/>
      </c>
      <c r="U1541" s="3">
        <f>IF(ISNUMBER(AVERAGE('20250815_ETF_Options_Exhibits'!U1537:U1541)),AVERAGE('20250815_ETF_Options_Exhibits'!U1537:U1541),"")</f>
        <v/>
      </c>
      <c r="V1541" s="3">
        <f>IF(ISNUMBER(AVERAGE('20250815_ETF_Options_Exhibits'!V1537:V1541)),AVERAGE('20250815_ETF_Options_Exhibits'!V1537:V1541),"")</f>
        <v/>
      </c>
      <c r="W1541" s="3">
        <f>IF(ISNUMBER(AVERAGE('20250815_ETF_Options_Exhibits'!W1537:W1541)),AVERAGE('20250815_ETF_Options_Exhibits'!W1537:W1541),"")</f>
        <v/>
      </c>
      <c r="X1541" s="3">
        <f>IF(ISNUMBER(AVERAGE('20250815_ETF_Options_Exhibits'!X1537:X1541)),AVERAGE('20250815_ETF_Options_Exhibits'!X1537:X1541),"")</f>
        <v/>
      </c>
      <c r="Y1541" s="3">
        <f>IF(ISNUMBER(AVERAGE('20250815_ETF_Options_Exhibits'!Y1537:Y1541)),AVERAGE('20250815_ETF_Options_Exhibits'!Y1537:Y1541),"")</f>
        <v/>
      </c>
      <c r="Z1541" s="3">
        <f>IF(ISNUMBER(AVERAGE('20250815_ETF_Options_Exhibits'!Z1537:Z1541)),AVERAGE('20250815_ETF_Options_Exhibits'!Z1537:Z1541),"")</f>
        <v/>
      </c>
      <c r="AA1541" s="3">
        <f>IF(ISNUMBER(AVERAGE('20250815_ETF_Options_Exhibits'!AA1537:AA1541)),AVERAGE('20250815_ETF_Options_Exhibits'!AA1537:AA1541),"")</f>
        <v/>
      </c>
    </row>
    <row r="1542">
      <c r="A1542" s="1" t="n">
        <v>44239</v>
      </c>
      <c r="B1542" s="3">
        <f>IF(ISNUMBER(AVERAGE('20250815_ETF_Options_Exhibits'!B1538:B1542)),AVERAGE('20250815_ETF_Options_Exhibits'!B1538:B1542),"")</f>
        <v/>
      </c>
      <c r="C1542" s="3">
        <f>IF(ISNUMBER(AVERAGE('20250815_ETF_Options_Exhibits'!C1538:C1542)),AVERAGE('20250815_ETF_Options_Exhibits'!C1538:C1542),"")</f>
        <v/>
      </c>
      <c r="D1542" s="3">
        <f>IF(ISNUMBER(AVERAGE('20250815_ETF_Options_Exhibits'!D1538:D1542)),AVERAGE('20250815_ETF_Options_Exhibits'!D1538:D1542),"")</f>
        <v/>
      </c>
      <c r="E1542" s="3">
        <f>IF(ISNUMBER(AVERAGE('20250815_ETF_Options_Exhibits'!E1538:E1542)),AVERAGE('20250815_ETF_Options_Exhibits'!E1538:E1542),"")</f>
        <v/>
      </c>
      <c r="F1542" s="3">
        <f>IF(ISNUMBER(AVERAGE('20250815_ETF_Options_Exhibits'!F1538:F1542)),AVERAGE('20250815_ETF_Options_Exhibits'!F1538:F1542),"")</f>
        <v/>
      </c>
      <c r="G1542" s="3">
        <f>IF(ISNUMBER(AVERAGE('20250815_ETF_Options_Exhibits'!G1538:G1542)),AVERAGE('20250815_ETF_Options_Exhibits'!G1538:G1542),"")</f>
        <v/>
      </c>
      <c r="H1542" s="3">
        <f>IF(ISNUMBER(AVERAGE('20250815_ETF_Options_Exhibits'!H1538:H1542)),AVERAGE('20250815_ETF_Options_Exhibits'!H1538:H1542),"")</f>
        <v/>
      </c>
      <c r="I1542" s="3">
        <f>IF(ISNUMBER(AVERAGE('20250815_ETF_Options_Exhibits'!I1538:I1542)),AVERAGE('20250815_ETF_Options_Exhibits'!I1538:I1542),"")</f>
        <v/>
      </c>
      <c r="J1542" s="3">
        <f>IF(ISNUMBER(AVERAGE('20250815_ETF_Options_Exhibits'!J1538:J1542)),AVERAGE('20250815_ETF_Options_Exhibits'!J1538:J1542),"")</f>
        <v/>
      </c>
      <c r="K1542" s="3">
        <f>IF(ISNUMBER(AVERAGE('20250815_ETF_Options_Exhibits'!K1538:K1542)),AVERAGE('20250815_ETF_Options_Exhibits'!K1538:K1542),"")</f>
        <v/>
      </c>
      <c r="L1542" s="3">
        <f>IF(ISNUMBER(AVERAGE('20250815_ETF_Options_Exhibits'!L1538:L1542)),AVERAGE('20250815_ETF_Options_Exhibits'!L1538:L1542),"")</f>
        <v/>
      </c>
      <c r="M1542" s="3">
        <f>IF(ISNUMBER(AVERAGE('20250815_ETF_Options_Exhibits'!M1538:M1542)),AVERAGE('20250815_ETF_Options_Exhibits'!M1538:M1542),"")</f>
        <v/>
      </c>
      <c r="N1542" s="3">
        <f>IF(ISNUMBER(AVERAGE('20250815_ETF_Options_Exhibits'!N1538:N1542)),AVERAGE('20250815_ETF_Options_Exhibits'!N1538:N1542),"")</f>
        <v/>
      </c>
      <c r="O1542" s="3">
        <f>IF(ISNUMBER(AVERAGE('20250815_ETF_Options_Exhibits'!O1538:O1542)),AVERAGE('20250815_ETF_Options_Exhibits'!O1538:O1542),"")</f>
        <v/>
      </c>
      <c r="P1542" s="3">
        <f>IF(ISNUMBER(AVERAGE('20250815_ETF_Options_Exhibits'!P1538:P1542)),AVERAGE('20250815_ETF_Options_Exhibits'!P1538:P1542),"")</f>
        <v/>
      </c>
      <c r="Q1542" s="3">
        <f>IF(ISNUMBER(AVERAGE('20250815_ETF_Options_Exhibits'!Q1538:Q1542)),AVERAGE('20250815_ETF_Options_Exhibits'!Q1538:Q1542),"")</f>
        <v/>
      </c>
      <c r="R1542" s="3">
        <f>IF(ISNUMBER(AVERAGE('20250815_ETF_Options_Exhibits'!R1538:R1542)),AVERAGE('20250815_ETF_Options_Exhibits'!R1538:R1542),"")</f>
        <v/>
      </c>
      <c r="S1542" s="3">
        <f>IF(ISNUMBER(AVERAGE('20250815_ETF_Options_Exhibits'!S1538:S1542)),AVERAGE('20250815_ETF_Options_Exhibits'!S1538:S1542),"")</f>
        <v/>
      </c>
      <c r="T1542" s="3">
        <f>IF(ISNUMBER(AVERAGE('20250815_ETF_Options_Exhibits'!T1538:T1542)),AVERAGE('20250815_ETF_Options_Exhibits'!T1538:T1542),"")</f>
        <v/>
      </c>
      <c r="U1542" s="3">
        <f>IF(ISNUMBER(AVERAGE('20250815_ETF_Options_Exhibits'!U1538:U1542)),AVERAGE('20250815_ETF_Options_Exhibits'!U1538:U1542),"")</f>
        <v/>
      </c>
      <c r="V1542" s="3">
        <f>IF(ISNUMBER(AVERAGE('20250815_ETF_Options_Exhibits'!V1538:V1542)),AVERAGE('20250815_ETF_Options_Exhibits'!V1538:V1542),"")</f>
        <v/>
      </c>
      <c r="W1542" s="3">
        <f>IF(ISNUMBER(AVERAGE('20250815_ETF_Options_Exhibits'!W1538:W1542)),AVERAGE('20250815_ETF_Options_Exhibits'!W1538:W1542),"")</f>
        <v/>
      </c>
      <c r="X1542" s="3">
        <f>IF(ISNUMBER(AVERAGE('20250815_ETF_Options_Exhibits'!X1538:X1542)),AVERAGE('20250815_ETF_Options_Exhibits'!X1538:X1542),"")</f>
        <v/>
      </c>
      <c r="Y1542" s="3">
        <f>IF(ISNUMBER(AVERAGE('20250815_ETF_Options_Exhibits'!Y1538:Y1542)),AVERAGE('20250815_ETF_Options_Exhibits'!Y1538:Y1542),"")</f>
        <v/>
      </c>
      <c r="Z1542" s="3">
        <f>IF(ISNUMBER(AVERAGE('20250815_ETF_Options_Exhibits'!Z1538:Z1542)),AVERAGE('20250815_ETF_Options_Exhibits'!Z1538:Z1542),"")</f>
        <v/>
      </c>
      <c r="AA1542" s="3">
        <f>IF(ISNUMBER(AVERAGE('20250815_ETF_Options_Exhibits'!AA1538:AA1542)),AVERAGE('20250815_ETF_Options_Exhibits'!AA1538:AA1542),"")</f>
        <v/>
      </c>
    </row>
    <row r="1543">
      <c r="A1543" s="1" t="n">
        <v>44243</v>
      </c>
      <c r="B1543" s="3">
        <f>IF(ISNUMBER(AVERAGE('20250815_ETF_Options_Exhibits'!B1539:B1543)),AVERAGE('20250815_ETF_Options_Exhibits'!B1539:B1543),"")</f>
        <v/>
      </c>
      <c r="C1543" s="3">
        <f>IF(ISNUMBER(AVERAGE('20250815_ETF_Options_Exhibits'!C1539:C1543)),AVERAGE('20250815_ETF_Options_Exhibits'!C1539:C1543),"")</f>
        <v/>
      </c>
      <c r="D1543" s="3">
        <f>IF(ISNUMBER(AVERAGE('20250815_ETF_Options_Exhibits'!D1539:D1543)),AVERAGE('20250815_ETF_Options_Exhibits'!D1539:D1543),"")</f>
        <v/>
      </c>
      <c r="E1543" s="3">
        <f>IF(ISNUMBER(AVERAGE('20250815_ETF_Options_Exhibits'!E1539:E1543)),AVERAGE('20250815_ETF_Options_Exhibits'!E1539:E1543),"")</f>
        <v/>
      </c>
      <c r="F1543" s="3">
        <f>IF(ISNUMBER(AVERAGE('20250815_ETF_Options_Exhibits'!F1539:F1543)),AVERAGE('20250815_ETF_Options_Exhibits'!F1539:F1543),"")</f>
        <v/>
      </c>
      <c r="G1543" s="3">
        <f>IF(ISNUMBER(AVERAGE('20250815_ETF_Options_Exhibits'!G1539:G1543)),AVERAGE('20250815_ETF_Options_Exhibits'!G1539:G1543),"")</f>
        <v/>
      </c>
      <c r="H1543" s="3">
        <f>IF(ISNUMBER(AVERAGE('20250815_ETF_Options_Exhibits'!H1539:H1543)),AVERAGE('20250815_ETF_Options_Exhibits'!H1539:H1543),"")</f>
        <v/>
      </c>
      <c r="I1543" s="3">
        <f>IF(ISNUMBER(AVERAGE('20250815_ETF_Options_Exhibits'!I1539:I1543)),AVERAGE('20250815_ETF_Options_Exhibits'!I1539:I1543),"")</f>
        <v/>
      </c>
      <c r="J1543" s="3">
        <f>IF(ISNUMBER(AVERAGE('20250815_ETF_Options_Exhibits'!J1539:J1543)),AVERAGE('20250815_ETF_Options_Exhibits'!J1539:J1543),"")</f>
        <v/>
      </c>
      <c r="K1543" s="3">
        <f>IF(ISNUMBER(AVERAGE('20250815_ETF_Options_Exhibits'!K1539:K1543)),AVERAGE('20250815_ETF_Options_Exhibits'!K1539:K1543),"")</f>
        <v/>
      </c>
      <c r="L1543" s="3">
        <f>IF(ISNUMBER(AVERAGE('20250815_ETF_Options_Exhibits'!L1539:L1543)),AVERAGE('20250815_ETF_Options_Exhibits'!L1539:L1543),"")</f>
        <v/>
      </c>
      <c r="M1543" s="3">
        <f>IF(ISNUMBER(AVERAGE('20250815_ETF_Options_Exhibits'!M1539:M1543)),AVERAGE('20250815_ETF_Options_Exhibits'!M1539:M1543),"")</f>
        <v/>
      </c>
      <c r="N1543" s="3">
        <f>IF(ISNUMBER(AVERAGE('20250815_ETF_Options_Exhibits'!N1539:N1543)),AVERAGE('20250815_ETF_Options_Exhibits'!N1539:N1543),"")</f>
        <v/>
      </c>
      <c r="O1543" s="3">
        <f>IF(ISNUMBER(AVERAGE('20250815_ETF_Options_Exhibits'!O1539:O1543)),AVERAGE('20250815_ETF_Options_Exhibits'!O1539:O1543),"")</f>
        <v/>
      </c>
      <c r="P1543" s="3">
        <f>IF(ISNUMBER(AVERAGE('20250815_ETF_Options_Exhibits'!P1539:P1543)),AVERAGE('20250815_ETF_Options_Exhibits'!P1539:P1543),"")</f>
        <v/>
      </c>
      <c r="Q1543" s="3">
        <f>IF(ISNUMBER(AVERAGE('20250815_ETF_Options_Exhibits'!Q1539:Q1543)),AVERAGE('20250815_ETF_Options_Exhibits'!Q1539:Q1543),"")</f>
        <v/>
      </c>
      <c r="R1543" s="3">
        <f>IF(ISNUMBER(AVERAGE('20250815_ETF_Options_Exhibits'!R1539:R1543)),AVERAGE('20250815_ETF_Options_Exhibits'!R1539:R1543),"")</f>
        <v/>
      </c>
      <c r="S1543" s="3">
        <f>IF(ISNUMBER(AVERAGE('20250815_ETF_Options_Exhibits'!S1539:S1543)),AVERAGE('20250815_ETF_Options_Exhibits'!S1539:S1543),"")</f>
        <v/>
      </c>
      <c r="T1543" s="3">
        <f>IF(ISNUMBER(AVERAGE('20250815_ETF_Options_Exhibits'!T1539:T1543)),AVERAGE('20250815_ETF_Options_Exhibits'!T1539:T1543),"")</f>
        <v/>
      </c>
      <c r="U1543" s="3">
        <f>IF(ISNUMBER(AVERAGE('20250815_ETF_Options_Exhibits'!U1539:U1543)),AVERAGE('20250815_ETF_Options_Exhibits'!U1539:U1543),"")</f>
        <v/>
      </c>
      <c r="V1543" s="3">
        <f>IF(ISNUMBER(AVERAGE('20250815_ETF_Options_Exhibits'!V1539:V1543)),AVERAGE('20250815_ETF_Options_Exhibits'!V1539:V1543),"")</f>
        <v/>
      </c>
      <c r="W1543" s="3">
        <f>IF(ISNUMBER(AVERAGE('20250815_ETF_Options_Exhibits'!W1539:W1543)),AVERAGE('20250815_ETF_Options_Exhibits'!W1539:W1543),"")</f>
        <v/>
      </c>
      <c r="X1543" s="3">
        <f>IF(ISNUMBER(AVERAGE('20250815_ETF_Options_Exhibits'!X1539:X1543)),AVERAGE('20250815_ETF_Options_Exhibits'!X1539:X1543),"")</f>
        <v/>
      </c>
      <c r="Y1543" s="3">
        <f>IF(ISNUMBER(AVERAGE('20250815_ETF_Options_Exhibits'!Y1539:Y1543)),AVERAGE('20250815_ETF_Options_Exhibits'!Y1539:Y1543),"")</f>
        <v/>
      </c>
      <c r="Z1543" s="3">
        <f>IF(ISNUMBER(AVERAGE('20250815_ETF_Options_Exhibits'!Z1539:Z1543)),AVERAGE('20250815_ETF_Options_Exhibits'!Z1539:Z1543),"")</f>
        <v/>
      </c>
      <c r="AA1543" s="3">
        <f>IF(ISNUMBER(AVERAGE('20250815_ETF_Options_Exhibits'!AA1539:AA1543)),AVERAGE('20250815_ETF_Options_Exhibits'!AA1539:AA1543),"")</f>
        <v/>
      </c>
    </row>
    <row r="1544">
      <c r="A1544" s="1" t="n">
        <v>44244</v>
      </c>
      <c r="B1544" s="3">
        <f>IF(ISNUMBER(AVERAGE('20250815_ETF_Options_Exhibits'!B1540:B1544)),AVERAGE('20250815_ETF_Options_Exhibits'!B1540:B1544),"")</f>
        <v/>
      </c>
      <c r="C1544" s="3">
        <f>IF(ISNUMBER(AVERAGE('20250815_ETF_Options_Exhibits'!C1540:C1544)),AVERAGE('20250815_ETF_Options_Exhibits'!C1540:C1544),"")</f>
        <v/>
      </c>
      <c r="D1544" s="3">
        <f>IF(ISNUMBER(AVERAGE('20250815_ETF_Options_Exhibits'!D1540:D1544)),AVERAGE('20250815_ETF_Options_Exhibits'!D1540:D1544),"")</f>
        <v/>
      </c>
      <c r="E1544" s="3">
        <f>IF(ISNUMBER(AVERAGE('20250815_ETF_Options_Exhibits'!E1540:E1544)),AVERAGE('20250815_ETF_Options_Exhibits'!E1540:E1544),"")</f>
        <v/>
      </c>
      <c r="F1544" s="3">
        <f>IF(ISNUMBER(AVERAGE('20250815_ETF_Options_Exhibits'!F1540:F1544)),AVERAGE('20250815_ETF_Options_Exhibits'!F1540:F1544),"")</f>
        <v/>
      </c>
      <c r="G1544" s="3">
        <f>IF(ISNUMBER(AVERAGE('20250815_ETF_Options_Exhibits'!G1540:G1544)),AVERAGE('20250815_ETF_Options_Exhibits'!G1540:G1544),"")</f>
        <v/>
      </c>
      <c r="H1544" s="3">
        <f>IF(ISNUMBER(AVERAGE('20250815_ETF_Options_Exhibits'!H1540:H1544)),AVERAGE('20250815_ETF_Options_Exhibits'!H1540:H1544),"")</f>
        <v/>
      </c>
      <c r="I1544" s="3">
        <f>IF(ISNUMBER(AVERAGE('20250815_ETF_Options_Exhibits'!I1540:I1544)),AVERAGE('20250815_ETF_Options_Exhibits'!I1540:I1544),"")</f>
        <v/>
      </c>
      <c r="J1544" s="3">
        <f>IF(ISNUMBER(AVERAGE('20250815_ETF_Options_Exhibits'!J1540:J1544)),AVERAGE('20250815_ETF_Options_Exhibits'!J1540:J1544),"")</f>
        <v/>
      </c>
      <c r="K1544" s="3">
        <f>IF(ISNUMBER(AVERAGE('20250815_ETF_Options_Exhibits'!K1540:K1544)),AVERAGE('20250815_ETF_Options_Exhibits'!K1540:K1544),"")</f>
        <v/>
      </c>
      <c r="L1544" s="3">
        <f>IF(ISNUMBER(AVERAGE('20250815_ETF_Options_Exhibits'!L1540:L1544)),AVERAGE('20250815_ETF_Options_Exhibits'!L1540:L1544),"")</f>
        <v/>
      </c>
      <c r="M1544" s="3">
        <f>IF(ISNUMBER(AVERAGE('20250815_ETF_Options_Exhibits'!M1540:M1544)),AVERAGE('20250815_ETF_Options_Exhibits'!M1540:M1544),"")</f>
        <v/>
      </c>
      <c r="N1544" s="3">
        <f>IF(ISNUMBER(AVERAGE('20250815_ETF_Options_Exhibits'!N1540:N1544)),AVERAGE('20250815_ETF_Options_Exhibits'!N1540:N1544),"")</f>
        <v/>
      </c>
      <c r="O1544" s="3">
        <f>IF(ISNUMBER(AVERAGE('20250815_ETF_Options_Exhibits'!O1540:O1544)),AVERAGE('20250815_ETF_Options_Exhibits'!O1540:O1544),"")</f>
        <v/>
      </c>
      <c r="P1544" s="3">
        <f>IF(ISNUMBER(AVERAGE('20250815_ETF_Options_Exhibits'!P1540:P1544)),AVERAGE('20250815_ETF_Options_Exhibits'!P1540:P1544),"")</f>
        <v/>
      </c>
      <c r="Q1544" s="3">
        <f>IF(ISNUMBER(AVERAGE('20250815_ETF_Options_Exhibits'!Q1540:Q1544)),AVERAGE('20250815_ETF_Options_Exhibits'!Q1540:Q1544),"")</f>
        <v/>
      </c>
      <c r="R1544" s="3">
        <f>IF(ISNUMBER(AVERAGE('20250815_ETF_Options_Exhibits'!R1540:R1544)),AVERAGE('20250815_ETF_Options_Exhibits'!R1540:R1544),"")</f>
        <v/>
      </c>
      <c r="S1544" s="3">
        <f>IF(ISNUMBER(AVERAGE('20250815_ETF_Options_Exhibits'!S1540:S1544)),AVERAGE('20250815_ETF_Options_Exhibits'!S1540:S1544),"")</f>
        <v/>
      </c>
      <c r="T1544" s="3">
        <f>IF(ISNUMBER(AVERAGE('20250815_ETF_Options_Exhibits'!T1540:T1544)),AVERAGE('20250815_ETF_Options_Exhibits'!T1540:T1544),"")</f>
        <v/>
      </c>
      <c r="U1544" s="3">
        <f>IF(ISNUMBER(AVERAGE('20250815_ETF_Options_Exhibits'!U1540:U1544)),AVERAGE('20250815_ETF_Options_Exhibits'!U1540:U1544),"")</f>
        <v/>
      </c>
      <c r="V1544" s="3">
        <f>IF(ISNUMBER(AVERAGE('20250815_ETF_Options_Exhibits'!V1540:V1544)),AVERAGE('20250815_ETF_Options_Exhibits'!V1540:V1544),"")</f>
        <v/>
      </c>
      <c r="W1544" s="3">
        <f>IF(ISNUMBER(AVERAGE('20250815_ETF_Options_Exhibits'!W1540:W1544)),AVERAGE('20250815_ETF_Options_Exhibits'!W1540:W1544),"")</f>
        <v/>
      </c>
      <c r="X1544" s="3">
        <f>IF(ISNUMBER(AVERAGE('20250815_ETF_Options_Exhibits'!X1540:X1544)),AVERAGE('20250815_ETF_Options_Exhibits'!X1540:X1544),"")</f>
        <v/>
      </c>
      <c r="Y1544" s="3">
        <f>IF(ISNUMBER(AVERAGE('20250815_ETF_Options_Exhibits'!Y1540:Y1544)),AVERAGE('20250815_ETF_Options_Exhibits'!Y1540:Y1544),"")</f>
        <v/>
      </c>
      <c r="Z1544" s="3">
        <f>IF(ISNUMBER(AVERAGE('20250815_ETF_Options_Exhibits'!Z1540:Z1544)),AVERAGE('20250815_ETF_Options_Exhibits'!Z1540:Z1544),"")</f>
        <v/>
      </c>
      <c r="AA1544" s="3">
        <f>IF(ISNUMBER(AVERAGE('20250815_ETF_Options_Exhibits'!AA1540:AA1544)),AVERAGE('20250815_ETF_Options_Exhibits'!AA1540:AA1544),"")</f>
        <v/>
      </c>
    </row>
    <row r="1545">
      <c r="A1545" s="1" t="n">
        <v>44245</v>
      </c>
      <c r="B1545" s="3">
        <f>IF(ISNUMBER(AVERAGE('20250815_ETF_Options_Exhibits'!B1541:B1545)),AVERAGE('20250815_ETF_Options_Exhibits'!B1541:B1545),"")</f>
        <v/>
      </c>
      <c r="C1545" s="3">
        <f>IF(ISNUMBER(AVERAGE('20250815_ETF_Options_Exhibits'!C1541:C1545)),AVERAGE('20250815_ETF_Options_Exhibits'!C1541:C1545),"")</f>
        <v/>
      </c>
      <c r="D1545" s="3">
        <f>IF(ISNUMBER(AVERAGE('20250815_ETF_Options_Exhibits'!D1541:D1545)),AVERAGE('20250815_ETF_Options_Exhibits'!D1541:D1545),"")</f>
        <v/>
      </c>
      <c r="E1545" s="3">
        <f>IF(ISNUMBER(AVERAGE('20250815_ETF_Options_Exhibits'!E1541:E1545)),AVERAGE('20250815_ETF_Options_Exhibits'!E1541:E1545),"")</f>
        <v/>
      </c>
      <c r="F1545" s="3">
        <f>IF(ISNUMBER(AVERAGE('20250815_ETF_Options_Exhibits'!F1541:F1545)),AVERAGE('20250815_ETF_Options_Exhibits'!F1541:F1545),"")</f>
        <v/>
      </c>
      <c r="G1545" s="3">
        <f>IF(ISNUMBER(AVERAGE('20250815_ETF_Options_Exhibits'!G1541:G1545)),AVERAGE('20250815_ETF_Options_Exhibits'!G1541:G1545),"")</f>
        <v/>
      </c>
      <c r="H1545" s="3">
        <f>IF(ISNUMBER(AVERAGE('20250815_ETF_Options_Exhibits'!H1541:H1545)),AVERAGE('20250815_ETF_Options_Exhibits'!H1541:H1545),"")</f>
        <v/>
      </c>
      <c r="I1545" s="3">
        <f>IF(ISNUMBER(AVERAGE('20250815_ETF_Options_Exhibits'!I1541:I1545)),AVERAGE('20250815_ETF_Options_Exhibits'!I1541:I1545),"")</f>
        <v/>
      </c>
      <c r="J1545" s="3">
        <f>IF(ISNUMBER(AVERAGE('20250815_ETF_Options_Exhibits'!J1541:J1545)),AVERAGE('20250815_ETF_Options_Exhibits'!J1541:J1545),"")</f>
        <v/>
      </c>
      <c r="K1545" s="3">
        <f>IF(ISNUMBER(AVERAGE('20250815_ETF_Options_Exhibits'!K1541:K1545)),AVERAGE('20250815_ETF_Options_Exhibits'!K1541:K1545),"")</f>
        <v/>
      </c>
      <c r="L1545" s="3">
        <f>IF(ISNUMBER(AVERAGE('20250815_ETF_Options_Exhibits'!L1541:L1545)),AVERAGE('20250815_ETF_Options_Exhibits'!L1541:L1545),"")</f>
        <v/>
      </c>
      <c r="M1545" s="3">
        <f>IF(ISNUMBER(AVERAGE('20250815_ETF_Options_Exhibits'!M1541:M1545)),AVERAGE('20250815_ETF_Options_Exhibits'!M1541:M1545),"")</f>
        <v/>
      </c>
      <c r="N1545" s="3">
        <f>IF(ISNUMBER(AVERAGE('20250815_ETF_Options_Exhibits'!N1541:N1545)),AVERAGE('20250815_ETF_Options_Exhibits'!N1541:N1545),"")</f>
        <v/>
      </c>
      <c r="O1545" s="3">
        <f>IF(ISNUMBER(AVERAGE('20250815_ETF_Options_Exhibits'!O1541:O1545)),AVERAGE('20250815_ETF_Options_Exhibits'!O1541:O1545),"")</f>
        <v/>
      </c>
      <c r="P1545" s="3">
        <f>IF(ISNUMBER(AVERAGE('20250815_ETF_Options_Exhibits'!P1541:P1545)),AVERAGE('20250815_ETF_Options_Exhibits'!P1541:P1545),"")</f>
        <v/>
      </c>
      <c r="Q1545" s="3">
        <f>IF(ISNUMBER(AVERAGE('20250815_ETF_Options_Exhibits'!Q1541:Q1545)),AVERAGE('20250815_ETF_Options_Exhibits'!Q1541:Q1545),"")</f>
        <v/>
      </c>
      <c r="R1545" s="3">
        <f>IF(ISNUMBER(AVERAGE('20250815_ETF_Options_Exhibits'!R1541:R1545)),AVERAGE('20250815_ETF_Options_Exhibits'!R1541:R1545),"")</f>
        <v/>
      </c>
      <c r="S1545" s="3">
        <f>IF(ISNUMBER(AVERAGE('20250815_ETF_Options_Exhibits'!S1541:S1545)),AVERAGE('20250815_ETF_Options_Exhibits'!S1541:S1545),"")</f>
        <v/>
      </c>
      <c r="T1545" s="3">
        <f>IF(ISNUMBER(AVERAGE('20250815_ETF_Options_Exhibits'!T1541:T1545)),AVERAGE('20250815_ETF_Options_Exhibits'!T1541:T1545),"")</f>
        <v/>
      </c>
      <c r="U1545" s="3">
        <f>IF(ISNUMBER(AVERAGE('20250815_ETF_Options_Exhibits'!U1541:U1545)),AVERAGE('20250815_ETF_Options_Exhibits'!U1541:U1545),"")</f>
        <v/>
      </c>
      <c r="V1545" s="3">
        <f>IF(ISNUMBER(AVERAGE('20250815_ETF_Options_Exhibits'!V1541:V1545)),AVERAGE('20250815_ETF_Options_Exhibits'!V1541:V1545),"")</f>
        <v/>
      </c>
      <c r="W1545" s="3">
        <f>IF(ISNUMBER(AVERAGE('20250815_ETF_Options_Exhibits'!W1541:W1545)),AVERAGE('20250815_ETF_Options_Exhibits'!W1541:W1545),"")</f>
        <v/>
      </c>
      <c r="X1545" s="3">
        <f>IF(ISNUMBER(AVERAGE('20250815_ETF_Options_Exhibits'!X1541:X1545)),AVERAGE('20250815_ETF_Options_Exhibits'!X1541:X1545),"")</f>
        <v/>
      </c>
      <c r="Y1545" s="3">
        <f>IF(ISNUMBER(AVERAGE('20250815_ETF_Options_Exhibits'!Y1541:Y1545)),AVERAGE('20250815_ETF_Options_Exhibits'!Y1541:Y1545),"")</f>
        <v/>
      </c>
      <c r="Z1545" s="3">
        <f>IF(ISNUMBER(AVERAGE('20250815_ETF_Options_Exhibits'!Z1541:Z1545)),AVERAGE('20250815_ETF_Options_Exhibits'!Z1541:Z1545),"")</f>
        <v/>
      </c>
      <c r="AA1545" s="3">
        <f>IF(ISNUMBER(AVERAGE('20250815_ETF_Options_Exhibits'!AA1541:AA1545)),AVERAGE('20250815_ETF_Options_Exhibits'!AA1541:AA1545),"")</f>
        <v/>
      </c>
    </row>
    <row r="1546">
      <c r="A1546" s="1" t="n">
        <v>44246</v>
      </c>
      <c r="B1546" s="3">
        <f>IF(ISNUMBER(AVERAGE('20250815_ETF_Options_Exhibits'!B1542:B1546)),AVERAGE('20250815_ETF_Options_Exhibits'!B1542:B1546),"")</f>
        <v/>
      </c>
      <c r="C1546" s="3">
        <f>IF(ISNUMBER(AVERAGE('20250815_ETF_Options_Exhibits'!C1542:C1546)),AVERAGE('20250815_ETF_Options_Exhibits'!C1542:C1546),"")</f>
        <v/>
      </c>
      <c r="D1546" s="3">
        <f>IF(ISNUMBER(AVERAGE('20250815_ETF_Options_Exhibits'!D1542:D1546)),AVERAGE('20250815_ETF_Options_Exhibits'!D1542:D1546),"")</f>
        <v/>
      </c>
      <c r="E1546" s="3">
        <f>IF(ISNUMBER(AVERAGE('20250815_ETF_Options_Exhibits'!E1542:E1546)),AVERAGE('20250815_ETF_Options_Exhibits'!E1542:E1546),"")</f>
        <v/>
      </c>
      <c r="F1546" s="3">
        <f>IF(ISNUMBER(AVERAGE('20250815_ETF_Options_Exhibits'!F1542:F1546)),AVERAGE('20250815_ETF_Options_Exhibits'!F1542:F1546),"")</f>
        <v/>
      </c>
      <c r="G1546" s="3">
        <f>IF(ISNUMBER(AVERAGE('20250815_ETF_Options_Exhibits'!G1542:G1546)),AVERAGE('20250815_ETF_Options_Exhibits'!G1542:G1546),"")</f>
        <v/>
      </c>
      <c r="H1546" s="3">
        <f>IF(ISNUMBER(AVERAGE('20250815_ETF_Options_Exhibits'!H1542:H1546)),AVERAGE('20250815_ETF_Options_Exhibits'!H1542:H1546),"")</f>
        <v/>
      </c>
      <c r="I1546" s="3">
        <f>IF(ISNUMBER(AVERAGE('20250815_ETF_Options_Exhibits'!I1542:I1546)),AVERAGE('20250815_ETF_Options_Exhibits'!I1542:I1546),"")</f>
        <v/>
      </c>
      <c r="J1546" s="3">
        <f>IF(ISNUMBER(AVERAGE('20250815_ETF_Options_Exhibits'!J1542:J1546)),AVERAGE('20250815_ETF_Options_Exhibits'!J1542:J1546),"")</f>
        <v/>
      </c>
      <c r="K1546" s="3">
        <f>IF(ISNUMBER(AVERAGE('20250815_ETF_Options_Exhibits'!K1542:K1546)),AVERAGE('20250815_ETF_Options_Exhibits'!K1542:K1546),"")</f>
        <v/>
      </c>
      <c r="L1546" s="3">
        <f>IF(ISNUMBER(AVERAGE('20250815_ETF_Options_Exhibits'!L1542:L1546)),AVERAGE('20250815_ETF_Options_Exhibits'!L1542:L1546),"")</f>
        <v/>
      </c>
      <c r="M1546" s="3">
        <f>IF(ISNUMBER(AVERAGE('20250815_ETF_Options_Exhibits'!M1542:M1546)),AVERAGE('20250815_ETF_Options_Exhibits'!M1542:M1546),"")</f>
        <v/>
      </c>
      <c r="N1546" s="3">
        <f>IF(ISNUMBER(AVERAGE('20250815_ETF_Options_Exhibits'!N1542:N1546)),AVERAGE('20250815_ETF_Options_Exhibits'!N1542:N1546),"")</f>
        <v/>
      </c>
      <c r="O1546" s="3">
        <f>IF(ISNUMBER(AVERAGE('20250815_ETF_Options_Exhibits'!O1542:O1546)),AVERAGE('20250815_ETF_Options_Exhibits'!O1542:O1546),"")</f>
        <v/>
      </c>
      <c r="P1546" s="3">
        <f>IF(ISNUMBER(AVERAGE('20250815_ETF_Options_Exhibits'!P1542:P1546)),AVERAGE('20250815_ETF_Options_Exhibits'!P1542:P1546),"")</f>
        <v/>
      </c>
      <c r="Q1546" s="3">
        <f>IF(ISNUMBER(AVERAGE('20250815_ETF_Options_Exhibits'!Q1542:Q1546)),AVERAGE('20250815_ETF_Options_Exhibits'!Q1542:Q1546),"")</f>
        <v/>
      </c>
      <c r="R1546" s="3">
        <f>IF(ISNUMBER(AVERAGE('20250815_ETF_Options_Exhibits'!R1542:R1546)),AVERAGE('20250815_ETF_Options_Exhibits'!R1542:R1546),"")</f>
        <v/>
      </c>
      <c r="S1546" s="3">
        <f>IF(ISNUMBER(AVERAGE('20250815_ETF_Options_Exhibits'!S1542:S1546)),AVERAGE('20250815_ETF_Options_Exhibits'!S1542:S1546),"")</f>
        <v/>
      </c>
      <c r="T1546" s="3">
        <f>IF(ISNUMBER(AVERAGE('20250815_ETF_Options_Exhibits'!T1542:T1546)),AVERAGE('20250815_ETF_Options_Exhibits'!T1542:T1546),"")</f>
        <v/>
      </c>
      <c r="U1546" s="3">
        <f>IF(ISNUMBER(AVERAGE('20250815_ETF_Options_Exhibits'!U1542:U1546)),AVERAGE('20250815_ETF_Options_Exhibits'!U1542:U1546),"")</f>
        <v/>
      </c>
      <c r="V1546" s="3">
        <f>IF(ISNUMBER(AVERAGE('20250815_ETF_Options_Exhibits'!V1542:V1546)),AVERAGE('20250815_ETF_Options_Exhibits'!V1542:V1546),"")</f>
        <v/>
      </c>
      <c r="W1546" s="3">
        <f>IF(ISNUMBER(AVERAGE('20250815_ETF_Options_Exhibits'!W1542:W1546)),AVERAGE('20250815_ETF_Options_Exhibits'!W1542:W1546),"")</f>
        <v/>
      </c>
      <c r="X1546" s="3">
        <f>IF(ISNUMBER(AVERAGE('20250815_ETF_Options_Exhibits'!X1542:X1546)),AVERAGE('20250815_ETF_Options_Exhibits'!X1542:X1546),"")</f>
        <v/>
      </c>
      <c r="Y1546" s="3">
        <f>IF(ISNUMBER(AVERAGE('20250815_ETF_Options_Exhibits'!Y1542:Y1546)),AVERAGE('20250815_ETF_Options_Exhibits'!Y1542:Y1546),"")</f>
        <v/>
      </c>
      <c r="Z1546" s="3">
        <f>IF(ISNUMBER(AVERAGE('20250815_ETF_Options_Exhibits'!Z1542:Z1546)),AVERAGE('20250815_ETF_Options_Exhibits'!Z1542:Z1546),"")</f>
        <v/>
      </c>
      <c r="AA1546" s="3">
        <f>IF(ISNUMBER(AVERAGE('20250815_ETF_Options_Exhibits'!AA1542:AA1546)),AVERAGE('20250815_ETF_Options_Exhibits'!AA1542:AA1546),"")</f>
        <v/>
      </c>
    </row>
    <row r="1547">
      <c r="A1547" s="1" t="n">
        <v>44249</v>
      </c>
      <c r="B1547" s="3">
        <f>IF(ISNUMBER(AVERAGE('20250815_ETF_Options_Exhibits'!B1543:B1547)),AVERAGE('20250815_ETF_Options_Exhibits'!B1543:B1547),"")</f>
        <v/>
      </c>
      <c r="C1547" s="3">
        <f>IF(ISNUMBER(AVERAGE('20250815_ETF_Options_Exhibits'!C1543:C1547)),AVERAGE('20250815_ETF_Options_Exhibits'!C1543:C1547),"")</f>
        <v/>
      </c>
      <c r="D1547" s="3">
        <f>IF(ISNUMBER(AVERAGE('20250815_ETF_Options_Exhibits'!D1543:D1547)),AVERAGE('20250815_ETF_Options_Exhibits'!D1543:D1547),"")</f>
        <v/>
      </c>
      <c r="E1547" s="3">
        <f>IF(ISNUMBER(AVERAGE('20250815_ETF_Options_Exhibits'!E1543:E1547)),AVERAGE('20250815_ETF_Options_Exhibits'!E1543:E1547),"")</f>
        <v/>
      </c>
      <c r="F1547" s="3">
        <f>IF(ISNUMBER(AVERAGE('20250815_ETF_Options_Exhibits'!F1543:F1547)),AVERAGE('20250815_ETF_Options_Exhibits'!F1543:F1547),"")</f>
        <v/>
      </c>
      <c r="G1547" s="3">
        <f>IF(ISNUMBER(AVERAGE('20250815_ETF_Options_Exhibits'!G1543:G1547)),AVERAGE('20250815_ETF_Options_Exhibits'!G1543:G1547),"")</f>
        <v/>
      </c>
      <c r="H1547" s="3">
        <f>IF(ISNUMBER(AVERAGE('20250815_ETF_Options_Exhibits'!H1543:H1547)),AVERAGE('20250815_ETF_Options_Exhibits'!H1543:H1547),"")</f>
        <v/>
      </c>
      <c r="I1547" s="3">
        <f>IF(ISNUMBER(AVERAGE('20250815_ETF_Options_Exhibits'!I1543:I1547)),AVERAGE('20250815_ETF_Options_Exhibits'!I1543:I1547),"")</f>
        <v/>
      </c>
      <c r="J1547" s="3">
        <f>IF(ISNUMBER(AVERAGE('20250815_ETF_Options_Exhibits'!J1543:J1547)),AVERAGE('20250815_ETF_Options_Exhibits'!J1543:J1547),"")</f>
        <v/>
      </c>
      <c r="K1547" s="3">
        <f>IF(ISNUMBER(AVERAGE('20250815_ETF_Options_Exhibits'!K1543:K1547)),AVERAGE('20250815_ETF_Options_Exhibits'!K1543:K1547),"")</f>
        <v/>
      </c>
      <c r="L1547" s="3">
        <f>IF(ISNUMBER(AVERAGE('20250815_ETF_Options_Exhibits'!L1543:L1547)),AVERAGE('20250815_ETF_Options_Exhibits'!L1543:L1547),"")</f>
        <v/>
      </c>
      <c r="M1547" s="3">
        <f>IF(ISNUMBER(AVERAGE('20250815_ETF_Options_Exhibits'!M1543:M1547)),AVERAGE('20250815_ETF_Options_Exhibits'!M1543:M1547),"")</f>
        <v/>
      </c>
      <c r="N1547" s="3">
        <f>IF(ISNUMBER(AVERAGE('20250815_ETF_Options_Exhibits'!N1543:N1547)),AVERAGE('20250815_ETF_Options_Exhibits'!N1543:N1547),"")</f>
        <v/>
      </c>
      <c r="O1547" s="3">
        <f>IF(ISNUMBER(AVERAGE('20250815_ETF_Options_Exhibits'!O1543:O1547)),AVERAGE('20250815_ETF_Options_Exhibits'!O1543:O1547),"")</f>
        <v/>
      </c>
      <c r="P1547" s="3">
        <f>IF(ISNUMBER(AVERAGE('20250815_ETF_Options_Exhibits'!P1543:P1547)),AVERAGE('20250815_ETF_Options_Exhibits'!P1543:P1547),"")</f>
        <v/>
      </c>
      <c r="Q1547" s="3">
        <f>IF(ISNUMBER(AVERAGE('20250815_ETF_Options_Exhibits'!Q1543:Q1547)),AVERAGE('20250815_ETF_Options_Exhibits'!Q1543:Q1547),"")</f>
        <v/>
      </c>
      <c r="R1547" s="3">
        <f>IF(ISNUMBER(AVERAGE('20250815_ETF_Options_Exhibits'!R1543:R1547)),AVERAGE('20250815_ETF_Options_Exhibits'!R1543:R1547),"")</f>
        <v/>
      </c>
      <c r="S1547" s="3">
        <f>IF(ISNUMBER(AVERAGE('20250815_ETF_Options_Exhibits'!S1543:S1547)),AVERAGE('20250815_ETF_Options_Exhibits'!S1543:S1547),"")</f>
        <v/>
      </c>
      <c r="T1547" s="3">
        <f>IF(ISNUMBER(AVERAGE('20250815_ETF_Options_Exhibits'!T1543:T1547)),AVERAGE('20250815_ETF_Options_Exhibits'!T1543:T1547),"")</f>
        <v/>
      </c>
      <c r="U1547" s="3">
        <f>IF(ISNUMBER(AVERAGE('20250815_ETF_Options_Exhibits'!U1543:U1547)),AVERAGE('20250815_ETF_Options_Exhibits'!U1543:U1547),"")</f>
        <v/>
      </c>
      <c r="V1547" s="3">
        <f>IF(ISNUMBER(AVERAGE('20250815_ETF_Options_Exhibits'!V1543:V1547)),AVERAGE('20250815_ETF_Options_Exhibits'!V1543:V1547),"")</f>
        <v/>
      </c>
      <c r="W1547" s="3">
        <f>IF(ISNUMBER(AVERAGE('20250815_ETF_Options_Exhibits'!W1543:W1547)),AVERAGE('20250815_ETF_Options_Exhibits'!W1543:W1547),"")</f>
        <v/>
      </c>
      <c r="X1547" s="3">
        <f>IF(ISNUMBER(AVERAGE('20250815_ETF_Options_Exhibits'!X1543:X1547)),AVERAGE('20250815_ETF_Options_Exhibits'!X1543:X1547),"")</f>
        <v/>
      </c>
      <c r="Y1547" s="3">
        <f>IF(ISNUMBER(AVERAGE('20250815_ETF_Options_Exhibits'!Y1543:Y1547)),AVERAGE('20250815_ETF_Options_Exhibits'!Y1543:Y1547),"")</f>
        <v/>
      </c>
      <c r="Z1547" s="3">
        <f>IF(ISNUMBER(AVERAGE('20250815_ETF_Options_Exhibits'!Z1543:Z1547)),AVERAGE('20250815_ETF_Options_Exhibits'!Z1543:Z1547),"")</f>
        <v/>
      </c>
      <c r="AA1547" s="3">
        <f>IF(ISNUMBER(AVERAGE('20250815_ETF_Options_Exhibits'!AA1543:AA1547)),AVERAGE('20250815_ETF_Options_Exhibits'!AA1543:AA1547),"")</f>
        <v/>
      </c>
    </row>
    <row r="1548">
      <c r="A1548" s="1" t="n">
        <v>44250</v>
      </c>
      <c r="B1548" s="3">
        <f>IF(ISNUMBER(AVERAGE('20250815_ETF_Options_Exhibits'!B1544:B1548)),AVERAGE('20250815_ETF_Options_Exhibits'!B1544:B1548),"")</f>
        <v/>
      </c>
      <c r="C1548" s="3">
        <f>IF(ISNUMBER(AVERAGE('20250815_ETF_Options_Exhibits'!C1544:C1548)),AVERAGE('20250815_ETF_Options_Exhibits'!C1544:C1548),"")</f>
        <v/>
      </c>
      <c r="D1548" s="3">
        <f>IF(ISNUMBER(AVERAGE('20250815_ETF_Options_Exhibits'!D1544:D1548)),AVERAGE('20250815_ETF_Options_Exhibits'!D1544:D1548),"")</f>
        <v/>
      </c>
      <c r="E1548" s="3">
        <f>IF(ISNUMBER(AVERAGE('20250815_ETF_Options_Exhibits'!E1544:E1548)),AVERAGE('20250815_ETF_Options_Exhibits'!E1544:E1548),"")</f>
        <v/>
      </c>
      <c r="F1548" s="3">
        <f>IF(ISNUMBER(AVERAGE('20250815_ETF_Options_Exhibits'!F1544:F1548)),AVERAGE('20250815_ETF_Options_Exhibits'!F1544:F1548),"")</f>
        <v/>
      </c>
      <c r="G1548" s="3">
        <f>IF(ISNUMBER(AVERAGE('20250815_ETF_Options_Exhibits'!G1544:G1548)),AVERAGE('20250815_ETF_Options_Exhibits'!G1544:G1548),"")</f>
        <v/>
      </c>
      <c r="H1548" s="3">
        <f>IF(ISNUMBER(AVERAGE('20250815_ETF_Options_Exhibits'!H1544:H1548)),AVERAGE('20250815_ETF_Options_Exhibits'!H1544:H1548),"")</f>
        <v/>
      </c>
      <c r="I1548" s="3">
        <f>IF(ISNUMBER(AVERAGE('20250815_ETF_Options_Exhibits'!I1544:I1548)),AVERAGE('20250815_ETF_Options_Exhibits'!I1544:I1548),"")</f>
        <v/>
      </c>
      <c r="J1548" s="3">
        <f>IF(ISNUMBER(AVERAGE('20250815_ETF_Options_Exhibits'!J1544:J1548)),AVERAGE('20250815_ETF_Options_Exhibits'!J1544:J1548),"")</f>
        <v/>
      </c>
      <c r="K1548" s="3">
        <f>IF(ISNUMBER(AVERAGE('20250815_ETF_Options_Exhibits'!K1544:K1548)),AVERAGE('20250815_ETF_Options_Exhibits'!K1544:K1548),"")</f>
        <v/>
      </c>
      <c r="L1548" s="3">
        <f>IF(ISNUMBER(AVERAGE('20250815_ETF_Options_Exhibits'!L1544:L1548)),AVERAGE('20250815_ETF_Options_Exhibits'!L1544:L1548),"")</f>
        <v/>
      </c>
      <c r="M1548" s="3">
        <f>IF(ISNUMBER(AVERAGE('20250815_ETF_Options_Exhibits'!M1544:M1548)),AVERAGE('20250815_ETF_Options_Exhibits'!M1544:M1548),"")</f>
        <v/>
      </c>
      <c r="N1548" s="3">
        <f>IF(ISNUMBER(AVERAGE('20250815_ETF_Options_Exhibits'!N1544:N1548)),AVERAGE('20250815_ETF_Options_Exhibits'!N1544:N1548),"")</f>
        <v/>
      </c>
      <c r="O1548" s="3">
        <f>IF(ISNUMBER(AVERAGE('20250815_ETF_Options_Exhibits'!O1544:O1548)),AVERAGE('20250815_ETF_Options_Exhibits'!O1544:O1548),"")</f>
        <v/>
      </c>
      <c r="P1548" s="3">
        <f>IF(ISNUMBER(AVERAGE('20250815_ETF_Options_Exhibits'!P1544:P1548)),AVERAGE('20250815_ETF_Options_Exhibits'!P1544:P1548),"")</f>
        <v/>
      </c>
      <c r="Q1548" s="3">
        <f>IF(ISNUMBER(AVERAGE('20250815_ETF_Options_Exhibits'!Q1544:Q1548)),AVERAGE('20250815_ETF_Options_Exhibits'!Q1544:Q1548),"")</f>
        <v/>
      </c>
      <c r="R1548" s="3">
        <f>IF(ISNUMBER(AVERAGE('20250815_ETF_Options_Exhibits'!R1544:R1548)),AVERAGE('20250815_ETF_Options_Exhibits'!R1544:R1548),"")</f>
        <v/>
      </c>
      <c r="S1548" s="3">
        <f>IF(ISNUMBER(AVERAGE('20250815_ETF_Options_Exhibits'!S1544:S1548)),AVERAGE('20250815_ETF_Options_Exhibits'!S1544:S1548),"")</f>
        <v/>
      </c>
      <c r="T1548" s="3">
        <f>IF(ISNUMBER(AVERAGE('20250815_ETF_Options_Exhibits'!T1544:T1548)),AVERAGE('20250815_ETF_Options_Exhibits'!T1544:T1548),"")</f>
        <v/>
      </c>
      <c r="U1548" s="3">
        <f>IF(ISNUMBER(AVERAGE('20250815_ETF_Options_Exhibits'!U1544:U1548)),AVERAGE('20250815_ETF_Options_Exhibits'!U1544:U1548),"")</f>
        <v/>
      </c>
      <c r="V1548" s="3">
        <f>IF(ISNUMBER(AVERAGE('20250815_ETF_Options_Exhibits'!V1544:V1548)),AVERAGE('20250815_ETF_Options_Exhibits'!V1544:V1548),"")</f>
        <v/>
      </c>
      <c r="W1548" s="3">
        <f>IF(ISNUMBER(AVERAGE('20250815_ETF_Options_Exhibits'!W1544:W1548)),AVERAGE('20250815_ETF_Options_Exhibits'!W1544:W1548),"")</f>
        <v/>
      </c>
      <c r="X1548" s="3">
        <f>IF(ISNUMBER(AVERAGE('20250815_ETF_Options_Exhibits'!X1544:X1548)),AVERAGE('20250815_ETF_Options_Exhibits'!X1544:X1548),"")</f>
        <v/>
      </c>
      <c r="Y1548" s="3">
        <f>IF(ISNUMBER(AVERAGE('20250815_ETF_Options_Exhibits'!Y1544:Y1548)),AVERAGE('20250815_ETF_Options_Exhibits'!Y1544:Y1548),"")</f>
        <v/>
      </c>
      <c r="Z1548" s="3">
        <f>IF(ISNUMBER(AVERAGE('20250815_ETF_Options_Exhibits'!Z1544:Z1548)),AVERAGE('20250815_ETF_Options_Exhibits'!Z1544:Z1548),"")</f>
        <v/>
      </c>
      <c r="AA1548" s="3">
        <f>IF(ISNUMBER(AVERAGE('20250815_ETF_Options_Exhibits'!AA1544:AA1548)),AVERAGE('20250815_ETF_Options_Exhibits'!AA1544:AA1548),"")</f>
        <v/>
      </c>
    </row>
    <row r="1549">
      <c r="A1549" s="1" t="n">
        <v>44251</v>
      </c>
      <c r="B1549" s="3">
        <f>IF(ISNUMBER(AVERAGE('20250815_ETF_Options_Exhibits'!B1545:B1549)),AVERAGE('20250815_ETF_Options_Exhibits'!B1545:B1549),"")</f>
        <v/>
      </c>
      <c r="C1549" s="3">
        <f>IF(ISNUMBER(AVERAGE('20250815_ETF_Options_Exhibits'!C1545:C1549)),AVERAGE('20250815_ETF_Options_Exhibits'!C1545:C1549),"")</f>
        <v/>
      </c>
      <c r="D1549" s="3">
        <f>IF(ISNUMBER(AVERAGE('20250815_ETF_Options_Exhibits'!D1545:D1549)),AVERAGE('20250815_ETF_Options_Exhibits'!D1545:D1549),"")</f>
        <v/>
      </c>
      <c r="E1549" s="3">
        <f>IF(ISNUMBER(AVERAGE('20250815_ETF_Options_Exhibits'!E1545:E1549)),AVERAGE('20250815_ETF_Options_Exhibits'!E1545:E1549),"")</f>
        <v/>
      </c>
      <c r="F1549" s="3">
        <f>IF(ISNUMBER(AVERAGE('20250815_ETF_Options_Exhibits'!F1545:F1549)),AVERAGE('20250815_ETF_Options_Exhibits'!F1545:F1549),"")</f>
        <v/>
      </c>
      <c r="G1549" s="3">
        <f>IF(ISNUMBER(AVERAGE('20250815_ETF_Options_Exhibits'!G1545:G1549)),AVERAGE('20250815_ETF_Options_Exhibits'!G1545:G1549),"")</f>
        <v/>
      </c>
      <c r="H1549" s="3">
        <f>IF(ISNUMBER(AVERAGE('20250815_ETF_Options_Exhibits'!H1545:H1549)),AVERAGE('20250815_ETF_Options_Exhibits'!H1545:H1549),"")</f>
        <v/>
      </c>
      <c r="I1549" s="3">
        <f>IF(ISNUMBER(AVERAGE('20250815_ETF_Options_Exhibits'!I1545:I1549)),AVERAGE('20250815_ETF_Options_Exhibits'!I1545:I1549),"")</f>
        <v/>
      </c>
      <c r="J1549" s="3">
        <f>IF(ISNUMBER(AVERAGE('20250815_ETF_Options_Exhibits'!J1545:J1549)),AVERAGE('20250815_ETF_Options_Exhibits'!J1545:J1549),"")</f>
        <v/>
      </c>
      <c r="K1549" s="3">
        <f>IF(ISNUMBER(AVERAGE('20250815_ETF_Options_Exhibits'!K1545:K1549)),AVERAGE('20250815_ETF_Options_Exhibits'!K1545:K1549),"")</f>
        <v/>
      </c>
      <c r="L1549" s="3">
        <f>IF(ISNUMBER(AVERAGE('20250815_ETF_Options_Exhibits'!L1545:L1549)),AVERAGE('20250815_ETF_Options_Exhibits'!L1545:L1549),"")</f>
        <v/>
      </c>
      <c r="M1549" s="3">
        <f>IF(ISNUMBER(AVERAGE('20250815_ETF_Options_Exhibits'!M1545:M1549)),AVERAGE('20250815_ETF_Options_Exhibits'!M1545:M1549),"")</f>
        <v/>
      </c>
      <c r="N1549" s="3">
        <f>IF(ISNUMBER(AVERAGE('20250815_ETF_Options_Exhibits'!N1545:N1549)),AVERAGE('20250815_ETF_Options_Exhibits'!N1545:N1549),"")</f>
        <v/>
      </c>
      <c r="O1549" s="3">
        <f>IF(ISNUMBER(AVERAGE('20250815_ETF_Options_Exhibits'!O1545:O1549)),AVERAGE('20250815_ETF_Options_Exhibits'!O1545:O1549),"")</f>
        <v/>
      </c>
      <c r="P1549" s="3">
        <f>IF(ISNUMBER(AVERAGE('20250815_ETF_Options_Exhibits'!P1545:P1549)),AVERAGE('20250815_ETF_Options_Exhibits'!P1545:P1549),"")</f>
        <v/>
      </c>
      <c r="Q1549" s="3">
        <f>IF(ISNUMBER(AVERAGE('20250815_ETF_Options_Exhibits'!Q1545:Q1549)),AVERAGE('20250815_ETF_Options_Exhibits'!Q1545:Q1549),"")</f>
        <v/>
      </c>
      <c r="R1549" s="3">
        <f>IF(ISNUMBER(AVERAGE('20250815_ETF_Options_Exhibits'!R1545:R1549)),AVERAGE('20250815_ETF_Options_Exhibits'!R1545:R1549),"")</f>
        <v/>
      </c>
      <c r="S1549" s="3">
        <f>IF(ISNUMBER(AVERAGE('20250815_ETF_Options_Exhibits'!S1545:S1549)),AVERAGE('20250815_ETF_Options_Exhibits'!S1545:S1549),"")</f>
        <v/>
      </c>
      <c r="T1549" s="3">
        <f>IF(ISNUMBER(AVERAGE('20250815_ETF_Options_Exhibits'!T1545:T1549)),AVERAGE('20250815_ETF_Options_Exhibits'!T1545:T1549),"")</f>
        <v/>
      </c>
      <c r="U1549" s="3">
        <f>IF(ISNUMBER(AVERAGE('20250815_ETF_Options_Exhibits'!U1545:U1549)),AVERAGE('20250815_ETF_Options_Exhibits'!U1545:U1549),"")</f>
        <v/>
      </c>
      <c r="V1549" s="3">
        <f>IF(ISNUMBER(AVERAGE('20250815_ETF_Options_Exhibits'!V1545:V1549)),AVERAGE('20250815_ETF_Options_Exhibits'!V1545:V1549),"")</f>
        <v/>
      </c>
      <c r="W1549" s="3">
        <f>IF(ISNUMBER(AVERAGE('20250815_ETF_Options_Exhibits'!W1545:W1549)),AVERAGE('20250815_ETF_Options_Exhibits'!W1545:W1549),"")</f>
        <v/>
      </c>
      <c r="X1549" s="3">
        <f>IF(ISNUMBER(AVERAGE('20250815_ETF_Options_Exhibits'!X1545:X1549)),AVERAGE('20250815_ETF_Options_Exhibits'!X1545:X1549),"")</f>
        <v/>
      </c>
      <c r="Y1549" s="3">
        <f>IF(ISNUMBER(AVERAGE('20250815_ETF_Options_Exhibits'!Y1545:Y1549)),AVERAGE('20250815_ETF_Options_Exhibits'!Y1545:Y1549),"")</f>
        <v/>
      </c>
      <c r="Z1549" s="3">
        <f>IF(ISNUMBER(AVERAGE('20250815_ETF_Options_Exhibits'!Z1545:Z1549)),AVERAGE('20250815_ETF_Options_Exhibits'!Z1545:Z1549),"")</f>
        <v/>
      </c>
      <c r="AA1549" s="3">
        <f>IF(ISNUMBER(AVERAGE('20250815_ETF_Options_Exhibits'!AA1545:AA1549)),AVERAGE('20250815_ETF_Options_Exhibits'!AA1545:AA1549),"")</f>
        <v/>
      </c>
    </row>
    <row r="1550">
      <c r="A1550" s="1" t="n">
        <v>44252</v>
      </c>
      <c r="B1550" s="3">
        <f>IF(ISNUMBER(AVERAGE('20250815_ETF_Options_Exhibits'!B1546:B1550)),AVERAGE('20250815_ETF_Options_Exhibits'!B1546:B1550),"")</f>
        <v/>
      </c>
      <c r="C1550" s="3">
        <f>IF(ISNUMBER(AVERAGE('20250815_ETF_Options_Exhibits'!C1546:C1550)),AVERAGE('20250815_ETF_Options_Exhibits'!C1546:C1550),"")</f>
        <v/>
      </c>
      <c r="D1550" s="3">
        <f>IF(ISNUMBER(AVERAGE('20250815_ETF_Options_Exhibits'!D1546:D1550)),AVERAGE('20250815_ETF_Options_Exhibits'!D1546:D1550),"")</f>
        <v/>
      </c>
      <c r="E1550" s="3">
        <f>IF(ISNUMBER(AVERAGE('20250815_ETF_Options_Exhibits'!E1546:E1550)),AVERAGE('20250815_ETF_Options_Exhibits'!E1546:E1550),"")</f>
        <v/>
      </c>
      <c r="F1550" s="3">
        <f>IF(ISNUMBER(AVERAGE('20250815_ETF_Options_Exhibits'!F1546:F1550)),AVERAGE('20250815_ETF_Options_Exhibits'!F1546:F1550),"")</f>
        <v/>
      </c>
      <c r="G1550" s="3">
        <f>IF(ISNUMBER(AVERAGE('20250815_ETF_Options_Exhibits'!G1546:G1550)),AVERAGE('20250815_ETF_Options_Exhibits'!G1546:G1550),"")</f>
        <v/>
      </c>
      <c r="H1550" s="3">
        <f>IF(ISNUMBER(AVERAGE('20250815_ETF_Options_Exhibits'!H1546:H1550)),AVERAGE('20250815_ETF_Options_Exhibits'!H1546:H1550),"")</f>
        <v/>
      </c>
      <c r="I1550" s="3">
        <f>IF(ISNUMBER(AVERAGE('20250815_ETF_Options_Exhibits'!I1546:I1550)),AVERAGE('20250815_ETF_Options_Exhibits'!I1546:I1550),"")</f>
        <v/>
      </c>
      <c r="J1550" s="3">
        <f>IF(ISNUMBER(AVERAGE('20250815_ETF_Options_Exhibits'!J1546:J1550)),AVERAGE('20250815_ETF_Options_Exhibits'!J1546:J1550),"")</f>
        <v/>
      </c>
      <c r="K1550" s="3">
        <f>IF(ISNUMBER(AVERAGE('20250815_ETF_Options_Exhibits'!K1546:K1550)),AVERAGE('20250815_ETF_Options_Exhibits'!K1546:K1550),"")</f>
        <v/>
      </c>
      <c r="L1550" s="3">
        <f>IF(ISNUMBER(AVERAGE('20250815_ETF_Options_Exhibits'!L1546:L1550)),AVERAGE('20250815_ETF_Options_Exhibits'!L1546:L1550),"")</f>
        <v/>
      </c>
      <c r="M1550" s="3">
        <f>IF(ISNUMBER(AVERAGE('20250815_ETF_Options_Exhibits'!M1546:M1550)),AVERAGE('20250815_ETF_Options_Exhibits'!M1546:M1550),"")</f>
        <v/>
      </c>
      <c r="N1550" s="3">
        <f>IF(ISNUMBER(AVERAGE('20250815_ETF_Options_Exhibits'!N1546:N1550)),AVERAGE('20250815_ETF_Options_Exhibits'!N1546:N1550),"")</f>
        <v/>
      </c>
      <c r="O1550" s="3">
        <f>IF(ISNUMBER(AVERAGE('20250815_ETF_Options_Exhibits'!O1546:O1550)),AVERAGE('20250815_ETF_Options_Exhibits'!O1546:O1550),"")</f>
        <v/>
      </c>
      <c r="P1550" s="3">
        <f>IF(ISNUMBER(AVERAGE('20250815_ETF_Options_Exhibits'!P1546:P1550)),AVERAGE('20250815_ETF_Options_Exhibits'!P1546:P1550),"")</f>
        <v/>
      </c>
      <c r="Q1550" s="3">
        <f>IF(ISNUMBER(AVERAGE('20250815_ETF_Options_Exhibits'!Q1546:Q1550)),AVERAGE('20250815_ETF_Options_Exhibits'!Q1546:Q1550),"")</f>
        <v/>
      </c>
      <c r="R1550" s="3">
        <f>IF(ISNUMBER(AVERAGE('20250815_ETF_Options_Exhibits'!R1546:R1550)),AVERAGE('20250815_ETF_Options_Exhibits'!R1546:R1550),"")</f>
        <v/>
      </c>
      <c r="S1550" s="3">
        <f>IF(ISNUMBER(AVERAGE('20250815_ETF_Options_Exhibits'!S1546:S1550)),AVERAGE('20250815_ETF_Options_Exhibits'!S1546:S1550),"")</f>
        <v/>
      </c>
      <c r="T1550" s="3">
        <f>IF(ISNUMBER(AVERAGE('20250815_ETF_Options_Exhibits'!T1546:T1550)),AVERAGE('20250815_ETF_Options_Exhibits'!T1546:T1550),"")</f>
        <v/>
      </c>
      <c r="U1550" s="3">
        <f>IF(ISNUMBER(AVERAGE('20250815_ETF_Options_Exhibits'!U1546:U1550)),AVERAGE('20250815_ETF_Options_Exhibits'!U1546:U1550),"")</f>
        <v/>
      </c>
      <c r="V1550" s="3">
        <f>IF(ISNUMBER(AVERAGE('20250815_ETF_Options_Exhibits'!V1546:V1550)),AVERAGE('20250815_ETF_Options_Exhibits'!V1546:V1550),"")</f>
        <v/>
      </c>
      <c r="W1550" s="3">
        <f>IF(ISNUMBER(AVERAGE('20250815_ETF_Options_Exhibits'!W1546:W1550)),AVERAGE('20250815_ETF_Options_Exhibits'!W1546:W1550),"")</f>
        <v/>
      </c>
      <c r="X1550" s="3">
        <f>IF(ISNUMBER(AVERAGE('20250815_ETF_Options_Exhibits'!X1546:X1550)),AVERAGE('20250815_ETF_Options_Exhibits'!X1546:X1550),"")</f>
        <v/>
      </c>
      <c r="Y1550" s="3">
        <f>IF(ISNUMBER(AVERAGE('20250815_ETF_Options_Exhibits'!Y1546:Y1550)),AVERAGE('20250815_ETF_Options_Exhibits'!Y1546:Y1550),"")</f>
        <v/>
      </c>
      <c r="Z1550" s="3">
        <f>IF(ISNUMBER(AVERAGE('20250815_ETF_Options_Exhibits'!Z1546:Z1550)),AVERAGE('20250815_ETF_Options_Exhibits'!Z1546:Z1550),"")</f>
        <v/>
      </c>
      <c r="AA1550" s="3">
        <f>IF(ISNUMBER(AVERAGE('20250815_ETF_Options_Exhibits'!AA1546:AA1550)),AVERAGE('20250815_ETF_Options_Exhibits'!AA1546:AA1550),"")</f>
        <v/>
      </c>
    </row>
    <row r="1551">
      <c r="A1551" s="1" t="n">
        <v>44253</v>
      </c>
      <c r="B1551" s="3">
        <f>IF(ISNUMBER(AVERAGE('20250815_ETF_Options_Exhibits'!B1547:B1551)),AVERAGE('20250815_ETF_Options_Exhibits'!B1547:B1551),"")</f>
        <v/>
      </c>
      <c r="C1551" s="3">
        <f>IF(ISNUMBER(AVERAGE('20250815_ETF_Options_Exhibits'!C1547:C1551)),AVERAGE('20250815_ETF_Options_Exhibits'!C1547:C1551),"")</f>
        <v/>
      </c>
      <c r="D1551" s="3">
        <f>IF(ISNUMBER(AVERAGE('20250815_ETF_Options_Exhibits'!D1547:D1551)),AVERAGE('20250815_ETF_Options_Exhibits'!D1547:D1551),"")</f>
        <v/>
      </c>
      <c r="E1551" s="3">
        <f>IF(ISNUMBER(AVERAGE('20250815_ETF_Options_Exhibits'!E1547:E1551)),AVERAGE('20250815_ETF_Options_Exhibits'!E1547:E1551),"")</f>
        <v/>
      </c>
      <c r="F1551" s="3">
        <f>IF(ISNUMBER(AVERAGE('20250815_ETF_Options_Exhibits'!F1547:F1551)),AVERAGE('20250815_ETF_Options_Exhibits'!F1547:F1551),"")</f>
        <v/>
      </c>
      <c r="G1551" s="3">
        <f>IF(ISNUMBER(AVERAGE('20250815_ETF_Options_Exhibits'!G1547:G1551)),AVERAGE('20250815_ETF_Options_Exhibits'!G1547:G1551),"")</f>
        <v/>
      </c>
      <c r="H1551" s="3">
        <f>IF(ISNUMBER(AVERAGE('20250815_ETF_Options_Exhibits'!H1547:H1551)),AVERAGE('20250815_ETF_Options_Exhibits'!H1547:H1551),"")</f>
        <v/>
      </c>
      <c r="I1551" s="3">
        <f>IF(ISNUMBER(AVERAGE('20250815_ETF_Options_Exhibits'!I1547:I1551)),AVERAGE('20250815_ETF_Options_Exhibits'!I1547:I1551),"")</f>
        <v/>
      </c>
      <c r="J1551" s="3">
        <f>IF(ISNUMBER(AVERAGE('20250815_ETF_Options_Exhibits'!J1547:J1551)),AVERAGE('20250815_ETF_Options_Exhibits'!J1547:J1551),"")</f>
        <v/>
      </c>
      <c r="K1551" s="3">
        <f>IF(ISNUMBER(AVERAGE('20250815_ETF_Options_Exhibits'!K1547:K1551)),AVERAGE('20250815_ETF_Options_Exhibits'!K1547:K1551),"")</f>
        <v/>
      </c>
      <c r="L1551" s="3">
        <f>IF(ISNUMBER(AVERAGE('20250815_ETF_Options_Exhibits'!L1547:L1551)),AVERAGE('20250815_ETF_Options_Exhibits'!L1547:L1551),"")</f>
        <v/>
      </c>
      <c r="M1551" s="3">
        <f>IF(ISNUMBER(AVERAGE('20250815_ETF_Options_Exhibits'!M1547:M1551)),AVERAGE('20250815_ETF_Options_Exhibits'!M1547:M1551),"")</f>
        <v/>
      </c>
      <c r="N1551" s="3">
        <f>IF(ISNUMBER(AVERAGE('20250815_ETF_Options_Exhibits'!N1547:N1551)),AVERAGE('20250815_ETF_Options_Exhibits'!N1547:N1551),"")</f>
        <v/>
      </c>
      <c r="O1551" s="3">
        <f>IF(ISNUMBER(AVERAGE('20250815_ETF_Options_Exhibits'!O1547:O1551)),AVERAGE('20250815_ETF_Options_Exhibits'!O1547:O1551),"")</f>
        <v/>
      </c>
      <c r="P1551" s="3">
        <f>IF(ISNUMBER(AVERAGE('20250815_ETF_Options_Exhibits'!P1547:P1551)),AVERAGE('20250815_ETF_Options_Exhibits'!P1547:P1551),"")</f>
        <v/>
      </c>
      <c r="Q1551" s="3">
        <f>IF(ISNUMBER(AVERAGE('20250815_ETF_Options_Exhibits'!Q1547:Q1551)),AVERAGE('20250815_ETF_Options_Exhibits'!Q1547:Q1551),"")</f>
        <v/>
      </c>
      <c r="R1551" s="3">
        <f>IF(ISNUMBER(AVERAGE('20250815_ETF_Options_Exhibits'!R1547:R1551)),AVERAGE('20250815_ETF_Options_Exhibits'!R1547:R1551),"")</f>
        <v/>
      </c>
      <c r="S1551" s="3">
        <f>IF(ISNUMBER(AVERAGE('20250815_ETF_Options_Exhibits'!S1547:S1551)),AVERAGE('20250815_ETF_Options_Exhibits'!S1547:S1551),"")</f>
        <v/>
      </c>
      <c r="T1551" s="3">
        <f>IF(ISNUMBER(AVERAGE('20250815_ETF_Options_Exhibits'!T1547:T1551)),AVERAGE('20250815_ETF_Options_Exhibits'!T1547:T1551),"")</f>
        <v/>
      </c>
      <c r="U1551" s="3">
        <f>IF(ISNUMBER(AVERAGE('20250815_ETF_Options_Exhibits'!U1547:U1551)),AVERAGE('20250815_ETF_Options_Exhibits'!U1547:U1551),"")</f>
        <v/>
      </c>
      <c r="V1551" s="3">
        <f>IF(ISNUMBER(AVERAGE('20250815_ETF_Options_Exhibits'!V1547:V1551)),AVERAGE('20250815_ETF_Options_Exhibits'!V1547:V1551),"")</f>
        <v/>
      </c>
      <c r="W1551" s="3">
        <f>IF(ISNUMBER(AVERAGE('20250815_ETF_Options_Exhibits'!W1547:W1551)),AVERAGE('20250815_ETF_Options_Exhibits'!W1547:W1551),"")</f>
        <v/>
      </c>
      <c r="X1551" s="3">
        <f>IF(ISNUMBER(AVERAGE('20250815_ETF_Options_Exhibits'!X1547:X1551)),AVERAGE('20250815_ETF_Options_Exhibits'!X1547:X1551),"")</f>
        <v/>
      </c>
      <c r="Y1551" s="3">
        <f>IF(ISNUMBER(AVERAGE('20250815_ETF_Options_Exhibits'!Y1547:Y1551)),AVERAGE('20250815_ETF_Options_Exhibits'!Y1547:Y1551),"")</f>
        <v/>
      </c>
      <c r="Z1551" s="3">
        <f>IF(ISNUMBER(AVERAGE('20250815_ETF_Options_Exhibits'!Z1547:Z1551)),AVERAGE('20250815_ETF_Options_Exhibits'!Z1547:Z1551),"")</f>
        <v/>
      </c>
      <c r="AA1551" s="3">
        <f>IF(ISNUMBER(AVERAGE('20250815_ETF_Options_Exhibits'!AA1547:AA1551)),AVERAGE('20250815_ETF_Options_Exhibits'!AA1547:AA1551),"")</f>
        <v/>
      </c>
    </row>
    <row r="1552">
      <c r="A1552" s="1" t="n">
        <v>44256</v>
      </c>
      <c r="B1552" s="3">
        <f>IF(ISNUMBER(AVERAGE('20250815_ETF_Options_Exhibits'!B1548:B1552)),AVERAGE('20250815_ETF_Options_Exhibits'!B1548:B1552),"")</f>
        <v/>
      </c>
      <c r="C1552" s="3">
        <f>IF(ISNUMBER(AVERAGE('20250815_ETF_Options_Exhibits'!C1548:C1552)),AVERAGE('20250815_ETF_Options_Exhibits'!C1548:C1552),"")</f>
        <v/>
      </c>
      <c r="D1552" s="3">
        <f>IF(ISNUMBER(AVERAGE('20250815_ETF_Options_Exhibits'!D1548:D1552)),AVERAGE('20250815_ETF_Options_Exhibits'!D1548:D1552),"")</f>
        <v/>
      </c>
      <c r="E1552" s="3">
        <f>IF(ISNUMBER(AVERAGE('20250815_ETF_Options_Exhibits'!E1548:E1552)),AVERAGE('20250815_ETF_Options_Exhibits'!E1548:E1552),"")</f>
        <v/>
      </c>
      <c r="F1552" s="3">
        <f>IF(ISNUMBER(AVERAGE('20250815_ETF_Options_Exhibits'!F1548:F1552)),AVERAGE('20250815_ETF_Options_Exhibits'!F1548:F1552),"")</f>
        <v/>
      </c>
      <c r="G1552" s="3">
        <f>IF(ISNUMBER(AVERAGE('20250815_ETF_Options_Exhibits'!G1548:G1552)),AVERAGE('20250815_ETF_Options_Exhibits'!G1548:G1552),"")</f>
        <v/>
      </c>
      <c r="H1552" s="3">
        <f>IF(ISNUMBER(AVERAGE('20250815_ETF_Options_Exhibits'!H1548:H1552)),AVERAGE('20250815_ETF_Options_Exhibits'!H1548:H1552),"")</f>
        <v/>
      </c>
      <c r="I1552" s="3">
        <f>IF(ISNUMBER(AVERAGE('20250815_ETF_Options_Exhibits'!I1548:I1552)),AVERAGE('20250815_ETF_Options_Exhibits'!I1548:I1552),"")</f>
        <v/>
      </c>
      <c r="J1552" s="3">
        <f>IF(ISNUMBER(AVERAGE('20250815_ETF_Options_Exhibits'!J1548:J1552)),AVERAGE('20250815_ETF_Options_Exhibits'!J1548:J1552),"")</f>
        <v/>
      </c>
      <c r="K1552" s="3">
        <f>IF(ISNUMBER(AVERAGE('20250815_ETF_Options_Exhibits'!K1548:K1552)),AVERAGE('20250815_ETF_Options_Exhibits'!K1548:K1552),"")</f>
        <v/>
      </c>
      <c r="L1552" s="3">
        <f>IF(ISNUMBER(AVERAGE('20250815_ETF_Options_Exhibits'!L1548:L1552)),AVERAGE('20250815_ETF_Options_Exhibits'!L1548:L1552),"")</f>
        <v/>
      </c>
      <c r="M1552" s="3">
        <f>IF(ISNUMBER(AVERAGE('20250815_ETF_Options_Exhibits'!M1548:M1552)),AVERAGE('20250815_ETF_Options_Exhibits'!M1548:M1552),"")</f>
        <v/>
      </c>
      <c r="N1552" s="3">
        <f>IF(ISNUMBER(AVERAGE('20250815_ETF_Options_Exhibits'!N1548:N1552)),AVERAGE('20250815_ETF_Options_Exhibits'!N1548:N1552),"")</f>
        <v/>
      </c>
      <c r="O1552" s="3">
        <f>IF(ISNUMBER(AVERAGE('20250815_ETF_Options_Exhibits'!O1548:O1552)),AVERAGE('20250815_ETF_Options_Exhibits'!O1548:O1552),"")</f>
        <v/>
      </c>
      <c r="P1552" s="3">
        <f>IF(ISNUMBER(AVERAGE('20250815_ETF_Options_Exhibits'!P1548:P1552)),AVERAGE('20250815_ETF_Options_Exhibits'!P1548:P1552),"")</f>
        <v/>
      </c>
      <c r="Q1552" s="3">
        <f>IF(ISNUMBER(AVERAGE('20250815_ETF_Options_Exhibits'!Q1548:Q1552)),AVERAGE('20250815_ETF_Options_Exhibits'!Q1548:Q1552),"")</f>
        <v/>
      </c>
      <c r="R1552" s="3">
        <f>IF(ISNUMBER(AVERAGE('20250815_ETF_Options_Exhibits'!R1548:R1552)),AVERAGE('20250815_ETF_Options_Exhibits'!R1548:R1552),"")</f>
        <v/>
      </c>
      <c r="S1552" s="3">
        <f>IF(ISNUMBER(AVERAGE('20250815_ETF_Options_Exhibits'!S1548:S1552)),AVERAGE('20250815_ETF_Options_Exhibits'!S1548:S1552),"")</f>
        <v/>
      </c>
      <c r="T1552" s="3">
        <f>IF(ISNUMBER(AVERAGE('20250815_ETF_Options_Exhibits'!T1548:T1552)),AVERAGE('20250815_ETF_Options_Exhibits'!T1548:T1552),"")</f>
        <v/>
      </c>
      <c r="U1552" s="3">
        <f>IF(ISNUMBER(AVERAGE('20250815_ETF_Options_Exhibits'!U1548:U1552)),AVERAGE('20250815_ETF_Options_Exhibits'!U1548:U1552),"")</f>
        <v/>
      </c>
      <c r="V1552" s="3">
        <f>IF(ISNUMBER(AVERAGE('20250815_ETF_Options_Exhibits'!V1548:V1552)),AVERAGE('20250815_ETF_Options_Exhibits'!V1548:V1552),"")</f>
        <v/>
      </c>
      <c r="W1552" s="3">
        <f>IF(ISNUMBER(AVERAGE('20250815_ETF_Options_Exhibits'!W1548:W1552)),AVERAGE('20250815_ETF_Options_Exhibits'!W1548:W1552),"")</f>
        <v/>
      </c>
      <c r="X1552" s="3">
        <f>IF(ISNUMBER(AVERAGE('20250815_ETF_Options_Exhibits'!X1548:X1552)),AVERAGE('20250815_ETF_Options_Exhibits'!X1548:X1552),"")</f>
        <v/>
      </c>
      <c r="Y1552" s="3">
        <f>IF(ISNUMBER(AVERAGE('20250815_ETF_Options_Exhibits'!Y1548:Y1552)),AVERAGE('20250815_ETF_Options_Exhibits'!Y1548:Y1552),"")</f>
        <v/>
      </c>
      <c r="Z1552" s="3">
        <f>IF(ISNUMBER(AVERAGE('20250815_ETF_Options_Exhibits'!Z1548:Z1552)),AVERAGE('20250815_ETF_Options_Exhibits'!Z1548:Z1552),"")</f>
        <v/>
      </c>
      <c r="AA1552" s="3">
        <f>IF(ISNUMBER(AVERAGE('20250815_ETF_Options_Exhibits'!AA1548:AA1552)),AVERAGE('20250815_ETF_Options_Exhibits'!AA1548:AA1552),"")</f>
        <v/>
      </c>
    </row>
    <row r="1553">
      <c r="A1553" s="1" t="n">
        <v>44257</v>
      </c>
      <c r="B1553" s="3">
        <f>IF(ISNUMBER(AVERAGE('20250815_ETF_Options_Exhibits'!B1549:B1553)),AVERAGE('20250815_ETF_Options_Exhibits'!B1549:B1553),"")</f>
        <v/>
      </c>
      <c r="C1553" s="3">
        <f>IF(ISNUMBER(AVERAGE('20250815_ETF_Options_Exhibits'!C1549:C1553)),AVERAGE('20250815_ETF_Options_Exhibits'!C1549:C1553),"")</f>
        <v/>
      </c>
      <c r="D1553" s="3">
        <f>IF(ISNUMBER(AVERAGE('20250815_ETF_Options_Exhibits'!D1549:D1553)),AVERAGE('20250815_ETF_Options_Exhibits'!D1549:D1553),"")</f>
        <v/>
      </c>
      <c r="E1553" s="3">
        <f>IF(ISNUMBER(AVERAGE('20250815_ETF_Options_Exhibits'!E1549:E1553)),AVERAGE('20250815_ETF_Options_Exhibits'!E1549:E1553),"")</f>
        <v/>
      </c>
      <c r="F1553" s="3">
        <f>IF(ISNUMBER(AVERAGE('20250815_ETF_Options_Exhibits'!F1549:F1553)),AVERAGE('20250815_ETF_Options_Exhibits'!F1549:F1553),"")</f>
        <v/>
      </c>
      <c r="G1553" s="3">
        <f>IF(ISNUMBER(AVERAGE('20250815_ETF_Options_Exhibits'!G1549:G1553)),AVERAGE('20250815_ETF_Options_Exhibits'!G1549:G1553),"")</f>
        <v/>
      </c>
      <c r="H1553" s="3">
        <f>IF(ISNUMBER(AVERAGE('20250815_ETF_Options_Exhibits'!H1549:H1553)),AVERAGE('20250815_ETF_Options_Exhibits'!H1549:H1553),"")</f>
        <v/>
      </c>
      <c r="I1553" s="3">
        <f>IF(ISNUMBER(AVERAGE('20250815_ETF_Options_Exhibits'!I1549:I1553)),AVERAGE('20250815_ETF_Options_Exhibits'!I1549:I1553),"")</f>
        <v/>
      </c>
      <c r="J1553" s="3">
        <f>IF(ISNUMBER(AVERAGE('20250815_ETF_Options_Exhibits'!J1549:J1553)),AVERAGE('20250815_ETF_Options_Exhibits'!J1549:J1553),"")</f>
        <v/>
      </c>
      <c r="K1553" s="3">
        <f>IF(ISNUMBER(AVERAGE('20250815_ETF_Options_Exhibits'!K1549:K1553)),AVERAGE('20250815_ETF_Options_Exhibits'!K1549:K1553),"")</f>
        <v/>
      </c>
      <c r="L1553" s="3">
        <f>IF(ISNUMBER(AVERAGE('20250815_ETF_Options_Exhibits'!L1549:L1553)),AVERAGE('20250815_ETF_Options_Exhibits'!L1549:L1553),"")</f>
        <v/>
      </c>
      <c r="M1553" s="3">
        <f>IF(ISNUMBER(AVERAGE('20250815_ETF_Options_Exhibits'!M1549:M1553)),AVERAGE('20250815_ETF_Options_Exhibits'!M1549:M1553),"")</f>
        <v/>
      </c>
      <c r="N1553" s="3">
        <f>IF(ISNUMBER(AVERAGE('20250815_ETF_Options_Exhibits'!N1549:N1553)),AVERAGE('20250815_ETF_Options_Exhibits'!N1549:N1553),"")</f>
        <v/>
      </c>
      <c r="O1553" s="3">
        <f>IF(ISNUMBER(AVERAGE('20250815_ETF_Options_Exhibits'!O1549:O1553)),AVERAGE('20250815_ETF_Options_Exhibits'!O1549:O1553),"")</f>
        <v/>
      </c>
      <c r="P1553" s="3">
        <f>IF(ISNUMBER(AVERAGE('20250815_ETF_Options_Exhibits'!P1549:P1553)),AVERAGE('20250815_ETF_Options_Exhibits'!P1549:P1553),"")</f>
        <v/>
      </c>
      <c r="Q1553" s="3">
        <f>IF(ISNUMBER(AVERAGE('20250815_ETF_Options_Exhibits'!Q1549:Q1553)),AVERAGE('20250815_ETF_Options_Exhibits'!Q1549:Q1553),"")</f>
        <v/>
      </c>
      <c r="R1553" s="3">
        <f>IF(ISNUMBER(AVERAGE('20250815_ETF_Options_Exhibits'!R1549:R1553)),AVERAGE('20250815_ETF_Options_Exhibits'!R1549:R1553),"")</f>
        <v/>
      </c>
      <c r="S1553" s="3">
        <f>IF(ISNUMBER(AVERAGE('20250815_ETF_Options_Exhibits'!S1549:S1553)),AVERAGE('20250815_ETF_Options_Exhibits'!S1549:S1553),"")</f>
        <v/>
      </c>
      <c r="T1553" s="3">
        <f>IF(ISNUMBER(AVERAGE('20250815_ETF_Options_Exhibits'!T1549:T1553)),AVERAGE('20250815_ETF_Options_Exhibits'!T1549:T1553),"")</f>
        <v/>
      </c>
      <c r="U1553" s="3">
        <f>IF(ISNUMBER(AVERAGE('20250815_ETF_Options_Exhibits'!U1549:U1553)),AVERAGE('20250815_ETF_Options_Exhibits'!U1549:U1553),"")</f>
        <v/>
      </c>
      <c r="V1553" s="3">
        <f>IF(ISNUMBER(AVERAGE('20250815_ETF_Options_Exhibits'!V1549:V1553)),AVERAGE('20250815_ETF_Options_Exhibits'!V1549:V1553),"")</f>
        <v/>
      </c>
      <c r="W1553" s="3">
        <f>IF(ISNUMBER(AVERAGE('20250815_ETF_Options_Exhibits'!W1549:W1553)),AVERAGE('20250815_ETF_Options_Exhibits'!W1549:W1553),"")</f>
        <v/>
      </c>
      <c r="X1553" s="3">
        <f>IF(ISNUMBER(AVERAGE('20250815_ETF_Options_Exhibits'!X1549:X1553)),AVERAGE('20250815_ETF_Options_Exhibits'!X1549:X1553),"")</f>
        <v/>
      </c>
      <c r="Y1553" s="3">
        <f>IF(ISNUMBER(AVERAGE('20250815_ETF_Options_Exhibits'!Y1549:Y1553)),AVERAGE('20250815_ETF_Options_Exhibits'!Y1549:Y1553),"")</f>
        <v/>
      </c>
      <c r="Z1553" s="3">
        <f>IF(ISNUMBER(AVERAGE('20250815_ETF_Options_Exhibits'!Z1549:Z1553)),AVERAGE('20250815_ETF_Options_Exhibits'!Z1549:Z1553),"")</f>
        <v/>
      </c>
      <c r="AA1553" s="3">
        <f>IF(ISNUMBER(AVERAGE('20250815_ETF_Options_Exhibits'!AA1549:AA1553)),AVERAGE('20250815_ETF_Options_Exhibits'!AA1549:AA1553),"")</f>
        <v/>
      </c>
    </row>
    <row r="1554">
      <c r="A1554" s="1" t="n">
        <v>44258</v>
      </c>
      <c r="B1554" s="3">
        <f>IF(ISNUMBER(AVERAGE('20250815_ETF_Options_Exhibits'!B1550:B1554)),AVERAGE('20250815_ETF_Options_Exhibits'!B1550:B1554),"")</f>
        <v/>
      </c>
      <c r="C1554" s="3">
        <f>IF(ISNUMBER(AVERAGE('20250815_ETF_Options_Exhibits'!C1550:C1554)),AVERAGE('20250815_ETF_Options_Exhibits'!C1550:C1554),"")</f>
        <v/>
      </c>
      <c r="D1554" s="3">
        <f>IF(ISNUMBER(AVERAGE('20250815_ETF_Options_Exhibits'!D1550:D1554)),AVERAGE('20250815_ETF_Options_Exhibits'!D1550:D1554),"")</f>
        <v/>
      </c>
      <c r="E1554" s="3">
        <f>IF(ISNUMBER(AVERAGE('20250815_ETF_Options_Exhibits'!E1550:E1554)),AVERAGE('20250815_ETF_Options_Exhibits'!E1550:E1554),"")</f>
        <v/>
      </c>
      <c r="F1554" s="3">
        <f>IF(ISNUMBER(AVERAGE('20250815_ETF_Options_Exhibits'!F1550:F1554)),AVERAGE('20250815_ETF_Options_Exhibits'!F1550:F1554),"")</f>
        <v/>
      </c>
      <c r="G1554" s="3">
        <f>IF(ISNUMBER(AVERAGE('20250815_ETF_Options_Exhibits'!G1550:G1554)),AVERAGE('20250815_ETF_Options_Exhibits'!G1550:G1554),"")</f>
        <v/>
      </c>
      <c r="H1554" s="3">
        <f>IF(ISNUMBER(AVERAGE('20250815_ETF_Options_Exhibits'!H1550:H1554)),AVERAGE('20250815_ETF_Options_Exhibits'!H1550:H1554),"")</f>
        <v/>
      </c>
      <c r="I1554" s="3">
        <f>IF(ISNUMBER(AVERAGE('20250815_ETF_Options_Exhibits'!I1550:I1554)),AVERAGE('20250815_ETF_Options_Exhibits'!I1550:I1554),"")</f>
        <v/>
      </c>
      <c r="J1554" s="3">
        <f>IF(ISNUMBER(AVERAGE('20250815_ETF_Options_Exhibits'!J1550:J1554)),AVERAGE('20250815_ETF_Options_Exhibits'!J1550:J1554),"")</f>
        <v/>
      </c>
      <c r="K1554" s="3">
        <f>IF(ISNUMBER(AVERAGE('20250815_ETF_Options_Exhibits'!K1550:K1554)),AVERAGE('20250815_ETF_Options_Exhibits'!K1550:K1554),"")</f>
        <v/>
      </c>
      <c r="L1554" s="3">
        <f>IF(ISNUMBER(AVERAGE('20250815_ETF_Options_Exhibits'!L1550:L1554)),AVERAGE('20250815_ETF_Options_Exhibits'!L1550:L1554),"")</f>
        <v/>
      </c>
      <c r="M1554" s="3">
        <f>IF(ISNUMBER(AVERAGE('20250815_ETF_Options_Exhibits'!M1550:M1554)),AVERAGE('20250815_ETF_Options_Exhibits'!M1550:M1554),"")</f>
        <v/>
      </c>
      <c r="N1554" s="3">
        <f>IF(ISNUMBER(AVERAGE('20250815_ETF_Options_Exhibits'!N1550:N1554)),AVERAGE('20250815_ETF_Options_Exhibits'!N1550:N1554),"")</f>
        <v/>
      </c>
      <c r="O1554" s="3">
        <f>IF(ISNUMBER(AVERAGE('20250815_ETF_Options_Exhibits'!O1550:O1554)),AVERAGE('20250815_ETF_Options_Exhibits'!O1550:O1554),"")</f>
        <v/>
      </c>
      <c r="P1554" s="3">
        <f>IF(ISNUMBER(AVERAGE('20250815_ETF_Options_Exhibits'!P1550:P1554)),AVERAGE('20250815_ETF_Options_Exhibits'!P1550:P1554),"")</f>
        <v/>
      </c>
      <c r="Q1554" s="3">
        <f>IF(ISNUMBER(AVERAGE('20250815_ETF_Options_Exhibits'!Q1550:Q1554)),AVERAGE('20250815_ETF_Options_Exhibits'!Q1550:Q1554),"")</f>
        <v/>
      </c>
      <c r="R1554" s="3">
        <f>IF(ISNUMBER(AVERAGE('20250815_ETF_Options_Exhibits'!R1550:R1554)),AVERAGE('20250815_ETF_Options_Exhibits'!R1550:R1554),"")</f>
        <v/>
      </c>
      <c r="S1554" s="3">
        <f>IF(ISNUMBER(AVERAGE('20250815_ETF_Options_Exhibits'!S1550:S1554)),AVERAGE('20250815_ETF_Options_Exhibits'!S1550:S1554),"")</f>
        <v/>
      </c>
      <c r="T1554" s="3">
        <f>IF(ISNUMBER(AVERAGE('20250815_ETF_Options_Exhibits'!T1550:T1554)),AVERAGE('20250815_ETF_Options_Exhibits'!T1550:T1554),"")</f>
        <v/>
      </c>
      <c r="U1554" s="3">
        <f>IF(ISNUMBER(AVERAGE('20250815_ETF_Options_Exhibits'!U1550:U1554)),AVERAGE('20250815_ETF_Options_Exhibits'!U1550:U1554),"")</f>
        <v/>
      </c>
      <c r="V1554" s="3">
        <f>IF(ISNUMBER(AVERAGE('20250815_ETF_Options_Exhibits'!V1550:V1554)),AVERAGE('20250815_ETF_Options_Exhibits'!V1550:V1554),"")</f>
        <v/>
      </c>
      <c r="W1554" s="3">
        <f>IF(ISNUMBER(AVERAGE('20250815_ETF_Options_Exhibits'!W1550:W1554)),AVERAGE('20250815_ETF_Options_Exhibits'!W1550:W1554),"")</f>
        <v/>
      </c>
      <c r="X1554" s="3">
        <f>IF(ISNUMBER(AVERAGE('20250815_ETF_Options_Exhibits'!X1550:X1554)),AVERAGE('20250815_ETF_Options_Exhibits'!X1550:X1554),"")</f>
        <v/>
      </c>
      <c r="Y1554" s="3">
        <f>IF(ISNUMBER(AVERAGE('20250815_ETF_Options_Exhibits'!Y1550:Y1554)),AVERAGE('20250815_ETF_Options_Exhibits'!Y1550:Y1554),"")</f>
        <v/>
      </c>
      <c r="Z1554" s="3">
        <f>IF(ISNUMBER(AVERAGE('20250815_ETF_Options_Exhibits'!Z1550:Z1554)),AVERAGE('20250815_ETF_Options_Exhibits'!Z1550:Z1554),"")</f>
        <v/>
      </c>
      <c r="AA1554" s="3">
        <f>IF(ISNUMBER(AVERAGE('20250815_ETF_Options_Exhibits'!AA1550:AA1554)),AVERAGE('20250815_ETF_Options_Exhibits'!AA1550:AA1554),"")</f>
        <v/>
      </c>
    </row>
    <row r="1555">
      <c r="A1555" s="1" t="n">
        <v>44259</v>
      </c>
      <c r="B1555" s="3">
        <f>IF(ISNUMBER(AVERAGE('20250815_ETF_Options_Exhibits'!B1551:B1555)),AVERAGE('20250815_ETF_Options_Exhibits'!B1551:B1555),"")</f>
        <v/>
      </c>
      <c r="C1555" s="3">
        <f>IF(ISNUMBER(AVERAGE('20250815_ETF_Options_Exhibits'!C1551:C1555)),AVERAGE('20250815_ETF_Options_Exhibits'!C1551:C1555),"")</f>
        <v/>
      </c>
      <c r="D1555" s="3">
        <f>IF(ISNUMBER(AVERAGE('20250815_ETF_Options_Exhibits'!D1551:D1555)),AVERAGE('20250815_ETF_Options_Exhibits'!D1551:D1555),"")</f>
        <v/>
      </c>
      <c r="E1555" s="3">
        <f>IF(ISNUMBER(AVERAGE('20250815_ETF_Options_Exhibits'!E1551:E1555)),AVERAGE('20250815_ETF_Options_Exhibits'!E1551:E1555),"")</f>
        <v/>
      </c>
      <c r="F1555" s="3">
        <f>IF(ISNUMBER(AVERAGE('20250815_ETF_Options_Exhibits'!F1551:F1555)),AVERAGE('20250815_ETF_Options_Exhibits'!F1551:F1555),"")</f>
        <v/>
      </c>
      <c r="G1555" s="3">
        <f>IF(ISNUMBER(AVERAGE('20250815_ETF_Options_Exhibits'!G1551:G1555)),AVERAGE('20250815_ETF_Options_Exhibits'!G1551:G1555),"")</f>
        <v/>
      </c>
      <c r="H1555" s="3">
        <f>IF(ISNUMBER(AVERAGE('20250815_ETF_Options_Exhibits'!H1551:H1555)),AVERAGE('20250815_ETF_Options_Exhibits'!H1551:H1555),"")</f>
        <v/>
      </c>
      <c r="I1555" s="3">
        <f>IF(ISNUMBER(AVERAGE('20250815_ETF_Options_Exhibits'!I1551:I1555)),AVERAGE('20250815_ETF_Options_Exhibits'!I1551:I1555),"")</f>
        <v/>
      </c>
      <c r="J1555" s="3">
        <f>IF(ISNUMBER(AVERAGE('20250815_ETF_Options_Exhibits'!J1551:J1555)),AVERAGE('20250815_ETF_Options_Exhibits'!J1551:J1555),"")</f>
        <v/>
      </c>
      <c r="K1555" s="3">
        <f>IF(ISNUMBER(AVERAGE('20250815_ETF_Options_Exhibits'!K1551:K1555)),AVERAGE('20250815_ETF_Options_Exhibits'!K1551:K1555),"")</f>
        <v/>
      </c>
      <c r="L1555" s="3">
        <f>IF(ISNUMBER(AVERAGE('20250815_ETF_Options_Exhibits'!L1551:L1555)),AVERAGE('20250815_ETF_Options_Exhibits'!L1551:L1555),"")</f>
        <v/>
      </c>
      <c r="M1555" s="3">
        <f>IF(ISNUMBER(AVERAGE('20250815_ETF_Options_Exhibits'!M1551:M1555)),AVERAGE('20250815_ETF_Options_Exhibits'!M1551:M1555),"")</f>
        <v/>
      </c>
      <c r="N1555" s="3">
        <f>IF(ISNUMBER(AVERAGE('20250815_ETF_Options_Exhibits'!N1551:N1555)),AVERAGE('20250815_ETF_Options_Exhibits'!N1551:N1555),"")</f>
        <v/>
      </c>
      <c r="O1555" s="3">
        <f>IF(ISNUMBER(AVERAGE('20250815_ETF_Options_Exhibits'!O1551:O1555)),AVERAGE('20250815_ETF_Options_Exhibits'!O1551:O1555),"")</f>
        <v/>
      </c>
      <c r="P1555" s="3">
        <f>IF(ISNUMBER(AVERAGE('20250815_ETF_Options_Exhibits'!P1551:P1555)),AVERAGE('20250815_ETF_Options_Exhibits'!P1551:P1555),"")</f>
        <v/>
      </c>
      <c r="Q1555" s="3">
        <f>IF(ISNUMBER(AVERAGE('20250815_ETF_Options_Exhibits'!Q1551:Q1555)),AVERAGE('20250815_ETF_Options_Exhibits'!Q1551:Q1555),"")</f>
        <v/>
      </c>
      <c r="R1555" s="3">
        <f>IF(ISNUMBER(AVERAGE('20250815_ETF_Options_Exhibits'!R1551:R1555)),AVERAGE('20250815_ETF_Options_Exhibits'!R1551:R1555),"")</f>
        <v/>
      </c>
      <c r="S1555" s="3">
        <f>IF(ISNUMBER(AVERAGE('20250815_ETF_Options_Exhibits'!S1551:S1555)),AVERAGE('20250815_ETF_Options_Exhibits'!S1551:S1555),"")</f>
        <v/>
      </c>
      <c r="T1555" s="3">
        <f>IF(ISNUMBER(AVERAGE('20250815_ETF_Options_Exhibits'!T1551:T1555)),AVERAGE('20250815_ETF_Options_Exhibits'!T1551:T1555),"")</f>
        <v/>
      </c>
      <c r="U1555" s="3">
        <f>IF(ISNUMBER(AVERAGE('20250815_ETF_Options_Exhibits'!U1551:U1555)),AVERAGE('20250815_ETF_Options_Exhibits'!U1551:U1555),"")</f>
        <v/>
      </c>
      <c r="V1555" s="3">
        <f>IF(ISNUMBER(AVERAGE('20250815_ETF_Options_Exhibits'!V1551:V1555)),AVERAGE('20250815_ETF_Options_Exhibits'!V1551:V1555),"")</f>
        <v/>
      </c>
      <c r="W1555" s="3">
        <f>IF(ISNUMBER(AVERAGE('20250815_ETF_Options_Exhibits'!W1551:W1555)),AVERAGE('20250815_ETF_Options_Exhibits'!W1551:W1555),"")</f>
        <v/>
      </c>
      <c r="X1555" s="3">
        <f>IF(ISNUMBER(AVERAGE('20250815_ETF_Options_Exhibits'!X1551:X1555)),AVERAGE('20250815_ETF_Options_Exhibits'!X1551:X1555),"")</f>
        <v/>
      </c>
      <c r="Y1555" s="3">
        <f>IF(ISNUMBER(AVERAGE('20250815_ETF_Options_Exhibits'!Y1551:Y1555)),AVERAGE('20250815_ETF_Options_Exhibits'!Y1551:Y1555),"")</f>
        <v/>
      </c>
      <c r="Z1555" s="3">
        <f>IF(ISNUMBER(AVERAGE('20250815_ETF_Options_Exhibits'!Z1551:Z1555)),AVERAGE('20250815_ETF_Options_Exhibits'!Z1551:Z1555),"")</f>
        <v/>
      </c>
      <c r="AA1555" s="3">
        <f>IF(ISNUMBER(AVERAGE('20250815_ETF_Options_Exhibits'!AA1551:AA1555)),AVERAGE('20250815_ETF_Options_Exhibits'!AA1551:AA1555),"")</f>
        <v/>
      </c>
    </row>
    <row r="1556">
      <c r="A1556" s="1" t="n">
        <v>44260</v>
      </c>
      <c r="B1556" s="3">
        <f>IF(ISNUMBER(AVERAGE('20250815_ETF_Options_Exhibits'!B1552:B1556)),AVERAGE('20250815_ETF_Options_Exhibits'!B1552:B1556),"")</f>
        <v/>
      </c>
      <c r="C1556" s="3">
        <f>IF(ISNUMBER(AVERAGE('20250815_ETF_Options_Exhibits'!C1552:C1556)),AVERAGE('20250815_ETF_Options_Exhibits'!C1552:C1556),"")</f>
        <v/>
      </c>
      <c r="D1556" s="3">
        <f>IF(ISNUMBER(AVERAGE('20250815_ETF_Options_Exhibits'!D1552:D1556)),AVERAGE('20250815_ETF_Options_Exhibits'!D1552:D1556),"")</f>
        <v/>
      </c>
      <c r="E1556" s="3">
        <f>IF(ISNUMBER(AVERAGE('20250815_ETF_Options_Exhibits'!E1552:E1556)),AVERAGE('20250815_ETF_Options_Exhibits'!E1552:E1556),"")</f>
        <v/>
      </c>
      <c r="F1556" s="3">
        <f>IF(ISNUMBER(AVERAGE('20250815_ETF_Options_Exhibits'!F1552:F1556)),AVERAGE('20250815_ETF_Options_Exhibits'!F1552:F1556),"")</f>
        <v/>
      </c>
      <c r="G1556" s="3">
        <f>IF(ISNUMBER(AVERAGE('20250815_ETF_Options_Exhibits'!G1552:G1556)),AVERAGE('20250815_ETF_Options_Exhibits'!G1552:G1556),"")</f>
        <v/>
      </c>
      <c r="H1556" s="3">
        <f>IF(ISNUMBER(AVERAGE('20250815_ETF_Options_Exhibits'!H1552:H1556)),AVERAGE('20250815_ETF_Options_Exhibits'!H1552:H1556),"")</f>
        <v/>
      </c>
      <c r="I1556" s="3">
        <f>IF(ISNUMBER(AVERAGE('20250815_ETF_Options_Exhibits'!I1552:I1556)),AVERAGE('20250815_ETF_Options_Exhibits'!I1552:I1556),"")</f>
        <v/>
      </c>
      <c r="J1556" s="3">
        <f>IF(ISNUMBER(AVERAGE('20250815_ETF_Options_Exhibits'!J1552:J1556)),AVERAGE('20250815_ETF_Options_Exhibits'!J1552:J1556),"")</f>
        <v/>
      </c>
      <c r="K1556" s="3">
        <f>IF(ISNUMBER(AVERAGE('20250815_ETF_Options_Exhibits'!K1552:K1556)),AVERAGE('20250815_ETF_Options_Exhibits'!K1552:K1556),"")</f>
        <v/>
      </c>
      <c r="L1556" s="3">
        <f>IF(ISNUMBER(AVERAGE('20250815_ETF_Options_Exhibits'!L1552:L1556)),AVERAGE('20250815_ETF_Options_Exhibits'!L1552:L1556),"")</f>
        <v/>
      </c>
      <c r="M1556" s="3">
        <f>IF(ISNUMBER(AVERAGE('20250815_ETF_Options_Exhibits'!M1552:M1556)),AVERAGE('20250815_ETF_Options_Exhibits'!M1552:M1556),"")</f>
        <v/>
      </c>
      <c r="N1556" s="3">
        <f>IF(ISNUMBER(AVERAGE('20250815_ETF_Options_Exhibits'!N1552:N1556)),AVERAGE('20250815_ETF_Options_Exhibits'!N1552:N1556),"")</f>
        <v/>
      </c>
      <c r="O1556" s="3">
        <f>IF(ISNUMBER(AVERAGE('20250815_ETF_Options_Exhibits'!O1552:O1556)),AVERAGE('20250815_ETF_Options_Exhibits'!O1552:O1556),"")</f>
        <v/>
      </c>
      <c r="P1556" s="3">
        <f>IF(ISNUMBER(AVERAGE('20250815_ETF_Options_Exhibits'!P1552:P1556)),AVERAGE('20250815_ETF_Options_Exhibits'!P1552:P1556),"")</f>
        <v/>
      </c>
      <c r="Q1556" s="3">
        <f>IF(ISNUMBER(AVERAGE('20250815_ETF_Options_Exhibits'!Q1552:Q1556)),AVERAGE('20250815_ETF_Options_Exhibits'!Q1552:Q1556),"")</f>
        <v/>
      </c>
      <c r="R1556" s="3">
        <f>IF(ISNUMBER(AVERAGE('20250815_ETF_Options_Exhibits'!R1552:R1556)),AVERAGE('20250815_ETF_Options_Exhibits'!R1552:R1556),"")</f>
        <v/>
      </c>
      <c r="S1556" s="3">
        <f>IF(ISNUMBER(AVERAGE('20250815_ETF_Options_Exhibits'!S1552:S1556)),AVERAGE('20250815_ETF_Options_Exhibits'!S1552:S1556),"")</f>
        <v/>
      </c>
      <c r="T1556" s="3">
        <f>IF(ISNUMBER(AVERAGE('20250815_ETF_Options_Exhibits'!T1552:T1556)),AVERAGE('20250815_ETF_Options_Exhibits'!T1552:T1556),"")</f>
        <v/>
      </c>
      <c r="U1556" s="3">
        <f>IF(ISNUMBER(AVERAGE('20250815_ETF_Options_Exhibits'!U1552:U1556)),AVERAGE('20250815_ETF_Options_Exhibits'!U1552:U1556),"")</f>
        <v/>
      </c>
      <c r="V1556" s="3">
        <f>IF(ISNUMBER(AVERAGE('20250815_ETF_Options_Exhibits'!V1552:V1556)),AVERAGE('20250815_ETF_Options_Exhibits'!V1552:V1556),"")</f>
        <v/>
      </c>
      <c r="W1556" s="3">
        <f>IF(ISNUMBER(AVERAGE('20250815_ETF_Options_Exhibits'!W1552:W1556)),AVERAGE('20250815_ETF_Options_Exhibits'!W1552:W1556),"")</f>
        <v/>
      </c>
      <c r="X1556" s="3">
        <f>IF(ISNUMBER(AVERAGE('20250815_ETF_Options_Exhibits'!X1552:X1556)),AVERAGE('20250815_ETF_Options_Exhibits'!X1552:X1556),"")</f>
        <v/>
      </c>
      <c r="Y1556" s="3">
        <f>IF(ISNUMBER(AVERAGE('20250815_ETF_Options_Exhibits'!Y1552:Y1556)),AVERAGE('20250815_ETF_Options_Exhibits'!Y1552:Y1556),"")</f>
        <v/>
      </c>
      <c r="Z1556" s="3">
        <f>IF(ISNUMBER(AVERAGE('20250815_ETF_Options_Exhibits'!Z1552:Z1556)),AVERAGE('20250815_ETF_Options_Exhibits'!Z1552:Z1556),"")</f>
        <v/>
      </c>
      <c r="AA1556" s="3">
        <f>IF(ISNUMBER(AVERAGE('20250815_ETF_Options_Exhibits'!AA1552:AA1556)),AVERAGE('20250815_ETF_Options_Exhibits'!AA1552:AA1556),"")</f>
        <v/>
      </c>
    </row>
    <row r="1557">
      <c r="A1557" s="1" t="n">
        <v>44263</v>
      </c>
      <c r="B1557" s="3">
        <f>IF(ISNUMBER(AVERAGE('20250815_ETF_Options_Exhibits'!B1553:B1557)),AVERAGE('20250815_ETF_Options_Exhibits'!B1553:B1557),"")</f>
        <v/>
      </c>
      <c r="C1557" s="3">
        <f>IF(ISNUMBER(AVERAGE('20250815_ETF_Options_Exhibits'!C1553:C1557)),AVERAGE('20250815_ETF_Options_Exhibits'!C1553:C1557),"")</f>
        <v/>
      </c>
      <c r="D1557" s="3">
        <f>IF(ISNUMBER(AVERAGE('20250815_ETF_Options_Exhibits'!D1553:D1557)),AVERAGE('20250815_ETF_Options_Exhibits'!D1553:D1557),"")</f>
        <v/>
      </c>
      <c r="E1557" s="3">
        <f>IF(ISNUMBER(AVERAGE('20250815_ETF_Options_Exhibits'!E1553:E1557)),AVERAGE('20250815_ETF_Options_Exhibits'!E1553:E1557),"")</f>
        <v/>
      </c>
      <c r="F1557" s="3">
        <f>IF(ISNUMBER(AVERAGE('20250815_ETF_Options_Exhibits'!F1553:F1557)),AVERAGE('20250815_ETF_Options_Exhibits'!F1553:F1557),"")</f>
        <v/>
      </c>
      <c r="G1557" s="3">
        <f>IF(ISNUMBER(AVERAGE('20250815_ETF_Options_Exhibits'!G1553:G1557)),AVERAGE('20250815_ETF_Options_Exhibits'!G1553:G1557),"")</f>
        <v/>
      </c>
      <c r="H1557" s="3">
        <f>IF(ISNUMBER(AVERAGE('20250815_ETF_Options_Exhibits'!H1553:H1557)),AVERAGE('20250815_ETF_Options_Exhibits'!H1553:H1557),"")</f>
        <v/>
      </c>
      <c r="I1557" s="3">
        <f>IF(ISNUMBER(AVERAGE('20250815_ETF_Options_Exhibits'!I1553:I1557)),AVERAGE('20250815_ETF_Options_Exhibits'!I1553:I1557),"")</f>
        <v/>
      </c>
      <c r="J1557" s="3">
        <f>IF(ISNUMBER(AVERAGE('20250815_ETF_Options_Exhibits'!J1553:J1557)),AVERAGE('20250815_ETF_Options_Exhibits'!J1553:J1557),"")</f>
        <v/>
      </c>
      <c r="K1557" s="3">
        <f>IF(ISNUMBER(AVERAGE('20250815_ETF_Options_Exhibits'!K1553:K1557)),AVERAGE('20250815_ETF_Options_Exhibits'!K1553:K1557),"")</f>
        <v/>
      </c>
      <c r="L1557" s="3">
        <f>IF(ISNUMBER(AVERAGE('20250815_ETF_Options_Exhibits'!L1553:L1557)),AVERAGE('20250815_ETF_Options_Exhibits'!L1553:L1557),"")</f>
        <v/>
      </c>
      <c r="M1557" s="3">
        <f>IF(ISNUMBER(AVERAGE('20250815_ETF_Options_Exhibits'!M1553:M1557)),AVERAGE('20250815_ETF_Options_Exhibits'!M1553:M1557),"")</f>
        <v/>
      </c>
      <c r="N1557" s="3">
        <f>IF(ISNUMBER(AVERAGE('20250815_ETF_Options_Exhibits'!N1553:N1557)),AVERAGE('20250815_ETF_Options_Exhibits'!N1553:N1557),"")</f>
        <v/>
      </c>
      <c r="O1557" s="3">
        <f>IF(ISNUMBER(AVERAGE('20250815_ETF_Options_Exhibits'!O1553:O1557)),AVERAGE('20250815_ETF_Options_Exhibits'!O1553:O1557),"")</f>
        <v/>
      </c>
      <c r="P1557" s="3">
        <f>IF(ISNUMBER(AVERAGE('20250815_ETF_Options_Exhibits'!P1553:P1557)),AVERAGE('20250815_ETF_Options_Exhibits'!P1553:P1557),"")</f>
        <v/>
      </c>
      <c r="Q1557" s="3">
        <f>IF(ISNUMBER(AVERAGE('20250815_ETF_Options_Exhibits'!Q1553:Q1557)),AVERAGE('20250815_ETF_Options_Exhibits'!Q1553:Q1557),"")</f>
        <v/>
      </c>
      <c r="R1557" s="3">
        <f>IF(ISNUMBER(AVERAGE('20250815_ETF_Options_Exhibits'!R1553:R1557)),AVERAGE('20250815_ETF_Options_Exhibits'!R1553:R1557),"")</f>
        <v/>
      </c>
      <c r="S1557" s="3">
        <f>IF(ISNUMBER(AVERAGE('20250815_ETF_Options_Exhibits'!S1553:S1557)),AVERAGE('20250815_ETF_Options_Exhibits'!S1553:S1557),"")</f>
        <v/>
      </c>
      <c r="T1557" s="3">
        <f>IF(ISNUMBER(AVERAGE('20250815_ETF_Options_Exhibits'!T1553:T1557)),AVERAGE('20250815_ETF_Options_Exhibits'!T1553:T1557),"")</f>
        <v/>
      </c>
      <c r="U1557" s="3">
        <f>IF(ISNUMBER(AVERAGE('20250815_ETF_Options_Exhibits'!U1553:U1557)),AVERAGE('20250815_ETF_Options_Exhibits'!U1553:U1557),"")</f>
        <v/>
      </c>
      <c r="V1557" s="3">
        <f>IF(ISNUMBER(AVERAGE('20250815_ETF_Options_Exhibits'!V1553:V1557)),AVERAGE('20250815_ETF_Options_Exhibits'!V1553:V1557),"")</f>
        <v/>
      </c>
      <c r="W1557" s="3">
        <f>IF(ISNUMBER(AVERAGE('20250815_ETF_Options_Exhibits'!W1553:W1557)),AVERAGE('20250815_ETF_Options_Exhibits'!W1553:W1557),"")</f>
        <v/>
      </c>
      <c r="X1557" s="3">
        <f>IF(ISNUMBER(AVERAGE('20250815_ETF_Options_Exhibits'!X1553:X1557)),AVERAGE('20250815_ETF_Options_Exhibits'!X1553:X1557),"")</f>
        <v/>
      </c>
      <c r="Y1557" s="3">
        <f>IF(ISNUMBER(AVERAGE('20250815_ETF_Options_Exhibits'!Y1553:Y1557)),AVERAGE('20250815_ETF_Options_Exhibits'!Y1553:Y1557),"")</f>
        <v/>
      </c>
      <c r="Z1557" s="3">
        <f>IF(ISNUMBER(AVERAGE('20250815_ETF_Options_Exhibits'!Z1553:Z1557)),AVERAGE('20250815_ETF_Options_Exhibits'!Z1553:Z1557),"")</f>
        <v/>
      </c>
      <c r="AA1557" s="3">
        <f>IF(ISNUMBER(AVERAGE('20250815_ETF_Options_Exhibits'!AA1553:AA1557)),AVERAGE('20250815_ETF_Options_Exhibits'!AA1553:AA1557),"")</f>
        <v/>
      </c>
    </row>
    <row r="1558">
      <c r="A1558" s="1" t="n">
        <v>44264</v>
      </c>
      <c r="B1558" s="3">
        <f>IF(ISNUMBER(AVERAGE('20250815_ETF_Options_Exhibits'!B1554:B1558)),AVERAGE('20250815_ETF_Options_Exhibits'!B1554:B1558),"")</f>
        <v/>
      </c>
      <c r="C1558" s="3">
        <f>IF(ISNUMBER(AVERAGE('20250815_ETF_Options_Exhibits'!C1554:C1558)),AVERAGE('20250815_ETF_Options_Exhibits'!C1554:C1558),"")</f>
        <v/>
      </c>
      <c r="D1558" s="3">
        <f>IF(ISNUMBER(AVERAGE('20250815_ETF_Options_Exhibits'!D1554:D1558)),AVERAGE('20250815_ETF_Options_Exhibits'!D1554:D1558),"")</f>
        <v/>
      </c>
      <c r="E1558" s="3">
        <f>IF(ISNUMBER(AVERAGE('20250815_ETF_Options_Exhibits'!E1554:E1558)),AVERAGE('20250815_ETF_Options_Exhibits'!E1554:E1558),"")</f>
        <v/>
      </c>
      <c r="F1558" s="3">
        <f>IF(ISNUMBER(AVERAGE('20250815_ETF_Options_Exhibits'!F1554:F1558)),AVERAGE('20250815_ETF_Options_Exhibits'!F1554:F1558),"")</f>
        <v/>
      </c>
      <c r="G1558" s="3">
        <f>IF(ISNUMBER(AVERAGE('20250815_ETF_Options_Exhibits'!G1554:G1558)),AVERAGE('20250815_ETF_Options_Exhibits'!G1554:G1558),"")</f>
        <v/>
      </c>
      <c r="H1558" s="3">
        <f>IF(ISNUMBER(AVERAGE('20250815_ETF_Options_Exhibits'!H1554:H1558)),AVERAGE('20250815_ETF_Options_Exhibits'!H1554:H1558),"")</f>
        <v/>
      </c>
      <c r="I1558" s="3">
        <f>IF(ISNUMBER(AVERAGE('20250815_ETF_Options_Exhibits'!I1554:I1558)),AVERAGE('20250815_ETF_Options_Exhibits'!I1554:I1558),"")</f>
        <v/>
      </c>
      <c r="J1558" s="3">
        <f>IF(ISNUMBER(AVERAGE('20250815_ETF_Options_Exhibits'!J1554:J1558)),AVERAGE('20250815_ETF_Options_Exhibits'!J1554:J1558),"")</f>
        <v/>
      </c>
      <c r="K1558" s="3">
        <f>IF(ISNUMBER(AVERAGE('20250815_ETF_Options_Exhibits'!K1554:K1558)),AVERAGE('20250815_ETF_Options_Exhibits'!K1554:K1558),"")</f>
        <v/>
      </c>
      <c r="L1558" s="3">
        <f>IF(ISNUMBER(AVERAGE('20250815_ETF_Options_Exhibits'!L1554:L1558)),AVERAGE('20250815_ETF_Options_Exhibits'!L1554:L1558),"")</f>
        <v/>
      </c>
      <c r="M1558" s="3">
        <f>IF(ISNUMBER(AVERAGE('20250815_ETF_Options_Exhibits'!M1554:M1558)),AVERAGE('20250815_ETF_Options_Exhibits'!M1554:M1558),"")</f>
        <v/>
      </c>
      <c r="N1558" s="3">
        <f>IF(ISNUMBER(AVERAGE('20250815_ETF_Options_Exhibits'!N1554:N1558)),AVERAGE('20250815_ETF_Options_Exhibits'!N1554:N1558),"")</f>
        <v/>
      </c>
      <c r="O1558" s="3">
        <f>IF(ISNUMBER(AVERAGE('20250815_ETF_Options_Exhibits'!O1554:O1558)),AVERAGE('20250815_ETF_Options_Exhibits'!O1554:O1558),"")</f>
        <v/>
      </c>
      <c r="P1558" s="3">
        <f>IF(ISNUMBER(AVERAGE('20250815_ETF_Options_Exhibits'!P1554:P1558)),AVERAGE('20250815_ETF_Options_Exhibits'!P1554:P1558),"")</f>
        <v/>
      </c>
      <c r="Q1558" s="3">
        <f>IF(ISNUMBER(AVERAGE('20250815_ETF_Options_Exhibits'!Q1554:Q1558)),AVERAGE('20250815_ETF_Options_Exhibits'!Q1554:Q1558),"")</f>
        <v/>
      </c>
      <c r="R1558" s="3">
        <f>IF(ISNUMBER(AVERAGE('20250815_ETF_Options_Exhibits'!R1554:R1558)),AVERAGE('20250815_ETF_Options_Exhibits'!R1554:R1558),"")</f>
        <v/>
      </c>
      <c r="S1558" s="3">
        <f>IF(ISNUMBER(AVERAGE('20250815_ETF_Options_Exhibits'!S1554:S1558)),AVERAGE('20250815_ETF_Options_Exhibits'!S1554:S1558),"")</f>
        <v/>
      </c>
      <c r="T1558" s="3">
        <f>IF(ISNUMBER(AVERAGE('20250815_ETF_Options_Exhibits'!T1554:T1558)),AVERAGE('20250815_ETF_Options_Exhibits'!T1554:T1558),"")</f>
        <v/>
      </c>
      <c r="U1558" s="3">
        <f>IF(ISNUMBER(AVERAGE('20250815_ETF_Options_Exhibits'!U1554:U1558)),AVERAGE('20250815_ETF_Options_Exhibits'!U1554:U1558),"")</f>
        <v/>
      </c>
      <c r="V1558" s="3">
        <f>IF(ISNUMBER(AVERAGE('20250815_ETF_Options_Exhibits'!V1554:V1558)),AVERAGE('20250815_ETF_Options_Exhibits'!V1554:V1558),"")</f>
        <v/>
      </c>
      <c r="W1558" s="3">
        <f>IF(ISNUMBER(AVERAGE('20250815_ETF_Options_Exhibits'!W1554:W1558)),AVERAGE('20250815_ETF_Options_Exhibits'!W1554:W1558),"")</f>
        <v/>
      </c>
      <c r="X1558" s="3">
        <f>IF(ISNUMBER(AVERAGE('20250815_ETF_Options_Exhibits'!X1554:X1558)),AVERAGE('20250815_ETF_Options_Exhibits'!X1554:X1558),"")</f>
        <v/>
      </c>
      <c r="Y1558" s="3">
        <f>IF(ISNUMBER(AVERAGE('20250815_ETF_Options_Exhibits'!Y1554:Y1558)),AVERAGE('20250815_ETF_Options_Exhibits'!Y1554:Y1558),"")</f>
        <v/>
      </c>
      <c r="Z1558" s="3">
        <f>IF(ISNUMBER(AVERAGE('20250815_ETF_Options_Exhibits'!Z1554:Z1558)),AVERAGE('20250815_ETF_Options_Exhibits'!Z1554:Z1558),"")</f>
        <v/>
      </c>
      <c r="AA1558" s="3">
        <f>IF(ISNUMBER(AVERAGE('20250815_ETF_Options_Exhibits'!AA1554:AA1558)),AVERAGE('20250815_ETF_Options_Exhibits'!AA1554:AA1558),"")</f>
        <v/>
      </c>
    </row>
    <row r="1559">
      <c r="A1559" s="1" t="n">
        <v>44265</v>
      </c>
      <c r="B1559" s="3">
        <f>IF(ISNUMBER(AVERAGE('20250815_ETF_Options_Exhibits'!B1555:B1559)),AVERAGE('20250815_ETF_Options_Exhibits'!B1555:B1559),"")</f>
        <v/>
      </c>
      <c r="C1559" s="3">
        <f>IF(ISNUMBER(AVERAGE('20250815_ETF_Options_Exhibits'!C1555:C1559)),AVERAGE('20250815_ETF_Options_Exhibits'!C1555:C1559),"")</f>
        <v/>
      </c>
      <c r="D1559" s="3">
        <f>IF(ISNUMBER(AVERAGE('20250815_ETF_Options_Exhibits'!D1555:D1559)),AVERAGE('20250815_ETF_Options_Exhibits'!D1555:D1559),"")</f>
        <v/>
      </c>
      <c r="E1559" s="3">
        <f>IF(ISNUMBER(AVERAGE('20250815_ETF_Options_Exhibits'!E1555:E1559)),AVERAGE('20250815_ETF_Options_Exhibits'!E1555:E1559),"")</f>
        <v/>
      </c>
      <c r="F1559" s="3">
        <f>IF(ISNUMBER(AVERAGE('20250815_ETF_Options_Exhibits'!F1555:F1559)),AVERAGE('20250815_ETF_Options_Exhibits'!F1555:F1559),"")</f>
        <v/>
      </c>
      <c r="G1559" s="3">
        <f>IF(ISNUMBER(AVERAGE('20250815_ETF_Options_Exhibits'!G1555:G1559)),AVERAGE('20250815_ETF_Options_Exhibits'!G1555:G1559),"")</f>
        <v/>
      </c>
      <c r="H1559" s="3">
        <f>IF(ISNUMBER(AVERAGE('20250815_ETF_Options_Exhibits'!H1555:H1559)),AVERAGE('20250815_ETF_Options_Exhibits'!H1555:H1559),"")</f>
        <v/>
      </c>
      <c r="I1559" s="3">
        <f>IF(ISNUMBER(AVERAGE('20250815_ETF_Options_Exhibits'!I1555:I1559)),AVERAGE('20250815_ETF_Options_Exhibits'!I1555:I1559),"")</f>
        <v/>
      </c>
      <c r="J1559" s="3">
        <f>IF(ISNUMBER(AVERAGE('20250815_ETF_Options_Exhibits'!J1555:J1559)),AVERAGE('20250815_ETF_Options_Exhibits'!J1555:J1559),"")</f>
        <v/>
      </c>
      <c r="K1559" s="3">
        <f>IF(ISNUMBER(AVERAGE('20250815_ETF_Options_Exhibits'!K1555:K1559)),AVERAGE('20250815_ETF_Options_Exhibits'!K1555:K1559),"")</f>
        <v/>
      </c>
      <c r="L1559" s="3">
        <f>IF(ISNUMBER(AVERAGE('20250815_ETF_Options_Exhibits'!L1555:L1559)),AVERAGE('20250815_ETF_Options_Exhibits'!L1555:L1559),"")</f>
        <v/>
      </c>
      <c r="M1559" s="3">
        <f>IF(ISNUMBER(AVERAGE('20250815_ETF_Options_Exhibits'!M1555:M1559)),AVERAGE('20250815_ETF_Options_Exhibits'!M1555:M1559),"")</f>
        <v/>
      </c>
      <c r="N1559" s="3">
        <f>IF(ISNUMBER(AVERAGE('20250815_ETF_Options_Exhibits'!N1555:N1559)),AVERAGE('20250815_ETF_Options_Exhibits'!N1555:N1559),"")</f>
        <v/>
      </c>
      <c r="O1559" s="3">
        <f>IF(ISNUMBER(AVERAGE('20250815_ETF_Options_Exhibits'!O1555:O1559)),AVERAGE('20250815_ETF_Options_Exhibits'!O1555:O1559),"")</f>
        <v/>
      </c>
      <c r="P1559" s="3">
        <f>IF(ISNUMBER(AVERAGE('20250815_ETF_Options_Exhibits'!P1555:P1559)),AVERAGE('20250815_ETF_Options_Exhibits'!P1555:P1559),"")</f>
        <v/>
      </c>
      <c r="Q1559" s="3">
        <f>IF(ISNUMBER(AVERAGE('20250815_ETF_Options_Exhibits'!Q1555:Q1559)),AVERAGE('20250815_ETF_Options_Exhibits'!Q1555:Q1559),"")</f>
        <v/>
      </c>
      <c r="R1559" s="3">
        <f>IF(ISNUMBER(AVERAGE('20250815_ETF_Options_Exhibits'!R1555:R1559)),AVERAGE('20250815_ETF_Options_Exhibits'!R1555:R1559),"")</f>
        <v/>
      </c>
      <c r="S1559" s="3">
        <f>IF(ISNUMBER(AVERAGE('20250815_ETF_Options_Exhibits'!S1555:S1559)),AVERAGE('20250815_ETF_Options_Exhibits'!S1555:S1559),"")</f>
        <v/>
      </c>
      <c r="T1559" s="3">
        <f>IF(ISNUMBER(AVERAGE('20250815_ETF_Options_Exhibits'!T1555:T1559)),AVERAGE('20250815_ETF_Options_Exhibits'!T1555:T1559),"")</f>
        <v/>
      </c>
      <c r="U1559" s="3">
        <f>IF(ISNUMBER(AVERAGE('20250815_ETF_Options_Exhibits'!U1555:U1559)),AVERAGE('20250815_ETF_Options_Exhibits'!U1555:U1559),"")</f>
        <v/>
      </c>
      <c r="V1559" s="3">
        <f>IF(ISNUMBER(AVERAGE('20250815_ETF_Options_Exhibits'!V1555:V1559)),AVERAGE('20250815_ETF_Options_Exhibits'!V1555:V1559),"")</f>
        <v/>
      </c>
      <c r="W1559" s="3">
        <f>IF(ISNUMBER(AVERAGE('20250815_ETF_Options_Exhibits'!W1555:W1559)),AVERAGE('20250815_ETF_Options_Exhibits'!W1555:W1559),"")</f>
        <v/>
      </c>
      <c r="X1559" s="3">
        <f>IF(ISNUMBER(AVERAGE('20250815_ETF_Options_Exhibits'!X1555:X1559)),AVERAGE('20250815_ETF_Options_Exhibits'!X1555:X1559),"")</f>
        <v/>
      </c>
      <c r="Y1559" s="3">
        <f>IF(ISNUMBER(AVERAGE('20250815_ETF_Options_Exhibits'!Y1555:Y1559)),AVERAGE('20250815_ETF_Options_Exhibits'!Y1555:Y1559),"")</f>
        <v/>
      </c>
      <c r="Z1559" s="3">
        <f>IF(ISNUMBER(AVERAGE('20250815_ETF_Options_Exhibits'!Z1555:Z1559)),AVERAGE('20250815_ETF_Options_Exhibits'!Z1555:Z1559),"")</f>
        <v/>
      </c>
      <c r="AA1559" s="3">
        <f>IF(ISNUMBER(AVERAGE('20250815_ETF_Options_Exhibits'!AA1555:AA1559)),AVERAGE('20250815_ETF_Options_Exhibits'!AA1555:AA1559),"")</f>
        <v/>
      </c>
    </row>
    <row r="1560">
      <c r="A1560" s="1" t="n">
        <v>44266</v>
      </c>
      <c r="B1560" s="3">
        <f>IF(ISNUMBER(AVERAGE('20250815_ETF_Options_Exhibits'!B1556:B1560)),AVERAGE('20250815_ETF_Options_Exhibits'!B1556:B1560),"")</f>
        <v/>
      </c>
      <c r="C1560" s="3">
        <f>IF(ISNUMBER(AVERAGE('20250815_ETF_Options_Exhibits'!C1556:C1560)),AVERAGE('20250815_ETF_Options_Exhibits'!C1556:C1560),"")</f>
        <v/>
      </c>
      <c r="D1560" s="3">
        <f>IF(ISNUMBER(AVERAGE('20250815_ETF_Options_Exhibits'!D1556:D1560)),AVERAGE('20250815_ETF_Options_Exhibits'!D1556:D1560),"")</f>
        <v/>
      </c>
      <c r="E1560" s="3">
        <f>IF(ISNUMBER(AVERAGE('20250815_ETF_Options_Exhibits'!E1556:E1560)),AVERAGE('20250815_ETF_Options_Exhibits'!E1556:E1560),"")</f>
        <v/>
      </c>
      <c r="F1560" s="3">
        <f>IF(ISNUMBER(AVERAGE('20250815_ETF_Options_Exhibits'!F1556:F1560)),AVERAGE('20250815_ETF_Options_Exhibits'!F1556:F1560),"")</f>
        <v/>
      </c>
      <c r="G1560" s="3">
        <f>IF(ISNUMBER(AVERAGE('20250815_ETF_Options_Exhibits'!G1556:G1560)),AVERAGE('20250815_ETF_Options_Exhibits'!G1556:G1560),"")</f>
        <v/>
      </c>
      <c r="H1560" s="3">
        <f>IF(ISNUMBER(AVERAGE('20250815_ETF_Options_Exhibits'!H1556:H1560)),AVERAGE('20250815_ETF_Options_Exhibits'!H1556:H1560),"")</f>
        <v/>
      </c>
      <c r="I1560" s="3">
        <f>IF(ISNUMBER(AVERAGE('20250815_ETF_Options_Exhibits'!I1556:I1560)),AVERAGE('20250815_ETF_Options_Exhibits'!I1556:I1560),"")</f>
        <v/>
      </c>
      <c r="J1560" s="3">
        <f>IF(ISNUMBER(AVERAGE('20250815_ETF_Options_Exhibits'!J1556:J1560)),AVERAGE('20250815_ETF_Options_Exhibits'!J1556:J1560),"")</f>
        <v/>
      </c>
      <c r="K1560" s="3">
        <f>IF(ISNUMBER(AVERAGE('20250815_ETF_Options_Exhibits'!K1556:K1560)),AVERAGE('20250815_ETF_Options_Exhibits'!K1556:K1560),"")</f>
        <v/>
      </c>
      <c r="L1560" s="3">
        <f>IF(ISNUMBER(AVERAGE('20250815_ETF_Options_Exhibits'!L1556:L1560)),AVERAGE('20250815_ETF_Options_Exhibits'!L1556:L1560),"")</f>
        <v/>
      </c>
      <c r="M1560" s="3">
        <f>IF(ISNUMBER(AVERAGE('20250815_ETF_Options_Exhibits'!M1556:M1560)),AVERAGE('20250815_ETF_Options_Exhibits'!M1556:M1560),"")</f>
        <v/>
      </c>
      <c r="N1560" s="3">
        <f>IF(ISNUMBER(AVERAGE('20250815_ETF_Options_Exhibits'!N1556:N1560)),AVERAGE('20250815_ETF_Options_Exhibits'!N1556:N1560),"")</f>
        <v/>
      </c>
      <c r="O1560" s="3">
        <f>IF(ISNUMBER(AVERAGE('20250815_ETF_Options_Exhibits'!O1556:O1560)),AVERAGE('20250815_ETF_Options_Exhibits'!O1556:O1560),"")</f>
        <v/>
      </c>
      <c r="P1560" s="3">
        <f>IF(ISNUMBER(AVERAGE('20250815_ETF_Options_Exhibits'!P1556:P1560)),AVERAGE('20250815_ETF_Options_Exhibits'!P1556:P1560),"")</f>
        <v/>
      </c>
      <c r="Q1560" s="3">
        <f>IF(ISNUMBER(AVERAGE('20250815_ETF_Options_Exhibits'!Q1556:Q1560)),AVERAGE('20250815_ETF_Options_Exhibits'!Q1556:Q1560),"")</f>
        <v/>
      </c>
      <c r="R1560" s="3">
        <f>IF(ISNUMBER(AVERAGE('20250815_ETF_Options_Exhibits'!R1556:R1560)),AVERAGE('20250815_ETF_Options_Exhibits'!R1556:R1560),"")</f>
        <v/>
      </c>
      <c r="S1560" s="3">
        <f>IF(ISNUMBER(AVERAGE('20250815_ETF_Options_Exhibits'!S1556:S1560)),AVERAGE('20250815_ETF_Options_Exhibits'!S1556:S1560),"")</f>
        <v/>
      </c>
      <c r="T1560" s="3">
        <f>IF(ISNUMBER(AVERAGE('20250815_ETF_Options_Exhibits'!T1556:T1560)),AVERAGE('20250815_ETF_Options_Exhibits'!T1556:T1560),"")</f>
        <v/>
      </c>
      <c r="U1560" s="3">
        <f>IF(ISNUMBER(AVERAGE('20250815_ETF_Options_Exhibits'!U1556:U1560)),AVERAGE('20250815_ETF_Options_Exhibits'!U1556:U1560),"")</f>
        <v/>
      </c>
      <c r="V1560" s="3">
        <f>IF(ISNUMBER(AVERAGE('20250815_ETF_Options_Exhibits'!V1556:V1560)),AVERAGE('20250815_ETF_Options_Exhibits'!V1556:V1560),"")</f>
        <v/>
      </c>
      <c r="W1560" s="3">
        <f>IF(ISNUMBER(AVERAGE('20250815_ETF_Options_Exhibits'!W1556:W1560)),AVERAGE('20250815_ETF_Options_Exhibits'!W1556:W1560),"")</f>
        <v/>
      </c>
      <c r="X1560" s="3">
        <f>IF(ISNUMBER(AVERAGE('20250815_ETF_Options_Exhibits'!X1556:X1560)),AVERAGE('20250815_ETF_Options_Exhibits'!X1556:X1560),"")</f>
        <v/>
      </c>
      <c r="Y1560" s="3">
        <f>IF(ISNUMBER(AVERAGE('20250815_ETF_Options_Exhibits'!Y1556:Y1560)),AVERAGE('20250815_ETF_Options_Exhibits'!Y1556:Y1560),"")</f>
        <v/>
      </c>
      <c r="Z1560" s="3">
        <f>IF(ISNUMBER(AVERAGE('20250815_ETF_Options_Exhibits'!Z1556:Z1560)),AVERAGE('20250815_ETF_Options_Exhibits'!Z1556:Z1560),"")</f>
        <v/>
      </c>
      <c r="AA1560" s="3">
        <f>IF(ISNUMBER(AVERAGE('20250815_ETF_Options_Exhibits'!AA1556:AA1560)),AVERAGE('20250815_ETF_Options_Exhibits'!AA1556:AA1560),"")</f>
        <v/>
      </c>
    </row>
    <row r="1561">
      <c r="A1561" s="1" t="n">
        <v>44267</v>
      </c>
      <c r="B1561" s="3">
        <f>IF(ISNUMBER(AVERAGE('20250815_ETF_Options_Exhibits'!B1557:B1561)),AVERAGE('20250815_ETF_Options_Exhibits'!B1557:B1561),"")</f>
        <v/>
      </c>
      <c r="C1561" s="3">
        <f>IF(ISNUMBER(AVERAGE('20250815_ETF_Options_Exhibits'!C1557:C1561)),AVERAGE('20250815_ETF_Options_Exhibits'!C1557:C1561),"")</f>
        <v/>
      </c>
      <c r="D1561" s="3">
        <f>IF(ISNUMBER(AVERAGE('20250815_ETF_Options_Exhibits'!D1557:D1561)),AVERAGE('20250815_ETF_Options_Exhibits'!D1557:D1561),"")</f>
        <v/>
      </c>
      <c r="E1561" s="3">
        <f>IF(ISNUMBER(AVERAGE('20250815_ETF_Options_Exhibits'!E1557:E1561)),AVERAGE('20250815_ETF_Options_Exhibits'!E1557:E1561),"")</f>
        <v/>
      </c>
      <c r="F1561" s="3">
        <f>IF(ISNUMBER(AVERAGE('20250815_ETF_Options_Exhibits'!F1557:F1561)),AVERAGE('20250815_ETF_Options_Exhibits'!F1557:F1561),"")</f>
        <v/>
      </c>
      <c r="G1561" s="3">
        <f>IF(ISNUMBER(AVERAGE('20250815_ETF_Options_Exhibits'!G1557:G1561)),AVERAGE('20250815_ETF_Options_Exhibits'!G1557:G1561),"")</f>
        <v/>
      </c>
      <c r="H1561" s="3">
        <f>IF(ISNUMBER(AVERAGE('20250815_ETF_Options_Exhibits'!H1557:H1561)),AVERAGE('20250815_ETF_Options_Exhibits'!H1557:H1561),"")</f>
        <v/>
      </c>
      <c r="I1561" s="3">
        <f>IF(ISNUMBER(AVERAGE('20250815_ETF_Options_Exhibits'!I1557:I1561)),AVERAGE('20250815_ETF_Options_Exhibits'!I1557:I1561),"")</f>
        <v/>
      </c>
      <c r="J1561" s="3">
        <f>IF(ISNUMBER(AVERAGE('20250815_ETF_Options_Exhibits'!J1557:J1561)),AVERAGE('20250815_ETF_Options_Exhibits'!J1557:J1561),"")</f>
        <v/>
      </c>
      <c r="K1561" s="3">
        <f>IF(ISNUMBER(AVERAGE('20250815_ETF_Options_Exhibits'!K1557:K1561)),AVERAGE('20250815_ETF_Options_Exhibits'!K1557:K1561),"")</f>
        <v/>
      </c>
      <c r="L1561" s="3">
        <f>IF(ISNUMBER(AVERAGE('20250815_ETF_Options_Exhibits'!L1557:L1561)),AVERAGE('20250815_ETF_Options_Exhibits'!L1557:L1561),"")</f>
        <v/>
      </c>
      <c r="M1561" s="3">
        <f>IF(ISNUMBER(AVERAGE('20250815_ETF_Options_Exhibits'!M1557:M1561)),AVERAGE('20250815_ETF_Options_Exhibits'!M1557:M1561),"")</f>
        <v/>
      </c>
      <c r="N1561" s="3">
        <f>IF(ISNUMBER(AVERAGE('20250815_ETF_Options_Exhibits'!N1557:N1561)),AVERAGE('20250815_ETF_Options_Exhibits'!N1557:N1561),"")</f>
        <v/>
      </c>
      <c r="O1561" s="3">
        <f>IF(ISNUMBER(AVERAGE('20250815_ETF_Options_Exhibits'!O1557:O1561)),AVERAGE('20250815_ETF_Options_Exhibits'!O1557:O1561),"")</f>
        <v/>
      </c>
      <c r="P1561" s="3">
        <f>IF(ISNUMBER(AVERAGE('20250815_ETF_Options_Exhibits'!P1557:P1561)),AVERAGE('20250815_ETF_Options_Exhibits'!P1557:P1561),"")</f>
        <v/>
      </c>
      <c r="Q1561" s="3">
        <f>IF(ISNUMBER(AVERAGE('20250815_ETF_Options_Exhibits'!Q1557:Q1561)),AVERAGE('20250815_ETF_Options_Exhibits'!Q1557:Q1561),"")</f>
        <v/>
      </c>
      <c r="R1561" s="3">
        <f>IF(ISNUMBER(AVERAGE('20250815_ETF_Options_Exhibits'!R1557:R1561)),AVERAGE('20250815_ETF_Options_Exhibits'!R1557:R1561),"")</f>
        <v/>
      </c>
      <c r="S1561" s="3">
        <f>IF(ISNUMBER(AVERAGE('20250815_ETF_Options_Exhibits'!S1557:S1561)),AVERAGE('20250815_ETF_Options_Exhibits'!S1557:S1561),"")</f>
        <v/>
      </c>
      <c r="T1561" s="3">
        <f>IF(ISNUMBER(AVERAGE('20250815_ETF_Options_Exhibits'!T1557:T1561)),AVERAGE('20250815_ETF_Options_Exhibits'!T1557:T1561),"")</f>
        <v/>
      </c>
      <c r="U1561" s="3">
        <f>IF(ISNUMBER(AVERAGE('20250815_ETF_Options_Exhibits'!U1557:U1561)),AVERAGE('20250815_ETF_Options_Exhibits'!U1557:U1561),"")</f>
        <v/>
      </c>
      <c r="V1561" s="3">
        <f>IF(ISNUMBER(AVERAGE('20250815_ETF_Options_Exhibits'!V1557:V1561)),AVERAGE('20250815_ETF_Options_Exhibits'!V1557:V1561),"")</f>
        <v/>
      </c>
      <c r="W1561" s="3">
        <f>IF(ISNUMBER(AVERAGE('20250815_ETF_Options_Exhibits'!W1557:W1561)),AVERAGE('20250815_ETF_Options_Exhibits'!W1557:W1561),"")</f>
        <v/>
      </c>
      <c r="X1561" s="3">
        <f>IF(ISNUMBER(AVERAGE('20250815_ETF_Options_Exhibits'!X1557:X1561)),AVERAGE('20250815_ETF_Options_Exhibits'!X1557:X1561),"")</f>
        <v/>
      </c>
      <c r="Y1561" s="3">
        <f>IF(ISNUMBER(AVERAGE('20250815_ETF_Options_Exhibits'!Y1557:Y1561)),AVERAGE('20250815_ETF_Options_Exhibits'!Y1557:Y1561),"")</f>
        <v/>
      </c>
      <c r="Z1561" s="3">
        <f>IF(ISNUMBER(AVERAGE('20250815_ETF_Options_Exhibits'!Z1557:Z1561)),AVERAGE('20250815_ETF_Options_Exhibits'!Z1557:Z1561),"")</f>
        <v/>
      </c>
      <c r="AA1561" s="3">
        <f>IF(ISNUMBER(AVERAGE('20250815_ETF_Options_Exhibits'!AA1557:AA1561)),AVERAGE('20250815_ETF_Options_Exhibits'!AA1557:AA1561),"")</f>
        <v/>
      </c>
    </row>
    <row r="1562">
      <c r="A1562" s="1" t="n">
        <v>44270</v>
      </c>
      <c r="B1562" s="3">
        <f>IF(ISNUMBER(AVERAGE('20250815_ETF_Options_Exhibits'!B1558:B1562)),AVERAGE('20250815_ETF_Options_Exhibits'!B1558:B1562),"")</f>
        <v/>
      </c>
      <c r="C1562" s="3">
        <f>IF(ISNUMBER(AVERAGE('20250815_ETF_Options_Exhibits'!C1558:C1562)),AVERAGE('20250815_ETF_Options_Exhibits'!C1558:C1562),"")</f>
        <v/>
      </c>
      <c r="D1562" s="3">
        <f>IF(ISNUMBER(AVERAGE('20250815_ETF_Options_Exhibits'!D1558:D1562)),AVERAGE('20250815_ETF_Options_Exhibits'!D1558:D1562),"")</f>
        <v/>
      </c>
      <c r="E1562" s="3">
        <f>IF(ISNUMBER(AVERAGE('20250815_ETF_Options_Exhibits'!E1558:E1562)),AVERAGE('20250815_ETF_Options_Exhibits'!E1558:E1562),"")</f>
        <v/>
      </c>
      <c r="F1562" s="3">
        <f>IF(ISNUMBER(AVERAGE('20250815_ETF_Options_Exhibits'!F1558:F1562)),AVERAGE('20250815_ETF_Options_Exhibits'!F1558:F1562),"")</f>
        <v/>
      </c>
      <c r="G1562" s="3">
        <f>IF(ISNUMBER(AVERAGE('20250815_ETF_Options_Exhibits'!G1558:G1562)),AVERAGE('20250815_ETF_Options_Exhibits'!G1558:G1562),"")</f>
        <v/>
      </c>
      <c r="H1562" s="3">
        <f>IF(ISNUMBER(AVERAGE('20250815_ETF_Options_Exhibits'!H1558:H1562)),AVERAGE('20250815_ETF_Options_Exhibits'!H1558:H1562),"")</f>
        <v/>
      </c>
      <c r="I1562" s="3">
        <f>IF(ISNUMBER(AVERAGE('20250815_ETF_Options_Exhibits'!I1558:I1562)),AVERAGE('20250815_ETF_Options_Exhibits'!I1558:I1562),"")</f>
        <v/>
      </c>
      <c r="J1562" s="3">
        <f>IF(ISNUMBER(AVERAGE('20250815_ETF_Options_Exhibits'!J1558:J1562)),AVERAGE('20250815_ETF_Options_Exhibits'!J1558:J1562),"")</f>
        <v/>
      </c>
      <c r="K1562" s="3">
        <f>IF(ISNUMBER(AVERAGE('20250815_ETF_Options_Exhibits'!K1558:K1562)),AVERAGE('20250815_ETF_Options_Exhibits'!K1558:K1562),"")</f>
        <v/>
      </c>
      <c r="L1562" s="3">
        <f>IF(ISNUMBER(AVERAGE('20250815_ETF_Options_Exhibits'!L1558:L1562)),AVERAGE('20250815_ETF_Options_Exhibits'!L1558:L1562),"")</f>
        <v/>
      </c>
      <c r="M1562" s="3">
        <f>IF(ISNUMBER(AVERAGE('20250815_ETF_Options_Exhibits'!M1558:M1562)),AVERAGE('20250815_ETF_Options_Exhibits'!M1558:M1562),"")</f>
        <v/>
      </c>
      <c r="N1562" s="3">
        <f>IF(ISNUMBER(AVERAGE('20250815_ETF_Options_Exhibits'!N1558:N1562)),AVERAGE('20250815_ETF_Options_Exhibits'!N1558:N1562),"")</f>
        <v/>
      </c>
      <c r="O1562" s="3">
        <f>IF(ISNUMBER(AVERAGE('20250815_ETF_Options_Exhibits'!O1558:O1562)),AVERAGE('20250815_ETF_Options_Exhibits'!O1558:O1562),"")</f>
        <v/>
      </c>
      <c r="P1562" s="3">
        <f>IF(ISNUMBER(AVERAGE('20250815_ETF_Options_Exhibits'!P1558:P1562)),AVERAGE('20250815_ETF_Options_Exhibits'!P1558:P1562),"")</f>
        <v/>
      </c>
      <c r="Q1562" s="3">
        <f>IF(ISNUMBER(AVERAGE('20250815_ETF_Options_Exhibits'!Q1558:Q1562)),AVERAGE('20250815_ETF_Options_Exhibits'!Q1558:Q1562),"")</f>
        <v/>
      </c>
      <c r="R1562" s="3">
        <f>IF(ISNUMBER(AVERAGE('20250815_ETF_Options_Exhibits'!R1558:R1562)),AVERAGE('20250815_ETF_Options_Exhibits'!R1558:R1562),"")</f>
        <v/>
      </c>
      <c r="S1562" s="3">
        <f>IF(ISNUMBER(AVERAGE('20250815_ETF_Options_Exhibits'!S1558:S1562)),AVERAGE('20250815_ETF_Options_Exhibits'!S1558:S1562),"")</f>
        <v/>
      </c>
      <c r="T1562" s="3">
        <f>IF(ISNUMBER(AVERAGE('20250815_ETF_Options_Exhibits'!T1558:T1562)),AVERAGE('20250815_ETF_Options_Exhibits'!T1558:T1562),"")</f>
        <v/>
      </c>
      <c r="U1562" s="3">
        <f>IF(ISNUMBER(AVERAGE('20250815_ETF_Options_Exhibits'!U1558:U1562)),AVERAGE('20250815_ETF_Options_Exhibits'!U1558:U1562),"")</f>
        <v/>
      </c>
      <c r="V1562" s="3">
        <f>IF(ISNUMBER(AVERAGE('20250815_ETF_Options_Exhibits'!V1558:V1562)),AVERAGE('20250815_ETF_Options_Exhibits'!V1558:V1562),"")</f>
        <v/>
      </c>
      <c r="W1562" s="3">
        <f>IF(ISNUMBER(AVERAGE('20250815_ETF_Options_Exhibits'!W1558:W1562)),AVERAGE('20250815_ETF_Options_Exhibits'!W1558:W1562),"")</f>
        <v/>
      </c>
      <c r="X1562" s="3">
        <f>IF(ISNUMBER(AVERAGE('20250815_ETF_Options_Exhibits'!X1558:X1562)),AVERAGE('20250815_ETF_Options_Exhibits'!X1558:X1562),"")</f>
        <v/>
      </c>
      <c r="Y1562" s="3">
        <f>IF(ISNUMBER(AVERAGE('20250815_ETF_Options_Exhibits'!Y1558:Y1562)),AVERAGE('20250815_ETF_Options_Exhibits'!Y1558:Y1562),"")</f>
        <v/>
      </c>
      <c r="Z1562" s="3">
        <f>IF(ISNUMBER(AVERAGE('20250815_ETF_Options_Exhibits'!Z1558:Z1562)),AVERAGE('20250815_ETF_Options_Exhibits'!Z1558:Z1562),"")</f>
        <v/>
      </c>
      <c r="AA1562" s="3">
        <f>IF(ISNUMBER(AVERAGE('20250815_ETF_Options_Exhibits'!AA1558:AA1562)),AVERAGE('20250815_ETF_Options_Exhibits'!AA1558:AA1562),"")</f>
        <v/>
      </c>
    </row>
    <row r="1563">
      <c r="A1563" s="1" t="n">
        <v>44271</v>
      </c>
      <c r="B1563" s="3">
        <f>IF(ISNUMBER(AVERAGE('20250815_ETF_Options_Exhibits'!B1559:B1563)),AVERAGE('20250815_ETF_Options_Exhibits'!B1559:B1563),"")</f>
        <v/>
      </c>
      <c r="C1563" s="3">
        <f>IF(ISNUMBER(AVERAGE('20250815_ETF_Options_Exhibits'!C1559:C1563)),AVERAGE('20250815_ETF_Options_Exhibits'!C1559:C1563),"")</f>
        <v/>
      </c>
      <c r="D1563" s="3">
        <f>IF(ISNUMBER(AVERAGE('20250815_ETF_Options_Exhibits'!D1559:D1563)),AVERAGE('20250815_ETF_Options_Exhibits'!D1559:D1563),"")</f>
        <v/>
      </c>
      <c r="E1563" s="3">
        <f>IF(ISNUMBER(AVERAGE('20250815_ETF_Options_Exhibits'!E1559:E1563)),AVERAGE('20250815_ETF_Options_Exhibits'!E1559:E1563),"")</f>
        <v/>
      </c>
      <c r="F1563" s="3">
        <f>IF(ISNUMBER(AVERAGE('20250815_ETF_Options_Exhibits'!F1559:F1563)),AVERAGE('20250815_ETF_Options_Exhibits'!F1559:F1563),"")</f>
        <v/>
      </c>
      <c r="G1563" s="3">
        <f>IF(ISNUMBER(AVERAGE('20250815_ETF_Options_Exhibits'!G1559:G1563)),AVERAGE('20250815_ETF_Options_Exhibits'!G1559:G1563),"")</f>
        <v/>
      </c>
      <c r="H1563" s="3">
        <f>IF(ISNUMBER(AVERAGE('20250815_ETF_Options_Exhibits'!H1559:H1563)),AVERAGE('20250815_ETF_Options_Exhibits'!H1559:H1563),"")</f>
        <v/>
      </c>
      <c r="I1563" s="3">
        <f>IF(ISNUMBER(AVERAGE('20250815_ETF_Options_Exhibits'!I1559:I1563)),AVERAGE('20250815_ETF_Options_Exhibits'!I1559:I1563),"")</f>
        <v/>
      </c>
      <c r="J1563" s="3">
        <f>IF(ISNUMBER(AVERAGE('20250815_ETF_Options_Exhibits'!J1559:J1563)),AVERAGE('20250815_ETF_Options_Exhibits'!J1559:J1563),"")</f>
        <v/>
      </c>
      <c r="K1563" s="3">
        <f>IF(ISNUMBER(AVERAGE('20250815_ETF_Options_Exhibits'!K1559:K1563)),AVERAGE('20250815_ETF_Options_Exhibits'!K1559:K1563),"")</f>
        <v/>
      </c>
      <c r="L1563" s="3">
        <f>IF(ISNUMBER(AVERAGE('20250815_ETF_Options_Exhibits'!L1559:L1563)),AVERAGE('20250815_ETF_Options_Exhibits'!L1559:L1563),"")</f>
        <v/>
      </c>
      <c r="M1563" s="3">
        <f>IF(ISNUMBER(AVERAGE('20250815_ETF_Options_Exhibits'!M1559:M1563)),AVERAGE('20250815_ETF_Options_Exhibits'!M1559:M1563),"")</f>
        <v/>
      </c>
      <c r="N1563" s="3">
        <f>IF(ISNUMBER(AVERAGE('20250815_ETF_Options_Exhibits'!N1559:N1563)),AVERAGE('20250815_ETF_Options_Exhibits'!N1559:N1563),"")</f>
        <v/>
      </c>
      <c r="O1563" s="3">
        <f>IF(ISNUMBER(AVERAGE('20250815_ETF_Options_Exhibits'!O1559:O1563)),AVERAGE('20250815_ETF_Options_Exhibits'!O1559:O1563),"")</f>
        <v/>
      </c>
      <c r="P1563" s="3">
        <f>IF(ISNUMBER(AVERAGE('20250815_ETF_Options_Exhibits'!P1559:P1563)),AVERAGE('20250815_ETF_Options_Exhibits'!P1559:P1563),"")</f>
        <v/>
      </c>
      <c r="Q1563" s="3">
        <f>IF(ISNUMBER(AVERAGE('20250815_ETF_Options_Exhibits'!Q1559:Q1563)),AVERAGE('20250815_ETF_Options_Exhibits'!Q1559:Q1563),"")</f>
        <v/>
      </c>
      <c r="R1563" s="3">
        <f>IF(ISNUMBER(AVERAGE('20250815_ETF_Options_Exhibits'!R1559:R1563)),AVERAGE('20250815_ETF_Options_Exhibits'!R1559:R1563),"")</f>
        <v/>
      </c>
      <c r="S1563" s="3">
        <f>IF(ISNUMBER(AVERAGE('20250815_ETF_Options_Exhibits'!S1559:S1563)),AVERAGE('20250815_ETF_Options_Exhibits'!S1559:S1563),"")</f>
        <v/>
      </c>
      <c r="T1563" s="3">
        <f>IF(ISNUMBER(AVERAGE('20250815_ETF_Options_Exhibits'!T1559:T1563)),AVERAGE('20250815_ETF_Options_Exhibits'!T1559:T1563),"")</f>
        <v/>
      </c>
      <c r="U1563" s="3">
        <f>IF(ISNUMBER(AVERAGE('20250815_ETF_Options_Exhibits'!U1559:U1563)),AVERAGE('20250815_ETF_Options_Exhibits'!U1559:U1563),"")</f>
        <v/>
      </c>
      <c r="V1563" s="3">
        <f>IF(ISNUMBER(AVERAGE('20250815_ETF_Options_Exhibits'!V1559:V1563)),AVERAGE('20250815_ETF_Options_Exhibits'!V1559:V1563),"")</f>
        <v/>
      </c>
      <c r="W1563" s="3">
        <f>IF(ISNUMBER(AVERAGE('20250815_ETF_Options_Exhibits'!W1559:W1563)),AVERAGE('20250815_ETF_Options_Exhibits'!W1559:W1563),"")</f>
        <v/>
      </c>
      <c r="X1563" s="3">
        <f>IF(ISNUMBER(AVERAGE('20250815_ETF_Options_Exhibits'!X1559:X1563)),AVERAGE('20250815_ETF_Options_Exhibits'!X1559:X1563),"")</f>
        <v/>
      </c>
      <c r="Y1563" s="3">
        <f>IF(ISNUMBER(AVERAGE('20250815_ETF_Options_Exhibits'!Y1559:Y1563)),AVERAGE('20250815_ETF_Options_Exhibits'!Y1559:Y1563),"")</f>
        <v/>
      </c>
      <c r="Z1563" s="3">
        <f>IF(ISNUMBER(AVERAGE('20250815_ETF_Options_Exhibits'!Z1559:Z1563)),AVERAGE('20250815_ETF_Options_Exhibits'!Z1559:Z1563),"")</f>
        <v/>
      </c>
      <c r="AA1563" s="3">
        <f>IF(ISNUMBER(AVERAGE('20250815_ETF_Options_Exhibits'!AA1559:AA1563)),AVERAGE('20250815_ETF_Options_Exhibits'!AA1559:AA1563),"")</f>
        <v/>
      </c>
    </row>
    <row r="1564">
      <c r="A1564" s="1" t="n">
        <v>44272</v>
      </c>
      <c r="B1564" s="3">
        <f>IF(ISNUMBER(AVERAGE('20250815_ETF_Options_Exhibits'!B1560:B1564)),AVERAGE('20250815_ETF_Options_Exhibits'!B1560:B1564),"")</f>
        <v/>
      </c>
      <c r="C1564" s="3">
        <f>IF(ISNUMBER(AVERAGE('20250815_ETF_Options_Exhibits'!C1560:C1564)),AVERAGE('20250815_ETF_Options_Exhibits'!C1560:C1564),"")</f>
        <v/>
      </c>
      <c r="D1564" s="3">
        <f>IF(ISNUMBER(AVERAGE('20250815_ETF_Options_Exhibits'!D1560:D1564)),AVERAGE('20250815_ETF_Options_Exhibits'!D1560:D1564),"")</f>
        <v/>
      </c>
      <c r="E1564" s="3">
        <f>IF(ISNUMBER(AVERAGE('20250815_ETF_Options_Exhibits'!E1560:E1564)),AVERAGE('20250815_ETF_Options_Exhibits'!E1560:E1564),"")</f>
        <v/>
      </c>
      <c r="F1564" s="3">
        <f>IF(ISNUMBER(AVERAGE('20250815_ETF_Options_Exhibits'!F1560:F1564)),AVERAGE('20250815_ETF_Options_Exhibits'!F1560:F1564),"")</f>
        <v/>
      </c>
      <c r="G1564" s="3">
        <f>IF(ISNUMBER(AVERAGE('20250815_ETF_Options_Exhibits'!G1560:G1564)),AVERAGE('20250815_ETF_Options_Exhibits'!G1560:G1564),"")</f>
        <v/>
      </c>
      <c r="H1564" s="3">
        <f>IF(ISNUMBER(AVERAGE('20250815_ETF_Options_Exhibits'!H1560:H1564)),AVERAGE('20250815_ETF_Options_Exhibits'!H1560:H1564),"")</f>
        <v/>
      </c>
      <c r="I1564" s="3">
        <f>IF(ISNUMBER(AVERAGE('20250815_ETF_Options_Exhibits'!I1560:I1564)),AVERAGE('20250815_ETF_Options_Exhibits'!I1560:I1564),"")</f>
        <v/>
      </c>
      <c r="J1564" s="3">
        <f>IF(ISNUMBER(AVERAGE('20250815_ETF_Options_Exhibits'!J1560:J1564)),AVERAGE('20250815_ETF_Options_Exhibits'!J1560:J1564),"")</f>
        <v/>
      </c>
      <c r="K1564" s="3">
        <f>IF(ISNUMBER(AVERAGE('20250815_ETF_Options_Exhibits'!K1560:K1564)),AVERAGE('20250815_ETF_Options_Exhibits'!K1560:K1564),"")</f>
        <v/>
      </c>
      <c r="L1564" s="3">
        <f>IF(ISNUMBER(AVERAGE('20250815_ETF_Options_Exhibits'!L1560:L1564)),AVERAGE('20250815_ETF_Options_Exhibits'!L1560:L1564),"")</f>
        <v/>
      </c>
      <c r="M1564" s="3">
        <f>IF(ISNUMBER(AVERAGE('20250815_ETF_Options_Exhibits'!M1560:M1564)),AVERAGE('20250815_ETF_Options_Exhibits'!M1560:M1564),"")</f>
        <v/>
      </c>
      <c r="N1564" s="3">
        <f>IF(ISNUMBER(AVERAGE('20250815_ETF_Options_Exhibits'!N1560:N1564)),AVERAGE('20250815_ETF_Options_Exhibits'!N1560:N1564),"")</f>
        <v/>
      </c>
      <c r="O1564" s="3">
        <f>IF(ISNUMBER(AVERAGE('20250815_ETF_Options_Exhibits'!O1560:O1564)),AVERAGE('20250815_ETF_Options_Exhibits'!O1560:O1564),"")</f>
        <v/>
      </c>
      <c r="P1564" s="3">
        <f>IF(ISNUMBER(AVERAGE('20250815_ETF_Options_Exhibits'!P1560:P1564)),AVERAGE('20250815_ETF_Options_Exhibits'!P1560:P1564),"")</f>
        <v/>
      </c>
      <c r="Q1564" s="3">
        <f>IF(ISNUMBER(AVERAGE('20250815_ETF_Options_Exhibits'!Q1560:Q1564)),AVERAGE('20250815_ETF_Options_Exhibits'!Q1560:Q1564),"")</f>
        <v/>
      </c>
      <c r="R1564" s="3">
        <f>IF(ISNUMBER(AVERAGE('20250815_ETF_Options_Exhibits'!R1560:R1564)),AVERAGE('20250815_ETF_Options_Exhibits'!R1560:R1564),"")</f>
        <v/>
      </c>
      <c r="S1564" s="3">
        <f>IF(ISNUMBER(AVERAGE('20250815_ETF_Options_Exhibits'!S1560:S1564)),AVERAGE('20250815_ETF_Options_Exhibits'!S1560:S1564),"")</f>
        <v/>
      </c>
      <c r="T1564" s="3">
        <f>IF(ISNUMBER(AVERAGE('20250815_ETF_Options_Exhibits'!T1560:T1564)),AVERAGE('20250815_ETF_Options_Exhibits'!T1560:T1564),"")</f>
        <v/>
      </c>
      <c r="U1564" s="3">
        <f>IF(ISNUMBER(AVERAGE('20250815_ETF_Options_Exhibits'!U1560:U1564)),AVERAGE('20250815_ETF_Options_Exhibits'!U1560:U1564),"")</f>
        <v/>
      </c>
      <c r="V1564" s="3">
        <f>IF(ISNUMBER(AVERAGE('20250815_ETF_Options_Exhibits'!V1560:V1564)),AVERAGE('20250815_ETF_Options_Exhibits'!V1560:V1564),"")</f>
        <v/>
      </c>
      <c r="W1564" s="3">
        <f>IF(ISNUMBER(AVERAGE('20250815_ETF_Options_Exhibits'!W1560:W1564)),AVERAGE('20250815_ETF_Options_Exhibits'!W1560:W1564),"")</f>
        <v/>
      </c>
      <c r="X1564" s="3">
        <f>IF(ISNUMBER(AVERAGE('20250815_ETF_Options_Exhibits'!X1560:X1564)),AVERAGE('20250815_ETF_Options_Exhibits'!X1560:X1564),"")</f>
        <v/>
      </c>
      <c r="Y1564" s="3">
        <f>IF(ISNUMBER(AVERAGE('20250815_ETF_Options_Exhibits'!Y1560:Y1564)),AVERAGE('20250815_ETF_Options_Exhibits'!Y1560:Y1564),"")</f>
        <v/>
      </c>
      <c r="Z1564" s="3">
        <f>IF(ISNUMBER(AVERAGE('20250815_ETF_Options_Exhibits'!Z1560:Z1564)),AVERAGE('20250815_ETF_Options_Exhibits'!Z1560:Z1564),"")</f>
        <v/>
      </c>
      <c r="AA1564" s="3">
        <f>IF(ISNUMBER(AVERAGE('20250815_ETF_Options_Exhibits'!AA1560:AA1564)),AVERAGE('20250815_ETF_Options_Exhibits'!AA1560:AA1564),"")</f>
        <v/>
      </c>
    </row>
    <row r="1565">
      <c r="A1565" s="1" t="n">
        <v>44273</v>
      </c>
      <c r="B1565" s="3">
        <f>IF(ISNUMBER(AVERAGE('20250815_ETF_Options_Exhibits'!B1561:B1565)),AVERAGE('20250815_ETF_Options_Exhibits'!B1561:B1565),"")</f>
        <v/>
      </c>
      <c r="C1565" s="3">
        <f>IF(ISNUMBER(AVERAGE('20250815_ETF_Options_Exhibits'!C1561:C1565)),AVERAGE('20250815_ETF_Options_Exhibits'!C1561:C1565),"")</f>
        <v/>
      </c>
      <c r="D1565" s="3">
        <f>IF(ISNUMBER(AVERAGE('20250815_ETF_Options_Exhibits'!D1561:D1565)),AVERAGE('20250815_ETF_Options_Exhibits'!D1561:D1565),"")</f>
        <v/>
      </c>
      <c r="E1565" s="3">
        <f>IF(ISNUMBER(AVERAGE('20250815_ETF_Options_Exhibits'!E1561:E1565)),AVERAGE('20250815_ETF_Options_Exhibits'!E1561:E1565),"")</f>
        <v/>
      </c>
      <c r="F1565" s="3">
        <f>IF(ISNUMBER(AVERAGE('20250815_ETF_Options_Exhibits'!F1561:F1565)),AVERAGE('20250815_ETF_Options_Exhibits'!F1561:F1565),"")</f>
        <v/>
      </c>
      <c r="G1565" s="3">
        <f>IF(ISNUMBER(AVERAGE('20250815_ETF_Options_Exhibits'!G1561:G1565)),AVERAGE('20250815_ETF_Options_Exhibits'!G1561:G1565),"")</f>
        <v/>
      </c>
      <c r="H1565" s="3">
        <f>IF(ISNUMBER(AVERAGE('20250815_ETF_Options_Exhibits'!H1561:H1565)),AVERAGE('20250815_ETF_Options_Exhibits'!H1561:H1565),"")</f>
        <v/>
      </c>
      <c r="I1565" s="3">
        <f>IF(ISNUMBER(AVERAGE('20250815_ETF_Options_Exhibits'!I1561:I1565)),AVERAGE('20250815_ETF_Options_Exhibits'!I1561:I1565),"")</f>
        <v/>
      </c>
      <c r="J1565" s="3">
        <f>IF(ISNUMBER(AVERAGE('20250815_ETF_Options_Exhibits'!J1561:J1565)),AVERAGE('20250815_ETF_Options_Exhibits'!J1561:J1565),"")</f>
        <v/>
      </c>
      <c r="K1565" s="3">
        <f>IF(ISNUMBER(AVERAGE('20250815_ETF_Options_Exhibits'!K1561:K1565)),AVERAGE('20250815_ETF_Options_Exhibits'!K1561:K1565),"")</f>
        <v/>
      </c>
      <c r="L1565" s="3">
        <f>IF(ISNUMBER(AVERAGE('20250815_ETF_Options_Exhibits'!L1561:L1565)),AVERAGE('20250815_ETF_Options_Exhibits'!L1561:L1565),"")</f>
        <v/>
      </c>
      <c r="M1565" s="3">
        <f>IF(ISNUMBER(AVERAGE('20250815_ETF_Options_Exhibits'!M1561:M1565)),AVERAGE('20250815_ETF_Options_Exhibits'!M1561:M1565),"")</f>
        <v/>
      </c>
      <c r="N1565" s="3">
        <f>IF(ISNUMBER(AVERAGE('20250815_ETF_Options_Exhibits'!N1561:N1565)),AVERAGE('20250815_ETF_Options_Exhibits'!N1561:N1565),"")</f>
        <v/>
      </c>
      <c r="O1565" s="3">
        <f>IF(ISNUMBER(AVERAGE('20250815_ETF_Options_Exhibits'!O1561:O1565)),AVERAGE('20250815_ETF_Options_Exhibits'!O1561:O1565),"")</f>
        <v/>
      </c>
      <c r="P1565" s="3">
        <f>IF(ISNUMBER(AVERAGE('20250815_ETF_Options_Exhibits'!P1561:P1565)),AVERAGE('20250815_ETF_Options_Exhibits'!P1561:P1565),"")</f>
        <v/>
      </c>
      <c r="Q1565" s="3">
        <f>IF(ISNUMBER(AVERAGE('20250815_ETF_Options_Exhibits'!Q1561:Q1565)),AVERAGE('20250815_ETF_Options_Exhibits'!Q1561:Q1565),"")</f>
        <v/>
      </c>
      <c r="R1565" s="3">
        <f>IF(ISNUMBER(AVERAGE('20250815_ETF_Options_Exhibits'!R1561:R1565)),AVERAGE('20250815_ETF_Options_Exhibits'!R1561:R1565),"")</f>
        <v/>
      </c>
      <c r="S1565" s="3">
        <f>IF(ISNUMBER(AVERAGE('20250815_ETF_Options_Exhibits'!S1561:S1565)),AVERAGE('20250815_ETF_Options_Exhibits'!S1561:S1565),"")</f>
        <v/>
      </c>
      <c r="T1565" s="3">
        <f>IF(ISNUMBER(AVERAGE('20250815_ETF_Options_Exhibits'!T1561:T1565)),AVERAGE('20250815_ETF_Options_Exhibits'!T1561:T1565),"")</f>
        <v/>
      </c>
      <c r="U1565" s="3">
        <f>IF(ISNUMBER(AVERAGE('20250815_ETF_Options_Exhibits'!U1561:U1565)),AVERAGE('20250815_ETF_Options_Exhibits'!U1561:U1565),"")</f>
        <v/>
      </c>
      <c r="V1565" s="3">
        <f>IF(ISNUMBER(AVERAGE('20250815_ETF_Options_Exhibits'!V1561:V1565)),AVERAGE('20250815_ETF_Options_Exhibits'!V1561:V1565),"")</f>
        <v/>
      </c>
      <c r="W1565" s="3">
        <f>IF(ISNUMBER(AVERAGE('20250815_ETF_Options_Exhibits'!W1561:W1565)),AVERAGE('20250815_ETF_Options_Exhibits'!W1561:W1565),"")</f>
        <v/>
      </c>
      <c r="X1565" s="3">
        <f>IF(ISNUMBER(AVERAGE('20250815_ETF_Options_Exhibits'!X1561:X1565)),AVERAGE('20250815_ETF_Options_Exhibits'!X1561:X1565),"")</f>
        <v/>
      </c>
      <c r="Y1565" s="3">
        <f>IF(ISNUMBER(AVERAGE('20250815_ETF_Options_Exhibits'!Y1561:Y1565)),AVERAGE('20250815_ETF_Options_Exhibits'!Y1561:Y1565),"")</f>
        <v/>
      </c>
      <c r="Z1565" s="3">
        <f>IF(ISNUMBER(AVERAGE('20250815_ETF_Options_Exhibits'!Z1561:Z1565)),AVERAGE('20250815_ETF_Options_Exhibits'!Z1561:Z1565),"")</f>
        <v/>
      </c>
      <c r="AA1565" s="3">
        <f>IF(ISNUMBER(AVERAGE('20250815_ETF_Options_Exhibits'!AA1561:AA1565)),AVERAGE('20250815_ETF_Options_Exhibits'!AA1561:AA1565),"")</f>
        <v/>
      </c>
    </row>
    <row r="1566">
      <c r="A1566" s="1" t="n">
        <v>44274</v>
      </c>
      <c r="B1566" s="3">
        <f>IF(ISNUMBER(AVERAGE('20250815_ETF_Options_Exhibits'!B1562:B1566)),AVERAGE('20250815_ETF_Options_Exhibits'!B1562:B1566),"")</f>
        <v/>
      </c>
      <c r="C1566" s="3">
        <f>IF(ISNUMBER(AVERAGE('20250815_ETF_Options_Exhibits'!C1562:C1566)),AVERAGE('20250815_ETF_Options_Exhibits'!C1562:C1566),"")</f>
        <v/>
      </c>
      <c r="D1566" s="3">
        <f>IF(ISNUMBER(AVERAGE('20250815_ETF_Options_Exhibits'!D1562:D1566)),AVERAGE('20250815_ETF_Options_Exhibits'!D1562:D1566),"")</f>
        <v/>
      </c>
      <c r="E1566" s="3">
        <f>IF(ISNUMBER(AVERAGE('20250815_ETF_Options_Exhibits'!E1562:E1566)),AVERAGE('20250815_ETF_Options_Exhibits'!E1562:E1566),"")</f>
        <v/>
      </c>
      <c r="F1566" s="3">
        <f>IF(ISNUMBER(AVERAGE('20250815_ETF_Options_Exhibits'!F1562:F1566)),AVERAGE('20250815_ETF_Options_Exhibits'!F1562:F1566),"")</f>
        <v/>
      </c>
      <c r="G1566" s="3">
        <f>IF(ISNUMBER(AVERAGE('20250815_ETF_Options_Exhibits'!G1562:G1566)),AVERAGE('20250815_ETF_Options_Exhibits'!G1562:G1566),"")</f>
        <v/>
      </c>
      <c r="H1566" s="3">
        <f>IF(ISNUMBER(AVERAGE('20250815_ETF_Options_Exhibits'!H1562:H1566)),AVERAGE('20250815_ETF_Options_Exhibits'!H1562:H1566),"")</f>
        <v/>
      </c>
      <c r="I1566" s="3">
        <f>IF(ISNUMBER(AVERAGE('20250815_ETF_Options_Exhibits'!I1562:I1566)),AVERAGE('20250815_ETF_Options_Exhibits'!I1562:I1566),"")</f>
        <v/>
      </c>
      <c r="J1566" s="3">
        <f>IF(ISNUMBER(AVERAGE('20250815_ETF_Options_Exhibits'!J1562:J1566)),AVERAGE('20250815_ETF_Options_Exhibits'!J1562:J1566),"")</f>
        <v/>
      </c>
      <c r="K1566" s="3">
        <f>IF(ISNUMBER(AVERAGE('20250815_ETF_Options_Exhibits'!K1562:K1566)),AVERAGE('20250815_ETF_Options_Exhibits'!K1562:K1566),"")</f>
        <v/>
      </c>
      <c r="L1566" s="3">
        <f>IF(ISNUMBER(AVERAGE('20250815_ETF_Options_Exhibits'!L1562:L1566)),AVERAGE('20250815_ETF_Options_Exhibits'!L1562:L1566),"")</f>
        <v/>
      </c>
      <c r="M1566" s="3">
        <f>IF(ISNUMBER(AVERAGE('20250815_ETF_Options_Exhibits'!M1562:M1566)),AVERAGE('20250815_ETF_Options_Exhibits'!M1562:M1566),"")</f>
        <v/>
      </c>
      <c r="N1566" s="3">
        <f>IF(ISNUMBER(AVERAGE('20250815_ETF_Options_Exhibits'!N1562:N1566)),AVERAGE('20250815_ETF_Options_Exhibits'!N1562:N1566),"")</f>
        <v/>
      </c>
      <c r="O1566" s="3">
        <f>IF(ISNUMBER(AVERAGE('20250815_ETF_Options_Exhibits'!O1562:O1566)),AVERAGE('20250815_ETF_Options_Exhibits'!O1562:O1566),"")</f>
        <v/>
      </c>
      <c r="P1566" s="3">
        <f>IF(ISNUMBER(AVERAGE('20250815_ETF_Options_Exhibits'!P1562:P1566)),AVERAGE('20250815_ETF_Options_Exhibits'!P1562:P1566),"")</f>
        <v/>
      </c>
      <c r="Q1566" s="3">
        <f>IF(ISNUMBER(AVERAGE('20250815_ETF_Options_Exhibits'!Q1562:Q1566)),AVERAGE('20250815_ETF_Options_Exhibits'!Q1562:Q1566),"")</f>
        <v/>
      </c>
      <c r="R1566" s="3">
        <f>IF(ISNUMBER(AVERAGE('20250815_ETF_Options_Exhibits'!R1562:R1566)),AVERAGE('20250815_ETF_Options_Exhibits'!R1562:R1566),"")</f>
        <v/>
      </c>
      <c r="S1566" s="3">
        <f>IF(ISNUMBER(AVERAGE('20250815_ETF_Options_Exhibits'!S1562:S1566)),AVERAGE('20250815_ETF_Options_Exhibits'!S1562:S1566),"")</f>
        <v/>
      </c>
      <c r="T1566" s="3">
        <f>IF(ISNUMBER(AVERAGE('20250815_ETF_Options_Exhibits'!T1562:T1566)),AVERAGE('20250815_ETF_Options_Exhibits'!T1562:T1566),"")</f>
        <v/>
      </c>
      <c r="U1566" s="3">
        <f>IF(ISNUMBER(AVERAGE('20250815_ETF_Options_Exhibits'!U1562:U1566)),AVERAGE('20250815_ETF_Options_Exhibits'!U1562:U1566),"")</f>
        <v/>
      </c>
      <c r="V1566" s="3">
        <f>IF(ISNUMBER(AVERAGE('20250815_ETF_Options_Exhibits'!V1562:V1566)),AVERAGE('20250815_ETF_Options_Exhibits'!V1562:V1566),"")</f>
        <v/>
      </c>
      <c r="W1566" s="3">
        <f>IF(ISNUMBER(AVERAGE('20250815_ETF_Options_Exhibits'!W1562:W1566)),AVERAGE('20250815_ETF_Options_Exhibits'!W1562:W1566),"")</f>
        <v/>
      </c>
      <c r="X1566" s="3">
        <f>IF(ISNUMBER(AVERAGE('20250815_ETF_Options_Exhibits'!X1562:X1566)),AVERAGE('20250815_ETF_Options_Exhibits'!X1562:X1566),"")</f>
        <v/>
      </c>
      <c r="Y1566" s="3">
        <f>IF(ISNUMBER(AVERAGE('20250815_ETF_Options_Exhibits'!Y1562:Y1566)),AVERAGE('20250815_ETF_Options_Exhibits'!Y1562:Y1566),"")</f>
        <v/>
      </c>
      <c r="Z1566" s="3">
        <f>IF(ISNUMBER(AVERAGE('20250815_ETF_Options_Exhibits'!Z1562:Z1566)),AVERAGE('20250815_ETF_Options_Exhibits'!Z1562:Z1566),"")</f>
        <v/>
      </c>
      <c r="AA1566" s="3">
        <f>IF(ISNUMBER(AVERAGE('20250815_ETF_Options_Exhibits'!AA1562:AA1566)),AVERAGE('20250815_ETF_Options_Exhibits'!AA1562:AA1566),"")</f>
        <v/>
      </c>
    </row>
    <row r="1567">
      <c r="A1567" s="1" t="n">
        <v>44277</v>
      </c>
      <c r="B1567" s="3">
        <f>IF(ISNUMBER(AVERAGE('20250815_ETF_Options_Exhibits'!B1563:B1567)),AVERAGE('20250815_ETF_Options_Exhibits'!B1563:B1567),"")</f>
        <v/>
      </c>
      <c r="C1567" s="3">
        <f>IF(ISNUMBER(AVERAGE('20250815_ETF_Options_Exhibits'!C1563:C1567)),AVERAGE('20250815_ETF_Options_Exhibits'!C1563:C1567),"")</f>
        <v/>
      </c>
      <c r="D1567" s="3">
        <f>IF(ISNUMBER(AVERAGE('20250815_ETF_Options_Exhibits'!D1563:D1567)),AVERAGE('20250815_ETF_Options_Exhibits'!D1563:D1567),"")</f>
        <v/>
      </c>
      <c r="E1567" s="3">
        <f>IF(ISNUMBER(AVERAGE('20250815_ETF_Options_Exhibits'!E1563:E1567)),AVERAGE('20250815_ETF_Options_Exhibits'!E1563:E1567),"")</f>
        <v/>
      </c>
      <c r="F1567" s="3">
        <f>IF(ISNUMBER(AVERAGE('20250815_ETF_Options_Exhibits'!F1563:F1567)),AVERAGE('20250815_ETF_Options_Exhibits'!F1563:F1567),"")</f>
        <v/>
      </c>
      <c r="G1567" s="3">
        <f>IF(ISNUMBER(AVERAGE('20250815_ETF_Options_Exhibits'!G1563:G1567)),AVERAGE('20250815_ETF_Options_Exhibits'!G1563:G1567),"")</f>
        <v/>
      </c>
      <c r="H1567" s="3">
        <f>IF(ISNUMBER(AVERAGE('20250815_ETF_Options_Exhibits'!H1563:H1567)),AVERAGE('20250815_ETF_Options_Exhibits'!H1563:H1567),"")</f>
        <v/>
      </c>
      <c r="I1567" s="3">
        <f>IF(ISNUMBER(AVERAGE('20250815_ETF_Options_Exhibits'!I1563:I1567)),AVERAGE('20250815_ETF_Options_Exhibits'!I1563:I1567),"")</f>
        <v/>
      </c>
      <c r="J1567" s="3">
        <f>IF(ISNUMBER(AVERAGE('20250815_ETF_Options_Exhibits'!J1563:J1567)),AVERAGE('20250815_ETF_Options_Exhibits'!J1563:J1567),"")</f>
        <v/>
      </c>
      <c r="K1567" s="3">
        <f>IF(ISNUMBER(AVERAGE('20250815_ETF_Options_Exhibits'!K1563:K1567)),AVERAGE('20250815_ETF_Options_Exhibits'!K1563:K1567),"")</f>
        <v/>
      </c>
      <c r="L1567" s="3">
        <f>IF(ISNUMBER(AVERAGE('20250815_ETF_Options_Exhibits'!L1563:L1567)),AVERAGE('20250815_ETF_Options_Exhibits'!L1563:L1567),"")</f>
        <v/>
      </c>
      <c r="M1567" s="3">
        <f>IF(ISNUMBER(AVERAGE('20250815_ETF_Options_Exhibits'!M1563:M1567)),AVERAGE('20250815_ETF_Options_Exhibits'!M1563:M1567),"")</f>
        <v/>
      </c>
      <c r="N1567" s="3">
        <f>IF(ISNUMBER(AVERAGE('20250815_ETF_Options_Exhibits'!N1563:N1567)),AVERAGE('20250815_ETF_Options_Exhibits'!N1563:N1567),"")</f>
        <v/>
      </c>
      <c r="O1567" s="3">
        <f>IF(ISNUMBER(AVERAGE('20250815_ETF_Options_Exhibits'!O1563:O1567)),AVERAGE('20250815_ETF_Options_Exhibits'!O1563:O1567),"")</f>
        <v/>
      </c>
      <c r="P1567" s="3">
        <f>IF(ISNUMBER(AVERAGE('20250815_ETF_Options_Exhibits'!P1563:P1567)),AVERAGE('20250815_ETF_Options_Exhibits'!P1563:P1567),"")</f>
        <v/>
      </c>
      <c r="Q1567" s="3">
        <f>IF(ISNUMBER(AVERAGE('20250815_ETF_Options_Exhibits'!Q1563:Q1567)),AVERAGE('20250815_ETF_Options_Exhibits'!Q1563:Q1567),"")</f>
        <v/>
      </c>
      <c r="R1567" s="3">
        <f>IF(ISNUMBER(AVERAGE('20250815_ETF_Options_Exhibits'!R1563:R1567)),AVERAGE('20250815_ETF_Options_Exhibits'!R1563:R1567),"")</f>
        <v/>
      </c>
      <c r="S1567" s="3">
        <f>IF(ISNUMBER(AVERAGE('20250815_ETF_Options_Exhibits'!S1563:S1567)),AVERAGE('20250815_ETF_Options_Exhibits'!S1563:S1567),"")</f>
        <v/>
      </c>
      <c r="T1567" s="3">
        <f>IF(ISNUMBER(AVERAGE('20250815_ETF_Options_Exhibits'!T1563:T1567)),AVERAGE('20250815_ETF_Options_Exhibits'!T1563:T1567),"")</f>
        <v/>
      </c>
      <c r="U1567" s="3">
        <f>IF(ISNUMBER(AVERAGE('20250815_ETF_Options_Exhibits'!U1563:U1567)),AVERAGE('20250815_ETF_Options_Exhibits'!U1563:U1567),"")</f>
        <v/>
      </c>
      <c r="V1567" s="3">
        <f>IF(ISNUMBER(AVERAGE('20250815_ETF_Options_Exhibits'!V1563:V1567)),AVERAGE('20250815_ETF_Options_Exhibits'!V1563:V1567),"")</f>
        <v/>
      </c>
      <c r="W1567" s="3">
        <f>IF(ISNUMBER(AVERAGE('20250815_ETF_Options_Exhibits'!W1563:W1567)),AVERAGE('20250815_ETF_Options_Exhibits'!W1563:W1567),"")</f>
        <v/>
      </c>
      <c r="X1567" s="3">
        <f>IF(ISNUMBER(AVERAGE('20250815_ETF_Options_Exhibits'!X1563:X1567)),AVERAGE('20250815_ETF_Options_Exhibits'!X1563:X1567),"")</f>
        <v/>
      </c>
      <c r="Y1567" s="3">
        <f>IF(ISNUMBER(AVERAGE('20250815_ETF_Options_Exhibits'!Y1563:Y1567)),AVERAGE('20250815_ETF_Options_Exhibits'!Y1563:Y1567),"")</f>
        <v/>
      </c>
      <c r="Z1567" s="3">
        <f>IF(ISNUMBER(AVERAGE('20250815_ETF_Options_Exhibits'!Z1563:Z1567)),AVERAGE('20250815_ETF_Options_Exhibits'!Z1563:Z1567),"")</f>
        <v/>
      </c>
      <c r="AA1567" s="3">
        <f>IF(ISNUMBER(AVERAGE('20250815_ETF_Options_Exhibits'!AA1563:AA1567)),AVERAGE('20250815_ETF_Options_Exhibits'!AA1563:AA1567),"")</f>
        <v/>
      </c>
    </row>
    <row r="1568">
      <c r="A1568" s="1" t="n">
        <v>44278</v>
      </c>
      <c r="B1568" s="3">
        <f>IF(ISNUMBER(AVERAGE('20250815_ETF_Options_Exhibits'!B1564:B1568)),AVERAGE('20250815_ETF_Options_Exhibits'!B1564:B1568),"")</f>
        <v/>
      </c>
      <c r="C1568" s="3">
        <f>IF(ISNUMBER(AVERAGE('20250815_ETF_Options_Exhibits'!C1564:C1568)),AVERAGE('20250815_ETF_Options_Exhibits'!C1564:C1568),"")</f>
        <v/>
      </c>
      <c r="D1568" s="3">
        <f>IF(ISNUMBER(AVERAGE('20250815_ETF_Options_Exhibits'!D1564:D1568)),AVERAGE('20250815_ETF_Options_Exhibits'!D1564:D1568),"")</f>
        <v/>
      </c>
      <c r="E1568" s="3">
        <f>IF(ISNUMBER(AVERAGE('20250815_ETF_Options_Exhibits'!E1564:E1568)),AVERAGE('20250815_ETF_Options_Exhibits'!E1564:E1568),"")</f>
        <v/>
      </c>
      <c r="F1568" s="3">
        <f>IF(ISNUMBER(AVERAGE('20250815_ETF_Options_Exhibits'!F1564:F1568)),AVERAGE('20250815_ETF_Options_Exhibits'!F1564:F1568),"")</f>
        <v/>
      </c>
      <c r="G1568" s="3">
        <f>IF(ISNUMBER(AVERAGE('20250815_ETF_Options_Exhibits'!G1564:G1568)),AVERAGE('20250815_ETF_Options_Exhibits'!G1564:G1568),"")</f>
        <v/>
      </c>
      <c r="H1568" s="3">
        <f>IF(ISNUMBER(AVERAGE('20250815_ETF_Options_Exhibits'!H1564:H1568)),AVERAGE('20250815_ETF_Options_Exhibits'!H1564:H1568),"")</f>
        <v/>
      </c>
      <c r="I1568" s="3">
        <f>IF(ISNUMBER(AVERAGE('20250815_ETF_Options_Exhibits'!I1564:I1568)),AVERAGE('20250815_ETF_Options_Exhibits'!I1564:I1568),"")</f>
        <v/>
      </c>
      <c r="J1568" s="3">
        <f>IF(ISNUMBER(AVERAGE('20250815_ETF_Options_Exhibits'!J1564:J1568)),AVERAGE('20250815_ETF_Options_Exhibits'!J1564:J1568),"")</f>
        <v/>
      </c>
      <c r="K1568" s="3">
        <f>IF(ISNUMBER(AVERAGE('20250815_ETF_Options_Exhibits'!K1564:K1568)),AVERAGE('20250815_ETF_Options_Exhibits'!K1564:K1568),"")</f>
        <v/>
      </c>
      <c r="L1568" s="3">
        <f>IF(ISNUMBER(AVERAGE('20250815_ETF_Options_Exhibits'!L1564:L1568)),AVERAGE('20250815_ETF_Options_Exhibits'!L1564:L1568),"")</f>
        <v/>
      </c>
      <c r="M1568" s="3">
        <f>IF(ISNUMBER(AVERAGE('20250815_ETF_Options_Exhibits'!M1564:M1568)),AVERAGE('20250815_ETF_Options_Exhibits'!M1564:M1568),"")</f>
        <v/>
      </c>
      <c r="N1568" s="3">
        <f>IF(ISNUMBER(AVERAGE('20250815_ETF_Options_Exhibits'!N1564:N1568)),AVERAGE('20250815_ETF_Options_Exhibits'!N1564:N1568),"")</f>
        <v/>
      </c>
      <c r="O1568" s="3">
        <f>IF(ISNUMBER(AVERAGE('20250815_ETF_Options_Exhibits'!O1564:O1568)),AVERAGE('20250815_ETF_Options_Exhibits'!O1564:O1568),"")</f>
        <v/>
      </c>
      <c r="P1568" s="3">
        <f>IF(ISNUMBER(AVERAGE('20250815_ETF_Options_Exhibits'!P1564:P1568)),AVERAGE('20250815_ETF_Options_Exhibits'!P1564:P1568),"")</f>
        <v/>
      </c>
      <c r="Q1568" s="3">
        <f>IF(ISNUMBER(AVERAGE('20250815_ETF_Options_Exhibits'!Q1564:Q1568)),AVERAGE('20250815_ETF_Options_Exhibits'!Q1564:Q1568),"")</f>
        <v/>
      </c>
      <c r="R1568" s="3">
        <f>IF(ISNUMBER(AVERAGE('20250815_ETF_Options_Exhibits'!R1564:R1568)),AVERAGE('20250815_ETF_Options_Exhibits'!R1564:R1568),"")</f>
        <v/>
      </c>
      <c r="S1568" s="3">
        <f>IF(ISNUMBER(AVERAGE('20250815_ETF_Options_Exhibits'!S1564:S1568)),AVERAGE('20250815_ETF_Options_Exhibits'!S1564:S1568),"")</f>
        <v/>
      </c>
      <c r="T1568" s="3">
        <f>IF(ISNUMBER(AVERAGE('20250815_ETF_Options_Exhibits'!T1564:T1568)),AVERAGE('20250815_ETF_Options_Exhibits'!T1564:T1568),"")</f>
        <v/>
      </c>
      <c r="U1568" s="3">
        <f>IF(ISNUMBER(AVERAGE('20250815_ETF_Options_Exhibits'!U1564:U1568)),AVERAGE('20250815_ETF_Options_Exhibits'!U1564:U1568),"")</f>
        <v/>
      </c>
      <c r="V1568" s="3">
        <f>IF(ISNUMBER(AVERAGE('20250815_ETF_Options_Exhibits'!V1564:V1568)),AVERAGE('20250815_ETF_Options_Exhibits'!V1564:V1568),"")</f>
        <v/>
      </c>
      <c r="W1568" s="3">
        <f>IF(ISNUMBER(AVERAGE('20250815_ETF_Options_Exhibits'!W1564:W1568)),AVERAGE('20250815_ETF_Options_Exhibits'!W1564:W1568),"")</f>
        <v/>
      </c>
      <c r="X1568" s="3">
        <f>IF(ISNUMBER(AVERAGE('20250815_ETF_Options_Exhibits'!X1564:X1568)),AVERAGE('20250815_ETF_Options_Exhibits'!X1564:X1568),"")</f>
        <v/>
      </c>
      <c r="Y1568" s="3">
        <f>IF(ISNUMBER(AVERAGE('20250815_ETF_Options_Exhibits'!Y1564:Y1568)),AVERAGE('20250815_ETF_Options_Exhibits'!Y1564:Y1568),"")</f>
        <v/>
      </c>
      <c r="Z1568" s="3">
        <f>IF(ISNUMBER(AVERAGE('20250815_ETF_Options_Exhibits'!Z1564:Z1568)),AVERAGE('20250815_ETF_Options_Exhibits'!Z1564:Z1568),"")</f>
        <v/>
      </c>
      <c r="AA1568" s="3">
        <f>IF(ISNUMBER(AVERAGE('20250815_ETF_Options_Exhibits'!AA1564:AA1568)),AVERAGE('20250815_ETF_Options_Exhibits'!AA1564:AA1568),"")</f>
        <v/>
      </c>
    </row>
    <row r="1569">
      <c r="A1569" s="1" t="n">
        <v>44279</v>
      </c>
      <c r="B1569" s="3">
        <f>IF(ISNUMBER(AVERAGE('20250815_ETF_Options_Exhibits'!B1565:B1569)),AVERAGE('20250815_ETF_Options_Exhibits'!B1565:B1569),"")</f>
        <v/>
      </c>
      <c r="C1569" s="3">
        <f>IF(ISNUMBER(AVERAGE('20250815_ETF_Options_Exhibits'!C1565:C1569)),AVERAGE('20250815_ETF_Options_Exhibits'!C1565:C1569),"")</f>
        <v/>
      </c>
      <c r="D1569" s="3">
        <f>IF(ISNUMBER(AVERAGE('20250815_ETF_Options_Exhibits'!D1565:D1569)),AVERAGE('20250815_ETF_Options_Exhibits'!D1565:D1569),"")</f>
        <v/>
      </c>
      <c r="E1569" s="3">
        <f>IF(ISNUMBER(AVERAGE('20250815_ETF_Options_Exhibits'!E1565:E1569)),AVERAGE('20250815_ETF_Options_Exhibits'!E1565:E1569),"")</f>
        <v/>
      </c>
      <c r="F1569" s="3">
        <f>IF(ISNUMBER(AVERAGE('20250815_ETF_Options_Exhibits'!F1565:F1569)),AVERAGE('20250815_ETF_Options_Exhibits'!F1565:F1569),"")</f>
        <v/>
      </c>
      <c r="G1569" s="3">
        <f>IF(ISNUMBER(AVERAGE('20250815_ETF_Options_Exhibits'!G1565:G1569)),AVERAGE('20250815_ETF_Options_Exhibits'!G1565:G1569),"")</f>
        <v/>
      </c>
      <c r="H1569" s="3">
        <f>IF(ISNUMBER(AVERAGE('20250815_ETF_Options_Exhibits'!H1565:H1569)),AVERAGE('20250815_ETF_Options_Exhibits'!H1565:H1569),"")</f>
        <v/>
      </c>
      <c r="I1569" s="3">
        <f>IF(ISNUMBER(AVERAGE('20250815_ETF_Options_Exhibits'!I1565:I1569)),AVERAGE('20250815_ETF_Options_Exhibits'!I1565:I1569),"")</f>
        <v/>
      </c>
      <c r="J1569" s="3">
        <f>IF(ISNUMBER(AVERAGE('20250815_ETF_Options_Exhibits'!J1565:J1569)),AVERAGE('20250815_ETF_Options_Exhibits'!J1565:J1569),"")</f>
        <v/>
      </c>
      <c r="K1569" s="3">
        <f>IF(ISNUMBER(AVERAGE('20250815_ETF_Options_Exhibits'!K1565:K1569)),AVERAGE('20250815_ETF_Options_Exhibits'!K1565:K1569),"")</f>
        <v/>
      </c>
      <c r="L1569" s="3">
        <f>IF(ISNUMBER(AVERAGE('20250815_ETF_Options_Exhibits'!L1565:L1569)),AVERAGE('20250815_ETF_Options_Exhibits'!L1565:L1569),"")</f>
        <v/>
      </c>
      <c r="M1569" s="3">
        <f>IF(ISNUMBER(AVERAGE('20250815_ETF_Options_Exhibits'!M1565:M1569)),AVERAGE('20250815_ETF_Options_Exhibits'!M1565:M1569),"")</f>
        <v/>
      </c>
      <c r="N1569" s="3">
        <f>IF(ISNUMBER(AVERAGE('20250815_ETF_Options_Exhibits'!N1565:N1569)),AVERAGE('20250815_ETF_Options_Exhibits'!N1565:N1569),"")</f>
        <v/>
      </c>
      <c r="O1569" s="3">
        <f>IF(ISNUMBER(AVERAGE('20250815_ETF_Options_Exhibits'!O1565:O1569)),AVERAGE('20250815_ETF_Options_Exhibits'!O1565:O1569),"")</f>
        <v/>
      </c>
      <c r="P1569" s="3">
        <f>IF(ISNUMBER(AVERAGE('20250815_ETF_Options_Exhibits'!P1565:P1569)),AVERAGE('20250815_ETF_Options_Exhibits'!P1565:P1569),"")</f>
        <v/>
      </c>
      <c r="Q1569" s="3">
        <f>IF(ISNUMBER(AVERAGE('20250815_ETF_Options_Exhibits'!Q1565:Q1569)),AVERAGE('20250815_ETF_Options_Exhibits'!Q1565:Q1569),"")</f>
        <v/>
      </c>
      <c r="R1569" s="3">
        <f>IF(ISNUMBER(AVERAGE('20250815_ETF_Options_Exhibits'!R1565:R1569)),AVERAGE('20250815_ETF_Options_Exhibits'!R1565:R1569),"")</f>
        <v/>
      </c>
      <c r="S1569" s="3">
        <f>IF(ISNUMBER(AVERAGE('20250815_ETF_Options_Exhibits'!S1565:S1569)),AVERAGE('20250815_ETF_Options_Exhibits'!S1565:S1569),"")</f>
        <v/>
      </c>
      <c r="T1569" s="3">
        <f>IF(ISNUMBER(AVERAGE('20250815_ETF_Options_Exhibits'!T1565:T1569)),AVERAGE('20250815_ETF_Options_Exhibits'!T1565:T1569),"")</f>
        <v/>
      </c>
      <c r="U1569" s="3">
        <f>IF(ISNUMBER(AVERAGE('20250815_ETF_Options_Exhibits'!U1565:U1569)),AVERAGE('20250815_ETF_Options_Exhibits'!U1565:U1569),"")</f>
        <v/>
      </c>
      <c r="V1569" s="3">
        <f>IF(ISNUMBER(AVERAGE('20250815_ETF_Options_Exhibits'!V1565:V1569)),AVERAGE('20250815_ETF_Options_Exhibits'!V1565:V1569),"")</f>
        <v/>
      </c>
      <c r="W1569" s="3">
        <f>IF(ISNUMBER(AVERAGE('20250815_ETF_Options_Exhibits'!W1565:W1569)),AVERAGE('20250815_ETF_Options_Exhibits'!W1565:W1569),"")</f>
        <v/>
      </c>
      <c r="X1569" s="3">
        <f>IF(ISNUMBER(AVERAGE('20250815_ETF_Options_Exhibits'!X1565:X1569)),AVERAGE('20250815_ETF_Options_Exhibits'!X1565:X1569),"")</f>
        <v/>
      </c>
      <c r="Y1569" s="3">
        <f>IF(ISNUMBER(AVERAGE('20250815_ETF_Options_Exhibits'!Y1565:Y1569)),AVERAGE('20250815_ETF_Options_Exhibits'!Y1565:Y1569),"")</f>
        <v/>
      </c>
      <c r="Z1569" s="3">
        <f>IF(ISNUMBER(AVERAGE('20250815_ETF_Options_Exhibits'!Z1565:Z1569)),AVERAGE('20250815_ETF_Options_Exhibits'!Z1565:Z1569),"")</f>
        <v/>
      </c>
      <c r="AA1569" s="3">
        <f>IF(ISNUMBER(AVERAGE('20250815_ETF_Options_Exhibits'!AA1565:AA1569)),AVERAGE('20250815_ETF_Options_Exhibits'!AA1565:AA1569),"")</f>
        <v/>
      </c>
    </row>
    <row r="1570">
      <c r="A1570" s="1" t="n">
        <v>44280</v>
      </c>
      <c r="B1570" s="3">
        <f>IF(ISNUMBER(AVERAGE('20250815_ETF_Options_Exhibits'!B1566:B1570)),AVERAGE('20250815_ETF_Options_Exhibits'!B1566:B1570),"")</f>
        <v/>
      </c>
      <c r="C1570" s="3">
        <f>IF(ISNUMBER(AVERAGE('20250815_ETF_Options_Exhibits'!C1566:C1570)),AVERAGE('20250815_ETF_Options_Exhibits'!C1566:C1570),"")</f>
        <v/>
      </c>
      <c r="D1570" s="3">
        <f>IF(ISNUMBER(AVERAGE('20250815_ETF_Options_Exhibits'!D1566:D1570)),AVERAGE('20250815_ETF_Options_Exhibits'!D1566:D1570),"")</f>
        <v/>
      </c>
      <c r="E1570" s="3">
        <f>IF(ISNUMBER(AVERAGE('20250815_ETF_Options_Exhibits'!E1566:E1570)),AVERAGE('20250815_ETF_Options_Exhibits'!E1566:E1570),"")</f>
        <v/>
      </c>
      <c r="F1570" s="3">
        <f>IF(ISNUMBER(AVERAGE('20250815_ETF_Options_Exhibits'!F1566:F1570)),AVERAGE('20250815_ETF_Options_Exhibits'!F1566:F1570),"")</f>
        <v/>
      </c>
      <c r="G1570" s="3">
        <f>IF(ISNUMBER(AVERAGE('20250815_ETF_Options_Exhibits'!G1566:G1570)),AVERAGE('20250815_ETF_Options_Exhibits'!G1566:G1570),"")</f>
        <v/>
      </c>
      <c r="H1570" s="3">
        <f>IF(ISNUMBER(AVERAGE('20250815_ETF_Options_Exhibits'!H1566:H1570)),AVERAGE('20250815_ETF_Options_Exhibits'!H1566:H1570),"")</f>
        <v/>
      </c>
      <c r="I1570" s="3">
        <f>IF(ISNUMBER(AVERAGE('20250815_ETF_Options_Exhibits'!I1566:I1570)),AVERAGE('20250815_ETF_Options_Exhibits'!I1566:I1570),"")</f>
        <v/>
      </c>
      <c r="J1570" s="3">
        <f>IF(ISNUMBER(AVERAGE('20250815_ETF_Options_Exhibits'!J1566:J1570)),AVERAGE('20250815_ETF_Options_Exhibits'!J1566:J1570),"")</f>
        <v/>
      </c>
      <c r="K1570" s="3">
        <f>IF(ISNUMBER(AVERAGE('20250815_ETF_Options_Exhibits'!K1566:K1570)),AVERAGE('20250815_ETF_Options_Exhibits'!K1566:K1570),"")</f>
        <v/>
      </c>
      <c r="L1570" s="3">
        <f>IF(ISNUMBER(AVERAGE('20250815_ETF_Options_Exhibits'!L1566:L1570)),AVERAGE('20250815_ETF_Options_Exhibits'!L1566:L1570),"")</f>
        <v/>
      </c>
      <c r="M1570" s="3">
        <f>IF(ISNUMBER(AVERAGE('20250815_ETF_Options_Exhibits'!M1566:M1570)),AVERAGE('20250815_ETF_Options_Exhibits'!M1566:M1570),"")</f>
        <v/>
      </c>
      <c r="N1570" s="3">
        <f>IF(ISNUMBER(AVERAGE('20250815_ETF_Options_Exhibits'!N1566:N1570)),AVERAGE('20250815_ETF_Options_Exhibits'!N1566:N1570),"")</f>
        <v/>
      </c>
      <c r="O1570" s="3">
        <f>IF(ISNUMBER(AVERAGE('20250815_ETF_Options_Exhibits'!O1566:O1570)),AVERAGE('20250815_ETF_Options_Exhibits'!O1566:O1570),"")</f>
        <v/>
      </c>
      <c r="P1570" s="3">
        <f>IF(ISNUMBER(AVERAGE('20250815_ETF_Options_Exhibits'!P1566:P1570)),AVERAGE('20250815_ETF_Options_Exhibits'!P1566:P1570),"")</f>
        <v/>
      </c>
      <c r="Q1570" s="3">
        <f>IF(ISNUMBER(AVERAGE('20250815_ETF_Options_Exhibits'!Q1566:Q1570)),AVERAGE('20250815_ETF_Options_Exhibits'!Q1566:Q1570),"")</f>
        <v/>
      </c>
      <c r="R1570" s="3">
        <f>IF(ISNUMBER(AVERAGE('20250815_ETF_Options_Exhibits'!R1566:R1570)),AVERAGE('20250815_ETF_Options_Exhibits'!R1566:R1570),"")</f>
        <v/>
      </c>
      <c r="S1570" s="3">
        <f>IF(ISNUMBER(AVERAGE('20250815_ETF_Options_Exhibits'!S1566:S1570)),AVERAGE('20250815_ETF_Options_Exhibits'!S1566:S1570),"")</f>
        <v/>
      </c>
      <c r="T1570" s="3">
        <f>IF(ISNUMBER(AVERAGE('20250815_ETF_Options_Exhibits'!T1566:T1570)),AVERAGE('20250815_ETF_Options_Exhibits'!T1566:T1570),"")</f>
        <v/>
      </c>
      <c r="U1570" s="3">
        <f>IF(ISNUMBER(AVERAGE('20250815_ETF_Options_Exhibits'!U1566:U1570)),AVERAGE('20250815_ETF_Options_Exhibits'!U1566:U1570),"")</f>
        <v/>
      </c>
      <c r="V1570" s="3">
        <f>IF(ISNUMBER(AVERAGE('20250815_ETF_Options_Exhibits'!V1566:V1570)),AVERAGE('20250815_ETF_Options_Exhibits'!V1566:V1570),"")</f>
        <v/>
      </c>
      <c r="W1570" s="3">
        <f>IF(ISNUMBER(AVERAGE('20250815_ETF_Options_Exhibits'!W1566:W1570)),AVERAGE('20250815_ETF_Options_Exhibits'!W1566:W1570),"")</f>
        <v/>
      </c>
      <c r="X1570" s="3">
        <f>IF(ISNUMBER(AVERAGE('20250815_ETF_Options_Exhibits'!X1566:X1570)),AVERAGE('20250815_ETF_Options_Exhibits'!X1566:X1570),"")</f>
        <v/>
      </c>
      <c r="Y1570" s="3">
        <f>IF(ISNUMBER(AVERAGE('20250815_ETF_Options_Exhibits'!Y1566:Y1570)),AVERAGE('20250815_ETF_Options_Exhibits'!Y1566:Y1570),"")</f>
        <v/>
      </c>
      <c r="Z1570" s="3">
        <f>IF(ISNUMBER(AVERAGE('20250815_ETF_Options_Exhibits'!Z1566:Z1570)),AVERAGE('20250815_ETF_Options_Exhibits'!Z1566:Z1570),"")</f>
        <v/>
      </c>
      <c r="AA1570" s="3">
        <f>IF(ISNUMBER(AVERAGE('20250815_ETF_Options_Exhibits'!AA1566:AA1570)),AVERAGE('20250815_ETF_Options_Exhibits'!AA1566:AA1570),"")</f>
        <v/>
      </c>
    </row>
    <row r="1571">
      <c r="A1571" s="1" t="n">
        <v>44281</v>
      </c>
      <c r="B1571" s="3">
        <f>IF(ISNUMBER(AVERAGE('20250815_ETF_Options_Exhibits'!B1567:B1571)),AVERAGE('20250815_ETF_Options_Exhibits'!B1567:B1571),"")</f>
        <v/>
      </c>
      <c r="C1571" s="3">
        <f>IF(ISNUMBER(AVERAGE('20250815_ETF_Options_Exhibits'!C1567:C1571)),AVERAGE('20250815_ETF_Options_Exhibits'!C1567:C1571),"")</f>
        <v/>
      </c>
      <c r="D1571" s="3">
        <f>IF(ISNUMBER(AVERAGE('20250815_ETF_Options_Exhibits'!D1567:D1571)),AVERAGE('20250815_ETF_Options_Exhibits'!D1567:D1571),"")</f>
        <v/>
      </c>
      <c r="E1571" s="3">
        <f>IF(ISNUMBER(AVERAGE('20250815_ETF_Options_Exhibits'!E1567:E1571)),AVERAGE('20250815_ETF_Options_Exhibits'!E1567:E1571),"")</f>
        <v/>
      </c>
      <c r="F1571" s="3">
        <f>IF(ISNUMBER(AVERAGE('20250815_ETF_Options_Exhibits'!F1567:F1571)),AVERAGE('20250815_ETF_Options_Exhibits'!F1567:F1571),"")</f>
        <v/>
      </c>
      <c r="G1571" s="3">
        <f>IF(ISNUMBER(AVERAGE('20250815_ETF_Options_Exhibits'!G1567:G1571)),AVERAGE('20250815_ETF_Options_Exhibits'!G1567:G1571),"")</f>
        <v/>
      </c>
      <c r="H1571" s="3">
        <f>IF(ISNUMBER(AVERAGE('20250815_ETF_Options_Exhibits'!H1567:H1571)),AVERAGE('20250815_ETF_Options_Exhibits'!H1567:H1571),"")</f>
        <v/>
      </c>
      <c r="I1571" s="3">
        <f>IF(ISNUMBER(AVERAGE('20250815_ETF_Options_Exhibits'!I1567:I1571)),AVERAGE('20250815_ETF_Options_Exhibits'!I1567:I1571),"")</f>
        <v/>
      </c>
      <c r="J1571" s="3">
        <f>IF(ISNUMBER(AVERAGE('20250815_ETF_Options_Exhibits'!J1567:J1571)),AVERAGE('20250815_ETF_Options_Exhibits'!J1567:J1571),"")</f>
        <v/>
      </c>
      <c r="K1571" s="3">
        <f>IF(ISNUMBER(AVERAGE('20250815_ETF_Options_Exhibits'!K1567:K1571)),AVERAGE('20250815_ETF_Options_Exhibits'!K1567:K1571),"")</f>
        <v/>
      </c>
      <c r="L1571" s="3">
        <f>IF(ISNUMBER(AVERAGE('20250815_ETF_Options_Exhibits'!L1567:L1571)),AVERAGE('20250815_ETF_Options_Exhibits'!L1567:L1571),"")</f>
        <v/>
      </c>
      <c r="M1571" s="3">
        <f>IF(ISNUMBER(AVERAGE('20250815_ETF_Options_Exhibits'!M1567:M1571)),AVERAGE('20250815_ETF_Options_Exhibits'!M1567:M1571),"")</f>
        <v/>
      </c>
      <c r="N1571" s="3">
        <f>IF(ISNUMBER(AVERAGE('20250815_ETF_Options_Exhibits'!N1567:N1571)),AVERAGE('20250815_ETF_Options_Exhibits'!N1567:N1571),"")</f>
        <v/>
      </c>
      <c r="O1571" s="3">
        <f>IF(ISNUMBER(AVERAGE('20250815_ETF_Options_Exhibits'!O1567:O1571)),AVERAGE('20250815_ETF_Options_Exhibits'!O1567:O1571),"")</f>
        <v/>
      </c>
      <c r="P1571" s="3">
        <f>IF(ISNUMBER(AVERAGE('20250815_ETF_Options_Exhibits'!P1567:P1571)),AVERAGE('20250815_ETF_Options_Exhibits'!P1567:P1571),"")</f>
        <v/>
      </c>
      <c r="Q1571" s="3">
        <f>IF(ISNUMBER(AVERAGE('20250815_ETF_Options_Exhibits'!Q1567:Q1571)),AVERAGE('20250815_ETF_Options_Exhibits'!Q1567:Q1571),"")</f>
        <v/>
      </c>
      <c r="R1571" s="3">
        <f>IF(ISNUMBER(AVERAGE('20250815_ETF_Options_Exhibits'!R1567:R1571)),AVERAGE('20250815_ETF_Options_Exhibits'!R1567:R1571),"")</f>
        <v/>
      </c>
      <c r="S1571" s="3">
        <f>IF(ISNUMBER(AVERAGE('20250815_ETF_Options_Exhibits'!S1567:S1571)),AVERAGE('20250815_ETF_Options_Exhibits'!S1567:S1571),"")</f>
        <v/>
      </c>
      <c r="T1571" s="3">
        <f>IF(ISNUMBER(AVERAGE('20250815_ETF_Options_Exhibits'!T1567:T1571)),AVERAGE('20250815_ETF_Options_Exhibits'!T1567:T1571),"")</f>
        <v/>
      </c>
      <c r="U1571" s="3">
        <f>IF(ISNUMBER(AVERAGE('20250815_ETF_Options_Exhibits'!U1567:U1571)),AVERAGE('20250815_ETF_Options_Exhibits'!U1567:U1571),"")</f>
        <v/>
      </c>
      <c r="V1571" s="3">
        <f>IF(ISNUMBER(AVERAGE('20250815_ETF_Options_Exhibits'!V1567:V1571)),AVERAGE('20250815_ETF_Options_Exhibits'!V1567:V1571),"")</f>
        <v/>
      </c>
      <c r="W1571" s="3">
        <f>IF(ISNUMBER(AVERAGE('20250815_ETF_Options_Exhibits'!W1567:W1571)),AVERAGE('20250815_ETF_Options_Exhibits'!W1567:W1571),"")</f>
        <v/>
      </c>
      <c r="X1571" s="3">
        <f>IF(ISNUMBER(AVERAGE('20250815_ETF_Options_Exhibits'!X1567:X1571)),AVERAGE('20250815_ETF_Options_Exhibits'!X1567:X1571),"")</f>
        <v/>
      </c>
      <c r="Y1571" s="3">
        <f>IF(ISNUMBER(AVERAGE('20250815_ETF_Options_Exhibits'!Y1567:Y1571)),AVERAGE('20250815_ETF_Options_Exhibits'!Y1567:Y1571),"")</f>
        <v/>
      </c>
      <c r="Z1571" s="3">
        <f>IF(ISNUMBER(AVERAGE('20250815_ETF_Options_Exhibits'!Z1567:Z1571)),AVERAGE('20250815_ETF_Options_Exhibits'!Z1567:Z1571),"")</f>
        <v/>
      </c>
      <c r="AA1571" s="3">
        <f>IF(ISNUMBER(AVERAGE('20250815_ETF_Options_Exhibits'!AA1567:AA1571)),AVERAGE('20250815_ETF_Options_Exhibits'!AA1567:AA1571),"")</f>
        <v/>
      </c>
    </row>
    <row r="1572">
      <c r="A1572" s="1" t="n">
        <v>44284</v>
      </c>
      <c r="B1572" s="3">
        <f>IF(ISNUMBER(AVERAGE('20250815_ETF_Options_Exhibits'!B1568:B1572)),AVERAGE('20250815_ETF_Options_Exhibits'!B1568:B1572),"")</f>
        <v/>
      </c>
      <c r="C1572" s="3">
        <f>IF(ISNUMBER(AVERAGE('20250815_ETF_Options_Exhibits'!C1568:C1572)),AVERAGE('20250815_ETF_Options_Exhibits'!C1568:C1572),"")</f>
        <v/>
      </c>
      <c r="D1572" s="3">
        <f>IF(ISNUMBER(AVERAGE('20250815_ETF_Options_Exhibits'!D1568:D1572)),AVERAGE('20250815_ETF_Options_Exhibits'!D1568:D1572),"")</f>
        <v/>
      </c>
      <c r="E1572" s="3">
        <f>IF(ISNUMBER(AVERAGE('20250815_ETF_Options_Exhibits'!E1568:E1572)),AVERAGE('20250815_ETF_Options_Exhibits'!E1568:E1572),"")</f>
        <v/>
      </c>
      <c r="F1572" s="3">
        <f>IF(ISNUMBER(AVERAGE('20250815_ETF_Options_Exhibits'!F1568:F1572)),AVERAGE('20250815_ETF_Options_Exhibits'!F1568:F1572),"")</f>
        <v/>
      </c>
      <c r="G1572" s="3">
        <f>IF(ISNUMBER(AVERAGE('20250815_ETF_Options_Exhibits'!G1568:G1572)),AVERAGE('20250815_ETF_Options_Exhibits'!G1568:G1572),"")</f>
        <v/>
      </c>
      <c r="H1572" s="3">
        <f>IF(ISNUMBER(AVERAGE('20250815_ETF_Options_Exhibits'!H1568:H1572)),AVERAGE('20250815_ETF_Options_Exhibits'!H1568:H1572),"")</f>
        <v/>
      </c>
      <c r="I1572" s="3">
        <f>IF(ISNUMBER(AVERAGE('20250815_ETF_Options_Exhibits'!I1568:I1572)),AVERAGE('20250815_ETF_Options_Exhibits'!I1568:I1572),"")</f>
        <v/>
      </c>
      <c r="J1572" s="3">
        <f>IF(ISNUMBER(AVERAGE('20250815_ETF_Options_Exhibits'!J1568:J1572)),AVERAGE('20250815_ETF_Options_Exhibits'!J1568:J1572),"")</f>
        <v/>
      </c>
      <c r="K1572" s="3">
        <f>IF(ISNUMBER(AVERAGE('20250815_ETF_Options_Exhibits'!K1568:K1572)),AVERAGE('20250815_ETF_Options_Exhibits'!K1568:K1572),"")</f>
        <v/>
      </c>
      <c r="L1572" s="3">
        <f>IF(ISNUMBER(AVERAGE('20250815_ETF_Options_Exhibits'!L1568:L1572)),AVERAGE('20250815_ETF_Options_Exhibits'!L1568:L1572),"")</f>
        <v/>
      </c>
      <c r="M1572" s="3">
        <f>IF(ISNUMBER(AVERAGE('20250815_ETF_Options_Exhibits'!M1568:M1572)),AVERAGE('20250815_ETF_Options_Exhibits'!M1568:M1572),"")</f>
        <v/>
      </c>
      <c r="N1572" s="3">
        <f>IF(ISNUMBER(AVERAGE('20250815_ETF_Options_Exhibits'!N1568:N1572)),AVERAGE('20250815_ETF_Options_Exhibits'!N1568:N1572),"")</f>
        <v/>
      </c>
      <c r="O1572" s="3">
        <f>IF(ISNUMBER(AVERAGE('20250815_ETF_Options_Exhibits'!O1568:O1572)),AVERAGE('20250815_ETF_Options_Exhibits'!O1568:O1572),"")</f>
        <v/>
      </c>
      <c r="P1572" s="3">
        <f>IF(ISNUMBER(AVERAGE('20250815_ETF_Options_Exhibits'!P1568:P1572)),AVERAGE('20250815_ETF_Options_Exhibits'!P1568:P1572),"")</f>
        <v/>
      </c>
      <c r="Q1572" s="3">
        <f>IF(ISNUMBER(AVERAGE('20250815_ETF_Options_Exhibits'!Q1568:Q1572)),AVERAGE('20250815_ETF_Options_Exhibits'!Q1568:Q1572),"")</f>
        <v/>
      </c>
      <c r="R1572" s="3">
        <f>IF(ISNUMBER(AVERAGE('20250815_ETF_Options_Exhibits'!R1568:R1572)),AVERAGE('20250815_ETF_Options_Exhibits'!R1568:R1572),"")</f>
        <v/>
      </c>
      <c r="S1572" s="3">
        <f>IF(ISNUMBER(AVERAGE('20250815_ETF_Options_Exhibits'!S1568:S1572)),AVERAGE('20250815_ETF_Options_Exhibits'!S1568:S1572),"")</f>
        <v/>
      </c>
      <c r="T1572" s="3">
        <f>IF(ISNUMBER(AVERAGE('20250815_ETF_Options_Exhibits'!T1568:T1572)),AVERAGE('20250815_ETF_Options_Exhibits'!T1568:T1572),"")</f>
        <v/>
      </c>
      <c r="U1572" s="3">
        <f>IF(ISNUMBER(AVERAGE('20250815_ETF_Options_Exhibits'!U1568:U1572)),AVERAGE('20250815_ETF_Options_Exhibits'!U1568:U1572),"")</f>
        <v/>
      </c>
      <c r="V1572" s="3">
        <f>IF(ISNUMBER(AVERAGE('20250815_ETF_Options_Exhibits'!V1568:V1572)),AVERAGE('20250815_ETF_Options_Exhibits'!V1568:V1572),"")</f>
        <v/>
      </c>
      <c r="W1572" s="3">
        <f>IF(ISNUMBER(AVERAGE('20250815_ETF_Options_Exhibits'!W1568:W1572)),AVERAGE('20250815_ETF_Options_Exhibits'!W1568:W1572),"")</f>
        <v/>
      </c>
      <c r="X1572" s="3">
        <f>IF(ISNUMBER(AVERAGE('20250815_ETF_Options_Exhibits'!X1568:X1572)),AVERAGE('20250815_ETF_Options_Exhibits'!X1568:X1572),"")</f>
        <v/>
      </c>
      <c r="Y1572" s="3">
        <f>IF(ISNUMBER(AVERAGE('20250815_ETF_Options_Exhibits'!Y1568:Y1572)),AVERAGE('20250815_ETF_Options_Exhibits'!Y1568:Y1572),"")</f>
        <v/>
      </c>
      <c r="Z1572" s="3">
        <f>IF(ISNUMBER(AVERAGE('20250815_ETF_Options_Exhibits'!Z1568:Z1572)),AVERAGE('20250815_ETF_Options_Exhibits'!Z1568:Z1572),"")</f>
        <v/>
      </c>
      <c r="AA1572" s="3">
        <f>IF(ISNUMBER(AVERAGE('20250815_ETF_Options_Exhibits'!AA1568:AA1572)),AVERAGE('20250815_ETF_Options_Exhibits'!AA1568:AA1572),"")</f>
        <v/>
      </c>
    </row>
    <row r="1573">
      <c r="A1573" s="1" t="n">
        <v>44285</v>
      </c>
      <c r="B1573" s="3">
        <f>IF(ISNUMBER(AVERAGE('20250815_ETF_Options_Exhibits'!B1569:B1573)),AVERAGE('20250815_ETF_Options_Exhibits'!B1569:B1573),"")</f>
        <v/>
      </c>
      <c r="C1573" s="3">
        <f>IF(ISNUMBER(AVERAGE('20250815_ETF_Options_Exhibits'!C1569:C1573)),AVERAGE('20250815_ETF_Options_Exhibits'!C1569:C1573),"")</f>
        <v/>
      </c>
      <c r="D1573" s="3">
        <f>IF(ISNUMBER(AVERAGE('20250815_ETF_Options_Exhibits'!D1569:D1573)),AVERAGE('20250815_ETF_Options_Exhibits'!D1569:D1573),"")</f>
        <v/>
      </c>
      <c r="E1573" s="3">
        <f>IF(ISNUMBER(AVERAGE('20250815_ETF_Options_Exhibits'!E1569:E1573)),AVERAGE('20250815_ETF_Options_Exhibits'!E1569:E1573),"")</f>
        <v/>
      </c>
      <c r="F1573" s="3">
        <f>IF(ISNUMBER(AVERAGE('20250815_ETF_Options_Exhibits'!F1569:F1573)),AVERAGE('20250815_ETF_Options_Exhibits'!F1569:F1573),"")</f>
        <v/>
      </c>
      <c r="G1573" s="3">
        <f>IF(ISNUMBER(AVERAGE('20250815_ETF_Options_Exhibits'!G1569:G1573)),AVERAGE('20250815_ETF_Options_Exhibits'!G1569:G1573),"")</f>
        <v/>
      </c>
      <c r="H1573" s="3">
        <f>IF(ISNUMBER(AVERAGE('20250815_ETF_Options_Exhibits'!H1569:H1573)),AVERAGE('20250815_ETF_Options_Exhibits'!H1569:H1573),"")</f>
        <v/>
      </c>
      <c r="I1573" s="3">
        <f>IF(ISNUMBER(AVERAGE('20250815_ETF_Options_Exhibits'!I1569:I1573)),AVERAGE('20250815_ETF_Options_Exhibits'!I1569:I1573),"")</f>
        <v/>
      </c>
      <c r="J1573" s="3">
        <f>IF(ISNUMBER(AVERAGE('20250815_ETF_Options_Exhibits'!J1569:J1573)),AVERAGE('20250815_ETF_Options_Exhibits'!J1569:J1573),"")</f>
        <v/>
      </c>
      <c r="K1573" s="3">
        <f>IF(ISNUMBER(AVERAGE('20250815_ETF_Options_Exhibits'!K1569:K1573)),AVERAGE('20250815_ETF_Options_Exhibits'!K1569:K1573),"")</f>
        <v/>
      </c>
      <c r="L1573" s="3">
        <f>IF(ISNUMBER(AVERAGE('20250815_ETF_Options_Exhibits'!L1569:L1573)),AVERAGE('20250815_ETF_Options_Exhibits'!L1569:L1573),"")</f>
        <v/>
      </c>
      <c r="M1573" s="3">
        <f>IF(ISNUMBER(AVERAGE('20250815_ETF_Options_Exhibits'!M1569:M1573)),AVERAGE('20250815_ETF_Options_Exhibits'!M1569:M1573),"")</f>
        <v/>
      </c>
      <c r="N1573" s="3">
        <f>IF(ISNUMBER(AVERAGE('20250815_ETF_Options_Exhibits'!N1569:N1573)),AVERAGE('20250815_ETF_Options_Exhibits'!N1569:N1573),"")</f>
        <v/>
      </c>
      <c r="O1573" s="3">
        <f>IF(ISNUMBER(AVERAGE('20250815_ETF_Options_Exhibits'!O1569:O1573)),AVERAGE('20250815_ETF_Options_Exhibits'!O1569:O1573),"")</f>
        <v/>
      </c>
      <c r="P1573" s="3">
        <f>IF(ISNUMBER(AVERAGE('20250815_ETF_Options_Exhibits'!P1569:P1573)),AVERAGE('20250815_ETF_Options_Exhibits'!P1569:P1573),"")</f>
        <v/>
      </c>
      <c r="Q1573" s="3">
        <f>IF(ISNUMBER(AVERAGE('20250815_ETF_Options_Exhibits'!Q1569:Q1573)),AVERAGE('20250815_ETF_Options_Exhibits'!Q1569:Q1573),"")</f>
        <v/>
      </c>
      <c r="R1573" s="3">
        <f>IF(ISNUMBER(AVERAGE('20250815_ETF_Options_Exhibits'!R1569:R1573)),AVERAGE('20250815_ETF_Options_Exhibits'!R1569:R1573),"")</f>
        <v/>
      </c>
      <c r="S1573" s="3">
        <f>IF(ISNUMBER(AVERAGE('20250815_ETF_Options_Exhibits'!S1569:S1573)),AVERAGE('20250815_ETF_Options_Exhibits'!S1569:S1573),"")</f>
        <v/>
      </c>
      <c r="T1573" s="3">
        <f>IF(ISNUMBER(AVERAGE('20250815_ETF_Options_Exhibits'!T1569:T1573)),AVERAGE('20250815_ETF_Options_Exhibits'!T1569:T1573),"")</f>
        <v/>
      </c>
      <c r="U1573" s="3">
        <f>IF(ISNUMBER(AVERAGE('20250815_ETF_Options_Exhibits'!U1569:U1573)),AVERAGE('20250815_ETF_Options_Exhibits'!U1569:U1573),"")</f>
        <v/>
      </c>
      <c r="V1573" s="3">
        <f>IF(ISNUMBER(AVERAGE('20250815_ETF_Options_Exhibits'!V1569:V1573)),AVERAGE('20250815_ETF_Options_Exhibits'!V1569:V1573),"")</f>
        <v/>
      </c>
      <c r="W1573" s="3">
        <f>IF(ISNUMBER(AVERAGE('20250815_ETF_Options_Exhibits'!W1569:W1573)),AVERAGE('20250815_ETF_Options_Exhibits'!W1569:W1573),"")</f>
        <v/>
      </c>
      <c r="X1573" s="3">
        <f>IF(ISNUMBER(AVERAGE('20250815_ETF_Options_Exhibits'!X1569:X1573)),AVERAGE('20250815_ETF_Options_Exhibits'!X1569:X1573),"")</f>
        <v/>
      </c>
      <c r="Y1573" s="3">
        <f>IF(ISNUMBER(AVERAGE('20250815_ETF_Options_Exhibits'!Y1569:Y1573)),AVERAGE('20250815_ETF_Options_Exhibits'!Y1569:Y1573),"")</f>
        <v/>
      </c>
      <c r="Z1573" s="3">
        <f>IF(ISNUMBER(AVERAGE('20250815_ETF_Options_Exhibits'!Z1569:Z1573)),AVERAGE('20250815_ETF_Options_Exhibits'!Z1569:Z1573),"")</f>
        <v/>
      </c>
      <c r="AA1573" s="3">
        <f>IF(ISNUMBER(AVERAGE('20250815_ETF_Options_Exhibits'!AA1569:AA1573)),AVERAGE('20250815_ETF_Options_Exhibits'!AA1569:AA1573),"")</f>
        <v/>
      </c>
    </row>
    <row r="1574">
      <c r="A1574" s="1" t="n">
        <v>44286</v>
      </c>
      <c r="B1574" s="3">
        <f>IF(ISNUMBER(AVERAGE('20250815_ETF_Options_Exhibits'!B1570:B1574)),AVERAGE('20250815_ETF_Options_Exhibits'!B1570:B1574),"")</f>
        <v/>
      </c>
      <c r="C1574" s="3">
        <f>IF(ISNUMBER(AVERAGE('20250815_ETF_Options_Exhibits'!C1570:C1574)),AVERAGE('20250815_ETF_Options_Exhibits'!C1570:C1574),"")</f>
        <v/>
      </c>
      <c r="D1574" s="3">
        <f>IF(ISNUMBER(AVERAGE('20250815_ETF_Options_Exhibits'!D1570:D1574)),AVERAGE('20250815_ETF_Options_Exhibits'!D1570:D1574),"")</f>
        <v/>
      </c>
      <c r="E1574" s="3">
        <f>IF(ISNUMBER(AVERAGE('20250815_ETF_Options_Exhibits'!E1570:E1574)),AVERAGE('20250815_ETF_Options_Exhibits'!E1570:E1574),"")</f>
        <v/>
      </c>
      <c r="F1574" s="3">
        <f>IF(ISNUMBER(AVERAGE('20250815_ETF_Options_Exhibits'!F1570:F1574)),AVERAGE('20250815_ETF_Options_Exhibits'!F1570:F1574),"")</f>
        <v/>
      </c>
      <c r="G1574" s="3">
        <f>IF(ISNUMBER(AVERAGE('20250815_ETF_Options_Exhibits'!G1570:G1574)),AVERAGE('20250815_ETF_Options_Exhibits'!G1570:G1574),"")</f>
        <v/>
      </c>
      <c r="H1574" s="3">
        <f>IF(ISNUMBER(AVERAGE('20250815_ETF_Options_Exhibits'!H1570:H1574)),AVERAGE('20250815_ETF_Options_Exhibits'!H1570:H1574),"")</f>
        <v/>
      </c>
      <c r="I1574" s="3">
        <f>IF(ISNUMBER(AVERAGE('20250815_ETF_Options_Exhibits'!I1570:I1574)),AVERAGE('20250815_ETF_Options_Exhibits'!I1570:I1574),"")</f>
        <v/>
      </c>
      <c r="J1574" s="3">
        <f>IF(ISNUMBER(AVERAGE('20250815_ETF_Options_Exhibits'!J1570:J1574)),AVERAGE('20250815_ETF_Options_Exhibits'!J1570:J1574),"")</f>
        <v/>
      </c>
      <c r="K1574" s="3">
        <f>IF(ISNUMBER(AVERAGE('20250815_ETF_Options_Exhibits'!K1570:K1574)),AVERAGE('20250815_ETF_Options_Exhibits'!K1570:K1574),"")</f>
        <v/>
      </c>
      <c r="L1574" s="3">
        <f>IF(ISNUMBER(AVERAGE('20250815_ETF_Options_Exhibits'!L1570:L1574)),AVERAGE('20250815_ETF_Options_Exhibits'!L1570:L1574),"")</f>
        <v/>
      </c>
      <c r="M1574" s="3">
        <f>IF(ISNUMBER(AVERAGE('20250815_ETF_Options_Exhibits'!M1570:M1574)),AVERAGE('20250815_ETF_Options_Exhibits'!M1570:M1574),"")</f>
        <v/>
      </c>
      <c r="N1574" s="3">
        <f>IF(ISNUMBER(AVERAGE('20250815_ETF_Options_Exhibits'!N1570:N1574)),AVERAGE('20250815_ETF_Options_Exhibits'!N1570:N1574),"")</f>
        <v/>
      </c>
      <c r="O1574" s="3">
        <f>IF(ISNUMBER(AVERAGE('20250815_ETF_Options_Exhibits'!O1570:O1574)),AVERAGE('20250815_ETF_Options_Exhibits'!O1570:O1574),"")</f>
        <v/>
      </c>
      <c r="P1574" s="3">
        <f>IF(ISNUMBER(AVERAGE('20250815_ETF_Options_Exhibits'!P1570:P1574)),AVERAGE('20250815_ETF_Options_Exhibits'!P1570:P1574),"")</f>
        <v/>
      </c>
      <c r="Q1574" s="3">
        <f>IF(ISNUMBER(AVERAGE('20250815_ETF_Options_Exhibits'!Q1570:Q1574)),AVERAGE('20250815_ETF_Options_Exhibits'!Q1570:Q1574),"")</f>
        <v/>
      </c>
      <c r="R1574" s="3">
        <f>IF(ISNUMBER(AVERAGE('20250815_ETF_Options_Exhibits'!R1570:R1574)),AVERAGE('20250815_ETF_Options_Exhibits'!R1570:R1574),"")</f>
        <v/>
      </c>
      <c r="S1574" s="3">
        <f>IF(ISNUMBER(AVERAGE('20250815_ETF_Options_Exhibits'!S1570:S1574)),AVERAGE('20250815_ETF_Options_Exhibits'!S1570:S1574),"")</f>
        <v/>
      </c>
      <c r="T1574" s="3">
        <f>IF(ISNUMBER(AVERAGE('20250815_ETF_Options_Exhibits'!T1570:T1574)),AVERAGE('20250815_ETF_Options_Exhibits'!T1570:T1574),"")</f>
        <v/>
      </c>
      <c r="U1574" s="3">
        <f>IF(ISNUMBER(AVERAGE('20250815_ETF_Options_Exhibits'!U1570:U1574)),AVERAGE('20250815_ETF_Options_Exhibits'!U1570:U1574),"")</f>
        <v/>
      </c>
      <c r="V1574" s="3">
        <f>IF(ISNUMBER(AVERAGE('20250815_ETF_Options_Exhibits'!V1570:V1574)),AVERAGE('20250815_ETF_Options_Exhibits'!V1570:V1574),"")</f>
        <v/>
      </c>
      <c r="W1574" s="3">
        <f>IF(ISNUMBER(AVERAGE('20250815_ETF_Options_Exhibits'!W1570:W1574)),AVERAGE('20250815_ETF_Options_Exhibits'!W1570:W1574),"")</f>
        <v/>
      </c>
      <c r="X1574" s="3">
        <f>IF(ISNUMBER(AVERAGE('20250815_ETF_Options_Exhibits'!X1570:X1574)),AVERAGE('20250815_ETF_Options_Exhibits'!X1570:X1574),"")</f>
        <v/>
      </c>
      <c r="Y1574" s="3">
        <f>IF(ISNUMBER(AVERAGE('20250815_ETF_Options_Exhibits'!Y1570:Y1574)),AVERAGE('20250815_ETF_Options_Exhibits'!Y1570:Y1574),"")</f>
        <v/>
      </c>
      <c r="Z1574" s="3">
        <f>IF(ISNUMBER(AVERAGE('20250815_ETF_Options_Exhibits'!Z1570:Z1574)),AVERAGE('20250815_ETF_Options_Exhibits'!Z1570:Z1574),"")</f>
        <v/>
      </c>
      <c r="AA1574" s="3">
        <f>IF(ISNUMBER(AVERAGE('20250815_ETF_Options_Exhibits'!AA1570:AA1574)),AVERAGE('20250815_ETF_Options_Exhibits'!AA1570:AA1574),"")</f>
        <v/>
      </c>
    </row>
    <row r="1575">
      <c r="A1575" s="1" t="n">
        <v>44287</v>
      </c>
      <c r="B1575" s="3">
        <f>IF(ISNUMBER(AVERAGE('20250815_ETF_Options_Exhibits'!B1571:B1575)),AVERAGE('20250815_ETF_Options_Exhibits'!B1571:B1575),"")</f>
        <v/>
      </c>
      <c r="C1575" s="3">
        <f>IF(ISNUMBER(AVERAGE('20250815_ETF_Options_Exhibits'!C1571:C1575)),AVERAGE('20250815_ETF_Options_Exhibits'!C1571:C1575),"")</f>
        <v/>
      </c>
      <c r="D1575" s="3">
        <f>IF(ISNUMBER(AVERAGE('20250815_ETF_Options_Exhibits'!D1571:D1575)),AVERAGE('20250815_ETF_Options_Exhibits'!D1571:D1575),"")</f>
        <v/>
      </c>
      <c r="E1575" s="3">
        <f>IF(ISNUMBER(AVERAGE('20250815_ETF_Options_Exhibits'!E1571:E1575)),AVERAGE('20250815_ETF_Options_Exhibits'!E1571:E1575),"")</f>
        <v/>
      </c>
      <c r="F1575" s="3">
        <f>IF(ISNUMBER(AVERAGE('20250815_ETF_Options_Exhibits'!F1571:F1575)),AVERAGE('20250815_ETF_Options_Exhibits'!F1571:F1575),"")</f>
        <v/>
      </c>
      <c r="G1575" s="3">
        <f>IF(ISNUMBER(AVERAGE('20250815_ETF_Options_Exhibits'!G1571:G1575)),AVERAGE('20250815_ETF_Options_Exhibits'!G1571:G1575),"")</f>
        <v/>
      </c>
      <c r="H1575" s="3">
        <f>IF(ISNUMBER(AVERAGE('20250815_ETF_Options_Exhibits'!H1571:H1575)),AVERAGE('20250815_ETF_Options_Exhibits'!H1571:H1575),"")</f>
        <v/>
      </c>
      <c r="I1575" s="3">
        <f>IF(ISNUMBER(AVERAGE('20250815_ETF_Options_Exhibits'!I1571:I1575)),AVERAGE('20250815_ETF_Options_Exhibits'!I1571:I1575),"")</f>
        <v/>
      </c>
      <c r="J1575" s="3">
        <f>IF(ISNUMBER(AVERAGE('20250815_ETF_Options_Exhibits'!J1571:J1575)),AVERAGE('20250815_ETF_Options_Exhibits'!J1571:J1575),"")</f>
        <v/>
      </c>
      <c r="K1575" s="3">
        <f>IF(ISNUMBER(AVERAGE('20250815_ETF_Options_Exhibits'!K1571:K1575)),AVERAGE('20250815_ETF_Options_Exhibits'!K1571:K1575),"")</f>
        <v/>
      </c>
      <c r="L1575" s="3">
        <f>IF(ISNUMBER(AVERAGE('20250815_ETF_Options_Exhibits'!L1571:L1575)),AVERAGE('20250815_ETF_Options_Exhibits'!L1571:L1575),"")</f>
        <v/>
      </c>
      <c r="M1575" s="3">
        <f>IF(ISNUMBER(AVERAGE('20250815_ETF_Options_Exhibits'!M1571:M1575)),AVERAGE('20250815_ETF_Options_Exhibits'!M1571:M1575),"")</f>
        <v/>
      </c>
      <c r="N1575" s="3">
        <f>IF(ISNUMBER(AVERAGE('20250815_ETF_Options_Exhibits'!N1571:N1575)),AVERAGE('20250815_ETF_Options_Exhibits'!N1571:N1575),"")</f>
        <v/>
      </c>
      <c r="O1575" s="3">
        <f>IF(ISNUMBER(AVERAGE('20250815_ETF_Options_Exhibits'!O1571:O1575)),AVERAGE('20250815_ETF_Options_Exhibits'!O1571:O1575),"")</f>
        <v/>
      </c>
      <c r="P1575" s="3">
        <f>IF(ISNUMBER(AVERAGE('20250815_ETF_Options_Exhibits'!P1571:P1575)),AVERAGE('20250815_ETF_Options_Exhibits'!P1571:P1575),"")</f>
        <v/>
      </c>
      <c r="Q1575" s="3">
        <f>IF(ISNUMBER(AVERAGE('20250815_ETF_Options_Exhibits'!Q1571:Q1575)),AVERAGE('20250815_ETF_Options_Exhibits'!Q1571:Q1575),"")</f>
        <v/>
      </c>
      <c r="R1575" s="3">
        <f>IF(ISNUMBER(AVERAGE('20250815_ETF_Options_Exhibits'!R1571:R1575)),AVERAGE('20250815_ETF_Options_Exhibits'!R1571:R1575),"")</f>
        <v/>
      </c>
      <c r="S1575" s="3">
        <f>IF(ISNUMBER(AVERAGE('20250815_ETF_Options_Exhibits'!S1571:S1575)),AVERAGE('20250815_ETF_Options_Exhibits'!S1571:S1575),"")</f>
        <v/>
      </c>
      <c r="T1575" s="3">
        <f>IF(ISNUMBER(AVERAGE('20250815_ETF_Options_Exhibits'!T1571:T1575)),AVERAGE('20250815_ETF_Options_Exhibits'!T1571:T1575),"")</f>
        <v/>
      </c>
      <c r="U1575" s="3">
        <f>IF(ISNUMBER(AVERAGE('20250815_ETF_Options_Exhibits'!U1571:U1575)),AVERAGE('20250815_ETF_Options_Exhibits'!U1571:U1575),"")</f>
        <v/>
      </c>
      <c r="V1575" s="3">
        <f>IF(ISNUMBER(AVERAGE('20250815_ETF_Options_Exhibits'!V1571:V1575)),AVERAGE('20250815_ETF_Options_Exhibits'!V1571:V1575),"")</f>
        <v/>
      </c>
      <c r="W1575" s="3">
        <f>IF(ISNUMBER(AVERAGE('20250815_ETF_Options_Exhibits'!W1571:W1575)),AVERAGE('20250815_ETF_Options_Exhibits'!W1571:W1575),"")</f>
        <v/>
      </c>
      <c r="X1575" s="3">
        <f>IF(ISNUMBER(AVERAGE('20250815_ETF_Options_Exhibits'!X1571:X1575)),AVERAGE('20250815_ETF_Options_Exhibits'!X1571:X1575),"")</f>
        <v/>
      </c>
      <c r="Y1575" s="3">
        <f>IF(ISNUMBER(AVERAGE('20250815_ETF_Options_Exhibits'!Y1571:Y1575)),AVERAGE('20250815_ETF_Options_Exhibits'!Y1571:Y1575),"")</f>
        <v/>
      </c>
      <c r="Z1575" s="3">
        <f>IF(ISNUMBER(AVERAGE('20250815_ETF_Options_Exhibits'!Z1571:Z1575)),AVERAGE('20250815_ETF_Options_Exhibits'!Z1571:Z1575),"")</f>
        <v/>
      </c>
      <c r="AA1575" s="3">
        <f>IF(ISNUMBER(AVERAGE('20250815_ETF_Options_Exhibits'!AA1571:AA1575)),AVERAGE('20250815_ETF_Options_Exhibits'!AA1571:AA1575),"")</f>
        <v/>
      </c>
    </row>
    <row r="1576">
      <c r="A1576" s="1" t="n">
        <v>44291</v>
      </c>
      <c r="B1576" s="3">
        <f>IF(ISNUMBER(AVERAGE('20250815_ETF_Options_Exhibits'!B1572:B1576)),AVERAGE('20250815_ETF_Options_Exhibits'!B1572:B1576),"")</f>
        <v/>
      </c>
      <c r="C1576" s="3">
        <f>IF(ISNUMBER(AVERAGE('20250815_ETF_Options_Exhibits'!C1572:C1576)),AVERAGE('20250815_ETF_Options_Exhibits'!C1572:C1576),"")</f>
        <v/>
      </c>
      <c r="D1576" s="3">
        <f>IF(ISNUMBER(AVERAGE('20250815_ETF_Options_Exhibits'!D1572:D1576)),AVERAGE('20250815_ETF_Options_Exhibits'!D1572:D1576),"")</f>
        <v/>
      </c>
      <c r="E1576" s="3">
        <f>IF(ISNUMBER(AVERAGE('20250815_ETF_Options_Exhibits'!E1572:E1576)),AVERAGE('20250815_ETF_Options_Exhibits'!E1572:E1576),"")</f>
        <v/>
      </c>
      <c r="F1576" s="3">
        <f>IF(ISNUMBER(AVERAGE('20250815_ETF_Options_Exhibits'!F1572:F1576)),AVERAGE('20250815_ETF_Options_Exhibits'!F1572:F1576),"")</f>
        <v/>
      </c>
      <c r="G1576" s="3">
        <f>IF(ISNUMBER(AVERAGE('20250815_ETF_Options_Exhibits'!G1572:G1576)),AVERAGE('20250815_ETF_Options_Exhibits'!G1572:G1576),"")</f>
        <v/>
      </c>
      <c r="H1576" s="3">
        <f>IF(ISNUMBER(AVERAGE('20250815_ETF_Options_Exhibits'!H1572:H1576)),AVERAGE('20250815_ETF_Options_Exhibits'!H1572:H1576),"")</f>
        <v/>
      </c>
      <c r="I1576" s="3">
        <f>IF(ISNUMBER(AVERAGE('20250815_ETF_Options_Exhibits'!I1572:I1576)),AVERAGE('20250815_ETF_Options_Exhibits'!I1572:I1576),"")</f>
        <v/>
      </c>
      <c r="J1576" s="3">
        <f>IF(ISNUMBER(AVERAGE('20250815_ETF_Options_Exhibits'!J1572:J1576)),AVERAGE('20250815_ETF_Options_Exhibits'!J1572:J1576),"")</f>
        <v/>
      </c>
      <c r="K1576" s="3">
        <f>IF(ISNUMBER(AVERAGE('20250815_ETF_Options_Exhibits'!K1572:K1576)),AVERAGE('20250815_ETF_Options_Exhibits'!K1572:K1576),"")</f>
        <v/>
      </c>
      <c r="L1576" s="3">
        <f>IF(ISNUMBER(AVERAGE('20250815_ETF_Options_Exhibits'!L1572:L1576)),AVERAGE('20250815_ETF_Options_Exhibits'!L1572:L1576),"")</f>
        <v/>
      </c>
      <c r="M1576" s="3">
        <f>IF(ISNUMBER(AVERAGE('20250815_ETF_Options_Exhibits'!M1572:M1576)),AVERAGE('20250815_ETF_Options_Exhibits'!M1572:M1576),"")</f>
        <v/>
      </c>
      <c r="N1576" s="3">
        <f>IF(ISNUMBER(AVERAGE('20250815_ETF_Options_Exhibits'!N1572:N1576)),AVERAGE('20250815_ETF_Options_Exhibits'!N1572:N1576),"")</f>
        <v/>
      </c>
      <c r="O1576" s="3">
        <f>IF(ISNUMBER(AVERAGE('20250815_ETF_Options_Exhibits'!O1572:O1576)),AVERAGE('20250815_ETF_Options_Exhibits'!O1572:O1576),"")</f>
        <v/>
      </c>
      <c r="P1576" s="3">
        <f>IF(ISNUMBER(AVERAGE('20250815_ETF_Options_Exhibits'!P1572:P1576)),AVERAGE('20250815_ETF_Options_Exhibits'!P1572:P1576),"")</f>
        <v/>
      </c>
      <c r="Q1576" s="3">
        <f>IF(ISNUMBER(AVERAGE('20250815_ETF_Options_Exhibits'!Q1572:Q1576)),AVERAGE('20250815_ETF_Options_Exhibits'!Q1572:Q1576),"")</f>
        <v/>
      </c>
      <c r="R1576" s="3">
        <f>IF(ISNUMBER(AVERAGE('20250815_ETF_Options_Exhibits'!R1572:R1576)),AVERAGE('20250815_ETF_Options_Exhibits'!R1572:R1576),"")</f>
        <v/>
      </c>
      <c r="S1576" s="3">
        <f>IF(ISNUMBER(AVERAGE('20250815_ETF_Options_Exhibits'!S1572:S1576)),AVERAGE('20250815_ETF_Options_Exhibits'!S1572:S1576),"")</f>
        <v/>
      </c>
      <c r="T1576" s="3">
        <f>IF(ISNUMBER(AVERAGE('20250815_ETF_Options_Exhibits'!T1572:T1576)),AVERAGE('20250815_ETF_Options_Exhibits'!T1572:T1576),"")</f>
        <v/>
      </c>
      <c r="U1576" s="3">
        <f>IF(ISNUMBER(AVERAGE('20250815_ETF_Options_Exhibits'!U1572:U1576)),AVERAGE('20250815_ETF_Options_Exhibits'!U1572:U1576),"")</f>
        <v/>
      </c>
      <c r="V1576" s="3">
        <f>IF(ISNUMBER(AVERAGE('20250815_ETF_Options_Exhibits'!V1572:V1576)),AVERAGE('20250815_ETF_Options_Exhibits'!V1572:V1576),"")</f>
        <v/>
      </c>
      <c r="W1576" s="3">
        <f>IF(ISNUMBER(AVERAGE('20250815_ETF_Options_Exhibits'!W1572:W1576)),AVERAGE('20250815_ETF_Options_Exhibits'!W1572:W1576),"")</f>
        <v/>
      </c>
      <c r="X1576" s="3">
        <f>IF(ISNUMBER(AVERAGE('20250815_ETF_Options_Exhibits'!X1572:X1576)),AVERAGE('20250815_ETF_Options_Exhibits'!X1572:X1576),"")</f>
        <v/>
      </c>
      <c r="Y1576" s="3">
        <f>IF(ISNUMBER(AVERAGE('20250815_ETF_Options_Exhibits'!Y1572:Y1576)),AVERAGE('20250815_ETF_Options_Exhibits'!Y1572:Y1576),"")</f>
        <v/>
      </c>
      <c r="Z1576" s="3">
        <f>IF(ISNUMBER(AVERAGE('20250815_ETF_Options_Exhibits'!Z1572:Z1576)),AVERAGE('20250815_ETF_Options_Exhibits'!Z1572:Z1576),"")</f>
        <v/>
      </c>
      <c r="AA1576" s="3">
        <f>IF(ISNUMBER(AVERAGE('20250815_ETF_Options_Exhibits'!AA1572:AA1576)),AVERAGE('20250815_ETF_Options_Exhibits'!AA1572:AA1576),"")</f>
        <v/>
      </c>
    </row>
    <row r="1577">
      <c r="A1577" s="1" t="n">
        <v>44292</v>
      </c>
      <c r="B1577" s="3">
        <f>IF(ISNUMBER(AVERAGE('20250815_ETF_Options_Exhibits'!B1573:B1577)),AVERAGE('20250815_ETF_Options_Exhibits'!B1573:B1577),"")</f>
        <v/>
      </c>
      <c r="C1577" s="3">
        <f>IF(ISNUMBER(AVERAGE('20250815_ETF_Options_Exhibits'!C1573:C1577)),AVERAGE('20250815_ETF_Options_Exhibits'!C1573:C1577),"")</f>
        <v/>
      </c>
      <c r="D1577" s="3">
        <f>IF(ISNUMBER(AVERAGE('20250815_ETF_Options_Exhibits'!D1573:D1577)),AVERAGE('20250815_ETF_Options_Exhibits'!D1573:D1577),"")</f>
        <v/>
      </c>
      <c r="E1577" s="3">
        <f>IF(ISNUMBER(AVERAGE('20250815_ETF_Options_Exhibits'!E1573:E1577)),AVERAGE('20250815_ETF_Options_Exhibits'!E1573:E1577),"")</f>
        <v/>
      </c>
      <c r="F1577" s="3">
        <f>IF(ISNUMBER(AVERAGE('20250815_ETF_Options_Exhibits'!F1573:F1577)),AVERAGE('20250815_ETF_Options_Exhibits'!F1573:F1577),"")</f>
        <v/>
      </c>
      <c r="G1577" s="3">
        <f>IF(ISNUMBER(AVERAGE('20250815_ETF_Options_Exhibits'!G1573:G1577)),AVERAGE('20250815_ETF_Options_Exhibits'!G1573:G1577),"")</f>
        <v/>
      </c>
      <c r="H1577" s="3">
        <f>IF(ISNUMBER(AVERAGE('20250815_ETF_Options_Exhibits'!H1573:H1577)),AVERAGE('20250815_ETF_Options_Exhibits'!H1573:H1577),"")</f>
        <v/>
      </c>
      <c r="I1577" s="3">
        <f>IF(ISNUMBER(AVERAGE('20250815_ETF_Options_Exhibits'!I1573:I1577)),AVERAGE('20250815_ETF_Options_Exhibits'!I1573:I1577),"")</f>
        <v/>
      </c>
      <c r="J1577" s="3">
        <f>IF(ISNUMBER(AVERAGE('20250815_ETF_Options_Exhibits'!J1573:J1577)),AVERAGE('20250815_ETF_Options_Exhibits'!J1573:J1577),"")</f>
        <v/>
      </c>
      <c r="K1577" s="3">
        <f>IF(ISNUMBER(AVERAGE('20250815_ETF_Options_Exhibits'!K1573:K1577)),AVERAGE('20250815_ETF_Options_Exhibits'!K1573:K1577),"")</f>
        <v/>
      </c>
      <c r="L1577" s="3">
        <f>IF(ISNUMBER(AVERAGE('20250815_ETF_Options_Exhibits'!L1573:L1577)),AVERAGE('20250815_ETF_Options_Exhibits'!L1573:L1577),"")</f>
        <v/>
      </c>
      <c r="M1577" s="3">
        <f>IF(ISNUMBER(AVERAGE('20250815_ETF_Options_Exhibits'!M1573:M1577)),AVERAGE('20250815_ETF_Options_Exhibits'!M1573:M1577),"")</f>
        <v/>
      </c>
      <c r="N1577" s="3">
        <f>IF(ISNUMBER(AVERAGE('20250815_ETF_Options_Exhibits'!N1573:N1577)),AVERAGE('20250815_ETF_Options_Exhibits'!N1573:N1577),"")</f>
        <v/>
      </c>
      <c r="O1577" s="3">
        <f>IF(ISNUMBER(AVERAGE('20250815_ETF_Options_Exhibits'!O1573:O1577)),AVERAGE('20250815_ETF_Options_Exhibits'!O1573:O1577),"")</f>
        <v/>
      </c>
      <c r="P1577" s="3">
        <f>IF(ISNUMBER(AVERAGE('20250815_ETF_Options_Exhibits'!P1573:P1577)),AVERAGE('20250815_ETF_Options_Exhibits'!P1573:P1577),"")</f>
        <v/>
      </c>
      <c r="Q1577" s="3">
        <f>IF(ISNUMBER(AVERAGE('20250815_ETF_Options_Exhibits'!Q1573:Q1577)),AVERAGE('20250815_ETF_Options_Exhibits'!Q1573:Q1577),"")</f>
        <v/>
      </c>
      <c r="R1577" s="3">
        <f>IF(ISNUMBER(AVERAGE('20250815_ETF_Options_Exhibits'!R1573:R1577)),AVERAGE('20250815_ETF_Options_Exhibits'!R1573:R1577),"")</f>
        <v/>
      </c>
      <c r="S1577" s="3">
        <f>IF(ISNUMBER(AVERAGE('20250815_ETF_Options_Exhibits'!S1573:S1577)),AVERAGE('20250815_ETF_Options_Exhibits'!S1573:S1577),"")</f>
        <v/>
      </c>
      <c r="T1577" s="3">
        <f>IF(ISNUMBER(AVERAGE('20250815_ETF_Options_Exhibits'!T1573:T1577)),AVERAGE('20250815_ETF_Options_Exhibits'!T1573:T1577),"")</f>
        <v/>
      </c>
      <c r="U1577" s="3">
        <f>IF(ISNUMBER(AVERAGE('20250815_ETF_Options_Exhibits'!U1573:U1577)),AVERAGE('20250815_ETF_Options_Exhibits'!U1573:U1577),"")</f>
        <v/>
      </c>
      <c r="V1577" s="3">
        <f>IF(ISNUMBER(AVERAGE('20250815_ETF_Options_Exhibits'!V1573:V1577)),AVERAGE('20250815_ETF_Options_Exhibits'!V1573:V1577),"")</f>
        <v/>
      </c>
      <c r="W1577" s="3">
        <f>IF(ISNUMBER(AVERAGE('20250815_ETF_Options_Exhibits'!W1573:W1577)),AVERAGE('20250815_ETF_Options_Exhibits'!W1573:W1577),"")</f>
        <v/>
      </c>
      <c r="X1577" s="3">
        <f>IF(ISNUMBER(AVERAGE('20250815_ETF_Options_Exhibits'!X1573:X1577)),AVERAGE('20250815_ETF_Options_Exhibits'!X1573:X1577),"")</f>
        <v/>
      </c>
      <c r="Y1577" s="3">
        <f>IF(ISNUMBER(AVERAGE('20250815_ETF_Options_Exhibits'!Y1573:Y1577)),AVERAGE('20250815_ETF_Options_Exhibits'!Y1573:Y1577),"")</f>
        <v/>
      </c>
      <c r="Z1577" s="3">
        <f>IF(ISNUMBER(AVERAGE('20250815_ETF_Options_Exhibits'!Z1573:Z1577)),AVERAGE('20250815_ETF_Options_Exhibits'!Z1573:Z1577),"")</f>
        <v/>
      </c>
      <c r="AA1577" s="3">
        <f>IF(ISNUMBER(AVERAGE('20250815_ETF_Options_Exhibits'!AA1573:AA1577)),AVERAGE('20250815_ETF_Options_Exhibits'!AA1573:AA1577),"")</f>
        <v/>
      </c>
    </row>
    <row r="1578">
      <c r="A1578" s="1" t="n">
        <v>44293</v>
      </c>
      <c r="B1578" s="3">
        <f>IF(ISNUMBER(AVERAGE('20250815_ETF_Options_Exhibits'!B1574:B1578)),AVERAGE('20250815_ETF_Options_Exhibits'!B1574:B1578),"")</f>
        <v/>
      </c>
      <c r="C1578" s="3">
        <f>IF(ISNUMBER(AVERAGE('20250815_ETF_Options_Exhibits'!C1574:C1578)),AVERAGE('20250815_ETF_Options_Exhibits'!C1574:C1578),"")</f>
        <v/>
      </c>
      <c r="D1578" s="3">
        <f>IF(ISNUMBER(AVERAGE('20250815_ETF_Options_Exhibits'!D1574:D1578)),AVERAGE('20250815_ETF_Options_Exhibits'!D1574:D1578),"")</f>
        <v/>
      </c>
      <c r="E1578" s="3">
        <f>IF(ISNUMBER(AVERAGE('20250815_ETF_Options_Exhibits'!E1574:E1578)),AVERAGE('20250815_ETF_Options_Exhibits'!E1574:E1578),"")</f>
        <v/>
      </c>
      <c r="F1578" s="3">
        <f>IF(ISNUMBER(AVERAGE('20250815_ETF_Options_Exhibits'!F1574:F1578)),AVERAGE('20250815_ETF_Options_Exhibits'!F1574:F1578),"")</f>
        <v/>
      </c>
      <c r="G1578" s="3">
        <f>IF(ISNUMBER(AVERAGE('20250815_ETF_Options_Exhibits'!G1574:G1578)),AVERAGE('20250815_ETF_Options_Exhibits'!G1574:G1578),"")</f>
        <v/>
      </c>
      <c r="H1578" s="3">
        <f>IF(ISNUMBER(AVERAGE('20250815_ETF_Options_Exhibits'!H1574:H1578)),AVERAGE('20250815_ETF_Options_Exhibits'!H1574:H1578),"")</f>
        <v/>
      </c>
      <c r="I1578" s="3">
        <f>IF(ISNUMBER(AVERAGE('20250815_ETF_Options_Exhibits'!I1574:I1578)),AVERAGE('20250815_ETF_Options_Exhibits'!I1574:I1578),"")</f>
        <v/>
      </c>
      <c r="J1578" s="3">
        <f>IF(ISNUMBER(AVERAGE('20250815_ETF_Options_Exhibits'!J1574:J1578)),AVERAGE('20250815_ETF_Options_Exhibits'!J1574:J1578),"")</f>
        <v/>
      </c>
      <c r="K1578" s="3">
        <f>IF(ISNUMBER(AVERAGE('20250815_ETF_Options_Exhibits'!K1574:K1578)),AVERAGE('20250815_ETF_Options_Exhibits'!K1574:K1578),"")</f>
        <v/>
      </c>
      <c r="L1578" s="3">
        <f>IF(ISNUMBER(AVERAGE('20250815_ETF_Options_Exhibits'!L1574:L1578)),AVERAGE('20250815_ETF_Options_Exhibits'!L1574:L1578),"")</f>
        <v/>
      </c>
      <c r="M1578" s="3">
        <f>IF(ISNUMBER(AVERAGE('20250815_ETF_Options_Exhibits'!M1574:M1578)),AVERAGE('20250815_ETF_Options_Exhibits'!M1574:M1578),"")</f>
        <v/>
      </c>
      <c r="N1578" s="3">
        <f>IF(ISNUMBER(AVERAGE('20250815_ETF_Options_Exhibits'!N1574:N1578)),AVERAGE('20250815_ETF_Options_Exhibits'!N1574:N1578),"")</f>
        <v/>
      </c>
      <c r="O1578" s="3">
        <f>IF(ISNUMBER(AVERAGE('20250815_ETF_Options_Exhibits'!O1574:O1578)),AVERAGE('20250815_ETF_Options_Exhibits'!O1574:O1578),"")</f>
        <v/>
      </c>
      <c r="P1578" s="3">
        <f>IF(ISNUMBER(AVERAGE('20250815_ETF_Options_Exhibits'!P1574:P1578)),AVERAGE('20250815_ETF_Options_Exhibits'!P1574:P1578),"")</f>
        <v/>
      </c>
      <c r="Q1578" s="3">
        <f>IF(ISNUMBER(AVERAGE('20250815_ETF_Options_Exhibits'!Q1574:Q1578)),AVERAGE('20250815_ETF_Options_Exhibits'!Q1574:Q1578),"")</f>
        <v/>
      </c>
      <c r="R1578" s="3">
        <f>IF(ISNUMBER(AVERAGE('20250815_ETF_Options_Exhibits'!R1574:R1578)),AVERAGE('20250815_ETF_Options_Exhibits'!R1574:R1578),"")</f>
        <v/>
      </c>
      <c r="S1578" s="3">
        <f>IF(ISNUMBER(AVERAGE('20250815_ETF_Options_Exhibits'!S1574:S1578)),AVERAGE('20250815_ETF_Options_Exhibits'!S1574:S1578),"")</f>
        <v/>
      </c>
      <c r="T1578" s="3">
        <f>IF(ISNUMBER(AVERAGE('20250815_ETF_Options_Exhibits'!T1574:T1578)),AVERAGE('20250815_ETF_Options_Exhibits'!T1574:T1578),"")</f>
        <v/>
      </c>
      <c r="U1578" s="3">
        <f>IF(ISNUMBER(AVERAGE('20250815_ETF_Options_Exhibits'!U1574:U1578)),AVERAGE('20250815_ETF_Options_Exhibits'!U1574:U1578),"")</f>
        <v/>
      </c>
      <c r="V1578" s="3">
        <f>IF(ISNUMBER(AVERAGE('20250815_ETF_Options_Exhibits'!V1574:V1578)),AVERAGE('20250815_ETF_Options_Exhibits'!V1574:V1578),"")</f>
        <v/>
      </c>
      <c r="W1578" s="3">
        <f>IF(ISNUMBER(AVERAGE('20250815_ETF_Options_Exhibits'!W1574:W1578)),AVERAGE('20250815_ETF_Options_Exhibits'!W1574:W1578),"")</f>
        <v/>
      </c>
      <c r="X1578" s="3">
        <f>IF(ISNUMBER(AVERAGE('20250815_ETF_Options_Exhibits'!X1574:X1578)),AVERAGE('20250815_ETF_Options_Exhibits'!X1574:X1578),"")</f>
        <v/>
      </c>
      <c r="Y1578" s="3">
        <f>IF(ISNUMBER(AVERAGE('20250815_ETF_Options_Exhibits'!Y1574:Y1578)),AVERAGE('20250815_ETF_Options_Exhibits'!Y1574:Y1578),"")</f>
        <v/>
      </c>
      <c r="Z1578" s="3">
        <f>IF(ISNUMBER(AVERAGE('20250815_ETF_Options_Exhibits'!Z1574:Z1578)),AVERAGE('20250815_ETF_Options_Exhibits'!Z1574:Z1578),"")</f>
        <v/>
      </c>
      <c r="AA1578" s="3">
        <f>IF(ISNUMBER(AVERAGE('20250815_ETF_Options_Exhibits'!AA1574:AA1578)),AVERAGE('20250815_ETF_Options_Exhibits'!AA1574:AA1578),"")</f>
        <v/>
      </c>
    </row>
    <row r="1579">
      <c r="A1579" s="1" t="n">
        <v>44294</v>
      </c>
      <c r="B1579" s="3">
        <f>IF(ISNUMBER(AVERAGE('20250815_ETF_Options_Exhibits'!B1575:B1579)),AVERAGE('20250815_ETF_Options_Exhibits'!B1575:B1579),"")</f>
        <v/>
      </c>
      <c r="C1579" s="3">
        <f>IF(ISNUMBER(AVERAGE('20250815_ETF_Options_Exhibits'!C1575:C1579)),AVERAGE('20250815_ETF_Options_Exhibits'!C1575:C1579),"")</f>
        <v/>
      </c>
      <c r="D1579" s="3">
        <f>IF(ISNUMBER(AVERAGE('20250815_ETF_Options_Exhibits'!D1575:D1579)),AVERAGE('20250815_ETF_Options_Exhibits'!D1575:D1579),"")</f>
        <v/>
      </c>
      <c r="E1579" s="3">
        <f>IF(ISNUMBER(AVERAGE('20250815_ETF_Options_Exhibits'!E1575:E1579)),AVERAGE('20250815_ETF_Options_Exhibits'!E1575:E1579),"")</f>
        <v/>
      </c>
      <c r="F1579" s="3">
        <f>IF(ISNUMBER(AVERAGE('20250815_ETF_Options_Exhibits'!F1575:F1579)),AVERAGE('20250815_ETF_Options_Exhibits'!F1575:F1579),"")</f>
        <v/>
      </c>
      <c r="G1579" s="3">
        <f>IF(ISNUMBER(AVERAGE('20250815_ETF_Options_Exhibits'!G1575:G1579)),AVERAGE('20250815_ETF_Options_Exhibits'!G1575:G1579),"")</f>
        <v/>
      </c>
      <c r="H1579" s="3">
        <f>IF(ISNUMBER(AVERAGE('20250815_ETF_Options_Exhibits'!H1575:H1579)),AVERAGE('20250815_ETF_Options_Exhibits'!H1575:H1579),"")</f>
        <v/>
      </c>
      <c r="I1579" s="3">
        <f>IF(ISNUMBER(AVERAGE('20250815_ETF_Options_Exhibits'!I1575:I1579)),AVERAGE('20250815_ETF_Options_Exhibits'!I1575:I1579),"")</f>
        <v/>
      </c>
      <c r="J1579" s="3">
        <f>IF(ISNUMBER(AVERAGE('20250815_ETF_Options_Exhibits'!J1575:J1579)),AVERAGE('20250815_ETF_Options_Exhibits'!J1575:J1579),"")</f>
        <v/>
      </c>
      <c r="K1579" s="3">
        <f>IF(ISNUMBER(AVERAGE('20250815_ETF_Options_Exhibits'!K1575:K1579)),AVERAGE('20250815_ETF_Options_Exhibits'!K1575:K1579),"")</f>
        <v/>
      </c>
      <c r="L1579" s="3">
        <f>IF(ISNUMBER(AVERAGE('20250815_ETF_Options_Exhibits'!L1575:L1579)),AVERAGE('20250815_ETF_Options_Exhibits'!L1575:L1579),"")</f>
        <v/>
      </c>
      <c r="M1579" s="3">
        <f>IF(ISNUMBER(AVERAGE('20250815_ETF_Options_Exhibits'!M1575:M1579)),AVERAGE('20250815_ETF_Options_Exhibits'!M1575:M1579),"")</f>
        <v/>
      </c>
      <c r="N1579" s="3">
        <f>IF(ISNUMBER(AVERAGE('20250815_ETF_Options_Exhibits'!N1575:N1579)),AVERAGE('20250815_ETF_Options_Exhibits'!N1575:N1579),"")</f>
        <v/>
      </c>
      <c r="O1579" s="3">
        <f>IF(ISNUMBER(AVERAGE('20250815_ETF_Options_Exhibits'!O1575:O1579)),AVERAGE('20250815_ETF_Options_Exhibits'!O1575:O1579),"")</f>
        <v/>
      </c>
      <c r="P1579" s="3">
        <f>IF(ISNUMBER(AVERAGE('20250815_ETF_Options_Exhibits'!P1575:P1579)),AVERAGE('20250815_ETF_Options_Exhibits'!P1575:P1579),"")</f>
        <v/>
      </c>
      <c r="Q1579" s="3">
        <f>IF(ISNUMBER(AVERAGE('20250815_ETF_Options_Exhibits'!Q1575:Q1579)),AVERAGE('20250815_ETF_Options_Exhibits'!Q1575:Q1579),"")</f>
        <v/>
      </c>
      <c r="R1579" s="3">
        <f>IF(ISNUMBER(AVERAGE('20250815_ETF_Options_Exhibits'!R1575:R1579)),AVERAGE('20250815_ETF_Options_Exhibits'!R1575:R1579),"")</f>
        <v/>
      </c>
      <c r="S1579" s="3">
        <f>IF(ISNUMBER(AVERAGE('20250815_ETF_Options_Exhibits'!S1575:S1579)),AVERAGE('20250815_ETF_Options_Exhibits'!S1575:S1579),"")</f>
        <v/>
      </c>
      <c r="T1579" s="3">
        <f>IF(ISNUMBER(AVERAGE('20250815_ETF_Options_Exhibits'!T1575:T1579)),AVERAGE('20250815_ETF_Options_Exhibits'!T1575:T1579),"")</f>
        <v/>
      </c>
      <c r="U1579" s="3">
        <f>IF(ISNUMBER(AVERAGE('20250815_ETF_Options_Exhibits'!U1575:U1579)),AVERAGE('20250815_ETF_Options_Exhibits'!U1575:U1579),"")</f>
        <v/>
      </c>
      <c r="V1579" s="3">
        <f>IF(ISNUMBER(AVERAGE('20250815_ETF_Options_Exhibits'!V1575:V1579)),AVERAGE('20250815_ETF_Options_Exhibits'!V1575:V1579),"")</f>
        <v/>
      </c>
      <c r="W1579" s="3">
        <f>IF(ISNUMBER(AVERAGE('20250815_ETF_Options_Exhibits'!W1575:W1579)),AVERAGE('20250815_ETF_Options_Exhibits'!W1575:W1579),"")</f>
        <v/>
      </c>
      <c r="X1579" s="3">
        <f>IF(ISNUMBER(AVERAGE('20250815_ETF_Options_Exhibits'!X1575:X1579)),AVERAGE('20250815_ETF_Options_Exhibits'!X1575:X1579),"")</f>
        <v/>
      </c>
      <c r="Y1579" s="3">
        <f>IF(ISNUMBER(AVERAGE('20250815_ETF_Options_Exhibits'!Y1575:Y1579)),AVERAGE('20250815_ETF_Options_Exhibits'!Y1575:Y1579),"")</f>
        <v/>
      </c>
      <c r="Z1579" s="3">
        <f>IF(ISNUMBER(AVERAGE('20250815_ETF_Options_Exhibits'!Z1575:Z1579)),AVERAGE('20250815_ETF_Options_Exhibits'!Z1575:Z1579),"")</f>
        <v/>
      </c>
      <c r="AA1579" s="3">
        <f>IF(ISNUMBER(AVERAGE('20250815_ETF_Options_Exhibits'!AA1575:AA1579)),AVERAGE('20250815_ETF_Options_Exhibits'!AA1575:AA1579),"")</f>
        <v/>
      </c>
    </row>
    <row r="1580">
      <c r="A1580" s="1" t="n">
        <v>44295</v>
      </c>
      <c r="B1580" s="3">
        <f>IF(ISNUMBER(AVERAGE('20250815_ETF_Options_Exhibits'!B1576:B1580)),AVERAGE('20250815_ETF_Options_Exhibits'!B1576:B1580),"")</f>
        <v/>
      </c>
      <c r="C1580" s="3">
        <f>IF(ISNUMBER(AVERAGE('20250815_ETF_Options_Exhibits'!C1576:C1580)),AVERAGE('20250815_ETF_Options_Exhibits'!C1576:C1580),"")</f>
        <v/>
      </c>
      <c r="D1580" s="3">
        <f>IF(ISNUMBER(AVERAGE('20250815_ETF_Options_Exhibits'!D1576:D1580)),AVERAGE('20250815_ETF_Options_Exhibits'!D1576:D1580),"")</f>
        <v/>
      </c>
      <c r="E1580" s="3">
        <f>IF(ISNUMBER(AVERAGE('20250815_ETF_Options_Exhibits'!E1576:E1580)),AVERAGE('20250815_ETF_Options_Exhibits'!E1576:E1580),"")</f>
        <v/>
      </c>
      <c r="F1580" s="3">
        <f>IF(ISNUMBER(AVERAGE('20250815_ETF_Options_Exhibits'!F1576:F1580)),AVERAGE('20250815_ETF_Options_Exhibits'!F1576:F1580),"")</f>
        <v/>
      </c>
      <c r="G1580" s="3">
        <f>IF(ISNUMBER(AVERAGE('20250815_ETF_Options_Exhibits'!G1576:G1580)),AVERAGE('20250815_ETF_Options_Exhibits'!G1576:G1580),"")</f>
        <v/>
      </c>
      <c r="H1580" s="3">
        <f>IF(ISNUMBER(AVERAGE('20250815_ETF_Options_Exhibits'!H1576:H1580)),AVERAGE('20250815_ETF_Options_Exhibits'!H1576:H1580),"")</f>
        <v/>
      </c>
      <c r="I1580" s="3">
        <f>IF(ISNUMBER(AVERAGE('20250815_ETF_Options_Exhibits'!I1576:I1580)),AVERAGE('20250815_ETF_Options_Exhibits'!I1576:I1580),"")</f>
        <v/>
      </c>
      <c r="J1580" s="3">
        <f>IF(ISNUMBER(AVERAGE('20250815_ETF_Options_Exhibits'!J1576:J1580)),AVERAGE('20250815_ETF_Options_Exhibits'!J1576:J1580),"")</f>
        <v/>
      </c>
      <c r="K1580" s="3">
        <f>IF(ISNUMBER(AVERAGE('20250815_ETF_Options_Exhibits'!K1576:K1580)),AVERAGE('20250815_ETF_Options_Exhibits'!K1576:K1580),"")</f>
        <v/>
      </c>
      <c r="L1580" s="3">
        <f>IF(ISNUMBER(AVERAGE('20250815_ETF_Options_Exhibits'!L1576:L1580)),AVERAGE('20250815_ETF_Options_Exhibits'!L1576:L1580),"")</f>
        <v/>
      </c>
      <c r="M1580" s="3">
        <f>IF(ISNUMBER(AVERAGE('20250815_ETF_Options_Exhibits'!M1576:M1580)),AVERAGE('20250815_ETF_Options_Exhibits'!M1576:M1580),"")</f>
        <v/>
      </c>
      <c r="N1580" s="3">
        <f>IF(ISNUMBER(AVERAGE('20250815_ETF_Options_Exhibits'!N1576:N1580)),AVERAGE('20250815_ETF_Options_Exhibits'!N1576:N1580),"")</f>
        <v/>
      </c>
      <c r="O1580" s="3">
        <f>IF(ISNUMBER(AVERAGE('20250815_ETF_Options_Exhibits'!O1576:O1580)),AVERAGE('20250815_ETF_Options_Exhibits'!O1576:O1580),"")</f>
        <v/>
      </c>
      <c r="P1580" s="3">
        <f>IF(ISNUMBER(AVERAGE('20250815_ETF_Options_Exhibits'!P1576:P1580)),AVERAGE('20250815_ETF_Options_Exhibits'!P1576:P1580),"")</f>
        <v/>
      </c>
      <c r="Q1580" s="3">
        <f>IF(ISNUMBER(AVERAGE('20250815_ETF_Options_Exhibits'!Q1576:Q1580)),AVERAGE('20250815_ETF_Options_Exhibits'!Q1576:Q1580),"")</f>
        <v/>
      </c>
      <c r="R1580" s="3">
        <f>IF(ISNUMBER(AVERAGE('20250815_ETF_Options_Exhibits'!R1576:R1580)),AVERAGE('20250815_ETF_Options_Exhibits'!R1576:R1580),"")</f>
        <v/>
      </c>
      <c r="S1580" s="3">
        <f>IF(ISNUMBER(AVERAGE('20250815_ETF_Options_Exhibits'!S1576:S1580)),AVERAGE('20250815_ETF_Options_Exhibits'!S1576:S1580),"")</f>
        <v/>
      </c>
      <c r="T1580" s="3">
        <f>IF(ISNUMBER(AVERAGE('20250815_ETF_Options_Exhibits'!T1576:T1580)),AVERAGE('20250815_ETF_Options_Exhibits'!T1576:T1580),"")</f>
        <v/>
      </c>
      <c r="U1580" s="3">
        <f>IF(ISNUMBER(AVERAGE('20250815_ETF_Options_Exhibits'!U1576:U1580)),AVERAGE('20250815_ETF_Options_Exhibits'!U1576:U1580),"")</f>
        <v/>
      </c>
      <c r="V1580" s="3">
        <f>IF(ISNUMBER(AVERAGE('20250815_ETF_Options_Exhibits'!V1576:V1580)),AVERAGE('20250815_ETF_Options_Exhibits'!V1576:V1580),"")</f>
        <v/>
      </c>
      <c r="W1580" s="3">
        <f>IF(ISNUMBER(AVERAGE('20250815_ETF_Options_Exhibits'!W1576:W1580)),AVERAGE('20250815_ETF_Options_Exhibits'!W1576:W1580),"")</f>
        <v/>
      </c>
      <c r="X1580" s="3">
        <f>IF(ISNUMBER(AVERAGE('20250815_ETF_Options_Exhibits'!X1576:X1580)),AVERAGE('20250815_ETF_Options_Exhibits'!X1576:X1580),"")</f>
        <v/>
      </c>
      <c r="Y1580" s="3">
        <f>IF(ISNUMBER(AVERAGE('20250815_ETF_Options_Exhibits'!Y1576:Y1580)),AVERAGE('20250815_ETF_Options_Exhibits'!Y1576:Y1580),"")</f>
        <v/>
      </c>
      <c r="Z1580" s="3">
        <f>IF(ISNUMBER(AVERAGE('20250815_ETF_Options_Exhibits'!Z1576:Z1580)),AVERAGE('20250815_ETF_Options_Exhibits'!Z1576:Z1580),"")</f>
        <v/>
      </c>
      <c r="AA1580" s="3">
        <f>IF(ISNUMBER(AVERAGE('20250815_ETF_Options_Exhibits'!AA1576:AA1580)),AVERAGE('20250815_ETF_Options_Exhibits'!AA1576:AA1580),"")</f>
        <v/>
      </c>
    </row>
    <row r="1581">
      <c r="A1581" s="1" t="n">
        <v>44298</v>
      </c>
      <c r="B1581" s="3">
        <f>IF(ISNUMBER(AVERAGE('20250815_ETF_Options_Exhibits'!B1577:B1581)),AVERAGE('20250815_ETF_Options_Exhibits'!B1577:B1581),"")</f>
        <v/>
      </c>
      <c r="C1581" s="3">
        <f>IF(ISNUMBER(AVERAGE('20250815_ETF_Options_Exhibits'!C1577:C1581)),AVERAGE('20250815_ETF_Options_Exhibits'!C1577:C1581),"")</f>
        <v/>
      </c>
      <c r="D1581" s="3">
        <f>IF(ISNUMBER(AVERAGE('20250815_ETF_Options_Exhibits'!D1577:D1581)),AVERAGE('20250815_ETF_Options_Exhibits'!D1577:D1581),"")</f>
        <v/>
      </c>
      <c r="E1581" s="3">
        <f>IF(ISNUMBER(AVERAGE('20250815_ETF_Options_Exhibits'!E1577:E1581)),AVERAGE('20250815_ETF_Options_Exhibits'!E1577:E1581),"")</f>
        <v/>
      </c>
      <c r="F1581" s="3">
        <f>IF(ISNUMBER(AVERAGE('20250815_ETF_Options_Exhibits'!F1577:F1581)),AVERAGE('20250815_ETF_Options_Exhibits'!F1577:F1581),"")</f>
        <v/>
      </c>
      <c r="G1581" s="3">
        <f>IF(ISNUMBER(AVERAGE('20250815_ETF_Options_Exhibits'!G1577:G1581)),AVERAGE('20250815_ETF_Options_Exhibits'!G1577:G1581),"")</f>
        <v/>
      </c>
      <c r="H1581" s="3">
        <f>IF(ISNUMBER(AVERAGE('20250815_ETF_Options_Exhibits'!H1577:H1581)),AVERAGE('20250815_ETF_Options_Exhibits'!H1577:H1581),"")</f>
        <v/>
      </c>
      <c r="I1581" s="3">
        <f>IF(ISNUMBER(AVERAGE('20250815_ETF_Options_Exhibits'!I1577:I1581)),AVERAGE('20250815_ETF_Options_Exhibits'!I1577:I1581),"")</f>
        <v/>
      </c>
      <c r="J1581" s="3">
        <f>IF(ISNUMBER(AVERAGE('20250815_ETF_Options_Exhibits'!J1577:J1581)),AVERAGE('20250815_ETF_Options_Exhibits'!J1577:J1581),"")</f>
        <v/>
      </c>
      <c r="K1581" s="3">
        <f>IF(ISNUMBER(AVERAGE('20250815_ETF_Options_Exhibits'!K1577:K1581)),AVERAGE('20250815_ETF_Options_Exhibits'!K1577:K1581),"")</f>
        <v/>
      </c>
      <c r="L1581" s="3">
        <f>IF(ISNUMBER(AVERAGE('20250815_ETF_Options_Exhibits'!L1577:L1581)),AVERAGE('20250815_ETF_Options_Exhibits'!L1577:L1581),"")</f>
        <v/>
      </c>
      <c r="M1581" s="3">
        <f>IF(ISNUMBER(AVERAGE('20250815_ETF_Options_Exhibits'!M1577:M1581)),AVERAGE('20250815_ETF_Options_Exhibits'!M1577:M1581),"")</f>
        <v/>
      </c>
      <c r="N1581" s="3">
        <f>IF(ISNUMBER(AVERAGE('20250815_ETF_Options_Exhibits'!N1577:N1581)),AVERAGE('20250815_ETF_Options_Exhibits'!N1577:N1581),"")</f>
        <v/>
      </c>
      <c r="O1581" s="3">
        <f>IF(ISNUMBER(AVERAGE('20250815_ETF_Options_Exhibits'!O1577:O1581)),AVERAGE('20250815_ETF_Options_Exhibits'!O1577:O1581),"")</f>
        <v/>
      </c>
      <c r="P1581" s="3">
        <f>IF(ISNUMBER(AVERAGE('20250815_ETF_Options_Exhibits'!P1577:P1581)),AVERAGE('20250815_ETF_Options_Exhibits'!P1577:P1581),"")</f>
        <v/>
      </c>
      <c r="Q1581" s="3">
        <f>IF(ISNUMBER(AVERAGE('20250815_ETF_Options_Exhibits'!Q1577:Q1581)),AVERAGE('20250815_ETF_Options_Exhibits'!Q1577:Q1581),"")</f>
        <v/>
      </c>
      <c r="R1581" s="3">
        <f>IF(ISNUMBER(AVERAGE('20250815_ETF_Options_Exhibits'!R1577:R1581)),AVERAGE('20250815_ETF_Options_Exhibits'!R1577:R1581),"")</f>
        <v/>
      </c>
      <c r="S1581" s="3">
        <f>IF(ISNUMBER(AVERAGE('20250815_ETF_Options_Exhibits'!S1577:S1581)),AVERAGE('20250815_ETF_Options_Exhibits'!S1577:S1581),"")</f>
        <v/>
      </c>
      <c r="T1581" s="3">
        <f>IF(ISNUMBER(AVERAGE('20250815_ETF_Options_Exhibits'!T1577:T1581)),AVERAGE('20250815_ETF_Options_Exhibits'!T1577:T1581),"")</f>
        <v/>
      </c>
      <c r="U1581" s="3">
        <f>IF(ISNUMBER(AVERAGE('20250815_ETF_Options_Exhibits'!U1577:U1581)),AVERAGE('20250815_ETF_Options_Exhibits'!U1577:U1581),"")</f>
        <v/>
      </c>
      <c r="V1581" s="3">
        <f>IF(ISNUMBER(AVERAGE('20250815_ETF_Options_Exhibits'!V1577:V1581)),AVERAGE('20250815_ETF_Options_Exhibits'!V1577:V1581),"")</f>
        <v/>
      </c>
      <c r="W1581" s="3">
        <f>IF(ISNUMBER(AVERAGE('20250815_ETF_Options_Exhibits'!W1577:W1581)),AVERAGE('20250815_ETF_Options_Exhibits'!W1577:W1581),"")</f>
        <v/>
      </c>
      <c r="X1581" s="3">
        <f>IF(ISNUMBER(AVERAGE('20250815_ETF_Options_Exhibits'!X1577:X1581)),AVERAGE('20250815_ETF_Options_Exhibits'!X1577:X1581),"")</f>
        <v/>
      </c>
      <c r="Y1581" s="3">
        <f>IF(ISNUMBER(AVERAGE('20250815_ETF_Options_Exhibits'!Y1577:Y1581)),AVERAGE('20250815_ETF_Options_Exhibits'!Y1577:Y1581),"")</f>
        <v/>
      </c>
      <c r="Z1581" s="3">
        <f>IF(ISNUMBER(AVERAGE('20250815_ETF_Options_Exhibits'!Z1577:Z1581)),AVERAGE('20250815_ETF_Options_Exhibits'!Z1577:Z1581),"")</f>
        <v/>
      </c>
      <c r="AA1581" s="3">
        <f>IF(ISNUMBER(AVERAGE('20250815_ETF_Options_Exhibits'!AA1577:AA1581)),AVERAGE('20250815_ETF_Options_Exhibits'!AA1577:AA1581),"")</f>
        <v/>
      </c>
    </row>
    <row r="1582">
      <c r="A1582" s="1" t="n">
        <v>44299</v>
      </c>
      <c r="B1582" s="3">
        <f>IF(ISNUMBER(AVERAGE('20250815_ETF_Options_Exhibits'!B1578:B1582)),AVERAGE('20250815_ETF_Options_Exhibits'!B1578:B1582),"")</f>
        <v/>
      </c>
      <c r="C1582" s="3">
        <f>IF(ISNUMBER(AVERAGE('20250815_ETF_Options_Exhibits'!C1578:C1582)),AVERAGE('20250815_ETF_Options_Exhibits'!C1578:C1582),"")</f>
        <v/>
      </c>
      <c r="D1582" s="3">
        <f>IF(ISNUMBER(AVERAGE('20250815_ETF_Options_Exhibits'!D1578:D1582)),AVERAGE('20250815_ETF_Options_Exhibits'!D1578:D1582),"")</f>
        <v/>
      </c>
      <c r="E1582" s="3">
        <f>IF(ISNUMBER(AVERAGE('20250815_ETF_Options_Exhibits'!E1578:E1582)),AVERAGE('20250815_ETF_Options_Exhibits'!E1578:E1582),"")</f>
        <v/>
      </c>
      <c r="F1582" s="3">
        <f>IF(ISNUMBER(AVERAGE('20250815_ETF_Options_Exhibits'!F1578:F1582)),AVERAGE('20250815_ETF_Options_Exhibits'!F1578:F1582),"")</f>
        <v/>
      </c>
      <c r="G1582" s="3">
        <f>IF(ISNUMBER(AVERAGE('20250815_ETF_Options_Exhibits'!G1578:G1582)),AVERAGE('20250815_ETF_Options_Exhibits'!G1578:G1582),"")</f>
        <v/>
      </c>
      <c r="H1582" s="3">
        <f>IF(ISNUMBER(AVERAGE('20250815_ETF_Options_Exhibits'!H1578:H1582)),AVERAGE('20250815_ETF_Options_Exhibits'!H1578:H1582),"")</f>
        <v/>
      </c>
      <c r="I1582" s="3">
        <f>IF(ISNUMBER(AVERAGE('20250815_ETF_Options_Exhibits'!I1578:I1582)),AVERAGE('20250815_ETF_Options_Exhibits'!I1578:I1582),"")</f>
        <v/>
      </c>
      <c r="J1582" s="3">
        <f>IF(ISNUMBER(AVERAGE('20250815_ETF_Options_Exhibits'!J1578:J1582)),AVERAGE('20250815_ETF_Options_Exhibits'!J1578:J1582),"")</f>
        <v/>
      </c>
      <c r="K1582" s="3">
        <f>IF(ISNUMBER(AVERAGE('20250815_ETF_Options_Exhibits'!K1578:K1582)),AVERAGE('20250815_ETF_Options_Exhibits'!K1578:K1582),"")</f>
        <v/>
      </c>
      <c r="L1582" s="3">
        <f>IF(ISNUMBER(AVERAGE('20250815_ETF_Options_Exhibits'!L1578:L1582)),AVERAGE('20250815_ETF_Options_Exhibits'!L1578:L1582),"")</f>
        <v/>
      </c>
      <c r="M1582" s="3">
        <f>IF(ISNUMBER(AVERAGE('20250815_ETF_Options_Exhibits'!M1578:M1582)),AVERAGE('20250815_ETF_Options_Exhibits'!M1578:M1582),"")</f>
        <v/>
      </c>
      <c r="N1582" s="3">
        <f>IF(ISNUMBER(AVERAGE('20250815_ETF_Options_Exhibits'!N1578:N1582)),AVERAGE('20250815_ETF_Options_Exhibits'!N1578:N1582),"")</f>
        <v/>
      </c>
      <c r="O1582" s="3">
        <f>IF(ISNUMBER(AVERAGE('20250815_ETF_Options_Exhibits'!O1578:O1582)),AVERAGE('20250815_ETF_Options_Exhibits'!O1578:O1582),"")</f>
        <v/>
      </c>
      <c r="P1582" s="3">
        <f>IF(ISNUMBER(AVERAGE('20250815_ETF_Options_Exhibits'!P1578:P1582)),AVERAGE('20250815_ETF_Options_Exhibits'!P1578:P1582),"")</f>
        <v/>
      </c>
      <c r="Q1582" s="3">
        <f>IF(ISNUMBER(AVERAGE('20250815_ETF_Options_Exhibits'!Q1578:Q1582)),AVERAGE('20250815_ETF_Options_Exhibits'!Q1578:Q1582),"")</f>
        <v/>
      </c>
      <c r="R1582" s="3">
        <f>IF(ISNUMBER(AVERAGE('20250815_ETF_Options_Exhibits'!R1578:R1582)),AVERAGE('20250815_ETF_Options_Exhibits'!R1578:R1582),"")</f>
        <v/>
      </c>
      <c r="S1582" s="3">
        <f>IF(ISNUMBER(AVERAGE('20250815_ETF_Options_Exhibits'!S1578:S1582)),AVERAGE('20250815_ETF_Options_Exhibits'!S1578:S1582),"")</f>
        <v/>
      </c>
      <c r="T1582" s="3">
        <f>IF(ISNUMBER(AVERAGE('20250815_ETF_Options_Exhibits'!T1578:T1582)),AVERAGE('20250815_ETF_Options_Exhibits'!T1578:T1582),"")</f>
        <v/>
      </c>
      <c r="U1582" s="3">
        <f>IF(ISNUMBER(AVERAGE('20250815_ETF_Options_Exhibits'!U1578:U1582)),AVERAGE('20250815_ETF_Options_Exhibits'!U1578:U1582),"")</f>
        <v/>
      </c>
      <c r="V1582" s="3">
        <f>IF(ISNUMBER(AVERAGE('20250815_ETF_Options_Exhibits'!V1578:V1582)),AVERAGE('20250815_ETF_Options_Exhibits'!V1578:V1582),"")</f>
        <v/>
      </c>
      <c r="W1582" s="3">
        <f>IF(ISNUMBER(AVERAGE('20250815_ETF_Options_Exhibits'!W1578:W1582)),AVERAGE('20250815_ETF_Options_Exhibits'!W1578:W1582),"")</f>
        <v/>
      </c>
      <c r="X1582" s="3">
        <f>IF(ISNUMBER(AVERAGE('20250815_ETF_Options_Exhibits'!X1578:X1582)),AVERAGE('20250815_ETF_Options_Exhibits'!X1578:X1582),"")</f>
        <v/>
      </c>
      <c r="Y1582" s="3">
        <f>IF(ISNUMBER(AVERAGE('20250815_ETF_Options_Exhibits'!Y1578:Y1582)),AVERAGE('20250815_ETF_Options_Exhibits'!Y1578:Y1582),"")</f>
        <v/>
      </c>
      <c r="Z1582" s="3">
        <f>IF(ISNUMBER(AVERAGE('20250815_ETF_Options_Exhibits'!Z1578:Z1582)),AVERAGE('20250815_ETF_Options_Exhibits'!Z1578:Z1582),"")</f>
        <v/>
      </c>
      <c r="AA1582" s="3">
        <f>IF(ISNUMBER(AVERAGE('20250815_ETF_Options_Exhibits'!AA1578:AA1582)),AVERAGE('20250815_ETF_Options_Exhibits'!AA1578:AA1582),"")</f>
        <v/>
      </c>
    </row>
    <row r="1583">
      <c r="A1583" s="1" t="n">
        <v>44300</v>
      </c>
      <c r="B1583" s="3">
        <f>IF(ISNUMBER(AVERAGE('20250815_ETF_Options_Exhibits'!B1579:B1583)),AVERAGE('20250815_ETF_Options_Exhibits'!B1579:B1583),"")</f>
        <v/>
      </c>
      <c r="C1583" s="3">
        <f>IF(ISNUMBER(AVERAGE('20250815_ETF_Options_Exhibits'!C1579:C1583)),AVERAGE('20250815_ETF_Options_Exhibits'!C1579:C1583),"")</f>
        <v/>
      </c>
      <c r="D1583" s="3">
        <f>IF(ISNUMBER(AVERAGE('20250815_ETF_Options_Exhibits'!D1579:D1583)),AVERAGE('20250815_ETF_Options_Exhibits'!D1579:D1583),"")</f>
        <v/>
      </c>
      <c r="E1583" s="3">
        <f>IF(ISNUMBER(AVERAGE('20250815_ETF_Options_Exhibits'!E1579:E1583)),AVERAGE('20250815_ETF_Options_Exhibits'!E1579:E1583),"")</f>
        <v/>
      </c>
      <c r="F1583" s="3">
        <f>IF(ISNUMBER(AVERAGE('20250815_ETF_Options_Exhibits'!F1579:F1583)),AVERAGE('20250815_ETF_Options_Exhibits'!F1579:F1583),"")</f>
        <v/>
      </c>
      <c r="G1583" s="3">
        <f>IF(ISNUMBER(AVERAGE('20250815_ETF_Options_Exhibits'!G1579:G1583)),AVERAGE('20250815_ETF_Options_Exhibits'!G1579:G1583),"")</f>
        <v/>
      </c>
      <c r="H1583" s="3">
        <f>IF(ISNUMBER(AVERAGE('20250815_ETF_Options_Exhibits'!H1579:H1583)),AVERAGE('20250815_ETF_Options_Exhibits'!H1579:H1583),"")</f>
        <v/>
      </c>
      <c r="I1583" s="3">
        <f>IF(ISNUMBER(AVERAGE('20250815_ETF_Options_Exhibits'!I1579:I1583)),AVERAGE('20250815_ETF_Options_Exhibits'!I1579:I1583),"")</f>
        <v/>
      </c>
      <c r="J1583" s="3">
        <f>IF(ISNUMBER(AVERAGE('20250815_ETF_Options_Exhibits'!J1579:J1583)),AVERAGE('20250815_ETF_Options_Exhibits'!J1579:J1583),"")</f>
        <v/>
      </c>
      <c r="K1583" s="3">
        <f>IF(ISNUMBER(AVERAGE('20250815_ETF_Options_Exhibits'!K1579:K1583)),AVERAGE('20250815_ETF_Options_Exhibits'!K1579:K1583),"")</f>
        <v/>
      </c>
      <c r="L1583" s="3">
        <f>IF(ISNUMBER(AVERAGE('20250815_ETF_Options_Exhibits'!L1579:L1583)),AVERAGE('20250815_ETF_Options_Exhibits'!L1579:L1583),"")</f>
        <v/>
      </c>
      <c r="M1583" s="3">
        <f>IF(ISNUMBER(AVERAGE('20250815_ETF_Options_Exhibits'!M1579:M1583)),AVERAGE('20250815_ETF_Options_Exhibits'!M1579:M1583),"")</f>
        <v/>
      </c>
      <c r="N1583" s="3">
        <f>IF(ISNUMBER(AVERAGE('20250815_ETF_Options_Exhibits'!N1579:N1583)),AVERAGE('20250815_ETF_Options_Exhibits'!N1579:N1583),"")</f>
        <v/>
      </c>
      <c r="O1583" s="3">
        <f>IF(ISNUMBER(AVERAGE('20250815_ETF_Options_Exhibits'!O1579:O1583)),AVERAGE('20250815_ETF_Options_Exhibits'!O1579:O1583),"")</f>
        <v/>
      </c>
      <c r="P1583" s="3">
        <f>IF(ISNUMBER(AVERAGE('20250815_ETF_Options_Exhibits'!P1579:P1583)),AVERAGE('20250815_ETF_Options_Exhibits'!P1579:P1583),"")</f>
        <v/>
      </c>
      <c r="Q1583" s="3">
        <f>IF(ISNUMBER(AVERAGE('20250815_ETF_Options_Exhibits'!Q1579:Q1583)),AVERAGE('20250815_ETF_Options_Exhibits'!Q1579:Q1583),"")</f>
        <v/>
      </c>
      <c r="R1583" s="3">
        <f>IF(ISNUMBER(AVERAGE('20250815_ETF_Options_Exhibits'!R1579:R1583)),AVERAGE('20250815_ETF_Options_Exhibits'!R1579:R1583),"")</f>
        <v/>
      </c>
      <c r="S1583" s="3">
        <f>IF(ISNUMBER(AVERAGE('20250815_ETF_Options_Exhibits'!S1579:S1583)),AVERAGE('20250815_ETF_Options_Exhibits'!S1579:S1583),"")</f>
        <v/>
      </c>
      <c r="T1583" s="3">
        <f>IF(ISNUMBER(AVERAGE('20250815_ETF_Options_Exhibits'!T1579:T1583)),AVERAGE('20250815_ETF_Options_Exhibits'!T1579:T1583),"")</f>
        <v/>
      </c>
      <c r="U1583" s="3">
        <f>IF(ISNUMBER(AVERAGE('20250815_ETF_Options_Exhibits'!U1579:U1583)),AVERAGE('20250815_ETF_Options_Exhibits'!U1579:U1583),"")</f>
        <v/>
      </c>
      <c r="V1583" s="3">
        <f>IF(ISNUMBER(AVERAGE('20250815_ETF_Options_Exhibits'!V1579:V1583)),AVERAGE('20250815_ETF_Options_Exhibits'!V1579:V1583),"")</f>
        <v/>
      </c>
      <c r="W1583" s="3">
        <f>IF(ISNUMBER(AVERAGE('20250815_ETF_Options_Exhibits'!W1579:W1583)),AVERAGE('20250815_ETF_Options_Exhibits'!W1579:W1583),"")</f>
        <v/>
      </c>
      <c r="X1583" s="3">
        <f>IF(ISNUMBER(AVERAGE('20250815_ETF_Options_Exhibits'!X1579:X1583)),AVERAGE('20250815_ETF_Options_Exhibits'!X1579:X1583),"")</f>
        <v/>
      </c>
      <c r="Y1583" s="3">
        <f>IF(ISNUMBER(AVERAGE('20250815_ETF_Options_Exhibits'!Y1579:Y1583)),AVERAGE('20250815_ETF_Options_Exhibits'!Y1579:Y1583),"")</f>
        <v/>
      </c>
      <c r="Z1583" s="3">
        <f>IF(ISNUMBER(AVERAGE('20250815_ETF_Options_Exhibits'!Z1579:Z1583)),AVERAGE('20250815_ETF_Options_Exhibits'!Z1579:Z1583),"")</f>
        <v/>
      </c>
      <c r="AA1583" s="3">
        <f>IF(ISNUMBER(AVERAGE('20250815_ETF_Options_Exhibits'!AA1579:AA1583)),AVERAGE('20250815_ETF_Options_Exhibits'!AA1579:AA1583),"")</f>
        <v/>
      </c>
    </row>
    <row r="1584">
      <c r="A1584" s="1" t="n">
        <v>44301</v>
      </c>
      <c r="B1584" s="3">
        <f>IF(ISNUMBER(AVERAGE('20250815_ETF_Options_Exhibits'!B1580:B1584)),AVERAGE('20250815_ETF_Options_Exhibits'!B1580:B1584),"")</f>
        <v/>
      </c>
      <c r="C1584" s="3">
        <f>IF(ISNUMBER(AVERAGE('20250815_ETF_Options_Exhibits'!C1580:C1584)),AVERAGE('20250815_ETF_Options_Exhibits'!C1580:C1584),"")</f>
        <v/>
      </c>
      <c r="D1584" s="3">
        <f>IF(ISNUMBER(AVERAGE('20250815_ETF_Options_Exhibits'!D1580:D1584)),AVERAGE('20250815_ETF_Options_Exhibits'!D1580:D1584),"")</f>
        <v/>
      </c>
      <c r="E1584" s="3">
        <f>IF(ISNUMBER(AVERAGE('20250815_ETF_Options_Exhibits'!E1580:E1584)),AVERAGE('20250815_ETF_Options_Exhibits'!E1580:E1584),"")</f>
        <v/>
      </c>
      <c r="F1584" s="3">
        <f>IF(ISNUMBER(AVERAGE('20250815_ETF_Options_Exhibits'!F1580:F1584)),AVERAGE('20250815_ETF_Options_Exhibits'!F1580:F1584),"")</f>
        <v/>
      </c>
      <c r="G1584" s="3">
        <f>IF(ISNUMBER(AVERAGE('20250815_ETF_Options_Exhibits'!G1580:G1584)),AVERAGE('20250815_ETF_Options_Exhibits'!G1580:G1584),"")</f>
        <v/>
      </c>
      <c r="H1584" s="3">
        <f>IF(ISNUMBER(AVERAGE('20250815_ETF_Options_Exhibits'!H1580:H1584)),AVERAGE('20250815_ETF_Options_Exhibits'!H1580:H1584),"")</f>
        <v/>
      </c>
      <c r="I1584" s="3">
        <f>IF(ISNUMBER(AVERAGE('20250815_ETF_Options_Exhibits'!I1580:I1584)),AVERAGE('20250815_ETF_Options_Exhibits'!I1580:I1584),"")</f>
        <v/>
      </c>
      <c r="J1584" s="3">
        <f>IF(ISNUMBER(AVERAGE('20250815_ETF_Options_Exhibits'!J1580:J1584)),AVERAGE('20250815_ETF_Options_Exhibits'!J1580:J1584),"")</f>
        <v/>
      </c>
      <c r="K1584" s="3">
        <f>IF(ISNUMBER(AVERAGE('20250815_ETF_Options_Exhibits'!K1580:K1584)),AVERAGE('20250815_ETF_Options_Exhibits'!K1580:K1584),"")</f>
        <v/>
      </c>
      <c r="L1584" s="3">
        <f>IF(ISNUMBER(AVERAGE('20250815_ETF_Options_Exhibits'!L1580:L1584)),AVERAGE('20250815_ETF_Options_Exhibits'!L1580:L1584),"")</f>
        <v/>
      </c>
      <c r="M1584" s="3">
        <f>IF(ISNUMBER(AVERAGE('20250815_ETF_Options_Exhibits'!M1580:M1584)),AVERAGE('20250815_ETF_Options_Exhibits'!M1580:M1584),"")</f>
        <v/>
      </c>
      <c r="N1584" s="3">
        <f>IF(ISNUMBER(AVERAGE('20250815_ETF_Options_Exhibits'!N1580:N1584)),AVERAGE('20250815_ETF_Options_Exhibits'!N1580:N1584),"")</f>
        <v/>
      </c>
      <c r="O1584" s="3">
        <f>IF(ISNUMBER(AVERAGE('20250815_ETF_Options_Exhibits'!O1580:O1584)),AVERAGE('20250815_ETF_Options_Exhibits'!O1580:O1584),"")</f>
        <v/>
      </c>
      <c r="P1584" s="3">
        <f>IF(ISNUMBER(AVERAGE('20250815_ETF_Options_Exhibits'!P1580:P1584)),AVERAGE('20250815_ETF_Options_Exhibits'!P1580:P1584),"")</f>
        <v/>
      </c>
      <c r="Q1584" s="3">
        <f>IF(ISNUMBER(AVERAGE('20250815_ETF_Options_Exhibits'!Q1580:Q1584)),AVERAGE('20250815_ETF_Options_Exhibits'!Q1580:Q1584),"")</f>
        <v/>
      </c>
      <c r="R1584" s="3">
        <f>IF(ISNUMBER(AVERAGE('20250815_ETF_Options_Exhibits'!R1580:R1584)),AVERAGE('20250815_ETF_Options_Exhibits'!R1580:R1584),"")</f>
        <v/>
      </c>
      <c r="S1584" s="3">
        <f>IF(ISNUMBER(AVERAGE('20250815_ETF_Options_Exhibits'!S1580:S1584)),AVERAGE('20250815_ETF_Options_Exhibits'!S1580:S1584),"")</f>
        <v/>
      </c>
      <c r="T1584" s="3">
        <f>IF(ISNUMBER(AVERAGE('20250815_ETF_Options_Exhibits'!T1580:T1584)),AVERAGE('20250815_ETF_Options_Exhibits'!T1580:T1584),"")</f>
        <v/>
      </c>
      <c r="U1584" s="3">
        <f>IF(ISNUMBER(AVERAGE('20250815_ETF_Options_Exhibits'!U1580:U1584)),AVERAGE('20250815_ETF_Options_Exhibits'!U1580:U1584),"")</f>
        <v/>
      </c>
      <c r="V1584" s="3">
        <f>IF(ISNUMBER(AVERAGE('20250815_ETF_Options_Exhibits'!V1580:V1584)),AVERAGE('20250815_ETF_Options_Exhibits'!V1580:V1584),"")</f>
        <v/>
      </c>
      <c r="W1584" s="3">
        <f>IF(ISNUMBER(AVERAGE('20250815_ETF_Options_Exhibits'!W1580:W1584)),AVERAGE('20250815_ETF_Options_Exhibits'!W1580:W1584),"")</f>
        <v/>
      </c>
      <c r="X1584" s="3">
        <f>IF(ISNUMBER(AVERAGE('20250815_ETF_Options_Exhibits'!X1580:X1584)),AVERAGE('20250815_ETF_Options_Exhibits'!X1580:X1584),"")</f>
        <v/>
      </c>
      <c r="Y1584" s="3">
        <f>IF(ISNUMBER(AVERAGE('20250815_ETF_Options_Exhibits'!Y1580:Y1584)),AVERAGE('20250815_ETF_Options_Exhibits'!Y1580:Y1584),"")</f>
        <v/>
      </c>
      <c r="Z1584" s="3">
        <f>IF(ISNUMBER(AVERAGE('20250815_ETF_Options_Exhibits'!Z1580:Z1584)),AVERAGE('20250815_ETF_Options_Exhibits'!Z1580:Z1584),"")</f>
        <v/>
      </c>
      <c r="AA1584" s="3">
        <f>IF(ISNUMBER(AVERAGE('20250815_ETF_Options_Exhibits'!AA1580:AA1584)),AVERAGE('20250815_ETF_Options_Exhibits'!AA1580:AA1584),"")</f>
        <v/>
      </c>
    </row>
    <row r="1585">
      <c r="A1585" s="1" t="n">
        <v>44302</v>
      </c>
      <c r="B1585" s="3">
        <f>IF(ISNUMBER(AVERAGE('20250815_ETF_Options_Exhibits'!B1581:B1585)),AVERAGE('20250815_ETF_Options_Exhibits'!B1581:B1585),"")</f>
        <v/>
      </c>
      <c r="C1585" s="3">
        <f>IF(ISNUMBER(AVERAGE('20250815_ETF_Options_Exhibits'!C1581:C1585)),AVERAGE('20250815_ETF_Options_Exhibits'!C1581:C1585),"")</f>
        <v/>
      </c>
      <c r="D1585" s="3">
        <f>IF(ISNUMBER(AVERAGE('20250815_ETF_Options_Exhibits'!D1581:D1585)),AVERAGE('20250815_ETF_Options_Exhibits'!D1581:D1585),"")</f>
        <v/>
      </c>
      <c r="E1585" s="3">
        <f>IF(ISNUMBER(AVERAGE('20250815_ETF_Options_Exhibits'!E1581:E1585)),AVERAGE('20250815_ETF_Options_Exhibits'!E1581:E1585),"")</f>
        <v/>
      </c>
      <c r="F1585" s="3">
        <f>IF(ISNUMBER(AVERAGE('20250815_ETF_Options_Exhibits'!F1581:F1585)),AVERAGE('20250815_ETF_Options_Exhibits'!F1581:F1585),"")</f>
        <v/>
      </c>
      <c r="G1585" s="3">
        <f>IF(ISNUMBER(AVERAGE('20250815_ETF_Options_Exhibits'!G1581:G1585)),AVERAGE('20250815_ETF_Options_Exhibits'!G1581:G1585),"")</f>
        <v/>
      </c>
      <c r="H1585" s="3">
        <f>IF(ISNUMBER(AVERAGE('20250815_ETF_Options_Exhibits'!H1581:H1585)),AVERAGE('20250815_ETF_Options_Exhibits'!H1581:H1585),"")</f>
        <v/>
      </c>
      <c r="I1585" s="3">
        <f>IF(ISNUMBER(AVERAGE('20250815_ETF_Options_Exhibits'!I1581:I1585)),AVERAGE('20250815_ETF_Options_Exhibits'!I1581:I1585),"")</f>
        <v/>
      </c>
      <c r="J1585" s="3">
        <f>IF(ISNUMBER(AVERAGE('20250815_ETF_Options_Exhibits'!J1581:J1585)),AVERAGE('20250815_ETF_Options_Exhibits'!J1581:J1585),"")</f>
        <v/>
      </c>
      <c r="K1585" s="3">
        <f>IF(ISNUMBER(AVERAGE('20250815_ETF_Options_Exhibits'!K1581:K1585)),AVERAGE('20250815_ETF_Options_Exhibits'!K1581:K1585),"")</f>
        <v/>
      </c>
      <c r="L1585" s="3">
        <f>IF(ISNUMBER(AVERAGE('20250815_ETF_Options_Exhibits'!L1581:L1585)),AVERAGE('20250815_ETF_Options_Exhibits'!L1581:L1585),"")</f>
        <v/>
      </c>
      <c r="M1585" s="3">
        <f>IF(ISNUMBER(AVERAGE('20250815_ETF_Options_Exhibits'!M1581:M1585)),AVERAGE('20250815_ETF_Options_Exhibits'!M1581:M1585),"")</f>
        <v/>
      </c>
      <c r="N1585" s="3">
        <f>IF(ISNUMBER(AVERAGE('20250815_ETF_Options_Exhibits'!N1581:N1585)),AVERAGE('20250815_ETF_Options_Exhibits'!N1581:N1585),"")</f>
        <v/>
      </c>
      <c r="O1585" s="3">
        <f>IF(ISNUMBER(AVERAGE('20250815_ETF_Options_Exhibits'!O1581:O1585)),AVERAGE('20250815_ETF_Options_Exhibits'!O1581:O1585),"")</f>
        <v/>
      </c>
      <c r="P1585" s="3">
        <f>IF(ISNUMBER(AVERAGE('20250815_ETF_Options_Exhibits'!P1581:P1585)),AVERAGE('20250815_ETF_Options_Exhibits'!P1581:P1585),"")</f>
        <v/>
      </c>
      <c r="Q1585" s="3">
        <f>IF(ISNUMBER(AVERAGE('20250815_ETF_Options_Exhibits'!Q1581:Q1585)),AVERAGE('20250815_ETF_Options_Exhibits'!Q1581:Q1585),"")</f>
        <v/>
      </c>
      <c r="R1585" s="3">
        <f>IF(ISNUMBER(AVERAGE('20250815_ETF_Options_Exhibits'!R1581:R1585)),AVERAGE('20250815_ETF_Options_Exhibits'!R1581:R1585),"")</f>
        <v/>
      </c>
      <c r="S1585" s="3">
        <f>IF(ISNUMBER(AVERAGE('20250815_ETF_Options_Exhibits'!S1581:S1585)),AVERAGE('20250815_ETF_Options_Exhibits'!S1581:S1585),"")</f>
        <v/>
      </c>
      <c r="T1585" s="3">
        <f>IF(ISNUMBER(AVERAGE('20250815_ETF_Options_Exhibits'!T1581:T1585)),AVERAGE('20250815_ETF_Options_Exhibits'!T1581:T1585),"")</f>
        <v/>
      </c>
      <c r="U1585" s="3">
        <f>IF(ISNUMBER(AVERAGE('20250815_ETF_Options_Exhibits'!U1581:U1585)),AVERAGE('20250815_ETF_Options_Exhibits'!U1581:U1585),"")</f>
        <v/>
      </c>
      <c r="V1585" s="3">
        <f>IF(ISNUMBER(AVERAGE('20250815_ETF_Options_Exhibits'!V1581:V1585)),AVERAGE('20250815_ETF_Options_Exhibits'!V1581:V1585),"")</f>
        <v/>
      </c>
      <c r="W1585" s="3">
        <f>IF(ISNUMBER(AVERAGE('20250815_ETF_Options_Exhibits'!W1581:W1585)),AVERAGE('20250815_ETF_Options_Exhibits'!W1581:W1585),"")</f>
        <v/>
      </c>
      <c r="X1585" s="3">
        <f>IF(ISNUMBER(AVERAGE('20250815_ETF_Options_Exhibits'!X1581:X1585)),AVERAGE('20250815_ETF_Options_Exhibits'!X1581:X1585),"")</f>
        <v/>
      </c>
      <c r="Y1585" s="3">
        <f>IF(ISNUMBER(AVERAGE('20250815_ETF_Options_Exhibits'!Y1581:Y1585)),AVERAGE('20250815_ETF_Options_Exhibits'!Y1581:Y1585),"")</f>
        <v/>
      </c>
      <c r="Z1585" s="3">
        <f>IF(ISNUMBER(AVERAGE('20250815_ETF_Options_Exhibits'!Z1581:Z1585)),AVERAGE('20250815_ETF_Options_Exhibits'!Z1581:Z1585),"")</f>
        <v/>
      </c>
      <c r="AA1585" s="3">
        <f>IF(ISNUMBER(AVERAGE('20250815_ETF_Options_Exhibits'!AA1581:AA1585)),AVERAGE('20250815_ETF_Options_Exhibits'!AA1581:AA1585),"")</f>
        <v/>
      </c>
    </row>
    <row r="1586">
      <c r="A1586" s="1" t="n">
        <v>44305</v>
      </c>
      <c r="B1586" s="3">
        <f>IF(ISNUMBER(AVERAGE('20250815_ETF_Options_Exhibits'!B1582:B1586)),AVERAGE('20250815_ETF_Options_Exhibits'!B1582:B1586),"")</f>
        <v/>
      </c>
      <c r="C1586" s="3">
        <f>IF(ISNUMBER(AVERAGE('20250815_ETF_Options_Exhibits'!C1582:C1586)),AVERAGE('20250815_ETF_Options_Exhibits'!C1582:C1586),"")</f>
        <v/>
      </c>
      <c r="D1586" s="3">
        <f>IF(ISNUMBER(AVERAGE('20250815_ETF_Options_Exhibits'!D1582:D1586)),AVERAGE('20250815_ETF_Options_Exhibits'!D1582:D1586),"")</f>
        <v/>
      </c>
      <c r="E1586" s="3">
        <f>IF(ISNUMBER(AVERAGE('20250815_ETF_Options_Exhibits'!E1582:E1586)),AVERAGE('20250815_ETF_Options_Exhibits'!E1582:E1586),"")</f>
        <v/>
      </c>
      <c r="F1586" s="3">
        <f>IF(ISNUMBER(AVERAGE('20250815_ETF_Options_Exhibits'!F1582:F1586)),AVERAGE('20250815_ETF_Options_Exhibits'!F1582:F1586),"")</f>
        <v/>
      </c>
      <c r="G1586" s="3">
        <f>IF(ISNUMBER(AVERAGE('20250815_ETF_Options_Exhibits'!G1582:G1586)),AVERAGE('20250815_ETF_Options_Exhibits'!G1582:G1586),"")</f>
        <v/>
      </c>
      <c r="H1586" s="3">
        <f>IF(ISNUMBER(AVERAGE('20250815_ETF_Options_Exhibits'!H1582:H1586)),AVERAGE('20250815_ETF_Options_Exhibits'!H1582:H1586),"")</f>
        <v/>
      </c>
      <c r="I1586" s="3">
        <f>IF(ISNUMBER(AVERAGE('20250815_ETF_Options_Exhibits'!I1582:I1586)),AVERAGE('20250815_ETF_Options_Exhibits'!I1582:I1586),"")</f>
        <v/>
      </c>
      <c r="J1586" s="3">
        <f>IF(ISNUMBER(AVERAGE('20250815_ETF_Options_Exhibits'!J1582:J1586)),AVERAGE('20250815_ETF_Options_Exhibits'!J1582:J1586),"")</f>
        <v/>
      </c>
      <c r="K1586" s="3">
        <f>IF(ISNUMBER(AVERAGE('20250815_ETF_Options_Exhibits'!K1582:K1586)),AVERAGE('20250815_ETF_Options_Exhibits'!K1582:K1586),"")</f>
        <v/>
      </c>
      <c r="L1586" s="3">
        <f>IF(ISNUMBER(AVERAGE('20250815_ETF_Options_Exhibits'!L1582:L1586)),AVERAGE('20250815_ETF_Options_Exhibits'!L1582:L1586),"")</f>
        <v/>
      </c>
      <c r="M1586" s="3">
        <f>IF(ISNUMBER(AVERAGE('20250815_ETF_Options_Exhibits'!M1582:M1586)),AVERAGE('20250815_ETF_Options_Exhibits'!M1582:M1586),"")</f>
        <v/>
      </c>
      <c r="N1586" s="3">
        <f>IF(ISNUMBER(AVERAGE('20250815_ETF_Options_Exhibits'!N1582:N1586)),AVERAGE('20250815_ETF_Options_Exhibits'!N1582:N1586),"")</f>
        <v/>
      </c>
      <c r="O1586" s="3">
        <f>IF(ISNUMBER(AVERAGE('20250815_ETF_Options_Exhibits'!O1582:O1586)),AVERAGE('20250815_ETF_Options_Exhibits'!O1582:O1586),"")</f>
        <v/>
      </c>
      <c r="P1586" s="3">
        <f>IF(ISNUMBER(AVERAGE('20250815_ETF_Options_Exhibits'!P1582:P1586)),AVERAGE('20250815_ETF_Options_Exhibits'!P1582:P1586),"")</f>
        <v/>
      </c>
      <c r="Q1586" s="3">
        <f>IF(ISNUMBER(AVERAGE('20250815_ETF_Options_Exhibits'!Q1582:Q1586)),AVERAGE('20250815_ETF_Options_Exhibits'!Q1582:Q1586),"")</f>
        <v/>
      </c>
      <c r="R1586" s="3">
        <f>IF(ISNUMBER(AVERAGE('20250815_ETF_Options_Exhibits'!R1582:R1586)),AVERAGE('20250815_ETF_Options_Exhibits'!R1582:R1586),"")</f>
        <v/>
      </c>
      <c r="S1586" s="3">
        <f>IF(ISNUMBER(AVERAGE('20250815_ETF_Options_Exhibits'!S1582:S1586)),AVERAGE('20250815_ETF_Options_Exhibits'!S1582:S1586),"")</f>
        <v/>
      </c>
      <c r="T1586" s="3">
        <f>IF(ISNUMBER(AVERAGE('20250815_ETF_Options_Exhibits'!T1582:T1586)),AVERAGE('20250815_ETF_Options_Exhibits'!T1582:T1586),"")</f>
        <v/>
      </c>
      <c r="U1586" s="3">
        <f>IF(ISNUMBER(AVERAGE('20250815_ETF_Options_Exhibits'!U1582:U1586)),AVERAGE('20250815_ETF_Options_Exhibits'!U1582:U1586),"")</f>
        <v/>
      </c>
      <c r="V1586" s="3">
        <f>IF(ISNUMBER(AVERAGE('20250815_ETF_Options_Exhibits'!V1582:V1586)),AVERAGE('20250815_ETF_Options_Exhibits'!V1582:V1586),"")</f>
        <v/>
      </c>
      <c r="W1586" s="3">
        <f>IF(ISNUMBER(AVERAGE('20250815_ETF_Options_Exhibits'!W1582:W1586)),AVERAGE('20250815_ETF_Options_Exhibits'!W1582:W1586),"")</f>
        <v/>
      </c>
      <c r="X1586" s="3">
        <f>IF(ISNUMBER(AVERAGE('20250815_ETF_Options_Exhibits'!X1582:X1586)),AVERAGE('20250815_ETF_Options_Exhibits'!X1582:X1586),"")</f>
        <v/>
      </c>
      <c r="Y1586" s="3">
        <f>IF(ISNUMBER(AVERAGE('20250815_ETF_Options_Exhibits'!Y1582:Y1586)),AVERAGE('20250815_ETF_Options_Exhibits'!Y1582:Y1586),"")</f>
        <v/>
      </c>
      <c r="Z1586" s="3">
        <f>IF(ISNUMBER(AVERAGE('20250815_ETF_Options_Exhibits'!Z1582:Z1586)),AVERAGE('20250815_ETF_Options_Exhibits'!Z1582:Z1586),"")</f>
        <v/>
      </c>
      <c r="AA1586" s="3">
        <f>IF(ISNUMBER(AVERAGE('20250815_ETF_Options_Exhibits'!AA1582:AA1586)),AVERAGE('20250815_ETF_Options_Exhibits'!AA1582:AA1586),"")</f>
        <v/>
      </c>
    </row>
    <row r="1587">
      <c r="A1587" s="1" t="n">
        <v>44306</v>
      </c>
      <c r="B1587" s="3">
        <f>IF(ISNUMBER(AVERAGE('20250815_ETF_Options_Exhibits'!B1583:B1587)),AVERAGE('20250815_ETF_Options_Exhibits'!B1583:B1587),"")</f>
        <v/>
      </c>
      <c r="C1587" s="3">
        <f>IF(ISNUMBER(AVERAGE('20250815_ETF_Options_Exhibits'!C1583:C1587)),AVERAGE('20250815_ETF_Options_Exhibits'!C1583:C1587),"")</f>
        <v/>
      </c>
      <c r="D1587" s="3">
        <f>IF(ISNUMBER(AVERAGE('20250815_ETF_Options_Exhibits'!D1583:D1587)),AVERAGE('20250815_ETF_Options_Exhibits'!D1583:D1587),"")</f>
        <v/>
      </c>
      <c r="E1587" s="3">
        <f>IF(ISNUMBER(AVERAGE('20250815_ETF_Options_Exhibits'!E1583:E1587)),AVERAGE('20250815_ETF_Options_Exhibits'!E1583:E1587),"")</f>
        <v/>
      </c>
      <c r="F1587" s="3">
        <f>IF(ISNUMBER(AVERAGE('20250815_ETF_Options_Exhibits'!F1583:F1587)),AVERAGE('20250815_ETF_Options_Exhibits'!F1583:F1587),"")</f>
        <v/>
      </c>
      <c r="G1587" s="3">
        <f>IF(ISNUMBER(AVERAGE('20250815_ETF_Options_Exhibits'!G1583:G1587)),AVERAGE('20250815_ETF_Options_Exhibits'!G1583:G1587),"")</f>
        <v/>
      </c>
      <c r="H1587" s="3">
        <f>IF(ISNUMBER(AVERAGE('20250815_ETF_Options_Exhibits'!H1583:H1587)),AVERAGE('20250815_ETF_Options_Exhibits'!H1583:H1587),"")</f>
        <v/>
      </c>
      <c r="I1587" s="3">
        <f>IF(ISNUMBER(AVERAGE('20250815_ETF_Options_Exhibits'!I1583:I1587)),AVERAGE('20250815_ETF_Options_Exhibits'!I1583:I1587),"")</f>
        <v/>
      </c>
      <c r="J1587" s="3">
        <f>IF(ISNUMBER(AVERAGE('20250815_ETF_Options_Exhibits'!J1583:J1587)),AVERAGE('20250815_ETF_Options_Exhibits'!J1583:J1587),"")</f>
        <v/>
      </c>
      <c r="K1587" s="3">
        <f>IF(ISNUMBER(AVERAGE('20250815_ETF_Options_Exhibits'!K1583:K1587)),AVERAGE('20250815_ETF_Options_Exhibits'!K1583:K1587),"")</f>
        <v/>
      </c>
      <c r="L1587" s="3">
        <f>IF(ISNUMBER(AVERAGE('20250815_ETF_Options_Exhibits'!L1583:L1587)),AVERAGE('20250815_ETF_Options_Exhibits'!L1583:L1587),"")</f>
        <v/>
      </c>
      <c r="M1587" s="3">
        <f>IF(ISNUMBER(AVERAGE('20250815_ETF_Options_Exhibits'!M1583:M1587)),AVERAGE('20250815_ETF_Options_Exhibits'!M1583:M1587),"")</f>
        <v/>
      </c>
      <c r="N1587" s="3">
        <f>IF(ISNUMBER(AVERAGE('20250815_ETF_Options_Exhibits'!N1583:N1587)),AVERAGE('20250815_ETF_Options_Exhibits'!N1583:N1587),"")</f>
        <v/>
      </c>
      <c r="O1587" s="3">
        <f>IF(ISNUMBER(AVERAGE('20250815_ETF_Options_Exhibits'!O1583:O1587)),AVERAGE('20250815_ETF_Options_Exhibits'!O1583:O1587),"")</f>
        <v/>
      </c>
      <c r="P1587" s="3">
        <f>IF(ISNUMBER(AVERAGE('20250815_ETF_Options_Exhibits'!P1583:P1587)),AVERAGE('20250815_ETF_Options_Exhibits'!P1583:P1587),"")</f>
        <v/>
      </c>
      <c r="Q1587" s="3">
        <f>IF(ISNUMBER(AVERAGE('20250815_ETF_Options_Exhibits'!Q1583:Q1587)),AVERAGE('20250815_ETF_Options_Exhibits'!Q1583:Q1587),"")</f>
        <v/>
      </c>
      <c r="R1587" s="3">
        <f>IF(ISNUMBER(AVERAGE('20250815_ETF_Options_Exhibits'!R1583:R1587)),AVERAGE('20250815_ETF_Options_Exhibits'!R1583:R1587),"")</f>
        <v/>
      </c>
      <c r="S1587" s="3">
        <f>IF(ISNUMBER(AVERAGE('20250815_ETF_Options_Exhibits'!S1583:S1587)),AVERAGE('20250815_ETF_Options_Exhibits'!S1583:S1587),"")</f>
        <v/>
      </c>
      <c r="T1587" s="3">
        <f>IF(ISNUMBER(AVERAGE('20250815_ETF_Options_Exhibits'!T1583:T1587)),AVERAGE('20250815_ETF_Options_Exhibits'!T1583:T1587),"")</f>
        <v/>
      </c>
      <c r="U1587" s="3">
        <f>IF(ISNUMBER(AVERAGE('20250815_ETF_Options_Exhibits'!U1583:U1587)),AVERAGE('20250815_ETF_Options_Exhibits'!U1583:U1587),"")</f>
        <v/>
      </c>
      <c r="V1587" s="3">
        <f>IF(ISNUMBER(AVERAGE('20250815_ETF_Options_Exhibits'!V1583:V1587)),AVERAGE('20250815_ETF_Options_Exhibits'!V1583:V1587),"")</f>
        <v/>
      </c>
      <c r="W1587" s="3">
        <f>IF(ISNUMBER(AVERAGE('20250815_ETF_Options_Exhibits'!W1583:W1587)),AVERAGE('20250815_ETF_Options_Exhibits'!W1583:W1587),"")</f>
        <v/>
      </c>
      <c r="X1587" s="3">
        <f>IF(ISNUMBER(AVERAGE('20250815_ETF_Options_Exhibits'!X1583:X1587)),AVERAGE('20250815_ETF_Options_Exhibits'!X1583:X1587),"")</f>
        <v/>
      </c>
      <c r="Y1587" s="3">
        <f>IF(ISNUMBER(AVERAGE('20250815_ETF_Options_Exhibits'!Y1583:Y1587)),AVERAGE('20250815_ETF_Options_Exhibits'!Y1583:Y1587),"")</f>
        <v/>
      </c>
      <c r="Z1587" s="3">
        <f>IF(ISNUMBER(AVERAGE('20250815_ETF_Options_Exhibits'!Z1583:Z1587)),AVERAGE('20250815_ETF_Options_Exhibits'!Z1583:Z1587),"")</f>
        <v/>
      </c>
      <c r="AA1587" s="3">
        <f>IF(ISNUMBER(AVERAGE('20250815_ETF_Options_Exhibits'!AA1583:AA1587)),AVERAGE('20250815_ETF_Options_Exhibits'!AA1583:AA1587),"")</f>
        <v/>
      </c>
    </row>
    <row r="1588">
      <c r="A1588" s="1" t="n">
        <v>44307</v>
      </c>
      <c r="B1588" s="3">
        <f>IF(ISNUMBER(AVERAGE('20250815_ETF_Options_Exhibits'!B1584:B1588)),AVERAGE('20250815_ETF_Options_Exhibits'!B1584:B1588),"")</f>
        <v/>
      </c>
      <c r="C1588" s="3">
        <f>IF(ISNUMBER(AVERAGE('20250815_ETF_Options_Exhibits'!C1584:C1588)),AVERAGE('20250815_ETF_Options_Exhibits'!C1584:C1588),"")</f>
        <v/>
      </c>
      <c r="D1588" s="3">
        <f>IF(ISNUMBER(AVERAGE('20250815_ETF_Options_Exhibits'!D1584:D1588)),AVERAGE('20250815_ETF_Options_Exhibits'!D1584:D1588),"")</f>
        <v/>
      </c>
      <c r="E1588" s="3">
        <f>IF(ISNUMBER(AVERAGE('20250815_ETF_Options_Exhibits'!E1584:E1588)),AVERAGE('20250815_ETF_Options_Exhibits'!E1584:E1588),"")</f>
        <v/>
      </c>
      <c r="F1588" s="3">
        <f>IF(ISNUMBER(AVERAGE('20250815_ETF_Options_Exhibits'!F1584:F1588)),AVERAGE('20250815_ETF_Options_Exhibits'!F1584:F1588),"")</f>
        <v/>
      </c>
      <c r="G1588" s="3">
        <f>IF(ISNUMBER(AVERAGE('20250815_ETF_Options_Exhibits'!G1584:G1588)),AVERAGE('20250815_ETF_Options_Exhibits'!G1584:G1588),"")</f>
        <v/>
      </c>
      <c r="H1588" s="3">
        <f>IF(ISNUMBER(AVERAGE('20250815_ETF_Options_Exhibits'!H1584:H1588)),AVERAGE('20250815_ETF_Options_Exhibits'!H1584:H1588),"")</f>
        <v/>
      </c>
      <c r="I1588" s="3">
        <f>IF(ISNUMBER(AVERAGE('20250815_ETF_Options_Exhibits'!I1584:I1588)),AVERAGE('20250815_ETF_Options_Exhibits'!I1584:I1588),"")</f>
        <v/>
      </c>
      <c r="J1588" s="3">
        <f>IF(ISNUMBER(AVERAGE('20250815_ETF_Options_Exhibits'!J1584:J1588)),AVERAGE('20250815_ETF_Options_Exhibits'!J1584:J1588),"")</f>
        <v/>
      </c>
      <c r="K1588" s="3">
        <f>IF(ISNUMBER(AVERAGE('20250815_ETF_Options_Exhibits'!K1584:K1588)),AVERAGE('20250815_ETF_Options_Exhibits'!K1584:K1588),"")</f>
        <v/>
      </c>
      <c r="L1588" s="3">
        <f>IF(ISNUMBER(AVERAGE('20250815_ETF_Options_Exhibits'!L1584:L1588)),AVERAGE('20250815_ETF_Options_Exhibits'!L1584:L1588),"")</f>
        <v/>
      </c>
      <c r="M1588" s="3">
        <f>IF(ISNUMBER(AVERAGE('20250815_ETF_Options_Exhibits'!M1584:M1588)),AVERAGE('20250815_ETF_Options_Exhibits'!M1584:M1588),"")</f>
        <v/>
      </c>
      <c r="N1588" s="3">
        <f>IF(ISNUMBER(AVERAGE('20250815_ETF_Options_Exhibits'!N1584:N1588)),AVERAGE('20250815_ETF_Options_Exhibits'!N1584:N1588),"")</f>
        <v/>
      </c>
      <c r="O1588" s="3">
        <f>IF(ISNUMBER(AVERAGE('20250815_ETF_Options_Exhibits'!O1584:O1588)),AVERAGE('20250815_ETF_Options_Exhibits'!O1584:O1588),"")</f>
        <v/>
      </c>
      <c r="P1588" s="3">
        <f>IF(ISNUMBER(AVERAGE('20250815_ETF_Options_Exhibits'!P1584:P1588)),AVERAGE('20250815_ETF_Options_Exhibits'!P1584:P1588),"")</f>
        <v/>
      </c>
      <c r="Q1588" s="3">
        <f>IF(ISNUMBER(AVERAGE('20250815_ETF_Options_Exhibits'!Q1584:Q1588)),AVERAGE('20250815_ETF_Options_Exhibits'!Q1584:Q1588),"")</f>
        <v/>
      </c>
      <c r="R1588" s="3">
        <f>IF(ISNUMBER(AVERAGE('20250815_ETF_Options_Exhibits'!R1584:R1588)),AVERAGE('20250815_ETF_Options_Exhibits'!R1584:R1588),"")</f>
        <v/>
      </c>
      <c r="S1588" s="3">
        <f>IF(ISNUMBER(AVERAGE('20250815_ETF_Options_Exhibits'!S1584:S1588)),AVERAGE('20250815_ETF_Options_Exhibits'!S1584:S1588),"")</f>
        <v/>
      </c>
      <c r="T1588" s="3">
        <f>IF(ISNUMBER(AVERAGE('20250815_ETF_Options_Exhibits'!T1584:T1588)),AVERAGE('20250815_ETF_Options_Exhibits'!T1584:T1588),"")</f>
        <v/>
      </c>
      <c r="U1588" s="3">
        <f>IF(ISNUMBER(AVERAGE('20250815_ETF_Options_Exhibits'!U1584:U1588)),AVERAGE('20250815_ETF_Options_Exhibits'!U1584:U1588),"")</f>
        <v/>
      </c>
      <c r="V1588" s="3">
        <f>IF(ISNUMBER(AVERAGE('20250815_ETF_Options_Exhibits'!V1584:V1588)),AVERAGE('20250815_ETF_Options_Exhibits'!V1584:V1588),"")</f>
        <v/>
      </c>
      <c r="W1588" s="3">
        <f>IF(ISNUMBER(AVERAGE('20250815_ETF_Options_Exhibits'!W1584:W1588)),AVERAGE('20250815_ETF_Options_Exhibits'!W1584:W1588),"")</f>
        <v/>
      </c>
      <c r="X1588" s="3">
        <f>IF(ISNUMBER(AVERAGE('20250815_ETF_Options_Exhibits'!X1584:X1588)),AVERAGE('20250815_ETF_Options_Exhibits'!X1584:X1588),"")</f>
        <v/>
      </c>
      <c r="Y1588" s="3">
        <f>IF(ISNUMBER(AVERAGE('20250815_ETF_Options_Exhibits'!Y1584:Y1588)),AVERAGE('20250815_ETF_Options_Exhibits'!Y1584:Y1588),"")</f>
        <v/>
      </c>
      <c r="Z1588" s="3">
        <f>IF(ISNUMBER(AVERAGE('20250815_ETF_Options_Exhibits'!Z1584:Z1588)),AVERAGE('20250815_ETF_Options_Exhibits'!Z1584:Z1588),"")</f>
        <v/>
      </c>
      <c r="AA1588" s="3">
        <f>IF(ISNUMBER(AVERAGE('20250815_ETF_Options_Exhibits'!AA1584:AA1588)),AVERAGE('20250815_ETF_Options_Exhibits'!AA1584:AA1588),"")</f>
        <v/>
      </c>
    </row>
    <row r="1589">
      <c r="A1589" s="1" t="n">
        <v>44308</v>
      </c>
      <c r="B1589" s="3">
        <f>IF(ISNUMBER(AVERAGE('20250815_ETF_Options_Exhibits'!B1585:B1589)),AVERAGE('20250815_ETF_Options_Exhibits'!B1585:B1589),"")</f>
        <v/>
      </c>
      <c r="C1589" s="3">
        <f>IF(ISNUMBER(AVERAGE('20250815_ETF_Options_Exhibits'!C1585:C1589)),AVERAGE('20250815_ETF_Options_Exhibits'!C1585:C1589),"")</f>
        <v/>
      </c>
      <c r="D1589" s="3">
        <f>IF(ISNUMBER(AVERAGE('20250815_ETF_Options_Exhibits'!D1585:D1589)),AVERAGE('20250815_ETF_Options_Exhibits'!D1585:D1589),"")</f>
        <v/>
      </c>
      <c r="E1589" s="3">
        <f>IF(ISNUMBER(AVERAGE('20250815_ETF_Options_Exhibits'!E1585:E1589)),AVERAGE('20250815_ETF_Options_Exhibits'!E1585:E1589),"")</f>
        <v/>
      </c>
      <c r="F1589" s="3">
        <f>IF(ISNUMBER(AVERAGE('20250815_ETF_Options_Exhibits'!F1585:F1589)),AVERAGE('20250815_ETF_Options_Exhibits'!F1585:F1589),"")</f>
        <v/>
      </c>
      <c r="G1589" s="3">
        <f>IF(ISNUMBER(AVERAGE('20250815_ETF_Options_Exhibits'!G1585:G1589)),AVERAGE('20250815_ETF_Options_Exhibits'!G1585:G1589),"")</f>
        <v/>
      </c>
      <c r="H1589" s="3">
        <f>IF(ISNUMBER(AVERAGE('20250815_ETF_Options_Exhibits'!H1585:H1589)),AVERAGE('20250815_ETF_Options_Exhibits'!H1585:H1589),"")</f>
        <v/>
      </c>
      <c r="I1589" s="3">
        <f>IF(ISNUMBER(AVERAGE('20250815_ETF_Options_Exhibits'!I1585:I1589)),AVERAGE('20250815_ETF_Options_Exhibits'!I1585:I1589),"")</f>
        <v/>
      </c>
      <c r="J1589" s="3">
        <f>IF(ISNUMBER(AVERAGE('20250815_ETF_Options_Exhibits'!J1585:J1589)),AVERAGE('20250815_ETF_Options_Exhibits'!J1585:J1589),"")</f>
        <v/>
      </c>
      <c r="K1589" s="3">
        <f>IF(ISNUMBER(AVERAGE('20250815_ETF_Options_Exhibits'!K1585:K1589)),AVERAGE('20250815_ETF_Options_Exhibits'!K1585:K1589),"")</f>
        <v/>
      </c>
      <c r="L1589" s="3">
        <f>IF(ISNUMBER(AVERAGE('20250815_ETF_Options_Exhibits'!L1585:L1589)),AVERAGE('20250815_ETF_Options_Exhibits'!L1585:L1589),"")</f>
        <v/>
      </c>
      <c r="M1589" s="3">
        <f>IF(ISNUMBER(AVERAGE('20250815_ETF_Options_Exhibits'!M1585:M1589)),AVERAGE('20250815_ETF_Options_Exhibits'!M1585:M1589),"")</f>
        <v/>
      </c>
      <c r="N1589" s="3">
        <f>IF(ISNUMBER(AVERAGE('20250815_ETF_Options_Exhibits'!N1585:N1589)),AVERAGE('20250815_ETF_Options_Exhibits'!N1585:N1589),"")</f>
        <v/>
      </c>
      <c r="O1589" s="3">
        <f>IF(ISNUMBER(AVERAGE('20250815_ETF_Options_Exhibits'!O1585:O1589)),AVERAGE('20250815_ETF_Options_Exhibits'!O1585:O1589),"")</f>
        <v/>
      </c>
      <c r="P1589" s="3">
        <f>IF(ISNUMBER(AVERAGE('20250815_ETF_Options_Exhibits'!P1585:P1589)),AVERAGE('20250815_ETF_Options_Exhibits'!P1585:P1589),"")</f>
        <v/>
      </c>
      <c r="Q1589" s="3">
        <f>IF(ISNUMBER(AVERAGE('20250815_ETF_Options_Exhibits'!Q1585:Q1589)),AVERAGE('20250815_ETF_Options_Exhibits'!Q1585:Q1589),"")</f>
        <v/>
      </c>
      <c r="R1589" s="3">
        <f>IF(ISNUMBER(AVERAGE('20250815_ETF_Options_Exhibits'!R1585:R1589)),AVERAGE('20250815_ETF_Options_Exhibits'!R1585:R1589),"")</f>
        <v/>
      </c>
      <c r="S1589" s="3">
        <f>IF(ISNUMBER(AVERAGE('20250815_ETF_Options_Exhibits'!S1585:S1589)),AVERAGE('20250815_ETF_Options_Exhibits'!S1585:S1589),"")</f>
        <v/>
      </c>
      <c r="T1589" s="3">
        <f>IF(ISNUMBER(AVERAGE('20250815_ETF_Options_Exhibits'!T1585:T1589)),AVERAGE('20250815_ETF_Options_Exhibits'!T1585:T1589),"")</f>
        <v/>
      </c>
      <c r="U1589" s="3">
        <f>IF(ISNUMBER(AVERAGE('20250815_ETF_Options_Exhibits'!U1585:U1589)),AVERAGE('20250815_ETF_Options_Exhibits'!U1585:U1589),"")</f>
        <v/>
      </c>
      <c r="V1589" s="3">
        <f>IF(ISNUMBER(AVERAGE('20250815_ETF_Options_Exhibits'!V1585:V1589)),AVERAGE('20250815_ETF_Options_Exhibits'!V1585:V1589),"")</f>
        <v/>
      </c>
      <c r="W1589" s="3">
        <f>IF(ISNUMBER(AVERAGE('20250815_ETF_Options_Exhibits'!W1585:W1589)),AVERAGE('20250815_ETF_Options_Exhibits'!W1585:W1589),"")</f>
        <v/>
      </c>
      <c r="X1589" s="3">
        <f>IF(ISNUMBER(AVERAGE('20250815_ETF_Options_Exhibits'!X1585:X1589)),AVERAGE('20250815_ETF_Options_Exhibits'!X1585:X1589),"")</f>
        <v/>
      </c>
      <c r="Y1589" s="3">
        <f>IF(ISNUMBER(AVERAGE('20250815_ETF_Options_Exhibits'!Y1585:Y1589)),AVERAGE('20250815_ETF_Options_Exhibits'!Y1585:Y1589),"")</f>
        <v/>
      </c>
      <c r="Z1589" s="3">
        <f>IF(ISNUMBER(AVERAGE('20250815_ETF_Options_Exhibits'!Z1585:Z1589)),AVERAGE('20250815_ETF_Options_Exhibits'!Z1585:Z1589),"")</f>
        <v/>
      </c>
      <c r="AA1589" s="3">
        <f>IF(ISNUMBER(AVERAGE('20250815_ETF_Options_Exhibits'!AA1585:AA1589)),AVERAGE('20250815_ETF_Options_Exhibits'!AA1585:AA1589),"")</f>
        <v/>
      </c>
    </row>
    <row r="1590">
      <c r="A1590" s="1" t="n">
        <v>44309</v>
      </c>
      <c r="B1590" s="3">
        <f>IF(ISNUMBER(AVERAGE('20250815_ETF_Options_Exhibits'!B1586:B1590)),AVERAGE('20250815_ETF_Options_Exhibits'!B1586:B1590),"")</f>
        <v/>
      </c>
      <c r="C1590" s="3">
        <f>IF(ISNUMBER(AVERAGE('20250815_ETF_Options_Exhibits'!C1586:C1590)),AVERAGE('20250815_ETF_Options_Exhibits'!C1586:C1590),"")</f>
        <v/>
      </c>
      <c r="D1590" s="3">
        <f>IF(ISNUMBER(AVERAGE('20250815_ETF_Options_Exhibits'!D1586:D1590)),AVERAGE('20250815_ETF_Options_Exhibits'!D1586:D1590),"")</f>
        <v/>
      </c>
      <c r="E1590" s="3">
        <f>IF(ISNUMBER(AVERAGE('20250815_ETF_Options_Exhibits'!E1586:E1590)),AVERAGE('20250815_ETF_Options_Exhibits'!E1586:E1590),"")</f>
        <v/>
      </c>
      <c r="F1590" s="3">
        <f>IF(ISNUMBER(AVERAGE('20250815_ETF_Options_Exhibits'!F1586:F1590)),AVERAGE('20250815_ETF_Options_Exhibits'!F1586:F1590),"")</f>
        <v/>
      </c>
      <c r="G1590" s="3">
        <f>IF(ISNUMBER(AVERAGE('20250815_ETF_Options_Exhibits'!G1586:G1590)),AVERAGE('20250815_ETF_Options_Exhibits'!G1586:G1590),"")</f>
        <v/>
      </c>
      <c r="H1590" s="3">
        <f>IF(ISNUMBER(AVERAGE('20250815_ETF_Options_Exhibits'!H1586:H1590)),AVERAGE('20250815_ETF_Options_Exhibits'!H1586:H1590),"")</f>
        <v/>
      </c>
      <c r="I1590" s="3">
        <f>IF(ISNUMBER(AVERAGE('20250815_ETF_Options_Exhibits'!I1586:I1590)),AVERAGE('20250815_ETF_Options_Exhibits'!I1586:I1590),"")</f>
        <v/>
      </c>
      <c r="J1590" s="3">
        <f>IF(ISNUMBER(AVERAGE('20250815_ETF_Options_Exhibits'!J1586:J1590)),AVERAGE('20250815_ETF_Options_Exhibits'!J1586:J1590),"")</f>
        <v/>
      </c>
      <c r="K1590" s="3">
        <f>IF(ISNUMBER(AVERAGE('20250815_ETF_Options_Exhibits'!K1586:K1590)),AVERAGE('20250815_ETF_Options_Exhibits'!K1586:K1590),"")</f>
        <v/>
      </c>
      <c r="L1590" s="3">
        <f>IF(ISNUMBER(AVERAGE('20250815_ETF_Options_Exhibits'!L1586:L1590)),AVERAGE('20250815_ETF_Options_Exhibits'!L1586:L1590),"")</f>
        <v/>
      </c>
      <c r="M1590" s="3">
        <f>IF(ISNUMBER(AVERAGE('20250815_ETF_Options_Exhibits'!M1586:M1590)),AVERAGE('20250815_ETF_Options_Exhibits'!M1586:M1590),"")</f>
        <v/>
      </c>
      <c r="N1590" s="3">
        <f>IF(ISNUMBER(AVERAGE('20250815_ETF_Options_Exhibits'!N1586:N1590)),AVERAGE('20250815_ETF_Options_Exhibits'!N1586:N1590),"")</f>
        <v/>
      </c>
      <c r="O1590" s="3">
        <f>IF(ISNUMBER(AVERAGE('20250815_ETF_Options_Exhibits'!O1586:O1590)),AVERAGE('20250815_ETF_Options_Exhibits'!O1586:O1590),"")</f>
        <v/>
      </c>
      <c r="P1590" s="3">
        <f>IF(ISNUMBER(AVERAGE('20250815_ETF_Options_Exhibits'!P1586:P1590)),AVERAGE('20250815_ETF_Options_Exhibits'!P1586:P1590),"")</f>
        <v/>
      </c>
      <c r="Q1590" s="3">
        <f>IF(ISNUMBER(AVERAGE('20250815_ETF_Options_Exhibits'!Q1586:Q1590)),AVERAGE('20250815_ETF_Options_Exhibits'!Q1586:Q1590),"")</f>
        <v/>
      </c>
      <c r="R1590" s="3">
        <f>IF(ISNUMBER(AVERAGE('20250815_ETF_Options_Exhibits'!R1586:R1590)),AVERAGE('20250815_ETF_Options_Exhibits'!R1586:R1590),"")</f>
        <v/>
      </c>
      <c r="S1590" s="3">
        <f>IF(ISNUMBER(AVERAGE('20250815_ETF_Options_Exhibits'!S1586:S1590)),AVERAGE('20250815_ETF_Options_Exhibits'!S1586:S1590),"")</f>
        <v/>
      </c>
      <c r="T1590" s="3">
        <f>IF(ISNUMBER(AVERAGE('20250815_ETF_Options_Exhibits'!T1586:T1590)),AVERAGE('20250815_ETF_Options_Exhibits'!T1586:T1590),"")</f>
        <v/>
      </c>
      <c r="U1590" s="3">
        <f>IF(ISNUMBER(AVERAGE('20250815_ETF_Options_Exhibits'!U1586:U1590)),AVERAGE('20250815_ETF_Options_Exhibits'!U1586:U1590),"")</f>
        <v/>
      </c>
      <c r="V1590" s="3">
        <f>IF(ISNUMBER(AVERAGE('20250815_ETF_Options_Exhibits'!V1586:V1590)),AVERAGE('20250815_ETF_Options_Exhibits'!V1586:V1590),"")</f>
        <v/>
      </c>
      <c r="W1590" s="3">
        <f>IF(ISNUMBER(AVERAGE('20250815_ETF_Options_Exhibits'!W1586:W1590)),AVERAGE('20250815_ETF_Options_Exhibits'!W1586:W1590),"")</f>
        <v/>
      </c>
      <c r="X1590" s="3">
        <f>IF(ISNUMBER(AVERAGE('20250815_ETF_Options_Exhibits'!X1586:X1590)),AVERAGE('20250815_ETF_Options_Exhibits'!X1586:X1590),"")</f>
        <v/>
      </c>
      <c r="Y1590" s="3">
        <f>IF(ISNUMBER(AVERAGE('20250815_ETF_Options_Exhibits'!Y1586:Y1590)),AVERAGE('20250815_ETF_Options_Exhibits'!Y1586:Y1590),"")</f>
        <v/>
      </c>
      <c r="Z1590" s="3">
        <f>IF(ISNUMBER(AVERAGE('20250815_ETF_Options_Exhibits'!Z1586:Z1590)),AVERAGE('20250815_ETF_Options_Exhibits'!Z1586:Z1590),"")</f>
        <v/>
      </c>
      <c r="AA1590" s="3">
        <f>IF(ISNUMBER(AVERAGE('20250815_ETF_Options_Exhibits'!AA1586:AA1590)),AVERAGE('20250815_ETF_Options_Exhibits'!AA1586:AA1590),"")</f>
        <v/>
      </c>
    </row>
    <row r="1591">
      <c r="A1591" s="1" t="n">
        <v>44312</v>
      </c>
      <c r="B1591" s="3">
        <f>IF(ISNUMBER(AVERAGE('20250815_ETF_Options_Exhibits'!B1587:B1591)),AVERAGE('20250815_ETF_Options_Exhibits'!B1587:B1591),"")</f>
        <v/>
      </c>
      <c r="C1591" s="3">
        <f>IF(ISNUMBER(AVERAGE('20250815_ETF_Options_Exhibits'!C1587:C1591)),AVERAGE('20250815_ETF_Options_Exhibits'!C1587:C1591),"")</f>
        <v/>
      </c>
      <c r="D1591" s="3">
        <f>IF(ISNUMBER(AVERAGE('20250815_ETF_Options_Exhibits'!D1587:D1591)),AVERAGE('20250815_ETF_Options_Exhibits'!D1587:D1591),"")</f>
        <v/>
      </c>
      <c r="E1591" s="3">
        <f>IF(ISNUMBER(AVERAGE('20250815_ETF_Options_Exhibits'!E1587:E1591)),AVERAGE('20250815_ETF_Options_Exhibits'!E1587:E1591),"")</f>
        <v/>
      </c>
      <c r="F1591" s="3">
        <f>IF(ISNUMBER(AVERAGE('20250815_ETF_Options_Exhibits'!F1587:F1591)),AVERAGE('20250815_ETF_Options_Exhibits'!F1587:F1591),"")</f>
        <v/>
      </c>
      <c r="G1591" s="3">
        <f>IF(ISNUMBER(AVERAGE('20250815_ETF_Options_Exhibits'!G1587:G1591)),AVERAGE('20250815_ETF_Options_Exhibits'!G1587:G1591),"")</f>
        <v/>
      </c>
      <c r="H1591" s="3">
        <f>IF(ISNUMBER(AVERAGE('20250815_ETF_Options_Exhibits'!H1587:H1591)),AVERAGE('20250815_ETF_Options_Exhibits'!H1587:H1591),"")</f>
        <v/>
      </c>
      <c r="I1591" s="3">
        <f>IF(ISNUMBER(AVERAGE('20250815_ETF_Options_Exhibits'!I1587:I1591)),AVERAGE('20250815_ETF_Options_Exhibits'!I1587:I1591),"")</f>
        <v/>
      </c>
      <c r="J1591" s="3">
        <f>IF(ISNUMBER(AVERAGE('20250815_ETF_Options_Exhibits'!J1587:J1591)),AVERAGE('20250815_ETF_Options_Exhibits'!J1587:J1591),"")</f>
        <v/>
      </c>
      <c r="K1591" s="3">
        <f>IF(ISNUMBER(AVERAGE('20250815_ETF_Options_Exhibits'!K1587:K1591)),AVERAGE('20250815_ETF_Options_Exhibits'!K1587:K1591),"")</f>
        <v/>
      </c>
      <c r="L1591" s="3">
        <f>IF(ISNUMBER(AVERAGE('20250815_ETF_Options_Exhibits'!L1587:L1591)),AVERAGE('20250815_ETF_Options_Exhibits'!L1587:L1591),"")</f>
        <v/>
      </c>
      <c r="M1591" s="3">
        <f>IF(ISNUMBER(AVERAGE('20250815_ETF_Options_Exhibits'!M1587:M1591)),AVERAGE('20250815_ETF_Options_Exhibits'!M1587:M1591),"")</f>
        <v/>
      </c>
      <c r="N1591" s="3">
        <f>IF(ISNUMBER(AVERAGE('20250815_ETF_Options_Exhibits'!N1587:N1591)),AVERAGE('20250815_ETF_Options_Exhibits'!N1587:N1591),"")</f>
        <v/>
      </c>
      <c r="O1591" s="3">
        <f>IF(ISNUMBER(AVERAGE('20250815_ETF_Options_Exhibits'!O1587:O1591)),AVERAGE('20250815_ETF_Options_Exhibits'!O1587:O1591),"")</f>
        <v/>
      </c>
      <c r="P1591" s="3">
        <f>IF(ISNUMBER(AVERAGE('20250815_ETF_Options_Exhibits'!P1587:P1591)),AVERAGE('20250815_ETF_Options_Exhibits'!P1587:P1591),"")</f>
        <v/>
      </c>
      <c r="Q1591" s="3">
        <f>IF(ISNUMBER(AVERAGE('20250815_ETF_Options_Exhibits'!Q1587:Q1591)),AVERAGE('20250815_ETF_Options_Exhibits'!Q1587:Q1591),"")</f>
        <v/>
      </c>
      <c r="R1591" s="3">
        <f>IF(ISNUMBER(AVERAGE('20250815_ETF_Options_Exhibits'!R1587:R1591)),AVERAGE('20250815_ETF_Options_Exhibits'!R1587:R1591),"")</f>
        <v/>
      </c>
      <c r="S1591" s="3">
        <f>IF(ISNUMBER(AVERAGE('20250815_ETF_Options_Exhibits'!S1587:S1591)),AVERAGE('20250815_ETF_Options_Exhibits'!S1587:S1591),"")</f>
        <v/>
      </c>
      <c r="T1591" s="3">
        <f>IF(ISNUMBER(AVERAGE('20250815_ETF_Options_Exhibits'!T1587:T1591)),AVERAGE('20250815_ETF_Options_Exhibits'!T1587:T1591),"")</f>
        <v/>
      </c>
      <c r="U1591" s="3">
        <f>IF(ISNUMBER(AVERAGE('20250815_ETF_Options_Exhibits'!U1587:U1591)),AVERAGE('20250815_ETF_Options_Exhibits'!U1587:U1591),"")</f>
        <v/>
      </c>
      <c r="V1591" s="3">
        <f>IF(ISNUMBER(AVERAGE('20250815_ETF_Options_Exhibits'!V1587:V1591)),AVERAGE('20250815_ETF_Options_Exhibits'!V1587:V1591),"")</f>
        <v/>
      </c>
      <c r="W1591" s="3">
        <f>IF(ISNUMBER(AVERAGE('20250815_ETF_Options_Exhibits'!W1587:W1591)),AVERAGE('20250815_ETF_Options_Exhibits'!W1587:W1591),"")</f>
        <v/>
      </c>
      <c r="X1591" s="3">
        <f>IF(ISNUMBER(AVERAGE('20250815_ETF_Options_Exhibits'!X1587:X1591)),AVERAGE('20250815_ETF_Options_Exhibits'!X1587:X1591),"")</f>
        <v/>
      </c>
      <c r="Y1591" s="3">
        <f>IF(ISNUMBER(AVERAGE('20250815_ETF_Options_Exhibits'!Y1587:Y1591)),AVERAGE('20250815_ETF_Options_Exhibits'!Y1587:Y1591),"")</f>
        <v/>
      </c>
      <c r="Z1591" s="3">
        <f>IF(ISNUMBER(AVERAGE('20250815_ETF_Options_Exhibits'!Z1587:Z1591)),AVERAGE('20250815_ETF_Options_Exhibits'!Z1587:Z1591),"")</f>
        <v/>
      </c>
      <c r="AA1591" s="3">
        <f>IF(ISNUMBER(AVERAGE('20250815_ETF_Options_Exhibits'!AA1587:AA1591)),AVERAGE('20250815_ETF_Options_Exhibits'!AA1587:AA1591),"")</f>
        <v/>
      </c>
    </row>
    <row r="1592">
      <c r="A1592" s="1" t="n">
        <v>44313</v>
      </c>
      <c r="B1592" s="3">
        <f>IF(ISNUMBER(AVERAGE('20250815_ETF_Options_Exhibits'!B1588:B1592)),AVERAGE('20250815_ETF_Options_Exhibits'!B1588:B1592),"")</f>
        <v/>
      </c>
      <c r="C1592" s="3">
        <f>IF(ISNUMBER(AVERAGE('20250815_ETF_Options_Exhibits'!C1588:C1592)),AVERAGE('20250815_ETF_Options_Exhibits'!C1588:C1592),"")</f>
        <v/>
      </c>
      <c r="D1592" s="3">
        <f>IF(ISNUMBER(AVERAGE('20250815_ETF_Options_Exhibits'!D1588:D1592)),AVERAGE('20250815_ETF_Options_Exhibits'!D1588:D1592),"")</f>
        <v/>
      </c>
      <c r="E1592" s="3">
        <f>IF(ISNUMBER(AVERAGE('20250815_ETF_Options_Exhibits'!E1588:E1592)),AVERAGE('20250815_ETF_Options_Exhibits'!E1588:E1592),"")</f>
        <v/>
      </c>
      <c r="F1592" s="3">
        <f>IF(ISNUMBER(AVERAGE('20250815_ETF_Options_Exhibits'!F1588:F1592)),AVERAGE('20250815_ETF_Options_Exhibits'!F1588:F1592),"")</f>
        <v/>
      </c>
      <c r="G1592" s="3">
        <f>IF(ISNUMBER(AVERAGE('20250815_ETF_Options_Exhibits'!G1588:G1592)),AVERAGE('20250815_ETF_Options_Exhibits'!G1588:G1592),"")</f>
        <v/>
      </c>
      <c r="H1592" s="3">
        <f>IF(ISNUMBER(AVERAGE('20250815_ETF_Options_Exhibits'!H1588:H1592)),AVERAGE('20250815_ETF_Options_Exhibits'!H1588:H1592),"")</f>
        <v/>
      </c>
      <c r="I1592" s="3">
        <f>IF(ISNUMBER(AVERAGE('20250815_ETF_Options_Exhibits'!I1588:I1592)),AVERAGE('20250815_ETF_Options_Exhibits'!I1588:I1592),"")</f>
        <v/>
      </c>
      <c r="J1592" s="3">
        <f>IF(ISNUMBER(AVERAGE('20250815_ETF_Options_Exhibits'!J1588:J1592)),AVERAGE('20250815_ETF_Options_Exhibits'!J1588:J1592),"")</f>
        <v/>
      </c>
      <c r="K1592" s="3">
        <f>IF(ISNUMBER(AVERAGE('20250815_ETF_Options_Exhibits'!K1588:K1592)),AVERAGE('20250815_ETF_Options_Exhibits'!K1588:K1592),"")</f>
        <v/>
      </c>
      <c r="L1592" s="3">
        <f>IF(ISNUMBER(AVERAGE('20250815_ETF_Options_Exhibits'!L1588:L1592)),AVERAGE('20250815_ETF_Options_Exhibits'!L1588:L1592),"")</f>
        <v/>
      </c>
      <c r="M1592" s="3">
        <f>IF(ISNUMBER(AVERAGE('20250815_ETF_Options_Exhibits'!M1588:M1592)),AVERAGE('20250815_ETF_Options_Exhibits'!M1588:M1592),"")</f>
        <v/>
      </c>
      <c r="N1592" s="3">
        <f>IF(ISNUMBER(AVERAGE('20250815_ETF_Options_Exhibits'!N1588:N1592)),AVERAGE('20250815_ETF_Options_Exhibits'!N1588:N1592),"")</f>
        <v/>
      </c>
      <c r="O1592" s="3">
        <f>IF(ISNUMBER(AVERAGE('20250815_ETF_Options_Exhibits'!O1588:O1592)),AVERAGE('20250815_ETF_Options_Exhibits'!O1588:O1592),"")</f>
        <v/>
      </c>
      <c r="P1592" s="3">
        <f>IF(ISNUMBER(AVERAGE('20250815_ETF_Options_Exhibits'!P1588:P1592)),AVERAGE('20250815_ETF_Options_Exhibits'!P1588:P1592),"")</f>
        <v/>
      </c>
      <c r="Q1592" s="3">
        <f>IF(ISNUMBER(AVERAGE('20250815_ETF_Options_Exhibits'!Q1588:Q1592)),AVERAGE('20250815_ETF_Options_Exhibits'!Q1588:Q1592),"")</f>
        <v/>
      </c>
      <c r="R1592" s="3">
        <f>IF(ISNUMBER(AVERAGE('20250815_ETF_Options_Exhibits'!R1588:R1592)),AVERAGE('20250815_ETF_Options_Exhibits'!R1588:R1592),"")</f>
        <v/>
      </c>
      <c r="S1592" s="3">
        <f>IF(ISNUMBER(AVERAGE('20250815_ETF_Options_Exhibits'!S1588:S1592)),AVERAGE('20250815_ETF_Options_Exhibits'!S1588:S1592),"")</f>
        <v/>
      </c>
      <c r="T1592" s="3">
        <f>IF(ISNUMBER(AVERAGE('20250815_ETF_Options_Exhibits'!T1588:T1592)),AVERAGE('20250815_ETF_Options_Exhibits'!T1588:T1592),"")</f>
        <v/>
      </c>
      <c r="U1592" s="3">
        <f>IF(ISNUMBER(AVERAGE('20250815_ETF_Options_Exhibits'!U1588:U1592)),AVERAGE('20250815_ETF_Options_Exhibits'!U1588:U1592),"")</f>
        <v/>
      </c>
      <c r="V1592" s="3">
        <f>IF(ISNUMBER(AVERAGE('20250815_ETF_Options_Exhibits'!V1588:V1592)),AVERAGE('20250815_ETF_Options_Exhibits'!V1588:V1592),"")</f>
        <v/>
      </c>
      <c r="W1592" s="3">
        <f>IF(ISNUMBER(AVERAGE('20250815_ETF_Options_Exhibits'!W1588:W1592)),AVERAGE('20250815_ETF_Options_Exhibits'!W1588:W1592),"")</f>
        <v/>
      </c>
      <c r="X1592" s="3">
        <f>IF(ISNUMBER(AVERAGE('20250815_ETF_Options_Exhibits'!X1588:X1592)),AVERAGE('20250815_ETF_Options_Exhibits'!X1588:X1592),"")</f>
        <v/>
      </c>
      <c r="Y1592" s="3">
        <f>IF(ISNUMBER(AVERAGE('20250815_ETF_Options_Exhibits'!Y1588:Y1592)),AVERAGE('20250815_ETF_Options_Exhibits'!Y1588:Y1592),"")</f>
        <v/>
      </c>
      <c r="Z1592" s="3">
        <f>IF(ISNUMBER(AVERAGE('20250815_ETF_Options_Exhibits'!Z1588:Z1592)),AVERAGE('20250815_ETF_Options_Exhibits'!Z1588:Z1592),"")</f>
        <v/>
      </c>
      <c r="AA1592" s="3">
        <f>IF(ISNUMBER(AVERAGE('20250815_ETF_Options_Exhibits'!AA1588:AA1592)),AVERAGE('20250815_ETF_Options_Exhibits'!AA1588:AA1592),"")</f>
        <v/>
      </c>
    </row>
    <row r="1593">
      <c r="A1593" s="1" t="n">
        <v>44314</v>
      </c>
      <c r="B1593" s="3">
        <f>IF(ISNUMBER(AVERAGE('20250815_ETF_Options_Exhibits'!B1589:B1593)),AVERAGE('20250815_ETF_Options_Exhibits'!B1589:B1593),"")</f>
        <v/>
      </c>
      <c r="C1593" s="3">
        <f>IF(ISNUMBER(AVERAGE('20250815_ETF_Options_Exhibits'!C1589:C1593)),AVERAGE('20250815_ETF_Options_Exhibits'!C1589:C1593),"")</f>
        <v/>
      </c>
      <c r="D1593" s="3">
        <f>IF(ISNUMBER(AVERAGE('20250815_ETF_Options_Exhibits'!D1589:D1593)),AVERAGE('20250815_ETF_Options_Exhibits'!D1589:D1593),"")</f>
        <v/>
      </c>
      <c r="E1593" s="3">
        <f>IF(ISNUMBER(AVERAGE('20250815_ETF_Options_Exhibits'!E1589:E1593)),AVERAGE('20250815_ETF_Options_Exhibits'!E1589:E1593),"")</f>
        <v/>
      </c>
      <c r="F1593" s="3">
        <f>IF(ISNUMBER(AVERAGE('20250815_ETF_Options_Exhibits'!F1589:F1593)),AVERAGE('20250815_ETF_Options_Exhibits'!F1589:F1593),"")</f>
        <v/>
      </c>
      <c r="G1593" s="3">
        <f>IF(ISNUMBER(AVERAGE('20250815_ETF_Options_Exhibits'!G1589:G1593)),AVERAGE('20250815_ETF_Options_Exhibits'!G1589:G1593),"")</f>
        <v/>
      </c>
      <c r="H1593" s="3">
        <f>IF(ISNUMBER(AVERAGE('20250815_ETF_Options_Exhibits'!H1589:H1593)),AVERAGE('20250815_ETF_Options_Exhibits'!H1589:H1593),"")</f>
        <v/>
      </c>
      <c r="I1593" s="3">
        <f>IF(ISNUMBER(AVERAGE('20250815_ETF_Options_Exhibits'!I1589:I1593)),AVERAGE('20250815_ETF_Options_Exhibits'!I1589:I1593),"")</f>
        <v/>
      </c>
      <c r="J1593" s="3">
        <f>IF(ISNUMBER(AVERAGE('20250815_ETF_Options_Exhibits'!J1589:J1593)),AVERAGE('20250815_ETF_Options_Exhibits'!J1589:J1593),"")</f>
        <v/>
      </c>
      <c r="K1593" s="3">
        <f>IF(ISNUMBER(AVERAGE('20250815_ETF_Options_Exhibits'!K1589:K1593)),AVERAGE('20250815_ETF_Options_Exhibits'!K1589:K1593),"")</f>
        <v/>
      </c>
      <c r="L1593" s="3">
        <f>IF(ISNUMBER(AVERAGE('20250815_ETF_Options_Exhibits'!L1589:L1593)),AVERAGE('20250815_ETF_Options_Exhibits'!L1589:L1593),"")</f>
        <v/>
      </c>
      <c r="M1593" s="3">
        <f>IF(ISNUMBER(AVERAGE('20250815_ETF_Options_Exhibits'!M1589:M1593)),AVERAGE('20250815_ETF_Options_Exhibits'!M1589:M1593),"")</f>
        <v/>
      </c>
      <c r="N1593" s="3">
        <f>IF(ISNUMBER(AVERAGE('20250815_ETF_Options_Exhibits'!N1589:N1593)),AVERAGE('20250815_ETF_Options_Exhibits'!N1589:N1593),"")</f>
        <v/>
      </c>
      <c r="O1593" s="3">
        <f>IF(ISNUMBER(AVERAGE('20250815_ETF_Options_Exhibits'!O1589:O1593)),AVERAGE('20250815_ETF_Options_Exhibits'!O1589:O1593),"")</f>
        <v/>
      </c>
      <c r="P1593" s="3">
        <f>IF(ISNUMBER(AVERAGE('20250815_ETF_Options_Exhibits'!P1589:P1593)),AVERAGE('20250815_ETF_Options_Exhibits'!P1589:P1593),"")</f>
        <v/>
      </c>
      <c r="Q1593" s="3">
        <f>IF(ISNUMBER(AVERAGE('20250815_ETF_Options_Exhibits'!Q1589:Q1593)),AVERAGE('20250815_ETF_Options_Exhibits'!Q1589:Q1593),"")</f>
        <v/>
      </c>
      <c r="R1593" s="3">
        <f>IF(ISNUMBER(AVERAGE('20250815_ETF_Options_Exhibits'!R1589:R1593)),AVERAGE('20250815_ETF_Options_Exhibits'!R1589:R1593),"")</f>
        <v/>
      </c>
      <c r="S1593" s="3">
        <f>IF(ISNUMBER(AVERAGE('20250815_ETF_Options_Exhibits'!S1589:S1593)),AVERAGE('20250815_ETF_Options_Exhibits'!S1589:S1593),"")</f>
        <v/>
      </c>
      <c r="T1593" s="3">
        <f>IF(ISNUMBER(AVERAGE('20250815_ETF_Options_Exhibits'!T1589:T1593)),AVERAGE('20250815_ETF_Options_Exhibits'!T1589:T1593),"")</f>
        <v/>
      </c>
      <c r="U1593" s="3">
        <f>IF(ISNUMBER(AVERAGE('20250815_ETF_Options_Exhibits'!U1589:U1593)),AVERAGE('20250815_ETF_Options_Exhibits'!U1589:U1593),"")</f>
        <v/>
      </c>
      <c r="V1593" s="3">
        <f>IF(ISNUMBER(AVERAGE('20250815_ETF_Options_Exhibits'!V1589:V1593)),AVERAGE('20250815_ETF_Options_Exhibits'!V1589:V1593),"")</f>
        <v/>
      </c>
      <c r="W1593" s="3">
        <f>IF(ISNUMBER(AVERAGE('20250815_ETF_Options_Exhibits'!W1589:W1593)),AVERAGE('20250815_ETF_Options_Exhibits'!W1589:W1593),"")</f>
        <v/>
      </c>
      <c r="X1593" s="3">
        <f>IF(ISNUMBER(AVERAGE('20250815_ETF_Options_Exhibits'!X1589:X1593)),AVERAGE('20250815_ETF_Options_Exhibits'!X1589:X1593),"")</f>
        <v/>
      </c>
      <c r="Y1593" s="3">
        <f>IF(ISNUMBER(AVERAGE('20250815_ETF_Options_Exhibits'!Y1589:Y1593)),AVERAGE('20250815_ETF_Options_Exhibits'!Y1589:Y1593),"")</f>
        <v/>
      </c>
      <c r="Z1593" s="3">
        <f>IF(ISNUMBER(AVERAGE('20250815_ETF_Options_Exhibits'!Z1589:Z1593)),AVERAGE('20250815_ETF_Options_Exhibits'!Z1589:Z1593),"")</f>
        <v/>
      </c>
      <c r="AA1593" s="3">
        <f>IF(ISNUMBER(AVERAGE('20250815_ETF_Options_Exhibits'!AA1589:AA1593)),AVERAGE('20250815_ETF_Options_Exhibits'!AA1589:AA1593),"")</f>
        <v/>
      </c>
    </row>
    <row r="1594">
      <c r="A1594" s="1" t="n">
        <v>44315</v>
      </c>
      <c r="B1594" s="3">
        <f>IF(ISNUMBER(AVERAGE('20250815_ETF_Options_Exhibits'!B1590:B1594)),AVERAGE('20250815_ETF_Options_Exhibits'!B1590:B1594),"")</f>
        <v/>
      </c>
      <c r="C1594" s="3">
        <f>IF(ISNUMBER(AVERAGE('20250815_ETF_Options_Exhibits'!C1590:C1594)),AVERAGE('20250815_ETF_Options_Exhibits'!C1590:C1594),"")</f>
        <v/>
      </c>
      <c r="D1594" s="3">
        <f>IF(ISNUMBER(AVERAGE('20250815_ETF_Options_Exhibits'!D1590:D1594)),AVERAGE('20250815_ETF_Options_Exhibits'!D1590:D1594),"")</f>
        <v/>
      </c>
      <c r="E1594" s="3">
        <f>IF(ISNUMBER(AVERAGE('20250815_ETF_Options_Exhibits'!E1590:E1594)),AVERAGE('20250815_ETF_Options_Exhibits'!E1590:E1594),"")</f>
        <v/>
      </c>
      <c r="F1594" s="3">
        <f>IF(ISNUMBER(AVERAGE('20250815_ETF_Options_Exhibits'!F1590:F1594)),AVERAGE('20250815_ETF_Options_Exhibits'!F1590:F1594),"")</f>
        <v/>
      </c>
      <c r="G1594" s="3">
        <f>IF(ISNUMBER(AVERAGE('20250815_ETF_Options_Exhibits'!G1590:G1594)),AVERAGE('20250815_ETF_Options_Exhibits'!G1590:G1594),"")</f>
        <v/>
      </c>
      <c r="H1594" s="3">
        <f>IF(ISNUMBER(AVERAGE('20250815_ETF_Options_Exhibits'!H1590:H1594)),AVERAGE('20250815_ETF_Options_Exhibits'!H1590:H1594),"")</f>
        <v/>
      </c>
      <c r="I1594" s="3">
        <f>IF(ISNUMBER(AVERAGE('20250815_ETF_Options_Exhibits'!I1590:I1594)),AVERAGE('20250815_ETF_Options_Exhibits'!I1590:I1594),"")</f>
        <v/>
      </c>
      <c r="J1594" s="3">
        <f>IF(ISNUMBER(AVERAGE('20250815_ETF_Options_Exhibits'!J1590:J1594)),AVERAGE('20250815_ETF_Options_Exhibits'!J1590:J1594),"")</f>
        <v/>
      </c>
      <c r="K1594" s="3">
        <f>IF(ISNUMBER(AVERAGE('20250815_ETF_Options_Exhibits'!K1590:K1594)),AVERAGE('20250815_ETF_Options_Exhibits'!K1590:K1594),"")</f>
        <v/>
      </c>
      <c r="L1594" s="3">
        <f>IF(ISNUMBER(AVERAGE('20250815_ETF_Options_Exhibits'!L1590:L1594)),AVERAGE('20250815_ETF_Options_Exhibits'!L1590:L1594),"")</f>
        <v/>
      </c>
      <c r="M1594" s="3">
        <f>IF(ISNUMBER(AVERAGE('20250815_ETF_Options_Exhibits'!M1590:M1594)),AVERAGE('20250815_ETF_Options_Exhibits'!M1590:M1594),"")</f>
        <v/>
      </c>
      <c r="N1594" s="3">
        <f>IF(ISNUMBER(AVERAGE('20250815_ETF_Options_Exhibits'!N1590:N1594)),AVERAGE('20250815_ETF_Options_Exhibits'!N1590:N1594),"")</f>
        <v/>
      </c>
      <c r="O1594" s="3">
        <f>IF(ISNUMBER(AVERAGE('20250815_ETF_Options_Exhibits'!O1590:O1594)),AVERAGE('20250815_ETF_Options_Exhibits'!O1590:O1594),"")</f>
        <v/>
      </c>
      <c r="P1594" s="3">
        <f>IF(ISNUMBER(AVERAGE('20250815_ETF_Options_Exhibits'!P1590:P1594)),AVERAGE('20250815_ETF_Options_Exhibits'!P1590:P1594),"")</f>
        <v/>
      </c>
      <c r="Q1594" s="3">
        <f>IF(ISNUMBER(AVERAGE('20250815_ETF_Options_Exhibits'!Q1590:Q1594)),AVERAGE('20250815_ETF_Options_Exhibits'!Q1590:Q1594),"")</f>
        <v/>
      </c>
      <c r="R1594" s="3">
        <f>IF(ISNUMBER(AVERAGE('20250815_ETF_Options_Exhibits'!R1590:R1594)),AVERAGE('20250815_ETF_Options_Exhibits'!R1590:R1594),"")</f>
        <v/>
      </c>
      <c r="S1594" s="3">
        <f>IF(ISNUMBER(AVERAGE('20250815_ETF_Options_Exhibits'!S1590:S1594)),AVERAGE('20250815_ETF_Options_Exhibits'!S1590:S1594),"")</f>
        <v/>
      </c>
      <c r="T1594" s="3">
        <f>IF(ISNUMBER(AVERAGE('20250815_ETF_Options_Exhibits'!T1590:T1594)),AVERAGE('20250815_ETF_Options_Exhibits'!T1590:T1594),"")</f>
        <v/>
      </c>
      <c r="U1594" s="3">
        <f>IF(ISNUMBER(AVERAGE('20250815_ETF_Options_Exhibits'!U1590:U1594)),AVERAGE('20250815_ETF_Options_Exhibits'!U1590:U1594),"")</f>
        <v/>
      </c>
      <c r="V1594" s="3">
        <f>IF(ISNUMBER(AVERAGE('20250815_ETF_Options_Exhibits'!V1590:V1594)),AVERAGE('20250815_ETF_Options_Exhibits'!V1590:V1594),"")</f>
        <v/>
      </c>
      <c r="W1594" s="3">
        <f>IF(ISNUMBER(AVERAGE('20250815_ETF_Options_Exhibits'!W1590:W1594)),AVERAGE('20250815_ETF_Options_Exhibits'!W1590:W1594),"")</f>
        <v/>
      </c>
      <c r="X1594" s="3">
        <f>IF(ISNUMBER(AVERAGE('20250815_ETF_Options_Exhibits'!X1590:X1594)),AVERAGE('20250815_ETF_Options_Exhibits'!X1590:X1594),"")</f>
        <v/>
      </c>
      <c r="Y1594" s="3">
        <f>IF(ISNUMBER(AVERAGE('20250815_ETF_Options_Exhibits'!Y1590:Y1594)),AVERAGE('20250815_ETF_Options_Exhibits'!Y1590:Y1594),"")</f>
        <v/>
      </c>
      <c r="Z1594" s="3">
        <f>IF(ISNUMBER(AVERAGE('20250815_ETF_Options_Exhibits'!Z1590:Z1594)),AVERAGE('20250815_ETF_Options_Exhibits'!Z1590:Z1594),"")</f>
        <v/>
      </c>
      <c r="AA1594" s="3">
        <f>IF(ISNUMBER(AVERAGE('20250815_ETF_Options_Exhibits'!AA1590:AA1594)),AVERAGE('20250815_ETF_Options_Exhibits'!AA1590:AA1594),"")</f>
        <v/>
      </c>
    </row>
    <row r="1595">
      <c r="A1595" s="1" t="n">
        <v>44316</v>
      </c>
      <c r="B1595" s="3">
        <f>IF(ISNUMBER(AVERAGE('20250815_ETF_Options_Exhibits'!B1591:B1595)),AVERAGE('20250815_ETF_Options_Exhibits'!B1591:B1595),"")</f>
        <v/>
      </c>
      <c r="C1595" s="3">
        <f>IF(ISNUMBER(AVERAGE('20250815_ETF_Options_Exhibits'!C1591:C1595)),AVERAGE('20250815_ETF_Options_Exhibits'!C1591:C1595),"")</f>
        <v/>
      </c>
      <c r="D1595" s="3">
        <f>IF(ISNUMBER(AVERAGE('20250815_ETF_Options_Exhibits'!D1591:D1595)),AVERAGE('20250815_ETF_Options_Exhibits'!D1591:D1595),"")</f>
        <v/>
      </c>
      <c r="E1595" s="3">
        <f>IF(ISNUMBER(AVERAGE('20250815_ETF_Options_Exhibits'!E1591:E1595)),AVERAGE('20250815_ETF_Options_Exhibits'!E1591:E1595),"")</f>
        <v/>
      </c>
      <c r="F1595" s="3">
        <f>IF(ISNUMBER(AVERAGE('20250815_ETF_Options_Exhibits'!F1591:F1595)),AVERAGE('20250815_ETF_Options_Exhibits'!F1591:F1595),"")</f>
        <v/>
      </c>
      <c r="G1595" s="3">
        <f>IF(ISNUMBER(AVERAGE('20250815_ETF_Options_Exhibits'!G1591:G1595)),AVERAGE('20250815_ETF_Options_Exhibits'!G1591:G1595),"")</f>
        <v/>
      </c>
      <c r="H1595" s="3">
        <f>IF(ISNUMBER(AVERAGE('20250815_ETF_Options_Exhibits'!H1591:H1595)),AVERAGE('20250815_ETF_Options_Exhibits'!H1591:H1595),"")</f>
        <v/>
      </c>
      <c r="I1595" s="3">
        <f>IF(ISNUMBER(AVERAGE('20250815_ETF_Options_Exhibits'!I1591:I1595)),AVERAGE('20250815_ETF_Options_Exhibits'!I1591:I1595),"")</f>
        <v/>
      </c>
      <c r="J1595" s="3">
        <f>IF(ISNUMBER(AVERAGE('20250815_ETF_Options_Exhibits'!J1591:J1595)),AVERAGE('20250815_ETF_Options_Exhibits'!J1591:J1595),"")</f>
        <v/>
      </c>
      <c r="K1595" s="3">
        <f>IF(ISNUMBER(AVERAGE('20250815_ETF_Options_Exhibits'!K1591:K1595)),AVERAGE('20250815_ETF_Options_Exhibits'!K1591:K1595),"")</f>
        <v/>
      </c>
      <c r="L1595" s="3">
        <f>IF(ISNUMBER(AVERAGE('20250815_ETF_Options_Exhibits'!L1591:L1595)),AVERAGE('20250815_ETF_Options_Exhibits'!L1591:L1595),"")</f>
        <v/>
      </c>
      <c r="M1595" s="3">
        <f>IF(ISNUMBER(AVERAGE('20250815_ETF_Options_Exhibits'!M1591:M1595)),AVERAGE('20250815_ETF_Options_Exhibits'!M1591:M1595),"")</f>
        <v/>
      </c>
      <c r="N1595" s="3">
        <f>IF(ISNUMBER(AVERAGE('20250815_ETF_Options_Exhibits'!N1591:N1595)),AVERAGE('20250815_ETF_Options_Exhibits'!N1591:N1595),"")</f>
        <v/>
      </c>
      <c r="O1595" s="3">
        <f>IF(ISNUMBER(AVERAGE('20250815_ETF_Options_Exhibits'!O1591:O1595)),AVERAGE('20250815_ETF_Options_Exhibits'!O1591:O1595),"")</f>
        <v/>
      </c>
      <c r="P1595" s="3">
        <f>IF(ISNUMBER(AVERAGE('20250815_ETF_Options_Exhibits'!P1591:P1595)),AVERAGE('20250815_ETF_Options_Exhibits'!P1591:P1595),"")</f>
        <v/>
      </c>
      <c r="Q1595" s="3">
        <f>IF(ISNUMBER(AVERAGE('20250815_ETF_Options_Exhibits'!Q1591:Q1595)),AVERAGE('20250815_ETF_Options_Exhibits'!Q1591:Q1595),"")</f>
        <v/>
      </c>
      <c r="R1595" s="3">
        <f>IF(ISNUMBER(AVERAGE('20250815_ETF_Options_Exhibits'!R1591:R1595)),AVERAGE('20250815_ETF_Options_Exhibits'!R1591:R1595),"")</f>
        <v/>
      </c>
      <c r="S1595" s="3">
        <f>IF(ISNUMBER(AVERAGE('20250815_ETF_Options_Exhibits'!S1591:S1595)),AVERAGE('20250815_ETF_Options_Exhibits'!S1591:S1595),"")</f>
        <v/>
      </c>
      <c r="T1595" s="3">
        <f>IF(ISNUMBER(AVERAGE('20250815_ETF_Options_Exhibits'!T1591:T1595)),AVERAGE('20250815_ETF_Options_Exhibits'!T1591:T1595),"")</f>
        <v/>
      </c>
      <c r="U1595" s="3">
        <f>IF(ISNUMBER(AVERAGE('20250815_ETF_Options_Exhibits'!U1591:U1595)),AVERAGE('20250815_ETF_Options_Exhibits'!U1591:U1595),"")</f>
        <v/>
      </c>
      <c r="V1595" s="3">
        <f>IF(ISNUMBER(AVERAGE('20250815_ETF_Options_Exhibits'!V1591:V1595)),AVERAGE('20250815_ETF_Options_Exhibits'!V1591:V1595),"")</f>
        <v/>
      </c>
      <c r="W1595" s="3">
        <f>IF(ISNUMBER(AVERAGE('20250815_ETF_Options_Exhibits'!W1591:W1595)),AVERAGE('20250815_ETF_Options_Exhibits'!W1591:W1595),"")</f>
        <v/>
      </c>
      <c r="X1595" s="3">
        <f>IF(ISNUMBER(AVERAGE('20250815_ETF_Options_Exhibits'!X1591:X1595)),AVERAGE('20250815_ETF_Options_Exhibits'!X1591:X1595),"")</f>
        <v/>
      </c>
      <c r="Y1595" s="3">
        <f>IF(ISNUMBER(AVERAGE('20250815_ETF_Options_Exhibits'!Y1591:Y1595)),AVERAGE('20250815_ETF_Options_Exhibits'!Y1591:Y1595),"")</f>
        <v/>
      </c>
      <c r="Z1595" s="3">
        <f>IF(ISNUMBER(AVERAGE('20250815_ETF_Options_Exhibits'!Z1591:Z1595)),AVERAGE('20250815_ETF_Options_Exhibits'!Z1591:Z1595),"")</f>
        <v/>
      </c>
      <c r="AA1595" s="3">
        <f>IF(ISNUMBER(AVERAGE('20250815_ETF_Options_Exhibits'!AA1591:AA1595)),AVERAGE('20250815_ETF_Options_Exhibits'!AA1591:AA1595),"")</f>
        <v/>
      </c>
    </row>
    <row r="1596">
      <c r="A1596" s="1" t="n">
        <v>44319</v>
      </c>
      <c r="B1596" s="3">
        <f>IF(ISNUMBER(AVERAGE('20250815_ETF_Options_Exhibits'!B1592:B1596)),AVERAGE('20250815_ETF_Options_Exhibits'!B1592:B1596),"")</f>
        <v/>
      </c>
      <c r="C1596" s="3">
        <f>IF(ISNUMBER(AVERAGE('20250815_ETF_Options_Exhibits'!C1592:C1596)),AVERAGE('20250815_ETF_Options_Exhibits'!C1592:C1596),"")</f>
        <v/>
      </c>
      <c r="D1596" s="3">
        <f>IF(ISNUMBER(AVERAGE('20250815_ETF_Options_Exhibits'!D1592:D1596)),AVERAGE('20250815_ETF_Options_Exhibits'!D1592:D1596),"")</f>
        <v/>
      </c>
      <c r="E1596" s="3">
        <f>IF(ISNUMBER(AVERAGE('20250815_ETF_Options_Exhibits'!E1592:E1596)),AVERAGE('20250815_ETF_Options_Exhibits'!E1592:E1596),"")</f>
        <v/>
      </c>
      <c r="F1596" s="3">
        <f>IF(ISNUMBER(AVERAGE('20250815_ETF_Options_Exhibits'!F1592:F1596)),AVERAGE('20250815_ETF_Options_Exhibits'!F1592:F1596),"")</f>
        <v/>
      </c>
      <c r="G1596" s="3">
        <f>IF(ISNUMBER(AVERAGE('20250815_ETF_Options_Exhibits'!G1592:G1596)),AVERAGE('20250815_ETF_Options_Exhibits'!G1592:G1596),"")</f>
        <v/>
      </c>
      <c r="H1596" s="3">
        <f>IF(ISNUMBER(AVERAGE('20250815_ETF_Options_Exhibits'!H1592:H1596)),AVERAGE('20250815_ETF_Options_Exhibits'!H1592:H1596),"")</f>
        <v/>
      </c>
      <c r="I1596" s="3">
        <f>IF(ISNUMBER(AVERAGE('20250815_ETF_Options_Exhibits'!I1592:I1596)),AVERAGE('20250815_ETF_Options_Exhibits'!I1592:I1596),"")</f>
        <v/>
      </c>
      <c r="J1596" s="3">
        <f>IF(ISNUMBER(AVERAGE('20250815_ETF_Options_Exhibits'!J1592:J1596)),AVERAGE('20250815_ETF_Options_Exhibits'!J1592:J1596),"")</f>
        <v/>
      </c>
      <c r="K1596" s="3">
        <f>IF(ISNUMBER(AVERAGE('20250815_ETF_Options_Exhibits'!K1592:K1596)),AVERAGE('20250815_ETF_Options_Exhibits'!K1592:K1596),"")</f>
        <v/>
      </c>
      <c r="L1596" s="3">
        <f>IF(ISNUMBER(AVERAGE('20250815_ETF_Options_Exhibits'!L1592:L1596)),AVERAGE('20250815_ETF_Options_Exhibits'!L1592:L1596),"")</f>
        <v/>
      </c>
      <c r="M1596" s="3">
        <f>IF(ISNUMBER(AVERAGE('20250815_ETF_Options_Exhibits'!M1592:M1596)),AVERAGE('20250815_ETF_Options_Exhibits'!M1592:M1596),"")</f>
        <v/>
      </c>
      <c r="N1596" s="3">
        <f>IF(ISNUMBER(AVERAGE('20250815_ETF_Options_Exhibits'!N1592:N1596)),AVERAGE('20250815_ETF_Options_Exhibits'!N1592:N1596),"")</f>
        <v/>
      </c>
      <c r="O1596" s="3">
        <f>IF(ISNUMBER(AVERAGE('20250815_ETF_Options_Exhibits'!O1592:O1596)),AVERAGE('20250815_ETF_Options_Exhibits'!O1592:O1596),"")</f>
        <v/>
      </c>
      <c r="P1596" s="3">
        <f>IF(ISNUMBER(AVERAGE('20250815_ETF_Options_Exhibits'!P1592:P1596)),AVERAGE('20250815_ETF_Options_Exhibits'!P1592:P1596),"")</f>
        <v/>
      </c>
      <c r="Q1596" s="3">
        <f>IF(ISNUMBER(AVERAGE('20250815_ETF_Options_Exhibits'!Q1592:Q1596)),AVERAGE('20250815_ETF_Options_Exhibits'!Q1592:Q1596),"")</f>
        <v/>
      </c>
      <c r="R1596" s="3">
        <f>IF(ISNUMBER(AVERAGE('20250815_ETF_Options_Exhibits'!R1592:R1596)),AVERAGE('20250815_ETF_Options_Exhibits'!R1592:R1596),"")</f>
        <v/>
      </c>
      <c r="S1596" s="3">
        <f>IF(ISNUMBER(AVERAGE('20250815_ETF_Options_Exhibits'!S1592:S1596)),AVERAGE('20250815_ETF_Options_Exhibits'!S1592:S1596),"")</f>
        <v/>
      </c>
      <c r="T1596" s="3">
        <f>IF(ISNUMBER(AVERAGE('20250815_ETF_Options_Exhibits'!T1592:T1596)),AVERAGE('20250815_ETF_Options_Exhibits'!T1592:T1596),"")</f>
        <v/>
      </c>
      <c r="U1596" s="3">
        <f>IF(ISNUMBER(AVERAGE('20250815_ETF_Options_Exhibits'!U1592:U1596)),AVERAGE('20250815_ETF_Options_Exhibits'!U1592:U1596),"")</f>
        <v/>
      </c>
      <c r="V1596" s="3">
        <f>IF(ISNUMBER(AVERAGE('20250815_ETF_Options_Exhibits'!V1592:V1596)),AVERAGE('20250815_ETF_Options_Exhibits'!V1592:V1596),"")</f>
        <v/>
      </c>
      <c r="W1596" s="3">
        <f>IF(ISNUMBER(AVERAGE('20250815_ETF_Options_Exhibits'!W1592:W1596)),AVERAGE('20250815_ETF_Options_Exhibits'!W1592:W1596),"")</f>
        <v/>
      </c>
      <c r="X1596" s="3">
        <f>IF(ISNUMBER(AVERAGE('20250815_ETF_Options_Exhibits'!X1592:X1596)),AVERAGE('20250815_ETF_Options_Exhibits'!X1592:X1596),"")</f>
        <v/>
      </c>
      <c r="Y1596" s="3">
        <f>IF(ISNUMBER(AVERAGE('20250815_ETF_Options_Exhibits'!Y1592:Y1596)),AVERAGE('20250815_ETF_Options_Exhibits'!Y1592:Y1596),"")</f>
        <v/>
      </c>
      <c r="Z1596" s="3">
        <f>IF(ISNUMBER(AVERAGE('20250815_ETF_Options_Exhibits'!Z1592:Z1596)),AVERAGE('20250815_ETF_Options_Exhibits'!Z1592:Z1596),"")</f>
        <v/>
      </c>
      <c r="AA1596" s="3">
        <f>IF(ISNUMBER(AVERAGE('20250815_ETF_Options_Exhibits'!AA1592:AA1596)),AVERAGE('20250815_ETF_Options_Exhibits'!AA1592:AA1596),"")</f>
        <v/>
      </c>
    </row>
    <row r="1597">
      <c r="A1597" s="1" t="n">
        <v>44320</v>
      </c>
      <c r="B1597" s="3">
        <f>IF(ISNUMBER(AVERAGE('20250815_ETF_Options_Exhibits'!B1593:B1597)),AVERAGE('20250815_ETF_Options_Exhibits'!B1593:B1597),"")</f>
        <v/>
      </c>
      <c r="C1597" s="3">
        <f>IF(ISNUMBER(AVERAGE('20250815_ETF_Options_Exhibits'!C1593:C1597)),AVERAGE('20250815_ETF_Options_Exhibits'!C1593:C1597),"")</f>
        <v/>
      </c>
      <c r="D1597" s="3">
        <f>IF(ISNUMBER(AVERAGE('20250815_ETF_Options_Exhibits'!D1593:D1597)),AVERAGE('20250815_ETF_Options_Exhibits'!D1593:D1597),"")</f>
        <v/>
      </c>
      <c r="E1597" s="3">
        <f>IF(ISNUMBER(AVERAGE('20250815_ETF_Options_Exhibits'!E1593:E1597)),AVERAGE('20250815_ETF_Options_Exhibits'!E1593:E1597),"")</f>
        <v/>
      </c>
      <c r="F1597" s="3">
        <f>IF(ISNUMBER(AVERAGE('20250815_ETF_Options_Exhibits'!F1593:F1597)),AVERAGE('20250815_ETF_Options_Exhibits'!F1593:F1597),"")</f>
        <v/>
      </c>
      <c r="G1597" s="3">
        <f>IF(ISNUMBER(AVERAGE('20250815_ETF_Options_Exhibits'!G1593:G1597)),AVERAGE('20250815_ETF_Options_Exhibits'!G1593:G1597),"")</f>
        <v/>
      </c>
      <c r="H1597" s="3">
        <f>IF(ISNUMBER(AVERAGE('20250815_ETF_Options_Exhibits'!H1593:H1597)),AVERAGE('20250815_ETF_Options_Exhibits'!H1593:H1597),"")</f>
        <v/>
      </c>
      <c r="I1597" s="3">
        <f>IF(ISNUMBER(AVERAGE('20250815_ETF_Options_Exhibits'!I1593:I1597)),AVERAGE('20250815_ETF_Options_Exhibits'!I1593:I1597),"")</f>
        <v/>
      </c>
      <c r="J1597" s="3">
        <f>IF(ISNUMBER(AVERAGE('20250815_ETF_Options_Exhibits'!J1593:J1597)),AVERAGE('20250815_ETF_Options_Exhibits'!J1593:J1597),"")</f>
        <v/>
      </c>
      <c r="K1597" s="3">
        <f>IF(ISNUMBER(AVERAGE('20250815_ETF_Options_Exhibits'!K1593:K1597)),AVERAGE('20250815_ETF_Options_Exhibits'!K1593:K1597),"")</f>
        <v/>
      </c>
      <c r="L1597" s="3">
        <f>IF(ISNUMBER(AVERAGE('20250815_ETF_Options_Exhibits'!L1593:L1597)),AVERAGE('20250815_ETF_Options_Exhibits'!L1593:L1597),"")</f>
        <v/>
      </c>
      <c r="M1597" s="3">
        <f>IF(ISNUMBER(AVERAGE('20250815_ETF_Options_Exhibits'!M1593:M1597)),AVERAGE('20250815_ETF_Options_Exhibits'!M1593:M1597),"")</f>
        <v/>
      </c>
      <c r="N1597" s="3">
        <f>IF(ISNUMBER(AVERAGE('20250815_ETF_Options_Exhibits'!N1593:N1597)),AVERAGE('20250815_ETF_Options_Exhibits'!N1593:N1597),"")</f>
        <v/>
      </c>
      <c r="O1597" s="3">
        <f>IF(ISNUMBER(AVERAGE('20250815_ETF_Options_Exhibits'!O1593:O1597)),AVERAGE('20250815_ETF_Options_Exhibits'!O1593:O1597),"")</f>
        <v/>
      </c>
      <c r="P1597" s="3">
        <f>IF(ISNUMBER(AVERAGE('20250815_ETF_Options_Exhibits'!P1593:P1597)),AVERAGE('20250815_ETF_Options_Exhibits'!P1593:P1597),"")</f>
        <v/>
      </c>
      <c r="Q1597" s="3">
        <f>IF(ISNUMBER(AVERAGE('20250815_ETF_Options_Exhibits'!Q1593:Q1597)),AVERAGE('20250815_ETF_Options_Exhibits'!Q1593:Q1597),"")</f>
        <v/>
      </c>
      <c r="R1597" s="3">
        <f>IF(ISNUMBER(AVERAGE('20250815_ETF_Options_Exhibits'!R1593:R1597)),AVERAGE('20250815_ETF_Options_Exhibits'!R1593:R1597),"")</f>
        <v/>
      </c>
      <c r="S1597" s="3">
        <f>IF(ISNUMBER(AVERAGE('20250815_ETF_Options_Exhibits'!S1593:S1597)),AVERAGE('20250815_ETF_Options_Exhibits'!S1593:S1597),"")</f>
        <v/>
      </c>
      <c r="T1597" s="3">
        <f>IF(ISNUMBER(AVERAGE('20250815_ETF_Options_Exhibits'!T1593:T1597)),AVERAGE('20250815_ETF_Options_Exhibits'!T1593:T1597),"")</f>
        <v/>
      </c>
      <c r="U1597" s="3">
        <f>IF(ISNUMBER(AVERAGE('20250815_ETF_Options_Exhibits'!U1593:U1597)),AVERAGE('20250815_ETF_Options_Exhibits'!U1593:U1597),"")</f>
        <v/>
      </c>
      <c r="V1597" s="3">
        <f>IF(ISNUMBER(AVERAGE('20250815_ETF_Options_Exhibits'!V1593:V1597)),AVERAGE('20250815_ETF_Options_Exhibits'!V1593:V1597),"")</f>
        <v/>
      </c>
      <c r="W1597" s="3">
        <f>IF(ISNUMBER(AVERAGE('20250815_ETF_Options_Exhibits'!W1593:W1597)),AVERAGE('20250815_ETF_Options_Exhibits'!W1593:W1597),"")</f>
        <v/>
      </c>
      <c r="X1597" s="3">
        <f>IF(ISNUMBER(AVERAGE('20250815_ETF_Options_Exhibits'!X1593:X1597)),AVERAGE('20250815_ETF_Options_Exhibits'!X1593:X1597),"")</f>
        <v/>
      </c>
      <c r="Y1597" s="3">
        <f>IF(ISNUMBER(AVERAGE('20250815_ETF_Options_Exhibits'!Y1593:Y1597)),AVERAGE('20250815_ETF_Options_Exhibits'!Y1593:Y1597),"")</f>
        <v/>
      </c>
      <c r="Z1597" s="3">
        <f>IF(ISNUMBER(AVERAGE('20250815_ETF_Options_Exhibits'!Z1593:Z1597)),AVERAGE('20250815_ETF_Options_Exhibits'!Z1593:Z1597),"")</f>
        <v/>
      </c>
      <c r="AA1597" s="3">
        <f>IF(ISNUMBER(AVERAGE('20250815_ETF_Options_Exhibits'!AA1593:AA1597)),AVERAGE('20250815_ETF_Options_Exhibits'!AA1593:AA1597),"")</f>
        <v/>
      </c>
    </row>
    <row r="1598">
      <c r="A1598" s="1" t="n">
        <v>44321</v>
      </c>
      <c r="B1598" s="3">
        <f>IF(ISNUMBER(AVERAGE('20250815_ETF_Options_Exhibits'!B1594:B1598)),AVERAGE('20250815_ETF_Options_Exhibits'!B1594:B1598),"")</f>
        <v/>
      </c>
      <c r="C1598" s="3">
        <f>IF(ISNUMBER(AVERAGE('20250815_ETF_Options_Exhibits'!C1594:C1598)),AVERAGE('20250815_ETF_Options_Exhibits'!C1594:C1598),"")</f>
        <v/>
      </c>
      <c r="D1598" s="3">
        <f>IF(ISNUMBER(AVERAGE('20250815_ETF_Options_Exhibits'!D1594:D1598)),AVERAGE('20250815_ETF_Options_Exhibits'!D1594:D1598),"")</f>
        <v/>
      </c>
      <c r="E1598" s="3">
        <f>IF(ISNUMBER(AVERAGE('20250815_ETF_Options_Exhibits'!E1594:E1598)),AVERAGE('20250815_ETF_Options_Exhibits'!E1594:E1598),"")</f>
        <v/>
      </c>
      <c r="F1598" s="3">
        <f>IF(ISNUMBER(AVERAGE('20250815_ETF_Options_Exhibits'!F1594:F1598)),AVERAGE('20250815_ETF_Options_Exhibits'!F1594:F1598),"")</f>
        <v/>
      </c>
      <c r="G1598" s="3">
        <f>IF(ISNUMBER(AVERAGE('20250815_ETF_Options_Exhibits'!G1594:G1598)),AVERAGE('20250815_ETF_Options_Exhibits'!G1594:G1598),"")</f>
        <v/>
      </c>
      <c r="H1598" s="3">
        <f>IF(ISNUMBER(AVERAGE('20250815_ETF_Options_Exhibits'!H1594:H1598)),AVERAGE('20250815_ETF_Options_Exhibits'!H1594:H1598),"")</f>
        <v/>
      </c>
      <c r="I1598" s="3">
        <f>IF(ISNUMBER(AVERAGE('20250815_ETF_Options_Exhibits'!I1594:I1598)),AVERAGE('20250815_ETF_Options_Exhibits'!I1594:I1598),"")</f>
        <v/>
      </c>
      <c r="J1598" s="3">
        <f>IF(ISNUMBER(AVERAGE('20250815_ETF_Options_Exhibits'!J1594:J1598)),AVERAGE('20250815_ETF_Options_Exhibits'!J1594:J1598),"")</f>
        <v/>
      </c>
      <c r="K1598" s="3">
        <f>IF(ISNUMBER(AVERAGE('20250815_ETF_Options_Exhibits'!K1594:K1598)),AVERAGE('20250815_ETF_Options_Exhibits'!K1594:K1598),"")</f>
        <v/>
      </c>
      <c r="L1598" s="3">
        <f>IF(ISNUMBER(AVERAGE('20250815_ETF_Options_Exhibits'!L1594:L1598)),AVERAGE('20250815_ETF_Options_Exhibits'!L1594:L1598),"")</f>
        <v/>
      </c>
      <c r="M1598" s="3">
        <f>IF(ISNUMBER(AVERAGE('20250815_ETF_Options_Exhibits'!M1594:M1598)),AVERAGE('20250815_ETF_Options_Exhibits'!M1594:M1598),"")</f>
        <v/>
      </c>
      <c r="N1598" s="3">
        <f>IF(ISNUMBER(AVERAGE('20250815_ETF_Options_Exhibits'!N1594:N1598)),AVERAGE('20250815_ETF_Options_Exhibits'!N1594:N1598),"")</f>
        <v/>
      </c>
      <c r="O1598" s="3">
        <f>IF(ISNUMBER(AVERAGE('20250815_ETF_Options_Exhibits'!O1594:O1598)),AVERAGE('20250815_ETF_Options_Exhibits'!O1594:O1598),"")</f>
        <v/>
      </c>
      <c r="P1598" s="3">
        <f>IF(ISNUMBER(AVERAGE('20250815_ETF_Options_Exhibits'!P1594:P1598)),AVERAGE('20250815_ETF_Options_Exhibits'!P1594:P1598),"")</f>
        <v/>
      </c>
      <c r="Q1598" s="3">
        <f>IF(ISNUMBER(AVERAGE('20250815_ETF_Options_Exhibits'!Q1594:Q1598)),AVERAGE('20250815_ETF_Options_Exhibits'!Q1594:Q1598),"")</f>
        <v/>
      </c>
      <c r="R1598" s="3">
        <f>IF(ISNUMBER(AVERAGE('20250815_ETF_Options_Exhibits'!R1594:R1598)),AVERAGE('20250815_ETF_Options_Exhibits'!R1594:R1598),"")</f>
        <v/>
      </c>
      <c r="S1598" s="3">
        <f>IF(ISNUMBER(AVERAGE('20250815_ETF_Options_Exhibits'!S1594:S1598)),AVERAGE('20250815_ETF_Options_Exhibits'!S1594:S1598),"")</f>
        <v/>
      </c>
      <c r="T1598" s="3">
        <f>IF(ISNUMBER(AVERAGE('20250815_ETF_Options_Exhibits'!T1594:T1598)),AVERAGE('20250815_ETF_Options_Exhibits'!T1594:T1598),"")</f>
        <v/>
      </c>
      <c r="U1598" s="3">
        <f>IF(ISNUMBER(AVERAGE('20250815_ETF_Options_Exhibits'!U1594:U1598)),AVERAGE('20250815_ETF_Options_Exhibits'!U1594:U1598),"")</f>
        <v/>
      </c>
      <c r="V1598" s="3">
        <f>IF(ISNUMBER(AVERAGE('20250815_ETF_Options_Exhibits'!V1594:V1598)),AVERAGE('20250815_ETF_Options_Exhibits'!V1594:V1598),"")</f>
        <v/>
      </c>
      <c r="W1598" s="3">
        <f>IF(ISNUMBER(AVERAGE('20250815_ETF_Options_Exhibits'!W1594:W1598)),AVERAGE('20250815_ETF_Options_Exhibits'!W1594:W1598),"")</f>
        <v/>
      </c>
      <c r="X1598" s="3">
        <f>IF(ISNUMBER(AVERAGE('20250815_ETF_Options_Exhibits'!X1594:X1598)),AVERAGE('20250815_ETF_Options_Exhibits'!X1594:X1598),"")</f>
        <v/>
      </c>
      <c r="Y1598" s="3">
        <f>IF(ISNUMBER(AVERAGE('20250815_ETF_Options_Exhibits'!Y1594:Y1598)),AVERAGE('20250815_ETF_Options_Exhibits'!Y1594:Y1598),"")</f>
        <v/>
      </c>
      <c r="Z1598" s="3">
        <f>IF(ISNUMBER(AVERAGE('20250815_ETF_Options_Exhibits'!Z1594:Z1598)),AVERAGE('20250815_ETF_Options_Exhibits'!Z1594:Z1598),"")</f>
        <v/>
      </c>
      <c r="AA1598" s="3">
        <f>IF(ISNUMBER(AVERAGE('20250815_ETF_Options_Exhibits'!AA1594:AA1598)),AVERAGE('20250815_ETF_Options_Exhibits'!AA1594:AA1598),"")</f>
        <v/>
      </c>
    </row>
    <row r="1599">
      <c r="A1599" s="1" t="n">
        <v>44322</v>
      </c>
      <c r="B1599" s="3">
        <f>IF(ISNUMBER(AVERAGE('20250815_ETF_Options_Exhibits'!B1595:B1599)),AVERAGE('20250815_ETF_Options_Exhibits'!B1595:B1599),"")</f>
        <v/>
      </c>
      <c r="C1599" s="3">
        <f>IF(ISNUMBER(AVERAGE('20250815_ETF_Options_Exhibits'!C1595:C1599)),AVERAGE('20250815_ETF_Options_Exhibits'!C1595:C1599),"")</f>
        <v/>
      </c>
      <c r="D1599" s="3">
        <f>IF(ISNUMBER(AVERAGE('20250815_ETF_Options_Exhibits'!D1595:D1599)),AVERAGE('20250815_ETF_Options_Exhibits'!D1595:D1599),"")</f>
        <v/>
      </c>
      <c r="E1599" s="3">
        <f>IF(ISNUMBER(AVERAGE('20250815_ETF_Options_Exhibits'!E1595:E1599)),AVERAGE('20250815_ETF_Options_Exhibits'!E1595:E1599),"")</f>
        <v/>
      </c>
      <c r="F1599" s="3">
        <f>IF(ISNUMBER(AVERAGE('20250815_ETF_Options_Exhibits'!F1595:F1599)),AVERAGE('20250815_ETF_Options_Exhibits'!F1595:F1599),"")</f>
        <v/>
      </c>
      <c r="G1599" s="3">
        <f>IF(ISNUMBER(AVERAGE('20250815_ETF_Options_Exhibits'!G1595:G1599)),AVERAGE('20250815_ETF_Options_Exhibits'!G1595:G1599),"")</f>
        <v/>
      </c>
      <c r="H1599" s="3">
        <f>IF(ISNUMBER(AVERAGE('20250815_ETF_Options_Exhibits'!H1595:H1599)),AVERAGE('20250815_ETF_Options_Exhibits'!H1595:H1599),"")</f>
        <v/>
      </c>
      <c r="I1599" s="3">
        <f>IF(ISNUMBER(AVERAGE('20250815_ETF_Options_Exhibits'!I1595:I1599)),AVERAGE('20250815_ETF_Options_Exhibits'!I1595:I1599),"")</f>
        <v/>
      </c>
      <c r="J1599" s="3">
        <f>IF(ISNUMBER(AVERAGE('20250815_ETF_Options_Exhibits'!J1595:J1599)),AVERAGE('20250815_ETF_Options_Exhibits'!J1595:J1599),"")</f>
        <v/>
      </c>
      <c r="K1599" s="3">
        <f>IF(ISNUMBER(AVERAGE('20250815_ETF_Options_Exhibits'!K1595:K1599)),AVERAGE('20250815_ETF_Options_Exhibits'!K1595:K1599),"")</f>
        <v/>
      </c>
      <c r="L1599" s="3">
        <f>IF(ISNUMBER(AVERAGE('20250815_ETF_Options_Exhibits'!L1595:L1599)),AVERAGE('20250815_ETF_Options_Exhibits'!L1595:L1599),"")</f>
        <v/>
      </c>
      <c r="M1599" s="3">
        <f>IF(ISNUMBER(AVERAGE('20250815_ETF_Options_Exhibits'!M1595:M1599)),AVERAGE('20250815_ETF_Options_Exhibits'!M1595:M1599),"")</f>
        <v/>
      </c>
      <c r="N1599" s="3">
        <f>IF(ISNUMBER(AVERAGE('20250815_ETF_Options_Exhibits'!N1595:N1599)),AVERAGE('20250815_ETF_Options_Exhibits'!N1595:N1599),"")</f>
        <v/>
      </c>
      <c r="O1599" s="3">
        <f>IF(ISNUMBER(AVERAGE('20250815_ETF_Options_Exhibits'!O1595:O1599)),AVERAGE('20250815_ETF_Options_Exhibits'!O1595:O1599),"")</f>
        <v/>
      </c>
      <c r="P1599" s="3">
        <f>IF(ISNUMBER(AVERAGE('20250815_ETF_Options_Exhibits'!P1595:P1599)),AVERAGE('20250815_ETF_Options_Exhibits'!P1595:P1599),"")</f>
        <v/>
      </c>
      <c r="Q1599" s="3">
        <f>IF(ISNUMBER(AVERAGE('20250815_ETF_Options_Exhibits'!Q1595:Q1599)),AVERAGE('20250815_ETF_Options_Exhibits'!Q1595:Q1599),"")</f>
        <v/>
      </c>
      <c r="R1599" s="3">
        <f>IF(ISNUMBER(AVERAGE('20250815_ETF_Options_Exhibits'!R1595:R1599)),AVERAGE('20250815_ETF_Options_Exhibits'!R1595:R1599),"")</f>
        <v/>
      </c>
      <c r="S1599" s="3">
        <f>IF(ISNUMBER(AVERAGE('20250815_ETF_Options_Exhibits'!S1595:S1599)),AVERAGE('20250815_ETF_Options_Exhibits'!S1595:S1599),"")</f>
        <v/>
      </c>
      <c r="T1599" s="3">
        <f>IF(ISNUMBER(AVERAGE('20250815_ETF_Options_Exhibits'!T1595:T1599)),AVERAGE('20250815_ETF_Options_Exhibits'!T1595:T1599),"")</f>
        <v/>
      </c>
      <c r="U1599" s="3">
        <f>IF(ISNUMBER(AVERAGE('20250815_ETF_Options_Exhibits'!U1595:U1599)),AVERAGE('20250815_ETF_Options_Exhibits'!U1595:U1599),"")</f>
        <v/>
      </c>
      <c r="V1599" s="3">
        <f>IF(ISNUMBER(AVERAGE('20250815_ETF_Options_Exhibits'!V1595:V1599)),AVERAGE('20250815_ETF_Options_Exhibits'!V1595:V1599),"")</f>
        <v/>
      </c>
      <c r="W1599" s="3">
        <f>IF(ISNUMBER(AVERAGE('20250815_ETF_Options_Exhibits'!W1595:W1599)),AVERAGE('20250815_ETF_Options_Exhibits'!W1595:W1599),"")</f>
        <v/>
      </c>
      <c r="X1599" s="3">
        <f>IF(ISNUMBER(AVERAGE('20250815_ETF_Options_Exhibits'!X1595:X1599)),AVERAGE('20250815_ETF_Options_Exhibits'!X1595:X1599),"")</f>
        <v/>
      </c>
      <c r="Y1599" s="3">
        <f>IF(ISNUMBER(AVERAGE('20250815_ETF_Options_Exhibits'!Y1595:Y1599)),AVERAGE('20250815_ETF_Options_Exhibits'!Y1595:Y1599),"")</f>
        <v/>
      </c>
      <c r="Z1599" s="3">
        <f>IF(ISNUMBER(AVERAGE('20250815_ETF_Options_Exhibits'!Z1595:Z1599)),AVERAGE('20250815_ETF_Options_Exhibits'!Z1595:Z1599),"")</f>
        <v/>
      </c>
      <c r="AA1599" s="3">
        <f>IF(ISNUMBER(AVERAGE('20250815_ETF_Options_Exhibits'!AA1595:AA1599)),AVERAGE('20250815_ETF_Options_Exhibits'!AA1595:AA1599),"")</f>
        <v/>
      </c>
    </row>
    <row r="1600">
      <c r="A1600" s="1" t="n">
        <v>44323</v>
      </c>
      <c r="B1600" s="3">
        <f>IF(ISNUMBER(AVERAGE('20250815_ETF_Options_Exhibits'!B1596:B1600)),AVERAGE('20250815_ETF_Options_Exhibits'!B1596:B1600),"")</f>
        <v/>
      </c>
      <c r="C1600" s="3">
        <f>IF(ISNUMBER(AVERAGE('20250815_ETF_Options_Exhibits'!C1596:C1600)),AVERAGE('20250815_ETF_Options_Exhibits'!C1596:C1600),"")</f>
        <v/>
      </c>
      <c r="D1600" s="3">
        <f>IF(ISNUMBER(AVERAGE('20250815_ETF_Options_Exhibits'!D1596:D1600)),AVERAGE('20250815_ETF_Options_Exhibits'!D1596:D1600),"")</f>
        <v/>
      </c>
      <c r="E1600" s="3">
        <f>IF(ISNUMBER(AVERAGE('20250815_ETF_Options_Exhibits'!E1596:E1600)),AVERAGE('20250815_ETF_Options_Exhibits'!E1596:E1600),"")</f>
        <v/>
      </c>
      <c r="F1600" s="3">
        <f>IF(ISNUMBER(AVERAGE('20250815_ETF_Options_Exhibits'!F1596:F1600)),AVERAGE('20250815_ETF_Options_Exhibits'!F1596:F1600),"")</f>
        <v/>
      </c>
      <c r="G1600" s="3">
        <f>IF(ISNUMBER(AVERAGE('20250815_ETF_Options_Exhibits'!G1596:G1600)),AVERAGE('20250815_ETF_Options_Exhibits'!G1596:G1600),"")</f>
        <v/>
      </c>
      <c r="H1600" s="3">
        <f>IF(ISNUMBER(AVERAGE('20250815_ETF_Options_Exhibits'!H1596:H1600)),AVERAGE('20250815_ETF_Options_Exhibits'!H1596:H1600),"")</f>
        <v/>
      </c>
      <c r="I1600" s="3">
        <f>IF(ISNUMBER(AVERAGE('20250815_ETF_Options_Exhibits'!I1596:I1600)),AVERAGE('20250815_ETF_Options_Exhibits'!I1596:I1600),"")</f>
        <v/>
      </c>
      <c r="J1600" s="3">
        <f>IF(ISNUMBER(AVERAGE('20250815_ETF_Options_Exhibits'!J1596:J1600)),AVERAGE('20250815_ETF_Options_Exhibits'!J1596:J1600),"")</f>
        <v/>
      </c>
      <c r="K1600" s="3">
        <f>IF(ISNUMBER(AVERAGE('20250815_ETF_Options_Exhibits'!K1596:K1600)),AVERAGE('20250815_ETF_Options_Exhibits'!K1596:K1600),"")</f>
        <v/>
      </c>
      <c r="L1600" s="3">
        <f>IF(ISNUMBER(AVERAGE('20250815_ETF_Options_Exhibits'!L1596:L1600)),AVERAGE('20250815_ETF_Options_Exhibits'!L1596:L1600),"")</f>
        <v/>
      </c>
      <c r="M1600" s="3">
        <f>IF(ISNUMBER(AVERAGE('20250815_ETF_Options_Exhibits'!M1596:M1600)),AVERAGE('20250815_ETF_Options_Exhibits'!M1596:M1600),"")</f>
        <v/>
      </c>
      <c r="N1600" s="3">
        <f>IF(ISNUMBER(AVERAGE('20250815_ETF_Options_Exhibits'!N1596:N1600)),AVERAGE('20250815_ETF_Options_Exhibits'!N1596:N1600),"")</f>
        <v/>
      </c>
      <c r="O1600" s="3">
        <f>IF(ISNUMBER(AVERAGE('20250815_ETF_Options_Exhibits'!O1596:O1600)),AVERAGE('20250815_ETF_Options_Exhibits'!O1596:O1600),"")</f>
        <v/>
      </c>
      <c r="P1600" s="3">
        <f>IF(ISNUMBER(AVERAGE('20250815_ETF_Options_Exhibits'!P1596:P1600)),AVERAGE('20250815_ETF_Options_Exhibits'!P1596:P1600),"")</f>
        <v/>
      </c>
      <c r="Q1600" s="3">
        <f>IF(ISNUMBER(AVERAGE('20250815_ETF_Options_Exhibits'!Q1596:Q1600)),AVERAGE('20250815_ETF_Options_Exhibits'!Q1596:Q1600),"")</f>
        <v/>
      </c>
      <c r="R1600" s="3">
        <f>IF(ISNUMBER(AVERAGE('20250815_ETF_Options_Exhibits'!R1596:R1600)),AVERAGE('20250815_ETF_Options_Exhibits'!R1596:R1600),"")</f>
        <v/>
      </c>
      <c r="S1600" s="3">
        <f>IF(ISNUMBER(AVERAGE('20250815_ETF_Options_Exhibits'!S1596:S1600)),AVERAGE('20250815_ETF_Options_Exhibits'!S1596:S1600),"")</f>
        <v/>
      </c>
      <c r="T1600" s="3">
        <f>IF(ISNUMBER(AVERAGE('20250815_ETF_Options_Exhibits'!T1596:T1600)),AVERAGE('20250815_ETF_Options_Exhibits'!T1596:T1600),"")</f>
        <v/>
      </c>
      <c r="U1600" s="3">
        <f>IF(ISNUMBER(AVERAGE('20250815_ETF_Options_Exhibits'!U1596:U1600)),AVERAGE('20250815_ETF_Options_Exhibits'!U1596:U1600),"")</f>
        <v/>
      </c>
      <c r="V1600" s="3">
        <f>IF(ISNUMBER(AVERAGE('20250815_ETF_Options_Exhibits'!V1596:V1600)),AVERAGE('20250815_ETF_Options_Exhibits'!V1596:V1600),"")</f>
        <v/>
      </c>
      <c r="W1600" s="3">
        <f>IF(ISNUMBER(AVERAGE('20250815_ETF_Options_Exhibits'!W1596:W1600)),AVERAGE('20250815_ETF_Options_Exhibits'!W1596:W1600),"")</f>
        <v/>
      </c>
      <c r="X1600" s="3">
        <f>IF(ISNUMBER(AVERAGE('20250815_ETF_Options_Exhibits'!X1596:X1600)),AVERAGE('20250815_ETF_Options_Exhibits'!X1596:X1600),"")</f>
        <v/>
      </c>
      <c r="Y1600" s="3">
        <f>IF(ISNUMBER(AVERAGE('20250815_ETF_Options_Exhibits'!Y1596:Y1600)),AVERAGE('20250815_ETF_Options_Exhibits'!Y1596:Y1600),"")</f>
        <v/>
      </c>
      <c r="Z1600" s="3">
        <f>IF(ISNUMBER(AVERAGE('20250815_ETF_Options_Exhibits'!Z1596:Z1600)),AVERAGE('20250815_ETF_Options_Exhibits'!Z1596:Z1600),"")</f>
        <v/>
      </c>
      <c r="AA1600" s="3">
        <f>IF(ISNUMBER(AVERAGE('20250815_ETF_Options_Exhibits'!AA1596:AA1600)),AVERAGE('20250815_ETF_Options_Exhibits'!AA1596:AA1600),"")</f>
        <v/>
      </c>
    </row>
    <row r="1601">
      <c r="A1601" s="1" t="n">
        <v>44326</v>
      </c>
      <c r="B1601" s="3">
        <f>IF(ISNUMBER(AVERAGE('20250815_ETF_Options_Exhibits'!B1597:B1601)),AVERAGE('20250815_ETF_Options_Exhibits'!B1597:B1601),"")</f>
        <v/>
      </c>
      <c r="C1601" s="3">
        <f>IF(ISNUMBER(AVERAGE('20250815_ETF_Options_Exhibits'!C1597:C1601)),AVERAGE('20250815_ETF_Options_Exhibits'!C1597:C1601),"")</f>
        <v/>
      </c>
      <c r="D1601" s="3">
        <f>IF(ISNUMBER(AVERAGE('20250815_ETF_Options_Exhibits'!D1597:D1601)),AVERAGE('20250815_ETF_Options_Exhibits'!D1597:D1601),"")</f>
        <v/>
      </c>
      <c r="E1601" s="3">
        <f>IF(ISNUMBER(AVERAGE('20250815_ETF_Options_Exhibits'!E1597:E1601)),AVERAGE('20250815_ETF_Options_Exhibits'!E1597:E1601),"")</f>
        <v/>
      </c>
      <c r="F1601" s="3">
        <f>IF(ISNUMBER(AVERAGE('20250815_ETF_Options_Exhibits'!F1597:F1601)),AVERAGE('20250815_ETF_Options_Exhibits'!F1597:F1601),"")</f>
        <v/>
      </c>
      <c r="G1601" s="3">
        <f>IF(ISNUMBER(AVERAGE('20250815_ETF_Options_Exhibits'!G1597:G1601)),AVERAGE('20250815_ETF_Options_Exhibits'!G1597:G1601),"")</f>
        <v/>
      </c>
      <c r="H1601" s="3">
        <f>IF(ISNUMBER(AVERAGE('20250815_ETF_Options_Exhibits'!H1597:H1601)),AVERAGE('20250815_ETF_Options_Exhibits'!H1597:H1601),"")</f>
        <v/>
      </c>
      <c r="I1601" s="3">
        <f>IF(ISNUMBER(AVERAGE('20250815_ETF_Options_Exhibits'!I1597:I1601)),AVERAGE('20250815_ETF_Options_Exhibits'!I1597:I1601),"")</f>
        <v/>
      </c>
      <c r="J1601" s="3">
        <f>IF(ISNUMBER(AVERAGE('20250815_ETF_Options_Exhibits'!J1597:J1601)),AVERAGE('20250815_ETF_Options_Exhibits'!J1597:J1601),"")</f>
        <v/>
      </c>
      <c r="K1601" s="3">
        <f>IF(ISNUMBER(AVERAGE('20250815_ETF_Options_Exhibits'!K1597:K1601)),AVERAGE('20250815_ETF_Options_Exhibits'!K1597:K1601),"")</f>
        <v/>
      </c>
      <c r="L1601" s="3">
        <f>IF(ISNUMBER(AVERAGE('20250815_ETF_Options_Exhibits'!L1597:L1601)),AVERAGE('20250815_ETF_Options_Exhibits'!L1597:L1601),"")</f>
        <v/>
      </c>
      <c r="M1601" s="3">
        <f>IF(ISNUMBER(AVERAGE('20250815_ETF_Options_Exhibits'!M1597:M1601)),AVERAGE('20250815_ETF_Options_Exhibits'!M1597:M1601),"")</f>
        <v/>
      </c>
      <c r="N1601" s="3">
        <f>IF(ISNUMBER(AVERAGE('20250815_ETF_Options_Exhibits'!N1597:N1601)),AVERAGE('20250815_ETF_Options_Exhibits'!N1597:N1601),"")</f>
        <v/>
      </c>
      <c r="O1601" s="3">
        <f>IF(ISNUMBER(AVERAGE('20250815_ETF_Options_Exhibits'!O1597:O1601)),AVERAGE('20250815_ETF_Options_Exhibits'!O1597:O1601),"")</f>
        <v/>
      </c>
      <c r="P1601" s="3">
        <f>IF(ISNUMBER(AVERAGE('20250815_ETF_Options_Exhibits'!P1597:P1601)),AVERAGE('20250815_ETF_Options_Exhibits'!P1597:P1601),"")</f>
        <v/>
      </c>
      <c r="Q1601" s="3">
        <f>IF(ISNUMBER(AVERAGE('20250815_ETF_Options_Exhibits'!Q1597:Q1601)),AVERAGE('20250815_ETF_Options_Exhibits'!Q1597:Q1601),"")</f>
        <v/>
      </c>
      <c r="R1601" s="3">
        <f>IF(ISNUMBER(AVERAGE('20250815_ETF_Options_Exhibits'!R1597:R1601)),AVERAGE('20250815_ETF_Options_Exhibits'!R1597:R1601),"")</f>
        <v/>
      </c>
      <c r="S1601" s="3">
        <f>IF(ISNUMBER(AVERAGE('20250815_ETF_Options_Exhibits'!S1597:S1601)),AVERAGE('20250815_ETF_Options_Exhibits'!S1597:S1601),"")</f>
        <v/>
      </c>
      <c r="T1601" s="3">
        <f>IF(ISNUMBER(AVERAGE('20250815_ETF_Options_Exhibits'!T1597:T1601)),AVERAGE('20250815_ETF_Options_Exhibits'!T1597:T1601),"")</f>
        <v/>
      </c>
      <c r="U1601" s="3">
        <f>IF(ISNUMBER(AVERAGE('20250815_ETF_Options_Exhibits'!U1597:U1601)),AVERAGE('20250815_ETF_Options_Exhibits'!U1597:U1601),"")</f>
        <v/>
      </c>
      <c r="V1601" s="3">
        <f>IF(ISNUMBER(AVERAGE('20250815_ETF_Options_Exhibits'!V1597:V1601)),AVERAGE('20250815_ETF_Options_Exhibits'!V1597:V1601),"")</f>
        <v/>
      </c>
      <c r="W1601" s="3">
        <f>IF(ISNUMBER(AVERAGE('20250815_ETF_Options_Exhibits'!W1597:W1601)),AVERAGE('20250815_ETF_Options_Exhibits'!W1597:W1601),"")</f>
        <v/>
      </c>
      <c r="X1601" s="3">
        <f>IF(ISNUMBER(AVERAGE('20250815_ETF_Options_Exhibits'!X1597:X1601)),AVERAGE('20250815_ETF_Options_Exhibits'!X1597:X1601),"")</f>
        <v/>
      </c>
      <c r="Y1601" s="3">
        <f>IF(ISNUMBER(AVERAGE('20250815_ETF_Options_Exhibits'!Y1597:Y1601)),AVERAGE('20250815_ETF_Options_Exhibits'!Y1597:Y1601),"")</f>
        <v/>
      </c>
      <c r="Z1601" s="3">
        <f>IF(ISNUMBER(AVERAGE('20250815_ETF_Options_Exhibits'!Z1597:Z1601)),AVERAGE('20250815_ETF_Options_Exhibits'!Z1597:Z1601),"")</f>
        <v/>
      </c>
      <c r="AA1601" s="3">
        <f>IF(ISNUMBER(AVERAGE('20250815_ETF_Options_Exhibits'!AA1597:AA1601)),AVERAGE('20250815_ETF_Options_Exhibits'!AA1597:AA1601),"")</f>
        <v/>
      </c>
    </row>
    <row r="1602">
      <c r="A1602" s="1" t="n">
        <v>44327</v>
      </c>
      <c r="B1602" s="3">
        <f>IF(ISNUMBER(AVERAGE('20250815_ETF_Options_Exhibits'!B1598:B1602)),AVERAGE('20250815_ETF_Options_Exhibits'!B1598:B1602),"")</f>
        <v/>
      </c>
      <c r="C1602" s="3">
        <f>IF(ISNUMBER(AVERAGE('20250815_ETF_Options_Exhibits'!C1598:C1602)),AVERAGE('20250815_ETF_Options_Exhibits'!C1598:C1602),"")</f>
        <v/>
      </c>
      <c r="D1602" s="3">
        <f>IF(ISNUMBER(AVERAGE('20250815_ETF_Options_Exhibits'!D1598:D1602)),AVERAGE('20250815_ETF_Options_Exhibits'!D1598:D1602),"")</f>
        <v/>
      </c>
      <c r="E1602" s="3">
        <f>IF(ISNUMBER(AVERAGE('20250815_ETF_Options_Exhibits'!E1598:E1602)),AVERAGE('20250815_ETF_Options_Exhibits'!E1598:E1602),"")</f>
        <v/>
      </c>
      <c r="F1602" s="3">
        <f>IF(ISNUMBER(AVERAGE('20250815_ETF_Options_Exhibits'!F1598:F1602)),AVERAGE('20250815_ETF_Options_Exhibits'!F1598:F1602),"")</f>
        <v/>
      </c>
      <c r="G1602" s="3">
        <f>IF(ISNUMBER(AVERAGE('20250815_ETF_Options_Exhibits'!G1598:G1602)),AVERAGE('20250815_ETF_Options_Exhibits'!G1598:G1602),"")</f>
        <v/>
      </c>
      <c r="H1602" s="3">
        <f>IF(ISNUMBER(AVERAGE('20250815_ETF_Options_Exhibits'!H1598:H1602)),AVERAGE('20250815_ETF_Options_Exhibits'!H1598:H1602),"")</f>
        <v/>
      </c>
      <c r="I1602" s="3">
        <f>IF(ISNUMBER(AVERAGE('20250815_ETF_Options_Exhibits'!I1598:I1602)),AVERAGE('20250815_ETF_Options_Exhibits'!I1598:I1602),"")</f>
        <v/>
      </c>
      <c r="J1602" s="3">
        <f>IF(ISNUMBER(AVERAGE('20250815_ETF_Options_Exhibits'!J1598:J1602)),AVERAGE('20250815_ETF_Options_Exhibits'!J1598:J1602),"")</f>
        <v/>
      </c>
      <c r="K1602" s="3">
        <f>IF(ISNUMBER(AVERAGE('20250815_ETF_Options_Exhibits'!K1598:K1602)),AVERAGE('20250815_ETF_Options_Exhibits'!K1598:K1602),"")</f>
        <v/>
      </c>
      <c r="L1602" s="3">
        <f>IF(ISNUMBER(AVERAGE('20250815_ETF_Options_Exhibits'!L1598:L1602)),AVERAGE('20250815_ETF_Options_Exhibits'!L1598:L1602),"")</f>
        <v/>
      </c>
      <c r="M1602" s="3">
        <f>IF(ISNUMBER(AVERAGE('20250815_ETF_Options_Exhibits'!M1598:M1602)),AVERAGE('20250815_ETF_Options_Exhibits'!M1598:M1602),"")</f>
        <v/>
      </c>
      <c r="N1602" s="3">
        <f>IF(ISNUMBER(AVERAGE('20250815_ETF_Options_Exhibits'!N1598:N1602)),AVERAGE('20250815_ETF_Options_Exhibits'!N1598:N1602),"")</f>
        <v/>
      </c>
      <c r="O1602" s="3">
        <f>IF(ISNUMBER(AVERAGE('20250815_ETF_Options_Exhibits'!O1598:O1602)),AVERAGE('20250815_ETF_Options_Exhibits'!O1598:O1602),"")</f>
        <v/>
      </c>
      <c r="P1602" s="3">
        <f>IF(ISNUMBER(AVERAGE('20250815_ETF_Options_Exhibits'!P1598:P1602)),AVERAGE('20250815_ETF_Options_Exhibits'!P1598:P1602),"")</f>
        <v/>
      </c>
      <c r="Q1602" s="3">
        <f>IF(ISNUMBER(AVERAGE('20250815_ETF_Options_Exhibits'!Q1598:Q1602)),AVERAGE('20250815_ETF_Options_Exhibits'!Q1598:Q1602),"")</f>
        <v/>
      </c>
      <c r="R1602" s="3">
        <f>IF(ISNUMBER(AVERAGE('20250815_ETF_Options_Exhibits'!R1598:R1602)),AVERAGE('20250815_ETF_Options_Exhibits'!R1598:R1602),"")</f>
        <v/>
      </c>
      <c r="S1602" s="3">
        <f>IF(ISNUMBER(AVERAGE('20250815_ETF_Options_Exhibits'!S1598:S1602)),AVERAGE('20250815_ETF_Options_Exhibits'!S1598:S1602),"")</f>
        <v/>
      </c>
      <c r="T1602" s="3">
        <f>IF(ISNUMBER(AVERAGE('20250815_ETF_Options_Exhibits'!T1598:T1602)),AVERAGE('20250815_ETF_Options_Exhibits'!T1598:T1602),"")</f>
        <v/>
      </c>
      <c r="U1602" s="3">
        <f>IF(ISNUMBER(AVERAGE('20250815_ETF_Options_Exhibits'!U1598:U1602)),AVERAGE('20250815_ETF_Options_Exhibits'!U1598:U1602),"")</f>
        <v/>
      </c>
      <c r="V1602" s="3">
        <f>IF(ISNUMBER(AVERAGE('20250815_ETF_Options_Exhibits'!V1598:V1602)),AVERAGE('20250815_ETF_Options_Exhibits'!V1598:V1602),"")</f>
        <v/>
      </c>
      <c r="W1602" s="3">
        <f>IF(ISNUMBER(AVERAGE('20250815_ETF_Options_Exhibits'!W1598:W1602)),AVERAGE('20250815_ETF_Options_Exhibits'!W1598:W1602),"")</f>
        <v/>
      </c>
      <c r="X1602" s="3">
        <f>IF(ISNUMBER(AVERAGE('20250815_ETF_Options_Exhibits'!X1598:X1602)),AVERAGE('20250815_ETF_Options_Exhibits'!X1598:X1602),"")</f>
        <v/>
      </c>
      <c r="Y1602" s="3">
        <f>IF(ISNUMBER(AVERAGE('20250815_ETF_Options_Exhibits'!Y1598:Y1602)),AVERAGE('20250815_ETF_Options_Exhibits'!Y1598:Y1602),"")</f>
        <v/>
      </c>
      <c r="Z1602" s="3">
        <f>IF(ISNUMBER(AVERAGE('20250815_ETF_Options_Exhibits'!Z1598:Z1602)),AVERAGE('20250815_ETF_Options_Exhibits'!Z1598:Z1602),"")</f>
        <v/>
      </c>
      <c r="AA1602" s="3">
        <f>IF(ISNUMBER(AVERAGE('20250815_ETF_Options_Exhibits'!AA1598:AA1602)),AVERAGE('20250815_ETF_Options_Exhibits'!AA1598:AA1602),"")</f>
        <v/>
      </c>
    </row>
    <row r="1603">
      <c r="A1603" s="1" t="n">
        <v>44328</v>
      </c>
      <c r="B1603" s="3">
        <f>IF(ISNUMBER(AVERAGE('20250815_ETF_Options_Exhibits'!B1599:B1603)),AVERAGE('20250815_ETF_Options_Exhibits'!B1599:B1603),"")</f>
        <v/>
      </c>
      <c r="C1603" s="3">
        <f>IF(ISNUMBER(AVERAGE('20250815_ETF_Options_Exhibits'!C1599:C1603)),AVERAGE('20250815_ETF_Options_Exhibits'!C1599:C1603),"")</f>
        <v/>
      </c>
      <c r="D1603" s="3">
        <f>IF(ISNUMBER(AVERAGE('20250815_ETF_Options_Exhibits'!D1599:D1603)),AVERAGE('20250815_ETF_Options_Exhibits'!D1599:D1603),"")</f>
        <v/>
      </c>
      <c r="E1603" s="3">
        <f>IF(ISNUMBER(AVERAGE('20250815_ETF_Options_Exhibits'!E1599:E1603)),AVERAGE('20250815_ETF_Options_Exhibits'!E1599:E1603),"")</f>
        <v/>
      </c>
      <c r="F1603" s="3">
        <f>IF(ISNUMBER(AVERAGE('20250815_ETF_Options_Exhibits'!F1599:F1603)),AVERAGE('20250815_ETF_Options_Exhibits'!F1599:F1603),"")</f>
        <v/>
      </c>
      <c r="G1603" s="3">
        <f>IF(ISNUMBER(AVERAGE('20250815_ETF_Options_Exhibits'!G1599:G1603)),AVERAGE('20250815_ETF_Options_Exhibits'!G1599:G1603),"")</f>
        <v/>
      </c>
      <c r="H1603" s="3">
        <f>IF(ISNUMBER(AVERAGE('20250815_ETF_Options_Exhibits'!H1599:H1603)),AVERAGE('20250815_ETF_Options_Exhibits'!H1599:H1603),"")</f>
        <v/>
      </c>
      <c r="I1603" s="3">
        <f>IF(ISNUMBER(AVERAGE('20250815_ETF_Options_Exhibits'!I1599:I1603)),AVERAGE('20250815_ETF_Options_Exhibits'!I1599:I1603),"")</f>
        <v/>
      </c>
      <c r="J1603" s="3">
        <f>IF(ISNUMBER(AVERAGE('20250815_ETF_Options_Exhibits'!J1599:J1603)),AVERAGE('20250815_ETF_Options_Exhibits'!J1599:J1603),"")</f>
        <v/>
      </c>
      <c r="K1603" s="3">
        <f>IF(ISNUMBER(AVERAGE('20250815_ETF_Options_Exhibits'!K1599:K1603)),AVERAGE('20250815_ETF_Options_Exhibits'!K1599:K1603),"")</f>
        <v/>
      </c>
      <c r="L1603" s="3">
        <f>IF(ISNUMBER(AVERAGE('20250815_ETF_Options_Exhibits'!L1599:L1603)),AVERAGE('20250815_ETF_Options_Exhibits'!L1599:L1603),"")</f>
        <v/>
      </c>
      <c r="M1603" s="3">
        <f>IF(ISNUMBER(AVERAGE('20250815_ETF_Options_Exhibits'!M1599:M1603)),AVERAGE('20250815_ETF_Options_Exhibits'!M1599:M1603),"")</f>
        <v/>
      </c>
      <c r="N1603" s="3">
        <f>IF(ISNUMBER(AVERAGE('20250815_ETF_Options_Exhibits'!N1599:N1603)),AVERAGE('20250815_ETF_Options_Exhibits'!N1599:N1603),"")</f>
        <v/>
      </c>
      <c r="O1603" s="3">
        <f>IF(ISNUMBER(AVERAGE('20250815_ETF_Options_Exhibits'!O1599:O1603)),AVERAGE('20250815_ETF_Options_Exhibits'!O1599:O1603),"")</f>
        <v/>
      </c>
      <c r="P1603" s="3">
        <f>IF(ISNUMBER(AVERAGE('20250815_ETF_Options_Exhibits'!P1599:P1603)),AVERAGE('20250815_ETF_Options_Exhibits'!P1599:P1603),"")</f>
        <v/>
      </c>
      <c r="Q1603" s="3">
        <f>IF(ISNUMBER(AVERAGE('20250815_ETF_Options_Exhibits'!Q1599:Q1603)),AVERAGE('20250815_ETF_Options_Exhibits'!Q1599:Q1603),"")</f>
        <v/>
      </c>
      <c r="R1603" s="3">
        <f>IF(ISNUMBER(AVERAGE('20250815_ETF_Options_Exhibits'!R1599:R1603)),AVERAGE('20250815_ETF_Options_Exhibits'!R1599:R1603),"")</f>
        <v/>
      </c>
      <c r="S1603" s="3">
        <f>IF(ISNUMBER(AVERAGE('20250815_ETF_Options_Exhibits'!S1599:S1603)),AVERAGE('20250815_ETF_Options_Exhibits'!S1599:S1603),"")</f>
        <v/>
      </c>
      <c r="T1603" s="3">
        <f>IF(ISNUMBER(AVERAGE('20250815_ETF_Options_Exhibits'!T1599:T1603)),AVERAGE('20250815_ETF_Options_Exhibits'!T1599:T1603),"")</f>
        <v/>
      </c>
      <c r="U1603" s="3">
        <f>IF(ISNUMBER(AVERAGE('20250815_ETF_Options_Exhibits'!U1599:U1603)),AVERAGE('20250815_ETF_Options_Exhibits'!U1599:U1603),"")</f>
        <v/>
      </c>
      <c r="V1603" s="3">
        <f>IF(ISNUMBER(AVERAGE('20250815_ETF_Options_Exhibits'!V1599:V1603)),AVERAGE('20250815_ETF_Options_Exhibits'!V1599:V1603),"")</f>
        <v/>
      </c>
      <c r="W1603" s="3">
        <f>IF(ISNUMBER(AVERAGE('20250815_ETF_Options_Exhibits'!W1599:W1603)),AVERAGE('20250815_ETF_Options_Exhibits'!W1599:W1603),"")</f>
        <v/>
      </c>
      <c r="X1603" s="3">
        <f>IF(ISNUMBER(AVERAGE('20250815_ETF_Options_Exhibits'!X1599:X1603)),AVERAGE('20250815_ETF_Options_Exhibits'!X1599:X1603),"")</f>
        <v/>
      </c>
      <c r="Y1603" s="3">
        <f>IF(ISNUMBER(AVERAGE('20250815_ETF_Options_Exhibits'!Y1599:Y1603)),AVERAGE('20250815_ETF_Options_Exhibits'!Y1599:Y1603),"")</f>
        <v/>
      </c>
      <c r="Z1603" s="3">
        <f>IF(ISNUMBER(AVERAGE('20250815_ETF_Options_Exhibits'!Z1599:Z1603)),AVERAGE('20250815_ETF_Options_Exhibits'!Z1599:Z1603),"")</f>
        <v/>
      </c>
      <c r="AA1603" s="3">
        <f>IF(ISNUMBER(AVERAGE('20250815_ETF_Options_Exhibits'!AA1599:AA1603)),AVERAGE('20250815_ETF_Options_Exhibits'!AA1599:AA1603),"")</f>
        <v/>
      </c>
    </row>
    <row r="1604">
      <c r="A1604" s="1" t="n">
        <v>44329</v>
      </c>
      <c r="B1604" s="3">
        <f>IF(ISNUMBER(AVERAGE('20250815_ETF_Options_Exhibits'!B1600:B1604)),AVERAGE('20250815_ETF_Options_Exhibits'!B1600:B1604),"")</f>
        <v/>
      </c>
      <c r="C1604" s="3">
        <f>IF(ISNUMBER(AVERAGE('20250815_ETF_Options_Exhibits'!C1600:C1604)),AVERAGE('20250815_ETF_Options_Exhibits'!C1600:C1604),"")</f>
        <v/>
      </c>
      <c r="D1604" s="3">
        <f>IF(ISNUMBER(AVERAGE('20250815_ETF_Options_Exhibits'!D1600:D1604)),AVERAGE('20250815_ETF_Options_Exhibits'!D1600:D1604),"")</f>
        <v/>
      </c>
      <c r="E1604" s="3">
        <f>IF(ISNUMBER(AVERAGE('20250815_ETF_Options_Exhibits'!E1600:E1604)),AVERAGE('20250815_ETF_Options_Exhibits'!E1600:E1604),"")</f>
        <v/>
      </c>
      <c r="F1604" s="3">
        <f>IF(ISNUMBER(AVERAGE('20250815_ETF_Options_Exhibits'!F1600:F1604)),AVERAGE('20250815_ETF_Options_Exhibits'!F1600:F1604),"")</f>
        <v/>
      </c>
      <c r="G1604" s="3">
        <f>IF(ISNUMBER(AVERAGE('20250815_ETF_Options_Exhibits'!G1600:G1604)),AVERAGE('20250815_ETF_Options_Exhibits'!G1600:G1604),"")</f>
        <v/>
      </c>
      <c r="H1604" s="3">
        <f>IF(ISNUMBER(AVERAGE('20250815_ETF_Options_Exhibits'!H1600:H1604)),AVERAGE('20250815_ETF_Options_Exhibits'!H1600:H1604),"")</f>
        <v/>
      </c>
      <c r="I1604" s="3">
        <f>IF(ISNUMBER(AVERAGE('20250815_ETF_Options_Exhibits'!I1600:I1604)),AVERAGE('20250815_ETF_Options_Exhibits'!I1600:I1604),"")</f>
        <v/>
      </c>
      <c r="J1604" s="3">
        <f>IF(ISNUMBER(AVERAGE('20250815_ETF_Options_Exhibits'!J1600:J1604)),AVERAGE('20250815_ETF_Options_Exhibits'!J1600:J1604),"")</f>
        <v/>
      </c>
      <c r="K1604" s="3">
        <f>IF(ISNUMBER(AVERAGE('20250815_ETF_Options_Exhibits'!K1600:K1604)),AVERAGE('20250815_ETF_Options_Exhibits'!K1600:K1604),"")</f>
        <v/>
      </c>
      <c r="L1604" s="3">
        <f>IF(ISNUMBER(AVERAGE('20250815_ETF_Options_Exhibits'!L1600:L1604)),AVERAGE('20250815_ETF_Options_Exhibits'!L1600:L1604),"")</f>
        <v/>
      </c>
      <c r="M1604" s="3">
        <f>IF(ISNUMBER(AVERAGE('20250815_ETF_Options_Exhibits'!M1600:M1604)),AVERAGE('20250815_ETF_Options_Exhibits'!M1600:M1604),"")</f>
        <v/>
      </c>
      <c r="N1604" s="3">
        <f>IF(ISNUMBER(AVERAGE('20250815_ETF_Options_Exhibits'!N1600:N1604)),AVERAGE('20250815_ETF_Options_Exhibits'!N1600:N1604),"")</f>
        <v/>
      </c>
      <c r="O1604" s="3">
        <f>IF(ISNUMBER(AVERAGE('20250815_ETF_Options_Exhibits'!O1600:O1604)),AVERAGE('20250815_ETF_Options_Exhibits'!O1600:O1604),"")</f>
        <v/>
      </c>
      <c r="P1604" s="3">
        <f>IF(ISNUMBER(AVERAGE('20250815_ETF_Options_Exhibits'!P1600:P1604)),AVERAGE('20250815_ETF_Options_Exhibits'!P1600:P1604),"")</f>
        <v/>
      </c>
      <c r="Q1604" s="3">
        <f>IF(ISNUMBER(AVERAGE('20250815_ETF_Options_Exhibits'!Q1600:Q1604)),AVERAGE('20250815_ETF_Options_Exhibits'!Q1600:Q1604),"")</f>
        <v/>
      </c>
      <c r="R1604" s="3">
        <f>IF(ISNUMBER(AVERAGE('20250815_ETF_Options_Exhibits'!R1600:R1604)),AVERAGE('20250815_ETF_Options_Exhibits'!R1600:R1604),"")</f>
        <v/>
      </c>
      <c r="S1604" s="3">
        <f>IF(ISNUMBER(AVERAGE('20250815_ETF_Options_Exhibits'!S1600:S1604)),AVERAGE('20250815_ETF_Options_Exhibits'!S1600:S1604),"")</f>
        <v/>
      </c>
      <c r="T1604" s="3">
        <f>IF(ISNUMBER(AVERAGE('20250815_ETF_Options_Exhibits'!T1600:T1604)),AVERAGE('20250815_ETF_Options_Exhibits'!T1600:T1604),"")</f>
        <v/>
      </c>
      <c r="U1604" s="3">
        <f>IF(ISNUMBER(AVERAGE('20250815_ETF_Options_Exhibits'!U1600:U1604)),AVERAGE('20250815_ETF_Options_Exhibits'!U1600:U1604),"")</f>
        <v/>
      </c>
      <c r="V1604" s="3">
        <f>IF(ISNUMBER(AVERAGE('20250815_ETF_Options_Exhibits'!V1600:V1604)),AVERAGE('20250815_ETF_Options_Exhibits'!V1600:V1604),"")</f>
        <v/>
      </c>
      <c r="W1604" s="3">
        <f>IF(ISNUMBER(AVERAGE('20250815_ETF_Options_Exhibits'!W1600:W1604)),AVERAGE('20250815_ETF_Options_Exhibits'!W1600:W1604),"")</f>
        <v/>
      </c>
      <c r="X1604" s="3">
        <f>IF(ISNUMBER(AVERAGE('20250815_ETF_Options_Exhibits'!X1600:X1604)),AVERAGE('20250815_ETF_Options_Exhibits'!X1600:X1604),"")</f>
        <v/>
      </c>
      <c r="Y1604" s="3">
        <f>IF(ISNUMBER(AVERAGE('20250815_ETF_Options_Exhibits'!Y1600:Y1604)),AVERAGE('20250815_ETF_Options_Exhibits'!Y1600:Y1604),"")</f>
        <v/>
      </c>
      <c r="Z1604" s="3">
        <f>IF(ISNUMBER(AVERAGE('20250815_ETF_Options_Exhibits'!Z1600:Z1604)),AVERAGE('20250815_ETF_Options_Exhibits'!Z1600:Z1604),"")</f>
        <v/>
      </c>
      <c r="AA1604" s="3">
        <f>IF(ISNUMBER(AVERAGE('20250815_ETF_Options_Exhibits'!AA1600:AA1604)),AVERAGE('20250815_ETF_Options_Exhibits'!AA1600:AA1604),"")</f>
        <v/>
      </c>
    </row>
    <row r="1605">
      <c r="A1605" s="1" t="n">
        <v>44330</v>
      </c>
      <c r="B1605" s="3">
        <f>IF(ISNUMBER(AVERAGE('20250815_ETF_Options_Exhibits'!B1601:B1605)),AVERAGE('20250815_ETF_Options_Exhibits'!B1601:B1605),"")</f>
        <v/>
      </c>
      <c r="C1605" s="3">
        <f>IF(ISNUMBER(AVERAGE('20250815_ETF_Options_Exhibits'!C1601:C1605)),AVERAGE('20250815_ETF_Options_Exhibits'!C1601:C1605),"")</f>
        <v/>
      </c>
      <c r="D1605" s="3">
        <f>IF(ISNUMBER(AVERAGE('20250815_ETF_Options_Exhibits'!D1601:D1605)),AVERAGE('20250815_ETF_Options_Exhibits'!D1601:D1605),"")</f>
        <v/>
      </c>
      <c r="E1605" s="3">
        <f>IF(ISNUMBER(AVERAGE('20250815_ETF_Options_Exhibits'!E1601:E1605)),AVERAGE('20250815_ETF_Options_Exhibits'!E1601:E1605),"")</f>
        <v/>
      </c>
      <c r="F1605" s="3">
        <f>IF(ISNUMBER(AVERAGE('20250815_ETF_Options_Exhibits'!F1601:F1605)),AVERAGE('20250815_ETF_Options_Exhibits'!F1601:F1605),"")</f>
        <v/>
      </c>
      <c r="G1605" s="3">
        <f>IF(ISNUMBER(AVERAGE('20250815_ETF_Options_Exhibits'!G1601:G1605)),AVERAGE('20250815_ETF_Options_Exhibits'!G1601:G1605),"")</f>
        <v/>
      </c>
      <c r="H1605" s="3">
        <f>IF(ISNUMBER(AVERAGE('20250815_ETF_Options_Exhibits'!H1601:H1605)),AVERAGE('20250815_ETF_Options_Exhibits'!H1601:H1605),"")</f>
        <v/>
      </c>
      <c r="I1605" s="3">
        <f>IF(ISNUMBER(AVERAGE('20250815_ETF_Options_Exhibits'!I1601:I1605)),AVERAGE('20250815_ETF_Options_Exhibits'!I1601:I1605),"")</f>
        <v/>
      </c>
      <c r="J1605" s="3">
        <f>IF(ISNUMBER(AVERAGE('20250815_ETF_Options_Exhibits'!J1601:J1605)),AVERAGE('20250815_ETF_Options_Exhibits'!J1601:J1605),"")</f>
        <v/>
      </c>
      <c r="K1605" s="3">
        <f>IF(ISNUMBER(AVERAGE('20250815_ETF_Options_Exhibits'!K1601:K1605)),AVERAGE('20250815_ETF_Options_Exhibits'!K1601:K1605),"")</f>
        <v/>
      </c>
      <c r="L1605" s="3">
        <f>IF(ISNUMBER(AVERAGE('20250815_ETF_Options_Exhibits'!L1601:L1605)),AVERAGE('20250815_ETF_Options_Exhibits'!L1601:L1605),"")</f>
        <v/>
      </c>
      <c r="M1605" s="3">
        <f>IF(ISNUMBER(AVERAGE('20250815_ETF_Options_Exhibits'!M1601:M1605)),AVERAGE('20250815_ETF_Options_Exhibits'!M1601:M1605),"")</f>
        <v/>
      </c>
      <c r="N1605" s="3">
        <f>IF(ISNUMBER(AVERAGE('20250815_ETF_Options_Exhibits'!N1601:N1605)),AVERAGE('20250815_ETF_Options_Exhibits'!N1601:N1605),"")</f>
        <v/>
      </c>
      <c r="O1605" s="3">
        <f>IF(ISNUMBER(AVERAGE('20250815_ETF_Options_Exhibits'!O1601:O1605)),AVERAGE('20250815_ETF_Options_Exhibits'!O1601:O1605),"")</f>
        <v/>
      </c>
      <c r="P1605" s="3">
        <f>IF(ISNUMBER(AVERAGE('20250815_ETF_Options_Exhibits'!P1601:P1605)),AVERAGE('20250815_ETF_Options_Exhibits'!P1601:P1605),"")</f>
        <v/>
      </c>
      <c r="Q1605" s="3">
        <f>IF(ISNUMBER(AVERAGE('20250815_ETF_Options_Exhibits'!Q1601:Q1605)),AVERAGE('20250815_ETF_Options_Exhibits'!Q1601:Q1605),"")</f>
        <v/>
      </c>
      <c r="R1605" s="3">
        <f>IF(ISNUMBER(AVERAGE('20250815_ETF_Options_Exhibits'!R1601:R1605)),AVERAGE('20250815_ETF_Options_Exhibits'!R1601:R1605),"")</f>
        <v/>
      </c>
      <c r="S1605" s="3">
        <f>IF(ISNUMBER(AVERAGE('20250815_ETF_Options_Exhibits'!S1601:S1605)),AVERAGE('20250815_ETF_Options_Exhibits'!S1601:S1605),"")</f>
        <v/>
      </c>
      <c r="T1605" s="3">
        <f>IF(ISNUMBER(AVERAGE('20250815_ETF_Options_Exhibits'!T1601:T1605)),AVERAGE('20250815_ETF_Options_Exhibits'!T1601:T1605),"")</f>
        <v/>
      </c>
      <c r="U1605" s="3">
        <f>IF(ISNUMBER(AVERAGE('20250815_ETF_Options_Exhibits'!U1601:U1605)),AVERAGE('20250815_ETF_Options_Exhibits'!U1601:U1605),"")</f>
        <v/>
      </c>
      <c r="V1605" s="3">
        <f>IF(ISNUMBER(AVERAGE('20250815_ETF_Options_Exhibits'!V1601:V1605)),AVERAGE('20250815_ETF_Options_Exhibits'!V1601:V1605),"")</f>
        <v/>
      </c>
      <c r="W1605" s="3">
        <f>IF(ISNUMBER(AVERAGE('20250815_ETF_Options_Exhibits'!W1601:W1605)),AVERAGE('20250815_ETF_Options_Exhibits'!W1601:W1605),"")</f>
        <v/>
      </c>
      <c r="X1605" s="3">
        <f>IF(ISNUMBER(AVERAGE('20250815_ETF_Options_Exhibits'!X1601:X1605)),AVERAGE('20250815_ETF_Options_Exhibits'!X1601:X1605),"")</f>
        <v/>
      </c>
      <c r="Y1605" s="3">
        <f>IF(ISNUMBER(AVERAGE('20250815_ETF_Options_Exhibits'!Y1601:Y1605)),AVERAGE('20250815_ETF_Options_Exhibits'!Y1601:Y1605),"")</f>
        <v/>
      </c>
      <c r="Z1605" s="3">
        <f>IF(ISNUMBER(AVERAGE('20250815_ETF_Options_Exhibits'!Z1601:Z1605)),AVERAGE('20250815_ETF_Options_Exhibits'!Z1601:Z1605),"")</f>
        <v/>
      </c>
      <c r="AA1605" s="3">
        <f>IF(ISNUMBER(AVERAGE('20250815_ETF_Options_Exhibits'!AA1601:AA1605)),AVERAGE('20250815_ETF_Options_Exhibits'!AA1601:AA1605),"")</f>
        <v/>
      </c>
    </row>
    <row r="1606">
      <c r="A1606" s="1" t="n">
        <v>44333</v>
      </c>
      <c r="B1606" s="3">
        <f>IF(ISNUMBER(AVERAGE('20250815_ETF_Options_Exhibits'!B1602:B1606)),AVERAGE('20250815_ETF_Options_Exhibits'!B1602:B1606),"")</f>
        <v/>
      </c>
      <c r="C1606" s="3">
        <f>IF(ISNUMBER(AVERAGE('20250815_ETF_Options_Exhibits'!C1602:C1606)),AVERAGE('20250815_ETF_Options_Exhibits'!C1602:C1606),"")</f>
        <v/>
      </c>
      <c r="D1606" s="3">
        <f>IF(ISNUMBER(AVERAGE('20250815_ETF_Options_Exhibits'!D1602:D1606)),AVERAGE('20250815_ETF_Options_Exhibits'!D1602:D1606),"")</f>
        <v/>
      </c>
      <c r="E1606" s="3">
        <f>IF(ISNUMBER(AVERAGE('20250815_ETF_Options_Exhibits'!E1602:E1606)),AVERAGE('20250815_ETF_Options_Exhibits'!E1602:E1606),"")</f>
        <v/>
      </c>
      <c r="F1606" s="3">
        <f>IF(ISNUMBER(AVERAGE('20250815_ETF_Options_Exhibits'!F1602:F1606)),AVERAGE('20250815_ETF_Options_Exhibits'!F1602:F1606),"")</f>
        <v/>
      </c>
      <c r="G1606" s="3">
        <f>IF(ISNUMBER(AVERAGE('20250815_ETF_Options_Exhibits'!G1602:G1606)),AVERAGE('20250815_ETF_Options_Exhibits'!G1602:G1606),"")</f>
        <v/>
      </c>
      <c r="H1606" s="3">
        <f>IF(ISNUMBER(AVERAGE('20250815_ETF_Options_Exhibits'!H1602:H1606)),AVERAGE('20250815_ETF_Options_Exhibits'!H1602:H1606),"")</f>
        <v/>
      </c>
      <c r="I1606" s="3">
        <f>IF(ISNUMBER(AVERAGE('20250815_ETF_Options_Exhibits'!I1602:I1606)),AVERAGE('20250815_ETF_Options_Exhibits'!I1602:I1606),"")</f>
        <v/>
      </c>
      <c r="J1606" s="3">
        <f>IF(ISNUMBER(AVERAGE('20250815_ETF_Options_Exhibits'!J1602:J1606)),AVERAGE('20250815_ETF_Options_Exhibits'!J1602:J1606),"")</f>
        <v/>
      </c>
      <c r="K1606" s="3">
        <f>IF(ISNUMBER(AVERAGE('20250815_ETF_Options_Exhibits'!K1602:K1606)),AVERAGE('20250815_ETF_Options_Exhibits'!K1602:K1606),"")</f>
        <v/>
      </c>
      <c r="L1606" s="3">
        <f>IF(ISNUMBER(AVERAGE('20250815_ETF_Options_Exhibits'!L1602:L1606)),AVERAGE('20250815_ETF_Options_Exhibits'!L1602:L1606),"")</f>
        <v/>
      </c>
      <c r="M1606" s="3">
        <f>IF(ISNUMBER(AVERAGE('20250815_ETF_Options_Exhibits'!M1602:M1606)),AVERAGE('20250815_ETF_Options_Exhibits'!M1602:M1606),"")</f>
        <v/>
      </c>
      <c r="N1606" s="3">
        <f>IF(ISNUMBER(AVERAGE('20250815_ETF_Options_Exhibits'!N1602:N1606)),AVERAGE('20250815_ETF_Options_Exhibits'!N1602:N1606),"")</f>
        <v/>
      </c>
      <c r="O1606" s="3">
        <f>IF(ISNUMBER(AVERAGE('20250815_ETF_Options_Exhibits'!O1602:O1606)),AVERAGE('20250815_ETF_Options_Exhibits'!O1602:O1606),"")</f>
        <v/>
      </c>
      <c r="P1606" s="3">
        <f>IF(ISNUMBER(AVERAGE('20250815_ETF_Options_Exhibits'!P1602:P1606)),AVERAGE('20250815_ETF_Options_Exhibits'!P1602:P1606),"")</f>
        <v/>
      </c>
      <c r="Q1606" s="3">
        <f>IF(ISNUMBER(AVERAGE('20250815_ETF_Options_Exhibits'!Q1602:Q1606)),AVERAGE('20250815_ETF_Options_Exhibits'!Q1602:Q1606),"")</f>
        <v/>
      </c>
      <c r="R1606" s="3">
        <f>IF(ISNUMBER(AVERAGE('20250815_ETF_Options_Exhibits'!R1602:R1606)),AVERAGE('20250815_ETF_Options_Exhibits'!R1602:R1606),"")</f>
        <v/>
      </c>
      <c r="S1606" s="3">
        <f>IF(ISNUMBER(AVERAGE('20250815_ETF_Options_Exhibits'!S1602:S1606)),AVERAGE('20250815_ETF_Options_Exhibits'!S1602:S1606),"")</f>
        <v/>
      </c>
      <c r="T1606" s="3">
        <f>IF(ISNUMBER(AVERAGE('20250815_ETF_Options_Exhibits'!T1602:T1606)),AVERAGE('20250815_ETF_Options_Exhibits'!T1602:T1606),"")</f>
        <v/>
      </c>
      <c r="U1606" s="3">
        <f>IF(ISNUMBER(AVERAGE('20250815_ETF_Options_Exhibits'!U1602:U1606)),AVERAGE('20250815_ETF_Options_Exhibits'!U1602:U1606),"")</f>
        <v/>
      </c>
      <c r="V1606" s="3">
        <f>IF(ISNUMBER(AVERAGE('20250815_ETF_Options_Exhibits'!V1602:V1606)),AVERAGE('20250815_ETF_Options_Exhibits'!V1602:V1606),"")</f>
        <v/>
      </c>
      <c r="W1606" s="3">
        <f>IF(ISNUMBER(AVERAGE('20250815_ETF_Options_Exhibits'!W1602:W1606)),AVERAGE('20250815_ETF_Options_Exhibits'!W1602:W1606),"")</f>
        <v/>
      </c>
      <c r="X1606" s="3">
        <f>IF(ISNUMBER(AVERAGE('20250815_ETF_Options_Exhibits'!X1602:X1606)),AVERAGE('20250815_ETF_Options_Exhibits'!X1602:X1606),"")</f>
        <v/>
      </c>
      <c r="Y1606" s="3">
        <f>IF(ISNUMBER(AVERAGE('20250815_ETF_Options_Exhibits'!Y1602:Y1606)),AVERAGE('20250815_ETF_Options_Exhibits'!Y1602:Y1606),"")</f>
        <v/>
      </c>
      <c r="Z1606" s="3">
        <f>IF(ISNUMBER(AVERAGE('20250815_ETF_Options_Exhibits'!Z1602:Z1606)),AVERAGE('20250815_ETF_Options_Exhibits'!Z1602:Z1606),"")</f>
        <v/>
      </c>
      <c r="AA1606" s="3">
        <f>IF(ISNUMBER(AVERAGE('20250815_ETF_Options_Exhibits'!AA1602:AA1606)),AVERAGE('20250815_ETF_Options_Exhibits'!AA1602:AA1606),"")</f>
        <v/>
      </c>
    </row>
    <row r="1607">
      <c r="A1607" s="1" t="n">
        <v>44334</v>
      </c>
      <c r="B1607" s="3">
        <f>IF(ISNUMBER(AVERAGE('20250815_ETF_Options_Exhibits'!B1603:B1607)),AVERAGE('20250815_ETF_Options_Exhibits'!B1603:B1607),"")</f>
        <v/>
      </c>
      <c r="C1607" s="3">
        <f>IF(ISNUMBER(AVERAGE('20250815_ETF_Options_Exhibits'!C1603:C1607)),AVERAGE('20250815_ETF_Options_Exhibits'!C1603:C1607),"")</f>
        <v/>
      </c>
      <c r="D1607" s="3">
        <f>IF(ISNUMBER(AVERAGE('20250815_ETF_Options_Exhibits'!D1603:D1607)),AVERAGE('20250815_ETF_Options_Exhibits'!D1603:D1607),"")</f>
        <v/>
      </c>
      <c r="E1607" s="3">
        <f>IF(ISNUMBER(AVERAGE('20250815_ETF_Options_Exhibits'!E1603:E1607)),AVERAGE('20250815_ETF_Options_Exhibits'!E1603:E1607),"")</f>
        <v/>
      </c>
      <c r="F1607" s="3">
        <f>IF(ISNUMBER(AVERAGE('20250815_ETF_Options_Exhibits'!F1603:F1607)),AVERAGE('20250815_ETF_Options_Exhibits'!F1603:F1607),"")</f>
        <v/>
      </c>
      <c r="G1607" s="3">
        <f>IF(ISNUMBER(AVERAGE('20250815_ETF_Options_Exhibits'!G1603:G1607)),AVERAGE('20250815_ETF_Options_Exhibits'!G1603:G1607),"")</f>
        <v/>
      </c>
      <c r="H1607" s="3">
        <f>IF(ISNUMBER(AVERAGE('20250815_ETF_Options_Exhibits'!H1603:H1607)),AVERAGE('20250815_ETF_Options_Exhibits'!H1603:H1607),"")</f>
        <v/>
      </c>
      <c r="I1607" s="3">
        <f>IF(ISNUMBER(AVERAGE('20250815_ETF_Options_Exhibits'!I1603:I1607)),AVERAGE('20250815_ETF_Options_Exhibits'!I1603:I1607),"")</f>
        <v/>
      </c>
      <c r="J1607" s="3">
        <f>IF(ISNUMBER(AVERAGE('20250815_ETF_Options_Exhibits'!J1603:J1607)),AVERAGE('20250815_ETF_Options_Exhibits'!J1603:J1607),"")</f>
        <v/>
      </c>
      <c r="K1607" s="3">
        <f>IF(ISNUMBER(AVERAGE('20250815_ETF_Options_Exhibits'!K1603:K1607)),AVERAGE('20250815_ETF_Options_Exhibits'!K1603:K1607),"")</f>
        <v/>
      </c>
      <c r="L1607" s="3">
        <f>IF(ISNUMBER(AVERAGE('20250815_ETF_Options_Exhibits'!L1603:L1607)),AVERAGE('20250815_ETF_Options_Exhibits'!L1603:L1607),"")</f>
        <v/>
      </c>
      <c r="M1607" s="3">
        <f>IF(ISNUMBER(AVERAGE('20250815_ETF_Options_Exhibits'!M1603:M1607)),AVERAGE('20250815_ETF_Options_Exhibits'!M1603:M1607),"")</f>
        <v/>
      </c>
      <c r="N1607" s="3">
        <f>IF(ISNUMBER(AVERAGE('20250815_ETF_Options_Exhibits'!N1603:N1607)),AVERAGE('20250815_ETF_Options_Exhibits'!N1603:N1607),"")</f>
        <v/>
      </c>
      <c r="O1607" s="3">
        <f>IF(ISNUMBER(AVERAGE('20250815_ETF_Options_Exhibits'!O1603:O1607)),AVERAGE('20250815_ETF_Options_Exhibits'!O1603:O1607),"")</f>
        <v/>
      </c>
      <c r="P1607" s="3">
        <f>IF(ISNUMBER(AVERAGE('20250815_ETF_Options_Exhibits'!P1603:P1607)),AVERAGE('20250815_ETF_Options_Exhibits'!P1603:P1607),"")</f>
        <v/>
      </c>
      <c r="Q1607" s="3">
        <f>IF(ISNUMBER(AVERAGE('20250815_ETF_Options_Exhibits'!Q1603:Q1607)),AVERAGE('20250815_ETF_Options_Exhibits'!Q1603:Q1607),"")</f>
        <v/>
      </c>
      <c r="R1607" s="3">
        <f>IF(ISNUMBER(AVERAGE('20250815_ETF_Options_Exhibits'!R1603:R1607)),AVERAGE('20250815_ETF_Options_Exhibits'!R1603:R1607),"")</f>
        <v/>
      </c>
      <c r="S1607" s="3">
        <f>IF(ISNUMBER(AVERAGE('20250815_ETF_Options_Exhibits'!S1603:S1607)),AVERAGE('20250815_ETF_Options_Exhibits'!S1603:S1607),"")</f>
        <v/>
      </c>
      <c r="T1607" s="3">
        <f>IF(ISNUMBER(AVERAGE('20250815_ETF_Options_Exhibits'!T1603:T1607)),AVERAGE('20250815_ETF_Options_Exhibits'!T1603:T1607),"")</f>
        <v/>
      </c>
      <c r="U1607" s="3">
        <f>IF(ISNUMBER(AVERAGE('20250815_ETF_Options_Exhibits'!U1603:U1607)),AVERAGE('20250815_ETF_Options_Exhibits'!U1603:U1607),"")</f>
        <v/>
      </c>
      <c r="V1607" s="3">
        <f>IF(ISNUMBER(AVERAGE('20250815_ETF_Options_Exhibits'!V1603:V1607)),AVERAGE('20250815_ETF_Options_Exhibits'!V1603:V1607),"")</f>
        <v/>
      </c>
      <c r="W1607" s="3">
        <f>IF(ISNUMBER(AVERAGE('20250815_ETF_Options_Exhibits'!W1603:W1607)),AVERAGE('20250815_ETF_Options_Exhibits'!W1603:W1607),"")</f>
        <v/>
      </c>
      <c r="X1607" s="3">
        <f>IF(ISNUMBER(AVERAGE('20250815_ETF_Options_Exhibits'!X1603:X1607)),AVERAGE('20250815_ETF_Options_Exhibits'!X1603:X1607),"")</f>
        <v/>
      </c>
      <c r="Y1607" s="3">
        <f>IF(ISNUMBER(AVERAGE('20250815_ETF_Options_Exhibits'!Y1603:Y1607)),AVERAGE('20250815_ETF_Options_Exhibits'!Y1603:Y1607),"")</f>
        <v/>
      </c>
      <c r="Z1607" s="3">
        <f>IF(ISNUMBER(AVERAGE('20250815_ETF_Options_Exhibits'!Z1603:Z1607)),AVERAGE('20250815_ETF_Options_Exhibits'!Z1603:Z1607),"")</f>
        <v/>
      </c>
      <c r="AA1607" s="3">
        <f>IF(ISNUMBER(AVERAGE('20250815_ETF_Options_Exhibits'!AA1603:AA1607)),AVERAGE('20250815_ETF_Options_Exhibits'!AA1603:AA1607),"")</f>
        <v/>
      </c>
    </row>
    <row r="1608">
      <c r="A1608" s="1" t="n">
        <v>44335</v>
      </c>
      <c r="B1608" s="3">
        <f>IF(ISNUMBER(AVERAGE('20250815_ETF_Options_Exhibits'!B1604:B1608)),AVERAGE('20250815_ETF_Options_Exhibits'!B1604:B1608),"")</f>
        <v/>
      </c>
      <c r="C1608" s="3">
        <f>IF(ISNUMBER(AVERAGE('20250815_ETF_Options_Exhibits'!C1604:C1608)),AVERAGE('20250815_ETF_Options_Exhibits'!C1604:C1608),"")</f>
        <v/>
      </c>
      <c r="D1608" s="3">
        <f>IF(ISNUMBER(AVERAGE('20250815_ETF_Options_Exhibits'!D1604:D1608)),AVERAGE('20250815_ETF_Options_Exhibits'!D1604:D1608),"")</f>
        <v/>
      </c>
      <c r="E1608" s="3">
        <f>IF(ISNUMBER(AVERAGE('20250815_ETF_Options_Exhibits'!E1604:E1608)),AVERAGE('20250815_ETF_Options_Exhibits'!E1604:E1608),"")</f>
        <v/>
      </c>
      <c r="F1608" s="3">
        <f>IF(ISNUMBER(AVERAGE('20250815_ETF_Options_Exhibits'!F1604:F1608)),AVERAGE('20250815_ETF_Options_Exhibits'!F1604:F1608),"")</f>
        <v/>
      </c>
      <c r="G1608" s="3">
        <f>IF(ISNUMBER(AVERAGE('20250815_ETF_Options_Exhibits'!G1604:G1608)),AVERAGE('20250815_ETF_Options_Exhibits'!G1604:G1608),"")</f>
        <v/>
      </c>
      <c r="H1608" s="3">
        <f>IF(ISNUMBER(AVERAGE('20250815_ETF_Options_Exhibits'!H1604:H1608)),AVERAGE('20250815_ETF_Options_Exhibits'!H1604:H1608),"")</f>
        <v/>
      </c>
      <c r="I1608" s="3">
        <f>IF(ISNUMBER(AVERAGE('20250815_ETF_Options_Exhibits'!I1604:I1608)),AVERAGE('20250815_ETF_Options_Exhibits'!I1604:I1608),"")</f>
        <v/>
      </c>
      <c r="J1608" s="3">
        <f>IF(ISNUMBER(AVERAGE('20250815_ETF_Options_Exhibits'!J1604:J1608)),AVERAGE('20250815_ETF_Options_Exhibits'!J1604:J1608),"")</f>
        <v/>
      </c>
      <c r="K1608" s="3">
        <f>IF(ISNUMBER(AVERAGE('20250815_ETF_Options_Exhibits'!K1604:K1608)),AVERAGE('20250815_ETF_Options_Exhibits'!K1604:K1608),"")</f>
        <v/>
      </c>
      <c r="L1608" s="3">
        <f>IF(ISNUMBER(AVERAGE('20250815_ETF_Options_Exhibits'!L1604:L1608)),AVERAGE('20250815_ETF_Options_Exhibits'!L1604:L1608),"")</f>
        <v/>
      </c>
      <c r="M1608" s="3">
        <f>IF(ISNUMBER(AVERAGE('20250815_ETF_Options_Exhibits'!M1604:M1608)),AVERAGE('20250815_ETF_Options_Exhibits'!M1604:M1608),"")</f>
        <v/>
      </c>
      <c r="N1608" s="3">
        <f>IF(ISNUMBER(AVERAGE('20250815_ETF_Options_Exhibits'!N1604:N1608)),AVERAGE('20250815_ETF_Options_Exhibits'!N1604:N1608),"")</f>
        <v/>
      </c>
      <c r="O1608" s="3">
        <f>IF(ISNUMBER(AVERAGE('20250815_ETF_Options_Exhibits'!O1604:O1608)),AVERAGE('20250815_ETF_Options_Exhibits'!O1604:O1608),"")</f>
        <v/>
      </c>
      <c r="P1608" s="3">
        <f>IF(ISNUMBER(AVERAGE('20250815_ETF_Options_Exhibits'!P1604:P1608)),AVERAGE('20250815_ETF_Options_Exhibits'!P1604:P1608),"")</f>
        <v/>
      </c>
      <c r="Q1608" s="3">
        <f>IF(ISNUMBER(AVERAGE('20250815_ETF_Options_Exhibits'!Q1604:Q1608)),AVERAGE('20250815_ETF_Options_Exhibits'!Q1604:Q1608),"")</f>
        <v/>
      </c>
      <c r="R1608" s="3">
        <f>IF(ISNUMBER(AVERAGE('20250815_ETF_Options_Exhibits'!R1604:R1608)),AVERAGE('20250815_ETF_Options_Exhibits'!R1604:R1608),"")</f>
        <v/>
      </c>
      <c r="S1608" s="3">
        <f>IF(ISNUMBER(AVERAGE('20250815_ETF_Options_Exhibits'!S1604:S1608)),AVERAGE('20250815_ETF_Options_Exhibits'!S1604:S1608),"")</f>
        <v/>
      </c>
      <c r="T1608" s="3">
        <f>IF(ISNUMBER(AVERAGE('20250815_ETF_Options_Exhibits'!T1604:T1608)),AVERAGE('20250815_ETF_Options_Exhibits'!T1604:T1608),"")</f>
        <v/>
      </c>
      <c r="U1608" s="3">
        <f>IF(ISNUMBER(AVERAGE('20250815_ETF_Options_Exhibits'!U1604:U1608)),AVERAGE('20250815_ETF_Options_Exhibits'!U1604:U1608),"")</f>
        <v/>
      </c>
      <c r="V1608" s="3">
        <f>IF(ISNUMBER(AVERAGE('20250815_ETF_Options_Exhibits'!V1604:V1608)),AVERAGE('20250815_ETF_Options_Exhibits'!V1604:V1608),"")</f>
        <v/>
      </c>
      <c r="W1608" s="3">
        <f>IF(ISNUMBER(AVERAGE('20250815_ETF_Options_Exhibits'!W1604:W1608)),AVERAGE('20250815_ETF_Options_Exhibits'!W1604:W1608),"")</f>
        <v/>
      </c>
      <c r="X1608" s="3">
        <f>IF(ISNUMBER(AVERAGE('20250815_ETF_Options_Exhibits'!X1604:X1608)),AVERAGE('20250815_ETF_Options_Exhibits'!X1604:X1608),"")</f>
        <v/>
      </c>
      <c r="Y1608" s="3">
        <f>IF(ISNUMBER(AVERAGE('20250815_ETF_Options_Exhibits'!Y1604:Y1608)),AVERAGE('20250815_ETF_Options_Exhibits'!Y1604:Y1608),"")</f>
        <v/>
      </c>
      <c r="Z1608" s="3">
        <f>IF(ISNUMBER(AVERAGE('20250815_ETF_Options_Exhibits'!Z1604:Z1608)),AVERAGE('20250815_ETF_Options_Exhibits'!Z1604:Z1608),"")</f>
        <v/>
      </c>
      <c r="AA1608" s="3">
        <f>IF(ISNUMBER(AVERAGE('20250815_ETF_Options_Exhibits'!AA1604:AA1608)),AVERAGE('20250815_ETF_Options_Exhibits'!AA1604:AA1608),"")</f>
        <v/>
      </c>
    </row>
    <row r="1609">
      <c r="A1609" s="1" t="n">
        <v>44336</v>
      </c>
      <c r="B1609" s="3">
        <f>IF(ISNUMBER(AVERAGE('20250815_ETF_Options_Exhibits'!B1605:B1609)),AVERAGE('20250815_ETF_Options_Exhibits'!B1605:B1609),"")</f>
        <v/>
      </c>
      <c r="C1609" s="3">
        <f>IF(ISNUMBER(AVERAGE('20250815_ETF_Options_Exhibits'!C1605:C1609)),AVERAGE('20250815_ETF_Options_Exhibits'!C1605:C1609),"")</f>
        <v/>
      </c>
      <c r="D1609" s="3">
        <f>IF(ISNUMBER(AVERAGE('20250815_ETF_Options_Exhibits'!D1605:D1609)),AVERAGE('20250815_ETF_Options_Exhibits'!D1605:D1609),"")</f>
        <v/>
      </c>
      <c r="E1609" s="3">
        <f>IF(ISNUMBER(AVERAGE('20250815_ETF_Options_Exhibits'!E1605:E1609)),AVERAGE('20250815_ETF_Options_Exhibits'!E1605:E1609),"")</f>
        <v/>
      </c>
      <c r="F1609" s="3">
        <f>IF(ISNUMBER(AVERAGE('20250815_ETF_Options_Exhibits'!F1605:F1609)),AVERAGE('20250815_ETF_Options_Exhibits'!F1605:F1609),"")</f>
        <v/>
      </c>
      <c r="G1609" s="3">
        <f>IF(ISNUMBER(AVERAGE('20250815_ETF_Options_Exhibits'!G1605:G1609)),AVERAGE('20250815_ETF_Options_Exhibits'!G1605:G1609),"")</f>
        <v/>
      </c>
      <c r="H1609" s="3">
        <f>IF(ISNUMBER(AVERAGE('20250815_ETF_Options_Exhibits'!H1605:H1609)),AVERAGE('20250815_ETF_Options_Exhibits'!H1605:H1609),"")</f>
        <v/>
      </c>
      <c r="I1609" s="3">
        <f>IF(ISNUMBER(AVERAGE('20250815_ETF_Options_Exhibits'!I1605:I1609)),AVERAGE('20250815_ETF_Options_Exhibits'!I1605:I1609),"")</f>
        <v/>
      </c>
      <c r="J1609" s="3">
        <f>IF(ISNUMBER(AVERAGE('20250815_ETF_Options_Exhibits'!J1605:J1609)),AVERAGE('20250815_ETF_Options_Exhibits'!J1605:J1609),"")</f>
        <v/>
      </c>
      <c r="K1609" s="3">
        <f>IF(ISNUMBER(AVERAGE('20250815_ETF_Options_Exhibits'!K1605:K1609)),AVERAGE('20250815_ETF_Options_Exhibits'!K1605:K1609),"")</f>
        <v/>
      </c>
      <c r="L1609" s="3">
        <f>IF(ISNUMBER(AVERAGE('20250815_ETF_Options_Exhibits'!L1605:L1609)),AVERAGE('20250815_ETF_Options_Exhibits'!L1605:L1609),"")</f>
        <v/>
      </c>
      <c r="M1609" s="3">
        <f>IF(ISNUMBER(AVERAGE('20250815_ETF_Options_Exhibits'!M1605:M1609)),AVERAGE('20250815_ETF_Options_Exhibits'!M1605:M1609),"")</f>
        <v/>
      </c>
      <c r="N1609" s="3">
        <f>IF(ISNUMBER(AVERAGE('20250815_ETF_Options_Exhibits'!N1605:N1609)),AVERAGE('20250815_ETF_Options_Exhibits'!N1605:N1609),"")</f>
        <v/>
      </c>
      <c r="O1609" s="3">
        <f>IF(ISNUMBER(AVERAGE('20250815_ETF_Options_Exhibits'!O1605:O1609)),AVERAGE('20250815_ETF_Options_Exhibits'!O1605:O1609),"")</f>
        <v/>
      </c>
      <c r="P1609" s="3">
        <f>IF(ISNUMBER(AVERAGE('20250815_ETF_Options_Exhibits'!P1605:P1609)),AVERAGE('20250815_ETF_Options_Exhibits'!P1605:P1609),"")</f>
        <v/>
      </c>
      <c r="Q1609" s="3">
        <f>IF(ISNUMBER(AVERAGE('20250815_ETF_Options_Exhibits'!Q1605:Q1609)),AVERAGE('20250815_ETF_Options_Exhibits'!Q1605:Q1609),"")</f>
        <v/>
      </c>
      <c r="R1609" s="3">
        <f>IF(ISNUMBER(AVERAGE('20250815_ETF_Options_Exhibits'!R1605:R1609)),AVERAGE('20250815_ETF_Options_Exhibits'!R1605:R1609),"")</f>
        <v/>
      </c>
      <c r="S1609" s="3">
        <f>IF(ISNUMBER(AVERAGE('20250815_ETF_Options_Exhibits'!S1605:S1609)),AVERAGE('20250815_ETF_Options_Exhibits'!S1605:S1609),"")</f>
        <v/>
      </c>
      <c r="T1609" s="3">
        <f>IF(ISNUMBER(AVERAGE('20250815_ETF_Options_Exhibits'!T1605:T1609)),AVERAGE('20250815_ETF_Options_Exhibits'!T1605:T1609),"")</f>
        <v/>
      </c>
      <c r="U1609" s="3">
        <f>IF(ISNUMBER(AVERAGE('20250815_ETF_Options_Exhibits'!U1605:U1609)),AVERAGE('20250815_ETF_Options_Exhibits'!U1605:U1609),"")</f>
        <v/>
      </c>
      <c r="V1609" s="3">
        <f>IF(ISNUMBER(AVERAGE('20250815_ETF_Options_Exhibits'!V1605:V1609)),AVERAGE('20250815_ETF_Options_Exhibits'!V1605:V1609),"")</f>
        <v/>
      </c>
      <c r="W1609" s="3">
        <f>IF(ISNUMBER(AVERAGE('20250815_ETF_Options_Exhibits'!W1605:W1609)),AVERAGE('20250815_ETF_Options_Exhibits'!W1605:W1609),"")</f>
        <v/>
      </c>
      <c r="X1609" s="3">
        <f>IF(ISNUMBER(AVERAGE('20250815_ETF_Options_Exhibits'!X1605:X1609)),AVERAGE('20250815_ETF_Options_Exhibits'!X1605:X1609),"")</f>
        <v/>
      </c>
      <c r="Y1609" s="3">
        <f>IF(ISNUMBER(AVERAGE('20250815_ETF_Options_Exhibits'!Y1605:Y1609)),AVERAGE('20250815_ETF_Options_Exhibits'!Y1605:Y1609),"")</f>
        <v/>
      </c>
      <c r="Z1609" s="3">
        <f>IF(ISNUMBER(AVERAGE('20250815_ETF_Options_Exhibits'!Z1605:Z1609)),AVERAGE('20250815_ETF_Options_Exhibits'!Z1605:Z1609),"")</f>
        <v/>
      </c>
      <c r="AA1609" s="3">
        <f>IF(ISNUMBER(AVERAGE('20250815_ETF_Options_Exhibits'!AA1605:AA1609)),AVERAGE('20250815_ETF_Options_Exhibits'!AA1605:AA1609),"")</f>
        <v/>
      </c>
    </row>
    <row r="1610">
      <c r="A1610" s="1" t="n">
        <v>44337</v>
      </c>
      <c r="B1610" s="3">
        <f>IF(ISNUMBER(AVERAGE('20250815_ETF_Options_Exhibits'!B1606:B1610)),AVERAGE('20250815_ETF_Options_Exhibits'!B1606:B1610),"")</f>
        <v/>
      </c>
      <c r="C1610" s="3">
        <f>IF(ISNUMBER(AVERAGE('20250815_ETF_Options_Exhibits'!C1606:C1610)),AVERAGE('20250815_ETF_Options_Exhibits'!C1606:C1610),"")</f>
        <v/>
      </c>
      <c r="D1610" s="3">
        <f>IF(ISNUMBER(AVERAGE('20250815_ETF_Options_Exhibits'!D1606:D1610)),AVERAGE('20250815_ETF_Options_Exhibits'!D1606:D1610),"")</f>
        <v/>
      </c>
      <c r="E1610" s="3">
        <f>IF(ISNUMBER(AVERAGE('20250815_ETF_Options_Exhibits'!E1606:E1610)),AVERAGE('20250815_ETF_Options_Exhibits'!E1606:E1610),"")</f>
        <v/>
      </c>
      <c r="F1610" s="3">
        <f>IF(ISNUMBER(AVERAGE('20250815_ETF_Options_Exhibits'!F1606:F1610)),AVERAGE('20250815_ETF_Options_Exhibits'!F1606:F1610),"")</f>
        <v/>
      </c>
      <c r="G1610" s="3">
        <f>IF(ISNUMBER(AVERAGE('20250815_ETF_Options_Exhibits'!G1606:G1610)),AVERAGE('20250815_ETF_Options_Exhibits'!G1606:G1610),"")</f>
        <v/>
      </c>
      <c r="H1610" s="3">
        <f>IF(ISNUMBER(AVERAGE('20250815_ETF_Options_Exhibits'!H1606:H1610)),AVERAGE('20250815_ETF_Options_Exhibits'!H1606:H1610),"")</f>
        <v/>
      </c>
      <c r="I1610" s="3">
        <f>IF(ISNUMBER(AVERAGE('20250815_ETF_Options_Exhibits'!I1606:I1610)),AVERAGE('20250815_ETF_Options_Exhibits'!I1606:I1610),"")</f>
        <v/>
      </c>
      <c r="J1610" s="3">
        <f>IF(ISNUMBER(AVERAGE('20250815_ETF_Options_Exhibits'!J1606:J1610)),AVERAGE('20250815_ETF_Options_Exhibits'!J1606:J1610),"")</f>
        <v/>
      </c>
      <c r="K1610" s="3">
        <f>IF(ISNUMBER(AVERAGE('20250815_ETF_Options_Exhibits'!K1606:K1610)),AVERAGE('20250815_ETF_Options_Exhibits'!K1606:K1610),"")</f>
        <v/>
      </c>
      <c r="L1610" s="3">
        <f>IF(ISNUMBER(AVERAGE('20250815_ETF_Options_Exhibits'!L1606:L1610)),AVERAGE('20250815_ETF_Options_Exhibits'!L1606:L1610),"")</f>
        <v/>
      </c>
      <c r="M1610" s="3">
        <f>IF(ISNUMBER(AVERAGE('20250815_ETF_Options_Exhibits'!M1606:M1610)),AVERAGE('20250815_ETF_Options_Exhibits'!M1606:M1610),"")</f>
        <v/>
      </c>
      <c r="N1610" s="3">
        <f>IF(ISNUMBER(AVERAGE('20250815_ETF_Options_Exhibits'!N1606:N1610)),AVERAGE('20250815_ETF_Options_Exhibits'!N1606:N1610),"")</f>
        <v/>
      </c>
      <c r="O1610" s="3">
        <f>IF(ISNUMBER(AVERAGE('20250815_ETF_Options_Exhibits'!O1606:O1610)),AVERAGE('20250815_ETF_Options_Exhibits'!O1606:O1610),"")</f>
        <v/>
      </c>
      <c r="P1610" s="3">
        <f>IF(ISNUMBER(AVERAGE('20250815_ETF_Options_Exhibits'!P1606:P1610)),AVERAGE('20250815_ETF_Options_Exhibits'!P1606:P1610),"")</f>
        <v/>
      </c>
      <c r="Q1610" s="3">
        <f>IF(ISNUMBER(AVERAGE('20250815_ETF_Options_Exhibits'!Q1606:Q1610)),AVERAGE('20250815_ETF_Options_Exhibits'!Q1606:Q1610),"")</f>
        <v/>
      </c>
      <c r="R1610" s="3">
        <f>IF(ISNUMBER(AVERAGE('20250815_ETF_Options_Exhibits'!R1606:R1610)),AVERAGE('20250815_ETF_Options_Exhibits'!R1606:R1610),"")</f>
        <v/>
      </c>
      <c r="S1610" s="3">
        <f>IF(ISNUMBER(AVERAGE('20250815_ETF_Options_Exhibits'!S1606:S1610)),AVERAGE('20250815_ETF_Options_Exhibits'!S1606:S1610),"")</f>
        <v/>
      </c>
      <c r="T1610" s="3">
        <f>IF(ISNUMBER(AVERAGE('20250815_ETF_Options_Exhibits'!T1606:T1610)),AVERAGE('20250815_ETF_Options_Exhibits'!T1606:T1610),"")</f>
        <v/>
      </c>
      <c r="U1610" s="3">
        <f>IF(ISNUMBER(AVERAGE('20250815_ETF_Options_Exhibits'!U1606:U1610)),AVERAGE('20250815_ETF_Options_Exhibits'!U1606:U1610),"")</f>
        <v/>
      </c>
      <c r="V1610" s="3">
        <f>IF(ISNUMBER(AVERAGE('20250815_ETF_Options_Exhibits'!V1606:V1610)),AVERAGE('20250815_ETF_Options_Exhibits'!V1606:V1610),"")</f>
        <v/>
      </c>
      <c r="W1610" s="3">
        <f>IF(ISNUMBER(AVERAGE('20250815_ETF_Options_Exhibits'!W1606:W1610)),AVERAGE('20250815_ETF_Options_Exhibits'!W1606:W1610),"")</f>
        <v/>
      </c>
      <c r="X1610" s="3">
        <f>IF(ISNUMBER(AVERAGE('20250815_ETF_Options_Exhibits'!X1606:X1610)),AVERAGE('20250815_ETF_Options_Exhibits'!X1606:X1610),"")</f>
        <v/>
      </c>
      <c r="Y1610" s="3">
        <f>IF(ISNUMBER(AVERAGE('20250815_ETF_Options_Exhibits'!Y1606:Y1610)),AVERAGE('20250815_ETF_Options_Exhibits'!Y1606:Y1610),"")</f>
        <v/>
      </c>
      <c r="Z1610" s="3">
        <f>IF(ISNUMBER(AVERAGE('20250815_ETF_Options_Exhibits'!Z1606:Z1610)),AVERAGE('20250815_ETF_Options_Exhibits'!Z1606:Z1610),"")</f>
        <v/>
      </c>
      <c r="AA1610" s="3">
        <f>IF(ISNUMBER(AVERAGE('20250815_ETF_Options_Exhibits'!AA1606:AA1610)),AVERAGE('20250815_ETF_Options_Exhibits'!AA1606:AA1610),"")</f>
        <v/>
      </c>
    </row>
    <row r="1611">
      <c r="A1611" s="1" t="n">
        <v>44340</v>
      </c>
      <c r="B1611" s="3">
        <f>IF(ISNUMBER(AVERAGE('20250815_ETF_Options_Exhibits'!B1607:B1611)),AVERAGE('20250815_ETF_Options_Exhibits'!B1607:B1611),"")</f>
        <v/>
      </c>
      <c r="C1611" s="3">
        <f>IF(ISNUMBER(AVERAGE('20250815_ETF_Options_Exhibits'!C1607:C1611)),AVERAGE('20250815_ETF_Options_Exhibits'!C1607:C1611),"")</f>
        <v/>
      </c>
      <c r="D1611" s="3">
        <f>IF(ISNUMBER(AVERAGE('20250815_ETF_Options_Exhibits'!D1607:D1611)),AVERAGE('20250815_ETF_Options_Exhibits'!D1607:D1611),"")</f>
        <v/>
      </c>
      <c r="E1611" s="3">
        <f>IF(ISNUMBER(AVERAGE('20250815_ETF_Options_Exhibits'!E1607:E1611)),AVERAGE('20250815_ETF_Options_Exhibits'!E1607:E1611),"")</f>
        <v/>
      </c>
      <c r="F1611" s="3">
        <f>IF(ISNUMBER(AVERAGE('20250815_ETF_Options_Exhibits'!F1607:F1611)),AVERAGE('20250815_ETF_Options_Exhibits'!F1607:F1611),"")</f>
        <v/>
      </c>
      <c r="G1611" s="3">
        <f>IF(ISNUMBER(AVERAGE('20250815_ETF_Options_Exhibits'!G1607:G1611)),AVERAGE('20250815_ETF_Options_Exhibits'!G1607:G1611),"")</f>
        <v/>
      </c>
      <c r="H1611" s="3">
        <f>IF(ISNUMBER(AVERAGE('20250815_ETF_Options_Exhibits'!H1607:H1611)),AVERAGE('20250815_ETF_Options_Exhibits'!H1607:H1611),"")</f>
        <v/>
      </c>
      <c r="I1611" s="3">
        <f>IF(ISNUMBER(AVERAGE('20250815_ETF_Options_Exhibits'!I1607:I1611)),AVERAGE('20250815_ETF_Options_Exhibits'!I1607:I1611),"")</f>
        <v/>
      </c>
      <c r="J1611" s="3">
        <f>IF(ISNUMBER(AVERAGE('20250815_ETF_Options_Exhibits'!J1607:J1611)),AVERAGE('20250815_ETF_Options_Exhibits'!J1607:J1611),"")</f>
        <v/>
      </c>
      <c r="K1611" s="3">
        <f>IF(ISNUMBER(AVERAGE('20250815_ETF_Options_Exhibits'!K1607:K1611)),AVERAGE('20250815_ETF_Options_Exhibits'!K1607:K1611),"")</f>
        <v/>
      </c>
      <c r="L1611" s="3">
        <f>IF(ISNUMBER(AVERAGE('20250815_ETF_Options_Exhibits'!L1607:L1611)),AVERAGE('20250815_ETF_Options_Exhibits'!L1607:L1611),"")</f>
        <v/>
      </c>
      <c r="M1611" s="3">
        <f>IF(ISNUMBER(AVERAGE('20250815_ETF_Options_Exhibits'!M1607:M1611)),AVERAGE('20250815_ETF_Options_Exhibits'!M1607:M1611),"")</f>
        <v/>
      </c>
      <c r="N1611" s="3">
        <f>IF(ISNUMBER(AVERAGE('20250815_ETF_Options_Exhibits'!N1607:N1611)),AVERAGE('20250815_ETF_Options_Exhibits'!N1607:N1611),"")</f>
        <v/>
      </c>
      <c r="O1611" s="3">
        <f>IF(ISNUMBER(AVERAGE('20250815_ETF_Options_Exhibits'!O1607:O1611)),AVERAGE('20250815_ETF_Options_Exhibits'!O1607:O1611),"")</f>
        <v/>
      </c>
      <c r="P1611" s="3">
        <f>IF(ISNUMBER(AVERAGE('20250815_ETF_Options_Exhibits'!P1607:P1611)),AVERAGE('20250815_ETF_Options_Exhibits'!P1607:P1611),"")</f>
        <v/>
      </c>
      <c r="Q1611" s="3">
        <f>IF(ISNUMBER(AVERAGE('20250815_ETF_Options_Exhibits'!Q1607:Q1611)),AVERAGE('20250815_ETF_Options_Exhibits'!Q1607:Q1611),"")</f>
        <v/>
      </c>
      <c r="R1611" s="3">
        <f>IF(ISNUMBER(AVERAGE('20250815_ETF_Options_Exhibits'!R1607:R1611)),AVERAGE('20250815_ETF_Options_Exhibits'!R1607:R1611),"")</f>
        <v/>
      </c>
      <c r="S1611" s="3">
        <f>IF(ISNUMBER(AVERAGE('20250815_ETF_Options_Exhibits'!S1607:S1611)),AVERAGE('20250815_ETF_Options_Exhibits'!S1607:S1611),"")</f>
        <v/>
      </c>
      <c r="T1611" s="3">
        <f>IF(ISNUMBER(AVERAGE('20250815_ETF_Options_Exhibits'!T1607:T1611)),AVERAGE('20250815_ETF_Options_Exhibits'!T1607:T1611),"")</f>
        <v/>
      </c>
      <c r="U1611" s="3">
        <f>IF(ISNUMBER(AVERAGE('20250815_ETF_Options_Exhibits'!U1607:U1611)),AVERAGE('20250815_ETF_Options_Exhibits'!U1607:U1611),"")</f>
        <v/>
      </c>
      <c r="V1611" s="3">
        <f>IF(ISNUMBER(AVERAGE('20250815_ETF_Options_Exhibits'!V1607:V1611)),AVERAGE('20250815_ETF_Options_Exhibits'!V1607:V1611),"")</f>
        <v/>
      </c>
      <c r="W1611" s="3">
        <f>IF(ISNUMBER(AVERAGE('20250815_ETF_Options_Exhibits'!W1607:W1611)),AVERAGE('20250815_ETF_Options_Exhibits'!W1607:W1611),"")</f>
        <v/>
      </c>
      <c r="X1611" s="3">
        <f>IF(ISNUMBER(AVERAGE('20250815_ETF_Options_Exhibits'!X1607:X1611)),AVERAGE('20250815_ETF_Options_Exhibits'!X1607:X1611),"")</f>
        <v/>
      </c>
      <c r="Y1611" s="3">
        <f>IF(ISNUMBER(AVERAGE('20250815_ETF_Options_Exhibits'!Y1607:Y1611)),AVERAGE('20250815_ETF_Options_Exhibits'!Y1607:Y1611),"")</f>
        <v/>
      </c>
      <c r="Z1611" s="3">
        <f>IF(ISNUMBER(AVERAGE('20250815_ETF_Options_Exhibits'!Z1607:Z1611)),AVERAGE('20250815_ETF_Options_Exhibits'!Z1607:Z1611),"")</f>
        <v/>
      </c>
      <c r="AA1611" s="3">
        <f>IF(ISNUMBER(AVERAGE('20250815_ETF_Options_Exhibits'!AA1607:AA1611)),AVERAGE('20250815_ETF_Options_Exhibits'!AA1607:AA1611),"")</f>
        <v/>
      </c>
    </row>
    <row r="1612">
      <c r="A1612" s="1" t="n">
        <v>44341</v>
      </c>
      <c r="B1612" s="3">
        <f>IF(ISNUMBER(AVERAGE('20250815_ETF_Options_Exhibits'!B1608:B1612)),AVERAGE('20250815_ETF_Options_Exhibits'!B1608:B1612),"")</f>
        <v/>
      </c>
      <c r="C1612" s="3">
        <f>IF(ISNUMBER(AVERAGE('20250815_ETF_Options_Exhibits'!C1608:C1612)),AVERAGE('20250815_ETF_Options_Exhibits'!C1608:C1612),"")</f>
        <v/>
      </c>
      <c r="D1612" s="3">
        <f>IF(ISNUMBER(AVERAGE('20250815_ETF_Options_Exhibits'!D1608:D1612)),AVERAGE('20250815_ETF_Options_Exhibits'!D1608:D1612),"")</f>
        <v/>
      </c>
      <c r="E1612" s="3">
        <f>IF(ISNUMBER(AVERAGE('20250815_ETF_Options_Exhibits'!E1608:E1612)),AVERAGE('20250815_ETF_Options_Exhibits'!E1608:E1612),"")</f>
        <v/>
      </c>
      <c r="F1612" s="3">
        <f>IF(ISNUMBER(AVERAGE('20250815_ETF_Options_Exhibits'!F1608:F1612)),AVERAGE('20250815_ETF_Options_Exhibits'!F1608:F1612),"")</f>
        <v/>
      </c>
      <c r="G1612" s="3">
        <f>IF(ISNUMBER(AVERAGE('20250815_ETF_Options_Exhibits'!G1608:G1612)),AVERAGE('20250815_ETF_Options_Exhibits'!G1608:G1612),"")</f>
        <v/>
      </c>
      <c r="H1612" s="3">
        <f>IF(ISNUMBER(AVERAGE('20250815_ETF_Options_Exhibits'!H1608:H1612)),AVERAGE('20250815_ETF_Options_Exhibits'!H1608:H1612),"")</f>
        <v/>
      </c>
      <c r="I1612" s="3">
        <f>IF(ISNUMBER(AVERAGE('20250815_ETF_Options_Exhibits'!I1608:I1612)),AVERAGE('20250815_ETF_Options_Exhibits'!I1608:I1612),"")</f>
        <v/>
      </c>
      <c r="J1612" s="3">
        <f>IF(ISNUMBER(AVERAGE('20250815_ETF_Options_Exhibits'!J1608:J1612)),AVERAGE('20250815_ETF_Options_Exhibits'!J1608:J1612),"")</f>
        <v/>
      </c>
      <c r="K1612" s="3">
        <f>IF(ISNUMBER(AVERAGE('20250815_ETF_Options_Exhibits'!K1608:K1612)),AVERAGE('20250815_ETF_Options_Exhibits'!K1608:K1612),"")</f>
        <v/>
      </c>
      <c r="L1612" s="3">
        <f>IF(ISNUMBER(AVERAGE('20250815_ETF_Options_Exhibits'!L1608:L1612)),AVERAGE('20250815_ETF_Options_Exhibits'!L1608:L1612),"")</f>
        <v/>
      </c>
      <c r="M1612" s="3">
        <f>IF(ISNUMBER(AVERAGE('20250815_ETF_Options_Exhibits'!M1608:M1612)),AVERAGE('20250815_ETF_Options_Exhibits'!M1608:M1612),"")</f>
        <v/>
      </c>
      <c r="N1612" s="3">
        <f>IF(ISNUMBER(AVERAGE('20250815_ETF_Options_Exhibits'!N1608:N1612)),AVERAGE('20250815_ETF_Options_Exhibits'!N1608:N1612),"")</f>
        <v/>
      </c>
      <c r="O1612" s="3">
        <f>IF(ISNUMBER(AVERAGE('20250815_ETF_Options_Exhibits'!O1608:O1612)),AVERAGE('20250815_ETF_Options_Exhibits'!O1608:O1612),"")</f>
        <v/>
      </c>
      <c r="P1612" s="3">
        <f>IF(ISNUMBER(AVERAGE('20250815_ETF_Options_Exhibits'!P1608:P1612)),AVERAGE('20250815_ETF_Options_Exhibits'!P1608:P1612),"")</f>
        <v/>
      </c>
      <c r="Q1612" s="3">
        <f>IF(ISNUMBER(AVERAGE('20250815_ETF_Options_Exhibits'!Q1608:Q1612)),AVERAGE('20250815_ETF_Options_Exhibits'!Q1608:Q1612),"")</f>
        <v/>
      </c>
      <c r="R1612" s="3">
        <f>IF(ISNUMBER(AVERAGE('20250815_ETF_Options_Exhibits'!R1608:R1612)),AVERAGE('20250815_ETF_Options_Exhibits'!R1608:R1612),"")</f>
        <v/>
      </c>
      <c r="S1612" s="3">
        <f>IF(ISNUMBER(AVERAGE('20250815_ETF_Options_Exhibits'!S1608:S1612)),AVERAGE('20250815_ETF_Options_Exhibits'!S1608:S1612),"")</f>
        <v/>
      </c>
      <c r="T1612" s="3">
        <f>IF(ISNUMBER(AVERAGE('20250815_ETF_Options_Exhibits'!T1608:T1612)),AVERAGE('20250815_ETF_Options_Exhibits'!T1608:T1612),"")</f>
        <v/>
      </c>
      <c r="U1612" s="3">
        <f>IF(ISNUMBER(AVERAGE('20250815_ETF_Options_Exhibits'!U1608:U1612)),AVERAGE('20250815_ETF_Options_Exhibits'!U1608:U1612),"")</f>
        <v/>
      </c>
      <c r="V1612" s="3">
        <f>IF(ISNUMBER(AVERAGE('20250815_ETF_Options_Exhibits'!V1608:V1612)),AVERAGE('20250815_ETF_Options_Exhibits'!V1608:V1612),"")</f>
        <v/>
      </c>
      <c r="W1612" s="3">
        <f>IF(ISNUMBER(AVERAGE('20250815_ETF_Options_Exhibits'!W1608:W1612)),AVERAGE('20250815_ETF_Options_Exhibits'!W1608:W1612),"")</f>
        <v/>
      </c>
      <c r="X1612" s="3">
        <f>IF(ISNUMBER(AVERAGE('20250815_ETF_Options_Exhibits'!X1608:X1612)),AVERAGE('20250815_ETF_Options_Exhibits'!X1608:X1612),"")</f>
        <v/>
      </c>
      <c r="Y1612" s="3">
        <f>IF(ISNUMBER(AVERAGE('20250815_ETF_Options_Exhibits'!Y1608:Y1612)),AVERAGE('20250815_ETF_Options_Exhibits'!Y1608:Y1612),"")</f>
        <v/>
      </c>
      <c r="Z1612" s="3">
        <f>IF(ISNUMBER(AVERAGE('20250815_ETF_Options_Exhibits'!Z1608:Z1612)),AVERAGE('20250815_ETF_Options_Exhibits'!Z1608:Z1612),"")</f>
        <v/>
      </c>
      <c r="AA1612" s="3">
        <f>IF(ISNUMBER(AVERAGE('20250815_ETF_Options_Exhibits'!AA1608:AA1612)),AVERAGE('20250815_ETF_Options_Exhibits'!AA1608:AA1612),"")</f>
        <v/>
      </c>
    </row>
    <row r="1613">
      <c r="A1613" s="1" t="n">
        <v>44342</v>
      </c>
      <c r="B1613" s="3">
        <f>IF(ISNUMBER(AVERAGE('20250815_ETF_Options_Exhibits'!B1609:B1613)),AVERAGE('20250815_ETF_Options_Exhibits'!B1609:B1613),"")</f>
        <v/>
      </c>
      <c r="C1613" s="3">
        <f>IF(ISNUMBER(AVERAGE('20250815_ETF_Options_Exhibits'!C1609:C1613)),AVERAGE('20250815_ETF_Options_Exhibits'!C1609:C1613),"")</f>
        <v/>
      </c>
      <c r="D1613" s="3">
        <f>IF(ISNUMBER(AVERAGE('20250815_ETF_Options_Exhibits'!D1609:D1613)),AVERAGE('20250815_ETF_Options_Exhibits'!D1609:D1613),"")</f>
        <v/>
      </c>
      <c r="E1613" s="3">
        <f>IF(ISNUMBER(AVERAGE('20250815_ETF_Options_Exhibits'!E1609:E1613)),AVERAGE('20250815_ETF_Options_Exhibits'!E1609:E1613),"")</f>
        <v/>
      </c>
      <c r="F1613" s="3">
        <f>IF(ISNUMBER(AVERAGE('20250815_ETF_Options_Exhibits'!F1609:F1613)),AVERAGE('20250815_ETF_Options_Exhibits'!F1609:F1613),"")</f>
        <v/>
      </c>
      <c r="G1613" s="3">
        <f>IF(ISNUMBER(AVERAGE('20250815_ETF_Options_Exhibits'!G1609:G1613)),AVERAGE('20250815_ETF_Options_Exhibits'!G1609:G1613),"")</f>
        <v/>
      </c>
      <c r="H1613" s="3">
        <f>IF(ISNUMBER(AVERAGE('20250815_ETF_Options_Exhibits'!H1609:H1613)),AVERAGE('20250815_ETF_Options_Exhibits'!H1609:H1613),"")</f>
        <v/>
      </c>
      <c r="I1613" s="3">
        <f>IF(ISNUMBER(AVERAGE('20250815_ETF_Options_Exhibits'!I1609:I1613)),AVERAGE('20250815_ETF_Options_Exhibits'!I1609:I1613),"")</f>
        <v/>
      </c>
      <c r="J1613" s="3">
        <f>IF(ISNUMBER(AVERAGE('20250815_ETF_Options_Exhibits'!J1609:J1613)),AVERAGE('20250815_ETF_Options_Exhibits'!J1609:J1613),"")</f>
        <v/>
      </c>
      <c r="K1613" s="3">
        <f>IF(ISNUMBER(AVERAGE('20250815_ETF_Options_Exhibits'!K1609:K1613)),AVERAGE('20250815_ETF_Options_Exhibits'!K1609:K1613),"")</f>
        <v/>
      </c>
      <c r="L1613" s="3">
        <f>IF(ISNUMBER(AVERAGE('20250815_ETF_Options_Exhibits'!L1609:L1613)),AVERAGE('20250815_ETF_Options_Exhibits'!L1609:L1613),"")</f>
        <v/>
      </c>
      <c r="M1613" s="3">
        <f>IF(ISNUMBER(AVERAGE('20250815_ETF_Options_Exhibits'!M1609:M1613)),AVERAGE('20250815_ETF_Options_Exhibits'!M1609:M1613),"")</f>
        <v/>
      </c>
      <c r="N1613" s="3">
        <f>IF(ISNUMBER(AVERAGE('20250815_ETF_Options_Exhibits'!N1609:N1613)),AVERAGE('20250815_ETF_Options_Exhibits'!N1609:N1613),"")</f>
        <v/>
      </c>
      <c r="O1613" s="3">
        <f>IF(ISNUMBER(AVERAGE('20250815_ETF_Options_Exhibits'!O1609:O1613)),AVERAGE('20250815_ETF_Options_Exhibits'!O1609:O1613),"")</f>
        <v/>
      </c>
      <c r="P1613" s="3">
        <f>IF(ISNUMBER(AVERAGE('20250815_ETF_Options_Exhibits'!P1609:P1613)),AVERAGE('20250815_ETF_Options_Exhibits'!P1609:P1613),"")</f>
        <v/>
      </c>
      <c r="Q1613" s="3">
        <f>IF(ISNUMBER(AVERAGE('20250815_ETF_Options_Exhibits'!Q1609:Q1613)),AVERAGE('20250815_ETF_Options_Exhibits'!Q1609:Q1613),"")</f>
        <v/>
      </c>
      <c r="R1613" s="3">
        <f>IF(ISNUMBER(AVERAGE('20250815_ETF_Options_Exhibits'!R1609:R1613)),AVERAGE('20250815_ETF_Options_Exhibits'!R1609:R1613),"")</f>
        <v/>
      </c>
      <c r="S1613" s="3">
        <f>IF(ISNUMBER(AVERAGE('20250815_ETF_Options_Exhibits'!S1609:S1613)),AVERAGE('20250815_ETF_Options_Exhibits'!S1609:S1613),"")</f>
        <v/>
      </c>
      <c r="T1613" s="3">
        <f>IF(ISNUMBER(AVERAGE('20250815_ETF_Options_Exhibits'!T1609:T1613)),AVERAGE('20250815_ETF_Options_Exhibits'!T1609:T1613),"")</f>
        <v/>
      </c>
      <c r="U1613" s="3">
        <f>IF(ISNUMBER(AVERAGE('20250815_ETF_Options_Exhibits'!U1609:U1613)),AVERAGE('20250815_ETF_Options_Exhibits'!U1609:U1613),"")</f>
        <v/>
      </c>
      <c r="V1613" s="3">
        <f>IF(ISNUMBER(AVERAGE('20250815_ETF_Options_Exhibits'!V1609:V1613)),AVERAGE('20250815_ETF_Options_Exhibits'!V1609:V1613),"")</f>
        <v/>
      </c>
      <c r="W1613" s="3">
        <f>IF(ISNUMBER(AVERAGE('20250815_ETF_Options_Exhibits'!W1609:W1613)),AVERAGE('20250815_ETF_Options_Exhibits'!W1609:W1613),"")</f>
        <v/>
      </c>
      <c r="X1613" s="3">
        <f>IF(ISNUMBER(AVERAGE('20250815_ETF_Options_Exhibits'!X1609:X1613)),AVERAGE('20250815_ETF_Options_Exhibits'!X1609:X1613),"")</f>
        <v/>
      </c>
      <c r="Y1613" s="3">
        <f>IF(ISNUMBER(AVERAGE('20250815_ETF_Options_Exhibits'!Y1609:Y1613)),AVERAGE('20250815_ETF_Options_Exhibits'!Y1609:Y1613),"")</f>
        <v/>
      </c>
      <c r="Z1613" s="3">
        <f>IF(ISNUMBER(AVERAGE('20250815_ETF_Options_Exhibits'!Z1609:Z1613)),AVERAGE('20250815_ETF_Options_Exhibits'!Z1609:Z1613),"")</f>
        <v/>
      </c>
      <c r="AA1613" s="3">
        <f>IF(ISNUMBER(AVERAGE('20250815_ETF_Options_Exhibits'!AA1609:AA1613)),AVERAGE('20250815_ETF_Options_Exhibits'!AA1609:AA1613),"")</f>
        <v/>
      </c>
    </row>
    <row r="1614">
      <c r="A1614" s="1" t="n">
        <v>44343</v>
      </c>
      <c r="B1614" s="3">
        <f>IF(ISNUMBER(AVERAGE('20250815_ETF_Options_Exhibits'!B1610:B1614)),AVERAGE('20250815_ETF_Options_Exhibits'!B1610:B1614),"")</f>
        <v/>
      </c>
      <c r="C1614" s="3">
        <f>IF(ISNUMBER(AVERAGE('20250815_ETF_Options_Exhibits'!C1610:C1614)),AVERAGE('20250815_ETF_Options_Exhibits'!C1610:C1614),"")</f>
        <v/>
      </c>
      <c r="D1614" s="3">
        <f>IF(ISNUMBER(AVERAGE('20250815_ETF_Options_Exhibits'!D1610:D1614)),AVERAGE('20250815_ETF_Options_Exhibits'!D1610:D1614),"")</f>
        <v/>
      </c>
      <c r="E1614" s="3">
        <f>IF(ISNUMBER(AVERAGE('20250815_ETF_Options_Exhibits'!E1610:E1614)),AVERAGE('20250815_ETF_Options_Exhibits'!E1610:E1614),"")</f>
        <v/>
      </c>
      <c r="F1614" s="3">
        <f>IF(ISNUMBER(AVERAGE('20250815_ETF_Options_Exhibits'!F1610:F1614)),AVERAGE('20250815_ETF_Options_Exhibits'!F1610:F1614),"")</f>
        <v/>
      </c>
      <c r="G1614" s="3">
        <f>IF(ISNUMBER(AVERAGE('20250815_ETF_Options_Exhibits'!G1610:G1614)),AVERAGE('20250815_ETF_Options_Exhibits'!G1610:G1614),"")</f>
        <v/>
      </c>
      <c r="H1614" s="3">
        <f>IF(ISNUMBER(AVERAGE('20250815_ETF_Options_Exhibits'!H1610:H1614)),AVERAGE('20250815_ETF_Options_Exhibits'!H1610:H1614),"")</f>
        <v/>
      </c>
      <c r="I1614" s="3">
        <f>IF(ISNUMBER(AVERAGE('20250815_ETF_Options_Exhibits'!I1610:I1614)),AVERAGE('20250815_ETF_Options_Exhibits'!I1610:I1614),"")</f>
        <v/>
      </c>
      <c r="J1614" s="3">
        <f>IF(ISNUMBER(AVERAGE('20250815_ETF_Options_Exhibits'!J1610:J1614)),AVERAGE('20250815_ETF_Options_Exhibits'!J1610:J1614),"")</f>
        <v/>
      </c>
      <c r="K1614" s="3">
        <f>IF(ISNUMBER(AVERAGE('20250815_ETF_Options_Exhibits'!K1610:K1614)),AVERAGE('20250815_ETF_Options_Exhibits'!K1610:K1614),"")</f>
        <v/>
      </c>
      <c r="L1614" s="3">
        <f>IF(ISNUMBER(AVERAGE('20250815_ETF_Options_Exhibits'!L1610:L1614)),AVERAGE('20250815_ETF_Options_Exhibits'!L1610:L1614),"")</f>
        <v/>
      </c>
      <c r="M1614" s="3">
        <f>IF(ISNUMBER(AVERAGE('20250815_ETF_Options_Exhibits'!M1610:M1614)),AVERAGE('20250815_ETF_Options_Exhibits'!M1610:M1614),"")</f>
        <v/>
      </c>
      <c r="N1614" s="3">
        <f>IF(ISNUMBER(AVERAGE('20250815_ETF_Options_Exhibits'!N1610:N1614)),AVERAGE('20250815_ETF_Options_Exhibits'!N1610:N1614),"")</f>
        <v/>
      </c>
      <c r="O1614" s="3">
        <f>IF(ISNUMBER(AVERAGE('20250815_ETF_Options_Exhibits'!O1610:O1614)),AVERAGE('20250815_ETF_Options_Exhibits'!O1610:O1614),"")</f>
        <v/>
      </c>
      <c r="P1614" s="3">
        <f>IF(ISNUMBER(AVERAGE('20250815_ETF_Options_Exhibits'!P1610:P1614)),AVERAGE('20250815_ETF_Options_Exhibits'!P1610:P1614),"")</f>
        <v/>
      </c>
      <c r="Q1614" s="3">
        <f>IF(ISNUMBER(AVERAGE('20250815_ETF_Options_Exhibits'!Q1610:Q1614)),AVERAGE('20250815_ETF_Options_Exhibits'!Q1610:Q1614),"")</f>
        <v/>
      </c>
      <c r="R1614" s="3">
        <f>IF(ISNUMBER(AVERAGE('20250815_ETF_Options_Exhibits'!R1610:R1614)),AVERAGE('20250815_ETF_Options_Exhibits'!R1610:R1614),"")</f>
        <v/>
      </c>
      <c r="S1614" s="3">
        <f>IF(ISNUMBER(AVERAGE('20250815_ETF_Options_Exhibits'!S1610:S1614)),AVERAGE('20250815_ETF_Options_Exhibits'!S1610:S1614),"")</f>
        <v/>
      </c>
      <c r="T1614" s="3">
        <f>IF(ISNUMBER(AVERAGE('20250815_ETF_Options_Exhibits'!T1610:T1614)),AVERAGE('20250815_ETF_Options_Exhibits'!T1610:T1614),"")</f>
        <v/>
      </c>
      <c r="U1614" s="3">
        <f>IF(ISNUMBER(AVERAGE('20250815_ETF_Options_Exhibits'!U1610:U1614)),AVERAGE('20250815_ETF_Options_Exhibits'!U1610:U1614),"")</f>
        <v/>
      </c>
      <c r="V1614" s="3">
        <f>IF(ISNUMBER(AVERAGE('20250815_ETF_Options_Exhibits'!V1610:V1614)),AVERAGE('20250815_ETF_Options_Exhibits'!V1610:V1614),"")</f>
        <v/>
      </c>
      <c r="W1614" s="3">
        <f>IF(ISNUMBER(AVERAGE('20250815_ETF_Options_Exhibits'!W1610:W1614)),AVERAGE('20250815_ETF_Options_Exhibits'!W1610:W1614),"")</f>
        <v/>
      </c>
      <c r="X1614" s="3">
        <f>IF(ISNUMBER(AVERAGE('20250815_ETF_Options_Exhibits'!X1610:X1614)),AVERAGE('20250815_ETF_Options_Exhibits'!X1610:X1614),"")</f>
        <v/>
      </c>
      <c r="Y1614" s="3">
        <f>IF(ISNUMBER(AVERAGE('20250815_ETF_Options_Exhibits'!Y1610:Y1614)),AVERAGE('20250815_ETF_Options_Exhibits'!Y1610:Y1614),"")</f>
        <v/>
      </c>
      <c r="Z1614" s="3">
        <f>IF(ISNUMBER(AVERAGE('20250815_ETF_Options_Exhibits'!Z1610:Z1614)),AVERAGE('20250815_ETF_Options_Exhibits'!Z1610:Z1614),"")</f>
        <v/>
      </c>
      <c r="AA1614" s="3">
        <f>IF(ISNUMBER(AVERAGE('20250815_ETF_Options_Exhibits'!AA1610:AA1614)),AVERAGE('20250815_ETF_Options_Exhibits'!AA1610:AA1614),"")</f>
        <v/>
      </c>
    </row>
    <row r="1615">
      <c r="A1615" s="1" t="n">
        <v>44344</v>
      </c>
      <c r="B1615" s="3">
        <f>IF(ISNUMBER(AVERAGE('20250815_ETF_Options_Exhibits'!B1611:B1615)),AVERAGE('20250815_ETF_Options_Exhibits'!B1611:B1615),"")</f>
        <v/>
      </c>
      <c r="C1615" s="3">
        <f>IF(ISNUMBER(AVERAGE('20250815_ETF_Options_Exhibits'!C1611:C1615)),AVERAGE('20250815_ETF_Options_Exhibits'!C1611:C1615),"")</f>
        <v/>
      </c>
      <c r="D1615" s="3">
        <f>IF(ISNUMBER(AVERAGE('20250815_ETF_Options_Exhibits'!D1611:D1615)),AVERAGE('20250815_ETF_Options_Exhibits'!D1611:D1615),"")</f>
        <v/>
      </c>
      <c r="E1615" s="3">
        <f>IF(ISNUMBER(AVERAGE('20250815_ETF_Options_Exhibits'!E1611:E1615)),AVERAGE('20250815_ETF_Options_Exhibits'!E1611:E1615),"")</f>
        <v/>
      </c>
      <c r="F1615" s="3">
        <f>IF(ISNUMBER(AVERAGE('20250815_ETF_Options_Exhibits'!F1611:F1615)),AVERAGE('20250815_ETF_Options_Exhibits'!F1611:F1615),"")</f>
        <v/>
      </c>
      <c r="G1615" s="3">
        <f>IF(ISNUMBER(AVERAGE('20250815_ETF_Options_Exhibits'!G1611:G1615)),AVERAGE('20250815_ETF_Options_Exhibits'!G1611:G1615),"")</f>
        <v/>
      </c>
      <c r="H1615" s="3">
        <f>IF(ISNUMBER(AVERAGE('20250815_ETF_Options_Exhibits'!H1611:H1615)),AVERAGE('20250815_ETF_Options_Exhibits'!H1611:H1615),"")</f>
        <v/>
      </c>
      <c r="I1615" s="3">
        <f>IF(ISNUMBER(AVERAGE('20250815_ETF_Options_Exhibits'!I1611:I1615)),AVERAGE('20250815_ETF_Options_Exhibits'!I1611:I1615),"")</f>
        <v/>
      </c>
      <c r="J1615" s="3">
        <f>IF(ISNUMBER(AVERAGE('20250815_ETF_Options_Exhibits'!J1611:J1615)),AVERAGE('20250815_ETF_Options_Exhibits'!J1611:J1615),"")</f>
        <v/>
      </c>
      <c r="K1615" s="3">
        <f>IF(ISNUMBER(AVERAGE('20250815_ETF_Options_Exhibits'!K1611:K1615)),AVERAGE('20250815_ETF_Options_Exhibits'!K1611:K1615),"")</f>
        <v/>
      </c>
      <c r="L1615" s="3">
        <f>IF(ISNUMBER(AVERAGE('20250815_ETF_Options_Exhibits'!L1611:L1615)),AVERAGE('20250815_ETF_Options_Exhibits'!L1611:L1615),"")</f>
        <v/>
      </c>
      <c r="M1615" s="3">
        <f>IF(ISNUMBER(AVERAGE('20250815_ETF_Options_Exhibits'!M1611:M1615)),AVERAGE('20250815_ETF_Options_Exhibits'!M1611:M1615),"")</f>
        <v/>
      </c>
      <c r="N1615" s="3">
        <f>IF(ISNUMBER(AVERAGE('20250815_ETF_Options_Exhibits'!N1611:N1615)),AVERAGE('20250815_ETF_Options_Exhibits'!N1611:N1615),"")</f>
        <v/>
      </c>
      <c r="O1615" s="3">
        <f>IF(ISNUMBER(AVERAGE('20250815_ETF_Options_Exhibits'!O1611:O1615)),AVERAGE('20250815_ETF_Options_Exhibits'!O1611:O1615),"")</f>
        <v/>
      </c>
      <c r="P1615" s="3">
        <f>IF(ISNUMBER(AVERAGE('20250815_ETF_Options_Exhibits'!P1611:P1615)),AVERAGE('20250815_ETF_Options_Exhibits'!P1611:P1615),"")</f>
        <v/>
      </c>
      <c r="Q1615" s="3">
        <f>IF(ISNUMBER(AVERAGE('20250815_ETF_Options_Exhibits'!Q1611:Q1615)),AVERAGE('20250815_ETF_Options_Exhibits'!Q1611:Q1615),"")</f>
        <v/>
      </c>
      <c r="R1615" s="3">
        <f>IF(ISNUMBER(AVERAGE('20250815_ETF_Options_Exhibits'!R1611:R1615)),AVERAGE('20250815_ETF_Options_Exhibits'!R1611:R1615),"")</f>
        <v/>
      </c>
      <c r="S1615" s="3">
        <f>IF(ISNUMBER(AVERAGE('20250815_ETF_Options_Exhibits'!S1611:S1615)),AVERAGE('20250815_ETF_Options_Exhibits'!S1611:S1615),"")</f>
        <v/>
      </c>
      <c r="T1615" s="3">
        <f>IF(ISNUMBER(AVERAGE('20250815_ETF_Options_Exhibits'!T1611:T1615)),AVERAGE('20250815_ETF_Options_Exhibits'!T1611:T1615),"")</f>
        <v/>
      </c>
      <c r="U1615" s="3">
        <f>IF(ISNUMBER(AVERAGE('20250815_ETF_Options_Exhibits'!U1611:U1615)),AVERAGE('20250815_ETF_Options_Exhibits'!U1611:U1615),"")</f>
        <v/>
      </c>
      <c r="V1615" s="3">
        <f>IF(ISNUMBER(AVERAGE('20250815_ETF_Options_Exhibits'!V1611:V1615)),AVERAGE('20250815_ETF_Options_Exhibits'!V1611:V1615),"")</f>
        <v/>
      </c>
      <c r="W1615" s="3">
        <f>IF(ISNUMBER(AVERAGE('20250815_ETF_Options_Exhibits'!W1611:W1615)),AVERAGE('20250815_ETF_Options_Exhibits'!W1611:W1615),"")</f>
        <v/>
      </c>
      <c r="X1615" s="3">
        <f>IF(ISNUMBER(AVERAGE('20250815_ETF_Options_Exhibits'!X1611:X1615)),AVERAGE('20250815_ETF_Options_Exhibits'!X1611:X1615),"")</f>
        <v/>
      </c>
      <c r="Y1615" s="3">
        <f>IF(ISNUMBER(AVERAGE('20250815_ETF_Options_Exhibits'!Y1611:Y1615)),AVERAGE('20250815_ETF_Options_Exhibits'!Y1611:Y1615),"")</f>
        <v/>
      </c>
      <c r="Z1615" s="3">
        <f>IF(ISNUMBER(AVERAGE('20250815_ETF_Options_Exhibits'!Z1611:Z1615)),AVERAGE('20250815_ETF_Options_Exhibits'!Z1611:Z1615),"")</f>
        <v/>
      </c>
      <c r="AA1615" s="3">
        <f>IF(ISNUMBER(AVERAGE('20250815_ETF_Options_Exhibits'!AA1611:AA1615)),AVERAGE('20250815_ETF_Options_Exhibits'!AA1611:AA1615),"")</f>
        <v/>
      </c>
    </row>
    <row r="1616">
      <c r="A1616" s="1" t="n">
        <v>44348</v>
      </c>
      <c r="B1616" s="3">
        <f>IF(ISNUMBER(AVERAGE('20250815_ETF_Options_Exhibits'!B1612:B1616)),AVERAGE('20250815_ETF_Options_Exhibits'!B1612:B1616),"")</f>
        <v/>
      </c>
      <c r="C1616" s="3">
        <f>IF(ISNUMBER(AVERAGE('20250815_ETF_Options_Exhibits'!C1612:C1616)),AVERAGE('20250815_ETF_Options_Exhibits'!C1612:C1616),"")</f>
        <v/>
      </c>
      <c r="D1616" s="3">
        <f>IF(ISNUMBER(AVERAGE('20250815_ETF_Options_Exhibits'!D1612:D1616)),AVERAGE('20250815_ETF_Options_Exhibits'!D1612:D1616),"")</f>
        <v/>
      </c>
      <c r="E1616" s="3">
        <f>IF(ISNUMBER(AVERAGE('20250815_ETF_Options_Exhibits'!E1612:E1616)),AVERAGE('20250815_ETF_Options_Exhibits'!E1612:E1616),"")</f>
        <v/>
      </c>
      <c r="F1616" s="3">
        <f>IF(ISNUMBER(AVERAGE('20250815_ETF_Options_Exhibits'!F1612:F1616)),AVERAGE('20250815_ETF_Options_Exhibits'!F1612:F1616),"")</f>
        <v/>
      </c>
      <c r="G1616" s="3">
        <f>IF(ISNUMBER(AVERAGE('20250815_ETF_Options_Exhibits'!G1612:G1616)),AVERAGE('20250815_ETF_Options_Exhibits'!G1612:G1616),"")</f>
        <v/>
      </c>
      <c r="H1616" s="3">
        <f>IF(ISNUMBER(AVERAGE('20250815_ETF_Options_Exhibits'!H1612:H1616)),AVERAGE('20250815_ETF_Options_Exhibits'!H1612:H1616),"")</f>
        <v/>
      </c>
      <c r="I1616" s="3">
        <f>IF(ISNUMBER(AVERAGE('20250815_ETF_Options_Exhibits'!I1612:I1616)),AVERAGE('20250815_ETF_Options_Exhibits'!I1612:I1616),"")</f>
        <v/>
      </c>
      <c r="J1616" s="3">
        <f>IF(ISNUMBER(AVERAGE('20250815_ETF_Options_Exhibits'!J1612:J1616)),AVERAGE('20250815_ETF_Options_Exhibits'!J1612:J1616),"")</f>
        <v/>
      </c>
      <c r="K1616" s="3">
        <f>IF(ISNUMBER(AVERAGE('20250815_ETF_Options_Exhibits'!K1612:K1616)),AVERAGE('20250815_ETF_Options_Exhibits'!K1612:K1616),"")</f>
        <v/>
      </c>
      <c r="L1616" s="3">
        <f>IF(ISNUMBER(AVERAGE('20250815_ETF_Options_Exhibits'!L1612:L1616)),AVERAGE('20250815_ETF_Options_Exhibits'!L1612:L1616),"")</f>
        <v/>
      </c>
      <c r="M1616" s="3">
        <f>IF(ISNUMBER(AVERAGE('20250815_ETF_Options_Exhibits'!M1612:M1616)),AVERAGE('20250815_ETF_Options_Exhibits'!M1612:M1616),"")</f>
        <v/>
      </c>
      <c r="N1616" s="3">
        <f>IF(ISNUMBER(AVERAGE('20250815_ETF_Options_Exhibits'!N1612:N1616)),AVERAGE('20250815_ETF_Options_Exhibits'!N1612:N1616),"")</f>
        <v/>
      </c>
      <c r="O1616" s="3">
        <f>IF(ISNUMBER(AVERAGE('20250815_ETF_Options_Exhibits'!O1612:O1616)),AVERAGE('20250815_ETF_Options_Exhibits'!O1612:O1616),"")</f>
        <v/>
      </c>
      <c r="P1616" s="3">
        <f>IF(ISNUMBER(AVERAGE('20250815_ETF_Options_Exhibits'!P1612:P1616)),AVERAGE('20250815_ETF_Options_Exhibits'!P1612:P1616),"")</f>
        <v/>
      </c>
      <c r="Q1616" s="3">
        <f>IF(ISNUMBER(AVERAGE('20250815_ETF_Options_Exhibits'!Q1612:Q1616)),AVERAGE('20250815_ETF_Options_Exhibits'!Q1612:Q1616),"")</f>
        <v/>
      </c>
      <c r="R1616" s="3">
        <f>IF(ISNUMBER(AVERAGE('20250815_ETF_Options_Exhibits'!R1612:R1616)),AVERAGE('20250815_ETF_Options_Exhibits'!R1612:R1616),"")</f>
        <v/>
      </c>
      <c r="S1616" s="3">
        <f>IF(ISNUMBER(AVERAGE('20250815_ETF_Options_Exhibits'!S1612:S1616)),AVERAGE('20250815_ETF_Options_Exhibits'!S1612:S1616),"")</f>
        <v/>
      </c>
      <c r="T1616" s="3">
        <f>IF(ISNUMBER(AVERAGE('20250815_ETF_Options_Exhibits'!T1612:T1616)),AVERAGE('20250815_ETF_Options_Exhibits'!T1612:T1616),"")</f>
        <v/>
      </c>
      <c r="U1616" s="3">
        <f>IF(ISNUMBER(AVERAGE('20250815_ETF_Options_Exhibits'!U1612:U1616)),AVERAGE('20250815_ETF_Options_Exhibits'!U1612:U1616),"")</f>
        <v/>
      </c>
      <c r="V1616" s="3">
        <f>IF(ISNUMBER(AVERAGE('20250815_ETF_Options_Exhibits'!V1612:V1616)),AVERAGE('20250815_ETF_Options_Exhibits'!V1612:V1616),"")</f>
        <v/>
      </c>
      <c r="W1616" s="3">
        <f>IF(ISNUMBER(AVERAGE('20250815_ETF_Options_Exhibits'!W1612:W1616)),AVERAGE('20250815_ETF_Options_Exhibits'!W1612:W1616),"")</f>
        <v/>
      </c>
      <c r="X1616" s="3">
        <f>IF(ISNUMBER(AVERAGE('20250815_ETF_Options_Exhibits'!X1612:X1616)),AVERAGE('20250815_ETF_Options_Exhibits'!X1612:X1616),"")</f>
        <v/>
      </c>
      <c r="Y1616" s="3">
        <f>IF(ISNUMBER(AVERAGE('20250815_ETF_Options_Exhibits'!Y1612:Y1616)),AVERAGE('20250815_ETF_Options_Exhibits'!Y1612:Y1616),"")</f>
        <v/>
      </c>
      <c r="Z1616" s="3">
        <f>IF(ISNUMBER(AVERAGE('20250815_ETF_Options_Exhibits'!Z1612:Z1616)),AVERAGE('20250815_ETF_Options_Exhibits'!Z1612:Z1616),"")</f>
        <v/>
      </c>
      <c r="AA1616" s="3">
        <f>IF(ISNUMBER(AVERAGE('20250815_ETF_Options_Exhibits'!AA1612:AA1616)),AVERAGE('20250815_ETF_Options_Exhibits'!AA1612:AA1616),"")</f>
        <v/>
      </c>
    </row>
    <row r="1617">
      <c r="A1617" s="1" t="n">
        <v>44349</v>
      </c>
      <c r="B1617" s="3">
        <f>IF(ISNUMBER(AVERAGE('20250815_ETF_Options_Exhibits'!B1613:B1617)),AVERAGE('20250815_ETF_Options_Exhibits'!B1613:B1617),"")</f>
        <v/>
      </c>
      <c r="C1617" s="3">
        <f>IF(ISNUMBER(AVERAGE('20250815_ETF_Options_Exhibits'!C1613:C1617)),AVERAGE('20250815_ETF_Options_Exhibits'!C1613:C1617),"")</f>
        <v/>
      </c>
      <c r="D1617" s="3">
        <f>IF(ISNUMBER(AVERAGE('20250815_ETF_Options_Exhibits'!D1613:D1617)),AVERAGE('20250815_ETF_Options_Exhibits'!D1613:D1617),"")</f>
        <v/>
      </c>
      <c r="E1617" s="3">
        <f>IF(ISNUMBER(AVERAGE('20250815_ETF_Options_Exhibits'!E1613:E1617)),AVERAGE('20250815_ETF_Options_Exhibits'!E1613:E1617),"")</f>
        <v/>
      </c>
      <c r="F1617" s="3">
        <f>IF(ISNUMBER(AVERAGE('20250815_ETF_Options_Exhibits'!F1613:F1617)),AVERAGE('20250815_ETF_Options_Exhibits'!F1613:F1617),"")</f>
        <v/>
      </c>
      <c r="G1617" s="3">
        <f>IF(ISNUMBER(AVERAGE('20250815_ETF_Options_Exhibits'!G1613:G1617)),AVERAGE('20250815_ETF_Options_Exhibits'!G1613:G1617),"")</f>
        <v/>
      </c>
      <c r="H1617" s="3">
        <f>IF(ISNUMBER(AVERAGE('20250815_ETF_Options_Exhibits'!H1613:H1617)),AVERAGE('20250815_ETF_Options_Exhibits'!H1613:H1617),"")</f>
        <v/>
      </c>
      <c r="I1617" s="3">
        <f>IF(ISNUMBER(AVERAGE('20250815_ETF_Options_Exhibits'!I1613:I1617)),AVERAGE('20250815_ETF_Options_Exhibits'!I1613:I1617),"")</f>
        <v/>
      </c>
      <c r="J1617" s="3">
        <f>IF(ISNUMBER(AVERAGE('20250815_ETF_Options_Exhibits'!J1613:J1617)),AVERAGE('20250815_ETF_Options_Exhibits'!J1613:J1617),"")</f>
        <v/>
      </c>
      <c r="K1617" s="3">
        <f>IF(ISNUMBER(AVERAGE('20250815_ETF_Options_Exhibits'!K1613:K1617)),AVERAGE('20250815_ETF_Options_Exhibits'!K1613:K1617),"")</f>
        <v/>
      </c>
      <c r="L1617" s="3">
        <f>IF(ISNUMBER(AVERAGE('20250815_ETF_Options_Exhibits'!L1613:L1617)),AVERAGE('20250815_ETF_Options_Exhibits'!L1613:L1617),"")</f>
        <v/>
      </c>
      <c r="M1617" s="3">
        <f>IF(ISNUMBER(AVERAGE('20250815_ETF_Options_Exhibits'!M1613:M1617)),AVERAGE('20250815_ETF_Options_Exhibits'!M1613:M1617),"")</f>
        <v/>
      </c>
      <c r="N1617" s="3">
        <f>IF(ISNUMBER(AVERAGE('20250815_ETF_Options_Exhibits'!N1613:N1617)),AVERAGE('20250815_ETF_Options_Exhibits'!N1613:N1617),"")</f>
        <v/>
      </c>
      <c r="O1617" s="3">
        <f>IF(ISNUMBER(AVERAGE('20250815_ETF_Options_Exhibits'!O1613:O1617)),AVERAGE('20250815_ETF_Options_Exhibits'!O1613:O1617),"")</f>
        <v/>
      </c>
      <c r="P1617" s="3">
        <f>IF(ISNUMBER(AVERAGE('20250815_ETF_Options_Exhibits'!P1613:P1617)),AVERAGE('20250815_ETF_Options_Exhibits'!P1613:P1617),"")</f>
        <v/>
      </c>
      <c r="Q1617" s="3">
        <f>IF(ISNUMBER(AVERAGE('20250815_ETF_Options_Exhibits'!Q1613:Q1617)),AVERAGE('20250815_ETF_Options_Exhibits'!Q1613:Q1617),"")</f>
        <v/>
      </c>
      <c r="R1617" s="3">
        <f>IF(ISNUMBER(AVERAGE('20250815_ETF_Options_Exhibits'!R1613:R1617)),AVERAGE('20250815_ETF_Options_Exhibits'!R1613:R1617),"")</f>
        <v/>
      </c>
      <c r="S1617" s="3">
        <f>IF(ISNUMBER(AVERAGE('20250815_ETF_Options_Exhibits'!S1613:S1617)),AVERAGE('20250815_ETF_Options_Exhibits'!S1613:S1617),"")</f>
        <v/>
      </c>
      <c r="T1617" s="3">
        <f>IF(ISNUMBER(AVERAGE('20250815_ETF_Options_Exhibits'!T1613:T1617)),AVERAGE('20250815_ETF_Options_Exhibits'!T1613:T1617),"")</f>
        <v/>
      </c>
      <c r="U1617" s="3">
        <f>IF(ISNUMBER(AVERAGE('20250815_ETF_Options_Exhibits'!U1613:U1617)),AVERAGE('20250815_ETF_Options_Exhibits'!U1613:U1617),"")</f>
        <v/>
      </c>
      <c r="V1617" s="3">
        <f>IF(ISNUMBER(AVERAGE('20250815_ETF_Options_Exhibits'!V1613:V1617)),AVERAGE('20250815_ETF_Options_Exhibits'!V1613:V1617),"")</f>
        <v/>
      </c>
      <c r="W1617" s="3">
        <f>IF(ISNUMBER(AVERAGE('20250815_ETF_Options_Exhibits'!W1613:W1617)),AVERAGE('20250815_ETF_Options_Exhibits'!W1613:W1617),"")</f>
        <v/>
      </c>
      <c r="X1617" s="3">
        <f>IF(ISNUMBER(AVERAGE('20250815_ETF_Options_Exhibits'!X1613:X1617)),AVERAGE('20250815_ETF_Options_Exhibits'!X1613:X1617),"")</f>
        <v/>
      </c>
      <c r="Y1617" s="3">
        <f>IF(ISNUMBER(AVERAGE('20250815_ETF_Options_Exhibits'!Y1613:Y1617)),AVERAGE('20250815_ETF_Options_Exhibits'!Y1613:Y1617),"")</f>
        <v/>
      </c>
      <c r="Z1617" s="3">
        <f>IF(ISNUMBER(AVERAGE('20250815_ETF_Options_Exhibits'!Z1613:Z1617)),AVERAGE('20250815_ETF_Options_Exhibits'!Z1613:Z1617),"")</f>
        <v/>
      </c>
      <c r="AA1617" s="3">
        <f>IF(ISNUMBER(AVERAGE('20250815_ETF_Options_Exhibits'!AA1613:AA1617)),AVERAGE('20250815_ETF_Options_Exhibits'!AA1613:AA1617),"")</f>
        <v/>
      </c>
    </row>
    <row r="1618">
      <c r="A1618" s="1" t="n">
        <v>44350</v>
      </c>
      <c r="B1618" s="3">
        <f>IF(ISNUMBER(AVERAGE('20250815_ETF_Options_Exhibits'!B1614:B1618)),AVERAGE('20250815_ETF_Options_Exhibits'!B1614:B1618),"")</f>
        <v/>
      </c>
      <c r="C1618" s="3">
        <f>IF(ISNUMBER(AVERAGE('20250815_ETF_Options_Exhibits'!C1614:C1618)),AVERAGE('20250815_ETF_Options_Exhibits'!C1614:C1618),"")</f>
        <v/>
      </c>
      <c r="D1618" s="3">
        <f>IF(ISNUMBER(AVERAGE('20250815_ETF_Options_Exhibits'!D1614:D1618)),AVERAGE('20250815_ETF_Options_Exhibits'!D1614:D1618),"")</f>
        <v/>
      </c>
      <c r="E1618" s="3">
        <f>IF(ISNUMBER(AVERAGE('20250815_ETF_Options_Exhibits'!E1614:E1618)),AVERAGE('20250815_ETF_Options_Exhibits'!E1614:E1618),"")</f>
        <v/>
      </c>
      <c r="F1618" s="3">
        <f>IF(ISNUMBER(AVERAGE('20250815_ETF_Options_Exhibits'!F1614:F1618)),AVERAGE('20250815_ETF_Options_Exhibits'!F1614:F1618),"")</f>
        <v/>
      </c>
      <c r="G1618" s="3">
        <f>IF(ISNUMBER(AVERAGE('20250815_ETF_Options_Exhibits'!G1614:G1618)),AVERAGE('20250815_ETF_Options_Exhibits'!G1614:G1618),"")</f>
        <v/>
      </c>
      <c r="H1618" s="3">
        <f>IF(ISNUMBER(AVERAGE('20250815_ETF_Options_Exhibits'!H1614:H1618)),AVERAGE('20250815_ETF_Options_Exhibits'!H1614:H1618),"")</f>
        <v/>
      </c>
      <c r="I1618" s="3">
        <f>IF(ISNUMBER(AVERAGE('20250815_ETF_Options_Exhibits'!I1614:I1618)),AVERAGE('20250815_ETF_Options_Exhibits'!I1614:I1618),"")</f>
        <v/>
      </c>
      <c r="J1618" s="3">
        <f>IF(ISNUMBER(AVERAGE('20250815_ETF_Options_Exhibits'!J1614:J1618)),AVERAGE('20250815_ETF_Options_Exhibits'!J1614:J1618),"")</f>
        <v/>
      </c>
      <c r="K1618" s="3">
        <f>IF(ISNUMBER(AVERAGE('20250815_ETF_Options_Exhibits'!K1614:K1618)),AVERAGE('20250815_ETF_Options_Exhibits'!K1614:K1618),"")</f>
        <v/>
      </c>
      <c r="L1618" s="3">
        <f>IF(ISNUMBER(AVERAGE('20250815_ETF_Options_Exhibits'!L1614:L1618)),AVERAGE('20250815_ETF_Options_Exhibits'!L1614:L1618),"")</f>
        <v/>
      </c>
      <c r="M1618" s="3">
        <f>IF(ISNUMBER(AVERAGE('20250815_ETF_Options_Exhibits'!M1614:M1618)),AVERAGE('20250815_ETF_Options_Exhibits'!M1614:M1618),"")</f>
        <v/>
      </c>
      <c r="N1618" s="3">
        <f>IF(ISNUMBER(AVERAGE('20250815_ETF_Options_Exhibits'!N1614:N1618)),AVERAGE('20250815_ETF_Options_Exhibits'!N1614:N1618),"")</f>
        <v/>
      </c>
      <c r="O1618" s="3">
        <f>IF(ISNUMBER(AVERAGE('20250815_ETF_Options_Exhibits'!O1614:O1618)),AVERAGE('20250815_ETF_Options_Exhibits'!O1614:O1618),"")</f>
        <v/>
      </c>
      <c r="P1618" s="3">
        <f>IF(ISNUMBER(AVERAGE('20250815_ETF_Options_Exhibits'!P1614:P1618)),AVERAGE('20250815_ETF_Options_Exhibits'!P1614:P1618),"")</f>
        <v/>
      </c>
      <c r="Q1618" s="3">
        <f>IF(ISNUMBER(AVERAGE('20250815_ETF_Options_Exhibits'!Q1614:Q1618)),AVERAGE('20250815_ETF_Options_Exhibits'!Q1614:Q1618),"")</f>
        <v/>
      </c>
      <c r="R1618" s="3">
        <f>IF(ISNUMBER(AVERAGE('20250815_ETF_Options_Exhibits'!R1614:R1618)),AVERAGE('20250815_ETF_Options_Exhibits'!R1614:R1618),"")</f>
        <v/>
      </c>
      <c r="S1618" s="3">
        <f>IF(ISNUMBER(AVERAGE('20250815_ETF_Options_Exhibits'!S1614:S1618)),AVERAGE('20250815_ETF_Options_Exhibits'!S1614:S1618),"")</f>
        <v/>
      </c>
      <c r="T1618" s="3">
        <f>IF(ISNUMBER(AVERAGE('20250815_ETF_Options_Exhibits'!T1614:T1618)),AVERAGE('20250815_ETF_Options_Exhibits'!T1614:T1618),"")</f>
        <v/>
      </c>
      <c r="U1618" s="3">
        <f>IF(ISNUMBER(AVERAGE('20250815_ETF_Options_Exhibits'!U1614:U1618)),AVERAGE('20250815_ETF_Options_Exhibits'!U1614:U1618),"")</f>
        <v/>
      </c>
      <c r="V1618" s="3">
        <f>IF(ISNUMBER(AVERAGE('20250815_ETF_Options_Exhibits'!V1614:V1618)),AVERAGE('20250815_ETF_Options_Exhibits'!V1614:V1618),"")</f>
        <v/>
      </c>
      <c r="W1618" s="3">
        <f>IF(ISNUMBER(AVERAGE('20250815_ETF_Options_Exhibits'!W1614:W1618)),AVERAGE('20250815_ETF_Options_Exhibits'!W1614:W1618),"")</f>
        <v/>
      </c>
      <c r="X1618" s="3">
        <f>IF(ISNUMBER(AVERAGE('20250815_ETF_Options_Exhibits'!X1614:X1618)),AVERAGE('20250815_ETF_Options_Exhibits'!X1614:X1618),"")</f>
        <v/>
      </c>
      <c r="Y1618" s="3">
        <f>IF(ISNUMBER(AVERAGE('20250815_ETF_Options_Exhibits'!Y1614:Y1618)),AVERAGE('20250815_ETF_Options_Exhibits'!Y1614:Y1618),"")</f>
        <v/>
      </c>
      <c r="Z1618" s="3">
        <f>IF(ISNUMBER(AVERAGE('20250815_ETF_Options_Exhibits'!Z1614:Z1618)),AVERAGE('20250815_ETF_Options_Exhibits'!Z1614:Z1618),"")</f>
        <v/>
      </c>
      <c r="AA1618" s="3">
        <f>IF(ISNUMBER(AVERAGE('20250815_ETF_Options_Exhibits'!AA1614:AA1618)),AVERAGE('20250815_ETF_Options_Exhibits'!AA1614:AA1618),"")</f>
        <v/>
      </c>
    </row>
    <row r="1619">
      <c r="A1619" s="1" t="n">
        <v>44351</v>
      </c>
      <c r="B1619" s="3">
        <f>IF(ISNUMBER(AVERAGE('20250815_ETF_Options_Exhibits'!B1615:B1619)),AVERAGE('20250815_ETF_Options_Exhibits'!B1615:B1619),"")</f>
        <v/>
      </c>
      <c r="C1619" s="3">
        <f>IF(ISNUMBER(AVERAGE('20250815_ETF_Options_Exhibits'!C1615:C1619)),AVERAGE('20250815_ETF_Options_Exhibits'!C1615:C1619),"")</f>
        <v/>
      </c>
      <c r="D1619" s="3">
        <f>IF(ISNUMBER(AVERAGE('20250815_ETF_Options_Exhibits'!D1615:D1619)),AVERAGE('20250815_ETF_Options_Exhibits'!D1615:D1619),"")</f>
        <v/>
      </c>
      <c r="E1619" s="3">
        <f>IF(ISNUMBER(AVERAGE('20250815_ETF_Options_Exhibits'!E1615:E1619)),AVERAGE('20250815_ETF_Options_Exhibits'!E1615:E1619),"")</f>
        <v/>
      </c>
      <c r="F1619" s="3">
        <f>IF(ISNUMBER(AVERAGE('20250815_ETF_Options_Exhibits'!F1615:F1619)),AVERAGE('20250815_ETF_Options_Exhibits'!F1615:F1619),"")</f>
        <v/>
      </c>
      <c r="G1619" s="3">
        <f>IF(ISNUMBER(AVERAGE('20250815_ETF_Options_Exhibits'!G1615:G1619)),AVERAGE('20250815_ETF_Options_Exhibits'!G1615:G1619),"")</f>
        <v/>
      </c>
      <c r="H1619" s="3">
        <f>IF(ISNUMBER(AVERAGE('20250815_ETF_Options_Exhibits'!H1615:H1619)),AVERAGE('20250815_ETF_Options_Exhibits'!H1615:H1619),"")</f>
        <v/>
      </c>
      <c r="I1619" s="3">
        <f>IF(ISNUMBER(AVERAGE('20250815_ETF_Options_Exhibits'!I1615:I1619)),AVERAGE('20250815_ETF_Options_Exhibits'!I1615:I1619),"")</f>
        <v/>
      </c>
      <c r="J1619" s="3">
        <f>IF(ISNUMBER(AVERAGE('20250815_ETF_Options_Exhibits'!J1615:J1619)),AVERAGE('20250815_ETF_Options_Exhibits'!J1615:J1619),"")</f>
        <v/>
      </c>
      <c r="K1619" s="3">
        <f>IF(ISNUMBER(AVERAGE('20250815_ETF_Options_Exhibits'!K1615:K1619)),AVERAGE('20250815_ETF_Options_Exhibits'!K1615:K1619),"")</f>
        <v/>
      </c>
      <c r="L1619" s="3">
        <f>IF(ISNUMBER(AVERAGE('20250815_ETF_Options_Exhibits'!L1615:L1619)),AVERAGE('20250815_ETF_Options_Exhibits'!L1615:L1619),"")</f>
        <v/>
      </c>
      <c r="M1619" s="3">
        <f>IF(ISNUMBER(AVERAGE('20250815_ETF_Options_Exhibits'!M1615:M1619)),AVERAGE('20250815_ETF_Options_Exhibits'!M1615:M1619),"")</f>
        <v/>
      </c>
      <c r="N1619" s="3">
        <f>IF(ISNUMBER(AVERAGE('20250815_ETF_Options_Exhibits'!N1615:N1619)),AVERAGE('20250815_ETF_Options_Exhibits'!N1615:N1619),"")</f>
        <v/>
      </c>
      <c r="O1619" s="3">
        <f>IF(ISNUMBER(AVERAGE('20250815_ETF_Options_Exhibits'!O1615:O1619)),AVERAGE('20250815_ETF_Options_Exhibits'!O1615:O1619),"")</f>
        <v/>
      </c>
      <c r="P1619" s="3">
        <f>IF(ISNUMBER(AVERAGE('20250815_ETF_Options_Exhibits'!P1615:P1619)),AVERAGE('20250815_ETF_Options_Exhibits'!P1615:P1619),"")</f>
        <v/>
      </c>
      <c r="Q1619" s="3">
        <f>IF(ISNUMBER(AVERAGE('20250815_ETF_Options_Exhibits'!Q1615:Q1619)),AVERAGE('20250815_ETF_Options_Exhibits'!Q1615:Q1619),"")</f>
        <v/>
      </c>
      <c r="R1619" s="3">
        <f>IF(ISNUMBER(AVERAGE('20250815_ETF_Options_Exhibits'!R1615:R1619)),AVERAGE('20250815_ETF_Options_Exhibits'!R1615:R1619),"")</f>
        <v/>
      </c>
      <c r="S1619" s="3">
        <f>IF(ISNUMBER(AVERAGE('20250815_ETF_Options_Exhibits'!S1615:S1619)),AVERAGE('20250815_ETF_Options_Exhibits'!S1615:S1619),"")</f>
        <v/>
      </c>
      <c r="T1619" s="3">
        <f>IF(ISNUMBER(AVERAGE('20250815_ETF_Options_Exhibits'!T1615:T1619)),AVERAGE('20250815_ETF_Options_Exhibits'!T1615:T1619),"")</f>
        <v/>
      </c>
      <c r="U1619" s="3">
        <f>IF(ISNUMBER(AVERAGE('20250815_ETF_Options_Exhibits'!U1615:U1619)),AVERAGE('20250815_ETF_Options_Exhibits'!U1615:U1619),"")</f>
        <v/>
      </c>
      <c r="V1619" s="3">
        <f>IF(ISNUMBER(AVERAGE('20250815_ETF_Options_Exhibits'!V1615:V1619)),AVERAGE('20250815_ETF_Options_Exhibits'!V1615:V1619),"")</f>
        <v/>
      </c>
      <c r="W1619" s="3">
        <f>IF(ISNUMBER(AVERAGE('20250815_ETF_Options_Exhibits'!W1615:W1619)),AVERAGE('20250815_ETF_Options_Exhibits'!W1615:W1619),"")</f>
        <v/>
      </c>
      <c r="X1619" s="3">
        <f>IF(ISNUMBER(AVERAGE('20250815_ETF_Options_Exhibits'!X1615:X1619)),AVERAGE('20250815_ETF_Options_Exhibits'!X1615:X1619),"")</f>
        <v/>
      </c>
      <c r="Y1619" s="3">
        <f>IF(ISNUMBER(AVERAGE('20250815_ETF_Options_Exhibits'!Y1615:Y1619)),AVERAGE('20250815_ETF_Options_Exhibits'!Y1615:Y1619),"")</f>
        <v/>
      </c>
      <c r="Z1619" s="3">
        <f>IF(ISNUMBER(AVERAGE('20250815_ETF_Options_Exhibits'!Z1615:Z1619)),AVERAGE('20250815_ETF_Options_Exhibits'!Z1615:Z1619),"")</f>
        <v/>
      </c>
      <c r="AA1619" s="3">
        <f>IF(ISNUMBER(AVERAGE('20250815_ETF_Options_Exhibits'!AA1615:AA1619)),AVERAGE('20250815_ETF_Options_Exhibits'!AA1615:AA1619),"")</f>
        <v/>
      </c>
    </row>
    <row r="1620">
      <c r="A1620" s="1" t="n">
        <v>44354</v>
      </c>
      <c r="B1620" s="3">
        <f>IF(ISNUMBER(AVERAGE('20250815_ETF_Options_Exhibits'!B1616:B1620)),AVERAGE('20250815_ETF_Options_Exhibits'!B1616:B1620),"")</f>
        <v/>
      </c>
      <c r="C1620" s="3">
        <f>IF(ISNUMBER(AVERAGE('20250815_ETF_Options_Exhibits'!C1616:C1620)),AVERAGE('20250815_ETF_Options_Exhibits'!C1616:C1620),"")</f>
        <v/>
      </c>
      <c r="D1620" s="3">
        <f>IF(ISNUMBER(AVERAGE('20250815_ETF_Options_Exhibits'!D1616:D1620)),AVERAGE('20250815_ETF_Options_Exhibits'!D1616:D1620),"")</f>
        <v/>
      </c>
      <c r="E1620" s="3">
        <f>IF(ISNUMBER(AVERAGE('20250815_ETF_Options_Exhibits'!E1616:E1620)),AVERAGE('20250815_ETF_Options_Exhibits'!E1616:E1620),"")</f>
        <v/>
      </c>
      <c r="F1620" s="3">
        <f>IF(ISNUMBER(AVERAGE('20250815_ETF_Options_Exhibits'!F1616:F1620)),AVERAGE('20250815_ETF_Options_Exhibits'!F1616:F1620),"")</f>
        <v/>
      </c>
      <c r="G1620" s="3">
        <f>IF(ISNUMBER(AVERAGE('20250815_ETF_Options_Exhibits'!G1616:G1620)),AVERAGE('20250815_ETF_Options_Exhibits'!G1616:G1620),"")</f>
        <v/>
      </c>
      <c r="H1620" s="3">
        <f>IF(ISNUMBER(AVERAGE('20250815_ETF_Options_Exhibits'!H1616:H1620)),AVERAGE('20250815_ETF_Options_Exhibits'!H1616:H1620),"")</f>
        <v/>
      </c>
      <c r="I1620" s="3">
        <f>IF(ISNUMBER(AVERAGE('20250815_ETF_Options_Exhibits'!I1616:I1620)),AVERAGE('20250815_ETF_Options_Exhibits'!I1616:I1620),"")</f>
        <v/>
      </c>
      <c r="J1620" s="3">
        <f>IF(ISNUMBER(AVERAGE('20250815_ETF_Options_Exhibits'!J1616:J1620)),AVERAGE('20250815_ETF_Options_Exhibits'!J1616:J1620),"")</f>
        <v/>
      </c>
      <c r="K1620" s="3">
        <f>IF(ISNUMBER(AVERAGE('20250815_ETF_Options_Exhibits'!K1616:K1620)),AVERAGE('20250815_ETF_Options_Exhibits'!K1616:K1620),"")</f>
        <v/>
      </c>
      <c r="L1620" s="3">
        <f>IF(ISNUMBER(AVERAGE('20250815_ETF_Options_Exhibits'!L1616:L1620)),AVERAGE('20250815_ETF_Options_Exhibits'!L1616:L1620),"")</f>
        <v/>
      </c>
      <c r="M1620" s="3">
        <f>IF(ISNUMBER(AVERAGE('20250815_ETF_Options_Exhibits'!M1616:M1620)),AVERAGE('20250815_ETF_Options_Exhibits'!M1616:M1620),"")</f>
        <v/>
      </c>
      <c r="N1620" s="3">
        <f>IF(ISNUMBER(AVERAGE('20250815_ETF_Options_Exhibits'!N1616:N1620)),AVERAGE('20250815_ETF_Options_Exhibits'!N1616:N1620),"")</f>
        <v/>
      </c>
      <c r="O1620" s="3">
        <f>IF(ISNUMBER(AVERAGE('20250815_ETF_Options_Exhibits'!O1616:O1620)),AVERAGE('20250815_ETF_Options_Exhibits'!O1616:O1620),"")</f>
        <v/>
      </c>
      <c r="P1620" s="3">
        <f>IF(ISNUMBER(AVERAGE('20250815_ETF_Options_Exhibits'!P1616:P1620)),AVERAGE('20250815_ETF_Options_Exhibits'!P1616:P1620),"")</f>
        <v/>
      </c>
      <c r="Q1620" s="3">
        <f>IF(ISNUMBER(AVERAGE('20250815_ETF_Options_Exhibits'!Q1616:Q1620)),AVERAGE('20250815_ETF_Options_Exhibits'!Q1616:Q1620),"")</f>
        <v/>
      </c>
      <c r="R1620" s="3">
        <f>IF(ISNUMBER(AVERAGE('20250815_ETF_Options_Exhibits'!R1616:R1620)),AVERAGE('20250815_ETF_Options_Exhibits'!R1616:R1620),"")</f>
        <v/>
      </c>
      <c r="S1620" s="3">
        <f>IF(ISNUMBER(AVERAGE('20250815_ETF_Options_Exhibits'!S1616:S1620)),AVERAGE('20250815_ETF_Options_Exhibits'!S1616:S1620),"")</f>
        <v/>
      </c>
      <c r="T1620" s="3">
        <f>IF(ISNUMBER(AVERAGE('20250815_ETF_Options_Exhibits'!T1616:T1620)),AVERAGE('20250815_ETF_Options_Exhibits'!T1616:T1620),"")</f>
        <v/>
      </c>
      <c r="U1620" s="3">
        <f>IF(ISNUMBER(AVERAGE('20250815_ETF_Options_Exhibits'!U1616:U1620)),AVERAGE('20250815_ETF_Options_Exhibits'!U1616:U1620),"")</f>
        <v/>
      </c>
      <c r="V1620" s="3">
        <f>IF(ISNUMBER(AVERAGE('20250815_ETF_Options_Exhibits'!V1616:V1620)),AVERAGE('20250815_ETF_Options_Exhibits'!V1616:V1620),"")</f>
        <v/>
      </c>
      <c r="W1620" s="3">
        <f>IF(ISNUMBER(AVERAGE('20250815_ETF_Options_Exhibits'!W1616:W1620)),AVERAGE('20250815_ETF_Options_Exhibits'!W1616:W1620),"")</f>
        <v/>
      </c>
      <c r="X1620" s="3">
        <f>IF(ISNUMBER(AVERAGE('20250815_ETF_Options_Exhibits'!X1616:X1620)),AVERAGE('20250815_ETF_Options_Exhibits'!X1616:X1620),"")</f>
        <v/>
      </c>
      <c r="Y1620" s="3">
        <f>IF(ISNUMBER(AVERAGE('20250815_ETF_Options_Exhibits'!Y1616:Y1620)),AVERAGE('20250815_ETF_Options_Exhibits'!Y1616:Y1620),"")</f>
        <v/>
      </c>
      <c r="Z1620" s="3">
        <f>IF(ISNUMBER(AVERAGE('20250815_ETF_Options_Exhibits'!Z1616:Z1620)),AVERAGE('20250815_ETF_Options_Exhibits'!Z1616:Z1620),"")</f>
        <v/>
      </c>
      <c r="AA1620" s="3">
        <f>IF(ISNUMBER(AVERAGE('20250815_ETF_Options_Exhibits'!AA1616:AA1620)),AVERAGE('20250815_ETF_Options_Exhibits'!AA1616:AA1620),"")</f>
        <v/>
      </c>
    </row>
    <row r="1621">
      <c r="A1621" s="1" t="n">
        <v>44355</v>
      </c>
      <c r="B1621" s="3">
        <f>IF(ISNUMBER(AVERAGE('20250815_ETF_Options_Exhibits'!B1617:B1621)),AVERAGE('20250815_ETF_Options_Exhibits'!B1617:B1621),"")</f>
        <v/>
      </c>
      <c r="C1621" s="3">
        <f>IF(ISNUMBER(AVERAGE('20250815_ETF_Options_Exhibits'!C1617:C1621)),AVERAGE('20250815_ETF_Options_Exhibits'!C1617:C1621),"")</f>
        <v/>
      </c>
      <c r="D1621" s="3">
        <f>IF(ISNUMBER(AVERAGE('20250815_ETF_Options_Exhibits'!D1617:D1621)),AVERAGE('20250815_ETF_Options_Exhibits'!D1617:D1621),"")</f>
        <v/>
      </c>
      <c r="E1621" s="3">
        <f>IF(ISNUMBER(AVERAGE('20250815_ETF_Options_Exhibits'!E1617:E1621)),AVERAGE('20250815_ETF_Options_Exhibits'!E1617:E1621),"")</f>
        <v/>
      </c>
      <c r="F1621" s="3">
        <f>IF(ISNUMBER(AVERAGE('20250815_ETF_Options_Exhibits'!F1617:F1621)),AVERAGE('20250815_ETF_Options_Exhibits'!F1617:F1621),"")</f>
        <v/>
      </c>
      <c r="G1621" s="3">
        <f>IF(ISNUMBER(AVERAGE('20250815_ETF_Options_Exhibits'!G1617:G1621)),AVERAGE('20250815_ETF_Options_Exhibits'!G1617:G1621),"")</f>
        <v/>
      </c>
      <c r="H1621" s="3">
        <f>IF(ISNUMBER(AVERAGE('20250815_ETF_Options_Exhibits'!H1617:H1621)),AVERAGE('20250815_ETF_Options_Exhibits'!H1617:H1621),"")</f>
        <v/>
      </c>
      <c r="I1621" s="3">
        <f>IF(ISNUMBER(AVERAGE('20250815_ETF_Options_Exhibits'!I1617:I1621)),AVERAGE('20250815_ETF_Options_Exhibits'!I1617:I1621),"")</f>
        <v/>
      </c>
      <c r="J1621" s="3">
        <f>IF(ISNUMBER(AVERAGE('20250815_ETF_Options_Exhibits'!J1617:J1621)),AVERAGE('20250815_ETF_Options_Exhibits'!J1617:J1621),"")</f>
        <v/>
      </c>
      <c r="K1621" s="3">
        <f>IF(ISNUMBER(AVERAGE('20250815_ETF_Options_Exhibits'!K1617:K1621)),AVERAGE('20250815_ETF_Options_Exhibits'!K1617:K1621),"")</f>
        <v/>
      </c>
      <c r="L1621" s="3">
        <f>IF(ISNUMBER(AVERAGE('20250815_ETF_Options_Exhibits'!L1617:L1621)),AVERAGE('20250815_ETF_Options_Exhibits'!L1617:L1621),"")</f>
        <v/>
      </c>
      <c r="M1621" s="3">
        <f>IF(ISNUMBER(AVERAGE('20250815_ETF_Options_Exhibits'!M1617:M1621)),AVERAGE('20250815_ETF_Options_Exhibits'!M1617:M1621),"")</f>
        <v/>
      </c>
      <c r="N1621" s="3">
        <f>IF(ISNUMBER(AVERAGE('20250815_ETF_Options_Exhibits'!N1617:N1621)),AVERAGE('20250815_ETF_Options_Exhibits'!N1617:N1621),"")</f>
        <v/>
      </c>
      <c r="O1621" s="3">
        <f>IF(ISNUMBER(AVERAGE('20250815_ETF_Options_Exhibits'!O1617:O1621)),AVERAGE('20250815_ETF_Options_Exhibits'!O1617:O1621),"")</f>
        <v/>
      </c>
      <c r="P1621" s="3">
        <f>IF(ISNUMBER(AVERAGE('20250815_ETF_Options_Exhibits'!P1617:P1621)),AVERAGE('20250815_ETF_Options_Exhibits'!P1617:P1621),"")</f>
        <v/>
      </c>
      <c r="Q1621" s="3">
        <f>IF(ISNUMBER(AVERAGE('20250815_ETF_Options_Exhibits'!Q1617:Q1621)),AVERAGE('20250815_ETF_Options_Exhibits'!Q1617:Q1621),"")</f>
        <v/>
      </c>
      <c r="R1621" s="3">
        <f>IF(ISNUMBER(AVERAGE('20250815_ETF_Options_Exhibits'!R1617:R1621)),AVERAGE('20250815_ETF_Options_Exhibits'!R1617:R1621),"")</f>
        <v/>
      </c>
      <c r="S1621" s="3">
        <f>IF(ISNUMBER(AVERAGE('20250815_ETF_Options_Exhibits'!S1617:S1621)),AVERAGE('20250815_ETF_Options_Exhibits'!S1617:S1621),"")</f>
        <v/>
      </c>
      <c r="T1621" s="3">
        <f>IF(ISNUMBER(AVERAGE('20250815_ETF_Options_Exhibits'!T1617:T1621)),AVERAGE('20250815_ETF_Options_Exhibits'!T1617:T1621),"")</f>
        <v/>
      </c>
      <c r="U1621" s="3">
        <f>IF(ISNUMBER(AVERAGE('20250815_ETF_Options_Exhibits'!U1617:U1621)),AVERAGE('20250815_ETF_Options_Exhibits'!U1617:U1621),"")</f>
        <v/>
      </c>
      <c r="V1621" s="3">
        <f>IF(ISNUMBER(AVERAGE('20250815_ETF_Options_Exhibits'!V1617:V1621)),AVERAGE('20250815_ETF_Options_Exhibits'!V1617:V1621),"")</f>
        <v/>
      </c>
      <c r="W1621" s="3">
        <f>IF(ISNUMBER(AVERAGE('20250815_ETF_Options_Exhibits'!W1617:W1621)),AVERAGE('20250815_ETF_Options_Exhibits'!W1617:W1621),"")</f>
        <v/>
      </c>
      <c r="X1621" s="3">
        <f>IF(ISNUMBER(AVERAGE('20250815_ETF_Options_Exhibits'!X1617:X1621)),AVERAGE('20250815_ETF_Options_Exhibits'!X1617:X1621),"")</f>
        <v/>
      </c>
      <c r="Y1621" s="3">
        <f>IF(ISNUMBER(AVERAGE('20250815_ETF_Options_Exhibits'!Y1617:Y1621)),AVERAGE('20250815_ETF_Options_Exhibits'!Y1617:Y1621),"")</f>
        <v/>
      </c>
      <c r="Z1621" s="3">
        <f>IF(ISNUMBER(AVERAGE('20250815_ETF_Options_Exhibits'!Z1617:Z1621)),AVERAGE('20250815_ETF_Options_Exhibits'!Z1617:Z1621),"")</f>
        <v/>
      </c>
      <c r="AA1621" s="3">
        <f>IF(ISNUMBER(AVERAGE('20250815_ETF_Options_Exhibits'!AA1617:AA1621)),AVERAGE('20250815_ETF_Options_Exhibits'!AA1617:AA1621),"")</f>
        <v/>
      </c>
    </row>
    <row r="1622">
      <c r="A1622" s="1" t="n">
        <v>44356</v>
      </c>
      <c r="B1622" s="3">
        <f>IF(ISNUMBER(AVERAGE('20250815_ETF_Options_Exhibits'!B1618:B1622)),AVERAGE('20250815_ETF_Options_Exhibits'!B1618:B1622),"")</f>
        <v/>
      </c>
      <c r="C1622" s="3">
        <f>IF(ISNUMBER(AVERAGE('20250815_ETF_Options_Exhibits'!C1618:C1622)),AVERAGE('20250815_ETF_Options_Exhibits'!C1618:C1622),"")</f>
        <v/>
      </c>
      <c r="D1622" s="3">
        <f>IF(ISNUMBER(AVERAGE('20250815_ETF_Options_Exhibits'!D1618:D1622)),AVERAGE('20250815_ETF_Options_Exhibits'!D1618:D1622),"")</f>
        <v/>
      </c>
      <c r="E1622" s="3">
        <f>IF(ISNUMBER(AVERAGE('20250815_ETF_Options_Exhibits'!E1618:E1622)),AVERAGE('20250815_ETF_Options_Exhibits'!E1618:E1622),"")</f>
        <v/>
      </c>
      <c r="F1622" s="3">
        <f>IF(ISNUMBER(AVERAGE('20250815_ETF_Options_Exhibits'!F1618:F1622)),AVERAGE('20250815_ETF_Options_Exhibits'!F1618:F1622),"")</f>
        <v/>
      </c>
      <c r="G1622" s="3">
        <f>IF(ISNUMBER(AVERAGE('20250815_ETF_Options_Exhibits'!G1618:G1622)),AVERAGE('20250815_ETF_Options_Exhibits'!G1618:G1622),"")</f>
        <v/>
      </c>
      <c r="H1622" s="3">
        <f>IF(ISNUMBER(AVERAGE('20250815_ETF_Options_Exhibits'!H1618:H1622)),AVERAGE('20250815_ETF_Options_Exhibits'!H1618:H1622),"")</f>
        <v/>
      </c>
      <c r="I1622" s="3">
        <f>IF(ISNUMBER(AVERAGE('20250815_ETF_Options_Exhibits'!I1618:I1622)),AVERAGE('20250815_ETF_Options_Exhibits'!I1618:I1622),"")</f>
        <v/>
      </c>
      <c r="J1622" s="3">
        <f>IF(ISNUMBER(AVERAGE('20250815_ETF_Options_Exhibits'!J1618:J1622)),AVERAGE('20250815_ETF_Options_Exhibits'!J1618:J1622),"")</f>
        <v/>
      </c>
      <c r="K1622" s="3">
        <f>IF(ISNUMBER(AVERAGE('20250815_ETF_Options_Exhibits'!K1618:K1622)),AVERAGE('20250815_ETF_Options_Exhibits'!K1618:K1622),"")</f>
        <v/>
      </c>
      <c r="L1622" s="3">
        <f>IF(ISNUMBER(AVERAGE('20250815_ETF_Options_Exhibits'!L1618:L1622)),AVERAGE('20250815_ETF_Options_Exhibits'!L1618:L1622),"")</f>
        <v/>
      </c>
      <c r="M1622" s="3">
        <f>IF(ISNUMBER(AVERAGE('20250815_ETF_Options_Exhibits'!M1618:M1622)),AVERAGE('20250815_ETF_Options_Exhibits'!M1618:M1622),"")</f>
        <v/>
      </c>
      <c r="N1622" s="3">
        <f>IF(ISNUMBER(AVERAGE('20250815_ETF_Options_Exhibits'!N1618:N1622)),AVERAGE('20250815_ETF_Options_Exhibits'!N1618:N1622),"")</f>
        <v/>
      </c>
      <c r="O1622" s="3">
        <f>IF(ISNUMBER(AVERAGE('20250815_ETF_Options_Exhibits'!O1618:O1622)),AVERAGE('20250815_ETF_Options_Exhibits'!O1618:O1622),"")</f>
        <v/>
      </c>
      <c r="P1622" s="3">
        <f>IF(ISNUMBER(AVERAGE('20250815_ETF_Options_Exhibits'!P1618:P1622)),AVERAGE('20250815_ETF_Options_Exhibits'!P1618:P1622),"")</f>
        <v/>
      </c>
      <c r="Q1622" s="3">
        <f>IF(ISNUMBER(AVERAGE('20250815_ETF_Options_Exhibits'!Q1618:Q1622)),AVERAGE('20250815_ETF_Options_Exhibits'!Q1618:Q1622),"")</f>
        <v/>
      </c>
      <c r="R1622" s="3">
        <f>IF(ISNUMBER(AVERAGE('20250815_ETF_Options_Exhibits'!R1618:R1622)),AVERAGE('20250815_ETF_Options_Exhibits'!R1618:R1622),"")</f>
        <v/>
      </c>
      <c r="S1622" s="3">
        <f>IF(ISNUMBER(AVERAGE('20250815_ETF_Options_Exhibits'!S1618:S1622)),AVERAGE('20250815_ETF_Options_Exhibits'!S1618:S1622),"")</f>
        <v/>
      </c>
      <c r="T1622" s="3">
        <f>IF(ISNUMBER(AVERAGE('20250815_ETF_Options_Exhibits'!T1618:T1622)),AVERAGE('20250815_ETF_Options_Exhibits'!T1618:T1622),"")</f>
        <v/>
      </c>
      <c r="U1622" s="3">
        <f>IF(ISNUMBER(AVERAGE('20250815_ETF_Options_Exhibits'!U1618:U1622)),AVERAGE('20250815_ETF_Options_Exhibits'!U1618:U1622),"")</f>
        <v/>
      </c>
      <c r="V1622" s="3">
        <f>IF(ISNUMBER(AVERAGE('20250815_ETF_Options_Exhibits'!V1618:V1622)),AVERAGE('20250815_ETF_Options_Exhibits'!V1618:V1622),"")</f>
        <v/>
      </c>
      <c r="W1622" s="3">
        <f>IF(ISNUMBER(AVERAGE('20250815_ETF_Options_Exhibits'!W1618:W1622)),AVERAGE('20250815_ETF_Options_Exhibits'!W1618:W1622),"")</f>
        <v/>
      </c>
      <c r="X1622" s="3">
        <f>IF(ISNUMBER(AVERAGE('20250815_ETF_Options_Exhibits'!X1618:X1622)),AVERAGE('20250815_ETF_Options_Exhibits'!X1618:X1622),"")</f>
        <v/>
      </c>
      <c r="Y1622" s="3">
        <f>IF(ISNUMBER(AVERAGE('20250815_ETF_Options_Exhibits'!Y1618:Y1622)),AVERAGE('20250815_ETF_Options_Exhibits'!Y1618:Y1622),"")</f>
        <v/>
      </c>
      <c r="Z1622" s="3">
        <f>IF(ISNUMBER(AVERAGE('20250815_ETF_Options_Exhibits'!Z1618:Z1622)),AVERAGE('20250815_ETF_Options_Exhibits'!Z1618:Z1622),"")</f>
        <v/>
      </c>
      <c r="AA1622" s="3">
        <f>IF(ISNUMBER(AVERAGE('20250815_ETF_Options_Exhibits'!AA1618:AA1622)),AVERAGE('20250815_ETF_Options_Exhibits'!AA1618:AA1622),"")</f>
        <v/>
      </c>
    </row>
    <row r="1623">
      <c r="A1623" s="1" t="n">
        <v>44357</v>
      </c>
      <c r="B1623" s="3">
        <f>IF(ISNUMBER(AVERAGE('20250815_ETF_Options_Exhibits'!B1619:B1623)),AVERAGE('20250815_ETF_Options_Exhibits'!B1619:B1623),"")</f>
        <v/>
      </c>
      <c r="C1623" s="3">
        <f>IF(ISNUMBER(AVERAGE('20250815_ETF_Options_Exhibits'!C1619:C1623)),AVERAGE('20250815_ETF_Options_Exhibits'!C1619:C1623),"")</f>
        <v/>
      </c>
      <c r="D1623" s="3">
        <f>IF(ISNUMBER(AVERAGE('20250815_ETF_Options_Exhibits'!D1619:D1623)),AVERAGE('20250815_ETF_Options_Exhibits'!D1619:D1623),"")</f>
        <v/>
      </c>
      <c r="E1623" s="3">
        <f>IF(ISNUMBER(AVERAGE('20250815_ETF_Options_Exhibits'!E1619:E1623)),AVERAGE('20250815_ETF_Options_Exhibits'!E1619:E1623),"")</f>
        <v/>
      </c>
      <c r="F1623" s="3">
        <f>IF(ISNUMBER(AVERAGE('20250815_ETF_Options_Exhibits'!F1619:F1623)),AVERAGE('20250815_ETF_Options_Exhibits'!F1619:F1623),"")</f>
        <v/>
      </c>
      <c r="G1623" s="3">
        <f>IF(ISNUMBER(AVERAGE('20250815_ETF_Options_Exhibits'!G1619:G1623)),AVERAGE('20250815_ETF_Options_Exhibits'!G1619:G1623),"")</f>
        <v/>
      </c>
      <c r="H1623" s="3">
        <f>IF(ISNUMBER(AVERAGE('20250815_ETF_Options_Exhibits'!H1619:H1623)),AVERAGE('20250815_ETF_Options_Exhibits'!H1619:H1623),"")</f>
        <v/>
      </c>
      <c r="I1623" s="3">
        <f>IF(ISNUMBER(AVERAGE('20250815_ETF_Options_Exhibits'!I1619:I1623)),AVERAGE('20250815_ETF_Options_Exhibits'!I1619:I1623),"")</f>
        <v/>
      </c>
      <c r="J1623" s="3">
        <f>IF(ISNUMBER(AVERAGE('20250815_ETF_Options_Exhibits'!J1619:J1623)),AVERAGE('20250815_ETF_Options_Exhibits'!J1619:J1623),"")</f>
        <v/>
      </c>
      <c r="K1623" s="3">
        <f>IF(ISNUMBER(AVERAGE('20250815_ETF_Options_Exhibits'!K1619:K1623)),AVERAGE('20250815_ETF_Options_Exhibits'!K1619:K1623),"")</f>
        <v/>
      </c>
      <c r="L1623" s="3">
        <f>IF(ISNUMBER(AVERAGE('20250815_ETF_Options_Exhibits'!L1619:L1623)),AVERAGE('20250815_ETF_Options_Exhibits'!L1619:L1623),"")</f>
        <v/>
      </c>
      <c r="M1623" s="3">
        <f>IF(ISNUMBER(AVERAGE('20250815_ETF_Options_Exhibits'!M1619:M1623)),AVERAGE('20250815_ETF_Options_Exhibits'!M1619:M1623),"")</f>
        <v/>
      </c>
      <c r="N1623" s="3">
        <f>IF(ISNUMBER(AVERAGE('20250815_ETF_Options_Exhibits'!N1619:N1623)),AVERAGE('20250815_ETF_Options_Exhibits'!N1619:N1623),"")</f>
        <v/>
      </c>
      <c r="O1623" s="3">
        <f>IF(ISNUMBER(AVERAGE('20250815_ETF_Options_Exhibits'!O1619:O1623)),AVERAGE('20250815_ETF_Options_Exhibits'!O1619:O1623),"")</f>
        <v/>
      </c>
      <c r="P1623" s="3">
        <f>IF(ISNUMBER(AVERAGE('20250815_ETF_Options_Exhibits'!P1619:P1623)),AVERAGE('20250815_ETF_Options_Exhibits'!P1619:P1623),"")</f>
        <v/>
      </c>
      <c r="Q1623" s="3">
        <f>IF(ISNUMBER(AVERAGE('20250815_ETF_Options_Exhibits'!Q1619:Q1623)),AVERAGE('20250815_ETF_Options_Exhibits'!Q1619:Q1623),"")</f>
        <v/>
      </c>
      <c r="R1623" s="3">
        <f>IF(ISNUMBER(AVERAGE('20250815_ETF_Options_Exhibits'!R1619:R1623)),AVERAGE('20250815_ETF_Options_Exhibits'!R1619:R1623),"")</f>
        <v/>
      </c>
      <c r="S1623" s="3">
        <f>IF(ISNUMBER(AVERAGE('20250815_ETF_Options_Exhibits'!S1619:S1623)),AVERAGE('20250815_ETF_Options_Exhibits'!S1619:S1623),"")</f>
        <v/>
      </c>
      <c r="T1623" s="3">
        <f>IF(ISNUMBER(AVERAGE('20250815_ETF_Options_Exhibits'!T1619:T1623)),AVERAGE('20250815_ETF_Options_Exhibits'!T1619:T1623),"")</f>
        <v/>
      </c>
      <c r="U1623" s="3">
        <f>IF(ISNUMBER(AVERAGE('20250815_ETF_Options_Exhibits'!U1619:U1623)),AVERAGE('20250815_ETF_Options_Exhibits'!U1619:U1623),"")</f>
        <v/>
      </c>
      <c r="V1623" s="3">
        <f>IF(ISNUMBER(AVERAGE('20250815_ETF_Options_Exhibits'!V1619:V1623)),AVERAGE('20250815_ETF_Options_Exhibits'!V1619:V1623),"")</f>
        <v/>
      </c>
      <c r="W1623" s="3">
        <f>IF(ISNUMBER(AVERAGE('20250815_ETF_Options_Exhibits'!W1619:W1623)),AVERAGE('20250815_ETF_Options_Exhibits'!W1619:W1623),"")</f>
        <v/>
      </c>
      <c r="X1623" s="3">
        <f>IF(ISNUMBER(AVERAGE('20250815_ETF_Options_Exhibits'!X1619:X1623)),AVERAGE('20250815_ETF_Options_Exhibits'!X1619:X1623),"")</f>
        <v/>
      </c>
      <c r="Y1623" s="3">
        <f>IF(ISNUMBER(AVERAGE('20250815_ETF_Options_Exhibits'!Y1619:Y1623)),AVERAGE('20250815_ETF_Options_Exhibits'!Y1619:Y1623),"")</f>
        <v/>
      </c>
      <c r="Z1623" s="3">
        <f>IF(ISNUMBER(AVERAGE('20250815_ETF_Options_Exhibits'!Z1619:Z1623)),AVERAGE('20250815_ETF_Options_Exhibits'!Z1619:Z1623),"")</f>
        <v/>
      </c>
      <c r="AA1623" s="3">
        <f>IF(ISNUMBER(AVERAGE('20250815_ETF_Options_Exhibits'!AA1619:AA1623)),AVERAGE('20250815_ETF_Options_Exhibits'!AA1619:AA1623),"")</f>
        <v/>
      </c>
    </row>
    <row r="1624">
      <c r="A1624" s="1" t="n">
        <v>44358</v>
      </c>
      <c r="B1624" s="3">
        <f>IF(ISNUMBER(AVERAGE('20250815_ETF_Options_Exhibits'!B1620:B1624)),AVERAGE('20250815_ETF_Options_Exhibits'!B1620:B1624),"")</f>
        <v/>
      </c>
      <c r="C1624" s="3">
        <f>IF(ISNUMBER(AVERAGE('20250815_ETF_Options_Exhibits'!C1620:C1624)),AVERAGE('20250815_ETF_Options_Exhibits'!C1620:C1624),"")</f>
        <v/>
      </c>
      <c r="D1624" s="3">
        <f>IF(ISNUMBER(AVERAGE('20250815_ETF_Options_Exhibits'!D1620:D1624)),AVERAGE('20250815_ETF_Options_Exhibits'!D1620:D1624),"")</f>
        <v/>
      </c>
      <c r="E1624" s="3">
        <f>IF(ISNUMBER(AVERAGE('20250815_ETF_Options_Exhibits'!E1620:E1624)),AVERAGE('20250815_ETF_Options_Exhibits'!E1620:E1624),"")</f>
        <v/>
      </c>
      <c r="F1624" s="3">
        <f>IF(ISNUMBER(AVERAGE('20250815_ETF_Options_Exhibits'!F1620:F1624)),AVERAGE('20250815_ETF_Options_Exhibits'!F1620:F1624),"")</f>
        <v/>
      </c>
      <c r="G1624" s="3">
        <f>IF(ISNUMBER(AVERAGE('20250815_ETF_Options_Exhibits'!G1620:G1624)),AVERAGE('20250815_ETF_Options_Exhibits'!G1620:G1624),"")</f>
        <v/>
      </c>
      <c r="H1624" s="3">
        <f>IF(ISNUMBER(AVERAGE('20250815_ETF_Options_Exhibits'!H1620:H1624)),AVERAGE('20250815_ETF_Options_Exhibits'!H1620:H1624),"")</f>
        <v/>
      </c>
      <c r="I1624" s="3">
        <f>IF(ISNUMBER(AVERAGE('20250815_ETF_Options_Exhibits'!I1620:I1624)),AVERAGE('20250815_ETF_Options_Exhibits'!I1620:I1624),"")</f>
        <v/>
      </c>
      <c r="J1624" s="3">
        <f>IF(ISNUMBER(AVERAGE('20250815_ETF_Options_Exhibits'!J1620:J1624)),AVERAGE('20250815_ETF_Options_Exhibits'!J1620:J1624),"")</f>
        <v/>
      </c>
      <c r="K1624" s="3">
        <f>IF(ISNUMBER(AVERAGE('20250815_ETF_Options_Exhibits'!K1620:K1624)),AVERAGE('20250815_ETF_Options_Exhibits'!K1620:K1624),"")</f>
        <v/>
      </c>
      <c r="L1624" s="3">
        <f>IF(ISNUMBER(AVERAGE('20250815_ETF_Options_Exhibits'!L1620:L1624)),AVERAGE('20250815_ETF_Options_Exhibits'!L1620:L1624),"")</f>
        <v/>
      </c>
      <c r="M1624" s="3">
        <f>IF(ISNUMBER(AVERAGE('20250815_ETF_Options_Exhibits'!M1620:M1624)),AVERAGE('20250815_ETF_Options_Exhibits'!M1620:M1624),"")</f>
        <v/>
      </c>
      <c r="N1624" s="3">
        <f>IF(ISNUMBER(AVERAGE('20250815_ETF_Options_Exhibits'!N1620:N1624)),AVERAGE('20250815_ETF_Options_Exhibits'!N1620:N1624),"")</f>
        <v/>
      </c>
      <c r="O1624" s="3">
        <f>IF(ISNUMBER(AVERAGE('20250815_ETF_Options_Exhibits'!O1620:O1624)),AVERAGE('20250815_ETF_Options_Exhibits'!O1620:O1624),"")</f>
        <v/>
      </c>
      <c r="P1624" s="3">
        <f>IF(ISNUMBER(AVERAGE('20250815_ETF_Options_Exhibits'!P1620:P1624)),AVERAGE('20250815_ETF_Options_Exhibits'!P1620:P1624),"")</f>
        <v/>
      </c>
      <c r="Q1624" s="3">
        <f>IF(ISNUMBER(AVERAGE('20250815_ETF_Options_Exhibits'!Q1620:Q1624)),AVERAGE('20250815_ETF_Options_Exhibits'!Q1620:Q1624),"")</f>
        <v/>
      </c>
      <c r="R1624" s="3">
        <f>IF(ISNUMBER(AVERAGE('20250815_ETF_Options_Exhibits'!R1620:R1624)),AVERAGE('20250815_ETF_Options_Exhibits'!R1620:R1624),"")</f>
        <v/>
      </c>
      <c r="S1624" s="3">
        <f>IF(ISNUMBER(AVERAGE('20250815_ETF_Options_Exhibits'!S1620:S1624)),AVERAGE('20250815_ETF_Options_Exhibits'!S1620:S1624),"")</f>
        <v/>
      </c>
      <c r="T1624" s="3">
        <f>IF(ISNUMBER(AVERAGE('20250815_ETF_Options_Exhibits'!T1620:T1624)),AVERAGE('20250815_ETF_Options_Exhibits'!T1620:T1624),"")</f>
        <v/>
      </c>
      <c r="U1624" s="3">
        <f>IF(ISNUMBER(AVERAGE('20250815_ETF_Options_Exhibits'!U1620:U1624)),AVERAGE('20250815_ETF_Options_Exhibits'!U1620:U1624),"")</f>
        <v/>
      </c>
      <c r="V1624" s="3">
        <f>IF(ISNUMBER(AVERAGE('20250815_ETF_Options_Exhibits'!V1620:V1624)),AVERAGE('20250815_ETF_Options_Exhibits'!V1620:V1624),"")</f>
        <v/>
      </c>
      <c r="W1624" s="3">
        <f>IF(ISNUMBER(AVERAGE('20250815_ETF_Options_Exhibits'!W1620:W1624)),AVERAGE('20250815_ETF_Options_Exhibits'!W1620:W1624),"")</f>
        <v/>
      </c>
      <c r="X1624" s="3">
        <f>IF(ISNUMBER(AVERAGE('20250815_ETF_Options_Exhibits'!X1620:X1624)),AVERAGE('20250815_ETF_Options_Exhibits'!X1620:X1624),"")</f>
        <v/>
      </c>
      <c r="Y1624" s="3">
        <f>IF(ISNUMBER(AVERAGE('20250815_ETF_Options_Exhibits'!Y1620:Y1624)),AVERAGE('20250815_ETF_Options_Exhibits'!Y1620:Y1624),"")</f>
        <v/>
      </c>
      <c r="Z1624" s="3">
        <f>IF(ISNUMBER(AVERAGE('20250815_ETF_Options_Exhibits'!Z1620:Z1624)),AVERAGE('20250815_ETF_Options_Exhibits'!Z1620:Z1624),"")</f>
        <v/>
      </c>
      <c r="AA1624" s="3">
        <f>IF(ISNUMBER(AVERAGE('20250815_ETF_Options_Exhibits'!AA1620:AA1624)),AVERAGE('20250815_ETF_Options_Exhibits'!AA1620:AA1624),"")</f>
        <v/>
      </c>
    </row>
    <row r="1625">
      <c r="A1625" s="1" t="n">
        <v>44361</v>
      </c>
      <c r="B1625" s="3">
        <f>IF(ISNUMBER(AVERAGE('20250815_ETF_Options_Exhibits'!B1621:B1625)),AVERAGE('20250815_ETF_Options_Exhibits'!B1621:B1625),"")</f>
        <v/>
      </c>
      <c r="C1625" s="3">
        <f>IF(ISNUMBER(AVERAGE('20250815_ETF_Options_Exhibits'!C1621:C1625)),AVERAGE('20250815_ETF_Options_Exhibits'!C1621:C1625),"")</f>
        <v/>
      </c>
      <c r="D1625" s="3">
        <f>IF(ISNUMBER(AVERAGE('20250815_ETF_Options_Exhibits'!D1621:D1625)),AVERAGE('20250815_ETF_Options_Exhibits'!D1621:D1625),"")</f>
        <v/>
      </c>
      <c r="E1625" s="3">
        <f>IF(ISNUMBER(AVERAGE('20250815_ETF_Options_Exhibits'!E1621:E1625)),AVERAGE('20250815_ETF_Options_Exhibits'!E1621:E1625),"")</f>
        <v/>
      </c>
      <c r="F1625" s="3">
        <f>IF(ISNUMBER(AVERAGE('20250815_ETF_Options_Exhibits'!F1621:F1625)),AVERAGE('20250815_ETF_Options_Exhibits'!F1621:F1625),"")</f>
        <v/>
      </c>
      <c r="G1625" s="3">
        <f>IF(ISNUMBER(AVERAGE('20250815_ETF_Options_Exhibits'!G1621:G1625)),AVERAGE('20250815_ETF_Options_Exhibits'!G1621:G1625),"")</f>
        <v/>
      </c>
      <c r="H1625" s="3">
        <f>IF(ISNUMBER(AVERAGE('20250815_ETF_Options_Exhibits'!H1621:H1625)),AVERAGE('20250815_ETF_Options_Exhibits'!H1621:H1625),"")</f>
        <v/>
      </c>
      <c r="I1625" s="3">
        <f>IF(ISNUMBER(AVERAGE('20250815_ETF_Options_Exhibits'!I1621:I1625)),AVERAGE('20250815_ETF_Options_Exhibits'!I1621:I1625),"")</f>
        <v/>
      </c>
      <c r="J1625" s="3">
        <f>IF(ISNUMBER(AVERAGE('20250815_ETF_Options_Exhibits'!J1621:J1625)),AVERAGE('20250815_ETF_Options_Exhibits'!J1621:J1625),"")</f>
        <v/>
      </c>
      <c r="K1625" s="3">
        <f>IF(ISNUMBER(AVERAGE('20250815_ETF_Options_Exhibits'!K1621:K1625)),AVERAGE('20250815_ETF_Options_Exhibits'!K1621:K1625),"")</f>
        <v/>
      </c>
      <c r="L1625" s="3">
        <f>IF(ISNUMBER(AVERAGE('20250815_ETF_Options_Exhibits'!L1621:L1625)),AVERAGE('20250815_ETF_Options_Exhibits'!L1621:L1625),"")</f>
        <v/>
      </c>
      <c r="M1625" s="3">
        <f>IF(ISNUMBER(AVERAGE('20250815_ETF_Options_Exhibits'!M1621:M1625)),AVERAGE('20250815_ETF_Options_Exhibits'!M1621:M1625),"")</f>
        <v/>
      </c>
      <c r="N1625" s="3">
        <f>IF(ISNUMBER(AVERAGE('20250815_ETF_Options_Exhibits'!N1621:N1625)),AVERAGE('20250815_ETF_Options_Exhibits'!N1621:N1625),"")</f>
        <v/>
      </c>
      <c r="O1625" s="3">
        <f>IF(ISNUMBER(AVERAGE('20250815_ETF_Options_Exhibits'!O1621:O1625)),AVERAGE('20250815_ETF_Options_Exhibits'!O1621:O1625),"")</f>
        <v/>
      </c>
      <c r="P1625" s="3">
        <f>IF(ISNUMBER(AVERAGE('20250815_ETF_Options_Exhibits'!P1621:P1625)),AVERAGE('20250815_ETF_Options_Exhibits'!P1621:P1625),"")</f>
        <v/>
      </c>
      <c r="Q1625" s="3">
        <f>IF(ISNUMBER(AVERAGE('20250815_ETF_Options_Exhibits'!Q1621:Q1625)),AVERAGE('20250815_ETF_Options_Exhibits'!Q1621:Q1625),"")</f>
        <v/>
      </c>
      <c r="R1625" s="3">
        <f>IF(ISNUMBER(AVERAGE('20250815_ETF_Options_Exhibits'!R1621:R1625)),AVERAGE('20250815_ETF_Options_Exhibits'!R1621:R1625),"")</f>
        <v/>
      </c>
      <c r="S1625" s="3">
        <f>IF(ISNUMBER(AVERAGE('20250815_ETF_Options_Exhibits'!S1621:S1625)),AVERAGE('20250815_ETF_Options_Exhibits'!S1621:S1625),"")</f>
        <v/>
      </c>
      <c r="T1625" s="3">
        <f>IF(ISNUMBER(AVERAGE('20250815_ETF_Options_Exhibits'!T1621:T1625)),AVERAGE('20250815_ETF_Options_Exhibits'!T1621:T1625),"")</f>
        <v/>
      </c>
      <c r="U1625" s="3">
        <f>IF(ISNUMBER(AVERAGE('20250815_ETF_Options_Exhibits'!U1621:U1625)),AVERAGE('20250815_ETF_Options_Exhibits'!U1621:U1625),"")</f>
        <v/>
      </c>
      <c r="V1625" s="3">
        <f>IF(ISNUMBER(AVERAGE('20250815_ETF_Options_Exhibits'!V1621:V1625)),AVERAGE('20250815_ETF_Options_Exhibits'!V1621:V1625),"")</f>
        <v/>
      </c>
      <c r="W1625" s="3">
        <f>IF(ISNUMBER(AVERAGE('20250815_ETF_Options_Exhibits'!W1621:W1625)),AVERAGE('20250815_ETF_Options_Exhibits'!W1621:W1625),"")</f>
        <v/>
      </c>
      <c r="X1625" s="3">
        <f>IF(ISNUMBER(AVERAGE('20250815_ETF_Options_Exhibits'!X1621:X1625)),AVERAGE('20250815_ETF_Options_Exhibits'!X1621:X1625),"")</f>
        <v/>
      </c>
      <c r="Y1625" s="3">
        <f>IF(ISNUMBER(AVERAGE('20250815_ETF_Options_Exhibits'!Y1621:Y1625)),AVERAGE('20250815_ETF_Options_Exhibits'!Y1621:Y1625),"")</f>
        <v/>
      </c>
      <c r="Z1625" s="3">
        <f>IF(ISNUMBER(AVERAGE('20250815_ETF_Options_Exhibits'!Z1621:Z1625)),AVERAGE('20250815_ETF_Options_Exhibits'!Z1621:Z1625),"")</f>
        <v/>
      </c>
      <c r="AA1625" s="3">
        <f>IF(ISNUMBER(AVERAGE('20250815_ETF_Options_Exhibits'!AA1621:AA1625)),AVERAGE('20250815_ETF_Options_Exhibits'!AA1621:AA1625),"")</f>
        <v/>
      </c>
    </row>
    <row r="1626">
      <c r="A1626" s="1" t="n">
        <v>44362</v>
      </c>
      <c r="B1626" s="3">
        <f>IF(ISNUMBER(AVERAGE('20250815_ETF_Options_Exhibits'!B1622:B1626)),AVERAGE('20250815_ETF_Options_Exhibits'!B1622:B1626),"")</f>
        <v/>
      </c>
      <c r="C1626" s="3">
        <f>IF(ISNUMBER(AVERAGE('20250815_ETF_Options_Exhibits'!C1622:C1626)),AVERAGE('20250815_ETF_Options_Exhibits'!C1622:C1626),"")</f>
        <v/>
      </c>
      <c r="D1626" s="3">
        <f>IF(ISNUMBER(AVERAGE('20250815_ETF_Options_Exhibits'!D1622:D1626)),AVERAGE('20250815_ETF_Options_Exhibits'!D1622:D1626),"")</f>
        <v/>
      </c>
      <c r="E1626" s="3">
        <f>IF(ISNUMBER(AVERAGE('20250815_ETF_Options_Exhibits'!E1622:E1626)),AVERAGE('20250815_ETF_Options_Exhibits'!E1622:E1626),"")</f>
        <v/>
      </c>
      <c r="F1626" s="3">
        <f>IF(ISNUMBER(AVERAGE('20250815_ETF_Options_Exhibits'!F1622:F1626)),AVERAGE('20250815_ETF_Options_Exhibits'!F1622:F1626),"")</f>
        <v/>
      </c>
      <c r="G1626" s="3">
        <f>IF(ISNUMBER(AVERAGE('20250815_ETF_Options_Exhibits'!G1622:G1626)),AVERAGE('20250815_ETF_Options_Exhibits'!G1622:G1626),"")</f>
        <v/>
      </c>
      <c r="H1626" s="3">
        <f>IF(ISNUMBER(AVERAGE('20250815_ETF_Options_Exhibits'!H1622:H1626)),AVERAGE('20250815_ETF_Options_Exhibits'!H1622:H1626),"")</f>
        <v/>
      </c>
      <c r="I1626" s="3">
        <f>IF(ISNUMBER(AVERAGE('20250815_ETF_Options_Exhibits'!I1622:I1626)),AVERAGE('20250815_ETF_Options_Exhibits'!I1622:I1626),"")</f>
        <v/>
      </c>
      <c r="J1626" s="3">
        <f>IF(ISNUMBER(AVERAGE('20250815_ETF_Options_Exhibits'!J1622:J1626)),AVERAGE('20250815_ETF_Options_Exhibits'!J1622:J1626),"")</f>
        <v/>
      </c>
      <c r="K1626" s="3">
        <f>IF(ISNUMBER(AVERAGE('20250815_ETF_Options_Exhibits'!K1622:K1626)),AVERAGE('20250815_ETF_Options_Exhibits'!K1622:K1626),"")</f>
        <v/>
      </c>
      <c r="L1626" s="3">
        <f>IF(ISNUMBER(AVERAGE('20250815_ETF_Options_Exhibits'!L1622:L1626)),AVERAGE('20250815_ETF_Options_Exhibits'!L1622:L1626),"")</f>
        <v/>
      </c>
      <c r="M1626" s="3">
        <f>IF(ISNUMBER(AVERAGE('20250815_ETF_Options_Exhibits'!M1622:M1626)),AVERAGE('20250815_ETF_Options_Exhibits'!M1622:M1626),"")</f>
        <v/>
      </c>
      <c r="N1626" s="3">
        <f>IF(ISNUMBER(AVERAGE('20250815_ETF_Options_Exhibits'!N1622:N1626)),AVERAGE('20250815_ETF_Options_Exhibits'!N1622:N1626),"")</f>
        <v/>
      </c>
      <c r="O1626" s="3">
        <f>IF(ISNUMBER(AVERAGE('20250815_ETF_Options_Exhibits'!O1622:O1626)),AVERAGE('20250815_ETF_Options_Exhibits'!O1622:O1626),"")</f>
        <v/>
      </c>
      <c r="P1626" s="3">
        <f>IF(ISNUMBER(AVERAGE('20250815_ETF_Options_Exhibits'!P1622:P1626)),AVERAGE('20250815_ETF_Options_Exhibits'!P1622:P1626),"")</f>
        <v/>
      </c>
      <c r="Q1626" s="3">
        <f>IF(ISNUMBER(AVERAGE('20250815_ETF_Options_Exhibits'!Q1622:Q1626)),AVERAGE('20250815_ETF_Options_Exhibits'!Q1622:Q1626),"")</f>
        <v/>
      </c>
      <c r="R1626" s="3">
        <f>IF(ISNUMBER(AVERAGE('20250815_ETF_Options_Exhibits'!R1622:R1626)),AVERAGE('20250815_ETF_Options_Exhibits'!R1622:R1626),"")</f>
        <v/>
      </c>
      <c r="S1626" s="3">
        <f>IF(ISNUMBER(AVERAGE('20250815_ETF_Options_Exhibits'!S1622:S1626)),AVERAGE('20250815_ETF_Options_Exhibits'!S1622:S1626),"")</f>
        <v/>
      </c>
      <c r="T1626" s="3">
        <f>IF(ISNUMBER(AVERAGE('20250815_ETF_Options_Exhibits'!T1622:T1626)),AVERAGE('20250815_ETF_Options_Exhibits'!T1622:T1626),"")</f>
        <v/>
      </c>
      <c r="U1626" s="3">
        <f>IF(ISNUMBER(AVERAGE('20250815_ETF_Options_Exhibits'!U1622:U1626)),AVERAGE('20250815_ETF_Options_Exhibits'!U1622:U1626),"")</f>
        <v/>
      </c>
      <c r="V1626" s="3">
        <f>IF(ISNUMBER(AVERAGE('20250815_ETF_Options_Exhibits'!V1622:V1626)),AVERAGE('20250815_ETF_Options_Exhibits'!V1622:V1626),"")</f>
        <v/>
      </c>
      <c r="W1626" s="3">
        <f>IF(ISNUMBER(AVERAGE('20250815_ETF_Options_Exhibits'!W1622:W1626)),AVERAGE('20250815_ETF_Options_Exhibits'!W1622:W1626),"")</f>
        <v/>
      </c>
      <c r="X1626" s="3">
        <f>IF(ISNUMBER(AVERAGE('20250815_ETF_Options_Exhibits'!X1622:X1626)),AVERAGE('20250815_ETF_Options_Exhibits'!X1622:X1626),"")</f>
        <v/>
      </c>
      <c r="Y1626" s="3">
        <f>IF(ISNUMBER(AVERAGE('20250815_ETF_Options_Exhibits'!Y1622:Y1626)),AVERAGE('20250815_ETF_Options_Exhibits'!Y1622:Y1626),"")</f>
        <v/>
      </c>
      <c r="Z1626" s="3">
        <f>IF(ISNUMBER(AVERAGE('20250815_ETF_Options_Exhibits'!Z1622:Z1626)),AVERAGE('20250815_ETF_Options_Exhibits'!Z1622:Z1626),"")</f>
        <v/>
      </c>
      <c r="AA1626" s="3">
        <f>IF(ISNUMBER(AVERAGE('20250815_ETF_Options_Exhibits'!AA1622:AA1626)),AVERAGE('20250815_ETF_Options_Exhibits'!AA1622:AA1626),"")</f>
        <v/>
      </c>
    </row>
    <row r="1627">
      <c r="A1627" s="1" t="n">
        <v>44363</v>
      </c>
      <c r="B1627" s="3">
        <f>IF(ISNUMBER(AVERAGE('20250815_ETF_Options_Exhibits'!B1623:B1627)),AVERAGE('20250815_ETF_Options_Exhibits'!B1623:B1627),"")</f>
        <v/>
      </c>
      <c r="C1627" s="3">
        <f>IF(ISNUMBER(AVERAGE('20250815_ETF_Options_Exhibits'!C1623:C1627)),AVERAGE('20250815_ETF_Options_Exhibits'!C1623:C1627),"")</f>
        <v/>
      </c>
      <c r="D1627" s="3">
        <f>IF(ISNUMBER(AVERAGE('20250815_ETF_Options_Exhibits'!D1623:D1627)),AVERAGE('20250815_ETF_Options_Exhibits'!D1623:D1627),"")</f>
        <v/>
      </c>
      <c r="E1627" s="3">
        <f>IF(ISNUMBER(AVERAGE('20250815_ETF_Options_Exhibits'!E1623:E1627)),AVERAGE('20250815_ETF_Options_Exhibits'!E1623:E1627),"")</f>
        <v/>
      </c>
      <c r="F1627" s="3">
        <f>IF(ISNUMBER(AVERAGE('20250815_ETF_Options_Exhibits'!F1623:F1627)),AVERAGE('20250815_ETF_Options_Exhibits'!F1623:F1627),"")</f>
        <v/>
      </c>
      <c r="G1627" s="3">
        <f>IF(ISNUMBER(AVERAGE('20250815_ETF_Options_Exhibits'!G1623:G1627)),AVERAGE('20250815_ETF_Options_Exhibits'!G1623:G1627),"")</f>
        <v/>
      </c>
      <c r="H1627" s="3">
        <f>IF(ISNUMBER(AVERAGE('20250815_ETF_Options_Exhibits'!H1623:H1627)),AVERAGE('20250815_ETF_Options_Exhibits'!H1623:H1627),"")</f>
        <v/>
      </c>
      <c r="I1627" s="3">
        <f>IF(ISNUMBER(AVERAGE('20250815_ETF_Options_Exhibits'!I1623:I1627)),AVERAGE('20250815_ETF_Options_Exhibits'!I1623:I1627),"")</f>
        <v/>
      </c>
      <c r="J1627" s="3">
        <f>IF(ISNUMBER(AVERAGE('20250815_ETF_Options_Exhibits'!J1623:J1627)),AVERAGE('20250815_ETF_Options_Exhibits'!J1623:J1627),"")</f>
        <v/>
      </c>
      <c r="K1627" s="3">
        <f>IF(ISNUMBER(AVERAGE('20250815_ETF_Options_Exhibits'!K1623:K1627)),AVERAGE('20250815_ETF_Options_Exhibits'!K1623:K1627),"")</f>
        <v/>
      </c>
      <c r="L1627" s="3">
        <f>IF(ISNUMBER(AVERAGE('20250815_ETF_Options_Exhibits'!L1623:L1627)),AVERAGE('20250815_ETF_Options_Exhibits'!L1623:L1627),"")</f>
        <v/>
      </c>
      <c r="M1627" s="3">
        <f>IF(ISNUMBER(AVERAGE('20250815_ETF_Options_Exhibits'!M1623:M1627)),AVERAGE('20250815_ETF_Options_Exhibits'!M1623:M1627),"")</f>
        <v/>
      </c>
      <c r="N1627" s="3">
        <f>IF(ISNUMBER(AVERAGE('20250815_ETF_Options_Exhibits'!N1623:N1627)),AVERAGE('20250815_ETF_Options_Exhibits'!N1623:N1627),"")</f>
        <v/>
      </c>
      <c r="O1627" s="3">
        <f>IF(ISNUMBER(AVERAGE('20250815_ETF_Options_Exhibits'!O1623:O1627)),AVERAGE('20250815_ETF_Options_Exhibits'!O1623:O1627),"")</f>
        <v/>
      </c>
      <c r="P1627" s="3">
        <f>IF(ISNUMBER(AVERAGE('20250815_ETF_Options_Exhibits'!P1623:P1627)),AVERAGE('20250815_ETF_Options_Exhibits'!P1623:P1627),"")</f>
        <v/>
      </c>
      <c r="Q1627" s="3">
        <f>IF(ISNUMBER(AVERAGE('20250815_ETF_Options_Exhibits'!Q1623:Q1627)),AVERAGE('20250815_ETF_Options_Exhibits'!Q1623:Q1627),"")</f>
        <v/>
      </c>
      <c r="R1627" s="3">
        <f>IF(ISNUMBER(AVERAGE('20250815_ETF_Options_Exhibits'!R1623:R1627)),AVERAGE('20250815_ETF_Options_Exhibits'!R1623:R1627),"")</f>
        <v/>
      </c>
      <c r="S1627" s="3">
        <f>IF(ISNUMBER(AVERAGE('20250815_ETF_Options_Exhibits'!S1623:S1627)),AVERAGE('20250815_ETF_Options_Exhibits'!S1623:S1627),"")</f>
        <v/>
      </c>
      <c r="T1627" s="3">
        <f>IF(ISNUMBER(AVERAGE('20250815_ETF_Options_Exhibits'!T1623:T1627)),AVERAGE('20250815_ETF_Options_Exhibits'!T1623:T1627),"")</f>
        <v/>
      </c>
      <c r="U1627" s="3">
        <f>IF(ISNUMBER(AVERAGE('20250815_ETF_Options_Exhibits'!U1623:U1627)),AVERAGE('20250815_ETF_Options_Exhibits'!U1623:U1627),"")</f>
        <v/>
      </c>
      <c r="V1627" s="3">
        <f>IF(ISNUMBER(AVERAGE('20250815_ETF_Options_Exhibits'!V1623:V1627)),AVERAGE('20250815_ETF_Options_Exhibits'!V1623:V1627),"")</f>
        <v/>
      </c>
      <c r="W1627" s="3">
        <f>IF(ISNUMBER(AVERAGE('20250815_ETF_Options_Exhibits'!W1623:W1627)),AVERAGE('20250815_ETF_Options_Exhibits'!W1623:W1627),"")</f>
        <v/>
      </c>
      <c r="X1627" s="3">
        <f>IF(ISNUMBER(AVERAGE('20250815_ETF_Options_Exhibits'!X1623:X1627)),AVERAGE('20250815_ETF_Options_Exhibits'!X1623:X1627),"")</f>
        <v/>
      </c>
      <c r="Y1627" s="3">
        <f>IF(ISNUMBER(AVERAGE('20250815_ETF_Options_Exhibits'!Y1623:Y1627)),AVERAGE('20250815_ETF_Options_Exhibits'!Y1623:Y1627),"")</f>
        <v/>
      </c>
      <c r="Z1627" s="3">
        <f>IF(ISNUMBER(AVERAGE('20250815_ETF_Options_Exhibits'!Z1623:Z1627)),AVERAGE('20250815_ETF_Options_Exhibits'!Z1623:Z1627),"")</f>
        <v/>
      </c>
      <c r="AA1627" s="3">
        <f>IF(ISNUMBER(AVERAGE('20250815_ETF_Options_Exhibits'!AA1623:AA1627)),AVERAGE('20250815_ETF_Options_Exhibits'!AA1623:AA1627),"")</f>
        <v/>
      </c>
    </row>
    <row r="1628">
      <c r="A1628" s="1" t="n">
        <v>44364</v>
      </c>
      <c r="B1628" s="3">
        <f>IF(ISNUMBER(AVERAGE('20250815_ETF_Options_Exhibits'!B1624:B1628)),AVERAGE('20250815_ETF_Options_Exhibits'!B1624:B1628),"")</f>
        <v/>
      </c>
      <c r="C1628" s="3">
        <f>IF(ISNUMBER(AVERAGE('20250815_ETF_Options_Exhibits'!C1624:C1628)),AVERAGE('20250815_ETF_Options_Exhibits'!C1624:C1628),"")</f>
        <v/>
      </c>
      <c r="D1628" s="3">
        <f>IF(ISNUMBER(AVERAGE('20250815_ETF_Options_Exhibits'!D1624:D1628)),AVERAGE('20250815_ETF_Options_Exhibits'!D1624:D1628),"")</f>
        <v/>
      </c>
      <c r="E1628" s="3">
        <f>IF(ISNUMBER(AVERAGE('20250815_ETF_Options_Exhibits'!E1624:E1628)),AVERAGE('20250815_ETF_Options_Exhibits'!E1624:E1628),"")</f>
        <v/>
      </c>
      <c r="F1628" s="3">
        <f>IF(ISNUMBER(AVERAGE('20250815_ETF_Options_Exhibits'!F1624:F1628)),AVERAGE('20250815_ETF_Options_Exhibits'!F1624:F1628),"")</f>
        <v/>
      </c>
      <c r="G1628" s="3">
        <f>IF(ISNUMBER(AVERAGE('20250815_ETF_Options_Exhibits'!G1624:G1628)),AVERAGE('20250815_ETF_Options_Exhibits'!G1624:G1628),"")</f>
        <v/>
      </c>
      <c r="H1628" s="3">
        <f>IF(ISNUMBER(AVERAGE('20250815_ETF_Options_Exhibits'!H1624:H1628)),AVERAGE('20250815_ETF_Options_Exhibits'!H1624:H1628),"")</f>
        <v/>
      </c>
      <c r="I1628" s="3">
        <f>IF(ISNUMBER(AVERAGE('20250815_ETF_Options_Exhibits'!I1624:I1628)),AVERAGE('20250815_ETF_Options_Exhibits'!I1624:I1628),"")</f>
        <v/>
      </c>
      <c r="J1628" s="3">
        <f>IF(ISNUMBER(AVERAGE('20250815_ETF_Options_Exhibits'!J1624:J1628)),AVERAGE('20250815_ETF_Options_Exhibits'!J1624:J1628),"")</f>
        <v/>
      </c>
      <c r="K1628" s="3">
        <f>IF(ISNUMBER(AVERAGE('20250815_ETF_Options_Exhibits'!K1624:K1628)),AVERAGE('20250815_ETF_Options_Exhibits'!K1624:K1628),"")</f>
        <v/>
      </c>
      <c r="L1628" s="3">
        <f>IF(ISNUMBER(AVERAGE('20250815_ETF_Options_Exhibits'!L1624:L1628)),AVERAGE('20250815_ETF_Options_Exhibits'!L1624:L1628),"")</f>
        <v/>
      </c>
      <c r="M1628" s="3">
        <f>IF(ISNUMBER(AVERAGE('20250815_ETF_Options_Exhibits'!M1624:M1628)),AVERAGE('20250815_ETF_Options_Exhibits'!M1624:M1628),"")</f>
        <v/>
      </c>
      <c r="N1628" s="3">
        <f>IF(ISNUMBER(AVERAGE('20250815_ETF_Options_Exhibits'!N1624:N1628)),AVERAGE('20250815_ETF_Options_Exhibits'!N1624:N1628),"")</f>
        <v/>
      </c>
      <c r="O1628" s="3">
        <f>IF(ISNUMBER(AVERAGE('20250815_ETF_Options_Exhibits'!O1624:O1628)),AVERAGE('20250815_ETF_Options_Exhibits'!O1624:O1628),"")</f>
        <v/>
      </c>
      <c r="P1628" s="3">
        <f>IF(ISNUMBER(AVERAGE('20250815_ETF_Options_Exhibits'!P1624:P1628)),AVERAGE('20250815_ETF_Options_Exhibits'!P1624:P1628),"")</f>
        <v/>
      </c>
      <c r="Q1628" s="3">
        <f>IF(ISNUMBER(AVERAGE('20250815_ETF_Options_Exhibits'!Q1624:Q1628)),AVERAGE('20250815_ETF_Options_Exhibits'!Q1624:Q1628),"")</f>
        <v/>
      </c>
      <c r="R1628" s="3">
        <f>IF(ISNUMBER(AVERAGE('20250815_ETF_Options_Exhibits'!R1624:R1628)),AVERAGE('20250815_ETF_Options_Exhibits'!R1624:R1628),"")</f>
        <v/>
      </c>
      <c r="S1628" s="3">
        <f>IF(ISNUMBER(AVERAGE('20250815_ETF_Options_Exhibits'!S1624:S1628)),AVERAGE('20250815_ETF_Options_Exhibits'!S1624:S1628),"")</f>
        <v/>
      </c>
      <c r="T1628" s="3">
        <f>IF(ISNUMBER(AVERAGE('20250815_ETF_Options_Exhibits'!T1624:T1628)),AVERAGE('20250815_ETF_Options_Exhibits'!T1624:T1628),"")</f>
        <v/>
      </c>
      <c r="U1628" s="3">
        <f>IF(ISNUMBER(AVERAGE('20250815_ETF_Options_Exhibits'!U1624:U1628)),AVERAGE('20250815_ETF_Options_Exhibits'!U1624:U1628),"")</f>
        <v/>
      </c>
      <c r="V1628" s="3">
        <f>IF(ISNUMBER(AVERAGE('20250815_ETF_Options_Exhibits'!V1624:V1628)),AVERAGE('20250815_ETF_Options_Exhibits'!V1624:V1628),"")</f>
        <v/>
      </c>
      <c r="W1628" s="3">
        <f>IF(ISNUMBER(AVERAGE('20250815_ETF_Options_Exhibits'!W1624:W1628)),AVERAGE('20250815_ETF_Options_Exhibits'!W1624:W1628),"")</f>
        <v/>
      </c>
      <c r="X1628" s="3">
        <f>IF(ISNUMBER(AVERAGE('20250815_ETF_Options_Exhibits'!X1624:X1628)),AVERAGE('20250815_ETF_Options_Exhibits'!X1624:X1628),"")</f>
        <v/>
      </c>
      <c r="Y1628" s="3">
        <f>IF(ISNUMBER(AVERAGE('20250815_ETF_Options_Exhibits'!Y1624:Y1628)),AVERAGE('20250815_ETF_Options_Exhibits'!Y1624:Y1628),"")</f>
        <v/>
      </c>
      <c r="Z1628" s="3">
        <f>IF(ISNUMBER(AVERAGE('20250815_ETF_Options_Exhibits'!Z1624:Z1628)),AVERAGE('20250815_ETF_Options_Exhibits'!Z1624:Z1628),"")</f>
        <v/>
      </c>
      <c r="AA1628" s="3">
        <f>IF(ISNUMBER(AVERAGE('20250815_ETF_Options_Exhibits'!AA1624:AA1628)),AVERAGE('20250815_ETF_Options_Exhibits'!AA1624:AA1628),"")</f>
        <v/>
      </c>
    </row>
    <row r="1629">
      <c r="A1629" s="1" t="n">
        <v>44365</v>
      </c>
      <c r="B1629" s="3">
        <f>IF(ISNUMBER(AVERAGE('20250815_ETF_Options_Exhibits'!B1625:B1629)),AVERAGE('20250815_ETF_Options_Exhibits'!B1625:B1629),"")</f>
        <v/>
      </c>
      <c r="C1629" s="3">
        <f>IF(ISNUMBER(AVERAGE('20250815_ETF_Options_Exhibits'!C1625:C1629)),AVERAGE('20250815_ETF_Options_Exhibits'!C1625:C1629),"")</f>
        <v/>
      </c>
      <c r="D1629" s="3">
        <f>IF(ISNUMBER(AVERAGE('20250815_ETF_Options_Exhibits'!D1625:D1629)),AVERAGE('20250815_ETF_Options_Exhibits'!D1625:D1629),"")</f>
        <v/>
      </c>
      <c r="E1629" s="3">
        <f>IF(ISNUMBER(AVERAGE('20250815_ETF_Options_Exhibits'!E1625:E1629)),AVERAGE('20250815_ETF_Options_Exhibits'!E1625:E1629),"")</f>
        <v/>
      </c>
      <c r="F1629" s="3">
        <f>IF(ISNUMBER(AVERAGE('20250815_ETF_Options_Exhibits'!F1625:F1629)),AVERAGE('20250815_ETF_Options_Exhibits'!F1625:F1629),"")</f>
        <v/>
      </c>
      <c r="G1629" s="3">
        <f>IF(ISNUMBER(AVERAGE('20250815_ETF_Options_Exhibits'!G1625:G1629)),AVERAGE('20250815_ETF_Options_Exhibits'!G1625:G1629),"")</f>
        <v/>
      </c>
      <c r="H1629" s="3">
        <f>IF(ISNUMBER(AVERAGE('20250815_ETF_Options_Exhibits'!H1625:H1629)),AVERAGE('20250815_ETF_Options_Exhibits'!H1625:H1629),"")</f>
        <v/>
      </c>
      <c r="I1629" s="3">
        <f>IF(ISNUMBER(AVERAGE('20250815_ETF_Options_Exhibits'!I1625:I1629)),AVERAGE('20250815_ETF_Options_Exhibits'!I1625:I1629),"")</f>
        <v/>
      </c>
      <c r="J1629" s="3">
        <f>IF(ISNUMBER(AVERAGE('20250815_ETF_Options_Exhibits'!J1625:J1629)),AVERAGE('20250815_ETF_Options_Exhibits'!J1625:J1629),"")</f>
        <v/>
      </c>
      <c r="K1629" s="3">
        <f>IF(ISNUMBER(AVERAGE('20250815_ETF_Options_Exhibits'!K1625:K1629)),AVERAGE('20250815_ETF_Options_Exhibits'!K1625:K1629),"")</f>
        <v/>
      </c>
      <c r="L1629" s="3">
        <f>IF(ISNUMBER(AVERAGE('20250815_ETF_Options_Exhibits'!L1625:L1629)),AVERAGE('20250815_ETF_Options_Exhibits'!L1625:L1629),"")</f>
        <v/>
      </c>
      <c r="M1629" s="3">
        <f>IF(ISNUMBER(AVERAGE('20250815_ETF_Options_Exhibits'!M1625:M1629)),AVERAGE('20250815_ETF_Options_Exhibits'!M1625:M1629),"")</f>
        <v/>
      </c>
      <c r="N1629" s="3">
        <f>IF(ISNUMBER(AVERAGE('20250815_ETF_Options_Exhibits'!N1625:N1629)),AVERAGE('20250815_ETF_Options_Exhibits'!N1625:N1629),"")</f>
        <v/>
      </c>
      <c r="O1629" s="3">
        <f>IF(ISNUMBER(AVERAGE('20250815_ETF_Options_Exhibits'!O1625:O1629)),AVERAGE('20250815_ETF_Options_Exhibits'!O1625:O1629),"")</f>
        <v/>
      </c>
      <c r="P1629" s="3">
        <f>IF(ISNUMBER(AVERAGE('20250815_ETF_Options_Exhibits'!P1625:P1629)),AVERAGE('20250815_ETF_Options_Exhibits'!P1625:P1629),"")</f>
        <v/>
      </c>
      <c r="Q1629" s="3">
        <f>IF(ISNUMBER(AVERAGE('20250815_ETF_Options_Exhibits'!Q1625:Q1629)),AVERAGE('20250815_ETF_Options_Exhibits'!Q1625:Q1629),"")</f>
        <v/>
      </c>
      <c r="R1629" s="3">
        <f>IF(ISNUMBER(AVERAGE('20250815_ETF_Options_Exhibits'!R1625:R1629)),AVERAGE('20250815_ETF_Options_Exhibits'!R1625:R1629),"")</f>
        <v/>
      </c>
      <c r="S1629" s="3">
        <f>IF(ISNUMBER(AVERAGE('20250815_ETF_Options_Exhibits'!S1625:S1629)),AVERAGE('20250815_ETF_Options_Exhibits'!S1625:S1629),"")</f>
        <v/>
      </c>
      <c r="T1629" s="3">
        <f>IF(ISNUMBER(AVERAGE('20250815_ETF_Options_Exhibits'!T1625:T1629)),AVERAGE('20250815_ETF_Options_Exhibits'!T1625:T1629),"")</f>
        <v/>
      </c>
      <c r="U1629" s="3">
        <f>IF(ISNUMBER(AVERAGE('20250815_ETF_Options_Exhibits'!U1625:U1629)),AVERAGE('20250815_ETF_Options_Exhibits'!U1625:U1629),"")</f>
        <v/>
      </c>
      <c r="V1629" s="3">
        <f>IF(ISNUMBER(AVERAGE('20250815_ETF_Options_Exhibits'!V1625:V1629)),AVERAGE('20250815_ETF_Options_Exhibits'!V1625:V1629),"")</f>
        <v/>
      </c>
      <c r="W1629" s="3">
        <f>IF(ISNUMBER(AVERAGE('20250815_ETF_Options_Exhibits'!W1625:W1629)),AVERAGE('20250815_ETF_Options_Exhibits'!W1625:W1629),"")</f>
        <v/>
      </c>
      <c r="X1629" s="3">
        <f>IF(ISNUMBER(AVERAGE('20250815_ETF_Options_Exhibits'!X1625:X1629)),AVERAGE('20250815_ETF_Options_Exhibits'!X1625:X1629),"")</f>
        <v/>
      </c>
      <c r="Y1629" s="3">
        <f>IF(ISNUMBER(AVERAGE('20250815_ETF_Options_Exhibits'!Y1625:Y1629)),AVERAGE('20250815_ETF_Options_Exhibits'!Y1625:Y1629),"")</f>
        <v/>
      </c>
      <c r="Z1629" s="3">
        <f>IF(ISNUMBER(AVERAGE('20250815_ETF_Options_Exhibits'!Z1625:Z1629)),AVERAGE('20250815_ETF_Options_Exhibits'!Z1625:Z1629),"")</f>
        <v/>
      </c>
      <c r="AA1629" s="3">
        <f>IF(ISNUMBER(AVERAGE('20250815_ETF_Options_Exhibits'!AA1625:AA1629)),AVERAGE('20250815_ETF_Options_Exhibits'!AA1625:AA1629),"")</f>
        <v/>
      </c>
    </row>
    <row r="1630">
      <c r="A1630" s="1" t="n">
        <v>44368</v>
      </c>
      <c r="B1630" s="3">
        <f>IF(ISNUMBER(AVERAGE('20250815_ETF_Options_Exhibits'!B1626:B1630)),AVERAGE('20250815_ETF_Options_Exhibits'!B1626:B1630),"")</f>
        <v/>
      </c>
      <c r="C1630" s="3">
        <f>IF(ISNUMBER(AVERAGE('20250815_ETF_Options_Exhibits'!C1626:C1630)),AVERAGE('20250815_ETF_Options_Exhibits'!C1626:C1630),"")</f>
        <v/>
      </c>
      <c r="D1630" s="3">
        <f>IF(ISNUMBER(AVERAGE('20250815_ETF_Options_Exhibits'!D1626:D1630)),AVERAGE('20250815_ETF_Options_Exhibits'!D1626:D1630),"")</f>
        <v/>
      </c>
      <c r="E1630" s="3">
        <f>IF(ISNUMBER(AVERAGE('20250815_ETF_Options_Exhibits'!E1626:E1630)),AVERAGE('20250815_ETF_Options_Exhibits'!E1626:E1630),"")</f>
        <v/>
      </c>
      <c r="F1630" s="3">
        <f>IF(ISNUMBER(AVERAGE('20250815_ETF_Options_Exhibits'!F1626:F1630)),AVERAGE('20250815_ETF_Options_Exhibits'!F1626:F1630),"")</f>
        <v/>
      </c>
      <c r="G1630" s="3">
        <f>IF(ISNUMBER(AVERAGE('20250815_ETF_Options_Exhibits'!G1626:G1630)),AVERAGE('20250815_ETF_Options_Exhibits'!G1626:G1630),"")</f>
        <v/>
      </c>
      <c r="H1630" s="3">
        <f>IF(ISNUMBER(AVERAGE('20250815_ETF_Options_Exhibits'!H1626:H1630)),AVERAGE('20250815_ETF_Options_Exhibits'!H1626:H1630),"")</f>
        <v/>
      </c>
      <c r="I1630" s="3">
        <f>IF(ISNUMBER(AVERAGE('20250815_ETF_Options_Exhibits'!I1626:I1630)),AVERAGE('20250815_ETF_Options_Exhibits'!I1626:I1630),"")</f>
        <v/>
      </c>
      <c r="J1630" s="3">
        <f>IF(ISNUMBER(AVERAGE('20250815_ETF_Options_Exhibits'!J1626:J1630)),AVERAGE('20250815_ETF_Options_Exhibits'!J1626:J1630),"")</f>
        <v/>
      </c>
      <c r="K1630" s="3">
        <f>IF(ISNUMBER(AVERAGE('20250815_ETF_Options_Exhibits'!K1626:K1630)),AVERAGE('20250815_ETF_Options_Exhibits'!K1626:K1630),"")</f>
        <v/>
      </c>
      <c r="L1630" s="3">
        <f>IF(ISNUMBER(AVERAGE('20250815_ETF_Options_Exhibits'!L1626:L1630)),AVERAGE('20250815_ETF_Options_Exhibits'!L1626:L1630),"")</f>
        <v/>
      </c>
      <c r="M1630" s="3">
        <f>IF(ISNUMBER(AVERAGE('20250815_ETF_Options_Exhibits'!M1626:M1630)),AVERAGE('20250815_ETF_Options_Exhibits'!M1626:M1630),"")</f>
        <v/>
      </c>
      <c r="N1630" s="3">
        <f>IF(ISNUMBER(AVERAGE('20250815_ETF_Options_Exhibits'!N1626:N1630)),AVERAGE('20250815_ETF_Options_Exhibits'!N1626:N1630),"")</f>
        <v/>
      </c>
      <c r="O1630" s="3">
        <f>IF(ISNUMBER(AVERAGE('20250815_ETF_Options_Exhibits'!O1626:O1630)),AVERAGE('20250815_ETF_Options_Exhibits'!O1626:O1630),"")</f>
        <v/>
      </c>
      <c r="P1630" s="3">
        <f>IF(ISNUMBER(AVERAGE('20250815_ETF_Options_Exhibits'!P1626:P1630)),AVERAGE('20250815_ETF_Options_Exhibits'!P1626:P1630),"")</f>
        <v/>
      </c>
      <c r="Q1630" s="3">
        <f>IF(ISNUMBER(AVERAGE('20250815_ETF_Options_Exhibits'!Q1626:Q1630)),AVERAGE('20250815_ETF_Options_Exhibits'!Q1626:Q1630),"")</f>
        <v/>
      </c>
      <c r="R1630" s="3">
        <f>IF(ISNUMBER(AVERAGE('20250815_ETF_Options_Exhibits'!R1626:R1630)),AVERAGE('20250815_ETF_Options_Exhibits'!R1626:R1630),"")</f>
        <v/>
      </c>
      <c r="S1630" s="3">
        <f>IF(ISNUMBER(AVERAGE('20250815_ETF_Options_Exhibits'!S1626:S1630)),AVERAGE('20250815_ETF_Options_Exhibits'!S1626:S1630),"")</f>
        <v/>
      </c>
      <c r="T1630" s="3">
        <f>IF(ISNUMBER(AVERAGE('20250815_ETF_Options_Exhibits'!T1626:T1630)),AVERAGE('20250815_ETF_Options_Exhibits'!T1626:T1630),"")</f>
        <v/>
      </c>
      <c r="U1630" s="3">
        <f>IF(ISNUMBER(AVERAGE('20250815_ETF_Options_Exhibits'!U1626:U1630)),AVERAGE('20250815_ETF_Options_Exhibits'!U1626:U1630),"")</f>
        <v/>
      </c>
      <c r="V1630" s="3">
        <f>IF(ISNUMBER(AVERAGE('20250815_ETF_Options_Exhibits'!V1626:V1630)),AVERAGE('20250815_ETF_Options_Exhibits'!V1626:V1630),"")</f>
        <v/>
      </c>
      <c r="W1630" s="3">
        <f>IF(ISNUMBER(AVERAGE('20250815_ETF_Options_Exhibits'!W1626:W1630)),AVERAGE('20250815_ETF_Options_Exhibits'!W1626:W1630),"")</f>
        <v/>
      </c>
      <c r="X1630" s="3">
        <f>IF(ISNUMBER(AVERAGE('20250815_ETF_Options_Exhibits'!X1626:X1630)),AVERAGE('20250815_ETF_Options_Exhibits'!X1626:X1630),"")</f>
        <v/>
      </c>
      <c r="Y1630" s="3">
        <f>IF(ISNUMBER(AVERAGE('20250815_ETF_Options_Exhibits'!Y1626:Y1630)),AVERAGE('20250815_ETF_Options_Exhibits'!Y1626:Y1630),"")</f>
        <v/>
      </c>
      <c r="Z1630" s="3">
        <f>IF(ISNUMBER(AVERAGE('20250815_ETF_Options_Exhibits'!Z1626:Z1630)),AVERAGE('20250815_ETF_Options_Exhibits'!Z1626:Z1630),"")</f>
        <v/>
      </c>
      <c r="AA1630" s="3">
        <f>IF(ISNUMBER(AVERAGE('20250815_ETF_Options_Exhibits'!AA1626:AA1630)),AVERAGE('20250815_ETF_Options_Exhibits'!AA1626:AA1630),"")</f>
        <v/>
      </c>
    </row>
    <row r="1631">
      <c r="A1631" s="1" t="n">
        <v>44369</v>
      </c>
      <c r="B1631" s="3">
        <f>IF(ISNUMBER(AVERAGE('20250815_ETF_Options_Exhibits'!B1627:B1631)),AVERAGE('20250815_ETF_Options_Exhibits'!B1627:B1631),"")</f>
        <v/>
      </c>
      <c r="C1631" s="3">
        <f>IF(ISNUMBER(AVERAGE('20250815_ETF_Options_Exhibits'!C1627:C1631)),AVERAGE('20250815_ETF_Options_Exhibits'!C1627:C1631),"")</f>
        <v/>
      </c>
      <c r="D1631" s="3">
        <f>IF(ISNUMBER(AVERAGE('20250815_ETF_Options_Exhibits'!D1627:D1631)),AVERAGE('20250815_ETF_Options_Exhibits'!D1627:D1631),"")</f>
        <v/>
      </c>
      <c r="E1631" s="3">
        <f>IF(ISNUMBER(AVERAGE('20250815_ETF_Options_Exhibits'!E1627:E1631)),AVERAGE('20250815_ETF_Options_Exhibits'!E1627:E1631),"")</f>
        <v/>
      </c>
      <c r="F1631" s="3">
        <f>IF(ISNUMBER(AVERAGE('20250815_ETF_Options_Exhibits'!F1627:F1631)),AVERAGE('20250815_ETF_Options_Exhibits'!F1627:F1631),"")</f>
        <v/>
      </c>
      <c r="G1631" s="3">
        <f>IF(ISNUMBER(AVERAGE('20250815_ETF_Options_Exhibits'!G1627:G1631)),AVERAGE('20250815_ETF_Options_Exhibits'!G1627:G1631),"")</f>
        <v/>
      </c>
      <c r="H1631" s="3">
        <f>IF(ISNUMBER(AVERAGE('20250815_ETF_Options_Exhibits'!H1627:H1631)),AVERAGE('20250815_ETF_Options_Exhibits'!H1627:H1631),"")</f>
        <v/>
      </c>
      <c r="I1631" s="3">
        <f>IF(ISNUMBER(AVERAGE('20250815_ETF_Options_Exhibits'!I1627:I1631)),AVERAGE('20250815_ETF_Options_Exhibits'!I1627:I1631),"")</f>
        <v/>
      </c>
      <c r="J1631" s="3">
        <f>IF(ISNUMBER(AVERAGE('20250815_ETF_Options_Exhibits'!J1627:J1631)),AVERAGE('20250815_ETF_Options_Exhibits'!J1627:J1631),"")</f>
        <v/>
      </c>
      <c r="K1631" s="3">
        <f>IF(ISNUMBER(AVERAGE('20250815_ETF_Options_Exhibits'!K1627:K1631)),AVERAGE('20250815_ETF_Options_Exhibits'!K1627:K1631),"")</f>
        <v/>
      </c>
      <c r="L1631" s="3">
        <f>IF(ISNUMBER(AVERAGE('20250815_ETF_Options_Exhibits'!L1627:L1631)),AVERAGE('20250815_ETF_Options_Exhibits'!L1627:L1631),"")</f>
        <v/>
      </c>
      <c r="M1631" s="3">
        <f>IF(ISNUMBER(AVERAGE('20250815_ETF_Options_Exhibits'!M1627:M1631)),AVERAGE('20250815_ETF_Options_Exhibits'!M1627:M1631),"")</f>
        <v/>
      </c>
      <c r="N1631" s="3">
        <f>IF(ISNUMBER(AVERAGE('20250815_ETF_Options_Exhibits'!N1627:N1631)),AVERAGE('20250815_ETF_Options_Exhibits'!N1627:N1631),"")</f>
        <v/>
      </c>
      <c r="O1631" s="3">
        <f>IF(ISNUMBER(AVERAGE('20250815_ETF_Options_Exhibits'!O1627:O1631)),AVERAGE('20250815_ETF_Options_Exhibits'!O1627:O1631),"")</f>
        <v/>
      </c>
      <c r="P1631" s="3">
        <f>IF(ISNUMBER(AVERAGE('20250815_ETF_Options_Exhibits'!P1627:P1631)),AVERAGE('20250815_ETF_Options_Exhibits'!P1627:P1631),"")</f>
        <v/>
      </c>
      <c r="Q1631" s="3">
        <f>IF(ISNUMBER(AVERAGE('20250815_ETF_Options_Exhibits'!Q1627:Q1631)),AVERAGE('20250815_ETF_Options_Exhibits'!Q1627:Q1631),"")</f>
        <v/>
      </c>
      <c r="R1631" s="3">
        <f>IF(ISNUMBER(AVERAGE('20250815_ETF_Options_Exhibits'!R1627:R1631)),AVERAGE('20250815_ETF_Options_Exhibits'!R1627:R1631),"")</f>
        <v/>
      </c>
      <c r="S1631" s="3">
        <f>IF(ISNUMBER(AVERAGE('20250815_ETF_Options_Exhibits'!S1627:S1631)),AVERAGE('20250815_ETF_Options_Exhibits'!S1627:S1631),"")</f>
        <v/>
      </c>
      <c r="T1631" s="3">
        <f>IF(ISNUMBER(AVERAGE('20250815_ETF_Options_Exhibits'!T1627:T1631)),AVERAGE('20250815_ETF_Options_Exhibits'!T1627:T1631),"")</f>
        <v/>
      </c>
      <c r="U1631" s="3">
        <f>IF(ISNUMBER(AVERAGE('20250815_ETF_Options_Exhibits'!U1627:U1631)),AVERAGE('20250815_ETF_Options_Exhibits'!U1627:U1631),"")</f>
        <v/>
      </c>
      <c r="V1631" s="3">
        <f>IF(ISNUMBER(AVERAGE('20250815_ETF_Options_Exhibits'!V1627:V1631)),AVERAGE('20250815_ETF_Options_Exhibits'!V1627:V1631),"")</f>
        <v/>
      </c>
      <c r="W1631" s="3">
        <f>IF(ISNUMBER(AVERAGE('20250815_ETF_Options_Exhibits'!W1627:W1631)),AVERAGE('20250815_ETF_Options_Exhibits'!W1627:W1631),"")</f>
        <v/>
      </c>
      <c r="X1631" s="3">
        <f>IF(ISNUMBER(AVERAGE('20250815_ETF_Options_Exhibits'!X1627:X1631)),AVERAGE('20250815_ETF_Options_Exhibits'!X1627:X1631),"")</f>
        <v/>
      </c>
      <c r="Y1631" s="3">
        <f>IF(ISNUMBER(AVERAGE('20250815_ETF_Options_Exhibits'!Y1627:Y1631)),AVERAGE('20250815_ETF_Options_Exhibits'!Y1627:Y1631),"")</f>
        <v/>
      </c>
      <c r="Z1631" s="3">
        <f>IF(ISNUMBER(AVERAGE('20250815_ETF_Options_Exhibits'!Z1627:Z1631)),AVERAGE('20250815_ETF_Options_Exhibits'!Z1627:Z1631),"")</f>
        <v/>
      </c>
      <c r="AA1631" s="3">
        <f>IF(ISNUMBER(AVERAGE('20250815_ETF_Options_Exhibits'!AA1627:AA1631)),AVERAGE('20250815_ETF_Options_Exhibits'!AA1627:AA1631),"")</f>
        <v/>
      </c>
    </row>
    <row r="1632">
      <c r="A1632" s="1" t="n">
        <v>44370</v>
      </c>
      <c r="B1632" s="3">
        <f>IF(ISNUMBER(AVERAGE('20250815_ETF_Options_Exhibits'!B1628:B1632)),AVERAGE('20250815_ETF_Options_Exhibits'!B1628:B1632),"")</f>
        <v/>
      </c>
      <c r="C1632" s="3">
        <f>IF(ISNUMBER(AVERAGE('20250815_ETF_Options_Exhibits'!C1628:C1632)),AVERAGE('20250815_ETF_Options_Exhibits'!C1628:C1632),"")</f>
        <v/>
      </c>
      <c r="D1632" s="3">
        <f>IF(ISNUMBER(AVERAGE('20250815_ETF_Options_Exhibits'!D1628:D1632)),AVERAGE('20250815_ETF_Options_Exhibits'!D1628:D1632),"")</f>
        <v/>
      </c>
      <c r="E1632" s="3">
        <f>IF(ISNUMBER(AVERAGE('20250815_ETF_Options_Exhibits'!E1628:E1632)),AVERAGE('20250815_ETF_Options_Exhibits'!E1628:E1632),"")</f>
        <v/>
      </c>
      <c r="F1632" s="3">
        <f>IF(ISNUMBER(AVERAGE('20250815_ETF_Options_Exhibits'!F1628:F1632)),AVERAGE('20250815_ETF_Options_Exhibits'!F1628:F1632),"")</f>
        <v/>
      </c>
      <c r="G1632" s="3">
        <f>IF(ISNUMBER(AVERAGE('20250815_ETF_Options_Exhibits'!G1628:G1632)),AVERAGE('20250815_ETF_Options_Exhibits'!G1628:G1632),"")</f>
        <v/>
      </c>
      <c r="H1632" s="3">
        <f>IF(ISNUMBER(AVERAGE('20250815_ETF_Options_Exhibits'!H1628:H1632)),AVERAGE('20250815_ETF_Options_Exhibits'!H1628:H1632),"")</f>
        <v/>
      </c>
      <c r="I1632" s="3">
        <f>IF(ISNUMBER(AVERAGE('20250815_ETF_Options_Exhibits'!I1628:I1632)),AVERAGE('20250815_ETF_Options_Exhibits'!I1628:I1632),"")</f>
        <v/>
      </c>
      <c r="J1632" s="3">
        <f>IF(ISNUMBER(AVERAGE('20250815_ETF_Options_Exhibits'!J1628:J1632)),AVERAGE('20250815_ETF_Options_Exhibits'!J1628:J1632),"")</f>
        <v/>
      </c>
      <c r="K1632" s="3">
        <f>IF(ISNUMBER(AVERAGE('20250815_ETF_Options_Exhibits'!K1628:K1632)),AVERAGE('20250815_ETF_Options_Exhibits'!K1628:K1632),"")</f>
        <v/>
      </c>
      <c r="L1632" s="3">
        <f>IF(ISNUMBER(AVERAGE('20250815_ETF_Options_Exhibits'!L1628:L1632)),AVERAGE('20250815_ETF_Options_Exhibits'!L1628:L1632),"")</f>
        <v/>
      </c>
      <c r="M1632" s="3">
        <f>IF(ISNUMBER(AVERAGE('20250815_ETF_Options_Exhibits'!M1628:M1632)),AVERAGE('20250815_ETF_Options_Exhibits'!M1628:M1632),"")</f>
        <v/>
      </c>
      <c r="N1632" s="3">
        <f>IF(ISNUMBER(AVERAGE('20250815_ETF_Options_Exhibits'!N1628:N1632)),AVERAGE('20250815_ETF_Options_Exhibits'!N1628:N1632),"")</f>
        <v/>
      </c>
      <c r="O1632" s="3">
        <f>IF(ISNUMBER(AVERAGE('20250815_ETF_Options_Exhibits'!O1628:O1632)),AVERAGE('20250815_ETF_Options_Exhibits'!O1628:O1632),"")</f>
        <v/>
      </c>
      <c r="P1632" s="3">
        <f>IF(ISNUMBER(AVERAGE('20250815_ETF_Options_Exhibits'!P1628:P1632)),AVERAGE('20250815_ETF_Options_Exhibits'!P1628:P1632),"")</f>
        <v/>
      </c>
      <c r="Q1632" s="3">
        <f>IF(ISNUMBER(AVERAGE('20250815_ETF_Options_Exhibits'!Q1628:Q1632)),AVERAGE('20250815_ETF_Options_Exhibits'!Q1628:Q1632),"")</f>
        <v/>
      </c>
      <c r="R1632" s="3">
        <f>IF(ISNUMBER(AVERAGE('20250815_ETF_Options_Exhibits'!R1628:R1632)),AVERAGE('20250815_ETF_Options_Exhibits'!R1628:R1632),"")</f>
        <v/>
      </c>
      <c r="S1632" s="3">
        <f>IF(ISNUMBER(AVERAGE('20250815_ETF_Options_Exhibits'!S1628:S1632)),AVERAGE('20250815_ETF_Options_Exhibits'!S1628:S1632),"")</f>
        <v/>
      </c>
      <c r="T1632" s="3">
        <f>IF(ISNUMBER(AVERAGE('20250815_ETF_Options_Exhibits'!T1628:T1632)),AVERAGE('20250815_ETF_Options_Exhibits'!T1628:T1632),"")</f>
        <v/>
      </c>
      <c r="U1632" s="3">
        <f>IF(ISNUMBER(AVERAGE('20250815_ETF_Options_Exhibits'!U1628:U1632)),AVERAGE('20250815_ETF_Options_Exhibits'!U1628:U1632),"")</f>
        <v/>
      </c>
      <c r="V1632" s="3">
        <f>IF(ISNUMBER(AVERAGE('20250815_ETF_Options_Exhibits'!V1628:V1632)),AVERAGE('20250815_ETF_Options_Exhibits'!V1628:V1632),"")</f>
        <v/>
      </c>
      <c r="W1632" s="3">
        <f>IF(ISNUMBER(AVERAGE('20250815_ETF_Options_Exhibits'!W1628:W1632)),AVERAGE('20250815_ETF_Options_Exhibits'!W1628:W1632),"")</f>
        <v/>
      </c>
      <c r="X1632" s="3">
        <f>IF(ISNUMBER(AVERAGE('20250815_ETF_Options_Exhibits'!X1628:X1632)),AVERAGE('20250815_ETF_Options_Exhibits'!X1628:X1632),"")</f>
        <v/>
      </c>
      <c r="Y1632" s="3">
        <f>IF(ISNUMBER(AVERAGE('20250815_ETF_Options_Exhibits'!Y1628:Y1632)),AVERAGE('20250815_ETF_Options_Exhibits'!Y1628:Y1632),"")</f>
        <v/>
      </c>
      <c r="Z1632" s="3">
        <f>IF(ISNUMBER(AVERAGE('20250815_ETF_Options_Exhibits'!Z1628:Z1632)),AVERAGE('20250815_ETF_Options_Exhibits'!Z1628:Z1632),"")</f>
        <v/>
      </c>
      <c r="AA1632" s="3">
        <f>IF(ISNUMBER(AVERAGE('20250815_ETF_Options_Exhibits'!AA1628:AA1632)),AVERAGE('20250815_ETF_Options_Exhibits'!AA1628:AA1632),"")</f>
        <v/>
      </c>
    </row>
    <row r="1633">
      <c r="A1633" s="1" t="n">
        <v>44371</v>
      </c>
      <c r="B1633" s="3">
        <f>IF(ISNUMBER(AVERAGE('20250815_ETF_Options_Exhibits'!B1629:B1633)),AVERAGE('20250815_ETF_Options_Exhibits'!B1629:B1633),"")</f>
        <v/>
      </c>
      <c r="C1633" s="3">
        <f>IF(ISNUMBER(AVERAGE('20250815_ETF_Options_Exhibits'!C1629:C1633)),AVERAGE('20250815_ETF_Options_Exhibits'!C1629:C1633),"")</f>
        <v/>
      </c>
      <c r="D1633" s="3">
        <f>IF(ISNUMBER(AVERAGE('20250815_ETF_Options_Exhibits'!D1629:D1633)),AVERAGE('20250815_ETF_Options_Exhibits'!D1629:D1633),"")</f>
        <v/>
      </c>
      <c r="E1633" s="3">
        <f>IF(ISNUMBER(AVERAGE('20250815_ETF_Options_Exhibits'!E1629:E1633)),AVERAGE('20250815_ETF_Options_Exhibits'!E1629:E1633),"")</f>
        <v/>
      </c>
      <c r="F1633" s="3">
        <f>IF(ISNUMBER(AVERAGE('20250815_ETF_Options_Exhibits'!F1629:F1633)),AVERAGE('20250815_ETF_Options_Exhibits'!F1629:F1633),"")</f>
        <v/>
      </c>
      <c r="G1633" s="3">
        <f>IF(ISNUMBER(AVERAGE('20250815_ETF_Options_Exhibits'!G1629:G1633)),AVERAGE('20250815_ETF_Options_Exhibits'!G1629:G1633),"")</f>
        <v/>
      </c>
      <c r="H1633" s="3">
        <f>IF(ISNUMBER(AVERAGE('20250815_ETF_Options_Exhibits'!H1629:H1633)),AVERAGE('20250815_ETF_Options_Exhibits'!H1629:H1633),"")</f>
        <v/>
      </c>
      <c r="I1633" s="3">
        <f>IF(ISNUMBER(AVERAGE('20250815_ETF_Options_Exhibits'!I1629:I1633)),AVERAGE('20250815_ETF_Options_Exhibits'!I1629:I1633),"")</f>
        <v/>
      </c>
      <c r="J1633" s="3">
        <f>IF(ISNUMBER(AVERAGE('20250815_ETF_Options_Exhibits'!J1629:J1633)),AVERAGE('20250815_ETF_Options_Exhibits'!J1629:J1633),"")</f>
        <v/>
      </c>
      <c r="K1633" s="3">
        <f>IF(ISNUMBER(AVERAGE('20250815_ETF_Options_Exhibits'!K1629:K1633)),AVERAGE('20250815_ETF_Options_Exhibits'!K1629:K1633),"")</f>
        <v/>
      </c>
      <c r="L1633" s="3">
        <f>IF(ISNUMBER(AVERAGE('20250815_ETF_Options_Exhibits'!L1629:L1633)),AVERAGE('20250815_ETF_Options_Exhibits'!L1629:L1633),"")</f>
        <v/>
      </c>
      <c r="M1633" s="3">
        <f>IF(ISNUMBER(AVERAGE('20250815_ETF_Options_Exhibits'!M1629:M1633)),AVERAGE('20250815_ETF_Options_Exhibits'!M1629:M1633),"")</f>
        <v/>
      </c>
      <c r="N1633" s="3">
        <f>IF(ISNUMBER(AVERAGE('20250815_ETF_Options_Exhibits'!N1629:N1633)),AVERAGE('20250815_ETF_Options_Exhibits'!N1629:N1633),"")</f>
        <v/>
      </c>
      <c r="O1633" s="3">
        <f>IF(ISNUMBER(AVERAGE('20250815_ETF_Options_Exhibits'!O1629:O1633)),AVERAGE('20250815_ETF_Options_Exhibits'!O1629:O1633),"")</f>
        <v/>
      </c>
      <c r="P1633" s="3">
        <f>IF(ISNUMBER(AVERAGE('20250815_ETF_Options_Exhibits'!P1629:P1633)),AVERAGE('20250815_ETF_Options_Exhibits'!P1629:P1633),"")</f>
        <v/>
      </c>
      <c r="Q1633" s="3">
        <f>IF(ISNUMBER(AVERAGE('20250815_ETF_Options_Exhibits'!Q1629:Q1633)),AVERAGE('20250815_ETF_Options_Exhibits'!Q1629:Q1633),"")</f>
        <v/>
      </c>
      <c r="R1633" s="3">
        <f>IF(ISNUMBER(AVERAGE('20250815_ETF_Options_Exhibits'!R1629:R1633)),AVERAGE('20250815_ETF_Options_Exhibits'!R1629:R1633),"")</f>
        <v/>
      </c>
      <c r="S1633" s="3">
        <f>IF(ISNUMBER(AVERAGE('20250815_ETF_Options_Exhibits'!S1629:S1633)),AVERAGE('20250815_ETF_Options_Exhibits'!S1629:S1633),"")</f>
        <v/>
      </c>
      <c r="T1633" s="3">
        <f>IF(ISNUMBER(AVERAGE('20250815_ETF_Options_Exhibits'!T1629:T1633)),AVERAGE('20250815_ETF_Options_Exhibits'!T1629:T1633),"")</f>
        <v/>
      </c>
      <c r="U1633" s="3">
        <f>IF(ISNUMBER(AVERAGE('20250815_ETF_Options_Exhibits'!U1629:U1633)),AVERAGE('20250815_ETF_Options_Exhibits'!U1629:U1633),"")</f>
        <v/>
      </c>
      <c r="V1633" s="3">
        <f>IF(ISNUMBER(AVERAGE('20250815_ETF_Options_Exhibits'!V1629:V1633)),AVERAGE('20250815_ETF_Options_Exhibits'!V1629:V1633),"")</f>
        <v/>
      </c>
      <c r="W1633" s="3">
        <f>IF(ISNUMBER(AVERAGE('20250815_ETF_Options_Exhibits'!W1629:W1633)),AVERAGE('20250815_ETF_Options_Exhibits'!W1629:W1633),"")</f>
        <v/>
      </c>
      <c r="X1633" s="3">
        <f>IF(ISNUMBER(AVERAGE('20250815_ETF_Options_Exhibits'!X1629:X1633)),AVERAGE('20250815_ETF_Options_Exhibits'!X1629:X1633),"")</f>
        <v/>
      </c>
      <c r="Y1633" s="3">
        <f>IF(ISNUMBER(AVERAGE('20250815_ETF_Options_Exhibits'!Y1629:Y1633)),AVERAGE('20250815_ETF_Options_Exhibits'!Y1629:Y1633),"")</f>
        <v/>
      </c>
      <c r="Z1633" s="3">
        <f>IF(ISNUMBER(AVERAGE('20250815_ETF_Options_Exhibits'!Z1629:Z1633)),AVERAGE('20250815_ETF_Options_Exhibits'!Z1629:Z1633),"")</f>
        <v/>
      </c>
      <c r="AA1633" s="3">
        <f>IF(ISNUMBER(AVERAGE('20250815_ETF_Options_Exhibits'!AA1629:AA1633)),AVERAGE('20250815_ETF_Options_Exhibits'!AA1629:AA1633),"")</f>
        <v/>
      </c>
    </row>
    <row r="1634">
      <c r="A1634" s="1" t="n">
        <v>44372</v>
      </c>
      <c r="B1634" s="3">
        <f>IF(ISNUMBER(AVERAGE('20250815_ETF_Options_Exhibits'!B1630:B1634)),AVERAGE('20250815_ETF_Options_Exhibits'!B1630:B1634),"")</f>
        <v/>
      </c>
      <c r="C1634" s="3">
        <f>IF(ISNUMBER(AVERAGE('20250815_ETF_Options_Exhibits'!C1630:C1634)),AVERAGE('20250815_ETF_Options_Exhibits'!C1630:C1634),"")</f>
        <v/>
      </c>
      <c r="D1634" s="3">
        <f>IF(ISNUMBER(AVERAGE('20250815_ETF_Options_Exhibits'!D1630:D1634)),AVERAGE('20250815_ETF_Options_Exhibits'!D1630:D1634),"")</f>
        <v/>
      </c>
      <c r="E1634" s="3">
        <f>IF(ISNUMBER(AVERAGE('20250815_ETF_Options_Exhibits'!E1630:E1634)),AVERAGE('20250815_ETF_Options_Exhibits'!E1630:E1634),"")</f>
        <v/>
      </c>
      <c r="F1634" s="3">
        <f>IF(ISNUMBER(AVERAGE('20250815_ETF_Options_Exhibits'!F1630:F1634)),AVERAGE('20250815_ETF_Options_Exhibits'!F1630:F1634),"")</f>
        <v/>
      </c>
      <c r="G1634" s="3">
        <f>IF(ISNUMBER(AVERAGE('20250815_ETF_Options_Exhibits'!G1630:G1634)),AVERAGE('20250815_ETF_Options_Exhibits'!G1630:G1634),"")</f>
        <v/>
      </c>
      <c r="H1634" s="3">
        <f>IF(ISNUMBER(AVERAGE('20250815_ETF_Options_Exhibits'!H1630:H1634)),AVERAGE('20250815_ETF_Options_Exhibits'!H1630:H1634),"")</f>
        <v/>
      </c>
      <c r="I1634" s="3">
        <f>IF(ISNUMBER(AVERAGE('20250815_ETF_Options_Exhibits'!I1630:I1634)),AVERAGE('20250815_ETF_Options_Exhibits'!I1630:I1634),"")</f>
        <v/>
      </c>
      <c r="J1634" s="3">
        <f>IF(ISNUMBER(AVERAGE('20250815_ETF_Options_Exhibits'!J1630:J1634)),AVERAGE('20250815_ETF_Options_Exhibits'!J1630:J1634),"")</f>
        <v/>
      </c>
      <c r="K1634" s="3">
        <f>IF(ISNUMBER(AVERAGE('20250815_ETF_Options_Exhibits'!K1630:K1634)),AVERAGE('20250815_ETF_Options_Exhibits'!K1630:K1634),"")</f>
        <v/>
      </c>
      <c r="L1634" s="3">
        <f>IF(ISNUMBER(AVERAGE('20250815_ETF_Options_Exhibits'!L1630:L1634)),AVERAGE('20250815_ETF_Options_Exhibits'!L1630:L1634),"")</f>
        <v/>
      </c>
      <c r="M1634" s="3">
        <f>IF(ISNUMBER(AVERAGE('20250815_ETF_Options_Exhibits'!M1630:M1634)),AVERAGE('20250815_ETF_Options_Exhibits'!M1630:M1634),"")</f>
        <v/>
      </c>
      <c r="N1634" s="3">
        <f>IF(ISNUMBER(AVERAGE('20250815_ETF_Options_Exhibits'!N1630:N1634)),AVERAGE('20250815_ETF_Options_Exhibits'!N1630:N1634),"")</f>
        <v/>
      </c>
      <c r="O1634" s="3">
        <f>IF(ISNUMBER(AVERAGE('20250815_ETF_Options_Exhibits'!O1630:O1634)),AVERAGE('20250815_ETF_Options_Exhibits'!O1630:O1634),"")</f>
        <v/>
      </c>
      <c r="P1634" s="3">
        <f>IF(ISNUMBER(AVERAGE('20250815_ETF_Options_Exhibits'!P1630:P1634)),AVERAGE('20250815_ETF_Options_Exhibits'!P1630:P1634),"")</f>
        <v/>
      </c>
      <c r="Q1634" s="3">
        <f>IF(ISNUMBER(AVERAGE('20250815_ETF_Options_Exhibits'!Q1630:Q1634)),AVERAGE('20250815_ETF_Options_Exhibits'!Q1630:Q1634),"")</f>
        <v/>
      </c>
      <c r="R1634" s="3">
        <f>IF(ISNUMBER(AVERAGE('20250815_ETF_Options_Exhibits'!R1630:R1634)),AVERAGE('20250815_ETF_Options_Exhibits'!R1630:R1634),"")</f>
        <v/>
      </c>
      <c r="S1634" s="3">
        <f>IF(ISNUMBER(AVERAGE('20250815_ETF_Options_Exhibits'!S1630:S1634)),AVERAGE('20250815_ETF_Options_Exhibits'!S1630:S1634),"")</f>
        <v/>
      </c>
      <c r="T1634" s="3">
        <f>IF(ISNUMBER(AVERAGE('20250815_ETF_Options_Exhibits'!T1630:T1634)),AVERAGE('20250815_ETF_Options_Exhibits'!T1630:T1634),"")</f>
        <v/>
      </c>
      <c r="U1634" s="3">
        <f>IF(ISNUMBER(AVERAGE('20250815_ETF_Options_Exhibits'!U1630:U1634)),AVERAGE('20250815_ETF_Options_Exhibits'!U1630:U1634),"")</f>
        <v/>
      </c>
      <c r="V1634" s="3">
        <f>IF(ISNUMBER(AVERAGE('20250815_ETF_Options_Exhibits'!V1630:V1634)),AVERAGE('20250815_ETF_Options_Exhibits'!V1630:V1634),"")</f>
        <v/>
      </c>
      <c r="W1634" s="3">
        <f>IF(ISNUMBER(AVERAGE('20250815_ETF_Options_Exhibits'!W1630:W1634)),AVERAGE('20250815_ETF_Options_Exhibits'!W1630:W1634),"")</f>
        <v/>
      </c>
      <c r="X1634" s="3">
        <f>IF(ISNUMBER(AVERAGE('20250815_ETF_Options_Exhibits'!X1630:X1634)),AVERAGE('20250815_ETF_Options_Exhibits'!X1630:X1634),"")</f>
        <v/>
      </c>
      <c r="Y1634" s="3">
        <f>IF(ISNUMBER(AVERAGE('20250815_ETF_Options_Exhibits'!Y1630:Y1634)),AVERAGE('20250815_ETF_Options_Exhibits'!Y1630:Y1634),"")</f>
        <v/>
      </c>
      <c r="Z1634" s="3">
        <f>IF(ISNUMBER(AVERAGE('20250815_ETF_Options_Exhibits'!Z1630:Z1634)),AVERAGE('20250815_ETF_Options_Exhibits'!Z1630:Z1634),"")</f>
        <v/>
      </c>
      <c r="AA1634" s="3">
        <f>IF(ISNUMBER(AVERAGE('20250815_ETF_Options_Exhibits'!AA1630:AA1634)),AVERAGE('20250815_ETF_Options_Exhibits'!AA1630:AA1634),"")</f>
        <v/>
      </c>
    </row>
    <row r="1635">
      <c r="A1635" s="1" t="n">
        <v>44375</v>
      </c>
      <c r="B1635" s="3">
        <f>IF(ISNUMBER(AVERAGE('20250815_ETF_Options_Exhibits'!B1631:B1635)),AVERAGE('20250815_ETF_Options_Exhibits'!B1631:B1635),"")</f>
        <v/>
      </c>
      <c r="C1635" s="3">
        <f>IF(ISNUMBER(AVERAGE('20250815_ETF_Options_Exhibits'!C1631:C1635)),AVERAGE('20250815_ETF_Options_Exhibits'!C1631:C1635),"")</f>
        <v/>
      </c>
      <c r="D1635" s="3">
        <f>IF(ISNUMBER(AVERAGE('20250815_ETF_Options_Exhibits'!D1631:D1635)),AVERAGE('20250815_ETF_Options_Exhibits'!D1631:D1635),"")</f>
        <v/>
      </c>
      <c r="E1635" s="3">
        <f>IF(ISNUMBER(AVERAGE('20250815_ETF_Options_Exhibits'!E1631:E1635)),AVERAGE('20250815_ETF_Options_Exhibits'!E1631:E1635),"")</f>
        <v/>
      </c>
      <c r="F1635" s="3">
        <f>IF(ISNUMBER(AVERAGE('20250815_ETF_Options_Exhibits'!F1631:F1635)),AVERAGE('20250815_ETF_Options_Exhibits'!F1631:F1635),"")</f>
        <v/>
      </c>
      <c r="G1635" s="3">
        <f>IF(ISNUMBER(AVERAGE('20250815_ETF_Options_Exhibits'!G1631:G1635)),AVERAGE('20250815_ETF_Options_Exhibits'!G1631:G1635),"")</f>
        <v/>
      </c>
      <c r="H1635" s="3">
        <f>IF(ISNUMBER(AVERAGE('20250815_ETF_Options_Exhibits'!H1631:H1635)),AVERAGE('20250815_ETF_Options_Exhibits'!H1631:H1635),"")</f>
        <v/>
      </c>
      <c r="I1635" s="3">
        <f>IF(ISNUMBER(AVERAGE('20250815_ETF_Options_Exhibits'!I1631:I1635)),AVERAGE('20250815_ETF_Options_Exhibits'!I1631:I1635),"")</f>
        <v/>
      </c>
      <c r="J1635" s="3">
        <f>IF(ISNUMBER(AVERAGE('20250815_ETF_Options_Exhibits'!J1631:J1635)),AVERAGE('20250815_ETF_Options_Exhibits'!J1631:J1635),"")</f>
        <v/>
      </c>
      <c r="K1635" s="3">
        <f>IF(ISNUMBER(AVERAGE('20250815_ETF_Options_Exhibits'!K1631:K1635)),AVERAGE('20250815_ETF_Options_Exhibits'!K1631:K1635),"")</f>
        <v/>
      </c>
      <c r="L1635" s="3">
        <f>IF(ISNUMBER(AVERAGE('20250815_ETF_Options_Exhibits'!L1631:L1635)),AVERAGE('20250815_ETF_Options_Exhibits'!L1631:L1635),"")</f>
        <v/>
      </c>
      <c r="M1635" s="3">
        <f>IF(ISNUMBER(AVERAGE('20250815_ETF_Options_Exhibits'!M1631:M1635)),AVERAGE('20250815_ETF_Options_Exhibits'!M1631:M1635),"")</f>
        <v/>
      </c>
      <c r="N1635" s="3">
        <f>IF(ISNUMBER(AVERAGE('20250815_ETF_Options_Exhibits'!N1631:N1635)),AVERAGE('20250815_ETF_Options_Exhibits'!N1631:N1635),"")</f>
        <v/>
      </c>
      <c r="O1635" s="3">
        <f>IF(ISNUMBER(AVERAGE('20250815_ETF_Options_Exhibits'!O1631:O1635)),AVERAGE('20250815_ETF_Options_Exhibits'!O1631:O1635),"")</f>
        <v/>
      </c>
      <c r="P1635" s="3">
        <f>IF(ISNUMBER(AVERAGE('20250815_ETF_Options_Exhibits'!P1631:P1635)),AVERAGE('20250815_ETF_Options_Exhibits'!P1631:P1635),"")</f>
        <v/>
      </c>
      <c r="Q1635" s="3">
        <f>IF(ISNUMBER(AVERAGE('20250815_ETF_Options_Exhibits'!Q1631:Q1635)),AVERAGE('20250815_ETF_Options_Exhibits'!Q1631:Q1635),"")</f>
        <v/>
      </c>
      <c r="R1635" s="3">
        <f>IF(ISNUMBER(AVERAGE('20250815_ETF_Options_Exhibits'!R1631:R1635)),AVERAGE('20250815_ETF_Options_Exhibits'!R1631:R1635),"")</f>
        <v/>
      </c>
      <c r="S1635" s="3">
        <f>IF(ISNUMBER(AVERAGE('20250815_ETF_Options_Exhibits'!S1631:S1635)),AVERAGE('20250815_ETF_Options_Exhibits'!S1631:S1635),"")</f>
        <v/>
      </c>
      <c r="T1635" s="3">
        <f>IF(ISNUMBER(AVERAGE('20250815_ETF_Options_Exhibits'!T1631:T1635)),AVERAGE('20250815_ETF_Options_Exhibits'!T1631:T1635),"")</f>
        <v/>
      </c>
      <c r="U1635" s="3">
        <f>IF(ISNUMBER(AVERAGE('20250815_ETF_Options_Exhibits'!U1631:U1635)),AVERAGE('20250815_ETF_Options_Exhibits'!U1631:U1635),"")</f>
        <v/>
      </c>
      <c r="V1635" s="3">
        <f>IF(ISNUMBER(AVERAGE('20250815_ETF_Options_Exhibits'!V1631:V1635)),AVERAGE('20250815_ETF_Options_Exhibits'!V1631:V1635),"")</f>
        <v/>
      </c>
      <c r="W1635" s="3">
        <f>IF(ISNUMBER(AVERAGE('20250815_ETF_Options_Exhibits'!W1631:W1635)),AVERAGE('20250815_ETF_Options_Exhibits'!W1631:W1635),"")</f>
        <v/>
      </c>
      <c r="X1635" s="3">
        <f>IF(ISNUMBER(AVERAGE('20250815_ETF_Options_Exhibits'!X1631:X1635)),AVERAGE('20250815_ETF_Options_Exhibits'!X1631:X1635),"")</f>
        <v/>
      </c>
      <c r="Y1635" s="3">
        <f>IF(ISNUMBER(AVERAGE('20250815_ETF_Options_Exhibits'!Y1631:Y1635)),AVERAGE('20250815_ETF_Options_Exhibits'!Y1631:Y1635),"")</f>
        <v/>
      </c>
      <c r="Z1635" s="3">
        <f>IF(ISNUMBER(AVERAGE('20250815_ETF_Options_Exhibits'!Z1631:Z1635)),AVERAGE('20250815_ETF_Options_Exhibits'!Z1631:Z1635),"")</f>
        <v/>
      </c>
      <c r="AA1635" s="3">
        <f>IF(ISNUMBER(AVERAGE('20250815_ETF_Options_Exhibits'!AA1631:AA1635)),AVERAGE('20250815_ETF_Options_Exhibits'!AA1631:AA1635),"")</f>
        <v/>
      </c>
    </row>
    <row r="1636">
      <c r="A1636" s="1" t="n">
        <v>44376</v>
      </c>
      <c r="B1636" s="3">
        <f>IF(ISNUMBER(AVERAGE('20250815_ETF_Options_Exhibits'!B1632:B1636)),AVERAGE('20250815_ETF_Options_Exhibits'!B1632:B1636),"")</f>
        <v/>
      </c>
      <c r="C1636" s="3">
        <f>IF(ISNUMBER(AVERAGE('20250815_ETF_Options_Exhibits'!C1632:C1636)),AVERAGE('20250815_ETF_Options_Exhibits'!C1632:C1636),"")</f>
        <v/>
      </c>
      <c r="D1636" s="3">
        <f>IF(ISNUMBER(AVERAGE('20250815_ETF_Options_Exhibits'!D1632:D1636)),AVERAGE('20250815_ETF_Options_Exhibits'!D1632:D1636),"")</f>
        <v/>
      </c>
      <c r="E1636" s="3">
        <f>IF(ISNUMBER(AVERAGE('20250815_ETF_Options_Exhibits'!E1632:E1636)),AVERAGE('20250815_ETF_Options_Exhibits'!E1632:E1636),"")</f>
        <v/>
      </c>
      <c r="F1636" s="3">
        <f>IF(ISNUMBER(AVERAGE('20250815_ETF_Options_Exhibits'!F1632:F1636)),AVERAGE('20250815_ETF_Options_Exhibits'!F1632:F1636),"")</f>
        <v/>
      </c>
      <c r="G1636" s="3">
        <f>IF(ISNUMBER(AVERAGE('20250815_ETF_Options_Exhibits'!G1632:G1636)),AVERAGE('20250815_ETF_Options_Exhibits'!G1632:G1636),"")</f>
        <v/>
      </c>
      <c r="H1636" s="3">
        <f>IF(ISNUMBER(AVERAGE('20250815_ETF_Options_Exhibits'!H1632:H1636)),AVERAGE('20250815_ETF_Options_Exhibits'!H1632:H1636),"")</f>
        <v/>
      </c>
      <c r="I1636" s="3">
        <f>IF(ISNUMBER(AVERAGE('20250815_ETF_Options_Exhibits'!I1632:I1636)),AVERAGE('20250815_ETF_Options_Exhibits'!I1632:I1636),"")</f>
        <v/>
      </c>
      <c r="J1636" s="3">
        <f>IF(ISNUMBER(AVERAGE('20250815_ETF_Options_Exhibits'!J1632:J1636)),AVERAGE('20250815_ETF_Options_Exhibits'!J1632:J1636),"")</f>
        <v/>
      </c>
      <c r="K1636" s="3">
        <f>IF(ISNUMBER(AVERAGE('20250815_ETF_Options_Exhibits'!K1632:K1636)),AVERAGE('20250815_ETF_Options_Exhibits'!K1632:K1636),"")</f>
        <v/>
      </c>
      <c r="L1636" s="3">
        <f>IF(ISNUMBER(AVERAGE('20250815_ETF_Options_Exhibits'!L1632:L1636)),AVERAGE('20250815_ETF_Options_Exhibits'!L1632:L1636),"")</f>
        <v/>
      </c>
      <c r="M1636" s="3">
        <f>IF(ISNUMBER(AVERAGE('20250815_ETF_Options_Exhibits'!M1632:M1636)),AVERAGE('20250815_ETF_Options_Exhibits'!M1632:M1636),"")</f>
        <v/>
      </c>
      <c r="N1636" s="3">
        <f>IF(ISNUMBER(AVERAGE('20250815_ETF_Options_Exhibits'!N1632:N1636)),AVERAGE('20250815_ETF_Options_Exhibits'!N1632:N1636),"")</f>
        <v/>
      </c>
      <c r="O1636" s="3">
        <f>IF(ISNUMBER(AVERAGE('20250815_ETF_Options_Exhibits'!O1632:O1636)),AVERAGE('20250815_ETF_Options_Exhibits'!O1632:O1636),"")</f>
        <v/>
      </c>
      <c r="P1636" s="3">
        <f>IF(ISNUMBER(AVERAGE('20250815_ETF_Options_Exhibits'!P1632:P1636)),AVERAGE('20250815_ETF_Options_Exhibits'!P1632:P1636),"")</f>
        <v/>
      </c>
      <c r="Q1636" s="3">
        <f>IF(ISNUMBER(AVERAGE('20250815_ETF_Options_Exhibits'!Q1632:Q1636)),AVERAGE('20250815_ETF_Options_Exhibits'!Q1632:Q1636),"")</f>
        <v/>
      </c>
      <c r="R1636" s="3">
        <f>IF(ISNUMBER(AVERAGE('20250815_ETF_Options_Exhibits'!R1632:R1636)),AVERAGE('20250815_ETF_Options_Exhibits'!R1632:R1636),"")</f>
        <v/>
      </c>
      <c r="S1636" s="3">
        <f>IF(ISNUMBER(AVERAGE('20250815_ETF_Options_Exhibits'!S1632:S1636)),AVERAGE('20250815_ETF_Options_Exhibits'!S1632:S1636),"")</f>
        <v/>
      </c>
      <c r="T1636" s="3">
        <f>IF(ISNUMBER(AVERAGE('20250815_ETF_Options_Exhibits'!T1632:T1636)),AVERAGE('20250815_ETF_Options_Exhibits'!T1632:T1636),"")</f>
        <v/>
      </c>
      <c r="U1636" s="3">
        <f>IF(ISNUMBER(AVERAGE('20250815_ETF_Options_Exhibits'!U1632:U1636)),AVERAGE('20250815_ETF_Options_Exhibits'!U1632:U1636),"")</f>
        <v/>
      </c>
      <c r="V1636" s="3">
        <f>IF(ISNUMBER(AVERAGE('20250815_ETF_Options_Exhibits'!V1632:V1636)),AVERAGE('20250815_ETF_Options_Exhibits'!V1632:V1636),"")</f>
        <v/>
      </c>
      <c r="W1636" s="3">
        <f>IF(ISNUMBER(AVERAGE('20250815_ETF_Options_Exhibits'!W1632:W1636)),AVERAGE('20250815_ETF_Options_Exhibits'!W1632:W1636),"")</f>
        <v/>
      </c>
      <c r="X1636" s="3">
        <f>IF(ISNUMBER(AVERAGE('20250815_ETF_Options_Exhibits'!X1632:X1636)),AVERAGE('20250815_ETF_Options_Exhibits'!X1632:X1636),"")</f>
        <v/>
      </c>
      <c r="Y1636" s="3">
        <f>IF(ISNUMBER(AVERAGE('20250815_ETF_Options_Exhibits'!Y1632:Y1636)),AVERAGE('20250815_ETF_Options_Exhibits'!Y1632:Y1636),"")</f>
        <v/>
      </c>
      <c r="Z1636" s="3">
        <f>IF(ISNUMBER(AVERAGE('20250815_ETF_Options_Exhibits'!Z1632:Z1636)),AVERAGE('20250815_ETF_Options_Exhibits'!Z1632:Z1636),"")</f>
        <v/>
      </c>
      <c r="AA1636" s="3">
        <f>IF(ISNUMBER(AVERAGE('20250815_ETF_Options_Exhibits'!AA1632:AA1636)),AVERAGE('20250815_ETF_Options_Exhibits'!AA1632:AA1636),"")</f>
        <v/>
      </c>
    </row>
    <row r="1637">
      <c r="A1637" s="1" t="n">
        <v>44377</v>
      </c>
      <c r="B1637" s="3">
        <f>IF(ISNUMBER(AVERAGE('20250815_ETF_Options_Exhibits'!B1633:B1637)),AVERAGE('20250815_ETF_Options_Exhibits'!B1633:B1637),"")</f>
        <v/>
      </c>
      <c r="C1637" s="3">
        <f>IF(ISNUMBER(AVERAGE('20250815_ETF_Options_Exhibits'!C1633:C1637)),AVERAGE('20250815_ETF_Options_Exhibits'!C1633:C1637),"")</f>
        <v/>
      </c>
      <c r="D1637" s="3">
        <f>IF(ISNUMBER(AVERAGE('20250815_ETF_Options_Exhibits'!D1633:D1637)),AVERAGE('20250815_ETF_Options_Exhibits'!D1633:D1637),"")</f>
        <v/>
      </c>
      <c r="E1637" s="3">
        <f>IF(ISNUMBER(AVERAGE('20250815_ETF_Options_Exhibits'!E1633:E1637)),AVERAGE('20250815_ETF_Options_Exhibits'!E1633:E1637),"")</f>
        <v/>
      </c>
      <c r="F1637" s="3">
        <f>IF(ISNUMBER(AVERAGE('20250815_ETF_Options_Exhibits'!F1633:F1637)),AVERAGE('20250815_ETF_Options_Exhibits'!F1633:F1637),"")</f>
        <v/>
      </c>
      <c r="G1637" s="3">
        <f>IF(ISNUMBER(AVERAGE('20250815_ETF_Options_Exhibits'!G1633:G1637)),AVERAGE('20250815_ETF_Options_Exhibits'!G1633:G1637),"")</f>
        <v/>
      </c>
      <c r="H1637" s="3">
        <f>IF(ISNUMBER(AVERAGE('20250815_ETF_Options_Exhibits'!H1633:H1637)),AVERAGE('20250815_ETF_Options_Exhibits'!H1633:H1637),"")</f>
        <v/>
      </c>
      <c r="I1637" s="3">
        <f>IF(ISNUMBER(AVERAGE('20250815_ETF_Options_Exhibits'!I1633:I1637)),AVERAGE('20250815_ETF_Options_Exhibits'!I1633:I1637),"")</f>
        <v/>
      </c>
      <c r="J1637" s="3">
        <f>IF(ISNUMBER(AVERAGE('20250815_ETF_Options_Exhibits'!J1633:J1637)),AVERAGE('20250815_ETF_Options_Exhibits'!J1633:J1637),"")</f>
        <v/>
      </c>
      <c r="K1637" s="3">
        <f>IF(ISNUMBER(AVERAGE('20250815_ETF_Options_Exhibits'!K1633:K1637)),AVERAGE('20250815_ETF_Options_Exhibits'!K1633:K1637),"")</f>
        <v/>
      </c>
      <c r="L1637" s="3">
        <f>IF(ISNUMBER(AVERAGE('20250815_ETF_Options_Exhibits'!L1633:L1637)),AVERAGE('20250815_ETF_Options_Exhibits'!L1633:L1637),"")</f>
        <v/>
      </c>
      <c r="M1637" s="3">
        <f>IF(ISNUMBER(AVERAGE('20250815_ETF_Options_Exhibits'!M1633:M1637)),AVERAGE('20250815_ETF_Options_Exhibits'!M1633:M1637),"")</f>
        <v/>
      </c>
      <c r="N1637" s="3">
        <f>IF(ISNUMBER(AVERAGE('20250815_ETF_Options_Exhibits'!N1633:N1637)),AVERAGE('20250815_ETF_Options_Exhibits'!N1633:N1637),"")</f>
        <v/>
      </c>
      <c r="O1637" s="3">
        <f>IF(ISNUMBER(AVERAGE('20250815_ETF_Options_Exhibits'!O1633:O1637)),AVERAGE('20250815_ETF_Options_Exhibits'!O1633:O1637),"")</f>
        <v/>
      </c>
      <c r="P1637" s="3">
        <f>IF(ISNUMBER(AVERAGE('20250815_ETF_Options_Exhibits'!P1633:P1637)),AVERAGE('20250815_ETF_Options_Exhibits'!P1633:P1637),"")</f>
        <v/>
      </c>
      <c r="Q1637" s="3">
        <f>IF(ISNUMBER(AVERAGE('20250815_ETF_Options_Exhibits'!Q1633:Q1637)),AVERAGE('20250815_ETF_Options_Exhibits'!Q1633:Q1637),"")</f>
        <v/>
      </c>
      <c r="R1637" s="3">
        <f>IF(ISNUMBER(AVERAGE('20250815_ETF_Options_Exhibits'!R1633:R1637)),AVERAGE('20250815_ETF_Options_Exhibits'!R1633:R1637),"")</f>
        <v/>
      </c>
      <c r="S1637" s="3">
        <f>IF(ISNUMBER(AVERAGE('20250815_ETF_Options_Exhibits'!S1633:S1637)),AVERAGE('20250815_ETF_Options_Exhibits'!S1633:S1637),"")</f>
        <v/>
      </c>
      <c r="T1637" s="3">
        <f>IF(ISNUMBER(AVERAGE('20250815_ETF_Options_Exhibits'!T1633:T1637)),AVERAGE('20250815_ETF_Options_Exhibits'!T1633:T1637),"")</f>
        <v/>
      </c>
      <c r="U1637" s="3">
        <f>IF(ISNUMBER(AVERAGE('20250815_ETF_Options_Exhibits'!U1633:U1637)),AVERAGE('20250815_ETF_Options_Exhibits'!U1633:U1637),"")</f>
        <v/>
      </c>
      <c r="V1637" s="3">
        <f>IF(ISNUMBER(AVERAGE('20250815_ETF_Options_Exhibits'!V1633:V1637)),AVERAGE('20250815_ETF_Options_Exhibits'!V1633:V1637),"")</f>
        <v/>
      </c>
      <c r="W1637" s="3">
        <f>IF(ISNUMBER(AVERAGE('20250815_ETF_Options_Exhibits'!W1633:W1637)),AVERAGE('20250815_ETF_Options_Exhibits'!W1633:W1637),"")</f>
        <v/>
      </c>
      <c r="X1637" s="3">
        <f>IF(ISNUMBER(AVERAGE('20250815_ETF_Options_Exhibits'!X1633:X1637)),AVERAGE('20250815_ETF_Options_Exhibits'!X1633:X1637),"")</f>
        <v/>
      </c>
      <c r="Y1637" s="3">
        <f>IF(ISNUMBER(AVERAGE('20250815_ETF_Options_Exhibits'!Y1633:Y1637)),AVERAGE('20250815_ETF_Options_Exhibits'!Y1633:Y1637),"")</f>
        <v/>
      </c>
      <c r="Z1637" s="3">
        <f>IF(ISNUMBER(AVERAGE('20250815_ETF_Options_Exhibits'!Z1633:Z1637)),AVERAGE('20250815_ETF_Options_Exhibits'!Z1633:Z1637),"")</f>
        <v/>
      </c>
      <c r="AA1637" s="3">
        <f>IF(ISNUMBER(AVERAGE('20250815_ETF_Options_Exhibits'!AA1633:AA1637)),AVERAGE('20250815_ETF_Options_Exhibits'!AA1633:AA1637),"")</f>
        <v/>
      </c>
    </row>
    <row r="1638">
      <c r="A1638" s="1" t="n">
        <v>44378</v>
      </c>
      <c r="B1638" s="3">
        <f>IF(ISNUMBER(AVERAGE('20250815_ETF_Options_Exhibits'!B1634:B1638)),AVERAGE('20250815_ETF_Options_Exhibits'!B1634:B1638),"")</f>
        <v/>
      </c>
      <c r="C1638" s="3">
        <f>IF(ISNUMBER(AVERAGE('20250815_ETF_Options_Exhibits'!C1634:C1638)),AVERAGE('20250815_ETF_Options_Exhibits'!C1634:C1638),"")</f>
        <v/>
      </c>
      <c r="D1638" s="3">
        <f>IF(ISNUMBER(AVERAGE('20250815_ETF_Options_Exhibits'!D1634:D1638)),AVERAGE('20250815_ETF_Options_Exhibits'!D1634:D1638),"")</f>
        <v/>
      </c>
      <c r="E1638" s="3">
        <f>IF(ISNUMBER(AVERAGE('20250815_ETF_Options_Exhibits'!E1634:E1638)),AVERAGE('20250815_ETF_Options_Exhibits'!E1634:E1638),"")</f>
        <v/>
      </c>
      <c r="F1638" s="3">
        <f>IF(ISNUMBER(AVERAGE('20250815_ETF_Options_Exhibits'!F1634:F1638)),AVERAGE('20250815_ETF_Options_Exhibits'!F1634:F1638),"")</f>
        <v/>
      </c>
      <c r="G1638" s="3">
        <f>IF(ISNUMBER(AVERAGE('20250815_ETF_Options_Exhibits'!G1634:G1638)),AVERAGE('20250815_ETF_Options_Exhibits'!G1634:G1638),"")</f>
        <v/>
      </c>
      <c r="H1638" s="3">
        <f>IF(ISNUMBER(AVERAGE('20250815_ETF_Options_Exhibits'!H1634:H1638)),AVERAGE('20250815_ETF_Options_Exhibits'!H1634:H1638),"")</f>
        <v/>
      </c>
      <c r="I1638" s="3">
        <f>IF(ISNUMBER(AVERAGE('20250815_ETF_Options_Exhibits'!I1634:I1638)),AVERAGE('20250815_ETF_Options_Exhibits'!I1634:I1638),"")</f>
        <v/>
      </c>
      <c r="J1638" s="3">
        <f>IF(ISNUMBER(AVERAGE('20250815_ETF_Options_Exhibits'!J1634:J1638)),AVERAGE('20250815_ETF_Options_Exhibits'!J1634:J1638),"")</f>
        <v/>
      </c>
      <c r="K1638" s="3">
        <f>IF(ISNUMBER(AVERAGE('20250815_ETF_Options_Exhibits'!K1634:K1638)),AVERAGE('20250815_ETF_Options_Exhibits'!K1634:K1638),"")</f>
        <v/>
      </c>
      <c r="L1638" s="3">
        <f>IF(ISNUMBER(AVERAGE('20250815_ETF_Options_Exhibits'!L1634:L1638)),AVERAGE('20250815_ETF_Options_Exhibits'!L1634:L1638),"")</f>
        <v/>
      </c>
      <c r="M1638" s="3">
        <f>IF(ISNUMBER(AVERAGE('20250815_ETF_Options_Exhibits'!M1634:M1638)),AVERAGE('20250815_ETF_Options_Exhibits'!M1634:M1638),"")</f>
        <v/>
      </c>
      <c r="N1638" s="3">
        <f>IF(ISNUMBER(AVERAGE('20250815_ETF_Options_Exhibits'!N1634:N1638)),AVERAGE('20250815_ETF_Options_Exhibits'!N1634:N1638),"")</f>
        <v/>
      </c>
      <c r="O1638" s="3">
        <f>IF(ISNUMBER(AVERAGE('20250815_ETF_Options_Exhibits'!O1634:O1638)),AVERAGE('20250815_ETF_Options_Exhibits'!O1634:O1638),"")</f>
        <v/>
      </c>
      <c r="P1638" s="3">
        <f>IF(ISNUMBER(AVERAGE('20250815_ETF_Options_Exhibits'!P1634:P1638)),AVERAGE('20250815_ETF_Options_Exhibits'!P1634:P1638),"")</f>
        <v/>
      </c>
      <c r="Q1638" s="3">
        <f>IF(ISNUMBER(AVERAGE('20250815_ETF_Options_Exhibits'!Q1634:Q1638)),AVERAGE('20250815_ETF_Options_Exhibits'!Q1634:Q1638),"")</f>
        <v/>
      </c>
      <c r="R1638" s="3">
        <f>IF(ISNUMBER(AVERAGE('20250815_ETF_Options_Exhibits'!R1634:R1638)),AVERAGE('20250815_ETF_Options_Exhibits'!R1634:R1638),"")</f>
        <v/>
      </c>
      <c r="S1638" s="3">
        <f>IF(ISNUMBER(AVERAGE('20250815_ETF_Options_Exhibits'!S1634:S1638)),AVERAGE('20250815_ETF_Options_Exhibits'!S1634:S1638),"")</f>
        <v/>
      </c>
      <c r="T1638" s="3">
        <f>IF(ISNUMBER(AVERAGE('20250815_ETF_Options_Exhibits'!T1634:T1638)),AVERAGE('20250815_ETF_Options_Exhibits'!T1634:T1638),"")</f>
        <v/>
      </c>
      <c r="U1638" s="3">
        <f>IF(ISNUMBER(AVERAGE('20250815_ETF_Options_Exhibits'!U1634:U1638)),AVERAGE('20250815_ETF_Options_Exhibits'!U1634:U1638),"")</f>
        <v/>
      </c>
      <c r="V1638" s="3">
        <f>IF(ISNUMBER(AVERAGE('20250815_ETF_Options_Exhibits'!V1634:V1638)),AVERAGE('20250815_ETF_Options_Exhibits'!V1634:V1638),"")</f>
        <v/>
      </c>
      <c r="W1638" s="3">
        <f>IF(ISNUMBER(AVERAGE('20250815_ETF_Options_Exhibits'!W1634:W1638)),AVERAGE('20250815_ETF_Options_Exhibits'!W1634:W1638),"")</f>
        <v/>
      </c>
      <c r="X1638" s="3">
        <f>IF(ISNUMBER(AVERAGE('20250815_ETF_Options_Exhibits'!X1634:X1638)),AVERAGE('20250815_ETF_Options_Exhibits'!X1634:X1638),"")</f>
        <v/>
      </c>
      <c r="Y1638" s="3">
        <f>IF(ISNUMBER(AVERAGE('20250815_ETF_Options_Exhibits'!Y1634:Y1638)),AVERAGE('20250815_ETF_Options_Exhibits'!Y1634:Y1638),"")</f>
        <v/>
      </c>
      <c r="Z1638" s="3">
        <f>IF(ISNUMBER(AVERAGE('20250815_ETF_Options_Exhibits'!Z1634:Z1638)),AVERAGE('20250815_ETF_Options_Exhibits'!Z1634:Z1638),"")</f>
        <v/>
      </c>
      <c r="AA1638" s="3">
        <f>IF(ISNUMBER(AVERAGE('20250815_ETF_Options_Exhibits'!AA1634:AA1638)),AVERAGE('20250815_ETF_Options_Exhibits'!AA1634:AA1638),"")</f>
        <v/>
      </c>
    </row>
    <row r="1639">
      <c r="A1639" s="1" t="n">
        <v>44379</v>
      </c>
      <c r="B1639" s="3">
        <f>IF(ISNUMBER(AVERAGE('20250815_ETF_Options_Exhibits'!B1635:B1639)),AVERAGE('20250815_ETF_Options_Exhibits'!B1635:B1639),"")</f>
        <v/>
      </c>
      <c r="C1639" s="3">
        <f>IF(ISNUMBER(AVERAGE('20250815_ETF_Options_Exhibits'!C1635:C1639)),AVERAGE('20250815_ETF_Options_Exhibits'!C1635:C1639),"")</f>
        <v/>
      </c>
      <c r="D1639" s="3">
        <f>IF(ISNUMBER(AVERAGE('20250815_ETF_Options_Exhibits'!D1635:D1639)),AVERAGE('20250815_ETF_Options_Exhibits'!D1635:D1639),"")</f>
        <v/>
      </c>
      <c r="E1639" s="3">
        <f>IF(ISNUMBER(AVERAGE('20250815_ETF_Options_Exhibits'!E1635:E1639)),AVERAGE('20250815_ETF_Options_Exhibits'!E1635:E1639),"")</f>
        <v/>
      </c>
      <c r="F1639" s="3">
        <f>IF(ISNUMBER(AVERAGE('20250815_ETF_Options_Exhibits'!F1635:F1639)),AVERAGE('20250815_ETF_Options_Exhibits'!F1635:F1639),"")</f>
        <v/>
      </c>
      <c r="G1639" s="3">
        <f>IF(ISNUMBER(AVERAGE('20250815_ETF_Options_Exhibits'!G1635:G1639)),AVERAGE('20250815_ETF_Options_Exhibits'!G1635:G1639),"")</f>
        <v/>
      </c>
      <c r="H1639" s="3">
        <f>IF(ISNUMBER(AVERAGE('20250815_ETF_Options_Exhibits'!H1635:H1639)),AVERAGE('20250815_ETF_Options_Exhibits'!H1635:H1639),"")</f>
        <v/>
      </c>
      <c r="I1639" s="3">
        <f>IF(ISNUMBER(AVERAGE('20250815_ETF_Options_Exhibits'!I1635:I1639)),AVERAGE('20250815_ETF_Options_Exhibits'!I1635:I1639),"")</f>
        <v/>
      </c>
      <c r="J1639" s="3">
        <f>IF(ISNUMBER(AVERAGE('20250815_ETF_Options_Exhibits'!J1635:J1639)),AVERAGE('20250815_ETF_Options_Exhibits'!J1635:J1639),"")</f>
        <v/>
      </c>
      <c r="K1639" s="3">
        <f>IF(ISNUMBER(AVERAGE('20250815_ETF_Options_Exhibits'!K1635:K1639)),AVERAGE('20250815_ETF_Options_Exhibits'!K1635:K1639),"")</f>
        <v/>
      </c>
      <c r="L1639" s="3">
        <f>IF(ISNUMBER(AVERAGE('20250815_ETF_Options_Exhibits'!L1635:L1639)),AVERAGE('20250815_ETF_Options_Exhibits'!L1635:L1639),"")</f>
        <v/>
      </c>
      <c r="M1639" s="3">
        <f>IF(ISNUMBER(AVERAGE('20250815_ETF_Options_Exhibits'!M1635:M1639)),AVERAGE('20250815_ETF_Options_Exhibits'!M1635:M1639),"")</f>
        <v/>
      </c>
      <c r="N1639" s="3">
        <f>IF(ISNUMBER(AVERAGE('20250815_ETF_Options_Exhibits'!N1635:N1639)),AVERAGE('20250815_ETF_Options_Exhibits'!N1635:N1639),"")</f>
        <v/>
      </c>
      <c r="O1639" s="3">
        <f>IF(ISNUMBER(AVERAGE('20250815_ETF_Options_Exhibits'!O1635:O1639)),AVERAGE('20250815_ETF_Options_Exhibits'!O1635:O1639),"")</f>
        <v/>
      </c>
      <c r="P1639" s="3">
        <f>IF(ISNUMBER(AVERAGE('20250815_ETF_Options_Exhibits'!P1635:P1639)),AVERAGE('20250815_ETF_Options_Exhibits'!P1635:P1639),"")</f>
        <v/>
      </c>
      <c r="Q1639" s="3">
        <f>IF(ISNUMBER(AVERAGE('20250815_ETF_Options_Exhibits'!Q1635:Q1639)),AVERAGE('20250815_ETF_Options_Exhibits'!Q1635:Q1639),"")</f>
        <v/>
      </c>
      <c r="R1639" s="3">
        <f>IF(ISNUMBER(AVERAGE('20250815_ETF_Options_Exhibits'!R1635:R1639)),AVERAGE('20250815_ETF_Options_Exhibits'!R1635:R1639),"")</f>
        <v/>
      </c>
      <c r="S1639" s="3">
        <f>IF(ISNUMBER(AVERAGE('20250815_ETF_Options_Exhibits'!S1635:S1639)),AVERAGE('20250815_ETF_Options_Exhibits'!S1635:S1639),"")</f>
        <v/>
      </c>
      <c r="T1639" s="3">
        <f>IF(ISNUMBER(AVERAGE('20250815_ETF_Options_Exhibits'!T1635:T1639)),AVERAGE('20250815_ETF_Options_Exhibits'!T1635:T1639),"")</f>
        <v/>
      </c>
      <c r="U1639" s="3">
        <f>IF(ISNUMBER(AVERAGE('20250815_ETF_Options_Exhibits'!U1635:U1639)),AVERAGE('20250815_ETF_Options_Exhibits'!U1635:U1639),"")</f>
        <v/>
      </c>
      <c r="V1639" s="3">
        <f>IF(ISNUMBER(AVERAGE('20250815_ETF_Options_Exhibits'!V1635:V1639)),AVERAGE('20250815_ETF_Options_Exhibits'!V1635:V1639),"")</f>
        <v/>
      </c>
      <c r="W1639" s="3">
        <f>IF(ISNUMBER(AVERAGE('20250815_ETF_Options_Exhibits'!W1635:W1639)),AVERAGE('20250815_ETF_Options_Exhibits'!W1635:W1639),"")</f>
        <v/>
      </c>
      <c r="X1639" s="3">
        <f>IF(ISNUMBER(AVERAGE('20250815_ETF_Options_Exhibits'!X1635:X1639)),AVERAGE('20250815_ETF_Options_Exhibits'!X1635:X1639),"")</f>
        <v/>
      </c>
      <c r="Y1639" s="3">
        <f>IF(ISNUMBER(AVERAGE('20250815_ETF_Options_Exhibits'!Y1635:Y1639)),AVERAGE('20250815_ETF_Options_Exhibits'!Y1635:Y1639),"")</f>
        <v/>
      </c>
      <c r="Z1639" s="3">
        <f>IF(ISNUMBER(AVERAGE('20250815_ETF_Options_Exhibits'!Z1635:Z1639)),AVERAGE('20250815_ETF_Options_Exhibits'!Z1635:Z1639),"")</f>
        <v/>
      </c>
      <c r="AA1639" s="3">
        <f>IF(ISNUMBER(AVERAGE('20250815_ETF_Options_Exhibits'!AA1635:AA1639)),AVERAGE('20250815_ETF_Options_Exhibits'!AA1635:AA1639),"")</f>
        <v/>
      </c>
    </row>
    <row r="1640">
      <c r="A1640" s="1" t="n">
        <v>44383</v>
      </c>
      <c r="B1640" s="3">
        <f>IF(ISNUMBER(AVERAGE('20250815_ETF_Options_Exhibits'!B1636:B1640)),AVERAGE('20250815_ETF_Options_Exhibits'!B1636:B1640),"")</f>
        <v/>
      </c>
      <c r="C1640" s="3">
        <f>IF(ISNUMBER(AVERAGE('20250815_ETF_Options_Exhibits'!C1636:C1640)),AVERAGE('20250815_ETF_Options_Exhibits'!C1636:C1640),"")</f>
        <v/>
      </c>
      <c r="D1640" s="3">
        <f>IF(ISNUMBER(AVERAGE('20250815_ETF_Options_Exhibits'!D1636:D1640)),AVERAGE('20250815_ETF_Options_Exhibits'!D1636:D1640),"")</f>
        <v/>
      </c>
      <c r="E1640" s="3">
        <f>IF(ISNUMBER(AVERAGE('20250815_ETF_Options_Exhibits'!E1636:E1640)),AVERAGE('20250815_ETF_Options_Exhibits'!E1636:E1640),"")</f>
        <v/>
      </c>
      <c r="F1640" s="3">
        <f>IF(ISNUMBER(AVERAGE('20250815_ETF_Options_Exhibits'!F1636:F1640)),AVERAGE('20250815_ETF_Options_Exhibits'!F1636:F1640),"")</f>
        <v/>
      </c>
      <c r="G1640" s="3">
        <f>IF(ISNUMBER(AVERAGE('20250815_ETF_Options_Exhibits'!G1636:G1640)),AVERAGE('20250815_ETF_Options_Exhibits'!G1636:G1640),"")</f>
        <v/>
      </c>
      <c r="H1640" s="3">
        <f>IF(ISNUMBER(AVERAGE('20250815_ETF_Options_Exhibits'!H1636:H1640)),AVERAGE('20250815_ETF_Options_Exhibits'!H1636:H1640),"")</f>
        <v/>
      </c>
      <c r="I1640" s="3">
        <f>IF(ISNUMBER(AVERAGE('20250815_ETF_Options_Exhibits'!I1636:I1640)),AVERAGE('20250815_ETF_Options_Exhibits'!I1636:I1640),"")</f>
        <v/>
      </c>
      <c r="J1640" s="3">
        <f>IF(ISNUMBER(AVERAGE('20250815_ETF_Options_Exhibits'!J1636:J1640)),AVERAGE('20250815_ETF_Options_Exhibits'!J1636:J1640),"")</f>
        <v/>
      </c>
      <c r="K1640" s="3">
        <f>IF(ISNUMBER(AVERAGE('20250815_ETF_Options_Exhibits'!K1636:K1640)),AVERAGE('20250815_ETF_Options_Exhibits'!K1636:K1640),"")</f>
        <v/>
      </c>
      <c r="L1640" s="3">
        <f>IF(ISNUMBER(AVERAGE('20250815_ETF_Options_Exhibits'!L1636:L1640)),AVERAGE('20250815_ETF_Options_Exhibits'!L1636:L1640),"")</f>
        <v/>
      </c>
      <c r="M1640" s="3">
        <f>IF(ISNUMBER(AVERAGE('20250815_ETF_Options_Exhibits'!M1636:M1640)),AVERAGE('20250815_ETF_Options_Exhibits'!M1636:M1640),"")</f>
        <v/>
      </c>
      <c r="N1640" s="3">
        <f>IF(ISNUMBER(AVERAGE('20250815_ETF_Options_Exhibits'!N1636:N1640)),AVERAGE('20250815_ETF_Options_Exhibits'!N1636:N1640),"")</f>
        <v/>
      </c>
      <c r="O1640" s="3">
        <f>IF(ISNUMBER(AVERAGE('20250815_ETF_Options_Exhibits'!O1636:O1640)),AVERAGE('20250815_ETF_Options_Exhibits'!O1636:O1640),"")</f>
        <v/>
      </c>
      <c r="P1640" s="3">
        <f>IF(ISNUMBER(AVERAGE('20250815_ETF_Options_Exhibits'!P1636:P1640)),AVERAGE('20250815_ETF_Options_Exhibits'!P1636:P1640),"")</f>
        <v/>
      </c>
      <c r="Q1640" s="3">
        <f>IF(ISNUMBER(AVERAGE('20250815_ETF_Options_Exhibits'!Q1636:Q1640)),AVERAGE('20250815_ETF_Options_Exhibits'!Q1636:Q1640),"")</f>
        <v/>
      </c>
      <c r="R1640" s="3">
        <f>IF(ISNUMBER(AVERAGE('20250815_ETF_Options_Exhibits'!R1636:R1640)),AVERAGE('20250815_ETF_Options_Exhibits'!R1636:R1640),"")</f>
        <v/>
      </c>
      <c r="S1640" s="3">
        <f>IF(ISNUMBER(AVERAGE('20250815_ETF_Options_Exhibits'!S1636:S1640)),AVERAGE('20250815_ETF_Options_Exhibits'!S1636:S1640),"")</f>
        <v/>
      </c>
      <c r="T1640" s="3">
        <f>IF(ISNUMBER(AVERAGE('20250815_ETF_Options_Exhibits'!T1636:T1640)),AVERAGE('20250815_ETF_Options_Exhibits'!T1636:T1640),"")</f>
        <v/>
      </c>
      <c r="U1640" s="3">
        <f>IF(ISNUMBER(AVERAGE('20250815_ETF_Options_Exhibits'!U1636:U1640)),AVERAGE('20250815_ETF_Options_Exhibits'!U1636:U1640),"")</f>
        <v/>
      </c>
      <c r="V1640" s="3">
        <f>IF(ISNUMBER(AVERAGE('20250815_ETF_Options_Exhibits'!V1636:V1640)),AVERAGE('20250815_ETF_Options_Exhibits'!V1636:V1640),"")</f>
        <v/>
      </c>
      <c r="W1640" s="3">
        <f>IF(ISNUMBER(AVERAGE('20250815_ETF_Options_Exhibits'!W1636:W1640)),AVERAGE('20250815_ETF_Options_Exhibits'!W1636:W1640),"")</f>
        <v/>
      </c>
      <c r="X1640" s="3">
        <f>IF(ISNUMBER(AVERAGE('20250815_ETF_Options_Exhibits'!X1636:X1640)),AVERAGE('20250815_ETF_Options_Exhibits'!X1636:X1640),"")</f>
        <v/>
      </c>
      <c r="Y1640" s="3">
        <f>IF(ISNUMBER(AVERAGE('20250815_ETF_Options_Exhibits'!Y1636:Y1640)),AVERAGE('20250815_ETF_Options_Exhibits'!Y1636:Y1640),"")</f>
        <v/>
      </c>
      <c r="Z1640" s="3">
        <f>IF(ISNUMBER(AVERAGE('20250815_ETF_Options_Exhibits'!Z1636:Z1640)),AVERAGE('20250815_ETF_Options_Exhibits'!Z1636:Z1640),"")</f>
        <v/>
      </c>
      <c r="AA1640" s="3">
        <f>IF(ISNUMBER(AVERAGE('20250815_ETF_Options_Exhibits'!AA1636:AA1640)),AVERAGE('20250815_ETF_Options_Exhibits'!AA1636:AA1640),"")</f>
        <v/>
      </c>
    </row>
    <row r="1641">
      <c r="A1641" s="1" t="n">
        <v>44384</v>
      </c>
      <c r="B1641" s="3">
        <f>IF(ISNUMBER(AVERAGE('20250815_ETF_Options_Exhibits'!B1637:B1641)),AVERAGE('20250815_ETF_Options_Exhibits'!B1637:B1641),"")</f>
        <v/>
      </c>
      <c r="C1641" s="3">
        <f>IF(ISNUMBER(AVERAGE('20250815_ETF_Options_Exhibits'!C1637:C1641)),AVERAGE('20250815_ETF_Options_Exhibits'!C1637:C1641),"")</f>
        <v/>
      </c>
      <c r="D1641" s="3">
        <f>IF(ISNUMBER(AVERAGE('20250815_ETF_Options_Exhibits'!D1637:D1641)),AVERAGE('20250815_ETF_Options_Exhibits'!D1637:D1641),"")</f>
        <v/>
      </c>
      <c r="E1641" s="3">
        <f>IF(ISNUMBER(AVERAGE('20250815_ETF_Options_Exhibits'!E1637:E1641)),AVERAGE('20250815_ETF_Options_Exhibits'!E1637:E1641),"")</f>
        <v/>
      </c>
      <c r="F1641" s="3">
        <f>IF(ISNUMBER(AVERAGE('20250815_ETF_Options_Exhibits'!F1637:F1641)),AVERAGE('20250815_ETF_Options_Exhibits'!F1637:F1641),"")</f>
        <v/>
      </c>
      <c r="G1641" s="3">
        <f>IF(ISNUMBER(AVERAGE('20250815_ETF_Options_Exhibits'!G1637:G1641)),AVERAGE('20250815_ETF_Options_Exhibits'!G1637:G1641),"")</f>
        <v/>
      </c>
      <c r="H1641" s="3">
        <f>IF(ISNUMBER(AVERAGE('20250815_ETF_Options_Exhibits'!H1637:H1641)),AVERAGE('20250815_ETF_Options_Exhibits'!H1637:H1641),"")</f>
        <v/>
      </c>
      <c r="I1641" s="3">
        <f>IF(ISNUMBER(AVERAGE('20250815_ETF_Options_Exhibits'!I1637:I1641)),AVERAGE('20250815_ETF_Options_Exhibits'!I1637:I1641),"")</f>
        <v/>
      </c>
      <c r="J1641" s="3">
        <f>IF(ISNUMBER(AVERAGE('20250815_ETF_Options_Exhibits'!J1637:J1641)),AVERAGE('20250815_ETF_Options_Exhibits'!J1637:J1641),"")</f>
        <v/>
      </c>
      <c r="K1641" s="3">
        <f>IF(ISNUMBER(AVERAGE('20250815_ETF_Options_Exhibits'!K1637:K1641)),AVERAGE('20250815_ETF_Options_Exhibits'!K1637:K1641),"")</f>
        <v/>
      </c>
      <c r="L1641" s="3">
        <f>IF(ISNUMBER(AVERAGE('20250815_ETF_Options_Exhibits'!L1637:L1641)),AVERAGE('20250815_ETF_Options_Exhibits'!L1637:L1641),"")</f>
        <v/>
      </c>
      <c r="M1641" s="3">
        <f>IF(ISNUMBER(AVERAGE('20250815_ETF_Options_Exhibits'!M1637:M1641)),AVERAGE('20250815_ETF_Options_Exhibits'!M1637:M1641),"")</f>
        <v/>
      </c>
      <c r="N1641" s="3">
        <f>IF(ISNUMBER(AVERAGE('20250815_ETF_Options_Exhibits'!N1637:N1641)),AVERAGE('20250815_ETF_Options_Exhibits'!N1637:N1641),"")</f>
        <v/>
      </c>
      <c r="O1641" s="3">
        <f>IF(ISNUMBER(AVERAGE('20250815_ETF_Options_Exhibits'!O1637:O1641)),AVERAGE('20250815_ETF_Options_Exhibits'!O1637:O1641),"")</f>
        <v/>
      </c>
      <c r="P1641" s="3">
        <f>IF(ISNUMBER(AVERAGE('20250815_ETF_Options_Exhibits'!P1637:P1641)),AVERAGE('20250815_ETF_Options_Exhibits'!P1637:P1641),"")</f>
        <v/>
      </c>
      <c r="Q1641" s="3">
        <f>IF(ISNUMBER(AVERAGE('20250815_ETF_Options_Exhibits'!Q1637:Q1641)),AVERAGE('20250815_ETF_Options_Exhibits'!Q1637:Q1641),"")</f>
        <v/>
      </c>
      <c r="R1641" s="3">
        <f>IF(ISNUMBER(AVERAGE('20250815_ETF_Options_Exhibits'!R1637:R1641)),AVERAGE('20250815_ETF_Options_Exhibits'!R1637:R1641),"")</f>
        <v/>
      </c>
      <c r="S1641" s="3">
        <f>IF(ISNUMBER(AVERAGE('20250815_ETF_Options_Exhibits'!S1637:S1641)),AVERAGE('20250815_ETF_Options_Exhibits'!S1637:S1641),"")</f>
        <v/>
      </c>
      <c r="T1641" s="3">
        <f>IF(ISNUMBER(AVERAGE('20250815_ETF_Options_Exhibits'!T1637:T1641)),AVERAGE('20250815_ETF_Options_Exhibits'!T1637:T1641),"")</f>
        <v/>
      </c>
      <c r="U1641" s="3">
        <f>IF(ISNUMBER(AVERAGE('20250815_ETF_Options_Exhibits'!U1637:U1641)),AVERAGE('20250815_ETF_Options_Exhibits'!U1637:U1641),"")</f>
        <v/>
      </c>
      <c r="V1641" s="3">
        <f>IF(ISNUMBER(AVERAGE('20250815_ETF_Options_Exhibits'!V1637:V1641)),AVERAGE('20250815_ETF_Options_Exhibits'!V1637:V1641),"")</f>
        <v/>
      </c>
      <c r="W1641" s="3">
        <f>IF(ISNUMBER(AVERAGE('20250815_ETF_Options_Exhibits'!W1637:W1641)),AVERAGE('20250815_ETF_Options_Exhibits'!W1637:W1641),"")</f>
        <v/>
      </c>
      <c r="X1641" s="3">
        <f>IF(ISNUMBER(AVERAGE('20250815_ETF_Options_Exhibits'!X1637:X1641)),AVERAGE('20250815_ETF_Options_Exhibits'!X1637:X1641),"")</f>
        <v/>
      </c>
      <c r="Y1641" s="3">
        <f>IF(ISNUMBER(AVERAGE('20250815_ETF_Options_Exhibits'!Y1637:Y1641)),AVERAGE('20250815_ETF_Options_Exhibits'!Y1637:Y1641),"")</f>
        <v/>
      </c>
      <c r="Z1641" s="3">
        <f>IF(ISNUMBER(AVERAGE('20250815_ETF_Options_Exhibits'!Z1637:Z1641)),AVERAGE('20250815_ETF_Options_Exhibits'!Z1637:Z1641),"")</f>
        <v/>
      </c>
      <c r="AA1641" s="3">
        <f>IF(ISNUMBER(AVERAGE('20250815_ETF_Options_Exhibits'!AA1637:AA1641)),AVERAGE('20250815_ETF_Options_Exhibits'!AA1637:AA1641),"")</f>
        <v/>
      </c>
    </row>
    <row r="1642">
      <c r="A1642" s="1" t="n">
        <v>44385</v>
      </c>
      <c r="B1642" s="3">
        <f>IF(ISNUMBER(AVERAGE('20250815_ETF_Options_Exhibits'!B1638:B1642)),AVERAGE('20250815_ETF_Options_Exhibits'!B1638:B1642),"")</f>
        <v/>
      </c>
      <c r="C1642" s="3">
        <f>IF(ISNUMBER(AVERAGE('20250815_ETF_Options_Exhibits'!C1638:C1642)),AVERAGE('20250815_ETF_Options_Exhibits'!C1638:C1642),"")</f>
        <v/>
      </c>
      <c r="D1642" s="3">
        <f>IF(ISNUMBER(AVERAGE('20250815_ETF_Options_Exhibits'!D1638:D1642)),AVERAGE('20250815_ETF_Options_Exhibits'!D1638:D1642),"")</f>
        <v/>
      </c>
      <c r="E1642" s="3">
        <f>IF(ISNUMBER(AVERAGE('20250815_ETF_Options_Exhibits'!E1638:E1642)),AVERAGE('20250815_ETF_Options_Exhibits'!E1638:E1642),"")</f>
        <v/>
      </c>
      <c r="F1642" s="3">
        <f>IF(ISNUMBER(AVERAGE('20250815_ETF_Options_Exhibits'!F1638:F1642)),AVERAGE('20250815_ETF_Options_Exhibits'!F1638:F1642),"")</f>
        <v/>
      </c>
      <c r="G1642" s="3">
        <f>IF(ISNUMBER(AVERAGE('20250815_ETF_Options_Exhibits'!G1638:G1642)),AVERAGE('20250815_ETF_Options_Exhibits'!G1638:G1642),"")</f>
        <v/>
      </c>
      <c r="H1642" s="3">
        <f>IF(ISNUMBER(AVERAGE('20250815_ETF_Options_Exhibits'!H1638:H1642)),AVERAGE('20250815_ETF_Options_Exhibits'!H1638:H1642),"")</f>
        <v/>
      </c>
      <c r="I1642" s="3">
        <f>IF(ISNUMBER(AVERAGE('20250815_ETF_Options_Exhibits'!I1638:I1642)),AVERAGE('20250815_ETF_Options_Exhibits'!I1638:I1642),"")</f>
        <v/>
      </c>
      <c r="J1642" s="3">
        <f>IF(ISNUMBER(AVERAGE('20250815_ETF_Options_Exhibits'!J1638:J1642)),AVERAGE('20250815_ETF_Options_Exhibits'!J1638:J1642),"")</f>
        <v/>
      </c>
      <c r="K1642" s="3">
        <f>IF(ISNUMBER(AVERAGE('20250815_ETF_Options_Exhibits'!K1638:K1642)),AVERAGE('20250815_ETF_Options_Exhibits'!K1638:K1642),"")</f>
        <v/>
      </c>
      <c r="L1642" s="3">
        <f>IF(ISNUMBER(AVERAGE('20250815_ETF_Options_Exhibits'!L1638:L1642)),AVERAGE('20250815_ETF_Options_Exhibits'!L1638:L1642),"")</f>
        <v/>
      </c>
      <c r="M1642" s="3">
        <f>IF(ISNUMBER(AVERAGE('20250815_ETF_Options_Exhibits'!M1638:M1642)),AVERAGE('20250815_ETF_Options_Exhibits'!M1638:M1642),"")</f>
        <v/>
      </c>
      <c r="N1642" s="3">
        <f>IF(ISNUMBER(AVERAGE('20250815_ETF_Options_Exhibits'!N1638:N1642)),AVERAGE('20250815_ETF_Options_Exhibits'!N1638:N1642),"")</f>
        <v/>
      </c>
      <c r="O1642" s="3">
        <f>IF(ISNUMBER(AVERAGE('20250815_ETF_Options_Exhibits'!O1638:O1642)),AVERAGE('20250815_ETF_Options_Exhibits'!O1638:O1642),"")</f>
        <v/>
      </c>
      <c r="P1642" s="3">
        <f>IF(ISNUMBER(AVERAGE('20250815_ETF_Options_Exhibits'!P1638:P1642)),AVERAGE('20250815_ETF_Options_Exhibits'!P1638:P1642),"")</f>
        <v/>
      </c>
      <c r="Q1642" s="3">
        <f>IF(ISNUMBER(AVERAGE('20250815_ETF_Options_Exhibits'!Q1638:Q1642)),AVERAGE('20250815_ETF_Options_Exhibits'!Q1638:Q1642),"")</f>
        <v/>
      </c>
      <c r="R1642" s="3">
        <f>IF(ISNUMBER(AVERAGE('20250815_ETF_Options_Exhibits'!R1638:R1642)),AVERAGE('20250815_ETF_Options_Exhibits'!R1638:R1642),"")</f>
        <v/>
      </c>
      <c r="S1642" s="3">
        <f>IF(ISNUMBER(AVERAGE('20250815_ETF_Options_Exhibits'!S1638:S1642)),AVERAGE('20250815_ETF_Options_Exhibits'!S1638:S1642),"")</f>
        <v/>
      </c>
      <c r="T1642" s="3">
        <f>IF(ISNUMBER(AVERAGE('20250815_ETF_Options_Exhibits'!T1638:T1642)),AVERAGE('20250815_ETF_Options_Exhibits'!T1638:T1642),"")</f>
        <v/>
      </c>
      <c r="U1642" s="3">
        <f>IF(ISNUMBER(AVERAGE('20250815_ETF_Options_Exhibits'!U1638:U1642)),AVERAGE('20250815_ETF_Options_Exhibits'!U1638:U1642),"")</f>
        <v/>
      </c>
      <c r="V1642" s="3">
        <f>IF(ISNUMBER(AVERAGE('20250815_ETF_Options_Exhibits'!V1638:V1642)),AVERAGE('20250815_ETF_Options_Exhibits'!V1638:V1642),"")</f>
        <v/>
      </c>
      <c r="W1642" s="3">
        <f>IF(ISNUMBER(AVERAGE('20250815_ETF_Options_Exhibits'!W1638:W1642)),AVERAGE('20250815_ETF_Options_Exhibits'!W1638:W1642),"")</f>
        <v/>
      </c>
      <c r="X1642" s="3">
        <f>IF(ISNUMBER(AVERAGE('20250815_ETF_Options_Exhibits'!X1638:X1642)),AVERAGE('20250815_ETF_Options_Exhibits'!X1638:X1642),"")</f>
        <v/>
      </c>
      <c r="Y1642" s="3">
        <f>IF(ISNUMBER(AVERAGE('20250815_ETF_Options_Exhibits'!Y1638:Y1642)),AVERAGE('20250815_ETF_Options_Exhibits'!Y1638:Y1642),"")</f>
        <v/>
      </c>
      <c r="Z1642" s="3">
        <f>IF(ISNUMBER(AVERAGE('20250815_ETF_Options_Exhibits'!Z1638:Z1642)),AVERAGE('20250815_ETF_Options_Exhibits'!Z1638:Z1642),"")</f>
        <v/>
      </c>
      <c r="AA1642" s="3">
        <f>IF(ISNUMBER(AVERAGE('20250815_ETF_Options_Exhibits'!AA1638:AA1642)),AVERAGE('20250815_ETF_Options_Exhibits'!AA1638:AA1642),"")</f>
        <v/>
      </c>
    </row>
    <row r="1643">
      <c r="A1643" s="1" t="n">
        <v>44386</v>
      </c>
      <c r="B1643" s="3">
        <f>IF(ISNUMBER(AVERAGE('20250815_ETF_Options_Exhibits'!B1639:B1643)),AVERAGE('20250815_ETF_Options_Exhibits'!B1639:B1643),"")</f>
        <v/>
      </c>
      <c r="C1643" s="3">
        <f>IF(ISNUMBER(AVERAGE('20250815_ETF_Options_Exhibits'!C1639:C1643)),AVERAGE('20250815_ETF_Options_Exhibits'!C1639:C1643),"")</f>
        <v/>
      </c>
      <c r="D1643" s="3">
        <f>IF(ISNUMBER(AVERAGE('20250815_ETF_Options_Exhibits'!D1639:D1643)),AVERAGE('20250815_ETF_Options_Exhibits'!D1639:D1643),"")</f>
        <v/>
      </c>
      <c r="E1643" s="3">
        <f>IF(ISNUMBER(AVERAGE('20250815_ETF_Options_Exhibits'!E1639:E1643)),AVERAGE('20250815_ETF_Options_Exhibits'!E1639:E1643),"")</f>
        <v/>
      </c>
      <c r="F1643" s="3">
        <f>IF(ISNUMBER(AVERAGE('20250815_ETF_Options_Exhibits'!F1639:F1643)),AVERAGE('20250815_ETF_Options_Exhibits'!F1639:F1643),"")</f>
        <v/>
      </c>
      <c r="G1643" s="3">
        <f>IF(ISNUMBER(AVERAGE('20250815_ETF_Options_Exhibits'!G1639:G1643)),AVERAGE('20250815_ETF_Options_Exhibits'!G1639:G1643),"")</f>
        <v/>
      </c>
      <c r="H1643" s="3">
        <f>IF(ISNUMBER(AVERAGE('20250815_ETF_Options_Exhibits'!H1639:H1643)),AVERAGE('20250815_ETF_Options_Exhibits'!H1639:H1643),"")</f>
        <v/>
      </c>
      <c r="I1643" s="3">
        <f>IF(ISNUMBER(AVERAGE('20250815_ETF_Options_Exhibits'!I1639:I1643)),AVERAGE('20250815_ETF_Options_Exhibits'!I1639:I1643),"")</f>
        <v/>
      </c>
      <c r="J1643" s="3">
        <f>IF(ISNUMBER(AVERAGE('20250815_ETF_Options_Exhibits'!J1639:J1643)),AVERAGE('20250815_ETF_Options_Exhibits'!J1639:J1643),"")</f>
        <v/>
      </c>
      <c r="K1643" s="3">
        <f>IF(ISNUMBER(AVERAGE('20250815_ETF_Options_Exhibits'!K1639:K1643)),AVERAGE('20250815_ETF_Options_Exhibits'!K1639:K1643),"")</f>
        <v/>
      </c>
      <c r="L1643" s="3">
        <f>IF(ISNUMBER(AVERAGE('20250815_ETF_Options_Exhibits'!L1639:L1643)),AVERAGE('20250815_ETF_Options_Exhibits'!L1639:L1643),"")</f>
        <v/>
      </c>
      <c r="M1643" s="3">
        <f>IF(ISNUMBER(AVERAGE('20250815_ETF_Options_Exhibits'!M1639:M1643)),AVERAGE('20250815_ETF_Options_Exhibits'!M1639:M1643),"")</f>
        <v/>
      </c>
      <c r="N1643" s="3">
        <f>IF(ISNUMBER(AVERAGE('20250815_ETF_Options_Exhibits'!N1639:N1643)),AVERAGE('20250815_ETF_Options_Exhibits'!N1639:N1643),"")</f>
        <v/>
      </c>
      <c r="O1643" s="3">
        <f>IF(ISNUMBER(AVERAGE('20250815_ETF_Options_Exhibits'!O1639:O1643)),AVERAGE('20250815_ETF_Options_Exhibits'!O1639:O1643),"")</f>
        <v/>
      </c>
      <c r="P1643" s="3">
        <f>IF(ISNUMBER(AVERAGE('20250815_ETF_Options_Exhibits'!P1639:P1643)),AVERAGE('20250815_ETF_Options_Exhibits'!P1639:P1643),"")</f>
        <v/>
      </c>
      <c r="Q1643" s="3">
        <f>IF(ISNUMBER(AVERAGE('20250815_ETF_Options_Exhibits'!Q1639:Q1643)),AVERAGE('20250815_ETF_Options_Exhibits'!Q1639:Q1643),"")</f>
        <v/>
      </c>
      <c r="R1643" s="3">
        <f>IF(ISNUMBER(AVERAGE('20250815_ETF_Options_Exhibits'!R1639:R1643)),AVERAGE('20250815_ETF_Options_Exhibits'!R1639:R1643),"")</f>
        <v/>
      </c>
      <c r="S1643" s="3">
        <f>IF(ISNUMBER(AVERAGE('20250815_ETF_Options_Exhibits'!S1639:S1643)),AVERAGE('20250815_ETF_Options_Exhibits'!S1639:S1643),"")</f>
        <v/>
      </c>
      <c r="T1643" s="3">
        <f>IF(ISNUMBER(AVERAGE('20250815_ETF_Options_Exhibits'!T1639:T1643)),AVERAGE('20250815_ETF_Options_Exhibits'!T1639:T1643),"")</f>
        <v/>
      </c>
      <c r="U1643" s="3">
        <f>IF(ISNUMBER(AVERAGE('20250815_ETF_Options_Exhibits'!U1639:U1643)),AVERAGE('20250815_ETF_Options_Exhibits'!U1639:U1643),"")</f>
        <v/>
      </c>
      <c r="V1643" s="3">
        <f>IF(ISNUMBER(AVERAGE('20250815_ETF_Options_Exhibits'!V1639:V1643)),AVERAGE('20250815_ETF_Options_Exhibits'!V1639:V1643),"")</f>
        <v/>
      </c>
      <c r="W1643" s="3">
        <f>IF(ISNUMBER(AVERAGE('20250815_ETF_Options_Exhibits'!W1639:W1643)),AVERAGE('20250815_ETF_Options_Exhibits'!W1639:W1643),"")</f>
        <v/>
      </c>
      <c r="X1643" s="3">
        <f>IF(ISNUMBER(AVERAGE('20250815_ETF_Options_Exhibits'!X1639:X1643)),AVERAGE('20250815_ETF_Options_Exhibits'!X1639:X1643),"")</f>
        <v/>
      </c>
      <c r="Y1643" s="3">
        <f>IF(ISNUMBER(AVERAGE('20250815_ETF_Options_Exhibits'!Y1639:Y1643)),AVERAGE('20250815_ETF_Options_Exhibits'!Y1639:Y1643),"")</f>
        <v/>
      </c>
      <c r="Z1643" s="3">
        <f>IF(ISNUMBER(AVERAGE('20250815_ETF_Options_Exhibits'!Z1639:Z1643)),AVERAGE('20250815_ETF_Options_Exhibits'!Z1639:Z1643),"")</f>
        <v/>
      </c>
      <c r="AA1643" s="3">
        <f>IF(ISNUMBER(AVERAGE('20250815_ETF_Options_Exhibits'!AA1639:AA1643)),AVERAGE('20250815_ETF_Options_Exhibits'!AA1639:AA1643),"")</f>
        <v/>
      </c>
    </row>
    <row r="1644">
      <c r="A1644" s="1" t="n">
        <v>44389</v>
      </c>
      <c r="B1644" s="3">
        <f>IF(ISNUMBER(AVERAGE('20250815_ETF_Options_Exhibits'!B1640:B1644)),AVERAGE('20250815_ETF_Options_Exhibits'!B1640:B1644),"")</f>
        <v/>
      </c>
      <c r="C1644" s="3">
        <f>IF(ISNUMBER(AVERAGE('20250815_ETF_Options_Exhibits'!C1640:C1644)),AVERAGE('20250815_ETF_Options_Exhibits'!C1640:C1644),"")</f>
        <v/>
      </c>
      <c r="D1644" s="3">
        <f>IF(ISNUMBER(AVERAGE('20250815_ETF_Options_Exhibits'!D1640:D1644)),AVERAGE('20250815_ETF_Options_Exhibits'!D1640:D1644),"")</f>
        <v/>
      </c>
      <c r="E1644" s="3">
        <f>IF(ISNUMBER(AVERAGE('20250815_ETF_Options_Exhibits'!E1640:E1644)),AVERAGE('20250815_ETF_Options_Exhibits'!E1640:E1644),"")</f>
        <v/>
      </c>
      <c r="F1644" s="3">
        <f>IF(ISNUMBER(AVERAGE('20250815_ETF_Options_Exhibits'!F1640:F1644)),AVERAGE('20250815_ETF_Options_Exhibits'!F1640:F1644),"")</f>
        <v/>
      </c>
      <c r="G1644" s="3">
        <f>IF(ISNUMBER(AVERAGE('20250815_ETF_Options_Exhibits'!G1640:G1644)),AVERAGE('20250815_ETF_Options_Exhibits'!G1640:G1644),"")</f>
        <v/>
      </c>
      <c r="H1644" s="3">
        <f>IF(ISNUMBER(AVERAGE('20250815_ETF_Options_Exhibits'!H1640:H1644)),AVERAGE('20250815_ETF_Options_Exhibits'!H1640:H1644),"")</f>
        <v/>
      </c>
      <c r="I1644" s="3">
        <f>IF(ISNUMBER(AVERAGE('20250815_ETF_Options_Exhibits'!I1640:I1644)),AVERAGE('20250815_ETF_Options_Exhibits'!I1640:I1644),"")</f>
        <v/>
      </c>
      <c r="J1644" s="3">
        <f>IF(ISNUMBER(AVERAGE('20250815_ETF_Options_Exhibits'!J1640:J1644)),AVERAGE('20250815_ETF_Options_Exhibits'!J1640:J1644),"")</f>
        <v/>
      </c>
      <c r="K1644" s="3">
        <f>IF(ISNUMBER(AVERAGE('20250815_ETF_Options_Exhibits'!K1640:K1644)),AVERAGE('20250815_ETF_Options_Exhibits'!K1640:K1644),"")</f>
        <v/>
      </c>
      <c r="L1644" s="3">
        <f>IF(ISNUMBER(AVERAGE('20250815_ETF_Options_Exhibits'!L1640:L1644)),AVERAGE('20250815_ETF_Options_Exhibits'!L1640:L1644),"")</f>
        <v/>
      </c>
      <c r="M1644" s="3">
        <f>IF(ISNUMBER(AVERAGE('20250815_ETF_Options_Exhibits'!M1640:M1644)),AVERAGE('20250815_ETF_Options_Exhibits'!M1640:M1644),"")</f>
        <v/>
      </c>
      <c r="N1644" s="3">
        <f>IF(ISNUMBER(AVERAGE('20250815_ETF_Options_Exhibits'!N1640:N1644)),AVERAGE('20250815_ETF_Options_Exhibits'!N1640:N1644),"")</f>
        <v/>
      </c>
      <c r="O1644" s="3">
        <f>IF(ISNUMBER(AVERAGE('20250815_ETF_Options_Exhibits'!O1640:O1644)),AVERAGE('20250815_ETF_Options_Exhibits'!O1640:O1644),"")</f>
        <v/>
      </c>
      <c r="P1644" s="3">
        <f>IF(ISNUMBER(AVERAGE('20250815_ETF_Options_Exhibits'!P1640:P1644)),AVERAGE('20250815_ETF_Options_Exhibits'!P1640:P1644),"")</f>
        <v/>
      </c>
      <c r="Q1644" s="3">
        <f>IF(ISNUMBER(AVERAGE('20250815_ETF_Options_Exhibits'!Q1640:Q1644)),AVERAGE('20250815_ETF_Options_Exhibits'!Q1640:Q1644),"")</f>
        <v/>
      </c>
      <c r="R1644" s="3">
        <f>IF(ISNUMBER(AVERAGE('20250815_ETF_Options_Exhibits'!R1640:R1644)),AVERAGE('20250815_ETF_Options_Exhibits'!R1640:R1644),"")</f>
        <v/>
      </c>
      <c r="S1644" s="3">
        <f>IF(ISNUMBER(AVERAGE('20250815_ETF_Options_Exhibits'!S1640:S1644)),AVERAGE('20250815_ETF_Options_Exhibits'!S1640:S1644),"")</f>
        <v/>
      </c>
      <c r="T1644" s="3">
        <f>IF(ISNUMBER(AVERAGE('20250815_ETF_Options_Exhibits'!T1640:T1644)),AVERAGE('20250815_ETF_Options_Exhibits'!T1640:T1644),"")</f>
        <v/>
      </c>
      <c r="U1644" s="3">
        <f>IF(ISNUMBER(AVERAGE('20250815_ETF_Options_Exhibits'!U1640:U1644)),AVERAGE('20250815_ETF_Options_Exhibits'!U1640:U1644),"")</f>
        <v/>
      </c>
      <c r="V1644" s="3">
        <f>IF(ISNUMBER(AVERAGE('20250815_ETF_Options_Exhibits'!V1640:V1644)),AVERAGE('20250815_ETF_Options_Exhibits'!V1640:V1644),"")</f>
        <v/>
      </c>
      <c r="W1644" s="3">
        <f>IF(ISNUMBER(AVERAGE('20250815_ETF_Options_Exhibits'!W1640:W1644)),AVERAGE('20250815_ETF_Options_Exhibits'!W1640:W1644),"")</f>
        <v/>
      </c>
      <c r="X1644" s="3">
        <f>IF(ISNUMBER(AVERAGE('20250815_ETF_Options_Exhibits'!X1640:X1644)),AVERAGE('20250815_ETF_Options_Exhibits'!X1640:X1644),"")</f>
        <v/>
      </c>
      <c r="Y1644" s="3">
        <f>IF(ISNUMBER(AVERAGE('20250815_ETF_Options_Exhibits'!Y1640:Y1644)),AVERAGE('20250815_ETF_Options_Exhibits'!Y1640:Y1644),"")</f>
        <v/>
      </c>
      <c r="Z1644" s="3">
        <f>IF(ISNUMBER(AVERAGE('20250815_ETF_Options_Exhibits'!Z1640:Z1644)),AVERAGE('20250815_ETF_Options_Exhibits'!Z1640:Z1644),"")</f>
        <v/>
      </c>
      <c r="AA1644" s="3">
        <f>IF(ISNUMBER(AVERAGE('20250815_ETF_Options_Exhibits'!AA1640:AA1644)),AVERAGE('20250815_ETF_Options_Exhibits'!AA1640:AA1644),"")</f>
        <v/>
      </c>
    </row>
    <row r="1645">
      <c r="A1645" s="1" t="n">
        <v>44390</v>
      </c>
      <c r="B1645" s="3">
        <f>IF(ISNUMBER(AVERAGE('20250815_ETF_Options_Exhibits'!B1641:B1645)),AVERAGE('20250815_ETF_Options_Exhibits'!B1641:B1645),"")</f>
        <v/>
      </c>
      <c r="C1645" s="3">
        <f>IF(ISNUMBER(AVERAGE('20250815_ETF_Options_Exhibits'!C1641:C1645)),AVERAGE('20250815_ETF_Options_Exhibits'!C1641:C1645),"")</f>
        <v/>
      </c>
      <c r="D1645" s="3">
        <f>IF(ISNUMBER(AVERAGE('20250815_ETF_Options_Exhibits'!D1641:D1645)),AVERAGE('20250815_ETF_Options_Exhibits'!D1641:D1645),"")</f>
        <v/>
      </c>
      <c r="E1645" s="3">
        <f>IF(ISNUMBER(AVERAGE('20250815_ETF_Options_Exhibits'!E1641:E1645)),AVERAGE('20250815_ETF_Options_Exhibits'!E1641:E1645),"")</f>
        <v/>
      </c>
      <c r="F1645" s="3">
        <f>IF(ISNUMBER(AVERAGE('20250815_ETF_Options_Exhibits'!F1641:F1645)),AVERAGE('20250815_ETF_Options_Exhibits'!F1641:F1645),"")</f>
        <v/>
      </c>
      <c r="G1645" s="3">
        <f>IF(ISNUMBER(AVERAGE('20250815_ETF_Options_Exhibits'!G1641:G1645)),AVERAGE('20250815_ETF_Options_Exhibits'!G1641:G1645),"")</f>
        <v/>
      </c>
      <c r="H1645" s="3">
        <f>IF(ISNUMBER(AVERAGE('20250815_ETF_Options_Exhibits'!H1641:H1645)),AVERAGE('20250815_ETF_Options_Exhibits'!H1641:H1645),"")</f>
        <v/>
      </c>
      <c r="I1645" s="3">
        <f>IF(ISNUMBER(AVERAGE('20250815_ETF_Options_Exhibits'!I1641:I1645)),AVERAGE('20250815_ETF_Options_Exhibits'!I1641:I1645),"")</f>
        <v/>
      </c>
      <c r="J1645" s="3">
        <f>IF(ISNUMBER(AVERAGE('20250815_ETF_Options_Exhibits'!J1641:J1645)),AVERAGE('20250815_ETF_Options_Exhibits'!J1641:J1645),"")</f>
        <v/>
      </c>
      <c r="K1645" s="3">
        <f>IF(ISNUMBER(AVERAGE('20250815_ETF_Options_Exhibits'!K1641:K1645)),AVERAGE('20250815_ETF_Options_Exhibits'!K1641:K1645),"")</f>
        <v/>
      </c>
      <c r="L1645" s="3">
        <f>IF(ISNUMBER(AVERAGE('20250815_ETF_Options_Exhibits'!L1641:L1645)),AVERAGE('20250815_ETF_Options_Exhibits'!L1641:L1645),"")</f>
        <v/>
      </c>
      <c r="M1645" s="3">
        <f>IF(ISNUMBER(AVERAGE('20250815_ETF_Options_Exhibits'!M1641:M1645)),AVERAGE('20250815_ETF_Options_Exhibits'!M1641:M1645),"")</f>
        <v/>
      </c>
      <c r="N1645" s="3">
        <f>IF(ISNUMBER(AVERAGE('20250815_ETF_Options_Exhibits'!N1641:N1645)),AVERAGE('20250815_ETF_Options_Exhibits'!N1641:N1645),"")</f>
        <v/>
      </c>
      <c r="O1645" s="3">
        <f>IF(ISNUMBER(AVERAGE('20250815_ETF_Options_Exhibits'!O1641:O1645)),AVERAGE('20250815_ETF_Options_Exhibits'!O1641:O1645),"")</f>
        <v/>
      </c>
      <c r="P1645" s="3">
        <f>IF(ISNUMBER(AVERAGE('20250815_ETF_Options_Exhibits'!P1641:P1645)),AVERAGE('20250815_ETF_Options_Exhibits'!P1641:P1645),"")</f>
        <v/>
      </c>
      <c r="Q1645" s="3">
        <f>IF(ISNUMBER(AVERAGE('20250815_ETF_Options_Exhibits'!Q1641:Q1645)),AVERAGE('20250815_ETF_Options_Exhibits'!Q1641:Q1645),"")</f>
        <v/>
      </c>
      <c r="R1645" s="3">
        <f>IF(ISNUMBER(AVERAGE('20250815_ETF_Options_Exhibits'!R1641:R1645)),AVERAGE('20250815_ETF_Options_Exhibits'!R1641:R1645),"")</f>
        <v/>
      </c>
      <c r="S1645" s="3">
        <f>IF(ISNUMBER(AVERAGE('20250815_ETF_Options_Exhibits'!S1641:S1645)),AVERAGE('20250815_ETF_Options_Exhibits'!S1641:S1645),"")</f>
        <v/>
      </c>
      <c r="T1645" s="3">
        <f>IF(ISNUMBER(AVERAGE('20250815_ETF_Options_Exhibits'!T1641:T1645)),AVERAGE('20250815_ETF_Options_Exhibits'!T1641:T1645),"")</f>
        <v/>
      </c>
      <c r="U1645" s="3">
        <f>IF(ISNUMBER(AVERAGE('20250815_ETF_Options_Exhibits'!U1641:U1645)),AVERAGE('20250815_ETF_Options_Exhibits'!U1641:U1645),"")</f>
        <v/>
      </c>
      <c r="V1645" s="3">
        <f>IF(ISNUMBER(AVERAGE('20250815_ETF_Options_Exhibits'!V1641:V1645)),AVERAGE('20250815_ETF_Options_Exhibits'!V1641:V1645),"")</f>
        <v/>
      </c>
      <c r="W1645" s="3">
        <f>IF(ISNUMBER(AVERAGE('20250815_ETF_Options_Exhibits'!W1641:W1645)),AVERAGE('20250815_ETF_Options_Exhibits'!W1641:W1645),"")</f>
        <v/>
      </c>
      <c r="X1645" s="3">
        <f>IF(ISNUMBER(AVERAGE('20250815_ETF_Options_Exhibits'!X1641:X1645)),AVERAGE('20250815_ETF_Options_Exhibits'!X1641:X1645),"")</f>
        <v/>
      </c>
      <c r="Y1645" s="3">
        <f>IF(ISNUMBER(AVERAGE('20250815_ETF_Options_Exhibits'!Y1641:Y1645)),AVERAGE('20250815_ETF_Options_Exhibits'!Y1641:Y1645),"")</f>
        <v/>
      </c>
      <c r="Z1645" s="3">
        <f>IF(ISNUMBER(AVERAGE('20250815_ETF_Options_Exhibits'!Z1641:Z1645)),AVERAGE('20250815_ETF_Options_Exhibits'!Z1641:Z1645),"")</f>
        <v/>
      </c>
      <c r="AA1645" s="3">
        <f>IF(ISNUMBER(AVERAGE('20250815_ETF_Options_Exhibits'!AA1641:AA1645)),AVERAGE('20250815_ETF_Options_Exhibits'!AA1641:AA1645),"")</f>
        <v/>
      </c>
    </row>
    <row r="1646">
      <c r="A1646" s="1" t="n">
        <v>44391</v>
      </c>
      <c r="B1646" s="3">
        <f>IF(ISNUMBER(AVERAGE('20250815_ETF_Options_Exhibits'!B1642:B1646)),AVERAGE('20250815_ETF_Options_Exhibits'!B1642:B1646),"")</f>
        <v/>
      </c>
      <c r="C1646" s="3">
        <f>IF(ISNUMBER(AVERAGE('20250815_ETF_Options_Exhibits'!C1642:C1646)),AVERAGE('20250815_ETF_Options_Exhibits'!C1642:C1646),"")</f>
        <v/>
      </c>
      <c r="D1646" s="3">
        <f>IF(ISNUMBER(AVERAGE('20250815_ETF_Options_Exhibits'!D1642:D1646)),AVERAGE('20250815_ETF_Options_Exhibits'!D1642:D1646),"")</f>
        <v/>
      </c>
      <c r="E1646" s="3">
        <f>IF(ISNUMBER(AVERAGE('20250815_ETF_Options_Exhibits'!E1642:E1646)),AVERAGE('20250815_ETF_Options_Exhibits'!E1642:E1646),"")</f>
        <v/>
      </c>
      <c r="F1646" s="3">
        <f>IF(ISNUMBER(AVERAGE('20250815_ETF_Options_Exhibits'!F1642:F1646)),AVERAGE('20250815_ETF_Options_Exhibits'!F1642:F1646),"")</f>
        <v/>
      </c>
      <c r="G1646" s="3">
        <f>IF(ISNUMBER(AVERAGE('20250815_ETF_Options_Exhibits'!G1642:G1646)),AVERAGE('20250815_ETF_Options_Exhibits'!G1642:G1646),"")</f>
        <v/>
      </c>
      <c r="H1646" s="3">
        <f>IF(ISNUMBER(AVERAGE('20250815_ETF_Options_Exhibits'!H1642:H1646)),AVERAGE('20250815_ETF_Options_Exhibits'!H1642:H1646),"")</f>
        <v/>
      </c>
      <c r="I1646" s="3">
        <f>IF(ISNUMBER(AVERAGE('20250815_ETF_Options_Exhibits'!I1642:I1646)),AVERAGE('20250815_ETF_Options_Exhibits'!I1642:I1646),"")</f>
        <v/>
      </c>
      <c r="J1646" s="3">
        <f>IF(ISNUMBER(AVERAGE('20250815_ETF_Options_Exhibits'!J1642:J1646)),AVERAGE('20250815_ETF_Options_Exhibits'!J1642:J1646),"")</f>
        <v/>
      </c>
      <c r="K1646" s="3">
        <f>IF(ISNUMBER(AVERAGE('20250815_ETF_Options_Exhibits'!K1642:K1646)),AVERAGE('20250815_ETF_Options_Exhibits'!K1642:K1646),"")</f>
        <v/>
      </c>
      <c r="L1646" s="3">
        <f>IF(ISNUMBER(AVERAGE('20250815_ETF_Options_Exhibits'!L1642:L1646)),AVERAGE('20250815_ETF_Options_Exhibits'!L1642:L1646),"")</f>
        <v/>
      </c>
      <c r="M1646" s="3">
        <f>IF(ISNUMBER(AVERAGE('20250815_ETF_Options_Exhibits'!M1642:M1646)),AVERAGE('20250815_ETF_Options_Exhibits'!M1642:M1646),"")</f>
        <v/>
      </c>
      <c r="N1646" s="3">
        <f>IF(ISNUMBER(AVERAGE('20250815_ETF_Options_Exhibits'!N1642:N1646)),AVERAGE('20250815_ETF_Options_Exhibits'!N1642:N1646),"")</f>
        <v/>
      </c>
      <c r="O1646" s="3">
        <f>IF(ISNUMBER(AVERAGE('20250815_ETF_Options_Exhibits'!O1642:O1646)),AVERAGE('20250815_ETF_Options_Exhibits'!O1642:O1646),"")</f>
        <v/>
      </c>
      <c r="P1646" s="3">
        <f>IF(ISNUMBER(AVERAGE('20250815_ETF_Options_Exhibits'!P1642:P1646)),AVERAGE('20250815_ETF_Options_Exhibits'!P1642:P1646),"")</f>
        <v/>
      </c>
      <c r="Q1646" s="3">
        <f>IF(ISNUMBER(AVERAGE('20250815_ETF_Options_Exhibits'!Q1642:Q1646)),AVERAGE('20250815_ETF_Options_Exhibits'!Q1642:Q1646),"")</f>
        <v/>
      </c>
      <c r="R1646" s="3">
        <f>IF(ISNUMBER(AVERAGE('20250815_ETF_Options_Exhibits'!R1642:R1646)),AVERAGE('20250815_ETF_Options_Exhibits'!R1642:R1646),"")</f>
        <v/>
      </c>
      <c r="S1646" s="3">
        <f>IF(ISNUMBER(AVERAGE('20250815_ETF_Options_Exhibits'!S1642:S1646)),AVERAGE('20250815_ETF_Options_Exhibits'!S1642:S1646),"")</f>
        <v/>
      </c>
      <c r="T1646" s="3">
        <f>IF(ISNUMBER(AVERAGE('20250815_ETF_Options_Exhibits'!T1642:T1646)),AVERAGE('20250815_ETF_Options_Exhibits'!T1642:T1646),"")</f>
        <v/>
      </c>
      <c r="U1646" s="3">
        <f>IF(ISNUMBER(AVERAGE('20250815_ETF_Options_Exhibits'!U1642:U1646)),AVERAGE('20250815_ETF_Options_Exhibits'!U1642:U1646),"")</f>
        <v/>
      </c>
      <c r="V1646" s="3">
        <f>IF(ISNUMBER(AVERAGE('20250815_ETF_Options_Exhibits'!V1642:V1646)),AVERAGE('20250815_ETF_Options_Exhibits'!V1642:V1646),"")</f>
        <v/>
      </c>
      <c r="W1646" s="3">
        <f>IF(ISNUMBER(AVERAGE('20250815_ETF_Options_Exhibits'!W1642:W1646)),AVERAGE('20250815_ETF_Options_Exhibits'!W1642:W1646),"")</f>
        <v/>
      </c>
      <c r="X1646" s="3">
        <f>IF(ISNUMBER(AVERAGE('20250815_ETF_Options_Exhibits'!X1642:X1646)),AVERAGE('20250815_ETF_Options_Exhibits'!X1642:X1646),"")</f>
        <v/>
      </c>
      <c r="Y1646" s="3">
        <f>IF(ISNUMBER(AVERAGE('20250815_ETF_Options_Exhibits'!Y1642:Y1646)),AVERAGE('20250815_ETF_Options_Exhibits'!Y1642:Y1646),"")</f>
        <v/>
      </c>
      <c r="Z1646" s="3">
        <f>IF(ISNUMBER(AVERAGE('20250815_ETF_Options_Exhibits'!Z1642:Z1646)),AVERAGE('20250815_ETF_Options_Exhibits'!Z1642:Z1646),"")</f>
        <v/>
      </c>
      <c r="AA1646" s="3">
        <f>IF(ISNUMBER(AVERAGE('20250815_ETF_Options_Exhibits'!AA1642:AA1646)),AVERAGE('20250815_ETF_Options_Exhibits'!AA1642:AA1646),"")</f>
        <v/>
      </c>
    </row>
    <row r="1647">
      <c r="A1647" s="1" t="n">
        <v>44392</v>
      </c>
      <c r="B1647" s="3">
        <f>IF(ISNUMBER(AVERAGE('20250815_ETF_Options_Exhibits'!B1643:B1647)),AVERAGE('20250815_ETF_Options_Exhibits'!B1643:B1647),"")</f>
        <v/>
      </c>
      <c r="C1647" s="3">
        <f>IF(ISNUMBER(AVERAGE('20250815_ETF_Options_Exhibits'!C1643:C1647)),AVERAGE('20250815_ETF_Options_Exhibits'!C1643:C1647),"")</f>
        <v/>
      </c>
      <c r="D1647" s="3">
        <f>IF(ISNUMBER(AVERAGE('20250815_ETF_Options_Exhibits'!D1643:D1647)),AVERAGE('20250815_ETF_Options_Exhibits'!D1643:D1647),"")</f>
        <v/>
      </c>
      <c r="E1647" s="3">
        <f>IF(ISNUMBER(AVERAGE('20250815_ETF_Options_Exhibits'!E1643:E1647)),AVERAGE('20250815_ETF_Options_Exhibits'!E1643:E1647),"")</f>
        <v/>
      </c>
      <c r="F1647" s="3">
        <f>IF(ISNUMBER(AVERAGE('20250815_ETF_Options_Exhibits'!F1643:F1647)),AVERAGE('20250815_ETF_Options_Exhibits'!F1643:F1647),"")</f>
        <v/>
      </c>
      <c r="G1647" s="3">
        <f>IF(ISNUMBER(AVERAGE('20250815_ETF_Options_Exhibits'!G1643:G1647)),AVERAGE('20250815_ETF_Options_Exhibits'!G1643:G1647),"")</f>
        <v/>
      </c>
      <c r="H1647" s="3">
        <f>IF(ISNUMBER(AVERAGE('20250815_ETF_Options_Exhibits'!H1643:H1647)),AVERAGE('20250815_ETF_Options_Exhibits'!H1643:H1647),"")</f>
        <v/>
      </c>
      <c r="I1647" s="3">
        <f>IF(ISNUMBER(AVERAGE('20250815_ETF_Options_Exhibits'!I1643:I1647)),AVERAGE('20250815_ETF_Options_Exhibits'!I1643:I1647),"")</f>
        <v/>
      </c>
      <c r="J1647" s="3">
        <f>IF(ISNUMBER(AVERAGE('20250815_ETF_Options_Exhibits'!J1643:J1647)),AVERAGE('20250815_ETF_Options_Exhibits'!J1643:J1647),"")</f>
        <v/>
      </c>
      <c r="K1647" s="3">
        <f>IF(ISNUMBER(AVERAGE('20250815_ETF_Options_Exhibits'!K1643:K1647)),AVERAGE('20250815_ETF_Options_Exhibits'!K1643:K1647),"")</f>
        <v/>
      </c>
      <c r="L1647" s="3">
        <f>IF(ISNUMBER(AVERAGE('20250815_ETF_Options_Exhibits'!L1643:L1647)),AVERAGE('20250815_ETF_Options_Exhibits'!L1643:L1647),"")</f>
        <v/>
      </c>
      <c r="M1647" s="3">
        <f>IF(ISNUMBER(AVERAGE('20250815_ETF_Options_Exhibits'!M1643:M1647)),AVERAGE('20250815_ETF_Options_Exhibits'!M1643:M1647),"")</f>
        <v/>
      </c>
      <c r="N1647" s="3">
        <f>IF(ISNUMBER(AVERAGE('20250815_ETF_Options_Exhibits'!N1643:N1647)),AVERAGE('20250815_ETF_Options_Exhibits'!N1643:N1647),"")</f>
        <v/>
      </c>
      <c r="O1647" s="3">
        <f>IF(ISNUMBER(AVERAGE('20250815_ETF_Options_Exhibits'!O1643:O1647)),AVERAGE('20250815_ETF_Options_Exhibits'!O1643:O1647),"")</f>
        <v/>
      </c>
      <c r="P1647" s="3">
        <f>IF(ISNUMBER(AVERAGE('20250815_ETF_Options_Exhibits'!P1643:P1647)),AVERAGE('20250815_ETF_Options_Exhibits'!P1643:P1647),"")</f>
        <v/>
      </c>
      <c r="Q1647" s="3">
        <f>IF(ISNUMBER(AVERAGE('20250815_ETF_Options_Exhibits'!Q1643:Q1647)),AVERAGE('20250815_ETF_Options_Exhibits'!Q1643:Q1647),"")</f>
        <v/>
      </c>
      <c r="R1647" s="3">
        <f>IF(ISNUMBER(AVERAGE('20250815_ETF_Options_Exhibits'!R1643:R1647)),AVERAGE('20250815_ETF_Options_Exhibits'!R1643:R1647),"")</f>
        <v/>
      </c>
      <c r="S1647" s="3">
        <f>IF(ISNUMBER(AVERAGE('20250815_ETF_Options_Exhibits'!S1643:S1647)),AVERAGE('20250815_ETF_Options_Exhibits'!S1643:S1647),"")</f>
        <v/>
      </c>
      <c r="T1647" s="3">
        <f>IF(ISNUMBER(AVERAGE('20250815_ETF_Options_Exhibits'!T1643:T1647)),AVERAGE('20250815_ETF_Options_Exhibits'!T1643:T1647),"")</f>
        <v/>
      </c>
      <c r="U1647" s="3">
        <f>IF(ISNUMBER(AVERAGE('20250815_ETF_Options_Exhibits'!U1643:U1647)),AVERAGE('20250815_ETF_Options_Exhibits'!U1643:U1647),"")</f>
        <v/>
      </c>
      <c r="V1647" s="3">
        <f>IF(ISNUMBER(AVERAGE('20250815_ETF_Options_Exhibits'!V1643:V1647)),AVERAGE('20250815_ETF_Options_Exhibits'!V1643:V1647),"")</f>
        <v/>
      </c>
      <c r="W1647" s="3">
        <f>IF(ISNUMBER(AVERAGE('20250815_ETF_Options_Exhibits'!W1643:W1647)),AVERAGE('20250815_ETF_Options_Exhibits'!W1643:W1647),"")</f>
        <v/>
      </c>
      <c r="X1647" s="3">
        <f>IF(ISNUMBER(AVERAGE('20250815_ETF_Options_Exhibits'!X1643:X1647)),AVERAGE('20250815_ETF_Options_Exhibits'!X1643:X1647),"")</f>
        <v/>
      </c>
      <c r="Y1647" s="3">
        <f>IF(ISNUMBER(AVERAGE('20250815_ETF_Options_Exhibits'!Y1643:Y1647)),AVERAGE('20250815_ETF_Options_Exhibits'!Y1643:Y1647),"")</f>
        <v/>
      </c>
      <c r="Z1647" s="3">
        <f>IF(ISNUMBER(AVERAGE('20250815_ETF_Options_Exhibits'!Z1643:Z1647)),AVERAGE('20250815_ETF_Options_Exhibits'!Z1643:Z1647),"")</f>
        <v/>
      </c>
      <c r="AA1647" s="3">
        <f>IF(ISNUMBER(AVERAGE('20250815_ETF_Options_Exhibits'!AA1643:AA1647)),AVERAGE('20250815_ETF_Options_Exhibits'!AA1643:AA1647),"")</f>
        <v/>
      </c>
    </row>
    <row r="1648">
      <c r="A1648" s="1" t="n">
        <v>44393</v>
      </c>
      <c r="B1648" s="3">
        <f>IF(ISNUMBER(AVERAGE('20250815_ETF_Options_Exhibits'!B1644:B1648)),AVERAGE('20250815_ETF_Options_Exhibits'!B1644:B1648),"")</f>
        <v/>
      </c>
      <c r="C1648" s="3">
        <f>IF(ISNUMBER(AVERAGE('20250815_ETF_Options_Exhibits'!C1644:C1648)),AVERAGE('20250815_ETF_Options_Exhibits'!C1644:C1648),"")</f>
        <v/>
      </c>
      <c r="D1648" s="3">
        <f>IF(ISNUMBER(AVERAGE('20250815_ETF_Options_Exhibits'!D1644:D1648)),AVERAGE('20250815_ETF_Options_Exhibits'!D1644:D1648),"")</f>
        <v/>
      </c>
      <c r="E1648" s="3">
        <f>IF(ISNUMBER(AVERAGE('20250815_ETF_Options_Exhibits'!E1644:E1648)),AVERAGE('20250815_ETF_Options_Exhibits'!E1644:E1648),"")</f>
        <v/>
      </c>
      <c r="F1648" s="3">
        <f>IF(ISNUMBER(AVERAGE('20250815_ETF_Options_Exhibits'!F1644:F1648)),AVERAGE('20250815_ETF_Options_Exhibits'!F1644:F1648),"")</f>
        <v/>
      </c>
      <c r="G1648" s="3">
        <f>IF(ISNUMBER(AVERAGE('20250815_ETF_Options_Exhibits'!G1644:G1648)),AVERAGE('20250815_ETF_Options_Exhibits'!G1644:G1648),"")</f>
        <v/>
      </c>
      <c r="H1648" s="3">
        <f>IF(ISNUMBER(AVERAGE('20250815_ETF_Options_Exhibits'!H1644:H1648)),AVERAGE('20250815_ETF_Options_Exhibits'!H1644:H1648),"")</f>
        <v/>
      </c>
      <c r="I1648" s="3">
        <f>IF(ISNUMBER(AVERAGE('20250815_ETF_Options_Exhibits'!I1644:I1648)),AVERAGE('20250815_ETF_Options_Exhibits'!I1644:I1648),"")</f>
        <v/>
      </c>
      <c r="J1648" s="3">
        <f>IF(ISNUMBER(AVERAGE('20250815_ETF_Options_Exhibits'!J1644:J1648)),AVERAGE('20250815_ETF_Options_Exhibits'!J1644:J1648),"")</f>
        <v/>
      </c>
      <c r="K1648" s="3">
        <f>IF(ISNUMBER(AVERAGE('20250815_ETF_Options_Exhibits'!K1644:K1648)),AVERAGE('20250815_ETF_Options_Exhibits'!K1644:K1648),"")</f>
        <v/>
      </c>
      <c r="L1648" s="3">
        <f>IF(ISNUMBER(AVERAGE('20250815_ETF_Options_Exhibits'!L1644:L1648)),AVERAGE('20250815_ETF_Options_Exhibits'!L1644:L1648),"")</f>
        <v/>
      </c>
      <c r="M1648" s="3">
        <f>IF(ISNUMBER(AVERAGE('20250815_ETF_Options_Exhibits'!M1644:M1648)),AVERAGE('20250815_ETF_Options_Exhibits'!M1644:M1648),"")</f>
        <v/>
      </c>
      <c r="N1648" s="3">
        <f>IF(ISNUMBER(AVERAGE('20250815_ETF_Options_Exhibits'!N1644:N1648)),AVERAGE('20250815_ETF_Options_Exhibits'!N1644:N1648),"")</f>
        <v/>
      </c>
      <c r="O1648" s="3">
        <f>IF(ISNUMBER(AVERAGE('20250815_ETF_Options_Exhibits'!O1644:O1648)),AVERAGE('20250815_ETF_Options_Exhibits'!O1644:O1648),"")</f>
        <v/>
      </c>
      <c r="P1648" s="3">
        <f>IF(ISNUMBER(AVERAGE('20250815_ETF_Options_Exhibits'!P1644:P1648)),AVERAGE('20250815_ETF_Options_Exhibits'!P1644:P1648),"")</f>
        <v/>
      </c>
      <c r="Q1648" s="3">
        <f>IF(ISNUMBER(AVERAGE('20250815_ETF_Options_Exhibits'!Q1644:Q1648)),AVERAGE('20250815_ETF_Options_Exhibits'!Q1644:Q1648),"")</f>
        <v/>
      </c>
      <c r="R1648" s="3">
        <f>IF(ISNUMBER(AVERAGE('20250815_ETF_Options_Exhibits'!R1644:R1648)),AVERAGE('20250815_ETF_Options_Exhibits'!R1644:R1648),"")</f>
        <v/>
      </c>
      <c r="S1648" s="3">
        <f>IF(ISNUMBER(AVERAGE('20250815_ETF_Options_Exhibits'!S1644:S1648)),AVERAGE('20250815_ETF_Options_Exhibits'!S1644:S1648),"")</f>
        <v/>
      </c>
      <c r="T1648" s="3">
        <f>IF(ISNUMBER(AVERAGE('20250815_ETF_Options_Exhibits'!T1644:T1648)),AVERAGE('20250815_ETF_Options_Exhibits'!T1644:T1648),"")</f>
        <v/>
      </c>
      <c r="U1648" s="3">
        <f>IF(ISNUMBER(AVERAGE('20250815_ETF_Options_Exhibits'!U1644:U1648)),AVERAGE('20250815_ETF_Options_Exhibits'!U1644:U1648),"")</f>
        <v/>
      </c>
      <c r="V1648" s="3">
        <f>IF(ISNUMBER(AVERAGE('20250815_ETF_Options_Exhibits'!V1644:V1648)),AVERAGE('20250815_ETF_Options_Exhibits'!V1644:V1648),"")</f>
        <v/>
      </c>
      <c r="W1648" s="3">
        <f>IF(ISNUMBER(AVERAGE('20250815_ETF_Options_Exhibits'!W1644:W1648)),AVERAGE('20250815_ETF_Options_Exhibits'!W1644:W1648),"")</f>
        <v/>
      </c>
      <c r="X1648" s="3">
        <f>IF(ISNUMBER(AVERAGE('20250815_ETF_Options_Exhibits'!X1644:X1648)),AVERAGE('20250815_ETF_Options_Exhibits'!X1644:X1648),"")</f>
        <v/>
      </c>
      <c r="Y1648" s="3">
        <f>IF(ISNUMBER(AVERAGE('20250815_ETF_Options_Exhibits'!Y1644:Y1648)),AVERAGE('20250815_ETF_Options_Exhibits'!Y1644:Y1648),"")</f>
        <v/>
      </c>
      <c r="Z1648" s="3">
        <f>IF(ISNUMBER(AVERAGE('20250815_ETF_Options_Exhibits'!Z1644:Z1648)),AVERAGE('20250815_ETF_Options_Exhibits'!Z1644:Z1648),"")</f>
        <v/>
      </c>
      <c r="AA1648" s="3">
        <f>IF(ISNUMBER(AVERAGE('20250815_ETF_Options_Exhibits'!AA1644:AA1648)),AVERAGE('20250815_ETF_Options_Exhibits'!AA1644:AA1648),"")</f>
        <v/>
      </c>
    </row>
    <row r="1649">
      <c r="A1649" s="1" t="n">
        <v>44396</v>
      </c>
      <c r="B1649" s="3">
        <f>IF(ISNUMBER(AVERAGE('20250815_ETF_Options_Exhibits'!B1645:B1649)),AVERAGE('20250815_ETF_Options_Exhibits'!B1645:B1649),"")</f>
        <v/>
      </c>
      <c r="C1649" s="3">
        <f>IF(ISNUMBER(AVERAGE('20250815_ETF_Options_Exhibits'!C1645:C1649)),AVERAGE('20250815_ETF_Options_Exhibits'!C1645:C1649),"")</f>
        <v/>
      </c>
      <c r="D1649" s="3">
        <f>IF(ISNUMBER(AVERAGE('20250815_ETF_Options_Exhibits'!D1645:D1649)),AVERAGE('20250815_ETF_Options_Exhibits'!D1645:D1649),"")</f>
        <v/>
      </c>
      <c r="E1649" s="3">
        <f>IF(ISNUMBER(AVERAGE('20250815_ETF_Options_Exhibits'!E1645:E1649)),AVERAGE('20250815_ETF_Options_Exhibits'!E1645:E1649),"")</f>
        <v/>
      </c>
      <c r="F1649" s="3">
        <f>IF(ISNUMBER(AVERAGE('20250815_ETF_Options_Exhibits'!F1645:F1649)),AVERAGE('20250815_ETF_Options_Exhibits'!F1645:F1649),"")</f>
        <v/>
      </c>
      <c r="G1649" s="3">
        <f>IF(ISNUMBER(AVERAGE('20250815_ETF_Options_Exhibits'!G1645:G1649)),AVERAGE('20250815_ETF_Options_Exhibits'!G1645:G1649),"")</f>
        <v/>
      </c>
      <c r="H1649" s="3">
        <f>IF(ISNUMBER(AVERAGE('20250815_ETF_Options_Exhibits'!H1645:H1649)),AVERAGE('20250815_ETF_Options_Exhibits'!H1645:H1649),"")</f>
        <v/>
      </c>
      <c r="I1649" s="3">
        <f>IF(ISNUMBER(AVERAGE('20250815_ETF_Options_Exhibits'!I1645:I1649)),AVERAGE('20250815_ETF_Options_Exhibits'!I1645:I1649),"")</f>
        <v/>
      </c>
      <c r="J1649" s="3">
        <f>IF(ISNUMBER(AVERAGE('20250815_ETF_Options_Exhibits'!J1645:J1649)),AVERAGE('20250815_ETF_Options_Exhibits'!J1645:J1649),"")</f>
        <v/>
      </c>
      <c r="K1649" s="3">
        <f>IF(ISNUMBER(AVERAGE('20250815_ETF_Options_Exhibits'!K1645:K1649)),AVERAGE('20250815_ETF_Options_Exhibits'!K1645:K1649),"")</f>
        <v/>
      </c>
      <c r="L1649" s="3">
        <f>IF(ISNUMBER(AVERAGE('20250815_ETF_Options_Exhibits'!L1645:L1649)),AVERAGE('20250815_ETF_Options_Exhibits'!L1645:L1649),"")</f>
        <v/>
      </c>
      <c r="M1649" s="3">
        <f>IF(ISNUMBER(AVERAGE('20250815_ETF_Options_Exhibits'!M1645:M1649)),AVERAGE('20250815_ETF_Options_Exhibits'!M1645:M1649),"")</f>
        <v/>
      </c>
      <c r="N1649" s="3">
        <f>IF(ISNUMBER(AVERAGE('20250815_ETF_Options_Exhibits'!N1645:N1649)),AVERAGE('20250815_ETF_Options_Exhibits'!N1645:N1649),"")</f>
        <v/>
      </c>
      <c r="O1649" s="3">
        <f>IF(ISNUMBER(AVERAGE('20250815_ETF_Options_Exhibits'!O1645:O1649)),AVERAGE('20250815_ETF_Options_Exhibits'!O1645:O1649),"")</f>
        <v/>
      </c>
      <c r="P1649" s="3">
        <f>IF(ISNUMBER(AVERAGE('20250815_ETF_Options_Exhibits'!P1645:P1649)),AVERAGE('20250815_ETF_Options_Exhibits'!P1645:P1649),"")</f>
        <v/>
      </c>
      <c r="Q1649" s="3">
        <f>IF(ISNUMBER(AVERAGE('20250815_ETF_Options_Exhibits'!Q1645:Q1649)),AVERAGE('20250815_ETF_Options_Exhibits'!Q1645:Q1649),"")</f>
        <v/>
      </c>
      <c r="R1649" s="3">
        <f>IF(ISNUMBER(AVERAGE('20250815_ETF_Options_Exhibits'!R1645:R1649)),AVERAGE('20250815_ETF_Options_Exhibits'!R1645:R1649),"")</f>
        <v/>
      </c>
      <c r="S1649" s="3">
        <f>IF(ISNUMBER(AVERAGE('20250815_ETF_Options_Exhibits'!S1645:S1649)),AVERAGE('20250815_ETF_Options_Exhibits'!S1645:S1649),"")</f>
        <v/>
      </c>
      <c r="T1649" s="3">
        <f>IF(ISNUMBER(AVERAGE('20250815_ETF_Options_Exhibits'!T1645:T1649)),AVERAGE('20250815_ETF_Options_Exhibits'!T1645:T1649),"")</f>
        <v/>
      </c>
      <c r="U1649" s="3">
        <f>IF(ISNUMBER(AVERAGE('20250815_ETF_Options_Exhibits'!U1645:U1649)),AVERAGE('20250815_ETF_Options_Exhibits'!U1645:U1649),"")</f>
        <v/>
      </c>
      <c r="V1649" s="3">
        <f>IF(ISNUMBER(AVERAGE('20250815_ETF_Options_Exhibits'!V1645:V1649)),AVERAGE('20250815_ETF_Options_Exhibits'!V1645:V1649),"")</f>
        <v/>
      </c>
      <c r="W1649" s="3">
        <f>IF(ISNUMBER(AVERAGE('20250815_ETF_Options_Exhibits'!W1645:W1649)),AVERAGE('20250815_ETF_Options_Exhibits'!W1645:W1649),"")</f>
        <v/>
      </c>
      <c r="X1649" s="3">
        <f>IF(ISNUMBER(AVERAGE('20250815_ETF_Options_Exhibits'!X1645:X1649)),AVERAGE('20250815_ETF_Options_Exhibits'!X1645:X1649),"")</f>
        <v/>
      </c>
      <c r="Y1649" s="3">
        <f>IF(ISNUMBER(AVERAGE('20250815_ETF_Options_Exhibits'!Y1645:Y1649)),AVERAGE('20250815_ETF_Options_Exhibits'!Y1645:Y1649),"")</f>
        <v/>
      </c>
      <c r="Z1649" s="3">
        <f>IF(ISNUMBER(AVERAGE('20250815_ETF_Options_Exhibits'!Z1645:Z1649)),AVERAGE('20250815_ETF_Options_Exhibits'!Z1645:Z1649),"")</f>
        <v/>
      </c>
      <c r="AA1649" s="3">
        <f>IF(ISNUMBER(AVERAGE('20250815_ETF_Options_Exhibits'!AA1645:AA1649)),AVERAGE('20250815_ETF_Options_Exhibits'!AA1645:AA1649),"")</f>
        <v/>
      </c>
    </row>
    <row r="1650">
      <c r="A1650" s="1" t="n">
        <v>44397</v>
      </c>
      <c r="B1650" s="3">
        <f>IF(ISNUMBER(AVERAGE('20250815_ETF_Options_Exhibits'!B1646:B1650)),AVERAGE('20250815_ETF_Options_Exhibits'!B1646:B1650),"")</f>
        <v/>
      </c>
      <c r="C1650" s="3">
        <f>IF(ISNUMBER(AVERAGE('20250815_ETF_Options_Exhibits'!C1646:C1650)),AVERAGE('20250815_ETF_Options_Exhibits'!C1646:C1650),"")</f>
        <v/>
      </c>
      <c r="D1650" s="3">
        <f>IF(ISNUMBER(AVERAGE('20250815_ETF_Options_Exhibits'!D1646:D1650)),AVERAGE('20250815_ETF_Options_Exhibits'!D1646:D1650),"")</f>
        <v/>
      </c>
      <c r="E1650" s="3">
        <f>IF(ISNUMBER(AVERAGE('20250815_ETF_Options_Exhibits'!E1646:E1650)),AVERAGE('20250815_ETF_Options_Exhibits'!E1646:E1650),"")</f>
        <v/>
      </c>
      <c r="F1650" s="3">
        <f>IF(ISNUMBER(AVERAGE('20250815_ETF_Options_Exhibits'!F1646:F1650)),AVERAGE('20250815_ETF_Options_Exhibits'!F1646:F1650),"")</f>
        <v/>
      </c>
      <c r="G1650" s="3">
        <f>IF(ISNUMBER(AVERAGE('20250815_ETF_Options_Exhibits'!G1646:G1650)),AVERAGE('20250815_ETF_Options_Exhibits'!G1646:G1650),"")</f>
        <v/>
      </c>
      <c r="H1650" s="3">
        <f>IF(ISNUMBER(AVERAGE('20250815_ETF_Options_Exhibits'!H1646:H1650)),AVERAGE('20250815_ETF_Options_Exhibits'!H1646:H1650),"")</f>
        <v/>
      </c>
      <c r="I1650" s="3">
        <f>IF(ISNUMBER(AVERAGE('20250815_ETF_Options_Exhibits'!I1646:I1650)),AVERAGE('20250815_ETF_Options_Exhibits'!I1646:I1650),"")</f>
        <v/>
      </c>
      <c r="J1650" s="3">
        <f>IF(ISNUMBER(AVERAGE('20250815_ETF_Options_Exhibits'!J1646:J1650)),AVERAGE('20250815_ETF_Options_Exhibits'!J1646:J1650),"")</f>
        <v/>
      </c>
      <c r="K1650" s="3">
        <f>IF(ISNUMBER(AVERAGE('20250815_ETF_Options_Exhibits'!K1646:K1650)),AVERAGE('20250815_ETF_Options_Exhibits'!K1646:K1650),"")</f>
        <v/>
      </c>
      <c r="L1650" s="3">
        <f>IF(ISNUMBER(AVERAGE('20250815_ETF_Options_Exhibits'!L1646:L1650)),AVERAGE('20250815_ETF_Options_Exhibits'!L1646:L1650),"")</f>
        <v/>
      </c>
      <c r="M1650" s="3">
        <f>IF(ISNUMBER(AVERAGE('20250815_ETF_Options_Exhibits'!M1646:M1650)),AVERAGE('20250815_ETF_Options_Exhibits'!M1646:M1650),"")</f>
        <v/>
      </c>
      <c r="N1650" s="3">
        <f>IF(ISNUMBER(AVERAGE('20250815_ETF_Options_Exhibits'!N1646:N1650)),AVERAGE('20250815_ETF_Options_Exhibits'!N1646:N1650),"")</f>
        <v/>
      </c>
      <c r="O1650" s="3">
        <f>IF(ISNUMBER(AVERAGE('20250815_ETF_Options_Exhibits'!O1646:O1650)),AVERAGE('20250815_ETF_Options_Exhibits'!O1646:O1650),"")</f>
        <v/>
      </c>
      <c r="P1650" s="3">
        <f>IF(ISNUMBER(AVERAGE('20250815_ETF_Options_Exhibits'!P1646:P1650)),AVERAGE('20250815_ETF_Options_Exhibits'!P1646:P1650),"")</f>
        <v/>
      </c>
      <c r="Q1650" s="3">
        <f>IF(ISNUMBER(AVERAGE('20250815_ETF_Options_Exhibits'!Q1646:Q1650)),AVERAGE('20250815_ETF_Options_Exhibits'!Q1646:Q1650),"")</f>
        <v/>
      </c>
      <c r="R1650" s="3">
        <f>IF(ISNUMBER(AVERAGE('20250815_ETF_Options_Exhibits'!R1646:R1650)),AVERAGE('20250815_ETF_Options_Exhibits'!R1646:R1650),"")</f>
        <v/>
      </c>
      <c r="S1650" s="3">
        <f>IF(ISNUMBER(AVERAGE('20250815_ETF_Options_Exhibits'!S1646:S1650)),AVERAGE('20250815_ETF_Options_Exhibits'!S1646:S1650),"")</f>
        <v/>
      </c>
      <c r="T1650" s="3">
        <f>IF(ISNUMBER(AVERAGE('20250815_ETF_Options_Exhibits'!T1646:T1650)),AVERAGE('20250815_ETF_Options_Exhibits'!T1646:T1650),"")</f>
        <v/>
      </c>
      <c r="U1650" s="3">
        <f>IF(ISNUMBER(AVERAGE('20250815_ETF_Options_Exhibits'!U1646:U1650)),AVERAGE('20250815_ETF_Options_Exhibits'!U1646:U1650),"")</f>
        <v/>
      </c>
      <c r="V1650" s="3">
        <f>IF(ISNUMBER(AVERAGE('20250815_ETF_Options_Exhibits'!V1646:V1650)),AVERAGE('20250815_ETF_Options_Exhibits'!V1646:V1650),"")</f>
        <v/>
      </c>
      <c r="W1650" s="3">
        <f>IF(ISNUMBER(AVERAGE('20250815_ETF_Options_Exhibits'!W1646:W1650)),AVERAGE('20250815_ETF_Options_Exhibits'!W1646:W1650),"")</f>
        <v/>
      </c>
      <c r="X1650" s="3">
        <f>IF(ISNUMBER(AVERAGE('20250815_ETF_Options_Exhibits'!X1646:X1650)),AVERAGE('20250815_ETF_Options_Exhibits'!X1646:X1650),"")</f>
        <v/>
      </c>
      <c r="Y1650" s="3">
        <f>IF(ISNUMBER(AVERAGE('20250815_ETF_Options_Exhibits'!Y1646:Y1650)),AVERAGE('20250815_ETF_Options_Exhibits'!Y1646:Y1650),"")</f>
        <v/>
      </c>
      <c r="Z1650" s="3">
        <f>IF(ISNUMBER(AVERAGE('20250815_ETF_Options_Exhibits'!Z1646:Z1650)),AVERAGE('20250815_ETF_Options_Exhibits'!Z1646:Z1650),"")</f>
        <v/>
      </c>
      <c r="AA1650" s="3">
        <f>IF(ISNUMBER(AVERAGE('20250815_ETF_Options_Exhibits'!AA1646:AA1650)),AVERAGE('20250815_ETF_Options_Exhibits'!AA1646:AA1650),"")</f>
        <v/>
      </c>
    </row>
    <row r="1651">
      <c r="A1651" s="1" t="n">
        <v>44398</v>
      </c>
      <c r="B1651" s="3">
        <f>IF(ISNUMBER(AVERAGE('20250815_ETF_Options_Exhibits'!B1647:B1651)),AVERAGE('20250815_ETF_Options_Exhibits'!B1647:B1651),"")</f>
        <v/>
      </c>
      <c r="C1651" s="3">
        <f>IF(ISNUMBER(AVERAGE('20250815_ETF_Options_Exhibits'!C1647:C1651)),AVERAGE('20250815_ETF_Options_Exhibits'!C1647:C1651),"")</f>
        <v/>
      </c>
      <c r="D1651" s="3">
        <f>IF(ISNUMBER(AVERAGE('20250815_ETF_Options_Exhibits'!D1647:D1651)),AVERAGE('20250815_ETF_Options_Exhibits'!D1647:D1651),"")</f>
        <v/>
      </c>
      <c r="E1651" s="3">
        <f>IF(ISNUMBER(AVERAGE('20250815_ETF_Options_Exhibits'!E1647:E1651)),AVERAGE('20250815_ETF_Options_Exhibits'!E1647:E1651),"")</f>
        <v/>
      </c>
      <c r="F1651" s="3">
        <f>IF(ISNUMBER(AVERAGE('20250815_ETF_Options_Exhibits'!F1647:F1651)),AVERAGE('20250815_ETF_Options_Exhibits'!F1647:F1651),"")</f>
        <v/>
      </c>
      <c r="G1651" s="3">
        <f>IF(ISNUMBER(AVERAGE('20250815_ETF_Options_Exhibits'!G1647:G1651)),AVERAGE('20250815_ETF_Options_Exhibits'!G1647:G1651),"")</f>
        <v/>
      </c>
      <c r="H1651" s="3">
        <f>IF(ISNUMBER(AVERAGE('20250815_ETF_Options_Exhibits'!H1647:H1651)),AVERAGE('20250815_ETF_Options_Exhibits'!H1647:H1651),"")</f>
        <v/>
      </c>
      <c r="I1651" s="3">
        <f>IF(ISNUMBER(AVERAGE('20250815_ETF_Options_Exhibits'!I1647:I1651)),AVERAGE('20250815_ETF_Options_Exhibits'!I1647:I1651),"")</f>
        <v/>
      </c>
      <c r="J1651" s="3">
        <f>IF(ISNUMBER(AVERAGE('20250815_ETF_Options_Exhibits'!J1647:J1651)),AVERAGE('20250815_ETF_Options_Exhibits'!J1647:J1651),"")</f>
        <v/>
      </c>
      <c r="K1651" s="3">
        <f>IF(ISNUMBER(AVERAGE('20250815_ETF_Options_Exhibits'!K1647:K1651)),AVERAGE('20250815_ETF_Options_Exhibits'!K1647:K1651),"")</f>
        <v/>
      </c>
      <c r="L1651" s="3">
        <f>IF(ISNUMBER(AVERAGE('20250815_ETF_Options_Exhibits'!L1647:L1651)),AVERAGE('20250815_ETF_Options_Exhibits'!L1647:L1651),"")</f>
        <v/>
      </c>
      <c r="M1651" s="3">
        <f>IF(ISNUMBER(AVERAGE('20250815_ETF_Options_Exhibits'!M1647:M1651)),AVERAGE('20250815_ETF_Options_Exhibits'!M1647:M1651),"")</f>
        <v/>
      </c>
      <c r="N1651" s="3">
        <f>IF(ISNUMBER(AVERAGE('20250815_ETF_Options_Exhibits'!N1647:N1651)),AVERAGE('20250815_ETF_Options_Exhibits'!N1647:N1651),"")</f>
        <v/>
      </c>
      <c r="O1651" s="3">
        <f>IF(ISNUMBER(AVERAGE('20250815_ETF_Options_Exhibits'!O1647:O1651)),AVERAGE('20250815_ETF_Options_Exhibits'!O1647:O1651),"")</f>
        <v/>
      </c>
      <c r="P1651" s="3">
        <f>IF(ISNUMBER(AVERAGE('20250815_ETF_Options_Exhibits'!P1647:P1651)),AVERAGE('20250815_ETF_Options_Exhibits'!P1647:P1651),"")</f>
        <v/>
      </c>
      <c r="Q1651" s="3">
        <f>IF(ISNUMBER(AVERAGE('20250815_ETF_Options_Exhibits'!Q1647:Q1651)),AVERAGE('20250815_ETF_Options_Exhibits'!Q1647:Q1651),"")</f>
        <v/>
      </c>
      <c r="R1651" s="3">
        <f>IF(ISNUMBER(AVERAGE('20250815_ETF_Options_Exhibits'!R1647:R1651)),AVERAGE('20250815_ETF_Options_Exhibits'!R1647:R1651),"")</f>
        <v/>
      </c>
      <c r="S1651" s="3">
        <f>IF(ISNUMBER(AVERAGE('20250815_ETF_Options_Exhibits'!S1647:S1651)),AVERAGE('20250815_ETF_Options_Exhibits'!S1647:S1651),"")</f>
        <v/>
      </c>
      <c r="T1651" s="3">
        <f>IF(ISNUMBER(AVERAGE('20250815_ETF_Options_Exhibits'!T1647:T1651)),AVERAGE('20250815_ETF_Options_Exhibits'!T1647:T1651),"")</f>
        <v/>
      </c>
      <c r="U1651" s="3">
        <f>IF(ISNUMBER(AVERAGE('20250815_ETF_Options_Exhibits'!U1647:U1651)),AVERAGE('20250815_ETF_Options_Exhibits'!U1647:U1651),"")</f>
        <v/>
      </c>
      <c r="V1651" s="3">
        <f>IF(ISNUMBER(AVERAGE('20250815_ETF_Options_Exhibits'!V1647:V1651)),AVERAGE('20250815_ETF_Options_Exhibits'!V1647:V1651),"")</f>
        <v/>
      </c>
      <c r="W1651" s="3">
        <f>IF(ISNUMBER(AVERAGE('20250815_ETF_Options_Exhibits'!W1647:W1651)),AVERAGE('20250815_ETF_Options_Exhibits'!W1647:W1651),"")</f>
        <v/>
      </c>
      <c r="X1651" s="3">
        <f>IF(ISNUMBER(AVERAGE('20250815_ETF_Options_Exhibits'!X1647:X1651)),AVERAGE('20250815_ETF_Options_Exhibits'!X1647:X1651),"")</f>
        <v/>
      </c>
      <c r="Y1651" s="3">
        <f>IF(ISNUMBER(AVERAGE('20250815_ETF_Options_Exhibits'!Y1647:Y1651)),AVERAGE('20250815_ETF_Options_Exhibits'!Y1647:Y1651),"")</f>
        <v/>
      </c>
      <c r="Z1651" s="3">
        <f>IF(ISNUMBER(AVERAGE('20250815_ETF_Options_Exhibits'!Z1647:Z1651)),AVERAGE('20250815_ETF_Options_Exhibits'!Z1647:Z1651),"")</f>
        <v/>
      </c>
      <c r="AA1651" s="3">
        <f>IF(ISNUMBER(AVERAGE('20250815_ETF_Options_Exhibits'!AA1647:AA1651)),AVERAGE('20250815_ETF_Options_Exhibits'!AA1647:AA1651),"")</f>
        <v/>
      </c>
    </row>
    <row r="1652">
      <c r="A1652" s="1" t="n">
        <v>44399</v>
      </c>
      <c r="B1652" s="3">
        <f>IF(ISNUMBER(AVERAGE('20250815_ETF_Options_Exhibits'!B1648:B1652)),AVERAGE('20250815_ETF_Options_Exhibits'!B1648:B1652),"")</f>
        <v/>
      </c>
      <c r="C1652" s="3">
        <f>IF(ISNUMBER(AVERAGE('20250815_ETF_Options_Exhibits'!C1648:C1652)),AVERAGE('20250815_ETF_Options_Exhibits'!C1648:C1652),"")</f>
        <v/>
      </c>
      <c r="D1652" s="3">
        <f>IF(ISNUMBER(AVERAGE('20250815_ETF_Options_Exhibits'!D1648:D1652)),AVERAGE('20250815_ETF_Options_Exhibits'!D1648:D1652),"")</f>
        <v/>
      </c>
      <c r="E1652" s="3">
        <f>IF(ISNUMBER(AVERAGE('20250815_ETF_Options_Exhibits'!E1648:E1652)),AVERAGE('20250815_ETF_Options_Exhibits'!E1648:E1652),"")</f>
        <v/>
      </c>
      <c r="F1652" s="3">
        <f>IF(ISNUMBER(AVERAGE('20250815_ETF_Options_Exhibits'!F1648:F1652)),AVERAGE('20250815_ETF_Options_Exhibits'!F1648:F1652),"")</f>
        <v/>
      </c>
      <c r="G1652" s="3">
        <f>IF(ISNUMBER(AVERAGE('20250815_ETF_Options_Exhibits'!G1648:G1652)),AVERAGE('20250815_ETF_Options_Exhibits'!G1648:G1652),"")</f>
        <v/>
      </c>
      <c r="H1652" s="3">
        <f>IF(ISNUMBER(AVERAGE('20250815_ETF_Options_Exhibits'!H1648:H1652)),AVERAGE('20250815_ETF_Options_Exhibits'!H1648:H1652),"")</f>
        <v/>
      </c>
      <c r="I1652" s="3">
        <f>IF(ISNUMBER(AVERAGE('20250815_ETF_Options_Exhibits'!I1648:I1652)),AVERAGE('20250815_ETF_Options_Exhibits'!I1648:I1652),"")</f>
        <v/>
      </c>
      <c r="J1652" s="3">
        <f>IF(ISNUMBER(AVERAGE('20250815_ETF_Options_Exhibits'!J1648:J1652)),AVERAGE('20250815_ETF_Options_Exhibits'!J1648:J1652),"")</f>
        <v/>
      </c>
      <c r="K1652" s="3">
        <f>IF(ISNUMBER(AVERAGE('20250815_ETF_Options_Exhibits'!K1648:K1652)),AVERAGE('20250815_ETF_Options_Exhibits'!K1648:K1652),"")</f>
        <v/>
      </c>
      <c r="L1652" s="3">
        <f>IF(ISNUMBER(AVERAGE('20250815_ETF_Options_Exhibits'!L1648:L1652)),AVERAGE('20250815_ETF_Options_Exhibits'!L1648:L1652),"")</f>
        <v/>
      </c>
      <c r="M1652" s="3">
        <f>IF(ISNUMBER(AVERAGE('20250815_ETF_Options_Exhibits'!M1648:M1652)),AVERAGE('20250815_ETF_Options_Exhibits'!M1648:M1652),"")</f>
        <v/>
      </c>
      <c r="N1652" s="3">
        <f>IF(ISNUMBER(AVERAGE('20250815_ETF_Options_Exhibits'!N1648:N1652)),AVERAGE('20250815_ETF_Options_Exhibits'!N1648:N1652),"")</f>
        <v/>
      </c>
      <c r="O1652" s="3">
        <f>IF(ISNUMBER(AVERAGE('20250815_ETF_Options_Exhibits'!O1648:O1652)),AVERAGE('20250815_ETF_Options_Exhibits'!O1648:O1652),"")</f>
        <v/>
      </c>
      <c r="P1652" s="3">
        <f>IF(ISNUMBER(AVERAGE('20250815_ETF_Options_Exhibits'!P1648:P1652)),AVERAGE('20250815_ETF_Options_Exhibits'!P1648:P1652),"")</f>
        <v/>
      </c>
      <c r="Q1652" s="3">
        <f>IF(ISNUMBER(AVERAGE('20250815_ETF_Options_Exhibits'!Q1648:Q1652)),AVERAGE('20250815_ETF_Options_Exhibits'!Q1648:Q1652),"")</f>
        <v/>
      </c>
      <c r="R1652" s="3">
        <f>IF(ISNUMBER(AVERAGE('20250815_ETF_Options_Exhibits'!R1648:R1652)),AVERAGE('20250815_ETF_Options_Exhibits'!R1648:R1652),"")</f>
        <v/>
      </c>
      <c r="S1652" s="3">
        <f>IF(ISNUMBER(AVERAGE('20250815_ETF_Options_Exhibits'!S1648:S1652)),AVERAGE('20250815_ETF_Options_Exhibits'!S1648:S1652),"")</f>
        <v/>
      </c>
      <c r="T1652" s="3">
        <f>IF(ISNUMBER(AVERAGE('20250815_ETF_Options_Exhibits'!T1648:T1652)),AVERAGE('20250815_ETF_Options_Exhibits'!T1648:T1652),"")</f>
        <v/>
      </c>
      <c r="U1652" s="3">
        <f>IF(ISNUMBER(AVERAGE('20250815_ETF_Options_Exhibits'!U1648:U1652)),AVERAGE('20250815_ETF_Options_Exhibits'!U1648:U1652),"")</f>
        <v/>
      </c>
      <c r="V1652" s="3">
        <f>IF(ISNUMBER(AVERAGE('20250815_ETF_Options_Exhibits'!V1648:V1652)),AVERAGE('20250815_ETF_Options_Exhibits'!V1648:V1652),"")</f>
        <v/>
      </c>
      <c r="W1652" s="3">
        <f>IF(ISNUMBER(AVERAGE('20250815_ETF_Options_Exhibits'!W1648:W1652)),AVERAGE('20250815_ETF_Options_Exhibits'!W1648:W1652),"")</f>
        <v/>
      </c>
      <c r="X1652" s="3">
        <f>IF(ISNUMBER(AVERAGE('20250815_ETF_Options_Exhibits'!X1648:X1652)),AVERAGE('20250815_ETF_Options_Exhibits'!X1648:X1652),"")</f>
        <v/>
      </c>
      <c r="Y1652" s="3">
        <f>IF(ISNUMBER(AVERAGE('20250815_ETF_Options_Exhibits'!Y1648:Y1652)),AVERAGE('20250815_ETF_Options_Exhibits'!Y1648:Y1652),"")</f>
        <v/>
      </c>
      <c r="Z1652" s="3">
        <f>IF(ISNUMBER(AVERAGE('20250815_ETF_Options_Exhibits'!Z1648:Z1652)),AVERAGE('20250815_ETF_Options_Exhibits'!Z1648:Z1652),"")</f>
        <v/>
      </c>
      <c r="AA1652" s="3">
        <f>IF(ISNUMBER(AVERAGE('20250815_ETF_Options_Exhibits'!AA1648:AA1652)),AVERAGE('20250815_ETF_Options_Exhibits'!AA1648:AA1652),"")</f>
        <v/>
      </c>
    </row>
    <row r="1653">
      <c r="A1653" s="1" t="n">
        <v>44400</v>
      </c>
      <c r="B1653" s="3">
        <f>IF(ISNUMBER(AVERAGE('20250815_ETF_Options_Exhibits'!B1649:B1653)),AVERAGE('20250815_ETF_Options_Exhibits'!B1649:B1653),"")</f>
        <v/>
      </c>
      <c r="C1653" s="3">
        <f>IF(ISNUMBER(AVERAGE('20250815_ETF_Options_Exhibits'!C1649:C1653)),AVERAGE('20250815_ETF_Options_Exhibits'!C1649:C1653),"")</f>
        <v/>
      </c>
      <c r="D1653" s="3">
        <f>IF(ISNUMBER(AVERAGE('20250815_ETF_Options_Exhibits'!D1649:D1653)),AVERAGE('20250815_ETF_Options_Exhibits'!D1649:D1653),"")</f>
        <v/>
      </c>
      <c r="E1653" s="3">
        <f>IF(ISNUMBER(AVERAGE('20250815_ETF_Options_Exhibits'!E1649:E1653)),AVERAGE('20250815_ETF_Options_Exhibits'!E1649:E1653),"")</f>
        <v/>
      </c>
      <c r="F1653" s="3">
        <f>IF(ISNUMBER(AVERAGE('20250815_ETF_Options_Exhibits'!F1649:F1653)),AVERAGE('20250815_ETF_Options_Exhibits'!F1649:F1653),"")</f>
        <v/>
      </c>
      <c r="G1653" s="3">
        <f>IF(ISNUMBER(AVERAGE('20250815_ETF_Options_Exhibits'!G1649:G1653)),AVERAGE('20250815_ETF_Options_Exhibits'!G1649:G1653),"")</f>
        <v/>
      </c>
      <c r="H1653" s="3">
        <f>IF(ISNUMBER(AVERAGE('20250815_ETF_Options_Exhibits'!H1649:H1653)),AVERAGE('20250815_ETF_Options_Exhibits'!H1649:H1653),"")</f>
        <v/>
      </c>
      <c r="I1653" s="3">
        <f>IF(ISNUMBER(AVERAGE('20250815_ETF_Options_Exhibits'!I1649:I1653)),AVERAGE('20250815_ETF_Options_Exhibits'!I1649:I1653),"")</f>
        <v/>
      </c>
      <c r="J1653" s="3">
        <f>IF(ISNUMBER(AVERAGE('20250815_ETF_Options_Exhibits'!J1649:J1653)),AVERAGE('20250815_ETF_Options_Exhibits'!J1649:J1653),"")</f>
        <v/>
      </c>
      <c r="K1653" s="3">
        <f>IF(ISNUMBER(AVERAGE('20250815_ETF_Options_Exhibits'!K1649:K1653)),AVERAGE('20250815_ETF_Options_Exhibits'!K1649:K1653),"")</f>
        <v/>
      </c>
      <c r="L1653" s="3">
        <f>IF(ISNUMBER(AVERAGE('20250815_ETF_Options_Exhibits'!L1649:L1653)),AVERAGE('20250815_ETF_Options_Exhibits'!L1649:L1653),"")</f>
        <v/>
      </c>
      <c r="M1653" s="3">
        <f>IF(ISNUMBER(AVERAGE('20250815_ETF_Options_Exhibits'!M1649:M1653)),AVERAGE('20250815_ETF_Options_Exhibits'!M1649:M1653),"")</f>
        <v/>
      </c>
      <c r="N1653" s="3">
        <f>IF(ISNUMBER(AVERAGE('20250815_ETF_Options_Exhibits'!N1649:N1653)),AVERAGE('20250815_ETF_Options_Exhibits'!N1649:N1653),"")</f>
        <v/>
      </c>
      <c r="O1653" s="3">
        <f>IF(ISNUMBER(AVERAGE('20250815_ETF_Options_Exhibits'!O1649:O1653)),AVERAGE('20250815_ETF_Options_Exhibits'!O1649:O1653),"")</f>
        <v/>
      </c>
      <c r="P1653" s="3">
        <f>IF(ISNUMBER(AVERAGE('20250815_ETF_Options_Exhibits'!P1649:P1653)),AVERAGE('20250815_ETF_Options_Exhibits'!P1649:P1653),"")</f>
        <v/>
      </c>
      <c r="Q1653" s="3">
        <f>IF(ISNUMBER(AVERAGE('20250815_ETF_Options_Exhibits'!Q1649:Q1653)),AVERAGE('20250815_ETF_Options_Exhibits'!Q1649:Q1653),"")</f>
        <v/>
      </c>
      <c r="R1653" s="3">
        <f>IF(ISNUMBER(AVERAGE('20250815_ETF_Options_Exhibits'!R1649:R1653)),AVERAGE('20250815_ETF_Options_Exhibits'!R1649:R1653),"")</f>
        <v/>
      </c>
      <c r="S1653" s="3">
        <f>IF(ISNUMBER(AVERAGE('20250815_ETF_Options_Exhibits'!S1649:S1653)),AVERAGE('20250815_ETF_Options_Exhibits'!S1649:S1653),"")</f>
        <v/>
      </c>
      <c r="T1653" s="3">
        <f>IF(ISNUMBER(AVERAGE('20250815_ETF_Options_Exhibits'!T1649:T1653)),AVERAGE('20250815_ETF_Options_Exhibits'!T1649:T1653),"")</f>
        <v/>
      </c>
      <c r="U1653" s="3">
        <f>IF(ISNUMBER(AVERAGE('20250815_ETF_Options_Exhibits'!U1649:U1653)),AVERAGE('20250815_ETF_Options_Exhibits'!U1649:U1653),"")</f>
        <v/>
      </c>
      <c r="V1653" s="3">
        <f>IF(ISNUMBER(AVERAGE('20250815_ETF_Options_Exhibits'!V1649:V1653)),AVERAGE('20250815_ETF_Options_Exhibits'!V1649:V1653),"")</f>
        <v/>
      </c>
      <c r="W1653" s="3">
        <f>IF(ISNUMBER(AVERAGE('20250815_ETF_Options_Exhibits'!W1649:W1653)),AVERAGE('20250815_ETF_Options_Exhibits'!W1649:W1653),"")</f>
        <v/>
      </c>
      <c r="X1653" s="3">
        <f>IF(ISNUMBER(AVERAGE('20250815_ETF_Options_Exhibits'!X1649:X1653)),AVERAGE('20250815_ETF_Options_Exhibits'!X1649:X1653),"")</f>
        <v/>
      </c>
      <c r="Y1653" s="3">
        <f>IF(ISNUMBER(AVERAGE('20250815_ETF_Options_Exhibits'!Y1649:Y1653)),AVERAGE('20250815_ETF_Options_Exhibits'!Y1649:Y1653),"")</f>
        <v/>
      </c>
      <c r="Z1653" s="3">
        <f>IF(ISNUMBER(AVERAGE('20250815_ETF_Options_Exhibits'!Z1649:Z1653)),AVERAGE('20250815_ETF_Options_Exhibits'!Z1649:Z1653),"")</f>
        <v/>
      </c>
      <c r="AA1653" s="3">
        <f>IF(ISNUMBER(AVERAGE('20250815_ETF_Options_Exhibits'!AA1649:AA1653)),AVERAGE('20250815_ETF_Options_Exhibits'!AA1649:AA1653),"")</f>
        <v/>
      </c>
    </row>
    <row r="1654">
      <c r="A1654" s="1" t="n">
        <v>44403</v>
      </c>
      <c r="B1654" s="3">
        <f>IF(ISNUMBER(AVERAGE('20250815_ETF_Options_Exhibits'!B1650:B1654)),AVERAGE('20250815_ETF_Options_Exhibits'!B1650:B1654),"")</f>
        <v/>
      </c>
      <c r="C1654" s="3">
        <f>IF(ISNUMBER(AVERAGE('20250815_ETF_Options_Exhibits'!C1650:C1654)),AVERAGE('20250815_ETF_Options_Exhibits'!C1650:C1654),"")</f>
        <v/>
      </c>
      <c r="D1654" s="3">
        <f>IF(ISNUMBER(AVERAGE('20250815_ETF_Options_Exhibits'!D1650:D1654)),AVERAGE('20250815_ETF_Options_Exhibits'!D1650:D1654),"")</f>
        <v/>
      </c>
      <c r="E1654" s="3">
        <f>IF(ISNUMBER(AVERAGE('20250815_ETF_Options_Exhibits'!E1650:E1654)),AVERAGE('20250815_ETF_Options_Exhibits'!E1650:E1654),"")</f>
        <v/>
      </c>
      <c r="F1654" s="3">
        <f>IF(ISNUMBER(AVERAGE('20250815_ETF_Options_Exhibits'!F1650:F1654)),AVERAGE('20250815_ETF_Options_Exhibits'!F1650:F1654),"")</f>
        <v/>
      </c>
      <c r="G1654" s="3">
        <f>IF(ISNUMBER(AVERAGE('20250815_ETF_Options_Exhibits'!G1650:G1654)),AVERAGE('20250815_ETF_Options_Exhibits'!G1650:G1654),"")</f>
        <v/>
      </c>
      <c r="H1654" s="3">
        <f>IF(ISNUMBER(AVERAGE('20250815_ETF_Options_Exhibits'!H1650:H1654)),AVERAGE('20250815_ETF_Options_Exhibits'!H1650:H1654),"")</f>
        <v/>
      </c>
      <c r="I1654" s="3">
        <f>IF(ISNUMBER(AVERAGE('20250815_ETF_Options_Exhibits'!I1650:I1654)),AVERAGE('20250815_ETF_Options_Exhibits'!I1650:I1654),"")</f>
        <v/>
      </c>
      <c r="J1654" s="3">
        <f>IF(ISNUMBER(AVERAGE('20250815_ETF_Options_Exhibits'!J1650:J1654)),AVERAGE('20250815_ETF_Options_Exhibits'!J1650:J1654),"")</f>
        <v/>
      </c>
      <c r="K1654" s="3">
        <f>IF(ISNUMBER(AVERAGE('20250815_ETF_Options_Exhibits'!K1650:K1654)),AVERAGE('20250815_ETF_Options_Exhibits'!K1650:K1654),"")</f>
        <v/>
      </c>
      <c r="L1654" s="3">
        <f>IF(ISNUMBER(AVERAGE('20250815_ETF_Options_Exhibits'!L1650:L1654)),AVERAGE('20250815_ETF_Options_Exhibits'!L1650:L1654),"")</f>
        <v/>
      </c>
      <c r="M1654" s="3">
        <f>IF(ISNUMBER(AVERAGE('20250815_ETF_Options_Exhibits'!M1650:M1654)),AVERAGE('20250815_ETF_Options_Exhibits'!M1650:M1654),"")</f>
        <v/>
      </c>
      <c r="N1654" s="3">
        <f>IF(ISNUMBER(AVERAGE('20250815_ETF_Options_Exhibits'!N1650:N1654)),AVERAGE('20250815_ETF_Options_Exhibits'!N1650:N1654),"")</f>
        <v/>
      </c>
      <c r="O1654" s="3">
        <f>IF(ISNUMBER(AVERAGE('20250815_ETF_Options_Exhibits'!O1650:O1654)),AVERAGE('20250815_ETF_Options_Exhibits'!O1650:O1654),"")</f>
        <v/>
      </c>
      <c r="P1654" s="3">
        <f>IF(ISNUMBER(AVERAGE('20250815_ETF_Options_Exhibits'!P1650:P1654)),AVERAGE('20250815_ETF_Options_Exhibits'!P1650:P1654),"")</f>
        <v/>
      </c>
      <c r="Q1654" s="3">
        <f>IF(ISNUMBER(AVERAGE('20250815_ETF_Options_Exhibits'!Q1650:Q1654)),AVERAGE('20250815_ETF_Options_Exhibits'!Q1650:Q1654),"")</f>
        <v/>
      </c>
      <c r="R1654" s="3">
        <f>IF(ISNUMBER(AVERAGE('20250815_ETF_Options_Exhibits'!R1650:R1654)),AVERAGE('20250815_ETF_Options_Exhibits'!R1650:R1654),"")</f>
        <v/>
      </c>
      <c r="S1654" s="3">
        <f>IF(ISNUMBER(AVERAGE('20250815_ETF_Options_Exhibits'!S1650:S1654)),AVERAGE('20250815_ETF_Options_Exhibits'!S1650:S1654),"")</f>
        <v/>
      </c>
      <c r="T1654" s="3">
        <f>IF(ISNUMBER(AVERAGE('20250815_ETF_Options_Exhibits'!T1650:T1654)),AVERAGE('20250815_ETF_Options_Exhibits'!T1650:T1654),"")</f>
        <v/>
      </c>
      <c r="U1654" s="3">
        <f>IF(ISNUMBER(AVERAGE('20250815_ETF_Options_Exhibits'!U1650:U1654)),AVERAGE('20250815_ETF_Options_Exhibits'!U1650:U1654),"")</f>
        <v/>
      </c>
      <c r="V1654" s="3">
        <f>IF(ISNUMBER(AVERAGE('20250815_ETF_Options_Exhibits'!V1650:V1654)),AVERAGE('20250815_ETF_Options_Exhibits'!V1650:V1654),"")</f>
        <v/>
      </c>
      <c r="W1654" s="3">
        <f>IF(ISNUMBER(AVERAGE('20250815_ETF_Options_Exhibits'!W1650:W1654)),AVERAGE('20250815_ETF_Options_Exhibits'!W1650:W1654),"")</f>
        <v/>
      </c>
      <c r="X1654" s="3">
        <f>IF(ISNUMBER(AVERAGE('20250815_ETF_Options_Exhibits'!X1650:X1654)),AVERAGE('20250815_ETF_Options_Exhibits'!X1650:X1654),"")</f>
        <v/>
      </c>
      <c r="Y1654" s="3">
        <f>IF(ISNUMBER(AVERAGE('20250815_ETF_Options_Exhibits'!Y1650:Y1654)),AVERAGE('20250815_ETF_Options_Exhibits'!Y1650:Y1654),"")</f>
        <v/>
      </c>
      <c r="Z1654" s="3">
        <f>IF(ISNUMBER(AVERAGE('20250815_ETF_Options_Exhibits'!Z1650:Z1654)),AVERAGE('20250815_ETF_Options_Exhibits'!Z1650:Z1654),"")</f>
        <v/>
      </c>
      <c r="AA1654" s="3">
        <f>IF(ISNUMBER(AVERAGE('20250815_ETF_Options_Exhibits'!AA1650:AA1654)),AVERAGE('20250815_ETF_Options_Exhibits'!AA1650:AA1654),"")</f>
        <v/>
      </c>
    </row>
    <row r="1655">
      <c r="A1655" s="1" t="n">
        <v>44404</v>
      </c>
      <c r="B1655" s="3">
        <f>IF(ISNUMBER(AVERAGE('20250815_ETF_Options_Exhibits'!B1651:B1655)),AVERAGE('20250815_ETF_Options_Exhibits'!B1651:B1655),"")</f>
        <v/>
      </c>
      <c r="C1655" s="3">
        <f>IF(ISNUMBER(AVERAGE('20250815_ETF_Options_Exhibits'!C1651:C1655)),AVERAGE('20250815_ETF_Options_Exhibits'!C1651:C1655),"")</f>
        <v/>
      </c>
      <c r="D1655" s="3">
        <f>IF(ISNUMBER(AVERAGE('20250815_ETF_Options_Exhibits'!D1651:D1655)),AVERAGE('20250815_ETF_Options_Exhibits'!D1651:D1655),"")</f>
        <v/>
      </c>
      <c r="E1655" s="3">
        <f>IF(ISNUMBER(AVERAGE('20250815_ETF_Options_Exhibits'!E1651:E1655)),AVERAGE('20250815_ETF_Options_Exhibits'!E1651:E1655),"")</f>
        <v/>
      </c>
      <c r="F1655" s="3">
        <f>IF(ISNUMBER(AVERAGE('20250815_ETF_Options_Exhibits'!F1651:F1655)),AVERAGE('20250815_ETF_Options_Exhibits'!F1651:F1655),"")</f>
        <v/>
      </c>
      <c r="G1655" s="3">
        <f>IF(ISNUMBER(AVERAGE('20250815_ETF_Options_Exhibits'!G1651:G1655)),AVERAGE('20250815_ETF_Options_Exhibits'!G1651:G1655),"")</f>
        <v/>
      </c>
      <c r="H1655" s="3">
        <f>IF(ISNUMBER(AVERAGE('20250815_ETF_Options_Exhibits'!H1651:H1655)),AVERAGE('20250815_ETF_Options_Exhibits'!H1651:H1655),"")</f>
        <v/>
      </c>
      <c r="I1655" s="3">
        <f>IF(ISNUMBER(AVERAGE('20250815_ETF_Options_Exhibits'!I1651:I1655)),AVERAGE('20250815_ETF_Options_Exhibits'!I1651:I1655),"")</f>
        <v/>
      </c>
      <c r="J1655" s="3">
        <f>IF(ISNUMBER(AVERAGE('20250815_ETF_Options_Exhibits'!J1651:J1655)),AVERAGE('20250815_ETF_Options_Exhibits'!J1651:J1655),"")</f>
        <v/>
      </c>
      <c r="K1655" s="3">
        <f>IF(ISNUMBER(AVERAGE('20250815_ETF_Options_Exhibits'!K1651:K1655)),AVERAGE('20250815_ETF_Options_Exhibits'!K1651:K1655),"")</f>
        <v/>
      </c>
      <c r="L1655" s="3">
        <f>IF(ISNUMBER(AVERAGE('20250815_ETF_Options_Exhibits'!L1651:L1655)),AVERAGE('20250815_ETF_Options_Exhibits'!L1651:L1655),"")</f>
        <v/>
      </c>
      <c r="M1655" s="3">
        <f>IF(ISNUMBER(AVERAGE('20250815_ETF_Options_Exhibits'!M1651:M1655)),AVERAGE('20250815_ETF_Options_Exhibits'!M1651:M1655),"")</f>
        <v/>
      </c>
      <c r="N1655" s="3">
        <f>IF(ISNUMBER(AVERAGE('20250815_ETF_Options_Exhibits'!N1651:N1655)),AVERAGE('20250815_ETF_Options_Exhibits'!N1651:N1655),"")</f>
        <v/>
      </c>
      <c r="O1655" s="3">
        <f>IF(ISNUMBER(AVERAGE('20250815_ETF_Options_Exhibits'!O1651:O1655)),AVERAGE('20250815_ETF_Options_Exhibits'!O1651:O1655),"")</f>
        <v/>
      </c>
      <c r="P1655" s="3">
        <f>IF(ISNUMBER(AVERAGE('20250815_ETF_Options_Exhibits'!P1651:P1655)),AVERAGE('20250815_ETF_Options_Exhibits'!P1651:P1655),"")</f>
        <v/>
      </c>
      <c r="Q1655" s="3">
        <f>IF(ISNUMBER(AVERAGE('20250815_ETF_Options_Exhibits'!Q1651:Q1655)),AVERAGE('20250815_ETF_Options_Exhibits'!Q1651:Q1655),"")</f>
        <v/>
      </c>
      <c r="R1655" s="3">
        <f>IF(ISNUMBER(AVERAGE('20250815_ETF_Options_Exhibits'!R1651:R1655)),AVERAGE('20250815_ETF_Options_Exhibits'!R1651:R1655),"")</f>
        <v/>
      </c>
      <c r="S1655" s="3">
        <f>IF(ISNUMBER(AVERAGE('20250815_ETF_Options_Exhibits'!S1651:S1655)),AVERAGE('20250815_ETF_Options_Exhibits'!S1651:S1655),"")</f>
        <v/>
      </c>
      <c r="T1655" s="3">
        <f>IF(ISNUMBER(AVERAGE('20250815_ETF_Options_Exhibits'!T1651:T1655)),AVERAGE('20250815_ETF_Options_Exhibits'!T1651:T1655),"")</f>
        <v/>
      </c>
      <c r="U1655" s="3">
        <f>IF(ISNUMBER(AVERAGE('20250815_ETF_Options_Exhibits'!U1651:U1655)),AVERAGE('20250815_ETF_Options_Exhibits'!U1651:U1655),"")</f>
        <v/>
      </c>
      <c r="V1655" s="3">
        <f>IF(ISNUMBER(AVERAGE('20250815_ETF_Options_Exhibits'!V1651:V1655)),AVERAGE('20250815_ETF_Options_Exhibits'!V1651:V1655),"")</f>
        <v/>
      </c>
      <c r="W1655" s="3">
        <f>IF(ISNUMBER(AVERAGE('20250815_ETF_Options_Exhibits'!W1651:W1655)),AVERAGE('20250815_ETF_Options_Exhibits'!W1651:W1655),"")</f>
        <v/>
      </c>
      <c r="X1655" s="3">
        <f>IF(ISNUMBER(AVERAGE('20250815_ETF_Options_Exhibits'!X1651:X1655)),AVERAGE('20250815_ETF_Options_Exhibits'!X1651:X1655),"")</f>
        <v/>
      </c>
      <c r="Y1655" s="3">
        <f>IF(ISNUMBER(AVERAGE('20250815_ETF_Options_Exhibits'!Y1651:Y1655)),AVERAGE('20250815_ETF_Options_Exhibits'!Y1651:Y1655),"")</f>
        <v/>
      </c>
      <c r="Z1655" s="3">
        <f>IF(ISNUMBER(AVERAGE('20250815_ETF_Options_Exhibits'!Z1651:Z1655)),AVERAGE('20250815_ETF_Options_Exhibits'!Z1651:Z1655),"")</f>
        <v/>
      </c>
      <c r="AA1655" s="3">
        <f>IF(ISNUMBER(AVERAGE('20250815_ETF_Options_Exhibits'!AA1651:AA1655)),AVERAGE('20250815_ETF_Options_Exhibits'!AA1651:AA1655),"")</f>
        <v/>
      </c>
    </row>
    <row r="1656">
      <c r="A1656" s="1" t="n">
        <v>44405</v>
      </c>
      <c r="B1656" s="3">
        <f>IF(ISNUMBER(AVERAGE('20250815_ETF_Options_Exhibits'!B1652:B1656)),AVERAGE('20250815_ETF_Options_Exhibits'!B1652:B1656),"")</f>
        <v/>
      </c>
      <c r="C1656" s="3">
        <f>IF(ISNUMBER(AVERAGE('20250815_ETF_Options_Exhibits'!C1652:C1656)),AVERAGE('20250815_ETF_Options_Exhibits'!C1652:C1656),"")</f>
        <v/>
      </c>
      <c r="D1656" s="3">
        <f>IF(ISNUMBER(AVERAGE('20250815_ETF_Options_Exhibits'!D1652:D1656)),AVERAGE('20250815_ETF_Options_Exhibits'!D1652:D1656),"")</f>
        <v/>
      </c>
      <c r="E1656" s="3">
        <f>IF(ISNUMBER(AVERAGE('20250815_ETF_Options_Exhibits'!E1652:E1656)),AVERAGE('20250815_ETF_Options_Exhibits'!E1652:E1656),"")</f>
        <v/>
      </c>
      <c r="F1656" s="3">
        <f>IF(ISNUMBER(AVERAGE('20250815_ETF_Options_Exhibits'!F1652:F1656)),AVERAGE('20250815_ETF_Options_Exhibits'!F1652:F1656),"")</f>
        <v/>
      </c>
      <c r="G1656" s="3">
        <f>IF(ISNUMBER(AVERAGE('20250815_ETF_Options_Exhibits'!G1652:G1656)),AVERAGE('20250815_ETF_Options_Exhibits'!G1652:G1656),"")</f>
        <v/>
      </c>
      <c r="H1656" s="3">
        <f>IF(ISNUMBER(AVERAGE('20250815_ETF_Options_Exhibits'!H1652:H1656)),AVERAGE('20250815_ETF_Options_Exhibits'!H1652:H1656),"")</f>
        <v/>
      </c>
      <c r="I1656" s="3">
        <f>IF(ISNUMBER(AVERAGE('20250815_ETF_Options_Exhibits'!I1652:I1656)),AVERAGE('20250815_ETF_Options_Exhibits'!I1652:I1656),"")</f>
        <v/>
      </c>
      <c r="J1656" s="3">
        <f>IF(ISNUMBER(AVERAGE('20250815_ETF_Options_Exhibits'!J1652:J1656)),AVERAGE('20250815_ETF_Options_Exhibits'!J1652:J1656),"")</f>
        <v/>
      </c>
      <c r="K1656" s="3">
        <f>IF(ISNUMBER(AVERAGE('20250815_ETF_Options_Exhibits'!K1652:K1656)),AVERAGE('20250815_ETF_Options_Exhibits'!K1652:K1656),"")</f>
        <v/>
      </c>
      <c r="L1656" s="3">
        <f>IF(ISNUMBER(AVERAGE('20250815_ETF_Options_Exhibits'!L1652:L1656)),AVERAGE('20250815_ETF_Options_Exhibits'!L1652:L1656),"")</f>
        <v/>
      </c>
      <c r="M1656" s="3">
        <f>IF(ISNUMBER(AVERAGE('20250815_ETF_Options_Exhibits'!M1652:M1656)),AVERAGE('20250815_ETF_Options_Exhibits'!M1652:M1656),"")</f>
        <v/>
      </c>
      <c r="N1656" s="3">
        <f>IF(ISNUMBER(AVERAGE('20250815_ETF_Options_Exhibits'!N1652:N1656)),AVERAGE('20250815_ETF_Options_Exhibits'!N1652:N1656),"")</f>
        <v/>
      </c>
      <c r="O1656" s="3">
        <f>IF(ISNUMBER(AVERAGE('20250815_ETF_Options_Exhibits'!O1652:O1656)),AVERAGE('20250815_ETF_Options_Exhibits'!O1652:O1656),"")</f>
        <v/>
      </c>
      <c r="P1656" s="3">
        <f>IF(ISNUMBER(AVERAGE('20250815_ETF_Options_Exhibits'!P1652:P1656)),AVERAGE('20250815_ETF_Options_Exhibits'!P1652:P1656),"")</f>
        <v/>
      </c>
      <c r="Q1656" s="3">
        <f>IF(ISNUMBER(AVERAGE('20250815_ETF_Options_Exhibits'!Q1652:Q1656)),AVERAGE('20250815_ETF_Options_Exhibits'!Q1652:Q1656),"")</f>
        <v/>
      </c>
      <c r="R1656" s="3">
        <f>IF(ISNUMBER(AVERAGE('20250815_ETF_Options_Exhibits'!R1652:R1656)),AVERAGE('20250815_ETF_Options_Exhibits'!R1652:R1656),"")</f>
        <v/>
      </c>
      <c r="S1656" s="3">
        <f>IF(ISNUMBER(AVERAGE('20250815_ETF_Options_Exhibits'!S1652:S1656)),AVERAGE('20250815_ETF_Options_Exhibits'!S1652:S1656),"")</f>
        <v/>
      </c>
      <c r="T1656" s="3">
        <f>IF(ISNUMBER(AVERAGE('20250815_ETF_Options_Exhibits'!T1652:T1656)),AVERAGE('20250815_ETF_Options_Exhibits'!T1652:T1656),"")</f>
        <v/>
      </c>
      <c r="U1656" s="3">
        <f>IF(ISNUMBER(AVERAGE('20250815_ETF_Options_Exhibits'!U1652:U1656)),AVERAGE('20250815_ETF_Options_Exhibits'!U1652:U1656),"")</f>
        <v/>
      </c>
      <c r="V1656" s="3">
        <f>IF(ISNUMBER(AVERAGE('20250815_ETF_Options_Exhibits'!V1652:V1656)),AVERAGE('20250815_ETF_Options_Exhibits'!V1652:V1656),"")</f>
        <v/>
      </c>
      <c r="W1656" s="3">
        <f>IF(ISNUMBER(AVERAGE('20250815_ETF_Options_Exhibits'!W1652:W1656)),AVERAGE('20250815_ETF_Options_Exhibits'!W1652:W1656),"")</f>
        <v/>
      </c>
      <c r="X1656" s="3">
        <f>IF(ISNUMBER(AVERAGE('20250815_ETF_Options_Exhibits'!X1652:X1656)),AVERAGE('20250815_ETF_Options_Exhibits'!X1652:X1656),"")</f>
        <v/>
      </c>
      <c r="Y1656" s="3">
        <f>IF(ISNUMBER(AVERAGE('20250815_ETF_Options_Exhibits'!Y1652:Y1656)),AVERAGE('20250815_ETF_Options_Exhibits'!Y1652:Y1656),"")</f>
        <v/>
      </c>
      <c r="Z1656" s="3">
        <f>IF(ISNUMBER(AVERAGE('20250815_ETF_Options_Exhibits'!Z1652:Z1656)),AVERAGE('20250815_ETF_Options_Exhibits'!Z1652:Z1656),"")</f>
        <v/>
      </c>
      <c r="AA1656" s="3">
        <f>IF(ISNUMBER(AVERAGE('20250815_ETF_Options_Exhibits'!AA1652:AA1656)),AVERAGE('20250815_ETF_Options_Exhibits'!AA1652:AA1656),"")</f>
        <v/>
      </c>
    </row>
    <row r="1657">
      <c r="A1657" s="1" t="n">
        <v>44406</v>
      </c>
      <c r="B1657" s="3">
        <f>IF(ISNUMBER(AVERAGE('20250815_ETF_Options_Exhibits'!B1653:B1657)),AVERAGE('20250815_ETF_Options_Exhibits'!B1653:B1657),"")</f>
        <v/>
      </c>
      <c r="C1657" s="3">
        <f>IF(ISNUMBER(AVERAGE('20250815_ETF_Options_Exhibits'!C1653:C1657)),AVERAGE('20250815_ETF_Options_Exhibits'!C1653:C1657),"")</f>
        <v/>
      </c>
      <c r="D1657" s="3">
        <f>IF(ISNUMBER(AVERAGE('20250815_ETF_Options_Exhibits'!D1653:D1657)),AVERAGE('20250815_ETF_Options_Exhibits'!D1653:D1657),"")</f>
        <v/>
      </c>
      <c r="E1657" s="3">
        <f>IF(ISNUMBER(AVERAGE('20250815_ETF_Options_Exhibits'!E1653:E1657)),AVERAGE('20250815_ETF_Options_Exhibits'!E1653:E1657),"")</f>
        <v/>
      </c>
      <c r="F1657" s="3">
        <f>IF(ISNUMBER(AVERAGE('20250815_ETF_Options_Exhibits'!F1653:F1657)),AVERAGE('20250815_ETF_Options_Exhibits'!F1653:F1657),"")</f>
        <v/>
      </c>
      <c r="G1657" s="3">
        <f>IF(ISNUMBER(AVERAGE('20250815_ETF_Options_Exhibits'!G1653:G1657)),AVERAGE('20250815_ETF_Options_Exhibits'!G1653:G1657),"")</f>
        <v/>
      </c>
      <c r="H1657" s="3">
        <f>IF(ISNUMBER(AVERAGE('20250815_ETF_Options_Exhibits'!H1653:H1657)),AVERAGE('20250815_ETF_Options_Exhibits'!H1653:H1657),"")</f>
        <v/>
      </c>
      <c r="I1657" s="3">
        <f>IF(ISNUMBER(AVERAGE('20250815_ETF_Options_Exhibits'!I1653:I1657)),AVERAGE('20250815_ETF_Options_Exhibits'!I1653:I1657),"")</f>
        <v/>
      </c>
      <c r="J1657" s="3">
        <f>IF(ISNUMBER(AVERAGE('20250815_ETF_Options_Exhibits'!J1653:J1657)),AVERAGE('20250815_ETF_Options_Exhibits'!J1653:J1657),"")</f>
        <v/>
      </c>
      <c r="K1657" s="3">
        <f>IF(ISNUMBER(AVERAGE('20250815_ETF_Options_Exhibits'!K1653:K1657)),AVERAGE('20250815_ETF_Options_Exhibits'!K1653:K1657),"")</f>
        <v/>
      </c>
      <c r="L1657" s="3">
        <f>IF(ISNUMBER(AVERAGE('20250815_ETF_Options_Exhibits'!L1653:L1657)),AVERAGE('20250815_ETF_Options_Exhibits'!L1653:L1657),"")</f>
        <v/>
      </c>
      <c r="M1657" s="3">
        <f>IF(ISNUMBER(AVERAGE('20250815_ETF_Options_Exhibits'!M1653:M1657)),AVERAGE('20250815_ETF_Options_Exhibits'!M1653:M1657),"")</f>
        <v/>
      </c>
      <c r="N1657" s="3">
        <f>IF(ISNUMBER(AVERAGE('20250815_ETF_Options_Exhibits'!N1653:N1657)),AVERAGE('20250815_ETF_Options_Exhibits'!N1653:N1657),"")</f>
        <v/>
      </c>
      <c r="O1657" s="3">
        <f>IF(ISNUMBER(AVERAGE('20250815_ETF_Options_Exhibits'!O1653:O1657)),AVERAGE('20250815_ETF_Options_Exhibits'!O1653:O1657),"")</f>
        <v/>
      </c>
      <c r="P1657" s="3">
        <f>IF(ISNUMBER(AVERAGE('20250815_ETF_Options_Exhibits'!P1653:P1657)),AVERAGE('20250815_ETF_Options_Exhibits'!P1653:P1657),"")</f>
        <v/>
      </c>
      <c r="Q1657" s="3">
        <f>IF(ISNUMBER(AVERAGE('20250815_ETF_Options_Exhibits'!Q1653:Q1657)),AVERAGE('20250815_ETF_Options_Exhibits'!Q1653:Q1657),"")</f>
        <v/>
      </c>
      <c r="R1657" s="3">
        <f>IF(ISNUMBER(AVERAGE('20250815_ETF_Options_Exhibits'!R1653:R1657)),AVERAGE('20250815_ETF_Options_Exhibits'!R1653:R1657),"")</f>
        <v/>
      </c>
      <c r="S1657" s="3">
        <f>IF(ISNUMBER(AVERAGE('20250815_ETF_Options_Exhibits'!S1653:S1657)),AVERAGE('20250815_ETF_Options_Exhibits'!S1653:S1657),"")</f>
        <v/>
      </c>
      <c r="T1657" s="3">
        <f>IF(ISNUMBER(AVERAGE('20250815_ETF_Options_Exhibits'!T1653:T1657)),AVERAGE('20250815_ETF_Options_Exhibits'!T1653:T1657),"")</f>
        <v/>
      </c>
      <c r="U1657" s="3">
        <f>IF(ISNUMBER(AVERAGE('20250815_ETF_Options_Exhibits'!U1653:U1657)),AVERAGE('20250815_ETF_Options_Exhibits'!U1653:U1657),"")</f>
        <v/>
      </c>
      <c r="V1657" s="3">
        <f>IF(ISNUMBER(AVERAGE('20250815_ETF_Options_Exhibits'!V1653:V1657)),AVERAGE('20250815_ETF_Options_Exhibits'!V1653:V1657),"")</f>
        <v/>
      </c>
      <c r="W1657" s="3">
        <f>IF(ISNUMBER(AVERAGE('20250815_ETF_Options_Exhibits'!W1653:W1657)),AVERAGE('20250815_ETF_Options_Exhibits'!W1653:W1657),"")</f>
        <v/>
      </c>
      <c r="X1657" s="3">
        <f>IF(ISNUMBER(AVERAGE('20250815_ETF_Options_Exhibits'!X1653:X1657)),AVERAGE('20250815_ETF_Options_Exhibits'!X1653:X1657),"")</f>
        <v/>
      </c>
      <c r="Y1657" s="3">
        <f>IF(ISNUMBER(AVERAGE('20250815_ETF_Options_Exhibits'!Y1653:Y1657)),AVERAGE('20250815_ETF_Options_Exhibits'!Y1653:Y1657),"")</f>
        <v/>
      </c>
      <c r="Z1657" s="3">
        <f>IF(ISNUMBER(AVERAGE('20250815_ETF_Options_Exhibits'!Z1653:Z1657)),AVERAGE('20250815_ETF_Options_Exhibits'!Z1653:Z1657),"")</f>
        <v/>
      </c>
      <c r="AA1657" s="3">
        <f>IF(ISNUMBER(AVERAGE('20250815_ETF_Options_Exhibits'!AA1653:AA1657)),AVERAGE('20250815_ETF_Options_Exhibits'!AA1653:AA1657),"")</f>
        <v/>
      </c>
    </row>
    <row r="1658">
      <c r="A1658" s="1" t="n">
        <v>44407</v>
      </c>
      <c r="B1658" s="3">
        <f>IF(ISNUMBER(AVERAGE('20250815_ETF_Options_Exhibits'!B1654:B1658)),AVERAGE('20250815_ETF_Options_Exhibits'!B1654:B1658),"")</f>
        <v/>
      </c>
      <c r="C1658" s="3">
        <f>IF(ISNUMBER(AVERAGE('20250815_ETF_Options_Exhibits'!C1654:C1658)),AVERAGE('20250815_ETF_Options_Exhibits'!C1654:C1658),"")</f>
        <v/>
      </c>
      <c r="D1658" s="3">
        <f>IF(ISNUMBER(AVERAGE('20250815_ETF_Options_Exhibits'!D1654:D1658)),AVERAGE('20250815_ETF_Options_Exhibits'!D1654:D1658),"")</f>
        <v/>
      </c>
      <c r="E1658" s="3">
        <f>IF(ISNUMBER(AVERAGE('20250815_ETF_Options_Exhibits'!E1654:E1658)),AVERAGE('20250815_ETF_Options_Exhibits'!E1654:E1658),"")</f>
        <v/>
      </c>
      <c r="F1658" s="3">
        <f>IF(ISNUMBER(AVERAGE('20250815_ETF_Options_Exhibits'!F1654:F1658)),AVERAGE('20250815_ETF_Options_Exhibits'!F1654:F1658),"")</f>
        <v/>
      </c>
      <c r="G1658" s="3">
        <f>IF(ISNUMBER(AVERAGE('20250815_ETF_Options_Exhibits'!G1654:G1658)),AVERAGE('20250815_ETF_Options_Exhibits'!G1654:G1658),"")</f>
        <v/>
      </c>
      <c r="H1658" s="3">
        <f>IF(ISNUMBER(AVERAGE('20250815_ETF_Options_Exhibits'!H1654:H1658)),AVERAGE('20250815_ETF_Options_Exhibits'!H1654:H1658),"")</f>
        <v/>
      </c>
      <c r="I1658" s="3">
        <f>IF(ISNUMBER(AVERAGE('20250815_ETF_Options_Exhibits'!I1654:I1658)),AVERAGE('20250815_ETF_Options_Exhibits'!I1654:I1658),"")</f>
        <v/>
      </c>
      <c r="J1658" s="3">
        <f>IF(ISNUMBER(AVERAGE('20250815_ETF_Options_Exhibits'!J1654:J1658)),AVERAGE('20250815_ETF_Options_Exhibits'!J1654:J1658),"")</f>
        <v/>
      </c>
      <c r="K1658" s="3">
        <f>IF(ISNUMBER(AVERAGE('20250815_ETF_Options_Exhibits'!K1654:K1658)),AVERAGE('20250815_ETF_Options_Exhibits'!K1654:K1658),"")</f>
        <v/>
      </c>
      <c r="L1658" s="3">
        <f>IF(ISNUMBER(AVERAGE('20250815_ETF_Options_Exhibits'!L1654:L1658)),AVERAGE('20250815_ETF_Options_Exhibits'!L1654:L1658),"")</f>
        <v/>
      </c>
      <c r="M1658" s="3">
        <f>IF(ISNUMBER(AVERAGE('20250815_ETF_Options_Exhibits'!M1654:M1658)),AVERAGE('20250815_ETF_Options_Exhibits'!M1654:M1658),"")</f>
        <v/>
      </c>
      <c r="N1658" s="3">
        <f>IF(ISNUMBER(AVERAGE('20250815_ETF_Options_Exhibits'!N1654:N1658)),AVERAGE('20250815_ETF_Options_Exhibits'!N1654:N1658),"")</f>
        <v/>
      </c>
      <c r="O1658" s="3">
        <f>IF(ISNUMBER(AVERAGE('20250815_ETF_Options_Exhibits'!O1654:O1658)),AVERAGE('20250815_ETF_Options_Exhibits'!O1654:O1658),"")</f>
        <v/>
      </c>
      <c r="P1658" s="3">
        <f>IF(ISNUMBER(AVERAGE('20250815_ETF_Options_Exhibits'!P1654:P1658)),AVERAGE('20250815_ETF_Options_Exhibits'!P1654:P1658),"")</f>
        <v/>
      </c>
      <c r="Q1658" s="3">
        <f>IF(ISNUMBER(AVERAGE('20250815_ETF_Options_Exhibits'!Q1654:Q1658)),AVERAGE('20250815_ETF_Options_Exhibits'!Q1654:Q1658),"")</f>
        <v/>
      </c>
      <c r="R1658" s="3">
        <f>IF(ISNUMBER(AVERAGE('20250815_ETF_Options_Exhibits'!R1654:R1658)),AVERAGE('20250815_ETF_Options_Exhibits'!R1654:R1658),"")</f>
        <v/>
      </c>
      <c r="S1658" s="3">
        <f>IF(ISNUMBER(AVERAGE('20250815_ETF_Options_Exhibits'!S1654:S1658)),AVERAGE('20250815_ETF_Options_Exhibits'!S1654:S1658),"")</f>
        <v/>
      </c>
      <c r="T1658" s="3">
        <f>IF(ISNUMBER(AVERAGE('20250815_ETF_Options_Exhibits'!T1654:T1658)),AVERAGE('20250815_ETF_Options_Exhibits'!T1654:T1658),"")</f>
        <v/>
      </c>
      <c r="U1658" s="3">
        <f>IF(ISNUMBER(AVERAGE('20250815_ETF_Options_Exhibits'!U1654:U1658)),AVERAGE('20250815_ETF_Options_Exhibits'!U1654:U1658),"")</f>
        <v/>
      </c>
      <c r="V1658" s="3">
        <f>IF(ISNUMBER(AVERAGE('20250815_ETF_Options_Exhibits'!V1654:V1658)),AVERAGE('20250815_ETF_Options_Exhibits'!V1654:V1658),"")</f>
        <v/>
      </c>
      <c r="W1658" s="3">
        <f>IF(ISNUMBER(AVERAGE('20250815_ETF_Options_Exhibits'!W1654:W1658)),AVERAGE('20250815_ETF_Options_Exhibits'!W1654:W1658),"")</f>
        <v/>
      </c>
      <c r="X1658" s="3">
        <f>IF(ISNUMBER(AVERAGE('20250815_ETF_Options_Exhibits'!X1654:X1658)),AVERAGE('20250815_ETF_Options_Exhibits'!X1654:X1658),"")</f>
        <v/>
      </c>
      <c r="Y1658" s="3">
        <f>IF(ISNUMBER(AVERAGE('20250815_ETF_Options_Exhibits'!Y1654:Y1658)),AVERAGE('20250815_ETF_Options_Exhibits'!Y1654:Y1658),"")</f>
        <v/>
      </c>
      <c r="Z1658" s="3">
        <f>IF(ISNUMBER(AVERAGE('20250815_ETF_Options_Exhibits'!Z1654:Z1658)),AVERAGE('20250815_ETF_Options_Exhibits'!Z1654:Z1658),"")</f>
        <v/>
      </c>
      <c r="AA1658" s="3">
        <f>IF(ISNUMBER(AVERAGE('20250815_ETF_Options_Exhibits'!AA1654:AA1658)),AVERAGE('20250815_ETF_Options_Exhibits'!AA1654:AA1658),"")</f>
        <v/>
      </c>
    </row>
    <row r="1659">
      <c r="A1659" s="1" t="n">
        <v>44410</v>
      </c>
      <c r="B1659" s="3">
        <f>IF(ISNUMBER(AVERAGE('20250815_ETF_Options_Exhibits'!B1655:B1659)),AVERAGE('20250815_ETF_Options_Exhibits'!B1655:B1659),"")</f>
        <v/>
      </c>
      <c r="C1659" s="3">
        <f>IF(ISNUMBER(AVERAGE('20250815_ETF_Options_Exhibits'!C1655:C1659)),AVERAGE('20250815_ETF_Options_Exhibits'!C1655:C1659),"")</f>
        <v/>
      </c>
      <c r="D1659" s="3">
        <f>IF(ISNUMBER(AVERAGE('20250815_ETF_Options_Exhibits'!D1655:D1659)),AVERAGE('20250815_ETF_Options_Exhibits'!D1655:D1659),"")</f>
        <v/>
      </c>
      <c r="E1659" s="3">
        <f>IF(ISNUMBER(AVERAGE('20250815_ETF_Options_Exhibits'!E1655:E1659)),AVERAGE('20250815_ETF_Options_Exhibits'!E1655:E1659),"")</f>
        <v/>
      </c>
      <c r="F1659" s="3">
        <f>IF(ISNUMBER(AVERAGE('20250815_ETF_Options_Exhibits'!F1655:F1659)),AVERAGE('20250815_ETF_Options_Exhibits'!F1655:F1659),"")</f>
        <v/>
      </c>
      <c r="G1659" s="3">
        <f>IF(ISNUMBER(AVERAGE('20250815_ETF_Options_Exhibits'!G1655:G1659)),AVERAGE('20250815_ETF_Options_Exhibits'!G1655:G1659),"")</f>
        <v/>
      </c>
      <c r="H1659" s="3">
        <f>IF(ISNUMBER(AVERAGE('20250815_ETF_Options_Exhibits'!H1655:H1659)),AVERAGE('20250815_ETF_Options_Exhibits'!H1655:H1659),"")</f>
        <v/>
      </c>
      <c r="I1659" s="3">
        <f>IF(ISNUMBER(AVERAGE('20250815_ETF_Options_Exhibits'!I1655:I1659)),AVERAGE('20250815_ETF_Options_Exhibits'!I1655:I1659),"")</f>
        <v/>
      </c>
      <c r="J1659" s="3">
        <f>IF(ISNUMBER(AVERAGE('20250815_ETF_Options_Exhibits'!J1655:J1659)),AVERAGE('20250815_ETF_Options_Exhibits'!J1655:J1659),"")</f>
        <v/>
      </c>
      <c r="K1659" s="3">
        <f>IF(ISNUMBER(AVERAGE('20250815_ETF_Options_Exhibits'!K1655:K1659)),AVERAGE('20250815_ETF_Options_Exhibits'!K1655:K1659),"")</f>
        <v/>
      </c>
      <c r="L1659" s="3">
        <f>IF(ISNUMBER(AVERAGE('20250815_ETF_Options_Exhibits'!L1655:L1659)),AVERAGE('20250815_ETF_Options_Exhibits'!L1655:L1659),"")</f>
        <v/>
      </c>
      <c r="M1659" s="3">
        <f>IF(ISNUMBER(AVERAGE('20250815_ETF_Options_Exhibits'!M1655:M1659)),AVERAGE('20250815_ETF_Options_Exhibits'!M1655:M1659),"")</f>
        <v/>
      </c>
      <c r="N1659" s="3">
        <f>IF(ISNUMBER(AVERAGE('20250815_ETF_Options_Exhibits'!N1655:N1659)),AVERAGE('20250815_ETF_Options_Exhibits'!N1655:N1659),"")</f>
        <v/>
      </c>
      <c r="O1659" s="3">
        <f>IF(ISNUMBER(AVERAGE('20250815_ETF_Options_Exhibits'!O1655:O1659)),AVERAGE('20250815_ETF_Options_Exhibits'!O1655:O1659),"")</f>
        <v/>
      </c>
      <c r="P1659" s="3">
        <f>IF(ISNUMBER(AVERAGE('20250815_ETF_Options_Exhibits'!P1655:P1659)),AVERAGE('20250815_ETF_Options_Exhibits'!P1655:P1659),"")</f>
        <v/>
      </c>
      <c r="Q1659" s="3">
        <f>IF(ISNUMBER(AVERAGE('20250815_ETF_Options_Exhibits'!Q1655:Q1659)),AVERAGE('20250815_ETF_Options_Exhibits'!Q1655:Q1659),"")</f>
        <v/>
      </c>
      <c r="R1659" s="3">
        <f>IF(ISNUMBER(AVERAGE('20250815_ETF_Options_Exhibits'!R1655:R1659)),AVERAGE('20250815_ETF_Options_Exhibits'!R1655:R1659),"")</f>
        <v/>
      </c>
      <c r="S1659" s="3">
        <f>IF(ISNUMBER(AVERAGE('20250815_ETF_Options_Exhibits'!S1655:S1659)),AVERAGE('20250815_ETF_Options_Exhibits'!S1655:S1659),"")</f>
        <v/>
      </c>
      <c r="T1659" s="3">
        <f>IF(ISNUMBER(AVERAGE('20250815_ETF_Options_Exhibits'!T1655:T1659)),AVERAGE('20250815_ETF_Options_Exhibits'!T1655:T1659),"")</f>
        <v/>
      </c>
      <c r="U1659" s="3">
        <f>IF(ISNUMBER(AVERAGE('20250815_ETF_Options_Exhibits'!U1655:U1659)),AVERAGE('20250815_ETF_Options_Exhibits'!U1655:U1659),"")</f>
        <v/>
      </c>
      <c r="V1659" s="3">
        <f>IF(ISNUMBER(AVERAGE('20250815_ETF_Options_Exhibits'!V1655:V1659)),AVERAGE('20250815_ETF_Options_Exhibits'!V1655:V1659),"")</f>
        <v/>
      </c>
      <c r="W1659" s="3">
        <f>IF(ISNUMBER(AVERAGE('20250815_ETF_Options_Exhibits'!W1655:W1659)),AVERAGE('20250815_ETF_Options_Exhibits'!W1655:W1659),"")</f>
        <v/>
      </c>
      <c r="X1659" s="3">
        <f>IF(ISNUMBER(AVERAGE('20250815_ETF_Options_Exhibits'!X1655:X1659)),AVERAGE('20250815_ETF_Options_Exhibits'!X1655:X1659),"")</f>
        <v/>
      </c>
      <c r="Y1659" s="3">
        <f>IF(ISNUMBER(AVERAGE('20250815_ETF_Options_Exhibits'!Y1655:Y1659)),AVERAGE('20250815_ETF_Options_Exhibits'!Y1655:Y1659),"")</f>
        <v/>
      </c>
      <c r="Z1659" s="3">
        <f>IF(ISNUMBER(AVERAGE('20250815_ETF_Options_Exhibits'!Z1655:Z1659)),AVERAGE('20250815_ETF_Options_Exhibits'!Z1655:Z1659),"")</f>
        <v/>
      </c>
      <c r="AA1659" s="3">
        <f>IF(ISNUMBER(AVERAGE('20250815_ETF_Options_Exhibits'!AA1655:AA1659)),AVERAGE('20250815_ETF_Options_Exhibits'!AA1655:AA1659),"")</f>
        <v/>
      </c>
    </row>
    <row r="1660">
      <c r="A1660" s="1" t="n">
        <v>44411</v>
      </c>
      <c r="B1660" s="3">
        <f>IF(ISNUMBER(AVERAGE('20250815_ETF_Options_Exhibits'!B1656:B1660)),AVERAGE('20250815_ETF_Options_Exhibits'!B1656:B1660),"")</f>
        <v/>
      </c>
      <c r="C1660" s="3">
        <f>IF(ISNUMBER(AVERAGE('20250815_ETF_Options_Exhibits'!C1656:C1660)),AVERAGE('20250815_ETF_Options_Exhibits'!C1656:C1660),"")</f>
        <v/>
      </c>
      <c r="D1660" s="3">
        <f>IF(ISNUMBER(AVERAGE('20250815_ETF_Options_Exhibits'!D1656:D1660)),AVERAGE('20250815_ETF_Options_Exhibits'!D1656:D1660),"")</f>
        <v/>
      </c>
      <c r="E1660" s="3">
        <f>IF(ISNUMBER(AVERAGE('20250815_ETF_Options_Exhibits'!E1656:E1660)),AVERAGE('20250815_ETF_Options_Exhibits'!E1656:E1660),"")</f>
        <v/>
      </c>
      <c r="F1660" s="3">
        <f>IF(ISNUMBER(AVERAGE('20250815_ETF_Options_Exhibits'!F1656:F1660)),AVERAGE('20250815_ETF_Options_Exhibits'!F1656:F1660),"")</f>
        <v/>
      </c>
      <c r="G1660" s="3">
        <f>IF(ISNUMBER(AVERAGE('20250815_ETF_Options_Exhibits'!G1656:G1660)),AVERAGE('20250815_ETF_Options_Exhibits'!G1656:G1660),"")</f>
        <v/>
      </c>
      <c r="H1660" s="3">
        <f>IF(ISNUMBER(AVERAGE('20250815_ETF_Options_Exhibits'!H1656:H1660)),AVERAGE('20250815_ETF_Options_Exhibits'!H1656:H1660),"")</f>
        <v/>
      </c>
      <c r="I1660" s="3">
        <f>IF(ISNUMBER(AVERAGE('20250815_ETF_Options_Exhibits'!I1656:I1660)),AVERAGE('20250815_ETF_Options_Exhibits'!I1656:I1660),"")</f>
        <v/>
      </c>
      <c r="J1660" s="3">
        <f>IF(ISNUMBER(AVERAGE('20250815_ETF_Options_Exhibits'!J1656:J1660)),AVERAGE('20250815_ETF_Options_Exhibits'!J1656:J1660),"")</f>
        <v/>
      </c>
      <c r="K1660" s="3">
        <f>IF(ISNUMBER(AVERAGE('20250815_ETF_Options_Exhibits'!K1656:K1660)),AVERAGE('20250815_ETF_Options_Exhibits'!K1656:K1660),"")</f>
        <v/>
      </c>
      <c r="L1660" s="3">
        <f>IF(ISNUMBER(AVERAGE('20250815_ETF_Options_Exhibits'!L1656:L1660)),AVERAGE('20250815_ETF_Options_Exhibits'!L1656:L1660),"")</f>
        <v/>
      </c>
      <c r="M1660" s="3">
        <f>IF(ISNUMBER(AVERAGE('20250815_ETF_Options_Exhibits'!M1656:M1660)),AVERAGE('20250815_ETF_Options_Exhibits'!M1656:M1660),"")</f>
        <v/>
      </c>
      <c r="N1660" s="3">
        <f>IF(ISNUMBER(AVERAGE('20250815_ETF_Options_Exhibits'!N1656:N1660)),AVERAGE('20250815_ETF_Options_Exhibits'!N1656:N1660),"")</f>
        <v/>
      </c>
      <c r="O1660" s="3">
        <f>IF(ISNUMBER(AVERAGE('20250815_ETF_Options_Exhibits'!O1656:O1660)),AVERAGE('20250815_ETF_Options_Exhibits'!O1656:O1660),"")</f>
        <v/>
      </c>
      <c r="P1660" s="3">
        <f>IF(ISNUMBER(AVERAGE('20250815_ETF_Options_Exhibits'!P1656:P1660)),AVERAGE('20250815_ETF_Options_Exhibits'!P1656:P1660),"")</f>
        <v/>
      </c>
      <c r="Q1660" s="3">
        <f>IF(ISNUMBER(AVERAGE('20250815_ETF_Options_Exhibits'!Q1656:Q1660)),AVERAGE('20250815_ETF_Options_Exhibits'!Q1656:Q1660),"")</f>
        <v/>
      </c>
      <c r="R1660" s="3">
        <f>IF(ISNUMBER(AVERAGE('20250815_ETF_Options_Exhibits'!R1656:R1660)),AVERAGE('20250815_ETF_Options_Exhibits'!R1656:R1660),"")</f>
        <v/>
      </c>
      <c r="S1660" s="3">
        <f>IF(ISNUMBER(AVERAGE('20250815_ETF_Options_Exhibits'!S1656:S1660)),AVERAGE('20250815_ETF_Options_Exhibits'!S1656:S1660),"")</f>
        <v/>
      </c>
      <c r="T1660" s="3">
        <f>IF(ISNUMBER(AVERAGE('20250815_ETF_Options_Exhibits'!T1656:T1660)),AVERAGE('20250815_ETF_Options_Exhibits'!T1656:T1660),"")</f>
        <v/>
      </c>
      <c r="U1660" s="3">
        <f>IF(ISNUMBER(AVERAGE('20250815_ETF_Options_Exhibits'!U1656:U1660)),AVERAGE('20250815_ETF_Options_Exhibits'!U1656:U1660),"")</f>
        <v/>
      </c>
      <c r="V1660" s="3">
        <f>IF(ISNUMBER(AVERAGE('20250815_ETF_Options_Exhibits'!V1656:V1660)),AVERAGE('20250815_ETF_Options_Exhibits'!V1656:V1660),"")</f>
        <v/>
      </c>
      <c r="W1660" s="3">
        <f>IF(ISNUMBER(AVERAGE('20250815_ETF_Options_Exhibits'!W1656:W1660)),AVERAGE('20250815_ETF_Options_Exhibits'!W1656:W1660),"")</f>
        <v/>
      </c>
      <c r="X1660" s="3">
        <f>IF(ISNUMBER(AVERAGE('20250815_ETF_Options_Exhibits'!X1656:X1660)),AVERAGE('20250815_ETF_Options_Exhibits'!X1656:X1660),"")</f>
        <v/>
      </c>
      <c r="Y1660" s="3">
        <f>IF(ISNUMBER(AVERAGE('20250815_ETF_Options_Exhibits'!Y1656:Y1660)),AVERAGE('20250815_ETF_Options_Exhibits'!Y1656:Y1660),"")</f>
        <v/>
      </c>
      <c r="Z1660" s="3">
        <f>IF(ISNUMBER(AVERAGE('20250815_ETF_Options_Exhibits'!Z1656:Z1660)),AVERAGE('20250815_ETF_Options_Exhibits'!Z1656:Z1660),"")</f>
        <v/>
      </c>
      <c r="AA1660" s="3">
        <f>IF(ISNUMBER(AVERAGE('20250815_ETF_Options_Exhibits'!AA1656:AA1660)),AVERAGE('20250815_ETF_Options_Exhibits'!AA1656:AA1660),"")</f>
        <v/>
      </c>
    </row>
    <row r="1661">
      <c r="A1661" s="1" t="n">
        <v>44412</v>
      </c>
      <c r="B1661" s="3">
        <f>IF(ISNUMBER(AVERAGE('20250815_ETF_Options_Exhibits'!B1657:B1661)),AVERAGE('20250815_ETF_Options_Exhibits'!B1657:B1661),"")</f>
        <v/>
      </c>
      <c r="C1661" s="3">
        <f>IF(ISNUMBER(AVERAGE('20250815_ETF_Options_Exhibits'!C1657:C1661)),AVERAGE('20250815_ETF_Options_Exhibits'!C1657:C1661),"")</f>
        <v/>
      </c>
      <c r="D1661" s="3">
        <f>IF(ISNUMBER(AVERAGE('20250815_ETF_Options_Exhibits'!D1657:D1661)),AVERAGE('20250815_ETF_Options_Exhibits'!D1657:D1661),"")</f>
        <v/>
      </c>
      <c r="E1661" s="3">
        <f>IF(ISNUMBER(AVERAGE('20250815_ETF_Options_Exhibits'!E1657:E1661)),AVERAGE('20250815_ETF_Options_Exhibits'!E1657:E1661),"")</f>
        <v/>
      </c>
      <c r="F1661" s="3">
        <f>IF(ISNUMBER(AVERAGE('20250815_ETF_Options_Exhibits'!F1657:F1661)),AVERAGE('20250815_ETF_Options_Exhibits'!F1657:F1661),"")</f>
        <v/>
      </c>
      <c r="G1661" s="3">
        <f>IF(ISNUMBER(AVERAGE('20250815_ETF_Options_Exhibits'!G1657:G1661)),AVERAGE('20250815_ETF_Options_Exhibits'!G1657:G1661),"")</f>
        <v/>
      </c>
      <c r="H1661" s="3">
        <f>IF(ISNUMBER(AVERAGE('20250815_ETF_Options_Exhibits'!H1657:H1661)),AVERAGE('20250815_ETF_Options_Exhibits'!H1657:H1661),"")</f>
        <v/>
      </c>
      <c r="I1661" s="3">
        <f>IF(ISNUMBER(AVERAGE('20250815_ETF_Options_Exhibits'!I1657:I1661)),AVERAGE('20250815_ETF_Options_Exhibits'!I1657:I1661),"")</f>
        <v/>
      </c>
      <c r="J1661" s="3">
        <f>IF(ISNUMBER(AVERAGE('20250815_ETF_Options_Exhibits'!J1657:J1661)),AVERAGE('20250815_ETF_Options_Exhibits'!J1657:J1661),"")</f>
        <v/>
      </c>
      <c r="K1661" s="3">
        <f>IF(ISNUMBER(AVERAGE('20250815_ETF_Options_Exhibits'!K1657:K1661)),AVERAGE('20250815_ETF_Options_Exhibits'!K1657:K1661),"")</f>
        <v/>
      </c>
      <c r="L1661" s="3">
        <f>IF(ISNUMBER(AVERAGE('20250815_ETF_Options_Exhibits'!L1657:L1661)),AVERAGE('20250815_ETF_Options_Exhibits'!L1657:L1661),"")</f>
        <v/>
      </c>
      <c r="M1661" s="3">
        <f>IF(ISNUMBER(AVERAGE('20250815_ETF_Options_Exhibits'!M1657:M1661)),AVERAGE('20250815_ETF_Options_Exhibits'!M1657:M1661),"")</f>
        <v/>
      </c>
      <c r="N1661" s="3">
        <f>IF(ISNUMBER(AVERAGE('20250815_ETF_Options_Exhibits'!N1657:N1661)),AVERAGE('20250815_ETF_Options_Exhibits'!N1657:N1661),"")</f>
        <v/>
      </c>
      <c r="O1661" s="3">
        <f>IF(ISNUMBER(AVERAGE('20250815_ETF_Options_Exhibits'!O1657:O1661)),AVERAGE('20250815_ETF_Options_Exhibits'!O1657:O1661),"")</f>
        <v/>
      </c>
      <c r="P1661" s="3">
        <f>IF(ISNUMBER(AVERAGE('20250815_ETF_Options_Exhibits'!P1657:P1661)),AVERAGE('20250815_ETF_Options_Exhibits'!P1657:P1661),"")</f>
        <v/>
      </c>
      <c r="Q1661" s="3">
        <f>IF(ISNUMBER(AVERAGE('20250815_ETF_Options_Exhibits'!Q1657:Q1661)),AVERAGE('20250815_ETF_Options_Exhibits'!Q1657:Q1661),"")</f>
        <v/>
      </c>
      <c r="R1661" s="3">
        <f>IF(ISNUMBER(AVERAGE('20250815_ETF_Options_Exhibits'!R1657:R1661)),AVERAGE('20250815_ETF_Options_Exhibits'!R1657:R1661),"")</f>
        <v/>
      </c>
      <c r="S1661" s="3">
        <f>IF(ISNUMBER(AVERAGE('20250815_ETF_Options_Exhibits'!S1657:S1661)),AVERAGE('20250815_ETF_Options_Exhibits'!S1657:S1661),"")</f>
        <v/>
      </c>
      <c r="T1661" s="3">
        <f>IF(ISNUMBER(AVERAGE('20250815_ETF_Options_Exhibits'!T1657:T1661)),AVERAGE('20250815_ETF_Options_Exhibits'!T1657:T1661),"")</f>
        <v/>
      </c>
      <c r="U1661" s="3">
        <f>IF(ISNUMBER(AVERAGE('20250815_ETF_Options_Exhibits'!U1657:U1661)),AVERAGE('20250815_ETF_Options_Exhibits'!U1657:U1661),"")</f>
        <v/>
      </c>
      <c r="V1661" s="3">
        <f>IF(ISNUMBER(AVERAGE('20250815_ETF_Options_Exhibits'!V1657:V1661)),AVERAGE('20250815_ETF_Options_Exhibits'!V1657:V1661),"")</f>
        <v/>
      </c>
      <c r="W1661" s="3">
        <f>IF(ISNUMBER(AVERAGE('20250815_ETF_Options_Exhibits'!W1657:W1661)),AVERAGE('20250815_ETF_Options_Exhibits'!W1657:W1661),"")</f>
        <v/>
      </c>
      <c r="X1661" s="3">
        <f>IF(ISNUMBER(AVERAGE('20250815_ETF_Options_Exhibits'!X1657:X1661)),AVERAGE('20250815_ETF_Options_Exhibits'!X1657:X1661),"")</f>
        <v/>
      </c>
      <c r="Y1661" s="3">
        <f>IF(ISNUMBER(AVERAGE('20250815_ETF_Options_Exhibits'!Y1657:Y1661)),AVERAGE('20250815_ETF_Options_Exhibits'!Y1657:Y1661),"")</f>
        <v/>
      </c>
      <c r="Z1661" s="3">
        <f>IF(ISNUMBER(AVERAGE('20250815_ETF_Options_Exhibits'!Z1657:Z1661)),AVERAGE('20250815_ETF_Options_Exhibits'!Z1657:Z1661),"")</f>
        <v/>
      </c>
      <c r="AA1661" s="3">
        <f>IF(ISNUMBER(AVERAGE('20250815_ETF_Options_Exhibits'!AA1657:AA1661)),AVERAGE('20250815_ETF_Options_Exhibits'!AA1657:AA1661),"")</f>
        <v/>
      </c>
    </row>
    <row r="1662">
      <c r="A1662" s="1" t="n">
        <v>44413</v>
      </c>
      <c r="B1662" s="3">
        <f>IF(ISNUMBER(AVERAGE('20250815_ETF_Options_Exhibits'!B1658:B1662)),AVERAGE('20250815_ETF_Options_Exhibits'!B1658:B1662),"")</f>
        <v/>
      </c>
      <c r="C1662" s="3">
        <f>IF(ISNUMBER(AVERAGE('20250815_ETF_Options_Exhibits'!C1658:C1662)),AVERAGE('20250815_ETF_Options_Exhibits'!C1658:C1662),"")</f>
        <v/>
      </c>
      <c r="D1662" s="3">
        <f>IF(ISNUMBER(AVERAGE('20250815_ETF_Options_Exhibits'!D1658:D1662)),AVERAGE('20250815_ETF_Options_Exhibits'!D1658:D1662),"")</f>
        <v/>
      </c>
      <c r="E1662" s="3">
        <f>IF(ISNUMBER(AVERAGE('20250815_ETF_Options_Exhibits'!E1658:E1662)),AVERAGE('20250815_ETF_Options_Exhibits'!E1658:E1662),"")</f>
        <v/>
      </c>
      <c r="F1662" s="3">
        <f>IF(ISNUMBER(AVERAGE('20250815_ETF_Options_Exhibits'!F1658:F1662)),AVERAGE('20250815_ETF_Options_Exhibits'!F1658:F1662),"")</f>
        <v/>
      </c>
      <c r="G1662" s="3">
        <f>IF(ISNUMBER(AVERAGE('20250815_ETF_Options_Exhibits'!G1658:G1662)),AVERAGE('20250815_ETF_Options_Exhibits'!G1658:G1662),"")</f>
        <v/>
      </c>
      <c r="H1662" s="3">
        <f>IF(ISNUMBER(AVERAGE('20250815_ETF_Options_Exhibits'!H1658:H1662)),AVERAGE('20250815_ETF_Options_Exhibits'!H1658:H1662),"")</f>
        <v/>
      </c>
      <c r="I1662" s="3">
        <f>IF(ISNUMBER(AVERAGE('20250815_ETF_Options_Exhibits'!I1658:I1662)),AVERAGE('20250815_ETF_Options_Exhibits'!I1658:I1662),"")</f>
        <v/>
      </c>
      <c r="J1662" s="3">
        <f>IF(ISNUMBER(AVERAGE('20250815_ETF_Options_Exhibits'!J1658:J1662)),AVERAGE('20250815_ETF_Options_Exhibits'!J1658:J1662),"")</f>
        <v/>
      </c>
      <c r="K1662" s="3">
        <f>IF(ISNUMBER(AVERAGE('20250815_ETF_Options_Exhibits'!K1658:K1662)),AVERAGE('20250815_ETF_Options_Exhibits'!K1658:K1662),"")</f>
        <v/>
      </c>
      <c r="L1662" s="3">
        <f>IF(ISNUMBER(AVERAGE('20250815_ETF_Options_Exhibits'!L1658:L1662)),AVERAGE('20250815_ETF_Options_Exhibits'!L1658:L1662),"")</f>
        <v/>
      </c>
      <c r="M1662" s="3">
        <f>IF(ISNUMBER(AVERAGE('20250815_ETF_Options_Exhibits'!M1658:M1662)),AVERAGE('20250815_ETF_Options_Exhibits'!M1658:M1662),"")</f>
        <v/>
      </c>
      <c r="N1662" s="3">
        <f>IF(ISNUMBER(AVERAGE('20250815_ETF_Options_Exhibits'!N1658:N1662)),AVERAGE('20250815_ETF_Options_Exhibits'!N1658:N1662),"")</f>
        <v/>
      </c>
      <c r="O1662" s="3">
        <f>IF(ISNUMBER(AVERAGE('20250815_ETF_Options_Exhibits'!O1658:O1662)),AVERAGE('20250815_ETF_Options_Exhibits'!O1658:O1662),"")</f>
        <v/>
      </c>
      <c r="P1662" s="3">
        <f>IF(ISNUMBER(AVERAGE('20250815_ETF_Options_Exhibits'!P1658:P1662)),AVERAGE('20250815_ETF_Options_Exhibits'!P1658:P1662),"")</f>
        <v/>
      </c>
      <c r="Q1662" s="3">
        <f>IF(ISNUMBER(AVERAGE('20250815_ETF_Options_Exhibits'!Q1658:Q1662)),AVERAGE('20250815_ETF_Options_Exhibits'!Q1658:Q1662),"")</f>
        <v/>
      </c>
      <c r="R1662" s="3">
        <f>IF(ISNUMBER(AVERAGE('20250815_ETF_Options_Exhibits'!R1658:R1662)),AVERAGE('20250815_ETF_Options_Exhibits'!R1658:R1662),"")</f>
        <v/>
      </c>
      <c r="S1662" s="3">
        <f>IF(ISNUMBER(AVERAGE('20250815_ETF_Options_Exhibits'!S1658:S1662)),AVERAGE('20250815_ETF_Options_Exhibits'!S1658:S1662),"")</f>
        <v/>
      </c>
      <c r="T1662" s="3">
        <f>IF(ISNUMBER(AVERAGE('20250815_ETF_Options_Exhibits'!T1658:T1662)),AVERAGE('20250815_ETF_Options_Exhibits'!T1658:T1662),"")</f>
        <v/>
      </c>
      <c r="U1662" s="3">
        <f>IF(ISNUMBER(AVERAGE('20250815_ETF_Options_Exhibits'!U1658:U1662)),AVERAGE('20250815_ETF_Options_Exhibits'!U1658:U1662),"")</f>
        <v/>
      </c>
      <c r="V1662" s="3">
        <f>IF(ISNUMBER(AVERAGE('20250815_ETF_Options_Exhibits'!V1658:V1662)),AVERAGE('20250815_ETF_Options_Exhibits'!V1658:V1662),"")</f>
        <v/>
      </c>
      <c r="W1662" s="3">
        <f>IF(ISNUMBER(AVERAGE('20250815_ETF_Options_Exhibits'!W1658:W1662)),AVERAGE('20250815_ETF_Options_Exhibits'!W1658:W1662),"")</f>
        <v/>
      </c>
      <c r="X1662" s="3">
        <f>IF(ISNUMBER(AVERAGE('20250815_ETF_Options_Exhibits'!X1658:X1662)),AVERAGE('20250815_ETF_Options_Exhibits'!X1658:X1662),"")</f>
        <v/>
      </c>
      <c r="Y1662" s="3">
        <f>IF(ISNUMBER(AVERAGE('20250815_ETF_Options_Exhibits'!Y1658:Y1662)),AVERAGE('20250815_ETF_Options_Exhibits'!Y1658:Y1662),"")</f>
        <v/>
      </c>
      <c r="Z1662" s="3">
        <f>IF(ISNUMBER(AVERAGE('20250815_ETF_Options_Exhibits'!Z1658:Z1662)),AVERAGE('20250815_ETF_Options_Exhibits'!Z1658:Z1662),"")</f>
        <v/>
      </c>
      <c r="AA1662" s="3">
        <f>IF(ISNUMBER(AVERAGE('20250815_ETF_Options_Exhibits'!AA1658:AA1662)),AVERAGE('20250815_ETF_Options_Exhibits'!AA1658:AA1662),"")</f>
        <v/>
      </c>
    </row>
    <row r="1663">
      <c r="A1663" s="1" t="n">
        <v>44414</v>
      </c>
      <c r="B1663" s="3">
        <f>IF(ISNUMBER(AVERAGE('20250815_ETF_Options_Exhibits'!B1659:B1663)),AVERAGE('20250815_ETF_Options_Exhibits'!B1659:B1663),"")</f>
        <v/>
      </c>
      <c r="C1663" s="3">
        <f>IF(ISNUMBER(AVERAGE('20250815_ETF_Options_Exhibits'!C1659:C1663)),AVERAGE('20250815_ETF_Options_Exhibits'!C1659:C1663),"")</f>
        <v/>
      </c>
      <c r="D1663" s="3">
        <f>IF(ISNUMBER(AVERAGE('20250815_ETF_Options_Exhibits'!D1659:D1663)),AVERAGE('20250815_ETF_Options_Exhibits'!D1659:D1663),"")</f>
        <v/>
      </c>
      <c r="E1663" s="3">
        <f>IF(ISNUMBER(AVERAGE('20250815_ETF_Options_Exhibits'!E1659:E1663)),AVERAGE('20250815_ETF_Options_Exhibits'!E1659:E1663),"")</f>
        <v/>
      </c>
      <c r="F1663" s="3">
        <f>IF(ISNUMBER(AVERAGE('20250815_ETF_Options_Exhibits'!F1659:F1663)),AVERAGE('20250815_ETF_Options_Exhibits'!F1659:F1663),"")</f>
        <v/>
      </c>
      <c r="G1663" s="3">
        <f>IF(ISNUMBER(AVERAGE('20250815_ETF_Options_Exhibits'!G1659:G1663)),AVERAGE('20250815_ETF_Options_Exhibits'!G1659:G1663),"")</f>
        <v/>
      </c>
      <c r="H1663" s="3">
        <f>IF(ISNUMBER(AVERAGE('20250815_ETF_Options_Exhibits'!H1659:H1663)),AVERAGE('20250815_ETF_Options_Exhibits'!H1659:H1663),"")</f>
        <v/>
      </c>
      <c r="I1663" s="3">
        <f>IF(ISNUMBER(AVERAGE('20250815_ETF_Options_Exhibits'!I1659:I1663)),AVERAGE('20250815_ETF_Options_Exhibits'!I1659:I1663),"")</f>
        <v/>
      </c>
      <c r="J1663" s="3">
        <f>IF(ISNUMBER(AVERAGE('20250815_ETF_Options_Exhibits'!J1659:J1663)),AVERAGE('20250815_ETF_Options_Exhibits'!J1659:J1663),"")</f>
        <v/>
      </c>
      <c r="K1663" s="3">
        <f>IF(ISNUMBER(AVERAGE('20250815_ETF_Options_Exhibits'!K1659:K1663)),AVERAGE('20250815_ETF_Options_Exhibits'!K1659:K1663),"")</f>
        <v/>
      </c>
      <c r="L1663" s="3">
        <f>IF(ISNUMBER(AVERAGE('20250815_ETF_Options_Exhibits'!L1659:L1663)),AVERAGE('20250815_ETF_Options_Exhibits'!L1659:L1663),"")</f>
        <v/>
      </c>
      <c r="M1663" s="3">
        <f>IF(ISNUMBER(AVERAGE('20250815_ETF_Options_Exhibits'!M1659:M1663)),AVERAGE('20250815_ETF_Options_Exhibits'!M1659:M1663),"")</f>
        <v/>
      </c>
      <c r="N1663" s="3">
        <f>IF(ISNUMBER(AVERAGE('20250815_ETF_Options_Exhibits'!N1659:N1663)),AVERAGE('20250815_ETF_Options_Exhibits'!N1659:N1663),"")</f>
        <v/>
      </c>
      <c r="O1663" s="3">
        <f>IF(ISNUMBER(AVERAGE('20250815_ETF_Options_Exhibits'!O1659:O1663)),AVERAGE('20250815_ETF_Options_Exhibits'!O1659:O1663),"")</f>
        <v/>
      </c>
      <c r="P1663" s="3">
        <f>IF(ISNUMBER(AVERAGE('20250815_ETF_Options_Exhibits'!P1659:P1663)),AVERAGE('20250815_ETF_Options_Exhibits'!P1659:P1663),"")</f>
        <v/>
      </c>
      <c r="Q1663" s="3">
        <f>IF(ISNUMBER(AVERAGE('20250815_ETF_Options_Exhibits'!Q1659:Q1663)),AVERAGE('20250815_ETF_Options_Exhibits'!Q1659:Q1663),"")</f>
        <v/>
      </c>
      <c r="R1663" s="3">
        <f>IF(ISNUMBER(AVERAGE('20250815_ETF_Options_Exhibits'!R1659:R1663)),AVERAGE('20250815_ETF_Options_Exhibits'!R1659:R1663),"")</f>
        <v/>
      </c>
      <c r="S1663" s="3">
        <f>IF(ISNUMBER(AVERAGE('20250815_ETF_Options_Exhibits'!S1659:S1663)),AVERAGE('20250815_ETF_Options_Exhibits'!S1659:S1663),"")</f>
        <v/>
      </c>
      <c r="T1663" s="3">
        <f>IF(ISNUMBER(AVERAGE('20250815_ETF_Options_Exhibits'!T1659:T1663)),AVERAGE('20250815_ETF_Options_Exhibits'!T1659:T1663),"")</f>
        <v/>
      </c>
      <c r="U1663" s="3">
        <f>IF(ISNUMBER(AVERAGE('20250815_ETF_Options_Exhibits'!U1659:U1663)),AVERAGE('20250815_ETF_Options_Exhibits'!U1659:U1663),"")</f>
        <v/>
      </c>
      <c r="V1663" s="3">
        <f>IF(ISNUMBER(AVERAGE('20250815_ETF_Options_Exhibits'!V1659:V1663)),AVERAGE('20250815_ETF_Options_Exhibits'!V1659:V1663),"")</f>
        <v/>
      </c>
      <c r="W1663" s="3">
        <f>IF(ISNUMBER(AVERAGE('20250815_ETF_Options_Exhibits'!W1659:W1663)),AVERAGE('20250815_ETF_Options_Exhibits'!W1659:W1663),"")</f>
        <v/>
      </c>
      <c r="X1663" s="3">
        <f>IF(ISNUMBER(AVERAGE('20250815_ETF_Options_Exhibits'!X1659:X1663)),AVERAGE('20250815_ETF_Options_Exhibits'!X1659:X1663),"")</f>
        <v/>
      </c>
      <c r="Y1663" s="3">
        <f>IF(ISNUMBER(AVERAGE('20250815_ETF_Options_Exhibits'!Y1659:Y1663)),AVERAGE('20250815_ETF_Options_Exhibits'!Y1659:Y1663),"")</f>
        <v/>
      </c>
      <c r="Z1663" s="3">
        <f>IF(ISNUMBER(AVERAGE('20250815_ETF_Options_Exhibits'!Z1659:Z1663)),AVERAGE('20250815_ETF_Options_Exhibits'!Z1659:Z1663),"")</f>
        <v/>
      </c>
      <c r="AA1663" s="3">
        <f>IF(ISNUMBER(AVERAGE('20250815_ETF_Options_Exhibits'!AA1659:AA1663)),AVERAGE('20250815_ETF_Options_Exhibits'!AA1659:AA1663),"")</f>
        <v/>
      </c>
    </row>
    <row r="1664">
      <c r="A1664" s="1" t="n">
        <v>44417</v>
      </c>
      <c r="B1664" s="3">
        <f>IF(ISNUMBER(AVERAGE('20250815_ETF_Options_Exhibits'!B1660:B1664)),AVERAGE('20250815_ETF_Options_Exhibits'!B1660:B1664),"")</f>
        <v/>
      </c>
      <c r="C1664" s="3">
        <f>IF(ISNUMBER(AVERAGE('20250815_ETF_Options_Exhibits'!C1660:C1664)),AVERAGE('20250815_ETF_Options_Exhibits'!C1660:C1664),"")</f>
        <v/>
      </c>
      <c r="D1664" s="3">
        <f>IF(ISNUMBER(AVERAGE('20250815_ETF_Options_Exhibits'!D1660:D1664)),AVERAGE('20250815_ETF_Options_Exhibits'!D1660:D1664),"")</f>
        <v/>
      </c>
      <c r="E1664" s="3">
        <f>IF(ISNUMBER(AVERAGE('20250815_ETF_Options_Exhibits'!E1660:E1664)),AVERAGE('20250815_ETF_Options_Exhibits'!E1660:E1664),"")</f>
        <v/>
      </c>
      <c r="F1664" s="3">
        <f>IF(ISNUMBER(AVERAGE('20250815_ETF_Options_Exhibits'!F1660:F1664)),AVERAGE('20250815_ETF_Options_Exhibits'!F1660:F1664),"")</f>
        <v/>
      </c>
      <c r="G1664" s="3">
        <f>IF(ISNUMBER(AVERAGE('20250815_ETF_Options_Exhibits'!G1660:G1664)),AVERAGE('20250815_ETF_Options_Exhibits'!G1660:G1664),"")</f>
        <v/>
      </c>
      <c r="H1664" s="3">
        <f>IF(ISNUMBER(AVERAGE('20250815_ETF_Options_Exhibits'!H1660:H1664)),AVERAGE('20250815_ETF_Options_Exhibits'!H1660:H1664),"")</f>
        <v/>
      </c>
      <c r="I1664" s="3">
        <f>IF(ISNUMBER(AVERAGE('20250815_ETF_Options_Exhibits'!I1660:I1664)),AVERAGE('20250815_ETF_Options_Exhibits'!I1660:I1664),"")</f>
        <v/>
      </c>
      <c r="J1664" s="3">
        <f>IF(ISNUMBER(AVERAGE('20250815_ETF_Options_Exhibits'!J1660:J1664)),AVERAGE('20250815_ETF_Options_Exhibits'!J1660:J1664),"")</f>
        <v/>
      </c>
      <c r="K1664" s="3">
        <f>IF(ISNUMBER(AVERAGE('20250815_ETF_Options_Exhibits'!K1660:K1664)),AVERAGE('20250815_ETF_Options_Exhibits'!K1660:K1664),"")</f>
        <v/>
      </c>
      <c r="L1664" s="3">
        <f>IF(ISNUMBER(AVERAGE('20250815_ETF_Options_Exhibits'!L1660:L1664)),AVERAGE('20250815_ETF_Options_Exhibits'!L1660:L1664),"")</f>
        <v/>
      </c>
      <c r="M1664" s="3">
        <f>IF(ISNUMBER(AVERAGE('20250815_ETF_Options_Exhibits'!M1660:M1664)),AVERAGE('20250815_ETF_Options_Exhibits'!M1660:M1664),"")</f>
        <v/>
      </c>
      <c r="N1664" s="3">
        <f>IF(ISNUMBER(AVERAGE('20250815_ETF_Options_Exhibits'!N1660:N1664)),AVERAGE('20250815_ETF_Options_Exhibits'!N1660:N1664),"")</f>
        <v/>
      </c>
      <c r="O1664" s="3">
        <f>IF(ISNUMBER(AVERAGE('20250815_ETF_Options_Exhibits'!O1660:O1664)),AVERAGE('20250815_ETF_Options_Exhibits'!O1660:O1664),"")</f>
        <v/>
      </c>
      <c r="P1664" s="3">
        <f>IF(ISNUMBER(AVERAGE('20250815_ETF_Options_Exhibits'!P1660:P1664)),AVERAGE('20250815_ETF_Options_Exhibits'!P1660:P1664),"")</f>
        <v/>
      </c>
      <c r="Q1664" s="3">
        <f>IF(ISNUMBER(AVERAGE('20250815_ETF_Options_Exhibits'!Q1660:Q1664)),AVERAGE('20250815_ETF_Options_Exhibits'!Q1660:Q1664),"")</f>
        <v/>
      </c>
      <c r="R1664" s="3">
        <f>IF(ISNUMBER(AVERAGE('20250815_ETF_Options_Exhibits'!R1660:R1664)),AVERAGE('20250815_ETF_Options_Exhibits'!R1660:R1664),"")</f>
        <v/>
      </c>
      <c r="S1664" s="3">
        <f>IF(ISNUMBER(AVERAGE('20250815_ETF_Options_Exhibits'!S1660:S1664)),AVERAGE('20250815_ETF_Options_Exhibits'!S1660:S1664),"")</f>
        <v/>
      </c>
      <c r="T1664" s="3">
        <f>IF(ISNUMBER(AVERAGE('20250815_ETF_Options_Exhibits'!T1660:T1664)),AVERAGE('20250815_ETF_Options_Exhibits'!T1660:T1664),"")</f>
        <v/>
      </c>
      <c r="U1664" s="3">
        <f>IF(ISNUMBER(AVERAGE('20250815_ETF_Options_Exhibits'!U1660:U1664)),AVERAGE('20250815_ETF_Options_Exhibits'!U1660:U1664),"")</f>
        <v/>
      </c>
      <c r="V1664" s="3">
        <f>IF(ISNUMBER(AVERAGE('20250815_ETF_Options_Exhibits'!V1660:V1664)),AVERAGE('20250815_ETF_Options_Exhibits'!V1660:V1664),"")</f>
        <v/>
      </c>
      <c r="W1664" s="3">
        <f>IF(ISNUMBER(AVERAGE('20250815_ETF_Options_Exhibits'!W1660:W1664)),AVERAGE('20250815_ETF_Options_Exhibits'!W1660:W1664),"")</f>
        <v/>
      </c>
      <c r="X1664" s="3">
        <f>IF(ISNUMBER(AVERAGE('20250815_ETF_Options_Exhibits'!X1660:X1664)),AVERAGE('20250815_ETF_Options_Exhibits'!X1660:X1664),"")</f>
        <v/>
      </c>
      <c r="Y1664" s="3">
        <f>IF(ISNUMBER(AVERAGE('20250815_ETF_Options_Exhibits'!Y1660:Y1664)),AVERAGE('20250815_ETF_Options_Exhibits'!Y1660:Y1664),"")</f>
        <v/>
      </c>
      <c r="Z1664" s="3">
        <f>IF(ISNUMBER(AVERAGE('20250815_ETF_Options_Exhibits'!Z1660:Z1664)),AVERAGE('20250815_ETF_Options_Exhibits'!Z1660:Z1664),"")</f>
        <v/>
      </c>
      <c r="AA1664" s="3">
        <f>IF(ISNUMBER(AVERAGE('20250815_ETF_Options_Exhibits'!AA1660:AA1664)),AVERAGE('20250815_ETF_Options_Exhibits'!AA1660:AA1664),"")</f>
        <v/>
      </c>
    </row>
    <row r="1665">
      <c r="A1665" s="1" t="n">
        <v>44418</v>
      </c>
      <c r="B1665" s="3">
        <f>IF(ISNUMBER(AVERAGE('20250815_ETF_Options_Exhibits'!B1661:B1665)),AVERAGE('20250815_ETF_Options_Exhibits'!B1661:B1665),"")</f>
        <v/>
      </c>
      <c r="C1665" s="3">
        <f>IF(ISNUMBER(AVERAGE('20250815_ETF_Options_Exhibits'!C1661:C1665)),AVERAGE('20250815_ETF_Options_Exhibits'!C1661:C1665),"")</f>
        <v/>
      </c>
      <c r="D1665" s="3">
        <f>IF(ISNUMBER(AVERAGE('20250815_ETF_Options_Exhibits'!D1661:D1665)),AVERAGE('20250815_ETF_Options_Exhibits'!D1661:D1665),"")</f>
        <v/>
      </c>
      <c r="E1665" s="3">
        <f>IF(ISNUMBER(AVERAGE('20250815_ETF_Options_Exhibits'!E1661:E1665)),AVERAGE('20250815_ETF_Options_Exhibits'!E1661:E1665),"")</f>
        <v/>
      </c>
      <c r="F1665" s="3">
        <f>IF(ISNUMBER(AVERAGE('20250815_ETF_Options_Exhibits'!F1661:F1665)),AVERAGE('20250815_ETF_Options_Exhibits'!F1661:F1665),"")</f>
        <v/>
      </c>
      <c r="G1665" s="3">
        <f>IF(ISNUMBER(AVERAGE('20250815_ETF_Options_Exhibits'!G1661:G1665)),AVERAGE('20250815_ETF_Options_Exhibits'!G1661:G1665),"")</f>
        <v/>
      </c>
      <c r="H1665" s="3">
        <f>IF(ISNUMBER(AVERAGE('20250815_ETF_Options_Exhibits'!H1661:H1665)),AVERAGE('20250815_ETF_Options_Exhibits'!H1661:H1665),"")</f>
        <v/>
      </c>
      <c r="I1665" s="3">
        <f>IF(ISNUMBER(AVERAGE('20250815_ETF_Options_Exhibits'!I1661:I1665)),AVERAGE('20250815_ETF_Options_Exhibits'!I1661:I1665),"")</f>
        <v/>
      </c>
      <c r="J1665" s="3">
        <f>IF(ISNUMBER(AVERAGE('20250815_ETF_Options_Exhibits'!J1661:J1665)),AVERAGE('20250815_ETF_Options_Exhibits'!J1661:J1665),"")</f>
        <v/>
      </c>
      <c r="K1665" s="3">
        <f>IF(ISNUMBER(AVERAGE('20250815_ETF_Options_Exhibits'!K1661:K1665)),AVERAGE('20250815_ETF_Options_Exhibits'!K1661:K1665),"")</f>
        <v/>
      </c>
      <c r="L1665" s="3">
        <f>IF(ISNUMBER(AVERAGE('20250815_ETF_Options_Exhibits'!L1661:L1665)),AVERAGE('20250815_ETF_Options_Exhibits'!L1661:L1665),"")</f>
        <v/>
      </c>
      <c r="M1665" s="3">
        <f>IF(ISNUMBER(AVERAGE('20250815_ETF_Options_Exhibits'!M1661:M1665)),AVERAGE('20250815_ETF_Options_Exhibits'!M1661:M1665),"")</f>
        <v/>
      </c>
      <c r="N1665" s="3">
        <f>IF(ISNUMBER(AVERAGE('20250815_ETF_Options_Exhibits'!N1661:N1665)),AVERAGE('20250815_ETF_Options_Exhibits'!N1661:N1665),"")</f>
        <v/>
      </c>
      <c r="O1665" s="3">
        <f>IF(ISNUMBER(AVERAGE('20250815_ETF_Options_Exhibits'!O1661:O1665)),AVERAGE('20250815_ETF_Options_Exhibits'!O1661:O1665),"")</f>
        <v/>
      </c>
      <c r="P1665" s="3">
        <f>IF(ISNUMBER(AVERAGE('20250815_ETF_Options_Exhibits'!P1661:P1665)),AVERAGE('20250815_ETF_Options_Exhibits'!P1661:P1665),"")</f>
        <v/>
      </c>
      <c r="Q1665" s="3">
        <f>IF(ISNUMBER(AVERAGE('20250815_ETF_Options_Exhibits'!Q1661:Q1665)),AVERAGE('20250815_ETF_Options_Exhibits'!Q1661:Q1665),"")</f>
        <v/>
      </c>
      <c r="R1665" s="3">
        <f>IF(ISNUMBER(AVERAGE('20250815_ETF_Options_Exhibits'!R1661:R1665)),AVERAGE('20250815_ETF_Options_Exhibits'!R1661:R1665),"")</f>
        <v/>
      </c>
      <c r="S1665" s="3">
        <f>IF(ISNUMBER(AVERAGE('20250815_ETF_Options_Exhibits'!S1661:S1665)),AVERAGE('20250815_ETF_Options_Exhibits'!S1661:S1665),"")</f>
        <v/>
      </c>
      <c r="T1665" s="3">
        <f>IF(ISNUMBER(AVERAGE('20250815_ETF_Options_Exhibits'!T1661:T1665)),AVERAGE('20250815_ETF_Options_Exhibits'!T1661:T1665),"")</f>
        <v/>
      </c>
      <c r="U1665" s="3">
        <f>IF(ISNUMBER(AVERAGE('20250815_ETF_Options_Exhibits'!U1661:U1665)),AVERAGE('20250815_ETF_Options_Exhibits'!U1661:U1665),"")</f>
        <v/>
      </c>
      <c r="V1665" s="3">
        <f>IF(ISNUMBER(AVERAGE('20250815_ETF_Options_Exhibits'!V1661:V1665)),AVERAGE('20250815_ETF_Options_Exhibits'!V1661:V1665),"")</f>
        <v/>
      </c>
      <c r="W1665" s="3">
        <f>IF(ISNUMBER(AVERAGE('20250815_ETF_Options_Exhibits'!W1661:W1665)),AVERAGE('20250815_ETF_Options_Exhibits'!W1661:W1665),"")</f>
        <v/>
      </c>
      <c r="X1665" s="3">
        <f>IF(ISNUMBER(AVERAGE('20250815_ETF_Options_Exhibits'!X1661:X1665)),AVERAGE('20250815_ETF_Options_Exhibits'!X1661:X1665),"")</f>
        <v/>
      </c>
      <c r="Y1665" s="3">
        <f>IF(ISNUMBER(AVERAGE('20250815_ETF_Options_Exhibits'!Y1661:Y1665)),AVERAGE('20250815_ETF_Options_Exhibits'!Y1661:Y1665),"")</f>
        <v/>
      </c>
      <c r="Z1665" s="3">
        <f>IF(ISNUMBER(AVERAGE('20250815_ETF_Options_Exhibits'!Z1661:Z1665)),AVERAGE('20250815_ETF_Options_Exhibits'!Z1661:Z1665),"")</f>
        <v/>
      </c>
      <c r="AA1665" s="3">
        <f>IF(ISNUMBER(AVERAGE('20250815_ETF_Options_Exhibits'!AA1661:AA1665)),AVERAGE('20250815_ETF_Options_Exhibits'!AA1661:AA1665),"")</f>
        <v/>
      </c>
    </row>
    <row r="1666">
      <c r="A1666" s="1" t="n">
        <v>44419</v>
      </c>
      <c r="B1666" s="3">
        <f>IF(ISNUMBER(AVERAGE('20250815_ETF_Options_Exhibits'!B1662:B1666)),AVERAGE('20250815_ETF_Options_Exhibits'!B1662:B1666),"")</f>
        <v/>
      </c>
      <c r="C1666" s="3">
        <f>IF(ISNUMBER(AVERAGE('20250815_ETF_Options_Exhibits'!C1662:C1666)),AVERAGE('20250815_ETF_Options_Exhibits'!C1662:C1666),"")</f>
        <v/>
      </c>
      <c r="D1666" s="3">
        <f>IF(ISNUMBER(AVERAGE('20250815_ETF_Options_Exhibits'!D1662:D1666)),AVERAGE('20250815_ETF_Options_Exhibits'!D1662:D1666),"")</f>
        <v/>
      </c>
      <c r="E1666" s="3">
        <f>IF(ISNUMBER(AVERAGE('20250815_ETF_Options_Exhibits'!E1662:E1666)),AVERAGE('20250815_ETF_Options_Exhibits'!E1662:E1666),"")</f>
        <v/>
      </c>
      <c r="F1666" s="3">
        <f>IF(ISNUMBER(AVERAGE('20250815_ETF_Options_Exhibits'!F1662:F1666)),AVERAGE('20250815_ETF_Options_Exhibits'!F1662:F1666),"")</f>
        <v/>
      </c>
      <c r="G1666" s="3">
        <f>IF(ISNUMBER(AVERAGE('20250815_ETF_Options_Exhibits'!G1662:G1666)),AVERAGE('20250815_ETF_Options_Exhibits'!G1662:G1666),"")</f>
        <v/>
      </c>
      <c r="H1666" s="3">
        <f>IF(ISNUMBER(AVERAGE('20250815_ETF_Options_Exhibits'!H1662:H1666)),AVERAGE('20250815_ETF_Options_Exhibits'!H1662:H1666),"")</f>
        <v/>
      </c>
      <c r="I1666" s="3">
        <f>IF(ISNUMBER(AVERAGE('20250815_ETF_Options_Exhibits'!I1662:I1666)),AVERAGE('20250815_ETF_Options_Exhibits'!I1662:I1666),"")</f>
        <v/>
      </c>
      <c r="J1666" s="3">
        <f>IF(ISNUMBER(AVERAGE('20250815_ETF_Options_Exhibits'!J1662:J1666)),AVERAGE('20250815_ETF_Options_Exhibits'!J1662:J1666),"")</f>
        <v/>
      </c>
      <c r="K1666" s="3">
        <f>IF(ISNUMBER(AVERAGE('20250815_ETF_Options_Exhibits'!K1662:K1666)),AVERAGE('20250815_ETF_Options_Exhibits'!K1662:K1666),"")</f>
        <v/>
      </c>
      <c r="L1666" s="3">
        <f>IF(ISNUMBER(AVERAGE('20250815_ETF_Options_Exhibits'!L1662:L1666)),AVERAGE('20250815_ETF_Options_Exhibits'!L1662:L1666),"")</f>
        <v/>
      </c>
      <c r="M1666" s="3">
        <f>IF(ISNUMBER(AVERAGE('20250815_ETF_Options_Exhibits'!M1662:M1666)),AVERAGE('20250815_ETF_Options_Exhibits'!M1662:M1666),"")</f>
        <v/>
      </c>
      <c r="N1666" s="3">
        <f>IF(ISNUMBER(AVERAGE('20250815_ETF_Options_Exhibits'!N1662:N1666)),AVERAGE('20250815_ETF_Options_Exhibits'!N1662:N1666),"")</f>
        <v/>
      </c>
      <c r="O1666" s="3">
        <f>IF(ISNUMBER(AVERAGE('20250815_ETF_Options_Exhibits'!O1662:O1666)),AVERAGE('20250815_ETF_Options_Exhibits'!O1662:O1666),"")</f>
        <v/>
      </c>
      <c r="P1666" s="3">
        <f>IF(ISNUMBER(AVERAGE('20250815_ETF_Options_Exhibits'!P1662:P1666)),AVERAGE('20250815_ETF_Options_Exhibits'!P1662:P1666),"")</f>
        <v/>
      </c>
      <c r="Q1666" s="3">
        <f>IF(ISNUMBER(AVERAGE('20250815_ETF_Options_Exhibits'!Q1662:Q1666)),AVERAGE('20250815_ETF_Options_Exhibits'!Q1662:Q1666),"")</f>
        <v/>
      </c>
      <c r="R1666" s="3">
        <f>IF(ISNUMBER(AVERAGE('20250815_ETF_Options_Exhibits'!R1662:R1666)),AVERAGE('20250815_ETF_Options_Exhibits'!R1662:R1666),"")</f>
        <v/>
      </c>
      <c r="S1666" s="3">
        <f>IF(ISNUMBER(AVERAGE('20250815_ETF_Options_Exhibits'!S1662:S1666)),AVERAGE('20250815_ETF_Options_Exhibits'!S1662:S1666),"")</f>
        <v/>
      </c>
      <c r="T1666" s="3">
        <f>IF(ISNUMBER(AVERAGE('20250815_ETF_Options_Exhibits'!T1662:T1666)),AVERAGE('20250815_ETF_Options_Exhibits'!T1662:T1666),"")</f>
        <v/>
      </c>
      <c r="U1666" s="3">
        <f>IF(ISNUMBER(AVERAGE('20250815_ETF_Options_Exhibits'!U1662:U1666)),AVERAGE('20250815_ETF_Options_Exhibits'!U1662:U1666),"")</f>
        <v/>
      </c>
      <c r="V1666" s="3">
        <f>IF(ISNUMBER(AVERAGE('20250815_ETF_Options_Exhibits'!V1662:V1666)),AVERAGE('20250815_ETF_Options_Exhibits'!V1662:V1666),"")</f>
        <v/>
      </c>
      <c r="W1666" s="3">
        <f>IF(ISNUMBER(AVERAGE('20250815_ETF_Options_Exhibits'!W1662:W1666)),AVERAGE('20250815_ETF_Options_Exhibits'!W1662:W1666),"")</f>
        <v/>
      </c>
      <c r="X1666" s="3">
        <f>IF(ISNUMBER(AVERAGE('20250815_ETF_Options_Exhibits'!X1662:X1666)),AVERAGE('20250815_ETF_Options_Exhibits'!X1662:X1666),"")</f>
        <v/>
      </c>
      <c r="Y1666" s="3">
        <f>IF(ISNUMBER(AVERAGE('20250815_ETF_Options_Exhibits'!Y1662:Y1666)),AVERAGE('20250815_ETF_Options_Exhibits'!Y1662:Y1666),"")</f>
        <v/>
      </c>
      <c r="Z1666" s="3">
        <f>IF(ISNUMBER(AVERAGE('20250815_ETF_Options_Exhibits'!Z1662:Z1666)),AVERAGE('20250815_ETF_Options_Exhibits'!Z1662:Z1666),"")</f>
        <v/>
      </c>
      <c r="AA1666" s="3">
        <f>IF(ISNUMBER(AVERAGE('20250815_ETF_Options_Exhibits'!AA1662:AA1666)),AVERAGE('20250815_ETF_Options_Exhibits'!AA1662:AA1666),"")</f>
        <v/>
      </c>
    </row>
    <row r="1667">
      <c r="A1667" s="1" t="n">
        <v>44420</v>
      </c>
      <c r="B1667" s="3">
        <f>IF(ISNUMBER(AVERAGE('20250815_ETF_Options_Exhibits'!B1663:B1667)),AVERAGE('20250815_ETF_Options_Exhibits'!B1663:B1667),"")</f>
        <v/>
      </c>
      <c r="C1667" s="3">
        <f>IF(ISNUMBER(AVERAGE('20250815_ETF_Options_Exhibits'!C1663:C1667)),AVERAGE('20250815_ETF_Options_Exhibits'!C1663:C1667),"")</f>
        <v/>
      </c>
      <c r="D1667" s="3">
        <f>IF(ISNUMBER(AVERAGE('20250815_ETF_Options_Exhibits'!D1663:D1667)),AVERAGE('20250815_ETF_Options_Exhibits'!D1663:D1667),"")</f>
        <v/>
      </c>
      <c r="E1667" s="3">
        <f>IF(ISNUMBER(AVERAGE('20250815_ETF_Options_Exhibits'!E1663:E1667)),AVERAGE('20250815_ETF_Options_Exhibits'!E1663:E1667),"")</f>
        <v/>
      </c>
      <c r="F1667" s="3">
        <f>IF(ISNUMBER(AVERAGE('20250815_ETF_Options_Exhibits'!F1663:F1667)),AVERAGE('20250815_ETF_Options_Exhibits'!F1663:F1667),"")</f>
        <v/>
      </c>
      <c r="G1667" s="3">
        <f>IF(ISNUMBER(AVERAGE('20250815_ETF_Options_Exhibits'!G1663:G1667)),AVERAGE('20250815_ETF_Options_Exhibits'!G1663:G1667),"")</f>
        <v/>
      </c>
      <c r="H1667" s="3">
        <f>IF(ISNUMBER(AVERAGE('20250815_ETF_Options_Exhibits'!H1663:H1667)),AVERAGE('20250815_ETF_Options_Exhibits'!H1663:H1667),"")</f>
        <v/>
      </c>
      <c r="I1667" s="3">
        <f>IF(ISNUMBER(AVERAGE('20250815_ETF_Options_Exhibits'!I1663:I1667)),AVERAGE('20250815_ETF_Options_Exhibits'!I1663:I1667),"")</f>
        <v/>
      </c>
      <c r="J1667" s="3">
        <f>IF(ISNUMBER(AVERAGE('20250815_ETF_Options_Exhibits'!J1663:J1667)),AVERAGE('20250815_ETF_Options_Exhibits'!J1663:J1667),"")</f>
        <v/>
      </c>
      <c r="K1667" s="3">
        <f>IF(ISNUMBER(AVERAGE('20250815_ETF_Options_Exhibits'!K1663:K1667)),AVERAGE('20250815_ETF_Options_Exhibits'!K1663:K1667),"")</f>
        <v/>
      </c>
      <c r="L1667" s="3">
        <f>IF(ISNUMBER(AVERAGE('20250815_ETF_Options_Exhibits'!L1663:L1667)),AVERAGE('20250815_ETF_Options_Exhibits'!L1663:L1667),"")</f>
        <v/>
      </c>
      <c r="M1667" s="3">
        <f>IF(ISNUMBER(AVERAGE('20250815_ETF_Options_Exhibits'!M1663:M1667)),AVERAGE('20250815_ETF_Options_Exhibits'!M1663:M1667),"")</f>
        <v/>
      </c>
      <c r="N1667" s="3">
        <f>IF(ISNUMBER(AVERAGE('20250815_ETF_Options_Exhibits'!N1663:N1667)),AVERAGE('20250815_ETF_Options_Exhibits'!N1663:N1667),"")</f>
        <v/>
      </c>
      <c r="O1667" s="3">
        <f>IF(ISNUMBER(AVERAGE('20250815_ETF_Options_Exhibits'!O1663:O1667)),AVERAGE('20250815_ETF_Options_Exhibits'!O1663:O1667),"")</f>
        <v/>
      </c>
      <c r="P1667" s="3">
        <f>IF(ISNUMBER(AVERAGE('20250815_ETF_Options_Exhibits'!P1663:P1667)),AVERAGE('20250815_ETF_Options_Exhibits'!P1663:P1667),"")</f>
        <v/>
      </c>
      <c r="Q1667" s="3">
        <f>IF(ISNUMBER(AVERAGE('20250815_ETF_Options_Exhibits'!Q1663:Q1667)),AVERAGE('20250815_ETF_Options_Exhibits'!Q1663:Q1667),"")</f>
        <v/>
      </c>
      <c r="R1667" s="3">
        <f>IF(ISNUMBER(AVERAGE('20250815_ETF_Options_Exhibits'!R1663:R1667)),AVERAGE('20250815_ETF_Options_Exhibits'!R1663:R1667),"")</f>
        <v/>
      </c>
      <c r="S1667" s="3">
        <f>IF(ISNUMBER(AVERAGE('20250815_ETF_Options_Exhibits'!S1663:S1667)),AVERAGE('20250815_ETF_Options_Exhibits'!S1663:S1667),"")</f>
        <v/>
      </c>
      <c r="T1667" s="3">
        <f>IF(ISNUMBER(AVERAGE('20250815_ETF_Options_Exhibits'!T1663:T1667)),AVERAGE('20250815_ETF_Options_Exhibits'!T1663:T1667),"")</f>
        <v/>
      </c>
      <c r="U1667" s="3">
        <f>IF(ISNUMBER(AVERAGE('20250815_ETF_Options_Exhibits'!U1663:U1667)),AVERAGE('20250815_ETF_Options_Exhibits'!U1663:U1667),"")</f>
        <v/>
      </c>
      <c r="V1667" s="3">
        <f>IF(ISNUMBER(AVERAGE('20250815_ETF_Options_Exhibits'!V1663:V1667)),AVERAGE('20250815_ETF_Options_Exhibits'!V1663:V1667),"")</f>
        <v/>
      </c>
      <c r="W1667" s="3">
        <f>IF(ISNUMBER(AVERAGE('20250815_ETF_Options_Exhibits'!W1663:W1667)),AVERAGE('20250815_ETF_Options_Exhibits'!W1663:W1667),"")</f>
        <v/>
      </c>
      <c r="X1667" s="3">
        <f>IF(ISNUMBER(AVERAGE('20250815_ETF_Options_Exhibits'!X1663:X1667)),AVERAGE('20250815_ETF_Options_Exhibits'!X1663:X1667),"")</f>
        <v/>
      </c>
      <c r="Y1667" s="3">
        <f>IF(ISNUMBER(AVERAGE('20250815_ETF_Options_Exhibits'!Y1663:Y1667)),AVERAGE('20250815_ETF_Options_Exhibits'!Y1663:Y1667),"")</f>
        <v/>
      </c>
      <c r="Z1667" s="3">
        <f>IF(ISNUMBER(AVERAGE('20250815_ETF_Options_Exhibits'!Z1663:Z1667)),AVERAGE('20250815_ETF_Options_Exhibits'!Z1663:Z1667),"")</f>
        <v/>
      </c>
      <c r="AA1667" s="3">
        <f>IF(ISNUMBER(AVERAGE('20250815_ETF_Options_Exhibits'!AA1663:AA1667)),AVERAGE('20250815_ETF_Options_Exhibits'!AA1663:AA1667),"")</f>
        <v/>
      </c>
    </row>
    <row r="1668">
      <c r="A1668" s="1" t="n">
        <v>44421</v>
      </c>
      <c r="B1668" s="3">
        <f>IF(ISNUMBER(AVERAGE('20250815_ETF_Options_Exhibits'!B1664:B1668)),AVERAGE('20250815_ETF_Options_Exhibits'!B1664:B1668),"")</f>
        <v/>
      </c>
      <c r="C1668" s="3">
        <f>IF(ISNUMBER(AVERAGE('20250815_ETF_Options_Exhibits'!C1664:C1668)),AVERAGE('20250815_ETF_Options_Exhibits'!C1664:C1668),"")</f>
        <v/>
      </c>
      <c r="D1668" s="3">
        <f>IF(ISNUMBER(AVERAGE('20250815_ETF_Options_Exhibits'!D1664:D1668)),AVERAGE('20250815_ETF_Options_Exhibits'!D1664:D1668),"")</f>
        <v/>
      </c>
      <c r="E1668" s="3">
        <f>IF(ISNUMBER(AVERAGE('20250815_ETF_Options_Exhibits'!E1664:E1668)),AVERAGE('20250815_ETF_Options_Exhibits'!E1664:E1668),"")</f>
        <v/>
      </c>
      <c r="F1668" s="3">
        <f>IF(ISNUMBER(AVERAGE('20250815_ETF_Options_Exhibits'!F1664:F1668)),AVERAGE('20250815_ETF_Options_Exhibits'!F1664:F1668),"")</f>
        <v/>
      </c>
      <c r="G1668" s="3">
        <f>IF(ISNUMBER(AVERAGE('20250815_ETF_Options_Exhibits'!G1664:G1668)),AVERAGE('20250815_ETF_Options_Exhibits'!G1664:G1668),"")</f>
        <v/>
      </c>
      <c r="H1668" s="3">
        <f>IF(ISNUMBER(AVERAGE('20250815_ETF_Options_Exhibits'!H1664:H1668)),AVERAGE('20250815_ETF_Options_Exhibits'!H1664:H1668),"")</f>
        <v/>
      </c>
      <c r="I1668" s="3">
        <f>IF(ISNUMBER(AVERAGE('20250815_ETF_Options_Exhibits'!I1664:I1668)),AVERAGE('20250815_ETF_Options_Exhibits'!I1664:I1668),"")</f>
        <v/>
      </c>
      <c r="J1668" s="3">
        <f>IF(ISNUMBER(AVERAGE('20250815_ETF_Options_Exhibits'!J1664:J1668)),AVERAGE('20250815_ETF_Options_Exhibits'!J1664:J1668),"")</f>
        <v/>
      </c>
      <c r="K1668" s="3">
        <f>IF(ISNUMBER(AVERAGE('20250815_ETF_Options_Exhibits'!K1664:K1668)),AVERAGE('20250815_ETF_Options_Exhibits'!K1664:K1668),"")</f>
        <v/>
      </c>
      <c r="L1668" s="3">
        <f>IF(ISNUMBER(AVERAGE('20250815_ETF_Options_Exhibits'!L1664:L1668)),AVERAGE('20250815_ETF_Options_Exhibits'!L1664:L1668),"")</f>
        <v/>
      </c>
      <c r="M1668" s="3">
        <f>IF(ISNUMBER(AVERAGE('20250815_ETF_Options_Exhibits'!M1664:M1668)),AVERAGE('20250815_ETF_Options_Exhibits'!M1664:M1668),"")</f>
        <v/>
      </c>
      <c r="N1668" s="3">
        <f>IF(ISNUMBER(AVERAGE('20250815_ETF_Options_Exhibits'!N1664:N1668)),AVERAGE('20250815_ETF_Options_Exhibits'!N1664:N1668),"")</f>
        <v/>
      </c>
      <c r="O1668" s="3">
        <f>IF(ISNUMBER(AVERAGE('20250815_ETF_Options_Exhibits'!O1664:O1668)),AVERAGE('20250815_ETF_Options_Exhibits'!O1664:O1668),"")</f>
        <v/>
      </c>
      <c r="P1668" s="3">
        <f>IF(ISNUMBER(AVERAGE('20250815_ETF_Options_Exhibits'!P1664:P1668)),AVERAGE('20250815_ETF_Options_Exhibits'!P1664:P1668),"")</f>
        <v/>
      </c>
      <c r="Q1668" s="3">
        <f>IF(ISNUMBER(AVERAGE('20250815_ETF_Options_Exhibits'!Q1664:Q1668)),AVERAGE('20250815_ETF_Options_Exhibits'!Q1664:Q1668),"")</f>
        <v/>
      </c>
      <c r="R1668" s="3">
        <f>IF(ISNUMBER(AVERAGE('20250815_ETF_Options_Exhibits'!R1664:R1668)),AVERAGE('20250815_ETF_Options_Exhibits'!R1664:R1668),"")</f>
        <v/>
      </c>
      <c r="S1668" s="3">
        <f>IF(ISNUMBER(AVERAGE('20250815_ETF_Options_Exhibits'!S1664:S1668)),AVERAGE('20250815_ETF_Options_Exhibits'!S1664:S1668),"")</f>
        <v/>
      </c>
      <c r="T1668" s="3">
        <f>IF(ISNUMBER(AVERAGE('20250815_ETF_Options_Exhibits'!T1664:T1668)),AVERAGE('20250815_ETF_Options_Exhibits'!T1664:T1668),"")</f>
        <v/>
      </c>
      <c r="U1668" s="3">
        <f>IF(ISNUMBER(AVERAGE('20250815_ETF_Options_Exhibits'!U1664:U1668)),AVERAGE('20250815_ETF_Options_Exhibits'!U1664:U1668),"")</f>
        <v/>
      </c>
      <c r="V1668" s="3">
        <f>IF(ISNUMBER(AVERAGE('20250815_ETF_Options_Exhibits'!V1664:V1668)),AVERAGE('20250815_ETF_Options_Exhibits'!V1664:V1668),"")</f>
        <v/>
      </c>
      <c r="W1668" s="3">
        <f>IF(ISNUMBER(AVERAGE('20250815_ETF_Options_Exhibits'!W1664:W1668)),AVERAGE('20250815_ETF_Options_Exhibits'!W1664:W1668),"")</f>
        <v/>
      </c>
      <c r="X1668" s="3">
        <f>IF(ISNUMBER(AVERAGE('20250815_ETF_Options_Exhibits'!X1664:X1668)),AVERAGE('20250815_ETF_Options_Exhibits'!X1664:X1668),"")</f>
        <v/>
      </c>
      <c r="Y1668" s="3">
        <f>IF(ISNUMBER(AVERAGE('20250815_ETF_Options_Exhibits'!Y1664:Y1668)),AVERAGE('20250815_ETF_Options_Exhibits'!Y1664:Y1668),"")</f>
        <v/>
      </c>
      <c r="Z1668" s="3">
        <f>IF(ISNUMBER(AVERAGE('20250815_ETF_Options_Exhibits'!Z1664:Z1668)),AVERAGE('20250815_ETF_Options_Exhibits'!Z1664:Z1668),"")</f>
        <v/>
      </c>
      <c r="AA1668" s="3">
        <f>IF(ISNUMBER(AVERAGE('20250815_ETF_Options_Exhibits'!AA1664:AA1668)),AVERAGE('20250815_ETF_Options_Exhibits'!AA1664:AA1668),"")</f>
        <v/>
      </c>
    </row>
    <row r="1669">
      <c r="A1669" s="1" t="n">
        <v>44424</v>
      </c>
      <c r="B1669" s="3">
        <f>IF(ISNUMBER(AVERAGE('20250815_ETF_Options_Exhibits'!B1665:B1669)),AVERAGE('20250815_ETF_Options_Exhibits'!B1665:B1669),"")</f>
        <v/>
      </c>
      <c r="C1669" s="3">
        <f>IF(ISNUMBER(AVERAGE('20250815_ETF_Options_Exhibits'!C1665:C1669)),AVERAGE('20250815_ETF_Options_Exhibits'!C1665:C1669),"")</f>
        <v/>
      </c>
      <c r="D1669" s="3">
        <f>IF(ISNUMBER(AVERAGE('20250815_ETF_Options_Exhibits'!D1665:D1669)),AVERAGE('20250815_ETF_Options_Exhibits'!D1665:D1669),"")</f>
        <v/>
      </c>
      <c r="E1669" s="3">
        <f>IF(ISNUMBER(AVERAGE('20250815_ETF_Options_Exhibits'!E1665:E1669)),AVERAGE('20250815_ETF_Options_Exhibits'!E1665:E1669),"")</f>
        <v/>
      </c>
      <c r="F1669" s="3">
        <f>IF(ISNUMBER(AVERAGE('20250815_ETF_Options_Exhibits'!F1665:F1669)),AVERAGE('20250815_ETF_Options_Exhibits'!F1665:F1669),"")</f>
        <v/>
      </c>
      <c r="G1669" s="3">
        <f>IF(ISNUMBER(AVERAGE('20250815_ETF_Options_Exhibits'!G1665:G1669)),AVERAGE('20250815_ETF_Options_Exhibits'!G1665:G1669),"")</f>
        <v/>
      </c>
      <c r="H1669" s="3">
        <f>IF(ISNUMBER(AVERAGE('20250815_ETF_Options_Exhibits'!H1665:H1669)),AVERAGE('20250815_ETF_Options_Exhibits'!H1665:H1669),"")</f>
        <v/>
      </c>
      <c r="I1669" s="3">
        <f>IF(ISNUMBER(AVERAGE('20250815_ETF_Options_Exhibits'!I1665:I1669)),AVERAGE('20250815_ETF_Options_Exhibits'!I1665:I1669),"")</f>
        <v/>
      </c>
      <c r="J1669" s="3">
        <f>IF(ISNUMBER(AVERAGE('20250815_ETF_Options_Exhibits'!J1665:J1669)),AVERAGE('20250815_ETF_Options_Exhibits'!J1665:J1669),"")</f>
        <v/>
      </c>
      <c r="K1669" s="3">
        <f>IF(ISNUMBER(AVERAGE('20250815_ETF_Options_Exhibits'!K1665:K1669)),AVERAGE('20250815_ETF_Options_Exhibits'!K1665:K1669),"")</f>
        <v/>
      </c>
      <c r="L1669" s="3">
        <f>IF(ISNUMBER(AVERAGE('20250815_ETF_Options_Exhibits'!L1665:L1669)),AVERAGE('20250815_ETF_Options_Exhibits'!L1665:L1669),"")</f>
        <v/>
      </c>
      <c r="M1669" s="3">
        <f>IF(ISNUMBER(AVERAGE('20250815_ETF_Options_Exhibits'!M1665:M1669)),AVERAGE('20250815_ETF_Options_Exhibits'!M1665:M1669),"")</f>
        <v/>
      </c>
      <c r="N1669" s="3">
        <f>IF(ISNUMBER(AVERAGE('20250815_ETF_Options_Exhibits'!N1665:N1669)),AVERAGE('20250815_ETF_Options_Exhibits'!N1665:N1669),"")</f>
        <v/>
      </c>
      <c r="O1669" s="3">
        <f>IF(ISNUMBER(AVERAGE('20250815_ETF_Options_Exhibits'!O1665:O1669)),AVERAGE('20250815_ETF_Options_Exhibits'!O1665:O1669),"")</f>
        <v/>
      </c>
      <c r="P1669" s="3">
        <f>IF(ISNUMBER(AVERAGE('20250815_ETF_Options_Exhibits'!P1665:P1669)),AVERAGE('20250815_ETF_Options_Exhibits'!P1665:P1669),"")</f>
        <v/>
      </c>
      <c r="Q1669" s="3">
        <f>IF(ISNUMBER(AVERAGE('20250815_ETF_Options_Exhibits'!Q1665:Q1669)),AVERAGE('20250815_ETF_Options_Exhibits'!Q1665:Q1669),"")</f>
        <v/>
      </c>
      <c r="R1669" s="3">
        <f>IF(ISNUMBER(AVERAGE('20250815_ETF_Options_Exhibits'!R1665:R1669)),AVERAGE('20250815_ETF_Options_Exhibits'!R1665:R1669),"")</f>
        <v/>
      </c>
      <c r="S1669" s="3">
        <f>IF(ISNUMBER(AVERAGE('20250815_ETF_Options_Exhibits'!S1665:S1669)),AVERAGE('20250815_ETF_Options_Exhibits'!S1665:S1669),"")</f>
        <v/>
      </c>
      <c r="T1669" s="3">
        <f>IF(ISNUMBER(AVERAGE('20250815_ETF_Options_Exhibits'!T1665:T1669)),AVERAGE('20250815_ETF_Options_Exhibits'!T1665:T1669),"")</f>
        <v/>
      </c>
      <c r="U1669" s="3">
        <f>IF(ISNUMBER(AVERAGE('20250815_ETF_Options_Exhibits'!U1665:U1669)),AVERAGE('20250815_ETF_Options_Exhibits'!U1665:U1669),"")</f>
        <v/>
      </c>
      <c r="V1669" s="3">
        <f>IF(ISNUMBER(AVERAGE('20250815_ETF_Options_Exhibits'!V1665:V1669)),AVERAGE('20250815_ETF_Options_Exhibits'!V1665:V1669),"")</f>
        <v/>
      </c>
      <c r="W1669" s="3">
        <f>IF(ISNUMBER(AVERAGE('20250815_ETF_Options_Exhibits'!W1665:W1669)),AVERAGE('20250815_ETF_Options_Exhibits'!W1665:W1669),"")</f>
        <v/>
      </c>
      <c r="X1669" s="3">
        <f>IF(ISNUMBER(AVERAGE('20250815_ETF_Options_Exhibits'!X1665:X1669)),AVERAGE('20250815_ETF_Options_Exhibits'!X1665:X1669),"")</f>
        <v/>
      </c>
      <c r="Y1669" s="3">
        <f>IF(ISNUMBER(AVERAGE('20250815_ETF_Options_Exhibits'!Y1665:Y1669)),AVERAGE('20250815_ETF_Options_Exhibits'!Y1665:Y1669),"")</f>
        <v/>
      </c>
      <c r="Z1669" s="3">
        <f>IF(ISNUMBER(AVERAGE('20250815_ETF_Options_Exhibits'!Z1665:Z1669)),AVERAGE('20250815_ETF_Options_Exhibits'!Z1665:Z1669),"")</f>
        <v/>
      </c>
      <c r="AA1669" s="3">
        <f>IF(ISNUMBER(AVERAGE('20250815_ETF_Options_Exhibits'!AA1665:AA1669)),AVERAGE('20250815_ETF_Options_Exhibits'!AA1665:AA1669),"")</f>
        <v/>
      </c>
    </row>
    <row r="1670">
      <c r="A1670" s="1" t="n">
        <v>44425</v>
      </c>
      <c r="B1670" s="3">
        <f>IF(ISNUMBER(AVERAGE('20250815_ETF_Options_Exhibits'!B1666:B1670)),AVERAGE('20250815_ETF_Options_Exhibits'!B1666:B1670),"")</f>
        <v/>
      </c>
      <c r="C1670" s="3">
        <f>IF(ISNUMBER(AVERAGE('20250815_ETF_Options_Exhibits'!C1666:C1670)),AVERAGE('20250815_ETF_Options_Exhibits'!C1666:C1670),"")</f>
        <v/>
      </c>
      <c r="D1670" s="3">
        <f>IF(ISNUMBER(AVERAGE('20250815_ETF_Options_Exhibits'!D1666:D1670)),AVERAGE('20250815_ETF_Options_Exhibits'!D1666:D1670),"")</f>
        <v/>
      </c>
      <c r="E1670" s="3">
        <f>IF(ISNUMBER(AVERAGE('20250815_ETF_Options_Exhibits'!E1666:E1670)),AVERAGE('20250815_ETF_Options_Exhibits'!E1666:E1670),"")</f>
        <v/>
      </c>
      <c r="F1670" s="3">
        <f>IF(ISNUMBER(AVERAGE('20250815_ETF_Options_Exhibits'!F1666:F1670)),AVERAGE('20250815_ETF_Options_Exhibits'!F1666:F1670),"")</f>
        <v/>
      </c>
      <c r="G1670" s="3">
        <f>IF(ISNUMBER(AVERAGE('20250815_ETF_Options_Exhibits'!G1666:G1670)),AVERAGE('20250815_ETF_Options_Exhibits'!G1666:G1670),"")</f>
        <v/>
      </c>
      <c r="H1670" s="3">
        <f>IF(ISNUMBER(AVERAGE('20250815_ETF_Options_Exhibits'!H1666:H1670)),AVERAGE('20250815_ETF_Options_Exhibits'!H1666:H1670),"")</f>
        <v/>
      </c>
      <c r="I1670" s="3">
        <f>IF(ISNUMBER(AVERAGE('20250815_ETF_Options_Exhibits'!I1666:I1670)),AVERAGE('20250815_ETF_Options_Exhibits'!I1666:I1670),"")</f>
        <v/>
      </c>
      <c r="J1670" s="3">
        <f>IF(ISNUMBER(AVERAGE('20250815_ETF_Options_Exhibits'!J1666:J1670)),AVERAGE('20250815_ETF_Options_Exhibits'!J1666:J1670),"")</f>
        <v/>
      </c>
      <c r="K1670" s="3">
        <f>IF(ISNUMBER(AVERAGE('20250815_ETF_Options_Exhibits'!K1666:K1670)),AVERAGE('20250815_ETF_Options_Exhibits'!K1666:K1670),"")</f>
        <v/>
      </c>
      <c r="L1670" s="3">
        <f>IF(ISNUMBER(AVERAGE('20250815_ETF_Options_Exhibits'!L1666:L1670)),AVERAGE('20250815_ETF_Options_Exhibits'!L1666:L1670),"")</f>
        <v/>
      </c>
      <c r="M1670" s="3">
        <f>IF(ISNUMBER(AVERAGE('20250815_ETF_Options_Exhibits'!M1666:M1670)),AVERAGE('20250815_ETF_Options_Exhibits'!M1666:M1670),"")</f>
        <v/>
      </c>
      <c r="N1670" s="3">
        <f>IF(ISNUMBER(AVERAGE('20250815_ETF_Options_Exhibits'!N1666:N1670)),AVERAGE('20250815_ETF_Options_Exhibits'!N1666:N1670),"")</f>
        <v/>
      </c>
      <c r="O1670" s="3">
        <f>IF(ISNUMBER(AVERAGE('20250815_ETF_Options_Exhibits'!O1666:O1670)),AVERAGE('20250815_ETF_Options_Exhibits'!O1666:O1670),"")</f>
        <v/>
      </c>
      <c r="P1670" s="3">
        <f>IF(ISNUMBER(AVERAGE('20250815_ETF_Options_Exhibits'!P1666:P1670)),AVERAGE('20250815_ETF_Options_Exhibits'!P1666:P1670),"")</f>
        <v/>
      </c>
      <c r="Q1670" s="3">
        <f>IF(ISNUMBER(AVERAGE('20250815_ETF_Options_Exhibits'!Q1666:Q1670)),AVERAGE('20250815_ETF_Options_Exhibits'!Q1666:Q1670),"")</f>
        <v/>
      </c>
      <c r="R1670" s="3">
        <f>IF(ISNUMBER(AVERAGE('20250815_ETF_Options_Exhibits'!R1666:R1670)),AVERAGE('20250815_ETF_Options_Exhibits'!R1666:R1670),"")</f>
        <v/>
      </c>
      <c r="S1670" s="3">
        <f>IF(ISNUMBER(AVERAGE('20250815_ETF_Options_Exhibits'!S1666:S1670)),AVERAGE('20250815_ETF_Options_Exhibits'!S1666:S1670),"")</f>
        <v/>
      </c>
      <c r="T1670" s="3">
        <f>IF(ISNUMBER(AVERAGE('20250815_ETF_Options_Exhibits'!T1666:T1670)),AVERAGE('20250815_ETF_Options_Exhibits'!T1666:T1670),"")</f>
        <v/>
      </c>
      <c r="U1670" s="3">
        <f>IF(ISNUMBER(AVERAGE('20250815_ETF_Options_Exhibits'!U1666:U1670)),AVERAGE('20250815_ETF_Options_Exhibits'!U1666:U1670),"")</f>
        <v/>
      </c>
      <c r="V1670" s="3">
        <f>IF(ISNUMBER(AVERAGE('20250815_ETF_Options_Exhibits'!V1666:V1670)),AVERAGE('20250815_ETF_Options_Exhibits'!V1666:V1670),"")</f>
        <v/>
      </c>
      <c r="W1670" s="3">
        <f>IF(ISNUMBER(AVERAGE('20250815_ETF_Options_Exhibits'!W1666:W1670)),AVERAGE('20250815_ETF_Options_Exhibits'!W1666:W1670),"")</f>
        <v/>
      </c>
      <c r="X1670" s="3">
        <f>IF(ISNUMBER(AVERAGE('20250815_ETF_Options_Exhibits'!X1666:X1670)),AVERAGE('20250815_ETF_Options_Exhibits'!X1666:X1670),"")</f>
        <v/>
      </c>
      <c r="Y1670" s="3">
        <f>IF(ISNUMBER(AVERAGE('20250815_ETF_Options_Exhibits'!Y1666:Y1670)),AVERAGE('20250815_ETF_Options_Exhibits'!Y1666:Y1670),"")</f>
        <v/>
      </c>
      <c r="Z1670" s="3">
        <f>IF(ISNUMBER(AVERAGE('20250815_ETF_Options_Exhibits'!Z1666:Z1670)),AVERAGE('20250815_ETF_Options_Exhibits'!Z1666:Z1670),"")</f>
        <v/>
      </c>
      <c r="AA1670" s="3">
        <f>IF(ISNUMBER(AVERAGE('20250815_ETF_Options_Exhibits'!AA1666:AA1670)),AVERAGE('20250815_ETF_Options_Exhibits'!AA1666:AA1670),"")</f>
        <v/>
      </c>
    </row>
    <row r="1671">
      <c r="A1671" s="1" t="n">
        <v>44426</v>
      </c>
      <c r="B1671" s="3">
        <f>IF(ISNUMBER(AVERAGE('20250815_ETF_Options_Exhibits'!B1667:B1671)),AVERAGE('20250815_ETF_Options_Exhibits'!B1667:B1671),"")</f>
        <v/>
      </c>
      <c r="C1671" s="3">
        <f>IF(ISNUMBER(AVERAGE('20250815_ETF_Options_Exhibits'!C1667:C1671)),AVERAGE('20250815_ETF_Options_Exhibits'!C1667:C1671),"")</f>
        <v/>
      </c>
      <c r="D1671" s="3">
        <f>IF(ISNUMBER(AVERAGE('20250815_ETF_Options_Exhibits'!D1667:D1671)),AVERAGE('20250815_ETF_Options_Exhibits'!D1667:D1671),"")</f>
        <v/>
      </c>
      <c r="E1671" s="3">
        <f>IF(ISNUMBER(AVERAGE('20250815_ETF_Options_Exhibits'!E1667:E1671)),AVERAGE('20250815_ETF_Options_Exhibits'!E1667:E1671),"")</f>
        <v/>
      </c>
      <c r="F1671" s="3">
        <f>IF(ISNUMBER(AVERAGE('20250815_ETF_Options_Exhibits'!F1667:F1671)),AVERAGE('20250815_ETF_Options_Exhibits'!F1667:F1671),"")</f>
        <v/>
      </c>
      <c r="G1671" s="3">
        <f>IF(ISNUMBER(AVERAGE('20250815_ETF_Options_Exhibits'!G1667:G1671)),AVERAGE('20250815_ETF_Options_Exhibits'!G1667:G1671),"")</f>
        <v/>
      </c>
      <c r="H1671" s="3">
        <f>IF(ISNUMBER(AVERAGE('20250815_ETF_Options_Exhibits'!H1667:H1671)),AVERAGE('20250815_ETF_Options_Exhibits'!H1667:H1671),"")</f>
        <v/>
      </c>
      <c r="I1671" s="3">
        <f>IF(ISNUMBER(AVERAGE('20250815_ETF_Options_Exhibits'!I1667:I1671)),AVERAGE('20250815_ETF_Options_Exhibits'!I1667:I1671),"")</f>
        <v/>
      </c>
      <c r="J1671" s="3">
        <f>IF(ISNUMBER(AVERAGE('20250815_ETF_Options_Exhibits'!J1667:J1671)),AVERAGE('20250815_ETF_Options_Exhibits'!J1667:J1671),"")</f>
        <v/>
      </c>
      <c r="K1671" s="3">
        <f>IF(ISNUMBER(AVERAGE('20250815_ETF_Options_Exhibits'!K1667:K1671)),AVERAGE('20250815_ETF_Options_Exhibits'!K1667:K1671),"")</f>
        <v/>
      </c>
      <c r="L1671" s="3">
        <f>IF(ISNUMBER(AVERAGE('20250815_ETF_Options_Exhibits'!L1667:L1671)),AVERAGE('20250815_ETF_Options_Exhibits'!L1667:L1671),"")</f>
        <v/>
      </c>
      <c r="M1671" s="3">
        <f>IF(ISNUMBER(AVERAGE('20250815_ETF_Options_Exhibits'!M1667:M1671)),AVERAGE('20250815_ETF_Options_Exhibits'!M1667:M1671),"")</f>
        <v/>
      </c>
      <c r="N1671" s="3">
        <f>IF(ISNUMBER(AVERAGE('20250815_ETF_Options_Exhibits'!N1667:N1671)),AVERAGE('20250815_ETF_Options_Exhibits'!N1667:N1671),"")</f>
        <v/>
      </c>
      <c r="O1671" s="3">
        <f>IF(ISNUMBER(AVERAGE('20250815_ETF_Options_Exhibits'!O1667:O1671)),AVERAGE('20250815_ETF_Options_Exhibits'!O1667:O1671),"")</f>
        <v/>
      </c>
      <c r="P1671" s="3">
        <f>IF(ISNUMBER(AVERAGE('20250815_ETF_Options_Exhibits'!P1667:P1671)),AVERAGE('20250815_ETF_Options_Exhibits'!P1667:P1671),"")</f>
        <v/>
      </c>
      <c r="Q1671" s="3">
        <f>IF(ISNUMBER(AVERAGE('20250815_ETF_Options_Exhibits'!Q1667:Q1671)),AVERAGE('20250815_ETF_Options_Exhibits'!Q1667:Q1671),"")</f>
        <v/>
      </c>
      <c r="R1671" s="3">
        <f>IF(ISNUMBER(AVERAGE('20250815_ETF_Options_Exhibits'!R1667:R1671)),AVERAGE('20250815_ETF_Options_Exhibits'!R1667:R1671),"")</f>
        <v/>
      </c>
      <c r="S1671" s="3">
        <f>IF(ISNUMBER(AVERAGE('20250815_ETF_Options_Exhibits'!S1667:S1671)),AVERAGE('20250815_ETF_Options_Exhibits'!S1667:S1671),"")</f>
        <v/>
      </c>
      <c r="T1671" s="3">
        <f>IF(ISNUMBER(AVERAGE('20250815_ETF_Options_Exhibits'!T1667:T1671)),AVERAGE('20250815_ETF_Options_Exhibits'!T1667:T1671),"")</f>
        <v/>
      </c>
      <c r="U1671" s="3">
        <f>IF(ISNUMBER(AVERAGE('20250815_ETF_Options_Exhibits'!U1667:U1671)),AVERAGE('20250815_ETF_Options_Exhibits'!U1667:U1671),"")</f>
        <v/>
      </c>
      <c r="V1671" s="3">
        <f>IF(ISNUMBER(AVERAGE('20250815_ETF_Options_Exhibits'!V1667:V1671)),AVERAGE('20250815_ETF_Options_Exhibits'!V1667:V1671),"")</f>
        <v/>
      </c>
      <c r="W1671" s="3">
        <f>IF(ISNUMBER(AVERAGE('20250815_ETF_Options_Exhibits'!W1667:W1671)),AVERAGE('20250815_ETF_Options_Exhibits'!W1667:W1671),"")</f>
        <v/>
      </c>
      <c r="X1671" s="3">
        <f>IF(ISNUMBER(AVERAGE('20250815_ETF_Options_Exhibits'!X1667:X1671)),AVERAGE('20250815_ETF_Options_Exhibits'!X1667:X1671),"")</f>
        <v/>
      </c>
      <c r="Y1671" s="3">
        <f>IF(ISNUMBER(AVERAGE('20250815_ETF_Options_Exhibits'!Y1667:Y1671)),AVERAGE('20250815_ETF_Options_Exhibits'!Y1667:Y1671),"")</f>
        <v/>
      </c>
      <c r="Z1671" s="3">
        <f>IF(ISNUMBER(AVERAGE('20250815_ETF_Options_Exhibits'!Z1667:Z1671)),AVERAGE('20250815_ETF_Options_Exhibits'!Z1667:Z1671),"")</f>
        <v/>
      </c>
      <c r="AA1671" s="3">
        <f>IF(ISNUMBER(AVERAGE('20250815_ETF_Options_Exhibits'!AA1667:AA1671)),AVERAGE('20250815_ETF_Options_Exhibits'!AA1667:AA1671),"")</f>
        <v/>
      </c>
    </row>
    <row r="1672">
      <c r="A1672" s="1" t="n">
        <v>44427</v>
      </c>
      <c r="B1672" s="3">
        <f>IF(ISNUMBER(AVERAGE('20250815_ETF_Options_Exhibits'!B1668:B1672)),AVERAGE('20250815_ETF_Options_Exhibits'!B1668:B1672),"")</f>
        <v/>
      </c>
      <c r="C1672" s="3">
        <f>IF(ISNUMBER(AVERAGE('20250815_ETF_Options_Exhibits'!C1668:C1672)),AVERAGE('20250815_ETF_Options_Exhibits'!C1668:C1672),"")</f>
        <v/>
      </c>
      <c r="D1672" s="3">
        <f>IF(ISNUMBER(AVERAGE('20250815_ETF_Options_Exhibits'!D1668:D1672)),AVERAGE('20250815_ETF_Options_Exhibits'!D1668:D1672),"")</f>
        <v/>
      </c>
      <c r="E1672" s="3">
        <f>IF(ISNUMBER(AVERAGE('20250815_ETF_Options_Exhibits'!E1668:E1672)),AVERAGE('20250815_ETF_Options_Exhibits'!E1668:E1672),"")</f>
        <v/>
      </c>
      <c r="F1672" s="3">
        <f>IF(ISNUMBER(AVERAGE('20250815_ETF_Options_Exhibits'!F1668:F1672)),AVERAGE('20250815_ETF_Options_Exhibits'!F1668:F1672),"")</f>
        <v/>
      </c>
      <c r="G1672" s="3">
        <f>IF(ISNUMBER(AVERAGE('20250815_ETF_Options_Exhibits'!G1668:G1672)),AVERAGE('20250815_ETF_Options_Exhibits'!G1668:G1672),"")</f>
        <v/>
      </c>
      <c r="H1672" s="3">
        <f>IF(ISNUMBER(AVERAGE('20250815_ETF_Options_Exhibits'!H1668:H1672)),AVERAGE('20250815_ETF_Options_Exhibits'!H1668:H1672),"")</f>
        <v/>
      </c>
      <c r="I1672" s="3">
        <f>IF(ISNUMBER(AVERAGE('20250815_ETF_Options_Exhibits'!I1668:I1672)),AVERAGE('20250815_ETF_Options_Exhibits'!I1668:I1672),"")</f>
        <v/>
      </c>
      <c r="J1672" s="3">
        <f>IF(ISNUMBER(AVERAGE('20250815_ETF_Options_Exhibits'!J1668:J1672)),AVERAGE('20250815_ETF_Options_Exhibits'!J1668:J1672),"")</f>
        <v/>
      </c>
      <c r="K1672" s="3">
        <f>IF(ISNUMBER(AVERAGE('20250815_ETF_Options_Exhibits'!K1668:K1672)),AVERAGE('20250815_ETF_Options_Exhibits'!K1668:K1672),"")</f>
        <v/>
      </c>
      <c r="L1672" s="3">
        <f>IF(ISNUMBER(AVERAGE('20250815_ETF_Options_Exhibits'!L1668:L1672)),AVERAGE('20250815_ETF_Options_Exhibits'!L1668:L1672),"")</f>
        <v/>
      </c>
      <c r="M1672" s="3">
        <f>IF(ISNUMBER(AVERAGE('20250815_ETF_Options_Exhibits'!M1668:M1672)),AVERAGE('20250815_ETF_Options_Exhibits'!M1668:M1672),"")</f>
        <v/>
      </c>
      <c r="N1672" s="3">
        <f>IF(ISNUMBER(AVERAGE('20250815_ETF_Options_Exhibits'!N1668:N1672)),AVERAGE('20250815_ETF_Options_Exhibits'!N1668:N1672),"")</f>
        <v/>
      </c>
      <c r="O1672" s="3">
        <f>IF(ISNUMBER(AVERAGE('20250815_ETF_Options_Exhibits'!O1668:O1672)),AVERAGE('20250815_ETF_Options_Exhibits'!O1668:O1672),"")</f>
        <v/>
      </c>
      <c r="P1672" s="3">
        <f>IF(ISNUMBER(AVERAGE('20250815_ETF_Options_Exhibits'!P1668:P1672)),AVERAGE('20250815_ETF_Options_Exhibits'!P1668:P1672),"")</f>
        <v/>
      </c>
      <c r="Q1672" s="3">
        <f>IF(ISNUMBER(AVERAGE('20250815_ETF_Options_Exhibits'!Q1668:Q1672)),AVERAGE('20250815_ETF_Options_Exhibits'!Q1668:Q1672),"")</f>
        <v/>
      </c>
      <c r="R1672" s="3">
        <f>IF(ISNUMBER(AVERAGE('20250815_ETF_Options_Exhibits'!R1668:R1672)),AVERAGE('20250815_ETF_Options_Exhibits'!R1668:R1672),"")</f>
        <v/>
      </c>
      <c r="S1672" s="3">
        <f>IF(ISNUMBER(AVERAGE('20250815_ETF_Options_Exhibits'!S1668:S1672)),AVERAGE('20250815_ETF_Options_Exhibits'!S1668:S1672),"")</f>
        <v/>
      </c>
      <c r="T1672" s="3">
        <f>IF(ISNUMBER(AVERAGE('20250815_ETF_Options_Exhibits'!T1668:T1672)),AVERAGE('20250815_ETF_Options_Exhibits'!T1668:T1672),"")</f>
        <v/>
      </c>
      <c r="U1672" s="3">
        <f>IF(ISNUMBER(AVERAGE('20250815_ETF_Options_Exhibits'!U1668:U1672)),AVERAGE('20250815_ETF_Options_Exhibits'!U1668:U1672),"")</f>
        <v/>
      </c>
      <c r="V1672" s="3">
        <f>IF(ISNUMBER(AVERAGE('20250815_ETF_Options_Exhibits'!V1668:V1672)),AVERAGE('20250815_ETF_Options_Exhibits'!V1668:V1672),"")</f>
        <v/>
      </c>
      <c r="W1672" s="3">
        <f>IF(ISNUMBER(AVERAGE('20250815_ETF_Options_Exhibits'!W1668:W1672)),AVERAGE('20250815_ETF_Options_Exhibits'!W1668:W1672),"")</f>
        <v/>
      </c>
      <c r="X1672" s="3">
        <f>IF(ISNUMBER(AVERAGE('20250815_ETF_Options_Exhibits'!X1668:X1672)),AVERAGE('20250815_ETF_Options_Exhibits'!X1668:X1672),"")</f>
        <v/>
      </c>
      <c r="Y1672" s="3">
        <f>IF(ISNUMBER(AVERAGE('20250815_ETF_Options_Exhibits'!Y1668:Y1672)),AVERAGE('20250815_ETF_Options_Exhibits'!Y1668:Y1672),"")</f>
        <v/>
      </c>
      <c r="Z1672" s="3">
        <f>IF(ISNUMBER(AVERAGE('20250815_ETF_Options_Exhibits'!Z1668:Z1672)),AVERAGE('20250815_ETF_Options_Exhibits'!Z1668:Z1672),"")</f>
        <v/>
      </c>
      <c r="AA1672" s="3">
        <f>IF(ISNUMBER(AVERAGE('20250815_ETF_Options_Exhibits'!AA1668:AA1672)),AVERAGE('20250815_ETF_Options_Exhibits'!AA1668:AA1672),"")</f>
        <v/>
      </c>
    </row>
    <row r="1673">
      <c r="A1673" s="1" t="n">
        <v>44428</v>
      </c>
      <c r="B1673" s="3">
        <f>IF(ISNUMBER(AVERAGE('20250815_ETF_Options_Exhibits'!B1669:B1673)),AVERAGE('20250815_ETF_Options_Exhibits'!B1669:B1673),"")</f>
        <v/>
      </c>
      <c r="C1673" s="3">
        <f>IF(ISNUMBER(AVERAGE('20250815_ETF_Options_Exhibits'!C1669:C1673)),AVERAGE('20250815_ETF_Options_Exhibits'!C1669:C1673),"")</f>
        <v/>
      </c>
      <c r="D1673" s="3">
        <f>IF(ISNUMBER(AVERAGE('20250815_ETF_Options_Exhibits'!D1669:D1673)),AVERAGE('20250815_ETF_Options_Exhibits'!D1669:D1673),"")</f>
        <v/>
      </c>
      <c r="E1673" s="3">
        <f>IF(ISNUMBER(AVERAGE('20250815_ETF_Options_Exhibits'!E1669:E1673)),AVERAGE('20250815_ETF_Options_Exhibits'!E1669:E1673),"")</f>
        <v/>
      </c>
      <c r="F1673" s="3">
        <f>IF(ISNUMBER(AVERAGE('20250815_ETF_Options_Exhibits'!F1669:F1673)),AVERAGE('20250815_ETF_Options_Exhibits'!F1669:F1673),"")</f>
        <v/>
      </c>
      <c r="G1673" s="3">
        <f>IF(ISNUMBER(AVERAGE('20250815_ETF_Options_Exhibits'!G1669:G1673)),AVERAGE('20250815_ETF_Options_Exhibits'!G1669:G1673),"")</f>
        <v/>
      </c>
      <c r="H1673" s="3">
        <f>IF(ISNUMBER(AVERAGE('20250815_ETF_Options_Exhibits'!H1669:H1673)),AVERAGE('20250815_ETF_Options_Exhibits'!H1669:H1673),"")</f>
        <v/>
      </c>
      <c r="I1673" s="3">
        <f>IF(ISNUMBER(AVERAGE('20250815_ETF_Options_Exhibits'!I1669:I1673)),AVERAGE('20250815_ETF_Options_Exhibits'!I1669:I1673),"")</f>
        <v/>
      </c>
      <c r="J1673" s="3">
        <f>IF(ISNUMBER(AVERAGE('20250815_ETF_Options_Exhibits'!J1669:J1673)),AVERAGE('20250815_ETF_Options_Exhibits'!J1669:J1673),"")</f>
        <v/>
      </c>
      <c r="K1673" s="3">
        <f>IF(ISNUMBER(AVERAGE('20250815_ETF_Options_Exhibits'!K1669:K1673)),AVERAGE('20250815_ETF_Options_Exhibits'!K1669:K1673),"")</f>
        <v/>
      </c>
      <c r="L1673" s="3">
        <f>IF(ISNUMBER(AVERAGE('20250815_ETF_Options_Exhibits'!L1669:L1673)),AVERAGE('20250815_ETF_Options_Exhibits'!L1669:L1673),"")</f>
        <v/>
      </c>
      <c r="M1673" s="3">
        <f>IF(ISNUMBER(AVERAGE('20250815_ETF_Options_Exhibits'!M1669:M1673)),AVERAGE('20250815_ETF_Options_Exhibits'!M1669:M1673),"")</f>
        <v/>
      </c>
      <c r="N1673" s="3">
        <f>IF(ISNUMBER(AVERAGE('20250815_ETF_Options_Exhibits'!N1669:N1673)),AVERAGE('20250815_ETF_Options_Exhibits'!N1669:N1673),"")</f>
        <v/>
      </c>
      <c r="O1673" s="3">
        <f>IF(ISNUMBER(AVERAGE('20250815_ETF_Options_Exhibits'!O1669:O1673)),AVERAGE('20250815_ETF_Options_Exhibits'!O1669:O1673),"")</f>
        <v/>
      </c>
      <c r="P1673" s="3">
        <f>IF(ISNUMBER(AVERAGE('20250815_ETF_Options_Exhibits'!P1669:P1673)),AVERAGE('20250815_ETF_Options_Exhibits'!P1669:P1673),"")</f>
        <v/>
      </c>
      <c r="Q1673" s="3">
        <f>IF(ISNUMBER(AVERAGE('20250815_ETF_Options_Exhibits'!Q1669:Q1673)),AVERAGE('20250815_ETF_Options_Exhibits'!Q1669:Q1673),"")</f>
        <v/>
      </c>
      <c r="R1673" s="3">
        <f>IF(ISNUMBER(AVERAGE('20250815_ETF_Options_Exhibits'!R1669:R1673)),AVERAGE('20250815_ETF_Options_Exhibits'!R1669:R1673),"")</f>
        <v/>
      </c>
      <c r="S1673" s="3">
        <f>IF(ISNUMBER(AVERAGE('20250815_ETF_Options_Exhibits'!S1669:S1673)),AVERAGE('20250815_ETF_Options_Exhibits'!S1669:S1673),"")</f>
        <v/>
      </c>
      <c r="T1673" s="3">
        <f>IF(ISNUMBER(AVERAGE('20250815_ETF_Options_Exhibits'!T1669:T1673)),AVERAGE('20250815_ETF_Options_Exhibits'!T1669:T1673),"")</f>
        <v/>
      </c>
      <c r="U1673" s="3">
        <f>IF(ISNUMBER(AVERAGE('20250815_ETF_Options_Exhibits'!U1669:U1673)),AVERAGE('20250815_ETF_Options_Exhibits'!U1669:U1673),"")</f>
        <v/>
      </c>
      <c r="V1673" s="3">
        <f>IF(ISNUMBER(AVERAGE('20250815_ETF_Options_Exhibits'!V1669:V1673)),AVERAGE('20250815_ETF_Options_Exhibits'!V1669:V1673),"")</f>
        <v/>
      </c>
      <c r="W1673" s="3">
        <f>IF(ISNUMBER(AVERAGE('20250815_ETF_Options_Exhibits'!W1669:W1673)),AVERAGE('20250815_ETF_Options_Exhibits'!W1669:W1673),"")</f>
        <v/>
      </c>
      <c r="X1673" s="3">
        <f>IF(ISNUMBER(AVERAGE('20250815_ETF_Options_Exhibits'!X1669:X1673)),AVERAGE('20250815_ETF_Options_Exhibits'!X1669:X1673),"")</f>
        <v/>
      </c>
      <c r="Y1673" s="3">
        <f>IF(ISNUMBER(AVERAGE('20250815_ETF_Options_Exhibits'!Y1669:Y1673)),AVERAGE('20250815_ETF_Options_Exhibits'!Y1669:Y1673),"")</f>
        <v/>
      </c>
      <c r="Z1673" s="3">
        <f>IF(ISNUMBER(AVERAGE('20250815_ETF_Options_Exhibits'!Z1669:Z1673)),AVERAGE('20250815_ETF_Options_Exhibits'!Z1669:Z1673),"")</f>
        <v/>
      </c>
      <c r="AA1673" s="3">
        <f>IF(ISNUMBER(AVERAGE('20250815_ETF_Options_Exhibits'!AA1669:AA1673)),AVERAGE('20250815_ETF_Options_Exhibits'!AA1669:AA1673),"")</f>
        <v/>
      </c>
    </row>
    <row r="1674">
      <c r="A1674" s="1" t="n">
        <v>44431</v>
      </c>
      <c r="B1674" s="3">
        <f>IF(ISNUMBER(AVERAGE('20250815_ETF_Options_Exhibits'!B1670:B1674)),AVERAGE('20250815_ETF_Options_Exhibits'!B1670:B1674),"")</f>
        <v/>
      </c>
      <c r="C1674" s="3">
        <f>IF(ISNUMBER(AVERAGE('20250815_ETF_Options_Exhibits'!C1670:C1674)),AVERAGE('20250815_ETF_Options_Exhibits'!C1670:C1674),"")</f>
        <v/>
      </c>
      <c r="D1674" s="3">
        <f>IF(ISNUMBER(AVERAGE('20250815_ETF_Options_Exhibits'!D1670:D1674)),AVERAGE('20250815_ETF_Options_Exhibits'!D1670:D1674),"")</f>
        <v/>
      </c>
      <c r="E1674" s="3">
        <f>IF(ISNUMBER(AVERAGE('20250815_ETF_Options_Exhibits'!E1670:E1674)),AVERAGE('20250815_ETF_Options_Exhibits'!E1670:E1674),"")</f>
        <v/>
      </c>
      <c r="F1674" s="3">
        <f>IF(ISNUMBER(AVERAGE('20250815_ETF_Options_Exhibits'!F1670:F1674)),AVERAGE('20250815_ETF_Options_Exhibits'!F1670:F1674),"")</f>
        <v/>
      </c>
      <c r="G1674" s="3">
        <f>IF(ISNUMBER(AVERAGE('20250815_ETF_Options_Exhibits'!G1670:G1674)),AVERAGE('20250815_ETF_Options_Exhibits'!G1670:G1674),"")</f>
        <v/>
      </c>
      <c r="H1674" s="3">
        <f>IF(ISNUMBER(AVERAGE('20250815_ETF_Options_Exhibits'!H1670:H1674)),AVERAGE('20250815_ETF_Options_Exhibits'!H1670:H1674),"")</f>
        <v/>
      </c>
      <c r="I1674" s="3">
        <f>IF(ISNUMBER(AVERAGE('20250815_ETF_Options_Exhibits'!I1670:I1674)),AVERAGE('20250815_ETF_Options_Exhibits'!I1670:I1674),"")</f>
        <v/>
      </c>
      <c r="J1674" s="3">
        <f>IF(ISNUMBER(AVERAGE('20250815_ETF_Options_Exhibits'!J1670:J1674)),AVERAGE('20250815_ETF_Options_Exhibits'!J1670:J1674),"")</f>
        <v/>
      </c>
      <c r="K1674" s="3">
        <f>IF(ISNUMBER(AVERAGE('20250815_ETF_Options_Exhibits'!K1670:K1674)),AVERAGE('20250815_ETF_Options_Exhibits'!K1670:K1674),"")</f>
        <v/>
      </c>
      <c r="L1674" s="3">
        <f>IF(ISNUMBER(AVERAGE('20250815_ETF_Options_Exhibits'!L1670:L1674)),AVERAGE('20250815_ETF_Options_Exhibits'!L1670:L1674),"")</f>
        <v/>
      </c>
      <c r="M1674" s="3">
        <f>IF(ISNUMBER(AVERAGE('20250815_ETF_Options_Exhibits'!M1670:M1674)),AVERAGE('20250815_ETF_Options_Exhibits'!M1670:M1674),"")</f>
        <v/>
      </c>
      <c r="N1674" s="3">
        <f>IF(ISNUMBER(AVERAGE('20250815_ETF_Options_Exhibits'!N1670:N1674)),AVERAGE('20250815_ETF_Options_Exhibits'!N1670:N1674),"")</f>
        <v/>
      </c>
      <c r="O1674" s="3">
        <f>IF(ISNUMBER(AVERAGE('20250815_ETF_Options_Exhibits'!O1670:O1674)),AVERAGE('20250815_ETF_Options_Exhibits'!O1670:O1674),"")</f>
        <v/>
      </c>
      <c r="P1674" s="3">
        <f>IF(ISNUMBER(AVERAGE('20250815_ETF_Options_Exhibits'!P1670:P1674)),AVERAGE('20250815_ETF_Options_Exhibits'!P1670:P1674),"")</f>
        <v/>
      </c>
      <c r="Q1674" s="3">
        <f>IF(ISNUMBER(AVERAGE('20250815_ETF_Options_Exhibits'!Q1670:Q1674)),AVERAGE('20250815_ETF_Options_Exhibits'!Q1670:Q1674),"")</f>
        <v/>
      </c>
      <c r="R1674" s="3">
        <f>IF(ISNUMBER(AVERAGE('20250815_ETF_Options_Exhibits'!R1670:R1674)),AVERAGE('20250815_ETF_Options_Exhibits'!R1670:R1674),"")</f>
        <v/>
      </c>
      <c r="S1674" s="3">
        <f>IF(ISNUMBER(AVERAGE('20250815_ETF_Options_Exhibits'!S1670:S1674)),AVERAGE('20250815_ETF_Options_Exhibits'!S1670:S1674),"")</f>
        <v/>
      </c>
      <c r="T1674" s="3">
        <f>IF(ISNUMBER(AVERAGE('20250815_ETF_Options_Exhibits'!T1670:T1674)),AVERAGE('20250815_ETF_Options_Exhibits'!T1670:T1674),"")</f>
        <v/>
      </c>
      <c r="U1674" s="3">
        <f>IF(ISNUMBER(AVERAGE('20250815_ETF_Options_Exhibits'!U1670:U1674)),AVERAGE('20250815_ETF_Options_Exhibits'!U1670:U1674),"")</f>
        <v/>
      </c>
      <c r="V1674" s="3">
        <f>IF(ISNUMBER(AVERAGE('20250815_ETF_Options_Exhibits'!V1670:V1674)),AVERAGE('20250815_ETF_Options_Exhibits'!V1670:V1674),"")</f>
        <v/>
      </c>
      <c r="W1674" s="3">
        <f>IF(ISNUMBER(AVERAGE('20250815_ETF_Options_Exhibits'!W1670:W1674)),AVERAGE('20250815_ETF_Options_Exhibits'!W1670:W1674),"")</f>
        <v/>
      </c>
      <c r="X1674" s="3">
        <f>IF(ISNUMBER(AVERAGE('20250815_ETF_Options_Exhibits'!X1670:X1674)),AVERAGE('20250815_ETF_Options_Exhibits'!X1670:X1674),"")</f>
        <v/>
      </c>
      <c r="Y1674" s="3">
        <f>IF(ISNUMBER(AVERAGE('20250815_ETF_Options_Exhibits'!Y1670:Y1674)),AVERAGE('20250815_ETF_Options_Exhibits'!Y1670:Y1674),"")</f>
        <v/>
      </c>
      <c r="Z1674" s="3">
        <f>IF(ISNUMBER(AVERAGE('20250815_ETF_Options_Exhibits'!Z1670:Z1674)),AVERAGE('20250815_ETF_Options_Exhibits'!Z1670:Z1674),"")</f>
        <v/>
      </c>
      <c r="AA1674" s="3">
        <f>IF(ISNUMBER(AVERAGE('20250815_ETF_Options_Exhibits'!AA1670:AA1674)),AVERAGE('20250815_ETF_Options_Exhibits'!AA1670:AA1674),"")</f>
        <v/>
      </c>
    </row>
    <row r="1675">
      <c r="A1675" s="1" t="n">
        <v>44432</v>
      </c>
      <c r="B1675" s="3">
        <f>IF(ISNUMBER(AVERAGE('20250815_ETF_Options_Exhibits'!B1671:B1675)),AVERAGE('20250815_ETF_Options_Exhibits'!B1671:B1675),"")</f>
        <v/>
      </c>
      <c r="C1675" s="3">
        <f>IF(ISNUMBER(AVERAGE('20250815_ETF_Options_Exhibits'!C1671:C1675)),AVERAGE('20250815_ETF_Options_Exhibits'!C1671:C1675),"")</f>
        <v/>
      </c>
      <c r="D1675" s="3">
        <f>IF(ISNUMBER(AVERAGE('20250815_ETF_Options_Exhibits'!D1671:D1675)),AVERAGE('20250815_ETF_Options_Exhibits'!D1671:D1675),"")</f>
        <v/>
      </c>
      <c r="E1675" s="3">
        <f>IF(ISNUMBER(AVERAGE('20250815_ETF_Options_Exhibits'!E1671:E1675)),AVERAGE('20250815_ETF_Options_Exhibits'!E1671:E1675),"")</f>
        <v/>
      </c>
      <c r="F1675" s="3">
        <f>IF(ISNUMBER(AVERAGE('20250815_ETF_Options_Exhibits'!F1671:F1675)),AVERAGE('20250815_ETF_Options_Exhibits'!F1671:F1675),"")</f>
        <v/>
      </c>
      <c r="G1675" s="3">
        <f>IF(ISNUMBER(AVERAGE('20250815_ETF_Options_Exhibits'!G1671:G1675)),AVERAGE('20250815_ETF_Options_Exhibits'!G1671:G1675),"")</f>
        <v/>
      </c>
      <c r="H1675" s="3">
        <f>IF(ISNUMBER(AVERAGE('20250815_ETF_Options_Exhibits'!H1671:H1675)),AVERAGE('20250815_ETF_Options_Exhibits'!H1671:H1675),"")</f>
        <v/>
      </c>
      <c r="I1675" s="3">
        <f>IF(ISNUMBER(AVERAGE('20250815_ETF_Options_Exhibits'!I1671:I1675)),AVERAGE('20250815_ETF_Options_Exhibits'!I1671:I1675),"")</f>
        <v/>
      </c>
      <c r="J1675" s="3">
        <f>IF(ISNUMBER(AVERAGE('20250815_ETF_Options_Exhibits'!J1671:J1675)),AVERAGE('20250815_ETF_Options_Exhibits'!J1671:J1675),"")</f>
        <v/>
      </c>
      <c r="K1675" s="3">
        <f>IF(ISNUMBER(AVERAGE('20250815_ETF_Options_Exhibits'!K1671:K1675)),AVERAGE('20250815_ETF_Options_Exhibits'!K1671:K1675),"")</f>
        <v/>
      </c>
      <c r="L1675" s="3">
        <f>IF(ISNUMBER(AVERAGE('20250815_ETF_Options_Exhibits'!L1671:L1675)),AVERAGE('20250815_ETF_Options_Exhibits'!L1671:L1675),"")</f>
        <v/>
      </c>
      <c r="M1675" s="3">
        <f>IF(ISNUMBER(AVERAGE('20250815_ETF_Options_Exhibits'!M1671:M1675)),AVERAGE('20250815_ETF_Options_Exhibits'!M1671:M1675),"")</f>
        <v/>
      </c>
      <c r="N1675" s="3">
        <f>IF(ISNUMBER(AVERAGE('20250815_ETF_Options_Exhibits'!N1671:N1675)),AVERAGE('20250815_ETF_Options_Exhibits'!N1671:N1675),"")</f>
        <v/>
      </c>
      <c r="O1675" s="3">
        <f>IF(ISNUMBER(AVERAGE('20250815_ETF_Options_Exhibits'!O1671:O1675)),AVERAGE('20250815_ETF_Options_Exhibits'!O1671:O1675),"")</f>
        <v/>
      </c>
      <c r="P1675" s="3">
        <f>IF(ISNUMBER(AVERAGE('20250815_ETF_Options_Exhibits'!P1671:P1675)),AVERAGE('20250815_ETF_Options_Exhibits'!P1671:P1675),"")</f>
        <v/>
      </c>
      <c r="Q1675" s="3">
        <f>IF(ISNUMBER(AVERAGE('20250815_ETF_Options_Exhibits'!Q1671:Q1675)),AVERAGE('20250815_ETF_Options_Exhibits'!Q1671:Q1675),"")</f>
        <v/>
      </c>
      <c r="R1675" s="3">
        <f>IF(ISNUMBER(AVERAGE('20250815_ETF_Options_Exhibits'!R1671:R1675)),AVERAGE('20250815_ETF_Options_Exhibits'!R1671:R1675),"")</f>
        <v/>
      </c>
      <c r="S1675" s="3">
        <f>IF(ISNUMBER(AVERAGE('20250815_ETF_Options_Exhibits'!S1671:S1675)),AVERAGE('20250815_ETF_Options_Exhibits'!S1671:S1675),"")</f>
        <v/>
      </c>
      <c r="T1675" s="3">
        <f>IF(ISNUMBER(AVERAGE('20250815_ETF_Options_Exhibits'!T1671:T1675)),AVERAGE('20250815_ETF_Options_Exhibits'!T1671:T1675),"")</f>
        <v/>
      </c>
      <c r="U1675" s="3">
        <f>IF(ISNUMBER(AVERAGE('20250815_ETF_Options_Exhibits'!U1671:U1675)),AVERAGE('20250815_ETF_Options_Exhibits'!U1671:U1675),"")</f>
        <v/>
      </c>
      <c r="V1675" s="3">
        <f>IF(ISNUMBER(AVERAGE('20250815_ETF_Options_Exhibits'!V1671:V1675)),AVERAGE('20250815_ETF_Options_Exhibits'!V1671:V1675),"")</f>
        <v/>
      </c>
      <c r="W1675" s="3">
        <f>IF(ISNUMBER(AVERAGE('20250815_ETF_Options_Exhibits'!W1671:W1675)),AVERAGE('20250815_ETF_Options_Exhibits'!W1671:W1675),"")</f>
        <v/>
      </c>
      <c r="X1675" s="3">
        <f>IF(ISNUMBER(AVERAGE('20250815_ETF_Options_Exhibits'!X1671:X1675)),AVERAGE('20250815_ETF_Options_Exhibits'!X1671:X1675),"")</f>
        <v/>
      </c>
      <c r="Y1675" s="3">
        <f>IF(ISNUMBER(AVERAGE('20250815_ETF_Options_Exhibits'!Y1671:Y1675)),AVERAGE('20250815_ETF_Options_Exhibits'!Y1671:Y1675),"")</f>
        <v/>
      </c>
      <c r="Z1675" s="3">
        <f>IF(ISNUMBER(AVERAGE('20250815_ETF_Options_Exhibits'!Z1671:Z1675)),AVERAGE('20250815_ETF_Options_Exhibits'!Z1671:Z1675),"")</f>
        <v/>
      </c>
      <c r="AA1675" s="3">
        <f>IF(ISNUMBER(AVERAGE('20250815_ETF_Options_Exhibits'!AA1671:AA1675)),AVERAGE('20250815_ETF_Options_Exhibits'!AA1671:AA1675),"")</f>
        <v/>
      </c>
    </row>
    <row r="1676">
      <c r="A1676" s="1" t="n">
        <v>44433</v>
      </c>
      <c r="B1676" s="3">
        <f>IF(ISNUMBER(AVERAGE('20250815_ETF_Options_Exhibits'!B1672:B1676)),AVERAGE('20250815_ETF_Options_Exhibits'!B1672:B1676),"")</f>
        <v/>
      </c>
      <c r="C1676" s="3">
        <f>IF(ISNUMBER(AVERAGE('20250815_ETF_Options_Exhibits'!C1672:C1676)),AVERAGE('20250815_ETF_Options_Exhibits'!C1672:C1676),"")</f>
        <v/>
      </c>
      <c r="D1676" s="3">
        <f>IF(ISNUMBER(AVERAGE('20250815_ETF_Options_Exhibits'!D1672:D1676)),AVERAGE('20250815_ETF_Options_Exhibits'!D1672:D1676),"")</f>
        <v/>
      </c>
      <c r="E1676" s="3">
        <f>IF(ISNUMBER(AVERAGE('20250815_ETF_Options_Exhibits'!E1672:E1676)),AVERAGE('20250815_ETF_Options_Exhibits'!E1672:E1676),"")</f>
        <v/>
      </c>
      <c r="F1676" s="3">
        <f>IF(ISNUMBER(AVERAGE('20250815_ETF_Options_Exhibits'!F1672:F1676)),AVERAGE('20250815_ETF_Options_Exhibits'!F1672:F1676),"")</f>
        <v/>
      </c>
      <c r="G1676" s="3">
        <f>IF(ISNUMBER(AVERAGE('20250815_ETF_Options_Exhibits'!G1672:G1676)),AVERAGE('20250815_ETF_Options_Exhibits'!G1672:G1676),"")</f>
        <v/>
      </c>
      <c r="H1676" s="3">
        <f>IF(ISNUMBER(AVERAGE('20250815_ETF_Options_Exhibits'!H1672:H1676)),AVERAGE('20250815_ETF_Options_Exhibits'!H1672:H1676),"")</f>
        <v/>
      </c>
      <c r="I1676" s="3">
        <f>IF(ISNUMBER(AVERAGE('20250815_ETF_Options_Exhibits'!I1672:I1676)),AVERAGE('20250815_ETF_Options_Exhibits'!I1672:I1676),"")</f>
        <v/>
      </c>
      <c r="J1676" s="3">
        <f>IF(ISNUMBER(AVERAGE('20250815_ETF_Options_Exhibits'!J1672:J1676)),AVERAGE('20250815_ETF_Options_Exhibits'!J1672:J1676),"")</f>
        <v/>
      </c>
      <c r="K1676" s="3">
        <f>IF(ISNUMBER(AVERAGE('20250815_ETF_Options_Exhibits'!K1672:K1676)),AVERAGE('20250815_ETF_Options_Exhibits'!K1672:K1676),"")</f>
        <v/>
      </c>
      <c r="L1676" s="3">
        <f>IF(ISNUMBER(AVERAGE('20250815_ETF_Options_Exhibits'!L1672:L1676)),AVERAGE('20250815_ETF_Options_Exhibits'!L1672:L1676),"")</f>
        <v/>
      </c>
      <c r="M1676" s="3">
        <f>IF(ISNUMBER(AVERAGE('20250815_ETF_Options_Exhibits'!M1672:M1676)),AVERAGE('20250815_ETF_Options_Exhibits'!M1672:M1676),"")</f>
        <v/>
      </c>
      <c r="N1676" s="3">
        <f>IF(ISNUMBER(AVERAGE('20250815_ETF_Options_Exhibits'!N1672:N1676)),AVERAGE('20250815_ETF_Options_Exhibits'!N1672:N1676),"")</f>
        <v/>
      </c>
      <c r="O1676" s="3">
        <f>IF(ISNUMBER(AVERAGE('20250815_ETF_Options_Exhibits'!O1672:O1676)),AVERAGE('20250815_ETF_Options_Exhibits'!O1672:O1676),"")</f>
        <v/>
      </c>
      <c r="P1676" s="3">
        <f>IF(ISNUMBER(AVERAGE('20250815_ETF_Options_Exhibits'!P1672:P1676)),AVERAGE('20250815_ETF_Options_Exhibits'!P1672:P1676),"")</f>
        <v/>
      </c>
      <c r="Q1676" s="3">
        <f>IF(ISNUMBER(AVERAGE('20250815_ETF_Options_Exhibits'!Q1672:Q1676)),AVERAGE('20250815_ETF_Options_Exhibits'!Q1672:Q1676),"")</f>
        <v/>
      </c>
      <c r="R1676" s="3">
        <f>IF(ISNUMBER(AVERAGE('20250815_ETF_Options_Exhibits'!R1672:R1676)),AVERAGE('20250815_ETF_Options_Exhibits'!R1672:R1676),"")</f>
        <v/>
      </c>
      <c r="S1676" s="3">
        <f>IF(ISNUMBER(AVERAGE('20250815_ETF_Options_Exhibits'!S1672:S1676)),AVERAGE('20250815_ETF_Options_Exhibits'!S1672:S1676),"")</f>
        <v/>
      </c>
      <c r="T1676" s="3">
        <f>IF(ISNUMBER(AVERAGE('20250815_ETF_Options_Exhibits'!T1672:T1676)),AVERAGE('20250815_ETF_Options_Exhibits'!T1672:T1676),"")</f>
        <v/>
      </c>
      <c r="U1676" s="3">
        <f>IF(ISNUMBER(AVERAGE('20250815_ETF_Options_Exhibits'!U1672:U1676)),AVERAGE('20250815_ETF_Options_Exhibits'!U1672:U1676),"")</f>
        <v/>
      </c>
      <c r="V1676" s="3">
        <f>IF(ISNUMBER(AVERAGE('20250815_ETF_Options_Exhibits'!V1672:V1676)),AVERAGE('20250815_ETF_Options_Exhibits'!V1672:V1676),"")</f>
        <v/>
      </c>
      <c r="W1676" s="3">
        <f>IF(ISNUMBER(AVERAGE('20250815_ETF_Options_Exhibits'!W1672:W1676)),AVERAGE('20250815_ETF_Options_Exhibits'!W1672:W1676),"")</f>
        <v/>
      </c>
      <c r="X1676" s="3">
        <f>IF(ISNUMBER(AVERAGE('20250815_ETF_Options_Exhibits'!X1672:X1676)),AVERAGE('20250815_ETF_Options_Exhibits'!X1672:X1676),"")</f>
        <v/>
      </c>
      <c r="Y1676" s="3">
        <f>IF(ISNUMBER(AVERAGE('20250815_ETF_Options_Exhibits'!Y1672:Y1676)),AVERAGE('20250815_ETF_Options_Exhibits'!Y1672:Y1676),"")</f>
        <v/>
      </c>
      <c r="Z1676" s="3">
        <f>IF(ISNUMBER(AVERAGE('20250815_ETF_Options_Exhibits'!Z1672:Z1676)),AVERAGE('20250815_ETF_Options_Exhibits'!Z1672:Z1676),"")</f>
        <v/>
      </c>
      <c r="AA1676" s="3">
        <f>IF(ISNUMBER(AVERAGE('20250815_ETF_Options_Exhibits'!AA1672:AA1676)),AVERAGE('20250815_ETF_Options_Exhibits'!AA1672:AA1676),"")</f>
        <v/>
      </c>
    </row>
    <row r="1677">
      <c r="A1677" s="1" t="n">
        <v>44434</v>
      </c>
      <c r="B1677" s="3">
        <f>IF(ISNUMBER(AVERAGE('20250815_ETF_Options_Exhibits'!B1673:B1677)),AVERAGE('20250815_ETF_Options_Exhibits'!B1673:B1677),"")</f>
        <v/>
      </c>
      <c r="C1677" s="3">
        <f>IF(ISNUMBER(AVERAGE('20250815_ETF_Options_Exhibits'!C1673:C1677)),AVERAGE('20250815_ETF_Options_Exhibits'!C1673:C1677),"")</f>
        <v/>
      </c>
      <c r="D1677" s="3">
        <f>IF(ISNUMBER(AVERAGE('20250815_ETF_Options_Exhibits'!D1673:D1677)),AVERAGE('20250815_ETF_Options_Exhibits'!D1673:D1677),"")</f>
        <v/>
      </c>
      <c r="E1677" s="3">
        <f>IF(ISNUMBER(AVERAGE('20250815_ETF_Options_Exhibits'!E1673:E1677)),AVERAGE('20250815_ETF_Options_Exhibits'!E1673:E1677),"")</f>
        <v/>
      </c>
      <c r="F1677" s="3">
        <f>IF(ISNUMBER(AVERAGE('20250815_ETF_Options_Exhibits'!F1673:F1677)),AVERAGE('20250815_ETF_Options_Exhibits'!F1673:F1677),"")</f>
        <v/>
      </c>
      <c r="G1677" s="3">
        <f>IF(ISNUMBER(AVERAGE('20250815_ETF_Options_Exhibits'!G1673:G1677)),AVERAGE('20250815_ETF_Options_Exhibits'!G1673:G1677),"")</f>
        <v/>
      </c>
      <c r="H1677" s="3">
        <f>IF(ISNUMBER(AVERAGE('20250815_ETF_Options_Exhibits'!H1673:H1677)),AVERAGE('20250815_ETF_Options_Exhibits'!H1673:H1677),"")</f>
        <v/>
      </c>
      <c r="I1677" s="3">
        <f>IF(ISNUMBER(AVERAGE('20250815_ETF_Options_Exhibits'!I1673:I1677)),AVERAGE('20250815_ETF_Options_Exhibits'!I1673:I1677),"")</f>
        <v/>
      </c>
      <c r="J1677" s="3">
        <f>IF(ISNUMBER(AVERAGE('20250815_ETF_Options_Exhibits'!J1673:J1677)),AVERAGE('20250815_ETF_Options_Exhibits'!J1673:J1677),"")</f>
        <v/>
      </c>
      <c r="K1677" s="3">
        <f>IF(ISNUMBER(AVERAGE('20250815_ETF_Options_Exhibits'!K1673:K1677)),AVERAGE('20250815_ETF_Options_Exhibits'!K1673:K1677),"")</f>
        <v/>
      </c>
      <c r="L1677" s="3">
        <f>IF(ISNUMBER(AVERAGE('20250815_ETF_Options_Exhibits'!L1673:L1677)),AVERAGE('20250815_ETF_Options_Exhibits'!L1673:L1677),"")</f>
        <v/>
      </c>
      <c r="M1677" s="3">
        <f>IF(ISNUMBER(AVERAGE('20250815_ETF_Options_Exhibits'!M1673:M1677)),AVERAGE('20250815_ETF_Options_Exhibits'!M1673:M1677),"")</f>
        <v/>
      </c>
      <c r="N1677" s="3">
        <f>IF(ISNUMBER(AVERAGE('20250815_ETF_Options_Exhibits'!N1673:N1677)),AVERAGE('20250815_ETF_Options_Exhibits'!N1673:N1677),"")</f>
        <v/>
      </c>
      <c r="O1677" s="3">
        <f>IF(ISNUMBER(AVERAGE('20250815_ETF_Options_Exhibits'!O1673:O1677)),AVERAGE('20250815_ETF_Options_Exhibits'!O1673:O1677),"")</f>
        <v/>
      </c>
      <c r="P1677" s="3">
        <f>IF(ISNUMBER(AVERAGE('20250815_ETF_Options_Exhibits'!P1673:P1677)),AVERAGE('20250815_ETF_Options_Exhibits'!P1673:P1677),"")</f>
        <v/>
      </c>
      <c r="Q1677" s="3">
        <f>IF(ISNUMBER(AVERAGE('20250815_ETF_Options_Exhibits'!Q1673:Q1677)),AVERAGE('20250815_ETF_Options_Exhibits'!Q1673:Q1677),"")</f>
        <v/>
      </c>
      <c r="R1677" s="3">
        <f>IF(ISNUMBER(AVERAGE('20250815_ETF_Options_Exhibits'!R1673:R1677)),AVERAGE('20250815_ETF_Options_Exhibits'!R1673:R1677),"")</f>
        <v/>
      </c>
      <c r="S1677" s="3">
        <f>IF(ISNUMBER(AVERAGE('20250815_ETF_Options_Exhibits'!S1673:S1677)),AVERAGE('20250815_ETF_Options_Exhibits'!S1673:S1677),"")</f>
        <v/>
      </c>
      <c r="T1677" s="3">
        <f>IF(ISNUMBER(AVERAGE('20250815_ETF_Options_Exhibits'!T1673:T1677)),AVERAGE('20250815_ETF_Options_Exhibits'!T1673:T1677),"")</f>
        <v/>
      </c>
      <c r="U1677" s="3">
        <f>IF(ISNUMBER(AVERAGE('20250815_ETF_Options_Exhibits'!U1673:U1677)),AVERAGE('20250815_ETF_Options_Exhibits'!U1673:U1677),"")</f>
        <v/>
      </c>
      <c r="V1677" s="3">
        <f>IF(ISNUMBER(AVERAGE('20250815_ETF_Options_Exhibits'!V1673:V1677)),AVERAGE('20250815_ETF_Options_Exhibits'!V1673:V1677),"")</f>
        <v/>
      </c>
      <c r="W1677" s="3">
        <f>IF(ISNUMBER(AVERAGE('20250815_ETF_Options_Exhibits'!W1673:W1677)),AVERAGE('20250815_ETF_Options_Exhibits'!W1673:W1677),"")</f>
        <v/>
      </c>
      <c r="X1677" s="3">
        <f>IF(ISNUMBER(AVERAGE('20250815_ETF_Options_Exhibits'!X1673:X1677)),AVERAGE('20250815_ETF_Options_Exhibits'!X1673:X1677),"")</f>
        <v/>
      </c>
      <c r="Y1677" s="3">
        <f>IF(ISNUMBER(AVERAGE('20250815_ETF_Options_Exhibits'!Y1673:Y1677)),AVERAGE('20250815_ETF_Options_Exhibits'!Y1673:Y1677),"")</f>
        <v/>
      </c>
      <c r="Z1677" s="3">
        <f>IF(ISNUMBER(AVERAGE('20250815_ETF_Options_Exhibits'!Z1673:Z1677)),AVERAGE('20250815_ETF_Options_Exhibits'!Z1673:Z1677),"")</f>
        <v/>
      </c>
      <c r="AA1677" s="3">
        <f>IF(ISNUMBER(AVERAGE('20250815_ETF_Options_Exhibits'!AA1673:AA1677)),AVERAGE('20250815_ETF_Options_Exhibits'!AA1673:AA1677),"")</f>
        <v/>
      </c>
    </row>
    <row r="1678">
      <c r="A1678" s="1" t="n">
        <v>44435</v>
      </c>
      <c r="B1678" s="3">
        <f>IF(ISNUMBER(AVERAGE('20250815_ETF_Options_Exhibits'!B1674:B1678)),AVERAGE('20250815_ETF_Options_Exhibits'!B1674:B1678),"")</f>
        <v/>
      </c>
      <c r="C1678" s="3">
        <f>IF(ISNUMBER(AVERAGE('20250815_ETF_Options_Exhibits'!C1674:C1678)),AVERAGE('20250815_ETF_Options_Exhibits'!C1674:C1678),"")</f>
        <v/>
      </c>
      <c r="D1678" s="3">
        <f>IF(ISNUMBER(AVERAGE('20250815_ETF_Options_Exhibits'!D1674:D1678)),AVERAGE('20250815_ETF_Options_Exhibits'!D1674:D1678),"")</f>
        <v/>
      </c>
      <c r="E1678" s="3">
        <f>IF(ISNUMBER(AVERAGE('20250815_ETF_Options_Exhibits'!E1674:E1678)),AVERAGE('20250815_ETF_Options_Exhibits'!E1674:E1678),"")</f>
        <v/>
      </c>
      <c r="F1678" s="3">
        <f>IF(ISNUMBER(AVERAGE('20250815_ETF_Options_Exhibits'!F1674:F1678)),AVERAGE('20250815_ETF_Options_Exhibits'!F1674:F1678),"")</f>
        <v/>
      </c>
      <c r="G1678" s="3">
        <f>IF(ISNUMBER(AVERAGE('20250815_ETF_Options_Exhibits'!G1674:G1678)),AVERAGE('20250815_ETF_Options_Exhibits'!G1674:G1678),"")</f>
        <v/>
      </c>
      <c r="H1678" s="3">
        <f>IF(ISNUMBER(AVERAGE('20250815_ETF_Options_Exhibits'!H1674:H1678)),AVERAGE('20250815_ETF_Options_Exhibits'!H1674:H1678),"")</f>
        <v/>
      </c>
      <c r="I1678" s="3">
        <f>IF(ISNUMBER(AVERAGE('20250815_ETF_Options_Exhibits'!I1674:I1678)),AVERAGE('20250815_ETF_Options_Exhibits'!I1674:I1678),"")</f>
        <v/>
      </c>
      <c r="J1678" s="3">
        <f>IF(ISNUMBER(AVERAGE('20250815_ETF_Options_Exhibits'!J1674:J1678)),AVERAGE('20250815_ETF_Options_Exhibits'!J1674:J1678),"")</f>
        <v/>
      </c>
      <c r="K1678" s="3">
        <f>IF(ISNUMBER(AVERAGE('20250815_ETF_Options_Exhibits'!K1674:K1678)),AVERAGE('20250815_ETF_Options_Exhibits'!K1674:K1678),"")</f>
        <v/>
      </c>
      <c r="L1678" s="3">
        <f>IF(ISNUMBER(AVERAGE('20250815_ETF_Options_Exhibits'!L1674:L1678)),AVERAGE('20250815_ETF_Options_Exhibits'!L1674:L1678),"")</f>
        <v/>
      </c>
      <c r="M1678" s="3">
        <f>IF(ISNUMBER(AVERAGE('20250815_ETF_Options_Exhibits'!M1674:M1678)),AVERAGE('20250815_ETF_Options_Exhibits'!M1674:M1678),"")</f>
        <v/>
      </c>
      <c r="N1678" s="3">
        <f>IF(ISNUMBER(AVERAGE('20250815_ETF_Options_Exhibits'!N1674:N1678)),AVERAGE('20250815_ETF_Options_Exhibits'!N1674:N1678),"")</f>
        <v/>
      </c>
      <c r="O1678" s="3">
        <f>IF(ISNUMBER(AVERAGE('20250815_ETF_Options_Exhibits'!O1674:O1678)),AVERAGE('20250815_ETF_Options_Exhibits'!O1674:O1678),"")</f>
        <v/>
      </c>
      <c r="P1678" s="3">
        <f>IF(ISNUMBER(AVERAGE('20250815_ETF_Options_Exhibits'!P1674:P1678)),AVERAGE('20250815_ETF_Options_Exhibits'!P1674:P1678),"")</f>
        <v/>
      </c>
      <c r="Q1678" s="3">
        <f>IF(ISNUMBER(AVERAGE('20250815_ETF_Options_Exhibits'!Q1674:Q1678)),AVERAGE('20250815_ETF_Options_Exhibits'!Q1674:Q1678),"")</f>
        <v/>
      </c>
      <c r="R1678" s="3">
        <f>IF(ISNUMBER(AVERAGE('20250815_ETF_Options_Exhibits'!R1674:R1678)),AVERAGE('20250815_ETF_Options_Exhibits'!R1674:R1678),"")</f>
        <v/>
      </c>
      <c r="S1678" s="3">
        <f>IF(ISNUMBER(AVERAGE('20250815_ETF_Options_Exhibits'!S1674:S1678)),AVERAGE('20250815_ETF_Options_Exhibits'!S1674:S1678),"")</f>
        <v/>
      </c>
      <c r="T1678" s="3">
        <f>IF(ISNUMBER(AVERAGE('20250815_ETF_Options_Exhibits'!T1674:T1678)),AVERAGE('20250815_ETF_Options_Exhibits'!T1674:T1678),"")</f>
        <v/>
      </c>
      <c r="U1678" s="3">
        <f>IF(ISNUMBER(AVERAGE('20250815_ETF_Options_Exhibits'!U1674:U1678)),AVERAGE('20250815_ETF_Options_Exhibits'!U1674:U1678),"")</f>
        <v/>
      </c>
      <c r="V1678" s="3">
        <f>IF(ISNUMBER(AVERAGE('20250815_ETF_Options_Exhibits'!V1674:V1678)),AVERAGE('20250815_ETF_Options_Exhibits'!V1674:V1678),"")</f>
        <v/>
      </c>
      <c r="W1678" s="3">
        <f>IF(ISNUMBER(AVERAGE('20250815_ETF_Options_Exhibits'!W1674:W1678)),AVERAGE('20250815_ETF_Options_Exhibits'!W1674:W1678),"")</f>
        <v/>
      </c>
      <c r="X1678" s="3">
        <f>IF(ISNUMBER(AVERAGE('20250815_ETF_Options_Exhibits'!X1674:X1678)),AVERAGE('20250815_ETF_Options_Exhibits'!X1674:X1678),"")</f>
        <v/>
      </c>
      <c r="Y1678" s="3">
        <f>IF(ISNUMBER(AVERAGE('20250815_ETF_Options_Exhibits'!Y1674:Y1678)),AVERAGE('20250815_ETF_Options_Exhibits'!Y1674:Y1678),"")</f>
        <v/>
      </c>
      <c r="Z1678" s="3">
        <f>IF(ISNUMBER(AVERAGE('20250815_ETF_Options_Exhibits'!Z1674:Z1678)),AVERAGE('20250815_ETF_Options_Exhibits'!Z1674:Z1678),"")</f>
        <v/>
      </c>
      <c r="AA1678" s="3">
        <f>IF(ISNUMBER(AVERAGE('20250815_ETF_Options_Exhibits'!AA1674:AA1678)),AVERAGE('20250815_ETF_Options_Exhibits'!AA1674:AA1678),"")</f>
        <v/>
      </c>
    </row>
    <row r="1679">
      <c r="A1679" s="1" t="n">
        <v>44438</v>
      </c>
      <c r="B1679" s="3">
        <f>IF(ISNUMBER(AVERAGE('20250815_ETF_Options_Exhibits'!B1675:B1679)),AVERAGE('20250815_ETF_Options_Exhibits'!B1675:B1679),"")</f>
        <v/>
      </c>
      <c r="C1679" s="3">
        <f>IF(ISNUMBER(AVERAGE('20250815_ETF_Options_Exhibits'!C1675:C1679)),AVERAGE('20250815_ETF_Options_Exhibits'!C1675:C1679),"")</f>
        <v/>
      </c>
      <c r="D1679" s="3">
        <f>IF(ISNUMBER(AVERAGE('20250815_ETF_Options_Exhibits'!D1675:D1679)),AVERAGE('20250815_ETF_Options_Exhibits'!D1675:D1679),"")</f>
        <v/>
      </c>
      <c r="E1679" s="3">
        <f>IF(ISNUMBER(AVERAGE('20250815_ETF_Options_Exhibits'!E1675:E1679)),AVERAGE('20250815_ETF_Options_Exhibits'!E1675:E1679),"")</f>
        <v/>
      </c>
      <c r="F1679" s="3">
        <f>IF(ISNUMBER(AVERAGE('20250815_ETF_Options_Exhibits'!F1675:F1679)),AVERAGE('20250815_ETF_Options_Exhibits'!F1675:F1679),"")</f>
        <v/>
      </c>
      <c r="G1679" s="3">
        <f>IF(ISNUMBER(AVERAGE('20250815_ETF_Options_Exhibits'!G1675:G1679)),AVERAGE('20250815_ETF_Options_Exhibits'!G1675:G1679),"")</f>
        <v/>
      </c>
      <c r="H1679" s="3">
        <f>IF(ISNUMBER(AVERAGE('20250815_ETF_Options_Exhibits'!H1675:H1679)),AVERAGE('20250815_ETF_Options_Exhibits'!H1675:H1679),"")</f>
        <v/>
      </c>
      <c r="I1679" s="3">
        <f>IF(ISNUMBER(AVERAGE('20250815_ETF_Options_Exhibits'!I1675:I1679)),AVERAGE('20250815_ETF_Options_Exhibits'!I1675:I1679),"")</f>
        <v/>
      </c>
      <c r="J1679" s="3">
        <f>IF(ISNUMBER(AVERAGE('20250815_ETF_Options_Exhibits'!J1675:J1679)),AVERAGE('20250815_ETF_Options_Exhibits'!J1675:J1679),"")</f>
        <v/>
      </c>
      <c r="K1679" s="3">
        <f>IF(ISNUMBER(AVERAGE('20250815_ETF_Options_Exhibits'!K1675:K1679)),AVERAGE('20250815_ETF_Options_Exhibits'!K1675:K1679),"")</f>
        <v/>
      </c>
      <c r="L1679" s="3">
        <f>IF(ISNUMBER(AVERAGE('20250815_ETF_Options_Exhibits'!L1675:L1679)),AVERAGE('20250815_ETF_Options_Exhibits'!L1675:L1679),"")</f>
        <v/>
      </c>
      <c r="M1679" s="3">
        <f>IF(ISNUMBER(AVERAGE('20250815_ETF_Options_Exhibits'!M1675:M1679)),AVERAGE('20250815_ETF_Options_Exhibits'!M1675:M1679),"")</f>
        <v/>
      </c>
      <c r="N1679" s="3">
        <f>IF(ISNUMBER(AVERAGE('20250815_ETF_Options_Exhibits'!N1675:N1679)),AVERAGE('20250815_ETF_Options_Exhibits'!N1675:N1679),"")</f>
        <v/>
      </c>
      <c r="O1679" s="3">
        <f>IF(ISNUMBER(AVERAGE('20250815_ETF_Options_Exhibits'!O1675:O1679)),AVERAGE('20250815_ETF_Options_Exhibits'!O1675:O1679),"")</f>
        <v/>
      </c>
      <c r="P1679" s="3">
        <f>IF(ISNUMBER(AVERAGE('20250815_ETF_Options_Exhibits'!P1675:P1679)),AVERAGE('20250815_ETF_Options_Exhibits'!P1675:P1679),"")</f>
        <v/>
      </c>
      <c r="Q1679" s="3">
        <f>IF(ISNUMBER(AVERAGE('20250815_ETF_Options_Exhibits'!Q1675:Q1679)),AVERAGE('20250815_ETF_Options_Exhibits'!Q1675:Q1679),"")</f>
        <v/>
      </c>
      <c r="R1679" s="3">
        <f>IF(ISNUMBER(AVERAGE('20250815_ETF_Options_Exhibits'!R1675:R1679)),AVERAGE('20250815_ETF_Options_Exhibits'!R1675:R1679),"")</f>
        <v/>
      </c>
      <c r="S1679" s="3">
        <f>IF(ISNUMBER(AVERAGE('20250815_ETF_Options_Exhibits'!S1675:S1679)),AVERAGE('20250815_ETF_Options_Exhibits'!S1675:S1679),"")</f>
        <v/>
      </c>
      <c r="T1679" s="3">
        <f>IF(ISNUMBER(AVERAGE('20250815_ETF_Options_Exhibits'!T1675:T1679)),AVERAGE('20250815_ETF_Options_Exhibits'!T1675:T1679),"")</f>
        <v/>
      </c>
      <c r="U1679" s="3">
        <f>IF(ISNUMBER(AVERAGE('20250815_ETF_Options_Exhibits'!U1675:U1679)),AVERAGE('20250815_ETF_Options_Exhibits'!U1675:U1679),"")</f>
        <v/>
      </c>
      <c r="V1679" s="3">
        <f>IF(ISNUMBER(AVERAGE('20250815_ETF_Options_Exhibits'!V1675:V1679)),AVERAGE('20250815_ETF_Options_Exhibits'!V1675:V1679),"")</f>
        <v/>
      </c>
      <c r="W1679" s="3">
        <f>IF(ISNUMBER(AVERAGE('20250815_ETF_Options_Exhibits'!W1675:W1679)),AVERAGE('20250815_ETF_Options_Exhibits'!W1675:W1679),"")</f>
        <v/>
      </c>
      <c r="X1679" s="3">
        <f>IF(ISNUMBER(AVERAGE('20250815_ETF_Options_Exhibits'!X1675:X1679)),AVERAGE('20250815_ETF_Options_Exhibits'!X1675:X1679),"")</f>
        <v/>
      </c>
      <c r="Y1679" s="3">
        <f>IF(ISNUMBER(AVERAGE('20250815_ETF_Options_Exhibits'!Y1675:Y1679)),AVERAGE('20250815_ETF_Options_Exhibits'!Y1675:Y1679),"")</f>
        <v/>
      </c>
      <c r="Z1679" s="3">
        <f>IF(ISNUMBER(AVERAGE('20250815_ETF_Options_Exhibits'!Z1675:Z1679)),AVERAGE('20250815_ETF_Options_Exhibits'!Z1675:Z1679),"")</f>
        <v/>
      </c>
      <c r="AA1679" s="3">
        <f>IF(ISNUMBER(AVERAGE('20250815_ETF_Options_Exhibits'!AA1675:AA1679)),AVERAGE('20250815_ETF_Options_Exhibits'!AA1675:AA1679),"")</f>
        <v/>
      </c>
    </row>
    <row r="1680">
      <c r="A1680" s="1" t="n">
        <v>44439</v>
      </c>
      <c r="B1680" s="3">
        <f>IF(ISNUMBER(AVERAGE('20250815_ETF_Options_Exhibits'!B1676:B1680)),AVERAGE('20250815_ETF_Options_Exhibits'!B1676:B1680),"")</f>
        <v/>
      </c>
      <c r="C1680" s="3">
        <f>IF(ISNUMBER(AVERAGE('20250815_ETF_Options_Exhibits'!C1676:C1680)),AVERAGE('20250815_ETF_Options_Exhibits'!C1676:C1680),"")</f>
        <v/>
      </c>
      <c r="D1680" s="3">
        <f>IF(ISNUMBER(AVERAGE('20250815_ETF_Options_Exhibits'!D1676:D1680)),AVERAGE('20250815_ETF_Options_Exhibits'!D1676:D1680),"")</f>
        <v/>
      </c>
      <c r="E1680" s="3">
        <f>IF(ISNUMBER(AVERAGE('20250815_ETF_Options_Exhibits'!E1676:E1680)),AVERAGE('20250815_ETF_Options_Exhibits'!E1676:E1680),"")</f>
        <v/>
      </c>
      <c r="F1680" s="3">
        <f>IF(ISNUMBER(AVERAGE('20250815_ETF_Options_Exhibits'!F1676:F1680)),AVERAGE('20250815_ETF_Options_Exhibits'!F1676:F1680),"")</f>
        <v/>
      </c>
      <c r="G1680" s="3">
        <f>IF(ISNUMBER(AVERAGE('20250815_ETF_Options_Exhibits'!G1676:G1680)),AVERAGE('20250815_ETF_Options_Exhibits'!G1676:G1680),"")</f>
        <v/>
      </c>
      <c r="H1680" s="3">
        <f>IF(ISNUMBER(AVERAGE('20250815_ETF_Options_Exhibits'!H1676:H1680)),AVERAGE('20250815_ETF_Options_Exhibits'!H1676:H1680),"")</f>
        <v/>
      </c>
      <c r="I1680" s="3">
        <f>IF(ISNUMBER(AVERAGE('20250815_ETF_Options_Exhibits'!I1676:I1680)),AVERAGE('20250815_ETF_Options_Exhibits'!I1676:I1680),"")</f>
        <v/>
      </c>
      <c r="J1680" s="3">
        <f>IF(ISNUMBER(AVERAGE('20250815_ETF_Options_Exhibits'!J1676:J1680)),AVERAGE('20250815_ETF_Options_Exhibits'!J1676:J1680),"")</f>
        <v/>
      </c>
      <c r="K1680" s="3">
        <f>IF(ISNUMBER(AVERAGE('20250815_ETF_Options_Exhibits'!K1676:K1680)),AVERAGE('20250815_ETF_Options_Exhibits'!K1676:K1680),"")</f>
        <v/>
      </c>
      <c r="L1680" s="3">
        <f>IF(ISNUMBER(AVERAGE('20250815_ETF_Options_Exhibits'!L1676:L1680)),AVERAGE('20250815_ETF_Options_Exhibits'!L1676:L1680),"")</f>
        <v/>
      </c>
      <c r="M1680" s="3">
        <f>IF(ISNUMBER(AVERAGE('20250815_ETF_Options_Exhibits'!M1676:M1680)),AVERAGE('20250815_ETF_Options_Exhibits'!M1676:M1680),"")</f>
        <v/>
      </c>
      <c r="N1680" s="3">
        <f>IF(ISNUMBER(AVERAGE('20250815_ETF_Options_Exhibits'!N1676:N1680)),AVERAGE('20250815_ETF_Options_Exhibits'!N1676:N1680),"")</f>
        <v/>
      </c>
      <c r="O1680" s="3">
        <f>IF(ISNUMBER(AVERAGE('20250815_ETF_Options_Exhibits'!O1676:O1680)),AVERAGE('20250815_ETF_Options_Exhibits'!O1676:O1680),"")</f>
        <v/>
      </c>
      <c r="P1680" s="3">
        <f>IF(ISNUMBER(AVERAGE('20250815_ETF_Options_Exhibits'!P1676:P1680)),AVERAGE('20250815_ETF_Options_Exhibits'!P1676:P1680),"")</f>
        <v/>
      </c>
      <c r="Q1680" s="3">
        <f>IF(ISNUMBER(AVERAGE('20250815_ETF_Options_Exhibits'!Q1676:Q1680)),AVERAGE('20250815_ETF_Options_Exhibits'!Q1676:Q1680),"")</f>
        <v/>
      </c>
      <c r="R1680" s="3">
        <f>IF(ISNUMBER(AVERAGE('20250815_ETF_Options_Exhibits'!R1676:R1680)),AVERAGE('20250815_ETF_Options_Exhibits'!R1676:R1680),"")</f>
        <v/>
      </c>
      <c r="S1680" s="3">
        <f>IF(ISNUMBER(AVERAGE('20250815_ETF_Options_Exhibits'!S1676:S1680)),AVERAGE('20250815_ETF_Options_Exhibits'!S1676:S1680),"")</f>
        <v/>
      </c>
      <c r="T1680" s="3">
        <f>IF(ISNUMBER(AVERAGE('20250815_ETF_Options_Exhibits'!T1676:T1680)),AVERAGE('20250815_ETF_Options_Exhibits'!T1676:T1680),"")</f>
        <v/>
      </c>
      <c r="U1680" s="3">
        <f>IF(ISNUMBER(AVERAGE('20250815_ETF_Options_Exhibits'!U1676:U1680)),AVERAGE('20250815_ETF_Options_Exhibits'!U1676:U1680),"")</f>
        <v/>
      </c>
      <c r="V1680" s="3">
        <f>IF(ISNUMBER(AVERAGE('20250815_ETF_Options_Exhibits'!V1676:V1680)),AVERAGE('20250815_ETF_Options_Exhibits'!V1676:V1680),"")</f>
        <v/>
      </c>
      <c r="W1680" s="3">
        <f>IF(ISNUMBER(AVERAGE('20250815_ETF_Options_Exhibits'!W1676:W1680)),AVERAGE('20250815_ETF_Options_Exhibits'!W1676:W1680),"")</f>
        <v/>
      </c>
      <c r="X1680" s="3">
        <f>IF(ISNUMBER(AVERAGE('20250815_ETF_Options_Exhibits'!X1676:X1680)),AVERAGE('20250815_ETF_Options_Exhibits'!X1676:X1680),"")</f>
        <v/>
      </c>
      <c r="Y1680" s="3">
        <f>IF(ISNUMBER(AVERAGE('20250815_ETF_Options_Exhibits'!Y1676:Y1680)),AVERAGE('20250815_ETF_Options_Exhibits'!Y1676:Y1680),"")</f>
        <v/>
      </c>
      <c r="Z1680" s="3">
        <f>IF(ISNUMBER(AVERAGE('20250815_ETF_Options_Exhibits'!Z1676:Z1680)),AVERAGE('20250815_ETF_Options_Exhibits'!Z1676:Z1680),"")</f>
        <v/>
      </c>
      <c r="AA1680" s="3">
        <f>IF(ISNUMBER(AVERAGE('20250815_ETF_Options_Exhibits'!AA1676:AA1680)),AVERAGE('20250815_ETF_Options_Exhibits'!AA1676:AA1680),"")</f>
        <v/>
      </c>
    </row>
    <row r="1681">
      <c r="A1681" s="1" t="n">
        <v>44440</v>
      </c>
      <c r="B1681" s="3">
        <f>IF(ISNUMBER(AVERAGE('20250815_ETF_Options_Exhibits'!B1677:B1681)),AVERAGE('20250815_ETF_Options_Exhibits'!B1677:B1681),"")</f>
        <v/>
      </c>
      <c r="C1681" s="3">
        <f>IF(ISNUMBER(AVERAGE('20250815_ETF_Options_Exhibits'!C1677:C1681)),AVERAGE('20250815_ETF_Options_Exhibits'!C1677:C1681),"")</f>
        <v/>
      </c>
      <c r="D1681" s="3">
        <f>IF(ISNUMBER(AVERAGE('20250815_ETF_Options_Exhibits'!D1677:D1681)),AVERAGE('20250815_ETF_Options_Exhibits'!D1677:D1681),"")</f>
        <v/>
      </c>
      <c r="E1681" s="3">
        <f>IF(ISNUMBER(AVERAGE('20250815_ETF_Options_Exhibits'!E1677:E1681)),AVERAGE('20250815_ETF_Options_Exhibits'!E1677:E1681),"")</f>
        <v/>
      </c>
      <c r="F1681" s="3">
        <f>IF(ISNUMBER(AVERAGE('20250815_ETF_Options_Exhibits'!F1677:F1681)),AVERAGE('20250815_ETF_Options_Exhibits'!F1677:F1681),"")</f>
        <v/>
      </c>
      <c r="G1681" s="3">
        <f>IF(ISNUMBER(AVERAGE('20250815_ETF_Options_Exhibits'!G1677:G1681)),AVERAGE('20250815_ETF_Options_Exhibits'!G1677:G1681),"")</f>
        <v/>
      </c>
      <c r="H1681" s="3">
        <f>IF(ISNUMBER(AVERAGE('20250815_ETF_Options_Exhibits'!H1677:H1681)),AVERAGE('20250815_ETF_Options_Exhibits'!H1677:H1681),"")</f>
        <v/>
      </c>
      <c r="I1681" s="3">
        <f>IF(ISNUMBER(AVERAGE('20250815_ETF_Options_Exhibits'!I1677:I1681)),AVERAGE('20250815_ETF_Options_Exhibits'!I1677:I1681),"")</f>
        <v/>
      </c>
      <c r="J1681" s="3">
        <f>IF(ISNUMBER(AVERAGE('20250815_ETF_Options_Exhibits'!J1677:J1681)),AVERAGE('20250815_ETF_Options_Exhibits'!J1677:J1681),"")</f>
        <v/>
      </c>
      <c r="K1681" s="3">
        <f>IF(ISNUMBER(AVERAGE('20250815_ETF_Options_Exhibits'!K1677:K1681)),AVERAGE('20250815_ETF_Options_Exhibits'!K1677:K1681),"")</f>
        <v/>
      </c>
      <c r="L1681" s="3">
        <f>IF(ISNUMBER(AVERAGE('20250815_ETF_Options_Exhibits'!L1677:L1681)),AVERAGE('20250815_ETF_Options_Exhibits'!L1677:L1681),"")</f>
        <v/>
      </c>
      <c r="M1681" s="3">
        <f>IF(ISNUMBER(AVERAGE('20250815_ETF_Options_Exhibits'!M1677:M1681)),AVERAGE('20250815_ETF_Options_Exhibits'!M1677:M1681),"")</f>
        <v/>
      </c>
      <c r="N1681" s="3">
        <f>IF(ISNUMBER(AVERAGE('20250815_ETF_Options_Exhibits'!N1677:N1681)),AVERAGE('20250815_ETF_Options_Exhibits'!N1677:N1681),"")</f>
        <v/>
      </c>
      <c r="O1681" s="3">
        <f>IF(ISNUMBER(AVERAGE('20250815_ETF_Options_Exhibits'!O1677:O1681)),AVERAGE('20250815_ETF_Options_Exhibits'!O1677:O1681),"")</f>
        <v/>
      </c>
      <c r="P1681" s="3">
        <f>IF(ISNUMBER(AVERAGE('20250815_ETF_Options_Exhibits'!P1677:P1681)),AVERAGE('20250815_ETF_Options_Exhibits'!P1677:P1681),"")</f>
        <v/>
      </c>
      <c r="Q1681" s="3">
        <f>IF(ISNUMBER(AVERAGE('20250815_ETF_Options_Exhibits'!Q1677:Q1681)),AVERAGE('20250815_ETF_Options_Exhibits'!Q1677:Q1681),"")</f>
        <v/>
      </c>
      <c r="R1681" s="3">
        <f>IF(ISNUMBER(AVERAGE('20250815_ETF_Options_Exhibits'!R1677:R1681)),AVERAGE('20250815_ETF_Options_Exhibits'!R1677:R1681),"")</f>
        <v/>
      </c>
      <c r="S1681" s="3">
        <f>IF(ISNUMBER(AVERAGE('20250815_ETF_Options_Exhibits'!S1677:S1681)),AVERAGE('20250815_ETF_Options_Exhibits'!S1677:S1681),"")</f>
        <v/>
      </c>
      <c r="T1681" s="3">
        <f>IF(ISNUMBER(AVERAGE('20250815_ETF_Options_Exhibits'!T1677:T1681)),AVERAGE('20250815_ETF_Options_Exhibits'!T1677:T1681),"")</f>
        <v/>
      </c>
      <c r="U1681" s="3">
        <f>IF(ISNUMBER(AVERAGE('20250815_ETF_Options_Exhibits'!U1677:U1681)),AVERAGE('20250815_ETF_Options_Exhibits'!U1677:U1681),"")</f>
        <v/>
      </c>
      <c r="V1681" s="3">
        <f>IF(ISNUMBER(AVERAGE('20250815_ETF_Options_Exhibits'!V1677:V1681)),AVERAGE('20250815_ETF_Options_Exhibits'!V1677:V1681),"")</f>
        <v/>
      </c>
      <c r="W1681" s="3">
        <f>IF(ISNUMBER(AVERAGE('20250815_ETF_Options_Exhibits'!W1677:W1681)),AVERAGE('20250815_ETF_Options_Exhibits'!W1677:W1681),"")</f>
        <v/>
      </c>
      <c r="X1681" s="3">
        <f>IF(ISNUMBER(AVERAGE('20250815_ETF_Options_Exhibits'!X1677:X1681)),AVERAGE('20250815_ETF_Options_Exhibits'!X1677:X1681),"")</f>
        <v/>
      </c>
      <c r="Y1681" s="3">
        <f>IF(ISNUMBER(AVERAGE('20250815_ETF_Options_Exhibits'!Y1677:Y1681)),AVERAGE('20250815_ETF_Options_Exhibits'!Y1677:Y1681),"")</f>
        <v/>
      </c>
      <c r="Z1681" s="3">
        <f>IF(ISNUMBER(AVERAGE('20250815_ETF_Options_Exhibits'!Z1677:Z1681)),AVERAGE('20250815_ETF_Options_Exhibits'!Z1677:Z1681),"")</f>
        <v/>
      </c>
      <c r="AA1681" s="3">
        <f>IF(ISNUMBER(AVERAGE('20250815_ETF_Options_Exhibits'!AA1677:AA1681)),AVERAGE('20250815_ETF_Options_Exhibits'!AA1677:AA1681),"")</f>
        <v/>
      </c>
    </row>
    <row r="1682">
      <c r="A1682" s="1" t="n">
        <v>44441</v>
      </c>
      <c r="B1682" s="3">
        <f>IF(ISNUMBER(AVERAGE('20250815_ETF_Options_Exhibits'!B1678:B1682)),AVERAGE('20250815_ETF_Options_Exhibits'!B1678:B1682),"")</f>
        <v/>
      </c>
      <c r="C1682" s="3">
        <f>IF(ISNUMBER(AVERAGE('20250815_ETF_Options_Exhibits'!C1678:C1682)),AVERAGE('20250815_ETF_Options_Exhibits'!C1678:C1682),"")</f>
        <v/>
      </c>
      <c r="D1682" s="3">
        <f>IF(ISNUMBER(AVERAGE('20250815_ETF_Options_Exhibits'!D1678:D1682)),AVERAGE('20250815_ETF_Options_Exhibits'!D1678:D1682),"")</f>
        <v/>
      </c>
      <c r="E1682" s="3">
        <f>IF(ISNUMBER(AVERAGE('20250815_ETF_Options_Exhibits'!E1678:E1682)),AVERAGE('20250815_ETF_Options_Exhibits'!E1678:E1682),"")</f>
        <v/>
      </c>
      <c r="F1682" s="3">
        <f>IF(ISNUMBER(AVERAGE('20250815_ETF_Options_Exhibits'!F1678:F1682)),AVERAGE('20250815_ETF_Options_Exhibits'!F1678:F1682),"")</f>
        <v/>
      </c>
      <c r="G1682" s="3">
        <f>IF(ISNUMBER(AVERAGE('20250815_ETF_Options_Exhibits'!G1678:G1682)),AVERAGE('20250815_ETF_Options_Exhibits'!G1678:G1682),"")</f>
        <v/>
      </c>
      <c r="H1682" s="3">
        <f>IF(ISNUMBER(AVERAGE('20250815_ETF_Options_Exhibits'!H1678:H1682)),AVERAGE('20250815_ETF_Options_Exhibits'!H1678:H1682),"")</f>
        <v/>
      </c>
      <c r="I1682" s="3">
        <f>IF(ISNUMBER(AVERAGE('20250815_ETF_Options_Exhibits'!I1678:I1682)),AVERAGE('20250815_ETF_Options_Exhibits'!I1678:I1682),"")</f>
        <v/>
      </c>
      <c r="J1682" s="3">
        <f>IF(ISNUMBER(AVERAGE('20250815_ETF_Options_Exhibits'!J1678:J1682)),AVERAGE('20250815_ETF_Options_Exhibits'!J1678:J1682),"")</f>
        <v/>
      </c>
      <c r="K1682" s="3">
        <f>IF(ISNUMBER(AVERAGE('20250815_ETF_Options_Exhibits'!K1678:K1682)),AVERAGE('20250815_ETF_Options_Exhibits'!K1678:K1682),"")</f>
        <v/>
      </c>
      <c r="L1682" s="3">
        <f>IF(ISNUMBER(AVERAGE('20250815_ETF_Options_Exhibits'!L1678:L1682)),AVERAGE('20250815_ETF_Options_Exhibits'!L1678:L1682),"")</f>
        <v/>
      </c>
      <c r="M1682" s="3">
        <f>IF(ISNUMBER(AVERAGE('20250815_ETF_Options_Exhibits'!M1678:M1682)),AVERAGE('20250815_ETF_Options_Exhibits'!M1678:M1682),"")</f>
        <v/>
      </c>
      <c r="N1682" s="3">
        <f>IF(ISNUMBER(AVERAGE('20250815_ETF_Options_Exhibits'!N1678:N1682)),AVERAGE('20250815_ETF_Options_Exhibits'!N1678:N1682),"")</f>
        <v/>
      </c>
      <c r="O1682" s="3">
        <f>IF(ISNUMBER(AVERAGE('20250815_ETF_Options_Exhibits'!O1678:O1682)),AVERAGE('20250815_ETF_Options_Exhibits'!O1678:O1682),"")</f>
        <v/>
      </c>
      <c r="P1682" s="3">
        <f>IF(ISNUMBER(AVERAGE('20250815_ETF_Options_Exhibits'!P1678:P1682)),AVERAGE('20250815_ETF_Options_Exhibits'!P1678:P1682),"")</f>
        <v/>
      </c>
      <c r="Q1682" s="3">
        <f>IF(ISNUMBER(AVERAGE('20250815_ETF_Options_Exhibits'!Q1678:Q1682)),AVERAGE('20250815_ETF_Options_Exhibits'!Q1678:Q1682),"")</f>
        <v/>
      </c>
      <c r="R1682" s="3">
        <f>IF(ISNUMBER(AVERAGE('20250815_ETF_Options_Exhibits'!R1678:R1682)),AVERAGE('20250815_ETF_Options_Exhibits'!R1678:R1682),"")</f>
        <v/>
      </c>
      <c r="S1682" s="3">
        <f>IF(ISNUMBER(AVERAGE('20250815_ETF_Options_Exhibits'!S1678:S1682)),AVERAGE('20250815_ETF_Options_Exhibits'!S1678:S1682),"")</f>
        <v/>
      </c>
      <c r="T1682" s="3">
        <f>IF(ISNUMBER(AVERAGE('20250815_ETF_Options_Exhibits'!T1678:T1682)),AVERAGE('20250815_ETF_Options_Exhibits'!T1678:T1682),"")</f>
        <v/>
      </c>
      <c r="U1682" s="3">
        <f>IF(ISNUMBER(AVERAGE('20250815_ETF_Options_Exhibits'!U1678:U1682)),AVERAGE('20250815_ETF_Options_Exhibits'!U1678:U1682),"")</f>
        <v/>
      </c>
      <c r="V1682" s="3">
        <f>IF(ISNUMBER(AVERAGE('20250815_ETF_Options_Exhibits'!V1678:V1682)),AVERAGE('20250815_ETF_Options_Exhibits'!V1678:V1682),"")</f>
        <v/>
      </c>
      <c r="W1682" s="3">
        <f>IF(ISNUMBER(AVERAGE('20250815_ETF_Options_Exhibits'!W1678:W1682)),AVERAGE('20250815_ETF_Options_Exhibits'!W1678:W1682),"")</f>
        <v/>
      </c>
      <c r="X1682" s="3">
        <f>IF(ISNUMBER(AVERAGE('20250815_ETF_Options_Exhibits'!X1678:X1682)),AVERAGE('20250815_ETF_Options_Exhibits'!X1678:X1682),"")</f>
        <v/>
      </c>
      <c r="Y1682" s="3">
        <f>IF(ISNUMBER(AVERAGE('20250815_ETF_Options_Exhibits'!Y1678:Y1682)),AVERAGE('20250815_ETF_Options_Exhibits'!Y1678:Y1682),"")</f>
        <v/>
      </c>
      <c r="Z1682" s="3">
        <f>IF(ISNUMBER(AVERAGE('20250815_ETF_Options_Exhibits'!Z1678:Z1682)),AVERAGE('20250815_ETF_Options_Exhibits'!Z1678:Z1682),"")</f>
        <v/>
      </c>
      <c r="AA1682" s="3">
        <f>IF(ISNUMBER(AVERAGE('20250815_ETF_Options_Exhibits'!AA1678:AA1682)),AVERAGE('20250815_ETF_Options_Exhibits'!AA1678:AA1682),"")</f>
        <v/>
      </c>
    </row>
    <row r="1683">
      <c r="A1683" s="1" t="n">
        <v>44442</v>
      </c>
      <c r="B1683" s="3">
        <f>IF(ISNUMBER(AVERAGE('20250815_ETF_Options_Exhibits'!B1679:B1683)),AVERAGE('20250815_ETF_Options_Exhibits'!B1679:B1683),"")</f>
        <v/>
      </c>
      <c r="C1683" s="3">
        <f>IF(ISNUMBER(AVERAGE('20250815_ETF_Options_Exhibits'!C1679:C1683)),AVERAGE('20250815_ETF_Options_Exhibits'!C1679:C1683),"")</f>
        <v/>
      </c>
      <c r="D1683" s="3">
        <f>IF(ISNUMBER(AVERAGE('20250815_ETF_Options_Exhibits'!D1679:D1683)),AVERAGE('20250815_ETF_Options_Exhibits'!D1679:D1683),"")</f>
        <v/>
      </c>
      <c r="E1683" s="3">
        <f>IF(ISNUMBER(AVERAGE('20250815_ETF_Options_Exhibits'!E1679:E1683)),AVERAGE('20250815_ETF_Options_Exhibits'!E1679:E1683),"")</f>
        <v/>
      </c>
      <c r="F1683" s="3">
        <f>IF(ISNUMBER(AVERAGE('20250815_ETF_Options_Exhibits'!F1679:F1683)),AVERAGE('20250815_ETF_Options_Exhibits'!F1679:F1683),"")</f>
        <v/>
      </c>
      <c r="G1683" s="3">
        <f>IF(ISNUMBER(AVERAGE('20250815_ETF_Options_Exhibits'!G1679:G1683)),AVERAGE('20250815_ETF_Options_Exhibits'!G1679:G1683),"")</f>
        <v/>
      </c>
      <c r="H1683" s="3">
        <f>IF(ISNUMBER(AVERAGE('20250815_ETF_Options_Exhibits'!H1679:H1683)),AVERAGE('20250815_ETF_Options_Exhibits'!H1679:H1683),"")</f>
        <v/>
      </c>
      <c r="I1683" s="3">
        <f>IF(ISNUMBER(AVERAGE('20250815_ETF_Options_Exhibits'!I1679:I1683)),AVERAGE('20250815_ETF_Options_Exhibits'!I1679:I1683),"")</f>
        <v/>
      </c>
      <c r="J1683" s="3">
        <f>IF(ISNUMBER(AVERAGE('20250815_ETF_Options_Exhibits'!J1679:J1683)),AVERAGE('20250815_ETF_Options_Exhibits'!J1679:J1683),"")</f>
        <v/>
      </c>
      <c r="K1683" s="3">
        <f>IF(ISNUMBER(AVERAGE('20250815_ETF_Options_Exhibits'!K1679:K1683)),AVERAGE('20250815_ETF_Options_Exhibits'!K1679:K1683),"")</f>
        <v/>
      </c>
      <c r="L1683" s="3">
        <f>IF(ISNUMBER(AVERAGE('20250815_ETF_Options_Exhibits'!L1679:L1683)),AVERAGE('20250815_ETF_Options_Exhibits'!L1679:L1683),"")</f>
        <v/>
      </c>
      <c r="M1683" s="3">
        <f>IF(ISNUMBER(AVERAGE('20250815_ETF_Options_Exhibits'!M1679:M1683)),AVERAGE('20250815_ETF_Options_Exhibits'!M1679:M1683),"")</f>
        <v/>
      </c>
      <c r="N1683" s="3">
        <f>IF(ISNUMBER(AVERAGE('20250815_ETF_Options_Exhibits'!N1679:N1683)),AVERAGE('20250815_ETF_Options_Exhibits'!N1679:N1683),"")</f>
        <v/>
      </c>
      <c r="O1683" s="3">
        <f>IF(ISNUMBER(AVERAGE('20250815_ETF_Options_Exhibits'!O1679:O1683)),AVERAGE('20250815_ETF_Options_Exhibits'!O1679:O1683),"")</f>
        <v/>
      </c>
      <c r="P1683" s="3">
        <f>IF(ISNUMBER(AVERAGE('20250815_ETF_Options_Exhibits'!P1679:P1683)),AVERAGE('20250815_ETF_Options_Exhibits'!P1679:P1683),"")</f>
        <v/>
      </c>
      <c r="Q1683" s="3">
        <f>IF(ISNUMBER(AVERAGE('20250815_ETF_Options_Exhibits'!Q1679:Q1683)),AVERAGE('20250815_ETF_Options_Exhibits'!Q1679:Q1683),"")</f>
        <v/>
      </c>
      <c r="R1683" s="3">
        <f>IF(ISNUMBER(AVERAGE('20250815_ETF_Options_Exhibits'!R1679:R1683)),AVERAGE('20250815_ETF_Options_Exhibits'!R1679:R1683),"")</f>
        <v/>
      </c>
      <c r="S1683" s="3">
        <f>IF(ISNUMBER(AVERAGE('20250815_ETF_Options_Exhibits'!S1679:S1683)),AVERAGE('20250815_ETF_Options_Exhibits'!S1679:S1683),"")</f>
        <v/>
      </c>
      <c r="T1683" s="3">
        <f>IF(ISNUMBER(AVERAGE('20250815_ETF_Options_Exhibits'!T1679:T1683)),AVERAGE('20250815_ETF_Options_Exhibits'!T1679:T1683),"")</f>
        <v/>
      </c>
      <c r="U1683" s="3">
        <f>IF(ISNUMBER(AVERAGE('20250815_ETF_Options_Exhibits'!U1679:U1683)),AVERAGE('20250815_ETF_Options_Exhibits'!U1679:U1683),"")</f>
        <v/>
      </c>
      <c r="V1683" s="3">
        <f>IF(ISNUMBER(AVERAGE('20250815_ETF_Options_Exhibits'!V1679:V1683)),AVERAGE('20250815_ETF_Options_Exhibits'!V1679:V1683),"")</f>
        <v/>
      </c>
      <c r="W1683" s="3">
        <f>IF(ISNUMBER(AVERAGE('20250815_ETF_Options_Exhibits'!W1679:W1683)),AVERAGE('20250815_ETF_Options_Exhibits'!W1679:W1683),"")</f>
        <v/>
      </c>
      <c r="X1683" s="3">
        <f>IF(ISNUMBER(AVERAGE('20250815_ETF_Options_Exhibits'!X1679:X1683)),AVERAGE('20250815_ETF_Options_Exhibits'!X1679:X1683),"")</f>
        <v/>
      </c>
      <c r="Y1683" s="3">
        <f>IF(ISNUMBER(AVERAGE('20250815_ETF_Options_Exhibits'!Y1679:Y1683)),AVERAGE('20250815_ETF_Options_Exhibits'!Y1679:Y1683),"")</f>
        <v/>
      </c>
      <c r="Z1683" s="3">
        <f>IF(ISNUMBER(AVERAGE('20250815_ETF_Options_Exhibits'!Z1679:Z1683)),AVERAGE('20250815_ETF_Options_Exhibits'!Z1679:Z1683),"")</f>
        <v/>
      </c>
      <c r="AA1683" s="3">
        <f>IF(ISNUMBER(AVERAGE('20250815_ETF_Options_Exhibits'!AA1679:AA1683)),AVERAGE('20250815_ETF_Options_Exhibits'!AA1679:AA1683),"")</f>
        <v/>
      </c>
    </row>
    <row r="1684">
      <c r="A1684" s="1" t="n">
        <v>44446</v>
      </c>
      <c r="B1684" s="3">
        <f>IF(ISNUMBER(AVERAGE('20250815_ETF_Options_Exhibits'!B1680:B1684)),AVERAGE('20250815_ETF_Options_Exhibits'!B1680:B1684),"")</f>
        <v/>
      </c>
      <c r="C1684" s="3">
        <f>IF(ISNUMBER(AVERAGE('20250815_ETF_Options_Exhibits'!C1680:C1684)),AVERAGE('20250815_ETF_Options_Exhibits'!C1680:C1684),"")</f>
        <v/>
      </c>
      <c r="D1684" s="3">
        <f>IF(ISNUMBER(AVERAGE('20250815_ETF_Options_Exhibits'!D1680:D1684)),AVERAGE('20250815_ETF_Options_Exhibits'!D1680:D1684),"")</f>
        <v/>
      </c>
      <c r="E1684" s="3">
        <f>IF(ISNUMBER(AVERAGE('20250815_ETF_Options_Exhibits'!E1680:E1684)),AVERAGE('20250815_ETF_Options_Exhibits'!E1680:E1684),"")</f>
        <v/>
      </c>
      <c r="F1684" s="3">
        <f>IF(ISNUMBER(AVERAGE('20250815_ETF_Options_Exhibits'!F1680:F1684)),AVERAGE('20250815_ETF_Options_Exhibits'!F1680:F1684),"")</f>
        <v/>
      </c>
      <c r="G1684" s="3">
        <f>IF(ISNUMBER(AVERAGE('20250815_ETF_Options_Exhibits'!G1680:G1684)),AVERAGE('20250815_ETF_Options_Exhibits'!G1680:G1684),"")</f>
        <v/>
      </c>
      <c r="H1684" s="3">
        <f>IF(ISNUMBER(AVERAGE('20250815_ETF_Options_Exhibits'!H1680:H1684)),AVERAGE('20250815_ETF_Options_Exhibits'!H1680:H1684),"")</f>
        <v/>
      </c>
      <c r="I1684" s="3">
        <f>IF(ISNUMBER(AVERAGE('20250815_ETF_Options_Exhibits'!I1680:I1684)),AVERAGE('20250815_ETF_Options_Exhibits'!I1680:I1684),"")</f>
        <v/>
      </c>
      <c r="J1684" s="3">
        <f>IF(ISNUMBER(AVERAGE('20250815_ETF_Options_Exhibits'!J1680:J1684)),AVERAGE('20250815_ETF_Options_Exhibits'!J1680:J1684),"")</f>
        <v/>
      </c>
      <c r="K1684" s="3">
        <f>IF(ISNUMBER(AVERAGE('20250815_ETF_Options_Exhibits'!K1680:K1684)),AVERAGE('20250815_ETF_Options_Exhibits'!K1680:K1684),"")</f>
        <v/>
      </c>
      <c r="L1684" s="3">
        <f>IF(ISNUMBER(AVERAGE('20250815_ETF_Options_Exhibits'!L1680:L1684)),AVERAGE('20250815_ETF_Options_Exhibits'!L1680:L1684),"")</f>
        <v/>
      </c>
      <c r="M1684" s="3">
        <f>IF(ISNUMBER(AVERAGE('20250815_ETF_Options_Exhibits'!M1680:M1684)),AVERAGE('20250815_ETF_Options_Exhibits'!M1680:M1684),"")</f>
        <v/>
      </c>
      <c r="N1684" s="3">
        <f>IF(ISNUMBER(AVERAGE('20250815_ETF_Options_Exhibits'!N1680:N1684)),AVERAGE('20250815_ETF_Options_Exhibits'!N1680:N1684),"")</f>
        <v/>
      </c>
      <c r="O1684" s="3">
        <f>IF(ISNUMBER(AVERAGE('20250815_ETF_Options_Exhibits'!O1680:O1684)),AVERAGE('20250815_ETF_Options_Exhibits'!O1680:O1684),"")</f>
        <v/>
      </c>
      <c r="P1684" s="3">
        <f>IF(ISNUMBER(AVERAGE('20250815_ETF_Options_Exhibits'!P1680:P1684)),AVERAGE('20250815_ETF_Options_Exhibits'!P1680:P1684),"")</f>
        <v/>
      </c>
      <c r="Q1684" s="3">
        <f>IF(ISNUMBER(AVERAGE('20250815_ETF_Options_Exhibits'!Q1680:Q1684)),AVERAGE('20250815_ETF_Options_Exhibits'!Q1680:Q1684),"")</f>
        <v/>
      </c>
      <c r="R1684" s="3">
        <f>IF(ISNUMBER(AVERAGE('20250815_ETF_Options_Exhibits'!R1680:R1684)),AVERAGE('20250815_ETF_Options_Exhibits'!R1680:R1684),"")</f>
        <v/>
      </c>
      <c r="S1684" s="3">
        <f>IF(ISNUMBER(AVERAGE('20250815_ETF_Options_Exhibits'!S1680:S1684)),AVERAGE('20250815_ETF_Options_Exhibits'!S1680:S1684),"")</f>
        <v/>
      </c>
      <c r="T1684" s="3">
        <f>IF(ISNUMBER(AVERAGE('20250815_ETF_Options_Exhibits'!T1680:T1684)),AVERAGE('20250815_ETF_Options_Exhibits'!T1680:T1684),"")</f>
        <v/>
      </c>
      <c r="U1684" s="3">
        <f>IF(ISNUMBER(AVERAGE('20250815_ETF_Options_Exhibits'!U1680:U1684)),AVERAGE('20250815_ETF_Options_Exhibits'!U1680:U1684),"")</f>
        <v/>
      </c>
      <c r="V1684" s="3">
        <f>IF(ISNUMBER(AVERAGE('20250815_ETF_Options_Exhibits'!V1680:V1684)),AVERAGE('20250815_ETF_Options_Exhibits'!V1680:V1684),"")</f>
        <v/>
      </c>
      <c r="W1684" s="3">
        <f>IF(ISNUMBER(AVERAGE('20250815_ETF_Options_Exhibits'!W1680:W1684)),AVERAGE('20250815_ETF_Options_Exhibits'!W1680:W1684),"")</f>
        <v/>
      </c>
      <c r="X1684" s="3">
        <f>IF(ISNUMBER(AVERAGE('20250815_ETF_Options_Exhibits'!X1680:X1684)),AVERAGE('20250815_ETF_Options_Exhibits'!X1680:X1684),"")</f>
        <v/>
      </c>
      <c r="Y1684" s="3">
        <f>IF(ISNUMBER(AVERAGE('20250815_ETF_Options_Exhibits'!Y1680:Y1684)),AVERAGE('20250815_ETF_Options_Exhibits'!Y1680:Y1684),"")</f>
        <v/>
      </c>
      <c r="Z1684" s="3">
        <f>IF(ISNUMBER(AVERAGE('20250815_ETF_Options_Exhibits'!Z1680:Z1684)),AVERAGE('20250815_ETF_Options_Exhibits'!Z1680:Z1684),"")</f>
        <v/>
      </c>
      <c r="AA1684" s="3">
        <f>IF(ISNUMBER(AVERAGE('20250815_ETF_Options_Exhibits'!AA1680:AA1684)),AVERAGE('20250815_ETF_Options_Exhibits'!AA1680:AA1684),"")</f>
        <v/>
      </c>
    </row>
    <row r="1685">
      <c r="A1685" s="1" t="n">
        <v>44447</v>
      </c>
      <c r="B1685" s="3">
        <f>IF(ISNUMBER(AVERAGE('20250815_ETF_Options_Exhibits'!B1681:B1685)),AVERAGE('20250815_ETF_Options_Exhibits'!B1681:B1685),"")</f>
        <v/>
      </c>
      <c r="C1685" s="3">
        <f>IF(ISNUMBER(AVERAGE('20250815_ETF_Options_Exhibits'!C1681:C1685)),AVERAGE('20250815_ETF_Options_Exhibits'!C1681:C1685),"")</f>
        <v/>
      </c>
      <c r="D1685" s="3">
        <f>IF(ISNUMBER(AVERAGE('20250815_ETF_Options_Exhibits'!D1681:D1685)),AVERAGE('20250815_ETF_Options_Exhibits'!D1681:D1685),"")</f>
        <v/>
      </c>
      <c r="E1685" s="3">
        <f>IF(ISNUMBER(AVERAGE('20250815_ETF_Options_Exhibits'!E1681:E1685)),AVERAGE('20250815_ETF_Options_Exhibits'!E1681:E1685),"")</f>
        <v/>
      </c>
      <c r="F1685" s="3">
        <f>IF(ISNUMBER(AVERAGE('20250815_ETF_Options_Exhibits'!F1681:F1685)),AVERAGE('20250815_ETF_Options_Exhibits'!F1681:F1685),"")</f>
        <v/>
      </c>
      <c r="G1685" s="3">
        <f>IF(ISNUMBER(AVERAGE('20250815_ETF_Options_Exhibits'!G1681:G1685)),AVERAGE('20250815_ETF_Options_Exhibits'!G1681:G1685),"")</f>
        <v/>
      </c>
      <c r="H1685" s="3">
        <f>IF(ISNUMBER(AVERAGE('20250815_ETF_Options_Exhibits'!H1681:H1685)),AVERAGE('20250815_ETF_Options_Exhibits'!H1681:H1685),"")</f>
        <v/>
      </c>
      <c r="I1685" s="3">
        <f>IF(ISNUMBER(AVERAGE('20250815_ETF_Options_Exhibits'!I1681:I1685)),AVERAGE('20250815_ETF_Options_Exhibits'!I1681:I1685),"")</f>
        <v/>
      </c>
      <c r="J1685" s="3">
        <f>IF(ISNUMBER(AVERAGE('20250815_ETF_Options_Exhibits'!J1681:J1685)),AVERAGE('20250815_ETF_Options_Exhibits'!J1681:J1685),"")</f>
        <v/>
      </c>
      <c r="K1685" s="3">
        <f>IF(ISNUMBER(AVERAGE('20250815_ETF_Options_Exhibits'!K1681:K1685)),AVERAGE('20250815_ETF_Options_Exhibits'!K1681:K1685),"")</f>
        <v/>
      </c>
      <c r="L1685" s="3">
        <f>IF(ISNUMBER(AVERAGE('20250815_ETF_Options_Exhibits'!L1681:L1685)),AVERAGE('20250815_ETF_Options_Exhibits'!L1681:L1685),"")</f>
        <v/>
      </c>
      <c r="M1685" s="3">
        <f>IF(ISNUMBER(AVERAGE('20250815_ETF_Options_Exhibits'!M1681:M1685)),AVERAGE('20250815_ETF_Options_Exhibits'!M1681:M1685),"")</f>
        <v/>
      </c>
      <c r="N1685" s="3">
        <f>IF(ISNUMBER(AVERAGE('20250815_ETF_Options_Exhibits'!N1681:N1685)),AVERAGE('20250815_ETF_Options_Exhibits'!N1681:N1685),"")</f>
        <v/>
      </c>
      <c r="O1685" s="3">
        <f>IF(ISNUMBER(AVERAGE('20250815_ETF_Options_Exhibits'!O1681:O1685)),AVERAGE('20250815_ETF_Options_Exhibits'!O1681:O1685),"")</f>
        <v/>
      </c>
      <c r="P1685" s="3">
        <f>IF(ISNUMBER(AVERAGE('20250815_ETF_Options_Exhibits'!P1681:P1685)),AVERAGE('20250815_ETF_Options_Exhibits'!P1681:P1685),"")</f>
        <v/>
      </c>
      <c r="Q1685" s="3">
        <f>IF(ISNUMBER(AVERAGE('20250815_ETF_Options_Exhibits'!Q1681:Q1685)),AVERAGE('20250815_ETF_Options_Exhibits'!Q1681:Q1685),"")</f>
        <v/>
      </c>
      <c r="R1685" s="3">
        <f>IF(ISNUMBER(AVERAGE('20250815_ETF_Options_Exhibits'!R1681:R1685)),AVERAGE('20250815_ETF_Options_Exhibits'!R1681:R1685),"")</f>
        <v/>
      </c>
      <c r="S1685" s="3">
        <f>IF(ISNUMBER(AVERAGE('20250815_ETF_Options_Exhibits'!S1681:S1685)),AVERAGE('20250815_ETF_Options_Exhibits'!S1681:S1685),"")</f>
        <v/>
      </c>
      <c r="T1685" s="3">
        <f>IF(ISNUMBER(AVERAGE('20250815_ETF_Options_Exhibits'!T1681:T1685)),AVERAGE('20250815_ETF_Options_Exhibits'!T1681:T1685),"")</f>
        <v/>
      </c>
      <c r="U1685" s="3">
        <f>IF(ISNUMBER(AVERAGE('20250815_ETF_Options_Exhibits'!U1681:U1685)),AVERAGE('20250815_ETF_Options_Exhibits'!U1681:U1685),"")</f>
        <v/>
      </c>
      <c r="V1685" s="3">
        <f>IF(ISNUMBER(AVERAGE('20250815_ETF_Options_Exhibits'!V1681:V1685)),AVERAGE('20250815_ETF_Options_Exhibits'!V1681:V1685),"")</f>
        <v/>
      </c>
      <c r="W1685" s="3">
        <f>IF(ISNUMBER(AVERAGE('20250815_ETF_Options_Exhibits'!W1681:W1685)),AVERAGE('20250815_ETF_Options_Exhibits'!W1681:W1685),"")</f>
        <v/>
      </c>
      <c r="X1685" s="3">
        <f>IF(ISNUMBER(AVERAGE('20250815_ETF_Options_Exhibits'!X1681:X1685)),AVERAGE('20250815_ETF_Options_Exhibits'!X1681:X1685),"")</f>
        <v/>
      </c>
      <c r="Y1685" s="3">
        <f>IF(ISNUMBER(AVERAGE('20250815_ETF_Options_Exhibits'!Y1681:Y1685)),AVERAGE('20250815_ETF_Options_Exhibits'!Y1681:Y1685),"")</f>
        <v/>
      </c>
      <c r="Z1685" s="3">
        <f>IF(ISNUMBER(AVERAGE('20250815_ETF_Options_Exhibits'!Z1681:Z1685)),AVERAGE('20250815_ETF_Options_Exhibits'!Z1681:Z1685),"")</f>
        <v/>
      </c>
      <c r="AA1685" s="3">
        <f>IF(ISNUMBER(AVERAGE('20250815_ETF_Options_Exhibits'!AA1681:AA1685)),AVERAGE('20250815_ETF_Options_Exhibits'!AA1681:AA1685),"")</f>
        <v/>
      </c>
    </row>
    <row r="1686">
      <c r="A1686" s="1" t="n">
        <v>44448</v>
      </c>
      <c r="B1686" s="3">
        <f>IF(ISNUMBER(AVERAGE('20250815_ETF_Options_Exhibits'!B1682:B1686)),AVERAGE('20250815_ETF_Options_Exhibits'!B1682:B1686),"")</f>
        <v/>
      </c>
      <c r="C1686" s="3">
        <f>IF(ISNUMBER(AVERAGE('20250815_ETF_Options_Exhibits'!C1682:C1686)),AVERAGE('20250815_ETF_Options_Exhibits'!C1682:C1686),"")</f>
        <v/>
      </c>
      <c r="D1686" s="3">
        <f>IF(ISNUMBER(AVERAGE('20250815_ETF_Options_Exhibits'!D1682:D1686)),AVERAGE('20250815_ETF_Options_Exhibits'!D1682:D1686),"")</f>
        <v/>
      </c>
      <c r="E1686" s="3">
        <f>IF(ISNUMBER(AVERAGE('20250815_ETF_Options_Exhibits'!E1682:E1686)),AVERAGE('20250815_ETF_Options_Exhibits'!E1682:E1686),"")</f>
        <v/>
      </c>
      <c r="F1686" s="3">
        <f>IF(ISNUMBER(AVERAGE('20250815_ETF_Options_Exhibits'!F1682:F1686)),AVERAGE('20250815_ETF_Options_Exhibits'!F1682:F1686),"")</f>
        <v/>
      </c>
      <c r="G1686" s="3">
        <f>IF(ISNUMBER(AVERAGE('20250815_ETF_Options_Exhibits'!G1682:G1686)),AVERAGE('20250815_ETF_Options_Exhibits'!G1682:G1686),"")</f>
        <v/>
      </c>
      <c r="H1686" s="3">
        <f>IF(ISNUMBER(AVERAGE('20250815_ETF_Options_Exhibits'!H1682:H1686)),AVERAGE('20250815_ETF_Options_Exhibits'!H1682:H1686),"")</f>
        <v/>
      </c>
      <c r="I1686" s="3">
        <f>IF(ISNUMBER(AVERAGE('20250815_ETF_Options_Exhibits'!I1682:I1686)),AVERAGE('20250815_ETF_Options_Exhibits'!I1682:I1686),"")</f>
        <v/>
      </c>
      <c r="J1686" s="3">
        <f>IF(ISNUMBER(AVERAGE('20250815_ETF_Options_Exhibits'!J1682:J1686)),AVERAGE('20250815_ETF_Options_Exhibits'!J1682:J1686),"")</f>
        <v/>
      </c>
      <c r="K1686" s="3">
        <f>IF(ISNUMBER(AVERAGE('20250815_ETF_Options_Exhibits'!K1682:K1686)),AVERAGE('20250815_ETF_Options_Exhibits'!K1682:K1686),"")</f>
        <v/>
      </c>
      <c r="L1686" s="3">
        <f>IF(ISNUMBER(AVERAGE('20250815_ETF_Options_Exhibits'!L1682:L1686)),AVERAGE('20250815_ETF_Options_Exhibits'!L1682:L1686),"")</f>
        <v/>
      </c>
      <c r="M1686" s="3">
        <f>IF(ISNUMBER(AVERAGE('20250815_ETF_Options_Exhibits'!M1682:M1686)),AVERAGE('20250815_ETF_Options_Exhibits'!M1682:M1686),"")</f>
        <v/>
      </c>
      <c r="N1686" s="3">
        <f>IF(ISNUMBER(AVERAGE('20250815_ETF_Options_Exhibits'!N1682:N1686)),AVERAGE('20250815_ETF_Options_Exhibits'!N1682:N1686),"")</f>
        <v/>
      </c>
      <c r="O1686" s="3">
        <f>IF(ISNUMBER(AVERAGE('20250815_ETF_Options_Exhibits'!O1682:O1686)),AVERAGE('20250815_ETF_Options_Exhibits'!O1682:O1686),"")</f>
        <v/>
      </c>
      <c r="P1686" s="3">
        <f>IF(ISNUMBER(AVERAGE('20250815_ETF_Options_Exhibits'!P1682:P1686)),AVERAGE('20250815_ETF_Options_Exhibits'!P1682:P1686),"")</f>
        <v/>
      </c>
      <c r="Q1686" s="3">
        <f>IF(ISNUMBER(AVERAGE('20250815_ETF_Options_Exhibits'!Q1682:Q1686)),AVERAGE('20250815_ETF_Options_Exhibits'!Q1682:Q1686),"")</f>
        <v/>
      </c>
      <c r="R1686" s="3">
        <f>IF(ISNUMBER(AVERAGE('20250815_ETF_Options_Exhibits'!R1682:R1686)),AVERAGE('20250815_ETF_Options_Exhibits'!R1682:R1686),"")</f>
        <v/>
      </c>
      <c r="S1686" s="3">
        <f>IF(ISNUMBER(AVERAGE('20250815_ETF_Options_Exhibits'!S1682:S1686)),AVERAGE('20250815_ETF_Options_Exhibits'!S1682:S1686),"")</f>
        <v/>
      </c>
      <c r="T1686" s="3">
        <f>IF(ISNUMBER(AVERAGE('20250815_ETF_Options_Exhibits'!T1682:T1686)),AVERAGE('20250815_ETF_Options_Exhibits'!T1682:T1686),"")</f>
        <v/>
      </c>
      <c r="U1686" s="3">
        <f>IF(ISNUMBER(AVERAGE('20250815_ETF_Options_Exhibits'!U1682:U1686)),AVERAGE('20250815_ETF_Options_Exhibits'!U1682:U1686),"")</f>
        <v/>
      </c>
      <c r="V1686" s="3">
        <f>IF(ISNUMBER(AVERAGE('20250815_ETF_Options_Exhibits'!V1682:V1686)),AVERAGE('20250815_ETF_Options_Exhibits'!V1682:V1686),"")</f>
        <v/>
      </c>
      <c r="W1686" s="3">
        <f>IF(ISNUMBER(AVERAGE('20250815_ETF_Options_Exhibits'!W1682:W1686)),AVERAGE('20250815_ETF_Options_Exhibits'!W1682:W1686),"")</f>
        <v/>
      </c>
      <c r="X1686" s="3">
        <f>IF(ISNUMBER(AVERAGE('20250815_ETF_Options_Exhibits'!X1682:X1686)),AVERAGE('20250815_ETF_Options_Exhibits'!X1682:X1686),"")</f>
        <v/>
      </c>
      <c r="Y1686" s="3">
        <f>IF(ISNUMBER(AVERAGE('20250815_ETF_Options_Exhibits'!Y1682:Y1686)),AVERAGE('20250815_ETF_Options_Exhibits'!Y1682:Y1686),"")</f>
        <v/>
      </c>
      <c r="Z1686" s="3">
        <f>IF(ISNUMBER(AVERAGE('20250815_ETF_Options_Exhibits'!Z1682:Z1686)),AVERAGE('20250815_ETF_Options_Exhibits'!Z1682:Z1686),"")</f>
        <v/>
      </c>
      <c r="AA1686" s="3">
        <f>IF(ISNUMBER(AVERAGE('20250815_ETF_Options_Exhibits'!AA1682:AA1686)),AVERAGE('20250815_ETF_Options_Exhibits'!AA1682:AA1686),"")</f>
        <v/>
      </c>
    </row>
    <row r="1687">
      <c r="A1687" s="1" t="n">
        <v>44449</v>
      </c>
      <c r="B1687" s="3">
        <f>IF(ISNUMBER(AVERAGE('20250815_ETF_Options_Exhibits'!B1683:B1687)),AVERAGE('20250815_ETF_Options_Exhibits'!B1683:B1687),"")</f>
        <v/>
      </c>
      <c r="C1687" s="3">
        <f>IF(ISNUMBER(AVERAGE('20250815_ETF_Options_Exhibits'!C1683:C1687)),AVERAGE('20250815_ETF_Options_Exhibits'!C1683:C1687),"")</f>
        <v/>
      </c>
      <c r="D1687" s="3">
        <f>IF(ISNUMBER(AVERAGE('20250815_ETF_Options_Exhibits'!D1683:D1687)),AVERAGE('20250815_ETF_Options_Exhibits'!D1683:D1687),"")</f>
        <v/>
      </c>
      <c r="E1687" s="3">
        <f>IF(ISNUMBER(AVERAGE('20250815_ETF_Options_Exhibits'!E1683:E1687)),AVERAGE('20250815_ETF_Options_Exhibits'!E1683:E1687),"")</f>
        <v/>
      </c>
      <c r="F1687" s="3">
        <f>IF(ISNUMBER(AVERAGE('20250815_ETF_Options_Exhibits'!F1683:F1687)),AVERAGE('20250815_ETF_Options_Exhibits'!F1683:F1687),"")</f>
        <v/>
      </c>
      <c r="G1687" s="3">
        <f>IF(ISNUMBER(AVERAGE('20250815_ETF_Options_Exhibits'!G1683:G1687)),AVERAGE('20250815_ETF_Options_Exhibits'!G1683:G1687),"")</f>
        <v/>
      </c>
      <c r="H1687" s="3">
        <f>IF(ISNUMBER(AVERAGE('20250815_ETF_Options_Exhibits'!H1683:H1687)),AVERAGE('20250815_ETF_Options_Exhibits'!H1683:H1687),"")</f>
        <v/>
      </c>
      <c r="I1687" s="3">
        <f>IF(ISNUMBER(AVERAGE('20250815_ETF_Options_Exhibits'!I1683:I1687)),AVERAGE('20250815_ETF_Options_Exhibits'!I1683:I1687),"")</f>
        <v/>
      </c>
      <c r="J1687" s="3">
        <f>IF(ISNUMBER(AVERAGE('20250815_ETF_Options_Exhibits'!J1683:J1687)),AVERAGE('20250815_ETF_Options_Exhibits'!J1683:J1687),"")</f>
        <v/>
      </c>
      <c r="K1687" s="3">
        <f>IF(ISNUMBER(AVERAGE('20250815_ETF_Options_Exhibits'!K1683:K1687)),AVERAGE('20250815_ETF_Options_Exhibits'!K1683:K1687),"")</f>
        <v/>
      </c>
      <c r="L1687" s="3">
        <f>IF(ISNUMBER(AVERAGE('20250815_ETF_Options_Exhibits'!L1683:L1687)),AVERAGE('20250815_ETF_Options_Exhibits'!L1683:L1687),"")</f>
        <v/>
      </c>
      <c r="M1687" s="3">
        <f>IF(ISNUMBER(AVERAGE('20250815_ETF_Options_Exhibits'!M1683:M1687)),AVERAGE('20250815_ETF_Options_Exhibits'!M1683:M1687),"")</f>
        <v/>
      </c>
      <c r="N1687" s="3">
        <f>IF(ISNUMBER(AVERAGE('20250815_ETF_Options_Exhibits'!N1683:N1687)),AVERAGE('20250815_ETF_Options_Exhibits'!N1683:N1687),"")</f>
        <v/>
      </c>
      <c r="O1687" s="3">
        <f>IF(ISNUMBER(AVERAGE('20250815_ETF_Options_Exhibits'!O1683:O1687)),AVERAGE('20250815_ETF_Options_Exhibits'!O1683:O1687),"")</f>
        <v/>
      </c>
      <c r="P1687" s="3">
        <f>IF(ISNUMBER(AVERAGE('20250815_ETF_Options_Exhibits'!P1683:P1687)),AVERAGE('20250815_ETF_Options_Exhibits'!P1683:P1687),"")</f>
        <v/>
      </c>
      <c r="Q1687" s="3">
        <f>IF(ISNUMBER(AVERAGE('20250815_ETF_Options_Exhibits'!Q1683:Q1687)),AVERAGE('20250815_ETF_Options_Exhibits'!Q1683:Q1687),"")</f>
        <v/>
      </c>
      <c r="R1687" s="3">
        <f>IF(ISNUMBER(AVERAGE('20250815_ETF_Options_Exhibits'!R1683:R1687)),AVERAGE('20250815_ETF_Options_Exhibits'!R1683:R1687),"")</f>
        <v/>
      </c>
      <c r="S1687" s="3">
        <f>IF(ISNUMBER(AVERAGE('20250815_ETF_Options_Exhibits'!S1683:S1687)),AVERAGE('20250815_ETF_Options_Exhibits'!S1683:S1687),"")</f>
        <v/>
      </c>
      <c r="T1687" s="3">
        <f>IF(ISNUMBER(AVERAGE('20250815_ETF_Options_Exhibits'!T1683:T1687)),AVERAGE('20250815_ETF_Options_Exhibits'!T1683:T1687),"")</f>
        <v/>
      </c>
      <c r="U1687" s="3">
        <f>IF(ISNUMBER(AVERAGE('20250815_ETF_Options_Exhibits'!U1683:U1687)),AVERAGE('20250815_ETF_Options_Exhibits'!U1683:U1687),"")</f>
        <v/>
      </c>
      <c r="V1687" s="3">
        <f>IF(ISNUMBER(AVERAGE('20250815_ETF_Options_Exhibits'!V1683:V1687)),AVERAGE('20250815_ETF_Options_Exhibits'!V1683:V1687),"")</f>
        <v/>
      </c>
      <c r="W1687" s="3">
        <f>IF(ISNUMBER(AVERAGE('20250815_ETF_Options_Exhibits'!W1683:W1687)),AVERAGE('20250815_ETF_Options_Exhibits'!W1683:W1687),"")</f>
        <v/>
      </c>
      <c r="X1687" s="3">
        <f>IF(ISNUMBER(AVERAGE('20250815_ETF_Options_Exhibits'!X1683:X1687)),AVERAGE('20250815_ETF_Options_Exhibits'!X1683:X1687),"")</f>
        <v/>
      </c>
      <c r="Y1687" s="3">
        <f>IF(ISNUMBER(AVERAGE('20250815_ETF_Options_Exhibits'!Y1683:Y1687)),AVERAGE('20250815_ETF_Options_Exhibits'!Y1683:Y1687),"")</f>
        <v/>
      </c>
      <c r="Z1687" s="3">
        <f>IF(ISNUMBER(AVERAGE('20250815_ETF_Options_Exhibits'!Z1683:Z1687)),AVERAGE('20250815_ETF_Options_Exhibits'!Z1683:Z1687),"")</f>
        <v/>
      </c>
      <c r="AA1687" s="3">
        <f>IF(ISNUMBER(AVERAGE('20250815_ETF_Options_Exhibits'!AA1683:AA1687)),AVERAGE('20250815_ETF_Options_Exhibits'!AA1683:AA1687),"")</f>
        <v/>
      </c>
    </row>
    <row r="1688">
      <c r="A1688" s="1" t="n">
        <v>44452</v>
      </c>
      <c r="B1688" s="3">
        <f>IF(ISNUMBER(AVERAGE('20250815_ETF_Options_Exhibits'!B1684:B1688)),AVERAGE('20250815_ETF_Options_Exhibits'!B1684:B1688),"")</f>
        <v/>
      </c>
      <c r="C1688" s="3">
        <f>IF(ISNUMBER(AVERAGE('20250815_ETF_Options_Exhibits'!C1684:C1688)),AVERAGE('20250815_ETF_Options_Exhibits'!C1684:C1688),"")</f>
        <v/>
      </c>
      <c r="D1688" s="3">
        <f>IF(ISNUMBER(AVERAGE('20250815_ETF_Options_Exhibits'!D1684:D1688)),AVERAGE('20250815_ETF_Options_Exhibits'!D1684:D1688),"")</f>
        <v/>
      </c>
      <c r="E1688" s="3">
        <f>IF(ISNUMBER(AVERAGE('20250815_ETF_Options_Exhibits'!E1684:E1688)),AVERAGE('20250815_ETF_Options_Exhibits'!E1684:E1688),"")</f>
        <v/>
      </c>
      <c r="F1688" s="3">
        <f>IF(ISNUMBER(AVERAGE('20250815_ETF_Options_Exhibits'!F1684:F1688)),AVERAGE('20250815_ETF_Options_Exhibits'!F1684:F1688),"")</f>
        <v/>
      </c>
      <c r="G1688" s="3">
        <f>IF(ISNUMBER(AVERAGE('20250815_ETF_Options_Exhibits'!G1684:G1688)),AVERAGE('20250815_ETF_Options_Exhibits'!G1684:G1688),"")</f>
        <v/>
      </c>
      <c r="H1688" s="3">
        <f>IF(ISNUMBER(AVERAGE('20250815_ETF_Options_Exhibits'!H1684:H1688)),AVERAGE('20250815_ETF_Options_Exhibits'!H1684:H1688),"")</f>
        <v/>
      </c>
      <c r="I1688" s="3">
        <f>IF(ISNUMBER(AVERAGE('20250815_ETF_Options_Exhibits'!I1684:I1688)),AVERAGE('20250815_ETF_Options_Exhibits'!I1684:I1688),"")</f>
        <v/>
      </c>
      <c r="J1688" s="3">
        <f>IF(ISNUMBER(AVERAGE('20250815_ETF_Options_Exhibits'!J1684:J1688)),AVERAGE('20250815_ETF_Options_Exhibits'!J1684:J1688),"")</f>
        <v/>
      </c>
      <c r="K1688" s="3">
        <f>IF(ISNUMBER(AVERAGE('20250815_ETF_Options_Exhibits'!K1684:K1688)),AVERAGE('20250815_ETF_Options_Exhibits'!K1684:K1688),"")</f>
        <v/>
      </c>
      <c r="L1688" s="3">
        <f>IF(ISNUMBER(AVERAGE('20250815_ETF_Options_Exhibits'!L1684:L1688)),AVERAGE('20250815_ETF_Options_Exhibits'!L1684:L1688),"")</f>
        <v/>
      </c>
      <c r="M1688" s="3">
        <f>IF(ISNUMBER(AVERAGE('20250815_ETF_Options_Exhibits'!M1684:M1688)),AVERAGE('20250815_ETF_Options_Exhibits'!M1684:M1688),"")</f>
        <v/>
      </c>
      <c r="N1688" s="3">
        <f>IF(ISNUMBER(AVERAGE('20250815_ETF_Options_Exhibits'!N1684:N1688)),AVERAGE('20250815_ETF_Options_Exhibits'!N1684:N1688),"")</f>
        <v/>
      </c>
      <c r="O1688" s="3">
        <f>IF(ISNUMBER(AVERAGE('20250815_ETF_Options_Exhibits'!O1684:O1688)),AVERAGE('20250815_ETF_Options_Exhibits'!O1684:O1688),"")</f>
        <v/>
      </c>
      <c r="P1688" s="3">
        <f>IF(ISNUMBER(AVERAGE('20250815_ETF_Options_Exhibits'!P1684:P1688)),AVERAGE('20250815_ETF_Options_Exhibits'!P1684:P1688),"")</f>
        <v/>
      </c>
      <c r="Q1688" s="3">
        <f>IF(ISNUMBER(AVERAGE('20250815_ETF_Options_Exhibits'!Q1684:Q1688)),AVERAGE('20250815_ETF_Options_Exhibits'!Q1684:Q1688),"")</f>
        <v/>
      </c>
      <c r="R1688" s="3">
        <f>IF(ISNUMBER(AVERAGE('20250815_ETF_Options_Exhibits'!R1684:R1688)),AVERAGE('20250815_ETF_Options_Exhibits'!R1684:R1688),"")</f>
        <v/>
      </c>
      <c r="S1688" s="3">
        <f>IF(ISNUMBER(AVERAGE('20250815_ETF_Options_Exhibits'!S1684:S1688)),AVERAGE('20250815_ETF_Options_Exhibits'!S1684:S1688),"")</f>
        <v/>
      </c>
      <c r="T1688" s="3">
        <f>IF(ISNUMBER(AVERAGE('20250815_ETF_Options_Exhibits'!T1684:T1688)),AVERAGE('20250815_ETF_Options_Exhibits'!T1684:T1688),"")</f>
        <v/>
      </c>
      <c r="U1688" s="3">
        <f>IF(ISNUMBER(AVERAGE('20250815_ETF_Options_Exhibits'!U1684:U1688)),AVERAGE('20250815_ETF_Options_Exhibits'!U1684:U1688),"")</f>
        <v/>
      </c>
      <c r="V1688" s="3">
        <f>IF(ISNUMBER(AVERAGE('20250815_ETF_Options_Exhibits'!V1684:V1688)),AVERAGE('20250815_ETF_Options_Exhibits'!V1684:V1688),"")</f>
        <v/>
      </c>
      <c r="W1688" s="3">
        <f>IF(ISNUMBER(AVERAGE('20250815_ETF_Options_Exhibits'!W1684:W1688)),AVERAGE('20250815_ETF_Options_Exhibits'!W1684:W1688),"")</f>
        <v/>
      </c>
      <c r="X1688" s="3">
        <f>IF(ISNUMBER(AVERAGE('20250815_ETF_Options_Exhibits'!X1684:X1688)),AVERAGE('20250815_ETF_Options_Exhibits'!X1684:X1688),"")</f>
        <v/>
      </c>
      <c r="Y1688" s="3">
        <f>IF(ISNUMBER(AVERAGE('20250815_ETF_Options_Exhibits'!Y1684:Y1688)),AVERAGE('20250815_ETF_Options_Exhibits'!Y1684:Y1688),"")</f>
        <v/>
      </c>
      <c r="Z1688" s="3">
        <f>IF(ISNUMBER(AVERAGE('20250815_ETF_Options_Exhibits'!Z1684:Z1688)),AVERAGE('20250815_ETF_Options_Exhibits'!Z1684:Z1688),"")</f>
        <v/>
      </c>
      <c r="AA1688" s="3">
        <f>IF(ISNUMBER(AVERAGE('20250815_ETF_Options_Exhibits'!AA1684:AA1688)),AVERAGE('20250815_ETF_Options_Exhibits'!AA1684:AA1688),"")</f>
        <v/>
      </c>
    </row>
    <row r="1689">
      <c r="A1689" s="1" t="n">
        <v>44453</v>
      </c>
      <c r="B1689" s="3">
        <f>IF(ISNUMBER(AVERAGE('20250815_ETF_Options_Exhibits'!B1685:B1689)),AVERAGE('20250815_ETF_Options_Exhibits'!B1685:B1689),"")</f>
        <v/>
      </c>
      <c r="C1689" s="3">
        <f>IF(ISNUMBER(AVERAGE('20250815_ETF_Options_Exhibits'!C1685:C1689)),AVERAGE('20250815_ETF_Options_Exhibits'!C1685:C1689),"")</f>
        <v/>
      </c>
      <c r="D1689" s="3">
        <f>IF(ISNUMBER(AVERAGE('20250815_ETF_Options_Exhibits'!D1685:D1689)),AVERAGE('20250815_ETF_Options_Exhibits'!D1685:D1689),"")</f>
        <v/>
      </c>
      <c r="E1689" s="3">
        <f>IF(ISNUMBER(AVERAGE('20250815_ETF_Options_Exhibits'!E1685:E1689)),AVERAGE('20250815_ETF_Options_Exhibits'!E1685:E1689),"")</f>
        <v/>
      </c>
      <c r="F1689" s="3">
        <f>IF(ISNUMBER(AVERAGE('20250815_ETF_Options_Exhibits'!F1685:F1689)),AVERAGE('20250815_ETF_Options_Exhibits'!F1685:F1689),"")</f>
        <v/>
      </c>
      <c r="G1689" s="3">
        <f>IF(ISNUMBER(AVERAGE('20250815_ETF_Options_Exhibits'!G1685:G1689)),AVERAGE('20250815_ETF_Options_Exhibits'!G1685:G1689),"")</f>
        <v/>
      </c>
      <c r="H1689" s="3">
        <f>IF(ISNUMBER(AVERAGE('20250815_ETF_Options_Exhibits'!H1685:H1689)),AVERAGE('20250815_ETF_Options_Exhibits'!H1685:H1689),"")</f>
        <v/>
      </c>
      <c r="I1689" s="3">
        <f>IF(ISNUMBER(AVERAGE('20250815_ETF_Options_Exhibits'!I1685:I1689)),AVERAGE('20250815_ETF_Options_Exhibits'!I1685:I1689),"")</f>
        <v/>
      </c>
      <c r="J1689" s="3">
        <f>IF(ISNUMBER(AVERAGE('20250815_ETF_Options_Exhibits'!J1685:J1689)),AVERAGE('20250815_ETF_Options_Exhibits'!J1685:J1689),"")</f>
        <v/>
      </c>
      <c r="K1689" s="3">
        <f>IF(ISNUMBER(AVERAGE('20250815_ETF_Options_Exhibits'!K1685:K1689)),AVERAGE('20250815_ETF_Options_Exhibits'!K1685:K1689),"")</f>
        <v/>
      </c>
      <c r="L1689" s="3">
        <f>IF(ISNUMBER(AVERAGE('20250815_ETF_Options_Exhibits'!L1685:L1689)),AVERAGE('20250815_ETF_Options_Exhibits'!L1685:L1689),"")</f>
        <v/>
      </c>
      <c r="M1689" s="3">
        <f>IF(ISNUMBER(AVERAGE('20250815_ETF_Options_Exhibits'!M1685:M1689)),AVERAGE('20250815_ETF_Options_Exhibits'!M1685:M1689),"")</f>
        <v/>
      </c>
      <c r="N1689" s="3">
        <f>IF(ISNUMBER(AVERAGE('20250815_ETF_Options_Exhibits'!N1685:N1689)),AVERAGE('20250815_ETF_Options_Exhibits'!N1685:N1689),"")</f>
        <v/>
      </c>
      <c r="O1689" s="3">
        <f>IF(ISNUMBER(AVERAGE('20250815_ETF_Options_Exhibits'!O1685:O1689)),AVERAGE('20250815_ETF_Options_Exhibits'!O1685:O1689),"")</f>
        <v/>
      </c>
      <c r="P1689" s="3">
        <f>IF(ISNUMBER(AVERAGE('20250815_ETF_Options_Exhibits'!P1685:P1689)),AVERAGE('20250815_ETF_Options_Exhibits'!P1685:P1689),"")</f>
        <v/>
      </c>
      <c r="Q1689" s="3">
        <f>IF(ISNUMBER(AVERAGE('20250815_ETF_Options_Exhibits'!Q1685:Q1689)),AVERAGE('20250815_ETF_Options_Exhibits'!Q1685:Q1689),"")</f>
        <v/>
      </c>
      <c r="R1689" s="3">
        <f>IF(ISNUMBER(AVERAGE('20250815_ETF_Options_Exhibits'!R1685:R1689)),AVERAGE('20250815_ETF_Options_Exhibits'!R1685:R1689),"")</f>
        <v/>
      </c>
      <c r="S1689" s="3">
        <f>IF(ISNUMBER(AVERAGE('20250815_ETF_Options_Exhibits'!S1685:S1689)),AVERAGE('20250815_ETF_Options_Exhibits'!S1685:S1689),"")</f>
        <v/>
      </c>
      <c r="T1689" s="3">
        <f>IF(ISNUMBER(AVERAGE('20250815_ETF_Options_Exhibits'!T1685:T1689)),AVERAGE('20250815_ETF_Options_Exhibits'!T1685:T1689),"")</f>
        <v/>
      </c>
      <c r="U1689" s="3">
        <f>IF(ISNUMBER(AVERAGE('20250815_ETF_Options_Exhibits'!U1685:U1689)),AVERAGE('20250815_ETF_Options_Exhibits'!U1685:U1689),"")</f>
        <v/>
      </c>
      <c r="V1689" s="3">
        <f>IF(ISNUMBER(AVERAGE('20250815_ETF_Options_Exhibits'!V1685:V1689)),AVERAGE('20250815_ETF_Options_Exhibits'!V1685:V1689),"")</f>
        <v/>
      </c>
      <c r="W1689" s="3">
        <f>IF(ISNUMBER(AVERAGE('20250815_ETF_Options_Exhibits'!W1685:W1689)),AVERAGE('20250815_ETF_Options_Exhibits'!W1685:W1689),"")</f>
        <v/>
      </c>
      <c r="X1689" s="3">
        <f>IF(ISNUMBER(AVERAGE('20250815_ETF_Options_Exhibits'!X1685:X1689)),AVERAGE('20250815_ETF_Options_Exhibits'!X1685:X1689),"")</f>
        <v/>
      </c>
      <c r="Y1689" s="3">
        <f>IF(ISNUMBER(AVERAGE('20250815_ETF_Options_Exhibits'!Y1685:Y1689)),AVERAGE('20250815_ETF_Options_Exhibits'!Y1685:Y1689),"")</f>
        <v/>
      </c>
      <c r="Z1689" s="3">
        <f>IF(ISNUMBER(AVERAGE('20250815_ETF_Options_Exhibits'!Z1685:Z1689)),AVERAGE('20250815_ETF_Options_Exhibits'!Z1685:Z1689),"")</f>
        <v/>
      </c>
      <c r="AA1689" s="3">
        <f>IF(ISNUMBER(AVERAGE('20250815_ETF_Options_Exhibits'!AA1685:AA1689)),AVERAGE('20250815_ETF_Options_Exhibits'!AA1685:AA1689),"")</f>
        <v/>
      </c>
    </row>
    <row r="1690">
      <c r="A1690" s="1" t="n">
        <v>44454</v>
      </c>
      <c r="B1690" s="3">
        <f>IF(ISNUMBER(AVERAGE('20250815_ETF_Options_Exhibits'!B1686:B1690)),AVERAGE('20250815_ETF_Options_Exhibits'!B1686:B1690),"")</f>
        <v/>
      </c>
      <c r="C1690" s="3">
        <f>IF(ISNUMBER(AVERAGE('20250815_ETF_Options_Exhibits'!C1686:C1690)),AVERAGE('20250815_ETF_Options_Exhibits'!C1686:C1690),"")</f>
        <v/>
      </c>
      <c r="D1690" s="3">
        <f>IF(ISNUMBER(AVERAGE('20250815_ETF_Options_Exhibits'!D1686:D1690)),AVERAGE('20250815_ETF_Options_Exhibits'!D1686:D1690),"")</f>
        <v/>
      </c>
      <c r="E1690" s="3">
        <f>IF(ISNUMBER(AVERAGE('20250815_ETF_Options_Exhibits'!E1686:E1690)),AVERAGE('20250815_ETF_Options_Exhibits'!E1686:E1690),"")</f>
        <v/>
      </c>
      <c r="F1690" s="3">
        <f>IF(ISNUMBER(AVERAGE('20250815_ETF_Options_Exhibits'!F1686:F1690)),AVERAGE('20250815_ETF_Options_Exhibits'!F1686:F1690),"")</f>
        <v/>
      </c>
      <c r="G1690" s="3">
        <f>IF(ISNUMBER(AVERAGE('20250815_ETF_Options_Exhibits'!G1686:G1690)),AVERAGE('20250815_ETF_Options_Exhibits'!G1686:G1690),"")</f>
        <v/>
      </c>
      <c r="H1690" s="3">
        <f>IF(ISNUMBER(AVERAGE('20250815_ETF_Options_Exhibits'!H1686:H1690)),AVERAGE('20250815_ETF_Options_Exhibits'!H1686:H1690),"")</f>
        <v/>
      </c>
      <c r="I1690" s="3">
        <f>IF(ISNUMBER(AVERAGE('20250815_ETF_Options_Exhibits'!I1686:I1690)),AVERAGE('20250815_ETF_Options_Exhibits'!I1686:I1690),"")</f>
        <v/>
      </c>
      <c r="J1690" s="3">
        <f>IF(ISNUMBER(AVERAGE('20250815_ETF_Options_Exhibits'!J1686:J1690)),AVERAGE('20250815_ETF_Options_Exhibits'!J1686:J1690),"")</f>
        <v/>
      </c>
      <c r="K1690" s="3">
        <f>IF(ISNUMBER(AVERAGE('20250815_ETF_Options_Exhibits'!K1686:K1690)),AVERAGE('20250815_ETF_Options_Exhibits'!K1686:K1690),"")</f>
        <v/>
      </c>
      <c r="L1690" s="3">
        <f>IF(ISNUMBER(AVERAGE('20250815_ETF_Options_Exhibits'!L1686:L1690)),AVERAGE('20250815_ETF_Options_Exhibits'!L1686:L1690),"")</f>
        <v/>
      </c>
      <c r="M1690" s="3">
        <f>IF(ISNUMBER(AVERAGE('20250815_ETF_Options_Exhibits'!M1686:M1690)),AVERAGE('20250815_ETF_Options_Exhibits'!M1686:M1690),"")</f>
        <v/>
      </c>
      <c r="N1690" s="3">
        <f>IF(ISNUMBER(AVERAGE('20250815_ETF_Options_Exhibits'!N1686:N1690)),AVERAGE('20250815_ETF_Options_Exhibits'!N1686:N1690),"")</f>
        <v/>
      </c>
      <c r="O1690" s="3">
        <f>IF(ISNUMBER(AVERAGE('20250815_ETF_Options_Exhibits'!O1686:O1690)),AVERAGE('20250815_ETF_Options_Exhibits'!O1686:O1690),"")</f>
        <v/>
      </c>
      <c r="P1690" s="3">
        <f>IF(ISNUMBER(AVERAGE('20250815_ETF_Options_Exhibits'!P1686:P1690)),AVERAGE('20250815_ETF_Options_Exhibits'!P1686:P1690),"")</f>
        <v/>
      </c>
      <c r="Q1690" s="3">
        <f>IF(ISNUMBER(AVERAGE('20250815_ETF_Options_Exhibits'!Q1686:Q1690)),AVERAGE('20250815_ETF_Options_Exhibits'!Q1686:Q1690),"")</f>
        <v/>
      </c>
      <c r="R1690" s="3">
        <f>IF(ISNUMBER(AVERAGE('20250815_ETF_Options_Exhibits'!R1686:R1690)),AVERAGE('20250815_ETF_Options_Exhibits'!R1686:R1690),"")</f>
        <v/>
      </c>
      <c r="S1690" s="3">
        <f>IF(ISNUMBER(AVERAGE('20250815_ETF_Options_Exhibits'!S1686:S1690)),AVERAGE('20250815_ETF_Options_Exhibits'!S1686:S1690),"")</f>
        <v/>
      </c>
      <c r="T1690" s="3">
        <f>IF(ISNUMBER(AVERAGE('20250815_ETF_Options_Exhibits'!T1686:T1690)),AVERAGE('20250815_ETF_Options_Exhibits'!T1686:T1690),"")</f>
        <v/>
      </c>
      <c r="U1690" s="3">
        <f>IF(ISNUMBER(AVERAGE('20250815_ETF_Options_Exhibits'!U1686:U1690)),AVERAGE('20250815_ETF_Options_Exhibits'!U1686:U1690),"")</f>
        <v/>
      </c>
      <c r="V1690" s="3">
        <f>IF(ISNUMBER(AVERAGE('20250815_ETF_Options_Exhibits'!V1686:V1690)),AVERAGE('20250815_ETF_Options_Exhibits'!V1686:V1690),"")</f>
        <v/>
      </c>
      <c r="W1690" s="3">
        <f>IF(ISNUMBER(AVERAGE('20250815_ETF_Options_Exhibits'!W1686:W1690)),AVERAGE('20250815_ETF_Options_Exhibits'!W1686:W1690),"")</f>
        <v/>
      </c>
      <c r="X1690" s="3">
        <f>IF(ISNUMBER(AVERAGE('20250815_ETF_Options_Exhibits'!X1686:X1690)),AVERAGE('20250815_ETF_Options_Exhibits'!X1686:X1690),"")</f>
        <v/>
      </c>
      <c r="Y1690" s="3">
        <f>IF(ISNUMBER(AVERAGE('20250815_ETF_Options_Exhibits'!Y1686:Y1690)),AVERAGE('20250815_ETF_Options_Exhibits'!Y1686:Y1690),"")</f>
        <v/>
      </c>
      <c r="Z1690" s="3">
        <f>IF(ISNUMBER(AVERAGE('20250815_ETF_Options_Exhibits'!Z1686:Z1690)),AVERAGE('20250815_ETF_Options_Exhibits'!Z1686:Z1690),"")</f>
        <v/>
      </c>
      <c r="AA1690" s="3">
        <f>IF(ISNUMBER(AVERAGE('20250815_ETF_Options_Exhibits'!AA1686:AA1690)),AVERAGE('20250815_ETF_Options_Exhibits'!AA1686:AA1690),"")</f>
        <v/>
      </c>
    </row>
    <row r="1691">
      <c r="A1691" s="1" t="n">
        <v>44455</v>
      </c>
      <c r="B1691" s="3">
        <f>IF(ISNUMBER(AVERAGE('20250815_ETF_Options_Exhibits'!B1687:B1691)),AVERAGE('20250815_ETF_Options_Exhibits'!B1687:B1691),"")</f>
        <v/>
      </c>
      <c r="C1691" s="3">
        <f>IF(ISNUMBER(AVERAGE('20250815_ETF_Options_Exhibits'!C1687:C1691)),AVERAGE('20250815_ETF_Options_Exhibits'!C1687:C1691),"")</f>
        <v/>
      </c>
      <c r="D1691" s="3">
        <f>IF(ISNUMBER(AVERAGE('20250815_ETF_Options_Exhibits'!D1687:D1691)),AVERAGE('20250815_ETF_Options_Exhibits'!D1687:D1691),"")</f>
        <v/>
      </c>
      <c r="E1691" s="3">
        <f>IF(ISNUMBER(AVERAGE('20250815_ETF_Options_Exhibits'!E1687:E1691)),AVERAGE('20250815_ETF_Options_Exhibits'!E1687:E1691),"")</f>
        <v/>
      </c>
      <c r="F1691" s="3">
        <f>IF(ISNUMBER(AVERAGE('20250815_ETF_Options_Exhibits'!F1687:F1691)),AVERAGE('20250815_ETF_Options_Exhibits'!F1687:F1691),"")</f>
        <v/>
      </c>
      <c r="G1691" s="3">
        <f>IF(ISNUMBER(AVERAGE('20250815_ETF_Options_Exhibits'!G1687:G1691)),AVERAGE('20250815_ETF_Options_Exhibits'!G1687:G1691),"")</f>
        <v/>
      </c>
      <c r="H1691" s="3">
        <f>IF(ISNUMBER(AVERAGE('20250815_ETF_Options_Exhibits'!H1687:H1691)),AVERAGE('20250815_ETF_Options_Exhibits'!H1687:H1691),"")</f>
        <v/>
      </c>
      <c r="I1691" s="3">
        <f>IF(ISNUMBER(AVERAGE('20250815_ETF_Options_Exhibits'!I1687:I1691)),AVERAGE('20250815_ETF_Options_Exhibits'!I1687:I1691),"")</f>
        <v/>
      </c>
      <c r="J1691" s="3">
        <f>IF(ISNUMBER(AVERAGE('20250815_ETF_Options_Exhibits'!J1687:J1691)),AVERAGE('20250815_ETF_Options_Exhibits'!J1687:J1691),"")</f>
        <v/>
      </c>
      <c r="K1691" s="3">
        <f>IF(ISNUMBER(AVERAGE('20250815_ETF_Options_Exhibits'!K1687:K1691)),AVERAGE('20250815_ETF_Options_Exhibits'!K1687:K1691),"")</f>
        <v/>
      </c>
      <c r="L1691" s="3">
        <f>IF(ISNUMBER(AVERAGE('20250815_ETF_Options_Exhibits'!L1687:L1691)),AVERAGE('20250815_ETF_Options_Exhibits'!L1687:L1691),"")</f>
        <v/>
      </c>
      <c r="M1691" s="3">
        <f>IF(ISNUMBER(AVERAGE('20250815_ETF_Options_Exhibits'!M1687:M1691)),AVERAGE('20250815_ETF_Options_Exhibits'!M1687:M1691),"")</f>
        <v/>
      </c>
      <c r="N1691" s="3">
        <f>IF(ISNUMBER(AVERAGE('20250815_ETF_Options_Exhibits'!N1687:N1691)),AVERAGE('20250815_ETF_Options_Exhibits'!N1687:N1691),"")</f>
        <v/>
      </c>
      <c r="O1691" s="3">
        <f>IF(ISNUMBER(AVERAGE('20250815_ETF_Options_Exhibits'!O1687:O1691)),AVERAGE('20250815_ETF_Options_Exhibits'!O1687:O1691),"")</f>
        <v/>
      </c>
      <c r="P1691" s="3">
        <f>IF(ISNUMBER(AVERAGE('20250815_ETF_Options_Exhibits'!P1687:P1691)),AVERAGE('20250815_ETF_Options_Exhibits'!P1687:P1691),"")</f>
        <v/>
      </c>
      <c r="Q1691" s="3">
        <f>IF(ISNUMBER(AVERAGE('20250815_ETF_Options_Exhibits'!Q1687:Q1691)),AVERAGE('20250815_ETF_Options_Exhibits'!Q1687:Q1691),"")</f>
        <v/>
      </c>
      <c r="R1691" s="3">
        <f>IF(ISNUMBER(AVERAGE('20250815_ETF_Options_Exhibits'!R1687:R1691)),AVERAGE('20250815_ETF_Options_Exhibits'!R1687:R1691),"")</f>
        <v/>
      </c>
      <c r="S1691" s="3">
        <f>IF(ISNUMBER(AVERAGE('20250815_ETF_Options_Exhibits'!S1687:S1691)),AVERAGE('20250815_ETF_Options_Exhibits'!S1687:S1691),"")</f>
        <v/>
      </c>
      <c r="T1691" s="3">
        <f>IF(ISNUMBER(AVERAGE('20250815_ETF_Options_Exhibits'!T1687:T1691)),AVERAGE('20250815_ETF_Options_Exhibits'!T1687:T1691),"")</f>
        <v/>
      </c>
      <c r="U1691" s="3">
        <f>IF(ISNUMBER(AVERAGE('20250815_ETF_Options_Exhibits'!U1687:U1691)),AVERAGE('20250815_ETF_Options_Exhibits'!U1687:U1691),"")</f>
        <v/>
      </c>
      <c r="V1691" s="3">
        <f>IF(ISNUMBER(AVERAGE('20250815_ETF_Options_Exhibits'!V1687:V1691)),AVERAGE('20250815_ETF_Options_Exhibits'!V1687:V1691),"")</f>
        <v/>
      </c>
      <c r="W1691" s="3">
        <f>IF(ISNUMBER(AVERAGE('20250815_ETF_Options_Exhibits'!W1687:W1691)),AVERAGE('20250815_ETF_Options_Exhibits'!W1687:W1691),"")</f>
        <v/>
      </c>
      <c r="X1691" s="3">
        <f>IF(ISNUMBER(AVERAGE('20250815_ETF_Options_Exhibits'!X1687:X1691)),AVERAGE('20250815_ETF_Options_Exhibits'!X1687:X1691),"")</f>
        <v/>
      </c>
      <c r="Y1691" s="3">
        <f>IF(ISNUMBER(AVERAGE('20250815_ETF_Options_Exhibits'!Y1687:Y1691)),AVERAGE('20250815_ETF_Options_Exhibits'!Y1687:Y1691),"")</f>
        <v/>
      </c>
      <c r="Z1691" s="3">
        <f>IF(ISNUMBER(AVERAGE('20250815_ETF_Options_Exhibits'!Z1687:Z1691)),AVERAGE('20250815_ETF_Options_Exhibits'!Z1687:Z1691),"")</f>
        <v/>
      </c>
      <c r="AA1691" s="3">
        <f>IF(ISNUMBER(AVERAGE('20250815_ETF_Options_Exhibits'!AA1687:AA1691)),AVERAGE('20250815_ETF_Options_Exhibits'!AA1687:AA1691),"")</f>
        <v/>
      </c>
    </row>
    <row r="1692">
      <c r="A1692" s="1" t="n">
        <v>44456</v>
      </c>
      <c r="B1692" s="3">
        <f>IF(ISNUMBER(AVERAGE('20250815_ETF_Options_Exhibits'!B1688:B1692)),AVERAGE('20250815_ETF_Options_Exhibits'!B1688:B1692),"")</f>
        <v/>
      </c>
      <c r="C1692" s="3">
        <f>IF(ISNUMBER(AVERAGE('20250815_ETF_Options_Exhibits'!C1688:C1692)),AVERAGE('20250815_ETF_Options_Exhibits'!C1688:C1692),"")</f>
        <v/>
      </c>
      <c r="D1692" s="3">
        <f>IF(ISNUMBER(AVERAGE('20250815_ETF_Options_Exhibits'!D1688:D1692)),AVERAGE('20250815_ETF_Options_Exhibits'!D1688:D1692),"")</f>
        <v/>
      </c>
      <c r="E1692" s="3">
        <f>IF(ISNUMBER(AVERAGE('20250815_ETF_Options_Exhibits'!E1688:E1692)),AVERAGE('20250815_ETF_Options_Exhibits'!E1688:E1692),"")</f>
        <v/>
      </c>
      <c r="F1692" s="3">
        <f>IF(ISNUMBER(AVERAGE('20250815_ETF_Options_Exhibits'!F1688:F1692)),AVERAGE('20250815_ETF_Options_Exhibits'!F1688:F1692),"")</f>
        <v/>
      </c>
      <c r="G1692" s="3">
        <f>IF(ISNUMBER(AVERAGE('20250815_ETF_Options_Exhibits'!G1688:G1692)),AVERAGE('20250815_ETF_Options_Exhibits'!G1688:G1692),"")</f>
        <v/>
      </c>
      <c r="H1692" s="3">
        <f>IF(ISNUMBER(AVERAGE('20250815_ETF_Options_Exhibits'!H1688:H1692)),AVERAGE('20250815_ETF_Options_Exhibits'!H1688:H1692),"")</f>
        <v/>
      </c>
      <c r="I1692" s="3">
        <f>IF(ISNUMBER(AVERAGE('20250815_ETF_Options_Exhibits'!I1688:I1692)),AVERAGE('20250815_ETF_Options_Exhibits'!I1688:I1692),"")</f>
        <v/>
      </c>
      <c r="J1692" s="3">
        <f>IF(ISNUMBER(AVERAGE('20250815_ETF_Options_Exhibits'!J1688:J1692)),AVERAGE('20250815_ETF_Options_Exhibits'!J1688:J1692),"")</f>
        <v/>
      </c>
      <c r="K1692" s="3">
        <f>IF(ISNUMBER(AVERAGE('20250815_ETF_Options_Exhibits'!K1688:K1692)),AVERAGE('20250815_ETF_Options_Exhibits'!K1688:K1692),"")</f>
        <v/>
      </c>
      <c r="L1692" s="3">
        <f>IF(ISNUMBER(AVERAGE('20250815_ETF_Options_Exhibits'!L1688:L1692)),AVERAGE('20250815_ETF_Options_Exhibits'!L1688:L1692),"")</f>
        <v/>
      </c>
      <c r="M1692" s="3">
        <f>IF(ISNUMBER(AVERAGE('20250815_ETF_Options_Exhibits'!M1688:M1692)),AVERAGE('20250815_ETF_Options_Exhibits'!M1688:M1692),"")</f>
        <v/>
      </c>
      <c r="N1692" s="3">
        <f>IF(ISNUMBER(AVERAGE('20250815_ETF_Options_Exhibits'!N1688:N1692)),AVERAGE('20250815_ETF_Options_Exhibits'!N1688:N1692),"")</f>
        <v/>
      </c>
      <c r="O1692" s="3">
        <f>IF(ISNUMBER(AVERAGE('20250815_ETF_Options_Exhibits'!O1688:O1692)),AVERAGE('20250815_ETF_Options_Exhibits'!O1688:O1692),"")</f>
        <v/>
      </c>
      <c r="P1692" s="3">
        <f>IF(ISNUMBER(AVERAGE('20250815_ETF_Options_Exhibits'!P1688:P1692)),AVERAGE('20250815_ETF_Options_Exhibits'!P1688:P1692),"")</f>
        <v/>
      </c>
      <c r="Q1692" s="3">
        <f>IF(ISNUMBER(AVERAGE('20250815_ETF_Options_Exhibits'!Q1688:Q1692)),AVERAGE('20250815_ETF_Options_Exhibits'!Q1688:Q1692),"")</f>
        <v/>
      </c>
      <c r="R1692" s="3">
        <f>IF(ISNUMBER(AVERAGE('20250815_ETF_Options_Exhibits'!R1688:R1692)),AVERAGE('20250815_ETF_Options_Exhibits'!R1688:R1692),"")</f>
        <v/>
      </c>
      <c r="S1692" s="3">
        <f>IF(ISNUMBER(AVERAGE('20250815_ETF_Options_Exhibits'!S1688:S1692)),AVERAGE('20250815_ETF_Options_Exhibits'!S1688:S1692),"")</f>
        <v/>
      </c>
      <c r="T1692" s="3">
        <f>IF(ISNUMBER(AVERAGE('20250815_ETF_Options_Exhibits'!T1688:T1692)),AVERAGE('20250815_ETF_Options_Exhibits'!T1688:T1692),"")</f>
        <v/>
      </c>
      <c r="U1692" s="3">
        <f>IF(ISNUMBER(AVERAGE('20250815_ETF_Options_Exhibits'!U1688:U1692)),AVERAGE('20250815_ETF_Options_Exhibits'!U1688:U1692),"")</f>
        <v/>
      </c>
      <c r="V1692" s="3">
        <f>IF(ISNUMBER(AVERAGE('20250815_ETF_Options_Exhibits'!V1688:V1692)),AVERAGE('20250815_ETF_Options_Exhibits'!V1688:V1692),"")</f>
        <v/>
      </c>
      <c r="W1692" s="3">
        <f>IF(ISNUMBER(AVERAGE('20250815_ETF_Options_Exhibits'!W1688:W1692)),AVERAGE('20250815_ETF_Options_Exhibits'!W1688:W1692),"")</f>
        <v/>
      </c>
      <c r="X1692" s="3">
        <f>IF(ISNUMBER(AVERAGE('20250815_ETF_Options_Exhibits'!X1688:X1692)),AVERAGE('20250815_ETF_Options_Exhibits'!X1688:X1692),"")</f>
        <v/>
      </c>
      <c r="Y1692" s="3">
        <f>IF(ISNUMBER(AVERAGE('20250815_ETF_Options_Exhibits'!Y1688:Y1692)),AVERAGE('20250815_ETF_Options_Exhibits'!Y1688:Y1692),"")</f>
        <v/>
      </c>
      <c r="Z1692" s="3">
        <f>IF(ISNUMBER(AVERAGE('20250815_ETF_Options_Exhibits'!Z1688:Z1692)),AVERAGE('20250815_ETF_Options_Exhibits'!Z1688:Z1692),"")</f>
        <v/>
      </c>
      <c r="AA1692" s="3">
        <f>IF(ISNUMBER(AVERAGE('20250815_ETF_Options_Exhibits'!AA1688:AA1692)),AVERAGE('20250815_ETF_Options_Exhibits'!AA1688:AA1692),"")</f>
        <v/>
      </c>
    </row>
    <row r="1693">
      <c r="A1693" s="1" t="n">
        <v>44459</v>
      </c>
      <c r="B1693" s="3">
        <f>IF(ISNUMBER(AVERAGE('20250815_ETF_Options_Exhibits'!B1689:B1693)),AVERAGE('20250815_ETF_Options_Exhibits'!B1689:B1693),"")</f>
        <v/>
      </c>
      <c r="C1693" s="3">
        <f>IF(ISNUMBER(AVERAGE('20250815_ETF_Options_Exhibits'!C1689:C1693)),AVERAGE('20250815_ETF_Options_Exhibits'!C1689:C1693),"")</f>
        <v/>
      </c>
      <c r="D1693" s="3">
        <f>IF(ISNUMBER(AVERAGE('20250815_ETF_Options_Exhibits'!D1689:D1693)),AVERAGE('20250815_ETF_Options_Exhibits'!D1689:D1693),"")</f>
        <v/>
      </c>
      <c r="E1693" s="3">
        <f>IF(ISNUMBER(AVERAGE('20250815_ETF_Options_Exhibits'!E1689:E1693)),AVERAGE('20250815_ETF_Options_Exhibits'!E1689:E1693),"")</f>
        <v/>
      </c>
      <c r="F1693" s="3">
        <f>IF(ISNUMBER(AVERAGE('20250815_ETF_Options_Exhibits'!F1689:F1693)),AVERAGE('20250815_ETF_Options_Exhibits'!F1689:F1693),"")</f>
        <v/>
      </c>
      <c r="G1693" s="3">
        <f>IF(ISNUMBER(AVERAGE('20250815_ETF_Options_Exhibits'!G1689:G1693)),AVERAGE('20250815_ETF_Options_Exhibits'!G1689:G1693),"")</f>
        <v/>
      </c>
      <c r="H1693" s="3">
        <f>IF(ISNUMBER(AVERAGE('20250815_ETF_Options_Exhibits'!H1689:H1693)),AVERAGE('20250815_ETF_Options_Exhibits'!H1689:H1693),"")</f>
        <v/>
      </c>
      <c r="I1693" s="3">
        <f>IF(ISNUMBER(AVERAGE('20250815_ETF_Options_Exhibits'!I1689:I1693)),AVERAGE('20250815_ETF_Options_Exhibits'!I1689:I1693),"")</f>
        <v/>
      </c>
      <c r="J1693" s="3">
        <f>IF(ISNUMBER(AVERAGE('20250815_ETF_Options_Exhibits'!J1689:J1693)),AVERAGE('20250815_ETF_Options_Exhibits'!J1689:J1693),"")</f>
        <v/>
      </c>
      <c r="K1693" s="3">
        <f>IF(ISNUMBER(AVERAGE('20250815_ETF_Options_Exhibits'!K1689:K1693)),AVERAGE('20250815_ETF_Options_Exhibits'!K1689:K1693),"")</f>
        <v/>
      </c>
      <c r="L1693" s="3">
        <f>IF(ISNUMBER(AVERAGE('20250815_ETF_Options_Exhibits'!L1689:L1693)),AVERAGE('20250815_ETF_Options_Exhibits'!L1689:L1693),"")</f>
        <v/>
      </c>
      <c r="M1693" s="3">
        <f>IF(ISNUMBER(AVERAGE('20250815_ETF_Options_Exhibits'!M1689:M1693)),AVERAGE('20250815_ETF_Options_Exhibits'!M1689:M1693),"")</f>
        <v/>
      </c>
      <c r="N1693" s="3">
        <f>IF(ISNUMBER(AVERAGE('20250815_ETF_Options_Exhibits'!N1689:N1693)),AVERAGE('20250815_ETF_Options_Exhibits'!N1689:N1693),"")</f>
        <v/>
      </c>
      <c r="O1693" s="3">
        <f>IF(ISNUMBER(AVERAGE('20250815_ETF_Options_Exhibits'!O1689:O1693)),AVERAGE('20250815_ETF_Options_Exhibits'!O1689:O1693),"")</f>
        <v/>
      </c>
      <c r="P1693" s="3">
        <f>IF(ISNUMBER(AVERAGE('20250815_ETF_Options_Exhibits'!P1689:P1693)),AVERAGE('20250815_ETF_Options_Exhibits'!P1689:P1693),"")</f>
        <v/>
      </c>
      <c r="Q1693" s="3">
        <f>IF(ISNUMBER(AVERAGE('20250815_ETF_Options_Exhibits'!Q1689:Q1693)),AVERAGE('20250815_ETF_Options_Exhibits'!Q1689:Q1693),"")</f>
        <v/>
      </c>
      <c r="R1693" s="3">
        <f>IF(ISNUMBER(AVERAGE('20250815_ETF_Options_Exhibits'!R1689:R1693)),AVERAGE('20250815_ETF_Options_Exhibits'!R1689:R1693),"")</f>
        <v/>
      </c>
      <c r="S1693" s="3">
        <f>IF(ISNUMBER(AVERAGE('20250815_ETF_Options_Exhibits'!S1689:S1693)),AVERAGE('20250815_ETF_Options_Exhibits'!S1689:S1693),"")</f>
        <v/>
      </c>
      <c r="T1693" s="3">
        <f>IF(ISNUMBER(AVERAGE('20250815_ETF_Options_Exhibits'!T1689:T1693)),AVERAGE('20250815_ETF_Options_Exhibits'!T1689:T1693),"")</f>
        <v/>
      </c>
      <c r="U1693" s="3">
        <f>IF(ISNUMBER(AVERAGE('20250815_ETF_Options_Exhibits'!U1689:U1693)),AVERAGE('20250815_ETF_Options_Exhibits'!U1689:U1693),"")</f>
        <v/>
      </c>
      <c r="V1693" s="3">
        <f>IF(ISNUMBER(AVERAGE('20250815_ETF_Options_Exhibits'!V1689:V1693)),AVERAGE('20250815_ETF_Options_Exhibits'!V1689:V1693),"")</f>
        <v/>
      </c>
      <c r="W1693" s="3">
        <f>IF(ISNUMBER(AVERAGE('20250815_ETF_Options_Exhibits'!W1689:W1693)),AVERAGE('20250815_ETF_Options_Exhibits'!W1689:W1693),"")</f>
        <v/>
      </c>
      <c r="X1693" s="3">
        <f>IF(ISNUMBER(AVERAGE('20250815_ETF_Options_Exhibits'!X1689:X1693)),AVERAGE('20250815_ETF_Options_Exhibits'!X1689:X1693),"")</f>
        <v/>
      </c>
      <c r="Y1693" s="3">
        <f>IF(ISNUMBER(AVERAGE('20250815_ETF_Options_Exhibits'!Y1689:Y1693)),AVERAGE('20250815_ETF_Options_Exhibits'!Y1689:Y1693),"")</f>
        <v/>
      </c>
      <c r="Z1693" s="3">
        <f>IF(ISNUMBER(AVERAGE('20250815_ETF_Options_Exhibits'!Z1689:Z1693)),AVERAGE('20250815_ETF_Options_Exhibits'!Z1689:Z1693),"")</f>
        <v/>
      </c>
      <c r="AA1693" s="3">
        <f>IF(ISNUMBER(AVERAGE('20250815_ETF_Options_Exhibits'!AA1689:AA1693)),AVERAGE('20250815_ETF_Options_Exhibits'!AA1689:AA1693),"")</f>
        <v/>
      </c>
    </row>
    <row r="1694">
      <c r="A1694" s="1" t="n">
        <v>44460</v>
      </c>
      <c r="B1694" s="3">
        <f>IF(ISNUMBER(AVERAGE('20250815_ETF_Options_Exhibits'!B1690:B1694)),AVERAGE('20250815_ETF_Options_Exhibits'!B1690:B1694),"")</f>
        <v/>
      </c>
      <c r="C1694" s="3">
        <f>IF(ISNUMBER(AVERAGE('20250815_ETF_Options_Exhibits'!C1690:C1694)),AVERAGE('20250815_ETF_Options_Exhibits'!C1690:C1694),"")</f>
        <v/>
      </c>
      <c r="D1694" s="3">
        <f>IF(ISNUMBER(AVERAGE('20250815_ETF_Options_Exhibits'!D1690:D1694)),AVERAGE('20250815_ETF_Options_Exhibits'!D1690:D1694),"")</f>
        <v/>
      </c>
      <c r="E1694" s="3">
        <f>IF(ISNUMBER(AVERAGE('20250815_ETF_Options_Exhibits'!E1690:E1694)),AVERAGE('20250815_ETF_Options_Exhibits'!E1690:E1694),"")</f>
        <v/>
      </c>
      <c r="F1694" s="3">
        <f>IF(ISNUMBER(AVERAGE('20250815_ETF_Options_Exhibits'!F1690:F1694)),AVERAGE('20250815_ETF_Options_Exhibits'!F1690:F1694),"")</f>
        <v/>
      </c>
      <c r="G1694" s="3">
        <f>IF(ISNUMBER(AVERAGE('20250815_ETF_Options_Exhibits'!G1690:G1694)),AVERAGE('20250815_ETF_Options_Exhibits'!G1690:G1694),"")</f>
        <v/>
      </c>
      <c r="H1694" s="3">
        <f>IF(ISNUMBER(AVERAGE('20250815_ETF_Options_Exhibits'!H1690:H1694)),AVERAGE('20250815_ETF_Options_Exhibits'!H1690:H1694),"")</f>
        <v/>
      </c>
      <c r="I1694" s="3">
        <f>IF(ISNUMBER(AVERAGE('20250815_ETF_Options_Exhibits'!I1690:I1694)),AVERAGE('20250815_ETF_Options_Exhibits'!I1690:I1694),"")</f>
        <v/>
      </c>
      <c r="J1694" s="3">
        <f>IF(ISNUMBER(AVERAGE('20250815_ETF_Options_Exhibits'!J1690:J1694)),AVERAGE('20250815_ETF_Options_Exhibits'!J1690:J1694),"")</f>
        <v/>
      </c>
      <c r="K1694" s="3">
        <f>IF(ISNUMBER(AVERAGE('20250815_ETF_Options_Exhibits'!K1690:K1694)),AVERAGE('20250815_ETF_Options_Exhibits'!K1690:K1694),"")</f>
        <v/>
      </c>
      <c r="L1694" s="3">
        <f>IF(ISNUMBER(AVERAGE('20250815_ETF_Options_Exhibits'!L1690:L1694)),AVERAGE('20250815_ETF_Options_Exhibits'!L1690:L1694),"")</f>
        <v/>
      </c>
      <c r="M1694" s="3">
        <f>IF(ISNUMBER(AVERAGE('20250815_ETF_Options_Exhibits'!M1690:M1694)),AVERAGE('20250815_ETF_Options_Exhibits'!M1690:M1694),"")</f>
        <v/>
      </c>
      <c r="N1694" s="3">
        <f>IF(ISNUMBER(AVERAGE('20250815_ETF_Options_Exhibits'!N1690:N1694)),AVERAGE('20250815_ETF_Options_Exhibits'!N1690:N1694),"")</f>
        <v/>
      </c>
      <c r="O1694" s="3">
        <f>IF(ISNUMBER(AVERAGE('20250815_ETF_Options_Exhibits'!O1690:O1694)),AVERAGE('20250815_ETF_Options_Exhibits'!O1690:O1694),"")</f>
        <v/>
      </c>
      <c r="P1694" s="3">
        <f>IF(ISNUMBER(AVERAGE('20250815_ETF_Options_Exhibits'!P1690:P1694)),AVERAGE('20250815_ETF_Options_Exhibits'!P1690:P1694),"")</f>
        <v/>
      </c>
      <c r="Q1694" s="3">
        <f>IF(ISNUMBER(AVERAGE('20250815_ETF_Options_Exhibits'!Q1690:Q1694)),AVERAGE('20250815_ETF_Options_Exhibits'!Q1690:Q1694),"")</f>
        <v/>
      </c>
      <c r="R1694" s="3">
        <f>IF(ISNUMBER(AVERAGE('20250815_ETF_Options_Exhibits'!R1690:R1694)),AVERAGE('20250815_ETF_Options_Exhibits'!R1690:R1694),"")</f>
        <v/>
      </c>
      <c r="S1694" s="3">
        <f>IF(ISNUMBER(AVERAGE('20250815_ETF_Options_Exhibits'!S1690:S1694)),AVERAGE('20250815_ETF_Options_Exhibits'!S1690:S1694),"")</f>
        <v/>
      </c>
      <c r="T1694" s="3">
        <f>IF(ISNUMBER(AVERAGE('20250815_ETF_Options_Exhibits'!T1690:T1694)),AVERAGE('20250815_ETF_Options_Exhibits'!T1690:T1694),"")</f>
        <v/>
      </c>
      <c r="U1694" s="3">
        <f>IF(ISNUMBER(AVERAGE('20250815_ETF_Options_Exhibits'!U1690:U1694)),AVERAGE('20250815_ETF_Options_Exhibits'!U1690:U1694),"")</f>
        <v/>
      </c>
      <c r="V1694" s="3">
        <f>IF(ISNUMBER(AVERAGE('20250815_ETF_Options_Exhibits'!V1690:V1694)),AVERAGE('20250815_ETF_Options_Exhibits'!V1690:V1694),"")</f>
        <v/>
      </c>
      <c r="W1694" s="3">
        <f>IF(ISNUMBER(AVERAGE('20250815_ETF_Options_Exhibits'!W1690:W1694)),AVERAGE('20250815_ETF_Options_Exhibits'!W1690:W1694),"")</f>
        <v/>
      </c>
      <c r="X1694" s="3">
        <f>IF(ISNUMBER(AVERAGE('20250815_ETF_Options_Exhibits'!X1690:X1694)),AVERAGE('20250815_ETF_Options_Exhibits'!X1690:X1694),"")</f>
        <v/>
      </c>
      <c r="Y1694" s="3">
        <f>IF(ISNUMBER(AVERAGE('20250815_ETF_Options_Exhibits'!Y1690:Y1694)),AVERAGE('20250815_ETF_Options_Exhibits'!Y1690:Y1694),"")</f>
        <v/>
      </c>
      <c r="Z1694" s="3">
        <f>IF(ISNUMBER(AVERAGE('20250815_ETF_Options_Exhibits'!Z1690:Z1694)),AVERAGE('20250815_ETF_Options_Exhibits'!Z1690:Z1694),"")</f>
        <v/>
      </c>
      <c r="AA1694" s="3">
        <f>IF(ISNUMBER(AVERAGE('20250815_ETF_Options_Exhibits'!AA1690:AA1694)),AVERAGE('20250815_ETF_Options_Exhibits'!AA1690:AA1694),"")</f>
        <v/>
      </c>
    </row>
    <row r="1695">
      <c r="A1695" s="1" t="n">
        <v>44461</v>
      </c>
      <c r="B1695" s="3">
        <f>IF(ISNUMBER(AVERAGE('20250815_ETF_Options_Exhibits'!B1691:B1695)),AVERAGE('20250815_ETF_Options_Exhibits'!B1691:B1695),"")</f>
        <v/>
      </c>
      <c r="C1695" s="3">
        <f>IF(ISNUMBER(AVERAGE('20250815_ETF_Options_Exhibits'!C1691:C1695)),AVERAGE('20250815_ETF_Options_Exhibits'!C1691:C1695),"")</f>
        <v/>
      </c>
      <c r="D1695" s="3">
        <f>IF(ISNUMBER(AVERAGE('20250815_ETF_Options_Exhibits'!D1691:D1695)),AVERAGE('20250815_ETF_Options_Exhibits'!D1691:D1695),"")</f>
        <v/>
      </c>
      <c r="E1695" s="3">
        <f>IF(ISNUMBER(AVERAGE('20250815_ETF_Options_Exhibits'!E1691:E1695)),AVERAGE('20250815_ETF_Options_Exhibits'!E1691:E1695),"")</f>
        <v/>
      </c>
      <c r="F1695" s="3">
        <f>IF(ISNUMBER(AVERAGE('20250815_ETF_Options_Exhibits'!F1691:F1695)),AVERAGE('20250815_ETF_Options_Exhibits'!F1691:F1695),"")</f>
        <v/>
      </c>
      <c r="G1695" s="3">
        <f>IF(ISNUMBER(AVERAGE('20250815_ETF_Options_Exhibits'!G1691:G1695)),AVERAGE('20250815_ETF_Options_Exhibits'!G1691:G1695),"")</f>
        <v/>
      </c>
      <c r="H1695" s="3">
        <f>IF(ISNUMBER(AVERAGE('20250815_ETF_Options_Exhibits'!H1691:H1695)),AVERAGE('20250815_ETF_Options_Exhibits'!H1691:H1695),"")</f>
        <v/>
      </c>
      <c r="I1695" s="3">
        <f>IF(ISNUMBER(AVERAGE('20250815_ETF_Options_Exhibits'!I1691:I1695)),AVERAGE('20250815_ETF_Options_Exhibits'!I1691:I1695),"")</f>
        <v/>
      </c>
      <c r="J1695" s="3">
        <f>IF(ISNUMBER(AVERAGE('20250815_ETF_Options_Exhibits'!J1691:J1695)),AVERAGE('20250815_ETF_Options_Exhibits'!J1691:J1695),"")</f>
        <v/>
      </c>
      <c r="K1695" s="3">
        <f>IF(ISNUMBER(AVERAGE('20250815_ETF_Options_Exhibits'!K1691:K1695)),AVERAGE('20250815_ETF_Options_Exhibits'!K1691:K1695),"")</f>
        <v/>
      </c>
      <c r="L1695" s="3">
        <f>IF(ISNUMBER(AVERAGE('20250815_ETF_Options_Exhibits'!L1691:L1695)),AVERAGE('20250815_ETF_Options_Exhibits'!L1691:L1695),"")</f>
        <v/>
      </c>
      <c r="M1695" s="3">
        <f>IF(ISNUMBER(AVERAGE('20250815_ETF_Options_Exhibits'!M1691:M1695)),AVERAGE('20250815_ETF_Options_Exhibits'!M1691:M1695),"")</f>
        <v/>
      </c>
      <c r="N1695" s="3">
        <f>IF(ISNUMBER(AVERAGE('20250815_ETF_Options_Exhibits'!N1691:N1695)),AVERAGE('20250815_ETF_Options_Exhibits'!N1691:N1695),"")</f>
        <v/>
      </c>
      <c r="O1695" s="3">
        <f>IF(ISNUMBER(AVERAGE('20250815_ETF_Options_Exhibits'!O1691:O1695)),AVERAGE('20250815_ETF_Options_Exhibits'!O1691:O1695),"")</f>
        <v/>
      </c>
      <c r="P1695" s="3">
        <f>IF(ISNUMBER(AVERAGE('20250815_ETF_Options_Exhibits'!P1691:P1695)),AVERAGE('20250815_ETF_Options_Exhibits'!P1691:P1695),"")</f>
        <v/>
      </c>
      <c r="Q1695" s="3">
        <f>IF(ISNUMBER(AVERAGE('20250815_ETF_Options_Exhibits'!Q1691:Q1695)),AVERAGE('20250815_ETF_Options_Exhibits'!Q1691:Q1695),"")</f>
        <v/>
      </c>
      <c r="R1695" s="3">
        <f>IF(ISNUMBER(AVERAGE('20250815_ETF_Options_Exhibits'!R1691:R1695)),AVERAGE('20250815_ETF_Options_Exhibits'!R1691:R1695),"")</f>
        <v/>
      </c>
      <c r="S1695" s="3">
        <f>IF(ISNUMBER(AVERAGE('20250815_ETF_Options_Exhibits'!S1691:S1695)),AVERAGE('20250815_ETF_Options_Exhibits'!S1691:S1695),"")</f>
        <v/>
      </c>
      <c r="T1695" s="3">
        <f>IF(ISNUMBER(AVERAGE('20250815_ETF_Options_Exhibits'!T1691:T1695)),AVERAGE('20250815_ETF_Options_Exhibits'!T1691:T1695),"")</f>
        <v/>
      </c>
      <c r="U1695" s="3">
        <f>IF(ISNUMBER(AVERAGE('20250815_ETF_Options_Exhibits'!U1691:U1695)),AVERAGE('20250815_ETF_Options_Exhibits'!U1691:U1695),"")</f>
        <v/>
      </c>
      <c r="V1695" s="3">
        <f>IF(ISNUMBER(AVERAGE('20250815_ETF_Options_Exhibits'!V1691:V1695)),AVERAGE('20250815_ETF_Options_Exhibits'!V1691:V1695),"")</f>
        <v/>
      </c>
      <c r="W1695" s="3">
        <f>IF(ISNUMBER(AVERAGE('20250815_ETF_Options_Exhibits'!W1691:W1695)),AVERAGE('20250815_ETF_Options_Exhibits'!W1691:W1695),"")</f>
        <v/>
      </c>
      <c r="X1695" s="3">
        <f>IF(ISNUMBER(AVERAGE('20250815_ETF_Options_Exhibits'!X1691:X1695)),AVERAGE('20250815_ETF_Options_Exhibits'!X1691:X1695),"")</f>
        <v/>
      </c>
      <c r="Y1695" s="3">
        <f>IF(ISNUMBER(AVERAGE('20250815_ETF_Options_Exhibits'!Y1691:Y1695)),AVERAGE('20250815_ETF_Options_Exhibits'!Y1691:Y1695),"")</f>
        <v/>
      </c>
      <c r="Z1695" s="3">
        <f>IF(ISNUMBER(AVERAGE('20250815_ETF_Options_Exhibits'!Z1691:Z1695)),AVERAGE('20250815_ETF_Options_Exhibits'!Z1691:Z1695),"")</f>
        <v/>
      </c>
      <c r="AA1695" s="3">
        <f>IF(ISNUMBER(AVERAGE('20250815_ETF_Options_Exhibits'!AA1691:AA1695)),AVERAGE('20250815_ETF_Options_Exhibits'!AA1691:AA1695),"")</f>
        <v/>
      </c>
    </row>
    <row r="1696">
      <c r="A1696" s="1" t="n">
        <v>44462</v>
      </c>
      <c r="B1696" s="3">
        <f>IF(ISNUMBER(AVERAGE('20250815_ETF_Options_Exhibits'!B1692:B1696)),AVERAGE('20250815_ETF_Options_Exhibits'!B1692:B1696),"")</f>
        <v/>
      </c>
      <c r="C1696" s="3">
        <f>IF(ISNUMBER(AVERAGE('20250815_ETF_Options_Exhibits'!C1692:C1696)),AVERAGE('20250815_ETF_Options_Exhibits'!C1692:C1696),"")</f>
        <v/>
      </c>
      <c r="D1696" s="3">
        <f>IF(ISNUMBER(AVERAGE('20250815_ETF_Options_Exhibits'!D1692:D1696)),AVERAGE('20250815_ETF_Options_Exhibits'!D1692:D1696),"")</f>
        <v/>
      </c>
      <c r="E1696" s="3">
        <f>IF(ISNUMBER(AVERAGE('20250815_ETF_Options_Exhibits'!E1692:E1696)),AVERAGE('20250815_ETF_Options_Exhibits'!E1692:E1696),"")</f>
        <v/>
      </c>
      <c r="F1696" s="3">
        <f>IF(ISNUMBER(AVERAGE('20250815_ETF_Options_Exhibits'!F1692:F1696)),AVERAGE('20250815_ETF_Options_Exhibits'!F1692:F1696),"")</f>
        <v/>
      </c>
      <c r="G1696" s="3">
        <f>IF(ISNUMBER(AVERAGE('20250815_ETF_Options_Exhibits'!G1692:G1696)),AVERAGE('20250815_ETF_Options_Exhibits'!G1692:G1696),"")</f>
        <v/>
      </c>
      <c r="H1696" s="3">
        <f>IF(ISNUMBER(AVERAGE('20250815_ETF_Options_Exhibits'!H1692:H1696)),AVERAGE('20250815_ETF_Options_Exhibits'!H1692:H1696),"")</f>
        <v/>
      </c>
      <c r="I1696" s="3">
        <f>IF(ISNUMBER(AVERAGE('20250815_ETF_Options_Exhibits'!I1692:I1696)),AVERAGE('20250815_ETF_Options_Exhibits'!I1692:I1696),"")</f>
        <v/>
      </c>
      <c r="J1696" s="3">
        <f>IF(ISNUMBER(AVERAGE('20250815_ETF_Options_Exhibits'!J1692:J1696)),AVERAGE('20250815_ETF_Options_Exhibits'!J1692:J1696),"")</f>
        <v/>
      </c>
      <c r="K1696" s="3">
        <f>IF(ISNUMBER(AVERAGE('20250815_ETF_Options_Exhibits'!K1692:K1696)),AVERAGE('20250815_ETF_Options_Exhibits'!K1692:K1696),"")</f>
        <v/>
      </c>
      <c r="L1696" s="3">
        <f>IF(ISNUMBER(AVERAGE('20250815_ETF_Options_Exhibits'!L1692:L1696)),AVERAGE('20250815_ETF_Options_Exhibits'!L1692:L1696),"")</f>
        <v/>
      </c>
      <c r="M1696" s="3">
        <f>IF(ISNUMBER(AVERAGE('20250815_ETF_Options_Exhibits'!M1692:M1696)),AVERAGE('20250815_ETF_Options_Exhibits'!M1692:M1696),"")</f>
        <v/>
      </c>
      <c r="N1696" s="3">
        <f>IF(ISNUMBER(AVERAGE('20250815_ETF_Options_Exhibits'!N1692:N1696)),AVERAGE('20250815_ETF_Options_Exhibits'!N1692:N1696),"")</f>
        <v/>
      </c>
      <c r="O1696" s="3">
        <f>IF(ISNUMBER(AVERAGE('20250815_ETF_Options_Exhibits'!O1692:O1696)),AVERAGE('20250815_ETF_Options_Exhibits'!O1692:O1696),"")</f>
        <v/>
      </c>
      <c r="P1696" s="3">
        <f>IF(ISNUMBER(AVERAGE('20250815_ETF_Options_Exhibits'!P1692:P1696)),AVERAGE('20250815_ETF_Options_Exhibits'!P1692:P1696),"")</f>
        <v/>
      </c>
      <c r="Q1696" s="3">
        <f>IF(ISNUMBER(AVERAGE('20250815_ETF_Options_Exhibits'!Q1692:Q1696)),AVERAGE('20250815_ETF_Options_Exhibits'!Q1692:Q1696),"")</f>
        <v/>
      </c>
      <c r="R1696" s="3">
        <f>IF(ISNUMBER(AVERAGE('20250815_ETF_Options_Exhibits'!R1692:R1696)),AVERAGE('20250815_ETF_Options_Exhibits'!R1692:R1696),"")</f>
        <v/>
      </c>
      <c r="S1696" s="3">
        <f>IF(ISNUMBER(AVERAGE('20250815_ETF_Options_Exhibits'!S1692:S1696)),AVERAGE('20250815_ETF_Options_Exhibits'!S1692:S1696),"")</f>
        <v/>
      </c>
      <c r="T1696" s="3">
        <f>IF(ISNUMBER(AVERAGE('20250815_ETF_Options_Exhibits'!T1692:T1696)),AVERAGE('20250815_ETF_Options_Exhibits'!T1692:T1696),"")</f>
        <v/>
      </c>
      <c r="U1696" s="3">
        <f>IF(ISNUMBER(AVERAGE('20250815_ETF_Options_Exhibits'!U1692:U1696)),AVERAGE('20250815_ETF_Options_Exhibits'!U1692:U1696),"")</f>
        <v/>
      </c>
      <c r="V1696" s="3">
        <f>IF(ISNUMBER(AVERAGE('20250815_ETF_Options_Exhibits'!V1692:V1696)),AVERAGE('20250815_ETF_Options_Exhibits'!V1692:V1696),"")</f>
        <v/>
      </c>
      <c r="W1696" s="3">
        <f>IF(ISNUMBER(AVERAGE('20250815_ETF_Options_Exhibits'!W1692:W1696)),AVERAGE('20250815_ETF_Options_Exhibits'!W1692:W1696),"")</f>
        <v/>
      </c>
      <c r="X1696" s="3">
        <f>IF(ISNUMBER(AVERAGE('20250815_ETF_Options_Exhibits'!X1692:X1696)),AVERAGE('20250815_ETF_Options_Exhibits'!X1692:X1696),"")</f>
        <v/>
      </c>
      <c r="Y1696" s="3">
        <f>IF(ISNUMBER(AVERAGE('20250815_ETF_Options_Exhibits'!Y1692:Y1696)),AVERAGE('20250815_ETF_Options_Exhibits'!Y1692:Y1696),"")</f>
        <v/>
      </c>
      <c r="Z1696" s="3">
        <f>IF(ISNUMBER(AVERAGE('20250815_ETF_Options_Exhibits'!Z1692:Z1696)),AVERAGE('20250815_ETF_Options_Exhibits'!Z1692:Z1696),"")</f>
        <v/>
      </c>
      <c r="AA1696" s="3">
        <f>IF(ISNUMBER(AVERAGE('20250815_ETF_Options_Exhibits'!AA1692:AA1696)),AVERAGE('20250815_ETF_Options_Exhibits'!AA1692:AA1696),"")</f>
        <v/>
      </c>
    </row>
    <row r="1697">
      <c r="A1697" s="1" t="n">
        <v>44463</v>
      </c>
      <c r="B1697" s="3">
        <f>IF(ISNUMBER(AVERAGE('20250815_ETF_Options_Exhibits'!B1693:B1697)),AVERAGE('20250815_ETF_Options_Exhibits'!B1693:B1697),"")</f>
        <v/>
      </c>
      <c r="C1697" s="3">
        <f>IF(ISNUMBER(AVERAGE('20250815_ETF_Options_Exhibits'!C1693:C1697)),AVERAGE('20250815_ETF_Options_Exhibits'!C1693:C1697),"")</f>
        <v/>
      </c>
      <c r="D1697" s="3">
        <f>IF(ISNUMBER(AVERAGE('20250815_ETF_Options_Exhibits'!D1693:D1697)),AVERAGE('20250815_ETF_Options_Exhibits'!D1693:D1697),"")</f>
        <v/>
      </c>
      <c r="E1697" s="3">
        <f>IF(ISNUMBER(AVERAGE('20250815_ETF_Options_Exhibits'!E1693:E1697)),AVERAGE('20250815_ETF_Options_Exhibits'!E1693:E1697),"")</f>
        <v/>
      </c>
      <c r="F1697" s="3">
        <f>IF(ISNUMBER(AVERAGE('20250815_ETF_Options_Exhibits'!F1693:F1697)),AVERAGE('20250815_ETF_Options_Exhibits'!F1693:F1697),"")</f>
        <v/>
      </c>
      <c r="G1697" s="3">
        <f>IF(ISNUMBER(AVERAGE('20250815_ETF_Options_Exhibits'!G1693:G1697)),AVERAGE('20250815_ETF_Options_Exhibits'!G1693:G1697),"")</f>
        <v/>
      </c>
      <c r="H1697" s="3">
        <f>IF(ISNUMBER(AVERAGE('20250815_ETF_Options_Exhibits'!H1693:H1697)),AVERAGE('20250815_ETF_Options_Exhibits'!H1693:H1697),"")</f>
        <v/>
      </c>
      <c r="I1697" s="3">
        <f>IF(ISNUMBER(AVERAGE('20250815_ETF_Options_Exhibits'!I1693:I1697)),AVERAGE('20250815_ETF_Options_Exhibits'!I1693:I1697),"")</f>
        <v/>
      </c>
      <c r="J1697" s="3">
        <f>IF(ISNUMBER(AVERAGE('20250815_ETF_Options_Exhibits'!J1693:J1697)),AVERAGE('20250815_ETF_Options_Exhibits'!J1693:J1697),"")</f>
        <v/>
      </c>
      <c r="K1697" s="3">
        <f>IF(ISNUMBER(AVERAGE('20250815_ETF_Options_Exhibits'!K1693:K1697)),AVERAGE('20250815_ETF_Options_Exhibits'!K1693:K1697),"")</f>
        <v/>
      </c>
      <c r="L1697" s="3">
        <f>IF(ISNUMBER(AVERAGE('20250815_ETF_Options_Exhibits'!L1693:L1697)),AVERAGE('20250815_ETF_Options_Exhibits'!L1693:L1697),"")</f>
        <v/>
      </c>
      <c r="M1697" s="3">
        <f>IF(ISNUMBER(AVERAGE('20250815_ETF_Options_Exhibits'!M1693:M1697)),AVERAGE('20250815_ETF_Options_Exhibits'!M1693:M1697),"")</f>
        <v/>
      </c>
      <c r="N1697" s="3">
        <f>IF(ISNUMBER(AVERAGE('20250815_ETF_Options_Exhibits'!N1693:N1697)),AVERAGE('20250815_ETF_Options_Exhibits'!N1693:N1697),"")</f>
        <v/>
      </c>
      <c r="O1697" s="3">
        <f>IF(ISNUMBER(AVERAGE('20250815_ETF_Options_Exhibits'!O1693:O1697)),AVERAGE('20250815_ETF_Options_Exhibits'!O1693:O1697),"")</f>
        <v/>
      </c>
      <c r="P1697" s="3">
        <f>IF(ISNUMBER(AVERAGE('20250815_ETF_Options_Exhibits'!P1693:P1697)),AVERAGE('20250815_ETF_Options_Exhibits'!P1693:P1697),"")</f>
        <v/>
      </c>
      <c r="Q1697" s="3">
        <f>IF(ISNUMBER(AVERAGE('20250815_ETF_Options_Exhibits'!Q1693:Q1697)),AVERAGE('20250815_ETF_Options_Exhibits'!Q1693:Q1697),"")</f>
        <v/>
      </c>
      <c r="R1697" s="3">
        <f>IF(ISNUMBER(AVERAGE('20250815_ETF_Options_Exhibits'!R1693:R1697)),AVERAGE('20250815_ETF_Options_Exhibits'!R1693:R1697),"")</f>
        <v/>
      </c>
      <c r="S1697" s="3">
        <f>IF(ISNUMBER(AVERAGE('20250815_ETF_Options_Exhibits'!S1693:S1697)),AVERAGE('20250815_ETF_Options_Exhibits'!S1693:S1697),"")</f>
        <v/>
      </c>
      <c r="T1697" s="3">
        <f>IF(ISNUMBER(AVERAGE('20250815_ETF_Options_Exhibits'!T1693:T1697)),AVERAGE('20250815_ETF_Options_Exhibits'!T1693:T1697),"")</f>
        <v/>
      </c>
      <c r="U1697" s="3">
        <f>IF(ISNUMBER(AVERAGE('20250815_ETF_Options_Exhibits'!U1693:U1697)),AVERAGE('20250815_ETF_Options_Exhibits'!U1693:U1697),"")</f>
        <v/>
      </c>
      <c r="V1697" s="3">
        <f>IF(ISNUMBER(AVERAGE('20250815_ETF_Options_Exhibits'!V1693:V1697)),AVERAGE('20250815_ETF_Options_Exhibits'!V1693:V1697),"")</f>
        <v/>
      </c>
      <c r="W1697" s="3">
        <f>IF(ISNUMBER(AVERAGE('20250815_ETF_Options_Exhibits'!W1693:W1697)),AVERAGE('20250815_ETF_Options_Exhibits'!W1693:W1697),"")</f>
        <v/>
      </c>
      <c r="X1697" s="3">
        <f>IF(ISNUMBER(AVERAGE('20250815_ETF_Options_Exhibits'!X1693:X1697)),AVERAGE('20250815_ETF_Options_Exhibits'!X1693:X1697),"")</f>
        <v/>
      </c>
      <c r="Y1697" s="3">
        <f>IF(ISNUMBER(AVERAGE('20250815_ETF_Options_Exhibits'!Y1693:Y1697)),AVERAGE('20250815_ETF_Options_Exhibits'!Y1693:Y1697),"")</f>
        <v/>
      </c>
      <c r="Z1697" s="3">
        <f>IF(ISNUMBER(AVERAGE('20250815_ETF_Options_Exhibits'!Z1693:Z1697)),AVERAGE('20250815_ETF_Options_Exhibits'!Z1693:Z1697),"")</f>
        <v/>
      </c>
      <c r="AA1697" s="3">
        <f>IF(ISNUMBER(AVERAGE('20250815_ETF_Options_Exhibits'!AA1693:AA1697)),AVERAGE('20250815_ETF_Options_Exhibits'!AA1693:AA1697),"")</f>
        <v/>
      </c>
    </row>
    <row r="1698">
      <c r="A1698" s="1" t="n">
        <v>44466</v>
      </c>
      <c r="B1698" s="3">
        <f>IF(ISNUMBER(AVERAGE('20250815_ETF_Options_Exhibits'!B1694:B1698)),AVERAGE('20250815_ETF_Options_Exhibits'!B1694:B1698),"")</f>
        <v/>
      </c>
      <c r="C1698" s="3">
        <f>IF(ISNUMBER(AVERAGE('20250815_ETF_Options_Exhibits'!C1694:C1698)),AVERAGE('20250815_ETF_Options_Exhibits'!C1694:C1698),"")</f>
        <v/>
      </c>
      <c r="D1698" s="3">
        <f>IF(ISNUMBER(AVERAGE('20250815_ETF_Options_Exhibits'!D1694:D1698)),AVERAGE('20250815_ETF_Options_Exhibits'!D1694:D1698),"")</f>
        <v/>
      </c>
      <c r="E1698" s="3">
        <f>IF(ISNUMBER(AVERAGE('20250815_ETF_Options_Exhibits'!E1694:E1698)),AVERAGE('20250815_ETF_Options_Exhibits'!E1694:E1698),"")</f>
        <v/>
      </c>
      <c r="F1698" s="3">
        <f>IF(ISNUMBER(AVERAGE('20250815_ETF_Options_Exhibits'!F1694:F1698)),AVERAGE('20250815_ETF_Options_Exhibits'!F1694:F1698),"")</f>
        <v/>
      </c>
      <c r="G1698" s="3">
        <f>IF(ISNUMBER(AVERAGE('20250815_ETF_Options_Exhibits'!G1694:G1698)),AVERAGE('20250815_ETF_Options_Exhibits'!G1694:G1698),"")</f>
        <v/>
      </c>
      <c r="H1698" s="3">
        <f>IF(ISNUMBER(AVERAGE('20250815_ETF_Options_Exhibits'!H1694:H1698)),AVERAGE('20250815_ETF_Options_Exhibits'!H1694:H1698),"")</f>
        <v/>
      </c>
      <c r="I1698" s="3">
        <f>IF(ISNUMBER(AVERAGE('20250815_ETF_Options_Exhibits'!I1694:I1698)),AVERAGE('20250815_ETF_Options_Exhibits'!I1694:I1698),"")</f>
        <v/>
      </c>
      <c r="J1698" s="3">
        <f>IF(ISNUMBER(AVERAGE('20250815_ETF_Options_Exhibits'!J1694:J1698)),AVERAGE('20250815_ETF_Options_Exhibits'!J1694:J1698),"")</f>
        <v/>
      </c>
      <c r="K1698" s="3">
        <f>IF(ISNUMBER(AVERAGE('20250815_ETF_Options_Exhibits'!K1694:K1698)),AVERAGE('20250815_ETF_Options_Exhibits'!K1694:K1698),"")</f>
        <v/>
      </c>
      <c r="L1698" s="3">
        <f>IF(ISNUMBER(AVERAGE('20250815_ETF_Options_Exhibits'!L1694:L1698)),AVERAGE('20250815_ETF_Options_Exhibits'!L1694:L1698),"")</f>
        <v/>
      </c>
      <c r="M1698" s="3">
        <f>IF(ISNUMBER(AVERAGE('20250815_ETF_Options_Exhibits'!M1694:M1698)),AVERAGE('20250815_ETF_Options_Exhibits'!M1694:M1698),"")</f>
        <v/>
      </c>
      <c r="N1698" s="3">
        <f>IF(ISNUMBER(AVERAGE('20250815_ETF_Options_Exhibits'!N1694:N1698)),AVERAGE('20250815_ETF_Options_Exhibits'!N1694:N1698),"")</f>
        <v/>
      </c>
      <c r="O1698" s="3">
        <f>IF(ISNUMBER(AVERAGE('20250815_ETF_Options_Exhibits'!O1694:O1698)),AVERAGE('20250815_ETF_Options_Exhibits'!O1694:O1698),"")</f>
        <v/>
      </c>
      <c r="P1698" s="3">
        <f>IF(ISNUMBER(AVERAGE('20250815_ETF_Options_Exhibits'!P1694:P1698)),AVERAGE('20250815_ETF_Options_Exhibits'!P1694:P1698),"")</f>
        <v/>
      </c>
      <c r="Q1698" s="3">
        <f>IF(ISNUMBER(AVERAGE('20250815_ETF_Options_Exhibits'!Q1694:Q1698)),AVERAGE('20250815_ETF_Options_Exhibits'!Q1694:Q1698),"")</f>
        <v/>
      </c>
      <c r="R1698" s="3">
        <f>IF(ISNUMBER(AVERAGE('20250815_ETF_Options_Exhibits'!R1694:R1698)),AVERAGE('20250815_ETF_Options_Exhibits'!R1694:R1698),"")</f>
        <v/>
      </c>
      <c r="S1698" s="3">
        <f>IF(ISNUMBER(AVERAGE('20250815_ETF_Options_Exhibits'!S1694:S1698)),AVERAGE('20250815_ETF_Options_Exhibits'!S1694:S1698),"")</f>
        <v/>
      </c>
      <c r="T1698" s="3">
        <f>IF(ISNUMBER(AVERAGE('20250815_ETF_Options_Exhibits'!T1694:T1698)),AVERAGE('20250815_ETF_Options_Exhibits'!T1694:T1698),"")</f>
        <v/>
      </c>
      <c r="U1698" s="3">
        <f>IF(ISNUMBER(AVERAGE('20250815_ETF_Options_Exhibits'!U1694:U1698)),AVERAGE('20250815_ETF_Options_Exhibits'!U1694:U1698),"")</f>
        <v/>
      </c>
      <c r="V1698" s="3">
        <f>IF(ISNUMBER(AVERAGE('20250815_ETF_Options_Exhibits'!V1694:V1698)),AVERAGE('20250815_ETF_Options_Exhibits'!V1694:V1698),"")</f>
        <v/>
      </c>
      <c r="W1698" s="3">
        <f>IF(ISNUMBER(AVERAGE('20250815_ETF_Options_Exhibits'!W1694:W1698)),AVERAGE('20250815_ETF_Options_Exhibits'!W1694:W1698),"")</f>
        <v/>
      </c>
      <c r="X1698" s="3">
        <f>IF(ISNUMBER(AVERAGE('20250815_ETF_Options_Exhibits'!X1694:X1698)),AVERAGE('20250815_ETF_Options_Exhibits'!X1694:X1698),"")</f>
        <v/>
      </c>
      <c r="Y1698" s="3">
        <f>IF(ISNUMBER(AVERAGE('20250815_ETF_Options_Exhibits'!Y1694:Y1698)),AVERAGE('20250815_ETF_Options_Exhibits'!Y1694:Y1698),"")</f>
        <v/>
      </c>
      <c r="Z1698" s="3">
        <f>IF(ISNUMBER(AVERAGE('20250815_ETF_Options_Exhibits'!Z1694:Z1698)),AVERAGE('20250815_ETF_Options_Exhibits'!Z1694:Z1698),"")</f>
        <v/>
      </c>
      <c r="AA1698" s="3">
        <f>IF(ISNUMBER(AVERAGE('20250815_ETF_Options_Exhibits'!AA1694:AA1698)),AVERAGE('20250815_ETF_Options_Exhibits'!AA1694:AA1698),"")</f>
        <v/>
      </c>
    </row>
    <row r="1699">
      <c r="A1699" s="1" t="n">
        <v>44467</v>
      </c>
      <c r="B1699" s="3">
        <f>IF(ISNUMBER(AVERAGE('20250815_ETF_Options_Exhibits'!B1695:B1699)),AVERAGE('20250815_ETF_Options_Exhibits'!B1695:B1699),"")</f>
        <v/>
      </c>
      <c r="C1699" s="3">
        <f>IF(ISNUMBER(AVERAGE('20250815_ETF_Options_Exhibits'!C1695:C1699)),AVERAGE('20250815_ETF_Options_Exhibits'!C1695:C1699),"")</f>
        <v/>
      </c>
      <c r="D1699" s="3">
        <f>IF(ISNUMBER(AVERAGE('20250815_ETF_Options_Exhibits'!D1695:D1699)),AVERAGE('20250815_ETF_Options_Exhibits'!D1695:D1699),"")</f>
        <v/>
      </c>
      <c r="E1699" s="3">
        <f>IF(ISNUMBER(AVERAGE('20250815_ETF_Options_Exhibits'!E1695:E1699)),AVERAGE('20250815_ETF_Options_Exhibits'!E1695:E1699),"")</f>
        <v/>
      </c>
      <c r="F1699" s="3">
        <f>IF(ISNUMBER(AVERAGE('20250815_ETF_Options_Exhibits'!F1695:F1699)),AVERAGE('20250815_ETF_Options_Exhibits'!F1695:F1699),"")</f>
        <v/>
      </c>
      <c r="G1699" s="3">
        <f>IF(ISNUMBER(AVERAGE('20250815_ETF_Options_Exhibits'!G1695:G1699)),AVERAGE('20250815_ETF_Options_Exhibits'!G1695:G1699),"")</f>
        <v/>
      </c>
      <c r="H1699" s="3">
        <f>IF(ISNUMBER(AVERAGE('20250815_ETF_Options_Exhibits'!H1695:H1699)),AVERAGE('20250815_ETF_Options_Exhibits'!H1695:H1699),"")</f>
        <v/>
      </c>
      <c r="I1699" s="3">
        <f>IF(ISNUMBER(AVERAGE('20250815_ETF_Options_Exhibits'!I1695:I1699)),AVERAGE('20250815_ETF_Options_Exhibits'!I1695:I1699),"")</f>
        <v/>
      </c>
      <c r="J1699" s="3">
        <f>IF(ISNUMBER(AVERAGE('20250815_ETF_Options_Exhibits'!J1695:J1699)),AVERAGE('20250815_ETF_Options_Exhibits'!J1695:J1699),"")</f>
        <v/>
      </c>
      <c r="K1699" s="3">
        <f>IF(ISNUMBER(AVERAGE('20250815_ETF_Options_Exhibits'!K1695:K1699)),AVERAGE('20250815_ETF_Options_Exhibits'!K1695:K1699),"")</f>
        <v/>
      </c>
      <c r="L1699" s="3">
        <f>IF(ISNUMBER(AVERAGE('20250815_ETF_Options_Exhibits'!L1695:L1699)),AVERAGE('20250815_ETF_Options_Exhibits'!L1695:L1699),"")</f>
        <v/>
      </c>
      <c r="M1699" s="3">
        <f>IF(ISNUMBER(AVERAGE('20250815_ETF_Options_Exhibits'!M1695:M1699)),AVERAGE('20250815_ETF_Options_Exhibits'!M1695:M1699),"")</f>
        <v/>
      </c>
      <c r="N1699" s="3">
        <f>IF(ISNUMBER(AVERAGE('20250815_ETF_Options_Exhibits'!N1695:N1699)),AVERAGE('20250815_ETF_Options_Exhibits'!N1695:N1699),"")</f>
        <v/>
      </c>
      <c r="O1699" s="3">
        <f>IF(ISNUMBER(AVERAGE('20250815_ETF_Options_Exhibits'!O1695:O1699)),AVERAGE('20250815_ETF_Options_Exhibits'!O1695:O1699),"")</f>
        <v/>
      </c>
      <c r="P1699" s="3">
        <f>IF(ISNUMBER(AVERAGE('20250815_ETF_Options_Exhibits'!P1695:P1699)),AVERAGE('20250815_ETF_Options_Exhibits'!P1695:P1699),"")</f>
        <v/>
      </c>
      <c r="Q1699" s="3">
        <f>IF(ISNUMBER(AVERAGE('20250815_ETF_Options_Exhibits'!Q1695:Q1699)),AVERAGE('20250815_ETF_Options_Exhibits'!Q1695:Q1699),"")</f>
        <v/>
      </c>
      <c r="R1699" s="3">
        <f>IF(ISNUMBER(AVERAGE('20250815_ETF_Options_Exhibits'!R1695:R1699)),AVERAGE('20250815_ETF_Options_Exhibits'!R1695:R1699),"")</f>
        <v/>
      </c>
      <c r="S1699" s="3">
        <f>IF(ISNUMBER(AVERAGE('20250815_ETF_Options_Exhibits'!S1695:S1699)),AVERAGE('20250815_ETF_Options_Exhibits'!S1695:S1699),"")</f>
        <v/>
      </c>
      <c r="T1699" s="3">
        <f>IF(ISNUMBER(AVERAGE('20250815_ETF_Options_Exhibits'!T1695:T1699)),AVERAGE('20250815_ETF_Options_Exhibits'!T1695:T1699),"")</f>
        <v/>
      </c>
      <c r="U1699" s="3">
        <f>IF(ISNUMBER(AVERAGE('20250815_ETF_Options_Exhibits'!U1695:U1699)),AVERAGE('20250815_ETF_Options_Exhibits'!U1695:U1699),"")</f>
        <v/>
      </c>
      <c r="V1699" s="3">
        <f>IF(ISNUMBER(AVERAGE('20250815_ETF_Options_Exhibits'!V1695:V1699)),AVERAGE('20250815_ETF_Options_Exhibits'!V1695:V1699),"")</f>
        <v/>
      </c>
      <c r="W1699" s="3">
        <f>IF(ISNUMBER(AVERAGE('20250815_ETF_Options_Exhibits'!W1695:W1699)),AVERAGE('20250815_ETF_Options_Exhibits'!W1695:W1699),"")</f>
        <v/>
      </c>
      <c r="X1699" s="3">
        <f>IF(ISNUMBER(AVERAGE('20250815_ETF_Options_Exhibits'!X1695:X1699)),AVERAGE('20250815_ETF_Options_Exhibits'!X1695:X1699),"")</f>
        <v/>
      </c>
      <c r="Y1699" s="3">
        <f>IF(ISNUMBER(AVERAGE('20250815_ETF_Options_Exhibits'!Y1695:Y1699)),AVERAGE('20250815_ETF_Options_Exhibits'!Y1695:Y1699),"")</f>
        <v/>
      </c>
      <c r="Z1699" s="3">
        <f>IF(ISNUMBER(AVERAGE('20250815_ETF_Options_Exhibits'!Z1695:Z1699)),AVERAGE('20250815_ETF_Options_Exhibits'!Z1695:Z1699),"")</f>
        <v/>
      </c>
      <c r="AA1699" s="3">
        <f>IF(ISNUMBER(AVERAGE('20250815_ETF_Options_Exhibits'!AA1695:AA1699)),AVERAGE('20250815_ETF_Options_Exhibits'!AA1695:AA1699),"")</f>
        <v/>
      </c>
    </row>
    <row r="1700">
      <c r="A1700" s="1" t="n">
        <v>44468</v>
      </c>
      <c r="B1700" s="3">
        <f>IF(ISNUMBER(AVERAGE('20250815_ETF_Options_Exhibits'!B1696:B1700)),AVERAGE('20250815_ETF_Options_Exhibits'!B1696:B1700),"")</f>
        <v/>
      </c>
      <c r="C1700" s="3">
        <f>IF(ISNUMBER(AVERAGE('20250815_ETF_Options_Exhibits'!C1696:C1700)),AVERAGE('20250815_ETF_Options_Exhibits'!C1696:C1700),"")</f>
        <v/>
      </c>
      <c r="D1700" s="3">
        <f>IF(ISNUMBER(AVERAGE('20250815_ETF_Options_Exhibits'!D1696:D1700)),AVERAGE('20250815_ETF_Options_Exhibits'!D1696:D1700),"")</f>
        <v/>
      </c>
      <c r="E1700" s="3">
        <f>IF(ISNUMBER(AVERAGE('20250815_ETF_Options_Exhibits'!E1696:E1700)),AVERAGE('20250815_ETF_Options_Exhibits'!E1696:E1700),"")</f>
        <v/>
      </c>
      <c r="F1700" s="3">
        <f>IF(ISNUMBER(AVERAGE('20250815_ETF_Options_Exhibits'!F1696:F1700)),AVERAGE('20250815_ETF_Options_Exhibits'!F1696:F1700),"")</f>
        <v/>
      </c>
      <c r="G1700" s="3">
        <f>IF(ISNUMBER(AVERAGE('20250815_ETF_Options_Exhibits'!G1696:G1700)),AVERAGE('20250815_ETF_Options_Exhibits'!G1696:G1700),"")</f>
        <v/>
      </c>
      <c r="H1700" s="3">
        <f>IF(ISNUMBER(AVERAGE('20250815_ETF_Options_Exhibits'!H1696:H1700)),AVERAGE('20250815_ETF_Options_Exhibits'!H1696:H1700),"")</f>
        <v/>
      </c>
      <c r="I1700" s="3">
        <f>IF(ISNUMBER(AVERAGE('20250815_ETF_Options_Exhibits'!I1696:I1700)),AVERAGE('20250815_ETF_Options_Exhibits'!I1696:I1700),"")</f>
        <v/>
      </c>
      <c r="J1700" s="3">
        <f>IF(ISNUMBER(AVERAGE('20250815_ETF_Options_Exhibits'!J1696:J1700)),AVERAGE('20250815_ETF_Options_Exhibits'!J1696:J1700),"")</f>
        <v/>
      </c>
      <c r="K1700" s="3">
        <f>IF(ISNUMBER(AVERAGE('20250815_ETF_Options_Exhibits'!K1696:K1700)),AVERAGE('20250815_ETF_Options_Exhibits'!K1696:K1700),"")</f>
        <v/>
      </c>
      <c r="L1700" s="3">
        <f>IF(ISNUMBER(AVERAGE('20250815_ETF_Options_Exhibits'!L1696:L1700)),AVERAGE('20250815_ETF_Options_Exhibits'!L1696:L1700),"")</f>
        <v/>
      </c>
      <c r="M1700" s="3">
        <f>IF(ISNUMBER(AVERAGE('20250815_ETF_Options_Exhibits'!M1696:M1700)),AVERAGE('20250815_ETF_Options_Exhibits'!M1696:M1700),"")</f>
        <v/>
      </c>
      <c r="N1700" s="3">
        <f>IF(ISNUMBER(AVERAGE('20250815_ETF_Options_Exhibits'!N1696:N1700)),AVERAGE('20250815_ETF_Options_Exhibits'!N1696:N1700),"")</f>
        <v/>
      </c>
      <c r="O1700" s="3">
        <f>IF(ISNUMBER(AVERAGE('20250815_ETF_Options_Exhibits'!O1696:O1700)),AVERAGE('20250815_ETF_Options_Exhibits'!O1696:O1700),"")</f>
        <v/>
      </c>
      <c r="P1700" s="3">
        <f>IF(ISNUMBER(AVERAGE('20250815_ETF_Options_Exhibits'!P1696:P1700)),AVERAGE('20250815_ETF_Options_Exhibits'!P1696:P1700),"")</f>
        <v/>
      </c>
      <c r="Q1700" s="3">
        <f>IF(ISNUMBER(AVERAGE('20250815_ETF_Options_Exhibits'!Q1696:Q1700)),AVERAGE('20250815_ETF_Options_Exhibits'!Q1696:Q1700),"")</f>
        <v/>
      </c>
      <c r="R1700" s="3">
        <f>IF(ISNUMBER(AVERAGE('20250815_ETF_Options_Exhibits'!R1696:R1700)),AVERAGE('20250815_ETF_Options_Exhibits'!R1696:R1700),"")</f>
        <v/>
      </c>
      <c r="S1700" s="3">
        <f>IF(ISNUMBER(AVERAGE('20250815_ETF_Options_Exhibits'!S1696:S1700)),AVERAGE('20250815_ETF_Options_Exhibits'!S1696:S1700),"")</f>
        <v/>
      </c>
      <c r="T1700" s="3">
        <f>IF(ISNUMBER(AVERAGE('20250815_ETF_Options_Exhibits'!T1696:T1700)),AVERAGE('20250815_ETF_Options_Exhibits'!T1696:T1700),"")</f>
        <v/>
      </c>
      <c r="U1700" s="3">
        <f>IF(ISNUMBER(AVERAGE('20250815_ETF_Options_Exhibits'!U1696:U1700)),AVERAGE('20250815_ETF_Options_Exhibits'!U1696:U1700),"")</f>
        <v/>
      </c>
      <c r="V1700" s="3">
        <f>IF(ISNUMBER(AVERAGE('20250815_ETF_Options_Exhibits'!V1696:V1700)),AVERAGE('20250815_ETF_Options_Exhibits'!V1696:V1700),"")</f>
        <v/>
      </c>
      <c r="W1700" s="3">
        <f>IF(ISNUMBER(AVERAGE('20250815_ETF_Options_Exhibits'!W1696:W1700)),AVERAGE('20250815_ETF_Options_Exhibits'!W1696:W1700),"")</f>
        <v/>
      </c>
      <c r="X1700" s="3">
        <f>IF(ISNUMBER(AVERAGE('20250815_ETF_Options_Exhibits'!X1696:X1700)),AVERAGE('20250815_ETF_Options_Exhibits'!X1696:X1700),"")</f>
        <v/>
      </c>
      <c r="Y1700" s="3">
        <f>IF(ISNUMBER(AVERAGE('20250815_ETF_Options_Exhibits'!Y1696:Y1700)),AVERAGE('20250815_ETF_Options_Exhibits'!Y1696:Y1700),"")</f>
        <v/>
      </c>
      <c r="Z1700" s="3">
        <f>IF(ISNUMBER(AVERAGE('20250815_ETF_Options_Exhibits'!Z1696:Z1700)),AVERAGE('20250815_ETF_Options_Exhibits'!Z1696:Z1700),"")</f>
        <v/>
      </c>
      <c r="AA1700" s="3">
        <f>IF(ISNUMBER(AVERAGE('20250815_ETF_Options_Exhibits'!AA1696:AA1700)),AVERAGE('20250815_ETF_Options_Exhibits'!AA1696:AA1700),"")</f>
        <v/>
      </c>
    </row>
    <row r="1701">
      <c r="A1701" s="1" t="n">
        <v>44469</v>
      </c>
      <c r="B1701" s="3">
        <f>IF(ISNUMBER(AVERAGE('20250815_ETF_Options_Exhibits'!B1697:B1701)),AVERAGE('20250815_ETF_Options_Exhibits'!B1697:B1701),"")</f>
        <v/>
      </c>
      <c r="C1701" s="3">
        <f>IF(ISNUMBER(AVERAGE('20250815_ETF_Options_Exhibits'!C1697:C1701)),AVERAGE('20250815_ETF_Options_Exhibits'!C1697:C1701),"")</f>
        <v/>
      </c>
      <c r="D1701" s="3">
        <f>IF(ISNUMBER(AVERAGE('20250815_ETF_Options_Exhibits'!D1697:D1701)),AVERAGE('20250815_ETF_Options_Exhibits'!D1697:D1701),"")</f>
        <v/>
      </c>
      <c r="E1701" s="3">
        <f>IF(ISNUMBER(AVERAGE('20250815_ETF_Options_Exhibits'!E1697:E1701)),AVERAGE('20250815_ETF_Options_Exhibits'!E1697:E1701),"")</f>
        <v/>
      </c>
      <c r="F1701" s="3">
        <f>IF(ISNUMBER(AVERAGE('20250815_ETF_Options_Exhibits'!F1697:F1701)),AVERAGE('20250815_ETF_Options_Exhibits'!F1697:F1701),"")</f>
        <v/>
      </c>
      <c r="G1701" s="3">
        <f>IF(ISNUMBER(AVERAGE('20250815_ETF_Options_Exhibits'!G1697:G1701)),AVERAGE('20250815_ETF_Options_Exhibits'!G1697:G1701),"")</f>
        <v/>
      </c>
      <c r="H1701" s="3">
        <f>IF(ISNUMBER(AVERAGE('20250815_ETF_Options_Exhibits'!H1697:H1701)),AVERAGE('20250815_ETF_Options_Exhibits'!H1697:H1701),"")</f>
        <v/>
      </c>
      <c r="I1701" s="3">
        <f>IF(ISNUMBER(AVERAGE('20250815_ETF_Options_Exhibits'!I1697:I1701)),AVERAGE('20250815_ETF_Options_Exhibits'!I1697:I1701),"")</f>
        <v/>
      </c>
      <c r="J1701" s="3">
        <f>IF(ISNUMBER(AVERAGE('20250815_ETF_Options_Exhibits'!J1697:J1701)),AVERAGE('20250815_ETF_Options_Exhibits'!J1697:J1701),"")</f>
        <v/>
      </c>
      <c r="K1701" s="3">
        <f>IF(ISNUMBER(AVERAGE('20250815_ETF_Options_Exhibits'!K1697:K1701)),AVERAGE('20250815_ETF_Options_Exhibits'!K1697:K1701),"")</f>
        <v/>
      </c>
      <c r="L1701" s="3">
        <f>IF(ISNUMBER(AVERAGE('20250815_ETF_Options_Exhibits'!L1697:L1701)),AVERAGE('20250815_ETF_Options_Exhibits'!L1697:L1701),"")</f>
        <v/>
      </c>
      <c r="M1701" s="3">
        <f>IF(ISNUMBER(AVERAGE('20250815_ETF_Options_Exhibits'!M1697:M1701)),AVERAGE('20250815_ETF_Options_Exhibits'!M1697:M1701),"")</f>
        <v/>
      </c>
      <c r="N1701" s="3">
        <f>IF(ISNUMBER(AVERAGE('20250815_ETF_Options_Exhibits'!N1697:N1701)),AVERAGE('20250815_ETF_Options_Exhibits'!N1697:N1701),"")</f>
        <v/>
      </c>
      <c r="O1701" s="3">
        <f>IF(ISNUMBER(AVERAGE('20250815_ETF_Options_Exhibits'!O1697:O1701)),AVERAGE('20250815_ETF_Options_Exhibits'!O1697:O1701),"")</f>
        <v/>
      </c>
      <c r="P1701" s="3">
        <f>IF(ISNUMBER(AVERAGE('20250815_ETF_Options_Exhibits'!P1697:P1701)),AVERAGE('20250815_ETF_Options_Exhibits'!P1697:P1701),"")</f>
        <v/>
      </c>
      <c r="Q1701" s="3">
        <f>IF(ISNUMBER(AVERAGE('20250815_ETF_Options_Exhibits'!Q1697:Q1701)),AVERAGE('20250815_ETF_Options_Exhibits'!Q1697:Q1701),"")</f>
        <v/>
      </c>
      <c r="R1701" s="3">
        <f>IF(ISNUMBER(AVERAGE('20250815_ETF_Options_Exhibits'!R1697:R1701)),AVERAGE('20250815_ETF_Options_Exhibits'!R1697:R1701),"")</f>
        <v/>
      </c>
      <c r="S1701" s="3">
        <f>IF(ISNUMBER(AVERAGE('20250815_ETF_Options_Exhibits'!S1697:S1701)),AVERAGE('20250815_ETF_Options_Exhibits'!S1697:S1701),"")</f>
        <v/>
      </c>
      <c r="T1701" s="3">
        <f>IF(ISNUMBER(AVERAGE('20250815_ETF_Options_Exhibits'!T1697:T1701)),AVERAGE('20250815_ETF_Options_Exhibits'!T1697:T1701),"")</f>
        <v/>
      </c>
      <c r="U1701" s="3">
        <f>IF(ISNUMBER(AVERAGE('20250815_ETF_Options_Exhibits'!U1697:U1701)),AVERAGE('20250815_ETF_Options_Exhibits'!U1697:U1701),"")</f>
        <v/>
      </c>
      <c r="V1701" s="3">
        <f>IF(ISNUMBER(AVERAGE('20250815_ETF_Options_Exhibits'!V1697:V1701)),AVERAGE('20250815_ETF_Options_Exhibits'!V1697:V1701),"")</f>
        <v/>
      </c>
      <c r="W1701" s="3">
        <f>IF(ISNUMBER(AVERAGE('20250815_ETF_Options_Exhibits'!W1697:W1701)),AVERAGE('20250815_ETF_Options_Exhibits'!W1697:W1701),"")</f>
        <v/>
      </c>
      <c r="X1701" s="3">
        <f>IF(ISNUMBER(AVERAGE('20250815_ETF_Options_Exhibits'!X1697:X1701)),AVERAGE('20250815_ETF_Options_Exhibits'!X1697:X1701),"")</f>
        <v/>
      </c>
      <c r="Y1701" s="3">
        <f>IF(ISNUMBER(AVERAGE('20250815_ETF_Options_Exhibits'!Y1697:Y1701)),AVERAGE('20250815_ETF_Options_Exhibits'!Y1697:Y1701),"")</f>
        <v/>
      </c>
      <c r="Z1701" s="3">
        <f>IF(ISNUMBER(AVERAGE('20250815_ETF_Options_Exhibits'!Z1697:Z1701)),AVERAGE('20250815_ETF_Options_Exhibits'!Z1697:Z1701),"")</f>
        <v/>
      </c>
      <c r="AA1701" s="3">
        <f>IF(ISNUMBER(AVERAGE('20250815_ETF_Options_Exhibits'!AA1697:AA1701)),AVERAGE('20250815_ETF_Options_Exhibits'!AA1697:AA1701),"")</f>
        <v/>
      </c>
    </row>
    <row r="1702">
      <c r="A1702" s="1" t="n">
        <v>44470</v>
      </c>
      <c r="B1702" s="3">
        <f>IF(ISNUMBER(AVERAGE('20250815_ETF_Options_Exhibits'!B1698:B1702)),AVERAGE('20250815_ETF_Options_Exhibits'!B1698:B1702),"")</f>
        <v/>
      </c>
      <c r="C1702" s="3">
        <f>IF(ISNUMBER(AVERAGE('20250815_ETF_Options_Exhibits'!C1698:C1702)),AVERAGE('20250815_ETF_Options_Exhibits'!C1698:C1702),"")</f>
        <v/>
      </c>
      <c r="D1702" s="3">
        <f>IF(ISNUMBER(AVERAGE('20250815_ETF_Options_Exhibits'!D1698:D1702)),AVERAGE('20250815_ETF_Options_Exhibits'!D1698:D1702),"")</f>
        <v/>
      </c>
      <c r="E1702" s="3">
        <f>IF(ISNUMBER(AVERAGE('20250815_ETF_Options_Exhibits'!E1698:E1702)),AVERAGE('20250815_ETF_Options_Exhibits'!E1698:E1702),"")</f>
        <v/>
      </c>
      <c r="F1702" s="3">
        <f>IF(ISNUMBER(AVERAGE('20250815_ETF_Options_Exhibits'!F1698:F1702)),AVERAGE('20250815_ETF_Options_Exhibits'!F1698:F1702),"")</f>
        <v/>
      </c>
      <c r="G1702" s="3">
        <f>IF(ISNUMBER(AVERAGE('20250815_ETF_Options_Exhibits'!G1698:G1702)),AVERAGE('20250815_ETF_Options_Exhibits'!G1698:G1702),"")</f>
        <v/>
      </c>
      <c r="H1702" s="3">
        <f>IF(ISNUMBER(AVERAGE('20250815_ETF_Options_Exhibits'!H1698:H1702)),AVERAGE('20250815_ETF_Options_Exhibits'!H1698:H1702),"")</f>
        <v/>
      </c>
      <c r="I1702" s="3">
        <f>IF(ISNUMBER(AVERAGE('20250815_ETF_Options_Exhibits'!I1698:I1702)),AVERAGE('20250815_ETF_Options_Exhibits'!I1698:I1702),"")</f>
        <v/>
      </c>
      <c r="J1702" s="3">
        <f>IF(ISNUMBER(AVERAGE('20250815_ETF_Options_Exhibits'!J1698:J1702)),AVERAGE('20250815_ETF_Options_Exhibits'!J1698:J1702),"")</f>
        <v/>
      </c>
      <c r="K1702" s="3">
        <f>IF(ISNUMBER(AVERAGE('20250815_ETF_Options_Exhibits'!K1698:K1702)),AVERAGE('20250815_ETF_Options_Exhibits'!K1698:K1702),"")</f>
        <v/>
      </c>
      <c r="L1702" s="3">
        <f>IF(ISNUMBER(AVERAGE('20250815_ETF_Options_Exhibits'!L1698:L1702)),AVERAGE('20250815_ETF_Options_Exhibits'!L1698:L1702),"")</f>
        <v/>
      </c>
      <c r="M1702" s="3">
        <f>IF(ISNUMBER(AVERAGE('20250815_ETF_Options_Exhibits'!M1698:M1702)),AVERAGE('20250815_ETF_Options_Exhibits'!M1698:M1702),"")</f>
        <v/>
      </c>
      <c r="N1702" s="3">
        <f>IF(ISNUMBER(AVERAGE('20250815_ETF_Options_Exhibits'!N1698:N1702)),AVERAGE('20250815_ETF_Options_Exhibits'!N1698:N1702),"")</f>
        <v/>
      </c>
      <c r="O1702" s="3">
        <f>IF(ISNUMBER(AVERAGE('20250815_ETF_Options_Exhibits'!O1698:O1702)),AVERAGE('20250815_ETF_Options_Exhibits'!O1698:O1702),"")</f>
        <v/>
      </c>
      <c r="P1702" s="3">
        <f>IF(ISNUMBER(AVERAGE('20250815_ETF_Options_Exhibits'!P1698:P1702)),AVERAGE('20250815_ETF_Options_Exhibits'!P1698:P1702),"")</f>
        <v/>
      </c>
      <c r="Q1702" s="3">
        <f>IF(ISNUMBER(AVERAGE('20250815_ETF_Options_Exhibits'!Q1698:Q1702)),AVERAGE('20250815_ETF_Options_Exhibits'!Q1698:Q1702),"")</f>
        <v/>
      </c>
      <c r="R1702" s="3">
        <f>IF(ISNUMBER(AVERAGE('20250815_ETF_Options_Exhibits'!R1698:R1702)),AVERAGE('20250815_ETF_Options_Exhibits'!R1698:R1702),"")</f>
        <v/>
      </c>
      <c r="S1702" s="3">
        <f>IF(ISNUMBER(AVERAGE('20250815_ETF_Options_Exhibits'!S1698:S1702)),AVERAGE('20250815_ETF_Options_Exhibits'!S1698:S1702),"")</f>
        <v/>
      </c>
      <c r="T1702" s="3">
        <f>IF(ISNUMBER(AVERAGE('20250815_ETF_Options_Exhibits'!T1698:T1702)),AVERAGE('20250815_ETF_Options_Exhibits'!T1698:T1702),"")</f>
        <v/>
      </c>
      <c r="U1702" s="3">
        <f>IF(ISNUMBER(AVERAGE('20250815_ETF_Options_Exhibits'!U1698:U1702)),AVERAGE('20250815_ETF_Options_Exhibits'!U1698:U1702),"")</f>
        <v/>
      </c>
      <c r="V1702" s="3">
        <f>IF(ISNUMBER(AVERAGE('20250815_ETF_Options_Exhibits'!V1698:V1702)),AVERAGE('20250815_ETF_Options_Exhibits'!V1698:V1702),"")</f>
        <v/>
      </c>
      <c r="W1702" s="3">
        <f>IF(ISNUMBER(AVERAGE('20250815_ETF_Options_Exhibits'!W1698:W1702)),AVERAGE('20250815_ETF_Options_Exhibits'!W1698:W1702),"")</f>
        <v/>
      </c>
      <c r="X1702" s="3">
        <f>IF(ISNUMBER(AVERAGE('20250815_ETF_Options_Exhibits'!X1698:X1702)),AVERAGE('20250815_ETF_Options_Exhibits'!X1698:X1702),"")</f>
        <v/>
      </c>
      <c r="Y1702" s="3">
        <f>IF(ISNUMBER(AVERAGE('20250815_ETF_Options_Exhibits'!Y1698:Y1702)),AVERAGE('20250815_ETF_Options_Exhibits'!Y1698:Y1702),"")</f>
        <v/>
      </c>
      <c r="Z1702" s="3">
        <f>IF(ISNUMBER(AVERAGE('20250815_ETF_Options_Exhibits'!Z1698:Z1702)),AVERAGE('20250815_ETF_Options_Exhibits'!Z1698:Z1702),"")</f>
        <v/>
      </c>
      <c r="AA1702" s="3">
        <f>IF(ISNUMBER(AVERAGE('20250815_ETF_Options_Exhibits'!AA1698:AA1702)),AVERAGE('20250815_ETF_Options_Exhibits'!AA1698:AA1702),"")</f>
        <v/>
      </c>
    </row>
    <row r="1703">
      <c r="A1703" s="1" t="n">
        <v>44473</v>
      </c>
      <c r="B1703" s="3">
        <f>IF(ISNUMBER(AVERAGE('20250815_ETF_Options_Exhibits'!B1699:B1703)),AVERAGE('20250815_ETF_Options_Exhibits'!B1699:B1703),"")</f>
        <v/>
      </c>
      <c r="C1703" s="3">
        <f>IF(ISNUMBER(AVERAGE('20250815_ETF_Options_Exhibits'!C1699:C1703)),AVERAGE('20250815_ETF_Options_Exhibits'!C1699:C1703),"")</f>
        <v/>
      </c>
      <c r="D1703" s="3">
        <f>IF(ISNUMBER(AVERAGE('20250815_ETF_Options_Exhibits'!D1699:D1703)),AVERAGE('20250815_ETF_Options_Exhibits'!D1699:D1703),"")</f>
        <v/>
      </c>
      <c r="E1703" s="3">
        <f>IF(ISNUMBER(AVERAGE('20250815_ETF_Options_Exhibits'!E1699:E1703)),AVERAGE('20250815_ETF_Options_Exhibits'!E1699:E1703),"")</f>
        <v/>
      </c>
      <c r="F1703" s="3">
        <f>IF(ISNUMBER(AVERAGE('20250815_ETF_Options_Exhibits'!F1699:F1703)),AVERAGE('20250815_ETF_Options_Exhibits'!F1699:F1703),"")</f>
        <v/>
      </c>
      <c r="G1703" s="3">
        <f>IF(ISNUMBER(AVERAGE('20250815_ETF_Options_Exhibits'!G1699:G1703)),AVERAGE('20250815_ETF_Options_Exhibits'!G1699:G1703),"")</f>
        <v/>
      </c>
      <c r="H1703" s="3">
        <f>IF(ISNUMBER(AVERAGE('20250815_ETF_Options_Exhibits'!H1699:H1703)),AVERAGE('20250815_ETF_Options_Exhibits'!H1699:H1703),"")</f>
        <v/>
      </c>
      <c r="I1703" s="3">
        <f>IF(ISNUMBER(AVERAGE('20250815_ETF_Options_Exhibits'!I1699:I1703)),AVERAGE('20250815_ETF_Options_Exhibits'!I1699:I1703),"")</f>
        <v/>
      </c>
      <c r="J1703" s="3">
        <f>IF(ISNUMBER(AVERAGE('20250815_ETF_Options_Exhibits'!J1699:J1703)),AVERAGE('20250815_ETF_Options_Exhibits'!J1699:J1703),"")</f>
        <v/>
      </c>
      <c r="K1703" s="3">
        <f>IF(ISNUMBER(AVERAGE('20250815_ETF_Options_Exhibits'!K1699:K1703)),AVERAGE('20250815_ETF_Options_Exhibits'!K1699:K1703),"")</f>
        <v/>
      </c>
      <c r="L1703" s="3">
        <f>IF(ISNUMBER(AVERAGE('20250815_ETF_Options_Exhibits'!L1699:L1703)),AVERAGE('20250815_ETF_Options_Exhibits'!L1699:L1703),"")</f>
        <v/>
      </c>
      <c r="M1703" s="3">
        <f>IF(ISNUMBER(AVERAGE('20250815_ETF_Options_Exhibits'!M1699:M1703)),AVERAGE('20250815_ETF_Options_Exhibits'!M1699:M1703),"")</f>
        <v/>
      </c>
      <c r="N1703" s="3">
        <f>IF(ISNUMBER(AVERAGE('20250815_ETF_Options_Exhibits'!N1699:N1703)),AVERAGE('20250815_ETF_Options_Exhibits'!N1699:N1703),"")</f>
        <v/>
      </c>
      <c r="O1703" s="3">
        <f>IF(ISNUMBER(AVERAGE('20250815_ETF_Options_Exhibits'!O1699:O1703)),AVERAGE('20250815_ETF_Options_Exhibits'!O1699:O1703),"")</f>
        <v/>
      </c>
      <c r="P1703" s="3">
        <f>IF(ISNUMBER(AVERAGE('20250815_ETF_Options_Exhibits'!P1699:P1703)),AVERAGE('20250815_ETF_Options_Exhibits'!P1699:P1703),"")</f>
        <v/>
      </c>
      <c r="Q1703" s="3">
        <f>IF(ISNUMBER(AVERAGE('20250815_ETF_Options_Exhibits'!Q1699:Q1703)),AVERAGE('20250815_ETF_Options_Exhibits'!Q1699:Q1703),"")</f>
        <v/>
      </c>
      <c r="R1703" s="3">
        <f>IF(ISNUMBER(AVERAGE('20250815_ETF_Options_Exhibits'!R1699:R1703)),AVERAGE('20250815_ETF_Options_Exhibits'!R1699:R1703),"")</f>
        <v/>
      </c>
      <c r="S1703" s="3">
        <f>IF(ISNUMBER(AVERAGE('20250815_ETF_Options_Exhibits'!S1699:S1703)),AVERAGE('20250815_ETF_Options_Exhibits'!S1699:S1703),"")</f>
        <v/>
      </c>
      <c r="T1703" s="3">
        <f>IF(ISNUMBER(AVERAGE('20250815_ETF_Options_Exhibits'!T1699:T1703)),AVERAGE('20250815_ETF_Options_Exhibits'!T1699:T1703),"")</f>
        <v/>
      </c>
      <c r="U1703" s="3">
        <f>IF(ISNUMBER(AVERAGE('20250815_ETF_Options_Exhibits'!U1699:U1703)),AVERAGE('20250815_ETF_Options_Exhibits'!U1699:U1703),"")</f>
        <v/>
      </c>
      <c r="V1703" s="3">
        <f>IF(ISNUMBER(AVERAGE('20250815_ETF_Options_Exhibits'!V1699:V1703)),AVERAGE('20250815_ETF_Options_Exhibits'!V1699:V1703),"")</f>
        <v/>
      </c>
      <c r="W1703" s="3">
        <f>IF(ISNUMBER(AVERAGE('20250815_ETF_Options_Exhibits'!W1699:W1703)),AVERAGE('20250815_ETF_Options_Exhibits'!W1699:W1703),"")</f>
        <v/>
      </c>
      <c r="X1703" s="3">
        <f>IF(ISNUMBER(AVERAGE('20250815_ETF_Options_Exhibits'!X1699:X1703)),AVERAGE('20250815_ETF_Options_Exhibits'!X1699:X1703),"")</f>
        <v/>
      </c>
      <c r="Y1703" s="3">
        <f>IF(ISNUMBER(AVERAGE('20250815_ETF_Options_Exhibits'!Y1699:Y1703)),AVERAGE('20250815_ETF_Options_Exhibits'!Y1699:Y1703),"")</f>
        <v/>
      </c>
      <c r="Z1703" s="3">
        <f>IF(ISNUMBER(AVERAGE('20250815_ETF_Options_Exhibits'!Z1699:Z1703)),AVERAGE('20250815_ETF_Options_Exhibits'!Z1699:Z1703),"")</f>
        <v/>
      </c>
      <c r="AA1703" s="3">
        <f>IF(ISNUMBER(AVERAGE('20250815_ETF_Options_Exhibits'!AA1699:AA1703)),AVERAGE('20250815_ETF_Options_Exhibits'!AA1699:AA1703),"")</f>
        <v/>
      </c>
    </row>
    <row r="1704">
      <c r="A1704" s="1" t="n">
        <v>44474</v>
      </c>
      <c r="B1704" s="3">
        <f>IF(ISNUMBER(AVERAGE('20250815_ETF_Options_Exhibits'!B1700:B1704)),AVERAGE('20250815_ETF_Options_Exhibits'!B1700:B1704),"")</f>
        <v/>
      </c>
      <c r="C1704" s="3">
        <f>IF(ISNUMBER(AVERAGE('20250815_ETF_Options_Exhibits'!C1700:C1704)),AVERAGE('20250815_ETF_Options_Exhibits'!C1700:C1704),"")</f>
        <v/>
      </c>
      <c r="D1704" s="3">
        <f>IF(ISNUMBER(AVERAGE('20250815_ETF_Options_Exhibits'!D1700:D1704)),AVERAGE('20250815_ETF_Options_Exhibits'!D1700:D1704),"")</f>
        <v/>
      </c>
      <c r="E1704" s="3">
        <f>IF(ISNUMBER(AVERAGE('20250815_ETF_Options_Exhibits'!E1700:E1704)),AVERAGE('20250815_ETF_Options_Exhibits'!E1700:E1704),"")</f>
        <v/>
      </c>
      <c r="F1704" s="3">
        <f>IF(ISNUMBER(AVERAGE('20250815_ETF_Options_Exhibits'!F1700:F1704)),AVERAGE('20250815_ETF_Options_Exhibits'!F1700:F1704),"")</f>
        <v/>
      </c>
      <c r="G1704" s="3">
        <f>IF(ISNUMBER(AVERAGE('20250815_ETF_Options_Exhibits'!G1700:G1704)),AVERAGE('20250815_ETF_Options_Exhibits'!G1700:G1704),"")</f>
        <v/>
      </c>
      <c r="H1704" s="3">
        <f>IF(ISNUMBER(AVERAGE('20250815_ETF_Options_Exhibits'!H1700:H1704)),AVERAGE('20250815_ETF_Options_Exhibits'!H1700:H1704),"")</f>
        <v/>
      </c>
      <c r="I1704" s="3">
        <f>IF(ISNUMBER(AVERAGE('20250815_ETF_Options_Exhibits'!I1700:I1704)),AVERAGE('20250815_ETF_Options_Exhibits'!I1700:I1704),"")</f>
        <v/>
      </c>
      <c r="J1704" s="3">
        <f>IF(ISNUMBER(AVERAGE('20250815_ETF_Options_Exhibits'!J1700:J1704)),AVERAGE('20250815_ETF_Options_Exhibits'!J1700:J1704),"")</f>
        <v/>
      </c>
      <c r="K1704" s="3">
        <f>IF(ISNUMBER(AVERAGE('20250815_ETF_Options_Exhibits'!K1700:K1704)),AVERAGE('20250815_ETF_Options_Exhibits'!K1700:K1704),"")</f>
        <v/>
      </c>
      <c r="L1704" s="3">
        <f>IF(ISNUMBER(AVERAGE('20250815_ETF_Options_Exhibits'!L1700:L1704)),AVERAGE('20250815_ETF_Options_Exhibits'!L1700:L1704),"")</f>
        <v/>
      </c>
      <c r="M1704" s="3">
        <f>IF(ISNUMBER(AVERAGE('20250815_ETF_Options_Exhibits'!M1700:M1704)),AVERAGE('20250815_ETF_Options_Exhibits'!M1700:M1704),"")</f>
        <v/>
      </c>
      <c r="N1704" s="3">
        <f>IF(ISNUMBER(AVERAGE('20250815_ETF_Options_Exhibits'!N1700:N1704)),AVERAGE('20250815_ETF_Options_Exhibits'!N1700:N1704),"")</f>
        <v/>
      </c>
      <c r="O1704" s="3">
        <f>IF(ISNUMBER(AVERAGE('20250815_ETF_Options_Exhibits'!O1700:O1704)),AVERAGE('20250815_ETF_Options_Exhibits'!O1700:O1704),"")</f>
        <v/>
      </c>
      <c r="P1704" s="3">
        <f>IF(ISNUMBER(AVERAGE('20250815_ETF_Options_Exhibits'!P1700:P1704)),AVERAGE('20250815_ETF_Options_Exhibits'!P1700:P1704),"")</f>
        <v/>
      </c>
      <c r="Q1704" s="3">
        <f>IF(ISNUMBER(AVERAGE('20250815_ETF_Options_Exhibits'!Q1700:Q1704)),AVERAGE('20250815_ETF_Options_Exhibits'!Q1700:Q1704),"")</f>
        <v/>
      </c>
      <c r="R1704" s="3">
        <f>IF(ISNUMBER(AVERAGE('20250815_ETF_Options_Exhibits'!R1700:R1704)),AVERAGE('20250815_ETF_Options_Exhibits'!R1700:R1704),"")</f>
        <v/>
      </c>
      <c r="S1704" s="3">
        <f>IF(ISNUMBER(AVERAGE('20250815_ETF_Options_Exhibits'!S1700:S1704)),AVERAGE('20250815_ETF_Options_Exhibits'!S1700:S1704),"")</f>
        <v/>
      </c>
      <c r="T1704" s="3">
        <f>IF(ISNUMBER(AVERAGE('20250815_ETF_Options_Exhibits'!T1700:T1704)),AVERAGE('20250815_ETF_Options_Exhibits'!T1700:T1704),"")</f>
        <v/>
      </c>
      <c r="U1704" s="3">
        <f>IF(ISNUMBER(AVERAGE('20250815_ETF_Options_Exhibits'!U1700:U1704)),AVERAGE('20250815_ETF_Options_Exhibits'!U1700:U1704),"")</f>
        <v/>
      </c>
      <c r="V1704" s="3">
        <f>IF(ISNUMBER(AVERAGE('20250815_ETF_Options_Exhibits'!V1700:V1704)),AVERAGE('20250815_ETF_Options_Exhibits'!V1700:V1704),"")</f>
        <v/>
      </c>
      <c r="W1704" s="3">
        <f>IF(ISNUMBER(AVERAGE('20250815_ETF_Options_Exhibits'!W1700:W1704)),AVERAGE('20250815_ETF_Options_Exhibits'!W1700:W1704),"")</f>
        <v/>
      </c>
      <c r="X1704" s="3">
        <f>IF(ISNUMBER(AVERAGE('20250815_ETF_Options_Exhibits'!X1700:X1704)),AVERAGE('20250815_ETF_Options_Exhibits'!X1700:X1704),"")</f>
        <v/>
      </c>
      <c r="Y1704" s="3">
        <f>IF(ISNUMBER(AVERAGE('20250815_ETF_Options_Exhibits'!Y1700:Y1704)),AVERAGE('20250815_ETF_Options_Exhibits'!Y1700:Y1704),"")</f>
        <v/>
      </c>
      <c r="Z1704" s="3">
        <f>IF(ISNUMBER(AVERAGE('20250815_ETF_Options_Exhibits'!Z1700:Z1704)),AVERAGE('20250815_ETF_Options_Exhibits'!Z1700:Z1704),"")</f>
        <v/>
      </c>
      <c r="AA1704" s="3">
        <f>IF(ISNUMBER(AVERAGE('20250815_ETF_Options_Exhibits'!AA1700:AA1704)),AVERAGE('20250815_ETF_Options_Exhibits'!AA1700:AA1704),"")</f>
        <v/>
      </c>
    </row>
    <row r="1705">
      <c r="A1705" s="1" t="n">
        <v>44475</v>
      </c>
      <c r="B1705" s="3">
        <f>IF(ISNUMBER(AVERAGE('20250815_ETF_Options_Exhibits'!B1701:B1705)),AVERAGE('20250815_ETF_Options_Exhibits'!B1701:B1705),"")</f>
        <v/>
      </c>
      <c r="C1705" s="3">
        <f>IF(ISNUMBER(AVERAGE('20250815_ETF_Options_Exhibits'!C1701:C1705)),AVERAGE('20250815_ETF_Options_Exhibits'!C1701:C1705),"")</f>
        <v/>
      </c>
      <c r="D1705" s="3">
        <f>IF(ISNUMBER(AVERAGE('20250815_ETF_Options_Exhibits'!D1701:D1705)),AVERAGE('20250815_ETF_Options_Exhibits'!D1701:D1705),"")</f>
        <v/>
      </c>
      <c r="E1705" s="3">
        <f>IF(ISNUMBER(AVERAGE('20250815_ETF_Options_Exhibits'!E1701:E1705)),AVERAGE('20250815_ETF_Options_Exhibits'!E1701:E1705),"")</f>
        <v/>
      </c>
      <c r="F1705" s="3">
        <f>IF(ISNUMBER(AVERAGE('20250815_ETF_Options_Exhibits'!F1701:F1705)),AVERAGE('20250815_ETF_Options_Exhibits'!F1701:F1705),"")</f>
        <v/>
      </c>
      <c r="G1705" s="3">
        <f>IF(ISNUMBER(AVERAGE('20250815_ETF_Options_Exhibits'!G1701:G1705)),AVERAGE('20250815_ETF_Options_Exhibits'!G1701:G1705),"")</f>
        <v/>
      </c>
      <c r="H1705" s="3">
        <f>IF(ISNUMBER(AVERAGE('20250815_ETF_Options_Exhibits'!H1701:H1705)),AVERAGE('20250815_ETF_Options_Exhibits'!H1701:H1705),"")</f>
        <v/>
      </c>
      <c r="I1705" s="3">
        <f>IF(ISNUMBER(AVERAGE('20250815_ETF_Options_Exhibits'!I1701:I1705)),AVERAGE('20250815_ETF_Options_Exhibits'!I1701:I1705),"")</f>
        <v/>
      </c>
      <c r="J1705" s="3">
        <f>IF(ISNUMBER(AVERAGE('20250815_ETF_Options_Exhibits'!J1701:J1705)),AVERAGE('20250815_ETF_Options_Exhibits'!J1701:J1705),"")</f>
        <v/>
      </c>
      <c r="K1705" s="3">
        <f>IF(ISNUMBER(AVERAGE('20250815_ETF_Options_Exhibits'!K1701:K1705)),AVERAGE('20250815_ETF_Options_Exhibits'!K1701:K1705),"")</f>
        <v/>
      </c>
      <c r="L1705" s="3">
        <f>IF(ISNUMBER(AVERAGE('20250815_ETF_Options_Exhibits'!L1701:L1705)),AVERAGE('20250815_ETF_Options_Exhibits'!L1701:L1705),"")</f>
        <v/>
      </c>
      <c r="M1705" s="3">
        <f>IF(ISNUMBER(AVERAGE('20250815_ETF_Options_Exhibits'!M1701:M1705)),AVERAGE('20250815_ETF_Options_Exhibits'!M1701:M1705),"")</f>
        <v/>
      </c>
      <c r="N1705" s="3">
        <f>IF(ISNUMBER(AVERAGE('20250815_ETF_Options_Exhibits'!N1701:N1705)),AVERAGE('20250815_ETF_Options_Exhibits'!N1701:N1705),"")</f>
        <v/>
      </c>
      <c r="O1705" s="3">
        <f>IF(ISNUMBER(AVERAGE('20250815_ETF_Options_Exhibits'!O1701:O1705)),AVERAGE('20250815_ETF_Options_Exhibits'!O1701:O1705),"")</f>
        <v/>
      </c>
      <c r="P1705" s="3">
        <f>IF(ISNUMBER(AVERAGE('20250815_ETF_Options_Exhibits'!P1701:P1705)),AVERAGE('20250815_ETF_Options_Exhibits'!P1701:P1705),"")</f>
        <v/>
      </c>
      <c r="Q1705" s="3">
        <f>IF(ISNUMBER(AVERAGE('20250815_ETF_Options_Exhibits'!Q1701:Q1705)),AVERAGE('20250815_ETF_Options_Exhibits'!Q1701:Q1705),"")</f>
        <v/>
      </c>
      <c r="R1705" s="3">
        <f>IF(ISNUMBER(AVERAGE('20250815_ETF_Options_Exhibits'!R1701:R1705)),AVERAGE('20250815_ETF_Options_Exhibits'!R1701:R1705),"")</f>
        <v/>
      </c>
      <c r="S1705" s="3">
        <f>IF(ISNUMBER(AVERAGE('20250815_ETF_Options_Exhibits'!S1701:S1705)),AVERAGE('20250815_ETF_Options_Exhibits'!S1701:S1705),"")</f>
        <v/>
      </c>
      <c r="T1705" s="3">
        <f>IF(ISNUMBER(AVERAGE('20250815_ETF_Options_Exhibits'!T1701:T1705)),AVERAGE('20250815_ETF_Options_Exhibits'!T1701:T1705),"")</f>
        <v/>
      </c>
      <c r="U1705" s="3">
        <f>IF(ISNUMBER(AVERAGE('20250815_ETF_Options_Exhibits'!U1701:U1705)),AVERAGE('20250815_ETF_Options_Exhibits'!U1701:U1705),"")</f>
        <v/>
      </c>
      <c r="V1705" s="3">
        <f>IF(ISNUMBER(AVERAGE('20250815_ETF_Options_Exhibits'!V1701:V1705)),AVERAGE('20250815_ETF_Options_Exhibits'!V1701:V1705),"")</f>
        <v/>
      </c>
      <c r="W1705" s="3">
        <f>IF(ISNUMBER(AVERAGE('20250815_ETF_Options_Exhibits'!W1701:W1705)),AVERAGE('20250815_ETF_Options_Exhibits'!W1701:W1705),"")</f>
        <v/>
      </c>
      <c r="X1705" s="3">
        <f>IF(ISNUMBER(AVERAGE('20250815_ETF_Options_Exhibits'!X1701:X1705)),AVERAGE('20250815_ETF_Options_Exhibits'!X1701:X1705),"")</f>
        <v/>
      </c>
      <c r="Y1705" s="3">
        <f>IF(ISNUMBER(AVERAGE('20250815_ETF_Options_Exhibits'!Y1701:Y1705)),AVERAGE('20250815_ETF_Options_Exhibits'!Y1701:Y1705),"")</f>
        <v/>
      </c>
      <c r="Z1705" s="3">
        <f>IF(ISNUMBER(AVERAGE('20250815_ETF_Options_Exhibits'!Z1701:Z1705)),AVERAGE('20250815_ETF_Options_Exhibits'!Z1701:Z1705),"")</f>
        <v/>
      </c>
      <c r="AA1705" s="3">
        <f>IF(ISNUMBER(AVERAGE('20250815_ETF_Options_Exhibits'!AA1701:AA1705)),AVERAGE('20250815_ETF_Options_Exhibits'!AA1701:AA1705),"")</f>
        <v/>
      </c>
    </row>
    <row r="1706">
      <c r="A1706" s="1" t="n">
        <v>44476</v>
      </c>
      <c r="B1706" s="3">
        <f>IF(ISNUMBER(AVERAGE('20250815_ETF_Options_Exhibits'!B1702:B1706)),AVERAGE('20250815_ETF_Options_Exhibits'!B1702:B1706),"")</f>
        <v/>
      </c>
      <c r="C1706" s="3">
        <f>IF(ISNUMBER(AVERAGE('20250815_ETF_Options_Exhibits'!C1702:C1706)),AVERAGE('20250815_ETF_Options_Exhibits'!C1702:C1706),"")</f>
        <v/>
      </c>
      <c r="D1706" s="3">
        <f>IF(ISNUMBER(AVERAGE('20250815_ETF_Options_Exhibits'!D1702:D1706)),AVERAGE('20250815_ETF_Options_Exhibits'!D1702:D1706),"")</f>
        <v/>
      </c>
      <c r="E1706" s="3">
        <f>IF(ISNUMBER(AVERAGE('20250815_ETF_Options_Exhibits'!E1702:E1706)),AVERAGE('20250815_ETF_Options_Exhibits'!E1702:E1706),"")</f>
        <v/>
      </c>
      <c r="F1706" s="3">
        <f>IF(ISNUMBER(AVERAGE('20250815_ETF_Options_Exhibits'!F1702:F1706)),AVERAGE('20250815_ETF_Options_Exhibits'!F1702:F1706),"")</f>
        <v/>
      </c>
      <c r="G1706" s="3">
        <f>IF(ISNUMBER(AVERAGE('20250815_ETF_Options_Exhibits'!G1702:G1706)),AVERAGE('20250815_ETF_Options_Exhibits'!G1702:G1706),"")</f>
        <v/>
      </c>
      <c r="H1706" s="3">
        <f>IF(ISNUMBER(AVERAGE('20250815_ETF_Options_Exhibits'!H1702:H1706)),AVERAGE('20250815_ETF_Options_Exhibits'!H1702:H1706),"")</f>
        <v/>
      </c>
      <c r="I1706" s="3">
        <f>IF(ISNUMBER(AVERAGE('20250815_ETF_Options_Exhibits'!I1702:I1706)),AVERAGE('20250815_ETF_Options_Exhibits'!I1702:I1706),"")</f>
        <v/>
      </c>
      <c r="J1706" s="3">
        <f>IF(ISNUMBER(AVERAGE('20250815_ETF_Options_Exhibits'!J1702:J1706)),AVERAGE('20250815_ETF_Options_Exhibits'!J1702:J1706),"")</f>
        <v/>
      </c>
      <c r="K1706" s="3">
        <f>IF(ISNUMBER(AVERAGE('20250815_ETF_Options_Exhibits'!K1702:K1706)),AVERAGE('20250815_ETF_Options_Exhibits'!K1702:K1706),"")</f>
        <v/>
      </c>
      <c r="L1706" s="3">
        <f>IF(ISNUMBER(AVERAGE('20250815_ETF_Options_Exhibits'!L1702:L1706)),AVERAGE('20250815_ETF_Options_Exhibits'!L1702:L1706),"")</f>
        <v/>
      </c>
      <c r="M1706" s="3">
        <f>IF(ISNUMBER(AVERAGE('20250815_ETF_Options_Exhibits'!M1702:M1706)),AVERAGE('20250815_ETF_Options_Exhibits'!M1702:M1706),"")</f>
        <v/>
      </c>
      <c r="N1706" s="3">
        <f>IF(ISNUMBER(AVERAGE('20250815_ETF_Options_Exhibits'!N1702:N1706)),AVERAGE('20250815_ETF_Options_Exhibits'!N1702:N1706),"")</f>
        <v/>
      </c>
      <c r="O1706" s="3">
        <f>IF(ISNUMBER(AVERAGE('20250815_ETF_Options_Exhibits'!O1702:O1706)),AVERAGE('20250815_ETF_Options_Exhibits'!O1702:O1706),"")</f>
        <v/>
      </c>
      <c r="P1706" s="3">
        <f>IF(ISNUMBER(AVERAGE('20250815_ETF_Options_Exhibits'!P1702:P1706)),AVERAGE('20250815_ETF_Options_Exhibits'!P1702:P1706),"")</f>
        <v/>
      </c>
      <c r="Q1706" s="3">
        <f>IF(ISNUMBER(AVERAGE('20250815_ETF_Options_Exhibits'!Q1702:Q1706)),AVERAGE('20250815_ETF_Options_Exhibits'!Q1702:Q1706),"")</f>
        <v/>
      </c>
      <c r="R1706" s="3">
        <f>IF(ISNUMBER(AVERAGE('20250815_ETF_Options_Exhibits'!R1702:R1706)),AVERAGE('20250815_ETF_Options_Exhibits'!R1702:R1706),"")</f>
        <v/>
      </c>
      <c r="S1706" s="3">
        <f>IF(ISNUMBER(AVERAGE('20250815_ETF_Options_Exhibits'!S1702:S1706)),AVERAGE('20250815_ETF_Options_Exhibits'!S1702:S1706),"")</f>
        <v/>
      </c>
      <c r="T1706" s="3">
        <f>IF(ISNUMBER(AVERAGE('20250815_ETF_Options_Exhibits'!T1702:T1706)),AVERAGE('20250815_ETF_Options_Exhibits'!T1702:T1706),"")</f>
        <v/>
      </c>
      <c r="U1706" s="3">
        <f>IF(ISNUMBER(AVERAGE('20250815_ETF_Options_Exhibits'!U1702:U1706)),AVERAGE('20250815_ETF_Options_Exhibits'!U1702:U1706),"")</f>
        <v/>
      </c>
      <c r="V1706" s="3">
        <f>IF(ISNUMBER(AVERAGE('20250815_ETF_Options_Exhibits'!V1702:V1706)),AVERAGE('20250815_ETF_Options_Exhibits'!V1702:V1706),"")</f>
        <v/>
      </c>
      <c r="W1706" s="3">
        <f>IF(ISNUMBER(AVERAGE('20250815_ETF_Options_Exhibits'!W1702:W1706)),AVERAGE('20250815_ETF_Options_Exhibits'!W1702:W1706),"")</f>
        <v/>
      </c>
      <c r="X1706" s="3">
        <f>IF(ISNUMBER(AVERAGE('20250815_ETF_Options_Exhibits'!X1702:X1706)),AVERAGE('20250815_ETF_Options_Exhibits'!X1702:X1706),"")</f>
        <v/>
      </c>
      <c r="Y1706" s="3">
        <f>IF(ISNUMBER(AVERAGE('20250815_ETF_Options_Exhibits'!Y1702:Y1706)),AVERAGE('20250815_ETF_Options_Exhibits'!Y1702:Y1706),"")</f>
        <v/>
      </c>
      <c r="Z1706" s="3">
        <f>IF(ISNUMBER(AVERAGE('20250815_ETF_Options_Exhibits'!Z1702:Z1706)),AVERAGE('20250815_ETF_Options_Exhibits'!Z1702:Z1706),"")</f>
        <v/>
      </c>
      <c r="AA1706" s="3">
        <f>IF(ISNUMBER(AVERAGE('20250815_ETF_Options_Exhibits'!AA1702:AA1706)),AVERAGE('20250815_ETF_Options_Exhibits'!AA1702:AA1706),"")</f>
        <v/>
      </c>
    </row>
    <row r="1707">
      <c r="A1707" s="1" t="n">
        <v>44477</v>
      </c>
      <c r="B1707" s="3">
        <f>IF(ISNUMBER(AVERAGE('20250815_ETF_Options_Exhibits'!B1703:B1707)),AVERAGE('20250815_ETF_Options_Exhibits'!B1703:B1707),"")</f>
        <v/>
      </c>
      <c r="C1707" s="3">
        <f>IF(ISNUMBER(AVERAGE('20250815_ETF_Options_Exhibits'!C1703:C1707)),AVERAGE('20250815_ETF_Options_Exhibits'!C1703:C1707),"")</f>
        <v/>
      </c>
      <c r="D1707" s="3">
        <f>IF(ISNUMBER(AVERAGE('20250815_ETF_Options_Exhibits'!D1703:D1707)),AVERAGE('20250815_ETF_Options_Exhibits'!D1703:D1707),"")</f>
        <v/>
      </c>
      <c r="E1707" s="3">
        <f>IF(ISNUMBER(AVERAGE('20250815_ETF_Options_Exhibits'!E1703:E1707)),AVERAGE('20250815_ETF_Options_Exhibits'!E1703:E1707),"")</f>
        <v/>
      </c>
      <c r="F1707" s="3">
        <f>IF(ISNUMBER(AVERAGE('20250815_ETF_Options_Exhibits'!F1703:F1707)),AVERAGE('20250815_ETF_Options_Exhibits'!F1703:F1707),"")</f>
        <v/>
      </c>
      <c r="G1707" s="3">
        <f>IF(ISNUMBER(AVERAGE('20250815_ETF_Options_Exhibits'!G1703:G1707)),AVERAGE('20250815_ETF_Options_Exhibits'!G1703:G1707),"")</f>
        <v/>
      </c>
      <c r="H1707" s="3">
        <f>IF(ISNUMBER(AVERAGE('20250815_ETF_Options_Exhibits'!H1703:H1707)),AVERAGE('20250815_ETF_Options_Exhibits'!H1703:H1707),"")</f>
        <v/>
      </c>
      <c r="I1707" s="3">
        <f>IF(ISNUMBER(AVERAGE('20250815_ETF_Options_Exhibits'!I1703:I1707)),AVERAGE('20250815_ETF_Options_Exhibits'!I1703:I1707),"")</f>
        <v/>
      </c>
      <c r="J1707" s="3">
        <f>IF(ISNUMBER(AVERAGE('20250815_ETF_Options_Exhibits'!J1703:J1707)),AVERAGE('20250815_ETF_Options_Exhibits'!J1703:J1707),"")</f>
        <v/>
      </c>
      <c r="K1707" s="3">
        <f>IF(ISNUMBER(AVERAGE('20250815_ETF_Options_Exhibits'!K1703:K1707)),AVERAGE('20250815_ETF_Options_Exhibits'!K1703:K1707),"")</f>
        <v/>
      </c>
      <c r="L1707" s="3">
        <f>IF(ISNUMBER(AVERAGE('20250815_ETF_Options_Exhibits'!L1703:L1707)),AVERAGE('20250815_ETF_Options_Exhibits'!L1703:L1707),"")</f>
        <v/>
      </c>
      <c r="M1707" s="3">
        <f>IF(ISNUMBER(AVERAGE('20250815_ETF_Options_Exhibits'!M1703:M1707)),AVERAGE('20250815_ETF_Options_Exhibits'!M1703:M1707),"")</f>
        <v/>
      </c>
      <c r="N1707" s="3">
        <f>IF(ISNUMBER(AVERAGE('20250815_ETF_Options_Exhibits'!N1703:N1707)),AVERAGE('20250815_ETF_Options_Exhibits'!N1703:N1707),"")</f>
        <v/>
      </c>
      <c r="O1707" s="3">
        <f>IF(ISNUMBER(AVERAGE('20250815_ETF_Options_Exhibits'!O1703:O1707)),AVERAGE('20250815_ETF_Options_Exhibits'!O1703:O1707),"")</f>
        <v/>
      </c>
      <c r="P1707" s="3">
        <f>IF(ISNUMBER(AVERAGE('20250815_ETF_Options_Exhibits'!P1703:P1707)),AVERAGE('20250815_ETF_Options_Exhibits'!P1703:P1707),"")</f>
        <v/>
      </c>
      <c r="Q1707" s="3">
        <f>IF(ISNUMBER(AVERAGE('20250815_ETF_Options_Exhibits'!Q1703:Q1707)),AVERAGE('20250815_ETF_Options_Exhibits'!Q1703:Q1707),"")</f>
        <v/>
      </c>
      <c r="R1707" s="3">
        <f>IF(ISNUMBER(AVERAGE('20250815_ETF_Options_Exhibits'!R1703:R1707)),AVERAGE('20250815_ETF_Options_Exhibits'!R1703:R1707),"")</f>
        <v/>
      </c>
      <c r="S1707" s="3">
        <f>IF(ISNUMBER(AVERAGE('20250815_ETF_Options_Exhibits'!S1703:S1707)),AVERAGE('20250815_ETF_Options_Exhibits'!S1703:S1707),"")</f>
        <v/>
      </c>
      <c r="T1707" s="3">
        <f>IF(ISNUMBER(AVERAGE('20250815_ETF_Options_Exhibits'!T1703:T1707)),AVERAGE('20250815_ETF_Options_Exhibits'!T1703:T1707),"")</f>
        <v/>
      </c>
      <c r="U1707" s="3">
        <f>IF(ISNUMBER(AVERAGE('20250815_ETF_Options_Exhibits'!U1703:U1707)),AVERAGE('20250815_ETF_Options_Exhibits'!U1703:U1707),"")</f>
        <v/>
      </c>
      <c r="V1707" s="3">
        <f>IF(ISNUMBER(AVERAGE('20250815_ETF_Options_Exhibits'!V1703:V1707)),AVERAGE('20250815_ETF_Options_Exhibits'!V1703:V1707),"")</f>
        <v/>
      </c>
      <c r="W1707" s="3">
        <f>IF(ISNUMBER(AVERAGE('20250815_ETF_Options_Exhibits'!W1703:W1707)),AVERAGE('20250815_ETF_Options_Exhibits'!W1703:W1707),"")</f>
        <v/>
      </c>
      <c r="X1707" s="3">
        <f>IF(ISNUMBER(AVERAGE('20250815_ETF_Options_Exhibits'!X1703:X1707)),AVERAGE('20250815_ETF_Options_Exhibits'!X1703:X1707),"")</f>
        <v/>
      </c>
      <c r="Y1707" s="3">
        <f>IF(ISNUMBER(AVERAGE('20250815_ETF_Options_Exhibits'!Y1703:Y1707)),AVERAGE('20250815_ETF_Options_Exhibits'!Y1703:Y1707),"")</f>
        <v/>
      </c>
      <c r="Z1707" s="3">
        <f>IF(ISNUMBER(AVERAGE('20250815_ETF_Options_Exhibits'!Z1703:Z1707)),AVERAGE('20250815_ETF_Options_Exhibits'!Z1703:Z1707),"")</f>
        <v/>
      </c>
      <c r="AA1707" s="3">
        <f>IF(ISNUMBER(AVERAGE('20250815_ETF_Options_Exhibits'!AA1703:AA1707)),AVERAGE('20250815_ETF_Options_Exhibits'!AA1703:AA1707),"")</f>
        <v/>
      </c>
    </row>
    <row r="1708">
      <c r="A1708" s="1" t="n">
        <v>44480</v>
      </c>
      <c r="B1708" s="3">
        <f>IF(ISNUMBER(AVERAGE('20250815_ETF_Options_Exhibits'!B1704:B1708)),AVERAGE('20250815_ETF_Options_Exhibits'!B1704:B1708),"")</f>
        <v/>
      </c>
      <c r="C1708" s="3">
        <f>IF(ISNUMBER(AVERAGE('20250815_ETF_Options_Exhibits'!C1704:C1708)),AVERAGE('20250815_ETF_Options_Exhibits'!C1704:C1708),"")</f>
        <v/>
      </c>
      <c r="D1708" s="3">
        <f>IF(ISNUMBER(AVERAGE('20250815_ETF_Options_Exhibits'!D1704:D1708)),AVERAGE('20250815_ETF_Options_Exhibits'!D1704:D1708),"")</f>
        <v/>
      </c>
      <c r="E1708" s="3">
        <f>IF(ISNUMBER(AVERAGE('20250815_ETF_Options_Exhibits'!E1704:E1708)),AVERAGE('20250815_ETF_Options_Exhibits'!E1704:E1708),"")</f>
        <v/>
      </c>
      <c r="F1708" s="3">
        <f>IF(ISNUMBER(AVERAGE('20250815_ETF_Options_Exhibits'!F1704:F1708)),AVERAGE('20250815_ETF_Options_Exhibits'!F1704:F1708),"")</f>
        <v/>
      </c>
      <c r="G1708" s="3">
        <f>IF(ISNUMBER(AVERAGE('20250815_ETF_Options_Exhibits'!G1704:G1708)),AVERAGE('20250815_ETF_Options_Exhibits'!G1704:G1708),"")</f>
        <v/>
      </c>
      <c r="H1708" s="3">
        <f>IF(ISNUMBER(AVERAGE('20250815_ETF_Options_Exhibits'!H1704:H1708)),AVERAGE('20250815_ETF_Options_Exhibits'!H1704:H1708),"")</f>
        <v/>
      </c>
      <c r="I1708" s="3">
        <f>IF(ISNUMBER(AVERAGE('20250815_ETF_Options_Exhibits'!I1704:I1708)),AVERAGE('20250815_ETF_Options_Exhibits'!I1704:I1708),"")</f>
        <v/>
      </c>
      <c r="J1708" s="3">
        <f>IF(ISNUMBER(AVERAGE('20250815_ETF_Options_Exhibits'!J1704:J1708)),AVERAGE('20250815_ETF_Options_Exhibits'!J1704:J1708),"")</f>
        <v/>
      </c>
      <c r="K1708" s="3">
        <f>IF(ISNUMBER(AVERAGE('20250815_ETF_Options_Exhibits'!K1704:K1708)),AVERAGE('20250815_ETF_Options_Exhibits'!K1704:K1708),"")</f>
        <v/>
      </c>
      <c r="L1708" s="3">
        <f>IF(ISNUMBER(AVERAGE('20250815_ETF_Options_Exhibits'!L1704:L1708)),AVERAGE('20250815_ETF_Options_Exhibits'!L1704:L1708),"")</f>
        <v/>
      </c>
      <c r="M1708" s="3">
        <f>IF(ISNUMBER(AVERAGE('20250815_ETF_Options_Exhibits'!M1704:M1708)),AVERAGE('20250815_ETF_Options_Exhibits'!M1704:M1708),"")</f>
        <v/>
      </c>
      <c r="N1708" s="3">
        <f>IF(ISNUMBER(AVERAGE('20250815_ETF_Options_Exhibits'!N1704:N1708)),AVERAGE('20250815_ETF_Options_Exhibits'!N1704:N1708),"")</f>
        <v/>
      </c>
      <c r="O1708" s="3">
        <f>IF(ISNUMBER(AVERAGE('20250815_ETF_Options_Exhibits'!O1704:O1708)),AVERAGE('20250815_ETF_Options_Exhibits'!O1704:O1708),"")</f>
        <v/>
      </c>
      <c r="P1708" s="3">
        <f>IF(ISNUMBER(AVERAGE('20250815_ETF_Options_Exhibits'!P1704:P1708)),AVERAGE('20250815_ETF_Options_Exhibits'!P1704:P1708),"")</f>
        <v/>
      </c>
      <c r="Q1708" s="3">
        <f>IF(ISNUMBER(AVERAGE('20250815_ETF_Options_Exhibits'!Q1704:Q1708)),AVERAGE('20250815_ETF_Options_Exhibits'!Q1704:Q1708),"")</f>
        <v/>
      </c>
      <c r="R1708" s="3">
        <f>IF(ISNUMBER(AVERAGE('20250815_ETF_Options_Exhibits'!R1704:R1708)),AVERAGE('20250815_ETF_Options_Exhibits'!R1704:R1708),"")</f>
        <v/>
      </c>
      <c r="S1708" s="3">
        <f>IF(ISNUMBER(AVERAGE('20250815_ETF_Options_Exhibits'!S1704:S1708)),AVERAGE('20250815_ETF_Options_Exhibits'!S1704:S1708),"")</f>
        <v/>
      </c>
      <c r="T1708" s="3">
        <f>IF(ISNUMBER(AVERAGE('20250815_ETF_Options_Exhibits'!T1704:T1708)),AVERAGE('20250815_ETF_Options_Exhibits'!T1704:T1708),"")</f>
        <v/>
      </c>
      <c r="U1708" s="3">
        <f>IF(ISNUMBER(AVERAGE('20250815_ETF_Options_Exhibits'!U1704:U1708)),AVERAGE('20250815_ETF_Options_Exhibits'!U1704:U1708),"")</f>
        <v/>
      </c>
      <c r="V1708" s="3">
        <f>IF(ISNUMBER(AVERAGE('20250815_ETF_Options_Exhibits'!V1704:V1708)),AVERAGE('20250815_ETF_Options_Exhibits'!V1704:V1708),"")</f>
        <v/>
      </c>
      <c r="W1708" s="3">
        <f>IF(ISNUMBER(AVERAGE('20250815_ETF_Options_Exhibits'!W1704:W1708)),AVERAGE('20250815_ETF_Options_Exhibits'!W1704:W1708),"")</f>
        <v/>
      </c>
      <c r="X1708" s="3">
        <f>IF(ISNUMBER(AVERAGE('20250815_ETF_Options_Exhibits'!X1704:X1708)),AVERAGE('20250815_ETF_Options_Exhibits'!X1704:X1708),"")</f>
        <v/>
      </c>
      <c r="Y1708" s="3">
        <f>IF(ISNUMBER(AVERAGE('20250815_ETF_Options_Exhibits'!Y1704:Y1708)),AVERAGE('20250815_ETF_Options_Exhibits'!Y1704:Y1708),"")</f>
        <v/>
      </c>
      <c r="Z1708" s="3">
        <f>IF(ISNUMBER(AVERAGE('20250815_ETF_Options_Exhibits'!Z1704:Z1708)),AVERAGE('20250815_ETF_Options_Exhibits'!Z1704:Z1708),"")</f>
        <v/>
      </c>
      <c r="AA1708" s="3">
        <f>IF(ISNUMBER(AVERAGE('20250815_ETF_Options_Exhibits'!AA1704:AA1708)),AVERAGE('20250815_ETF_Options_Exhibits'!AA1704:AA1708),"")</f>
        <v/>
      </c>
    </row>
    <row r="1709">
      <c r="A1709" s="1" t="n">
        <v>44481</v>
      </c>
      <c r="B1709" s="3">
        <f>IF(ISNUMBER(AVERAGE('20250815_ETF_Options_Exhibits'!B1705:B1709)),AVERAGE('20250815_ETF_Options_Exhibits'!B1705:B1709),"")</f>
        <v/>
      </c>
      <c r="C1709" s="3">
        <f>IF(ISNUMBER(AVERAGE('20250815_ETF_Options_Exhibits'!C1705:C1709)),AVERAGE('20250815_ETF_Options_Exhibits'!C1705:C1709),"")</f>
        <v/>
      </c>
      <c r="D1709" s="3">
        <f>IF(ISNUMBER(AVERAGE('20250815_ETF_Options_Exhibits'!D1705:D1709)),AVERAGE('20250815_ETF_Options_Exhibits'!D1705:D1709),"")</f>
        <v/>
      </c>
      <c r="E1709" s="3">
        <f>IF(ISNUMBER(AVERAGE('20250815_ETF_Options_Exhibits'!E1705:E1709)),AVERAGE('20250815_ETF_Options_Exhibits'!E1705:E1709),"")</f>
        <v/>
      </c>
      <c r="F1709" s="3">
        <f>IF(ISNUMBER(AVERAGE('20250815_ETF_Options_Exhibits'!F1705:F1709)),AVERAGE('20250815_ETF_Options_Exhibits'!F1705:F1709),"")</f>
        <v/>
      </c>
      <c r="G1709" s="3">
        <f>IF(ISNUMBER(AVERAGE('20250815_ETF_Options_Exhibits'!G1705:G1709)),AVERAGE('20250815_ETF_Options_Exhibits'!G1705:G1709),"")</f>
        <v/>
      </c>
      <c r="H1709" s="3">
        <f>IF(ISNUMBER(AVERAGE('20250815_ETF_Options_Exhibits'!H1705:H1709)),AVERAGE('20250815_ETF_Options_Exhibits'!H1705:H1709),"")</f>
        <v/>
      </c>
      <c r="I1709" s="3">
        <f>IF(ISNUMBER(AVERAGE('20250815_ETF_Options_Exhibits'!I1705:I1709)),AVERAGE('20250815_ETF_Options_Exhibits'!I1705:I1709),"")</f>
        <v/>
      </c>
      <c r="J1709" s="3">
        <f>IF(ISNUMBER(AVERAGE('20250815_ETF_Options_Exhibits'!J1705:J1709)),AVERAGE('20250815_ETF_Options_Exhibits'!J1705:J1709),"")</f>
        <v/>
      </c>
      <c r="K1709" s="3">
        <f>IF(ISNUMBER(AVERAGE('20250815_ETF_Options_Exhibits'!K1705:K1709)),AVERAGE('20250815_ETF_Options_Exhibits'!K1705:K1709),"")</f>
        <v/>
      </c>
      <c r="L1709" s="3">
        <f>IF(ISNUMBER(AVERAGE('20250815_ETF_Options_Exhibits'!L1705:L1709)),AVERAGE('20250815_ETF_Options_Exhibits'!L1705:L1709),"")</f>
        <v/>
      </c>
      <c r="M1709" s="3">
        <f>IF(ISNUMBER(AVERAGE('20250815_ETF_Options_Exhibits'!M1705:M1709)),AVERAGE('20250815_ETF_Options_Exhibits'!M1705:M1709),"")</f>
        <v/>
      </c>
      <c r="N1709" s="3">
        <f>IF(ISNUMBER(AVERAGE('20250815_ETF_Options_Exhibits'!N1705:N1709)),AVERAGE('20250815_ETF_Options_Exhibits'!N1705:N1709),"")</f>
        <v/>
      </c>
      <c r="O1709" s="3">
        <f>IF(ISNUMBER(AVERAGE('20250815_ETF_Options_Exhibits'!O1705:O1709)),AVERAGE('20250815_ETF_Options_Exhibits'!O1705:O1709),"")</f>
        <v/>
      </c>
      <c r="P1709" s="3">
        <f>IF(ISNUMBER(AVERAGE('20250815_ETF_Options_Exhibits'!P1705:P1709)),AVERAGE('20250815_ETF_Options_Exhibits'!P1705:P1709),"")</f>
        <v/>
      </c>
      <c r="Q1709" s="3">
        <f>IF(ISNUMBER(AVERAGE('20250815_ETF_Options_Exhibits'!Q1705:Q1709)),AVERAGE('20250815_ETF_Options_Exhibits'!Q1705:Q1709),"")</f>
        <v/>
      </c>
      <c r="R1709" s="3">
        <f>IF(ISNUMBER(AVERAGE('20250815_ETF_Options_Exhibits'!R1705:R1709)),AVERAGE('20250815_ETF_Options_Exhibits'!R1705:R1709),"")</f>
        <v/>
      </c>
      <c r="S1709" s="3">
        <f>IF(ISNUMBER(AVERAGE('20250815_ETF_Options_Exhibits'!S1705:S1709)),AVERAGE('20250815_ETF_Options_Exhibits'!S1705:S1709),"")</f>
        <v/>
      </c>
      <c r="T1709" s="3">
        <f>IF(ISNUMBER(AVERAGE('20250815_ETF_Options_Exhibits'!T1705:T1709)),AVERAGE('20250815_ETF_Options_Exhibits'!T1705:T1709),"")</f>
        <v/>
      </c>
      <c r="U1709" s="3">
        <f>IF(ISNUMBER(AVERAGE('20250815_ETF_Options_Exhibits'!U1705:U1709)),AVERAGE('20250815_ETF_Options_Exhibits'!U1705:U1709),"")</f>
        <v/>
      </c>
      <c r="V1709" s="3">
        <f>IF(ISNUMBER(AVERAGE('20250815_ETF_Options_Exhibits'!V1705:V1709)),AVERAGE('20250815_ETF_Options_Exhibits'!V1705:V1709),"")</f>
        <v/>
      </c>
      <c r="W1709" s="3">
        <f>IF(ISNUMBER(AVERAGE('20250815_ETF_Options_Exhibits'!W1705:W1709)),AVERAGE('20250815_ETF_Options_Exhibits'!W1705:W1709),"")</f>
        <v/>
      </c>
      <c r="X1709" s="3">
        <f>IF(ISNUMBER(AVERAGE('20250815_ETF_Options_Exhibits'!X1705:X1709)),AVERAGE('20250815_ETF_Options_Exhibits'!X1705:X1709),"")</f>
        <v/>
      </c>
      <c r="Y1709" s="3">
        <f>IF(ISNUMBER(AVERAGE('20250815_ETF_Options_Exhibits'!Y1705:Y1709)),AVERAGE('20250815_ETF_Options_Exhibits'!Y1705:Y1709),"")</f>
        <v/>
      </c>
      <c r="Z1709" s="3">
        <f>IF(ISNUMBER(AVERAGE('20250815_ETF_Options_Exhibits'!Z1705:Z1709)),AVERAGE('20250815_ETF_Options_Exhibits'!Z1705:Z1709),"")</f>
        <v/>
      </c>
      <c r="AA1709" s="3">
        <f>IF(ISNUMBER(AVERAGE('20250815_ETF_Options_Exhibits'!AA1705:AA1709)),AVERAGE('20250815_ETF_Options_Exhibits'!AA1705:AA1709),"")</f>
        <v/>
      </c>
    </row>
    <row r="1710">
      <c r="A1710" s="1" t="n">
        <v>44482</v>
      </c>
      <c r="B1710" s="3">
        <f>IF(ISNUMBER(AVERAGE('20250815_ETF_Options_Exhibits'!B1706:B1710)),AVERAGE('20250815_ETF_Options_Exhibits'!B1706:B1710),"")</f>
        <v/>
      </c>
      <c r="C1710" s="3">
        <f>IF(ISNUMBER(AVERAGE('20250815_ETF_Options_Exhibits'!C1706:C1710)),AVERAGE('20250815_ETF_Options_Exhibits'!C1706:C1710),"")</f>
        <v/>
      </c>
      <c r="D1710" s="3">
        <f>IF(ISNUMBER(AVERAGE('20250815_ETF_Options_Exhibits'!D1706:D1710)),AVERAGE('20250815_ETF_Options_Exhibits'!D1706:D1710),"")</f>
        <v/>
      </c>
      <c r="E1710" s="3">
        <f>IF(ISNUMBER(AVERAGE('20250815_ETF_Options_Exhibits'!E1706:E1710)),AVERAGE('20250815_ETF_Options_Exhibits'!E1706:E1710),"")</f>
        <v/>
      </c>
      <c r="F1710" s="3">
        <f>IF(ISNUMBER(AVERAGE('20250815_ETF_Options_Exhibits'!F1706:F1710)),AVERAGE('20250815_ETF_Options_Exhibits'!F1706:F1710),"")</f>
        <v/>
      </c>
      <c r="G1710" s="3">
        <f>IF(ISNUMBER(AVERAGE('20250815_ETF_Options_Exhibits'!G1706:G1710)),AVERAGE('20250815_ETF_Options_Exhibits'!G1706:G1710),"")</f>
        <v/>
      </c>
      <c r="H1710" s="3">
        <f>IF(ISNUMBER(AVERAGE('20250815_ETF_Options_Exhibits'!H1706:H1710)),AVERAGE('20250815_ETF_Options_Exhibits'!H1706:H1710),"")</f>
        <v/>
      </c>
      <c r="I1710" s="3">
        <f>IF(ISNUMBER(AVERAGE('20250815_ETF_Options_Exhibits'!I1706:I1710)),AVERAGE('20250815_ETF_Options_Exhibits'!I1706:I1710),"")</f>
        <v/>
      </c>
      <c r="J1710" s="3">
        <f>IF(ISNUMBER(AVERAGE('20250815_ETF_Options_Exhibits'!J1706:J1710)),AVERAGE('20250815_ETF_Options_Exhibits'!J1706:J1710),"")</f>
        <v/>
      </c>
      <c r="K1710" s="3">
        <f>IF(ISNUMBER(AVERAGE('20250815_ETF_Options_Exhibits'!K1706:K1710)),AVERAGE('20250815_ETF_Options_Exhibits'!K1706:K1710),"")</f>
        <v/>
      </c>
      <c r="L1710" s="3">
        <f>IF(ISNUMBER(AVERAGE('20250815_ETF_Options_Exhibits'!L1706:L1710)),AVERAGE('20250815_ETF_Options_Exhibits'!L1706:L1710),"")</f>
        <v/>
      </c>
      <c r="M1710" s="3">
        <f>IF(ISNUMBER(AVERAGE('20250815_ETF_Options_Exhibits'!M1706:M1710)),AVERAGE('20250815_ETF_Options_Exhibits'!M1706:M1710),"")</f>
        <v/>
      </c>
      <c r="N1710" s="3">
        <f>IF(ISNUMBER(AVERAGE('20250815_ETF_Options_Exhibits'!N1706:N1710)),AVERAGE('20250815_ETF_Options_Exhibits'!N1706:N1710),"")</f>
        <v/>
      </c>
      <c r="O1710" s="3">
        <f>IF(ISNUMBER(AVERAGE('20250815_ETF_Options_Exhibits'!O1706:O1710)),AVERAGE('20250815_ETF_Options_Exhibits'!O1706:O1710),"")</f>
        <v/>
      </c>
      <c r="P1710" s="3">
        <f>IF(ISNUMBER(AVERAGE('20250815_ETF_Options_Exhibits'!P1706:P1710)),AVERAGE('20250815_ETF_Options_Exhibits'!P1706:P1710),"")</f>
        <v/>
      </c>
      <c r="Q1710" s="3">
        <f>IF(ISNUMBER(AVERAGE('20250815_ETF_Options_Exhibits'!Q1706:Q1710)),AVERAGE('20250815_ETF_Options_Exhibits'!Q1706:Q1710),"")</f>
        <v/>
      </c>
      <c r="R1710" s="3">
        <f>IF(ISNUMBER(AVERAGE('20250815_ETF_Options_Exhibits'!R1706:R1710)),AVERAGE('20250815_ETF_Options_Exhibits'!R1706:R1710),"")</f>
        <v/>
      </c>
      <c r="S1710" s="3">
        <f>IF(ISNUMBER(AVERAGE('20250815_ETF_Options_Exhibits'!S1706:S1710)),AVERAGE('20250815_ETF_Options_Exhibits'!S1706:S1710),"")</f>
        <v/>
      </c>
      <c r="T1710" s="3">
        <f>IF(ISNUMBER(AVERAGE('20250815_ETF_Options_Exhibits'!T1706:T1710)),AVERAGE('20250815_ETF_Options_Exhibits'!T1706:T1710),"")</f>
        <v/>
      </c>
      <c r="U1710" s="3">
        <f>IF(ISNUMBER(AVERAGE('20250815_ETF_Options_Exhibits'!U1706:U1710)),AVERAGE('20250815_ETF_Options_Exhibits'!U1706:U1710),"")</f>
        <v/>
      </c>
      <c r="V1710" s="3">
        <f>IF(ISNUMBER(AVERAGE('20250815_ETF_Options_Exhibits'!V1706:V1710)),AVERAGE('20250815_ETF_Options_Exhibits'!V1706:V1710),"")</f>
        <v/>
      </c>
      <c r="W1710" s="3">
        <f>IF(ISNUMBER(AVERAGE('20250815_ETF_Options_Exhibits'!W1706:W1710)),AVERAGE('20250815_ETF_Options_Exhibits'!W1706:W1710),"")</f>
        <v/>
      </c>
      <c r="X1710" s="3">
        <f>IF(ISNUMBER(AVERAGE('20250815_ETF_Options_Exhibits'!X1706:X1710)),AVERAGE('20250815_ETF_Options_Exhibits'!X1706:X1710),"")</f>
        <v/>
      </c>
      <c r="Y1710" s="3">
        <f>IF(ISNUMBER(AVERAGE('20250815_ETF_Options_Exhibits'!Y1706:Y1710)),AVERAGE('20250815_ETF_Options_Exhibits'!Y1706:Y1710),"")</f>
        <v/>
      </c>
      <c r="Z1710" s="3">
        <f>IF(ISNUMBER(AVERAGE('20250815_ETF_Options_Exhibits'!Z1706:Z1710)),AVERAGE('20250815_ETF_Options_Exhibits'!Z1706:Z1710),"")</f>
        <v/>
      </c>
      <c r="AA1710" s="3">
        <f>IF(ISNUMBER(AVERAGE('20250815_ETF_Options_Exhibits'!AA1706:AA1710)),AVERAGE('20250815_ETF_Options_Exhibits'!AA1706:AA1710),"")</f>
        <v/>
      </c>
    </row>
    <row r="1711">
      <c r="A1711" s="1" t="n">
        <v>44483</v>
      </c>
      <c r="B1711" s="3">
        <f>IF(ISNUMBER(AVERAGE('20250815_ETF_Options_Exhibits'!B1707:B1711)),AVERAGE('20250815_ETF_Options_Exhibits'!B1707:B1711),"")</f>
        <v/>
      </c>
      <c r="C1711" s="3">
        <f>IF(ISNUMBER(AVERAGE('20250815_ETF_Options_Exhibits'!C1707:C1711)),AVERAGE('20250815_ETF_Options_Exhibits'!C1707:C1711),"")</f>
        <v/>
      </c>
      <c r="D1711" s="3">
        <f>IF(ISNUMBER(AVERAGE('20250815_ETF_Options_Exhibits'!D1707:D1711)),AVERAGE('20250815_ETF_Options_Exhibits'!D1707:D1711),"")</f>
        <v/>
      </c>
      <c r="E1711" s="3">
        <f>IF(ISNUMBER(AVERAGE('20250815_ETF_Options_Exhibits'!E1707:E1711)),AVERAGE('20250815_ETF_Options_Exhibits'!E1707:E1711),"")</f>
        <v/>
      </c>
      <c r="F1711" s="3">
        <f>IF(ISNUMBER(AVERAGE('20250815_ETF_Options_Exhibits'!F1707:F1711)),AVERAGE('20250815_ETF_Options_Exhibits'!F1707:F1711),"")</f>
        <v/>
      </c>
      <c r="G1711" s="3">
        <f>IF(ISNUMBER(AVERAGE('20250815_ETF_Options_Exhibits'!G1707:G1711)),AVERAGE('20250815_ETF_Options_Exhibits'!G1707:G1711),"")</f>
        <v/>
      </c>
      <c r="H1711" s="3">
        <f>IF(ISNUMBER(AVERAGE('20250815_ETF_Options_Exhibits'!H1707:H1711)),AVERAGE('20250815_ETF_Options_Exhibits'!H1707:H1711),"")</f>
        <v/>
      </c>
      <c r="I1711" s="3">
        <f>IF(ISNUMBER(AVERAGE('20250815_ETF_Options_Exhibits'!I1707:I1711)),AVERAGE('20250815_ETF_Options_Exhibits'!I1707:I1711),"")</f>
        <v/>
      </c>
      <c r="J1711" s="3">
        <f>IF(ISNUMBER(AVERAGE('20250815_ETF_Options_Exhibits'!J1707:J1711)),AVERAGE('20250815_ETF_Options_Exhibits'!J1707:J1711),"")</f>
        <v/>
      </c>
      <c r="K1711" s="3">
        <f>IF(ISNUMBER(AVERAGE('20250815_ETF_Options_Exhibits'!K1707:K1711)),AVERAGE('20250815_ETF_Options_Exhibits'!K1707:K1711),"")</f>
        <v/>
      </c>
      <c r="L1711" s="3">
        <f>IF(ISNUMBER(AVERAGE('20250815_ETF_Options_Exhibits'!L1707:L1711)),AVERAGE('20250815_ETF_Options_Exhibits'!L1707:L1711),"")</f>
        <v/>
      </c>
      <c r="M1711" s="3">
        <f>IF(ISNUMBER(AVERAGE('20250815_ETF_Options_Exhibits'!M1707:M1711)),AVERAGE('20250815_ETF_Options_Exhibits'!M1707:M1711),"")</f>
        <v/>
      </c>
      <c r="N1711" s="3">
        <f>IF(ISNUMBER(AVERAGE('20250815_ETF_Options_Exhibits'!N1707:N1711)),AVERAGE('20250815_ETF_Options_Exhibits'!N1707:N1711),"")</f>
        <v/>
      </c>
      <c r="O1711" s="3">
        <f>IF(ISNUMBER(AVERAGE('20250815_ETF_Options_Exhibits'!O1707:O1711)),AVERAGE('20250815_ETF_Options_Exhibits'!O1707:O1711),"")</f>
        <v/>
      </c>
      <c r="P1711" s="3">
        <f>IF(ISNUMBER(AVERAGE('20250815_ETF_Options_Exhibits'!P1707:P1711)),AVERAGE('20250815_ETF_Options_Exhibits'!P1707:P1711),"")</f>
        <v/>
      </c>
      <c r="Q1711" s="3">
        <f>IF(ISNUMBER(AVERAGE('20250815_ETF_Options_Exhibits'!Q1707:Q1711)),AVERAGE('20250815_ETF_Options_Exhibits'!Q1707:Q1711),"")</f>
        <v/>
      </c>
      <c r="R1711" s="3">
        <f>IF(ISNUMBER(AVERAGE('20250815_ETF_Options_Exhibits'!R1707:R1711)),AVERAGE('20250815_ETF_Options_Exhibits'!R1707:R1711),"")</f>
        <v/>
      </c>
      <c r="S1711" s="3">
        <f>IF(ISNUMBER(AVERAGE('20250815_ETF_Options_Exhibits'!S1707:S1711)),AVERAGE('20250815_ETF_Options_Exhibits'!S1707:S1711),"")</f>
        <v/>
      </c>
      <c r="T1711" s="3">
        <f>IF(ISNUMBER(AVERAGE('20250815_ETF_Options_Exhibits'!T1707:T1711)),AVERAGE('20250815_ETF_Options_Exhibits'!T1707:T1711),"")</f>
        <v/>
      </c>
      <c r="U1711" s="3">
        <f>IF(ISNUMBER(AVERAGE('20250815_ETF_Options_Exhibits'!U1707:U1711)),AVERAGE('20250815_ETF_Options_Exhibits'!U1707:U1711),"")</f>
        <v/>
      </c>
      <c r="V1711" s="3">
        <f>IF(ISNUMBER(AVERAGE('20250815_ETF_Options_Exhibits'!V1707:V1711)),AVERAGE('20250815_ETF_Options_Exhibits'!V1707:V1711),"")</f>
        <v/>
      </c>
      <c r="W1711" s="3">
        <f>IF(ISNUMBER(AVERAGE('20250815_ETF_Options_Exhibits'!W1707:W1711)),AVERAGE('20250815_ETF_Options_Exhibits'!W1707:W1711),"")</f>
        <v/>
      </c>
      <c r="X1711" s="3">
        <f>IF(ISNUMBER(AVERAGE('20250815_ETF_Options_Exhibits'!X1707:X1711)),AVERAGE('20250815_ETF_Options_Exhibits'!X1707:X1711),"")</f>
        <v/>
      </c>
      <c r="Y1711" s="3">
        <f>IF(ISNUMBER(AVERAGE('20250815_ETF_Options_Exhibits'!Y1707:Y1711)),AVERAGE('20250815_ETF_Options_Exhibits'!Y1707:Y1711),"")</f>
        <v/>
      </c>
      <c r="Z1711" s="3">
        <f>IF(ISNUMBER(AVERAGE('20250815_ETF_Options_Exhibits'!Z1707:Z1711)),AVERAGE('20250815_ETF_Options_Exhibits'!Z1707:Z1711),"")</f>
        <v/>
      </c>
      <c r="AA1711" s="3">
        <f>IF(ISNUMBER(AVERAGE('20250815_ETF_Options_Exhibits'!AA1707:AA1711)),AVERAGE('20250815_ETF_Options_Exhibits'!AA1707:AA1711),"")</f>
        <v/>
      </c>
    </row>
    <row r="1712">
      <c r="A1712" s="1" t="n">
        <v>44484</v>
      </c>
      <c r="B1712" s="3">
        <f>IF(ISNUMBER(AVERAGE('20250815_ETF_Options_Exhibits'!B1708:B1712)),AVERAGE('20250815_ETF_Options_Exhibits'!B1708:B1712),"")</f>
        <v/>
      </c>
      <c r="C1712" s="3">
        <f>IF(ISNUMBER(AVERAGE('20250815_ETF_Options_Exhibits'!C1708:C1712)),AVERAGE('20250815_ETF_Options_Exhibits'!C1708:C1712),"")</f>
        <v/>
      </c>
      <c r="D1712" s="3">
        <f>IF(ISNUMBER(AVERAGE('20250815_ETF_Options_Exhibits'!D1708:D1712)),AVERAGE('20250815_ETF_Options_Exhibits'!D1708:D1712),"")</f>
        <v/>
      </c>
      <c r="E1712" s="3">
        <f>IF(ISNUMBER(AVERAGE('20250815_ETF_Options_Exhibits'!E1708:E1712)),AVERAGE('20250815_ETF_Options_Exhibits'!E1708:E1712),"")</f>
        <v/>
      </c>
      <c r="F1712" s="3">
        <f>IF(ISNUMBER(AVERAGE('20250815_ETF_Options_Exhibits'!F1708:F1712)),AVERAGE('20250815_ETF_Options_Exhibits'!F1708:F1712),"")</f>
        <v/>
      </c>
      <c r="G1712" s="3">
        <f>IF(ISNUMBER(AVERAGE('20250815_ETF_Options_Exhibits'!G1708:G1712)),AVERAGE('20250815_ETF_Options_Exhibits'!G1708:G1712),"")</f>
        <v/>
      </c>
      <c r="H1712" s="3">
        <f>IF(ISNUMBER(AVERAGE('20250815_ETF_Options_Exhibits'!H1708:H1712)),AVERAGE('20250815_ETF_Options_Exhibits'!H1708:H1712),"")</f>
        <v/>
      </c>
      <c r="I1712" s="3">
        <f>IF(ISNUMBER(AVERAGE('20250815_ETF_Options_Exhibits'!I1708:I1712)),AVERAGE('20250815_ETF_Options_Exhibits'!I1708:I1712),"")</f>
        <v/>
      </c>
      <c r="J1712" s="3">
        <f>IF(ISNUMBER(AVERAGE('20250815_ETF_Options_Exhibits'!J1708:J1712)),AVERAGE('20250815_ETF_Options_Exhibits'!J1708:J1712),"")</f>
        <v/>
      </c>
      <c r="K1712" s="3">
        <f>IF(ISNUMBER(AVERAGE('20250815_ETF_Options_Exhibits'!K1708:K1712)),AVERAGE('20250815_ETF_Options_Exhibits'!K1708:K1712),"")</f>
        <v/>
      </c>
      <c r="L1712" s="3">
        <f>IF(ISNUMBER(AVERAGE('20250815_ETF_Options_Exhibits'!L1708:L1712)),AVERAGE('20250815_ETF_Options_Exhibits'!L1708:L1712),"")</f>
        <v/>
      </c>
      <c r="M1712" s="3">
        <f>IF(ISNUMBER(AVERAGE('20250815_ETF_Options_Exhibits'!M1708:M1712)),AVERAGE('20250815_ETF_Options_Exhibits'!M1708:M1712),"")</f>
        <v/>
      </c>
      <c r="N1712" s="3">
        <f>IF(ISNUMBER(AVERAGE('20250815_ETF_Options_Exhibits'!N1708:N1712)),AVERAGE('20250815_ETF_Options_Exhibits'!N1708:N1712),"")</f>
        <v/>
      </c>
      <c r="O1712" s="3">
        <f>IF(ISNUMBER(AVERAGE('20250815_ETF_Options_Exhibits'!O1708:O1712)),AVERAGE('20250815_ETF_Options_Exhibits'!O1708:O1712),"")</f>
        <v/>
      </c>
      <c r="P1712" s="3">
        <f>IF(ISNUMBER(AVERAGE('20250815_ETF_Options_Exhibits'!P1708:P1712)),AVERAGE('20250815_ETF_Options_Exhibits'!P1708:P1712),"")</f>
        <v/>
      </c>
      <c r="Q1712" s="3">
        <f>IF(ISNUMBER(AVERAGE('20250815_ETF_Options_Exhibits'!Q1708:Q1712)),AVERAGE('20250815_ETF_Options_Exhibits'!Q1708:Q1712),"")</f>
        <v/>
      </c>
      <c r="R1712" s="3">
        <f>IF(ISNUMBER(AVERAGE('20250815_ETF_Options_Exhibits'!R1708:R1712)),AVERAGE('20250815_ETF_Options_Exhibits'!R1708:R1712),"")</f>
        <v/>
      </c>
      <c r="S1712" s="3">
        <f>IF(ISNUMBER(AVERAGE('20250815_ETF_Options_Exhibits'!S1708:S1712)),AVERAGE('20250815_ETF_Options_Exhibits'!S1708:S1712),"")</f>
        <v/>
      </c>
      <c r="T1712" s="3">
        <f>IF(ISNUMBER(AVERAGE('20250815_ETF_Options_Exhibits'!T1708:T1712)),AVERAGE('20250815_ETF_Options_Exhibits'!T1708:T1712),"")</f>
        <v/>
      </c>
      <c r="U1712" s="3">
        <f>IF(ISNUMBER(AVERAGE('20250815_ETF_Options_Exhibits'!U1708:U1712)),AVERAGE('20250815_ETF_Options_Exhibits'!U1708:U1712),"")</f>
        <v/>
      </c>
      <c r="V1712" s="3">
        <f>IF(ISNUMBER(AVERAGE('20250815_ETF_Options_Exhibits'!V1708:V1712)),AVERAGE('20250815_ETF_Options_Exhibits'!V1708:V1712),"")</f>
        <v/>
      </c>
      <c r="W1712" s="3">
        <f>IF(ISNUMBER(AVERAGE('20250815_ETF_Options_Exhibits'!W1708:W1712)),AVERAGE('20250815_ETF_Options_Exhibits'!W1708:W1712),"")</f>
        <v/>
      </c>
      <c r="X1712" s="3">
        <f>IF(ISNUMBER(AVERAGE('20250815_ETF_Options_Exhibits'!X1708:X1712)),AVERAGE('20250815_ETF_Options_Exhibits'!X1708:X1712),"")</f>
        <v/>
      </c>
      <c r="Y1712" s="3">
        <f>IF(ISNUMBER(AVERAGE('20250815_ETF_Options_Exhibits'!Y1708:Y1712)),AVERAGE('20250815_ETF_Options_Exhibits'!Y1708:Y1712),"")</f>
        <v/>
      </c>
      <c r="Z1712" s="3">
        <f>IF(ISNUMBER(AVERAGE('20250815_ETF_Options_Exhibits'!Z1708:Z1712)),AVERAGE('20250815_ETF_Options_Exhibits'!Z1708:Z1712),"")</f>
        <v/>
      </c>
      <c r="AA1712" s="3">
        <f>IF(ISNUMBER(AVERAGE('20250815_ETF_Options_Exhibits'!AA1708:AA1712)),AVERAGE('20250815_ETF_Options_Exhibits'!AA1708:AA1712),"")</f>
        <v/>
      </c>
    </row>
    <row r="1713">
      <c r="A1713" s="1" t="n">
        <v>44487</v>
      </c>
      <c r="B1713" s="3">
        <f>IF(ISNUMBER(AVERAGE('20250815_ETF_Options_Exhibits'!B1709:B1713)),AVERAGE('20250815_ETF_Options_Exhibits'!B1709:B1713),"")</f>
        <v/>
      </c>
      <c r="C1713" s="3">
        <f>IF(ISNUMBER(AVERAGE('20250815_ETF_Options_Exhibits'!C1709:C1713)),AVERAGE('20250815_ETF_Options_Exhibits'!C1709:C1713),"")</f>
        <v/>
      </c>
      <c r="D1713" s="3">
        <f>IF(ISNUMBER(AVERAGE('20250815_ETF_Options_Exhibits'!D1709:D1713)),AVERAGE('20250815_ETF_Options_Exhibits'!D1709:D1713),"")</f>
        <v/>
      </c>
      <c r="E1713" s="3">
        <f>IF(ISNUMBER(AVERAGE('20250815_ETF_Options_Exhibits'!E1709:E1713)),AVERAGE('20250815_ETF_Options_Exhibits'!E1709:E1713),"")</f>
        <v/>
      </c>
      <c r="F1713" s="3">
        <f>IF(ISNUMBER(AVERAGE('20250815_ETF_Options_Exhibits'!F1709:F1713)),AVERAGE('20250815_ETF_Options_Exhibits'!F1709:F1713),"")</f>
        <v/>
      </c>
      <c r="G1713" s="3">
        <f>IF(ISNUMBER(AVERAGE('20250815_ETF_Options_Exhibits'!G1709:G1713)),AVERAGE('20250815_ETF_Options_Exhibits'!G1709:G1713),"")</f>
        <v/>
      </c>
      <c r="H1713" s="3">
        <f>IF(ISNUMBER(AVERAGE('20250815_ETF_Options_Exhibits'!H1709:H1713)),AVERAGE('20250815_ETF_Options_Exhibits'!H1709:H1713),"")</f>
        <v/>
      </c>
      <c r="I1713" s="3">
        <f>IF(ISNUMBER(AVERAGE('20250815_ETF_Options_Exhibits'!I1709:I1713)),AVERAGE('20250815_ETF_Options_Exhibits'!I1709:I1713),"")</f>
        <v/>
      </c>
      <c r="J1713" s="3">
        <f>IF(ISNUMBER(AVERAGE('20250815_ETF_Options_Exhibits'!J1709:J1713)),AVERAGE('20250815_ETF_Options_Exhibits'!J1709:J1713),"")</f>
        <v/>
      </c>
      <c r="K1713" s="3">
        <f>IF(ISNUMBER(AVERAGE('20250815_ETF_Options_Exhibits'!K1709:K1713)),AVERAGE('20250815_ETF_Options_Exhibits'!K1709:K1713),"")</f>
        <v/>
      </c>
      <c r="L1713" s="3">
        <f>IF(ISNUMBER(AVERAGE('20250815_ETF_Options_Exhibits'!L1709:L1713)),AVERAGE('20250815_ETF_Options_Exhibits'!L1709:L1713),"")</f>
        <v/>
      </c>
      <c r="M1713" s="3">
        <f>IF(ISNUMBER(AVERAGE('20250815_ETF_Options_Exhibits'!M1709:M1713)),AVERAGE('20250815_ETF_Options_Exhibits'!M1709:M1713),"")</f>
        <v/>
      </c>
      <c r="N1713" s="3">
        <f>IF(ISNUMBER(AVERAGE('20250815_ETF_Options_Exhibits'!N1709:N1713)),AVERAGE('20250815_ETF_Options_Exhibits'!N1709:N1713),"")</f>
        <v/>
      </c>
      <c r="O1713" s="3">
        <f>IF(ISNUMBER(AVERAGE('20250815_ETF_Options_Exhibits'!O1709:O1713)),AVERAGE('20250815_ETF_Options_Exhibits'!O1709:O1713),"")</f>
        <v/>
      </c>
      <c r="P1713" s="3">
        <f>IF(ISNUMBER(AVERAGE('20250815_ETF_Options_Exhibits'!P1709:P1713)),AVERAGE('20250815_ETF_Options_Exhibits'!P1709:P1713),"")</f>
        <v/>
      </c>
      <c r="Q1713" s="3">
        <f>IF(ISNUMBER(AVERAGE('20250815_ETF_Options_Exhibits'!Q1709:Q1713)),AVERAGE('20250815_ETF_Options_Exhibits'!Q1709:Q1713),"")</f>
        <v/>
      </c>
      <c r="R1713" s="3">
        <f>IF(ISNUMBER(AVERAGE('20250815_ETF_Options_Exhibits'!R1709:R1713)),AVERAGE('20250815_ETF_Options_Exhibits'!R1709:R1713),"")</f>
        <v/>
      </c>
      <c r="S1713" s="3">
        <f>IF(ISNUMBER(AVERAGE('20250815_ETF_Options_Exhibits'!S1709:S1713)),AVERAGE('20250815_ETF_Options_Exhibits'!S1709:S1713),"")</f>
        <v/>
      </c>
      <c r="T1713" s="3">
        <f>IF(ISNUMBER(AVERAGE('20250815_ETF_Options_Exhibits'!T1709:T1713)),AVERAGE('20250815_ETF_Options_Exhibits'!T1709:T1713),"")</f>
        <v/>
      </c>
      <c r="U1713" s="3">
        <f>IF(ISNUMBER(AVERAGE('20250815_ETF_Options_Exhibits'!U1709:U1713)),AVERAGE('20250815_ETF_Options_Exhibits'!U1709:U1713),"")</f>
        <v/>
      </c>
      <c r="V1713" s="3">
        <f>IF(ISNUMBER(AVERAGE('20250815_ETF_Options_Exhibits'!V1709:V1713)),AVERAGE('20250815_ETF_Options_Exhibits'!V1709:V1713),"")</f>
        <v/>
      </c>
      <c r="W1713" s="3">
        <f>IF(ISNUMBER(AVERAGE('20250815_ETF_Options_Exhibits'!W1709:W1713)),AVERAGE('20250815_ETF_Options_Exhibits'!W1709:W1713),"")</f>
        <v/>
      </c>
      <c r="X1713" s="3">
        <f>IF(ISNUMBER(AVERAGE('20250815_ETF_Options_Exhibits'!X1709:X1713)),AVERAGE('20250815_ETF_Options_Exhibits'!X1709:X1713),"")</f>
        <v/>
      </c>
      <c r="Y1713" s="3">
        <f>IF(ISNUMBER(AVERAGE('20250815_ETF_Options_Exhibits'!Y1709:Y1713)),AVERAGE('20250815_ETF_Options_Exhibits'!Y1709:Y1713),"")</f>
        <v/>
      </c>
      <c r="Z1713" s="3">
        <f>IF(ISNUMBER(AVERAGE('20250815_ETF_Options_Exhibits'!Z1709:Z1713)),AVERAGE('20250815_ETF_Options_Exhibits'!Z1709:Z1713),"")</f>
        <v/>
      </c>
      <c r="AA1713" s="3">
        <f>IF(ISNUMBER(AVERAGE('20250815_ETF_Options_Exhibits'!AA1709:AA1713)),AVERAGE('20250815_ETF_Options_Exhibits'!AA1709:AA1713),"")</f>
        <v/>
      </c>
    </row>
    <row r="1714">
      <c r="A1714" s="1" t="n">
        <v>44488</v>
      </c>
      <c r="B1714" s="3">
        <f>IF(ISNUMBER(AVERAGE('20250815_ETF_Options_Exhibits'!B1710:B1714)),AVERAGE('20250815_ETF_Options_Exhibits'!B1710:B1714),"")</f>
        <v/>
      </c>
      <c r="C1714" s="3">
        <f>IF(ISNUMBER(AVERAGE('20250815_ETF_Options_Exhibits'!C1710:C1714)),AVERAGE('20250815_ETF_Options_Exhibits'!C1710:C1714),"")</f>
        <v/>
      </c>
      <c r="D1714" s="3">
        <f>IF(ISNUMBER(AVERAGE('20250815_ETF_Options_Exhibits'!D1710:D1714)),AVERAGE('20250815_ETF_Options_Exhibits'!D1710:D1714),"")</f>
        <v/>
      </c>
      <c r="E1714" s="3">
        <f>IF(ISNUMBER(AVERAGE('20250815_ETF_Options_Exhibits'!E1710:E1714)),AVERAGE('20250815_ETF_Options_Exhibits'!E1710:E1714),"")</f>
        <v/>
      </c>
      <c r="F1714" s="3">
        <f>IF(ISNUMBER(AVERAGE('20250815_ETF_Options_Exhibits'!F1710:F1714)),AVERAGE('20250815_ETF_Options_Exhibits'!F1710:F1714),"")</f>
        <v/>
      </c>
      <c r="G1714" s="3">
        <f>IF(ISNUMBER(AVERAGE('20250815_ETF_Options_Exhibits'!G1710:G1714)),AVERAGE('20250815_ETF_Options_Exhibits'!G1710:G1714),"")</f>
        <v/>
      </c>
      <c r="H1714" s="3">
        <f>IF(ISNUMBER(AVERAGE('20250815_ETF_Options_Exhibits'!H1710:H1714)),AVERAGE('20250815_ETF_Options_Exhibits'!H1710:H1714),"")</f>
        <v/>
      </c>
      <c r="I1714" s="3">
        <f>IF(ISNUMBER(AVERAGE('20250815_ETF_Options_Exhibits'!I1710:I1714)),AVERAGE('20250815_ETF_Options_Exhibits'!I1710:I1714),"")</f>
        <v/>
      </c>
      <c r="J1714" s="3">
        <f>IF(ISNUMBER(AVERAGE('20250815_ETF_Options_Exhibits'!J1710:J1714)),AVERAGE('20250815_ETF_Options_Exhibits'!J1710:J1714),"")</f>
        <v/>
      </c>
      <c r="K1714" s="3">
        <f>IF(ISNUMBER(AVERAGE('20250815_ETF_Options_Exhibits'!K1710:K1714)),AVERAGE('20250815_ETF_Options_Exhibits'!K1710:K1714),"")</f>
        <v/>
      </c>
      <c r="L1714" s="3">
        <f>IF(ISNUMBER(AVERAGE('20250815_ETF_Options_Exhibits'!L1710:L1714)),AVERAGE('20250815_ETF_Options_Exhibits'!L1710:L1714),"")</f>
        <v/>
      </c>
      <c r="M1714" s="3">
        <f>IF(ISNUMBER(AVERAGE('20250815_ETF_Options_Exhibits'!M1710:M1714)),AVERAGE('20250815_ETF_Options_Exhibits'!M1710:M1714),"")</f>
        <v/>
      </c>
      <c r="N1714" s="3">
        <f>IF(ISNUMBER(AVERAGE('20250815_ETF_Options_Exhibits'!N1710:N1714)),AVERAGE('20250815_ETF_Options_Exhibits'!N1710:N1714),"")</f>
        <v/>
      </c>
      <c r="O1714" s="3">
        <f>IF(ISNUMBER(AVERAGE('20250815_ETF_Options_Exhibits'!O1710:O1714)),AVERAGE('20250815_ETF_Options_Exhibits'!O1710:O1714),"")</f>
        <v/>
      </c>
      <c r="P1714" s="3">
        <f>IF(ISNUMBER(AVERAGE('20250815_ETF_Options_Exhibits'!P1710:P1714)),AVERAGE('20250815_ETF_Options_Exhibits'!P1710:P1714),"")</f>
        <v/>
      </c>
      <c r="Q1714" s="3">
        <f>IF(ISNUMBER(AVERAGE('20250815_ETF_Options_Exhibits'!Q1710:Q1714)),AVERAGE('20250815_ETF_Options_Exhibits'!Q1710:Q1714),"")</f>
        <v/>
      </c>
      <c r="R1714" s="3">
        <f>IF(ISNUMBER(AVERAGE('20250815_ETF_Options_Exhibits'!R1710:R1714)),AVERAGE('20250815_ETF_Options_Exhibits'!R1710:R1714),"")</f>
        <v/>
      </c>
      <c r="S1714" s="3">
        <f>IF(ISNUMBER(AVERAGE('20250815_ETF_Options_Exhibits'!S1710:S1714)),AVERAGE('20250815_ETF_Options_Exhibits'!S1710:S1714),"")</f>
        <v/>
      </c>
      <c r="T1714" s="3">
        <f>IF(ISNUMBER(AVERAGE('20250815_ETF_Options_Exhibits'!T1710:T1714)),AVERAGE('20250815_ETF_Options_Exhibits'!T1710:T1714),"")</f>
        <v/>
      </c>
      <c r="U1714" s="3">
        <f>IF(ISNUMBER(AVERAGE('20250815_ETF_Options_Exhibits'!U1710:U1714)),AVERAGE('20250815_ETF_Options_Exhibits'!U1710:U1714),"")</f>
        <v/>
      </c>
      <c r="V1714" s="3">
        <f>IF(ISNUMBER(AVERAGE('20250815_ETF_Options_Exhibits'!V1710:V1714)),AVERAGE('20250815_ETF_Options_Exhibits'!V1710:V1714),"")</f>
        <v/>
      </c>
      <c r="W1714" s="3">
        <f>IF(ISNUMBER(AVERAGE('20250815_ETF_Options_Exhibits'!W1710:W1714)),AVERAGE('20250815_ETF_Options_Exhibits'!W1710:W1714),"")</f>
        <v/>
      </c>
      <c r="X1714" s="3">
        <f>IF(ISNUMBER(AVERAGE('20250815_ETF_Options_Exhibits'!X1710:X1714)),AVERAGE('20250815_ETF_Options_Exhibits'!X1710:X1714),"")</f>
        <v/>
      </c>
      <c r="Y1714" s="3">
        <f>IF(ISNUMBER(AVERAGE('20250815_ETF_Options_Exhibits'!Y1710:Y1714)),AVERAGE('20250815_ETF_Options_Exhibits'!Y1710:Y1714),"")</f>
        <v/>
      </c>
      <c r="Z1714" s="3">
        <f>IF(ISNUMBER(AVERAGE('20250815_ETF_Options_Exhibits'!Z1710:Z1714)),AVERAGE('20250815_ETF_Options_Exhibits'!Z1710:Z1714),"")</f>
        <v/>
      </c>
      <c r="AA1714" s="3">
        <f>IF(ISNUMBER(AVERAGE('20250815_ETF_Options_Exhibits'!AA1710:AA1714)),AVERAGE('20250815_ETF_Options_Exhibits'!AA1710:AA1714),"")</f>
        <v/>
      </c>
    </row>
    <row r="1715">
      <c r="A1715" s="1" t="n">
        <v>44489</v>
      </c>
      <c r="B1715" s="3">
        <f>IF(ISNUMBER(AVERAGE('20250815_ETF_Options_Exhibits'!B1711:B1715)),AVERAGE('20250815_ETF_Options_Exhibits'!B1711:B1715),"")</f>
        <v/>
      </c>
      <c r="C1715" s="3">
        <f>IF(ISNUMBER(AVERAGE('20250815_ETF_Options_Exhibits'!C1711:C1715)),AVERAGE('20250815_ETF_Options_Exhibits'!C1711:C1715),"")</f>
        <v/>
      </c>
      <c r="D1715" s="3">
        <f>IF(ISNUMBER(AVERAGE('20250815_ETF_Options_Exhibits'!D1711:D1715)),AVERAGE('20250815_ETF_Options_Exhibits'!D1711:D1715),"")</f>
        <v/>
      </c>
      <c r="E1715" s="3">
        <f>IF(ISNUMBER(AVERAGE('20250815_ETF_Options_Exhibits'!E1711:E1715)),AVERAGE('20250815_ETF_Options_Exhibits'!E1711:E1715),"")</f>
        <v/>
      </c>
      <c r="F1715" s="3">
        <f>IF(ISNUMBER(AVERAGE('20250815_ETF_Options_Exhibits'!F1711:F1715)),AVERAGE('20250815_ETF_Options_Exhibits'!F1711:F1715),"")</f>
        <v/>
      </c>
      <c r="G1715" s="3">
        <f>IF(ISNUMBER(AVERAGE('20250815_ETF_Options_Exhibits'!G1711:G1715)),AVERAGE('20250815_ETF_Options_Exhibits'!G1711:G1715),"")</f>
        <v/>
      </c>
      <c r="H1715" s="3">
        <f>IF(ISNUMBER(AVERAGE('20250815_ETF_Options_Exhibits'!H1711:H1715)),AVERAGE('20250815_ETF_Options_Exhibits'!H1711:H1715),"")</f>
        <v/>
      </c>
      <c r="I1715" s="3">
        <f>IF(ISNUMBER(AVERAGE('20250815_ETF_Options_Exhibits'!I1711:I1715)),AVERAGE('20250815_ETF_Options_Exhibits'!I1711:I1715),"")</f>
        <v/>
      </c>
      <c r="J1715" s="3">
        <f>IF(ISNUMBER(AVERAGE('20250815_ETF_Options_Exhibits'!J1711:J1715)),AVERAGE('20250815_ETF_Options_Exhibits'!J1711:J1715),"")</f>
        <v/>
      </c>
      <c r="K1715" s="3">
        <f>IF(ISNUMBER(AVERAGE('20250815_ETF_Options_Exhibits'!K1711:K1715)),AVERAGE('20250815_ETF_Options_Exhibits'!K1711:K1715),"")</f>
        <v/>
      </c>
      <c r="L1715" s="3">
        <f>IF(ISNUMBER(AVERAGE('20250815_ETF_Options_Exhibits'!L1711:L1715)),AVERAGE('20250815_ETF_Options_Exhibits'!L1711:L1715),"")</f>
        <v/>
      </c>
      <c r="M1715" s="3">
        <f>IF(ISNUMBER(AVERAGE('20250815_ETF_Options_Exhibits'!M1711:M1715)),AVERAGE('20250815_ETF_Options_Exhibits'!M1711:M1715),"")</f>
        <v/>
      </c>
      <c r="N1715" s="3">
        <f>IF(ISNUMBER(AVERAGE('20250815_ETF_Options_Exhibits'!N1711:N1715)),AVERAGE('20250815_ETF_Options_Exhibits'!N1711:N1715),"")</f>
        <v/>
      </c>
      <c r="O1715" s="3">
        <f>IF(ISNUMBER(AVERAGE('20250815_ETF_Options_Exhibits'!O1711:O1715)),AVERAGE('20250815_ETF_Options_Exhibits'!O1711:O1715),"")</f>
        <v/>
      </c>
      <c r="P1715" s="3">
        <f>IF(ISNUMBER(AVERAGE('20250815_ETF_Options_Exhibits'!P1711:P1715)),AVERAGE('20250815_ETF_Options_Exhibits'!P1711:P1715),"")</f>
        <v/>
      </c>
      <c r="Q1715" s="3">
        <f>IF(ISNUMBER(AVERAGE('20250815_ETF_Options_Exhibits'!Q1711:Q1715)),AVERAGE('20250815_ETF_Options_Exhibits'!Q1711:Q1715),"")</f>
        <v/>
      </c>
      <c r="R1715" s="3">
        <f>IF(ISNUMBER(AVERAGE('20250815_ETF_Options_Exhibits'!R1711:R1715)),AVERAGE('20250815_ETF_Options_Exhibits'!R1711:R1715),"")</f>
        <v/>
      </c>
      <c r="S1715" s="3">
        <f>IF(ISNUMBER(AVERAGE('20250815_ETF_Options_Exhibits'!S1711:S1715)),AVERAGE('20250815_ETF_Options_Exhibits'!S1711:S1715),"")</f>
        <v/>
      </c>
      <c r="T1715" s="3">
        <f>IF(ISNUMBER(AVERAGE('20250815_ETF_Options_Exhibits'!T1711:T1715)),AVERAGE('20250815_ETF_Options_Exhibits'!T1711:T1715),"")</f>
        <v/>
      </c>
      <c r="U1715" s="3">
        <f>IF(ISNUMBER(AVERAGE('20250815_ETF_Options_Exhibits'!U1711:U1715)),AVERAGE('20250815_ETF_Options_Exhibits'!U1711:U1715),"")</f>
        <v/>
      </c>
      <c r="V1715" s="3">
        <f>IF(ISNUMBER(AVERAGE('20250815_ETF_Options_Exhibits'!V1711:V1715)),AVERAGE('20250815_ETF_Options_Exhibits'!V1711:V1715),"")</f>
        <v/>
      </c>
      <c r="W1715" s="3">
        <f>IF(ISNUMBER(AVERAGE('20250815_ETF_Options_Exhibits'!W1711:W1715)),AVERAGE('20250815_ETF_Options_Exhibits'!W1711:W1715),"")</f>
        <v/>
      </c>
      <c r="X1715" s="3">
        <f>IF(ISNUMBER(AVERAGE('20250815_ETF_Options_Exhibits'!X1711:X1715)),AVERAGE('20250815_ETF_Options_Exhibits'!X1711:X1715),"")</f>
        <v/>
      </c>
      <c r="Y1715" s="3">
        <f>IF(ISNUMBER(AVERAGE('20250815_ETF_Options_Exhibits'!Y1711:Y1715)),AVERAGE('20250815_ETF_Options_Exhibits'!Y1711:Y1715),"")</f>
        <v/>
      </c>
      <c r="Z1715" s="3">
        <f>IF(ISNUMBER(AVERAGE('20250815_ETF_Options_Exhibits'!Z1711:Z1715)),AVERAGE('20250815_ETF_Options_Exhibits'!Z1711:Z1715),"")</f>
        <v/>
      </c>
      <c r="AA1715" s="3">
        <f>IF(ISNUMBER(AVERAGE('20250815_ETF_Options_Exhibits'!AA1711:AA1715)),AVERAGE('20250815_ETF_Options_Exhibits'!AA1711:AA1715),"")</f>
        <v/>
      </c>
    </row>
    <row r="1716">
      <c r="A1716" s="1" t="n">
        <v>44490</v>
      </c>
      <c r="B1716" s="3">
        <f>IF(ISNUMBER(AVERAGE('20250815_ETF_Options_Exhibits'!B1712:B1716)),AVERAGE('20250815_ETF_Options_Exhibits'!B1712:B1716),"")</f>
        <v/>
      </c>
      <c r="C1716" s="3">
        <f>IF(ISNUMBER(AVERAGE('20250815_ETF_Options_Exhibits'!C1712:C1716)),AVERAGE('20250815_ETF_Options_Exhibits'!C1712:C1716),"")</f>
        <v/>
      </c>
      <c r="D1716" s="3">
        <f>IF(ISNUMBER(AVERAGE('20250815_ETF_Options_Exhibits'!D1712:D1716)),AVERAGE('20250815_ETF_Options_Exhibits'!D1712:D1716),"")</f>
        <v/>
      </c>
      <c r="E1716" s="3">
        <f>IF(ISNUMBER(AVERAGE('20250815_ETF_Options_Exhibits'!E1712:E1716)),AVERAGE('20250815_ETF_Options_Exhibits'!E1712:E1716),"")</f>
        <v/>
      </c>
      <c r="F1716" s="3">
        <f>IF(ISNUMBER(AVERAGE('20250815_ETF_Options_Exhibits'!F1712:F1716)),AVERAGE('20250815_ETF_Options_Exhibits'!F1712:F1716),"")</f>
        <v/>
      </c>
      <c r="G1716" s="3">
        <f>IF(ISNUMBER(AVERAGE('20250815_ETF_Options_Exhibits'!G1712:G1716)),AVERAGE('20250815_ETF_Options_Exhibits'!G1712:G1716),"")</f>
        <v/>
      </c>
      <c r="H1716" s="3">
        <f>IF(ISNUMBER(AVERAGE('20250815_ETF_Options_Exhibits'!H1712:H1716)),AVERAGE('20250815_ETF_Options_Exhibits'!H1712:H1716),"")</f>
        <v/>
      </c>
      <c r="I1716" s="3">
        <f>IF(ISNUMBER(AVERAGE('20250815_ETF_Options_Exhibits'!I1712:I1716)),AVERAGE('20250815_ETF_Options_Exhibits'!I1712:I1716),"")</f>
        <v/>
      </c>
      <c r="J1716" s="3">
        <f>IF(ISNUMBER(AVERAGE('20250815_ETF_Options_Exhibits'!J1712:J1716)),AVERAGE('20250815_ETF_Options_Exhibits'!J1712:J1716),"")</f>
        <v/>
      </c>
      <c r="K1716" s="3">
        <f>IF(ISNUMBER(AVERAGE('20250815_ETF_Options_Exhibits'!K1712:K1716)),AVERAGE('20250815_ETF_Options_Exhibits'!K1712:K1716),"")</f>
        <v/>
      </c>
      <c r="L1716" s="3">
        <f>IF(ISNUMBER(AVERAGE('20250815_ETF_Options_Exhibits'!L1712:L1716)),AVERAGE('20250815_ETF_Options_Exhibits'!L1712:L1716),"")</f>
        <v/>
      </c>
      <c r="M1716" s="3">
        <f>IF(ISNUMBER(AVERAGE('20250815_ETF_Options_Exhibits'!M1712:M1716)),AVERAGE('20250815_ETF_Options_Exhibits'!M1712:M1716),"")</f>
        <v/>
      </c>
      <c r="N1716" s="3">
        <f>IF(ISNUMBER(AVERAGE('20250815_ETF_Options_Exhibits'!N1712:N1716)),AVERAGE('20250815_ETF_Options_Exhibits'!N1712:N1716),"")</f>
        <v/>
      </c>
      <c r="O1716" s="3">
        <f>IF(ISNUMBER(AVERAGE('20250815_ETF_Options_Exhibits'!O1712:O1716)),AVERAGE('20250815_ETF_Options_Exhibits'!O1712:O1716),"")</f>
        <v/>
      </c>
      <c r="P1716" s="3">
        <f>IF(ISNUMBER(AVERAGE('20250815_ETF_Options_Exhibits'!P1712:P1716)),AVERAGE('20250815_ETF_Options_Exhibits'!P1712:P1716),"")</f>
        <v/>
      </c>
      <c r="Q1716" s="3">
        <f>IF(ISNUMBER(AVERAGE('20250815_ETF_Options_Exhibits'!Q1712:Q1716)),AVERAGE('20250815_ETF_Options_Exhibits'!Q1712:Q1716),"")</f>
        <v/>
      </c>
      <c r="R1716" s="3">
        <f>IF(ISNUMBER(AVERAGE('20250815_ETF_Options_Exhibits'!R1712:R1716)),AVERAGE('20250815_ETF_Options_Exhibits'!R1712:R1716),"")</f>
        <v/>
      </c>
      <c r="S1716" s="3">
        <f>IF(ISNUMBER(AVERAGE('20250815_ETF_Options_Exhibits'!S1712:S1716)),AVERAGE('20250815_ETF_Options_Exhibits'!S1712:S1716),"")</f>
        <v/>
      </c>
      <c r="T1716" s="3">
        <f>IF(ISNUMBER(AVERAGE('20250815_ETF_Options_Exhibits'!T1712:T1716)),AVERAGE('20250815_ETF_Options_Exhibits'!T1712:T1716),"")</f>
        <v/>
      </c>
      <c r="U1716" s="3">
        <f>IF(ISNUMBER(AVERAGE('20250815_ETF_Options_Exhibits'!U1712:U1716)),AVERAGE('20250815_ETF_Options_Exhibits'!U1712:U1716),"")</f>
        <v/>
      </c>
      <c r="V1716" s="3">
        <f>IF(ISNUMBER(AVERAGE('20250815_ETF_Options_Exhibits'!V1712:V1716)),AVERAGE('20250815_ETF_Options_Exhibits'!V1712:V1716),"")</f>
        <v/>
      </c>
      <c r="W1716" s="3">
        <f>IF(ISNUMBER(AVERAGE('20250815_ETF_Options_Exhibits'!W1712:W1716)),AVERAGE('20250815_ETF_Options_Exhibits'!W1712:W1716),"")</f>
        <v/>
      </c>
      <c r="X1716" s="3">
        <f>IF(ISNUMBER(AVERAGE('20250815_ETF_Options_Exhibits'!X1712:X1716)),AVERAGE('20250815_ETF_Options_Exhibits'!X1712:X1716),"")</f>
        <v/>
      </c>
      <c r="Y1716" s="3">
        <f>IF(ISNUMBER(AVERAGE('20250815_ETF_Options_Exhibits'!Y1712:Y1716)),AVERAGE('20250815_ETF_Options_Exhibits'!Y1712:Y1716),"")</f>
        <v/>
      </c>
      <c r="Z1716" s="3">
        <f>IF(ISNUMBER(AVERAGE('20250815_ETF_Options_Exhibits'!Z1712:Z1716)),AVERAGE('20250815_ETF_Options_Exhibits'!Z1712:Z1716),"")</f>
        <v/>
      </c>
      <c r="AA1716" s="3">
        <f>IF(ISNUMBER(AVERAGE('20250815_ETF_Options_Exhibits'!AA1712:AA1716)),AVERAGE('20250815_ETF_Options_Exhibits'!AA1712:AA1716),"")</f>
        <v/>
      </c>
    </row>
    <row r="1717">
      <c r="A1717" s="1" t="n">
        <v>44491</v>
      </c>
      <c r="B1717" s="3">
        <f>IF(ISNUMBER(AVERAGE('20250815_ETF_Options_Exhibits'!B1713:B1717)),AVERAGE('20250815_ETF_Options_Exhibits'!B1713:B1717),"")</f>
        <v/>
      </c>
      <c r="C1717" s="3">
        <f>IF(ISNUMBER(AVERAGE('20250815_ETF_Options_Exhibits'!C1713:C1717)),AVERAGE('20250815_ETF_Options_Exhibits'!C1713:C1717),"")</f>
        <v/>
      </c>
      <c r="D1717" s="3">
        <f>IF(ISNUMBER(AVERAGE('20250815_ETF_Options_Exhibits'!D1713:D1717)),AVERAGE('20250815_ETF_Options_Exhibits'!D1713:D1717),"")</f>
        <v/>
      </c>
      <c r="E1717" s="3">
        <f>IF(ISNUMBER(AVERAGE('20250815_ETF_Options_Exhibits'!E1713:E1717)),AVERAGE('20250815_ETF_Options_Exhibits'!E1713:E1717),"")</f>
        <v/>
      </c>
      <c r="F1717" s="3">
        <f>IF(ISNUMBER(AVERAGE('20250815_ETF_Options_Exhibits'!F1713:F1717)),AVERAGE('20250815_ETF_Options_Exhibits'!F1713:F1717),"")</f>
        <v/>
      </c>
      <c r="G1717" s="3">
        <f>IF(ISNUMBER(AVERAGE('20250815_ETF_Options_Exhibits'!G1713:G1717)),AVERAGE('20250815_ETF_Options_Exhibits'!G1713:G1717),"")</f>
        <v/>
      </c>
      <c r="H1717" s="3">
        <f>IF(ISNUMBER(AVERAGE('20250815_ETF_Options_Exhibits'!H1713:H1717)),AVERAGE('20250815_ETF_Options_Exhibits'!H1713:H1717),"")</f>
        <v/>
      </c>
      <c r="I1717" s="3">
        <f>IF(ISNUMBER(AVERAGE('20250815_ETF_Options_Exhibits'!I1713:I1717)),AVERAGE('20250815_ETF_Options_Exhibits'!I1713:I1717),"")</f>
        <v/>
      </c>
      <c r="J1717" s="3">
        <f>IF(ISNUMBER(AVERAGE('20250815_ETF_Options_Exhibits'!J1713:J1717)),AVERAGE('20250815_ETF_Options_Exhibits'!J1713:J1717),"")</f>
        <v/>
      </c>
      <c r="K1717" s="3">
        <f>IF(ISNUMBER(AVERAGE('20250815_ETF_Options_Exhibits'!K1713:K1717)),AVERAGE('20250815_ETF_Options_Exhibits'!K1713:K1717),"")</f>
        <v/>
      </c>
      <c r="L1717" s="3">
        <f>IF(ISNUMBER(AVERAGE('20250815_ETF_Options_Exhibits'!L1713:L1717)),AVERAGE('20250815_ETF_Options_Exhibits'!L1713:L1717),"")</f>
        <v/>
      </c>
      <c r="M1717" s="3">
        <f>IF(ISNUMBER(AVERAGE('20250815_ETF_Options_Exhibits'!M1713:M1717)),AVERAGE('20250815_ETF_Options_Exhibits'!M1713:M1717),"")</f>
        <v/>
      </c>
      <c r="N1717" s="3">
        <f>IF(ISNUMBER(AVERAGE('20250815_ETF_Options_Exhibits'!N1713:N1717)),AVERAGE('20250815_ETF_Options_Exhibits'!N1713:N1717),"")</f>
        <v/>
      </c>
      <c r="O1717" s="3">
        <f>IF(ISNUMBER(AVERAGE('20250815_ETF_Options_Exhibits'!O1713:O1717)),AVERAGE('20250815_ETF_Options_Exhibits'!O1713:O1717),"")</f>
        <v/>
      </c>
      <c r="P1717" s="3">
        <f>IF(ISNUMBER(AVERAGE('20250815_ETF_Options_Exhibits'!P1713:P1717)),AVERAGE('20250815_ETF_Options_Exhibits'!P1713:P1717),"")</f>
        <v/>
      </c>
      <c r="Q1717" s="3">
        <f>IF(ISNUMBER(AVERAGE('20250815_ETF_Options_Exhibits'!Q1713:Q1717)),AVERAGE('20250815_ETF_Options_Exhibits'!Q1713:Q1717),"")</f>
        <v/>
      </c>
      <c r="R1717" s="3">
        <f>IF(ISNUMBER(AVERAGE('20250815_ETF_Options_Exhibits'!R1713:R1717)),AVERAGE('20250815_ETF_Options_Exhibits'!R1713:R1717),"")</f>
        <v/>
      </c>
      <c r="S1717" s="3">
        <f>IF(ISNUMBER(AVERAGE('20250815_ETF_Options_Exhibits'!S1713:S1717)),AVERAGE('20250815_ETF_Options_Exhibits'!S1713:S1717),"")</f>
        <v/>
      </c>
      <c r="T1717" s="3">
        <f>IF(ISNUMBER(AVERAGE('20250815_ETF_Options_Exhibits'!T1713:T1717)),AVERAGE('20250815_ETF_Options_Exhibits'!T1713:T1717),"")</f>
        <v/>
      </c>
      <c r="U1717" s="3">
        <f>IF(ISNUMBER(AVERAGE('20250815_ETF_Options_Exhibits'!U1713:U1717)),AVERAGE('20250815_ETF_Options_Exhibits'!U1713:U1717),"")</f>
        <v/>
      </c>
      <c r="V1717" s="3">
        <f>IF(ISNUMBER(AVERAGE('20250815_ETF_Options_Exhibits'!V1713:V1717)),AVERAGE('20250815_ETF_Options_Exhibits'!V1713:V1717),"")</f>
        <v/>
      </c>
      <c r="W1717" s="3">
        <f>IF(ISNUMBER(AVERAGE('20250815_ETF_Options_Exhibits'!W1713:W1717)),AVERAGE('20250815_ETF_Options_Exhibits'!W1713:W1717),"")</f>
        <v/>
      </c>
      <c r="X1717" s="3">
        <f>IF(ISNUMBER(AVERAGE('20250815_ETF_Options_Exhibits'!X1713:X1717)),AVERAGE('20250815_ETF_Options_Exhibits'!X1713:X1717),"")</f>
        <v/>
      </c>
      <c r="Y1717" s="3">
        <f>IF(ISNUMBER(AVERAGE('20250815_ETF_Options_Exhibits'!Y1713:Y1717)),AVERAGE('20250815_ETF_Options_Exhibits'!Y1713:Y1717),"")</f>
        <v/>
      </c>
      <c r="Z1717" s="3">
        <f>IF(ISNUMBER(AVERAGE('20250815_ETF_Options_Exhibits'!Z1713:Z1717)),AVERAGE('20250815_ETF_Options_Exhibits'!Z1713:Z1717),"")</f>
        <v/>
      </c>
      <c r="AA1717" s="3">
        <f>IF(ISNUMBER(AVERAGE('20250815_ETF_Options_Exhibits'!AA1713:AA1717)),AVERAGE('20250815_ETF_Options_Exhibits'!AA1713:AA1717),"")</f>
        <v/>
      </c>
    </row>
    <row r="1718">
      <c r="A1718" s="1" t="n">
        <v>44494</v>
      </c>
      <c r="B1718" s="3">
        <f>IF(ISNUMBER(AVERAGE('20250815_ETF_Options_Exhibits'!B1714:B1718)),AVERAGE('20250815_ETF_Options_Exhibits'!B1714:B1718),"")</f>
        <v/>
      </c>
      <c r="C1718" s="3">
        <f>IF(ISNUMBER(AVERAGE('20250815_ETF_Options_Exhibits'!C1714:C1718)),AVERAGE('20250815_ETF_Options_Exhibits'!C1714:C1718),"")</f>
        <v/>
      </c>
      <c r="D1718" s="3">
        <f>IF(ISNUMBER(AVERAGE('20250815_ETF_Options_Exhibits'!D1714:D1718)),AVERAGE('20250815_ETF_Options_Exhibits'!D1714:D1718),"")</f>
        <v/>
      </c>
      <c r="E1718" s="3">
        <f>IF(ISNUMBER(AVERAGE('20250815_ETF_Options_Exhibits'!E1714:E1718)),AVERAGE('20250815_ETF_Options_Exhibits'!E1714:E1718),"")</f>
        <v/>
      </c>
      <c r="F1718" s="3">
        <f>IF(ISNUMBER(AVERAGE('20250815_ETF_Options_Exhibits'!F1714:F1718)),AVERAGE('20250815_ETF_Options_Exhibits'!F1714:F1718),"")</f>
        <v/>
      </c>
      <c r="G1718" s="3">
        <f>IF(ISNUMBER(AVERAGE('20250815_ETF_Options_Exhibits'!G1714:G1718)),AVERAGE('20250815_ETF_Options_Exhibits'!G1714:G1718),"")</f>
        <v/>
      </c>
      <c r="H1718" s="3">
        <f>IF(ISNUMBER(AVERAGE('20250815_ETF_Options_Exhibits'!H1714:H1718)),AVERAGE('20250815_ETF_Options_Exhibits'!H1714:H1718),"")</f>
        <v/>
      </c>
      <c r="I1718" s="3">
        <f>IF(ISNUMBER(AVERAGE('20250815_ETF_Options_Exhibits'!I1714:I1718)),AVERAGE('20250815_ETF_Options_Exhibits'!I1714:I1718),"")</f>
        <v/>
      </c>
      <c r="J1718" s="3">
        <f>IF(ISNUMBER(AVERAGE('20250815_ETF_Options_Exhibits'!J1714:J1718)),AVERAGE('20250815_ETF_Options_Exhibits'!J1714:J1718),"")</f>
        <v/>
      </c>
      <c r="K1718" s="3">
        <f>IF(ISNUMBER(AVERAGE('20250815_ETF_Options_Exhibits'!K1714:K1718)),AVERAGE('20250815_ETF_Options_Exhibits'!K1714:K1718),"")</f>
        <v/>
      </c>
      <c r="L1718" s="3">
        <f>IF(ISNUMBER(AVERAGE('20250815_ETF_Options_Exhibits'!L1714:L1718)),AVERAGE('20250815_ETF_Options_Exhibits'!L1714:L1718),"")</f>
        <v/>
      </c>
      <c r="M1718" s="3">
        <f>IF(ISNUMBER(AVERAGE('20250815_ETF_Options_Exhibits'!M1714:M1718)),AVERAGE('20250815_ETF_Options_Exhibits'!M1714:M1718),"")</f>
        <v/>
      </c>
      <c r="N1718" s="3">
        <f>IF(ISNUMBER(AVERAGE('20250815_ETF_Options_Exhibits'!N1714:N1718)),AVERAGE('20250815_ETF_Options_Exhibits'!N1714:N1718),"")</f>
        <v/>
      </c>
      <c r="O1718" s="3">
        <f>IF(ISNUMBER(AVERAGE('20250815_ETF_Options_Exhibits'!O1714:O1718)),AVERAGE('20250815_ETF_Options_Exhibits'!O1714:O1718),"")</f>
        <v/>
      </c>
      <c r="P1718" s="3">
        <f>IF(ISNUMBER(AVERAGE('20250815_ETF_Options_Exhibits'!P1714:P1718)),AVERAGE('20250815_ETF_Options_Exhibits'!P1714:P1718),"")</f>
        <v/>
      </c>
      <c r="Q1718" s="3">
        <f>IF(ISNUMBER(AVERAGE('20250815_ETF_Options_Exhibits'!Q1714:Q1718)),AVERAGE('20250815_ETF_Options_Exhibits'!Q1714:Q1718),"")</f>
        <v/>
      </c>
      <c r="R1718" s="3">
        <f>IF(ISNUMBER(AVERAGE('20250815_ETF_Options_Exhibits'!R1714:R1718)),AVERAGE('20250815_ETF_Options_Exhibits'!R1714:R1718),"")</f>
        <v/>
      </c>
      <c r="S1718" s="3">
        <f>IF(ISNUMBER(AVERAGE('20250815_ETF_Options_Exhibits'!S1714:S1718)),AVERAGE('20250815_ETF_Options_Exhibits'!S1714:S1718),"")</f>
        <v/>
      </c>
      <c r="T1718" s="3">
        <f>IF(ISNUMBER(AVERAGE('20250815_ETF_Options_Exhibits'!T1714:T1718)),AVERAGE('20250815_ETF_Options_Exhibits'!T1714:T1718),"")</f>
        <v/>
      </c>
      <c r="U1718" s="3">
        <f>IF(ISNUMBER(AVERAGE('20250815_ETF_Options_Exhibits'!U1714:U1718)),AVERAGE('20250815_ETF_Options_Exhibits'!U1714:U1718),"")</f>
        <v/>
      </c>
      <c r="V1718" s="3">
        <f>IF(ISNUMBER(AVERAGE('20250815_ETF_Options_Exhibits'!V1714:V1718)),AVERAGE('20250815_ETF_Options_Exhibits'!V1714:V1718),"")</f>
        <v/>
      </c>
      <c r="W1718" s="3">
        <f>IF(ISNUMBER(AVERAGE('20250815_ETF_Options_Exhibits'!W1714:W1718)),AVERAGE('20250815_ETF_Options_Exhibits'!W1714:W1718),"")</f>
        <v/>
      </c>
      <c r="X1718" s="3">
        <f>IF(ISNUMBER(AVERAGE('20250815_ETF_Options_Exhibits'!X1714:X1718)),AVERAGE('20250815_ETF_Options_Exhibits'!X1714:X1718),"")</f>
        <v/>
      </c>
      <c r="Y1718" s="3">
        <f>IF(ISNUMBER(AVERAGE('20250815_ETF_Options_Exhibits'!Y1714:Y1718)),AVERAGE('20250815_ETF_Options_Exhibits'!Y1714:Y1718),"")</f>
        <v/>
      </c>
      <c r="Z1718" s="3">
        <f>IF(ISNUMBER(AVERAGE('20250815_ETF_Options_Exhibits'!Z1714:Z1718)),AVERAGE('20250815_ETF_Options_Exhibits'!Z1714:Z1718),"")</f>
        <v/>
      </c>
      <c r="AA1718" s="3">
        <f>IF(ISNUMBER(AVERAGE('20250815_ETF_Options_Exhibits'!AA1714:AA1718)),AVERAGE('20250815_ETF_Options_Exhibits'!AA1714:AA1718),"")</f>
        <v/>
      </c>
    </row>
    <row r="1719">
      <c r="A1719" s="1" t="n">
        <v>44495</v>
      </c>
      <c r="B1719" s="3">
        <f>IF(ISNUMBER(AVERAGE('20250815_ETF_Options_Exhibits'!B1715:B1719)),AVERAGE('20250815_ETF_Options_Exhibits'!B1715:B1719),"")</f>
        <v/>
      </c>
      <c r="C1719" s="3">
        <f>IF(ISNUMBER(AVERAGE('20250815_ETF_Options_Exhibits'!C1715:C1719)),AVERAGE('20250815_ETF_Options_Exhibits'!C1715:C1719),"")</f>
        <v/>
      </c>
      <c r="D1719" s="3">
        <f>IF(ISNUMBER(AVERAGE('20250815_ETF_Options_Exhibits'!D1715:D1719)),AVERAGE('20250815_ETF_Options_Exhibits'!D1715:D1719),"")</f>
        <v/>
      </c>
      <c r="E1719" s="3">
        <f>IF(ISNUMBER(AVERAGE('20250815_ETF_Options_Exhibits'!E1715:E1719)),AVERAGE('20250815_ETF_Options_Exhibits'!E1715:E1719),"")</f>
        <v/>
      </c>
      <c r="F1719" s="3">
        <f>IF(ISNUMBER(AVERAGE('20250815_ETF_Options_Exhibits'!F1715:F1719)),AVERAGE('20250815_ETF_Options_Exhibits'!F1715:F1719),"")</f>
        <v/>
      </c>
      <c r="G1719" s="3">
        <f>IF(ISNUMBER(AVERAGE('20250815_ETF_Options_Exhibits'!G1715:G1719)),AVERAGE('20250815_ETF_Options_Exhibits'!G1715:G1719),"")</f>
        <v/>
      </c>
      <c r="H1719" s="3">
        <f>IF(ISNUMBER(AVERAGE('20250815_ETF_Options_Exhibits'!H1715:H1719)),AVERAGE('20250815_ETF_Options_Exhibits'!H1715:H1719),"")</f>
        <v/>
      </c>
      <c r="I1719" s="3">
        <f>IF(ISNUMBER(AVERAGE('20250815_ETF_Options_Exhibits'!I1715:I1719)),AVERAGE('20250815_ETF_Options_Exhibits'!I1715:I1719),"")</f>
        <v/>
      </c>
      <c r="J1719" s="3">
        <f>IF(ISNUMBER(AVERAGE('20250815_ETF_Options_Exhibits'!J1715:J1719)),AVERAGE('20250815_ETF_Options_Exhibits'!J1715:J1719),"")</f>
        <v/>
      </c>
      <c r="K1719" s="3">
        <f>IF(ISNUMBER(AVERAGE('20250815_ETF_Options_Exhibits'!K1715:K1719)),AVERAGE('20250815_ETF_Options_Exhibits'!K1715:K1719),"")</f>
        <v/>
      </c>
      <c r="L1719" s="3">
        <f>IF(ISNUMBER(AVERAGE('20250815_ETF_Options_Exhibits'!L1715:L1719)),AVERAGE('20250815_ETF_Options_Exhibits'!L1715:L1719),"")</f>
        <v/>
      </c>
      <c r="M1719" s="3">
        <f>IF(ISNUMBER(AVERAGE('20250815_ETF_Options_Exhibits'!M1715:M1719)),AVERAGE('20250815_ETF_Options_Exhibits'!M1715:M1719),"")</f>
        <v/>
      </c>
      <c r="N1719" s="3">
        <f>IF(ISNUMBER(AVERAGE('20250815_ETF_Options_Exhibits'!N1715:N1719)),AVERAGE('20250815_ETF_Options_Exhibits'!N1715:N1719),"")</f>
        <v/>
      </c>
      <c r="O1719" s="3">
        <f>IF(ISNUMBER(AVERAGE('20250815_ETF_Options_Exhibits'!O1715:O1719)),AVERAGE('20250815_ETF_Options_Exhibits'!O1715:O1719),"")</f>
        <v/>
      </c>
      <c r="P1719" s="3">
        <f>IF(ISNUMBER(AVERAGE('20250815_ETF_Options_Exhibits'!P1715:P1719)),AVERAGE('20250815_ETF_Options_Exhibits'!P1715:P1719),"")</f>
        <v/>
      </c>
      <c r="Q1719" s="3">
        <f>IF(ISNUMBER(AVERAGE('20250815_ETF_Options_Exhibits'!Q1715:Q1719)),AVERAGE('20250815_ETF_Options_Exhibits'!Q1715:Q1719),"")</f>
        <v/>
      </c>
      <c r="R1719" s="3">
        <f>IF(ISNUMBER(AVERAGE('20250815_ETF_Options_Exhibits'!R1715:R1719)),AVERAGE('20250815_ETF_Options_Exhibits'!R1715:R1719),"")</f>
        <v/>
      </c>
      <c r="S1719" s="3">
        <f>IF(ISNUMBER(AVERAGE('20250815_ETF_Options_Exhibits'!S1715:S1719)),AVERAGE('20250815_ETF_Options_Exhibits'!S1715:S1719),"")</f>
        <v/>
      </c>
      <c r="T1719" s="3">
        <f>IF(ISNUMBER(AVERAGE('20250815_ETF_Options_Exhibits'!T1715:T1719)),AVERAGE('20250815_ETF_Options_Exhibits'!T1715:T1719),"")</f>
        <v/>
      </c>
      <c r="U1719" s="3">
        <f>IF(ISNUMBER(AVERAGE('20250815_ETF_Options_Exhibits'!U1715:U1719)),AVERAGE('20250815_ETF_Options_Exhibits'!U1715:U1719),"")</f>
        <v/>
      </c>
      <c r="V1719" s="3">
        <f>IF(ISNUMBER(AVERAGE('20250815_ETF_Options_Exhibits'!V1715:V1719)),AVERAGE('20250815_ETF_Options_Exhibits'!V1715:V1719),"")</f>
        <v/>
      </c>
      <c r="W1719" s="3">
        <f>IF(ISNUMBER(AVERAGE('20250815_ETF_Options_Exhibits'!W1715:W1719)),AVERAGE('20250815_ETF_Options_Exhibits'!W1715:W1719),"")</f>
        <v/>
      </c>
      <c r="X1719" s="3">
        <f>IF(ISNUMBER(AVERAGE('20250815_ETF_Options_Exhibits'!X1715:X1719)),AVERAGE('20250815_ETF_Options_Exhibits'!X1715:X1719),"")</f>
        <v/>
      </c>
      <c r="Y1719" s="3">
        <f>IF(ISNUMBER(AVERAGE('20250815_ETF_Options_Exhibits'!Y1715:Y1719)),AVERAGE('20250815_ETF_Options_Exhibits'!Y1715:Y1719),"")</f>
        <v/>
      </c>
      <c r="Z1719" s="3">
        <f>IF(ISNUMBER(AVERAGE('20250815_ETF_Options_Exhibits'!Z1715:Z1719)),AVERAGE('20250815_ETF_Options_Exhibits'!Z1715:Z1719),"")</f>
        <v/>
      </c>
      <c r="AA1719" s="3">
        <f>IF(ISNUMBER(AVERAGE('20250815_ETF_Options_Exhibits'!AA1715:AA1719)),AVERAGE('20250815_ETF_Options_Exhibits'!AA1715:AA1719),"")</f>
        <v/>
      </c>
    </row>
    <row r="1720">
      <c r="A1720" s="1" t="n">
        <v>44496</v>
      </c>
      <c r="B1720" s="3">
        <f>IF(ISNUMBER(AVERAGE('20250815_ETF_Options_Exhibits'!B1716:B1720)),AVERAGE('20250815_ETF_Options_Exhibits'!B1716:B1720),"")</f>
        <v/>
      </c>
      <c r="C1720" s="3">
        <f>IF(ISNUMBER(AVERAGE('20250815_ETF_Options_Exhibits'!C1716:C1720)),AVERAGE('20250815_ETF_Options_Exhibits'!C1716:C1720),"")</f>
        <v/>
      </c>
      <c r="D1720" s="3">
        <f>IF(ISNUMBER(AVERAGE('20250815_ETF_Options_Exhibits'!D1716:D1720)),AVERAGE('20250815_ETF_Options_Exhibits'!D1716:D1720),"")</f>
        <v/>
      </c>
      <c r="E1720" s="3">
        <f>IF(ISNUMBER(AVERAGE('20250815_ETF_Options_Exhibits'!E1716:E1720)),AVERAGE('20250815_ETF_Options_Exhibits'!E1716:E1720),"")</f>
        <v/>
      </c>
      <c r="F1720" s="3">
        <f>IF(ISNUMBER(AVERAGE('20250815_ETF_Options_Exhibits'!F1716:F1720)),AVERAGE('20250815_ETF_Options_Exhibits'!F1716:F1720),"")</f>
        <v/>
      </c>
      <c r="G1720" s="3">
        <f>IF(ISNUMBER(AVERAGE('20250815_ETF_Options_Exhibits'!G1716:G1720)),AVERAGE('20250815_ETF_Options_Exhibits'!G1716:G1720),"")</f>
        <v/>
      </c>
      <c r="H1720" s="3">
        <f>IF(ISNUMBER(AVERAGE('20250815_ETF_Options_Exhibits'!H1716:H1720)),AVERAGE('20250815_ETF_Options_Exhibits'!H1716:H1720),"")</f>
        <v/>
      </c>
      <c r="I1720" s="3">
        <f>IF(ISNUMBER(AVERAGE('20250815_ETF_Options_Exhibits'!I1716:I1720)),AVERAGE('20250815_ETF_Options_Exhibits'!I1716:I1720),"")</f>
        <v/>
      </c>
      <c r="J1720" s="3">
        <f>IF(ISNUMBER(AVERAGE('20250815_ETF_Options_Exhibits'!J1716:J1720)),AVERAGE('20250815_ETF_Options_Exhibits'!J1716:J1720),"")</f>
        <v/>
      </c>
      <c r="K1720" s="3">
        <f>IF(ISNUMBER(AVERAGE('20250815_ETF_Options_Exhibits'!K1716:K1720)),AVERAGE('20250815_ETF_Options_Exhibits'!K1716:K1720),"")</f>
        <v/>
      </c>
      <c r="L1720" s="3">
        <f>IF(ISNUMBER(AVERAGE('20250815_ETF_Options_Exhibits'!L1716:L1720)),AVERAGE('20250815_ETF_Options_Exhibits'!L1716:L1720),"")</f>
        <v/>
      </c>
      <c r="M1720" s="3">
        <f>IF(ISNUMBER(AVERAGE('20250815_ETF_Options_Exhibits'!M1716:M1720)),AVERAGE('20250815_ETF_Options_Exhibits'!M1716:M1720),"")</f>
        <v/>
      </c>
      <c r="N1720" s="3">
        <f>IF(ISNUMBER(AVERAGE('20250815_ETF_Options_Exhibits'!N1716:N1720)),AVERAGE('20250815_ETF_Options_Exhibits'!N1716:N1720),"")</f>
        <v/>
      </c>
      <c r="O1720" s="3">
        <f>IF(ISNUMBER(AVERAGE('20250815_ETF_Options_Exhibits'!O1716:O1720)),AVERAGE('20250815_ETF_Options_Exhibits'!O1716:O1720),"")</f>
        <v/>
      </c>
      <c r="P1720" s="3">
        <f>IF(ISNUMBER(AVERAGE('20250815_ETF_Options_Exhibits'!P1716:P1720)),AVERAGE('20250815_ETF_Options_Exhibits'!P1716:P1720),"")</f>
        <v/>
      </c>
      <c r="Q1720" s="3">
        <f>IF(ISNUMBER(AVERAGE('20250815_ETF_Options_Exhibits'!Q1716:Q1720)),AVERAGE('20250815_ETF_Options_Exhibits'!Q1716:Q1720),"")</f>
        <v/>
      </c>
      <c r="R1720" s="3">
        <f>IF(ISNUMBER(AVERAGE('20250815_ETF_Options_Exhibits'!R1716:R1720)),AVERAGE('20250815_ETF_Options_Exhibits'!R1716:R1720),"")</f>
        <v/>
      </c>
      <c r="S1720" s="3">
        <f>IF(ISNUMBER(AVERAGE('20250815_ETF_Options_Exhibits'!S1716:S1720)),AVERAGE('20250815_ETF_Options_Exhibits'!S1716:S1720),"")</f>
        <v/>
      </c>
      <c r="T1720" s="3">
        <f>IF(ISNUMBER(AVERAGE('20250815_ETF_Options_Exhibits'!T1716:T1720)),AVERAGE('20250815_ETF_Options_Exhibits'!T1716:T1720),"")</f>
        <v/>
      </c>
      <c r="U1720" s="3">
        <f>IF(ISNUMBER(AVERAGE('20250815_ETF_Options_Exhibits'!U1716:U1720)),AVERAGE('20250815_ETF_Options_Exhibits'!U1716:U1720),"")</f>
        <v/>
      </c>
      <c r="V1720" s="3">
        <f>IF(ISNUMBER(AVERAGE('20250815_ETF_Options_Exhibits'!V1716:V1720)),AVERAGE('20250815_ETF_Options_Exhibits'!V1716:V1720),"")</f>
        <v/>
      </c>
      <c r="W1720" s="3">
        <f>IF(ISNUMBER(AVERAGE('20250815_ETF_Options_Exhibits'!W1716:W1720)),AVERAGE('20250815_ETF_Options_Exhibits'!W1716:W1720),"")</f>
        <v/>
      </c>
      <c r="X1720" s="3">
        <f>IF(ISNUMBER(AVERAGE('20250815_ETF_Options_Exhibits'!X1716:X1720)),AVERAGE('20250815_ETF_Options_Exhibits'!X1716:X1720),"")</f>
        <v/>
      </c>
      <c r="Y1720" s="3">
        <f>IF(ISNUMBER(AVERAGE('20250815_ETF_Options_Exhibits'!Y1716:Y1720)),AVERAGE('20250815_ETF_Options_Exhibits'!Y1716:Y1720),"")</f>
        <v/>
      </c>
      <c r="Z1720" s="3">
        <f>IF(ISNUMBER(AVERAGE('20250815_ETF_Options_Exhibits'!Z1716:Z1720)),AVERAGE('20250815_ETF_Options_Exhibits'!Z1716:Z1720),"")</f>
        <v/>
      </c>
      <c r="AA1720" s="3">
        <f>IF(ISNUMBER(AVERAGE('20250815_ETF_Options_Exhibits'!AA1716:AA1720)),AVERAGE('20250815_ETF_Options_Exhibits'!AA1716:AA1720),"")</f>
        <v/>
      </c>
    </row>
    <row r="1721">
      <c r="A1721" s="1" t="n">
        <v>44497</v>
      </c>
      <c r="B1721" s="3">
        <f>IF(ISNUMBER(AVERAGE('20250815_ETF_Options_Exhibits'!B1717:B1721)),AVERAGE('20250815_ETF_Options_Exhibits'!B1717:B1721),"")</f>
        <v/>
      </c>
      <c r="C1721" s="3">
        <f>IF(ISNUMBER(AVERAGE('20250815_ETF_Options_Exhibits'!C1717:C1721)),AVERAGE('20250815_ETF_Options_Exhibits'!C1717:C1721),"")</f>
        <v/>
      </c>
      <c r="D1721" s="3">
        <f>IF(ISNUMBER(AVERAGE('20250815_ETF_Options_Exhibits'!D1717:D1721)),AVERAGE('20250815_ETF_Options_Exhibits'!D1717:D1721),"")</f>
        <v/>
      </c>
      <c r="E1721" s="3">
        <f>IF(ISNUMBER(AVERAGE('20250815_ETF_Options_Exhibits'!E1717:E1721)),AVERAGE('20250815_ETF_Options_Exhibits'!E1717:E1721),"")</f>
        <v/>
      </c>
      <c r="F1721" s="3">
        <f>IF(ISNUMBER(AVERAGE('20250815_ETF_Options_Exhibits'!F1717:F1721)),AVERAGE('20250815_ETF_Options_Exhibits'!F1717:F1721),"")</f>
        <v/>
      </c>
      <c r="G1721" s="3">
        <f>IF(ISNUMBER(AVERAGE('20250815_ETF_Options_Exhibits'!G1717:G1721)),AVERAGE('20250815_ETF_Options_Exhibits'!G1717:G1721),"")</f>
        <v/>
      </c>
      <c r="H1721" s="3">
        <f>IF(ISNUMBER(AVERAGE('20250815_ETF_Options_Exhibits'!H1717:H1721)),AVERAGE('20250815_ETF_Options_Exhibits'!H1717:H1721),"")</f>
        <v/>
      </c>
      <c r="I1721" s="3">
        <f>IF(ISNUMBER(AVERAGE('20250815_ETF_Options_Exhibits'!I1717:I1721)),AVERAGE('20250815_ETF_Options_Exhibits'!I1717:I1721),"")</f>
        <v/>
      </c>
      <c r="J1721" s="3">
        <f>IF(ISNUMBER(AVERAGE('20250815_ETF_Options_Exhibits'!J1717:J1721)),AVERAGE('20250815_ETF_Options_Exhibits'!J1717:J1721),"")</f>
        <v/>
      </c>
      <c r="K1721" s="3">
        <f>IF(ISNUMBER(AVERAGE('20250815_ETF_Options_Exhibits'!K1717:K1721)),AVERAGE('20250815_ETF_Options_Exhibits'!K1717:K1721),"")</f>
        <v/>
      </c>
      <c r="L1721" s="3">
        <f>IF(ISNUMBER(AVERAGE('20250815_ETF_Options_Exhibits'!L1717:L1721)),AVERAGE('20250815_ETF_Options_Exhibits'!L1717:L1721),"")</f>
        <v/>
      </c>
      <c r="M1721" s="3">
        <f>IF(ISNUMBER(AVERAGE('20250815_ETF_Options_Exhibits'!M1717:M1721)),AVERAGE('20250815_ETF_Options_Exhibits'!M1717:M1721),"")</f>
        <v/>
      </c>
      <c r="N1721" s="3">
        <f>IF(ISNUMBER(AVERAGE('20250815_ETF_Options_Exhibits'!N1717:N1721)),AVERAGE('20250815_ETF_Options_Exhibits'!N1717:N1721),"")</f>
        <v/>
      </c>
      <c r="O1721" s="3">
        <f>IF(ISNUMBER(AVERAGE('20250815_ETF_Options_Exhibits'!O1717:O1721)),AVERAGE('20250815_ETF_Options_Exhibits'!O1717:O1721),"")</f>
        <v/>
      </c>
      <c r="P1721" s="3">
        <f>IF(ISNUMBER(AVERAGE('20250815_ETF_Options_Exhibits'!P1717:P1721)),AVERAGE('20250815_ETF_Options_Exhibits'!P1717:P1721),"")</f>
        <v/>
      </c>
      <c r="Q1721" s="3">
        <f>IF(ISNUMBER(AVERAGE('20250815_ETF_Options_Exhibits'!Q1717:Q1721)),AVERAGE('20250815_ETF_Options_Exhibits'!Q1717:Q1721),"")</f>
        <v/>
      </c>
      <c r="R1721" s="3">
        <f>IF(ISNUMBER(AVERAGE('20250815_ETF_Options_Exhibits'!R1717:R1721)),AVERAGE('20250815_ETF_Options_Exhibits'!R1717:R1721),"")</f>
        <v/>
      </c>
      <c r="S1721" s="3">
        <f>IF(ISNUMBER(AVERAGE('20250815_ETF_Options_Exhibits'!S1717:S1721)),AVERAGE('20250815_ETF_Options_Exhibits'!S1717:S1721),"")</f>
        <v/>
      </c>
      <c r="T1721" s="3">
        <f>IF(ISNUMBER(AVERAGE('20250815_ETF_Options_Exhibits'!T1717:T1721)),AVERAGE('20250815_ETF_Options_Exhibits'!T1717:T1721),"")</f>
        <v/>
      </c>
      <c r="U1721" s="3">
        <f>IF(ISNUMBER(AVERAGE('20250815_ETF_Options_Exhibits'!U1717:U1721)),AVERAGE('20250815_ETF_Options_Exhibits'!U1717:U1721),"")</f>
        <v/>
      </c>
      <c r="V1721" s="3">
        <f>IF(ISNUMBER(AVERAGE('20250815_ETF_Options_Exhibits'!V1717:V1721)),AVERAGE('20250815_ETF_Options_Exhibits'!V1717:V1721),"")</f>
        <v/>
      </c>
      <c r="W1721" s="3">
        <f>IF(ISNUMBER(AVERAGE('20250815_ETF_Options_Exhibits'!W1717:W1721)),AVERAGE('20250815_ETF_Options_Exhibits'!W1717:W1721),"")</f>
        <v/>
      </c>
      <c r="X1721" s="3">
        <f>IF(ISNUMBER(AVERAGE('20250815_ETF_Options_Exhibits'!X1717:X1721)),AVERAGE('20250815_ETF_Options_Exhibits'!X1717:X1721),"")</f>
        <v/>
      </c>
      <c r="Y1721" s="3">
        <f>IF(ISNUMBER(AVERAGE('20250815_ETF_Options_Exhibits'!Y1717:Y1721)),AVERAGE('20250815_ETF_Options_Exhibits'!Y1717:Y1721),"")</f>
        <v/>
      </c>
      <c r="Z1721" s="3">
        <f>IF(ISNUMBER(AVERAGE('20250815_ETF_Options_Exhibits'!Z1717:Z1721)),AVERAGE('20250815_ETF_Options_Exhibits'!Z1717:Z1721),"")</f>
        <v/>
      </c>
      <c r="AA1721" s="3">
        <f>IF(ISNUMBER(AVERAGE('20250815_ETF_Options_Exhibits'!AA1717:AA1721)),AVERAGE('20250815_ETF_Options_Exhibits'!AA1717:AA1721),"")</f>
        <v/>
      </c>
    </row>
    <row r="1722">
      <c r="A1722" s="1" t="n">
        <v>44498</v>
      </c>
      <c r="B1722" s="3">
        <f>IF(ISNUMBER(AVERAGE('20250815_ETF_Options_Exhibits'!B1718:B1722)),AVERAGE('20250815_ETF_Options_Exhibits'!B1718:B1722),"")</f>
        <v/>
      </c>
      <c r="C1722" s="3">
        <f>IF(ISNUMBER(AVERAGE('20250815_ETF_Options_Exhibits'!C1718:C1722)),AVERAGE('20250815_ETF_Options_Exhibits'!C1718:C1722),"")</f>
        <v/>
      </c>
      <c r="D1722" s="3">
        <f>IF(ISNUMBER(AVERAGE('20250815_ETF_Options_Exhibits'!D1718:D1722)),AVERAGE('20250815_ETF_Options_Exhibits'!D1718:D1722),"")</f>
        <v/>
      </c>
      <c r="E1722" s="3">
        <f>IF(ISNUMBER(AVERAGE('20250815_ETF_Options_Exhibits'!E1718:E1722)),AVERAGE('20250815_ETF_Options_Exhibits'!E1718:E1722),"")</f>
        <v/>
      </c>
      <c r="F1722" s="3">
        <f>IF(ISNUMBER(AVERAGE('20250815_ETF_Options_Exhibits'!F1718:F1722)),AVERAGE('20250815_ETF_Options_Exhibits'!F1718:F1722),"")</f>
        <v/>
      </c>
      <c r="G1722" s="3">
        <f>IF(ISNUMBER(AVERAGE('20250815_ETF_Options_Exhibits'!G1718:G1722)),AVERAGE('20250815_ETF_Options_Exhibits'!G1718:G1722),"")</f>
        <v/>
      </c>
      <c r="H1722" s="3">
        <f>IF(ISNUMBER(AVERAGE('20250815_ETF_Options_Exhibits'!H1718:H1722)),AVERAGE('20250815_ETF_Options_Exhibits'!H1718:H1722),"")</f>
        <v/>
      </c>
      <c r="I1722" s="3">
        <f>IF(ISNUMBER(AVERAGE('20250815_ETF_Options_Exhibits'!I1718:I1722)),AVERAGE('20250815_ETF_Options_Exhibits'!I1718:I1722),"")</f>
        <v/>
      </c>
      <c r="J1722" s="3">
        <f>IF(ISNUMBER(AVERAGE('20250815_ETF_Options_Exhibits'!J1718:J1722)),AVERAGE('20250815_ETF_Options_Exhibits'!J1718:J1722),"")</f>
        <v/>
      </c>
      <c r="K1722" s="3">
        <f>IF(ISNUMBER(AVERAGE('20250815_ETF_Options_Exhibits'!K1718:K1722)),AVERAGE('20250815_ETF_Options_Exhibits'!K1718:K1722),"")</f>
        <v/>
      </c>
      <c r="L1722" s="3">
        <f>IF(ISNUMBER(AVERAGE('20250815_ETF_Options_Exhibits'!L1718:L1722)),AVERAGE('20250815_ETF_Options_Exhibits'!L1718:L1722),"")</f>
        <v/>
      </c>
      <c r="M1722" s="3">
        <f>IF(ISNUMBER(AVERAGE('20250815_ETF_Options_Exhibits'!M1718:M1722)),AVERAGE('20250815_ETF_Options_Exhibits'!M1718:M1722),"")</f>
        <v/>
      </c>
      <c r="N1722" s="3">
        <f>IF(ISNUMBER(AVERAGE('20250815_ETF_Options_Exhibits'!N1718:N1722)),AVERAGE('20250815_ETF_Options_Exhibits'!N1718:N1722),"")</f>
        <v/>
      </c>
      <c r="O1722" s="3">
        <f>IF(ISNUMBER(AVERAGE('20250815_ETF_Options_Exhibits'!O1718:O1722)),AVERAGE('20250815_ETF_Options_Exhibits'!O1718:O1722),"")</f>
        <v/>
      </c>
      <c r="P1722" s="3">
        <f>IF(ISNUMBER(AVERAGE('20250815_ETF_Options_Exhibits'!P1718:P1722)),AVERAGE('20250815_ETF_Options_Exhibits'!P1718:P1722),"")</f>
        <v/>
      </c>
      <c r="Q1722" s="3">
        <f>IF(ISNUMBER(AVERAGE('20250815_ETF_Options_Exhibits'!Q1718:Q1722)),AVERAGE('20250815_ETF_Options_Exhibits'!Q1718:Q1722),"")</f>
        <v/>
      </c>
      <c r="R1722" s="3">
        <f>IF(ISNUMBER(AVERAGE('20250815_ETF_Options_Exhibits'!R1718:R1722)),AVERAGE('20250815_ETF_Options_Exhibits'!R1718:R1722),"")</f>
        <v/>
      </c>
      <c r="S1722" s="3">
        <f>IF(ISNUMBER(AVERAGE('20250815_ETF_Options_Exhibits'!S1718:S1722)),AVERAGE('20250815_ETF_Options_Exhibits'!S1718:S1722),"")</f>
        <v/>
      </c>
      <c r="T1722" s="3">
        <f>IF(ISNUMBER(AVERAGE('20250815_ETF_Options_Exhibits'!T1718:T1722)),AVERAGE('20250815_ETF_Options_Exhibits'!T1718:T1722),"")</f>
        <v/>
      </c>
      <c r="U1722" s="3">
        <f>IF(ISNUMBER(AVERAGE('20250815_ETF_Options_Exhibits'!U1718:U1722)),AVERAGE('20250815_ETF_Options_Exhibits'!U1718:U1722),"")</f>
        <v/>
      </c>
      <c r="V1722" s="3">
        <f>IF(ISNUMBER(AVERAGE('20250815_ETF_Options_Exhibits'!V1718:V1722)),AVERAGE('20250815_ETF_Options_Exhibits'!V1718:V1722),"")</f>
        <v/>
      </c>
      <c r="W1722" s="3">
        <f>IF(ISNUMBER(AVERAGE('20250815_ETF_Options_Exhibits'!W1718:W1722)),AVERAGE('20250815_ETF_Options_Exhibits'!W1718:W1722),"")</f>
        <v/>
      </c>
      <c r="X1722" s="3">
        <f>IF(ISNUMBER(AVERAGE('20250815_ETF_Options_Exhibits'!X1718:X1722)),AVERAGE('20250815_ETF_Options_Exhibits'!X1718:X1722),"")</f>
        <v/>
      </c>
      <c r="Y1722" s="3">
        <f>IF(ISNUMBER(AVERAGE('20250815_ETF_Options_Exhibits'!Y1718:Y1722)),AVERAGE('20250815_ETF_Options_Exhibits'!Y1718:Y1722),"")</f>
        <v/>
      </c>
      <c r="Z1722" s="3">
        <f>IF(ISNUMBER(AVERAGE('20250815_ETF_Options_Exhibits'!Z1718:Z1722)),AVERAGE('20250815_ETF_Options_Exhibits'!Z1718:Z1722),"")</f>
        <v/>
      </c>
      <c r="AA1722" s="3">
        <f>IF(ISNUMBER(AVERAGE('20250815_ETF_Options_Exhibits'!AA1718:AA1722)),AVERAGE('20250815_ETF_Options_Exhibits'!AA1718:AA1722),"")</f>
        <v/>
      </c>
    </row>
    <row r="1723">
      <c r="A1723" s="1" t="n">
        <v>44501</v>
      </c>
      <c r="B1723" s="3">
        <f>IF(ISNUMBER(AVERAGE('20250815_ETF_Options_Exhibits'!B1719:B1723)),AVERAGE('20250815_ETF_Options_Exhibits'!B1719:B1723),"")</f>
        <v/>
      </c>
      <c r="C1723" s="3">
        <f>IF(ISNUMBER(AVERAGE('20250815_ETF_Options_Exhibits'!C1719:C1723)),AVERAGE('20250815_ETF_Options_Exhibits'!C1719:C1723),"")</f>
        <v/>
      </c>
      <c r="D1723" s="3">
        <f>IF(ISNUMBER(AVERAGE('20250815_ETF_Options_Exhibits'!D1719:D1723)),AVERAGE('20250815_ETF_Options_Exhibits'!D1719:D1723),"")</f>
        <v/>
      </c>
      <c r="E1723" s="3">
        <f>IF(ISNUMBER(AVERAGE('20250815_ETF_Options_Exhibits'!E1719:E1723)),AVERAGE('20250815_ETF_Options_Exhibits'!E1719:E1723),"")</f>
        <v/>
      </c>
      <c r="F1723" s="3">
        <f>IF(ISNUMBER(AVERAGE('20250815_ETF_Options_Exhibits'!F1719:F1723)),AVERAGE('20250815_ETF_Options_Exhibits'!F1719:F1723),"")</f>
        <v/>
      </c>
      <c r="G1723" s="3">
        <f>IF(ISNUMBER(AVERAGE('20250815_ETF_Options_Exhibits'!G1719:G1723)),AVERAGE('20250815_ETF_Options_Exhibits'!G1719:G1723),"")</f>
        <v/>
      </c>
      <c r="H1723" s="3">
        <f>IF(ISNUMBER(AVERAGE('20250815_ETF_Options_Exhibits'!H1719:H1723)),AVERAGE('20250815_ETF_Options_Exhibits'!H1719:H1723),"")</f>
        <v/>
      </c>
      <c r="I1723" s="3">
        <f>IF(ISNUMBER(AVERAGE('20250815_ETF_Options_Exhibits'!I1719:I1723)),AVERAGE('20250815_ETF_Options_Exhibits'!I1719:I1723),"")</f>
        <v/>
      </c>
      <c r="J1723" s="3">
        <f>IF(ISNUMBER(AVERAGE('20250815_ETF_Options_Exhibits'!J1719:J1723)),AVERAGE('20250815_ETF_Options_Exhibits'!J1719:J1723),"")</f>
        <v/>
      </c>
      <c r="K1723" s="3">
        <f>IF(ISNUMBER(AVERAGE('20250815_ETF_Options_Exhibits'!K1719:K1723)),AVERAGE('20250815_ETF_Options_Exhibits'!K1719:K1723),"")</f>
        <v/>
      </c>
      <c r="L1723" s="3">
        <f>IF(ISNUMBER(AVERAGE('20250815_ETF_Options_Exhibits'!L1719:L1723)),AVERAGE('20250815_ETF_Options_Exhibits'!L1719:L1723),"")</f>
        <v/>
      </c>
      <c r="M1723" s="3">
        <f>IF(ISNUMBER(AVERAGE('20250815_ETF_Options_Exhibits'!M1719:M1723)),AVERAGE('20250815_ETF_Options_Exhibits'!M1719:M1723),"")</f>
        <v/>
      </c>
      <c r="N1723" s="3">
        <f>IF(ISNUMBER(AVERAGE('20250815_ETF_Options_Exhibits'!N1719:N1723)),AVERAGE('20250815_ETF_Options_Exhibits'!N1719:N1723),"")</f>
        <v/>
      </c>
      <c r="O1723" s="3">
        <f>IF(ISNUMBER(AVERAGE('20250815_ETF_Options_Exhibits'!O1719:O1723)),AVERAGE('20250815_ETF_Options_Exhibits'!O1719:O1723),"")</f>
        <v/>
      </c>
      <c r="P1723" s="3">
        <f>IF(ISNUMBER(AVERAGE('20250815_ETF_Options_Exhibits'!P1719:P1723)),AVERAGE('20250815_ETF_Options_Exhibits'!P1719:P1723),"")</f>
        <v/>
      </c>
      <c r="Q1723" s="3">
        <f>IF(ISNUMBER(AVERAGE('20250815_ETF_Options_Exhibits'!Q1719:Q1723)),AVERAGE('20250815_ETF_Options_Exhibits'!Q1719:Q1723),"")</f>
        <v/>
      </c>
      <c r="R1723" s="3">
        <f>IF(ISNUMBER(AVERAGE('20250815_ETF_Options_Exhibits'!R1719:R1723)),AVERAGE('20250815_ETF_Options_Exhibits'!R1719:R1723),"")</f>
        <v/>
      </c>
      <c r="S1723" s="3">
        <f>IF(ISNUMBER(AVERAGE('20250815_ETF_Options_Exhibits'!S1719:S1723)),AVERAGE('20250815_ETF_Options_Exhibits'!S1719:S1723),"")</f>
        <v/>
      </c>
      <c r="T1723" s="3">
        <f>IF(ISNUMBER(AVERAGE('20250815_ETF_Options_Exhibits'!T1719:T1723)),AVERAGE('20250815_ETF_Options_Exhibits'!T1719:T1723),"")</f>
        <v/>
      </c>
      <c r="U1723" s="3">
        <f>IF(ISNUMBER(AVERAGE('20250815_ETF_Options_Exhibits'!U1719:U1723)),AVERAGE('20250815_ETF_Options_Exhibits'!U1719:U1723),"")</f>
        <v/>
      </c>
      <c r="V1723" s="3">
        <f>IF(ISNUMBER(AVERAGE('20250815_ETF_Options_Exhibits'!V1719:V1723)),AVERAGE('20250815_ETF_Options_Exhibits'!V1719:V1723),"")</f>
        <v/>
      </c>
      <c r="W1723" s="3">
        <f>IF(ISNUMBER(AVERAGE('20250815_ETF_Options_Exhibits'!W1719:W1723)),AVERAGE('20250815_ETF_Options_Exhibits'!W1719:W1723),"")</f>
        <v/>
      </c>
      <c r="X1723" s="3">
        <f>IF(ISNUMBER(AVERAGE('20250815_ETF_Options_Exhibits'!X1719:X1723)),AVERAGE('20250815_ETF_Options_Exhibits'!X1719:X1723),"")</f>
        <v/>
      </c>
      <c r="Y1723" s="3">
        <f>IF(ISNUMBER(AVERAGE('20250815_ETF_Options_Exhibits'!Y1719:Y1723)),AVERAGE('20250815_ETF_Options_Exhibits'!Y1719:Y1723),"")</f>
        <v/>
      </c>
      <c r="Z1723" s="3">
        <f>IF(ISNUMBER(AVERAGE('20250815_ETF_Options_Exhibits'!Z1719:Z1723)),AVERAGE('20250815_ETF_Options_Exhibits'!Z1719:Z1723),"")</f>
        <v/>
      </c>
      <c r="AA1723" s="3">
        <f>IF(ISNUMBER(AVERAGE('20250815_ETF_Options_Exhibits'!AA1719:AA1723)),AVERAGE('20250815_ETF_Options_Exhibits'!AA1719:AA1723),"")</f>
        <v/>
      </c>
    </row>
    <row r="1724">
      <c r="A1724" s="1" t="n">
        <v>44502</v>
      </c>
      <c r="B1724" s="3">
        <f>IF(ISNUMBER(AVERAGE('20250815_ETF_Options_Exhibits'!B1720:B1724)),AVERAGE('20250815_ETF_Options_Exhibits'!B1720:B1724),"")</f>
        <v/>
      </c>
      <c r="C1724" s="3">
        <f>IF(ISNUMBER(AVERAGE('20250815_ETF_Options_Exhibits'!C1720:C1724)),AVERAGE('20250815_ETF_Options_Exhibits'!C1720:C1724),"")</f>
        <v/>
      </c>
      <c r="D1724" s="3">
        <f>IF(ISNUMBER(AVERAGE('20250815_ETF_Options_Exhibits'!D1720:D1724)),AVERAGE('20250815_ETF_Options_Exhibits'!D1720:D1724),"")</f>
        <v/>
      </c>
      <c r="E1724" s="3">
        <f>IF(ISNUMBER(AVERAGE('20250815_ETF_Options_Exhibits'!E1720:E1724)),AVERAGE('20250815_ETF_Options_Exhibits'!E1720:E1724),"")</f>
        <v/>
      </c>
      <c r="F1724" s="3">
        <f>IF(ISNUMBER(AVERAGE('20250815_ETF_Options_Exhibits'!F1720:F1724)),AVERAGE('20250815_ETF_Options_Exhibits'!F1720:F1724),"")</f>
        <v/>
      </c>
      <c r="G1724" s="3">
        <f>IF(ISNUMBER(AVERAGE('20250815_ETF_Options_Exhibits'!G1720:G1724)),AVERAGE('20250815_ETF_Options_Exhibits'!G1720:G1724),"")</f>
        <v/>
      </c>
      <c r="H1724" s="3">
        <f>IF(ISNUMBER(AVERAGE('20250815_ETF_Options_Exhibits'!H1720:H1724)),AVERAGE('20250815_ETF_Options_Exhibits'!H1720:H1724),"")</f>
        <v/>
      </c>
      <c r="I1724" s="3">
        <f>IF(ISNUMBER(AVERAGE('20250815_ETF_Options_Exhibits'!I1720:I1724)),AVERAGE('20250815_ETF_Options_Exhibits'!I1720:I1724),"")</f>
        <v/>
      </c>
      <c r="J1724" s="3">
        <f>IF(ISNUMBER(AVERAGE('20250815_ETF_Options_Exhibits'!J1720:J1724)),AVERAGE('20250815_ETF_Options_Exhibits'!J1720:J1724),"")</f>
        <v/>
      </c>
      <c r="K1724" s="3">
        <f>IF(ISNUMBER(AVERAGE('20250815_ETF_Options_Exhibits'!K1720:K1724)),AVERAGE('20250815_ETF_Options_Exhibits'!K1720:K1724),"")</f>
        <v/>
      </c>
      <c r="L1724" s="3">
        <f>IF(ISNUMBER(AVERAGE('20250815_ETF_Options_Exhibits'!L1720:L1724)),AVERAGE('20250815_ETF_Options_Exhibits'!L1720:L1724),"")</f>
        <v/>
      </c>
      <c r="M1724" s="3">
        <f>IF(ISNUMBER(AVERAGE('20250815_ETF_Options_Exhibits'!M1720:M1724)),AVERAGE('20250815_ETF_Options_Exhibits'!M1720:M1724),"")</f>
        <v/>
      </c>
      <c r="N1724" s="3">
        <f>IF(ISNUMBER(AVERAGE('20250815_ETF_Options_Exhibits'!N1720:N1724)),AVERAGE('20250815_ETF_Options_Exhibits'!N1720:N1724),"")</f>
        <v/>
      </c>
      <c r="O1724" s="3">
        <f>IF(ISNUMBER(AVERAGE('20250815_ETF_Options_Exhibits'!O1720:O1724)),AVERAGE('20250815_ETF_Options_Exhibits'!O1720:O1724),"")</f>
        <v/>
      </c>
      <c r="P1724" s="3">
        <f>IF(ISNUMBER(AVERAGE('20250815_ETF_Options_Exhibits'!P1720:P1724)),AVERAGE('20250815_ETF_Options_Exhibits'!P1720:P1724),"")</f>
        <v/>
      </c>
      <c r="Q1724" s="3">
        <f>IF(ISNUMBER(AVERAGE('20250815_ETF_Options_Exhibits'!Q1720:Q1724)),AVERAGE('20250815_ETF_Options_Exhibits'!Q1720:Q1724),"")</f>
        <v/>
      </c>
      <c r="R1724" s="3">
        <f>IF(ISNUMBER(AVERAGE('20250815_ETF_Options_Exhibits'!R1720:R1724)),AVERAGE('20250815_ETF_Options_Exhibits'!R1720:R1724),"")</f>
        <v/>
      </c>
      <c r="S1724" s="3">
        <f>IF(ISNUMBER(AVERAGE('20250815_ETF_Options_Exhibits'!S1720:S1724)),AVERAGE('20250815_ETF_Options_Exhibits'!S1720:S1724),"")</f>
        <v/>
      </c>
      <c r="T1724" s="3">
        <f>IF(ISNUMBER(AVERAGE('20250815_ETF_Options_Exhibits'!T1720:T1724)),AVERAGE('20250815_ETF_Options_Exhibits'!T1720:T1724),"")</f>
        <v/>
      </c>
      <c r="U1724" s="3">
        <f>IF(ISNUMBER(AVERAGE('20250815_ETF_Options_Exhibits'!U1720:U1724)),AVERAGE('20250815_ETF_Options_Exhibits'!U1720:U1724),"")</f>
        <v/>
      </c>
      <c r="V1724" s="3">
        <f>IF(ISNUMBER(AVERAGE('20250815_ETF_Options_Exhibits'!V1720:V1724)),AVERAGE('20250815_ETF_Options_Exhibits'!V1720:V1724),"")</f>
        <v/>
      </c>
      <c r="W1724" s="3">
        <f>IF(ISNUMBER(AVERAGE('20250815_ETF_Options_Exhibits'!W1720:W1724)),AVERAGE('20250815_ETF_Options_Exhibits'!W1720:W1724),"")</f>
        <v/>
      </c>
      <c r="X1724" s="3">
        <f>IF(ISNUMBER(AVERAGE('20250815_ETF_Options_Exhibits'!X1720:X1724)),AVERAGE('20250815_ETF_Options_Exhibits'!X1720:X1724),"")</f>
        <v/>
      </c>
      <c r="Y1724" s="3">
        <f>IF(ISNUMBER(AVERAGE('20250815_ETF_Options_Exhibits'!Y1720:Y1724)),AVERAGE('20250815_ETF_Options_Exhibits'!Y1720:Y1724),"")</f>
        <v/>
      </c>
      <c r="Z1724" s="3">
        <f>IF(ISNUMBER(AVERAGE('20250815_ETF_Options_Exhibits'!Z1720:Z1724)),AVERAGE('20250815_ETF_Options_Exhibits'!Z1720:Z1724),"")</f>
        <v/>
      </c>
      <c r="AA1724" s="3">
        <f>IF(ISNUMBER(AVERAGE('20250815_ETF_Options_Exhibits'!AA1720:AA1724)),AVERAGE('20250815_ETF_Options_Exhibits'!AA1720:AA1724),"")</f>
        <v/>
      </c>
    </row>
    <row r="1725">
      <c r="A1725" s="1" t="n">
        <v>44503</v>
      </c>
      <c r="B1725" s="3">
        <f>IF(ISNUMBER(AVERAGE('20250815_ETF_Options_Exhibits'!B1721:B1725)),AVERAGE('20250815_ETF_Options_Exhibits'!B1721:B1725),"")</f>
        <v/>
      </c>
      <c r="C1725" s="3">
        <f>IF(ISNUMBER(AVERAGE('20250815_ETF_Options_Exhibits'!C1721:C1725)),AVERAGE('20250815_ETF_Options_Exhibits'!C1721:C1725),"")</f>
        <v/>
      </c>
      <c r="D1725" s="3">
        <f>IF(ISNUMBER(AVERAGE('20250815_ETF_Options_Exhibits'!D1721:D1725)),AVERAGE('20250815_ETF_Options_Exhibits'!D1721:D1725),"")</f>
        <v/>
      </c>
      <c r="E1725" s="3">
        <f>IF(ISNUMBER(AVERAGE('20250815_ETF_Options_Exhibits'!E1721:E1725)),AVERAGE('20250815_ETF_Options_Exhibits'!E1721:E1725),"")</f>
        <v/>
      </c>
      <c r="F1725" s="3">
        <f>IF(ISNUMBER(AVERAGE('20250815_ETF_Options_Exhibits'!F1721:F1725)),AVERAGE('20250815_ETF_Options_Exhibits'!F1721:F1725),"")</f>
        <v/>
      </c>
      <c r="G1725" s="3">
        <f>IF(ISNUMBER(AVERAGE('20250815_ETF_Options_Exhibits'!G1721:G1725)),AVERAGE('20250815_ETF_Options_Exhibits'!G1721:G1725),"")</f>
        <v/>
      </c>
      <c r="H1725" s="3">
        <f>IF(ISNUMBER(AVERAGE('20250815_ETF_Options_Exhibits'!H1721:H1725)),AVERAGE('20250815_ETF_Options_Exhibits'!H1721:H1725),"")</f>
        <v/>
      </c>
      <c r="I1725" s="3">
        <f>IF(ISNUMBER(AVERAGE('20250815_ETF_Options_Exhibits'!I1721:I1725)),AVERAGE('20250815_ETF_Options_Exhibits'!I1721:I1725),"")</f>
        <v/>
      </c>
      <c r="J1725" s="3">
        <f>IF(ISNUMBER(AVERAGE('20250815_ETF_Options_Exhibits'!J1721:J1725)),AVERAGE('20250815_ETF_Options_Exhibits'!J1721:J1725),"")</f>
        <v/>
      </c>
      <c r="K1725" s="3">
        <f>IF(ISNUMBER(AVERAGE('20250815_ETF_Options_Exhibits'!K1721:K1725)),AVERAGE('20250815_ETF_Options_Exhibits'!K1721:K1725),"")</f>
        <v/>
      </c>
      <c r="L1725" s="3">
        <f>IF(ISNUMBER(AVERAGE('20250815_ETF_Options_Exhibits'!L1721:L1725)),AVERAGE('20250815_ETF_Options_Exhibits'!L1721:L1725),"")</f>
        <v/>
      </c>
      <c r="M1725" s="3">
        <f>IF(ISNUMBER(AVERAGE('20250815_ETF_Options_Exhibits'!M1721:M1725)),AVERAGE('20250815_ETF_Options_Exhibits'!M1721:M1725),"")</f>
        <v/>
      </c>
      <c r="N1725" s="3">
        <f>IF(ISNUMBER(AVERAGE('20250815_ETF_Options_Exhibits'!N1721:N1725)),AVERAGE('20250815_ETF_Options_Exhibits'!N1721:N1725),"")</f>
        <v/>
      </c>
      <c r="O1725" s="3">
        <f>IF(ISNUMBER(AVERAGE('20250815_ETF_Options_Exhibits'!O1721:O1725)),AVERAGE('20250815_ETF_Options_Exhibits'!O1721:O1725),"")</f>
        <v/>
      </c>
      <c r="P1725" s="3">
        <f>IF(ISNUMBER(AVERAGE('20250815_ETF_Options_Exhibits'!P1721:P1725)),AVERAGE('20250815_ETF_Options_Exhibits'!P1721:P1725),"")</f>
        <v/>
      </c>
      <c r="Q1725" s="3">
        <f>IF(ISNUMBER(AVERAGE('20250815_ETF_Options_Exhibits'!Q1721:Q1725)),AVERAGE('20250815_ETF_Options_Exhibits'!Q1721:Q1725),"")</f>
        <v/>
      </c>
      <c r="R1725" s="3">
        <f>IF(ISNUMBER(AVERAGE('20250815_ETF_Options_Exhibits'!R1721:R1725)),AVERAGE('20250815_ETF_Options_Exhibits'!R1721:R1725),"")</f>
        <v/>
      </c>
      <c r="S1725" s="3">
        <f>IF(ISNUMBER(AVERAGE('20250815_ETF_Options_Exhibits'!S1721:S1725)),AVERAGE('20250815_ETF_Options_Exhibits'!S1721:S1725),"")</f>
        <v/>
      </c>
      <c r="T1725" s="3">
        <f>IF(ISNUMBER(AVERAGE('20250815_ETF_Options_Exhibits'!T1721:T1725)),AVERAGE('20250815_ETF_Options_Exhibits'!T1721:T1725),"")</f>
        <v/>
      </c>
      <c r="U1725" s="3">
        <f>IF(ISNUMBER(AVERAGE('20250815_ETF_Options_Exhibits'!U1721:U1725)),AVERAGE('20250815_ETF_Options_Exhibits'!U1721:U1725),"")</f>
        <v/>
      </c>
      <c r="V1725" s="3">
        <f>IF(ISNUMBER(AVERAGE('20250815_ETF_Options_Exhibits'!V1721:V1725)),AVERAGE('20250815_ETF_Options_Exhibits'!V1721:V1725),"")</f>
        <v/>
      </c>
      <c r="W1725" s="3">
        <f>IF(ISNUMBER(AVERAGE('20250815_ETF_Options_Exhibits'!W1721:W1725)),AVERAGE('20250815_ETF_Options_Exhibits'!W1721:W1725),"")</f>
        <v/>
      </c>
      <c r="X1725" s="3">
        <f>IF(ISNUMBER(AVERAGE('20250815_ETF_Options_Exhibits'!X1721:X1725)),AVERAGE('20250815_ETF_Options_Exhibits'!X1721:X1725),"")</f>
        <v/>
      </c>
      <c r="Y1725" s="3">
        <f>IF(ISNUMBER(AVERAGE('20250815_ETF_Options_Exhibits'!Y1721:Y1725)),AVERAGE('20250815_ETF_Options_Exhibits'!Y1721:Y1725),"")</f>
        <v/>
      </c>
      <c r="Z1725" s="3">
        <f>IF(ISNUMBER(AVERAGE('20250815_ETF_Options_Exhibits'!Z1721:Z1725)),AVERAGE('20250815_ETF_Options_Exhibits'!Z1721:Z1725),"")</f>
        <v/>
      </c>
      <c r="AA1725" s="3">
        <f>IF(ISNUMBER(AVERAGE('20250815_ETF_Options_Exhibits'!AA1721:AA1725)),AVERAGE('20250815_ETF_Options_Exhibits'!AA1721:AA1725),"")</f>
        <v/>
      </c>
    </row>
    <row r="1726">
      <c r="A1726" s="1" t="n">
        <v>44504</v>
      </c>
      <c r="B1726" s="3">
        <f>IF(ISNUMBER(AVERAGE('20250815_ETF_Options_Exhibits'!B1722:B1726)),AVERAGE('20250815_ETF_Options_Exhibits'!B1722:B1726),"")</f>
        <v/>
      </c>
      <c r="C1726" s="3">
        <f>IF(ISNUMBER(AVERAGE('20250815_ETF_Options_Exhibits'!C1722:C1726)),AVERAGE('20250815_ETF_Options_Exhibits'!C1722:C1726),"")</f>
        <v/>
      </c>
      <c r="D1726" s="3">
        <f>IF(ISNUMBER(AVERAGE('20250815_ETF_Options_Exhibits'!D1722:D1726)),AVERAGE('20250815_ETF_Options_Exhibits'!D1722:D1726),"")</f>
        <v/>
      </c>
      <c r="E1726" s="3">
        <f>IF(ISNUMBER(AVERAGE('20250815_ETF_Options_Exhibits'!E1722:E1726)),AVERAGE('20250815_ETF_Options_Exhibits'!E1722:E1726),"")</f>
        <v/>
      </c>
      <c r="F1726" s="3">
        <f>IF(ISNUMBER(AVERAGE('20250815_ETF_Options_Exhibits'!F1722:F1726)),AVERAGE('20250815_ETF_Options_Exhibits'!F1722:F1726),"")</f>
        <v/>
      </c>
      <c r="G1726" s="3">
        <f>IF(ISNUMBER(AVERAGE('20250815_ETF_Options_Exhibits'!G1722:G1726)),AVERAGE('20250815_ETF_Options_Exhibits'!G1722:G1726),"")</f>
        <v/>
      </c>
      <c r="H1726" s="3">
        <f>IF(ISNUMBER(AVERAGE('20250815_ETF_Options_Exhibits'!H1722:H1726)),AVERAGE('20250815_ETF_Options_Exhibits'!H1722:H1726),"")</f>
        <v/>
      </c>
      <c r="I1726" s="3">
        <f>IF(ISNUMBER(AVERAGE('20250815_ETF_Options_Exhibits'!I1722:I1726)),AVERAGE('20250815_ETF_Options_Exhibits'!I1722:I1726),"")</f>
        <v/>
      </c>
      <c r="J1726" s="3">
        <f>IF(ISNUMBER(AVERAGE('20250815_ETF_Options_Exhibits'!J1722:J1726)),AVERAGE('20250815_ETF_Options_Exhibits'!J1722:J1726),"")</f>
        <v/>
      </c>
      <c r="K1726" s="3">
        <f>IF(ISNUMBER(AVERAGE('20250815_ETF_Options_Exhibits'!K1722:K1726)),AVERAGE('20250815_ETF_Options_Exhibits'!K1722:K1726),"")</f>
        <v/>
      </c>
      <c r="L1726" s="3">
        <f>IF(ISNUMBER(AVERAGE('20250815_ETF_Options_Exhibits'!L1722:L1726)),AVERAGE('20250815_ETF_Options_Exhibits'!L1722:L1726),"")</f>
        <v/>
      </c>
      <c r="M1726" s="3">
        <f>IF(ISNUMBER(AVERAGE('20250815_ETF_Options_Exhibits'!M1722:M1726)),AVERAGE('20250815_ETF_Options_Exhibits'!M1722:M1726),"")</f>
        <v/>
      </c>
      <c r="N1726" s="3">
        <f>IF(ISNUMBER(AVERAGE('20250815_ETF_Options_Exhibits'!N1722:N1726)),AVERAGE('20250815_ETF_Options_Exhibits'!N1722:N1726),"")</f>
        <v/>
      </c>
      <c r="O1726" s="3">
        <f>IF(ISNUMBER(AVERAGE('20250815_ETF_Options_Exhibits'!O1722:O1726)),AVERAGE('20250815_ETF_Options_Exhibits'!O1722:O1726),"")</f>
        <v/>
      </c>
      <c r="P1726" s="3">
        <f>IF(ISNUMBER(AVERAGE('20250815_ETF_Options_Exhibits'!P1722:P1726)),AVERAGE('20250815_ETF_Options_Exhibits'!P1722:P1726),"")</f>
        <v/>
      </c>
      <c r="Q1726" s="3">
        <f>IF(ISNUMBER(AVERAGE('20250815_ETF_Options_Exhibits'!Q1722:Q1726)),AVERAGE('20250815_ETF_Options_Exhibits'!Q1722:Q1726),"")</f>
        <v/>
      </c>
      <c r="R1726" s="3">
        <f>IF(ISNUMBER(AVERAGE('20250815_ETF_Options_Exhibits'!R1722:R1726)),AVERAGE('20250815_ETF_Options_Exhibits'!R1722:R1726),"")</f>
        <v/>
      </c>
      <c r="S1726" s="3">
        <f>IF(ISNUMBER(AVERAGE('20250815_ETF_Options_Exhibits'!S1722:S1726)),AVERAGE('20250815_ETF_Options_Exhibits'!S1722:S1726),"")</f>
        <v/>
      </c>
      <c r="T1726" s="3">
        <f>IF(ISNUMBER(AVERAGE('20250815_ETF_Options_Exhibits'!T1722:T1726)),AVERAGE('20250815_ETF_Options_Exhibits'!T1722:T1726),"")</f>
        <v/>
      </c>
      <c r="U1726" s="3">
        <f>IF(ISNUMBER(AVERAGE('20250815_ETF_Options_Exhibits'!U1722:U1726)),AVERAGE('20250815_ETF_Options_Exhibits'!U1722:U1726),"")</f>
        <v/>
      </c>
      <c r="V1726" s="3">
        <f>IF(ISNUMBER(AVERAGE('20250815_ETF_Options_Exhibits'!V1722:V1726)),AVERAGE('20250815_ETF_Options_Exhibits'!V1722:V1726),"")</f>
        <v/>
      </c>
      <c r="W1726" s="3">
        <f>IF(ISNUMBER(AVERAGE('20250815_ETF_Options_Exhibits'!W1722:W1726)),AVERAGE('20250815_ETF_Options_Exhibits'!W1722:W1726),"")</f>
        <v/>
      </c>
      <c r="X1726" s="3">
        <f>IF(ISNUMBER(AVERAGE('20250815_ETF_Options_Exhibits'!X1722:X1726)),AVERAGE('20250815_ETF_Options_Exhibits'!X1722:X1726),"")</f>
        <v/>
      </c>
      <c r="Y1726" s="3">
        <f>IF(ISNUMBER(AVERAGE('20250815_ETF_Options_Exhibits'!Y1722:Y1726)),AVERAGE('20250815_ETF_Options_Exhibits'!Y1722:Y1726),"")</f>
        <v/>
      </c>
      <c r="Z1726" s="3">
        <f>IF(ISNUMBER(AVERAGE('20250815_ETF_Options_Exhibits'!Z1722:Z1726)),AVERAGE('20250815_ETF_Options_Exhibits'!Z1722:Z1726),"")</f>
        <v/>
      </c>
      <c r="AA1726" s="3">
        <f>IF(ISNUMBER(AVERAGE('20250815_ETF_Options_Exhibits'!AA1722:AA1726)),AVERAGE('20250815_ETF_Options_Exhibits'!AA1722:AA1726),"")</f>
        <v/>
      </c>
    </row>
    <row r="1727">
      <c r="A1727" s="1" t="n">
        <v>44505</v>
      </c>
      <c r="B1727" s="3">
        <f>IF(ISNUMBER(AVERAGE('20250815_ETF_Options_Exhibits'!B1723:B1727)),AVERAGE('20250815_ETF_Options_Exhibits'!B1723:B1727),"")</f>
        <v/>
      </c>
      <c r="C1727" s="3">
        <f>IF(ISNUMBER(AVERAGE('20250815_ETF_Options_Exhibits'!C1723:C1727)),AVERAGE('20250815_ETF_Options_Exhibits'!C1723:C1727),"")</f>
        <v/>
      </c>
      <c r="D1727" s="3">
        <f>IF(ISNUMBER(AVERAGE('20250815_ETF_Options_Exhibits'!D1723:D1727)),AVERAGE('20250815_ETF_Options_Exhibits'!D1723:D1727),"")</f>
        <v/>
      </c>
      <c r="E1727" s="3">
        <f>IF(ISNUMBER(AVERAGE('20250815_ETF_Options_Exhibits'!E1723:E1727)),AVERAGE('20250815_ETF_Options_Exhibits'!E1723:E1727),"")</f>
        <v/>
      </c>
      <c r="F1727" s="3">
        <f>IF(ISNUMBER(AVERAGE('20250815_ETF_Options_Exhibits'!F1723:F1727)),AVERAGE('20250815_ETF_Options_Exhibits'!F1723:F1727),"")</f>
        <v/>
      </c>
      <c r="G1727" s="3">
        <f>IF(ISNUMBER(AVERAGE('20250815_ETF_Options_Exhibits'!G1723:G1727)),AVERAGE('20250815_ETF_Options_Exhibits'!G1723:G1727),"")</f>
        <v/>
      </c>
      <c r="H1727" s="3">
        <f>IF(ISNUMBER(AVERAGE('20250815_ETF_Options_Exhibits'!H1723:H1727)),AVERAGE('20250815_ETF_Options_Exhibits'!H1723:H1727),"")</f>
        <v/>
      </c>
      <c r="I1727" s="3">
        <f>IF(ISNUMBER(AVERAGE('20250815_ETF_Options_Exhibits'!I1723:I1727)),AVERAGE('20250815_ETF_Options_Exhibits'!I1723:I1727),"")</f>
        <v/>
      </c>
      <c r="J1727" s="3">
        <f>IF(ISNUMBER(AVERAGE('20250815_ETF_Options_Exhibits'!J1723:J1727)),AVERAGE('20250815_ETF_Options_Exhibits'!J1723:J1727),"")</f>
        <v/>
      </c>
      <c r="K1727" s="3">
        <f>IF(ISNUMBER(AVERAGE('20250815_ETF_Options_Exhibits'!K1723:K1727)),AVERAGE('20250815_ETF_Options_Exhibits'!K1723:K1727),"")</f>
        <v/>
      </c>
      <c r="L1727" s="3">
        <f>IF(ISNUMBER(AVERAGE('20250815_ETF_Options_Exhibits'!L1723:L1727)),AVERAGE('20250815_ETF_Options_Exhibits'!L1723:L1727),"")</f>
        <v/>
      </c>
      <c r="M1727" s="3">
        <f>IF(ISNUMBER(AVERAGE('20250815_ETF_Options_Exhibits'!M1723:M1727)),AVERAGE('20250815_ETF_Options_Exhibits'!M1723:M1727),"")</f>
        <v/>
      </c>
      <c r="N1727" s="3">
        <f>IF(ISNUMBER(AVERAGE('20250815_ETF_Options_Exhibits'!N1723:N1727)),AVERAGE('20250815_ETF_Options_Exhibits'!N1723:N1727),"")</f>
        <v/>
      </c>
      <c r="O1727" s="3">
        <f>IF(ISNUMBER(AVERAGE('20250815_ETF_Options_Exhibits'!O1723:O1727)),AVERAGE('20250815_ETF_Options_Exhibits'!O1723:O1727),"")</f>
        <v/>
      </c>
      <c r="P1727" s="3">
        <f>IF(ISNUMBER(AVERAGE('20250815_ETF_Options_Exhibits'!P1723:P1727)),AVERAGE('20250815_ETF_Options_Exhibits'!P1723:P1727),"")</f>
        <v/>
      </c>
      <c r="Q1727" s="3">
        <f>IF(ISNUMBER(AVERAGE('20250815_ETF_Options_Exhibits'!Q1723:Q1727)),AVERAGE('20250815_ETF_Options_Exhibits'!Q1723:Q1727),"")</f>
        <v/>
      </c>
      <c r="R1727" s="3">
        <f>IF(ISNUMBER(AVERAGE('20250815_ETF_Options_Exhibits'!R1723:R1727)),AVERAGE('20250815_ETF_Options_Exhibits'!R1723:R1727),"")</f>
        <v/>
      </c>
      <c r="S1727" s="3">
        <f>IF(ISNUMBER(AVERAGE('20250815_ETF_Options_Exhibits'!S1723:S1727)),AVERAGE('20250815_ETF_Options_Exhibits'!S1723:S1727),"")</f>
        <v/>
      </c>
      <c r="T1727" s="3">
        <f>IF(ISNUMBER(AVERAGE('20250815_ETF_Options_Exhibits'!T1723:T1727)),AVERAGE('20250815_ETF_Options_Exhibits'!T1723:T1727),"")</f>
        <v/>
      </c>
      <c r="U1727" s="3">
        <f>IF(ISNUMBER(AVERAGE('20250815_ETF_Options_Exhibits'!U1723:U1727)),AVERAGE('20250815_ETF_Options_Exhibits'!U1723:U1727),"")</f>
        <v/>
      </c>
      <c r="V1727" s="3">
        <f>IF(ISNUMBER(AVERAGE('20250815_ETF_Options_Exhibits'!V1723:V1727)),AVERAGE('20250815_ETF_Options_Exhibits'!V1723:V1727),"")</f>
        <v/>
      </c>
      <c r="W1727" s="3">
        <f>IF(ISNUMBER(AVERAGE('20250815_ETF_Options_Exhibits'!W1723:W1727)),AVERAGE('20250815_ETF_Options_Exhibits'!W1723:W1727),"")</f>
        <v/>
      </c>
      <c r="X1727" s="3">
        <f>IF(ISNUMBER(AVERAGE('20250815_ETF_Options_Exhibits'!X1723:X1727)),AVERAGE('20250815_ETF_Options_Exhibits'!X1723:X1727),"")</f>
        <v/>
      </c>
      <c r="Y1727" s="3">
        <f>IF(ISNUMBER(AVERAGE('20250815_ETF_Options_Exhibits'!Y1723:Y1727)),AVERAGE('20250815_ETF_Options_Exhibits'!Y1723:Y1727),"")</f>
        <v/>
      </c>
      <c r="Z1727" s="3">
        <f>IF(ISNUMBER(AVERAGE('20250815_ETF_Options_Exhibits'!Z1723:Z1727)),AVERAGE('20250815_ETF_Options_Exhibits'!Z1723:Z1727),"")</f>
        <v/>
      </c>
      <c r="AA1727" s="3">
        <f>IF(ISNUMBER(AVERAGE('20250815_ETF_Options_Exhibits'!AA1723:AA1727)),AVERAGE('20250815_ETF_Options_Exhibits'!AA1723:AA1727),"")</f>
        <v/>
      </c>
    </row>
    <row r="1728">
      <c r="A1728" s="1" t="n">
        <v>44508</v>
      </c>
      <c r="B1728" s="3">
        <f>IF(ISNUMBER(AVERAGE('20250815_ETF_Options_Exhibits'!B1724:B1728)),AVERAGE('20250815_ETF_Options_Exhibits'!B1724:B1728),"")</f>
        <v/>
      </c>
      <c r="C1728" s="3">
        <f>IF(ISNUMBER(AVERAGE('20250815_ETF_Options_Exhibits'!C1724:C1728)),AVERAGE('20250815_ETF_Options_Exhibits'!C1724:C1728),"")</f>
        <v/>
      </c>
      <c r="D1728" s="3">
        <f>IF(ISNUMBER(AVERAGE('20250815_ETF_Options_Exhibits'!D1724:D1728)),AVERAGE('20250815_ETF_Options_Exhibits'!D1724:D1728),"")</f>
        <v/>
      </c>
      <c r="E1728" s="3">
        <f>IF(ISNUMBER(AVERAGE('20250815_ETF_Options_Exhibits'!E1724:E1728)),AVERAGE('20250815_ETF_Options_Exhibits'!E1724:E1728),"")</f>
        <v/>
      </c>
      <c r="F1728" s="3">
        <f>IF(ISNUMBER(AVERAGE('20250815_ETF_Options_Exhibits'!F1724:F1728)),AVERAGE('20250815_ETF_Options_Exhibits'!F1724:F1728),"")</f>
        <v/>
      </c>
      <c r="G1728" s="3">
        <f>IF(ISNUMBER(AVERAGE('20250815_ETF_Options_Exhibits'!G1724:G1728)),AVERAGE('20250815_ETF_Options_Exhibits'!G1724:G1728),"")</f>
        <v/>
      </c>
      <c r="H1728" s="3">
        <f>IF(ISNUMBER(AVERAGE('20250815_ETF_Options_Exhibits'!H1724:H1728)),AVERAGE('20250815_ETF_Options_Exhibits'!H1724:H1728),"")</f>
        <v/>
      </c>
      <c r="I1728" s="3">
        <f>IF(ISNUMBER(AVERAGE('20250815_ETF_Options_Exhibits'!I1724:I1728)),AVERAGE('20250815_ETF_Options_Exhibits'!I1724:I1728),"")</f>
        <v/>
      </c>
      <c r="J1728" s="3">
        <f>IF(ISNUMBER(AVERAGE('20250815_ETF_Options_Exhibits'!J1724:J1728)),AVERAGE('20250815_ETF_Options_Exhibits'!J1724:J1728),"")</f>
        <v/>
      </c>
      <c r="K1728" s="3">
        <f>IF(ISNUMBER(AVERAGE('20250815_ETF_Options_Exhibits'!K1724:K1728)),AVERAGE('20250815_ETF_Options_Exhibits'!K1724:K1728),"")</f>
        <v/>
      </c>
      <c r="L1728" s="3">
        <f>IF(ISNUMBER(AVERAGE('20250815_ETF_Options_Exhibits'!L1724:L1728)),AVERAGE('20250815_ETF_Options_Exhibits'!L1724:L1728),"")</f>
        <v/>
      </c>
      <c r="M1728" s="3">
        <f>IF(ISNUMBER(AVERAGE('20250815_ETF_Options_Exhibits'!M1724:M1728)),AVERAGE('20250815_ETF_Options_Exhibits'!M1724:M1728),"")</f>
        <v/>
      </c>
      <c r="N1728" s="3">
        <f>IF(ISNUMBER(AVERAGE('20250815_ETF_Options_Exhibits'!N1724:N1728)),AVERAGE('20250815_ETF_Options_Exhibits'!N1724:N1728),"")</f>
        <v/>
      </c>
      <c r="O1728" s="3">
        <f>IF(ISNUMBER(AVERAGE('20250815_ETF_Options_Exhibits'!O1724:O1728)),AVERAGE('20250815_ETF_Options_Exhibits'!O1724:O1728),"")</f>
        <v/>
      </c>
      <c r="P1728" s="3">
        <f>IF(ISNUMBER(AVERAGE('20250815_ETF_Options_Exhibits'!P1724:P1728)),AVERAGE('20250815_ETF_Options_Exhibits'!P1724:P1728),"")</f>
        <v/>
      </c>
      <c r="Q1728" s="3">
        <f>IF(ISNUMBER(AVERAGE('20250815_ETF_Options_Exhibits'!Q1724:Q1728)),AVERAGE('20250815_ETF_Options_Exhibits'!Q1724:Q1728),"")</f>
        <v/>
      </c>
      <c r="R1728" s="3">
        <f>IF(ISNUMBER(AVERAGE('20250815_ETF_Options_Exhibits'!R1724:R1728)),AVERAGE('20250815_ETF_Options_Exhibits'!R1724:R1728),"")</f>
        <v/>
      </c>
      <c r="S1728" s="3">
        <f>IF(ISNUMBER(AVERAGE('20250815_ETF_Options_Exhibits'!S1724:S1728)),AVERAGE('20250815_ETF_Options_Exhibits'!S1724:S1728),"")</f>
        <v/>
      </c>
      <c r="T1728" s="3">
        <f>IF(ISNUMBER(AVERAGE('20250815_ETF_Options_Exhibits'!T1724:T1728)),AVERAGE('20250815_ETF_Options_Exhibits'!T1724:T1728),"")</f>
        <v/>
      </c>
      <c r="U1728" s="3">
        <f>IF(ISNUMBER(AVERAGE('20250815_ETF_Options_Exhibits'!U1724:U1728)),AVERAGE('20250815_ETF_Options_Exhibits'!U1724:U1728),"")</f>
        <v/>
      </c>
      <c r="V1728" s="3">
        <f>IF(ISNUMBER(AVERAGE('20250815_ETF_Options_Exhibits'!V1724:V1728)),AVERAGE('20250815_ETF_Options_Exhibits'!V1724:V1728),"")</f>
        <v/>
      </c>
      <c r="W1728" s="3">
        <f>IF(ISNUMBER(AVERAGE('20250815_ETF_Options_Exhibits'!W1724:W1728)),AVERAGE('20250815_ETF_Options_Exhibits'!W1724:W1728),"")</f>
        <v/>
      </c>
      <c r="X1728" s="3">
        <f>IF(ISNUMBER(AVERAGE('20250815_ETF_Options_Exhibits'!X1724:X1728)),AVERAGE('20250815_ETF_Options_Exhibits'!X1724:X1728),"")</f>
        <v/>
      </c>
      <c r="Y1728" s="3">
        <f>IF(ISNUMBER(AVERAGE('20250815_ETF_Options_Exhibits'!Y1724:Y1728)),AVERAGE('20250815_ETF_Options_Exhibits'!Y1724:Y1728),"")</f>
        <v/>
      </c>
      <c r="Z1728" s="3">
        <f>IF(ISNUMBER(AVERAGE('20250815_ETF_Options_Exhibits'!Z1724:Z1728)),AVERAGE('20250815_ETF_Options_Exhibits'!Z1724:Z1728),"")</f>
        <v/>
      </c>
      <c r="AA1728" s="3">
        <f>IF(ISNUMBER(AVERAGE('20250815_ETF_Options_Exhibits'!AA1724:AA1728)),AVERAGE('20250815_ETF_Options_Exhibits'!AA1724:AA1728),"")</f>
        <v/>
      </c>
    </row>
    <row r="1729">
      <c r="A1729" s="1" t="n">
        <v>44509</v>
      </c>
      <c r="B1729" s="3">
        <f>IF(ISNUMBER(AVERAGE('20250815_ETF_Options_Exhibits'!B1725:B1729)),AVERAGE('20250815_ETF_Options_Exhibits'!B1725:B1729),"")</f>
        <v/>
      </c>
      <c r="C1729" s="3">
        <f>IF(ISNUMBER(AVERAGE('20250815_ETF_Options_Exhibits'!C1725:C1729)),AVERAGE('20250815_ETF_Options_Exhibits'!C1725:C1729),"")</f>
        <v/>
      </c>
      <c r="D1729" s="3">
        <f>IF(ISNUMBER(AVERAGE('20250815_ETF_Options_Exhibits'!D1725:D1729)),AVERAGE('20250815_ETF_Options_Exhibits'!D1725:D1729),"")</f>
        <v/>
      </c>
      <c r="E1729" s="3">
        <f>IF(ISNUMBER(AVERAGE('20250815_ETF_Options_Exhibits'!E1725:E1729)),AVERAGE('20250815_ETF_Options_Exhibits'!E1725:E1729),"")</f>
        <v/>
      </c>
      <c r="F1729" s="3">
        <f>IF(ISNUMBER(AVERAGE('20250815_ETF_Options_Exhibits'!F1725:F1729)),AVERAGE('20250815_ETF_Options_Exhibits'!F1725:F1729),"")</f>
        <v/>
      </c>
      <c r="G1729" s="3">
        <f>IF(ISNUMBER(AVERAGE('20250815_ETF_Options_Exhibits'!G1725:G1729)),AVERAGE('20250815_ETF_Options_Exhibits'!G1725:G1729),"")</f>
        <v/>
      </c>
      <c r="H1729" s="3">
        <f>IF(ISNUMBER(AVERAGE('20250815_ETF_Options_Exhibits'!H1725:H1729)),AVERAGE('20250815_ETF_Options_Exhibits'!H1725:H1729),"")</f>
        <v/>
      </c>
      <c r="I1729" s="3">
        <f>IF(ISNUMBER(AVERAGE('20250815_ETF_Options_Exhibits'!I1725:I1729)),AVERAGE('20250815_ETF_Options_Exhibits'!I1725:I1729),"")</f>
        <v/>
      </c>
      <c r="J1729" s="3">
        <f>IF(ISNUMBER(AVERAGE('20250815_ETF_Options_Exhibits'!J1725:J1729)),AVERAGE('20250815_ETF_Options_Exhibits'!J1725:J1729),"")</f>
        <v/>
      </c>
      <c r="K1729" s="3">
        <f>IF(ISNUMBER(AVERAGE('20250815_ETF_Options_Exhibits'!K1725:K1729)),AVERAGE('20250815_ETF_Options_Exhibits'!K1725:K1729),"")</f>
        <v/>
      </c>
      <c r="L1729" s="3">
        <f>IF(ISNUMBER(AVERAGE('20250815_ETF_Options_Exhibits'!L1725:L1729)),AVERAGE('20250815_ETF_Options_Exhibits'!L1725:L1729),"")</f>
        <v/>
      </c>
      <c r="M1729" s="3">
        <f>IF(ISNUMBER(AVERAGE('20250815_ETF_Options_Exhibits'!M1725:M1729)),AVERAGE('20250815_ETF_Options_Exhibits'!M1725:M1729),"")</f>
        <v/>
      </c>
      <c r="N1729" s="3">
        <f>IF(ISNUMBER(AVERAGE('20250815_ETF_Options_Exhibits'!N1725:N1729)),AVERAGE('20250815_ETF_Options_Exhibits'!N1725:N1729),"")</f>
        <v/>
      </c>
      <c r="O1729" s="3">
        <f>IF(ISNUMBER(AVERAGE('20250815_ETF_Options_Exhibits'!O1725:O1729)),AVERAGE('20250815_ETF_Options_Exhibits'!O1725:O1729),"")</f>
        <v/>
      </c>
      <c r="P1729" s="3">
        <f>IF(ISNUMBER(AVERAGE('20250815_ETF_Options_Exhibits'!P1725:P1729)),AVERAGE('20250815_ETF_Options_Exhibits'!P1725:P1729),"")</f>
        <v/>
      </c>
      <c r="Q1729" s="3">
        <f>IF(ISNUMBER(AVERAGE('20250815_ETF_Options_Exhibits'!Q1725:Q1729)),AVERAGE('20250815_ETF_Options_Exhibits'!Q1725:Q1729),"")</f>
        <v/>
      </c>
      <c r="R1729" s="3">
        <f>IF(ISNUMBER(AVERAGE('20250815_ETF_Options_Exhibits'!R1725:R1729)),AVERAGE('20250815_ETF_Options_Exhibits'!R1725:R1729),"")</f>
        <v/>
      </c>
      <c r="S1729" s="3">
        <f>IF(ISNUMBER(AVERAGE('20250815_ETF_Options_Exhibits'!S1725:S1729)),AVERAGE('20250815_ETF_Options_Exhibits'!S1725:S1729),"")</f>
        <v/>
      </c>
      <c r="T1729" s="3">
        <f>IF(ISNUMBER(AVERAGE('20250815_ETF_Options_Exhibits'!T1725:T1729)),AVERAGE('20250815_ETF_Options_Exhibits'!T1725:T1729),"")</f>
        <v/>
      </c>
      <c r="U1729" s="3">
        <f>IF(ISNUMBER(AVERAGE('20250815_ETF_Options_Exhibits'!U1725:U1729)),AVERAGE('20250815_ETF_Options_Exhibits'!U1725:U1729),"")</f>
        <v/>
      </c>
      <c r="V1729" s="3">
        <f>IF(ISNUMBER(AVERAGE('20250815_ETF_Options_Exhibits'!V1725:V1729)),AVERAGE('20250815_ETF_Options_Exhibits'!V1725:V1729),"")</f>
        <v/>
      </c>
      <c r="W1729" s="3">
        <f>IF(ISNUMBER(AVERAGE('20250815_ETF_Options_Exhibits'!W1725:W1729)),AVERAGE('20250815_ETF_Options_Exhibits'!W1725:W1729),"")</f>
        <v/>
      </c>
      <c r="X1729" s="3">
        <f>IF(ISNUMBER(AVERAGE('20250815_ETF_Options_Exhibits'!X1725:X1729)),AVERAGE('20250815_ETF_Options_Exhibits'!X1725:X1729),"")</f>
        <v/>
      </c>
      <c r="Y1729" s="3">
        <f>IF(ISNUMBER(AVERAGE('20250815_ETF_Options_Exhibits'!Y1725:Y1729)),AVERAGE('20250815_ETF_Options_Exhibits'!Y1725:Y1729),"")</f>
        <v/>
      </c>
      <c r="Z1729" s="3">
        <f>IF(ISNUMBER(AVERAGE('20250815_ETF_Options_Exhibits'!Z1725:Z1729)),AVERAGE('20250815_ETF_Options_Exhibits'!Z1725:Z1729),"")</f>
        <v/>
      </c>
      <c r="AA1729" s="3">
        <f>IF(ISNUMBER(AVERAGE('20250815_ETF_Options_Exhibits'!AA1725:AA1729)),AVERAGE('20250815_ETF_Options_Exhibits'!AA1725:AA1729),"")</f>
        <v/>
      </c>
    </row>
    <row r="1730">
      <c r="A1730" s="1" t="n">
        <v>44510</v>
      </c>
      <c r="B1730" s="3">
        <f>IF(ISNUMBER(AVERAGE('20250815_ETF_Options_Exhibits'!B1726:B1730)),AVERAGE('20250815_ETF_Options_Exhibits'!B1726:B1730),"")</f>
        <v/>
      </c>
      <c r="C1730" s="3">
        <f>IF(ISNUMBER(AVERAGE('20250815_ETF_Options_Exhibits'!C1726:C1730)),AVERAGE('20250815_ETF_Options_Exhibits'!C1726:C1730),"")</f>
        <v/>
      </c>
      <c r="D1730" s="3">
        <f>IF(ISNUMBER(AVERAGE('20250815_ETF_Options_Exhibits'!D1726:D1730)),AVERAGE('20250815_ETF_Options_Exhibits'!D1726:D1730),"")</f>
        <v/>
      </c>
      <c r="E1730" s="3">
        <f>IF(ISNUMBER(AVERAGE('20250815_ETF_Options_Exhibits'!E1726:E1730)),AVERAGE('20250815_ETF_Options_Exhibits'!E1726:E1730),"")</f>
        <v/>
      </c>
      <c r="F1730" s="3">
        <f>IF(ISNUMBER(AVERAGE('20250815_ETF_Options_Exhibits'!F1726:F1730)),AVERAGE('20250815_ETF_Options_Exhibits'!F1726:F1730),"")</f>
        <v/>
      </c>
      <c r="G1730" s="3">
        <f>IF(ISNUMBER(AVERAGE('20250815_ETF_Options_Exhibits'!G1726:G1730)),AVERAGE('20250815_ETF_Options_Exhibits'!G1726:G1730),"")</f>
        <v/>
      </c>
      <c r="H1730" s="3">
        <f>IF(ISNUMBER(AVERAGE('20250815_ETF_Options_Exhibits'!H1726:H1730)),AVERAGE('20250815_ETF_Options_Exhibits'!H1726:H1730),"")</f>
        <v/>
      </c>
      <c r="I1730" s="3">
        <f>IF(ISNUMBER(AVERAGE('20250815_ETF_Options_Exhibits'!I1726:I1730)),AVERAGE('20250815_ETF_Options_Exhibits'!I1726:I1730),"")</f>
        <v/>
      </c>
      <c r="J1730" s="3">
        <f>IF(ISNUMBER(AVERAGE('20250815_ETF_Options_Exhibits'!J1726:J1730)),AVERAGE('20250815_ETF_Options_Exhibits'!J1726:J1730),"")</f>
        <v/>
      </c>
      <c r="K1730" s="3">
        <f>IF(ISNUMBER(AVERAGE('20250815_ETF_Options_Exhibits'!K1726:K1730)),AVERAGE('20250815_ETF_Options_Exhibits'!K1726:K1730),"")</f>
        <v/>
      </c>
      <c r="L1730" s="3">
        <f>IF(ISNUMBER(AVERAGE('20250815_ETF_Options_Exhibits'!L1726:L1730)),AVERAGE('20250815_ETF_Options_Exhibits'!L1726:L1730),"")</f>
        <v/>
      </c>
      <c r="M1730" s="3">
        <f>IF(ISNUMBER(AVERAGE('20250815_ETF_Options_Exhibits'!M1726:M1730)),AVERAGE('20250815_ETF_Options_Exhibits'!M1726:M1730),"")</f>
        <v/>
      </c>
      <c r="N1730" s="3">
        <f>IF(ISNUMBER(AVERAGE('20250815_ETF_Options_Exhibits'!N1726:N1730)),AVERAGE('20250815_ETF_Options_Exhibits'!N1726:N1730),"")</f>
        <v/>
      </c>
      <c r="O1730" s="3">
        <f>IF(ISNUMBER(AVERAGE('20250815_ETF_Options_Exhibits'!O1726:O1730)),AVERAGE('20250815_ETF_Options_Exhibits'!O1726:O1730),"")</f>
        <v/>
      </c>
      <c r="P1730" s="3">
        <f>IF(ISNUMBER(AVERAGE('20250815_ETF_Options_Exhibits'!P1726:P1730)),AVERAGE('20250815_ETF_Options_Exhibits'!P1726:P1730),"")</f>
        <v/>
      </c>
      <c r="Q1730" s="3">
        <f>IF(ISNUMBER(AVERAGE('20250815_ETF_Options_Exhibits'!Q1726:Q1730)),AVERAGE('20250815_ETF_Options_Exhibits'!Q1726:Q1730),"")</f>
        <v/>
      </c>
      <c r="R1730" s="3">
        <f>IF(ISNUMBER(AVERAGE('20250815_ETF_Options_Exhibits'!R1726:R1730)),AVERAGE('20250815_ETF_Options_Exhibits'!R1726:R1730),"")</f>
        <v/>
      </c>
      <c r="S1730" s="3">
        <f>IF(ISNUMBER(AVERAGE('20250815_ETF_Options_Exhibits'!S1726:S1730)),AVERAGE('20250815_ETF_Options_Exhibits'!S1726:S1730),"")</f>
        <v/>
      </c>
      <c r="T1730" s="3">
        <f>IF(ISNUMBER(AVERAGE('20250815_ETF_Options_Exhibits'!T1726:T1730)),AVERAGE('20250815_ETF_Options_Exhibits'!T1726:T1730),"")</f>
        <v/>
      </c>
      <c r="U1730" s="3">
        <f>IF(ISNUMBER(AVERAGE('20250815_ETF_Options_Exhibits'!U1726:U1730)),AVERAGE('20250815_ETF_Options_Exhibits'!U1726:U1730),"")</f>
        <v/>
      </c>
      <c r="V1730" s="3">
        <f>IF(ISNUMBER(AVERAGE('20250815_ETF_Options_Exhibits'!V1726:V1730)),AVERAGE('20250815_ETF_Options_Exhibits'!V1726:V1730),"")</f>
        <v/>
      </c>
      <c r="W1730" s="3">
        <f>IF(ISNUMBER(AVERAGE('20250815_ETF_Options_Exhibits'!W1726:W1730)),AVERAGE('20250815_ETF_Options_Exhibits'!W1726:W1730),"")</f>
        <v/>
      </c>
      <c r="X1730" s="3">
        <f>IF(ISNUMBER(AVERAGE('20250815_ETF_Options_Exhibits'!X1726:X1730)),AVERAGE('20250815_ETF_Options_Exhibits'!X1726:X1730),"")</f>
        <v/>
      </c>
      <c r="Y1730" s="3">
        <f>IF(ISNUMBER(AVERAGE('20250815_ETF_Options_Exhibits'!Y1726:Y1730)),AVERAGE('20250815_ETF_Options_Exhibits'!Y1726:Y1730),"")</f>
        <v/>
      </c>
      <c r="Z1730" s="3">
        <f>IF(ISNUMBER(AVERAGE('20250815_ETF_Options_Exhibits'!Z1726:Z1730)),AVERAGE('20250815_ETF_Options_Exhibits'!Z1726:Z1730),"")</f>
        <v/>
      </c>
      <c r="AA1730" s="3">
        <f>IF(ISNUMBER(AVERAGE('20250815_ETF_Options_Exhibits'!AA1726:AA1730)),AVERAGE('20250815_ETF_Options_Exhibits'!AA1726:AA1730),"")</f>
        <v/>
      </c>
    </row>
    <row r="1731">
      <c r="A1731" s="1" t="n">
        <v>44511</v>
      </c>
      <c r="B1731" s="3">
        <f>IF(ISNUMBER(AVERAGE('20250815_ETF_Options_Exhibits'!B1727:B1731)),AVERAGE('20250815_ETF_Options_Exhibits'!B1727:B1731),"")</f>
        <v/>
      </c>
      <c r="C1731" s="3">
        <f>IF(ISNUMBER(AVERAGE('20250815_ETF_Options_Exhibits'!C1727:C1731)),AVERAGE('20250815_ETF_Options_Exhibits'!C1727:C1731),"")</f>
        <v/>
      </c>
      <c r="D1731" s="3">
        <f>IF(ISNUMBER(AVERAGE('20250815_ETF_Options_Exhibits'!D1727:D1731)),AVERAGE('20250815_ETF_Options_Exhibits'!D1727:D1731),"")</f>
        <v/>
      </c>
      <c r="E1731" s="3">
        <f>IF(ISNUMBER(AVERAGE('20250815_ETF_Options_Exhibits'!E1727:E1731)),AVERAGE('20250815_ETF_Options_Exhibits'!E1727:E1731),"")</f>
        <v/>
      </c>
      <c r="F1731" s="3">
        <f>IF(ISNUMBER(AVERAGE('20250815_ETF_Options_Exhibits'!F1727:F1731)),AVERAGE('20250815_ETF_Options_Exhibits'!F1727:F1731),"")</f>
        <v/>
      </c>
      <c r="G1731" s="3">
        <f>IF(ISNUMBER(AVERAGE('20250815_ETF_Options_Exhibits'!G1727:G1731)),AVERAGE('20250815_ETF_Options_Exhibits'!G1727:G1731),"")</f>
        <v/>
      </c>
      <c r="H1731" s="3">
        <f>IF(ISNUMBER(AVERAGE('20250815_ETF_Options_Exhibits'!H1727:H1731)),AVERAGE('20250815_ETF_Options_Exhibits'!H1727:H1731),"")</f>
        <v/>
      </c>
      <c r="I1731" s="3">
        <f>IF(ISNUMBER(AVERAGE('20250815_ETF_Options_Exhibits'!I1727:I1731)),AVERAGE('20250815_ETF_Options_Exhibits'!I1727:I1731),"")</f>
        <v/>
      </c>
      <c r="J1731" s="3">
        <f>IF(ISNUMBER(AVERAGE('20250815_ETF_Options_Exhibits'!J1727:J1731)),AVERAGE('20250815_ETF_Options_Exhibits'!J1727:J1731),"")</f>
        <v/>
      </c>
      <c r="K1731" s="3">
        <f>IF(ISNUMBER(AVERAGE('20250815_ETF_Options_Exhibits'!K1727:K1731)),AVERAGE('20250815_ETF_Options_Exhibits'!K1727:K1731),"")</f>
        <v/>
      </c>
      <c r="L1731" s="3">
        <f>IF(ISNUMBER(AVERAGE('20250815_ETF_Options_Exhibits'!L1727:L1731)),AVERAGE('20250815_ETF_Options_Exhibits'!L1727:L1731),"")</f>
        <v/>
      </c>
      <c r="M1731" s="3">
        <f>IF(ISNUMBER(AVERAGE('20250815_ETF_Options_Exhibits'!M1727:M1731)),AVERAGE('20250815_ETF_Options_Exhibits'!M1727:M1731),"")</f>
        <v/>
      </c>
      <c r="N1731" s="3">
        <f>IF(ISNUMBER(AVERAGE('20250815_ETF_Options_Exhibits'!N1727:N1731)),AVERAGE('20250815_ETF_Options_Exhibits'!N1727:N1731),"")</f>
        <v/>
      </c>
      <c r="O1731" s="3">
        <f>IF(ISNUMBER(AVERAGE('20250815_ETF_Options_Exhibits'!O1727:O1731)),AVERAGE('20250815_ETF_Options_Exhibits'!O1727:O1731),"")</f>
        <v/>
      </c>
      <c r="P1731" s="3">
        <f>IF(ISNUMBER(AVERAGE('20250815_ETF_Options_Exhibits'!P1727:P1731)),AVERAGE('20250815_ETF_Options_Exhibits'!P1727:P1731),"")</f>
        <v/>
      </c>
      <c r="Q1731" s="3">
        <f>IF(ISNUMBER(AVERAGE('20250815_ETF_Options_Exhibits'!Q1727:Q1731)),AVERAGE('20250815_ETF_Options_Exhibits'!Q1727:Q1731),"")</f>
        <v/>
      </c>
      <c r="R1731" s="3">
        <f>IF(ISNUMBER(AVERAGE('20250815_ETF_Options_Exhibits'!R1727:R1731)),AVERAGE('20250815_ETF_Options_Exhibits'!R1727:R1731),"")</f>
        <v/>
      </c>
      <c r="S1731" s="3">
        <f>IF(ISNUMBER(AVERAGE('20250815_ETF_Options_Exhibits'!S1727:S1731)),AVERAGE('20250815_ETF_Options_Exhibits'!S1727:S1731),"")</f>
        <v/>
      </c>
      <c r="T1731" s="3">
        <f>IF(ISNUMBER(AVERAGE('20250815_ETF_Options_Exhibits'!T1727:T1731)),AVERAGE('20250815_ETF_Options_Exhibits'!T1727:T1731),"")</f>
        <v/>
      </c>
      <c r="U1731" s="3">
        <f>IF(ISNUMBER(AVERAGE('20250815_ETF_Options_Exhibits'!U1727:U1731)),AVERAGE('20250815_ETF_Options_Exhibits'!U1727:U1731),"")</f>
        <v/>
      </c>
      <c r="V1731" s="3">
        <f>IF(ISNUMBER(AVERAGE('20250815_ETF_Options_Exhibits'!V1727:V1731)),AVERAGE('20250815_ETF_Options_Exhibits'!V1727:V1731),"")</f>
        <v/>
      </c>
      <c r="W1731" s="3">
        <f>IF(ISNUMBER(AVERAGE('20250815_ETF_Options_Exhibits'!W1727:W1731)),AVERAGE('20250815_ETF_Options_Exhibits'!W1727:W1731),"")</f>
        <v/>
      </c>
      <c r="X1731" s="3">
        <f>IF(ISNUMBER(AVERAGE('20250815_ETF_Options_Exhibits'!X1727:X1731)),AVERAGE('20250815_ETF_Options_Exhibits'!X1727:X1731),"")</f>
        <v/>
      </c>
      <c r="Y1731" s="3">
        <f>IF(ISNUMBER(AVERAGE('20250815_ETF_Options_Exhibits'!Y1727:Y1731)),AVERAGE('20250815_ETF_Options_Exhibits'!Y1727:Y1731),"")</f>
        <v/>
      </c>
      <c r="Z1731" s="3">
        <f>IF(ISNUMBER(AVERAGE('20250815_ETF_Options_Exhibits'!Z1727:Z1731)),AVERAGE('20250815_ETF_Options_Exhibits'!Z1727:Z1731),"")</f>
        <v/>
      </c>
      <c r="AA1731" s="3">
        <f>IF(ISNUMBER(AVERAGE('20250815_ETF_Options_Exhibits'!AA1727:AA1731)),AVERAGE('20250815_ETF_Options_Exhibits'!AA1727:AA1731),"")</f>
        <v/>
      </c>
    </row>
    <row r="1732">
      <c r="A1732" s="1" t="n">
        <v>44512</v>
      </c>
      <c r="B1732" s="3">
        <f>IF(ISNUMBER(AVERAGE('20250815_ETF_Options_Exhibits'!B1728:B1732)),AVERAGE('20250815_ETF_Options_Exhibits'!B1728:B1732),"")</f>
        <v/>
      </c>
      <c r="C1732" s="3">
        <f>IF(ISNUMBER(AVERAGE('20250815_ETF_Options_Exhibits'!C1728:C1732)),AVERAGE('20250815_ETF_Options_Exhibits'!C1728:C1732),"")</f>
        <v/>
      </c>
      <c r="D1732" s="3">
        <f>IF(ISNUMBER(AVERAGE('20250815_ETF_Options_Exhibits'!D1728:D1732)),AVERAGE('20250815_ETF_Options_Exhibits'!D1728:D1732),"")</f>
        <v/>
      </c>
      <c r="E1732" s="3">
        <f>IF(ISNUMBER(AVERAGE('20250815_ETF_Options_Exhibits'!E1728:E1732)),AVERAGE('20250815_ETF_Options_Exhibits'!E1728:E1732),"")</f>
        <v/>
      </c>
      <c r="F1732" s="3">
        <f>IF(ISNUMBER(AVERAGE('20250815_ETF_Options_Exhibits'!F1728:F1732)),AVERAGE('20250815_ETF_Options_Exhibits'!F1728:F1732),"")</f>
        <v/>
      </c>
      <c r="G1732" s="3">
        <f>IF(ISNUMBER(AVERAGE('20250815_ETF_Options_Exhibits'!G1728:G1732)),AVERAGE('20250815_ETF_Options_Exhibits'!G1728:G1732),"")</f>
        <v/>
      </c>
      <c r="H1732" s="3">
        <f>IF(ISNUMBER(AVERAGE('20250815_ETF_Options_Exhibits'!H1728:H1732)),AVERAGE('20250815_ETF_Options_Exhibits'!H1728:H1732),"")</f>
        <v/>
      </c>
      <c r="I1732" s="3">
        <f>IF(ISNUMBER(AVERAGE('20250815_ETF_Options_Exhibits'!I1728:I1732)),AVERAGE('20250815_ETF_Options_Exhibits'!I1728:I1732),"")</f>
        <v/>
      </c>
      <c r="J1732" s="3">
        <f>IF(ISNUMBER(AVERAGE('20250815_ETF_Options_Exhibits'!J1728:J1732)),AVERAGE('20250815_ETF_Options_Exhibits'!J1728:J1732),"")</f>
        <v/>
      </c>
      <c r="K1732" s="3">
        <f>IF(ISNUMBER(AVERAGE('20250815_ETF_Options_Exhibits'!K1728:K1732)),AVERAGE('20250815_ETF_Options_Exhibits'!K1728:K1732),"")</f>
        <v/>
      </c>
      <c r="L1732" s="3">
        <f>IF(ISNUMBER(AVERAGE('20250815_ETF_Options_Exhibits'!L1728:L1732)),AVERAGE('20250815_ETF_Options_Exhibits'!L1728:L1732),"")</f>
        <v/>
      </c>
      <c r="M1732" s="3">
        <f>IF(ISNUMBER(AVERAGE('20250815_ETF_Options_Exhibits'!M1728:M1732)),AVERAGE('20250815_ETF_Options_Exhibits'!M1728:M1732),"")</f>
        <v/>
      </c>
      <c r="N1732" s="3">
        <f>IF(ISNUMBER(AVERAGE('20250815_ETF_Options_Exhibits'!N1728:N1732)),AVERAGE('20250815_ETF_Options_Exhibits'!N1728:N1732),"")</f>
        <v/>
      </c>
      <c r="O1732" s="3">
        <f>IF(ISNUMBER(AVERAGE('20250815_ETF_Options_Exhibits'!O1728:O1732)),AVERAGE('20250815_ETF_Options_Exhibits'!O1728:O1732),"")</f>
        <v/>
      </c>
      <c r="P1732" s="3">
        <f>IF(ISNUMBER(AVERAGE('20250815_ETF_Options_Exhibits'!P1728:P1732)),AVERAGE('20250815_ETF_Options_Exhibits'!P1728:P1732),"")</f>
        <v/>
      </c>
      <c r="Q1732" s="3">
        <f>IF(ISNUMBER(AVERAGE('20250815_ETF_Options_Exhibits'!Q1728:Q1732)),AVERAGE('20250815_ETF_Options_Exhibits'!Q1728:Q1732),"")</f>
        <v/>
      </c>
      <c r="R1732" s="3">
        <f>IF(ISNUMBER(AVERAGE('20250815_ETF_Options_Exhibits'!R1728:R1732)),AVERAGE('20250815_ETF_Options_Exhibits'!R1728:R1732),"")</f>
        <v/>
      </c>
      <c r="S1732" s="3">
        <f>IF(ISNUMBER(AVERAGE('20250815_ETF_Options_Exhibits'!S1728:S1732)),AVERAGE('20250815_ETF_Options_Exhibits'!S1728:S1732),"")</f>
        <v/>
      </c>
      <c r="T1732" s="3">
        <f>IF(ISNUMBER(AVERAGE('20250815_ETF_Options_Exhibits'!T1728:T1732)),AVERAGE('20250815_ETF_Options_Exhibits'!T1728:T1732),"")</f>
        <v/>
      </c>
      <c r="U1732" s="3">
        <f>IF(ISNUMBER(AVERAGE('20250815_ETF_Options_Exhibits'!U1728:U1732)),AVERAGE('20250815_ETF_Options_Exhibits'!U1728:U1732),"")</f>
        <v/>
      </c>
      <c r="V1732" s="3">
        <f>IF(ISNUMBER(AVERAGE('20250815_ETF_Options_Exhibits'!V1728:V1732)),AVERAGE('20250815_ETF_Options_Exhibits'!V1728:V1732),"")</f>
        <v/>
      </c>
      <c r="W1732" s="3">
        <f>IF(ISNUMBER(AVERAGE('20250815_ETF_Options_Exhibits'!W1728:W1732)),AVERAGE('20250815_ETF_Options_Exhibits'!W1728:W1732),"")</f>
        <v/>
      </c>
      <c r="X1732" s="3">
        <f>IF(ISNUMBER(AVERAGE('20250815_ETF_Options_Exhibits'!X1728:X1732)),AVERAGE('20250815_ETF_Options_Exhibits'!X1728:X1732),"")</f>
        <v/>
      </c>
      <c r="Y1732" s="3">
        <f>IF(ISNUMBER(AVERAGE('20250815_ETF_Options_Exhibits'!Y1728:Y1732)),AVERAGE('20250815_ETF_Options_Exhibits'!Y1728:Y1732),"")</f>
        <v/>
      </c>
      <c r="Z1732" s="3">
        <f>IF(ISNUMBER(AVERAGE('20250815_ETF_Options_Exhibits'!Z1728:Z1732)),AVERAGE('20250815_ETF_Options_Exhibits'!Z1728:Z1732),"")</f>
        <v/>
      </c>
      <c r="AA1732" s="3">
        <f>IF(ISNUMBER(AVERAGE('20250815_ETF_Options_Exhibits'!AA1728:AA1732)),AVERAGE('20250815_ETF_Options_Exhibits'!AA1728:AA1732),"")</f>
        <v/>
      </c>
    </row>
    <row r="1733">
      <c r="A1733" s="1" t="n">
        <v>44515</v>
      </c>
      <c r="B1733" s="3">
        <f>IF(ISNUMBER(AVERAGE('20250815_ETF_Options_Exhibits'!B1729:B1733)),AVERAGE('20250815_ETF_Options_Exhibits'!B1729:B1733),"")</f>
        <v/>
      </c>
      <c r="C1733" s="3">
        <f>IF(ISNUMBER(AVERAGE('20250815_ETF_Options_Exhibits'!C1729:C1733)),AVERAGE('20250815_ETF_Options_Exhibits'!C1729:C1733),"")</f>
        <v/>
      </c>
      <c r="D1733" s="3">
        <f>IF(ISNUMBER(AVERAGE('20250815_ETF_Options_Exhibits'!D1729:D1733)),AVERAGE('20250815_ETF_Options_Exhibits'!D1729:D1733),"")</f>
        <v/>
      </c>
      <c r="E1733" s="3">
        <f>IF(ISNUMBER(AVERAGE('20250815_ETF_Options_Exhibits'!E1729:E1733)),AVERAGE('20250815_ETF_Options_Exhibits'!E1729:E1733),"")</f>
        <v/>
      </c>
      <c r="F1733" s="3">
        <f>IF(ISNUMBER(AVERAGE('20250815_ETF_Options_Exhibits'!F1729:F1733)),AVERAGE('20250815_ETF_Options_Exhibits'!F1729:F1733),"")</f>
        <v/>
      </c>
      <c r="G1733" s="3">
        <f>IF(ISNUMBER(AVERAGE('20250815_ETF_Options_Exhibits'!G1729:G1733)),AVERAGE('20250815_ETF_Options_Exhibits'!G1729:G1733),"")</f>
        <v/>
      </c>
      <c r="H1733" s="3">
        <f>IF(ISNUMBER(AVERAGE('20250815_ETF_Options_Exhibits'!H1729:H1733)),AVERAGE('20250815_ETF_Options_Exhibits'!H1729:H1733),"")</f>
        <v/>
      </c>
      <c r="I1733" s="3">
        <f>IF(ISNUMBER(AVERAGE('20250815_ETF_Options_Exhibits'!I1729:I1733)),AVERAGE('20250815_ETF_Options_Exhibits'!I1729:I1733),"")</f>
        <v/>
      </c>
      <c r="J1733" s="3">
        <f>IF(ISNUMBER(AVERAGE('20250815_ETF_Options_Exhibits'!J1729:J1733)),AVERAGE('20250815_ETF_Options_Exhibits'!J1729:J1733),"")</f>
        <v/>
      </c>
      <c r="K1733" s="3">
        <f>IF(ISNUMBER(AVERAGE('20250815_ETF_Options_Exhibits'!K1729:K1733)),AVERAGE('20250815_ETF_Options_Exhibits'!K1729:K1733),"")</f>
        <v/>
      </c>
      <c r="L1733" s="3">
        <f>IF(ISNUMBER(AVERAGE('20250815_ETF_Options_Exhibits'!L1729:L1733)),AVERAGE('20250815_ETF_Options_Exhibits'!L1729:L1733),"")</f>
        <v/>
      </c>
      <c r="M1733" s="3">
        <f>IF(ISNUMBER(AVERAGE('20250815_ETF_Options_Exhibits'!M1729:M1733)),AVERAGE('20250815_ETF_Options_Exhibits'!M1729:M1733),"")</f>
        <v/>
      </c>
      <c r="N1733" s="3">
        <f>IF(ISNUMBER(AVERAGE('20250815_ETF_Options_Exhibits'!N1729:N1733)),AVERAGE('20250815_ETF_Options_Exhibits'!N1729:N1733),"")</f>
        <v/>
      </c>
      <c r="O1733" s="3">
        <f>IF(ISNUMBER(AVERAGE('20250815_ETF_Options_Exhibits'!O1729:O1733)),AVERAGE('20250815_ETF_Options_Exhibits'!O1729:O1733),"")</f>
        <v/>
      </c>
      <c r="P1733" s="3">
        <f>IF(ISNUMBER(AVERAGE('20250815_ETF_Options_Exhibits'!P1729:P1733)),AVERAGE('20250815_ETF_Options_Exhibits'!P1729:P1733),"")</f>
        <v/>
      </c>
      <c r="Q1733" s="3">
        <f>IF(ISNUMBER(AVERAGE('20250815_ETF_Options_Exhibits'!Q1729:Q1733)),AVERAGE('20250815_ETF_Options_Exhibits'!Q1729:Q1733),"")</f>
        <v/>
      </c>
      <c r="R1733" s="3">
        <f>IF(ISNUMBER(AVERAGE('20250815_ETF_Options_Exhibits'!R1729:R1733)),AVERAGE('20250815_ETF_Options_Exhibits'!R1729:R1733),"")</f>
        <v/>
      </c>
      <c r="S1733" s="3">
        <f>IF(ISNUMBER(AVERAGE('20250815_ETF_Options_Exhibits'!S1729:S1733)),AVERAGE('20250815_ETF_Options_Exhibits'!S1729:S1733),"")</f>
        <v/>
      </c>
      <c r="T1733" s="3">
        <f>IF(ISNUMBER(AVERAGE('20250815_ETF_Options_Exhibits'!T1729:T1733)),AVERAGE('20250815_ETF_Options_Exhibits'!T1729:T1733),"")</f>
        <v/>
      </c>
      <c r="U1733" s="3">
        <f>IF(ISNUMBER(AVERAGE('20250815_ETF_Options_Exhibits'!U1729:U1733)),AVERAGE('20250815_ETF_Options_Exhibits'!U1729:U1733),"")</f>
        <v/>
      </c>
      <c r="V1733" s="3">
        <f>IF(ISNUMBER(AVERAGE('20250815_ETF_Options_Exhibits'!V1729:V1733)),AVERAGE('20250815_ETF_Options_Exhibits'!V1729:V1733),"")</f>
        <v/>
      </c>
      <c r="W1733" s="3">
        <f>IF(ISNUMBER(AVERAGE('20250815_ETF_Options_Exhibits'!W1729:W1733)),AVERAGE('20250815_ETF_Options_Exhibits'!W1729:W1733),"")</f>
        <v/>
      </c>
      <c r="X1733" s="3">
        <f>IF(ISNUMBER(AVERAGE('20250815_ETF_Options_Exhibits'!X1729:X1733)),AVERAGE('20250815_ETF_Options_Exhibits'!X1729:X1733),"")</f>
        <v/>
      </c>
      <c r="Y1733" s="3">
        <f>IF(ISNUMBER(AVERAGE('20250815_ETF_Options_Exhibits'!Y1729:Y1733)),AVERAGE('20250815_ETF_Options_Exhibits'!Y1729:Y1733),"")</f>
        <v/>
      </c>
      <c r="Z1733" s="3">
        <f>IF(ISNUMBER(AVERAGE('20250815_ETF_Options_Exhibits'!Z1729:Z1733)),AVERAGE('20250815_ETF_Options_Exhibits'!Z1729:Z1733),"")</f>
        <v/>
      </c>
      <c r="AA1733" s="3">
        <f>IF(ISNUMBER(AVERAGE('20250815_ETF_Options_Exhibits'!AA1729:AA1733)),AVERAGE('20250815_ETF_Options_Exhibits'!AA1729:AA1733),"")</f>
        <v/>
      </c>
    </row>
    <row r="1734">
      <c r="A1734" s="1" t="n">
        <v>44516</v>
      </c>
      <c r="B1734" s="3">
        <f>IF(ISNUMBER(AVERAGE('20250815_ETF_Options_Exhibits'!B1730:B1734)),AVERAGE('20250815_ETF_Options_Exhibits'!B1730:B1734),"")</f>
        <v/>
      </c>
      <c r="C1734" s="3">
        <f>IF(ISNUMBER(AVERAGE('20250815_ETF_Options_Exhibits'!C1730:C1734)),AVERAGE('20250815_ETF_Options_Exhibits'!C1730:C1734),"")</f>
        <v/>
      </c>
      <c r="D1734" s="3">
        <f>IF(ISNUMBER(AVERAGE('20250815_ETF_Options_Exhibits'!D1730:D1734)),AVERAGE('20250815_ETF_Options_Exhibits'!D1730:D1734),"")</f>
        <v/>
      </c>
      <c r="E1734" s="3">
        <f>IF(ISNUMBER(AVERAGE('20250815_ETF_Options_Exhibits'!E1730:E1734)),AVERAGE('20250815_ETF_Options_Exhibits'!E1730:E1734),"")</f>
        <v/>
      </c>
      <c r="F1734" s="3">
        <f>IF(ISNUMBER(AVERAGE('20250815_ETF_Options_Exhibits'!F1730:F1734)),AVERAGE('20250815_ETF_Options_Exhibits'!F1730:F1734),"")</f>
        <v/>
      </c>
      <c r="G1734" s="3">
        <f>IF(ISNUMBER(AVERAGE('20250815_ETF_Options_Exhibits'!G1730:G1734)),AVERAGE('20250815_ETF_Options_Exhibits'!G1730:G1734),"")</f>
        <v/>
      </c>
      <c r="H1734" s="3">
        <f>IF(ISNUMBER(AVERAGE('20250815_ETF_Options_Exhibits'!H1730:H1734)),AVERAGE('20250815_ETF_Options_Exhibits'!H1730:H1734),"")</f>
        <v/>
      </c>
      <c r="I1734" s="3">
        <f>IF(ISNUMBER(AVERAGE('20250815_ETF_Options_Exhibits'!I1730:I1734)),AVERAGE('20250815_ETF_Options_Exhibits'!I1730:I1734),"")</f>
        <v/>
      </c>
      <c r="J1734" s="3">
        <f>IF(ISNUMBER(AVERAGE('20250815_ETF_Options_Exhibits'!J1730:J1734)),AVERAGE('20250815_ETF_Options_Exhibits'!J1730:J1734),"")</f>
        <v/>
      </c>
      <c r="K1734" s="3">
        <f>IF(ISNUMBER(AVERAGE('20250815_ETF_Options_Exhibits'!K1730:K1734)),AVERAGE('20250815_ETF_Options_Exhibits'!K1730:K1734),"")</f>
        <v/>
      </c>
      <c r="L1734" s="3">
        <f>IF(ISNUMBER(AVERAGE('20250815_ETF_Options_Exhibits'!L1730:L1734)),AVERAGE('20250815_ETF_Options_Exhibits'!L1730:L1734),"")</f>
        <v/>
      </c>
      <c r="M1734" s="3">
        <f>IF(ISNUMBER(AVERAGE('20250815_ETF_Options_Exhibits'!M1730:M1734)),AVERAGE('20250815_ETF_Options_Exhibits'!M1730:M1734),"")</f>
        <v/>
      </c>
      <c r="N1734" s="3">
        <f>IF(ISNUMBER(AVERAGE('20250815_ETF_Options_Exhibits'!N1730:N1734)),AVERAGE('20250815_ETF_Options_Exhibits'!N1730:N1734),"")</f>
        <v/>
      </c>
      <c r="O1734" s="3">
        <f>IF(ISNUMBER(AVERAGE('20250815_ETF_Options_Exhibits'!O1730:O1734)),AVERAGE('20250815_ETF_Options_Exhibits'!O1730:O1734),"")</f>
        <v/>
      </c>
      <c r="P1734" s="3">
        <f>IF(ISNUMBER(AVERAGE('20250815_ETF_Options_Exhibits'!P1730:P1734)),AVERAGE('20250815_ETF_Options_Exhibits'!P1730:P1734),"")</f>
        <v/>
      </c>
      <c r="Q1734" s="3">
        <f>IF(ISNUMBER(AVERAGE('20250815_ETF_Options_Exhibits'!Q1730:Q1734)),AVERAGE('20250815_ETF_Options_Exhibits'!Q1730:Q1734),"")</f>
        <v/>
      </c>
      <c r="R1734" s="3">
        <f>IF(ISNUMBER(AVERAGE('20250815_ETF_Options_Exhibits'!R1730:R1734)),AVERAGE('20250815_ETF_Options_Exhibits'!R1730:R1734),"")</f>
        <v/>
      </c>
      <c r="S1734" s="3">
        <f>IF(ISNUMBER(AVERAGE('20250815_ETF_Options_Exhibits'!S1730:S1734)),AVERAGE('20250815_ETF_Options_Exhibits'!S1730:S1734),"")</f>
        <v/>
      </c>
      <c r="T1734" s="3">
        <f>IF(ISNUMBER(AVERAGE('20250815_ETF_Options_Exhibits'!T1730:T1734)),AVERAGE('20250815_ETF_Options_Exhibits'!T1730:T1734),"")</f>
        <v/>
      </c>
      <c r="U1734" s="3">
        <f>IF(ISNUMBER(AVERAGE('20250815_ETF_Options_Exhibits'!U1730:U1734)),AVERAGE('20250815_ETF_Options_Exhibits'!U1730:U1734),"")</f>
        <v/>
      </c>
      <c r="V1734" s="3">
        <f>IF(ISNUMBER(AVERAGE('20250815_ETF_Options_Exhibits'!V1730:V1734)),AVERAGE('20250815_ETF_Options_Exhibits'!V1730:V1734),"")</f>
        <v/>
      </c>
      <c r="W1734" s="3">
        <f>IF(ISNUMBER(AVERAGE('20250815_ETF_Options_Exhibits'!W1730:W1734)),AVERAGE('20250815_ETF_Options_Exhibits'!W1730:W1734),"")</f>
        <v/>
      </c>
      <c r="X1734" s="3">
        <f>IF(ISNUMBER(AVERAGE('20250815_ETF_Options_Exhibits'!X1730:X1734)),AVERAGE('20250815_ETF_Options_Exhibits'!X1730:X1734),"")</f>
        <v/>
      </c>
      <c r="Y1734" s="3">
        <f>IF(ISNUMBER(AVERAGE('20250815_ETF_Options_Exhibits'!Y1730:Y1734)),AVERAGE('20250815_ETF_Options_Exhibits'!Y1730:Y1734),"")</f>
        <v/>
      </c>
      <c r="Z1734" s="3">
        <f>IF(ISNUMBER(AVERAGE('20250815_ETF_Options_Exhibits'!Z1730:Z1734)),AVERAGE('20250815_ETF_Options_Exhibits'!Z1730:Z1734),"")</f>
        <v/>
      </c>
      <c r="AA1734" s="3">
        <f>IF(ISNUMBER(AVERAGE('20250815_ETF_Options_Exhibits'!AA1730:AA1734)),AVERAGE('20250815_ETF_Options_Exhibits'!AA1730:AA1734),"")</f>
        <v/>
      </c>
    </row>
    <row r="1735">
      <c r="A1735" s="1" t="n">
        <v>44517</v>
      </c>
      <c r="B1735" s="3">
        <f>IF(ISNUMBER(AVERAGE('20250815_ETF_Options_Exhibits'!B1731:B1735)),AVERAGE('20250815_ETF_Options_Exhibits'!B1731:B1735),"")</f>
        <v/>
      </c>
      <c r="C1735" s="3">
        <f>IF(ISNUMBER(AVERAGE('20250815_ETF_Options_Exhibits'!C1731:C1735)),AVERAGE('20250815_ETF_Options_Exhibits'!C1731:C1735),"")</f>
        <v/>
      </c>
      <c r="D1735" s="3">
        <f>IF(ISNUMBER(AVERAGE('20250815_ETF_Options_Exhibits'!D1731:D1735)),AVERAGE('20250815_ETF_Options_Exhibits'!D1731:D1735),"")</f>
        <v/>
      </c>
      <c r="E1735" s="3">
        <f>IF(ISNUMBER(AVERAGE('20250815_ETF_Options_Exhibits'!E1731:E1735)),AVERAGE('20250815_ETF_Options_Exhibits'!E1731:E1735),"")</f>
        <v/>
      </c>
      <c r="F1735" s="3">
        <f>IF(ISNUMBER(AVERAGE('20250815_ETF_Options_Exhibits'!F1731:F1735)),AVERAGE('20250815_ETF_Options_Exhibits'!F1731:F1735),"")</f>
        <v/>
      </c>
      <c r="G1735" s="3">
        <f>IF(ISNUMBER(AVERAGE('20250815_ETF_Options_Exhibits'!G1731:G1735)),AVERAGE('20250815_ETF_Options_Exhibits'!G1731:G1735),"")</f>
        <v/>
      </c>
      <c r="H1735" s="3">
        <f>IF(ISNUMBER(AVERAGE('20250815_ETF_Options_Exhibits'!H1731:H1735)),AVERAGE('20250815_ETF_Options_Exhibits'!H1731:H1735),"")</f>
        <v/>
      </c>
      <c r="I1735" s="3">
        <f>IF(ISNUMBER(AVERAGE('20250815_ETF_Options_Exhibits'!I1731:I1735)),AVERAGE('20250815_ETF_Options_Exhibits'!I1731:I1735),"")</f>
        <v/>
      </c>
      <c r="J1735" s="3">
        <f>IF(ISNUMBER(AVERAGE('20250815_ETF_Options_Exhibits'!J1731:J1735)),AVERAGE('20250815_ETF_Options_Exhibits'!J1731:J1735),"")</f>
        <v/>
      </c>
      <c r="K1735" s="3">
        <f>IF(ISNUMBER(AVERAGE('20250815_ETF_Options_Exhibits'!K1731:K1735)),AVERAGE('20250815_ETF_Options_Exhibits'!K1731:K1735),"")</f>
        <v/>
      </c>
      <c r="L1735" s="3">
        <f>IF(ISNUMBER(AVERAGE('20250815_ETF_Options_Exhibits'!L1731:L1735)),AVERAGE('20250815_ETF_Options_Exhibits'!L1731:L1735),"")</f>
        <v/>
      </c>
      <c r="M1735" s="3">
        <f>IF(ISNUMBER(AVERAGE('20250815_ETF_Options_Exhibits'!M1731:M1735)),AVERAGE('20250815_ETF_Options_Exhibits'!M1731:M1735),"")</f>
        <v/>
      </c>
      <c r="N1735" s="3">
        <f>IF(ISNUMBER(AVERAGE('20250815_ETF_Options_Exhibits'!N1731:N1735)),AVERAGE('20250815_ETF_Options_Exhibits'!N1731:N1735),"")</f>
        <v/>
      </c>
      <c r="O1735" s="3">
        <f>IF(ISNUMBER(AVERAGE('20250815_ETF_Options_Exhibits'!O1731:O1735)),AVERAGE('20250815_ETF_Options_Exhibits'!O1731:O1735),"")</f>
        <v/>
      </c>
      <c r="P1735" s="3">
        <f>IF(ISNUMBER(AVERAGE('20250815_ETF_Options_Exhibits'!P1731:P1735)),AVERAGE('20250815_ETF_Options_Exhibits'!P1731:P1735),"")</f>
        <v/>
      </c>
      <c r="Q1735" s="3">
        <f>IF(ISNUMBER(AVERAGE('20250815_ETF_Options_Exhibits'!Q1731:Q1735)),AVERAGE('20250815_ETF_Options_Exhibits'!Q1731:Q1735),"")</f>
        <v/>
      </c>
      <c r="R1735" s="3">
        <f>IF(ISNUMBER(AVERAGE('20250815_ETF_Options_Exhibits'!R1731:R1735)),AVERAGE('20250815_ETF_Options_Exhibits'!R1731:R1735),"")</f>
        <v/>
      </c>
      <c r="S1735" s="3">
        <f>IF(ISNUMBER(AVERAGE('20250815_ETF_Options_Exhibits'!S1731:S1735)),AVERAGE('20250815_ETF_Options_Exhibits'!S1731:S1735),"")</f>
        <v/>
      </c>
      <c r="T1735" s="3">
        <f>IF(ISNUMBER(AVERAGE('20250815_ETF_Options_Exhibits'!T1731:T1735)),AVERAGE('20250815_ETF_Options_Exhibits'!T1731:T1735),"")</f>
        <v/>
      </c>
      <c r="U1735" s="3">
        <f>IF(ISNUMBER(AVERAGE('20250815_ETF_Options_Exhibits'!U1731:U1735)),AVERAGE('20250815_ETF_Options_Exhibits'!U1731:U1735),"")</f>
        <v/>
      </c>
      <c r="V1735" s="3">
        <f>IF(ISNUMBER(AVERAGE('20250815_ETF_Options_Exhibits'!V1731:V1735)),AVERAGE('20250815_ETF_Options_Exhibits'!V1731:V1735),"")</f>
        <v/>
      </c>
      <c r="W1735" s="3">
        <f>IF(ISNUMBER(AVERAGE('20250815_ETF_Options_Exhibits'!W1731:W1735)),AVERAGE('20250815_ETF_Options_Exhibits'!W1731:W1735),"")</f>
        <v/>
      </c>
      <c r="X1735" s="3">
        <f>IF(ISNUMBER(AVERAGE('20250815_ETF_Options_Exhibits'!X1731:X1735)),AVERAGE('20250815_ETF_Options_Exhibits'!X1731:X1735),"")</f>
        <v/>
      </c>
      <c r="Y1735" s="3">
        <f>IF(ISNUMBER(AVERAGE('20250815_ETF_Options_Exhibits'!Y1731:Y1735)),AVERAGE('20250815_ETF_Options_Exhibits'!Y1731:Y1735),"")</f>
        <v/>
      </c>
      <c r="Z1735" s="3">
        <f>IF(ISNUMBER(AVERAGE('20250815_ETF_Options_Exhibits'!Z1731:Z1735)),AVERAGE('20250815_ETF_Options_Exhibits'!Z1731:Z1735),"")</f>
        <v/>
      </c>
      <c r="AA1735" s="3">
        <f>IF(ISNUMBER(AVERAGE('20250815_ETF_Options_Exhibits'!AA1731:AA1735)),AVERAGE('20250815_ETF_Options_Exhibits'!AA1731:AA1735),"")</f>
        <v/>
      </c>
    </row>
    <row r="1736">
      <c r="A1736" s="1" t="n">
        <v>44518</v>
      </c>
      <c r="B1736" s="3">
        <f>IF(ISNUMBER(AVERAGE('20250815_ETF_Options_Exhibits'!B1732:B1736)),AVERAGE('20250815_ETF_Options_Exhibits'!B1732:B1736),"")</f>
        <v/>
      </c>
      <c r="C1736" s="3">
        <f>IF(ISNUMBER(AVERAGE('20250815_ETF_Options_Exhibits'!C1732:C1736)),AVERAGE('20250815_ETF_Options_Exhibits'!C1732:C1736),"")</f>
        <v/>
      </c>
      <c r="D1736" s="3">
        <f>IF(ISNUMBER(AVERAGE('20250815_ETF_Options_Exhibits'!D1732:D1736)),AVERAGE('20250815_ETF_Options_Exhibits'!D1732:D1736),"")</f>
        <v/>
      </c>
      <c r="E1736" s="3">
        <f>IF(ISNUMBER(AVERAGE('20250815_ETF_Options_Exhibits'!E1732:E1736)),AVERAGE('20250815_ETF_Options_Exhibits'!E1732:E1736),"")</f>
        <v/>
      </c>
      <c r="F1736" s="3">
        <f>IF(ISNUMBER(AVERAGE('20250815_ETF_Options_Exhibits'!F1732:F1736)),AVERAGE('20250815_ETF_Options_Exhibits'!F1732:F1736),"")</f>
        <v/>
      </c>
      <c r="G1736" s="3">
        <f>IF(ISNUMBER(AVERAGE('20250815_ETF_Options_Exhibits'!G1732:G1736)),AVERAGE('20250815_ETF_Options_Exhibits'!G1732:G1736),"")</f>
        <v/>
      </c>
      <c r="H1736" s="3">
        <f>IF(ISNUMBER(AVERAGE('20250815_ETF_Options_Exhibits'!H1732:H1736)),AVERAGE('20250815_ETF_Options_Exhibits'!H1732:H1736),"")</f>
        <v/>
      </c>
      <c r="I1736" s="3">
        <f>IF(ISNUMBER(AVERAGE('20250815_ETF_Options_Exhibits'!I1732:I1736)),AVERAGE('20250815_ETF_Options_Exhibits'!I1732:I1736),"")</f>
        <v/>
      </c>
      <c r="J1736" s="3">
        <f>IF(ISNUMBER(AVERAGE('20250815_ETF_Options_Exhibits'!J1732:J1736)),AVERAGE('20250815_ETF_Options_Exhibits'!J1732:J1736),"")</f>
        <v/>
      </c>
      <c r="K1736" s="3">
        <f>IF(ISNUMBER(AVERAGE('20250815_ETF_Options_Exhibits'!K1732:K1736)),AVERAGE('20250815_ETF_Options_Exhibits'!K1732:K1736),"")</f>
        <v/>
      </c>
      <c r="L1736" s="3">
        <f>IF(ISNUMBER(AVERAGE('20250815_ETF_Options_Exhibits'!L1732:L1736)),AVERAGE('20250815_ETF_Options_Exhibits'!L1732:L1736),"")</f>
        <v/>
      </c>
      <c r="M1736" s="3">
        <f>IF(ISNUMBER(AVERAGE('20250815_ETF_Options_Exhibits'!M1732:M1736)),AVERAGE('20250815_ETF_Options_Exhibits'!M1732:M1736),"")</f>
        <v/>
      </c>
      <c r="N1736" s="3">
        <f>IF(ISNUMBER(AVERAGE('20250815_ETF_Options_Exhibits'!N1732:N1736)),AVERAGE('20250815_ETF_Options_Exhibits'!N1732:N1736),"")</f>
        <v/>
      </c>
      <c r="O1736" s="3">
        <f>IF(ISNUMBER(AVERAGE('20250815_ETF_Options_Exhibits'!O1732:O1736)),AVERAGE('20250815_ETF_Options_Exhibits'!O1732:O1736),"")</f>
        <v/>
      </c>
      <c r="P1736" s="3">
        <f>IF(ISNUMBER(AVERAGE('20250815_ETF_Options_Exhibits'!P1732:P1736)),AVERAGE('20250815_ETF_Options_Exhibits'!P1732:P1736),"")</f>
        <v/>
      </c>
      <c r="Q1736" s="3">
        <f>IF(ISNUMBER(AVERAGE('20250815_ETF_Options_Exhibits'!Q1732:Q1736)),AVERAGE('20250815_ETF_Options_Exhibits'!Q1732:Q1736),"")</f>
        <v/>
      </c>
      <c r="R1736" s="3">
        <f>IF(ISNUMBER(AVERAGE('20250815_ETF_Options_Exhibits'!R1732:R1736)),AVERAGE('20250815_ETF_Options_Exhibits'!R1732:R1736),"")</f>
        <v/>
      </c>
      <c r="S1736" s="3">
        <f>IF(ISNUMBER(AVERAGE('20250815_ETF_Options_Exhibits'!S1732:S1736)),AVERAGE('20250815_ETF_Options_Exhibits'!S1732:S1736),"")</f>
        <v/>
      </c>
      <c r="T1736" s="3">
        <f>IF(ISNUMBER(AVERAGE('20250815_ETF_Options_Exhibits'!T1732:T1736)),AVERAGE('20250815_ETF_Options_Exhibits'!T1732:T1736),"")</f>
        <v/>
      </c>
      <c r="U1736" s="3">
        <f>IF(ISNUMBER(AVERAGE('20250815_ETF_Options_Exhibits'!U1732:U1736)),AVERAGE('20250815_ETF_Options_Exhibits'!U1732:U1736),"")</f>
        <v/>
      </c>
      <c r="V1736" s="3">
        <f>IF(ISNUMBER(AVERAGE('20250815_ETF_Options_Exhibits'!V1732:V1736)),AVERAGE('20250815_ETF_Options_Exhibits'!V1732:V1736),"")</f>
        <v/>
      </c>
      <c r="W1736" s="3">
        <f>IF(ISNUMBER(AVERAGE('20250815_ETF_Options_Exhibits'!W1732:W1736)),AVERAGE('20250815_ETF_Options_Exhibits'!W1732:W1736),"")</f>
        <v/>
      </c>
      <c r="X1736" s="3">
        <f>IF(ISNUMBER(AVERAGE('20250815_ETF_Options_Exhibits'!X1732:X1736)),AVERAGE('20250815_ETF_Options_Exhibits'!X1732:X1736),"")</f>
        <v/>
      </c>
      <c r="Y1736" s="3">
        <f>IF(ISNUMBER(AVERAGE('20250815_ETF_Options_Exhibits'!Y1732:Y1736)),AVERAGE('20250815_ETF_Options_Exhibits'!Y1732:Y1736),"")</f>
        <v/>
      </c>
      <c r="Z1736" s="3">
        <f>IF(ISNUMBER(AVERAGE('20250815_ETF_Options_Exhibits'!Z1732:Z1736)),AVERAGE('20250815_ETF_Options_Exhibits'!Z1732:Z1736),"")</f>
        <v/>
      </c>
      <c r="AA1736" s="3">
        <f>IF(ISNUMBER(AVERAGE('20250815_ETF_Options_Exhibits'!AA1732:AA1736)),AVERAGE('20250815_ETF_Options_Exhibits'!AA1732:AA1736),"")</f>
        <v/>
      </c>
    </row>
    <row r="1737">
      <c r="A1737" s="1" t="n">
        <v>44519</v>
      </c>
      <c r="B1737" s="3">
        <f>IF(ISNUMBER(AVERAGE('20250815_ETF_Options_Exhibits'!B1733:B1737)),AVERAGE('20250815_ETF_Options_Exhibits'!B1733:B1737),"")</f>
        <v/>
      </c>
      <c r="C1737" s="3">
        <f>IF(ISNUMBER(AVERAGE('20250815_ETF_Options_Exhibits'!C1733:C1737)),AVERAGE('20250815_ETF_Options_Exhibits'!C1733:C1737),"")</f>
        <v/>
      </c>
      <c r="D1737" s="3">
        <f>IF(ISNUMBER(AVERAGE('20250815_ETF_Options_Exhibits'!D1733:D1737)),AVERAGE('20250815_ETF_Options_Exhibits'!D1733:D1737),"")</f>
        <v/>
      </c>
      <c r="E1737" s="3">
        <f>IF(ISNUMBER(AVERAGE('20250815_ETF_Options_Exhibits'!E1733:E1737)),AVERAGE('20250815_ETF_Options_Exhibits'!E1733:E1737),"")</f>
        <v/>
      </c>
      <c r="F1737" s="3">
        <f>IF(ISNUMBER(AVERAGE('20250815_ETF_Options_Exhibits'!F1733:F1737)),AVERAGE('20250815_ETF_Options_Exhibits'!F1733:F1737),"")</f>
        <v/>
      </c>
      <c r="G1737" s="3">
        <f>IF(ISNUMBER(AVERAGE('20250815_ETF_Options_Exhibits'!G1733:G1737)),AVERAGE('20250815_ETF_Options_Exhibits'!G1733:G1737),"")</f>
        <v/>
      </c>
      <c r="H1737" s="3">
        <f>IF(ISNUMBER(AVERAGE('20250815_ETF_Options_Exhibits'!H1733:H1737)),AVERAGE('20250815_ETF_Options_Exhibits'!H1733:H1737),"")</f>
        <v/>
      </c>
      <c r="I1737" s="3">
        <f>IF(ISNUMBER(AVERAGE('20250815_ETF_Options_Exhibits'!I1733:I1737)),AVERAGE('20250815_ETF_Options_Exhibits'!I1733:I1737),"")</f>
        <v/>
      </c>
      <c r="J1737" s="3">
        <f>IF(ISNUMBER(AVERAGE('20250815_ETF_Options_Exhibits'!J1733:J1737)),AVERAGE('20250815_ETF_Options_Exhibits'!J1733:J1737),"")</f>
        <v/>
      </c>
      <c r="K1737" s="3">
        <f>IF(ISNUMBER(AVERAGE('20250815_ETF_Options_Exhibits'!K1733:K1737)),AVERAGE('20250815_ETF_Options_Exhibits'!K1733:K1737),"")</f>
        <v/>
      </c>
      <c r="L1737" s="3">
        <f>IF(ISNUMBER(AVERAGE('20250815_ETF_Options_Exhibits'!L1733:L1737)),AVERAGE('20250815_ETF_Options_Exhibits'!L1733:L1737),"")</f>
        <v/>
      </c>
      <c r="M1737" s="3">
        <f>IF(ISNUMBER(AVERAGE('20250815_ETF_Options_Exhibits'!M1733:M1737)),AVERAGE('20250815_ETF_Options_Exhibits'!M1733:M1737),"")</f>
        <v/>
      </c>
      <c r="N1737" s="3">
        <f>IF(ISNUMBER(AVERAGE('20250815_ETF_Options_Exhibits'!N1733:N1737)),AVERAGE('20250815_ETF_Options_Exhibits'!N1733:N1737),"")</f>
        <v/>
      </c>
      <c r="O1737" s="3">
        <f>IF(ISNUMBER(AVERAGE('20250815_ETF_Options_Exhibits'!O1733:O1737)),AVERAGE('20250815_ETF_Options_Exhibits'!O1733:O1737),"")</f>
        <v/>
      </c>
      <c r="P1737" s="3">
        <f>IF(ISNUMBER(AVERAGE('20250815_ETF_Options_Exhibits'!P1733:P1737)),AVERAGE('20250815_ETF_Options_Exhibits'!P1733:P1737),"")</f>
        <v/>
      </c>
      <c r="Q1737" s="3">
        <f>IF(ISNUMBER(AVERAGE('20250815_ETF_Options_Exhibits'!Q1733:Q1737)),AVERAGE('20250815_ETF_Options_Exhibits'!Q1733:Q1737),"")</f>
        <v/>
      </c>
      <c r="R1737" s="3">
        <f>IF(ISNUMBER(AVERAGE('20250815_ETF_Options_Exhibits'!R1733:R1737)),AVERAGE('20250815_ETF_Options_Exhibits'!R1733:R1737),"")</f>
        <v/>
      </c>
      <c r="S1737" s="3">
        <f>IF(ISNUMBER(AVERAGE('20250815_ETF_Options_Exhibits'!S1733:S1737)),AVERAGE('20250815_ETF_Options_Exhibits'!S1733:S1737),"")</f>
        <v/>
      </c>
      <c r="T1737" s="3">
        <f>IF(ISNUMBER(AVERAGE('20250815_ETF_Options_Exhibits'!T1733:T1737)),AVERAGE('20250815_ETF_Options_Exhibits'!T1733:T1737),"")</f>
        <v/>
      </c>
      <c r="U1737" s="3">
        <f>IF(ISNUMBER(AVERAGE('20250815_ETF_Options_Exhibits'!U1733:U1737)),AVERAGE('20250815_ETF_Options_Exhibits'!U1733:U1737),"")</f>
        <v/>
      </c>
      <c r="V1737" s="3">
        <f>IF(ISNUMBER(AVERAGE('20250815_ETF_Options_Exhibits'!V1733:V1737)),AVERAGE('20250815_ETF_Options_Exhibits'!V1733:V1737),"")</f>
        <v/>
      </c>
      <c r="W1737" s="3">
        <f>IF(ISNUMBER(AVERAGE('20250815_ETF_Options_Exhibits'!W1733:W1737)),AVERAGE('20250815_ETF_Options_Exhibits'!W1733:W1737),"")</f>
        <v/>
      </c>
      <c r="X1737" s="3">
        <f>IF(ISNUMBER(AVERAGE('20250815_ETF_Options_Exhibits'!X1733:X1737)),AVERAGE('20250815_ETF_Options_Exhibits'!X1733:X1737),"")</f>
        <v/>
      </c>
      <c r="Y1737" s="3">
        <f>IF(ISNUMBER(AVERAGE('20250815_ETF_Options_Exhibits'!Y1733:Y1737)),AVERAGE('20250815_ETF_Options_Exhibits'!Y1733:Y1737),"")</f>
        <v/>
      </c>
      <c r="Z1737" s="3">
        <f>IF(ISNUMBER(AVERAGE('20250815_ETF_Options_Exhibits'!Z1733:Z1737)),AVERAGE('20250815_ETF_Options_Exhibits'!Z1733:Z1737),"")</f>
        <v/>
      </c>
      <c r="AA1737" s="3">
        <f>IF(ISNUMBER(AVERAGE('20250815_ETF_Options_Exhibits'!AA1733:AA1737)),AVERAGE('20250815_ETF_Options_Exhibits'!AA1733:AA1737),"")</f>
        <v/>
      </c>
    </row>
    <row r="1738">
      <c r="A1738" s="1" t="n">
        <v>44522</v>
      </c>
      <c r="B1738" s="3">
        <f>IF(ISNUMBER(AVERAGE('20250815_ETF_Options_Exhibits'!B1734:B1738)),AVERAGE('20250815_ETF_Options_Exhibits'!B1734:B1738),"")</f>
        <v/>
      </c>
      <c r="C1738" s="3">
        <f>IF(ISNUMBER(AVERAGE('20250815_ETF_Options_Exhibits'!C1734:C1738)),AVERAGE('20250815_ETF_Options_Exhibits'!C1734:C1738),"")</f>
        <v/>
      </c>
      <c r="D1738" s="3">
        <f>IF(ISNUMBER(AVERAGE('20250815_ETF_Options_Exhibits'!D1734:D1738)),AVERAGE('20250815_ETF_Options_Exhibits'!D1734:D1738),"")</f>
        <v/>
      </c>
      <c r="E1738" s="3">
        <f>IF(ISNUMBER(AVERAGE('20250815_ETF_Options_Exhibits'!E1734:E1738)),AVERAGE('20250815_ETF_Options_Exhibits'!E1734:E1738),"")</f>
        <v/>
      </c>
      <c r="F1738" s="3">
        <f>IF(ISNUMBER(AVERAGE('20250815_ETF_Options_Exhibits'!F1734:F1738)),AVERAGE('20250815_ETF_Options_Exhibits'!F1734:F1738),"")</f>
        <v/>
      </c>
      <c r="G1738" s="3">
        <f>IF(ISNUMBER(AVERAGE('20250815_ETF_Options_Exhibits'!G1734:G1738)),AVERAGE('20250815_ETF_Options_Exhibits'!G1734:G1738),"")</f>
        <v/>
      </c>
      <c r="H1738" s="3">
        <f>IF(ISNUMBER(AVERAGE('20250815_ETF_Options_Exhibits'!H1734:H1738)),AVERAGE('20250815_ETF_Options_Exhibits'!H1734:H1738),"")</f>
        <v/>
      </c>
      <c r="I1738" s="3">
        <f>IF(ISNUMBER(AVERAGE('20250815_ETF_Options_Exhibits'!I1734:I1738)),AVERAGE('20250815_ETF_Options_Exhibits'!I1734:I1738),"")</f>
        <v/>
      </c>
      <c r="J1738" s="3">
        <f>IF(ISNUMBER(AVERAGE('20250815_ETF_Options_Exhibits'!J1734:J1738)),AVERAGE('20250815_ETF_Options_Exhibits'!J1734:J1738),"")</f>
        <v/>
      </c>
      <c r="K1738" s="3">
        <f>IF(ISNUMBER(AVERAGE('20250815_ETF_Options_Exhibits'!K1734:K1738)),AVERAGE('20250815_ETF_Options_Exhibits'!K1734:K1738),"")</f>
        <v/>
      </c>
      <c r="L1738" s="3">
        <f>IF(ISNUMBER(AVERAGE('20250815_ETF_Options_Exhibits'!L1734:L1738)),AVERAGE('20250815_ETF_Options_Exhibits'!L1734:L1738),"")</f>
        <v/>
      </c>
      <c r="M1738" s="3">
        <f>IF(ISNUMBER(AVERAGE('20250815_ETF_Options_Exhibits'!M1734:M1738)),AVERAGE('20250815_ETF_Options_Exhibits'!M1734:M1738),"")</f>
        <v/>
      </c>
      <c r="N1738" s="3">
        <f>IF(ISNUMBER(AVERAGE('20250815_ETF_Options_Exhibits'!N1734:N1738)),AVERAGE('20250815_ETF_Options_Exhibits'!N1734:N1738),"")</f>
        <v/>
      </c>
      <c r="O1738" s="3">
        <f>IF(ISNUMBER(AVERAGE('20250815_ETF_Options_Exhibits'!O1734:O1738)),AVERAGE('20250815_ETF_Options_Exhibits'!O1734:O1738),"")</f>
        <v/>
      </c>
      <c r="P1738" s="3">
        <f>IF(ISNUMBER(AVERAGE('20250815_ETF_Options_Exhibits'!P1734:P1738)),AVERAGE('20250815_ETF_Options_Exhibits'!P1734:P1738),"")</f>
        <v/>
      </c>
      <c r="Q1738" s="3">
        <f>IF(ISNUMBER(AVERAGE('20250815_ETF_Options_Exhibits'!Q1734:Q1738)),AVERAGE('20250815_ETF_Options_Exhibits'!Q1734:Q1738),"")</f>
        <v/>
      </c>
      <c r="R1738" s="3">
        <f>IF(ISNUMBER(AVERAGE('20250815_ETF_Options_Exhibits'!R1734:R1738)),AVERAGE('20250815_ETF_Options_Exhibits'!R1734:R1738),"")</f>
        <v/>
      </c>
      <c r="S1738" s="3">
        <f>IF(ISNUMBER(AVERAGE('20250815_ETF_Options_Exhibits'!S1734:S1738)),AVERAGE('20250815_ETF_Options_Exhibits'!S1734:S1738),"")</f>
        <v/>
      </c>
      <c r="T1738" s="3">
        <f>IF(ISNUMBER(AVERAGE('20250815_ETF_Options_Exhibits'!T1734:T1738)),AVERAGE('20250815_ETF_Options_Exhibits'!T1734:T1738),"")</f>
        <v/>
      </c>
      <c r="U1738" s="3">
        <f>IF(ISNUMBER(AVERAGE('20250815_ETF_Options_Exhibits'!U1734:U1738)),AVERAGE('20250815_ETF_Options_Exhibits'!U1734:U1738),"")</f>
        <v/>
      </c>
      <c r="V1738" s="3">
        <f>IF(ISNUMBER(AVERAGE('20250815_ETF_Options_Exhibits'!V1734:V1738)),AVERAGE('20250815_ETF_Options_Exhibits'!V1734:V1738),"")</f>
        <v/>
      </c>
      <c r="W1738" s="3">
        <f>IF(ISNUMBER(AVERAGE('20250815_ETF_Options_Exhibits'!W1734:W1738)),AVERAGE('20250815_ETF_Options_Exhibits'!W1734:W1738),"")</f>
        <v/>
      </c>
      <c r="X1738" s="3">
        <f>IF(ISNUMBER(AVERAGE('20250815_ETF_Options_Exhibits'!X1734:X1738)),AVERAGE('20250815_ETF_Options_Exhibits'!X1734:X1738),"")</f>
        <v/>
      </c>
      <c r="Y1738" s="3">
        <f>IF(ISNUMBER(AVERAGE('20250815_ETF_Options_Exhibits'!Y1734:Y1738)),AVERAGE('20250815_ETF_Options_Exhibits'!Y1734:Y1738),"")</f>
        <v/>
      </c>
      <c r="Z1738" s="3">
        <f>IF(ISNUMBER(AVERAGE('20250815_ETF_Options_Exhibits'!Z1734:Z1738)),AVERAGE('20250815_ETF_Options_Exhibits'!Z1734:Z1738),"")</f>
        <v/>
      </c>
      <c r="AA1738" s="3">
        <f>IF(ISNUMBER(AVERAGE('20250815_ETF_Options_Exhibits'!AA1734:AA1738)),AVERAGE('20250815_ETF_Options_Exhibits'!AA1734:AA1738),"")</f>
        <v/>
      </c>
    </row>
    <row r="1739">
      <c r="A1739" s="1" t="n">
        <v>44523</v>
      </c>
      <c r="B1739" s="3">
        <f>IF(ISNUMBER(AVERAGE('20250815_ETF_Options_Exhibits'!B1735:B1739)),AVERAGE('20250815_ETF_Options_Exhibits'!B1735:B1739),"")</f>
        <v/>
      </c>
      <c r="C1739" s="3">
        <f>IF(ISNUMBER(AVERAGE('20250815_ETF_Options_Exhibits'!C1735:C1739)),AVERAGE('20250815_ETF_Options_Exhibits'!C1735:C1739),"")</f>
        <v/>
      </c>
      <c r="D1739" s="3">
        <f>IF(ISNUMBER(AVERAGE('20250815_ETF_Options_Exhibits'!D1735:D1739)),AVERAGE('20250815_ETF_Options_Exhibits'!D1735:D1739),"")</f>
        <v/>
      </c>
      <c r="E1739" s="3">
        <f>IF(ISNUMBER(AVERAGE('20250815_ETF_Options_Exhibits'!E1735:E1739)),AVERAGE('20250815_ETF_Options_Exhibits'!E1735:E1739),"")</f>
        <v/>
      </c>
      <c r="F1739" s="3">
        <f>IF(ISNUMBER(AVERAGE('20250815_ETF_Options_Exhibits'!F1735:F1739)),AVERAGE('20250815_ETF_Options_Exhibits'!F1735:F1739),"")</f>
        <v/>
      </c>
      <c r="G1739" s="3">
        <f>IF(ISNUMBER(AVERAGE('20250815_ETF_Options_Exhibits'!G1735:G1739)),AVERAGE('20250815_ETF_Options_Exhibits'!G1735:G1739),"")</f>
        <v/>
      </c>
      <c r="H1739" s="3">
        <f>IF(ISNUMBER(AVERAGE('20250815_ETF_Options_Exhibits'!H1735:H1739)),AVERAGE('20250815_ETF_Options_Exhibits'!H1735:H1739),"")</f>
        <v/>
      </c>
      <c r="I1739" s="3">
        <f>IF(ISNUMBER(AVERAGE('20250815_ETF_Options_Exhibits'!I1735:I1739)),AVERAGE('20250815_ETF_Options_Exhibits'!I1735:I1739),"")</f>
        <v/>
      </c>
      <c r="J1739" s="3">
        <f>IF(ISNUMBER(AVERAGE('20250815_ETF_Options_Exhibits'!J1735:J1739)),AVERAGE('20250815_ETF_Options_Exhibits'!J1735:J1739),"")</f>
        <v/>
      </c>
      <c r="K1739" s="3">
        <f>IF(ISNUMBER(AVERAGE('20250815_ETF_Options_Exhibits'!K1735:K1739)),AVERAGE('20250815_ETF_Options_Exhibits'!K1735:K1739),"")</f>
        <v/>
      </c>
      <c r="L1739" s="3">
        <f>IF(ISNUMBER(AVERAGE('20250815_ETF_Options_Exhibits'!L1735:L1739)),AVERAGE('20250815_ETF_Options_Exhibits'!L1735:L1739),"")</f>
        <v/>
      </c>
      <c r="M1739" s="3">
        <f>IF(ISNUMBER(AVERAGE('20250815_ETF_Options_Exhibits'!M1735:M1739)),AVERAGE('20250815_ETF_Options_Exhibits'!M1735:M1739),"")</f>
        <v/>
      </c>
      <c r="N1739" s="3">
        <f>IF(ISNUMBER(AVERAGE('20250815_ETF_Options_Exhibits'!N1735:N1739)),AVERAGE('20250815_ETF_Options_Exhibits'!N1735:N1739),"")</f>
        <v/>
      </c>
      <c r="O1739" s="3">
        <f>IF(ISNUMBER(AVERAGE('20250815_ETF_Options_Exhibits'!O1735:O1739)),AVERAGE('20250815_ETF_Options_Exhibits'!O1735:O1739),"")</f>
        <v/>
      </c>
      <c r="P1739" s="3">
        <f>IF(ISNUMBER(AVERAGE('20250815_ETF_Options_Exhibits'!P1735:P1739)),AVERAGE('20250815_ETF_Options_Exhibits'!P1735:P1739),"")</f>
        <v/>
      </c>
      <c r="Q1739" s="3">
        <f>IF(ISNUMBER(AVERAGE('20250815_ETF_Options_Exhibits'!Q1735:Q1739)),AVERAGE('20250815_ETF_Options_Exhibits'!Q1735:Q1739),"")</f>
        <v/>
      </c>
      <c r="R1739" s="3">
        <f>IF(ISNUMBER(AVERAGE('20250815_ETF_Options_Exhibits'!R1735:R1739)),AVERAGE('20250815_ETF_Options_Exhibits'!R1735:R1739),"")</f>
        <v/>
      </c>
      <c r="S1739" s="3">
        <f>IF(ISNUMBER(AVERAGE('20250815_ETF_Options_Exhibits'!S1735:S1739)),AVERAGE('20250815_ETF_Options_Exhibits'!S1735:S1739),"")</f>
        <v/>
      </c>
      <c r="T1739" s="3">
        <f>IF(ISNUMBER(AVERAGE('20250815_ETF_Options_Exhibits'!T1735:T1739)),AVERAGE('20250815_ETF_Options_Exhibits'!T1735:T1739),"")</f>
        <v/>
      </c>
      <c r="U1739" s="3">
        <f>IF(ISNUMBER(AVERAGE('20250815_ETF_Options_Exhibits'!U1735:U1739)),AVERAGE('20250815_ETF_Options_Exhibits'!U1735:U1739),"")</f>
        <v/>
      </c>
      <c r="V1739" s="3">
        <f>IF(ISNUMBER(AVERAGE('20250815_ETF_Options_Exhibits'!V1735:V1739)),AVERAGE('20250815_ETF_Options_Exhibits'!V1735:V1739),"")</f>
        <v/>
      </c>
      <c r="W1739" s="3">
        <f>IF(ISNUMBER(AVERAGE('20250815_ETF_Options_Exhibits'!W1735:W1739)),AVERAGE('20250815_ETF_Options_Exhibits'!W1735:W1739),"")</f>
        <v/>
      </c>
      <c r="X1739" s="3">
        <f>IF(ISNUMBER(AVERAGE('20250815_ETF_Options_Exhibits'!X1735:X1739)),AVERAGE('20250815_ETF_Options_Exhibits'!X1735:X1739),"")</f>
        <v/>
      </c>
      <c r="Y1739" s="3">
        <f>IF(ISNUMBER(AVERAGE('20250815_ETF_Options_Exhibits'!Y1735:Y1739)),AVERAGE('20250815_ETF_Options_Exhibits'!Y1735:Y1739),"")</f>
        <v/>
      </c>
      <c r="Z1739" s="3">
        <f>IF(ISNUMBER(AVERAGE('20250815_ETF_Options_Exhibits'!Z1735:Z1739)),AVERAGE('20250815_ETF_Options_Exhibits'!Z1735:Z1739),"")</f>
        <v/>
      </c>
      <c r="AA1739" s="3">
        <f>IF(ISNUMBER(AVERAGE('20250815_ETF_Options_Exhibits'!AA1735:AA1739)),AVERAGE('20250815_ETF_Options_Exhibits'!AA1735:AA1739),"")</f>
        <v/>
      </c>
    </row>
    <row r="1740">
      <c r="A1740" s="1" t="n">
        <v>44524</v>
      </c>
      <c r="B1740" s="3">
        <f>IF(ISNUMBER(AVERAGE('20250815_ETF_Options_Exhibits'!B1736:B1740)),AVERAGE('20250815_ETF_Options_Exhibits'!B1736:B1740),"")</f>
        <v/>
      </c>
      <c r="C1740" s="3">
        <f>IF(ISNUMBER(AVERAGE('20250815_ETF_Options_Exhibits'!C1736:C1740)),AVERAGE('20250815_ETF_Options_Exhibits'!C1736:C1740),"")</f>
        <v/>
      </c>
      <c r="D1740" s="3">
        <f>IF(ISNUMBER(AVERAGE('20250815_ETF_Options_Exhibits'!D1736:D1740)),AVERAGE('20250815_ETF_Options_Exhibits'!D1736:D1740),"")</f>
        <v/>
      </c>
      <c r="E1740" s="3">
        <f>IF(ISNUMBER(AVERAGE('20250815_ETF_Options_Exhibits'!E1736:E1740)),AVERAGE('20250815_ETF_Options_Exhibits'!E1736:E1740),"")</f>
        <v/>
      </c>
      <c r="F1740" s="3">
        <f>IF(ISNUMBER(AVERAGE('20250815_ETF_Options_Exhibits'!F1736:F1740)),AVERAGE('20250815_ETF_Options_Exhibits'!F1736:F1740),"")</f>
        <v/>
      </c>
      <c r="G1740" s="3">
        <f>IF(ISNUMBER(AVERAGE('20250815_ETF_Options_Exhibits'!G1736:G1740)),AVERAGE('20250815_ETF_Options_Exhibits'!G1736:G1740),"")</f>
        <v/>
      </c>
      <c r="H1740" s="3">
        <f>IF(ISNUMBER(AVERAGE('20250815_ETF_Options_Exhibits'!H1736:H1740)),AVERAGE('20250815_ETF_Options_Exhibits'!H1736:H1740),"")</f>
        <v/>
      </c>
      <c r="I1740" s="3">
        <f>IF(ISNUMBER(AVERAGE('20250815_ETF_Options_Exhibits'!I1736:I1740)),AVERAGE('20250815_ETF_Options_Exhibits'!I1736:I1740),"")</f>
        <v/>
      </c>
      <c r="J1740" s="3">
        <f>IF(ISNUMBER(AVERAGE('20250815_ETF_Options_Exhibits'!J1736:J1740)),AVERAGE('20250815_ETF_Options_Exhibits'!J1736:J1740),"")</f>
        <v/>
      </c>
      <c r="K1740" s="3">
        <f>IF(ISNUMBER(AVERAGE('20250815_ETF_Options_Exhibits'!K1736:K1740)),AVERAGE('20250815_ETF_Options_Exhibits'!K1736:K1740),"")</f>
        <v/>
      </c>
      <c r="L1740" s="3">
        <f>IF(ISNUMBER(AVERAGE('20250815_ETF_Options_Exhibits'!L1736:L1740)),AVERAGE('20250815_ETF_Options_Exhibits'!L1736:L1740),"")</f>
        <v/>
      </c>
      <c r="M1740" s="3">
        <f>IF(ISNUMBER(AVERAGE('20250815_ETF_Options_Exhibits'!M1736:M1740)),AVERAGE('20250815_ETF_Options_Exhibits'!M1736:M1740),"")</f>
        <v/>
      </c>
      <c r="N1740" s="3">
        <f>IF(ISNUMBER(AVERAGE('20250815_ETF_Options_Exhibits'!N1736:N1740)),AVERAGE('20250815_ETF_Options_Exhibits'!N1736:N1740),"")</f>
        <v/>
      </c>
      <c r="O1740" s="3">
        <f>IF(ISNUMBER(AVERAGE('20250815_ETF_Options_Exhibits'!O1736:O1740)),AVERAGE('20250815_ETF_Options_Exhibits'!O1736:O1740),"")</f>
        <v/>
      </c>
      <c r="P1740" s="3">
        <f>IF(ISNUMBER(AVERAGE('20250815_ETF_Options_Exhibits'!P1736:P1740)),AVERAGE('20250815_ETF_Options_Exhibits'!P1736:P1740),"")</f>
        <v/>
      </c>
      <c r="Q1740" s="3">
        <f>IF(ISNUMBER(AVERAGE('20250815_ETF_Options_Exhibits'!Q1736:Q1740)),AVERAGE('20250815_ETF_Options_Exhibits'!Q1736:Q1740),"")</f>
        <v/>
      </c>
      <c r="R1740" s="3">
        <f>IF(ISNUMBER(AVERAGE('20250815_ETF_Options_Exhibits'!R1736:R1740)),AVERAGE('20250815_ETF_Options_Exhibits'!R1736:R1740),"")</f>
        <v/>
      </c>
      <c r="S1740" s="3">
        <f>IF(ISNUMBER(AVERAGE('20250815_ETF_Options_Exhibits'!S1736:S1740)),AVERAGE('20250815_ETF_Options_Exhibits'!S1736:S1740),"")</f>
        <v/>
      </c>
      <c r="T1740" s="3">
        <f>IF(ISNUMBER(AVERAGE('20250815_ETF_Options_Exhibits'!T1736:T1740)),AVERAGE('20250815_ETF_Options_Exhibits'!T1736:T1740),"")</f>
        <v/>
      </c>
      <c r="U1740" s="3">
        <f>IF(ISNUMBER(AVERAGE('20250815_ETF_Options_Exhibits'!U1736:U1740)),AVERAGE('20250815_ETF_Options_Exhibits'!U1736:U1740),"")</f>
        <v/>
      </c>
      <c r="V1740" s="3">
        <f>IF(ISNUMBER(AVERAGE('20250815_ETF_Options_Exhibits'!V1736:V1740)),AVERAGE('20250815_ETF_Options_Exhibits'!V1736:V1740),"")</f>
        <v/>
      </c>
      <c r="W1740" s="3">
        <f>IF(ISNUMBER(AVERAGE('20250815_ETF_Options_Exhibits'!W1736:W1740)),AVERAGE('20250815_ETF_Options_Exhibits'!W1736:W1740),"")</f>
        <v/>
      </c>
      <c r="X1740" s="3">
        <f>IF(ISNUMBER(AVERAGE('20250815_ETF_Options_Exhibits'!X1736:X1740)),AVERAGE('20250815_ETF_Options_Exhibits'!X1736:X1740),"")</f>
        <v/>
      </c>
      <c r="Y1740" s="3">
        <f>IF(ISNUMBER(AVERAGE('20250815_ETF_Options_Exhibits'!Y1736:Y1740)),AVERAGE('20250815_ETF_Options_Exhibits'!Y1736:Y1740),"")</f>
        <v/>
      </c>
      <c r="Z1740" s="3">
        <f>IF(ISNUMBER(AVERAGE('20250815_ETF_Options_Exhibits'!Z1736:Z1740)),AVERAGE('20250815_ETF_Options_Exhibits'!Z1736:Z1740),"")</f>
        <v/>
      </c>
      <c r="AA1740" s="3">
        <f>IF(ISNUMBER(AVERAGE('20250815_ETF_Options_Exhibits'!AA1736:AA1740)),AVERAGE('20250815_ETF_Options_Exhibits'!AA1736:AA1740),"")</f>
        <v/>
      </c>
    </row>
    <row r="1741">
      <c r="A1741" s="1" t="n">
        <v>44526</v>
      </c>
      <c r="B1741" s="3">
        <f>IF(ISNUMBER(AVERAGE('20250815_ETF_Options_Exhibits'!B1737:B1741)),AVERAGE('20250815_ETF_Options_Exhibits'!B1737:B1741),"")</f>
        <v/>
      </c>
      <c r="C1741" s="3">
        <f>IF(ISNUMBER(AVERAGE('20250815_ETF_Options_Exhibits'!C1737:C1741)),AVERAGE('20250815_ETF_Options_Exhibits'!C1737:C1741),"")</f>
        <v/>
      </c>
      <c r="D1741" s="3">
        <f>IF(ISNUMBER(AVERAGE('20250815_ETF_Options_Exhibits'!D1737:D1741)),AVERAGE('20250815_ETF_Options_Exhibits'!D1737:D1741),"")</f>
        <v/>
      </c>
      <c r="E1741" s="3">
        <f>IF(ISNUMBER(AVERAGE('20250815_ETF_Options_Exhibits'!E1737:E1741)),AVERAGE('20250815_ETF_Options_Exhibits'!E1737:E1741),"")</f>
        <v/>
      </c>
      <c r="F1741" s="3">
        <f>IF(ISNUMBER(AVERAGE('20250815_ETF_Options_Exhibits'!F1737:F1741)),AVERAGE('20250815_ETF_Options_Exhibits'!F1737:F1741),"")</f>
        <v/>
      </c>
      <c r="G1741" s="3">
        <f>IF(ISNUMBER(AVERAGE('20250815_ETF_Options_Exhibits'!G1737:G1741)),AVERAGE('20250815_ETF_Options_Exhibits'!G1737:G1741),"")</f>
        <v/>
      </c>
      <c r="H1741" s="3">
        <f>IF(ISNUMBER(AVERAGE('20250815_ETF_Options_Exhibits'!H1737:H1741)),AVERAGE('20250815_ETF_Options_Exhibits'!H1737:H1741),"")</f>
        <v/>
      </c>
      <c r="I1741" s="3">
        <f>IF(ISNUMBER(AVERAGE('20250815_ETF_Options_Exhibits'!I1737:I1741)),AVERAGE('20250815_ETF_Options_Exhibits'!I1737:I1741),"")</f>
        <v/>
      </c>
      <c r="J1741" s="3">
        <f>IF(ISNUMBER(AVERAGE('20250815_ETF_Options_Exhibits'!J1737:J1741)),AVERAGE('20250815_ETF_Options_Exhibits'!J1737:J1741),"")</f>
        <v/>
      </c>
      <c r="K1741" s="3">
        <f>IF(ISNUMBER(AVERAGE('20250815_ETF_Options_Exhibits'!K1737:K1741)),AVERAGE('20250815_ETF_Options_Exhibits'!K1737:K1741),"")</f>
        <v/>
      </c>
      <c r="L1741" s="3">
        <f>IF(ISNUMBER(AVERAGE('20250815_ETF_Options_Exhibits'!L1737:L1741)),AVERAGE('20250815_ETF_Options_Exhibits'!L1737:L1741),"")</f>
        <v/>
      </c>
      <c r="M1741" s="3">
        <f>IF(ISNUMBER(AVERAGE('20250815_ETF_Options_Exhibits'!M1737:M1741)),AVERAGE('20250815_ETF_Options_Exhibits'!M1737:M1741),"")</f>
        <v/>
      </c>
      <c r="N1741" s="3">
        <f>IF(ISNUMBER(AVERAGE('20250815_ETF_Options_Exhibits'!N1737:N1741)),AVERAGE('20250815_ETF_Options_Exhibits'!N1737:N1741),"")</f>
        <v/>
      </c>
      <c r="O1741" s="3">
        <f>IF(ISNUMBER(AVERAGE('20250815_ETF_Options_Exhibits'!O1737:O1741)),AVERAGE('20250815_ETF_Options_Exhibits'!O1737:O1741),"")</f>
        <v/>
      </c>
      <c r="P1741" s="3">
        <f>IF(ISNUMBER(AVERAGE('20250815_ETF_Options_Exhibits'!P1737:P1741)),AVERAGE('20250815_ETF_Options_Exhibits'!P1737:P1741),"")</f>
        <v/>
      </c>
      <c r="Q1741" s="3">
        <f>IF(ISNUMBER(AVERAGE('20250815_ETF_Options_Exhibits'!Q1737:Q1741)),AVERAGE('20250815_ETF_Options_Exhibits'!Q1737:Q1741),"")</f>
        <v/>
      </c>
      <c r="R1741" s="3">
        <f>IF(ISNUMBER(AVERAGE('20250815_ETF_Options_Exhibits'!R1737:R1741)),AVERAGE('20250815_ETF_Options_Exhibits'!R1737:R1741),"")</f>
        <v/>
      </c>
      <c r="S1741" s="3">
        <f>IF(ISNUMBER(AVERAGE('20250815_ETF_Options_Exhibits'!S1737:S1741)),AVERAGE('20250815_ETF_Options_Exhibits'!S1737:S1741),"")</f>
        <v/>
      </c>
      <c r="T1741" s="3">
        <f>IF(ISNUMBER(AVERAGE('20250815_ETF_Options_Exhibits'!T1737:T1741)),AVERAGE('20250815_ETF_Options_Exhibits'!T1737:T1741),"")</f>
        <v/>
      </c>
      <c r="U1741" s="3">
        <f>IF(ISNUMBER(AVERAGE('20250815_ETF_Options_Exhibits'!U1737:U1741)),AVERAGE('20250815_ETF_Options_Exhibits'!U1737:U1741),"")</f>
        <v/>
      </c>
      <c r="V1741" s="3">
        <f>IF(ISNUMBER(AVERAGE('20250815_ETF_Options_Exhibits'!V1737:V1741)),AVERAGE('20250815_ETF_Options_Exhibits'!V1737:V1741),"")</f>
        <v/>
      </c>
      <c r="W1741" s="3">
        <f>IF(ISNUMBER(AVERAGE('20250815_ETF_Options_Exhibits'!W1737:W1741)),AVERAGE('20250815_ETF_Options_Exhibits'!W1737:W1741),"")</f>
        <v/>
      </c>
      <c r="X1741" s="3">
        <f>IF(ISNUMBER(AVERAGE('20250815_ETF_Options_Exhibits'!X1737:X1741)),AVERAGE('20250815_ETF_Options_Exhibits'!X1737:X1741),"")</f>
        <v/>
      </c>
      <c r="Y1741" s="3">
        <f>IF(ISNUMBER(AVERAGE('20250815_ETF_Options_Exhibits'!Y1737:Y1741)),AVERAGE('20250815_ETF_Options_Exhibits'!Y1737:Y1741),"")</f>
        <v/>
      </c>
      <c r="Z1741" s="3">
        <f>IF(ISNUMBER(AVERAGE('20250815_ETF_Options_Exhibits'!Z1737:Z1741)),AVERAGE('20250815_ETF_Options_Exhibits'!Z1737:Z1741),"")</f>
        <v/>
      </c>
      <c r="AA1741" s="3">
        <f>IF(ISNUMBER(AVERAGE('20250815_ETF_Options_Exhibits'!AA1737:AA1741)),AVERAGE('20250815_ETF_Options_Exhibits'!AA1737:AA1741),"")</f>
        <v/>
      </c>
    </row>
    <row r="1742">
      <c r="A1742" s="1" t="n">
        <v>44529</v>
      </c>
      <c r="B1742" s="3">
        <f>IF(ISNUMBER(AVERAGE('20250815_ETF_Options_Exhibits'!B1738:B1742)),AVERAGE('20250815_ETF_Options_Exhibits'!B1738:B1742),"")</f>
        <v/>
      </c>
      <c r="C1742" s="3">
        <f>IF(ISNUMBER(AVERAGE('20250815_ETF_Options_Exhibits'!C1738:C1742)),AVERAGE('20250815_ETF_Options_Exhibits'!C1738:C1742),"")</f>
        <v/>
      </c>
      <c r="D1742" s="3">
        <f>IF(ISNUMBER(AVERAGE('20250815_ETF_Options_Exhibits'!D1738:D1742)),AVERAGE('20250815_ETF_Options_Exhibits'!D1738:D1742),"")</f>
        <v/>
      </c>
      <c r="E1742" s="3">
        <f>IF(ISNUMBER(AVERAGE('20250815_ETF_Options_Exhibits'!E1738:E1742)),AVERAGE('20250815_ETF_Options_Exhibits'!E1738:E1742),"")</f>
        <v/>
      </c>
      <c r="F1742" s="3">
        <f>IF(ISNUMBER(AVERAGE('20250815_ETF_Options_Exhibits'!F1738:F1742)),AVERAGE('20250815_ETF_Options_Exhibits'!F1738:F1742),"")</f>
        <v/>
      </c>
      <c r="G1742" s="3">
        <f>IF(ISNUMBER(AVERAGE('20250815_ETF_Options_Exhibits'!G1738:G1742)),AVERAGE('20250815_ETF_Options_Exhibits'!G1738:G1742),"")</f>
        <v/>
      </c>
      <c r="H1742" s="3">
        <f>IF(ISNUMBER(AVERAGE('20250815_ETF_Options_Exhibits'!H1738:H1742)),AVERAGE('20250815_ETF_Options_Exhibits'!H1738:H1742),"")</f>
        <v/>
      </c>
      <c r="I1742" s="3">
        <f>IF(ISNUMBER(AVERAGE('20250815_ETF_Options_Exhibits'!I1738:I1742)),AVERAGE('20250815_ETF_Options_Exhibits'!I1738:I1742),"")</f>
        <v/>
      </c>
      <c r="J1742" s="3">
        <f>IF(ISNUMBER(AVERAGE('20250815_ETF_Options_Exhibits'!J1738:J1742)),AVERAGE('20250815_ETF_Options_Exhibits'!J1738:J1742),"")</f>
        <v/>
      </c>
      <c r="K1742" s="3">
        <f>IF(ISNUMBER(AVERAGE('20250815_ETF_Options_Exhibits'!K1738:K1742)),AVERAGE('20250815_ETF_Options_Exhibits'!K1738:K1742),"")</f>
        <v/>
      </c>
      <c r="L1742" s="3">
        <f>IF(ISNUMBER(AVERAGE('20250815_ETF_Options_Exhibits'!L1738:L1742)),AVERAGE('20250815_ETF_Options_Exhibits'!L1738:L1742),"")</f>
        <v/>
      </c>
      <c r="M1742" s="3">
        <f>IF(ISNUMBER(AVERAGE('20250815_ETF_Options_Exhibits'!M1738:M1742)),AVERAGE('20250815_ETF_Options_Exhibits'!M1738:M1742),"")</f>
        <v/>
      </c>
      <c r="N1742" s="3">
        <f>IF(ISNUMBER(AVERAGE('20250815_ETF_Options_Exhibits'!N1738:N1742)),AVERAGE('20250815_ETF_Options_Exhibits'!N1738:N1742),"")</f>
        <v/>
      </c>
      <c r="O1742" s="3">
        <f>IF(ISNUMBER(AVERAGE('20250815_ETF_Options_Exhibits'!O1738:O1742)),AVERAGE('20250815_ETF_Options_Exhibits'!O1738:O1742),"")</f>
        <v/>
      </c>
      <c r="P1742" s="3">
        <f>IF(ISNUMBER(AVERAGE('20250815_ETF_Options_Exhibits'!P1738:P1742)),AVERAGE('20250815_ETF_Options_Exhibits'!P1738:P1742),"")</f>
        <v/>
      </c>
      <c r="Q1742" s="3">
        <f>IF(ISNUMBER(AVERAGE('20250815_ETF_Options_Exhibits'!Q1738:Q1742)),AVERAGE('20250815_ETF_Options_Exhibits'!Q1738:Q1742),"")</f>
        <v/>
      </c>
      <c r="R1742" s="3">
        <f>IF(ISNUMBER(AVERAGE('20250815_ETF_Options_Exhibits'!R1738:R1742)),AVERAGE('20250815_ETF_Options_Exhibits'!R1738:R1742),"")</f>
        <v/>
      </c>
      <c r="S1742" s="3">
        <f>IF(ISNUMBER(AVERAGE('20250815_ETF_Options_Exhibits'!S1738:S1742)),AVERAGE('20250815_ETF_Options_Exhibits'!S1738:S1742),"")</f>
        <v/>
      </c>
      <c r="T1742" s="3">
        <f>IF(ISNUMBER(AVERAGE('20250815_ETF_Options_Exhibits'!T1738:T1742)),AVERAGE('20250815_ETF_Options_Exhibits'!T1738:T1742),"")</f>
        <v/>
      </c>
      <c r="U1742" s="3">
        <f>IF(ISNUMBER(AVERAGE('20250815_ETF_Options_Exhibits'!U1738:U1742)),AVERAGE('20250815_ETF_Options_Exhibits'!U1738:U1742),"")</f>
        <v/>
      </c>
      <c r="V1742" s="3">
        <f>IF(ISNUMBER(AVERAGE('20250815_ETF_Options_Exhibits'!V1738:V1742)),AVERAGE('20250815_ETF_Options_Exhibits'!V1738:V1742),"")</f>
        <v/>
      </c>
      <c r="W1742" s="3">
        <f>IF(ISNUMBER(AVERAGE('20250815_ETF_Options_Exhibits'!W1738:W1742)),AVERAGE('20250815_ETF_Options_Exhibits'!W1738:W1742),"")</f>
        <v/>
      </c>
      <c r="X1742" s="3">
        <f>IF(ISNUMBER(AVERAGE('20250815_ETF_Options_Exhibits'!X1738:X1742)),AVERAGE('20250815_ETF_Options_Exhibits'!X1738:X1742),"")</f>
        <v/>
      </c>
      <c r="Y1742" s="3">
        <f>IF(ISNUMBER(AVERAGE('20250815_ETF_Options_Exhibits'!Y1738:Y1742)),AVERAGE('20250815_ETF_Options_Exhibits'!Y1738:Y1742),"")</f>
        <v/>
      </c>
      <c r="Z1742" s="3">
        <f>IF(ISNUMBER(AVERAGE('20250815_ETF_Options_Exhibits'!Z1738:Z1742)),AVERAGE('20250815_ETF_Options_Exhibits'!Z1738:Z1742),"")</f>
        <v/>
      </c>
      <c r="AA1742" s="3">
        <f>IF(ISNUMBER(AVERAGE('20250815_ETF_Options_Exhibits'!AA1738:AA1742)),AVERAGE('20250815_ETF_Options_Exhibits'!AA1738:AA1742),"")</f>
        <v/>
      </c>
    </row>
    <row r="1743">
      <c r="A1743" s="1" t="n">
        <v>44530</v>
      </c>
      <c r="B1743" s="3">
        <f>IF(ISNUMBER(AVERAGE('20250815_ETF_Options_Exhibits'!B1739:B1743)),AVERAGE('20250815_ETF_Options_Exhibits'!B1739:B1743),"")</f>
        <v/>
      </c>
      <c r="C1743" s="3">
        <f>IF(ISNUMBER(AVERAGE('20250815_ETF_Options_Exhibits'!C1739:C1743)),AVERAGE('20250815_ETF_Options_Exhibits'!C1739:C1743),"")</f>
        <v/>
      </c>
      <c r="D1743" s="3">
        <f>IF(ISNUMBER(AVERAGE('20250815_ETF_Options_Exhibits'!D1739:D1743)),AVERAGE('20250815_ETF_Options_Exhibits'!D1739:D1743),"")</f>
        <v/>
      </c>
      <c r="E1743" s="3">
        <f>IF(ISNUMBER(AVERAGE('20250815_ETF_Options_Exhibits'!E1739:E1743)),AVERAGE('20250815_ETF_Options_Exhibits'!E1739:E1743),"")</f>
        <v/>
      </c>
      <c r="F1743" s="3">
        <f>IF(ISNUMBER(AVERAGE('20250815_ETF_Options_Exhibits'!F1739:F1743)),AVERAGE('20250815_ETF_Options_Exhibits'!F1739:F1743),"")</f>
        <v/>
      </c>
      <c r="G1743" s="3">
        <f>IF(ISNUMBER(AVERAGE('20250815_ETF_Options_Exhibits'!G1739:G1743)),AVERAGE('20250815_ETF_Options_Exhibits'!G1739:G1743),"")</f>
        <v/>
      </c>
      <c r="H1743" s="3">
        <f>IF(ISNUMBER(AVERAGE('20250815_ETF_Options_Exhibits'!H1739:H1743)),AVERAGE('20250815_ETF_Options_Exhibits'!H1739:H1743),"")</f>
        <v/>
      </c>
      <c r="I1743" s="3">
        <f>IF(ISNUMBER(AVERAGE('20250815_ETF_Options_Exhibits'!I1739:I1743)),AVERAGE('20250815_ETF_Options_Exhibits'!I1739:I1743),"")</f>
        <v/>
      </c>
      <c r="J1743" s="3">
        <f>IF(ISNUMBER(AVERAGE('20250815_ETF_Options_Exhibits'!J1739:J1743)),AVERAGE('20250815_ETF_Options_Exhibits'!J1739:J1743),"")</f>
        <v/>
      </c>
      <c r="K1743" s="3">
        <f>IF(ISNUMBER(AVERAGE('20250815_ETF_Options_Exhibits'!K1739:K1743)),AVERAGE('20250815_ETF_Options_Exhibits'!K1739:K1743),"")</f>
        <v/>
      </c>
      <c r="L1743" s="3">
        <f>IF(ISNUMBER(AVERAGE('20250815_ETF_Options_Exhibits'!L1739:L1743)),AVERAGE('20250815_ETF_Options_Exhibits'!L1739:L1743),"")</f>
        <v/>
      </c>
      <c r="M1743" s="3">
        <f>IF(ISNUMBER(AVERAGE('20250815_ETF_Options_Exhibits'!M1739:M1743)),AVERAGE('20250815_ETF_Options_Exhibits'!M1739:M1743),"")</f>
        <v/>
      </c>
      <c r="N1743" s="3">
        <f>IF(ISNUMBER(AVERAGE('20250815_ETF_Options_Exhibits'!N1739:N1743)),AVERAGE('20250815_ETF_Options_Exhibits'!N1739:N1743),"")</f>
        <v/>
      </c>
      <c r="O1743" s="3">
        <f>IF(ISNUMBER(AVERAGE('20250815_ETF_Options_Exhibits'!O1739:O1743)),AVERAGE('20250815_ETF_Options_Exhibits'!O1739:O1743),"")</f>
        <v/>
      </c>
      <c r="P1743" s="3">
        <f>IF(ISNUMBER(AVERAGE('20250815_ETF_Options_Exhibits'!P1739:P1743)),AVERAGE('20250815_ETF_Options_Exhibits'!P1739:P1743),"")</f>
        <v/>
      </c>
      <c r="Q1743" s="3">
        <f>IF(ISNUMBER(AVERAGE('20250815_ETF_Options_Exhibits'!Q1739:Q1743)),AVERAGE('20250815_ETF_Options_Exhibits'!Q1739:Q1743),"")</f>
        <v/>
      </c>
      <c r="R1743" s="3">
        <f>IF(ISNUMBER(AVERAGE('20250815_ETF_Options_Exhibits'!R1739:R1743)),AVERAGE('20250815_ETF_Options_Exhibits'!R1739:R1743),"")</f>
        <v/>
      </c>
      <c r="S1743" s="3">
        <f>IF(ISNUMBER(AVERAGE('20250815_ETF_Options_Exhibits'!S1739:S1743)),AVERAGE('20250815_ETF_Options_Exhibits'!S1739:S1743),"")</f>
        <v/>
      </c>
      <c r="T1743" s="3">
        <f>IF(ISNUMBER(AVERAGE('20250815_ETF_Options_Exhibits'!T1739:T1743)),AVERAGE('20250815_ETF_Options_Exhibits'!T1739:T1743),"")</f>
        <v/>
      </c>
      <c r="U1743" s="3">
        <f>IF(ISNUMBER(AVERAGE('20250815_ETF_Options_Exhibits'!U1739:U1743)),AVERAGE('20250815_ETF_Options_Exhibits'!U1739:U1743),"")</f>
        <v/>
      </c>
      <c r="V1743" s="3">
        <f>IF(ISNUMBER(AVERAGE('20250815_ETF_Options_Exhibits'!V1739:V1743)),AVERAGE('20250815_ETF_Options_Exhibits'!V1739:V1743),"")</f>
        <v/>
      </c>
      <c r="W1743" s="3">
        <f>IF(ISNUMBER(AVERAGE('20250815_ETF_Options_Exhibits'!W1739:W1743)),AVERAGE('20250815_ETF_Options_Exhibits'!W1739:W1743),"")</f>
        <v/>
      </c>
      <c r="X1743" s="3">
        <f>IF(ISNUMBER(AVERAGE('20250815_ETF_Options_Exhibits'!X1739:X1743)),AVERAGE('20250815_ETF_Options_Exhibits'!X1739:X1743),"")</f>
        <v/>
      </c>
      <c r="Y1743" s="3">
        <f>IF(ISNUMBER(AVERAGE('20250815_ETF_Options_Exhibits'!Y1739:Y1743)),AVERAGE('20250815_ETF_Options_Exhibits'!Y1739:Y1743),"")</f>
        <v/>
      </c>
      <c r="Z1743" s="3">
        <f>IF(ISNUMBER(AVERAGE('20250815_ETF_Options_Exhibits'!Z1739:Z1743)),AVERAGE('20250815_ETF_Options_Exhibits'!Z1739:Z1743),"")</f>
        <v/>
      </c>
      <c r="AA1743" s="3">
        <f>IF(ISNUMBER(AVERAGE('20250815_ETF_Options_Exhibits'!AA1739:AA1743)),AVERAGE('20250815_ETF_Options_Exhibits'!AA1739:AA1743),"")</f>
        <v/>
      </c>
    </row>
    <row r="1744">
      <c r="A1744" s="1" t="n">
        <v>44531</v>
      </c>
      <c r="B1744" s="3">
        <f>IF(ISNUMBER(AVERAGE('20250815_ETF_Options_Exhibits'!B1740:B1744)),AVERAGE('20250815_ETF_Options_Exhibits'!B1740:B1744),"")</f>
        <v/>
      </c>
      <c r="C1744" s="3">
        <f>IF(ISNUMBER(AVERAGE('20250815_ETF_Options_Exhibits'!C1740:C1744)),AVERAGE('20250815_ETF_Options_Exhibits'!C1740:C1744),"")</f>
        <v/>
      </c>
      <c r="D1744" s="3">
        <f>IF(ISNUMBER(AVERAGE('20250815_ETF_Options_Exhibits'!D1740:D1744)),AVERAGE('20250815_ETF_Options_Exhibits'!D1740:D1744),"")</f>
        <v/>
      </c>
      <c r="E1744" s="3">
        <f>IF(ISNUMBER(AVERAGE('20250815_ETF_Options_Exhibits'!E1740:E1744)),AVERAGE('20250815_ETF_Options_Exhibits'!E1740:E1744),"")</f>
        <v/>
      </c>
      <c r="F1744" s="3">
        <f>IF(ISNUMBER(AVERAGE('20250815_ETF_Options_Exhibits'!F1740:F1744)),AVERAGE('20250815_ETF_Options_Exhibits'!F1740:F1744),"")</f>
        <v/>
      </c>
      <c r="G1744" s="3">
        <f>IF(ISNUMBER(AVERAGE('20250815_ETF_Options_Exhibits'!G1740:G1744)),AVERAGE('20250815_ETF_Options_Exhibits'!G1740:G1744),"")</f>
        <v/>
      </c>
      <c r="H1744" s="3">
        <f>IF(ISNUMBER(AVERAGE('20250815_ETF_Options_Exhibits'!H1740:H1744)),AVERAGE('20250815_ETF_Options_Exhibits'!H1740:H1744),"")</f>
        <v/>
      </c>
      <c r="I1744" s="3">
        <f>IF(ISNUMBER(AVERAGE('20250815_ETF_Options_Exhibits'!I1740:I1744)),AVERAGE('20250815_ETF_Options_Exhibits'!I1740:I1744),"")</f>
        <v/>
      </c>
      <c r="J1744" s="3">
        <f>IF(ISNUMBER(AVERAGE('20250815_ETF_Options_Exhibits'!J1740:J1744)),AVERAGE('20250815_ETF_Options_Exhibits'!J1740:J1744),"")</f>
        <v/>
      </c>
      <c r="K1744" s="3">
        <f>IF(ISNUMBER(AVERAGE('20250815_ETF_Options_Exhibits'!K1740:K1744)),AVERAGE('20250815_ETF_Options_Exhibits'!K1740:K1744),"")</f>
        <v/>
      </c>
      <c r="L1744" s="3">
        <f>IF(ISNUMBER(AVERAGE('20250815_ETF_Options_Exhibits'!L1740:L1744)),AVERAGE('20250815_ETF_Options_Exhibits'!L1740:L1744),"")</f>
        <v/>
      </c>
      <c r="M1744" s="3">
        <f>IF(ISNUMBER(AVERAGE('20250815_ETF_Options_Exhibits'!M1740:M1744)),AVERAGE('20250815_ETF_Options_Exhibits'!M1740:M1744),"")</f>
        <v/>
      </c>
      <c r="N1744" s="3">
        <f>IF(ISNUMBER(AVERAGE('20250815_ETF_Options_Exhibits'!N1740:N1744)),AVERAGE('20250815_ETF_Options_Exhibits'!N1740:N1744),"")</f>
        <v/>
      </c>
      <c r="O1744" s="3">
        <f>IF(ISNUMBER(AVERAGE('20250815_ETF_Options_Exhibits'!O1740:O1744)),AVERAGE('20250815_ETF_Options_Exhibits'!O1740:O1744),"")</f>
        <v/>
      </c>
      <c r="P1744" s="3">
        <f>IF(ISNUMBER(AVERAGE('20250815_ETF_Options_Exhibits'!P1740:P1744)),AVERAGE('20250815_ETF_Options_Exhibits'!P1740:P1744),"")</f>
        <v/>
      </c>
      <c r="Q1744" s="3">
        <f>IF(ISNUMBER(AVERAGE('20250815_ETF_Options_Exhibits'!Q1740:Q1744)),AVERAGE('20250815_ETF_Options_Exhibits'!Q1740:Q1744),"")</f>
        <v/>
      </c>
      <c r="R1744" s="3">
        <f>IF(ISNUMBER(AVERAGE('20250815_ETF_Options_Exhibits'!R1740:R1744)),AVERAGE('20250815_ETF_Options_Exhibits'!R1740:R1744),"")</f>
        <v/>
      </c>
      <c r="S1744" s="3">
        <f>IF(ISNUMBER(AVERAGE('20250815_ETF_Options_Exhibits'!S1740:S1744)),AVERAGE('20250815_ETF_Options_Exhibits'!S1740:S1744),"")</f>
        <v/>
      </c>
      <c r="T1744" s="3">
        <f>IF(ISNUMBER(AVERAGE('20250815_ETF_Options_Exhibits'!T1740:T1744)),AVERAGE('20250815_ETF_Options_Exhibits'!T1740:T1744),"")</f>
        <v/>
      </c>
      <c r="U1744" s="3">
        <f>IF(ISNUMBER(AVERAGE('20250815_ETF_Options_Exhibits'!U1740:U1744)),AVERAGE('20250815_ETF_Options_Exhibits'!U1740:U1744),"")</f>
        <v/>
      </c>
      <c r="V1744" s="3">
        <f>IF(ISNUMBER(AVERAGE('20250815_ETF_Options_Exhibits'!V1740:V1744)),AVERAGE('20250815_ETF_Options_Exhibits'!V1740:V1744),"")</f>
        <v/>
      </c>
      <c r="W1744" s="3">
        <f>IF(ISNUMBER(AVERAGE('20250815_ETF_Options_Exhibits'!W1740:W1744)),AVERAGE('20250815_ETF_Options_Exhibits'!W1740:W1744),"")</f>
        <v/>
      </c>
      <c r="X1744" s="3">
        <f>IF(ISNUMBER(AVERAGE('20250815_ETF_Options_Exhibits'!X1740:X1744)),AVERAGE('20250815_ETF_Options_Exhibits'!X1740:X1744),"")</f>
        <v/>
      </c>
      <c r="Y1744" s="3">
        <f>IF(ISNUMBER(AVERAGE('20250815_ETF_Options_Exhibits'!Y1740:Y1744)),AVERAGE('20250815_ETF_Options_Exhibits'!Y1740:Y1744),"")</f>
        <v/>
      </c>
      <c r="Z1744" s="3">
        <f>IF(ISNUMBER(AVERAGE('20250815_ETF_Options_Exhibits'!Z1740:Z1744)),AVERAGE('20250815_ETF_Options_Exhibits'!Z1740:Z1744),"")</f>
        <v/>
      </c>
      <c r="AA1744" s="3">
        <f>IF(ISNUMBER(AVERAGE('20250815_ETF_Options_Exhibits'!AA1740:AA1744)),AVERAGE('20250815_ETF_Options_Exhibits'!AA1740:AA1744),"")</f>
        <v/>
      </c>
    </row>
    <row r="1745">
      <c r="A1745" s="1" t="n">
        <v>44532</v>
      </c>
      <c r="B1745" s="3">
        <f>IF(ISNUMBER(AVERAGE('20250815_ETF_Options_Exhibits'!B1741:B1745)),AVERAGE('20250815_ETF_Options_Exhibits'!B1741:B1745),"")</f>
        <v/>
      </c>
      <c r="C1745" s="3">
        <f>IF(ISNUMBER(AVERAGE('20250815_ETF_Options_Exhibits'!C1741:C1745)),AVERAGE('20250815_ETF_Options_Exhibits'!C1741:C1745),"")</f>
        <v/>
      </c>
      <c r="D1745" s="3">
        <f>IF(ISNUMBER(AVERAGE('20250815_ETF_Options_Exhibits'!D1741:D1745)),AVERAGE('20250815_ETF_Options_Exhibits'!D1741:D1745),"")</f>
        <v/>
      </c>
      <c r="E1745" s="3">
        <f>IF(ISNUMBER(AVERAGE('20250815_ETF_Options_Exhibits'!E1741:E1745)),AVERAGE('20250815_ETF_Options_Exhibits'!E1741:E1745),"")</f>
        <v/>
      </c>
      <c r="F1745" s="3">
        <f>IF(ISNUMBER(AVERAGE('20250815_ETF_Options_Exhibits'!F1741:F1745)),AVERAGE('20250815_ETF_Options_Exhibits'!F1741:F1745),"")</f>
        <v/>
      </c>
      <c r="G1745" s="3">
        <f>IF(ISNUMBER(AVERAGE('20250815_ETF_Options_Exhibits'!G1741:G1745)),AVERAGE('20250815_ETF_Options_Exhibits'!G1741:G1745),"")</f>
        <v/>
      </c>
      <c r="H1745" s="3">
        <f>IF(ISNUMBER(AVERAGE('20250815_ETF_Options_Exhibits'!H1741:H1745)),AVERAGE('20250815_ETF_Options_Exhibits'!H1741:H1745),"")</f>
        <v/>
      </c>
      <c r="I1745" s="3">
        <f>IF(ISNUMBER(AVERAGE('20250815_ETF_Options_Exhibits'!I1741:I1745)),AVERAGE('20250815_ETF_Options_Exhibits'!I1741:I1745),"")</f>
        <v/>
      </c>
      <c r="J1745" s="3">
        <f>IF(ISNUMBER(AVERAGE('20250815_ETF_Options_Exhibits'!J1741:J1745)),AVERAGE('20250815_ETF_Options_Exhibits'!J1741:J1745),"")</f>
        <v/>
      </c>
      <c r="K1745" s="3">
        <f>IF(ISNUMBER(AVERAGE('20250815_ETF_Options_Exhibits'!K1741:K1745)),AVERAGE('20250815_ETF_Options_Exhibits'!K1741:K1745),"")</f>
        <v/>
      </c>
      <c r="L1745" s="3">
        <f>IF(ISNUMBER(AVERAGE('20250815_ETF_Options_Exhibits'!L1741:L1745)),AVERAGE('20250815_ETF_Options_Exhibits'!L1741:L1745),"")</f>
        <v/>
      </c>
      <c r="M1745" s="3">
        <f>IF(ISNUMBER(AVERAGE('20250815_ETF_Options_Exhibits'!M1741:M1745)),AVERAGE('20250815_ETF_Options_Exhibits'!M1741:M1745),"")</f>
        <v/>
      </c>
      <c r="N1745" s="3">
        <f>IF(ISNUMBER(AVERAGE('20250815_ETF_Options_Exhibits'!N1741:N1745)),AVERAGE('20250815_ETF_Options_Exhibits'!N1741:N1745),"")</f>
        <v/>
      </c>
      <c r="O1745" s="3">
        <f>IF(ISNUMBER(AVERAGE('20250815_ETF_Options_Exhibits'!O1741:O1745)),AVERAGE('20250815_ETF_Options_Exhibits'!O1741:O1745),"")</f>
        <v/>
      </c>
      <c r="P1745" s="3">
        <f>IF(ISNUMBER(AVERAGE('20250815_ETF_Options_Exhibits'!P1741:P1745)),AVERAGE('20250815_ETF_Options_Exhibits'!P1741:P1745),"")</f>
        <v/>
      </c>
      <c r="Q1745" s="3">
        <f>IF(ISNUMBER(AVERAGE('20250815_ETF_Options_Exhibits'!Q1741:Q1745)),AVERAGE('20250815_ETF_Options_Exhibits'!Q1741:Q1745),"")</f>
        <v/>
      </c>
      <c r="R1745" s="3">
        <f>IF(ISNUMBER(AVERAGE('20250815_ETF_Options_Exhibits'!R1741:R1745)),AVERAGE('20250815_ETF_Options_Exhibits'!R1741:R1745),"")</f>
        <v/>
      </c>
      <c r="S1745" s="3">
        <f>IF(ISNUMBER(AVERAGE('20250815_ETF_Options_Exhibits'!S1741:S1745)),AVERAGE('20250815_ETF_Options_Exhibits'!S1741:S1745),"")</f>
        <v/>
      </c>
      <c r="T1745" s="3">
        <f>IF(ISNUMBER(AVERAGE('20250815_ETF_Options_Exhibits'!T1741:T1745)),AVERAGE('20250815_ETF_Options_Exhibits'!T1741:T1745),"")</f>
        <v/>
      </c>
      <c r="U1745" s="3">
        <f>IF(ISNUMBER(AVERAGE('20250815_ETF_Options_Exhibits'!U1741:U1745)),AVERAGE('20250815_ETF_Options_Exhibits'!U1741:U1745),"")</f>
        <v/>
      </c>
      <c r="V1745" s="3">
        <f>IF(ISNUMBER(AVERAGE('20250815_ETF_Options_Exhibits'!V1741:V1745)),AVERAGE('20250815_ETF_Options_Exhibits'!V1741:V1745),"")</f>
        <v/>
      </c>
      <c r="W1745" s="3">
        <f>IF(ISNUMBER(AVERAGE('20250815_ETF_Options_Exhibits'!W1741:W1745)),AVERAGE('20250815_ETF_Options_Exhibits'!W1741:W1745),"")</f>
        <v/>
      </c>
      <c r="X1745" s="3">
        <f>IF(ISNUMBER(AVERAGE('20250815_ETF_Options_Exhibits'!X1741:X1745)),AVERAGE('20250815_ETF_Options_Exhibits'!X1741:X1745),"")</f>
        <v/>
      </c>
      <c r="Y1745" s="3">
        <f>IF(ISNUMBER(AVERAGE('20250815_ETF_Options_Exhibits'!Y1741:Y1745)),AVERAGE('20250815_ETF_Options_Exhibits'!Y1741:Y1745),"")</f>
        <v/>
      </c>
      <c r="Z1745" s="3">
        <f>IF(ISNUMBER(AVERAGE('20250815_ETF_Options_Exhibits'!Z1741:Z1745)),AVERAGE('20250815_ETF_Options_Exhibits'!Z1741:Z1745),"")</f>
        <v/>
      </c>
      <c r="AA1745" s="3">
        <f>IF(ISNUMBER(AVERAGE('20250815_ETF_Options_Exhibits'!AA1741:AA1745)),AVERAGE('20250815_ETF_Options_Exhibits'!AA1741:AA1745),"")</f>
        <v/>
      </c>
    </row>
    <row r="1746">
      <c r="A1746" s="1" t="n">
        <v>44533</v>
      </c>
      <c r="B1746" s="3">
        <f>IF(ISNUMBER(AVERAGE('20250815_ETF_Options_Exhibits'!B1742:B1746)),AVERAGE('20250815_ETF_Options_Exhibits'!B1742:B1746),"")</f>
        <v/>
      </c>
      <c r="C1746" s="3">
        <f>IF(ISNUMBER(AVERAGE('20250815_ETF_Options_Exhibits'!C1742:C1746)),AVERAGE('20250815_ETF_Options_Exhibits'!C1742:C1746),"")</f>
        <v/>
      </c>
      <c r="D1746" s="3">
        <f>IF(ISNUMBER(AVERAGE('20250815_ETF_Options_Exhibits'!D1742:D1746)),AVERAGE('20250815_ETF_Options_Exhibits'!D1742:D1746),"")</f>
        <v/>
      </c>
      <c r="E1746" s="3">
        <f>IF(ISNUMBER(AVERAGE('20250815_ETF_Options_Exhibits'!E1742:E1746)),AVERAGE('20250815_ETF_Options_Exhibits'!E1742:E1746),"")</f>
        <v/>
      </c>
      <c r="F1746" s="3">
        <f>IF(ISNUMBER(AVERAGE('20250815_ETF_Options_Exhibits'!F1742:F1746)),AVERAGE('20250815_ETF_Options_Exhibits'!F1742:F1746),"")</f>
        <v/>
      </c>
      <c r="G1746" s="3">
        <f>IF(ISNUMBER(AVERAGE('20250815_ETF_Options_Exhibits'!G1742:G1746)),AVERAGE('20250815_ETF_Options_Exhibits'!G1742:G1746),"")</f>
        <v/>
      </c>
      <c r="H1746" s="3">
        <f>IF(ISNUMBER(AVERAGE('20250815_ETF_Options_Exhibits'!H1742:H1746)),AVERAGE('20250815_ETF_Options_Exhibits'!H1742:H1746),"")</f>
        <v/>
      </c>
      <c r="I1746" s="3">
        <f>IF(ISNUMBER(AVERAGE('20250815_ETF_Options_Exhibits'!I1742:I1746)),AVERAGE('20250815_ETF_Options_Exhibits'!I1742:I1746),"")</f>
        <v/>
      </c>
      <c r="J1746" s="3">
        <f>IF(ISNUMBER(AVERAGE('20250815_ETF_Options_Exhibits'!J1742:J1746)),AVERAGE('20250815_ETF_Options_Exhibits'!J1742:J1746),"")</f>
        <v/>
      </c>
      <c r="K1746" s="3">
        <f>IF(ISNUMBER(AVERAGE('20250815_ETF_Options_Exhibits'!K1742:K1746)),AVERAGE('20250815_ETF_Options_Exhibits'!K1742:K1746),"")</f>
        <v/>
      </c>
      <c r="L1746" s="3">
        <f>IF(ISNUMBER(AVERAGE('20250815_ETF_Options_Exhibits'!L1742:L1746)),AVERAGE('20250815_ETF_Options_Exhibits'!L1742:L1746),"")</f>
        <v/>
      </c>
      <c r="M1746" s="3">
        <f>IF(ISNUMBER(AVERAGE('20250815_ETF_Options_Exhibits'!M1742:M1746)),AVERAGE('20250815_ETF_Options_Exhibits'!M1742:M1746),"")</f>
        <v/>
      </c>
      <c r="N1746" s="3">
        <f>IF(ISNUMBER(AVERAGE('20250815_ETF_Options_Exhibits'!N1742:N1746)),AVERAGE('20250815_ETF_Options_Exhibits'!N1742:N1746),"")</f>
        <v/>
      </c>
      <c r="O1746" s="3">
        <f>IF(ISNUMBER(AVERAGE('20250815_ETF_Options_Exhibits'!O1742:O1746)),AVERAGE('20250815_ETF_Options_Exhibits'!O1742:O1746),"")</f>
        <v/>
      </c>
      <c r="P1746" s="3">
        <f>IF(ISNUMBER(AVERAGE('20250815_ETF_Options_Exhibits'!P1742:P1746)),AVERAGE('20250815_ETF_Options_Exhibits'!P1742:P1746),"")</f>
        <v/>
      </c>
      <c r="Q1746" s="3">
        <f>IF(ISNUMBER(AVERAGE('20250815_ETF_Options_Exhibits'!Q1742:Q1746)),AVERAGE('20250815_ETF_Options_Exhibits'!Q1742:Q1746),"")</f>
        <v/>
      </c>
      <c r="R1746" s="3">
        <f>IF(ISNUMBER(AVERAGE('20250815_ETF_Options_Exhibits'!R1742:R1746)),AVERAGE('20250815_ETF_Options_Exhibits'!R1742:R1746),"")</f>
        <v/>
      </c>
      <c r="S1746" s="3">
        <f>IF(ISNUMBER(AVERAGE('20250815_ETF_Options_Exhibits'!S1742:S1746)),AVERAGE('20250815_ETF_Options_Exhibits'!S1742:S1746),"")</f>
        <v/>
      </c>
      <c r="T1746" s="3">
        <f>IF(ISNUMBER(AVERAGE('20250815_ETF_Options_Exhibits'!T1742:T1746)),AVERAGE('20250815_ETF_Options_Exhibits'!T1742:T1746),"")</f>
        <v/>
      </c>
      <c r="U1746" s="3">
        <f>IF(ISNUMBER(AVERAGE('20250815_ETF_Options_Exhibits'!U1742:U1746)),AVERAGE('20250815_ETF_Options_Exhibits'!U1742:U1746),"")</f>
        <v/>
      </c>
      <c r="V1746" s="3">
        <f>IF(ISNUMBER(AVERAGE('20250815_ETF_Options_Exhibits'!V1742:V1746)),AVERAGE('20250815_ETF_Options_Exhibits'!V1742:V1746),"")</f>
        <v/>
      </c>
      <c r="W1746" s="3">
        <f>IF(ISNUMBER(AVERAGE('20250815_ETF_Options_Exhibits'!W1742:W1746)),AVERAGE('20250815_ETF_Options_Exhibits'!W1742:W1746),"")</f>
        <v/>
      </c>
      <c r="X1746" s="3">
        <f>IF(ISNUMBER(AVERAGE('20250815_ETF_Options_Exhibits'!X1742:X1746)),AVERAGE('20250815_ETF_Options_Exhibits'!X1742:X1746),"")</f>
        <v/>
      </c>
      <c r="Y1746" s="3">
        <f>IF(ISNUMBER(AVERAGE('20250815_ETF_Options_Exhibits'!Y1742:Y1746)),AVERAGE('20250815_ETF_Options_Exhibits'!Y1742:Y1746),"")</f>
        <v/>
      </c>
      <c r="Z1746" s="3">
        <f>IF(ISNUMBER(AVERAGE('20250815_ETF_Options_Exhibits'!Z1742:Z1746)),AVERAGE('20250815_ETF_Options_Exhibits'!Z1742:Z1746),"")</f>
        <v/>
      </c>
      <c r="AA1746" s="3">
        <f>IF(ISNUMBER(AVERAGE('20250815_ETF_Options_Exhibits'!AA1742:AA1746)),AVERAGE('20250815_ETF_Options_Exhibits'!AA1742:AA1746),"")</f>
        <v/>
      </c>
    </row>
    <row r="1747">
      <c r="A1747" s="1" t="n">
        <v>44536</v>
      </c>
      <c r="B1747" s="3">
        <f>IF(ISNUMBER(AVERAGE('20250815_ETF_Options_Exhibits'!B1743:B1747)),AVERAGE('20250815_ETF_Options_Exhibits'!B1743:B1747),"")</f>
        <v/>
      </c>
      <c r="C1747" s="3">
        <f>IF(ISNUMBER(AVERAGE('20250815_ETF_Options_Exhibits'!C1743:C1747)),AVERAGE('20250815_ETF_Options_Exhibits'!C1743:C1747),"")</f>
        <v/>
      </c>
      <c r="D1747" s="3">
        <f>IF(ISNUMBER(AVERAGE('20250815_ETF_Options_Exhibits'!D1743:D1747)),AVERAGE('20250815_ETF_Options_Exhibits'!D1743:D1747),"")</f>
        <v/>
      </c>
      <c r="E1747" s="3">
        <f>IF(ISNUMBER(AVERAGE('20250815_ETF_Options_Exhibits'!E1743:E1747)),AVERAGE('20250815_ETF_Options_Exhibits'!E1743:E1747),"")</f>
        <v/>
      </c>
      <c r="F1747" s="3">
        <f>IF(ISNUMBER(AVERAGE('20250815_ETF_Options_Exhibits'!F1743:F1747)),AVERAGE('20250815_ETF_Options_Exhibits'!F1743:F1747),"")</f>
        <v/>
      </c>
      <c r="G1747" s="3">
        <f>IF(ISNUMBER(AVERAGE('20250815_ETF_Options_Exhibits'!G1743:G1747)),AVERAGE('20250815_ETF_Options_Exhibits'!G1743:G1747),"")</f>
        <v/>
      </c>
      <c r="H1747" s="3">
        <f>IF(ISNUMBER(AVERAGE('20250815_ETF_Options_Exhibits'!H1743:H1747)),AVERAGE('20250815_ETF_Options_Exhibits'!H1743:H1747),"")</f>
        <v/>
      </c>
      <c r="I1747" s="3">
        <f>IF(ISNUMBER(AVERAGE('20250815_ETF_Options_Exhibits'!I1743:I1747)),AVERAGE('20250815_ETF_Options_Exhibits'!I1743:I1747),"")</f>
        <v/>
      </c>
      <c r="J1747" s="3">
        <f>IF(ISNUMBER(AVERAGE('20250815_ETF_Options_Exhibits'!J1743:J1747)),AVERAGE('20250815_ETF_Options_Exhibits'!J1743:J1747),"")</f>
        <v/>
      </c>
      <c r="K1747" s="3">
        <f>IF(ISNUMBER(AVERAGE('20250815_ETF_Options_Exhibits'!K1743:K1747)),AVERAGE('20250815_ETF_Options_Exhibits'!K1743:K1747),"")</f>
        <v/>
      </c>
      <c r="L1747" s="3">
        <f>IF(ISNUMBER(AVERAGE('20250815_ETF_Options_Exhibits'!L1743:L1747)),AVERAGE('20250815_ETF_Options_Exhibits'!L1743:L1747),"")</f>
        <v/>
      </c>
      <c r="M1747" s="3">
        <f>IF(ISNUMBER(AVERAGE('20250815_ETF_Options_Exhibits'!M1743:M1747)),AVERAGE('20250815_ETF_Options_Exhibits'!M1743:M1747),"")</f>
        <v/>
      </c>
      <c r="N1747" s="3">
        <f>IF(ISNUMBER(AVERAGE('20250815_ETF_Options_Exhibits'!N1743:N1747)),AVERAGE('20250815_ETF_Options_Exhibits'!N1743:N1747),"")</f>
        <v/>
      </c>
      <c r="O1747" s="3">
        <f>IF(ISNUMBER(AVERAGE('20250815_ETF_Options_Exhibits'!O1743:O1747)),AVERAGE('20250815_ETF_Options_Exhibits'!O1743:O1747),"")</f>
        <v/>
      </c>
      <c r="P1747" s="3">
        <f>IF(ISNUMBER(AVERAGE('20250815_ETF_Options_Exhibits'!P1743:P1747)),AVERAGE('20250815_ETF_Options_Exhibits'!P1743:P1747),"")</f>
        <v/>
      </c>
      <c r="Q1747" s="3">
        <f>IF(ISNUMBER(AVERAGE('20250815_ETF_Options_Exhibits'!Q1743:Q1747)),AVERAGE('20250815_ETF_Options_Exhibits'!Q1743:Q1747),"")</f>
        <v/>
      </c>
      <c r="R1747" s="3">
        <f>IF(ISNUMBER(AVERAGE('20250815_ETF_Options_Exhibits'!R1743:R1747)),AVERAGE('20250815_ETF_Options_Exhibits'!R1743:R1747),"")</f>
        <v/>
      </c>
      <c r="S1747" s="3">
        <f>IF(ISNUMBER(AVERAGE('20250815_ETF_Options_Exhibits'!S1743:S1747)),AVERAGE('20250815_ETF_Options_Exhibits'!S1743:S1747),"")</f>
        <v/>
      </c>
      <c r="T1747" s="3">
        <f>IF(ISNUMBER(AVERAGE('20250815_ETF_Options_Exhibits'!T1743:T1747)),AVERAGE('20250815_ETF_Options_Exhibits'!T1743:T1747),"")</f>
        <v/>
      </c>
      <c r="U1747" s="3">
        <f>IF(ISNUMBER(AVERAGE('20250815_ETF_Options_Exhibits'!U1743:U1747)),AVERAGE('20250815_ETF_Options_Exhibits'!U1743:U1747),"")</f>
        <v/>
      </c>
      <c r="V1747" s="3">
        <f>IF(ISNUMBER(AVERAGE('20250815_ETF_Options_Exhibits'!V1743:V1747)),AVERAGE('20250815_ETF_Options_Exhibits'!V1743:V1747),"")</f>
        <v/>
      </c>
      <c r="W1747" s="3">
        <f>IF(ISNUMBER(AVERAGE('20250815_ETF_Options_Exhibits'!W1743:W1747)),AVERAGE('20250815_ETF_Options_Exhibits'!W1743:W1747),"")</f>
        <v/>
      </c>
      <c r="X1747" s="3">
        <f>IF(ISNUMBER(AVERAGE('20250815_ETF_Options_Exhibits'!X1743:X1747)),AVERAGE('20250815_ETF_Options_Exhibits'!X1743:X1747),"")</f>
        <v/>
      </c>
      <c r="Y1747" s="3">
        <f>IF(ISNUMBER(AVERAGE('20250815_ETF_Options_Exhibits'!Y1743:Y1747)),AVERAGE('20250815_ETF_Options_Exhibits'!Y1743:Y1747),"")</f>
        <v/>
      </c>
      <c r="Z1747" s="3">
        <f>IF(ISNUMBER(AVERAGE('20250815_ETF_Options_Exhibits'!Z1743:Z1747)),AVERAGE('20250815_ETF_Options_Exhibits'!Z1743:Z1747),"")</f>
        <v/>
      </c>
      <c r="AA1747" s="3">
        <f>IF(ISNUMBER(AVERAGE('20250815_ETF_Options_Exhibits'!AA1743:AA1747)),AVERAGE('20250815_ETF_Options_Exhibits'!AA1743:AA1747),"")</f>
        <v/>
      </c>
    </row>
    <row r="1748">
      <c r="A1748" s="1" t="n">
        <v>44537</v>
      </c>
      <c r="B1748" s="3">
        <f>IF(ISNUMBER(AVERAGE('20250815_ETF_Options_Exhibits'!B1744:B1748)),AVERAGE('20250815_ETF_Options_Exhibits'!B1744:B1748),"")</f>
        <v/>
      </c>
      <c r="C1748" s="3">
        <f>IF(ISNUMBER(AVERAGE('20250815_ETF_Options_Exhibits'!C1744:C1748)),AVERAGE('20250815_ETF_Options_Exhibits'!C1744:C1748),"")</f>
        <v/>
      </c>
      <c r="D1748" s="3">
        <f>IF(ISNUMBER(AVERAGE('20250815_ETF_Options_Exhibits'!D1744:D1748)),AVERAGE('20250815_ETF_Options_Exhibits'!D1744:D1748),"")</f>
        <v/>
      </c>
      <c r="E1748" s="3">
        <f>IF(ISNUMBER(AVERAGE('20250815_ETF_Options_Exhibits'!E1744:E1748)),AVERAGE('20250815_ETF_Options_Exhibits'!E1744:E1748),"")</f>
        <v/>
      </c>
      <c r="F1748" s="3">
        <f>IF(ISNUMBER(AVERAGE('20250815_ETF_Options_Exhibits'!F1744:F1748)),AVERAGE('20250815_ETF_Options_Exhibits'!F1744:F1748),"")</f>
        <v/>
      </c>
      <c r="G1748" s="3">
        <f>IF(ISNUMBER(AVERAGE('20250815_ETF_Options_Exhibits'!G1744:G1748)),AVERAGE('20250815_ETF_Options_Exhibits'!G1744:G1748),"")</f>
        <v/>
      </c>
      <c r="H1748" s="3">
        <f>IF(ISNUMBER(AVERAGE('20250815_ETF_Options_Exhibits'!H1744:H1748)),AVERAGE('20250815_ETF_Options_Exhibits'!H1744:H1748),"")</f>
        <v/>
      </c>
      <c r="I1748" s="3">
        <f>IF(ISNUMBER(AVERAGE('20250815_ETF_Options_Exhibits'!I1744:I1748)),AVERAGE('20250815_ETF_Options_Exhibits'!I1744:I1748),"")</f>
        <v/>
      </c>
      <c r="J1748" s="3">
        <f>IF(ISNUMBER(AVERAGE('20250815_ETF_Options_Exhibits'!J1744:J1748)),AVERAGE('20250815_ETF_Options_Exhibits'!J1744:J1748),"")</f>
        <v/>
      </c>
      <c r="K1748" s="3">
        <f>IF(ISNUMBER(AVERAGE('20250815_ETF_Options_Exhibits'!K1744:K1748)),AVERAGE('20250815_ETF_Options_Exhibits'!K1744:K1748),"")</f>
        <v/>
      </c>
      <c r="L1748" s="3">
        <f>IF(ISNUMBER(AVERAGE('20250815_ETF_Options_Exhibits'!L1744:L1748)),AVERAGE('20250815_ETF_Options_Exhibits'!L1744:L1748),"")</f>
        <v/>
      </c>
      <c r="M1748" s="3">
        <f>IF(ISNUMBER(AVERAGE('20250815_ETF_Options_Exhibits'!M1744:M1748)),AVERAGE('20250815_ETF_Options_Exhibits'!M1744:M1748),"")</f>
        <v/>
      </c>
      <c r="N1748" s="3">
        <f>IF(ISNUMBER(AVERAGE('20250815_ETF_Options_Exhibits'!N1744:N1748)),AVERAGE('20250815_ETF_Options_Exhibits'!N1744:N1748),"")</f>
        <v/>
      </c>
      <c r="O1748" s="3">
        <f>IF(ISNUMBER(AVERAGE('20250815_ETF_Options_Exhibits'!O1744:O1748)),AVERAGE('20250815_ETF_Options_Exhibits'!O1744:O1748),"")</f>
        <v/>
      </c>
      <c r="P1748" s="3">
        <f>IF(ISNUMBER(AVERAGE('20250815_ETF_Options_Exhibits'!P1744:P1748)),AVERAGE('20250815_ETF_Options_Exhibits'!P1744:P1748),"")</f>
        <v/>
      </c>
      <c r="Q1748" s="3">
        <f>IF(ISNUMBER(AVERAGE('20250815_ETF_Options_Exhibits'!Q1744:Q1748)),AVERAGE('20250815_ETF_Options_Exhibits'!Q1744:Q1748),"")</f>
        <v/>
      </c>
      <c r="R1748" s="3">
        <f>IF(ISNUMBER(AVERAGE('20250815_ETF_Options_Exhibits'!R1744:R1748)),AVERAGE('20250815_ETF_Options_Exhibits'!R1744:R1748),"")</f>
        <v/>
      </c>
      <c r="S1748" s="3">
        <f>IF(ISNUMBER(AVERAGE('20250815_ETF_Options_Exhibits'!S1744:S1748)),AVERAGE('20250815_ETF_Options_Exhibits'!S1744:S1748),"")</f>
        <v/>
      </c>
      <c r="T1748" s="3">
        <f>IF(ISNUMBER(AVERAGE('20250815_ETF_Options_Exhibits'!T1744:T1748)),AVERAGE('20250815_ETF_Options_Exhibits'!T1744:T1748),"")</f>
        <v/>
      </c>
      <c r="U1748" s="3">
        <f>IF(ISNUMBER(AVERAGE('20250815_ETF_Options_Exhibits'!U1744:U1748)),AVERAGE('20250815_ETF_Options_Exhibits'!U1744:U1748),"")</f>
        <v/>
      </c>
      <c r="V1748" s="3">
        <f>IF(ISNUMBER(AVERAGE('20250815_ETF_Options_Exhibits'!V1744:V1748)),AVERAGE('20250815_ETF_Options_Exhibits'!V1744:V1748),"")</f>
        <v/>
      </c>
      <c r="W1748" s="3">
        <f>IF(ISNUMBER(AVERAGE('20250815_ETF_Options_Exhibits'!W1744:W1748)),AVERAGE('20250815_ETF_Options_Exhibits'!W1744:W1748),"")</f>
        <v/>
      </c>
      <c r="X1748" s="3">
        <f>IF(ISNUMBER(AVERAGE('20250815_ETF_Options_Exhibits'!X1744:X1748)),AVERAGE('20250815_ETF_Options_Exhibits'!X1744:X1748),"")</f>
        <v/>
      </c>
      <c r="Y1748" s="3">
        <f>IF(ISNUMBER(AVERAGE('20250815_ETF_Options_Exhibits'!Y1744:Y1748)),AVERAGE('20250815_ETF_Options_Exhibits'!Y1744:Y1748),"")</f>
        <v/>
      </c>
      <c r="Z1748" s="3">
        <f>IF(ISNUMBER(AVERAGE('20250815_ETF_Options_Exhibits'!Z1744:Z1748)),AVERAGE('20250815_ETF_Options_Exhibits'!Z1744:Z1748),"")</f>
        <v/>
      </c>
      <c r="AA1748" s="3">
        <f>IF(ISNUMBER(AVERAGE('20250815_ETF_Options_Exhibits'!AA1744:AA1748)),AVERAGE('20250815_ETF_Options_Exhibits'!AA1744:AA1748),"")</f>
        <v/>
      </c>
    </row>
    <row r="1749">
      <c r="A1749" s="1" t="n">
        <v>44538</v>
      </c>
      <c r="B1749" s="3">
        <f>IF(ISNUMBER(AVERAGE('20250815_ETF_Options_Exhibits'!B1745:B1749)),AVERAGE('20250815_ETF_Options_Exhibits'!B1745:B1749),"")</f>
        <v/>
      </c>
      <c r="C1749" s="3">
        <f>IF(ISNUMBER(AVERAGE('20250815_ETF_Options_Exhibits'!C1745:C1749)),AVERAGE('20250815_ETF_Options_Exhibits'!C1745:C1749),"")</f>
        <v/>
      </c>
      <c r="D1749" s="3">
        <f>IF(ISNUMBER(AVERAGE('20250815_ETF_Options_Exhibits'!D1745:D1749)),AVERAGE('20250815_ETF_Options_Exhibits'!D1745:D1749),"")</f>
        <v/>
      </c>
      <c r="E1749" s="3">
        <f>IF(ISNUMBER(AVERAGE('20250815_ETF_Options_Exhibits'!E1745:E1749)),AVERAGE('20250815_ETF_Options_Exhibits'!E1745:E1749),"")</f>
        <v/>
      </c>
      <c r="F1749" s="3">
        <f>IF(ISNUMBER(AVERAGE('20250815_ETF_Options_Exhibits'!F1745:F1749)),AVERAGE('20250815_ETF_Options_Exhibits'!F1745:F1749),"")</f>
        <v/>
      </c>
      <c r="G1749" s="3">
        <f>IF(ISNUMBER(AVERAGE('20250815_ETF_Options_Exhibits'!G1745:G1749)),AVERAGE('20250815_ETF_Options_Exhibits'!G1745:G1749),"")</f>
        <v/>
      </c>
      <c r="H1749" s="3">
        <f>IF(ISNUMBER(AVERAGE('20250815_ETF_Options_Exhibits'!H1745:H1749)),AVERAGE('20250815_ETF_Options_Exhibits'!H1745:H1749),"")</f>
        <v/>
      </c>
      <c r="I1749" s="3">
        <f>IF(ISNUMBER(AVERAGE('20250815_ETF_Options_Exhibits'!I1745:I1749)),AVERAGE('20250815_ETF_Options_Exhibits'!I1745:I1749),"")</f>
        <v/>
      </c>
      <c r="J1749" s="3">
        <f>IF(ISNUMBER(AVERAGE('20250815_ETF_Options_Exhibits'!J1745:J1749)),AVERAGE('20250815_ETF_Options_Exhibits'!J1745:J1749),"")</f>
        <v/>
      </c>
      <c r="K1749" s="3">
        <f>IF(ISNUMBER(AVERAGE('20250815_ETF_Options_Exhibits'!K1745:K1749)),AVERAGE('20250815_ETF_Options_Exhibits'!K1745:K1749),"")</f>
        <v/>
      </c>
      <c r="L1749" s="3">
        <f>IF(ISNUMBER(AVERAGE('20250815_ETF_Options_Exhibits'!L1745:L1749)),AVERAGE('20250815_ETF_Options_Exhibits'!L1745:L1749),"")</f>
        <v/>
      </c>
      <c r="M1749" s="3">
        <f>IF(ISNUMBER(AVERAGE('20250815_ETF_Options_Exhibits'!M1745:M1749)),AVERAGE('20250815_ETF_Options_Exhibits'!M1745:M1749),"")</f>
        <v/>
      </c>
      <c r="N1749" s="3">
        <f>IF(ISNUMBER(AVERAGE('20250815_ETF_Options_Exhibits'!N1745:N1749)),AVERAGE('20250815_ETF_Options_Exhibits'!N1745:N1749),"")</f>
        <v/>
      </c>
      <c r="O1749" s="3">
        <f>IF(ISNUMBER(AVERAGE('20250815_ETF_Options_Exhibits'!O1745:O1749)),AVERAGE('20250815_ETF_Options_Exhibits'!O1745:O1749),"")</f>
        <v/>
      </c>
      <c r="P1749" s="3">
        <f>IF(ISNUMBER(AVERAGE('20250815_ETF_Options_Exhibits'!P1745:P1749)),AVERAGE('20250815_ETF_Options_Exhibits'!P1745:P1749),"")</f>
        <v/>
      </c>
      <c r="Q1749" s="3">
        <f>IF(ISNUMBER(AVERAGE('20250815_ETF_Options_Exhibits'!Q1745:Q1749)),AVERAGE('20250815_ETF_Options_Exhibits'!Q1745:Q1749),"")</f>
        <v/>
      </c>
      <c r="R1749" s="3">
        <f>IF(ISNUMBER(AVERAGE('20250815_ETF_Options_Exhibits'!R1745:R1749)),AVERAGE('20250815_ETF_Options_Exhibits'!R1745:R1749),"")</f>
        <v/>
      </c>
      <c r="S1749" s="3">
        <f>IF(ISNUMBER(AVERAGE('20250815_ETF_Options_Exhibits'!S1745:S1749)),AVERAGE('20250815_ETF_Options_Exhibits'!S1745:S1749),"")</f>
        <v/>
      </c>
      <c r="T1749" s="3">
        <f>IF(ISNUMBER(AVERAGE('20250815_ETF_Options_Exhibits'!T1745:T1749)),AVERAGE('20250815_ETF_Options_Exhibits'!T1745:T1749),"")</f>
        <v/>
      </c>
      <c r="U1749" s="3">
        <f>IF(ISNUMBER(AVERAGE('20250815_ETF_Options_Exhibits'!U1745:U1749)),AVERAGE('20250815_ETF_Options_Exhibits'!U1745:U1749),"")</f>
        <v/>
      </c>
      <c r="V1749" s="3">
        <f>IF(ISNUMBER(AVERAGE('20250815_ETF_Options_Exhibits'!V1745:V1749)),AVERAGE('20250815_ETF_Options_Exhibits'!V1745:V1749),"")</f>
        <v/>
      </c>
      <c r="W1749" s="3">
        <f>IF(ISNUMBER(AVERAGE('20250815_ETF_Options_Exhibits'!W1745:W1749)),AVERAGE('20250815_ETF_Options_Exhibits'!W1745:W1749),"")</f>
        <v/>
      </c>
      <c r="X1749" s="3">
        <f>IF(ISNUMBER(AVERAGE('20250815_ETF_Options_Exhibits'!X1745:X1749)),AVERAGE('20250815_ETF_Options_Exhibits'!X1745:X1749),"")</f>
        <v/>
      </c>
      <c r="Y1749" s="3">
        <f>IF(ISNUMBER(AVERAGE('20250815_ETF_Options_Exhibits'!Y1745:Y1749)),AVERAGE('20250815_ETF_Options_Exhibits'!Y1745:Y1749),"")</f>
        <v/>
      </c>
      <c r="Z1749" s="3">
        <f>IF(ISNUMBER(AVERAGE('20250815_ETF_Options_Exhibits'!Z1745:Z1749)),AVERAGE('20250815_ETF_Options_Exhibits'!Z1745:Z1749),"")</f>
        <v/>
      </c>
      <c r="AA1749" s="3">
        <f>IF(ISNUMBER(AVERAGE('20250815_ETF_Options_Exhibits'!AA1745:AA1749)),AVERAGE('20250815_ETF_Options_Exhibits'!AA1745:AA1749),"")</f>
        <v/>
      </c>
    </row>
    <row r="1750">
      <c r="A1750" s="1" t="n">
        <v>44539</v>
      </c>
      <c r="B1750" s="3">
        <f>IF(ISNUMBER(AVERAGE('20250815_ETF_Options_Exhibits'!B1746:B1750)),AVERAGE('20250815_ETF_Options_Exhibits'!B1746:B1750),"")</f>
        <v/>
      </c>
      <c r="C1750" s="3">
        <f>IF(ISNUMBER(AVERAGE('20250815_ETF_Options_Exhibits'!C1746:C1750)),AVERAGE('20250815_ETF_Options_Exhibits'!C1746:C1750),"")</f>
        <v/>
      </c>
      <c r="D1750" s="3">
        <f>IF(ISNUMBER(AVERAGE('20250815_ETF_Options_Exhibits'!D1746:D1750)),AVERAGE('20250815_ETF_Options_Exhibits'!D1746:D1750),"")</f>
        <v/>
      </c>
      <c r="E1750" s="3">
        <f>IF(ISNUMBER(AVERAGE('20250815_ETF_Options_Exhibits'!E1746:E1750)),AVERAGE('20250815_ETF_Options_Exhibits'!E1746:E1750),"")</f>
        <v/>
      </c>
      <c r="F1750" s="3">
        <f>IF(ISNUMBER(AVERAGE('20250815_ETF_Options_Exhibits'!F1746:F1750)),AVERAGE('20250815_ETF_Options_Exhibits'!F1746:F1750),"")</f>
        <v/>
      </c>
      <c r="G1750" s="3">
        <f>IF(ISNUMBER(AVERAGE('20250815_ETF_Options_Exhibits'!G1746:G1750)),AVERAGE('20250815_ETF_Options_Exhibits'!G1746:G1750),"")</f>
        <v/>
      </c>
      <c r="H1750" s="3">
        <f>IF(ISNUMBER(AVERAGE('20250815_ETF_Options_Exhibits'!H1746:H1750)),AVERAGE('20250815_ETF_Options_Exhibits'!H1746:H1750),"")</f>
        <v/>
      </c>
      <c r="I1750" s="3">
        <f>IF(ISNUMBER(AVERAGE('20250815_ETF_Options_Exhibits'!I1746:I1750)),AVERAGE('20250815_ETF_Options_Exhibits'!I1746:I1750),"")</f>
        <v/>
      </c>
      <c r="J1750" s="3">
        <f>IF(ISNUMBER(AVERAGE('20250815_ETF_Options_Exhibits'!J1746:J1750)),AVERAGE('20250815_ETF_Options_Exhibits'!J1746:J1750),"")</f>
        <v/>
      </c>
      <c r="K1750" s="3">
        <f>IF(ISNUMBER(AVERAGE('20250815_ETF_Options_Exhibits'!K1746:K1750)),AVERAGE('20250815_ETF_Options_Exhibits'!K1746:K1750),"")</f>
        <v/>
      </c>
      <c r="L1750" s="3">
        <f>IF(ISNUMBER(AVERAGE('20250815_ETF_Options_Exhibits'!L1746:L1750)),AVERAGE('20250815_ETF_Options_Exhibits'!L1746:L1750),"")</f>
        <v/>
      </c>
      <c r="M1750" s="3">
        <f>IF(ISNUMBER(AVERAGE('20250815_ETF_Options_Exhibits'!M1746:M1750)),AVERAGE('20250815_ETF_Options_Exhibits'!M1746:M1750),"")</f>
        <v/>
      </c>
      <c r="N1750" s="3">
        <f>IF(ISNUMBER(AVERAGE('20250815_ETF_Options_Exhibits'!N1746:N1750)),AVERAGE('20250815_ETF_Options_Exhibits'!N1746:N1750),"")</f>
        <v/>
      </c>
      <c r="O1750" s="3">
        <f>IF(ISNUMBER(AVERAGE('20250815_ETF_Options_Exhibits'!O1746:O1750)),AVERAGE('20250815_ETF_Options_Exhibits'!O1746:O1750),"")</f>
        <v/>
      </c>
      <c r="P1750" s="3">
        <f>IF(ISNUMBER(AVERAGE('20250815_ETF_Options_Exhibits'!P1746:P1750)),AVERAGE('20250815_ETF_Options_Exhibits'!P1746:P1750),"")</f>
        <v/>
      </c>
      <c r="Q1750" s="3">
        <f>IF(ISNUMBER(AVERAGE('20250815_ETF_Options_Exhibits'!Q1746:Q1750)),AVERAGE('20250815_ETF_Options_Exhibits'!Q1746:Q1750),"")</f>
        <v/>
      </c>
      <c r="R1750" s="3">
        <f>IF(ISNUMBER(AVERAGE('20250815_ETF_Options_Exhibits'!R1746:R1750)),AVERAGE('20250815_ETF_Options_Exhibits'!R1746:R1750),"")</f>
        <v/>
      </c>
      <c r="S1750" s="3">
        <f>IF(ISNUMBER(AVERAGE('20250815_ETF_Options_Exhibits'!S1746:S1750)),AVERAGE('20250815_ETF_Options_Exhibits'!S1746:S1750),"")</f>
        <v/>
      </c>
      <c r="T1750" s="3">
        <f>IF(ISNUMBER(AVERAGE('20250815_ETF_Options_Exhibits'!T1746:T1750)),AVERAGE('20250815_ETF_Options_Exhibits'!T1746:T1750),"")</f>
        <v/>
      </c>
      <c r="U1750" s="3">
        <f>IF(ISNUMBER(AVERAGE('20250815_ETF_Options_Exhibits'!U1746:U1750)),AVERAGE('20250815_ETF_Options_Exhibits'!U1746:U1750),"")</f>
        <v/>
      </c>
      <c r="V1750" s="3">
        <f>IF(ISNUMBER(AVERAGE('20250815_ETF_Options_Exhibits'!V1746:V1750)),AVERAGE('20250815_ETF_Options_Exhibits'!V1746:V1750),"")</f>
        <v/>
      </c>
      <c r="W1750" s="3">
        <f>IF(ISNUMBER(AVERAGE('20250815_ETF_Options_Exhibits'!W1746:W1750)),AVERAGE('20250815_ETF_Options_Exhibits'!W1746:W1750),"")</f>
        <v/>
      </c>
      <c r="X1750" s="3">
        <f>IF(ISNUMBER(AVERAGE('20250815_ETF_Options_Exhibits'!X1746:X1750)),AVERAGE('20250815_ETF_Options_Exhibits'!X1746:X1750),"")</f>
        <v/>
      </c>
      <c r="Y1750" s="3">
        <f>IF(ISNUMBER(AVERAGE('20250815_ETF_Options_Exhibits'!Y1746:Y1750)),AVERAGE('20250815_ETF_Options_Exhibits'!Y1746:Y1750),"")</f>
        <v/>
      </c>
      <c r="Z1750" s="3">
        <f>IF(ISNUMBER(AVERAGE('20250815_ETF_Options_Exhibits'!Z1746:Z1750)),AVERAGE('20250815_ETF_Options_Exhibits'!Z1746:Z1750),"")</f>
        <v/>
      </c>
      <c r="AA1750" s="3">
        <f>IF(ISNUMBER(AVERAGE('20250815_ETF_Options_Exhibits'!AA1746:AA1750)),AVERAGE('20250815_ETF_Options_Exhibits'!AA1746:AA1750),"")</f>
        <v/>
      </c>
    </row>
    <row r="1751">
      <c r="A1751" s="1" t="n">
        <v>44540</v>
      </c>
      <c r="B1751" s="3">
        <f>IF(ISNUMBER(AVERAGE('20250815_ETF_Options_Exhibits'!B1747:B1751)),AVERAGE('20250815_ETF_Options_Exhibits'!B1747:B1751),"")</f>
        <v/>
      </c>
      <c r="C1751" s="3">
        <f>IF(ISNUMBER(AVERAGE('20250815_ETF_Options_Exhibits'!C1747:C1751)),AVERAGE('20250815_ETF_Options_Exhibits'!C1747:C1751),"")</f>
        <v/>
      </c>
      <c r="D1751" s="3">
        <f>IF(ISNUMBER(AVERAGE('20250815_ETF_Options_Exhibits'!D1747:D1751)),AVERAGE('20250815_ETF_Options_Exhibits'!D1747:D1751),"")</f>
        <v/>
      </c>
      <c r="E1751" s="3">
        <f>IF(ISNUMBER(AVERAGE('20250815_ETF_Options_Exhibits'!E1747:E1751)),AVERAGE('20250815_ETF_Options_Exhibits'!E1747:E1751),"")</f>
        <v/>
      </c>
      <c r="F1751" s="3">
        <f>IF(ISNUMBER(AVERAGE('20250815_ETF_Options_Exhibits'!F1747:F1751)),AVERAGE('20250815_ETF_Options_Exhibits'!F1747:F1751),"")</f>
        <v/>
      </c>
      <c r="G1751" s="3">
        <f>IF(ISNUMBER(AVERAGE('20250815_ETF_Options_Exhibits'!G1747:G1751)),AVERAGE('20250815_ETF_Options_Exhibits'!G1747:G1751),"")</f>
        <v/>
      </c>
      <c r="H1751" s="3">
        <f>IF(ISNUMBER(AVERAGE('20250815_ETF_Options_Exhibits'!H1747:H1751)),AVERAGE('20250815_ETF_Options_Exhibits'!H1747:H1751),"")</f>
        <v/>
      </c>
      <c r="I1751" s="3">
        <f>IF(ISNUMBER(AVERAGE('20250815_ETF_Options_Exhibits'!I1747:I1751)),AVERAGE('20250815_ETF_Options_Exhibits'!I1747:I1751),"")</f>
        <v/>
      </c>
      <c r="J1751" s="3">
        <f>IF(ISNUMBER(AVERAGE('20250815_ETF_Options_Exhibits'!J1747:J1751)),AVERAGE('20250815_ETF_Options_Exhibits'!J1747:J1751),"")</f>
        <v/>
      </c>
      <c r="K1751" s="3">
        <f>IF(ISNUMBER(AVERAGE('20250815_ETF_Options_Exhibits'!K1747:K1751)),AVERAGE('20250815_ETF_Options_Exhibits'!K1747:K1751),"")</f>
        <v/>
      </c>
      <c r="L1751" s="3">
        <f>IF(ISNUMBER(AVERAGE('20250815_ETF_Options_Exhibits'!L1747:L1751)),AVERAGE('20250815_ETF_Options_Exhibits'!L1747:L1751),"")</f>
        <v/>
      </c>
      <c r="M1751" s="3">
        <f>IF(ISNUMBER(AVERAGE('20250815_ETF_Options_Exhibits'!M1747:M1751)),AVERAGE('20250815_ETF_Options_Exhibits'!M1747:M1751),"")</f>
        <v/>
      </c>
      <c r="N1751" s="3">
        <f>IF(ISNUMBER(AVERAGE('20250815_ETF_Options_Exhibits'!N1747:N1751)),AVERAGE('20250815_ETF_Options_Exhibits'!N1747:N1751),"")</f>
        <v/>
      </c>
      <c r="O1751" s="3">
        <f>IF(ISNUMBER(AVERAGE('20250815_ETF_Options_Exhibits'!O1747:O1751)),AVERAGE('20250815_ETF_Options_Exhibits'!O1747:O1751),"")</f>
        <v/>
      </c>
      <c r="P1751" s="3">
        <f>IF(ISNUMBER(AVERAGE('20250815_ETF_Options_Exhibits'!P1747:P1751)),AVERAGE('20250815_ETF_Options_Exhibits'!P1747:P1751),"")</f>
        <v/>
      </c>
      <c r="Q1751" s="3">
        <f>IF(ISNUMBER(AVERAGE('20250815_ETF_Options_Exhibits'!Q1747:Q1751)),AVERAGE('20250815_ETF_Options_Exhibits'!Q1747:Q1751),"")</f>
        <v/>
      </c>
      <c r="R1751" s="3">
        <f>IF(ISNUMBER(AVERAGE('20250815_ETF_Options_Exhibits'!R1747:R1751)),AVERAGE('20250815_ETF_Options_Exhibits'!R1747:R1751),"")</f>
        <v/>
      </c>
      <c r="S1751" s="3">
        <f>IF(ISNUMBER(AVERAGE('20250815_ETF_Options_Exhibits'!S1747:S1751)),AVERAGE('20250815_ETF_Options_Exhibits'!S1747:S1751),"")</f>
        <v/>
      </c>
      <c r="T1751" s="3">
        <f>IF(ISNUMBER(AVERAGE('20250815_ETF_Options_Exhibits'!T1747:T1751)),AVERAGE('20250815_ETF_Options_Exhibits'!T1747:T1751),"")</f>
        <v/>
      </c>
      <c r="U1751" s="3">
        <f>IF(ISNUMBER(AVERAGE('20250815_ETF_Options_Exhibits'!U1747:U1751)),AVERAGE('20250815_ETF_Options_Exhibits'!U1747:U1751),"")</f>
        <v/>
      </c>
      <c r="V1751" s="3">
        <f>IF(ISNUMBER(AVERAGE('20250815_ETF_Options_Exhibits'!V1747:V1751)),AVERAGE('20250815_ETF_Options_Exhibits'!V1747:V1751),"")</f>
        <v/>
      </c>
      <c r="W1751" s="3">
        <f>IF(ISNUMBER(AVERAGE('20250815_ETF_Options_Exhibits'!W1747:W1751)),AVERAGE('20250815_ETF_Options_Exhibits'!W1747:W1751),"")</f>
        <v/>
      </c>
      <c r="X1751" s="3">
        <f>IF(ISNUMBER(AVERAGE('20250815_ETF_Options_Exhibits'!X1747:X1751)),AVERAGE('20250815_ETF_Options_Exhibits'!X1747:X1751),"")</f>
        <v/>
      </c>
      <c r="Y1751" s="3">
        <f>IF(ISNUMBER(AVERAGE('20250815_ETF_Options_Exhibits'!Y1747:Y1751)),AVERAGE('20250815_ETF_Options_Exhibits'!Y1747:Y1751),"")</f>
        <v/>
      </c>
      <c r="Z1751" s="3">
        <f>IF(ISNUMBER(AVERAGE('20250815_ETF_Options_Exhibits'!Z1747:Z1751)),AVERAGE('20250815_ETF_Options_Exhibits'!Z1747:Z1751),"")</f>
        <v/>
      </c>
      <c r="AA1751" s="3">
        <f>IF(ISNUMBER(AVERAGE('20250815_ETF_Options_Exhibits'!AA1747:AA1751)),AVERAGE('20250815_ETF_Options_Exhibits'!AA1747:AA1751),"")</f>
        <v/>
      </c>
    </row>
    <row r="1752">
      <c r="A1752" s="1" t="n">
        <v>44543</v>
      </c>
      <c r="B1752" s="3">
        <f>IF(ISNUMBER(AVERAGE('20250815_ETF_Options_Exhibits'!B1748:B1752)),AVERAGE('20250815_ETF_Options_Exhibits'!B1748:B1752),"")</f>
        <v/>
      </c>
      <c r="C1752" s="3">
        <f>IF(ISNUMBER(AVERAGE('20250815_ETF_Options_Exhibits'!C1748:C1752)),AVERAGE('20250815_ETF_Options_Exhibits'!C1748:C1752),"")</f>
        <v/>
      </c>
      <c r="D1752" s="3">
        <f>IF(ISNUMBER(AVERAGE('20250815_ETF_Options_Exhibits'!D1748:D1752)),AVERAGE('20250815_ETF_Options_Exhibits'!D1748:D1752),"")</f>
        <v/>
      </c>
      <c r="E1752" s="3">
        <f>IF(ISNUMBER(AVERAGE('20250815_ETF_Options_Exhibits'!E1748:E1752)),AVERAGE('20250815_ETF_Options_Exhibits'!E1748:E1752),"")</f>
        <v/>
      </c>
      <c r="F1752" s="3">
        <f>IF(ISNUMBER(AVERAGE('20250815_ETF_Options_Exhibits'!F1748:F1752)),AVERAGE('20250815_ETF_Options_Exhibits'!F1748:F1752),"")</f>
        <v/>
      </c>
      <c r="G1752" s="3">
        <f>IF(ISNUMBER(AVERAGE('20250815_ETF_Options_Exhibits'!G1748:G1752)),AVERAGE('20250815_ETF_Options_Exhibits'!G1748:G1752),"")</f>
        <v/>
      </c>
      <c r="H1752" s="3">
        <f>IF(ISNUMBER(AVERAGE('20250815_ETF_Options_Exhibits'!H1748:H1752)),AVERAGE('20250815_ETF_Options_Exhibits'!H1748:H1752),"")</f>
        <v/>
      </c>
      <c r="I1752" s="3">
        <f>IF(ISNUMBER(AVERAGE('20250815_ETF_Options_Exhibits'!I1748:I1752)),AVERAGE('20250815_ETF_Options_Exhibits'!I1748:I1752),"")</f>
        <v/>
      </c>
      <c r="J1752" s="3">
        <f>IF(ISNUMBER(AVERAGE('20250815_ETF_Options_Exhibits'!J1748:J1752)),AVERAGE('20250815_ETF_Options_Exhibits'!J1748:J1752),"")</f>
        <v/>
      </c>
      <c r="K1752" s="3">
        <f>IF(ISNUMBER(AVERAGE('20250815_ETF_Options_Exhibits'!K1748:K1752)),AVERAGE('20250815_ETF_Options_Exhibits'!K1748:K1752),"")</f>
        <v/>
      </c>
      <c r="L1752" s="3">
        <f>IF(ISNUMBER(AVERAGE('20250815_ETF_Options_Exhibits'!L1748:L1752)),AVERAGE('20250815_ETF_Options_Exhibits'!L1748:L1752),"")</f>
        <v/>
      </c>
      <c r="M1752" s="3">
        <f>IF(ISNUMBER(AVERAGE('20250815_ETF_Options_Exhibits'!M1748:M1752)),AVERAGE('20250815_ETF_Options_Exhibits'!M1748:M1752),"")</f>
        <v/>
      </c>
      <c r="N1752" s="3">
        <f>IF(ISNUMBER(AVERAGE('20250815_ETF_Options_Exhibits'!N1748:N1752)),AVERAGE('20250815_ETF_Options_Exhibits'!N1748:N1752),"")</f>
        <v/>
      </c>
      <c r="O1752" s="3">
        <f>IF(ISNUMBER(AVERAGE('20250815_ETF_Options_Exhibits'!O1748:O1752)),AVERAGE('20250815_ETF_Options_Exhibits'!O1748:O1752),"")</f>
        <v/>
      </c>
      <c r="P1752" s="3">
        <f>IF(ISNUMBER(AVERAGE('20250815_ETF_Options_Exhibits'!P1748:P1752)),AVERAGE('20250815_ETF_Options_Exhibits'!P1748:P1752),"")</f>
        <v/>
      </c>
      <c r="Q1752" s="3">
        <f>IF(ISNUMBER(AVERAGE('20250815_ETF_Options_Exhibits'!Q1748:Q1752)),AVERAGE('20250815_ETF_Options_Exhibits'!Q1748:Q1752),"")</f>
        <v/>
      </c>
      <c r="R1752" s="3">
        <f>IF(ISNUMBER(AVERAGE('20250815_ETF_Options_Exhibits'!R1748:R1752)),AVERAGE('20250815_ETF_Options_Exhibits'!R1748:R1752),"")</f>
        <v/>
      </c>
      <c r="S1752" s="3">
        <f>IF(ISNUMBER(AVERAGE('20250815_ETF_Options_Exhibits'!S1748:S1752)),AVERAGE('20250815_ETF_Options_Exhibits'!S1748:S1752),"")</f>
        <v/>
      </c>
      <c r="T1752" s="3">
        <f>IF(ISNUMBER(AVERAGE('20250815_ETF_Options_Exhibits'!T1748:T1752)),AVERAGE('20250815_ETF_Options_Exhibits'!T1748:T1752),"")</f>
        <v/>
      </c>
      <c r="U1752" s="3">
        <f>IF(ISNUMBER(AVERAGE('20250815_ETF_Options_Exhibits'!U1748:U1752)),AVERAGE('20250815_ETF_Options_Exhibits'!U1748:U1752),"")</f>
        <v/>
      </c>
      <c r="V1752" s="3">
        <f>IF(ISNUMBER(AVERAGE('20250815_ETF_Options_Exhibits'!V1748:V1752)),AVERAGE('20250815_ETF_Options_Exhibits'!V1748:V1752),"")</f>
        <v/>
      </c>
      <c r="W1752" s="3">
        <f>IF(ISNUMBER(AVERAGE('20250815_ETF_Options_Exhibits'!W1748:W1752)),AVERAGE('20250815_ETF_Options_Exhibits'!W1748:W1752),"")</f>
        <v/>
      </c>
      <c r="X1752" s="3">
        <f>IF(ISNUMBER(AVERAGE('20250815_ETF_Options_Exhibits'!X1748:X1752)),AVERAGE('20250815_ETF_Options_Exhibits'!X1748:X1752),"")</f>
        <v/>
      </c>
      <c r="Y1752" s="3">
        <f>IF(ISNUMBER(AVERAGE('20250815_ETF_Options_Exhibits'!Y1748:Y1752)),AVERAGE('20250815_ETF_Options_Exhibits'!Y1748:Y1752),"")</f>
        <v/>
      </c>
      <c r="Z1752" s="3">
        <f>IF(ISNUMBER(AVERAGE('20250815_ETF_Options_Exhibits'!Z1748:Z1752)),AVERAGE('20250815_ETF_Options_Exhibits'!Z1748:Z1752),"")</f>
        <v/>
      </c>
      <c r="AA1752" s="3">
        <f>IF(ISNUMBER(AVERAGE('20250815_ETF_Options_Exhibits'!AA1748:AA1752)),AVERAGE('20250815_ETF_Options_Exhibits'!AA1748:AA1752),"")</f>
        <v/>
      </c>
    </row>
    <row r="1753">
      <c r="A1753" s="1" t="n">
        <v>44544</v>
      </c>
      <c r="B1753" s="3">
        <f>IF(ISNUMBER(AVERAGE('20250815_ETF_Options_Exhibits'!B1749:B1753)),AVERAGE('20250815_ETF_Options_Exhibits'!B1749:B1753),"")</f>
        <v/>
      </c>
      <c r="C1753" s="3">
        <f>IF(ISNUMBER(AVERAGE('20250815_ETF_Options_Exhibits'!C1749:C1753)),AVERAGE('20250815_ETF_Options_Exhibits'!C1749:C1753),"")</f>
        <v/>
      </c>
      <c r="D1753" s="3">
        <f>IF(ISNUMBER(AVERAGE('20250815_ETF_Options_Exhibits'!D1749:D1753)),AVERAGE('20250815_ETF_Options_Exhibits'!D1749:D1753),"")</f>
        <v/>
      </c>
      <c r="E1753" s="3">
        <f>IF(ISNUMBER(AVERAGE('20250815_ETF_Options_Exhibits'!E1749:E1753)),AVERAGE('20250815_ETF_Options_Exhibits'!E1749:E1753),"")</f>
        <v/>
      </c>
      <c r="F1753" s="3">
        <f>IF(ISNUMBER(AVERAGE('20250815_ETF_Options_Exhibits'!F1749:F1753)),AVERAGE('20250815_ETF_Options_Exhibits'!F1749:F1753),"")</f>
        <v/>
      </c>
      <c r="G1753" s="3">
        <f>IF(ISNUMBER(AVERAGE('20250815_ETF_Options_Exhibits'!G1749:G1753)),AVERAGE('20250815_ETF_Options_Exhibits'!G1749:G1753),"")</f>
        <v/>
      </c>
      <c r="H1753" s="3">
        <f>IF(ISNUMBER(AVERAGE('20250815_ETF_Options_Exhibits'!H1749:H1753)),AVERAGE('20250815_ETF_Options_Exhibits'!H1749:H1753),"")</f>
        <v/>
      </c>
      <c r="I1753" s="3">
        <f>IF(ISNUMBER(AVERAGE('20250815_ETF_Options_Exhibits'!I1749:I1753)),AVERAGE('20250815_ETF_Options_Exhibits'!I1749:I1753),"")</f>
        <v/>
      </c>
      <c r="J1753" s="3">
        <f>IF(ISNUMBER(AVERAGE('20250815_ETF_Options_Exhibits'!J1749:J1753)),AVERAGE('20250815_ETF_Options_Exhibits'!J1749:J1753),"")</f>
        <v/>
      </c>
      <c r="K1753" s="3">
        <f>IF(ISNUMBER(AVERAGE('20250815_ETF_Options_Exhibits'!K1749:K1753)),AVERAGE('20250815_ETF_Options_Exhibits'!K1749:K1753),"")</f>
        <v/>
      </c>
      <c r="L1753" s="3">
        <f>IF(ISNUMBER(AVERAGE('20250815_ETF_Options_Exhibits'!L1749:L1753)),AVERAGE('20250815_ETF_Options_Exhibits'!L1749:L1753),"")</f>
        <v/>
      </c>
      <c r="M1753" s="3">
        <f>IF(ISNUMBER(AVERAGE('20250815_ETF_Options_Exhibits'!M1749:M1753)),AVERAGE('20250815_ETF_Options_Exhibits'!M1749:M1753),"")</f>
        <v/>
      </c>
      <c r="N1753" s="3">
        <f>IF(ISNUMBER(AVERAGE('20250815_ETF_Options_Exhibits'!N1749:N1753)),AVERAGE('20250815_ETF_Options_Exhibits'!N1749:N1753),"")</f>
        <v/>
      </c>
      <c r="O1753" s="3">
        <f>IF(ISNUMBER(AVERAGE('20250815_ETF_Options_Exhibits'!O1749:O1753)),AVERAGE('20250815_ETF_Options_Exhibits'!O1749:O1753),"")</f>
        <v/>
      </c>
      <c r="P1753" s="3">
        <f>IF(ISNUMBER(AVERAGE('20250815_ETF_Options_Exhibits'!P1749:P1753)),AVERAGE('20250815_ETF_Options_Exhibits'!P1749:P1753),"")</f>
        <v/>
      </c>
      <c r="Q1753" s="3">
        <f>IF(ISNUMBER(AVERAGE('20250815_ETF_Options_Exhibits'!Q1749:Q1753)),AVERAGE('20250815_ETF_Options_Exhibits'!Q1749:Q1753),"")</f>
        <v/>
      </c>
      <c r="R1753" s="3">
        <f>IF(ISNUMBER(AVERAGE('20250815_ETF_Options_Exhibits'!R1749:R1753)),AVERAGE('20250815_ETF_Options_Exhibits'!R1749:R1753),"")</f>
        <v/>
      </c>
      <c r="S1753" s="3">
        <f>IF(ISNUMBER(AVERAGE('20250815_ETF_Options_Exhibits'!S1749:S1753)),AVERAGE('20250815_ETF_Options_Exhibits'!S1749:S1753),"")</f>
        <v/>
      </c>
      <c r="T1753" s="3">
        <f>IF(ISNUMBER(AVERAGE('20250815_ETF_Options_Exhibits'!T1749:T1753)),AVERAGE('20250815_ETF_Options_Exhibits'!T1749:T1753),"")</f>
        <v/>
      </c>
      <c r="U1753" s="3">
        <f>IF(ISNUMBER(AVERAGE('20250815_ETF_Options_Exhibits'!U1749:U1753)),AVERAGE('20250815_ETF_Options_Exhibits'!U1749:U1753),"")</f>
        <v/>
      </c>
      <c r="V1753" s="3">
        <f>IF(ISNUMBER(AVERAGE('20250815_ETF_Options_Exhibits'!V1749:V1753)),AVERAGE('20250815_ETF_Options_Exhibits'!V1749:V1753),"")</f>
        <v/>
      </c>
      <c r="W1753" s="3">
        <f>IF(ISNUMBER(AVERAGE('20250815_ETF_Options_Exhibits'!W1749:W1753)),AVERAGE('20250815_ETF_Options_Exhibits'!W1749:W1753),"")</f>
        <v/>
      </c>
      <c r="X1753" s="3">
        <f>IF(ISNUMBER(AVERAGE('20250815_ETF_Options_Exhibits'!X1749:X1753)),AVERAGE('20250815_ETF_Options_Exhibits'!X1749:X1753),"")</f>
        <v/>
      </c>
      <c r="Y1753" s="3">
        <f>IF(ISNUMBER(AVERAGE('20250815_ETF_Options_Exhibits'!Y1749:Y1753)),AVERAGE('20250815_ETF_Options_Exhibits'!Y1749:Y1753),"")</f>
        <v/>
      </c>
      <c r="Z1753" s="3">
        <f>IF(ISNUMBER(AVERAGE('20250815_ETF_Options_Exhibits'!Z1749:Z1753)),AVERAGE('20250815_ETF_Options_Exhibits'!Z1749:Z1753),"")</f>
        <v/>
      </c>
      <c r="AA1753" s="3">
        <f>IF(ISNUMBER(AVERAGE('20250815_ETF_Options_Exhibits'!AA1749:AA1753)),AVERAGE('20250815_ETF_Options_Exhibits'!AA1749:AA1753),"")</f>
        <v/>
      </c>
    </row>
    <row r="1754">
      <c r="A1754" s="1" t="n">
        <v>44545</v>
      </c>
      <c r="B1754" s="3">
        <f>IF(ISNUMBER(AVERAGE('20250815_ETF_Options_Exhibits'!B1750:B1754)),AVERAGE('20250815_ETF_Options_Exhibits'!B1750:B1754),"")</f>
        <v/>
      </c>
      <c r="C1754" s="3">
        <f>IF(ISNUMBER(AVERAGE('20250815_ETF_Options_Exhibits'!C1750:C1754)),AVERAGE('20250815_ETF_Options_Exhibits'!C1750:C1754),"")</f>
        <v/>
      </c>
      <c r="D1754" s="3">
        <f>IF(ISNUMBER(AVERAGE('20250815_ETF_Options_Exhibits'!D1750:D1754)),AVERAGE('20250815_ETF_Options_Exhibits'!D1750:D1754),"")</f>
        <v/>
      </c>
      <c r="E1754" s="3">
        <f>IF(ISNUMBER(AVERAGE('20250815_ETF_Options_Exhibits'!E1750:E1754)),AVERAGE('20250815_ETF_Options_Exhibits'!E1750:E1754),"")</f>
        <v/>
      </c>
      <c r="F1754" s="3">
        <f>IF(ISNUMBER(AVERAGE('20250815_ETF_Options_Exhibits'!F1750:F1754)),AVERAGE('20250815_ETF_Options_Exhibits'!F1750:F1754),"")</f>
        <v/>
      </c>
      <c r="G1754" s="3">
        <f>IF(ISNUMBER(AVERAGE('20250815_ETF_Options_Exhibits'!G1750:G1754)),AVERAGE('20250815_ETF_Options_Exhibits'!G1750:G1754),"")</f>
        <v/>
      </c>
      <c r="H1754" s="3">
        <f>IF(ISNUMBER(AVERAGE('20250815_ETF_Options_Exhibits'!H1750:H1754)),AVERAGE('20250815_ETF_Options_Exhibits'!H1750:H1754),"")</f>
        <v/>
      </c>
      <c r="I1754" s="3">
        <f>IF(ISNUMBER(AVERAGE('20250815_ETF_Options_Exhibits'!I1750:I1754)),AVERAGE('20250815_ETF_Options_Exhibits'!I1750:I1754),"")</f>
        <v/>
      </c>
      <c r="J1754" s="3">
        <f>IF(ISNUMBER(AVERAGE('20250815_ETF_Options_Exhibits'!J1750:J1754)),AVERAGE('20250815_ETF_Options_Exhibits'!J1750:J1754),"")</f>
        <v/>
      </c>
      <c r="K1754" s="3">
        <f>IF(ISNUMBER(AVERAGE('20250815_ETF_Options_Exhibits'!K1750:K1754)),AVERAGE('20250815_ETF_Options_Exhibits'!K1750:K1754),"")</f>
        <v/>
      </c>
      <c r="L1754" s="3">
        <f>IF(ISNUMBER(AVERAGE('20250815_ETF_Options_Exhibits'!L1750:L1754)),AVERAGE('20250815_ETF_Options_Exhibits'!L1750:L1754),"")</f>
        <v/>
      </c>
      <c r="M1754" s="3">
        <f>IF(ISNUMBER(AVERAGE('20250815_ETF_Options_Exhibits'!M1750:M1754)),AVERAGE('20250815_ETF_Options_Exhibits'!M1750:M1754),"")</f>
        <v/>
      </c>
      <c r="N1754" s="3">
        <f>IF(ISNUMBER(AVERAGE('20250815_ETF_Options_Exhibits'!N1750:N1754)),AVERAGE('20250815_ETF_Options_Exhibits'!N1750:N1754),"")</f>
        <v/>
      </c>
      <c r="O1754" s="3">
        <f>IF(ISNUMBER(AVERAGE('20250815_ETF_Options_Exhibits'!O1750:O1754)),AVERAGE('20250815_ETF_Options_Exhibits'!O1750:O1754),"")</f>
        <v/>
      </c>
      <c r="P1754" s="3">
        <f>IF(ISNUMBER(AVERAGE('20250815_ETF_Options_Exhibits'!P1750:P1754)),AVERAGE('20250815_ETF_Options_Exhibits'!P1750:P1754),"")</f>
        <v/>
      </c>
      <c r="Q1754" s="3">
        <f>IF(ISNUMBER(AVERAGE('20250815_ETF_Options_Exhibits'!Q1750:Q1754)),AVERAGE('20250815_ETF_Options_Exhibits'!Q1750:Q1754),"")</f>
        <v/>
      </c>
      <c r="R1754" s="3">
        <f>IF(ISNUMBER(AVERAGE('20250815_ETF_Options_Exhibits'!R1750:R1754)),AVERAGE('20250815_ETF_Options_Exhibits'!R1750:R1754),"")</f>
        <v/>
      </c>
      <c r="S1754" s="3">
        <f>IF(ISNUMBER(AVERAGE('20250815_ETF_Options_Exhibits'!S1750:S1754)),AVERAGE('20250815_ETF_Options_Exhibits'!S1750:S1754),"")</f>
        <v/>
      </c>
      <c r="T1754" s="3">
        <f>IF(ISNUMBER(AVERAGE('20250815_ETF_Options_Exhibits'!T1750:T1754)),AVERAGE('20250815_ETF_Options_Exhibits'!T1750:T1754),"")</f>
        <v/>
      </c>
      <c r="U1754" s="3">
        <f>IF(ISNUMBER(AVERAGE('20250815_ETF_Options_Exhibits'!U1750:U1754)),AVERAGE('20250815_ETF_Options_Exhibits'!U1750:U1754),"")</f>
        <v/>
      </c>
      <c r="V1754" s="3">
        <f>IF(ISNUMBER(AVERAGE('20250815_ETF_Options_Exhibits'!V1750:V1754)),AVERAGE('20250815_ETF_Options_Exhibits'!V1750:V1754),"")</f>
        <v/>
      </c>
      <c r="W1754" s="3">
        <f>IF(ISNUMBER(AVERAGE('20250815_ETF_Options_Exhibits'!W1750:W1754)),AVERAGE('20250815_ETF_Options_Exhibits'!W1750:W1754),"")</f>
        <v/>
      </c>
      <c r="X1754" s="3">
        <f>IF(ISNUMBER(AVERAGE('20250815_ETF_Options_Exhibits'!X1750:X1754)),AVERAGE('20250815_ETF_Options_Exhibits'!X1750:X1754),"")</f>
        <v/>
      </c>
      <c r="Y1754" s="3">
        <f>IF(ISNUMBER(AVERAGE('20250815_ETF_Options_Exhibits'!Y1750:Y1754)),AVERAGE('20250815_ETF_Options_Exhibits'!Y1750:Y1754),"")</f>
        <v/>
      </c>
      <c r="Z1754" s="3">
        <f>IF(ISNUMBER(AVERAGE('20250815_ETF_Options_Exhibits'!Z1750:Z1754)),AVERAGE('20250815_ETF_Options_Exhibits'!Z1750:Z1754),"")</f>
        <v/>
      </c>
      <c r="AA1754" s="3">
        <f>IF(ISNUMBER(AVERAGE('20250815_ETF_Options_Exhibits'!AA1750:AA1754)),AVERAGE('20250815_ETF_Options_Exhibits'!AA1750:AA1754),"")</f>
        <v/>
      </c>
    </row>
    <row r="1755">
      <c r="A1755" s="1" t="n">
        <v>44546</v>
      </c>
      <c r="B1755" s="3">
        <f>IF(ISNUMBER(AVERAGE('20250815_ETF_Options_Exhibits'!B1751:B1755)),AVERAGE('20250815_ETF_Options_Exhibits'!B1751:B1755),"")</f>
        <v/>
      </c>
      <c r="C1755" s="3">
        <f>IF(ISNUMBER(AVERAGE('20250815_ETF_Options_Exhibits'!C1751:C1755)),AVERAGE('20250815_ETF_Options_Exhibits'!C1751:C1755),"")</f>
        <v/>
      </c>
      <c r="D1755" s="3">
        <f>IF(ISNUMBER(AVERAGE('20250815_ETF_Options_Exhibits'!D1751:D1755)),AVERAGE('20250815_ETF_Options_Exhibits'!D1751:D1755),"")</f>
        <v/>
      </c>
      <c r="E1755" s="3">
        <f>IF(ISNUMBER(AVERAGE('20250815_ETF_Options_Exhibits'!E1751:E1755)),AVERAGE('20250815_ETF_Options_Exhibits'!E1751:E1755),"")</f>
        <v/>
      </c>
      <c r="F1755" s="3">
        <f>IF(ISNUMBER(AVERAGE('20250815_ETF_Options_Exhibits'!F1751:F1755)),AVERAGE('20250815_ETF_Options_Exhibits'!F1751:F1755),"")</f>
        <v/>
      </c>
      <c r="G1755" s="3">
        <f>IF(ISNUMBER(AVERAGE('20250815_ETF_Options_Exhibits'!G1751:G1755)),AVERAGE('20250815_ETF_Options_Exhibits'!G1751:G1755),"")</f>
        <v/>
      </c>
      <c r="H1755" s="3">
        <f>IF(ISNUMBER(AVERAGE('20250815_ETF_Options_Exhibits'!H1751:H1755)),AVERAGE('20250815_ETF_Options_Exhibits'!H1751:H1755),"")</f>
        <v/>
      </c>
      <c r="I1755" s="3">
        <f>IF(ISNUMBER(AVERAGE('20250815_ETF_Options_Exhibits'!I1751:I1755)),AVERAGE('20250815_ETF_Options_Exhibits'!I1751:I1755),"")</f>
        <v/>
      </c>
      <c r="J1755" s="3">
        <f>IF(ISNUMBER(AVERAGE('20250815_ETF_Options_Exhibits'!J1751:J1755)),AVERAGE('20250815_ETF_Options_Exhibits'!J1751:J1755),"")</f>
        <v/>
      </c>
      <c r="K1755" s="3">
        <f>IF(ISNUMBER(AVERAGE('20250815_ETF_Options_Exhibits'!K1751:K1755)),AVERAGE('20250815_ETF_Options_Exhibits'!K1751:K1755),"")</f>
        <v/>
      </c>
      <c r="L1755" s="3">
        <f>IF(ISNUMBER(AVERAGE('20250815_ETF_Options_Exhibits'!L1751:L1755)),AVERAGE('20250815_ETF_Options_Exhibits'!L1751:L1755),"")</f>
        <v/>
      </c>
      <c r="M1755" s="3">
        <f>IF(ISNUMBER(AVERAGE('20250815_ETF_Options_Exhibits'!M1751:M1755)),AVERAGE('20250815_ETF_Options_Exhibits'!M1751:M1755),"")</f>
        <v/>
      </c>
      <c r="N1755" s="3">
        <f>IF(ISNUMBER(AVERAGE('20250815_ETF_Options_Exhibits'!N1751:N1755)),AVERAGE('20250815_ETF_Options_Exhibits'!N1751:N1755),"")</f>
        <v/>
      </c>
      <c r="O1755" s="3">
        <f>IF(ISNUMBER(AVERAGE('20250815_ETF_Options_Exhibits'!O1751:O1755)),AVERAGE('20250815_ETF_Options_Exhibits'!O1751:O1755),"")</f>
        <v/>
      </c>
      <c r="P1755" s="3">
        <f>IF(ISNUMBER(AVERAGE('20250815_ETF_Options_Exhibits'!P1751:P1755)),AVERAGE('20250815_ETF_Options_Exhibits'!P1751:P1755),"")</f>
        <v/>
      </c>
      <c r="Q1755" s="3">
        <f>IF(ISNUMBER(AVERAGE('20250815_ETF_Options_Exhibits'!Q1751:Q1755)),AVERAGE('20250815_ETF_Options_Exhibits'!Q1751:Q1755),"")</f>
        <v/>
      </c>
      <c r="R1755" s="3">
        <f>IF(ISNUMBER(AVERAGE('20250815_ETF_Options_Exhibits'!R1751:R1755)),AVERAGE('20250815_ETF_Options_Exhibits'!R1751:R1755),"")</f>
        <v/>
      </c>
      <c r="S1755" s="3">
        <f>IF(ISNUMBER(AVERAGE('20250815_ETF_Options_Exhibits'!S1751:S1755)),AVERAGE('20250815_ETF_Options_Exhibits'!S1751:S1755),"")</f>
        <v/>
      </c>
      <c r="T1755" s="3">
        <f>IF(ISNUMBER(AVERAGE('20250815_ETF_Options_Exhibits'!T1751:T1755)),AVERAGE('20250815_ETF_Options_Exhibits'!T1751:T1755),"")</f>
        <v/>
      </c>
      <c r="U1755" s="3">
        <f>IF(ISNUMBER(AVERAGE('20250815_ETF_Options_Exhibits'!U1751:U1755)),AVERAGE('20250815_ETF_Options_Exhibits'!U1751:U1755),"")</f>
        <v/>
      </c>
      <c r="V1755" s="3">
        <f>IF(ISNUMBER(AVERAGE('20250815_ETF_Options_Exhibits'!V1751:V1755)),AVERAGE('20250815_ETF_Options_Exhibits'!V1751:V1755),"")</f>
        <v/>
      </c>
      <c r="W1755" s="3">
        <f>IF(ISNUMBER(AVERAGE('20250815_ETF_Options_Exhibits'!W1751:W1755)),AVERAGE('20250815_ETF_Options_Exhibits'!W1751:W1755),"")</f>
        <v/>
      </c>
      <c r="X1755" s="3">
        <f>IF(ISNUMBER(AVERAGE('20250815_ETF_Options_Exhibits'!X1751:X1755)),AVERAGE('20250815_ETF_Options_Exhibits'!X1751:X1755),"")</f>
        <v/>
      </c>
      <c r="Y1755" s="3">
        <f>IF(ISNUMBER(AVERAGE('20250815_ETF_Options_Exhibits'!Y1751:Y1755)),AVERAGE('20250815_ETF_Options_Exhibits'!Y1751:Y1755),"")</f>
        <v/>
      </c>
      <c r="Z1755" s="3">
        <f>IF(ISNUMBER(AVERAGE('20250815_ETF_Options_Exhibits'!Z1751:Z1755)),AVERAGE('20250815_ETF_Options_Exhibits'!Z1751:Z1755),"")</f>
        <v/>
      </c>
      <c r="AA1755" s="3">
        <f>IF(ISNUMBER(AVERAGE('20250815_ETF_Options_Exhibits'!AA1751:AA1755)),AVERAGE('20250815_ETF_Options_Exhibits'!AA1751:AA1755),"")</f>
        <v/>
      </c>
    </row>
    <row r="1756">
      <c r="A1756" s="1" t="n">
        <v>44547</v>
      </c>
      <c r="B1756" s="3">
        <f>IF(ISNUMBER(AVERAGE('20250815_ETF_Options_Exhibits'!B1752:B1756)),AVERAGE('20250815_ETF_Options_Exhibits'!B1752:B1756),"")</f>
        <v/>
      </c>
      <c r="C1756" s="3">
        <f>IF(ISNUMBER(AVERAGE('20250815_ETF_Options_Exhibits'!C1752:C1756)),AVERAGE('20250815_ETF_Options_Exhibits'!C1752:C1756),"")</f>
        <v/>
      </c>
      <c r="D1756" s="3">
        <f>IF(ISNUMBER(AVERAGE('20250815_ETF_Options_Exhibits'!D1752:D1756)),AVERAGE('20250815_ETF_Options_Exhibits'!D1752:D1756),"")</f>
        <v/>
      </c>
      <c r="E1756" s="3">
        <f>IF(ISNUMBER(AVERAGE('20250815_ETF_Options_Exhibits'!E1752:E1756)),AVERAGE('20250815_ETF_Options_Exhibits'!E1752:E1756),"")</f>
        <v/>
      </c>
      <c r="F1756" s="3">
        <f>IF(ISNUMBER(AVERAGE('20250815_ETF_Options_Exhibits'!F1752:F1756)),AVERAGE('20250815_ETF_Options_Exhibits'!F1752:F1756),"")</f>
        <v/>
      </c>
      <c r="G1756" s="3">
        <f>IF(ISNUMBER(AVERAGE('20250815_ETF_Options_Exhibits'!G1752:G1756)),AVERAGE('20250815_ETF_Options_Exhibits'!G1752:G1756),"")</f>
        <v/>
      </c>
      <c r="H1756" s="3">
        <f>IF(ISNUMBER(AVERAGE('20250815_ETF_Options_Exhibits'!H1752:H1756)),AVERAGE('20250815_ETF_Options_Exhibits'!H1752:H1756),"")</f>
        <v/>
      </c>
      <c r="I1756" s="3">
        <f>IF(ISNUMBER(AVERAGE('20250815_ETF_Options_Exhibits'!I1752:I1756)),AVERAGE('20250815_ETF_Options_Exhibits'!I1752:I1756),"")</f>
        <v/>
      </c>
      <c r="J1756" s="3">
        <f>IF(ISNUMBER(AVERAGE('20250815_ETF_Options_Exhibits'!J1752:J1756)),AVERAGE('20250815_ETF_Options_Exhibits'!J1752:J1756),"")</f>
        <v/>
      </c>
      <c r="K1756" s="3">
        <f>IF(ISNUMBER(AVERAGE('20250815_ETF_Options_Exhibits'!K1752:K1756)),AVERAGE('20250815_ETF_Options_Exhibits'!K1752:K1756),"")</f>
        <v/>
      </c>
      <c r="L1756" s="3">
        <f>IF(ISNUMBER(AVERAGE('20250815_ETF_Options_Exhibits'!L1752:L1756)),AVERAGE('20250815_ETF_Options_Exhibits'!L1752:L1756),"")</f>
        <v/>
      </c>
      <c r="M1756" s="3">
        <f>IF(ISNUMBER(AVERAGE('20250815_ETF_Options_Exhibits'!M1752:M1756)),AVERAGE('20250815_ETF_Options_Exhibits'!M1752:M1756),"")</f>
        <v/>
      </c>
      <c r="N1756" s="3">
        <f>IF(ISNUMBER(AVERAGE('20250815_ETF_Options_Exhibits'!N1752:N1756)),AVERAGE('20250815_ETF_Options_Exhibits'!N1752:N1756),"")</f>
        <v/>
      </c>
      <c r="O1756" s="3">
        <f>IF(ISNUMBER(AVERAGE('20250815_ETF_Options_Exhibits'!O1752:O1756)),AVERAGE('20250815_ETF_Options_Exhibits'!O1752:O1756),"")</f>
        <v/>
      </c>
      <c r="P1756" s="3">
        <f>IF(ISNUMBER(AVERAGE('20250815_ETF_Options_Exhibits'!P1752:P1756)),AVERAGE('20250815_ETF_Options_Exhibits'!P1752:P1756),"")</f>
        <v/>
      </c>
      <c r="Q1756" s="3">
        <f>IF(ISNUMBER(AVERAGE('20250815_ETF_Options_Exhibits'!Q1752:Q1756)),AVERAGE('20250815_ETF_Options_Exhibits'!Q1752:Q1756),"")</f>
        <v/>
      </c>
      <c r="R1756" s="3">
        <f>IF(ISNUMBER(AVERAGE('20250815_ETF_Options_Exhibits'!R1752:R1756)),AVERAGE('20250815_ETF_Options_Exhibits'!R1752:R1756),"")</f>
        <v/>
      </c>
      <c r="S1756" s="3">
        <f>IF(ISNUMBER(AVERAGE('20250815_ETF_Options_Exhibits'!S1752:S1756)),AVERAGE('20250815_ETF_Options_Exhibits'!S1752:S1756),"")</f>
        <v/>
      </c>
      <c r="T1756" s="3">
        <f>IF(ISNUMBER(AVERAGE('20250815_ETF_Options_Exhibits'!T1752:T1756)),AVERAGE('20250815_ETF_Options_Exhibits'!T1752:T1756),"")</f>
        <v/>
      </c>
      <c r="U1756" s="3">
        <f>IF(ISNUMBER(AVERAGE('20250815_ETF_Options_Exhibits'!U1752:U1756)),AVERAGE('20250815_ETF_Options_Exhibits'!U1752:U1756),"")</f>
        <v/>
      </c>
      <c r="V1756" s="3">
        <f>IF(ISNUMBER(AVERAGE('20250815_ETF_Options_Exhibits'!V1752:V1756)),AVERAGE('20250815_ETF_Options_Exhibits'!V1752:V1756),"")</f>
        <v/>
      </c>
      <c r="W1756" s="3">
        <f>IF(ISNUMBER(AVERAGE('20250815_ETF_Options_Exhibits'!W1752:W1756)),AVERAGE('20250815_ETF_Options_Exhibits'!W1752:W1756),"")</f>
        <v/>
      </c>
      <c r="X1756" s="3">
        <f>IF(ISNUMBER(AVERAGE('20250815_ETF_Options_Exhibits'!X1752:X1756)),AVERAGE('20250815_ETF_Options_Exhibits'!X1752:X1756),"")</f>
        <v/>
      </c>
      <c r="Y1756" s="3">
        <f>IF(ISNUMBER(AVERAGE('20250815_ETF_Options_Exhibits'!Y1752:Y1756)),AVERAGE('20250815_ETF_Options_Exhibits'!Y1752:Y1756),"")</f>
        <v/>
      </c>
      <c r="Z1756" s="3">
        <f>IF(ISNUMBER(AVERAGE('20250815_ETF_Options_Exhibits'!Z1752:Z1756)),AVERAGE('20250815_ETF_Options_Exhibits'!Z1752:Z1756),"")</f>
        <v/>
      </c>
      <c r="AA1756" s="3">
        <f>IF(ISNUMBER(AVERAGE('20250815_ETF_Options_Exhibits'!AA1752:AA1756)),AVERAGE('20250815_ETF_Options_Exhibits'!AA1752:AA1756),"")</f>
        <v/>
      </c>
    </row>
    <row r="1757">
      <c r="A1757" s="1" t="n">
        <v>44550</v>
      </c>
      <c r="B1757" s="3">
        <f>IF(ISNUMBER(AVERAGE('20250815_ETF_Options_Exhibits'!B1753:B1757)),AVERAGE('20250815_ETF_Options_Exhibits'!B1753:B1757),"")</f>
        <v/>
      </c>
      <c r="C1757" s="3">
        <f>IF(ISNUMBER(AVERAGE('20250815_ETF_Options_Exhibits'!C1753:C1757)),AVERAGE('20250815_ETF_Options_Exhibits'!C1753:C1757),"")</f>
        <v/>
      </c>
      <c r="D1757" s="3">
        <f>IF(ISNUMBER(AVERAGE('20250815_ETF_Options_Exhibits'!D1753:D1757)),AVERAGE('20250815_ETF_Options_Exhibits'!D1753:D1757),"")</f>
        <v/>
      </c>
      <c r="E1757" s="3">
        <f>IF(ISNUMBER(AVERAGE('20250815_ETF_Options_Exhibits'!E1753:E1757)),AVERAGE('20250815_ETF_Options_Exhibits'!E1753:E1757),"")</f>
        <v/>
      </c>
      <c r="F1757" s="3">
        <f>IF(ISNUMBER(AVERAGE('20250815_ETF_Options_Exhibits'!F1753:F1757)),AVERAGE('20250815_ETF_Options_Exhibits'!F1753:F1757),"")</f>
        <v/>
      </c>
      <c r="G1757" s="3">
        <f>IF(ISNUMBER(AVERAGE('20250815_ETF_Options_Exhibits'!G1753:G1757)),AVERAGE('20250815_ETF_Options_Exhibits'!G1753:G1757),"")</f>
        <v/>
      </c>
      <c r="H1757" s="3">
        <f>IF(ISNUMBER(AVERAGE('20250815_ETF_Options_Exhibits'!H1753:H1757)),AVERAGE('20250815_ETF_Options_Exhibits'!H1753:H1757),"")</f>
        <v/>
      </c>
      <c r="I1757" s="3">
        <f>IF(ISNUMBER(AVERAGE('20250815_ETF_Options_Exhibits'!I1753:I1757)),AVERAGE('20250815_ETF_Options_Exhibits'!I1753:I1757),"")</f>
        <v/>
      </c>
      <c r="J1757" s="3">
        <f>IF(ISNUMBER(AVERAGE('20250815_ETF_Options_Exhibits'!J1753:J1757)),AVERAGE('20250815_ETF_Options_Exhibits'!J1753:J1757),"")</f>
        <v/>
      </c>
      <c r="K1757" s="3">
        <f>IF(ISNUMBER(AVERAGE('20250815_ETF_Options_Exhibits'!K1753:K1757)),AVERAGE('20250815_ETF_Options_Exhibits'!K1753:K1757),"")</f>
        <v/>
      </c>
      <c r="L1757" s="3">
        <f>IF(ISNUMBER(AVERAGE('20250815_ETF_Options_Exhibits'!L1753:L1757)),AVERAGE('20250815_ETF_Options_Exhibits'!L1753:L1757),"")</f>
        <v/>
      </c>
      <c r="M1757" s="3">
        <f>IF(ISNUMBER(AVERAGE('20250815_ETF_Options_Exhibits'!M1753:M1757)),AVERAGE('20250815_ETF_Options_Exhibits'!M1753:M1757),"")</f>
        <v/>
      </c>
      <c r="N1757" s="3">
        <f>IF(ISNUMBER(AVERAGE('20250815_ETF_Options_Exhibits'!N1753:N1757)),AVERAGE('20250815_ETF_Options_Exhibits'!N1753:N1757),"")</f>
        <v/>
      </c>
      <c r="O1757" s="3">
        <f>IF(ISNUMBER(AVERAGE('20250815_ETF_Options_Exhibits'!O1753:O1757)),AVERAGE('20250815_ETF_Options_Exhibits'!O1753:O1757),"")</f>
        <v/>
      </c>
      <c r="P1757" s="3">
        <f>IF(ISNUMBER(AVERAGE('20250815_ETF_Options_Exhibits'!P1753:P1757)),AVERAGE('20250815_ETF_Options_Exhibits'!P1753:P1757),"")</f>
        <v/>
      </c>
      <c r="Q1757" s="3">
        <f>IF(ISNUMBER(AVERAGE('20250815_ETF_Options_Exhibits'!Q1753:Q1757)),AVERAGE('20250815_ETF_Options_Exhibits'!Q1753:Q1757),"")</f>
        <v/>
      </c>
      <c r="R1757" s="3">
        <f>IF(ISNUMBER(AVERAGE('20250815_ETF_Options_Exhibits'!R1753:R1757)),AVERAGE('20250815_ETF_Options_Exhibits'!R1753:R1757),"")</f>
        <v/>
      </c>
      <c r="S1757" s="3">
        <f>IF(ISNUMBER(AVERAGE('20250815_ETF_Options_Exhibits'!S1753:S1757)),AVERAGE('20250815_ETF_Options_Exhibits'!S1753:S1757),"")</f>
        <v/>
      </c>
      <c r="T1757" s="3">
        <f>IF(ISNUMBER(AVERAGE('20250815_ETF_Options_Exhibits'!T1753:T1757)),AVERAGE('20250815_ETF_Options_Exhibits'!T1753:T1757),"")</f>
        <v/>
      </c>
      <c r="U1757" s="3">
        <f>IF(ISNUMBER(AVERAGE('20250815_ETF_Options_Exhibits'!U1753:U1757)),AVERAGE('20250815_ETF_Options_Exhibits'!U1753:U1757),"")</f>
        <v/>
      </c>
      <c r="V1757" s="3">
        <f>IF(ISNUMBER(AVERAGE('20250815_ETF_Options_Exhibits'!V1753:V1757)),AVERAGE('20250815_ETF_Options_Exhibits'!V1753:V1757),"")</f>
        <v/>
      </c>
      <c r="W1757" s="3">
        <f>IF(ISNUMBER(AVERAGE('20250815_ETF_Options_Exhibits'!W1753:W1757)),AVERAGE('20250815_ETF_Options_Exhibits'!W1753:W1757),"")</f>
        <v/>
      </c>
      <c r="X1757" s="3">
        <f>IF(ISNUMBER(AVERAGE('20250815_ETF_Options_Exhibits'!X1753:X1757)),AVERAGE('20250815_ETF_Options_Exhibits'!X1753:X1757),"")</f>
        <v/>
      </c>
      <c r="Y1757" s="3">
        <f>IF(ISNUMBER(AVERAGE('20250815_ETF_Options_Exhibits'!Y1753:Y1757)),AVERAGE('20250815_ETF_Options_Exhibits'!Y1753:Y1757),"")</f>
        <v/>
      </c>
      <c r="Z1757" s="3">
        <f>IF(ISNUMBER(AVERAGE('20250815_ETF_Options_Exhibits'!Z1753:Z1757)),AVERAGE('20250815_ETF_Options_Exhibits'!Z1753:Z1757),"")</f>
        <v/>
      </c>
      <c r="AA1757" s="3">
        <f>IF(ISNUMBER(AVERAGE('20250815_ETF_Options_Exhibits'!AA1753:AA1757)),AVERAGE('20250815_ETF_Options_Exhibits'!AA1753:AA1757),"")</f>
        <v/>
      </c>
    </row>
    <row r="1758">
      <c r="A1758" s="1" t="n">
        <v>44551</v>
      </c>
      <c r="B1758" s="3">
        <f>IF(ISNUMBER(AVERAGE('20250815_ETF_Options_Exhibits'!B1754:B1758)),AVERAGE('20250815_ETF_Options_Exhibits'!B1754:B1758),"")</f>
        <v/>
      </c>
      <c r="C1758" s="3">
        <f>IF(ISNUMBER(AVERAGE('20250815_ETF_Options_Exhibits'!C1754:C1758)),AVERAGE('20250815_ETF_Options_Exhibits'!C1754:C1758),"")</f>
        <v/>
      </c>
      <c r="D1758" s="3">
        <f>IF(ISNUMBER(AVERAGE('20250815_ETF_Options_Exhibits'!D1754:D1758)),AVERAGE('20250815_ETF_Options_Exhibits'!D1754:D1758),"")</f>
        <v/>
      </c>
      <c r="E1758" s="3">
        <f>IF(ISNUMBER(AVERAGE('20250815_ETF_Options_Exhibits'!E1754:E1758)),AVERAGE('20250815_ETF_Options_Exhibits'!E1754:E1758),"")</f>
        <v/>
      </c>
      <c r="F1758" s="3">
        <f>IF(ISNUMBER(AVERAGE('20250815_ETF_Options_Exhibits'!F1754:F1758)),AVERAGE('20250815_ETF_Options_Exhibits'!F1754:F1758),"")</f>
        <v/>
      </c>
      <c r="G1758" s="3">
        <f>IF(ISNUMBER(AVERAGE('20250815_ETF_Options_Exhibits'!G1754:G1758)),AVERAGE('20250815_ETF_Options_Exhibits'!G1754:G1758),"")</f>
        <v/>
      </c>
      <c r="H1758" s="3">
        <f>IF(ISNUMBER(AVERAGE('20250815_ETF_Options_Exhibits'!H1754:H1758)),AVERAGE('20250815_ETF_Options_Exhibits'!H1754:H1758),"")</f>
        <v/>
      </c>
      <c r="I1758" s="3">
        <f>IF(ISNUMBER(AVERAGE('20250815_ETF_Options_Exhibits'!I1754:I1758)),AVERAGE('20250815_ETF_Options_Exhibits'!I1754:I1758),"")</f>
        <v/>
      </c>
      <c r="J1758" s="3">
        <f>IF(ISNUMBER(AVERAGE('20250815_ETF_Options_Exhibits'!J1754:J1758)),AVERAGE('20250815_ETF_Options_Exhibits'!J1754:J1758),"")</f>
        <v/>
      </c>
      <c r="K1758" s="3">
        <f>IF(ISNUMBER(AVERAGE('20250815_ETF_Options_Exhibits'!K1754:K1758)),AVERAGE('20250815_ETF_Options_Exhibits'!K1754:K1758),"")</f>
        <v/>
      </c>
      <c r="L1758" s="3">
        <f>IF(ISNUMBER(AVERAGE('20250815_ETF_Options_Exhibits'!L1754:L1758)),AVERAGE('20250815_ETF_Options_Exhibits'!L1754:L1758),"")</f>
        <v/>
      </c>
      <c r="M1758" s="3">
        <f>IF(ISNUMBER(AVERAGE('20250815_ETF_Options_Exhibits'!M1754:M1758)),AVERAGE('20250815_ETF_Options_Exhibits'!M1754:M1758),"")</f>
        <v/>
      </c>
      <c r="N1758" s="3">
        <f>IF(ISNUMBER(AVERAGE('20250815_ETF_Options_Exhibits'!N1754:N1758)),AVERAGE('20250815_ETF_Options_Exhibits'!N1754:N1758),"")</f>
        <v/>
      </c>
      <c r="O1758" s="3">
        <f>IF(ISNUMBER(AVERAGE('20250815_ETF_Options_Exhibits'!O1754:O1758)),AVERAGE('20250815_ETF_Options_Exhibits'!O1754:O1758),"")</f>
        <v/>
      </c>
      <c r="P1758" s="3">
        <f>IF(ISNUMBER(AVERAGE('20250815_ETF_Options_Exhibits'!P1754:P1758)),AVERAGE('20250815_ETF_Options_Exhibits'!P1754:P1758),"")</f>
        <v/>
      </c>
      <c r="Q1758" s="3">
        <f>IF(ISNUMBER(AVERAGE('20250815_ETF_Options_Exhibits'!Q1754:Q1758)),AVERAGE('20250815_ETF_Options_Exhibits'!Q1754:Q1758),"")</f>
        <v/>
      </c>
      <c r="R1758" s="3">
        <f>IF(ISNUMBER(AVERAGE('20250815_ETF_Options_Exhibits'!R1754:R1758)),AVERAGE('20250815_ETF_Options_Exhibits'!R1754:R1758),"")</f>
        <v/>
      </c>
      <c r="S1758" s="3">
        <f>IF(ISNUMBER(AVERAGE('20250815_ETF_Options_Exhibits'!S1754:S1758)),AVERAGE('20250815_ETF_Options_Exhibits'!S1754:S1758),"")</f>
        <v/>
      </c>
      <c r="T1758" s="3">
        <f>IF(ISNUMBER(AVERAGE('20250815_ETF_Options_Exhibits'!T1754:T1758)),AVERAGE('20250815_ETF_Options_Exhibits'!T1754:T1758),"")</f>
        <v/>
      </c>
      <c r="U1758" s="3">
        <f>IF(ISNUMBER(AVERAGE('20250815_ETF_Options_Exhibits'!U1754:U1758)),AVERAGE('20250815_ETF_Options_Exhibits'!U1754:U1758),"")</f>
        <v/>
      </c>
      <c r="V1758" s="3">
        <f>IF(ISNUMBER(AVERAGE('20250815_ETF_Options_Exhibits'!V1754:V1758)),AVERAGE('20250815_ETF_Options_Exhibits'!V1754:V1758),"")</f>
        <v/>
      </c>
      <c r="W1758" s="3">
        <f>IF(ISNUMBER(AVERAGE('20250815_ETF_Options_Exhibits'!W1754:W1758)),AVERAGE('20250815_ETF_Options_Exhibits'!W1754:W1758),"")</f>
        <v/>
      </c>
      <c r="X1758" s="3">
        <f>IF(ISNUMBER(AVERAGE('20250815_ETF_Options_Exhibits'!X1754:X1758)),AVERAGE('20250815_ETF_Options_Exhibits'!X1754:X1758),"")</f>
        <v/>
      </c>
      <c r="Y1758" s="3">
        <f>IF(ISNUMBER(AVERAGE('20250815_ETF_Options_Exhibits'!Y1754:Y1758)),AVERAGE('20250815_ETF_Options_Exhibits'!Y1754:Y1758),"")</f>
        <v/>
      </c>
      <c r="Z1758" s="3">
        <f>IF(ISNUMBER(AVERAGE('20250815_ETF_Options_Exhibits'!Z1754:Z1758)),AVERAGE('20250815_ETF_Options_Exhibits'!Z1754:Z1758),"")</f>
        <v/>
      </c>
      <c r="AA1758" s="3">
        <f>IF(ISNUMBER(AVERAGE('20250815_ETF_Options_Exhibits'!AA1754:AA1758)),AVERAGE('20250815_ETF_Options_Exhibits'!AA1754:AA1758),"")</f>
        <v/>
      </c>
    </row>
    <row r="1759">
      <c r="A1759" s="1" t="n">
        <v>44552</v>
      </c>
      <c r="B1759" s="3">
        <f>IF(ISNUMBER(AVERAGE('20250815_ETF_Options_Exhibits'!B1755:B1759)),AVERAGE('20250815_ETF_Options_Exhibits'!B1755:B1759),"")</f>
        <v/>
      </c>
      <c r="C1759" s="3">
        <f>IF(ISNUMBER(AVERAGE('20250815_ETF_Options_Exhibits'!C1755:C1759)),AVERAGE('20250815_ETF_Options_Exhibits'!C1755:C1759),"")</f>
        <v/>
      </c>
      <c r="D1759" s="3">
        <f>IF(ISNUMBER(AVERAGE('20250815_ETF_Options_Exhibits'!D1755:D1759)),AVERAGE('20250815_ETF_Options_Exhibits'!D1755:D1759),"")</f>
        <v/>
      </c>
      <c r="E1759" s="3">
        <f>IF(ISNUMBER(AVERAGE('20250815_ETF_Options_Exhibits'!E1755:E1759)),AVERAGE('20250815_ETF_Options_Exhibits'!E1755:E1759),"")</f>
        <v/>
      </c>
      <c r="F1759" s="3">
        <f>IF(ISNUMBER(AVERAGE('20250815_ETF_Options_Exhibits'!F1755:F1759)),AVERAGE('20250815_ETF_Options_Exhibits'!F1755:F1759),"")</f>
        <v/>
      </c>
      <c r="G1759" s="3">
        <f>IF(ISNUMBER(AVERAGE('20250815_ETF_Options_Exhibits'!G1755:G1759)),AVERAGE('20250815_ETF_Options_Exhibits'!G1755:G1759),"")</f>
        <v/>
      </c>
      <c r="H1759" s="3">
        <f>IF(ISNUMBER(AVERAGE('20250815_ETF_Options_Exhibits'!H1755:H1759)),AVERAGE('20250815_ETF_Options_Exhibits'!H1755:H1759),"")</f>
        <v/>
      </c>
      <c r="I1759" s="3">
        <f>IF(ISNUMBER(AVERAGE('20250815_ETF_Options_Exhibits'!I1755:I1759)),AVERAGE('20250815_ETF_Options_Exhibits'!I1755:I1759),"")</f>
        <v/>
      </c>
      <c r="J1759" s="3">
        <f>IF(ISNUMBER(AVERAGE('20250815_ETF_Options_Exhibits'!J1755:J1759)),AVERAGE('20250815_ETF_Options_Exhibits'!J1755:J1759),"")</f>
        <v/>
      </c>
      <c r="K1759" s="3">
        <f>IF(ISNUMBER(AVERAGE('20250815_ETF_Options_Exhibits'!K1755:K1759)),AVERAGE('20250815_ETF_Options_Exhibits'!K1755:K1759),"")</f>
        <v/>
      </c>
      <c r="L1759" s="3">
        <f>IF(ISNUMBER(AVERAGE('20250815_ETF_Options_Exhibits'!L1755:L1759)),AVERAGE('20250815_ETF_Options_Exhibits'!L1755:L1759),"")</f>
        <v/>
      </c>
      <c r="M1759" s="3">
        <f>IF(ISNUMBER(AVERAGE('20250815_ETF_Options_Exhibits'!M1755:M1759)),AVERAGE('20250815_ETF_Options_Exhibits'!M1755:M1759),"")</f>
        <v/>
      </c>
      <c r="N1759" s="3">
        <f>IF(ISNUMBER(AVERAGE('20250815_ETF_Options_Exhibits'!N1755:N1759)),AVERAGE('20250815_ETF_Options_Exhibits'!N1755:N1759),"")</f>
        <v/>
      </c>
      <c r="O1759" s="3">
        <f>IF(ISNUMBER(AVERAGE('20250815_ETF_Options_Exhibits'!O1755:O1759)),AVERAGE('20250815_ETF_Options_Exhibits'!O1755:O1759),"")</f>
        <v/>
      </c>
      <c r="P1759" s="3">
        <f>IF(ISNUMBER(AVERAGE('20250815_ETF_Options_Exhibits'!P1755:P1759)),AVERAGE('20250815_ETF_Options_Exhibits'!P1755:P1759),"")</f>
        <v/>
      </c>
      <c r="Q1759" s="3">
        <f>IF(ISNUMBER(AVERAGE('20250815_ETF_Options_Exhibits'!Q1755:Q1759)),AVERAGE('20250815_ETF_Options_Exhibits'!Q1755:Q1759),"")</f>
        <v/>
      </c>
      <c r="R1759" s="3">
        <f>IF(ISNUMBER(AVERAGE('20250815_ETF_Options_Exhibits'!R1755:R1759)),AVERAGE('20250815_ETF_Options_Exhibits'!R1755:R1759),"")</f>
        <v/>
      </c>
      <c r="S1759" s="3">
        <f>IF(ISNUMBER(AVERAGE('20250815_ETF_Options_Exhibits'!S1755:S1759)),AVERAGE('20250815_ETF_Options_Exhibits'!S1755:S1759),"")</f>
        <v/>
      </c>
      <c r="T1759" s="3">
        <f>IF(ISNUMBER(AVERAGE('20250815_ETF_Options_Exhibits'!T1755:T1759)),AVERAGE('20250815_ETF_Options_Exhibits'!T1755:T1759),"")</f>
        <v/>
      </c>
      <c r="U1759" s="3">
        <f>IF(ISNUMBER(AVERAGE('20250815_ETF_Options_Exhibits'!U1755:U1759)),AVERAGE('20250815_ETF_Options_Exhibits'!U1755:U1759),"")</f>
        <v/>
      </c>
      <c r="V1759" s="3">
        <f>IF(ISNUMBER(AVERAGE('20250815_ETF_Options_Exhibits'!V1755:V1759)),AVERAGE('20250815_ETF_Options_Exhibits'!V1755:V1759),"")</f>
        <v/>
      </c>
      <c r="W1759" s="3">
        <f>IF(ISNUMBER(AVERAGE('20250815_ETF_Options_Exhibits'!W1755:W1759)),AVERAGE('20250815_ETF_Options_Exhibits'!W1755:W1759),"")</f>
        <v/>
      </c>
      <c r="X1759" s="3">
        <f>IF(ISNUMBER(AVERAGE('20250815_ETF_Options_Exhibits'!X1755:X1759)),AVERAGE('20250815_ETF_Options_Exhibits'!X1755:X1759),"")</f>
        <v/>
      </c>
      <c r="Y1759" s="3">
        <f>IF(ISNUMBER(AVERAGE('20250815_ETF_Options_Exhibits'!Y1755:Y1759)),AVERAGE('20250815_ETF_Options_Exhibits'!Y1755:Y1759),"")</f>
        <v/>
      </c>
      <c r="Z1759" s="3">
        <f>IF(ISNUMBER(AVERAGE('20250815_ETF_Options_Exhibits'!Z1755:Z1759)),AVERAGE('20250815_ETF_Options_Exhibits'!Z1755:Z1759),"")</f>
        <v/>
      </c>
      <c r="AA1759" s="3">
        <f>IF(ISNUMBER(AVERAGE('20250815_ETF_Options_Exhibits'!AA1755:AA1759)),AVERAGE('20250815_ETF_Options_Exhibits'!AA1755:AA1759),"")</f>
        <v/>
      </c>
    </row>
    <row r="1760">
      <c r="A1760" s="1" t="n">
        <v>44553</v>
      </c>
      <c r="B1760" s="3">
        <f>IF(ISNUMBER(AVERAGE('20250815_ETF_Options_Exhibits'!B1756:B1760)),AVERAGE('20250815_ETF_Options_Exhibits'!B1756:B1760),"")</f>
        <v/>
      </c>
      <c r="C1760" s="3">
        <f>IF(ISNUMBER(AVERAGE('20250815_ETF_Options_Exhibits'!C1756:C1760)),AVERAGE('20250815_ETF_Options_Exhibits'!C1756:C1760),"")</f>
        <v/>
      </c>
      <c r="D1760" s="3">
        <f>IF(ISNUMBER(AVERAGE('20250815_ETF_Options_Exhibits'!D1756:D1760)),AVERAGE('20250815_ETF_Options_Exhibits'!D1756:D1760),"")</f>
        <v/>
      </c>
      <c r="E1760" s="3">
        <f>IF(ISNUMBER(AVERAGE('20250815_ETF_Options_Exhibits'!E1756:E1760)),AVERAGE('20250815_ETF_Options_Exhibits'!E1756:E1760),"")</f>
        <v/>
      </c>
      <c r="F1760" s="3">
        <f>IF(ISNUMBER(AVERAGE('20250815_ETF_Options_Exhibits'!F1756:F1760)),AVERAGE('20250815_ETF_Options_Exhibits'!F1756:F1760),"")</f>
        <v/>
      </c>
      <c r="G1760" s="3">
        <f>IF(ISNUMBER(AVERAGE('20250815_ETF_Options_Exhibits'!G1756:G1760)),AVERAGE('20250815_ETF_Options_Exhibits'!G1756:G1760),"")</f>
        <v/>
      </c>
      <c r="H1760" s="3">
        <f>IF(ISNUMBER(AVERAGE('20250815_ETF_Options_Exhibits'!H1756:H1760)),AVERAGE('20250815_ETF_Options_Exhibits'!H1756:H1760),"")</f>
        <v/>
      </c>
      <c r="I1760" s="3">
        <f>IF(ISNUMBER(AVERAGE('20250815_ETF_Options_Exhibits'!I1756:I1760)),AVERAGE('20250815_ETF_Options_Exhibits'!I1756:I1760),"")</f>
        <v/>
      </c>
      <c r="J1760" s="3">
        <f>IF(ISNUMBER(AVERAGE('20250815_ETF_Options_Exhibits'!J1756:J1760)),AVERAGE('20250815_ETF_Options_Exhibits'!J1756:J1760),"")</f>
        <v/>
      </c>
      <c r="K1760" s="3">
        <f>IF(ISNUMBER(AVERAGE('20250815_ETF_Options_Exhibits'!K1756:K1760)),AVERAGE('20250815_ETF_Options_Exhibits'!K1756:K1760),"")</f>
        <v/>
      </c>
      <c r="L1760" s="3">
        <f>IF(ISNUMBER(AVERAGE('20250815_ETF_Options_Exhibits'!L1756:L1760)),AVERAGE('20250815_ETF_Options_Exhibits'!L1756:L1760),"")</f>
        <v/>
      </c>
      <c r="M1760" s="3">
        <f>IF(ISNUMBER(AVERAGE('20250815_ETF_Options_Exhibits'!M1756:M1760)),AVERAGE('20250815_ETF_Options_Exhibits'!M1756:M1760),"")</f>
        <v/>
      </c>
      <c r="N1760" s="3">
        <f>IF(ISNUMBER(AVERAGE('20250815_ETF_Options_Exhibits'!N1756:N1760)),AVERAGE('20250815_ETF_Options_Exhibits'!N1756:N1760),"")</f>
        <v/>
      </c>
      <c r="O1760" s="3">
        <f>IF(ISNUMBER(AVERAGE('20250815_ETF_Options_Exhibits'!O1756:O1760)),AVERAGE('20250815_ETF_Options_Exhibits'!O1756:O1760),"")</f>
        <v/>
      </c>
      <c r="P1760" s="3">
        <f>IF(ISNUMBER(AVERAGE('20250815_ETF_Options_Exhibits'!P1756:P1760)),AVERAGE('20250815_ETF_Options_Exhibits'!P1756:P1760),"")</f>
        <v/>
      </c>
      <c r="Q1760" s="3">
        <f>IF(ISNUMBER(AVERAGE('20250815_ETF_Options_Exhibits'!Q1756:Q1760)),AVERAGE('20250815_ETF_Options_Exhibits'!Q1756:Q1760),"")</f>
        <v/>
      </c>
      <c r="R1760" s="3">
        <f>IF(ISNUMBER(AVERAGE('20250815_ETF_Options_Exhibits'!R1756:R1760)),AVERAGE('20250815_ETF_Options_Exhibits'!R1756:R1760),"")</f>
        <v/>
      </c>
      <c r="S1760" s="3">
        <f>IF(ISNUMBER(AVERAGE('20250815_ETF_Options_Exhibits'!S1756:S1760)),AVERAGE('20250815_ETF_Options_Exhibits'!S1756:S1760),"")</f>
        <v/>
      </c>
      <c r="T1760" s="3">
        <f>IF(ISNUMBER(AVERAGE('20250815_ETF_Options_Exhibits'!T1756:T1760)),AVERAGE('20250815_ETF_Options_Exhibits'!T1756:T1760),"")</f>
        <v/>
      </c>
      <c r="U1760" s="3">
        <f>IF(ISNUMBER(AVERAGE('20250815_ETF_Options_Exhibits'!U1756:U1760)),AVERAGE('20250815_ETF_Options_Exhibits'!U1756:U1760),"")</f>
        <v/>
      </c>
      <c r="V1760" s="3">
        <f>IF(ISNUMBER(AVERAGE('20250815_ETF_Options_Exhibits'!V1756:V1760)),AVERAGE('20250815_ETF_Options_Exhibits'!V1756:V1760),"")</f>
        <v/>
      </c>
      <c r="W1760" s="3">
        <f>IF(ISNUMBER(AVERAGE('20250815_ETF_Options_Exhibits'!W1756:W1760)),AVERAGE('20250815_ETF_Options_Exhibits'!W1756:W1760),"")</f>
        <v/>
      </c>
      <c r="X1760" s="3">
        <f>IF(ISNUMBER(AVERAGE('20250815_ETF_Options_Exhibits'!X1756:X1760)),AVERAGE('20250815_ETF_Options_Exhibits'!X1756:X1760),"")</f>
        <v/>
      </c>
      <c r="Y1760" s="3">
        <f>IF(ISNUMBER(AVERAGE('20250815_ETF_Options_Exhibits'!Y1756:Y1760)),AVERAGE('20250815_ETF_Options_Exhibits'!Y1756:Y1760),"")</f>
        <v/>
      </c>
      <c r="Z1760" s="3">
        <f>IF(ISNUMBER(AVERAGE('20250815_ETF_Options_Exhibits'!Z1756:Z1760)),AVERAGE('20250815_ETF_Options_Exhibits'!Z1756:Z1760),"")</f>
        <v/>
      </c>
      <c r="AA1760" s="3">
        <f>IF(ISNUMBER(AVERAGE('20250815_ETF_Options_Exhibits'!AA1756:AA1760)),AVERAGE('20250815_ETF_Options_Exhibits'!AA1756:AA1760),"")</f>
        <v/>
      </c>
    </row>
    <row r="1761">
      <c r="A1761" s="1" t="n">
        <v>44557</v>
      </c>
      <c r="B1761" s="3">
        <f>IF(ISNUMBER(AVERAGE('20250815_ETF_Options_Exhibits'!B1757:B1761)),AVERAGE('20250815_ETF_Options_Exhibits'!B1757:B1761),"")</f>
        <v/>
      </c>
      <c r="C1761" s="3">
        <f>IF(ISNUMBER(AVERAGE('20250815_ETF_Options_Exhibits'!C1757:C1761)),AVERAGE('20250815_ETF_Options_Exhibits'!C1757:C1761),"")</f>
        <v/>
      </c>
      <c r="D1761" s="3">
        <f>IF(ISNUMBER(AVERAGE('20250815_ETF_Options_Exhibits'!D1757:D1761)),AVERAGE('20250815_ETF_Options_Exhibits'!D1757:D1761),"")</f>
        <v/>
      </c>
      <c r="E1761" s="3">
        <f>IF(ISNUMBER(AVERAGE('20250815_ETF_Options_Exhibits'!E1757:E1761)),AVERAGE('20250815_ETF_Options_Exhibits'!E1757:E1761),"")</f>
        <v/>
      </c>
      <c r="F1761" s="3">
        <f>IF(ISNUMBER(AVERAGE('20250815_ETF_Options_Exhibits'!F1757:F1761)),AVERAGE('20250815_ETF_Options_Exhibits'!F1757:F1761),"")</f>
        <v/>
      </c>
      <c r="G1761" s="3">
        <f>IF(ISNUMBER(AVERAGE('20250815_ETF_Options_Exhibits'!G1757:G1761)),AVERAGE('20250815_ETF_Options_Exhibits'!G1757:G1761),"")</f>
        <v/>
      </c>
      <c r="H1761" s="3">
        <f>IF(ISNUMBER(AVERAGE('20250815_ETF_Options_Exhibits'!H1757:H1761)),AVERAGE('20250815_ETF_Options_Exhibits'!H1757:H1761),"")</f>
        <v/>
      </c>
      <c r="I1761" s="3">
        <f>IF(ISNUMBER(AVERAGE('20250815_ETF_Options_Exhibits'!I1757:I1761)),AVERAGE('20250815_ETF_Options_Exhibits'!I1757:I1761),"")</f>
        <v/>
      </c>
      <c r="J1761" s="3">
        <f>IF(ISNUMBER(AVERAGE('20250815_ETF_Options_Exhibits'!J1757:J1761)),AVERAGE('20250815_ETF_Options_Exhibits'!J1757:J1761),"")</f>
        <v/>
      </c>
      <c r="K1761" s="3">
        <f>IF(ISNUMBER(AVERAGE('20250815_ETF_Options_Exhibits'!K1757:K1761)),AVERAGE('20250815_ETF_Options_Exhibits'!K1757:K1761),"")</f>
        <v/>
      </c>
      <c r="L1761" s="3">
        <f>IF(ISNUMBER(AVERAGE('20250815_ETF_Options_Exhibits'!L1757:L1761)),AVERAGE('20250815_ETF_Options_Exhibits'!L1757:L1761),"")</f>
        <v/>
      </c>
      <c r="M1761" s="3">
        <f>IF(ISNUMBER(AVERAGE('20250815_ETF_Options_Exhibits'!M1757:M1761)),AVERAGE('20250815_ETF_Options_Exhibits'!M1757:M1761),"")</f>
        <v/>
      </c>
      <c r="N1761" s="3">
        <f>IF(ISNUMBER(AVERAGE('20250815_ETF_Options_Exhibits'!N1757:N1761)),AVERAGE('20250815_ETF_Options_Exhibits'!N1757:N1761),"")</f>
        <v/>
      </c>
      <c r="O1761" s="3">
        <f>IF(ISNUMBER(AVERAGE('20250815_ETF_Options_Exhibits'!O1757:O1761)),AVERAGE('20250815_ETF_Options_Exhibits'!O1757:O1761),"")</f>
        <v/>
      </c>
      <c r="P1761" s="3">
        <f>IF(ISNUMBER(AVERAGE('20250815_ETF_Options_Exhibits'!P1757:P1761)),AVERAGE('20250815_ETF_Options_Exhibits'!P1757:P1761),"")</f>
        <v/>
      </c>
      <c r="Q1761" s="3">
        <f>IF(ISNUMBER(AVERAGE('20250815_ETF_Options_Exhibits'!Q1757:Q1761)),AVERAGE('20250815_ETF_Options_Exhibits'!Q1757:Q1761),"")</f>
        <v/>
      </c>
      <c r="R1761" s="3">
        <f>IF(ISNUMBER(AVERAGE('20250815_ETF_Options_Exhibits'!R1757:R1761)),AVERAGE('20250815_ETF_Options_Exhibits'!R1757:R1761),"")</f>
        <v/>
      </c>
      <c r="S1761" s="3">
        <f>IF(ISNUMBER(AVERAGE('20250815_ETF_Options_Exhibits'!S1757:S1761)),AVERAGE('20250815_ETF_Options_Exhibits'!S1757:S1761),"")</f>
        <v/>
      </c>
      <c r="T1761" s="3">
        <f>IF(ISNUMBER(AVERAGE('20250815_ETF_Options_Exhibits'!T1757:T1761)),AVERAGE('20250815_ETF_Options_Exhibits'!T1757:T1761),"")</f>
        <v/>
      </c>
      <c r="U1761" s="3">
        <f>IF(ISNUMBER(AVERAGE('20250815_ETF_Options_Exhibits'!U1757:U1761)),AVERAGE('20250815_ETF_Options_Exhibits'!U1757:U1761),"")</f>
        <v/>
      </c>
      <c r="V1761" s="3">
        <f>IF(ISNUMBER(AVERAGE('20250815_ETF_Options_Exhibits'!V1757:V1761)),AVERAGE('20250815_ETF_Options_Exhibits'!V1757:V1761),"")</f>
        <v/>
      </c>
      <c r="W1761" s="3">
        <f>IF(ISNUMBER(AVERAGE('20250815_ETF_Options_Exhibits'!W1757:W1761)),AVERAGE('20250815_ETF_Options_Exhibits'!W1757:W1761),"")</f>
        <v/>
      </c>
      <c r="X1761" s="3">
        <f>IF(ISNUMBER(AVERAGE('20250815_ETF_Options_Exhibits'!X1757:X1761)),AVERAGE('20250815_ETF_Options_Exhibits'!X1757:X1761),"")</f>
        <v/>
      </c>
      <c r="Y1761" s="3">
        <f>IF(ISNUMBER(AVERAGE('20250815_ETF_Options_Exhibits'!Y1757:Y1761)),AVERAGE('20250815_ETF_Options_Exhibits'!Y1757:Y1761),"")</f>
        <v/>
      </c>
      <c r="Z1761" s="3">
        <f>IF(ISNUMBER(AVERAGE('20250815_ETF_Options_Exhibits'!Z1757:Z1761)),AVERAGE('20250815_ETF_Options_Exhibits'!Z1757:Z1761),"")</f>
        <v/>
      </c>
      <c r="AA1761" s="3">
        <f>IF(ISNUMBER(AVERAGE('20250815_ETF_Options_Exhibits'!AA1757:AA1761)),AVERAGE('20250815_ETF_Options_Exhibits'!AA1757:AA1761),"")</f>
        <v/>
      </c>
    </row>
    <row r="1762">
      <c r="A1762" s="1" t="n">
        <v>44558</v>
      </c>
      <c r="B1762" s="3">
        <f>IF(ISNUMBER(AVERAGE('20250815_ETF_Options_Exhibits'!B1758:B1762)),AVERAGE('20250815_ETF_Options_Exhibits'!B1758:B1762),"")</f>
        <v/>
      </c>
      <c r="C1762" s="3">
        <f>IF(ISNUMBER(AVERAGE('20250815_ETF_Options_Exhibits'!C1758:C1762)),AVERAGE('20250815_ETF_Options_Exhibits'!C1758:C1762),"")</f>
        <v/>
      </c>
      <c r="D1762" s="3">
        <f>IF(ISNUMBER(AVERAGE('20250815_ETF_Options_Exhibits'!D1758:D1762)),AVERAGE('20250815_ETF_Options_Exhibits'!D1758:D1762),"")</f>
        <v/>
      </c>
      <c r="E1762" s="3">
        <f>IF(ISNUMBER(AVERAGE('20250815_ETF_Options_Exhibits'!E1758:E1762)),AVERAGE('20250815_ETF_Options_Exhibits'!E1758:E1762),"")</f>
        <v/>
      </c>
      <c r="F1762" s="3">
        <f>IF(ISNUMBER(AVERAGE('20250815_ETF_Options_Exhibits'!F1758:F1762)),AVERAGE('20250815_ETF_Options_Exhibits'!F1758:F1762),"")</f>
        <v/>
      </c>
      <c r="G1762" s="3">
        <f>IF(ISNUMBER(AVERAGE('20250815_ETF_Options_Exhibits'!G1758:G1762)),AVERAGE('20250815_ETF_Options_Exhibits'!G1758:G1762),"")</f>
        <v/>
      </c>
      <c r="H1762" s="3">
        <f>IF(ISNUMBER(AVERAGE('20250815_ETF_Options_Exhibits'!H1758:H1762)),AVERAGE('20250815_ETF_Options_Exhibits'!H1758:H1762),"")</f>
        <v/>
      </c>
      <c r="I1762" s="3">
        <f>IF(ISNUMBER(AVERAGE('20250815_ETF_Options_Exhibits'!I1758:I1762)),AVERAGE('20250815_ETF_Options_Exhibits'!I1758:I1762),"")</f>
        <v/>
      </c>
      <c r="J1762" s="3">
        <f>IF(ISNUMBER(AVERAGE('20250815_ETF_Options_Exhibits'!J1758:J1762)),AVERAGE('20250815_ETF_Options_Exhibits'!J1758:J1762),"")</f>
        <v/>
      </c>
      <c r="K1762" s="3">
        <f>IF(ISNUMBER(AVERAGE('20250815_ETF_Options_Exhibits'!K1758:K1762)),AVERAGE('20250815_ETF_Options_Exhibits'!K1758:K1762),"")</f>
        <v/>
      </c>
      <c r="L1762" s="3">
        <f>IF(ISNUMBER(AVERAGE('20250815_ETF_Options_Exhibits'!L1758:L1762)),AVERAGE('20250815_ETF_Options_Exhibits'!L1758:L1762),"")</f>
        <v/>
      </c>
      <c r="M1762" s="3">
        <f>IF(ISNUMBER(AVERAGE('20250815_ETF_Options_Exhibits'!M1758:M1762)),AVERAGE('20250815_ETF_Options_Exhibits'!M1758:M1762),"")</f>
        <v/>
      </c>
      <c r="N1762" s="3">
        <f>IF(ISNUMBER(AVERAGE('20250815_ETF_Options_Exhibits'!N1758:N1762)),AVERAGE('20250815_ETF_Options_Exhibits'!N1758:N1762),"")</f>
        <v/>
      </c>
      <c r="O1762" s="3">
        <f>IF(ISNUMBER(AVERAGE('20250815_ETF_Options_Exhibits'!O1758:O1762)),AVERAGE('20250815_ETF_Options_Exhibits'!O1758:O1762),"")</f>
        <v/>
      </c>
      <c r="P1762" s="3">
        <f>IF(ISNUMBER(AVERAGE('20250815_ETF_Options_Exhibits'!P1758:P1762)),AVERAGE('20250815_ETF_Options_Exhibits'!P1758:P1762),"")</f>
        <v/>
      </c>
      <c r="Q1762" s="3">
        <f>IF(ISNUMBER(AVERAGE('20250815_ETF_Options_Exhibits'!Q1758:Q1762)),AVERAGE('20250815_ETF_Options_Exhibits'!Q1758:Q1762),"")</f>
        <v/>
      </c>
      <c r="R1762" s="3">
        <f>IF(ISNUMBER(AVERAGE('20250815_ETF_Options_Exhibits'!R1758:R1762)),AVERAGE('20250815_ETF_Options_Exhibits'!R1758:R1762),"")</f>
        <v/>
      </c>
      <c r="S1762" s="3">
        <f>IF(ISNUMBER(AVERAGE('20250815_ETF_Options_Exhibits'!S1758:S1762)),AVERAGE('20250815_ETF_Options_Exhibits'!S1758:S1762),"")</f>
        <v/>
      </c>
      <c r="T1762" s="3">
        <f>IF(ISNUMBER(AVERAGE('20250815_ETF_Options_Exhibits'!T1758:T1762)),AVERAGE('20250815_ETF_Options_Exhibits'!T1758:T1762),"")</f>
        <v/>
      </c>
      <c r="U1762" s="3">
        <f>IF(ISNUMBER(AVERAGE('20250815_ETF_Options_Exhibits'!U1758:U1762)),AVERAGE('20250815_ETF_Options_Exhibits'!U1758:U1762),"")</f>
        <v/>
      </c>
      <c r="V1762" s="3">
        <f>IF(ISNUMBER(AVERAGE('20250815_ETF_Options_Exhibits'!V1758:V1762)),AVERAGE('20250815_ETF_Options_Exhibits'!V1758:V1762),"")</f>
        <v/>
      </c>
      <c r="W1762" s="3">
        <f>IF(ISNUMBER(AVERAGE('20250815_ETF_Options_Exhibits'!W1758:W1762)),AVERAGE('20250815_ETF_Options_Exhibits'!W1758:W1762),"")</f>
        <v/>
      </c>
      <c r="X1762" s="3">
        <f>IF(ISNUMBER(AVERAGE('20250815_ETF_Options_Exhibits'!X1758:X1762)),AVERAGE('20250815_ETF_Options_Exhibits'!X1758:X1762),"")</f>
        <v/>
      </c>
      <c r="Y1762" s="3">
        <f>IF(ISNUMBER(AVERAGE('20250815_ETF_Options_Exhibits'!Y1758:Y1762)),AVERAGE('20250815_ETF_Options_Exhibits'!Y1758:Y1762),"")</f>
        <v/>
      </c>
      <c r="Z1762" s="3">
        <f>IF(ISNUMBER(AVERAGE('20250815_ETF_Options_Exhibits'!Z1758:Z1762)),AVERAGE('20250815_ETF_Options_Exhibits'!Z1758:Z1762),"")</f>
        <v/>
      </c>
      <c r="AA1762" s="3">
        <f>IF(ISNUMBER(AVERAGE('20250815_ETF_Options_Exhibits'!AA1758:AA1762)),AVERAGE('20250815_ETF_Options_Exhibits'!AA1758:AA1762),"")</f>
        <v/>
      </c>
    </row>
    <row r="1763">
      <c r="A1763" s="1" t="n">
        <v>44559</v>
      </c>
      <c r="B1763" s="3">
        <f>IF(ISNUMBER(AVERAGE('20250815_ETF_Options_Exhibits'!B1759:B1763)),AVERAGE('20250815_ETF_Options_Exhibits'!B1759:B1763),"")</f>
        <v/>
      </c>
      <c r="C1763" s="3">
        <f>IF(ISNUMBER(AVERAGE('20250815_ETF_Options_Exhibits'!C1759:C1763)),AVERAGE('20250815_ETF_Options_Exhibits'!C1759:C1763),"")</f>
        <v/>
      </c>
      <c r="D1763" s="3">
        <f>IF(ISNUMBER(AVERAGE('20250815_ETF_Options_Exhibits'!D1759:D1763)),AVERAGE('20250815_ETF_Options_Exhibits'!D1759:D1763),"")</f>
        <v/>
      </c>
      <c r="E1763" s="3">
        <f>IF(ISNUMBER(AVERAGE('20250815_ETF_Options_Exhibits'!E1759:E1763)),AVERAGE('20250815_ETF_Options_Exhibits'!E1759:E1763),"")</f>
        <v/>
      </c>
      <c r="F1763" s="3">
        <f>IF(ISNUMBER(AVERAGE('20250815_ETF_Options_Exhibits'!F1759:F1763)),AVERAGE('20250815_ETF_Options_Exhibits'!F1759:F1763),"")</f>
        <v/>
      </c>
      <c r="G1763" s="3">
        <f>IF(ISNUMBER(AVERAGE('20250815_ETF_Options_Exhibits'!G1759:G1763)),AVERAGE('20250815_ETF_Options_Exhibits'!G1759:G1763),"")</f>
        <v/>
      </c>
      <c r="H1763" s="3">
        <f>IF(ISNUMBER(AVERAGE('20250815_ETF_Options_Exhibits'!H1759:H1763)),AVERAGE('20250815_ETF_Options_Exhibits'!H1759:H1763),"")</f>
        <v/>
      </c>
      <c r="I1763" s="3">
        <f>IF(ISNUMBER(AVERAGE('20250815_ETF_Options_Exhibits'!I1759:I1763)),AVERAGE('20250815_ETF_Options_Exhibits'!I1759:I1763),"")</f>
        <v/>
      </c>
      <c r="J1763" s="3">
        <f>IF(ISNUMBER(AVERAGE('20250815_ETF_Options_Exhibits'!J1759:J1763)),AVERAGE('20250815_ETF_Options_Exhibits'!J1759:J1763),"")</f>
        <v/>
      </c>
      <c r="K1763" s="3">
        <f>IF(ISNUMBER(AVERAGE('20250815_ETF_Options_Exhibits'!K1759:K1763)),AVERAGE('20250815_ETF_Options_Exhibits'!K1759:K1763),"")</f>
        <v/>
      </c>
      <c r="L1763" s="3">
        <f>IF(ISNUMBER(AVERAGE('20250815_ETF_Options_Exhibits'!L1759:L1763)),AVERAGE('20250815_ETF_Options_Exhibits'!L1759:L1763),"")</f>
        <v/>
      </c>
      <c r="M1763" s="3">
        <f>IF(ISNUMBER(AVERAGE('20250815_ETF_Options_Exhibits'!M1759:M1763)),AVERAGE('20250815_ETF_Options_Exhibits'!M1759:M1763),"")</f>
        <v/>
      </c>
      <c r="N1763" s="3">
        <f>IF(ISNUMBER(AVERAGE('20250815_ETF_Options_Exhibits'!N1759:N1763)),AVERAGE('20250815_ETF_Options_Exhibits'!N1759:N1763),"")</f>
        <v/>
      </c>
      <c r="O1763" s="3">
        <f>IF(ISNUMBER(AVERAGE('20250815_ETF_Options_Exhibits'!O1759:O1763)),AVERAGE('20250815_ETF_Options_Exhibits'!O1759:O1763),"")</f>
        <v/>
      </c>
      <c r="P1763" s="3">
        <f>IF(ISNUMBER(AVERAGE('20250815_ETF_Options_Exhibits'!P1759:P1763)),AVERAGE('20250815_ETF_Options_Exhibits'!P1759:P1763),"")</f>
        <v/>
      </c>
      <c r="Q1763" s="3">
        <f>IF(ISNUMBER(AVERAGE('20250815_ETF_Options_Exhibits'!Q1759:Q1763)),AVERAGE('20250815_ETF_Options_Exhibits'!Q1759:Q1763),"")</f>
        <v/>
      </c>
      <c r="R1763" s="3">
        <f>IF(ISNUMBER(AVERAGE('20250815_ETF_Options_Exhibits'!R1759:R1763)),AVERAGE('20250815_ETF_Options_Exhibits'!R1759:R1763),"")</f>
        <v/>
      </c>
      <c r="S1763" s="3">
        <f>IF(ISNUMBER(AVERAGE('20250815_ETF_Options_Exhibits'!S1759:S1763)),AVERAGE('20250815_ETF_Options_Exhibits'!S1759:S1763),"")</f>
        <v/>
      </c>
      <c r="T1763" s="3">
        <f>IF(ISNUMBER(AVERAGE('20250815_ETF_Options_Exhibits'!T1759:T1763)),AVERAGE('20250815_ETF_Options_Exhibits'!T1759:T1763),"")</f>
        <v/>
      </c>
      <c r="U1763" s="3">
        <f>IF(ISNUMBER(AVERAGE('20250815_ETF_Options_Exhibits'!U1759:U1763)),AVERAGE('20250815_ETF_Options_Exhibits'!U1759:U1763),"")</f>
        <v/>
      </c>
      <c r="V1763" s="3">
        <f>IF(ISNUMBER(AVERAGE('20250815_ETF_Options_Exhibits'!V1759:V1763)),AVERAGE('20250815_ETF_Options_Exhibits'!V1759:V1763),"")</f>
        <v/>
      </c>
      <c r="W1763" s="3">
        <f>IF(ISNUMBER(AVERAGE('20250815_ETF_Options_Exhibits'!W1759:W1763)),AVERAGE('20250815_ETF_Options_Exhibits'!W1759:W1763),"")</f>
        <v/>
      </c>
      <c r="X1763" s="3">
        <f>IF(ISNUMBER(AVERAGE('20250815_ETF_Options_Exhibits'!X1759:X1763)),AVERAGE('20250815_ETF_Options_Exhibits'!X1759:X1763),"")</f>
        <v/>
      </c>
      <c r="Y1763" s="3">
        <f>IF(ISNUMBER(AVERAGE('20250815_ETF_Options_Exhibits'!Y1759:Y1763)),AVERAGE('20250815_ETF_Options_Exhibits'!Y1759:Y1763),"")</f>
        <v/>
      </c>
      <c r="Z1763" s="3">
        <f>IF(ISNUMBER(AVERAGE('20250815_ETF_Options_Exhibits'!Z1759:Z1763)),AVERAGE('20250815_ETF_Options_Exhibits'!Z1759:Z1763),"")</f>
        <v/>
      </c>
      <c r="AA1763" s="3">
        <f>IF(ISNUMBER(AVERAGE('20250815_ETF_Options_Exhibits'!AA1759:AA1763)),AVERAGE('20250815_ETF_Options_Exhibits'!AA1759:AA1763),"")</f>
        <v/>
      </c>
    </row>
    <row r="1764">
      <c r="A1764" s="1" t="n">
        <v>44560</v>
      </c>
      <c r="B1764" s="3">
        <f>IF(ISNUMBER(AVERAGE('20250815_ETF_Options_Exhibits'!B1760:B1764)),AVERAGE('20250815_ETF_Options_Exhibits'!B1760:B1764),"")</f>
        <v/>
      </c>
      <c r="C1764" s="3">
        <f>IF(ISNUMBER(AVERAGE('20250815_ETF_Options_Exhibits'!C1760:C1764)),AVERAGE('20250815_ETF_Options_Exhibits'!C1760:C1764),"")</f>
        <v/>
      </c>
      <c r="D1764" s="3">
        <f>IF(ISNUMBER(AVERAGE('20250815_ETF_Options_Exhibits'!D1760:D1764)),AVERAGE('20250815_ETF_Options_Exhibits'!D1760:D1764),"")</f>
        <v/>
      </c>
      <c r="E1764" s="3">
        <f>IF(ISNUMBER(AVERAGE('20250815_ETF_Options_Exhibits'!E1760:E1764)),AVERAGE('20250815_ETF_Options_Exhibits'!E1760:E1764),"")</f>
        <v/>
      </c>
      <c r="F1764" s="3">
        <f>IF(ISNUMBER(AVERAGE('20250815_ETF_Options_Exhibits'!F1760:F1764)),AVERAGE('20250815_ETF_Options_Exhibits'!F1760:F1764),"")</f>
        <v/>
      </c>
      <c r="G1764" s="3">
        <f>IF(ISNUMBER(AVERAGE('20250815_ETF_Options_Exhibits'!G1760:G1764)),AVERAGE('20250815_ETF_Options_Exhibits'!G1760:G1764),"")</f>
        <v/>
      </c>
      <c r="H1764" s="3">
        <f>IF(ISNUMBER(AVERAGE('20250815_ETF_Options_Exhibits'!H1760:H1764)),AVERAGE('20250815_ETF_Options_Exhibits'!H1760:H1764),"")</f>
        <v/>
      </c>
      <c r="I1764" s="3">
        <f>IF(ISNUMBER(AVERAGE('20250815_ETF_Options_Exhibits'!I1760:I1764)),AVERAGE('20250815_ETF_Options_Exhibits'!I1760:I1764),"")</f>
        <v/>
      </c>
      <c r="J1764" s="3">
        <f>IF(ISNUMBER(AVERAGE('20250815_ETF_Options_Exhibits'!J1760:J1764)),AVERAGE('20250815_ETF_Options_Exhibits'!J1760:J1764),"")</f>
        <v/>
      </c>
      <c r="K1764" s="3">
        <f>IF(ISNUMBER(AVERAGE('20250815_ETF_Options_Exhibits'!K1760:K1764)),AVERAGE('20250815_ETF_Options_Exhibits'!K1760:K1764),"")</f>
        <v/>
      </c>
      <c r="L1764" s="3">
        <f>IF(ISNUMBER(AVERAGE('20250815_ETF_Options_Exhibits'!L1760:L1764)),AVERAGE('20250815_ETF_Options_Exhibits'!L1760:L1764),"")</f>
        <v/>
      </c>
      <c r="M1764" s="3">
        <f>IF(ISNUMBER(AVERAGE('20250815_ETF_Options_Exhibits'!M1760:M1764)),AVERAGE('20250815_ETF_Options_Exhibits'!M1760:M1764),"")</f>
        <v/>
      </c>
      <c r="N1764" s="3">
        <f>IF(ISNUMBER(AVERAGE('20250815_ETF_Options_Exhibits'!N1760:N1764)),AVERAGE('20250815_ETF_Options_Exhibits'!N1760:N1764),"")</f>
        <v/>
      </c>
      <c r="O1764" s="3">
        <f>IF(ISNUMBER(AVERAGE('20250815_ETF_Options_Exhibits'!O1760:O1764)),AVERAGE('20250815_ETF_Options_Exhibits'!O1760:O1764),"")</f>
        <v/>
      </c>
      <c r="P1764" s="3">
        <f>IF(ISNUMBER(AVERAGE('20250815_ETF_Options_Exhibits'!P1760:P1764)),AVERAGE('20250815_ETF_Options_Exhibits'!P1760:P1764),"")</f>
        <v/>
      </c>
      <c r="Q1764" s="3">
        <f>IF(ISNUMBER(AVERAGE('20250815_ETF_Options_Exhibits'!Q1760:Q1764)),AVERAGE('20250815_ETF_Options_Exhibits'!Q1760:Q1764),"")</f>
        <v/>
      </c>
      <c r="R1764" s="3">
        <f>IF(ISNUMBER(AVERAGE('20250815_ETF_Options_Exhibits'!R1760:R1764)),AVERAGE('20250815_ETF_Options_Exhibits'!R1760:R1764),"")</f>
        <v/>
      </c>
      <c r="S1764" s="3">
        <f>IF(ISNUMBER(AVERAGE('20250815_ETF_Options_Exhibits'!S1760:S1764)),AVERAGE('20250815_ETF_Options_Exhibits'!S1760:S1764),"")</f>
        <v/>
      </c>
      <c r="T1764" s="3">
        <f>IF(ISNUMBER(AVERAGE('20250815_ETF_Options_Exhibits'!T1760:T1764)),AVERAGE('20250815_ETF_Options_Exhibits'!T1760:T1764),"")</f>
        <v/>
      </c>
      <c r="U1764" s="3">
        <f>IF(ISNUMBER(AVERAGE('20250815_ETF_Options_Exhibits'!U1760:U1764)),AVERAGE('20250815_ETF_Options_Exhibits'!U1760:U1764),"")</f>
        <v/>
      </c>
      <c r="V1764" s="3">
        <f>IF(ISNUMBER(AVERAGE('20250815_ETF_Options_Exhibits'!V1760:V1764)),AVERAGE('20250815_ETF_Options_Exhibits'!V1760:V1764),"")</f>
        <v/>
      </c>
      <c r="W1764" s="3">
        <f>IF(ISNUMBER(AVERAGE('20250815_ETF_Options_Exhibits'!W1760:W1764)),AVERAGE('20250815_ETF_Options_Exhibits'!W1760:W1764),"")</f>
        <v/>
      </c>
      <c r="X1764" s="3">
        <f>IF(ISNUMBER(AVERAGE('20250815_ETF_Options_Exhibits'!X1760:X1764)),AVERAGE('20250815_ETF_Options_Exhibits'!X1760:X1764),"")</f>
        <v/>
      </c>
      <c r="Y1764" s="3">
        <f>IF(ISNUMBER(AVERAGE('20250815_ETF_Options_Exhibits'!Y1760:Y1764)),AVERAGE('20250815_ETF_Options_Exhibits'!Y1760:Y1764),"")</f>
        <v/>
      </c>
      <c r="Z1764" s="3">
        <f>IF(ISNUMBER(AVERAGE('20250815_ETF_Options_Exhibits'!Z1760:Z1764)),AVERAGE('20250815_ETF_Options_Exhibits'!Z1760:Z1764),"")</f>
        <v/>
      </c>
      <c r="AA1764" s="3">
        <f>IF(ISNUMBER(AVERAGE('20250815_ETF_Options_Exhibits'!AA1760:AA1764)),AVERAGE('20250815_ETF_Options_Exhibits'!AA1760:AA1764),"")</f>
        <v/>
      </c>
    </row>
    <row r="1765">
      <c r="A1765" s="1" t="n">
        <v>44561</v>
      </c>
      <c r="B1765" s="3">
        <f>IF(ISNUMBER(AVERAGE('20250815_ETF_Options_Exhibits'!B1761:B1765)),AVERAGE('20250815_ETF_Options_Exhibits'!B1761:B1765),"")</f>
        <v/>
      </c>
      <c r="C1765" s="3">
        <f>IF(ISNUMBER(AVERAGE('20250815_ETF_Options_Exhibits'!C1761:C1765)),AVERAGE('20250815_ETF_Options_Exhibits'!C1761:C1765),"")</f>
        <v/>
      </c>
      <c r="D1765" s="3">
        <f>IF(ISNUMBER(AVERAGE('20250815_ETF_Options_Exhibits'!D1761:D1765)),AVERAGE('20250815_ETF_Options_Exhibits'!D1761:D1765),"")</f>
        <v/>
      </c>
      <c r="E1765" s="3">
        <f>IF(ISNUMBER(AVERAGE('20250815_ETF_Options_Exhibits'!E1761:E1765)),AVERAGE('20250815_ETF_Options_Exhibits'!E1761:E1765),"")</f>
        <v/>
      </c>
      <c r="F1765" s="3">
        <f>IF(ISNUMBER(AVERAGE('20250815_ETF_Options_Exhibits'!F1761:F1765)),AVERAGE('20250815_ETF_Options_Exhibits'!F1761:F1765),"")</f>
        <v/>
      </c>
      <c r="G1765" s="3">
        <f>IF(ISNUMBER(AVERAGE('20250815_ETF_Options_Exhibits'!G1761:G1765)),AVERAGE('20250815_ETF_Options_Exhibits'!G1761:G1765),"")</f>
        <v/>
      </c>
      <c r="H1765" s="3">
        <f>IF(ISNUMBER(AVERAGE('20250815_ETF_Options_Exhibits'!H1761:H1765)),AVERAGE('20250815_ETF_Options_Exhibits'!H1761:H1765),"")</f>
        <v/>
      </c>
      <c r="I1765" s="3">
        <f>IF(ISNUMBER(AVERAGE('20250815_ETF_Options_Exhibits'!I1761:I1765)),AVERAGE('20250815_ETF_Options_Exhibits'!I1761:I1765),"")</f>
        <v/>
      </c>
      <c r="J1765" s="3">
        <f>IF(ISNUMBER(AVERAGE('20250815_ETF_Options_Exhibits'!J1761:J1765)),AVERAGE('20250815_ETF_Options_Exhibits'!J1761:J1765),"")</f>
        <v/>
      </c>
      <c r="K1765" s="3">
        <f>IF(ISNUMBER(AVERAGE('20250815_ETF_Options_Exhibits'!K1761:K1765)),AVERAGE('20250815_ETF_Options_Exhibits'!K1761:K1765),"")</f>
        <v/>
      </c>
      <c r="L1765" s="3">
        <f>IF(ISNUMBER(AVERAGE('20250815_ETF_Options_Exhibits'!L1761:L1765)),AVERAGE('20250815_ETF_Options_Exhibits'!L1761:L1765),"")</f>
        <v/>
      </c>
      <c r="M1765" s="3">
        <f>IF(ISNUMBER(AVERAGE('20250815_ETF_Options_Exhibits'!M1761:M1765)),AVERAGE('20250815_ETF_Options_Exhibits'!M1761:M1765),"")</f>
        <v/>
      </c>
      <c r="N1765" s="3">
        <f>IF(ISNUMBER(AVERAGE('20250815_ETF_Options_Exhibits'!N1761:N1765)),AVERAGE('20250815_ETF_Options_Exhibits'!N1761:N1765),"")</f>
        <v/>
      </c>
      <c r="O1765" s="3">
        <f>IF(ISNUMBER(AVERAGE('20250815_ETF_Options_Exhibits'!O1761:O1765)),AVERAGE('20250815_ETF_Options_Exhibits'!O1761:O1765),"")</f>
        <v/>
      </c>
      <c r="P1765" s="3">
        <f>IF(ISNUMBER(AVERAGE('20250815_ETF_Options_Exhibits'!P1761:P1765)),AVERAGE('20250815_ETF_Options_Exhibits'!P1761:P1765),"")</f>
        <v/>
      </c>
      <c r="Q1765" s="3">
        <f>IF(ISNUMBER(AVERAGE('20250815_ETF_Options_Exhibits'!Q1761:Q1765)),AVERAGE('20250815_ETF_Options_Exhibits'!Q1761:Q1765),"")</f>
        <v/>
      </c>
      <c r="R1765" s="3">
        <f>IF(ISNUMBER(AVERAGE('20250815_ETF_Options_Exhibits'!R1761:R1765)),AVERAGE('20250815_ETF_Options_Exhibits'!R1761:R1765),"")</f>
        <v/>
      </c>
      <c r="S1765" s="3">
        <f>IF(ISNUMBER(AVERAGE('20250815_ETF_Options_Exhibits'!S1761:S1765)),AVERAGE('20250815_ETF_Options_Exhibits'!S1761:S1765),"")</f>
        <v/>
      </c>
      <c r="T1765" s="3">
        <f>IF(ISNUMBER(AVERAGE('20250815_ETF_Options_Exhibits'!T1761:T1765)),AVERAGE('20250815_ETF_Options_Exhibits'!T1761:T1765),"")</f>
        <v/>
      </c>
      <c r="U1765" s="3">
        <f>IF(ISNUMBER(AVERAGE('20250815_ETF_Options_Exhibits'!U1761:U1765)),AVERAGE('20250815_ETF_Options_Exhibits'!U1761:U1765),"")</f>
        <v/>
      </c>
      <c r="V1765" s="3">
        <f>IF(ISNUMBER(AVERAGE('20250815_ETF_Options_Exhibits'!V1761:V1765)),AVERAGE('20250815_ETF_Options_Exhibits'!V1761:V1765),"")</f>
        <v/>
      </c>
      <c r="W1765" s="3">
        <f>IF(ISNUMBER(AVERAGE('20250815_ETF_Options_Exhibits'!W1761:W1765)),AVERAGE('20250815_ETF_Options_Exhibits'!W1761:W1765),"")</f>
        <v/>
      </c>
      <c r="X1765" s="3">
        <f>IF(ISNUMBER(AVERAGE('20250815_ETF_Options_Exhibits'!X1761:X1765)),AVERAGE('20250815_ETF_Options_Exhibits'!X1761:X1765),"")</f>
        <v/>
      </c>
      <c r="Y1765" s="3">
        <f>IF(ISNUMBER(AVERAGE('20250815_ETF_Options_Exhibits'!Y1761:Y1765)),AVERAGE('20250815_ETF_Options_Exhibits'!Y1761:Y1765),"")</f>
        <v/>
      </c>
      <c r="Z1765" s="3">
        <f>IF(ISNUMBER(AVERAGE('20250815_ETF_Options_Exhibits'!Z1761:Z1765)),AVERAGE('20250815_ETF_Options_Exhibits'!Z1761:Z1765),"")</f>
        <v/>
      </c>
      <c r="AA1765" s="3">
        <f>IF(ISNUMBER(AVERAGE('20250815_ETF_Options_Exhibits'!AA1761:AA1765)),AVERAGE('20250815_ETF_Options_Exhibits'!AA1761:AA1765),"")</f>
        <v/>
      </c>
    </row>
    <row r="1766">
      <c r="A1766" s="1" t="n">
        <v>44564</v>
      </c>
      <c r="B1766" s="3">
        <f>IF(ISNUMBER(AVERAGE('20250815_ETF_Options_Exhibits'!B1762:B1766)),AVERAGE('20250815_ETF_Options_Exhibits'!B1762:B1766),"")</f>
        <v/>
      </c>
      <c r="C1766" s="3">
        <f>IF(ISNUMBER(AVERAGE('20250815_ETF_Options_Exhibits'!C1762:C1766)),AVERAGE('20250815_ETF_Options_Exhibits'!C1762:C1766),"")</f>
        <v/>
      </c>
      <c r="D1766" s="3">
        <f>IF(ISNUMBER(AVERAGE('20250815_ETF_Options_Exhibits'!D1762:D1766)),AVERAGE('20250815_ETF_Options_Exhibits'!D1762:D1766),"")</f>
        <v/>
      </c>
      <c r="E1766" s="3">
        <f>IF(ISNUMBER(AVERAGE('20250815_ETF_Options_Exhibits'!E1762:E1766)),AVERAGE('20250815_ETF_Options_Exhibits'!E1762:E1766),"")</f>
        <v/>
      </c>
      <c r="F1766" s="3">
        <f>IF(ISNUMBER(AVERAGE('20250815_ETF_Options_Exhibits'!F1762:F1766)),AVERAGE('20250815_ETF_Options_Exhibits'!F1762:F1766),"")</f>
        <v/>
      </c>
      <c r="G1766" s="3">
        <f>IF(ISNUMBER(AVERAGE('20250815_ETF_Options_Exhibits'!G1762:G1766)),AVERAGE('20250815_ETF_Options_Exhibits'!G1762:G1766),"")</f>
        <v/>
      </c>
      <c r="H1766" s="3">
        <f>IF(ISNUMBER(AVERAGE('20250815_ETF_Options_Exhibits'!H1762:H1766)),AVERAGE('20250815_ETF_Options_Exhibits'!H1762:H1766),"")</f>
        <v/>
      </c>
      <c r="I1766" s="3">
        <f>IF(ISNUMBER(AVERAGE('20250815_ETF_Options_Exhibits'!I1762:I1766)),AVERAGE('20250815_ETF_Options_Exhibits'!I1762:I1766),"")</f>
        <v/>
      </c>
      <c r="J1766" s="3">
        <f>IF(ISNUMBER(AVERAGE('20250815_ETF_Options_Exhibits'!J1762:J1766)),AVERAGE('20250815_ETF_Options_Exhibits'!J1762:J1766),"")</f>
        <v/>
      </c>
      <c r="K1766" s="3">
        <f>IF(ISNUMBER(AVERAGE('20250815_ETF_Options_Exhibits'!K1762:K1766)),AVERAGE('20250815_ETF_Options_Exhibits'!K1762:K1766),"")</f>
        <v/>
      </c>
      <c r="L1766" s="3">
        <f>IF(ISNUMBER(AVERAGE('20250815_ETF_Options_Exhibits'!L1762:L1766)),AVERAGE('20250815_ETF_Options_Exhibits'!L1762:L1766),"")</f>
        <v/>
      </c>
      <c r="M1766" s="3">
        <f>IF(ISNUMBER(AVERAGE('20250815_ETF_Options_Exhibits'!M1762:M1766)),AVERAGE('20250815_ETF_Options_Exhibits'!M1762:M1766),"")</f>
        <v/>
      </c>
      <c r="N1766" s="3">
        <f>IF(ISNUMBER(AVERAGE('20250815_ETF_Options_Exhibits'!N1762:N1766)),AVERAGE('20250815_ETF_Options_Exhibits'!N1762:N1766),"")</f>
        <v/>
      </c>
      <c r="O1766" s="3">
        <f>IF(ISNUMBER(AVERAGE('20250815_ETF_Options_Exhibits'!O1762:O1766)),AVERAGE('20250815_ETF_Options_Exhibits'!O1762:O1766),"")</f>
        <v/>
      </c>
      <c r="P1766" s="3">
        <f>IF(ISNUMBER(AVERAGE('20250815_ETF_Options_Exhibits'!P1762:P1766)),AVERAGE('20250815_ETF_Options_Exhibits'!P1762:P1766),"")</f>
        <v/>
      </c>
      <c r="Q1766" s="3">
        <f>IF(ISNUMBER(AVERAGE('20250815_ETF_Options_Exhibits'!Q1762:Q1766)),AVERAGE('20250815_ETF_Options_Exhibits'!Q1762:Q1766),"")</f>
        <v/>
      </c>
      <c r="R1766" s="3">
        <f>IF(ISNUMBER(AVERAGE('20250815_ETF_Options_Exhibits'!R1762:R1766)),AVERAGE('20250815_ETF_Options_Exhibits'!R1762:R1766),"")</f>
        <v/>
      </c>
      <c r="S1766" s="3">
        <f>IF(ISNUMBER(AVERAGE('20250815_ETF_Options_Exhibits'!S1762:S1766)),AVERAGE('20250815_ETF_Options_Exhibits'!S1762:S1766),"")</f>
        <v/>
      </c>
      <c r="T1766" s="3">
        <f>IF(ISNUMBER(AVERAGE('20250815_ETF_Options_Exhibits'!T1762:T1766)),AVERAGE('20250815_ETF_Options_Exhibits'!T1762:T1766),"")</f>
        <v/>
      </c>
      <c r="U1766" s="3">
        <f>IF(ISNUMBER(AVERAGE('20250815_ETF_Options_Exhibits'!U1762:U1766)),AVERAGE('20250815_ETF_Options_Exhibits'!U1762:U1766),"")</f>
        <v/>
      </c>
      <c r="V1766" s="3">
        <f>IF(ISNUMBER(AVERAGE('20250815_ETF_Options_Exhibits'!V1762:V1766)),AVERAGE('20250815_ETF_Options_Exhibits'!V1762:V1766),"")</f>
        <v/>
      </c>
      <c r="W1766" s="3">
        <f>IF(ISNUMBER(AVERAGE('20250815_ETF_Options_Exhibits'!W1762:W1766)),AVERAGE('20250815_ETF_Options_Exhibits'!W1762:W1766),"")</f>
        <v/>
      </c>
      <c r="X1766" s="3">
        <f>IF(ISNUMBER(AVERAGE('20250815_ETF_Options_Exhibits'!X1762:X1766)),AVERAGE('20250815_ETF_Options_Exhibits'!X1762:X1766),"")</f>
        <v/>
      </c>
      <c r="Y1766" s="3">
        <f>IF(ISNUMBER(AVERAGE('20250815_ETF_Options_Exhibits'!Y1762:Y1766)),AVERAGE('20250815_ETF_Options_Exhibits'!Y1762:Y1766),"")</f>
        <v/>
      </c>
      <c r="Z1766" s="3">
        <f>IF(ISNUMBER(AVERAGE('20250815_ETF_Options_Exhibits'!Z1762:Z1766)),AVERAGE('20250815_ETF_Options_Exhibits'!Z1762:Z1766),"")</f>
        <v/>
      </c>
      <c r="AA1766" s="3">
        <f>IF(ISNUMBER(AVERAGE('20250815_ETF_Options_Exhibits'!AA1762:AA1766)),AVERAGE('20250815_ETF_Options_Exhibits'!AA1762:AA1766),"")</f>
        <v/>
      </c>
    </row>
    <row r="1767">
      <c r="A1767" s="1" t="n">
        <v>44565</v>
      </c>
      <c r="B1767" s="3">
        <f>IF(ISNUMBER(AVERAGE('20250815_ETF_Options_Exhibits'!B1763:B1767)),AVERAGE('20250815_ETF_Options_Exhibits'!B1763:B1767),"")</f>
        <v/>
      </c>
      <c r="C1767" s="3">
        <f>IF(ISNUMBER(AVERAGE('20250815_ETF_Options_Exhibits'!C1763:C1767)),AVERAGE('20250815_ETF_Options_Exhibits'!C1763:C1767),"")</f>
        <v/>
      </c>
      <c r="D1767" s="3">
        <f>IF(ISNUMBER(AVERAGE('20250815_ETF_Options_Exhibits'!D1763:D1767)),AVERAGE('20250815_ETF_Options_Exhibits'!D1763:D1767),"")</f>
        <v/>
      </c>
      <c r="E1767" s="3">
        <f>IF(ISNUMBER(AVERAGE('20250815_ETF_Options_Exhibits'!E1763:E1767)),AVERAGE('20250815_ETF_Options_Exhibits'!E1763:E1767),"")</f>
        <v/>
      </c>
      <c r="F1767" s="3">
        <f>IF(ISNUMBER(AVERAGE('20250815_ETF_Options_Exhibits'!F1763:F1767)),AVERAGE('20250815_ETF_Options_Exhibits'!F1763:F1767),"")</f>
        <v/>
      </c>
      <c r="G1767" s="3">
        <f>IF(ISNUMBER(AVERAGE('20250815_ETF_Options_Exhibits'!G1763:G1767)),AVERAGE('20250815_ETF_Options_Exhibits'!G1763:G1767),"")</f>
        <v/>
      </c>
      <c r="H1767" s="3">
        <f>IF(ISNUMBER(AVERAGE('20250815_ETF_Options_Exhibits'!H1763:H1767)),AVERAGE('20250815_ETF_Options_Exhibits'!H1763:H1767),"")</f>
        <v/>
      </c>
      <c r="I1767" s="3">
        <f>IF(ISNUMBER(AVERAGE('20250815_ETF_Options_Exhibits'!I1763:I1767)),AVERAGE('20250815_ETF_Options_Exhibits'!I1763:I1767),"")</f>
        <v/>
      </c>
      <c r="J1767" s="3">
        <f>IF(ISNUMBER(AVERAGE('20250815_ETF_Options_Exhibits'!J1763:J1767)),AVERAGE('20250815_ETF_Options_Exhibits'!J1763:J1767),"")</f>
        <v/>
      </c>
      <c r="K1767" s="3">
        <f>IF(ISNUMBER(AVERAGE('20250815_ETF_Options_Exhibits'!K1763:K1767)),AVERAGE('20250815_ETF_Options_Exhibits'!K1763:K1767),"")</f>
        <v/>
      </c>
      <c r="L1767" s="3">
        <f>IF(ISNUMBER(AVERAGE('20250815_ETF_Options_Exhibits'!L1763:L1767)),AVERAGE('20250815_ETF_Options_Exhibits'!L1763:L1767),"")</f>
        <v/>
      </c>
      <c r="M1767" s="3">
        <f>IF(ISNUMBER(AVERAGE('20250815_ETF_Options_Exhibits'!M1763:M1767)),AVERAGE('20250815_ETF_Options_Exhibits'!M1763:M1767),"")</f>
        <v/>
      </c>
      <c r="N1767" s="3">
        <f>IF(ISNUMBER(AVERAGE('20250815_ETF_Options_Exhibits'!N1763:N1767)),AVERAGE('20250815_ETF_Options_Exhibits'!N1763:N1767),"")</f>
        <v/>
      </c>
      <c r="O1767" s="3">
        <f>IF(ISNUMBER(AVERAGE('20250815_ETF_Options_Exhibits'!O1763:O1767)),AVERAGE('20250815_ETF_Options_Exhibits'!O1763:O1767),"")</f>
        <v/>
      </c>
      <c r="P1767" s="3">
        <f>IF(ISNUMBER(AVERAGE('20250815_ETF_Options_Exhibits'!P1763:P1767)),AVERAGE('20250815_ETF_Options_Exhibits'!P1763:P1767),"")</f>
        <v/>
      </c>
      <c r="Q1767" s="3">
        <f>IF(ISNUMBER(AVERAGE('20250815_ETF_Options_Exhibits'!Q1763:Q1767)),AVERAGE('20250815_ETF_Options_Exhibits'!Q1763:Q1767),"")</f>
        <v/>
      </c>
      <c r="R1767" s="3">
        <f>IF(ISNUMBER(AVERAGE('20250815_ETF_Options_Exhibits'!R1763:R1767)),AVERAGE('20250815_ETF_Options_Exhibits'!R1763:R1767),"")</f>
        <v/>
      </c>
      <c r="S1767" s="3">
        <f>IF(ISNUMBER(AVERAGE('20250815_ETF_Options_Exhibits'!S1763:S1767)),AVERAGE('20250815_ETF_Options_Exhibits'!S1763:S1767),"")</f>
        <v/>
      </c>
      <c r="T1767" s="3">
        <f>IF(ISNUMBER(AVERAGE('20250815_ETF_Options_Exhibits'!T1763:T1767)),AVERAGE('20250815_ETF_Options_Exhibits'!T1763:T1767),"")</f>
        <v/>
      </c>
      <c r="U1767" s="3">
        <f>IF(ISNUMBER(AVERAGE('20250815_ETF_Options_Exhibits'!U1763:U1767)),AVERAGE('20250815_ETF_Options_Exhibits'!U1763:U1767),"")</f>
        <v/>
      </c>
      <c r="V1767" s="3">
        <f>IF(ISNUMBER(AVERAGE('20250815_ETF_Options_Exhibits'!V1763:V1767)),AVERAGE('20250815_ETF_Options_Exhibits'!V1763:V1767),"")</f>
        <v/>
      </c>
      <c r="W1767" s="3">
        <f>IF(ISNUMBER(AVERAGE('20250815_ETF_Options_Exhibits'!W1763:W1767)),AVERAGE('20250815_ETF_Options_Exhibits'!W1763:W1767),"")</f>
        <v/>
      </c>
      <c r="X1767" s="3">
        <f>IF(ISNUMBER(AVERAGE('20250815_ETF_Options_Exhibits'!X1763:X1767)),AVERAGE('20250815_ETF_Options_Exhibits'!X1763:X1767),"")</f>
        <v/>
      </c>
      <c r="Y1767" s="3">
        <f>IF(ISNUMBER(AVERAGE('20250815_ETF_Options_Exhibits'!Y1763:Y1767)),AVERAGE('20250815_ETF_Options_Exhibits'!Y1763:Y1767),"")</f>
        <v/>
      </c>
      <c r="Z1767" s="3">
        <f>IF(ISNUMBER(AVERAGE('20250815_ETF_Options_Exhibits'!Z1763:Z1767)),AVERAGE('20250815_ETF_Options_Exhibits'!Z1763:Z1767),"")</f>
        <v/>
      </c>
      <c r="AA1767" s="3">
        <f>IF(ISNUMBER(AVERAGE('20250815_ETF_Options_Exhibits'!AA1763:AA1767)),AVERAGE('20250815_ETF_Options_Exhibits'!AA1763:AA1767),"")</f>
        <v/>
      </c>
    </row>
    <row r="1768">
      <c r="A1768" s="1" t="n">
        <v>44566</v>
      </c>
      <c r="B1768" s="3">
        <f>IF(ISNUMBER(AVERAGE('20250815_ETF_Options_Exhibits'!B1764:B1768)),AVERAGE('20250815_ETF_Options_Exhibits'!B1764:B1768),"")</f>
        <v/>
      </c>
      <c r="C1768" s="3">
        <f>IF(ISNUMBER(AVERAGE('20250815_ETF_Options_Exhibits'!C1764:C1768)),AVERAGE('20250815_ETF_Options_Exhibits'!C1764:C1768),"")</f>
        <v/>
      </c>
      <c r="D1768" s="3">
        <f>IF(ISNUMBER(AVERAGE('20250815_ETF_Options_Exhibits'!D1764:D1768)),AVERAGE('20250815_ETF_Options_Exhibits'!D1764:D1768),"")</f>
        <v/>
      </c>
      <c r="E1768" s="3">
        <f>IF(ISNUMBER(AVERAGE('20250815_ETF_Options_Exhibits'!E1764:E1768)),AVERAGE('20250815_ETF_Options_Exhibits'!E1764:E1768),"")</f>
        <v/>
      </c>
      <c r="F1768" s="3">
        <f>IF(ISNUMBER(AVERAGE('20250815_ETF_Options_Exhibits'!F1764:F1768)),AVERAGE('20250815_ETF_Options_Exhibits'!F1764:F1768),"")</f>
        <v/>
      </c>
      <c r="G1768" s="3">
        <f>IF(ISNUMBER(AVERAGE('20250815_ETF_Options_Exhibits'!G1764:G1768)),AVERAGE('20250815_ETF_Options_Exhibits'!G1764:G1768),"")</f>
        <v/>
      </c>
      <c r="H1768" s="3">
        <f>IF(ISNUMBER(AVERAGE('20250815_ETF_Options_Exhibits'!H1764:H1768)),AVERAGE('20250815_ETF_Options_Exhibits'!H1764:H1768),"")</f>
        <v/>
      </c>
      <c r="I1768" s="3">
        <f>IF(ISNUMBER(AVERAGE('20250815_ETF_Options_Exhibits'!I1764:I1768)),AVERAGE('20250815_ETF_Options_Exhibits'!I1764:I1768),"")</f>
        <v/>
      </c>
      <c r="J1768" s="3">
        <f>IF(ISNUMBER(AVERAGE('20250815_ETF_Options_Exhibits'!J1764:J1768)),AVERAGE('20250815_ETF_Options_Exhibits'!J1764:J1768),"")</f>
        <v/>
      </c>
      <c r="K1768" s="3">
        <f>IF(ISNUMBER(AVERAGE('20250815_ETF_Options_Exhibits'!K1764:K1768)),AVERAGE('20250815_ETF_Options_Exhibits'!K1764:K1768),"")</f>
        <v/>
      </c>
      <c r="L1768" s="3">
        <f>IF(ISNUMBER(AVERAGE('20250815_ETF_Options_Exhibits'!L1764:L1768)),AVERAGE('20250815_ETF_Options_Exhibits'!L1764:L1768),"")</f>
        <v/>
      </c>
      <c r="M1768" s="3">
        <f>IF(ISNUMBER(AVERAGE('20250815_ETF_Options_Exhibits'!M1764:M1768)),AVERAGE('20250815_ETF_Options_Exhibits'!M1764:M1768),"")</f>
        <v/>
      </c>
      <c r="N1768" s="3">
        <f>IF(ISNUMBER(AVERAGE('20250815_ETF_Options_Exhibits'!N1764:N1768)),AVERAGE('20250815_ETF_Options_Exhibits'!N1764:N1768),"")</f>
        <v/>
      </c>
      <c r="O1768" s="3">
        <f>IF(ISNUMBER(AVERAGE('20250815_ETF_Options_Exhibits'!O1764:O1768)),AVERAGE('20250815_ETF_Options_Exhibits'!O1764:O1768),"")</f>
        <v/>
      </c>
      <c r="P1768" s="3">
        <f>IF(ISNUMBER(AVERAGE('20250815_ETF_Options_Exhibits'!P1764:P1768)),AVERAGE('20250815_ETF_Options_Exhibits'!P1764:P1768),"")</f>
        <v/>
      </c>
      <c r="Q1768" s="3">
        <f>IF(ISNUMBER(AVERAGE('20250815_ETF_Options_Exhibits'!Q1764:Q1768)),AVERAGE('20250815_ETF_Options_Exhibits'!Q1764:Q1768),"")</f>
        <v/>
      </c>
      <c r="R1768" s="3">
        <f>IF(ISNUMBER(AVERAGE('20250815_ETF_Options_Exhibits'!R1764:R1768)),AVERAGE('20250815_ETF_Options_Exhibits'!R1764:R1768),"")</f>
        <v/>
      </c>
      <c r="S1768" s="3">
        <f>IF(ISNUMBER(AVERAGE('20250815_ETF_Options_Exhibits'!S1764:S1768)),AVERAGE('20250815_ETF_Options_Exhibits'!S1764:S1768),"")</f>
        <v/>
      </c>
      <c r="T1768" s="3">
        <f>IF(ISNUMBER(AVERAGE('20250815_ETF_Options_Exhibits'!T1764:T1768)),AVERAGE('20250815_ETF_Options_Exhibits'!T1764:T1768),"")</f>
        <v/>
      </c>
      <c r="U1768" s="3">
        <f>IF(ISNUMBER(AVERAGE('20250815_ETF_Options_Exhibits'!U1764:U1768)),AVERAGE('20250815_ETF_Options_Exhibits'!U1764:U1768),"")</f>
        <v/>
      </c>
      <c r="V1768" s="3">
        <f>IF(ISNUMBER(AVERAGE('20250815_ETF_Options_Exhibits'!V1764:V1768)),AVERAGE('20250815_ETF_Options_Exhibits'!V1764:V1768),"")</f>
        <v/>
      </c>
      <c r="W1768" s="3">
        <f>IF(ISNUMBER(AVERAGE('20250815_ETF_Options_Exhibits'!W1764:W1768)),AVERAGE('20250815_ETF_Options_Exhibits'!W1764:W1768),"")</f>
        <v/>
      </c>
      <c r="X1768" s="3">
        <f>IF(ISNUMBER(AVERAGE('20250815_ETF_Options_Exhibits'!X1764:X1768)),AVERAGE('20250815_ETF_Options_Exhibits'!X1764:X1768),"")</f>
        <v/>
      </c>
      <c r="Y1768" s="3">
        <f>IF(ISNUMBER(AVERAGE('20250815_ETF_Options_Exhibits'!Y1764:Y1768)),AVERAGE('20250815_ETF_Options_Exhibits'!Y1764:Y1768),"")</f>
        <v/>
      </c>
      <c r="Z1768" s="3">
        <f>IF(ISNUMBER(AVERAGE('20250815_ETF_Options_Exhibits'!Z1764:Z1768)),AVERAGE('20250815_ETF_Options_Exhibits'!Z1764:Z1768),"")</f>
        <v/>
      </c>
      <c r="AA1768" s="3">
        <f>IF(ISNUMBER(AVERAGE('20250815_ETF_Options_Exhibits'!AA1764:AA1768)),AVERAGE('20250815_ETF_Options_Exhibits'!AA1764:AA1768),"")</f>
        <v/>
      </c>
    </row>
    <row r="1769">
      <c r="A1769" s="1" t="n">
        <v>44567</v>
      </c>
      <c r="B1769" s="3">
        <f>IF(ISNUMBER(AVERAGE('20250815_ETF_Options_Exhibits'!B1765:B1769)),AVERAGE('20250815_ETF_Options_Exhibits'!B1765:B1769),"")</f>
        <v/>
      </c>
      <c r="C1769" s="3">
        <f>IF(ISNUMBER(AVERAGE('20250815_ETF_Options_Exhibits'!C1765:C1769)),AVERAGE('20250815_ETF_Options_Exhibits'!C1765:C1769),"")</f>
        <v/>
      </c>
      <c r="D1769" s="3">
        <f>IF(ISNUMBER(AVERAGE('20250815_ETF_Options_Exhibits'!D1765:D1769)),AVERAGE('20250815_ETF_Options_Exhibits'!D1765:D1769),"")</f>
        <v/>
      </c>
      <c r="E1769" s="3">
        <f>IF(ISNUMBER(AVERAGE('20250815_ETF_Options_Exhibits'!E1765:E1769)),AVERAGE('20250815_ETF_Options_Exhibits'!E1765:E1769),"")</f>
        <v/>
      </c>
      <c r="F1769" s="3">
        <f>IF(ISNUMBER(AVERAGE('20250815_ETF_Options_Exhibits'!F1765:F1769)),AVERAGE('20250815_ETF_Options_Exhibits'!F1765:F1769),"")</f>
        <v/>
      </c>
      <c r="G1769" s="3">
        <f>IF(ISNUMBER(AVERAGE('20250815_ETF_Options_Exhibits'!G1765:G1769)),AVERAGE('20250815_ETF_Options_Exhibits'!G1765:G1769),"")</f>
        <v/>
      </c>
      <c r="H1769" s="3">
        <f>IF(ISNUMBER(AVERAGE('20250815_ETF_Options_Exhibits'!H1765:H1769)),AVERAGE('20250815_ETF_Options_Exhibits'!H1765:H1769),"")</f>
        <v/>
      </c>
      <c r="I1769" s="3">
        <f>IF(ISNUMBER(AVERAGE('20250815_ETF_Options_Exhibits'!I1765:I1769)),AVERAGE('20250815_ETF_Options_Exhibits'!I1765:I1769),"")</f>
        <v/>
      </c>
      <c r="J1769" s="3">
        <f>IF(ISNUMBER(AVERAGE('20250815_ETF_Options_Exhibits'!J1765:J1769)),AVERAGE('20250815_ETF_Options_Exhibits'!J1765:J1769),"")</f>
        <v/>
      </c>
      <c r="K1769" s="3">
        <f>IF(ISNUMBER(AVERAGE('20250815_ETF_Options_Exhibits'!K1765:K1769)),AVERAGE('20250815_ETF_Options_Exhibits'!K1765:K1769),"")</f>
        <v/>
      </c>
      <c r="L1769" s="3">
        <f>IF(ISNUMBER(AVERAGE('20250815_ETF_Options_Exhibits'!L1765:L1769)),AVERAGE('20250815_ETF_Options_Exhibits'!L1765:L1769),"")</f>
        <v/>
      </c>
      <c r="M1769" s="3">
        <f>IF(ISNUMBER(AVERAGE('20250815_ETF_Options_Exhibits'!M1765:M1769)),AVERAGE('20250815_ETF_Options_Exhibits'!M1765:M1769),"")</f>
        <v/>
      </c>
      <c r="N1769" s="3">
        <f>IF(ISNUMBER(AVERAGE('20250815_ETF_Options_Exhibits'!N1765:N1769)),AVERAGE('20250815_ETF_Options_Exhibits'!N1765:N1769),"")</f>
        <v/>
      </c>
      <c r="O1769" s="3">
        <f>IF(ISNUMBER(AVERAGE('20250815_ETF_Options_Exhibits'!O1765:O1769)),AVERAGE('20250815_ETF_Options_Exhibits'!O1765:O1769),"")</f>
        <v/>
      </c>
      <c r="P1769" s="3">
        <f>IF(ISNUMBER(AVERAGE('20250815_ETF_Options_Exhibits'!P1765:P1769)),AVERAGE('20250815_ETF_Options_Exhibits'!P1765:P1769),"")</f>
        <v/>
      </c>
      <c r="Q1769" s="3">
        <f>IF(ISNUMBER(AVERAGE('20250815_ETF_Options_Exhibits'!Q1765:Q1769)),AVERAGE('20250815_ETF_Options_Exhibits'!Q1765:Q1769),"")</f>
        <v/>
      </c>
      <c r="R1769" s="3">
        <f>IF(ISNUMBER(AVERAGE('20250815_ETF_Options_Exhibits'!R1765:R1769)),AVERAGE('20250815_ETF_Options_Exhibits'!R1765:R1769),"")</f>
        <v/>
      </c>
      <c r="S1769" s="3">
        <f>IF(ISNUMBER(AVERAGE('20250815_ETF_Options_Exhibits'!S1765:S1769)),AVERAGE('20250815_ETF_Options_Exhibits'!S1765:S1769),"")</f>
        <v/>
      </c>
      <c r="T1769" s="3">
        <f>IF(ISNUMBER(AVERAGE('20250815_ETF_Options_Exhibits'!T1765:T1769)),AVERAGE('20250815_ETF_Options_Exhibits'!T1765:T1769),"")</f>
        <v/>
      </c>
      <c r="U1769" s="3">
        <f>IF(ISNUMBER(AVERAGE('20250815_ETF_Options_Exhibits'!U1765:U1769)),AVERAGE('20250815_ETF_Options_Exhibits'!U1765:U1769),"")</f>
        <v/>
      </c>
      <c r="V1769" s="3">
        <f>IF(ISNUMBER(AVERAGE('20250815_ETF_Options_Exhibits'!V1765:V1769)),AVERAGE('20250815_ETF_Options_Exhibits'!V1765:V1769),"")</f>
        <v/>
      </c>
      <c r="W1769" s="3">
        <f>IF(ISNUMBER(AVERAGE('20250815_ETF_Options_Exhibits'!W1765:W1769)),AVERAGE('20250815_ETF_Options_Exhibits'!W1765:W1769),"")</f>
        <v/>
      </c>
      <c r="X1769" s="3">
        <f>IF(ISNUMBER(AVERAGE('20250815_ETF_Options_Exhibits'!X1765:X1769)),AVERAGE('20250815_ETF_Options_Exhibits'!X1765:X1769),"")</f>
        <v/>
      </c>
      <c r="Y1769" s="3">
        <f>IF(ISNUMBER(AVERAGE('20250815_ETF_Options_Exhibits'!Y1765:Y1769)),AVERAGE('20250815_ETF_Options_Exhibits'!Y1765:Y1769),"")</f>
        <v/>
      </c>
      <c r="Z1769" s="3">
        <f>IF(ISNUMBER(AVERAGE('20250815_ETF_Options_Exhibits'!Z1765:Z1769)),AVERAGE('20250815_ETF_Options_Exhibits'!Z1765:Z1769),"")</f>
        <v/>
      </c>
      <c r="AA1769" s="3">
        <f>IF(ISNUMBER(AVERAGE('20250815_ETF_Options_Exhibits'!AA1765:AA1769)),AVERAGE('20250815_ETF_Options_Exhibits'!AA1765:AA1769),"")</f>
        <v/>
      </c>
    </row>
    <row r="1770">
      <c r="A1770" s="1" t="n">
        <v>44568</v>
      </c>
      <c r="B1770" s="3">
        <f>IF(ISNUMBER(AVERAGE('20250815_ETF_Options_Exhibits'!B1766:B1770)),AVERAGE('20250815_ETF_Options_Exhibits'!B1766:B1770),"")</f>
        <v/>
      </c>
      <c r="C1770" s="3">
        <f>IF(ISNUMBER(AVERAGE('20250815_ETF_Options_Exhibits'!C1766:C1770)),AVERAGE('20250815_ETF_Options_Exhibits'!C1766:C1770),"")</f>
        <v/>
      </c>
      <c r="D1770" s="3">
        <f>IF(ISNUMBER(AVERAGE('20250815_ETF_Options_Exhibits'!D1766:D1770)),AVERAGE('20250815_ETF_Options_Exhibits'!D1766:D1770),"")</f>
        <v/>
      </c>
      <c r="E1770" s="3">
        <f>IF(ISNUMBER(AVERAGE('20250815_ETF_Options_Exhibits'!E1766:E1770)),AVERAGE('20250815_ETF_Options_Exhibits'!E1766:E1770),"")</f>
        <v/>
      </c>
      <c r="F1770" s="3">
        <f>IF(ISNUMBER(AVERAGE('20250815_ETF_Options_Exhibits'!F1766:F1770)),AVERAGE('20250815_ETF_Options_Exhibits'!F1766:F1770),"")</f>
        <v/>
      </c>
      <c r="G1770" s="3">
        <f>IF(ISNUMBER(AVERAGE('20250815_ETF_Options_Exhibits'!G1766:G1770)),AVERAGE('20250815_ETF_Options_Exhibits'!G1766:G1770),"")</f>
        <v/>
      </c>
      <c r="H1770" s="3">
        <f>IF(ISNUMBER(AVERAGE('20250815_ETF_Options_Exhibits'!H1766:H1770)),AVERAGE('20250815_ETF_Options_Exhibits'!H1766:H1770),"")</f>
        <v/>
      </c>
      <c r="I1770" s="3">
        <f>IF(ISNUMBER(AVERAGE('20250815_ETF_Options_Exhibits'!I1766:I1770)),AVERAGE('20250815_ETF_Options_Exhibits'!I1766:I1770),"")</f>
        <v/>
      </c>
      <c r="J1770" s="3">
        <f>IF(ISNUMBER(AVERAGE('20250815_ETF_Options_Exhibits'!J1766:J1770)),AVERAGE('20250815_ETF_Options_Exhibits'!J1766:J1770),"")</f>
        <v/>
      </c>
      <c r="K1770" s="3">
        <f>IF(ISNUMBER(AVERAGE('20250815_ETF_Options_Exhibits'!K1766:K1770)),AVERAGE('20250815_ETF_Options_Exhibits'!K1766:K1770),"")</f>
        <v/>
      </c>
      <c r="L1770" s="3">
        <f>IF(ISNUMBER(AVERAGE('20250815_ETF_Options_Exhibits'!L1766:L1770)),AVERAGE('20250815_ETF_Options_Exhibits'!L1766:L1770),"")</f>
        <v/>
      </c>
      <c r="M1770" s="3">
        <f>IF(ISNUMBER(AVERAGE('20250815_ETF_Options_Exhibits'!M1766:M1770)),AVERAGE('20250815_ETF_Options_Exhibits'!M1766:M1770),"")</f>
        <v/>
      </c>
      <c r="N1770" s="3">
        <f>IF(ISNUMBER(AVERAGE('20250815_ETF_Options_Exhibits'!N1766:N1770)),AVERAGE('20250815_ETF_Options_Exhibits'!N1766:N1770),"")</f>
        <v/>
      </c>
      <c r="O1770" s="3">
        <f>IF(ISNUMBER(AVERAGE('20250815_ETF_Options_Exhibits'!O1766:O1770)),AVERAGE('20250815_ETF_Options_Exhibits'!O1766:O1770),"")</f>
        <v/>
      </c>
      <c r="P1770" s="3">
        <f>IF(ISNUMBER(AVERAGE('20250815_ETF_Options_Exhibits'!P1766:P1770)),AVERAGE('20250815_ETF_Options_Exhibits'!P1766:P1770),"")</f>
        <v/>
      </c>
      <c r="Q1770" s="3">
        <f>IF(ISNUMBER(AVERAGE('20250815_ETF_Options_Exhibits'!Q1766:Q1770)),AVERAGE('20250815_ETF_Options_Exhibits'!Q1766:Q1770),"")</f>
        <v/>
      </c>
      <c r="R1770" s="3">
        <f>IF(ISNUMBER(AVERAGE('20250815_ETF_Options_Exhibits'!R1766:R1770)),AVERAGE('20250815_ETF_Options_Exhibits'!R1766:R1770),"")</f>
        <v/>
      </c>
      <c r="S1770" s="3">
        <f>IF(ISNUMBER(AVERAGE('20250815_ETF_Options_Exhibits'!S1766:S1770)),AVERAGE('20250815_ETF_Options_Exhibits'!S1766:S1770),"")</f>
        <v/>
      </c>
      <c r="T1770" s="3">
        <f>IF(ISNUMBER(AVERAGE('20250815_ETF_Options_Exhibits'!T1766:T1770)),AVERAGE('20250815_ETF_Options_Exhibits'!T1766:T1770),"")</f>
        <v/>
      </c>
      <c r="U1770" s="3">
        <f>IF(ISNUMBER(AVERAGE('20250815_ETF_Options_Exhibits'!U1766:U1770)),AVERAGE('20250815_ETF_Options_Exhibits'!U1766:U1770),"")</f>
        <v/>
      </c>
      <c r="V1770" s="3">
        <f>IF(ISNUMBER(AVERAGE('20250815_ETF_Options_Exhibits'!V1766:V1770)),AVERAGE('20250815_ETF_Options_Exhibits'!V1766:V1770),"")</f>
        <v/>
      </c>
      <c r="W1770" s="3">
        <f>IF(ISNUMBER(AVERAGE('20250815_ETF_Options_Exhibits'!W1766:W1770)),AVERAGE('20250815_ETF_Options_Exhibits'!W1766:W1770),"")</f>
        <v/>
      </c>
      <c r="X1770" s="3">
        <f>IF(ISNUMBER(AVERAGE('20250815_ETF_Options_Exhibits'!X1766:X1770)),AVERAGE('20250815_ETF_Options_Exhibits'!X1766:X1770),"")</f>
        <v/>
      </c>
      <c r="Y1770" s="3">
        <f>IF(ISNUMBER(AVERAGE('20250815_ETF_Options_Exhibits'!Y1766:Y1770)),AVERAGE('20250815_ETF_Options_Exhibits'!Y1766:Y1770),"")</f>
        <v/>
      </c>
      <c r="Z1770" s="3">
        <f>IF(ISNUMBER(AVERAGE('20250815_ETF_Options_Exhibits'!Z1766:Z1770)),AVERAGE('20250815_ETF_Options_Exhibits'!Z1766:Z1770),"")</f>
        <v/>
      </c>
      <c r="AA1770" s="3">
        <f>IF(ISNUMBER(AVERAGE('20250815_ETF_Options_Exhibits'!AA1766:AA1770)),AVERAGE('20250815_ETF_Options_Exhibits'!AA1766:AA1770),"")</f>
        <v/>
      </c>
    </row>
    <row r="1771">
      <c r="A1771" s="1" t="n">
        <v>44571</v>
      </c>
      <c r="B1771" s="3">
        <f>IF(ISNUMBER(AVERAGE('20250815_ETF_Options_Exhibits'!B1767:B1771)),AVERAGE('20250815_ETF_Options_Exhibits'!B1767:B1771),"")</f>
        <v/>
      </c>
      <c r="C1771" s="3">
        <f>IF(ISNUMBER(AVERAGE('20250815_ETF_Options_Exhibits'!C1767:C1771)),AVERAGE('20250815_ETF_Options_Exhibits'!C1767:C1771),"")</f>
        <v/>
      </c>
      <c r="D1771" s="3">
        <f>IF(ISNUMBER(AVERAGE('20250815_ETF_Options_Exhibits'!D1767:D1771)),AVERAGE('20250815_ETF_Options_Exhibits'!D1767:D1771),"")</f>
        <v/>
      </c>
      <c r="E1771" s="3">
        <f>IF(ISNUMBER(AVERAGE('20250815_ETF_Options_Exhibits'!E1767:E1771)),AVERAGE('20250815_ETF_Options_Exhibits'!E1767:E1771),"")</f>
        <v/>
      </c>
      <c r="F1771" s="3">
        <f>IF(ISNUMBER(AVERAGE('20250815_ETF_Options_Exhibits'!F1767:F1771)),AVERAGE('20250815_ETF_Options_Exhibits'!F1767:F1771),"")</f>
        <v/>
      </c>
      <c r="G1771" s="3">
        <f>IF(ISNUMBER(AVERAGE('20250815_ETF_Options_Exhibits'!G1767:G1771)),AVERAGE('20250815_ETF_Options_Exhibits'!G1767:G1771),"")</f>
        <v/>
      </c>
      <c r="H1771" s="3">
        <f>IF(ISNUMBER(AVERAGE('20250815_ETF_Options_Exhibits'!H1767:H1771)),AVERAGE('20250815_ETF_Options_Exhibits'!H1767:H1771),"")</f>
        <v/>
      </c>
      <c r="I1771" s="3">
        <f>IF(ISNUMBER(AVERAGE('20250815_ETF_Options_Exhibits'!I1767:I1771)),AVERAGE('20250815_ETF_Options_Exhibits'!I1767:I1771),"")</f>
        <v/>
      </c>
      <c r="J1771" s="3">
        <f>IF(ISNUMBER(AVERAGE('20250815_ETF_Options_Exhibits'!J1767:J1771)),AVERAGE('20250815_ETF_Options_Exhibits'!J1767:J1771),"")</f>
        <v/>
      </c>
      <c r="K1771" s="3">
        <f>IF(ISNUMBER(AVERAGE('20250815_ETF_Options_Exhibits'!K1767:K1771)),AVERAGE('20250815_ETF_Options_Exhibits'!K1767:K1771),"")</f>
        <v/>
      </c>
      <c r="L1771" s="3">
        <f>IF(ISNUMBER(AVERAGE('20250815_ETF_Options_Exhibits'!L1767:L1771)),AVERAGE('20250815_ETF_Options_Exhibits'!L1767:L1771),"")</f>
        <v/>
      </c>
      <c r="M1771" s="3">
        <f>IF(ISNUMBER(AVERAGE('20250815_ETF_Options_Exhibits'!M1767:M1771)),AVERAGE('20250815_ETF_Options_Exhibits'!M1767:M1771),"")</f>
        <v/>
      </c>
      <c r="N1771" s="3">
        <f>IF(ISNUMBER(AVERAGE('20250815_ETF_Options_Exhibits'!N1767:N1771)),AVERAGE('20250815_ETF_Options_Exhibits'!N1767:N1771),"")</f>
        <v/>
      </c>
      <c r="O1771" s="3">
        <f>IF(ISNUMBER(AVERAGE('20250815_ETF_Options_Exhibits'!O1767:O1771)),AVERAGE('20250815_ETF_Options_Exhibits'!O1767:O1771),"")</f>
        <v/>
      </c>
      <c r="P1771" s="3">
        <f>IF(ISNUMBER(AVERAGE('20250815_ETF_Options_Exhibits'!P1767:P1771)),AVERAGE('20250815_ETF_Options_Exhibits'!P1767:P1771),"")</f>
        <v/>
      </c>
      <c r="Q1771" s="3">
        <f>IF(ISNUMBER(AVERAGE('20250815_ETF_Options_Exhibits'!Q1767:Q1771)),AVERAGE('20250815_ETF_Options_Exhibits'!Q1767:Q1771),"")</f>
        <v/>
      </c>
      <c r="R1771" s="3">
        <f>IF(ISNUMBER(AVERAGE('20250815_ETF_Options_Exhibits'!R1767:R1771)),AVERAGE('20250815_ETF_Options_Exhibits'!R1767:R1771),"")</f>
        <v/>
      </c>
      <c r="S1771" s="3">
        <f>IF(ISNUMBER(AVERAGE('20250815_ETF_Options_Exhibits'!S1767:S1771)),AVERAGE('20250815_ETF_Options_Exhibits'!S1767:S1771),"")</f>
        <v/>
      </c>
      <c r="T1771" s="3">
        <f>IF(ISNUMBER(AVERAGE('20250815_ETF_Options_Exhibits'!T1767:T1771)),AVERAGE('20250815_ETF_Options_Exhibits'!T1767:T1771),"")</f>
        <v/>
      </c>
      <c r="U1771" s="3">
        <f>IF(ISNUMBER(AVERAGE('20250815_ETF_Options_Exhibits'!U1767:U1771)),AVERAGE('20250815_ETF_Options_Exhibits'!U1767:U1771),"")</f>
        <v/>
      </c>
      <c r="V1771" s="3">
        <f>IF(ISNUMBER(AVERAGE('20250815_ETF_Options_Exhibits'!V1767:V1771)),AVERAGE('20250815_ETF_Options_Exhibits'!V1767:V1771),"")</f>
        <v/>
      </c>
      <c r="W1771" s="3">
        <f>IF(ISNUMBER(AVERAGE('20250815_ETF_Options_Exhibits'!W1767:W1771)),AVERAGE('20250815_ETF_Options_Exhibits'!W1767:W1771),"")</f>
        <v/>
      </c>
      <c r="X1771" s="3">
        <f>IF(ISNUMBER(AVERAGE('20250815_ETF_Options_Exhibits'!X1767:X1771)),AVERAGE('20250815_ETF_Options_Exhibits'!X1767:X1771),"")</f>
        <v/>
      </c>
      <c r="Y1771" s="3">
        <f>IF(ISNUMBER(AVERAGE('20250815_ETF_Options_Exhibits'!Y1767:Y1771)),AVERAGE('20250815_ETF_Options_Exhibits'!Y1767:Y1771),"")</f>
        <v/>
      </c>
      <c r="Z1771" s="3">
        <f>IF(ISNUMBER(AVERAGE('20250815_ETF_Options_Exhibits'!Z1767:Z1771)),AVERAGE('20250815_ETF_Options_Exhibits'!Z1767:Z1771),"")</f>
        <v/>
      </c>
      <c r="AA1771" s="3">
        <f>IF(ISNUMBER(AVERAGE('20250815_ETF_Options_Exhibits'!AA1767:AA1771)),AVERAGE('20250815_ETF_Options_Exhibits'!AA1767:AA1771),"")</f>
        <v/>
      </c>
    </row>
    <row r="1772">
      <c r="A1772" s="1" t="n">
        <v>44572</v>
      </c>
      <c r="B1772" s="3">
        <f>IF(ISNUMBER(AVERAGE('20250815_ETF_Options_Exhibits'!B1768:B1772)),AVERAGE('20250815_ETF_Options_Exhibits'!B1768:B1772),"")</f>
        <v/>
      </c>
      <c r="C1772" s="3">
        <f>IF(ISNUMBER(AVERAGE('20250815_ETF_Options_Exhibits'!C1768:C1772)),AVERAGE('20250815_ETF_Options_Exhibits'!C1768:C1772),"")</f>
        <v/>
      </c>
      <c r="D1772" s="3">
        <f>IF(ISNUMBER(AVERAGE('20250815_ETF_Options_Exhibits'!D1768:D1772)),AVERAGE('20250815_ETF_Options_Exhibits'!D1768:D1772),"")</f>
        <v/>
      </c>
      <c r="E1772" s="3">
        <f>IF(ISNUMBER(AVERAGE('20250815_ETF_Options_Exhibits'!E1768:E1772)),AVERAGE('20250815_ETF_Options_Exhibits'!E1768:E1772),"")</f>
        <v/>
      </c>
      <c r="F1772" s="3">
        <f>IF(ISNUMBER(AVERAGE('20250815_ETF_Options_Exhibits'!F1768:F1772)),AVERAGE('20250815_ETF_Options_Exhibits'!F1768:F1772),"")</f>
        <v/>
      </c>
      <c r="G1772" s="3">
        <f>IF(ISNUMBER(AVERAGE('20250815_ETF_Options_Exhibits'!G1768:G1772)),AVERAGE('20250815_ETF_Options_Exhibits'!G1768:G1772),"")</f>
        <v/>
      </c>
      <c r="H1772" s="3">
        <f>IF(ISNUMBER(AVERAGE('20250815_ETF_Options_Exhibits'!H1768:H1772)),AVERAGE('20250815_ETF_Options_Exhibits'!H1768:H1772),"")</f>
        <v/>
      </c>
      <c r="I1772" s="3">
        <f>IF(ISNUMBER(AVERAGE('20250815_ETF_Options_Exhibits'!I1768:I1772)),AVERAGE('20250815_ETF_Options_Exhibits'!I1768:I1772),"")</f>
        <v/>
      </c>
      <c r="J1772" s="3">
        <f>IF(ISNUMBER(AVERAGE('20250815_ETF_Options_Exhibits'!J1768:J1772)),AVERAGE('20250815_ETF_Options_Exhibits'!J1768:J1772),"")</f>
        <v/>
      </c>
      <c r="K1772" s="3">
        <f>IF(ISNUMBER(AVERAGE('20250815_ETF_Options_Exhibits'!K1768:K1772)),AVERAGE('20250815_ETF_Options_Exhibits'!K1768:K1772),"")</f>
        <v/>
      </c>
      <c r="L1772" s="3">
        <f>IF(ISNUMBER(AVERAGE('20250815_ETF_Options_Exhibits'!L1768:L1772)),AVERAGE('20250815_ETF_Options_Exhibits'!L1768:L1772),"")</f>
        <v/>
      </c>
      <c r="M1772" s="3">
        <f>IF(ISNUMBER(AVERAGE('20250815_ETF_Options_Exhibits'!M1768:M1772)),AVERAGE('20250815_ETF_Options_Exhibits'!M1768:M1772),"")</f>
        <v/>
      </c>
      <c r="N1772" s="3">
        <f>IF(ISNUMBER(AVERAGE('20250815_ETF_Options_Exhibits'!N1768:N1772)),AVERAGE('20250815_ETF_Options_Exhibits'!N1768:N1772),"")</f>
        <v/>
      </c>
      <c r="O1772" s="3">
        <f>IF(ISNUMBER(AVERAGE('20250815_ETF_Options_Exhibits'!O1768:O1772)),AVERAGE('20250815_ETF_Options_Exhibits'!O1768:O1772),"")</f>
        <v/>
      </c>
      <c r="P1772" s="3">
        <f>IF(ISNUMBER(AVERAGE('20250815_ETF_Options_Exhibits'!P1768:P1772)),AVERAGE('20250815_ETF_Options_Exhibits'!P1768:P1772),"")</f>
        <v/>
      </c>
      <c r="Q1772" s="3">
        <f>IF(ISNUMBER(AVERAGE('20250815_ETF_Options_Exhibits'!Q1768:Q1772)),AVERAGE('20250815_ETF_Options_Exhibits'!Q1768:Q1772),"")</f>
        <v/>
      </c>
      <c r="R1772" s="3">
        <f>IF(ISNUMBER(AVERAGE('20250815_ETF_Options_Exhibits'!R1768:R1772)),AVERAGE('20250815_ETF_Options_Exhibits'!R1768:R1772),"")</f>
        <v/>
      </c>
      <c r="S1772" s="3">
        <f>IF(ISNUMBER(AVERAGE('20250815_ETF_Options_Exhibits'!S1768:S1772)),AVERAGE('20250815_ETF_Options_Exhibits'!S1768:S1772),"")</f>
        <v/>
      </c>
      <c r="T1772" s="3">
        <f>IF(ISNUMBER(AVERAGE('20250815_ETF_Options_Exhibits'!T1768:T1772)),AVERAGE('20250815_ETF_Options_Exhibits'!T1768:T1772),"")</f>
        <v/>
      </c>
      <c r="U1772" s="3">
        <f>IF(ISNUMBER(AVERAGE('20250815_ETF_Options_Exhibits'!U1768:U1772)),AVERAGE('20250815_ETF_Options_Exhibits'!U1768:U1772),"")</f>
        <v/>
      </c>
      <c r="V1772" s="3">
        <f>IF(ISNUMBER(AVERAGE('20250815_ETF_Options_Exhibits'!V1768:V1772)),AVERAGE('20250815_ETF_Options_Exhibits'!V1768:V1772),"")</f>
        <v/>
      </c>
      <c r="W1772" s="3">
        <f>IF(ISNUMBER(AVERAGE('20250815_ETF_Options_Exhibits'!W1768:W1772)),AVERAGE('20250815_ETF_Options_Exhibits'!W1768:W1772),"")</f>
        <v/>
      </c>
      <c r="X1772" s="3">
        <f>IF(ISNUMBER(AVERAGE('20250815_ETF_Options_Exhibits'!X1768:X1772)),AVERAGE('20250815_ETF_Options_Exhibits'!X1768:X1772),"")</f>
        <v/>
      </c>
      <c r="Y1772" s="3">
        <f>IF(ISNUMBER(AVERAGE('20250815_ETF_Options_Exhibits'!Y1768:Y1772)),AVERAGE('20250815_ETF_Options_Exhibits'!Y1768:Y1772),"")</f>
        <v/>
      </c>
      <c r="Z1772" s="3">
        <f>IF(ISNUMBER(AVERAGE('20250815_ETF_Options_Exhibits'!Z1768:Z1772)),AVERAGE('20250815_ETF_Options_Exhibits'!Z1768:Z1772),"")</f>
        <v/>
      </c>
      <c r="AA1772" s="3">
        <f>IF(ISNUMBER(AVERAGE('20250815_ETF_Options_Exhibits'!AA1768:AA1772)),AVERAGE('20250815_ETF_Options_Exhibits'!AA1768:AA1772),"")</f>
        <v/>
      </c>
    </row>
    <row r="1773">
      <c r="A1773" s="1" t="n">
        <v>44573</v>
      </c>
      <c r="B1773" s="3">
        <f>IF(ISNUMBER(AVERAGE('20250815_ETF_Options_Exhibits'!B1769:B1773)),AVERAGE('20250815_ETF_Options_Exhibits'!B1769:B1773),"")</f>
        <v/>
      </c>
      <c r="C1773" s="3">
        <f>IF(ISNUMBER(AVERAGE('20250815_ETF_Options_Exhibits'!C1769:C1773)),AVERAGE('20250815_ETF_Options_Exhibits'!C1769:C1773),"")</f>
        <v/>
      </c>
      <c r="D1773" s="3">
        <f>IF(ISNUMBER(AVERAGE('20250815_ETF_Options_Exhibits'!D1769:D1773)),AVERAGE('20250815_ETF_Options_Exhibits'!D1769:D1773),"")</f>
        <v/>
      </c>
      <c r="E1773" s="3">
        <f>IF(ISNUMBER(AVERAGE('20250815_ETF_Options_Exhibits'!E1769:E1773)),AVERAGE('20250815_ETF_Options_Exhibits'!E1769:E1773),"")</f>
        <v/>
      </c>
      <c r="F1773" s="3">
        <f>IF(ISNUMBER(AVERAGE('20250815_ETF_Options_Exhibits'!F1769:F1773)),AVERAGE('20250815_ETF_Options_Exhibits'!F1769:F1773),"")</f>
        <v/>
      </c>
      <c r="G1773" s="3">
        <f>IF(ISNUMBER(AVERAGE('20250815_ETF_Options_Exhibits'!G1769:G1773)),AVERAGE('20250815_ETF_Options_Exhibits'!G1769:G1773),"")</f>
        <v/>
      </c>
      <c r="H1773" s="3">
        <f>IF(ISNUMBER(AVERAGE('20250815_ETF_Options_Exhibits'!H1769:H1773)),AVERAGE('20250815_ETF_Options_Exhibits'!H1769:H1773),"")</f>
        <v/>
      </c>
      <c r="I1773" s="3">
        <f>IF(ISNUMBER(AVERAGE('20250815_ETF_Options_Exhibits'!I1769:I1773)),AVERAGE('20250815_ETF_Options_Exhibits'!I1769:I1773),"")</f>
        <v/>
      </c>
      <c r="J1773" s="3">
        <f>IF(ISNUMBER(AVERAGE('20250815_ETF_Options_Exhibits'!J1769:J1773)),AVERAGE('20250815_ETF_Options_Exhibits'!J1769:J1773),"")</f>
        <v/>
      </c>
      <c r="K1773" s="3">
        <f>IF(ISNUMBER(AVERAGE('20250815_ETF_Options_Exhibits'!K1769:K1773)),AVERAGE('20250815_ETF_Options_Exhibits'!K1769:K1773),"")</f>
        <v/>
      </c>
      <c r="L1773" s="3">
        <f>IF(ISNUMBER(AVERAGE('20250815_ETF_Options_Exhibits'!L1769:L1773)),AVERAGE('20250815_ETF_Options_Exhibits'!L1769:L1773),"")</f>
        <v/>
      </c>
      <c r="M1773" s="3">
        <f>IF(ISNUMBER(AVERAGE('20250815_ETF_Options_Exhibits'!M1769:M1773)),AVERAGE('20250815_ETF_Options_Exhibits'!M1769:M1773),"")</f>
        <v/>
      </c>
      <c r="N1773" s="3">
        <f>IF(ISNUMBER(AVERAGE('20250815_ETF_Options_Exhibits'!N1769:N1773)),AVERAGE('20250815_ETF_Options_Exhibits'!N1769:N1773),"")</f>
        <v/>
      </c>
      <c r="O1773" s="3">
        <f>IF(ISNUMBER(AVERAGE('20250815_ETF_Options_Exhibits'!O1769:O1773)),AVERAGE('20250815_ETF_Options_Exhibits'!O1769:O1773),"")</f>
        <v/>
      </c>
      <c r="P1773" s="3">
        <f>IF(ISNUMBER(AVERAGE('20250815_ETF_Options_Exhibits'!P1769:P1773)),AVERAGE('20250815_ETF_Options_Exhibits'!P1769:P1773),"")</f>
        <v/>
      </c>
      <c r="Q1773" s="3">
        <f>IF(ISNUMBER(AVERAGE('20250815_ETF_Options_Exhibits'!Q1769:Q1773)),AVERAGE('20250815_ETF_Options_Exhibits'!Q1769:Q1773),"")</f>
        <v/>
      </c>
      <c r="R1773" s="3">
        <f>IF(ISNUMBER(AVERAGE('20250815_ETF_Options_Exhibits'!R1769:R1773)),AVERAGE('20250815_ETF_Options_Exhibits'!R1769:R1773),"")</f>
        <v/>
      </c>
      <c r="S1773" s="3">
        <f>IF(ISNUMBER(AVERAGE('20250815_ETF_Options_Exhibits'!S1769:S1773)),AVERAGE('20250815_ETF_Options_Exhibits'!S1769:S1773),"")</f>
        <v/>
      </c>
      <c r="T1773" s="3">
        <f>IF(ISNUMBER(AVERAGE('20250815_ETF_Options_Exhibits'!T1769:T1773)),AVERAGE('20250815_ETF_Options_Exhibits'!T1769:T1773),"")</f>
        <v/>
      </c>
      <c r="U1773" s="3">
        <f>IF(ISNUMBER(AVERAGE('20250815_ETF_Options_Exhibits'!U1769:U1773)),AVERAGE('20250815_ETF_Options_Exhibits'!U1769:U1773),"")</f>
        <v/>
      </c>
      <c r="V1773" s="3">
        <f>IF(ISNUMBER(AVERAGE('20250815_ETF_Options_Exhibits'!V1769:V1773)),AVERAGE('20250815_ETF_Options_Exhibits'!V1769:V1773),"")</f>
        <v/>
      </c>
      <c r="W1773" s="3">
        <f>IF(ISNUMBER(AVERAGE('20250815_ETF_Options_Exhibits'!W1769:W1773)),AVERAGE('20250815_ETF_Options_Exhibits'!W1769:W1773),"")</f>
        <v/>
      </c>
      <c r="X1773" s="3">
        <f>IF(ISNUMBER(AVERAGE('20250815_ETF_Options_Exhibits'!X1769:X1773)),AVERAGE('20250815_ETF_Options_Exhibits'!X1769:X1773),"")</f>
        <v/>
      </c>
      <c r="Y1773" s="3">
        <f>IF(ISNUMBER(AVERAGE('20250815_ETF_Options_Exhibits'!Y1769:Y1773)),AVERAGE('20250815_ETF_Options_Exhibits'!Y1769:Y1773),"")</f>
        <v/>
      </c>
      <c r="Z1773" s="3">
        <f>IF(ISNUMBER(AVERAGE('20250815_ETF_Options_Exhibits'!Z1769:Z1773)),AVERAGE('20250815_ETF_Options_Exhibits'!Z1769:Z1773),"")</f>
        <v/>
      </c>
      <c r="AA1773" s="3">
        <f>IF(ISNUMBER(AVERAGE('20250815_ETF_Options_Exhibits'!AA1769:AA1773)),AVERAGE('20250815_ETF_Options_Exhibits'!AA1769:AA1773),"")</f>
        <v/>
      </c>
    </row>
    <row r="1774">
      <c r="A1774" s="1" t="n">
        <v>44574</v>
      </c>
      <c r="B1774" s="3">
        <f>IF(ISNUMBER(AVERAGE('20250815_ETF_Options_Exhibits'!B1770:B1774)),AVERAGE('20250815_ETF_Options_Exhibits'!B1770:B1774),"")</f>
        <v/>
      </c>
      <c r="C1774" s="3">
        <f>IF(ISNUMBER(AVERAGE('20250815_ETF_Options_Exhibits'!C1770:C1774)),AVERAGE('20250815_ETF_Options_Exhibits'!C1770:C1774),"")</f>
        <v/>
      </c>
      <c r="D1774" s="3">
        <f>IF(ISNUMBER(AVERAGE('20250815_ETF_Options_Exhibits'!D1770:D1774)),AVERAGE('20250815_ETF_Options_Exhibits'!D1770:D1774),"")</f>
        <v/>
      </c>
      <c r="E1774" s="3">
        <f>IF(ISNUMBER(AVERAGE('20250815_ETF_Options_Exhibits'!E1770:E1774)),AVERAGE('20250815_ETF_Options_Exhibits'!E1770:E1774),"")</f>
        <v/>
      </c>
      <c r="F1774" s="3">
        <f>IF(ISNUMBER(AVERAGE('20250815_ETF_Options_Exhibits'!F1770:F1774)),AVERAGE('20250815_ETF_Options_Exhibits'!F1770:F1774),"")</f>
        <v/>
      </c>
      <c r="G1774" s="3">
        <f>IF(ISNUMBER(AVERAGE('20250815_ETF_Options_Exhibits'!G1770:G1774)),AVERAGE('20250815_ETF_Options_Exhibits'!G1770:G1774),"")</f>
        <v/>
      </c>
      <c r="H1774" s="3">
        <f>IF(ISNUMBER(AVERAGE('20250815_ETF_Options_Exhibits'!H1770:H1774)),AVERAGE('20250815_ETF_Options_Exhibits'!H1770:H1774),"")</f>
        <v/>
      </c>
      <c r="I1774" s="3">
        <f>IF(ISNUMBER(AVERAGE('20250815_ETF_Options_Exhibits'!I1770:I1774)),AVERAGE('20250815_ETF_Options_Exhibits'!I1770:I1774),"")</f>
        <v/>
      </c>
      <c r="J1774" s="3">
        <f>IF(ISNUMBER(AVERAGE('20250815_ETF_Options_Exhibits'!J1770:J1774)),AVERAGE('20250815_ETF_Options_Exhibits'!J1770:J1774),"")</f>
        <v/>
      </c>
      <c r="K1774" s="3">
        <f>IF(ISNUMBER(AVERAGE('20250815_ETF_Options_Exhibits'!K1770:K1774)),AVERAGE('20250815_ETF_Options_Exhibits'!K1770:K1774),"")</f>
        <v/>
      </c>
      <c r="L1774" s="3">
        <f>IF(ISNUMBER(AVERAGE('20250815_ETF_Options_Exhibits'!L1770:L1774)),AVERAGE('20250815_ETF_Options_Exhibits'!L1770:L1774),"")</f>
        <v/>
      </c>
      <c r="M1774" s="3">
        <f>IF(ISNUMBER(AVERAGE('20250815_ETF_Options_Exhibits'!M1770:M1774)),AVERAGE('20250815_ETF_Options_Exhibits'!M1770:M1774),"")</f>
        <v/>
      </c>
      <c r="N1774" s="3">
        <f>IF(ISNUMBER(AVERAGE('20250815_ETF_Options_Exhibits'!N1770:N1774)),AVERAGE('20250815_ETF_Options_Exhibits'!N1770:N1774),"")</f>
        <v/>
      </c>
      <c r="O1774" s="3">
        <f>IF(ISNUMBER(AVERAGE('20250815_ETF_Options_Exhibits'!O1770:O1774)),AVERAGE('20250815_ETF_Options_Exhibits'!O1770:O1774),"")</f>
        <v/>
      </c>
      <c r="P1774" s="3">
        <f>IF(ISNUMBER(AVERAGE('20250815_ETF_Options_Exhibits'!P1770:P1774)),AVERAGE('20250815_ETF_Options_Exhibits'!P1770:P1774),"")</f>
        <v/>
      </c>
      <c r="Q1774" s="3">
        <f>IF(ISNUMBER(AVERAGE('20250815_ETF_Options_Exhibits'!Q1770:Q1774)),AVERAGE('20250815_ETF_Options_Exhibits'!Q1770:Q1774),"")</f>
        <v/>
      </c>
      <c r="R1774" s="3">
        <f>IF(ISNUMBER(AVERAGE('20250815_ETF_Options_Exhibits'!R1770:R1774)),AVERAGE('20250815_ETF_Options_Exhibits'!R1770:R1774),"")</f>
        <v/>
      </c>
      <c r="S1774" s="3">
        <f>IF(ISNUMBER(AVERAGE('20250815_ETF_Options_Exhibits'!S1770:S1774)),AVERAGE('20250815_ETF_Options_Exhibits'!S1770:S1774),"")</f>
        <v/>
      </c>
      <c r="T1774" s="3">
        <f>IF(ISNUMBER(AVERAGE('20250815_ETF_Options_Exhibits'!T1770:T1774)),AVERAGE('20250815_ETF_Options_Exhibits'!T1770:T1774),"")</f>
        <v/>
      </c>
      <c r="U1774" s="3">
        <f>IF(ISNUMBER(AVERAGE('20250815_ETF_Options_Exhibits'!U1770:U1774)),AVERAGE('20250815_ETF_Options_Exhibits'!U1770:U1774),"")</f>
        <v/>
      </c>
      <c r="V1774" s="3">
        <f>IF(ISNUMBER(AVERAGE('20250815_ETF_Options_Exhibits'!V1770:V1774)),AVERAGE('20250815_ETF_Options_Exhibits'!V1770:V1774),"")</f>
        <v/>
      </c>
      <c r="W1774" s="3">
        <f>IF(ISNUMBER(AVERAGE('20250815_ETF_Options_Exhibits'!W1770:W1774)),AVERAGE('20250815_ETF_Options_Exhibits'!W1770:W1774),"")</f>
        <v/>
      </c>
      <c r="X1774" s="3">
        <f>IF(ISNUMBER(AVERAGE('20250815_ETF_Options_Exhibits'!X1770:X1774)),AVERAGE('20250815_ETF_Options_Exhibits'!X1770:X1774),"")</f>
        <v/>
      </c>
      <c r="Y1774" s="3">
        <f>IF(ISNUMBER(AVERAGE('20250815_ETF_Options_Exhibits'!Y1770:Y1774)),AVERAGE('20250815_ETF_Options_Exhibits'!Y1770:Y1774),"")</f>
        <v/>
      </c>
      <c r="Z1774" s="3">
        <f>IF(ISNUMBER(AVERAGE('20250815_ETF_Options_Exhibits'!Z1770:Z1774)),AVERAGE('20250815_ETF_Options_Exhibits'!Z1770:Z1774),"")</f>
        <v/>
      </c>
      <c r="AA1774" s="3">
        <f>IF(ISNUMBER(AVERAGE('20250815_ETF_Options_Exhibits'!AA1770:AA1774)),AVERAGE('20250815_ETF_Options_Exhibits'!AA1770:AA1774),"")</f>
        <v/>
      </c>
    </row>
    <row r="1775">
      <c r="A1775" s="1" t="n">
        <v>44575</v>
      </c>
      <c r="B1775" s="3">
        <f>IF(ISNUMBER(AVERAGE('20250815_ETF_Options_Exhibits'!B1771:B1775)),AVERAGE('20250815_ETF_Options_Exhibits'!B1771:B1775),"")</f>
        <v/>
      </c>
      <c r="C1775" s="3">
        <f>IF(ISNUMBER(AVERAGE('20250815_ETF_Options_Exhibits'!C1771:C1775)),AVERAGE('20250815_ETF_Options_Exhibits'!C1771:C1775),"")</f>
        <v/>
      </c>
      <c r="D1775" s="3">
        <f>IF(ISNUMBER(AVERAGE('20250815_ETF_Options_Exhibits'!D1771:D1775)),AVERAGE('20250815_ETF_Options_Exhibits'!D1771:D1775),"")</f>
        <v/>
      </c>
      <c r="E1775" s="3">
        <f>IF(ISNUMBER(AVERAGE('20250815_ETF_Options_Exhibits'!E1771:E1775)),AVERAGE('20250815_ETF_Options_Exhibits'!E1771:E1775),"")</f>
        <v/>
      </c>
      <c r="F1775" s="3">
        <f>IF(ISNUMBER(AVERAGE('20250815_ETF_Options_Exhibits'!F1771:F1775)),AVERAGE('20250815_ETF_Options_Exhibits'!F1771:F1775),"")</f>
        <v/>
      </c>
      <c r="G1775" s="3">
        <f>IF(ISNUMBER(AVERAGE('20250815_ETF_Options_Exhibits'!G1771:G1775)),AVERAGE('20250815_ETF_Options_Exhibits'!G1771:G1775),"")</f>
        <v/>
      </c>
      <c r="H1775" s="3">
        <f>IF(ISNUMBER(AVERAGE('20250815_ETF_Options_Exhibits'!H1771:H1775)),AVERAGE('20250815_ETF_Options_Exhibits'!H1771:H1775),"")</f>
        <v/>
      </c>
      <c r="I1775" s="3">
        <f>IF(ISNUMBER(AVERAGE('20250815_ETF_Options_Exhibits'!I1771:I1775)),AVERAGE('20250815_ETF_Options_Exhibits'!I1771:I1775),"")</f>
        <v/>
      </c>
      <c r="J1775" s="3">
        <f>IF(ISNUMBER(AVERAGE('20250815_ETF_Options_Exhibits'!J1771:J1775)),AVERAGE('20250815_ETF_Options_Exhibits'!J1771:J1775),"")</f>
        <v/>
      </c>
      <c r="K1775" s="3">
        <f>IF(ISNUMBER(AVERAGE('20250815_ETF_Options_Exhibits'!K1771:K1775)),AVERAGE('20250815_ETF_Options_Exhibits'!K1771:K1775),"")</f>
        <v/>
      </c>
      <c r="L1775" s="3">
        <f>IF(ISNUMBER(AVERAGE('20250815_ETF_Options_Exhibits'!L1771:L1775)),AVERAGE('20250815_ETF_Options_Exhibits'!L1771:L1775),"")</f>
        <v/>
      </c>
      <c r="M1775" s="3">
        <f>IF(ISNUMBER(AVERAGE('20250815_ETF_Options_Exhibits'!M1771:M1775)),AVERAGE('20250815_ETF_Options_Exhibits'!M1771:M1775),"")</f>
        <v/>
      </c>
      <c r="N1775" s="3">
        <f>IF(ISNUMBER(AVERAGE('20250815_ETF_Options_Exhibits'!N1771:N1775)),AVERAGE('20250815_ETF_Options_Exhibits'!N1771:N1775),"")</f>
        <v/>
      </c>
      <c r="O1775" s="3">
        <f>IF(ISNUMBER(AVERAGE('20250815_ETF_Options_Exhibits'!O1771:O1775)),AVERAGE('20250815_ETF_Options_Exhibits'!O1771:O1775),"")</f>
        <v/>
      </c>
      <c r="P1775" s="3">
        <f>IF(ISNUMBER(AVERAGE('20250815_ETF_Options_Exhibits'!P1771:P1775)),AVERAGE('20250815_ETF_Options_Exhibits'!P1771:P1775),"")</f>
        <v/>
      </c>
      <c r="Q1775" s="3">
        <f>IF(ISNUMBER(AVERAGE('20250815_ETF_Options_Exhibits'!Q1771:Q1775)),AVERAGE('20250815_ETF_Options_Exhibits'!Q1771:Q1775),"")</f>
        <v/>
      </c>
      <c r="R1775" s="3">
        <f>IF(ISNUMBER(AVERAGE('20250815_ETF_Options_Exhibits'!R1771:R1775)),AVERAGE('20250815_ETF_Options_Exhibits'!R1771:R1775),"")</f>
        <v/>
      </c>
      <c r="S1775" s="3">
        <f>IF(ISNUMBER(AVERAGE('20250815_ETF_Options_Exhibits'!S1771:S1775)),AVERAGE('20250815_ETF_Options_Exhibits'!S1771:S1775),"")</f>
        <v/>
      </c>
      <c r="T1775" s="3">
        <f>IF(ISNUMBER(AVERAGE('20250815_ETF_Options_Exhibits'!T1771:T1775)),AVERAGE('20250815_ETF_Options_Exhibits'!T1771:T1775),"")</f>
        <v/>
      </c>
      <c r="U1775" s="3">
        <f>IF(ISNUMBER(AVERAGE('20250815_ETF_Options_Exhibits'!U1771:U1775)),AVERAGE('20250815_ETF_Options_Exhibits'!U1771:U1775),"")</f>
        <v/>
      </c>
      <c r="V1775" s="3">
        <f>IF(ISNUMBER(AVERAGE('20250815_ETF_Options_Exhibits'!V1771:V1775)),AVERAGE('20250815_ETF_Options_Exhibits'!V1771:V1775),"")</f>
        <v/>
      </c>
      <c r="W1775" s="3">
        <f>IF(ISNUMBER(AVERAGE('20250815_ETF_Options_Exhibits'!W1771:W1775)),AVERAGE('20250815_ETF_Options_Exhibits'!W1771:W1775),"")</f>
        <v/>
      </c>
      <c r="X1775" s="3">
        <f>IF(ISNUMBER(AVERAGE('20250815_ETF_Options_Exhibits'!X1771:X1775)),AVERAGE('20250815_ETF_Options_Exhibits'!X1771:X1775),"")</f>
        <v/>
      </c>
      <c r="Y1775" s="3">
        <f>IF(ISNUMBER(AVERAGE('20250815_ETF_Options_Exhibits'!Y1771:Y1775)),AVERAGE('20250815_ETF_Options_Exhibits'!Y1771:Y1775),"")</f>
        <v/>
      </c>
      <c r="Z1775" s="3">
        <f>IF(ISNUMBER(AVERAGE('20250815_ETF_Options_Exhibits'!Z1771:Z1775)),AVERAGE('20250815_ETF_Options_Exhibits'!Z1771:Z1775),"")</f>
        <v/>
      </c>
      <c r="AA1775" s="3">
        <f>IF(ISNUMBER(AVERAGE('20250815_ETF_Options_Exhibits'!AA1771:AA1775)),AVERAGE('20250815_ETF_Options_Exhibits'!AA1771:AA1775),"")</f>
        <v/>
      </c>
    </row>
    <row r="1776">
      <c r="A1776" s="1" t="n">
        <v>44579</v>
      </c>
      <c r="B1776" s="3">
        <f>IF(ISNUMBER(AVERAGE('20250815_ETF_Options_Exhibits'!B1772:B1776)),AVERAGE('20250815_ETF_Options_Exhibits'!B1772:B1776),"")</f>
        <v/>
      </c>
      <c r="C1776" s="3">
        <f>IF(ISNUMBER(AVERAGE('20250815_ETF_Options_Exhibits'!C1772:C1776)),AVERAGE('20250815_ETF_Options_Exhibits'!C1772:C1776),"")</f>
        <v/>
      </c>
      <c r="D1776" s="3">
        <f>IF(ISNUMBER(AVERAGE('20250815_ETF_Options_Exhibits'!D1772:D1776)),AVERAGE('20250815_ETF_Options_Exhibits'!D1772:D1776),"")</f>
        <v/>
      </c>
      <c r="E1776" s="3">
        <f>IF(ISNUMBER(AVERAGE('20250815_ETF_Options_Exhibits'!E1772:E1776)),AVERAGE('20250815_ETF_Options_Exhibits'!E1772:E1776),"")</f>
        <v/>
      </c>
      <c r="F1776" s="3">
        <f>IF(ISNUMBER(AVERAGE('20250815_ETF_Options_Exhibits'!F1772:F1776)),AVERAGE('20250815_ETF_Options_Exhibits'!F1772:F1776),"")</f>
        <v/>
      </c>
      <c r="G1776" s="3">
        <f>IF(ISNUMBER(AVERAGE('20250815_ETF_Options_Exhibits'!G1772:G1776)),AVERAGE('20250815_ETF_Options_Exhibits'!G1772:G1776),"")</f>
        <v/>
      </c>
      <c r="H1776" s="3">
        <f>IF(ISNUMBER(AVERAGE('20250815_ETF_Options_Exhibits'!H1772:H1776)),AVERAGE('20250815_ETF_Options_Exhibits'!H1772:H1776),"")</f>
        <v/>
      </c>
      <c r="I1776" s="3">
        <f>IF(ISNUMBER(AVERAGE('20250815_ETF_Options_Exhibits'!I1772:I1776)),AVERAGE('20250815_ETF_Options_Exhibits'!I1772:I1776),"")</f>
        <v/>
      </c>
      <c r="J1776" s="3">
        <f>IF(ISNUMBER(AVERAGE('20250815_ETF_Options_Exhibits'!J1772:J1776)),AVERAGE('20250815_ETF_Options_Exhibits'!J1772:J1776),"")</f>
        <v/>
      </c>
      <c r="K1776" s="3">
        <f>IF(ISNUMBER(AVERAGE('20250815_ETF_Options_Exhibits'!K1772:K1776)),AVERAGE('20250815_ETF_Options_Exhibits'!K1772:K1776),"")</f>
        <v/>
      </c>
      <c r="L1776" s="3">
        <f>IF(ISNUMBER(AVERAGE('20250815_ETF_Options_Exhibits'!L1772:L1776)),AVERAGE('20250815_ETF_Options_Exhibits'!L1772:L1776),"")</f>
        <v/>
      </c>
      <c r="M1776" s="3">
        <f>IF(ISNUMBER(AVERAGE('20250815_ETF_Options_Exhibits'!M1772:M1776)),AVERAGE('20250815_ETF_Options_Exhibits'!M1772:M1776),"")</f>
        <v/>
      </c>
      <c r="N1776" s="3">
        <f>IF(ISNUMBER(AVERAGE('20250815_ETF_Options_Exhibits'!N1772:N1776)),AVERAGE('20250815_ETF_Options_Exhibits'!N1772:N1776),"")</f>
        <v/>
      </c>
      <c r="O1776" s="3">
        <f>IF(ISNUMBER(AVERAGE('20250815_ETF_Options_Exhibits'!O1772:O1776)),AVERAGE('20250815_ETF_Options_Exhibits'!O1772:O1776),"")</f>
        <v/>
      </c>
      <c r="P1776" s="3">
        <f>IF(ISNUMBER(AVERAGE('20250815_ETF_Options_Exhibits'!P1772:P1776)),AVERAGE('20250815_ETF_Options_Exhibits'!P1772:P1776),"")</f>
        <v/>
      </c>
      <c r="Q1776" s="3">
        <f>IF(ISNUMBER(AVERAGE('20250815_ETF_Options_Exhibits'!Q1772:Q1776)),AVERAGE('20250815_ETF_Options_Exhibits'!Q1772:Q1776),"")</f>
        <v/>
      </c>
      <c r="R1776" s="3">
        <f>IF(ISNUMBER(AVERAGE('20250815_ETF_Options_Exhibits'!R1772:R1776)),AVERAGE('20250815_ETF_Options_Exhibits'!R1772:R1776),"")</f>
        <v/>
      </c>
      <c r="S1776" s="3">
        <f>IF(ISNUMBER(AVERAGE('20250815_ETF_Options_Exhibits'!S1772:S1776)),AVERAGE('20250815_ETF_Options_Exhibits'!S1772:S1776),"")</f>
        <v/>
      </c>
      <c r="T1776" s="3">
        <f>IF(ISNUMBER(AVERAGE('20250815_ETF_Options_Exhibits'!T1772:T1776)),AVERAGE('20250815_ETF_Options_Exhibits'!T1772:T1776),"")</f>
        <v/>
      </c>
      <c r="U1776" s="3">
        <f>IF(ISNUMBER(AVERAGE('20250815_ETF_Options_Exhibits'!U1772:U1776)),AVERAGE('20250815_ETF_Options_Exhibits'!U1772:U1776),"")</f>
        <v/>
      </c>
      <c r="V1776" s="3">
        <f>IF(ISNUMBER(AVERAGE('20250815_ETF_Options_Exhibits'!V1772:V1776)),AVERAGE('20250815_ETF_Options_Exhibits'!V1772:V1776),"")</f>
        <v/>
      </c>
      <c r="W1776" s="3">
        <f>IF(ISNUMBER(AVERAGE('20250815_ETF_Options_Exhibits'!W1772:W1776)),AVERAGE('20250815_ETF_Options_Exhibits'!W1772:W1776),"")</f>
        <v/>
      </c>
      <c r="X1776" s="3">
        <f>IF(ISNUMBER(AVERAGE('20250815_ETF_Options_Exhibits'!X1772:X1776)),AVERAGE('20250815_ETF_Options_Exhibits'!X1772:X1776),"")</f>
        <v/>
      </c>
      <c r="Y1776" s="3">
        <f>IF(ISNUMBER(AVERAGE('20250815_ETF_Options_Exhibits'!Y1772:Y1776)),AVERAGE('20250815_ETF_Options_Exhibits'!Y1772:Y1776),"")</f>
        <v/>
      </c>
      <c r="Z1776" s="3">
        <f>IF(ISNUMBER(AVERAGE('20250815_ETF_Options_Exhibits'!Z1772:Z1776)),AVERAGE('20250815_ETF_Options_Exhibits'!Z1772:Z1776),"")</f>
        <v/>
      </c>
      <c r="AA1776" s="3">
        <f>IF(ISNUMBER(AVERAGE('20250815_ETF_Options_Exhibits'!AA1772:AA1776)),AVERAGE('20250815_ETF_Options_Exhibits'!AA1772:AA1776),"")</f>
        <v/>
      </c>
    </row>
    <row r="1777">
      <c r="A1777" s="1" t="n">
        <v>44580</v>
      </c>
      <c r="B1777" s="3">
        <f>IF(ISNUMBER(AVERAGE('20250815_ETF_Options_Exhibits'!B1773:B1777)),AVERAGE('20250815_ETF_Options_Exhibits'!B1773:B1777),"")</f>
        <v/>
      </c>
      <c r="C1777" s="3">
        <f>IF(ISNUMBER(AVERAGE('20250815_ETF_Options_Exhibits'!C1773:C1777)),AVERAGE('20250815_ETF_Options_Exhibits'!C1773:C1777),"")</f>
        <v/>
      </c>
      <c r="D1777" s="3">
        <f>IF(ISNUMBER(AVERAGE('20250815_ETF_Options_Exhibits'!D1773:D1777)),AVERAGE('20250815_ETF_Options_Exhibits'!D1773:D1777),"")</f>
        <v/>
      </c>
      <c r="E1777" s="3">
        <f>IF(ISNUMBER(AVERAGE('20250815_ETF_Options_Exhibits'!E1773:E1777)),AVERAGE('20250815_ETF_Options_Exhibits'!E1773:E1777),"")</f>
        <v/>
      </c>
      <c r="F1777" s="3">
        <f>IF(ISNUMBER(AVERAGE('20250815_ETF_Options_Exhibits'!F1773:F1777)),AVERAGE('20250815_ETF_Options_Exhibits'!F1773:F1777),"")</f>
        <v/>
      </c>
      <c r="G1777" s="3">
        <f>IF(ISNUMBER(AVERAGE('20250815_ETF_Options_Exhibits'!G1773:G1777)),AVERAGE('20250815_ETF_Options_Exhibits'!G1773:G1777),"")</f>
        <v/>
      </c>
      <c r="H1777" s="3">
        <f>IF(ISNUMBER(AVERAGE('20250815_ETF_Options_Exhibits'!H1773:H1777)),AVERAGE('20250815_ETF_Options_Exhibits'!H1773:H1777),"")</f>
        <v/>
      </c>
      <c r="I1777" s="3">
        <f>IF(ISNUMBER(AVERAGE('20250815_ETF_Options_Exhibits'!I1773:I1777)),AVERAGE('20250815_ETF_Options_Exhibits'!I1773:I1777),"")</f>
        <v/>
      </c>
      <c r="J1777" s="3">
        <f>IF(ISNUMBER(AVERAGE('20250815_ETF_Options_Exhibits'!J1773:J1777)),AVERAGE('20250815_ETF_Options_Exhibits'!J1773:J1777),"")</f>
        <v/>
      </c>
      <c r="K1777" s="3">
        <f>IF(ISNUMBER(AVERAGE('20250815_ETF_Options_Exhibits'!K1773:K1777)),AVERAGE('20250815_ETF_Options_Exhibits'!K1773:K1777),"")</f>
        <v/>
      </c>
      <c r="L1777" s="3">
        <f>IF(ISNUMBER(AVERAGE('20250815_ETF_Options_Exhibits'!L1773:L1777)),AVERAGE('20250815_ETF_Options_Exhibits'!L1773:L1777),"")</f>
        <v/>
      </c>
      <c r="M1777" s="3">
        <f>IF(ISNUMBER(AVERAGE('20250815_ETF_Options_Exhibits'!M1773:M1777)),AVERAGE('20250815_ETF_Options_Exhibits'!M1773:M1777),"")</f>
        <v/>
      </c>
      <c r="N1777" s="3">
        <f>IF(ISNUMBER(AVERAGE('20250815_ETF_Options_Exhibits'!N1773:N1777)),AVERAGE('20250815_ETF_Options_Exhibits'!N1773:N1777),"")</f>
        <v/>
      </c>
      <c r="O1777" s="3">
        <f>IF(ISNUMBER(AVERAGE('20250815_ETF_Options_Exhibits'!O1773:O1777)),AVERAGE('20250815_ETF_Options_Exhibits'!O1773:O1777),"")</f>
        <v/>
      </c>
      <c r="P1777" s="3">
        <f>IF(ISNUMBER(AVERAGE('20250815_ETF_Options_Exhibits'!P1773:P1777)),AVERAGE('20250815_ETF_Options_Exhibits'!P1773:P1777),"")</f>
        <v/>
      </c>
      <c r="Q1777" s="3">
        <f>IF(ISNUMBER(AVERAGE('20250815_ETF_Options_Exhibits'!Q1773:Q1777)),AVERAGE('20250815_ETF_Options_Exhibits'!Q1773:Q1777),"")</f>
        <v/>
      </c>
      <c r="R1777" s="3">
        <f>IF(ISNUMBER(AVERAGE('20250815_ETF_Options_Exhibits'!R1773:R1777)),AVERAGE('20250815_ETF_Options_Exhibits'!R1773:R1777),"")</f>
        <v/>
      </c>
      <c r="S1777" s="3">
        <f>IF(ISNUMBER(AVERAGE('20250815_ETF_Options_Exhibits'!S1773:S1777)),AVERAGE('20250815_ETF_Options_Exhibits'!S1773:S1777),"")</f>
        <v/>
      </c>
      <c r="T1777" s="3">
        <f>IF(ISNUMBER(AVERAGE('20250815_ETF_Options_Exhibits'!T1773:T1777)),AVERAGE('20250815_ETF_Options_Exhibits'!T1773:T1777),"")</f>
        <v/>
      </c>
      <c r="U1777" s="3">
        <f>IF(ISNUMBER(AVERAGE('20250815_ETF_Options_Exhibits'!U1773:U1777)),AVERAGE('20250815_ETF_Options_Exhibits'!U1773:U1777),"")</f>
        <v/>
      </c>
      <c r="V1777" s="3">
        <f>IF(ISNUMBER(AVERAGE('20250815_ETF_Options_Exhibits'!V1773:V1777)),AVERAGE('20250815_ETF_Options_Exhibits'!V1773:V1777),"")</f>
        <v/>
      </c>
      <c r="W1777" s="3">
        <f>IF(ISNUMBER(AVERAGE('20250815_ETF_Options_Exhibits'!W1773:W1777)),AVERAGE('20250815_ETF_Options_Exhibits'!W1773:W1777),"")</f>
        <v/>
      </c>
      <c r="X1777" s="3">
        <f>IF(ISNUMBER(AVERAGE('20250815_ETF_Options_Exhibits'!X1773:X1777)),AVERAGE('20250815_ETF_Options_Exhibits'!X1773:X1777),"")</f>
        <v/>
      </c>
      <c r="Y1777" s="3">
        <f>IF(ISNUMBER(AVERAGE('20250815_ETF_Options_Exhibits'!Y1773:Y1777)),AVERAGE('20250815_ETF_Options_Exhibits'!Y1773:Y1777),"")</f>
        <v/>
      </c>
      <c r="Z1777" s="3">
        <f>IF(ISNUMBER(AVERAGE('20250815_ETF_Options_Exhibits'!Z1773:Z1777)),AVERAGE('20250815_ETF_Options_Exhibits'!Z1773:Z1777),"")</f>
        <v/>
      </c>
      <c r="AA1777" s="3">
        <f>IF(ISNUMBER(AVERAGE('20250815_ETF_Options_Exhibits'!AA1773:AA1777)),AVERAGE('20250815_ETF_Options_Exhibits'!AA1773:AA1777),"")</f>
        <v/>
      </c>
    </row>
    <row r="1778">
      <c r="A1778" s="1" t="n">
        <v>44581</v>
      </c>
      <c r="B1778" s="3">
        <f>IF(ISNUMBER(AVERAGE('20250815_ETF_Options_Exhibits'!B1774:B1778)),AVERAGE('20250815_ETF_Options_Exhibits'!B1774:B1778),"")</f>
        <v/>
      </c>
      <c r="C1778" s="3">
        <f>IF(ISNUMBER(AVERAGE('20250815_ETF_Options_Exhibits'!C1774:C1778)),AVERAGE('20250815_ETF_Options_Exhibits'!C1774:C1778),"")</f>
        <v/>
      </c>
      <c r="D1778" s="3">
        <f>IF(ISNUMBER(AVERAGE('20250815_ETF_Options_Exhibits'!D1774:D1778)),AVERAGE('20250815_ETF_Options_Exhibits'!D1774:D1778),"")</f>
        <v/>
      </c>
      <c r="E1778" s="3">
        <f>IF(ISNUMBER(AVERAGE('20250815_ETF_Options_Exhibits'!E1774:E1778)),AVERAGE('20250815_ETF_Options_Exhibits'!E1774:E1778),"")</f>
        <v/>
      </c>
      <c r="F1778" s="3">
        <f>IF(ISNUMBER(AVERAGE('20250815_ETF_Options_Exhibits'!F1774:F1778)),AVERAGE('20250815_ETF_Options_Exhibits'!F1774:F1778),"")</f>
        <v/>
      </c>
      <c r="G1778" s="3">
        <f>IF(ISNUMBER(AVERAGE('20250815_ETF_Options_Exhibits'!G1774:G1778)),AVERAGE('20250815_ETF_Options_Exhibits'!G1774:G1778),"")</f>
        <v/>
      </c>
      <c r="H1778" s="3">
        <f>IF(ISNUMBER(AVERAGE('20250815_ETF_Options_Exhibits'!H1774:H1778)),AVERAGE('20250815_ETF_Options_Exhibits'!H1774:H1778),"")</f>
        <v/>
      </c>
      <c r="I1778" s="3">
        <f>IF(ISNUMBER(AVERAGE('20250815_ETF_Options_Exhibits'!I1774:I1778)),AVERAGE('20250815_ETF_Options_Exhibits'!I1774:I1778),"")</f>
        <v/>
      </c>
      <c r="J1778" s="3">
        <f>IF(ISNUMBER(AVERAGE('20250815_ETF_Options_Exhibits'!J1774:J1778)),AVERAGE('20250815_ETF_Options_Exhibits'!J1774:J1778),"")</f>
        <v/>
      </c>
      <c r="K1778" s="3">
        <f>IF(ISNUMBER(AVERAGE('20250815_ETF_Options_Exhibits'!K1774:K1778)),AVERAGE('20250815_ETF_Options_Exhibits'!K1774:K1778),"")</f>
        <v/>
      </c>
      <c r="L1778" s="3">
        <f>IF(ISNUMBER(AVERAGE('20250815_ETF_Options_Exhibits'!L1774:L1778)),AVERAGE('20250815_ETF_Options_Exhibits'!L1774:L1778),"")</f>
        <v/>
      </c>
      <c r="M1778" s="3">
        <f>IF(ISNUMBER(AVERAGE('20250815_ETF_Options_Exhibits'!M1774:M1778)),AVERAGE('20250815_ETF_Options_Exhibits'!M1774:M1778),"")</f>
        <v/>
      </c>
      <c r="N1778" s="3">
        <f>IF(ISNUMBER(AVERAGE('20250815_ETF_Options_Exhibits'!N1774:N1778)),AVERAGE('20250815_ETF_Options_Exhibits'!N1774:N1778),"")</f>
        <v/>
      </c>
      <c r="O1778" s="3">
        <f>IF(ISNUMBER(AVERAGE('20250815_ETF_Options_Exhibits'!O1774:O1778)),AVERAGE('20250815_ETF_Options_Exhibits'!O1774:O1778),"")</f>
        <v/>
      </c>
      <c r="P1778" s="3">
        <f>IF(ISNUMBER(AVERAGE('20250815_ETF_Options_Exhibits'!P1774:P1778)),AVERAGE('20250815_ETF_Options_Exhibits'!P1774:P1778),"")</f>
        <v/>
      </c>
      <c r="Q1778" s="3">
        <f>IF(ISNUMBER(AVERAGE('20250815_ETF_Options_Exhibits'!Q1774:Q1778)),AVERAGE('20250815_ETF_Options_Exhibits'!Q1774:Q1778),"")</f>
        <v/>
      </c>
      <c r="R1778" s="3">
        <f>IF(ISNUMBER(AVERAGE('20250815_ETF_Options_Exhibits'!R1774:R1778)),AVERAGE('20250815_ETF_Options_Exhibits'!R1774:R1778),"")</f>
        <v/>
      </c>
      <c r="S1778" s="3">
        <f>IF(ISNUMBER(AVERAGE('20250815_ETF_Options_Exhibits'!S1774:S1778)),AVERAGE('20250815_ETF_Options_Exhibits'!S1774:S1778),"")</f>
        <v/>
      </c>
      <c r="T1778" s="3">
        <f>IF(ISNUMBER(AVERAGE('20250815_ETF_Options_Exhibits'!T1774:T1778)),AVERAGE('20250815_ETF_Options_Exhibits'!T1774:T1778),"")</f>
        <v/>
      </c>
      <c r="U1778" s="3">
        <f>IF(ISNUMBER(AVERAGE('20250815_ETF_Options_Exhibits'!U1774:U1778)),AVERAGE('20250815_ETF_Options_Exhibits'!U1774:U1778),"")</f>
        <v/>
      </c>
      <c r="V1778" s="3">
        <f>IF(ISNUMBER(AVERAGE('20250815_ETF_Options_Exhibits'!V1774:V1778)),AVERAGE('20250815_ETF_Options_Exhibits'!V1774:V1778),"")</f>
        <v/>
      </c>
      <c r="W1778" s="3">
        <f>IF(ISNUMBER(AVERAGE('20250815_ETF_Options_Exhibits'!W1774:W1778)),AVERAGE('20250815_ETF_Options_Exhibits'!W1774:W1778),"")</f>
        <v/>
      </c>
      <c r="X1778" s="3">
        <f>IF(ISNUMBER(AVERAGE('20250815_ETF_Options_Exhibits'!X1774:X1778)),AVERAGE('20250815_ETF_Options_Exhibits'!X1774:X1778),"")</f>
        <v/>
      </c>
      <c r="Y1778" s="3">
        <f>IF(ISNUMBER(AVERAGE('20250815_ETF_Options_Exhibits'!Y1774:Y1778)),AVERAGE('20250815_ETF_Options_Exhibits'!Y1774:Y1778),"")</f>
        <v/>
      </c>
      <c r="Z1778" s="3">
        <f>IF(ISNUMBER(AVERAGE('20250815_ETF_Options_Exhibits'!Z1774:Z1778)),AVERAGE('20250815_ETF_Options_Exhibits'!Z1774:Z1778),"")</f>
        <v/>
      </c>
      <c r="AA1778" s="3">
        <f>IF(ISNUMBER(AVERAGE('20250815_ETF_Options_Exhibits'!AA1774:AA1778)),AVERAGE('20250815_ETF_Options_Exhibits'!AA1774:AA1778),"")</f>
        <v/>
      </c>
    </row>
    <row r="1779">
      <c r="A1779" s="1" t="n">
        <v>44582</v>
      </c>
      <c r="B1779" s="3">
        <f>IF(ISNUMBER(AVERAGE('20250815_ETF_Options_Exhibits'!B1775:B1779)),AVERAGE('20250815_ETF_Options_Exhibits'!B1775:B1779),"")</f>
        <v/>
      </c>
      <c r="C1779" s="3">
        <f>IF(ISNUMBER(AVERAGE('20250815_ETF_Options_Exhibits'!C1775:C1779)),AVERAGE('20250815_ETF_Options_Exhibits'!C1775:C1779),"")</f>
        <v/>
      </c>
      <c r="D1779" s="3">
        <f>IF(ISNUMBER(AVERAGE('20250815_ETF_Options_Exhibits'!D1775:D1779)),AVERAGE('20250815_ETF_Options_Exhibits'!D1775:D1779),"")</f>
        <v/>
      </c>
      <c r="E1779" s="3">
        <f>IF(ISNUMBER(AVERAGE('20250815_ETF_Options_Exhibits'!E1775:E1779)),AVERAGE('20250815_ETF_Options_Exhibits'!E1775:E1779),"")</f>
        <v/>
      </c>
      <c r="F1779" s="3">
        <f>IF(ISNUMBER(AVERAGE('20250815_ETF_Options_Exhibits'!F1775:F1779)),AVERAGE('20250815_ETF_Options_Exhibits'!F1775:F1779),"")</f>
        <v/>
      </c>
      <c r="G1779" s="3">
        <f>IF(ISNUMBER(AVERAGE('20250815_ETF_Options_Exhibits'!G1775:G1779)),AVERAGE('20250815_ETF_Options_Exhibits'!G1775:G1779),"")</f>
        <v/>
      </c>
      <c r="H1779" s="3">
        <f>IF(ISNUMBER(AVERAGE('20250815_ETF_Options_Exhibits'!H1775:H1779)),AVERAGE('20250815_ETF_Options_Exhibits'!H1775:H1779),"")</f>
        <v/>
      </c>
      <c r="I1779" s="3">
        <f>IF(ISNUMBER(AVERAGE('20250815_ETF_Options_Exhibits'!I1775:I1779)),AVERAGE('20250815_ETF_Options_Exhibits'!I1775:I1779),"")</f>
        <v/>
      </c>
      <c r="J1779" s="3">
        <f>IF(ISNUMBER(AVERAGE('20250815_ETF_Options_Exhibits'!J1775:J1779)),AVERAGE('20250815_ETF_Options_Exhibits'!J1775:J1779),"")</f>
        <v/>
      </c>
      <c r="K1779" s="3">
        <f>IF(ISNUMBER(AVERAGE('20250815_ETF_Options_Exhibits'!K1775:K1779)),AVERAGE('20250815_ETF_Options_Exhibits'!K1775:K1779),"")</f>
        <v/>
      </c>
      <c r="L1779" s="3">
        <f>IF(ISNUMBER(AVERAGE('20250815_ETF_Options_Exhibits'!L1775:L1779)),AVERAGE('20250815_ETF_Options_Exhibits'!L1775:L1779),"")</f>
        <v/>
      </c>
      <c r="M1779" s="3">
        <f>IF(ISNUMBER(AVERAGE('20250815_ETF_Options_Exhibits'!M1775:M1779)),AVERAGE('20250815_ETF_Options_Exhibits'!M1775:M1779),"")</f>
        <v/>
      </c>
      <c r="N1779" s="3">
        <f>IF(ISNUMBER(AVERAGE('20250815_ETF_Options_Exhibits'!N1775:N1779)),AVERAGE('20250815_ETF_Options_Exhibits'!N1775:N1779),"")</f>
        <v/>
      </c>
      <c r="O1779" s="3">
        <f>IF(ISNUMBER(AVERAGE('20250815_ETF_Options_Exhibits'!O1775:O1779)),AVERAGE('20250815_ETF_Options_Exhibits'!O1775:O1779),"")</f>
        <v/>
      </c>
      <c r="P1779" s="3">
        <f>IF(ISNUMBER(AVERAGE('20250815_ETF_Options_Exhibits'!P1775:P1779)),AVERAGE('20250815_ETF_Options_Exhibits'!P1775:P1779),"")</f>
        <v/>
      </c>
      <c r="Q1779" s="3">
        <f>IF(ISNUMBER(AVERAGE('20250815_ETF_Options_Exhibits'!Q1775:Q1779)),AVERAGE('20250815_ETF_Options_Exhibits'!Q1775:Q1779),"")</f>
        <v/>
      </c>
      <c r="R1779" s="3">
        <f>IF(ISNUMBER(AVERAGE('20250815_ETF_Options_Exhibits'!R1775:R1779)),AVERAGE('20250815_ETF_Options_Exhibits'!R1775:R1779),"")</f>
        <v/>
      </c>
      <c r="S1779" s="3">
        <f>IF(ISNUMBER(AVERAGE('20250815_ETF_Options_Exhibits'!S1775:S1779)),AVERAGE('20250815_ETF_Options_Exhibits'!S1775:S1779),"")</f>
        <v/>
      </c>
      <c r="T1779" s="3">
        <f>IF(ISNUMBER(AVERAGE('20250815_ETF_Options_Exhibits'!T1775:T1779)),AVERAGE('20250815_ETF_Options_Exhibits'!T1775:T1779),"")</f>
        <v/>
      </c>
      <c r="U1779" s="3">
        <f>IF(ISNUMBER(AVERAGE('20250815_ETF_Options_Exhibits'!U1775:U1779)),AVERAGE('20250815_ETF_Options_Exhibits'!U1775:U1779),"")</f>
        <v/>
      </c>
      <c r="V1779" s="3">
        <f>IF(ISNUMBER(AVERAGE('20250815_ETF_Options_Exhibits'!V1775:V1779)),AVERAGE('20250815_ETF_Options_Exhibits'!V1775:V1779),"")</f>
        <v/>
      </c>
      <c r="W1779" s="3">
        <f>IF(ISNUMBER(AVERAGE('20250815_ETF_Options_Exhibits'!W1775:W1779)),AVERAGE('20250815_ETF_Options_Exhibits'!W1775:W1779),"")</f>
        <v/>
      </c>
      <c r="X1779" s="3">
        <f>IF(ISNUMBER(AVERAGE('20250815_ETF_Options_Exhibits'!X1775:X1779)),AVERAGE('20250815_ETF_Options_Exhibits'!X1775:X1779),"")</f>
        <v/>
      </c>
      <c r="Y1779" s="3">
        <f>IF(ISNUMBER(AVERAGE('20250815_ETF_Options_Exhibits'!Y1775:Y1779)),AVERAGE('20250815_ETF_Options_Exhibits'!Y1775:Y1779),"")</f>
        <v/>
      </c>
      <c r="Z1779" s="3">
        <f>IF(ISNUMBER(AVERAGE('20250815_ETF_Options_Exhibits'!Z1775:Z1779)),AVERAGE('20250815_ETF_Options_Exhibits'!Z1775:Z1779),"")</f>
        <v/>
      </c>
      <c r="AA1779" s="3">
        <f>IF(ISNUMBER(AVERAGE('20250815_ETF_Options_Exhibits'!AA1775:AA1779)),AVERAGE('20250815_ETF_Options_Exhibits'!AA1775:AA1779),"")</f>
        <v/>
      </c>
    </row>
    <row r="1780">
      <c r="A1780" s="1" t="n">
        <v>44585</v>
      </c>
      <c r="B1780" s="3">
        <f>IF(ISNUMBER(AVERAGE('20250815_ETF_Options_Exhibits'!B1776:B1780)),AVERAGE('20250815_ETF_Options_Exhibits'!B1776:B1780),"")</f>
        <v/>
      </c>
      <c r="C1780" s="3">
        <f>IF(ISNUMBER(AVERAGE('20250815_ETF_Options_Exhibits'!C1776:C1780)),AVERAGE('20250815_ETF_Options_Exhibits'!C1776:C1780),"")</f>
        <v/>
      </c>
      <c r="D1780" s="3">
        <f>IF(ISNUMBER(AVERAGE('20250815_ETF_Options_Exhibits'!D1776:D1780)),AVERAGE('20250815_ETF_Options_Exhibits'!D1776:D1780),"")</f>
        <v/>
      </c>
      <c r="E1780" s="3">
        <f>IF(ISNUMBER(AVERAGE('20250815_ETF_Options_Exhibits'!E1776:E1780)),AVERAGE('20250815_ETF_Options_Exhibits'!E1776:E1780),"")</f>
        <v/>
      </c>
      <c r="F1780" s="3">
        <f>IF(ISNUMBER(AVERAGE('20250815_ETF_Options_Exhibits'!F1776:F1780)),AVERAGE('20250815_ETF_Options_Exhibits'!F1776:F1780),"")</f>
        <v/>
      </c>
      <c r="G1780" s="3">
        <f>IF(ISNUMBER(AVERAGE('20250815_ETF_Options_Exhibits'!G1776:G1780)),AVERAGE('20250815_ETF_Options_Exhibits'!G1776:G1780),"")</f>
        <v/>
      </c>
      <c r="H1780" s="3">
        <f>IF(ISNUMBER(AVERAGE('20250815_ETF_Options_Exhibits'!H1776:H1780)),AVERAGE('20250815_ETF_Options_Exhibits'!H1776:H1780),"")</f>
        <v/>
      </c>
      <c r="I1780" s="3">
        <f>IF(ISNUMBER(AVERAGE('20250815_ETF_Options_Exhibits'!I1776:I1780)),AVERAGE('20250815_ETF_Options_Exhibits'!I1776:I1780),"")</f>
        <v/>
      </c>
      <c r="J1780" s="3">
        <f>IF(ISNUMBER(AVERAGE('20250815_ETF_Options_Exhibits'!J1776:J1780)),AVERAGE('20250815_ETF_Options_Exhibits'!J1776:J1780),"")</f>
        <v/>
      </c>
      <c r="K1780" s="3">
        <f>IF(ISNUMBER(AVERAGE('20250815_ETF_Options_Exhibits'!K1776:K1780)),AVERAGE('20250815_ETF_Options_Exhibits'!K1776:K1780),"")</f>
        <v/>
      </c>
      <c r="L1780" s="3">
        <f>IF(ISNUMBER(AVERAGE('20250815_ETF_Options_Exhibits'!L1776:L1780)),AVERAGE('20250815_ETF_Options_Exhibits'!L1776:L1780),"")</f>
        <v/>
      </c>
      <c r="M1780" s="3">
        <f>IF(ISNUMBER(AVERAGE('20250815_ETF_Options_Exhibits'!M1776:M1780)),AVERAGE('20250815_ETF_Options_Exhibits'!M1776:M1780),"")</f>
        <v/>
      </c>
      <c r="N1780" s="3">
        <f>IF(ISNUMBER(AVERAGE('20250815_ETF_Options_Exhibits'!N1776:N1780)),AVERAGE('20250815_ETF_Options_Exhibits'!N1776:N1780),"")</f>
        <v/>
      </c>
      <c r="O1780" s="3">
        <f>IF(ISNUMBER(AVERAGE('20250815_ETF_Options_Exhibits'!O1776:O1780)),AVERAGE('20250815_ETF_Options_Exhibits'!O1776:O1780),"")</f>
        <v/>
      </c>
      <c r="P1780" s="3">
        <f>IF(ISNUMBER(AVERAGE('20250815_ETF_Options_Exhibits'!P1776:P1780)),AVERAGE('20250815_ETF_Options_Exhibits'!P1776:P1780),"")</f>
        <v/>
      </c>
      <c r="Q1780" s="3">
        <f>IF(ISNUMBER(AVERAGE('20250815_ETF_Options_Exhibits'!Q1776:Q1780)),AVERAGE('20250815_ETF_Options_Exhibits'!Q1776:Q1780),"")</f>
        <v/>
      </c>
      <c r="R1780" s="3">
        <f>IF(ISNUMBER(AVERAGE('20250815_ETF_Options_Exhibits'!R1776:R1780)),AVERAGE('20250815_ETF_Options_Exhibits'!R1776:R1780),"")</f>
        <v/>
      </c>
      <c r="S1780" s="3">
        <f>IF(ISNUMBER(AVERAGE('20250815_ETF_Options_Exhibits'!S1776:S1780)),AVERAGE('20250815_ETF_Options_Exhibits'!S1776:S1780),"")</f>
        <v/>
      </c>
      <c r="T1780" s="3">
        <f>IF(ISNUMBER(AVERAGE('20250815_ETF_Options_Exhibits'!T1776:T1780)),AVERAGE('20250815_ETF_Options_Exhibits'!T1776:T1780),"")</f>
        <v/>
      </c>
      <c r="U1780" s="3">
        <f>IF(ISNUMBER(AVERAGE('20250815_ETF_Options_Exhibits'!U1776:U1780)),AVERAGE('20250815_ETF_Options_Exhibits'!U1776:U1780),"")</f>
        <v/>
      </c>
      <c r="V1780" s="3">
        <f>IF(ISNUMBER(AVERAGE('20250815_ETF_Options_Exhibits'!V1776:V1780)),AVERAGE('20250815_ETF_Options_Exhibits'!V1776:V1780),"")</f>
        <v/>
      </c>
      <c r="W1780" s="3">
        <f>IF(ISNUMBER(AVERAGE('20250815_ETF_Options_Exhibits'!W1776:W1780)),AVERAGE('20250815_ETF_Options_Exhibits'!W1776:W1780),"")</f>
        <v/>
      </c>
      <c r="X1780" s="3">
        <f>IF(ISNUMBER(AVERAGE('20250815_ETF_Options_Exhibits'!X1776:X1780)),AVERAGE('20250815_ETF_Options_Exhibits'!X1776:X1780),"")</f>
        <v/>
      </c>
      <c r="Y1780" s="3">
        <f>IF(ISNUMBER(AVERAGE('20250815_ETF_Options_Exhibits'!Y1776:Y1780)),AVERAGE('20250815_ETF_Options_Exhibits'!Y1776:Y1780),"")</f>
        <v/>
      </c>
      <c r="Z1780" s="3">
        <f>IF(ISNUMBER(AVERAGE('20250815_ETF_Options_Exhibits'!Z1776:Z1780)),AVERAGE('20250815_ETF_Options_Exhibits'!Z1776:Z1780),"")</f>
        <v/>
      </c>
      <c r="AA1780" s="3">
        <f>IF(ISNUMBER(AVERAGE('20250815_ETF_Options_Exhibits'!AA1776:AA1780)),AVERAGE('20250815_ETF_Options_Exhibits'!AA1776:AA1780),"")</f>
        <v/>
      </c>
    </row>
    <row r="1781">
      <c r="A1781" s="1" t="n">
        <v>44586</v>
      </c>
      <c r="B1781" s="3">
        <f>IF(ISNUMBER(AVERAGE('20250815_ETF_Options_Exhibits'!B1777:B1781)),AVERAGE('20250815_ETF_Options_Exhibits'!B1777:B1781),"")</f>
        <v/>
      </c>
      <c r="C1781" s="3">
        <f>IF(ISNUMBER(AVERAGE('20250815_ETF_Options_Exhibits'!C1777:C1781)),AVERAGE('20250815_ETF_Options_Exhibits'!C1777:C1781),"")</f>
        <v/>
      </c>
      <c r="D1781" s="3">
        <f>IF(ISNUMBER(AVERAGE('20250815_ETF_Options_Exhibits'!D1777:D1781)),AVERAGE('20250815_ETF_Options_Exhibits'!D1777:D1781),"")</f>
        <v/>
      </c>
      <c r="E1781" s="3">
        <f>IF(ISNUMBER(AVERAGE('20250815_ETF_Options_Exhibits'!E1777:E1781)),AVERAGE('20250815_ETF_Options_Exhibits'!E1777:E1781),"")</f>
        <v/>
      </c>
      <c r="F1781" s="3">
        <f>IF(ISNUMBER(AVERAGE('20250815_ETF_Options_Exhibits'!F1777:F1781)),AVERAGE('20250815_ETF_Options_Exhibits'!F1777:F1781),"")</f>
        <v/>
      </c>
      <c r="G1781" s="3">
        <f>IF(ISNUMBER(AVERAGE('20250815_ETF_Options_Exhibits'!G1777:G1781)),AVERAGE('20250815_ETF_Options_Exhibits'!G1777:G1781),"")</f>
        <v/>
      </c>
      <c r="H1781" s="3">
        <f>IF(ISNUMBER(AVERAGE('20250815_ETF_Options_Exhibits'!H1777:H1781)),AVERAGE('20250815_ETF_Options_Exhibits'!H1777:H1781),"")</f>
        <v/>
      </c>
      <c r="I1781" s="3">
        <f>IF(ISNUMBER(AVERAGE('20250815_ETF_Options_Exhibits'!I1777:I1781)),AVERAGE('20250815_ETF_Options_Exhibits'!I1777:I1781),"")</f>
        <v/>
      </c>
      <c r="J1781" s="3">
        <f>IF(ISNUMBER(AVERAGE('20250815_ETF_Options_Exhibits'!J1777:J1781)),AVERAGE('20250815_ETF_Options_Exhibits'!J1777:J1781),"")</f>
        <v/>
      </c>
      <c r="K1781" s="3">
        <f>IF(ISNUMBER(AVERAGE('20250815_ETF_Options_Exhibits'!K1777:K1781)),AVERAGE('20250815_ETF_Options_Exhibits'!K1777:K1781),"")</f>
        <v/>
      </c>
      <c r="L1781" s="3">
        <f>IF(ISNUMBER(AVERAGE('20250815_ETF_Options_Exhibits'!L1777:L1781)),AVERAGE('20250815_ETF_Options_Exhibits'!L1777:L1781),"")</f>
        <v/>
      </c>
      <c r="M1781" s="3">
        <f>IF(ISNUMBER(AVERAGE('20250815_ETF_Options_Exhibits'!M1777:M1781)),AVERAGE('20250815_ETF_Options_Exhibits'!M1777:M1781),"")</f>
        <v/>
      </c>
      <c r="N1781" s="3">
        <f>IF(ISNUMBER(AVERAGE('20250815_ETF_Options_Exhibits'!N1777:N1781)),AVERAGE('20250815_ETF_Options_Exhibits'!N1777:N1781),"")</f>
        <v/>
      </c>
      <c r="O1781" s="3">
        <f>IF(ISNUMBER(AVERAGE('20250815_ETF_Options_Exhibits'!O1777:O1781)),AVERAGE('20250815_ETF_Options_Exhibits'!O1777:O1781),"")</f>
        <v/>
      </c>
      <c r="P1781" s="3">
        <f>IF(ISNUMBER(AVERAGE('20250815_ETF_Options_Exhibits'!P1777:P1781)),AVERAGE('20250815_ETF_Options_Exhibits'!P1777:P1781),"")</f>
        <v/>
      </c>
      <c r="Q1781" s="3">
        <f>IF(ISNUMBER(AVERAGE('20250815_ETF_Options_Exhibits'!Q1777:Q1781)),AVERAGE('20250815_ETF_Options_Exhibits'!Q1777:Q1781),"")</f>
        <v/>
      </c>
      <c r="R1781" s="3">
        <f>IF(ISNUMBER(AVERAGE('20250815_ETF_Options_Exhibits'!R1777:R1781)),AVERAGE('20250815_ETF_Options_Exhibits'!R1777:R1781),"")</f>
        <v/>
      </c>
      <c r="S1781" s="3">
        <f>IF(ISNUMBER(AVERAGE('20250815_ETF_Options_Exhibits'!S1777:S1781)),AVERAGE('20250815_ETF_Options_Exhibits'!S1777:S1781),"")</f>
        <v/>
      </c>
      <c r="T1781" s="3">
        <f>IF(ISNUMBER(AVERAGE('20250815_ETF_Options_Exhibits'!T1777:T1781)),AVERAGE('20250815_ETF_Options_Exhibits'!T1777:T1781),"")</f>
        <v/>
      </c>
      <c r="U1781" s="3">
        <f>IF(ISNUMBER(AVERAGE('20250815_ETF_Options_Exhibits'!U1777:U1781)),AVERAGE('20250815_ETF_Options_Exhibits'!U1777:U1781),"")</f>
        <v/>
      </c>
      <c r="V1781" s="3">
        <f>IF(ISNUMBER(AVERAGE('20250815_ETF_Options_Exhibits'!V1777:V1781)),AVERAGE('20250815_ETF_Options_Exhibits'!V1777:V1781),"")</f>
        <v/>
      </c>
      <c r="W1781" s="3">
        <f>IF(ISNUMBER(AVERAGE('20250815_ETF_Options_Exhibits'!W1777:W1781)),AVERAGE('20250815_ETF_Options_Exhibits'!W1777:W1781),"")</f>
        <v/>
      </c>
      <c r="X1781" s="3">
        <f>IF(ISNUMBER(AVERAGE('20250815_ETF_Options_Exhibits'!X1777:X1781)),AVERAGE('20250815_ETF_Options_Exhibits'!X1777:X1781),"")</f>
        <v/>
      </c>
      <c r="Y1781" s="3">
        <f>IF(ISNUMBER(AVERAGE('20250815_ETF_Options_Exhibits'!Y1777:Y1781)),AVERAGE('20250815_ETF_Options_Exhibits'!Y1777:Y1781),"")</f>
        <v/>
      </c>
      <c r="Z1781" s="3">
        <f>IF(ISNUMBER(AVERAGE('20250815_ETF_Options_Exhibits'!Z1777:Z1781)),AVERAGE('20250815_ETF_Options_Exhibits'!Z1777:Z1781),"")</f>
        <v/>
      </c>
      <c r="AA1781" s="3">
        <f>IF(ISNUMBER(AVERAGE('20250815_ETF_Options_Exhibits'!AA1777:AA1781)),AVERAGE('20250815_ETF_Options_Exhibits'!AA1777:AA1781),"")</f>
        <v/>
      </c>
    </row>
    <row r="1782">
      <c r="A1782" s="1" t="n">
        <v>44587</v>
      </c>
      <c r="B1782" s="3">
        <f>IF(ISNUMBER(AVERAGE('20250815_ETF_Options_Exhibits'!B1778:B1782)),AVERAGE('20250815_ETF_Options_Exhibits'!B1778:B1782),"")</f>
        <v/>
      </c>
      <c r="C1782" s="3">
        <f>IF(ISNUMBER(AVERAGE('20250815_ETF_Options_Exhibits'!C1778:C1782)),AVERAGE('20250815_ETF_Options_Exhibits'!C1778:C1782),"")</f>
        <v/>
      </c>
      <c r="D1782" s="3">
        <f>IF(ISNUMBER(AVERAGE('20250815_ETF_Options_Exhibits'!D1778:D1782)),AVERAGE('20250815_ETF_Options_Exhibits'!D1778:D1782),"")</f>
        <v/>
      </c>
      <c r="E1782" s="3">
        <f>IF(ISNUMBER(AVERAGE('20250815_ETF_Options_Exhibits'!E1778:E1782)),AVERAGE('20250815_ETF_Options_Exhibits'!E1778:E1782),"")</f>
        <v/>
      </c>
      <c r="F1782" s="3">
        <f>IF(ISNUMBER(AVERAGE('20250815_ETF_Options_Exhibits'!F1778:F1782)),AVERAGE('20250815_ETF_Options_Exhibits'!F1778:F1782),"")</f>
        <v/>
      </c>
      <c r="G1782" s="3">
        <f>IF(ISNUMBER(AVERAGE('20250815_ETF_Options_Exhibits'!G1778:G1782)),AVERAGE('20250815_ETF_Options_Exhibits'!G1778:G1782),"")</f>
        <v/>
      </c>
      <c r="H1782" s="3">
        <f>IF(ISNUMBER(AVERAGE('20250815_ETF_Options_Exhibits'!H1778:H1782)),AVERAGE('20250815_ETF_Options_Exhibits'!H1778:H1782),"")</f>
        <v/>
      </c>
      <c r="I1782" s="3">
        <f>IF(ISNUMBER(AVERAGE('20250815_ETF_Options_Exhibits'!I1778:I1782)),AVERAGE('20250815_ETF_Options_Exhibits'!I1778:I1782),"")</f>
        <v/>
      </c>
      <c r="J1782" s="3">
        <f>IF(ISNUMBER(AVERAGE('20250815_ETF_Options_Exhibits'!J1778:J1782)),AVERAGE('20250815_ETF_Options_Exhibits'!J1778:J1782),"")</f>
        <v/>
      </c>
      <c r="K1782" s="3">
        <f>IF(ISNUMBER(AVERAGE('20250815_ETF_Options_Exhibits'!K1778:K1782)),AVERAGE('20250815_ETF_Options_Exhibits'!K1778:K1782),"")</f>
        <v/>
      </c>
      <c r="L1782" s="3">
        <f>IF(ISNUMBER(AVERAGE('20250815_ETF_Options_Exhibits'!L1778:L1782)),AVERAGE('20250815_ETF_Options_Exhibits'!L1778:L1782),"")</f>
        <v/>
      </c>
      <c r="M1782" s="3">
        <f>IF(ISNUMBER(AVERAGE('20250815_ETF_Options_Exhibits'!M1778:M1782)),AVERAGE('20250815_ETF_Options_Exhibits'!M1778:M1782),"")</f>
        <v/>
      </c>
      <c r="N1782" s="3">
        <f>IF(ISNUMBER(AVERAGE('20250815_ETF_Options_Exhibits'!N1778:N1782)),AVERAGE('20250815_ETF_Options_Exhibits'!N1778:N1782),"")</f>
        <v/>
      </c>
      <c r="O1782" s="3">
        <f>IF(ISNUMBER(AVERAGE('20250815_ETF_Options_Exhibits'!O1778:O1782)),AVERAGE('20250815_ETF_Options_Exhibits'!O1778:O1782),"")</f>
        <v/>
      </c>
      <c r="P1782" s="3">
        <f>IF(ISNUMBER(AVERAGE('20250815_ETF_Options_Exhibits'!P1778:P1782)),AVERAGE('20250815_ETF_Options_Exhibits'!P1778:P1782),"")</f>
        <v/>
      </c>
      <c r="Q1782" s="3">
        <f>IF(ISNUMBER(AVERAGE('20250815_ETF_Options_Exhibits'!Q1778:Q1782)),AVERAGE('20250815_ETF_Options_Exhibits'!Q1778:Q1782),"")</f>
        <v/>
      </c>
      <c r="R1782" s="3">
        <f>IF(ISNUMBER(AVERAGE('20250815_ETF_Options_Exhibits'!R1778:R1782)),AVERAGE('20250815_ETF_Options_Exhibits'!R1778:R1782),"")</f>
        <v/>
      </c>
      <c r="S1782" s="3">
        <f>IF(ISNUMBER(AVERAGE('20250815_ETF_Options_Exhibits'!S1778:S1782)),AVERAGE('20250815_ETF_Options_Exhibits'!S1778:S1782),"")</f>
        <v/>
      </c>
      <c r="T1782" s="3">
        <f>IF(ISNUMBER(AVERAGE('20250815_ETF_Options_Exhibits'!T1778:T1782)),AVERAGE('20250815_ETF_Options_Exhibits'!T1778:T1782),"")</f>
        <v/>
      </c>
      <c r="U1782" s="3">
        <f>IF(ISNUMBER(AVERAGE('20250815_ETF_Options_Exhibits'!U1778:U1782)),AVERAGE('20250815_ETF_Options_Exhibits'!U1778:U1782),"")</f>
        <v/>
      </c>
      <c r="V1782" s="3">
        <f>IF(ISNUMBER(AVERAGE('20250815_ETF_Options_Exhibits'!V1778:V1782)),AVERAGE('20250815_ETF_Options_Exhibits'!V1778:V1782),"")</f>
        <v/>
      </c>
      <c r="W1782" s="3">
        <f>IF(ISNUMBER(AVERAGE('20250815_ETF_Options_Exhibits'!W1778:W1782)),AVERAGE('20250815_ETF_Options_Exhibits'!W1778:W1782),"")</f>
        <v/>
      </c>
      <c r="X1782" s="3">
        <f>IF(ISNUMBER(AVERAGE('20250815_ETF_Options_Exhibits'!X1778:X1782)),AVERAGE('20250815_ETF_Options_Exhibits'!X1778:X1782),"")</f>
        <v/>
      </c>
      <c r="Y1782" s="3">
        <f>IF(ISNUMBER(AVERAGE('20250815_ETF_Options_Exhibits'!Y1778:Y1782)),AVERAGE('20250815_ETF_Options_Exhibits'!Y1778:Y1782),"")</f>
        <v/>
      </c>
      <c r="Z1782" s="3">
        <f>IF(ISNUMBER(AVERAGE('20250815_ETF_Options_Exhibits'!Z1778:Z1782)),AVERAGE('20250815_ETF_Options_Exhibits'!Z1778:Z1782),"")</f>
        <v/>
      </c>
      <c r="AA1782" s="3">
        <f>IF(ISNUMBER(AVERAGE('20250815_ETF_Options_Exhibits'!AA1778:AA1782)),AVERAGE('20250815_ETF_Options_Exhibits'!AA1778:AA1782),"")</f>
        <v/>
      </c>
    </row>
    <row r="1783">
      <c r="A1783" s="1" t="n">
        <v>44588</v>
      </c>
      <c r="B1783" s="3">
        <f>IF(ISNUMBER(AVERAGE('20250815_ETF_Options_Exhibits'!B1779:B1783)),AVERAGE('20250815_ETF_Options_Exhibits'!B1779:B1783),"")</f>
        <v/>
      </c>
      <c r="C1783" s="3">
        <f>IF(ISNUMBER(AVERAGE('20250815_ETF_Options_Exhibits'!C1779:C1783)),AVERAGE('20250815_ETF_Options_Exhibits'!C1779:C1783),"")</f>
        <v/>
      </c>
      <c r="D1783" s="3">
        <f>IF(ISNUMBER(AVERAGE('20250815_ETF_Options_Exhibits'!D1779:D1783)),AVERAGE('20250815_ETF_Options_Exhibits'!D1779:D1783),"")</f>
        <v/>
      </c>
      <c r="E1783" s="3">
        <f>IF(ISNUMBER(AVERAGE('20250815_ETF_Options_Exhibits'!E1779:E1783)),AVERAGE('20250815_ETF_Options_Exhibits'!E1779:E1783),"")</f>
        <v/>
      </c>
      <c r="F1783" s="3">
        <f>IF(ISNUMBER(AVERAGE('20250815_ETF_Options_Exhibits'!F1779:F1783)),AVERAGE('20250815_ETF_Options_Exhibits'!F1779:F1783),"")</f>
        <v/>
      </c>
      <c r="G1783" s="3">
        <f>IF(ISNUMBER(AVERAGE('20250815_ETF_Options_Exhibits'!G1779:G1783)),AVERAGE('20250815_ETF_Options_Exhibits'!G1779:G1783),"")</f>
        <v/>
      </c>
      <c r="H1783" s="3">
        <f>IF(ISNUMBER(AVERAGE('20250815_ETF_Options_Exhibits'!H1779:H1783)),AVERAGE('20250815_ETF_Options_Exhibits'!H1779:H1783),"")</f>
        <v/>
      </c>
      <c r="I1783" s="3">
        <f>IF(ISNUMBER(AVERAGE('20250815_ETF_Options_Exhibits'!I1779:I1783)),AVERAGE('20250815_ETF_Options_Exhibits'!I1779:I1783),"")</f>
        <v/>
      </c>
      <c r="J1783" s="3">
        <f>IF(ISNUMBER(AVERAGE('20250815_ETF_Options_Exhibits'!J1779:J1783)),AVERAGE('20250815_ETF_Options_Exhibits'!J1779:J1783),"")</f>
        <v/>
      </c>
      <c r="K1783" s="3">
        <f>IF(ISNUMBER(AVERAGE('20250815_ETF_Options_Exhibits'!K1779:K1783)),AVERAGE('20250815_ETF_Options_Exhibits'!K1779:K1783),"")</f>
        <v/>
      </c>
      <c r="L1783" s="3">
        <f>IF(ISNUMBER(AVERAGE('20250815_ETF_Options_Exhibits'!L1779:L1783)),AVERAGE('20250815_ETF_Options_Exhibits'!L1779:L1783),"")</f>
        <v/>
      </c>
      <c r="M1783" s="3">
        <f>IF(ISNUMBER(AVERAGE('20250815_ETF_Options_Exhibits'!M1779:M1783)),AVERAGE('20250815_ETF_Options_Exhibits'!M1779:M1783),"")</f>
        <v/>
      </c>
      <c r="N1783" s="3">
        <f>IF(ISNUMBER(AVERAGE('20250815_ETF_Options_Exhibits'!N1779:N1783)),AVERAGE('20250815_ETF_Options_Exhibits'!N1779:N1783),"")</f>
        <v/>
      </c>
      <c r="O1783" s="3">
        <f>IF(ISNUMBER(AVERAGE('20250815_ETF_Options_Exhibits'!O1779:O1783)),AVERAGE('20250815_ETF_Options_Exhibits'!O1779:O1783),"")</f>
        <v/>
      </c>
      <c r="P1783" s="3">
        <f>IF(ISNUMBER(AVERAGE('20250815_ETF_Options_Exhibits'!P1779:P1783)),AVERAGE('20250815_ETF_Options_Exhibits'!P1779:P1783),"")</f>
        <v/>
      </c>
      <c r="Q1783" s="3">
        <f>IF(ISNUMBER(AVERAGE('20250815_ETF_Options_Exhibits'!Q1779:Q1783)),AVERAGE('20250815_ETF_Options_Exhibits'!Q1779:Q1783),"")</f>
        <v/>
      </c>
      <c r="R1783" s="3">
        <f>IF(ISNUMBER(AVERAGE('20250815_ETF_Options_Exhibits'!R1779:R1783)),AVERAGE('20250815_ETF_Options_Exhibits'!R1779:R1783),"")</f>
        <v/>
      </c>
      <c r="S1783" s="3">
        <f>IF(ISNUMBER(AVERAGE('20250815_ETF_Options_Exhibits'!S1779:S1783)),AVERAGE('20250815_ETF_Options_Exhibits'!S1779:S1783),"")</f>
        <v/>
      </c>
      <c r="T1783" s="3">
        <f>IF(ISNUMBER(AVERAGE('20250815_ETF_Options_Exhibits'!T1779:T1783)),AVERAGE('20250815_ETF_Options_Exhibits'!T1779:T1783),"")</f>
        <v/>
      </c>
      <c r="U1783" s="3">
        <f>IF(ISNUMBER(AVERAGE('20250815_ETF_Options_Exhibits'!U1779:U1783)),AVERAGE('20250815_ETF_Options_Exhibits'!U1779:U1783),"")</f>
        <v/>
      </c>
      <c r="V1783" s="3">
        <f>IF(ISNUMBER(AVERAGE('20250815_ETF_Options_Exhibits'!V1779:V1783)),AVERAGE('20250815_ETF_Options_Exhibits'!V1779:V1783),"")</f>
        <v/>
      </c>
      <c r="W1783" s="3">
        <f>IF(ISNUMBER(AVERAGE('20250815_ETF_Options_Exhibits'!W1779:W1783)),AVERAGE('20250815_ETF_Options_Exhibits'!W1779:W1783),"")</f>
        <v/>
      </c>
      <c r="X1783" s="3">
        <f>IF(ISNUMBER(AVERAGE('20250815_ETF_Options_Exhibits'!X1779:X1783)),AVERAGE('20250815_ETF_Options_Exhibits'!X1779:X1783),"")</f>
        <v/>
      </c>
      <c r="Y1783" s="3">
        <f>IF(ISNUMBER(AVERAGE('20250815_ETF_Options_Exhibits'!Y1779:Y1783)),AVERAGE('20250815_ETF_Options_Exhibits'!Y1779:Y1783),"")</f>
        <v/>
      </c>
      <c r="Z1783" s="3">
        <f>IF(ISNUMBER(AVERAGE('20250815_ETF_Options_Exhibits'!Z1779:Z1783)),AVERAGE('20250815_ETF_Options_Exhibits'!Z1779:Z1783),"")</f>
        <v/>
      </c>
      <c r="AA1783" s="3">
        <f>IF(ISNUMBER(AVERAGE('20250815_ETF_Options_Exhibits'!AA1779:AA1783)),AVERAGE('20250815_ETF_Options_Exhibits'!AA1779:AA1783),"")</f>
        <v/>
      </c>
    </row>
    <row r="1784">
      <c r="A1784" s="1" t="n">
        <v>44589</v>
      </c>
      <c r="B1784" s="3">
        <f>IF(ISNUMBER(AVERAGE('20250815_ETF_Options_Exhibits'!B1780:B1784)),AVERAGE('20250815_ETF_Options_Exhibits'!B1780:B1784),"")</f>
        <v/>
      </c>
      <c r="C1784" s="3">
        <f>IF(ISNUMBER(AVERAGE('20250815_ETF_Options_Exhibits'!C1780:C1784)),AVERAGE('20250815_ETF_Options_Exhibits'!C1780:C1784),"")</f>
        <v/>
      </c>
      <c r="D1784" s="3">
        <f>IF(ISNUMBER(AVERAGE('20250815_ETF_Options_Exhibits'!D1780:D1784)),AVERAGE('20250815_ETF_Options_Exhibits'!D1780:D1784),"")</f>
        <v/>
      </c>
      <c r="E1784" s="3">
        <f>IF(ISNUMBER(AVERAGE('20250815_ETF_Options_Exhibits'!E1780:E1784)),AVERAGE('20250815_ETF_Options_Exhibits'!E1780:E1784),"")</f>
        <v/>
      </c>
      <c r="F1784" s="3">
        <f>IF(ISNUMBER(AVERAGE('20250815_ETF_Options_Exhibits'!F1780:F1784)),AVERAGE('20250815_ETF_Options_Exhibits'!F1780:F1784),"")</f>
        <v/>
      </c>
      <c r="G1784" s="3">
        <f>IF(ISNUMBER(AVERAGE('20250815_ETF_Options_Exhibits'!G1780:G1784)),AVERAGE('20250815_ETF_Options_Exhibits'!G1780:G1784),"")</f>
        <v/>
      </c>
      <c r="H1784" s="3">
        <f>IF(ISNUMBER(AVERAGE('20250815_ETF_Options_Exhibits'!H1780:H1784)),AVERAGE('20250815_ETF_Options_Exhibits'!H1780:H1784),"")</f>
        <v/>
      </c>
      <c r="I1784" s="3">
        <f>IF(ISNUMBER(AVERAGE('20250815_ETF_Options_Exhibits'!I1780:I1784)),AVERAGE('20250815_ETF_Options_Exhibits'!I1780:I1784),"")</f>
        <v/>
      </c>
      <c r="J1784" s="3">
        <f>IF(ISNUMBER(AVERAGE('20250815_ETF_Options_Exhibits'!J1780:J1784)),AVERAGE('20250815_ETF_Options_Exhibits'!J1780:J1784),"")</f>
        <v/>
      </c>
      <c r="K1784" s="3">
        <f>IF(ISNUMBER(AVERAGE('20250815_ETF_Options_Exhibits'!K1780:K1784)),AVERAGE('20250815_ETF_Options_Exhibits'!K1780:K1784),"")</f>
        <v/>
      </c>
      <c r="L1784" s="3">
        <f>IF(ISNUMBER(AVERAGE('20250815_ETF_Options_Exhibits'!L1780:L1784)),AVERAGE('20250815_ETF_Options_Exhibits'!L1780:L1784),"")</f>
        <v/>
      </c>
      <c r="M1784" s="3">
        <f>IF(ISNUMBER(AVERAGE('20250815_ETF_Options_Exhibits'!M1780:M1784)),AVERAGE('20250815_ETF_Options_Exhibits'!M1780:M1784),"")</f>
        <v/>
      </c>
      <c r="N1784" s="3">
        <f>IF(ISNUMBER(AVERAGE('20250815_ETF_Options_Exhibits'!N1780:N1784)),AVERAGE('20250815_ETF_Options_Exhibits'!N1780:N1784),"")</f>
        <v/>
      </c>
      <c r="O1784" s="3">
        <f>IF(ISNUMBER(AVERAGE('20250815_ETF_Options_Exhibits'!O1780:O1784)),AVERAGE('20250815_ETF_Options_Exhibits'!O1780:O1784),"")</f>
        <v/>
      </c>
      <c r="P1784" s="3">
        <f>IF(ISNUMBER(AVERAGE('20250815_ETF_Options_Exhibits'!P1780:P1784)),AVERAGE('20250815_ETF_Options_Exhibits'!P1780:P1784),"")</f>
        <v/>
      </c>
      <c r="Q1784" s="3">
        <f>IF(ISNUMBER(AVERAGE('20250815_ETF_Options_Exhibits'!Q1780:Q1784)),AVERAGE('20250815_ETF_Options_Exhibits'!Q1780:Q1784),"")</f>
        <v/>
      </c>
      <c r="R1784" s="3">
        <f>IF(ISNUMBER(AVERAGE('20250815_ETF_Options_Exhibits'!R1780:R1784)),AVERAGE('20250815_ETF_Options_Exhibits'!R1780:R1784),"")</f>
        <v/>
      </c>
      <c r="S1784" s="3">
        <f>IF(ISNUMBER(AVERAGE('20250815_ETF_Options_Exhibits'!S1780:S1784)),AVERAGE('20250815_ETF_Options_Exhibits'!S1780:S1784),"")</f>
        <v/>
      </c>
      <c r="T1784" s="3">
        <f>IF(ISNUMBER(AVERAGE('20250815_ETF_Options_Exhibits'!T1780:T1784)),AVERAGE('20250815_ETF_Options_Exhibits'!T1780:T1784),"")</f>
        <v/>
      </c>
      <c r="U1784" s="3">
        <f>IF(ISNUMBER(AVERAGE('20250815_ETF_Options_Exhibits'!U1780:U1784)),AVERAGE('20250815_ETF_Options_Exhibits'!U1780:U1784),"")</f>
        <v/>
      </c>
      <c r="V1784" s="3">
        <f>IF(ISNUMBER(AVERAGE('20250815_ETF_Options_Exhibits'!V1780:V1784)),AVERAGE('20250815_ETF_Options_Exhibits'!V1780:V1784),"")</f>
        <v/>
      </c>
      <c r="W1784" s="3">
        <f>IF(ISNUMBER(AVERAGE('20250815_ETF_Options_Exhibits'!W1780:W1784)),AVERAGE('20250815_ETF_Options_Exhibits'!W1780:W1784),"")</f>
        <v/>
      </c>
      <c r="X1784" s="3">
        <f>IF(ISNUMBER(AVERAGE('20250815_ETF_Options_Exhibits'!X1780:X1784)),AVERAGE('20250815_ETF_Options_Exhibits'!X1780:X1784),"")</f>
        <v/>
      </c>
      <c r="Y1784" s="3">
        <f>IF(ISNUMBER(AVERAGE('20250815_ETF_Options_Exhibits'!Y1780:Y1784)),AVERAGE('20250815_ETF_Options_Exhibits'!Y1780:Y1784),"")</f>
        <v/>
      </c>
      <c r="Z1784" s="3">
        <f>IF(ISNUMBER(AVERAGE('20250815_ETF_Options_Exhibits'!Z1780:Z1784)),AVERAGE('20250815_ETF_Options_Exhibits'!Z1780:Z1784),"")</f>
        <v/>
      </c>
      <c r="AA1784" s="3">
        <f>IF(ISNUMBER(AVERAGE('20250815_ETF_Options_Exhibits'!AA1780:AA1784)),AVERAGE('20250815_ETF_Options_Exhibits'!AA1780:AA1784),"")</f>
        <v/>
      </c>
    </row>
    <row r="1785">
      <c r="A1785" s="1" t="n">
        <v>44592</v>
      </c>
      <c r="B1785" s="3">
        <f>IF(ISNUMBER(AVERAGE('20250815_ETF_Options_Exhibits'!B1781:B1785)),AVERAGE('20250815_ETF_Options_Exhibits'!B1781:B1785),"")</f>
        <v/>
      </c>
      <c r="C1785" s="3">
        <f>IF(ISNUMBER(AVERAGE('20250815_ETF_Options_Exhibits'!C1781:C1785)),AVERAGE('20250815_ETF_Options_Exhibits'!C1781:C1785),"")</f>
        <v/>
      </c>
      <c r="D1785" s="3">
        <f>IF(ISNUMBER(AVERAGE('20250815_ETF_Options_Exhibits'!D1781:D1785)),AVERAGE('20250815_ETF_Options_Exhibits'!D1781:D1785),"")</f>
        <v/>
      </c>
      <c r="E1785" s="3">
        <f>IF(ISNUMBER(AVERAGE('20250815_ETF_Options_Exhibits'!E1781:E1785)),AVERAGE('20250815_ETF_Options_Exhibits'!E1781:E1785),"")</f>
        <v/>
      </c>
      <c r="F1785" s="3">
        <f>IF(ISNUMBER(AVERAGE('20250815_ETF_Options_Exhibits'!F1781:F1785)),AVERAGE('20250815_ETF_Options_Exhibits'!F1781:F1785),"")</f>
        <v/>
      </c>
      <c r="G1785" s="3">
        <f>IF(ISNUMBER(AVERAGE('20250815_ETF_Options_Exhibits'!G1781:G1785)),AVERAGE('20250815_ETF_Options_Exhibits'!G1781:G1785),"")</f>
        <v/>
      </c>
      <c r="H1785" s="3">
        <f>IF(ISNUMBER(AVERAGE('20250815_ETF_Options_Exhibits'!H1781:H1785)),AVERAGE('20250815_ETF_Options_Exhibits'!H1781:H1785),"")</f>
        <v/>
      </c>
      <c r="I1785" s="3">
        <f>IF(ISNUMBER(AVERAGE('20250815_ETF_Options_Exhibits'!I1781:I1785)),AVERAGE('20250815_ETF_Options_Exhibits'!I1781:I1785),"")</f>
        <v/>
      </c>
      <c r="J1785" s="3">
        <f>IF(ISNUMBER(AVERAGE('20250815_ETF_Options_Exhibits'!J1781:J1785)),AVERAGE('20250815_ETF_Options_Exhibits'!J1781:J1785),"")</f>
        <v/>
      </c>
      <c r="K1785" s="3">
        <f>IF(ISNUMBER(AVERAGE('20250815_ETF_Options_Exhibits'!K1781:K1785)),AVERAGE('20250815_ETF_Options_Exhibits'!K1781:K1785),"")</f>
        <v/>
      </c>
      <c r="L1785" s="3">
        <f>IF(ISNUMBER(AVERAGE('20250815_ETF_Options_Exhibits'!L1781:L1785)),AVERAGE('20250815_ETF_Options_Exhibits'!L1781:L1785),"")</f>
        <v/>
      </c>
      <c r="M1785" s="3">
        <f>IF(ISNUMBER(AVERAGE('20250815_ETF_Options_Exhibits'!M1781:M1785)),AVERAGE('20250815_ETF_Options_Exhibits'!M1781:M1785),"")</f>
        <v/>
      </c>
      <c r="N1785" s="3">
        <f>IF(ISNUMBER(AVERAGE('20250815_ETF_Options_Exhibits'!N1781:N1785)),AVERAGE('20250815_ETF_Options_Exhibits'!N1781:N1785),"")</f>
        <v/>
      </c>
      <c r="O1785" s="3">
        <f>IF(ISNUMBER(AVERAGE('20250815_ETF_Options_Exhibits'!O1781:O1785)),AVERAGE('20250815_ETF_Options_Exhibits'!O1781:O1785),"")</f>
        <v/>
      </c>
      <c r="P1785" s="3">
        <f>IF(ISNUMBER(AVERAGE('20250815_ETF_Options_Exhibits'!P1781:P1785)),AVERAGE('20250815_ETF_Options_Exhibits'!P1781:P1785),"")</f>
        <v/>
      </c>
      <c r="Q1785" s="3">
        <f>IF(ISNUMBER(AVERAGE('20250815_ETF_Options_Exhibits'!Q1781:Q1785)),AVERAGE('20250815_ETF_Options_Exhibits'!Q1781:Q1785),"")</f>
        <v/>
      </c>
      <c r="R1785" s="3">
        <f>IF(ISNUMBER(AVERAGE('20250815_ETF_Options_Exhibits'!R1781:R1785)),AVERAGE('20250815_ETF_Options_Exhibits'!R1781:R1785),"")</f>
        <v/>
      </c>
      <c r="S1785" s="3">
        <f>IF(ISNUMBER(AVERAGE('20250815_ETF_Options_Exhibits'!S1781:S1785)),AVERAGE('20250815_ETF_Options_Exhibits'!S1781:S1785),"")</f>
        <v/>
      </c>
      <c r="T1785" s="3">
        <f>IF(ISNUMBER(AVERAGE('20250815_ETF_Options_Exhibits'!T1781:T1785)),AVERAGE('20250815_ETF_Options_Exhibits'!T1781:T1785),"")</f>
        <v/>
      </c>
      <c r="U1785" s="3">
        <f>IF(ISNUMBER(AVERAGE('20250815_ETF_Options_Exhibits'!U1781:U1785)),AVERAGE('20250815_ETF_Options_Exhibits'!U1781:U1785),"")</f>
        <v/>
      </c>
      <c r="V1785" s="3">
        <f>IF(ISNUMBER(AVERAGE('20250815_ETF_Options_Exhibits'!V1781:V1785)),AVERAGE('20250815_ETF_Options_Exhibits'!V1781:V1785),"")</f>
        <v/>
      </c>
      <c r="W1785" s="3">
        <f>IF(ISNUMBER(AVERAGE('20250815_ETF_Options_Exhibits'!W1781:W1785)),AVERAGE('20250815_ETF_Options_Exhibits'!W1781:W1785),"")</f>
        <v/>
      </c>
      <c r="X1785" s="3">
        <f>IF(ISNUMBER(AVERAGE('20250815_ETF_Options_Exhibits'!X1781:X1785)),AVERAGE('20250815_ETF_Options_Exhibits'!X1781:X1785),"")</f>
        <v/>
      </c>
      <c r="Y1785" s="3">
        <f>IF(ISNUMBER(AVERAGE('20250815_ETF_Options_Exhibits'!Y1781:Y1785)),AVERAGE('20250815_ETF_Options_Exhibits'!Y1781:Y1785),"")</f>
        <v/>
      </c>
      <c r="Z1785" s="3">
        <f>IF(ISNUMBER(AVERAGE('20250815_ETF_Options_Exhibits'!Z1781:Z1785)),AVERAGE('20250815_ETF_Options_Exhibits'!Z1781:Z1785),"")</f>
        <v/>
      </c>
      <c r="AA1785" s="3">
        <f>IF(ISNUMBER(AVERAGE('20250815_ETF_Options_Exhibits'!AA1781:AA1785)),AVERAGE('20250815_ETF_Options_Exhibits'!AA1781:AA1785),"")</f>
        <v/>
      </c>
    </row>
    <row r="1786">
      <c r="A1786" s="1" t="n">
        <v>44593</v>
      </c>
      <c r="B1786" s="3">
        <f>IF(ISNUMBER(AVERAGE('20250815_ETF_Options_Exhibits'!B1782:B1786)),AVERAGE('20250815_ETF_Options_Exhibits'!B1782:B1786),"")</f>
        <v/>
      </c>
      <c r="C1786" s="3">
        <f>IF(ISNUMBER(AVERAGE('20250815_ETF_Options_Exhibits'!C1782:C1786)),AVERAGE('20250815_ETF_Options_Exhibits'!C1782:C1786),"")</f>
        <v/>
      </c>
      <c r="D1786" s="3">
        <f>IF(ISNUMBER(AVERAGE('20250815_ETF_Options_Exhibits'!D1782:D1786)),AVERAGE('20250815_ETF_Options_Exhibits'!D1782:D1786),"")</f>
        <v/>
      </c>
      <c r="E1786" s="3">
        <f>IF(ISNUMBER(AVERAGE('20250815_ETF_Options_Exhibits'!E1782:E1786)),AVERAGE('20250815_ETF_Options_Exhibits'!E1782:E1786),"")</f>
        <v/>
      </c>
      <c r="F1786" s="3">
        <f>IF(ISNUMBER(AVERAGE('20250815_ETF_Options_Exhibits'!F1782:F1786)),AVERAGE('20250815_ETF_Options_Exhibits'!F1782:F1786),"")</f>
        <v/>
      </c>
      <c r="G1786" s="3">
        <f>IF(ISNUMBER(AVERAGE('20250815_ETF_Options_Exhibits'!G1782:G1786)),AVERAGE('20250815_ETF_Options_Exhibits'!G1782:G1786),"")</f>
        <v/>
      </c>
      <c r="H1786" s="3">
        <f>IF(ISNUMBER(AVERAGE('20250815_ETF_Options_Exhibits'!H1782:H1786)),AVERAGE('20250815_ETF_Options_Exhibits'!H1782:H1786),"")</f>
        <v/>
      </c>
      <c r="I1786" s="3">
        <f>IF(ISNUMBER(AVERAGE('20250815_ETF_Options_Exhibits'!I1782:I1786)),AVERAGE('20250815_ETF_Options_Exhibits'!I1782:I1786),"")</f>
        <v/>
      </c>
      <c r="J1786" s="3">
        <f>IF(ISNUMBER(AVERAGE('20250815_ETF_Options_Exhibits'!J1782:J1786)),AVERAGE('20250815_ETF_Options_Exhibits'!J1782:J1786),"")</f>
        <v/>
      </c>
      <c r="K1786" s="3">
        <f>IF(ISNUMBER(AVERAGE('20250815_ETF_Options_Exhibits'!K1782:K1786)),AVERAGE('20250815_ETF_Options_Exhibits'!K1782:K1786),"")</f>
        <v/>
      </c>
      <c r="L1786" s="3">
        <f>IF(ISNUMBER(AVERAGE('20250815_ETF_Options_Exhibits'!L1782:L1786)),AVERAGE('20250815_ETF_Options_Exhibits'!L1782:L1786),"")</f>
        <v/>
      </c>
      <c r="M1786" s="3">
        <f>IF(ISNUMBER(AVERAGE('20250815_ETF_Options_Exhibits'!M1782:M1786)),AVERAGE('20250815_ETF_Options_Exhibits'!M1782:M1786),"")</f>
        <v/>
      </c>
      <c r="N1786" s="3">
        <f>IF(ISNUMBER(AVERAGE('20250815_ETF_Options_Exhibits'!N1782:N1786)),AVERAGE('20250815_ETF_Options_Exhibits'!N1782:N1786),"")</f>
        <v/>
      </c>
      <c r="O1786" s="3">
        <f>IF(ISNUMBER(AVERAGE('20250815_ETF_Options_Exhibits'!O1782:O1786)),AVERAGE('20250815_ETF_Options_Exhibits'!O1782:O1786),"")</f>
        <v/>
      </c>
      <c r="P1786" s="3">
        <f>IF(ISNUMBER(AVERAGE('20250815_ETF_Options_Exhibits'!P1782:P1786)),AVERAGE('20250815_ETF_Options_Exhibits'!P1782:P1786),"")</f>
        <v/>
      </c>
      <c r="Q1786" s="3">
        <f>IF(ISNUMBER(AVERAGE('20250815_ETF_Options_Exhibits'!Q1782:Q1786)),AVERAGE('20250815_ETF_Options_Exhibits'!Q1782:Q1786),"")</f>
        <v/>
      </c>
      <c r="R1786" s="3">
        <f>IF(ISNUMBER(AVERAGE('20250815_ETF_Options_Exhibits'!R1782:R1786)),AVERAGE('20250815_ETF_Options_Exhibits'!R1782:R1786),"")</f>
        <v/>
      </c>
      <c r="S1786" s="3">
        <f>IF(ISNUMBER(AVERAGE('20250815_ETF_Options_Exhibits'!S1782:S1786)),AVERAGE('20250815_ETF_Options_Exhibits'!S1782:S1786),"")</f>
        <v/>
      </c>
      <c r="T1786" s="3">
        <f>IF(ISNUMBER(AVERAGE('20250815_ETF_Options_Exhibits'!T1782:T1786)),AVERAGE('20250815_ETF_Options_Exhibits'!T1782:T1786),"")</f>
        <v/>
      </c>
      <c r="U1786" s="3">
        <f>IF(ISNUMBER(AVERAGE('20250815_ETF_Options_Exhibits'!U1782:U1786)),AVERAGE('20250815_ETF_Options_Exhibits'!U1782:U1786),"")</f>
        <v/>
      </c>
      <c r="V1786" s="3">
        <f>IF(ISNUMBER(AVERAGE('20250815_ETF_Options_Exhibits'!V1782:V1786)),AVERAGE('20250815_ETF_Options_Exhibits'!V1782:V1786),"")</f>
        <v/>
      </c>
      <c r="W1786" s="3">
        <f>IF(ISNUMBER(AVERAGE('20250815_ETF_Options_Exhibits'!W1782:W1786)),AVERAGE('20250815_ETF_Options_Exhibits'!W1782:W1786),"")</f>
        <v/>
      </c>
      <c r="X1786" s="3">
        <f>IF(ISNUMBER(AVERAGE('20250815_ETF_Options_Exhibits'!X1782:X1786)),AVERAGE('20250815_ETF_Options_Exhibits'!X1782:X1786),"")</f>
        <v/>
      </c>
      <c r="Y1786" s="3">
        <f>IF(ISNUMBER(AVERAGE('20250815_ETF_Options_Exhibits'!Y1782:Y1786)),AVERAGE('20250815_ETF_Options_Exhibits'!Y1782:Y1786),"")</f>
        <v/>
      </c>
      <c r="Z1786" s="3">
        <f>IF(ISNUMBER(AVERAGE('20250815_ETF_Options_Exhibits'!Z1782:Z1786)),AVERAGE('20250815_ETF_Options_Exhibits'!Z1782:Z1786),"")</f>
        <v/>
      </c>
      <c r="AA1786" s="3">
        <f>IF(ISNUMBER(AVERAGE('20250815_ETF_Options_Exhibits'!AA1782:AA1786)),AVERAGE('20250815_ETF_Options_Exhibits'!AA1782:AA1786),"")</f>
        <v/>
      </c>
    </row>
    <row r="1787">
      <c r="A1787" s="1" t="n">
        <v>44594</v>
      </c>
      <c r="B1787" s="3">
        <f>IF(ISNUMBER(AVERAGE('20250815_ETF_Options_Exhibits'!B1783:B1787)),AVERAGE('20250815_ETF_Options_Exhibits'!B1783:B1787),"")</f>
        <v/>
      </c>
      <c r="C1787" s="3">
        <f>IF(ISNUMBER(AVERAGE('20250815_ETF_Options_Exhibits'!C1783:C1787)),AVERAGE('20250815_ETF_Options_Exhibits'!C1783:C1787),"")</f>
        <v/>
      </c>
      <c r="D1787" s="3">
        <f>IF(ISNUMBER(AVERAGE('20250815_ETF_Options_Exhibits'!D1783:D1787)),AVERAGE('20250815_ETF_Options_Exhibits'!D1783:D1787),"")</f>
        <v/>
      </c>
      <c r="E1787" s="3">
        <f>IF(ISNUMBER(AVERAGE('20250815_ETF_Options_Exhibits'!E1783:E1787)),AVERAGE('20250815_ETF_Options_Exhibits'!E1783:E1787),"")</f>
        <v/>
      </c>
      <c r="F1787" s="3">
        <f>IF(ISNUMBER(AVERAGE('20250815_ETF_Options_Exhibits'!F1783:F1787)),AVERAGE('20250815_ETF_Options_Exhibits'!F1783:F1787),"")</f>
        <v/>
      </c>
      <c r="G1787" s="3">
        <f>IF(ISNUMBER(AVERAGE('20250815_ETF_Options_Exhibits'!G1783:G1787)),AVERAGE('20250815_ETF_Options_Exhibits'!G1783:G1787),"")</f>
        <v/>
      </c>
      <c r="H1787" s="3">
        <f>IF(ISNUMBER(AVERAGE('20250815_ETF_Options_Exhibits'!H1783:H1787)),AVERAGE('20250815_ETF_Options_Exhibits'!H1783:H1787),"")</f>
        <v/>
      </c>
      <c r="I1787" s="3">
        <f>IF(ISNUMBER(AVERAGE('20250815_ETF_Options_Exhibits'!I1783:I1787)),AVERAGE('20250815_ETF_Options_Exhibits'!I1783:I1787),"")</f>
        <v/>
      </c>
      <c r="J1787" s="3">
        <f>IF(ISNUMBER(AVERAGE('20250815_ETF_Options_Exhibits'!J1783:J1787)),AVERAGE('20250815_ETF_Options_Exhibits'!J1783:J1787),"")</f>
        <v/>
      </c>
      <c r="K1787" s="3">
        <f>IF(ISNUMBER(AVERAGE('20250815_ETF_Options_Exhibits'!K1783:K1787)),AVERAGE('20250815_ETF_Options_Exhibits'!K1783:K1787),"")</f>
        <v/>
      </c>
      <c r="L1787" s="3">
        <f>IF(ISNUMBER(AVERAGE('20250815_ETF_Options_Exhibits'!L1783:L1787)),AVERAGE('20250815_ETF_Options_Exhibits'!L1783:L1787),"")</f>
        <v/>
      </c>
      <c r="M1787" s="3">
        <f>IF(ISNUMBER(AVERAGE('20250815_ETF_Options_Exhibits'!M1783:M1787)),AVERAGE('20250815_ETF_Options_Exhibits'!M1783:M1787),"")</f>
        <v/>
      </c>
      <c r="N1787" s="3">
        <f>IF(ISNUMBER(AVERAGE('20250815_ETF_Options_Exhibits'!N1783:N1787)),AVERAGE('20250815_ETF_Options_Exhibits'!N1783:N1787),"")</f>
        <v/>
      </c>
      <c r="O1787" s="3">
        <f>IF(ISNUMBER(AVERAGE('20250815_ETF_Options_Exhibits'!O1783:O1787)),AVERAGE('20250815_ETF_Options_Exhibits'!O1783:O1787),"")</f>
        <v/>
      </c>
      <c r="P1787" s="3">
        <f>IF(ISNUMBER(AVERAGE('20250815_ETF_Options_Exhibits'!P1783:P1787)),AVERAGE('20250815_ETF_Options_Exhibits'!P1783:P1787),"")</f>
        <v/>
      </c>
      <c r="Q1787" s="3">
        <f>IF(ISNUMBER(AVERAGE('20250815_ETF_Options_Exhibits'!Q1783:Q1787)),AVERAGE('20250815_ETF_Options_Exhibits'!Q1783:Q1787),"")</f>
        <v/>
      </c>
      <c r="R1787" s="3">
        <f>IF(ISNUMBER(AVERAGE('20250815_ETF_Options_Exhibits'!R1783:R1787)),AVERAGE('20250815_ETF_Options_Exhibits'!R1783:R1787),"")</f>
        <v/>
      </c>
      <c r="S1787" s="3">
        <f>IF(ISNUMBER(AVERAGE('20250815_ETF_Options_Exhibits'!S1783:S1787)),AVERAGE('20250815_ETF_Options_Exhibits'!S1783:S1787),"")</f>
        <v/>
      </c>
      <c r="T1787" s="3">
        <f>IF(ISNUMBER(AVERAGE('20250815_ETF_Options_Exhibits'!T1783:T1787)),AVERAGE('20250815_ETF_Options_Exhibits'!T1783:T1787),"")</f>
        <v/>
      </c>
      <c r="U1787" s="3">
        <f>IF(ISNUMBER(AVERAGE('20250815_ETF_Options_Exhibits'!U1783:U1787)),AVERAGE('20250815_ETF_Options_Exhibits'!U1783:U1787),"")</f>
        <v/>
      </c>
      <c r="V1787" s="3">
        <f>IF(ISNUMBER(AVERAGE('20250815_ETF_Options_Exhibits'!V1783:V1787)),AVERAGE('20250815_ETF_Options_Exhibits'!V1783:V1787),"")</f>
        <v/>
      </c>
      <c r="W1787" s="3">
        <f>IF(ISNUMBER(AVERAGE('20250815_ETF_Options_Exhibits'!W1783:W1787)),AVERAGE('20250815_ETF_Options_Exhibits'!W1783:W1787),"")</f>
        <v/>
      </c>
      <c r="X1787" s="3">
        <f>IF(ISNUMBER(AVERAGE('20250815_ETF_Options_Exhibits'!X1783:X1787)),AVERAGE('20250815_ETF_Options_Exhibits'!X1783:X1787),"")</f>
        <v/>
      </c>
      <c r="Y1787" s="3">
        <f>IF(ISNUMBER(AVERAGE('20250815_ETF_Options_Exhibits'!Y1783:Y1787)),AVERAGE('20250815_ETF_Options_Exhibits'!Y1783:Y1787),"")</f>
        <v/>
      </c>
      <c r="Z1787" s="3">
        <f>IF(ISNUMBER(AVERAGE('20250815_ETF_Options_Exhibits'!Z1783:Z1787)),AVERAGE('20250815_ETF_Options_Exhibits'!Z1783:Z1787),"")</f>
        <v/>
      </c>
      <c r="AA1787" s="3">
        <f>IF(ISNUMBER(AVERAGE('20250815_ETF_Options_Exhibits'!AA1783:AA1787)),AVERAGE('20250815_ETF_Options_Exhibits'!AA1783:AA1787),"")</f>
        <v/>
      </c>
    </row>
    <row r="1788">
      <c r="A1788" s="1" t="n">
        <v>44595</v>
      </c>
      <c r="B1788" s="3">
        <f>IF(ISNUMBER(AVERAGE('20250815_ETF_Options_Exhibits'!B1784:B1788)),AVERAGE('20250815_ETF_Options_Exhibits'!B1784:B1788),"")</f>
        <v/>
      </c>
      <c r="C1788" s="3">
        <f>IF(ISNUMBER(AVERAGE('20250815_ETF_Options_Exhibits'!C1784:C1788)),AVERAGE('20250815_ETF_Options_Exhibits'!C1784:C1788),"")</f>
        <v/>
      </c>
      <c r="D1788" s="3">
        <f>IF(ISNUMBER(AVERAGE('20250815_ETF_Options_Exhibits'!D1784:D1788)),AVERAGE('20250815_ETF_Options_Exhibits'!D1784:D1788),"")</f>
        <v/>
      </c>
      <c r="E1788" s="3">
        <f>IF(ISNUMBER(AVERAGE('20250815_ETF_Options_Exhibits'!E1784:E1788)),AVERAGE('20250815_ETF_Options_Exhibits'!E1784:E1788),"")</f>
        <v/>
      </c>
      <c r="F1788" s="3">
        <f>IF(ISNUMBER(AVERAGE('20250815_ETF_Options_Exhibits'!F1784:F1788)),AVERAGE('20250815_ETF_Options_Exhibits'!F1784:F1788),"")</f>
        <v/>
      </c>
      <c r="G1788" s="3">
        <f>IF(ISNUMBER(AVERAGE('20250815_ETF_Options_Exhibits'!G1784:G1788)),AVERAGE('20250815_ETF_Options_Exhibits'!G1784:G1788),"")</f>
        <v/>
      </c>
      <c r="H1788" s="3">
        <f>IF(ISNUMBER(AVERAGE('20250815_ETF_Options_Exhibits'!H1784:H1788)),AVERAGE('20250815_ETF_Options_Exhibits'!H1784:H1788),"")</f>
        <v/>
      </c>
      <c r="I1788" s="3">
        <f>IF(ISNUMBER(AVERAGE('20250815_ETF_Options_Exhibits'!I1784:I1788)),AVERAGE('20250815_ETF_Options_Exhibits'!I1784:I1788),"")</f>
        <v/>
      </c>
      <c r="J1788" s="3">
        <f>IF(ISNUMBER(AVERAGE('20250815_ETF_Options_Exhibits'!J1784:J1788)),AVERAGE('20250815_ETF_Options_Exhibits'!J1784:J1788),"")</f>
        <v/>
      </c>
      <c r="K1788" s="3">
        <f>IF(ISNUMBER(AVERAGE('20250815_ETF_Options_Exhibits'!K1784:K1788)),AVERAGE('20250815_ETF_Options_Exhibits'!K1784:K1788),"")</f>
        <v/>
      </c>
      <c r="L1788" s="3">
        <f>IF(ISNUMBER(AVERAGE('20250815_ETF_Options_Exhibits'!L1784:L1788)),AVERAGE('20250815_ETF_Options_Exhibits'!L1784:L1788),"")</f>
        <v/>
      </c>
      <c r="M1788" s="3">
        <f>IF(ISNUMBER(AVERAGE('20250815_ETF_Options_Exhibits'!M1784:M1788)),AVERAGE('20250815_ETF_Options_Exhibits'!M1784:M1788),"")</f>
        <v/>
      </c>
      <c r="N1788" s="3">
        <f>IF(ISNUMBER(AVERAGE('20250815_ETF_Options_Exhibits'!N1784:N1788)),AVERAGE('20250815_ETF_Options_Exhibits'!N1784:N1788),"")</f>
        <v/>
      </c>
      <c r="O1788" s="3">
        <f>IF(ISNUMBER(AVERAGE('20250815_ETF_Options_Exhibits'!O1784:O1788)),AVERAGE('20250815_ETF_Options_Exhibits'!O1784:O1788),"")</f>
        <v/>
      </c>
      <c r="P1788" s="3">
        <f>IF(ISNUMBER(AVERAGE('20250815_ETF_Options_Exhibits'!P1784:P1788)),AVERAGE('20250815_ETF_Options_Exhibits'!P1784:P1788),"")</f>
        <v/>
      </c>
      <c r="Q1788" s="3">
        <f>IF(ISNUMBER(AVERAGE('20250815_ETF_Options_Exhibits'!Q1784:Q1788)),AVERAGE('20250815_ETF_Options_Exhibits'!Q1784:Q1788),"")</f>
        <v/>
      </c>
      <c r="R1788" s="3">
        <f>IF(ISNUMBER(AVERAGE('20250815_ETF_Options_Exhibits'!R1784:R1788)),AVERAGE('20250815_ETF_Options_Exhibits'!R1784:R1788),"")</f>
        <v/>
      </c>
      <c r="S1788" s="3">
        <f>IF(ISNUMBER(AVERAGE('20250815_ETF_Options_Exhibits'!S1784:S1788)),AVERAGE('20250815_ETF_Options_Exhibits'!S1784:S1788),"")</f>
        <v/>
      </c>
      <c r="T1788" s="3">
        <f>IF(ISNUMBER(AVERAGE('20250815_ETF_Options_Exhibits'!T1784:T1788)),AVERAGE('20250815_ETF_Options_Exhibits'!T1784:T1788),"")</f>
        <v/>
      </c>
      <c r="U1788" s="3">
        <f>IF(ISNUMBER(AVERAGE('20250815_ETF_Options_Exhibits'!U1784:U1788)),AVERAGE('20250815_ETF_Options_Exhibits'!U1784:U1788),"")</f>
        <v/>
      </c>
      <c r="V1788" s="3">
        <f>IF(ISNUMBER(AVERAGE('20250815_ETF_Options_Exhibits'!V1784:V1788)),AVERAGE('20250815_ETF_Options_Exhibits'!V1784:V1788),"")</f>
        <v/>
      </c>
      <c r="W1788" s="3">
        <f>IF(ISNUMBER(AVERAGE('20250815_ETF_Options_Exhibits'!W1784:W1788)),AVERAGE('20250815_ETF_Options_Exhibits'!W1784:W1788),"")</f>
        <v/>
      </c>
      <c r="X1788" s="3">
        <f>IF(ISNUMBER(AVERAGE('20250815_ETF_Options_Exhibits'!X1784:X1788)),AVERAGE('20250815_ETF_Options_Exhibits'!X1784:X1788),"")</f>
        <v/>
      </c>
      <c r="Y1788" s="3">
        <f>IF(ISNUMBER(AVERAGE('20250815_ETF_Options_Exhibits'!Y1784:Y1788)),AVERAGE('20250815_ETF_Options_Exhibits'!Y1784:Y1788),"")</f>
        <v/>
      </c>
      <c r="Z1788" s="3">
        <f>IF(ISNUMBER(AVERAGE('20250815_ETF_Options_Exhibits'!Z1784:Z1788)),AVERAGE('20250815_ETF_Options_Exhibits'!Z1784:Z1788),"")</f>
        <v/>
      </c>
      <c r="AA1788" s="3">
        <f>IF(ISNUMBER(AVERAGE('20250815_ETF_Options_Exhibits'!AA1784:AA1788)),AVERAGE('20250815_ETF_Options_Exhibits'!AA1784:AA1788),"")</f>
        <v/>
      </c>
    </row>
    <row r="1789">
      <c r="A1789" s="1" t="n">
        <v>44596</v>
      </c>
      <c r="B1789" s="3">
        <f>IF(ISNUMBER(AVERAGE('20250815_ETF_Options_Exhibits'!B1785:B1789)),AVERAGE('20250815_ETF_Options_Exhibits'!B1785:B1789),"")</f>
        <v/>
      </c>
      <c r="C1789" s="3">
        <f>IF(ISNUMBER(AVERAGE('20250815_ETF_Options_Exhibits'!C1785:C1789)),AVERAGE('20250815_ETF_Options_Exhibits'!C1785:C1789),"")</f>
        <v/>
      </c>
      <c r="D1789" s="3">
        <f>IF(ISNUMBER(AVERAGE('20250815_ETF_Options_Exhibits'!D1785:D1789)),AVERAGE('20250815_ETF_Options_Exhibits'!D1785:D1789),"")</f>
        <v/>
      </c>
      <c r="E1789" s="3">
        <f>IF(ISNUMBER(AVERAGE('20250815_ETF_Options_Exhibits'!E1785:E1789)),AVERAGE('20250815_ETF_Options_Exhibits'!E1785:E1789),"")</f>
        <v/>
      </c>
      <c r="F1789" s="3">
        <f>IF(ISNUMBER(AVERAGE('20250815_ETF_Options_Exhibits'!F1785:F1789)),AVERAGE('20250815_ETF_Options_Exhibits'!F1785:F1789),"")</f>
        <v/>
      </c>
      <c r="G1789" s="3">
        <f>IF(ISNUMBER(AVERAGE('20250815_ETF_Options_Exhibits'!G1785:G1789)),AVERAGE('20250815_ETF_Options_Exhibits'!G1785:G1789),"")</f>
        <v/>
      </c>
      <c r="H1789" s="3">
        <f>IF(ISNUMBER(AVERAGE('20250815_ETF_Options_Exhibits'!H1785:H1789)),AVERAGE('20250815_ETF_Options_Exhibits'!H1785:H1789),"")</f>
        <v/>
      </c>
      <c r="I1789" s="3">
        <f>IF(ISNUMBER(AVERAGE('20250815_ETF_Options_Exhibits'!I1785:I1789)),AVERAGE('20250815_ETF_Options_Exhibits'!I1785:I1789),"")</f>
        <v/>
      </c>
      <c r="J1789" s="3">
        <f>IF(ISNUMBER(AVERAGE('20250815_ETF_Options_Exhibits'!J1785:J1789)),AVERAGE('20250815_ETF_Options_Exhibits'!J1785:J1789),"")</f>
        <v/>
      </c>
      <c r="K1789" s="3">
        <f>IF(ISNUMBER(AVERAGE('20250815_ETF_Options_Exhibits'!K1785:K1789)),AVERAGE('20250815_ETF_Options_Exhibits'!K1785:K1789),"")</f>
        <v/>
      </c>
      <c r="L1789" s="3">
        <f>IF(ISNUMBER(AVERAGE('20250815_ETF_Options_Exhibits'!L1785:L1789)),AVERAGE('20250815_ETF_Options_Exhibits'!L1785:L1789),"")</f>
        <v/>
      </c>
      <c r="M1789" s="3">
        <f>IF(ISNUMBER(AVERAGE('20250815_ETF_Options_Exhibits'!M1785:M1789)),AVERAGE('20250815_ETF_Options_Exhibits'!M1785:M1789),"")</f>
        <v/>
      </c>
      <c r="N1789" s="3">
        <f>IF(ISNUMBER(AVERAGE('20250815_ETF_Options_Exhibits'!N1785:N1789)),AVERAGE('20250815_ETF_Options_Exhibits'!N1785:N1789),"")</f>
        <v/>
      </c>
      <c r="O1789" s="3">
        <f>IF(ISNUMBER(AVERAGE('20250815_ETF_Options_Exhibits'!O1785:O1789)),AVERAGE('20250815_ETF_Options_Exhibits'!O1785:O1789),"")</f>
        <v/>
      </c>
      <c r="P1789" s="3">
        <f>IF(ISNUMBER(AVERAGE('20250815_ETF_Options_Exhibits'!P1785:P1789)),AVERAGE('20250815_ETF_Options_Exhibits'!P1785:P1789),"")</f>
        <v/>
      </c>
      <c r="Q1789" s="3">
        <f>IF(ISNUMBER(AVERAGE('20250815_ETF_Options_Exhibits'!Q1785:Q1789)),AVERAGE('20250815_ETF_Options_Exhibits'!Q1785:Q1789),"")</f>
        <v/>
      </c>
      <c r="R1789" s="3">
        <f>IF(ISNUMBER(AVERAGE('20250815_ETF_Options_Exhibits'!R1785:R1789)),AVERAGE('20250815_ETF_Options_Exhibits'!R1785:R1789),"")</f>
        <v/>
      </c>
      <c r="S1789" s="3">
        <f>IF(ISNUMBER(AVERAGE('20250815_ETF_Options_Exhibits'!S1785:S1789)),AVERAGE('20250815_ETF_Options_Exhibits'!S1785:S1789),"")</f>
        <v/>
      </c>
      <c r="T1789" s="3">
        <f>IF(ISNUMBER(AVERAGE('20250815_ETF_Options_Exhibits'!T1785:T1789)),AVERAGE('20250815_ETF_Options_Exhibits'!T1785:T1789),"")</f>
        <v/>
      </c>
      <c r="U1789" s="3">
        <f>IF(ISNUMBER(AVERAGE('20250815_ETF_Options_Exhibits'!U1785:U1789)),AVERAGE('20250815_ETF_Options_Exhibits'!U1785:U1789),"")</f>
        <v/>
      </c>
      <c r="V1789" s="3">
        <f>IF(ISNUMBER(AVERAGE('20250815_ETF_Options_Exhibits'!V1785:V1789)),AVERAGE('20250815_ETF_Options_Exhibits'!V1785:V1789),"")</f>
        <v/>
      </c>
      <c r="W1789" s="3">
        <f>IF(ISNUMBER(AVERAGE('20250815_ETF_Options_Exhibits'!W1785:W1789)),AVERAGE('20250815_ETF_Options_Exhibits'!W1785:W1789),"")</f>
        <v/>
      </c>
      <c r="X1789" s="3">
        <f>IF(ISNUMBER(AVERAGE('20250815_ETF_Options_Exhibits'!X1785:X1789)),AVERAGE('20250815_ETF_Options_Exhibits'!X1785:X1789),"")</f>
        <v/>
      </c>
      <c r="Y1789" s="3">
        <f>IF(ISNUMBER(AVERAGE('20250815_ETF_Options_Exhibits'!Y1785:Y1789)),AVERAGE('20250815_ETF_Options_Exhibits'!Y1785:Y1789),"")</f>
        <v/>
      </c>
      <c r="Z1789" s="3">
        <f>IF(ISNUMBER(AVERAGE('20250815_ETF_Options_Exhibits'!Z1785:Z1789)),AVERAGE('20250815_ETF_Options_Exhibits'!Z1785:Z1789),"")</f>
        <v/>
      </c>
      <c r="AA1789" s="3">
        <f>IF(ISNUMBER(AVERAGE('20250815_ETF_Options_Exhibits'!AA1785:AA1789)),AVERAGE('20250815_ETF_Options_Exhibits'!AA1785:AA1789),"")</f>
        <v/>
      </c>
    </row>
    <row r="1790">
      <c r="A1790" s="1" t="n">
        <v>44599</v>
      </c>
      <c r="B1790" s="3">
        <f>IF(ISNUMBER(AVERAGE('20250815_ETF_Options_Exhibits'!B1786:B1790)),AVERAGE('20250815_ETF_Options_Exhibits'!B1786:B1790),"")</f>
        <v/>
      </c>
      <c r="C1790" s="3">
        <f>IF(ISNUMBER(AVERAGE('20250815_ETF_Options_Exhibits'!C1786:C1790)),AVERAGE('20250815_ETF_Options_Exhibits'!C1786:C1790),"")</f>
        <v/>
      </c>
      <c r="D1790" s="3">
        <f>IF(ISNUMBER(AVERAGE('20250815_ETF_Options_Exhibits'!D1786:D1790)),AVERAGE('20250815_ETF_Options_Exhibits'!D1786:D1790),"")</f>
        <v/>
      </c>
      <c r="E1790" s="3">
        <f>IF(ISNUMBER(AVERAGE('20250815_ETF_Options_Exhibits'!E1786:E1790)),AVERAGE('20250815_ETF_Options_Exhibits'!E1786:E1790),"")</f>
        <v/>
      </c>
      <c r="F1790" s="3">
        <f>IF(ISNUMBER(AVERAGE('20250815_ETF_Options_Exhibits'!F1786:F1790)),AVERAGE('20250815_ETF_Options_Exhibits'!F1786:F1790),"")</f>
        <v/>
      </c>
      <c r="G1790" s="3">
        <f>IF(ISNUMBER(AVERAGE('20250815_ETF_Options_Exhibits'!G1786:G1790)),AVERAGE('20250815_ETF_Options_Exhibits'!G1786:G1790),"")</f>
        <v/>
      </c>
      <c r="H1790" s="3">
        <f>IF(ISNUMBER(AVERAGE('20250815_ETF_Options_Exhibits'!H1786:H1790)),AVERAGE('20250815_ETF_Options_Exhibits'!H1786:H1790),"")</f>
        <v/>
      </c>
      <c r="I1790" s="3">
        <f>IF(ISNUMBER(AVERAGE('20250815_ETF_Options_Exhibits'!I1786:I1790)),AVERAGE('20250815_ETF_Options_Exhibits'!I1786:I1790),"")</f>
        <v/>
      </c>
      <c r="J1790" s="3">
        <f>IF(ISNUMBER(AVERAGE('20250815_ETF_Options_Exhibits'!J1786:J1790)),AVERAGE('20250815_ETF_Options_Exhibits'!J1786:J1790),"")</f>
        <v/>
      </c>
      <c r="K1790" s="3">
        <f>IF(ISNUMBER(AVERAGE('20250815_ETF_Options_Exhibits'!K1786:K1790)),AVERAGE('20250815_ETF_Options_Exhibits'!K1786:K1790),"")</f>
        <v/>
      </c>
      <c r="L1790" s="3">
        <f>IF(ISNUMBER(AVERAGE('20250815_ETF_Options_Exhibits'!L1786:L1790)),AVERAGE('20250815_ETF_Options_Exhibits'!L1786:L1790),"")</f>
        <v/>
      </c>
      <c r="M1790" s="3">
        <f>IF(ISNUMBER(AVERAGE('20250815_ETF_Options_Exhibits'!M1786:M1790)),AVERAGE('20250815_ETF_Options_Exhibits'!M1786:M1790),"")</f>
        <v/>
      </c>
      <c r="N1790" s="3">
        <f>IF(ISNUMBER(AVERAGE('20250815_ETF_Options_Exhibits'!N1786:N1790)),AVERAGE('20250815_ETF_Options_Exhibits'!N1786:N1790),"")</f>
        <v/>
      </c>
      <c r="O1790" s="3">
        <f>IF(ISNUMBER(AVERAGE('20250815_ETF_Options_Exhibits'!O1786:O1790)),AVERAGE('20250815_ETF_Options_Exhibits'!O1786:O1790),"")</f>
        <v/>
      </c>
      <c r="P1790" s="3">
        <f>IF(ISNUMBER(AVERAGE('20250815_ETF_Options_Exhibits'!P1786:P1790)),AVERAGE('20250815_ETF_Options_Exhibits'!P1786:P1790),"")</f>
        <v/>
      </c>
      <c r="Q1790" s="3">
        <f>IF(ISNUMBER(AVERAGE('20250815_ETF_Options_Exhibits'!Q1786:Q1790)),AVERAGE('20250815_ETF_Options_Exhibits'!Q1786:Q1790),"")</f>
        <v/>
      </c>
      <c r="R1790" s="3">
        <f>IF(ISNUMBER(AVERAGE('20250815_ETF_Options_Exhibits'!R1786:R1790)),AVERAGE('20250815_ETF_Options_Exhibits'!R1786:R1790),"")</f>
        <v/>
      </c>
      <c r="S1790" s="3">
        <f>IF(ISNUMBER(AVERAGE('20250815_ETF_Options_Exhibits'!S1786:S1790)),AVERAGE('20250815_ETF_Options_Exhibits'!S1786:S1790),"")</f>
        <v/>
      </c>
      <c r="T1790" s="3">
        <f>IF(ISNUMBER(AVERAGE('20250815_ETF_Options_Exhibits'!T1786:T1790)),AVERAGE('20250815_ETF_Options_Exhibits'!T1786:T1790),"")</f>
        <v/>
      </c>
      <c r="U1790" s="3">
        <f>IF(ISNUMBER(AVERAGE('20250815_ETF_Options_Exhibits'!U1786:U1790)),AVERAGE('20250815_ETF_Options_Exhibits'!U1786:U1790),"")</f>
        <v/>
      </c>
      <c r="V1790" s="3">
        <f>IF(ISNUMBER(AVERAGE('20250815_ETF_Options_Exhibits'!V1786:V1790)),AVERAGE('20250815_ETF_Options_Exhibits'!V1786:V1790),"")</f>
        <v/>
      </c>
      <c r="W1790" s="3">
        <f>IF(ISNUMBER(AVERAGE('20250815_ETF_Options_Exhibits'!W1786:W1790)),AVERAGE('20250815_ETF_Options_Exhibits'!W1786:W1790),"")</f>
        <v/>
      </c>
      <c r="X1790" s="3">
        <f>IF(ISNUMBER(AVERAGE('20250815_ETF_Options_Exhibits'!X1786:X1790)),AVERAGE('20250815_ETF_Options_Exhibits'!X1786:X1790),"")</f>
        <v/>
      </c>
      <c r="Y1790" s="3">
        <f>IF(ISNUMBER(AVERAGE('20250815_ETF_Options_Exhibits'!Y1786:Y1790)),AVERAGE('20250815_ETF_Options_Exhibits'!Y1786:Y1790),"")</f>
        <v/>
      </c>
      <c r="Z1790" s="3">
        <f>IF(ISNUMBER(AVERAGE('20250815_ETF_Options_Exhibits'!Z1786:Z1790)),AVERAGE('20250815_ETF_Options_Exhibits'!Z1786:Z1790),"")</f>
        <v/>
      </c>
      <c r="AA1790" s="3">
        <f>IF(ISNUMBER(AVERAGE('20250815_ETF_Options_Exhibits'!AA1786:AA1790)),AVERAGE('20250815_ETF_Options_Exhibits'!AA1786:AA1790),"")</f>
        <v/>
      </c>
    </row>
    <row r="1791">
      <c r="A1791" s="1" t="n">
        <v>44600</v>
      </c>
      <c r="B1791" s="3">
        <f>IF(ISNUMBER(AVERAGE('20250815_ETF_Options_Exhibits'!B1787:B1791)),AVERAGE('20250815_ETF_Options_Exhibits'!B1787:B1791),"")</f>
        <v/>
      </c>
      <c r="C1791" s="3">
        <f>IF(ISNUMBER(AVERAGE('20250815_ETF_Options_Exhibits'!C1787:C1791)),AVERAGE('20250815_ETF_Options_Exhibits'!C1787:C1791),"")</f>
        <v/>
      </c>
      <c r="D1791" s="3">
        <f>IF(ISNUMBER(AVERAGE('20250815_ETF_Options_Exhibits'!D1787:D1791)),AVERAGE('20250815_ETF_Options_Exhibits'!D1787:D1791),"")</f>
        <v/>
      </c>
      <c r="E1791" s="3">
        <f>IF(ISNUMBER(AVERAGE('20250815_ETF_Options_Exhibits'!E1787:E1791)),AVERAGE('20250815_ETF_Options_Exhibits'!E1787:E1791),"")</f>
        <v/>
      </c>
      <c r="F1791" s="3">
        <f>IF(ISNUMBER(AVERAGE('20250815_ETF_Options_Exhibits'!F1787:F1791)),AVERAGE('20250815_ETF_Options_Exhibits'!F1787:F1791),"")</f>
        <v/>
      </c>
      <c r="G1791" s="3">
        <f>IF(ISNUMBER(AVERAGE('20250815_ETF_Options_Exhibits'!G1787:G1791)),AVERAGE('20250815_ETF_Options_Exhibits'!G1787:G1791),"")</f>
        <v/>
      </c>
      <c r="H1791" s="3">
        <f>IF(ISNUMBER(AVERAGE('20250815_ETF_Options_Exhibits'!H1787:H1791)),AVERAGE('20250815_ETF_Options_Exhibits'!H1787:H1791),"")</f>
        <v/>
      </c>
      <c r="I1791" s="3">
        <f>IF(ISNUMBER(AVERAGE('20250815_ETF_Options_Exhibits'!I1787:I1791)),AVERAGE('20250815_ETF_Options_Exhibits'!I1787:I1791),"")</f>
        <v/>
      </c>
      <c r="J1791" s="3">
        <f>IF(ISNUMBER(AVERAGE('20250815_ETF_Options_Exhibits'!J1787:J1791)),AVERAGE('20250815_ETF_Options_Exhibits'!J1787:J1791),"")</f>
        <v/>
      </c>
      <c r="K1791" s="3">
        <f>IF(ISNUMBER(AVERAGE('20250815_ETF_Options_Exhibits'!K1787:K1791)),AVERAGE('20250815_ETF_Options_Exhibits'!K1787:K1791),"")</f>
        <v/>
      </c>
      <c r="L1791" s="3">
        <f>IF(ISNUMBER(AVERAGE('20250815_ETF_Options_Exhibits'!L1787:L1791)),AVERAGE('20250815_ETF_Options_Exhibits'!L1787:L1791),"")</f>
        <v/>
      </c>
      <c r="M1791" s="3">
        <f>IF(ISNUMBER(AVERAGE('20250815_ETF_Options_Exhibits'!M1787:M1791)),AVERAGE('20250815_ETF_Options_Exhibits'!M1787:M1791),"")</f>
        <v/>
      </c>
      <c r="N1791" s="3">
        <f>IF(ISNUMBER(AVERAGE('20250815_ETF_Options_Exhibits'!N1787:N1791)),AVERAGE('20250815_ETF_Options_Exhibits'!N1787:N1791),"")</f>
        <v/>
      </c>
      <c r="O1791" s="3">
        <f>IF(ISNUMBER(AVERAGE('20250815_ETF_Options_Exhibits'!O1787:O1791)),AVERAGE('20250815_ETF_Options_Exhibits'!O1787:O1791),"")</f>
        <v/>
      </c>
      <c r="P1791" s="3">
        <f>IF(ISNUMBER(AVERAGE('20250815_ETF_Options_Exhibits'!P1787:P1791)),AVERAGE('20250815_ETF_Options_Exhibits'!P1787:P1791),"")</f>
        <v/>
      </c>
      <c r="Q1791" s="3">
        <f>IF(ISNUMBER(AVERAGE('20250815_ETF_Options_Exhibits'!Q1787:Q1791)),AVERAGE('20250815_ETF_Options_Exhibits'!Q1787:Q1791),"")</f>
        <v/>
      </c>
      <c r="R1791" s="3">
        <f>IF(ISNUMBER(AVERAGE('20250815_ETF_Options_Exhibits'!R1787:R1791)),AVERAGE('20250815_ETF_Options_Exhibits'!R1787:R1791),"")</f>
        <v/>
      </c>
      <c r="S1791" s="3">
        <f>IF(ISNUMBER(AVERAGE('20250815_ETF_Options_Exhibits'!S1787:S1791)),AVERAGE('20250815_ETF_Options_Exhibits'!S1787:S1791),"")</f>
        <v/>
      </c>
      <c r="T1791" s="3">
        <f>IF(ISNUMBER(AVERAGE('20250815_ETF_Options_Exhibits'!T1787:T1791)),AVERAGE('20250815_ETF_Options_Exhibits'!T1787:T1791),"")</f>
        <v/>
      </c>
      <c r="U1791" s="3">
        <f>IF(ISNUMBER(AVERAGE('20250815_ETF_Options_Exhibits'!U1787:U1791)),AVERAGE('20250815_ETF_Options_Exhibits'!U1787:U1791),"")</f>
        <v/>
      </c>
      <c r="V1791" s="3">
        <f>IF(ISNUMBER(AVERAGE('20250815_ETF_Options_Exhibits'!V1787:V1791)),AVERAGE('20250815_ETF_Options_Exhibits'!V1787:V1791),"")</f>
        <v/>
      </c>
      <c r="W1791" s="3">
        <f>IF(ISNUMBER(AVERAGE('20250815_ETF_Options_Exhibits'!W1787:W1791)),AVERAGE('20250815_ETF_Options_Exhibits'!W1787:W1791),"")</f>
        <v/>
      </c>
      <c r="X1791" s="3">
        <f>IF(ISNUMBER(AVERAGE('20250815_ETF_Options_Exhibits'!X1787:X1791)),AVERAGE('20250815_ETF_Options_Exhibits'!X1787:X1791),"")</f>
        <v/>
      </c>
      <c r="Y1791" s="3">
        <f>IF(ISNUMBER(AVERAGE('20250815_ETF_Options_Exhibits'!Y1787:Y1791)),AVERAGE('20250815_ETF_Options_Exhibits'!Y1787:Y1791),"")</f>
        <v/>
      </c>
      <c r="Z1791" s="3">
        <f>IF(ISNUMBER(AVERAGE('20250815_ETF_Options_Exhibits'!Z1787:Z1791)),AVERAGE('20250815_ETF_Options_Exhibits'!Z1787:Z1791),"")</f>
        <v/>
      </c>
      <c r="AA1791" s="3">
        <f>IF(ISNUMBER(AVERAGE('20250815_ETF_Options_Exhibits'!AA1787:AA1791)),AVERAGE('20250815_ETF_Options_Exhibits'!AA1787:AA1791),"")</f>
        <v/>
      </c>
    </row>
    <row r="1792">
      <c r="A1792" s="1" t="n">
        <v>44601</v>
      </c>
      <c r="B1792" s="3">
        <f>IF(ISNUMBER(AVERAGE('20250815_ETF_Options_Exhibits'!B1788:B1792)),AVERAGE('20250815_ETF_Options_Exhibits'!B1788:B1792),"")</f>
        <v/>
      </c>
      <c r="C1792" s="3">
        <f>IF(ISNUMBER(AVERAGE('20250815_ETF_Options_Exhibits'!C1788:C1792)),AVERAGE('20250815_ETF_Options_Exhibits'!C1788:C1792),"")</f>
        <v/>
      </c>
      <c r="D1792" s="3">
        <f>IF(ISNUMBER(AVERAGE('20250815_ETF_Options_Exhibits'!D1788:D1792)),AVERAGE('20250815_ETF_Options_Exhibits'!D1788:D1792),"")</f>
        <v/>
      </c>
      <c r="E1792" s="3">
        <f>IF(ISNUMBER(AVERAGE('20250815_ETF_Options_Exhibits'!E1788:E1792)),AVERAGE('20250815_ETF_Options_Exhibits'!E1788:E1792),"")</f>
        <v/>
      </c>
      <c r="F1792" s="3">
        <f>IF(ISNUMBER(AVERAGE('20250815_ETF_Options_Exhibits'!F1788:F1792)),AVERAGE('20250815_ETF_Options_Exhibits'!F1788:F1792),"")</f>
        <v/>
      </c>
      <c r="G1792" s="3">
        <f>IF(ISNUMBER(AVERAGE('20250815_ETF_Options_Exhibits'!G1788:G1792)),AVERAGE('20250815_ETF_Options_Exhibits'!G1788:G1792),"")</f>
        <v/>
      </c>
      <c r="H1792" s="3">
        <f>IF(ISNUMBER(AVERAGE('20250815_ETF_Options_Exhibits'!H1788:H1792)),AVERAGE('20250815_ETF_Options_Exhibits'!H1788:H1792),"")</f>
        <v/>
      </c>
      <c r="I1792" s="3">
        <f>IF(ISNUMBER(AVERAGE('20250815_ETF_Options_Exhibits'!I1788:I1792)),AVERAGE('20250815_ETF_Options_Exhibits'!I1788:I1792),"")</f>
        <v/>
      </c>
      <c r="J1792" s="3">
        <f>IF(ISNUMBER(AVERAGE('20250815_ETF_Options_Exhibits'!J1788:J1792)),AVERAGE('20250815_ETF_Options_Exhibits'!J1788:J1792),"")</f>
        <v/>
      </c>
      <c r="K1792" s="3">
        <f>IF(ISNUMBER(AVERAGE('20250815_ETF_Options_Exhibits'!K1788:K1792)),AVERAGE('20250815_ETF_Options_Exhibits'!K1788:K1792),"")</f>
        <v/>
      </c>
      <c r="L1792" s="3">
        <f>IF(ISNUMBER(AVERAGE('20250815_ETF_Options_Exhibits'!L1788:L1792)),AVERAGE('20250815_ETF_Options_Exhibits'!L1788:L1792),"")</f>
        <v/>
      </c>
      <c r="M1792" s="3">
        <f>IF(ISNUMBER(AVERAGE('20250815_ETF_Options_Exhibits'!M1788:M1792)),AVERAGE('20250815_ETF_Options_Exhibits'!M1788:M1792),"")</f>
        <v/>
      </c>
      <c r="N1792" s="3">
        <f>IF(ISNUMBER(AVERAGE('20250815_ETF_Options_Exhibits'!N1788:N1792)),AVERAGE('20250815_ETF_Options_Exhibits'!N1788:N1792),"")</f>
        <v/>
      </c>
      <c r="O1792" s="3">
        <f>IF(ISNUMBER(AVERAGE('20250815_ETF_Options_Exhibits'!O1788:O1792)),AVERAGE('20250815_ETF_Options_Exhibits'!O1788:O1792),"")</f>
        <v/>
      </c>
      <c r="P1792" s="3">
        <f>IF(ISNUMBER(AVERAGE('20250815_ETF_Options_Exhibits'!P1788:P1792)),AVERAGE('20250815_ETF_Options_Exhibits'!P1788:P1792),"")</f>
        <v/>
      </c>
      <c r="Q1792" s="3">
        <f>IF(ISNUMBER(AVERAGE('20250815_ETF_Options_Exhibits'!Q1788:Q1792)),AVERAGE('20250815_ETF_Options_Exhibits'!Q1788:Q1792),"")</f>
        <v/>
      </c>
      <c r="R1792" s="3">
        <f>IF(ISNUMBER(AVERAGE('20250815_ETF_Options_Exhibits'!R1788:R1792)),AVERAGE('20250815_ETF_Options_Exhibits'!R1788:R1792),"")</f>
        <v/>
      </c>
      <c r="S1792" s="3">
        <f>IF(ISNUMBER(AVERAGE('20250815_ETF_Options_Exhibits'!S1788:S1792)),AVERAGE('20250815_ETF_Options_Exhibits'!S1788:S1792),"")</f>
        <v/>
      </c>
      <c r="T1792" s="3">
        <f>IF(ISNUMBER(AVERAGE('20250815_ETF_Options_Exhibits'!T1788:T1792)),AVERAGE('20250815_ETF_Options_Exhibits'!T1788:T1792),"")</f>
        <v/>
      </c>
      <c r="U1792" s="3">
        <f>IF(ISNUMBER(AVERAGE('20250815_ETF_Options_Exhibits'!U1788:U1792)),AVERAGE('20250815_ETF_Options_Exhibits'!U1788:U1792),"")</f>
        <v/>
      </c>
      <c r="V1792" s="3">
        <f>IF(ISNUMBER(AVERAGE('20250815_ETF_Options_Exhibits'!V1788:V1792)),AVERAGE('20250815_ETF_Options_Exhibits'!V1788:V1792),"")</f>
        <v/>
      </c>
      <c r="W1792" s="3">
        <f>IF(ISNUMBER(AVERAGE('20250815_ETF_Options_Exhibits'!W1788:W1792)),AVERAGE('20250815_ETF_Options_Exhibits'!W1788:W1792),"")</f>
        <v/>
      </c>
      <c r="X1792" s="3">
        <f>IF(ISNUMBER(AVERAGE('20250815_ETF_Options_Exhibits'!X1788:X1792)),AVERAGE('20250815_ETF_Options_Exhibits'!X1788:X1792),"")</f>
        <v/>
      </c>
      <c r="Y1792" s="3">
        <f>IF(ISNUMBER(AVERAGE('20250815_ETF_Options_Exhibits'!Y1788:Y1792)),AVERAGE('20250815_ETF_Options_Exhibits'!Y1788:Y1792),"")</f>
        <v/>
      </c>
      <c r="Z1792" s="3">
        <f>IF(ISNUMBER(AVERAGE('20250815_ETF_Options_Exhibits'!Z1788:Z1792)),AVERAGE('20250815_ETF_Options_Exhibits'!Z1788:Z1792),"")</f>
        <v/>
      </c>
      <c r="AA1792" s="3">
        <f>IF(ISNUMBER(AVERAGE('20250815_ETF_Options_Exhibits'!AA1788:AA1792)),AVERAGE('20250815_ETF_Options_Exhibits'!AA1788:AA1792),"")</f>
        <v/>
      </c>
    </row>
    <row r="1793">
      <c r="A1793" s="1" t="n">
        <v>44602</v>
      </c>
      <c r="B1793" s="3">
        <f>IF(ISNUMBER(AVERAGE('20250815_ETF_Options_Exhibits'!B1789:B1793)),AVERAGE('20250815_ETF_Options_Exhibits'!B1789:B1793),"")</f>
        <v/>
      </c>
      <c r="C1793" s="3">
        <f>IF(ISNUMBER(AVERAGE('20250815_ETF_Options_Exhibits'!C1789:C1793)),AVERAGE('20250815_ETF_Options_Exhibits'!C1789:C1793),"")</f>
        <v/>
      </c>
      <c r="D1793" s="3">
        <f>IF(ISNUMBER(AVERAGE('20250815_ETF_Options_Exhibits'!D1789:D1793)),AVERAGE('20250815_ETF_Options_Exhibits'!D1789:D1793),"")</f>
        <v/>
      </c>
      <c r="E1793" s="3">
        <f>IF(ISNUMBER(AVERAGE('20250815_ETF_Options_Exhibits'!E1789:E1793)),AVERAGE('20250815_ETF_Options_Exhibits'!E1789:E1793),"")</f>
        <v/>
      </c>
      <c r="F1793" s="3">
        <f>IF(ISNUMBER(AVERAGE('20250815_ETF_Options_Exhibits'!F1789:F1793)),AVERAGE('20250815_ETF_Options_Exhibits'!F1789:F1793),"")</f>
        <v/>
      </c>
      <c r="G1793" s="3">
        <f>IF(ISNUMBER(AVERAGE('20250815_ETF_Options_Exhibits'!G1789:G1793)),AVERAGE('20250815_ETF_Options_Exhibits'!G1789:G1793),"")</f>
        <v/>
      </c>
      <c r="H1793" s="3">
        <f>IF(ISNUMBER(AVERAGE('20250815_ETF_Options_Exhibits'!H1789:H1793)),AVERAGE('20250815_ETF_Options_Exhibits'!H1789:H1793),"")</f>
        <v/>
      </c>
      <c r="I1793" s="3">
        <f>IF(ISNUMBER(AVERAGE('20250815_ETF_Options_Exhibits'!I1789:I1793)),AVERAGE('20250815_ETF_Options_Exhibits'!I1789:I1793),"")</f>
        <v/>
      </c>
      <c r="J1793" s="3">
        <f>IF(ISNUMBER(AVERAGE('20250815_ETF_Options_Exhibits'!J1789:J1793)),AVERAGE('20250815_ETF_Options_Exhibits'!J1789:J1793),"")</f>
        <v/>
      </c>
      <c r="K1793" s="3">
        <f>IF(ISNUMBER(AVERAGE('20250815_ETF_Options_Exhibits'!K1789:K1793)),AVERAGE('20250815_ETF_Options_Exhibits'!K1789:K1793),"")</f>
        <v/>
      </c>
      <c r="L1793" s="3">
        <f>IF(ISNUMBER(AVERAGE('20250815_ETF_Options_Exhibits'!L1789:L1793)),AVERAGE('20250815_ETF_Options_Exhibits'!L1789:L1793),"")</f>
        <v/>
      </c>
      <c r="M1793" s="3">
        <f>IF(ISNUMBER(AVERAGE('20250815_ETF_Options_Exhibits'!M1789:M1793)),AVERAGE('20250815_ETF_Options_Exhibits'!M1789:M1793),"")</f>
        <v/>
      </c>
      <c r="N1793" s="3">
        <f>IF(ISNUMBER(AVERAGE('20250815_ETF_Options_Exhibits'!N1789:N1793)),AVERAGE('20250815_ETF_Options_Exhibits'!N1789:N1793),"")</f>
        <v/>
      </c>
      <c r="O1793" s="3">
        <f>IF(ISNUMBER(AVERAGE('20250815_ETF_Options_Exhibits'!O1789:O1793)),AVERAGE('20250815_ETF_Options_Exhibits'!O1789:O1793),"")</f>
        <v/>
      </c>
      <c r="P1793" s="3">
        <f>IF(ISNUMBER(AVERAGE('20250815_ETF_Options_Exhibits'!P1789:P1793)),AVERAGE('20250815_ETF_Options_Exhibits'!P1789:P1793),"")</f>
        <v/>
      </c>
      <c r="Q1793" s="3">
        <f>IF(ISNUMBER(AVERAGE('20250815_ETF_Options_Exhibits'!Q1789:Q1793)),AVERAGE('20250815_ETF_Options_Exhibits'!Q1789:Q1793),"")</f>
        <v/>
      </c>
      <c r="R1793" s="3">
        <f>IF(ISNUMBER(AVERAGE('20250815_ETF_Options_Exhibits'!R1789:R1793)),AVERAGE('20250815_ETF_Options_Exhibits'!R1789:R1793),"")</f>
        <v/>
      </c>
      <c r="S1793" s="3">
        <f>IF(ISNUMBER(AVERAGE('20250815_ETF_Options_Exhibits'!S1789:S1793)),AVERAGE('20250815_ETF_Options_Exhibits'!S1789:S1793),"")</f>
        <v/>
      </c>
      <c r="T1793" s="3">
        <f>IF(ISNUMBER(AVERAGE('20250815_ETF_Options_Exhibits'!T1789:T1793)),AVERAGE('20250815_ETF_Options_Exhibits'!T1789:T1793),"")</f>
        <v/>
      </c>
      <c r="U1793" s="3">
        <f>IF(ISNUMBER(AVERAGE('20250815_ETF_Options_Exhibits'!U1789:U1793)),AVERAGE('20250815_ETF_Options_Exhibits'!U1789:U1793),"")</f>
        <v/>
      </c>
      <c r="V1793" s="3">
        <f>IF(ISNUMBER(AVERAGE('20250815_ETF_Options_Exhibits'!V1789:V1793)),AVERAGE('20250815_ETF_Options_Exhibits'!V1789:V1793),"")</f>
        <v/>
      </c>
      <c r="W1793" s="3">
        <f>IF(ISNUMBER(AVERAGE('20250815_ETF_Options_Exhibits'!W1789:W1793)),AVERAGE('20250815_ETF_Options_Exhibits'!W1789:W1793),"")</f>
        <v/>
      </c>
      <c r="X1793" s="3">
        <f>IF(ISNUMBER(AVERAGE('20250815_ETF_Options_Exhibits'!X1789:X1793)),AVERAGE('20250815_ETF_Options_Exhibits'!X1789:X1793),"")</f>
        <v/>
      </c>
      <c r="Y1793" s="3">
        <f>IF(ISNUMBER(AVERAGE('20250815_ETF_Options_Exhibits'!Y1789:Y1793)),AVERAGE('20250815_ETF_Options_Exhibits'!Y1789:Y1793),"")</f>
        <v/>
      </c>
      <c r="Z1793" s="3">
        <f>IF(ISNUMBER(AVERAGE('20250815_ETF_Options_Exhibits'!Z1789:Z1793)),AVERAGE('20250815_ETF_Options_Exhibits'!Z1789:Z1793),"")</f>
        <v/>
      </c>
      <c r="AA1793" s="3">
        <f>IF(ISNUMBER(AVERAGE('20250815_ETF_Options_Exhibits'!AA1789:AA1793)),AVERAGE('20250815_ETF_Options_Exhibits'!AA1789:AA1793),"")</f>
        <v/>
      </c>
    </row>
    <row r="1794">
      <c r="A1794" s="1" t="n">
        <v>44603</v>
      </c>
      <c r="B1794" s="3">
        <f>IF(ISNUMBER(AVERAGE('20250815_ETF_Options_Exhibits'!B1790:B1794)),AVERAGE('20250815_ETF_Options_Exhibits'!B1790:B1794),"")</f>
        <v/>
      </c>
      <c r="C1794" s="3">
        <f>IF(ISNUMBER(AVERAGE('20250815_ETF_Options_Exhibits'!C1790:C1794)),AVERAGE('20250815_ETF_Options_Exhibits'!C1790:C1794),"")</f>
        <v/>
      </c>
      <c r="D1794" s="3">
        <f>IF(ISNUMBER(AVERAGE('20250815_ETF_Options_Exhibits'!D1790:D1794)),AVERAGE('20250815_ETF_Options_Exhibits'!D1790:D1794),"")</f>
        <v/>
      </c>
      <c r="E1794" s="3">
        <f>IF(ISNUMBER(AVERAGE('20250815_ETF_Options_Exhibits'!E1790:E1794)),AVERAGE('20250815_ETF_Options_Exhibits'!E1790:E1794),"")</f>
        <v/>
      </c>
      <c r="F1794" s="3">
        <f>IF(ISNUMBER(AVERAGE('20250815_ETF_Options_Exhibits'!F1790:F1794)),AVERAGE('20250815_ETF_Options_Exhibits'!F1790:F1794),"")</f>
        <v/>
      </c>
      <c r="G1794" s="3">
        <f>IF(ISNUMBER(AVERAGE('20250815_ETF_Options_Exhibits'!G1790:G1794)),AVERAGE('20250815_ETF_Options_Exhibits'!G1790:G1794),"")</f>
        <v/>
      </c>
      <c r="H1794" s="3">
        <f>IF(ISNUMBER(AVERAGE('20250815_ETF_Options_Exhibits'!H1790:H1794)),AVERAGE('20250815_ETF_Options_Exhibits'!H1790:H1794),"")</f>
        <v/>
      </c>
      <c r="I1794" s="3">
        <f>IF(ISNUMBER(AVERAGE('20250815_ETF_Options_Exhibits'!I1790:I1794)),AVERAGE('20250815_ETF_Options_Exhibits'!I1790:I1794),"")</f>
        <v/>
      </c>
      <c r="J1794" s="3">
        <f>IF(ISNUMBER(AVERAGE('20250815_ETF_Options_Exhibits'!J1790:J1794)),AVERAGE('20250815_ETF_Options_Exhibits'!J1790:J1794),"")</f>
        <v/>
      </c>
      <c r="K1794" s="3">
        <f>IF(ISNUMBER(AVERAGE('20250815_ETF_Options_Exhibits'!K1790:K1794)),AVERAGE('20250815_ETF_Options_Exhibits'!K1790:K1794),"")</f>
        <v/>
      </c>
      <c r="L1794" s="3">
        <f>IF(ISNUMBER(AVERAGE('20250815_ETF_Options_Exhibits'!L1790:L1794)),AVERAGE('20250815_ETF_Options_Exhibits'!L1790:L1794),"")</f>
        <v/>
      </c>
      <c r="M1794" s="3">
        <f>IF(ISNUMBER(AVERAGE('20250815_ETF_Options_Exhibits'!M1790:M1794)),AVERAGE('20250815_ETF_Options_Exhibits'!M1790:M1794),"")</f>
        <v/>
      </c>
      <c r="N1794" s="3">
        <f>IF(ISNUMBER(AVERAGE('20250815_ETF_Options_Exhibits'!N1790:N1794)),AVERAGE('20250815_ETF_Options_Exhibits'!N1790:N1794),"")</f>
        <v/>
      </c>
      <c r="O1794" s="3">
        <f>IF(ISNUMBER(AVERAGE('20250815_ETF_Options_Exhibits'!O1790:O1794)),AVERAGE('20250815_ETF_Options_Exhibits'!O1790:O1794),"")</f>
        <v/>
      </c>
      <c r="P1794" s="3">
        <f>IF(ISNUMBER(AVERAGE('20250815_ETF_Options_Exhibits'!P1790:P1794)),AVERAGE('20250815_ETF_Options_Exhibits'!P1790:P1794),"")</f>
        <v/>
      </c>
      <c r="Q1794" s="3">
        <f>IF(ISNUMBER(AVERAGE('20250815_ETF_Options_Exhibits'!Q1790:Q1794)),AVERAGE('20250815_ETF_Options_Exhibits'!Q1790:Q1794),"")</f>
        <v/>
      </c>
      <c r="R1794" s="3">
        <f>IF(ISNUMBER(AVERAGE('20250815_ETF_Options_Exhibits'!R1790:R1794)),AVERAGE('20250815_ETF_Options_Exhibits'!R1790:R1794),"")</f>
        <v/>
      </c>
      <c r="S1794" s="3">
        <f>IF(ISNUMBER(AVERAGE('20250815_ETF_Options_Exhibits'!S1790:S1794)),AVERAGE('20250815_ETF_Options_Exhibits'!S1790:S1794),"")</f>
        <v/>
      </c>
      <c r="T1794" s="3">
        <f>IF(ISNUMBER(AVERAGE('20250815_ETF_Options_Exhibits'!T1790:T1794)),AVERAGE('20250815_ETF_Options_Exhibits'!T1790:T1794),"")</f>
        <v/>
      </c>
      <c r="U1794" s="3">
        <f>IF(ISNUMBER(AVERAGE('20250815_ETF_Options_Exhibits'!U1790:U1794)),AVERAGE('20250815_ETF_Options_Exhibits'!U1790:U1794),"")</f>
        <v/>
      </c>
      <c r="V1794" s="3">
        <f>IF(ISNUMBER(AVERAGE('20250815_ETF_Options_Exhibits'!V1790:V1794)),AVERAGE('20250815_ETF_Options_Exhibits'!V1790:V1794),"")</f>
        <v/>
      </c>
      <c r="W1794" s="3">
        <f>IF(ISNUMBER(AVERAGE('20250815_ETF_Options_Exhibits'!W1790:W1794)),AVERAGE('20250815_ETF_Options_Exhibits'!W1790:W1794),"")</f>
        <v/>
      </c>
      <c r="X1794" s="3">
        <f>IF(ISNUMBER(AVERAGE('20250815_ETF_Options_Exhibits'!X1790:X1794)),AVERAGE('20250815_ETF_Options_Exhibits'!X1790:X1794),"")</f>
        <v/>
      </c>
      <c r="Y1794" s="3">
        <f>IF(ISNUMBER(AVERAGE('20250815_ETF_Options_Exhibits'!Y1790:Y1794)),AVERAGE('20250815_ETF_Options_Exhibits'!Y1790:Y1794),"")</f>
        <v/>
      </c>
      <c r="Z1794" s="3">
        <f>IF(ISNUMBER(AVERAGE('20250815_ETF_Options_Exhibits'!Z1790:Z1794)),AVERAGE('20250815_ETF_Options_Exhibits'!Z1790:Z1794),"")</f>
        <v/>
      </c>
      <c r="AA1794" s="3">
        <f>IF(ISNUMBER(AVERAGE('20250815_ETF_Options_Exhibits'!AA1790:AA1794)),AVERAGE('20250815_ETF_Options_Exhibits'!AA1790:AA1794),"")</f>
        <v/>
      </c>
    </row>
    <row r="1795">
      <c r="A1795" s="1" t="n">
        <v>44606</v>
      </c>
      <c r="B1795" s="3">
        <f>IF(ISNUMBER(AVERAGE('20250815_ETF_Options_Exhibits'!B1791:B1795)),AVERAGE('20250815_ETF_Options_Exhibits'!B1791:B1795),"")</f>
        <v/>
      </c>
      <c r="C1795" s="3">
        <f>IF(ISNUMBER(AVERAGE('20250815_ETF_Options_Exhibits'!C1791:C1795)),AVERAGE('20250815_ETF_Options_Exhibits'!C1791:C1795),"")</f>
        <v/>
      </c>
      <c r="D1795" s="3">
        <f>IF(ISNUMBER(AVERAGE('20250815_ETF_Options_Exhibits'!D1791:D1795)),AVERAGE('20250815_ETF_Options_Exhibits'!D1791:D1795),"")</f>
        <v/>
      </c>
      <c r="E1795" s="3">
        <f>IF(ISNUMBER(AVERAGE('20250815_ETF_Options_Exhibits'!E1791:E1795)),AVERAGE('20250815_ETF_Options_Exhibits'!E1791:E1795),"")</f>
        <v/>
      </c>
      <c r="F1795" s="3">
        <f>IF(ISNUMBER(AVERAGE('20250815_ETF_Options_Exhibits'!F1791:F1795)),AVERAGE('20250815_ETF_Options_Exhibits'!F1791:F1795),"")</f>
        <v/>
      </c>
      <c r="G1795" s="3">
        <f>IF(ISNUMBER(AVERAGE('20250815_ETF_Options_Exhibits'!G1791:G1795)),AVERAGE('20250815_ETF_Options_Exhibits'!G1791:G1795),"")</f>
        <v/>
      </c>
      <c r="H1795" s="3">
        <f>IF(ISNUMBER(AVERAGE('20250815_ETF_Options_Exhibits'!H1791:H1795)),AVERAGE('20250815_ETF_Options_Exhibits'!H1791:H1795),"")</f>
        <v/>
      </c>
      <c r="I1795" s="3">
        <f>IF(ISNUMBER(AVERAGE('20250815_ETF_Options_Exhibits'!I1791:I1795)),AVERAGE('20250815_ETF_Options_Exhibits'!I1791:I1795),"")</f>
        <v/>
      </c>
      <c r="J1795" s="3">
        <f>IF(ISNUMBER(AVERAGE('20250815_ETF_Options_Exhibits'!J1791:J1795)),AVERAGE('20250815_ETF_Options_Exhibits'!J1791:J1795),"")</f>
        <v/>
      </c>
      <c r="K1795" s="3">
        <f>IF(ISNUMBER(AVERAGE('20250815_ETF_Options_Exhibits'!K1791:K1795)),AVERAGE('20250815_ETF_Options_Exhibits'!K1791:K1795),"")</f>
        <v/>
      </c>
      <c r="L1795" s="3">
        <f>IF(ISNUMBER(AVERAGE('20250815_ETF_Options_Exhibits'!L1791:L1795)),AVERAGE('20250815_ETF_Options_Exhibits'!L1791:L1795),"")</f>
        <v/>
      </c>
      <c r="M1795" s="3">
        <f>IF(ISNUMBER(AVERAGE('20250815_ETF_Options_Exhibits'!M1791:M1795)),AVERAGE('20250815_ETF_Options_Exhibits'!M1791:M1795),"")</f>
        <v/>
      </c>
      <c r="N1795" s="3">
        <f>IF(ISNUMBER(AVERAGE('20250815_ETF_Options_Exhibits'!N1791:N1795)),AVERAGE('20250815_ETF_Options_Exhibits'!N1791:N1795),"")</f>
        <v/>
      </c>
      <c r="O1795" s="3">
        <f>IF(ISNUMBER(AVERAGE('20250815_ETF_Options_Exhibits'!O1791:O1795)),AVERAGE('20250815_ETF_Options_Exhibits'!O1791:O1795),"")</f>
        <v/>
      </c>
      <c r="P1795" s="3">
        <f>IF(ISNUMBER(AVERAGE('20250815_ETF_Options_Exhibits'!P1791:P1795)),AVERAGE('20250815_ETF_Options_Exhibits'!P1791:P1795),"")</f>
        <v/>
      </c>
      <c r="Q1795" s="3">
        <f>IF(ISNUMBER(AVERAGE('20250815_ETF_Options_Exhibits'!Q1791:Q1795)),AVERAGE('20250815_ETF_Options_Exhibits'!Q1791:Q1795),"")</f>
        <v/>
      </c>
      <c r="R1795" s="3">
        <f>IF(ISNUMBER(AVERAGE('20250815_ETF_Options_Exhibits'!R1791:R1795)),AVERAGE('20250815_ETF_Options_Exhibits'!R1791:R1795),"")</f>
        <v/>
      </c>
      <c r="S1795" s="3">
        <f>IF(ISNUMBER(AVERAGE('20250815_ETF_Options_Exhibits'!S1791:S1795)),AVERAGE('20250815_ETF_Options_Exhibits'!S1791:S1795),"")</f>
        <v/>
      </c>
      <c r="T1795" s="3">
        <f>IF(ISNUMBER(AVERAGE('20250815_ETF_Options_Exhibits'!T1791:T1795)),AVERAGE('20250815_ETF_Options_Exhibits'!T1791:T1795),"")</f>
        <v/>
      </c>
      <c r="U1795" s="3">
        <f>IF(ISNUMBER(AVERAGE('20250815_ETF_Options_Exhibits'!U1791:U1795)),AVERAGE('20250815_ETF_Options_Exhibits'!U1791:U1795),"")</f>
        <v/>
      </c>
      <c r="V1795" s="3">
        <f>IF(ISNUMBER(AVERAGE('20250815_ETF_Options_Exhibits'!V1791:V1795)),AVERAGE('20250815_ETF_Options_Exhibits'!V1791:V1795),"")</f>
        <v/>
      </c>
      <c r="W1795" s="3">
        <f>IF(ISNUMBER(AVERAGE('20250815_ETF_Options_Exhibits'!W1791:W1795)),AVERAGE('20250815_ETF_Options_Exhibits'!W1791:W1795),"")</f>
        <v/>
      </c>
      <c r="X1795" s="3">
        <f>IF(ISNUMBER(AVERAGE('20250815_ETF_Options_Exhibits'!X1791:X1795)),AVERAGE('20250815_ETF_Options_Exhibits'!X1791:X1795),"")</f>
        <v/>
      </c>
      <c r="Y1795" s="3">
        <f>IF(ISNUMBER(AVERAGE('20250815_ETF_Options_Exhibits'!Y1791:Y1795)),AVERAGE('20250815_ETF_Options_Exhibits'!Y1791:Y1795),"")</f>
        <v/>
      </c>
      <c r="Z1795" s="3">
        <f>IF(ISNUMBER(AVERAGE('20250815_ETF_Options_Exhibits'!Z1791:Z1795)),AVERAGE('20250815_ETF_Options_Exhibits'!Z1791:Z1795),"")</f>
        <v/>
      </c>
      <c r="AA1795" s="3">
        <f>IF(ISNUMBER(AVERAGE('20250815_ETF_Options_Exhibits'!AA1791:AA1795)),AVERAGE('20250815_ETF_Options_Exhibits'!AA1791:AA1795),"")</f>
        <v/>
      </c>
    </row>
    <row r="1796">
      <c r="A1796" s="1" t="n">
        <v>44607</v>
      </c>
      <c r="B1796" s="3">
        <f>IF(ISNUMBER(AVERAGE('20250815_ETF_Options_Exhibits'!B1792:B1796)),AVERAGE('20250815_ETF_Options_Exhibits'!B1792:B1796),"")</f>
        <v/>
      </c>
      <c r="C1796" s="3">
        <f>IF(ISNUMBER(AVERAGE('20250815_ETF_Options_Exhibits'!C1792:C1796)),AVERAGE('20250815_ETF_Options_Exhibits'!C1792:C1796),"")</f>
        <v/>
      </c>
      <c r="D1796" s="3">
        <f>IF(ISNUMBER(AVERAGE('20250815_ETF_Options_Exhibits'!D1792:D1796)),AVERAGE('20250815_ETF_Options_Exhibits'!D1792:D1796),"")</f>
        <v/>
      </c>
      <c r="E1796" s="3">
        <f>IF(ISNUMBER(AVERAGE('20250815_ETF_Options_Exhibits'!E1792:E1796)),AVERAGE('20250815_ETF_Options_Exhibits'!E1792:E1796),"")</f>
        <v/>
      </c>
      <c r="F1796" s="3">
        <f>IF(ISNUMBER(AVERAGE('20250815_ETF_Options_Exhibits'!F1792:F1796)),AVERAGE('20250815_ETF_Options_Exhibits'!F1792:F1796),"")</f>
        <v/>
      </c>
      <c r="G1796" s="3">
        <f>IF(ISNUMBER(AVERAGE('20250815_ETF_Options_Exhibits'!G1792:G1796)),AVERAGE('20250815_ETF_Options_Exhibits'!G1792:G1796),"")</f>
        <v/>
      </c>
      <c r="H1796" s="3">
        <f>IF(ISNUMBER(AVERAGE('20250815_ETF_Options_Exhibits'!H1792:H1796)),AVERAGE('20250815_ETF_Options_Exhibits'!H1792:H1796),"")</f>
        <v/>
      </c>
      <c r="I1796" s="3">
        <f>IF(ISNUMBER(AVERAGE('20250815_ETF_Options_Exhibits'!I1792:I1796)),AVERAGE('20250815_ETF_Options_Exhibits'!I1792:I1796),"")</f>
        <v/>
      </c>
      <c r="J1796" s="3">
        <f>IF(ISNUMBER(AVERAGE('20250815_ETF_Options_Exhibits'!J1792:J1796)),AVERAGE('20250815_ETF_Options_Exhibits'!J1792:J1796),"")</f>
        <v/>
      </c>
      <c r="K1796" s="3">
        <f>IF(ISNUMBER(AVERAGE('20250815_ETF_Options_Exhibits'!K1792:K1796)),AVERAGE('20250815_ETF_Options_Exhibits'!K1792:K1796),"")</f>
        <v/>
      </c>
      <c r="L1796" s="3">
        <f>IF(ISNUMBER(AVERAGE('20250815_ETF_Options_Exhibits'!L1792:L1796)),AVERAGE('20250815_ETF_Options_Exhibits'!L1792:L1796),"")</f>
        <v/>
      </c>
      <c r="M1796" s="3">
        <f>IF(ISNUMBER(AVERAGE('20250815_ETF_Options_Exhibits'!M1792:M1796)),AVERAGE('20250815_ETF_Options_Exhibits'!M1792:M1796),"")</f>
        <v/>
      </c>
      <c r="N1796" s="3">
        <f>IF(ISNUMBER(AVERAGE('20250815_ETF_Options_Exhibits'!N1792:N1796)),AVERAGE('20250815_ETF_Options_Exhibits'!N1792:N1796),"")</f>
        <v/>
      </c>
      <c r="O1796" s="3">
        <f>IF(ISNUMBER(AVERAGE('20250815_ETF_Options_Exhibits'!O1792:O1796)),AVERAGE('20250815_ETF_Options_Exhibits'!O1792:O1796),"")</f>
        <v/>
      </c>
      <c r="P1796" s="3">
        <f>IF(ISNUMBER(AVERAGE('20250815_ETF_Options_Exhibits'!P1792:P1796)),AVERAGE('20250815_ETF_Options_Exhibits'!P1792:P1796),"")</f>
        <v/>
      </c>
      <c r="Q1796" s="3">
        <f>IF(ISNUMBER(AVERAGE('20250815_ETF_Options_Exhibits'!Q1792:Q1796)),AVERAGE('20250815_ETF_Options_Exhibits'!Q1792:Q1796),"")</f>
        <v/>
      </c>
      <c r="R1796" s="3">
        <f>IF(ISNUMBER(AVERAGE('20250815_ETF_Options_Exhibits'!R1792:R1796)),AVERAGE('20250815_ETF_Options_Exhibits'!R1792:R1796),"")</f>
        <v/>
      </c>
      <c r="S1796" s="3">
        <f>IF(ISNUMBER(AVERAGE('20250815_ETF_Options_Exhibits'!S1792:S1796)),AVERAGE('20250815_ETF_Options_Exhibits'!S1792:S1796),"")</f>
        <v/>
      </c>
      <c r="T1796" s="3">
        <f>IF(ISNUMBER(AVERAGE('20250815_ETF_Options_Exhibits'!T1792:T1796)),AVERAGE('20250815_ETF_Options_Exhibits'!T1792:T1796),"")</f>
        <v/>
      </c>
      <c r="U1796" s="3">
        <f>IF(ISNUMBER(AVERAGE('20250815_ETF_Options_Exhibits'!U1792:U1796)),AVERAGE('20250815_ETF_Options_Exhibits'!U1792:U1796),"")</f>
        <v/>
      </c>
      <c r="V1796" s="3">
        <f>IF(ISNUMBER(AVERAGE('20250815_ETF_Options_Exhibits'!V1792:V1796)),AVERAGE('20250815_ETF_Options_Exhibits'!V1792:V1796),"")</f>
        <v/>
      </c>
      <c r="W1796" s="3">
        <f>IF(ISNUMBER(AVERAGE('20250815_ETF_Options_Exhibits'!W1792:W1796)),AVERAGE('20250815_ETF_Options_Exhibits'!W1792:W1796),"")</f>
        <v/>
      </c>
      <c r="X1796" s="3">
        <f>IF(ISNUMBER(AVERAGE('20250815_ETF_Options_Exhibits'!X1792:X1796)),AVERAGE('20250815_ETF_Options_Exhibits'!X1792:X1796),"")</f>
        <v/>
      </c>
      <c r="Y1796" s="3">
        <f>IF(ISNUMBER(AVERAGE('20250815_ETF_Options_Exhibits'!Y1792:Y1796)),AVERAGE('20250815_ETF_Options_Exhibits'!Y1792:Y1796),"")</f>
        <v/>
      </c>
      <c r="Z1796" s="3">
        <f>IF(ISNUMBER(AVERAGE('20250815_ETF_Options_Exhibits'!Z1792:Z1796)),AVERAGE('20250815_ETF_Options_Exhibits'!Z1792:Z1796),"")</f>
        <v/>
      </c>
      <c r="AA1796" s="3">
        <f>IF(ISNUMBER(AVERAGE('20250815_ETF_Options_Exhibits'!AA1792:AA1796)),AVERAGE('20250815_ETF_Options_Exhibits'!AA1792:AA1796),"")</f>
        <v/>
      </c>
    </row>
    <row r="1797">
      <c r="A1797" s="1" t="n">
        <v>44608</v>
      </c>
      <c r="B1797" s="3">
        <f>IF(ISNUMBER(AVERAGE('20250815_ETF_Options_Exhibits'!B1793:B1797)),AVERAGE('20250815_ETF_Options_Exhibits'!B1793:B1797),"")</f>
        <v/>
      </c>
      <c r="C1797" s="3">
        <f>IF(ISNUMBER(AVERAGE('20250815_ETF_Options_Exhibits'!C1793:C1797)),AVERAGE('20250815_ETF_Options_Exhibits'!C1793:C1797),"")</f>
        <v/>
      </c>
      <c r="D1797" s="3">
        <f>IF(ISNUMBER(AVERAGE('20250815_ETF_Options_Exhibits'!D1793:D1797)),AVERAGE('20250815_ETF_Options_Exhibits'!D1793:D1797),"")</f>
        <v/>
      </c>
      <c r="E1797" s="3">
        <f>IF(ISNUMBER(AVERAGE('20250815_ETF_Options_Exhibits'!E1793:E1797)),AVERAGE('20250815_ETF_Options_Exhibits'!E1793:E1797),"")</f>
        <v/>
      </c>
      <c r="F1797" s="3">
        <f>IF(ISNUMBER(AVERAGE('20250815_ETF_Options_Exhibits'!F1793:F1797)),AVERAGE('20250815_ETF_Options_Exhibits'!F1793:F1797),"")</f>
        <v/>
      </c>
      <c r="G1797" s="3">
        <f>IF(ISNUMBER(AVERAGE('20250815_ETF_Options_Exhibits'!G1793:G1797)),AVERAGE('20250815_ETF_Options_Exhibits'!G1793:G1797),"")</f>
        <v/>
      </c>
      <c r="H1797" s="3">
        <f>IF(ISNUMBER(AVERAGE('20250815_ETF_Options_Exhibits'!H1793:H1797)),AVERAGE('20250815_ETF_Options_Exhibits'!H1793:H1797),"")</f>
        <v/>
      </c>
      <c r="I1797" s="3">
        <f>IF(ISNUMBER(AVERAGE('20250815_ETF_Options_Exhibits'!I1793:I1797)),AVERAGE('20250815_ETF_Options_Exhibits'!I1793:I1797),"")</f>
        <v/>
      </c>
      <c r="J1797" s="3">
        <f>IF(ISNUMBER(AVERAGE('20250815_ETF_Options_Exhibits'!J1793:J1797)),AVERAGE('20250815_ETF_Options_Exhibits'!J1793:J1797),"")</f>
        <v/>
      </c>
      <c r="K1797" s="3">
        <f>IF(ISNUMBER(AVERAGE('20250815_ETF_Options_Exhibits'!K1793:K1797)),AVERAGE('20250815_ETF_Options_Exhibits'!K1793:K1797),"")</f>
        <v/>
      </c>
      <c r="L1797" s="3">
        <f>IF(ISNUMBER(AVERAGE('20250815_ETF_Options_Exhibits'!L1793:L1797)),AVERAGE('20250815_ETF_Options_Exhibits'!L1793:L1797),"")</f>
        <v/>
      </c>
      <c r="M1797" s="3">
        <f>IF(ISNUMBER(AVERAGE('20250815_ETF_Options_Exhibits'!M1793:M1797)),AVERAGE('20250815_ETF_Options_Exhibits'!M1793:M1797),"")</f>
        <v/>
      </c>
      <c r="N1797" s="3">
        <f>IF(ISNUMBER(AVERAGE('20250815_ETF_Options_Exhibits'!N1793:N1797)),AVERAGE('20250815_ETF_Options_Exhibits'!N1793:N1797),"")</f>
        <v/>
      </c>
      <c r="O1797" s="3">
        <f>IF(ISNUMBER(AVERAGE('20250815_ETF_Options_Exhibits'!O1793:O1797)),AVERAGE('20250815_ETF_Options_Exhibits'!O1793:O1797),"")</f>
        <v/>
      </c>
      <c r="P1797" s="3">
        <f>IF(ISNUMBER(AVERAGE('20250815_ETF_Options_Exhibits'!P1793:P1797)),AVERAGE('20250815_ETF_Options_Exhibits'!P1793:P1797),"")</f>
        <v/>
      </c>
      <c r="Q1797" s="3">
        <f>IF(ISNUMBER(AVERAGE('20250815_ETF_Options_Exhibits'!Q1793:Q1797)),AVERAGE('20250815_ETF_Options_Exhibits'!Q1793:Q1797),"")</f>
        <v/>
      </c>
      <c r="R1797" s="3">
        <f>IF(ISNUMBER(AVERAGE('20250815_ETF_Options_Exhibits'!R1793:R1797)),AVERAGE('20250815_ETF_Options_Exhibits'!R1793:R1797),"")</f>
        <v/>
      </c>
      <c r="S1797" s="3">
        <f>IF(ISNUMBER(AVERAGE('20250815_ETF_Options_Exhibits'!S1793:S1797)),AVERAGE('20250815_ETF_Options_Exhibits'!S1793:S1797),"")</f>
        <v/>
      </c>
      <c r="T1797" s="3">
        <f>IF(ISNUMBER(AVERAGE('20250815_ETF_Options_Exhibits'!T1793:T1797)),AVERAGE('20250815_ETF_Options_Exhibits'!T1793:T1797),"")</f>
        <v/>
      </c>
      <c r="U1797" s="3">
        <f>IF(ISNUMBER(AVERAGE('20250815_ETF_Options_Exhibits'!U1793:U1797)),AVERAGE('20250815_ETF_Options_Exhibits'!U1793:U1797),"")</f>
        <v/>
      </c>
      <c r="V1797" s="3">
        <f>IF(ISNUMBER(AVERAGE('20250815_ETF_Options_Exhibits'!V1793:V1797)),AVERAGE('20250815_ETF_Options_Exhibits'!V1793:V1797),"")</f>
        <v/>
      </c>
      <c r="W1797" s="3">
        <f>IF(ISNUMBER(AVERAGE('20250815_ETF_Options_Exhibits'!W1793:W1797)),AVERAGE('20250815_ETF_Options_Exhibits'!W1793:W1797),"")</f>
        <v/>
      </c>
      <c r="X1797" s="3">
        <f>IF(ISNUMBER(AVERAGE('20250815_ETF_Options_Exhibits'!X1793:X1797)),AVERAGE('20250815_ETF_Options_Exhibits'!X1793:X1797),"")</f>
        <v/>
      </c>
      <c r="Y1797" s="3">
        <f>IF(ISNUMBER(AVERAGE('20250815_ETF_Options_Exhibits'!Y1793:Y1797)),AVERAGE('20250815_ETF_Options_Exhibits'!Y1793:Y1797),"")</f>
        <v/>
      </c>
      <c r="Z1797" s="3">
        <f>IF(ISNUMBER(AVERAGE('20250815_ETF_Options_Exhibits'!Z1793:Z1797)),AVERAGE('20250815_ETF_Options_Exhibits'!Z1793:Z1797),"")</f>
        <v/>
      </c>
      <c r="AA1797" s="3">
        <f>IF(ISNUMBER(AVERAGE('20250815_ETF_Options_Exhibits'!AA1793:AA1797)),AVERAGE('20250815_ETF_Options_Exhibits'!AA1793:AA1797),"")</f>
        <v/>
      </c>
    </row>
    <row r="1798">
      <c r="A1798" s="1" t="n">
        <v>44609</v>
      </c>
      <c r="B1798" s="3">
        <f>IF(ISNUMBER(AVERAGE('20250815_ETF_Options_Exhibits'!B1794:B1798)),AVERAGE('20250815_ETF_Options_Exhibits'!B1794:B1798),"")</f>
        <v/>
      </c>
      <c r="C1798" s="3">
        <f>IF(ISNUMBER(AVERAGE('20250815_ETF_Options_Exhibits'!C1794:C1798)),AVERAGE('20250815_ETF_Options_Exhibits'!C1794:C1798),"")</f>
        <v/>
      </c>
      <c r="D1798" s="3">
        <f>IF(ISNUMBER(AVERAGE('20250815_ETF_Options_Exhibits'!D1794:D1798)),AVERAGE('20250815_ETF_Options_Exhibits'!D1794:D1798),"")</f>
        <v/>
      </c>
      <c r="E1798" s="3">
        <f>IF(ISNUMBER(AVERAGE('20250815_ETF_Options_Exhibits'!E1794:E1798)),AVERAGE('20250815_ETF_Options_Exhibits'!E1794:E1798),"")</f>
        <v/>
      </c>
      <c r="F1798" s="3">
        <f>IF(ISNUMBER(AVERAGE('20250815_ETF_Options_Exhibits'!F1794:F1798)),AVERAGE('20250815_ETF_Options_Exhibits'!F1794:F1798),"")</f>
        <v/>
      </c>
      <c r="G1798" s="3">
        <f>IF(ISNUMBER(AVERAGE('20250815_ETF_Options_Exhibits'!G1794:G1798)),AVERAGE('20250815_ETF_Options_Exhibits'!G1794:G1798),"")</f>
        <v/>
      </c>
      <c r="H1798" s="3">
        <f>IF(ISNUMBER(AVERAGE('20250815_ETF_Options_Exhibits'!H1794:H1798)),AVERAGE('20250815_ETF_Options_Exhibits'!H1794:H1798),"")</f>
        <v/>
      </c>
      <c r="I1798" s="3">
        <f>IF(ISNUMBER(AVERAGE('20250815_ETF_Options_Exhibits'!I1794:I1798)),AVERAGE('20250815_ETF_Options_Exhibits'!I1794:I1798),"")</f>
        <v/>
      </c>
      <c r="J1798" s="3">
        <f>IF(ISNUMBER(AVERAGE('20250815_ETF_Options_Exhibits'!J1794:J1798)),AVERAGE('20250815_ETF_Options_Exhibits'!J1794:J1798),"")</f>
        <v/>
      </c>
      <c r="K1798" s="3">
        <f>IF(ISNUMBER(AVERAGE('20250815_ETF_Options_Exhibits'!K1794:K1798)),AVERAGE('20250815_ETF_Options_Exhibits'!K1794:K1798),"")</f>
        <v/>
      </c>
      <c r="L1798" s="3">
        <f>IF(ISNUMBER(AVERAGE('20250815_ETF_Options_Exhibits'!L1794:L1798)),AVERAGE('20250815_ETF_Options_Exhibits'!L1794:L1798),"")</f>
        <v/>
      </c>
      <c r="M1798" s="3">
        <f>IF(ISNUMBER(AVERAGE('20250815_ETF_Options_Exhibits'!M1794:M1798)),AVERAGE('20250815_ETF_Options_Exhibits'!M1794:M1798),"")</f>
        <v/>
      </c>
      <c r="N1798" s="3">
        <f>IF(ISNUMBER(AVERAGE('20250815_ETF_Options_Exhibits'!N1794:N1798)),AVERAGE('20250815_ETF_Options_Exhibits'!N1794:N1798),"")</f>
        <v/>
      </c>
      <c r="O1798" s="3">
        <f>IF(ISNUMBER(AVERAGE('20250815_ETF_Options_Exhibits'!O1794:O1798)),AVERAGE('20250815_ETF_Options_Exhibits'!O1794:O1798),"")</f>
        <v/>
      </c>
      <c r="P1798" s="3">
        <f>IF(ISNUMBER(AVERAGE('20250815_ETF_Options_Exhibits'!P1794:P1798)),AVERAGE('20250815_ETF_Options_Exhibits'!P1794:P1798),"")</f>
        <v/>
      </c>
      <c r="Q1798" s="3">
        <f>IF(ISNUMBER(AVERAGE('20250815_ETF_Options_Exhibits'!Q1794:Q1798)),AVERAGE('20250815_ETF_Options_Exhibits'!Q1794:Q1798),"")</f>
        <v/>
      </c>
      <c r="R1798" s="3">
        <f>IF(ISNUMBER(AVERAGE('20250815_ETF_Options_Exhibits'!R1794:R1798)),AVERAGE('20250815_ETF_Options_Exhibits'!R1794:R1798),"")</f>
        <v/>
      </c>
      <c r="S1798" s="3">
        <f>IF(ISNUMBER(AVERAGE('20250815_ETF_Options_Exhibits'!S1794:S1798)),AVERAGE('20250815_ETF_Options_Exhibits'!S1794:S1798),"")</f>
        <v/>
      </c>
      <c r="T1798" s="3">
        <f>IF(ISNUMBER(AVERAGE('20250815_ETF_Options_Exhibits'!T1794:T1798)),AVERAGE('20250815_ETF_Options_Exhibits'!T1794:T1798),"")</f>
        <v/>
      </c>
      <c r="U1798" s="3">
        <f>IF(ISNUMBER(AVERAGE('20250815_ETF_Options_Exhibits'!U1794:U1798)),AVERAGE('20250815_ETF_Options_Exhibits'!U1794:U1798),"")</f>
        <v/>
      </c>
      <c r="V1798" s="3">
        <f>IF(ISNUMBER(AVERAGE('20250815_ETF_Options_Exhibits'!V1794:V1798)),AVERAGE('20250815_ETF_Options_Exhibits'!V1794:V1798),"")</f>
        <v/>
      </c>
      <c r="W1798" s="3">
        <f>IF(ISNUMBER(AVERAGE('20250815_ETF_Options_Exhibits'!W1794:W1798)),AVERAGE('20250815_ETF_Options_Exhibits'!W1794:W1798),"")</f>
        <v/>
      </c>
      <c r="X1798" s="3">
        <f>IF(ISNUMBER(AVERAGE('20250815_ETF_Options_Exhibits'!X1794:X1798)),AVERAGE('20250815_ETF_Options_Exhibits'!X1794:X1798),"")</f>
        <v/>
      </c>
      <c r="Y1798" s="3">
        <f>IF(ISNUMBER(AVERAGE('20250815_ETF_Options_Exhibits'!Y1794:Y1798)),AVERAGE('20250815_ETF_Options_Exhibits'!Y1794:Y1798),"")</f>
        <v/>
      </c>
      <c r="Z1798" s="3">
        <f>IF(ISNUMBER(AVERAGE('20250815_ETF_Options_Exhibits'!Z1794:Z1798)),AVERAGE('20250815_ETF_Options_Exhibits'!Z1794:Z1798),"")</f>
        <v/>
      </c>
      <c r="AA1798" s="3">
        <f>IF(ISNUMBER(AVERAGE('20250815_ETF_Options_Exhibits'!AA1794:AA1798)),AVERAGE('20250815_ETF_Options_Exhibits'!AA1794:AA1798),"")</f>
        <v/>
      </c>
    </row>
    <row r="1799">
      <c r="A1799" s="1" t="n">
        <v>44610</v>
      </c>
      <c r="B1799" s="3">
        <f>IF(ISNUMBER(AVERAGE('20250815_ETF_Options_Exhibits'!B1795:B1799)),AVERAGE('20250815_ETF_Options_Exhibits'!B1795:B1799),"")</f>
        <v/>
      </c>
      <c r="C1799" s="3">
        <f>IF(ISNUMBER(AVERAGE('20250815_ETF_Options_Exhibits'!C1795:C1799)),AVERAGE('20250815_ETF_Options_Exhibits'!C1795:C1799),"")</f>
        <v/>
      </c>
      <c r="D1799" s="3">
        <f>IF(ISNUMBER(AVERAGE('20250815_ETF_Options_Exhibits'!D1795:D1799)),AVERAGE('20250815_ETF_Options_Exhibits'!D1795:D1799),"")</f>
        <v/>
      </c>
      <c r="E1799" s="3">
        <f>IF(ISNUMBER(AVERAGE('20250815_ETF_Options_Exhibits'!E1795:E1799)),AVERAGE('20250815_ETF_Options_Exhibits'!E1795:E1799),"")</f>
        <v/>
      </c>
      <c r="F1799" s="3">
        <f>IF(ISNUMBER(AVERAGE('20250815_ETF_Options_Exhibits'!F1795:F1799)),AVERAGE('20250815_ETF_Options_Exhibits'!F1795:F1799),"")</f>
        <v/>
      </c>
      <c r="G1799" s="3">
        <f>IF(ISNUMBER(AVERAGE('20250815_ETF_Options_Exhibits'!G1795:G1799)),AVERAGE('20250815_ETF_Options_Exhibits'!G1795:G1799),"")</f>
        <v/>
      </c>
      <c r="H1799" s="3">
        <f>IF(ISNUMBER(AVERAGE('20250815_ETF_Options_Exhibits'!H1795:H1799)),AVERAGE('20250815_ETF_Options_Exhibits'!H1795:H1799),"")</f>
        <v/>
      </c>
      <c r="I1799" s="3">
        <f>IF(ISNUMBER(AVERAGE('20250815_ETF_Options_Exhibits'!I1795:I1799)),AVERAGE('20250815_ETF_Options_Exhibits'!I1795:I1799),"")</f>
        <v/>
      </c>
      <c r="J1799" s="3">
        <f>IF(ISNUMBER(AVERAGE('20250815_ETF_Options_Exhibits'!J1795:J1799)),AVERAGE('20250815_ETF_Options_Exhibits'!J1795:J1799),"")</f>
        <v/>
      </c>
      <c r="K1799" s="3">
        <f>IF(ISNUMBER(AVERAGE('20250815_ETF_Options_Exhibits'!K1795:K1799)),AVERAGE('20250815_ETF_Options_Exhibits'!K1795:K1799),"")</f>
        <v/>
      </c>
      <c r="L1799" s="3">
        <f>IF(ISNUMBER(AVERAGE('20250815_ETF_Options_Exhibits'!L1795:L1799)),AVERAGE('20250815_ETF_Options_Exhibits'!L1795:L1799),"")</f>
        <v/>
      </c>
      <c r="M1799" s="3">
        <f>IF(ISNUMBER(AVERAGE('20250815_ETF_Options_Exhibits'!M1795:M1799)),AVERAGE('20250815_ETF_Options_Exhibits'!M1795:M1799),"")</f>
        <v/>
      </c>
      <c r="N1799" s="3">
        <f>IF(ISNUMBER(AVERAGE('20250815_ETF_Options_Exhibits'!N1795:N1799)),AVERAGE('20250815_ETF_Options_Exhibits'!N1795:N1799),"")</f>
        <v/>
      </c>
      <c r="O1799" s="3">
        <f>IF(ISNUMBER(AVERAGE('20250815_ETF_Options_Exhibits'!O1795:O1799)),AVERAGE('20250815_ETF_Options_Exhibits'!O1795:O1799),"")</f>
        <v/>
      </c>
      <c r="P1799" s="3">
        <f>IF(ISNUMBER(AVERAGE('20250815_ETF_Options_Exhibits'!P1795:P1799)),AVERAGE('20250815_ETF_Options_Exhibits'!P1795:P1799),"")</f>
        <v/>
      </c>
      <c r="Q1799" s="3">
        <f>IF(ISNUMBER(AVERAGE('20250815_ETF_Options_Exhibits'!Q1795:Q1799)),AVERAGE('20250815_ETF_Options_Exhibits'!Q1795:Q1799),"")</f>
        <v/>
      </c>
      <c r="R1799" s="3">
        <f>IF(ISNUMBER(AVERAGE('20250815_ETF_Options_Exhibits'!R1795:R1799)),AVERAGE('20250815_ETF_Options_Exhibits'!R1795:R1799),"")</f>
        <v/>
      </c>
      <c r="S1799" s="3">
        <f>IF(ISNUMBER(AVERAGE('20250815_ETF_Options_Exhibits'!S1795:S1799)),AVERAGE('20250815_ETF_Options_Exhibits'!S1795:S1799),"")</f>
        <v/>
      </c>
      <c r="T1799" s="3">
        <f>IF(ISNUMBER(AVERAGE('20250815_ETF_Options_Exhibits'!T1795:T1799)),AVERAGE('20250815_ETF_Options_Exhibits'!T1795:T1799),"")</f>
        <v/>
      </c>
      <c r="U1799" s="3">
        <f>IF(ISNUMBER(AVERAGE('20250815_ETF_Options_Exhibits'!U1795:U1799)),AVERAGE('20250815_ETF_Options_Exhibits'!U1795:U1799),"")</f>
        <v/>
      </c>
      <c r="V1799" s="3">
        <f>IF(ISNUMBER(AVERAGE('20250815_ETF_Options_Exhibits'!V1795:V1799)),AVERAGE('20250815_ETF_Options_Exhibits'!V1795:V1799),"")</f>
        <v/>
      </c>
      <c r="W1799" s="3">
        <f>IF(ISNUMBER(AVERAGE('20250815_ETF_Options_Exhibits'!W1795:W1799)),AVERAGE('20250815_ETF_Options_Exhibits'!W1795:W1799),"")</f>
        <v/>
      </c>
      <c r="X1799" s="3">
        <f>IF(ISNUMBER(AVERAGE('20250815_ETF_Options_Exhibits'!X1795:X1799)),AVERAGE('20250815_ETF_Options_Exhibits'!X1795:X1799),"")</f>
        <v/>
      </c>
      <c r="Y1799" s="3">
        <f>IF(ISNUMBER(AVERAGE('20250815_ETF_Options_Exhibits'!Y1795:Y1799)),AVERAGE('20250815_ETF_Options_Exhibits'!Y1795:Y1799),"")</f>
        <v/>
      </c>
      <c r="Z1799" s="3">
        <f>IF(ISNUMBER(AVERAGE('20250815_ETF_Options_Exhibits'!Z1795:Z1799)),AVERAGE('20250815_ETF_Options_Exhibits'!Z1795:Z1799),"")</f>
        <v/>
      </c>
      <c r="AA1799" s="3">
        <f>IF(ISNUMBER(AVERAGE('20250815_ETF_Options_Exhibits'!AA1795:AA1799)),AVERAGE('20250815_ETF_Options_Exhibits'!AA1795:AA1799),"")</f>
        <v/>
      </c>
    </row>
    <row r="1800">
      <c r="A1800" s="1" t="n">
        <v>44614</v>
      </c>
      <c r="B1800" s="3">
        <f>IF(ISNUMBER(AVERAGE('20250815_ETF_Options_Exhibits'!B1796:B1800)),AVERAGE('20250815_ETF_Options_Exhibits'!B1796:B1800),"")</f>
        <v/>
      </c>
      <c r="C1800" s="3">
        <f>IF(ISNUMBER(AVERAGE('20250815_ETF_Options_Exhibits'!C1796:C1800)),AVERAGE('20250815_ETF_Options_Exhibits'!C1796:C1800),"")</f>
        <v/>
      </c>
      <c r="D1800" s="3">
        <f>IF(ISNUMBER(AVERAGE('20250815_ETF_Options_Exhibits'!D1796:D1800)),AVERAGE('20250815_ETF_Options_Exhibits'!D1796:D1800),"")</f>
        <v/>
      </c>
      <c r="E1800" s="3">
        <f>IF(ISNUMBER(AVERAGE('20250815_ETF_Options_Exhibits'!E1796:E1800)),AVERAGE('20250815_ETF_Options_Exhibits'!E1796:E1800),"")</f>
        <v/>
      </c>
      <c r="F1800" s="3">
        <f>IF(ISNUMBER(AVERAGE('20250815_ETF_Options_Exhibits'!F1796:F1800)),AVERAGE('20250815_ETF_Options_Exhibits'!F1796:F1800),"")</f>
        <v/>
      </c>
      <c r="G1800" s="3">
        <f>IF(ISNUMBER(AVERAGE('20250815_ETF_Options_Exhibits'!G1796:G1800)),AVERAGE('20250815_ETF_Options_Exhibits'!G1796:G1800),"")</f>
        <v/>
      </c>
      <c r="H1800" s="3">
        <f>IF(ISNUMBER(AVERAGE('20250815_ETF_Options_Exhibits'!H1796:H1800)),AVERAGE('20250815_ETF_Options_Exhibits'!H1796:H1800),"")</f>
        <v/>
      </c>
      <c r="I1800" s="3">
        <f>IF(ISNUMBER(AVERAGE('20250815_ETF_Options_Exhibits'!I1796:I1800)),AVERAGE('20250815_ETF_Options_Exhibits'!I1796:I1800),"")</f>
        <v/>
      </c>
      <c r="J1800" s="3">
        <f>IF(ISNUMBER(AVERAGE('20250815_ETF_Options_Exhibits'!J1796:J1800)),AVERAGE('20250815_ETF_Options_Exhibits'!J1796:J1800),"")</f>
        <v/>
      </c>
      <c r="K1800" s="3">
        <f>IF(ISNUMBER(AVERAGE('20250815_ETF_Options_Exhibits'!K1796:K1800)),AVERAGE('20250815_ETF_Options_Exhibits'!K1796:K1800),"")</f>
        <v/>
      </c>
      <c r="L1800" s="3">
        <f>IF(ISNUMBER(AVERAGE('20250815_ETF_Options_Exhibits'!L1796:L1800)),AVERAGE('20250815_ETF_Options_Exhibits'!L1796:L1800),"")</f>
        <v/>
      </c>
      <c r="M1800" s="3">
        <f>IF(ISNUMBER(AVERAGE('20250815_ETF_Options_Exhibits'!M1796:M1800)),AVERAGE('20250815_ETF_Options_Exhibits'!M1796:M1800),"")</f>
        <v/>
      </c>
      <c r="N1800" s="3">
        <f>IF(ISNUMBER(AVERAGE('20250815_ETF_Options_Exhibits'!N1796:N1800)),AVERAGE('20250815_ETF_Options_Exhibits'!N1796:N1800),"")</f>
        <v/>
      </c>
      <c r="O1800" s="3">
        <f>IF(ISNUMBER(AVERAGE('20250815_ETF_Options_Exhibits'!O1796:O1800)),AVERAGE('20250815_ETF_Options_Exhibits'!O1796:O1800),"")</f>
        <v/>
      </c>
      <c r="P1800" s="3">
        <f>IF(ISNUMBER(AVERAGE('20250815_ETF_Options_Exhibits'!P1796:P1800)),AVERAGE('20250815_ETF_Options_Exhibits'!P1796:P1800),"")</f>
        <v/>
      </c>
      <c r="Q1800" s="3">
        <f>IF(ISNUMBER(AVERAGE('20250815_ETF_Options_Exhibits'!Q1796:Q1800)),AVERAGE('20250815_ETF_Options_Exhibits'!Q1796:Q1800),"")</f>
        <v/>
      </c>
      <c r="R1800" s="3">
        <f>IF(ISNUMBER(AVERAGE('20250815_ETF_Options_Exhibits'!R1796:R1800)),AVERAGE('20250815_ETF_Options_Exhibits'!R1796:R1800),"")</f>
        <v/>
      </c>
      <c r="S1800" s="3">
        <f>IF(ISNUMBER(AVERAGE('20250815_ETF_Options_Exhibits'!S1796:S1800)),AVERAGE('20250815_ETF_Options_Exhibits'!S1796:S1800),"")</f>
        <v/>
      </c>
      <c r="T1800" s="3">
        <f>IF(ISNUMBER(AVERAGE('20250815_ETF_Options_Exhibits'!T1796:T1800)),AVERAGE('20250815_ETF_Options_Exhibits'!T1796:T1800),"")</f>
        <v/>
      </c>
      <c r="U1800" s="3">
        <f>IF(ISNUMBER(AVERAGE('20250815_ETF_Options_Exhibits'!U1796:U1800)),AVERAGE('20250815_ETF_Options_Exhibits'!U1796:U1800),"")</f>
        <v/>
      </c>
      <c r="V1800" s="3">
        <f>IF(ISNUMBER(AVERAGE('20250815_ETF_Options_Exhibits'!V1796:V1800)),AVERAGE('20250815_ETF_Options_Exhibits'!V1796:V1800),"")</f>
        <v/>
      </c>
      <c r="W1800" s="3">
        <f>IF(ISNUMBER(AVERAGE('20250815_ETF_Options_Exhibits'!W1796:W1800)),AVERAGE('20250815_ETF_Options_Exhibits'!W1796:W1800),"")</f>
        <v/>
      </c>
      <c r="X1800" s="3">
        <f>IF(ISNUMBER(AVERAGE('20250815_ETF_Options_Exhibits'!X1796:X1800)),AVERAGE('20250815_ETF_Options_Exhibits'!X1796:X1800),"")</f>
        <v/>
      </c>
      <c r="Y1800" s="3">
        <f>IF(ISNUMBER(AVERAGE('20250815_ETF_Options_Exhibits'!Y1796:Y1800)),AVERAGE('20250815_ETF_Options_Exhibits'!Y1796:Y1800),"")</f>
        <v/>
      </c>
      <c r="Z1800" s="3">
        <f>IF(ISNUMBER(AVERAGE('20250815_ETF_Options_Exhibits'!Z1796:Z1800)),AVERAGE('20250815_ETF_Options_Exhibits'!Z1796:Z1800),"")</f>
        <v/>
      </c>
      <c r="AA1800" s="3">
        <f>IF(ISNUMBER(AVERAGE('20250815_ETF_Options_Exhibits'!AA1796:AA1800)),AVERAGE('20250815_ETF_Options_Exhibits'!AA1796:AA1800),"")</f>
        <v/>
      </c>
    </row>
    <row r="1801">
      <c r="A1801" s="1" t="n">
        <v>44615</v>
      </c>
      <c r="B1801" s="3">
        <f>IF(ISNUMBER(AVERAGE('20250815_ETF_Options_Exhibits'!B1797:B1801)),AVERAGE('20250815_ETF_Options_Exhibits'!B1797:B1801),"")</f>
        <v/>
      </c>
      <c r="C1801" s="3">
        <f>IF(ISNUMBER(AVERAGE('20250815_ETF_Options_Exhibits'!C1797:C1801)),AVERAGE('20250815_ETF_Options_Exhibits'!C1797:C1801),"")</f>
        <v/>
      </c>
      <c r="D1801" s="3">
        <f>IF(ISNUMBER(AVERAGE('20250815_ETF_Options_Exhibits'!D1797:D1801)),AVERAGE('20250815_ETF_Options_Exhibits'!D1797:D1801),"")</f>
        <v/>
      </c>
      <c r="E1801" s="3">
        <f>IF(ISNUMBER(AVERAGE('20250815_ETF_Options_Exhibits'!E1797:E1801)),AVERAGE('20250815_ETF_Options_Exhibits'!E1797:E1801),"")</f>
        <v/>
      </c>
      <c r="F1801" s="3">
        <f>IF(ISNUMBER(AVERAGE('20250815_ETF_Options_Exhibits'!F1797:F1801)),AVERAGE('20250815_ETF_Options_Exhibits'!F1797:F1801),"")</f>
        <v/>
      </c>
      <c r="G1801" s="3">
        <f>IF(ISNUMBER(AVERAGE('20250815_ETF_Options_Exhibits'!G1797:G1801)),AVERAGE('20250815_ETF_Options_Exhibits'!G1797:G1801),"")</f>
        <v/>
      </c>
      <c r="H1801" s="3">
        <f>IF(ISNUMBER(AVERAGE('20250815_ETF_Options_Exhibits'!H1797:H1801)),AVERAGE('20250815_ETF_Options_Exhibits'!H1797:H1801),"")</f>
        <v/>
      </c>
      <c r="I1801" s="3">
        <f>IF(ISNUMBER(AVERAGE('20250815_ETF_Options_Exhibits'!I1797:I1801)),AVERAGE('20250815_ETF_Options_Exhibits'!I1797:I1801),"")</f>
        <v/>
      </c>
      <c r="J1801" s="3">
        <f>IF(ISNUMBER(AVERAGE('20250815_ETF_Options_Exhibits'!J1797:J1801)),AVERAGE('20250815_ETF_Options_Exhibits'!J1797:J1801),"")</f>
        <v/>
      </c>
      <c r="K1801" s="3">
        <f>IF(ISNUMBER(AVERAGE('20250815_ETF_Options_Exhibits'!K1797:K1801)),AVERAGE('20250815_ETF_Options_Exhibits'!K1797:K1801),"")</f>
        <v/>
      </c>
      <c r="L1801" s="3">
        <f>IF(ISNUMBER(AVERAGE('20250815_ETF_Options_Exhibits'!L1797:L1801)),AVERAGE('20250815_ETF_Options_Exhibits'!L1797:L1801),"")</f>
        <v/>
      </c>
      <c r="M1801" s="3">
        <f>IF(ISNUMBER(AVERAGE('20250815_ETF_Options_Exhibits'!M1797:M1801)),AVERAGE('20250815_ETF_Options_Exhibits'!M1797:M1801),"")</f>
        <v/>
      </c>
      <c r="N1801" s="3">
        <f>IF(ISNUMBER(AVERAGE('20250815_ETF_Options_Exhibits'!N1797:N1801)),AVERAGE('20250815_ETF_Options_Exhibits'!N1797:N1801),"")</f>
        <v/>
      </c>
      <c r="O1801" s="3">
        <f>IF(ISNUMBER(AVERAGE('20250815_ETF_Options_Exhibits'!O1797:O1801)),AVERAGE('20250815_ETF_Options_Exhibits'!O1797:O1801),"")</f>
        <v/>
      </c>
      <c r="P1801" s="3">
        <f>IF(ISNUMBER(AVERAGE('20250815_ETF_Options_Exhibits'!P1797:P1801)),AVERAGE('20250815_ETF_Options_Exhibits'!P1797:P1801),"")</f>
        <v/>
      </c>
      <c r="Q1801" s="3">
        <f>IF(ISNUMBER(AVERAGE('20250815_ETF_Options_Exhibits'!Q1797:Q1801)),AVERAGE('20250815_ETF_Options_Exhibits'!Q1797:Q1801),"")</f>
        <v/>
      </c>
      <c r="R1801" s="3">
        <f>IF(ISNUMBER(AVERAGE('20250815_ETF_Options_Exhibits'!R1797:R1801)),AVERAGE('20250815_ETF_Options_Exhibits'!R1797:R1801),"")</f>
        <v/>
      </c>
      <c r="S1801" s="3">
        <f>IF(ISNUMBER(AVERAGE('20250815_ETF_Options_Exhibits'!S1797:S1801)),AVERAGE('20250815_ETF_Options_Exhibits'!S1797:S1801),"")</f>
        <v/>
      </c>
      <c r="T1801" s="3">
        <f>IF(ISNUMBER(AVERAGE('20250815_ETF_Options_Exhibits'!T1797:T1801)),AVERAGE('20250815_ETF_Options_Exhibits'!T1797:T1801),"")</f>
        <v/>
      </c>
      <c r="U1801" s="3">
        <f>IF(ISNUMBER(AVERAGE('20250815_ETF_Options_Exhibits'!U1797:U1801)),AVERAGE('20250815_ETF_Options_Exhibits'!U1797:U1801),"")</f>
        <v/>
      </c>
      <c r="V1801" s="3">
        <f>IF(ISNUMBER(AVERAGE('20250815_ETF_Options_Exhibits'!V1797:V1801)),AVERAGE('20250815_ETF_Options_Exhibits'!V1797:V1801),"")</f>
        <v/>
      </c>
      <c r="W1801" s="3">
        <f>IF(ISNUMBER(AVERAGE('20250815_ETF_Options_Exhibits'!W1797:W1801)),AVERAGE('20250815_ETF_Options_Exhibits'!W1797:W1801),"")</f>
        <v/>
      </c>
      <c r="X1801" s="3">
        <f>IF(ISNUMBER(AVERAGE('20250815_ETF_Options_Exhibits'!X1797:X1801)),AVERAGE('20250815_ETF_Options_Exhibits'!X1797:X1801),"")</f>
        <v/>
      </c>
      <c r="Y1801" s="3">
        <f>IF(ISNUMBER(AVERAGE('20250815_ETF_Options_Exhibits'!Y1797:Y1801)),AVERAGE('20250815_ETF_Options_Exhibits'!Y1797:Y1801),"")</f>
        <v/>
      </c>
      <c r="Z1801" s="3">
        <f>IF(ISNUMBER(AVERAGE('20250815_ETF_Options_Exhibits'!Z1797:Z1801)),AVERAGE('20250815_ETF_Options_Exhibits'!Z1797:Z1801),"")</f>
        <v/>
      </c>
      <c r="AA1801" s="3">
        <f>IF(ISNUMBER(AVERAGE('20250815_ETF_Options_Exhibits'!AA1797:AA1801)),AVERAGE('20250815_ETF_Options_Exhibits'!AA1797:AA1801),"")</f>
        <v/>
      </c>
    </row>
    <row r="1802">
      <c r="A1802" s="1" t="n">
        <v>44616</v>
      </c>
      <c r="B1802" s="3">
        <f>IF(ISNUMBER(AVERAGE('20250815_ETF_Options_Exhibits'!B1798:B1802)),AVERAGE('20250815_ETF_Options_Exhibits'!B1798:B1802),"")</f>
        <v/>
      </c>
      <c r="C1802" s="3">
        <f>IF(ISNUMBER(AVERAGE('20250815_ETF_Options_Exhibits'!C1798:C1802)),AVERAGE('20250815_ETF_Options_Exhibits'!C1798:C1802),"")</f>
        <v/>
      </c>
      <c r="D1802" s="3">
        <f>IF(ISNUMBER(AVERAGE('20250815_ETF_Options_Exhibits'!D1798:D1802)),AVERAGE('20250815_ETF_Options_Exhibits'!D1798:D1802),"")</f>
        <v/>
      </c>
      <c r="E1802" s="3">
        <f>IF(ISNUMBER(AVERAGE('20250815_ETF_Options_Exhibits'!E1798:E1802)),AVERAGE('20250815_ETF_Options_Exhibits'!E1798:E1802),"")</f>
        <v/>
      </c>
      <c r="F1802" s="3">
        <f>IF(ISNUMBER(AVERAGE('20250815_ETF_Options_Exhibits'!F1798:F1802)),AVERAGE('20250815_ETF_Options_Exhibits'!F1798:F1802),"")</f>
        <v/>
      </c>
      <c r="G1802" s="3">
        <f>IF(ISNUMBER(AVERAGE('20250815_ETF_Options_Exhibits'!G1798:G1802)),AVERAGE('20250815_ETF_Options_Exhibits'!G1798:G1802),"")</f>
        <v/>
      </c>
      <c r="H1802" s="3">
        <f>IF(ISNUMBER(AVERAGE('20250815_ETF_Options_Exhibits'!H1798:H1802)),AVERAGE('20250815_ETF_Options_Exhibits'!H1798:H1802),"")</f>
        <v/>
      </c>
      <c r="I1802" s="3">
        <f>IF(ISNUMBER(AVERAGE('20250815_ETF_Options_Exhibits'!I1798:I1802)),AVERAGE('20250815_ETF_Options_Exhibits'!I1798:I1802),"")</f>
        <v/>
      </c>
      <c r="J1802" s="3">
        <f>IF(ISNUMBER(AVERAGE('20250815_ETF_Options_Exhibits'!J1798:J1802)),AVERAGE('20250815_ETF_Options_Exhibits'!J1798:J1802),"")</f>
        <v/>
      </c>
      <c r="K1802" s="3">
        <f>IF(ISNUMBER(AVERAGE('20250815_ETF_Options_Exhibits'!K1798:K1802)),AVERAGE('20250815_ETF_Options_Exhibits'!K1798:K1802),"")</f>
        <v/>
      </c>
      <c r="L1802" s="3">
        <f>IF(ISNUMBER(AVERAGE('20250815_ETF_Options_Exhibits'!L1798:L1802)),AVERAGE('20250815_ETF_Options_Exhibits'!L1798:L1802),"")</f>
        <v/>
      </c>
      <c r="M1802" s="3">
        <f>IF(ISNUMBER(AVERAGE('20250815_ETF_Options_Exhibits'!M1798:M1802)),AVERAGE('20250815_ETF_Options_Exhibits'!M1798:M1802),"")</f>
        <v/>
      </c>
      <c r="N1802" s="3">
        <f>IF(ISNUMBER(AVERAGE('20250815_ETF_Options_Exhibits'!N1798:N1802)),AVERAGE('20250815_ETF_Options_Exhibits'!N1798:N1802),"")</f>
        <v/>
      </c>
      <c r="O1802" s="3">
        <f>IF(ISNUMBER(AVERAGE('20250815_ETF_Options_Exhibits'!O1798:O1802)),AVERAGE('20250815_ETF_Options_Exhibits'!O1798:O1802),"")</f>
        <v/>
      </c>
      <c r="P1802" s="3">
        <f>IF(ISNUMBER(AVERAGE('20250815_ETF_Options_Exhibits'!P1798:P1802)),AVERAGE('20250815_ETF_Options_Exhibits'!P1798:P1802),"")</f>
        <v/>
      </c>
      <c r="Q1802" s="3">
        <f>IF(ISNUMBER(AVERAGE('20250815_ETF_Options_Exhibits'!Q1798:Q1802)),AVERAGE('20250815_ETF_Options_Exhibits'!Q1798:Q1802),"")</f>
        <v/>
      </c>
      <c r="R1802" s="3">
        <f>IF(ISNUMBER(AVERAGE('20250815_ETF_Options_Exhibits'!R1798:R1802)),AVERAGE('20250815_ETF_Options_Exhibits'!R1798:R1802),"")</f>
        <v/>
      </c>
      <c r="S1802" s="3">
        <f>IF(ISNUMBER(AVERAGE('20250815_ETF_Options_Exhibits'!S1798:S1802)),AVERAGE('20250815_ETF_Options_Exhibits'!S1798:S1802),"")</f>
        <v/>
      </c>
      <c r="T1802" s="3">
        <f>IF(ISNUMBER(AVERAGE('20250815_ETF_Options_Exhibits'!T1798:T1802)),AVERAGE('20250815_ETF_Options_Exhibits'!T1798:T1802),"")</f>
        <v/>
      </c>
      <c r="U1802" s="3">
        <f>IF(ISNUMBER(AVERAGE('20250815_ETF_Options_Exhibits'!U1798:U1802)),AVERAGE('20250815_ETF_Options_Exhibits'!U1798:U1802),"")</f>
        <v/>
      </c>
      <c r="V1802" s="3">
        <f>IF(ISNUMBER(AVERAGE('20250815_ETF_Options_Exhibits'!V1798:V1802)),AVERAGE('20250815_ETF_Options_Exhibits'!V1798:V1802),"")</f>
        <v/>
      </c>
      <c r="W1802" s="3">
        <f>IF(ISNUMBER(AVERAGE('20250815_ETF_Options_Exhibits'!W1798:W1802)),AVERAGE('20250815_ETF_Options_Exhibits'!W1798:W1802),"")</f>
        <v/>
      </c>
      <c r="X1802" s="3">
        <f>IF(ISNUMBER(AVERAGE('20250815_ETF_Options_Exhibits'!X1798:X1802)),AVERAGE('20250815_ETF_Options_Exhibits'!X1798:X1802),"")</f>
        <v/>
      </c>
      <c r="Y1802" s="3">
        <f>IF(ISNUMBER(AVERAGE('20250815_ETF_Options_Exhibits'!Y1798:Y1802)),AVERAGE('20250815_ETF_Options_Exhibits'!Y1798:Y1802),"")</f>
        <v/>
      </c>
      <c r="Z1802" s="3">
        <f>IF(ISNUMBER(AVERAGE('20250815_ETF_Options_Exhibits'!Z1798:Z1802)),AVERAGE('20250815_ETF_Options_Exhibits'!Z1798:Z1802),"")</f>
        <v/>
      </c>
      <c r="AA1802" s="3">
        <f>IF(ISNUMBER(AVERAGE('20250815_ETF_Options_Exhibits'!AA1798:AA1802)),AVERAGE('20250815_ETF_Options_Exhibits'!AA1798:AA1802),"")</f>
        <v/>
      </c>
    </row>
    <row r="1803">
      <c r="A1803" s="1" t="n">
        <v>44617</v>
      </c>
      <c r="B1803" s="3">
        <f>IF(ISNUMBER(AVERAGE('20250815_ETF_Options_Exhibits'!B1799:B1803)),AVERAGE('20250815_ETF_Options_Exhibits'!B1799:B1803),"")</f>
        <v/>
      </c>
      <c r="C1803" s="3">
        <f>IF(ISNUMBER(AVERAGE('20250815_ETF_Options_Exhibits'!C1799:C1803)),AVERAGE('20250815_ETF_Options_Exhibits'!C1799:C1803),"")</f>
        <v/>
      </c>
      <c r="D1803" s="3">
        <f>IF(ISNUMBER(AVERAGE('20250815_ETF_Options_Exhibits'!D1799:D1803)),AVERAGE('20250815_ETF_Options_Exhibits'!D1799:D1803),"")</f>
        <v/>
      </c>
      <c r="E1803" s="3">
        <f>IF(ISNUMBER(AVERAGE('20250815_ETF_Options_Exhibits'!E1799:E1803)),AVERAGE('20250815_ETF_Options_Exhibits'!E1799:E1803),"")</f>
        <v/>
      </c>
      <c r="F1803" s="3">
        <f>IF(ISNUMBER(AVERAGE('20250815_ETF_Options_Exhibits'!F1799:F1803)),AVERAGE('20250815_ETF_Options_Exhibits'!F1799:F1803),"")</f>
        <v/>
      </c>
      <c r="G1803" s="3">
        <f>IF(ISNUMBER(AVERAGE('20250815_ETF_Options_Exhibits'!G1799:G1803)),AVERAGE('20250815_ETF_Options_Exhibits'!G1799:G1803),"")</f>
        <v/>
      </c>
      <c r="H1803" s="3">
        <f>IF(ISNUMBER(AVERAGE('20250815_ETF_Options_Exhibits'!H1799:H1803)),AVERAGE('20250815_ETF_Options_Exhibits'!H1799:H1803),"")</f>
        <v/>
      </c>
      <c r="I1803" s="3">
        <f>IF(ISNUMBER(AVERAGE('20250815_ETF_Options_Exhibits'!I1799:I1803)),AVERAGE('20250815_ETF_Options_Exhibits'!I1799:I1803),"")</f>
        <v/>
      </c>
      <c r="J1803" s="3">
        <f>IF(ISNUMBER(AVERAGE('20250815_ETF_Options_Exhibits'!J1799:J1803)),AVERAGE('20250815_ETF_Options_Exhibits'!J1799:J1803),"")</f>
        <v/>
      </c>
      <c r="K1803" s="3">
        <f>IF(ISNUMBER(AVERAGE('20250815_ETF_Options_Exhibits'!K1799:K1803)),AVERAGE('20250815_ETF_Options_Exhibits'!K1799:K1803),"")</f>
        <v/>
      </c>
      <c r="L1803" s="3">
        <f>IF(ISNUMBER(AVERAGE('20250815_ETF_Options_Exhibits'!L1799:L1803)),AVERAGE('20250815_ETF_Options_Exhibits'!L1799:L1803),"")</f>
        <v/>
      </c>
      <c r="M1803" s="3">
        <f>IF(ISNUMBER(AVERAGE('20250815_ETF_Options_Exhibits'!M1799:M1803)),AVERAGE('20250815_ETF_Options_Exhibits'!M1799:M1803),"")</f>
        <v/>
      </c>
      <c r="N1803" s="3">
        <f>IF(ISNUMBER(AVERAGE('20250815_ETF_Options_Exhibits'!N1799:N1803)),AVERAGE('20250815_ETF_Options_Exhibits'!N1799:N1803),"")</f>
        <v/>
      </c>
      <c r="O1803" s="3">
        <f>IF(ISNUMBER(AVERAGE('20250815_ETF_Options_Exhibits'!O1799:O1803)),AVERAGE('20250815_ETF_Options_Exhibits'!O1799:O1803),"")</f>
        <v/>
      </c>
      <c r="P1803" s="3">
        <f>IF(ISNUMBER(AVERAGE('20250815_ETF_Options_Exhibits'!P1799:P1803)),AVERAGE('20250815_ETF_Options_Exhibits'!P1799:P1803),"")</f>
        <v/>
      </c>
      <c r="Q1803" s="3">
        <f>IF(ISNUMBER(AVERAGE('20250815_ETF_Options_Exhibits'!Q1799:Q1803)),AVERAGE('20250815_ETF_Options_Exhibits'!Q1799:Q1803),"")</f>
        <v/>
      </c>
      <c r="R1803" s="3">
        <f>IF(ISNUMBER(AVERAGE('20250815_ETF_Options_Exhibits'!R1799:R1803)),AVERAGE('20250815_ETF_Options_Exhibits'!R1799:R1803),"")</f>
        <v/>
      </c>
      <c r="S1803" s="3">
        <f>IF(ISNUMBER(AVERAGE('20250815_ETF_Options_Exhibits'!S1799:S1803)),AVERAGE('20250815_ETF_Options_Exhibits'!S1799:S1803),"")</f>
        <v/>
      </c>
      <c r="T1803" s="3">
        <f>IF(ISNUMBER(AVERAGE('20250815_ETF_Options_Exhibits'!T1799:T1803)),AVERAGE('20250815_ETF_Options_Exhibits'!T1799:T1803),"")</f>
        <v/>
      </c>
      <c r="U1803" s="3">
        <f>IF(ISNUMBER(AVERAGE('20250815_ETF_Options_Exhibits'!U1799:U1803)),AVERAGE('20250815_ETF_Options_Exhibits'!U1799:U1803),"")</f>
        <v/>
      </c>
      <c r="V1803" s="3">
        <f>IF(ISNUMBER(AVERAGE('20250815_ETF_Options_Exhibits'!V1799:V1803)),AVERAGE('20250815_ETF_Options_Exhibits'!V1799:V1803),"")</f>
        <v/>
      </c>
      <c r="W1803" s="3">
        <f>IF(ISNUMBER(AVERAGE('20250815_ETF_Options_Exhibits'!W1799:W1803)),AVERAGE('20250815_ETF_Options_Exhibits'!W1799:W1803),"")</f>
        <v/>
      </c>
      <c r="X1803" s="3">
        <f>IF(ISNUMBER(AVERAGE('20250815_ETF_Options_Exhibits'!X1799:X1803)),AVERAGE('20250815_ETF_Options_Exhibits'!X1799:X1803),"")</f>
        <v/>
      </c>
      <c r="Y1803" s="3">
        <f>IF(ISNUMBER(AVERAGE('20250815_ETF_Options_Exhibits'!Y1799:Y1803)),AVERAGE('20250815_ETF_Options_Exhibits'!Y1799:Y1803),"")</f>
        <v/>
      </c>
      <c r="Z1803" s="3">
        <f>IF(ISNUMBER(AVERAGE('20250815_ETF_Options_Exhibits'!Z1799:Z1803)),AVERAGE('20250815_ETF_Options_Exhibits'!Z1799:Z1803),"")</f>
        <v/>
      </c>
      <c r="AA1803" s="3">
        <f>IF(ISNUMBER(AVERAGE('20250815_ETF_Options_Exhibits'!AA1799:AA1803)),AVERAGE('20250815_ETF_Options_Exhibits'!AA1799:AA1803),"")</f>
        <v/>
      </c>
    </row>
    <row r="1804">
      <c r="A1804" s="1" t="n">
        <v>44620</v>
      </c>
      <c r="B1804" s="3">
        <f>IF(ISNUMBER(AVERAGE('20250815_ETF_Options_Exhibits'!B1800:B1804)),AVERAGE('20250815_ETF_Options_Exhibits'!B1800:B1804),"")</f>
        <v/>
      </c>
      <c r="C1804" s="3">
        <f>IF(ISNUMBER(AVERAGE('20250815_ETF_Options_Exhibits'!C1800:C1804)),AVERAGE('20250815_ETF_Options_Exhibits'!C1800:C1804),"")</f>
        <v/>
      </c>
      <c r="D1804" s="3">
        <f>IF(ISNUMBER(AVERAGE('20250815_ETF_Options_Exhibits'!D1800:D1804)),AVERAGE('20250815_ETF_Options_Exhibits'!D1800:D1804),"")</f>
        <v/>
      </c>
      <c r="E1804" s="3">
        <f>IF(ISNUMBER(AVERAGE('20250815_ETF_Options_Exhibits'!E1800:E1804)),AVERAGE('20250815_ETF_Options_Exhibits'!E1800:E1804),"")</f>
        <v/>
      </c>
      <c r="F1804" s="3">
        <f>IF(ISNUMBER(AVERAGE('20250815_ETF_Options_Exhibits'!F1800:F1804)),AVERAGE('20250815_ETF_Options_Exhibits'!F1800:F1804),"")</f>
        <v/>
      </c>
      <c r="G1804" s="3">
        <f>IF(ISNUMBER(AVERAGE('20250815_ETF_Options_Exhibits'!G1800:G1804)),AVERAGE('20250815_ETF_Options_Exhibits'!G1800:G1804),"")</f>
        <v/>
      </c>
      <c r="H1804" s="3">
        <f>IF(ISNUMBER(AVERAGE('20250815_ETF_Options_Exhibits'!H1800:H1804)),AVERAGE('20250815_ETF_Options_Exhibits'!H1800:H1804),"")</f>
        <v/>
      </c>
      <c r="I1804" s="3">
        <f>IF(ISNUMBER(AVERAGE('20250815_ETF_Options_Exhibits'!I1800:I1804)),AVERAGE('20250815_ETF_Options_Exhibits'!I1800:I1804),"")</f>
        <v/>
      </c>
      <c r="J1804" s="3">
        <f>IF(ISNUMBER(AVERAGE('20250815_ETF_Options_Exhibits'!J1800:J1804)),AVERAGE('20250815_ETF_Options_Exhibits'!J1800:J1804),"")</f>
        <v/>
      </c>
      <c r="K1804" s="3">
        <f>IF(ISNUMBER(AVERAGE('20250815_ETF_Options_Exhibits'!K1800:K1804)),AVERAGE('20250815_ETF_Options_Exhibits'!K1800:K1804),"")</f>
        <v/>
      </c>
      <c r="L1804" s="3">
        <f>IF(ISNUMBER(AVERAGE('20250815_ETF_Options_Exhibits'!L1800:L1804)),AVERAGE('20250815_ETF_Options_Exhibits'!L1800:L1804),"")</f>
        <v/>
      </c>
      <c r="M1804" s="3">
        <f>IF(ISNUMBER(AVERAGE('20250815_ETF_Options_Exhibits'!M1800:M1804)),AVERAGE('20250815_ETF_Options_Exhibits'!M1800:M1804),"")</f>
        <v/>
      </c>
      <c r="N1804" s="3">
        <f>IF(ISNUMBER(AVERAGE('20250815_ETF_Options_Exhibits'!N1800:N1804)),AVERAGE('20250815_ETF_Options_Exhibits'!N1800:N1804),"")</f>
        <v/>
      </c>
      <c r="O1804" s="3">
        <f>IF(ISNUMBER(AVERAGE('20250815_ETF_Options_Exhibits'!O1800:O1804)),AVERAGE('20250815_ETF_Options_Exhibits'!O1800:O1804),"")</f>
        <v/>
      </c>
      <c r="P1804" s="3">
        <f>IF(ISNUMBER(AVERAGE('20250815_ETF_Options_Exhibits'!P1800:P1804)),AVERAGE('20250815_ETF_Options_Exhibits'!P1800:P1804),"")</f>
        <v/>
      </c>
      <c r="Q1804" s="3">
        <f>IF(ISNUMBER(AVERAGE('20250815_ETF_Options_Exhibits'!Q1800:Q1804)),AVERAGE('20250815_ETF_Options_Exhibits'!Q1800:Q1804),"")</f>
        <v/>
      </c>
      <c r="R1804" s="3">
        <f>IF(ISNUMBER(AVERAGE('20250815_ETF_Options_Exhibits'!R1800:R1804)),AVERAGE('20250815_ETF_Options_Exhibits'!R1800:R1804),"")</f>
        <v/>
      </c>
      <c r="S1804" s="3">
        <f>IF(ISNUMBER(AVERAGE('20250815_ETF_Options_Exhibits'!S1800:S1804)),AVERAGE('20250815_ETF_Options_Exhibits'!S1800:S1804),"")</f>
        <v/>
      </c>
      <c r="T1804" s="3">
        <f>IF(ISNUMBER(AVERAGE('20250815_ETF_Options_Exhibits'!T1800:T1804)),AVERAGE('20250815_ETF_Options_Exhibits'!T1800:T1804),"")</f>
        <v/>
      </c>
      <c r="U1804" s="3">
        <f>IF(ISNUMBER(AVERAGE('20250815_ETF_Options_Exhibits'!U1800:U1804)),AVERAGE('20250815_ETF_Options_Exhibits'!U1800:U1804),"")</f>
        <v/>
      </c>
      <c r="V1804" s="3">
        <f>IF(ISNUMBER(AVERAGE('20250815_ETF_Options_Exhibits'!V1800:V1804)),AVERAGE('20250815_ETF_Options_Exhibits'!V1800:V1804),"")</f>
        <v/>
      </c>
      <c r="W1804" s="3">
        <f>IF(ISNUMBER(AVERAGE('20250815_ETF_Options_Exhibits'!W1800:W1804)),AVERAGE('20250815_ETF_Options_Exhibits'!W1800:W1804),"")</f>
        <v/>
      </c>
      <c r="X1804" s="3">
        <f>IF(ISNUMBER(AVERAGE('20250815_ETF_Options_Exhibits'!X1800:X1804)),AVERAGE('20250815_ETF_Options_Exhibits'!X1800:X1804),"")</f>
        <v/>
      </c>
      <c r="Y1804" s="3">
        <f>IF(ISNUMBER(AVERAGE('20250815_ETF_Options_Exhibits'!Y1800:Y1804)),AVERAGE('20250815_ETF_Options_Exhibits'!Y1800:Y1804),"")</f>
        <v/>
      </c>
      <c r="Z1804" s="3">
        <f>IF(ISNUMBER(AVERAGE('20250815_ETF_Options_Exhibits'!Z1800:Z1804)),AVERAGE('20250815_ETF_Options_Exhibits'!Z1800:Z1804),"")</f>
        <v/>
      </c>
      <c r="AA1804" s="3">
        <f>IF(ISNUMBER(AVERAGE('20250815_ETF_Options_Exhibits'!AA1800:AA1804)),AVERAGE('20250815_ETF_Options_Exhibits'!AA1800:AA1804),"")</f>
        <v/>
      </c>
    </row>
    <row r="1805">
      <c r="A1805" s="1" t="n">
        <v>44621</v>
      </c>
      <c r="B1805" s="3">
        <f>IF(ISNUMBER(AVERAGE('20250815_ETF_Options_Exhibits'!B1801:B1805)),AVERAGE('20250815_ETF_Options_Exhibits'!B1801:B1805),"")</f>
        <v/>
      </c>
      <c r="C1805" s="3">
        <f>IF(ISNUMBER(AVERAGE('20250815_ETF_Options_Exhibits'!C1801:C1805)),AVERAGE('20250815_ETF_Options_Exhibits'!C1801:C1805),"")</f>
        <v/>
      </c>
      <c r="D1805" s="3">
        <f>IF(ISNUMBER(AVERAGE('20250815_ETF_Options_Exhibits'!D1801:D1805)),AVERAGE('20250815_ETF_Options_Exhibits'!D1801:D1805),"")</f>
        <v/>
      </c>
      <c r="E1805" s="3">
        <f>IF(ISNUMBER(AVERAGE('20250815_ETF_Options_Exhibits'!E1801:E1805)),AVERAGE('20250815_ETF_Options_Exhibits'!E1801:E1805),"")</f>
        <v/>
      </c>
      <c r="F1805" s="3">
        <f>IF(ISNUMBER(AVERAGE('20250815_ETF_Options_Exhibits'!F1801:F1805)),AVERAGE('20250815_ETF_Options_Exhibits'!F1801:F1805),"")</f>
        <v/>
      </c>
      <c r="G1805" s="3">
        <f>IF(ISNUMBER(AVERAGE('20250815_ETF_Options_Exhibits'!G1801:G1805)),AVERAGE('20250815_ETF_Options_Exhibits'!G1801:G1805),"")</f>
        <v/>
      </c>
      <c r="H1805" s="3">
        <f>IF(ISNUMBER(AVERAGE('20250815_ETF_Options_Exhibits'!H1801:H1805)),AVERAGE('20250815_ETF_Options_Exhibits'!H1801:H1805),"")</f>
        <v/>
      </c>
      <c r="I1805" s="3">
        <f>IF(ISNUMBER(AVERAGE('20250815_ETF_Options_Exhibits'!I1801:I1805)),AVERAGE('20250815_ETF_Options_Exhibits'!I1801:I1805),"")</f>
        <v/>
      </c>
      <c r="J1805" s="3">
        <f>IF(ISNUMBER(AVERAGE('20250815_ETF_Options_Exhibits'!J1801:J1805)),AVERAGE('20250815_ETF_Options_Exhibits'!J1801:J1805),"")</f>
        <v/>
      </c>
      <c r="K1805" s="3">
        <f>IF(ISNUMBER(AVERAGE('20250815_ETF_Options_Exhibits'!K1801:K1805)),AVERAGE('20250815_ETF_Options_Exhibits'!K1801:K1805),"")</f>
        <v/>
      </c>
      <c r="L1805" s="3">
        <f>IF(ISNUMBER(AVERAGE('20250815_ETF_Options_Exhibits'!L1801:L1805)),AVERAGE('20250815_ETF_Options_Exhibits'!L1801:L1805),"")</f>
        <v/>
      </c>
      <c r="M1805" s="3">
        <f>IF(ISNUMBER(AVERAGE('20250815_ETF_Options_Exhibits'!M1801:M1805)),AVERAGE('20250815_ETF_Options_Exhibits'!M1801:M1805),"")</f>
        <v/>
      </c>
      <c r="N1805" s="3">
        <f>IF(ISNUMBER(AVERAGE('20250815_ETF_Options_Exhibits'!N1801:N1805)),AVERAGE('20250815_ETF_Options_Exhibits'!N1801:N1805),"")</f>
        <v/>
      </c>
      <c r="O1805" s="3">
        <f>IF(ISNUMBER(AVERAGE('20250815_ETF_Options_Exhibits'!O1801:O1805)),AVERAGE('20250815_ETF_Options_Exhibits'!O1801:O1805),"")</f>
        <v/>
      </c>
      <c r="P1805" s="3">
        <f>IF(ISNUMBER(AVERAGE('20250815_ETF_Options_Exhibits'!P1801:P1805)),AVERAGE('20250815_ETF_Options_Exhibits'!P1801:P1805),"")</f>
        <v/>
      </c>
      <c r="Q1805" s="3">
        <f>IF(ISNUMBER(AVERAGE('20250815_ETF_Options_Exhibits'!Q1801:Q1805)),AVERAGE('20250815_ETF_Options_Exhibits'!Q1801:Q1805),"")</f>
        <v/>
      </c>
      <c r="R1805" s="3">
        <f>IF(ISNUMBER(AVERAGE('20250815_ETF_Options_Exhibits'!R1801:R1805)),AVERAGE('20250815_ETF_Options_Exhibits'!R1801:R1805),"")</f>
        <v/>
      </c>
      <c r="S1805" s="3">
        <f>IF(ISNUMBER(AVERAGE('20250815_ETF_Options_Exhibits'!S1801:S1805)),AVERAGE('20250815_ETF_Options_Exhibits'!S1801:S1805),"")</f>
        <v/>
      </c>
      <c r="T1805" s="3">
        <f>IF(ISNUMBER(AVERAGE('20250815_ETF_Options_Exhibits'!T1801:T1805)),AVERAGE('20250815_ETF_Options_Exhibits'!T1801:T1805),"")</f>
        <v/>
      </c>
      <c r="U1805" s="3">
        <f>IF(ISNUMBER(AVERAGE('20250815_ETF_Options_Exhibits'!U1801:U1805)),AVERAGE('20250815_ETF_Options_Exhibits'!U1801:U1805),"")</f>
        <v/>
      </c>
      <c r="V1805" s="3">
        <f>IF(ISNUMBER(AVERAGE('20250815_ETF_Options_Exhibits'!V1801:V1805)),AVERAGE('20250815_ETF_Options_Exhibits'!V1801:V1805),"")</f>
        <v/>
      </c>
      <c r="W1805" s="3">
        <f>IF(ISNUMBER(AVERAGE('20250815_ETF_Options_Exhibits'!W1801:W1805)),AVERAGE('20250815_ETF_Options_Exhibits'!W1801:W1805),"")</f>
        <v/>
      </c>
      <c r="X1805" s="3">
        <f>IF(ISNUMBER(AVERAGE('20250815_ETF_Options_Exhibits'!X1801:X1805)),AVERAGE('20250815_ETF_Options_Exhibits'!X1801:X1805),"")</f>
        <v/>
      </c>
      <c r="Y1805" s="3">
        <f>IF(ISNUMBER(AVERAGE('20250815_ETF_Options_Exhibits'!Y1801:Y1805)),AVERAGE('20250815_ETF_Options_Exhibits'!Y1801:Y1805),"")</f>
        <v/>
      </c>
      <c r="Z1805" s="3">
        <f>IF(ISNUMBER(AVERAGE('20250815_ETF_Options_Exhibits'!Z1801:Z1805)),AVERAGE('20250815_ETF_Options_Exhibits'!Z1801:Z1805),"")</f>
        <v/>
      </c>
      <c r="AA1805" s="3">
        <f>IF(ISNUMBER(AVERAGE('20250815_ETF_Options_Exhibits'!AA1801:AA1805)),AVERAGE('20250815_ETF_Options_Exhibits'!AA1801:AA1805),"")</f>
        <v/>
      </c>
    </row>
    <row r="1806">
      <c r="A1806" s="1" t="n">
        <v>44622</v>
      </c>
      <c r="B1806" s="3">
        <f>IF(ISNUMBER(AVERAGE('20250815_ETF_Options_Exhibits'!B1802:B1806)),AVERAGE('20250815_ETF_Options_Exhibits'!B1802:B1806),"")</f>
        <v/>
      </c>
      <c r="C1806" s="3">
        <f>IF(ISNUMBER(AVERAGE('20250815_ETF_Options_Exhibits'!C1802:C1806)),AVERAGE('20250815_ETF_Options_Exhibits'!C1802:C1806),"")</f>
        <v/>
      </c>
      <c r="D1806" s="3">
        <f>IF(ISNUMBER(AVERAGE('20250815_ETF_Options_Exhibits'!D1802:D1806)),AVERAGE('20250815_ETF_Options_Exhibits'!D1802:D1806),"")</f>
        <v/>
      </c>
      <c r="E1806" s="3">
        <f>IF(ISNUMBER(AVERAGE('20250815_ETF_Options_Exhibits'!E1802:E1806)),AVERAGE('20250815_ETF_Options_Exhibits'!E1802:E1806),"")</f>
        <v/>
      </c>
      <c r="F1806" s="3">
        <f>IF(ISNUMBER(AVERAGE('20250815_ETF_Options_Exhibits'!F1802:F1806)),AVERAGE('20250815_ETF_Options_Exhibits'!F1802:F1806),"")</f>
        <v/>
      </c>
      <c r="G1806" s="3">
        <f>IF(ISNUMBER(AVERAGE('20250815_ETF_Options_Exhibits'!G1802:G1806)),AVERAGE('20250815_ETF_Options_Exhibits'!G1802:G1806),"")</f>
        <v/>
      </c>
      <c r="H1806" s="3">
        <f>IF(ISNUMBER(AVERAGE('20250815_ETF_Options_Exhibits'!H1802:H1806)),AVERAGE('20250815_ETF_Options_Exhibits'!H1802:H1806),"")</f>
        <v/>
      </c>
      <c r="I1806" s="3">
        <f>IF(ISNUMBER(AVERAGE('20250815_ETF_Options_Exhibits'!I1802:I1806)),AVERAGE('20250815_ETF_Options_Exhibits'!I1802:I1806),"")</f>
        <v/>
      </c>
      <c r="J1806" s="3">
        <f>IF(ISNUMBER(AVERAGE('20250815_ETF_Options_Exhibits'!J1802:J1806)),AVERAGE('20250815_ETF_Options_Exhibits'!J1802:J1806),"")</f>
        <v/>
      </c>
      <c r="K1806" s="3">
        <f>IF(ISNUMBER(AVERAGE('20250815_ETF_Options_Exhibits'!K1802:K1806)),AVERAGE('20250815_ETF_Options_Exhibits'!K1802:K1806),"")</f>
        <v/>
      </c>
      <c r="L1806" s="3">
        <f>IF(ISNUMBER(AVERAGE('20250815_ETF_Options_Exhibits'!L1802:L1806)),AVERAGE('20250815_ETF_Options_Exhibits'!L1802:L1806),"")</f>
        <v/>
      </c>
      <c r="M1806" s="3">
        <f>IF(ISNUMBER(AVERAGE('20250815_ETF_Options_Exhibits'!M1802:M1806)),AVERAGE('20250815_ETF_Options_Exhibits'!M1802:M1806),"")</f>
        <v/>
      </c>
      <c r="N1806" s="3">
        <f>IF(ISNUMBER(AVERAGE('20250815_ETF_Options_Exhibits'!N1802:N1806)),AVERAGE('20250815_ETF_Options_Exhibits'!N1802:N1806),"")</f>
        <v/>
      </c>
      <c r="O1806" s="3">
        <f>IF(ISNUMBER(AVERAGE('20250815_ETF_Options_Exhibits'!O1802:O1806)),AVERAGE('20250815_ETF_Options_Exhibits'!O1802:O1806),"")</f>
        <v/>
      </c>
      <c r="P1806" s="3">
        <f>IF(ISNUMBER(AVERAGE('20250815_ETF_Options_Exhibits'!P1802:P1806)),AVERAGE('20250815_ETF_Options_Exhibits'!P1802:P1806),"")</f>
        <v/>
      </c>
      <c r="Q1806" s="3">
        <f>IF(ISNUMBER(AVERAGE('20250815_ETF_Options_Exhibits'!Q1802:Q1806)),AVERAGE('20250815_ETF_Options_Exhibits'!Q1802:Q1806),"")</f>
        <v/>
      </c>
      <c r="R1806" s="3">
        <f>IF(ISNUMBER(AVERAGE('20250815_ETF_Options_Exhibits'!R1802:R1806)),AVERAGE('20250815_ETF_Options_Exhibits'!R1802:R1806),"")</f>
        <v/>
      </c>
      <c r="S1806" s="3">
        <f>IF(ISNUMBER(AVERAGE('20250815_ETF_Options_Exhibits'!S1802:S1806)),AVERAGE('20250815_ETF_Options_Exhibits'!S1802:S1806),"")</f>
        <v/>
      </c>
      <c r="T1806" s="3">
        <f>IF(ISNUMBER(AVERAGE('20250815_ETF_Options_Exhibits'!T1802:T1806)),AVERAGE('20250815_ETF_Options_Exhibits'!T1802:T1806),"")</f>
        <v/>
      </c>
      <c r="U1806" s="3">
        <f>IF(ISNUMBER(AVERAGE('20250815_ETF_Options_Exhibits'!U1802:U1806)),AVERAGE('20250815_ETF_Options_Exhibits'!U1802:U1806),"")</f>
        <v/>
      </c>
      <c r="V1806" s="3">
        <f>IF(ISNUMBER(AVERAGE('20250815_ETF_Options_Exhibits'!V1802:V1806)),AVERAGE('20250815_ETF_Options_Exhibits'!V1802:V1806),"")</f>
        <v/>
      </c>
      <c r="W1806" s="3">
        <f>IF(ISNUMBER(AVERAGE('20250815_ETF_Options_Exhibits'!W1802:W1806)),AVERAGE('20250815_ETF_Options_Exhibits'!W1802:W1806),"")</f>
        <v/>
      </c>
      <c r="X1806" s="3">
        <f>IF(ISNUMBER(AVERAGE('20250815_ETF_Options_Exhibits'!X1802:X1806)),AVERAGE('20250815_ETF_Options_Exhibits'!X1802:X1806),"")</f>
        <v/>
      </c>
      <c r="Y1806" s="3">
        <f>IF(ISNUMBER(AVERAGE('20250815_ETF_Options_Exhibits'!Y1802:Y1806)),AVERAGE('20250815_ETF_Options_Exhibits'!Y1802:Y1806),"")</f>
        <v/>
      </c>
      <c r="Z1806" s="3">
        <f>IF(ISNUMBER(AVERAGE('20250815_ETF_Options_Exhibits'!Z1802:Z1806)),AVERAGE('20250815_ETF_Options_Exhibits'!Z1802:Z1806),"")</f>
        <v/>
      </c>
      <c r="AA1806" s="3">
        <f>IF(ISNUMBER(AVERAGE('20250815_ETF_Options_Exhibits'!AA1802:AA1806)),AVERAGE('20250815_ETF_Options_Exhibits'!AA1802:AA1806),"")</f>
        <v/>
      </c>
    </row>
    <row r="1807">
      <c r="A1807" s="1" t="n">
        <v>44623</v>
      </c>
      <c r="B1807" s="3">
        <f>IF(ISNUMBER(AVERAGE('20250815_ETF_Options_Exhibits'!B1803:B1807)),AVERAGE('20250815_ETF_Options_Exhibits'!B1803:B1807),"")</f>
        <v/>
      </c>
      <c r="C1807" s="3">
        <f>IF(ISNUMBER(AVERAGE('20250815_ETF_Options_Exhibits'!C1803:C1807)),AVERAGE('20250815_ETF_Options_Exhibits'!C1803:C1807),"")</f>
        <v/>
      </c>
      <c r="D1807" s="3">
        <f>IF(ISNUMBER(AVERAGE('20250815_ETF_Options_Exhibits'!D1803:D1807)),AVERAGE('20250815_ETF_Options_Exhibits'!D1803:D1807),"")</f>
        <v/>
      </c>
      <c r="E1807" s="3">
        <f>IF(ISNUMBER(AVERAGE('20250815_ETF_Options_Exhibits'!E1803:E1807)),AVERAGE('20250815_ETF_Options_Exhibits'!E1803:E1807),"")</f>
        <v/>
      </c>
      <c r="F1807" s="3">
        <f>IF(ISNUMBER(AVERAGE('20250815_ETF_Options_Exhibits'!F1803:F1807)),AVERAGE('20250815_ETF_Options_Exhibits'!F1803:F1807),"")</f>
        <v/>
      </c>
      <c r="G1807" s="3">
        <f>IF(ISNUMBER(AVERAGE('20250815_ETF_Options_Exhibits'!G1803:G1807)),AVERAGE('20250815_ETF_Options_Exhibits'!G1803:G1807),"")</f>
        <v/>
      </c>
      <c r="H1807" s="3">
        <f>IF(ISNUMBER(AVERAGE('20250815_ETF_Options_Exhibits'!H1803:H1807)),AVERAGE('20250815_ETF_Options_Exhibits'!H1803:H1807),"")</f>
        <v/>
      </c>
      <c r="I1807" s="3">
        <f>IF(ISNUMBER(AVERAGE('20250815_ETF_Options_Exhibits'!I1803:I1807)),AVERAGE('20250815_ETF_Options_Exhibits'!I1803:I1807),"")</f>
        <v/>
      </c>
      <c r="J1807" s="3">
        <f>IF(ISNUMBER(AVERAGE('20250815_ETF_Options_Exhibits'!J1803:J1807)),AVERAGE('20250815_ETF_Options_Exhibits'!J1803:J1807),"")</f>
        <v/>
      </c>
      <c r="K1807" s="3">
        <f>IF(ISNUMBER(AVERAGE('20250815_ETF_Options_Exhibits'!K1803:K1807)),AVERAGE('20250815_ETF_Options_Exhibits'!K1803:K1807),"")</f>
        <v/>
      </c>
      <c r="L1807" s="3">
        <f>IF(ISNUMBER(AVERAGE('20250815_ETF_Options_Exhibits'!L1803:L1807)),AVERAGE('20250815_ETF_Options_Exhibits'!L1803:L1807),"")</f>
        <v/>
      </c>
      <c r="M1807" s="3">
        <f>IF(ISNUMBER(AVERAGE('20250815_ETF_Options_Exhibits'!M1803:M1807)),AVERAGE('20250815_ETF_Options_Exhibits'!M1803:M1807),"")</f>
        <v/>
      </c>
      <c r="N1807" s="3">
        <f>IF(ISNUMBER(AVERAGE('20250815_ETF_Options_Exhibits'!N1803:N1807)),AVERAGE('20250815_ETF_Options_Exhibits'!N1803:N1807),"")</f>
        <v/>
      </c>
      <c r="O1807" s="3">
        <f>IF(ISNUMBER(AVERAGE('20250815_ETF_Options_Exhibits'!O1803:O1807)),AVERAGE('20250815_ETF_Options_Exhibits'!O1803:O1807),"")</f>
        <v/>
      </c>
      <c r="P1807" s="3">
        <f>IF(ISNUMBER(AVERAGE('20250815_ETF_Options_Exhibits'!P1803:P1807)),AVERAGE('20250815_ETF_Options_Exhibits'!P1803:P1807),"")</f>
        <v/>
      </c>
      <c r="Q1807" s="3">
        <f>IF(ISNUMBER(AVERAGE('20250815_ETF_Options_Exhibits'!Q1803:Q1807)),AVERAGE('20250815_ETF_Options_Exhibits'!Q1803:Q1807),"")</f>
        <v/>
      </c>
      <c r="R1807" s="3">
        <f>IF(ISNUMBER(AVERAGE('20250815_ETF_Options_Exhibits'!R1803:R1807)),AVERAGE('20250815_ETF_Options_Exhibits'!R1803:R1807),"")</f>
        <v/>
      </c>
      <c r="S1807" s="3">
        <f>IF(ISNUMBER(AVERAGE('20250815_ETF_Options_Exhibits'!S1803:S1807)),AVERAGE('20250815_ETF_Options_Exhibits'!S1803:S1807),"")</f>
        <v/>
      </c>
      <c r="T1807" s="3">
        <f>IF(ISNUMBER(AVERAGE('20250815_ETF_Options_Exhibits'!T1803:T1807)),AVERAGE('20250815_ETF_Options_Exhibits'!T1803:T1807),"")</f>
        <v/>
      </c>
      <c r="U1807" s="3">
        <f>IF(ISNUMBER(AVERAGE('20250815_ETF_Options_Exhibits'!U1803:U1807)),AVERAGE('20250815_ETF_Options_Exhibits'!U1803:U1807),"")</f>
        <v/>
      </c>
      <c r="V1807" s="3">
        <f>IF(ISNUMBER(AVERAGE('20250815_ETF_Options_Exhibits'!V1803:V1807)),AVERAGE('20250815_ETF_Options_Exhibits'!V1803:V1807),"")</f>
        <v/>
      </c>
      <c r="W1807" s="3">
        <f>IF(ISNUMBER(AVERAGE('20250815_ETF_Options_Exhibits'!W1803:W1807)),AVERAGE('20250815_ETF_Options_Exhibits'!W1803:W1807),"")</f>
        <v/>
      </c>
      <c r="X1807" s="3">
        <f>IF(ISNUMBER(AVERAGE('20250815_ETF_Options_Exhibits'!X1803:X1807)),AVERAGE('20250815_ETF_Options_Exhibits'!X1803:X1807),"")</f>
        <v/>
      </c>
      <c r="Y1807" s="3">
        <f>IF(ISNUMBER(AVERAGE('20250815_ETF_Options_Exhibits'!Y1803:Y1807)),AVERAGE('20250815_ETF_Options_Exhibits'!Y1803:Y1807),"")</f>
        <v/>
      </c>
      <c r="Z1807" s="3">
        <f>IF(ISNUMBER(AVERAGE('20250815_ETF_Options_Exhibits'!Z1803:Z1807)),AVERAGE('20250815_ETF_Options_Exhibits'!Z1803:Z1807),"")</f>
        <v/>
      </c>
      <c r="AA1807" s="3">
        <f>IF(ISNUMBER(AVERAGE('20250815_ETF_Options_Exhibits'!AA1803:AA1807)),AVERAGE('20250815_ETF_Options_Exhibits'!AA1803:AA1807),"")</f>
        <v/>
      </c>
    </row>
    <row r="1808">
      <c r="A1808" s="1" t="n">
        <v>44624</v>
      </c>
      <c r="B1808" s="3">
        <f>IF(ISNUMBER(AVERAGE('20250815_ETF_Options_Exhibits'!B1804:B1808)),AVERAGE('20250815_ETF_Options_Exhibits'!B1804:B1808),"")</f>
        <v/>
      </c>
      <c r="C1808" s="3">
        <f>IF(ISNUMBER(AVERAGE('20250815_ETF_Options_Exhibits'!C1804:C1808)),AVERAGE('20250815_ETF_Options_Exhibits'!C1804:C1808),"")</f>
        <v/>
      </c>
      <c r="D1808" s="3">
        <f>IF(ISNUMBER(AVERAGE('20250815_ETF_Options_Exhibits'!D1804:D1808)),AVERAGE('20250815_ETF_Options_Exhibits'!D1804:D1808),"")</f>
        <v/>
      </c>
      <c r="E1808" s="3">
        <f>IF(ISNUMBER(AVERAGE('20250815_ETF_Options_Exhibits'!E1804:E1808)),AVERAGE('20250815_ETF_Options_Exhibits'!E1804:E1808),"")</f>
        <v/>
      </c>
      <c r="F1808" s="3">
        <f>IF(ISNUMBER(AVERAGE('20250815_ETF_Options_Exhibits'!F1804:F1808)),AVERAGE('20250815_ETF_Options_Exhibits'!F1804:F1808),"")</f>
        <v/>
      </c>
      <c r="G1808" s="3">
        <f>IF(ISNUMBER(AVERAGE('20250815_ETF_Options_Exhibits'!G1804:G1808)),AVERAGE('20250815_ETF_Options_Exhibits'!G1804:G1808),"")</f>
        <v/>
      </c>
      <c r="H1808" s="3">
        <f>IF(ISNUMBER(AVERAGE('20250815_ETF_Options_Exhibits'!H1804:H1808)),AVERAGE('20250815_ETF_Options_Exhibits'!H1804:H1808),"")</f>
        <v/>
      </c>
      <c r="I1808" s="3">
        <f>IF(ISNUMBER(AVERAGE('20250815_ETF_Options_Exhibits'!I1804:I1808)),AVERAGE('20250815_ETF_Options_Exhibits'!I1804:I1808),"")</f>
        <v/>
      </c>
      <c r="J1808" s="3">
        <f>IF(ISNUMBER(AVERAGE('20250815_ETF_Options_Exhibits'!J1804:J1808)),AVERAGE('20250815_ETF_Options_Exhibits'!J1804:J1808),"")</f>
        <v/>
      </c>
      <c r="K1808" s="3">
        <f>IF(ISNUMBER(AVERAGE('20250815_ETF_Options_Exhibits'!K1804:K1808)),AVERAGE('20250815_ETF_Options_Exhibits'!K1804:K1808),"")</f>
        <v/>
      </c>
      <c r="L1808" s="3">
        <f>IF(ISNUMBER(AVERAGE('20250815_ETF_Options_Exhibits'!L1804:L1808)),AVERAGE('20250815_ETF_Options_Exhibits'!L1804:L1808),"")</f>
        <v/>
      </c>
      <c r="M1808" s="3">
        <f>IF(ISNUMBER(AVERAGE('20250815_ETF_Options_Exhibits'!M1804:M1808)),AVERAGE('20250815_ETF_Options_Exhibits'!M1804:M1808),"")</f>
        <v/>
      </c>
      <c r="N1808" s="3">
        <f>IF(ISNUMBER(AVERAGE('20250815_ETF_Options_Exhibits'!N1804:N1808)),AVERAGE('20250815_ETF_Options_Exhibits'!N1804:N1808),"")</f>
        <v/>
      </c>
      <c r="O1808" s="3">
        <f>IF(ISNUMBER(AVERAGE('20250815_ETF_Options_Exhibits'!O1804:O1808)),AVERAGE('20250815_ETF_Options_Exhibits'!O1804:O1808),"")</f>
        <v/>
      </c>
      <c r="P1808" s="3">
        <f>IF(ISNUMBER(AVERAGE('20250815_ETF_Options_Exhibits'!P1804:P1808)),AVERAGE('20250815_ETF_Options_Exhibits'!P1804:P1808),"")</f>
        <v/>
      </c>
      <c r="Q1808" s="3">
        <f>IF(ISNUMBER(AVERAGE('20250815_ETF_Options_Exhibits'!Q1804:Q1808)),AVERAGE('20250815_ETF_Options_Exhibits'!Q1804:Q1808),"")</f>
        <v/>
      </c>
      <c r="R1808" s="3">
        <f>IF(ISNUMBER(AVERAGE('20250815_ETF_Options_Exhibits'!R1804:R1808)),AVERAGE('20250815_ETF_Options_Exhibits'!R1804:R1808),"")</f>
        <v/>
      </c>
      <c r="S1808" s="3">
        <f>IF(ISNUMBER(AVERAGE('20250815_ETF_Options_Exhibits'!S1804:S1808)),AVERAGE('20250815_ETF_Options_Exhibits'!S1804:S1808),"")</f>
        <v/>
      </c>
      <c r="T1808" s="3">
        <f>IF(ISNUMBER(AVERAGE('20250815_ETF_Options_Exhibits'!T1804:T1808)),AVERAGE('20250815_ETF_Options_Exhibits'!T1804:T1808),"")</f>
        <v/>
      </c>
      <c r="U1808" s="3">
        <f>IF(ISNUMBER(AVERAGE('20250815_ETF_Options_Exhibits'!U1804:U1808)),AVERAGE('20250815_ETF_Options_Exhibits'!U1804:U1808),"")</f>
        <v/>
      </c>
      <c r="V1808" s="3">
        <f>IF(ISNUMBER(AVERAGE('20250815_ETF_Options_Exhibits'!V1804:V1808)),AVERAGE('20250815_ETF_Options_Exhibits'!V1804:V1808),"")</f>
        <v/>
      </c>
      <c r="W1808" s="3">
        <f>IF(ISNUMBER(AVERAGE('20250815_ETF_Options_Exhibits'!W1804:W1808)),AVERAGE('20250815_ETF_Options_Exhibits'!W1804:W1808),"")</f>
        <v/>
      </c>
      <c r="X1808" s="3">
        <f>IF(ISNUMBER(AVERAGE('20250815_ETF_Options_Exhibits'!X1804:X1808)),AVERAGE('20250815_ETF_Options_Exhibits'!X1804:X1808),"")</f>
        <v/>
      </c>
      <c r="Y1808" s="3">
        <f>IF(ISNUMBER(AVERAGE('20250815_ETF_Options_Exhibits'!Y1804:Y1808)),AVERAGE('20250815_ETF_Options_Exhibits'!Y1804:Y1808),"")</f>
        <v/>
      </c>
      <c r="Z1808" s="3">
        <f>IF(ISNUMBER(AVERAGE('20250815_ETF_Options_Exhibits'!Z1804:Z1808)),AVERAGE('20250815_ETF_Options_Exhibits'!Z1804:Z1808),"")</f>
        <v/>
      </c>
      <c r="AA1808" s="3">
        <f>IF(ISNUMBER(AVERAGE('20250815_ETF_Options_Exhibits'!AA1804:AA1808)),AVERAGE('20250815_ETF_Options_Exhibits'!AA1804:AA1808),"")</f>
        <v/>
      </c>
    </row>
    <row r="1809">
      <c r="A1809" s="1" t="n">
        <v>44627</v>
      </c>
      <c r="B1809" s="3">
        <f>IF(ISNUMBER(AVERAGE('20250815_ETF_Options_Exhibits'!B1805:B1809)),AVERAGE('20250815_ETF_Options_Exhibits'!B1805:B1809),"")</f>
        <v/>
      </c>
      <c r="C1809" s="3">
        <f>IF(ISNUMBER(AVERAGE('20250815_ETF_Options_Exhibits'!C1805:C1809)),AVERAGE('20250815_ETF_Options_Exhibits'!C1805:C1809),"")</f>
        <v/>
      </c>
      <c r="D1809" s="3">
        <f>IF(ISNUMBER(AVERAGE('20250815_ETF_Options_Exhibits'!D1805:D1809)),AVERAGE('20250815_ETF_Options_Exhibits'!D1805:D1809),"")</f>
        <v/>
      </c>
      <c r="E1809" s="3">
        <f>IF(ISNUMBER(AVERAGE('20250815_ETF_Options_Exhibits'!E1805:E1809)),AVERAGE('20250815_ETF_Options_Exhibits'!E1805:E1809),"")</f>
        <v/>
      </c>
      <c r="F1809" s="3">
        <f>IF(ISNUMBER(AVERAGE('20250815_ETF_Options_Exhibits'!F1805:F1809)),AVERAGE('20250815_ETF_Options_Exhibits'!F1805:F1809),"")</f>
        <v/>
      </c>
      <c r="G1809" s="3">
        <f>IF(ISNUMBER(AVERAGE('20250815_ETF_Options_Exhibits'!G1805:G1809)),AVERAGE('20250815_ETF_Options_Exhibits'!G1805:G1809),"")</f>
        <v/>
      </c>
      <c r="H1809" s="3">
        <f>IF(ISNUMBER(AVERAGE('20250815_ETF_Options_Exhibits'!H1805:H1809)),AVERAGE('20250815_ETF_Options_Exhibits'!H1805:H1809),"")</f>
        <v/>
      </c>
      <c r="I1809" s="3">
        <f>IF(ISNUMBER(AVERAGE('20250815_ETF_Options_Exhibits'!I1805:I1809)),AVERAGE('20250815_ETF_Options_Exhibits'!I1805:I1809),"")</f>
        <v/>
      </c>
      <c r="J1809" s="3">
        <f>IF(ISNUMBER(AVERAGE('20250815_ETF_Options_Exhibits'!J1805:J1809)),AVERAGE('20250815_ETF_Options_Exhibits'!J1805:J1809),"")</f>
        <v/>
      </c>
      <c r="K1809" s="3">
        <f>IF(ISNUMBER(AVERAGE('20250815_ETF_Options_Exhibits'!K1805:K1809)),AVERAGE('20250815_ETF_Options_Exhibits'!K1805:K1809),"")</f>
        <v/>
      </c>
      <c r="L1809" s="3">
        <f>IF(ISNUMBER(AVERAGE('20250815_ETF_Options_Exhibits'!L1805:L1809)),AVERAGE('20250815_ETF_Options_Exhibits'!L1805:L1809),"")</f>
        <v/>
      </c>
      <c r="M1809" s="3">
        <f>IF(ISNUMBER(AVERAGE('20250815_ETF_Options_Exhibits'!M1805:M1809)),AVERAGE('20250815_ETF_Options_Exhibits'!M1805:M1809),"")</f>
        <v/>
      </c>
      <c r="N1809" s="3">
        <f>IF(ISNUMBER(AVERAGE('20250815_ETF_Options_Exhibits'!N1805:N1809)),AVERAGE('20250815_ETF_Options_Exhibits'!N1805:N1809),"")</f>
        <v/>
      </c>
      <c r="O1809" s="3">
        <f>IF(ISNUMBER(AVERAGE('20250815_ETF_Options_Exhibits'!O1805:O1809)),AVERAGE('20250815_ETF_Options_Exhibits'!O1805:O1809),"")</f>
        <v/>
      </c>
      <c r="P1809" s="3">
        <f>IF(ISNUMBER(AVERAGE('20250815_ETF_Options_Exhibits'!P1805:P1809)),AVERAGE('20250815_ETF_Options_Exhibits'!P1805:P1809),"")</f>
        <v/>
      </c>
      <c r="Q1809" s="3">
        <f>IF(ISNUMBER(AVERAGE('20250815_ETF_Options_Exhibits'!Q1805:Q1809)),AVERAGE('20250815_ETF_Options_Exhibits'!Q1805:Q1809),"")</f>
        <v/>
      </c>
      <c r="R1809" s="3">
        <f>IF(ISNUMBER(AVERAGE('20250815_ETF_Options_Exhibits'!R1805:R1809)),AVERAGE('20250815_ETF_Options_Exhibits'!R1805:R1809),"")</f>
        <v/>
      </c>
      <c r="S1809" s="3">
        <f>IF(ISNUMBER(AVERAGE('20250815_ETF_Options_Exhibits'!S1805:S1809)),AVERAGE('20250815_ETF_Options_Exhibits'!S1805:S1809),"")</f>
        <v/>
      </c>
      <c r="T1809" s="3">
        <f>IF(ISNUMBER(AVERAGE('20250815_ETF_Options_Exhibits'!T1805:T1809)),AVERAGE('20250815_ETF_Options_Exhibits'!T1805:T1809),"")</f>
        <v/>
      </c>
      <c r="U1809" s="3">
        <f>IF(ISNUMBER(AVERAGE('20250815_ETF_Options_Exhibits'!U1805:U1809)),AVERAGE('20250815_ETF_Options_Exhibits'!U1805:U1809),"")</f>
        <v/>
      </c>
      <c r="V1809" s="3">
        <f>IF(ISNUMBER(AVERAGE('20250815_ETF_Options_Exhibits'!V1805:V1809)),AVERAGE('20250815_ETF_Options_Exhibits'!V1805:V1809),"")</f>
        <v/>
      </c>
      <c r="W1809" s="3">
        <f>IF(ISNUMBER(AVERAGE('20250815_ETF_Options_Exhibits'!W1805:W1809)),AVERAGE('20250815_ETF_Options_Exhibits'!W1805:W1809),"")</f>
        <v/>
      </c>
      <c r="X1809" s="3">
        <f>IF(ISNUMBER(AVERAGE('20250815_ETF_Options_Exhibits'!X1805:X1809)),AVERAGE('20250815_ETF_Options_Exhibits'!X1805:X1809),"")</f>
        <v/>
      </c>
      <c r="Y1809" s="3">
        <f>IF(ISNUMBER(AVERAGE('20250815_ETF_Options_Exhibits'!Y1805:Y1809)),AVERAGE('20250815_ETF_Options_Exhibits'!Y1805:Y1809),"")</f>
        <v/>
      </c>
      <c r="Z1809" s="3">
        <f>IF(ISNUMBER(AVERAGE('20250815_ETF_Options_Exhibits'!Z1805:Z1809)),AVERAGE('20250815_ETF_Options_Exhibits'!Z1805:Z1809),"")</f>
        <v/>
      </c>
      <c r="AA1809" s="3">
        <f>IF(ISNUMBER(AVERAGE('20250815_ETF_Options_Exhibits'!AA1805:AA1809)),AVERAGE('20250815_ETF_Options_Exhibits'!AA1805:AA1809),"")</f>
        <v/>
      </c>
    </row>
    <row r="1810">
      <c r="A1810" s="1" t="n">
        <v>44628</v>
      </c>
      <c r="B1810" s="3">
        <f>IF(ISNUMBER(AVERAGE('20250815_ETF_Options_Exhibits'!B1806:B1810)),AVERAGE('20250815_ETF_Options_Exhibits'!B1806:B1810),"")</f>
        <v/>
      </c>
      <c r="C1810" s="3">
        <f>IF(ISNUMBER(AVERAGE('20250815_ETF_Options_Exhibits'!C1806:C1810)),AVERAGE('20250815_ETF_Options_Exhibits'!C1806:C1810),"")</f>
        <v/>
      </c>
      <c r="D1810" s="3">
        <f>IF(ISNUMBER(AVERAGE('20250815_ETF_Options_Exhibits'!D1806:D1810)),AVERAGE('20250815_ETF_Options_Exhibits'!D1806:D1810),"")</f>
        <v/>
      </c>
      <c r="E1810" s="3">
        <f>IF(ISNUMBER(AVERAGE('20250815_ETF_Options_Exhibits'!E1806:E1810)),AVERAGE('20250815_ETF_Options_Exhibits'!E1806:E1810),"")</f>
        <v/>
      </c>
      <c r="F1810" s="3">
        <f>IF(ISNUMBER(AVERAGE('20250815_ETF_Options_Exhibits'!F1806:F1810)),AVERAGE('20250815_ETF_Options_Exhibits'!F1806:F1810),"")</f>
        <v/>
      </c>
      <c r="G1810" s="3">
        <f>IF(ISNUMBER(AVERAGE('20250815_ETF_Options_Exhibits'!G1806:G1810)),AVERAGE('20250815_ETF_Options_Exhibits'!G1806:G1810),"")</f>
        <v/>
      </c>
      <c r="H1810" s="3">
        <f>IF(ISNUMBER(AVERAGE('20250815_ETF_Options_Exhibits'!H1806:H1810)),AVERAGE('20250815_ETF_Options_Exhibits'!H1806:H1810),"")</f>
        <v/>
      </c>
      <c r="I1810" s="3">
        <f>IF(ISNUMBER(AVERAGE('20250815_ETF_Options_Exhibits'!I1806:I1810)),AVERAGE('20250815_ETF_Options_Exhibits'!I1806:I1810),"")</f>
        <v/>
      </c>
      <c r="J1810" s="3">
        <f>IF(ISNUMBER(AVERAGE('20250815_ETF_Options_Exhibits'!J1806:J1810)),AVERAGE('20250815_ETF_Options_Exhibits'!J1806:J1810),"")</f>
        <v/>
      </c>
      <c r="K1810" s="3">
        <f>IF(ISNUMBER(AVERAGE('20250815_ETF_Options_Exhibits'!K1806:K1810)),AVERAGE('20250815_ETF_Options_Exhibits'!K1806:K1810),"")</f>
        <v/>
      </c>
      <c r="L1810" s="3">
        <f>IF(ISNUMBER(AVERAGE('20250815_ETF_Options_Exhibits'!L1806:L1810)),AVERAGE('20250815_ETF_Options_Exhibits'!L1806:L1810),"")</f>
        <v/>
      </c>
      <c r="M1810" s="3">
        <f>IF(ISNUMBER(AVERAGE('20250815_ETF_Options_Exhibits'!M1806:M1810)),AVERAGE('20250815_ETF_Options_Exhibits'!M1806:M1810),"")</f>
        <v/>
      </c>
      <c r="N1810" s="3">
        <f>IF(ISNUMBER(AVERAGE('20250815_ETF_Options_Exhibits'!N1806:N1810)),AVERAGE('20250815_ETF_Options_Exhibits'!N1806:N1810),"")</f>
        <v/>
      </c>
      <c r="O1810" s="3">
        <f>IF(ISNUMBER(AVERAGE('20250815_ETF_Options_Exhibits'!O1806:O1810)),AVERAGE('20250815_ETF_Options_Exhibits'!O1806:O1810),"")</f>
        <v/>
      </c>
      <c r="P1810" s="3">
        <f>IF(ISNUMBER(AVERAGE('20250815_ETF_Options_Exhibits'!P1806:P1810)),AVERAGE('20250815_ETF_Options_Exhibits'!P1806:P1810),"")</f>
        <v/>
      </c>
      <c r="Q1810" s="3">
        <f>IF(ISNUMBER(AVERAGE('20250815_ETF_Options_Exhibits'!Q1806:Q1810)),AVERAGE('20250815_ETF_Options_Exhibits'!Q1806:Q1810),"")</f>
        <v/>
      </c>
      <c r="R1810" s="3">
        <f>IF(ISNUMBER(AVERAGE('20250815_ETF_Options_Exhibits'!R1806:R1810)),AVERAGE('20250815_ETF_Options_Exhibits'!R1806:R1810),"")</f>
        <v/>
      </c>
      <c r="S1810" s="3">
        <f>IF(ISNUMBER(AVERAGE('20250815_ETF_Options_Exhibits'!S1806:S1810)),AVERAGE('20250815_ETF_Options_Exhibits'!S1806:S1810),"")</f>
        <v/>
      </c>
      <c r="T1810" s="3">
        <f>IF(ISNUMBER(AVERAGE('20250815_ETF_Options_Exhibits'!T1806:T1810)),AVERAGE('20250815_ETF_Options_Exhibits'!T1806:T1810),"")</f>
        <v/>
      </c>
      <c r="U1810" s="3">
        <f>IF(ISNUMBER(AVERAGE('20250815_ETF_Options_Exhibits'!U1806:U1810)),AVERAGE('20250815_ETF_Options_Exhibits'!U1806:U1810),"")</f>
        <v/>
      </c>
      <c r="V1810" s="3">
        <f>IF(ISNUMBER(AVERAGE('20250815_ETF_Options_Exhibits'!V1806:V1810)),AVERAGE('20250815_ETF_Options_Exhibits'!V1806:V1810),"")</f>
        <v/>
      </c>
      <c r="W1810" s="3">
        <f>IF(ISNUMBER(AVERAGE('20250815_ETF_Options_Exhibits'!W1806:W1810)),AVERAGE('20250815_ETF_Options_Exhibits'!W1806:W1810),"")</f>
        <v/>
      </c>
      <c r="X1810" s="3">
        <f>IF(ISNUMBER(AVERAGE('20250815_ETF_Options_Exhibits'!X1806:X1810)),AVERAGE('20250815_ETF_Options_Exhibits'!X1806:X1810),"")</f>
        <v/>
      </c>
      <c r="Y1810" s="3">
        <f>IF(ISNUMBER(AVERAGE('20250815_ETF_Options_Exhibits'!Y1806:Y1810)),AVERAGE('20250815_ETF_Options_Exhibits'!Y1806:Y1810),"")</f>
        <v/>
      </c>
      <c r="Z1810" s="3">
        <f>IF(ISNUMBER(AVERAGE('20250815_ETF_Options_Exhibits'!Z1806:Z1810)),AVERAGE('20250815_ETF_Options_Exhibits'!Z1806:Z1810),"")</f>
        <v/>
      </c>
      <c r="AA1810" s="3">
        <f>IF(ISNUMBER(AVERAGE('20250815_ETF_Options_Exhibits'!AA1806:AA1810)),AVERAGE('20250815_ETF_Options_Exhibits'!AA1806:AA1810),"")</f>
        <v/>
      </c>
    </row>
    <row r="1811">
      <c r="A1811" s="1" t="n">
        <v>44629</v>
      </c>
      <c r="B1811" s="3">
        <f>IF(ISNUMBER(AVERAGE('20250815_ETF_Options_Exhibits'!B1807:B1811)),AVERAGE('20250815_ETF_Options_Exhibits'!B1807:B1811),"")</f>
        <v/>
      </c>
      <c r="C1811" s="3">
        <f>IF(ISNUMBER(AVERAGE('20250815_ETF_Options_Exhibits'!C1807:C1811)),AVERAGE('20250815_ETF_Options_Exhibits'!C1807:C1811),"")</f>
        <v/>
      </c>
      <c r="D1811" s="3">
        <f>IF(ISNUMBER(AVERAGE('20250815_ETF_Options_Exhibits'!D1807:D1811)),AVERAGE('20250815_ETF_Options_Exhibits'!D1807:D1811),"")</f>
        <v/>
      </c>
      <c r="E1811" s="3">
        <f>IF(ISNUMBER(AVERAGE('20250815_ETF_Options_Exhibits'!E1807:E1811)),AVERAGE('20250815_ETF_Options_Exhibits'!E1807:E1811),"")</f>
        <v/>
      </c>
      <c r="F1811" s="3">
        <f>IF(ISNUMBER(AVERAGE('20250815_ETF_Options_Exhibits'!F1807:F1811)),AVERAGE('20250815_ETF_Options_Exhibits'!F1807:F1811),"")</f>
        <v/>
      </c>
      <c r="G1811" s="3">
        <f>IF(ISNUMBER(AVERAGE('20250815_ETF_Options_Exhibits'!G1807:G1811)),AVERAGE('20250815_ETF_Options_Exhibits'!G1807:G1811),"")</f>
        <v/>
      </c>
      <c r="H1811" s="3">
        <f>IF(ISNUMBER(AVERAGE('20250815_ETF_Options_Exhibits'!H1807:H1811)),AVERAGE('20250815_ETF_Options_Exhibits'!H1807:H1811),"")</f>
        <v/>
      </c>
      <c r="I1811" s="3">
        <f>IF(ISNUMBER(AVERAGE('20250815_ETF_Options_Exhibits'!I1807:I1811)),AVERAGE('20250815_ETF_Options_Exhibits'!I1807:I1811),"")</f>
        <v/>
      </c>
      <c r="J1811" s="3">
        <f>IF(ISNUMBER(AVERAGE('20250815_ETF_Options_Exhibits'!J1807:J1811)),AVERAGE('20250815_ETF_Options_Exhibits'!J1807:J1811),"")</f>
        <v/>
      </c>
      <c r="K1811" s="3">
        <f>IF(ISNUMBER(AVERAGE('20250815_ETF_Options_Exhibits'!K1807:K1811)),AVERAGE('20250815_ETF_Options_Exhibits'!K1807:K1811),"")</f>
        <v/>
      </c>
      <c r="L1811" s="3">
        <f>IF(ISNUMBER(AVERAGE('20250815_ETF_Options_Exhibits'!L1807:L1811)),AVERAGE('20250815_ETF_Options_Exhibits'!L1807:L1811),"")</f>
        <v/>
      </c>
      <c r="M1811" s="3">
        <f>IF(ISNUMBER(AVERAGE('20250815_ETF_Options_Exhibits'!M1807:M1811)),AVERAGE('20250815_ETF_Options_Exhibits'!M1807:M1811),"")</f>
        <v/>
      </c>
      <c r="N1811" s="3">
        <f>IF(ISNUMBER(AVERAGE('20250815_ETF_Options_Exhibits'!N1807:N1811)),AVERAGE('20250815_ETF_Options_Exhibits'!N1807:N1811),"")</f>
        <v/>
      </c>
      <c r="O1811" s="3">
        <f>IF(ISNUMBER(AVERAGE('20250815_ETF_Options_Exhibits'!O1807:O1811)),AVERAGE('20250815_ETF_Options_Exhibits'!O1807:O1811),"")</f>
        <v/>
      </c>
      <c r="P1811" s="3">
        <f>IF(ISNUMBER(AVERAGE('20250815_ETF_Options_Exhibits'!P1807:P1811)),AVERAGE('20250815_ETF_Options_Exhibits'!P1807:P1811),"")</f>
        <v/>
      </c>
      <c r="Q1811" s="3">
        <f>IF(ISNUMBER(AVERAGE('20250815_ETF_Options_Exhibits'!Q1807:Q1811)),AVERAGE('20250815_ETF_Options_Exhibits'!Q1807:Q1811),"")</f>
        <v/>
      </c>
      <c r="R1811" s="3">
        <f>IF(ISNUMBER(AVERAGE('20250815_ETF_Options_Exhibits'!R1807:R1811)),AVERAGE('20250815_ETF_Options_Exhibits'!R1807:R1811),"")</f>
        <v/>
      </c>
      <c r="S1811" s="3">
        <f>IF(ISNUMBER(AVERAGE('20250815_ETF_Options_Exhibits'!S1807:S1811)),AVERAGE('20250815_ETF_Options_Exhibits'!S1807:S1811),"")</f>
        <v/>
      </c>
      <c r="T1811" s="3">
        <f>IF(ISNUMBER(AVERAGE('20250815_ETF_Options_Exhibits'!T1807:T1811)),AVERAGE('20250815_ETF_Options_Exhibits'!T1807:T1811),"")</f>
        <v/>
      </c>
      <c r="U1811" s="3">
        <f>IF(ISNUMBER(AVERAGE('20250815_ETF_Options_Exhibits'!U1807:U1811)),AVERAGE('20250815_ETF_Options_Exhibits'!U1807:U1811),"")</f>
        <v/>
      </c>
      <c r="V1811" s="3">
        <f>IF(ISNUMBER(AVERAGE('20250815_ETF_Options_Exhibits'!V1807:V1811)),AVERAGE('20250815_ETF_Options_Exhibits'!V1807:V1811),"")</f>
        <v/>
      </c>
      <c r="W1811" s="3">
        <f>IF(ISNUMBER(AVERAGE('20250815_ETF_Options_Exhibits'!W1807:W1811)),AVERAGE('20250815_ETF_Options_Exhibits'!W1807:W1811),"")</f>
        <v/>
      </c>
      <c r="X1811" s="3">
        <f>IF(ISNUMBER(AVERAGE('20250815_ETF_Options_Exhibits'!X1807:X1811)),AVERAGE('20250815_ETF_Options_Exhibits'!X1807:X1811),"")</f>
        <v/>
      </c>
      <c r="Y1811" s="3">
        <f>IF(ISNUMBER(AVERAGE('20250815_ETF_Options_Exhibits'!Y1807:Y1811)),AVERAGE('20250815_ETF_Options_Exhibits'!Y1807:Y1811),"")</f>
        <v/>
      </c>
      <c r="Z1811" s="3">
        <f>IF(ISNUMBER(AVERAGE('20250815_ETF_Options_Exhibits'!Z1807:Z1811)),AVERAGE('20250815_ETF_Options_Exhibits'!Z1807:Z1811),"")</f>
        <v/>
      </c>
      <c r="AA1811" s="3">
        <f>IF(ISNUMBER(AVERAGE('20250815_ETF_Options_Exhibits'!AA1807:AA1811)),AVERAGE('20250815_ETF_Options_Exhibits'!AA1807:AA1811),"")</f>
        <v/>
      </c>
    </row>
    <row r="1812">
      <c r="A1812" s="1" t="n">
        <v>44630</v>
      </c>
      <c r="B1812" s="3">
        <f>IF(ISNUMBER(AVERAGE('20250815_ETF_Options_Exhibits'!B1808:B1812)),AVERAGE('20250815_ETF_Options_Exhibits'!B1808:B1812),"")</f>
        <v/>
      </c>
      <c r="C1812" s="3">
        <f>IF(ISNUMBER(AVERAGE('20250815_ETF_Options_Exhibits'!C1808:C1812)),AVERAGE('20250815_ETF_Options_Exhibits'!C1808:C1812),"")</f>
        <v/>
      </c>
      <c r="D1812" s="3">
        <f>IF(ISNUMBER(AVERAGE('20250815_ETF_Options_Exhibits'!D1808:D1812)),AVERAGE('20250815_ETF_Options_Exhibits'!D1808:D1812),"")</f>
        <v/>
      </c>
      <c r="E1812" s="3">
        <f>IF(ISNUMBER(AVERAGE('20250815_ETF_Options_Exhibits'!E1808:E1812)),AVERAGE('20250815_ETF_Options_Exhibits'!E1808:E1812),"")</f>
        <v/>
      </c>
      <c r="F1812" s="3">
        <f>IF(ISNUMBER(AVERAGE('20250815_ETF_Options_Exhibits'!F1808:F1812)),AVERAGE('20250815_ETF_Options_Exhibits'!F1808:F1812),"")</f>
        <v/>
      </c>
      <c r="G1812" s="3">
        <f>IF(ISNUMBER(AVERAGE('20250815_ETF_Options_Exhibits'!G1808:G1812)),AVERAGE('20250815_ETF_Options_Exhibits'!G1808:G1812),"")</f>
        <v/>
      </c>
      <c r="H1812" s="3">
        <f>IF(ISNUMBER(AVERAGE('20250815_ETF_Options_Exhibits'!H1808:H1812)),AVERAGE('20250815_ETF_Options_Exhibits'!H1808:H1812),"")</f>
        <v/>
      </c>
      <c r="I1812" s="3">
        <f>IF(ISNUMBER(AVERAGE('20250815_ETF_Options_Exhibits'!I1808:I1812)),AVERAGE('20250815_ETF_Options_Exhibits'!I1808:I1812),"")</f>
        <v/>
      </c>
      <c r="J1812" s="3">
        <f>IF(ISNUMBER(AVERAGE('20250815_ETF_Options_Exhibits'!J1808:J1812)),AVERAGE('20250815_ETF_Options_Exhibits'!J1808:J1812),"")</f>
        <v/>
      </c>
      <c r="K1812" s="3">
        <f>IF(ISNUMBER(AVERAGE('20250815_ETF_Options_Exhibits'!K1808:K1812)),AVERAGE('20250815_ETF_Options_Exhibits'!K1808:K1812),"")</f>
        <v/>
      </c>
      <c r="L1812" s="3">
        <f>IF(ISNUMBER(AVERAGE('20250815_ETF_Options_Exhibits'!L1808:L1812)),AVERAGE('20250815_ETF_Options_Exhibits'!L1808:L1812),"")</f>
        <v/>
      </c>
      <c r="M1812" s="3">
        <f>IF(ISNUMBER(AVERAGE('20250815_ETF_Options_Exhibits'!M1808:M1812)),AVERAGE('20250815_ETF_Options_Exhibits'!M1808:M1812),"")</f>
        <v/>
      </c>
      <c r="N1812" s="3">
        <f>IF(ISNUMBER(AVERAGE('20250815_ETF_Options_Exhibits'!N1808:N1812)),AVERAGE('20250815_ETF_Options_Exhibits'!N1808:N1812),"")</f>
        <v/>
      </c>
      <c r="O1812" s="3">
        <f>IF(ISNUMBER(AVERAGE('20250815_ETF_Options_Exhibits'!O1808:O1812)),AVERAGE('20250815_ETF_Options_Exhibits'!O1808:O1812),"")</f>
        <v/>
      </c>
      <c r="P1812" s="3">
        <f>IF(ISNUMBER(AVERAGE('20250815_ETF_Options_Exhibits'!P1808:P1812)),AVERAGE('20250815_ETF_Options_Exhibits'!P1808:P1812),"")</f>
        <v/>
      </c>
      <c r="Q1812" s="3">
        <f>IF(ISNUMBER(AVERAGE('20250815_ETF_Options_Exhibits'!Q1808:Q1812)),AVERAGE('20250815_ETF_Options_Exhibits'!Q1808:Q1812),"")</f>
        <v/>
      </c>
      <c r="R1812" s="3">
        <f>IF(ISNUMBER(AVERAGE('20250815_ETF_Options_Exhibits'!R1808:R1812)),AVERAGE('20250815_ETF_Options_Exhibits'!R1808:R1812),"")</f>
        <v/>
      </c>
      <c r="S1812" s="3">
        <f>IF(ISNUMBER(AVERAGE('20250815_ETF_Options_Exhibits'!S1808:S1812)),AVERAGE('20250815_ETF_Options_Exhibits'!S1808:S1812),"")</f>
        <v/>
      </c>
      <c r="T1812" s="3">
        <f>IF(ISNUMBER(AVERAGE('20250815_ETF_Options_Exhibits'!T1808:T1812)),AVERAGE('20250815_ETF_Options_Exhibits'!T1808:T1812),"")</f>
        <v/>
      </c>
      <c r="U1812" s="3">
        <f>IF(ISNUMBER(AVERAGE('20250815_ETF_Options_Exhibits'!U1808:U1812)),AVERAGE('20250815_ETF_Options_Exhibits'!U1808:U1812),"")</f>
        <v/>
      </c>
      <c r="V1812" s="3">
        <f>IF(ISNUMBER(AVERAGE('20250815_ETF_Options_Exhibits'!V1808:V1812)),AVERAGE('20250815_ETF_Options_Exhibits'!V1808:V1812),"")</f>
        <v/>
      </c>
      <c r="W1812" s="3">
        <f>IF(ISNUMBER(AVERAGE('20250815_ETF_Options_Exhibits'!W1808:W1812)),AVERAGE('20250815_ETF_Options_Exhibits'!W1808:W1812),"")</f>
        <v/>
      </c>
      <c r="X1812" s="3">
        <f>IF(ISNUMBER(AVERAGE('20250815_ETF_Options_Exhibits'!X1808:X1812)),AVERAGE('20250815_ETF_Options_Exhibits'!X1808:X1812),"")</f>
        <v/>
      </c>
      <c r="Y1812" s="3">
        <f>IF(ISNUMBER(AVERAGE('20250815_ETF_Options_Exhibits'!Y1808:Y1812)),AVERAGE('20250815_ETF_Options_Exhibits'!Y1808:Y1812),"")</f>
        <v/>
      </c>
      <c r="Z1812" s="3">
        <f>IF(ISNUMBER(AVERAGE('20250815_ETF_Options_Exhibits'!Z1808:Z1812)),AVERAGE('20250815_ETF_Options_Exhibits'!Z1808:Z1812),"")</f>
        <v/>
      </c>
      <c r="AA1812" s="3">
        <f>IF(ISNUMBER(AVERAGE('20250815_ETF_Options_Exhibits'!AA1808:AA1812)),AVERAGE('20250815_ETF_Options_Exhibits'!AA1808:AA1812),"")</f>
        <v/>
      </c>
    </row>
    <row r="1813">
      <c r="A1813" s="1" t="n">
        <v>44631</v>
      </c>
      <c r="B1813" s="3">
        <f>IF(ISNUMBER(AVERAGE('20250815_ETF_Options_Exhibits'!B1809:B1813)),AVERAGE('20250815_ETF_Options_Exhibits'!B1809:B1813),"")</f>
        <v/>
      </c>
      <c r="C1813" s="3">
        <f>IF(ISNUMBER(AVERAGE('20250815_ETF_Options_Exhibits'!C1809:C1813)),AVERAGE('20250815_ETF_Options_Exhibits'!C1809:C1813),"")</f>
        <v/>
      </c>
      <c r="D1813" s="3">
        <f>IF(ISNUMBER(AVERAGE('20250815_ETF_Options_Exhibits'!D1809:D1813)),AVERAGE('20250815_ETF_Options_Exhibits'!D1809:D1813),"")</f>
        <v/>
      </c>
      <c r="E1813" s="3">
        <f>IF(ISNUMBER(AVERAGE('20250815_ETF_Options_Exhibits'!E1809:E1813)),AVERAGE('20250815_ETF_Options_Exhibits'!E1809:E1813),"")</f>
        <v/>
      </c>
      <c r="F1813" s="3">
        <f>IF(ISNUMBER(AVERAGE('20250815_ETF_Options_Exhibits'!F1809:F1813)),AVERAGE('20250815_ETF_Options_Exhibits'!F1809:F1813),"")</f>
        <v/>
      </c>
      <c r="G1813" s="3">
        <f>IF(ISNUMBER(AVERAGE('20250815_ETF_Options_Exhibits'!G1809:G1813)),AVERAGE('20250815_ETF_Options_Exhibits'!G1809:G1813),"")</f>
        <v/>
      </c>
      <c r="H1813" s="3">
        <f>IF(ISNUMBER(AVERAGE('20250815_ETF_Options_Exhibits'!H1809:H1813)),AVERAGE('20250815_ETF_Options_Exhibits'!H1809:H1813),"")</f>
        <v/>
      </c>
      <c r="I1813" s="3">
        <f>IF(ISNUMBER(AVERAGE('20250815_ETF_Options_Exhibits'!I1809:I1813)),AVERAGE('20250815_ETF_Options_Exhibits'!I1809:I1813),"")</f>
        <v/>
      </c>
      <c r="J1813" s="3">
        <f>IF(ISNUMBER(AVERAGE('20250815_ETF_Options_Exhibits'!J1809:J1813)),AVERAGE('20250815_ETF_Options_Exhibits'!J1809:J1813),"")</f>
        <v/>
      </c>
      <c r="K1813" s="3">
        <f>IF(ISNUMBER(AVERAGE('20250815_ETF_Options_Exhibits'!K1809:K1813)),AVERAGE('20250815_ETF_Options_Exhibits'!K1809:K1813),"")</f>
        <v/>
      </c>
      <c r="L1813" s="3">
        <f>IF(ISNUMBER(AVERAGE('20250815_ETF_Options_Exhibits'!L1809:L1813)),AVERAGE('20250815_ETF_Options_Exhibits'!L1809:L1813),"")</f>
        <v/>
      </c>
      <c r="M1813" s="3">
        <f>IF(ISNUMBER(AVERAGE('20250815_ETF_Options_Exhibits'!M1809:M1813)),AVERAGE('20250815_ETF_Options_Exhibits'!M1809:M1813),"")</f>
        <v/>
      </c>
      <c r="N1813" s="3">
        <f>IF(ISNUMBER(AVERAGE('20250815_ETF_Options_Exhibits'!N1809:N1813)),AVERAGE('20250815_ETF_Options_Exhibits'!N1809:N1813),"")</f>
        <v/>
      </c>
      <c r="O1813" s="3">
        <f>IF(ISNUMBER(AVERAGE('20250815_ETF_Options_Exhibits'!O1809:O1813)),AVERAGE('20250815_ETF_Options_Exhibits'!O1809:O1813),"")</f>
        <v/>
      </c>
      <c r="P1813" s="3">
        <f>IF(ISNUMBER(AVERAGE('20250815_ETF_Options_Exhibits'!P1809:P1813)),AVERAGE('20250815_ETF_Options_Exhibits'!P1809:P1813),"")</f>
        <v/>
      </c>
      <c r="Q1813" s="3">
        <f>IF(ISNUMBER(AVERAGE('20250815_ETF_Options_Exhibits'!Q1809:Q1813)),AVERAGE('20250815_ETF_Options_Exhibits'!Q1809:Q1813),"")</f>
        <v/>
      </c>
      <c r="R1813" s="3">
        <f>IF(ISNUMBER(AVERAGE('20250815_ETF_Options_Exhibits'!R1809:R1813)),AVERAGE('20250815_ETF_Options_Exhibits'!R1809:R1813),"")</f>
        <v/>
      </c>
      <c r="S1813" s="3">
        <f>IF(ISNUMBER(AVERAGE('20250815_ETF_Options_Exhibits'!S1809:S1813)),AVERAGE('20250815_ETF_Options_Exhibits'!S1809:S1813),"")</f>
        <v/>
      </c>
      <c r="T1813" s="3">
        <f>IF(ISNUMBER(AVERAGE('20250815_ETF_Options_Exhibits'!T1809:T1813)),AVERAGE('20250815_ETF_Options_Exhibits'!T1809:T1813),"")</f>
        <v/>
      </c>
      <c r="U1813" s="3">
        <f>IF(ISNUMBER(AVERAGE('20250815_ETF_Options_Exhibits'!U1809:U1813)),AVERAGE('20250815_ETF_Options_Exhibits'!U1809:U1813),"")</f>
        <v/>
      </c>
      <c r="V1813" s="3">
        <f>IF(ISNUMBER(AVERAGE('20250815_ETF_Options_Exhibits'!V1809:V1813)),AVERAGE('20250815_ETF_Options_Exhibits'!V1809:V1813),"")</f>
        <v/>
      </c>
      <c r="W1813" s="3">
        <f>IF(ISNUMBER(AVERAGE('20250815_ETF_Options_Exhibits'!W1809:W1813)),AVERAGE('20250815_ETF_Options_Exhibits'!W1809:W1813),"")</f>
        <v/>
      </c>
      <c r="X1813" s="3">
        <f>IF(ISNUMBER(AVERAGE('20250815_ETF_Options_Exhibits'!X1809:X1813)),AVERAGE('20250815_ETF_Options_Exhibits'!X1809:X1813),"")</f>
        <v/>
      </c>
      <c r="Y1813" s="3">
        <f>IF(ISNUMBER(AVERAGE('20250815_ETF_Options_Exhibits'!Y1809:Y1813)),AVERAGE('20250815_ETF_Options_Exhibits'!Y1809:Y1813),"")</f>
        <v/>
      </c>
      <c r="Z1813" s="3">
        <f>IF(ISNUMBER(AVERAGE('20250815_ETF_Options_Exhibits'!Z1809:Z1813)),AVERAGE('20250815_ETF_Options_Exhibits'!Z1809:Z1813),"")</f>
        <v/>
      </c>
      <c r="AA1813" s="3">
        <f>IF(ISNUMBER(AVERAGE('20250815_ETF_Options_Exhibits'!AA1809:AA1813)),AVERAGE('20250815_ETF_Options_Exhibits'!AA1809:AA1813),"")</f>
        <v/>
      </c>
    </row>
    <row r="1814">
      <c r="A1814" s="1" t="n">
        <v>44634</v>
      </c>
      <c r="B1814" s="3">
        <f>IF(ISNUMBER(AVERAGE('20250815_ETF_Options_Exhibits'!B1810:B1814)),AVERAGE('20250815_ETF_Options_Exhibits'!B1810:B1814),"")</f>
        <v/>
      </c>
      <c r="C1814" s="3">
        <f>IF(ISNUMBER(AVERAGE('20250815_ETF_Options_Exhibits'!C1810:C1814)),AVERAGE('20250815_ETF_Options_Exhibits'!C1810:C1814),"")</f>
        <v/>
      </c>
      <c r="D1814" s="3">
        <f>IF(ISNUMBER(AVERAGE('20250815_ETF_Options_Exhibits'!D1810:D1814)),AVERAGE('20250815_ETF_Options_Exhibits'!D1810:D1814),"")</f>
        <v/>
      </c>
      <c r="E1814" s="3">
        <f>IF(ISNUMBER(AVERAGE('20250815_ETF_Options_Exhibits'!E1810:E1814)),AVERAGE('20250815_ETF_Options_Exhibits'!E1810:E1814),"")</f>
        <v/>
      </c>
      <c r="F1814" s="3">
        <f>IF(ISNUMBER(AVERAGE('20250815_ETF_Options_Exhibits'!F1810:F1814)),AVERAGE('20250815_ETF_Options_Exhibits'!F1810:F1814),"")</f>
        <v/>
      </c>
      <c r="G1814" s="3">
        <f>IF(ISNUMBER(AVERAGE('20250815_ETF_Options_Exhibits'!G1810:G1814)),AVERAGE('20250815_ETF_Options_Exhibits'!G1810:G1814),"")</f>
        <v/>
      </c>
      <c r="H1814" s="3">
        <f>IF(ISNUMBER(AVERAGE('20250815_ETF_Options_Exhibits'!H1810:H1814)),AVERAGE('20250815_ETF_Options_Exhibits'!H1810:H1814),"")</f>
        <v/>
      </c>
      <c r="I1814" s="3">
        <f>IF(ISNUMBER(AVERAGE('20250815_ETF_Options_Exhibits'!I1810:I1814)),AVERAGE('20250815_ETF_Options_Exhibits'!I1810:I1814),"")</f>
        <v/>
      </c>
      <c r="J1814" s="3">
        <f>IF(ISNUMBER(AVERAGE('20250815_ETF_Options_Exhibits'!J1810:J1814)),AVERAGE('20250815_ETF_Options_Exhibits'!J1810:J1814),"")</f>
        <v/>
      </c>
      <c r="K1814" s="3">
        <f>IF(ISNUMBER(AVERAGE('20250815_ETF_Options_Exhibits'!K1810:K1814)),AVERAGE('20250815_ETF_Options_Exhibits'!K1810:K1814),"")</f>
        <v/>
      </c>
      <c r="L1814" s="3">
        <f>IF(ISNUMBER(AVERAGE('20250815_ETF_Options_Exhibits'!L1810:L1814)),AVERAGE('20250815_ETF_Options_Exhibits'!L1810:L1814),"")</f>
        <v/>
      </c>
      <c r="M1814" s="3">
        <f>IF(ISNUMBER(AVERAGE('20250815_ETF_Options_Exhibits'!M1810:M1814)),AVERAGE('20250815_ETF_Options_Exhibits'!M1810:M1814),"")</f>
        <v/>
      </c>
      <c r="N1814" s="3">
        <f>IF(ISNUMBER(AVERAGE('20250815_ETF_Options_Exhibits'!N1810:N1814)),AVERAGE('20250815_ETF_Options_Exhibits'!N1810:N1814),"")</f>
        <v/>
      </c>
      <c r="O1814" s="3">
        <f>IF(ISNUMBER(AVERAGE('20250815_ETF_Options_Exhibits'!O1810:O1814)),AVERAGE('20250815_ETF_Options_Exhibits'!O1810:O1814),"")</f>
        <v/>
      </c>
      <c r="P1814" s="3">
        <f>IF(ISNUMBER(AVERAGE('20250815_ETF_Options_Exhibits'!P1810:P1814)),AVERAGE('20250815_ETF_Options_Exhibits'!P1810:P1814),"")</f>
        <v/>
      </c>
      <c r="Q1814" s="3">
        <f>IF(ISNUMBER(AVERAGE('20250815_ETF_Options_Exhibits'!Q1810:Q1814)),AVERAGE('20250815_ETF_Options_Exhibits'!Q1810:Q1814),"")</f>
        <v/>
      </c>
      <c r="R1814" s="3">
        <f>IF(ISNUMBER(AVERAGE('20250815_ETF_Options_Exhibits'!R1810:R1814)),AVERAGE('20250815_ETF_Options_Exhibits'!R1810:R1814),"")</f>
        <v/>
      </c>
      <c r="S1814" s="3">
        <f>IF(ISNUMBER(AVERAGE('20250815_ETF_Options_Exhibits'!S1810:S1814)),AVERAGE('20250815_ETF_Options_Exhibits'!S1810:S1814),"")</f>
        <v/>
      </c>
      <c r="T1814" s="3">
        <f>IF(ISNUMBER(AVERAGE('20250815_ETF_Options_Exhibits'!T1810:T1814)),AVERAGE('20250815_ETF_Options_Exhibits'!T1810:T1814),"")</f>
        <v/>
      </c>
      <c r="U1814" s="3">
        <f>IF(ISNUMBER(AVERAGE('20250815_ETF_Options_Exhibits'!U1810:U1814)),AVERAGE('20250815_ETF_Options_Exhibits'!U1810:U1814),"")</f>
        <v/>
      </c>
      <c r="V1814" s="3">
        <f>IF(ISNUMBER(AVERAGE('20250815_ETF_Options_Exhibits'!V1810:V1814)),AVERAGE('20250815_ETF_Options_Exhibits'!V1810:V1814),"")</f>
        <v/>
      </c>
      <c r="W1814" s="3">
        <f>IF(ISNUMBER(AVERAGE('20250815_ETF_Options_Exhibits'!W1810:W1814)),AVERAGE('20250815_ETF_Options_Exhibits'!W1810:W1814),"")</f>
        <v/>
      </c>
      <c r="X1814" s="3">
        <f>IF(ISNUMBER(AVERAGE('20250815_ETF_Options_Exhibits'!X1810:X1814)),AVERAGE('20250815_ETF_Options_Exhibits'!X1810:X1814),"")</f>
        <v/>
      </c>
      <c r="Y1814" s="3">
        <f>IF(ISNUMBER(AVERAGE('20250815_ETF_Options_Exhibits'!Y1810:Y1814)),AVERAGE('20250815_ETF_Options_Exhibits'!Y1810:Y1814),"")</f>
        <v/>
      </c>
      <c r="Z1814" s="3">
        <f>IF(ISNUMBER(AVERAGE('20250815_ETF_Options_Exhibits'!Z1810:Z1814)),AVERAGE('20250815_ETF_Options_Exhibits'!Z1810:Z1814),"")</f>
        <v/>
      </c>
      <c r="AA1814" s="3">
        <f>IF(ISNUMBER(AVERAGE('20250815_ETF_Options_Exhibits'!AA1810:AA1814)),AVERAGE('20250815_ETF_Options_Exhibits'!AA1810:AA1814),"")</f>
        <v/>
      </c>
    </row>
    <row r="1815">
      <c r="A1815" s="1" t="n">
        <v>44635</v>
      </c>
      <c r="B1815" s="3">
        <f>IF(ISNUMBER(AVERAGE('20250815_ETF_Options_Exhibits'!B1811:B1815)),AVERAGE('20250815_ETF_Options_Exhibits'!B1811:B1815),"")</f>
        <v/>
      </c>
      <c r="C1815" s="3">
        <f>IF(ISNUMBER(AVERAGE('20250815_ETF_Options_Exhibits'!C1811:C1815)),AVERAGE('20250815_ETF_Options_Exhibits'!C1811:C1815),"")</f>
        <v/>
      </c>
      <c r="D1815" s="3">
        <f>IF(ISNUMBER(AVERAGE('20250815_ETF_Options_Exhibits'!D1811:D1815)),AVERAGE('20250815_ETF_Options_Exhibits'!D1811:D1815),"")</f>
        <v/>
      </c>
      <c r="E1815" s="3">
        <f>IF(ISNUMBER(AVERAGE('20250815_ETF_Options_Exhibits'!E1811:E1815)),AVERAGE('20250815_ETF_Options_Exhibits'!E1811:E1815),"")</f>
        <v/>
      </c>
      <c r="F1815" s="3">
        <f>IF(ISNUMBER(AVERAGE('20250815_ETF_Options_Exhibits'!F1811:F1815)),AVERAGE('20250815_ETF_Options_Exhibits'!F1811:F1815),"")</f>
        <v/>
      </c>
      <c r="G1815" s="3">
        <f>IF(ISNUMBER(AVERAGE('20250815_ETF_Options_Exhibits'!G1811:G1815)),AVERAGE('20250815_ETF_Options_Exhibits'!G1811:G1815),"")</f>
        <v/>
      </c>
      <c r="H1815" s="3">
        <f>IF(ISNUMBER(AVERAGE('20250815_ETF_Options_Exhibits'!H1811:H1815)),AVERAGE('20250815_ETF_Options_Exhibits'!H1811:H1815),"")</f>
        <v/>
      </c>
      <c r="I1815" s="3">
        <f>IF(ISNUMBER(AVERAGE('20250815_ETF_Options_Exhibits'!I1811:I1815)),AVERAGE('20250815_ETF_Options_Exhibits'!I1811:I1815),"")</f>
        <v/>
      </c>
      <c r="J1815" s="3">
        <f>IF(ISNUMBER(AVERAGE('20250815_ETF_Options_Exhibits'!J1811:J1815)),AVERAGE('20250815_ETF_Options_Exhibits'!J1811:J1815),"")</f>
        <v/>
      </c>
      <c r="K1815" s="3">
        <f>IF(ISNUMBER(AVERAGE('20250815_ETF_Options_Exhibits'!K1811:K1815)),AVERAGE('20250815_ETF_Options_Exhibits'!K1811:K1815),"")</f>
        <v/>
      </c>
      <c r="L1815" s="3">
        <f>IF(ISNUMBER(AVERAGE('20250815_ETF_Options_Exhibits'!L1811:L1815)),AVERAGE('20250815_ETF_Options_Exhibits'!L1811:L1815),"")</f>
        <v/>
      </c>
      <c r="M1815" s="3">
        <f>IF(ISNUMBER(AVERAGE('20250815_ETF_Options_Exhibits'!M1811:M1815)),AVERAGE('20250815_ETF_Options_Exhibits'!M1811:M1815),"")</f>
        <v/>
      </c>
      <c r="N1815" s="3">
        <f>IF(ISNUMBER(AVERAGE('20250815_ETF_Options_Exhibits'!N1811:N1815)),AVERAGE('20250815_ETF_Options_Exhibits'!N1811:N1815),"")</f>
        <v/>
      </c>
      <c r="O1815" s="3">
        <f>IF(ISNUMBER(AVERAGE('20250815_ETF_Options_Exhibits'!O1811:O1815)),AVERAGE('20250815_ETF_Options_Exhibits'!O1811:O1815),"")</f>
        <v/>
      </c>
      <c r="P1815" s="3">
        <f>IF(ISNUMBER(AVERAGE('20250815_ETF_Options_Exhibits'!P1811:P1815)),AVERAGE('20250815_ETF_Options_Exhibits'!P1811:P1815),"")</f>
        <v/>
      </c>
      <c r="Q1815" s="3">
        <f>IF(ISNUMBER(AVERAGE('20250815_ETF_Options_Exhibits'!Q1811:Q1815)),AVERAGE('20250815_ETF_Options_Exhibits'!Q1811:Q1815),"")</f>
        <v/>
      </c>
      <c r="R1815" s="3">
        <f>IF(ISNUMBER(AVERAGE('20250815_ETF_Options_Exhibits'!R1811:R1815)),AVERAGE('20250815_ETF_Options_Exhibits'!R1811:R1815),"")</f>
        <v/>
      </c>
      <c r="S1815" s="3">
        <f>IF(ISNUMBER(AVERAGE('20250815_ETF_Options_Exhibits'!S1811:S1815)),AVERAGE('20250815_ETF_Options_Exhibits'!S1811:S1815),"")</f>
        <v/>
      </c>
      <c r="T1815" s="3">
        <f>IF(ISNUMBER(AVERAGE('20250815_ETF_Options_Exhibits'!T1811:T1815)),AVERAGE('20250815_ETF_Options_Exhibits'!T1811:T1815),"")</f>
        <v/>
      </c>
      <c r="U1815" s="3">
        <f>IF(ISNUMBER(AVERAGE('20250815_ETF_Options_Exhibits'!U1811:U1815)),AVERAGE('20250815_ETF_Options_Exhibits'!U1811:U1815),"")</f>
        <v/>
      </c>
      <c r="V1815" s="3">
        <f>IF(ISNUMBER(AVERAGE('20250815_ETF_Options_Exhibits'!V1811:V1815)),AVERAGE('20250815_ETF_Options_Exhibits'!V1811:V1815),"")</f>
        <v/>
      </c>
      <c r="W1815" s="3">
        <f>IF(ISNUMBER(AVERAGE('20250815_ETF_Options_Exhibits'!W1811:W1815)),AVERAGE('20250815_ETF_Options_Exhibits'!W1811:W1815),"")</f>
        <v/>
      </c>
      <c r="X1815" s="3">
        <f>IF(ISNUMBER(AVERAGE('20250815_ETF_Options_Exhibits'!X1811:X1815)),AVERAGE('20250815_ETF_Options_Exhibits'!X1811:X1815),"")</f>
        <v/>
      </c>
      <c r="Y1815" s="3">
        <f>IF(ISNUMBER(AVERAGE('20250815_ETF_Options_Exhibits'!Y1811:Y1815)),AVERAGE('20250815_ETF_Options_Exhibits'!Y1811:Y1815),"")</f>
        <v/>
      </c>
      <c r="Z1815" s="3">
        <f>IF(ISNUMBER(AVERAGE('20250815_ETF_Options_Exhibits'!Z1811:Z1815)),AVERAGE('20250815_ETF_Options_Exhibits'!Z1811:Z1815),"")</f>
        <v/>
      </c>
      <c r="AA1815" s="3">
        <f>IF(ISNUMBER(AVERAGE('20250815_ETF_Options_Exhibits'!AA1811:AA1815)),AVERAGE('20250815_ETF_Options_Exhibits'!AA1811:AA1815),"")</f>
        <v/>
      </c>
    </row>
    <row r="1816">
      <c r="A1816" s="1" t="n">
        <v>44636</v>
      </c>
      <c r="B1816" s="3">
        <f>IF(ISNUMBER(AVERAGE('20250815_ETF_Options_Exhibits'!B1812:B1816)),AVERAGE('20250815_ETF_Options_Exhibits'!B1812:B1816),"")</f>
        <v/>
      </c>
      <c r="C1816" s="3">
        <f>IF(ISNUMBER(AVERAGE('20250815_ETF_Options_Exhibits'!C1812:C1816)),AVERAGE('20250815_ETF_Options_Exhibits'!C1812:C1816),"")</f>
        <v/>
      </c>
      <c r="D1816" s="3">
        <f>IF(ISNUMBER(AVERAGE('20250815_ETF_Options_Exhibits'!D1812:D1816)),AVERAGE('20250815_ETF_Options_Exhibits'!D1812:D1816),"")</f>
        <v/>
      </c>
      <c r="E1816" s="3">
        <f>IF(ISNUMBER(AVERAGE('20250815_ETF_Options_Exhibits'!E1812:E1816)),AVERAGE('20250815_ETF_Options_Exhibits'!E1812:E1816),"")</f>
        <v/>
      </c>
      <c r="F1816" s="3">
        <f>IF(ISNUMBER(AVERAGE('20250815_ETF_Options_Exhibits'!F1812:F1816)),AVERAGE('20250815_ETF_Options_Exhibits'!F1812:F1816),"")</f>
        <v/>
      </c>
      <c r="G1816" s="3">
        <f>IF(ISNUMBER(AVERAGE('20250815_ETF_Options_Exhibits'!G1812:G1816)),AVERAGE('20250815_ETF_Options_Exhibits'!G1812:G1816),"")</f>
        <v/>
      </c>
      <c r="H1816" s="3">
        <f>IF(ISNUMBER(AVERAGE('20250815_ETF_Options_Exhibits'!H1812:H1816)),AVERAGE('20250815_ETF_Options_Exhibits'!H1812:H1816),"")</f>
        <v/>
      </c>
      <c r="I1816" s="3">
        <f>IF(ISNUMBER(AVERAGE('20250815_ETF_Options_Exhibits'!I1812:I1816)),AVERAGE('20250815_ETF_Options_Exhibits'!I1812:I1816),"")</f>
        <v/>
      </c>
      <c r="J1816" s="3">
        <f>IF(ISNUMBER(AVERAGE('20250815_ETF_Options_Exhibits'!J1812:J1816)),AVERAGE('20250815_ETF_Options_Exhibits'!J1812:J1816),"")</f>
        <v/>
      </c>
      <c r="K1816" s="3">
        <f>IF(ISNUMBER(AVERAGE('20250815_ETF_Options_Exhibits'!K1812:K1816)),AVERAGE('20250815_ETF_Options_Exhibits'!K1812:K1816),"")</f>
        <v/>
      </c>
      <c r="L1816" s="3">
        <f>IF(ISNUMBER(AVERAGE('20250815_ETF_Options_Exhibits'!L1812:L1816)),AVERAGE('20250815_ETF_Options_Exhibits'!L1812:L1816),"")</f>
        <v/>
      </c>
      <c r="M1816" s="3">
        <f>IF(ISNUMBER(AVERAGE('20250815_ETF_Options_Exhibits'!M1812:M1816)),AVERAGE('20250815_ETF_Options_Exhibits'!M1812:M1816),"")</f>
        <v/>
      </c>
      <c r="N1816" s="3">
        <f>IF(ISNUMBER(AVERAGE('20250815_ETF_Options_Exhibits'!N1812:N1816)),AVERAGE('20250815_ETF_Options_Exhibits'!N1812:N1816),"")</f>
        <v/>
      </c>
      <c r="O1816" s="3">
        <f>IF(ISNUMBER(AVERAGE('20250815_ETF_Options_Exhibits'!O1812:O1816)),AVERAGE('20250815_ETF_Options_Exhibits'!O1812:O1816),"")</f>
        <v/>
      </c>
      <c r="P1816" s="3">
        <f>IF(ISNUMBER(AVERAGE('20250815_ETF_Options_Exhibits'!P1812:P1816)),AVERAGE('20250815_ETF_Options_Exhibits'!P1812:P1816),"")</f>
        <v/>
      </c>
      <c r="Q1816" s="3">
        <f>IF(ISNUMBER(AVERAGE('20250815_ETF_Options_Exhibits'!Q1812:Q1816)),AVERAGE('20250815_ETF_Options_Exhibits'!Q1812:Q1816),"")</f>
        <v/>
      </c>
      <c r="R1816" s="3">
        <f>IF(ISNUMBER(AVERAGE('20250815_ETF_Options_Exhibits'!R1812:R1816)),AVERAGE('20250815_ETF_Options_Exhibits'!R1812:R1816),"")</f>
        <v/>
      </c>
      <c r="S1816" s="3">
        <f>IF(ISNUMBER(AVERAGE('20250815_ETF_Options_Exhibits'!S1812:S1816)),AVERAGE('20250815_ETF_Options_Exhibits'!S1812:S1816),"")</f>
        <v/>
      </c>
      <c r="T1816" s="3">
        <f>IF(ISNUMBER(AVERAGE('20250815_ETF_Options_Exhibits'!T1812:T1816)),AVERAGE('20250815_ETF_Options_Exhibits'!T1812:T1816),"")</f>
        <v/>
      </c>
      <c r="U1816" s="3">
        <f>IF(ISNUMBER(AVERAGE('20250815_ETF_Options_Exhibits'!U1812:U1816)),AVERAGE('20250815_ETF_Options_Exhibits'!U1812:U1816),"")</f>
        <v/>
      </c>
      <c r="V1816" s="3">
        <f>IF(ISNUMBER(AVERAGE('20250815_ETF_Options_Exhibits'!V1812:V1816)),AVERAGE('20250815_ETF_Options_Exhibits'!V1812:V1816),"")</f>
        <v/>
      </c>
      <c r="W1816" s="3">
        <f>IF(ISNUMBER(AVERAGE('20250815_ETF_Options_Exhibits'!W1812:W1816)),AVERAGE('20250815_ETF_Options_Exhibits'!W1812:W1816),"")</f>
        <v/>
      </c>
      <c r="X1816" s="3">
        <f>IF(ISNUMBER(AVERAGE('20250815_ETF_Options_Exhibits'!X1812:X1816)),AVERAGE('20250815_ETF_Options_Exhibits'!X1812:X1816),"")</f>
        <v/>
      </c>
      <c r="Y1816" s="3">
        <f>IF(ISNUMBER(AVERAGE('20250815_ETF_Options_Exhibits'!Y1812:Y1816)),AVERAGE('20250815_ETF_Options_Exhibits'!Y1812:Y1816),"")</f>
        <v/>
      </c>
      <c r="Z1816" s="3">
        <f>IF(ISNUMBER(AVERAGE('20250815_ETF_Options_Exhibits'!Z1812:Z1816)),AVERAGE('20250815_ETF_Options_Exhibits'!Z1812:Z1816),"")</f>
        <v/>
      </c>
      <c r="AA1816" s="3">
        <f>IF(ISNUMBER(AVERAGE('20250815_ETF_Options_Exhibits'!AA1812:AA1816)),AVERAGE('20250815_ETF_Options_Exhibits'!AA1812:AA1816),"")</f>
        <v/>
      </c>
    </row>
    <row r="1817">
      <c r="A1817" s="1" t="n">
        <v>44637</v>
      </c>
      <c r="B1817" s="3">
        <f>IF(ISNUMBER(AVERAGE('20250815_ETF_Options_Exhibits'!B1813:B1817)),AVERAGE('20250815_ETF_Options_Exhibits'!B1813:B1817),"")</f>
        <v/>
      </c>
      <c r="C1817" s="3">
        <f>IF(ISNUMBER(AVERAGE('20250815_ETF_Options_Exhibits'!C1813:C1817)),AVERAGE('20250815_ETF_Options_Exhibits'!C1813:C1817),"")</f>
        <v/>
      </c>
      <c r="D1817" s="3">
        <f>IF(ISNUMBER(AVERAGE('20250815_ETF_Options_Exhibits'!D1813:D1817)),AVERAGE('20250815_ETF_Options_Exhibits'!D1813:D1817),"")</f>
        <v/>
      </c>
      <c r="E1817" s="3">
        <f>IF(ISNUMBER(AVERAGE('20250815_ETF_Options_Exhibits'!E1813:E1817)),AVERAGE('20250815_ETF_Options_Exhibits'!E1813:E1817),"")</f>
        <v/>
      </c>
      <c r="F1817" s="3">
        <f>IF(ISNUMBER(AVERAGE('20250815_ETF_Options_Exhibits'!F1813:F1817)),AVERAGE('20250815_ETF_Options_Exhibits'!F1813:F1817),"")</f>
        <v/>
      </c>
      <c r="G1817" s="3">
        <f>IF(ISNUMBER(AVERAGE('20250815_ETF_Options_Exhibits'!G1813:G1817)),AVERAGE('20250815_ETF_Options_Exhibits'!G1813:G1817),"")</f>
        <v/>
      </c>
      <c r="H1817" s="3">
        <f>IF(ISNUMBER(AVERAGE('20250815_ETF_Options_Exhibits'!H1813:H1817)),AVERAGE('20250815_ETF_Options_Exhibits'!H1813:H1817),"")</f>
        <v/>
      </c>
      <c r="I1817" s="3">
        <f>IF(ISNUMBER(AVERAGE('20250815_ETF_Options_Exhibits'!I1813:I1817)),AVERAGE('20250815_ETF_Options_Exhibits'!I1813:I1817),"")</f>
        <v/>
      </c>
      <c r="J1817" s="3">
        <f>IF(ISNUMBER(AVERAGE('20250815_ETF_Options_Exhibits'!J1813:J1817)),AVERAGE('20250815_ETF_Options_Exhibits'!J1813:J1817),"")</f>
        <v/>
      </c>
      <c r="K1817" s="3">
        <f>IF(ISNUMBER(AVERAGE('20250815_ETF_Options_Exhibits'!K1813:K1817)),AVERAGE('20250815_ETF_Options_Exhibits'!K1813:K1817),"")</f>
        <v/>
      </c>
      <c r="L1817" s="3">
        <f>IF(ISNUMBER(AVERAGE('20250815_ETF_Options_Exhibits'!L1813:L1817)),AVERAGE('20250815_ETF_Options_Exhibits'!L1813:L1817),"")</f>
        <v/>
      </c>
      <c r="M1817" s="3">
        <f>IF(ISNUMBER(AVERAGE('20250815_ETF_Options_Exhibits'!M1813:M1817)),AVERAGE('20250815_ETF_Options_Exhibits'!M1813:M1817),"")</f>
        <v/>
      </c>
      <c r="N1817" s="3">
        <f>IF(ISNUMBER(AVERAGE('20250815_ETF_Options_Exhibits'!N1813:N1817)),AVERAGE('20250815_ETF_Options_Exhibits'!N1813:N1817),"")</f>
        <v/>
      </c>
      <c r="O1817" s="3">
        <f>IF(ISNUMBER(AVERAGE('20250815_ETF_Options_Exhibits'!O1813:O1817)),AVERAGE('20250815_ETF_Options_Exhibits'!O1813:O1817),"")</f>
        <v/>
      </c>
      <c r="P1817" s="3">
        <f>IF(ISNUMBER(AVERAGE('20250815_ETF_Options_Exhibits'!P1813:P1817)),AVERAGE('20250815_ETF_Options_Exhibits'!P1813:P1817),"")</f>
        <v/>
      </c>
      <c r="Q1817" s="3">
        <f>IF(ISNUMBER(AVERAGE('20250815_ETF_Options_Exhibits'!Q1813:Q1817)),AVERAGE('20250815_ETF_Options_Exhibits'!Q1813:Q1817),"")</f>
        <v/>
      </c>
      <c r="R1817" s="3">
        <f>IF(ISNUMBER(AVERAGE('20250815_ETF_Options_Exhibits'!R1813:R1817)),AVERAGE('20250815_ETF_Options_Exhibits'!R1813:R1817),"")</f>
        <v/>
      </c>
      <c r="S1817" s="3">
        <f>IF(ISNUMBER(AVERAGE('20250815_ETF_Options_Exhibits'!S1813:S1817)),AVERAGE('20250815_ETF_Options_Exhibits'!S1813:S1817),"")</f>
        <v/>
      </c>
      <c r="T1817" s="3">
        <f>IF(ISNUMBER(AVERAGE('20250815_ETF_Options_Exhibits'!T1813:T1817)),AVERAGE('20250815_ETF_Options_Exhibits'!T1813:T1817),"")</f>
        <v/>
      </c>
      <c r="U1817" s="3">
        <f>IF(ISNUMBER(AVERAGE('20250815_ETF_Options_Exhibits'!U1813:U1817)),AVERAGE('20250815_ETF_Options_Exhibits'!U1813:U1817),"")</f>
        <v/>
      </c>
      <c r="V1817" s="3">
        <f>IF(ISNUMBER(AVERAGE('20250815_ETF_Options_Exhibits'!V1813:V1817)),AVERAGE('20250815_ETF_Options_Exhibits'!V1813:V1817),"")</f>
        <v/>
      </c>
      <c r="W1817" s="3">
        <f>IF(ISNUMBER(AVERAGE('20250815_ETF_Options_Exhibits'!W1813:W1817)),AVERAGE('20250815_ETF_Options_Exhibits'!W1813:W1817),"")</f>
        <v/>
      </c>
      <c r="X1817" s="3">
        <f>IF(ISNUMBER(AVERAGE('20250815_ETF_Options_Exhibits'!X1813:X1817)),AVERAGE('20250815_ETF_Options_Exhibits'!X1813:X1817),"")</f>
        <v/>
      </c>
      <c r="Y1817" s="3">
        <f>IF(ISNUMBER(AVERAGE('20250815_ETF_Options_Exhibits'!Y1813:Y1817)),AVERAGE('20250815_ETF_Options_Exhibits'!Y1813:Y1817),"")</f>
        <v/>
      </c>
      <c r="Z1817" s="3">
        <f>IF(ISNUMBER(AVERAGE('20250815_ETF_Options_Exhibits'!Z1813:Z1817)),AVERAGE('20250815_ETF_Options_Exhibits'!Z1813:Z1817),"")</f>
        <v/>
      </c>
      <c r="AA1817" s="3">
        <f>IF(ISNUMBER(AVERAGE('20250815_ETF_Options_Exhibits'!AA1813:AA1817)),AVERAGE('20250815_ETF_Options_Exhibits'!AA1813:AA1817),"")</f>
        <v/>
      </c>
    </row>
    <row r="1818">
      <c r="A1818" s="1" t="n">
        <v>44638</v>
      </c>
      <c r="B1818" s="3">
        <f>IF(ISNUMBER(AVERAGE('20250815_ETF_Options_Exhibits'!B1814:B1818)),AVERAGE('20250815_ETF_Options_Exhibits'!B1814:B1818),"")</f>
        <v/>
      </c>
      <c r="C1818" s="3">
        <f>IF(ISNUMBER(AVERAGE('20250815_ETF_Options_Exhibits'!C1814:C1818)),AVERAGE('20250815_ETF_Options_Exhibits'!C1814:C1818),"")</f>
        <v/>
      </c>
      <c r="D1818" s="3">
        <f>IF(ISNUMBER(AVERAGE('20250815_ETF_Options_Exhibits'!D1814:D1818)),AVERAGE('20250815_ETF_Options_Exhibits'!D1814:D1818),"")</f>
        <v/>
      </c>
      <c r="E1818" s="3">
        <f>IF(ISNUMBER(AVERAGE('20250815_ETF_Options_Exhibits'!E1814:E1818)),AVERAGE('20250815_ETF_Options_Exhibits'!E1814:E1818),"")</f>
        <v/>
      </c>
      <c r="F1818" s="3">
        <f>IF(ISNUMBER(AVERAGE('20250815_ETF_Options_Exhibits'!F1814:F1818)),AVERAGE('20250815_ETF_Options_Exhibits'!F1814:F1818),"")</f>
        <v/>
      </c>
      <c r="G1818" s="3">
        <f>IF(ISNUMBER(AVERAGE('20250815_ETF_Options_Exhibits'!G1814:G1818)),AVERAGE('20250815_ETF_Options_Exhibits'!G1814:G1818),"")</f>
        <v/>
      </c>
      <c r="H1818" s="3">
        <f>IF(ISNUMBER(AVERAGE('20250815_ETF_Options_Exhibits'!H1814:H1818)),AVERAGE('20250815_ETF_Options_Exhibits'!H1814:H1818),"")</f>
        <v/>
      </c>
      <c r="I1818" s="3">
        <f>IF(ISNUMBER(AVERAGE('20250815_ETF_Options_Exhibits'!I1814:I1818)),AVERAGE('20250815_ETF_Options_Exhibits'!I1814:I1818),"")</f>
        <v/>
      </c>
      <c r="J1818" s="3">
        <f>IF(ISNUMBER(AVERAGE('20250815_ETF_Options_Exhibits'!J1814:J1818)),AVERAGE('20250815_ETF_Options_Exhibits'!J1814:J1818),"")</f>
        <v/>
      </c>
      <c r="K1818" s="3">
        <f>IF(ISNUMBER(AVERAGE('20250815_ETF_Options_Exhibits'!K1814:K1818)),AVERAGE('20250815_ETF_Options_Exhibits'!K1814:K1818),"")</f>
        <v/>
      </c>
      <c r="L1818" s="3">
        <f>IF(ISNUMBER(AVERAGE('20250815_ETF_Options_Exhibits'!L1814:L1818)),AVERAGE('20250815_ETF_Options_Exhibits'!L1814:L1818),"")</f>
        <v/>
      </c>
      <c r="M1818" s="3">
        <f>IF(ISNUMBER(AVERAGE('20250815_ETF_Options_Exhibits'!M1814:M1818)),AVERAGE('20250815_ETF_Options_Exhibits'!M1814:M1818),"")</f>
        <v/>
      </c>
      <c r="N1818" s="3">
        <f>IF(ISNUMBER(AVERAGE('20250815_ETF_Options_Exhibits'!N1814:N1818)),AVERAGE('20250815_ETF_Options_Exhibits'!N1814:N1818),"")</f>
        <v/>
      </c>
      <c r="O1818" s="3">
        <f>IF(ISNUMBER(AVERAGE('20250815_ETF_Options_Exhibits'!O1814:O1818)),AVERAGE('20250815_ETF_Options_Exhibits'!O1814:O1818),"")</f>
        <v/>
      </c>
      <c r="P1818" s="3">
        <f>IF(ISNUMBER(AVERAGE('20250815_ETF_Options_Exhibits'!P1814:P1818)),AVERAGE('20250815_ETF_Options_Exhibits'!P1814:P1818),"")</f>
        <v/>
      </c>
      <c r="Q1818" s="3">
        <f>IF(ISNUMBER(AVERAGE('20250815_ETF_Options_Exhibits'!Q1814:Q1818)),AVERAGE('20250815_ETF_Options_Exhibits'!Q1814:Q1818),"")</f>
        <v/>
      </c>
      <c r="R1818" s="3">
        <f>IF(ISNUMBER(AVERAGE('20250815_ETF_Options_Exhibits'!R1814:R1818)),AVERAGE('20250815_ETF_Options_Exhibits'!R1814:R1818),"")</f>
        <v/>
      </c>
      <c r="S1818" s="3">
        <f>IF(ISNUMBER(AVERAGE('20250815_ETF_Options_Exhibits'!S1814:S1818)),AVERAGE('20250815_ETF_Options_Exhibits'!S1814:S1818),"")</f>
        <v/>
      </c>
      <c r="T1818" s="3">
        <f>IF(ISNUMBER(AVERAGE('20250815_ETF_Options_Exhibits'!T1814:T1818)),AVERAGE('20250815_ETF_Options_Exhibits'!T1814:T1818),"")</f>
        <v/>
      </c>
      <c r="U1818" s="3">
        <f>IF(ISNUMBER(AVERAGE('20250815_ETF_Options_Exhibits'!U1814:U1818)),AVERAGE('20250815_ETF_Options_Exhibits'!U1814:U1818),"")</f>
        <v/>
      </c>
      <c r="V1818" s="3">
        <f>IF(ISNUMBER(AVERAGE('20250815_ETF_Options_Exhibits'!V1814:V1818)),AVERAGE('20250815_ETF_Options_Exhibits'!V1814:V1818),"")</f>
        <v/>
      </c>
      <c r="W1818" s="3">
        <f>IF(ISNUMBER(AVERAGE('20250815_ETF_Options_Exhibits'!W1814:W1818)),AVERAGE('20250815_ETF_Options_Exhibits'!W1814:W1818),"")</f>
        <v/>
      </c>
      <c r="X1818" s="3">
        <f>IF(ISNUMBER(AVERAGE('20250815_ETF_Options_Exhibits'!X1814:X1818)),AVERAGE('20250815_ETF_Options_Exhibits'!X1814:X1818),"")</f>
        <v/>
      </c>
      <c r="Y1818" s="3">
        <f>IF(ISNUMBER(AVERAGE('20250815_ETF_Options_Exhibits'!Y1814:Y1818)),AVERAGE('20250815_ETF_Options_Exhibits'!Y1814:Y1818),"")</f>
        <v/>
      </c>
      <c r="Z1818" s="3">
        <f>IF(ISNUMBER(AVERAGE('20250815_ETF_Options_Exhibits'!Z1814:Z1818)),AVERAGE('20250815_ETF_Options_Exhibits'!Z1814:Z1818),"")</f>
        <v/>
      </c>
      <c r="AA1818" s="3">
        <f>IF(ISNUMBER(AVERAGE('20250815_ETF_Options_Exhibits'!AA1814:AA1818)),AVERAGE('20250815_ETF_Options_Exhibits'!AA1814:AA1818),"")</f>
        <v/>
      </c>
    </row>
    <row r="1819">
      <c r="A1819" s="1" t="n">
        <v>44641</v>
      </c>
      <c r="B1819" s="3">
        <f>IF(ISNUMBER(AVERAGE('20250815_ETF_Options_Exhibits'!B1815:B1819)),AVERAGE('20250815_ETF_Options_Exhibits'!B1815:B1819),"")</f>
        <v/>
      </c>
      <c r="C1819" s="3">
        <f>IF(ISNUMBER(AVERAGE('20250815_ETF_Options_Exhibits'!C1815:C1819)),AVERAGE('20250815_ETF_Options_Exhibits'!C1815:C1819),"")</f>
        <v/>
      </c>
      <c r="D1819" s="3">
        <f>IF(ISNUMBER(AVERAGE('20250815_ETF_Options_Exhibits'!D1815:D1819)),AVERAGE('20250815_ETF_Options_Exhibits'!D1815:D1819),"")</f>
        <v/>
      </c>
      <c r="E1819" s="3">
        <f>IF(ISNUMBER(AVERAGE('20250815_ETF_Options_Exhibits'!E1815:E1819)),AVERAGE('20250815_ETF_Options_Exhibits'!E1815:E1819),"")</f>
        <v/>
      </c>
      <c r="F1819" s="3">
        <f>IF(ISNUMBER(AVERAGE('20250815_ETF_Options_Exhibits'!F1815:F1819)),AVERAGE('20250815_ETF_Options_Exhibits'!F1815:F1819),"")</f>
        <v/>
      </c>
      <c r="G1819" s="3">
        <f>IF(ISNUMBER(AVERAGE('20250815_ETF_Options_Exhibits'!G1815:G1819)),AVERAGE('20250815_ETF_Options_Exhibits'!G1815:G1819),"")</f>
        <v/>
      </c>
      <c r="H1819" s="3">
        <f>IF(ISNUMBER(AVERAGE('20250815_ETF_Options_Exhibits'!H1815:H1819)),AVERAGE('20250815_ETF_Options_Exhibits'!H1815:H1819),"")</f>
        <v/>
      </c>
      <c r="I1819" s="3">
        <f>IF(ISNUMBER(AVERAGE('20250815_ETF_Options_Exhibits'!I1815:I1819)),AVERAGE('20250815_ETF_Options_Exhibits'!I1815:I1819),"")</f>
        <v/>
      </c>
      <c r="J1819" s="3">
        <f>IF(ISNUMBER(AVERAGE('20250815_ETF_Options_Exhibits'!J1815:J1819)),AVERAGE('20250815_ETF_Options_Exhibits'!J1815:J1819),"")</f>
        <v/>
      </c>
      <c r="K1819" s="3">
        <f>IF(ISNUMBER(AVERAGE('20250815_ETF_Options_Exhibits'!K1815:K1819)),AVERAGE('20250815_ETF_Options_Exhibits'!K1815:K1819),"")</f>
        <v/>
      </c>
      <c r="L1819" s="3">
        <f>IF(ISNUMBER(AVERAGE('20250815_ETF_Options_Exhibits'!L1815:L1819)),AVERAGE('20250815_ETF_Options_Exhibits'!L1815:L1819),"")</f>
        <v/>
      </c>
      <c r="M1819" s="3">
        <f>IF(ISNUMBER(AVERAGE('20250815_ETF_Options_Exhibits'!M1815:M1819)),AVERAGE('20250815_ETF_Options_Exhibits'!M1815:M1819),"")</f>
        <v/>
      </c>
      <c r="N1819" s="3">
        <f>IF(ISNUMBER(AVERAGE('20250815_ETF_Options_Exhibits'!N1815:N1819)),AVERAGE('20250815_ETF_Options_Exhibits'!N1815:N1819),"")</f>
        <v/>
      </c>
      <c r="O1819" s="3">
        <f>IF(ISNUMBER(AVERAGE('20250815_ETF_Options_Exhibits'!O1815:O1819)),AVERAGE('20250815_ETF_Options_Exhibits'!O1815:O1819),"")</f>
        <v/>
      </c>
      <c r="P1819" s="3">
        <f>IF(ISNUMBER(AVERAGE('20250815_ETF_Options_Exhibits'!P1815:P1819)),AVERAGE('20250815_ETF_Options_Exhibits'!P1815:P1819),"")</f>
        <v/>
      </c>
      <c r="Q1819" s="3">
        <f>IF(ISNUMBER(AVERAGE('20250815_ETF_Options_Exhibits'!Q1815:Q1819)),AVERAGE('20250815_ETF_Options_Exhibits'!Q1815:Q1819),"")</f>
        <v/>
      </c>
      <c r="R1819" s="3">
        <f>IF(ISNUMBER(AVERAGE('20250815_ETF_Options_Exhibits'!R1815:R1819)),AVERAGE('20250815_ETF_Options_Exhibits'!R1815:R1819),"")</f>
        <v/>
      </c>
      <c r="S1819" s="3">
        <f>IF(ISNUMBER(AVERAGE('20250815_ETF_Options_Exhibits'!S1815:S1819)),AVERAGE('20250815_ETF_Options_Exhibits'!S1815:S1819),"")</f>
        <v/>
      </c>
      <c r="T1819" s="3">
        <f>IF(ISNUMBER(AVERAGE('20250815_ETF_Options_Exhibits'!T1815:T1819)),AVERAGE('20250815_ETF_Options_Exhibits'!T1815:T1819),"")</f>
        <v/>
      </c>
      <c r="U1819" s="3">
        <f>IF(ISNUMBER(AVERAGE('20250815_ETF_Options_Exhibits'!U1815:U1819)),AVERAGE('20250815_ETF_Options_Exhibits'!U1815:U1819),"")</f>
        <v/>
      </c>
      <c r="V1819" s="3">
        <f>IF(ISNUMBER(AVERAGE('20250815_ETF_Options_Exhibits'!V1815:V1819)),AVERAGE('20250815_ETF_Options_Exhibits'!V1815:V1819),"")</f>
        <v/>
      </c>
      <c r="W1819" s="3">
        <f>IF(ISNUMBER(AVERAGE('20250815_ETF_Options_Exhibits'!W1815:W1819)),AVERAGE('20250815_ETF_Options_Exhibits'!W1815:W1819),"")</f>
        <v/>
      </c>
      <c r="X1819" s="3">
        <f>IF(ISNUMBER(AVERAGE('20250815_ETF_Options_Exhibits'!X1815:X1819)),AVERAGE('20250815_ETF_Options_Exhibits'!X1815:X1819),"")</f>
        <v/>
      </c>
      <c r="Y1819" s="3">
        <f>IF(ISNUMBER(AVERAGE('20250815_ETF_Options_Exhibits'!Y1815:Y1819)),AVERAGE('20250815_ETF_Options_Exhibits'!Y1815:Y1819),"")</f>
        <v/>
      </c>
      <c r="Z1819" s="3">
        <f>IF(ISNUMBER(AVERAGE('20250815_ETF_Options_Exhibits'!Z1815:Z1819)),AVERAGE('20250815_ETF_Options_Exhibits'!Z1815:Z1819),"")</f>
        <v/>
      </c>
      <c r="AA1819" s="3">
        <f>IF(ISNUMBER(AVERAGE('20250815_ETF_Options_Exhibits'!AA1815:AA1819)),AVERAGE('20250815_ETF_Options_Exhibits'!AA1815:AA1819),"")</f>
        <v/>
      </c>
    </row>
    <row r="1820">
      <c r="A1820" s="1" t="n">
        <v>44642</v>
      </c>
      <c r="B1820" s="3">
        <f>IF(ISNUMBER(AVERAGE('20250815_ETF_Options_Exhibits'!B1816:B1820)),AVERAGE('20250815_ETF_Options_Exhibits'!B1816:B1820),"")</f>
        <v/>
      </c>
      <c r="C1820" s="3">
        <f>IF(ISNUMBER(AVERAGE('20250815_ETF_Options_Exhibits'!C1816:C1820)),AVERAGE('20250815_ETF_Options_Exhibits'!C1816:C1820),"")</f>
        <v/>
      </c>
      <c r="D1820" s="3">
        <f>IF(ISNUMBER(AVERAGE('20250815_ETF_Options_Exhibits'!D1816:D1820)),AVERAGE('20250815_ETF_Options_Exhibits'!D1816:D1820),"")</f>
        <v/>
      </c>
      <c r="E1820" s="3">
        <f>IF(ISNUMBER(AVERAGE('20250815_ETF_Options_Exhibits'!E1816:E1820)),AVERAGE('20250815_ETF_Options_Exhibits'!E1816:E1820),"")</f>
        <v/>
      </c>
      <c r="F1820" s="3">
        <f>IF(ISNUMBER(AVERAGE('20250815_ETF_Options_Exhibits'!F1816:F1820)),AVERAGE('20250815_ETF_Options_Exhibits'!F1816:F1820),"")</f>
        <v/>
      </c>
      <c r="G1820" s="3">
        <f>IF(ISNUMBER(AVERAGE('20250815_ETF_Options_Exhibits'!G1816:G1820)),AVERAGE('20250815_ETF_Options_Exhibits'!G1816:G1820),"")</f>
        <v/>
      </c>
      <c r="H1820" s="3">
        <f>IF(ISNUMBER(AVERAGE('20250815_ETF_Options_Exhibits'!H1816:H1820)),AVERAGE('20250815_ETF_Options_Exhibits'!H1816:H1820),"")</f>
        <v/>
      </c>
      <c r="I1820" s="3">
        <f>IF(ISNUMBER(AVERAGE('20250815_ETF_Options_Exhibits'!I1816:I1820)),AVERAGE('20250815_ETF_Options_Exhibits'!I1816:I1820),"")</f>
        <v/>
      </c>
      <c r="J1820" s="3">
        <f>IF(ISNUMBER(AVERAGE('20250815_ETF_Options_Exhibits'!J1816:J1820)),AVERAGE('20250815_ETF_Options_Exhibits'!J1816:J1820),"")</f>
        <v/>
      </c>
      <c r="K1820" s="3">
        <f>IF(ISNUMBER(AVERAGE('20250815_ETF_Options_Exhibits'!K1816:K1820)),AVERAGE('20250815_ETF_Options_Exhibits'!K1816:K1820),"")</f>
        <v/>
      </c>
      <c r="L1820" s="3">
        <f>IF(ISNUMBER(AVERAGE('20250815_ETF_Options_Exhibits'!L1816:L1820)),AVERAGE('20250815_ETF_Options_Exhibits'!L1816:L1820),"")</f>
        <v/>
      </c>
      <c r="M1820" s="3">
        <f>IF(ISNUMBER(AVERAGE('20250815_ETF_Options_Exhibits'!M1816:M1820)),AVERAGE('20250815_ETF_Options_Exhibits'!M1816:M1820),"")</f>
        <v/>
      </c>
      <c r="N1820" s="3">
        <f>IF(ISNUMBER(AVERAGE('20250815_ETF_Options_Exhibits'!N1816:N1820)),AVERAGE('20250815_ETF_Options_Exhibits'!N1816:N1820),"")</f>
        <v/>
      </c>
      <c r="O1820" s="3">
        <f>IF(ISNUMBER(AVERAGE('20250815_ETF_Options_Exhibits'!O1816:O1820)),AVERAGE('20250815_ETF_Options_Exhibits'!O1816:O1820),"")</f>
        <v/>
      </c>
      <c r="P1820" s="3">
        <f>IF(ISNUMBER(AVERAGE('20250815_ETF_Options_Exhibits'!P1816:P1820)),AVERAGE('20250815_ETF_Options_Exhibits'!P1816:P1820),"")</f>
        <v/>
      </c>
      <c r="Q1820" s="3">
        <f>IF(ISNUMBER(AVERAGE('20250815_ETF_Options_Exhibits'!Q1816:Q1820)),AVERAGE('20250815_ETF_Options_Exhibits'!Q1816:Q1820),"")</f>
        <v/>
      </c>
      <c r="R1820" s="3">
        <f>IF(ISNUMBER(AVERAGE('20250815_ETF_Options_Exhibits'!R1816:R1820)),AVERAGE('20250815_ETF_Options_Exhibits'!R1816:R1820),"")</f>
        <v/>
      </c>
      <c r="S1820" s="3">
        <f>IF(ISNUMBER(AVERAGE('20250815_ETF_Options_Exhibits'!S1816:S1820)),AVERAGE('20250815_ETF_Options_Exhibits'!S1816:S1820),"")</f>
        <v/>
      </c>
      <c r="T1820" s="3">
        <f>IF(ISNUMBER(AVERAGE('20250815_ETF_Options_Exhibits'!T1816:T1820)),AVERAGE('20250815_ETF_Options_Exhibits'!T1816:T1820),"")</f>
        <v/>
      </c>
      <c r="U1820" s="3">
        <f>IF(ISNUMBER(AVERAGE('20250815_ETF_Options_Exhibits'!U1816:U1820)),AVERAGE('20250815_ETF_Options_Exhibits'!U1816:U1820),"")</f>
        <v/>
      </c>
      <c r="V1820" s="3">
        <f>IF(ISNUMBER(AVERAGE('20250815_ETF_Options_Exhibits'!V1816:V1820)),AVERAGE('20250815_ETF_Options_Exhibits'!V1816:V1820),"")</f>
        <v/>
      </c>
      <c r="W1820" s="3">
        <f>IF(ISNUMBER(AVERAGE('20250815_ETF_Options_Exhibits'!W1816:W1820)),AVERAGE('20250815_ETF_Options_Exhibits'!W1816:W1820),"")</f>
        <v/>
      </c>
      <c r="X1820" s="3">
        <f>IF(ISNUMBER(AVERAGE('20250815_ETF_Options_Exhibits'!X1816:X1820)),AVERAGE('20250815_ETF_Options_Exhibits'!X1816:X1820),"")</f>
        <v/>
      </c>
      <c r="Y1820" s="3">
        <f>IF(ISNUMBER(AVERAGE('20250815_ETF_Options_Exhibits'!Y1816:Y1820)),AVERAGE('20250815_ETF_Options_Exhibits'!Y1816:Y1820),"")</f>
        <v/>
      </c>
      <c r="Z1820" s="3">
        <f>IF(ISNUMBER(AVERAGE('20250815_ETF_Options_Exhibits'!Z1816:Z1820)),AVERAGE('20250815_ETF_Options_Exhibits'!Z1816:Z1820),"")</f>
        <v/>
      </c>
      <c r="AA1820" s="3">
        <f>IF(ISNUMBER(AVERAGE('20250815_ETF_Options_Exhibits'!AA1816:AA1820)),AVERAGE('20250815_ETF_Options_Exhibits'!AA1816:AA1820),"")</f>
        <v/>
      </c>
    </row>
    <row r="1821">
      <c r="A1821" s="1" t="n">
        <v>44643</v>
      </c>
      <c r="B1821" s="3">
        <f>IF(ISNUMBER(AVERAGE('20250815_ETF_Options_Exhibits'!B1817:B1821)),AVERAGE('20250815_ETF_Options_Exhibits'!B1817:B1821),"")</f>
        <v/>
      </c>
      <c r="C1821" s="3">
        <f>IF(ISNUMBER(AVERAGE('20250815_ETF_Options_Exhibits'!C1817:C1821)),AVERAGE('20250815_ETF_Options_Exhibits'!C1817:C1821),"")</f>
        <v/>
      </c>
      <c r="D1821" s="3">
        <f>IF(ISNUMBER(AVERAGE('20250815_ETF_Options_Exhibits'!D1817:D1821)),AVERAGE('20250815_ETF_Options_Exhibits'!D1817:D1821),"")</f>
        <v/>
      </c>
      <c r="E1821" s="3">
        <f>IF(ISNUMBER(AVERAGE('20250815_ETF_Options_Exhibits'!E1817:E1821)),AVERAGE('20250815_ETF_Options_Exhibits'!E1817:E1821),"")</f>
        <v/>
      </c>
      <c r="F1821" s="3">
        <f>IF(ISNUMBER(AVERAGE('20250815_ETF_Options_Exhibits'!F1817:F1821)),AVERAGE('20250815_ETF_Options_Exhibits'!F1817:F1821),"")</f>
        <v/>
      </c>
      <c r="G1821" s="3">
        <f>IF(ISNUMBER(AVERAGE('20250815_ETF_Options_Exhibits'!G1817:G1821)),AVERAGE('20250815_ETF_Options_Exhibits'!G1817:G1821),"")</f>
        <v/>
      </c>
      <c r="H1821" s="3">
        <f>IF(ISNUMBER(AVERAGE('20250815_ETF_Options_Exhibits'!H1817:H1821)),AVERAGE('20250815_ETF_Options_Exhibits'!H1817:H1821),"")</f>
        <v/>
      </c>
      <c r="I1821" s="3">
        <f>IF(ISNUMBER(AVERAGE('20250815_ETF_Options_Exhibits'!I1817:I1821)),AVERAGE('20250815_ETF_Options_Exhibits'!I1817:I1821),"")</f>
        <v/>
      </c>
      <c r="J1821" s="3">
        <f>IF(ISNUMBER(AVERAGE('20250815_ETF_Options_Exhibits'!J1817:J1821)),AVERAGE('20250815_ETF_Options_Exhibits'!J1817:J1821),"")</f>
        <v/>
      </c>
      <c r="K1821" s="3">
        <f>IF(ISNUMBER(AVERAGE('20250815_ETF_Options_Exhibits'!K1817:K1821)),AVERAGE('20250815_ETF_Options_Exhibits'!K1817:K1821),"")</f>
        <v/>
      </c>
      <c r="L1821" s="3">
        <f>IF(ISNUMBER(AVERAGE('20250815_ETF_Options_Exhibits'!L1817:L1821)),AVERAGE('20250815_ETF_Options_Exhibits'!L1817:L1821),"")</f>
        <v/>
      </c>
      <c r="M1821" s="3">
        <f>IF(ISNUMBER(AVERAGE('20250815_ETF_Options_Exhibits'!M1817:M1821)),AVERAGE('20250815_ETF_Options_Exhibits'!M1817:M1821),"")</f>
        <v/>
      </c>
      <c r="N1821" s="3">
        <f>IF(ISNUMBER(AVERAGE('20250815_ETF_Options_Exhibits'!N1817:N1821)),AVERAGE('20250815_ETF_Options_Exhibits'!N1817:N1821),"")</f>
        <v/>
      </c>
      <c r="O1821" s="3">
        <f>IF(ISNUMBER(AVERAGE('20250815_ETF_Options_Exhibits'!O1817:O1821)),AVERAGE('20250815_ETF_Options_Exhibits'!O1817:O1821),"")</f>
        <v/>
      </c>
      <c r="P1821" s="3">
        <f>IF(ISNUMBER(AVERAGE('20250815_ETF_Options_Exhibits'!P1817:P1821)),AVERAGE('20250815_ETF_Options_Exhibits'!P1817:P1821),"")</f>
        <v/>
      </c>
      <c r="Q1821" s="3">
        <f>IF(ISNUMBER(AVERAGE('20250815_ETF_Options_Exhibits'!Q1817:Q1821)),AVERAGE('20250815_ETF_Options_Exhibits'!Q1817:Q1821),"")</f>
        <v/>
      </c>
      <c r="R1821" s="3">
        <f>IF(ISNUMBER(AVERAGE('20250815_ETF_Options_Exhibits'!R1817:R1821)),AVERAGE('20250815_ETF_Options_Exhibits'!R1817:R1821),"")</f>
        <v/>
      </c>
      <c r="S1821" s="3">
        <f>IF(ISNUMBER(AVERAGE('20250815_ETF_Options_Exhibits'!S1817:S1821)),AVERAGE('20250815_ETF_Options_Exhibits'!S1817:S1821),"")</f>
        <v/>
      </c>
      <c r="T1821" s="3">
        <f>IF(ISNUMBER(AVERAGE('20250815_ETF_Options_Exhibits'!T1817:T1821)),AVERAGE('20250815_ETF_Options_Exhibits'!T1817:T1821),"")</f>
        <v/>
      </c>
      <c r="U1821" s="3">
        <f>IF(ISNUMBER(AVERAGE('20250815_ETF_Options_Exhibits'!U1817:U1821)),AVERAGE('20250815_ETF_Options_Exhibits'!U1817:U1821),"")</f>
        <v/>
      </c>
      <c r="V1821" s="3">
        <f>IF(ISNUMBER(AVERAGE('20250815_ETF_Options_Exhibits'!V1817:V1821)),AVERAGE('20250815_ETF_Options_Exhibits'!V1817:V1821),"")</f>
        <v/>
      </c>
      <c r="W1821" s="3">
        <f>IF(ISNUMBER(AVERAGE('20250815_ETF_Options_Exhibits'!W1817:W1821)),AVERAGE('20250815_ETF_Options_Exhibits'!W1817:W1821),"")</f>
        <v/>
      </c>
      <c r="X1821" s="3">
        <f>IF(ISNUMBER(AVERAGE('20250815_ETF_Options_Exhibits'!X1817:X1821)),AVERAGE('20250815_ETF_Options_Exhibits'!X1817:X1821),"")</f>
        <v/>
      </c>
      <c r="Y1821" s="3">
        <f>IF(ISNUMBER(AVERAGE('20250815_ETF_Options_Exhibits'!Y1817:Y1821)),AVERAGE('20250815_ETF_Options_Exhibits'!Y1817:Y1821),"")</f>
        <v/>
      </c>
      <c r="Z1821" s="3">
        <f>IF(ISNUMBER(AVERAGE('20250815_ETF_Options_Exhibits'!Z1817:Z1821)),AVERAGE('20250815_ETF_Options_Exhibits'!Z1817:Z1821),"")</f>
        <v/>
      </c>
      <c r="AA1821" s="3">
        <f>IF(ISNUMBER(AVERAGE('20250815_ETF_Options_Exhibits'!AA1817:AA1821)),AVERAGE('20250815_ETF_Options_Exhibits'!AA1817:AA1821),"")</f>
        <v/>
      </c>
    </row>
    <row r="1822">
      <c r="A1822" s="1" t="n">
        <v>44644</v>
      </c>
      <c r="B1822" s="3">
        <f>IF(ISNUMBER(AVERAGE('20250815_ETF_Options_Exhibits'!B1818:B1822)),AVERAGE('20250815_ETF_Options_Exhibits'!B1818:B1822),"")</f>
        <v/>
      </c>
      <c r="C1822" s="3">
        <f>IF(ISNUMBER(AVERAGE('20250815_ETF_Options_Exhibits'!C1818:C1822)),AVERAGE('20250815_ETF_Options_Exhibits'!C1818:C1822),"")</f>
        <v/>
      </c>
      <c r="D1822" s="3">
        <f>IF(ISNUMBER(AVERAGE('20250815_ETF_Options_Exhibits'!D1818:D1822)),AVERAGE('20250815_ETF_Options_Exhibits'!D1818:D1822),"")</f>
        <v/>
      </c>
      <c r="E1822" s="3">
        <f>IF(ISNUMBER(AVERAGE('20250815_ETF_Options_Exhibits'!E1818:E1822)),AVERAGE('20250815_ETF_Options_Exhibits'!E1818:E1822),"")</f>
        <v/>
      </c>
      <c r="F1822" s="3">
        <f>IF(ISNUMBER(AVERAGE('20250815_ETF_Options_Exhibits'!F1818:F1822)),AVERAGE('20250815_ETF_Options_Exhibits'!F1818:F1822),"")</f>
        <v/>
      </c>
      <c r="G1822" s="3">
        <f>IF(ISNUMBER(AVERAGE('20250815_ETF_Options_Exhibits'!G1818:G1822)),AVERAGE('20250815_ETF_Options_Exhibits'!G1818:G1822),"")</f>
        <v/>
      </c>
      <c r="H1822" s="3">
        <f>IF(ISNUMBER(AVERAGE('20250815_ETF_Options_Exhibits'!H1818:H1822)),AVERAGE('20250815_ETF_Options_Exhibits'!H1818:H1822),"")</f>
        <v/>
      </c>
      <c r="I1822" s="3">
        <f>IF(ISNUMBER(AVERAGE('20250815_ETF_Options_Exhibits'!I1818:I1822)),AVERAGE('20250815_ETF_Options_Exhibits'!I1818:I1822),"")</f>
        <v/>
      </c>
      <c r="J1822" s="3">
        <f>IF(ISNUMBER(AVERAGE('20250815_ETF_Options_Exhibits'!J1818:J1822)),AVERAGE('20250815_ETF_Options_Exhibits'!J1818:J1822),"")</f>
        <v/>
      </c>
      <c r="K1822" s="3">
        <f>IF(ISNUMBER(AVERAGE('20250815_ETF_Options_Exhibits'!K1818:K1822)),AVERAGE('20250815_ETF_Options_Exhibits'!K1818:K1822),"")</f>
        <v/>
      </c>
      <c r="L1822" s="3">
        <f>IF(ISNUMBER(AVERAGE('20250815_ETF_Options_Exhibits'!L1818:L1822)),AVERAGE('20250815_ETF_Options_Exhibits'!L1818:L1822),"")</f>
        <v/>
      </c>
      <c r="M1822" s="3">
        <f>IF(ISNUMBER(AVERAGE('20250815_ETF_Options_Exhibits'!M1818:M1822)),AVERAGE('20250815_ETF_Options_Exhibits'!M1818:M1822),"")</f>
        <v/>
      </c>
      <c r="N1822" s="3">
        <f>IF(ISNUMBER(AVERAGE('20250815_ETF_Options_Exhibits'!N1818:N1822)),AVERAGE('20250815_ETF_Options_Exhibits'!N1818:N1822),"")</f>
        <v/>
      </c>
      <c r="O1822" s="3">
        <f>IF(ISNUMBER(AVERAGE('20250815_ETF_Options_Exhibits'!O1818:O1822)),AVERAGE('20250815_ETF_Options_Exhibits'!O1818:O1822),"")</f>
        <v/>
      </c>
      <c r="P1822" s="3">
        <f>IF(ISNUMBER(AVERAGE('20250815_ETF_Options_Exhibits'!P1818:P1822)),AVERAGE('20250815_ETF_Options_Exhibits'!P1818:P1822),"")</f>
        <v/>
      </c>
      <c r="Q1822" s="3">
        <f>IF(ISNUMBER(AVERAGE('20250815_ETF_Options_Exhibits'!Q1818:Q1822)),AVERAGE('20250815_ETF_Options_Exhibits'!Q1818:Q1822),"")</f>
        <v/>
      </c>
      <c r="R1822" s="3">
        <f>IF(ISNUMBER(AVERAGE('20250815_ETF_Options_Exhibits'!R1818:R1822)),AVERAGE('20250815_ETF_Options_Exhibits'!R1818:R1822),"")</f>
        <v/>
      </c>
      <c r="S1822" s="3">
        <f>IF(ISNUMBER(AVERAGE('20250815_ETF_Options_Exhibits'!S1818:S1822)),AVERAGE('20250815_ETF_Options_Exhibits'!S1818:S1822),"")</f>
        <v/>
      </c>
      <c r="T1822" s="3">
        <f>IF(ISNUMBER(AVERAGE('20250815_ETF_Options_Exhibits'!T1818:T1822)),AVERAGE('20250815_ETF_Options_Exhibits'!T1818:T1822),"")</f>
        <v/>
      </c>
      <c r="U1822" s="3">
        <f>IF(ISNUMBER(AVERAGE('20250815_ETF_Options_Exhibits'!U1818:U1822)),AVERAGE('20250815_ETF_Options_Exhibits'!U1818:U1822),"")</f>
        <v/>
      </c>
      <c r="V1822" s="3">
        <f>IF(ISNUMBER(AVERAGE('20250815_ETF_Options_Exhibits'!V1818:V1822)),AVERAGE('20250815_ETF_Options_Exhibits'!V1818:V1822),"")</f>
        <v/>
      </c>
      <c r="W1822" s="3">
        <f>IF(ISNUMBER(AVERAGE('20250815_ETF_Options_Exhibits'!W1818:W1822)),AVERAGE('20250815_ETF_Options_Exhibits'!W1818:W1822),"")</f>
        <v/>
      </c>
      <c r="X1822" s="3">
        <f>IF(ISNUMBER(AVERAGE('20250815_ETF_Options_Exhibits'!X1818:X1822)),AVERAGE('20250815_ETF_Options_Exhibits'!X1818:X1822),"")</f>
        <v/>
      </c>
      <c r="Y1822" s="3">
        <f>IF(ISNUMBER(AVERAGE('20250815_ETF_Options_Exhibits'!Y1818:Y1822)),AVERAGE('20250815_ETF_Options_Exhibits'!Y1818:Y1822),"")</f>
        <v/>
      </c>
      <c r="Z1822" s="3">
        <f>IF(ISNUMBER(AVERAGE('20250815_ETF_Options_Exhibits'!Z1818:Z1822)),AVERAGE('20250815_ETF_Options_Exhibits'!Z1818:Z1822),"")</f>
        <v/>
      </c>
      <c r="AA1822" s="3">
        <f>IF(ISNUMBER(AVERAGE('20250815_ETF_Options_Exhibits'!AA1818:AA1822)),AVERAGE('20250815_ETF_Options_Exhibits'!AA1818:AA1822),"")</f>
        <v/>
      </c>
    </row>
    <row r="1823">
      <c r="A1823" s="1" t="n">
        <v>44645</v>
      </c>
      <c r="B1823" s="3">
        <f>IF(ISNUMBER(AVERAGE('20250815_ETF_Options_Exhibits'!B1819:B1823)),AVERAGE('20250815_ETF_Options_Exhibits'!B1819:B1823),"")</f>
        <v/>
      </c>
      <c r="C1823" s="3">
        <f>IF(ISNUMBER(AVERAGE('20250815_ETF_Options_Exhibits'!C1819:C1823)),AVERAGE('20250815_ETF_Options_Exhibits'!C1819:C1823),"")</f>
        <v/>
      </c>
      <c r="D1823" s="3">
        <f>IF(ISNUMBER(AVERAGE('20250815_ETF_Options_Exhibits'!D1819:D1823)),AVERAGE('20250815_ETF_Options_Exhibits'!D1819:D1823),"")</f>
        <v/>
      </c>
      <c r="E1823" s="3">
        <f>IF(ISNUMBER(AVERAGE('20250815_ETF_Options_Exhibits'!E1819:E1823)),AVERAGE('20250815_ETF_Options_Exhibits'!E1819:E1823),"")</f>
        <v/>
      </c>
      <c r="F1823" s="3">
        <f>IF(ISNUMBER(AVERAGE('20250815_ETF_Options_Exhibits'!F1819:F1823)),AVERAGE('20250815_ETF_Options_Exhibits'!F1819:F1823),"")</f>
        <v/>
      </c>
      <c r="G1823" s="3">
        <f>IF(ISNUMBER(AVERAGE('20250815_ETF_Options_Exhibits'!G1819:G1823)),AVERAGE('20250815_ETF_Options_Exhibits'!G1819:G1823),"")</f>
        <v/>
      </c>
      <c r="H1823" s="3">
        <f>IF(ISNUMBER(AVERAGE('20250815_ETF_Options_Exhibits'!H1819:H1823)),AVERAGE('20250815_ETF_Options_Exhibits'!H1819:H1823),"")</f>
        <v/>
      </c>
      <c r="I1823" s="3">
        <f>IF(ISNUMBER(AVERAGE('20250815_ETF_Options_Exhibits'!I1819:I1823)),AVERAGE('20250815_ETF_Options_Exhibits'!I1819:I1823),"")</f>
        <v/>
      </c>
      <c r="J1823" s="3">
        <f>IF(ISNUMBER(AVERAGE('20250815_ETF_Options_Exhibits'!J1819:J1823)),AVERAGE('20250815_ETF_Options_Exhibits'!J1819:J1823),"")</f>
        <v/>
      </c>
      <c r="K1823" s="3">
        <f>IF(ISNUMBER(AVERAGE('20250815_ETF_Options_Exhibits'!K1819:K1823)),AVERAGE('20250815_ETF_Options_Exhibits'!K1819:K1823),"")</f>
        <v/>
      </c>
      <c r="L1823" s="3">
        <f>IF(ISNUMBER(AVERAGE('20250815_ETF_Options_Exhibits'!L1819:L1823)),AVERAGE('20250815_ETF_Options_Exhibits'!L1819:L1823),"")</f>
        <v/>
      </c>
      <c r="M1823" s="3">
        <f>IF(ISNUMBER(AVERAGE('20250815_ETF_Options_Exhibits'!M1819:M1823)),AVERAGE('20250815_ETF_Options_Exhibits'!M1819:M1823),"")</f>
        <v/>
      </c>
      <c r="N1823" s="3">
        <f>IF(ISNUMBER(AVERAGE('20250815_ETF_Options_Exhibits'!N1819:N1823)),AVERAGE('20250815_ETF_Options_Exhibits'!N1819:N1823),"")</f>
        <v/>
      </c>
      <c r="O1823" s="3">
        <f>IF(ISNUMBER(AVERAGE('20250815_ETF_Options_Exhibits'!O1819:O1823)),AVERAGE('20250815_ETF_Options_Exhibits'!O1819:O1823),"")</f>
        <v/>
      </c>
      <c r="P1823" s="3">
        <f>IF(ISNUMBER(AVERAGE('20250815_ETF_Options_Exhibits'!P1819:P1823)),AVERAGE('20250815_ETF_Options_Exhibits'!P1819:P1823),"")</f>
        <v/>
      </c>
      <c r="Q1823" s="3">
        <f>IF(ISNUMBER(AVERAGE('20250815_ETF_Options_Exhibits'!Q1819:Q1823)),AVERAGE('20250815_ETF_Options_Exhibits'!Q1819:Q1823),"")</f>
        <v/>
      </c>
      <c r="R1823" s="3">
        <f>IF(ISNUMBER(AVERAGE('20250815_ETF_Options_Exhibits'!R1819:R1823)),AVERAGE('20250815_ETF_Options_Exhibits'!R1819:R1823),"")</f>
        <v/>
      </c>
      <c r="S1823" s="3">
        <f>IF(ISNUMBER(AVERAGE('20250815_ETF_Options_Exhibits'!S1819:S1823)),AVERAGE('20250815_ETF_Options_Exhibits'!S1819:S1823),"")</f>
        <v/>
      </c>
      <c r="T1823" s="3">
        <f>IF(ISNUMBER(AVERAGE('20250815_ETF_Options_Exhibits'!T1819:T1823)),AVERAGE('20250815_ETF_Options_Exhibits'!T1819:T1823),"")</f>
        <v/>
      </c>
      <c r="U1823" s="3">
        <f>IF(ISNUMBER(AVERAGE('20250815_ETF_Options_Exhibits'!U1819:U1823)),AVERAGE('20250815_ETF_Options_Exhibits'!U1819:U1823),"")</f>
        <v/>
      </c>
      <c r="V1823" s="3">
        <f>IF(ISNUMBER(AVERAGE('20250815_ETF_Options_Exhibits'!V1819:V1823)),AVERAGE('20250815_ETF_Options_Exhibits'!V1819:V1823),"")</f>
        <v/>
      </c>
      <c r="W1823" s="3">
        <f>IF(ISNUMBER(AVERAGE('20250815_ETF_Options_Exhibits'!W1819:W1823)),AVERAGE('20250815_ETF_Options_Exhibits'!W1819:W1823),"")</f>
        <v/>
      </c>
      <c r="X1823" s="3">
        <f>IF(ISNUMBER(AVERAGE('20250815_ETF_Options_Exhibits'!X1819:X1823)),AVERAGE('20250815_ETF_Options_Exhibits'!X1819:X1823),"")</f>
        <v/>
      </c>
      <c r="Y1823" s="3">
        <f>IF(ISNUMBER(AVERAGE('20250815_ETF_Options_Exhibits'!Y1819:Y1823)),AVERAGE('20250815_ETF_Options_Exhibits'!Y1819:Y1823),"")</f>
        <v/>
      </c>
      <c r="Z1823" s="3">
        <f>IF(ISNUMBER(AVERAGE('20250815_ETF_Options_Exhibits'!Z1819:Z1823)),AVERAGE('20250815_ETF_Options_Exhibits'!Z1819:Z1823),"")</f>
        <v/>
      </c>
      <c r="AA1823" s="3">
        <f>IF(ISNUMBER(AVERAGE('20250815_ETF_Options_Exhibits'!AA1819:AA1823)),AVERAGE('20250815_ETF_Options_Exhibits'!AA1819:AA1823),"")</f>
        <v/>
      </c>
    </row>
    <row r="1824">
      <c r="A1824" s="1" t="n">
        <v>44648</v>
      </c>
      <c r="B1824" s="3">
        <f>IF(ISNUMBER(AVERAGE('20250815_ETF_Options_Exhibits'!B1820:B1824)),AVERAGE('20250815_ETF_Options_Exhibits'!B1820:B1824),"")</f>
        <v/>
      </c>
      <c r="C1824" s="3">
        <f>IF(ISNUMBER(AVERAGE('20250815_ETF_Options_Exhibits'!C1820:C1824)),AVERAGE('20250815_ETF_Options_Exhibits'!C1820:C1824),"")</f>
        <v/>
      </c>
      <c r="D1824" s="3">
        <f>IF(ISNUMBER(AVERAGE('20250815_ETF_Options_Exhibits'!D1820:D1824)),AVERAGE('20250815_ETF_Options_Exhibits'!D1820:D1824),"")</f>
        <v/>
      </c>
      <c r="E1824" s="3">
        <f>IF(ISNUMBER(AVERAGE('20250815_ETF_Options_Exhibits'!E1820:E1824)),AVERAGE('20250815_ETF_Options_Exhibits'!E1820:E1824),"")</f>
        <v/>
      </c>
      <c r="F1824" s="3">
        <f>IF(ISNUMBER(AVERAGE('20250815_ETF_Options_Exhibits'!F1820:F1824)),AVERAGE('20250815_ETF_Options_Exhibits'!F1820:F1824),"")</f>
        <v/>
      </c>
      <c r="G1824" s="3">
        <f>IF(ISNUMBER(AVERAGE('20250815_ETF_Options_Exhibits'!G1820:G1824)),AVERAGE('20250815_ETF_Options_Exhibits'!G1820:G1824),"")</f>
        <v/>
      </c>
      <c r="H1824" s="3">
        <f>IF(ISNUMBER(AVERAGE('20250815_ETF_Options_Exhibits'!H1820:H1824)),AVERAGE('20250815_ETF_Options_Exhibits'!H1820:H1824),"")</f>
        <v/>
      </c>
      <c r="I1824" s="3">
        <f>IF(ISNUMBER(AVERAGE('20250815_ETF_Options_Exhibits'!I1820:I1824)),AVERAGE('20250815_ETF_Options_Exhibits'!I1820:I1824),"")</f>
        <v/>
      </c>
      <c r="J1824" s="3">
        <f>IF(ISNUMBER(AVERAGE('20250815_ETF_Options_Exhibits'!J1820:J1824)),AVERAGE('20250815_ETF_Options_Exhibits'!J1820:J1824),"")</f>
        <v/>
      </c>
      <c r="K1824" s="3">
        <f>IF(ISNUMBER(AVERAGE('20250815_ETF_Options_Exhibits'!K1820:K1824)),AVERAGE('20250815_ETF_Options_Exhibits'!K1820:K1824),"")</f>
        <v/>
      </c>
      <c r="L1824" s="3">
        <f>IF(ISNUMBER(AVERAGE('20250815_ETF_Options_Exhibits'!L1820:L1824)),AVERAGE('20250815_ETF_Options_Exhibits'!L1820:L1824),"")</f>
        <v/>
      </c>
      <c r="M1824" s="3">
        <f>IF(ISNUMBER(AVERAGE('20250815_ETF_Options_Exhibits'!M1820:M1824)),AVERAGE('20250815_ETF_Options_Exhibits'!M1820:M1824),"")</f>
        <v/>
      </c>
      <c r="N1824" s="3">
        <f>IF(ISNUMBER(AVERAGE('20250815_ETF_Options_Exhibits'!N1820:N1824)),AVERAGE('20250815_ETF_Options_Exhibits'!N1820:N1824),"")</f>
        <v/>
      </c>
      <c r="O1824" s="3">
        <f>IF(ISNUMBER(AVERAGE('20250815_ETF_Options_Exhibits'!O1820:O1824)),AVERAGE('20250815_ETF_Options_Exhibits'!O1820:O1824),"")</f>
        <v/>
      </c>
      <c r="P1824" s="3">
        <f>IF(ISNUMBER(AVERAGE('20250815_ETF_Options_Exhibits'!P1820:P1824)),AVERAGE('20250815_ETF_Options_Exhibits'!P1820:P1824),"")</f>
        <v/>
      </c>
      <c r="Q1824" s="3">
        <f>IF(ISNUMBER(AVERAGE('20250815_ETF_Options_Exhibits'!Q1820:Q1824)),AVERAGE('20250815_ETF_Options_Exhibits'!Q1820:Q1824),"")</f>
        <v/>
      </c>
      <c r="R1824" s="3">
        <f>IF(ISNUMBER(AVERAGE('20250815_ETF_Options_Exhibits'!R1820:R1824)),AVERAGE('20250815_ETF_Options_Exhibits'!R1820:R1824),"")</f>
        <v/>
      </c>
      <c r="S1824" s="3">
        <f>IF(ISNUMBER(AVERAGE('20250815_ETF_Options_Exhibits'!S1820:S1824)),AVERAGE('20250815_ETF_Options_Exhibits'!S1820:S1824),"")</f>
        <v/>
      </c>
      <c r="T1824" s="3">
        <f>IF(ISNUMBER(AVERAGE('20250815_ETF_Options_Exhibits'!T1820:T1824)),AVERAGE('20250815_ETF_Options_Exhibits'!T1820:T1824),"")</f>
        <v/>
      </c>
      <c r="U1824" s="3">
        <f>IF(ISNUMBER(AVERAGE('20250815_ETF_Options_Exhibits'!U1820:U1824)),AVERAGE('20250815_ETF_Options_Exhibits'!U1820:U1824),"")</f>
        <v/>
      </c>
      <c r="V1824" s="3">
        <f>IF(ISNUMBER(AVERAGE('20250815_ETF_Options_Exhibits'!V1820:V1824)),AVERAGE('20250815_ETF_Options_Exhibits'!V1820:V1824),"")</f>
        <v/>
      </c>
      <c r="W1824" s="3">
        <f>IF(ISNUMBER(AVERAGE('20250815_ETF_Options_Exhibits'!W1820:W1824)),AVERAGE('20250815_ETF_Options_Exhibits'!W1820:W1824),"")</f>
        <v/>
      </c>
      <c r="X1824" s="3">
        <f>IF(ISNUMBER(AVERAGE('20250815_ETF_Options_Exhibits'!X1820:X1824)),AVERAGE('20250815_ETF_Options_Exhibits'!X1820:X1824),"")</f>
        <v/>
      </c>
      <c r="Y1824" s="3">
        <f>IF(ISNUMBER(AVERAGE('20250815_ETF_Options_Exhibits'!Y1820:Y1824)),AVERAGE('20250815_ETF_Options_Exhibits'!Y1820:Y1824),"")</f>
        <v/>
      </c>
      <c r="Z1824" s="3">
        <f>IF(ISNUMBER(AVERAGE('20250815_ETF_Options_Exhibits'!Z1820:Z1824)),AVERAGE('20250815_ETF_Options_Exhibits'!Z1820:Z1824),"")</f>
        <v/>
      </c>
      <c r="AA1824" s="3">
        <f>IF(ISNUMBER(AVERAGE('20250815_ETF_Options_Exhibits'!AA1820:AA1824)),AVERAGE('20250815_ETF_Options_Exhibits'!AA1820:AA1824),"")</f>
        <v/>
      </c>
    </row>
    <row r="1825">
      <c r="A1825" s="1" t="n">
        <v>44649</v>
      </c>
      <c r="B1825" s="3">
        <f>IF(ISNUMBER(AVERAGE('20250815_ETF_Options_Exhibits'!B1821:B1825)),AVERAGE('20250815_ETF_Options_Exhibits'!B1821:B1825),"")</f>
        <v/>
      </c>
      <c r="C1825" s="3">
        <f>IF(ISNUMBER(AVERAGE('20250815_ETF_Options_Exhibits'!C1821:C1825)),AVERAGE('20250815_ETF_Options_Exhibits'!C1821:C1825),"")</f>
        <v/>
      </c>
      <c r="D1825" s="3">
        <f>IF(ISNUMBER(AVERAGE('20250815_ETF_Options_Exhibits'!D1821:D1825)),AVERAGE('20250815_ETF_Options_Exhibits'!D1821:D1825),"")</f>
        <v/>
      </c>
      <c r="E1825" s="3">
        <f>IF(ISNUMBER(AVERAGE('20250815_ETF_Options_Exhibits'!E1821:E1825)),AVERAGE('20250815_ETF_Options_Exhibits'!E1821:E1825),"")</f>
        <v/>
      </c>
      <c r="F1825" s="3">
        <f>IF(ISNUMBER(AVERAGE('20250815_ETF_Options_Exhibits'!F1821:F1825)),AVERAGE('20250815_ETF_Options_Exhibits'!F1821:F1825),"")</f>
        <v/>
      </c>
      <c r="G1825" s="3">
        <f>IF(ISNUMBER(AVERAGE('20250815_ETF_Options_Exhibits'!G1821:G1825)),AVERAGE('20250815_ETF_Options_Exhibits'!G1821:G1825),"")</f>
        <v/>
      </c>
      <c r="H1825" s="3">
        <f>IF(ISNUMBER(AVERAGE('20250815_ETF_Options_Exhibits'!H1821:H1825)),AVERAGE('20250815_ETF_Options_Exhibits'!H1821:H1825),"")</f>
        <v/>
      </c>
      <c r="I1825" s="3">
        <f>IF(ISNUMBER(AVERAGE('20250815_ETF_Options_Exhibits'!I1821:I1825)),AVERAGE('20250815_ETF_Options_Exhibits'!I1821:I1825),"")</f>
        <v/>
      </c>
      <c r="J1825" s="3">
        <f>IF(ISNUMBER(AVERAGE('20250815_ETF_Options_Exhibits'!J1821:J1825)),AVERAGE('20250815_ETF_Options_Exhibits'!J1821:J1825),"")</f>
        <v/>
      </c>
      <c r="K1825" s="3">
        <f>IF(ISNUMBER(AVERAGE('20250815_ETF_Options_Exhibits'!K1821:K1825)),AVERAGE('20250815_ETF_Options_Exhibits'!K1821:K1825),"")</f>
        <v/>
      </c>
      <c r="L1825" s="3">
        <f>IF(ISNUMBER(AVERAGE('20250815_ETF_Options_Exhibits'!L1821:L1825)),AVERAGE('20250815_ETF_Options_Exhibits'!L1821:L1825),"")</f>
        <v/>
      </c>
      <c r="M1825" s="3">
        <f>IF(ISNUMBER(AVERAGE('20250815_ETF_Options_Exhibits'!M1821:M1825)),AVERAGE('20250815_ETF_Options_Exhibits'!M1821:M1825),"")</f>
        <v/>
      </c>
      <c r="N1825" s="3">
        <f>IF(ISNUMBER(AVERAGE('20250815_ETF_Options_Exhibits'!N1821:N1825)),AVERAGE('20250815_ETF_Options_Exhibits'!N1821:N1825),"")</f>
        <v/>
      </c>
      <c r="O1825" s="3">
        <f>IF(ISNUMBER(AVERAGE('20250815_ETF_Options_Exhibits'!O1821:O1825)),AVERAGE('20250815_ETF_Options_Exhibits'!O1821:O1825),"")</f>
        <v/>
      </c>
      <c r="P1825" s="3">
        <f>IF(ISNUMBER(AVERAGE('20250815_ETF_Options_Exhibits'!P1821:P1825)),AVERAGE('20250815_ETF_Options_Exhibits'!P1821:P1825),"")</f>
        <v/>
      </c>
      <c r="Q1825" s="3">
        <f>IF(ISNUMBER(AVERAGE('20250815_ETF_Options_Exhibits'!Q1821:Q1825)),AVERAGE('20250815_ETF_Options_Exhibits'!Q1821:Q1825),"")</f>
        <v/>
      </c>
      <c r="R1825" s="3">
        <f>IF(ISNUMBER(AVERAGE('20250815_ETF_Options_Exhibits'!R1821:R1825)),AVERAGE('20250815_ETF_Options_Exhibits'!R1821:R1825),"")</f>
        <v/>
      </c>
      <c r="S1825" s="3">
        <f>IF(ISNUMBER(AVERAGE('20250815_ETF_Options_Exhibits'!S1821:S1825)),AVERAGE('20250815_ETF_Options_Exhibits'!S1821:S1825),"")</f>
        <v/>
      </c>
      <c r="T1825" s="3">
        <f>IF(ISNUMBER(AVERAGE('20250815_ETF_Options_Exhibits'!T1821:T1825)),AVERAGE('20250815_ETF_Options_Exhibits'!T1821:T1825),"")</f>
        <v/>
      </c>
      <c r="U1825" s="3">
        <f>IF(ISNUMBER(AVERAGE('20250815_ETF_Options_Exhibits'!U1821:U1825)),AVERAGE('20250815_ETF_Options_Exhibits'!U1821:U1825),"")</f>
        <v/>
      </c>
      <c r="V1825" s="3">
        <f>IF(ISNUMBER(AVERAGE('20250815_ETF_Options_Exhibits'!V1821:V1825)),AVERAGE('20250815_ETF_Options_Exhibits'!V1821:V1825),"")</f>
        <v/>
      </c>
      <c r="W1825" s="3">
        <f>IF(ISNUMBER(AVERAGE('20250815_ETF_Options_Exhibits'!W1821:W1825)),AVERAGE('20250815_ETF_Options_Exhibits'!W1821:W1825),"")</f>
        <v/>
      </c>
      <c r="X1825" s="3">
        <f>IF(ISNUMBER(AVERAGE('20250815_ETF_Options_Exhibits'!X1821:X1825)),AVERAGE('20250815_ETF_Options_Exhibits'!X1821:X1825),"")</f>
        <v/>
      </c>
      <c r="Y1825" s="3">
        <f>IF(ISNUMBER(AVERAGE('20250815_ETF_Options_Exhibits'!Y1821:Y1825)),AVERAGE('20250815_ETF_Options_Exhibits'!Y1821:Y1825),"")</f>
        <v/>
      </c>
      <c r="Z1825" s="3">
        <f>IF(ISNUMBER(AVERAGE('20250815_ETF_Options_Exhibits'!Z1821:Z1825)),AVERAGE('20250815_ETF_Options_Exhibits'!Z1821:Z1825),"")</f>
        <v/>
      </c>
      <c r="AA1825" s="3">
        <f>IF(ISNUMBER(AVERAGE('20250815_ETF_Options_Exhibits'!AA1821:AA1825)),AVERAGE('20250815_ETF_Options_Exhibits'!AA1821:AA1825),"")</f>
        <v/>
      </c>
    </row>
    <row r="1826">
      <c r="A1826" s="1" t="n">
        <v>44650</v>
      </c>
      <c r="B1826" s="3">
        <f>IF(ISNUMBER(AVERAGE('20250815_ETF_Options_Exhibits'!B1822:B1826)),AVERAGE('20250815_ETF_Options_Exhibits'!B1822:B1826),"")</f>
        <v/>
      </c>
      <c r="C1826" s="3">
        <f>IF(ISNUMBER(AVERAGE('20250815_ETF_Options_Exhibits'!C1822:C1826)),AVERAGE('20250815_ETF_Options_Exhibits'!C1822:C1826),"")</f>
        <v/>
      </c>
      <c r="D1826" s="3">
        <f>IF(ISNUMBER(AVERAGE('20250815_ETF_Options_Exhibits'!D1822:D1826)),AVERAGE('20250815_ETF_Options_Exhibits'!D1822:D1826),"")</f>
        <v/>
      </c>
      <c r="E1826" s="3">
        <f>IF(ISNUMBER(AVERAGE('20250815_ETF_Options_Exhibits'!E1822:E1826)),AVERAGE('20250815_ETF_Options_Exhibits'!E1822:E1826),"")</f>
        <v/>
      </c>
      <c r="F1826" s="3">
        <f>IF(ISNUMBER(AVERAGE('20250815_ETF_Options_Exhibits'!F1822:F1826)),AVERAGE('20250815_ETF_Options_Exhibits'!F1822:F1826),"")</f>
        <v/>
      </c>
      <c r="G1826" s="3">
        <f>IF(ISNUMBER(AVERAGE('20250815_ETF_Options_Exhibits'!G1822:G1826)),AVERAGE('20250815_ETF_Options_Exhibits'!G1822:G1826),"")</f>
        <v/>
      </c>
      <c r="H1826" s="3">
        <f>IF(ISNUMBER(AVERAGE('20250815_ETF_Options_Exhibits'!H1822:H1826)),AVERAGE('20250815_ETF_Options_Exhibits'!H1822:H1826),"")</f>
        <v/>
      </c>
      <c r="I1826" s="3">
        <f>IF(ISNUMBER(AVERAGE('20250815_ETF_Options_Exhibits'!I1822:I1826)),AVERAGE('20250815_ETF_Options_Exhibits'!I1822:I1826),"")</f>
        <v/>
      </c>
      <c r="J1826" s="3">
        <f>IF(ISNUMBER(AVERAGE('20250815_ETF_Options_Exhibits'!J1822:J1826)),AVERAGE('20250815_ETF_Options_Exhibits'!J1822:J1826),"")</f>
        <v/>
      </c>
      <c r="K1826" s="3">
        <f>IF(ISNUMBER(AVERAGE('20250815_ETF_Options_Exhibits'!K1822:K1826)),AVERAGE('20250815_ETF_Options_Exhibits'!K1822:K1826),"")</f>
        <v/>
      </c>
      <c r="L1826" s="3">
        <f>IF(ISNUMBER(AVERAGE('20250815_ETF_Options_Exhibits'!L1822:L1826)),AVERAGE('20250815_ETF_Options_Exhibits'!L1822:L1826),"")</f>
        <v/>
      </c>
      <c r="M1826" s="3">
        <f>IF(ISNUMBER(AVERAGE('20250815_ETF_Options_Exhibits'!M1822:M1826)),AVERAGE('20250815_ETF_Options_Exhibits'!M1822:M1826),"")</f>
        <v/>
      </c>
      <c r="N1826" s="3">
        <f>IF(ISNUMBER(AVERAGE('20250815_ETF_Options_Exhibits'!N1822:N1826)),AVERAGE('20250815_ETF_Options_Exhibits'!N1822:N1826),"")</f>
        <v/>
      </c>
      <c r="O1826" s="3">
        <f>IF(ISNUMBER(AVERAGE('20250815_ETF_Options_Exhibits'!O1822:O1826)),AVERAGE('20250815_ETF_Options_Exhibits'!O1822:O1826),"")</f>
        <v/>
      </c>
      <c r="P1826" s="3">
        <f>IF(ISNUMBER(AVERAGE('20250815_ETF_Options_Exhibits'!P1822:P1826)),AVERAGE('20250815_ETF_Options_Exhibits'!P1822:P1826),"")</f>
        <v/>
      </c>
      <c r="Q1826" s="3">
        <f>IF(ISNUMBER(AVERAGE('20250815_ETF_Options_Exhibits'!Q1822:Q1826)),AVERAGE('20250815_ETF_Options_Exhibits'!Q1822:Q1826),"")</f>
        <v/>
      </c>
      <c r="R1826" s="3">
        <f>IF(ISNUMBER(AVERAGE('20250815_ETF_Options_Exhibits'!R1822:R1826)),AVERAGE('20250815_ETF_Options_Exhibits'!R1822:R1826),"")</f>
        <v/>
      </c>
      <c r="S1826" s="3">
        <f>IF(ISNUMBER(AVERAGE('20250815_ETF_Options_Exhibits'!S1822:S1826)),AVERAGE('20250815_ETF_Options_Exhibits'!S1822:S1826),"")</f>
        <v/>
      </c>
      <c r="T1826" s="3">
        <f>IF(ISNUMBER(AVERAGE('20250815_ETF_Options_Exhibits'!T1822:T1826)),AVERAGE('20250815_ETF_Options_Exhibits'!T1822:T1826),"")</f>
        <v/>
      </c>
      <c r="U1826" s="3">
        <f>IF(ISNUMBER(AVERAGE('20250815_ETF_Options_Exhibits'!U1822:U1826)),AVERAGE('20250815_ETF_Options_Exhibits'!U1822:U1826),"")</f>
        <v/>
      </c>
      <c r="V1826" s="3">
        <f>IF(ISNUMBER(AVERAGE('20250815_ETF_Options_Exhibits'!V1822:V1826)),AVERAGE('20250815_ETF_Options_Exhibits'!V1822:V1826),"")</f>
        <v/>
      </c>
      <c r="W1826" s="3">
        <f>IF(ISNUMBER(AVERAGE('20250815_ETF_Options_Exhibits'!W1822:W1826)),AVERAGE('20250815_ETF_Options_Exhibits'!W1822:W1826),"")</f>
        <v/>
      </c>
      <c r="X1826" s="3">
        <f>IF(ISNUMBER(AVERAGE('20250815_ETF_Options_Exhibits'!X1822:X1826)),AVERAGE('20250815_ETF_Options_Exhibits'!X1822:X1826),"")</f>
        <v/>
      </c>
      <c r="Y1826" s="3">
        <f>IF(ISNUMBER(AVERAGE('20250815_ETF_Options_Exhibits'!Y1822:Y1826)),AVERAGE('20250815_ETF_Options_Exhibits'!Y1822:Y1826),"")</f>
        <v/>
      </c>
      <c r="Z1826" s="3">
        <f>IF(ISNUMBER(AVERAGE('20250815_ETF_Options_Exhibits'!Z1822:Z1826)),AVERAGE('20250815_ETF_Options_Exhibits'!Z1822:Z1826),"")</f>
        <v/>
      </c>
      <c r="AA1826" s="3">
        <f>IF(ISNUMBER(AVERAGE('20250815_ETF_Options_Exhibits'!AA1822:AA1826)),AVERAGE('20250815_ETF_Options_Exhibits'!AA1822:AA1826),"")</f>
        <v/>
      </c>
    </row>
    <row r="1827">
      <c r="A1827" s="1" t="n">
        <v>44651</v>
      </c>
      <c r="B1827" s="3">
        <f>IF(ISNUMBER(AVERAGE('20250815_ETF_Options_Exhibits'!B1823:B1827)),AVERAGE('20250815_ETF_Options_Exhibits'!B1823:B1827),"")</f>
        <v/>
      </c>
      <c r="C1827" s="3">
        <f>IF(ISNUMBER(AVERAGE('20250815_ETF_Options_Exhibits'!C1823:C1827)),AVERAGE('20250815_ETF_Options_Exhibits'!C1823:C1827),"")</f>
        <v/>
      </c>
      <c r="D1827" s="3">
        <f>IF(ISNUMBER(AVERAGE('20250815_ETF_Options_Exhibits'!D1823:D1827)),AVERAGE('20250815_ETF_Options_Exhibits'!D1823:D1827),"")</f>
        <v/>
      </c>
      <c r="E1827" s="3">
        <f>IF(ISNUMBER(AVERAGE('20250815_ETF_Options_Exhibits'!E1823:E1827)),AVERAGE('20250815_ETF_Options_Exhibits'!E1823:E1827),"")</f>
        <v/>
      </c>
      <c r="F1827" s="3">
        <f>IF(ISNUMBER(AVERAGE('20250815_ETF_Options_Exhibits'!F1823:F1827)),AVERAGE('20250815_ETF_Options_Exhibits'!F1823:F1827),"")</f>
        <v/>
      </c>
      <c r="G1827" s="3">
        <f>IF(ISNUMBER(AVERAGE('20250815_ETF_Options_Exhibits'!G1823:G1827)),AVERAGE('20250815_ETF_Options_Exhibits'!G1823:G1827),"")</f>
        <v/>
      </c>
      <c r="H1827" s="3">
        <f>IF(ISNUMBER(AVERAGE('20250815_ETF_Options_Exhibits'!H1823:H1827)),AVERAGE('20250815_ETF_Options_Exhibits'!H1823:H1827),"")</f>
        <v/>
      </c>
      <c r="I1827" s="3">
        <f>IF(ISNUMBER(AVERAGE('20250815_ETF_Options_Exhibits'!I1823:I1827)),AVERAGE('20250815_ETF_Options_Exhibits'!I1823:I1827),"")</f>
        <v/>
      </c>
      <c r="J1827" s="3">
        <f>IF(ISNUMBER(AVERAGE('20250815_ETF_Options_Exhibits'!J1823:J1827)),AVERAGE('20250815_ETF_Options_Exhibits'!J1823:J1827),"")</f>
        <v/>
      </c>
      <c r="K1827" s="3">
        <f>IF(ISNUMBER(AVERAGE('20250815_ETF_Options_Exhibits'!K1823:K1827)),AVERAGE('20250815_ETF_Options_Exhibits'!K1823:K1827),"")</f>
        <v/>
      </c>
      <c r="L1827" s="3">
        <f>IF(ISNUMBER(AVERAGE('20250815_ETF_Options_Exhibits'!L1823:L1827)),AVERAGE('20250815_ETF_Options_Exhibits'!L1823:L1827),"")</f>
        <v/>
      </c>
      <c r="M1827" s="3">
        <f>IF(ISNUMBER(AVERAGE('20250815_ETF_Options_Exhibits'!M1823:M1827)),AVERAGE('20250815_ETF_Options_Exhibits'!M1823:M1827),"")</f>
        <v/>
      </c>
      <c r="N1827" s="3">
        <f>IF(ISNUMBER(AVERAGE('20250815_ETF_Options_Exhibits'!N1823:N1827)),AVERAGE('20250815_ETF_Options_Exhibits'!N1823:N1827),"")</f>
        <v/>
      </c>
      <c r="O1827" s="3">
        <f>IF(ISNUMBER(AVERAGE('20250815_ETF_Options_Exhibits'!O1823:O1827)),AVERAGE('20250815_ETF_Options_Exhibits'!O1823:O1827),"")</f>
        <v/>
      </c>
      <c r="P1827" s="3">
        <f>IF(ISNUMBER(AVERAGE('20250815_ETF_Options_Exhibits'!P1823:P1827)),AVERAGE('20250815_ETF_Options_Exhibits'!P1823:P1827),"")</f>
        <v/>
      </c>
      <c r="Q1827" s="3">
        <f>IF(ISNUMBER(AVERAGE('20250815_ETF_Options_Exhibits'!Q1823:Q1827)),AVERAGE('20250815_ETF_Options_Exhibits'!Q1823:Q1827),"")</f>
        <v/>
      </c>
      <c r="R1827" s="3">
        <f>IF(ISNUMBER(AVERAGE('20250815_ETF_Options_Exhibits'!R1823:R1827)),AVERAGE('20250815_ETF_Options_Exhibits'!R1823:R1827),"")</f>
        <v/>
      </c>
      <c r="S1827" s="3">
        <f>IF(ISNUMBER(AVERAGE('20250815_ETF_Options_Exhibits'!S1823:S1827)),AVERAGE('20250815_ETF_Options_Exhibits'!S1823:S1827),"")</f>
        <v/>
      </c>
      <c r="T1827" s="3">
        <f>IF(ISNUMBER(AVERAGE('20250815_ETF_Options_Exhibits'!T1823:T1827)),AVERAGE('20250815_ETF_Options_Exhibits'!T1823:T1827),"")</f>
        <v/>
      </c>
      <c r="U1827" s="3">
        <f>IF(ISNUMBER(AVERAGE('20250815_ETF_Options_Exhibits'!U1823:U1827)),AVERAGE('20250815_ETF_Options_Exhibits'!U1823:U1827),"")</f>
        <v/>
      </c>
      <c r="V1827" s="3">
        <f>IF(ISNUMBER(AVERAGE('20250815_ETF_Options_Exhibits'!V1823:V1827)),AVERAGE('20250815_ETF_Options_Exhibits'!V1823:V1827),"")</f>
        <v/>
      </c>
      <c r="W1827" s="3">
        <f>IF(ISNUMBER(AVERAGE('20250815_ETF_Options_Exhibits'!W1823:W1827)),AVERAGE('20250815_ETF_Options_Exhibits'!W1823:W1827),"")</f>
        <v/>
      </c>
      <c r="X1827" s="3">
        <f>IF(ISNUMBER(AVERAGE('20250815_ETF_Options_Exhibits'!X1823:X1827)),AVERAGE('20250815_ETF_Options_Exhibits'!X1823:X1827),"")</f>
        <v/>
      </c>
      <c r="Y1827" s="3">
        <f>IF(ISNUMBER(AVERAGE('20250815_ETF_Options_Exhibits'!Y1823:Y1827)),AVERAGE('20250815_ETF_Options_Exhibits'!Y1823:Y1827),"")</f>
        <v/>
      </c>
      <c r="Z1827" s="3">
        <f>IF(ISNUMBER(AVERAGE('20250815_ETF_Options_Exhibits'!Z1823:Z1827)),AVERAGE('20250815_ETF_Options_Exhibits'!Z1823:Z1827),"")</f>
        <v/>
      </c>
      <c r="AA1827" s="3">
        <f>IF(ISNUMBER(AVERAGE('20250815_ETF_Options_Exhibits'!AA1823:AA1827)),AVERAGE('20250815_ETF_Options_Exhibits'!AA1823:AA1827),"")</f>
        <v/>
      </c>
    </row>
    <row r="1828">
      <c r="A1828" s="1" t="n">
        <v>44652</v>
      </c>
      <c r="B1828" s="3">
        <f>IF(ISNUMBER(AVERAGE('20250815_ETF_Options_Exhibits'!B1824:B1828)),AVERAGE('20250815_ETF_Options_Exhibits'!B1824:B1828),"")</f>
        <v/>
      </c>
      <c r="C1828" s="3">
        <f>IF(ISNUMBER(AVERAGE('20250815_ETF_Options_Exhibits'!C1824:C1828)),AVERAGE('20250815_ETF_Options_Exhibits'!C1824:C1828),"")</f>
        <v/>
      </c>
      <c r="D1828" s="3">
        <f>IF(ISNUMBER(AVERAGE('20250815_ETF_Options_Exhibits'!D1824:D1828)),AVERAGE('20250815_ETF_Options_Exhibits'!D1824:D1828),"")</f>
        <v/>
      </c>
      <c r="E1828" s="3">
        <f>IF(ISNUMBER(AVERAGE('20250815_ETF_Options_Exhibits'!E1824:E1828)),AVERAGE('20250815_ETF_Options_Exhibits'!E1824:E1828),"")</f>
        <v/>
      </c>
      <c r="F1828" s="3">
        <f>IF(ISNUMBER(AVERAGE('20250815_ETF_Options_Exhibits'!F1824:F1828)),AVERAGE('20250815_ETF_Options_Exhibits'!F1824:F1828),"")</f>
        <v/>
      </c>
      <c r="G1828" s="3">
        <f>IF(ISNUMBER(AVERAGE('20250815_ETF_Options_Exhibits'!G1824:G1828)),AVERAGE('20250815_ETF_Options_Exhibits'!G1824:G1828),"")</f>
        <v/>
      </c>
      <c r="H1828" s="3">
        <f>IF(ISNUMBER(AVERAGE('20250815_ETF_Options_Exhibits'!H1824:H1828)),AVERAGE('20250815_ETF_Options_Exhibits'!H1824:H1828),"")</f>
        <v/>
      </c>
      <c r="I1828" s="3">
        <f>IF(ISNUMBER(AVERAGE('20250815_ETF_Options_Exhibits'!I1824:I1828)),AVERAGE('20250815_ETF_Options_Exhibits'!I1824:I1828),"")</f>
        <v/>
      </c>
      <c r="J1828" s="3">
        <f>IF(ISNUMBER(AVERAGE('20250815_ETF_Options_Exhibits'!J1824:J1828)),AVERAGE('20250815_ETF_Options_Exhibits'!J1824:J1828),"")</f>
        <v/>
      </c>
      <c r="K1828" s="3">
        <f>IF(ISNUMBER(AVERAGE('20250815_ETF_Options_Exhibits'!K1824:K1828)),AVERAGE('20250815_ETF_Options_Exhibits'!K1824:K1828),"")</f>
        <v/>
      </c>
      <c r="L1828" s="3">
        <f>IF(ISNUMBER(AVERAGE('20250815_ETF_Options_Exhibits'!L1824:L1828)),AVERAGE('20250815_ETF_Options_Exhibits'!L1824:L1828),"")</f>
        <v/>
      </c>
      <c r="M1828" s="3">
        <f>IF(ISNUMBER(AVERAGE('20250815_ETF_Options_Exhibits'!M1824:M1828)),AVERAGE('20250815_ETF_Options_Exhibits'!M1824:M1828),"")</f>
        <v/>
      </c>
      <c r="N1828" s="3">
        <f>IF(ISNUMBER(AVERAGE('20250815_ETF_Options_Exhibits'!N1824:N1828)),AVERAGE('20250815_ETF_Options_Exhibits'!N1824:N1828),"")</f>
        <v/>
      </c>
      <c r="O1828" s="3">
        <f>IF(ISNUMBER(AVERAGE('20250815_ETF_Options_Exhibits'!O1824:O1828)),AVERAGE('20250815_ETF_Options_Exhibits'!O1824:O1828),"")</f>
        <v/>
      </c>
      <c r="P1828" s="3">
        <f>IF(ISNUMBER(AVERAGE('20250815_ETF_Options_Exhibits'!P1824:P1828)),AVERAGE('20250815_ETF_Options_Exhibits'!P1824:P1828),"")</f>
        <v/>
      </c>
      <c r="Q1828" s="3">
        <f>IF(ISNUMBER(AVERAGE('20250815_ETF_Options_Exhibits'!Q1824:Q1828)),AVERAGE('20250815_ETF_Options_Exhibits'!Q1824:Q1828),"")</f>
        <v/>
      </c>
      <c r="R1828" s="3">
        <f>IF(ISNUMBER(AVERAGE('20250815_ETF_Options_Exhibits'!R1824:R1828)),AVERAGE('20250815_ETF_Options_Exhibits'!R1824:R1828),"")</f>
        <v/>
      </c>
      <c r="S1828" s="3">
        <f>IF(ISNUMBER(AVERAGE('20250815_ETF_Options_Exhibits'!S1824:S1828)),AVERAGE('20250815_ETF_Options_Exhibits'!S1824:S1828),"")</f>
        <v/>
      </c>
      <c r="T1828" s="3">
        <f>IF(ISNUMBER(AVERAGE('20250815_ETF_Options_Exhibits'!T1824:T1828)),AVERAGE('20250815_ETF_Options_Exhibits'!T1824:T1828),"")</f>
        <v/>
      </c>
      <c r="U1828" s="3">
        <f>IF(ISNUMBER(AVERAGE('20250815_ETF_Options_Exhibits'!U1824:U1828)),AVERAGE('20250815_ETF_Options_Exhibits'!U1824:U1828),"")</f>
        <v/>
      </c>
      <c r="V1828" s="3">
        <f>IF(ISNUMBER(AVERAGE('20250815_ETF_Options_Exhibits'!V1824:V1828)),AVERAGE('20250815_ETF_Options_Exhibits'!V1824:V1828),"")</f>
        <v/>
      </c>
      <c r="W1828" s="3">
        <f>IF(ISNUMBER(AVERAGE('20250815_ETF_Options_Exhibits'!W1824:W1828)),AVERAGE('20250815_ETF_Options_Exhibits'!W1824:W1828),"")</f>
        <v/>
      </c>
      <c r="X1828" s="3">
        <f>IF(ISNUMBER(AVERAGE('20250815_ETF_Options_Exhibits'!X1824:X1828)),AVERAGE('20250815_ETF_Options_Exhibits'!X1824:X1828),"")</f>
        <v/>
      </c>
      <c r="Y1828" s="3">
        <f>IF(ISNUMBER(AVERAGE('20250815_ETF_Options_Exhibits'!Y1824:Y1828)),AVERAGE('20250815_ETF_Options_Exhibits'!Y1824:Y1828),"")</f>
        <v/>
      </c>
      <c r="Z1828" s="3">
        <f>IF(ISNUMBER(AVERAGE('20250815_ETF_Options_Exhibits'!Z1824:Z1828)),AVERAGE('20250815_ETF_Options_Exhibits'!Z1824:Z1828),"")</f>
        <v/>
      </c>
      <c r="AA1828" s="3">
        <f>IF(ISNUMBER(AVERAGE('20250815_ETF_Options_Exhibits'!AA1824:AA1828)),AVERAGE('20250815_ETF_Options_Exhibits'!AA1824:AA1828),"")</f>
        <v/>
      </c>
    </row>
    <row r="1829">
      <c r="A1829" s="1" t="n">
        <v>44655</v>
      </c>
      <c r="B1829" s="3">
        <f>IF(ISNUMBER(AVERAGE('20250815_ETF_Options_Exhibits'!B1825:B1829)),AVERAGE('20250815_ETF_Options_Exhibits'!B1825:B1829),"")</f>
        <v/>
      </c>
      <c r="C1829" s="3">
        <f>IF(ISNUMBER(AVERAGE('20250815_ETF_Options_Exhibits'!C1825:C1829)),AVERAGE('20250815_ETF_Options_Exhibits'!C1825:C1829),"")</f>
        <v/>
      </c>
      <c r="D1829" s="3">
        <f>IF(ISNUMBER(AVERAGE('20250815_ETF_Options_Exhibits'!D1825:D1829)),AVERAGE('20250815_ETF_Options_Exhibits'!D1825:D1829),"")</f>
        <v/>
      </c>
      <c r="E1829" s="3">
        <f>IF(ISNUMBER(AVERAGE('20250815_ETF_Options_Exhibits'!E1825:E1829)),AVERAGE('20250815_ETF_Options_Exhibits'!E1825:E1829),"")</f>
        <v/>
      </c>
      <c r="F1829" s="3">
        <f>IF(ISNUMBER(AVERAGE('20250815_ETF_Options_Exhibits'!F1825:F1829)),AVERAGE('20250815_ETF_Options_Exhibits'!F1825:F1829),"")</f>
        <v/>
      </c>
      <c r="G1829" s="3">
        <f>IF(ISNUMBER(AVERAGE('20250815_ETF_Options_Exhibits'!G1825:G1829)),AVERAGE('20250815_ETF_Options_Exhibits'!G1825:G1829),"")</f>
        <v/>
      </c>
      <c r="H1829" s="3">
        <f>IF(ISNUMBER(AVERAGE('20250815_ETF_Options_Exhibits'!H1825:H1829)),AVERAGE('20250815_ETF_Options_Exhibits'!H1825:H1829),"")</f>
        <v/>
      </c>
      <c r="I1829" s="3">
        <f>IF(ISNUMBER(AVERAGE('20250815_ETF_Options_Exhibits'!I1825:I1829)),AVERAGE('20250815_ETF_Options_Exhibits'!I1825:I1829),"")</f>
        <v/>
      </c>
      <c r="J1829" s="3">
        <f>IF(ISNUMBER(AVERAGE('20250815_ETF_Options_Exhibits'!J1825:J1829)),AVERAGE('20250815_ETF_Options_Exhibits'!J1825:J1829),"")</f>
        <v/>
      </c>
      <c r="K1829" s="3">
        <f>IF(ISNUMBER(AVERAGE('20250815_ETF_Options_Exhibits'!K1825:K1829)),AVERAGE('20250815_ETF_Options_Exhibits'!K1825:K1829),"")</f>
        <v/>
      </c>
      <c r="L1829" s="3">
        <f>IF(ISNUMBER(AVERAGE('20250815_ETF_Options_Exhibits'!L1825:L1829)),AVERAGE('20250815_ETF_Options_Exhibits'!L1825:L1829),"")</f>
        <v/>
      </c>
      <c r="M1829" s="3">
        <f>IF(ISNUMBER(AVERAGE('20250815_ETF_Options_Exhibits'!M1825:M1829)),AVERAGE('20250815_ETF_Options_Exhibits'!M1825:M1829),"")</f>
        <v/>
      </c>
      <c r="N1829" s="3">
        <f>IF(ISNUMBER(AVERAGE('20250815_ETF_Options_Exhibits'!N1825:N1829)),AVERAGE('20250815_ETF_Options_Exhibits'!N1825:N1829),"")</f>
        <v/>
      </c>
      <c r="O1829" s="3">
        <f>IF(ISNUMBER(AVERAGE('20250815_ETF_Options_Exhibits'!O1825:O1829)),AVERAGE('20250815_ETF_Options_Exhibits'!O1825:O1829),"")</f>
        <v/>
      </c>
      <c r="P1829" s="3">
        <f>IF(ISNUMBER(AVERAGE('20250815_ETF_Options_Exhibits'!P1825:P1829)),AVERAGE('20250815_ETF_Options_Exhibits'!P1825:P1829),"")</f>
        <v/>
      </c>
      <c r="Q1829" s="3">
        <f>IF(ISNUMBER(AVERAGE('20250815_ETF_Options_Exhibits'!Q1825:Q1829)),AVERAGE('20250815_ETF_Options_Exhibits'!Q1825:Q1829),"")</f>
        <v/>
      </c>
      <c r="R1829" s="3">
        <f>IF(ISNUMBER(AVERAGE('20250815_ETF_Options_Exhibits'!R1825:R1829)),AVERAGE('20250815_ETF_Options_Exhibits'!R1825:R1829),"")</f>
        <v/>
      </c>
      <c r="S1829" s="3">
        <f>IF(ISNUMBER(AVERAGE('20250815_ETF_Options_Exhibits'!S1825:S1829)),AVERAGE('20250815_ETF_Options_Exhibits'!S1825:S1829),"")</f>
        <v/>
      </c>
      <c r="T1829" s="3">
        <f>IF(ISNUMBER(AVERAGE('20250815_ETF_Options_Exhibits'!T1825:T1829)),AVERAGE('20250815_ETF_Options_Exhibits'!T1825:T1829),"")</f>
        <v/>
      </c>
      <c r="U1829" s="3">
        <f>IF(ISNUMBER(AVERAGE('20250815_ETF_Options_Exhibits'!U1825:U1829)),AVERAGE('20250815_ETF_Options_Exhibits'!U1825:U1829),"")</f>
        <v/>
      </c>
      <c r="V1829" s="3">
        <f>IF(ISNUMBER(AVERAGE('20250815_ETF_Options_Exhibits'!V1825:V1829)),AVERAGE('20250815_ETF_Options_Exhibits'!V1825:V1829),"")</f>
        <v/>
      </c>
      <c r="W1829" s="3">
        <f>IF(ISNUMBER(AVERAGE('20250815_ETF_Options_Exhibits'!W1825:W1829)),AVERAGE('20250815_ETF_Options_Exhibits'!W1825:W1829),"")</f>
        <v/>
      </c>
      <c r="X1829" s="3">
        <f>IF(ISNUMBER(AVERAGE('20250815_ETF_Options_Exhibits'!X1825:X1829)),AVERAGE('20250815_ETF_Options_Exhibits'!X1825:X1829),"")</f>
        <v/>
      </c>
      <c r="Y1829" s="3">
        <f>IF(ISNUMBER(AVERAGE('20250815_ETF_Options_Exhibits'!Y1825:Y1829)),AVERAGE('20250815_ETF_Options_Exhibits'!Y1825:Y1829),"")</f>
        <v/>
      </c>
      <c r="Z1829" s="3">
        <f>IF(ISNUMBER(AVERAGE('20250815_ETF_Options_Exhibits'!Z1825:Z1829)),AVERAGE('20250815_ETF_Options_Exhibits'!Z1825:Z1829),"")</f>
        <v/>
      </c>
      <c r="AA1829" s="3">
        <f>IF(ISNUMBER(AVERAGE('20250815_ETF_Options_Exhibits'!AA1825:AA1829)),AVERAGE('20250815_ETF_Options_Exhibits'!AA1825:AA1829),"")</f>
        <v/>
      </c>
    </row>
    <row r="1830">
      <c r="A1830" s="1" t="n">
        <v>44656</v>
      </c>
      <c r="B1830" s="3">
        <f>IF(ISNUMBER(AVERAGE('20250815_ETF_Options_Exhibits'!B1826:B1830)),AVERAGE('20250815_ETF_Options_Exhibits'!B1826:B1830),"")</f>
        <v/>
      </c>
      <c r="C1830" s="3">
        <f>IF(ISNUMBER(AVERAGE('20250815_ETF_Options_Exhibits'!C1826:C1830)),AVERAGE('20250815_ETF_Options_Exhibits'!C1826:C1830),"")</f>
        <v/>
      </c>
      <c r="D1830" s="3">
        <f>IF(ISNUMBER(AVERAGE('20250815_ETF_Options_Exhibits'!D1826:D1830)),AVERAGE('20250815_ETF_Options_Exhibits'!D1826:D1830),"")</f>
        <v/>
      </c>
      <c r="E1830" s="3">
        <f>IF(ISNUMBER(AVERAGE('20250815_ETF_Options_Exhibits'!E1826:E1830)),AVERAGE('20250815_ETF_Options_Exhibits'!E1826:E1830),"")</f>
        <v/>
      </c>
      <c r="F1830" s="3">
        <f>IF(ISNUMBER(AVERAGE('20250815_ETF_Options_Exhibits'!F1826:F1830)),AVERAGE('20250815_ETF_Options_Exhibits'!F1826:F1830),"")</f>
        <v/>
      </c>
      <c r="G1830" s="3">
        <f>IF(ISNUMBER(AVERAGE('20250815_ETF_Options_Exhibits'!G1826:G1830)),AVERAGE('20250815_ETF_Options_Exhibits'!G1826:G1830),"")</f>
        <v/>
      </c>
      <c r="H1830" s="3">
        <f>IF(ISNUMBER(AVERAGE('20250815_ETF_Options_Exhibits'!H1826:H1830)),AVERAGE('20250815_ETF_Options_Exhibits'!H1826:H1830),"")</f>
        <v/>
      </c>
      <c r="I1830" s="3">
        <f>IF(ISNUMBER(AVERAGE('20250815_ETF_Options_Exhibits'!I1826:I1830)),AVERAGE('20250815_ETF_Options_Exhibits'!I1826:I1830),"")</f>
        <v/>
      </c>
      <c r="J1830" s="3">
        <f>IF(ISNUMBER(AVERAGE('20250815_ETF_Options_Exhibits'!J1826:J1830)),AVERAGE('20250815_ETF_Options_Exhibits'!J1826:J1830),"")</f>
        <v/>
      </c>
      <c r="K1830" s="3">
        <f>IF(ISNUMBER(AVERAGE('20250815_ETF_Options_Exhibits'!K1826:K1830)),AVERAGE('20250815_ETF_Options_Exhibits'!K1826:K1830),"")</f>
        <v/>
      </c>
      <c r="L1830" s="3">
        <f>IF(ISNUMBER(AVERAGE('20250815_ETF_Options_Exhibits'!L1826:L1830)),AVERAGE('20250815_ETF_Options_Exhibits'!L1826:L1830),"")</f>
        <v/>
      </c>
      <c r="M1830" s="3">
        <f>IF(ISNUMBER(AVERAGE('20250815_ETF_Options_Exhibits'!M1826:M1830)),AVERAGE('20250815_ETF_Options_Exhibits'!M1826:M1830),"")</f>
        <v/>
      </c>
      <c r="N1830" s="3">
        <f>IF(ISNUMBER(AVERAGE('20250815_ETF_Options_Exhibits'!N1826:N1830)),AVERAGE('20250815_ETF_Options_Exhibits'!N1826:N1830),"")</f>
        <v/>
      </c>
      <c r="O1830" s="3">
        <f>IF(ISNUMBER(AVERAGE('20250815_ETF_Options_Exhibits'!O1826:O1830)),AVERAGE('20250815_ETF_Options_Exhibits'!O1826:O1830),"")</f>
        <v/>
      </c>
      <c r="P1830" s="3">
        <f>IF(ISNUMBER(AVERAGE('20250815_ETF_Options_Exhibits'!P1826:P1830)),AVERAGE('20250815_ETF_Options_Exhibits'!P1826:P1830),"")</f>
        <v/>
      </c>
      <c r="Q1830" s="3">
        <f>IF(ISNUMBER(AVERAGE('20250815_ETF_Options_Exhibits'!Q1826:Q1830)),AVERAGE('20250815_ETF_Options_Exhibits'!Q1826:Q1830),"")</f>
        <v/>
      </c>
      <c r="R1830" s="3">
        <f>IF(ISNUMBER(AVERAGE('20250815_ETF_Options_Exhibits'!R1826:R1830)),AVERAGE('20250815_ETF_Options_Exhibits'!R1826:R1830),"")</f>
        <v/>
      </c>
      <c r="S1830" s="3">
        <f>IF(ISNUMBER(AVERAGE('20250815_ETF_Options_Exhibits'!S1826:S1830)),AVERAGE('20250815_ETF_Options_Exhibits'!S1826:S1830),"")</f>
        <v/>
      </c>
      <c r="T1830" s="3">
        <f>IF(ISNUMBER(AVERAGE('20250815_ETF_Options_Exhibits'!T1826:T1830)),AVERAGE('20250815_ETF_Options_Exhibits'!T1826:T1830),"")</f>
        <v/>
      </c>
      <c r="U1830" s="3">
        <f>IF(ISNUMBER(AVERAGE('20250815_ETF_Options_Exhibits'!U1826:U1830)),AVERAGE('20250815_ETF_Options_Exhibits'!U1826:U1830),"")</f>
        <v/>
      </c>
      <c r="V1830" s="3">
        <f>IF(ISNUMBER(AVERAGE('20250815_ETF_Options_Exhibits'!V1826:V1830)),AVERAGE('20250815_ETF_Options_Exhibits'!V1826:V1830),"")</f>
        <v/>
      </c>
      <c r="W1830" s="3">
        <f>IF(ISNUMBER(AVERAGE('20250815_ETF_Options_Exhibits'!W1826:W1830)),AVERAGE('20250815_ETF_Options_Exhibits'!W1826:W1830),"")</f>
        <v/>
      </c>
      <c r="X1830" s="3">
        <f>IF(ISNUMBER(AVERAGE('20250815_ETF_Options_Exhibits'!X1826:X1830)),AVERAGE('20250815_ETF_Options_Exhibits'!X1826:X1830),"")</f>
        <v/>
      </c>
      <c r="Y1830" s="3">
        <f>IF(ISNUMBER(AVERAGE('20250815_ETF_Options_Exhibits'!Y1826:Y1830)),AVERAGE('20250815_ETF_Options_Exhibits'!Y1826:Y1830),"")</f>
        <v/>
      </c>
      <c r="Z1830" s="3">
        <f>IF(ISNUMBER(AVERAGE('20250815_ETF_Options_Exhibits'!Z1826:Z1830)),AVERAGE('20250815_ETF_Options_Exhibits'!Z1826:Z1830),"")</f>
        <v/>
      </c>
      <c r="AA1830" s="3">
        <f>IF(ISNUMBER(AVERAGE('20250815_ETF_Options_Exhibits'!AA1826:AA1830)),AVERAGE('20250815_ETF_Options_Exhibits'!AA1826:AA1830),"")</f>
        <v/>
      </c>
    </row>
    <row r="1831">
      <c r="A1831" s="1" t="n">
        <v>44657</v>
      </c>
      <c r="B1831" s="3">
        <f>IF(ISNUMBER(AVERAGE('20250815_ETF_Options_Exhibits'!B1827:B1831)),AVERAGE('20250815_ETF_Options_Exhibits'!B1827:B1831),"")</f>
        <v/>
      </c>
      <c r="C1831" s="3">
        <f>IF(ISNUMBER(AVERAGE('20250815_ETF_Options_Exhibits'!C1827:C1831)),AVERAGE('20250815_ETF_Options_Exhibits'!C1827:C1831),"")</f>
        <v/>
      </c>
      <c r="D1831" s="3">
        <f>IF(ISNUMBER(AVERAGE('20250815_ETF_Options_Exhibits'!D1827:D1831)),AVERAGE('20250815_ETF_Options_Exhibits'!D1827:D1831),"")</f>
        <v/>
      </c>
      <c r="E1831" s="3">
        <f>IF(ISNUMBER(AVERAGE('20250815_ETF_Options_Exhibits'!E1827:E1831)),AVERAGE('20250815_ETF_Options_Exhibits'!E1827:E1831),"")</f>
        <v/>
      </c>
      <c r="F1831" s="3">
        <f>IF(ISNUMBER(AVERAGE('20250815_ETF_Options_Exhibits'!F1827:F1831)),AVERAGE('20250815_ETF_Options_Exhibits'!F1827:F1831),"")</f>
        <v/>
      </c>
      <c r="G1831" s="3">
        <f>IF(ISNUMBER(AVERAGE('20250815_ETF_Options_Exhibits'!G1827:G1831)),AVERAGE('20250815_ETF_Options_Exhibits'!G1827:G1831),"")</f>
        <v/>
      </c>
      <c r="H1831" s="3">
        <f>IF(ISNUMBER(AVERAGE('20250815_ETF_Options_Exhibits'!H1827:H1831)),AVERAGE('20250815_ETF_Options_Exhibits'!H1827:H1831),"")</f>
        <v/>
      </c>
      <c r="I1831" s="3">
        <f>IF(ISNUMBER(AVERAGE('20250815_ETF_Options_Exhibits'!I1827:I1831)),AVERAGE('20250815_ETF_Options_Exhibits'!I1827:I1831),"")</f>
        <v/>
      </c>
      <c r="J1831" s="3">
        <f>IF(ISNUMBER(AVERAGE('20250815_ETF_Options_Exhibits'!J1827:J1831)),AVERAGE('20250815_ETF_Options_Exhibits'!J1827:J1831),"")</f>
        <v/>
      </c>
      <c r="K1831" s="3">
        <f>IF(ISNUMBER(AVERAGE('20250815_ETF_Options_Exhibits'!K1827:K1831)),AVERAGE('20250815_ETF_Options_Exhibits'!K1827:K1831),"")</f>
        <v/>
      </c>
      <c r="L1831" s="3">
        <f>IF(ISNUMBER(AVERAGE('20250815_ETF_Options_Exhibits'!L1827:L1831)),AVERAGE('20250815_ETF_Options_Exhibits'!L1827:L1831),"")</f>
        <v/>
      </c>
      <c r="M1831" s="3">
        <f>IF(ISNUMBER(AVERAGE('20250815_ETF_Options_Exhibits'!M1827:M1831)),AVERAGE('20250815_ETF_Options_Exhibits'!M1827:M1831),"")</f>
        <v/>
      </c>
      <c r="N1831" s="3">
        <f>IF(ISNUMBER(AVERAGE('20250815_ETF_Options_Exhibits'!N1827:N1831)),AVERAGE('20250815_ETF_Options_Exhibits'!N1827:N1831),"")</f>
        <v/>
      </c>
      <c r="O1831" s="3">
        <f>IF(ISNUMBER(AVERAGE('20250815_ETF_Options_Exhibits'!O1827:O1831)),AVERAGE('20250815_ETF_Options_Exhibits'!O1827:O1831),"")</f>
        <v/>
      </c>
      <c r="P1831" s="3">
        <f>IF(ISNUMBER(AVERAGE('20250815_ETF_Options_Exhibits'!P1827:P1831)),AVERAGE('20250815_ETF_Options_Exhibits'!P1827:P1831),"")</f>
        <v/>
      </c>
      <c r="Q1831" s="3">
        <f>IF(ISNUMBER(AVERAGE('20250815_ETF_Options_Exhibits'!Q1827:Q1831)),AVERAGE('20250815_ETF_Options_Exhibits'!Q1827:Q1831),"")</f>
        <v/>
      </c>
      <c r="R1831" s="3">
        <f>IF(ISNUMBER(AVERAGE('20250815_ETF_Options_Exhibits'!R1827:R1831)),AVERAGE('20250815_ETF_Options_Exhibits'!R1827:R1831),"")</f>
        <v/>
      </c>
      <c r="S1831" s="3">
        <f>IF(ISNUMBER(AVERAGE('20250815_ETF_Options_Exhibits'!S1827:S1831)),AVERAGE('20250815_ETF_Options_Exhibits'!S1827:S1831),"")</f>
        <v/>
      </c>
      <c r="T1831" s="3">
        <f>IF(ISNUMBER(AVERAGE('20250815_ETF_Options_Exhibits'!T1827:T1831)),AVERAGE('20250815_ETF_Options_Exhibits'!T1827:T1831),"")</f>
        <v/>
      </c>
      <c r="U1831" s="3">
        <f>IF(ISNUMBER(AVERAGE('20250815_ETF_Options_Exhibits'!U1827:U1831)),AVERAGE('20250815_ETF_Options_Exhibits'!U1827:U1831),"")</f>
        <v/>
      </c>
      <c r="V1831" s="3">
        <f>IF(ISNUMBER(AVERAGE('20250815_ETF_Options_Exhibits'!V1827:V1831)),AVERAGE('20250815_ETF_Options_Exhibits'!V1827:V1831),"")</f>
        <v/>
      </c>
      <c r="W1831" s="3">
        <f>IF(ISNUMBER(AVERAGE('20250815_ETF_Options_Exhibits'!W1827:W1831)),AVERAGE('20250815_ETF_Options_Exhibits'!W1827:W1831),"")</f>
        <v/>
      </c>
      <c r="X1831" s="3">
        <f>IF(ISNUMBER(AVERAGE('20250815_ETF_Options_Exhibits'!X1827:X1831)),AVERAGE('20250815_ETF_Options_Exhibits'!X1827:X1831),"")</f>
        <v/>
      </c>
      <c r="Y1831" s="3">
        <f>IF(ISNUMBER(AVERAGE('20250815_ETF_Options_Exhibits'!Y1827:Y1831)),AVERAGE('20250815_ETF_Options_Exhibits'!Y1827:Y1831),"")</f>
        <v/>
      </c>
      <c r="Z1831" s="3">
        <f>IF(ISNUMBER(AVERAGE('20250815_ETF_Options_Exhibits'!Z1827:Z1831)),AVERAGE('20250815_ETF_Options_Exhibits'!Z1827:Z1831),"")</f>
        <v/>
      </c>
      <c r="AA1831" s="3">
        <f>IF(ISNUMBER(AVERAGE('20250815_ETF_Options_Exhibits'!AA1827:AA1831)),AVERAGE('20250815_ETF_Options_Exhibits'!AA1827:AA1831),"")</f>
        <v/>
      </c>
    </row>
    <row r="1832">
      <c r="A1832" s="1" t="n">
        <v>44658</v>
      </c>
      <c r="B1832" s="3">
        <f>IF(ISNUMBER(AVERAGE('20250815_ETF_Options_Exhibits'!B1828:B1832)),AVERAGE('20250815_ETF_Options_Exhibits'!B1828:B1832),"")</f>
        <v/>
      </c>
      <c r="C1832" s="3">
        <f>IF(ISNUMBER(AVERAGE('20250815_ETF_Options_Exhibits'!C1828:C1832)),AVERAGE('20250815_ETF_Options_Exhibits'!C1828:C1832),"")</f>
        <v/>
      </c>
      <c r="D1832" s="3">
        <f>IF(ISNUMBER(AVERAGE('20250815_ETF_Options_Exhibits'!D1828:D1832)),AVERAGE('20250815_ETF_Options_Exhibits'!D1828:D1832),"")</f>
        <v/>
      </c>
      <c r="E1832" s="3">
        <f>IF(ISNUMBER(AVERAGE('20250815_ETF_Options_Exhibits'!E1828:E1832)),AVERAGE('20250815_ETF_Options_Exhibits'!E1828:E1832),"")</f>
        <v/>
      </c>
      <c r="F1832" s="3">
        <f>IF(ISNUMBER(AVERAGE('20250815_ETF_Options_Exhibits'!F1828:F1832)),AVERAGE('20250815_ETF_Options_Exhibits'!F1828:F1832),"")</f>
        <v/>
      </c>
      <c r="G1832" s="3">
        <f>IF(ISNUMBER(AVERAGE('20250815_ETF_Options_Exhibits'!G1828:G1832)),AVERAGE('20250815_ETF_Options_Exhibits'!G1828:G1832),"")</f>
        <v/>
      </c>
      <c r="H1832" s="3">
        <f>IF(ISNUMBER(AVERAGE('20250815_ETF_Options_Exhibits'!H1828:H1832)),AVERAGE('20250815_ETF_Options_Exhibits'!H1828:H1832),"")</f>
        <v/>
      </c>
      <c r="I1832" s="3">
        <f>IF(ISNUMBER(AVERAGE('20250815_ETF_Options_Exhibits'!I1828:I1832)),AVERAGE('20250815_ETF_Options_Exhibits'!I1828:I1832),"")</f>
        <v/>
      </c>
      <c r="J1832" s="3">
        <f>IF(ISNUMBER(AVERAGE('20250815_ETF_Options_Exhibits'!J1828:J1832)),AVERAGE('20250815_ETF_Options_Exhibits'!J1828:J1832),"")</f>
        <v/>
      </c>
      <c r="K1832" s="3">
        <f>IF(ISNUMBER(AVERAGE('20250815_ETF_Options_Exhibits'!K1828:K1832)),AVERAGE('20250815_ETF_Options_Exhibits'!K1828:K1832),"")</f>
        <v/>
      </c>
      <c r="L1832" s="3">
        <f>IF(ISNUMBER(AVERAGE('20250815_ETF_Options_Exhibits'!L1828:L1832)),AVERAGE('20250815_ETF_Options_Exhibits'!L1828:L1832),"")</f>
        <v/>
      </c>
      <c r="M1832" s="3">
        <f>IF(ISNUMBER(AVERAGE('20250815_ETF_Options_Exhibits'!M1828:M1832)),AVERAGE('20250815_ETF_Options_Exhibits'!M1828:M1832),"")</f>
        <v/>
      </c>
      <c r="N1832" s="3">
        <f>IF(ISNUMBER(AVERAGE('20250815_ETF_Options_Exhibits'!N1828:N1832)),AVERAGE('20250815_ETF_Options_Exhibits'!N1828:N1832),"")</f>
        <v/>
      </c>
      <c r="O1832" s="3">
        <f>IF(ISNUMBER(AVERAGE('20250815_ETF_Options_Exhibits'!O1828:O1832)),AVERAGE('20250815_ETF_Options_Exhibits'!O1828:O1832),"")</f>
        <v/>
      </c>
      <c r="P1832" s="3">
        <f>IF(ISNUMBER(AVERAGE('20250815_ETF_Options_Exhibits'!P1828:P1832)),AVERAGE('20250815_ETF_Options_Exhibits'!P1828:P1832),"")</f>
        <v/>
      </c>
      <c r="Q1832" s="3">
        <f>IF(ISNUMBER(AVERAGE('20250815_ETF_Options_Exhibits'!Q1828:Q1832)),AVERAGE('20250815_ETF_Options_Exhibits'!Q1828:Q1832),"")</f>
        <v/>
      </c>
      <c r="R1832" s="3">
        <f>IF(ISNUMBER(AVERAGE('20250815_ETF_Options_Exhibits'!R1828:R1832)),AVERAGE('20250815_ETF_Options_Exhibits'!R1828:R1832),"")</f>
        <v/>
      </c>
      <c r="S1832" s="3">
        <f>IF(ISNUMBER(AVERAGE('20250815_ETF_Options_Exhibits'!S1828:S1832)),AVERAGE('20250815_ETF_Options_Exhibits'!S1828:S1832),"")</f>
        <v/>
      </c>
      <c r="T1832" s="3">
        <f>IF(ISNUMBER(AVERAGE('20250815_ETF_Options_Exhibits'!T1828:T1832)),AVERAGE('20250815_ETF_Options_Exhibits'!T1828:T1832),"")</f>
        <v/>
      </c>
      <c r="U1832" s="3">
        <f>IF(ISNUMBER(AVERAGE('20250815_ETF_Options_Exhibits'!U1828:U1832)),AVERAGE('20250815_ETF_Options_Exhibits'!U1828:U1832),"")</f>
        <v/>
      </c>
      <c r="V1832" s="3">
        <f>IF(ISNUMBER(AVERAGE('20250815_ETF_Options_Exhibits'!V1828:V1832)),AVERAGE('20250815_ETF_Options_Exhibits'!V1828:V1832),"")</f>
        <v/>
      </c>
      <c r="W1832" s="3">
        <f>IF(ISNUMBER(AVERAGE('20250815_ETF_Options_Exhibits'!W1828:W1832)),AVERAGE('20250815_ETF_Options_Exhibits'!W1828:W1832),"")</f>
        <v/>
      </c>
      <c r="X1832" s="3">
        <f>IF(ISNUMBER(AVERAGE('20250815_ETF_Options_Exhibits'!X1828:X1832)),AVERAGE('20250815_ETF_Options_Exhibits'!X1828:X1832),"")</f>
        <v/>
      </c>
      <c r="Y1832" s="3">
        <f>IF(ISNUMBER(AVERAGE('20250815_ETF_Options_Exhibits'!Y1828:Y1832)),AVERAGE('20250815_ETF_Options_Exhibits'!Y1828:Y1832),"")</f>
        <v/>
      </c>
      <c r="Z1832" s="3">
        <f>IF(ISNUMBER(AVERAGE('20250815_ETF_Options_Exhibits'!Z1828:Z1832)),AVERAGE('20250815_ETF_Options_Exhibits'!Z1828:Z1832),"")</f>
        <v/>
      </c>
      <c r="AA1832" s="3">
        <f>IF(ISNUMBER(AVERAGE('20250815_ETF_Options_Exhibits'!AA1828:AA1832)),AVERAGE('20250815_ETF_Options_Exhibits'!AA1828:AA1832),"")</f>
        <v/>
      </c>
    </row>
    <row r="1833">
      <c r="A1833" s="1" t="n">
        <v>44659</v>
      </c>
      <c r="B1833" s="3">
        <f>IF(ISNUMBER(AVERAGE('20250815_ETF_Options_Exhibits'!B1829:B1833)),AVERAGE('20250815_ETF_Options_Exhibits'!B1829:B1833),"")</f>
        <v/>
      </c>
      <c r="C1833" s="3">
        <f>IF(ISNUMBER(AVERAGE('20250815_ETF_Options_Exhibits'!C1829:C1833)),AVERAGE('20250815_ETF_Options_Exhibits'!C1829:C1833),"")</f>
        <v/>
      </c>
      <c r="D1833" s="3">
        <f>IF(ISNUMBER(AVERAGE('20250815_ETF_Options_Exhibits'!D1829:D1833)),AVERAGE('20250815_ETF_Options_Exhibits'!D1829:D1833),"")</f>
        <v/>
      </c>
      <c r="E1833" s="3">
        <f>IF(ISNUMBER(AVERAGE('20250815_ETF_Options_Exhibits'!E1829:E1833)),AVERAGE('20250815_ETF_Options_Exhibits'!E1829:E1833),"")</f>
        <v/>
      </c>
      <c r="F1833" s="3">
        <f>IF(ISNUMBER(AVERAGE('20250815_ETF_Options_Exhibits'!F1829:F1833)),AVERAGE('20250815_ETF_Options_Exhibits'!F1829:F1833),"")</f>
        <v/>
      </c>
      <c r="G1833" s="3">
        <f>IF(ISNUMBER(AVERAGE('20250815_ETF_Options_Exhibits'!G1829:G1833)),AVERAGE('20250815_ETF_Options_Exhibits'!G1829:G1833),"")</f>
        <v/>
      </c>
      <c r="H1833" s="3">
        <f>IF(ISNUMBER(AVERAGE('20250815_ETF_Options_Exhibits'!H1829:H1833)),AVERAGE('20250815_ETF_Options_Exhibits'!H1829:H1833),"")</f>
        <v/>
      </c>
      <c r="I1833" s="3">
        <f>IF(ISNUMBER(AVERAGE('20250815_ETF_Options_Exhibits'!I1829:I1833)),AVERAGE('20250815_ETF_Options_Exhibits'!I1829:I1833),"")</f>
        <v/>
      </c>
      <c r="J1833" s="3">
        <f>IF(ISNUMBER(AVERAGE('20250815_ETF_Options_Exhibits'!J1829:J1833)),AVERAGE('20250815_ETF_Options_Exhibits'!J1829:J1833),"")</f>
        <v/>
      </c>
      <c r="K1833" s="3">
        <f>IF(ISNUMBER(AVERAGE('20250815_ETF_Options_Exhibits'!K1829:K1833)),AVERAGE('20250815_ETF_Options_Exhibits'!K1829:K1833),"")</f>
        <v/>
      </c>
      <c r="L1833" s="3">
        <f>IF(ISNUMBER(AVERAGE('20250815_ETF_Options_Exhibits'!L1829:L1833)),AVERAGE('20250815_ETF_Options_Exhibits'!L1829:L1833),"")</f>
        <v/>
      </c>
      <c r="M1833" s="3">
        <f>IF(ISNUMBER(AVERAGE('20250815_ETF_Options_Exhibits'!M1829:M1833)),AVERAGE('20250815_ETF_Options_Exhibits'!M1829:M1833),"")</f>
        <v/>
      </c>
      <c r="N1833" s="3">
        <f>IF(ISNUMBER(AVERAGE('20250815_ETF_Options_Exhibits'!N1829:N1833)),AVERAGE('20250815_ETF_Options_Exhibits'!N1829:N1833),"")</f>
        <v/>
      </c>
      <c r="O1833" s="3">
        <f>IF(ISNUMBER(AVERAGE('20250815_ETF_Options_Exhibits'!O1829:O1833)),AVERAGE('20250815_ETF_Options_Exhibits'!O1829:O1833),"")</f>
        <v/>
      </c>
      <c r="P1833" s="3">
        <f>IF(ISNUMBER(AVERAGE('20250815_ETF_Options_Exhibits'!P1829:P1833)),AVERAGE('20250815_ETF_Options_Exhibits'!P1829:P1833),"")</f>
        <v/>
      </c>
      <c r="Q1833" s="3">
        <f>IF(ISNUMBER(AVERAGE('20250815_ETF_Options_Exhibits'!Q1829:Q1833)),AVERAGE('20250815_ETF_Options_Exhibits'!Q1829:Q1833),"")</f>
        <v/>
      </c>
      <c r="R1833" s="3">
        <f>IF(ISNUMBER(AVERAGE('20250815_ETF_Options_Exhibits'!R1829:R1833)),AVERAGE('20250815_ETF_Options_Exhibits'!R1829:R1833),"")</f>
        <v/>
      </c>
      <c r="S1833" s="3">
        <f>IF(ISNUMBER(AVERAGE('20250815_ETF_Options_Exhibits'!S1829:S1833)),AVERAGE('20250815_ETF_Options_Exhibits'!S1829:S1833),"")</f>
        <v/>
      </c>
      <c r="T1833" s="3">
        <f>IF(ISNUMBER(AVERAGE('20250815_ETF_Options_Exhibits'!T1829:T1833)),AVERAGE('20250815_ETF_Options_Exhibits'!T1829:T1833),"")</f>
        <v/>
      </c>
      <c r="U1833" s="3">
        <f>IF(ISNUMBER(AVERAGE('20250815_ETF_Options_Exhibits'!U1829:U1833)),AVERAGE('20250815_ETF_Options_Exhibits'!U1829:U1833),"")</f>
        <v/>
      </c>
      <c r="V1833" s="3">
        <f>IF(ISNUMBER(AVERAGE('20250815_ETF_Options_Exhibits'!V1829:V1833)),AVERAGE('20250815_ETF_Options_Exhibits'!V1829:V1833),"")</f>
        <v/>
      </c>
      <c r="W1833" s="3">
        <f>IF(ISNUMBER(AVERAGE('20250815_ETF_Options_Exhibits'!W1829:W1833)),AVERAGE('20250815_ETF_Options_Exhibits'!W1829:W1833),"")</f>
        <v/>
      </c>
      <c r="X1833" s="3">
        <f>IF(ISNUMBER(AVERAGE('20250815_ETF_Options_Exhibits'!X1829:X1833)),AVERAGE('20250815_ETF_Options_Exhibits'!X1829:X1833),"")</f>
        <v/>
      </c>
      <c r="Y1833" s="3">
        <f>IF(ISNUMBER(AVERAGE('20250815_ETF_Options_Exhibits'!Y1829:Y1833)),AVERAGE('20250815_ETF_Options_Exhibits'!Y1829:Y1833),"")</f>
        <v/>
      </c>
      <c r="Z1833" s="3">
        <f>IF(ISNUMBER(AVERAGE('20250815_ETF_Options_Exhibits'!Z1829:Z1833)),AVERAGE('20250815_ETF_Options_Exhibits'!Z1829:Z1833),"")</f>
        <v/>
      </c>
      <c r="AA1833" s="3">
        <f>IF(ISNUMBER(AVERAGE('20250815_ETF_Options_Exhibits'!AA1829:AA1833)),AVERAGE('20250815_ETF_Options_Exhibits'!AA1829:AA1833),"")</f>
        <v/>
      </c>
    </row>
    <row r="1834">
      <c r="A1834" s="1" t="n">
        <v>44662</v>
      </c>
      <c r="B1834" s="3">
        <f>IF(ISNUMBER(AVERAGE('20250815_ETF_Options_Exhibits'!B1830:B1834)),AVERAGE('20250815_ETF_Options_Exhibits'!B1830:B1834),"")</f>
        <v/>
      </c>
      <c r="C1834" s="3">
        <f>IF(ISNUMBER(AVERAGE('20250815_ETF_Options_Exhibits'!C1830:C1834)),AVERAGE('20250815_ETF_Options_Exhibits'!C1830:C1834),"")</f>
        <v/>
      </c>
      <c r="D1834" s="3">
        <f>IF(ISNUMBER(AVERAGE('20250815_ETF_Options_Exhibits'!D1830:D1834)),AVERAGE('20250815_ETF_Options_Exhibits'!D1830:D1834),"")</f>
        <v/>
      </c>
      <c r="E1834" s="3">
        <f>IF(ISNUMBER(AVERAGE('20250815_ETF_Options_Exhibits'!E1830:E1834)),AVERAGE('20250815_ETF_Options_Exhibits'!E1830:E1834),"")</f>
        <v/>
      </c>
      <c r="F1834" s="3">
        <f>IF(ISNUMBER(AVERAGE('20250815_ETF_Options_Exhibits'!F1830:F1834)),AVERAGE('20250815_ETF_Options_Exhibits'!F1830:F1834),"")</f>
        <v/>
      </c>
      <c r="G1834" s="3">
        <f>IF(ISNUMBER(AVERAGE('20250815_ETF_Options_Exhibits'!G1830:G1834)),AVERAGE('20250815_ETF_Options_Exhibits'!G1830:G1834),"")</f>
        <v/>
      </c>
      <c r="H1834" s="3">
        <f>IF(ISNUMBER(AVERAGE('20250815_ETF_Options_Exhibits'!H1830:H1834)),AVERAGE('20250815_ETF_Options_Exhibits'!H1830:H1834),"")</f>
        <v/>
      </c>
      <c r="I1834" s="3">
        <f>IF(ISNUMBER(AVERAGE('20250815_ETF_Options_Exhibits'!I1830:I1834)),AVERAGE('20250815_ETF_Options_Exhibits'!I1830:I1834),"")</f>
        <v/>
      </c>
      <c r="J1834" s="3">
        <f>IF(ISNUMBER(AVERAGE('20250815_ETF_Options_Exhibits'!J1830:J1834)),AVERAGE('20250815_ETF_Options_Exhibits'!J1830:J1834),"")</f>
        <v/>
      </c>
      <c r="K1834" s="3">
        <f>IF(ISNUMBER(AVERAGE('20250815_ETF_Options_Exhibits'!K1830:K1834)),AVERAGE('20250815_ETF_Options_Exhibits'!K1830:K1834),"")</f>
        <v/>
      </c>
      <c r="L1834" s="3">
        <f>IF(ISNUMBER(AVERAGE('20250815_ETF_Options_Exhibits'!L1830:L1834)),AVERAGE('20250815_ETF_Options_Exhibits'!L1830:L1834),"")</f>
        <v/>
      </c>
      <c r="M1834" s="3">
        <f>IF(ISNUMBER(AVERAGE('20250815_ETF_Options_Exhibits'!M1830:M1834)),AVERAGE('20250815_ETF_Options_Exhibits'!M1830:M1834),"")</f>
        <v/>
      </c>
      <c r="N1834" s="3">
        <f>IF(ISNUMBER(AVERAGE('20250815_ETF_Options_Exhibits'!N1830:N1834)),AVERAGE('20250815_ETF_Options_Exhibits'!N1830:N1834),"")</f>
        <v/>
      </c>
      <c r="O1834" s="3">
        <f>IF(ISNUMBER(AVERAGE('20250815_ETF_Options_Exhibits'!O1830:O1834)),AVERAGE('20250815_ETF_Options_Exhibits'!O1830:O1834),"")</f>
        <v/>
      </c>
      <c r="P1834" s="3">
        <f>IF(ISNUMBER(AVERAGE('20250815_ETF_Options_Exhibits'!P1830:P1834)),AVERAGE('20250815_ETF_Options_Exhibits'!P1830:P1834),"")</f>
        <v/>
      </c>
      <c r="Q1834" s="3">
        <f>IF(ISNUMBER(AVERAGE('20250815_ETF_Options_Exhibits'!Q1830:Q1834)),AVERAGE('20250815_ETF_Options_Exhibits'!Q1830:Q1834),"")</f>
        <v/>
      </c>
      <c r="R1834" s="3">
        <f>IF(ISNUMBER(AVERAGE('20250815_ETF_Options_Exhibits'!R1830:R1834)),AVERAGE('20250815_ETF_Options_Exhibits'!R1830:R1834),"")</f>
        <v/>
      </c>
      <c r="S1834" s="3">
        <f>IF(ISNUMBER(AVERAGE('20250815_ETF_Options_Exhibits'!S1830:S1834)),AVERAGE('20250815_ETF_Options_Exhibits'!S1830:S1834),"")</f>
        <v/>
      </c>
      <c r="T1834" s="3">
        <f>IF(ISNUMBER(AVERAGE('20250815_ETF_Options_Exhibits'!T1830:T1834)),AVERAGE('20250815_ETF_Options_Exhibits'!T1830:T1834),"")</f>
        <v/>
      </c>
      <c r="U1834" s="3">
        <f>IF(ISNUMBER(AVERAGE('20250815_ETF_Options_Exhibits'!U1830:U1834)),AVERAGE('20250815_ETF_Options_Exhibits'!U1830:U1834),"")</f>
        <v/>
      </c>
      <c r="V1834" s="3">
        <f>IF(ISNUMBER(AVERAGE('20250815_ETF_Options_Exhibits'!V1830:V1834)),AVERAGE('20250815_ETF_Options_Exhibits'!V1830:V1834),"")</f>
        <v/>
      </c>
      <c r="W1834" s="3">
        <f>IF(ISNUMBER(AVERAGE('20250815_ETF_Options_Exhibits'!W1830:W1834)),AVERAGE('20250815_ETF_Options_Exhibits'!W1830:W1834),"")</f>
        <v/>
      </c>
      <c r="X1834" s="3">
        <f>IF(ISNUMBER(AVERAGE('20250815_ETF_Options_Exhibits'!X1830:X1834)),AVERAGE('20250815_ETF_Options_Exhibits'!X1830:X1834),"")</f>
        <v/>
      </c>
      <c r="Y1834" s="3">
        <f>IF(ISNUMBER(AVERAGE('20250815_ETF_Options_Exhibits'!Y1830:Y1834)),AVERAGE('20250815_ETF_Options_Exhibits'!Y1830:Y1834),"")</f>
        <v/>
      </c>
      <c r="Z1834" s="3">
        <f>IF(ISNUMBER(AVERAGE('20250815_ETF_Options_Exhibits'!Z1830:Z1834)),AVERAGE('20250815_ETF_Options_Exhibits'!Z1830:Z1834),"")</f>
        <v/>
      </c>
      <c r="AA1834" s="3">
        <f>IF(ISNUMBER(AVERAGE('20250815_ETF_Options_Exhibits'!AA1830:AA1834)),AVERAGE('20250815_ETF_Options_Exhibits'!AA1830:AA1834),"")</f>
        <v/>
      </c>
    </row>
    <row r="1835">
      <c r="A1835" s="1" t="n">
        <v>44663</v>
      </c>
      <c r="B1835" s="3">
        <f>IF(ISNUMBER(AVERAGE('20250815_ETF_Options_Exhibits'!B1831:B1835)),AVERAGE('20250815_ETF_Options_Exhibits'!B1831:B1835),"")</f>
        <v/>
      </c>
      <c r="C1835" s="3">
        <f>IF(ISNUMBER(AVERAGE('20250815_ETF_Options_Exhibits'!C1831:C1835)),AVERAGE('20250815_ETF_Options_Exhibits'!C1831:C1835),"")</f>
        <v/>
      </c>
      <c r="D1835" s="3">
        <f>IF(ISNUMBER(AVERAGE('20250815_ETF_Options_Exhibits'!D1831:D1835)),AVERAGE('20250815_ETF_Options_Exhibits'!D1831:D1835),"")</f>
        <v/>
      </c>
      <c r="E1835" s="3">
        <f>IF(ISNUMBER(AVERAGE('20250815_ETF_Options_Exhibits'!E1831:E1835)),AVERAGE('20250815_ETF_Options_Exhibits'!E1831:E1835),"")</f>
        <v/>
      </c>
      <c r="F1835" s="3">
        <f>IF(ISNUMBER(AVERAGE('20250815_ETF_Options_Exhibits'!F1831:F1835)),AVERAGE('20250815_ETF_Options_Exhibits'!F1831:F1835),"")</f>
        <v/>
      </c>
      <c r="G1835" s="3">
        <f>IF(ISNUMBER(AVERAGE('20250815_ETF_Options_Exhibits'!G1831:G1835)),AVERAGE('20250815_ETF_Options_Exhibits'!G1831:G1835),"")</f>
        <v/>
      </c>
      <c r="H1835" s="3">
        <f>IF(ISNUMBER(AVERAGE('20250815_ETF_Options_Exhibits'!H1831:H1835)),AVERAGE('20250815_ETF_Options_Exhibits'!H1831:H1835),"")</f>
        <v/>
      </c>
      <c r="I1835" s="3">
        <f>IF(ISNUMBER(AVERAGE('20250815_ETF_Options_Exhibits'!I1831:I1835)),AVERAGE('20250815_ETF_Options_Exhibits'!I1831:I1835),"")</f>
        <v/>
      </c>
      <c r="J1835" s="3">
        <f>IF(ISNUMBER(AVERAGE('20250815_ETF_Options_Exhibits'!J1831:J1835)),AVERAGE('20250815_ETF_Options_Exhibits'!J1831:J1835),"")</f>
        <v/>
      </c>
      <c r="K1835" s="3">
        <f>IF(ISNUMBER(AVERAGE('20250815_ETF_Options_Exhibits'!K1831:K1835)),AVERAGE('20250815_ETF_Options_Exhibits'!K1831:K1835),"")</f>
        <v/>
      </c>
      <c r="L1835" s="3">
        <f>IF(ISNUMBER(AVERAGE('20250815_ETF_Options_Exhibits'!L1831:L1835)),AVERAGE('20250815_ETF_Options_Exhibits'!L1831:L1835),"")</f>
        <v/>
      </c>
      <c r="M1835" s="3">
        <f>IF(ISNUMBER(AVERAGE('20250815_ETF_Options_Exhibits'!M1831:M1835)),AVERAGE('20250815_ETF_Options_Exhibits'!M1831:M1835),"")</f>
        <v/>
      </c>
      <c r="N1835" s="3">
        <f>IF(ISNUMBER(AVERAGE('20250815_ETF_Options_Exhibits'!N1831:N1835)),AVERAGE('20250815_ETF_Options_Exhibits'!N1831:N1835),"")</f>
        <v/>
      </c>
      <c r="O1835" s="3">
        <f>IF(ISNUMBER(AVERAGE('20250815_ETF_Options_Exhibits'!O1831:O1835)),AVERAGE('20250815_ETF_Options_Exhibits'!O1831:O1835),"")</f>
        <v/>
      </c>
      <c r="P1835" s="3">
        <f>IF(ISNUMBER(AVERAGE('20250815_ETF_Options_Exhibits'!P1831:P1835)),AVERAGE('20250815_ETF_Options_Exhibits'!P1831:P1835),"")</f>
        <v/>
      </c>
      <c r="Q1835" s="3">
        <f>IF(ISNUMBER(AVERAGE('20250815_ETF_Options_Exhibits'!Q1831:Q1835)),AVERAGE('20250815_ETF_Options_Exhibits'!Q1831:Q1835),"")</f>
        <v/>
      </c>
      <c r="R1835" s="3">
        <f>IF(ISNUMBER(AVERAGE('20250815_ETF_Options_Exhibits'!R1831:R1835)),AVERAGE('20250815_ETF_Options_Exhibits'!R1831:R1835),"")</f>
        <v/>
      </c>
      <c r="S1835" s="3">
        <f>IF(ISNUMBER(AVERAGE('20250815_ETF_Options_Exhibits'!S1831:S1835)),AVERAGE('20250815_ETF_Options_Exhibits'!S1831:S1835),"")</f>
        <v/>
      </c>
      <c r="T1835" s="3">
        <f>IF(ISNUMBER(AVERAGE('20250815_ETF_Options_Exhibits'!T1831:T1835)),AVERAGE('20250815_ETF_Options_Exhibits'!T1831:T1835),"")</f>
        <v/>
      </c>
      <c r="U1835" s="3">
        <f>IF(ISNUMBER(AVERAGE('20250815_ETF_Options_Exhibits'!U1831:U1835)),AVERAGE('20250815_ETF_Options_Exhibits'!U1831:U1835),"")</f>
        <v/>
      </c>
      <c r="V1835" s="3">
        <f>IF(ISNUMBER(AVERAGE('20250815_ETF_Options_Exhibits'!V1831:V1835)),AVERAGE('20250815_ETF_Options_Exhibits'!V1831:V1835),"")</f>
        <v/>
      </c>
      <c r="W1835" s="3">
        <f>IF(ISNUMBER(AVERAGE('20250815_ETF_Options_Exhibits'!W1831:W1835)),AVERAGE('20250815_ETF_Options_Exhibits'!W1831:W1835),"")</f>
        <v/>
      </c>
      <c r="X1835" s="3">
        <f>IF(ISNUMBER(AVERAGE('20250815_ETF_Options_Exhibits'!X1831:X1835)),AVERAGE('20250815_ETF_Options_Exhibits'!X1831:X1835),"")</f>
        <v/>
      </c>
      <c r="Y1835" s="3">
        <f>IF(ISNUMBER(AVERAGE('20250815_ETF_Options_Exhibits'!Y1831:Y1835)),AVERAGE('20250815_ETF_Options_Exhibits'!Y1831:Y1835),"")</f>
        <v/>
      </c>
      <c r="Z1835" s="3">
        <f>IF(ISNUMBER(AVERAGE('20250815_ETF_Options_Exhibits'!Z1831:Z1835)),AVERAGE('20250815_ETF_Options_Exhibits'!Z1831:Z1835),"")</f>
        <v/>
      </c>
      <c r="AA1835" s="3">
        <f>IF(ISNUMBER(AVERAGE('20250815_ETF_Options_Exhibits'!AA1831:AA1835)),AVERAGE('20250815_ETF_Options_Exhibits'!AA1831:AA1835),"")</f>
        <v/>
      </c>
    </row>
    <row r="1836">
      <c r="A1836" s="1" t="n">
        <v>44664</v>
      </c>
      <c r="B1836" s="3">
        <f>IF(ISNUMBER(AVERAGE('20250815_ETF_Options_Exhibits'!B1832:B1836)),AVERAGE('20250815_ETF_Options_Exhibits'!B1832:B1836),"")</f>
        <v/>
      </c>
      <c r="C1836" s="3">
        <f>IF(ISNUMBER(AVERAGE('20250815_ETF_Options_Exhibits'!C1832:C1836)),AVERAGE('20250815_ETF_Options_Exhibits'!C1832:C1836),"")</f>
        <v/>
      </c>
      <c r="D1836" s="3">
        <f>IF(ISNUMBER(AVERAGE('20250815_ETF_Options_Exhibits'!D1832:D1836)),AVERAGE('20250815_ETF_Options_Exhibits'!D1832:D1836),"")</f>
        <v/>
      </c>
      <c r="E1836" s="3">
        <f>IF(ISNUMBER(AVERAGE('20250815_ETF_Options_Exhibits'!E1832:E1836)),AVERAGE('20250815_ETF_Options_Exhibits'!E1832:E1836),"")</f>
        <v/>
      </c>
      <c r="F1836" s="3">
        <f>IF(ISNUMBER(AVERAGE('20250815_ETF_Options_Exhibits'!F1832:F1836)),AVERAGE('20250815_ETF_Options_Exhibits'!F1832:F1836),"")</f>
        <v/>
      </c>
      <c r="G1836" s="3">
        <f>IF(ISNUMBER(AVERAGE('20250815_ETF_Options_Exhibits'!G1832:G1836)),AVERAGE('20250815_ETF_Options_Exhibits'!G1832:G1836),"")</f>
        <v/>
      </c>
      <c r="H1836" s="3">
        <f>IF(ISNUMBER(AVERAGE('20250815_ETF_Options_Exhibits'!H1832:H1836)),AVERAGE('20250815_ETF_Options_Exhibits'!H1832:H1836),"")</f>
        <v/>
      </c>
      <c r="I1836" s="3">
        <f>IF(ISNUMBER(AVERAGE('20250815_ETF_Options_Exhibits'!I1832:I1836)),AVERAGE('20250815_ETF_Options_Exhibits'!I1832:I1836),"")</f>
        <v/>
      </c>
      <c r="J1836" s="3">
        <f>IF(ISNUMBER(AVERAGE('20250815_ETF_Options_Exhibits'!J1832:J1836)),AVERAGE('20250815_ETF_Options_Exhibits'!J1832:J1836),"")</f>
        <v/>
      </c>
      <c r="K1836" s="3">
        <f>IF(ISNUMBER(AVERAGE('20250815_ETF_Options_Exhibits'!K1832:K1836)),AVERAGE('20250815_ETF_Options_Exhibits'!K1832:K1836),"")</f>
        <v/>
      </c>
      <c r="L1836" s="3">
        <f>IF(ISNUMBER(AVERAGE('20250815_ETF_Options_Exhibits'!L1832:L1836)),AVERAGE('20250815_ETF_Options_Exhibits'!L1832:L1836),"")</f>
        <v/>
      </c>
      <c r="M1836" s="3">
        <f>IF(ISNUMBER(AVERAGE('20250815_ETF_Options_Exhibits'!M1832:M1836)),AVERAGE('20250815_ETF_Options_Exhibits'!M1832:M1836),"")</f>
        <v/>
      </c>
      <c r="N1836" s="3">
        <f>IF(ISNUMBER(AVERAGE('20250815_ETF_Options_Exhibits'!N1832:N1836)),AVERAGE('20250815_ETF_Options_Exhibits'!N1832:N1836),"")</f>
        <v/>
      </c>
      <c r="O1836" s="3">
        <f>IF(ISNUMBER(AVERAGE('20250815_ETF_Options_Exhibits'!O1832:O1836)),AVERAGE('20250815_ETF_Options_Exhibits'!O1832:O1836),"")</f>
        <v/>
      </c>
      <c r="P1836" s="3">
        <f>IF(ISNUMBER(AVERAGE('20250815_ETF_Options_Exhibits'!P1832:P1836)),AVERAGE('20250815_ETF_Options_Exhibits'!P1832:P1836),"")</f>
        <v/>
      </c>
      <c r="Q1836" s="3">
        <f>IF(ISNUMBER(AVERAGE('20250815_ETF_Options_Exhibits'!Q1832:Q1836)),AVERAGE('20250815_ETF_Options_Exhibits'!Q1832:Q1836),"")</f>
        <v/>
      </c>
      <c r="R1836" s="3">
        <f>IF(ISNUMBER(AVERAGE('20250815_ETF_Options_Exhibits'!R1832:R1836)),AVERAGE('20250815_ETF_Options_Exhibits'!R1832:R1836),"")</f>
        <v/>
      </c>
      <c r="S1836" s="3">
        <f>IF(ISNUMBER(AVERAGE('20250815_ETF_Options_Exhibits'!S1832:S1836)),AVERAGE('20250815_ETF_Options_Exhibits'!S1832:S1836),"")</f>
        <v/>
      </c>
      <c r="T1836" s="3">
        <f>IF(ISNUMBER(AVERAGE('20250815_ETF_Options_Exhibits'!T1832:T1836)),AVERAGE('20250815_ETF_Options_Exhibits'!T1832:T1836),"")</f>
        <v/>
      </c>
      <c r="U1836" s="3">
        <f>IF(ISNUMBER(AVERAGE('20250815_ETF_Options_Exhibits'!U1832:U1836)),AVERAGE('20250815_ETF_Options_Exhibits'!U1832:U1836),"")</f>
        <v/>
      </c>
      <c r="V1836" s="3">
        <f>IF(ISNUMBER(AVERAGE('20250815_ETF_Options_Exhibits'!V1832:V1836)),AVERAGE('20250815_ETF_Options_Exhibits'!V1832:V1836),"")</f>
        <v/>
      </c>
      <c r="W1836" s="3">
        <f>IF(ISNUMBER(AVERAGE('20250815_ETF_Options_Exhibits'!W1832:W1836)),AVERAGE('20250815_ETF_Options_Exhibits'!W1832:W1836),"")</f>
        <v/>
      </c>
      <c r="X1836" s="3">
        <f>IF(ISNUMBER(AVERAGE('20250815_ETF_Options_Exhibits'!X1832:X1836)),AVERAGE('20250815_ETF_Options_Exhibits'!X1832:X1836),"")</f>
        <v/>
      </c>
      <c r="Y1836" s="3">
        <f>IF(ISNUMBER(AVERAGE('20250815_ETF_Options_Exhibits'!Y1832:Y1836)),AVERAGE('20250815_ETF_Options_Exhibits'!Y1832:Y1836),"")</f>
        <v/>
      </c>
      <c r="Z1836" s="3">
        <f>IF(ISNUMBER(AVERAGE('20250815_ETF_Options_Exhibits'!Z1832:Z1836)),AVERAGE('20250815_ETF_Options_Exhibits'!Z1832:Z1836),"")</f>
        <v/>
      </c>
      <c r="AA1836" s="3">
        <f>IF(ISNUMBER(AVERAGE('20250815_ETF_Options_Exhibits'!AA1832:AA1836)),AVERAGE('20250815_ETF_Options_Exhibits'!AA1832:AA1836),"")</f>
        <v/>
      </c>
    </row>
    <row r="1837">
      <c r="A1837" s="1" t="n">
        <v>44665</v>
      </c>
      <c r="B1837" s="3">
        <f>IF(ISNUMBER(AVERAGE('20250815_ETF_Options_Exhibits'!B1833:B1837)),AVERAGE('20250815_ETF_Options_Exhibits'!B1833:B1837),"")</f>
        <v/>
      </c>
      <c r="C1837" s="3">
        <f>IF(ISNUMBER(AVERAGE('20250815_ETF_Options_Exhibits'!C1833:C1837)),AVERAGE('20250815_ETF_Options_Exhibits'!C1833:C1837),"")</f>
        <v/>
      </c>
      <c r="D1837" s="3">
        <f>IF(ISNUMBER(AVERAGE('20250815_ETF_Options_Exhibits'!D1833:D1837)),AVERAGE('20250815_ETF_Options_Exhibits'!D1833:D1837),"")</f>
        <v/>
      </c>
      <c r="E1837" s="3">
        <f>IF(ISNUMBER(AVERAGE('20250815_ETF_Options_Exhibits'!E1833:E1837)),AVERAGE('20250815_ETF_Options_Exhibits'!E1833:E1837),"")</f>
        <v/>
      </c>
      <c r="F1837" s="3">
        <f>IF(ISNUMBER(AVERAGE('20250815_ETF_Options_Exhibits'!F1833:F1837)),AVERAGE('20250815_ETF_Options_Exhibits'!F1833:F1837),"")</f>
        <v/>
      </c>
      <c r="G1837" s="3">
        <f>IF(ISNUMBER(AVERAGE('20250815_ETF_Options_Exhibits'!G1833:G1837)),AVERAGE('20250815_ETF_Options_Exhibits'!G1833:G1837),"")</f>
        <v/>
      </c>
      <c r="H1837" s="3">
        <f>IF(ISNUMBER(AVERAGE('20250815_ETF_Options_Exhibits'!H1833:H1837)),AVERAGE('20250815_ETF_Options_Exhibits'!H1833:H1837),"")</f>
        <v/>
      </c>
      <c r="I1837" s="3">
        <f>IF(ISNUMBER(AVERAGE('20250815_ETF_Options_Exhibits'!I1833:I1837)),AVERAGE('20250815_ETF_Options_Exhibits'!I1833:I1837),"")</f>
        <v/>
      </c>
      <c r="J1837" s="3">
        <f>IF(ISNUMBER(AVERAGE('20250815_ETF_Options_Exhibits'!J1833:J1837)),AVERAGE('20250815_ETF_Options_Exhibits'!J1833:J1837),"")</f>
        <v/>
      </c>
      <c r="K1837" s="3">
        <f>IF(ISNUMBER(AVERAGE('20250815_ETF_Options_Exhibits'!K1833:K1837)),AVERAGE('20250815_ETF_Options_Exhibits'!K1833:K1837),"")</f>
        <v/>
      </c>
      <c r="L1837" s="3">
        <f>IF(ISNUMBER(AVERAGE('20250815_ETF_Options_Exhibits'!L1833:L1837)),AVERAGE('20250815_ETF_Options_Exhibits'!L1833:L1837),"")</f>
        <v/>
      </c>
      <c r="M1837" s="3">
        <f>IF(ISNUMBER(AVERAGE('20250815_ETF_Options_Exhibits'!M1833:M1837)),AVERAGE('20250815_ETF_Options_Exhibits'!M1833:M1837),"")</f>
        <v/>
      </c>
      <c r="N1837" s="3">
        <f>IF(ISNUMBER(AVERAGE('20250815_ETF_Options_Exhibits'!N1833:N1837)),AVERAGE('20250815_ETF_Options_Exhibits'!N1833:N1837),"")</f>
        <v/>
      </c>
      <c r="O1837" s="3">
        <f>IF(ISNUMBER(AVERAGE('20250815_ETF_Options_Exhibits'!O1833:O1837)),AVERAGE('20250815_ETF_Options_Exhibits'!O1833:O1837),"")</f>
        <v/>
      </c>
      <c r="P1837" s="3">
        <f>IF(ISNUMBER(AVERAGE('20250815_ETF_Options_Exhibits'!P1833:P1837)),AVERAGE('20250815_ETF_Options_Exhibits'!P1833:P1837),"")</f>
        <v/>
      </c>
      <c r="Q1837" s="3">
        <f>IF(ISNUMBER(AVERAGE('20250815_ETF_Options_Exhibits'!Q1833:Q1837)),AVERAGE('20250815_ETF_Options_Exhibits'!Q1833:Q1837),"")</f>
        <v/>
      </c>
      <c r="R1837" s="3">
        <f>IF(ISNUMBER(AVERAGE('20250815_ETF_Options_Exhibits'!R1833:R1837)),AVERAGE('20250815_ETF_Options_Exhibits'!R1833:R1837),"")</f>
        <v/>
      </c>
      <c r="S1837" s="3">
        <f>IF(ISNUMBER(AVERAGE('20250815_ETF_Options_Exhibits'!S1833:S1837)),AVERAGE('20250815_ETF_Options_Exhibits'!S1833:S1837),"")</f>
        <v/>
      </c>
      <c r="T1837" s="3">
        <f>IF(ISNUMBER(AVERAGE('20250815_ETF_Options_Exhibits'!T1833:T1837)),AVERAGE('20250815_ETF_Options_Exhibits'!T1833:T1837),"")</f>
        <v/>
      </c>
      <c r="U1837" s="3">
        <f>IF(ISNUMBER(AVERAGE('20250815_ETF_Options_Exhibits'!U1833:U1837)),AVERAGE('20250815_ETF_Options_Exhibits'!U1833:U1837),"")</f>
        <v/>
      </c>
      <c r="V1837" s="3">
        <f>IF(ISNUMBER(AVERAGE('20250815_ETF_Options_Exhibits'!V1833:V1837)),AVERAGE('20250815_ETF_Options_Exhibits'!V1833:V1837),"")</f>
        <v/>
      </c>
      <c r="W1837" s="3">
        <f>IF(ISNUMBER(AVERAGE('20250815_ETF_Options_Exhibits'!W1833:W1837)),AVERAGE('20250815_ETF_Options_Exhibits'!W1833:W1837),"")</f>
        <v/>
      </c>
      <c r="X1837" s="3">
        <f>IF(ISNUMBER(AVERAGE('20250815_ETF_Options_Exhibits'!X1833:X1837)),AVERAGE('20250815_ETF_Options_Exhibits'!X1833:X1837),"")</f>
        <v/>
      </c>
      <c r="Y1837" s="3">
        <f>IF(ISNUMBER(AVERAGE('20250815_ETF_Options_Exhibits'!Y1833:Y1837)),AVERAGE('20250815_ETF_Options_Exhibits'!Y1833:Y1837),"")</f>
        <v/>
      </c>
      <c r="Z1837" s="3">
        <f>IF(ISNUMBER(AVERAGE('20250815_ETF_Options_Exhibits'!Z1833:Z1837)),AVERAGE('20250815_ETF_Options_Exhibits'!Z1833:Z1837),"")</f>
        <v/>
      </c>
      <c r="AA1837" s="3">
        <f>IF(ISNUMBER(AVERAGE('20250815_ETF_Options_Exhibits'!AA1833:AA1837)),AVERAGE('20250815_ETF_Options_Exhibits'!AA1833:AA1837),"")</f>
        <v/>
      </c>
    </row>
    <row r="1838">
      <c r="A1838" s="1" t="n">
        <v>44669</v>
      </c>
      <c r="B1838" s="3">
        <f>IF(ISNUMBER(AVERAGE('20250815_ETF_Options_Exhibits'!B1834:B1838)),AVERAGE('20250815_ETF_Options_Exhibits'!B1834:B1838),"")</f>
        <v/>
      </c>
      <c r="C1838" s="3">
        <f>IF(ISNUMBER(AVERAGE('20250815_ETF_Options_Exhibits'!C1834:C1838)),AVERAGE('20250815_ETF_Options_Exhibits'!C1834:C1838),"")</f>
        <v/>
      </c>
      <c r="D1838" s="3">
        <f>IF(ISNUMBER(AVERAGE('20250815_ETF_Options_Exhibits'!D1834:D1838)),AVERAGE('20250815_ETF_Options_Exhibits'!D1834:D1838),"")</f>
        <v/>
      </c>
      <c r="E1838" s="3">
        <f>IF(ISNUMBER(AVERAGE('20250815_ETF_Options_Exhibits'!E1834:E1838)),AVERAGE('20250815_ETF_Options_Exhibits'!E1834:E1838),"")</f>
        <v/>
      </c>
      <c r="F1838" s="3">
        <f>IF(ISNUMBER(AVERAGE('20250815_ETF_Options_Exhibits'!F1834:F1838)),AVERAGE('20250815_ETF_Options_Exhibits'!F1834:F1838),"")</f>
        <v/>
      </c>
      <c r="G1838" s="3">
        <f>IF(ISNUMBER(AVERAGE('20250815_ETF_Options_Exhibits'!G1834:G1838)),AVERAGE('20250815_ETF_Options_Exhibits'!G1834:G1838),"")</f>
        <v/>
      </c>
      <c r="H1838" s="3">
        <f>IF(ISNUMBER(AVERAGE('20250815_ETF_Options_Exhibits'!H1834:H1838)),AVERAGE('20250815_ETF_Options_Exhibits'!H1834:H1838),"")</f>
        <v/>
      </c>
      <c r="I1838" s="3">
        <f>IF(ISNUMBER(AVERAGE('20250815_ETF_Options_Exhibits'!I1834:I1838)),AVERAGE('20250815_ETF_Options_Exhibits'!I1834:I1838),"")</f>
        <v/>
      </c>
      <c r="J1838" s="3">
        <f>IF(ISNUMBER(AVERAGE('20250815_ETF_Options_Exhibits'!J1834:J1838)),AVERAGE('20250815_ETF_Options_Exhibits'!J1834:J1838),"")</f>
        <v/>
      </c>
      <c r="K1838" s="3">
        <f>IF(ISNUMBER(AVERAGE('20250815_ETF_Options_Exhibits'!K1834:K1838)),AVERAGE('20250815_ETF_Options_Exhibits'!K1834:K1838),"")</f>
        <v/>
      </c>
      <c r="L1838" s="3">
        <f>IF(ISNUMBER(AVERAGE('20250815_ETF_Options_Exhibits'!L1834:L1838)),AVERAGE('20250815_ETF_Options_Exhibits'!L1834:L1838),"")</f>
        <v/>
      </c>
      <c r="M1838" s="3">
        <f>IF(ISNUMBER(AVERAGE('20250815_ETF_Options_Exhibits'!M1834:M1838)),AVERAGE('20250815_ETF_Options_Exhibits'!M1834:M1838),"")</f>
        <v/>
      </c>
      <c r="N1838" s="3">
        <f>IF(ISNUMBER(AVERAGE('20250815_ETF_Options_Exhibits'!N1834:N1838)),AVERAGE('20250815_ETF_Options_Exhibits'!N1834:N1838),"")</f>
        <v/>
      </c>
      <c r="O1838" s="3">
        <f>IF(ISNUMBER(AVERAGE('20250815_ETF_Options_Exhibits'!O1834:O1838)),AVERAGE('20250815_ETF_Options_Exhibits'!O1834:O1838),"")</f>
        <v/>
      </c>
      <c r="P1838" s="3">
        <f>IF(ISNUMBER(AVERAGE('20250815_ETF_Options_Exhibits'!P1834:P1838)),AVERAGE('20250815_ETF_Options_Exhibits'!P1834:P1838),"")</f>
        <v/>
      </c>
      <c r="Q1838" s="3">
        <f>IF(ISNUMBER(AVERAGE('20250815_ETF_Options_Exhibits'!Q1834:Q1838)),AVERAGE('20250815_ETF_Options_Exhibits'!Q1834:Q1838),"")</f>
        <v/>
      </c>
      <c r="R1838" s="3">
        <f>IF(ISNUMBER(AVERAGE('20250815_ETF_Options_Exhibits'!R1834:R1838)),AVERAGE('20250815_ETF_Options_Exhibits'!R1834:R1838),"")</f>
        <v/>
      </c>
      <c r="S1838" s="3">
        <f>IF(ISNUMBER(AVERAGE('20250815_ETF_Options_Exhibits'!S1834:S1838)),AVERAGE('20250815_ETF_Options_Exhibits'!S1834:S1838),"")</f>
        <v/>
      </c>
      <c r="T1838" s="3">
        <f>IF(ISNUMBER(AVERAGE('20250815_ETF_Options_Exhibits'!T1834:T1838)),AVERAGE('20250815_ETF_Options_Exhibits'!T1834:T1838),"")</f>
        <v/>
      </c>
      <c r="U1838" s="3">
        <f>IF(ISNUMBER(AVERAGE('20250815_ETF_Options_Exhibits'!U1834:U1838)),AVERAGE('20250815_ETF_Options_Exhibits'!U1834:U1838),"")</f>
        <v/>
      </c>
      <c r="V1838" s="3">
        <f>IF(ISNUMBER(AVERAGE('20250815_ETF_Options_Exhibits'!V1834:V1838)),AVERAGE('20250815_ETF_Options_Exhibits'!V1834:V1838),"")</f>
        <v/>
      </c>
      <c r="W1838" s="3">
        <f>IF(ISNUMBER(AVERAGE('20250815_ETF_Options_Exhibits'!W1834:W1838)),AVERAGE('20250815_ETF_Options_Exhibits'!W1834:W1838),"")</f>
        <v/>
      </c>
      <c r="X1838" s="3">
        <f>IF(ISNUMBER(AVERAGE('20250815_ETF_Options_Exhibits'!X1834:X1838)),AVERAGE('20250815_ETF_Options_Exhibits'!X1834:X1838),"")</f>
        <v/>
      </c>
      <c r="Y1838" s="3">
        <f>IF(ISNUMBER(AVERAGE('20250815_ETF_Options_Exhibits'!Y1834:Y1838)),AVERAGE('20250815_ETF_Options_Exhibits'!Y1834:Y1838),"")</f>
        <v/>
      </c>
      <c r="Z1838" s="3">
        <f>IF(ISNUMBER(AVERAGE('20250815_ETF_Options_Exhibits'!Z1834:Z1838)),AVERAGE('20250815_ETF_Options_Exhibits'!Z1834:Z1838),"")</f>
        <v/>
      </c>
      <c r="AA1838" s="3">
        <f>IF(ISNUMBER(AVERAGE('20250815_ETF_Options_Exhibits'!AA1834:AA1838)),AVERAGE('20250815_ETF_Options_Exhibits'!AA1834:AA1838),"")</f>
        <v/>
      </c>
    </row>
    <row r="1839">
      <c r="A1839" s="1" t="n">
        <v>44670</v>
      </c>
      <c r="B1839" s="3">
        <f>IF(ISNUMBER(AVERAGE('20250815_ETF_Options_Exhibits'!B1835:B1839)),AVERAGE('20250815_ETF_Options_Exhibits'!B1835:B1839),"")</f>
        <v/>
      </c>
      <c r="C1839" s="3">
        <f>IF(ISNUMBER(AVERAGE('20250815_ETF_Options_Exhibits'!C1835:C1839)),AVERAGE('20250815_ETF_Options_Exhibits'!C1835:C1839),"")</f>
        <v/>
      </c>
      <c r="D1839" s="3">
        <f>IF(ISNUMBER(AVERAGE('20250815_ETF_Options_Exhibits'!D1835:D1839)),AVERAGE('20250815_ETF_Options_Exhibits'!D1835:D1839),"")</f>
        <v/>
      </c>
      <c r="E1839" s="3">
        <f>IF(ISNUMBER(AVERAGE('20250815_ETF_Options_Exhibits'!E1835:E1839)),AVERAGE('20250815_ETF_Options_Exhibits'!E1835:E1839),"")</f>
        <v/>
      </c>
      <c r="F1839" s="3">
        <f>IF(ISNUMBER(AVERAGE('20250815_ETF_Options_Exhibits'!F1835:F1839)),AVERAGE('20250815_ETF_Options_Exhibits'!F1835:F1839),"")</f>
        <v/>
      </c>
      <c r="G1839" s="3">
        <f>IF(ISNUMBER(AVERAGE('20250815_ETF_Options_Exhibits'!G1835:G1839)),AVERAGE('20250815_ETF_Options_Exhibits'!G1835:G1839),"")</f>
        <v/>
      </c>
      <c r="H1839" s="3">
        <f>IF(ISNUMBER(AVERAGE('20250815_ETF_Options_Exhibits'!H1835:H1839)),AVERAGE('20250815_ETF_Options_Exhibits'!H1835:H1839),"")</f>
        <v/>
      </c>
      <c r="I1839" s="3">
        <f>IF(ISNUMBER(AVERAGE('20250815_ETF_Options_Exhibits'!I1835:I1839)),AVERAGE('20250815_ETF_Options_Exhibits'!I1835:I1839),"")</f>
        <v/>
      </c>
      <c r="J1839" s="3">
        <f>IF(ISNUMBER(AVERAGE('20250815_ETF_Options_Exhibits'!J1835:J1839)),AVERAGE('20250815_ETF_Options_Exhibits'!J1835:J1839),"")</f>
        <v/>
      </c>
      <c r="K1839" s="3">
        <f>IF(ISNUMBER(AVERAGE('20250815_ETF_Options_Exhibits'!K1835:K1839)),AVERAGE('20250815_ETF_Options_Exhibits'!K1835:K1839),"")</f>
        <v/>
      </c>
      <c r="L1839" s="3">
        <f>IF(ISNUMBER(AVERAGE('20250815_ETF_Options_Exhibits'!L1835:L1839)),AVERAGE('20250815_ETF_Options_Exhibits'!L1835:L1839),"")</f>
        <v/>
      </c>
      <c r="M1839" s="3">
        <f>IF(ISNUMBER(AVERAGE('20250815_ETF_Options_Exhibits'!M1835:M1839)),AVERAGE('20250815_ETF_Options_Exhibits'!M1835:M1839),"")</f>
        <v/>
      </c>
      <c r="N1839" s="3">
        <f>IF(ISNUMBER(AVERAGE('20250815_ETF_Options_Exhibits'!N1835:N1839)),AVERAGE('20250815_ETF_Options_Exhibits'!N1835:N1839),"")</f>
        <v/>
      </c>
      <c r="O1839" s="3">
        <f>IF(ISNUMBER(AVERAGE('20250815_ETF_Options_Exhibits'!O1835:O1839)),AVERAGE('20250815_ETF_Options_Exhibits'!O1835:O1839),"")</f>
        <v/>
      </c>
      <c r="P1839" s="3">
        <f>IF(ISNUMBER(AVERAGE('20250815_ETF_Options_Exhibits'!P1835:P1839)),AVERAGE('20250815_ETF_Options_Exhibits'!P1835:P1839),"")</f>
        <v/>
      </c>
      <c r="Q1839" s="3">
        <f>IF(ISNUMBER(AVERAGE('20250815_ETF_Options_Exhibits'!Q1835:Q1839)),AVERAGE('20250815_ETF_Options_Exhibits'!Q1835:Q1839),"")</f>
        <v/>
      </c>
      <c r="R1839" s="3">
        <f>IF(ISNUMBER(AVERAGE('20250815_ETF_Options_Exhibits'!R1835:R1839)),AVERAGE('20250815_ETF_Options_Exhibits'!R1835:R1839),"")</f>
        <v/>
      </c>
      <c r="S1839" s="3">
        <f>IF(ISNUMBER(AVERAGE('20250815_ETF_Options_Exhibits'!S1835:S1839)),AVERAGE('20250815_ETF_Options_Exhibits'!S1835:S1839),"")</f>
        <v/>
      </c>
      <c r="T1839" s="3">
        <f>IF(ISNUMBER(AVERAGE('20250815_ETF_Options_Exhibits'!T1835:T1839)),AVERAGE('20250815_ETF_Options_Exhibits'!T1835:T1839),"")</f>
        <v/>
      </c>
      <c r="U1839" s="3">
        <f>IF(ISNUMBER(AVERAGE('20250815_ETF_Options_Exhibits'!U1835:U1839)),AVERAGE('20250815_ETF_Options_Exhibits'!U1835:U1839),"")</f>
        <v/>
      </c>
      <c r="V1839" s="3">
        <f>IF(ISNUMBER(AVERAGE('20250815_ETF_Options_Exhibits'!V1835:V1839)),AVERAGE('20250815_ETF_Options_Exhibits'!V1835:V1839),"")</f>
        <v/>
      </c>
      <c r="W1839" s="3">
        <f>IF(ISNUMBER(AVERAGE('20250815_ETF_Options_Exhibits'!W1835:W1839)),AVERAGE('20250815_ETF_Options_Exhibits'!W1835:W1839),"")</f>
        <v/>
      </c>
      <c r="X1839" s="3">
        <f>IF(ISNUMBER(AVERAGE('20250815_ETF_Options_Exhibits'!X1835:X1839)),AVERAGE('20250815_ETF_Options_Exhibits'!X1835:X1839),"")</f>
        <v/>
      </c>
      <c r="Y1839" s="3">
        <f>IF(ISNUMBER(AVERAGE('20250815_ETF_Options_Exhibits'!Y1835:Y1839)),AVERAGE('20250815_ETF_Options_Exhibits'!Y1835:Y1839),"")</f>
        <v/>
      </c>
      <c r="Z1839" s="3">
        <f>IF(ISNUMBER(AVERAGE('20250815_ETF_Options_Exhibits'!Z1835:Z1839)),AVERAGE('20250815_ETF_Options_Exhibits'!Z1835:Z1839),"")</f>
        <v/>
      </c>
      <c r="AA1839" s="3">
        <f>IF(ISNUMBER(AVERAGE('20250815_ETF_Options_Exhibits'!AA1835:AA1839)),AVERAGE('20250815_ETF_Options_Exhibits'!AA1835:AA1839),"")</f>
        <v/>
      </c>
    </row>
    <row r="1840">
      <c r="A1840" s="1" t="n">
        <v>44671</v>
      </c>
      <c r="B1840" s="3">
        <f>IF(ISNUMBER(AVERAGE('20250815_ETF_Options_Exhibits'!B1836:B1840)),AVERAGE('20250815_ETF_Options_Exhibits'!B1836:B1840),"")</f>
        <v/>
      </c>
      <c r="C1840" s="3">
        <f>IF(ISNUMBER(AVERAGE('20250815_ETF_Options_Exhibits'!C1836:C1840)),AVERAGE('20250815_ETF_Options_Exhibits'!C1836:C1840),"")</f>
        <v/>
      </c>
      <c r="D1840" s="3">
        <f>IF(ISNUMBER(AVERAGE('20250815_ETF_Options_Exhibits'!D1836:D1840)),AVERAGE('20250815_ETF_Options_Exhibits'!D1836:D1840),"")</f>
        <v/>
      </c>
      <c r="E1840" s="3">
        <f>IF(ISNUMBER(AVERAGE('20250815_ETF_Options_Exhibits'!E1836:E1840)),AVERAGE('20250815_ETF_Options_Exhibits'!E1836:E1840),"")</f>
        <v/>
      </c>
      <c r="F1840" s="3">
        <f>IF(ISNUMBER(AVERAGE('20250815_ETF_Options_Exhibits'!F1836:F1840)),AVERAGE('20250815_ETF_Options_Exhibits'!F1836:F1840),"")</f>
        <v/>
      </c>
      <c r="G1840" s="3">
        <f>IF(ISNUMBER(AVERAGE('20250815_ETF_Options_Exhibits'!G1836:G1840)),AVERAGE('20250815_ETF_Options_Exhibits'!G1836:G1840),"")</f>
        <v/>
      </c>
      <c r="H1840" s="3">
        <f>IF(ISNUMBER(AVERAGE('20250815_ETF_Options_Exhibits'!H1836:H1840)),AVERAGE('20250815_ETF_Options_Exhibits'!H1836:H1840),"")</f>
        <v/>
      </c>
      <c r="I1840" s="3">
        <f>IF(ISNUMBER(AVERAGE('20250815_ETF_Options_Exhibits'!I1836:I1840)),AVERAGE('20250815_ETF_Options_Exhibits'!I1836:I1840),"")</f>
        <v/>
      </c>
      <c r="J1840" s="3">
        <f>IF(ISNUMBER(AVERAGE('20250815_ETF_Options_Exhibits'!J1836:J1840)),AVERAGE('20250815_ETF_Options_Exhibits'!J1836:J1840),"")</f>
        <v/>
      </c>
      <c r="K1840" s="3">
        <f>IF(ISNUMBER(AVERAGE('20250815_ETF_Options_Exhibits'!K1836:K1840)),AVERAGE('20250815_ETF_Options_Exhibits'!K1836:K1840),"")</f>
        <v/>
      </c>
      <c r="L1840" s="3">
        <f>IF(ISNUMBER(AVERAGE('20250815_ETF_Options_Exhibits'!L1836:L1840)),AVERAGE('20250815_ETF_Options_Exhibits'!L1836:L1840),"")</f>
        <v/>
      </c>
      <c r="M1840" s="3">
        <f>IF(ISNUMBER(AVERAGE('20250815_ETF_Options_Exhibits'!M1836:M1840)),AVERAGE('20250815_ETF_Options_Exhibits'!M1836:M1840),"")</f>
        <v/>
      </c>
      <c r="N1840" s="3">
        <f>IF(ISNUMBER(AVERAGE('20250815_ETF_Options_Exhibits'!N1836:N1840)),AVERAGE('20250815_ETF_Options_Exhibits'!N1836:N1840),"")</f>
        <v/>
      </c>
      <c r="O1840" s="3">
        <f>IF(ISNUMBER(AVERAGE('20250815_ETF_Options_Exhibits'!O1836:O1840)),AVERAGE('20250815_ETF_Options_Exhibits'!O1836:O1840),"")</f>
        <v/>
      </c>
      <c r="P1840" s="3">
        <f>IF(ISNUMBER(AVERAGE('20250815_ETF_Options_Exhibits'!P1836:P1840)),AVERAGE('20250815_ETF_Options_Exhibits'!P1836:P1840),"")</f>
        <v/>
      </c>
      <c r="Q1840" s="3">
        <f>IF(ISNUMBER(AVERAGE('20250815_ETF_Options_Exhibits'!Q1836:Q1840)),AVERAGE('20250815_ETF_Options_Exhibits'!Q1836:Q1840),"")</f>
        <v/>
      </c>
      <c r="R1840" s="3">
        <f>IF(ISNUMBER(AVERAGE('20250815_ETF_Options_Exhibits'!R1836:R1840)),AVERAGE('20250815_ETF_Options_Exhibits'!R1836:R1840),"")</f>
        <v/>
      </c>
      <c r="S1840" s="3">
        <f>IF(ISNUMBER(AVERAGE('20250815_ETF_Options_Exhibits'!S1836:S1840)),AVERAGE('20250815_ETF_Options_Exhibits'!S1836:S1840),"")</f>
        <v/>
      </c>
      <c r="T1840" s="3">
        <f>IF(ISNUMBER(AVERAGE('20250815_ETF_Options_Exhibits'!T1836:T1840)),AVERAGE('20250815_ETF_Options_Exhibits'!T1836:T1840),"")</f>
        <v/>
      </c>
      <c r="U1840" s="3">
        <f>IF(ISNUMBER(AVERAGE('20250815_ETF_Options_Exhibits'!U1836:U1840)),AVERAGE('20250815_ETF_Options_Exhibits'!U1836:U1840),"")</f>
        <v/>
      </c>
      <c r="V1840" s="3">
        <f>IF(ISNUMBER(AVERAGE('20250815_ETF_Options_Exhibits'!V1836:V1840)),AVERAGE('20250815_ETF_Options_Exhibits'!V1836:V1840),"")</f>
        <v/>
      </c>
      <c r="W1840" s="3">
        <f>IF(ISNUMBER(AVERAGE('20250815_ETF_Options_Exhibits'!W1836:W1840)),AVERAGE('20250815_ETF_Options_Exhibits'!W1836:W1840),"")</f>
        <v/>
      </c>
      <c r="X1840" s="3">
        <f>IF(ISNUMBER(AVERAGE('20250815_ETF_Options_Exhibits'!X1836:X1840)),AVERAGE('20250815_ETF_Options_Exhibits'!X1836:X1840),"")</f>
        <v/>
      </c>
      <c r="Y1840" s="3">
        <f>IF(ISNUMBER(AVERAGE('20250815_ETF_Options_Exhibits'!Y1836:Y1840)),AVERAGE('20250815_ETF_Options_Exhibits'!Y1836:Y1840),"")</f>
        <v/>
      </c>
      <c r="Z1840" s="3">
        <f>IF(ISNUMBER(AVERAGE('20250815_ETF_Options_Exhibits'!Z1836:Z1840)),AVERAGE('20250815_ETF_Options_Exhibits'!Z1836:Z1840),"")</f>
        <v/>
      </c>
      <c r="AA1840" s="3">
        <f>IF(ISNUMBER(AVERAGE('20250815_ETF_Options_Exhibits'!AA1836:AA1840)),AVERAGE('20250815_ETF_Options_Exhibits'!AA1836:AA1840),"")</f>
        <v/>
      </c>
    </row>
    <row r="1841">
      <c r="A1841" s="1" t="n">
        <v>44672</v>
      </c>
      <c r="B1841" s="3">
        <f>IF(ISNUMBER(AVERAGE('20250815_ETF_Options_Exhibits'!B1837:B1841)),AVERAGE('20250815_ETF_Options_Exhibits'!B1837:B1841),"")</f>
        <v/>
      </c>
      <c r="C1841" s="3">
        <f>IF(ISNUMBER(AVERAGE('20250815_ETF_Options_Exhibits'!C1837:C1841)),AVERAGE('20250815_ETF_Options_Exhibits'!C1837:C1841),"")</f>
        <v/>
      </c>
      <c r="D1841" s="3">
        <f>IF(ISNUMBER(AVERAGE('20250815_ETF_Options_Exhibits'!D1837:D1841)),AVERAGE('20250815_ETF_Options_Exhibits'!D1837:D1841),"")</f>
        <v/>
      </c>
      <c r="E1841" s="3">
        <f>IF(ISNUMBER(AVERAGE('20250815_ETF_Options_Exhibits'!E1837:E1841)),AVERAGE('20250815_ETF_Options_Exhibits'!E1837:E1841),"")</f>
        <v/>
      </c>
      <c r="F1841" s="3">
        <f>IF(ISNUMBER(AVERAGE('20250815_ETF_Options_Exhibits'!F1837:F1841)),AVERAGE('20250815_ETF_Options_Exhibits'!F1837:F1841),"")</f>
        <v/>
      </c>
      <c r="G1841" s="3">
        <f>IF(ISNUMBER(AVERAGE('20250815_ETF_Options_Exhibits'!G1837:G1841)),AVERAGE('20250815_ETF_Options_Exhibits'!G1837:G1841),"")</f>
        <v/>
      </c>
      <c r="H1841" s="3">
        <f>IF(ISNUMBER(AVERAGE('20250815_ETF_Options_Exhibits'!H1837:H1841)),AVERAGE('20250815_ETF_Options_Exhibits'!H1837:H1841),"")</f>
        <v/>
      </c>
      <c r="I1841" s="3">
        <f>IF(ISNUMBER(AVERAGE('20250815_ETF_Options_Exhibits'!I1837:I1841)),AVERAGE('20250815_ETF_Options_Exhibits'!I1837:I1841),"")</f>
        <v/>
      </c>
      <c r="J1841" s="3">
        <f>IF(ISNUMBER(AVERAGE('20250815_ETF_Options_Exhibits'!J1837:J1841)),AVERAGE('20250815_ETF_Options_Exhibits'!J1837:J1841),"")</f>
        <v/>
      </c>
      <c r="K1841" s="3">
        <f>IF(ISNUMBER(AVERAGE('20250815_ETF_Options_Exhibits'!K1837:K1841)),AVERAGE('20250815_ETF_Options_Exhibits'!K1837:K1841),"")</f>
        <v/>
      </c>
      <c r="L1841" s="3">
        <f>IF(ISNUMBER(AVERAGE('20250815_ETF_Options_Exhibits'!L1837:L1841)),AVERAGE('20250815_ETF_Options_Exhibits'!L1837:L1841),"")</f>
        <v/>
      </c>
      <c r="M1841" s="3">
        <f>IF(ISNUMBER(AVERAGE('20250815_ETF_Options_Exhibits'!M1837:M1841)),AVERAGE('20250815_ETF_Options_Exhibits'!M1837:M1841),"")</f>
        <v/>
      </c>
      <c r="N1841" s="3">
        <f>IF(ISNUMBER(AVERAGE('20250815_ETF_Options_Exhibits'!N1837:N1841)),AVERAGE('20250815_ETF_Options_Exhibits'!N1837:N1841),"")</f>
        <v/>
      </c>
      <c r="O1841" s="3">
        <f>IF(ISNUMBER(AVERAGE('20250815_ETF_Options_Exhibits'!O1837:O1841)),AVERAGE('20250815_ETF_Options_Exhibits'!O1837:O1841),"")</f>
        <v/>
      </c>
      <c r="P1841" s="3">
        <f>IF(ISNUMBER(AVERAGE('20250815_ETF_Options_Exhibits'!P1837:P1841)),AVERAGE('20250815_ETF_Options_Exhibits'!P1837:P1841),"")</f>
        <v/>
      </c>
      <c r="Q1841" s="3">
        <f>IF(ISNUMBER(AVERAGE('20250815_ETF_Options_Exhibits'!Q1837:Q1841)),AVERAGE('20250815_ETF_Options_Exhibits'!Q1837:Q1841),"")</f>
        <v/>
      </c>
      <c r="R1841" s="3">
        <f>IF(ISNUMBER(AVERAGE('20250815_ETF_Options_Exhibits'!R1837:R1841)),AVERAGE('20250815_ETF_Options_Exhibits'!R1837:R1841),"")</f>
        <v/>
      </c>
      <c r="S1841" s="3">
        <f>IF(ISNUMBER(AVERAGE('20250815_ETF_Options_Exhibits'!S1837:S1841)),AVERAGE('20250815_ETF_Options_Exhibits'!S1837:S1841),"")</f>
        <v/>
      </c>
      <c r="T1841" s="3">
        <f>IF(ISNUMBER(AVERAGE('20250815_ETF_Options_Exhibits'!T1837:T1841)),AVERAGE('20250815_ETF_Options_Exhibits'!T1837:T1841),"")</f>
        <v/>
      </c>
      <c r="U1841" s="3">
        <f>IF(ISNUMBER(AVERAGE('20250815_ETF_Options_Exhibits'!U1837:U1841)),AVERAGE('20250815_ETF_Options_Exhibits'!U1837:U1841),"")</f>
        <v/>
      </c>
      <c r="V1841" s="3">
        <f>IF(ISNUMBER(AVERAGE('20250815_ETF_Options_Exhibits'!V1837:V1841)),AVERAGE('20250815_ETF_Options_Exhibits'!V1837:V1841),"")</f>
        <v/>
      </c>
      <c r="W1841" s="3">
        <f>IF(ISNUMBER(AVERAGE('20250815_ETF_Options_Exhibits'!W1837:W1841)),AVERAGE('20250815_ETF_Options_Exhibits'!W1837:W1841),"")</f>
        <v/>
      </c>
      <c r="X1841" s="3">
        <f>IF(ISNUMBER(AVERAGE('20250815_ETF_Options_Exhibits'!X1837:X1841)),AVERAGE('20250815_ETF_Options_Exhibits'!X1837:X1841),"")</f>
        <v/>
      </c>
      <c r="Y1841" s="3">
        <f>IF(ISNUMBER(AVERAGE('20250815_ETF_Options_Exhibits'!Y1837:Y1841)),AVERAGE('20250815_ETF_Options_Exhibits'!Y1837:Y1841),"")</f>
        <v/>
      </c>
      <c r="Z1841" s="3">
        <f>IF(ISNUMBER(AVERAGE('20250815_ETF_Options_Exhibits'!Z1837:Z1841)),AVERAGE('20250815_ETF_Options_Exhibits'!Z1837:Z1841),"")</f>
        <v/>
      </c>
      <c r="AA1841" s="3">
        <f>IF(ISNUMBER(AVERAGE('20250815_ETF_Options_Exhibits'!AA1837:AA1841)),AVERAGE('20250815_ETF_Options_Exhibits'!AA1837:AA1841),"")</f>
        <v/>
      </c>
    </row>
    <row r="1842">
      <c r="A1842" s="1" t="n">
        <v>44673</v>
      </c>
      <c r="B1842" s="3">
        <f>IF(ISNUMBER(AVERAGE('20250815_ETF_Options_Exhibits'!B1838:B1842)),AVERAGE('20250815_ETF_Options_Exhibits'!B1838:B1842),"")</f>
        <v/>
      </c>
      <c r="C1842" s="3">
        <f>IF(ISNUMBER(AVERAGE('20250815_ETF_Options_Exhibits'!C1838:C1842)),AVERAGE('20250815_ETF_Options_Exhibits'!C1838:C1842),"")</f>
        <v/>
      </c>
      <c r="D1842" s="3">
        <f>IF(ISNUMBER(AVERAGE('20250815_ETF_Options_Exhibits'!D1838:D1842)),AVERAGE('20250815_ETF_Options_Exhibits'!D1838:D1842),"")</f>
        <v/>
      </c>
      <c r="E1842" s="3">
        <f>IF(ISNUMBER(AVERAGE('20250815_ETF_Options_Exhibits'!E1838:E1842)),AVERAGE('20250815_ETF_Options_Exhibits'!E1838:E1842),"")</f>
        <v/>
      </c>
      <c r="F1842" s="3">
        <f>IF(ISNUMBER(AVERAGE('20250815_ETF_Options_Exhibits'!F1838:F1842)),AVERAGE('20250815_ETF_Options_Exhibits'!F1838:F1842),"")</f>
        <v/>
      </c>
      <c r="G1842" s="3">
        <f>IF(ISNUMBER(AVERAGE('20250815_ETF_Options_Exhibits'!G1838:G1842)),AVERAGE('20250815_ETF_Options_Exhibits'!G1838:G1842),"")</f>
        <v/>
      </c>
      <c r="H1842" s="3">
        <f>IF(ISNUMBER(AVERAGE('20250815_ETF_Options_Exhibits'!H1838:H1842)),AVERAGE('20250815_ETF_Options_Exhibits'!H1838:H1842),"")</f>
        <v/>
      </c>
      <c r="I1842" s="3">
        <f>IF(ISNUMBER(AVERAGE('20250815_ETF_Options_Exhibits'!I1838:I1842)),AVERAGE('20250815_ETF_Options_Exhibits'!I1838:I1842),"")</f>
        <v/>
      </c>
      <c r="J1842" s="3">
        <f>IF(ISNUMBER(AVERAGE('20250815_ETF_Options_Exhibits'!J1838:J1842)),AVERAGE('20250815_ETF_Options_Exhibits'!J1838:J1842),"")</f>
        <v/>
      </c>
      <c r="K1842" s="3">
        <f>IF(ISNUMBER(AVERAGE('20250815_ETF_Options_Exhibits'!K1838:K1842)),AVERAGE('20250815_ETF_Options_Exhibits'!K1838:K1842),"")</f>
        <v/>
      </c>
      <c r="L1842" s="3">
        <f>IF(ISNUMBER(AVERAGE('20250815_ETF_Options_Exhibits'!L1838:L1842)),AVERAGE('20250815_ETF_Options_Exhibits'!L1838:L1842),"")</f>
        <v/>
      </c>
      <c r="M1842" s="3">
        <f>IF(ISNUMBER(AVERAGE('20250815_ETF_Options_Exhibits'!M1838:M1842)),AVERAGE('20250815_ETF_Options_Exhibits'!M1838:M1842),"")</f>
        <v/>
      </c>
      <c r="N1842" s="3">
        <f>IF(ISNUMBER(AVERAGE('20250815_ETF_Options_Exhibits'!N1838:N1842)),AVERAGE('20250815_ETF_Options_Exhibits'!N1838:N1842),"")</f>
        <v/>
      </c>
      <c r="O1842" s="3">
        <f>IF(ISNUMBER(AVERAGE('20250815_ETF_Options_Exhibits'!O1838:O1842)),AVERAGE('20250815_ETF_Options_Exhibits'!O1838:O1842),"")</f>
        <v/>
      </c>
      <c r="P1842" s="3">
        <f>IF(ISNUMBER(AVERAGE('20250815_ETF_Options_Exhibits'!P1838:P1842)),AVERAGE('20250815_ETF_Options_Exhibits'!P1838:P1842),"")</f>
        <v/>
      </c>
      <c r="Q1842" s="3">
        <f>IF(ISNUMBER(AVERAGE('20250815_ETF_Options_Exhibits'!Q1838:Q1842)),AVERAGE('20250815_ETF_Options_Exhibits'!Q1838:Q1842),"")</f>
        <v/>
      </c>
      <c r="R1842" s="3">
        <f>IF(ISNUMBER(AVERAGE('20250815_ETF_Options_Exhibits'!R1838:R1842)),AVERAGE('20250815_ETF_Options_Exhibits'!R1838:R1842),"")</f>
        <v/>
      </c>
      <c r="S1842" s="3">
        <f>IF(ISNUMBER(AVERAGE('20250815_ETF_Options_Exhibits'!S1838:S1842)),AVERAGE('20250815_ETF_Options_Exhibits'!S1838:S1842),"")</f>
        <v/>
      </c>
      <c r="T1842" s="3">
        <f>IF(ISNUMBER(AVERAGE('20250815_ETF_Options_Exhibits'!T1838:T1842)),AVERAGE('20250815_ETF_Options_Exhibits'!T1838:T1842),"")</f>
        <v/>
      </c>
      <c r="U1842" s="3">
        <f>IF(ISNUMBER(AVERAGE('20250815_ETF_Options_Exhibits'!U1838:U1842)),AVERAGE('20250815_ETF_Options_Exhibits'!U1838:U1842),"")</f>
        <v/>
      </c>
      <c r="V1842" s="3">
        <f>IF(ISNUMBER(AVERAGE('20250815_ETF_Options_Exhibits'!V1838:V1842)),AVERAGE('20250815_ETF_Options_Exhibits'!V1838:V1842),"")</f>
        <v/>
      </c>
      <c r="W1842" s="3">
        <f>IF(ISNUMBER(AVERAGE('20250815_ETF_Options_Exhibits'!W1838:W1842)),AVERAGE('20250815_ETF_Options_Exhibits'!W1838:W1842),"")</f>
        <v/>
      </c>
      <c r="X1842" s="3">
        <f>IF(ISNUMBER(AVERAGE('20250815_ETF_Options_Exhibits'!X1838:X1842)),AVERAGE('20250815_ETF_Options_Exhibits'!X1838:X1842),"")</f>
        <v/>
      </c>
      <c r="Y1842" s="3">
        <f>IF(ISNUMBER(AVERAGE('20250815_ETF_Options_Exhibits'!Y1838:Y1842)),AVERAGE('20250815_ETF_Options_Exhibits'!Y1838:Y1842),"")</f>
        <v/>
      </c>
      <c r="Z1842" s="3">
        <f>IF(ISNUMBER(AVERAGE('20250815_ETF_Options_Exhibits'!Z1838:Z1842)),AVERAGE('20250815_ETF_Options_Exhibits'!Z1838:Z1842),"")</f>
        <v/>
      </c>
      <c r="AA1842" s="3">
        <f>IF(ISNUMBER(AVERAGE('20250815_ETF_Options_Exhibits'!AA1838:AA1842)),AVERAGE('20250815_ETF_Options_Exhibits'!AA1838:AA1842),"")</f>
        <v/>
      </c>
    </row>
    <row r="1843">
      <c r="A1843" s="1" t="n">
        <v>44676</v>
      </c>
      <c r="B1843" s="3">
        <f>IF(ISNUMBER(AVERAGE('20250815_ETF_Options_Exhibits'!B1839:B1843)),AVERAGE('20250815_ETF_Options_Exhibits'!B1839:B1843),"")</f>
        <v/>
      </c>
      <c r="C1843" s="3">
        <f>IF(ISNUMBER(AVERAGE('20250815_ETF_Options_Exhibits'!C1839:C1843)),AVERAGE('20250815_ETF_Options_Exhibits'!C1839:C1843),"")</f>
        <v/>
      </c>
      <c r="D1843" s="3">
        <f>IF(ISNUMBER(AVERAGE('20250815_ETF_Options_Exhibits'!D1839:D1843)),AVERAGE('20250815_ETF_Options_Exhibits'!D1839:D1843),"")</f>
        <v/>
      </c>
      <c r="E1843" s="3">
        <f>IF(ISNUMBER(AVERAGE('20250815_ETF_Options_Exhibits'!E1839:E1843)),AVERAGE('20250815_ETF_Options_Exhibits'!E1839:E1843),"")</f>
        <v/>
      </c>
      <c r="F1843" s="3">
        <f>IF(ISNUMBER(AVERAGE('20250815_ETF_Options_Exhibits'!F1839:F1843)),AVERAGE('20250815_ETF_Options_Exhibits'!F1839:F1843),"")</f>
        <v/>
      </c>
      <c r="G1843" s="3">
        <f>IF(ISNUMBER(AVERAGE('20250815_ETF_Options_Exhibits'!G1839:G1843)),AVERAGE('20250815_ETF_Options_Exhibits'!G1839:G1843),"")</f>
        <v/>
      </c>
      <c r="H1843" s="3">
        <f>IF(ISNUMBER(AVERAGE('20250815_ETF_Options_Exhibits'!H1839:H1843)),AVERAGE('20250815_ETF_Options_Exhibits'!H1839:H1843),"")</f>
        <v/>
      </c>
      <c r="I1843" s="3">
        <f>IF(ISNUMBER(AVERAGE('20250815_ETF_Options_Exhibits'!I1839:I1843)),AVERAGE('20250815_ETF_Options_Exhibits'!I1839:I1843),"")</f>
        <v/>
      </c>
      <c r="J1843" s="3">
        <f>IF(ISNUMBER(AVERAGE('20250815_ETF_Options_Exhibits'!J1839:J1843)),AVERAGE('20250815_ETF_Options_Exhibits'!J1839:J1843),"")</f>
        <v/>
      </c>
      <c r="K1843" s="3">
        <f>IF(ISNUMBER(AVERAGE('20250815_ETF_Options_Exhibits'!K1839:K1843)),AVERAGE('20250815_ETF_Options_Exhibits'!K1839:K1843),"")</f>
        <v/>
      </c>
      <c r="L1843" s="3">
        <f>IF(ISNUMBER(AVERAGE('20250815_ETF_Options_Exhibits'!L1839:L1843)),AVERAGE('20250815_ETF_Options_Exhibits'!L1839:L1843),"")</f>
        <v/>
      </c>
      <c r="M1843" s="3">
        <f>IF(ISNUMBER(AVERAGE('20250815_ETF_Options_Exhibits'!M1839:M1843)),AVERAGE('20250815_ETF_Options_Exhibits'!M1839:M1843),"")</f>
        <v/>
      </c>
      <c r="N1843" s="3">
        <f>IF(ISNUMBER(AVERAGE('20250815_ETF_Options_Exhibits'!N1839:N1843)),AVERAGE('20250815_ETF_Options_Exhibits'!N1839:N1843),"")</f>
        <v/>
      </c>
      <c r="O1843" s="3">
        <f>IF(ISNUMBER(AVERAGE('20250815_ETF_Options_Exhibits'!O1839:O1843)),AVERAGE('20250815_ETF_Options_Exhibits'!O1839:O1843),"")</f>
        <v/>
      </c>
      <c r="P1843" s="3">
        <f>IF(ISNUMBER(AVERAGE('20250815_ETF_Options_Exhibits'!P1839:P1843)),AVERAGE('20250815_ETF_Options_Exhibits'!P1839:P1843),"")</f>
        <v/>
      </c>
      <c r="Q1843" s="3">
        <f>IF(ISNUMBER(AVERAGE('20250815_ETF_Options_Exhibits'!Q1839:Q1843)),AVERAGE('20250815_ETF_Options_Exhibits'!Q1839:Q1843),"")</f>
        <v/>
      </c>
      <c r="R1843" s="3">
        <f>IF(ISNUMBER(AVERAGE('20250815_ETF_Options_Exhibits'!R1839:R1843)),AVERAGE('20250815_ETF_Options_Exhibits'!R1839:R1843),"")</f>
        <v/>
      </c>
      <c r="S1843" s="3">
        <f>IF(ISNUMBER(AVERAGE('20250815_ETF_Options_Exhibits'!S1839:S1843)),AVERAGE('20250815_ETF_Options_Exhibits'!S1839:S1843),"")</f>
        <v/>
      </c>
      <c r="T1843" s="3">
        <f>IF(ISNUMBER(AVERAGE('20250815_ETF_Options_Exhibits'!T1839:T1843)),AVERAGE('20250815_ETF_Options_Exhibits'!T1839:T1843),"")</f>
        <v/>
      </c>
      <c r="U1843" s="3">
        <f>IF(ISNUMBER(AVERAGE('20250815_ETF_Options_Exhibits'!U1839:U1843)),AVERAGE('20250815_ETF_Options_Exhibits'!U1839:U1843),"")</f>
        <v/>
      </c>
      <c r="V1843" s="3">
        <f>IF(ISNUMBER(AVERAGE('20250815_ETF_Options_Exhibits'!V1839:V1843)),AVERAGE('20250815_ETF_Options_Exhibits'!V1839:V1843),"")</f>
        <v/>
      </c>
      <c r="W1843" s="3">
        <f>IF(ISNUMBER(AVERAGE('20250815_ETF_Options_Exhibits'!W1839:W1843)),AVERAGE('20250815_ETF_Options_Exhibits'!W1839:W1843),"")</f>
        <v/>
      </c>
      <c r="X1843" s="3">
        <f>IF(ISNUMBER(AVERAGE('20250815_ETF_Options_Exhibits'!X1839:X1843)),AVERAGE('20250815_ETF_Options_Exhibits'!X1839:X1843),"")</f>
        <v/>
      </c>
      <c r="Y1843" s="3">
        <f>IF(ISNUMBER(AVERAGE('20250815_ETF_Options_Exhibits'!Y1839:Y1843)),AVERAGE('20250815_ETF_Options_Exhibits'!Y1839:Y1843),"")</f>
        <v/>
      </c>
      <c r="Z1843" s="3">
        <f>IF(ISNUMBER(AVERAGE('20250815_ETF_Options_Exhibits'!Z1839:Z1843)),AVERAGE('20250815_ETF_Options_Exhibits'!Z1839:Z1843),"")</f>
        <v/>
      </c>
      <c r="AA1843" s="3">
        <f>IF(ISNUMBER(AVERAGE('20250815_ETF_Options_Exhibits'!AA1839:AA1843)),AVERAGE('20250815_ETF_Options_Exhibits'!AA1839:AA1843),"")</f>
        <v/>
      </c>
    </row>
    <row r="1844">
      <c r="A1844" s="1" t="n">
        <v>44677</v>
      </c>
      <c r="B1844" s="3">
        <f>IF(ISNUMBER(AVERAGE('20250815_ETF_Options_Exhibits'!B1840:B1844)),AVERAGE('20250815_ETF_Options_Exhibits'!B1840:B1844),"")</f>
        <v/>
      </c>
      <c r="C1844" s="3">
        <f>IF(ISNUMBER(AVERAGE('20250815_ETF_Options_Exhibits'!C1840:C1844)),AVERAGE('20250815_ETF_Options_Exhibits'!C1840:C1844),"")</f>
        <v/>
      </c>
      <c r="D1844" s="3">
        <f>IF(ISNUMBER(AVERAGE('20250815_ETF_Options_Exhibits'!D1840:D1844)),AVERAGE('20250815_ETF_Options_Exhibits'!D1840:D1844),"")</f>
        <v/>
      </c>
      <c r="E1844" s="3">
        <f>IF(ISNUMBER(AVERAGE('20250815_ETF_Options_Exhibits'!E1840:E1844)),AVERAGE('20250815_ETF_Options_Exhibits'!E1840:E1844),"")</f>
        <v/>
      </c>
      <c r="F1844" s="3">
        <f>IF(ISNUMBER(AVERAGE('20250815_ETF_Options_Exhibits'!F1840:F1844)),AVERAGE('20250815_ETF_Options_Exhibits'!F1840:F1844),"")</f>
        <v/>
      </c>
      <c r="G1844" s="3">
        <f>IF(ISNUMBER(AVERAGE('20250815_ETF_Options_Exhibits'!G1840:G1844)),AVERAGE('20250815_ETF_Options_Exhibits'!G1840:G1844),"")</f>
        <v/>
      </c>
      <c r="H1844" s="3">
        <f>IF(ISNUMBER(AVERAGE('20250815_ETF_Options_Exhibits'!H1840:H1844)),AVERAGE('20250815_ETF_Options_Exhibits'!H1840:H1844),"")</f>
        <v/>
      </c>
      <c r="I1844" s="3">
        <f>IF(ISNUMBER(AVERAGE('20250815_ETF_Options_Exhibits'!I1840:I1844)),AVERAGE('20250815_ETF_Options_Exhibits'!I1840:I1844),"")</f>
        <v/>
      </c>
      <c r="J1844" s="3">
        <f>IF(ISNUMBER(AVERAGE('20250815_ETF_Options_Exhibits'!J1840:J1844)),AVERAGE('20250815_ETF_Options_Exhibits'!J1840:J1844),"")</f>
        <v/>
      </c>
      <c r="K1844" s="3">
        <f>IF(ISNUMBER(AVERAGE('20250815_ETF_Options_Exhibits'!K1840:K1844)),AVERAGE('20250815_ETF_Options_Exhibits'!K1840:K1844),"")</f>
        <v/>
      </c>
      <c r="L1844" s="3">
        <f>IF(ISNUMBER(AVERAGE('20250815_ETF_Options_Exhibits'!L1840:L1844)),AVERAGE('20250815_ETF_Options_Exhibits'!L1840:L1844),"")</f>
        <v/>
      </c>
      <c r="M1844" s="3">
        <f>IF(ISNUMBER(AVERAGE('20250815_ETF_Options_Exhibits'!M1840:M1844)),AVERAGE('20250815_ETF_Options_Exhibits'!M1840:M1844),"")</f>
        <v/>
      </c>
      <c r="N1844" s="3">
        <f>IF(ISNUMBER(AVERAGE('20250815_ETF_Options_Exhibits'!N1840:N1844)),AVERAGE('20250815_ETF_Options_Exhibits'!N1840:N1844),"")</f>
        <v/>
      </c>
      <c r="O1844" s="3">
        <f>IF(ISNUMBER(AVERAGE('20250815_ETF_Options_Exhibits'!O1840:O1844)),AVERAGE('20250815_ETF_Options_Exhibits'!O1840:O1844),"")</f>
        <v/>
      </c>
      <c r="P1844" s="3">
        <f>IF(ISNUMBER(AVERAGE('20250815_ETF_Options_Exhibits'!P1840:P1844)),AVERAGE('20250815_ETF_Options_Exhibits'!P1840:P1844),"")</f>
        <v/>
      </c>
      <c r="Q1844" s="3">
        <f>IF(ISNUMBER(AVERAGE('20250815_ETF_Options_Exhibits'!Q1840:Q1844)),AVERAGE('20250815_ETF_Options_Exhibits'!Q1840:Q1844),"")</f>
        <v/>
      </c>
      <c r="R1844" s="3">
        <f>IF(ISNUMBER(AVERAGE('20250815_ETF_Options_Exhibits'!R1840:R1844)),AVERAGE('20250815_ETF_Options_Exhibits'!R1840:R1844),"")</f>
        <v/>
      </c>
      <c r="S1844" s="3">
        <f>IF(ISNUMBER(AVERAGE('20250815_ETF_Options_Exhibits'!S1840:S1844)),AVERAGE('20250815_ETF_Options_Exhibits'!S1840:S1844),"")</f>
        <v/>
      </c>
      <c r="T1844" s="3">
        <f>IF(ISNUMBER(AVERAGE('20250815_ETF_Options_Exhibits'!T1840:T1844)),AVERAGE('20250815_ETF_Options_Exhibits'!T1840:T1844),"")</f>
        <v/>
      </c>
      <c r="U1844" s="3">
        <f>IF(ISNUMBER(AVERAGE('20250815_ETF_Options_Exhibits'!U1840:U1844)),AVERAGE('20250815_ETF_Options_Exhibits'!U1840:U1844),"")</f>
        <v/>
      </c>
      <c r="V1844" s="3">
        <f>IF(ISNUMBER(AVERAGE('20250815_ETF_Options_Exhibits'!V1840:V1844)),AVERAGE('20250815_ETF_Options_Exhibits'!V1840:V1844),"")</f>
        <v/>
      </c>
      <c r="W1844" s="3">
        <f>IF(ISNUMBER(AVERAGE('20250815_ETF_Options_Exhibits'!W1840:W1844)),AVERAGE('20250815_ETF_Options_Exhibits'!W1840:W1844),"")</f>
        <v/>
      </c>
      <c r="X1844" s="3">
        <f>IF(ISNUMBER(AVERAGE('20250815_ETF_Options_Exhibits'!X1840:X1844)),AVERAGE('20250815_ETF_Options_Exhibits'!X1840:X1844),"")</f>
        <v/>
      </c>
      <c r="Y1844" s="3">
        <f>IF(ISNUMBER(AVERAGE('20250815_ETF_Options_Exhibits'!Y1840:Y1844)),AVERAGE('20250815_ETF_Options_Exhibits'!Y1840:Y1844),"")</f>
        <v/>
      </c>
      <c r="Z1844" s="3">
        <f>IF(ISNUMBER(AVERAGE('20250815_ETF_Options_Exhibits'!Z1840:Z1844)),AVERAGE('20250815_ETF_Options_Exhibits'!Z1840:Z1844),"")</f>
        <v/>
      </c>
      <c r="AA1844" s="3">
        <f>IF(ISNUMBER(AVERAGE('20250815_ETF_Options_Exhibits'!AA1840:AA1844)),AVERAGE('20250815_ETF_Options_Exhibits'!AA1840:AA1844),"")</f>
        <v/>
      </c>
    </row>
    <row r="1845">
      <c r="A1845" s="1" t="n">
        <v>44678</v>
      </c>
      <c r="B1845" s="3">
        <f>IF(ISNUMBER(AVERAGE('20250815_ETF_Options_Exhibits'!B1841:B1845)),AVERAGE('20250815_ETF_Options_Exhibits'!B1841:B1845),"")</f>
        <v/>
      </c>
      <c r="C1845" s="3">
        <f>IF(ISNUMBER(AVERAGE('20250815_ETF_Options_Exhibits'!C1841:C1845)),AVERAGE('20250815_ETF_Options_Exhibits'!C1841:C1845),"")</f>
        <v/>
      </c>
      <c r="D1845" s="3">
        <f>IF(ISNUMBER(AVERAGE('20250815_ETF_Options_Exhibits'!D1841:D1845)),AVERAGE('20250815_ETF_Options_Exhibits'!D1841:D1845),"")</f>
        <v/>
      </c>
      <c r="E1845" s="3">
        <f>IF(ISNUMBER(AVERAGE('20250815_ETF_Options_Exhibits'!E1841:E1845)),AVERAGE('20250815_ETF_Options_Exhibits'!E1841:E1845),"")</f>
        <v/>
      </c>
      <c r="F1845" s="3">
        <f>IF(ISNUMBER(AVERAGE('20250815_ETF_Options_Exhibits'!F1841:F1845)),AVERAGE('20250815_ETF_Options_Exhibits'!F1841:F1845),"")</f>
        <v/>
      </c>
      <c r="G1845" s="3">
        <f>IF(ISNUMBER(AVERAGE('20250815_ETF_Options_Exhibits'!G1841:G1845)),AVERAGE('20250815_ETF_Options_Exhibits'!G1841:G1845),"")</f>
        <v/>
      </c>
      <c r="H1845" s="3">
        <f>IF(ISNUMBER(AVERAGE('20250815_ETF_Options_Exhibits'!H1841:H1845)),AVERAGE('20250815_ETF_Options_Exhibits'!H1841:H1845),"")</f>
        <v/>
      </c>
      <c r="I1845" s="3">
        <f>IF(ISNUMBER(AVERAGE('20250815_ETF_Options_Exhibits'!I1841:I1845)),AVERAGE('20250815_ETF_Options_Exhibits'!I1841:I1845),"")</f>
        <v/>
      </c>
      <c r="J1845" s="3">
        <f>IF(ISNUMBER(AVERAGE('20250815_ETF_Options_Exhibits'!J1841:J1845)),AVERAGE('20250815_ETF_Options_Exhibits'!J1841:J1845),"")</f>
        <v/>
      </c>
      <c r="K1845" s="3">
        <f>IF(ISNUMBER(AVERAGE('20250815_ETF_Options_Exhibits'!K1841:K1845)),AVERAGE('20250815_ETF_Options_Exhibits'!K1841:K1845),"")</f>
        <v/>
      </c>
      <c r="L1845" s="3">
        <f>IF(ISNUMBER(AVERAGE('20250815_ETF_Options_Exhibits'!L1841:L1845)),AVERAGE('20250815_ETF_Options_Exhibits'!L1841:L1845),"")</f>
        <v/>
      </c>
      <c r="M1845" s="3">
        <f>IF(ISNUMBER(AVERAGE('20250815_ETF_Options_Exhibits'!M1841:M1845)),AVERAGE('20250815_ETF_Options_Exhibits'!M1841:M1845),"")</f>
        <v/>
      </c>
      <c r="N1845" s="3">
        <f>IF(ISNUMBER(AVERAGE('20250815_ETF_Options_Exhibits'!N1841:N1845)),AVERAGE('20250815_ETF_Options_Exhibits'!N1841:N1845),"")</f>
        <v/>
      </c>
      <c r="O1845" s="3">
        <f>IF(ISNUMBER(AVERAGE('20250815_ETF_Options_Exhibits'!O1841:O1845)),AVERAGE('20250815_ETF_Options_Exhibits'!O1841:O1845),"")</f>
        <v/>
      </c>
      <c r="P1845" s="3">
        <f>IF(ISNUMBER(AVERAGE('20250815_ETF_Options_Exhibits'!P1841:P1845)),AVERAGE('20250815_ETF_Options_Exhibits'!P1841:P1845),"")</f>
        <v/>
      </c>
      <c r="Q1845" s="3">
        <f>IF(ISNUMBER(AVERAGE('20250815_ETF_Options_Exhibits'!Q1841:Q1845)),AVERAGE('20250815_ETF_Options_Exhibits'!Q1841:Q1845),"")</f>
        <v/>
      </c>
      <c r="R1845" s="3">
        <f>IF(ISNUMBER(AVERAGE('20250815_ETF_Options_Exhibits'!R1841:R1845)),AVERAGE('20250815_ETF_Options_Exhibits'!R1841:R1845),"")</f>
        <v/>
      </c>
      <c r="S1845" s="3">
        <f>IF(ISNUMBER(AVERAGE('20250815_ETF_Options_Exhibits'!S1841:S1845)),AVERAGE('20250815_ETF_Options_Exhibits'!S1841:S1845),"")</f>
        <v/>
      </c>
      <c r="T1845" s="3">
        <f>IF(ISNUMBER(AVERAGE('20250815_ETF_Options_Exhibits'!T1841:T1845)),AVERAGE('20250815_ETF_Options_Exhibits'!T1841:T1845),"")</f>
        <v/>
      </c>
      <c r="U1845" s="3">
        <f>IF(ISNUMBER(AVERAGE('20250815_ETF_Options_Exhibits'!U1841:U1845)),AVERAGE('20250815_ETF_Options_Exhibits'!U1841:U1845),"")</f>
        <v/>
      </c>
      <c r="V1845" s="3">
        <f>IF(ISNUMBER(AVERAGE('20250815_ETF_Options_Exhibits'!V1841:V1845)),AVERAGE('20250815_ETF_Options_Exhibits'!V1841:V1845),"")</f>
        <v/>
      </c>
      <c r="W1845" s="3">
        <f>IF(ISNUMBER(AVERAGE('20250815_ETF_Options_Exhibits'!W1841:W1845)),AVERAGE('20250815_ETF_Options_Exhibits'!W1841:W1845),"")</f>
        <v/>
      </c>
      <c r="X1845" s="3">
        <f>IF(ISNUMBER(AVERAGE('20250815_ETF_Options_Exhibits'!X1841:X1845)),AVERAGE('20250815_ETF_Options_Exhibits'!X1841:X1845),"")</f>
        <v/>
      </c>
      <c r="Y1845" s="3">
        <f>IF(ISNUMBER(AVERAGE('20250815_ETF_Options_Exhibits'!Y1841:Y1845)),AVERAGE('20250815_ETF_Options_Exhibits'!Y1841:Y1845),"")</f>
        <v/>
      </c>
      <c r="Z1845" s="3">
        <f>IF(ISNUMBER(AVERAGE('20250815_ETF_Options_Exhibits'!Z1841:Z1845)),AVERAGE('20250815_ETF_Options_Exhibits'!Z1841:Z1845),"")</f>
        <v/>
      </c>
      <c r="AA1845" s="3">
        <f>IF(ISNUMBER(AVERAGE('20250815_ETF_Options_Exhibits'!AA1841:AA1845)),AVERAGE('20250815_ETF_Options_Exhibits'!AA1841:AA1845),"")</f>
        <v/>
      </c>
    </row>
    <row r="1846">
      <c r="A1846" s="1" t="n">
        <v>44679</v>
      </c>
      <c r="B1846" s="3">
        <f>IF(ISNUMBER(AVERAGE('20250815_ETF_Options_Exhibits'!B1842:B1846)),AVERAGE('20250815_ETF_Options_Exhibits'!B1842:B1846),"")</f>
        <v/>
      </c>
      <c r="C1846" s="3">
        <f>IF(ISNUMBER(AVERAGE('20250815_ETF_Options_Exhibits'!C1842:C1846)),AVERAGE('20250815_ETF_Options_Exhibits'!C1842:C1846),"")</f>
        <v/>
      </c>
      <c r="D1846" s="3">
        <f>IF(ISNUMBER(AVERAGE('20250815_ETF_Options_Exhibits'!D1842:D1846)),AVERAGE('20250815_ETF_Options_Exhibits'!D1842:D1846),"")</f>
        <v/>
      </c>
      <c r="E1846" s="3">
        <f>IF(ISNUMBER(AVERAGE('20250815_ETF_Options_Exhibits'!E1842:E1846)),AVERAGE('20250815_ETF_Options_Exhibits'!E1842:E1846),"")</f>
        <v/>
      </c>
      <c r="F1846" s="3">
        <f>IF(ISNUMBER(AVERAGE('20250815_ETF_Options_Exhibits'!F1842:F1846)),AVERAGE('20250815_ETF_Options_Exhibits'!F1842:F1846),"")</f>
        <v/>
      </c>
      <c r="G1846" s="3">
        <f>IF(ISNUMBER(AVERAGE('20250815_ETF_Options_Exhibits'!G1842:G1846)),AVERAGE('20250815_ETF_Options_Exhibits'!G1842:G1846),"")</f>
        <v/>
      </c>
      <c r="H1846" s="3">
        <f>IF(ISNUMBER(AVERAGE('20250815_ETF_Options_Exhibits'!H1842:H1846)),AVERAGE('20250815_ETF_Options_Exhibits'!H1842:H1846),"")</f>
        <v/>
      </c>
      <c r="I1846" s="3">
        <f>IF(ISNUMBER(AVERAGE('20250815_ETF_Options_Exhibits'!I1842:I1846)),AVERAGE('20250815_ETF_Options_Exhibits'!I1842:I1846),"")</f>
        <v/>
      </c>
      <c r="J1846" s="3">
        <f>IF(ISNUMBER(AVERAGE('20250815_ETF_Options_Exhibits'!J1842:J1846)),AVERAGE('20250815_ETF_Options_Exhibits'!J1842:J1846),"")</f>
        <v/>
      </c>
      <c r="K1846" s="3">
        <f>IF(ISNUMBER(AVERAGE('20250815_ETF_Options_Exhibits'!K1842:K1846)),AVERAGE('20250815_ETF_Options_Exhibits'!K1842:K1846),"")</f>
        <v/>
      </c>
      <c r="L1846" s="3">
        <f>IF(ISNUMBER(AVERAGE('20250815_ETF_Options_Exhibits'!L1842:L1846)),AVERAGE('20250815_ETF_Options_Exhibits'!L1842:L1846),"")</f>
        <v/>
      </c>
      <c r="M1846" s="3">
        <f>IF(ISNUMBER(AVERAGE('20250815_ETF_Options_Exhibits'!M1842:M1846)),AVERAGE('20250815_ETF_Options_Exhibits'!M1842:M1846),"")</f>
        <v/>
      </c>
      <c r="N1846" s="3">
        <f>IF(ISNUMBER(AVERAGE('20250815_ETF_Options_Exhibits'!N1842:N1846)),AVERAGE('20250815_ETF_Options_Exhibits'!N1842:N1846),"")</f>
        <v/>
      </c>
      <c r="O1846" s="3">
        <f>IF(ISNUMBER(AVERAGE('20250815_ETF_Options_Exhibits'!O1842:O1846)),AVERAGE('20250815_ETF_Options_Exhibits'!O1842:O1846),"")</f>
        <v/>
      </c>
      <c r="P1846" s="3">
        <f>IF(ISNUMBER(AVERAGE('20250815_ETF_Options_Exhibits'!P1842:P1846)),AVERAGE('20250815_ETF_Options_Exhibits'!P1842:P1846),"")</f>
        <v/>
      </c>
      <c r="Q1846" s="3">
        <f>IF(ISNUMBER(AVERAGE('20250815_ETF_Options_Exhibits'!Q1842:Q1846)),AVERAGE('20250815_ETF_Options_Exhibits'!Q1842:Q1846),"")</f>
        <v/>
      </c>
      <c r="R1846" s="3">
        <f>IF(ISNUMBER(AVERAGE('20250815_ETF_Options_Exhibits'!R1842:R1846)),AVERAGE('20250815_ETF_Options_Exhibits'!R1842:R1846),"")</f>
        <v/>
      </c>
      <c r="S1846" s="3">
        <f>IF(ISNUMBER(AVERAGE('20250815_ETF_Options_Exhibits'!S1842:S1846)),AVERAGE('20250815_ETF_Options_Exhibits'!S1842:S1846),"")</f>
        <v/>
      </c>
      <c r="T1846" s="3">
        <f>IF(ISNUMBER(AVERAGE('20250815_ETF_Options_Exhibits'!T1842:T1846)),AVERAGE('20250815_ETF_Options_Exhibits'!T1842:T1846),"")</f>
        <v/>
      </c>
      <c r="U1846" s="3">
        <f>IF(ISNUMBER(AVERAGE('20250815_ETF_Options_Exhibits'!U1842:U1846)),AVERAGE('20250815_ETF_Options_Exhibits'!U1842:U1846),"")</f>
        <v/>
      </c>
      <c r="V1846" s="3">
        <f>IF(ISNUMBER(AVERAGE('20250815_ETF_Options_Exhibits'!V1842:V1846)),AVERAGE('20250815_ETF_Options_Exhibits'!V1842:V1846),"")</f>
        <v/>
      </c>
      <c r="W1846" s="3">
        <f>IF(ISNUMBER(AVERAGE('20250815_ETF_Options_Exhibits'!W1842:W1846)),AVERAGE('20250815_ETF_Options_Exhibits'!W1842:W1846),"")</f>
        <v/>
      </c>
      <c r="X1846" s="3">
        <f>IF(ISNUMBER(AVERAGE('20250815_ETF_Options_Exhibits'!X1842:X1846)),AVERAGE('20250815_ETF_Options_Exhibits'!X1842:X1846),"")</f>
        <v/>
      </c>
      <c r="Y1846" s="3">
        <f>IF(ISNUMBER(AVERAGE('20250815_ETF_Options_Exhibits'!Y1842:Y1846)),AVERAGE('20250815_ETF_Options_Exhibits'!Y1842:Y1846),"")</f>
        <v/>
      </c>
      <c r="Z1846" s="3">
        <f>IF(ISNUMBER(AVERAGE('20250815_ETF_Options_Exhibits'!Z1842:Z1846)),AVERAGE('20250815_ETF_Options_Exhibits'!Z1842:Z1846),"")</f>
        <v/>
      </c>
      <c r="AA1846" s="3">
        <f>IF(ISNUMBER(AVERAGE('20250815_ETF_Options_Exhibits'!AA1842:AA1846)),AVERAGE('20250815_ETF_Options_Exhibits'!AA1842:AA1846),"")</f>
        <v/>
      </c>
    </row>
    <row r="1847">
      <c r="A1847" s="1" t="n">
        <v>44680</v>
      </c>
      <c r="B1847" s="3">
        <f>IF(ISNUMBER(AVERAGE('20250815_ETF_Options_Exhibits'!B1843:B1847)),AVERAGE('20250815_ETF_Options_Exhibits'!B1843:B1847),"")</f>
        <v/>
      </c>
      <c r="C1847" s="3">
        <f>IF(ISNUMBER(AVERAGE('20250815_ETF_Options_Exhibits'!C1843:C1847)),AVERAGE('20250815_ETF_Options_Exhibits'!C1843:C1847),"")</f>
        <v/>
      </c>
      <c r="D1847" s="3">
        <f>IF(ISNUMBER(AVERAGE('20250815_ETF_Options_Exhibits'!D1843:D1847)),AVERAGE('20250815_ETF_Options_Exhibits'!D1843:D1847),"")</f>
        <v/>
      </c>
      <c r="E1847" s="3">
        <f>IF(ISNUMBER(AVERAGE('20250815_ETF_Options_Exhibits'!E1843:E1847)),AVERAGE('20250815_ETF_Options_Exhibits'!E1843:E1847),"")</f>
        <v/>
      </c>
      <c r="F1847" s="3">
        <f>IF(ISNUMBER(AVERAGE('20250815_ETF_Options_Exhibits'!F1843:F1847)),AVERAGE('20250815_ETF_Options_Exhibits'!F1843:F1847),"")</f>
        <v/>
      </c>
      <c r="G1847" s="3">
        <f>IF(ISNUMBER(AVERAGE('20250815_ETF_Options_Exhibits'!G1843:G1847)),AVERAGE('20250815_ETF_Options_Exhibits'!G1843:G1847),"")</f>
        <v/>
      </c>
      <c r="H1847" s="3">
        <f>IF(ISNUMBER(AVERAGE('20250815_ETF_Options_Exhibits'!H1843:H1847)),AVERAGE('20250815_ETF_Options_Exhibits'!H1843:H1847),"")</f>
        <v/>
      </c>
      <c r="I1847" s="3">
        <f>IF(ISNUMBER(AVERAGE('20250815_ETF_Options_Exhibits'!I1843:I1847)),AVERAGE('20250815_ETF_Options_Exhibits'!I1843:I1847),"")</f>
        <v/>
      </c>
      <c r="J1847" s="3">
        <f>IF(ISNUMBER(AVERAGE('20250815_ETF_Options_Exhibits'!J1843:J1847)),AVERAGE('20250815_ETF_Options_Exhibits'!J1843:J1847),"")</f>
        <v/>
      </c>
      <c r="K1847" s="3">
        <f>IF(ISNUMBER(AVERAGE('20250815_ETF_Options_Exhibits'!K1843:K1847)),AVERAGE('20250815_ETF_Options_Exhibits'!K1843:K1847),"")</f>
        <v/>
      </c>
      <c r="L1847" s="3">
        <f>IF(ISNUMBER(AVERAGE('20250815_ETF_Options_Exhibits'!L1843:L1847)),AVERAGE('20250815_ETF_Options_Exhibits'!L1843:L1847),"")</f>
        <v/>
      </c>
      <c r="M1847" s="3">
        <f>IF(ISNUMBER(AVERAGE('20250815_ETF_Options_Exhibits'!M1843:M1847)),AVERAGE('20250815_ETF_Options_Exhibits'!M1843:M1847),"")</f>
        <v/>
      </c>
      <c r="N1847" s="3">
        <f>IF(ISNUMBER(AVERAGE('20250815_ETF_Options_Exhibits'!N1843:N1847)),AVERAGE('20250815_ETF_Options_Exhibits'!N1843:N1847),"")</f>
        <v/>
      </c>
      <c r="O1847" s="3">
        <f>IF(ISNUMBER(AVERAGE('20250815_ETF_Options_Exhibits'!O1843:O1847)),AVERAGE('20250815_ETF_Options_Exhibits'!O1843:O1847),"")</f>
        <v/>
      </c>
      <c r="P1847" s="3">
        <f>IF(ISNUMBER(AVERAGE('20250815_ETF_Options_Exhibits'!P1843:P1847)),AVERAGE('20250815_ETF_Options_Exhibits'!P1843:P1847),"")</f>
        <v/>
      </c>
      <c r="Q1847" s="3">
        <f>IF(ISNUMBER(AVERAGE('20250815_ETF_Options_Exhibits'!Q1843:Q1847)),AVERAGE('20250815_ETF_Options_Exhibits'!Q1843:Q1847),"")</f>
        <v/>
      </c>
      <c r="R1847" s="3">
        <f>IF(ISNUMBER(AVERAGE('20250815_ETF_Options_Exhibits'!R1843:R1847)),AVERAGE('20250815_ETF_Options_Exhibits'!R1843:R1847),"")</f>
        <v/>
      </c>
      <c r="S1847" s="3">
        <f>IF(ISNUMBER(AVERAGE('20250815_ETF_Options_Exhibits'!S1843:S1847)),AVERAGE('20250815_ETF_Options_Exhibits'!S1843:S1847),"")</f>
        <v/>
      </c>
      <c r="T1847" s="3">
        <f>IF(ISNUMBER(AVERAGE('20250815_ETF_Options_Exhibits'!T1843:T1847)),AVERAGE('20250815_ETF_Options_Exhibits'!T1843:T1847),"")</f>
        <v/>
      </c>
      <c r="U1847" s="3">
        <f>IF(ISNUMBER(AVERAGE('20250815_ETF_Options_Exhibits'!U1843:U1847)),AVERAGE('20250815_ETF_Options_Exhibits'!U1843:U1847),"")</f>
        <v/>
      </c>
      <c r="V1847" s="3">
        <f>IF(ISNUMBER(AVERAGE('20250815_ETF_Options_Exhibits'!V1843:V1847)),AVERAGE('20250815_ETF_Options_Exhibits'!V1843:V1847),"")</f>
        <v/>
      </c>
      <c r="W1847" s="3">
        <f>IF(ISNUMBER(AVERAGE('20250815_ETF_Options_Exhibits'!W1843:W1847)),AVERAGE('20250815_ETF_Options_Exhibits'!W1843:W1847),"")</f>
        <v/>
      </c>
      <c r="X1847" s="3">
        <f>IF(ISNUMBER(AVERAGE('20250815_ETF_Options_Exhibits'!X1843:X1847)),AVERAGE('20250815_ETF_Options_Exhibits'!X1843:X1847),"")</f>
        <v/>
      </c>
      <c r="Y1847" s="3">
        <f>IF(ISNUMBER(AVERAGE('20250815_ETF_Options_Exhibits'!Y1843:Y1847)),AVERAGE('20250815_ETF_Options_Exhibits'!Y1843:Y1847),"")</f>
        <v/>
      </c>
      <c r="Z1847" s="3">
        <f>IF(ISNUMBER(AVERAGE('20250815_ETF_Options_Exhibits'!Z1843:Z1847)),AVERAGE('20250815_ETF_Options_Exhibits'!Z1843:Z1847),"")</f>
        <v/>
      </c>
      <c r="AA1847" s="3">
        <f>IF(ISNUMBER(AVERAGE('20250815_ETF_Options_Exhibits'!AA1843:AA1847)),AVERAGE('20250815_ETF_Options_Exhibits'!AA1843:AA1847),"")</f>
        <v/>
      </c>
    </row>
    <row r="1848">
      <c r="A1848" s="1" t="n">
        <v>44683</v>
      </c>
      <c r="B1848" s="3">
        <f>IF(ISNUMBER(AVERAGE('20250815_ETF_Options_Exhibits'!B1844:B1848)),AVERAGE('20250815_ETF_Options_Exhibits'!B1844:B1848),"")</f>
        <v/>
      </c>
      <c r="C1848" s="3">
        <f>IF(ISNUMBER(AVERAGE('20250815_ETF_Options_Exhibits'!C1844:C1848)),AVERAGE('20250815_ETF_Options_Exhibits'!C1844:C1848),"")</f>
        <v/>
      </c>
      <c r="D1848" s="3">
        <f>IF(ISNUMBER(AVERAGE('20250815_ETF_Options_Exhibits'!D1844:D1848)),AVERAGE('20250815_ETF_Options_Exhibits'!D1844:D1848),"")</f>
        <v/>
      </c>
      <c r="E1848" s="3">
        <f>IF(ISNUMBER(AVERAGE('20250815_ETF_Options_Exhibits'!E1844:E1848)),AVERAGE('20250815_ETF_Options_Exhibits'!E1844:E1848),"")</f>
        <v/>
      </c>
      <c r="F1848" s="3">
        <f>IF(ISNUMBER(AVERAGE('20250815_ETF_Options_Exhibits'!F1844:F1848)),AVERAGE('20250815_ETF_Options_Exhibits'!F1844:F1848),"")</f>
        <v/>
      </c>
      <c r="G1848" s="3">
        <f>IF(ISNUMBER(AVERAGE('20250815_ETF_Options_Exhibits'!G1844:G1848)),AVERAGE('20250815_ETF_Options_Exhibits'!G1844:G1848),"")</f>
        <v/>
      </c>
      <c r="H1848" s="3">
        <f>IF(ISNUMBER(AVERAGE('20250815_ETF_Options_Exhibits'!H1844:H1848)),AVERAGE('20250815_ETF_Options_Exhibits'!H1844:H1848),"")</f>
        <v/>
      </c>
      <c r="I1848" s="3">
        <f>IF(ISNUMBER(AVERAGE('20250815_ETF_Options_Exhibits'!I1844:I1848)),AVERAGE('20250815_ETF_Options_Exhibits'!I1844:I1848),"")</f>
        <v/>
      </c>
      <c r="J1848" s="3">
        <f>IF(ISNUMBER(AVERAGE('20250815_ETF_Options_Exhibits'!J1844:J1848)),AVERAGE('20250815_ETF_Options_Exhibits'!J1844:J1848),"")</f>
        <v/>
      </c>
      <c r="K1848" s="3">
        <f>IF(ISNUMBER(AVERAGE('20250815_ETF_Options_Exhibits'!K1844:K1848)),AVERAGE('20250815_ETF_Options_Exhibits'!K1844:K1848),"")</f>
        <v/>
      </c>
      <c r="L1848" s="3">
        <f>IF(ISNUMBER(AVERAGE('20250815_ETF_Options_Exhibits'!L1844:L1848)),AVERAGE('20250815_ETF_Options_Exhibits'!L1844:L1848),"")</f>
        <v/>
      </c>
      <c r="M1848" s="3">
        <f>IF(ISNUMBER(AVERAGE('20250815_ETF_Options_Exhibits'!M1844:M1848)),AVERAGE('20250815_ETF_Options_Exhibits'!M1844:M1848),"")</f>
        <v/>
      </c>
      <c r="N1848" s="3">
        <f>IF(ISNUMBER(AVERAGE('20250815_ETF_Options_Exhibits'!N1844:N1848)),AVERAGE('20250815_ETF_Options_Exhibits'!N1844:N1848),"")</f>
        <v/>
      </c>
      <c r="O1848" s="3">
        <f>IF(ISNUMBER(AVERAGE('20250815_ETF_Options_Exhibits'!O1844:O1848)),AVERAGE('20250815_ETF_Options_Exhibits'!O1844:O1848),"")</f>
        <v/>
      </c>
      <c r="P1848" s="3">
        <f>IF(ISNUMBER(AVERAGE('20250815_ETF_Options_Exhibits'!P1844:P1848)),AVERAGE('20250815_ETF_Options_Exhibits'!P1844:P1848),"")</f>
        <v/>
      </c>
      <c r="Q1848" s="3">
        <f>IF(ISNUMBER(AVERAGE('20250815_ETF_Options_Exhibits'!Q1844:Q1848)),AVERAGE('20250815_ETF_Options_Exhibits'!Q1844:Q1848),"")</f>
        <v/>
      </c>
      <c r="R1848" s="3">
        <f>IF(ISNUMBER(AVERAGE('20250815_ETF_Options_Exhibits'!R1844:R1848)),AVERAGE('20250815_ETF_Options_Exhibits'!R1844:R1848),"")</f>
        <v/>
      </c>
      <c r="S1848" s="3">
        <f>IF(ISNUMBER(AVERAGE('20250815_ETF_Options_Exhibits'!S1844:S1848)),AVERAGE('20250815_ETF_Options_Exhibits'!S1844:S1848),"")</f>
        <v/>
      </c>
      <c r="T1848" s="3">
        <f>IF(ISNUMBER(AVERAGE('20250815_ETF_Options_Exhibits'!T1844:T1848)),AVERAGE('20250815_ETF_Options_Exhibits'!T1844:T1848),"")</f>
        <v/>
      </c>
      <c r="U1848" s="3">
        <f>IF(ISNUMBER(AVERAGE('20250815_ETF_Options_Exhibits'!U1844:U1848)),AVERAGE('20250815_ETF_Options_Exhibits'!U1844:U1848),"")</f>
        <v/>
      </c>
      <c r="V1848" s="3">
        <f>IF(ISNUMBER(AVERAGE('20250815_ETF_Options_Exhibits'!V1844:V1848)),AVERAGE('20250815_ETF_Options_Exhibits'!V1844:V1848),"")</f>
        <v/>
      </c>
      <c r="W1848" s="3">
        <f>IF(ISNUMBER(AVERAGE('20250815_ETF_Options_Exhibits'!W1844:W1848)),AVERAGE('20250815_ETF_Options_Exhibits'!W1844:W1848),"")</f>
        <v/>
      </c>
      <c r="X1848" s="3">
        <f>IF(ISNUMBER(AVERAGE('20250815_ETF_Options_Exhibits'!X1844:X1848)),AVERAGE('20250815_ETF_Options_Exhibits'!X1844:X1848),"")</f>
        <v/>
      </c>
      <c r="Y1848" s="3">
        <f>IF(ISNUMBER(AVERAGE('20250815_ETF_Options_Exhibits'!Y1844:Y1848)),AVERAGE('20250815_ETF_Options_Exhibits'!Y1844:Y1848),"")</f>
        <v/>
      </c>
      <c r="Z1848" s="3">
        <f>IF(ISNUMBER(AVERAGE('20250815_ETF_Options_Exhibits'!Z1844:Z1848)),AVERAGE('20250815_ETF_Options_Exhibits'!Z1844:Z1848),"")</f>
        <v/>
      </c>
      <c r="AA1848" s="3">
        <f>IF(ISNUMBER(AVERAGE('20250815_ETF_Options_Exhibits'!AA1844:AA1848)),AVERAGE('20250815_ETF_Options_Exhibits'!AA1844:AA1848),"")</f>
        <v/>
      </c>
    </row>
    <row r="1849">
      <c r="A1849" s="1" t="n">
        <v>44684</v>
      </c>
      <c r="B1849" s="3">
        <f>IF(ISNUMBER(AVERAGE('20250815_ETF_Options_Exhibits'!B1845:B1849)),AVERAGE('20250815_ETF_Options_Exhibits'!B1845:B1849),"")</f>
        <v/>
      </c>
      <c r="C1849" s="3">
        <f>IF(ISNUMBER(AVERAGE('20250815_ETF_Options_Exhibits'!C1845:C1849)),AVERAGE('20250815_ETF_Options_Exhibits'!C1845:C1849),"")</f>
        <v/>
      </c>
      <c r="D1849" s="3">
        <f>IF(ISNUMBER(AVERAGE('20250815_ETF_Options_Exhibits'!D1845:D1849)),AVERAGE('20250815_ETF_Options_Exhibits'!D1845:D1849),"")</f>
        <v/>
      </c>
      <c r="E1849" s="3">
        <f>IF(ISNUMBER(AVERAGE('20250815_ETF_Options_Exhibits'!E1845:E1849)),AVERAGE('20250815_ETF_Options_Exhibits'!E1845:E1849),"")</f>
        <v/>
      </c>
      <c r="F1849" s="3">
        <f>IF(ISNUMBER(AVERAGE('20250815_ETF_Options_Exhibits'!F1845:F1849)),AVERAGE('20250815_ETF_Options_Exhibits'!F1845:F1849),"")</f>
        <v/>
      </c>
      <c r="G1849" s="3">
        <f>IF(ISNUMBER(AVERAGE('20250815_ETF_Options_Exhibits'!G1845:G1849)),AVERAGE('20250815_ETF_Options_Exhibits'!G1845:G1849),"")</f>
        <v/>
      </c>
      <c r="H1849" s="3">
        <f>IF(ISNUMBER(AVERAGE('20250815_ETF_Options_Exhibits'!H1845:H1849)),AVERAGE('20250815_ETF_Options_Exhibits'!H1845:H1849),"")</f>
        <v/>
      </c>
      <c r="I1849" s="3">
        <f>IF(ISNUMBER(AVERAGE('20250815_ETF_Options_Exhibits'!I1845:I1849)),AVERAGE('20250815_ETF_Options_Exhibits'!I1845:I1849),"")</f>
        <v/>
      </c>
      <c r="J1849" s="3">
        <f>IF(ISNUMBER(AVERAGE('20250815_ETF_Options_Exhibits'!J1845:J1849)),AVERAGE('20250815_ETF_Options_Exhibits'!J1845:J1849),"")</f>
        <v/>
      </c>
      <c r="K1849" s="3">
        <f>IF(ISNUMBER(AVERAGE('20250815_ETF_Options_Exhibits'!K1845:K1849)),AVERAGE('20250815_ETF_Options_Exhibits'!K1845:K1849),"")</f>
        <v/>
      </c>
      <c r="L1849" s="3">
        <f>IF(ISNUMBER(AVERAGE('20250815_ETF_Options_Exhibits'!L1845:L1849)),AVERAGE('20250815_ETF_Options_Exhibits'!L1845:L1849),"")</f>
        <v/>
      </c>
      <c r="M1849" s="3">
        <f>IF(ISNUMBER(AVERAGE('20250815_ETF_Options_Exhibits'!M1845:M1849)),AVERAGE('20250815_ETF_Options_Exhibits'!M1845:M1849),"")</f>
        <v/>
      </c>
      <c r="N1849" s="3">
        <f>IF(ISNUMBER(AVERAGE('20250815_ETF_Options_Exhibits'!N1845:N1849)),AVERAGE('20250815_ETF_Options_Exhibits'!N1845:N1849),"")</f>
        <v/>
      </c>
      <c r="O1849" s="3">
        <f>IF(ISNUMBER(AVERAGE('20250815_ETF_Options_Exhibits'!O1845:O1849)),AVERAGE('20250815_ETF_Options_Exhibits'!O1845:O1849),"")</f>
        <v/>
      </c>
      <c r="P1849" s="3">
        <f>IF(ISNUMBER(AVERAGE('20250815_ETF_Options_Exhibits'!P1845:P1849)),AVERAGE('20250815_ETF_Options_Exhibits'!P1845:P1849),"")</f>
        <v/>
      </c>
      <c r="Q1849" s="3">
        <f>IF(ISNUMBER(AVERAGE('20250815_ETF_Options_Exhibits'!Q1845:Q1849)),AVERAGE('20250815_ETF_Options_Exhibits'!Q1845:Q1849),"")</f>
        <v/>
      </c>
      <c r="R1849" s="3">
        <f>IF(ISNUMBER(AVERAGE('20250815_ETF_Options_Exhibits'!R1845:R1849)),AVERAGE('20250815_ETF_Options_Exhibits'!R1845:R1849),"")</f>
        <v/>
      </c>
      <c r="S1849" s="3">
        <f>IF(ISNUMBER(AVERAGE('20250815_ETF_Options_Exhibits'!S1845:S1849)),AVERAGE('20250815_ETF_Options_Exhibits'!S1845:S1849),"")</f>
        <v/>
      </c>
      <c r="T1849" s="3">
        <f>IF(ISNUMBER(AVERAGE('20250815_ETF_Options_Exhibits'!T1845:T1849)),AVERAGE('20250815_ETF_Options_Exhibits'!T1845:T1849),"")</f>
        <v/>
      </c>
      <c r="U1849" s="3">
        <f>IF(ISNUMBER(AVERAGE('20250815_ETF_Options_Exhibits'!U1845:U1849)),AVERAGE('20250815_ETF_Options_Exhibits'!U1845:U1849),"")</f>
        <v/>
      </c>
      <c r="V1849" s="3">
        <f>IF(ISNUMBER(AVERAGE('20250815_ETF_Options_Exhibits'!V1845:V1849)),AVERAGE('20250815_ETF_Options_Exhibits'!V1845:V1849),"")</f>
        <v/>
      </c>
      <c r="W1849" s="3">
        <f>IF(ISNUMBER(AVERAGE('20250815_ETF_Options_Exhibits'!W1845:W1849)),AVERAGE('20250815_ETF_Options_Exhibits'!W1845:W1849),"")</f>
        <v/>
      </c>
      <c r="X1849" s="3">
        <f>IF(ISNUMBER(AVERAGE('20250815_ETF_Options_Exhibits'!X1845:X1849)),AVERAGE('20250815_ETF_Options_Exhibits'!X1845:X1849),"")</f>
        <v/>
      </c>
      <c r="Y1849" s="3">
        <f>IF(ISNUMBER(AVERAGE('20250815_ETF_Options_Exhibits'!Y1845:Y1849)),AVERAGE('20250815_ETF_Options_Exhibits'!Y1845:Y1849),"")</f>
        <v/>
      </c>
      <c r="Z1849" s="3">
        <f>IF(ISNUMBER(AVERAGE('20250815_ETF_Options_Exhibits'!Z1845:Z1849)),AVERAGE('20250815_ETF_Options_Exhibits'!Z1845:Z1849),"")</f>
        <v/>
      </c>
      <c r="AA1849" s="3">
        <f>IF(ISNUMBER(AVERAGE('20250815_ETF_Options_Exhibits'!AA1845:AA1849)),AVERAGE('20250815_ETF_Options_Exhibits'!AA1845:AA1849),"")</f>
        <v/>
      </c>
    </row>
    <row r="1850">
      <c r="A1850" s="1" t="n">
        <v>44685</v>
      </c>
      <c r="B1850" s="3">
        <f>IF(ISNUMBER(AVERAGE('20250815_ETF_Options_Exhibits'!B1846:B1850)),AVERAGE('20250815_ETF_Options_Exhibits'!B1846:B1850),"")</f>
        <v/>
      </c>
      <c r="C1850" s="3">
        <f>IF(ISNUMBER(AVERAGE('20250815_ETF_Options_Exhibits'!C1846:C1850)),AVERAGE('20250815_ETF_Options_Exhibits'!C1846:C1850),"")</f>
        <v/>
      </c>
      <c r="D1850" s="3">
        <f>IF(ISNUMBER(AVERAGE('20250815_ETF_Options_Exhibits'!D1846:D1850)),AVERAGE('20250815_ETF_Options_Exhibits'!D1846:D1850),"")</f>
        <v/>
      </c>
      <c r="E1850" s="3">
        <f>IF(ISNUMBER(AVERAGE('20250815_ETF_Options_Exhibits'!E1846:E1850)),AVERAGE('20250815_ETF_Options_Exhibits'!E1846:E1850),"")</f>
        <v/>
      </c>
      <c r="F1850" s="3">
        <f>IF(ISNUMBER(AVERAGE('20250815_ETF_Options_Exhibits'!F1846:F1850)),AVERAGE('20250815_ETF_Options_Exhibits'!F1846:F1850),"")</f>
        <v/>
      </c>
      <c r="G1850" s="3">
        <f>IF(ISNUMBER(AVERAGE('20250815_ETF_Options_Exhibits'!G1846:G1850)),AVERAGE('20250815_ETF_Options_Exhibits'!G1846:G1850),"")</f>
        <v/>
      </c>
      <c r="H1850" s="3">
        <f>IF(ISNUMBER(AVERAGE('20250815_ETF_Options_Exhibits'!H1846:H1850)),AVERAGE('20250815_ETF_Options_Exhibits'!H1846:H1850),"")</f>
        <v/>
      </c>
      <c r="I1850" s="3">
        <f>IF(ISNUMBER(AVERAGE('20250815_ETF_Options_Exhibits'!I1846:I1850)),AVERAGE('20250815_ETF_Options_Exhibits'!I1846:I1850),"")</f>
        <v/>
      </c>
      <c r="J1850" s="3">
        <f>IF(ISNUMBER(AVERAGE('20250815_ETF_Options_Exhibits'!J1846:J1850)),AVERAGE('20250815_ETF_Options_Exhibits'!J1846:J1850),"")</f>
        <v/>
      </c>
      <c r="K1850" s="3">
        <f>IF(ISNUMBER(AVERAGE('20250815_ETF_Options_Exhibits'!K1846:K1850)),AVERAGE('20250815_ETF_Options_Exhibits'!K1846:K1850),"")</f>
        <v/>
      </c>
      <c r="L1850" s="3">
        <f>IF(ISNUMBER(AVERAGE('20250815_ETF_Options_Exhibits'!L1846:L1850)),AVERAGE('20250815_ETF_Options_Exhibits'!L1846:L1850),"")</f>
        <v/>
      </c>
      <c r="M1850" s="3">
        <f>IF(ISNUMBER(AVERAGE('20250815_ETF_Options_Exhibits'!M1846:M1850)),AVERAGE('20250815_ETF_Options_Exhibits'!M1846:M1850),"")</f>
        <v/>
      </c>
      <c r="N1850" s="3">
        <f>IF(ISNUMBER(AVERAGE('20250815_ETF_Options_Exhibits'!N1846:N1850)),AVERAGE('20250815_ETF_Options_Exhibits'!N1846:N1850),"")</f>
        <v/>
      </c>
      <c r="O1850" s="3">
        <f>IF(ISNUMBER(AVERAGE('20250815_ETF_Options_Exhibits'!O1846:O1850)),AVERAGE('20250815_ETF_Options_Exhibits'!O1846:O1850),"")</f>
        <v/>
      </c>
      <c r="P1850" s="3">
        <f>IF(ISNUMBER(AVERAGE('20250815_ETF_Options_Exhibits'!P1846:P1850)),AVERAGE('20250815_ETF_Options_Exhibits'!P1846:P1850),"")</f>
        <v/>
      </c>
      <c r="Q1850" s="3">
        <f>IF(ISNUMBER(AVERAGE('20250815_ETF_Options_Exhibits'!Q1846:Q1850)),AVERAGE('20250815_ETF_Options_Exhibits'!Q1846:Q1850),"")</f>
        <v/>
      </c>
      <c r="R1850" s="3">
        <f>IF(ISNUMBER(AVERAGE('20250815_ETF_Options_Exhibits'!R1846:R1850)),AVERAGE('20250815_ETF_Options_Exhibits'!R1846:R1850),"")</f>
        <v/>
      </c>
      <c r="S1850" s="3">
        <f>IF(ISNUMBER(AVERAGE('20250815_ETF_Options_Exhibits'!S1846:S1850)),AVERAGE('20250815_ETF_Options_Exhibits'!S1846:S1850),"")</f>
        <v/>
      </c>
      <c r="T1850" s="3">
        <f>IF(ISNUMBER(AVERAGE('20250815_ETF_Options_Exhibits'!T1846:T1850)),AVERAGE('20250815_ETF_Options_Exhibits'!T1846:T1850),"")</f>
        <v/>
      </c>
      <c r="U1850" s="3">
        <f>IF(ISNUMBER(AVERAGE('20250815_ETF_Options_Exhibits'!U1846:U1850)),AVERAGE('20250815_ETF_Options_Exhibits'!U1846:U1850),"")</f>
        <v/>
      </c>
      <c r="V1850" s="3">
        <f>IF(ISNUMBER(AVERAGE('20250815_ETF_Options_Exhibits'!V1846:V1850)),AVERAGE('20250815_ETF_Options_Exhibits'!V1846:V1850),"")</f>
        <v/>
      </c>
      <c r="W1850" s="3">
        <f>IF(ISNUMBER(AVERAGE('20250815_ETF_Options_Exhibits'!W1846:W1850)),AVERAGE('20250815_ETF_Options_Exhibits'!W1846:W1850),"")</f>
        <v/>
      </c>
      <c r="X1850" s="3">
        <f>IF(ISNUMBER(AVERAGE('20250815_ETF_Options_Exhibits'!X1846:X1850)),AVERAGE('20250815_ETF_Options_Exhibits'!X1846:X1850),"")</f>
        <v/>
      </c>
      <c r="Y1850" s="3">
        <f>IF(ISNUMBER(AVERAGE('20250815_ETF_Options_Exhibits'!Y1846:Y1850)),AVERAGE('20250815_ETF_Options_Exhibits'!Y1846:Y1850),"")</f>
        <v/>
      </c>
      <c r="Z1850" s="3">
        <f>IF(ISNUMBER(AVERAGE('20250815_ETF_Options_Exhibits'!Z1846:Z1850)),AVERAGE('20250815_ETF_Options_Exhibits'!Z1846:Z1850),"")</f>
        <v/>
      </c>
      <c r="AA1850" s="3">
        <f>IF(ISNUMBER(AVERAGE('20250815_ETF_Options_Exhibits'!AA1846:AA1850)),AVERAGE('20250815_ETF_Options_Exhibits'!AA1846:AA1850),"")</f>
        <v/>
      </c>
    </row>
    <row r="1851">
      <c r="A1851" s="1" t="n">
        <v>44686</v>
      </c>
      <c r="B1851" s="3">
        <f>IF(ISNUMBER(AVERAGE('20250815_ETF_Options_Exhibits'!B1847:B1851)),AVERAGE('20250815_ETF_Options_Exhibits'!B1847:B1851),"")</f>
        <v/>
      </c>
      <c r="C1851" s="3">
        <f>IF(ISNUMBER(AVERAGE('20250815_ETF_Options_Exhibits'!C1847:C1851)),AVERAGE('20250815_ETF_Options_Exhibits'!C1847:C1851),"")</f>
        <v/>
      </c>
      <c r="D1851" s="3">
        <f>IF(ISNUMBER(AVERAGE('20250815_ETF_Options_Exhibits'!D1847:D1851)),AVERAGE('20250815_ETF_Options_Exhibits'!D1847:D1851),"")</f>
        <v/>
      </c>
      <c r="E1851" s="3">
        <f>IF(ISNUMBER(AVERAGE('20250815_ETF_Options_Exhibits'!E1847:E1851)),AVERAGE('20250815_ETF_Options_Exhibits'!E1847:E1851),"")</f>
        <v/>
      </c>
      <c r="F1851" s="3">
        <f>IF(ISNUMBER(AVERAGE('20250815_ETF_Options_Exhibits'!F1847:F1851)),AVERAGE('20250815_ETF_Options_Exhibits'!F1847:F1851),"")</f>
        <v/>
      </c>
      <c r="G1851" s="3">
        <f>IF(ISNUMBER(AVERAGE('20250815_ETF_Options_Exhibits'!G1847:G1851)),AVERAGE('20250815_ETF_Options_Exhibits'!G1847:G1851),"")</f>
        <v/>
      </c>
      <c r="H1851" s="3">
        <f>IF(ISNUMBER(AVERAGE('20250815_ETF_Options_Exhibits'!H1847:H1851)),AVERAGE('20250815_ETF_Options_Exhibits'!H1847:H1851),"")</f>
        <v/>
      </c>
      <c r="I1851" s="3">
        <f>IF(ISNUMBER(AVERAGE('20250815_ETF_Options_Exhibits'!I1847:I1851)),AVERAGE('20250815_ETF_Options_Exhibits'!I1847:I1851),"")</f>
        <v/>
      </c>
      <c r="J1851" s="3">
        <f>IF(ISNUMBER(AVERAGE('20250815_ETF_Options_Exhibits'!J1847:J1851)),AVERAGE('20250815_ETF_Options_Exhibits'!J1847:J1851),"")</f>
        <v/>
      </c>
      <c r="K1851" s="3">
        <f>IF(ISNUMBER(AVERAGE('20250815_ETF_Options_Exhibits'!K1847:K1851)),AVERAGE('20250815_ETF_Options_Exhibits'!K1847:K1851),"")</f>
        <v/>
      </c>
      <c r="L1851" s="3">
        <f>IF(ISNUMBER(AVERAGE('20250815_ETF_Options_Exhibits'!L1847:L1851)),AVERAGE('20250815_ETF_Options_Exhibits'!L1847:L1851),"")</f>
        <v/>
      </c>
      <c r="M1851" s="3">
        <f>IF(ISNUMBER(AVERAGE('20250815_ETF_Options_Exhibits'!M1847:M1851)),AVERAGE('20250815_ETF_Options_Exhibits'!M1847:M1851),"")</f>
        <v/>
      </c>
      <c r="N1851" s="3">
        <f>IF(ISNUMBER(AVERAGE('20250815_ETF_Options_Exhibits'!N1847:N1851)),AVERAGE('20250815_ETF_Options_Exhibits'!N1847:N1851),"")</f>
        <v/>
      </c>
      <c r="O1851" s="3">
        <f>IF(ISNUMBER(AVERAGE('20250815_ETF_Options_Exhibits'!O1847:O1851)),AVERAGE('20250815_ETF_Options_Exhibits'!O1847:O1851),"")</f>
        <v/>
      </c>
      <c r="P1851" s="3">
        <f>IF(ISNUMBER(AVERAGE('20250815_ETF_Options_Exhibits'!P1847:P1851)),AVERAGE('20250815_ETF_Options_Exhibits'!P1847:P1851),"")</f>
        <v/>
      </c>
      <c r="Q1851" s="3">
        <f>IF(ISNUMBER(AVERAGE('20250815_ETF_Options_Exhibits'!Q1847:Q1851)),AVERAGE('20250815_ETF_Options_Exhibits'!Q1847:Q1851),"")</f>
        <v/>
      </c>
      <c r="R1851" s="3">
        <f>IF(ISNUMBER(AVERAGE('20250815_ETF_Options_Exhibits'!R1847:R1851)),AVERAGE('20250815_ETF_Options_Exhibits'!R1847:R1851),"")</f>
        <v/>
      </c>
      <c r="S1851" s="3">
        <f>IF(ISNUMBER(AVERAGE('20250815_ETF_Options_Exhibits'!S1847:S1851)),AVERAGE('20250815_ETF_Options_Exhibits'!S1847:S1851),"")</f>
        <v/>
      </c>
      <c r="T1851" s="3">
        <f>IF(ISNUMBER(AVERAGE('20250815_ETF_Options_Exhibits'!T1847:T1851)),AVERAGE('20250815_ETF_Options_Exhibits'!T1847:T1851),"")</f>
        <v/>
      </c>
      <c r="U1851" s="3">
        <f>IF(ISNUMBER(AVERAGE('20250815_ETF_Options_Exhibits'!U1847:U1851)),AVERAGE('20250815_ETF_Options_Exhibits'!U1847:U1851),"")</f>
        <v/>
      </c>
      <c r="V1851" s="3">
        <f>IF(ISNUMBER(AVERAGE('20250815_ETF_Options_Exhibits'!V1847:V1851)),AVERAGE('20250815_ETF_Options_Exhibits'!V1847:V1851),"")</f>
        <v/>
      </c>
      <c r="W1851" s="3">
        <f>IF(ISNUMBER(AVERAGE('20250815_ETF_Options_Exhibits'!W1847:W1851)),AVERAGE('20250815_ETF_Options_Exhibits'!W1847:W1851),"")</f>
        <v/>
      </c>
      <c r="X1851" s="3">
        <f>IF(ISNUMBER(AVERAGE('20250815_ETF_Options_Exhibits'!X1847:X1851)),AVERAGE('20250815_ETF_Options_Exhibits'!X1847:X1851),"")</f>
        <v/>
      </c>
      <c r="Y1851" s="3">
        <f>IF(ISNUMBER(AVERAGE('20250815_ETF_Options_Exhibits'!Y1847:Y1851)),AVERAGE('20250815_ETF_Options_Exhibits'!Y1847:Y1851),"")</f>
        <v/>
      </c>
      <c r="Z1851" s="3">
        <f>IF(ISNUMBER(AVERAGE('20250815_ETF_Options_Exhibits'!Z1847:Z1851)),AVERAGE('20250815_ETF_Options_Exhibits'!Z1847:Z1851),"")</f>
        <v/>
      </c>
      <c r="AA1851" s="3">
        <f>IF(ISNUMBER(AVERAGE('20250815_ETF_Options_Exhibits'!AA1847:AA1851)),AVERAGE('20250815_ETF_Options_Exhibits'!AA1847:AA1851),"")</f>
        <v/>
      </c>
    </row>
    <row r="1852">
      <c r="A1852" s="1" t="n">
        <v>44687</v>
      </c>
      <c r="B1852" s="3">
        <f>IF(ISNUMBER(AVERAGE('20250815_ETF_Options_Exhibits'!B1848:B1852)),AVERAGE('20250815_ETF_Options_Exhibits'!B1848:B1852),"")</f>
        <v/>
      </c>
      <c r="C1852" s="3">
        <f>IF(ISNUMBER(AVERAGE('20250815_ETF_Options_Exhibits'!C1848:C1852)),AVERAGE('20250815_ETF_Options_Exhibits'!C1848:C1852),"")</f>
        <v/>
      </c>
      <c r="D1852" s="3">
        <f>IF(ISNUMBER(AVERAGE('20250815_ETF_Options_Exhibits'!D1848:D1852)),AVERAGE('20250815_ETF_Options_Exhibits'!D1848:D1852),"")</f>
        <v/>
      </c>
      <c r="E1852" s="3">
        <f>IF(ISNUMBER(AVERAGE('20250815_ETF_Options_Exhibits'!E1848:E1852)),AVERAGE('20250815_ETF_Options_Exhibits'!E1848:E1852),"")</f>
        <v/>
      </c>
      <c r="F1852" s="3">
        <f>IF(ISNUMBER(AVERAGE('20250815_ETF_Options_Exhibits'!F1848:F1852)),AVERAGE('20250815_ETF_Options_Exhibits'!F1848:F1852),"")</f>
        <v/>
      </c>
      <c r="G1852" s="3">
        <f>IF(ISNUMBER(AVERAGE('20250815_ETF_Options_Exhibits'!G1848:G1852)),AVERAGE('20250815_ETF_Options_Exhibits'!G1848:G1852),"")</f>
        <v/>
      </c>
      <c r="H1852" s="3">
        <f>IF(ISNUMBER(AVERAGE('20250815_ETF_Options_Exhibits'!H1848:H1852)),AVERAGE('20250815_ETF_Options_Exhibits'!H1848:H1852),"")</f>
        <v/>
      </c>
      <c r="I1852" s="3">
        <f>IF(ISNUMBER(AVERAGE('20250815_ETF_Options_Exhibits'!I1848:I1852)),AVERAGE('20250815_ETF_Options_Exhibits'!I1848:I1852),"")</f>
        <v/>
      </c>
      <c r="J1852" s="3">
        <f>IF(ISNUMBER(AVERAGE('20250815_ETF_Options_Exhibits'!J1848:J1852)),AVERAGE('20250815_ETF_Options_Exhibits'!J1848:J1852),"")</f>
        <v/>
      </c>
      <c r="K1852" s="3">
        <f>IF(ISNUMBER(AVERAGE('20250815_ETF_Options_Exhibits'!K1848:K1852)),AVERAGE('20250815_ETF_Options_Exhibits'!K1848:K1852),"")</f>
        <v/>
      </c>
      <c r="L1852" s="3">
        <f>IF(ISNUMBER(AVERAGE('20250815_ETF_Options_Exhibits'!L1848:L1852)),AVERAGE('20250815_ETF_Options_Exhibits'!L1848:L1852),"")</f>
        <v/>
      </c>
      <c r="M1852" s="3">
        <f>IF(ISNUMBER(AVERAGE('20250815_ETF_Options_Exhibits'!M1848:M1852)),AVERAGE('20250815_ETF_Options_Exhibits'!M1848:M1852),"")</f>
        <v/>
      </c>
      <c r="N1852" s="3">
        <f>IF(ISNUMBER(AVERAGE('20250815_ETF_Options_Exhibits'!N1848:N1852)),AVERAGE('20250815_ETF_Options_Exhibits'!N1848:N1852),"")</f>
        <v/>
      </c>
      <c r="O1852" s="3">
        <f>IF(ISNUMBER(AVERAGE('20250815_ETF_Options_Exhibits'!O1848:O1852)),AVERAGE('20250815_ETF_Options_Exhibits'!O1848:O1852),"")</f>
        <v/>
      </c>
      <c r="P1852" s="3">
        <f>IF(ISNUMBER(AVERAGE('20250815_ETF_Options_Exhibits'!P1848:P1852)),AVERAGE('20250815_ETF_Options_Exhibits'!P1848:P1852),"")</f>
        <v/>
      </c>
      <c r="Q1852" s="3">
        <f>IF(ISNUMBER(AVERAGE('20250815_ETF_Options_Exhibits'!Q1848:Q1852)),AVERAGE('20250815_ETF_Options_Exhibits'!Q1848:Q1852),"")</f>
        <v/>
      </c>
      <c r="R1852" s="3">
        <f>IF(ISNUMBER(AVERAGE('20250815_ETF_Options_Exhibits'!R1848:R1852)),AVERAGE('20250815_ETF_Options_Exhibits'!R1848:R1852),"")</f>
        <v/>
      </c>
      <c r="S1852" s="3">
        <f>IF(ISNUMBER(AVERAGE('20250815_ETF_Options_Exhibits'!S1848:S1852)),AVERAGE('20250815_ETF_Options_Exhibits'!S1848:S1852),"")</f>
        <v/>
      </c>
      <c r="T1852" s="3">
        <f>IF(ISNUMBER(AVERAGE('20250815_ETF_Options_Exhibits'!T1848:T1852)),AVERAGE('20250815_ETF_Options_Exhibits'!T1848:T1852),"")</f>
        <v/>
      </c>
      <c r="U1852" s="3">
        <f>IF(ISNUMBER(AVERAGE('20250815_ETF_Options_Exhibits'!U1848:U1852)),AVERAGE('20250815_ETF_Options_Exhibits'!U1848:U1852),"")</f>
        <v/>
      </c>
      <c r="V1852" s="3">
        <f>IF(ISNUMBER(AVERAGE('20250815_ETF_Options_Exhibits'!V1848:V1852)),AVERAGE('20250815_ETF_Options_Exhibits'!V1848:V1852),"")</f>
        <v/>
      </c>
      <c r="W1852" s="3">
        <f>IF(ISNUMBER(AVERAGE('20250815_ETF_Options_Exhibits'!W1848:W1852)),AVERAGE('20250815_ETF_Options_Exhibits'!W1848:W1852),"")</f>
        <v/>
      </c>
      <c r="X1852" s="3">
        <f>IF(ISNUMBER(AVERAGE('20250815_ETF_Options_Exhibits'!X1848:X1852)),AVERAGE('20250815_ETF_Options_Exhibits'!X1848:X1852),"")</f>
        <v/>
      </c>
      <c r="Y1852" s="3">
        <f>IF(ISNUMBER(AVERAGE('20250815_ETF_Options_Exhibits'!Y1848:Y1852)),AVERAGE('20250815_ETF_Options_Exhibits'!Y1848:Y1852),"")</f>
        <v/>
      </c>
      <c r="Z1852" s="3">
        <f>IF(ISNUMBER(AVERAGE('20250815_ETF_Options_Exhibits'!Z1848:Z1852)),AVERAGE('20250815_ETF_Options_Exhibits'!Z1848:Z1852),"")</f>
        <v/>
      </c>
      <c r="AA1852" s="3">
        <f>IF(ISNUMBER(AVERAGE('20250815_ETF_Options_Exhibits'!AA1848:AA1852)),AVERAGE('20250815_ETF_Options_Exhibits'!AA1848:AA1852),"")</f>
        <v/>
      </c>
    </row>
    <row r="1853">
      <c r="A1853" s="1" t="n">
        <v>44690</v>
      </c>
      <c r="B1853" s="3">
        <f>IF(ISNUMBER(AVERAGE('20250815_ETF_Options_Exhibits'!B1849:B1853)),AVERAGE('20250815_ETF_Options_Exhibits'!B1849:B1853),"")</f>
        <v/>
      </c>
      <c r="C1853" s="3">
        <f>IF(ISNUMBER(AVERAGE('20250815_ETF_Options_Exhibits'!C1849:C1853)),AVERAGE('20250815_ETF_Options_Exhibits'!C1849:C1853),"")</f>
        <v/>
      </c>
      <c r="D1853" s="3">
        <f>IF(ISNUMBER(AVERAGE('20250815_ETF_Options_Exhibits'!D1849:D1853)),AVERAGE('20250815_ETF_Options_Exhibits'!D1849:D1853),"")</f>
        <v/>
      </c>
      <c r="E1853" s="3">
        <f>IF(ISNUMBER(AVERAGE('20250815_ETF_Options_Exhibits'!E1849:E1853)),AVERAGE('20250815_ETF_Options_Exhibits'!E1849:E1853),"")</f>
        <v/>
      </c>
      <c r="F1853" s="3">
        <f>IF(ISNUMBER(AVERAGE('20250815_ETF_Options_Exhibits'!F1849:F1853)),AVERAGE('20250815_ETF_Options_Exhibits'!F1849:F1853),"")</f>
        <v/>
      </c>
      <c r="G1853" s="3">
        <f>IF(ISNUMBER(AVERAGE('20250815_ETF_Options_Exhibits'!G1849:G1853)),AVERAGE('20250815_ETF_Options_Exhibits'!G1849:G1853),"")</f>
        <v/>
      </c>
      <c r="H1853" s="3">
        <f>IF(ISNUMBER(AVERAGE('20250815_ETF_Options_Exhibits'!H1849:H1853)),AVERAGE('20250815_ETF_Options_Exhibits'!H1849:H1853),"")</f>
        <v/>
      </c>
      <c r="I1853" s="3">
        <f>IF(ISNUMBER(AVERAGE('20250815_ETF_Options_Exhibits'!I1849:I1853)),AVERAGE('20250815_ETF_Options_Exhibits'!I1849:I1853),"")</f>
        <v/>
      </c>
      <c r="J1853" s="3">
        <f>IF(ISNUMBER(AVERAGE('20250815_ETF_Options_Exhibits'!J1849:J1853)),AVERAGE('20250815_ETF_Options_Exhibits'!J1849:J1853),"")</f>
        <v/>
      </c>
      <c r="K1853" s="3">
        <f>IF(ISNUMBER(AVERAGE('20250815_ETF_Options_Exhibits'!K1849:K1853)),AVERAGE('20250815_ETF_Options_Exhibits'!K1849:K1853),"")</f>
        <v/>
      </c>
      <c r="L1853" s="3">
        <f>IF(ISNUMBER(AVERAGE('20250815_ETF_Options_Exhibits'!L1849:L1853)),AVERAGE('20250815_ETF_Options_Exhibits'!L1849:L1853),"")</f>
        <v/>
      </c>
      <c r="M1853" s="3">
        <f>IF(ISNUMBER(AVERAGE('20250815_ETF_Options_Exhibits'!M1849:M1853)),AVERAGE('20250815_ETF_Options_Exhibits'!M1849:M1853),"")</f>
        <v/>
      </c>
      <c r="N1853" s="3">
        <f>IF(ISNUMBER(AVERAGE('20250815_ETF_Options_Exhibits'!N1849:N1853)),AVERAGE('20250815_ETF_Options_Exhibits'!N1849:N1853),"")</f>
        <v/>
      </c>
      <c r="O1853" s="3">
        <f>IF(ISNUMBER(AVERAGE('20250815_ETF_Options_Exhibits'!O1849:O1853)),AVERAGE('20250815_ETF_Options_Exhibits'!O1849:O1853),"")</f>
        <v/>
      </c>
      <c r="P1853" s="3">
        <f>IF(ISNUMBER(AVERAGE('20250815_ETF_Options_Exhibits'!P1849:P1853)),AVERAGE('20250815_ETF_Options_Exhibits'!P1849:P1853),"")</f>
        <v/>
      </c>
      <c r="Q1853" s="3">
        <f>IF(ISNUMBER(AVERAGE('20250815_ETF_Options_Exhibits'!Q1849:Q1853)),AVERAGE('20250815_ETF_Options_Exhibits'!Q1849:Q1853),"")</f>
        <v/>
      </c>
      <c r="R1853" s="3">
        <f>IF(ISNUMBER(AVERAGE('20250815_ETF_Options_Exhibits'!R1849:R1853)),AVERAGE('20250815_ETF_Options_Exhibits'!R1849:R1853),"")</f>
        <v/>
      </c>
      <c r="S1853" s="3">
        <f>IF(ISNUMBER(AVERAGE('20250815_ETF_Options_Exhibits'!S1849:S1853)),AVERAGE('20250815_ETF_Options_Exhibits'!S1849:S1853),"")</f>
        <v/>
      </c>
      <c r="T1853" s="3">
        <f>IF(ISNUMBER(AVERAGE('20250815_ETF_Options_Exhibits'!T1849:T1853)),AVERAGE('20250815_ETF_Options_Exhibits'!T1849:T1853),"")</f>
        <v/>
      </c>
      <c r="U1853" s="3">
        <f>IF(ISNUMBER(AVERAGE('20250815_ETF_Options_Exhibits'!U1849:U1853)),AVERAGE('20250815_ETF_Options_Exhibits'!U1849:U1853),"")</f>
        <v/>
      </c>
      <c r="V1853" s="3">
        <f>IF(ISNUMBER(AVERAGE('20250815_ETF_Options_Exhibits'!V1849:V1853)),AVERAGE('20250815_ETF_Options_Exhibits'!V1849:V1853),"")</f>
        <v/>
      </c>
      <c r="W1853" s="3">
        <f>IF(ISNUMBER(AVERAGE('20250815_ETF_Options_Exhibits'!W1849:W1853)),AVERAGE('20250815_ETF_Options_Exhibits'!W1849:W1853),"")</f>
        <v/>
      </c>
      <c r="X1853" s="3">
        <f>IF(ISNUMBER(AVERAGE('20250815_ETF_Options_Exhibits'!X1849:X1853)),AVERAGE('20250815_ETF_Options_Exhibits'!X1849:X1853),"")</f>
        <v/>
      </c>
      <c r="Y1853" s="3">
        <f>IF(ISNUMBER(AVERAGE('20250815_ETF_Options_Exhibits'!Y1849:Y1853)),AVERAGE('20250815_ETF_Options_Exhibits'!Y1849:Y1853),"")</f>
        <v/>
      </c>
      <c r="Z1853" s="3">
        <f>IF(ISNUMBER(AVERAGE('20250815_ETF_Options_Exhibits'!Z1849:Z1853)),AVERAGE('20250815_ETF_Options_Exhibits'!Z1849:Z1853),"")</f>
        <v/>
      </c>
      <c r="AA1853" s="3">
        <f>IF(ISNUMBER(AVERAGE('20250815_ETF_Options_Exhibits'!AA1849:AA1853)),AVERAGE('20250815_ETF_Options_Exhibits'!AA1849:AA1853),"")</f>
        <v/>
      </c>
    </row>
    <row r="1854">
      <c r="A1854" s="1" t="n">
        <v>44691</v>
      </c>
      <c r="B1854" s="3">
        <f>IF(ISNUMBER(AVERAGE('20250815_ETF_Options_Exhibits'!B1850:B1854)),AVERAGE('20250815_ETF_Options_Exhibits'!B1850:B1854),"")</f>
        <v/>
      </c>
      <c r="C1854" s="3">
        <f>IF(ISNUMBER(AVERAGE('20250815_ETF_Options_Exhibits'!C1850:C1854)),AVERAGE('20250815_ETF_Options_Exhibits'!C1850:C1854),"")</f>
        <v/>
      </c>
      <c r="D1854" s="3">
        <f>IF(ISNUMBER(AVERAGE('20250815_ETF_Options_Exhibits'!D1850:D1854)),AVERAGE('20250815_ETF_Options_Exhibits'!D1850:D1854),"")</f>
        <v/>
      </c>
      <c r="E1854" s="3">
        <f>IF(ISNUMBER(AVERAGE('20250815_ETF_Options_Exhibits'!E1850:E1854)),AVERAGE('20250815_ETF_Options_Exhibits'!E1850:E1854),"")</f>
        <v/>
      </c>
      <c r="F1854" s="3">
        <f>IF(ISNUMBER(AVERAGE('20250815_ETF_Options_Exhibits'!F1850:F1854)),AVERAGE('20250815_ETF_Options_Exhibits'!F1850:F1854),"")</f>
        <v/>
      </c>
      <c r="G1854" s="3">
        <f>IF(ISNUMBER(AVERAGE('20250815_ETF_Options_Exhibits'!G1850:G1854)),AVERAGE('20250815_ETF_Options_Exhibits'!G1850:G1854),"")</f>
        <v/>
      </c>
      <c r="H1854" s="3">
        <f>IF(ISNUMBER(AVERAGE('20250815_ETF_Options_Exhibits'!H1850:H1854)),AVERAGE('20250815_ETF_Options_Exhibits'!H1850:H1854),"")</f>
        <v/>
      </c>
      <c r="I1854" s="3">
        <f>IF(ISNUMBER(AVERAGE('20250815_ETF_Options_Exhibits'!I1850:I1854)),AVERAGE('20250815_ETF_Options_Exhibits'!I1850:I1854),"")</f>
        <v/>
      </c>
      <c r="J1854" s="3">
        <f>IF(ISNUMBER(AVERAGE('20250815_ETF_Options_Exhibits'!J1850:J1854)),AVERAGE('20250815_ETF_Options_Exhibits'!J1850:J1854),"")</f>
        <v/>
      </c>
      <c r="K1854" s="3">
        <f>IF(ISNUMBER(AVERAGE('20250815_ETF_Options_Exhibits'!K1850:K1854)),AVERAGE('20250815_ETF_Options_Exhibits'!K1850:K1854),"")</f>
        <v/>
      </c>
      <c r="L1854" s="3">
        <f>IF(ISNUMBER(AVERAGE('20250815_ETF_Options_Exhibits'!L1850:L1854)),AVERAGE('20250815_ETF_Options_Exhibits'!L1850:L1854),"")</f>
        <v/>
      </c>
      <c r="M1854" s="3">
        <f>IF(ISNUMBER(AVERAGE('20250815_ETF_Options_Exhibits'!M1850:M1854)),AVERAGE('20250815_ETF_Options_Exhibits'!M1850:M1854),"")</f>
        <v/>
      </c>
      <c r="N1854" s="3">
        <f>IF(ISNUMBER(AVERAGE('20250815_ETF_Options_Exhibits'!N1850:N1854)),AVERAGE('20250815_ETF_Options_Exhibits'!N1850:N1854),"")</f>
        <v/>
      </c>
      <c r="O1854" s="3">
        <f>IF(ISNUMBER(AVERAGE('20250815_ETF_Options_Exhibits'!O1850:O1854)),AVERAGE('20250815_ETF_Options_Exhibits'!O1850:O1854),"")</f>
        <v/>
      </c>
      <c r="P1854" s="3">
        <f>IF(ISNUMBER(AVERAGE('20250815_ETF_Options_Exhibits'!P1850:P1854)),AVERAGE('20250815_ETF_Options_Exhibits'!P1850:P1854),"")</f>
        <v/>
      </c>
      <c r="Q1854" s="3">
        <f>IF(ISNUMBER(AVERAGE('20250815_ETF_Options_Exhibits'!Q1850:Q1854)),AVERAGE('20250815_ETF_Options_Exhibits'!Q1850:Q1854),"")</f>
        <v/>
      </c>
      <c r="R1854" s="3">
        <f>IF(ISNUMBER(AVERAGE('20250815_ETF_Options_Exhibits'!R1850:R1854)),AVERAGE('20250815_ETF_Options_Exhibits'!R1850:R1854),"")</f>
        <v/>
      </c>
      <c r="S1854" s="3">
        <f>IF(ISNUMBER(AVERAGE('20250815_ETF_Options_Exhibits'!S1850:S1854)),AVERAGE('20250815_ETF_Options_Exhibits'!S1850:S1854),"")</f>
        <v/>
      </c>
      <c r="T1854" s="3">
        <f>IF(ISNUMBER(AVERAGE('20250815_ETF_Options_Exhibits'!T1850:T1854)),AVERAGE('20250815_ETF_Options_Exhibits'!T1850:T1854),"")</f>
        <v/>
      </c>
      <c r="U1854" s="3">
        <f>IF(ISNUMBER(AVERAGE('20250815_ETF_Options_Exhibits'!U1850:U1854)),AVERAGE('20250815_ETF_Options_Exhibits'!U1850:U1854),"")</f>
        <v/>
      </c>
      <c r="V1854" s="3">
        <f>IF(ISNUMBER(AVERAGE('20250815_ETF_Options_Exhibits'!V1850:V1854)),AVERAGE('20250815_ETF_Options_Exhibits'!V1850:V1854),"")</f>
        <v/>
      </c>
      <c r="W1854" s="3">
        <f>IF(ISNUMBER(AVERAGE('20250815_ETF_Options_Exhibits'!W1850:W1854)),AVERAGE('20250815_ETF_Options_Exhibits'!W1850:W1854),"")</f>
        <v/>
      </c>
      <c r="X1854" s="3">
        <f>IF(ISNUMBER(AVERAGE('20250815_ETF_Options_Exhibits'!X1850:X1854)),AVERAGE('20250815_ETF_Options_Exhibits'!X1850:X1854),"")</f>
        <v/>
      </c>
      <c r="Y1854" s="3">
        <f>IF(ISNUMBER(AVERAGE('20250815_ETF_Options_Exhibits'!Y1850:Y1854)),AVERAGE('20250815_ETF_Options_Exhibits'!Y1850:Y1854),"")</f>
        <v/>
      </c>
      <c r="Z1854" s="3">
        <f>IF(ISNUMBER(AVERAGE('20250815_ETF_Options_Exhibits'!Z1850:Z1854)),AVERAGE('20250815_ETF_Options_Exhibits'!Z1850:Z1854),"")</f>
        <v/>
      </c>
      <c r="AA1854" s="3">
        <f>IF(ISNUMBER(AVERAGE('20250815_ETF_Options_Exhibits'!AA1850:AA1854)),AVERAGE('20250815_ETF_Options_Exhibits'!AA1850:AA1854),"")</f>
        <v/>
      </c>
    </row>
    <row r="1855">
      <c r="A1855" s="1" t="n">
        <v>44692</v>
      </c>
      <c r="B1855" s="3">
        <f>IF(ISNUMBER(AVERAGE('20250815_ETF_Options_Exhibits'!B1851:B1855)),AVERAGE('20250815_ETF_Options_Exhibits'!B1851:B1855),"")</f>
        <v/>
      </c>
      <c r="C1855" s="3">
        <f>IF(ISNUMBER(AVERAGE('20250815_ETF_Options_Exhibits'!C1851:C1855)),AVERAGE('20250815_ETF_Options_Exhibits'!C1851:C1855),"")</f>
        <v/>
      </c>
      <c r="D1855" s="3">
        <f>IF(ISNUMBER(AVERAGE('20250815_ETF_Options_Exhibits'!D1851:D1855)),AVERAGE('20250815_ETF_Options_Exhibits'!D1851:D1855),"")</f>
        <v/>
      </c>
      <c r="E1855" s="3">
        <f>IF(ISNUMBER(AVERAGE('20250815_ETF_Options_Exhibits'!E1851:E1855)),AVERAGE('20250815_ETF_Options_Exhibits'!E1851:E1855),"")</f>
        <v/>
      </c>
      <c r="F1855" s="3">
        <f>IF(ISNUMBER(AVERAGE('20250815_ETF_Options_Exhibits'!F1851:F1855)),AVERAGE('20250815_ETF_Options_Exhibits'!F1851:F1855),"")</f>
        <v/>
      </c>
      <c r="G1855" s="3">
        <f>IF(ISNUMBER(AVERAGE('20250815_ETF_Options_Exhibits'!G1851:G1855)),AVERAGE('20250815_ETF_Options_Exhibits'!G1851:G1855),"")</f>
        <v/>
      </c>
      <c r="H1855" s="3">
        <f>IF(ISNUMBER(AVERAGE('20250815_ETF_Options_Exhibits'!H1851:H1855)),AVERAGE('20250815_ETF_Options_Exhibits'!H1851:H1855),"")</f>
        <v/>
      </c>
      <c r="I1855" s="3">
        <f>IF(ISNUMBER(AVERAGE('20250815_ETF_Options_Exhibits'!I1851:I1855)),AVERAGE('20250815_ETF_Options_Exhibits'!I1851:I1855),"")</f>
        <v/>
      </c>
      <c r="J1855" s="3">
        <f>IF(ISNUMBER(AVERAGE('20250815_ETF_Options_Exhibits'!J1851:J1855)),AVERAGE('20250815_ETF_Options_Exhibits'!J1851:J1855),"")</f>
        <v/>
      </c>
      <c r="K1855" s="3">
        <f>IF(ISNUMBER(AVERAGE('20250815_ETF_Options_Exhibits'!K1851:K1855)),AVERAGE('20250815_ETF_Options_Exhibits'!K1851:K1855),"")</f>
        <v/>
      </c>
      <c r="L1855" s="3">
        <f>IF(ISNUMBER(AVERAGE('20250815_ETF_Options_Exhibits'!L1851:L1855)),AVERAGE('20250815_ETF_Options_Exhibits'!L1851:L1855),"")</f>
        <v/>
      </c>
      <c r="M1855" s="3">
        <f>IF(ISNUMBER(AVERAGE('20250815_ETF_Options_Exhibits'!M1851:M1855)),AVERAGE('20250815_ETF_Options_Exhibits'!M1851:M1855),"")</f>
        <v/>
      </c>
      <c r="N1855" s="3">
        <f>IF(ISNUMBER(AVERAGE('20250815_ETF_Options_Exhibits'!N1851:N1855)),AVERAGE('20250815_ETF_Options_Exhibits'!N1851:N1855),"")</f>
        <v/>
      </c>
      <c r="O1855" s="3">
        <f>IF(ISNUMBER(AVERAGE('20250815_ETF_Options_Exhibits'!O1851:O1855)),AVERAGE('20250815_ETF_Options_Exhibits'!O1851:O1855),"")</f>
        <v/>
      </c>
      <c r="P1855" s="3">
        <f>IF(ISNUMBER(AVERAGE('20250815_ETF_Options_Exhibits'!P1851:P1855)),AVERAGE('20250815_ETF_Options_Exhibits'!P1851:P1855),"")</f>
        <v/>
      </c>
      <c r="Q1855" s="3">
        <f>IF(ISNUMBER(AVERAGE('20250815_ETF_Options_Exhibits'!Q1851:Q1855)),AVERAGE('20250815_ETF_Options_Exhibits'!Q1851:Q1855),"")</f>
        <v/>
      </c>
      <c r="R1855" s="3">
        <f>IF(ISNUMBER(AVERAGE('20250815_ETF_Options_Exhibits'!R1851:R1855)),AVERAGE('20250815_ETF_Options_Exhibits'!R1851:R1855),"")</f>
        <v/>
      </c>
      <c r="S1855" s="3">
        <f>IF(ISNUMBER(AVERAGE('20250815_ETF_Options_Exhibits'!S1851:S1855)),AVERAGE('20250815_ETF_Options_Exhibits'!S1851:S1855),"")</f>
        <v/>
      </c>
      <c r="T1855" s="3">
        <f>IF(ISNUMBER(AVERAGE('20250815_ETF_Options_Exhibits'!T1851:T1855)),AVERAGE('20250815_ETF_Options_Exhibits'!T1851:T1855),"")</f>
        <v/>
      </c>
      <c r="U1855" s="3">
        <f>IF(ISNUMBER(AVERAGE('20250815_ETF_Options_Exhibits'!U1851:U1855)),AVERAGE('20250815_ETF_Options_Exhibits'!U1851:U1855),"")</f>
        <v/>
      </c>
      <c r="V1855" s="3">
        <f>IF(ISNUMBER(AVERAGE('20250815_ETF_Options_Exhibits'!V1851:V1855)),AVERAGE('20250815_ETF_Options_Exhibits'!V1851:V1855),"")</f>
        <v/>
      </c>
      <c r="W1855" s="3">
        <f>IF(ISNUMBER(AVERAGE('20250815_ETF_Options_Exhibits'!W1851:W1855)),AVERAGE('20250815_ETF_Options_Exhibits'!W1851:W1855),"")</f>
        <v/>
      </c>
      <c r="X1855" s="3">
        <f>IF(ISNUMBER(AVERAGE('20250815_ETF_Options_Exhibits'!X1851:X1855)),AVERAGE('20250815_ETF_Options_Exhibits'!X1851:X1855),"")</f>
        <v/>
      </c>
      <c r="Y1855" s="3">
        <f>IF(ISNUMBER(AVERAGE('20250815_ETF_Options_Exhibits'!Y1851:Y1855)),AVERAGE('20250815_ETF_Options_Exhibits'!Y1851:Y1855),"")</f>
        <v/>
      </c>
      <c r="Z1855" s="3">
        <f>IF(ISNUMBER(AVERAGE('20250815_ETF_Options_Exhibits'!Z1851:Z1855)),AVERAGE('20250815_ETF_Options_Exhibits'!Z1851:Z1855),"")</f>
        <v/>
      </c>
      <c r="AA1855" s="3">
        <f>IF(ISNUMBER(AVERAGE('20250815_ETF_Options_Exhibits'!AA1851:AA1855)),AVERAGE('20250815_ETF_Options_Exhibits'!AA1851:AA1855),"")</f>
        <v/>
      </c>
    </row>
    <row r="1856">
      <c r="A1856" s="1" t="n">
        <v>44693</v>
      </c>
      <c r="B1856" s="3">
        <f>IF(ISNUMBER(AVERAGE('20250815_ETF_Options_Exhibits'!B1852:B1856)),AVERAGE('20250815_ETF_Options_Exhibits'!B1852:B1856),"")</f>
        <v/>
      </c>
      <c r="C1856" s="3">
        <f>IF(ISNUMBER(AVERAGE('20250815_ETF_Options_Exhibits'!C1852:C1856)),AVERAGE('20250815_ETF_Options_Exhibits'!C1852:C1856),"")</f>
        <v/>
      </c>
      <c r="D1856" s="3">
        <f>IF(ISNUMBER(AVERAGE('20250815_ETF_Options_Exhibits'!D1852:D1856)),AVERAGE('20250815_ETF_Options_Exhibits'!D1852:D1856),"")</f>
        <v/>
      </c>
      <c r="E1856" s="3">
        <f>IF(ISNUMBER(AVERAGE('20250815_ETF_Options_Exhibits'!E1852:E1856)),AVERAGE('20250815_ETF_Options_Exhibits'!E1852:E1856),"")</f>
        <v/>
      </c>
      <c r="F1856" s="3">
        <f>IF(ISNUMBER(AVERAGE('20250815_ETF_Options_Exhibits'!F1852:F1856)),AVERAGE('20250815_ETF_Options_Exhibits'!F1852:F1856),"")</f>
        <v/>
      </c>
      <c r="G1856" s="3">
        <f>IF(ISNUMBER(AVERAGE('20250815_ETF_Options_Exhibits'!G1852:G1856)),AVERAGE('20250815_ETF_Options_Exhibits'!G1852:G1856),"")</f>
        <v/>
      </c>
      <c r="H1856" s="3">
        <f>IF(ISNUMBER(AVERAGE('20250815_ETF_Options_Exhibits'!H1852:H1856)),AVERAGE('20250815_ETF_Options_Exhibits'!H1852:H1856),"")</f>
        <v/>
      </c>
      <c r="I1856" s="3">
        <f>IF(ISNUMBER(AVERAGE('20250815_ETF_Options_Exhibits'!I1852:I1856)),AVERAGE('20250815_ETF_Options_Exhibits'!I1852:I1856),"")</f>
        <v/>
      </c>
      <c r="J1856" s="3">
        <f>IF(ISNUMBER(AVERAGE('20250815_ETF_Options_Exhibits'!J1852:J1856)),AVERAGE('20250815_ETF_Options_Exhibits'!J1852:J1856),"")</f>
        <v/>
      </c>
      <c r="K1856" s="3">
        <f>IF(ISNUMBER(AVERAGE('20250815_ETF_Options_Exhibits'!K1852:K1856)),AVERAGE('20250815_ETF_Options_Exhibits'!K1852:K1856),"")</f>
        <v/>
      </c>
      <c r="L1856" s="3">
        <f>IF(ISNUMBER(AVERAGE('20250815_ETF_Options_Exhibits'!L1852:L1856)),AVERAGE('20250815_ETF_Options_Exhibits'!L1852:L1856),"")</f>
        <v/>
      </c>
      <c r="M1856" s="3">
        <f>IF(ISNUMBER(AVERAGE('20250815_ETF_Options_Exhibits'!M1852:M1856)),AVERAGE('20250815_ETF_Options_Exhibits'!M1852:M1856),"")</f>
        <v/>
      </c>
      <c r="N1856" s="3">
        <f>IF(ISNUMBER(AVERAGE('20250815_ETF_Options_Exhibits'!N1852:N1856)),AVERAGE('20250815_ETF_Options_Exhibits'!N1852:N1856),"")</f>
        <v/>
      </c>
      <c r="O1856" s="3">
        <f>IF(ISNUMBER(AVERAGE('20250815_ETF_Options_Exhibits'!O1852:O1856)),AVERAGE('20250815_ETF_Options_Exhibits'!O1852:O1856),"")</f>
        <v/>
      </c>
      <c r="P1856" s="3">
        <f>IF(ISNUMBER(AVERAGE('20250815_ETF_Options_Exhibits'!P1852:P1856)),AVERAGE('20250815_ETF_Options_Exhibits'!P1852:P1856),"")</f>
        <v/>
      </c>
      <c r="Q1856" s="3">
        <f>IF(ISNUMBER(AVERAGE('20250815_ETF_Options_Exhibits'!Q1852:Q1856)),AVERAGE('20250815_ETF_Options_Exhibits'!Q1852:Q1856),"")</f>
        <v/>
      </c>
      <c r="R1856" s="3">
        <f>IF(ISNUMBER(AVERAGE('20250815_ETF_Options_Exhibits'!R1852:R1856)),AVERAGE('20250815_ETF_Options_Exhibits'!R1852:R1856),"")</f>
        <v/>
      </c>
      <c r="S1856" s="3">
        <f>IF(ISNUMBER(AVERAGE('20250815_ETF_Options_Exhibits'!S1852:S1856)),AVERAGE('20250815_ETF_Options_Exhibits'!S1852:S1856),"")</f>
        <v/>
      </c>
      <c r="T1856" s="3">
        <f>IF(ISNUMBER(AVERAGE('20250815_ETF_Options_Exhibits'!T1852:T1856)),AVERAGE('20250815_ETF_Options_Exhibits'!T1852:T1856),"")</f>
        <v/>
      </c>
      <c r="U1856" s="3">
        <f>IF(ISNUMBER(AVERAGE('20250815_ETF_Options_Exhibits'!U1852:U1856)),AVERAGE('20250815_ETF_Options_Exhibits'!U1852:U1856),"")</f>
        <v/>
      </c>
      <c r="V1856" s="3">
        <f>IF(ISNUMBER(AVERAGE('20250815_ETF_Options_Exhibits'!V1852:V1856)),AVERAGE('20250815_ETF_Options_Exhibits'!V1852:V1856),"")</f>
        <v/>
      </c>
      <c r="W1856" s="3">
        <f>IF(ISNUMBER(AVERAGE('20250815_ETF_Options_Exhibits'!W1852:W1856)),AVERAGE('20250815_ETF_Options_Exhibits'!W1852:W1856),"")</f>
        <v/>
      </c>
      <c r="X1856" s="3">
        <f>IF(ISNUMBER(AVERAGE('20250815_ETF_Options_Exhibits'!X1852:X1856)),AVERAGE('20250815_ETF_Options_Exhibits'!X1852:X1856),"")</f>
        <v/>
      </c>
      <c r="Y1856" s="3">
        <f>IF(ISNUMBER(AVERAGE('20250815_ETF_Options_Exhibits'!Y1852:Y1856)),AVERAGE('20250815_ETF_Options_Exhibits'!Y1852:Y1856),"")</f>
        <v/>
      </c>
      <c r="Z1856" s="3">
        <f>IF(ISNUMBER(AVERAGE('20250815_ETF_Options_Exhibits'!Z1852:Z1856)),AVERAGE('20250815_ETF_Options_Exhibits'!Z1852:Z1856),"")</f>
        <v/>
      </c>
      <c r="AA1856" s="3">
        <f>IF(ISNUMBER(AVERAGE('20250815_ETF_Options_Exhibits'!AA1852:AA1856)),AVERAGE('20250815_ETF_Options_Exhibits'!AA1852:AA1856),"")</f>
        <v/>
      </c>
    </row>
    <row r="1857">
      <c r="A1857" s="1" t="n">
        <v>44694</v>
      </c>
      <c r="B1857" s="3">
        <f>IF(ISNUMBER(AVERAGE('20250815_ETF_Options_Exhibits'!B1853:B1857)),AVERAGE('20250815_ETF_Options_Exhibits'!B1853:B1857),"")</f>
        <v/>
      </c>
      <c r="C1857" s="3">
        <f>IF(ISNUMBER(AVERAGE('20250815_ETF_Options_Exhibits'!C1853:C1857)),AVERAGE('20250815_ETF_Options_Exhibits'!C1853:C1857),"")</f>
        <v/>
      </c>
      <c r="D1857" s="3">
        <f>IF(ISNUMBER(AVERAGE('20250815_ETF_Options_Exhibits'!D1853:D1857)),AVERAGE('20250815_ETF_Options_Exhibits'!D1853:D1857),"")</f>
        <v/>
      </c>
      <c r="E1857" s="3">
        <f>IF(ISNUMBER(AVERAGE('20250815_ETF_Options_Exhibits'!E1853:E1857)),AVERAGE('20250815_ETF_Options_Exhibits'!E1853:E1857),"")</f>
        <v/>
      </c>
      <c r="F1857" s="3">
        <f>IF(ISNUMBER(AVERAGE('20250815_ETF_Options_Exhibits'!F1853:F1857)),AVERAGE('20250815_ETF_Options_Exhibits'!F1853:F1857),"")</f>
        <v/>
      </c>
      <c r="G1857" s="3">
        <f>IF(ISNUMBER(AVERAGE('20250815_ETF_Options_Exhibits'!G1853:G1857)),AVERAGE('20250815_ETF_Options_Exhibits'!G1853:G1857),"")</f>
        <v/>
      </c>
      <c r="H1857" s="3">
        <f>IF(ISNUMBER(AVERAGE('20250815_ETF_Options_Exhibits'!H1853:H1857)),AVERAGE('20250815_ETF_Options_Exhibits'!H1853:H1857),"")</f>
        <v/>
      </c>
      <c r="I1857" s="3">
        <f>IF(ISNUMBER(AVERAGE('20250815_ETF_Options_Exhibits'!I1853:I1857)),AVERAGE('20250815_ETF_Options_Exhibits'!I1853:I1857),"")</f>
        <v/>
      </c>
      <c r="J1857" s="3">
        <f>IF(ISNUMBER(AVERAGE('20250815_ETF_Options_Exhibits'!J1853:J1857)),AVERAGE('20250815_ETF_Options_Exhibits'!J1853:J1857),"")</f>
        <v/>
      </c>
      <c r="K1857" s="3">
        <f>IF(ISNUMBER(AVERAGE('20250815_ETF_Options_Exhibits'!K1853:K1857)),AVERAGE('20250815_ETF_Options_Exhibits'!K1853:K1857),"")</f>
        <v/>
      </c>
      <c r="L1857" s="3">
        <f>IF(ISNUMBER(AVERAGE('20250815_ETF_Options_Exhibits'!L1853:L1857)),AVERAGE('20250815_ETF_Options_Exhibits'!L1853:L1857),"")</f>
        <v/>
      </c>
      <c r="M1857" s="3">
        <f>IF(ISNUMBER(AVERAGE('20250815_ETF_Options_Exhibits'!M1853:M1857)),AVERAGE('20250815_ETF_Options_Exhibits'!M1853:M1857),"")</f>
        <v/>
      </c>
      <c r="N1857" s="3">
        <f>IF(ISNUMBER(AVERAGE('20250815_ETF_Options_Exhibits'!N1853:N1857)),AVERAGE('20250815_ETF_Options_Exhibits'!N1853:N1857),"")</f>
        <v/>
      </c>
      <c r="O1857" s="3">
        <f>IF(ISNUMBER(AVERAGE('20250815_ETF_Options_Exhibits'!O1853:O1857)),AVERAGE('20250815_ETF_Options_Exhibits'!O1853:O1857),"")</f>
        <v/>
      </c>
      <c r="P1857" s="3">
        <f>IF(ISNUMBER(AVERAGE('20250815_ETF_Options_Exhibits'!P1853:P1857)),AVERAGE('20250815_ETF_Options_Exhibits'!P1853:P1857),"")</f>
        <v/>
      </c>
      <c r="Q1857" s="3">
        <f>IF(ISNUMBER(AVERAGE('20250815_ETF_Options_Exhibits'!Q1853:Q1857)),AVERAGE('20250815_ETF_Options_Exhibits'!Q1853:Q1857),"")</f>
        <v/>
      </c>
      <c r="R1857" s="3">
        <f>IF(ISNUMBER(AVERAGE('20250815_ETF_Options_Exhibits'!R1853:R1857)),AVERAGE('20250815_ETF_Options_Exhibits'!R1853:R1857),"")</f>
        <v/>
      </c>
      <c r="S1857" s="3">
        <f>IF(ISNUMBER(AVERAGE('20250815_ETF_Options_Exhibits'!S1853:S1857)),AVERAGE('20250815_ETF_Options_Exhibits'!S1853:S1857),"")</f>
        <v/>
      </c>
      <c r="T1857" s="3">
        <f>IF(ISNUMBER(AVERAGE('20250815_ETF_Options_Exhibits'!T1853:T1857)),AVERAGE('20250815_ETF_Options_Exhibits'!T1853:T1857),"")</f>
        <v/>
      </c>
      <c r="U1857" s="3">
        <f>IF(ISNUMBER(AVERAGE('20250815_ETF_Options_Exhibits'!U1853:U1857)),AVERAGE('20250815_ETF_Options_Exhibits'!U1853:U1857),"")</f>
        <v/>
      </c>
      <c r="V1857" s="3">
        <f>IF(ISNUMBER(AVERAGE('20250815_ETF_Options_Exhibits'!V1853:V1857)),AVERAGE('20250815_ETF_Options_Exhibits'!V1853:V1857),"")</f>
        <v/>
      </c>
      <c r="W1857" s="3">
        <f>IF(ISNUMBER(AVERAGE('20250815_ETF_Options_Exhibits'!W1853:W1857)),AVERAGE('20250815_ETF_Options_Exhibits'!W1853:W1857),"")</f>
        <v/>
      </c>
      <c r="X1857" s="3">
        <f>IF(ISNUMBER(AVERAGE('20250815_ETF_Options_Exhibits'!X1853:X1857)),AVERAGE('20250815_ETF_Options_Exhibits'!X1853:X1857),"")</f>
        <v/>
      </c>
      <c r="Y1857" s="3">
        <f>IF(ISNUMBER(AVERAGE('20250815_ETF_Options_Exhibits'!Y1853:Y1857)),AVERAGE('20250815_ETF_Options_Exhibits'!Y1853:Y1857),"")</f>
        <v/>
      </c>
      <c r="Z1857" s="3">
        <f>IF(ISNUMBER(AVERAGE('20250815_ETF_Options_Exhibits'!Z1853:Z1857)),AVERAGE('20250815_ETF_Options_Exhibits'!Z1853:Z1857),"")</f>
        <v/>
      </c>
      <c r="AA1857" s="3">
        <f>IF(ISNUMBER(AVERAGE('20250815_ETF_Options_Exhibits'!AA1853:AA1857)),AVERAGE('20250815_ETF_Options_Exhibits'!AA1853:AA1857),"")</f>
        <v/>
      </c>
    </row>
    <row r="1858">
      <c r="A1858" s="1" t="n">
        <v>44697</v>
      </c>
      <c r="B1858" s="3">
        <f>IF(ISNUMBER(AVERAGE('20250815_ETF_Options_Exhibits'!B1854:B1858)),AVERAGE('20250815_ETF_Options_Exhibits'!B1854:B1858),"")</f>
        <v/>
      </c>
      <c r="C1858" s="3">
        <f>IF(ISNUMBER(AVERAGE('20250815_ETF_Options_Exhibits'!C1854:C1858)),AVERAGE('20250815_ETF_Options_Exhibits'!C1854:C1858),"")</f>
        <v/>
      </c>
      <c r="D1858" s="3">
        <f>IF(ISNUMBER(AVERAGE('20250815_ETF_Options_Exhibits'!D1854:D1858)),AVERAGE('20250815_ETF_Options_Exhibits'!D1854:D1858),"")</f>
        <v/>
      </c>
      <c r="E1858" s="3">
        <f>IF(ISNUMBER(AVERAGE('20250815_ETF_Options_Exhibits'!E1854:E1858)),AVERAGE('20250815_ETF_Options_Exhibits'!E1854:E1858),"")</f>
        <v/>
      </c>
      <c r="F1858" s="3">
        <f>IF(ISNUMBER(AVERAGE('20250815_ETF_Options_Exhibits'!F1854:F1858)),AVERAGE('20250815_ETF_Options_Exhibits'!F1854:F1858),"")</f>
        <v/>
      </c>
      <c r="G1858" s="3">
        <f>IF(ISNUMBER(AVERAGE('20250815_ETF_Options_Exhibits'!G1854:G1858)),AVERAGE('20250815_ETF_Options_Exhibits'!G1854:G1858),"")</f>
        <v/>
      </c>
      <c r="H1858" s="3">
        <f>IF(ISNUMBER(AVERAGE('20250815_ETF_Options_Exhibits'!H1854:H1858)),AVERAGE('20250815_ETF_Options_Exhibits'!H1854:H1858),"")</f>
        <v/>
      </c>
      <c r="I1858" s="3">
        <f>IF(ISNUMBER(AVERAGE('20250815_ETF_Options_Exhibits'!I1854:I1858)),AVERAGE('20250815_ETF_Options_Exhibits'!I1854:I1858),"")</f>
        <v/>
      </c>
      <c r="J1858" s="3">
        <f>IF(ISNUMBER(AVERAGE('20250815_ETF_Options_Exhibits'!J1854:J1858)),AVERAGE('20250815_ETF_Options_Exhibits'!J1854:J1858),"")</f>
        <v/>
      </c>
      <c r="K1858" s="3">
        <f>IF(ISNUMBER(AVERAGE('20250815_ETF_Options_Exhibits'!K1854:K1858)),AVERAGE('20250815_ETF_Options_Exhibits'!K1854:K1858),"")</f>
        <v/>
      </c>
      <c r="L1858" s="3">
        <f>IF(ISNUMBER(AVERAGE('20250815_ETF_Options_Exhibits'!L1854:L1858)),AVERAGE('20250815_ETF_Options_Exhibits'!L1854:L1858),"")</f>
        <v/>
      </c>
      <c r="M1858" s="3">
        <f>IF(ISNUMBER(AVERAGE('20250815_ETF_Options_Exhibits'!M1854:M1858)),AVERAGE('20250815_ETF_Options_Exhibits'!M1854:M1858),"")</f>
        <v/>
      </c>
      <c r="N1858" s="3">
        <f>IF(ISNUMBER(AVERAGE('20250815_ETF_Options_Exhibits'!N1854:N1858)),AVERAGE('20250815_ETF_Options_Exhibits'!N1854:N1858),"")</f>
        <v/>
      </c>
      <c r="O1858" s="3">
        <f>IF(ISNUMBER(AVERAGE('20250815_ETF_Options_Exhibits'!O1854:O1858)),AVERAGE('20250815_ETF_Options_Exhibits'!O1854:O1858),"")</f>
        <v/>
      </c>
      <c r="P1858" s="3">
        <f>IF(ISNUMBER(AVERAGE('20250815_ETF_Options_Exhibits'!P1854:P1858)),AVERAGE('20250815_ETF_Options_Exhibits'!P1854:P1858),"")</f>
        <v/>
      </c>
      <c r="Q1858" s="3">
        <f>IF(ISNUMBER(AVERAGE('20250815_ETF_Options_Exhibits'!Q1854:Q1858)),AVERAGE('20250815_ETF_Options_Exhibits'!Q1854:Q1858),"")</f>
        <v/>
      </c>
      <c r="R1858" s="3">
        <f>IF(ISNUMBER(AVERAGE('20250815_ETF_Options_Exhibits'!R1854:R1858)),AVERAGE('20250815_ETF_Options_Exhibits'!R1854:R1858),"")</f>
        <v/>
      </c>
      <c r="S1858" s="3">
        <f>IF(ISNUMBER(AVERAGE('20250815_ETF_Options_Exhibits'!S1854:S1858)),AVERAGE('20250815_ETF_Options_Exhibits'!S1854:S1858),"")</f>
        <v/>
      </c>
      <c r="T1858" s="3">
        <f>IF(ISNUMBER(AVERAGE('20250815_ETF_Options_Exhibits'!T1854:T1858)),AVERAGE('20250815_ETF_Options_Exhibits'!T1854:T1858),"")</f>
        <v/>
      </c>
      <c r="U1858" s="3">
        <f>IF(ISNUMBER(AVERAGE('20250815_ETF_Options_Exhibits'!U1854:U1858)),AVERAGE('20250815_ETF_Options_Exhibits'!U1854:U1858),"")</f>
        <v/>
      </c>
      <c r="V1858" s="3">
        <f>IF(ISNUMBER(AVERAGE('20250815_ETF_Options_Exhibits'!V1854:V1858)),AVERAGE('20250815_ETF_Options_Exhibits'!V1854:V1858),"")</f>
        <v/>
      </c>
      <c r="W1858" s="3">
        <f>IF(ISNUMBER(AVERAGE('20250815_ETF_Options_Exhibits'!W1854:W1858)),AVERAGE('20250815_ETF_Options_Exhibits'!W1854:W1858),"")</f>
        <v/>
      </c>
      <c r="X1858" s="3">
        <f>IF(ISNUMBER(AVERAGE('20250815_ETF_Options_Exhibits'!X1854:X1858)),AVERAGE('20250815_ETF_Options_Exhibits'!X1854:X1858),"")</f>
        <v/>
      </c>
      <c r="Y1858" s="3">
        <f>IF(ISNUMBER(AVERAGE('20250815_ETF_Options_Exhibits'!Y1854:Y1858)),AVERAGE('20250815_ETF_Options_Exhibits'!Y1854:Y1858),"")</f>
        <v/>
      </c>
      <c r="Z1858" s="3">
        <f>IF(ISNUMBER(AVERAGE('20250815_ETF_Options_Exhibits'!Z1854:Z1858)),AVERAGE('20250815_ETF_Options_Exhibits'!Z1854:Z1858),"")</f>
        <v/>
      </c>
      <c r="AA1858" s="3">
        <f>IF(ISNUMBER(AVERAGE('20250815_ETF_Options_Exhibits'!AA1854:AA1858)),AVERAGE('20250815_ETF_Options_Exhibits'!AA1854:AA1858),"")</f>
        <v/>
      </c>
    </row>
    <row r="1859">
      <c r="A1859" s="1" t="n">
        <v>44698</v>
      </c>
      <c r="B1859" s="3">
        <f>IF(ISNUMBER(AVERAGE('20250815_ETF_Options_Exhibits'!B1855:B1859)),AVERAGE('20250815_ETF_Options_Exhibits'!B1855:B1859),"")</f>
        <v/>
      </c>
      <c r="C1859" s="3">
        <f>IF(ISNUMBER(AVERAGE('20250815_ETF_Options_Exhibits'!C1855:C1859)),AVERAGE('20250815_ETF_Options_Exhibits'!C1855:C1859),"")</f>
        <v/>
      </c>
      <c r="D1859" s="3">
        <f>IF(ISNUMBER(AVERAGE('20250815_ETF_Options_Exhibits'!D1855:D1859)),AVERAGE('20250815_ETF_Options_Exhibits'!D1855:D1859),"")</f>
        <v/>
      </c>
      <c r="E1859" s="3">
        <f>IF(ISNUMBER(AVERAGE('20250815_ETF_Options_Exhibits'!E1855:E1859)),AVERAGE('20250815_ETF_Options_Exhibits'!E1855:E1859),"")</f>
        <v/>
      </c>
      <c r="F1859" s="3">
        <f>IF(ISNUMBER(AVERAGE('20250815_ETF_Options_Exhibits'!F1855:F1859)),AVERAGE('20250815_ETF_Options_Exhibits'!F1855:F1859),"")</f>
        <v/>
      </c>
      <c r="G1859" s="3">
        <f>IF(ISNUMBER(AVERAGE('20250815_ETF_Options_Exhibits'!G1855:G1859)),AVERAGE('20250815_ETF_Options_Exhibits'!G1855:G1859),"")</f>
        <v/>
      </c>
      <c r="H1859" s="3">
        <f>IF(ISNUMBER(AVERAGE('20250815_ETF_Options_Exhibits'!H1855:H1859)),AVERAGE('20250815_ETF_Options_Exhibits'!H1855:H1859),"")</f>
        <v/>
      </c>
      <c r="I1859" s="3">
        <f>IF(ISNUMBER(AVERAGE('20250815_ETF_Options_Exhibits'!I1855:I1859)),AVERAGE('20250815_ETF_Options_Exhibits'!I1855:I1859),"")</f>
        <v/>
      </c>
      <c r="J1859" s="3">
        <f>IF(ISNUMBER(AVERAGE('20250815_ETF_Options_Exhibits'!J1855:J1859)),AVERAGE('20250815_ETF_Options_Exhibits'!J1855:J1859),"")</f>
        <v/>
      </c>
      <c r="K1859" s="3">
        <f>IF(ISNUMBER(AVERAGE('20250815_ETF_Options_Exhibits'!K1855:K1859)),AVERAGE('20250815_ETF_Options_Exhibits'!K1855:K1859),"")</f>
        <v/>
      </c>
      <c r="L1859" s="3">
        <f>IF(ISNUMBER(AVERAGE('20250815_ETF_Options_Exhibits'!L1855:L1859)),AVERAGE('20250815_ETF_Options_Exhibits'!L1855:L1859),"")</f>
        <v/>
      </c>
      <c r="M1859" s="3">
        <f>IF(ISNUMBER(AVERAGE('20250815_ETF_Options_Exhibits'!M1855:M1859)),AVERAGE('20250815_ETF_Options_Exhibits'!M1855:M1859),"")</f>
        <v/>
      </c>
      <c r="N1859" s="3">
        <f>IF(ISNUMBER(AVERAGE('20250815_ETF_Options_Exhibits'!N1855:N1859)),AVERAGE('20250815_ETF_Options_Exhibits'!N1855:N1859),"")</f>
        <v/>
      </c>
      <c r="O1859" s="3">
        <f>IF(ISNUMBER(AVERAGE('20250815_ETF_Options_Exhibits'!O1855:O1859)),AVERAGE('20250815_ETF_Options_Exhibits'!O1855:O1859),"")</f>
        <v/>
      </c>
      <c r="P1859" s="3">
        <f>IF(ISNUMBER(AVERAGE('20250815_ETF_Options_Exhibits'!P1855:P1859)),AVERAGE('20250815_ETF_Options_Exhibits'!P1855:P1859),"")</f>
        <v/>
      </c>
      <c r="Q1859" s="3">
        <f>IF(ISNUMBER(AVERAGE('20250815_ETF_Options_Exhibits'!Q1855:Q1859)),AVERAGE('20250815_ETF_Options_Exhibits'!Q1855:Q1859),"")</f>
        <v/>
      </c>
      <c r="R1859" s="3">
        <f>IF(ISNUMBER(AVERAGE('20250815_ETF_Options_Exhibits'!R1855:R1859)),AVERAGE('20250815_ETF_Options_Exhibits'!R1855:R1859),"")</f>
        <v/>
      </c>
      <c r="S1859" s="3">
        <f>IF(ISNUMBER(AVERAGE('20250815_ETF_Options_Exhibits'!S1855:S1859)),AVERAGE('20250815_ETF_Options_Exhibits'!S1855:S1859),"")</f>
        <v/>
      </c>
      <c r="T1859" s="3">
        <f>IF(ISNUMBER(AVERAGE('20250815_ETF_Options_Exhibits'!T1855:T1859)),AVERAGE('20250815_ETF_Options_Exhibits'!T1855:T1859),"")</f>
        <v/>
      </c>
      <c r="U1859" s="3">
        <f>IF(ISNUMBER(AVERAGE('20250815_ETF_Options_Exhibits'!U1855:U1859)),AVERAGE('20250815_ETF_Options_Exhibits'!U1855:U1859),"")</f>
        <v/>
      </c>
      <c r="V1859" s="3">
        <f>IF(ISNUMBER(AVERAGE('20250815_ETF_Options_Exhibits'!V1855:V1859)),AVERAGE('20250815_ETF_Options_Exhibits'!V1855:V1859),"")</f>
        <v/>
      </c>
      <c r="W1859" s="3">
        <f>IF(ISNUMBER(AVERAGE('20250815_ETF_Options_Exhibits'!W1855:W1859)),AVERAGE('20250815_ETF_Options_Exhibits'!W1855:W1859),"")</f>
        <v/>
      </c>
      <c r="X1859" s="3">
        <f>IF(ISNUMBER(AVERAGE('20250815_ETF_Options_Exhibits'!X1855:X1859)),AVERAGE('20250815_ETF_Options_Exhibits'!X1855:X1859),"")</f>
        <v/>
      </c>
      <c r="Y1859" s="3">
        <f>IF(ISNUMBER(AVERAGE('20250815_ETF_Options_Exhibits'!Y1855:Y1859)),AVERAGE('20250815_ETF_Options_Exhibits'!Y1855:Y1859),"")</f>
        <v/>
      </c>
      <c r="Z1859" s="3">
        <f>IF(ISNUMBER(AVERAGE('20250815_ETF_Options_Exhibits'!Z1855:Z1859)),AVERAGE('20250815_ETF_Options_Exhibits'!Z1855:Z1859),"")</f>
        <v/>
      </c>
      <c r="AA1859" s="3">
        <f>IF(ISNUMBER(AVERAGE('20250815_ETF_Options_Exhibits'!AA1855:AA1859)),AVERAGE('20250815_ETF_Options_Exhibits'!AA1855:AA1859),"")</f>
        <v/>
      </c>
    </row>
    <row r="1860">
      <c r="A1860" s="1" t="n">
        <v>44699</v>
      </c>
      <c r="B1860" s="3">
        <f>IF(ISNUMBER(AVERAGE('20250815_ETF_Options_Exhibits'!B1856:B1860)),AVERAGE('20250815_ETF_Options_Exhibits'!B1856:B1860),"")</f>
        <v/>
      </c>
      <c r="C1860" s="3">
        <f>IF(ISNUMBER(AVERAGE('20250815_ETF_Options_Exhibits'!C1856:C1860)),AVERAGE('20250815_ETF_Options_Exhibits'!C1856:C1860),"")</f>
        <v/>
      </c>
      <c r="D1860" s="3">
        <f>IF(ISNUMBER(AVERAGE('20250815_ETF_Options_Exhibits'!D1856:D1860)),AVERAGE('20250815_ETF_Options_Exhibits'!D1856:D1860),"")</f>
        <v/>
      </c>
      <c r="E1860" s="3">
        <f>IF(ISNUMBER(AVERAGE('20250815_ETF_Options_Exhibits'!E1856:E1860)),AVERAGE('20250815_ETF_Options_Exhibits'!E1856:E1860),"")</f>
        <v/>
      </c>
      <c r="F1860" s="3">
        <f>IF(ISNUMBER(AVERAGE('20250815_ETF_Options_Exhibits'!F1856:F1860)),AVERAGE('20250815_ETF_Options_Exhibits'!F1856:F1860),"")</f>
        <v/>
      </c>
      <c r="G1860" s="3">
        <f>IF(ISNUMBER(AVERAGE('20250815_ETF_Options_Exhibits'!G1856:G1860)),AVERAGE('20250815_ETF_Options_Exhibits'!G1856:G1860),"")</f>
        <v/>
      </c>
      <c r="H1860" s="3">
        <f>IF(ISNUMBER(AVERAGE('20250815_ETF_Options_Exhibits'!H1856:H1860)),AVERAGE('20250815_ETF_Options_Exhibits'!H1856:H1860),"")</f>
        <v/>
      </c>
      <c r="I1860" s="3">
        <f>IF(ISNUMBER(AVERAGE('20250815_ETF_Options_Exhibits'!I1856:I1860)),AVERAGE('20250815_ETF_Options_Exhibits'!I1856:I1860),"")</f>
        <v/>
      </c>
      <c r="J1860" s="3">
        <f>IF(ISNUMBER(AVERAGE('20250815_ETF_Options_Exhibits'!J1856:J1860)),AVERAGE('20250815_ETF_Options_Exhibits'!J1856:J1860),"")</f>
        <v/>
      </c>
      <c r="K1860" s="3">
        <f>IF(ISNUMBER(AVERAGE('20250815_ETF_Options_Exhibits'!K1856:K1860)),AVERAGE('20250815_ETF_Options_Exhibits'!K1856:K1860),"")</f>
        <v/>
      </c>
      <c r="L1860" s="3">
        <f>IF(ISNUMBER(AVERAGE('20250815_ETF_Options_Exhibits'!L1856:L1860)),AVERAGE('20250815_ETF_Options_Exhibits'!L1856:L1860),"")</f>
        <v/>
      </c>
      <c r="M1860" s="3">
        <f>IF(ISNUMBER(AVERAGE('20250815_ETF_Options_Exhibits'!M1856:M1860)),AVERAGE('20250815_ETF_Options_Exhibits'!M1856:M1860),"")</f>
        <v/>
      </c>
      <c r="N1860" s="3">
        <f>IF(ISNUMBER(AVERAGE('20250815_ETF_Options_Exhibits'!N1856:N1860)),AVERAGE('20250815_ETF_Options_Exhibits'!N1856:N1860),"")</f>
        <v/>
      </c>
      <c r="O1860" s="3">
        <f>IF(ISNUMBER(AVERAGE('20250815_ETF_Options_Exhibits'!O1856:O1860)),AVERAGE('20250815_ETF_Options_Exhibits'!O1856:O1860),"")</f>
        <v/>
      </c>
      <c r="P1860" s="3">
        <f>IF(ISNUMBER(AVERAGE('20250815_ETF_Options_Exhibits'!P1856:P1860)),AVERAGE('20250815_ETF_Options_Exhibits'!P1856:P1860),"")</f>
        <v/>
      </c>
      <c r="Q1860" s="3">
        <f>IF(ISNUMBER(AVERAGE('20250815_ETF_Options_Exhibits'!Q1856:Q1860)),AVERAGE('20250815_ETF_Options_Exhibits'!Q1856:Q1860),"")</f>
        <v/>
      </c>
      <c r="R1860" s="3">
        <f>IF(ISNUMBER(AVERAGE('20250815_ETF_Options_Exhibits'!R1856:R1860)),AVERAGE('20250815_ETF_Options_Exhibits'!R1856:R1860),"")</f>
        <v/>
      </c>
      <c r="S1860" s="3">
        <f>IF(ISNUMBER(AVERAGE('20250815_ETF_Options_Exhibits'!S1856:S1860)),AVERAGE('20250815_ETF_Options_Exhibits'!S1856:S1860),"")</f>
        <v/>
      </c>
      <c r="T1860" s="3">
        <f>IF(ISNUMBER(AVERAGE('20250815_ETF_Options_Exhibits'!T1856:T1860)),AVERAGE('20250815_ETF_Options_Exhibits'!T1856:T1860),"")</f>
        <v/>
      </c>
      <c r="U1860" s="3">
        <f>IF(ISNUMBER(AVERAGE('20250815_ETF_Options_Exhibits'!U1856:U1860)),AVERAGE('20250815_ETF_Options_Exhibits'!U1856:U1860),"")</f>
        <v/>
      </c>
      <c r="V1860" s="3">
        <f>IF(ISNUMBER(AVERAGE('20250815_ETF_Options_Exhibits'!V1856:V1860)),AVERAGE('20250815_ETF_Options_Exhibits'!V1856:V1860),"")</f>
        <v/>
      </c>
      <c r="W1860" s="3">
        <f>IF(ISNUMBER(AVERAGE('20250815_ETF_Options_Exhibits'!W1856:W1860)),AVERAGE('20250815_ETF_Options_Exhibits'!W1856:W1860),"")</f>
        <v/>
      </c>
      <c r="X1860" s="3">
        <f>IF(ISNUMBER(AVERAGE('20250815_ETF_Options_Exhibits'!X1856:X1860)),AVERAGE('20250815_ETF_Options_Exhibits'!X1856:X1860),"")</f>
        <v/>
      </c>
      <c r="Y1860" s="3">
        <f>IF(ISNUMBER(AVERAGE('20250815_ETF_Options_Exhibits'!Y1856:Y1860)),AVERAGE('20250815_ETF_Options_Exhibits'!Y1856:Y1860),"")</f>
        <v/>
      </c>
      <c r="Z1860" s="3">
        <f>IF(ISNUMBER(AVERAGE('20250815_ETF_Options_Exhibits'!Z1856:Z1860)),AVERAGE('20250815_ETF_Options_Exhibits'!Z1856:Z1860),"")</f>
        <v/>
      </c>
      <c r="AA1860" s="3">
        <f>IF(ISNUMBER(AVERAGE('20250815_ETF_Options_Exhibits'!AA1856:AA1860)),AVERAGE('20250815_ETF_Options_Exhibits'!AA1856:AA1860),"")</f>
        <v/>
      </c>
    </row>
    <row r="1861">
      <c r="A1861" s="1" t="n">
        <v>44700</v>
      </c>
      <c r="B1861" s="3">
        <f>IF(ISNUMBER(AVERAGE('20250815_ETF_Options_Exhibits'!B1857:B1861)),AVERAGE('20250815_ETF_Options_Exhibits'!B1857:B1861),"")</f>
        <v/>
      </c>
      <c r="C1861" s="3">
        <f>IF(ISNUMBER(AVERAGE('20250815_ETF_Options_Exhibits'!C1857:C1861)),AVERAGE('20250815_ETF_Options_Exhibits'!C1857:C1861),"")</f>
        <v/>
      </c>
      <c r="D1861" s="3">
        <f>IF(ISNUMBER(AVERAGE('20250815_ETF_Options_Exhibits'!D1857:D1861)),AVERAGE('20250815_ETF_Options_Exhibits'!D1857:D1861),"")</f>
        <v/>
      </c>
      <c r="E1861" s="3">
        <f>IF(ISNUMBER(AVERAGE('20250815_ETF_Options_Exhibits'!E1857:E1861)),AVERAGE('20250815_ETF_Options_Exhibits'!E1857:E1861),"")</f>
        <v/>
      </c>
      <c r="F1861" s="3">
        <f>IF(ISNUMBER(AVERAGE('20250815_ETF_Options_Exhibits'!F1857:F1861)),AVERAGE('20250815_ETF_Options_Exhibits'!F1857:F1861),"")</f>
        <v/>
      </c>
      <c r="G1861" s="3">
        <f>IF(ISNUMBER(AVERAGE('20250815_ETF_Options_Exhibits'!G1857:G1861)),AVERAGE('20250815_ETF_Options_Exhibits'!G1857:G1861),"")</f>
        <v/>
      </c>
      <c r="H1861" s="3">
        <f>IF(ISNUMBER(AVERAGE('20250815_ETF_Options_Exhibits'!H1857:H1861)),AVERAGE('20250815_ETF_Options_Exhibits'!H1857:H1861),"")</f>
        <v/>
      </c>
      <c r="I1861" s="3">
        <f>IF(ISNUMBER(AVERAGE('20250815_ETF_Options_Exhibits'!I1857:I1861)),AVERAGE('20250815_ETF_Options_Exhibits'!I1857:I1861),"")</f>
        <v/>
      </c>
      <c r="J1861" s="3">
        <f>IF(ISNUMBER(AVERAGE('20250815_ETF_Options_Exhibits'!J1857:J1861)),AVERAGE('20250815_ETF_Options_Exhibits'!J1857:J1861),"")</f>
        <v/>
      </c>
      <c r="K1861" s="3">
        <f>IF(ISNUMBER(AVERAGE('20250815_ETF_Options_Exhibits'!K1857:K1861)),AVERAGE('20250815_ETF_Options_Exhibits'!K1857:K1861),"")</f>
        <v/>
      </c>
      <c r="L1861" s="3">
        <f>IF(ISNUMBER(AVERAGE('20250815_ETF_Options_Exhibits'!L1857:L1861)),AVERAGE('20250815_ETF_Options_Exhibits'!L1857:L1861),"")</f>
        <v/>
      </c>
      <c r="M1861" s="3">
        <f>IF(ISNUMBER(AVERAGE('20250815_ETF_Options_Exhibits'!M1857:M1861)),AVERAGE('20250815_ETF_Options_Exhibits'!M1857:M1861),"")</f>
        <v/>
      </c>
      <c r="N1861" s="3">
        <f>IF(ISNUMBER(AVERAGE('20250815_ETF_Options_Exhibits'!N1857:N1861)),AVERAGE('20250815_ETF_Options_Exhibits'!N1857:N1861),"")</f>
        <v/>
      </c>
      <c r="O1861" s="3">
        <f>IF(ISNUMBER(AVERAGE('20250815_ETF_Options_Exhibits'!O1857:O1861)),AVERAGE('20250815_ETF_Options_Exhibits'!O1857:O1861),"")</f>
        <v/>
      </c>
      <c r="P1861" s="3">
        <f>IF(ISNUMBER(AVERAGE('20250815_ETF_Options_Exhibits'!P1857:P1861)),AVERAGE('20250815_ETF_Options_Exhibits'!P1857:P1861),"")</f>
        <v/>
      </c>
      <c r="Q1861" s="3">
        <f>IF(ISNUMBER(AVERAGE('20250815_ETF_Options_Exhibits'!Q1857:Q1861)),AVERAGE('20250815_ETF_Options_Exhibits'!Q1857:Q1861),"")</f>
        <v/>
      </c>
      <c r="R1861" s="3">
        <f>IF(ISNUMBER(AVERAGE('20250815_ETF_Options_Exhibits'!R1857:R1861)),AVERAGE('20250815_ETF_Options_Exhibits'!R1857:R1861),"")</f>
        <v/>
      </c>
      <c r="S1861" s="3">
        <f>IF(ISNUMBER(AVERAGE('20250815_ETF_Options_Exhibits'!S1857:S1861)),AVERAGE('20250815_ETF_Options_Exhibits'!S1857:S1861),"")</f>
        <v/>
      </c>
      <c r="T1861" s="3">
        <f>IF(ISNUMBER(AVERAGE('20250815_ETF_Options_Exhibits'!T1857:T1861)),AVERAGE('20250815_ETF_Options_Exhibits'!T1857:T1861),"")</f>
        <v/>
      </c>
      <c r="U1861" s="3">
        <f>IF(ISNUMBER(AVERAGE('20250815_ETF_Options_Exhibits'!U1857:U1861)),AVERAGE('20250815_ETF_Options_Exhibits'!U1857:U1861),"")</f>
        <v/>
      </c>
      <c r="V1861" s="3">
        <f>IF(ISNUMBER(AVERAGE('20250815_ETF_Options_Exhibits'!V1857:V1861)),AVERAGE('20250815_ETF_Options_Exhibits'!V1857:V1861),"")</f>
        <v/>
      </c>
      <c r="W1861" s="3">
        <f>IF(ISNUMBER(AVERAGE('20250815_ETF_Options_Exhibits'!W1857:W1861)),AVERAGE('20250815_ETF_Options_Exhibits'!W1857:W1861),"")</f>
        <v/>
      </c>
      <c r="X1861" s="3">
        <f>IF(ISNUMBER(AVERAGE('20250815_ETF_Options_Exhibits'!X1857:X1861)),AVERAGE('20250815_ETF_Options_Exhibits'!X1857:X1861),"")</f>
        <v/>
      </c>
      <c r="Y1861" s="3">
        <f>IF(ISNUMBER(AVERAGE('20250815_ETF_Options_Exhibits'!Y1857:Y1861)),AVERAGE('20250815_ETF_Options_Exhibits'!Y1857:Y1861),"")</f>
        <v/>
      </c>
      <c r="Z1861" s="3">
        <f>IF(ISNUMBER(AVERAGE('20250815_ETF_Options_Exhibits'!Z1857:Z1861)),AVERAGE('20250815_ETF_Options_Exhibits'!Z1857:Z1861),"")</f>
        <v/>
      </c>
      <c r="AA1861" s="3">
        <f>IF(ISNUMBER(AVERAGE('20250815_ETF_Options_Exhibits'!AA1857:AA1861)),AVERAGE('20250815_ETF_Options_Exhibits'!AA1857:AA1861),"")</f>
        <v/>
      </c>
    </row>
    <row r="1862">
      <c r="A1862" s="1" t="n">
        <v>44701</v>
      </c>
      <c r="B1862" s="3">
        <f>IF(ISNUMBER(AVERAGE('20250815_ETF_Options_Exhibits'!B1858:B1862)),AVERAGE('20250815_ETF_Options_Exhibits'!B1858:B1862),"")</f>
        <v/>
      </c>
      <c r="C1862" s="3">
        <f>IF(ISNUMBER(AVERAGE('20250815_ETF_Options_Exhibits'!C1858:C1862)),AVERAGE('20250815_ETF_Options_Exhibits'!C1858:C1862),"")</f>
        <v/>
      </c>
      <c r="D1862" s="3">
        <f>IF(ISNUMBER(AVERAGE('20250815_ETF_Options_Exhibits'!D1858:D1862)),AVERAGE('20250815_ETF_Options_Exhibits'!D1858:D1862),"")</f>
        <v/>
      </c>
      <c r="E1862" s="3">
        <f>IF(ISNUMBER(AVERAGE('20250815_ETF_Options_Exhibits'!E1858:E1862)),AVERAGE('20250815_ETF_Options_Exhibits'!E1858:E1862),"")</f>
        <v/>
      </c>
      <c r="F1862" s="3">
        <f>IF(ISNUMBER(AVERAGE('20250815_ETF_Options_Exhibits'!F1858:F1862)),AVERAGE('20250815_ETF_Options_Exhibits'!F1858:F1862),"")</f>
        <v/>
      </c>
      <c r="G1862" s="3">
        <f>IF(ISNUMBER(AVERAGE('20250815_ETF_Options_Exhibits'!G1858:G1862)),AVERAGE('20250815_ETF_Options_Exhibits'!G1858:G1862),"")</f>
        <v/>
      </c>
      <c r="H1862" s="3">
        <f>IF(ISNUMBER(AVERAGE('20250815_ETF_Options_Exhibits'!H1858:H1862)),AVERAGE('20250815_ETF_Options_Exhibits'!H1858:H1862),"")</f>
        <v/>
      </c>
      <c r="I1862" s="3">
        <f>IF(ISNUMBER(AVERAGE('20250815_ETF_Options_Exhibits'!I1858:I1862)),AVERAGE('20250815_ETF_Options_Exhibits'!I1858:I1862),"")</f>
        <v/>
      </c>
      <c r="J1862" s="3">
        <f>IF(ISNUMBER(AVERAGE('20250815_ETF_Options_Exhibits'!J1858:J1862)),AVERAGE('20250815_ETF_Options_Exhibits'!J1858:J1862),"")</f>
        <v/>
      </c>
      <c r="K1862" s="3">
        <f>IF(ISNUMBER(AVERAGE('20250815_ETF_Options_Exhibits'!K1858:K1862)),AVERAGE('20250815_ETF_Options_Exhibits'!K1858:K1862),"")</f>
        <v/>
      </c>
      <c r="L1862" s="3">
        <f>IF(ISNUMBER(AVERAGE('20250815_ETF_Options_Exhibits'!L1858:L1862)),AVERAGE('20250815_ETF_Options_Exhibits'!L1858:L1862),"")</f>
        <v/>
      </c>
      <c r="M1862" s="3">
        <f>IF(ISNUMBER(AVERAGE('20250815_ETF_Options_Exhibits'!M1858:M1862)),AVERAGE('20250815_ETF_Options_Exhibits'!M1858:M1862),"")</f>
        <v/>
      </c>
      <c r="N1862" s="3">
        <f>IF(ISNUMBER(AVERAGE('20250815_ETF_Options_Exhibits'!N1858:N1862)),AVERAGE('20250815_ETF_Options_Exhibits'!N1858:N1862),"")</f>
        <v/>
      </c>
      <c r="O1862" s="3">
        <f>IF(ISNUMBER(AVERAGE('20250815_ETF_Options_Exhibits'!O1858:O1862)),AVERAGE('20250815_ETF_Options_Exhibits'!O1858:O1862),"")</f>
        <v/>
      </c>
      <c r="P1862" s="3">
        <f>IF(ISNUMBER(AVERAGE('20250815_ETF_Options_Exhibits'!P1858:P1862)),AVERAGE('20250815_ETF_Options_Exhibits'!P1858:P1862),"")</f>
        <v/>
      </c>
      <c r="Q1862" s="3">
        <f>IF(ISNUMBER(AVERAGE('20250815_ETF_Options_Exhibits'!Q1858:Q1862)),AVERAGE('20250815_ETF_Options_Exhibits'!Q1858:Q1862),"")</f>
        <v/>
      </c>
      <c r="R1862" s="3">
        <f>IF(ISNUMBER(AVERAGE('20250815_ETF_Options_Exhibits'!R1858:R1862)),AVERAGE('20250815_ETF_Options_Exhibits'!R1858:R1862),"")</f>
        <v/>
      </c>
      <c r="S1862" s="3">
        <f>IF(ISNUMBER(AVERAGE('20250815_ETF_Options_Exhibits'!S1858:S1862)),AVERAGE('20250815_ETF_Options_Exhibits'!S1858:S1862),"")</f>
        <v/>
      </c>
      <c r="T1862" s="3">
        <f>IF(ISNUMBER(AVERAGE('20250815_ETF_Options_Exhibits'!T1858:T1862)),AVERAGE('20250815_ETF_Options_Exhibits'!T1858:T1862),"")</f>
        <v/>
      </c>
      <c r="U1862" s="3">
        <f>IF(ISNUMBER(AVERAGE('20250815_ETF_Options_Exhibits'!U1858:U1862)),AVERAGE('20250815_ETF_Options_Exhibits'!U1858:U1862),"")</f>
        <v/>
      </c>
      <c r="V1862" s="3">
        <f>IF(ISNUMBER(AVERAGE('20250815_ETF_Options_Exhibits'!V1858:V1862)),AVERAGE('20250815_ETF_Options_Exhibits'!V1858:V1862),"")</f>
        <v/>
      </c>
      <c r="W1862" s="3">
        <f>IF(ISNUMBER(AVERAGE('20250815_ETF_Options_Exhibits'!W1858:W1862)),AVERAGE('20250815_ETF_Options_Exhibits'!W1858:W1862),"")</f>
        <v/>
      </c>
      <c r="X1862" s="3">
        <f>IF(ISNUMBER(AVERAGE('20250815_ETF_Options_Exhibits'!X1858:X1862)),AVERAGE('20250815_ETF_Options_Exhibits'!X1858:X1862),"")</f>
        <v/>
      </c>
      <c r="Y1862" s="3">
        <f>IF(ISNUMBER(AVERAGE('20250815_ETF_Options_Exhibits'!Y1858:Y1862)),AVERAGE('20250815_ETF_Options_Exhibits'!Y1858:Y1862),"")</f>
        <v/>
      </c>
      <c r="Z1862" s="3">
        <f>IF(ISNUMBER(AVERAGE('20250815_ETF_Options_Exhibits'!Z1858:Z1862)),AVERAGE('20250815_ETF_Options_Exhibits'!Z1858:Z1862),"")</f>
        <v/>
      </c>
      <c r="AA1862" s="3">
        <f>IF(ISNUMBER(AVERAGE('20250815_ETF_Options_Exhibits'!AA1858:AA1862)),AVERAGE('20250815_ETF_Options_Exhibits'!AA1858:AA1862),"")</f>
        <v/>
      </c>
    </row>
    <row r="1863">
      <c r="A1863" s="1" t="n">
        <v>44704</v>
      </c>
      <c r="B1863" s="3">
        <f>IF(ISNUMBER(AVERAGE('20250815_ETF_Options_Exhibits'!B1859:B1863)),AVERAGE('20250815_ETF_Options_Exhibits'!B1859:B1863),"")</f>
        <v/>
      </c>
      <c r="C1863" s="3">
        <f>IF(ISNUMBER(AVERAGE('20250815_ETF_Options_Exhibits'!C1859:C1863)),AVERAGE('20250815_ETF_Options_Exhibits'!C1859:C1863),"")</f>
        <v/>
      </c>
      <c r="D1863" s="3">
        <f>IF(ISNUMBER(AVERAGE('20250815_ETF_Options_Exhibits'!D1859:D1863)),AVERAGE('20250815_ETF_Options_Exhibits'!D1859:D1863),"")</f>
        <v/>
      </c>
      <c r="E1863" s="3">
        <f>IF(ISNUMBER(AVERAGE('20250815_ETF_Options_Exhibits'!E1859:E1863)),AVERAGE('20250815_ETF_Options_Exhibits'!E1859:E1863),"")</f>
        <v/>
      </c>
      <c r="F1863" s="3">
        <f>IF(ISNUMBER(AVERAGE('20250815_ETF_Options_Exhibits'!F1859:F1863)),AVERAGE('20250815_ETF_Options_Exhibits'!F1859:F1863),"")</f>
        <v/>
      </c>
      <c r="G1863" s="3">
        <f>IF(ISNUMBER(AVERAGE('20250815_ETF_Options_Exhibits'!G1859:G1863)),AVERAGE('20250815_ETF_Options_Exhibits'!G1859:G1863),"")</f>
        <v/>
      </c>
      <c r="H1863" s="3">
        <f>IF(ISNUMBER(AVERAGE('20250815_ETF_Options_Exhibits'!H1859:H1863)),AVERAGE('20250815_ETF_Options_Exhibits'!H1859:H1863),"")</f>
        <v/>
      </c>
      <c r="I1863" s="3">
        <f>IF(ISNUMBER(AVERAGE('20250815_ETF_Options_Exhibits'!I1859:I1863)),AVERAGE('20250815_ETF_Options_Exhibits'!I1859:I1863),"")</f>
        <v/>
      </c>
      <c r="J1863" s="3">
        <f>IF(ISNUMBER(AVERAGE('20250815_ETF_Options_Exhibits'!J1859:J1863)),AVERAGE('20250815_ETF_Options_Exhibits'!J1859:J1863),"")</f>
        <v/>
      </c>
      <c r="K1863" s="3">
        <f>IF(ISNUMBER(AVERAGE('20250815_ETF_Options_Exhibits'!K1859:K1863)),AVERAGE('20250815_ETF_Options_Exhibits'!K1859:K1863),"")</f>
        <v/>
      </c>
      <c r="L1863" s="3">
        <f>IF(ISNUMBER(AVERAGE('20250815_ETF_Options_Exhibits'!L1859:L1863)),AVERAGE('20250815_ETF_Options_Exhibits'!L1859:L1863),"")</f>
        <v/>
      </c>
      <c r="M1863" s="3">
        <f>IF(ISNUMBER(AVERAGE('20250815_ETF_Options_Exhibits'!M1859:M1863)),AVERAGE('20250815_ETF_Options_Exhibits'!M1859:M1863),"")</f>
        <v/>
      </c>
      <c r="N1863" s="3">
        <f>IF(ISNUMBER(AVERAGE('20250815_ETF_Options_Exhibits'!N1859:N1863)),AVERAGE('20250815_ETF_Options_Exhibits'!N1859:N1863),"")</f>
        <v/>
      </c>
      <c r="O1863" s="3">
        <f>IF(ISNUMBER(AVERAGE('20250815_ETF_Options_Exhibits'!O1859:O1863)),AVERAGE('20250815_ETF_Options_Exhibits'!O1859:O1863),"")</f>
        <v/>
      </c>
      <c r="P1863" s="3">
        <f>IF(ISNUMBER(AVERAGE('20250815_ETF_Options_Exhibits'!P1859:P1863)),AVERAGE('20250815_ETF_Options_Exhibits'!P1859:P1863),"")</f>
        <v/>
      </c>
      <c r="Q1863" s="3">
        <f>IF(ISNUMBER(AVERAGE('20250815_ETF_Options_Exhibits'!Q1859:Q1863)),AVERAGE('20250815_ETF_Options_Exhibits'!Q1859:Q1863),"")</f>
        <v/>
      </c>
      <c r="R1863" s="3">
        <f>IF(ISNUMBER(AVERAGE('20250815_ETF_Options_Exhibits'!R1859:R1863)),AVERAGE('20250815_ETF_Options_Exhibits'!R1859:R1863),"")</f>
        <v/>
      </c>
      <c r="S1863" s="3">
        <f>IF(ISNUMBER(AVERAGE('20250815_ETF_Options_Exhibits'!S1859:S1863)),AVERAGE('20250815_ETF_Options_Exhibits'!S1859:S1863),"")</f>
        <v/>
      </c>
      <c r="T1863" s="3">
        <f>IF(ISNUMBER(AVERAGE('20250815_ETF_Options_Exhibits'!T1859:T1863)),AVERAGE('20250815_ETF_Options_Exhibits'!T1859:T1863),"")</f>
        <v/>
      </c>
      <c r="U1863" s="3">
        <f>IF(ISNUMBER(AVERAGE('20250815_ETF_Options_Exhibits'!U1859:U1863)),AVERAGE('20250815_ETF_Options_Exhibits'!U1859:U1863),"")</f>
        <v/>
      </c>
      <c r="V1863" s="3">
        <f>IF(ISNUMBER(AVERAGE('20250815_ETF_Options_Exhibits'!V1859:V1863)),AVERAGE('20250815_ETF_Options_Exhibits'!V1859:V1863),"")</f>
        <v/>
      </c>
      <c r="W1863" s="3">
        <f>IF(ISNUMBER(AVERAGE('20250815_ETF_Options_Exhibits'!W1859:W1863)),AVERAGE('20250815_ETF_Options_Exhibits'!W1859:W1863),"")</f>
        <v/>
      </c>
      <c r="X1863" s="3">
        <f>IF(ISNUMBER(AVERAGE('20250815_ETF_Options_Exhibits'!X1859:X1863)),AVERAGE('20250815_ETF_Options_Exhibits'!X1859:X1863),"")</f>
        <v/>
      </c>
      <c r="Y1863" s="3">
        <f>IF(ISNUMBER(AVERAGE('20250815_ETF_Options_Exhibits'!Y1859:Y1863)),AVERAGE('20250815_ETF_Options_Exhibits'!Y1859:Y1863),"")</f>
        <v/>
      </c>
      <c r="Z1863" s="3">
        <f>IF(ISNUMBER(AVERAGE('20250815_ETF_Options_Exhibits'!Z1859:Z1863)),AVERAGE('20250815_ETF_Options_Exhibits'!Z1859:Z1863),"")</f>
        <v/>
      </c>
      <c r="AA1863" s="3">
        <f>IF(ISNUMBER(AVERAGE('20250815_ETF_Options_Exhibits'!AA1859:AA1863)),AVERAGE('20250815_ETF_Options_Exhibits'!AA1859:AA1863),"")</f>
        <v/>
      </c>
    </row>
    <row r="1864">
      <c r="A1864" s="1" t="n">
        <v>44705</v>
      </c>
      <c r="B1864" s="3">
        <f>IF(ISNUMBER(AVERAGE('20250815_ETF_Options_Exhibits'!B1860:B1864)),AVERAGE('20250815_ETF_Options_Exhibits'!B1860:B1864),"")</f>
        <v/>
      </c>
      <c r="C1864" s="3">
        <f>IF(ISNUMBER(AVERAGE('20250815_ETF_Options_Exhibits'!C1860:C1864)),AVERAGE('20250815_ETF_Options_Exhibits'!C1860:C1864),"")</f>
        <v/>
      </c>
      <c r="D1864" s="3">
        <f>IF(ISNUMBER(AVERAGE('20250815_ETF_Options_Exhibits'!D1860:D1864)),AVERAGE('20250815_ETF_Options_Exhibits'!D1860:D1864),"")</f>
        <v/>
      </c>
      <c r="E1864" s="3">
        <f>IF(ISNUMBER(AVERAGE('20250815_ETF_Options_Exhibits'!E1860:E1864)),AVERAGE('20250815_ETF_Options_Exhibits'!E1860:E1864),"")</f>
        <v/>
      </c>
      <c r="F1864" s="3">
        <f>IF(ISNUMBER(AVERAGE('20250815_ETF_Options_Exhibits'!F1860:F1864)),AVERAGE('20250815_ETF_Options_Exhibits'!F1860:F1864),"")</f>
        <v/>
      </c>
      <c r="G1864" s="3">
        <f>IF(ISNUMBER(AVERAGE('20250815_ETF_Options_Exhibits'!G1860:G1864)),AVERAGE('20250815_ETF_Options_Exhibits'!G1860:G1864),"")</f>
        <v/>
      </c>
      <c r="H1864" s="3">
        <f>IF(ISNUMBER(AVERAGE('20250815_ETF_Options_Exhibits'!H1860:H1864)),AVERAGE('20250815_ETF_Options_Exhibits'!H1860:H1864),"")</f>
        <v/>
      </c>
      <c r="I1864" s="3">
        <f>IF(ISNUMBER(AVERAGE('20250815_ETF_Options_Exhibits'!I1860:I1864)),AVERAGE('20250815_ETF_Options_Exhibits'!I1860:I1864),"")</f>
        <v/>
      </c>
      <c r="J1864" s="3">
        <f>IF(ISNUMBER(AVERAGE('20250815_ETF_Options_Exhibits'!J1860:J1864)),AVERAGE('20250815_ETF_Options_Exhibits'!J1860:J1864),"")</f>
        <v/>
      </c>
      <c r="K1864" s="3">
        <f>IF(ISNUMBER(AVERAGE('20250815_ETF_Options_Exhibits'!K1860:K1864)),AVERAGE('20250815_ETF_Options_Exhibits'!K1860:K1864),"")</f>
        <v/>
      </c>
      <c r="L1864" s="3">
        <f>IF(ISNUMBER(AVERAGE('20250815_ETF_Options_Exhibits'!L1860:L1864)),AVERAGE('20250815_ETF_Options_Exhibits'!L1860:L1864),"")</f>
        <v/>
      </c>
      <c r="M1864" s="3">
        <f>IF(ISNUMBER(AVERAGE('20250815_ETF_Options_Exhibits'!M1860:M1864)),AVERAGE('20250815_ETF_Options_Exhibits'!M1860:M1864),"")</f>
        <v/>
      </c>
      <c r="N1864" s="3">
        <f>IF(ISNUMBER(AVERAGE('20250815_ETF_Options_Exhibits'!N1860:N1864)),AVERAGE('20250815_ETF_Options_Exhibits'!N1860:N1864),"")</f>
        <v/>
      </c>
      <c r="O1864" s="3">
        <f>IF(ISNUMBER(AVERAGE('20250815_ETF_Options_Exhibits'!O1860:O1864)),AVERAGE('20250815_ETF_Options_Exhibits'!O1860:O1864),"")</f>
        <v/>
      </c>
      <c r="P1864" s="3">
        <f>IF(ISNUMBER(AVERAGE('20250815_ETF_Options_Exhibits'!P1860:P1864)),AVERAGE('20250815_ETF_Options_Exhibits'!P1860:P1864),"")</f>
        <v/>
      </c>
      <c r="Q1864" s="3">
        <f>IF(ISNUMBER(AVERAGE('20250815_ETF_Options_Exhibits'!Q1860:Q1864)),AVERAGE('20250815_ETF_Options_Exhibits'!Q1860:Q1864),"")</f>
        <v/>
      </c>
      <c r="R1864" s="3">
        <f>IF(ISNUMBER(AVERAGE('20250815_ETF_Options_Exhibits'!R1860:R1864)),AVERAGE('20250815_ETF_Options_Exhibits'!R1860:R1864),"")</f>
        <v/>
      </c>
      <c r="S1864" s="3">
        <f>IF(ISNUMBER(AVERAGE('20250815_ETF_Options_Exhibits'!S1860:S1864)),AVERAGE('20250815_ETF_Options_Exhibits'!S1860:S1864),"")</f>
        <v/>
      </c>
      <c r="T1864" s="3">
        <f>IF(ISNUMBER(AVERAGE('20250815_ETF_Options_Exhibits'!T1860:T1864)),AVERAGE('20250815_ETF_Options_Exhibits'!T1860:T1864),"")</f>
        <v/>
      </c>
      <c r="U1864" s="3">
        <f>IF(ISNUMBER(AVERAGE('20250815_ETF_Options_Exhibits'!U1860:U1864)),AVERAGE('20250815_ETF_Options_Exhibits'!U1860:U1864),"")</f>
        <v/>
      </c>
      <c r="V1864" s="3">
        <f>IF(ISNUMBER(AVERAGE('20250815_ETF_Options_Exhibits'!V1860:V1864)),AVERAGE('20250815_ETF_Options_Exhibits'!V1860:V1864),"")</f>
        <v/>
      </c>
      <c r="W1864" s="3">
        <f>IF(ISNUMBER(AVERAGE('20250815_ETF_Options_Exhibits'!W1860:W1864)),AVERAGE('20250815_ETF_Options_Exhibits'!W1860:W1864),"")</f>
        <v/>
      </c>
      <c r="X1864" s="3">
        <f>IF(ISNUMBER(AVERAGE('20250815_ETF_Options_Exhibits'!X1860:X1864)),AVERAGE('20250815_ETF_Options_Exhibits'!X1860:X1864),"")</f>
        <v/>
      </c>
      <c r="Y1864" s="3">
        <f>IF(ISNUMBER(AVERAGE('20250815_ETF_Options_Exhibits'!Y1860:Y1864)),AVERAGE('20250815_ETF_Options_Exhibits'!Y1860:Y1864),"")</f>
        <v/>
      </c>
      <c r="Z1864" s="3">
        <f>IF(ISNUMBER(AVERAGE('20250815_ETF_Options_Exhibits'!Z1860:Z1864)),AVERAGE('20250815_ETF_Options_Exhibits'!Z1860:Z1864),"")</f>
        <v/>
      </c>
      <c r="AA1864" s="3">
        <f>IF(ISNUMBER(AVERAGE('20250815_ETF_Options_Exhibits'!AA1860:AA1864)),AVERAGE('20250815_ETF_Options_Exhibits'!AA1860:AA1864),"")</f>
        <v/>
      </c>
    </row>
    <row r="1865">
      <c r="A1865" s="1" t="n">
        <v>44706</v>
      </c>
      <c r="B1865" s="3">
        <f>IF(ISNUMBER(AVERAGE('20250815_ETF_Options_Exhibits'!B1861:B1865)),AVERAGE('20250815_ETF_Options_Exhibits'!B1861:B1865),"")</f>
        <v/>
      </c>
      <c r="C1865" s="3">
        <f>IF(ISNUMBER(AVERAGE('20250815_ETF_Options_Exhibits'!C1861:C1865)),AVERAGE('20250815_ETF_Options_Exhibits'!C1861:C1865),"")</f>
        <v/>
      </c>
      <c r="D1865" s="3">
        <f>IF(ISNUMBER(AVERAGE('20250815_ETF_Options_Exhibits'!D1861:D1865)),AVERAGE('20250815_ETF_Options_Exhibits'!D1861:D1865),"")</f>
        <v/>
      </c>
      <c r="E1865" s="3">
        <f>IF(ISNUMBER(AVERAGE('20250815_ETF_Options_Exhibits'!E1861:E1865)),AVERAGE('20250815_ETF_Options_Exhibits'!E1861:E1865),"")</f>
        <v/>
      </c>
      <c r="F1865" s="3">
        <f>IF(ISNUMBER(AVERAGE('20250815_ETF_Options_Exhibits'!F1861:F1865)),AVERAGE('20250815_ETF_Options_Exhibits'!F1861:F1865),"")</f>
        <v/>
      </c>
      <c r="G1865" s="3">
        <f>IF(ISNUMBER(AVERAGE('20250815_ETF_Options_Exhibits'!G1861:G1865)),AVERAGE('20250815_ETF_Options_Exhibits'!G1861:G1865),"")</f>
        <v/>
      </c>
      <c r="H1865" s="3">
        <f>IF(ISNUMBER(AVERAGE('20250815_ETF_Options_Exhibits'!H1861:H1865)),AVERAGE('20250815_ETF_Options_Exhibits'!H1861:H1865),"")</f>
        <v/>
      </c>
      <c r="I1865" s="3">
        <f>IF(ISNUMBER(AVERAGE('20250815_ETF_Options_Exhibits'!I1861:I1865)),AVERAGE('20250815_ETF_Options_Exhibits'!I1861:I1865),"")</f>
        <v/>
      </c>
      <c r="J1865" s="3">
        <f>IF(ISNUMBER(AVERAGE('20250815_ETF_Options_Exhibits'!J1861:J1865)),AVERAGE('20250815_ETF_Options_Exhibits'!J1861:J1865),"")</f>
        <v/>
      </c>
      <c r="K1865" s="3">
        <f>IF(ISNUMBER(AVERAGE('20250815_ETF_Options_Exhibits'!K1861:K1865)),AVERAGE('20250815_ETF_Options_Exhibits'!K1861:K1865),"")</f>
        <v/>
      </c>
      <c r="L1865" s="3">
        <f>IF(ISNUMBER(AVERAGE('20250815_ETF_Options_Exhibits'!L1861:L1865)),AVERAGE('20250815_ETF_Options_Exhibits'!L1861:L1865),"")</f>
        <v/>
      </c>
      <c r="M1865" s="3">
        <f>IF(ISNUMBER(AVERAGE('20250815_ETF_Options_Exhibits'!M1861:M1865)),AVERAGE('20250815_ETF_Options_Exhibits'!M1861:M1865),"")</f>
        <v/>
      </c>
      <c r="N1865" s="3">
        <f>IF(ISNUMBER(AVERAGE('20250815_ETF_Options_Exhibits'!N1861:N1865)),AVERAGE('20250815_ETF_Options_Exhibits'!N1861:N1865),"")</f>
        <v/>
      </c>
      <c r="O1865" s="3">
        <f>IF(ISNUMBER(AVERAGE('20250815_ETF_Options_Exhibits'!O1861:O1865)),AVERAGE('20250815_ETF_Options_Exhibits'!O1861:O1865),"")</f>
        <v/>
      </c>
      <c r="P1865" s="3">
        <f>IF(ISNUMBER(AVERAGE('20250815_ETF_Options_Exhibits'!P1861:P1865)),AVERAGE('20250815_ETF_Options_Exhibits'!P1861:P1865),"")</f>
        <v/>
      </c>
      <c r="Q1865" s="3">
        <f>IF(ISNUMBER(AVERAGE('20250815_ETF_Options_Exhibits'!Q1861:Q1865)),AVERAGE('20250815_ETF_Options_Exhibits'!Q1861:Q1865),"")</f>
        <v/>
      </c>
      <c r="R1865" s="3">
        <f>IF(ISNUMBER(AVERAGE('20250815_ETF_Options_Exhibits'!R1861:R1865)),AVERAGE('20250815_ETF_Options_Exhibits'!R1861:R1865),"")</f>
        <v/>
      </c>
      <c r="S1865" s="3">
        <f>IF(ISNUMBER(AVERAGE('20250815_ETF_Options_Exhibits'!S1861:S1865)),AVERAGE('20250815_ETF_Options_Exhibits'!S1861:S1865),"")</f>
        <v/>
      </c>
      <c r="T1865" s="3">
        <f>IF(ISNUMBER(AVERAGE('20250815_ETF_Options_Exhibits'!T1861:T1865)),AVERAGE('20250815_ETF_Options_Exhibits'!T1861:T1865),"")</f>
        <v/>
      </c>
      <c r="U1865" s="3">
        <f>IF(ISNUMBER(AVERAGE('20250815_ETF_Options_Exhibits'!U1861:U1865)),AVERAGE('20250815_ETF_Options_Exhibits'!U1861:U1865),"")</f>
        <v/>
      </c>
      <c r="V1865" s="3">
        <f>IF(ISNUMBER(AVERAGE('20250815_ETF_Options_Exhibits'!V1861:V1865)),AVERAGE('20250815_ETF_Options_Exhibits'!V1861:V1865),"")</f>
        <v/>
      </c>
      <c r="W1865" s="3">
        <f>IF(ISNUMBER(AVERAGE('20250815_ETF_Options_Exhibits'!W1861:W1865)),AVERAGE('20250815_ETF_Options_Exhibits'!W1861:W1865),"")</f>
        <v/>
      </c>
      <c r="X1865" s="3">
        <f>IF(ISNUMBER(AVERAGE('20250815_ETF_Options_Exhibits'!X1861:X1865)),AVERAGE('20250815_ETF_Options_Exhibits'!X1861:X1865),"")</f>
        <v/>
      </c>
      <c r="Y1865" s="3">
        <f>IF(ISNUMBER(AVERAGE('20250815_ETF_Options_Exhibits'!Y1861:Y1865)),AVERAGE('20250815_ETF_Options_Exhibits'!Y1861:Y1865),"")</f>
        <v/>
      </c>
      <c r="Z1865" s="3">
        <f>IF(ISNUMBER(AVERAGE('20250815_ETF_Options_Exhibits'!Z1861:Z1865)),AVERAGE('20250815_ETF_Options_Exhibits'!Z1861:Z1865),"")</f>
        <v/>
      </c>
      <c r="AA1865" s="3">
        <f>IF(ISNUMBER(AVERAGE('20250815_ETF_Options_Exhibits'!AA1861:AA1865)),AVERAGE('20250815_ETF_Options_Exhibits'!AA1861:AA1865),"")</f>
        <v/>
      </c>
    </row>
    <row r="1866">
      <c r="A1866" s="1" t="n">
        <v>44707</v>
      </c>
      <c r="B1866" s="3">
        <f>IF(ISNUMBER(AVERAGE('20250815_ETF_Options_Exhibits'!B1862:B1866)),AVERAGE('20250815_ETF_Options_Exhibits'!B1862:B1866),"")</f>
        <v/>
      </c>
      <c r="C1866" s="3">
        <f>IF(ISNUMBER(AVERAGE('20250815_ETF_Options_Exhibits'!C1862:C1866)),AVERAGE('20250815_ETF_Options_Exhibits'!C1862:C1866),"")</f>
        <v/>
      </c>
      <c r="D1866" s="3">
        <f>IF(ISNUMBER(AVERAGE('20250815_ETF_Options_Exhibits'!D1862:D1866)),AVERAGE('20250815_ETF_Options_Exhibits'!D1862:D1866),"")</f>
        <v/>
      </c>
      <c r="E1866" s="3">
        <f>IF(ISNUMBER(AVERAGE('20250815_ETF_Options_Exhibits'!E1862:E1866)),AVERAGE('20250815_ETF_Options_Exhibits'!E1862:E1866),"")</f>
        <v/>
      </c>
      <c r="F1866" s="3">
        <f>IF(ISNUMBER(AVERAGE('20250815_ETF_Options_Exhibits'!F1862:F1866)),AVERAGE('20250815_ETF_Options_Exhibits'!F1862:F1866),"")</f>
        <v/>
      </c>
      <c r="G1866" s="3">
        <f>IF(ISNUMBER(AVERAGE('20250815_ETF_Options_Exhibits'!G1862:G1866)),AVERAGE('20250815_ETF_Options_Exhibits'!G1862:G1866),"")</f>
        <v/>
      </c>
      <c r="H1866" s="3">
        <f>IF(ISNUMBER(AVERAGE('20250815_ETF_Options_Exhibits'!H1862:H1866)),AVERAGE('20250815_ETF_Options_Exhibits'!H1862:H1866),"")</f>
        <v/>
      </c>
      <c r="I1866" s="3">
        <f>IF(ISNUMBER(AVERAGE('20250815_ETF_Options_Exhibits'!I1862:I1866)),AVERAGE('20250815_ETF_Options_Exhibits'!I1862:I1866),"")</f>
        <v/>
      </c>
      <c r="J1866" s="3">
        <f>IF(ISNUMBER(AVERAGE('20250815_ETF_Options_Exhibits'!J1862:J1866)),AVERAGE('20250815_ETF_Options_Exhibits'!J1862:J1866),"")</f>
        <v/>
      </c>
      <c r="K1866" s="3">
        <f>IF(ISNUMBER(AVERAGE('20250815_ETF_Options_Exhibits'!K1862:K1866)),AVERAGE('20250815_ETF_Options_Exhibits'!K1862:K1866),"")</f>
        <v/>
      </c>
      <c r="L1866" s="3">
        <f>IF(ISNUMBER(AVERAGE('20250815_ETF_Options_Exhibits'!L1862:L1866)),AVERAGE('20250815_ETF_Options_Exhibits'!L1862:L1866),"")</f>
        <v/>
      </c>
      <c r="M1866" s="3">
        <f>IF(ISNUMBER(AVERAGE('20250815_ETF_Options_Exhibits'!M1862:M1866)),AVERAGE('20250815_ETF_Options_Exhibits'!M1862:M1866),"")</f>
        <v/>
      </c>
      <c r="N1866" s="3">
        <f>IF(ISNUMBER(AVERAGE('20250815_ETF_Options_Exhibits'!N1862:N1866)),AVERAGE('20250815_ETF_Options_Exhibits'!N1862:N1866),"")</f>
        <v/>
      </c>
      <c r="O1866" s="3">
        <f>IF(ISNUMBER(AVERAGE('20250815_ETF_Options_Exhibits'!O1862:O1866)),AVERAGE('20250815_ETF_Options_Exhibits'!O1862:O1866),"")</f>
        <v/>
      </c>
      <c r="P1866" s="3">
        <f>IF(ISNUMBER(AVERAGE('20250815_ETF_Options_Exhibits'!P1862:P1866)),AVERAGE('20250815_ETF_Options_Exhibits'!P1862:P1866),"")</f>
        <v/>
      </c>
      <c r="Q1866" s="3">
        <f>IF(ISNUMBER(AVERAGE('20250815_ETF_Options_Exhibits'!Q1862:Q1866)),AVERAGE('20250815_ETF_Options_Exhibits'!Q1862:Q1866),"")</f>
        <v/>
      </c>
      <c r="R1866" s="3">
        <f>IF(ISNUMBER(AVERAGE('20250815_ETF_Options_Exhibits'!R1862:R1866)),AVERAGE('20250815_ETF_Options_Exhibits'!R1862:R1866),"")</f>
        <v/>
      </c>
      <c r="S1866" s="3">
        <f>IF(ISNUMBER(AVERAGE('20250815_ETF_Options_Exhibits'!S1862:S1866)),AVERAGE('20250815_ETF_Options_Exhibits'!S1862:S1866),"")</f>
        <v/>
      </c>
      <c r="T1866" s="3">
        <f>IF(ISNUMBER(AVERAGE('20250815_ETF_Options_Exhibits'!T1862:T1866)),AVERAGE('20250815_ETF_Options_Exhibits'!T1862:T1866),"")</f>
        <v/>
      </c>
      <c r="U1866" s="3">
        <f>IF(ISNUMBER(AVERAGE('20250815_ETF_Options_Exhibits'!U1862:U1866)),AVERAGE('20250815_ETF_Options_Exhibits'!U1862:U1866),"")</f>
        <v/>
      </c>
      <c r="V1866" s="3">
        <f>IF(ISNUMBER(AVERAGE('20250815_ETF_Options_Exhibits'!V1862:V1866)),AVERAGE('20250815_ETF_Options_Exhibits'!V1862:V1866),"")</f>
        <v/>
      </c>
      <c r="W1866" s="3">
        <f>IF(ISNUMBER(AVERAGE('20250815_ETF_Options_Exhibits'!W1862:W1866)),AVERAGE('20250815_ETF_Options_Exhibits'!W1862:W1866),"")</f>
        <v/>
      </c>
      <c r="X1866" s="3">
        <f>IF(ISNUMBER(AVERAGE('20250815_ETF_Options_Exhibits'!X1862:X1866)),AVERAGE('20250815_ETF_Options_Exhibits'!X1862:X1866),"")</f>
        <v/>
      </c>
      <c r="Y1866" s="3">
        <f>IF(ISNUMBER(AVERAGE('20250815_ETF_Options_Exhibits'!Y1862:Y1866)),AVERAGE('20250815_ETF_Options_Exhibits'!Y1862:Y1866),"")</f>
        <v/>
      </c>
      <c r="Z1866" s="3">
        <f>IF(ISNUMBER(AVERAGE('20250815_ETF_Options_Exhibits'!Z1862:Z1866)),AVERAGE('20250815_ETF_Options_Exhibits'!Z1862:Z1866),"")</f>
        <v/>
      </c>
      <c r="AA1866" s="3">
        <f>IF(ISNUMBER(AVERAGE('20250815_ETF_Options_Exhibits'!AA1862:AA1866)),AVERAGE('20250815_ETF_Options_Exhibits'!AA1862:AA1866),"")</f>
        <v/>
      </c>
    </row>
    <row r="1867">
      <c r="A1867" s="1" t="n">
        <v>44708</v>
      </c>
      <c r="B1867" s="3">
        <f>IF(ISNUMBER(AVERAGE('20250815_ETF_Options_Exhibits'!B1863:B1867)),AVERAGE('20250815_ETF_Options_Exhibits'!B1863:B1867),"")</f>
        <v/>
      </c>
      <c r="C1867" s="3">
        <f>IF(ISNUMBER(AVERAGE('20250815_ETF_Options_Exhibits'!C1863:C1867)),AVERAGE('20250815_ETF_Options_Exhibits'!C1863:C1867),"")</f>
        <v/>
      </c>
      <c r="D1867" s="3">
        <f>IF(ISNUMBER(AVERAGE('20250815_ETF_Options_Exhibits'!D1863:D1867)),AVERAGE('20250815_ETF_Options_Exhibits'!D1863:D1867),"")</f>
        <v/>
      </c>
      <c r="E1867" s="3">
        <f>IF(ISNUMBER(AVERAGE('20250815_ETF_Options_Exhibits'!E1863:E1867)),AVERAGE('20250815_ETF_Options_Exhibits'!E1863:E1867),"")</f>
        <v/>
      </c>
      <c r="F1867" s="3">
        <f>IF(ISNUMBER(AVERAGE('20250815_ETF_Options_Exhibits'!F1863:F1867)),AVERAGE('20250815_ETF_Options_Exhibits'!F1863:F1867),"")</f>
        <v/>
      </c>
      <c r="G1867" s="3">
        <f>IF(ISNUMBER(AVERAGE('20250815_ETF_Options_Exhibits'!G1863:G1867)),AVERAGE('20250815_ETF_Options_Exhibits'!G1863:G1867),"")</f>
        <v/>
      </c>
      <c r="H1867" s="3">
        <f>IF(ISNUMBER(AVERAGE('20250815_ETF_Options_Exhibits'!H1863:H1867)),AVERAGE('20250815_ETF_Options_Exhibits'!H1863:H1867),"")</f>
        <v/>
      </c>
      <c r="I1867" s="3">
        <f>IF(ISNUMBER(AVERAGE('20250815_ETF_Options_Exhibits'!I1863:I1867)),AVERAGE('20250815_ETF_Options_Exhibits'!I1863:I1867),"")</f>
        <v/>
      </c>
      <c r="J1867" s="3">
        <f>IF(ISNUMBER(AVERAGE('20250815_ETF_Options_Exhibits'!J1863:J1867)),AVERAGE('20250815_ETF_Options_Exhibits'!J1863:J1867),"")</f>
        <v/>
      </c>
      <c r="K1867" s="3">
        <f>IF(ISNUMBER(AVERAGE('20250815_ETF_Options_Exhibits'!K1863:K1867)),AVERAGE('20250815_ETF_Options_Exhibits'!K1863:K1867),"")</f>
        <v/>
      </c>
      <c r="L1867" s="3">
        <f>IF(ISNUMBER(AVERAGE('20250815_ETF_Options_Exhibits'!L1863:L1867)),AVERAGE('20250815_ETF_Options_Exhibits'!L1863:L1867),"")</f>
        <v/>
      </c>
      <c r="M1867" s="3">
        <f>IF(ISNUMBER(AVERAGE('20250815_ETF_Options_Exhibits'!M1863:M1867)),AVERAGE('20250815_ETF_Options_Exhibits'!M1863:M1867),"")</f>
        <v/>
      </c>
      <c r="N1867" s="3">
        <f>IF(ISNUMBER(AVERAGE('20250815_ETF_Options_Exhibits'!N1863:N1867)),AVERAGE('20250815_ETF_Options_Exhibits'!N1863:N1867),"")</f>
        <v/>
      </c>
      <c r="O1867" s="3">
        <f>IF(ISNUMBER(AVERAGE('20250815_ETF_Options_Exhibits'!O1863:O1867)),AVERAGE('20250815_ETF_Options_Exhibits'!O1863:O1867),"")</f>
        <v/>
      </c>
      <c r="P1867" s="3">
        <f>IF(ISNUMBER(AVERAGE('20250815_ETF_Options_Exhibits'!P1863:P1867)),AVERAGE('20250815_ETF_Options_Exhibits'!P1863:P1867),"")</f>
        <v/>
      </c>
      <c r="Q1867" s="3">
        <f>IF(ISNUMBER(AVERAGE('20250815_ETF_Options_Exhibits'!Q1863:Q1867)),AVERAGE('20250815_ETF_Options_Exhibits'!Q1863:Q1867),"")</f>
        <v/>
      </c>
      <c r="R1867" s="3">
        <f>IF(ISNUMBER(AVERAGE('20250815_ETF_Options_Exhibits'!R1863:R1867)),AVERAGE('20250815_ETF_Options_Exhibits'!R1863:R1867),"")</f>
        <v/>
      </c>
      <c r="S1867" s="3">
        <f>IF(ISNUMBER(AVERAGE('20250815_ETF_Options_Exhibits'!S1863:S1867)),AVERAGE('20250815_ETF_Options_Exhibits'!S1863:S1867),"")</f>
        <v/>
      </c>
      <c r="T1867" s="3">
        <f>IF(ISNUMBER(AVERAGE('20250815_ETF_Options_Exhibits'!T1863:T1867)),AVERAGE('20250815_ETF_Options_Exhibits'!T1863:T1867),"")</f>
        <v/>
      </c>
      <c r="U1867" s="3">
        <f>IF(ISNUMBER(AVERAGE('20250815_ETF_Options_Exhibits'!U1863:U1867)),AVERAGE('20250815_ETF_Options_Exhibits'!U1863:U1867),"")</f>
        <v/>
      </c>
      <c r="V1867" s="3">
        <f>IF(ISNUMBER(AVERAGE('20250815_ETF_Options_Exhibits'!V1863:V1867)),AVERAGE('20250815_ETF_Options_Exhibits'!V1863:V1867),"")</f>
        <v/>
      </c>
      <c r="W1867" s="3">
        <f>IF(ISNUMBER(AVERAGE('20250815_ETF_Options_Exhibits'!W1863:W1867)),AVERAGE('20250815_ETF_Options_Exhibits'!W1863:W1867),"")</f>
        <v/>
      </c>
      <c r="X1867" s="3">
        <f>IF(ISNUMBER(AVERAGE('20250815_ETF_Options_Exhibits'!X1863:X1867)),AVERAGE('20250815_ETF_Options_Exhibits'!X1863:X1867),"")</f>
        <v/>
      </c>
      <c r="Y1867" s="3">
        <f>IF(ISNUMBER(AVERAGE('20250815_ETF_Options_Exhibits'!Y1863:Y1867)),AVERAGE('20250815_ETF_Options_Exhibits'!Y1863:Y1867),"")</f>
        <v/>
      </c>
      <c r="Z1867" s="3">
        <f>IF(ISNUMBER(AVERAGE('20250815_ETF_Options_Exhibits'!Z1863:Z1867)),AVERAGE('20250815_ETF_Options_Exhibits'!Z1863:Z1867),"")</f>
        <v/>
      </c>
      <c r="AA1867" s="3">
        <f>IF(ISNUMBER(AVERAGE('20250815_ETF_Options_Exhibits'!AA1863:AA1867)),AVERAGE('20250815_ETF_Options_Exhibits'!AA1863:AA1867),"")</f>
        <v/>
      </c>
    </row>
    <row r="1868">
      <c r="A1868" s="1" t="n">
        <v>44712</v>
      </c>
      <c r="B1868" s="3">
        <f>IF(ISNUMBER(AVERAGE('20250815_ETF_Options_Exhibits'!B1864:B1868)),AVERAGE('20250815_ETF_Options_Exhibits'!B1864:B1868),"")</f>
        <v/>
      </c>
      <c r="C1868" s="3">
        <f>IF(ISNUMBER(AVERAGE('20250815_ETF_Options_Exhibits'!C1864:C1868)),AVERAGE('20250815_ETF_Options_Exhibits'!C1864:C1868),"")</f>
        <v/>
      </c>
      <c r="D1868" s="3">
        <f>IF(ISNUMBER(AVERAGE('20250815_ETF_Options_Exhibits'!D1864:D1868)),AVERAGE('20250815_ETF_Options_Exhibits'!D1864:D1868),"")</f>
        <v/>
      </c>
      <c r="E1868" s="3">
        <f>IF(ISNUMBER(AVERAGE('20250815_ETF_Options_Exhibits'!E1864:E1868)),AVERAGE('20250815_ETF_Options_Exhibits'!E1864:E1868),"")</f>
        <v/>
      </c>
      <c r="F1868" s="3">
        <f>IF(ISNUMBER(AVERAGE('20250815_ETF_Options_Exhibits'!F1864:F1868)),AVERAGE('20250815_ETF_Options_Exhibits'!F1864:F1868),"")</f>
        <v/>
      </c>
      <c r="G1868" s="3">
        <f>IF(ISNUMBER(AVERAGE('20250815_ETF_Options_Exhibits'!G1864:G1868)),AVERAGE('20250815_ETF_Options_Exhibits'!G1864:G1868),"")</f>
        <v/>
      </c>
      <c r="H1868" s="3">
        <f>IF(ISNUMBER(AVERAGE('20250815_ETF_Options_Exhibits'!H1864:H1868)),AVERAGE('20250815_ETF_Options_Exhibits'!H1864:H1868),"")</f>
        <v/>
      </c>
      <c r="I1868" s="3">
        <f>IF(ISNUMBER(AVERAGE('20250815_ETF_Options_Exhibits'!I1864:I1868)),AVERAGE('20250815_ETF_Options_Exhibits'!I1864:I1868),"")</f>
        <v/>
      </c>
      <c r="J1868" s="3">
        <f>IF(ISNUMBER(AVERAGE('20250815_ETF_Options_Exhibits'!J1864:J1868)),AVERAGE('20250815_ETF_Options_Exhibits'!J1864:J1868),"")</f>
        <v/>
      </c>
      <c r="K1868" s="3">
        <f>IF(ISNUMBER(AVERAGE('20250815_ETF_Options_Exhibits'!K1864:K1868)),AVERAGE('20250815_ETF_Options_Exhibits'!K1864:K1868),"")</f>
        <v/>
      </c>
      <c r="L1868" s="3">
        <f>IF(ISNUMBER(AVERAGE('20250815_ETF_Options_Exhibits'!L1864:L1868)),AVERAGE('20250815_ETF_Options_Exhibits'!L1864:L1868),"")</f>
        <v/>
      </c>
      <c r="M1868" s="3">
        <f>IF(ISNUMBER(AVERAGE('20250815_ETF_Options_Exhibits'!M1864:M1868)),AVERAGE('20250815_ETF_Options_Exhibits'!M1864:M1868),"")</f>
        <v/>
      </c>
      <c r="N1868" s="3">
        <f>IF(ISNUMBER(AVERAGE('20250815_ETF_Options_Exhibits'!N1864:N1868)),AVERAGE('20250815_ETF_Options_Exhibits'!N1864:N1868),"")</f>
        <v/>
      </c>
      <c r="O1868" s="3">
        <f>IF(ISNUMBER(AVERAGE('20250815_ETF_Options_Exhibits'!O1864:O1868)),AVERAGE('20250815_ETF_Options_Exhibits'!O1864:O1868),"")</f>
        <v/>
      </c>
      <c r="P1868" s="3">
        <f>IF(ISNUMBER(AVERAGE('20250815_ETF_Options_Exhibits'!P1864:P1868)),AVERAGE('20250815_ETF_Options_Exhibits'!P1864:P1868),"")</f>
        <v/>
      </c>
      <c r="Q1868" s="3">
        <f>IF(ISNUMBER(AVERAGE('20250815_ETF_Options_Exhibits'!Q1864:Q1868)),AVERAGE('20250815_ETF_Options_Exhibits'!Q1864:Q1868),"")</f>
        <v/>
      </c>
      <c r="R1868" s="3">
        <f>IF(ISNUMBER(AVERAGE('20250815_ETF_Options_Exhibits'!R1864:R1868)),AVERAGE('20250815_ETF_Options_Exhibits'!R1864:R1868),"")</f>
        <v/>
      </c>
      <c r="S1868" s="3">
        <f>IF(ISNUMBER(AVERAGE('20250815_ETF_Options_Exhibits'!S1864:S1868)),AVERAGE('20250815_ETF_Options_Exhibits'!S1864:S1868),"")</f>
        <v/>
      </c>
      <c r="T1868" s="3">
        <f>IF(ISNUMBER(AVERAGE('20250815_ETF_Options_Exhibits'!T1864:T1868)),AVERAGE('20250815_ETF_Options_Exhibits'!T1864:T1868),"")</f>
        <v/>
      </c>
      <c r="U1868" s="3">
        <f>IF(ISNUMBER(AVERAGE('20250815_ETF_Options_Exhibits'!U1864:U1868)),AVERAGE('20250815_ETF_Options_Exhibits'!U1864:U1868),"")</f>
        <v/>
      </c>
      <c r="V1868" s="3">
        <f>IF(ISNUMBER(AVERAGE('20250815_ETF_Options_Exhibits'!V1864:V1868)),AVERAGE('20250815_ETF_Options_Exhibits'!V1864:V1868),"")</f>
        <v/>
      </c>
      <c r="W1868" s="3">
        <f>IF(ISNUMBER(AVERAGE('20250815_ETF_Options_Exhibits'!W1864:W1868)),AVERAGE('20250815_ETF_Options_Exhibits'!W1864:W1868),"")</f>
        <v/>
      </c>
      <c r="X1868" s="3">
        <f>IF(ISNUMBER(AVERAGE('20250815_ETF_Options_Exhibits'!X1864:X1868)),AVERAGE('20250815_ETF_Options_Exhibits'!X1864:X1868),"")</f>
        <v/>
      </c>
      <c r="Y1868" s="3">
        <f>IF(ISNUMBER(AVERAGE('20250815_ETF_Options_Exhibits'!Y1864:Y1868)),AVERAGE('20250815_ETF_Options_Exhibits'!Y1864:Y1868),"")</f>
        <v/>
      </c>
      <c r="Z1868" s="3">
        <f>IF(ISNUMBER(AVERAGE('20250815_ETF_Options_Exhibits'!Z1864:Z1868)),AVERAGE('20250815_ETF_Options_Exhibits'!Z1864:Z1868),"")</f>
        <v/>
      </c>
      <c r="AA1868" s="3">
        <f>IF(ISNUMBER(AVERAGE('20250815_ETF_Options_Exhibits'!AA1864:AA1868)),AVERAGE('20250815_ETF_Options_Exhibits'!AA1864:AA1868),"")</f>
        <v/>
      </c>
    </row>
    <row r="1869">
      <c r="A1869" s="1" t="n">
        <v>44713</v>
      </c>
      <c r="B1869" s="3">
        <f>IF(ISNUMBER(AVERAGE('20250815_ETF_Options_Exhibits'!B1865:B1869)),AVERAGE('20250815_ETF_Options_Exhibits'!B1865:B1869),"")</f>
        <v/>
      </c>
      <c r="C1869" s="3">
        <f>IF(ISNUMBER(AVERAGE('20250815_ETF_Options_Exhibits'!C1865:C1869)),AVERAGE('20250815_ETF_Options_Exhibits'!C1865:C1869),"")</f>
        <v/>
      </c>
      <c r="D1869" s="3">
        <f>IF(ISNUMBER(AVERAGE('20250815_ETF_Options_Exhibits'!D1865:D1869)),AVERAGE('20250815_ETF_Options_Exhibits'!D1865:D1869),"")</f>
        <v/>
      </c>
      <c r="E1869" s="3">
        <f>IF(ISNUMBER(AVERAGE('20250815_ETF_Options_Exhibits'!E1865:E1869)),AVERAGE('20250815_ETF_Options_Exhibits'!E1865:E1869),"")</f>
        <v/>
      </c>
      <c r="F1869" s="3">
        <f>IF(ISNUMBER(AVERAGE('20250815_ETF_Options_Exhibits'!F1865:F1869)),AVERAGE('20250815_ETF_Options_Exhibits'!F1865:F1869),"")</f>
        <v/>
      </c>
      <c r="G1869" s="3">
        <f>IF(ISNUMBER(AVERAGE('20250815_ETF_Options_Exhibits'!G1865:G1869)),AVERAGE('20250815_ETF_Options_Exhibits'!G1865:G1869),"")</f>
        <v/>
      </c>
      <c r="H1869" s="3">
        <f>IF(ISNUMBER(AVERAGE('20250815_ETF_Options_Exhibits'!H1865:H1869)),AVERAGE('20250815_ETF_Options_Exhibits'!H1865:H1869),"")</f>
        <v/>
      </c>
      <c r="I1869" s="3">
        <f>IF(ISNUMBER(AVERAGE('20250815_ETF_Options_Exhibits'!I1865:I1869)),AVERAGE('20250815_ETF_Options_Exhibits'!I1865:I1869),"")</f>
        <v/>
      </c>
      <c r="J1869" s="3">
        <f>IF(ISNUMBER(AVERAGE('20250815_ETF_Options_Exhibits'!J1865:J1869)),AVERAGE('20250815_ETF_Options_Exhibits'!J1865:J1869),"")</f>
        <v/>
      </c>
      <c r="K1869" s="3">
        <f>IF(ISNUMBER(AVERAGE('20250815_ETF_Options_Exhibits'!K1865:K1869)),AVERAGE('20250815_ETF_Options_Exhibits'!K1865:K1869),"")</f>
        <v/>
      </c>
      <c r="L1869" s="3">
        <f>IF(ISNUMBER(AVERAGE('20250815_ETF_Options_Exhibits'!L1865:L1869)),AVERAGE('20250815_ETF_Options_Exhibits'!L1865:L1869),"")</f>
        <v/>
      </c>
      <c r="M1869" s="3">
        <f>IF(ISNUMBER(AVERAGE('20250815_ETF_Options_Exhibits'!M1865:M1869)),AVERAGE('20250815_ETF_Options_Exhibits'!M1865:M1869),"")</f>
        <v/>
      </c>
      <c r="N1869" s="3">
        <f>IF(ISNUMBER(AVERAGE('20250815_ETF_Options_Exhibits'!N1865:N1869)),AVERAGE('20250815_ETF_Options_Exhibits'!N1865:N1869),"")</f>
        <v/>
      </c>
      <c r="O1869" s="3">
        <f>IF(ISNUMBER(AVERAGE('20250815_ETF_Options_Exhibits'!O1865:O1869)),AVERAGE('20250815_ETF_Options_Exhibits'!O1865:O1869),"")</f>
        <v/>
      </c>
      <c r="P1869" s="3">
        <f>IF(ISNUMBER(AVERAGE('20250815_ETF_Options_Exhibits'!P1865:P1869)),AVERAGE('20250815_ETF_Options_Exhibits'!P1865:P1869),"")</f>
        <v/>
      </c>
      <c r="Q1869" s="3">
        <f>IF(ISNUMBER(AVERAGE('20250815_ETF_Options_Exhibits'!Q1865:Q1869)),AVERAGE('20250815_ETF_Options_Exhibits'!Q1865:Q1869),"")</f>
        <v/>
      </c>
      <c r="R1869" s="3">
        <f>IF(ISNUMBER(AVERAGE('20250815_ETF_Options_Exhibits'!R1865:R1869)),AVERAGE('20250815_ETF_Options_Exhibits'!R1865:R1869),"")</f>
        <v/>
      </c>
      <c r="S1869" s="3">
        <f>IF(ISNUMBER(AVERAGE('20250815_ETF_Options_Exhibits'!S1865:S1869)),AVERAGE('20250815_ETF_Options_Exhibits'!S1865:S1869),"")</f>
        <v/>
      </c>
      <c r="T1869" s="3">
        <f>IF(ISNUMBER(AVERAGE('20250815_ETF_Options_Exhibits'!T1865:T1869)),AVERAGE('20250815_ETF_Options_Exhibits'!T1865:T1869),"")</f>
        <v/>
      </c>
      <c r="U1869" s="3">
        <f>IF(ISNUMBER(AVERAGE('20250815_ETF_Options_Exhibits'!U1865:U1869)),AVERAGE('20250815_ETF_Options_Exhibits'!U1865:U1869),"")</f>
        <v/>
      </c>
      <c r="V1869" s="3">
        <f>IF(ISNUMBER(AVERAGE('20250815_ETF_Options_Exhibits'!V1865:V1869)),AVERAGE('20250815_ETF_Options_Exhibits'!V1865:V1869),"")</f>
        <v/>
      </c>
      <c r="W1869" s="3">
        <f>IF(ISNUMBER(AVERAGE('20250815_ETF_Options_Exhibits'!W1865:W1869)),AVERAGE('20250815_ETF_Options_Exhibits'!W1865:W1869),"")</f>
        <v/>
      </c>
      <c r="X1869" s="3">
        <f>IF(ISNUMBER(AVERAGE('20250815_ETF_Options_Exhibits'!X1865:X1869)),AVERAGE('20250815_ETF_Options_Exhibits'!X1865:X1869),"")</f>
        <v/>
      </c>
      <c r="Y1869" s="3">
        <f>IF(ISNUMBER(AVERAGE('20250815_ETF_Options_Exhibits'!Y1865:Y1869)),AVERAGE('20250815_ETF_Options_Exhibits'!Y1865:Y1869),"")</f>
        <v/>
      </c>
      <c r="Z1869" s="3">
        <f>IF(ISNUMBER(AVERAGE('20250815_ETF_Options_Exhibits'!Z1865:Z1869)),AVERAGE('20250815_ETF_Options_Exhibits'!Z1865:Z1869),"")</f>
        <v/>
      </c>
      <c r="AA1869" s="3">
        <f>IF(ISNUMBER(AVERAGE('20250815_ETF_Options_Exhibits'!AA1865:AA1869)),AVERAGE('20250815_ETF_Options_Exhibits'!AA1865:AA1869),"")</f>
        <v/>
      </c>
    </row>
    <row r="1870">
      <c r="A1870" s="1" t="n">
        <v>44714</v>
      </c>
      <c r="B1870" s="3">
        <f>IF(ISNUMBER(AVERAGE('20250815_ETF_Options_Exhibits'!B1866:B1870)),AVERAGE('20250815_ETF_Options_Exhibits'!B1866:B1870),"")</f>
        <v/>
      </c>
      <c r="C1870" s="3">
        <f>IF(ISNUMBER(AVERAGE('20250815_ETF_Options_Exhibits'!C1866:C1870)),AVERAGE('20250815_ETF_Options_Exhibits'!C1866:C1870),"")</f>
        <v/>
      </c>
      <c r="D1870" s="3">
        <f>IF(ISNUMBER(AVERAGE('20250815_ETF_Options_Exhibits'!D1866:D1870)),AVERAGE('20250815_ETF_Options_Exhibits'!D1866:D1870),"")</f>
        <v/>
      </c>
      <c r="E1870" s="3">
        <f>IF(ISNUMBER(AVERAGE('20250815_ETF_Options_Exhibits'!E1866:E1870)),AVERAGE('20250815_ETF_Options_Exhibits'!E1866:E1870),"")</f>
        <v/>
      </c>
      <c r="F1870" s="3">
        <f>IF(ISNUMBER(AVERAGE('20250815_ETF_Options_Exhibits'!F1866:F1870)),AVERAGE('20250815_ETF_Options_Exhibits'!F1866:F1870),"")</f>
        <v/>
      </c>
      <c r="G1870" s="3">
        <f>IF(ISNUMBER(AVERAGE('20250815_ETF_Options_Exhibits'!G1866:G1870)),AVERAGE('20250815_ETF_Options_Exhibits'!G1866:G1870),"")</f>
        <v/>
      </c>
      <c r="H1870" s="3">
        <f>IF(ISNUMBER(AVERAGE('20250815_ETF_Options_Exhibits'!H1866:H1870)),AVERAGE('20250815_ETF_Options_Exhibits'!H1866:H1870),"")</f>
        <v/>
      </c>
      <c r="I1870" s="3">
        <f>IF(ISNUMBER(AVERAGE('20250815_ETF_Options_Exhibits'!I1866:I1870)),AVERAGE('20250815_ETF_Options_Exhibits'!I1866:I1870),"")</f>
        <v/>
      </c>
      <c r="J1870" s="3">
        <f>IF(ISNUMBER(AVERAGE('20250815_ETF_Options_Exhibits'!J1866:J1870)),AVERAGE('20250815_ETF_Options_Exhibits'!J1866:J1870),"")</f>
        <v/>
      </c>
      <c r="K1870" s="3">
        <f>IF(ISNUMBER(AVERAGE('20250815_ETF_Options_Exhibits'!K1866:K1870)),AVERAGE('20250815_ETF_Options_Exhibits'!K1866:K1870),"")</f>
        <v/>
      </c>
      <c r="L1870" s="3">
        <f>IF(ISNUMBER(AVERAGE('20250815_ETF_Options_Exhibits'!L1866:L1870)),AVERAGE('20250815_ETF_Options_Exhibits'!L1866:L1870),"")</f>
        <v/>
      </c>
      <c r="M1870" s="3">
        <f>IF(ISNUMBER(AVERAGE('20250815_ETF_Options_Exhibits'!M1866:M1870)),AVERAGE('20250815_ETF_Options_Exhibits'!M1866:M1870),"")</f>
        <v/>
      </c>
      <c r="N1870" s="3">
        <f>IF(ISNUMBER(AVERAGE('20250815_ETF_Options_Exhibits'!N1866:N1870)),AVERAGE('20250815_ETF_Options_Exhibits'!N1866:N1870),"")</f>
        <v/>
      </c>
      <c r="O1870" s="3">
        <f>IF(ISNUMBER(AVERAGE('20250815_ETF_Options_Exhibits'!O1866:O1870)),AVERAGE('20250815_ETF_Options_Exhibits'!O1866:O1870),"")</f>
        <v/>
      </c>
      <c r="P1870" s="3">
        <f>IF(ISNUMBER(AVERAGE('20250815_ETF_Options_Exhibits'!P1866:P1870)),AVERAGE('20250815_ETF_Options_Exhibits'!P1866:P1870),"")</f>
        <v/>
      </c>
      <c r="Q1870" s="3">
        <f>IF(ISNUMBER(AVERAGE('20250815_ETF_Options_Exhibits'!Q1866:Q1870)),AVERAGE('20250815_ETF_Options_Exhibits'!Q1866:Q1870),"")</f>
        <v/>
      </c>
      <c r="R1870" s="3">
        <f>IF(ISNUMBER(AVERAGE('20250815_ETF_Options_Exhibits'!R1866:R1870)),AVERAGE('20250815_ETF_Options_Exhibits'!R1866:R1870),"")</f>
        <v/>
      </c>
      <c r="S1870" s="3">
        <f>IF(ISNUMBER(AVERAGE('20250815_ETF_Options_Exhibits'!S1866:S1870)),AVERAGE('20250815_ETF_Options_Exhibits'!S1866:S1870),"")</f>
        <v/>
      </c>
      <c r="T1870" s="3">
        <f>IF(ISNUMBER(AVERAGE('20250815_ETF_Options_Exhibits'!T1866:T1870)),AVERAGE('20250815_ETF_Options_Exhibits'!T1866:T1870),"")</f>
        <v/>
      </c>
      <c r="U1870" s="3">
        <f>IF(ISNUMBER(AVERAGE('20250815_ETF_Options_Exhibits'!U1866:U1870)),AVERAGE('20250815_ETF_Options_Exhibits'!U1866:U1870),"")</f>
        <v/>
      </c>
      <c r="V1870" s="3">
        <f>IF(ISNUMBER(AVERAGE('20250815_ETF_Options_Exhibits'!V1866:V1870)),AVERAGE('20250815_ETF_Options_Exhibits'!V1866:V1870),"")</f>
        <v/>
      </c>
      <c r="W1870" s="3">
        <f>IF(ISNUMBER(AVERAGE('20250815_ETF_Options_Exhibits'!W1866:W1870)),AVERAGE('20250815_ETF_Options_Exhibits'!W1866:W1870),"")</f>
        <v/>
      </c>
      <c r="X1870" s="3">
        <f>IF(ISNUMBER(AVERAGE('20250815_ETF_Options_Exhibits'!X1866:X1870)),AVERAGE('20250815_ETF_Options_Exhibits'!X1866:X1870),"")</f>
        <v/>
      </c>
      <c r="Y1870" s="3">
        <f>IF(ISNUMBER(AVERAGE('20250815_ETF_Options_Exhibits'!Y1866:Y1870)),AVERAGE('20250815_ETF_Options_Exhibits'!Y1866:Y1870),"")</f>
        <v/>
      </c>
      <c r="Z1870" s="3">
        <f>IF(ISNUMBER(AVERAGE('20250815_ETF_Options_Exhibits'!Z1866:Z1870)),AVERAGE('20250815_ETF_Options_Exhibits'!Z1866:Z1870),"")</f>
        <v/>
      </c>
      <c r="AA1870" s="3">
        <f>IF(ISNUMBER(AVERAGE('20250815_ETF_Options_Exhibits'!AA1866:AA1870)),AVERAGE('20250815_ETF_Options_Exhibits'!AA1866:AA1870),"")</f>
        <v/>
      </c>
    </row>
    <row r="1871">
      <c r="A1871" s="1" t="n">
        <v>44715</v>
      </c>
      <c r="B1871" s="3">
        <f>IF(ISNUMBER(AVERAGE('20250815_ETF_Options_Exhibits'!B1867:B1871)),AVERAGE('20250815_ETF_Options_Exhibits'!B1867:B1871),"")</f>
        <v/>
      </c>
      <c r="C1871" s="3">
        <f>IF(ISNUMBER(AVERAGE('20250815_ETF_Options_Exhibits'!C1867:C1871)),AVERAGE('20250815_ETF_Options_Exhibits'!C1867:C1871),"")</f>
        <v/>
      </c>
      <c r="D1871" s="3">
        <f>IF(ISNUMBER(AVERAGE('20250815_ETF_Options_Exhibits'!D1867:D1871)),AVERAGE('20250815_ETF_Options_Exhibits'!D1867:D1871),"")</f>
        <v/>
      </c>
      <c r="E1871" s="3">
        <f>IF(ISNUMBER(AVERAGE('20250815_ETF_Options_Exhibits'!E1867:E1871)),AVERAGE('20250815_ETF_Options_Exhibits'!E1867:E1871),"")</f>
        <v/>
      </c>
      <c r="F1871" s="3">
        <f>IF(ISNUMBER(AVERAGE('20250815_ETF_Options_Exhibits'!F1867:F1871)),AVERAGE('20250815_ETF_Options_Exhibits'!F1867:F1871),"")</f>
        <v/>
      </c>
      <c r="G1871" s="3">
        <f>IF(ISNUMBER(AVERAGE('20250815_ETF_Options_Exhibits'!G1867:G1871)),AVERAGE('20250815_ETF_Options_Exhibits'!G1867:G1871),"")</f>
        <v/>
      </c>
      <c r="H1871" s="3">
        <f>IF(ISNUMBER(AVERAGE('20250815_ETF_Options_Exhibits'!H1867:H1871)),AVERAGE('20250815_ETF_Options_Exhibits'!H1867:H1871),"")</f>
        <v/>
      </c>
      <c r="I1871" s="3">
        <f>IF(ISNUMBER(AVERAGE('20250815_ETF_Options_Exhibits'!I1867:I1871)),AVERAGE('20250815_ETF_Options_Exhibits'!I1867:I1871),"")</f>
        <v/>
      </c>
      <c r="J1871" s="3">
        <f>IF(ISNUMBER(AVERAGE('20250815_ETF_Options_Exhibits'!J1867:J1871)),AVERAGE('20250815_ETF_Options_Exhibits'!J1867:J1871),"")</f>
        <v/>
      </c>
      <c r="K1871" s="3">
        <f>IF(ISNUMBER(AVERAGE('20250815_ETF_Options_Exhibits'!K1867:K1871)),AVERAGE('20250815_ETF_Options_Exhibits'!K1867:K1871),"")</f>
        <v/>
      </c>
      <c r="L1871" s="3">
        <f>IF(ISNUMBER(AVERAGE('20250815_ETF_Options_Exhibits'!L1867:L1871)),AVERAGE('20250815_ETF_Options_Exhibits'!L1867:L1871),"")</f>
        <v/>
      </c>
      <c r="M1871" s="3">
        <f>IF(ISNUMBER(AVERAGE('20250815_ETF_Options_Exhibits'!M1867:M1871)),AVERAGE('20250815_ETF_Options_Exhibits'!M1867:M1871),"")</f>
        <v/>
      </c>
      <c r="N1871" s="3">
        <f>IF(ISNUMBER(AVERAGE('20250815_ETF_Options_Exhibits'!N1867:N1871)),AVERAGE('20250815_ETF_Options_Exhibits'!N1867:N1871),"")</f>
        <v/>
      </c>
      <c r="O1871" s="3">
        <f>IF(ISNUMBER(AVERAGE('20250815_ETF_Options_Exhibits'!O1867:O1871)),AVERAGE('20250815_ETF_Options_Exhibits'!O1867:O1871),"")</f>
        <v/>
      </c>
      <c r="P1871" s="3">
        <f>IF(ISNUMBER(AVERAGE('20250815_ETF_Options_Exhibits'!P1867:P1871)),AVERAGE('20250815_ETF_Options_Exhibits'!P1867:P1871),"")</f>
        <v/>
      </c>
      <c r="Q1871" s="3">
        <f>IF(ISNUMBER(AVERAGE('20250815_ETF_Options_Exhibits'!Q1867:Q1871)),AVERAGE('20250815_ETF_Options_Exhibits'!Q1867:Q1871),"")</f>
        <v/>
      </c>
      <c r="R1871" s="3">
        <f>IF(ISNUMBER(AVERAGE('20250815_ETF_Options_Exhibits'!R1867:R1871)),AVERAGE('20250815_ETF_Options_Exhibits'!R1867:R1871),"")</f>
        <v/>
      </c>
      <c r="S1871" s="3">
        <f>IF(ISNUMBER(AVERAGE('20250815_ETF_Options_Exhibits'!S1867:S1871)),AVERAGE('20250815_ETF_Options_Exhibits'!S1867:S1871),"")</f>
        <v/>
      </c>
      <c r="T1871" s="3">
        <f>IF(ISNUMBER(AVERAGE('20250815_ETF_Options_Exhibits'!T1867:T1871)),AVERAGE('20250815_ETF_Options_Exhibits'!T1867:T1871),"")</f>
        <v/>
      </c>
      <c r="U1871" s="3">
        <f>IF(ISNUMBER(AVERAGE('20250815_ETF_Options_Exhibits'!U1867:U1871)),AVERAGE('20250815_ETF_Options_Exhibits'!U1867:U1871),"")</f>
        <v/>
      </c>
      <c r="V1871" s="3">
        <f>IF(ISNUMBER(AVERAGE('20250815_ETF_Options_Exhibits'!V1867:V1871)),AVERAGE('20250815_ETF_Options_Exhibits'!V1867:V1871),"")</f>
        <v/>
      </c>
      <c r="W1871" s="3">
        <f>IF(ISNUMBER(AVERAGE('20250815_ETF_Options_Exhibits'!W1867:W1871)),AVERAGE('20250815_ETF_Options_Exhibits'!W1867:W1871),"")</f>
        <v/>
      </c>
      <c r="X1871" s="3">
        <f>IF(ISNUMBER(AVERAGE('20250815_ETF_Options_Exhibits'!X1867:X1871)),AVERAGE('20250815_ETF_Options_Exhibits'!X1867:X1871),"")</f>
        <v/>
      </c>
      <c r="Y1871" s="3">
        <f>IF(ISNUMBER(AVERAGE('20250815_ETF_Options_Exhibits'!Y1867:Y1871)),AVERAGE('20250815_ETF_Options_Exhibits'!Y1867:Y1871),"")</f>
        <v/>
      </c>
      <c r="Z1871" s="3">
        <f>IF(ISNUMBER(AVERAGE('20250815_ETF_Options_Exhibits'!Z1867:Z1871)),AVERAGE('20250815_ETF_Options_Exhibits'!Z1867:Z1871),"")</f>
        <v/>
      </c>
      <c r="AA1871" s="3">
        <f>IF(ISNUMBER(AVERAGE('20250815_ETF_Options_Exhibits'!AA1867:AA1871)),AVERAGE('20250815_ETF_Options_Exhibits'!AA1867:AA1871),"")</f>
        <v/>
      </c>
    </row>
    <row r="1872">
      <c r="A1872" s="1" t="n">
        <v>44718</v>
      </c>
      <c r="B1872" s="3">
        <f>IF(ISNUMBER(AVERAGE('20250815_ETF_Options_Exhibits'!B1868:B1872)),AVERAGE('20250815_ETF_Options_Exhibits'!B1868:B1872),"")</f>
        <v/>
      </c>
      <c r="C1872" s="3">
        <f>IF(ISNUMBER(AVERAGE('20250815_ETF_Options_Exhibits'!C1868:C1872)),AVERAGE('20250815_ETF_Options_Exhibits'!C1868:C1872),"")</f>
        <v/>
      </c>
      <c r="D1872" s="3">
        <f>IF(ISNUMBER(AVERAGE('20250815_ETF_Options_Exhibits'!D1868:D1872)),AVERAGE('20250815_ETF_Options_Exhibits'!D1868:D1872),"")</f>
        <v/>
      </c>
      <c r="E1872" s="3">
        <f>IF(ISNUMBER(AVERAGE('20250815_ETF_Options_Exhibits'!E1868:E1872)),AVERAGE('20250815_ETF_Options_Exhibits'!E1868:E1872),"")</f>
        <v/>
      </c>
      <c r="F1872" s="3">
        <f>IF(ISNUMBER(AVERAGE('20250815_ETF_Options_Exhibits'!F1868:F1872)),AVERAGE('20250815_ETF_Options_Exhibits'!F1868:F1872),"")</f>
        <v/>
      </c>
      <c r="G1872" s="3">
        <f>IF(ISNUMBER(AVERAGE('20250815_ETF_Options_Exhibits'!G1868:G1872)),AVERAGE('20250815_ETF_Options_Exhibits'!G1868:G1872),"")</f>
        <v/>
      </c>
      <c r="H1872" s="3">
        <f>IF(ISNUMBER(AVERAGE('20250815_ETF_Options_Exhibits'!H1868:H1872)),AVERAGE('20250815_ETF_Options_Exhibits'!H1868:H1872),"")</f>
        <v/>
      </c>
      <c r="I1872" s="3">
        <f>IF(ISNUMBER(AVERAGE('20250815_ETF_Options_Exhibits'!I1868:I1872)),AVERAGE('20250815_ETF_Options_Exhibits'!I1868:I1872),"")</f>
        <v/>
      </c>
      <c r="J1872" s="3">
        <f>IF(ISNUMBER(AVERAGE('20250815_ETF_Options_Exhibits'!J1868:J1872)),AVERAGE('20250815_ETF_Options_Exhibits'!J1868:J1872),"")</f>
        <v/>
      </c>
      <c r="K1872" s="3">
        <f>IF(ISNUMBER(AVERAGE('20250815_ETF_Options_Exhibits'!K1868:K1872)),AVERAGE('20250815_ETF_Options_Exhibits'!K1868:K1872),"")</f>
        <v/>
      </c>
      <c r="L1872" s="3">
        <f>IF(ISNUMBER(AVERAGE('20250815_ETF_Options_Exhibits'!L1868:L1872)),AVERAGE('20250815_ETF_Options_Exhibits'!L1868:L1872),"")</f>
        <v/>
      </c>
      <c r="M1872" s="3">
        <f>IF(ISNUMBER(AVERAGE('20250815_ETF_Options_Exhibits'!M1868:M1872)),AVERAGE('20250815_ETF_Options_Exhibits'!M1868:M1872),"")</f>
        <v/>
      </c>
      <c r="N1872" s="3">
        <f>IF(ISNUMBER(AVERAGE('20250815_ETF_Options_Exhibits'!N1868:N1872)),AVERAGE('20250815_ETF_Options_Exhibits'!N1868:N1872),"")</f>
        <v/>
      </c>
      <c r="O1872" s="3">
        <f>IF(ISNUMBER(AVERAGE('20250815_ETF_Options_Exhibits'!O1868:O1872)),AVERAGE('20250815_ETF_Options_Exhibits'!O1868:O1872),"")</f>
        <v/>
      </c>
      <c r="P1872" s="3">
        <f>IF(ISNUMBER(AVERAGE('20250815_ETF_Options_Exhibits'!P1868:P1872)),AVERAGE('20250815_ETF_Options_Exhibits'!P1868:P1872),"")</f>
        <v/>
      </c>
      <c r="Q1872" s="3">
        <f>IF(ISNUMBER(AVERAGE('20250815_ETF_Options_Exhibits'!Q1868:Q1872)),AVERAGE('20250815_ETF_Options_Exhibits'!Q1868:Q1872),"")</f>
        <v/>
      </c>
      <c r="R1872" s="3">
        <f>IF(ISNUMBER(AVERAGE('20250815_ETF_Options_Exhibits'!R1868:R1872)),AVERAGE('20250815_ETF_Options_Exhibits'!R1868:R1872),"")</f>
        <v/>
      </c>
      <c r="S1872" s="3">
        <f>IF(ISNUMBER(AVERAGE('20250815_ETF_Options_Exhibits'!S1868:S1872)),AVERAGE('20250815_ETF_Options_Exhibits'!S1868:S1872),"")</f>
        <v/>
      </c>
      <c r="T1872" s="3">
        <f>IF(ISNUMBER(AVERAGE('20250815_ETF_Options_Exhibits'!T1868:T1872)),AVERAGE('20250815_ETF_Options_Exhibits'!T1868:T1872),"")</f>
        <v/>
      </c>
      <c r="U1872" s="3">
        <f>IF(ISNUMBER(AVERAGE('20250815_ETF_Options_Exhibits'!U1868:U1872)),AVERAGE('20250815_ETF_Options_Exhibits'!U1868:U1872),"")</f>
        <v/>
      </c>
      <c r="V1872" s="3">
        <f>IF(ISNUMBER(AVERAGE('20250815_ETF_Options_Exhibits'!V1868:V1872)),AVERAGE('20250815_ETF_Options_Exhibits'!V1868:V1872),"")</f>
        <v/>
      </c>
      <c r="W1872" s="3">
        <f>IF(ISNUMBER(AVERAGE('20250815_ETF_Options_Exhibits'!W1868:W1872)),AVERAGE('20250815_ETF_Options_Exhibits'!W1868:W1872),"")</f>
        <v/>
      </c>
      <c r="X1872" s="3">
        <f>IF(ISNUMBER(AVERAGE('20250815_ETF_Options_Exhibits'!X1868:X1872)),AVERAGE('20250815_ETF_Options_Exhibits'!X1868:X1872),"")</f>
        <v/>
      </c>
      <c r="Y1872" s="3">
        <f>IF(ISNUMBER(AVERAGE('20250815_ETF_Options_Exhibits'!Y1868:Y1872)),AVERAGE('20250815_ETF_Options_Exhibits'!Y1868:Y1872),"")</f>
        <v/>
      </c>
      <c r="Z1872" s="3">
        <f>IF(ISNUMBER(AVERAGE('20250815_ETF_Options_Exhibits'!Z1868:Z1872)),AVERAGE('20250815_ETF_Options_Exhibits'!Z1868:Z1872),"")</f>
        <v/>
      </c>
      <c r="AA1872" s="3">
        <f>IF(ISNUMBER(AVERAGE('20250815_ETF_Options_Exhibits'!AA1868:AA1872)),AVERAGE('20250815_ETF_Options_Exhibits'!AA1868:AA1872),"")</f>
        <v/>
      </c>
    </row>
    <row r="1873">
      <c r="A1873" s="1" t="n">
        <v>44719</v>
      </c>
      <c r="B1873" s="3">
        <f>IF(ISNUMBER(AVERAGE('20250815_ETF_Options_Exhibits'!B1869:B1873)),AVERAGE('20250815_ETF_Options_Exhibits'!B1869:B1873),"")</f>
        <v/>
      </c>
      <c r="C1873" s="3">
        <f>IF(ISNUMBER(AVERAGE('20250815_ETF_Options_Exhibits'!C1869:C1873)),AVERAGE('20250815_ETF_Options_Exhibits'!C1869:C1873),"")</f>
        <v/>
      </c>
      <c r="D1873" s="3">
        <f>IF(ISNUMBER(AVERAGE('20250815_ETF_Options_Exhibits'!D1869:D1873)),AVERAGE('20250815_ETF_Options_Exhibits'!D1869:D1873),"")</f>
        <v/>
      </c>
      <c r="E1873" s="3">
        <f>IF(ISNUMBER(AVERAGE('20250815_ETF_Options_Exhibits'!E1869:E1873)),AVERAGE('20250815_ETF_Options_Exhibits'!E1869:E1873),"")</f>
        <v/>
      </c>
      <c r="F1873" s="3">
        <f>IF(ISNUMBER(AVERAGE('20250815_ETF_Options_Exhibits'!F1869:F1873)),AVERAGE('20250815_ETF_Options_Exhibits'!F1869:F1873),"")</f>
        <v/>
      </c>
      <c r="G1873" s="3">
        <f>IF(ISNUMBER(AVERAGE('20250815_ETF_Options_Exhibits'!G1869:G1873)),AVERAGE('20250815_ETF_Options_Exhibits'!G1869:G1873),"")</f>
        <v/>
      </c>
      <c r="H1873" s="3">
        <f>IF(ISNUMBER(AVERAGE('20250815_ETF_Options_Exhibits'!H1869:H1873)),AVERAGE('20250815_ETF_Options_Exhibits'!H1869:H1873),"")</f>
        <v/>
      </c>
      <c r="I1873" s="3">
        <f>IF(ISNUMBER(AVERAGE('20250815_ETF_Options_Exhibits'!I1869:I1873)),AVERAGE('20250815_ETF_Options_Exhibits'!I1869:I1873),"")</f>
        <v/>
      </c>
      <c r="J1873" s="3">
        <f>IF(ISNUMBER(AVERAGE('20250815_ETF_Options_Exhibits'!J1869:J1873)),AVERAGE('20250815_ETF_Options_Exhibits'!J1869:J1873),"")</f>
        <v/>
      </c>
      <c r="K1873" s="3">
        <f>IF(ISNUMBER(AVERAGE('20250815_ETF_Options_Exhibits'!K1869:K1873)),AVERAGE('20250815_ETF_Options_Exhibits'!K1869:K1873),"")</f>
        <v/>
      </c>
      <c r="L1873" s="3">
        <f>IF(ISNUMBER(AVERAGE('20250815_ETF_Options_Exhibits'!L1869:L1873)),AVERAGE('20250815_ETF_Options_Exhibits'!L1869:L1873),"")</f>
        <v/>
      </c>
      <c r="M1873" s="3">
        <f>IF(ISNUMBER(AVERAGE('20250815_ETF_Options_Exhibits'!M1869:M1873)),AVERAGE('20250815_ETF_Options_Exhibits'!M1869:M1873),"")</f>
        <v/>
      </c>
      <c r="N1873" s="3">
        <f>IF(ISNUMBER(AVERAGE('20250815_ETF_Options_Exhibits'!N1869:N1873)),AVERAGE('20250815_ETF_Options_Exhibits'!N1869:N1873),"")</f>
        <v/>
      </c>
      <c r="O1873" s="3">
        <f>IF(ISNUMBER(AVERAGE('20250815_ETF_Options_Exhibits'!O1869:O1873)),AVERAGE('20250815_ETF_Options_Exhibits'!O1869:O1873),"")</f>
        <v/>
      </c>
      <c r="P1873" s="3">
        <f>IF(ISNUMBER(AVERAGE('20250815_ETF_Options_Exhibits'!P1869:P1873)),AVERAGE('20250815_ETF_Options_Exhibits'!P1869:P1873),"")</f>
        <v/>
      </c>
      <c r="Q1873" s="3">
        <f>IF(ISNUMBER(AVERAGE('20250815_ETF_Options_Exhibits'!Q1869:Q1873)),AVERAGE('20250815_ETF_Options_Exhibits'!Q1869:Q1873),"")</f>
        <v/>
      </c>
      <c r="R1873" s="3">
        <f>IF(ISNUMBER(AVERAGE('20250815_ETF_Options_Exhibits'!R1869:R1873)),AVERAGE('20250815_ETF_Options_Exhibits'!R1869:R1873),"")</f>
        <v/>
      </c>
      <c r="S1873" s="3">
        <f>IF(ISNUMBER(AVERAGE('20250815_ETF_Options_Exhibits'!S1869:S1873)),AVERAGE('20250815_ETF_Options_Exhibits'!S1869:S1873),"")</f>
        <v/>
      </c>
      <c r="T1873" s="3">
        <f>IF(ISNUMBER(AVERAGE('20250815_ETF_Options_Exhibits'!T1869:T1873)),AVERAGE('20250815_ETF_Options_Exhibits'!T1869:T1873),"")</f>
        <v/>
      </c>
      <c r="U1873" s="3">
        <f>IF(ISNUMBER(AVERAGE('20250815_ETF_Options_Exhibits'!U1869:U1873)),AVERAGE('20250815_ETF_Options_Exhibits'!U1869:U1873),"")</f>
        <v/>
      </c>
      <c r="V1873" s="3">
        <f>IF(ISNUMBER(AVERAGE('20250815_ETF_Options_Exhibits'!V1869:V1873)),AVERAGE('20250815_ETF_Options_Exhibits'!V1869:V1873),"")</f>
        <v/>
      </c>
      <c r="W1873" s="3">
        <f>IF(ISNUMBER(AVERAGE('20250815_ETF_Options_Exhibits'!W1869:W1873)),AVERAGE('20250815_ETF_Options_Exhibits'!W1869:W1873),"")</f>
        <v/>
      </c>
      <c r="X1873" s="3">
        <f>IF(ISNUMBER(AVERAGE('20250815_ETF_Options_Exhibits'!X1869:X1873)),AVERAGE('20250815_ETF_Options_Exhibits'!X1869:X1873),"")</f>
        <v/>
      </c>
      <c r="Y1873" s="3">
        <f>IF(ISNUMBER(AVERAGE('20250815_ETF_Options_Exhibits'!Y1869:Y1873)),AVERAGE('20250815_ETF_Options_Exhibits'!Y1869:Y1873),"")</f>
        <v/>
      </c>
      <c r="Z1873" s="3">
        <f>IF(ISNUMBER(AVERAGE('20250815_ETF_Options_Exhibits'!Z1869:Z1873)),AVERAGE('20250815_ETF_Options_Exhibits'!Z1869:Z1873),"")</f>
        <v/>
      </c>
      <c r="AA1873" s="3">
        <f>IF(ISNUMBER(AVERAGE('20250815_ETF_Options_Exhibits'!AA1869:AA1873)),AVERAGE('20250815_ETF_Options_Exhibits'!AA1869:AA1873),"")</f>
        <v/>
      </c>
    </row>
    <row r="1874">
      <c r="A1874" s="1" t="n">
        <v>44720</v>
      </c>
      <c r="B1874" s="3">
        <f>IF(ISNUMBER(AVERAGE('20250815_ETF_Options_Exhibits'!B1870:B1874)),AVERAGE('20250815_ETF_Options_Exhibits'!B1870:B1874),"")</f>
        <v/>
      </c>
      <c r="C1874" s="3">
        <f>IF(ISNUMBER(AVERAGE('20250815_ETF_Options_Exhibits'!C1870:C1874)),AVERAGE('20250815_ETF_Options_Exhibits'!C1870:C1874),"")</f>
        <v/>
      </c>
      <c r="D1874" s="3">
        <f>IF(ISNUMBER(AVERAGE('20250815_ETF_Options_Exhibits'!D1870:D1874)),AVERAGE('20250815_ETF_Options_Exhibits'!D1870:D1874),"")</f>
        <v/>
      </c>
      <c r="E1874" s="3">
        <f>IF(ISNUMBER(AVERAGE('20250815_ETF_Options_Exhibits'!E1870:E1874)),AVERAGE('20250815_ETF_Options_Exhibits'!E1870:E1874),"")</f>
        <v/>
      </c>
      <c r="F1874" s="3">
        <f>IF(ISNUMBER(AVERAGE('20250815_ETF_Options_Exhibits'!F1870:F1874)),AVERAGE('20250815_ETF_Options_Exhibits'!F1870:F1874),"")</f>
        <v/>
      </c>
      <c r="G1874" s="3">
        <f>IF(ISNUMBER(AVERAGE('20250815_ETF_Options_Exhibits'!G1870:G1874)),AVERAGE('20250815_ETF_Options_Exhibits'!G1870:G1874),"")</f>
        <v/>
      </c>
      <c r="H1874" s="3">
        <f>IF(ISNUMBER(AVERAGE('20250815_ETF_Options_Exhibits'!H1870:H1874)),AVERAGE('20250815_ETF_Options_Exhibits'!H1870:H1874),"")</f>
        <v/>
      </c>
      <c r="I1874" s="3">
        <f>IF(ISNUMBER(AVERAGE('20250815_ETF_Options_Exhibits'!I1870:I1874)),AVERAGE('20250815_ETF_Options_Exhibits'!I1870:I1874),"")</f>
        <v/>
      </c>
      <c r="J1874" s="3">
        <f>IF(ISNUMBER(AVERAGE('20250815_ETF_Options_Exhibits'!J1870:J1874)),AVERAGE('20250815_ETF_Options_Exhibits'!J1870:J1874),"")</f>
        <v/>
      </c>
      <c r="K1874" s="3">
        <f>IF(ISNUMBER(AVERAGE('20250815_ETF_Options_Exhibits'!K1870:K1874)),AVERAGE('20250815_ETF_Options_Exhibits'!K1870:K1874),"")</f>
        <v/>
      </c>
      <c r="L1874" s="3">
        <f>IF(ISNUMBER(AVERAGE('20250815_ETF_Options_Exhibits'!L1870:L1874)),AVERAGE('20250815_ETF_Options_Exhibits'!L1870:L1874),"")</f>
        <v/>
      </c>
      <c r="M1874" s="3">
        <f>IF(ISNUMBER(AVERAGE('20250815_ETF_Options_Exhibits'!M1870:M1874)),AVERAGE('20250815_ETF_Options_Exhibits'!M1870:M1874),"")</f>
        <v/>
      </c>
      <c r="N1874" s="3">
        <f>IF(ISNUMBER(AVERAGE('20250815_ETF_Options_Exhibits'!N1870:N1874)),AVERAGE('20250815_ETF_Options_Exhibits'!N1870:N1874),"")</f>
        <v/>
      </c>
      <c r="O1874" s="3">
        <f>IF(ISNUMBER(AVERAGE('20250815_ETF_Options_Exhibits'!O1870:O1874)),AVERAGE('20250815_ETF_Options_Exhibits'!O1870:O1874),"")</f>
        <v/>
      </c>
      <c r="P1874" s="3">
        <f>IF(ISNUMBER(AVERAGE('20250815_ETF_Options_Exhibits'!P1870:P1874)),AVERAGE('20250815_ETF_Options_Exhibits'!P1870:P1874),"")</f>
        <v/>
      </c>
      <c r="Q1874" s="3">
        <f>IF(ISNUMBER(AVERAGE('20250815_ETF_Options_Exhibits'!Q1870:Q1874)),AVERAGE('20250815_ETF_Options_Exhibits'!Q1870:Q1874),"")</f>
        <v/>
      </c>
      <c r="R1874" s="3">
        <f>IF(ISNUMBER(AVERAGE('20250815_ETF_Options_Exhibits'!R1870:R1874)),AVERAGE('20250815_ETF_Options_Exhibits'!R1870:R1874),"")</f>
        <v/>
      </c>
      <c r="S1874" s="3">
        <f>IF(ISNUMBER(AVERAGE('20250815_ETF_Options_Exhibits'!S1870:S1874)),AVERAGE('20250815_ETF_Options_Exhibits'!S1870:S1874),"")</f>
        <v/>
      </c>
      <c r="T1874" s="3">
        <f>IF(ISNUMBER(AVERAGE('20250815_ETF_Options_Exhibits'!T1870:T1874)),AVERAGE('20250815_ETF_Options_Exhibits'!T1870:T1874),"")</f>
        <v/>
      </c>
      <c r="U1874" s="3">
        <f>IF(ISNUMBER(AVERAGE('20250815_ETF_Options_Exhibits'!U1870:U1874)),AVERAGE('20250815_ETF_Options_Exhibits'!U1870:U1874),"")</f>
        <v/>
      </c>
      <c r="V1874" s="3">
        <f>IF(ISNUMBER(AVERAGE('20250815_ETF_Options_Exhibits'!V1870:V1874)),AVERAGE('20250815_ETF_Options_Exhibits'!V1870:V1874),"")</f>
        <v/>
      </c>
      <c r="W1874" s="3">
        <f>IF(ISNUMBER(AVERAGE('20250815_ETF_Options_Exhibits'!W1870:W1874)),AVERAGE('20250815_ETF_Options_Exhibits'!W1870:W1874),"")</f>
        <v/>
      </c>
      <c r="X1874" s="3">
        <f>IF(ISNUMBER(AVERAGE('20250815_ETF_Options_Exhibits'!X1870:X1874)),AVERAGE('20250815_ETF_Options_Exhibits'!X1870:X1874),"")</f>
        <v/>
      </c>
      <c r="Y1874" s="3">
        <f>IF(ISNUMBER(AVERAGE('20250815_ETF_Options_Exhibits'!Y1870:Y1874)),AVERAGE('20250815_ETF_Options_Exhibits'!Y1870:Y1874),"")</f>
        <v/>
      </c>
      <c r="Z1874" s="3">
        <f>IF(ISNUMBER(AVERAGE('20250815_ETF_Options_Exhibits'!Z1870:Z1874)),AVERAGE('20250815_ETF_Options_Exhibits'!Z1870:Z1874),"")</f>
        <v/>
      </c>
      <c r="AA1874" s="3">
        <f>IF(ISNUMBER(AVERAGE('20250815_ETF_Options_Exhibits'!AA1870:AA1874)),AVERAGE('20250815_ETF_Options_Exhibits'!AA1870:AA1874),"")</f>
        <v/>
      </c>
    </row>
    <row r="1875">
      <c r="A1875" s="1" t="n">
        <v>44721</v>
      </c>
      <c r="B1875" s="3">
        <f>IF(ISNUMBER(AVERAGE('20250815_ETF_Options_Exhibits'!B1871:B1875)),AVERAGE('20250815_ETF_Options_Exhibits'!B1871:B1875),"")</f>
        <v/>
      </c>
      <c r="C1875" s="3">
        <f>IF(ISNUMBER(AVERAGE('20250815_ETF_Options_Exhibits'!C1871:C1875)),AVERAGE('20250815_ETF_Options_Exhibits'!C1871:C1875),"")</f>
        <v/>
      </c>
      <c r="D1875" s="3">
        <f>IF(ISNUMBER(AVERAGE('20250815_ETF_Options_Exhibits'!D1871:D1875)),AVERAGE('20250815_ETF_Options_Exhibits'!D1871:D1875),"")</f>
        <v/>
      </c>
      <c r="E1875" s="3">
        <f>IF(ISNUMBER(AVERAGE('20250815_ETF_Options_Exhibits'!E1871:E1875)),AVERAGE('20250815_ETF_Options_Exhibits'!E1871:E1875),"")</f>
        <v/>
      </c>
      <c r="F1875" s="3">
        <f>IF(ISNUMBER(AVERAGE('20250815_ETF_Options_Exhibits'!F1871:F1875)),AVERAGE('20250815_ETF_Options_Exhibits'!F1871:F1875),"")</f>
        <v/>
      </c>
      <c r="G1875" s="3">
        <f>IF(ISNUMBER(AVERAGE('20250815_ETF_Options_Exhibits'!G1871:G1875)),AVERAGE('20250815_ETF_Options_Exhibits'!G1871:G1875),"")</f>
        <v/>
      </c>
      <c r="H1875" s="3">
        <f>IF(ISNUMBER(AVERAGE('20250815_ETF_Options_Exhibits'!H1871:H1875)),AVERAGE('20250815_ETF_Options_Exhibits'!H1871:H1875),"")</f>
        <v/>
      </c>
      <c r="I1875" s="3">
        <f>IF(ISNUMBER(AVERAGE('20250815_ETF_Options_Exhibits'!I1871:I1875)),AVERAGE('20250815_ETF_Options_Exhibits'!I1871:I1875),"")</f>
        <v/>
      </c>
      <c r="J1875" s="3">
        <f>IF(ISNUMBER(AVERAGE('20250815_ETF_Options_Exhibits'!J1871:J1875)),AVERAGE('20250815_ETF_Options_Exhibits'!J1871:J1875),"")</f>
        <v/>
      </c>
      <c r="K1875" s="3">
        <f>IF(ISNUMBER(AVERAGE('20250815_ETF_Options_Exhibits'!K1871:K1875)),AVERAGE('20250815_ETF_Options_Exhibits'!K1871:K1875),"")</f>
        <v/>
      </c>
      <c r="L1875" s="3">
        <f>IF(ISNUMBER(AVERAGE('20250815_ETF_Options_Exhibits'!L1871:L1875)),AVERAGE('20250815_ETF_Options_Exhibits'!L1871:L1875),"")</f>
        <v/>
      </c>
      <c r="M1875" s="3">
        <f>IF(ISNUMBER(AVERAGE('20250815_ETF_Options_Exhibits'!M1871:M1875)),AVERAGE('20250815_ETF_Options_Exhibits'!M1871:M1875),"")</f>
        <v/>
      </c>
      <c r="N1875" s="3">
        <f>IF(ISNUMBER(AVERAGE('20250815_ETF_Options_Exhibits'!N1871:N1875)),AVERAGE('20250815_ETF_Options_Exhibits'!N1871:N1875),"")</f>
        <v/>
      </c>
      <c r="O1875" s="3">
        <f>IF(ISNUMBER(AVERAGE('20250815_ETF_Options_Exhibits'!O1871:O1875)),AVERAGE('20250815_ETF_Options_Exhibits'!O1871:O1875),"")</f>
        <v/>
      </c>
      <c r="P1875" s="3">
        <f>IF(ISNUMBER(AVERAGE('20250815_ETF_Options_Exhibits'!P1871:P1875)),AVERAGE('20250815_ETF_Options_Exhibits'!P1871:P1875),"")</f>
        <v/>
      </c>
      <c r="Q1875" s="3">
        <f>IF(ISNUMBER(AVERAGE('20250815_ETF_Options_Exhibits'!Q1871:Q1875)),AVERAGE('20250815_ETF_Options_Exhibits'!Q1871:Q1875),"")</f>
        <v/>
      </c>
      <c r="R1875" s="3">
        <f>IF(ISNUMBER(AVERAGE('20250815_ETF_Options_Exhibits'!R1871:R1875)),AVERAGE('20250815_ETF_Options_Exhibits'!R1871:R1875),"")</f>
        <v/>
      </c>
      <c r="S1875" s="3">
        <f>IF(ISNUMBER(AVERAGE('20250815_ETF_Options_Exhibits'!S1871:S1875)),AVERAGE('20250815_ETF_Options_Exhibits'!S1871:S1875),"")</f>
        <v/>
      </c>
      <c r="T1875" s="3">
        <f>IF(ISNUMBER(AVERAGE('20250815_ETF_Options_Exhibits'!T1871:T1875)),AVERAGE('20250815_ETF_Options_Exhibits'!T1871:T1875),"")</f>
        <v/>
      </c>
      <c r="U1875" s="3">
        <f>IF(ISNUMBER(AVERAGE('20250815_ETF_Options_Exhibits'!U1871:U1875)),AVERAGE('20250815_ETF_Options_Exhibits'!U1871:U1875),"")</f>
        <v/>
      </c>
      <c r="V1875" s="3">
        <f>IF(ISNUMBER(AVERAGE('20250815_ETF_Options_Exhibits'!V1871:V1875)),AVERAGE('20250815_ETF_Options_Exhibits'!V1871:V1875),"")</f>
        <v/>
      </c>
      <c r="W1875" s="3">
        <f>IF(ISNUMBER(AVERAGE('20250815_ETF_Options_Exhibits'!W1871:W1875)),AVERAGE('20250815_ETF_Options_Exhibits'!W1871:W1875),"")</f>
        <v/>
      </c>
      <c r="X1875" s="3">
        <f>IF(ISNUMBER(AVERAGE('20250815_ETF_Options_Exhibits'!X1871:X1875)),AVERAGE('20250815_ETF_Options_Exhibits'!X1871:X1875),"")</f>
        <v/>
      </c>
      <c r="Y1875" s="3">
        <f>IF(ISNUMBER(AVERAGE('20250815_ETF_Options_Exhibits'!Y1871:Y1875)),AVERAGE('20250815_ETF_Options_Exhibits'!Y1871:Y1875),"")</f>
        <v/>
      </c>
      <c r="Z1875" s="3">
        <f>IF(ISNUMBER(AVERAGE('20250815_ETF_Options_Exhibits'!Z1871:Z1875)),AVERAGE('20250815_ETF_Options_Exhibits'!Z1871:Z1875),"")</f>
        <v/>
      </c>
      <c r="AA1875" s="3">
        <f>IF(ISNUMBER(AVERAGE('20250815_ETF_Options_Exhibits'!AA1871:AA1875)),AVERAGE('20250815_ETF_Options_Exhibits'!AA1871:AA1875),"")</f>
        <v/>
      </c>
    </row>
    <row r="1876">
      <c r="A1876" s="1" t="n">
        <v>44722</v>
      </c>
      <c r="B1876" s="3">
        <f>IF(ISNUMBER(AVERAGE('20250815_ETF_Options_Exhibits'!B1872:B1876)),AVERAGE('20250815_ETF_Options_Exhibits'!B1872:B1876),"")</f>
        <v/>
      </c>
      <c r="C1876" s="3">
        <f>IF(ISNUMBER(AVERAGE('20250815_ETF_Options_Exhibits'!C1872:C1876)),AVERAGE('20250815_ETF_Options_Exhibits'!C1872:C1876),"")</f>
        <v/>
      </c>
      <c r="D1876" s="3">
        <f>IF(ISNUMBER(AVERAGE('20250815_ETF_Options_Exhibits'!D1872:D1876)),AVERAGE('20250815_ETF_Options_Exhibits'!D1872:D1876),"")</f>
        <v/>
      </c>
      <c r="E1876" s="3">
        <f>IF(ISNUMBER(AVERAGE('20250815_ETF_Options_Exhibits'!E1872:E1876)),AVERAGE('20250815_ETF_Options_Exhibits'!E1872:E1876),"")</f>
        <v/>
      </c>
      <c r="F1876" s="3">
        <f>IF(ISNUMBER(AVERAGE('20250815_ETF_Options_Exhibits'!F1872:F1876)),AVERAGE('20250815_ETF_Options_Exhibits'!F1872:F1876),"")</f>
        <v/>
      </c>
      <c r="G1876" s="3">
        <f>IF(ISNUMBER(AVERAGE('20250815_ETF_Options_Exhibits'!G1872:G1876)),AVERAGE('20250815_ETF_Options_Exhibits'!G1872:G1876),"")</f>
        <v/>
      </c>
      <c r="H1876" s="3">
        <f>IF(ISNUMBER(AVERAGE('20250815_ETF_Options_Exhibits'!H1872:H1876)),AVERAGE('20250815_ETF_Options_Exhibits'!H1872:H1876),"")</f>
        <v/>
      </c>
      <c r="I1876" s="3">
        <f>IF(ISNUMBER(AVERAGE('20250815_ETF_Options_Exhibits'!I1872:I1876)),AVERAGE('20250815_ETF_Options_Exhibits'!I1872:I1876),"")</f>
        <v/>
      </c>
      <c r="J1876" s="3">
        <f>IF(ISNUMBER(AVERAGE('20250815_ETF_Options_Exhibits'!J1872:J1876)),AVERAGE('20250815_ETF_Options_Exhibits'!J1872:J1876),"")</f>
        <v/>
      </c>
      <c r="K1876" s="3">
        <f>IF(ISNUMBER(AVERAGE('20250815_ETF_Options_Exhibits'!K1872:K1876)),AVERAGE('20250815_ETF_Options_Exhibits'!K1872:K1876),"")</f>
        <v/>
      </c>
      <c r="L1876" s="3">
        <f>IF(ISNUMBER(AVERAGE('20250815_ETF_Options_Exhibits'!L1872:L1876)),AVERAGE('20250815_ETF_Options_Exhibits'!L1872:L1876),"")</f>
        <v/>
      </c>
      <c r="M1876" s="3">
        <f>IF(ISNUMBER(AVERAGE('20250815_ETF_Options_Exhibits'!M1872:M1876)),AVERAGE('20250815_ETF_Options_Exhibits'!M1872:M1876),"")</f>
        <v/>
      </c>
      <c r="N1876" s="3">
        <f>IF(ISNUMBER(AVERAGE('20250815_ETF_Options_Exhibits'!N1872:N1876)),AVERAGE('20250815_ETF_Options_Exhibits'!N1872:N1876),"")</f>
        <v/>
      </c>
      <c r="O1876" s="3">
        <f>IF(ISNUMBER(AVERAGE('20250815_ETF_Options_Exhibits'!O1872:O1876)),AVERAGE('20250815_ETF_Options_Exhibits'!O1872:O1876),"")</f>
        <v/>
      </c>
      <c r="P1876" s="3">
        <f>IF(ISNUMBER(AVERAGE('20250815_ETF_Options_Exhibits'!P1872:P1876)),AVERAGE('20250815_ETF_Options_Exhibits'!P1872:P1876),"")</f>
        <v/>
      </c>
      <c r="Q1876" s="3">
        <f>IF(ISNUMBER(AVERAGE('20250815_ETF_Options_Exhibits'!Q1872:Q1876)),AVERAGE('20250815_ETF_Options_Exhibits'!Q1872:Q1876),"")</f>
        <v/>
      </c>
      <c r="R1876" s="3">
        <f>IF(ISNUMBER(AVERAGE('20250815_ETF_Options_Exhibits'!R1872:R1876)),AVERAGE('20250815_ETF_Options_Exhibits'!R1872:R1876),"")</f>
        <v/>
      </c>
      <c r="S1876" s="3">
        <f>IF(ISNUMBER(AVERAGE('20250815_ETF_Options_Exhibits'!S1872:S1876)),AVERAGE('20250815_ETF_Options_Exhibits'!S1872:S1876),"")</f>
        <v/>
      </c>
      <c r="T1876" s="3">
        <f>IF(ISNUMBER(AVERAGE('20250815_ETF_Options_Exhibits'!T1872:T1876)),AVERAGE('20250815_ETF_Options_Exhibits'!T1872:T1876),"")</f>
        <v/>
      </c>
      <c r="U1876" s="3">
        <f>IF(ISNUMBER(AVERAGE('20250815_ETF_Options_Exhibits'!U1872:U1876)),AVERAGE('20250815_ETF_Options_Exhibits'!U1872:U1876),"")</f>
        <v/>
      </c>
      <c r="V1876" s="3">
        <f>IF(ISNUMBER(AVERAGE('20250815_ETF_Options_Exhibits'!V1872:V1876)),AVERAGE('20250815_ETF_Options_Exhibits'!V1872:V1876),"")</f>
        <v/>
      </c>
      <c r="W1876" s="3">
        <f>IF(ISNUMBER(AVERAGE('20250815_ETF_Options_Exhibits'!W1872:W1876)),AVERAGE('20250815_ETF_Options_Exhibits'!W1872:W1876),"")</f>
        <v/>
      </c>
      <c r="X1876" s="3">
        <f>IF(ISNUMBER(AVERAGE('20250815_ETF_Options_Exhibits'!X1872:X1876)),AVERAGE('20250815_ETF_Options_Exhibits'!X1872:X1876),"")</f>
        <v/>
      </c>
      <c r="Y1876" s="3">
        <f>IF(ISNUMBER(AVERAGE('20250815_ETF_Options_Exhibits'!Y1872:Y1876)),AVERAGE('20250815_ETF_Options_Exhibits'!Y1872:Y1876),"")</f>
        <v/>
      </c>
      <c r="Z1876" s="3">
        <f>IF(ISNUMBER(AVERAGE('20250815_ETF_Options_Exhibits'!Z1872:Z1876)),AVERAGE('20250815_ETF_Options_Exhibits'!Z1872:Z1876),"")</f>
        <v/>
      </c>
      <c r="AA1876" s="3">
        <f>IF(ISNUMBER(AVERAGE('20250815_ETF_Options_Exhibits'!AA1872:AA1876)),AVERAGE('20250815_ETF_Options_Exhibits'!AA1872:AA1876),"")</f>
        <v/>
      </c>
    </row>
    <row r="1877">
      <c r="A1877" s="1" t="n">
        <v>44725</v>
      </c>
      <c r="B1877" s="3">
        <f>IF(ISNUMBER(AVERAGE('20250815_ETF_Options_Exhibits'!B1873:B1877)),AVERAGE('20250815_ETF_Options_Exhibits'!B1873:B1877),"")</f>
        <v/>
      </c>
      <c r="C1877" s="3">
        <f>IF(ISNUMBER(AVERAGE('20250815_ETF_Options_Exhibits'!C1873:C1877)),AVERAGE('20250815_ETF_Options_Exhibits'!C1873:C1877),"")</f>
        <v/>
      </c>
      <c r="D1877" s="3">
        <f>IF(ISNUMBER(AVERAGE('20250815_ETF_Options_Exhibits'!D1873:D1877)),AVERAGE('20250815_ETF_Options_Exhibits'!D1873:D1877),"")</f>
        <v/>
      </c>
      <c r="E1877" s="3">
        <f>IF(ISNUMBER(AVERAGE('20250815_ETF_Options_Exhibits'!E1873:E1877)),AVERAGE('20250815_ETF_Options_Exhibits'!E1873:E1877),"")</f>
        <v/>
      </c>
      <c r="F1877" s="3">
        <f>IF(ISNUMBER(AVERAGE('20250815_ETF_Options_Exhibits'!F1873:F1877)),AVERAGE('20250815_ETF_Options_Exhibits'!F1873:F1877),"")</f>
        <v/>
      </c>
      <c r="G1877" s="3">
        <f>IF(ISNUMBER(AVERAGE('20250815_ETF_Options_Exhibits'!G1873:G1877)),AVERAGE('20250815_ETF_Options_Exhibits'!G1873:G1877),"")</f>
        <v/>
      </c>
      <c r="H1877" s="3">
        <f>IF(ISNUMBER(AVERAGE('20250815_ETF_Options_Exhibits'!H1873:H1877)),AVERAGE('20250815_ETF_Options_Exhibits'!H1873:H1877),"")</f>
        <v/>
      </c>
      <c r="I1877" s="3">
        <f>IF(ISNUMBER(AVERAGE('20250815_ETF_Options_Exhibits'!I1873:I1877)),AVERAGE('20250815_ETF_Options_Exhibits'!I1873:I1877),"")</f>
        <v/>
      </c>
      <c r="J1877" s="3">
        <f>IF(ISNUMBER(AVERAGE('20250815_ETF_Options_Exhibits'!J1873:J1877)),AVERAGE('20250815_ETF_Options_Exhibits'!J1873:J1877),"")</f>
        <v/>
      </c>
      <c r="K1877" s="3">
        <f>IF(ISNUMBER(AVERAGE('20250815_ETF_Options_Exhibits'!K1873:K1877)),AVERAGE('20250815_ETF_Options_Exhibits'!K1873:K1877),"")</f>
        <v/>
      </c>
      <c r="L1877" s="3">
        <f>IF(ISNUMBER(AVERAGE('20250815_ETF_Options_Exhibits'!L1873:L1877)),AVERAGE('20250815_ETF_Options_Exhibits'!L1873:L1877),"")</f>
        <v/>
      </c>
      <c r="M1877" s="3">
        <f>IF(ISNUMBER(AVERAGE('20250815_ETF_Options_Exhibits'!M1873:M1877)),AVERAGE('20250815_ETF_Options_Exhibits'!M1873:M1877),"")</f>
        <v/>
      </c>
      <c r="N1877" s="3">
        <f>IF(ISNUMBER(AVERAGE('20250815_ETF_Options_Exhibits'!N1873:N1877)),AVERAGE('20250815_ETF_Options_Exhibits'!N1873:N1877),"")</f>
        <v/>
      </c>
      <c r="O1877" s="3">
        <f>IF(ISNUMBER(AVERAGE('20250815_ETF_Options_Exhibits'!O1873:O1877)),AVERAGE('20250815_ETF_Options_Exhibits'!O1873:O1877),"")</f>
        <v/>
      </c>
      <c r="P1877" s="3">
        <f>IF(ISNUMBER(AVERAGE('20250815_ETF_Options_Exhibits'!P1873:P1877)),AVERAGE('20250815_ETF_Options_Exhibits'!P1873:P1877),"")</f>
        <v/>
      </c>
      <c r="Q1877" s="3">
        <f>IF(ISNUMBER(AVERAGE('20250815_ETF_Options_Exhibits'!Q1873:Q1877)),AVERAGE('20250815_ETF_Options_Exhibits'!Q1873:Q1877),"")</f>
        <v/>
      </c>
      <c r="R1877" s="3">
        <f>IF(ISNUMBER(AVERAGE('20250815_ETF_Options_Exhibits'!R1873:R1877)),AVERAGE('20250815_ETF_Options_Exhibits'!R1873:R1877),"")</f>
        <v/>
      </c>
      <c r="S1877" s="3">
        <f>IF(ISNUMBER(AVERAGE('20250815_ETF_Options_Exhibits'!S1873:S1877)),AVERAGE('20250815_ETF_Options_Exhibits'!S1873:S1877),"")</f>
        <v/>
      </c>
      <c r="T1877" s="3">
        <f>IF(ISNUMBER(AVERAGE('20250815_ETF_Options_Exhibits'!T1873:T1877)),AVERAGE('20250815_ETF_Options_Exhibits'!T1873:T1877),"")</f>
        <v/>
      </c>
      <c r="U1877" s="3">
        <f>IF(ISNUMBER(AVERAGE('20250815_ETF_Options_Exhibits'!U1873:U1877)),AVERAGE('20250815_ETF_Options_Exhibits'!U1873:U1877),"")</f>
        <v/>
      </c>
      <c r="V1877" s="3">
        <f>IF(ISNUMBER(AVERAGE('20250815_ETF_Options_Exhibits'!V1873:V1877)),AVERAGE('20250815_ETF_Options_Exhibits'!V1873:V1877),"")</f>
        <v/>
      </c>
      <c r="W1877" s="3">
        <f>IF(ISNUMBER(AVERAGE('20250815_ETF_Options_Exhibits'!W1873:W1877)),AVERAGE('20250815_ETF_Options_Exhibits'!W1873:W1877),"")</f>
        <v/>
      </c>
      <c r="X1877" s="3">
        <f>IF(ISNUMBER(AVERAGE('20250815_ETF_Options_Exhibits'!X1873:X1877)),AVERAGE('20250815_ETF_Options_Exhibits'!X1873:X1877),"")</f>
        <v/>
      </c>
      <c r="Y1877" s="3">
        <f>IF(ISNUMBER(AVERAGE('20250815_ETF_Options_Exhibits'!Y1873:Y1877)),AVERAGE('20250815_ETF_Options_Exhibits'!Y1873:Y1877),"")</f>
        <v/>
      </c>
      <c r="Z1877" s="3">
        <f>IF(ISNUMBER(AVERAGE('20250815_ETF_Options_Exhibits'!Z1873:Z1877)),AVERAGE('20250815_ETF_Options_Exhibits'!Z1873:Z1877),"")</f>
        <v/>
      </c>
      <c r="AA1877" s="3">
        <f>IF(ISNUMBER(AVERAGE('20250815_ETF_Options_Exhibits'!AA1873:AA1877)),AVERAGE('20250815_ETF_Options_Exhibits'!AA1873:AA1877),"")</f>
        <v/>
      </c>
    </row>
    <row r="1878">
      <c r="A1878" s="1" t="n">
        <v>44726</v>
      </c>
      <c r="B1878" s="3">
        <f>IF(ISNUMBER(AVERAGE('20250815_ETF_Options_Exhibits'!B1874:B1878)),AVERAGE('20250815_ETF_Options_Exhibits'!B1874:B1878),"")</f>
        <v/>
      </c>
      <c r="C1878" s="3">
        <f>IF(ISNUMBER(AVERAGE('20250815_ETF_Options_Exhibits'!C1874:C1878)),AVERAGE('20250815_ETF_Options_Exhibits'!C1874:C1878),"")</f>
        <v/>
      </c>
      <c r="D1878" s="3">
        <f>IF(ISNUMBER(AVERAGE('20250815_ETF_Options_Exhibits'!D1874:D1878)),AVERAGE('20250815_ETF_Options_Exhibits'!D1874:D1878),"")</f>
        <v/>
      </c>
      <c r="E1878" s="3">
        <f>IF(ISNUMBER(AVERAGE('20250815_ETF_Options_Exhibits'!E1874:E1878)),AVERAGE('20250815_ETF_Options_Exhibits'!E1874:E1878),"")</f>
        <v/>
      </c>
      <c r="F1878" s="3">
        <f>IF(ISNUMBER(AVERAGE('20250815_ETF_Options_Exhibits'!F1874:F1878)),AVERAGE('20250815_ETF_Options_Exhibits'!F1874:F1878),"")</f>
        <v/>
      </c>
      <c r="G1878" s="3">
        <f>IF(ISNUMBER(AVERAGE('20250815_ETF_Options_Exhibits'!G1874:G1878)),AVERAGE('20250815_ETF_Options_Exhibits'!G1874:G1878),"")</f>
        <v/>
      </c>
      <c r="H1878" s="3">
        <f>IF(ISNUMBER(AVERAGE('20250815_ETF_Options_Exhibits'!H1874:H1878)),AVERAGE('20250815_ETF_Options_Exhibits'!H1874:H1878),"")</f>
        <v/>
      </c>
      <c r="I1878" s="3">
        <f>IF(ISNUMBER(AVERAGE('20250815_ETF_Options_Exhibits'!I1874:I1878)),AVERAGE('20250815_ETF_Options_Exhibits'!I1874:I1878),"")</f>
        <v/>
      </c>
      <c r="J1878" s="3">
        <f>IF(ISNUMBER(AVERAGE('20250815_ETF_Options_Exhibits'!J1874:J1878)),AVERAGE('20250815_ETF_Options_Exhibits'!J1874:J1878),"")</f>
        <v/>
      </c>
      <c r="K1878" s="3">
        <f>IF(ISNUMBER(AVERAGE('20250815_ETF_Options_Exhibits'!K1874:K1878)),AVERAGE('20250815_ETF_Options_Exhibits'!K1874:K1878),"")</f>
        <v/>
      </c>
      <c r="L1878" s="3">
        <f>IF(ISNUMBER(AVERAGE('20250815_ETF_Options_Exhibits'!L1874:L1878)),AVERAGE('20250815_ETF_Options_Exhibits'!L1874:L1878),"")</f>
        <v/>
      </c>
      <c r="M1878" s="3">
        <f>IF(ISNUMBER(AVERAGE('20250815_ETF_Options_Exhibits'!M1874:M1878)),AVERAGE('20250815_ETF_Options_Exhibits'!M1874:M1878),"")</f>
        <v/>
      </c>
      <c r="N1878" s="3">
        <f>IF(ISNUMBER(AVERAGE('20250815_ETF_Options_Exhibits'!N1874:N1878)),AVERAGE('20250815_ETF_Options_Exhibits'!N1874:N1878),"")</f>
        <v/>
      </c>
      <c r="O1878" s="3">
        <f>IF(ISNUMBER(AVERAGE('20250815_ETF_Options_Exhibits'!O1874:O1878)),AVERAGE('20250815_ETF_Options_Exhibits'!O1874:O1878),"")</f>
        <v/>
      </c>
      <c r="P1878" s="3">
        <f>IF(ISNUMBER(AVERAGE('20250815_ETF_Options_Exhibits'!P1874:P1878)),AVERAGE('20250815_ETF_Options_Exhibits'!P1874:P1878),"")</f>
        <v/>
      </c>
      <c r="Q1878" s="3">
        <f>IF(ISNUMBER(AVERAGE('20250815_ETF_Options_Exhibits'!Q1874:Q1878)),AVERAGE('20250815_ETF_Options_Exhibits'!Q1874:Q1878),"")</f>
        <v/>
      </c>
      <c r="R1878" s="3">
        <f>IF(ISNUMBER(AVERAGE('20250815_ETF_Options_Exhibits'!R1874:R1878)),AVERAGE('20250815_ETF_Options_Exhibits'!R1874:R1878),"")</f>
        <v/>
      </c>
      <c r="S1878" s="3">
        <f>IF(ISNUMBER(AVERAGE('20250815_ETF_Options_Exhibits'!S1874:S1878)),AVERAGE('20250815_ETF_Options_Exhibits'!S1874:S1878),"")</f>
        <v/>
      </c>
      <c r="T1878" s="3">
        <f>IF(ISNUMBER(AVERAGE('20250815_ETF_Options_Exhibits'!T1874:T1878)),AVERAGE('20250815_ETF_Options_Exhibits'!T1874:T1878),"")</f>
        <v/>
      </c>
      <c r="U1878" s="3">
        <f>IF(ISNUMBER(AVERAGE('20250815_ETF_Options_Exhibits'!U1874:U1878)),AVERAGE('20250815_ETF_Options_Exhibits'!U1874:U1878),"")</f>
        <v/>
      </c>
      <c r="V1878" s="3">
        <f>IF(ISNUMBER(AVERAGE('20250815_ETF_Options_Exhibits'!V1874:V1878)),AVERAGE('20250815_ETF_Options_Exhibits'!V1874:V1878),"")</f>
        <v/>
      </c>
      <c r="W1878" s="3">
        <f>IF(ISNUMBER(AVERAGE('20250815_ETF_Options_Exhibits'!W1874:W1878)),AVERAGE('20250815_ETF_Options_Exhibits'!W1874:W1878),"")</f>
        <v/>
      </c>
      <c r="X1878" s="3">
        <f>IF(ISNUMBER(AVERAGE('20250815_ETF_Options_Exhibits'!X1874:X1878)),AVERAGE('20250815_ETF_Options_Exhibits'!X1874:X1878),"")</f>
        <v/>
      </c>
      <c r="Y1878" s="3">
        <f>IF(ISNUMBER(AVERAGE('20250815_ETF_Options_Exhibits'!Y1874:Y1878)),AVERAGE('20250815_ETF_Options_Exhibits'!Y1874:Y1878),"")</f>
        <v/>
      </c>
      <c r="Z1878" s="3">
        <f>IF(ISNUMBER(AVERAGE('20250815_ETF_Options_Exhibits'!Z1874:Z1878)),AVERAGE('20250815_ETF_Options_Exhibits'!Z1874:Z1878),"")</f>
        <v/>
      </c>
      <c r="AA1878" s="3">
        <f>IF(ISNUMBER(AVERAGE('20250815_ETF_Options_Exhibits'!AA1874:AA1878)),AVERAGE('20250815_ETF_Options_Exhibits'!AA1874:AA1878),"")</f>
        <v/>
      </c>
    </row>
    <row r="1879">
      <c r="A1879" s="1" t="n">
        <v>44727</v>
      </c>
      <c r="B1879" s="3">
        <f>IF(ISNUMBER(AVERAGE('20250815_ETF_Options_Exhibits'!B1875:B1879)),AVERAGE('20250815_ETF_Options_Exhibits'!B1875:B1879),"")</f>
        <v/>
      </c>
      <c r="C1879" s="3">
        <f>IF(ISNUMBER(AVERAGE('20250815_ETF_Options_Exhibits'!C1875:C1879)),AVERAGE('20250815_ETF_Options_Exhibits'!C1875:C1879),"")</f>
        <v/>
      </c>
      <c r="D1879" s="3">
        <f>IF(ISNUMBER(AVERAGE('20250815_ETF_Options_Exhibits'!D1875:D1879)),AVERAGE('20250815_ETF_Options_Exhibits'!D1875:D1879),"")</f>
        <v/>
      </c>
      <c r="E1879" s="3">
        <f>IF(ISNUMBER(AVERAGE('20250815_ETF_Options_Exhibits'!E1875:E1879)),AVERAGE('20250815_ETF_Options_Exhibits'!E1875:E1879),"")</f>
        <v/>
      </c>
      <c r="F1879" s="3">
        <f>IF(ISNUMBER(AVERAGE('20250815_ETF_Options_Exhibits'!F1875:F1879)),AVERAGE('20250815_ETF_Options_Exhibits'!F1875:F1879),"")</f>
        <v/>
      </c>
      <c r="G1879" s="3">
        <f>IF(ISNUMBER(AVERAGE('20250815_ETF_Options_Exhibits'!G1875:G1879)),AVERAGE('20250815_ETF_Options_Exhibits'!G1875:G1879),"")</f>
        <v/>
      </c>
      <c r="H1879" s="3">
        <f>IF(ISNUMBER(AVERAGE('20250815_ETF_Options_Exhibits'!H1875:H1879)),AVERAGE('20250815_ETF_Options_Exhibits'!H1875:H1879),"")</f>
        <v/>
      </c>
      <c r="I1879" s="3">
        <f>IF(ISNUMBER(AVERAGE('20250815_ETF_Options_Exhibits'!I1875:I1879)),AVERAGE('20250815_ETF_Options_Exhibits'!I1875:I1879),"")</f>
        <v/>
      </c>
      <c r="J1879" s="3">
        <f>IF(ISNUMBER(AVERAGE('20250815_ETF_Options_Exhibits'!J1875:J1879)),AVERAGE('20250815_ETF_Options_Exhibits'!J1875:J1879),"")</f>
        <v/>
      </c>
      <c r="K1879" s="3">
        <f>IF(ISNUMBER(AVERAGE('20250815_ETF_Options_Exhibits'!K1875:K1879)),AVERAGE('20250815_ETF_Options_Exhibits'!K1875:K1879),"")</f>
        <v/>
      </c>
      <c r="L1879" s="3">
        <f>IF(ISNUMBER(AVERAGE('20250815_ETF_Options_Exhibits'!L1875:L1879)),AVERAGE('20250815_ETF_Options_Exhibits'!L1875:L1879),"")</f>
        <v/>
      </c>
      <c r="M1879" s="3">
        <f>IF(ISNUMBER(AVERAGE('20250815_ETF_Options_Exhibits'!M1875:M1879)),AVERAGE('20250815_ETF_Options_Exhibits'!M1875:M1879),"")</f>
        <v/>
      </c>
      <c r="N1879" s="3">
        <f>IF(ISNUMBER(AVERAGE('20250815_ETF_Options_Exhibits'!N1875:N1879)),AVERAGE('20250815_ETF_Options_Exhibits'!N1875:N1879),"")</f>
        <v/>
      </c>
      <c r="O1879" s="3">
        <f>IF(ISNUMBER(AVERAGE('20250815_ETF_Options_Exhibits'!O1875:O1879)),AVERAGE('20250815_ETF_Options_Exhibits'!O1875:O1879),"")</f>
        <v/>
      </c>
      <c r="P1879" s="3">
        <f>IF(ISNUMBER(AVERAGE('20250815_ETF_Options_Exhibits'!P1875:P1879)),AVERAGE('20250815_ETF_Options_Exhibits'!P1875:P1879),"")</f>
        <v/>
      </c>
      <c r="Q1879" s="3">
        <f>IF(ISNUMBER(AVERAGE('20250815_ETF_Options_Exhibits'!Q1875:Q1879)),AVERAGE('20250815_ETF_Options_Exhibits'!Q1875:Q1879),"")</f>
        <v/>
      </c>
      <c r="R1879" s="3">
        <f>IF(ISNUMBER(AVERAGE('20250815_ETF_Options_Exhibits'!R1875:R1879)),AVERAGE('20250815_ETF_Options_Exhibits'!R1875:R1879),"")</f>
        <v/>
      </c>
      <c r="S1879" s="3">
        <f>IF(ISNUMBER(AVERAGE('20250815_ETF_Options_Exhibits'!S1875:S1879)),AVERAGE('20250815_ETF_Options_Exhibits'!S1875:S1879),"")</f>
        <v/>
      </c>
      <c r="T1879" s="3">
        <f>IF(ISNUMBER(AVERAGE('20250815_ETF_Options_Exhibits'!T1875:T1879)),AVERAGE('20250815_ETF_Options_Exhibits'!T1875:T1879),"")</f>
        <v/>
      </c>
      <c r="U1879" s="3">
        <f>IF(ISNUMBER(AVERAGE('20250815_ETF_Options_Exhibits'!U1875:U1879)),AVERAGE('20250815_ETF_Options_Exhibits'!U1875:U1879),"")</f>
        <v/>
      </c>
      <c r="V1879" s="3">
        <f>IF(ISNUMBER(AVERAGE('20250815_ETF_Options_Exhibits'!V1875:V1879)),AVERAGE('20250815_ETF_Options_Exhibits'!V1875:V1879),"")</f>
        <v/>
      </c>
      <c r="W1879" s="3">
        <f>IF(ISNUMBER(AVERAGE('20250815_ETF_Options_Exhibits'!W1875:W1879)),AVERAGE('20250815_ETF_Options_Exhibits'!W1875:W1879),"")</f>
        <v/>
      </c>
      <c r="X1879" s="3">
        <f>IF(ISNUMBER(AVERAGE('20250815_ETF_Options_Exhibits'!X1875:X1879)),AVERAGE('20250815_ETF_Options_Exhibits'!X1875:X1879),"")</f>
        <v/>
      </c>
      <c r="Y1879" s="3">
        <f>IF(ISNUMBER(AVERAGE('20250815_ETF_Options_Exhibits'!Y1875:Y1879)),AVERAGE('20250815_ETF_Options_Exhibits'!Y1875:Y1879),"")</f>
        <v/>
      </c>
      <c r="Z1879" s="3">
        <f>IF(ISNUMBER(AVERAGE('20250815_ETF_Options_Exhibits'!Z1875:Z1879)),AVERAGE('20250815_ETF_Options_Exhibits'!Z1875:Z1879),"")</f>
        <v/>
      </c>
      <c r="AA1879" s="3">
        <f>IF(ISNUMBER(AVERAGE('20250815_ETF_Options_Exhibits'!AA1875:AA1879)),AVERAGE('20250815_ETF_Options_Exhibits'!AA1875:AA1879),"")</f>
        <v/>
      </c>
    </row>
    <row r="1880">
      <c r="A1880" s="1" t="n">
        <v>44728</v>
      </c>
      <c r="B1880" s="3">
        <f>IF(ISNUMBER(AVERAGE('20250815_ETF_Options_Exhibits'!B1876:B1880)),AVERAGE('20250815_ETF_Options_Exhibits'!B1876:B1880),"")</f>
        <v/>
      </c>
      <c r="C1880" s="3">
        <f>IF(ISNUMBER(AVERAGE('20250815_ETF_Options_Exhibits'!C1876:C1880)),AVERAGE('20250815_ETF_Options_Exhibits'!C1876:C1880),"")</f>
        <v/>
      </c>
      <c r="D1880" s="3">
        <f>IF(ISNUMBER(AVERAGE('20250815_ETF_Options_Exhibits'!D1876:D1880)),AVERAGE('20250815_ETF_Options_Exhibits'!D1876:D1880),"")</f>
        <v/>
      </c>
      <c r="E1880" s="3">
        <f>IF(ISNUMBER(AVERAGE('20250815_ETF_Options_Exhibits'!E1876:E1880)),AVERAGE('20250815_ETF_Options_Exhibits'!E1876:E1880),"")</f>
        <v/>
      </c>
      <c r="F1880" s="3">
        <f>IF(ISNUMBER(AVERAGE('20250815_ETF_Options_Exhibits'!F1876:F1880)),AVERAGE('20250815_ETF_Options_Exhibits'!F1876:F1880),"")</f>
        <v/>
      </c>
      <c r="G1880" s="3">
        <f>IF(ISNUMBER(AVERAGE('20250815_ETF_Options_Exhibits'!G1876:G1880)),AVERAGE('20250815_ETF_Options_Exhibits'!G1876:G1880),"")</f>
        <v/>
      </c>
      <c r="H1880" s="3">
        <f>IF(ISNUMBER(AVERAGE('20250815_ETF_Options_Exhibits'!H1876:H1880)),AVERAGE('20250815_ETF_Options_Exhibits'!H1876:H1880),"")</f>
        <v/>
      </c>
      <c r="I1880" s="3">
        <f>IF(ISNUMBER(AVERAGE('20250815_ETF_Options_Exhibits'!I1876:I1880)),AVERAGE('20250815_ETF_Options_Exhibits'!I1876:I1880),"")</f>
        <v/>
      </c>
      <c r="J1880" s="3">
        <f>IF(ISNUMBER(AVERAGE('20250815_ETF_Options_Exhibits'!J1876:J1880)),AVERAGE('20250815_ETF_Options_Exhibits'!J1876:J1880),"")</f>
        <v/>
      </c>
      <c r="K1880" s="3">
        <f>IF(ISNUMBER(AVERAGE('20250815_ETF_Options_Exhibits'!K1876:K1880)),AVERAGE('20250815_ETF_Options_Exhibits'!K1876:K1880),"")</f>
        <v/>
      </c>
      <c r="L1880" s="3">
        <f>IF(ISNUMBER(AVERAGE('20250815_ETF_Options_Exhibits'!L1876:L1880)),AVERAGE('20250815_ETF_Options_Exhibits'!L1876:L1880),"")</f>
        <v/>
      </c>
      <c r="M1880" s="3">
        <f>IF(ISNUMBER(AVERAGE('20250815_ETF_Options_Exhibits'!M1876:M1880)),AVERAGE('20250815_ETF_Options_Exhibits'!M1876:M1880),"")</f>
        <v/>
      </c>
      <c r="N1880" s="3">
        <f>IF(ISNUMBER(AVERAGE('20250815_ETF_Options_Exhibits'!N1876:N1880)),AVERAGE('20250815_ETF_Options_Exhibits'!N1876:N1880),"")</f>
        <v/>
      </c>
      <c r="O1880" s="3">
        <f>IF(ISNUMBER(AVERAGE('20250815_ETF_Options_Exhibits'!O1876:O1880)),AVERAGE('20250815_ETF_Options_Exhibits'!O1876:O1880),"")</f>
        <v/>
      </c>
      <c r="P1880" s="3">
        <f>IF(ISNUMBER(AVERAGE('20250815_ETF_Options_Exhibits'!P1876:P1880)),AVERAGE('20250815_ETF_Options_Exhibits'!P1876:P1880),"")</f>
        <v/>
      </c>
      <c r="Q1880" s="3">
        <f>IF(ISNUMBER(AVERAGE('20250815_ETF_Options_Exhibits'!Q1876:Q1880)),AVERAGE('20250815_ETF_Options_Exhibits'!Q1876:Q1880),"")</f>
        <v/>
      </c>
      <c r="R1880" s="3">
        <f>IF(ISNUMBER(AVERAGE('20250815_ETF_Options_Exhibits'!R1876:R1880)),AVERAGE('20250815_ETF_Options_Exhibits'!R1876:R1880),"")</f>
        <v/>
      </c>
      <c r="S1880" s="3">
        <f>IF(ISNUMBER(AVERAGE('20250815_ETF_Options_Exhibits'!S1876:S1880)),AVERAGE('20250815_ETF_Options_Exhibits'!S1876:S1880),"")</f>
        <v/>
      </c>
      <c r="T1880" s="3">
        <f>IF(ISNUMBER(AVERAGE('20250815_ETF_Options_Exhibits'!T1876:T1880)),AVERAGE('20250815_ETF_Options_Exhibits'!T1876:T1880),"")</f>
        <v/>
      </c>
      <c r="U1880" s="3">
        <f>IF(ISNUMBER(AVERAGE('20250815_ETF_Options_Exhibits'!U1876:U1880)),AVERAGE('20250815_ETF_Options_Exhibits'!U1876:U1880),"")</f>
        <v/>
      </c>
      <c r="V1880" s="3">
        <f>IF(ISNUMBER(AVERAGE('20250815_ETF_Options_Exhibits'!V1876:V1880)),AVERAGE('20250815_ETF_Options_Exhibits'!V1876:V1880),"")</f>
        <v/>
      </c>
      <c r="W1880" s="3">
        <f>IF(ISNUMBER(AVERAGE('20250815_ETF_Options_Exhibits'!W1876:W1880)),AVERAGE('20250815_ETF_Options_Exhibits'!W1876:W1880),"")</f>
        <v/>
      </c>
      <c r="X1880" s="3">
        <f>IF(ISNUMBER(AVERAGE('20250815_ETF_Options_Exhibits'!X1876:X1880)),AVERAGE('20250815_ETF_Options_Exhibits'!X1876:X1880),"")</f>
        <v/>
      </c>
      <c r="Y1880" s="3">
        <f>IF(ISNUMBER(AVERAGE('20250815_ETF_Options_Exhibits'!Y1876:Y1880)),AVERAGE('20250815_ETF_Options_Exhibits'!Y1876:Y1880),"")</f>
        <v/>
      </c>
      <c r="Z1880" s="3">
        <f>IF(ISNUMBER(AVERAGE('20250815_ETF_Options_Exhibits'!Z1876:Z1880)),AVERAGE('20250815_ETF_Options_Exhibits'!Z1876:Z1880),"")</f>
        <v/>
      </c>
      <c r="AA1880" s="3">
        <f>IF(ISNUMBER(AVERAGE('20250815_ETF_Options_Exhibits'!AA1876:AA1880)),AVERAGE('20250815_ETF_Options_Exhibits'!AA1876:AA1880),"")</f>
        <v/>
      </c>
    </row>
    <row r="1881">
      <c r="A1881" s="1" t="n">
        <v>44729</v>
      </c>
      <c r="B1881" s="3">
        <f>IF(ISNUMBER(AVERAGE('20250815_ETF_Options_Exhibits'!B1877:B1881)),AVERAGE('20250815_ETF_Options_Exhibits'!B1877:B1881),"")</f>
        <v/>
      </c>
      <c r="C1881" s="3">
        <f>IF(ISNUMBER(AVERAGE('20250815_ETF_Options_Exhibits'!C1877:C1881)),AVERAGE('20250815_ETF_Options_Exhibits'!C1877:C1881),"")</f>
        <v/>
      </c>
      <c r="D1881" s="3">
        <f>IF(ISNUMBER(AVERAGE('20250815_ETF_Options_Exhibits'!D1877:D1881)),AVERAGE('20250815_ETF_Options_Exhibits'!D1877:D1881),"")</f>
        <v/>
      </c>
      <c r="E1881" s="3">
        <f>IF(ISNUMBER(AVERAGE('20250815_ETF_Options_Exhibits'!E1877:E1881)),AVERAGE('20250815_ETF_Options_Exhibits'!E1877:E1881),"")</f>
        <v/>
      </c>
      <c r="F1881" s="3">
        <f>IF(ISNUMBER(AVERAGE('20250815_ETF_Options_Exhibits'!F1877:F1881)),AVERAGE('20250815_ETF_Options_Exhibits'!F1877:F1881),"")</f>
        <v/>
      </c>
      <c r="G1881" s="3">
        <f>IF(ISNUMBER(AVERAGE('20250815_ETF_Options_Exhibits'!G1877:G1881)),AVERAGE('20250815_ETF_Options_Exhibits'!G1877:G1881),"")</f>
        <v/>
      </c>
      <c r="H1881" s="3">
        <f>IF(ISNUMBER(AVERAGE('20250815_ETF_Options_Exhibits'!H1877:H1881)),AVERAGE('20250815_ETF_Options_Exhibits'!H1877:H1881),"")</f>
        <v/>
      </c>
      <c r="I1881" s="3">
        <f>IF(ISNUMBER(AVERAGE('20250815_ETF_Options_Exhibits'!I1877:I1881)),AVERAGE('20250815_ETF_Options_Exhibits'!I1877:I1881),"")</f>
        <v/>
      </c>
      <c r="J1881" s="3">
        <f>IF(ISNUMBER(AVERAGE('20250815_ETF_Options_Exhibits'!J1877:J1881)),AVERAGE('20250815_ETF_Options_Exhibits'!J1877:J1881),"")</f>
        <v/>
      </c>
      <c r="K1881" s="3">
        <f>IF(ISNUMBER(AVERAGE('20250815_ETF_Options_Exhibits'!K1877:K1881)),AVERAGE('20250815_ETF_Options_Exhibits'!K1877:K1881),"")</f>
        <v/>
      </c>
      <c r="L1881" s="3">
        <f>IF(ISNUMBER(AVERAGE('20250815_ETF_Options_Exhibits'!L1877:L1881)),AVERAGE('20250815_ETF_Options_Exhibits'!L1877:L1881),"")</f>
        <v/>
      </c>
      <c r="M1881" s="3">
        <f>IF(ISNUMBER(AVERAGE('20250815_ETF_Options_Exhibits'!M1877:M1881)),AVERAGE('20250815_ETF_Options_Exhibits'!M1877:M1881),"")</f>
        <v/>
      </c>
      <c r="N1881" s="3">
        <f>IF(ISNUMBER(AVERAGE('20250815_ETF_Options_Exhibits'!N1877:N1881)),AVERAGE('20250815_ETF_Options_Exhibits'!N1877:N1881),"")</f>
        <v/>
      </c>
      <c r="O1881" s="3">
        <f>IF(ISNUMBER(AVERAGE('20250815_ETF_Options_Exhibits'!O1877:O1881)),AVERAGE('20250815_ETF_Options_Exhibits'!O1877:O1881),"")</f>
        <v/>
      </c>
      <c r="P1881" s="3">
        <f>IF(ISNUMBER(AVERAGE('20250815_ETF_Options_Exhibits'!P1877:P1881)),AVERAGE('20250815_ETF_Options_Exhibits'!P1877:P1881),"")</f>
        <v/>
      </c>
      <c r="Q1881" s="3">
        <f>IF(ISNUMBER(AVERAGE('20250815_ETF_Options_Exhibits'!Q1877:Q1881)),AVERAGE('20250815_ETF_Options_Exhibits'!Q1877:Q1881),"")</f>
        <v/>
      </c>
      <c r="R1881" s="3">
        <f>IF(ISNUMBER(AVERAGE('20250815_ETF_Options_Exhibits'!R1877:R1881)),AVERAGE('20250815_ETF_Options_Exhibits'!R1877:R1881),"")</f>
        <v/>
      </c>
      <c r="S1881" s="3">
        <f>IF(ISNUMBER(AVERAGE('20250815_ETF_Options_Exhibits'!S1877:S1881)),AVERAGE('20250815_ETF_Options_Exhibits'!S1877:S1881),"")</f>
        <v/>
      </c>
      <c r="T1881" s="3">
        <f>IF(ISNUMBER(AVERAGE('20250815_ETF_Options_Exhibits'!T1877:T1881)),AVERAGE('20250815_ETF_Options_Exhibits'!T1877:T1881),"")</f>
        <v/>
      </c>
      <c r="U1881" s="3">
        <f>IF(ISNUMBER(AVERAGE('20250815_ETF_Options_Exhibits'!U1877:U1881)),AVERAGE('20250815_ETF_Options_Exhibits'!U1877:U1881),"")</f>
        <v/>
      </c>
      <c r="V1881" s="3">
        <f>IF(ISNUMBER(AVERAGE('20250815_ETF_Options_Exhibits'!V1877:V1881)),AVERAGE('20250815_ETF_Options_Exhibits'!V1877:V1881),"")</f>
        <v/>
      </c>
      <c r="W1881" s="3">
        <f>IF(ISNUMBER(AVERAGE('20250815_ETF_Options_Exhibits'!W1877:W1881)),AVERAGE('20250815_ETF_Options_Exhibits'!W1877:W1881),"")</f>
        <v/>
      </c>
      <c r="X1881" s="3">
        <f>IF(ISNUMBER(AVERAGE('20250815_ETF_Options_Exhibits'!X1877:X1881)),AVERAGE('20250815_ETF_Options_Exhibits'!X1877:X1881),"")</f>
        <v/>
      </c>
      <c r="Y1881" s="3">
        <f>IF(ISNUMBER(AVERAGE('20250815_ETF_Options_Exhibits'!Y1877:Y1881)),AVERAGE('20250815_ETF_Options_Exhibits'!Y1877:Y1881),"")</f>
        <v/>
      </c>
      <c r="Z1881" s="3">
        <f>IF(ISNUMBER(AVERAGE('20250815_ETF_Options_Exhibits'!Z1877:Z1881)),AVERAGE('20250815_ETF_Options_Exhibits'!Z1877:Z1881),"")</f>
        <v/>
      </c>
      <c r="AA1881" s="3">
        <f>IF(ISNUMBER(AVERAGE('20250815_ETF_Options_Exhibits'!AA1877:AA1881)),AVERAGE('20250815_ETF_Options_Exhibits'!AA1877:AA1881),"")</f>
        <v/>
      </c>
    </row>
    <row r="1882">
      <c r="A1882" s="1" t="n">
        <v>44733</v>
      </c>
      <c r="B1882" s="3">
        <f>IF(ISNUMBER(AVERAGE('20250815_ETF_Options_Exhibits'!B1878:B1882)),AVERAGE('20250815_ETF_Options_Exhibits'!B1878:B1882),"")</f>
        <v/>
      </c>
      <c r="C1882" s="3">
        <f>IF(ISNUMBER(AVERAGE('20250815_ETF_Options_Exhibits'!C1878:C1882)),AVERAGE('20250815_ETF_Options_Exhibits'!C1878:C1882),"")</f>
        <v/>
      </c>
      <c r="D1882" s="3">
        <f>IF(ISNUMBER(AVERAGE('20250815_ETF_Options_Exhibits'!D1878:D1882)),AVERAGE('20250815_ETF_Options_Exhibits'!D1878:D1882),"")</f>
        <v/>
      </c>
      <c r="E1882" s="3">
        <f>IF(ISNUMBER(AVERAGE('20250815_ETF_Options_Exhibits'!E1878:E1882)),AVERAGE('20250815_ETF_Options_Exhibits'!E1878:E1882),"")</f>
        <v/>
      </c>
      <c r="F1882" s="3">
        <f>IF(ISNUMBER(AVERAGE('20250815_ETF_Options_Exhibits'!F1878:F1882)),AVERAGE('20250815_ETF_Options_Exhibits'!F1878:F1882),"")</f>
        <v/>
      </c>
      <c r="G1882" s="3">
        <f>IF(ISNUMBER(AVERAGE('20250815_ETF_Options_Exhibits'!G1878:G1882)),AVERAGE('20250815_ETF_Options_Exhibits'!G1878:G1882),"")</f>
        <v/>
      </c>
      <c r="H1882" s="3">
        <f>IF(ISNUMBER(AVERAGE('20250815_ETF_Options_Exhibits'!H1878:H1882)),AVERAGE('20250815_ETF_Options_Exhibits'!H1878:H1882),"")</f>
        <v/>
      </c>
      <c r="I1882" s="3">
        <f>IF(ISNUMBER(AVERAGE('20250815_ETF_Options_Exhibits'!I1878:I1882)),AVERAGE('20250815_ETF_Options_Exhibits'!I1878:I1882),"")</f>
        <v/>
      </c>
      <c r="J1882" s="3">
        <f>IF(ISNUMBER(AVERAGE('20250815_ETF_Options_Exhibits'!J1878:J1882)),AVERAGE('20250815_ETF_Options_Exhibits'!J1878:J1882),"")</f>
        <v/>
      </c>
      <c r="K1882" s="3">
        <f>IF(ISNUMBER(AVERAGE('20250815_ETF_Options_Exhibits'!K1878:K1882)),AVERAGE('20250815_ETF_Options_Exhibits'!K1878:K1882),"")</f>
        <v/>
      </c>
      <c r="L1882" s="3">
        <f>IF(ISNUMBER(AVERAGE('20250815_ETF_Options_Exhibits'!L1878:L1882)),AVERAGE('20250815_ETF_Options_Exhibits'!L1878:L1882),"")</f>
        <v/>
      </c>
      <c r="M1882" s="3">
        <f>IF(ISNUMBER(AVERAGE('20250815_ETF_Options_Exhibits'!M1878:M1882)),AVERAGE('20250815_ETF_Options_Exhibits'!M1878:M1882),"")</f>
        <v/>
      </c>
      <c r="N1882" s="3">
        <f>IF(ISNUMBER(AVERAGE('20250815_ETF_Options_Exhibits'!N1878:N1882)),AVERAGE('20250815_ETF_Options_Exhibits'!N1878:N1882),"")</f>
        <v/>
      </c>
      <c r="O1882" s="3">
        <f>IF(ISNUMBER(AVERAGE('20250815_ETF_Options_Exhibits'!O1878:O1882)),AVERAGE('20250815_ETF_Options_Exhibits'!O1878:O1882),"")</f>
        <v/>
      </c>
      <c r="P1882" s="3">
        <f>IF(ISNUMBER(AVERAGE('20250815_ETF_Options_Exhibits'!P1878:P1882)),AVERAGE('20250815_ETF_Options_Exhibits'!P1878:P1882),"")</f>
        <v/>
      </c>
      <c r="Q1882" s="3">
        <f>IF(ISNUMBER(AVERAGE('20250815_ETF_Options_Exhibits'!Q1878:Q1882)),AVERAGE('20250815_ETF_Options_Exhibits'!Q1878:Q1882),"")</f>
        <v/>
      </c>
      <c r="R1882" s="3">
        <f>IF(ISNUMBER(AVERAGE('20250815_ETF_Options_Exhibits'!R1878:R1882)),AVERAGE('20250815_ETF_Options_Exhibits'!R1878:R1882),"")</f>
        <v/>
      </c>
      <c r="S1882" s="3">
        <f>IF(ISNUMBER(AVERAGE('20250815_ETF_Options_Exhibits'!S1878:S1882)),AVERAGE('20250815_ETF_Options_Exhibits'!S1878:S1882),"")</f>
        <v/>
      </c>
      <c r="T1882" s="3">
        <f>IF(ISNUMBER(AVERAGE('20250815_ETF_Options_Exhibits'!T1878:T1882)),AVERAGE('20250815_ETF_Options_Exhibits'!T1878:T1882),"")</f>
        <v/>
      </c>
      <c r="U1882" s="3">
        <f>IF(ISNUMBER(AVERAGE('20250815_ETF_Options_Exhibits'!U1878:U1882)),AVERAGE('20250815_ETF_Options_Exhibits'!U1878:U1882),"")</f>
        <v/>
      </c>
      <c r="V1882" s="3">
        <f>IF(ISNUMBER(AVERAGE('20250815_ETF_Options_Exhibits'!V1878:V1882)),AVERAGE('20250815_ETF_Options_Exhibits'!V1878:V1882),"")</f>
        <v/>
      </c>
      <c r="W1882" s="3">
        <f>IF(ISNUMBER(AVERAGE('20250815_ETF_Options_Exhibits'!W1878:W1882)),AVERAGE('20250815_ETF_Options_Exhibits'!W1878:W1882),"")</f>
        <v/>
      </c>
      <c r="X1882" s="3">
        <f>IF(ISNUMBER(AVERAGE('20250815_ETF_Options_Exhibits'!X1878:X1882)),AVERAGE('20250815_ETF_Options_Exhibits'!X1878:X1882),"")</f>
        <v/>
      </c>
      <c r="Y1882" s="3">
        <f>IF(ISNUMBER(AVERAGE('20250815_ETF_Options_Exhibits'!Y1878:Y1882)),AVERAGE('20250815_ETF_Options_Exhibits'!Y1878:Y1882),"")</f>
        <v/>
      </c>
      <c r="Z1882" s="3">
        <f>IF(ISNUMBER(AVERAGE('20250815_ETF_Options_Exhibits'!Z1878:Z1882)),AVERAGE('20250815_ETF_Options_Exhibits'!Z1878:Z1882),"")</f>
        <v/>
      </c>
      <c r="AA1882" s="3">
        <f>IF(ISNUMBER(AVERAGE('20250815_ETF_Options_Exhibits'!AA1878:AA1882)),AVERAGE('20250815_ETF_Options_Exhibits'!AA1878:AA1882),"")</f>
        <v/>
      </c>
    </row>
    <row r="1883">
      <c r="A1883" s="1" t="n">
        <v>44734</v>
      </c>
      <c r="B1883" s="3">
        <f>IF(ISNUMBER(AVERAGE('20250815_ETF_Options_Exhibits'!B1879:B1883)),AVERAGE('20250815_ETF_Options_Exhibits'!B1879:B1883),"")</f>
        <v/>
      </c>
      <c r="C1883" s="3">
        <f>IF(ISNUMBER(AVERAGE('20250815_ETF_Options_Exhibits'!C1879:C1883)),AVERAGE('20250815_ETF_Options_Exhibits'!C1879:C1883),"")</f>
        <v/>
      </c>
      <c r="D1883" s="3">
        <f>IF(ISNUMBER(AVERAGE('20250815_ETF_Options_Exhibits'!D1879:D1883)),AVERAGE('20250815_ETF_Options_Exhibits'!D1879:D1883),"")</f>
        <v/>
      </c>
      <c r="E1883" s="3">
        <f>IF(ISNUMBER(AVERAGE('20250815_ETF_Options_Exhibits'!E1879:E1883)),AVERAGE('20250815_ETF_Options_Exhibits'!E1879:E1883),"")</f>
        <v/>
      </c>
      <c r="F1883" s="3">
        <f>IF(ISNUMBER(AVERAGE('20250815_ETF_Options_Exhibits'!F1879:F1883)),AVERAGE('20250815_ETF_Options_Exhibits'!F1879:F1883),"")</f>
        <v/>
      </c>
      <c r="G1883" s="3">
        <f>IF(ISNUMBER(AVERAGE('20250815_ETF_Options_Exhibits'!G1879:G1883)),AVERAGE('20250815_ETF_Options_Exhibits'!G1879:G1883),"")</f>
        <v/>
      </c>
      <c r="H1883" s="3">
        <f>IF(ISNUMBER(AVERAGE('20250815_ETF_Options_Exhibits'!H1879:H1883)),AVERAGE('20250815_ETF_Options_Exhibits'!H1879:H1883),"")</f>
        <v/>
      </c>
      <c r="I1883" s="3">
        <f>IF(ISNUMBER(AVERAGE('20250815_ETF_Options_Exhibits'!I1879:I1883)),AVERAGE('20250815_ETF_Options_Exhibits'!I1879:I1883),"")</f>
        <v/>
      </c>
      <c r="J1883" s="3">
        <f>IF(ISNUMBER(AVERAGE('20250815_ETF_Options_Exhibits'!J1879:J1883)),AVERAGE('20250815_ETF_Options_Exhibits'!J1879:J1883),"")</f>
        <v/>
      </c>
      <c r="K1883" s="3">
        <f>IF(ISNUMBER(AVERAGE('20250815_ETF_Options_Exhibits'!K1879:K1883)),AVERAGE('20250815_ETF_Options_Exhibits'!K1879:K1883),"")</f>
        <v/>
      </c>
      <c r="L1883" s="3">
        <f>IF(ISNUMBER(AVERAGE('20250815_ETF_Options_Exhibits'!L1879:L1883)),AVERAGE('20250815_ETF_Options_Exhibits'!L1879:L1883),"")</f>
        <v/>
      </c>
      <c r="M1883" s="3">
        <f>IF(ISNUMBER(AVERAGE('20250815_ETF_Options_Exhibits'!M1879:M1883)),AVERAGE('20250815_ETF_Options_Exhibits'!M1879:M1883),"")</f>
        <v/>
      </c>
      <c r="N1883" s="3">
        <f>IF(ISNUMBER(AVERAGE('20250815_ETF_Options_Exhibits'!N1879:N1883)),AVERAGE('20250815_ETF_Options_Exhibits'!N1879:N1883),"")</f>
        <v/>
      </c>
      <c r="O1883" s="3">
        <f>IF(ISNUMBER(AVERAGE('20250815_ETF_Options_Exhibits'!O1879:O1883)),AVERAGE('20250815_ETF_Options_Exhibits'!O1879:O1883),"")</f>
        <v/>
      </c>
      <c r="P1883" s="3">
        <f>IF(ISNUMBER(AVERAGE('20250815_ETF_Options_Exhibits'!P1879:P1883)),AVERAGE('20250815_ETF_Options_Exhibits'!P1879:P1883),"")</f>
        <v/>
      </c>
      <c r="Q1883" s="3">
        <f>IF(ISNUMBER(AVERAGE('20250815_ETF_Options_Exhibits'!Q1879:Q1883)),AVERAGE('20250815_ETF_Options_Exhibits'!Q1879:Q1883),"")</f>
        <v/>
      </c>
      <c r="R1883" s="3">
        <f>IF(ISNUMBER(AVERAGE('20250815_ETF_Options_Exhibits'!R1879:R1883)),AVERAGE('20250815_ETF_Options_Exhibits'!R1879:R1883),"")</f>
        <v/>
      </c>
      <c r="S1883" s="3">
        <f>IF(ISNUMBER(AVERAGE('20250815_ETF_Options_Exhibits'!S1879:S1883)),AVERAGE('20250815_ETF_Options_Exhibits'!S1879:S1883),"")</f>
        <v/>
      </c>
      <c r="T1883" s="3">
        <f>IF(ISNUMBER(AVERAGE('20250815_ETF_Options_Exhibits'!T1879:T1883)),AVERAGE('20250815_ETF_Options_Exhibits'!T1879:T1883),"")</f>
        <v/>
      </c>
      <c r="U1883" s="3">
        <f>IF(ISNUMBER(AVERAGE('20250815_ETF_Options_Exhibits'!U1879:U1883)),AVERAGE('20250815_ETF_Options_Exhibits'!U1879:U1883),"")</f>
        <v/>
      </c>
      <c r="V1883" s="3">
        <f>IF(ISNUMBER(AVERAGE('20250815_ETF_Options_Exhibits'!V1879:V1883)),AVERAGE('20250815_ETF_Options_Exhibits'!V1879:V1883),"")</f>
        <v/>
      </c>
      <c r="W1883" s="3">
        <f>IF(ISNUMBER(AVERAGE('20250815_ETF_Options_Exhibits'!W1879:W1883)),AVERAGE('20250815_ETF_Options_Exhibits'!W1879:W1883),"")</f>
        <v/>
      </c>
      <c r="X1883" s="3">
        <f>IF(ISNUMBER(AVERAGE('20250815_ETF_Options_Exhibits'!X1879:X1883)),AVERAGE('20250815_ETF_Options_Exhibits'!X1879:X1883),"")</f>
        <v/>
      </c>
      <c r="Y1883" s="3">
        <f>IF(ISNUMBER(AVERAGE('20250815_ETF_Options_Exhibits'!Y1879:Y1883)),AVERAGE('20250815_ETF_Options_Exhibits'!Y1879:Y1883),"")</f>
        <v/>
      </c>
      <c r="Z1883" s="3">
        <f>IF(ISNUMBER(AVERAGE('20250815_ETF_Options_Exhibits'!Z1879:Z1883)),AVERAGE('20250815_ETF_Options_Exhibits'!Z1879:Z1883),"")</f>
        <v/>
      </c>
      <c r="AA1883" s="3">
        <f>IF(ISNUMBER(AVERAGE('20250815_ETF_Options_Exhibits'!AA1879:AA1883)),AVERAGE('20250815_ETF_Options_Exhibits'!AA1879:AA1883),"")</f>
        <v/>
      </c>
    </row>
    <row r="1884">
      <c r="A1884" s="1" t="n">
        <v>44735</v>
      </c>
      <c r="B1884" s="3">
        <f>IF(ISNUMBER(AVERAGE('20250815_ETF_Options_Exhibits'!B1880:B1884)),AVERAGE('20250815_ETF_Options_Exhibits'!B1880:B1884),"")</f>
        <v/>
      </c>
      <c r="C1884" s="3">
        <f>IF(ISNUMBER(AVERAGE('20250815_ETF_Options_Exhibits'!C1880:C1884)),AVERAGE('20250815_ETF_Options_Exhibits'!C1880:C1884),"")</f>
        <v/>
      </c>
      <c r="D1884" s="3">
        <f>IF(ISNUMBER(AVERAGE('20250815_ETF_Options_Exhibits'!D1880:D1884)),AVERAGE('20250815_ETF_Options_Exhibits'!D1880:D1884),"")</f>
        <v/>
      </c>
      <c r="E1884" s="3">
        <f>IF(ISNUMBER(AVERAGE('20250815_ETF_Options_Exhibits'!E1880:E1884)),AVERAGE('20250815_ETF_Options_Exhibits'!E1880:E1884),"")</f>
        <v/>
      </c>
      <c r="F1884" s="3">
        <f>IF(ISNUMBER(AVERAGE('20250815_ETF_Options_Exhibits'!F1880:F1884)),AVERAGE('20250815_ETF_Options_Exhibits'!F1880:F1884),"")</f>
        <v/>
      </c>
      <c r="G1884" s="3">
        <f>IF(ISNUMBER(AVERAGE('20250815_ETF_Options_Exhibits'!G1880:G1884)),AVERAGE('20250815_ETF_Options_Exhibits'!G1880:G1884),"")</f>
        <v/>
      </c>
      <c r="H1884" s="3">
        <f>IF(ISNUMBER(AVERAGE('20250815_ETF_Options_Exhibits'!H1880:H1884)),AVERAGE('20250815_ETF_Options_Exhibits'!H1880:H1884),"")</f>
        <v/>
      </c>
      <c r="I1884" s="3">
        <f>IF(ISNUMBER(AVERAGE('20250815_ETF_Options_Exhibits'!I1880:I1884)),AVERAGE('20250815_ETF_Options_Exhibits'!I1880:I1884),"")</f>
        <v/>
      </c>
      <c r="J1884" s="3">
        <f>IF(ISNUMBER(AVERAGE('20250815_ETF_Options_Exhibits'!J1880:J1884)),AVERAGE('20250815_ETF_Options_Exhibits'!J1880:J1884),"")</f>
        <v/>
      </c>
      <c r="K1884" s="3">
        <f>IF(ISNUMBER(AVERAGE('20250815_ETF_Options_Exhibits'!K1880:K1884)),AVERAGE('20250815_ETF_Options_Exhibits'!K1880:K1884),"")</f>
        <v/>
      </c>
      <c r="L1884" s="3">
        <f>IF(ISNUMBER(AVERAGE('20250815_ETF_Options_Exhibits'!L1880:L1884)),AVERAGE('20250815_ETF_Options_Exhibits'!L1880:L1884),"")</f>
        <v/>
      </c>
      <c r="M1884" s="3">
        <f>IF(ISNUMBER(AVERAGE('20250815_ETF_Options_Exhibits'!M1880:M1884)),AVERAGE('20250815_ETF_Options_Exhibits'!M1880:M1884),"")</f>
        <v/>
      </c>
      <c r="N1884" s="3">
        <f>IF(ISNUMBER(AVERAGE('20250815_ETF_Options_Exhibits'!N1880:N1884)),AVERAGE('20250815_ETF_Options_Exhibits'!N1880:N1884),"")</f>
        <v/>
      </c>
      <c r="O1884" s="3">
        <f>IF(ISNUMBER(AVERAGE('20250815_ETF_Options_Exhibits'!O1880:O1884)),AVERAGE('20250815_ETF_Options_Exhibits'!O1880:O1884),"")</f>
        <v/>
      </c>
      <c r="P1884" s="3">
        <f>IF(ISNUMBER(AVERAGE('20250815_ETF_Options_Exhibits'!P1880:P1884)),AVERAGE('20250815_ETF_Options_Exhibits'!P1880:P1884),"")</f>
        <v/>
      </c>
      <c r="Q1884" s="3">
        <f>IF(ISNUMBER(AVERAGE('20250815_ETF_Options_Exhibits'!Q1880:Q1884)),AVERAGE('20250815_ETF_Options_Exhibits'!Q1880:Q1884),"")</f>
        <v/>
      </c>
      <c r="R1884" s="3">
        <f>IF(ISNUMBER(AVERAGE('20250815_ETF_Options_Exhibits'!R1880:R1884)),AVERAGE('20250815_ETF_Options_Exhibits'!R1880:R1884),"")</f>
        <v/>
      </c>
      <c r="S1884" s="3">
        <f>IF(ISNUMBER(AVERAGE('20250815_ETF_Options_Exhibits'!S1880:S1884)),AVERAGE('20250815_ETF_Options_Exhibits'!S1880:S1884),"")</f>
        <v/>
      </c>
      <c r="T1884" s="3">
        <f>IF(ISNUMBER(AVERAGE('20250815_ETF_Options_Exhibits'!T1880:T1884)),AVERAGE('20250815_ETF_Options_Exhibits'!T1880:T1884),"")</f>
        <v/>
      </c>
      <c r="U1884" s="3">
        <f>IF(ISNUMBER(AVERAGE('20250815_ETF_Options_Exhibits'!U1880:U1884)),AVERAGE('20250815_ETF_Options_Exhibits'!U1880:U1884),"")</f>
        <v/>
      </c>
      <c r="V1884" s="3">
        <f>IF(ISNUMBER(AVERAGE('20250815_ETF_Options_Exhibits'!V1880:V1884)),AVERAGE('20250815_ETF_Options_Exhibits'!V1880:V1884),"")</f>
        <v/>
      </c>
      <c r="W1884" s="3">
        <f>IF(ISNUMBER(AVERAGE('20250815_ETF_Options_Exhibits'!W1880:W1884)),AVERAGE('20250815_ETF_Options_Exhibits'!W1880:W1884),"")</f>
        <v/>
      </c>
      <c r="X1884" s="3">
        <f>IF(ISNUMBER(AVERAGE('20250815_ETF_Options_Exhibits'!X1880:X1884)),AVERAGE('20250815_ETF_Options_Exhibits'!X1880:X1884),"")</f>
        <v/>
      </c>
      <c r="Y1884" s="3">
        <f>IF(ISNUMBER(AVERAGE('20250815_ETF_Options_Exhibits'!Y1880:Y1884)),AVERAGE('20250815_ETF_Options_Exhibits'!Y1880:Y1884),"")</f>
        <v/>
      </c>
      <c r="Z1884" s="3">
        <f>IF(ISNUMBER(AVERAGE('20250815_ETF_Options_Exhibits'!Z1880:Z1884)),AVERAGE('20250815_ETF_Options_Exhibits'!Z1880:Z1884),"")</f>
        <v/>
      </c>
      <c r="AA1884" s="3">
        <f>IF(ISNUMBER(AVERAGE('20250815_ETF_Options_Exhibits'!AA1880:AA1884)),AVERAGE('20250815_ETF_Options_Exhibits'!AA1880:AA1884),"")</f>
        <v/>
      </c>
    </row>
    <row r="1885">
      <c r="A1885" s="1" t="n">
        <v>44736</v>
      </c>
      <c r="B1885" s="3">
        <f>IF(ISNUMBER(AVERAGE('20250815_ETF_Options_Exhibits'!B1881:B1885)),AVERAGE('20250815_ETF_Options_Exhibits'!B1881:B1885),"")</f>
        <v/>
      </c>
      <c r="C1885" s="3">
        <f>IF(ISNUMBER(AVERAGE('20250815_ETF_Options_Exhibits'!C1881:C1885)),AVERAGE('20250815_ETF_Options_Exhibits'!C1881:C1885),"")</f>
        <v/>
      </c>
      <c r="D1885" s="3">
        <f>IF(ISNUMBER(AVERAGE('20250815_ETF_Options_Exhibits'!D1881:D1885)),AVERAGE('20250815_ETF_Options_Exhibits'!D1881:D1885),"")</f>
        <v/>
      </c>
      <c r="E1885" s="3">
        <f>IF(ISNUMBER(AVERAGE('20250815_ETF_Options_Exhibits'!E1881:E1885)),AVERAGE('20250815_ETF_Options_Exhibits'!E1881:E1885),"")</f>
        <v/>
      </c>
      <c r="F1885" s="3">
        <f>IF(ISNUMBER(AVERAGE('20250815_ETF_Options_Exhibits'!F1881:F1885)),AVERAGE('20250815_ETF_Options_Exhibits'!F1881:F1885),"")</f>
        <v/>
      </c>
      <c r="G1885" s="3">
        <f>IF(ISNUMBER(AVERAGE('20250815_ETF_Options_Exhibits'!G1881:G1885)),AVERAGE('20250815_ETF_Options_Exhibits'!G1881:G1885),"")</f>
        <v/>
      </c>
      <c r="H1885" s="3">
        <f>IF(ISNUMBER(AVERAGE('20250815_ETF_Options_Exhibits'!H1881:H1885)),AVERAGE('20250815_ETF_Options_Exhibits'!H1881:H1885),"")</f>
        <v/>
      </c>
      <c r="I1885" s="3">
        <f>IF(ISNUMBER(AVERAGE('20250815_ETF_Options_Exhibits'!I1881:I1885)),AVERAGE('20250815_ETF_Options_Exhibits'!I1881:I1885),"")</f>
        <v/>
      </c>
      <c r="J1885" s="3">
        <f>IF(ISNUMBER(AVERAGE('20250815_ETF_Options_Exhibits'!J1881:J1885)),AVERAGE('20250815_ETF_Options_Exhibits'!J1881:J1885),"")</f>
        <v/>
      </c>
      <c r="K1885" s="3">
        <f>IF(ISNUMBER(AVERAGE('20250815_ETF_Options_Exhibits'!K1881:K1885)),AVERAGE('20250815_ETF_Options_Exhibits'!K1881:K1885),"")</f>
        <v/>
      </c>
      <c r="L1885" s="3">
        <f>IF(ISNUMBER(AVERAGE('20250815_ETF_Options_Exhibits'!L1881:L1885)),AVERAGE('20250815_ETF_Options_Exhibits'!L1881:L1885),"")</f>
        <v/>
      </c>
      <c r="M1885" s="3">
        <f>IF(ISNUMBER(AVERAGE('20250815_ETF_Options_Exhibits'!M1881:M1885)),AVERAGE('20250815_ETF_Options_Exhibits'!M1881:M1885),"")</f>
        <v/>
      </c>
      <c r="N1885" s="3">
        <f>IF(ISNUMBER(AVERAGE('20250815_ETF_Options_Exhibits'!N1881:N1885)),AVERAGE('20250815_ETF_Options_Exhibits'!N1881:N1885),"")</f>
        <v/>
      </c>
      <c r="O1885" s="3">
        <f>IF(ISNUMBER(AVERAGE('20250815_ETF_Options_Exhibits'!O1881:O1885)),AVERAGE('20250815_ETF_Options_Exhibits'!O1881:O1885),"")</f>
        <v/>
      </c>
      <c r="P1885" s="3">
        <f>IF(ISNUMBER(AVERAGE('20250815_ETF_Options_Exhibits'!P1881:P1885)),AVERAGE('20250815_ETF_Options_Exhibits'!P1881:P1885),"")</f>
        <v/>
      </c>
      <c r="Q1885" s="3">
        <f>IF(ISNUMBER(AVERAGE('20250815_ETF_Options_Exhibits'!Q1881:Q1885)),AVERAGE('20250815_ETF_Options_Exhibits'!Q1881:Q1885),"")</f>
        <v/>
      </c>
      <c r="R1885" s="3">
        <f>IF(ISNUMBER(AVERAGE('20250815_ETF_Options_Exhibits'!R1881:R1885)),AVERAGE('20250815_ETF_Options_Exhibits'!R1881:R1885),"")</f>
        <v/>
      </c>
      <c r="S1885" s="3">
        <f>IF(ISNUMBER(AVERAGE('20250815_ETF_Options_Exhibits'!S1881:S1885)),AVERAGE('20250815_ETF_Options_Exhibits'!S1881:S1885),"")</f>
        <v/>
      </c>
      <c r="T1885" s="3">
        <f>IF(ISNUMBER(AVERAGE('20250815_ETF_Options_Exhibits'!T1881:T1885)),AVERAGE('20250815_ETF_Options_Exhibits'!T1881:T1885),"")</f>
        <v/>
      </c>
      <c r="U1885" s="3">
        <f>IF(ISNUMBER(AVERAGE('20250815_ETF_Options_Exhibits'!U1881:U1885)),AVERAGE('20250815_ETF_Options_Exhibits'!U1881:U1885),"")</f>
        <v/>
      </c>
      <c r="V1885" s="3">
        <f>IF(ISNUMBER(AVERAGE('20250815_ETF_Options_Exhibits'!V1881:V1885)),AVERAGE('20250815_ETF_Options_Exhibits'!V1881:V1885),"")</f>
        <v/>
      </c>
      <c r="W1885" s="3">
        <f>IF(ISNUMBER(AVERAGE('20250815_ETF_Options_Exhibits'!W1881:W1885)),AVERAGE('20250815_ETF_Options_Exhibits'!W1881:W1885),"")</f>
        <v/>
      </c>
      <c r="X1885" s="3">
        <f>IF(ISNUMBER(AVERAGE('20250815_ETF_Options_Exhibits'!X1881:X1885)),AVERAGE('20250815_ETF_Options_Exhibits'!X1881:X1885),"")</f>
        <v/>
      </c>
      <c r="Y1885" s="3">
        <f>IF(ISNUMBER(AVERAGE('20250815_ETF_Options_Exhibits'!Y1881:Y1885)),AVERAGE('20250815_ETF_Options_Exhibits'!Y1881:Y1885),"")</f>
        <v/>
      </c>
      <c r="Z1885" s="3">
        <f>IF(ISNUMBER(AVERAGE('20250815_ETF_Options_Exhibits'!Z1881:Z1885)),AVERAGE('20250815_ETF_Options_Exhibits'!Z1881:Z1885),"")</f>
        <v/>
      </c>
      <c r="AA1885" s="3">
        <f>IF(ISNUMBER(AVERAGE('20250815_ETF_Options_Exhibits'!AA1881:AA1885)),AVERAGE('20250815_ETF_Options_Exhibits'!AA1881:AA1885),"")</f>
        <v/>
      </c>
    </row>
    <row r="1886">
      <c r="A1886" s="1" t="n">
        <v>44739</v>
      </c>
      <c r="B1886" s="3">
        <f>IF(ISNUMBER(AVERAGE('20250815_ETF_Options_Exhibits'!B1882:B1886)),AVERAGE('20250815_ETF_Options_Exhibits'!B1882:B1886),"")</f>
        <v/>
      </c>
      <c r="C1886" s="3">
        <f>IF(ISNUMBER(AVERAGE('20250815_ETF_Options_Exhibits'!C1882:C1886)),AVERAGE('20250815_ETF_Options_Exhibits'!C1882:C1886),"")</f>
        <v/>
      </c>
      <c r="D1886" s="3">
        <f>IF(ISNUMBER(AVERAGE('20250815_ETF_Options_Exhibits'!D1882:D1886)),AVERAGE('20250815_ETF_Options_Exhibits'!D1882:D1886),"")</f>
        <v/>
      </c>
      <c r="E1886" s="3">
        <f>IF(ISNUMBER(AVERAGE('20250815_ETF_Options_Exhibits'!E1882:E1886)),AVERAGE('20250815_ETF_Options_Exhibits'!E1882:E1886),"")</f>
        <v/>
      </c>
      <c r="F1886" s="3">
        <f>IF(ISNUMBER(AVERAGE('20250815_ETF_Options_Exhibits'!F1882:F1886)),AVERAGE('20250815_ETF_Options_Exhibits'!F1882:F1886),"")</f>
        <v/>
      </c>
      <c r="G1886" s="3">
        <f>IF(ISNUMBER(AVERAGE('20250815_ETF_Options_Exhibits'!G1882:G1886)),AVERAGE('20250815_ETF_Options_Exhibits'!G1882:G1886),"")</f>
        <v/>
      </c>
      <c r="H1886" s="3">
        <f>IF(ISNUMBER(AVERAGE('20250815_ETF_Options_Exhibits'!H1882:H1886)),AVERAGE('20250815_ETF_Options_Exhibits'!H1882:H1886),"")</f>
        <v/>
      </c>
      <c r="I1886" s="3">
        <f>IF(ISNUMBER(AVERAGE('20250815_ETF_Options_Exhibits'!I1882:I1886)),AVERAGE('20250815_ETF_Options_Exhibits'!I1882:I1886),"")</f>
        <v/>
      </c>
      <c r="J1886" s="3">
        <f>IF(ISNUMBER(AVERAGE('20250815_ETF_Options_Exhibits'!J1882:J1886)),AVERAGE('20250815_ETF_Options_Exhibits'!J1882:J1886),"")</f>
        <v/>
      </c>
      <c r="K1886" s="3">
        <f>IF(ISNUMBER(AVERAGE('20250815_ETF_Options_Exhibits'!K1882:K1886)),AVERAGE('20250815_ETF_Options_Exhibits'!K1882:K1886),"")</f>
        <v/>
      </c>
      <c r="L1886" s="3">
        <f>IF(ISNUMBER(AVERAGE('20250815_ETF_Options_Exhibits'!L1882:L1886)),AVERAGE('20250815_ETF_Options_Exhibits'!L1882:L1886),"")</f>
        <v/>
      </c>
      <c r="M1886" s="3">
        <f>IF(ISNUMBER(AVERAGE('20250815_ETF_Options_Exhibits'!M1882:M1886)),AVERAGE('20250815_ETF_Options_Exhibits'!M1882:M1886),"")</f>
        <v/>
      </c>
      <c r="N1886" s="3">
        <f>IF(ISNUMBER(AVERAGE('20250815_ETF_Options_Exhibits'!N1882:N1886)),AVERAGE('20250815_ETF_Options_Exhibits'!N1882:N1886),"")</f>
        <v/>
      </c>
      <c r="O1886" s="3">
        <f>IF(ISNUMBER(AVERAGE('20250815_ETF_Options_Exhibits'!O1882:O1886)),AVERAGE('20250815_ETF_Options_Exhibits'!O1882:O1886),"")</f>
        <v/>
      </c>
      <c r="P1886" s="3">
        <f>IF(ISNUMBER(AVERAGE('20250815_ETF_Options_Exhibits'!P1882:P1886)),AVERAGE('20250815_ETF_Options_Exhibits'!P1882:P1886),"")</f>
        <v/>
      </c>
      <c r="Q1886" s="3">
        <f>IF(ISNUMBER(AVERAGE('20250815_ETF_Options_Exhibits'!Q1882:Q1886)),AVERAGE('20250815_ETF_Options_Exhibits'!Q1882:Q1886),"")</f>
        <v/>
      </c>
      <c r="R1886" s="3">
        <f>IF(ISNUMBER(AVERAGE('20250815_ETF_Options_Exhibits'!R1882:R1886)),AVERAGE('20250815_ETF_Options_Exhibits'!R1882:R1886),"")</f>
        <v/>
      </c>
      <c r="S1886" s="3">
        <f>IF(ISNUMBER(AVERAGE('20250815_ETF_Options_Exhibits'!S1882:S1886)),AVERAGE('20250815_ETF_Options_Exhibits'!S1882:S1886),"")</f>
        <v/>
      </c>
      <c r="T1886" s="3">
        <f>IF(ISNUMBER(AVERAGE('20250815_ETF_Options_Exhibits'!T1882:T1886)),AVERAGE('20250815_ETF_Options_Exhibits'!T1882:T1886),"")</f>
        <v/>
      </c>
      <c r="U1886" s="3">
        <f>IF(ISNUMBER(AVERAGE('20250815_ETF_Options_Exhibits'!U1882:U1886)),AVERAGE('20250815_ETF_Options_Exhibits'!U1882:U1886),"")</f>
        <v/>
      </c>
      <c r="V1886" s="3">
        <f>IF(ISNUMBER(AVERAGE('20250815_ETF_Options_Exhibits'!V1882:V1886)),AVERAGE('20250815_ETF_Options_Exhibits'!V1882:V1886),"")</f>
        <v/>
      </c>
      <c r="W1886" s="3">
        <f>IF(ISNUMBER(AVERAGE('20250815_ETF_Options_Exhibits'!W1882:W1886)),AVERAGE('20250815_ETF_Options_Exhibits'!W1882:W1886),"")</f>
        <v/>
      </c>
      <c r="X1886" s="3">
        <f>IF(ISNUMBER(AVERAGE('20250815_ETF_Options_Exhibits'!X1882:X1886)),AVERAGE('20250815_ETF_Options_Exhibits'!X1882:X1886),"")</f>
        <v/>
      </c>
      <c r="Y1886" s="3">
        <f>IF(ISNUMBER(AVERAGE('20250815_ETF_Options_Exhibits'!Y1882:Y1886)),AVERAGE('20250815_ETF_Options_Exhibits'!Y1882:Y1886),"")</f>
        <v/>
      </c>
      <c r="Z1886" s="3">
        <f>IF(ISNUMBER(AVERAGE('20250815_ETF_Options_Exhibits'!Z1882:Z1886)),AVERAGE('20250815_ETF_Options_Exhibits'!Z1882:Z1886),"")</f>
        <v/>
      </c>
      <c r="AA1886" s="3">
        <f>IF(ISNUMBER(AVERAGE('20250815_ETF_Options_Exhibits'!AA1882:AA1886)),AVERAGE('20250815_ETF_Options_Exhibits'!AA1882:AA1886),"")</f>
        <v/>
      </c>
    </row>
    <row r="1887">
      <c r="A1887" s="1" t="n">
        <v>44740</v>
      </c>
      <c r="B1887" s="3">
        <f>IF(ISNUMBER(AVERAGE('20250815_ETF_Options_Exhibits'!B1883:B1887)),AVERAGE('20250815_ETF_Options_Exhibits'!B1883:B1887),"")</f>
        <v/>
      </c>
      <c r="C1887" s="3">
        <f>IF(ISNUMBER(AVERAGE('20250815_ETF_Options_Exhibits'!C1883:C1887)),AVERAGE('20250815_ETF_Options_Exhibits'!C1883:C1887),"")</f>
        <v/>
      </c>
      <c r="D1887" s="3">
        <f>IF(ISNUMBER(AVERAGE('20250815_ETF_Options_Exhibits'!D1883:D1887)),AVERAGE('20250815_ETF_Options_Exhibits'!D1883:D1887),"")</f>
        <v/>
      </c>
      <c r="E1887" s="3">
        <f>IF(ISNUMBER(AVERAGE('20250815_ETF_Options_Exhibits'!E1883:E1887)),AVERAGE('20250815_ETF_Options_Exhibits'!E1883:E1887),"")</f>
        <v/>
      </c>
      <c r="F1887" s="3">
        <f>IF(ISNUMBER(AVERAGE('20250815_ETF_Options_Exhibits'!F1883:F1887)),AVERAGE('20250815_ETF_Options_Exhibits'!F1883:F1887),"")</f>
        <v/>
      </c>
      <c r="G1887" s="3">
        <f>IF(ISNUMBER(AVERAGE('20250815_ETF_Options_Exhibits'!G1883:G1887)),AVERAGE('20250815_ETF_Options_Exhibits'!G1883:G1887),"")</f>
        <v/>
      </c>
      <c r="H1887" s="3">
        <f>IF(ISNUMBER(AVERAGE('20250815_ETF_Options_Exhibits'!H1883:H1887)),AVERAGE('20250815_ETF_Options_Exhibits'!H1883:H1887),"")</f>
        <v/>
      </c>
      <c r="I1887" s="3">
        <f>IF(ISNUMBER(AVERAGE('20250815_ETF_Options_Exhibits'!I1883:I1887)),AVERAGE('20250815_ETF_Options_Exhibits'!I1883:I1887),"")</f>
        <v/>
      </c>
      <c r="J1887" s="3">
        <f>IF(ISNUMBER(AVERAGE('20250815_ETF_Options_Exhibits'!J1883:J1887)),AVERAGE('20250815_ETF_Options_Exhibits'!J1883:J1887),"")</f>
        <v/>
      </c>
      <c r="K1887" s="3">
        <f>IF(ISNUMBER(AVERAGE('20250815_ETF_Options_Exhibits'!K1883:K1887)),AVERAGE('20250815_ETF_Options_Exhibits'!K1883:K1887),"")</f>
        <v/>
      </c>
      <c r="L1887" s="3">
        <f>IF(ISNUMBER(AVERAGE('20250815_ETF_Options_Exhibits'!L1883:L1887)),AVERAGE('20250815_ETF_Options_Exhibits'!L1883:L1887),"")</f>
        <v/>
      </c>
      <c r="M1887" s="3">
        <f>IF(ISNUMBER(AVERAGE('20250815_ETF_Options_Exhibits'!M1883:M1887)),AVERAGE('20250815_ETF_Options_Exhibits'!M1883:M1887),"")</f>
        <v/>
      </c>
      <c r="N1887" s="3">
        <f>IF(ISNUMBER(AVERAGE('20250815_ETF_Options_Exhibits'!N1883:N1887)),AVERAGE('20250815_ETF_Options_Exhibits'!N1883:N1887),"")</f>
        <v/>
      </c>
      <c r="O1887" s="3">
        <f>IF(ISNUMBER(AVERAGE('20250815_ETF_Options_Exhibits'!O1883:O1887)),AVERAGE('20250815_ETF_Options_Exhibits'!O1883:O1887),"")</f>
        <v/>
      </c>
      <c r="P1887" s="3">
        <f>IF(ISNUMBER(AVERAGE('20250815_ETF_Options_Exhibits'!P1883:P1887)),AVERAGE('20250815_ETF_Options_Exhibits'!P1883:P1887),"")</f>
        <v/>
      </c>
      <c r="Q1887" s="3">
        <f>IF(ISNUMBER(AVERAGE('20250815_ETF_Options_Exhibits'!Q1883:Q1887)),AVERAGE('20250815_ETF_Options_Exhibits'!Q1883:Q1887),"")</f>
        <v/>
      </c>
      <c r="R1887" s="3">
        <f>IF(ISNUMBER(AVERAGE('20250815_ETF_Options_Exhibits'!R1883:R1887)),AVERAGE('20250815_ETF_Options_Exhibits'!R1883:R1887),"")</f>
        <v/>
      </c>
      <c r="S1887" s="3">
        <f>IF(ISNUMBER(AVERAGE('20250815_ETF_Options_Exhibits'!S1883:S1887)),AVERAGE('20250815_ETF_Options_Exhibits'!S1883:S1887),"")</f>
        <v/>
      </c>
      <c r="T1887" s="3">
        <f>IF(ISNUMBER(AVERAGE('20250815_ETF_Options_Exhibits'!T1883:T1887)),AVERAGE('20250815_ETF_Options_Exhibits'!T1883:T1887),"")</f>
        <v/>
      </c>
      <c r="U1887" s="3">
        <f>IF(ISNUMBER(AVERAGE('20250815_ETF_Options_Exhibits'!U1883:U1887)),AVERAGE('20250815_ETF_Options_Exhibits'!U1883:U1887),"")</f>
        <v/>
      </c>
      <c r="V1887" s="3">
        <f>IF(ISNUMBER(AVERAGE('20250815_ETF_Options_Exhibits'!V1883:V1887)),AVERAGE('20250815_ETF_Options_Exhibits'!V1883:V1887),"")</f>
        <v/>
      </c>
      <c r="W1887" s="3">
        <f>IF(ISNUMBER(AVERAGE('20250815_ETF_Options_Exhibits'!W1883:W1887)),AVERAGE('20250815_ETF_Options_Exhibits'!W1883:W1887),"")</f>
        <v/>
      </c>
      <c r="X1887" s="3">
        <f>IF(ISNUMBER(AVERAGE('20250815_ETF_Options_Exhibits'!X1883:X1887)),AVERAGE('20250815_ETF_Options_Exhibits'!X1883:X1887),"")</f>
        <v/>
      </c>
      <c r="Y1887" s="3">
        <f>IF(ISNUMBER(AVERAGE('20250815_ETF_Options_Exhibits'!Y1883:Y1887)),AVERAGE('20250815_ETF_Options_Exhibits'!Y1883:Y1887),"")</f>
        <v/>
      </c>
      <c r="Z1887" s="3">
        <f>IF(ISNUMBER(AVERAGE('20250815_ETF_Options_Exhibits'!Z1883:Z1887)),AVERAGE('20250815_ETF_Options_Exhibits'!Z1883:Z1887),"")</f>
        <v/>
      </c>
      <c r="AA1887" s="3">
        <f>IF(ISNUMBER(AVERAGE('20250815_ETF_Options_Exhibits'!AA1883:AA1887)),AVERAGE('20250815_ETF_Options_Exhibits'!AA1883:AA1887),"")</f>
        <v/>
      </c>
    </row>
    <row r="1888">
      <c r="A1888" s="1" t="n">
        <v>44741</v>
      </c>
      <c r="B1888" s="3">
        <f>IF(ISNUMBER(AVERAGE('20250815_ETF_Options_Exhibits'!B1884:B1888)),AVERAGE('20250815_ETF_Options_Exhibits'!B1884:B1888),"")</f>
        <v/>
      </c>
      <c r="C1888" s="3">
        <f>IF(ISNUMBER(AVERAGE('20250815_ETF_Options_Exhibits'!C1884:C1888)),AVERAGE('20250815_ETF_Options_Exhibits'!C1884:C1888),"")</f>
        <v/>
      </c>
      <c r="D1888" s="3">
        <f>IF(ISNUMBER(AVERAGE('20250815_ETF_Options_Exhibits'!D1884:D1888)),AVERAGE('20250815_ETF_Options_Exhibits'!D1884:D1888),"")</f>
        <v/>
      </c>
      <c r="E1888" s="3">
        <f>IF(ISNUMBER(AVERAGE('20250815_ETF_Options_Exhibits'!E1884:E1888)),AVERAGE('20250815_ETF_Options_Exhibits'!E1884:E1888),"")</f>
        <v/>
      </c>
      <c r="F1888" s="3">
        <f>IF(ISNUMBER(AVERAGE('20250815_ETF_Options_Exhibits'!F1884:F1888)),AVERAGE('20250815_ETF_Options_Exhibits'!F1884:F1888),"")</f>
        <v/>
      </c>
      <c r="G1888" s="3">
        <f>IF(ISNUMBER(AVERAGE('20250815_ETF_Options_Exhibits'!G1884:G1888)),AVERAGE('20250815_ETF_Options_Exhibits'!G1884:G1888),"")</f>
        <v/>
      </c>
      <c r="H1888" s="3">
        <f>IF(ISNUMBER(AVERAGE('20250815_ETF_Options_Exhibits'!H1884:H1888)),AVERAGE('20250815_ETF_Options_Exhibits'!H1884:H1888),"")</f>
        <v/>
      </c>
      <c r="I1888" s="3">
        <f>IF(ISNUMBER(AVERAGE('20250815_ETF_Options_Exhibits'!I1884:I1888)),AVERAGE('20250815_ETF_Options_Exhibits'!I1884:I1888),"")</f>
        <v/>
      </c>
      <c r="J1888" s="3">
        <f>IF(ISNUMBER(AVERAGE('20250815_ETF_Options_Exhibits'!J1884:J1888)),AVERAGE('20250815_ETF_Options_Exhibits'!J1884:J1888),"")</f>
        <v/>
      </c>
      <c r="K1888" s="3">
        <f>IF(ISNUMBER(AVERAGE('20250815_ETF_Options_Exhibits'!K1884:K1888)),AVERAGE('20250815_ETF_Options_Exhibits'!K1884:K1888),"")</f>
        <v/>
      </c>
      <c r="L1888" s="3">
        <f>IF(ISNUMBER(AVERAGE('20250815_ETF_Options_Exhibits'!L1884:L1888)),AVERAGE('20250815_ETF_Options_Exhibits'!L1884:L1888),"")</f>
        <v/>
      </c>
      <c r="M1888" s="3">
        <f>IF(ISNUMBER(AVERAGE('20250815_ETF_Options_Exhibits'!M1884:M1888)),AVERAGE('20250815_ETF_Options_Exhibits'!M1884:M1888),"")</f>
        <v/>
      </c>
      <c r="N1888" s="3">
        <f>IF(ISNUMBER(AVERAGE('20250815_ETF_Options_Exhibits'!N1884:N1888)),AVERAGE('20250815_ETF_Options_Exhibits'!N1884:N1888),"")</f>
        <v/>
      </c>
      <c r="O1888" s="3">
        <f>IF(ISNUMBER(AVERAGE('20250815_ETF_Options_Exhibits'!O1884:O1888)),AVERAGE('20250815_ETF_Options_Exhibits'!O1884:O1888),"")</f>
        <v/>
      </c>
      <c r="P1888" s="3">
        <f>IF(ISNUMBER(AVERAGE('20250815_ETF_Options_Exhibits'!P1884:P1888)),AVERAGE('20250815_ETF_Options_Exhibits'!P1884:P1888),"")</f>
        <v/>
      </c>
      <c r="Q1888" s="3">
        <f>IF(ISNUMBER(AVERAGE('20250815_ETF_Options_Exhibits'!Q1884:Q1888)),AVERAGE('20250815_ETF_Options_Exhibits'!Q1884:Q1888),"")</f>
        <v/>
      </c>
      <c r="R1888" s="3">
        <f>IF(ISNUMBER(AVERAGE('20250815_ETF_Options_Exhibits'!R1884:R1888)),AVERAGE('20250815_ETF_Options_Exhibits'!R1884:R1888),"")</f>
        <v/>
      </c>
      <c r="S1888" s="3">
        <f>IF(ISNUMBER(AVERAGE('20250815_ETF_Options_Exhibits'!S1884:S1888)),AVERAGE('20250815_ETF_Options_Exhibits'!S1884:S1888),"")</f>
        <v/>
      </c>
      <c r="T1888" s="3">
        <f>IF(ISNUMBER(AVERAGE('20250815_ETF_Options_Exhibits'!T1884:T1888)),AVERAGE('20250815_ETF_Options_Exhibits'!T1884:T1888),"")</f>
        <v/>
      </c>
      <c r="U1888" s="3">
        <f>IF(ISNUMBER(AVERAGE('20250815_ETF_Options_Exhibits'!U1884:U1888)),AVERAGE('20250815_ETF_Options_Exhibits'!U1884:U1888),"")</f>
        <v/>
      </c>
      <c r="V1888" s="3">
        <f>IF(ISNUMBER(AVERAGE('20250815_ETF_Options_Exhibits'!V1884:V1888)),AVERAGE('20250815_ETF_Options_Exhibits'!V1884:V1888),"")</f>
        <v/>
      </c>
      <c r="W1888" s="3">
        <f>IF(ISNUMBER(AVERAGE('20250815_ETF_Options_Exhibits'!W1884:W1888)),AVERAGE('20250815_ETF_Options_Exhibits'!W1884:W1888),"")</f>
        <v/>
      </c>
      <c r="X1888" s="3">
        <f>IF(ISNUMBER(AVERAGE('20250815_ETF_Options_Exhibits'!X1884:X1888)),AVERAGE('20250815_ETF_Options_Exhibits'!X1884:X1888),"")</f>
        <v/>
      </c>
      <c r="Y1888" s="3">
        <f>IF(ISNUMBER(AVERAGE('20250815_ETF_Options_Exhibits'!Y1884:Y1888)),AVERAGE('20250815_ETF_Options_Exhibits'!Y1884:Y1888),"")</f>
        <v/>
      </c>
      <c r="Z1888" s="3">
        <f>IF(ISNUMBER(AVERAGE('20250815_ETF_Options_Exhibits'!Z1884:Z1888)),AVERAGE('20250815_ETF_Options_Exhibits'!Z1884:Z1888),"")</f>
        <v/>
      </c>
      <c r="AA1888" s="3">
        <f>IF(ISNUMBER(AVERAGE('20250815_ETF_Options_Exhibits'!AA1884:AA1888)),AVERAGE('20250815_ETF_Options_Exhibits'!AA1884:AA1888),"")</f>
        <v/>
      </c>
    </row>
    <row r="1889">
      <c r="A1889" s="1" t="n">
        <v>44742</v>
      </c>
      <c r="B1889" s="3">
        <f>IF(ISNUMBER(AVERAGE('20250815_ETF_Options_Exhibits'!B1885:B1889)),AVERAGE('20250815_ETF_Options_Exhibits'!B1885:B1889),"")</f>
        <v/>
      </c>
      <c r="C1889" s="3">
        <f>IF(ISNUMBER(AVERAGE('20250815_ETF_Options_Exhibits'!C1885:C1889)),AVERAGE('20250815_ETF_Options_Exhibits'!C1885:C1889),"")</f>
        <v/>
      </c>
      <c r="D1889" s="3">
        <f>IF(ISNUMBER(AVERAGE('20250815_ETF_Options_Exhibits'!D1885:D1889)),AVERAGE('20250815_ETF_Options_Exhibits'!D1885:D1889),"")</f>
        <v/>
      </c>
      <c r="E1889" s="3">
        <f>IF(ISNUMBER(AVERAGE('20250815_ETF_Options_Exhibits'!E1885:E1889)),AVERAGE('20250815_ETF_Options_Exhibits'!E1885:E1889),"")</f>
        <v/>
      </c>
      <c r="F1889" s="3">
        <f>IF(ISNUMBER(AVERAGE('20250815_ETF_Options_Exhibits'!F1885:F1889)),AVERAGE('20250815_ETF_Options_Exhibits'!F1885:F1889),"")</f>
        <v/>
      </c>
      <c r="G1889" s="3">
        <f>IF(ISNUMBER(AVERAGE('20250815_ETF_Options_Exhibits'!G1885:G1889)),AVERAGE('20250815_ETF_Options_Exhibits'!G1885:G1889),"")</f>
        <v/>
      </c>
      <c r="H1889" s="3">
        <f>IF(ISNUMBER(AVERAGE('20250815_ETF_Options_Exhibits'!H1885:H1889)),AVERAGE('20250815_ETF_Options_Exhibits'!H1885:H1889),"")</f>
        <v/>
      </c>
      <c r="I1889" s="3">
        <f>IF(ISNUMBER(AVERAGE('20250815_ETF_Options_Exhibits'!I1885:I1889)),AVERAGE('20250815_ETF_Options_Exhibits'!I1885:I1889),"")</f>
        <v/>
      </c>
      <c r="J1889" s="3">
        <f>IF(ISNUMBER(AVERAGE('20250815_ETF_Options_Exhibits'!J1885:J1889)),AVERAGE('20250815_ETF_Options_Exhibits'!J1885:J1889),"")</f>
        <v/>
      </c>
      <c r="K1889" s="3">
        <f>IF(ISNUMBER(AVERAGE('20250815_ETF_Options_Exhibits'!K1885:K1889)),AVERAGE('20250815_ETF_Options_Exhibits'!K1885:K1889),"")</f>
        <v/>
      </c>
      <c r="L1889" s="3">
        <f>IF(ISNUMBER(AVERAGE('20250815_ETF_Options_Exhibits'!L1885:L1889)),AVERAGE('20250815_ETF_Options_Exhibits'!L1885:L1889),"")</f>
        <v/>
      </c>
      <c r="M1889" s="3">
        <f>IF(ISNUMBER(AVERAGE('20250815_ETF_Options_Exhibits'!M1885:M1889)),AVERAGE('20250815_ETF_Options_Exhibits'!M1885:M1889),"")</f>
        <v/>
      </c>
      <c r="N1889" s="3">
        <f>IF(ISNUMBER(AVERAGE('20250815_ETF_Options_Exhibits'!N1885:N1889)),AVERAGE('20250815_ETF_Options_Exhibits'!N1885:N1889),"")</f>
        <v/>
      </c>
      <c r="O1889" s="3">
        <f>IF(ISNUMBER(AVERAGE('20250815_ETF_Options_Exhibits'!O1885:O1889)),AVERAGE('20250815_ETF_Options_Exhibits'!O1885:O1889),"")</f>
        <v/>
      </c>
      <c r="P1889" s="3">
        <f>IF(ISNUMBER(AVERAGE('20250815_ETF_Options_Exhibits'!P1885:P1889)),AVERAGE('20250815_ETF_Options_Exhibits'!P1885:P1889),"")</f>
        <v/>
      </c>
      <c r="Q1889" s="3">
        <f>IF(ISNUMBER(AVERAGE('20250815_ETF_Options_Exhibits'!Q1885:Q1889)),AVERAGE('20250815_ETF_Options_Exhibits'!Q1885:Q1889),"")</f>
        <v/>
      </c>
      <c r="R1889" s="3">
        <f>IF(ISNUMBER(AVERAGE('20250815_ETF_Options_Exhibits'!R1885:R1889)),AVERAGE('20250815_ETF_Options_Exhibits'!R1885:R1889),"")</f>
        <v/>
      </c>
      <c r="S1889" s="3">
        <f>IF(ISNUMBER(AVERAGE('20250815_ETF_Options_Exhibits'!S1885:S1889)),AVERAGE('20250815_ETF_Options_Exhibits'!S1885:S1889),"")</f>
        <v/>
      </c>
      <c r="T1889" s="3">
        <f>IF(ISNUMBER(AVERAGE('20250815_ETF_Options_Exhibits'!T1885:T1889)),AVERAGE('20250815_ETF_Options_Exhibits'!T1885:T1889),"")</f>
        <v/>
      </c>
      <c r="U1889" s="3">
        <f>IF(ISNUMBER(AVERAGE('20250815_ETF_Options_Exhibits'!U1885:U1889)),AVERAGE('20250815_ETF_Options_Exhibits'!U1885:U1889),"")</f>
        <v/>
      </c>
      <c r="V1889" s="3">
        <f>IF(ISNUMBER(AVERAGE('20250815_ETF_Options_Exhibits'!V1885:V1889)),AVERAGE('20250815_ETF_Options_Exhibits'!V1885:V1889),"")</f>
        <v/>
      </c>
      <c r="W1889" s="3">
        <f>IF(ISNUMBER(AVERAGE('20250815_ETF_Options_Exhibits'!W1885:W1889)),AVERAGE('20250815_ETF_Options_Exhibits'!W1885:W1889),"")</f>
        <v/>
      </c>
      <c r="X1889" s="3">
        <f>IF(ISNUMBER(AVERAGE('20250815_ETF_Options_Exhibits'!X1885:X1889)),AVERAGE('20250815_ETF_Options_Exhibits'!X1885:X1889),"")</f>
        <v/>
      </c>
      <c r="Y1889" s="3">
        <f>IF(ISNUMBER(AVERAGE('20250815_ETF_Options_Exhibits'!Y1885:Y1889)),AVERAGE('20250815_ETF_Options_Exhibits'!Y1885:Y1889),"")</f>
        <v/>
      </c>
      <c r="Z1889" s="3">
        <f>IF(ISNUMBER(AVERAGE('20250815_ETF_Options_Exhibits'!Z1885:Z1889)),AVERAGE('20250815_ETF_Options_Exhibits'!Z1885:Z1889),"")</f>
        <v/>
      </c>
      <c r="AA1889" s="3">
        <f>IF(ISNUMBER(AVERAGE('20250815_ETF_Options_Exhibits'!AA1885:AA1889)),AVERAGE('20250815_ETF_Options_Exhibits'!AA1885:AA1889),"")</f>
        <v/>
      </c>
    </row>
    <row r="1890">
      <c r="A1890" s="1" t="n">
        <v>44743</v>
      </c>
      <c r="B1890" s="3">
        <f>IF(ISNUMBER(AVERAGE('20250815_ETF_Options_Exhibits'!B1886:B1890)),AVERAGE('20250815_ETF_Options_Exhibits'!B1886:B1890),"")</f>
        <v/>
      </c>
      <c r="C1890" s="3">
        <f>IF(ISNUMBER(AVERAGE('20250815_ETF_Options_Exhibits'!C1886:C1890)),AVERAGE('20250815_ETF_Options_Exhibits'!C1886:C1890),"")</f>
        <v/>
      </c>
      <c r="D1890" s="3">
        <f>IF(ISNUMBER(AVERAGE('20250815_ETF_Options_Exhibits'!D1886:D1890)),AVERAGE('20250815_ETF_Options_Exhibits'!D1886:D1890),"")</f>
        <v/>
      </c>
      <c r="E1890" s="3">
        <f>IF(ISNUMBER(AVERAGE('20250815_ETF_Options_Exhibits'!E1886:E1890)),AVERAGE('20250815_ETF_Options_Exhibits'!E1886:E1890),"")</f>
        <v/>
      </c>
      <c r="F1890" s="3">
        <f>IF(ISNUMBER(AVERAGE('20250815_ETF_Options_Exhibits'!F1886:F1890)),AVERAGE('20250815_ETF_Options_Exhibits'!F1886:F1890),"")</f>
        <v/>
      </c>
      <c r="G1890" s="3">
        <f>IF(ISNUMBER(AVERAGE('20250815_ETF_Options_Exhibits'!G1886:G1890)),AVERAGE('20250815_ETF_Options_Exhibits'!G1886:G1890),"")</f>
        <v/>
      </c>
      <c r="H1890" s="3">
        <f>IF(ISNUMBER(AVERAGE('20250815_ETF_Options_Exhibits'!H1886:H1890)),AVERAGE('20250815_ETF_Options_Exhibits'!H1886:H1890),"")</f>
        <v/>
      </c>
      <c r="I1890" s="3">
        <f>IF(ISNUMBER(AVERAGE('20250815_ETF_Options_Exhibits'!I1886:I1890)),AVERAGE('20250815_ETF_Options_Exhibits'!I1886:I1890),"")</f>
        <v/>
      </c>
      <c r="J1890" s="3">
        <f>IF(ISNUMBER(AVERAGE('20250815_ETF_Options_Exhibits'!J1886:J1890)),AVERAGE('20250815_ETF_Options_Exhibits'!J1886:J1890),"")</f>
        <v/>
      </c>
      <c r="K1890" s="3">
        <f>IF(ISNUMBER(AVERAGE('20250815_ETF_Options_Exhibits'!K1886:K1890)),AVERAGE('20250815_ETF_Options_Exhibits'!K1886:K1890),"")</f>
        <v/>
      </c>
      <c r="L1890" s="3">
        <f>IF(ISNUMBER(AVERAGE('20250815_ETF_Options_Exhibits'!L1886:L1890)),AVERAGE('20250815_ETF_Options_Exhibits'!L1886:L1890),"")</f>
        <v/>
      </c>
      <c r="M1890" s="3">
        <f>IF(ISNUMBER(AVERAGE('20250815_ETF_Options_Exhibits'!M1886:M1890)),AVERAGE('20250815_ETF_Options_Exhibits'!M1886:M1890),"")</f>
        <v/>
      </c>
      <c r="N1890" s="3">
        <f>IF(ISNUMBER(AVERAGE('20250815_ETF_Options_Exhibits'!N1886:N1890)),AVERAGE('20250815_ETF_Options_Exhibits'!N1886:N1890),"")</f>
        <v/>
      </c>
      <c r="O1890" s="3">
        <f>IF(ISNUMBER(AVERAGE('20250815_ETF_Options_Exhibits'!O1886:O1890)),AVERAGE('20250815_ETF_Options_Exhibits'!O1886:O1890),"")</f>
        <v/>
      </c>
      <c r="P1890" s="3">
        <f>IF(ISNUMBER(AVERAGE('20250815_ETF_Options_Exhibits'!P1886:P1890)),AVERAGE('20250815_ETF_Options_Exhibits'!P1886:P1890),"")</f>
        <v/>
      </c>
      <c r="Q1890" s="3">
        <f>IF(ISNUMBER(AVERAGE('20250815_ETF_Options_Exhibits'!Q1886:Q1890)),AVERAGE('20250815_ETF_Options_Exhibits'!Q1886:Q1890),"")</f>
        <v/>
      </c>
      <c r="R1890" s="3">
        <f>IF(ISNUMBER(AVERAGE('20250815_ETF_Options_Exhibits'!R1886:R1890)),AVERAGE('20250815_ETF_Options_Exhibits'!R1886:R1890),"")</f>
        <v/>
      </c>
      <c r="S1890" s="3">
        <f>IF(ISNUMBER(AVERAGE('20250815_ETF_Options_Exhibits'!S1886:S1890)),AVERAGE('20250815_ETF_Options_Exhibits'!S1886:S1890),"")</f>
        <v/>
      </c>
      <c r="T1890" s="3">
        <f>IF(ISNUMBER(AVERAGE('20250815_ETF_Options_Exhibits'!T1886:T1890)),AVERAGE('20250815_ETF_Options_Exhibits'!T1886:T1890),"")</f>
        <v/>
      </c>
      <c r="U1890" s="3">
        <f>IF(ISNUMBER(AVERAGE('20250815_ETF_Options_Exhibits'!U1886:U1890)),AVERAGE('20250815_ETF_Options_Exhibits'!U1886:U1890),"")</f>
        <v/>
      </c>
      <c r="V1890" s="3">
        <f>IF(ISNUMBER(AVERAGE('20250815_ETF_Options_Exhibits'!V1886:V1890)),AVERAGE('20250815_ETF_Options_Exhibits'!V1886:V1890),"")</f>
        <v/>
      </c>
      <c r="W1890" s="3">
        <f>IF(ISNUMBER(AVERAGE('20250815_ETF_Options_Exhibits'!W1886:W1890)),AVERAGE('20250815_ETF_Options_Exhibits'!W1886:W1890),"")</f>
        <v/>
      </c>
      <c r="X1890" s="3">
        <f>IF(ISNUMBER(AVERAGE('20250815_ETF_Options_Exhibits'!X1886:X1890)),AVERAGE('20250815_ETF_Options_Exhibits'!X1886:X1890),"")</f>
        <v/>
      </c>
      <c r="Y1890" s="3">
        <f>IF(ISNUMBER(AVERAGE('20250815_ETF_Options_Exhibits'!Y1886:Y1890)),AVERAGE('20250815_ETF_Options_Exhibits'!Y1886:Y1890),"")</f>
        <v/>
      </c>
      <c r="Z1890" s="3">
        <f>IF(ISNUMBER(AVERAGE('20250815_ETF_Options_Exhibits'!Z1886:Z1890)),AVERAGE('20250815_ETF_Options_Exhibits'!Z1886:Z1890),"")</f>
        <v/>
      </c>
      <c r="AA1890" s="3">
        <f>IF(ISNUMBER(AVERAGE('20250815_ETF_Options_Exhibits'!AA1886:AA1890)),AVERAGE('20250815_ETF_Options_Exhibits'!AA1886:AA1890),"")</f>
        <v/>
      </c>
    </row>
    <row r="1891">
      <c r="A1891" s="1" t="n">
        <v>44747</v>
      </c>
      <c r="B1891" s="3">
        <f>IF(ISNUMBER(AVERAGE('20250815_ETF_Options_Exhibits'!B1887:B1891)),AVERAGE('20250815_ETF_Options_Exhibits'!B1887:B1891),"")</f>
        <v/>
      </c>
      <c r="C1891" s="3">
        <f>IF(ISNUMBER(AVERAGE('20250815_ETF_Options_Exhibits'!C1887:C1891)),AVERAGE('20250815_ETF_Options_Exhibits'!C1887:C1891),"")</f>
        <v/>
      </c>
      <c r="D1891" s="3">
        <f>IF(ISNUMBER(AVERAGE('20250815_ETF_Options_Exhibits'!D1887:D1891)),AVERAGE('20250815_ETF_Options_Exhibits'!D1887:D1891),"")</f>
        <v/>
      </c>
      <c r="E1891" s="3">
        <f>IF(ISNUMBER(AVERAGE('20250815_ETF_Options_Exhibits'!E1887:E1891)),AVERAGE('20250815_ETF_Options_Exhibits'!E1887:E1891),"")</f>
        <v/>
      </c>
      <c r="F1891" s="3">
        <f>IF(ISNUMBER(AVERAGE('20250815_ETF_Options_Exhibits'!F1887:F1891)),AVERAGE('20250815_ETF_Options_Exhibits'!F1887:F1891),"")</f>
        <v/>
      </c>
      <c r="G1891" s="3">
        <f>IF(ISNUMBER(AVERAGE('20250815_ETF_Options_Exhibits'!G1887:G1891)),AVERAGE('20250815_ETF_Options_Exhibits'!G1887:G1891),"")</f>
        <v/>
      </c>
      <c r="H1891" s="3">
        <f>IF(ISNUMBER(AVERAGE('20250815_ETF_Options_Exhibits'!H1887:H1891)),AVERAGE('20250815_ETF_Options_Exhibits'!H1887:H1891),"")</f>
        <v/>
      </c>
      <c r="I1891" s="3">
        <f>IF(ISNUMBER(AVERAGE('20250815_ETF_Options_Exhibits'!I1887:I1891)),AVERAGE('20250815_ETF_Options_Exhibits'!I1887:I1891),"")</f>
        <v/>
      </c>
      <c r="J1891" s="3">
        <f>IF(ISNUMBER(AVERAGE('20250815_ETF_Options_Exhibits'!J1887:J1891)),AVERAGE('20250815_ETF_Options_Exhibits'!J1887:J1891),"")</f>
        <v/>
      </c>
      <c r="K1891" s="3">
        <f>IF(ISNUMBER(AVERAGE('20250815_ETF_Options_Exhibits'!K1887:K1891)),AVERAGE('20250815_ETF_Options_Exhibits'!K1887:K1891),"")</f>
        <v/>
      </c>
      <c r="L1891" s="3">
        <f>IF(ISNUMBER(AVERAGE('20250815_ETF_Options_Exhibits'!L1887:L1891)),AVERAGE('20250815_ETF_Options_Exhibits'!L1887:L1891),"")</f>
        <v/>
      </c>
      <c r="M1891" s="3">
        <f>IF(ISNUMBER(AVERAGE('20250815_ETF_Options_Exhibits'!M1887:M1891)),AVERAGE('20250815_ETF_Options_Exhibits'!M1887:M1891),"")</f>
        <v/>
      </c>
      <c r="N1891" s="3">
        <f>IF(ISNUMBER(AVERAGE('20250815_ETF_Options_Exhibits'!N1887:N1891)),AVERAGE('20250815_ETF_Options_Exhibits'!N1887:N1891),"")</f>
        <v/>
      </c>
      <c r="O1891" s="3">
        <f>IF(ISNUMBER(AVERAGE('20250815_ETF_Options_Exhibits'!O1887:O1891)),AVERAGE('20250815_ETF_Options_Exhibits'!O1887:O1891),"")</f>
        <v/>
      </c>
      <c r="P1891" s="3">
        <f>IF(ISNUMBER(AVERAGE('20250815_ETF_Options_Exhibits'!P1887:P1891)),AVERAGE('20250815_ETF_Options_Exhibits'!P1887:P1891),"")</f>
        <v/>
      </c>
      <c r="Q1891" s="3">
        <f>IF(ISNUMBER(AVERAGE('20250815_ETF_Options_Exhibits'!Q1887:Q1891)),AVERAGE('20250815_ETF_Options_Exhibits'!Q1887:Q1891),"")</f>
        <v/>
      </c>
      <c r="R1891" s="3">
        <f>IF(ISNUMBER(AVERAGE('20250815_ETF_Options_Exhibits'!R1887:R1891)),AVERAGE('20250815_ETF_Options_Exhibits'!R1887:R1891),"")</f>
        <v/>
      </c>
      <c r="S1891" s="3">
        <f>IF(ISNUMBER(AVERAGE('20250815_ETF_Options_Exhibits'!S1887:S1891)),AVERAGE('20250815_ETF_Options_Exhibits'!S1887:S1891),"")</f>
        <v/>
      </c>
      <c r="T1891" s="3">
        <f>IF(ISNUMBER(AVERAGE('20250815_ETF_Options_Exhibits'!T1887:T1891)),AVERAGE('20250815_ETF_Options_Exhibits'!T1887:T1891),"")</f>
        <v/>
      </c>
      <c r="U1891" s="3">
        <f>IF(ISNUMBER(AVERAGE('20250815_ETF_Options_Exhibits'!U1887:U1891)),AVERAGE('20250815_ETF_Options_Exhibits'!U1887:U1891),"")</f>
        <v/>
      </c>
      <c r="V1891" s="3">
        <f>IF(ISNUMBER(AVERAGE('20250815_ETF_Options_Exhibits'!V1887:V1891)),AVERAGE('20250815_ETF_Options_Exhibits'!V1887:V1891),"")</f>
        <v/>
      </c>
      <c r="W1891" s="3">
        <f>IF(ISNUMBER(AVERAGE('20250815_ETF_Options_Exhibits'!W1887:W1891)),AVERAGE('20250815_ETF_Options_Exhibits'!W1887:W1891),"")</f>
        <v/>
      </c>
      <c r="X1891" s="3">
        <f>IF(ISNUMBER(AVERAGE('20250815_ETF_Options_Exhibits'!X1887:X1891)),AVERAGE('20250815_ETF_Options_Exhibits'!X1887:X1891),"")</f>
        <v/>
      </c>
      <c r="Y1891" s="3">
        <f>IF(ISNUMBER(AVERAGE('20250815_ETF_Options_Exhibits'!Y1887:Y1891)),AVERAGE('20250815_ETF_Options_Exhibits'!Y1887:Y1891),"")</f>
        <v/>
      </c>
      <c r="Z1891" s="3">
        <f>IF(ISNUMBER(AVERAGE('20250815_ETF_Options_Exhibits'!Z1887:Z1891)),AVERAGE('20250815_ETF_Options_Exhibits'!Z1887:Z1891),"")</f>
        <v/>
      </c>
      <c r="AA1891" s="3">
        <f>IF(ISNUMBER(AVERAGE('20250815_ETF_Options_Exhibits'!AA1887:AA1891)),AVERAGE('20250815_ETF_Options_Exhibits'!AA1887:AA1891),"")</f>
        <v/>
      </c>
    </row>
    <row r="1892">
      <c r="A1892" s="1" t="n">
        <v>44748</v>
      </c>
      <c r="B1892" s="3">
        <f>IF(ISNUMBER(AVERAGE('20250815_ETF_Options_Exhibits'!B1888:B1892)),AVERAGE('20250815_ETF_Options_Exhibits'!B1888:B1892),"")</f>
        <v/>
      </c>
      <c r="C1892" s="3">
        <f>IF(ISNUMBER(AVERAGE('20250815_ETF_Options_Exhibits'!C1888:C1892)),AVERAGE('20250815_ETF_Options_Exhibits'!C1888:C1892),"")</f>
        <v/>
      </c>
      <c r="D1892" s="3">
        <f>IF(ISNUMBER(AVERAGE('20250815_ETF_Options_Exhibits'!D1888:D1892)),AVERAGE('20250815_ETF_Options_Exhibits'!D1888:D1892),"")</f>
        <v/>
      </c>
      <c r="E1892" s="3">
        <f>IF(ISNUMBER(AVERAGE('20250815_ETF_Options_Exhibits'!E1888:E1892)),AVERAGE('20250815_ETF_Options_Exhibits'!E1888:E1892),"")</f>
        <v/>
      </c>
      <c r="F1892" s="3">
        <f>IF(ISNUMBER(AVERAGE('20250815_ETF_Options_Exhibits'!F1888:F1892)),AVERAGE('20250815_ETF_Options_Exhibits'!F1888:F1892),"")</f>
        <v/>
      </c>
      <c r="G1892" s="3">
        <f>IF(ISNUMBER(AVERAGE('20250815_ETF_Options_Exhibits'!G1888:G1892)),AVERAGE('20250815_ETF_Options_Exhibits'!G1888:G1892),"")</f>
        <v/>
      </c>
      <c r="H1892" s="3">
        <f>IF(ISNUMBER(AVERAGE('20250815_ETF_Options_Exhibits'!H1888:H1892)),AVERAGE('20250815_ETF_Options_Exhibits'!H1888:H1892),"")</f>
        <v/>
      </c>
      <c r="I1892" s="3">
        <f>IF(ISNUMBER(AVERAGE('20250815_ETF_Options_Exhibits'!I1888:I1892)),AVERAGE('20250815_ETF_Options_Exhibits'!I1888:I1892),"")</f>
        <v/>
      </c>
      <c r="J1892" s="3">
        <f>IF(ISNUMBER(AVERAGE('20250815_ETF_Options_Exhibits'!J1888:J1892)),AVERAGE('20250815_ETF_Options_Exhibits'!J1888:J1892),"")</f>
        <v/>
      </c>
      <c r="K1892" s="3">
        <f>IF(ISNUMBER(AVERAGE('20250815_ETF_Options_Exhibits'!K1888:K1892)),AVERAGE('20250815_ETF_Options_Exhibits'!K1888:K1892),"")</f>
        <v/>
      </c>
      <c r="L1892" s="3">
        <f>IF(ISNUMBER(AVERAGE('20250815_ETF_Options_Exhibits'!L1888:L1892)),AVERAGE('20250815_ETF_Options_Exhibits'!L1888:L1892),"")</f>
        <v/>
      </c>
      <c r="M1892" s="3">
        <f>IF(ISNUMBER(AVERAGE('20250815_ETF_Options_Exhibits'!M1888:M1892)),AVERAGE('20250815_ETF_Options_Exhibits'!M1888:M1892),"")</f>
        <v/>
      </c>
      <c r="N1892" s="3">
        <f>IF(ISNUMBER(AVERAGE('20250815_ETF_Options_Exhibits'!N1888:N1892)),AVERAGE('20250815_ETF_Options_Exhibits'!N1888:N1892),"")</f>
        <v/>
      </c>
      <c r="O1892" s="3">
        <f>IF(ISNUMBER(AVERAGE('20250815_ETF_Options_Exhibits'!O1888:O1892)),AVERAGE('20250815_ETF_Options_Exhibits'!O1888:O1892),"")</f>
        <v/>
      </c>
      <c r="P1892" s="3">
        <f>IF(ISNUMBER(AVERAGE('20250815_ETF_Options_Exhibits'!P1888:P1892)),AVERAGE('20250815_ETF_Options_Exhibits'!P1888:P1892),"")</f>
        <v/>
      </c>
      <c r="Q1892" s="3">
        <f>IF(ISNUMBER(AVERAGE('20250815_ETF_Options_Exhibits'!Q1888:Q1892)),AVERAGE('20250815_ETF_Options_Exhibits'!Q1888:Q1892),"")</f>
        <v/>
      </c>
      <c r="R1892" s="3">
        <f>IF(ISNUMBER(AVERAGE('20250815_ETF_Options_Exhibits'!R1888:R1892)),AVERAGE('20250815_ETF_Options_Exhibits'!R1888:R1892),"")</f>
        <v/>
      </c>
      <c r="S1892" s="3">
        <f>IF(ISNUMBER(AVERAGE('20250815_ETF_Options_Exhibits'!S1888:S1892)),AVERAGE('20250815_ETF_Options_Exhibits'!S1888:S1892),"")</f>
        <v/>
      </c>
      <c r="T1892" s="3">
        <f>IF(ISNUMBER(AVERAGE('20250815_ETF_Options_Exhibits'!T1888:T1892)),AVERAGE('20250815_ETF_Options_Exhibits'!T1888:T1892),"")</f>
        <v/>
      </c>
      <c r="U1892" s="3">
        <f>IF(ISNUMBER(AVERAGE('20250815_ETF_Options_Exhibits'!U1888:U1892)),AVERAGE('20250815_ETF_Options_Exhibits'!U1888:U1892),"")</f>
        <v/>
      </c>
      <c r="V1892" s="3">
        <f>IF(ISNUMBER(AVERAGE('20250815_ETF_Options_Exhibits'!V1888:V1892)),AVERAGE('20250815_ETF_Options_Exhibits'!V1888:V1892),"")</f>
        <v/>
      </c>
      <c r="W1892" s="3">
        <f>IF(ISNUMBER(AVERAGE('20250815_ETF_Options_Exhibits'!W1888:W1892)),AVERAGE('20250815_ETF_Options_Exhibits'!W1888:W1892),"")</f>
        <v/>
      </c>
      <c r="X1892" s="3">
        <f>IF(ISNUMBER(AVERAGE('20250815_ETF_Options_Exhibits'!X1888:X1892)),AVERAGE('20250815_ETF_Options_Exhibits'!X1888:X1892),"")</f>
        <v/>
      </c>
      <c r="Y1892" s="3">
        <f>IF(ISNUMBER(AVERAGE('20250815_ETF_Options_Exhibits'!Y1888:Y1892)),AVERAGE('20250815_ETF_Options_Exhibits'!Y1888:Y1892),"")</f>
        <v/>
      </c>
      <c r="Z1892" s="3">
        <f>IF(ISNUMBER(AVERAGE('20250815_ETF_Options_Exhibits'!Z1888:Z1892)),AVERAGE('20250815_ETF_Options_Exhibits'!Z1888:Z1892),"")</f>
        <v/>
      </c>
      <c r="AA1892" s="3">
        <f>IF(ISNUMBER(AVERAGE('20250815_ETF_Options_Exhibits'!AA1888:AA1892)),AVERAGE('20250815_ETF_Options_Exhibits'!AA1888:AA1892),"")</f>
        <v/>
      </c>
    </row>
    <row r="1893">
      <c r="A1893" s="1" t="n">
        <v>44749</v>
      </c>
      <c r="B1893" s="3">
        <f>IF(ISNUMBER(AVERAGE('20250815_ETF_Options_Exhibits'!B1889:B1893)),AVERAGE('20250815_ETF_Options_Exhibits'!B1889:B1893),"")</f>
        <v/>
      </c>
      <c r="C1893" s="3">
        <f>IF(ISNUMBER(AVERAGE('20250815_ETF_Options_Exhibits'!C1889:C1893)),AVERAGE('20250815_ETF_Options_Exhibits'!C1889:C1893),"")</f>
        <v/>
      </c>
      <c r="D1893" s="3">
        <f>IF(ISNUMBER(AVERAGE('20250815_ETF_Options_Exhibits'!D1889:D1893)),AVERAGE('20250815_ETF_Options_Exhibits'!D1889:D1893),"")</f>
        <v/>
      </c>
      <c r="E1893" s="3">
        <f>IF(ISNUMBER(AVERAGE('20250815_ETF_Options_Exhibits'!E1889:E1893)),AVERAGE('20250815_ETF_Options_Exhibits'!E1889:E1893),"")</f>
        <v/>
      </c>
      <c r="F1893" s="3">
        <f>IF(ISNUMBER(AVERAGE('20250815_ETF_Options_Exhibits'!F1889:F1893)),AVERAGE('20250815_ETF_Options_Exhibits'!F1889:F1893),"")</f>
        <v/>
      </c>
      <c r="G1893" s="3">
        <f>IF(ISNUMBER(AVERAGE('20250815_ETF_Options_Exhibits'!G1889:G1893)),AVERAGE('20250815_ETF_Options_Exhibits'!G1889:G1893),"")</f>
        <v/>
      </c>
      <c r="H1893" s="3">
        <f>IF(ISNUMBER(AVERAGE('20250815_ETF_Options_Exhibits'!H1889:H1893)),AVERAGE('20250815_ETF_Options_Exhibits'!H1889:H1893),"")</f>
        <v/>
      </c>
      <c r="I1893" s="3">
        <f>IF(ISNUMBER(AVERAGE('20250815_ETF_Options_Exhibits'!I1889:I1893)),AVERAGE('20250815_ETF_Options_Exhibits'!I1889:I1893),"")</f>
        <v/>
      </c>
      <c r="J1893" s="3">
        <f>IF(ISNUMBER(AVERAGE('20250815_ETF_Options_Exhibits'!J1889:J1893)),AVERAGE('20250815_ETF_Options_Exhibits'!J1889:J1893),"")</f>
        <v/>
      </c>
      <c r="K1893" s="3">
        <f>IF(ISNUMBER(AVERAGE('20250815_ETF_Options_Exhibits'!K1889:K1893)),AVERAGE('20250815_ETF_Options_Exhibits'!K1889:K1893),"")</f>
        <v/>
      </c>
      <c r="L1893" s="3">
        <f>IF(ISNUMBER(AVERAGE('20250815_ETF_Options_Exhibits'!L1889:L1893)),AVERAGE('20250815_ETF_Options_Exhibits'!L1889:L1893),"")</f>
        <v/>
      </c>
      <c r="M1893" s="3">
        <f>IF(ISNUMBER(AVERAGE('20250815_ETF_Options_Exhibits'!M1889:M1893)),AVERAGE('20250815_ETF_Options_Exhibits'!M1889:M1893),"")</f>
        <v/>
      </c>
      <c r="N1893" s="3">
        <f>IF(ISNUMBER(AVERAGE('20250815_ETF_Options_Exhibits'!N1889:N1893)),AVERAGE('20250815_ETF_Options_Exhibits'!N1889:N1893),"")</f>
        <v/>
      </c>
      <c r="O1893" s="3">
        <f>IF(ISNUMBER(AVERAGE('20250815_ETF_Options_Exhibits'!O1889:O1893)),AVERAGE('20250815_ETF_Options_Exhibits'!O1889:O1893),"")</f>
        <v/>
      </c>
      <c r="P1893" s="3">
        <f>IF(ISNUMBER(AVERAGE('20250815_ETF_Options_Exhibits'!P1889:P1893)),AVERAGE('20250815_ETF_Options_Exhibits'!P1889:P1893),"")</f>
        <v/>
      </c>
      <c r="Q1893" s="3">
        <f>IF(ISNUMBER(AVERAGE('20250815_ETF_Options_Exhibits'!Q1889:Q1893)),AVERAGE('20250815_ETF_Options_Exhibits'!Q1889:Q1893),"")</f>
        <v/>
      </c>
      <c r="R1893" s="3">
        <f>IF(ISNUMBER(AVERAGE('20250815_ETF_Options_Exhibits'!R1889:R1893)),AVERAGE('20250815_ETF_Options_Exhibits'!R1889:R1893),"")</f>
        <v/>
      </c>
      <c r="S1893" s="3">
        <f>IF(ISNUMBER(AVERAGE('20250815_ETF_Options_Exhibits'!S1889:S1893)),AVERAGE('20250815_ETF_Options_Exhibits'!S1889:S1893),"")</f>
        <v/>
      </c>
      <c r="T1893" s="3">
        <f>IF(ISNUMBER(AVERAGE('20250815_ETF_Options_Exhibits'!T1889:T1893)),AVERAGE('20250815_ETF_Options_Exhibits'!T1889:T1893),"")</f>
        <v/>
      </c>
      <c r="U1893" s="3">
        <f>IF(ISNUMBER(AVERAGE('20250815_ETF_Options_Exhibits'!U1889:U1893)),AVERAGE('20250815_ETF_Options_Exhibits'!U1889:U1893),"")</f>
        <v/>
      </c>
      <c r="V1893" s="3">
        <f>IF(ISNUMBER(AVERAGE('20250815_ETF_Options_Exhibits'!V1889:V1893)),AVERAGE('20250815_ETF_Options_Exhibits'!V1889:V1893),"")</f>
        <v/>
      </c>
      <c r="W1893" s="3">
        <f>IF(ISNUMBER(AVERAGE('20250815_ETF_Options_Exhibits'!W1889:W1893)),AVERAGE('20250815_ETF_Options_Exhibits'!W1889:W1893),"")</f>
        <v/>
      </c>
      <c r="X1893" s="3">
        <f>IF(ISNUMBER(AVERAGE('20250815_ETF_Options_Exhibits'!X1889:X1893)),AVERAGE('20250815_ETF_Options_Exhibits'!X1889:X1893),"")</f>
        <v/>
      </c>
      <c r="Y1893" s="3">
        <f>IF(ISNUMBER(AVERAGE('20250815_ETF_Options_Exhibits'!Y1889:Y1893)),AVERAGE('20250815_ETF_Options_Exhibits'!Y1889:Y1893),"")</f>
        <v/>
      </c>
      <c r="Z1893" s="3">
        <f>IF(ISNUMBER(AVERAGE('20250815_ETF_Options_Exhibits'!Z1889:Z1893)),AVERAGE('20250815_ETF_Options_Exhibits'!Z1889:Z1893),"")</f>
        <v/>
      </c>
      <c r="AA1893" s="3">
        <f>IF(ISNUMBER(AVERAGE('20250815_ETF_Options_Exhibits'!AA1889:AA1893)),AVERAGE('20250815_ETF_Options_Exhibits'!AA1889:AA1893),"")</f>
        <v/>
      </c>
    </row>
    <row r="1894">
      <c r="A1894" s="1" t="n">
        <v>44750</v>
      </c>
      <c r="B1894" s="3">
        <f>IF(ISNUMBER(AVERAGE('20250815_ETF_Options_Exhibits'!B1890:B1894)),AVERAGE('20250815_ETF_Options_Exhibits'!B1890:B1894),"")</f>
        <v/>
      </c>
      <c r="C1894" s="3">
        <f>IF(ISNUMBER(AVERAGE('20250815_ETF_Options_Exhibits'!C1890:C1894)),AVERAGE('20250815_ETF_Options_Exhibits'!C1890:C1894),"")</f>
        <v/>
      </c>
      <c r="D1894" s="3">
        <f>IF(ISNUMBER(AVERAGE('20250815_ETF_Options_Exhibits'!D1890:D1894)),AVERAGE('20250815_ETF_Options_Exhibits'!D1890:D1894),"")</f>
        <v/>
      </c>
      <c r="E1894" s="3">
        <f>IF(ISNUMBER(AVERAGE('20250815_ETF_Options_Exhibits'!E1890:E1894)),AVERAGE('20250815_ETF_Options_Exhibits'!E1890:E1894),"")</f>
        <v/>
      </c>
      <c r="F1894" s="3">
        <f>IF(ISNUMBER(AVERAGE('20250815_ETF_Options_Exhibits'!F1890:F1894)),AVERAGE('20250815_ETF_Options_Exhibits'!F1890:F1894),"")</f>
        <v/>
      </c>
      <c r="G1894" s="3">
        <f>IF(ISNUMBER(AVERAGE('20250815_ETF_Options_Exhibits'!G1890:G1894)),AVERAGE('20250815_ETF_Options_Exhibits'!G1890:G1894),"")</f>
        <v/>
      </c>
      <c r="H1894" s="3">
        <f>IF(ISNUMBER(AVERAGE('20250815_ETF_Options_Exhibits'!H1890:H1894)),AVERAGE('20250815_ETF_Options_Exhibits'!H1890:H1894),"")</f>
        <v/>
      </c>
      <c r="I1894" s="3">
        <f>IF(ISNUMBER(AVERAGE('20250815_ETF_Options_Exhibits'!I1890:I1894)),AVERAGE('20250815_ETF_Options_Exhibits'!I1890:I1894),"")</f>
        <v/>
      </c>
      <c r="J1894" s="3">
        <f>IF(ISNUMBER(AVERAGE('20250815_ETF_Options_Exhibits'!J1890:J1894)),AVERAGE('20250815_ETF_Options_Exhibits'!J1890:J1894),"")</f>
        <v/>
      </c>
      <c r="K1894" s="3">
        <f>IF(ISNUMBER(AVERAGE('20250815_ETF_Options_Exhibits'!K1890:K1894)),AVERAGE('20250815_ETF_Options_Exhibits'!K1890:K1894),"")</f>
        <v/>
      </c>
      <c r="L1894" s="3">
        <f>IF(ISNUMBER(AVERAGE('20250815_ETF_Options_Exhibits'!L1890:L1894)),AVERAGE('20250815_ETF_Options_Exhibits'!L1890:L1894),"")</f>
        <v/>
      </c>
      <c r="M1894" s="3">
        <f>IF(ISNUMBER(AVERAGE('20250815_ETF_Options_Exhibits'!M1890:M1894)),AVERAGE('20250815_ETF_Options_Exhibits'!M1890:M1894),"")</f>
        <v/>
      </c>
      <c r="N1894" s="3">
        <f>IF(ISNUMBER(AVERAGE('20250815_ETF_Options_Exhibits'!N1890:N1894)),AVERAGE('20250815_ETF_Options_Exhibits'!N1890:N1894),"")</f>
        <v/>
      </c>
      <c r="O1894" s="3">
        <f>IF(ISNUMBER(AVERAGE('20250815_ETF_Options_Exhibits'!O1890:O1894)),AVERAGE('20250815_ETF_Options_Exhibits'!O1890:O1894),"")</f>
        <v/>
      </c>
      <c r="P1894" s="3">
        <f>IF(ISNUMBER(AVERAGE('20250815_ETF_Options_Exhibits'!P1890:P1894)),AVERAGE('20250815_ETF_Options_Exhibits'!P1890:P1894),"")</f>
        <v/>
      </c>
      <c r="Q1894" s="3">
        <f>IF(ISNUMBER(AVERAGE('20250815_ETF_Options_Exhibits'!Q1890:Q1894)),AVERAGE('20250815_ETF_Options_Exhibits'!Q1890:Q1894),"")</f>
        <v/>
      </c>
      <c r="R1894" s="3">
        <f>IF(ISNUMBER(AVERAGE('20250815_ETF_Options_Exhibits'!R1890:R1894)),AVERAGE('20250815_ETF_Options_Exhibits'!R1890:R1894),"")</f>
        <v/>
      </c>
      <c r="S1894" s="3">
        <f>IF(ISNUMBER(AVERAGE('20250815_ETF_Options_Exhibits'!S1890:S1894)),AVERAGE('20250815_ETF_Options_Exhibits'!S1890:S1894),"")</f>
        <v/>
      </c>
      <c r="T1894" s="3">
        <f>IF(ISNUMBER(AVERAGE('20250815_ETF_Options_Exhibits'!T1890:T1894)),AVERAGE('20250815_ETF_Options_Exhibits'!T1890:T1894),"")</f>
        <v/>
      </c>
      <c r="U1894" s="3">
        <f>IF(ISNUMBER(AVERAGE('20250815_ETF_Options_Exhibits'!U1890:U1894)),AVERAGE('20250815_ETF_Options_Exhibits'!U1890:U1894),"")</f>
        <v/>
      </c>
      <c r="V1894" s="3">
        <f>IF(ISNUMBER(AVERAGE('20250815_ETF_Options_Exhibits'!V1890:V1894)),AVERAGE('20250815_ETF_Options_Exhibits'!V1890:V1894),"")</f>
        <v/>
      </c>
      <c r="W1894" s="3">
        <f>IF(ISNUMBER(AVERAGE('20250815_ETF_Options_Exhibits'!W1890:W1894)),AVERAGE('20250815_ETF_Options_Exhibits'!W1890:W1894),"")</f>
        <v/>
      </c>
      <c r="X1894" s="3">
        <f>IF(ISNUMBER(AVERAGE('20250815_ETF_Options_Exhibits'!X1890:X1894)),AVERAGE('20250815_ETF_Options_Exhibits'!X1890:X1894),"")</f>
        <v/>
      </c>
      <c r="Y1894" s="3">
        <f>IF(ISNUMBER(AVERAGE('20250815_ETF_Options_Exhibits'!Y1890:Y1894)),AVERAGE('20250815_ETF_Options_Exhibits'!Y1890:Y1894),"")</f>
        <v/>
      </c>
      <c r="Z1894" s="3">
        <f>IF(ISNUMBER(AVERAGE('20250815_ETF_Options_Exhibits'!Z1890:Z1894)),AVERAGE('20250815_ETF_Options_Exhibits'!Z1890:Z1894),"")</f>
        <v/>
      </c>
      <c r="AA1894" s="3">
        <f>IF(ISNUMBER(AVERAGE('20250815_ETF_Options_Exhibits'!AA1890:AA1894)),AVERAGE('20250815_ETF_Options_Exhibits'!AA1890:AA1894),"")</f>
        <v/>
      </c>
    </row>
    <row r="1895">
      <c r="A1895" s="1" t="n">
        <v>44753</v>
      </c>
      <c r="B1895" s="3">
        <f>IF(ISNUMBER(AVERAGE('20250815_ETF_Options_Exhibits'!B1891:B1895)),AVERAGE('20250815_ETF_Options_Exhibits'!B1891:B1895),"")</f>
        <v/>
      </c>
      <c r="C1895" s="3">
        <f>IF(ISNUMBER(AVERAGE('20250815_ETF_Options_Exhibits'!C1891:C1895)),AVERAGE('20250815_ETF_Options_Exhibits'!C1891:C1895),"")</f>
        <v/>
      </c>
      <c r="D1895" s="3">
        <f>IF(ISNUMBER(AVERAGE('20250815_ETF_Options_Exhibits'!D1891:D1895)),AVERAGE('20250815_ETF_Options_Exhibits'!D1891:D1895),"")</f>
        <v/>
      </c>
      <c r="E1895" s="3">
        <f>IF(ISNUMBER(AVERAGE('20250815_ETF_Options_Exhibits'!E1891:E1895)),AVERAGE('20250815_ETF_Options_Exhibits'!E1891:E1895),"")</f>
        <v/>
      </c>
      <c r="F1895" s="3">
        <f>IF(ISNUMBER(AVERAGE('20250815_ETF_Options_Exhibits'!F1891:F1895)),AVERAGE('20250815_ETF_Options_Exhibits'!F1891:F1895),"")</f>
        <v/>
      </c>
      <c r="G1895" s="3">
        <f>IF(ISNUMBER(AVERAGE('20250815_ETF_Options_Exhibits'!G1891:G1895)),AVERAGE('20250815_ETF_Options_Exhibits'!G1891:G1895),"")</f>
        <v/>
      </c>
      <c r="H1895" s="3">
        <f>IF(ISNUMBER(AVERAGE('20250815_ETF_Options_Exhibits'!H1891:H1895)),AVERAGE('20250815_ETF_Options_Exhibits'!H1891:H1895),"")</f>
        <v/>
      </c>
      <c r="I1895" s="3">
        <f>IF(ISNUMBER(AVERAGE('20250815_ETF_Options_Exhibits'!I1891:I1895)),AVERAGE('20250815_ETF_Options_Exhibits'!I1891:I1895),"")</f>
        <v/>
      </c>
      <c r="J1895" s="3">
        <f>IF(ISNUMBER(AVERAGE('20250815_ETF_Options_Exhibits'!J1891:J1895)),AVERAGE('20250815_ETF_Options_Exhibits'!J1891:J1895),"")</f>
        <v/>
      </c>
      <c r="K1895" s="3">
        <f>IF(ISNUMBER(AVERAGE('20250815_ETF_Options_Exhibits'!K1891:K1895)),AVERAGE('20250815_ETF_Options_Exhibits'!K1891:K1895),"")</f>
        <v/>
      </c>
      <c r="L1895" s="3">
        <f>IF(ISNUMBER(AVERAGE('20250815_ETF_Options_Exhibits'!L1891:L1895)),AVERAGE('20250815_ETF_Options_Exhibits'!L1891:L1895),"")</f>
        <v/>
      </c>
      <c r="M1895" s="3">
        <f>IF(ISNUMBER(AVERAGE('20250815_ETF_Options_Exhibits'!M1891:M1895)),AVERAGE('20250815_ETF_Options_Exhibits'!M1891:M1895),"")</f>
        <v/>
      </c>
      <c r="N1895" s="3">
        <f>IF(ISNUMBER(AVERAGE('20250815_ETF_Options_Exhibits'!N1891:N1895)),AVERAGE('20250815_ETF_Options_Exhibits'!N1891:N1895),"")</f>
        <v/>
      </c>
      <c r="O1895" s="3">
        <f>IF(ISNUMBER(AVERAGE('20250815_ETF_Options_Exhibits'!O1891:O1895)),AVERAGE('20250815_ETF_Options_Exhibits'!O1891:O1895),"")</f>
        <v/>
      </c>
      <c r="P1895" s="3">
        <f>IF(ISNUMBER(AVERAGE('20250815_ETF_Options_Exhibits'!P1891:P1895)),AVERAGE('20250815_ETF_Options_Exhibits'!P1891:P1895),"")</f>
        <v/>
      </c>
      <c r="Q1895" s="3">
        <f>IF(ISNUMBER(AVERAGE('20250815_ETF_Options_Exhibits'!Q1891:Q1895)),AVERAGE('20250815_ETF_Options_Exhibits'!Q1891:Q1895),"")</f>
        <v/>
      </c>
      <c r="R1895" s="3">
        <f>IF(ISNUMBER(AVERAGE('20250815_ETF_Options_Exhibits'!R1891:R1895)),AVERAGE('20250815_ETF_Options_Exhibits'!R1891:R1895),"")</f>
        <v/>
      </c>
      <c r="S1895" s="3">
        <f>IF(ISNUMBER(AVERAGE('20250815_ETF_Options_Exhibits'!S1891:S1895)),AVERAGE('20250815_ETF_Options_Exhibits'!S1891:S1895),"")</f>
        <v/>
      </c>
      <c r="T1895" s="3">
        <f>IF(ISNUMBER(AVERAGE('20250815_ETF_Options_Exhibits'!T1891:T1895)),AVERAGE('20250815_ETF_Options_Exhibits'!T1891:T1895),"")</f>
        <v/>
      </c>
      <c r="U1895" s="3">
        <f>IF(ISNUMBER(AVERAGE('20250815_ETF_Options_Exhibits'!U1891:U1895)),AVERAGE('20250815_ETF_Options_Exhibits'!U1891:U1895),"")</f>
        <v/>
      </c>
      <c r="V1895" s="3">
        <f>IF(ISNUMBER(AVERAGE('20250815_ETF_Options_Exhibits'!V1891:V1895)),AVERAGE('20250815_ETF_Options_Exhibits'!V1891:V1895),"")</f>
        <v/>
      </c>
      <c r="W1895" s="3">
        <f>IF(ISNUMBER(AVERAGE('20250815_ETF_Options_Exhibits'!W1891:W1895)),AVERAGE('20250815_ETF_Options_Exhibits'!W1891:W1895),"")</f>
        <v/>
      </c>
      <c r="X1895" s="3">
        <f>IF(ISNUMBER(AVERAGE('20250815_ETF_Options_Exhibits'!X1891:X1895)),AVERAGE('20250815_ETF_Options_Exhibits'!X1891:X1895),"")</f>
        <v/>
      </c>
      <c r="Y1895" s="3">
        <f>IF(ISNUMBER(AVERAGE('20250815_ETF_Options_Exhibits'!Y1891:Y1895)),AVERAGE('20250815_ETF_Options_Exhibits'!Y1891:Y1895),"")</f>
        <v/>
      </c>
      <c r="Z1895" s="3">
        <f>IF(ISNUMBER(AVERAGE('20250815_ETF_Options_Exhibits'!Z1891:Z1895)),AVERAGE('20250815_ETF_Options_Exhibits'!Z1891:Z1895),"")</f>
        <v/>
      </c>
      <c r="AA1895" s="3">
        <f>IF(ISNUMBER(AVERAGE('20250815_ETF_Options_Exhibits'!AA1891:AA1895)),AVERAGE('20250815_ETF_Options_Exhibits'!AA1891:AA1895),"")</f>
        <v/>
      </c>
    </row>
    <row r="1896">
      <c r="A1896" s="1" t="n">
        <v>44754</v>
      </c>
      <c r="B1896" s="3">
        <f>IF(ISNUMBER(AVERAGE('20250815_ETF_Options_Exhibits'!B1892:B1896)),AVERAGE('20250815_ETF_Options_Exhibits'!B1892:B1896),"")</f>
        <v/>
      </c>
      <c r="C1896" s="3">
        <f>IF(ISNUMBER(AVERAGE('20250815_ETF_Options_Exhibits'!C1892:C1896)),AVERAGE('20250815_ETF_Options_Exhibits'!C1892:C1896),"")</f>
        <v/>
      </c>
      <c r="D1896" s="3">
        <f>IF(ISNUMBER(AVERAGE('20250815_ETF_Options_Exhibits'!D1892:D1896)),AVERAGE('20250815_ETF_Options_Exhibits'!D1892:D1896),"")</f>
        <v/>
      </c>
      <c r="E1896" s="3">
        <f>IF(ISNUMBER(AVERAGE('20250815_ETF_Options_Exhibits'!E1892:E1896)),AVERAGE('20250815_ETF_Options_Exhibits'!E1892:E1896),"")</f>
        <v/>
      </c>
      <c r="F1896" s="3">
        <f>IF(ISNUMBER(AVERAGE('20250815_ETF_Options_Exhibits'!F1892:F1896)),AVERAGE('20250815_ETF_Options_Exhibits'!F1892:F1896),"")</f>
        <v/>
      </c>
      <c r="G1896" s="3">
        <f>IF(ISNUMBER(AVERAGE('20250815_ETF_Options_Exhibits'!G1892:G1896)),AVERAGE('20250815_ETF_Options_Exhibits'!G1892:G1896),"")</f>
        <v/>
      </c>
      <c r="H1896" s="3">
        <f>IF(ISNUMBER(AVERAGE('20250815_ETF_Options_Exhibits'!H1892:H1896)),AVERAGE('20250815_ETF_Options_Exhibits'!H1892:H1896),"")</f>
        <v/>
      </c>
      <c r="I1896" s="3">
        <f>IF(ISNUMBER(AVERAGE('20250815_ETF_Options_Exhibits'!I1892:I1896)),AVERAGE('20250815_ETF_Options_Exhibits'!I1892:I1896),"")</f>
        <v/>
      </c>
      <c r="J1896" s="3">
        <f>IF(ISNUMBER(AVERAGE('20250815_ETF_Options_Exhibits'!J1892:J1896)),AVERAGE('20250815_ETF_Options_Exhibits'!J1892:J1896),"")</f>
        <v/>
      </c>
      <c r="K1896" s="3">
        <f>IF(ISNUMBER(AVERAGE('20250815_ETF_Options_Exhibits'!K1892:K1896)),AVERAGE('20250815_ETF_Options_Exhibits'!K1892:K1896),"")</f>
        <v/>
      </c>
      <c r="L1896" s="3">
        <f>IF(ISNUMBER(AVERAGE('20250815_ETF_Options_Exhibits'!L1892:L1896)),AVERAGE('20250815_ETF_Options_Exhibits'!L1892:L1896),"")</f>
        <v/>
      </c>
      <c r="M1896" s="3">
        <f>IF(ISNUMBER(AVERAGE('20250815_ETF_Options_Exhibits'!M1892:M1896)),AVERAGE('20250815_ETF_Options_Exhibits'!M1892:M1896),"")</f>
        <v/>
      </c>
      <c r="N1896" s="3">
        <f>IF(ISNUMBER(AVERAGE('20250815_ETF_Options_Exhibits'!N1892:N1896)),AVERAGE('20250815_ETF_Options_Exhibits'!N1892:N1896),"")</f>
        <v/>
      </c>
      <c r="O1896" s="3">
        <f>IF(ISNUMBER(AVERAGE('20250815_ETF_Options_Exhibits'!O1892:O1896)),AVERAGE('20250815_ETF_Options_Exhibits'!O1892:O1896),"")</f>
        <v/>
      </c>
      <c r="P1896" s="3">
        <f>IF(ISNUMBER(AVERAGE('20250815_ETF_Options_Exhibits'!P1892:P1896)),AVERAGE('20250815_ETF_Options_Exhibits'!P1892:P1896),"")</f>
        <v/>
      </c>
      <c r="Q1896" s="3">
        <f>IF(ISNUMBER(AVERAGE('20250815_ETF_Options_Exhibits'!Q1892:Q1896)),AVERAGE('20250815_ETF_Options_Exhibits'!Q1892:Q1896),"")</f>
        <v/>
      </c>
      <c r="R1896" s="3">
        <f>IF(ISNUMBER(AVERAGE('20250815_ETF_Options_Exhibits'!R1892:R1896)),AVERAGE('20250815_ETF_Options_Exhibits'!R1892:R1896),"")</f>
        <v/>
      </c>
      <c r="S1896" s="3">
        <f>IF(ISNUMBER(AVERAGE('20250815_ETF_Options_Exhibits'!S1892:S1896)),AVERAGE('20250815_ETF_Options_Exhibits'!S1892:S1896),"")</f>
        <v/>
      </c>
      <c r="T1896" s="3">
        <f>IF(ISNUMBER(AVERAGE('20250815_ETF_Options_Exhibits'!T1892:T1896)),AVERAGE('20250815_ETF_Options_Exhibits'!T1892:T1896),"")</f>
        <v/>
      </c>
      <c r="U1896" s="3">
        <f>IF(ISNUMBER(AVERAGE('20250815_ETF_Options_Exhibits'!U1892:U1896)),AVERAGE('20250815_ETF_Options_Exhibits'!U1892:U1896),"")</f>
        <v/>
      </c>
      <c r="V1896" s="3">
        <f>IF(ISNUMBER(AVERAGE('20250815_ETF_Options_Exhibits'!V1892:V1896)),AVERAGE('20250815_ETF_Options_Exhibits'!V1892:V1896),"")</f>
        <v/>
      </c>
      <c r="W1896" s="3">
        <f>IF(ISNUMBER(AVERAGE('20250815_ETF_Options_Exhibits'!W1892:W1896)),AVERAGE('20250815_ETF_Options_Exhibits'!W1892:W1896),"")</f>
        <v/>
      </c>
      <c r="X1896" s="3">
        <f>IF(ISNUMBER(AVERAGE('20250815_ETF_Options_Exhibits'!X1892:X1896)),AVERAGE('20250815_ETF_Options_Exhibits'!X1892:X1896),"")</f>
        <v/>
      </c>
      <c r="Y1896" s="3">
        <f>IF(ISNUMBER(AVERAGE('20250815_ETF_Options_Exhibits'!Y1892:Y1896)),AVERAGE('20250815_ETF_Options_Exhibits'!Y1892:Y1896),"")</f>
        <v/>
      </c>
      <c r="Z1896" s="3">
        <f>IF(ISNUMBER(AVERAGE('20250815_ETF_Options_Exhibits'!Z1892:Z1896)),AVERAGE('20250815_ETF_Options_Exhibits'!Z1892:Z1896),"")</f>
        <v/>
      </c>
      <c r="AA1896" s="3">
        <f>IF(ISNUMBER(AVERAGE('20250815_ETF_Options_Exhibits'!AA1892:AA1896)),AVERAGE('20250815_ETF_Options_Exhibits'!AA1892:AA1896),"")</f>
        <v/>
      </c>
    </row>
    <row r="1897">
      <c r="A1897" s="1" t="n">
        <v>44755</v>
      </c>
      <c r="B1897" s="3">
        <f>IF(ISNUMBER(AVERAGE('20250815_ETF_Options_Exhibits'!B1893:B1897)),AVERAGE('20250815_ETF_Options_Exhibits'!B1893:B1897),"")</f>
        <v/>
      </c>
      <c r="C1897" s="3">
        <f>IF(ISNUMBER(AVERAGE('20250815_ETF_Options_Exhibits'!C1893:C1897)),AVERAGE('20250815_ETF_Options_Exhibits'!C1893:C1897),"")</f>
        <v/>
      </c>
      <c r="D1897" s="3">
        <f>IF(ISNUMBER(AVERAGE('20250815_ETF_Options_Exhibits'!D1893:D1897)),AVERAGE('20250815_ETF_Options_Exhibits'!D1893:D1897),"")</f>
        <v/>
      </c>
      <c r="E1897" s="3">
        <f>IF(ISNUMBER(AVERAGE('20250815_ETF_Options_Exhibits'!E1893:E1897)),AVERAGE('20250815_ETF_Options_Exhibits'!E1893:E1897),"")</f>
        <v/>
      </c>
      <c r="F1897" s="3">
        <f>IF(ISNUMBER(AVERAGE('20250815_ETF_Options_Exhibits'!F1893:F1897)),AVERAGE('20250815_ETF_Options_Exhibits'!F1893:F1897),"")</f>
        <v/>
      </c>
      <c r="G1897" s="3">
        <f>IF(ISNUMBER(AVERAGE('20250815_ETF_Options_Exhibits'!G1893:G1897)),AVERAGE('20250815_ETF_Options_Exhibits'!G1893:G1897),"")</f>
        <v/>
      </c>
      <c r="H1897" s="3">
        <f>IF(ISNUMBER(AVERAGE('20250815_ETF_Options_Exhibits'!H1893:H1897)),AVERAGE('20250815_ETF_Options_Exhibits'!H1893:H1897),"")</f>
        <v/>
      </c>
      <c r="I1897" s="3">
        <f>IF(ISNUMBER(AVERAGE('20250815_ETF_Options_Exhibits'!I1893:I1897)),AVERAGE('20250815_ETF_Options_Exhibits'!I1893:I1897),"")</f>
        <v/>
      </c>
      <c r="J1897" s="3">
        <f>IF(ISNUMBER(AVERAGE('20250815_ETF_Options_Exhibits'!J1893:J1897)),AVERAGE('20250815_ETF_Options_Exhibits'!J1893:J1897),"")</f>
        <v/>
      </c>
      <c r="K1897" s="3">
        <f>IF(ISNUMBER(AVERAGE('20250815_ETF_Options_Exhibits'!K1893:K1897)),AVERAGE('20250815_ETF_Options_Exhibits'!K1893:K1897),"")</f>
        <v/>
      </c>
      <c r="L1897" s="3">
        <f>IF(ISNUMBER(AVERAGE('20250815_ETF_Options_Exhibits'!L1893:L1897)),AVERAGE('20250815_ETF_Options_Exhibits'!L1893:L1897),"")</f>
        <v/>
      </c>
      <c r="M1897" s="3">
        <f>IF(ISNUMBER(AVERAGE('20250815_ETF_Options_Exhibits'!M1893:M1897)),AVERAGE('20250815_ETF_Options_Exhibits'!M1893:M1897),"")</f>
        <v/>
      </c>
      <c r="N1897" s="3">
        <f>IF(ISNUMBER(AVERAGE('20250815_ETF_Options_Exhibits'!N1893:N1897)),AVERAGE('20250815_ETF_Options_Exhibits'!N1893:N1897),"")</f>
        <v/>
      </c>
      <c r="O1897" s="3">
        <f>IF(ISNUMBER(AVERAGE('20250815_ETF_Options_Exhibits'!O1893:O1897)),AVERAGE('20250815_ETF_Options_Exhibits'!O1893:O1897),"")</f>
        <v/>
      </c>
      <c r="P1897" s="3">
        <f>IF(ISNUMBER(AVERAGE('20250815_ETF_Options_Exhibits'!P1893:P1897)),AVERAGE('20250815_ETF_Options_Exhibits'!P1893:P1897),"")</f>
        <v/>
      </c>
      <c r="Q1897" s="3">
        <f>IF(ISNUMBER(AVERAGE('20250815_ETF_Options_Exhibits'!Q1893:Q1897)),AVERAGE('20250815_ETF_Options_Exhibits'!Q1893:Q1897),"")</f>
        <v/>
      </c>
      <c r="R1897" s="3">
        <f>IF(ISNUMBER(AVERAGE('20250815_ETF_Options_Exhibits'!R1893:R1897)),AVERAGE('20250815_ETF_Options_Exhibits'!R1893:R1897),"")</f>
        <v/>
      </c>
      <c r="S1897" s="3">
        <f>IF(ISNUMBER(AVERAGE('20250815_ETF_Options_Exhibits'!S1893:S1897)),AVERAGE('20250815_ETF_Options_Exhibits'!S1893:S1897),"")</f>
        <v/>
      </c>
      <c r="T1897" s="3">
        <f>IF(ISNUMBER(AVERAGE('20250815_ETF_Options_Exhibits'!T1893:T1897)),AVERAGE('20250815_ETF_Options_Exhibits'!T1893:T1897),"")</f>
        <v/>
      </c>
      <c r="U1897" s="3">
        <f>IF(ISNUMBER(AVERAGE('20250815_ETF_Options_Exhibits'!U1893:U1897)),AVERAGE('20250815_ETF_Options_Exhibits'!U1893:U1897),"")</f>
        <v/>
      </c>
      <c r="V1897" s="3">
        <f>IF(ISNUMBER(AVERAGE('20250815_ETF_Options_Exhibits'!V1893:V1897)),AVERAGE('20250815_ETF_Options_Exhibits'!V1893:V1897),"")</f>
        <v/>
      </c>
      <c r="W1897" s="3">
        <f>IF(ISNUMBER(AVERAGE('20250815_ETF_Options_Exhibits'!W1893:W1897)),AVERAGE('20250815_ETF_Options_Exhibits'!W1893:W1897),"")</f>
        <v/>
      </c>
      <c r="X1897" s="3">
        <f>IF(ISNUMBER(AVERAGE('20250815_ETF_Options_Exhibits'!X1893:X1897)),AVERAGE('20250815_ETF_Options_Exhibits'!X1893:X1897),"")</f>
        <v/>
      </c>
      <c r="Y1897" s="3">
        <f>IF(ISNUMBER(AVERAGE('20250815_ETF_Options_Exhibits'!Y1893:Y1897)),AVERAGE('20250815_ETF_Options_Exhibits'!Y1893:Y1897),"")</f>
        <v/>
      </c>
      <c r="Z1897" s="3">
        <f>IF(ISNUMBER(AVERAGE('20250815_ETF_Options_Exhibits'!Z1893:Z1897)),AVERAGE('20250815_ETF_Options_Exhibits'!Z1893:Z1897),"")</f>
        <v/>
      </c>
      <c r="AA1897" s="3">
        <f>IF(ISNUMBER(AVERAGE('20250815_ETF_Options_Exhibits'!AA1893:AA1897)),AVERAGE('20250815_ETF_Options_Exhibits'!AA1893:AA1897),"")</f>
        <v/>
      </c>
    </row>
    <row r="1898">
      <c r="A1898" s="1" t="n">
        <v>44756</v>
      </c>
      <c r="B1898" s="3">
        <f>IF(ISNUMBER(AVERAGE('20250815_ETF_Options_Exhibits'!B1894:B1898)),AVERAGE('20250815_ETF_Options_Exhibits'!B1894:B1898),"")</f>
        <v/>
      </c>
      <c r="C1898" s="3">
        <f>IF(ISNUMBER(AVERAGE('20250815_ETF_Options_Exhibits'!C1894:C1898)),AVERAGE('20250815_ETF_Options_Exhibits'!C1894:C1898),"")</f>
        <v/>
      </c>
      <c r="D1898" s="3">
        <f>IF(ISNUMBER(AVERAGE('20250815_ETF_Options_Exhibits'!D1894:D1898)),AVERAGE('20250815_ETF_Options_Exhibits'!D1894:D1898),"")</f>
        <v/>
      </c>
      <c r="E1898" s="3">
        <f>IF(ISNUMBER(AVERAGE('20250815_ETF_Options_Exhibits'!E1894:E1898)),AVERAGE('20250815_ETF_Options_Exhibits'!E1894:E1898),"")</f>
        <v/>
      </c>
      <c r="F1898" s="3">
        <f>IF(ISNUMBER(AVERAGE('20250815_ETF_Options_Exhibits'!F1894:F1898)),AVERAGE('20250815_ETF_Options_Exhibits'!F1894:F1898),"")</f>
        <v/>
      </c>
      <c r="G1898" s="3">
        <f>IF(ISNUMBER(AVERAGE('20250815_ETF_Options_Exhibits'!G1894:G1898)),AVERAGE('20250815_ETF_Options_Exhibits'!G1894:G1898),"")</f>
        <v/>
      </c>
      <c r="H1898" s="3">
        <f>IF(ISNUMBER(AVERAGE('20250815_ETF_Options_Exhibits'!H1894:H1898)),AVERAGE('20250815_ETF_Options_Exhibits'!H1894:H1898),"")</f>
        <v/>
      </c>
      <c r="I1898" s="3">
        <f>IF(ISNUMBER(AVERAGE('20250815_ETF_Options_Exhibits'!I1894:I1898)),AVERAGE('20250815_ETF_Options_Exhibits'!I1894:I1898),"")</f>
        <v/>
      </c>
      <c r="J1898" s="3">
        <f>IF(ISNUMBER(AVERAGE('20250815_ETF_Options_Exhibits'!J1894:J1898)),AVERAGE('20250815_ETF_Options_Exhibits'!J1894:J1898),"")</f>
        <v/>
      </c>
      <c r="K1898" s="3">
        <f>IF(ISNUMBER(AVERAGE('20250815_ETF_Options_Exhibits'!K1894:K1898)),AVERAGE('20250815_ETF_Options_Exhibits'!K1894:K1898),"")</f>
        <v/>
      </c>
      <c r="L1898" s="3">
        <f>IF(ISNUMBER(AVERAGE('20250815_ETF_Options_Exhibits'!L1894:L1898)),AVERAGE('20250815_ETF_Options_Exhibits'!L1894:L1898),"")</f>
        <v/>
      </c>
      <c r="M1898" s="3">
        <f>IF(ISNUMBER(AVERAGE('20250815_ETF_Options_Exhibits'!M1894:M1898)),AVERAGE('20250815_ETF_Options_Exhibits'!M1894:M1898),"")</f>
        <v/>
      </c>
      <c r="N1898" s="3">
        <f>IF(ISNUMBER(AVERAGE('20250815_ETF_Options_Exhibits'!N1894:N1898)),AVERAGE('20250815_ETF_Options_Exhibits'!N1894:N1898),"")</f>
        <v/>
      </c>
      <c r="O1898" s="3">
        <f>IF(ISNUMBER(AVERAGE('20250815_ETF_Options_Exhibits'!O1894:O1898)),AVERAGE('20250815_ETF_Options_Exhibits'!O1894:O1898),"")</f>
        <v/>
      </c>
      <c r="P1898" s="3">
        <f>IF(ISNUMBER(AVERAGE('20250815_ETF_Options_Exhibits'!P1894:P1898)),AVERAGE('20250815_ETF_Options_Exhibits'!P1894:P1898),"")</f>
        <v/>
      </c>
      <c r="Q1898" s="3">
        <f>IF(ISNUMBER(AVERAGE('20250815_ETF_Options_Exhibits'!Q1894:Q1898)),AVERAGE('20250815_ETF_Options_Exhibits'!Q1894:Q1898),"")</f>
        <v/>
      </c>
      <c r="R1898" s="3">
        <f>IF(ISNUMBER(AVERAGE('20250815_ETF_Options_Exhibits'!R1894:R1898)),AVERAGE('20250815_ETF_Options_Exhibits'!R1894:R1898),"")</f>
        <v/>
      </c>
      <c r="S1898" s="3">
        <f>IF(ISNUMBER(AVERAGE('20250815_ETF_Options_Exhibits'!S1894:S1898)),AVERAGE('20250815_ETF_Options_Exhibits'!S1894:S1898),"")</f>
        <v/>
      </c>
      <c r="T1898" s="3">
        <f>IF(ISNUMBER(AVERAGE('20250815_ETF_Options_Exhibits'!T1894:T1898)),AVERAGE('20250815_ETF_Options_Exhibits'!T1894:T1898),"")</f>
        <v/>
      </c>
      <c r="U1898" s="3">
        <f>IF(ISNUMBER(AVERAGE('20250815_ETF_Options_Exhibits'!U1894:U1898)),AVERAGE('20250815_ETF_Options_Exhibits'!U1894:U1898),"")</f>
        <v/>
      </c>
      <c r="V1898" s="3">
        <f>IF(ISNUMBER(AVERAGE('20250815_ETF_Options_Exhibits'!V1894:V1898)),AVERAGE('20250815_ETF_Options_Exhibits'!V1894:V1898),"")</f>
        <v/>
      </c>
      <c r="W1898" s="3">
        <f>IF(ISNUMBER(AVERAGE('20250815_ETF_Options_Exhibits'!W1894:W1898)),AVERAGE('20250815_ETF_Options_Exhibits'!W1894:W1898),"")</f>
        <v/>
      </c>
      <c r="X1898" s="3">
        <f>IF(ISNUMBER(AVERAGE('20250815_ETF_Options_Exhibits'!X1894:X1898)),AVERAGE('20250815_ETF_Options_Exhibits'!X1894:X1898),"")</f>
        <v/>
      </c>
      <c r="Y1898" s="3">
        <f>IF(ISNUMBER(AVERAGE('20250815_ETF_Options_Exhibits'!Y1894:Y1898)),AVERAGE('20250815_ETF_Options_Exhibits'!Y1894:Y1898),"")</f>
        <v/>
      </c>
      <c r="Z1898" s="3">
        <f>IF(ISNUMBER(AVERAGE('20250815_ETF_Options_Exhibits'!Z1894:Z1898)),AVERAGE('20250815_ETF_Options_Exhibits'!Z1894:Z1898),"")</f>
        <v/>
      </c>
      <c r="AA1898" s="3">
        <f>IF(ISNUMBER(AVERAGE('20250815_ETF_Options_Exhibits'!AA1894:AA1898)),AVERAGE('20250815_ETF_Options_Exhibits'!AA1894:AA1898),"")</f>
        <v/>
      </c>
    </row>
    <row r="1899">
      <c r="A1899" s="1" t="n">
        <v>44757</v>
      </c>
      <c r="B1899" s="3">
        <f>IF(ISNUMBER(AVERAGE('20250815_ETF_Options_Exhibits'!B1895:B1899)),AVERAGE('20250815_ETF_Options_Exhibits'!B1895:B1899),"")</f>
        <v/>
      </c>
      <c r="C1899" s="3">
        <f>IF(ISNUMBER(AVERAGE('20250815_ETF_Options_Exhibits'!C1895:C1899)),AVERAGE('20250815_ETF_Options_Exhibits'!C1895:C1899),"")</f>
        <v/>
      </c>
      <c r="D1899" s="3">
        <f>IF(ISNUMBER(AVERAGE('20250815_ETF_Options_Exhibits'!D1895:D1899)),AVERAGE('20250815_ETF_Options_Exhibits'!D1895:D1899),"")</f>
        <v/>
      </c>
      <c r="E1899" s="3">
        <f>IF(ISNUMBER(AVERAGE('20250815_ETF_Options_Exhibits'!E1895:E1899)),AVERAGE('20250815_ETF_Options_Exhibits'!E1895:E1899),"")</f>
        <v/>
      </c>
      <c r="F1899" s="3">
        <f>IF(ISNUMBER(AVERAGE('20250815_ETF_Options_Exhibits'!F1895:F1899)),AVERAGE('20250815_ETF_Options_Exhibits'!F1895:F1899),"")</f>
        <v/>
      </c>
      <c r="G1899" s="3">
        <f>IF(ISNUMBER(AVERAGE('20250815_ETF_Options_Exhibits'!G1895:G1899)),AVERAGE('20250815_ETF_Options_Exhibits'!G1895:G1899),"")</f>
        <v/>
      </c>
      <c r="H1899" s="3">
        <f>IF(ISNUMBER(AVERAGE('20250815_ETF_Options_Exhibits'!H1895:H1899)),AVERAGE('20250815_ETF_Options_Exhibits'!H1895:H1899),"")</f>
        <v/>
      </c>
      <c r="I1899" s="3">
        <f>IF(ISNUMBER(AVERAGE('20250815_ETF_Options_Exhibits'!I1895:I1899)),AVERAGE('20250815_ETF_Options_Exhibits'!I1895:I1899),"")</f>
        <v/>
      </c>
      <c r="J1899" s="3">
        <f>IF(ISNUMBER(AVERAGE('20250815_ETF_Options_Exhibits'!J1895:J1899)),AVERAGE('20250815_ETF_Options_Exhibits'!J1895:J1899),"")</f>
        <v/>
      </c>
      <c r="K1899" s="3">
        <f>IF(ISNUMBER(AVERAGE('20250815_ETF_Options_Exhibits'!K1895:K1899)),AVERAGE('20250815_ETF_Options_Exhibits'!K1895:K1899),"")</f>
        <v/>
      </c>
      <c r="L1899" s="3">
        <f>IF(ISNUMBER(AVERAGE('20250815_ETF_Options_Exhibits'!L1895:L1899)),AVERAGE('20250815_ETF_Options_Exhibits'!L1895:L1899),"")</f>
        <v/>
      </c>
      <c r="M1899" s="3">
        <f>IF(ISNUMBER(AVERAGE('20250815_ETF_Options_Exhibits'!M1895:M1899)),AVERAGE('20250815_ETF_Options_Exhibits'!M1895:M1899),"")</f>
        <v/>
      </c>
      <c r="N1899" s="3">
        <f>IF(ISNUMBER(AVERAGE('20250815_ETF_Options_Exhibits'!N1895:N1899)),AVERAGE('20250815_ETF_Options_Exhibits'!N1895:N1899),"")</f>
        <v/>
      </c>
      <c r="O1899" s="3">
        <f>IF(ISNUMBER(AVERAGE('20250815_ETF_Options_Exhibits'!O1895:O1899)),AVERAGE('20250815_ETF_Options_Exhibits'!O1895:O1899),"")</f>
        <v/>
      </c>
      <c r="P1899" s="3">
        <f>IF(ISNUMBER(AVERAGE('20250815_ETF_Options_Exhibits'!P1895:P1899)),AVERAGE('20250815_ETF_Options_Exhibits'!P1895:P1899),"")</f>
        <v/>
      </c>
      <c r="Q1899" s="3">
        <f>IF(ISNUMBER(AVERAGE('20250815_ETF_Options_Exhibits'!Q1895:Q1899)),AVERAGE('20250815_ETF_Options_Exhibits'!Q1895:Q1899),"")</f>
        <v/>
      </c>
      <c r="R1899" s="3">
        <f>IF(ISNUMBER(AVERAGE('20250815_ETF_Options_Exhibits'!R1895:R1899)),AVERAGE('20250815_ETF_Options_Exhibits'!R1895:R1899),"")</f>
        <v/>
      </c>
      <c r="S1899" s="3">
        <f>IF(ISNUMBER(AVERAGE('20250815_ETF_Options_Exhibits'!S1895:S1899)),AVERAGE('20250815_ETF_Options_Exhibits'!S1895:S1899),"")</f>
        <v/>
      </c>
      <c r="T1899" s="3">
        <f>IF(ISNUMBER(AVERAGE('20250815_ETF_Options_Exhibits'!T1895:T1899)),AVERAGE('20250815_ETF_Options_Exhibits'!T1895:T1899),"")</f>
        <v/>
      </c>
      <c r="U1899" s="3">
        <f>IF(ISNUMBER(AVERAGE('20250815_ETF_Options_Exhibits'!U1895:U1899)),AVERAGE('20250815_ETF_Options_Exhibits'!U1895:U1899),"")</f>
        <v/>
      </c>
      <c r="V1899" s="3">
        <f>IF(ISNUMBER(AVERAGE('20250815_ETF_Options_Exhibits'!V1895:V1899)),AVERAGE('20250815_ETF_Options_Exhibits'!V1895:V1899),"")</f>
        <v/>
      </c>
      <c r="W1899" s="3">
        <f>IF(ISNUMBER(AVERAGE('20250815_ETF_Options_Exhibits'!W1895:W1899)),AVERAGE('20250815_ETF_Options_Exhibits'!W1895:W1899),"")</f>
        <v/>
      </c>
      <c r="X1899" s="3">
        <f>IF(ISNUMBER(AVERAGE('20250815_ETF_Options_Exhibits'!X1895:X1899)),AVERAGE('20250815_ETF_Options_Exhibits'!X1895:X1899),"")</f>
        <v/>
      </c>
      <c r="Y1899" s="3">
        <f>IF(ISNUMBER(AVERAGE('20250815_ETF_Options_Exhibits'!Y1895:Y1899)),AVERAGE('20250815_ETF_Options_Exhibits'!Y1895:Y1899),"")</f>
        <v/>
      </c>
      <c r="Z1899" s="3">
        <f>IF(ISNUMBER(AVERAGE('20250815_ETF_Options_Exhibits'!Z1895:Z1899)),AVERAGE('20250815_ETF_Options_Exhibits'!Z1895:Z1899),"")</f>
        <v/>
      </c>
      <c r="AA1899" s="3">
        <f>IF(ISNUMBER(AVERAGE('20250815_ETF_Options_Exhibits'!AA1895:AA1899)),AVERAGE('20250815_ETF_Options_Exhibits'!AA1895:AA1899),"")</f>
        <v/>
      </c>
    </row>
    <row r="1900">
      <c r="A1900" s="1" t="n">
        <v>44760</v>
      </c>
      <c r="B1900" s="3">
        <f>IF(ISNUMBER(AVERAGE('20250815_ETF_Options_Exhibits'!B1896:B1900)),AVERAGE('20250815_ETF_Options_Exhibits'!B1896:B1900),"")</f>
        <v/>
      </c>
      <c r="C1900" s="3">
        <f>IF(ISNUMBER(AVERAGE('20250815_ETF_Options_Exhibits'!C1896:C1900)),AVERAGE('20250815_ETF_Options_Exhibits'!C1896:C1900),"")</f>
        <v/>
      </c>
      <c r="D1900" s="3">
        <f>IF(ISNUMBER(AVERAGE('20250815_ETF_Options_Exhibits'!D1896:D1900)),AVERAGE('20250815_ETF_Options_Exhibits'!D1896:D1900),"")</f>
        <v/>
      </c>
      <c r="E1900" s="3">
        <f>IF(ISNUMBER(AVERAGE('20250815_ETF_Options_Exhibits'!E1896:E1900)),AVERAGE('20250815_ETF_Options_Exhibits'!E1896:E1900),"")</f>
        <v/>
      </c>
      <c r="F1900" s="3">
        <f>IF(ISNUMBER(AVERAGE('20250815_ETF_Options_Exhibits'!F1896:F1900)),AVERAGE('20250815_ETF_Options_Exhibits'!F1896:F1900),"")</f>
        <v/>
      </c>
      <c r="G1900" s="3">
        <f>IF(ISNUMBER(AVERAGE('20250815_ETF_Options_Exhibits'!G1896:G1900)),AVERAGE('20250815_ETF_Options_Exhibits'!G1896:G1900),"")</f>
        <v/>
      </c>
      <c r="H1900" s="3">
        <f>IF(ISNUMBER(AVERAGE('20250815_ETF_Options_Exhibits'!H1896:H1900)),AVERAGE('20250815_ETF_Options_Exhibits'!H1896:H1900),"")</f>
        <v/>
      </c>
      <c r="I1900" s="3">
        <f>IF(ISNUMBER(AVERAGE('20250815_ETF_Options_Exhibits'!I1896:I1900)),AVERAGE('20250815_ETF_Options_Exhibits'!I1896:I1900),"")</f>
        <v/>
      </c>
      <c r="J1900" s="3">
        <f>IF(ISNUMBER(AVERAGE('20250815_ETF_Options_Exhibits'!J1896:J1900)),AVERAGE('20250815_ETF_Options_Exhibits'!J1896:J1900),"")</f>
        <v/>
      </c>
      <c r="K1900" s="3">
        <f>IF(ISNUMBER(AVERAGE('20250815_ETF_Options_Exhibits'!K1896:K1900)),AVERAGE('20250815_ETF_Options_Exhibits'!K1896:K1900),"")</f>
        <v/>
      </c>
      <c r="L1900" s="3">
        <f>IF(ISNUMBER(AVERAGE('20250815_ETF_Options_Exhibits'!L1896:L1900)),AVERAGE('20250815_ETF_Options_Exhibits'!L1896:L1900),"")</f>
        <v/>
      </c>
      <c r="M1900" s="3">
        <f>IF(ISNUMBER(AVERAGE('20250815_ETF_Options_Exhibits'!M1896:M1900)),AVERAGE('20250815_ETF_Options_Exhibits'!M1896:M1900),"")</f>
        <v/>
      </c>
      <c r="N1900" s="3">
        <f>IF(ISNUMBER(AVERAGE('20250815_ETF_Options_Exhibits'!N1896:N1900)),AVERAGE('20250815_ETF_Options_Exhibits'!N1896:N1900),"")</f>
        <v/>
      </c>
      <c r="O1900" s="3">
        <f>IF(ISNUMBER(AVERAGE('20250815_ETF_Options_Exhibits'!O1896:O1900)),AVERAGE('20250815_ETF_Options_Exhibits'!O1896:O1900),"")</f>
        <v/>
      </c>
      <c r="P1900" s="3">
        <f>IF(ISNUMBER(AVERAGE('20250815_ETF_Options_Exhibits'!P1896:P1900)),AVERAGE('20250815_ETF_Options_Exhibits'!P1896:P1900),"")</f>
        <v/>
      </c>
      <c r="Q1900" s="3">
        <f>IF(ISNUMBER(AVERAGE('20250815_ETF_Options_Exhibits'!Q1896:Q1900)),AVERAGE('20250815_ETF_Options_Exhibits'!Q1896:Q1900),"")</f>
        <v/>
      </c>
      <c r="R1900" s="3">
        <f>IF(ISNUMBER(AVERAGE('20250815_ETF_Options_Exhibits'!R1896:R1900)),AVERAGE('20250815_ETF_Options_Exhibits'!R1896:R1900),"")</f>
        <v/>
      </c>
      <c r="S1900" s="3">
        <f>IF(ISNUMBER(AVERAGE('20250815_ETF_Options_Exhibits'!S1896:S1900)),AVERAGE('20250815_ETF_Options_Exhibits'!S1896:S1900),"")</f>
        <v/>
      </c>
      <c r="T1900" s="3">
        <f>IF(ISNUMBER(AVERAGE('20250815_ETF_Options_Exhibits'!T1896:T1900)),AVERAGE('20250815_ETF_Options_Exhibits'!T1896:T1900),"")</f>
        <v/>
      </c>
      <c r="U1900" s="3">
        <f>IF(ISNUMBER(AVERAGE('20250815_ETF_Options_Exhibits'!U1896:U1900)),AVERAGE('20250815_ETF_Options_Exhibits'!U1896:U1900),"")</f>
        <v/>
      </c>
      <c r="V1900" s="3">
        <f>IF(ISNUMBER(AVERAGE('20250815_ETF_Options_Exhibits'!V1896:V1900)),AVERAGE('20250815_ETF_Options_Exhibits'!V1896:V1900),"")</f>
        <v/>
      </c>
      <c r="W1900" s="3">
        <f>IF(ISNUMBER(AVERAGE('20250815_ETF_Options_Exhibits'!W1896:W1900)),AVERAGE('20250815_ETF_Options_Exhibits'!W1896:W1900),"")</f>
        <v/>
      </c>
      <c r="X1900" s="3">
        <f>IF(ISNUMBER(AVERAGE('20250815_ETF_Options_Exhibits'!X1896:X1900)),AVERAGE('20250815_ETF_Options_Exhibits'!X1896:X1900),"")</f>
        <v/>
      </c>
      <c r="Y1900" s="3">
        <f>IF(ISNUMBER(AVERAGE('20250815_ETF_Options_Exhibits'!Y1896:Y1900)),AVERAGE('20250815_ETF_Options_Exhibits'!Y1896:Y1900),"")</f>
        <v/>
      </c>
      <c r="Z1900" s="3">
        <f>IF(ISNUMBER(AVERAGE('20250815_ETF_Options_Exhibits'!Z1896:Z1900)),AVERAGE('20250815_ETF_Options_Exhibits'!Z1896:Z1900),"")</f>
        <v/>
      </c>
      <c r="AA1900" s="3">
        <f>IF(ISNUMBER(AVERAGE('20250815_ETF_Options_Exhibits'!AA1896:AA1900)),AVERAGE('20250815_ETF_Options_Exhibits'!AA1896:AA1900),"")</f>
        <v/>
      </c>
    </row>
    <row r="1901">
      <c r="A1901" s="1" t="n">
        <v>44761</v>
      </c>
      <c r="B1901" s="3">
        <f>IF(ISNUMBER(AVERAGE('20250815_ETF_Options_Exhibits'!B1897:B1901)),AVERAGE('20250815_ETF_Options_Exhibits'!B1897:B1901),"")</f>
        <v/>
      </c>
      <c r="C1901" s="3">
        <f>IF(ISNUMBER(AVERAGE('20250815_ETF_Options_Exhibits'!C1897:C1901)),AVERAGE('20250815_ETF_Options_Exhibits'!C1897:C1901),"")</f>
        <v/>
      </c>
      <c r="D1901" s="3">
        <f>IF(ISNUMBER(AVERAGE('20250815_ETF_Options_Exhibits'!D1897:D1901)),AVERAGE('20250815_ETF_Options_Exhibits'!D1897:D1901),"")</f>
        <v/>
      </c>
      <c r="E1901" s="3">
        <f>IF(ISNUMBER(AVERAGE('20250815_ETF_Options_Exhibits'!E1897:E1901)),AVERAGE('20250815_ETF_Options_Exhibits'!E1897:E1901),"")</f>
        <v/>
      </c>
      <c r="F1901" s="3">
        <f>IF(ISNUMBER(AVERAGE('20250815_ETF_Options_Exhibits'!F1897:F1901)),AVERAGE('20250815_ETF_Options_Exhibits'!F1897:F1901),"")</f>
        <v/>
      </c>
      <c r="G1901" s="3">
        <f>IF(ISNUMBER(AVERAGE('20250815_ETF_Options_Exhibits'!G1897:G1901)),AVERAGE('20250815_ETF_Options_Exhibits'!G1897:G1901),"")</f>
        <v/>
      </c>
      <c r="H1901" s="3">
        <f>IF(ISNUMBER(AVERAGE('20250815_ETF_Options_Exhibits'!H1897:H1901)),AVERAGE('20250815_ETF_Options_Exhibits'!H1897:H1901),"")</f>
        <v/>
      </c>
      <c r="I1901" s="3">
        <f>IF(ISNUMBER(AVERAGE('20250815_ETF_Options_Exhibits'!I1897:I1901)),AVERAGE('20250815_ETF_Options_Exhibits'!I1897:I1901),"")</f>
        <v/>
      </c>
      <c r="J1901" s="3">
        <f>IF(ISNUMBER(AVERAGE('20250815_ETF_Options_Exhibits'!J1897:J1901)),AVERAGE('20250815_ETF_Options_Exhibits'!J1897:J1901),"")</f>
        <v/>
      </c>
      <c r="K1901" s="3">
        <f>IF(ISNUMBER(AVERAGE('20250815_ETF_Options_Exhibits'!K1897:K1901)),AVERAGE('20250815_ETF_Options_Exhibits'!K1897:K1901),"")</f>
        <v/>
      </c>
      <c r="L1901" s="3">
        <f>IF(ISNUMBER(AVERAGE('20250815_ETF_Options_Exhibits'!L1897:L1901)),AVERAGE('20250815_ETF_Options_Exhibits'!L1897:L1901),"")</f>
        <v/>
      </c>
      <c r="M1901" s="3">
        <f>IF(ISNUMBER(AVERAGE('20250815_ETF_Options_Exhibits'!M1897:M1901)),AVERAGE('20250815_ETF_Options_Exhibits'!M1897:M1901),"")</f>
        <v/>
      </c>
      <c r="N1901" s="3">
        <f>IF(ISNUMBER(AVERAGE('20250815_ETF_Options_Exhibits'!N1897:N1901)),AVERAGE('20250815_ETF_Options_Exhibits'!N1897:N1901),"")</f>
        <v/>
      </c>
      <c r="O1901" s="3">
        <f>IF(ISNUMBER(AVERAGE('20250815_ETF_Options_Exhibits'!O1897:O1901)),AVERAGE('20250815_ETF_Options_Exhibits'!O1897:O1901),"")</f>
        <v/>
      </c>
      <c r="P1901" s="3">
        <f>IF(ISNUMBER(AVERAGE('20250815_ETF_Options_Exhibits'!P1897:P1901)),AVERAGE('20250815_ETF_Options_Exhibits'!P1897:P1901),"")</f>
        <v/>
      </c>
      <c r="Q1901" s="3">
        <f>IF(ISNUMBER(AVERAGE('20250815_ETF_Options_Exhibits'!Q1897:Q1901)),AVERAGE('20250815_ETF_Options_Exhibits'!Q1897:Q1901),"")</f>
        <v/>
      </c>
      <c r="R1901" s="3">
        <f>IF(ISNUMBER(AVERAGE('20250815_ETF_Options_Exhibits'!R1897:R1901)),AVERAGE('20250815_ETF_Options_Exhibits'!R1897:R1901),"")</f>
        <v/>
      </c>
      <c r="S1901" s="3">
        <f>IF(ISNUMBER(AVERAGE('20250815_ETF_Options_Exhibits'!S1897:S1901)),AVERAGE('20250815_ETF_Options_Exhibits'!S1897:S1901),"")</f>
        <v/>
      </c>
      <c r="T1901" s="3">
        <f>IF(ISNUMBER(AVERAGE('20250815_ETF_Options_Exhibits'!T1897:T1901)),AVERAGE('20250815_ETF_Options_Exhibits'!T1897:T1901),"")</f>
        <v/>
      </c>
      <c r="U1901" s="3">
        <f>IF(ISNUMBER(AVERAGE('20250815_ETF_Options_Exhibits'!U1897:U1901)),AVERAGE('20250815_ETF_Options_Exhibits'!U1897:U1901),"")</f>
        <v/>
      </c>
      <c r="V1901" s="3">
        <f>IF(ISNUMBER(AVERAGE('20250815_ETF_Options_Exhibits'!V1897:V1901)),AVERAGE('20250815_ETF_Options_Exhibits'!V1897:V1901),"")</f>
        <v/>
      </c>
      <c r="W1901" s="3">
        <f>IF(ISNUMBER(AVERAGE('20250815_ETF_Options_Exhibits'!W1897:W1901)),AVERAGE('20250815_ETF_Options_Exhibits'!W1897:W1901),"")</f>
        <v/>
      </c>
      <c r="X1901" s="3">
        <f>IF(ISNUMBER(AVERAGE('20250815_ETF_Options_Exhibits'!X1897:X1901)),AVERAGE('20250815_ETF_Options_Exhibits'!X1897:X1901),"")</f>
        <v/>
      </c>
      <c r="Y1901" s="3">
        <f>IF(ISNUMBER(AVERAGE('20250815_ETF_Options_Exhibits'!Y1897:Y1901)),AVERAGE('20250815_ETF_Options_Exhibits'!Y1897:Y1901),"")</f>
        <v/>
      </c>
      <c r="Z1901" s="3">
        <f>IF(ISNUMBER(AVERAGE('20250815_ETF_Options_Exhibits'!Z1897:Z1901)),AVERAGE('20250815_ETF_Options_Exhibits'!Z1897:Z1901),"")</f>
        <v/>
      </c>
      <c r="AA1901" s="3">
        <f>IF(ISNUMBER(AVERAGE('20250815_ETF_Options_Exhibits'!AA1897:AA1901)),AVERAGE('20250815_ETF_Options_Exhibits'!AA1897:AA1901),"")</f>
        <v/>
      </c>
    </row>
    <row r="1902">
      <c r="A1902" s="1" t="n">
        <v>44762</v>
      </c>
      <c r="B1902" s="3">
        <f>IF(ISNUMBER(AVERAGE('20250815_ETF_Options_Exhibits'!B1898:B1902)),AVERAGE('20250815_ETF_Options_Exhibits'!B1898:B1902),"")</f>
        <v/>
      </c>
      <c r="C1902" s="3">
        <f>IF(ISNUMBER(AVERAGE('20250815_ETF_Options_Exhibits'!C1898:C1902)),AVERAGE('20250815_ETF_Options_Exhibits'!C1898:C1902),"")</f>
        <v/>
      </c>
      <c r="D1902" s="3">
        <f>IF(ISNUMBER(AVERAGE('20250815_ETF_Options_Exhibits'!D1898:D1902)),AVERAGE('20250815_ETF_Options_Exhibits'!D1898:D1902),"")</f>
        <v/>
      </c>
      <c r="E1902" s="3">
        <f>IF(ISNUMBER(AVERAGE('20250815_ETF_Options_Exhibits'!E1898:E1902)),AVERAGE('20250815_ETF_Options_Exhibits'!E1898:E1902),"")</f>
        <v/>
      </c>
      <c r="F1902" s="3">
        <f>IF(ISNUMBER(AVERAGE('20250815_ETF_Options_Exhibits'!F1898:F1902)),AVERAGE('20250815_ETF_Options_Exhibits'!F1898:F1902),"")</f>
        <v/>
      </c>
      <c r="G1902" s="3">
        <f>IF(ISNUMBER(AVERAGE('20250815_ETF_Options_Exhibits'!G1898:G1902)),AVERAGE('20250815_ETF_Options_Exhibits'!G1898:G1902),"")</f>
        <v/>
      </c>
      <c r="H1902" s="3">
        <f>IF(ISNUMBER(AVERAGE('20250815_ETF_Options_Exhibits'!H1898:H1902)),AVERAGE('20250815_ETF_Options_Exhibits'!H1898:H1902),"")</f>
        <v/>
      </c>
      <c r="I1902" s="3">
        <f>IF(ISNUMBER(AVERAGE('20250815_ETF_Options_Exhibits'!I1898:I1902)),AVERAGE('20250815_ETF_Options_Exhibits'!I1898:I1902),"")</f>
        <v/>
      </c>
      <c r="J1902" s="3">
        <f>IF(ISNUMBER(AVERAGE('20250815_ETF_Options_Exhibits'!J1898:J1902)),AVERAGE('20250815_ETF_Options_Exhibits'!J1898:J1902),"")</f>
        <v/>
      </c>
      <c r="K1902" s="3">
        <f>IF(ISNUMBER(AVERAGE('20250815_ETF_Options_Exhibits'!K1898:K1902)),AVERAGE('20250815_ETF_Options_Exhibits'!K1898:K1902),"")</f>
        <v/>
      </c>
      <c r="L1902" s="3">
        <f>IF(ISNUMBER(AVERAGE('20250815_ETF_Options_Exhibits'!L1898:L1902)),AVERAGE('20250815_ETF_Options_Exhibits'!L1898:L1902),"")</f>
        <v/>
      </c>
      <c r="M1902" s="3">
        <f>IF(ISNUMBER(AVERAGE('20250815_ETF_Options_Exhibits'!M1898:M1902)),AVERAGE('20250815_ETF_Options_Exhibits'!M1898:M1902),"")</f>
        <v/>
      </c>
      <c r="N1902" s="3">
        <f>IF(ISNUMBER(AVERAGE('20250815_ETF_Options_Exhibits'!N1898:N1902)),AVERAGE('20250815_ETF_Options_Exhibits'!N1898:N1902),"")</f>
        <v/>
      </c>
      <c r="O1902" s="3">
        <f>IF(ISNUMBER(AVERAGE('20250815_ETF_Options_Exhibits'!O1898:O1902)),AVERAGE('20250815_ETF_Options_Exhibits'!O1898:O1902),"")</f>
        <v/>
      </c>
      <c r="P1902" s="3">
        <f>IF(ISNUMBER(AVERAGE('20250815_ETF_Options_Exhibits'!P1898:P1902)),AVERAGE('20250815_ETF_Options_Exhibits'!P1898:P1902),"")</f>
        <v/>
      </c>
      <c r="Q1902" s="3">
        <f>IF(ISNUMBER(AVERAGE('20250815_ETF_Options_Exhibits'!Q1898:Q1902)),AVERAGE('20250815_ETF_Options_Exhibits'!Q1898:Q1902),"")</f>
        <v/>
      </c>
      <c r="R1902" s="3">
        <f>IF(ISNUMBER(AVERAGE('20250815_ETF_Options_Exhibits'!R1898:R1902)),AVERAGE('20250815_ETF_Options_Exhibits'!R1898:R1902),"")</f>
        <v/>
      </c>
      <c r="S1902" s="3">
        <f>IF(ISNUMBER(AVERAGE('20250815_ETF_Options_Exhibits'!S1898:S1902)),AVERAGE('20250815_ETF_Options_Exhibits'!S1898:S1902),"")</f>
        <v/>
      </c>
      <c r="T1902" s="3">
        <f>IF(ISNUMBER(AVERAGE('20250815_ETF_Options_Exhibits'!T1898:T1902)),AVERAGE('20250815_ETF_Options_Exhibits'!T1898:T1902),"")</f>
        <v/>
      </c>
      <c r="U1902" s="3">
        <f>IF(ISNUMBER(AVERAGE('20250815_ETF_Options_Exhibits'!U1898:U1902)),AVERAGE('20250815_ETF_Options_Exhibits'!U1898:U1902),"")</f>
        <v/>
      </c>
      <c r="V1902" s="3">
        <f>IF(ISNUMBER(AVERAGE('20250815_ETF_Options_Exhibits'!V1898:V1902)),AVERAGE('20250815_ETF_Options_Exhibits'!V1898:V1902),"")</f>
        <v/>
      </c>
      <c r="W1902" s="3">
        <f>IF(ISNUMBER(AVERAGE('20250815_ETF_Options_Exhibits'!W1898:W1902)),AVERAGE('20250815_ETF_Options_Exhibits'!W1898:W1902),"")</f>
        <v/>
      </c>
      <c r="X1902" s="3">
        <f>IF(ISNUMBER(AVERAGE('20250815_ETF_Options_Exhibits'!X1898:X1902)),AVERAGE('20250815_ETF_Options_Exhibits'!X1898:X1902),"")</f>
        <v/>
      </c>
      <c r="Y1902" s="3">
        <f>IF(ISNUMBER(AVERAGE('20250815_ETF_Options_Exhibits'!Y1898:Y1902)),AVERAGE('20250815_ETF_Options_Exhibits'!Y1898:Y1902),"")</f>
        <v/>
      </c>
      <c r="Z1902" s="3">
        <f>IF(ISNUMBER(AVERAGE('20250815_ETF_Options_Exhibits'!Z1898:Z1902)),AVERAGE('20250815_ETF_Options_Exhibits'!Z1898:Z1902),"")</f>
        <v/>
      </c>
      <c r="AA1902" s="3">
        <f>IF(ISNUMBER(AVERAGE('20250815_ETF_Options_Exhibits'!AA1898:AA1902)),AVERAGE('20250815_ETF_Options_Exhibits'!AA1898:AA1902),"")</f>
        <v/>
      </c>
    </row>
    <row r="1903">
      <c r="A1903" s="1" t="n">
        <v>44763</v>
      </c>
      <c r="B1903" s="3">
        <f>IF(ISNUMBER(AVERAGE('20250815_ETF_Options_Exhibits'!B1899:B1903)),AVERAGE('20250815_ETF_Options_Exhibits'!B1899:B1903),"")</f>
        <v/>
      </c>
      <c r="C1903" s="3">
        <f>IF(ISNUMBER(AVERAGE('20250815_ETF_Options_Exhibits'!C1899:C1903)),AVERAGE('20250815_ETF_Options_Exhibits'!C1899:C1903),"")</f>
        <v/>
      </c>
      <c r="D1903" s="3">
        <f>IF(ISNUMBER(AVERAGE('20250815_ETF_Options_Exhibits'!D1899:D1903)),AVERAGE('20250815_ETF_Options_Exhibits'!D1899:D1903),"")</f>
        <v/>
      </c>
      <c r="E1903" s="3">
        <f>IF(ISNUMBER(AVERAGE('20250815_ETF_Options_Exhibits'!E1899:E1903)),AVERAGE('20250815_ETF_Options_Exhibits'!E1899:E1903),"")</f>
        <v/>
      </c>
      <c r="F1903" s="3">
        <f>IF(ISNUMBER(AVERAGE('20250815_ETF_Options_Exhibits'!F1899:F1903)),AVERAGE('20250815_ETF_Options_Exhibits'!F1899:F1903),"")</f>
        <v/>
      </c>
      <c r="G1903" s="3">
        <f>IF(ISNUMBER(AVERAGE('20250815_ETF_Options_Exhibits'!G1899:G1903)),AVERAGE('20250815_ETF_Options_Exhibits'!G1899:G1903),"")</f>
        <v/>
      </c>
      <c r="H1903" s="3">
        <f>IF(ISNUMBER(AVERAGE('20250815_ETF_Options_Exhibits'!H1899:H1903)),AVERAGE('20250815_ETF_Options_Exhibits'!H1899:H1903),"")</f>
        <v/>
      </c>
      <c r="I1903" s="3">
        <f>IF(ISNUMBER(AVERAGE('20250815_ETF_Options_Exhibits'!I1899:I1903)),AVERAGE('20250815_ETF_Options_Exhibits'!I1899:I1903),"")</f>
        <v/>
      </c>
      <c r="J1903" s="3">
        <f>IF(ISNUMBER(AVERAGE('20250815_ETF_Options_Exhibits'!J1899:J1903)),AVERAGE('20250815_ETF_Options_Exhibits'!J1899:J1903),"")</f>
        <v/>
      </c>
      <c r="K1903" s="3">
        <f>IF(ISNUMBER(AVERAGE('20250815_ETF_Options_Exhibits'!K1899:K1903)),AVERAGE('20250815_ETF_Options_Exhibits'!K1899:K1903),"")</f>
        <v/>
      </c>
      <c r="L1903" s="3">
        <f>IF(ISNUMBER(AVERAGE('20250815_ETF_Options_Exhibits'!L1899:L1903)),AVERAGE('20250815_ETF_Options_Exhibits'!L1899:L1903),"")</f>
        <v/>
      </c>
      <c r="M1903" s="3">
        <f>IF(ISNUMBER(AVERAGE('20250815_ETF_Options_Exhibits'!M1899:M1903)),AVERAGE('20250815_ETF_Options_Exhibits'!M1899:M1903),"")</f>
        <v/>
      </c>
      <c r="N1903" s="3">
        <f>IF(ISNUMBER(AVERAGE('20250815_ETF_Options_Exhibits'!N1899:N1903)),AVERAGE('20250815_ETF_Options_Exhibits'!N1899:N1903),"")</f>
        <v/>
      </c>
      <c r="O1903" s="3">
        <f>IF(ISNUMBER(AVERAGE('20250815_ETF_Options_Exhibits'!O1899:O1903)),AVERAGE('20250815_ETF_Options_Exhibits'!O1899:O1903),"")</f>
        <v/>
      </c>
      <c r="P1903" s="3">
        <f>IF(ISNUMBER(AVERAGE('20250815_ETF_Options_Exhibits'!P1899:P1903)),AVERAGE('20250815_ETF_Options_Exhibits'!P1899:P1903),"")</f>
        <v/>
      </c>
      <c r="Q1903" s="3">
        <f>IF(ISNUMBER(AVERAGE('20250815_ETF_Options_Exhibits'!Q1899:Q1903)),AVERAGE('20250815_ETF_Options_Exhibits'!Q1899:Q1903),"")</f>
        <v/>
      </c>
      <c r="R1903" s="3">
        <f>IF(ISNUMBER(AVERAGE('20250815_ETF_Options_Exhibits'!R1899:R1903)),AVERAGE('20250815_ETF_Options_Exhibits'!R1899:R1903),"")</f>
        <v/>
      </c>
      <c r="S1903" s="3">
        <f>IF(ISNUMBER(AVERAGE('20250815_ETF_Options_Exhibits'!S1899:S1903)),AVERAGE('20250815_ETF_Options_Exhibits'!S1899:S1903),"")</f>
        <v/>
      </c>
      <c r="T1903" s="3">
        <f>IF(ISNUMBER(AVERAGE('20250815_ETF_Options_Exhibits'!T1899:T1903)),AVERAGE('20250815_ETF_Options_Exhibits'!T1899:T1903),"")</f>
        <v/>
      </c>
      <c r="U1903" s="3">
        <f>IF(ISNUMBER(AVERAGE('20250815_ETF_Options_Exhibits'!U1899:U1903)),AVERAGE('20250815_ETF_Options_Exhibits'!U1899:U1903),"")</f>
        <v/>
      </c>
      <c r="V1903" s="3">
        <f>IF(ISNUMBER(AVERAGE('20250815_ETF_Options_Exhibits'!V1899:V1903)),AVERAGE('20250815_ETF_Options_Exhibits'!V1899:V1903),"")</f>
        <v/>
      </c>
      <c r="W1903" s="3">
        <f>IF(ISNUMBER(AVERAGE('20250815_ETF_Options_Exhibits'!W1899:W1903)),AVERAGE('20250815_ETF_Options_Exhibits'!W1899:W1903),"")</f>
        <v/>
      </c>
      <c r="X1903" s="3">
        <f>IF(ISNUMBER(AVERAGE('20250815_ETF_Options_Exhibits'!X1899:X1903)),AVERAGE('20250815_ETF_Options_Exhibits'!X1899:X1903),"")</f>
        <v/>
      </c>
      <c r="Y1903" s="3">
        <f>IF(ISNUMBER(AVERAGE('20250815_ETF_Options_Exhibits'!Y1899:Y1903)),AVERAGE('20250815_ETF_Options_Exhibits'!Y1899:Y1903),"")</f>
        <v/>
      </c>
      <c r="Z1903" s="3">
        <f>IF(ISNUMBER(AVERAGE('20250815_ETF_Options_Exhibits'!Z1899:Z1903)),AVERAGE('20250815_ETF_Options_Exhibits'!Z1899:Z1903),"")</f>
        <v/>
      </c>
      <c r="AA1903" s="3">
        <f>IF(ISNUMBER(AVERAGE('20250815_ETF_Options_Exhibits'!AA1899:AA1903)),AVERAGE('20250815_ETF_Options_Exhibits'!AA1899:AA1903),"")</f>
        <v/>
      </c>
    </row>
    <row r="1904">
      <c r="A1904" s="1" t="n">
        <v>44764</v>
      </c>
      <c r="B1904" s="3">
        <f>IF(ISNUMBER(AVERAGE('20250815_ETF_Options_Exhibits'!B1900:B1904)),AVERAGE('20250815_ETF_Options_Exhibits'!B1900:B1904),"")</f>
        <v/>
      </c>
      <c r="C1904" s="3">
        <f>IF(ISNUMBER(AVERAGE('20250815_ETF_Options_Exhibits'!C1900:C1904)),AVERAGE('20250815_ETF_Options_Exhibits'!C1900:C1904),"")</f>
        <v/>
      </c>
      <c r="D1904" s="3">
        <f>IF(ISNUMBER(AVERAGE('20250815_ETF_Options_Exhibits'!D1900:D1904)),AVERAGE('20250815_ETF_Options_Exhibits'!D1900:D1904),"")</f>
        <v/>
      </c>
      <c r="E1904" s="3">
        <f>IF(ISNUMBER(AVERAGE('20250815_ETF_Options_Exhibits'!E1900:E1904)),AVERAGE('20250815_ETF_Options_Exhibits'!E1900:E1904),"")</f>
        <v/>
      </c>
      <c r="F1904" s="3">
        <f>IF(ISNUMBER(AVERAGE('20250815_ETF_Options_Exhibits'!F1900:F1904)),AVERAGE('20250815_ETF_Options_Exhibits'!F1900:F1904),"")</f>
        <v/>
      </c>
      <c r="G1904" s="3">
        <f>IF(ISNUMBER(AVERAGE('20250815_ETF_Options_Exhibits'!G1900:G1904)),AVERAGE('20250815_ETF_Options_Exhibits'!G1900:G1904),"")</f>
        <v/>
      </c>
      <c r="H1904" s="3">
        <f>IF(ISNUMBER(AVERAGE('20250815_ETF_Options_Exhibits'!H1900:H1904)),AVERAGE('20250815_ETF_Options_Exhibits'!H1900:H1904),"")</f>
        <v/>
      </c>
      <c r="I1904" s="3">
        <f>IF(ISNUMBER(AVERAGE('20250815_ETF_Options_Exhibits'!I1900:I1904)),AVERAGE('20250815_ETF_Options_Exhibits'!I1900:I1904),"")</f>
        <v/>
      </c>
      <c r="J1904" s="3">
        <f>IF(ISNUMBER(AVERAGE('20250815_ETF_Options_Exhibits'!J1900:J1904)),AVERAGE('20250815_ETF_Options_Exhibits'!J1900:J1904),"")</f>
        <v/>
      </c>
      <c r="K1904" s="3">
        <f>IF(ISNUMBER(AVERAGE('20250815_ETF_Options_Exhibits'!K1900:K1904)),AVERAGE('20250815_ETF_Options_Exhibits'!K1900:K1904),"")</f>
        <v/>
      </c>
      <c r="L1904" s="3">
        <f>IF(ISNUMBER(AVERAGE('20250815_ETF_Options_Exhibits'!L1900:L1904)),AVERAGE('20250815_ETF_Options_Exhibits'!L1900:L1904),"")</f>
        <v/>
      </c>
      <c r="M1904" s="3">
        <f>IF(ISNUMBER(AVERAGE('20250815_ETF_Options_Exhibits'!M1900:M1904)),AVERAGE('20250815_ETF_Options_Exhibits'!M1900:M1904),"")</f>
        <v/>
      </c>
      <c r="N1904" s="3">
        <f>IF(ISNUMBER(AVERAGE('20250815_ETF_Options_Exhibits'!N1900:N1904)),AVERAGE('20250815_ETF_Options_Exhibits'!N1900:N1904),"")</f>
        <v/>
      </c>
      <c r="O1904" s="3">
        <f>IF(ISNUMBER(AVERAGE('20250815_ETF_Options_Exhibits'!O1900:O1904)),AVERAGE('20250815_ETF_Options_Exhibits'!O1900:O1904),"")</f>
        <v/>
      </c>
      <c r="P1904" s="3">
        <f>IF(ISNUMBER(AVERAGE('20250815_ETF_Options_Exhibits'!P1900:P1904)),AVERAGE('20250815_ETF_Options_Exhibits'!P1900:P1904),"")</f>
        <v/>
      </c>
      <c r="Q1904" s="3">
        <f>IF(ISNUMBER(AVERAGE('20250815_ETF_Options_Exhibits'!Q1900:Q1904)),AVERAGE('20250815_ETF_Options_Exhibits'!Q1900:Q1904),"")</f>
        <v/>
      </c>
      <c r="R1904" s="3">
        <f>IF(ISNUMBER(AVERAGE('20250815_ETF_Options_Exhibits'!R1900:R1904)),AVERAGE('20250815_ETF_Options_Exhibits'!R1900:R1904),"")</f>
        <v/>
      </c>
      <c r="S1904" s="3">
        <f>IF(ISNUMBER(AVERAGE('20250815_ETF_Options_Exhibits'!S1900:S1904)),AVERAGE('20250815_ETF_Options_Exhibits'!S1900:S1904),"")</f>
        <v/>
      </c>
      <c r="T1904" s="3">
        <f>IF(ISNUMBER(AVERAGE('20250815_ETF_Options_Exhibits'!T1900:T1904)),AVERAGE('20250815_ETF_Options_Exhibits'!T1900:T1904),"")</f>
        <v/>
      </c>
      <c r="U1904" s="3">
        <f>IF(ISNUMBER(AVERAGE('20250815_ETF_Options_Exhibits'!U1900:U1904)),AVERAGE('20250815_ETF_Options_Exhibits'!U1900:U1904),"")</f>
        <v/>
      </c>
      <c r="V1904" s="3">
        <f>IF(ISNUMBER(AVERAGE('20250815_ETF_Options_Exhibits'!V1900:V1904)),AVERAGE('20250815_ETF_Options_Exhibits'!V1900:V1904),"")</f>
        <v/>
      </c>
      <c r="W1904" s="3">
        <f>IF(ISNUMBER(AVERAGE('20250815_ETF_Options_Exhibits'!W1900:W1904)),AVERAGE('20250815_ETF_Options_Exhibits'!W1900:W1904),"")</f>
        <v/>
      </c>
      <c r="X1904" s="3">
        <f>IF(ISNUMBER(AVERAGE('20250815_ETF_Options_Exhibits'!X1900:X1904)),AVERAGE('20250815_ETF_Options_Exhibits'!X1900:X1904),"")</f>
        <v/>
      </c>
      <c r="Y1904" s="3">
        <f>IF(ISNUMBER(AVERAGE('20250815_ETF_Options_Exhibits'!Y1900:Y1904)),AVERAGE('20250815_ETF_Options_Exhibits'!Y1900:Y1904),"")</f>
        <v/>
      </c>
      <c r="Z1904" s="3">
        <f>IF(ISNUMBER(AVERAGE('20250815_ETF_Options_Exhibits'!Z1900:Z1904)),AVERAGE('20250815_ETF_Options_Exhibits'!Z1900:Z1904),"")</f>
        <v/>
      </c>
      <c r="AA1904" s="3">
        <f>IF(ISNUMBER(AVERAGE('20250815_ETF_Options_Exhibits'!AA1900:AA1904)),AVERAGE('20250815_ETF_Options_Exhibits'!AA1900:AA1904),"")</f>
        <v/>
      </c>
    </row>
    <row r="1905">
      <c r="A1905" s="1" t="n">
        <v>44767</v>
      </c>
      <c r="B1905" s="3">
        <f>IF(ISNUMBER(AVERAGE('20250815_ETF_Options_Exhibits'!B1901:B1905)),AVERAGE('20250815_ETF_Options_Exhibits'!B1901:B1905),"")</f>
        <v/>
      </c>
      <c r="C1905" s="3">
        <f>IF(ISNUMBER(AVERAGE('20250815_ETF_Options_Exhibits'!C1901:C1905)),AVERAGE('20250815_ETF_Options_Exhibits'!C1901:C1905),"")</f>
        <v/>
      </c>
      <c r="D1905" s="3">
        <f>IF(ISNUMBER(AVERAGE('20250815_ETF_Options_Exhibits'!D1901:D1905)),AVERAGE('20250815_ETF_Options_Exhibits'!D1901:D1905),"")</f>
        <v/>
      </c>
      <c r="E1905" s="3">
        <f>IF(ISNUMBER(AVERAGE('20250815_ETF_Options_Exhibits'!E1901:E1905)),AVERAGE('20250815_ETF_Options_Exhibits'!E1901:E1905),"")</f>
        <v/>
      </c>
      <c r="F1905" s="3">
        <f>IF(ISNUMBER(AVERAGE('20250815_ETF_Options_Exhibits'!F1901:F1905)),AVERAGE('20250815_ETF_Options_Exhibits'!F1901:F1905),"")</f>
        <v/>
      </c>
      <c r="G1905" s="3">
        <f>IF(ISNUMBER(AVERAGE('20250815_ETF_Options_Exhibits'!G1901:G1905)),AVERAGE('20250815_ETF_Options_Exhibits'!G1901:G1905),"")</f>
        <v/>
      </c>
      <c r="H1905" s="3">
        <f>IF(ISNUMBER(AVERAGE('20250815_ETF_Options_Exhibits'!H1901:H1905)),AVERAGE('20250815_ETF_Options_Exhibits'!H1901:H1905),"")</f>
        <v/>
      </c>
      <c r="I1905" s="3">
        <f>IF(ISNUMBER(AVERAGE('20250815_ETF_Options_Exhibits'!I1901:I1905)),AVERAGE('20250815_ETF_Options_Exhibits'!I1901:I1905),"")</f>
        <v/>
      </c>
      <c r="J1905" s="3">
        <f>IF(ISNUMBER(AVERAGE('20250815_ETF_Options_Exhibits'!J1901:J1905)),AVERAGE('20250815_ETF_Options_Exhibits'!J1901:J1905),"")</f>
        <v/>
      </c>
      <c r="K1905" s="3">
        <f>IF(ISNUMBER(AVERAGE('20250815_ETF_Options_Exhibits'!K1901:K1905)),AVERAGE('20250815_ETF_Options_Exhibits'!K1901:K1905),"")</f>
        <v/>
      </c>
      <c r="L1905" s="3">
        <f>IF(ISNUMBER(AVERAGE('20250815_ETF_Options_Exhibits'!L1901:L1905)),AVERAGE('20250815_ETF_Options_Exhibits'!L1901:L1905),"")</f>
        <v/>
      </c>
      <c r="M1905" s="3">
        <f>IF(ISNUMBER(AVERAGE('20250815_ETF_Options_Exhibits'!M1901:M1905)),AVERAGE('20250815_ETF_Options_Exhibits'!M1901:M1905),"")</f>
        <v/>
      </c>
      <c r="N1905" s="3">
        <f>IF(ISNUMBER(AVERAGE('20250815_ETF_Options_Exhibits'!N1901:N1905)),AVERAGE('20250815_ETF_Options_Exhibits'!N1901:N1905),"")</f>
        <v/>
      </c>
      <c r="O1905" s="3">
        <f>IF(ISNUMBER(AVERAGE('20250815_ETF_Options_Exhibits'!O1901:O1905)),AVERAGE('20250815_ETF_Options_Exhibits'!O1901:O1905),"")</f>
        <v/>
      </c>
      <c r="P1905" s="3">
        <f>IF(ISNUMBER(AVERAGE('20250815_ETF_Options_Exhibits'!P1901:P1905)),AVERAGE('20250815_ETF_Options_Exhibits'!P1901:P1905),"")</f>
        <v/>
      </c>
      <c r="Q1905" s="3">
        <f>IF(ISNUMBER(AVERAGE('20250815_ETF_Options_Exhibits'!Q1901:Q1905)),AVERAGE('20250815_ETF_Options_Exhibits'!Q1901:Q1905),"")</f>
        <v/>
      </c>
      <c r="R1905" s="3">
        <f>IF(ISNUMBER(AVERAGE('20250815_ETF_Options_Exhibits'!R1901:R1905)),AVERAGE('20250815_ETF_Options_Exhibits'!R1901:R1905),"")</f>
        <v/>
      </c>
      <c r="S1905" s="3">
        <f>IF(ISNUMBER(AVERAGE('20250815_ETF_Options_Exhibits'!S1901:S1905)),AVERAGE('20250815_ETF_Options_Exhibits'!S1901:S1905),"")</f>
        <v/>
      </c>
      <c r="T1905" s="3">
        <f>IF(ISNUMBER(AVERAGE('20250815_ETF_Options_Exhibits'!T1901:T1905)),AVERAGE('20250815_ETF_Options_Exhibits'!T1901:T1905),"")</f>
        <v/>
      </c>
      <c r="U1905" s="3">
        <f>IF(ISNUMBER(AVERAGE('20250815_ETF_Options_Exhibits'!U1901:U1905)),AVERAGE('20250815_ETF_Options_Exhibits'!U1901:U1905),"")</f>
        <v/>
      </c>
      <c r="V1905" s="3">
        <f>IF(ISNUMBER(AVERAGE('20250815_ETF_Options_Exhibits'!V1901:V1905)),AVERAGE('20250815_ETF_Options_Exhibits'!V1901:V1905),"")</f>
        <v/>
      </c>
      <c r="W1905" s="3">
        <f>IF(ISNUMBER(AVERAGE('20250815_ETF_Options_Exhibits'!W1901:W1905)),AVERAGE('20250815_ETF_Options_Exhibits'!W1901:W1905),"")</f>
        <v/>
      </c>
      <c r="X1905" s="3">
        <f>IF(ISNUMBER(AVERAGE('20250815_ETF_Options_Exhibits'!X1901:X1905)),AVERAGE('20250815_ETF_Options_Exhibits'!X1901:X1905),"")</f>
        <v/>
      </c>
      <c r="Y1905" s="3">
        <f>IF(ISNUMBER(AVERAGE('20250815_ETF_Options_Exhibits'!Y1901:Y1905)),AVERAGE('20250815_ETF_Options_Exhibits'!Y1901:Y1905),"")</f>
        <v/>
      </c>
      <c r="Z1905" s="3">
        <f>IF(ISNUMBER(AVERAGE('20250815_ETF_Options_Exhibits'!Z1901:Z1905)),AVERAGE('20250815_ETF_Options_Exhibits'!Z1901:Z1905),"")</f>
        <v/>
      </c>
      <c r="AA1905" s="3">
        <f>IF(ISNUMBER(AVERAGE('20250815_ETF_Options_Exhibits'!AA1901:AA1905)),AVERAGE('20250815_ETF_Options_Exhibits'!AA1901:AA1905),"")</f>
        <v/>
      </c>
    </row>
    <row r="1906">
      <c r="A1906" s="1" t="n">
        <v>44768</v>
      </c>
      <c r="B1906" s="3">
        <f>IF(ISNUMBER(AVERAGE('20250815_ETF_Options_Exhibits'!B1902:B1906)),AVERAGE('20250815_ETF_Options_Exhibits'!B1902:B1906),"")</f>
        <v/>
      </c>
      <c r="C1906" s="3">
        <f>IF(ISNUMBER(AVERAGE('20250815_ETF_Options_Exhibits'!C1902:C1906)),AVERAGE('20250815_ETF_Options_Exhibits'!C1902:C1906),"")</f>
        <v/>
      </c>
      <c r="D1906" s="3">
        <f>IF(ISNUMBER(AVERAGE('20250815_ETF_Options_Exhibits'!D1902:D1906)),AVERAGE('20250815_ETF_Options_Exhibits'!D1902:D1906),"")</f>
        <v/>
      </c>
      <c r="E1906" s="3">
        <f>IF(ISNUMBER(AVERAGE('20250815_ETF_Options_Exhibits'!E1902:E1906)),AVERAGE('20250815_ETF_Options_Exhibits'!E1902:E1906),"")</f>
        <v/>
      </c>
      <c r="F1906" s="3">
        <f>IF(ISNUMBER(AVERAGE('20250815_ETF_Options_Exhibits'!F1902:F1906)),AVERAGE('20250815_ETF_Options_Exhibits'!F1902:F1906),"")</f>
        <v/>
      </c>
      <c r="G1906" s="3">
        <f>IF(ISNUMBER(AVERAGE('20250815_ETF_Options_Exhibits'!G1902:G1906)),AVERAGE('20250815_ETF_Options_Exhibits'!G1902:G1906),"")</f>
        <v/>
      </c>
      <c r="H1906" s="3">
        <f>IF(ISNUMBER(AVERAGE('20250815_ETF_Options_Exhibits'!H1902:H1906)),AVERAGE('20250815_ETF_Options_Exhibits'!H1902:H1906),"")</f>
        <v/>
      </c>
      <c r="I1906" s="3">
        <f>IF(ISNUMBER(AVERAGE('20250815_ETF_Options_Exhibits'!I1902:I1906)),AVERAGE('20250815_ETF_Options_Exhibits'!I1902:I1906),"")</f>
        <v/>
      </c>
      <c r="J1906" s="3">
        <f>IF(ISNUMBER(AVERAGE('20250815_ETF_Options_Exhibits'!J1902:J1906)),AVERAGE('20250815_ETF_Options_Exhibits'!J1902:J1906),"")</f>
        <v/>
      </c>
      <c r="K1906" s="3">
        <f>IF(ISNUMBER(AVERAGE('20250815_ETF_Options_Exhibits'!K1902:K1906)),AVERAGE('20250815_ETF_Options_Exhibits'!K1902:K1906),"")</f>
        <v/>
      </c>
      <c r="L1906" s="3">
        <f>IF(ISNUMBER(AVERAGE('20250815_ETF_Options_Exhibits'!L1902:L1906)),AVERAGE('20250815_ETF_Options_Exhibits'!L1902:L1906),"")</f>
        <v/>
      </c>
      <c r="M1906" s="3">
        <f>IF(ISNUMBER(AVERAGE('20250815_ETF_Options_Exhibits'!M1902:M1906)),AVERAGE('20250815_ETF_Options_Exhibits'!M1902:M1906),"")</f>
        <v/>
      </c>
      <c r="N1906" s="3">
        <f>IF(ISNUMBER(AVERAGE('20250815_ETF_Options_Exhibits'!N1902:N1906)),AVERAGE('20250815_ETF_Options_Exhibits'!N1902:N1906),"")</f>
        <v/>
      </c>
      <c r="O1906" s="3">
        <f>IF(ISNUMBER(AVERAGE('20250815_ETF_Options_Exhibits'!O1902:O1906)),AVERAGE('20250815_ETF_Options_Exhibits'!O1902:O1906),"")</f>
        <v/>
      </c>
      <c r="P1906" s="3">
        <f>IF(ISNUMBER(AVERAGE('20250815_ETF_Options_Exhibits'!P1902:P1906)),AVERAGE('20250815_ETF_Options_Exhibits'!P1902:P1906),"")</f>
        <v/>
      </c>
      <c r="Q1906" s="3">
        <f>IF(ISNUMBER(AVERAGE('20250815_ETF_Options_Exhibits'!Q1902:Q1906)),AVERAGE('20250815_ETF_Options_Exhibits'!Q1902:Q1906),"")</f>
        <v/>
      </c>
      <c r="R1906" s="3">
        <f>IF(ISNUMBER(AVERAGE('20250815_ETF_Options_Exhibits'!R1902:R1906)),AVERAGE('20250815_ETF_Options_Exhibits'!R1902:R1906),"")</f>
        <v/>
      </c>
      <c r="S1906" s="3">
        <f>IF(ISNUMBER(AVERAGE('20250815_ETF_Options_Exhibits'!S1902:S1906)),AVERAGE('20250815_ETF_Options_Exhibits'!S1902:S1906),"")</f>
        <v/>
      </c>
      <c r="T1906" s="3">
        <f>IF(ISNUMBER(AVERAGE('20250815_ETF_Options_Exhibits'!T1902:T1906)),AVERAGE('20250815_ETF_Options_Exhibits'!T1902:T1906),"")</f>
        <v/>
      </c>
      <c r="U1906" s="3">
        <f>IF(ISNUMBER(AVERAGE('20250815_ETF_Options_Exhibits'!U1902:U1906)),AVERAGE('20250815_ETF_Options_Exhibits'!U1902:U1906),"")</f>
        <v/>
      </c>
      <c r="V1906" s="3">
        <f>IF(ISNUMBER(AVERAGE('20250815_ETF_Options_Exhibits'!V1902:V1906)),AVERAGE('20250815_ETF_Options_Exhibits'!V1902:V1906),"")</f>
        <v/>
      </c>
      <c r="W1906" s="3">
        <f>IF(ISNUMBER(AVERAGE('20250815_ETF_Options_Exhibits'!W1902:W1906)),AVERAGE('20250815_ETF_Options_Exhibits'!W1902:W1906),"")</f>
        <v/>
      </c>
      <c r="X1906" s="3">
        <f>IF(ISNUMBER(AVERAGE('20250815_ETF_Options_Exhibits'!X1902:X1906)),AVERAGE('20250815_ETF_Options_Exhibits'!X1902:X1906),"")</f>
        <v/>
      </c>
      <c r="Y1906" s="3">
        <f>IF(ISNUMBER(AVERAGE('20250815_ETF_Options_Exhibits'!Y1902:Y1906)),AVERAGE('20250815_ETF_Options_Exhibits'!Y1902:Y1906),"")</f>
        <v/>
      </c>
      <c r="Z1906" s="3">
        <f>IF(ISNUMBER(AVERAGE('20250815_ETF_Options_Exhibits'!Z1902:Z1906)),AVERAGE('20250815_ETF_Options_Exhibits'!Z1902:Z1906),"")</f>
        <v/>
      </c>
      <c r="AA1906" s="3">
        <f>IF(ISNUMBER(AVERAGE('20250815_ETF_Options_Exhibits'!AA1902:AA1906)),AVERAGE('20250815_ETF_Options_Exhibits'!AA1902:AA1906),"")</f>
        <v/>
      </c>
    </row>
    <row r="1907">
      <c r="A1907" s="1" t="n">
        <v>44769</v>
      </c>
      <c r="B1907" s="3">
        <f>IF(ISNUMBER(AVERAGE('20250815_ETF_Options_Exhibits'!B1903:B1907)),AVERAGE('20250815_ETF_Options_Exhibits'!B1903:B1907),"")</f>
        <v/>
      </c>
      <c r="C1907" s="3">
        <f>IF(ISNUMBER(AVERAGE('20250815_ETF_Options_Exhibits'!C1903:C1907)),AVERAGE('20250815_ETF_Options_Exhibits'!C1903:C1907),"")</f>
        <v/>
      </c>
      <c r="D1907" s="3">
        <f>IF(ISNUMBER(AVERAGE('20250815_ETF_Options_Exhibits'!D1903:D1907)),AVERAGE('20250815_ETF_Options_Exhibits'!D1903:D1907),"")</f>
        <v/>
      </c>
      <c r="E1907" s="3">
        <f>IF(ISNUMBER(AVERAGE('20250815_ETF_Options_Exhibits'!E1903:E1907)),AVERAGE('20250815_ETF_Options_Exhibits'!E1903:E1907),"")</f>
        <v/>
      </c>
      <c r="F1907" s="3">
        <f>IF(ISNUMBER(AVERAGE('20250815_ETF_Options_Exhibits'!F1903:F1907)),AVERAGE('20250815_ETF_Options_Exhibits'!F1903:F1907),"")</f>
        <v/>
      </c>
      <c r="G1907" s="3">
        <f>IF(ISNUMBER(AVERAGE('20250815_ETF_Options_Exhibits'!G1903:G1907)),AVERAGE('20250815_ETF_Options_Exhibits'!G1903:G1907),"")</f>
        <v/>
      </c>
      <c r="H1907" s="3">
        <f>IF(ISNUMBER(AVERAGE('20250815_ETF_Options_Exhibits'!H1903:H1907)),AVERAGE('20250815_ETF_Options_Exhibits'!H1903:H1907),"")</f>
        <v/>
      </c>
      <c r="I1907" s="3">
        <f>IF(ISNUMBER(AVERAGE('20250815_ETF_Options_Exhibits'!I1903:I1907)),AVERAGE('20250815_ETF_Options_Exhibits'!I1903:I1907),"")</f>
        <v/>
      </c>
      <c r="J1907" s="3">
        <f>IF(ISNUMBER(AVERAGE('20250815_ETF_Options_Exhibits'!J1903:J1907)),AVERAGE('20250815_ETF_Options_Exhibits'!J1903:J1907),"")</f>
        <v/>
      </c>
      <c r="K1907" s="3">
        <f>IF(ISNUMBER(AVERAGE('20250815_ETF_Options_Exhibits'!K1903:K1907)),AVERAGE('20250815_ETF_Options_Exhibits'!K1903:K1907),"")</f>
        <v/>
      </c>
      <c r="L1907" s="3">
        <f>IF(ISNUMBER(AVERAGE('20250815_ETF_Options_Exhibits'!L1903:L1907)),AVERAGE('20250815_ETF_Options_Exhibits'!L1903:L1907),"")</f>
        <v/>
      </c>
      <c r="M1907" s="3">
        <f>IF(ISNUMBER(AVERAGE('20250815_ETF_Options_Exhibits'!M1903:M1907)),AVERAGE('20250815_ETF_Options_Exhibits'!M1903:M1907),"")</f>
        <v/>
      </c>
      <c r="N1907" s="3">
        <f>IF(ISNUMBER(AVERAGE('20250815_ETF_Options_Exhibits'!N1903:N1907)),AVERAGE('20250815_ETF_Options_Exhibits'!N1903:N1907),"")</f>
        <v/>
      </c>
      <c r="O1907" s="3">
        <f>IF(ISNUMBER(AVERAGE('20250815_ETF_Options_Exhibits'!O1903:O1907)),AVERAGE('20250815_ETF_Options_Exhibits'!O1903:O1907),"")</f>
        <v/>
      </c>
      <c r="P1907" s="3">
        <f>IF(ISNUMBER(AVERAGE('20250815_ETF_Options_Exhibits'!P1903:P1907)),AVERAGE('20250815_ETF_Options_Exhibits'!P1903:P1907),"")</f>
        <v/>
      </c>
      <c r="Q1907" s="3">
        <f>IF(ISNUMBER(AVERAGE('20250815_ETF_Options_Exhibits'!Q1903:Q1907)),AVERAGE('20250815_ETF_Options_Exhibits'!Q1903:Q1907),"")</f>
        <v/>
      </c>
      <c r="R1907" s="3">
        <f>IF(ISNUMBER(AVERAGE('20250815_ETF_Options_Exhibits'!R1903:R1907)),AVERAGE('20250815_ETF_Options_Exhibits'!R1903:R1907),"")</f>
        <v/>
      </c>
      <c r="S1907" s="3">
        <f>IF(ISNUMBER(AVERAGE('20250815_ETF_Options_Exhibits'!S1903:S1907)),AVERAGE('20250815_ETF_Options_Exhibits'!S1903:S1907),"")</f>
        <v/>
      </c>
      <c r="T1907" s="3">
        <f>IF(ISNUMBER(AVERAGE('20250815_ETF_Options_Exhibits'!T1903:T1907)),AVERAGE('20250815_ETF_Options_Exhibits'!T1903:T1907),"")</f>
        <v/>
      </c>
      <c r="U1907" s="3">
        <f>IF(ISNUMBER(AVERAGE('20250815_ETF_Options_Exhibits'!U1903:U1907)),AVERAGE('20250815_ETF_Options_Exhibits'!U1903:U1907),"")</f>
        <v/>
      </c>
      <c r="V1907" s="3">
        <f>IF(ISNUMBER(AVERAGE('20250815_ETF_Options_Exhibits'!V1903:V1907)),AVERAGE('20250815_ETF_Options_Exhibits'!V1903:V1907),"")</f>
        <v/>
      </c>
      <c r="W1907" s="3">
        <f>IF(ISNUMBER(AVERAGE('20250815_ETF_Options_Exhibits'!W1903:W1907)),AVERAGE('20250815_ETF_Options_Exhibits'!W1903:W1907),"")</f>
        <v/>
      </c>
      <c r="X1907" s="3">
        <f>IF(ISNUMBER(AVERAGE('20250815_ETF_Options_Exhibits'!X1903:X1907)),AVERAGE('20250815_ETF_Options_Exhibits'!X1903:X1907),"")</f>
        <v/>
      </c>
      <c r="Y1907" s="3">
        <f>IF(ISNUMBER(AVERAGE('20250815_ETF_Options_Exhibits'!Y1903:Y1907)),AVERAGE('20250815_ETF_Options_Exhibits'!Y1903:Y1907),"")</f>
        <v/>
      </c>
      <c r="Z1907" s="3">
        <f>IF(ISNUMBER(AVERAGE('20250815_ETF_Options_Exhibits'!Z1903:Z1907)),AVERAGE('20250815_ETF_Options_Exhibits'!Z1903:Z1907),"")</f>
        <v/>
      </c>
      <c r="AA1907" s="3">
        <f>IF(ISNUMBER(AVERAGE('20250815_ETF_Options_Exhibits'!AA1903:AA1907)),AVERAGE('20250815_ETF_Options_Exhibits'!AA1903:AA1907),"")</f>
        <v/>
      </c>
    </row>
    <row r="1908">
      <c r="A1908" s="1" t="n">
        <v>44770</v>
      </c>
      <c r="B1908" s="3">
        <f>IF(ISNUMBER(AVERAGE('20250815_ETF_Options_Exhibits'!B1904:B1908)),AVERAGE('20250815_ETF_Options_Exhibits'!B1904:B1908),"")</f>
        <v/>
      </c>
      <c r="C1908" s="3">
        <f>IF(ISNUMBER(AVERAGE('20250815_ETF_Options_Exhibits'!C1904:C1908)),AVERAGE('20250815_ETF_Options_Exhibits'!C1904:C1908),"")</f>
        <v/>
      </c>
      <c r="D1908" s="3">
        <f>IF(ISNUMBER(AVERAGE('20250815_ETF_Options_Exhibits'!D1904:D1908)),AVERAGE('20250815_ETF_Options_Exhibits'!D1904:D1908),"")</f>
        <v/>
      </c>
      <c r="E1908" s="3">
        <f>IF(ISNUMBER(AVERAGE('20250815_ETF_Options_Exhibits'!E1904:E1908)),AVERAGE('20250815_ETF_Options_Exhibits'!E1904:E1908),"")</f>
        <v/>
      </c>
      <c r="F1908" s="3">
        <f>IF(ISNUMBER(AVERAGE('20250815_ETF_Options_Exhibits'!F1904:F1908)),AVERAGE('20250815_ETF_Options_Exhibits'!F1904:F1908),"")</f>
        <v/>
      </c>
      <c r="G1908" s="3">
        <f>IF(ISNUMBER(AVERAGE('20250815_ETF_Options_Exhibits'!G1904:G1908)),AVERAGE('20250815_ETF_Options_Exhibits'!G1904:G1908),"")</f>
        <v/>
      </c>
      <c r="H1908" s="3">
        <f>IF(ISNUMBER(AVERAGE('20250815_ETF_Options_Exhibits'!H1904:H1908)),AVERAGE('20250815_ETF_Options_Exhibits'!H1904:H1908),"")</f>
        <v/>
      </c>
      <c r="I1908" s="3">
        <f>IF(ISNUMBER(AVERAGE('20250815_ETF_Options_Exhibits'!I1904:I1908)),AVERAGE('20250815_ETF_Options_Exhibits'!I1904:I1908),"")</f>
        <v/>
      </c>
      <c r="J1908" s="3">
        <f>IF(ISNUMBER(AVERAGE('20250815_ETF_Options_Exhibits'!J1904:J1908)),AVERAGE('20250815_ETF_Options_Exhibits'!J1904:J1908),"")</f>
        <v/>
      </c>
      <c r="K1908" s="3">
        <f>IF(ISNUMBER(AVERAGE('20250815_ETF_Options_Exhibits'!K1904:K1908)),AVERAGE('20250815_ETF_Options_Exhibits'!K1904:K1908),"")</f>
        <v/>
      </c>
      <c r="L1908" s="3">
        <f>IF(ISNUMBER(AVERAGE('20250815_ETF_Options_Exhibits'!L1904:L1908)),AVERAGE('20250815_ETF_Options_Exhibits'!L1904:L1908),"")</f>
        <v/>
      </c>
      <c r="M1908" s="3">
        <f>IF(ISNUMBER(AVERAGE('20250815_ETF_Options_Exhibits'!M1904:M1908)),AVERAGE('20250815_ETF_Options_Exhibits'!M1904:M1908),"")</f>
        <v/>
      </c>
      <c r="N1908" s="3">
        <f>IF(ISNUMBER(AVERAGE('20250815_ETF_Options_Exhibits'!N1904:N1908)),AVERAGE('20250815_ETF_Options_Exhibits'!N1904:N1908),"")</f>
        <v/>
      </c>
      <c r="O1908" s="3">
        <f>IF(ISNUMBER(AVERAGE('20250815_ETF_Options_Exhibits'!O1904:O1908)),AVERAGE('20250815_ETF_Options_Exhibits'!O1904:O1908),"")</f>
        <v/>
      </c>
      <c r="P1908" s="3">
        <f>IF(ISNUMBER(AVERAGE('20250815_ETF_Options_Exhibits'!P1904:P1908)),AVERAGE('20250815_ETF_Options_Exhibits'!P1904:P1908),"")</f>
        <v/>
      </c>
      <c r="Q1908" s="3">
        <f>IF(ISNUMBER(AVERAGE('20250815_ETF_Options_Exhibits'!Q1904:Q1908)),AVERAGE('20250815_ETF_Options_Exhibits'!Q1904:Q1908),"")</f>
        <v/>
      </c>
      <c r="R1908" s="3">
        <f>IF(ISNUMBER(AVERAGE('20250815_ETF_Options_Exhibits'!R1904:R1908)),AVERAGE('20250815_ETF_Options_Exhibits'!R1904:R1908),"")</f>
        <v/>
      </c>
      <c r="S1908" s="3">
        <f>IF(ISNUMBER(AVERAGE('20250815_ETF_Options_Exhibits'!S1904:S1908)),AVERAGE('20250815_ETF_Options_Exhibits'!S1904:S1908),"")</f>
        <v/>
      </c>
      <c r="T1908" s="3">
        <f>IF(ISNUMBER(AVERAGE('20250815_ETF_Options_Exhibits'!T1904:T1908)),AVERAGE('20250815_ETF_Options_Exhibits'!T1904:T1908),"")</f>
        <v/>
      </c>
      <c r="U1908" s="3">
        <f>IF(ISNUMBER(AVERAGE('20250815_ETF_Options_Exhibits'!U1904:U1908)),AVERAGE('20250815_ETF_Options_Exhibits'!U1904:U1908),"")</f>
        <v/>
      </c>
      <c r="V1908" s="3">
        <f>IF(ISNUMBER(AVERAGE('20250815_ETF_Options_Exhibits'!V1904:V1908)),AVERAGE('20250815_ETF_Options_Exhibits'!V1904:V1908),"")</f>
        <v/>
      </c>
      <c r="W1908" s="3">
        <f>IF(ISNUMBER(AVERAGE('20250815_ETF_Options_Exhibits'!W1904:W1908)),AVERAGE('20250815_ETF_Options_Exhibits'!W1904:W1908),"")</f>
        <v/>
      </c>
      <c r="X1908" s="3">
        <f>IF(ISNUMBER(AVERAGE('20250815_ETF_Options_Exhibits'!X1904:X1908)),AVERAGE('20250815_ETF_Options_Exhibits'!X1904:X1908),"")</f>
        <v/>
      </c>
      <c r="Y1908" s="3">
        <f>IF(ISNUMBER(AVERAGE('20250815_ETF_Options_Exhibits'!Y1904:Y1908)),AVERAGE('20250815_ETF_Options_Exhibits'!Y1904:Y1908),"")</f>
        <v/>
      </c>
      <c r="Z1908" s="3">
        <f>IF(ISNUMBER(AVERAGE('20250815_ETF_Options_Exhibits'!Z1904:Z1908)),AVERAGE('20250815_ETF_Options_Exhibits'!Z1904:Z1908),"")</f>
        <v/>
      </c>
      <c r="AA1908" s="3">
        <f>IF(ISNUMBER(AVERAGE('20250815_ETF_Options_Exhibits'!AA1904:AA1908)),AVERAGE('20250815_ETF_Options_Exhibits'!AA1904:AA1908),"")</f>
        <v/>
      </c>
    </row>
    <row r="1909">
      <c r="A1909" s="1" t="n">
        <v>44771</v>
      </c>
      <c r="B1909" s="3">
        <f>IF(ISNUMBER(AVERAGE('20250815_ETF_Options_Exhibits'!B1905:B1909)),AVERAGE('20250815_ETF_Options_Exhibits'!B1905:B1909),"")</f>
        <v/>
      </c>
      <c r="C1909" s="3">
        <f>IF(ISNUMBER(AVERAGE('20250815_ETF_Options_Exhibits'!C1905:C1909)),AVERAGE('20250815_ETF_Options_Exhibits'!C1905:C1909),"")</f>
        <v/>
      </c>
      <c r="D1909" s="3">
        <f>IF(ISNUMBER(AVERAGE('20250815_ETF_Options_Exhibits'!D1905:D1909)),AVERAGE('20250815_ETF_Options_Exhibits'!D1905:D1909),"")</f>
        <v/>
      </c>
      <c r="E1909" s="3">
        <f>IF(ISNUMBER(AVERAGE('20250815_ETF_Options_Exhibits'!E1905:E1909)),AVERAGE('20250815_ETF_Options_Exhibits'!E1905:E1909),"")</f>
        <v/>
      </c>
      <c r="F1909" s="3">
        <f>IF(ISNUMBER(AVERAGE('20250815_ETF_Options_Exhibits'!F1905:F1909)),AVERAGE('20250815_ETF_Options_Exhibits'!F1905:F1909),"")</f>
        <v/>
      </c>
      <c r="G1909" s="3">
        <f>IF(ISNUMBER(AVERAGE('20250815_ETF_Options_Exhibits'!G1905:G1909)),AVERAGE('20250815_ETF_Options_Exhibits'!G1905:G1909),"")</f>
        <v/>
      </c>
      <c r="H1909" s="3">
        <f>IF(ISNUMBER(AVERAGE('20250815_ETF_Options_Exhibits'!H1905:H1909)),AVERAGE('20250815_ETF_Options_Exhibits'!H1905:H1909),"")</f>
        <v/>
      </c>
      <c r="I1909" s="3">
        <f>IF(ISNUMBER(AVERAGE('20250815_ETF_Options_Exhibits'!I1905:I1909)),AVERAGE('20250815_ETF_Options_Exhibits'!I1905:I1909),"")</f>
        <v/>
      </c>
      <c r="J1909" s="3">
        <f>IF(ISNUMBER(AVERAGE('20250815_ETF_Options_Exhibits'!J1905:J1909)),AVERAGE('20250815_ETF_Options_Exhibits'!J1905:J1909),"")</f>
        <v/>
      </c>
      <c r="K1909" s="3">
        <f>IF(ISNUMBER(AVERAGE('20250815_ETF_Options_Exhibits'!K1905:K1909)),AVERAGE('20250815_ETF_Options_Exhibits'!K1905:K1909),"")</f>
        <v/>
      </c>
      <c r="L1909" s="3">
        <f>IF(ISNUMBER(AVERAGE('20250815_ETF_Options_Exhibits'!L1905:L1909)),AVERAGE('20250815_ETF_Options_Exhibits'!L1905:L1909),"")</f>
        <v/>
      </c>
      <c r="M1909" s="3">
        <f>IF(ISNUMBER(AVERAGE('20250815_ETF_Options_Exhibits'!M1905:M1909)),AVERAGE('20250815_ETF_Options_Exhibits'!M1905:M1909),"")</f>
        <v/>
      </c>
      <c r="N1909" s="3">
        <f>IF(ISNUMBER(AVERAGE('20250815_ETF_Options_Exhibits'!N1905:N1909)),AVERAGE('20250815_ETF_Options_Exhibits'!N1905:N1909),"")</f>
        <v/>
      </c>
      <c r="O1909" s="3">
        <f>IF(ISNUMBER(AVERAGE('20250815_ETF_Options_Exhibits'!O1905:O1909)),AVERAGE('20250815_ETF_Options_Exhibits'!O1905:O1909),"")</f>
        <v/>
      </c>
      <c r="P1909" s="3">
        <f>IF(ISNUMBER(AVERAGE('20250815_ETF_Options_Exhibits'!P1905:P1909)),AVERAGE('20250815_ETF_Options_Exhibits'!P1905:P1909),"")</f>
        <v/>
      </c>
      <c r="Q1909" s="3">
        <f>IF(ISNUMBER(AVERAGE('20250815_ETF_Options_Exhibits'!Q1905:Q1909)),AVERAGE('20250815_ETF_Options_Exhibits'!Q1905:Q1909),"")</f>
        <v/>
      </c>
      <c r="R1909" s="3">
        <f>IF(ISNUMBER(AVERAGE('20250815_ETF_Options_Exhibits'!R1905:R1909)),AVERAGE('20250815_ETF_Options_Exhibits'!R1905:R1909),"")</f>
        <v/>
      </c>
      <c r="S1909" s="3">
        <f>IF(ISNUMBER(AVERAGE('20250815_ETF_Options_Exhibits'!S1905:S1909)),AVERAGE('20250815_ETF_Options_Exhibits'!S1905:S1909),"")</f>
        <v/>
      </c>
      <c r="T1909" s="3">
        <f>IF(ISNUMBER(AVERAGE('20250815_ETF_Options_Exhibits'!T1905:T1909)),AVERAGE('20250815_ETF_Options_Exhibits'!T1905:T1909),"")</f>
        <v/>
      </c>
      <c r="U1909" s="3">
        <f>IF(ISNUMBER(AVERAGE('20250815_ETF_Options_Exhibits'!U1905:U1909)),AVERAGE('20250815_ETF_Options_Exhibits'!U1905:U1909),"")</f>
        <v/>
      </c>
      <c r="V1909" s="3">
        <f>IF(ISNUMBER(AVERAGE('20250815_ETF_Options_Exhibits'!V1905:V1909)),AVERAGE('20250815_ETF_Options_Exhibits'!V1905:V1909),"")</f>
        <v/>
      </c>
      <c r="W1909" s="3">
        <f>IF(ISNUMBER(AVERAGE('20250815_ETF_Options_Exhibits'!W1905:W1909)),AVERAGE('20250815_ETF_Options_Exhibits'!W1905:W1909),"")</f>
        <v/>
      </c>
      <c r="X1909" s="3">
        <f>IF(ISNUMBER(AVERAGE('20250815_ETF_Options_Exhibits'!X1905:X1909)),AVERAGE('20250815_ETF_Options_Exhibits'!X1905:X1909),"")</f>
        <v/>
      </c>
      <c r="Y1909" s="3">
        <f>IF(ISNUMBER(AVERAGE('20250815_ETF_Options_Exhibits'!Y1905:Y1909)),AVERAGE('20250815_ETF_Options_Exhibits'!Y1905:Y1909),"")</f>
        <v/>
      </c>
      <c r="Z1909" s="3">
        <f>IF(ISNUMBER(AVERAGE('20250815_ETF_Options_Exhibits'!Z1905:Z1909)),AVERAGE('20250815_ETF_Options_Exhibits'!Z1905:Z1909),"")</f>
        <v/>
      </c>
      <c r="AA1909" s="3">
        <f>IF(ISNUMBER(AVERAGE('20250815_ETF_Options_Exhibits'!AA1905:AA1909)),AVERAGE('20250815_ETF_Options_Exhibits'!AA1905:AA1909),"")</f>
        <v/>
      </c>
    </row>
    <row r="1910">
      <c r="A1910" s="1" t="n">
        <v>44774</v>
      </c>
      <c r="B1910" s="3">
        <f>IF(ISNUMBER(AVERAGE('20250815_ETF_Options_Exhibits'!B1906:B1910)),AVERAGE('20250815_ETF_Options_Exhibits'!B1906:B1910),"")</f>
        <v/>
      </c>
      <c r="C1910" s="3">
        <f>IF(ISNUMBER(AVERAGE('20250815_ETF_Options_Exhibits'!C1906:C1910)),AVERAGE('20250815_ETF_Options_Exhibits'!C1906:C1910),"")</f>
        <v/>
      </c>
      <c r="D1910" s="3">
        <f>IF(ISNUMBER(AVERAGE('20250815_ETF_Options_Exhibits'!D1906:D1910)),AVERAGE('20250815_ETF_Options_Exhibits'!D1906:D1910),"")</f>
        <v/>
      </c>
      <c r="E1910" s="3">
        <f>IF(ISNUMBER(AVERAGE('20250815_ETF_Options_Exhibits'!E1906:E1910)),AVERAGE('20250815_ETF_Options_Exhibits'!E1906:E1910),"")</f>
        <v/>
      </c>
      <c r="F1910" s="3">
        <f>IF(ISNUMBER(AVERAGE('20250815_ETF_Options_Exhibits'!F1906:F1910)),AVERAGE('20250815_ETF_Options_Exhibits'!F1906:F1910),"")</f>
        <v/>
      </c>
      <c r="G1910" s="3">
        <f>IF(ISNUMBER(AVERAGE('20250815_ETF_Options_Exhibits'!G1906:G1910)),AVERAGE('20250815_ETF_Options_Exhibits'!G1906:G1910),"")</f>
        <v/>
      </c>
      <c r="H1910" s="3">
        <f>IF(ISNUMBER(AVERAGE('20250815_ETF_Options_Exhibits'!H1906:H1910)),AVERAGE('20250815_ETF_Options_Exhibits'!H1906:H1910),"")</f>
        <v/>
      </c>
      <c r="I1910" s="3">
        <f>IF(ISNUMBER(AVERAGE('20250815_ETF_Options_Exhibits'!I1906:I1910)),AVERAGE('20250815_ETF_Options_Exhibits'!I1906:I1910),"")</f>
        <v/>
      </c>
      <c r="J1910" s="3">
        <f>IF(ISNUMBER(AVERAGE('20250815_ETF_Options_Exhibits'!J1906:J1910)),AVERAGE('20250815_ETF_Options_Exhibits'!J1906:J1910),"")</f>
        <v/>
      </c>
      <c r="K1910" s="3">
        <f>IF(ISNUMBER(AVERAGE('20250815_ETF_Options_Exhibits'!K1906:K1910)),AVERAGE('20250815_ETF_Options_Exhibits'!K1906:K1910),"")</f>
        <v/>
      </c>
      <c r="L1910" s="3">
        <f>IF(ISNUMBER(AVERAGE('20250815_ETF_Options_Exhibits'!L1906:L1910)),AVERAGE('20250815_ETF_Options_Exhibits'!L1906:L1910),"")</f>
        <v/>
      </c>
      <c r="M1910" s="3">
        <f>IF(ISNUMBER(AVERAGE('20250815_ETF_Options_Exhibits'!M1906:M1910)),AVERAGE('20250815_ETF_Options_Exhibits'!M1906:M1910),"")</f>
        <v/>
      </c>
      <c r="N1910" s="3">
        <f>IF(ISNUMBER(AVERAGE('20250815_ETF_Options_Exhibits'!N1906:N1910)),AVERAGE('20250815_ETF_Options_Exhibits'!N1906:N1910),"")</f>
        <v/>
      </c>
      <c r="O1910" s="3">
        <f>IF(ISNUMBER(AVERAGE('20250815_ETF_Options_Exhibits'!O1906:O1910)),AVERAGE('20250815_ETF_Options_Exhibits'!O1906:O1910),"")</f>
        <v/>
      </c>
      <c r="P1910" s="3">
        <f>IF(ISNUMBER(AVERAGE('20250815_ETF_Options_Exhibits'!P1906:P1910)),AVERAGE('20250815_ETF_Options_Exhibits'!P1906:P1910),"")</f>
        <v/>
      </c>
      <c r="Q1910" s="3">
        <f>IF(ISNUMBER(AVERAGE('20250815_ETF_Options_Exhibits'!Q1906:Q1910)),AVERAGE('20250815_ETF_Options_Exhibits'!Q1906:Q1910),"")</f>
        <v/>
      </c>
      <c r="R1910" s="3">
        <f>IF(ISNUMBER(AVERAGE('20250815_ETF_Options_Exhibits'!R1906:R1910)),AVERAGE('20250815_ETF_Options_Exhibits'!R1906:R1910),"")</f>
        <v/>
      </c>
      <c r="S1910" s="3">
        <f>IF(ISNUMBER(AVERAGE('20250815_ETF_Options_Exhibits'!S1906:S1910)),AVERAGE('20250815_ETF_Options_Exhibits'!S1906:S1910),"")</f>
        <v/>
      </c>
      <c r="T1910" s="3">
        <f>IF(ISNUMBER(AVERAGE('20250815_ETF_Options_Exhibits'!T1906:T1910)),AVERAGE('20250815_ETF_Options_Exhibits'!T1906:T1910),"")</f>
        <v/>
      </c>
      <c r="U1910" s="3">
        <f>IF(ISNUMBER(AVERAGE('20250815_ETF_Options_Exhibits'!U1906:U1910)),AVERAGE('20250815_ETF_Options_Exhibits'!U1906:U1910),"")</f>
        <v/>
      </c>
      <c r="V1910" s="3">
        <f>IF(ISNUMBER(AVERAGE('20250815_ETF_Options_Exhibits'!V1906:V1910)),AVERAGE('20250815_ETF_Options_Exhibits'!V1906:V1910),"")</f>
        <v/>
      </c>
      <c r="W1910" s="3">
        <f>IF(ISNUMBER(AVERAGE('20250815_ETF_Options_Exhibits'!W1906:W1910)),AVERAGE('20250815_ETF_Options_Exhibits'!W1906:W1910),"")</f>
        <v/>
      </c>
      <c r="X1910" s="3">
        <f>IF(ISNUMBER(AVERAGE('20250815_ETF_Options_Exhibits'!X1906:X1910)),AVERAGE('20250815_ETF_Options_Exhibits'!X1906:X1910),"")</f>
        <v/>
      </c>
      <c r="Y1910" s="3">
        <f>IF(ISNUMBER(AVERAGE('20250815_ETF_Options_Exhibits'!Y1906:Y1910)),AVERAGE('20250815_ETF_Options_Exhibits'!Y1906:Y1910),"")</f>
        <v/>
      </c>
      <c r="Z1910" s="3">
        <f>IF(ISNUMBER(AVERAGE('20250815_ETF_Options_Exhibits'!Z1906:Z1910)),AVERAGE('20250815_ETF_Options_Exhibits'!Z1906:Z1910),"")</f>
        <v/>
      </c>
      <c r="AA1910" s="3">
        <f>IF(ISNUMBER(AVERAGE('20250815_ETF_Options_Exhibits'!AA1906:AA1910)),AVERAGE('20250815_ETF_Options_Exhibits'!AA1906:AA1910),"")</f>
        <v/>
      </c>
    </row>
    <row r="1911">
      <c r="A1911" s="1" t="n">
        <v>44775</v>
      </c>
      <c r="B1911" s="3">
        <f>IF(ISNUMBER(AVERAGE('20250815_ETF_Options_Exhibits'!B1907:B1911)),AVERAGE('20250815_ETF_Options_Exhibits'!B1907:B1911),"")</f>
        <v/>
      </c>
      <c r="C1911" s="3">
        <f>IF(ISNUMBER(AVERAGE('20250815_ETF_Options_Exhibits'!C1907:C1911)),AVERAGE('20250815_ETF_Options_Exhibits'!C1907:C1911),"")</f>
        <v/>
      </c>
      <c r="D1911" s="3">
        <f>IF(ISNUMBER(AVERAGE('20250815_ETF_Options_Exhibits'!D1907:D1911)),AVERAGE('20250815_ETF_Options_Exhibits'!D1907:D1911),"")</f>
        <v/>
      </c>
      <c r="E1911" s="3">
        <f>IF(ISNUMBER(AVERAGE('20250815_ETF_Options_Exhibits'!E1907:E1911)),AVERAGE('20250815_ETF_Options_Exhibits'!E1907:E1911),"")</f>
        <v/>
      </c>
      <c r="F1911" s="3">
        <f>IF(ISNUMBER(AVERAGE('20250815_ETF_Options_Exhibits'!F1907:F1911)),AVERAGE('20250815_ETF_Options_Exhibits'!F1907:F1911),"")</f>
        <v/>
      </c>
      <c r="G1911" s="3">
        <f>IF(ISNUMBER(AVERAGE('20250815_ETF_Options_Exhibits'!G1907:G1911)),AVERAGE('20250815_ETF_Options_Exhibits'!G1907:G1911),"")</f>
        <v/>
      </c>
      <c r="H1911" s="3">
        <f>IF(ISNUMBER(AVERAGE('20250815_ETF_Options_Exhibits'!H1907:H1911)),AVERAGE('20250815_ETF_Options_Exhibits'!H1907:H1911),"")</f>
        <v/>
      </c>
      <c r="I1911" s="3">
        <f>IF(ISNUMBER(AVERAGE('20250815_ETF_Options_Exhibits'!I1907:I1911)),AVERAGE('20250815_ETF_Options_Exhibits'!I1907:I1911),"")</f>
        <v/>
      </c>
      <c r="J1911" s="3">
        <f>IF(ISNUMBER(AVERAGE('20250815_ETF_Options_Exhibits'!J1907:J1911)),AVERAGE('20250815_ETF_Options_Exhibits'!J1907:J1911),"")</f>
        <v/>
      </c>
      <c r="K1911" s="3">
        <f>IF(ISNUMBER(AVERAGE('20250815_ETF_Options_Exhibits'!K1907:K1911)),AVERAGE('20250815_ETF_Options_Exhibits'!K1907:K1911),"")</f>
        <v/>
      </c>
      <c r="L1911" s="3">
        <f>IF(ISNUMBER(AVERAGE('20250815_ETF_Options_Exhibits'!L1907:L1911)),AVERAGE('20250815_ETF_Options_Exhibits'!L1907:L1911),"")</f>
        <v/>
      </c>
      <c r="M1911" s="3">
        <f>IF(ISNUMBER(AVERAGE('20250815_ETF_Options_Exhibits'!M1907:M1911)),AVERAGE('20250815_ETF_Options_Exhibits'!M1907:M1911),"")</f>
        <v/>
      </c>
      <c r="N1911" s="3">
        <f>IF(ISNUMBER(AVERAGE('20250815_ETF_Options_Exhibits'!N1907:N1911)),AVERAGE('20250815_ETF_Options_Exhibits'!N1907:N1911),"")</f>
        <v/>
      </c>
      <c r="O1911" s="3">
        <f>IF(ISNUMBER(AVERAGE('20250815_ETF_Options_Exhibits'!O1907:O1911)),AVERAGE('20250815_ETF_Options_Exhibits'!O1907:O1911),"")</f>
        <v/>
      </c>
      <c r="P1911" s="3">
        <f>IF(ISNUMBER(AVERAGE('20250815_ETF_Options_Exhibits'!P1907:P1911)),AVERAGE('20250815_ETF_Options_Exhibits'!P1907:P1911),"")</f>
        <v/>
      </c>
      <c r="Q1911" s="3">
        <f>IF(ISNUMBER(AVERAGE('20250815_ETF_Options_Exhibits'!Q1907:Q1911)),AVERAGE('20250815_ETF_Options_Exhibits'!Q1907:Q1911),"")</f>
        <v/>
      </c>
      <c r="R1911" s="3">
        <f>IF(ISNUMBER(AVERAGE('20250815_ETF_Options_Exhibits'!R1907:R1911)),AVERAGE('20250815_ETF_Options_Exhibits'!R1907:R1911),"")</f>
        <v/>
      </c>
      <c r="S1911" s="3">
        <f>IF(ISNUMBER(AVERAGE('20250815_ETF_Options_Exhibits'!S1907:S1911)),AVERAGE('20250815_ETF_Options_Exhibits'!S1907:S1911),"")</f>
        <v/>
      </c>
      <c r="T1911" s="3">
        <f>IF(ISNUMBER(AVERAGE('20250815_ETF_Options_Exhibits'!T1907:T1911)),AVERAGE('20250815_ETF_Options_Exhibits'!T1907:T1911),"")</f>
        <v/>
      </c>
      <c r="U1911" s="3">
        <f>IF(ISNUMBER(AVERAGE('20250815_ETF_Options_Exhibits'!U1907:U1911)),AVERAGE('20250815_ETF_Options_Exhibits'!U1907:U1911),"")</f>
        <v/>
      </c>
      <c r="V1911" s="3">
        <f>IF(ISNUMBER(AVERAGE('20250815_ETF_Options_Exhibits'!V1907:V1911)),AVERAGE('20250815_ETF_Options_Exhibits'!V1907:V1911),"")</f>
        <v/>
      </c>
      <c r="W1911" s="3">
        <f>IF(ISNUMBER(AVERAGE('20250815_ETF_Options_Exhibits'!W1907:W1911)),AVERAGE('20250815_ETF_Options_Exhibits'!W1907:W1911),"")</f>
        <v/>
      </c>
      <c r="X1911" s="3">
        <f>IF(ISNUMBER(AVERAGE('20250815_ETF_Options_Exhibits'!X1907:X1911)),AVERAGE('20250815_ETF_Options_Exhibits'!X1907:X1911),"")</f>
        <v/>
      </c>
      <c r="Y1911" s="3">
        <f>IF(ISNUMBER(AVERAGE('20250815_ETF_Options_Exhibits'!Y1907:Y1911)),AVERAGE('20250815_ETF_Options_Exhibits'!Y1907:Y1911),"")</f>
        <v/>
      </c>
      <c r="Z1911" s="3">
        <f>IF(ISNUMBER(AVERAGE('20250815_ETF_Options_Exhibits'!Z1907:Z1911)),AVERAGE('20250815_ETF_Options_Exhibits'!Z1907:Z1911),"")</f>
        <v/>
      </c>
      <c r="AA1911" s="3">
        <f>IF(ISNUMBER(AVERAGE('20250815_ETF_Options_Exhibits'!AA1907:AA1911)),AVERAGE('20250815_ETF_Options_Exhibits'!AA1907:AA1911),"")</f>
        <v/>
      </c>
    </row>
    <row r="1912">
      <c r="A1912" s="1" t="n">
        <v>44776</v>
      </c>
      <c r="B1912" s="3">
        <f>IF(ISNUMBER(AVERAGE('20250815_ETF_Options_Exhibits'!B1908:B1912)),AVERAGE('20250815_ETF_Options_Exhibits'!B1908:B1912),"")</f>
        <v/>
      </c>
      <c r="C1912" s="3">
        <f>IF(ISNUMBER(AVERAGE('20250815_ETF_Options_Exhibits'!C1908:C1912)),AVERAGE('20250815_ETF_Options_Exhibits'!C1908:C1912),"")</f>
        <v/>
      </c>
      <c r="D1912" s="3">
        <f>IF(ISNUMBER(AVERAGE('20250815_ETF_Options_Exhibits'!D1908:D1912)),AVERAGE('20250815_ETF_Options_Exhibits'!D1908:D1912),"")</f>
        <v/>
      </c>
      <c r="E1912" s="3">
        <f>IF(ISNUMBER(AVERAGE('20250815_ETF_Options_Exhibits'!E1908:E1912)),AVERAGE('20250815_ETF_Options_Exhibits'!E1908:E1912),"")</f>
        <v/>
      </c>
      <c r="F1912" s="3">
        <f>IF(ISNUMBER(AVERAGE('20250815_ETF_Options_Exhibits'!F1908:F1912)),AVERAGE('20250815_ETF_Options_Exhibits'!F1908:F1912),"")</f>
        <v/>
      </c>
      <c r="G1912" s="3">
        <f>IF(ISNUMBER(AVERAGE('20250815_ETF_Options_Exhibits'!G1908:G1912)),AVERAGE('20250815_ETF_Options_Exhibits'!G1908:G1912),"")</f>
        <v/>
      </c>
      <c r="H1912" s="3">
        <f>IF(ISNUMBER(AVERAGE('20250815_ETF_Options_Exhibits'!H1908:H1912)),AVERAGE('20250815_ETF_Options_Exhibits'!H1908:H1912),"")</f>
        <v/>
      </c>
      <c r="I1912" s="3">
        <f>IF(ISNUMBER(AVERAGE('20250815_ETF_Options_Exhibits'!I1908:I1912)),AVERAGE('20250815_ETF_Options_Exhibits'!I1908:I1912),"")</f>
        <v/>
      </c>
      <c r="J1912" s="3">
        <f>IF(ISNUMBER(AVERAGE('20250815_ETF_Options_Exhibits'!J1908:J1912)),AVERAGE('20250815_ETF_Options_Exhibits'!J1908:J1912),"")</f>
        <v/>
      </c>
      <c r="K1912" s="3">
        <f>IF(ISNUMBER(AVERAGE('20250815_ETF_Options_Exhibits'!K1908:K1912)),AVERAGE('20250815_ETF_Options_Exhibits'!K1908:K1912),"")</f>
        <v/>
      </c>
      <c r="L1912" s="3">
        <f>IF(ISNUMBER(AVERAGE('20250815_ETF_Options_Exhibits'!L1908:L1912)),AVERAGE('20250815_ETF_Options_Exhibits'!L1908:L1912),"")</f>
        <v/>
      </c>
      <c r="M1912" s="3">
        <f>IF(ISNUMBER(AVERAGE('20250815_ETF_Options_Exhibits'!M1908:M1912)),AVERAGE('20250815_ETF_Options_Exhibits'!M1908:M1912),"")</f>
        <v/>
      </c>
      <c r="N1912" s="3">
        <f>IF(ISNUMBER(AVERAGE('20250815_ETF_Options_Exhibits'!N1908:N1912)),AVERAGE('20250815_ETF_Options_Exhibits'!N1908:N1912),"")</f>
        <v/>
      </c>
      <c r="O1912" s="3">
        <f>IF(ISNUMBER(AVERAGE('20250815_ETF_Options_Exhibits'!O1908:O1912)),AVERAGE('20250815_ETF_Options_Exhibits'!O1908:O1912),"")</f>
        <v/>
      </c>
      <c r="P1912" s="3">
        <f>IF(ISNUMBER(AVERAGE('20250815_ETF_Options_Exhibits'!P1908:P1912)),AVERAGE('20250815_ETF_Options_Exhibits'!P1908:P1912),"")</f>
        <v/>
      </c>
      <c r="Q1912" s="3">
        <f>IF(ISNUMBER(AVERAGE('20250815_ETF_Options_Exhibits'!Q1908:Q1912)),AVERAGE('20250815_ETF_Options_Exhibits'!Q1908:Q1912),"")</f>
        <v/>
      </c>
      <c r="R1912" s="3">
        <f>IF(ISNUMBER(AVERAGE('20250815_ETF_Options_Exhibits'!R1908:R1912)),AVERAGE('20250815_ETF_Options_Exhibits'!R1908:R1912),"")</f>
        <v/>
      </c>
      <c r="S1912" s="3">
        <f>IF(ISNUMBER(AVERAGE('20250815_ETF_Options_Exhibits'!S1908:S1912)),AVERAGE('20250815_ETF_Options_Exhibits'!S1908:S1912),"")</f>
        <v/>
      </c>
      <c r="T1912" s="3">
        <f>IF(ISNUMBER(AVERAGE('20250815_ETF_Options_Exhibits'!T1908:T1912)),AVERAGE('20250815_ETF_Options_Exhibits'!T1908:T1912),"")</f>
        <v/>
      </c>
      <c r="U1912" s="3">
        <f>IF(ISNUMBER(AVERAGE('20250815_ETF_Options_Exhibits'!U1908:U1912)),AVERAGE('20250815_ETF_Options_Exhibits'!U1908:U1912),"")</f>
        <v/>
      </c>
      <c r="V1912" s="3">
        <f>IF(ISNUMBER(AVERAGE('20250815_ETF_Options_Exhibits'!V1908:V1912)),AVERAGE('20250815_ETF_Options_Exhibits'!V1908:V1912),"")</f>
        <v/>
      </c>
      <c r="W1912" s="3">
        <f>IF(ISNUMBER(AVERAGE('20250815_ETF_Options_Exhibits'!W1908:W1912)),AVERAGE('20250815_ETF_Options_Exhibits'!W1908:W1912),"")</f>
        <v/>
      </c>
      <c r="X1912" s="3">
        <f>IF(ISNUMBER(AVERAGE('20250815_ETF_Options_Exhibits'!X1908:X1912)),AVERAGE('20250815_ETF_Options_Exhibits'!X1908:X1912),"")</f>
        <v/>
      </c>
      <c r="Y1912" s="3">
        <f>IF(ISNUMBER(AVERAGE('20250815_ETF_Options_Exhibits'!Y1908:Y1912)),AVERAGE('20250815_ETF_Options_Exhibits'!Y1908:Y1912),"")</f>
        <v/>
      </c>
      <c r="Z1912" s="3">
        <f>IF(ISNUMBER(AVERAGE('20250815_ETF_Options_Exhibits'!Z1908:Z1912)),AVERAGE('20250815_ETF_Options_Exhibits'!Z1908:Z1912),"")</f>
        <v/>
      </c>
      <c r="AA1912" s="3">
        <f>IF(ISNUMBER(AVERAGE('20250815_ETF_Options_Exhibits'!AA1908:AA1912)),AVERAGE('20250815_ETF_Options_Exhibits'!AA1908:AA1912),"")</f>
        <v/>
      </c>
    </row>
    <row r="1913">
      <c r="A1913" s="1" t="n">
        <v>44777</v>
      </c>
      <c r="B1913" s="3">
        <f>IF(ISNUMBER(AVERAGE('20250815_ETF_Options_Exhibits'!B1909:B1913)),AVERAGE('20250815_ETF_Options_Exhibits'!B1909:B1913),"")</f>
        <v/>
      </c>
      <c r="C1913" s="3">
        <f>IF(ISNUMBER(AVERAGE('20250815_ETF_Options_Exhibits'!C1909:C1913)),AVERAGE('20250815_ETF_Options_Exhibits'!C1909:C1913),"")</f>
        <v/>
      </c>
      <c r="D1913" s="3">
        <f>IF(ISNUMBER(AVERAGE('20250815_ETF_Options_Exhibits'!D1909:D1913)),AVERAGE('20250815_ETF_Options_Exhibits'!D1909:D1913),"")</f>
        <v/>
      </c>
      <c r="E1913" s="3">
        <f>IF(ISNUMBER(AVERAGE('20250815_ETF_Options_Exhibits'!E1909:E1913)),AVERAGE('20250815_ETF_Options_Exhibits'!E1909:E1913),"")</f>
        <v/>
      </c>
      <c r="F1913" s="3">
        <f>IF(ISNUMBER(AVERAGE('20250815_ETF_Options_Exhibits'!F1909:F1913)),AVERAGE('20250815_ETF_Options_Exhibits'!F1909:F1913),"")</f>
        <v/>
      </c>
      <c r="G1913" s="3">
        <f>IF(ISNUMBER(AVERAGE('20250815_ETF_Options_Exhibits'!G1909:G1913)),AVERAGE('20250815_ETF_Options_Exhibits'!G1909:G1913),"")</f>
        <v/>
      </c>
      <c r="H1913" s="3">
        <f>IF(ISNUMBER(AVERAGE('20250815_ETF_Options_Exhibits'!H1909:H1913)),AVERAGE('20250815_ETF_Options_Exhibits'!H1909:H1913),"")</f>
        <v/>
      </c>
      <c r="I1913" s="3">
        <f>IF(ISNUMBER(AVERAGE('20250815_ETF_Options_Exhibits'!I1909:I1913)),AVERAGE('20250815_ETF_Options_Exhibits'!I1909:I1913),"")</f>
        <v/>
      </c>
      <c r="J1913" s="3">
        <f>IF(ISNUMBER(AVERAGE('20250815_ETF_Options_Exhibits'!J1909:J1913)),AVERAGE('20250815_ETF_Options_Exhibits'!J1909:J1913),"")</f>
        <v/>
      </c>
      <c r="K1913" s="3">
        <f>IF(ISNUMBER(AVERAGE('20250815_ETF_Options_Exhibits'!K1909:K1913)),AVERAGE('20250815_ETF_Options_Exhibits'!K1909:K1913),"")</f>
        <v/>
      </c>
      <c r="L1913" s="3">
        <f>IF(ISNUMBER(AVERAGE('20250815_ETF_Options_Exhibits'!L1909:L1913)),AVERAGE('20250815_ETF_Options_Exhibits'!L1909:L1913),"")</f>
        <v/>
      </c>
      <c r="M1913" s="3">
        <f>IF(ISNUMBER(AVERAGE('20250815_ETF_Options_Exhibits'!M1909:M1913)),AVERAGE('20250815_ETF_Options_Exhibits'!M1909:M1913),"")</f>
        <v/>
      </c>
      <c r="N1913" s="3">
        <f>IF(ISNUMBER(AVERAGE('20250815_ETF_Options_Exhibits'!N1909:N1913)),AVERAGE('20250815_ETF_Options_Exhibits'!N1909:N1913),"")</f>
        <v/>
      </c>
      <c r="O1913" s="3">
        <f>IF(ISNUMBER(AVERAGE('20250815_ETF_Options_Exhibits'!O1909:O1913)),AVERAGE('20250815_ETF_Options_Exhibits'!O1909:O1913),"")</f>
        <v/>
      </c>
      <c r="P1913" s="3">
        <f>IF(ISNUMBER(AVERAGE('20250815_ETF_Options_Exhibits'!P1909:P1913)),AVERAGE('20250815_ETF_Options_Exhibits'!P1909:P1913),"")</f>
        <v/>
      </c>
      <c r="Q1913" s="3">
        <f>IF(ISNUMBER(AVERAGE('20250815_ETF_Options_Exhibits'!Q1909:Q1913)),AVERAGE('20250815_ETF_Options_Exhibits'!Q1909:Q1913),"")</f>
        <v/>
      </c>
      <c r="R1913" s="3">
        <f>IF(ISNUMBER(AVERAGE('20250815_ETF_Options_Exhibits'!R1909:R1913)),AVERAGE('20250815_ETF_Options_Exhibits'!R1909:R1913),"")</f>
        <v/>
      </c>
      <c r="S1913" s="3">
        <f>IF(ISNUMBER(AVERAGE('20250815_ETF_Options_Exhibits'!S1909:S1913)),AVERAGE('20250815_ETF_Options_Exhibits'!S1909:S1913),"")</f>
        <v/>
      </c>
      <c r="T1913" s="3">
        <f>IF(ISNUMBER(AVERAGE('20250815_ETF_Options_Exhibits'!T1909:T1913)),AVERAGE('20250815_ETF_Options_Exhibits'!T1909:T1913),"")</f>
        <v/>
      </c>
      <c r="U1913" s="3">
        <f>IF(ISNUMBER(AVERAGE('20250815_ETF_Options_Exhibits'!U1909:U1913)),AVERAGE('20250815_ETF_Options_Exhibits'!U1909:U1913),"")</f>
        <v/>
      </c>
      <c r="V1913" s="3">
        <f>IF(ISNUMBER(AVERAGE('20250815_ETF_Options_Exhibits'!V1909:V1913)),AVERAGE('20250815_ETF_Options_Exhibits'!V1909:V1913),"")</f>
        <v/>
      </c>
      <c r="W1913" s="3">
        <f>IF(ISNUMBER(AVERAGE('20250815_ETF_Options_Exhibits'!W1909:W1913)),AVERAGE('20250815_ETF_Options_Exhibits'!W1909:W1913),"")</f>
        <v/>
      </c>
      <c r="X1913" s="3">
        <f>IF(ISNUMBER(AVERAGE('20250815_ETF_Options_Exhibits'!X1909:X1913)),AVERAGE('20250815_ETF_Options_Exhibits'!X1909:X1913),"")</f>
        <v/>
      </c>
      <c r="Y1913" s="3">
        <f>IF(ISNUMBER(AVERAGE('20250815_ETF_Options_Exhibits'!Y1909:Y1913)),AVERAGE('20250815_ETF_Options_Exhibits'!Y1909:Y1913),"")</f>
        <v/>
      </c>
      <c r="Z1913" s="3">
        <f>IF(ISNUMBER(AVERAGE('20250815_ETF_Options_Exhibits'!Z1909:Z1913)),AVERAGE('20250815_ETF_Options_Exhibits'!Z1909:Z1913),"")</f>
        <v/>
      </c>
      <c r="AA1913" s="3">
        <f>IF(ISNUMBER(AVERAGE('20250815_ETF_Options_Exhibits'!AA1909:AA1913)),AVERAGE('20250815_ETF_Options_Exhibits'!AA1909:AA1913),"")</f>
        <v/>
      </c>
    </row>
    <row r="1914">
      <c r="A1914" s="1" t="n">
        <v>44778</v>
      </c>
      <c r="B1914" s="3">
        <f>IF(ISNUMBER(AVERAGE('20250815_ETF_Options_Exhibits'!B1910:B1914)),AVERAGE('20250815_ETF_Options_Exhibits'!B1910:B1914),"")</f>
        <v/>
      </c>
      <c r="C1914" s="3">
        <f>IF(ISNUMBER(AVERAGE('20250815_ETF_Options_Exhibits'!C1910:C1914)),AVERAGE('20250815_ETF_Options_Exhibits'!C1910:C1914),"")</f>
        <v/>
      </c>
      <c r="D1914" s="3">
        <f>IF(ISNUMBER(AVERAGE('20250815_ETF_Options_Exhibits'!D1910:D1914)),AVERAGE('20250815_ETF_Options_Exhibits'!D1910:D1914),"")</f>
        <v/>
      </c>
      <c r="E1914" s="3">
        <f>IF(ISNUMBER(AVERAGE('20250815_ETF_Options_Exhibits'!E1910:E1914)),AVERAGE('20250815_ETF_Options_Exhibits'!E1910:E1914),"")</f>
        <v/>
      </c>
      <c r="F1914" s="3">
        <f>IF(ISNUMBER(AVERAGE('20250815_ETF_Options_Exhibits'!F1910:F1914)),AVERAGE('20250815_ETF_Options_Exhibits'!F1910:F1914),"")</f>
        <v/>
      </c>
      <c r="G1914" s="3">
        <f>IF(ISNUMBER(AVERAGE('20250815_ETF_Options_Exhibits'!G1910:G1914)),AVERAGE('20250815_ETF_Options_Exhibits'!G1910:G1914),"")</f>
        <v/>
      </c>
      <c r="H1914" s="3">
        <f>IF(ISNUMBER(AVERAGE('20250815_ETF_Options_Exhibits'!H1910:H1914)),AVERAGE('20250815_ETF_Options_Exhibits'!H1910:H1914),"")</f>
        <v/>
      </c>
      <c r="I1914" s="3">
        <f>IF(ISNUMBER(AVERAGE('20250815_ETF_Options_Exhibits'!I1910:I1914)),AVERAGE('20250815_ETF_Options_Exhibits'!I1910:I1914),"")</f>
        <v/>
      </c>
      <c r="J1914" s="3">
        <f>IF(ISNUMBER(AVERAGE('20250815_ETF_Options_Exhibits'!J1910:J1914)),AVERAGE('20250815_ETF_Options_Exhibits'!J1910:J1914),"")</f>
        <v/>
      </c>
      <c r="K1914" s="3">
        <f>IF(ISNUMBER(AVERAGE('20250815_ETF_Options_Exhibits'!K1910:K1914)),AVERAGE('20250815_ETF_Options_Exhibits'!K1910:K1914),"")</f>
        <v/>
      </c>
      <c r="L1914" s="3">
        <f>IF(ISNUMBER(AVERAGE('20250815_ETF_Options_Exhibits'!L1910:L1914)),AVERAGE('20250815_ETF_Options_Exhibits'!L1910:L1914),"")</f>
        <v/>
      </c>
      <c r="M1914" s="3">
        <f>IF(ISNUMBER(AVERAGE('20250815_ETF_Options_Exhibits'!M1910:M1914)),AVERAGE('20250815_ETF_Options_Exhibits'!M1910:M1914),"")</f>
        <v/>
      </c>
      <c r="N1914" s="3">
        <f>IF(ISNUMBER(AVERAGE('20250815_ETF_Options_Exhibits'!N1910:N1914)),AVERAGE('20250815_ETF_Options_Exhibits'!N1910:N1914),"")</f>
        <v/>
      </c>
      <c r="O1914" s="3">
        <f>IF(ISNUMBER(AVERAGE('20250815_ETF_Options_Exhibits'!O1910:O1914)),AVERAGE('20250815_ETF_Options_Exhibits'!O1910:O1914),"")</f>
        <v/>
      </c>
      <c r="P1914" s="3">
        <f>IF(ISNUMBER(AVERAGE('20250815_ETF_Options_Exhibits'!P1910:P1914)),AVERAGE('20250815_ETF_Options_Exhibits'!P1910:P1914),"")</f>
        <v/>
      </c>
      <c r="Q1914" s="3">
        <f>IF(ISNUMBER(AVERAGE('20250815_ETF_Options_Exhibits'!Q1910:Q1914)),AVERAGE('20250815_ETF_Options_Exhibits'!Q1910:Q1914),"")</f>
        <v/>
      </c>
      <c r="R1914" s="3">
        <f>IF(ISNUMBER(AVERAGE('20250815_ETF_Options_Exhibits'!R1910:R1914)),AVERAGE('20250815_ETF_Options_Exhibits'!R1910:R1914),"")</f>
        <v/>
      </c>
      <c r="S1914" s="3">
        <f>IF(ISNUMBER(AVERAGE('20250815_ETF_Options_Exhibits'!S1910:S1914)),AVERAGE('20250815_ETF_Options_Exhibits'!S1910:S1914),"")</f>
        <v/>
      </c>
      <c r="T1914" s="3">
        <f>IF(ISNUMBER(AVERAGE('20250815_ETF_Options_Exhibits'!T1910:T1914)),AVERAGE('20250815_ETF_Options_Exhibits'!T1910:T1914),"")</f>
        <v/>
      </c>
      <c r="U1914" s="3">
        <f>IF(ISNUMBER(AVERAGE('20250815_ETF_Options_Exhibits'!U1910:U1914)),AVERAGE('20250815_ETF_Options_Exhibits'!U1910:U1914),"")</f>
        <v/>
      </c>
      <c r="V1914" s="3">
        <f>IF(ISNUMBER(AVERAGE('20250815_ETF_Options_Exhibits'!V1910:V1914)),AVERAGE('20250815_ETF_Options_Exhibits'!V1910:V1914),"")</f>
        <v/>
      </c>
      <c r="W1914" s="3">
        <f>IF(ISNUMBER(AVERAGE('20250815_ETF_Options_Exhibits'!W1910:W1914)),AVERAGE('20250815_ETF_Options_Exhibits'!W1910:W1914),"")</f>
        <v/>
      </c>
      <c r="X1914" s="3">
        <f>IF(ISNUMBER(AVERAGE('20250815_ETF_Options_Exhibits'!X1910:X1914)),AVERAGE('20250815_ETF_Options_Exhibits'!X1910:X1914),"")</f>
        <v/>
      </c>
      <c r="Y1914" s="3">
        <f>IF(ISNUMBER(AVERAGE('20250815_ETF_Options_Exhibits'!Y1910:Y1914)),AVERAGE('20250815_ETF_Options_Exhibits'!Y1910:Y1914),"")</f>
        <v/>
      </c>
      <c r="Z1914" s="3">
        <f>IF(ISNUMBER(AVERAGE('20250815_ETF_Options_Exhibits'!Z1910:Z1914)),AVERAGE('20250815_ETF_Options_Exhibits'!Z1910:Z1914),"")</f>
        <v/>
      </c>
      <c r="AA1914" s="3">
        <f>IF(ISNUMBER(AVERAGE('20250815_ETF_Options_Exhibits'!AA1910:AA1914)),AVERAGE('20250815_ETF_Options_Exhibits'!AA1910:AA1914),"")</f>
        <v/>
      </c>
    </row>
    <row r="1915">
      <c r="A1915" s="1" t="n">
        <v>44781</v>
      </c>
      <c r="B1915" s="3">
        <f>IF(ISNUMBER(AVERAGE('20250815_ETF_Options_Exhibits'!B1911:B1915)),AVERAGE('20250815_ETF_Options_Exhibits'!B1911:B1915),"")</f>
        <v/>
      </c>
      <c r="C1915" s="3">
        <f>IF(ISNUMBER(AVERAGE('20250815_ETF_Options_Exhibits'!C1911:C1915)),AVERAGE('20250815_ETF_Options_Exhibits'!C1911:C1915),"")</f>
        <v/>
      </c>
      <c r="D1915" s="3">
        <f>IF(ISNUMBER(AVERAGE('20250815_ETF_Options_Exhibits'!D1911:D1915)),AVERAGE('20250815_ETF_Options_Exhibits'!D1911:D1915),"")</f>
        <v/>
      </c>
      <c r="E1915" s="3">
        <f>IF(ISNUMBER(AVERAGE('20250815_ETF_Options_Exhibits'!E1911:E1915)),AVERAGE('20250815_ETF_Options_Exhibits'!E1911:E1915),"")</f>
        <v/>
      </c>
      <c r="F1915" s="3">
        <f>IF(ISNUMBER(AVERAGE('20250815_ETF_Options_Exhibits'!F1911:F1915)),AVERAGE('20250815_ETF_Options_Exhibits'!F1911:F1915),"")</f>
        <v/>
      </c>
      <c r="G1915" s="3">
        <f>IF(ISNUMBER(AVERAGE('20250815_ETF_Options_Exhibits'!G1911:G1915)),AVERAGE('20250815_ETF_Options_Exhibits'!G1911:G1915),"")</f>
        <v/>
      </c>
      <c r="H1915" s="3">
        <f>IF(ISNUMBER(AVERAGE('20250815_ETF_Options_Exhibits'!H1911:H1915)),AVERAGE('20250815_ETF_Options_Exhibits'!H1911:H1915),"")</f>
        <v/>
      </c>
      <c r="I1915" s="3">
        <f>IF(ISNUMBER(AVERAGE('20250815_ETF_Options_Exhibits'!I1911:I1915)),AVERAGE('20250815_ETF_Options_Exhibits'!I1911:I1915),"")</f>
        <v/>
      </c>
      <c r="J1915" s="3">
        <f>IF(ISNUMBER(AVERAGE('20250815_ETF_Options_Exhibits'!J1911:J1915)),AVERAGE('20250815_ETF_Options_Exhibits'!J1911:J1915),"")</f>
        <v/>
      </c>
      <c r="K1915" s="3">
        <f>IF(ISNUMBER(AVERAGE('20250815_ETF_Options_Exhibits'!K1911:K1915)),AVERAGE('20250815_ETF_Options_Exhibits'!K1911:K1915),"")</f>
        <v/>
      </c>
      <c r="L1915" s="3">
        <f>IF(ISNUMBER(AVERAGE('20250815_ETF_Options_Exhibits'!L1911:L1915)),AVERAGE('20250815_ETF_Options_Exhibits'!L1911:L1915),"")</f>
        <v/>
      </c>
      <c r="M1915" s="3">
        <f>IF(ISNUMBER(AVERAGE('20250815_ETF_Options_Exhibits'!M1911:M1915)),AVERAGE('20250815_ETF_Options_Exhibits'!M1911:M1915),"")</f>
        <v/>
      </c>
      <c r="N1915" s="3">
        <f>IF(ISNUMBER(AVERAGE('20250815_ETF_Options_Exhibits'!N1911:N1915)),AVERAGE('20250815_ETF_Options_Exhibits'!N1911:N1915),"")</f>
        <v/>
      </c>
      <c r="O1915" s="3">
        <f>IF(ISNUMBER(AVERAGE('20250815_ETF_Options_Exhibits'!O1911:O1915)),AVERAGE('20250815_ETF_Options_Exhibits'!O1911:O1915),"")</f>
        <v/>
      </c>
      <c r="P1915" s="3">
        <f>IF(ISNUMBER(AVERAGE('20250815_ETF_Options_Exhibits'!P1911:P1915)),AVERAGE('20250815_ETF_Options_Exhibits'!P1911:P1915),"")</f>
        <v/>
      </c>
      <c r="Q1915" s="3">
        <f>IF(ISNUMBER(AVERAGE('20250815_ETF_Options_Exhibits'!Q1911:Q1915)),AVERAGE('20250815_ETF_Options_Exhibits'!Q1911:Q1915),"")</f>
        <v/>
      </c>
      <c r="R1915" s="3">
        <f>IF(ISNUMBER(AVERAGE('20250815_ETF_Options_Exhibits'!R1911:R1915)),AVERAGE('20250815_ETF_Options_Exhibits'!R1911:R1915),"")</f>
        <v/>
      </c>
      <c r="S1915" s="3">
        <f>IF(ISNUMBER(AVERAGE('20250815_ETF_Options_Exhibits'!S1911:S1915)),AVERAGE('20250815_ETF_Options_Exhibits'!S1911:S1915),"")</f>
        <v/>
      </c>
      <c r="T1915" s="3">
        <f>IF(ISNUMBER(AVERAGE('20250815_ETF_Options_Exhibits'!T1911:T1915)),AVERAGE('20250815_ETF_Options_Exhibits'!T1911:T1915),"")</f>
        <v/>
      </c>
      <c r="U1915" s="3">
        <f>IF(ISNUMBER(AVERAGE('20250815_ETF_Options_Exhibits'!U1911:U1915)),AVERAGE('20250815_ETF_Options_Exhibits'!U1911:U1915),"")</f>
        <v/>
      </c>
      <c r="V1915" s="3">
        <f>IF(ISNUMBER(AVERAGE('20250815_ETF_Options_Exhibits'!V1911:V1915)),AVERAGE('20250815_ETF_Options_Exhibits'!V1911:V1915),"")</f>
        <v/>
      </c>
      <c r="W1915" s="3">
        <f>IF(ISNUMBER(AVERAGE('20250815_ETF_Options_Exhibits'!W1911:W1915)),AVERAGE('20250815_ETF_Options_Exhibits'!W1911:W1915),"")</f>
        <v/>
      </c>
      <c r="X1915" s="3">
        <f>IF(ISNUMBER(AVERAGE('20250815_ETF_Options_Exhibits'!X1911:X1915)),AVERAGE('20250815_ETF_Options_Exhibits'!X1911:X1915),"")</f>
        <v/>
      </c>
      <c r="Y1915" s="3">
        <f>IF(ISNUMBER(AVERAGE('20250815_ETF_Options_Exhibits'!Y1911:Y1915)),AVERAGE('20250815_ETF_Options_Exhibits'!Y1911:Y1915),"")</f>
        <v/>
      </c>
      <c r="Z1915" s="3">
        <f>IF(ISNUMBER(AVERAGE('20250815_ETF_Options_Exhibits'!Z1911:Z1915)),AVERAGE('20250815_ETF_Options_Exhibits'!Z1911:Z1915),"")</f>
        <v/>
      </c>
      <c r="AA1915" s="3">
        <f>IF(ISNUMBER(AVERAGE('20250815_ETF_Options_Exhibits'!AA1911:AA1915)),AVERAGE('20250815_ETF_Options_Exhibits'!AA1911:AA1915),"")</f>
        <v/>
      </c>
    </row>
    <row r="1916">
      <c r="A1916" s="1" t="n">
        <v>44782</v>
      </c>
      <c r="B1916" s="3">
        <f>IF(ISNUMBER(AVERAGE('20250815_ETF_Options_Exhibits'!B1912:B1916)),AVERAGE('20250815_ETF_Options_Exhibits'!B1912:B1916),"")</f>
        <v/>
      </c>
      <c r="C1916" s="3">
        <f>IF(ISNUMBER(AVERAGE('20250815_ETF_Options_Exhibits'!C1912:C1916)),AVERAGE('20250815_ETF_Options_Exhibits'!C1912:C1916),"")</f>
        <v/>
      </c>
      <c r="D1916" s="3">
        <f>IF(ISNUMBER(AVERAGE('20250815_ETF_Options_Exhibits'!D1912:D1916)),AVERAGE('20250815_ETF_Options_Exhibits'!D1912:D1916),"")</f>
        <v/>
      </c>
      <c r="E1916" s="3">
        <f>IF(ISNUMBER(AVERAGE('20250815_ETF_Options_Exhibits'!E1912:E1916)),AVERAGE('20250815_ETF_Options_Exhibits'!E1912:E1916),"")</f>
        <v/>
      </c>
      <c r="F1916" s="3">
        <f>IF(ISNUMBER(AVERAGE('20250815_ETF_Options_Exhibits'!F1912:F1916)),AVERAGE('20250815_ETF_Options_Exhibits'!F1912:F1916),"")</f>
        <v/>
      </c>
      <c r="G1916" s="3">
        <f>IF(ISNUMBER(AVERAGE('20250815_ETF_Options_Exhibits'!G1912:G1916)),AVERAGE('20250815_ETF_Options_Exhibits'!G1912:G1916),"")</f>
        <v/>
      </c>
      <c r="H1916" s="3">
        <f>IF(ISNUMBER(AVERAGE('20250815_ETF_Options_Exhibits'!H1912:H1916)),AVERAGE('20250815_ETF_Options_Exhibits'!H1912:H1916),"")</f>
        <v/>
      </c>
      <c r="I1916" s="3">
        <f>IF(ISNUMBER(AVERAGE('20250815_ETF_Options_Exhibits'!I1912:I1916)),AVERAGE('20250815_ETF_Options_Exhibits'!I1912:I1916),"")</f>
        <v/>
      </c>
      <c r="J1916" s="3">
        <f>IF(ISNUMBER(AVERAGE('20250815_ETF_Options_Exhibits'!J1912:J1916)),AVERAGE('20250815_ETF_Options_Exhibits'!J1912:J1916),"")</f>
        <v/>
      </c>
      <c r="K1916" s="3">
        <f>IF(ISNUMBER(AVERAGE('20250815_ETF_Options_Exhibits'!K1912:K1916)),AVERAGE('20250815_ETF_Options_Exhibits'!K1912:K1916),"")</f>
        <v/>
      </c>
      <c r="L1916" s="3">
        <f>IF(ISNUMBER(AVERAGE('20250815_ETF_Options_Exhibits'!L1912:L1916)),AVERAGE('20250815_ETF_Options_Exhibits'!L1912:L1916),"")</f>
        <v/>
      </c>
      <c r="M1916" s="3">
        <f>IF(ISNUMBER(AVERAGE('20250815_ETF_Options_Exhibits'!M1912:M1916)),AVERAGE('20250815_ETF_Options_Exhibits'!M1912:M1916),"")</f>
        <v/>
      </c>
      <c r="N1916" s="3">
        <f>IF(ISNUMBER(AVERAGE('20250815_ETF_Options_Exhibits'!N1912:N1916)),AVERAGE('20250815_ETF_Options_Exhibits'!N1912:N1916),"")</f>
        <v/>
      </c>
      <c r="O1916" s="3">
        <f>IF(ISNUMBER(AVERAGE('20250815_ETF_Options_Exhibits'!O1912:O1916)),AVERAGE('20250815_ETF_Options_Exhibits'!O1912:O1916),"")</f>
        <v/>
      </c>
      <c r="P1916" s="3">
        <f>IF(ISNUMBER(AVERAGE('20250815_ETF_Options_Exhibits'!P1912:P1916)),AVERAGE('20250815_ETF_Options_Exhibits'!P1912:P1916),"")</f>
        <v/>
      </c>
      <c r="Q1916" s="3">
        <f>IF(ISNUMBER(AVERAGE('20250815_ETF_Options_Exhibits'!Q1912:Q1916)),AVERAGE('20250815_ETF_Options_Exhibits'!Q1912:Q1916),"")</f>
        <v/>
      </c>
      <c r="R1916" s="3">
        <f>IF(ISNUMBER(AVERAGE('20250815_ETF_Options_Exhibits'!R1912:R1916)),AVERAGE('20250815_ETF_Options_Exhibits'!R1912:R1916),"")</f>
        <v/>
      </c>
      <c r="S1916" s="3">
        <f>IF(ISNUMBER(AVERAGE('20250815_ETF_Options_Exhibits'!S1912:S1916)),AVERAGE('20250815_ETF_Options_Exhibits'!S1912:S1916),"")</f>
        <v/>
      </c>
      <c r="T1916" s="3">
        <f>IF(ISNUMBER(AVERAGE('20250815_ETF_Options_Exhibits'!T1912:T1916)),AVERAGE('20250815_ETF_Options_Exhibits'!T1912:T1916),"")</f>
        <v/>
      </c>
      <c r="U1916" s="3">
        <f>IF(ISNUMBER(AVERAGE('20250815_ETF_Options_Exhibits'!U1912:U1916)),AVERAGE('20250815_ETF_Options_Exhibits'!U1912:U1916),"")</f>
        <v/>
      </c>
      <c r="V1916" s="3">
        <f>IF(ISNUMBER(AVERAGE('20250815_ETF_Options_Exhibits'!V1912:V1916)),AVERAGE('20250815_ETF_Options_Exhibits'!V1912:V1916),"")</f>
        <v/>
      </c>
      <c r="W1916" s="3">
        <f>IF(ISNUMBER(AVERAGE('20250815_ETF_Options_Exhibits'!W1912:W1916)),AVERAGE('20250815_ETF_Options_Exhibits'!W1912:W1916),"")</f>
        <v/>
      </c>
      <c r="X1916" s="3">
        <f>IF(ISNUMBER(AVERAGE('20250815_ETF_Options_Exhibits'!X1912:X1916)),AVERAGE('20250815_ETF_Options_Exhibits'!X1912:X1916),"")</f>
        <v/>
      </c>
      <c r="Y1916" s="3">
        <f>IF(ISNUMBER(AVERAGE('20250815_ETF_Options_Exhibits'!Y1912:Y1916)),AVERAGE('20250815_ETF_Options_Exhibits'!Y1912:Y1916),"")</f>
        <v/>
      </c>
      <c r="Z1916" s="3">
        <f>IF(ISNUMBER(AVERAGE('20250815_ETF_Options_Exhibits'!Z1912:Z1916)),AVERAGE('20250815_ETF_Options_Exhibits'!Z1912:Z1916),"")</f>
        <v/>
      </c>
      <c r="AA1916" s="3">
        <f>IF(ISNUMBER(AVERAGE('20250815_ETF_Options_Exhibits'!AA1912:AA1916)),AVERAGE('20250815_ETF_Options_Exhibits'!AA1912:AA1916),"")</f>
        <v/>
      </c>
    </row>
    <row r="1917">
      <c r="A1917" s="1" t="n">
        <v>44783</v>
      </c>
      <c r="B1917" s="3">
        <f>IF(ISNUMBER(AVERAGE('20250815_ETF_Options_Exhibits'!B1913:B1917)),AVERAGE('20250815_ETF_Options_Exhibits'!B1913:B1917),"")</f>
        <v/>
      </c>
      <c r="C1917" s="3">
        <f>IF(ISNUMBER(AVERAGE('20250815_ETF_Options_Exhibits'!C1913:C1917)),AVERAGE('20250815_ETF_Options_Exhibits'!C1913:C1917),"")</f>
        <v/>
      </c>
      <c r="D1917" s="3">
        <f>IF(ISNUMBER(AVERAGE('20250815_ETF_Options_Exhibits'!D1913:D1917)),AVERAGE('20250815_ETF_Options_Exhibits'!D1913:D1917),"")</f>
        <v/>
      </c>
      <c r="E1917" s="3">
        <f>IF(ISNUMBER(AVERAGE('20250815_ETF_Options_Exhibits'!E1913:E1917)),AVERAGE('20250815_ETF_Options_Exhibits'!E1913:E1917),"")</f>
        <v/>
      </c>
      <c r="F1917" s="3">
        <f>IF(ISNUMBER(AVERAGE('20250815_ETF_Options_Exhibits'!F1913:F1917)),AVERAGE('20250815_ETF_Options_Exhibits'!F1913:F1917),"")</f>
        <v/>
      </c>
      <c r="G1917" s="3">
        <f>IF(ISNUMBER(AVERAGE('20250815_ETF_Options_Exhibits'!G1913:G1917)),AVERAGE('20250815_ETF_Options_Exhibits'!G1913:G1917),"")</f>
        <v/>
      </c>
      <c r="H1917" s="3">
        <f>IF(ISNUMBER(AVERAGE('20250815_ETF_Options_Exhibits'!H1913:H1917)),AVERAGE('20250815_ETF_Options_Exhibits'!H1913:H1917),"")</f>
        <v/>
      </c>
      <c r="I1917" s="3">
        <f>IF(ISNUMBER(AVERAGE('20250815_ETF_Options_Exhibits'!I1913:I1917)),AVERAGE('20250815_ETF_Options_Exhibits'!I1913:I1917),"")</f>
        <v/>
      </c>
      <c r="J1917" s="3">
        <f>IF(ISNUMBER(AVERAGE('20250815_ETF_Options_Exhibits'!J1913:J1917)),AVERAGE('20250815_ETF_Options_Exhibits'!J1913:J1917),"")</f>
        <v/>
      </c>
      <c r="K1917" s="3">
        <f>IF(ISNUMBER(AVERAGE('20250815_ETF_Options_Exhibits'!K1913:K1917)),AVERAGE('20250815_ETF_Options_Exhibits'!K1913:K1917),"")</f>
        <v/>
      </c>
      <c r="L1917" s="3">
        <f>IF(ISNUMBER(AVERAGE('20250815_ETF_Options_Exhibits'!L1913:L1917)),AVERAGE('20250815_ETF_Options_Exhibits'!L1913:L1917),"")</f>
        <v/>
      </c>
      <c r="M1917" s="3">
        <f>IF(ISNUMBER(AVERAGE('20250815_ETF_Options_Exhibits'!M1913:M1917)),AVERAGE('20250815_ETF_Options_Exhibits'!M1913:M1917),"")</f>
        <v/>
      </c>
      <c r="N1917" s="3">
        <f>IF(ISNUMBER(AVERAGE('20250815_ETF_Options_Exhibits'!N1913:N1917)),AVERAGE('20250815_ETF_Options_Exhibits'!N1913:N1917),"")</f>
        <v/>
      </c>
      <c r="O1917" s="3">
        <f>IF(ISNUMBER(AVERAGE('20250815_ETF_Options_Exhibits'!O1913:O1917)),AVERAGE('20250815_ETF_Options_Exhibits'!O1913:O1917),"")</f>
        <v/>
      </c>
      <c r="P1917" s="3">
        <f>IF(ISNUMBER(AVERAGE('20250815_ETF_Options_Exhibits'!P1913:P1917)),AVERAGE('20250815_ETF_Options_Exhibits'!P1913:P1917),"")</f>
        <v/>
      </c>
      <c r="Q1917" s="3">
        <f>IF(ISNUMBER(AVERAGE('20250815_ETF_Options_Exhibits'!Q1913:Q1917)),AVERAGE('20250815_ETF_Options_Exhibits'!Q1913:Q1917),"")</f>
        <v/>
      </c>
      <c r="R1917" s="3">
        <f>IF(ISNUMBER(AVERAGE('20250815_ETF_Options_Exhibits'!R1913:R1917)),AVERAGE('20250815_ETF_Options_Exhibits'!R1913:R1917),"")</f>
        <v/>
      </c>
      <c r="S1917" s="3">
        <f>IF(ISNUMBER(AVERAGE('20250815_ETF_Options_Exhibits'!S1913:S1917)),AVERAGE('20250815_ETF_Options_Exhibits'!S1913:S1917),"")</f>
        <v/>
      </c>
      <c r="T1917" s="3">
        <f>IF(ISNUMBER(AVERAGE('20250815_ETF_Options_Exhibits'!T1913:T1917)),AVERAGE('20250815_ETF_Options_Exhibits'!T1913:T1917),"")</f>
        <v/>
      </c>
      <c r="U1917" s="3">
        <f>IF(ISNUMBER(AVERAGE('20250815_ETF_Options_Exhibits'!U1913:U1917)),AVERAGE('20250815_ETF_Options_Exhibits'!U1913:U1917),"")</f>
        <v/>
      </c>
      <c r="V1917" s="3">
        <f>IF(ISNUMBER(AVERAGE('20250815_ETF_Options_Exhibits'!V1913:V1917)),AVERAGE('20250815_ETF_Options_Exhibits'!V1913:V1917),"")</f>
        <v/>
      </c>
      <c r="W1917" s="3">
        <f>IF(ISNUMBER(AVERAGE('20250815_ETF_Options_Exhibits'!W1913:W1917)),AVERAGE('20250815_ETF_Options_Exhibits'!W1913:W1917),"")</f>
        <v/>
      </c>
      <c r="X1917" s="3">
        <f>IF(ISNUMBER(AVERAGE('20250815_ETF_Options_Exhibits'!X1913:X1917)),AVERAGE('20250815_ETF_Options_Exhibits'!X1913:X1917),"")</f>
        <v/>
      </c>
      <c r="Y1917" s="3">
        <f>IF(ISNUMBER(AVERAGE('20250815_ETF_Options_Exhibits'!Y1913:Y1917)),AVERAGE('20250815_ETF_Options_Exhibits'!Y1913:Y1917),"")</f>
        <v/>
      </c>
      <c r="Z1917" s="3">
        <f>IF(ISNUMBER(AVERAGE('20250815_ETF_Options_Exhibits'!Z1913:Z1917)),AVERAGE('20250815_ETF_Options_Exhibits'!Z1913:Z1917),"")</f>
        <v/>
      </c>
      <c r="AA1917" s="3">
        <f>IF(ISNUMBER(AVERAGE('20250815_ETF_Options_Exhibits'!AA1913:AA1917)),AVERAGE('20250815_ETF_Options_Exhibits'!AA1913:AA1917),"")</f>
        <v/>
      </c>
    </row>
    <row r="1918">
      <c r="A1918" s="1" t="n">
        <v>44784</v>
      </c>
      <c r="B1918" s="3">
        <f>IF(ISNUMBER(AVERAGE('20250815_ETF_Options_Exhibits'!B1914:B1918)),AVERAGE('20250815_ETF_Options_Exhibits'!B1914:B1918),"")</f>
        <v/>
      </c>
      <c r="C1918" s="3">
        <f>IF(ISNUMBER(AVERAGE('20250815_ETF_Options_Exhibits'!C1914:C1918)),AVERAGE('20250815_ETF_Options_Exhibits'!C1914:C1918),"")</f>
        <v/>
      </c>
      <c r="D1918" s="3">
        <f>IF(ISNUMBER(AVERAGE('20250815_ETF_Options_Exhibits'!D1914:D1918)),AVERAGE('20250815_ETF_Options_Exhibits'!D1914:D1918),"")</f>
        <v/>
      </c>
      <c r="E1918" s="3">
        <f>IF(ISNUMBER(AVERAGE('20250815_ETF_Options_Exhibits'!E1914:E1918)),AVERAGE('20250815_ETF_Options_Exhibits'!E1914:E1918),"")</f>
        <v/>
      </c>
      <c r="F1918" s="3">
        <f>IF(ISNUMBER(AVERAGE('20250815_ETF_Options_Exhibits'!F1914:F1918)),AVERAGE('20250815_ETF_Options_Exhibits'!F1914:F1918),"")</f>
        <v/>
      </c>
      <c r="G1918" s="3">
        <f>IF(ISNUMBER(AVERAGE('20250815_ETF_Options_Exhibits'!G1914:G1918)),AVERAGE('20250815_ETF_Options_Exhibits'!G1914:G1918),"")</f>
        <v/>
      </c>
      <c r="H1918" s="3">
        <f>IF(ISNUMBER(AVERAGE('20250815_ETF_Options_Exhibits'!H1914:H1918)),AVERAGE('20250815_ETF_Options_Exhibits'!H1914:H1918),"")</f>
        <v/>
      </c>
      <c r="I1918" s="3">
        <f>IF(ISNUMBER(AVERAGE('20250815_ETF_Options_Exhibits'!I1914:I1918)),AVERAGE('20250815_ETF_Options_Exhibits'!I1914:I1918),"")</f>
        <v/>
      </c>
      <c r="J1918" s="3">
        <f>IF(ISNUMBER(AVERAGE('20250815_ETF_Options_Exhibits'!J1914:J1918)),AVERAGE('20250815_ETF_Options_Exhibits'!J1914:J1918),"")</f>
        <v/>
      </c>
      <c r="K1918" s="3">
        <f>IF(ISNUMBER(AVERAGE('20250815_ETF_Options_Exhibits'!K1914:K1918)),AVERAGE('20250815_ETF_Options_Exhibits'!K1914:K1918),"")</f>
        <v/>
      </c>
      <c r="L1918" s="3">
        <f>IF(ISNUMBER(AVERAGE('20250815_ETF_Options_Exhibits'!L1914:L1918)),AVERAGE('20250815_ETF_Options_Exhibits'!L1914:L1918),"")</f>
        <v/>
      </c>
      <c r="M1918" s="3">
        <f>IF(ISNUMBER(AVERAGE('20250815_ETF_Options_Exhibits'!M1914:M1918)),AVERAGE('20250815_ETF_Options_Exhibits'!M1914:M1918),"")</f>
        <v/>
      </c>
      <c r="N1918" s="3">
        <f>IF(ISNUMBER(AVERAGE('20250815_ETF_Options_Exhibits'!N1914:N1918)),AVERAGE('20250815_ETF_Options_Exhibits'!N1914:N1918),"")</f>
        <v/>
      </c>
      <c r="O1918" s="3">
        <f>IF(ISNUMBER(AVERAGE('20250815_ETF_Options_Exhibits'!O1914:O1918)),AVERAGE('20250815_ETF_Options_Exhibits'!O1914:O1918),"")</f>
        <v/>
      </c>
      <c r="P1918" s="3">
        <f>IF(ISNUMBER(AVERAGE('20250815_ETF_Options_Exhibits'!P1914:P1918)),AVERAGE('20250815_ETF_Options_Exhibits'!P1914:P1918),"")</f>
        <v/>
      </c>
      <c r="Q1918" s="3">
        <f>IF(ISNUMBER(AVERAGE('20250815_ETF_Options_Exhibits'!Q1914:Q1918)),AVERAGE('20250815_ETF_Options_Exhibits'!Q1914:Q1918),"")</f>
        <v/>
      </c>
      <c r="R1918" s="3">
        <f>IF(ISNUMBER(AVERAGE('20250815_ETF_Options_Exhibits'!R1914:R1918)),AVERAGE('20250815_ETF_Options_Exhibits'!R1914:R1918),"")</f>
        <v/>
      </c>
      <c r="S1918" s="3">
        <f>IF(ISNUMBER(AVERAGE('20250815_ETF_Options_Exhibits'!S1914:S1918)),AVERAGE('20250815_ETF_Options_Exhibits'!S1914:S1918),"")</f>
        <v/>
      </c>
      <c r="T1918" s="3">
        <f>IF(ISNUMBER(AVERAGE('20250815_ETF_Options_Exhibits'!T1914:T1918)),AVERAGE('20250815_ETF_Options_Exhibits'!T1914:T1918),"")</f>
        <v/>
      </c>
      <c r="U1918" s="3">
        <f>IF(ISNUMBER(AVERAGE('20250815_ETF_Options_Exhibits'!U1914:U1918)),AVERAGE('20250815_ETF_Options_Exhibits'!U1914:U1918),"")</f>
        <v/>
      </c>
      <c r="V1918" s="3">
        <f>IF(ISNUMBER(AVERAGE('20250815_ETF_Options_Exhibits'!V1914:V1918)),AVERAGE('20250815_ETF_Options_Exhibits'!V1914:V1918),"")</f>
        <v/>
      </c>
      <c r="W1918" s="3">
        <f>IF(ISNUMBER(AVERAGE('20250815_ETF_Options_Exhibits'!W1914:W1918)),AVERAGE('20250815_ETF_Options_Exhibits'!W1914:W1918),"")</f>
        <v/>
      </c>
      <c r="X1918" s="3">
        <f>IF(ISNUMBER(AVERAGE('20250815_ETF_Options_Exhibits'!X1914:X1918)),AVERAGE('20250815_ETF_Options_Exhibits'!X1914:X1918),"")</f>
        <v/>
      </c>
      <c r="Y1918" s="3">
        <f>IF(ISNUMBER(AVERAGE('20250815_ETF_Options_Exhibits'!Y1914:Y1918)),AVERAGE('20250815_ETF_Options_Exhibits'!Y1914:Y1918),"")</f>
        <v/>
      </c>
      <c r="Z1918" s="3">
        <f>IF(ISNUMBER(AVERAGE('20250815_ETF_Options_Exhibits'!Z1914:Z1918)),AVERAGE('20250815_ETF_Options_Exhibits'!Z1914:Z1918),"")</f>
        <v/>
      </c>
      <c r="AA1918" s="3">
        <f>IF(ISNUMBER(AVERAGE('20250815_ETF_Options_Exhibits'!AA1914:AA1918)),AVERAGE('20250815_ETF_Options_Exhibits'!AA1914:AA1918),"")</f>
        <v/>
      </c>
    </row>
    <row r="1919">
      <c r="A1919" s="1" t="n">
        <v>44785</v>
      </c>
      <c r="B1919" s="3">
        <f>IF(ISNUMBER(AVERAGE('20250815_ETF_Options_Exhibits'!B1915:B1919)),AVERAGE('20250815_ETF_Options_Exhibits'!B1915:B1919),"")</f>
        <v/>
      </c>
      <c r="C1919" s="3">
        <f>IF(ISNUMBER(AVERAGE('20250815_ETF_Options_Exhibits'!C1915:C1919)),AVERAGE('20250815_ETF_Options_Exhibits'!C1915:C1919),"")</f>
        <v/>
      </c>
      <c r="D1919" s="3">
        <f>IF(ISNUMBER(AVERAGE('20250815_ETF_Options_Exhibits'!D1915:D1919)),AVERAGE('20250815_ETF_Options_Exhibits'!D1915:D1919),"")</f>
        <v/>
      </c>
      <c r="E1919" s="3">
        <f>IF(ISNUMBER(AVERAGE('20250815_ETF_Options_Exhibits'!E1915:E1919)),AVERAGE('20250815_ETF_Options_Exhibits'!E1915:E1919),"")</f>
        <v/>
      </c>
      <c r="F1919" s="3">
        <f>IF(ISNUMBER(AVERAGE('20250815_ETF_Options_Exhibits'!F1915:F1919)),AVERAGE('20250815_ETF_Options_Exhibits'!F1915:F1919),"")</f>
        <v/>
      </c>
      <c r="G1919" s="3">
        <f>IF(ISNUMBER(AVERAGE('20250815_ETF_Options_Exhibits'!G1915:G1919)),AVERAGE('20250815_ETF_Options_Exhibits'!G1915:G1919),"")</f>
        <v/>
      </c>
      <c r="H1919" s="3">
        <f>IF(ISNUMBER(AVERAGE('20250815_ETF_Options_Exhibits'!H1915:H1919)),AVERAGE('20250815_ETF_Options_Exhibits'!H1915:H1919),"")</f>
        <v/>
      </c>
      <c r="I1919" s="3">
        <f>IF(ISNUMBER(AVERAGE('20250815_ETF_Options_Exhibits'!I1915:I1919)),AVERAGE('20250815_ETF_Options_Exhibits'!I1915:I1919),"")</f>
        <v/>
      </c>
      <c r="J1919" s="3">
        <f>IF(ISNUMBER(AVERAGE('20250815_ETF_Options_Exhibits'!J1915:J1919)),AVERAGE('20250815_ETF_Options_Exhibits'!J1915:J1919),"")</f>
        <v/>
      </c>
      <c r="K1919" s="3">
        <f>IF(ISNUMBER(AVERAGE('20250815_ETF_Options_Exhibits'!K1915:K1919)),AVERAGE('20250815_ETF_Options_Exhibits'!K1915:K1919),"")</f>
        <v/>
      </c>
      <c r="L1919" s="3">
        <f>IF(ISNUMBER(AVERAGE('20250815_ETF_Options_Exhibits'!L1915:L1919)),AVERAGE('20250815_ETF_Options_Exhibits'!L1915:L1919),"")</f>
        <v/>
      </c>
      <c r="M1919" s="3">
        <f>IF(ISNUMBER(AVERAGE('20250815_ETF_Options_Exhibits'!M1915:M1919)),AVERAGE('20250815_ETF_Options_Exhibits'!M1915:M1919),"")</f>
        <v/>
      </c>
      <c r="N1919" s="3">
        <f>IF(ISNUMBER(AVERAGE('20250815_ETF_Options_Exhibits'!N1915:N1919)),AVERAGE('20250815_ETF_Options_Exhibits'!N1915:N1919),"")</f>
        <v/>
      </c>
      <c r="O1919" s="3">
        <f>IF(ISNUMBER(AVERAGE('20250815_ETF_Options_Exhibits'!O1915:O1919)),AVERAGE('20250815_ETF_Options_Exhibits'!O1915:O1919),"")</f>
        <v/>
      </c>
      <c r="P1919" s="3">
        <f>IF(ISNUMBER(AVERAGE('20250815_ETF_Options_Exhibits'!P1915:P1919)),AVERAGE('20250815_ETF_Options_Exhibits'!P1915:P1919),"")</f>
        <v/>
      </c>
      <c r="Q1919" s="3">
        <f>IF(ISNUMBER(AVERAGE('20250815_ETF_Options_Exhibits'!Q1915:Q1919)),AVERAGE('20250815_ETF_Options_Exhibits'!Q1915:Q1919),"")</f>
        <v/>
      </c>
      <c r="R1919" s="3">
        <f>IF(ISNUMBER(AVERAGE('20250815_ETF_Options_Exhibits'!R1915:R1919)),AVERAGE('20250815_ETF_Options_Exhibits'!R1915:R1919),"")</f>
        <v/>
      </c>
      <c r="S1919" s="3">
        <f>IF(ISNUMBER(AVERAGE('20250815_ETF_Options_Exhibits'!S1915:S1919)),AVERAGE('20250815_ETF_Options_Exhibits'!S1915:S1919),"")</f>
        <v/>
      </c>
      <c r="T1919" s="3">
        <f>IF(ISNUMBER(AVERAGE('20250815_ETF_Options_Exhibits'!T1915:T1919)),AVERAGE('20250815_ETF_Options_Exhibits'!T1915:T1919),"")</f>
        <v/>
      </c>
      <c r="U1919" s="3">
        <f>IF(ISNUMBER(AVERAGE('20250815_ETF_Options_Exhibits'!U1915:U1919)),AVERAGE('20250815_ETF_Options_Exhibits'!U1915:U1919),"")</f>
        <v/>
      </c>
      <c r="V1919" s="3">
        <f>IF(ISNUMBER(AVERAGE('20250815_ETF_Options_Exhibits'!V1915:V1919)),AVERAGE('20250815_ETF_Options_Exhibits'!V1915:V1919),"")</f>
        <v/>
      </c>
      <c r="W1919" s="3">
        <f>IF(ISNUMBER(AVERAGE('20250815_ETF_Options_Exhibits'!W1915:W1919)),AVERAGE('20250815_ETF_Options_Exhibits'!W1915:W1919),"")</f>
        <v/>
      </c>
      <c r="X1919" s="3">
        <f>IF(ISNUMBER(AVERAGE('20250815_ETF_Options_Exhibits'!X1915:X1919)),AVERAGE('20250815_ETF_Options_Exhibits'!X1915:X1919),"")</f>
        <v/>
      </c>
      <c r="Y1919" s="3">
        <f>IF(ISNUMBER(AVERAGE('20250815_ETF_Options_Exhibits'!Y1915:Y1919)),AVERAGE('20250815_ETF_Options_Exhibits'!Y1915:Y1919),"")</f>
        <v/>
      </c>
      <c r="Z1919" s="3">
        <f>IF(ISNUMBER(AVERAGE('20250815_ETF_Options_Exhibits'!Z1915:Z1919)),AVERAGE('20250815_ETF_Options_Exhibits'!Z1915:Z1919),"")</f>
        <v/>
      </c>
      <c r="AA1919" s="3">
        <f>IF(ISNUMBER(AVERAGE('20250815_ETF_Options_Exhibits'!AA1915:AA1919)),AVERAGE('20250815_ETF_Options_Exhibits'!AA1915:AA1919),"")</f>
        <v/>
      </c>
    </row>
    <row r="1920">
      <c r="A1920" s="1" t="n">
        <v>44788</v>
      </c>
      <c r="B1920" s="3">
        <f>IF(ISNUMBER(AVERAGE('20250815_ETF_Options_Exhibits'!B1916:B1920)),AVERAGE('20250815_ETF_Options_Exhibits'!B1916:B1920),"")</f>
        <v/>
      </c>
      <c r="C1920" s="3">
        <f>IF(ISNUMBER(AVERAGE('20250815_ETF_Options_Exhibits'!C1916:C1920)),AVERAGE('20250815_ETF_Options_Exhibits'!C1916:C1920),"")</f>
        <v/>
      </c>
      <c r="D1920" s="3">
        <f>IF(ISNUMBER(AVERAGE('20250815_ETF_Options_Exhibits'!D1916:D1920)),AVERAGE('20250815_ETF_Options_Exhibits'!D1916:D1920),"")</f>
        <v/>
      </c>
      <c r="E1920" s="3">
        <f>IF(ISNUMBER(AVERAGE('20250815_ETF_Options_Exhibits'!E1916:E1920)),AVERAGE('20250815_ETF_Options_Exhibits'!E1916:E1920),"")</f>
        <v/>
      </c>
      <c r="F1920" s="3">
        <f>IF(ISNUMBER(AVERAGE('20250815_ETF_Options_Exhibits'!F1916:F1920)),AVERAGE('20250815_ETF_Options_Exhibits'!F1916:F1920),"")</f>
        <v/>
      </c>
      <c r="G1920" s="3">
        <f>IF(ISNUMBER(AVERAGE('20250815_ETF_Options_Exhibits'!G1916:G1920)),AVERAGE('20250815_ETF_Options_Exhibits'!G1916:G1920),"")</f>
        <v/>
      </c>
      <c r="H1920" s="3">
        <f>IF(ISNUMBER(AVERAGE('20250815_ETF_Options_Exhibits'!H1916:H1920)),AVERAGE('20250815_ETF_Options_Exhibits'!H1916:H1920),"")</f>
        <v/>
      </c>
      <c r="I1920" s="3">
        <f>IF(ISNUMBER(AVERAGE('20250815_ETF_Options_Exhibits'!I1916:I1920)),AVERAGE('20250815_ETF_Options_Exhibits'!I1916:I1920),"")</f>
        <v/>
      </c>
      <c r="J1920" s="3">
        <f>IF(ISNUMBER(AVERAGE('20250815_ETF_Options_Exhibits'!J1916:J1920)),AVERAGE('20250815_ETF_Options_Exhibits'!J1916:J1920),"")</f>
        <v/>
      </c>
      <c r="K1920" s="3">
        <f>IF(ISNUMBER(AVERAGE('20250815_ETF_Options_Exhibits'!K1916:K1920)),AVERAGE('20250815_ETF_Options_Exhibits'!K1916:K1920),"")</f>
        <v/>
      </c>
      <c r="L1920" s="3">
        <f>IF(ISNUMBER(AVERAGE('20250815_ETF_Options_Exhibits'!L1916:L1920)),AVERAGE('20250815_ETF_Options_Exhibits'!L1916:L1920),"")</f>
        <v/>
      </c>
      <c r="M1920" s="3">
        <f>IF(ISNUMBER(AVERAGE('20250815_ETF_Options_Exhibits'!M1916:M1920)),AVERAGE('20250815_ETF_Options_Exhibits'!M1916:M1920),"")</f>
        <v/>
      </c>
      <c r="N1920" s="3">
        <f>IF(ISNUMBER(AVERAGE('20250815_ETF_Options_Exhibits'!N1916:N1920)),AVERAGE('20250815_ETF_Options_Exhibits'!N1916:N1920),"")</f>
        <v/>
      </c>
      <c r="O1920" s="3">
        <f>IF(ISNUMBER(AVERAGE('20250815_ETF_Options_Exhibits'!O1916:O1920)),AVERAGE('20250815_ETF_Options_Exhibits'!O1916:O1920),"")</f>
        <v/>
      </c>
      <c r="P1920" s="3">
        <f>IF(ISNUMBER(AVERAGE('20250815_ETF_Options_Exhibits'!P1916:P1920)),AVERAGE('20250815_ETF_Options_Exhibits'!P1916:P1920),"")</f>
        <v/>
      </c>
      <c r="Q1920" s="3">
        <f>IF(ISNUMBER(AVERAGE('20250815_ETF_Options_Exhibits'!Q1916:Q1920)),AVERAGE('20250815_ETF_Options_Exhibits'!Q1916:Q1920),"")</f>
        <v/>
      </c>
      <c r="R1920" s="3">
        <f>IF(ISNUMBER(AVERAGE('20250815_ETF_Options_Exhibits'!R1916:R1920)),AVERAGE('20250815_ETF_Options_Exhibits'!R1916:R1920),"")</f>
        <v/>
      </c>
      <c r="S1920" s="3">
        <f>IF(ISNUMBER(AVERAGE('20250815_ETF_Options_Exhibits'!S1916:S1920)),AVERAGE('20250815_ETF_Options_Exhibits'!S1916:S1920),"")</f>
        <v/>
      </c>
      <c r="T1920" s="3">
        <f>IF(ISNUMBER(AVERAGE('20250815_ETF_Options_Exhibits'!T1916:T1920)),AVERAGE('20250815_ETF_Options_Exhibits'!T1916:T1920),"")</f>
        <v/>
      </c>
      <c r="U1920" s="3">
        <f>IF(ISNUMBER(AVERAGE('20250815_ETF_Options_Exhibits'!U1916:U1920)),AVERAGE('20250815_ETF_Options_Exhibits'!U1916:U1920),"")</f>
        <v/>
      </c>
      <c r="V1920" s="3">
        <f>IF(ISNUMBER(AVERAGE('20250815_ETF_Options_Exhibits'!V1916:V1920)),AVERAGE('20250815_ETF_Options_Exhibits'!V1916:V1920),"")</f>
        <v/>
      </c>
      <c r="W1920" s="3">
        <f>IF(ISNUMBER(AVERAGE('20250815_ETF_Options_Exhibits'!W1916:W1920)),AVERAGE('20250815_ETF_Options_Exhibits'!W1916:W1920),"")</f>
        <v/>
      </c>
      <c r="X1920" s="3">
        <f>IF(ISNUMBER(AVERAGE('20250815_ETF_Options_Exhibits'!X1916:X1920)),AVERAGE('20250815_ETF_Options_Exhibits'!X1916:X1920),"")</f>
        <v/>
      </c>
      <c r="Y1920" s="3">
        <f>IF(ISNUMBER(AVERAGE('20250815_ETF_Options_Exhibits'!Y1916:Y1920)),AVERAGE('20250815_ETF_Options_Exhibits'!Y1916:Y1920),"")</f>
        <v/>
      </c>
      <c r="Z1920" s="3">
        <f>IF(ISNUMBER(AVERAGE('20250815_ETF_Options_Exhibits'!Z1916:Z1920)),AVERAGE('20250815_ETF_Options_Exhibits'!Z1916:Z1920),"")</f>
        <v/>
      </c>
      <c r="AA1920" s="3">
        <f>IF(ISNUMBER(AVERAGE('20250815_ETF_Options_Exhibits'!AA1916:AA1920)),AVERAGE('20250815_ETF_Options_Exhibits'!AA1916:AA1920),"")</f>
        <v/>
      </c>
    </row>
    <row r="1921">
      <c r="A1921" s="1" t="n">
        <v>44789</v>
      </c>
      <c r="B1921" s="3">
        <f>IF(ISNUMBER(AVERAGE('20250815_ETF_Options_Exhibits'!B1917:B1921)),AVERAGE('20250815_ETF_Options_Exhibits'!B1917:B1921),"")</f>
        <v/>
      </c>
      <c r="C1921" s="3">
        <f>IF(ISNUMBER(AVERAGE('20250815_ETF_Options_Exhibits'!C1917:C1921)),AVERAGE('20250815_ETF_Options_Exhibits'!C1917:C1921),"")</f>
        <v/>
      </c>
      <c r="D1921" s="3">
        <f>IF(ISNUMBER(AVERAGE('20250815_ETF_Options_Exhibits'!D1917:D1921)),AVERAGE('20250815_ETF_Options_Exhibits'!D1917:D1921),"")</f>
        <v/>
      </c>
      <c r="E1921" s="3">
        <f>IF(ISNUMBER(AVERAGE('20250815_ETF_Options_Exhibits'!E1917:E1921)),AVERAGE('20250815_ETF_Options_Exhibits'!E1917:E1921),"")</f>
        <v/>
      </c>
      <c r="F1921" s="3">
        <f>IF(ISNUMBER(AVERAGE('20250815_ETF_Options_Exhibits'!F1917:F1921)),AVERAGE('20250815_ETF_Options_Exhibits'!F1917:F1921),"")</f>
        <v/>
      </c>
      <c r="G1921" s="3">
        <f>IF(ISNUMBER(AVERAGE('20250815_ETF_Options_Exhibits'!G1917:G1921)),AVERAGE('20250815_ETF_Options_Exhibits'!G1917:G1921),"")</f>
        <v/>
      </c>
      <c r="H1921" s="3">
        <f>IF(ISNUMBER(AVERAGE('20250815_ETF_Options_Exhibits'!H1917:H1921)),AVERAGE('20250815_ETF_Options_Exhibits'!H1917:H1921),"")</f>
        <v/>
      </c>
      <c r="I1921" s="3">
        <f>IF(ISNUMBER(AVERAGE('20250815_ETF_Options_Exhibits'!I1917:I1921)),AVERAGE('20250815_ETF_Options_Exhibits'!I1917:I1921),"")</f>
        <v/>
      </c>
      <c r="J1921" s="3">
        <f>IF(ISNUMBER(AVERAGE('20250815_ETF_Options_Exhibits'!J1917:J1921)),AVERAGE('20250815_ETF_Options_Exhibits'!J1917:J1921),"")</f>
        <v/>
      </c>
      <c r="K1921" s="3">
        <f>IF(ISNUMBER(AVERAGE('20250815_ETF_Options_Exhibits'!K1917:K1921)),AVERAGE('20250815_ETF_Options_Exhibits'!K1917:K1921),"")</f>
        <v/>
      </c>
      <c r="L1921" s="3">
        <f>IF(ISNUMBER(AVERAGE('20250815_ETF_Options_Exhibits'!L1917:L1921)),AVERAGE('20250815_ETF_Options_Exhibits'!L1917:L1921),"")</f>
        <v/>
      </c>
      <c r="M1921" s="3">
        <f>IF(ISNUMBER(AVERAGE('20250815_ETF_Options_Exhibits'!M1917:M1921)),AVERAGE('20250815_ETF_Options_Exhibits'!M1917:M1921),"")</f>
        <v/>
      </c>
      <c r="N1921" s="3">
        <f>IF(ISNUMBER(AVERAGE('20250815_ETF_Options_Exhibits'!N1917:N1921)),AVERAGE('20250815_ETF_Options_Exhibits'!N1917:N1921),"")</f>
        <v/>
      </c>
      <c r="O1921" s="3">
        <f>IF(ISNUMBER(AVERAGE('20250815_ETF_Options_Exhibits'!O1917:O1921)),AVERAGE('20250815_ETF_Options_Exhibits'!O1917:O1921),"")</f>
        <v/>
      </c>
      <c r="P1921" s="3">
        <f>IF(ISNUMBER(AVERAGE('20250815_ETF_Options_Exhibits'!P1917:P1921)),AVERAGE('20250815_ETF_Options_Exhibits'!P1917:P1921),"")</f>
        <v/>
      </c>
      <c r="Q1921" s="3">
        <f>IF(ISNUMBER(AVERAGE('20250815_ETF_Options_Exhibits'!Q1917:Q1921)),AVERAGE('20250815_ETF_Options_Exhibits'!Q1917:Q1921),"")</f>
        <v/>
      </c>
      <c r="R1921" s="3">
        <f>IF(ISNUMBER(AVERAGE('20250815_ETF_Options_Exhibits'!R1917:R1921)),AVERAGE('20250815_ETF_Options_Exhibits'!R1917:R1921),"")</f>
        <v/>
      </c>
      <c r="S1921" s="3">
        <f>IF(ISNUMBER(AVERAGE('20250815_ETF_Options_Exhibits'!S1917:S1921)),AVERAGE('20250815_ETF_Options_Exhibits'!S1917:S1921),"")</f>
        <v/>
      </c>
      <c r="T1921" s="3">
        <f>IF(ISNUMBER(AVERAGE('20250815_ETF_Options_Exhibits'!T1917:T1921)),AVERAGE('20250815_ETF_Options_Exhibits'!T1917:T1921),"")</f>
        <v/>
      </c>
      <c r="U1921" s="3">
        <f>IF(ISNUMBER(AVERAGE('20250815_ETF_Options_Exhibits'!U1917:U1921)),AVERAGE('20250815_ETF_Options_Exhibits'!U1917:U1921),"")</f>
        <v/>
      </c>
      <c r="V1921" s="3">
        <f>IF(ISNUMBER(AVERAGE('20250815_ETF_Options_Exhibits'!V1917:V1921)),AVERAGE('20250815_ETF_Options_Exhibits'!V1917:V1921),"")</f>
        <v/>
      </c>
      <c r="W1921" s="3">
        <f>IF(ISNUMBER(AVERAGE('20250815_ETF_Options_Exhibits'!W1917:W1921)),AVERAGE('20250815_ETF_Options_Exhibits'!W1917:W1921),"")</f>
        <v/>
      </c>
      <c r="X1921" s="3">
        <f>IF(ISNUMBER(AVERAGE('20250815_ETF_Options_Exhibits'!X1917:X1921)),AVERAGE('20250815_ETF_Options_Exhibits'!X1917:X1921),"")</f>
        <v/>
      </c>
      <c r="Y1921" s="3">
        <f>IF(ISNUMBER(AVERAGE('20250815_ETF_Options_Exhibits'!Y1917:Y1921)),AVERAGE('20250815_ETF_Options_Exhibits'!Y1917:Y1921),"")</f>
        <v/>
      </c>
      <c r="Z1921" s="3">
        <f>IF(ISNUMBER(AVERAGE('20250815_ETF_Options_Exhibits'!Z1917:Z1921)),AVERAGE('20250815_ETF_Options_Exhibits'!Z1917:Z1921),"")</f>
        <v/>
      </c>
      <c r="AA1921" s="3">
        <f>IF(ISNUMBER(AVERAGE('20250815_ETF_Options_Exhibits'!AA1917:AA1921)),AVERAGE('20250815_ETF_Options_Exhibits'!AA1917:AA1921),"")</f>
        <v/>
      </c>
    </row>
    <row r="1922">
      <c r="A1922" s="1" t="n">
        <v>44790</v>
      </c>
      <c r="B1922" s="3">
        <f>IF(ISNUMBER(AVERAGE('20250815_ETF_Options_Exhibits'!B1918:B1922)),AVERAGE('20250815_ETF_Options_Exhibits'!B1918:B1922),"")</f>
        <v/>
      </c>
      <c r="C1922" s="3">
        <f>IF(ISNUMBER(AVERAGE('20250815_ETF_Options_Exhibits'!C1918:C1922)),AVERAGE('20250815_ETF_Options_Exhibits'!C1918:C1922),"")</f>
        <v/>
      </c>
      <c r="D1922" s="3">
        <f>IF(ISNUMBER(AVERAGE('20250815_ETF_Options_Exhibits'!D1918:D1922)),AVERAGE('20250815_ETF_Options_Exhibits'!D1918:D1922),"")</f>
        <v/>
      </c>
      <c r="E1922" s="3">
        <f>IF(ISNUMBER(AVERAGE('20250815_ETF_Options_Exhibits'!E1918:E1922)),AVERAGE('20250815_ETF_Options_Exhibits'!E1918:E1922),"")</f>
        <v/>
      </c>
      <c r="F1922" s="3">
        <f>IF(ISNUMBER(AVERAGE('20250815_ETF_Options_Exhibits'!F1918:F1922)),AVERAGE('20250815_ETF_Options_Exhibits'!F1918:F1922),"")</f>
        <v/>
      </c>
      <c r="G1922" s="3">
        <f>IF(ISNUMBER(AVERAGE('20250815_ETF_Options_Exhibits'!G1918:G1922)),AVERAGE('20250815_ETF_Options_Exhibits'!G1918:G1922),"")</f>
        <v/>
      </c>
      <c r="H1922" s="3">
        <f>IF(ISNUMBER(AVERAGE('20250815_ETF_Options_Exhibits'!H1918:H1922)),AVERAGE('20250815_ETF_Options_Exhibits'!H1918:H1922),"")</f>
        <v/>
      </c>
      <c r="I1922" s="3">
        <f>IF(ISNUMBER(AVERAGE('20250815_ETF_Options_Exhibits'!I1918:I1922)),AVERAGE('20250815_ETF_Options_Exhibits'!I1918:I1922),"")</f>
        <v/>
      </c>
      <c r="J1922" s="3">
        <f>IF(ISNUMBER(AVERAGE('20250815_ETF_Options_Exhibits'!J1918:J1922)),AVERAGE('20250815_ETF_Options_Exhibits'!J1918:J1922),"")</f>
        <v/>
      </c>
      <c r="K1922" s="3">
        <f>IF(ISNUMBER(AVERAGE('20250815_ETF_Options_Exhibits'!K1918:K1922)),AVERAGE('20250815_ETF_Options_Exhibits'!K1918:K1922),"")</f>
        <v/>
      </c>
      <c r="L1922" s="3">
        <f>IF(ISNUMBER(AVERAGE('20250815_ETF_Options_Exhibits'!L1918:L1922)),AVERAGE('20250815_ETF_Options_Exhibits'!L1918:L1922),"")</f>
        <v/>
      </c>
      <c r="M1922" s="3">
        <f>IF(ISNUMBER(AVERAGE('20250815_ETF_Options_Exhibits'!M1918:M1922)),AVERAGE('20250815_ETF_Options_Exhibits'!M1918:M1922),"")</f>
        <v/>
      </c>
      <c r="N1922" s="3">
        <f>IF(ISNUMBER(AVERAGE('20250815_ETF_Options_Exhibits'!N1918:N1922)),AVERAGE('20250815_ETF_Options_Exhibits'!N1918:N1922),"")</f>
        <v/>
      </c>
      <c r="O1922" s="3">
        <f>IF(ISNUMBER(AVERAGE('20250815_ETF_Options_Exhibits'!O1918:O1922)),AVERAGE('20250815_ETF_Options_Exhibits'!O1918:O1922),"")</f>
        <v/>
      </c>
      <c r="P1922" s="3">
        <f>IF(ISNUMBER(AVERAGE('20250815_ETF_Options_Exhibits'!P1918:P1922)),AVERAGE('20250815_ETF_Options_Exhibits'!P1918:P1922),"")</f>
        <v/>
      </c>
      <c r="Q1922" s="3">
        <f>IF(ISNUMBER(AVERAGE('20250815_ETF_Options_Exhibits'!Q1918:Q1922)),AVERAGE('20250815_ETF_Options_Exhibits'!Q1918:Q1922),"")</f>
        <v/>
      </c>
      <c r="R1922" s="3">
        <f>IF(ISNUMBER(AVERAGE('20250815_ETF_Options_Exhibits'!R1918:R1922)),AVERAGE('20250815_ETF_Options_Exhibits'!R1918:R1922),"")</f>
        <v/>
      </c>
      <c r="S1922" s="3">
        <f>IF(ISNUMBER(AVERAGE('20250815_ETF_Options_Exhibits'!S1918:S1922)),AVERAGE('20250815_ETF_Options_Exhibits'!S1918:S1922),"")</f>
        <v/>
      </c>
      <c r="T1922" s="3">
        <f>IF(ISNUMBER(AVERAGE('20250815_ETF_Options_Exhibits'!T1918:T1922)),AVERAGE('20250815_ETF_Options_Exhibits'!T1918:T1922),"")</f>
        <v/>
      </c>
      <c r="U1922" s="3">
        <f>IF(ISNUMBER(AVERAGE('20250815_ETF_Options_Exhibits'!U1918:U1922)),AVERAGE('20250815_ETF_Options_Exhibits'!U1918:U1922),"")</f>
        <v/>
      </c>
      <c r="V1922" s="3">
        <f>IF(ISNUMBER(AVERAGE('20250815_ETF_Options_Exhibits'!V1918:V1922)),AVERAGE('20250815_ETF_Options_Exhibits'!V1918:V1922),"")</f>
        <v/>
      </c>
      <c r="W1922" s="3">
        <f>IF(ISNUMBER(AVERAGE('20250815_ETF_Options_Exhibits'!W1918:W1922)),AVERAGE('20250815_ETF_Options_Exhibits'!W1918:W1922),"")</f>
        <v/>
      </c>
      <c r="X1922" s="3">
        <f>IF(ISNUMBER(AVERAGE('20250815_ETF_Options_Exhibits'!X1918:X1922)),AVERAGE('20250815_ETF_Options_Exhibits'!X1918:X1922),"")</f>
        <v/>
      </c>
      <c r="Y1922" s="3">
        <f>IF(ISNUMBER(AVERAGE('20250815_ETF_Options_Exhibits'!Y1918:Y1922)),AVERAGE('20250815_ETF_Options_Exhibits'!Y1918:Y1922),"")</f>
        <v/>
      </c>
      <c r="Z1922" s="3">
        <f>IF(ISNUMBER(AVERAGE('20250815_ETF_Options_Exhibits'!Z1918:Z1922)),AVERAGE('20250815_ETF_Options_Exhibits'!Z1918:Z1922),"")</f>
        <v/>
      </c>
      <c r="AA1922" s="3">
        <f>IF(ISNUMBER(AVERAGE('20250815_ETF_Options_Exhibits'!AA1918:AA1922)),AVERAGE('20250815_ETF_Options_Exhibits'!AA1918:AA1922),"")</f>
        <v/>
      </c>
    </row>
    <row r="1923">
      <c r="A1923" s="1" t="n">
        <v>44791</v>
      </c>
      <c r="B1923" s="3">
        <f>IF(ISNUMBER(AVERAGE('20250815_ETF_Options_Exhibits'!B1919:B1923)),AVERAGE('20250815_ETF_Options_Exhibits'!B1919:B1923),"")</f>
        <v/>
      </c>
      <c r="C1923" s="3">
        <f>IF(ISNUMBER(AVERAGE('20250815_ETF_Options_Exhibits'!C1919:C1923)),AVERAGE('20250815_ETF_Options_Exhibits'!C1919:C1923),"")</f>
        <v/>
      </c>
      <c r="D1923" s="3">
        <f>IF(ISNUMBER(AVERAGE('20250815_ETF_Options_Exhibits'!D1919:D1923)),AVERAGE('20250815_ETF_Options_Exhibits'!D1919:D1923),"")</f>
        <v/>
      </c>
      <c r="E1923" s="3">
        <f>IF(ISNUMBER(AVERAGE('20250815_ETF_Options_Exhibits'!E1919:E1923)),AVERAGE('20250815_ETF_Options_Exhibits'!E1919:E1923),"")</f>
        <v/>
      </c>
      <c r="F1923" s="3">
        <f>IF(ISNUMBER(AVERAGE('20250815_ETF_Options_Exhibits'!F1919:F1923)),AVERAGE('20250815_ETF_Options_Exhibits'!F1919:F1923),"")</f>
        <v/>
      </c>
      <c r="G1923" s="3">
        <f>IF(ISNUMBER(AVERAGE('20250815_ETF_Options_Exhibits'!G1919:G1923)),AVERAGE('20250815_ETF_Options_Exhibits'!G1919:G1923),"")</f>
        <v/>
      </c>
      <c r="H1923" s="3">
        <f>IF(ISNUMBER(AVERAGE('20250815_ETF_Options_Exhibits'!H1919:H1923)),AVERAGE('20250815_ETF_Options_Exhibits'!H1919:H1923),"")</f>
        <v/>
      </c>
      <c r="I1923" s="3">
        <f>IF(ISNUMBER(AVERAGE('20250815_ETF_Options_Exhibits'!I1919:I1923)),AVERAGE('20250815_ETF_Options_Exhibits'!I1919:I1923),"")</f>
        <v/>
      </c>
      <c r="J1923" s="3">
        <f>IF(ISNUMBER(AVERAGE('20250815_ETF_Options_Exhibits'!J1919:J1923)),AVERAGE('20250815_ETF_Options_Exhibits'!J1919:J1923),"")</f>
        <v/>
      </c>
      <c r="K1923" s="3">
        <f>IF(ISNUMBER(AVERAGE('20250815_ETF_Options_Exhibits'!K1919:K1923)),AVERAGE('20250815_ETF_Options_Exhibits'!K1919:K1923),"")</f>
        <v/>
      </c>
      <c r="L1923" s="3">
        <f>IF(ISNUMBER(AVERAGE('20250815_ETF_Options_Exhibits'!L1919:L1923)),AVERAGE('20250815_ETF_Options_Exhibits'!L1919:L1923),"")</f>
        <v/>
      </c>
      <c r="M1923" s="3">
        <f>IF(ISNUMBER(AVERAGE('20250815_ETF_Options_Exhibits'!M1919:M1923)),AVERAGE('20250815_ETF_Options_Exhibits'!M1919:M1923),"")</f>
        <v/>
      </c>
      <c r="N1923" s="3">
        <f>IF(ISNUMBER(AVERAGE('20250815_ETF_Options_Exhibits'!N1919:N1923)),AVERAGE('20250815_ETF_Options_Exhibits'!N1919:N1923),"")</f>
        <v/>
      </c>
      <c r="O1923" s="3">
        <f>IF(ISNUMBER(AVERAGE('20250815_ETF_Options_Exhibits'!O1919:O1923)),AVERAGE('20250815_ETF_Options_Exhibits'!O1919:O1923),"")</f>
        <v/>
      </c>
      <c r="P1923" s="3">
        <f>IF(ISNUMBER(AVERAGE('20250815_ETF_Options_Exhibits'!P1919:P1923)),AVERAGE('20250815_ETF_Options_Exhibits'!P1919:P1923),"")</f>
        <v/>
      </c>
      <c r="Q1923" s="3">
        <f>IF(ISNUMBER(AVERAGE('20250815_ETF_Options_Exhibits'!Q1919:Q1923)),AVERAGE('20250815_ETF_Options_Exhibits'!Q1919:Q1923),"")</f>
        <v/>
      </c>
      <c r="R1923" s="3">
        <f>IF(ISNUMBER(AVERAGE('20250815_ETF_Options_Exhibits'!R1919:R1923)),AVERAGE('20250815_ETF_Options_Exhibits'!R1919:R1923),"")</f>
        <v/>
      </c>
      <c r="S1923" s="3">
        <f>IF(ISNUMBER(AVERAGE('20250815_ETF_Options_Exhibits'!S1919:S1923)),AVERAGE('20250815_ETF_Options_Exhibits'!S1919:S1923),"")</f>
        <v/>
      </c>
      <c r="T1923" s="3">
        <f>IF(ISNUMBER(AVERAGE('20250815_ETF_Options_Exhibits'!T1919:T1923)),AVERAGE('20250815_ETF_Options_Exhibits'!T1919:T1923),"")</f>
        <v/>
      </c>
      <c r="U1923" s="3">
        <f>IF(ISNUMBER(AVERAGE('20250815_ETF_Options_Exhibits'!U1919:U1923)),AVERAGE('20250815_ETF_Options_Exhibits'!U1919:U1923),"")</f>
        <v/>
      </c>
      <c r="V1923" s="3">
        <f>IF(ISNUMBER(AVERAGE('20250815_ETF_Options_Exhibits'!V1919:V1923)),AVERAGE('20250815_ETF_Options_Exhibits'!V1919:V1923),"")</f>
        <v/>
      </c>
      <c r="W1923" s="3">
        <f>IF(ISNUMBER(AVERAGE('20250815_ETF_Options_Exhibits'!W1919:W1923)),AVERAGE('20250815_ETF_Options_Exhibits'!W1919:W1923),"")</f>
        <v/>
      </c>
      <c r="X1923" s="3">
        <f>IF(ISNUMBER(AVERAGE('20250815_ETF_Options_Exhibits'!X1919:X1923)),AVERAGE('20250815_ETF_Options_Exhibits'!X1919:X1923),"")</f>
        <v/>
      </c>
      <c r="Y1923" s="3">
        <f>IF(ISNUMBER(AVERAGE('20250815_ETF_Options_Exhibits'!Y1919:Y1923)),AVERAGE('20250815_ETF_Options_Exhibits'!Y1919:Y1923),"")</f>
        <v/>
      </c>
      <c r="Z1923" s="3">
        <f>IF(ISNUMBER(AVERAGE('20250815_ETF_Options_Exhibits'!Z1919:Z1923)),AVERAGE('20250815_ETF_Options_Exhibits'!Z1919:Z1923),"")</f>
        <v/>
      </c>
      <c r="AA1923" s="3">
        <f>IF(ISNUMBER(AVERAGE('20250815_ETF_Options_Exhibits'!AA1919:AA1923)),AVERAGE('20250815_ETF_Options_Exhibits'!AA1919:AA1923),"")</f>
        <v/>
      </c>
    </row>
    <row r="1924">
      <c r="A1924" s="1" t="n">
        <v>44792</v>
      </c>
      <c r="B1924" s="3">
        <f>IF(ISNUMBER(AVERAGE('20250815_ETF_Options_Exhibits'!B1920:B1924)),AVERAGE('20250815_ETF_Options_Exhibits'!B1920:B1924),"")</f>
        <v/>
      </c>
      <c r="C1924" s="3">
        <f>IF(ISNUMBER(AVERAGE('20250815_ETF_Options_Exhibits'!C1920:C1924)),AVERAGE('20250815_ETF_Options_Exhibits'!C1920:C1924),"")</f>
        <v/>
      </c>
      <c r="D1924" s="3">
        <f>IF(ISNUMBER(AVERAGE('20250815_ETF_Options_Exhibits'!D1920:D1924)),AVERAGE('20250815_ETF_Options_Exhibits'!D1920:D1924),"")</f>
        <v/>
      </c>
      <c r="E1924" s="3">
        <f>IF(ISNUMBER(AVERAGE('20250815_ETF_Options_Exhibits'!E1920:E1924)),AVERAGE('20250815_ETF_Options_Exhibits'!E1920:E1924),"")</f>
        <v/>
      </c>
      <c r="F1924" s="3">
        <f>IF(ISNUMBER(AVERAGE('20250815_ETF_Options_Exhibits'!F1920:F1924)),AVERAGE('20250815_ETF_Options_Exhibits'!F1920:F1924),"")</f>
        <v/>
      </c>
      <c r="G1924" s="3">
        <f>IF(ISNUMBER(AVERAGE('20250815_ETF_Options_Exhibits'!G1920:G1924)),AVERAGE('20250815_ETF_Options_Exhibits'!G1920:G1924),"")</f>
        <v/>
      </c>
      <c r="H1924" s="3">
        <f>IF(ISNUMBER(AVERAGE('20250815_ETF_Options_Exhibits'!H1920:H1924)),AVERAGE('20250815_ETF_Options_Exhibits'!H1920:H1924),"")</f>
        <v/>
      </c>
      <c r="I1924" s="3">
        <f>IF(ISNUMBER(AVERAGE('20250815_ETF_Options_Exhibits'!I1920:I1924)),AVERAGE('20250815_ETF_Options_Exhibits'!I1920:I1924),"")</f>
        <v/>
      </c>
      <c r="J1924" s="3">
        <f>IF(ISNUMBER(AVERAGE('20250815_ETF_Options_Exhibits'!J1920:J1924)),AVERAGE('20250815_ETF_Options_Exhibits'!J1920:J1924),"")</f>
        <v/>
      </c>
      <c r="K1924" s="3">
        <f>IF(ISNUMBER(AVERAGE('20250815_ETF_Options_Exhibits'!K1920:K1924)),AVERAGE('20250815_ETF_Options_Exhibits'!K1920:K1924),"")</f>
        <v/>
      </c>
      <c r="L1924" s="3">
        <f>IF(ISNUMBER(AVERAGE('20250815_ETF_Options_Exhibits'!L1920:L1924)),AVERAGE('20250815_ETF_Options_Exhibits'!L1920:L1924),"")</f>
        <v/>
      </c>
      <c r="M1924" s="3">
        <f>IF(ISNUMBER(AVERAGE('20250815_ETF_Options_Exhibits'!M1920:M1924)),AVERAGE('20250815_ETF_Options_Exhibits'!M1920:M1924),"")</f>
        <v/>
      </c>
      <c r="N1924" s="3">
        <f>IF(ISNUMBER(AVERAGE('20250815_ETF_Options_Exhibits'!N1920:N1924)),AVERAGE('20250815_ETF_Options_Exhibits'!N1920:N1924),"")</f>
        <v/>
      </c>
      <c r="O1924" s="3">
        <f>IF(ISNUMBER(AVERAGE('20250815_ETF_Options_Exhibits'!O1920:O1924)),AVERAGE('20250815_ETF_Options_Exhibits'!O1920:O1924),"")</f>
        <v/>
      </c>
      <c r="P1924" s="3">
        <f>IF(ISNUMBER(AVERAGE('20250815_ETF_Options_Exhibits'!P1920:P1924)),AVERAGE('20250815_ETF_Options_Exhibits'!P1920:P1924),"")</f>
        <v/>
      </c>
      <c r="Q1924" s="3">
        <f>IF(ISNUMBER(AVERAGE('20250815_ETF_Options_Exhibits'!Q1920:Q1924)),AVERAGE('20250815_ETF_Options_Exhibits'!Q1920:Q1924),"")</f>
        <v/>
      </c>
      <c r="R1924" s="3">
        <f>IF(ISNUMBER(AVERAGE('20250815_ETF_Options_Exhibits'!R1920:R1924)),AVERAGE('20250815_ETF_Options_Exhibits'!R1920:R1924),"")</f>
        <v/>
      </c>
      <c r="S1924" s="3">
        <f>IF(ISNUMBER(AVERAGE('20250815_ETF_Options_Exhibits'!S1920:S1924)),AVERAGE('20250815_ETF_Options_Exhibits'!S1920:S1924),"")</f>
        <v/>
      </c>
      <c r="T1924" s="3">
        <f>IF(ISNUMBER(AVERAGE('20250815_ETF_Options_Exhibits'!T1920:T1924)),AVERAGE('20250815_ETF_Options_Exhibits'!T1920:T1924),"")</f>
        <v/>
      </c>
      <c r="U1924" s="3">
        <f>IF(ISNUMBER(AVERAGE('20250815_ETF_Options_Exhibits'!U1920:U1924)),AVERAGE('20250815_ETF_Options_Exhibits'!U1920:U1924),"")</f>
        <v/>
      </c>
      <c r="V1924" s="3">
        <f>IF(ISNUMBER(AVERAGE('20250815_ETF_Options_Exhibits'!V1920:V1924)),AVERAGE('20250815_ETF_Options_Exhibits'!V1920:V1924),"")</f>
        <v/>
      </c>
      <c r="W1924" s="3">
        <f>IF(ISNUMBER(AVERAGE('20250815_ETF_Options_Exhibits'!W1920:W1924)),AVERAGE('20250815_ETF_Options_Exhibits'!W1920:W1924),"")</f>
        <v/>
      </c>
      <c r="X1924" s="3">
        <f>IF(ISNUMBER(AVERAGE('20250815_ETF_Options_Exhibits'!X1920:X1924)),AVERAGE('20250815_ETF_Options_Exhibits'!X1920:X1924),"")</f>
        <v/>
      </c>
      <c r="Y1924" s="3">
        <f>IF(ISNUMBER(AVERAGE('20250815_ETF_Options_Exhibits'!Y1920:Y1924)),AVERAGE('20250815_ETF_Options_Exhibits'!Y1920:Y1924),"")</f>
        <v/>
      </c>
      <c r="Z1924" s="3">
        <f>IF(ISNUMBER(AVERAGE('20250815_ETF_Options_Exhibits'!Z1920:Z1924)),AVERAGE('20250815_ETF_Options_Exhibits'!Z1920:Z1924),"")</f>
        <v/>
      </c>
      <c r="AA1924" s="3">
        <f>IF(ISNUMBER(AVERAGE('20250815_ETF_Options_Exhibits'!AA1920:AA1924)),AVERAGE('20250815_ETF_Options_Exhibits'!AA1920:AA1924),"")</f>
        <v/>
      </c>
    </row>
    <row r="1925">
      <c r="A1925" s="1" t="n">
        <v>44795</v>
      </c>
      <c r="B1925" s="3">
        <f>IF(ISNUMBER(AVERAGE('20250815_ETF_Options_Exhibits'!B1921:B1925)),AVERAGE('20250815_ETF_Options_Exhibits'!B1921:B1925),"")</f>
        <v/>
      </c>
      <c r="C1925" s="3">
        <f>IF(ISNUMBER(AVERAGE('20250815_ETF_Options_Exhibits'!C1921:C1925)),AVERAGE('20250815_ETF_Options_Exhibits'!C1921:C1925),"")</f>
        <v/>
      </c>
      <c r="D1925" s="3">
        <f>IF(ISNUMBER(AVERAGE('20250815_ETF_Options_Exhibits'!D1921:D1925)),AVERAGE('20250815_ETF_Options_Exhibits'!D1921:D1925),"")</f>
        <v/>
      </c>
      <c r="E1925" s="3">
        <f>IF(ISNUMBER(AVERAGE('20250815_ETF_Options_Exhibits'!E1921:E1925)),AVERAGE('20250815_ETF_Options_Exhibits'!E1921:E1925),"")</f>
        <v/>
      </c>
      <c r="F1925" s="3">
        <f>IF(ISNUMBER(AVERAGE('20250815_ETF_Options_Exhibits'!F1921:F1925)),AVERAGE('20250815_ETF_Options_Exhibits'!F1921:F1925),"")</f>
        <v/>
      </c>
      <c r="G1925" s="3">
        <f>IF(ISNUMBER(AVERAGE('20250815_ETF_Options_Exhibits'!G1921:G1925)),AVERAGE('20250815_ETF_Options_Exhibits'!G1921:G1925),"")</f>
        <v/>
      </c>
      <c r="H1925" s="3">
        <f>IF(ISNUMBER(AVERAGE('20250815_ETF_Options_Exhibits'!H1921:H1925)),AVERAGE('20250815_ETF_Options_Exhibits'!H1921:H1925),"")</f>
        <v/>
      </c>
      <c r="I1925" s="3">
        <f>IF(ISNUMBER(AVERAGE('20250815_ETF_Options_Exhibits'!I1921:I1925)),AVERAGE('20250815_ETF_Options_Exhibits'!I1921:I1925),"")</f>
        <v/>
      </c>
      <c r="J1925" s="3">
        <f>IF(ISNUMBER(AVERAGE('20250815_ETF_Options_Exhibits'!J1921:J1925)),AVERAGE('20250815_ETF_Options_Exhibits'!J1921:J1925),"")</f>
        <v/>
      </c>
      <c r="K1925" s="3">
        <f>IF(ISNUMBER(AVERAGE('20250815_ETF_Options_Exhibits'!K1921:K1925)),AVERAGE('20250815_ETF_Options_Exhibits'!K1921:K1925),"")</f>
        <v/>
      </c>
      <c r="L1925" s="3">
        <f>IF(ISNUMBER(AVERAGE('20250815_ETF_Options_Exhibits'!L1921:L1925)),AVERAGE('20250815_ETF_Options_Exhibits'!L1921:L1925),"")</f>
        <v/>
      </c>
      <c r="M1925" s="3">
        <f>IF(ISNUMBER(AVERAGE('20250815_ETF_Options_Exhibits'!M1921:M1925)),AVERAGE('20250815_ETF_Options_Exhibits'!M1921:M1925),"")</f>
        <v/>
      </c>
      <c r="N1925" s="3">
        <f>IF(ISNUMBER(AVERAGE('20250815_ETF_Options_Exhibits'!N1921:N1925)),AVERAGE('20250815_ETF_Options_Exhibits'!N1921:N1925),"")</f>
        <v/>
      </c>
      <c r="O1925" s="3">
        <f>IF(ISNUMBER(AVERAGE('20250815_ETF_Options_Exhibits'!O1921:O1925)),AVERAGE('20250815_ETF_Options_Exhibits'!O1921:O1925),"")</f>
        <v/>
      </c>
      <c r="P1925" s="3">
        <f>IF(ISNUMBER(AVERAGE('20250815_ETF_Options_Exhibits'!P1921:P1925)),AVERAGE('20250815_ETF_Options_Exhibits'!P1921:P1925),"")</f>
        <v/>
      </c>
      <c r="Q1925" s="3">
        <f>IF(ISNUMBER(AVERAGE('20250815_ETF_Options_Exhibits'!Q1921:Q1925)),AVERAGE('20250815_ETF_Options_Exhibits'!Q1921:Q1925),"")</f>
        <v/>
      </c>
      <c r="R1925" s="3">
        <f>IF(ISNUMBER(AVERAGE('20250815_ETF_Options_Exhibits'!R1921:R1925)),AVERAGE('20250815_ETF_Options_Exhibits'!R1921:R1925),"")</f>
        <v/>
      </c>
      <c r="S1925" s="3">
        <f>IF(ISNUMBER(AVERAGE('20250815_ETF_Options_Exhibits'!S1921:S1925)),AVERAGE('20250815_ETF_Options_Exhibits'!S1921:S1925),"")</f>
        <v/>
      </c>
      <c r="T1925" s="3">
        <f>IF(ISNUMBER(AVERAGE('20250815_ETF_Options_Exhibits'!T1921:T1925)),AVERAGE('20250815_ETF_Options_Exhibits'!T1921:T1925),"")</f>
        <v/>
      </c>
      <c r="U1925" s="3">
        <f>IF(ISNUMBER(AVERAGE('20250815_ETF_Options_Exhibits'!U1921:U1925)),AVERAGE('20250815_ETF_Options_Exhibits'!U1921:U1925),"")</f>
        <v/>
      </c>
      <c r="V1925" s="3">
        <f>IF(ISNUMBER(AVERAGE('20250815_ETF_Options_Exhibits'!V1921:V1925)),AVERAGE('20250815_ETF_Options_Exhibits'!V1921:V1925),"")</f>
        <v/>
      </c>
      <c r="W1925" s="3">
        <f>IF(ISNUMBER(AVERAGE('20250815_ETF_Options_Exhibits'!W1921:W1925)),AVERAGE('20250815_ETF_Options_Exhibits'!W1921:W1925),"")</f>
        <v/>
      </c>
      <c r="X1925" s="3">
        <f>IF(ISNUMBER(AVERAGE('20250815_ETF_Options_Exhibits'!X1921:X1925)),AVERAGE('20250815_ETF_Options_Exhibits'!X1921:X1925),"")</f>
        <v/>
      </c>
      <c r="Y1925" s="3">
        <f>IF(ISNUMBER(AVERAGE('20250815_ETF_Options_Exhibits'!Y1921:Y1925)),AVERAGE('20250815_ETF_Options_Exhibits'!Y1921:Y1925),"")</f>
        <v/>
      </c>
      <c r="Z1925" s="3">
        <f>IF(ISNUMBER(AVERAGE('20250815_ETF_Options_Exhibits'!Z1921:Z1925)),AVERAGE('20250815_ETF_Options_Exhibits'!Z1921:Z1925),"")</f>
        <v/>
      </c>
      <c r="AA1925" s="3">
        <f>IF(ISNUMBER(AVERAGE('20250815_ETF_Options_Exhibits'!AA1921:AA1925)),AVERAGE('20250815_ETF_Options_Exhibits'!AA1921:AA1925),"")</f>
        <v/>
      </c>
    </row>
    <row r="1926">
      <c r="A1926" s="1" t="n">
        <v>44796</v>
      </c>
      <c r="B1926" s="3">
        <f>IF(ISNUMBER(AVERAGE('20250815_ETF_Options_Exhibits'!B1922:B1926)),AVERAGE('20250815_ETF_Options_Exhibits'!B1922:B1926),"")</f>
        <v/>
      </c>
      <c r="C1926" s="3">
        <f>IF(ISNUMBER(AVERAGE('20250815_ETF_Options_Exhibits'!C1922:C1926)),AVERAGE('20250815_ETF_Options_Exhibits'!C1922:C1926),"")</f>
        <v/>
      </c>
      <c r="D1926" s="3">
        <f>IF(ISNUMBER(AVERAGE('20250815_ETF_Options_Exhibits'!D1922:D1926)),AVERAGE('20250815_ETF_Options_Exhibits'!D1922:D1926),"")</f>
        <v/>
      </c>
      <c r="E1926" s="3">
        <f>IF(ISNUMBER(AVERAGE('20250815_ETF_Options_Exhibits'!E1922:E1926)),AVERAGE('20250815_ETF_Options_Exhibits'!E1922:E1926),"")</f>
        <v/>
      </c>
      <c r="F1926" s="3">
        <f>IF(ISNUMBER(AVERAGE('20250815_ETF_Options_Exhibits'!F1922:F1926)),AVERAGE('20250815_ETF_Options_Exhibits'!F1922:F1926),"")</f>
        <v/>
      </c>
      <c r="G1926" s="3">
        <f>IF(ISNUMBER(AVERAGE('20250815_ETF_Options_Exhibits'!G1922:G1926)),AVERAGE('20250815_ETF_Options_Exhibits'!G1922:G1926),"")</f>
        <v/>
      </c>
      <c r="H1926" s="3">
        <f>IF(ISNUMBER(AVERAGE('20250815_ETF_Options_Exhibits'!H1922:H1926)),AVERAGE('20250815_ETF_Options_Exhibits'!H1922:H1926),"")</f>
        <v/>
      </c>
      <c r="I1926" s="3">
        <f>IF(ISNUMBER(AVERAGE('20250815_ETF_Options_Exhibits'!I1922:I1926)),AVERAGE('20250815_ETF_Options_Exhibits'!I1922:I1926),"")</f>
        <v/>
      </c>
      <c r="J1926" s="3">
        <f>IF(ISNUMBER(AVERAGE('20250815_ETF_Options_Exhibits'!J1922:J1926)),AVERAGE('20250815_ETF_Options_Exhibits'!J1922:J1926),"")</f>
        <v/>
      </c>
      <c r="K1926" s="3">
        <f>IF(ISNUMBER(AVERAGE('20250815_ETF_Options_Exhibits'!K1922:K1926)),AVERAGE('20250815_ETF_Options_Exhibits'!K1922:K1926),"")</f>
        <v/>
      </c>
      <c r="L1926" s="3">
        <f>IF(ISNUMBER(AVERAGE('20250815_ETF_Options_Exhibits'!L1922:L1926)),AVERAGE('20250815_ETF_Options_Exhibits'!L1922:L1926),"")</f>
        <v/>
      </c>
      <c r="M1926" s="3">
        <f>IF(ISNUMBER(AVERAGE('20250815_ETF_Options_Exhibits'!M1922:M1926)),AVERAGE('20250815_ETF_Options_Exhibits'!M1922:M1926),"")</f>
        <v/>
      </c>
      <c r="N1926" s="3">
        <f>IF(ISNUMBER(AVERAGE('20250815_ETF_Options_Exhibits'!N1922:N1926)),AVERAGE('20250815_ETF_Options_Exhibits'!N1922:N1926),"")</f>
        <v/>
      </c>
      <c r="O1926" s="3">
        <f>IF(ISNUMBER(AVERAGE('20250815_ETF_Options_Exhibits'!O1922:O1926)),AVERAGE('20250815_ETF_Options_Exhibits'!O1922:O1926),"")</f>
        <v/>
      </c>
      <c r="P1926" s="3">
        <f>IF(ISNUMBER(AVERAGE('20250815_ETF_Options_Exhibits'!P1922:P1926)),AVERAGE('20250815_ETF_Options_Exhibits'!P1922:P1926),"")</f>
        <v/>
      </c>
      <c r="Q1926" s="3">
        <f>IF(ISNUMBER(AVERAGE('20250815_ETF_Options_Exhibits'!Q1922:Q1926)),AVERAGE('20250815_ETF_Options_Exhibits'!Q1922:Q1926),"")</f>
        <v/>
      </c>
      <c r="R1926" s="3">
        <f>IF(ISNUMBER(AVERAGE('20250815_ETF_Options_Exhibits'!R1922:R1926)),AVERAGE('20250815_ETF_Options_Exhibits'!R1922:R1926),"")</f>
        <v/>
      </c>
      <c r="S1926" s="3">
        <f>IF(ISNUMBER(AVERAGE('20250815_ETF_Options_Exhibits'!S1922:S1926)),AVERAGE('20250815_ETF_Options_Exhibits'!S1922:S1926),"")</f>
        <v/>
      </c>
      <c r="T1926" s="3">
        <f>IF(ISNUMBER(AVERAGE('20250815_ETF_Options_Exhibits'!T1922:T1926)),AVERAGE('20250815_ETF_Options_Exhibits'!T1922:T1926),"")</f>
        <v/>
      </c>
      <c r="U1926" s="3">
        <f>IF(ISNUMBER(AVERAGE('20250815_ETF_Options_Exhibits'!U1922:U1926)),AVERAGE('20250815_ETF_Options_Exhibits'!U1922:U1926),"")</f>
        <v/>
      </c>
      <c r="V1926" s="3">
        <f>IF(ISNUMBER(AVERAGE('20250815_ETF_Options_Exhibits'!V1922:V1926)),AVERAGE('20250815_ETF_Options_Exhibits'!V1922:V1926),"")</f>
        <v/>
      </c>
      <c r="W1926" s="3">
        <f>IF(ISNUMBER(AVERAGE('20250815_ETF_Options_Exhibits'!W1922:W1926)),AVERAGE('20250815_ETF_Options_Exhibits'!W1922:W1926),"")</f>
        <v/>
      </c>
      <c r="X1926" s="3">
        <f>IF(ISNUMBER(AVERAGE('20250815_ETF_Options_Exhibits'!X1922:X1926)),AVERAGE('20250815_ETF_Options_Exhibits'!X1922:X1926),"")</f>
        <v/>
      </c>
      <c r="Y1926" s="3">
        <f>IF(ISNUMBER(AVERAGE('20250815_ETF_Options_Exhibits'!Y1922:Y1926)),AVERAGE('20250815_ETF_Options_Exhibits'!Y1922:Y1926),"")</f>
        <v/>
      </c>
      <c r="Z1926" s="3">
        <f>IF(ISNUMBER(AVERAGE('20250815_ETF_Options_Exhibits'!Z1922:Z1926)),AVERAGE('20250815_ETF_Options_Exhibits'!Z1922:Z1926),"")</f>
        <v/>
      </c>
      <c r="AA1926" s="3">
        <f>IF(ISNUMBER(AVERAGE('20250815_ETF_Options_Exhibits'!AA1922:AA1926)),AVERAGE('20250815_ETF_Options_Exhibits'!AA1922:AA1926),"")</f>
        <v/>
      </c>
    </row>
    <row r="1927">
      <c r="A1927" s="1" t="n">
        <v>44797</v>
      </c>
      <c r="B1927" s="3">
        <f>IF(ISNUMBER(AVERAGE('20250815_ETF_Options_Exhibits'!B1923:B1927)),AVERAGE('20250815_ETF_Options_Exhibits'!B1923:B1927),"")</f>
        <v/>
      </c>
      <c r="C1927" s="3">
        <f>IF(ISNUMBER(AVERAGE('20250815_ETF_Options_Exhibits'!C1923:C1927)),AVERAGE('20250815_ETF_Options_Exhibits'!C1923:C1927),"")</f>
        <v/>
      </c>
      <c r="D1927" s="3">
        <f>IF(ISNUMBER(AVERAGE('20250815_ETF_Options_Exhibits'!D1923:D1927)),AVERAGE('20250815_ETF_Options_Exhibits'!D1923:D1927),"")</f>
        <v/>
      </c>
      <c r="E1927" s="3">
        <f>IF(ISNUMBER(AVERAGE('20250815_ETF_Options_Exhibits'!E1923:E1927)),AVERAGE('20250815_ETF_Options_Exhibits'!E1923:E1927),"")</f>
        <v/>
      </c>
      <c r="F1927" s="3">
        <f>IF(ISNUMBER(AVERAGE('20250815_ETF_Options_Exhibits'!F1923:F1927)),AVERAGE('20250815_ETF_Options_Exhibits'!F1923:F1927),"")</f>
        <v/>
      </c>
      <c r="G1927" s="3">
        <f>IF(ISNUMBER(AVERAGE('20250815_ETF_Options_Exhibits'!G1923:G1927)),AVERAGE('20250815_ETF_Options_Exhibits'!G1923:G1927),"")</f>
        <v/>
      </c>
      <c r="H1927" s="3">
        <f>IF(ISNUMBER(AVERAGE('20250815_ETF_Options_Exhibits'!H1923:H1927)),AVERAGE('20250815_ETF_Options_Exhibits'!H1923:H1927),"")</f>
        <v/>
      </c>
      <c r="I1927" s="3">
        <f>IF(ISNUMBER(AVERAGE('20250815_ETF_Options_Exhibits'!I1923:I1927)),AVERAGE('20250815_ETF_Options_Exhibits'!I1923:I1927),"")</f>
        <v/>
      </c>
      <c r="J1927" s="3">
        <f>IF(ISNUMBER(AVERAGE('20250815_ETF_Options_Exhibits'!J1923:J1927)),AVERAGE('20250815_ETF_Options_Exhibits'!J1923:J1927),"")</f>
        <v/>
      </c>
      <c r="K1927" s="3">
        <f>IF(ISNUMBER(AVERAGE('20250815_ETF_Options_Exhibits'!K1923:K1927)),AVERAGE('20250815_ETF_Options_Exhibits'!K1923:K1927),"")</f>
        <v/>
      </c>
      <c r="L1927" s="3">
        <f>IF(ISNUMBER(AVERAGE('20250815_ETF_Options_Exhibits'!L1923:L1927)),AVERAGE('20250815_ETF_Options_Exhibits'!L1923:L1927),"")</f>
        <v/>
      </c>
      <c r="M1927" s="3">
        <f>IF(ISNUMBER(AVERAGE('20250815_ETF_Options_Exhibits'!M1923:M1927)),AVERAGE('20250815_ETF_Options_Exhibits'!M1923:M1927),"")</f>
        <v/>
      </c>
      <c r="N1927" s="3">
        <f>IF(ISNUMBER(AVERAGE('20250815_ETF_Options_Exhibits'!N1923:N1927)),AVERAGE('20250815_ETF_Options_Exhibits'!N1923:N1927),"")</f>
        <v/>
      </c>
      <c r="O1927" s="3">
        <f>IF(ISNUMBER(AVERAGE('20250815_ETF_Options_Exhibits'!O1923:O1927)),AVERAGE('20250815_ETF_Options_Exhibits'!O1923:O1927),"")</f>
        <v/>
      </c>
      <c r="P1927" s="3">
        <f>IF(ISNUMBER(AVERAGE('20250815_ETF_Options_Exhibits'!P1923:P1927)),AVERAGE('20250815_ETF_Options_Exhibits'!P1923:P1927),"")</f>
        <v/>
      </c>
      <c r="Q1927" s="3">
        <f>IF(ISNUMBER(AVERAGE('20250815_ETF_Options_Exhibits'!Q1923:Q1927)),AVERAGE('20250815_ETF_Options_Exhibits'!Q1923:Q1927),"")</f>
        <v/>
      </c>
      <c r="R1927" s="3">
        <f>IF(ISNUMBER(AVERAGE('20250815_ETF_Options_Exhibits'!R1923:R1927)),AVERAGE('20250815_ETF_Options_Exhibits'!R1923:R1927),"")</f>
        <v/>
      </c>
      <c r="S1927" s="3">
        <f>IF(ISNUMBER(AVERAGE('20250815_ETF_Options_Exhibits'!S1923:S1927)),AVERAGE('20250815_ETF_Options_Exhibits'!S1923:S1927),"")</f>
        <v/>
      </c>
      <c r="T1927" s="3">
        <f>IF(ISNUMBER(AVERAGE('20250815_ETF_Options_Exhibits'!T1923:T1927)),AVERAGE('20250815_ETF_Options_Exhibits'!T1923:T1927),"")</f>
        <v/>
      </c>
      <c r="U1927" s="3">
        <f>IF(ISNUMBER(AVERAGE('20250815_ETF_Options_Exhibits'!U1923:U1927)),AVERAGE('20250815_ETF_Options_Exhibits'!U1923:U1927),"")</f>
        <v/>
      </c>
      <c r="V1927" s="3">
        <f>IF(ISNUMBER(AVERAGE('20250815_ETF_Options_Exhibits'!V1923:V1927)),AVERAGE('20250815_ETF_Options_Exhibits'!V1923:V1927),"")</f>
        <v/>
      </c>
      <c r="W1927" s="3">
        <f>IF(ISNUMBER(AVERAGE('20250815_ETF_Options_Exhibits'!W1923:W1927)),AVERAGE('20250815_ETF_Options_Exhibits'!W1923:W1927),"")</f>
        <v/>
      </c>
      <c r="X1927" s="3">
        <f>IF(ISNUMBER(AVERAGE('20250815_ETF_Options_Exhibits'!X1923:X1927)),AVERAGE('20250815_ETF_Options_Exhibits'!X1923:X1927),"")</f>
        <v/>
      </c>
      <c r="Y1927" s="3">
        <f>IF(ISNUMBER(AVERAGE('20250815_ETF_Options_Exhibits'!Y1923:Y1927)),AVERAGE('20250815_ETF_Options_Exhibits'!Y1923:Y1927),"")</f>
        <v/>
      </c>
      <c r="Z1927" s="3">
        <f>IF(ISNUMBER(AVERAGE('20250815_ETF_Options_Exhibits'!Z1923:Z1927)),AVERAGE('20250815_ETF_Options_Exhibits'!Z1923:Z1927),"")</f>
        <v/>
      </c>
      <c r="AA1927" s="3">
        <f>IF(ISNUMBER(AVERAGE('20250815_ETF_Options_Exhibits'!AA1923:AA1927)),AVERAGE('20250815_ETF_Options_Exhibits'!AA1923:AA1927),"")</f>
        <v/>
      </c>
    </row>
    <row r="1928">
      <c r="A1928" s="1" t="n">
        <v>44798</v>
      </c>
      <c r="B1928" s="3">
        <f>IF(ISNUMBER(AVERAGE('20250815_ETF_Options_Exhibits'!B1924:B1928)),AVERAGE('20250815_ETF_Options_Exhibits'!B1924:B1928),"")</f>
        <v/>
      </c>
      <c r="C1928" s="3">
        <f>IF(ISNUMBER(AVERAGE('20250815_ETF_Options_Exhibits'!C1924:C1928)),AVERAGE('20250815_ETF_Options_Exhibits'!C1924:C1928),"")</f>
        <v/>
      </c>
      <c r="D1928" s="3">
        <f>IF(ISNUMBER(AVERAGE('20250815_ETF_Options_Exhibits'!D1924:D1928)),AVERAGE('20250815_ETF_Options_Exhibits'!D1924:D1928),"")</f>
        <v/>
      </c>
      <c r="E1928" s="3">
        <f>IF(ISNUMBER(AVERAGE('20250815_ETF_Options_Exhibits'!E1924:E1928)),AVERAGE('20250815_ETF_Options_Exhibits'!E1924:E1928),"")</f>
        <v/>
      </c>
      <c r="F1928" s="3">
        <f>IF(ISNUMBER(AVERAGE('20250815_ETF_Options_Exhibits'!F1924:F1928)),AVERAGE('20250815_ETF_Options_Exhibits'!F1924:F1928),"")</f>
        <v/>
      </c>
      <c r="G1928" s="3">
        <f>IF(ISNUMBER(AVERAGE('20250815_ETF_Options_Exhibits'!G1924:G1928)),AVERAGE('20250815_ETF_Options_Exhibits'!G1924:G1928),"")</f>
        <v/>
      </c>
      <c r="H1928" s="3">
        <f>IF(ISNUMBER(AVERAGE('20250815_ETF_Options_Exhibits'!H1924:H1928)),AVERAGE('20250815_ETF_Options_Exhibits'!H1924:H1928),"")</f>
        <v/>
      </c>
      <c r="I1928" s="3">
        <f>IF(ISNUMBER(AVERAGE('20250815_ETF_Options_Exhibits'!I1924:I1928)),AVERAGE('20250815_ETF_Options_Exhibits'!I1924:I1928),"")</f>
        <v/>
      </c>
      <c r="J1928" s="3">
        <f>IF(ISNUMBER(AVERAGE('20250815_ETF_Options_Exhibits'!J1924:J1928)),AVERAGE('20250815_ETF_Options_Exhibits'!J1924:J1928),"")</f>
        <v/>
      </c>
      <c r="K1928" s="3">
        <f>IF(ISNUMBER(AVERAGE('20250815_ETF_Options_Exhibits'!K1924:K1928)),AVERAGE('20250815_ETF_Options_Exhibits'!K1924:K1928),"")</f>
        <v/>
      </c>
      <c r="L1928" s="3">
        <f>IF(ISNUMBER(AVERAGE('20250815_ETF_Options_Exhibits'!L1924:L1928)),AVERAGE('20250815_ETF_Options_Exhibits'!L1924:L1928),"")</f>
        <v/>
      </c>
      <c r="M1928" s="3">
        <f>IF(ISNUMBER(AVERAGE('20250815_ETF_Options_Exhibits'!M1924:M1928)),AVERAGE('20250815_ETF_Options_Exhibits'!M1924:M1928),"")</f>
        <v/>
      </c>
      <c r="N1928" s="3">
        <f>IF(ISNUMBER(AVERAGE('20250815_ETF_Options_Exhibits'!N1924:N1928)),AVERAGE('20250815_ETF_Options_Exhibits'!N1924:N1928),"")</f>
        <v/>
      </c>
      <c r="O1928" s="3">
        <f>IF(ISNUMBER(AVERAGE('20250815_ETF_Options_Exhibits'!O1924:O1928)),AVERAGE('20250815_ETF_Options_Exhibits'!O1924:O1928),"")</f>
        <v/>
      </c>
      <c r="P1928" s="3">
        <f>IF(ISNUMBER(AVERAGE('20250815_ETF_Options_Exhibits'!P1924:P1928)),AVERAGE('20250815_ETF_Options_Exhibits'!P1924:P1928),"")</f>
        <v/>
      </c>
      <c r="Q1928" s="3">
        <f>IF(ISNUMBER(AVERAGE('20250815_ETF_Options_Exhibits'!Q1924:Q1928)),AVERAGE('20250815_ETF_Options_Exhibits'!Q1924:Q1928),"")</f>
        <v/>
      </c>
      <c r="R1928" s="3">
        <f>IF(ISNUMBER(AVERAGE('20250815_ETF_Options_Exhibits'!R1924:R1928)),AVERAGE('20250815_ETF_Options_Exhibits'!R1924:R1928),"")</f>
        <v/>
      </c>
      <c r="S1928" s="3">
        <f>IF(ISNUMBER(AVERAGE('20250815_ETF_Options_Exhibits'!S1924:S1928)),AVERAGE('20250815_ETF_Options_Exhibits'!S1924:S1928),"")</f>
        <v/>
      </c>
      <c r="T1928" s="3">
        <f>IF(ISNUMBER(AVERAGE('20250815_ETF_Options_Exhibits'!T1924:T1928)),AVERAGE('20250815_ETF_Options_Exhibits'!T1924:T1928),"")</f>
        <v/>
      </c>
      <c r="U1928" s="3">
        <f>IF(ISNUMBER(AVERAGE('20250815_ETF_Options_Exhibits'!U1924:U1928)),AVERAGE('20250815_ETF_Options_Exhibits'!U1924:U1928),"")</f>
        <v/>
      </c>
      <c r="V1928" s="3">
        <f>IF(ISNUMBER(AVERAGE('20250815_ETF_Options_Exhibits'!V1924:V1928)),AVERAGE('20250815_ETF_Options_Exhibits'!V1924:V1928),"")</f>
        <v/>
      </c>
      <c r="W1928" s="3">
        <f>IF(ISNUMBER(AVERAGE('20250815_ETF_Options_Exhibits'!W1924:W1928)),AVERAGE('20250815_ETF_Options_Exhibits'!W1924:W1928),"")</f>
        <v/>
      </c>
      <c r="X1928" s="3">
        <f>IF(ISNUMBER(AVERAGE('20250815_ETF_Options_Exhibits'!X1924:X1928)),AVERAGE('20250815_ETF_Options_Exhibits'!X1924:X1928),"")</f>
        <v/>
      </c>
      <c r="Y1928" s="3">
        <f>IF(ISNUMBER(AVERAGE('20250815_ETF_Options_Exhibits'!Y1924:Y1928)),AVERAGE('20250815_ETF_Options_Exhibits'!Y1924:Y1928),"")</f>
        <v/>
      </c>
      <c r="Z1928" s="3">
        <f>IF(ISNUMBER(AVERAGE('20250815_ETF_Options_Exhibits'!Z1924:Z1928)),AVERAGE('20250815_ETF_Options_Exhibits'!Z1924:Z1928),"")</f>
        <v/>
      </c>
      <c r="AA1928" s="3">
        <f>IF(ISNUMBER(AVERAGE('20250815_ETF_Options_Exhibits'!AA1924:AA1928)),AVERAGE('20250815_ETF_Options_Exhibits'!AA1924:AA1928),"")</f>
        <v/>
      </c>
    </row>
    <row r="1929">
      <c r="A1929" s="1" t="n">
        <v>44799</v>
      </c>
      <c r="B1929" s="3">
        <f>IF(ISNUMBER(AVERAGE('20250815_ETF_Options_Exhibits'!B1925:B1929)),AVERAGE('20250815_ETF_Options_Exhibits'!B1925:B1929),"")</f>
        <v/>
      </c>
      <c r="C1929" s="3">
        <f>IF(ISNUMBER(AVERAGE('20250815_ETF_Options_Exhibits'!C1925:C1929)),AVERAGE('20250815_ETF_Options_Exhibits'!C1925:C1929),"")</f>
        <v/>
      </c>
      <c r="D1929" s="3">
        <f>IF(ISNUMBER(AVERAGE('20250815_ETF_Options_Exhibits'!D1925:D1929)),AVERAGE('20250815_ETF_Options_Exhibits'!D1925:D1929),"")</f>
        <v/>
      </c>
      <c r="E1929" s="3">
        <f>IF(ISNUMBER(AVERAGE('20250815_ETF_Options_Exhibits'!E1925:E1929)),AVERAGE('20250815_ETF_Options_Exhibits'!E1925:E1929),"")</f>
        <v/>
      </c>
      <c r="F1929" s="3">
        <f>IF(ISNUMBER(AVERAGE('20250815_ETF_Options_Exhibits'!F1925:F1929)),AVERAGE('20250815_ETF_Options_Exhibits'!F1925:F1929),"")</f>
        <v/>
      </c>
      <c r="G1929" s="3">
        <f>IF(ISNUMBER(AVERAGE('20250815_ETF_Options_Exhibits'!G1925:G1929)),AVERAGE('20250815_ETF_Options_Exhibits'!G1925:G1929),"")</f>
        <v/>
      </c>
      <c r="H1929" s="3">
        <f>IF(ISNUMBER(AVERAGE('20250815_ETF_Options_Exhibits'!H1925:H1929)),AVERAGE('20250815_ETF_Options_Exhibits'!H1925:H1929),"")</f>
        <v/>
      </c>
      <c r="I1929" s="3">
        <f>IF(ISNUMBER(AVERAGE('20250815_ETF_Options_Exhibits'!I1925:I1929)),AVERAGE('20250815_ETF_Options_Exhibits'!I1925:I1929),"")</f>
        <v/>
      </c>
      <c r="J1929" s="3">
        <f>IF(ISNUMBER(AVERAGE('20250815_ETF_Options_Exhibits'!J1925:J1929)),AVERAGE('20250815_ETF_Options_Exhibits'!J1925:J1929),"")</f>
        <v/>
      </c>
      <c r="K1929" s="3">
        <f>IF(ISNUMBER(AVERAGE('20250815_ETF_Options_Exhibits'!K1925:K1929)),AVERAGE('20250815_ETF_Options_Exhibits'!K1925:K1929),"")</f>
        <v/>
      </c>
      <c r="L1929" s="3">
        <f>IF(ISNUMBER(AVERAGE('20250815_ETF_Options_Exhibits'!L1925:L1929)),AVERAGE('20250815_ETF_Options_Exhibits'!L1925:L1929),"")</f>
        <v/>
      </c>
      <c r="M1929" s="3">
        <f>IF(ISNUMBER(AVERAGE('20250815_ETF_Options_Exhibits'!M1925:M1929)),AVERAGE('20250815_ETF_Options_Exhibits'!M1925:M1929),"")</f>
        <v/>
      </c>
      <c r="N1929" s="3">
        <f>IF(ISNUMBER(AVERAGE('20250815_ETF_Options_Exhibits'!N1925:N1929)),AVERAGE('20250815_ETF_Options_Exhibits'!N1925:N1929),"")</f>
        <v/>
      </c>
      <c r="O1929" s="3">
        <f>IF(ISNUMBER(AVERAGE('20250815_ETF_Options_Exhibits'!O1925:O1929)),AVERAGE('20250815_ETF_Options_Exhibits'!O1925:O1929),"")</f>
        <v/>
      </c>
      <c r="P1929" s="3">
        <f>IF(ISNUMBER(AVERAGE('20250815_ETF_Options_Exhibits'!P1925:P1929)),AVERAGE('20250815_ETF_Options_Exhibits'!P1925:P1929),"")</f>
        <v/>
      </c>
      <c r="Q1929" s="3">
        <f>IF(ISNUMBER(AVERAGE('20250815_ETF_Options_Exhibits'!Q1925:Q1929)),AVERAGE('20250815_ETF_Options_Exhibits'!Q1925:Q1929),"")</f>
        <v/>
      </c>
      <c r="R1929" s="3">
        <f>IF(ISNUMBER(AVERAGE('20250815_ETF_Options_Exhibits'!R1925:R1929)),AVERAGE('20250815_ETF_Options_Exhibits'!R1925:R1929),"")</f>
        <v/>
      </c>
      <c r="S1929" s="3">
        <f>IF(ISNUMBER(AVERAGE('20250815_ETF_Options_Exhibits'!S1925:S1929)),AVERAGE('20250815_ETF_Options_Exhibits'!S1925:S1929),"")</f>
        <v/>
      </c>
      <c r="T1929" s="3">
        <f>IF(ISNUMBER(AVERAGE('20250815_ETF_Options_Exhibits'!T1925:T1929)),AVERAGE('20250815_ETF_Options_Exhibits'!T1925:T1929),"")</f>
        <v/>
      </c>
      <c r="U1929" s="3">
        <f>IF(ISNUMBER(AVERAGE('20250815_ETF_Options_Exhibits'!U1925:U1929)),AVERAGE('20250815_ETF_Options_Exhibits'!U1925:U1929),"")</f>
        <v/>
      </c>
      <c r="V1929" s="3">
        <f>IF(ISNUMBER(AVERAGE('20250815_ETF_Options_Exhibits'!V1925:V1929)),AVERAGE('20250815_ETF_Options_Exhibits'!V1925:V1929),"")</f>
        <v/>
      </c>
      <c r="W1929" s="3">
        <f>IF(ISNUMBER(AVERAGE('20250815_ETF_Options_Exhibits'!W1925:W1929)),AVERAGE('20250815_ETF_Options_Exhibits'!W1925:W1929),"")</f>
        <v/>
      </c>
      <c r="X1929" s="3">
        <f>IF(ISNUMBER(AVERAGE('20250815_ETF_Options_Exhibits'!X1925:X1929)),AVERAGE('20250815_ETF_Options_Exhibits'!X1925:X1929),"")</f>
        <v/>
      </c>
      <c r="Y1929" s="3">
        <f>IF(ISNUMBER(AVERAGE('20250815_ETF_Options_Exhibits'!Y1925:Y1929)),AVERAGE('20250815_ETF_Options_Exhibits'!Y1925:Y1929),"")</f>
        <v/>
      </c>
      <c r="Z1929" s="3">
        <f>IF(ISNUMBER(AVERAGE('20250815_ETF_Options_Exhibits'!Z1925:Z1929)),AVERAGE('20250815_ETF_Options_Exhibits'!Z1925:Z1929),"")</f>
        <v/>
      </c>
      <c r="AA1929" s="3">
        <f>IF(ISNUMBER(AVERAGE('20250815_ETF_Options_Exhibits'!AA1925:AA1929)),AVERAGE('20250815_ETF_Options_Exhibits'!AA1925:AA1929),"")</f>
        <v/>
      </c>
    </row>
    <row r="1930">
      <c r="A1930" s="1" t="n">
        <v>44802</v>
      </c>
      <c r="B1930" s="3">
        <f>IF(ISNUMBER(AVERAGE('20250815_ETF_Options_Exhibits'!B1926:B1930)),AVERAGE('20250815_ETF_Options_Exhibits'!B1926:B1930),"")</f>
        <v/>
      </c>
      <c r="C1930" s="3">
        <f>IF(ISNUMBER(AVERAGE('20250815_ETF_Options_Exhibits'!C1926:C1930)),AVERAGE('20250815_ETF_Options_Exhibits'!C1926:C1930),"")</f>
        <v/>
      </c>
      <c r="D1930" s="3">
        <f>IF(ISNUMBER(AVERAGE('20250815_ETF_Options_Exhibits'!D1926:D1930)),AVERAGE('20250815_ETF_Options_Exhibits'!D1926:D1930),"")</f>
        <v/>
      </c>
      <c r="E1930" s="3">
        <f>IF(ISNUMBER(AVERAGE('20250815_ETF_Options_Exhibits'!E1926:E1930)),AVERAGE('20250815_ETF_Options_Exhibits'!E1926:E1930),"")</f>
        <v/>
      </c>
      <c r="F1930" s="3">
        <f>IF(ISNUMBER(AVERAGE('20250815_ETF_Options_Exhibits'!F1926:F1930)),AVERAGE('20250815_ETF_Options_Exhibits'!F1926:F1930),"")</f>
        <v/>
      </c>
      <c r="G1930" s="3">
        <f>IF(ISNUMBER(AVERAGE('20250815_ETF_Options_Exhibits'!G1926:G1930)),AVERAGE('20250815_ETF_Options_Exhibits'!G1926:G1930),"")</f>
        <v/>
      </c>
      <c r="H1930" s="3">
        <f>IF(ISNUMBER(AVERAGE('20250815_ETF_Options_Exhibits'!H1926:H1930)),AVERAGE('20250815_ETF_Options_Exhibits'!H1926:H1930),"")</f>
        <v/>
      </c>
      <c r="I1930" s="3">
        <f>IF(ISNUMBER(AVERAGE('20250815_ETF_Options_Exhibits'!I1926:I1930)),AVERAGE('20250815_ETF_Options_Exhibits'!I1926:I1930),"")</f>
        <v/>
      </c>
      <c r="J1930" s="3">
        <f>IF(ISNUMBER(AVERAGE('20250815_ETF_Options_Exhibits'!J1926:J1930)),AVERAGE('20250815_ETF_Options_Exhibits'!J1926:J1930),"")</f>
        <v/>
      </c>
      <c r="K1930" s="3">
        <f>IF(ISNUMBER(AVERAGE('20250815_ETF_Options_Exhibits'!K1926:K1930)),AVERAGE('20250815_ETF_Options_Exhibits'!K1926:K1930),"")</f>
        <v/>
      </c>
      <c r="L1930" s="3">
        <f>IF(ISNUMBER(AVERAGE('20250815_ETF_Options_Exhibits'!L1926:L1930)),AVERAGE('20250815_ETF_Options_Exhibits'!L1926:L1930),"")</f>
        <v/>
      </c>
      <c r="M1930" s="3">
        <f>IF(ISNUMBER(AVERAGE('20250815_ETF_Options_Exhibits'!M1926:M1930)),AVERAGE('20250815_ETF_Options_Exhibits'!M1926:M1930),"")</f>
        <v/>
      </c>
      <c r="N1930" s="3">
        <f>IF(ISNUMBER(AVERAGE('20250815_ETF_Options_Exhibits'!N1926:N1930)),AVERAGE('20250815_ETF_Options_Exhibits'!N1926:N1930),"")</f>
        <v/>
      </c>
      <c r="O1930" s="3">
        <f>IF(ISNUMBER(AVERAGE('20250815_ETF_Options_Exhibits'!O1926:O1930)),AVERAGE('20250815_ETF_Options_Exhibits'!O1926:O1930),"")</f>
        <v/>
      </c>
      <c r="P1930" s="3">
        <f>IF(ISNUMBER(AVERAGE('20250815_ETF_Options_Exhibits'!P1926:P1930)),AVERAGE('20250815_ETF_Options_Exhibits'!P1926:P1930),"")</f>
        <v/>
      </c>
      <c r="Q1930" s="3">
        <f>IF(ISNUMBER(AVERAGE('20250815_ETF_Options_Exhibits'!Q1926:Q1930)),AVERAGE('20250815_ETF_Options_Exhibits'!Q1926:Q1930),"")</f>
        <v/>
      </c>
      <c r="R1930" s="3">
        <f>IF(ISNUMBER(AVERAGE('20250815_ETF_Options_Exhibits'!R1926:R1930)),AVERAGE('20250815_ETF_Options_Exhibits'!R1926:R1930),"")</f>
        <v/>
      </c>
      <c r="S1930" s="3">
        <f>IF(ISNUMBER(AVERAGE('20250815_ETF_Options_Exhibits'!S1926:S1930)),AVERAGE('20250815_ETF_Options_Exhibits'!S1926:S1930),"")</f>
        <v/>
      </c>
      <c r="T1930" s="3">
        <f>IF(ISNUMBER(AVERAGE('20250815_ETF_Options_Exhibits'!T1926:T1930)),AVERAGE('20250815_ETF_Options_Exhibits'!T1926:T1930),"")</f>
        <v/>
      </c>
      <c r="U1930" s="3">
        <f>IF(ISNUMBER(AVERAGE('20250815_ETF_Options_Exhibits'!U1926:U1930)),AVERAGE('20250815_ETF_Options_Exhibits'!U1926:U1930),"")</f>
        <v/>
      </c>
      <c r="V1930" s="3">
        <f>IF(ISNUMBER(AVERAGE('20250815_ETF_Options_Exhibits'!V1926:V1930)),AVERAGE('20250815_ETF_Options_Exhibits'!V1926:V1930),"")</f>
        <v/>
      </c>
      <c r="W1930" s="3">
        <f>IF(ISNUMBER(AVERAGE('20250815_ETF_Options_Exhibits'!W1926:W1930)),AVERAGE('20250815_ETF_Options_Exhibits'!W1926:W1930),"")</f>
        <v/>
      </c>
      <c r="X1930" s="3">
        <f>IF(ISNUMBER(AVERAGE('20250815_ETF_Options_Exhibits'!X1926:X1930)),AVERAGE('20250815_ETF_Options_Exhibits'!X1926:X1930),"")</f>
        <v/>
      </c>
      <c r="Y1930" s="3">
        <f>IF(ISNUMBER(AVERAGE('20250815_ETF_Options_Exhibits'!Y1926:Y1930)),AVERAGE('20250815_ETF_Options_Exhibits'!Y1926:Y1930),"")</f>
        <v/>
      </c>
      <c r="Z1930" s="3">
        <f>IF(ISNUMBER(AVERAGE('20250815_ETF_Options_Exhibits'!Z1926:Z1930)),AVERAGE('20250815_ETF_Options_Exhibits'!Z1926:Z1930),"")</f>
        <v/>
      </c>
      <c r="AA1930" s="3">
        <f>IF(ISNUMBER(AVERAGE('20250815_ETF_Options_Exhibits'!AA1926:AA1930)),AVERAGE('20250815_ETF_Options_Exhibits'!AA1926:AA1930),"")</f>
        <v/>
      </c>
    </row>
    <row r="1931">
      <c r="A1931" s="1" t="n">
        <v>44803</v>
      </c>
      <c r="B1931" s="3">
        <f>IF(ISNUMBER(AVERAGE('20250815_ETF_Options_Exhibits'!B1927:B1931)),AVERAGE('20250815_ETF_Options_Exhibits'!B1927:B1931),"")</f>
        <v/>
      </c>
      <c r="C1931" s="3">
        <f>IF(ISNUMBER(AVERAGE('20250815_ETF_Options_Exhibits'!C1927:C1931)),AVERAGE('20250815_ETF_Options_Exhibits'!C1927:C1931),"")</f>
        <v/>
      </c>
      <c r="D1931" s="3">
        <f>IF(ISNUMBER(AVERAGE('20250815_ETF_Options_Exhibits'!D1927:D1931)),AVERAGE('20250815_ETF_Options_Exhibits'!D1927:D1931),"")</f>
        <v/>
      </c>
      <c r="E1931" s="3">
        <f>IF(ISNUMBER(AVERAGE('20250815_ETF_Options_Exhibits'!E1927:E1931)),AVERAGE('20250815_ETF_Options_Exhibits'!E1927:E1931),"")</f>
        <v/>
      </c>
      <c r="F1931" s="3">
        <f>IF(ISNUMBER(AVERAGE('20250815_ETF_Options_Exhibits'!F1927:F1931)),AVERAGE('20250815_ETF_Options_Exhibits'!F1927:F1931),"")</f>
        <v/>
      </c>
      <c r="G1931" s="3">
        <f>IF(ISNUMBER(AVERAGE('20250815_ETF_Options_Exhibits'!G1927:G1931)),AVERAGE('20250815_ETF_Options_Exhibits'!G1927:G1931),"")</f>
        <v/>
      </c>
      <c r="H1931" s="3">
        <f>IF(ISNUMBER(AVERAGE('20250815_ETF_Options_Exhibits'!H1927:H1931)),AVERAGE('20250815_ETF_Options_Exhibits'!H1927:H1931),"")</f>
        <v/>
      </c>
      <c r="I1931" s="3">
        <f>IF(ISNUMBER(AVERAGE('20250815_ETF_Options_Exhibits'!I1927:I1931)),AVERAGE('20250815_ETF_Options_Exhibits'!I1927:I1931),"")</f>
        <v/>
      </c>
      <c r="J1931" s="3">
        <f>IF(ISNUMBER(AVERAGE('20250815_ETF_Options_Exhibits'!J1927:J1931)),AVERAGE('20250815_ETF_Options_Exhibits'!J1927:J1931),"")</f>
        <v/>
      </c>
      <c r="K1931" s="3">
        <f>IF(ISNUMBER(AVERAGE('20250815_ETF_Options_Exhibits'!K1927:K1931)),AVERAGE('20250815_ETF_Options_Exhibits'!K1927:K1931),"")</f>
        <v/>
      </c>
      <c r="L1931" s="3">
        <f>IF(ISNUMBER(AVERAGE('20250815_ETF_Options_Exhibits'!L1927:L1931)),AVERAGE('20250815_ETF_Options_Exhibits'!L1927:L1931),"")</f>
        <v/>
      </c>
      <c r="M1931" s="3">
        <f>IF(ISNUMBER(AVERAGE('20250815_ETF_Options_Exhibits'!M1927:M1931)),AVERAGE('20250815_ETF_Options_Exhibits'!M1927:M1931),"")</f>
        <v/>
      </c>
      <c r="N1931" s="3">
        <f>IF(ISNUMBER(AVERAGE('20250815_ETF_Options_Exhibits'!N1927:N1931)),AVERAGE('20250815_ETF_Options_Exhibits'!N1927:N1931),"")</f>
        <v/>
      </c>
      <c r="O1931" s="3">
        <f>IF(ISNUMBER(AVERAGE('20250815_ETF_Options_Exhibits'!O1927:O1931)),AVERAGE('20250815_ETF_Options_Exhibits'!O1927:O1931),"")</f>
        <v/>
      </c>
      <c r="P1931" s="3">
        <f>IF(ISNUMBER(AVERAGE('20250815_ETF_Options_Exhibits'!P1927:P1931)),AVERAGE('20250815_ETF_Options_Exhibits'!P1927:P1931),"")</f>
        <v/>
      </c>
      <c r="Q1931" s="3">
        <f>IF(ISNUMBER(AVERAGE('20250815_ETF_Options_Exhibits'!Q1927:Q1931)),AVERAGE('20250815_ETF_Options_Exhibits'!Q1927:Q1931),"")</f>
        <v/>
      </c>
      <c r="R1931" s="3">
        <f>IF(ISNUMBER(AVERAGE('20250815_ETF_Options_Exhibits'!R1927:R1931)),AVERAGE('20250815_ETF_Options_Exhibits'!R1927:R1931),"")</f>
        <v/>
      </c>
      <c r="S1931" s="3">
        <f>IF(ISNUMBER(AVERAGE('20250815_ETF_Options_Exhibits'!S1927:S1931)),AVERAGE('20250815_ETF_Options_Exhibits'!S1927:S1931),"")</f>
        <v/>
      </c>
      <c r="T1931" s="3">
        <f>IF(ISNUMBER(AVERAGE('20250815_ETF_Options_Exhibits'!T1927:T1931)),AVERAGE('20250815_ETF_Options_Exhibits'!T1927:T1931),"")</f>
        <v/>
      </c>
      <c r="U1931" s="3">
        <f>IF(ISNUMBER(AVERAGE('20250815_ETF_Options_Exhibits'!U1927:U1931)),AVERAGE('20250815_ETF_Options_Exhibits'!U1927:U1931),"")</f>
        <v/>
      </c>
      <c r="V1931" s="3">
        <f>IF(ISNUMBER(AVERAGE('20250815_ETF_Options_Exhibits'!V1927:V1931)),AVERAGE('20250815_ETF_Options_Exhibits'!V1927:V1931),"")</f>
        <v/>
      </c>
      <c r="W1931" s="3">
        <f>IF(ISNUMBER(AVERAGE('20250815_ETF_Options_Exhibits'!W1927:W1931)),AVERAGE('20250815_ETF_Options_Exhibits'!W1927:W1931),"")</f>
        <v/>
      </c>
      <c r="X1931" s="3">
        <f>IF(ISNUMBER(AVERAGE('20250815_ETF_Options_Exhibits'!X1927:X1931)),AVERAGE('20250815_ETF_Options_Exhibits'!X1927:X1931),"")</f>
        <v/>
      </c>
      <c r="Y1931" s="3">
        <f>IF(ISNUMBER(AVERAGE('20250815_ETF_Options_Exhibits'!Y1927:Y1931)),AVERAGE('20250815_ETF_Options_Exhibits'!Y1927:Y1931),"")</f>
        <v/>
      </c>
      <c r="Z1931" s="3">
        <f>IF(ISNUMBER(AVERAGE('20250815_ETF_Options_Exhibits'!Z1927:Z1931)),AVERAGE('20250815_ETF_Options_Exhibits'!Z1927:Z1931),"")</f>
        <v/>
      </c>
      <c r="AA1931" s="3">
        <f>IF(ISNUMBER(AVERAGE('20250815_ETF_Options_Exhibits'!AA1927:AA1931)),AVERAGE('20250815_ETF_Options_Exhibits'!AA1927:AA1931),"")</f>
        <v/>
      </c>
    </row>
    <row r="1932">
      <c r="A1932" s="1" t="n">
        <v>44804</v>
      </c>
      <c r="B1932" s="3">
        <f>IF(ISNUMBER(AVERAGE('20250815_ETF_Options_Exhibits'!B1928:B1932)),AVERAGE('20250815_ETF_Options_Exhibits'!B1928:B1932),"")</f>
        <v/>
      </c>
      <c r="C1932" s="3">
        <f>IF(ISNUMBER(AVERAGE('20250815_ETF_Options_Exhibits'!C1928:C1932)),AVERAGE('20250815_ETF_Options_Exhibits'!C1928:C1932),"")</f>
        <v/>
      </c>
      <c r="D1932" s="3">
        <f>IF(ISNUMBER(AVERAGE('20250815_ETF_Options_Exhibits'!D1928:D1932)),AVERAGE('20250815_ETF_Options_Exhibits'!D1928:D1932),"")</f>
        <v/>
      </c>
      <c r="E1932" s="3">
        <f>IF(ISNUMBER(AVERAGE('20250815_ETF_Options_Exhibits'!E1928:E1932)),AVERAGE('20250815_ETF_Options_Exhibits'!E1928:E1932),"")</f>
        <v/>
      </c>
      <c r="F1932" s="3">
        <f>IF(ISNUMBER(AVERAGE('20250815_ETF_Options_Exhibits'!F1928:F1932)),AVERAGE('20250815_ETF_Options_Exhibits'!F1928:F1932),"")</f>
        <v/>
      </c>
      <c r="G1932" s="3">
        <f>IF(ISNUMBER(AVERAGE('20250815_ETF_Options_Exhibits'!G1928:G1932)),AVERAGE('20250815_ETF_Options_Exhibits'!G1928:G1932),"")</f>
        <v/>
      </c>
      <c r="H1932" s="3">
        <f>IF(ISNUMBER(AVERAGE('20250815_ETF_Options_Exhibits'!H1928:H1932)),AVERAGE('20250815_ETF_Options_Exhibits'!H1928:H1932),"")</f>
        <v/>
      </c>
      <c r="I1932" s="3">
        <f>IF(ISNUMBER(AVERAGE('20250815_ETF_Options_Exhibits'!I1928:I1932)),AVERAGE('20250815_ETF_Options_Exhibits'!I1928:I1932),"")</f>
        <v/>
      </c>
      <c r="J1932" s="3">
        <f>IF(ISNUMBER(AVERAGE('20250815_ETF_Options_Exhibits'!J1928:J1932)),AVERAGE('20250815_ETF_Options_Exhibits'!J1928:J1932),"")</f>
        <v/>
      </c>
      <c r="K1932" s="3">
        <f>IF(ISNUMBER(AVERAGE('20250815_ETF_Options_Exhibits'!K1928:K1932)),AVERAGE('20250815_ETF_Options_Exhibits'!K1928:K1932),"")</f>
        <v/>
      </c>
      <c r="L1932" s="3">
        <f>IF(ISNUMBER(AVERAGE('20250815_ETF_Options_Exhibits'!L1928:L1932)),AVERAGE('20250815_ETF_Options_Exhibits'!L1928:L1932),"")</f>
        <v/>
      </c>
      <c r="M1932" s="3">
        <f>IF(ISNUMBER(AVERAGE('20250815_ETF_Options_Exhibits'!M1928:M1932)),AVERAGE('20250815_ETF_Options_Exhibits'!M1928:M1932),"")</f>
        <v/>
      </c>
      <c r="N1932" s="3">
        <f>IF(ISNUMBER(AVERAGE('20250815_ETF_Options_Exhibits'!N1928:N1932)),AVERAGE('20250815_ETF_Options_Exhibits'!N1928:N1932),"")</f>
        <v/>
      </c>
      <c r="O1932" s="3">
        <f>IF(ISNUMBER(AVERAGE('20250815_ETF_Options_Exhibits'!O1928:O1932)),AVERAGE('20250815_ETF_Options_Exhibits'!O1928:O1932),"")</f>
        <v/>
      </c>
      <c r="P1932" s="3">
        <f>IF(ISNUMBER(AVERAGE('20250815_ETF_Options_Exhibits'!P1928:P1932)),AVERAGE('20250815_ETF_Options_Exhibits'!P1928:P1932),"")</f>
        <v/>
      </c>
      <c r="Q1932" s="3">
        <f>IF(ISNUMBER(AVERAGE('20250815_ETF_Options_Exhibits'!Q1928:Q1932)),AVERAGE('20250815_ETF_Options_Exhibits'!Q1928:Q1932),"")</f>
        <v/>
      </c>
      <c r="R1932" s="3">
        <f>IF(ISNUMBER(AVERAGE('20250815_ETF_Options_Exhibits'!R1928:R1932)),AVERAGE('20250815_ETF_Options_Exhibits'!R1928:R1932),"")</f>
        <v/>
      </c>
      <c r="S1932" s="3">
        <f>IF(ISNUMBER(AVERAGE('20250815_ETF_Options_Exhibits'!S1928:S1932)),AVERAGE('20250815_ETF_Options_Exhibits'!S1928:S1932),"")</f>
        <v/>
      </c>
      <c r="T1932" s="3">
        <f>IF(ISNUMBER(AVERAGE('20250815_ETF_Options_Exhibits'!T1928:T1932)),AVERAGE('20250815_ETF_Options_Exhibits'!T1928:T1932),"")</f>
        <v/>
      </c>
      <c r="U1932" s="3">
        <f>IF(ISNUMBER(AVERAGE('20250815_ETF_Options_Exhibits'!U1928:U1932)),AVERAGE('20250815_ETF_Options_Exhibits'!U1928:U1932),"")</f>
        <v/>
      </c>
      <c r="V1932" s="3">
        <f>IF(ISNUMBER(AVERAGE('20250815_ETF_Options_Exhibits'!V1928:V1932)),AVERAGE('20250815_ETF_Options_Exhibits'!V1928:V1932),"")</f>
        <v/>
      </c>
      <c r="W1932" s="3">
        <f>IF(ISNUMBER(AVERAGE('20250815_ETF_Options_Exhibits'!W1928:W1932)),AVERAGE('20250815_ETF_Options_Exhibits'!W1928:W1932),"")</f>
        <v/>
      </c>
      <c r="X1932" s="3">
        <f>IF(ISNUMBER(AVERAGE('20250815_ETF_Options_Exhibits'!X1928:X1932)),AVERAGE('20250815_ETF_Options_Exhibits'!X1928:X1932),"")</f>
        <v/>
      </c>
      <c r="Y1932" s="3">
        <f>IF(ISNUMBER(AVERAGE('20250815_ETF_Options_Exhibits'!Y1928:Y1932)),AVERAGE('20250815_ETF_Options_Exhibits'!Y1928:Y1932),"")</f>
        <v/>
      </c>
      <c r="Z1932" s="3">
        <f>IF(ISNUMBER(AVERAGE('20250815_ETF_Options_Exhibits'!Z1928:Z1932)),AVERAGE('20250815_ETF_Options_Exhibits'!Z1928:Z1932),"")</f>
        <v/>
      </c>
      <c r="AA1932" s="3">
        <f>IF(ISNUMBER(AVERAGE('20250815_ETF_Options_Exhibits'!AA1928:AA1932)),AVERAGE('20250815_ETF_Options_Exhibits'!AA1928:AA1932),"")</f>
        <v/>
      </c>
    </row>
    <row r="1933">
      <c r="A1933" s="1" t="n">
        <v>44805</v>
      </c>
      <c r="B1933" s="3">
        <f>IF(ISNUMBER(AVERAGE('20250815_ETF_Options_Exhibits'!B1929:B1933)),AVERAGE('20250815_ETF_Options_Exhibits'!B1929:B1933),"")</f>
        <v/>
      </c>
      <c r="C1933" s="3">
        <f>IF(ISNUMBER(AVERAGE('20250815_ETF_Options_Exhibits'!C1929:C1933)),AVERAGE('20250815_ETF_Options_Exhibits'!C1929:C1933),"")</f>
        <v/>
      </c>
      <c r="D1933" s="3">
        <f>IF(ISNUMBER(AVERAGE('20250815_ETF_Options_Exhibits'!D1929:D1933)),AVERAGE('20250815_ETF_Options_Exhibits'!D1929:D1933),"")</f>
        <v/>
      </c>
      <c r="E1933" s="3">
        <f>IF(ISNUMBER(AVERAGE('20250815_ETF_Options_Exhibits'!E1929:E1933)),AVERAGE('20250815_ETF_Options_Exhibits'!E1929:E1933),"")</f>
        <v/>
      </c>
      <c r="F1933" s="3">
        <f>IF(ISNUMBER(AVERAGE('20250815_ETF_Options_Exhibits'!F1929:F1933)),AVERAGE('20250815_ETF_Options_Exhibits'!F1929:F1933),"")</f>
        <v/>
      </c>
      <c r="G1933" s="3">
        <f>IF(ISNUMBER(AVERAGE('20250815_ETF_Options_Exhibits'!G1929:G1933)),AVERAGE('20250815_ETF_Options_Exhibits'!G1929:G1933),"")</f>
        <v/>
      </c>
      <c r="H1933" s="3">
        <f>IF(ISNUMBER(AVERAGE('20250815_ETF_Options_Exhibits'!H1929:H1933)),AVERAGE('20250815_ETF_Options_Exhibits'!H1929:H1933),"")</f>
        <v/>
      </c>
      <c r="I1933" s="3">
        <f>IF(ISNUMBER(AVERAGE('20250815_ETF_Options_Exhibits'!I1929:I1933)),AVERAGE('20250815_ETF_Options_Exhibits'!I1929:I1933),"")</f>
        <v/>
      </c>
      <c r="J1933" s="3">
        <f>IF(ISNUMBER(AVERAGE('20250815_ETF_Options_Exhibits'!J1929:J1933)),AVERAGE('20250815_ETF_Options_Exhibits'!J1929:J1933),"")</f>
        <v/>
      </c>
      <c r="K1933" s="3">
        <f>IF(ISNUMBER(AVERAGE('20250815_ETF_Options_Exhibits'!K1929:K1933)),AVERAGE('20250815_ETF_Options_Exhibits'!K1929:K1933),"")</f>
        <v/>
      </c>
      <c r="L1933" s="3">
        <f>IF(ISNUMBER(AVERAGE('20250815_ETF_Options_Exhibits'!L1929:L1933)),AVERAGE('20250815_ETF_Options_Exhibits'!L1929:L1933),"")</f>
        <v/>
      </c>
      <c r="M1933" s="3">
        <f>IF(ISNUMBER(AVERAGE('20250815_ETF_Options_Exhibits'!M1929:M1933)),AVERAGE('20250815_ETF_Options_Exhibits'!M1929:M1933),"")</f>
        <v/>
      </c>
      <c r="N1933" s="3">
        <f>IF(ISNUMBER(AVERAGE('20250815_ETF_Options_Exhibits'!N1929:N1933)),AVERAGE('20250815_ETF_Options_Exhibits'!N1929:N1933),"")</f>
        <v/>
      </c>
      <c r="O1933" s="3">
        <f>IF(ISNUMBER(AVERAGE('20250815_ETF_Options_Exhibits'!O1929:O1933)),AVERAGE('20250815_ETF_Options_Exhibits'!O1929:O1933),"")</f>
        <v/>
      </c>
      <c r="P1933" s="3">
        <f>IF(ISNUMBER(AVERAGE('20250815_ETF_Options_Exhibits'!P1929:P1933)),AVERAGE('20250815_ETF_Options_Exhibits'!P1929:P1933),"")</f>
        <v/>
      </c>
      <c r="Q1933" s="3">
        <f>IF(ISNUMBER(AVERAGE('20250815_ETF_Options_Exhibits'!Q1929:Q1933)),AVERAGE('20250815_ETF_Options_Exhibits'!Q1929:Q1933),"")</f>
        <v/>
      </c>
      <c r="R1933" s="3">
        <f>IF(ISNUMBER(AVERAGE('20250815_ETF_Options_Exhibits'!R1929:R1933)),AVERAGE('20250815_ETF_Options_Exhibits'!R1929:R1933),"")</f>
        <v/>
      </c>
      <c r="S1933" s="3">
        <f>IF(ISNUMBER(AVERAGE('20250815_ETF_Options_Exhibits'!S1929:S1933)),AVERAGE('20250815_ETF_Options_Exhibits'!S1929:S1933),"")</f>
        <v/>
      </c>
      <c r="T1933" s="3">
        <f>IF(ISNUMBER(AVERAGE('20250815_ETF_Options_Exhibits'!T1929:T1933)),AVERAGE('20250815_ETF_Options_Exhibits'!T1929:T1933),"")</f>
        <v/>
      </c>
      <c r="U1933" s="3">
        <f>IF(ISNUMBER(AVERAGE('20250815_ETF_Options_Exhibits'!U1929:U1933)),AVERAGE('20250815_ETF_Options_Exhibits'!U1929:U1933),"")</f>
        <v/>
      </c>
      <c r="V1933" s="3">
        <f>IF(ISNUMBER(AVERAGE('20250815_ETF_Options_Exhibits'!V1929:V1933)),AVERAGE('20250815_ETF_Options_Exhibits'!V1929:V1933),"")</f>
        <v/>
      </c>
      <c r="W1933" s="3">
        <f>IF(ISNUMBER(AVERAGE('20250815_ETF_Options_Exhibits'!W1929:W1933)),AVERAGE('20250815_ETF_Options_Exhibits'!W1929:W1933),"")</f>
        <v/>
      </c>
      <c r="X1933" s="3">
        <f>IF(ISNUMBER(AVERAGE('20250815_ETF_Options_Exhibits'!X1929:X1933)),AVERAGE('20250815_ETF_Options_Exhibits'!X1929:X1933),"")</f>
        <v/>
      </c>
      <c r="Y1933" s="3">
        <f>IF(ISNUMBER(AVERAGE('20250815_ETF_Options_Exhibits'!Y1929:Y1933)),AVERAGE('20250815_ETF_Options_Exhibits'!Y1929:Y1933),"")</f>
        <v/>
      </c>
      <c r="Z1933" s="3">
        <f>IF(ISNUMBER(AVERAGE('20250815_ETF_Options_Exhibits'!Z1929:Z1933)),AVERAGE('20250815_ETF_Options_Exhibits'!Z1929:Z1933),"")</f>
        <v/>
      </c>
      <c r="AA1933" s="3">
        <f>IF(ISNUMBER(AVERAGE('20250815_ETF_Options_Exhibits'!AA1929:AA1933)),AVERAGE('20250815_ETF_Options_Exhibits'!AA1929:AA1933),"")</f>
        <v/>
      </c>
    </row>
    <row r="1934">
      <c r="A1934" s="1" t="n">
        <v>44806</v>
      </c>
      <c r="B1934" s="3">
        <f>IF(ISNUMBER(AVERAGE('20250815_ETF_Options_Exhibits'!B1930:B1934)),AVERAGE('20250815_ETF_Options_Exhibits'!B1930:B1934),"")</f>
        <v/>
      </c>
      <c r="C1934" s="3">
        <f>IF(ISNUMBER(AVERAGE('20250815_ETF_Options_Exhibits'!C1930:C1934)),AVERAGE('20250815_ETF_Options_Exhibits'!C1930:C1934),"")</f>
        <v/>
      </c>
      <c r="D1934" s="3">
        <f>IF(ISNUMBER(AVERAGE('20250815_ETF_Options_Exhibits'!D1930:D1934)),AVERAGE('20250815_ETF_Options_Exhibits'!D1930:D1934),"")</f>
        <v/>
      </c>
      <c r="E1934" s="3">
        <f>IF(ISNUMBER(AVERAGE('20250815_ETF_Options_Exhibits'!E1930:E1934)),AVERAGE('20250815_ETF_Options_Exhibits'!E1930:E1934),"")</f>
        <v/>
      </c>
      <c r="F1934" s="3">
        <f>IF(ISNUMBER(AVERAGE('20250815_ETF_Options_Exhibits'!F1930:F1934)),AVERAGE('20250815_ETF_Options_Exhibits'!F1930:F1934),"")</f>
        <v/>
      </c>
      <c r="G1934" s="3">
        <f>IF(ISNUMBER(AVERAGE('20250815_ETF_Options_Exhibits'!G1930:G1934)),AVERAGE('20250815_ETF_Options_Exhibits'!G1930:G1934),"")</f>
        <v/>
      </c>
      <c r="H1934" s="3">
        <f>IF(ISNUMBER(AVERAGE('20250815_ETF_Options_Exhibits'!H1930:H1934)),AVERAGE('20250815_ETF_Options_Exhibits'!H1930:H1934),"")</f>
        <v/>
      </c>
      <c r="I1934" s="3">
        <f>IF(ISNUMBER(AVERAGE('20250815_ETF_Options_Exhibits'!I1930:I1934)),AVERAGE('20250815_ETF_Options_Exhibits'!I1930:I1934),"")</f>
        <v/>
      </c>
      <c r="J1934" s="3">
        <f>IF(ISNUMBER(AVERAGE('20250815_ETF_Options_Exhibits'!J1930:J1934)),AVERAGE('20250815_ETF_Options_Exhibits'!J1930:J1934),"")</f>
        <v/>
      </c>
      <c r="K1934" s="3">
        <f>IF(ISNUMBER(AVERAGE('20250815_ETF_Options_Exhibits'!K1930:K1934)),AVERAGE('20250815_ETF_Options_Exhibits'!K1930:K1934),"")</f>
        <v/>
      </c>
      <c r="L1934" s="3">
        <f>IF(ISNUMBER(AVERAGE('20250815_ETF_Options_Exhibits'!L1930:L1934)),AVERAGE('20250815_ETF_Options_Exhibits'!L1930:L1934),"")</f>
        <v/>
      </c>
      <c r="M1934" s="3">
        <f>IF(ISNUMBER(AVERAGE('20250815_ETF_Options_Exhibits'!M1930:M1934)),AVERAGE('20250815_ETF_Options_Exhibits'!M1930:M1934),"")</f>
        <v/>
      </c>
      <c r="N1934" s="3">
        <f>IF(ISNUMBER(AVERAGE('20250815_ETF_Options_Exhibits'!N1930:N1934)),AVERAGE('20250815_ETF_Options_Exhibits'!N1930:N1934),"")</f>
        <v/>
      </c>
      <c r="O1934" s="3">
        <f>IF(ISNUMBER(AVERAGE('20250815_ETF_Options_Exhibits'!O1930:O1934)),AVERAGE('20250815_ETF_Options_Exhibits'!O1930:O1934),"")</f>
        <v/>
      </c>
      <c r="P1934" s="3">
        <f>IF(ISNUMBER(AVERAGE('20250815_ETF_Options_Exhibits'!P1930:P1934)),AVERAGE('20250815_ETF_Options_Exhibits'!P1930:P1934),"")</f>
        <v/>
      </c>
      <c r="Q1934" s="3">
        <f>IF(ISNUMBER(AVERAGE('20250815_ETF_Options_Exhibits'!Q1930:Q1934)),AVERAGE('20250815_ETF_Options_Exhibits'!Q1930:Q1934),"")</f>
        <v/>
      </c>
      <c r="R1934" s="3">
        <f>IF(ISNUMBER(AVERAGE('20250815_ETF_Options_Exhibits'!R1930:R1934)),AVERAGE('20250815_ETF_Options_Exhibits'!R1930:R1934),"")</f>
        <v/>
      </c>
      <c r="S1934" s="3">
        <f>IF(ISNUMBER(AVERAGE('20250815_ETF_Options_Exhibits'!S1930:S1934)),AVERAGE('20250815_ETF_Options_Exhibits'!S1930:S1934),"")</f>
        <v/>
      </c>
      <c r="T1934" s="3">
        <f>IF(ISNUMBER(AVERAGE('20250815_ETF_Options_Exhibits'!T1930:T1934)),AVERAGE('20250815_ETF_Options_Exhibits'!T1930:T1934),"")</f>
        <v/>
      </c>
      <c r="U1934" s="3">
        <f>IF(ISNUMBER(AVERAGE('20250815_ETF_Options_Exhibits'!U1930:U1934)),AVERAGE('20250815_ETF_Options_Exhibits'!U1930:U1934),"")</f>
        <v/>
      </c>
      <c r="V1934" s="3">
        <f>IF(ISNUMBER(AVERAGE('20250815_ETF_Options_Exhibits'!V1930:V1934)),AVERAGE('20250815_ETF_Options_Exhibits'!V1930:V1934),"")</f>
        <v/>
      </c>
      <c r="W1934" s="3">
        <f>IF(ISNUMBER(AVERAGE('20250815_ETF_Options_Exhibits'!W1930:W1934)),AVERAGE('20250815_ETF_Options_Exhibits'!W1930:W1934),"")</f>
        <v/>
      </c>
      <c r="X1934" s="3">
        <f>IF(ISNUMBER(AVERAGE('20250815_ETF_Options_Exhibits'!X1930:X1934)),AVERAGE('20250815_ETF_Options_Exhibits'!X1930:X1934),"")</f>
        <v/>
      </c>
      <c r="Y1934" s="3">
        <f>IF(ISNUMBER(AVERAGE('20250815_ETF_Options_Exhibits'!Y1930:Y1934)),AVERAGE('20250815_ETF_Options_Exhibits'!Y1930:Y1934),"")</f>
        <v/>
      </c>
      <c r="Z1934" s="3">
        <f>IF(ISNUMBER(AVERAGE('20250815_ETF_Options_Exhibits'!Z1930:Z1934)),AVERAGE('20250815_ETF_Options_Exhibits'!Z1930:Z1934),"")</f>
        <v/>
      </c>
      <c r="AA1934" s="3">
        <f>IF(ISNUMBER(AVERAGE('20250815_ETF_Options_Exhibits'!AA1930:AA1934)),AVERAGE('20250815_ETF_Options_Exhibits'!AA1930:AA1934),"")</f>
        <v/>
      </c>
    </row>
    <row r="1935">
      <c r="A1935" s="1" t="n">
        <v>44810</v>
      </c>
      <c r="B1935" s="3">
        <f>IF(ISNUMBER(AVERAGE('20250815_ETF_Options_Exhibits'!B1931:B1935)),AVERAGE('20250815_ETF_Options_Exhibits'!B1931:B1935),"")</f>
        <v/>
      </c>
      <c r="C1935" s="3">
        <f>IF(ISNUMBER(AVERAGE('20250815_ETF_Options_Exhibits'!C1931:C1935)),AVERAGE('20250815_ETF_Options_Exhibits'!C1931:C1935),"")</f>
        <v/>
      </c>
      <c r="D1935" s="3">
        <f>IF(ISNUMBER(AVERAGE('20250815_ETF_Options_Exhibits'!D1931:D1935)),AVERAGE('20250815_ETF_Options_Exhibits'!D1931:D1935),"")</f>
        <v/>
      </c>
      <c r="E1935" s="3">
        <f>IF(ISNUMBER(AVERAGE('20250815_ETF_Options_Exhibits'!E1931:E1935)),AVERAGE('20250815_ETF_Options_Exhibits'!E1931:E1935),"")</f>
        <v/>
      </c>
      <c r="F1935" s="3">
        <f>IF(ISNUMBER(AVERAGE('20250815_ETF_Options_Exhibits'!F1931:F1935)),AVERAGE('20250815_ETF_Options_Exhibits'!F1931:F1935),"")</f>
        <v/>
      </c>
      <c r="G1935" s="3">
        <f>IF(ISNUMBER(AVERAGE('20250815_ETF_Options_Exhibits'!G1931:G1935)),AVERAGE('20250815_ETF_Options_Exhibits'!G1931:G1935),"")</f>
        <v/>
      </c>
      <c r="H1935" s="3">
        <f>IF(ISNUMBER(AVERAGE('20250815_ETF_Options_Exhibits'!H1931:H1935)),AVERAGE('20250815_ETF_Options_Exhibits'!H1931:H1935),"")</f>
        <v/>
      </c>
      <c r="I1935" s="3">
        <f>IF(ISNUMBER(AVERAGE('20250815_ETF_Options_Exhibits'!I1931:I1935)),AVERAGE('20250815_ETF_Options_Exhibits'!I1931:I1935),"")</f>
        <v/>
      </c>
      <c r="J1935" s="3">
        <f>IF(ISNUMBER(AVERAGE('20250815_ETF_Options_Exhibits'!J1931:J1935)),AVERAGE('20250815_ETF_Options_Exhibits'!J1931:J1935),"")</f>
        <v/>
      </c>
      <c r="K1935" s="3">
        <f>IF(ISNUMBER(AVERAGE('20250815_ETF_Options_Exhibits'!K1931:K1935)),AVERAGE('20250815_ETF_Options_Exhibits'!K1931:K1935),"")</f>
        <v/>
      </c>
      <c r="L1935" s="3">
        <f>IF(ISNUMBER(AVERAGE('20250815_ETF_Options_Exhibits'!L1931:L1935)),AVERAGE('20250815_ETF_Options_Exhibits'!L1931:L1935),"")</f>
        <v/>
      </c>
      <c r="M1935" s="3">
        <f>IF(ISNUMBER(AVERAGE('20250815_ETF_Options_Exhibits'!M1931:M1935)),AVERAGE('20250815_ETF_Options_Exhibits'!M1931:M1935),"")</f>
        <v/>
      </c>
      <c r="N1935" s="3">
        <f>IF(ISNUMBER(AVERAGE('20250815_ETF_Options_Exhibits'!N1931:N1935)),AVERAGE('20250815_ETF_Options_Exhibits'!N1931:N1935),"")</f>
        <v/>
      </c>
      <c r="O1935" s="3">
        <f>IF(ISNUMBER(AVERAGE('20250815_ETF_Options_Exhibits'!O1931:O1935)),AVERAGE('20250815_ETF_Options_Exhibits'!O1931:O1935),"")</f>
        <v/>
      </c>
      <c r="P1935" s="3">
        <f>IF(ISNUMBER(AVERAGE('20250815_ETF_Options_Exhibits'!P1931:P1935)),AVERAGE('20250815_ETF_Options_Exhibits'!P1931:P1935),"")</f>
        <v/>
      </c>
      <c r="Q1935" s="3">
        <f>IF(ISNUMBER(AVERAGE('20250815_ETF_Options_Exhibits'!Q1931:Q1935)),AVERAGE('20250815_ETF_Options_Exhibits'!Q1931:Q1935),"")</f>
        <v/>
      </c>
      <c r="R1935" s="3">
        <f>IF(ISNUMBER(AVERAGE('20250815_ETF_Options_Exhibits'!R1931:R1935)),AVERAGE('20250815_ETF_Options_Exhibits'!R1931:R1935),"")</f>
        <v/>
      </c>
      <c r="S1935" s="3">
        <f>IF(ISNUMBER(AVERAGE('20250815_ETF_Options_Exhibits'!S1931:S1935)),AVERAGE('20250815_ETF_Options_Exhibits'!S1931:S1935),"")</f>
        <v/>
      </c>
      <c r="T1935" s="3">
        <f>IF(ISNUMBER(AVERAGE('20250815_ETF_Options_Exhibits'!T1931:T1935)),AVERAGE('20250815_ETF_Options_Exhibits'!T1931:T1935),"")</f>
        <v/>
      </c>
      <c r="U1935" s="3">
        <f>IF(ISNUMBER(AVERAGE('20250815_ETF_Options_Exhibits'!U1931:U1935)),AVERAGE('20250815_ETF_Options_Exhibits'!U1931:U1935),"")</f>
        <v/>
      </c>
      <c r="V1935" s="3">
        <f>IF(ISNUMBER(AVERAGE('20250815_ETF_Options_Exhibits'!V1931:V1935)),AVERAGE('20250815_ETF_Options_Exhibits'!V1931:V1935),"")</f>
        <v/>
      </c>
      <c r="W1935" s="3">
        <f>IF(ISNUMBER(AVERAGE('20250815_ETF_Options_Exhibits'!W1931:W1935)),AVERAGE('20250815_ETF_Options_Exhibits'!W1931:W1935),"")</f>
        <v/>
      </c>
      <c r="X1935" s="3">
        <f>IF(ISNUMBER(AVERAGE('20250815_ETF_Options_Exhibits'!X1931:X1935)),AVERAGE('20250815_ETF_Options_Exhibits'!X1931:X1935),"")</f>
        <v/>
      </c>
      <c r="Y1935" s="3">
        <f>IF(ISNUMBER(AVERAGE('20250815_ETF_Options_Exhibits'!Y1931:Y1935)),AVERAGE('20250815_ETF_Options_Exhibits'!Y1931:Y1935),"")</f>
        <v/>
      </c>
      <c r="Z1935" s="3">
        <f>IF(ISNUMBER(AVERAGE('20250815_ETF_Options_Exhibits'!Z1931:Z1935)),AVERAGE('20250815_ETF_Options_Exhibits'!Z1931:Z1935),"")</f>
        <v/>
      </c>
      <c r="AA1935" s="3">
        <f>IF(ISNUMBER(AVERAGE('20250815_ETF_Options_Exhibits'!AA1931:AA1935)),AVERAGE('20250815_ETF_Options_Exhibits'!AA1931:AA1935),"")</f>
        <v/>
      </c>
    </row>
    <row r="1936">
      <c r="A1936" s="1" t="n">
        <v>44811</v>
      </c>
      <c r="B1936" s="3">
        <f>IF(ISNUMBER(AVERAGE('20250815_ETF_Options_Exhibits'!B1932:B1936)),AVERAGE('20250815_ETF_Options_Exhibits'!B1932:B1936),"")</f>
        <v/>
      </c>
      <c r="C1936" s="3">
        <f>IF(ISNUMBER(AVERAGE('20250815_ETF_Options_Exhibits'!C1932:C1936)),AVERAGE('20250815_ETF_Options_Exhibits'!C1932:C1936),"")</f>
        <v/>
      </c>
      <c r="D1936" s="3">
        <f>IF(ISNUMBER(AVERAGE('20250815_ETF_Options_Exhibits'!D1932:D1936)),AVERAGE('20250815_ETF_Options_Exhibits'!D1932:D1936),"")</f>
        <v/>
      </c>
      <c r="E1936" s="3">
        <f>IF(ISNUMBER(AVERAGE('20250815_ETF_Options_Exhibits'!E1932:E1936)),AVERAGE('20250815_ETF_Options_Exhibits'!E1932:E1936),"")</f>
        <v/>
      </c>
      <c r="F1936" s="3">
        <f>IF(ISNUMBER(AVERAGE('20250815_ETF_Options_Exhibits'!F1932:F1936)),AVERAGE('20250815_ETF_Options_Exhibits'!F1932:F1936),"")</f>
        <v/>
      </c>
      <c r="G1936" s="3">
        <f>IF(ISNUMBER(AVERAGE('20250815_ETF_Options_Exhibits'!G1932:G1936)),AVERAGE('20250815_ETF_Options_Exhibits'!G1932:G1936),"")</f>
        <v/>
      </c>
      <c r="H1936" s="3">
        <f>IF(ISNUMBER(AVERAGE('20250815_ETF_Options_Exhibits'!H1932:H1936)),AVERAGE('20250815_ETF_Options_Exhibits'!H1932:H1936),"")</f>
        <v/>
      </c>
      <c r="I1936" s="3">
        <f>IF(ISNUMBER(AVERAGE('20250815_ETF_Options_Exhibits'!I1932:I1936)),AVERAGE('20250815_ETF_Options_Exhibits'!I1932:I1936),"")</f>
        <v/>
      </c>
      <c r="J1936" s="3">
        <f>IF(ISNUMBER(AVERAGE('20250815_ETF_Options_Exhibits'!J1932:J1936)),AVERAGE('20250815_ETF_Options_Exhibits'!J1932:J1936),"")</f>
        <v/>
      </c>
      <c r="K1936" s="3">
        <f>IF(ISNUMBER(AVERAGE('20250815_ETF_Options_Exhibits'!K1932:K1936)),AVERAGE('20250815_ETF_Options_Exhibits'!K1932:K1936),"")</f>
        <v/>
      </c>
      <c r="L1936" s="3">
        <f>IF(ISNUMBER(AVERAGE('20250815_ETF_Options_Exhibits'!L1932:L1936)),AVERAGE('20250815_ETF_Options_Exhibits'!L1932:L1936),"")</f>
        <v/>
      </c>
      <c r="M1936" s="3">
        <f>IF(ISNUMBER(AVERAGE('20250815_ETF_Options_Exhibits'!M1932:M1936)),AVERAGE('20250815_ETF_Options_Exhibits'!M1932:M1936),"")</f>
        <v/>
      </c>
      <c r="N1936" s="3">
        <f>IF(ISNUMBER(AVERAGE('20250815_ETF_Options_Exhibits'!N1932:N1936)),AVERAGE('20250815_ETF_Options_Exhibits'!N1932:N1936),"")</f>
        <v/>
      </c>
      <c r="O1936" s="3">
        <f>IF(ISNUMBER(AVERAGE('20250815_ETF_Options_Exhibits'!O1932:O1936)),AVERAGE('20250815_ETF_Options_Exhibits'!O1932:O1936),"")</f>
        <v/>
      </c>
      <c r="P1936" s="3">
        <f>IF(ISNUMBER(AVERAGE('20250815_ETF_Options_Exhibits'!P1932:P1936)),AVERAGE('20250815_ETF_Options_Exhibits'!P1932:P1936),"")</f>
        <v/>
      </c>
      <c r="Q1936" s="3">
        <f>IF(ISNUMBER(AVERAGE('20250815_ETF_Options_Exhibits'!Q1932:Q1936)),AVERAGE('20250815_ETF_Options_Exhibits'!Q1932:Q1936),"")</f>
        <v/>
      </c>
      <c r="R1936" s="3">
        <f>IF(ISNUMBER(AVERAGE('20250815_ETF_Options_Exhibits'!R1932:R1936)),AVERAGE('20250815_ETF_Options_Exhibits'!R1932:R1936),"")</f>
        <v/>
      </c>
      <c r="S1936" s="3">
        <f>IF(ISNUMBER(AVERAGE('20250815_ETF_Options_Exhibits'!S1932:S1936)),AVERAGE('20250815_ETF_Options_Exhibits'!S1932:S1936),"")</f>
        <v/>
      </c>
      <c r="T1936" s="3">
        <f>IF(ISNUMBER(AVERAGE('20250815_ETF_Options_Exhibits'!T1932:T1936)),AVERAGE('20250815_ETF_Options_Exhibits'!T1932:T1936),"")</f>
        <v/>
      </c>
      <c r="U1936" s="3">
        <f>IF(ISNUMBER(AVERAGE('20250815_ETF_Options_Exhibits'!U1932:U1936)),AVERAGE('20250815_ETF_Options_Exhibits'!U1932:U1936),"")</f>
        <v/>
      </c>
      <c r="V1936" s="3">
        <f>IF(ISNUMBER(AVERAGE('20250815_ETF_Options_Exhibits'!V1932:V1936)),AVERAGE('20250815_ETF_Options_Exhibits'!V1932:V1936),"")</f>
        <v/>
      </c>
      <c r="W1936" s="3">
        <f>IF(ISNUMBER(AVERAGE('20250815_ETF_Options_Exhibits'!W1932:W1936)),AVERAGE('20250815_ETF_Options_Exhibits'!W1932:W1936),"")</f>
        <v/>
      </c>
      <c r="X1936" s="3">
        <f>IF(ISNUMBER(AVERAGE('20250815_ETF_Options_Exhibits'!X1932:X1936)),AVERAGE('20250815_ETF_Options_Exhibits'!X1932:X1936),"")</f>
        <v/>
      </c>
      <c r="Y1936" s="3">
        <f>IF(ISNUMBER(AVERAGE('20250815_ETF_Options_Exhibits'!Y1932:Y1936)),AVERAGE('20250815_ETF_Options_Exhibits'!Y1932:Y1936),"")</f>
        <v/>
      </c>
      <c r="Z1936" s="3">
        <f>IF(ISNUMBER(AVERAGE('20250815_ETF_Options_Exhibits'!Z1932:Z1936)),AVERAGE('20250815_ETF_Options_Exhibits'!Z1932:Z1936),"")</f>
        <v/>
      </c>
      <c r="AA1936" s="3">
        <f>IF(ISNUMBER(AVERAGE('20250815_ETF_Options_Exhibits'!AA1932:AA1936)),AVERAGE('20250815_ETF_Options_Exhibits'!AA1932:AA1936),"")</f>
        <v/>
      </c>
    </row>
    <row r="1937">
      <c r="A1937" s="1" t="n">
        <v>44812</v>
      </c>
      <c r="B1937" s="3">
        <f>IF(ISNUMBER(AVERAGE('20250815_ETF_Options_Exhibits'!B1933:B1937)),AVERAGE('20250815_ETF_Options_Exhibits'!B1933:B1937),"")</f>
        <v/>
      </c>
      <c r="C1937" s="3">
        <f>IF(ISNUMBER(AVERAGE('20250815_ETF_Options_Exhibits'!C1933:C1937)),AVERAGE('20250815_ETF_Options_Exhibits'!C1933:C1937),"")</f>
        <v/>
      </c>
      <c r="D1937" s="3">
        <f>IF(ISNUMBER(AVERAGE('20250815_ETF_Options_Exhibits'!D1933:D1937)),AVERAGE('20250815_ETF_Options_Exhibits'!D1933:D1937),"")</f>
        <v/>
      </c>
      <c r="E1937" s="3">
        <f>IF(ISNUMBER(AVERAGE('20250815_ETF_Options_Exhibits'!E1933:E1937)),AVERAGE('20250815_ETF_Options_Exhibits'!E1933:E1937),"")</f>
        <v/>
      </c>
      <c r="F1937" s="3">
        <f>IF(ISNUMBER(AVERAGE('20250815_ETF_Options_Exhibits'!F1933:F1937)),AVERAGE('20250815_ETF_Options_Exhibits'!F1933:F1937),"")</f>
        <v/>
      </c>
      <c r="G1937" s="3">
        <f>IF(ISNUMBER(AVERAGE('20250815_ETF_Options_Exhibits'!G1933:G1937)),AVERAGE('20250815_ETF_Options_Exhibits'!G1933:G1937),"")</f>
        <v/>
      </c>
      <c r="H1937" s="3">
        <f>IF(ISNUMBER(AVERAGE('20250815_ETF_Options_Exhibits'!H1933:H1937)),AVERAGE('20250815_ETF_Options_Exhibits'!H1933:H1937),"")</f>
        <v/>
      </c>
      <c r="I1937" s="3">
        <f>IF(ISNUMBER(AVERAGE('20250815_ETF_Options_Exhibits'!I1933:I1937)),AVERAGE('20250815_ETF_Options_Exhibits'!I1933:I1937),"")</f>
        <v/>
      </c>
      <c r="J1937" s="3">
        <f>IF(ISNUMBER(AVERAGE('20250815_ETF_Options_Exhibits'!J1933:J1937)),AVERAGE('20250815_ETF_Options_Exhibits'!J1933:J1937),"")</f>
        <v/>
      </c>
      <c r="K1937" s="3">
        <f>IF(ISNUMBER(AVERAGE('20250815_ETF_Options_Exhibits'!K1933:K1937)),AVERAGE('20250815_ETF_Options_Exhibits'!K1933:K1937),"")</f>
        <v/>
      </c>
      <c r="L1937" s="3">
        <f>IF(ISNUMBER(AVERAGE('20250815_ETF_Options_Exhibits'!L1933:L1937)),AVERAGE('20250815_ETF_Options_Exhibits'!L1933:L1937),"")</f>
        <v/>
      </c>
      <c r="M1937" s="3">
        <f>IF(ISNUMBER(AVERAGE('20250815_ETF_Options_Exhibits'!M1933:M1937)),AVERAGE('20250815_ETF_Options_Exhibits'!M1933:M1937),"")</f>
        <v/>
      </c>
      <c r="N1937" s="3">
        <f>IF(ISNUMBER(AVERAGE('20250815_ETF_Options_Exhibits'!N1933:N1937)),AVERAGE('20250815_ETF_Options_Exhibits'!N1933:N1937),"")</f>
        <v/>
      </c>
      <c r="O1937" s="3">
        <f>IF(ISNUMBER(AVERAGE('20250815_ETF_Options_Exhibits'!O1933:O1937)),AVERAGE('20250815_ETF_Options_Exhibits'!O1933:O1937),"")</f>
        <v/>
      </c>
      <c r="P1937" s="3">
        <f>IF(ISNUMBER(AVERAGE('20250815_ETF_Options_Exhibits'!P1933:P1937)),AVERAGE('20250815_ETF_Options_Exhibits'!P1933:P1937),"")</f>
        <v/>
      </c>
      <c r="Q1937" s="3">
        <f>IF(ISNUMBER(AVERAGE('20250815_ETF_Options_Exhibits'!Q1933:Q1937)),AVERAGE('20250815_ETF_Options_Exhibits'!Q1933:Q1937),"")</f>
        <v/>
      </c>
      <c r="R1937" s="3">
        <f>IF(ISNUMBER(AVERAGE('20250815_ETF_Options_Exhibits'!R1933:R1937)),AVERAGE('20250815_ETF_Options_Exhibits'!R1933:R1937),"")</f>
        <v/>
      </c>
      <c r="S1937" s="3">
        <f>IF(ISNUMBER(AVERAGE('20250815_ETF_Options_Exhibits'!S1933:S1937)),AVERAGE('20250815_ETF_Options_Exhibits'!S1933:S1937),"")</f>
        <v/>
      </c>
      <c r="T1937" s="3">
        <f>IF(ISNUMBER(AVERAGE('20250815_ETF_Options_Exhibits'!T1933:T1937)),AVERAGE('20250815_ETF_Options_Exhibits'!T1933:T1937),"")</f>
        <v/>
      </c>
      <c r="U1937" s="3">
        <f>IF(ISNUMBER(AVERAGE('20250815_ETF_Options_Exhibits'!U1933:U1937)),AVERAGE('20250815_ETF_Options_Exhibits'!U1933:U1937),"")</f>
        <v/>
      </c>
      <c r="V1937" s="3">
        <f>IF(ISNUMBER(AVERAGE('20250815_ETF_Options_Exhibits'!V1933:V1937)),AVERAGE('20250815_ETF_Options_Exhibits'!V1933:V1937),"")</f>
        <v/>
      </c>
      <c r="W1937" s="3">
        <f>IF(ISNUMBER(AVERAGE('20250815_ETF_Options_Exhibits'!W1933:W1937)),AVERAGE('20250815_ETF_Options_Exhibits'!W1933:W1937),"")</f>
        <v/>
      </c>
      <c r="X1937" s="3">
        <f>IF(ISNUMBER(AVERAGE('20250815_ETF_Options_Exhibits'!X1933:X1937)),AVERAGE('20250815_ETF_Options_Exhibits'!X1933:X1937),"")</f>
        <v/>
      </c>
      <c r="Y1937" s="3">
        <f>IF(ISNUMBER(AVERAGE('20250815_ETF_Options_Exhibits'!Y1933:Y1937)),AVERAGE('20250815_ETF_Options_Exhibits'!Y1933:Y1937),"")</f>
        <v/>
      </c>
      <c r="Z1937" s="3">
        <f>IF(ISNUMBER(AVERAGE('20250815_ETF_Options_Exhibits'!Z1933:Z1937)),AVERAGE('20250815_ETF_Options_Exhibits'!Z1933:Z1937),"")</f>
        <v/>
      </c>
      <c r="AA1937" s="3">
        <f>IF(ISNUMBER(AVERAGE('20250815_ETF_Options_Exhibits'!AA1933:AA1937)),AVERAGE('20250815_ETF_Options_Exhibits'!AA1933:AA1937),"")</f>
        <v/>
      </c>
    </row>
    <row r="1938">
      <c r="A1938" s="1" t="n">
        <v>44813</v>
      </c>
      <c r="B1938" s="3">
        <f>IF(ISNUMBER(AVERAGE('20250815_ETF_Options_Exhibits'!B1934:B1938)),AVERAGE('20250815_ETF_Options_Exhibits'!B1934:B1938),"")</f>
        <v/>
      </c>
      <c r="C1938" s="3">
        <f>IF(ISNUMBER(AVERAGE('20250815_ETF_Options_Exhibits'!C1934:C1938)),AVERAGE('20250815_ETF_Options_Exhibits'!C1934:C1938),"")</f>
        <v/>
      </c>
      <c r="D1938" s="3">
        <f>IF(ISNUMBER(AVERAGE('20250815_ETF_Options_Exhibits'!D1934:D1938)),AVERAGE('20250815_ETF_Options_Exhibits'!D1934:D1938),"")</f>
        <v/>
      </c>
      <c r="E1938" s="3">
        <f>IF(ISNUMBER(AVERAGE('20250815_ETF_Options_Exhibits'!E1934:E1938)),AVERAGE('20250815_ETF_Options_Exhibits'!E1934:E1938),"")</f>
        <v/>
      </c>
      <c r="F1938" s="3">
        <f>IF(ISNUMBER(AVERAGE('20250815_ETF_Options_Exhibits'!F1934:F1938)),AVERAGE('20250815_ETF_Options_Exhibits'!F1934:F1938),"")</f>
        <v/>
      </c>
      <c r="G1938" s="3">
        <f>IF(ISNUMBER(AVERAGE('20250815_ETF_Options_Exhibits'!G1934:G1938)),AVERAGE('20250815_ETF_Options_Exhibits'!G1934:G1938),"")</f>
        <v/>
      </c>
      <c r="H1938" s="3">
        <f>IF(ISNUMBER(AVERAGE('20250815_ETF_Options_Exhibits'!H1934:H1938)),AVERAGE('20250815_ETF_Options_Exhibits'!H1934:H1938),"")</f>
        <v/>
      </c>
      <c r="I1938" s="3">
        <f>IF(ISNUMBER(AVERAGE('20250815_ETF_Options_Exhibits'!I1934:I1938)),AVERAGE('20250815_ETF_Options_Exhibits'!I1934:I1938),"")</f>
        <v/>
      </c>
      <c r="J1938" s="3">
        <f>IF(ISNUMBER(AVERAGE('20250815_ETF_Options_Exhibits'!J1934:J1938)),AVERAGE('20250815_ETF_Options_Exhibits'!J1934:J1938),"")</f>
        <v/>
      </c>
      <c r="K1938" s="3">
        <f>IF(ISNUMBER(AVERAGE('20250815_ETF_Options_Exhibits'!K1934:K1938)),AVERAGE('20250815_ETF_Options_Exhibits'!K1934:K1938),"")</f>
        <v/>
      </c>
      <c r="L1938" s="3">
        <f>IF(ISNUMBER(AVERAGE('20250815_ETF_Options_Exhibits'!L1934:L1938)),AVERAGE('20250815_ETF_Options_Exhibits'!L1934:L1938),"")</f>
        <v/>
      </c>
      <c r="M1938" s="3">
        <f>IF(ISNUMBER(AVERAGE('20250815_ETF_Options_Exhibits'!M1934:M1938)),AVERAGE('20250815_ETF_Options_Exhibits'!M1934:M1938),"")</f>
        <v/>
      </c>
      <c r="N1938" s="3">
        <f>IF(ISNUMBER(AVERAGE('20250815_ETF_Options_Exhibits'!N1934:N1938)),AVERAGE('20250815_ETF_Options_Exhibits'!N1934:N1938),"")</f>
        <v/>
      </c>
      <c r="O1938" s="3">
        <f>IF(ISNUMBER(AVERAGE('20250815_ETF_Options_Exhibits'!O1934:O1938)),AVERAGE('20250815_ETF_Options_Exhibits'!O1934:O1938),"")</f>
        <v/>
      </c>
      <c r="P1938" s="3">
        <f>IF(ISNUMBER(AVERAGE('20250815_ETF_Options_Exhibits'!P1934:P1938)),AVERAGE('20250815_ETF_Options_Exhibits'!P1934:P1938),"")</f>
        <v/>
      </c>
      <c r="Q1938" s="3">
        <f>IF(ISNUMBER(AVERAGE('20250815_ETF_Options_Exhibits'!Q1934:Q1938)),AVERAGE('20250815_ETF_Options_Exhibits'!Q1934:Q1938),"")</f>
        <v/>
      </c>
      <c r="R1938" s="3">
        <f>IF(ISNUMBER(AVERAGE('20250815_ETF_Options_Exhibits'!R1934:R1938)),AVERAGE('20250815_ETF_Options_Exhibits'!R1934:R1938),"")</f>
        <v/>
      </c>
      <c r="S1938" s="3">
        <f>IF(ISNUMBER(AVERAGE('20250815_ETF_Options_Exhibits'!S1934:S1938)),AVERAGE('20250815_ETF_Options_Exhibits'!S1934:S1938),"")</f>
        <v/>
      </c>
      <c r="T1938" s="3">
        <f>IF(ISNUMBER(AVERAGE('20250815_ETF_Options_Exhibits'!T1934:T1938)),AVERAGE('20250815_ETF_Options_Exhibits'!T1934:T1938),"")</f>
        <v/>
      </c>
      <c r="U1938" s="3">
        <f>IF(ISNUMBER(AVERAGE('20250815_ETF_Options_Exhibits'!U1934:U1938)),AVERAGE('20250815_ETF_Options_Exhibits'!U1934:U1938),"")</f>
        <v/>
      </c>
      <c r="V1938" s="3">
        <f>IF(ISNUMBER(AVERAGE('20250815_ETF_Options_Exhibits'!V1934:V1938)),AVERAGE('20250815_ETF_Options_Exhibits'!V1934:V1938),"")</f>
        <v/>
      </c>
      <c r="W1938" s="3">
        <f>IF(ISNUMBER(AVERAGE('20250815_ETF_Options_Exhibits'!W1934:W1938)),AVERAGE('20250815_ETF_Options_Exhibits'!W1934:W1938),"")</f>
        <v/>
      </c>
      <c r="X1938" s="3">
        <f>IF(ISNUMBER(AVERAGE('20250815_ETF_Options_Exhibits'!X1934:X1938)),AVERAGE('20250815_ETF_Options_Exhibits'!X1934:X1938),"")</f>
        <v/>
      </c>
      <c r="Y1938" s="3">
        <f>IF(ISNUMBER(AVERAGE('20250815_ETF_Options_Exhibits'!Y1934:Y1938)),AVERAGE('20250815_ETF_Options_Exhibits'!Y1934:Y1938),"")</f>
        <v/>
      </c>
      <c r="Z1938" s="3">
        <f>IF(ISNUMBER(AVERAGE('20250815_ETF_Options_Exhibits'!Z1934:Z1938)),AVERAGE('20250815_ETF_Options_Exhibits'!Z1934:Z1938),"")</f>
        <v/>
      </c>
      <c r="AA1938" s="3">
        <f>IF(ISNUMBER(AVERAGE('20250815_ETF_Options_Exhibits'!AA1934:AA1938)),AVERAGE('20250815_ETF_Options_Exhibits'!AA1934:AA1938),"")</f>
        <v/>
      </c>
    </row>
    <row r="1939">
      <c r="A1939" s="1" t="n">
        <v>44816</v>
      </c>
      <c r="B1939" s="3">
        <f>IF(ISNUMBER(AVERAGE('20250815_ETF_Options_Exhibits'!B1935:B1939)),AVERAGE('20250815_ETF_Options_Exhibits'!B1935:B1939),"")</f>
        <v/>
      </c>
      <c r="C1939" s="3">
        <f>IF(ISNUMBER(AVERAGE('20250815_ETF_Options_Exhibits'!C1935:C1939)),AVERAGE('20250815_ETF_Options_Exhibits'!C1935:C1939),"")</f>
        <v/>
      </c>
      <c r="D1939" s="3">
        <f>IF(ISNUMBER(AVERAGE('20250815_ETF_Options_Exhibits'!D1935:D1939)),AVERAGE('20250815_ETF_Options_Exhibits'!D1935:D1939),"")</f>
        <v/>
      </c>
      <c r="E1939" s="3">
        <f>IF(ISNUMBER(AVERAGE('20250815_ETF_Options_Exhibits'!E1935:E1939)),AVERAGE('20250815_ETF_Options_Exhibits'!E1935:E1939),"")</f>
        <v/>
      </c>
      <c r="F1939" s="3">
        <f>IF(ISNUMBER(AVERAGE('20250815_ETF_Options_Exhibits'!F1935:F1939)),AVERAGE('20250815_ETF_Options_Exhibits'!F1935:F1939),"")</f>
        <v/>
      </c>
      <c r="G1939" s="3">
        <f>IF(ISNUMBER(AVERAGE('20250815_ETF_Options_Exhibits'!G1935:G1939)),AVERAGE('20250815_ETF_Options_Exhibits'!G1935:G1939),"")</f>
        <v/>
      </c>
      <c r="H1939" s="3">
        <f>IF(ISNUMBER(AVERAGE('20250815_ETF_Options_Exhibits'!H1935:H1939)),AVERAGE('20250815_ETF_Options_Exhibits'!H1935:H1939),"")</f>
        <v/>
      </c>
      <c r="I1939" s="3">
        <f>IF(ISNUMBER(AVERAGE('20250815_ETF_Options_Exhibits'!I1935:I1939)),AVERAGE('20250815_ETF_Options_Exhibits'!I1935:I1939),"")</f>
        <v/>
      </c>
      <c r="J1939" s="3">
        <f>IF(ISNUMBER(AVERAGE('20250815_ETF_Options_Exhibits'!J1935:J1939)),AVERAGE('20250815_ETF_Options_Exhibits'!J1935:J1939),"")</f>
        <v/>
      </c>
      <c r="K1939" s="3">
        <f>IF(ISNUMBER(AVERAGE('20250815_ETF_Options_Exhibits'!K1935:K1939)),AVERAGE('20250815_ETF_Options_Exhibits'!K1935:K1939),"")</f>
        <v/>
      </c>
      <c r="L1939" s="3">
        <f>IF(ISNUMBER(AVERAGE('20250815_ETF_Options_Exhibits'!L1935:L1939)),AVERAGE('20250815_ETF_Options_Exhibits'!L1935:L1939),"")</f>
        <v/>
      </c>
      <c r="M1939" s="3">
        <f>IF(ISNUMBER(AVERAGE('20250815_ETF_Options_Exhibits'!M1935:M1939)),AVERAGE('20250815_ETF_Options_Exhibits'!M1935:M1939),"")</f>
        <v/>
      </c>
      <c r="N1939" s="3">
        <f>IF(ISNUMBER(AVERAGE('20250815_ETF_Options_Exhibits'!N1935:N1939)),AVERAGE('20250815_ETF_Options_Exhibits'!N1935:N1939),"")</f>
        <v/>
      </c>
      <c r="O1939" s="3">
        <f>IF(ISNUMBER(AVERAGE('20250815_ETF_Options_Exhibits'!O1935:O1939)),AVERAGE('20250815_ETF_Options_Exhibits'!O1935:O1939),"")</f>
        <v/>
      </c>
      <c r="P1939" s="3">
        <f>IF(ISNUMBER(AVERAGE('20250815_ETF_Options_Exhibits'!P1935:P1939)),AVERAGE('20250815_ETF_Options_Exhibits'!P1935:P1939),"")</f>
        <v/>
      </c>
      <c r="Q1939" s="3">
        <f>IF(ISNUMBER(AVERAGE('20250815_ETF_Options_Exhibits'!Q1935:Q1939)),AVERAGE('20250815_ETF_Options_Exhibits'!Q1935:Q1939),"")</f>
        <v/>
      </c>
      <c r="R1939" s="3">
        <f>IF(ISNUMBER(AVERAGE('20250815_ETF_Options_Exhibits'!R1935:R1939)),AVERAGE('20250815_ETF_Options_Exhibits'!R1935:R1939),"")</f>
        <v/>
      </c>
      <c r="S1939" s="3">
        <f>IF(ISNUMBER(AVERAGE('20250815_ETF_Options_Exhibits'!S1935:S1939)),AVERAGE('20250815_ETF_Options_Exhibits'!S1935:S1939),"")</f>
        <v/>
      </c>
      <c r="T1939" s="3">
        <f>IF(ISNUMBER(AVERAGE('20250815_ETF_Options_Exhibits'!T1935:T1939)),AVERAGE('20250815_ETF_Options_Exhibits'!T1935:T1939),"")</f>
        <v/>
      </c>
      <c r="U1939" s="3">
        <f>IF(ISNUMBER(AVERAGE('20250815_ETF_Options_Exhibits'!U1935:U1939)),AVERAGE('20250815_ETF_Options_Exhibits'!U1935:U1939),"")</f>
        <v/>
      </c>
      <c r="V1939" s="3">
        <f>IF(ISNUMBER(AVERAGE('20250815_ETF_Options_Exhibits'!V1935:V1939)),AVERAGE('20250815_ETF_Options_Exhibits'!V1935:V1939),"")</f>
        <v/>
      </c>
      <c r="W1939" s="3">
        <f>IF(ISNUMBER(AVERAGE('20250815_ETF_Options_Exhibits'!W1935:W1939)),AVERAGE('20250815_ETF_Options_Exhibits'!W1935:W1939),"")</f>
        <v/>
      </c>
      <c r="X1939" s="3">
        <f>IF(ISNUMBER(AVERAGE('20250815_ETF_Options_Exhibits'!X1935:X1939)),AVERAGE('20250815_ETF_Options_Exhibits'!X1935:X1939),"")</f>
        <v/>
      </c>
      <c r="Y1939" s="3">
        <f>IF(ISNUMBER(AVERAGE('20250815_ETF_Options_Exhibits'!Y1935:Y1939)),AVERAGE('20250815_ETF_Options_Exhibits'!Y1935:Y1939),"")</f>
        <v/>
      </c>
      <c r="Z1939" s="3">
        <f>IF(ISNUMBER(AVERAGE('20250815_ETF_Options_Exhibits'!Z1935:Z1939)),AVERAGE('20250815_ETF_Options_Exhibits'!Z1935:Z1939),"")</f>
        <v/>
      </c>
      <c r="AA1939" s="3">
        <f>IF(ISNUMBER(AVERAGE('20250815_ETF_Options_Exhibits'!AA1935:AA1939)),AVERAGE('20250815_ETF_Options_Exhibits'!AA1935:AA1939),"")</f>
        <v/>
      </c>
    </row>
    <row r="1940">
      <c r="A1940" s="1" t="n">
        <v>44817</v>
      </c>
      <c r="B1940" s="3">
        <f>IF(ISNUMBER(AVERAGE('20250815_ETF_Options_Exhibits'!B1936:B1940)),AVERAGE('20250815_ETF_Options_Exhibits'!B1936:B1940),"")</f>
        <v/>
      </c>
      <c r="C1940" s="3">
        <f>IF(ISNUMBER(AVERAGE('20250815_ETF_Options_Exhibits'!C1936:C1940)),AVERAGE('20250815_ETF_Options_Exhibits'!C1936:C1940),"")</f>
        <v/>
      </c>
      <c r="D1940" s="3">
        <f>IF(ISNUMBER(AVERAGE('20250815_ETF_Options_Exhibits'!D1936:D1940)),AVERAGE('20250815_ETF_Options_Exhibits'!D1936:D1940),"")</f>
        <v/>
      </c>
      <c r="E1940" s="3">
        <f>IF(ISNUMBER(AVERAGE('20250815_ETF_Options_Exhibits'!E1936:E1940)),AVERAGE('20250815_ETF_Options_Exhibits'!E1936:E1940),"")</f>
        <v/>
      </c>
      <c r="F1940" s="3">
        <f>IF(ISNUMBER(AVERAGE('20250815_ETF_Options_Exhibits'!F1936:F1940)),AVERAGE('20250815_ETF_Options_Exhibits'!F1936:F1940),"")</f>
        <v/>
      </c>
      <c r="G1940" s="3">
        <f>IF(ISNUMBER(AVERAGE('20250815_ETF_Options_Exhibits'!G1936:G1940)),AVERAGE('20250815_ETF_Options_Exhibits'!G1936:G1940),"")</f>
        <v/>
      </c>
      <c r="H1940" s="3">
        <f>IF(ISNUMBER(AVERAGE('20250815_ETF_Options_Exhibits'!H1936:H1940)),AVERAGE('20250815_ETF_Options_Exhibits'!H1936:H1940),"")</f>
        <v/>
      </c>
      <c r="I1940" s="3">
        <f>IF(ISNUMBER(AVERAGE('20250815_ETF_Options_Exhibits'!I1936:I1940)),AVERAGE('20250815_ETF_Options_Exhibits'!I1936:I1940),"")</f>
        <v/>
      </c>
      <c r="J1940" s="3">
        <f>IF(ISNUMBER(AVERAGE('20250815_ETF_Options_Exhibits'!J1936:J1940)),AVERAGE('20250815_ETF_Options_Exhibits'!J1936:J1940),"")</f>
        <v/>
      </c>
      <c r="K1940" s="3">
        <f>IF(ISNUMBER(AVERAGE('20250815_ETF_Options_Exhibits'!K1936:K1940)),AVERAGE('20250815_ETF_Options_Exhibits'!K1936:K1940),"")</f>
        <v/>
      </c>
      <c r="L1940" s="3">
        <f>IF(ISNUMBER(AVERAGE('20250815_ETF_Options_Exhibits'!L1936:L1940)),AVERAGE('20250815_ETF_Options_Exhibits'!L1936:L1940),"")</f>
        <v/>
      </c>
      <c r="M1940" s="3">
        <f>IF(ISNUMBER(AVERAGE('20250815_ETF_Options_Exhibits'!M1936:M1940)),AVERAGE('20250815_ETF_Options_Exhibits'!M1936:M1940),"")</f>
        <v/>
      </c>
      <c r="N1940" s="3">
        <f>IF(ISNUMBER(AVERAGE('20250815_ETF_Options_Exhibits'!N1936:N1940)),AVERAGE('20250815_ETF_Options_Exhibits'!N1936:N1940),"")</f>
        <v/>
      </c>
      <c r="O1940" s="3">
        <f>IF(ISNUMBER(AVERAGE('20250815_ETF_Options_Exhibits'!O1936:O1940)),AVERAGE('20250815_ETF_Options_Exhibits'!O1936:O1940),"")</f>
        <v/>
      </c>
      <c r="P1940" s="3">
        <f>IF(ISNUMBER(AVERAGE('20250815_ETF_Options_Exhibits'!P1936:P1940)),AVERAGE('20250815_ETF_Options_Exhibits'!P1936:P1940),"")</f>
        <v/>
      </c>
      <c r="Q1940" s="3">
        <f>IF(ISNUMBER(AVERAGE('20250815_ETF_Options_Exhibits'!Q1936:Q1940)),AVERAGE('20250815_ETF_Options_Exhibits'!Q1936:Q1940),"")</f>
        <v/>
      </c>
      <c r="R1940" s="3">
        <f>IF(ISNUMBER(AVERAGE('20250815_ETF_Options_Exhibits'!R1936:R1940)),AVERAGE('20250815_ETF_Options_Exhibits'!R1936:R1940),"")</f>
        <v/>
      </c>
      <c r="S1940" s="3">
        <f>IF(ISNUMBER(AVERAGE('20250815_ETF_Options_Exhibits'!S1936:S1940)),AVERAGE('20250815_ETF_Options_Exhibits'!S1936:S1940),"")</f>
        <v/>
      </c>
      <c r="T1940" s="3">
        <f>IF(ISNUMBER(AVERAGE('20250815_ETF_Options_Exhibits'!T1936:T1940)),AVERAGE('20250815_ETF_Options_Exhibits'!T1936:T1940),"")</f>
        <v/>
      </c>
      <c r="U1940" s="3">
        <f>IF(ISNUMBER(AVERAGE('20250815_ETF_Options_Exhibits'!U1936:U1940)),AVERAGE('20250815_ETF_Options_Exhibits'!U1936:U1940),"")</f>
        <v/>
      </c>
      <c r="V1940" s="3">
        <f>IF(ISNUMBER(AVERAGE('20250815_ETF_Options_Exhibits'!V1936:V1940)),AVERAGE('20250815_ETF_Options_Exhibits'!V1936:V1940),"")</f>
        <v/>
      </c>
      <c r="W1940" s="3">
        <f>IF(ISNUMBER(AVERAGE('20250815_ETF_Options_Exhibits'!W1936:W1940)),AVERAGE('20250815_ETF_Options_Exhibits'!W1936:W1940),"")</f>
        <v/>
      </c>
      <c r="X1940" s="3">
        <f>IF(ISNUMBER(AVERAGE('20250815_ETF_Options_Exhibits'!X1936:X1940)),AVERAGE('20250815_ETF_Options_Exhibits'!X1936:X1940),"")</f>
        <v/>
      </c>
      <c r="Y1940" s="3">
        <f>IF(ISNUMBER(AVERAGE('20250815_ETF_Options_Exhibits'!Y1936:Y1940)),AVERAGE('20250815_ETF_Options_Exhibits'!Y1936:Y1940),"")</f>
        <v/>
      </c>
      <c r="Z1940" s="3">
        <f>IF(ISNUMBER(AVERAGE('20250815_ETF_Options_Exhibits'!Z1936:Z1940)),AVERAGE('20250815_ETF_Options_Exhibits'!Z1936:Z1940),"")</f>
        <v/>
      </c>
      <c r="AA1940" s="3">
        <f>IF(ISNUMBER(AVERAGE('20250815_ETF_Options_Exhibits'!AA1936:AA1940)),AVERAGE('20250815_ETF_Options_Exhibits'!AA1936:AA1940),"")</f>
        <v/>
      </c>
    </row>
    <row r="1941">
      <c r="A1941" s="1" t="n">
        <v>44818</v>
      </c>
      <c r="B1941" s="3">
        <f>IF(ISNUMBER(AVERAGE('20250815_ETF_Options_Exhibits'!B1937:B1941)),AVERAGE('20250815_ETF_Options_Exhibits'!B1937:B1941),"")</f>
        <v/>
      </c>
      <c r="C1941" s="3">
        <f>IF(ISNUMBER(AVERAGE('20250815_ETF_Options_Exhibits'!C1937:C1941)),AVERAGE('20250815_ETF_Options_Exhibits'!C1937:C1941),"")</f>
        <v/>
      </c>
      <c r="D1941" s="3">
        <f>IF(ISNUMBER(AVERAGE('20250815_ETF_Options_Exhibits'!D1937:D1941)),AVERAGE('20250815_ETF_Options_Exhibits'!D1937:D1941),"")</f>
        <v/>
      </c>
      <c r="E1941" s="3">
        <f>IF(ISNUMBER(AVERAGE('20250815_ETF_Options_Exhibits'!E1937:E1941)),AVERAGE('20250815_ETF_Options_Exhibits'!E1937:E1941),"")</f>
        <v/>
      </c>
      <c r="F1941" s="3">
        <f>IF(ISNUMBER(AVERAGE('20250815_ETF_Options_Exhibits'!F1937:F1941)),AVERAGE('20250815_ETF_Options_Exhibits'!F1937:F1941),"")</f>
        <v/>
      </c>
      <c r="G1941" s="3">
        <f>IF(ISNUMBER(AVERAGE('20250815_ETF_Options_Exhibits'!G1937:G1941)),AVERAGE('20250815_ETF_Options_Exhibits'!G1937:G1941),"")</f>
        <v/>
      </c>
      <c r="H1941" s="3">
        <f>IF(ISNUMBER(AVERAGE('20250815_ETF_Options_Exhibits'!H1937:H1941)),AVERAGE('20250815_ETF_Options_Exhibits'!H1937:H1941),"")</f>
        <v/>
      </c>
      <c r="I1941" s="3">
        <f>IF(ISNUMBER(AVERAGE('20250815_ETF_Options_Exhibits'!I1937:I1941)),AVERAGE('20250815_ETF_Options_Exhibits'!I1937:I1941),"")</f>
        <v/>
      </c>
      <c r="J1941" s="3">
        <f>IF(ISNUMBER(AVERAGE('20250815_ETF_Options_Exhibits'!J1937:J1941)),AVERAGE('20250815_ETF_Options_Exhibits'!J1937:J1941),"")</f>
        <v/>
      </c>
      <c r="K1941" s="3">
        <f>IF(ISNUMBER(AVERAGE('20250815_ETF_Options_Exhibits'!K1937:K1941)),AVERAGE('20250815_ETF_Options_Exhibits'!K1937:K1941),"")</f>
        <v/>
      </c>
      <c r="L1941" s="3">
        <f>IF(ISNUMBER(AVERAGE('20250815_ETF_Options_Exhibits'!L1937:L1941)),AVERAGE('20250815_ETF_Options_Exhibits'!L1937:L1941),"")</f>
        <v/>
      </c>
      <c r="M1941" s="3">
        <f>IF(ISNUMBER(AVERAGE('20250815_ETF_Options_Exhibits'!M1937:M1941)),AVERAGE('20250815_ETF_Options_Exhibits'!M1937:M1941),"")</f>
        <v/>
      </c>
      <c r="N1941" s="3">
        <f>IF(ISNUMBER(AVERAGE('20250815_ETF_Options_Exhibits'!N1937:N1941)),AVERAGE('20250815_ETF_Options_Exhibits'!N1937:N1941),"")</f>
        <v/>
      </c>
      <c r="O1941" s="3">
        <f>IF(ISNUMBER(AVERAGE('20250815_ETF_Options_Exhibits'!O1937:O1941)),AVERAGE('20250815_ETF_Options_Exhibits'!O1937:O1941),"")</f>
        <v/>
      </c>
      <c r="P1941" s="3">
        <f>IF(ISNUMBER(AVERAGE('20250815_ETF_Options_Exhibits'!P1937:P1941)),AVERAGE('20250815_ETF_Options_Exhibits'!P1937:P1941),"")</f>
        <v/>
      </c>
      <c r="Q1941" s="3">
        <f>IF(ISNUMBER(AVERAGE('20250815_ETF_Options_Exhibits'!Q1937:Q1941)),AVERAGE('20250815_ETF_Options_Exhibits'!Q1937:Q1941),"")</f>
        <v/>
      </c>
      <c r="R1941" s="3">
        <f>IF(ISNUMBER(AVERAGE('20250815_ETF_Options_Exhibits'!R1937:R1941)),AVERAGE('20250815_ETF_Options_Exhibits'!R1937:R1941),"")</f>
        <v/>
      </c>
      <c r="S1941" s="3">
        <f>IF(ISNUMBER(AVERAGE('20250815_ETF_Options_Exhibits'!S1937:S1941)),AVERAGE('20250815_ETF_Options_Exhibits'!S1937:S1941),"")</f>
        <v/>
      </c>
      <c r="T1941" s="3">
        <f>IF(ISNUMBER(AVERAGE('20250815_ETF_Options_Exhibits'!T1937:T1941)),AVERAGE('20250815_ETF_Options_Exhibits'!T1937:T1941),"")</f>
        <v/>
      </c>
      <c r="U1941" s="3">
        <f>IF(ISNUMBER(AVERAGE('20250815_ETF_Options_Exhibits'!U1937:U1941)),AVERAGE('20250815_ETF_Options_Exhibits'!U1937:U1941),"")</f>
        <v/>
      </c>
      <c r="V1941" s="3">
        <f>IF(ISNUMBER(AVERAGE('20250815_ETF_Options_Exhibits'!V1937:V1941)),AVERAGE('20250815_ETF_Options_Exhibits'!V1937:V1941),"")</f>
        <v/>
      </c>
      <c r="W1941" s="3">
        <f>IF(ISNUMBER(AVERAGE('20250815_ETF_Options_Exhibits'!W1937:W1941)),AVERAGE('20250815_ETF_Options_Exhibits'!W1937:W1941),"")</f>
        <v/>
      </c>
      <c r="X1941" s="3">
        <f>IF(ISNUMBER(AVERAGE('20250815_ETF_Options_Exhibits'!X1937:X1941)),AVERAGE('20250815_ETF_Options_Exhibits'!X1937:X1941),"")</f>
        <v/>
      </c>
      <c r="Y1941" s="3">
        <f>IF(ISNUMBER(AVERAGE('20250815_ETF_Options_Exhibits'!Y1937:Y1941)),AVERAGE('20250815_ETF_Options_Exhibits'!Y1937:Y1941),"")</f>
        <v/>
      </c>
      <c r="Z1941" s="3">
        <f>IF(ISNUMBER(AVERAGE('20250815_ETF_Options_Exhibits'!Z1937:Z1941)),AVERAGE('20250815_ETF_Options_Exhibits'!Z1937:Z1941),"")</f>
        <v/>
      </c>
      <c r="AA1941" s="3">
        <f>IF(ISNUMBER(AVERAGE('20250815_ETF_Options_Exhibits'!AA1937:AA1941)),AVERAGE('20250815_ETF_Options_Exhibits'!AA1937:AA1941),"")</f>
        <v/>
      </c>
    </row>
    <row r="1942">
      <c r="A1942" s="1" t="n">
        <v>44819</v>
      </c>
      <c r="B1942" s="3">
        <f>IF(ISNUMBER(AVERAGE('20250815_ETF_Options_Exhibits'!B1938:B1942)),AVERAGE('20250815_ETF_Options_Exhibits'!B1938:B1942),"")</f>
        <v/>
      </c>
      <c r="C1942" s="3">
        <f>IF(ISNUMBER(AVERAGE('20250815_ETF_Options_Exhibits'!C1938:C1942)),AVERAGE('20250815_ETF_Options_Exhibits'!C1938:C1942),"")</f>
        <v/>
      </c>
      <c r="D1942" s="3">
        <f>IF(ISNUMBER(AVERAGE('20250815_ETF_Options_Exhibits'!D1938:D1942)),AVERAGE('20250815_ETF_Options_Exhibits'!D1938:D1942),"")</f>
        <v/>
      </c>
      <c r="E1942" s="3">
        <f>IF(ISNUMBER(AVERAGE('20250815_ETF_Options_Exhibits'!E1938:E1942)),AVERAGE('20250815_ETF_Options_Exhibits'!E1938:E1942),"")</f>
        <v/>
      </c>
      <c r="F1942" s="3">
        <f>IF(ISNUMBER(AVERAGE('20250815_ETF_Options_Exhibits'!F1938:F1942)),AVERAGE('20250815_ETF_Options_Exhibits'!F1938:F1942),"")</f>
        <v/>
      </c>
      <c r="G1942" s="3">
        <f>IF(ISNUMBER(AVERAGE('20250815_ETF_Options_Exhibits'!G1938:G1942)),AVERAGE('20250815_ETF_Options_Exhibits'!G1938:G1942),"")</f>
        <v/>
      </c>
      <c r="H1942" s="3">
        <f>IF(ISNUMBER(AVERAGE('20250815_ETF_Options_Exhibits'!H1938:H1942)),AVERAGE('20250815_ETF_Options_Exhibits'!H1938:H1942),"")</f>
        <v/>
      </c>
      <c r="I1942" s="3">
        <f>IF(ISNUMBER(AVERAGE('20250815_ETF_Options_Exhibits'!I1938:I1942)),AVERAGE('20250815_ETF_Options_Exhibits'!I1938:I1942),"")</f>
        <v/>
      </c>
      <c r="J1942" s="3">
        <f>IF(ISNUMBER(AVERAGE('20250815_ETF_Options_Exhibits'!J1938:J1942)),AVERAGE('20250815_ETF_Options_Exhibits'!J1938:J1942),"")</f>
        <v/>
      </c>
      <c r="K1942" s="3">
        <f>IF(ISNUMBER(AVERAGE('20250815_ETF_Options_Exhibits'!K1938:K1942)),AVERAGE('20250815_ETF_Options_Exhibits'!K1938:K1942),"")</f>
        <v/>
      </c>
      <c r="L1942" s="3">
        <f>IF(ISNUMBER(AVERAGE('20250815_ETF_Options_Exhibits'!L1938:L1942)),AVERAGE('20250815_ETF_Options_Exhibits'!L1938:L1942),"")</f>
        <v/>
      </c>
      <c r="M1942" s="3">
        <f>IF(ISNUMBER(AVERAGE('20250815_ETF_Options_Exhibits'!M1938:M1942)),AVERAGE('20250815_ETF_Options_Exhibits'!M1938:M1942),"")</f>
        <v/>
      </c>
      <c r="N1942" s="3">
        <f>IF(ISNUMBER(AVERAGE('20250815_ETF_Options_Exhibits'!N1938:N1942)),AVERAGE('20250815_ETF_Options_Exhibits'!N1938:N1942),"")</f>
        <v/>
      </c>
      <c r="O1942" s="3">
        <f>IF(ISNUMBER(AVERAGE('20250815_ETF_Options_Exhibits'!O1938:O1942)),AVERAGE('20250815_ETF_Options_Exhibits'!O1938:O1942),"")</f>
        <v/>
      </c>
      <c r="P1942" s="3">
        <f>IF(ISNUMBER(AVERAGE('20250815_ETF_Options_Exhibits'!P1938:P1942)),AVERAGE('20250815_ETF_Options_Exhibits'!P1938:P1942),"")</f>
        <v/>
      </c>
      <c r="Q1942" s="3">
        <f>IF(ISNUMBER(AVERAGE('20250815_ETF_Options_Exhibits'!Q1938:Q1942)),AVERAGE('20250815_ETF_Options_Exhibits'!Q1938:Q1942),"")</f>
        <v/>
      </c>
      <c r="R1942" s="3">
        <f>IF(ISNUMBER(AVERAGE('20250815_ETF_Options_Exhibits'!R1938:R1942)),AVERAGE('20250815_ETF_Options_Exhibits'!R1938:R1942),"")</f>
        <v/>
      </c>
      <c r="S1942" s="3">
        <f>IF(ISNUMBER(AVERAGE('20250815_ETF_Options_Exhibits'!S1938:S1942)),AVERAGE('20250815_ETF_Options_Exhibits'!S1938:S1942),"")</f>
        <v/>
      </c>
      <c r="T1942" s="3">
        <f>IF(ISNUMBER(AVERAGE('20250815_ETF_Options_Exhibits'!T1938:T1942)),AVERAGE('20250815_ETF_Options_Exhibits'!T1938:T1942),"")</f>
        <v/>
      </c>
      <c r="U1942" s="3">
        <f>IF(ISNUMBER(AVERAGE('20250815_ETF_Options_Exhibits'!U1938:U1942)),AVERAGE('20250815_ETF_Options_Exhibits'!U1938:U1942),"")</f>
        <v/>
      </c>
      <c r="V1942" s="3">
        <f>IF(ISNUMBER(AVERAGE('20250815_ETF_Options_Exhibits'!V1938:V1942)),AVERAGE('20250815_ETF_Options_Exhibits'!V1938:V1942),"")</f>
        <v/>
      </c>
      <c r="W1942" s="3">
        <f>IF(ISNUMBER(AVERAGE('20250815_ETF_Options_Exhibits'!W1938:W1942)),AVERAGE('20250815_ETF_Options_Exhibits'!W1938:W1942),"")</f>
        <v/>
      </c>
      <c r="X1942" s="3">
        <f>IF(ISNUMBER(AVERAGE('20250815_ETF_Options_Exhibits'!X1938:X1942)),AVERAGE('20250815_ETF_Options_Exhibits'!X1938:X1942),"")</f>
        <v/>
      </c>
      <c r="Y1942" s="3">
        <f>IF(ISNUMBER(AVERAGE('20250815_ETF_Options_Exhibits'!Y1938:Y1942)),AVERAGE('20250815_ETF_Options_Exhibits'!Y1938:Y1942),"")</f>
        <v/>
      </c>
      <c r="Z1942" s="3">
        <f>IF(ISNUMBER(AVERAGE('20250815_ETF_Options_Exhibits'!Z1938:Z1942)),AVERAGE('20250815_ETF_Options_Exhibits'!Z1938:Z1942),"")</f>
        <v/>
      </c>
      <c r="AA1942" s="3">
        <f>IF(ISNUMBER(AVERAGE('20250815_ETF_Options_Exhibits'!AA1938:AA1942)),AVERAGE('20250815_ETF_Options_Exhibits'!AA1938:AA1942),"")</f>
        <v/>
      </c>
    </row>
    <row r="1943">
      <c r="A1943" s="1" t="n">
        <v>44820</v>
      </c>
      <c r="B1943" s="3">
        <f>IF(ISNUMBER(AVERAGE('20250815_ETF_Options_Exhibits'!B1939:B1943)),AVERAGE('20250815_ETF_Options_Exhibits'!B1939:B1943),"")</f>
        <v/>
      </c>
      <c r="C1943" s="3">
        <f>IF(ISNUMBER(AVERAGE('20250815_ETF_Options_Exhibits'!C1939:C1943)),AVERAGE('20250815_ETF_Options_Exhibits'!C1939:C1943),"")</f>
        <v/>
      </c>
      <c r="D1943" s="3">
        <f>IF(ISNUMBER(AVERAGE('20250815_ETF_Options_Exhibits'!D1939:D1943)),AVERAGE('20250815_ETF_Options_Exhibits'!D1939:D1943),"")</f>
        <v/>
      </c>
      <c r="E1943" s="3">
        <f>IF(ISNUMBER(AVERAGE('20250815_ETF_Options_Exhibits'!E1939:E1943)),AVERAGE('20250815_ETF_Options_Exhibits'!E1939:E1943),"")</f>
        <v/>
      </c>
      <c r="F1943" s="3">
        <f>IF(ISNUMBER(AVERAGE('20250815_ETF_Options_Exhibits'!F1939:F1943)),AVERAGE('20250815_ETF_Options_Exhibits'!F1939:F1943),"")</f>
        <v/>
      </c>
      <c r="G1943" s="3">
        <f>IF(ISNUMBER(AVERAGE('20250815_ETF_Options_Exhibits'!G1939:G1943)),AVERAGE('20250815_ETF_Options_Exhibits'!G1939:G1943),"")</f>
        <v/>
      </c>
      <c r="H1943" s="3">
        <f>IF(ISNUMBER(AVERAGE('20250815_ETF_Options_Exhibits'!H1939:H1943)),AVERAGE('20250815_ETF_Options_Exhibits'!H1939:H1943),"")</f>
        <v/>
      </c>
      <c r="I1943" s="3">
        <f>IF(ISNUMBER(AVERAGE('20250815_ETF_Options_Exhibits'!I1939:I1943)),AVERAGE('20250815_ETF_Options_Exhibits'!I1939:I1943),"")</f>
        <v/>
      </c>
      <c r="J1943" s="3">
        <f>IF(ISNUMBER(AVERAGE('20250815_ETF_Options_Exhibits'!J1939:J1943)),AVERAGE('20250815_ETF_Options_Exhibits'!J1939:J1943),"")</f>
        <v/>
      </c>
      <c r="K1943" s="3">
        <f>IF(ISNUMBER(AVERAGE('20250815_ETF_Options_Exhibits'!K1939:K1943)),AVERAGE('20250815_ETF_Options_Exhibits'!K1939:K1943),"")</f>
        <v/>
      </c>
      <c r="L1943" s="3">
        <f>IF(ISNUMBER(AVERAGE('20250815_ETF_Options_Exhibits'!L1939:L1943)),AVERAGE('20250815_ETF_Options_Exhibits'!L1939:L1943),"")</f>
        <v/>
      </c>
      <c r="M1943" s="3">
        <f>IF(ISNUMBER(AVERAGE('20250815_ETF_Options_Exhibits'!M1939:M1943)),AVERAGE('20250815_ETF_Options_Exhibits'!M1939:M1943),"")</f>
        <v/>
      </c>
      <c r="N1943" s="3">
        <f>IF(ISNUMBER(AVERAGE('20250815_ETF_Options_Exhibits'!N1939:N1943)),AVERAGE('20250815_ETF_Options_Exhibits'!N1939:N1943),"")</f>
        <v/>
      </c>
      <c r="O1943" s="3">
        <f>IF(ISNUMBER(AVERAGE('20250815_ETF_Options_Exhibits'!O1939:O1943)),AVERAGE('20250815_ETF_Options_Exhibits'!O1939:O1943),"")</f>
        <v/>
      </c>
      <c r="P1943" s="3">
        <f>IF(ISNUMBER(AVERAGE('20250815_ETF_Options_Exhibits'!P1939:P1943)),AVERAGE('20250815_ETF_Options_Exhibits'!P1939:P1943),"")</f>
        <v/>
      </c>
      <c r="Q1943" s="3">
        <f>IF(ISNUMBER(AVERAGE('20250815_ETF_Options_Exhibits'!Q1939:Q1943)),AVERAGE('20250815_ETF_Options_Exhibits'!Q1939:Q1943),"")</f>
        <v/>
      </c>
      <c r="R1943" s="3">
        <f>IF(ISNUMBER(AVERAGE('20250815_ETF_Options_Exhibits'!R1939:R1943)),AVERAGE('20250815_ETF_Options_Exhibits'!R1939:R1943),"")</f>
        <v/>
      </c>
      <c r="S1943" s="3">
        <f>IF(ISNUMBER(AVERAGE('20250815_ETF_Options_Exhibits'!S1939:S1943)),AVERAGE('20250815_ETF_Options_Exhibits'!S1939:S1943),"")</f>
        <v/>
      </c>
      <c r="T1943" s="3">
        <f>IF(ISNUMBER(AVERAGE('20250815_ETF_Options_Exhibits'!T1939:T1943)),AVERAGE('20250815_ETF_Options_Exhibits'!T1939:T1943),"")</f>
        <v/>
      </c>
      <c r="U1943" s="3">
        <f>IF(ISNUMBER(AVERAGE('20250815_ETF_Options_Exhibits'!U1939:U1943)),AVERAGE('20250815_ETF_Options_Exhibits'!U1939:U1943),"")</f>
        <v/>
      </c>
      <c r="V1943" s="3">
        <f>IF(ISNUMBER(AVERAGE('20250815_ETF_Options_Exhibits'!V1939:V1943)),AVERAGE('20250815_ETF_Options_Exhibits'!V1939:V1943),"")</f>
        <v/>
      </c>
      <c r="W1943" s="3">
        <f>IF(ISNUMBER(AVERAGE('20250815_ETF_Options_Exhibits'!W1939:W1943)),AVERAGE('20250815_ETF_Options_Exhibits'!W1939:W1943),"")</f>
        <v/>
      </c>
      <c r="X1943" s="3">
        <f>IF(ISNUMBER(AVERAGE('20250815_ETF_Options_Exhibits'!X1939:X1943)),AVERAGE('20250815_ETF_Options_Exhibits'!X1939:X1943),"")</f>
        <v/>
      </c>
      <c r="Y1943" s="3">
        <f>IF(ISNUMBER(AVERAGE('20250815_ETF_Options_Exhibits'!Y1939:Y1943)),AVERAGE('20250815_ETF_Options_Exhibits'!Y1939:Y1943),"")</f>
        <v/>
      </c>
      <c r="Z1943" s="3">
        <f>IF(ISNUMBER(AVERAGE('20250815_ETF_Options_Exhibits'!Z1939:Z1943)),AVERAGE('20250815_ETF_Options_Exhibits'!Z1939:Z1943),"")</f>
        <v/>
      </c>
      <c r="AA1943" s="3">
        <f>IF(ISNUMBER(AVERAGE('20250815_ETF_Options_Exhibits'!AA1939:AA1943)),AVERAGE('20250815_ETF_Options_Exhibits'!AA1939:AA1943),"")</f>
        <v/>
      </c>
    </row>
    <row r="1944">
      <c r="A1944" s="1" t="n">
        <v>44823</v>
      </c>
      <c r="B1944" s="3">
        <f>IF(ISNUMBER(AVERAGE('20250815_ETF_Options_Exhibits'!B1940:B1944)),AVERAGE('20250815_ETF_Options_Exhibits'!B1940:B1944),"")</f>
        <v/>
      </c>
      <c r="C1944" s="3">
        <f>IF(ISNUMBER(AVERAGE('20250815_ETF_Options_Exhibits'!C1940:C1944)),AVERAGE('20250815_ETF_Options_Exhibits'!C1940:C1944),"")</f>
        <v/>
      </c>
      <c r="D1944" s="3">
        <f>IF(ISNUMBER(AVERAGE('20250815_ETF_Options_Exhibits'!D1940:D1944)),AVERAGE('20250815_ETF_Options_Exhibits'!D1940:D1944),"")</f>
        <v/>
      </c>
      <c r="E1944" s="3">
        <f>IF(ISNUMBER(AVERAGE('20250815_ETF_Options_Exhibits'!E1940:E1944)),AVERAGE('20250815_ETF_Options_Exhibits'!E1940:E1944),"")</f>
        <v/>
      </c>
      <c r="F1944" s="3">
        <f>IF(ISNUMBER(AVERAGE('20250815_ETF_Options_Exhibits'!F1940:F1944)),AVERAGE('20250815_ETF_Options_Exhibits'!F1940:F1944),"")</f>
        <v/>
      </c>
      <c r="G1944" s="3">
        <f>IF(ISNUMBER(AVERAGE('20250815_ETF_Options_Exhibits'!G1940:G1944)),AVERAGE('20250815_ETF_Options_Exhibits'!G1940:G1944),"")</f>
        <v/>
      </c>
      <c r="H1944" s="3">
        <f>IF(ISNUMBER(AVERAGE('20250815_ETF_Options_Exhibits'!H1940:H1944)),AVERAGE('20250815_ETF_Options_Exhibits'!H1940:H1944),"")</f>
        <v/>
      </c>
      <c r="I1944" s="3">
        <f>IF(ISNUMBER(AVERAGE('20250815_ETF_Options_Exhibits'!I1940:I1944)),AVERAGE('20250815_ETF_Options_Exhibits'!I1940:I1944),"")</f>
        <v/>
      </c>
      <c r="J1944" s="3">
        <f>IF(ISNUMBER(AVERAGE('20250815_ETF_Options_Exhibits'!J1940:J1944)),AVERAGE('20250815_ETF_Options_Exhibits'!J1940:J1944),"")</f>
        <v/>
      </c>
      <c r="K1944" s="3">
        <f>IF(ISNUMBER(AVERAGE('20250815_ETF_Options_Exhibits'!K1940:K1944)),AVERAGE('20250815_ETF_Options_Exhibits'!K1940:K1944),"")</f>
        <v/>
      </c>
      <c r="L1944" s="3">
        <f>IF(ISNUMBER(AVERAGE('20250815_ETF_Options_Exhibits'!L1940:L1944)),AVERAGE('20250815_ETF_Options_Exhibits'!L1940:L1944),"")</f>
        <v/>
      </c>
      <c r="M1944" s="3">
        <f>IF(ISNUMBER(AVERAGE('20250815_ETF_Options_Exhibits'!M1940:M1944)),AVERAGE('20250815_ETF_Options_Exhibits'!M1940:M1944),"")</f>
        <v/>
      </c>
      <c r="N1944" s="3">
        <f>IF(ISNUMBER(AVERAGE('20250815_ETF_Options_Exhibits'!N1940:N1944)),AVERAGE('20250815_ETF_Options_Exhibits'!N1940:N1944),"")</f>
        <v/>
      </c>
      <c r="O1944" s="3">
        <f>IF(ISNUMBER(AVERAGE('20250815_ETF_Options_Exhibits'!O1940:O1944)),AVERAGE('20250815_ETF_Options_Exhibits'!O1940:O1944),"")</f>
        <v/>
      </c>
      <c r="P1944" s="3">
        <f>IF(ISNUMBER(AVERAGE('20250815_ETF_Options_Exhibits'!P1940:P1944)),AVERAGE('20250815_ETF_Options_Exhibits'!P1940:P1944),"")</f>
        <v/>
      </c>
      <c r="Q1944" s="3">
        <f>IF(ISNUMBER(AVERAGE('20250815_ETF_Options_Exhibits'!Q1940:Q1944)),AVERAGE('20250815_ETF_Options_Exhibits'!Q1940:Q1944),"")</f>
        <v/>
      </c>
      <c r="R1944" s="3">
        <f>IF(ISNUMBER(AVERAGE('20250815_ETF_Options_Exhibits'!R1940:R1944)),AVERAGE('20250815_ETF_Options_Exhibits'!R1940:R1944),"")</f>
        <v/>
      </c>
      <c r="S1944" s="3">
        <f>IF(ISNUMBER(AVERAGE('20250815_ETF_Options_Exhibits'!S1940:S1944)),AVERAGE('20250815_ETF_Options_Exhibits'!S1940:S1944),"")</f>
        <v/>
      </c>
      <c r="T1944" s="3">
        <f>IF(ISNUMBER(AVERAGE('20250815_ETF_Options_Exhibits'!T1940:T1944)),AVERAGE('20250815_ETF_Options_Exhibits'!T1940:T1944),"")</f>
        <v/>
      </c>
      <c r="U1944" s="3">
        <f>IF(ISNUMBER(AVERAGE('20250815_ETF_Options_Exhibits'!U1940:U1944)),AVERAGE('20250815_ETF_Options_Exhibits'!U1940:U1944),"")</f>
        <v/>
      </c>
      <c r="V1944" s="3">
        <f>IF(ISNUMBER(AVERAGE('20250815_ETF_Options_Exhibits'!V1940:V1944)),AVERAGE('20250815_ETF_Options_Exhibits'!V1940:V1944),"")</f>
        <v/>
      </c>
      <c r="W1944" s="3">
        <f>IF(ISNUMBER(AVERAGE('20250815_ETF_Options_Exhibits'!W1940:W1944)),AVERAGE('20250815_ETF_Options_Exhibits'!W1940:W1944),"")</f>
        <v/>
      </c>
      <c r="X1944" s="3">
        <f>IF(ISNUMBER(AVERAGE('20250815_ETF_Options_Exhibits'!X1940:X1944)),AVERAGE('20250815_ETF_Options_Exhibits'!X1940:X1944),"")</f>
        <v/>
      </c>
      <c r="Y1944" s="3">
        <f>IF(ISNUMBER(AVERAGE('20250815_ETF_Options_Exhibits'!Y1940:Y1944)),AVERAGE('20250815_ETF_Options_Exhibits'!Y1940:Y1944),"")</f>
        <v/>
      </c>
      <c r="Z1944" s="3">
        <f>IF(ISNUMBER(AVERAGE('20250815_ETF_Options_Exhibits'!Z1940:Z1944)),AVERAGE('20250815_ETF_Options_Exhibits'!Z1940:Z1944),"")</f>
        <v/>
      </c>
      <c r="AA1944" s="3">
        <f>IF(ISNUMBER(AVERAGE('20250815_ETF_Options_Exhibits'!AA1940:AA1944)),AVERAGE('20250815_ETF_Options_Exhibits'!AA1940:AA1944),"")</f>
        <v/>
      </c>
    </row>
    <row r="1945">
      <c r="A1945" s="1" t="n">
        <v>44824</v>
      </c>
      <c r="B1945" s="3">
        <f>IF(ISNUMBER(AVERAGE('20250815_ETF_Options_Exhibits'!B1941:B1945)),AVERAGE('20250815_ETF_Options_Exhibits'!B1941:B1945),"")</f>
        <v/>
      </c>
      <c r="C1945" s="3">
        <f>IF(ISNUMBER(AVERAGE('20250815_ETF_Options_Exhibits'!C1941:C1945)),AVERAGE('20250815_ETF_Options_Exhibits'!C1941:C1945),"")</f>
        <v/>
      </c>
      <c r="D1945" s="3">
        <f>IF(ISNUMBER(AVERAGE('20250815_ETF_Options_Exhibits'!D1941:D1945)),AVERAGE('20250815_ETF_Options_Exhibits'!D1941:D1945),"")</f>
        <v/>
      </c>
      <c r="E1945" s="3">
        <f>IF(ISNUMBER(AVERAGE('20250815_ETF_Options_Exhibits'!E1941:E1945)),AVERAGE('20250815_ETF_Options_Exhibits'!E1941:E1945),"")</f>
        <v/>
      </c>
      <c r="F1945" s="3">
        <f>IF(ISNUMBER(AVERAGE('20250815_ETF_Options_Exhibits'!F1941:F1945)),AVERAGE('20250815_ETF_Options_Exhibits'!F1941:F1945),"")</f>
        <v/>
      </c>
      <c r="G1945" s="3">
        <f>IF(ISNUMBER(AVERAGE('20250815_ETF_Options_Exhibits'!G1941:G1945)),AVERAGE('20250815_ETF_Options_Exhibits'!G1941:G1945),"")</f>
        <v/>
      </c>
      <c r="H1945" s="3">
        <f>IF(ISNUMBER(AVERAGE('20250815_ETF_Options_Exhibits'!H1941:H1945)),AVERAGE('20250815_ETF_Options_Exhibits'!H1941:H1945),"")</f>
        <v/>
      </c>
      <c r="I1945" s="3">
        <f>IF(ISNUMBER(AVERAGE('20250815_ETF_Options_Exhibits'!I1941:I1945)),AVERAGE('20250815_ETF_Options_Exhibits'!I1941:I1945),"")</f>
        <v/>
      </c>
      <c r="J1945" s="3">
        <f>IF(ISNUMBER(AVERAGE('20250815_ETF_Options_Exhibits'!J1941:J1945)),AVERAGE('20250815_ETF_Options_Exhibits'!J1941:J1945),"")</f>
        <v/>
      </c>
      <c r="K1945" s="3">
        <f>IF(ISNUMBER(AVERAGE('20250815_ETF_Options_Exhibits'!K1941:K1945)),AVERAGE('20250815_ETF_Options_Exhibits'!K1941:K1945),"")</f>
        <v/>
      </c>
      <c r="L1945" s="3">
        <f>IF(ISNUMBER(AVERAGE('20250815_ETF_Options_Exhibits'!L1941:L1945)),AVERAGE('20250815_ETF_Options_Exhibits'!L1941:L1945),"")</f>
        <v/>
      </c>
      <c r="M1945" s="3">
        <f>IF(ISNUMBER(AVERAGE('20250815_ETF_Options_Exhibits'!M1941:M1945)),AVERAGE('20250815_ETF_Options_Exhibits'!M1941:M1945),"")</f>
        <v/>
      </c>
      <c r="N1945" s="3">
        <f>IF(ISNUMBER(AVERAGE('20250815_ETF_Options_Exhibits'!N1941:N1945)),AVERAGE('20250815_ETF_Options_Exhibits'!N1941:N1945),"")</f>
        <v/>
      </c>
      <c r="O1945" s="3">
        <f>IF(ISNUMBER(AVERAGE('20250815_ETF_Options_Exhibits'!O1941:O1945)),AVERAGE('20250815_ETF_Options_Exhibits'!O1941:O1945),"")</f>
        <v/>
      </c>
      <c r="P1945" s="3">
        <f>IF(ISNUMBER(AVERAGE('20250815_ETF_Options_Exhibits'!P1941:P1945)),AVERAGE('20250815_ETF_Options_Exhibits'!P1941:P1945),"")</f>
        <v/>
      </c>
      <c r="Q1945" s="3">
        <f>IF(ISNUMBER(AVERAGE('20250815_ETF_Options_Exhibits'!Q1941:Q1945)),AVERAGE('20250815_ETF_Options_Exhibits'!Q1941:Q1945),"")</f>
        <v/>
      </c>
      <c r="R1945" s="3">
        <f>IF(ISNUMBER(AVERAGE('20250815_ETF_Options_Exhibits'!R1941:R1945)),AVERAGE('20250815_ETF_Options_Exhibits'!R1941:R1945),"")</f>
        <v/>
      </c>
      <c r="S1945" s="3">
        <f>IF(ISNUMBER(AVERAGE('20250815_ETF_Options_Exhibits'!S1941:S1945)),AVERAGE('20250815_ETF_Options_Exhibits'!S1941:S1945),"")</f>
        <v/>
      </c>
      <c r="T1945" s="3">
        <f>IF(ISNUMBER(AVERAGE('20250815_ETF_Options_Exhibits'!T1941:T1945)),AVERAGE('20250815_ETF_Options_Exhibits'!T1941:T1945),"")</f>
        <v/>
      </c>
      <c r="U1945" s="3">
        <f>IF(ISNUMBER(AVERAGE('20250815_ETF_Options_Exhibits'!U1941:U1945)),AVERAGE('20250815_ETF_Options_Exhibits'!U1941:U1945),"")</f>
        <v/>
      </c>
      <c r="V1945" s="3">
        <f>IF(ISNUMBER(AVERAGE('20250815_ETF_Options_Exhibits'!V1941:V1945)),AVERAGE('20250815_ETF_Options_Exhibits'!V1941:V1945),"")</f>
        <v/>
      </c>
      <c r="W1945" s="3">
        <f>IF(ISNUMBER(AVERAGE('20250815_ETF_Options_Exhibits'!W1941:W1945)),AVERAGE('20250815_ETF_Options_Exhibits'!W1941:W1945),"")</f>
        <v/>
      </c>
      <c r="X1945" s="3">
        <f>IF(ISNUMBER(AVERAGE('20250815_ETF_Options_Exhibits'!X1941:X1945)),AVERAGE('20250815_ETF_Options_Exhibits'!X1941:X1945),"")</f>
        <v/>
      </c>
      <c r="Y1945" s="3">
        <f>IF(ISNUMBER(AVERAGE('20250815_ETF_Options_Exhibits'!Y1941:Y1945)),AVERAGE('20250815_ETF_Options_Exhibits'!Y1941:Y1945),"")</f>
        <v/>
      </c>
      <c r="Z1945" s="3">
        <f>IF(ISNUMBER(AVERAGE('20250815_ETF_Options_Exhibits'!Z1941:Z1945)),AVERAGE('20250815_ETF_Options_Exhibits'!Z1941:Z1945),"")</f>
        <v/>
      </c>
      <c r="AA1945" s="3">
        <f>IF(ISNUMBER(AVERAGE('20250815_ETF_Options_Exhibits'!AA1941:AA1945)),AVERAGE('20250815_ETF_Options_Exhibits'!AA1941:AA1945),"")</f>
        <v/>
      </c>
    </row>
    <row r="1946">
      <c r="A1946" s="1" t="n">
        <v>44825</v>
      </c>
      <c r="B1946" s="3">
        <f>IF(ISNUMBER(AVERAGE('20250815_ETF_Options_Exhibits'!B1942:B1946)),AVERAGE('20250815_ETF_Options_Exhibits'!B1942:B1946),"")</f>
        <v/>
      </c>
      <c r="C1946" s="3">
        <f>IF(ISNUMBER(AVERAGE('20250815_ETF_Options_Exhibits'!C1942:C1946)),AVERAGE('20250815_ETF_Options_Exhibits'!C1942:C1946),"")</f>
        <v/>
      </c>
      <c r="D1946" s="3">
        <f>IF(ISNUMBER(AVERAGE('20250815_ETF_Options_Exhibits'!D1942:D1946)),AVERAGE('20250815_ETF_Options_Exhibits'!D1942:D1946),"")</f>
        <v/>
      </c>
      <c r="E1946" s="3">
        <f>IF(ISNUMBER(AVERAGE('20250815_ETF_Options_Exhibits'!E1942:E1946)),AVERAGE('20250815_ETF_Options_Exhibits'!E1942:E1946),"")</f>
        <v/>
      </c>
      <c r="F1946" s="3">
        <f>IF(ISNUMBER(AVERAGE('20250815_ETF_Options_Exhibits'!F1942:F1946)),AVERAGE('20250815_ETF_Options_Exhibits'!F1942:F1946),"")</f>
        <v/>
      </c>
      <c r="G1946" s="3">
        <f>IF(ISNUMBER(AVERAGE('20250815_ETF_Options_Exhibits'!G1942:G1946)),AVERAGE('20250815_ETF_Options_Exhibits'!G1942:G1946),"")</f>
        <v/>
      </c>
      <c r="H1946" s="3">
        <f>IF(ISNUMBER(AVERAGE('20250815_ETF_Options_Exhibits'!H1942:H1946)),AVERAGE('20250815_ETF_Options_Exhibits'!H1942:H1946),"")</f>
        <v/>
      </c>
      <c r="I1946" s="3">
        <f>IF(ISNUMBER(AVERAGE('20250815_ETF_Options_Exhibits'!I1942:I1946)),AVERAGE('20250815_ETF_Options_Exhibits'!I1942:I1946),"")</f>
        <v/>
      </c>
      <c r="J1946" s="3">
        <f>IF(ISNUMBER(AVERAGE('20250815_ETF_Options_Exhibits'!J1942:J1946)),AVERAGE('20250815_ETF_Options_Exhibits'!J1942:J1946),"")</f>
        <v/>
      </c>
      <c r="K1946" s="3">
        <f>IF(ISNUMBER(AVERAGE('20250815_ETF_Options_Exhibits'!K1942:K1946)),AVERAGE('20250815_ETF_Options_Exhibits'!K1942:K1946),"")</f>
        <v/>
      </c>
      <c r="L1946" s="3">
        <f>IF(ISNUMBER(AVERAGE('20250815_ETF_Options_Exhibits'!L1942:L1946)),AVERAGE('20250815_ETF_Options_Exhibits'!L1942:L1946),"")</f>
        <v/>
      </c>
      <c r="M1946" s="3">
        <f>IF(ISNUMBER(AVERAGE('20250815_ETF_Options_Exhibits'!M1942:M1946)),AVERAGE('20250815_ETF_Options_Exhibits'!M1942:M1946),"")</f>
        <v/>
      </c>
      <c r="N1946" s="3">
        <f>IF(ISNUMBER(AVERAGE('20250815_ETF_Options_Exhibits'!N1942:N1946)),AVERAGE('20250815_ETF_Options_Exhibits'!N1942:N1946),"")</f>
        <v/>
      </c>
      <c r="O1946" s="3">
        <f>IF(ISNUMBER(AVERAGE('20250815_ETF_Options_Exhibits'!O1942:O1946)),AVERAGE('20250815_ETF_Options_Exhibits'!O1942:O1946),"")</f>
        <v/>
      </c>
      <c r="P1946" s="3">
        <f>IF(ISNUMBER(AVERAGE('20250815_ETF_Options_Exhibits'!P1942:P1946)),AVERAGE('20250815_ETF_Options_Exhibits'!P1942:P1946),"")</f>
        <v/>
      </c>
      <c r="Q1946" s="3">
        <f>IF(ISNUMBER(AVERAGE('20250815_ETF_Options_Exhibits'!Q1942:Q1946)),AVERAGE('20250815_ETF_Options_Exhibits'!Q1942:Q1946),"")</f>
        <v/>
      </c>
      <c r="R1946" s="3">
        <f>IF(ISNUMBER(AVERAGE('20250815_ETF_Options_Exhibits'!R1942:R1946)),AVERAGE('20250815_ETF_Options_Exhibits'!R1942:R1946),"")</f>
        <v/>
      </c>
      <c r="S1946" s="3">
        <f>IF(ISNUMBER(AVERAGE('20250815_ETF_Options_Exhibits'!S1942:S1946)),AVERAGE('20250815_ETF_Options_Exhibits'!S1942:S1946),"")</f>
        <v/>
      </c>
      <c r="T1946" s="3">
        <f>IF(ISNUMBER(AVERAGE('20250815_ETF_Options_Exhibits'!T1942:T1946)),AVERAGE('20250815_ETF_Options_Exhibits'!T1942:T1946),"")</f>
        <v/>
      </c>
      <c r="U1946" s="3">
        <f>IF(ISNUMBER(AVERAGE('20250815_ETF_Options_Exhibits'!U1942:U1946)),AVERAGE('20250815_ETF_Options_Exhibits'!U1942:U1946),"")</f>
        <v/>
      </c>
      <c r="V1946" s="3">
        <f>IF(ISNUMBER(AVERAGE('20250815_ETF_Options_Exhibits'!V1942:V1946)),AVERAGE('20250815_ETF_Options_Exhibits'!V1942:V1946),"")</f>
        <v/>
      </c>
      <c r="W1946" s="3">
        <f>IF(ISNUMBER(AVERAGE('20250815_ETF_Options_Exhibits'!W1942:W1946)),AVERAGE('20250815_ETF_Options_Exhibits'!W1942:W1946),"")</f>
        <v/>
      </c>
      <c r="X1946" s="3">
        <f>IF(ISNUMBER(AVERAGE('20250815_ETF_Options_Exhibits'!X1942:X1946)),AVERAGE('20250815_ETF_Options_Exhibits'!X1942:X1946),"")</f>
        <v/>
      </c>
      <c r="Y1946" s="3">
        <f>IF(ISNUMBER(AVERAGE('20250815_ETF_Options_Exhibits'!Y1942:Y1946)),AVERAGE('20250815_ETF_Options_Exhibits'!Y1942:Y1946),"")</f>
        <v/>
      </c>
      <c r="Z1946" s="3">
        <f>IF(ISNUMBER(AVERAGE('20250815_ETF_Options_Exhibits'!Z1942:Z1946)),AVERAGE('20250815_ETF_Options_Exhibits'!Z1942:Z1946),"")</f>
        <v/>
      </c>
      <c r="AA1946" s="3">
        <f>IF(ISNUMBER(AVERAGE('20250815_ETF_Options_Exhibits'!AA1942:AA1946)),AVERAGE('20250815_ETF_Options_Exhibits'!AA1942:AA1946),"")</f>
        <v/>
      </c>
    </row>
    <row r="1947">
      <c r="A1947" s="1" t="n">
        <v>44826</v>
      </c>
      <c r="B1947" s="3">
        <f>IF(ISNUMBER(AVERAGE('20250815_ETF_Options_Exhibits'!B1943:B1947)),AVERAGE('20250815_ETF_Options_Exhibits'!B1943:B1947),"")</f>
        <v/>
      </c>
      <c r="C1947" s="3">
        <f>IF(ISNUMBER(AVERAGE('20250815_ETF_Options_Exhibits'!C1943:C1947)),AVERAGE('20250815_ETF_Options_Exhibits'!C1943:C1947),"")</f>
        <v/>
      </c>
      <c r="D1947" s="3">
        <f>IF(ISNUMBER(AVERAGE('20250815_ETF_Options_Exhibits'!D1943:D1947)),AVERAGE('20250815_ETF_Options_Exhibits'!D1943:D1947),"")</f>
        <v/>
      </c>
      <c r="E1947" s="3">
        <f>IF(ISNUMBER(AVERAGE('20250815_ETF_Options_Exhibits'!E1943:E1947)),AVERAGE('20250815_ETF_Options_Exhibits'!E1943:E1947),"")</f>
        <v/>
      </c>
      <c r="F1947" s="3">
        <f>IF(ISNUMBER(AVERAGE('20250815_ETF_Options_Exhibits'!F1943:F1947)),AVERAGE('20250815_ETF_Options_Exhibits'!F1943:F1947),"")</f>
        <v/>
      </c>
      <c r="G1947" s="3">
        <f>IF(ISNUMBER(AVERAGE('20250815_ETF_Options_Exhibits'!G1943:G1947)),AVERAGE('20250815_ETF_Options_Exhibits'!G1943:G1947),"")</f>
        <v/>
      </c>
      <c r="H1947" s="3">
        <f>IF(ISNUMBER(AVERAGE('20250815_ETF_Options_Exhibits'!H1943:H1947)),AVERAGE('20250815_ETF_Options_Exhibits'!H1943:H1947),"")</f>
        <v/>
      </c>
      <c r="I1947" s="3">
        <f>IF(ISNUMBER(AVERAGE('20250815_ETF_Options_Exhibits'!I1943:I1947)),AVERAGE('20250815_ETF_Options_Exhibits'!I1943:I1947),"")</f>
        <v/>
      </c>
      <c r="J1947" s="3">
        <f>IF(ISNUMBER(AVERAGE('20250815_ETF_Options_Exhibits'!J1943:J1947)),AVERAGE('20250815_ETF_Options_Exhibits'!J1943:J1947),"")</f>
        <v/>
      </c>
      <c r="K1947" s="3">
        <f>IF(ISNUMBER(AVERAGE('20250815_ETF_Options_Exhibits'!K1943:K1947)),AVERAGE('20250815_ETF_Options_Exhibits'!K1943:K1947),"")</f>
        <v/>
      </c>
      <c r="L1947" s="3">
        <f>IF(ISNUMBER(AVERAGE('20250815_ETF_Options_Exhibits'!L1943:L1947)),AVERAGE('20250815_ETF_Options_Exhibits'!L1943:L1947),"")</f>
        <v/>
      </c>
      <c r="M1947" s="3">
        <f>IF(ISNUMBER(AVERAGE('20250815_ETF_Options_Exhibits'!M1943:M1947)),AVERAGE('20250815_ETF_Options_Exhibits'!M1943:M1947),"")</f>
        <v/>
      </c>
      <c r="N1947" s="3">
        <f>IF(ISNUMBER(AVERAGE('20250815_ETF_Options_Exhibits'!N1943:N1947)),AVERAGE('20250815_ETF_Options_Exhibits'!N1943:N1947),"")</f>
        <v/>
      </c>
      <c r="O1947" s="3">
        <f>IF(ISNUMBER(AVERAGE('20250815_ETF_Options_Exhibits'!O1943:O1947)),AVERAGE('20250815_ETF_Options_Exhibits'!O1943:O1947),"")</f>
        <v/>
      </c>
      <c r="P1947" s="3">
        <f>IF(ISNUMBER(AVERAGE('20250815_ETF_Options_Exhibits'!P1943:P1947)),AVERAGE('20250815_ETF_Options_Exhibits'!P1943:P1947),"")</f>
        <v/>
      </c>
      <c r="Q1947" s="3">
        <f>IF(ISNUMBER(AVERAGE('20250815_ETF_Options_Exhibits'!Q1943:Q1947)),AVERAGE('20250815_ETF_Options_Exhibits'!Q1943:Q1947),"")</f>
        <v/>
      </c>
      <c r="R1947" s="3">
        <f>IF(ISNUMBER(AVERAGE('20250815_ETF_Options_Exhibits'!R1943:R1947)),AVERAGE('20250815_ETF_Options_Exhibits'!R1943:R1947),"")</f>
        <v/>
      </c>
      <c r="S1947" s="3">
        <f>IF(ISNUMBER(AVERAGE('20250815_ETF_Options_Exhibits'!S1943:S1947)),AVERAGE('20250815_ETF_Options_Exhibits'!S1943:S1947),"")</f>
        <v/>
      </c>
      <c r="T1947" s="3">
        <f>IF(ISNUMBER(AVERAGE('20250815_ETF_Options_Exhibits'!T1943:T1947)),AVERAGE('20250815_ETF_Options_Exhibits'!T1943:T1947),"")</f>
        <v/>
      </c>
      <c r="U1947" s="3">
        <f>IF(ISNUMBER(AVERAGE('20250815_ETF_Options_Exhibits'!U1943:U1947)),AVERAGE('20250815_ETF_Options_Exhibits'!U1943:U1947),"")</f>
        <v/>
      </c>
      <c r="V1947" s="3">
        <f>IF(ISNUMBER(AVERAGE('20250815_ETF_Options_Exhibits'!V1943:V1947)),AVERAGE('20250815_ETF_Options_Exhibits'!V1943:V1947),"")</f>
        <v/>
      </c>
      <c r="W1947" s="3">
        <f>IF(ISNUMBER(AVERAGE('20250815_ETF_Options_Exhibits'!W1943:W1947)),AVERAGE('20250815_ETF_Options_Exhibits'!W1943:W1947),"")</f>
        <v/>
      </c>
      <c r="X1947" s="3">
        <f>IF(ISNUMBER(AVERAGE('20250815_ETF_Options_Exhibits'!X1943:X1947)),AVERAGE('20250815_ETF_Options_Exhibits'!X1943:X1947),"")</f>
        <v/>
      </c>
      <c r="Y1947" s="3">
        <f>IF(ISNUMBER(AVERAGE('20250815_ETF_Options_Exhibits'!Y1943:Y1947)),AVERAGE('20250815_ETF_Options_Exhibits'!Y1943:Y1947),"")</f>
        <v/>
      </c>
      <c r="Z1947" s="3">
        <f>IF(ISNUMBER(AVERAGE('20250815_ETF_Options_Exhibits'!Z1943:Z1947)),AVERAGE('20250815_ETF_Options_Exhibits'!Z1943:Z1947),"")</f>
        <v/>
      </c>
      <c r="AA1947" s="3">
        <f>IF(ISNUMBER(AVERAGE('20250815_ETF_Options_Exhibits'!AA1943:AA1947)),AVERAGE('20250815_ETF_Options_Exhibits'!AA1943:AA1947),"")</f>
        <v/>
      </c>
    </row>
    <row r="1948">
      <c r="A1948" s="1" t="n">
        <v>44827</v>
      </c>
      <c r="B1948" s="3">
        <f>IF(ISNUMBER(AVERAGE('20250815_ETF_Options_Exhibits'!B1944:B1948)),AVERAGE('20250815_ETF_Options_Exhibits'!B1944:B1948),"")</f>
        <v/>
      </c>
      <c r="C1948" s="3">
        <f>IF(ISNUMBER(AVERAGE('20250815_ETF_Options_Exhibits'!C1944:C1948)),AVERAGE('20250815_ETF_Options_Exhibits'!C1944:C1948),"")</f>
        <v/>
      </c>
      <c r="D1948" s="3">
        <f>IF(ISNUMBER(AVERAGE('20250815_ETF_Options_Exhibits'!D1944:D1948)),AVERAGE('20250815_ETF_Options_Exhibits'!D1944:D1948),"")</f>
        <v/>
      </c>
      <c r="E1948" s="3">
        <f>IF(ISNUMBER(AVERAGE('20250815_ETF_Options_Exhibits'!E1944:E1948)),AVERAGE('20250815_ETF_Options_Exhibits'!E1944:E1948),"")</f>
        <v/>
      </c>
      <c r="F1948" s="3">
        <f>IF(ISNUMBER(AVERAGE('20250815_ETF_Options_Exhibits'!F1944:F1948)),AVERAGE('20250815_ETF_Options_Exhibits'!F1944:F1948),"")</f>
        <v/>
      </c>
      <c r="G1948" s="3">
        <f>IF(ISNUMBER(AVERAGE('20250815_ETF_Options_Exhibits'!G1944:G1948)),AVERAGE('20250815_ETF_Options_Exhibits'!G1944:G1948),"")</f>
        <v/>
      </c>
      <c r="H1948" s="3">
        <f>IF(ISNUMBER(AVERAGE('20250815_ETF_Options_Exhibits'!H1944:H1948)),AVERAGE('20250815_ETF_Options_Exhibits'!H1944:H1948),"")</f>
        <v/>
      </c>
      <c r="I1948" s="3">
        <f>IF(ISNUMBER(AVERAGE('20250815_ETF_Options_Exhibits'!I1944:I1948)),AVERAGE('20250815_ETF_Options_Exhibits'!I1944:I1948),"")</f>
        <v/>
      </c>
      <c r="J1948" s="3">
        <f>IF(ISNUMBER(AVERAGE('20250815_ETF_Options_Exhibits'!J1944:J1948)),AVERAGE('20250815_ETF_Options_Exhibits'!J1944:J1948),"")</f>
        <v/>
      </c>
      <c r="K1948" s="3">
        <f>IF(ISNUMBER(AVERAGE('20250815_ETF_Options_Exhibits'!K1944:K1948)),AVERAGE('20250815_ETF_Options_Exhibits'!K1944:K1948),"")</f>
        <v/>
      </c>
      <c r="L1948" s="3">
        <f>IF(ISNUMBER(AVERAGE('20250815_ETF_Options_Exhibits'!L1944:L1948)),AVERAGE('20250815_ETF_Options_Exhibits'!L1944:L1948),"")</f>
        <v/>
      </c>
      <c r="M1948" s="3">
        <f>IF(ISNUMBER(AVERAGE('20250815_ETF_Options_Exhibits'!M1944:M1948)),AVERAGE('20250815_ETF_Options_Exhibits'!M1944:M1948),"")</f>
        <v/>
      </c>
      <c r="N1948" s="3">
        <f>IF(ISNUMBER(AVERAGE('20250815_ETF_Options_Exhibits'!N1944:N1948)),AVERAGE('20250815_ETF_Options_Exhibits'!N1944:N1948),"")</f>
        <v/>
      </c>
      <c r="O1948" s="3">
        <f>IF(ISNUMBER(AVERAGE('20250815_ETF_Options_Exhibits'!O1944:O1948)),AVERAGE('20250815_ETF_Options_Exhibits'!O1944:O1948),"")</f>
        <v/>
      </c>
      <c r="P1948" s="3">
        <f>IF(ISNUMBER(AVERAGE('20250815_ETF_Options_Exhibits'!P1944:P1948)),AVERAGE('20250815_ETF_Options_Exhibits'!P1944:P1948),"")</f>
        <v/>
      </c>
      <c r="Q1948" s="3">
        <f>IF(ISNUMBER(AVERAGE('20250815_ETF_Options_Exhibits'!Q1944:Q1948)),AVERAGE('20250815_ETF_Options_Exhibits'!Q1944:Q1948),"")</f>
        <v/>
      </c>
      <c r="R1948" s="3">
        <f>IF(ISNUMBER(AVERAGE('20250815_ETF_Options_Exhibits'!R1944:R1948)),AVERAGE('20250815_ETF_Options_Exhibits'!R1944:R1948),"")</f>
        <v/>
      </c>
      <c r="S1948" s="3">
        <f>IF(ISNUMBER(AVERAGE('20250815_ETF_Options_Exhibits'!S1944:S1948)),AVERAGE('20250815_ETF_Options_Exhibits'!S1944:S1948),"")</f>
        <v/>
      </c>
      <c r="T1948" s="3">
        <f>IF(ISNUMBER(AVERAGE('20250815_ETF_Options_Exhibits'!T1944:T1948)),AVERAGE('20250815_ETF_Options_Exhibits'!T1944:T1948),"")</f>
        <v/>
      </c>
      <c r="U1948" s="3">
        <f>IF(ISNUMBER(AVERAGE('20250815_ETF_Options_Exhibits'!U1944:U1948)),AVERAGE('20250815_ETF_Options_Exhibits'!U1944:U1948),"")</f>
        <v/>
      </c>
      <c r="V1948" s="3">
        <f>IF(ISNUMBER(AVERAGE('20250815_ETF_Options_Exhibits'!V1944:V1948)),AVERAGE('20250815_ETF_Options_Exhibits'!V1944:V1948),"")</f>
        <v/>
      </c>
      <c r="W1948" s="3">
        <f>IF(ISNUMBER(AVERAGE('20250815_ETF_Options_Exhibits'!W1944:W1948)),AVERAGE('20250815_ETF_Options_Exhibits'!W1944:W1948),"")</f>
        <v/>
      </c>
      <c r="X1948" s="3">
        <f>IF(ISNUMBER(AVERAGE('20250815_ETF_Options_Exhibits'!X1944:X1948)),AVERAGE('20250815_ETF_Options_Exhibits'!X1944:X1948),"")</f>
        <v/>
      </c>
      <c r="Y1948" s="3">
        <f>IF(ISNUMBER(AVERAGE('20250815_ETF_Options_Exhibits'!Y1944:Y1948)),AVERAGE('20250815_ETF_Options_Exhibits'!Y1944:Y1948),"")</f>
        <v/>
      </c>
      <c r="Z1948" s="3">
        <f>IF(ISNUMBER(AVERAGE('20250815_ETF_Options_Exhibits'!Z1944:Z1948)),AVERAGE('20250815_ETF_Options_Exhibits'!Z1944:Z1948),"")</f>
        <v/>
      </c>
      <c r="AA1948" s="3">
        <f>IF(ISNUMBER(AVERAGE('20250815_ETF_Options_Exhibits'!AA1944:AA1948)),AVERAGE('20250815_ETF_Options_Exhibits'!AA1944:AA1948),"")</f>
        <v/>
      </c>
    </row>
    <row r="1949">
      <c r="A1949" s="1" t="n">
        <v>44830</v>
      </c>
      <c r="B1949" s="3">
        <f>IF(ISNUMBER(AVERAGE('20250815_ETF_Options_Exhibits'!B1945:B1949)),AVERAGE('20250815_ETF_Options_Exhibits'!B1945:B1949),"")</f>
        <v/>
      </c>
      <c r="C1949" s="3">
        <f>IF(ISNUMBER(AVERAGE('20250815_ETF_Options_Exhibits'!C1945:C1949)),AVERAGE('20250815_ETF_Options_Exhibits'!C1945:C1949),"")</f>
        <v/>
      </c>
      <c r="D1949" s="3">
        <f>IF(ISNUMBER(AVERAGE('20250815_ETF_Options_Exhibits'!D1945:D1949)),AVERAGE('20250815_ETF_Options_Exhibits'!D1945:D1949),"")</f>
        <v/>
      </c>
      <c r="E1949" s="3">
        <f>IF(ISNUMBER(AVERAGE('20250815_ETF_Options_Exhibits'!E1945:E1949)),AVERAGE('20250815_ETF_Options_Exhibits'!E1945:E1949),"")</f>
        <v/>
      </c>
      <c r="F1949" s="3">
        <f>IF(ISNUMBER(AVERAGE('20250815_ETF_Options_Exhibits'!F1945:F1949)),AVERAGE('20250815_ETF_Options_Exhibits'!F1945:F1949),"")</f>
        <v/>
      </c>
      <c r="G1949" s="3">
        <f>IF(ISNUMBER(AVERAGE('20250815_ETF_Options_Exhibits'!G1945:G1949)),AVERAGE('20250815_ETF_Options_Exhibits'!G1945:G1949),"")</f>
        <v/>
      </c>
      <c r="H1949" s="3">
        <f>IF(ISNUMBER(AVERAGE('20250815_ETF_Options_Exhibits'!H1945:H1949)),AVERAGE('20250815_ETF_Options_Exhibits'!H1945:H1949),"")</f>
        <v/>
      </c>
      <c r="I1949" s="3">
        <f>IF(ISNUMBER(AVERAGE('20250815_ETF_Options_Exhibits'!I1945:I1949)),AVERAGE('20250815_ETF_Options_Exhibits'!I1945:I1949),"")</f>
        <v/>
      </c>
      <c r="J1949" s="3">
        <f>IF(ISNUMBER(AVERAGE('20250815_ETF_Options_Exhibits'!J1945:J1949)),AVERAGE('20250815_ETF_Options_Exhibits'!J1945:J1949),"")</f>
        <v/>
      </c>
      <c r="K1949" s="3">
        <f>IF(ISNUMBER(AVERAGE('20250815_ETF_Options_Exhibits'!K1945:K1949)),AVERAGE('20250815_ETF_Options_Exhibits'!K1945:K1949),"")</f>
        <v/>
      </c>
      <c r="L1949" s="3">
        <f>IF(ISNUMBER(AVERAGE('20250815_ETF_Options_Exhibits'!L1945:L1949)),AVERAGE('20250815_ETF_Options_Exhibits'!L1945:L1949),"")</f>
        <v/>
      </c>
      <c r="M1949" s="3">
        <f>IF(ISNUMBER(AVERAGE('20250815_ETF_Options_Exhibits'!M1945:M1949)),AVERAGE('20250815_ETF_Options_Exhibits'!M1945:M1949),"")</f>
        <v/>
      </c>
      <c r="N1949" s="3">
        <f>IF(ISNUMBER(AVERAGE('20250815_ETF_Options_Exhibits'!N1945:N1949)),AVERAGE('20250815_ETF_Options_Exhibits'!N1945:N1949),"")</f>
        <v/>
      </c>
      <c r="O1949" s="3">
        <f>IF(ISNUMBER(AVERAGE('20250815_ETF_Options_Exhibits'!O1945:O1949)),AVERAGE('20250815_ETF_Options_Exhibits'!O1945:O1949),"")</f>
        <v/>
      </c>
      <c r="P1949" s="3">
        <f>IF(ISNUMBER(AVERAGE('20250815_ETF_Options_Exhibits'!P1945:P1949)),AVERAGE('20250815_ETF_Options_Exhibits'!P1945:P1949),"")</f>
        <v/>
      </c>
      <c r="Q1949" s="3">
        <f>IF(ISNUMBER(AVERAGE('20250815_ETF_Options_Exhibits'!Q1945:Q1949)),AVERAGE('20250815_ETF_Options_Exhibits'!Q1945:Q1949),"")</f>
        <v/>
      </c>
      <c r="R1949" s="3">
        <f>IF(ISNUMBER(AVERAGE('20250815_ETF_Options_Exhibits'!R1945:R1949)),AVERAGE('20250815_ETF_Options_Exhibits'!R1945:R1949),"")</f>
        <v/>
      </c>
      <c r="S1949" s="3">
        <f>IF(ISNUMBER(AVERAGE('20250815_ETF_Options_Exhibits'!S1945:S1949)),AVERAGE('20250815_ETF_Options_Exhibits'!S1945:S1949),"")</f>
        <v/>
      </c>
      <c r="T1949" s="3">
        <f>IF(ISNUMBER(AVERAGE('20250815_ETF_Options_Exhibits'!T1945:T1949)),AVERAGE('20250815_ETF_Options_Exhibits'!T1945:T1949),"")</f>
        <v/>
      </c>
      <c r="U1949" s="3">
        <f>IF(ISNUMBER(AVERAGE('20250815_ETF_Options_Exhibits'!U1945:U1949)),AVERAGE('20250815_ETF_Options_Exhibits'!U1945:U1949),"")</f>
        <v/>
      </c>
      <c r="V1949" s="3">
        <f>IF(ISNUMBER(AVERAGE('20250815_ETF_Options_Exhibits'!V1945:V1949)),AVERAGE('20250815_ETF_Options_Exhibits'!V1945:V1949),"")</f>
        <v/>
      </c>
      <c r="W1949" s="3">
        <f>IF(ISNUMBER(AVERAGE('20250815_ETF_Options_Exhibits'!W1945:W1949)),AVERAGE('20250815_ETF_Options_Exhibits'!W1945:W1949),"")</f>
        <v/>
      </c>
      <c r="X1949" s="3">
        <f>IF(ISNUMBER(AVERAGE('20250815_ETF_Options_Exhibits'!X1945:X1949)),AVERAGE('20250815_ETF_Options_Exhibits'!X1945:X1949),"")</f>
        <v/>
      </c>
      <c r="Y1949" s="3">
        <f>IF(ISNUMBER(AVERAGE('20250815_ETF_Options_Exhibits'!Y1945:Y1949)),AVERAGE('20250815_ETF_Options_Exhibits'!Y1945:Y1949),"")</f>
        <v/>
      </c>
      <c r="Z1949" s="3">
        <f>IF(ISNUMBER(AVERAGE('20250815_ETF_Options_Exhibits'!Z1945:Z1949)),AVERAGE('20250815_ETF_Options_Exhibits'!Z1945:Z1949),"")</f>
        <v/>
      </c>
      <c r="AA1949" s="3">
        <f>IF(ISNUMBER(AVERAGE('20250815_ETF_Options_Exhibits'!AA1945:AA1949)),AVERAGE('20250815_ETF_Options_Exhibits'!AA1945:AA1949),"")</f>
        <v/>
      </c>
    </row>
    <row r="1950">
      <c r="A1950" s="1" t="n">
        <v>44831</v>
      </c>
      <c r="B1950" s="3">
        <f>IF(ISNUMBER(AVERAGE('20250815_ETF_Options_Exhibits'!B1946:B1950)),AVERAGE('20250815_ETF_Options_Exhibits'!B1946:B1950),"")</f>
        <v/>
      </c>
      <c r="C1950" s="3">
        <f>IF(ISNUMBER(AVERAGE('20250815_ETF_Options_Exhibits'!C1946:C1950)),AVERAGE('20250815_ETF_Options_Exhibits'!C1946:C1950),"")</f>
        <v/>
      </c>
      <c r="D1950" s="3">
        <f>IF(ISNUMBER(AVERAGE('20250815_ETF_Options_Exhibits'!D1946:D1950)),AVERAGE('20250815_ETF_Options_Exhibits'!D1946:D1950),"")</f>
        <v/>
      </c>
      <c r="E1950" s="3">
        <f>IF(ISNUMBER(AVERAGE('20250815_ETF_Options_Exhibits'!E1946:E1950)),AVERAGE('20250815_ETF_Options_Exhibits'!E1946:E1950),"")</f>
        <v/>
      </c>
      <c r="F1950" s="3">
        <f>IF(ISNUMBER(AVERAGE('20250815_ETF_Options_Exhibits'!F1946:F1950)),AVERAGE('20250815_ETF_Options_Exhibits'!F1946:F1950),"")</f>
        <v/>
      </c>
      <c r="G1950" s="3">
        <f>IF(ISNUMBER(AVERAGE('20250815_ETF_Options_Exhibits'!G1946:G1950)),AVERAGE('20250815_ETF_Options_Exhibits'!G1946:G1950),"")</f>
        <v/>
      </c>
      <c r="H1950" s="3">
        <f>IF(ISNUMBER(AVERAGE('20250815_ETF_Options_Exhibits'!H1946:H1950)),AVERAGE('20250815_ETF_Options_Exhibits'!H1946:H1950),"")</f>
        <v/>
      </c>
      <c r="I1950" s="3">
        <f>IF(ISNUMBER(AVERAGE('20250815_ETF_Options_Exhibits'!I1946:I1950)),AVERAGE('20250815_ETF_Options_Exhibits'!I1946:I1950),"")</f>
        <v/>
      </c>
      <c r="J1950" s="3">
        <f>IF(ISNUMBER(AVERAGE('20250815_ETF_Options_Exhibits'!J1946:J1950)),AVERAGE('20250815_ETF_Options_Exhibits'!J1946:J1950),"")</f>
        <v/>
      </c>
      <c r="K1950" s="3">
        <f>IF(ISNUMBER(AVERAGE('20250815_ETF_Options_Exhibits'!K1946:K1950)),AVERAGE('20250815_ETF_Options_Exhibits'!K1946:K1950),"")</f>
        <v/>
      </c>
      <c r="L1950" s="3">
        <f>IF(ISNUMBER(AVERAGE('20250815_ETF_Options_Exhibits'!L1946:L1950)),AVERAGE('20250815_ETF_Options_Exhibits'!L1946:L1950),"")</f>
        <v/>
      </c>
      <c r="M1950" s="3">
        <f>IF(ISNUMBER(AVERAGE('20250815_ETF_Options_Exhibits'!M1946:M1950)),AVERAGE('20250815_ETF_Options_Exhibits'!M1946:M1950),"")</f>
        <v/>
      </c>
      <c r="N1950" s="3">
        <f>IF(ISNUMBER(AVERAGE('20250815_ETF_Options_Exhibits'!N1946:N1950)),AVERAGE('20250815_ETF_Options_Exhibits'!N1946:N1950),"")</f>
        <v/>
      </c>
      <c r="O1950" s="3">
        <f>IF(ISNUMBER(AVERAGE('20250815_ETF_Options_Exhibits'!O1946:O1950)),AVERAGE('20250815_ETF_Options_Exhibits'!O1946:O1950),"")</f>
        <v/>
      </c>
      <c r="P1950" s="3">
        <f>IF(ISNUMBER(AVERAGE('20250815_ETF_Options_Exhibits'!P1946:P1950)),AVERAGE('20250815_ETF_Options_Exhibits'!P1946:P1950),"")</f>
        <v/>
      </c>
      <c r="Q1950" s="3">
        <f>IF(ISNUMBER(AVERAGE('20250815_ETF_Options_Exhibits'!Q1946:Q1950)),AVERAGE('20250815_ETF_Options_Exhibits'!Q1946:Q1950),"")</f>
        <v/>
      </c>
      <c r="R1950" s="3">
        <f>IF(ISNUMBER(AVERAGE('20250815_ETF_Options_Exhibits'!R1946:R1950)),AVERAGE('20250815_ETF_Options_Exhibits'!R1946:R1950),"")</f>
        <v/>
      </c>
      <c r="S1950" s="3">
        <f>IF(ISNUMBER(AVERAGE('20250815_ETF_Options_Exhibits'!S1946:S1950)),AVERAGE('20250815_ETF_Options_Exhibits'!S1946:S1950),"")</f>
        <v/>
      </c>
      <c r="T1950" s="3">
        <f>IF(ISNUMBER(AVERAGE('20250815_ETF_Options_Exhibits'!T1946:T1950)),AVERAGE('20250815_ETF_Options_Exhibits'!T1946:T1950),"")</f>
        <v/>
      </c>
      <c r="U1950" s="3">
        <f>IF(ISNUMBER(AVERAGE('20250815_ETF_Options_Exhibits'!U1946:U1950)),AVERAGE('20250815_ETF_Options_Exhibits'!U1946:U1950),"")</f>
        <v/>
      </c>
      <c r="V1950" s="3">
        <f>IF(ISNUMBER(AVERAGE('20250815_ETF_Options_Exhibits'!V1946:V1950)),AVERAGE('20250815_ETF_Options_Exhibits'!V1946:V1950),"")</f>
        <v/>
      </c>
      <c r="W1950" s="3">
        <f>IF(ISNUMBER(AVERAGE('20250815_ETF_Options_Exhibits'!W1946:W1950)),AVERAGE('20250815_ETF_Options_Exhibits'!W1946:W1950),"")</f>
        <v/>
      </c>
      <c r="X1950" s="3">
        <f>IF(ISNUMBER(AVERAGE('20250815_ETF_Options_Exhibits'!X1946:X1950)),AVERAGE('20250815_ETF_Options_Exhibits'!X1946:X1950),"")</f>
        <v/>
      </c>
      <c r="Y1950" s="3">
        <f>IF(ISNUMBER(AVERAGE('20250815_ETF_Options_Exhibits'!Y1946:Y1950)),AVERAGE('20250815_ETF_Options_Exhibits'!Y1946:Y1950),"")</f>
        <v/>
      </c>
      <c r="Z1950" s="3">
        <f>IF(ISNUMBER(AVERAGE('20250815_ETF_Options_Exhibits'!Z1946:Z1950)),AVERAGE('20250815_ETF_Options_Exhibits'!Z1946:Z1950),"")</f>
        <v/>
      </c>
      <c r="AA1950" s="3">
        <f>IF(ISNUMBER(AVERAGE('20250815_ETF_Options_Exhibits'!AA1946:AA1950)),AVERAGE('20250815_ETF_Options_Exhibits'!AA1946:AA1950),"")</f>
        <v/>
      </c>
    </row>
    <row r="1951">
      <c r="A1951" s="1" t="n">
        <v>44832</v>
      </c>
      <c r="B1951" s="3">
        <f>IF(ISNUMBER(AVERAGE('20250815_ETF_Options_Exhibits'!B1947:B1951)),AVERAGE('20250815_ETF_Options_Exhibits'!B1947:B1951),"")</f>
        <v/>
      </c>
      <c r="C1951" s="3">
        <f>IF(ISNUMBER(AVERAGE('20250815_ETF_Options_Exhibits'!C1947:C1951)),AVERAGE('20250815_ETF_Options_Exhibits'!C1947:C1951),"")</f>
        <v/>
      </c>
      <c r="D1951" s="3">
        <f>IF(ISNUMBER(AVERAGE('20250815_ETF_Options_Exhibits'!D1947:D1951)),AVERAGE('20250815_ETF_Options_Exhibits'!D1947:D1951),"")</f>
        <v/>
      </c>
      <c r="E1951" s="3">
        <f>IF(ISNUMBER(AVERAGE('20250815_ETF_Options_Exhibits'!E1947:E1951)),AVERAGE('20250815_ETF_Options_Exhibits'!E1947:E1951),"")</f>
        <v/>
      </c>
      <c r="F1951" s="3">
        <f>IF(ISNUMBER(AVERAGE('20250815_ETF_Options_Exhibits'!F1947:F1951)),AVERAGE('20250815_ETF_Options_Exhibits'!F1947:F1951),"")</f>
        <v/>
      </c>
      <c r="G1951" s="3">
        <f>IF(ISNUMBER(AVERAGE('20250815_ETF_Options_Exhibits'!G1947:G1951)),AVERAGE('20250815_ETF_Options_Exhibits'!G1947:G1951),"")</f>
        <v/>
      </c>
      <c r="H1951" s="3">
        <f>IF(ISNUMBER(AVERAGE('20250815_ETF_Options_Exhibits'!H1947:H1951)),AVERAGE('20250815_ETF_Options_Exhibits'!H1947:H1951),"")</f>
        <v/>
      </c>
      <c r="I1951" s="3">
        <f>IF(ISNUMBER(AVERAGE('20250815_ETF_Options_Exhibits'!I1947:I1951)),AVERAGE('20250815_ETF_Options_Exhibits'!I1947:I1951),"")</f>
        <v/>
      </c>
      <c r="J1951" s="3">
        <f>IF(ISNUMBER(AVERAGE('20250815_ETF_Options_Exhibits'!J1947:J1951)),AVERAGE('20250815_ETF_Options_Exhibits'!J1947:J1951),"")</f>
        <v/>
      </c>
      <c r="K1951" s="3">
        <f>IF(ISNUMBER(AVERAGE('20250815_ETF_Options_Exhibits'!K1947:K1951)),AVERAGE('20250815_ETF_Options_Exhibits'!K1947:K1951),"")</f>
        <v/>
      </c>
      <c r="L1951" s="3">
        <f>IF(ISNUMBER(AVERAGE('20250815_ETF_Options_Exhibits'!L1947:L1951)),AVERAGE('20250815_ETF_Options_Exhibits'!L1947:L1951),"")</f>
        <v/>
      </c>
      <c r="M1951" s="3">
        <f>IF(ISNUMBER(AVERAGE('20250815_ETF_Options_Exhibits'!M1947:M1951)),AVERAGE('20250815_ETF_Options_Exhibits'!M1947:M1951),"")</f>
        <v/>
      </c>
      <c r="N1951" s="3">
        <f>IF(ISNUMBER(AVERAGE('20250815_ETF_Options_Exhibits'!N1947:N1951)),AVERAGE('20250815_ETF_Options_Exhibits'!N1947:N1951),"")</f>
        <v/>
      </c>
      <c r="O1951" s="3">
        <f>IF(ISNUMBER(AVERAGE('20250815_ETF_Options_Exhibits'!O1947:O1951)),AVERAGE('20250815_ETF_Options_Exhibits'!O1947:O1951),"")</f>
        <v/>
      </c>
      <c r="P1951" s="3">
        <f>IF(ISNUMBER(AVERAGE('20250815_ETF_Options_Exhibits'!P1947:P1951)),AVERAGE('20250815_ETF_Options_Exhibits'!P1947:P1951),"")</f>
        <v/>
      </c>
      <c r="Q1951" s="3">
        <f>IF(ISNUMBER(AVERAGE('20250815_ETF_Options_Exhibits'!Q1947:Q1951)),AVERAGE('20250815_ETF_Options_Exhibits'!Q1947:Q1951),"")</f>
        <v/>
      </c>
      <c r="R1951" s="3">
        <f>IF(ISNUMBER(AVERAGE('20250815_ETF_Options_Exhibits'!R1947:R1951)),AVERAGE('20250815_ETF_Options_Exhibits'!R1947:R1951),"")</f>
        <v/>
      </c>
      <c r="S1951" s="3">
        <f>IF(ISNUMBER(AVERAGE('20250815_ETF_Options_Exhibits'!S1947:S1951)),AVERAGE('20250815_ETF_Options_Exhibits'!S1947:S1951),"")</f>
        <v/>
      </c>
      <c r="T1951" s="3">
        <f>IF(ISNUMBER(AVERAGE('20250815_ETF_Options_Exhibits'!T1947:T1951)),AVERAGE('20250815_ETF_Options_Exhibits'!T1947:T1951),"")</f>
        <v/>
      </c>
      <c r="U1951" s="3">
        <f>IF(ISNUMBER(AVERAGE('20250815_ETF_Options_Exhibits'!U1947:U1951)),AVERAGE('20250815_ETF_Options_Exhibits'!U1947:U1951),"")</f>
        <v/>
      </c>
      <c r="V1951" s="3">
        <f>IF(ISNUMBER(AVERAGE('20250815_ETF_Options_Exhibits'!V1947:V1951)),AVERAGE('20250815_ETF_Options_Exhibits'!V1947:V1951),"")</f>
        <v/>
      </c>
      <c r="W1951" s="3">
        <f>IF(ISNUMBER(AVERAGE('20250815_ETF_Options_Exhibits'!W1947:W1951)),AVERAGE('20250815_ETF_Options_Exhibits'!W1947:W1951),"")</f>
        <v/>
      </c>
      <c r="X1951" s="3">
        <f>IF(ISNUMBER(AVERAGE('20250815_ETF_Options_Exhibits'!X1947:X1951)),AVERAGE('20250815_ETF_Options_Exhibits'!X1947:X1951),"")</f>
        <v/>
      </c>
      <c r="Y1951" s="3">
        <f>IF(ISNUMBER(AVERAGE('20250815_ETF_Options_Exhibits'!Y1947:Y1951)),AVERAGE('20250815_ETF_Options_Exhibits'!Y1947:Y1951),"")</f>
        <v/>
      </c>
      <c r="Z1951" s="3">
        <f>IF(ISNUMBER(AVERAGE('20250815_ETF_Options_Exhibits'!Z1947:Z1951)),AVERAGE('20250815_ETF_Options_Exhibits'!Z1947:Z1951),"")</f>
        <v/>
      </c>
      <c r="AA1951" s="3">
        <f>IF(ISNUMBER(AVERAGE('20250815_ETF_Options_Exhibits'!AA1947:AA1951)),AVERAGE('20250815_ETF_Options_Exhibits'!AA1947:AA1951),"")</f>
        <v/>
      </c>
    </row>
    <row r="1952">
      <c r="A1952" s="1" t="n">
        <v>44833</v>
      </c>
      <c r="B1952" s="3">
        <f>IF(ISNUMBER(AVERAGE('20250815_ETF_Options_Exhibits'!B1948:B1952)),AVERAGE('20250815_ETF_Options_Exhibits'!B1948:B1952),"")</f>
        <v/>
      </c>
      <c r="C1952" s="3">
        <f>IF(ISNUMBER(AVERAGE('20250815_ETF_Options_Exhibits'!C1948:C1952)),AVERAGE('20250815_ETF_Options_Exhibits'!C1948:C1952),"")</f>
        <v/>
      </c>
      <c r="D1952" s="3">
        <f>IF(ISNUMBER(AVERAGE('20250815_ETF_Options_Exhibits'!D1948:D1952)),AVERAGE('20250815_ETF_Options_Exhibits'!D1948:D1952),"")</f>
        <v/>
      </c>
      <c r="E1952" s="3">
        <f>IF(ISNUMBER(AVERAGE('20250815_ETF_Options_Exhibits'!E1948:E1952)),AVERAGE('20250815_ETF_Options_Exhibits'!E1948:E1952),"")</f>
        <v/>
      </c>
      <c r="F1952" s="3">
        <f>IF(ISNUMBER(AVERAGE('20250815_ETF_Options_Exhibits'!F1948:F1952)),AVERAGE('20250815_ETF_Options_Exhibits'!F1948:F1952),"")</f>
        <v/>
      </c>
      <c r="G1952" s="3">
        <f>IF(ISNUMBER(AVERAGE('20250815_ETF_Options_Exhibits'!G1948:G1952)),AVERAGE('20250815_ETF_Options_Exhibits'!G1948:G1952),"")</f>
        <v/>
      </c>
      <c r="H1952" s="3">
        <f>IF(ISNUMBER(AVERAGE('20250815_ETF_Options_Exhibits'!H1948:H1952)),AVERAGE('20250815_ETF_Options_Exhibits'!H1948:H1952),"")</f>
        <v/>
      </c>
      <c r="I1952" s="3">
        <f>IF(ISNUMBER(AVERAGE('20250815_ETF_Options_Exhibits'!I1948:I1952)),AVERAGE('20250815_ETF_Options_Exhibits'!I1948:I1952),"")</f>
        <v/>
      </c>
      <c r="J1952" s="3">
        <f>IF(ISNUMBER(AVERAGE('20250815_ETF_Options_Exhibits'!J1948:J1952)),AVERAGE('20250815_ETF_Options_Exhibits'!J1948:J1952),"")</f>
        <v/>
      </c>
      <c r="K1952" s="3">
        <f>IF(ISNUMBER(AVERAGE('20250815_ETF_Options_Exhibits'!K1948:K1952)),AVERAGE('20250815_ETF_Options_Exhibits'!K1948:K1952),"")</f>
        <v/>
      </c>
      <c r="L1952" s="3">
        <f>IF(ISNUMBER(AVERAGE('20250815_ETF_Options_Exhibits'!L1948:L1952)),AVERAGE('20250815_ETF_Options_Exhibits'!L1948:L1952),"")</f>
        <v/>
      </c>
      <c r="M1952" s="3">
        <f>IF(ISNUMBER(AVERAGE('20250815_ETF_Options_Exhibits'!M1948:M1952)),AVERAGE('20250815_ETF_Options_Exhibits'!M1948:M1952),"")</f>
        <v/>
      </c>
      <c r="N1952" s="3">
        <f>IF(ISNUMBER(AVERAGE('20250815_ETF_Options_Exhibits'!N1948:N1952)),AVERAGE('20250815_ETF_Options_Exhibits'!N1948:N1952),"")</f>
        <v/>
      </c>
      <c r="O1952" s="3">
        <f>IF(ISNUMBER(AVERAGE('20250815_ETF_Options_Exhibits'!O1948:O1952)),AVERAGE('20250815_ETF_Options_Exhibits'!O1948:O1952),"")</f>
        <v/>
      </c>
      <c r="P1952" s="3">
        <f>IF(ISNUMBER(AVERAGE('20250815_ETF_Options_Exhibits'!P1948:P1952)),AVERAGE('20250815_ETF_Options_Exhibits'!P1948:P1952),"")</f>
        <v/>
      </c>
      <c r="Q1952" s="3">
        <f>IF(ISNUMBER(AVERAGE('20250815_ETF_Options_Exhibits'!Q1948:Q1952)),AVERAGE('20250815_ETF_Options_Exhibits'!Q1948:Q1952),"")</f>
        <v/>
      </c>
      <c r="R1952" s="3">
        <f>IF(ISNUMBER(AVERAGE('20250815_ETF_Options_Exhibits'!R1948:R1952)),AVERAGE('20250815_ETF_Options_Exhibits'!R1948:R1952),"")</f>
        <v/>
      </c>
      <c r="S1952" s="3">
        <f>IF(ISNUMBER(AVERAGE('20250815_ETF_Options_Exhibits'!S1948:S1952)),AVERAGE('20250815_ETF_Options_Exhibits'!S1948:S1952),"")</f>
        <v/>
      </c>
      <c r="T1952" s="3">
        <f>IF(ISNUMBER(AVERAGE('20250815_ETF_Options_Exhibits'!T1948:T1952)),AVERAGE('20250815_ETF_Options_Exhibits'!T1948:T1952),"")</f>
        <v/>
      </c>
      <c r="U1952" s="3">
        <f>IF(ISNUMBER(AVERAGE('20250815_ETF_Options_Exhibits'!U1948:U1952)),AVERAGE('20250815_ETF_Options_Exhibits'!U1948:U1952),"")</f>
        <v/>
      </c>
      <c r="V1952" s="3">
        <f>IF(ISNUMBER(AVERAGE('20250815_ETF_Options_Exhibits'!V1948:V1952)),AVERAGE('20250815_ETF_Options_Exhibits'!V1948:V1952),"")</f>
        <v/>
      </c>
      <c r="W1952" s="3">
        <f>IF(ISNUMBER(AVERAGE('20250815_ETF_Options_Exhibits'!W1948:W1952)),AVERAGE('20250815_ETF_Options_Exhibits'!W1948:W1952),"")</f>
        <v/>
      </c>
      <c r="X1952" s="3">
        <f>IF(ISNUMBER(AVERAGE('20250815_ETF_Options_Exhibits'!X1948:X1952)),AVERAGE('20250815_ETF_Options_Exhibits'!X1948:X1952),"")</f>
        <v/>
      </c>
      <c r="Y1952" s="3">
        <f>IF(ISNUMBER(AVERAGE('20250815_ETF_Options_Exhibits'!Y1948:Y1952)),AVERAGE('20250815_ETF_Options_Exhibits'!Y1948:Y1952),"")</f>
        <v/>
      </c>
      <c r="Z1952" s="3">
        <f>IF(ISNUMBER(AVERAGE('20250815_ETF_Options_Exhibits'!Z1948:Z1952)),AVERAGE('20250815_ETF_Options_Exhibits'!Z1948:Z1952),"")</f>
        <v/>
      </c>
      <c r="AA1952" s="3">
        <f>IF(ISNUMBER(AVERAGE('20250815_ETF_Options_Exhibits'!AA1948:AA1952)),AVERAGE('20250815_ETF_Options_Exhibits'!AA1948:AA1952),"")</f>
        <v/>
      </c>
    </row>
    <row r="1953">
      <c r="A1953" s="1" t="n">
        <v>44834</v>
      </c>
      <c r="B1953" s="3">
        <f>IF(ISNUMBER(AVERAGE('20250815_ETF_Options_Exhibits'!B1949:B1953)),AVERAGE('20250815_ETF_Options_Exhibits'!B1949:B1953),"")</f>
        <v/>
      </c>
      <c r="C1953" s="3">
        <f>IF(ISNUMBER(AVERAGE('20250815_ETF_Options_Exhibits'!C1949:C1953)),AVERAGE('20250815_ETF_Options_Exhibits'!C1949:C1953),"")</f>
        <v/>
      </c>
      <c r="D1953" s="3">
        <f>IF(ISNUMBER(AVERAGE('20250815_ETF_Options_Exhibits'!D1949:D1953)),AVERAGE('20250815_ETF_Options_Exhibits'!D1949:D1953),"")</f>
        <v/>
      </c>
      <c r="E1953" s="3">
        <f>IF(ISNUMBER(AVERAGE('20250815_ETF_Options_Exhibits'!E1949:E1953)),AVERAGE('20250815_ETF_Options_Exhibits'!E1949:E1953),"")</f>
        <v/>
      </c>
      <c r="F1953" s="3">
        <f>IF(ISNUMBER(AVERAGE('20250815_ETF_Options_Exhibits'!F1949:F1953)),AVERAGE('20250815_ETF_Options_Exhibits'!F1949:F1953),"")</f>
        <v/>
      </c>
      <c r="G1953" s="3">
        <f>IF(ISNUMBER(AVERAGE('20250815_ETF_Options_Exhibits'!G1949:G1953)),AVERAGE('20250815_ETF_Options_Exhibits'!G1949:G1953),"")</f>
        <v/>
      </c>
      <c r="H1953" s="3">
        <f>IF(ISNUMBER(AVERAGE('20250815_ETF_Options_Exhibits'!H1949:H1953)),AVERAGE('20250815_ETF_Options_Exhibits'!H1949:H1953),"")</f>
        <v/>
      </c>
      <c r="I1953" s="3">
        <f>IF(ISNUMBER(AVERAGE('20250815_ETF_Options_Exhibits'!I1949:I1953)),AVERAGE('20250815_ETF_Options_Exhibits'!I1949:I1953),"")</f>
        <v/>
      </c>
      <c r="J1953" s="3">
        <f>IF(ISNUMBER(AVERAGE('20250815_ETF_Options_Exhibits'!J1949:J1953)),AVERAGE('20250815_ETF_Options_Exhibits'!J1949:J1953),"")</f>
        <v/>
      </c>
      <c r="K1953" s="3">
        <f>IF(ISNUMBER(AVERAGE('20250815_ETF_Options_Exhibits'!K1949:K1953)),AVERAGE('20250815_ETF_Options_Exhibits'!K1949:K1953),"")</f>
        <v/>
      </c>
      <c r="L1953" s="3">
        <f>IF(ISNUMBER(AVERAGE('20250815_ETF_Options_Exhibits'!L1949:L1953)),AVERAGE('20250815_ETF_Options_Exhibits'!L1949:L1953),"")</f>
        <v/>
      </c>
      <c r="M1953" s="3">
        <f>IF(ISNUMBER(AVERAGE('20250815_ETF_Options_Exhibits'!M1949:M1953)),AVERAGE('20250815_ETF_Options_Exhibits'!M1949:M1953),"")</f>
        <v/>
      </c>
      <c r="N1953" s="3">
        <f>IF(ISNUMBER(AVERAGE('20250815_ETF_Options_Exhibits'!N1949:N1953)),AVERAGE('20250815_ETF_Options_Exhibits'!N1949:N1953),"")</f>
        <v/>
      </c>
      <c r="O1953" s="3">
        <f>IF(ISNUMBER(AVERAGE('20250815_ETF_Options_Exhibits'!O1949:O1953)),AVERAGE('20250815_ETF_Options_Exhibits'!O1949:O1953),"")</f>
        <v/>
      </c>
      <c r="P1953" s="3">
        <f>IF(ISNUMBER(AVERAGE('20250815_ETF_Options_Exhibits'!P1949:P1953)),AVERAGE('20250815_ETF_Options_Exhibits'!P1949:P1953),"")</f>
        <v/>
      </c>
      <c r="Q1953" s="3">
        <f>IF(ISNUMBER(AVERAGE('20250815_ETF_Options_Exhibits'!Q1949:Q1953)),AVERAGE('20250815_ETF_Options_Exhibits'!Q1949:Q1953),"")</f>
        <v/>
      </c>
      <c r="R1953" s="3">
        <f>IF(ISNUMBER(AVERAGE('20250815_ETF_Options_Exhibits'!R1949:R1953)),AVERAGE('20250815_ETF_Options_Exhibits'!R1949:R1953),"")</f>
        <v/>
      </c>
      <c r="S1953" s="3">
        <f>IF(ISNUMBER(AVERAGE('20250815_ETF_Options_Exhibits'!S1949:S1953)),AVERAGE('20250815_ETF_Options_Exhibits'!S1949:S1953),"")</f>
        <v/>
      </c>
      <c r="T1953" s="3">
        <f>IF(ISNUMBER(AVERAGE('20250815_ETF_Options_Exhibits'!T1949:T1953)),AVERAGE('20250815_ETF_Options_Exhibits'!T1949:T1953),"")</f>
        <v/>
      </c>
      <c r="U1953" s="3">
        <f>IF(ISNUMBER(AVERAGE('20250815_ETF_Options_Exhibits'!U1949:U1953)),AVERAGE('20250815_ETF_Options_Exhibits'!U1949:U1953),"")</f>
        <v/>
      </c>
      <c r="V1953" s="3">
        <f>IF(ISNUMBER(AVERAGE('20250815_ETF_Options_Exhibits'!V1949:V1953)),AVERAGE('20250815_ETF_Options_Exhibits'!V1949:V1953),"")</f>
        <v/>
      </c>
      <c r="W1953" s="3">
        <f>IF(ISNUMBER(AVERAGE('20250815_ETF_Options_Exhibits'!W1949:W1953)),AVERAGE('20250815_ETF_Options_Exhibits'!W1949:W1953),"")</f>
        <v/>
      </c>
      <c r="X1953" s="3">
        <f>IF(ISNUMBER(AVERAGE('20250815_ETF_Options_Exhibits'!X1949:X1953)),AVERAGE('20250815_ETF_Options_Exhibits'!X1949:X1953),"")</f>
        <v/>
      </c>
      <c r="Y1953" s="3">
        <f>IF(ISNUMBER(AVERAGE('20250815_ETF_Options_Exhibits'!Y1949:Y1953)),AVERAGE('20250815_ETF_Options_Exhibits'!Y1949:Y1953),"")</f>
        <v/>
      </c>
      <c r="Z1953" s="3">
        <f>IF(ISNUMBER(AVERAGE('20250815_ETF_Options_Exhibits'!Z1949:Z1953)),AVERAGE('20250815_ETF_Options_Exhibits'!Z1949:Z1953),"")</f>
        <v/>
      </c>
      <c r="AA1953" s="3">
        <f>IF(ISNUMBER(AVERAGE('20250815_ETF_Options_Exhibits'!AA1949:AA1953)),AVERAGE('20250815_ETF_Options_Exhibits'!AA1949:AA1953),"")</f>
        <v/>
      </c>
    </row>
    <row r="1954">
      <c r="A1954" s="1" t="n">
        <v>44837</v>
      </c>
      <c r="B1954" s="3">
        <f>IF(ISNUMBER(AVERAGE('20250815_ETF_Options_Exhibits'!B1950:B1954)),AVERAGE('20250815_ETF_Options_Exhibits'!B1950:B1954),"")</f>
        <v/>
      </c>
      <c r="C1954" s="3">
        <f>IF(ISNUMBER(AVERAGE('20250815_ETF_Options_Exhibits'!C1950:C1954)),AVERAGE('20250815_ETF_Options_Exhibits'!C1950:C1954),"")</f>
        <v/>
      </c>
      <c r="D1954" s="3">
        <f>IF(ISNUMBER(AVERAGE('20250815_ETF_Options_Exhibits'!D1950:D1954)),AVERAGE('20250815_ETF_Options_Exhibits'!D1950:D1954),"")</f>
        <v/>
      </c>
      <c r="E1954" s="3">
        <f>IF(ISNUMBER(AVERAGE('20250815_ETF_Options_Exhibits'!E1950:E1954)),AVERAGE('20250815_ETF_Options_Exhibits'!E1950:E1954),"")</f>
        <v/>
      </c>
      <c r="F1954" s="3">
        <f>IF(ISNUMBER(AVERAGE('20250815_ETF_Options_Exhibits'!F1950:F1954)),AVERAGE('20250815_ETF_Options_Exhibits'!F1950:F1954),"")</f>
        <v/>
      </c>
      <c r="G1954" s="3">
        <f>IF(ISNUMBER(AVERAGE('20250815_ETF_Options_Exhibits'!G1950:G1954)),AVERAGE('20250815_ETF_Options_Exhibits'!G1950:G1954),"")</f>
        <v/>
      </c>
      <c r="H1954" s="3">
        <f>IF(ISNUMBER(AVERAGE('20250815_ETF_Options_Exhibits'!H1950:H1954)),AVERAGE('20250815_ETF_Options_Exhibits'!H1950:H1954),"")</f>
        <v/>
      </c>
      <c r="I1954" s="3">
        <f>IF(ISNUMBER(AVERAGE('20250815_ETF_Options_Exhibits'!I1950:I1954)),AVERAGE('20250815_ETF_Options_Exhibits'!I1950:I1954),"")</f>
        <v/>
      </c>
      <c r="J1954" s="3">
        <f>IF(ISNUMBER(AVERAGE('20250815_ETF_Options_Exhibits'!J1950:J1954)),AVERAGE('20250815_ETF_Options_Exhibits'!J1950:J1954),"")</f>
        <v/>
      </c>
      <c r="K1954" s="3">
        <f>IF(ISNUMBER(AVERAGE('20250815_ETF_Options_Exhibits'!K1950:K1954)),AVERAGE('20250815_ETF_Options_Exhibits'!K1950:K1954),"")</f>
        <v/>
      </c>
      <c r="L1954" s="3">
        <f>IF(ISNUMBER(AVERAGE('20250815_ETF_Options_Exhibits'!L1950:L1954)),AVERAGE('20250815_ETF_Options_Exhibits'!L1950:L1954),"")</f>
        <v/>
      </c>
      <c r="M1954" s="3">
        <f>IF(ISNUMBER(AVERAGE('20250815_ETF_Options_Exhibits'!M1950:M1954)),AVERAGE('20250815_ETF_Options_Exhibits'!M1950:M1954),"")</f>
        <v/>
      </c>
      <c r="N1954" s="3">
        <f>IF(ISNUMBER(AVERAGE('20250815_ETF_Options_Exhibits'!N1950:N1954)),AVERAGE('20250815_ETF_Options_Exhibits'!N1950:N1954),"")</f>
        <v/>
      </c>
      <c r="O1954" s="3">
        <f>IF(ISNUMBER(AVERAGE('20250815_ETF_Options_Exhibits'!O1950:O1954)),AVERAGE('20250815_ETF_Options_Exhibits'!O1950:O1954),"")</f>
        <v/>
      </c>
      <c r="P1954" s="3">
        <f>IF(ISNUMBER(AVERAGE('20250815_ETF_Options_Exhibits'!P1950:P1954)),AVERAGE('20250815_ETF_Options_Exhibits'!P1950:P1954),"")</f>
        <v/>
      </c>
      <c r="Q1954" s="3">
        <f>IF(ISNUMBER(AVERAGE('20250815_ETF_Options_Exhibits'!Q1950:Q1954)),AVERAGE('20250815_ETF_Options_Exhibits'!Q1950:Q1954),"")</f>
        <v/>
      </c>
      <c r="R1954" s="3">
        <f>IF(ISNUMBER(AVERAGE('20250815_ETF_Options_Exhibits'!R1950:R1954)),AVERAGE('20250815_ETF_Options_Exhibits'!R1950:R1954),"")</f>
        <v/>
      </c>
      <c r="S1954" s="3">
        <f>IF(ISNUMBER(AVERAGE('20250815_ETF_Options_Exhibits'!S1950:S1954)),AVERAGE('20250815_ETF_Options_Exhibits'!S1950:S1954),"")</f>
        <v/>
      </c>
      <c r="T1954" s="3">
        <f>IF(ISNUMBER(AVERAGE('20250815_ETF_Options_Exhibits'!T1950:T1954)),AVERAGE('20250815_ETF_Options_Exhibits'!T1950:T1954),"")</f>
        <v/>
      </c>
      <c r="U1954" s="3">
        <f>IF(ISNUMBER(AVERAGE('20250815_ETF_Options_Exhibits'!U1950:U1954)),AVERAGE('20250815_ETF_Options_Exhibits'!U1950:U1954),"")</f>
        <v/>
      </c>
      <c r="V1954" s="3">
        <f>IF(ISNUMBER(AVERAGE('20250815_ETF_Options_Exhibits'!V1950:V1954)),AVERAGE('20250815_ETF_Options_Exhibits'!V1950:V1954),"")</f>
        <v/>
      </c>
      <c r="W1954" s="3">
        <f>IF(ISNUMBER(AVERAGE('20250815_ETF_Options_Exhibits'!W1950:W1954)),AVERAGE('20250815_ETF_Options_Exhibits'!W1950:W1954),"")</f>
        <v/>
      </c>
      <c r="X1954" s="3">
        <f>IF(ISNUMBER(AVERAGE('20250815_ETF_Options_Exhibits'!X1950:X1954)),AVERAGE('20250815_ETF_Options_Exhibits'!X1950:X1954),"")</f>
        <v/>
      </c>
      <c r="Y1954" s="3">
        <f>IF(ISNUMBER(AVERAGE('20250815_ETF_Options_Exhibits'!Y1950:Y1954)),AVERAGE('20250815_ETF_Options_Exhibits'!Y1950:Y1954),"")</f>
        <v/>
      </c>
      <c r="Z1954" s="3">
        <f>IF(ISNUMBER(AVERAGE('20250815_ETF_Options_Exhibits'!Z1950:Z1954)),AVERAGE('20250815_ETF_Options_Exhibits'!Z1950:Z1954),"")</f>
        <v/>
      </c>
      <c r="AA1954" s="3">
        <f>IF(ISNUMBER(AVERAGE('20250815_ETF_Options_Exhibits'!AA1950:AA1954)),AVERAGE('20250815_ETF_Options_Exhibits'!AA1950:AA1954),"")</f>
        <v/>
      </c>
    </row>
    <row r="1955">
      <c r="A1955" s="1" t="n">
        <v>44838</v>
      </c>
      <c r="B1955" s="3">
        <f>IF(ISNUMBER(AVERAGE('20250815_ETF_Options_Exhibits'!B1951:B1955)),AVERAGE('20250815_ETF_Options_Exhibits'!B1951:B1955),"")</f>
        <v/>
      </c>
      <c r="C1955" s="3">
        <f>IF(ISNUMBER(AVERAGE('20250815_ETF_Options_Exhibits'!C1951:C1955)),AVERAGE('20250815_ETF_Options_Exhibits'!C1951:C1955),"")</f>
        <v/>
      </c>
      <c r="D1955" s="3">
        <f>IF(ISNUMBER(AVERAGE('20250815_ETF_Options_Exhibits'!D1951:D1955)),AVERAGE('20250815_ETF_Options_Exhibits'!D1951:D1955),"")</f>
        <v/>
      </c>
      <c r="E1955" s="3">
        <f>IF(ISNUMBER(AVERAGE('20250815_ETF_Options_Exhibits'!E1951:E1955)),AVERAGE('20250815_ETF_Options_Exhibits'!E1951:E1955),"")</f>
        <v/>
      </c>
      <c r="F1955" s="3">
        <f>IF(ISNUMBER(AVERAGE('20250815_ETF_Options_Exhibits'!F1951:F1955)),AVERAGE('20250815_ETF_Options_Exhibits'!F1951:F1955),"")</f>
        <v/>
      </c>
      <c r="G1955" s="3">
        <f>IF(ISNUMBER(AVERAGE('20250815_ETF_Options_Exhibits'!G1951:G1955)),AVERAGE('20250815_ETF_Options_Exhibits'!G1951:G1955),"")</f>
        <v/>
      </c>
      <c r="H1955" s="3">
        <f>IF(ISNUMBER(AVERAGE('20250815_ETF_Options_Exhibits'!H1951:H1955)),AVERAGE('20250815_ETF_Options_Exhibits'!H1951:H1955),"")</f>
        <v/>
      </c>
      <c r="I1955" s="3">
        <f>IF(ISNUMBER(AVERAGE('20250815_ETF_Options_Exhibits'!I1951:I1955)),AVERAGE('20250815_ETF_Options_Exhibits'!I1951:I1955),"")</f>
        <v/>
      </c>
      <c r="J1955" s="3">
        <f>IF(ISNUMBER(AVERAGE('20250815_ETF_Options_Exhibits'!J1951:J1955)),AVERAGE('20250815_ETF_Options_Exhibits'!J1951:J1955),"")</f>
        <v/>
      </c>
      <c r="K1955" s="3">
        <f>IF(ISNUMBER(AVERAGE('20250815_ETF_Options_Exhibits'!K1951:K1955)),AVERAGE('20250815_ETF_Options_Exhibits'!K1951:K1955),"")</f>
        <v/>
      </c>
      <c r="L1955" s="3">
        <f>IF(ISNUMBER(AVERAGE('20250815_ETF_Options_Exhibits'!L1951:L1955)),AVERAGE('20250815_ETF_Options_Exhibits'!L1951:L1955),"")</f>
        <v/>
      </c>
      <c r="M1955" s="3">
        <f>IF(ISNUMBER(AVERAGE('20250815_ETF_Options_Exhibits'!M1951:M1955)),AVERAGE('20250815_ETF_Options_Exhibits'!M1951:M1955),"")</f>
        <v/>
      </c>
      <c r="N1955" s="3">
        <f>IF(ISNUMBER(AVERAGE('20250815_ETF_Options_Exhibits'!N1951:N1955)),AVERAGE('20250815_ETF_Options_Exhibits'!N1951:N1955),"")</f>
        <v/>
      </c>
      <c r="O1955" s="3">
        <f>IF(ISNUMBER(AVERAGE('20250815_ETF_Options_Exhibits'!O1951:O1955)),AVERAGE('20250815_ETF_Options_Exhibits'!O1951:O1955),"")</f>
        <v/>
      </c>
      <c r="P1955" s="3">
        <f>IF(ISNUMBER(AVERAGE('20250815_ETF_Options_Exhibits'!P1951:P1955)),AVERAGE('20250815_ETF_Options_Exhibits'!P1951:P1955),"")</f>
        <v/>
      </c>
      <c r="Q1955" s="3">
        <f>IF(ISNUMBER(AVERAGE('20250815_ETF_Options_Exhibits'!Q1951:Q1955)),AVERAGE('20250815_ETF_Options_Exhibits'!Q1951:Q1955),"")</f>
        <v/>
      </c>
      <c r="R1955" s="3">
        <f>IF(ISNUMBER(AVERAGE('20250815_ETF_Options_Exhibits'!R1951:R1955)),AVERAGE('20250815_ETF_Options_Exhibits'!R1951:R1955),"")</f>
        <v/>
      </c>
      <c r="S1955" s="3">
        <f>IF(ISNUMBER(AVERAGE('20250815_ETF_Options_Exhibits'!S1951:S1955)),AVERAGE('20250815_ETF_Options_Exhibits'!S1951:S1955),"")</f>
        <v/>
      </c>
      <c r="T1955" s="3">
        <f>IF(ISNUMBER(AVERAGE('20250815_ETF_Options_Exhibits'!T1951:T1955)),AVERAGE('20250815_ETF_Options_Exhibits'!T1951:T1955),"")</f>
        <v/>
      </c>
      <c r="U1955" s="3">
        <f>IF(ISNUMBER(AVERAGE('20250815_ETF_Options_Exhibits'!U1951:U1955)),AVERAGE('20250815_ETF_Options_Exhibits'!U1951:U1955),"")</f>
        <v/>
      </c>
      <c r="V1955" s="3">
        <f>IF(ISNUMBER(AVERAGE('20250815_ETF_Options_Exhibits'!V1951:V1955)),AVERAGE('20250815_ETF_Options_Exhibits'!V1951:V1955),"")</f>
        <v/>
      </c>
      <c r="W1955" s="3">
        <f>IF(ISNUMBER(AVERAGE('20250815_ETF_Options_Exhibits'!W1951:W1955)),AVERAGE('20250815_ETF_Options_Exhibits'!W1951:W1955),"")</f>
        <v/>
      </c>
      <c r="X1955" s="3">
        <f>IF(ISNUMBER(AVERAGE('20250815_ETF_Options_Exhibits'!X1951:X1955)),AVERAGE('20250815_ETF_Options_Exhibits'!X1951:X1955),"")</f>
        <v/>
      </c>
      <c r="Y1955" s="3">
        <f>IF(ISNUMBER(AVERAGE('20250815_ETF_Options_Exhibits'!Y1951:Y1955)),AVERAGE('20250815_ETF_Options_Exhibits'!Y1951:Y1955),"")</f>
        <v/>
      </c>
      <c r="Z1955" s="3">
        <f>IF(ISNUMBER(AVERAGE('20250815_ETF_Options_Exhibits'!Z1951:Z1955)),AVERAGE('20250815_ETF_Options_Exhibits'!Z1951:Z1955),"")</f>
        <v/>
      </c>
      <c r="AA1955" s="3">
        <f>IF(ISNUMBER(AVERAGE('20250815_ETF_Options_Exhibits'!AA1951:AA1955)),AVERAGE('20250815_ETF_Options_Exhibits'!AA1951:AA1955),"")</f>
        <v/>
      </c>
    </row>
    <row r="1956">
      <c r="A1956" s="1" t="n">
        <v>44839</v>
      </c>
      <c r="B1956" s="3">
        <f>IF(ISNUMBER(AVERAGE('20250815_ETF_Options_Exhibits'!B1952:B1956)),AVERAGE('20250815_ETF_Options_Exhibits'!B1952:B1956),"")</f>
        <v/>
      </c>
      <c r="C1956" s="3">
        <f>IF(ISNUMBER(AVERAGE('20250815_ETF_Options_Exhibits'!C1952:C1956)),AVERAGE('20250815_ETF_Options_Exhibits'!C1952:C1956),"")</f>
        <v/>
      </c>
      <c r="D1956" s="3">
        <f>IF(ISNUMBER(AVERAGE('20250815_ETF_Options_Exhibits'!D1952:D1956)),AVERAGE('20250815_ETF_Options_Exhibits'!D1952:D1956),"")</f>
        <v/>
      </c>
      <c r="E1956" s="3">
        <f>IF(ISNUMBER(AVERAGE('20250815_ETF_Options_Exhibits'!E1952:E1956)),AVERAGE('20250815_ETF_Options_Exhibits'!E1952:E1956),"")</f>
        <v/>
      </c>
      <c r="F1956" s="3">
        <f>IF(ISNUMBER(AVERAGE('20250815_ETF_Options_Exhibits'!F1952:F1956)),AVERAGE('20250815_ETF_Options_Exhibits'!F1952:F1956),"")</f>
        <v/>
      </c>
      <c r="G1956" s="3">
        <f>IF(ISNUMBER(AVERAGE('20250815_ETF_Options_Exhibits'!G1952:G1956)),AVERAGE('20250815_ETF_Options_Exhibits'!G1952:G1956),"")</f>
        <v/>
      </c>
      <c r="H1956" s="3">
        <f>IF(ISNUMBER(AVERAGE('20250815_ETF_Options_Exhibits'!H1952:H1956)),AVERAGE('20250815_ETF_Options_Exhibits'!H1952:H1956),"")</f>
        <v/>
      </c>
      <c r="I1956" s="3">
        <f>IF(ISNUMBER(AVERAGE('20250815_ETF_Options_Exhibits'!I1952:I1956)),AVERAGE('20250815_ETF_Options_Exhibits'!I1952:I1956),"")</f>
        <v/>
      </c>
      <c r="J1956" s="3">
        <f>IF(ISNUMBER(AVERAGE('20250815_ETF_Options_Exhibits'!J1952:J1956)),AVERAGE('20250815_ETF_Options_Exhibits'!J1952:J1956),"")</f>
        <v/>
      </c>
      <c r="K1956" s="3">
        <f>IF(ISNUMBER(AVERAGE('20250815_ETF_Options_Exhibits'!K1952:K1956)),AVERAGE('20250815_ETF_Options_Exhibits'!K1952:K1956),"")</f>
        <v/>
      </c>
      <c r="L1956" s="3">
        <f>IF(ISNUMBER(AVERAGE('20250815_ETF_Options_Exhibits'!L1952:L1956)),AVERAGE('20250815_ETF_Options_Exhibits'!L1952:L1956),"")</f>
        <v/>
      </c>
      <c r="M1956" s="3">
        <f>IF(ISNUMBER(AVERAGE('20250815_ETF_Options_Exhibits'!M1952:M1956)),AVERAGE('20250815_ETF_Options_Exhibits'!M1952:M1956),"")</f>
        <v/>
      </c>
      <c r="N1956" s="3">
        <f>IF(ISNUMBER(AVERAGE('20250815_ETF_Options_Exhibits'!N1952:N1956)),AVERAGE('20250815_ETF_Options_Exhibits'!N1952:N1956),"")</f>
        <v/>
      </c>
      <c r="O1956" s="3">
        <f>IF(ISNUMBER(AVERAGE('20250815_ETF_Options_Exhibits'!O1952:O1956)),AVERAGE('20250815_ETF_Options_Exhibits'!O1952:O1956),"")</f>
        <v/>
      </c>
      <c r="P1956" s="3">
        <f>IF(ISNUMBER(AVERAGE('20250815_ETF_Options_Exhibits'!P1952:P1956)),AVERAGE('20250815_ETF_Options_Exhibits'!P1952:P1956),"")</f>
        <v/>
      </c>
      <c r="Q1956" s="3">
        <f>IF(ISNUMBER(AVERAGE('20250815_ETF_Options_Exhibits'!Q1952:Q1956)),AVERAGE('20250815_ETF_Options_Exhibits'!Q1952:Q1956),"")</f>
        <v/>
      </c>
      <c r="R1956" s="3">
        <f>IF(ISNUMBER(AVERAGE('20250815_ETF_Options_Exhibits'!R1952:R1956)),AVERAGE('20250815_ETF_Options_Exhibits'!R1952:R1956),"")</f>
        <v/>
      </c>
      <c r="S1956" s="3">
        <f>IF(ISNUMBER(AVERAGE('20250815_ETF_Options_Exhibits'!S1952:S1956)),AVERAGE('20250815_ETF_Options_Exhibits'!S1952:S1956),"")</f>
        <v/>
      </c>
      <c r="T1956" s="3">
        <f>IF(ISNUMBER(AVERAGE('20250815_ETF_Options_Exhibits'!T1952:T1956)),AVERAGE('20250815_ETF_Options_Exhibits'!T1952:T1956),"")</f>
        <v/>
      </c>
      <c r="U1956" s="3">
        <f>IF(ISNUMBER(AVERAGE('20250815_ETF_Options_Exhibits'!U1952:U1956)),AVERAGE('20250815_ETF_Options_Exhibits'!U1952:U1956),"")</f>
        <v/>
      </c>
      <c r="V1956" s="3">
        <f>IF(ISNUMBER(AVERAGE('20250815_ETF_Options_Exhibits'!V1952:V1956)),AVERAGE('20250815_ETF_Options_Exhibits'!V1952:V1956),"")</f>
        <v/>
      </c>
      <c r="W1956" s="3">
        <f>IF(ISNUMBER(AVERAGE('20250815_ETF_Options_Exhibits'!W1952:W1956)),AVERAGE('20250815_ETF_Options_Exhibits'!W1952:W1956),"")</f>
        <v/>
      </c>
      <c r="X1956" s="3">
        <f>IF(ISNUMBER(AVERAGE('20250815_ETF_Options_Exhibits'!X1952:X1956)),AVERAGE('20250815_ETF_Options_Exhibits'!X1952:X1956),"")</f>
        <v/>
      </c>
      <c r="Y1956" s="3">
        <f>IF(ISNUMBER(AVERAGE('20250815_ETF_Options_Exhibits'!Y1952:Y1956)),AVERAGE('20250815_ETF_Options_Exhibits'!Y1952:Y1956),"")</f>
        <v/>
      </c>
      <c r="Z1956" s="3">
        <f>IF(ISNUMBER(AVERAGE('20250815_ETF_Options_Exhibits'!Z1952:Z1956)),AVERAGE('20250815_ETF_Options_Exhibits'!Z1952:Z1956),"")</f>
        <v/>
      </c>
      <c r="AA1956" s="3">
        <f>IF(ISNUMBER(AVERAGE('20250815_ETF_Options_Exhibits'!AA1952:AA1956)),AVERAGE('20250815_ETF_Options_Exhibits'!AA1952:AA1956),"")</f>
        <v/>
      </c>
    </row>
    <row r="1957">
      <c r="A1957" s="1" t="n">
        <v>44840</v>
      </c>
      <c r="B1957" s="3">
        <f>IF(ISNUMBER(AVERAGE('20250815_ETF_Options_Exhibits'!B1953:B1957)),AVERAGE('20250815_ETF_Options_Exhibits'!B1953:B1957),"")</f>
        <v/>
      </c>
      <c r="C1957" s="3">
        <f>IF(ISNUMBER(AVERAGE('20250815_ETF_Options_Exhibits'!C1953:C1957)),AVERAGE('20250815_ETF_Options_Exhibits'!C1953:C1957),"")</f>
        <v/>
      </c>
      <c r="D1957" s="3">
        <f>IF(ISNUMBER(AVERAGE('20250815_ETF_Options_Exhibits'!D1953:D1957)),AVERAGE('20250815_ETF_Options_Exhibits'!D1953:D1957),"")</f>
        <v/>
      </c>
      <c r="E1957" s="3">
        <f>IF(ISNUMBER(AVERAGE('20250815_ETF_Options_Exhibits'!E1953:E1957)),AVERAGE('20250815_ETF_Options_Exhibits'!E1953:E1957),"")</f>
        <v/>
      </c>
      <c r="F1957" s="3">
        <f>IF(ISNUMBER(AVERAGE('20250815_ETF_Options_Exhibits'!F1953:F1957)),AVERAGE('20250815_ETF_Options_Exhibits'!F1953:F1957),"")</f>
        <v/>
      </c>
      <c r="G1957" s="3">
        <f>IF(ISNUMBER(AVERAGE('20250815_ETF_Options_Exhibits'!G1953:G1957)),AVERAGE('20250815_ETF_Options_Exhibits'!G1953:G1957),"")</f>
        <v/>
      </c>
      <c r="H1957" s="3">
        <f>IF(ISNUMBER(AVERAGE('20250815_ETF_Options_Exhibits'!H1953:H1957)),AVERAGE('20250815_ETF_Options_Exhibits'!H1953:H1957),"")</f>
        <v/>
      </c>
      <c r="I1957" s="3">
        <f>IF(ISNUMBER(AVERAGE('20250815_ETF_Options_Exhibits'!I1953:I1957)),AVERAGE('20250815_ETF_Options_Exhibits'!I1953:I1957),"")</f>
        <v/>
      </c>
      <c r="J1957" s="3">
        <f>IF(ISNUMBER(AVERAGE('20250815_ETF_Options_Exhibits'!J1953:J1957)),AVERAGE('20250815_ETF_Options_Exhibits'!J1953:J1957),"")</f>
        <v/>
      </c>
      <c r="K1957" s="3">
        <f>IF(ISNUMBER(AVERAGE('20250815_ETF_Options_Exhibits'!K1953:K1957)),AVERAGE('20250815_ETF_Options_Exhibits'!K1953:K1957),"")</f>
        <v/>
      </c>
      <c r="L1957" s="3">
        <f>IF(ISNUMBER(AVERAGE('20250815_ETF_Options_Exhibits'!L1953:L1957)),AVERAGE('20250815_ETF_Options_Exhibits'!L1953:L1957),"")</f>
        <v/>
      </c>
      <c r="M1957" s="3">
        <f>IF(ISNUMBER(AVERAGE('20250815_ETF_Options_Exhibits'!M1953:M1957)),AVERAGE('20250815_ETF_Options_Exhibits'!M1953:M1957),"")</f>
        <v/>
      </c>
      <c r="N1957" s="3">
        <f>IF(ISNUMBER(AVERAGE('20250815_ETF_Options_Exhibits'!N1953:N1957)),AVERAGE('20250815_ETF_Options_Exhibits'!N1953:N1957),"")</f>
        <v/>
      </c>
      <c r="O1957" s="3">
        <f>IF(ISNUMBER(AVERAGE('20250815_ETF_Options_Exhibits'!O1953:O1957)),AVERAGE('20250815_ETF_Options_Exhibits'!O1953:O1957),"")</f>
        <v/>
      </c>
      <c r="P1957" s="3">
        <f>IF(ISNUMBER(AVERAGE('20250815_ETF_Options_Exhibits'!P1953:P1957)),AVERAGE('20250815_ETF_Options_Exhibits'!P1953:P1957),"")</f>
        <v/>
      </c>
      <c r="Q1957" s="3">
        <f>IF(ISNUMBER(AVERAGE('20250815_ETF_Options_Exhibits'!Q1953:Q1957)),AVERAGE('20250815_ETF_Options_Exhibits'!Q1953:Q1957),"")</f>
        <v/>
      </c>
      <c r="R1957" s="3">
        <f>IF(ISNUMBER(AVERAGE('20250815_ETF_Options_Exhibits'!R1953:R1957)),AVERAGE('20250815_ETF_Options_Exhibits'!R1953:R1957),"")</f>
        <v/>
      </c>
      <c r="S1957" s="3">
        <f>IF(ISNUMBER(AVERAGE('20250815_ETF_Options_Exhibits'!S1953:S1957)),AVERAGE('20250815_ETF_Options_Exhibits'!S1953:S1957),"")</f>
        <v/>
      </c>
      <c r="T1957" s="3">
        <f>IF(ISNUMBER(AVERAGE('20250815_ETF_Options_Exhibits'!T1953:T1957)),AVERAGE('20250815_ETF_Options_Exhibits'!T1953:T1957),"")</f>
        <v/>
      </c>
      <c r="U1957" s="3">
        <f>IF(ISNUMBER(AVERAGE('20250815_ETF_Options_Exhibits'!U1953:U1957)),AVERAGE('20250815_ETF_Options_Exhibits'!U1953:U1957),"")</f>
        <v/>
      </c>
      <c r="V1957" s="3">
        <f>IF(ISNUMBER(AVERAGE('20250815_ETF_Options_Exhibits'!V1953:V1957)),AVERAGE('20250815_ETF_Options_Exhibits'!V1953:V1957),"")</f>
        <v/>
      </c>
      <c r="W1957" s="3">
        <f>IF(ISNUMBER(AVERAGE('20250815_ETF_Options_Exhibits'!W1953:W1957)),AVERAGE('20250815_ETF_Options_Exhibits'!W1953:W1957),"")</f>
        <v/>
      </c>
      <c r="X1957" s="3">
        <f>IF(ISNUMBER(AVERAGE('20250815_ETF_Options_Exhibits'!X1953:X1957)),AVERAGE('20250815_ETF_Options_Exhibits'!X1953:X1957),"")</f>
        <v/>
      </c>
      <c r="Y1957" s="3">
        <f>IF(ISNUMBER(AVERAGE('20250815_ETF_Options_Exhibits'!Y1953:Y1957)),AVERAGE('20250815_ETF_Options_Exhibits'!Y1953:Y1957),"")</f>
        <v/>
      </c>
      <c r="Z1957" s="3">
        <f>IF(ISNUMBER(AVERAGE('20250815_ETF_Options_Exhibits'!Z1953:Z1957)),AVERAGE('20250815_ETF_Options_Exhibits'!Z1953:Z1957),"")</f>
        <v/>
      </c>
      <c r="AA1957" s="3">
        <f>IF(ISNUMBER(AVERAGE('20250815_ETF_Options_Exhibits'!AA1953:AA1957)),AVERAGE('20250815_ETF_Options_Exhibits'!AA1953:AA1957),"")</f>
        <v/>
      </c>
    </row>
    <row r="1958">
      <c r="A1958" s="1" t="n">
        <v>44841</v>
      </c>
      <c r="B1958" s="3">
        <f>IF(ISNUMBER(AVERAGE('20250815_ETF_Options_Exhibits'!B1954:B1958)),AVERAGE('20250815_ETF_Options_Exhibits'!B1954:B1958),"")</f>
        <v/>
      </c>
      <c r="C1958" s="3">
        <f>IF(ISNUMBER(AVERAGE('20250815_ETF_Options_Exhibits'!C1954:C1958)),AVERAGE('20250815_ETF_Options_Exhibits'!C1954:C1958),"")</f>
        <v/>
      </c>
      <c r="D1958" s="3">
        <f>IF(ISNUMBER(AVERAGE('20250815_ETF_Options_Exhibits'!D1954:D1958)),AVERAGE('20250815_ETF_Options_Exhibits'!D1954:D1958),"")</f>
        <v/>
      </c>
      <c r="E1958" s="3">
        <f>IF(ISNUMBER(AVERAGE('20250815_ETF_Options_Exhibits'!E1954:E1958)),AVERAGE('20250815_ETF_Options_Exhibits'!E1954:E1958),"")</f>
        <v/>
      </c>
      <c r="F1958" s="3">
        <f>IF(ISNUMBER(AVERAGE('20250815_ETF_Options_Exhibits'!F1954:F1958)),AVERAGE('20250815_ETF_Options_Exhibits'!F1954:F1958),"")</f>
        <v/>
      </c>
      <c r="G1958" s="3">
        <f>IF(ISNUMBER(AVERAGE('20250815_ETF_Options_Exhibits'!G1954:G1958)),AVERAGE('20250815_ETF_Options_Exhibits'!G1954:G1958),"")</f>
        <v/>
      </c>
      <c r="H1958" s="3">
        <f>IF(ISNUMBER(AVERAGE('20250815_ETF_Options_Exhibits'!H1954:H1958)),AVERAGE('20250815_ETF_Options_Exhibits'!H1954:H1958),"")</f>
        <v/>
      </c>
      <c r="I1958" s="3">
        <f>IF(ISNUMBER(AVERAGE('20250815_ETF_Options_Exhibits'!I1954:I1958)),AVERAGE('20250815_ETF_Options_Exhibits'!I1954:I1958),"")</f>
        <v/>
      </c>
      <c r="J1958" s="3">
        <f>IF(ISNUMBER(AVERAGE('20250815_ETF_Options_Exhibits'!J1954:J1958)),AVERAGE('20250815_ETF_Options_Exhibits'!J1954:J1958),"")</f>
        <v/>
      </c>
      <c r="K1958" s="3">
        <f>IF(ISNUMBER(AVERAGE('20250815_ETF_Options_Exhibits'!K1954:K1958)),AVERAGE('20250815_ETF_Options_Exhibits'!K1954:K1958),"")</f>
        <v/>
      </c>
      <c r="L1958" s="3">
        <f>IF(ISNUMBER(AVERAGE('20250815_ETF_Options_Exhibits'!L1954:L1958)),AVERAGE('20250815_ETF_Options_Exhibits'!L1954:L1958),"")</f>
        <v/>
      </c>
      <c r="M1958" s="3">
        <f>IF(ISNUMBER(AVERAGE('20250815_ETF_Options_Exhibits'!M1954:M1958)),AVERAGE('20250815_ETF_Options_Exhibits'!M1954:M1958),"")</f>
        <v/>
      </c>
      <c r="N1958" s="3">
        <f>IF(ISNUMBER(AVERAGE('20250815_ETF_Options_Exhibits'!N1954:N1958)),AVERAGE('20250815_ETF_Options_Exhibits'!N1954:N1958),"")</f>
        <v/>
      </c>
      <c r="O1958" s="3">
        <f>IF(ISNUMBER(AVERAGE('20250815_ETF_Options_Exhibits'!O1954:O1958)),AVERAGE('20250815_ETF_Options_Exhibits'!O1954:O1958),"")</f>
        <v/>
      </c>
      <c r="P1958" s="3">
        <f>IF(ISNUMBER(AVERAGE('20250815_ETF_Options_Exhibits'!P1954:P1958)),AVERAGE('20250815_ETF_Options_Exhibits'!P1954:P1958),"")</f>
        <v/>
      </c>
      <c r="Q1958" s="3">
        <f>IF(ISNUMBER(AVERAGE('20250815_ETF_Options_Exhibits'!Q1954:Q1958)),AVERAGE('20250815_ETF_Options_Exhibits'!Q1954:Q1958),"")</f>
        <v/>
      </c>
      <c r="R1958" s="3">
        <f>IF(ISNUMBER(AVERAGE('20250815_ETF_Options_Exhibits'!R1954:R1958)),AVERAGE('20250815_ETF_Options_Exhibits'!R1954:R1958),"")</f>
        <v/>
      </c>
      <c r="S1958" s="3">
        <f>IF(ISNUMBER(AVERAGE('20250815_ETF_Options_Exhibits'!S1954:S1958)),AVERAGE('20250815_ETF_Options_Exhibits'!S1954:S1958),"")</f>
        <v/>
      </c>
      <c r="T1958" s="3">
        <f>IF(ISNUMBER(AVERAGE('20250815_ETF_Options_Exhibits'!T1954:T1958)),AVERAGE('20250815_ETF_Options_Exhibits'!T1954:T1958),"")</f>
        <v/>
      </c>
      <c r="U1958" s="3">
        <f>IF(ISNUMBER(AVERAGE('20250815_ETF_Options_Exhibits'!U1954:U1958)),AVERAGE('20250815_ETF_Options_Exhibits'!U1954:U1958),"")</f>
        <v/>
      </c>
      <c r="V1958" s="3">
        <f>IF(ISNUMBER(AVERAGE('20250815_ETF_Options_Exhibits'!V1954:V1958)),AVERAGE('20250815_ETF_Options_Exhibits'!V1954:V1958),"")</f>
        <v/>
      </c>
      <c r="W1958" s="3">
        <f>IF(ISNUMBER(AVERAGE('20250815_ETF_Options_Exhibits'!W1954:W1958)),AVERAGE('20250815_ETF_Options_Exhibits'!W1954:W1958),"")</f>
        <v/>
      </c>
      <c r="X1958" s="3">
        <f>IF(ISNUMBER(AVERAGE('20250815_ETF_Options_Exhibits'!X1954:X1958)),AVERAGE('20250815_ETF_Options_Exhibits'!X1954:X1958),"")</f>
        <v/>
      </c>
      <c r="Y1958" s="3">
        <f>IF(ISNUMBER(AVERAGE('20250815_ETF_Options_Exhibits'!Y1954:Y1958)),AVERAGE('20250815_ETF_Options_Exhibits'!Y1954:Y1958),"")</f>
        <v/>
      </c>
      <c r="Z1958" s="3">
        <f>IF(ISNUMBER(AVERAGE('20250815_ETF_Options_Exhibits'!Z1954:Z1958)),AVERAGE('20250815_ETF_Options_Exhibits'!Z1954:Z1958),"")</f>
        <v/>
      </c>
      <c r="AA1958" s="3">
        <f>IF(ISNUMBER(AVERAGE('20250815_ETF_Options_Exhibits'!AA1954:AA1958)),AVERAGE('20250815_ETF_Options_Exhibits'!AA1954:AA1958),"")</f>
        <v/>
      </c>
    </row>
    <row r="1959">
      <c r="A1959" s="1" t="n">
        <v>44844</v>
      </c>
      <c r="B1959" s="3">
        <f>IF(ISNUMBER(AVERAGE('20250815_ETF_Options_Exhibits'!B1955:B1959)),AVERAGE('20250815_ETF_Options_Exhibits'!B1955:B1959),"")</f>
        <v/>
      </c>
      <c r="C1959" s="3">
        <f>IF(ISNUMBER(AVERAGE('20250815_ETF_Options_Exhibits'!C1955:C1959)),AVERAGE('20250815_ETF_Options_Exhibits'!C1955:C1959),"")</f>
        <v/>
      </c>
      <c r="D1959" s="3">
        <f>IF(ISNUMBER(AVERAGE('20250815_ETF_Options_Exhibits'!D1955:D1959)),AVERAGE('20250815_ETF_Options_Exhibits'!D1955:D1959),"")</f>
        <v/>
      </c>
      <c r="E1959" s="3">
        <f>IF(ISNUMBER(AVERAGE('20250815_ETF_Options_Exhibits'!E1955:E1959)),AVERAGE('20250815_ETF_Options_Exhibits'!E1955:E1959),"")</f>
        <v/>
      </c>
      <c r="F1959" s="3">
        <f>IF(ISNUMBER(AVERAGE('20250815_ETF_Options_Exhibits'!F1955:F1959)),AVERAGE('20250815_ETF_Options_Exhibits'!F1955:F1959),"")</f>
        <v/>
      </c>
      <c r="G1959" s="3">
        <f>IF(ISNUMBER(AVERAGE('20250815_ETF_Options_Exhibits'!G1955:G1959)),AVERAGE('20250815_ETF_Options_Exhibits'!G1955:G1959),"")</f>
        <v/>
      </c>
      <c r="H1959" s="3">
        <f>IF(ISNUMBER(AVERAGE('20250815_ETF_Options_Exhibits'!H1955:H1959)),AVERAGE('20250815_ETF_Options_Exhibits'!H1955:H1959),"")</f>
        <v/>
      </c>
      <c r="I1959" s="3">
        <f>IF(ISNUMBER(AVERAGE('20250815_ETF_Options_Exhibits'!I1955:I1959)),AVERAGE('20250815_ETF_Options_Exhibits'!I1955:I1959),"")</f>
        <v/>
      </c>
      <c r="J1959" s="3">
        <f>IF(ISNUMBER(AVERAGE('20250815_ETF_Options_Exhibits'!J1955:J1959)),AVERAGE('20250815_ETF_Options_Exhibits'!J1955:J1959),"")</f>
        <v/>
      </c>
      <c r="K1959" s="3">
        <f>IF(ISNUMBER(AVERAGE('20250815_ETF_Options_Exhibits'!K1955:K1959)),AVERAGE('20250815_ETF_Options_Exhibits'!K1955:K1959),"")</f>
        <v/>
      </c>
      <c r="L1959" s="3">
        <f>IF(ISNUMBER(AVERAGE('20250815_ETF_Options_Exhibits'!L1955:L1959)),AVERAGE('20250815_ETF_Options_Exhibits'!L1955:L1959),"")</f>
        <v/>
      </c>
      <c r="M1959" s="3">
        <f>IF(ISNUMBER(AVERAGE('20250815_ETF_Options_Exhibits'!M1955:M1959)),AVERAGE('20250815_ETF_Options_Exhibits'!M1955:M1959),"")</f>
        <v/>
      </c>
      <c r="N1959" s="3">
        <f>IF(ISNUMBER(AVERAGE('20250815_ETF_Options_Exhibits'!N1955:N1959)),AVERAGE('20250815_ETF_Options_Exhibits'!N1955:N1959),"")</f>
        <v/>
      </c>
      <c r="O1959" s="3">
        <f>IF(ISNUMBER(AVERAGE('20250815_ETF_Options_Exhibits'!O1955:O1959)),AVERAGE('20250815_ETF_Options_Exhibits'!O1955:O1959),"")</f>
        <v/>
      </c>
      <c r="P1959" s="3">
        <f>IF(ISNUMBER(AVERAGE('20250815_ETF_Options_Exhibits'!P1955:P1959)),AVERAGE('20250815_ETF_Options_Exhibits'!P1955:P1959),"")</f>
        <v/>
      </c>
      <c r="Q1959" s="3">
        <f>IF(ISNUMBER(AVERAGE('20250815_ETF_Options_Exhibits'!Q1955:Q1959)),AVERAGE('20250815_ETF_Options_Exhibits'!Q1955:Q1959),"")</f>
        <v/>
      </c>
      <c r="R1959" s="3">
        <f>IF(ISNUMBER(AVERAGE('20250815_ETF_Options_Exhibits'!R1955:R1959)),AVERAGE('20250815_ETF_Options_Exhibits'!R1955:R1959),"")</f>
        <v/>
      </c>
      <c r="S1959" s="3">
        <f>IF(ISNUMBER(AVERAGE('20250815_ETF_Options_Exhibits'!S1955:S1959)),AVERAGE('20250815_ETF_Options_Exhibits'!S1955:S1959),"")</f>
        <v/>
      </c>
      <c r="T1959" s="3">
        <f>IF(ISNUMBER(AVERAGE('20250815_ETF_Options_Exhibits'!T1955:T1959)),AVERAGE('20250815_ETF_Options_Exhibits'!T1955:T1959),"")</f>
        <v/>
      </c>
      <c r="U1959" s="3">
        <f>IF(ISNUMBER(AVERAGE('20250815_ETF_Options_Exhibits'!U1955:U1959)),AVERAGE('20250815_ETF_Options_Exhibits'!U1955:U1959),"")</f>
        <v/>
      </c>
      <c r="V1959" s="3">
        <f>IF(ISNUMBER(AVERAGE('20250815_ETF_Options_Exhibits'!V1955:V1959)),AVERAGE('20250815_ETF_Options_Exhibits'!V1955:V1959),"")</f>
        <v/>
      </c>
      <c r="W1959" s="3">
        <f>IF(ISNUMBER(AVERAGE('20250815_ETF_Options_Exhibits'!W1955:W1959)),AVERAGE('20250815_ETF_Options_Exhibits'!W1955:W1959),"")</f>
        <v/>
      </c>
      <c r="X1959" s="3">
        <f>IF(ISNUMBER(AVERAGE('20250815_ETF_Options_Exhibits'!X1955:X1959)),AVERAGE('20250815_ETF_Options_Exhibits'!X1955:X1959),"")</f>
        <v/>
      </c>
      <c r="Y1959" s="3">
        <f>IF(ISNUMBER(AVERAGE('20250815_ETF_Options_Exhibits'!Y1955:Y1959)),AVERAGE('20250815_ETF_Options_Exhibits'!Y1955:Y1959),"")</f>
        <v/>
      </c>
      <c r="Z1959" s="3">
        <f>IF(ISNUMBER(AVERAGE('20250815_ETF_Options_Exhibits'!Z1955:Z1959)),AVERAGE('20250815_ETF_Options_Exhibits'!Z1955:Z1959),"")</f>
        <v/>
      </c>
      <c r="AA1959" s="3">
        <f>IF(ISNUMBER(AVERAGE('20250815_ETF_Options_Exhibits'!AA1955:AA1959)),AVERAGE('20250815_ETF_Options_Exhibits'!AA1955:AA1959),"")</f>
        <v/>
      </c>
    </row>
    <row r="1960">
      <c r="A1960" s="1" t="n">
        <v>44845</v>
      </c>
      <c r="B1960" s="3">
        <f>IF(ISNUMBER(AVERAGE('20250815_ETF_Options_Exhibits'!B1956:B1960)),AVERAGE('20250815_ETF_Options_Exhibits'!B1956:B1960),"")</f>
        <v/>
      </c>
      <c r="C1960" s="3">
        <f>IF(ISNUMBER(AVERAGE('20250815_ETF_Options_Exhibits'!C1956:C1960)),AVERAGE('20250815_ETF_Options_Exhibits'!C1956:C1960),"")</f>
        <v/>
      </c>
      <c r="D1960" s="3">
        <f>IF(ISNUMBER(AVERAGE('20250815_ETF_Options_Exhibits'!D1956:D1960)),AVERAGE('20250815_ETF_Options_Exhibits'!D1956:D1960),"")</f>
        <v/>
      </c>
      <c r="E1960" s="3">
        <f>IF(ISNUMBER(AVERAGE('20250815_ETF_Options_Exhibits'!E1956:E1960)),AVERAGE('20250815_ETF_Options_Exhibits'!E1956:E1960),"")</f>
        <v/>
      </c>
      <c r="F1960" s="3">
        <f>IF(ISNUMBER(AVERAGE('20250815_ETF_Options_Exhibits'!F1956:F1960)),AVERAGE('20250815_ETF_Options_Exhibits'!F1956:F1960),"")</f>
        <v/>
      </c>
      <c r="G1960" s="3">
        <f>IF(ISNUMBER(AVERAGE('20250815_ETF_Options_Exhibits'!G1956:G1960)),AVERAGE('20250815_ETF_Options_Exhibits'!G1956:G1960),"")</f>
        <v/>
      </c>
      <c r="H1960" s="3">
        <f>IF(ISNUMBER(AVERAGE('20250815_ETF_Options_Exhibits'!H1956:H1960)),AVERAGE('20250815_ETF_Options_Exhibits'!H1956:H1960),"")</f>
        <v/>
      </c>
      <c r="I1960" s="3">
        <f>IF(ISNUMBER(AVERAGE('20250815_ETF_Options_Exhibits'!I1956:I1960)),AVERAGE('20250815_ETF_Options_Exhibits'!I1956:I1960),"")</f>
        <v/>
      </c>
      <c r="J1960" s="3">
        <f>IF(ISNUMBER(AVERAGE('20250815_ETF_Options_Exhibits'!J1956:J1960)),AVERAGE('20250815_ETF_Options_Exhibits'!J1956:J1960),"")</f>
        <v/>
      </c>
      <c r="K1960" s="3">
        <f>IF(ISNUMBER(AVERAGE('20250815_ETF_Options_Exhibits'!K1956:K1960)),AVERAGE('20250815_ETF_Options_Exhibits'!K1956:K1960),"")</f>
        <v/>
      </c>
      <c r="L1960" s="3">
        <f>IF(ISNUMBER(AVERAGE('20250815_ETF_Options_Exhibits'!L1956:L1960)),AVERAGE('20250815_ETF_Options_Exhibits'!L1956:L1960),"")</f>
        <v/>
      </c>
      <c r="M1960" s="3">
        <f>IF(ISNUMBER(AVERAGE('20250815_ETF_Options_Exhibits'!M1956:M1960)),AVERAGE('20250815_ETF_Options_Exhibits'!M1956:M1960),"")</f>
        <v/>
      </c>
      <c r="N1960" s="3">
        <f>IF(ISNUMBER(AVERAGE('20250815_ETF_Options_Exhibits'!N1956:N1960)),AVERAGE('20250815_ETF_Options_Exhibits'!N1956:N1960),"")</f>
        <v/>
      </c>
      <c r="O1960" s="3">
        <f>IF(ISNUMBER(AVERAGE('20250815_ETF_Options_Exhibits'!O1956:O1960)),AVERAGE('20250815_ETF_Options_Exhibits'!O1956:O1960),"")</f>
        <v/>
      </c>
      <c r="P1960" s="3">
        <f>IF(ISNUMBER(AVERAGE('20250815_ETF_Options_Exhibits'!P1956:P1960)),AVERAGE('20250815_ETF_Options_Exhibits'!P1956:P1960),"")</f>
        <v/>
      </c>
      <c r="Q1960" s="3">
        <f>IF(ISNUMBER(AVERAGE('20250815_ETF_Options_Exhibits'!Q1956:Q1960)),AVERAGE('20250815_ETF_Options_Exhibits'!Q1956:Q1960),"")</f>
        <v/>
      </c>
      <c r="R1960" s="3">
        <f>IF(ISNUMBER(AVERAGE('20250815_ETF_Options_Exhibits'!R1956:R1960)),AVERAGE('20250815_ETF_Options_Exhibits'!R1956:R1960),"")</f>
        <v/>
      </c>
      <c r="S1960" s="3">
        <f>IF(ISNUMBER(AVERAGE('20250815_ETF_Options_Exhibits'!S1956:S1960)),AVERAGE('20250815_ETF_Options_Exhibits'!S1956:S1960),"")</f>
        <v/>
      </c>
      <c r="T1960" s="3">
        <f>IF(ISNUMBER(AVERAGE('20250815_ETF_Options_Exhibits'!T1956:T1960)),AVERAGE('20250815_ETF_Options_Exhibits'!T1956:T1960),"")</f>
        <v/>
      </c>
      <c r="U1960" s="3">
        <f>IF(ISNUMBER(AVERAGE('20250815_ETF_Options_Exhibits'!U1956:U1960)),AVERAGE('20250815_ETF_Options_Exhibits'!U1956:U1960),"")</f>
        <v/>
      </c>
      <c r="V1960" s="3">
        <f>IF(ISNUMBER(AVERAGE('20250815_ETF_Options_Exhibits'!V1956:V1960)),AVERAGE('20250815_ETF_Options_Exhibits'!V1956:V1960),"")</f>
        <v/>
      </c>
      <c r="W1960" s="3">
        <f>IF(ISNUMBER(AVERAGE('20250815_ETF_Options_Exhibits'!W1956:W1960)),AVERAGE('20250815_ETF_Options_Exhibits'!W1956:W1960),"")</f>
        <v/>
      </c>
      <c r="X1960" s="3">
        <f>IF(ISNUMBER(AVERAGE('20250815_ETF_Options_Exhibits'!X1956:X1960)),AVERAGE('20250815_ETF_Options_Exhibits'!X1956:X1960),"")</f>
        <v/>
      </c>
      <c r="Y1960" s="3">
        <f>IF(ISNUMBER(AVERAGE('20250815_ETF_Options_Exhibits'!Y1956:Y1960)),AVERAGE('20250815_ETF_Options_Exhibits'!Y1956:Y1960),"")</f>
        <v/>
      </c>
      <c r="Z1960" s="3">
        <f>IF(ISNUMBER(AVERAGE('20250815_ETF_Options_Exhibits'!Z1956:Z1960)),AVERAGE('20250815_ETF_Options_Exhibits'!Z1956:Z1960),"")</f>
        <v/>
      </c>
      <c r="AA1960" s="3">
        <f>IF(ISNUMBER(AVERAGE('20250815_ETF_Options_Exhibits'!AA1956:AA1960)),AVERAGE('20250815_ETF_Options_Exhibits'!AA1956:AA1960),"")</f>
        <v/>
      </c>
    </row>
    <row r="1961">
      <c r="A1961" s="1" t="n">
        <v>44846</v>
      </c>
      <c r="B1961" s="3">
        <f>IF(ISNUMBER(AVERAGE('20250815_ETF_Options_Exhibits'!B1957:B1961)),AVERAGE('20250815_ETF_Options_Exhibits'!B1957:B1961),"")</f>
        <v/>
      </c>
      <c r="C1961" s="3">
        <f>IF(ISNUMBER(AVERAGE('20250815_ETF_Options_Exhibits'!C1957:C1961)),AVERAGE('20250815_ETF_Options_Exhibits'!C1957:C1961),"")</f>
        <v/>
      </c>
      <c r="D1961" s="3">
        <f>IF(ISNUMBER(AVERAGE('20250815_ETF_Options_Exhibits'!D1957:D1961)),AVERAGE('20250815_ETF_Options_Exhibits'!D1957:D1961),"")</f>
        <v/>
      </c>
      <c r="E1961" s="3">
        <f>IF(ISNUMBER(AVERAGE('20250815_ETF_Options_Exhibits'!E1957:E1961)),AVERAGE('20250815_ETF_Options_Exhibits'!E1957:E1961),"")</f>
        <v/>
      </c>
      <c r="F1961" s="3">
        <f>IF(ISNUMBER(AVERAGE('20250815_ETF_Options_Exhibits'!F1957:F1961)),AVERAGE('20250815_ETF_Options_Exhibits'!F1957:F1961),"")</f>
        <v/>
      </c>
      <c r="G1961" s="3">
        <f>IF(ISNUMBER(AVERAGE('20250815_ETF_Options_Exhibits'!G1957:G1961)),AVERAGE('20250815_ETF_Options_Exhibits'!G1957:G1961),"")</f>
        <v/>
      </c>
      <c r="H1961" s="3">
        <f>IF(ISNUMBER(AVERAGE('20250815_ETF_Options_Exhibits'!H1957:H1961)),AVERAGE('20250815_ETF_Options_Exhibits'!H1957:H1961),"")</f>
        <v/>
      </c>
      <c r="I1961" s="3">
        <f>IF(ISNUMBER(AVERAGE('20250815_ETF_Options_Exhibits'!I1957:I1961)),AVERAGE('20250815_ETF_Options_Exhibits'!I1957:I1961),"")</f>
        <v/>
      </c>
      <c r="J1961" s="3">
        <f>IF(ISNUMBER(AVERAGE('20250815_ETF_Options_Exhibits'!J1957:J1961)),AVERAGE('20250815_ETF_Options_Exhibits'!J1957:J1961),"")</f>
        <v/>
      </c>
      <c r="K1961" s="3">
        <f>IF(ISNUMBER(AVERAGE('20250815_ETF_Options_Exhibits'!K1957:K1961)),AVERAGE('20250815_ETF_Options_Exhibits'!K1957:K1961),"")</f>
        <v/>
      </c>
      <c r="L1961" s="3">
        <f>IF(ISNUMBER(AVERAGE('20250815_ETF_Options_Exhibits'!L1957:L1961)),AVERAGE('20250815_ETF_Options_Exhibits'!L1957:L1961),"")</f>
        <v/>
      </c>
      <c r="M1961" s="3">
        <f>IF(ISNUMBER(AVERAGE('20250815_ETF_Options_Exhibits'!M1957:M1961)),AVERAGE('20250815_ETF_Options_Exhibits'!M1957:M1961),"")</f>
        <v/>
      </c>
      <c r="N1961" s="3">
        <f>IF(ISNUMBER(AVERAGE('20250815_ETF_Options_Exhibits'!N1957:N1961)),AVERAGE('20250815_ETF_Options_Exhibits'!N1957:N1961),"")</f>
        <v/>
      </c>
      <c r="O1961" s="3">
        <f>IF(ISNUMBER(AVERAGE('20250815_ETF_Options_Exhibits'!O1957:O1961)),AVERAGE('20250815_ETF_Options_Exhibits'!O1957:O1961),"")</f>
        <v/>
      </c>
      <c r="P1961" s="3">
        <f>IF(ISNUMBER(AVERAGE('20250815_ETF_Options_Exhibits'!P1957:P1961)),AVERAGE('20250815_ETF_Options_Exhibits'!P1957:P1961),"")</f>
        <v/>
      </c>
      <c r="Q1961" s="3">
        <f>IF(ISNUMBER(AVERAGE('20250815_ETF_Options_Exhibits'!Q1957:Q1961)),AVERAGE('20250815_ETF_Options_Exhibits'!Q1957:Q1961),"")</f>
        <v/>
      </c>
      <c r="R1961" s="3">
        <f>IF(ISNUMBER(AVERAGE('20250815_ETF_Options_Exhibits'!R1957:R1961)),AVERAGE('20250815_ETF_Options_Exhibits'!R1957:R1961),"")</f>
        <v/>
      </c>
      <c r="S1961" s="3">
        <f>IF(ISNUMBER(AVERAGE('20250815_ETF_Options_Exhibits'!S1957:S1961)),AVERAGE('20250815_ETF_Options_Exhibits'!S1957:S1961),"")</f>
        <v/>
      </c>
      <c r="T1961" s="3">
        <f>IF(ISNUMBER(AVERAGE('20250815_ETF_Options_Exhibits'!T1957:T1961)),AVERAGE('20250815_ETF_Options_Exhibits'!T1957:T1961),"")</f>
        <v/>
      </c>
      <c r="U1961" s="3">
        <f>IF(ISNUMBER(AVERAGE('20250815_ETF_Options_Exhibits'!U1957:U1961)),AVERAGE('20250815_ETF_Options_Exhibits'!U1957:U1961),"")</f>
        <v/>
      </c>
      <c r="V1961" s="3">
        <f>IF(ISNUMBER(AVERAGE('20250815_ETF_Options_Exhibits'!V1957:V1961)),AVERAGE('20250815_ETF_Options_Exhibits'!V1957:V1961),"")</f>
        <v/>
      </c>
      <c r="W1961" s="3">
        <f>IF(ISNUMBER(AVERAGE('20250815_ETF_Options_Exhibits'!W1957:W1961)),AVERAGE('20250815_ETF_Options_Exhibits'!W1957:W1961),"")</f>
        <v/>
      </c>
      <c r="X1961" s="3">
        <f>IF(ISNUMBER(AVERAGE('20250815_ETF_Options_Exhibits'!X1957:X1961)),AVERAGE('20250815_ETF_Options_Exhibits'!X1957:X1961),"")</f>
        <v/>
      </c>
      <c r="Y1961" s="3">
        <f>IF(ISNUMBER(AVERAGE('20250815_ETF_Options_Exhibits'!Y1957:Y1961)),AVERAGE('20250815_ETF_Options_Exhibits'!Y1957:Y1961),"")</f>
        <v/>
      </c>
      <c r="Z1961" s="3">
        <f>IF(ISNUMBER(AVERAGE('20250815_ETF_Options_Exhibits'!Z1957:Z1961)),AVERAGE('20250815_ETF_Options_Exhibits'!Z1957:Z1961),"")</f>
        <v/>
      </c>
      <c r="AA1961" s="3">
        <f>IF(ISNUMBER(AVERAGE('20250815_ETF_Options_Exhibits'!AA1957:AA1961)),AVERAGE('20250815_ETF_Options_Exhibits'!AA1957:AA1961),"")</f>
        <v/>
      </c>
    </row>
    <row r="1962">
      <c r="A1962" s="1" t="n">
        <v>44847</v>
      </c>
      <c r="B1962" s="3">
        <f>IF(ISNUMBER(AVERAGE('20250815_ETF_Options_Exhibits'!B1958:B1962)),AVERAGE('20250815_ETF_Options_Exhibits'!B1958:B1962),"")</f>
        <v/>
      </c>
      <c r="C1962" s="3">
        <f>IF(ISNUMBER(AVERAGE('20250815_ETF_Options_Exhibits'!C1958:C1962)),AVERAGE('20250815_ETF_Options_Exhibits'!C1958:C1962),"")</f>
        <v/>
      </c>
      <c r="D1962" s="3">
        <f>IF(ISNUMBER(AVERAGE('20250815_ETF_Options_Exhibits'!D1958:D1962)),AVERAGE('20250815_ETF_Options_Exhibits'!D1958:D1962),"")</f>
        <v/>
      </c>
      <c r="E1962" s="3">
        <f>IF(ISNUMBER(AVERAGE('20250815_ETF_Options_Exhibits'!E1958:E1962)),AVERAGE('20250815_ETF_Options_Exhibits'!E1958:E1962),"")</f>
        <v/>
      </c>
      <c r="F1962" s="3">
        <f>IF(ISNUMBER(AVERAGE('20250815_ETF_Options_Exhibits'!F1958:F1962)),AVERAGE('20250815_ETF_Options_Exhibits'!F1958:F1962),"")</f>
        <v/>
      </c>
      <c r="G1962" s="3">
        <f>IF(ISNUMBER(AVERAGE('20250815_ETF_Options_Exhibits'!G1958:G1962)),AVERAGE('20250815_ETF_Options_Exhibits'!G1958:G1962),"")</f>
        <v/>
      </c>
      <c r="H1962" s="3">
        <f>IF(ISNUMBER(AVERAGE('20250815_ETF_Options_Exhibits'!H1958:H1962)),AVERAGE('20250815_ETF_Options_Exhibits'!H1958:H1962),"")</f>
        <v/>
      </c>
      <c r="I1962" s="3">
        <f>IF(ISNUMBER(AVERAGE('20250815_ETF_Options_Exhibits'!I1958:I1962)),AVERAGE('20250815_ETF_Options_Exhibits'!I1958:I1962),"")</f>
        <v/>
      </c>
      <c r="J1962" s="3">
        <f>IF(ISNUMBER(AVERAGE('20250815_ETF_Options_Exhibits'!J1958:J1962)),AVERAGE('20250815_ETF_Options_Exhibits'!J1958:J1962),"")</f>
        <v/>
      </c>
      <c r="K1962" s="3">
        <f>IF(ISNUMBER(AVERAGE('20250815_ETF_Options_Exhibits'!K1958:K1962)),AVERAGE('20250815_ETF_Options_Exhibits'!K1958:K1962),"")</f>
        <v/>
      </c>
      <c r="L1962" s="3">
        <f>IF(ISNUMBER(AVERAGE('20250815_ETF_Options_Exhibits'!L1958:L1962)),AVERAGE('20250815_ETF_Options_Exhibits'!L1958:L1962),"")</f>
        <v/>
      </c>
      <c r="M1962" s="3">
        <f>IF(ISNUMBER(AVERAGE('20250815_ETF_Options_Exhibits'!M1958:M1962)),AVERAGE('20250815_ETF_Options_Exhibits'!M1958:M1962),"")</f>
        <v/>
      </c>
      <c r="N1962" s="3">
        <f>IF(ISNUMBER(AVERAGE('20250815_ETF_Options_Exhibits'!N1958:N1962)),AVERAGE('20250815_ETF_Options_Exhibits'!N1958:N1962),"")</f>
        <v/>
      </c>
      <c r="O1962" s="3">
        <f>IF(ISNUMBER(AVERAGE('20250815_ETF_Options_Exhibits'!O1958:O1962)),AVERAGE('20250815_ETF_Options_Exhibits'!O1958:O1962),"")</f>
        <v/>
      </c>
      <c r="P1962" s="3">
        <f>IF(ISNUMBER(AVERAGE('20250815_ETF_Options_Exhibits'!P1958:P1962)),AVERAGE('20250815_ETF_Options_Exhibits'!P1958:P1962),"")</f>
        <v/>
      </c>
      <c r="Q1962" s="3">
        <f>IF(ISNUMBER(AVERAGE('20250815_ETF_Options_Exhibits'!Q1958:Q1962)),AVERAGE('20250815_ETF_Options_Exhibits'!Q1958:Q1962),"")</f>
        <v/>
      </c>
      <c r="R1962" s="3">
        <f>IF(ISNUMBER(AVERAGE('20250815_ETF_Options_Exhibits'!R1958:R1962)),AVERAGE('20250815_ETF_Options_Exhibits'!R1958:R1962),"")</f>
        <v/>
      </c>
      <c r="S1962" s="3">
        <f>IF(ISNUMBER(AVERAGE('20250815_ETF_Options_Exhibits'!S1958:S1962)),AVERAGE('20250815_ETF_Options_Exhibits'!S1958:S1962),"")</f>
        <v/>
      </c>
      <c r="T1962" s="3">
        <f>IF(ISNUMBER(AVERAGE('20250815_ETF_Options_Exhibits'!T1958:T1962)),AVERAGE('20250815_ETF_Options_Exhibits'!T1958:T1962),"")</f>
        <v/>
      </c>
      <c r="U1962" s="3">
        <f>IF(ISNUMBER(AVERAGE('20250815_ETF_Options_Exhibits'!U1958:U1962)),AVERAGE('20250815_ETF_Options_Exhibits'!U1958:U1962),"")</f>
        <v/>
      </c>
      <c r="V1962" s="3">
        <f>IF(ISNUMBER(AVERAGE('20250815_ETF_Options_Exhibits'!V1958:V1962)),AVERAGE('20250815_ETF_Options_Exhibits'!V1958:V1962),"")</f>
        <v/>
      </c>
      <c r="W1962" s="3">
        <f>IF(ISNUMBER(AVERAGE('20250815_ETF_Options_Exhibits'!W1958:W1962)),AVERAGE('20250815_ETF_Options_Exhibits'!W1958:W1962),"")</f>
        <v/>
      </c>
      <c r="X1962" s="3">
        <f>IF(ISNUMBER(AVERAGE('20250815_ETF_Options_Exhibits'!X1958:X1962)),AVERAGE('20250815_ETF_Options_Exhibits'!X1958:X1962),"")</f>
        <v/>
      </c>
      <c r="Y1962" s="3">
        <f>IF(ISNUMBER(AVERAGE('20250815_ETF_Options_Exhibits'!Y1958:Y1962)),AVERAGE('20250815_ETF_Options_Exhibits'!Y1958:Y1962),"")</f>
        <v/>
      </c>
      <c r="Z1962" s="3">
        <f>IF(ISNUMBER(AVERAGE('20250815_ETF_Options_Exhibits'!Z1958:Z1962)),AVERAGE('20250815_ETF_Options_Exhibits'!Z1958:Z1962),"")</f>
        <v/>
      </c>
      <c r="AA1962" s="3">
        <f>IF(ISNUMBER(AVERAGE('20250815_ETF_Options_Exhibits'!AA1958:AA1962)),AVERAGE('20250815_ETF_Options_Exhibits'!AA1958:AA1962),"")</f>
        <v/>
      </c>
    </row>
    <row r="1963">
      <c r="A1963" s="1" t="n">
        <v>44848</v>
      </c>
      <c r="B1963" s="3">
        <f>IF(ISNUMBER(AVERAGE('20250815_ETF_Options_Exhibits'!B1959:B1963)),AVERAGE('20250815_ETF_Options_Exhibits'!B1959:B1963),"")</f>
        <v/>
      </c>
      <c r="C1963" s="3">
        <f>IF(ISNUMBER(AVERAGE('20250815_ETF_Options_Exhibits'!C1959:C1963)),AVERAGE('20250815_ETF_Options_Exhibits'!C1959:C1963),"")</f>
        <v/>
      </c>
      <c r="D1963" s="3">
        <f>IF(ISNUMBER(AVERAGE('20250815_ETF_Options_Exhibits'!D1959:D1963)),AVERAGE('20250815_ETF_Options_Exhibits'!D1959:D1963),"")</f>
        <v/>
      </c>
      <c r="E1963" s="3">
        <f>IF(ISNUMBER(AVERAGE('20250815_ETF_Options_Exhibits'!E1959:E1963)),AVERAGE('20250815_ETF_Options_Exhibits'!E1959:E1963),"")</f>
        <v/>
      </c>
      <c r="F1963" s="3">
        <f>IF(ISNUMBER(AVERAGE('20250815_ETF_Options_Exhibits'!F1959:F1963)),AVERAGE('20250815_ETF_Options_Exhibits'!F1959:F1963),"")</f>
        <v/>
      </c>
      <c r="G1963" s="3">
        <f>IF(ISNUMBER(AVERAGE('20250815_ETF_Options_Exhibits'!G1959:G1963)),AVERAGE('20250815_ETF_Options_Exhibits'!G1959:G1963),"")</f>
        <v/>
      </c>
      <c r="H1963" s="3">
        <f>IF(ISNUMBER(AVERAGE('20250815_ETF_Options_Exhibits'!H1959:H1963)),AVERAGE('20250815_ETF_Options_Exhibits'!H1959:H1963),"")</f>
        <v/>
      </c>
      <c r="I1963" s="3">
        <f>IF(ISNUMBER(AVERAGE('20250815_ETF_Options_Exhibits'!I1959:I1963)),AVERAGE('20250815_ETF_Options_Exhibits'!I1959:I1963),"")</f>
        <v/>
      </c>
      <c r="J1963" s="3">
        <f>IF(ISNUMBER(AVERAGE('20250815_ETF_Options_Exhibits'!J1959:J1963)),AVERAGE('20250815_ETF_Options_Exhibits'!J1959:J1963),"")</f>
        <v/>
      </c>
      <c r="K1963" s="3">
        <f>IF(ISNUMBER(AVERAGE('20250815_ETF_Options_Exhibits'!K1959:K1963)),AVERAGE('20250815_ETF_Options_Exhibits'!K1959:K1963),"")</f>
        <v/>
      </c>
      <c r="L1963" s="3">
        <f>IF(ISNUMBER(AVERAGE('20250815_ETF_Options_Exhibits'!L1959:L1963)),AVERAGE('20250815_ETF_Options_Exhibits'!L1959:L1963),"")</f>
        <v/>
      </c>
      <c r="M1963" s="3">
        <f>IF(ISNUMBER(AVERAGE('20250815_ETF_Options_Exhibits'!M1959:M1963)),AVERAGE('20250815_ETF_Options_Exhibits'!M1959:M1963),"")</f>
        <v/>
      </c>
      <c r="N1963" s="3">
        <f>IF(ISNUMBER(AVERAGE('20250815_ETF_Options_Exhibits'!N1959:N1963)),AVERAGE('20250815_ETF_Options_Exhibits'!N1959:N1963),"")</f>
        <v/>
      </c>
      <c r="O1963" s="3">
        <f>IF(ISNUMBER(AVERAGE('20250815_ETF_Options_Exhibits'!O1959:O1963)),AVERAGE('20250815_ETF_Options_Exhibits'!O1959:O1963),"")</f>
        <v/>
      </c>
      <c r="P1963" s="3">
        <f>IF(ISNUMBER(AVERAGE('20250815_ETF_Options_Exhibits'!P1959:P1963)),AVERAGE('20250815_ETF_Options_Exhibits'!P1959:P1963),"")</f>
        <v/>
      </c>
      <c r="Q1963" s="3">
        <f>IF(ISNUMBER(AVERAGE('20250815_ETF_Options_Exhibits'!Q1959:Q1963)),AVERAGE('20250815_ETF_Options_Exhibits'!Q1959:Q1963),"")</f>
        <v/>
      </c>
      <c r="R1963" s="3">
        <f>IF(ISNUMBER(AVERAGE('20250815_ETF_Options_Exhibits'!R1959:R1963)),AVERAGE('20250815_ETF_Options_Exhibits'!R1959:R1963),"")</f>
        <v/>
      </c>
      <c r="S1963" s="3">
        <f>IF(ISNUMBER(AVERAGE('20250815_ETF_Options_Exhibits'!S1959:S1963)),AVERAGE('20250815_ETF_Options_Exhibits'!S1959:S1963),"")</f>
        <v/>
      </c>
      <c r="T1963" s="3">
        <f>IF(ISNUMBER(AVERAGE('20250815_ETF_Options_Exhibits'!T1959:T1963)),AVERAGE('20250815_ETF_Options_Exhibits'!T1959:T1963),"")</f>
        <v/>
      </c>
      <c r="U1963" s="3">
        <f>IF(ISNUMBER(AVERAGE('20250815_ETF_Options_Exhibits'!U1959:U1963)),AVERAGE('20250815_ETF_Options_Exhibits'!U1959:U1963),"")</f>
        <v/>
      </c>
      <c r="V1963" s="3">
        <f>IF(ISNUMBER(AVERAGE('20250815_ETF_Options_Exhibits'!V1959:V1963)),AVERAGE('20250815_ETF_Options_Exhibits'!V1959:V1963),"")</f>
        <v/>
      </c>
      <c r="W1963" s="3">
        <f>IF(ISNUMBER(AVERAGE('20250815_ETF_Options_Exhibits'!W1959:W1963)),AVERAGE('20250815_ETF_Options_Exhibits'!W1959:W1963),"")</f>
        <v/>
      </c>
      <c r="X1963" s="3">
        <f>IF(ISNUMBER(AVERAGE('20250815_ETF_Options_Exhibits'!X1959:X1963)),AVERAGE('20250815_ETF_Options_Exhibits'!X1959:X1963),"")</f>
        <v/>
      </c>
      <c r="Y1963" s="3">
        <f>IF(ISNUMBER(AVERAGE('20250815_ETF_Options_Exhibits'!Y1959:Y1963)),AVERAGE('20250815_ETF_Options_Exhibits'!Y1959:Y1963),"")</f>
        <v/>
      </c>
      <c r="Z1963" s="3">
        <f>IF(ISNUMBER(AVERAGE('20250815_ETF_Options_Exhibits'!Z1959:Z1963)),AVERAGE('20250815_ETF_Options_Exhibits'!Z1959:Z1963),"")</f>
        <v/>
      </c>
      <c r="AA1963" s="3">
        <f>IF(ISNUMBER(AVERAGE('20250815_ETF_Options_Exhibits'!AA1959:AA1963)),AVERAGE('20250815_ETF_Options_Exhibits'!AA1959:AA1963),"")</f>
        <v/>
      </c>
    </row>
    <row r="1964">
      <c r="A1964" s="1" t="n">
        <v>44851</v>
      </c>
      <c r="B1964" s="3">
        <f>IF(ISNUMBER(AVERAGE('20250815_ETF_Options_Exhibits'!B1960:B1964)),AVERAGE('20250815_ETF_Options_Exhibits'!B1960:B1964),"")</f>
        <v/>
      </c>
      <c r="C1964" s="3">
        <f>IF(ISNUMBER(AVERAGE('20250815_ETF_Options_Exhibits'!C1960:C1964)),AVERAGE('20250815_ETF_Options_Exhibits'!C1960:C1964),"")</f>
        <v/>
      </c>
      <c r="D1964" s="3">
        <f>IF(ISNUMBER(AVERAGE('20250815_ETF_Options_Exhibits'!D1960:D1964)),AVERAGE('20250815_ETF_Options_Exhibits'!D1960:D1964),"")</f>
        <v/>
      </c>
      <c r="E1964" s="3">
        <f>IF(ISNUMBER(AVERAGE('20250815_ETF_Options_Exhibits'!E1960:E1964)),AVERAGE('20250815_ETF_Options_Exhibits'!E1960:E1964),"")</f>
        <v/>
      </c>
      <c r="F1964" s="3">
        <f>IF(ISNUMBER(AVERAGE('20250815_ETF_Options_Exhibits'!F1960:F1964)),AVERAGE('20250815_ETF_Options_Exhibits'!F1960:F1964),"")</f>
        <v/>
      </c>
      <c r="G1964" s="3">
        <f>IF(ISNUMBER(AVERAGE('20250815_ETF_Options_Exhibits'!G1960:G1964)),AVERAGE('20250815_ETF_Options_Exhibits'!G1960:G1964),"")</f>
        <v/>
      </c>
      <c r="H1964" s="3">
        <f>IF(ISNUMBER(AVERAGE('20250815_ETF_Options_Exhibits'!H1960:H1964)),AVERAGE('20250815_ETF_Options_Exhibits'!H1960:H1964),"")</f>
        <v/>
      </c>
      <c r="I1964" s="3">
        <f>IF(ISNUMBER(AVERAGE('20250815_ETF_Options_Exhibits'!I1960:I1964)),AVERAGE('20250815_ETF_Options_Exhibits'!I1960:I1964),"")</f>
        <v/>
      </c>
      <c r="J1964" s="3">
        <f>IF(ISNUMBER(AVERAGE('20250815_ETF_Options_Exhibits'!J1960:J1964)),AVERAGE('20250815_ETF_Options_Exhibits'!J1960:J1964),"")</f>
        <v/>
      </c>
      <c r="K1964" s="3">
        <f>IF(ISNUMBER(AVERAGE('20250815_ETF_Options_Exhibits'!K1960:K1964)),AVERAGE('20250815_ETF_Options_Exhibits'!K1960:K1964),"")</f>
        <v/>
      </c>
      <c r="L1964" s="3">
        <f>IF(ISNUMBER(AVERAGE('20250815_ETF_Options_Exhibits'!L1960:L1964)),AVERAGE('20250815_ETF_Options_Exhibits'!L1960:L1964),"")</f>
        <v/>
      </c>
      <c r="M1964" s="3">
        <f>IF(ISNUMBER(AVERAGE('20250815_ETF_Options_Exhibits'!M1960:M1964)),AVERAGE('20250815_ETF_Options_Exhibits'!M1960:M1964),"")</f>
        <v/>
      </c>
      <c r="N1964" s="3">
        <f>IF(ISNUMBER(AVERAGE('20250815_ETF_Options_Exhibits'!N1960:N1964)),AVERAGE('20250815_ETF_Options_Exhibits'!N1960:N1964),"")</f>
        <v/>
      </c>
      <c r="O1964" s="3">
        <f>IF(ISNUMBER(AVERAGE('20250815_ETF_Options_Exhibits'!O1960:O1964)),AVERAGE('20250815_ETF_Options_Exhibits'!O1960:O1964),"")</f>
        <v/>
      </c>
      <c r="P1964" s="3">
        <f>IF(ISNUMBER(AVERAGE('20250815_ETF_Options_Exhibits'!P1960:P1964)),AVERAGE('20250815_ETF_Options_Exhibits'!P1960:P1964),"")</f>
        <v/>
      </c>
      <c r="Q1964" s="3">
        <f>IF(ISNUMBER(AVERAGE('20250815_ETF_Options_Exhibits'!Q1960:Q1964)),AVERAGE('20250815_ETF_Options_Exhibits'!Q1960:Q1964),"")</f>
        <v/>
      </c>
      <c r="R1964" s="3">
        <f>IF(ISNUMBER(AVERAGE('20250815_ETF_Options_Exhibits'!R1960:R1964)),AVERAGE('20250815_ETF_Options_Exhibits'!R1960:R1964),"")</f>
        <v/>
      </c>
      <c r="S1964" s="3">
        <f>IF(ISNUMBER(AVERAGE('20250815_ETF_Options_Exhibits'!S1960:S1964)),AVERAGE('20250815_ETF_Options_Exhibits'!S1960:S1964),"")</f>
        <v/>
      </c>
      <c r="T1964" s="3">
        <f>IF(ISNUMBER(AVERAGE('20250815_ETF_Options_Exhibits'!T1960:T1964)),AVERAGE('20250815_ETF_Options_Exhibits'!T1960:T1964),"")</f>
        <v/>
      </c>
      <c r="U1964" s="3">
        <f>IF(ISNUMBER(AVERAGE('20250815_ETF_Options_Exhibits'!U1960:U1964)),AVERAGE('20250815_ETF_Options_Exhibits'!U1960:U1964),"")</f>
        <v/>
      </c>
      <c r="V1964" s="3">
        <f>IF(ISNUMBER(AVERAGE('20250815_ETF_Options_Exhibits'!V1960:V1964)),AVERAGE('20250815_ETF_Options_Exhibits'!V1960:V1964),"")</f>
        <v/>
      </c>
      <c r="W1964" s="3">
        <f>IF(ISNUMBER(AVERAGE('20250815_ETF_Options_Exhibits'!W1960:W1964)),AVERAGE('20250815_ETF_Options_Exhibits'!W1960:W1964),"")</f>
        <v/>
      </c>
      <c r="X1964" s="3">
        <f>IF(ISNUMBER(AVERAGE('20250815_ETF_Options_Exhibits'!X1960:X1964)),AVERAGE('20250815_ETF_Options_Exhibits'!X1960:X1964),"")</f>
        <v/>
      </c>
      <c r="Y1964" s="3">
        <f>IF(ISNUMBER(AVERAGE('20250815_ETF_Options_Exhibits'!Y1960:Y1964)),AVERAGE('20250815_ETF_Options_Exhibits'!Y1960:Y1964),"")</f>
        <v/>
      </c>
      <c r="Z1964" s="3">
        <f>IF(ISNUMBER(AVERAGE('20250815_ETF_Options_Exhibits'!Z1960:Z1964)),AVERAGE('20250815_ETF_Options_Exhibits'!Z1960:Z1964),"")</f>
        <v/>
      </c>
      <c r="AA1964" s="3">
        <f>IF(ISNUMBER(AVERAGE('20250815_ETF_Options_Exhibits'!AA1960:AA1964)),AVERAGE('20250815_ETF_Options_Exhibits'!AA1960:AA1964),"")</f>
        <v/>
      </c>
    </row>
    <row r="1965">
      <c r="A1965" s="1" t="n">
        <v>44852</v>
      </c>
      <c r="B1965" s="3">
        <f>IF(ISNUMBER(AVERAGE('20250815_ETF_Options_Exhibits'!B1961:B1965)),AVERAGE('20250815_ETF_Options_Exhibits'!B1961:B1965),"")</f>
        <v/>
      </c>
      <c r="C1965" s="3">
        <f>IF(ISNUMBER(AVERAGE('20250815_ETF_Options_Exhibits'!C1961:C1965)),AVERAGE('20250815_ETF_Options_Exhibits'!C1961:C1965),"")</f>
        <v/>
      </c>
      <c r="D1965" s="3">
        <f>IF(ISNUMBER(AVERAGE('20250815_ETF_Options_Exhibits'!D1961:D1965)),AVERAGE('20250815_ETF_Options_Exhibits'!D1961:D1965),"")</f>
        <v/>
      </c>
      <c r="E1965" s="3">
        <f>IF(ISNUMBER(AVERAGE('20250815_ETF_Options_Exhibits'!E1961:E1965)),AVERAGE('20250815_ETF_Options_Exhibits'!E1961:E1965),"")</f>
        <v/>
      </c>
      <c r="F1965" s="3">
        <f>IF(ISNUMBER(AVERAGE('20250815_ETF_Options_Exhibits'!F1961:F1965)),AVERAGE('20250815_ETF_Options_Exhibits'!F1961:F1965),"")</f>
        <v/>
      </c>
      <c r="G1965" s="3">
        <f>IF(ISNUMBER(AVERAGE('20250815_ETF_Options_Exhibits'!G1961:G1965)),AVERAGE('20250815_ETF_Options_Exhibits'!G1961:G1965),"")</f>
        <v/>
      </c>
      <c r="H1965" s="3">
        <f>IF(ISNUMBER(AVERAGE('20250815_ETF_Options_Exhibits'!H1961:H1965)),AVERAGE('20250815_ETF_Options_Exhibits'!H1961:H1965),"")</f>
        <v/>
      </c>
      <c r="I1965" s="3">
        <f>IF(ISNUMBER(AVERAGE('20250815_ETF_Options_Exhibits'!I1961:I1965)),AVERAGE('20250815_ETF_Options_Exhibits'!I1961:I1965),"")</f>
        <v/>
      </c>
      <c r="J1965" s="3">
        <f>IF(ISNUMBER(AVERAGE('20250815_ETF_Options_Exhibits'!J1961:J1965)),AVERAGE('20250815_ETF_Options_Exhibits'!J1961:J1965),"")</f>
        <v/>
      </c>
      <c r="K1965" s="3">
        <f>IF(ISNUMBER(AVERAGE('20250815_ETF_Options_Exhibits'!K1961:K1965)),AVERAGE('20250815_ETF_Options_Exhibits'!K1961:K1965),"")</f>
        <v/>
      </c>
      <c r="L1965" s="3">
        <f>IF(ISNUMBER(AVERAGE('20250815_ETF_Options_Exhibits'!L1961:L1965)),AVERAGE('20250815_ETF_Options_Exhibits'!L1961:L1965),"")</f>
        <v/>
      </c>
      <c r="M1965" s="3">
        <f>IF(ISNUMBER(AVERAGE('20250815_ETF_Options_Exhibits'!M1961:M1965)),AVERAGE('20250815_ETF_Options_Exhibits'!M1961:M1965),"")</f>
        <v/>
      </c>
      <c r="N1965" s="3">
        <f>IF(ISNUMBER(AVERAGE('20250815_ETF_Options_Exhibits'!N1961:N1965)),AVERAGE('20250815_ETF_Options_Exhibits'!N1961:N1965),"")</f>
        <v/>
      </c>
      <c r="O1965" s="3">
        <f>IF(ISNUMBER(AVERAGE('20250815_ETF_Options_Exhibits'!O1961:O1965)),AVERAGE('20250815_ETF_Options_Exhibits'!O1961:O1965),"")</f>
        <v/>
      </c>
      <c r="P1965" s="3">
        <f>IF(ISNUMBER(AVERAGE('20250815_ETF_Options_Exhibits'!P1961:P1965)),AVERAGE('20250815_ETF_Options_Exhibits'!P1961:P1965),"")</f>
        <v/>
      </c>
      <c r="Q1965" s="3">
        <f>IF(ISNUMBER(AVERAGE('20250815_ETF_Options_Exhibits'!Q1961:Q1965)),AVERAGE('20250815_ETF_Options_Exhibits'!Q1961:Q1965),"")</f>
        <v/>
      </c>
      <c r="R1965" s="3">
        <f>IF(ISNUMBER(AVERAGE('20250815_ETF_Options_Exhibits'!R1961:R1965)),AVERAGE('20250815_ETF_Options_Exhibits'!R1961:R1965),"")</f>
        <v/>
      </c>
      <c r="S1965" s="3">
        <f>IF(ISNUMBER(AVERAGE('20250815_ETF_Options_Exhibits'!S1961:S1965)),AVERAGE('20250815_ETF_Options_Exhibits'!S1961:S1965),"")</f>
        <v/>
      </c>
      <c r="T1965" s="3">
        <f>IF(ISNUMBER(AVERAGE('20250815_ETF_Options_Exhibits'!T1961:T1965)),AVERAGE('20250815_ETF_Options_Exhibits'!T1961:T1965),"")</f>
        <v/>
      </c>
      <c r="U1965" s="3">
        <f>IF(ISNUMBER(AVERAGE('20250815_ETF_Options_Exhibits'!U1961:U1965)),AVERAGE('20250815_ETF_Options_Exhibits'!U1961:U1965),"")</f>
        <v/>
      </c>
      <c r="V1965" s="3">
        <f>IF(ISNUMBER(AVERAGE('20250815_ETF_Options_Exhibits'!V1961:V1965)),AVERAGE('20250815_ETF_Options_Exhibits'!V1961:V1965),"")</f>
        <v/>
      </c>
      <c r="W1965" s="3">
        <f>IF(ISNUMBER(AVERAGE('20250815_ETF_Options_Exhibits'!W1961:W1965)),AVERAGE('20250815_ETF_Options_Exhibits'!W1961:W1965),"")</f>
        <v/>
      </c>
      <c r="X1965" s="3">
        <f>IF(ISNUMBER(AVERAGE('20250815_ETF_Options_Exhibits'!X1961:X1965)),AVERAGE('20250815_ETF_Options_Exhibits'!X1961:X1965),"")</f>
        <v/>
      </c>
      <c r="Y1965" s="3">
        <f>IF(ISNUMBER(AVERAGE('20250815_ETF_Options_Exhibits'!Y1961:Y1965)),AVERAGE('20250815_ETF_Options_Exhibits'!Y1961:Y1965),"")</f>
        <v/>
      </c>
      <c r="Z1965" s="3">
        <f>IF(ISNUMBER(AVERAGE('20250815_ETF_Options_Exhibits'!Z1961:Z1965)),AVERAGE('20250815_ETF_Options_Exhibits'!Z1961:Z1965),"")</f>
        <v/>
      </c>
      <c r="AA1965" s="3">
        <f>IF(ISNUMBER(AVERAGE('20250815_ETF_Options_Exhibits'!AA1961:AA1965)),AVERAGE('20250815_ETF_Options_Exhibits'!AA1961:AA1965),"")</f>
        <v/>
      </c>
    </row>
    <row r="1966">
      <c r="A1966" s="1" t="n">
        <v>44853</v>
      </c>
      <c r="B1966" s="3">
        <f>IF(ISNUMBER(AVERAGE('20250815_ETF_Options_Exhibits'!B1962:B1966)),AVERAGE('20250815_ETF_Options_Exhibits'!B1962:B1966),"")</f>
        <v/>
      </c>
      <c r="C1966" s="3">
        <f>IF(ISNUMBER(AVERAGE('20250815_ETF_Options_Exhibits'!C1962:C1966)),AVERAGE('20250815_ETF_Options_Exhibits'!C1962:C1966),"")</f>
        <v/>
      </c>
      <c r="D1966" s="3">
        <f>IF(ISNUMBER(AVERAGE('20250815_ETF_Options_Exhibits'!D1962:D1966)),AVERAGE('20250815_ETF_Options_Exhibits'!D1962:D1966),"")</f>
        <v/>
      </c>
      <c r="E1966" s="3">
        <f>IF(ISNUMBER(AVERAGE('20250815_ETF_Options_Exhibits'!E1962:E1966)),AVERAGE('20250815_ETF_Options_Exhibits'!E1962:E1966),"")</f>
        <v/>
      </c>
      <c r="F1966" s="3">
        <f>IF(ISNUMBER(AVERAGE('20250815_ETF_Options_Exhibits'!F1962:F1966)),AVERAGE('20250815_ETF_Options_Exhibits'!F1962:F1966),"")</f>
        <v/>
      </c>
      <c r="G1966" s="3">
        <f>IF(ISNUMBER(AVERAGE('20250815_ETF_Options_Exhibits'!G1962:G1966)),AVERAGE('20250815_ETF_Options_Exhibits'!G1962:G1966),"")</f>
        <v/>
      </c>
      <c r="H1966" s="3">
        <f>IF(ISNUMBER(AVERAGE('20250815_ETF_Options_Exhibits'!H1962:H1966)),AVERAGE('20250815_ETF_Options_Exhibits'!H1962:H1966),"")</f>
        <v/>
      </c>
      <c r="I1966" s="3">
        <f>IF(ISNUMBER(AVERAGE('20250815_ETF_Options_Exhibits'!I1962:I1966)),AVERAGE('20250815_ETF_Options_Exhibits'!I1962:I1966),"")</f>
        <v/>
      </c>
      <c r="J1966" s="3">
        <f>IF(ISNUMBER(AVERAGE('20250815_ETF_Options_Exhibits'!J1962:J1966)),AVERAGE('20250815_ETF_Options_Exhibits'!J1962:J1966),"")</f>
        <v/>
      </c>
      <c r="K1966" s="3">
        <f>IF(ISNUMBER(AVERAGE('20250815_ETF_Options_Exhibits'!K1962:K1966)),AVERAGE('20250815_ETF_Options_Exhibits'!K1962:K1966),"")</f>
        <v/>
      </c>
      <c r="L1966" s="3">
        <f>IF(ISNUMBER(AVERAGE('20250815_ETF_Options_Exhibits'!L1962:L1966)),AVERAGE('20250815_ETF_Options_Exhibits'!L1962:L1966),"")</f>
        <v/>
      </c>
      <c r="M1966" s="3">
        <f>IF(ISNUMBER(AVERAGE('20250815_ETF_Options_Exhibits'!M1962:M1966)),AVERAGE('20250815_ETF_Options_Exhibits'!M1962:M1966),"")</f>
        <v/>
      </c>
      <c r="N1966" s="3">
        <f>IF(ISNUMBER(AVERAGE('20250815_ETF_Options_Exhibits'!N1962:N1966)),AVERAGE('20250815_ETF_Options_Exhibits'!N1962:N1966),"")</f>
        <v/>
      </c>
      <c r="O1966" s="3">
        <f>IF(ISNUMBER(AVERAGE('20250815_ETF_Options_Exhibits'!O1962:O1966)),AVERAGE('20250815_ETF_Options_Exhibits'!O1962:O1966),"")</f>
        <v/>
      </c>
      <c r="P1966" s="3">
        <f>IF(ISNUMBER(AVERAGE('20250815_ETF_Options_Exhibits'!P1962:P1966)),AVERAGE('20250815_ETF_Options_Exhibits'!P1962:P1966),"")</f>
        <v/>
      </c>
      <c r="Q1966" s="3">
        <f>IF(ISNUMBER(AVERAGE('20250815_ETF_Options_Exhibits'!Q1962:Q1966)),AVERAGE('20250815_ETF_Options_Exhibits'!Q1962:Q1966),"")</f>
        <v/>
      </c>
      <c r="R1966" s="3">
        <f>IF(ISNUMBER(AVERAGE('20250815_ETF_Options_Exhibits'!R1962:R1966)),AVERAGE('20250815_ETF_Options_Exhibits'!R1962:R1966),"")</f>
        <v/>
      </c>
      <c r="S1966" s="3">
        <f>IF(ISNUMBER(AVERAGE('20250815_ETF_Options_Exhibits'!S1962:S1966)),AVERAGE('20250815_ETF_Options_Exhibits'!S1962:S1966),"")</f>
        <v/>
      </c>
      <c r="T1966" s="3">
        <f>IF(ISNUMBER(AVERAGE('20250815_ETF_Options_Exhibits'!T1962:T1966)),AVERAGE('20250815_ETF_Options_Exhibits'!T1962:T1966),"")</f>
        <v/>
      </c>
      <c r="U1966" s="3">
        <f>IF(ISNUMBER(AVERAGE('20250815_ETF_Options_Exhibits'!U1962:U1966)),AVERAGE('20250815_ETF_Options_Exhibits'!U1962:U1966),"")</f>
        <v/>
      </c>
      <c r="V1966" s="3">
        <f>IF(ISNUMBER(AVERAGE('20250815_ETF_Options_Exhibits'!V1962:V1966)),AVERAGE('20250815_ETF_Options_Exhibits'!V1962:V1966),"")</f>
        <v/>
      </c>
      <c r="W1966" s="3">
        <f>IF(ISNUMBER(AVERAGE('20250815_ETF_Options_Exhibits'!W1962:W1966)),AVERAGE('20250815_ETF_Options_Exhibits'!W1962:W1966),"")</f>
        <v/>
      </c>
      <c r="X1966" s="3">
        <f>IF(ISNUMBER(AVERAGE('20250815_ETF_Options_Exhibits'!X1962:X1966)),AVERAGE('20250815_ETF_Options_Exhibits'!X1962:X1966),"")</f>
        <v/>
      </c>
      <c r="Y1966" s="3">
        <f>IF(ISNUMBER(AVERAGE('20250815_ETF_Options_Exhibits'!Y1962:Y1966)),AVERAGE('20250815_ETF_Options_Exhibits'!Y1962:Y1966),"")</f>
        <v/>
      </c>
      <c r="Z1966" s="3">
        <f>IF(ISNUMBER(AVERAGE('20250815_ETF_Options_Exhibits'!Z1962:Z1966)),AVERAGE('20250815_ETF_Options_Exhibits'!Z1962:Z1966),"")</f>
        <v/>
      </c>
      <c r="AA1966" s="3">
        <f>IF(ISNUMBER(AVERAGE('20250815_ETF_Options_Exhibits'!AA1962:AA1966)),AVERAGE('20250815_ETF_Options_Exhibits'!AA1962:AA1966),"")</f>
        <v/>
      </c>
    </row>
    <row r="1967">
      <c r="A1967" s="1" t="n">
        <v>44854</v>
      </c>
      <c r="B1967" s="3">
        <f>IF(ISNUMBER(AVERAGE('20250815_ETF_Options_Exhibits'!B1963:B1967)),AVERAGE('20250815_ETF_Options_Exhibits'!B1963:B1967),"")</f>
        <v/>
      </c>
      <c r="C1967" s="3">
        <f>IF(ISNUMBER(AVERAGE('20250815_ETF_Options_Exhibits'!C1963:C1967)),AVERAGE('20250815_ETF_Options_Exhibits'!C1963:C1967),"")</f>
        <v/>
      </c>
      <c r="D1967" s="3">
        <f>IF(ISNUMBER(AVERAGE('20250815_ETF_Options_Exhibits'!D1963:D1967)),AVERAGE('20250815_ETF_Options_Exhibits'!D1963:D1967),"")</f>
        <v/>
      </c>
      <c r="E1967" s="3">
        <f>IF(ISNUMBER(AVERAGE('20250815_ETF_Options_Exhibits'!E1963:E1967)),AVERAGE('20250815_ETF_Options_Exhibits'!E1963:E1967),"")</f>
        <v/>
      </c>
      <c r="F1967" s="3">
        <f>IF(ISNUMBER(AVERAGE('20250815_ETF_Options_Exhibits'!F1963:F1967)),AVERAGE('20250815_ETF_Options_Exhibits'!F1963:F1967),"")</f>
        <v/>
      </c>
      <c r="G1967" s="3">
        <f>IF(ISNUMBER(AVERAGE('20250815_ETF_Options_Exhibits'!G1963:G1967)),AVERAGE('20250815_ETF_Options_Exhibits'!G1963:G1967),"")</f>
        <v/>
      </c>
      <c r="H1967" s="3">
        <f>IF(ISNUMBER(AVERAGE('20250815_ETF_Options_Exhibits'!H1963:H1967)),AVERAGE('20250815_ETF_Options_Exhibits'!H1963:H1967),"")</f>
        <v/>
      </c>
      <c r="I1967" s="3">
        <f>IF(ISNUMBER(AVERAGE('20250815_ETF_Options_Exhibits'!I1963:I1967)),AVERAGE('20250815_ETF_Options_Exhibits'!I1963:I1967),"")</f>
        <v/>
      </c>
      <c r="J1967" s="3">
        <f>IF(ISNUMBER(AVERAGE('20250815_ETF_Options_Exhibits'!J1963:J1967)),AVERAGE('20250815_ETF_Options_Exhibits'!J1963:J1967),"")</f>
        <v/>
      </c>
      <c r="K1967" s="3">
        <f>IF(ISNUMBER(AVERAGE('20250815_ETF_Options_Exhibits'!K1963:K1967)),AVERAGE('20250815_ETF_Options_Exhibits'!K1963:K1967),"")</f>
        <v/>
      </c>
      <c r="L1967" s="3">
        <f>IF(ISNUMBER(AVERAGE('20250815_ETF_Options_Exhibits'!L1963:L1967)),AVERAGE('20250815_ETF_Options_Exhibits'!L1963:L1967),"")</f>
        <v/>
      </c>
      <c r="M1967" s="3">
        <f>IF(ISNUMBER(AVERAGE('20250815_ETF_Options_Exhibits'!M1963:M1967)),AVERAGE('20250815_ETF_Options_Exhibits'!M1963:M1967),"")</f>
        <v/>
      </c>
      <c r="N1967" s="3">
        <f>IF(ISNUMBER(AVERAGE('20250815_ETF_Options_Exhibits'!N1963:N1967)),AVERAGE('20250815_ETF_Options_Exhibits'!N1963:N1967),"")</f>
        <v/>
      </c>
      <c r="O1967" s="3">
        <f>IF(ISNUMBER(AVERAGE('20250815_ETF_Options_Exhibits'!O1963:O1967)),AVERAGE('20250815_ETF_Options_Exhibits'!O1963:O1967),"")</f>
        <v/>
      </c>
      <c r="P1967" s="3">
        <f>IF(ISNUMBER(AVERAGE('20250815_ETF_Options_Exhibits'!P1963:P1967)),AVERAGE('20250815_ETF_Options_Exhibits'!P1963:P1967),"")</f>
        <v/>
      </c>
      <c r="Q1967" s="3">
        <f>IF(ISNUMBER(AVERAGE('20250815_ETF_Options_Exhibits'!Q1963:Q1967)),AVERAGE('20250815_ETF_Options_Exhibits'!Q1963:Q1967),"")</f>
        <v/>
      </c>
      <c r="R1967" s="3">
        <f>IF(ISNUMBER(AVERAGE('20250815_ETF_Options_Exhibits'!R1963:R1967)),AVERAGE('20250815_ETF_Options_Exhibits'!R1963:R1967),"")</f>
        <v/>
      </c>
      <c r="S1967" s="3">
        <f>IF(ISNUMBER(AVERAGE('20250815_ETF_Options_Exhibits'!S1963:S1967)),AVERAGE('20250815_ETF_Options_Exhibits'!S1963:S1967),"")</f>
        <v/>
      </c>
      <c r="T1967" s="3">
        <f>IF(ISNUMBER(AVERAGE('20250815_ETF_Options_Exhibits'!T1963:T1967)),AVERAGE('20250815_ETF_Options_Exhibits'!T1963:T1967),"")</f>
        <v/>
      </c>
      <c r="U1967" s="3">
        <f>IF(ISNUMBER(AVERAGE('20250815_ETF_Options_Exhibits'!U1963:U1967)),AVERAGE('20250815_ETF_Options_Exhibits'!U1963:U1967),"")</f>
        <v/>
      </c>
      <c r="V1967" s="3">
        <f>IF(ISNUMBER(AVERAGE('20250815_ETF_Options_Exhibits'!V1963:V1967)),AVERAGE('20250815_ETF_Options_Exhibits'!V1963:V1967),"")</f>
        <v/>
      </c>
      <c r="W1967" s="3">
        <f>IF(ISNUMBER(AVERAGE('20250815_ETF_Options_Exhibits'!W1963:W1967)),AVERAGE('20250815_ETF_Options_Exhibits'!W1963:W1967),"")</f>
        <v/>
      </c>
      <c r="X1967" s="3">
        <f>IF(ISNUMBER(AVERAGE('20250815_ETF_Options_Exhibits'!X1963:X1967)),AVERAGE('20250815_ETF_Options_Exhibits'!X1963:X1967),"")</f>
        <v/>
      </c>
      <c r="Y1967" s="3">
        <f>IF(ISNUMBER(AVERAGE('20250815_ETF_Options_Exhibits'!Y1963:Y1967)),AVERAGE('20250815_ETF_Options_Exhibits'!Y1963:Y1967),"")</f>
        <v/>
      </c>
      <c r="Z1967" s="3">
        <f>IF(ISNUMBER(AVERAGE('20250815_ETF_Options_Exhibits'!Z1963:Z1967)),AVERAGE('20250815_ETF_Options_Exhibits'!Z1963:Z1967),"")</f>
        <v/>
      </c>
      <c r="AA1967" s="3">
        <f>IF(ISNUMBER(AVERAGE('20250815_ETF_Options_Exhibits'!AA1963:AA1967)),AVERAGE('20250815_ETF_Options_Exhibits'!AA1963:AA1967),"")</f>
        <v/>
      </c>
    </row>
    <row r="1968">
      <c r="A1968" s="1" t="n">
        <v>44855</v>
      </c>
      <c r="B1968" s="3">
        <f>IF(ISNUMBER(AVERAGE('20250815_ETF_Options_Exhibits'!B1964:B1968)),AVERAGE('20250815_ETF_Options_Exhibits'!B1964:B1968),"")</f>
        <v/>
      </c>
      <c r="C1968" s="3">
        <f>IF(ISNUMBER(AVERAGE('20250815_ETF_Options_Exhibits'!C1964:C1968)),AVERAGE('20250815_ETF_Options_Exhibits'!C1964:C1968),"")</f>
        <v/>
      </c>
      <c r="D1968" s="3">
        <f>IF(ISNUMBER(AVERAGE('20250815_ETF_Options_Exhibits'!D1964:D1968)),AVERAGE('20250815_ETF_Options_Exhibits'!D1964:D1968),"")</f>
        <v/>
      </c>
      <c r="E1968" s="3">
        <f>IF(ISNUMBER(AVERAGE('20250815_ETF_Options_Exhibits'!E1964:E1968)),AVERAGE('20250815_ETF_Options_Exhibits'!E1964:E1968),"")</f>
        <v/>
      </c>
      <c r="F1968" s="3">
        <f>IF(ISNUMBER(AVERAGE('20250815_ETF_Options_Exhibits'!F1964:F1968)),AVERAGE('20250815_ETF_Options_Exhibits'!F1964:F1968),"")</f>
        <v/>
      </c>
      <c r="G1968" s="3">
        <f>IF(ISNUMBER(AVERAGE('20250815_ETF_Options_Exhibits'!G1964:G1968)),AVERAGE('20250815_ETF_Options_Exhibits'!G1964:G1968),"")</f>
        <v/>
      </c>
      <c r="H1968" s="3">
        <f>IF(ISNUMBER(AVERAGE('20250815_ETF_Options_Exhibits'!H1964:H1968)),AVERAGE('20250815_ETF_Options_Exhibits'!H1964:H1968),"")</f>
        <v/>
      </c>
      <c r="I1968" s="3">
        <f>IF(ISNUMBER(AVERAGE('20250815_ETF_Options_Exhibits'!I1964:I1968)),AVERAGE('20250815_ETF_Options_Exhibits'!I1964:I1968),"")</f>
        <v/>
      </c>
      <c r="J1968" s="3">
        <f>IF(ISNUMBER(AVERAGE('20250815_ETF_Options_Exhibits'!J1964:J1968)),AVERAGE('20250815_ETF_Options_Exhibits'!J1964:J1968),"")</f>
        <v/>
      </c>
      <c r="K1968" s="3">
        <f>IF(ISNUMBER(AVERAGE('20250815_ETF_Options_Exhibits'!K1964:K1968)),AVERAGE('20250815_ETF_Options_Exhibits'!K1964:K1968),"")</f>
        <v/>
      </c>
      <c r="L1968" s="3">
        <f>IF(ISNUMBER(AVERAGE('20250815_ETF_Options_Exhibits'!L1964:L1968)),AVERAGE('20250815_ETF_Options_Exhibits'!L1964:L1968),"")</f>
        <v/>
      </c>
      <c r="M1968" s="3">
        <f>IF(ISNUMBER(AVERAGE('20250815_ETF_Options_Exhibits'!M1964:M1968)),AVERAGE('20250815_ETF_Options_Exhibits'!M1964:M1968),"")</f>
        <v/>
      </c>
      <c r="N1968" s="3">
        <f>IF(ISNUMBER(AVERAGE('20250815_ETF_Options_Exhibits'!N1964:N1968)),AVERAGE('20250815_ETF_Options_Exhibits'!N1964:N1968),"")</f>
        <v/>
      </c>
      <c r="O1968" s="3">
        <f>IF(ISNUMBER(AVERAGE('20250815_ETF_Options_Exhibits'!O1964:O1968)),AVERAGE('20250815_ETF_Options_Exhibits'!O1964:O1968),"")</f>
        <v/>
      </c>
      <c r="P1968" s="3">
        <f>IF(ISNUMBER(AVERAGE('20250815_ETF_Options_Exhibits'!P1964:P1968)),AVERAGE('20250815_ETF_Options_Exhibits'!P1964:P1968),"")</f>
        <v/>
      </c>
      <c r="Q1968" s="3">
        <f>IF(ISNUMBER(AVERAGE('20250815_ETF_Options_Exhibits'!Q1964:Q1968)),AVERAGE('20250815_ETF_Options_Exhibits'!Q1964:Q1968),"")</f>
        <v/>
      </c>
      <c r="R1968" s="3">
        <f>IF(ISNUMBER(AVERAGE('20250815_ETF_Options_Exhibits'!R1964:R1968)),AVERAGE('20250815_ETF_Options_Exhibits'!R1964:R1968),"")</f>
        <v/>
      </c>
      <c r="S1968" s="3">
        <f>IF(ISNUMBER(AVERAGE('20250815_ETF_Options_Exhibits'!S1964:S1968)),AVERAGE('20250815_ETF_Options_Exhibits'!S1964:S1968),"")</f>
        <v/>
      </c>
      <c r="T1968" s="3">
        <f>IF(ISNUMBER(AVERAGE('20250815_ETF_Options_Exhibits'!T1964:T1968)),AVERAGE('20250815_ETF_Options_Exhibits'!T1964:T1968),"")</f>
        <v/>
      </c>
      <c r="U1968" s="3">
        <f>IF(ISNUMBER(AVERAGE('20250815_ETF_Options_Exhibits'!U1964:U1968)),AVERAGE('20250815_ETF_Options_Exhibits'!U1964:U1968),"")</f>
        <v/>
      </c>
      <c r="V1968" s="3">
        <f>IF(ISNUMBER(AVERAGE('20250815_ETF_Options_Exhibits'!V1964:V1968)),AVERAGE('20250815_ETF_Options_Exhibits'!V1964:V1968),"")</f>
        <v/>
      </c>
      <c r="W1968" s="3">
        <f>IF(ISNUMBER(AVERAGE('20250815_ETF_Options_Exhibits'!W1964:W1968)),AVERAGE('20250815_ETF_Options_Exhibits'!W1964:W1968),"")</f>
        <v/>
      </c>
      <c r="X1968" s="3">
        <f>IF(ISNUMBER(AVERAGE('20250815_ETF_Options_Exhibits'!X1964:X1968)),AVERAGE('20250815_ETF_Options_Exhibits'!X1964:X1968),"")</f>
        <v/>
      </c>
      <c r="Y1968" s="3">
        <f>IF(ISNUMBER(AVERAGE('20250815_ETF_Options_Exhibits'!Y1964:Y1968)),AVERAGE('20250815_ETF_Options_Exhibits'!Y1964:Y1968),"")</f>
        <v/>
      </c>
      <c r="Z1968" s="3">
        <f>IF(ISNUMBER(AVERAGE('20250815_ETF_Options_Exhibits'!Z1964:Z1968)),AVERAGE('20250815_ETF_Options_Exhibits'!Z1964:Z1968),"")</f>
        <v/>
      </c>
      <c r="AA1968" s="3">
        <f>IF(ISNUMBER(AVERAGE('20250815_ETF_Options_Exhibits'!AA1964:AA1968)),AVERAGE('20250815_ETF_Options_Exhibits'!AA1964:AA1968),"")</f>
        <v/>
      </c>
    </row>
    <row r="1969">
      <c r="A1969" s="1" t="n">
        <v>44858</v>
      </c>
      <c r="B1969" s="3">
        <f>IF(ISNUMBER(AVERAGE('20250815_ETF_Options_Exhibits'!B1965:B1969)),AVERAGE('20250815_ETF_Options_Exhibits'!B1965:B1969),"")</f>
        <v/>
      </c>
      <c r="C1969" s="3">
        <f>IF(ISNUMBER(AVERAGE('20250815_ETF_Options_Exhibits'!C1965:C1969)),AVERAGE('20250815_ETF_Options_Exhibits'!C1965:C1969),"")</f>
        <v/>
      </c>
      <c r="D1969" s="3">
        <f>IF(ISNUMBER(AVERAGE('20250815_ETF_Options_Exhibits'!D1965:D1969)),AVERAGE('20250815_ETF_Options_Exhibits'!D1965:D1969),"")</f>
        <v/>
      </c>
      <c r="E1969" s="3">
        <f>IF(ISNUMBER(AVERAGE('20250815_ETF_Options_Exhibits'!E1965:E1969)),AVERAGE('20250815_ETF_Options_Exhibits'!E1965:E1969),"")</f>
        <v/>
      </c>
      <c r="F1969" s="3">
        <f>IF(ISNUMBER(AVERAGE('20250815_ETF_Options_Exhibits'!F1965:F1969)),AVERAGE('20250815_ETF_Options_Exhibits'!F1965:F1969),"")</f>
        <v/>
      </c>
      <c r="G1969" s="3">
        <f>IF(ISNUMBER(AVERAGE('20250815_ETF_Options_Exhibits'!G1965:G1969)),AVERAGE('20250815_ETF_Options_Exhibits'!G1965:G1969),"")</f>
        <v/>
      </c>
      <c r="H1969" s="3">
        <f>IF(ISNUMBER(AVERAGE('20250815_ETF_Options_Exhibits'!H1965:H1969)),AVERAGE('20250815_ETF_Options_Exhibits'!H1965:H1969),"")</f>
        <v/>
      </c>
      <c r="I1969" s="3">
        <f>IF(ISNUMBER(AVERAGE('20250815_ETF_Options_Exhibits'!I1965:I1969)),AVERAGE('20250815_ETF_Options_Exhibits'!I1965:I1969),"")</f>
        <v/>
      </c>
      <c r="J1969" s="3">
        <f>IF(ISNUMBER(AVERAGE('20250815_ETF_Options_Exhibits'!J1965:J1969)),AVERAGE('20250815_ETF_Options_Exhibits'!J1965:J1969),"")</f>
        <v/>
      </c>
      <c r="K1969" s="3">
        <f>IF(ISNUMBER(AVERAGE('20250815_ETF_Options_Exhibits'!K1965:K1969)),AVERAGE('20250815_ETF_Options_Exhibits'!K1965:K1969),"")</f>
        <v/>
      </c>
      <c r="L1969" s="3">
        <f>IF(ISNUMBER(AVERAGE('20250815_ETF_Options_Exhibits'!L1965:L1969)),AVERAGE('20250815_ETF_Options_Exhibits'!L1965:L1969),"")</f>
        <v/>
      </c>
      <c r="M1969" s="3">
        <f>IF(ISNUMBER(AVERAGE('20250815_ETF_Options_Exhibits'!M1965:M1969)),AVERAGE('20250815_ETF_Options_Exhibits'!M1965:M1969),"")</f>
        <v/>
      </c>
      <c r="N1969" s="3">
        <f>IF(ISNUMBER(AVERAGE('20250815_ETF_Options_Exhibits'!N1965:N1969)),AVERAGE('20250815_ETF_Options_Exhibits'!N1965:N1969),"")</f>
        <v/>
      </c>
      <c r="O1969" s="3">
        <f>IF(ISNUMBER(AVERAGE('20250815_ETF_Options_Exhibits'!O1965:O1969)),AVERAGE('20250815_ETF_Options_Exhibits'!O1965:O1969),"")</f>
        <v/>
      </c>
      <c r="P1969" s="3">
        <f>IF(ISNUMBER(AVERAGE('20250815_ETF_Options_Exhibits'!P1965:P1969)),AVERAGE('20250815_ETF_Options_Exhibits'!P1965:P1969),"")</f>
        <v/>
      </c>
      <c r="Q1969" s="3">
        <f>IF(ISNUMBER(AVERAGE('20250815_ETF_Options_Exhibits'!Q1965:Q1969)),AVERAGE('20250815_ETF_Options_Exhibits'!Q1965:Q1969),"")</f>
        <v/>
      </c>
      <c r="R1969" s="3">
        <f>IF(ISNUMBER(AVERAGE('20250815_ETF_Options_Exhibits'!R1965:R1969)),AVERAGE('20250815_ETF_Options_Exhibits'!R1965:R1969),"")</f>
        <v/>
      </c>
      <c r="S1969" s="3">
        <f>IF(ISNUMBER(AVERAGE('20250815_ETF_Options_Exhibits'!S1965:S1969)),AVERAGE('20250815_ETF_Options_Exhibits'!S1965:S1969),"")</f>
        <v/>
      </c>
      <c r="T1969" s="3">
        <f>IF(ISNUMBER(AVERAGE('20250815_ETF_Options_Exhibits'!T1965:T1969)),AVERAGE('20250815_ETF_Options_Exhibits'!T1965:T1969),"")</f>
        <v/>
      </c>
      <c r="U1969" s="3">
        <f>IF(ISNUMBER(AVERAGE('20250815_ETF_Options_Exhibits'!U1965:U1969)),AVERAGE('20250815_ETF_Options_Exhibits'!U1965:U1969),"")</f>
        <v/>
      </c>
      <c r="V1969" s="3">
        <f>IF(ISNUMBER(AVERAGE('20250815_ETF_Options_Exhibits'!V1965:V1969)),AVERAGE('20250815_ETF_Options_Exhibits'!V1965:V1969),"")</f>
        <v/>
      </c>
      <c r="W1969" s="3">
        <f>IF(ISNUMBER(AVERAGE('20250815_ETF_Options_Exhibits'!W1965:W1969)),AVERAGE('20250815_ETF_Options_Exhibits'!W1965:W1969),"")</f>
        <v/>
      </c>
      <c r="X1969" s="3">
        <f>IF(ISNUMBER(AVERAGE('20250815_ETF_Options_Exhibits'!X1965:X1969)),AVERAGE('20250815_ETF_Options_Exhibits'!X1965:X1969),"")</f>
        <v/>
      </c>
      <c r="Y1969" s="3">
        <f>IF(ISNUMBER(AVERAGE('20250815_ETF_Options_Exhibits'!Y1965:Y1969)),AVERAGE('20250815_ETF_Options_Exhibits'!Y1965:Y1969),"")</f>
        <v/>
      </c>
      <c r="Z1969" s="3">
        <f>IF(ISNUMBER(AVERAGE('20250815_ETF_Options_Exhibits'!Z1965:Z1969)),AVERAGE('20250815_ETF_Options_Exhibits'!Z1965:Z1969),"")</f>
        <v/>
      </c>
      <c r="AA1969" s="3">
        <f>IF(ISNUMBER(AVERAGE('20250815_ETF_Options_Exhibits'!AA1965:AA1969)),AVERAGE('20250815_ETF_Options_Exhibits'!AA1965:AA1969),"")</f>
        <v/>
      </c>
    </row>
    <row r="1970">
      <c r="A1970" s="1" t="n">
        <v>44859</v>
      </c>
      <c r="B1970" s="3">
        <f>IF(ISNUMBER(AVERAGE('20250815_ETF_Options_Exhibits'!B1966:B1970)),AVERAGE('20250815_ETF_Options_Exhibits'!B1966:B1970),"")</f>
        <v/>
      </c>
      <c r="C1970" s="3">
        <f>IF(ISNUMBER(AVERAGE('20250815_ETF_Options_Exhibits'!C1966:C1970)),AVERAGE('20250815_ETF_Options_Exhibits'!C1966:C1970),"")</f>
        <v/>
      </c>
      <c r="D1970" s="3">
        <f>IF(ISNUMBER(AVERAGE('20250815_ETF_Options_Exhibits'!D1966:D1970)),AVERAGE('20250815_ETF_Options_Exhibits'!D1966:D1970),"")</f>
        <v/>
      </c>
      <c r="E1970" s="3">
        <f>IF(ISNUMBER(AVERAGE('20250815_ETF_Options_Exhibits'!E1966:E1970)),AVERAGE('20250815_ETF_Options_Exhibits'!E1966:E1970),"")</f>
        <v/>
      </c>
      <c r="F1970" s="3">
        <f>IF(ISNUMBER(AVERAGE('20250815_ETF_Options_Exhibits'!F1966:F1970)),AVERAGE('20250815_ETF_Options_Exhibits'!F1966:F1970),"")</f>
        <v/>
      </c>
      <c r="G1970" s="3">
        <f>IF(ISNUMBER(AVERAGE('20250815_ETF_Options_Exhibits'!G1966:G1970)),AVERAGE('20250815_ETF_Options_Exhibits'!G1966:G1970),"")</f>
        <v/>
      </c>
      <c r="H1970" s="3">
        <f>IF(ISNUMBER(AVERAGE('20250815_ETF_Options_Exhibits'!H1966:H1970)),AVERAGE('20250815_ETF_Options_Exhibits'!H1966:H1970),"")</f>
        <v/>
      </c>
      <c r="I1970" s="3">
        <f>IF(ISNUMBER(AVERAGE('20250815_ETF_Options_Exhibits'!I1966:I1970)),AVERAGE('20250815_ETF_Options_Exhibits'!I1966:I1970),"")</f>
        <v/>
      </c>
      <c r="J1970" s="3">
        <f>IF(ISNUMBER(AVERAGE('20250815_ETF_Options_Exhibits'!J1966:J1970)),AVERAGE('20250815_ETF_Options_Exhibits'!J1966:J1970),"")</f>
        <v/>
      </c>
      <c r="K1970" s="3">
        <f>IF(ISNUMBER(AVERAGE('20250815_ETF_Options_Exhibits'!K1966:K1970)),AVERAGE('20250815_ETF_Options_Exhibits'!K1966:K1970),"")</f>
        <v/>
      </c>
      <c r="L1970" s="3">
        <f>IF(ISNUMBER(AVERAGE('20250815_ETF_Options_Exhibits'!L1966:L1970)),AVERAGE('20250815_ETF_Options_Exhibits'!L1966:L1970),"")</f>
        <v/>
      </c>
      <c r="M1970" s="3">
        <f>IF(ISNUMBER(AVERAGE('20250815_ETF_Options_Exhibits'!M1966:M1970)),AVERAGE('20250815_ETF_Options_Exhibits'!M1966:M1970),"")</f>
        <v/>
      </c>
      <c r="N1970" s="3">
        <f>IF(ISNUMBER(AVERAGE('20250815_ETF_Options_Exhibits'!N1966:N1970)),AVERAGE('20250815_ETF_Options_Exhibits'!N1966:N1970),"")</f>
        <v/>
      </c>
      <c r="O1970" s="3">
        <f>IF(ISNUMBER(AVERAGE('20250815_ETF_Options_Exhibits'!O1966:O1970)),AVERAGE('20250815_ETF_Options_Exhibits'!O1966:O1970),"")</f>
        <v/>
      </c>
      <c r="P1970" s="3">
        <f>IF(ISNUMBER(AVERAGE('20250815_ETF_Options_Exhibits'!P1966:P1970)),AVERAGE('20250815_ETF_Options_Exhibits'!P1966:P1970),"")</f>
        <v/>
      </c>
      <c r="Q1970" s="3">
        <f>IF(ISNUMBER(AVERAGE('20250815_ETF_Options_Exhibits'!Q1966:Q1970)),AVERAGE('20250815_ETF_Options_Exhibits'!Q1966:Q1970),"")</f>
        <v/>
      </c>
      <c r="R1970" s="3">
        <f>IF(ISNUMBER(AVERAGE('20250815_ETF_Options_Exhibits'!R1966:R1970)),AVERAGE('20250815_ETF_Options_Exhibits'!R1966:R1970),"")</f>
        <v/>
      </c>
      <c r="S1970" s="3">
        <f>IF(ISNUMBER(AVERAGE('20250815_ETF_Options_Exhibits'!S1966:S1970)),AVERAGE('20250815_ETF_Options_Exhibits'!S1966:S1970),"")</f>
        <v/>
      </c>
      <c r="T1970" s="3">
        <f>IF(ISNUMBER(AVERAGE('20250815_ETF_Options_Exhibits'!T1966:T1970)),AVERAGE('20250815_ETF_Options_Exhibits'!T1966:T1970),"")</f>
        <v/>
      </c>
      <c r="U1970" s="3">
        <f>IF(ISNUMBER(AVERAGE('20250815_ETF_Options_Exhibits'!U1966:U1970)),AVERAGE('20250815_ETF_Options_Exhibits'!U1966:U1970),"")</f>
        <v/>
      </c>
      <c r="V1970" s="3">
        <f>IF(ISNUMBER(AVERAGE('20250815_ETF_Options_Exhibits'!V1966:V1970)),AVERAGE('20250815_ETF_Options_Exhibits'!V1966:V1970),"")</f>
        <v/>
      </c>
      <c r="W1970" s="3">
        <f>IF(ISNUMBER(AVERAGE('20250815_ETF_Options_Exhibits'!W1966:W1970)),AVERAGE('20250815_ETF_Options_Exhibits'!W1966:W1970),"")</f>
        <v/>
      </c>
      <c r="X1970" s="3">
        <f>IF(ISNUMBER(AVERAGE('20250815_ETF_Options_Exhibits'!X1966:X1970)),AVERAGE('20250815_ETF_Options_Exhibits'!X1966:X1970),"")</f>
        <v/>
      </c>
      <c r="Y1970" s="3">
        <f>IF(ISNUMBER(AVERAGE('20250815_ETF_Options_Exhibits'!Y1966:Y1970)),AVERAGE('20250815_ETF_Options_Exhibits'!Y1966:Y1970),"")</f>
        <v/>
      </c>
      <c r="Z1970" s="3">
        <f>IF(ISNUMBER(AVERAGE('20250815_ETF_Options_Exhibits'!Z1966:Z1970)),AVERAGE('20250815_ETF_Options_Exhibits'!Z1966:Z1970),"")</f>
        <v/>
      </c>
      <c r="AA1970" s="3">
        <f>IF(ISNUMBER(AVERAGE('20250815_ETF_Options_Exhibits'!AA1966:AA1970)),AVERAGE('20250815_ETF_Options_Exhibits'!AA1966:AA1970),"")</f>
        <v/>
      </c>
    </row>
    <row r="1971">
      <c r="A1971" s="1" t="n">
        <v>44860</v>
      </c>
      <c r="B1971" s="3">
        <f>IF(ISNUMBER(AVERAGE('20250815_ETF_Options_Exhibits'!B1967:B1971)),AVERAGE('20250815_ETF_Options_Exhibits'!B1967:B1971),"")</f>
        <v/>
      </c>
      <c r="C1971" s="3">
        <f>IF(ISNUMBER(AVERAGE('20250815_ETF_Options_Exhibits'!C1967:C1971)),AVERAGE('20250815_ETF_Options_Exhibits'!C1967:C1971),"")</f>
        <v/>
      </c>
      <c r="D1971" s="3">
        <f>IF(ISNUMBER(AVERAGE('20250815_ETF_Options_Exhibits'!D1967:D1971)),AVERAGE('20250815_ETF_Options_Exhibits'!D1967:D1971),"")</f>
        <v/>
      </c>
      <c r="E1971" s="3">
        <f>IF(ISNUMBER(AVERAGE('20250815_ETF_Options_Exhibits'!E1967:E1971)),AVERAGE('20250815_ETF_Options_Exhibits'!E1967:E1971),"")</f>
        <v/>
      </c>
      <c r="F1971" s="3">
        <f>IF(ISNUMBER(AVERAGE('20250815_ETF_Options_Exhibits'!F1967:F1971)),AVERAGE('20250815_ETF_Options_Exhibits'!F1967:F1971),"")</f>
        <v/>
      </c>
      <c r="G1971" s="3">
        <f>IF(ISNUMBER(AVERAGE('20250815_ETF_Options_Exhibits'!G1967:G1971)),AVERAGE('20250815_ETF_Options_Exhibits'!G1967:G1971),"")</f>
        <v/>
      </c>
      <c r="H1971" s="3">
        <f>IF(ISNUMBER(AVERAGE('20250815_ETF_Options_Exhibits'!H1967:H1971)),AVERAGE('20250815_ETF_Options_Exhibits'!H1967:H1971),"")</f>
        <v/>
      </c>
      <c r="I1971" s="3">
        <f>IF(ISNUMBER(AVERAGE('20250815_ETF_Options_Exhibits'!I1967:I1971)),AVERAGE('20250815_ETF_Options_Exhibits'!I1967:I1971),"")</f>
        <v/>
      </c>
      <c r="J1971" s="3">
        <f>IF(ISNUMBER(AVERAGE('20250815_ETF_Options_Exhibits'!J1967:J1971)),AVERAGE('20250815_ETF_Options_Exhibits'!J1967:J1971),"")</f>
        <v/>
      </c>
      <c r="K1971" s="3">
        <f>IF(ISNUMBER(AVERAGE('20250815_ETF_Options_Exhibits'!K1967:K1971)),AVERAGE('20250815_ETF_Options_Exhibits'!K1967:K1971),"")</f>
        <v/>
      </c>
      <c r="L1971" s="3">
        <f>IF(ISNUMBER(AVERAGE('20250815_ETF_Options_Exhibits'!L1967:L1971)),AVERAGE('20250815_ETF_Options_Exhibits'!L1967:L1971),"")</f>
        <v/>
      </c>
      <c r="M1971" s="3">
        <f>IF(ISNUMBER(AVERAGE('20250815_ETF_Options_Exhibits'!M1967:M1971)),AVERAGE('20250815_ETF_Options_Exhibits'!M1967:M1971),"")</f>
        <v/>
      </c>
      <c r="N1971" s="3">
        <f>IF(ISNUMBER(AVERAGE('20250815_ETF_Options_Exhibits'!N1967:N1971)),AVERAGE('20250815_ETF_Options_Exhibits'!N1967:N1971),"")</f>
        <v/>
      </c>
      <c r="O1971" s="3">
        <f>IF(ISNUMBER(AVERAGE('20250815_ETF_Options_Exhibits'!O1967:O1971)),AVERAGE('20250815_ETF_Options_Exhibits'!O1967:O1971),"")</f>
        <v/>
      </c>
      <c r="P1971" s="3">
        <f>IF(ISNUMBER(AVERAGE('20250815_ETF_Options_Exhibits'!P1967:P1971)),AVERAGE('20250815_ETF_Options_Exhibits'!P1967:P1971),"")</f>
        <v/>
      </c>
      <c r="Q1971" s="3">
        <f>IF(ISNUMBER(AVERAGE('20250815_ETF_Options_Exhibits'!Q1967:Q1971)),AVERAGE('20250815_ETF_Options_Exhibits'!Q1967:Q1971),"")</f>
        <v/>
      </c>
      <c r="R1971" s="3">
        <f>IF(ISNUMBER(AVERAGE('20250815_ETF_Options_Exhibits'!R1967:R1971)),AVERAGE('20250815_ETF_Options_Exhibits'!R1967:R1971),"")</f>
        <v/>
      </c>
      <c r="S1971" s="3">
        <f>IF(ISNUMBER(AVERAGE('20250815_ETF_Options_Exhibits'!S1967:S1971)),AVERAGE('20250815_ETF_Options_Exhibits'!S1967:S1971),"")</f>
        <v/>
      </c>
      <c r="T1971" s="3">
        <f>IF(ISNUMBER(AVERAGE('20250815_ETF_Options_Exhibits'!T1967:T1971)),AVERAGE('20250815_ETF_Options_Exhibits'!T1967:T1971),"")</f>
        <v/>
      </c>
      <c r="U1971" s="3">
        <f>IF(ISNUMBER(AVERAGE('20250815_ETF_Options_Exhibits'!U1967:U1971)),AVERAGE('20250815_ETF_Options_Exhibits'!U1967:U1971),"")</f>
        <v/>
      </c>
      <c r="V1971" s="3">
        <f>IF(ISNUMBER(AVERAGE('20250815_ETF_Options_Exhibits'!V1967:V1971)),AVERAGE('20250815_ETF_Options_Exhibits'!V1967:V1971),"")</f>
        <v/>
      </c>
      <c r="W1971" s="3">
        <f>IF(ISNUMBER(AVERAGE('20250815_ETF_Options_Exhibits'!W1967:W1971)),AVERAGE('20250815_ETF_Options_Exhibits'!W1967:W1971),"")</f>
        <v/>
      </c>
      <c r="X1971" s="3">
        <f>IF(ISNUMBER(AVERAGE('20250815_ETF_Options_Exhibits'!X1967:X1971)),AVERAGE('20250815_ETF_Options_Exhibits'!X1967:X1971),"")</f>
        <v/>
      </c>
      <c r="Y1971" s="3">
        <f>IF(ISNUMBER(AVERAGE('20250815_ETF_Options_Exhibits'!Y1967:Y1971)),AVERAGE('20250815_ETF_Options_Exhibits'!Y1967:Y1971),"")</f>
        <v/>
      </c>
      <c r="Z1971" s="3">
        <f>IF(ISNUMBER(AVERAGE('20250815_ETF_Options_Exhibits'!Z1967:Z1971)),AVERAGE('20250815_ETF_Options_Exhibits'!Z1967:Z1971),"")</f>
        <v/>
      </c>
      <c r="AA1971" s="3">
        <f>IF(ISNUMBER(AVERAGE('20250815_ETF_Options_Exhibits'!AA1967:AA1971)),AVERAGE('20250815_ETF_Options_Exhibits'!AA1967:AA1971),"")</f>
        <v/>
      </c>
    </row>
    <row r="1972">
      <c r="A1972" s="1" t="n">
        <v>44861</v>
      </c>
      <c r="B1972" s="3">
        <f>IF(ISNUMBER(AVERAGE('20250815_ETF_Options_Exhibits'!B1968:B1972)),AVERAGE('20250815_ETF_Options_Exhibits'!B1968:B1972),"")</f>
        <v/>
      </c>
      <c r="C1972" s="3">
        <f>IF(ISNUMBER(AVERAGE('20250815_ETF_Options_Exhibits'!C1968:C1972)),AVERAGE('20250815_ETF_Options_Exhibits'!C1968:C1972),"")</f>
        <v/>
      </c>
      <c r="D1972" s="3">
        <f>IF(ISNUMBER(AVERAGE('20250815_ETF_Options_Exhibits'!D1968:D1972)),AVERAGE('20250815_ETF_Options_Exhibits'!D1968:D1972),"")</f>
        <v/>
      </c>
      <c r="E1972" s="3">
        <f>IF(ISNUMBER(AVERAGE('20250815_ETF_Options_Exhibits'!E1968:E1972)),AVERAGE('20250815_ETF_Options_Exhibits'!E1968:E1972),"")</f>
        <v/>
      </c>
      <c r="F1972" s="3">
        <f>IF(ISNUMBER(AVERAGE('20250815_ETF_Options_Exhibits'!F1968:F1972)),AVERAGE('20250815_ETF_Options_Exhibits'!F1968:F1972),"")</f>
        <v/>
      </c>
      <c r="G1972" s="3">
        <f>IF(ISNUMBER(AVERAGE('20250815_ETF_Options_Exhibits'!G1968:G1972)),AVERAGE('20250815_ETF_Options_Exhibits'!G1968:G1972),"")</f>
        <v/>
      </c>
      <c r="H1972" s="3">
        <f>IF(ISNUMBER(AVERAGE('20250815_ETF_Options_Exhibits'!H1968:H1972)),AVERAGE('20250815_ETF_Options_Exhibits'!H1968:H1972),"")</f>
        <v/>
      </c>
      <c r="I1972" s="3">
        <f>IF(ISNUMBER(AVERAGE('20250815_ETF_Options_Exhibits'!I1968:I1972)),AVERAGE('20250815_ETF_Options_Exhibits'!I1968:I1972),"")</f>
        <v/>
      </c>
      <c r="J1972" s="3">
        <f>IF(ISNUMBER(AVERAGE('20250815_ETF_Options_Exhibits'!J1968:J1972)),AVERAGE('20250815_ETF_Options_Exhibits'!J1968:J1972),"")</f>
        <v/>
      </c>
      <c r="K1972" s="3">
        <f>IF(ISNUMBER(AVERAGE('20250815_ETF_Options_Exhibits'!K1968:K1972)),AVERAGE('20250815_ETF_Options_Exhibits'!K1968:K1972),"")</f>
        <v/>
      </c>
      <c r="L1972" s="3">
        <f>IF(ISNUMBER(AVERAGE('20250815_ETF_Options_Exhibits'!L1968:L1972)),AVERAGE('20250815_ETF_Options_Exhibits'!L1968:L1972),"")</f>
        <v/>
      </c>
      <c r="M1972" s="3">
        <f>IF(ISNUMBER(AVERAGE('20250815_ETF_Options_Exhibits'!M1968:M1972)),AVERAGE('20250815_ETF_Options_Exhibits'!M1968:M1972),"")</f>
        <v/>
      </c>
      <c r="N1972" s="3">
        <f>IF(ISNUMBER(AVERAGE('20250815_ETF_Options_Exhibits'!N1968:N1972)),AVERAGE('20250815_ETF_Options_Exhibits'!N1968:N1972),"")</f>
        <v/>
      </c>
      <c r="O1972" s="3">
        <f>IF(ISNUMBER(AVERAGE('20250815_ETF_Options_Exhibits'!O1968:O1972)),AVERAGE('20250815_ETF_Options_Exhibits'!O1968:O1972),"")</f>
        <v/>
      </c>
      <c r="P1972" s="3">
        <f>IF(ISNUMBER(AVERAGE('20250815_ETF_Options_Exhibits'!P1968:P1972)),AVERAGE('20250815_ETF_Options_Exhibits'!P1968:P1972),"")</f>
        <v/>
      </c>
      <c r="Q1972" s="3">
        <f>IF(ISNUMBER(AVERAGE('20250815_ETF_Options_Exhibits'!Q1968:Q1972)),AVERAGE('20250815_ETF_Options_Exhibits'!Q1968:Q1972),"")</f>
        <v/>
      </c>
      <c r="R1972" s="3">
        <f>IF(ISNUMBER(AVERAGE('20250815_ETF_Options_Exhibits'!R1968:R1972)),AVERAGE('20250815_ETF_Options_Exhibits'!R1968:R1972),"")</f>
        <v/>
      </c>
      <c r="S1972" s="3">
        <f>IF(ISNUMBER(AVERAGE('20250815_ETF_Options_Exhibits'!S1968:S1972)),AVERAGE('20250815_ETF_Options_Exhibits'!S1968:S1972),"")</f>
        <v/>
      </c>
      <c r="T1972" s="3">
        <f>IF(ISNUMBER(AVERAGE('20250815_ETF_Options_Exhibits'!T1968:T1972)),AVERAGE('20250815_ETF_Options_Exhibits'!T1968:T1972),"")</f>
        <v/>
      </c>
      <c r="U1972" s="3">
        <f>IF(ISNUMBER(AVERAGE('20250815_ETF_Options_Exhibits'!U1968:U1972)),AVERAGE('20250815_ETF_Options_Exhibits'!U1968:U1972),"")</f>
        <v/>
      </c>
      <c r="V1972" s="3">
        <f>IF(ISNUMBER(AVERAGE('20250815_ETF_Options_Exhibits'!V1968:V1972)),AVERAGE('20250815_ETF_Options_Exhibits'!V1968:V1972),"")</f>
        <v/>
      </c>
      <c r="W1972" s="3">
        <f>IF(ISNUMBER(AVERAGE('20250815_ETF_Options_Exhibits'!W1968:W1972)),AVERAGE('20250815_ETF_Options_Exhibits'!W1968:W1972),"")</f>
        <v/>
      </c>
      <c r="X1972" s="3">
        <f>IF(ISNUMBER(AVERAGE('20250815_ETF_Options_Exhibits'!X1968:X1972)),AVERAGE('20250815_ETF_Options_Exhibits'!X1968:X1972),"")</f>
        <v/>
      </c>
      <c r="Y1972" s="3">
        <f>IF(ISNUMBER(AVERAGE('20250815_ETF_Options_Exhibits'!Y1968:Y1972)),AVERAGE('20250815_ETF_Options_Exhibits'!Y1968:Y1972),"")</f>
        <v/>
      </c>
      <c r="Z1972" s="3">
        <f>IF(ISNUMBER(AVERAGE('20250815_ETF_Options_Exhibits'!Z1968:Z1972)),AVERAGE('20250815_ETF_Options_Exhibits'!Z1968:Z1972),"")</f>
        <v/>
      </c>
      <c r="AA1972" s="3">
        <f>IF(ISNUMBER(AVERAGE('20250815_ETF_Options_Exhibits'!AA1968:AA1972)),AVERAGE('20250815_ETF_Options_Exhibits'!AA1968:AA1972),"")</f>
        <v/>
      </c>
    </row>
    <row r="1973">
      <c r="A1973" s="1" t="n">
        <v>44862</v>
      </c>
      <c r="B1973" s="3">
        <f>IF(ISNUMBER(AVERAGE('20250815_ETF_Options_Exhibits'!B1969:B1973)),AVERAGE('20250815_ETF_Options_Exhibits'!B1969:B1973),"")</f>
        <v/>
      </c>
      <c r="C1973" s="3">
        <f>IF(ISNUMBER(AVERAGE('20250815_ETF_Options_Exhibits'!C1969:C1973)),AVERAGE('20250815_ETF_Options_Exhibits'!C1969:C1973),"")</f>
        <v/>
      </c>
      <c r="D1973" s="3">
        <f>IF(ISNUMBER(AVERAGE('20250815_ETF_Options_Exhibits'!D1969:D1973)),AVERAGE('20250815_ETF_Options_Exhibits'!D1969:D1973),"")</f>
        <v/>
      </c>
      <c r="E1973" s="3">
        <f>IF(ISNUMBER(AVERAGE('20250815_ETF_Options_Exhibits'!E1969:E1973)),AVERAGE('20250815_ETF_Options_Exhibits'!E1969:E1973),"")</f>
        <v/>
      </c>
      <c r="F1973" s="3">
        <f>IF(ISNUMBER(AVERAGE('20250815_ETF_Options_Exhibits'!F1969:F1973)),AVERAGE('20250815_ETF_Options_Exhibits'!F1969:F1973),"")</f>
        <v/>
      </c>
      <c r="G1973" s="3">
        <f>IF(ISNUMBER(AVERAGE('20250815_ETF_Options_Exhibits'!G1969:G1973)),AVERAGE('20250815_ETF_Options_Exhibits'!G1969:G1973),"")</f>
        <v/>
      </c>
      <c r="H1973" s="3">
        <f>IF(ISNUMBER(AVERAGE('20250815_ETF_Options_Exhibits'!H1969:H1973)),AVERAGE('20250815_ETF_Options_Exhibits'!H1969:H1973),"")</f>
        <v/>
      </c>
      <c r="I1973" s="3">
        <f>IF(ISNUMBER(AVERAGE('20250815_ETF_Options_Exhibits'!I1969:I1973)),AVERAGE('20250815_ETF_Options_Exhibits'!I1969:I1973),"")</f>
        <v/>
      </c>
      <c r="J1973" s="3">
        <f>IF(ISNUMBER(AVERAGE('20250815_ETF_Options_Exhibits'!J1969:J1973)),AVERAGE('20250815_ETF_Options_Exhibits'!J1969:J1973),"")</f>
        <v/>
      </c>
      <c r="K1973" s="3">
        <f>IF(ISNUMBER(AVERAGE('20250815_ETF_Options_Exhibits'!K1969:K1973)),AVERAGE('20250815_ETF_Options_Exhibits'!K1969:K1973),"")</f>
        <v/>
      </c>
      <c r="L1973" s="3">
        <f>IF(ISNUMBER(AVERAGE('20250815_ETF_Options_Exhibits'!L1969:L1973)),AVERAGE('20250815_ETF_Options_Exhibits'!L1969:L1973),"")</f>
        <v/>
      </c>
      <c r="M1973" s="3">
        <f>IF(ISNUMBER(AVERAGE('20250815_ETF_Options_Exhibits'!M1969:M1973)),AVERAGE('20250815_ETF_Options_Exhibits'!M1969:M1973),"")</f>
        <v/>
      </c>
      <c r="N1973" s="3">
        <f>IF(ISNUMBER(AVERAGE('20250815_ETF_Options_Exhibits'!N1969:N1973)),AVERAGE('20250815_ETF_Options_Exhibits'!N1969:N1973),"")</f>
        <v/>
      </c>
      <c r="O1973" s="3">
        <f>IF(ISNUMBER(AVERAGE('20250815_ETF_Options_Exhibits'!O1969:O1973)),AVERAGE('20250815_ETF_Options_Exhibits'!O1969:O1973),"")</f>
        <v/>
      </c>
      <c r="P1973" s="3">
        <f>IF(ISNUMBER(AVERAGE('20250815_ETF_Options_Exhibits'!P1969:P1973)),AVERAGE('20250815_ETF_Options_Exhibits'!P1969:P1973),"")</f>
        <v/>
      </c>
      <c r="Q1973" s="3">
        <f>IF(ISNUMBER(AVERAGE('20250815_ETF_Options_Exhibits'!Q1969:Q1973)),AVERAGE('20250815_ETF_Options_Exhibits'!Q1969:Q1973),"")</f>
        <v/>
      </c>
      <c r="R1973" s="3">
        <f>IF(ISNUMBER(AVERAGE('20250815_ETF_Options_Exhibits'!R1969:R1973)),AVERAGE('20250815_ETF_Options_Exhibits'!R1969:R1973),"")</f>
        <v/>
      </c>
      <c r="S1973" s="3">
        <f>IF(ISNUMBER(AVERAGE('20250815_ETF_Options_Exhibits'!S1969:S1973)),AVERAGE('20250815_ETF_Options_Exhibits'!S1969:S1973),"")</f>
        <v/>
      </c>
      <c r="T1973" s="3">
        <f>IF(ISNUMBER(AVERAGE('20250815_ETF_Options_Exhibits'!T1969:T1973)),AVERAGE('20250815_ETF_Options_Exhibits'!T1969:T1973),"")</f>
        <v/>
      </c>
      <c r="U1973" s="3">
        <f>IF(ISNUMBER(AVERAGE('20250815_ETF_Options_Exhibits'!U1969:U1973)),AVERAGE('20250815_ETF_Options_Exhibits'!U1969:U1973),"")</f>
        <v/>
      </c>
      <c r="V1973" s="3">
        <f>IF(ISNUMBER(AVERAGE('20250815_ETF_Options_Exhibits'!V1969:V1973)),AVERAGE('20250815_ETF_Options_Exhibits'!V1969:V1973),"")</f>
        <v/>
      </c>
      <c r="W1973" s="3">
        <f>IF(ISNUMBER(AVERAGE('20250815_ETF_Options_Exhibits'!W1969:W1973)),AVERAGE('20250815_ETF_Options_Exhibits'!W1969:W1973),"")</f>
        <v/>
      </c>
      <c r="X1973" s="3">
        <f>IF(ISNUMBER(AVERAGE('20250815_ETF_Options_Exhibits'!X1969:X1973)),AVERAGE('20250815_ETF_Options_Exhibits'!X1969:X1973),"")</f>
        <v/>
      </c>
      <c r="Y1973" s="3">
        <f>IF(ISNUMBER(AVERAGE('20250815_ETF_Options_Exhibits'!Y1969:Y1973)),AVERAGE('20250815_ETF_Options_Exhibits'!Y1969:Y1973),"")</f>
        <v/>
      </c>
      <c r="Z1973" s="3">
        <f>IF(ISNUMBER(AVERAGE('20250815_ETF_Options_Exhibits'!Z1969:Z1973)),AVERAGE('20250815_ETF_Options_Exhibits'!Z1969:Z1973),"")</f>
        <v/>
      </c>
      <c r="AA1973" s="3">
        <f>IF(ISNUMBER(AVERAGE('20250815_ETF_Options_Exhibits'!AA1969:AA1973)),AVERAGE('20250815_ETF_Options_Exhibits'!AA1969:AA1973),"")</f>
        <v/>
      </c>
    </row>
    <row r="1974">
      <c r="A1974" s="1" t="n">
        <v>44865</v>
      </c>
      <c r="B1974" s="3">
        <f>IF(ISNUMBER(AVERAGE('20250815_ETF_Options_Exhibits'!B1970:B1974)),AVERAGE('20250815_ETF_Options_Exhibits'!B1970:B1974),"")</f>
        <v/>
      </c>
      <c r="C1974" s="3">
        <f>IF(ISNUMBER(AVERAGE('20250815_ETF_Options_Exhibits'!C1970:C1974)),AVERAGE('20250815_ETF_Options_Exhibits'!C1970:C1974),"")</f>
        <v/>
      </c>
      <c r="D1974" s="3">
        <f>IF(ISNUMBER(AVERAGE('20250815_ETF_Options_Exhibits'!D1970:D1974)),AVERAGE('20250815_ETF_Options_Exhibits'!D1970:D1974),"")</f>
        <v/>
      </c>
      <c r="E1974" s="3">
        <f>IF(ISNUMBER(AVERAGE('20250815_ETF_Options_Exhibits'!E1970:E1974)),AVERAGE('20250815_ETF_Options_Exhibits'!E1970:E1974),"")</f>
        <v/>
      </c>
      <c r="F1974" s="3">
        <f>IF(ISNUMBER(AVERAGE('20250815_ETF_Options_Exhibits'!F1970:F1974)),AVERAGE('20250815_ETF_Options_Exhibits'!F1970:F1974),"")</f>
        <v/>
      </c>
      <c r="G1974" s="3">
        <f>IF(ISNUMBER(AVERAGE('20250815_ETF_Options_Exhibits'!G1970:G1974)),AVERAGE('20250815_ETF_Options_Exhibits'!G1970:G1974),"")</f>
        <v/>
      </c>
      <c r="H1974" s="3">
        <f>IF(ISNUMBER(AVERAGE('20250815_ETF_Options_Exhibits'!H1970:H1974)),AVERAGE('20250815_ETF_Options_Exhibits'!H1970:H1974),"")</f>
        <v/>
      </c>
      <c r="I1974" s="3">
        <f>IF(ISNUMBER(AVERAGE('20250815_ETF_Options_Exhibits'!I1970:I1974)),AVERAGE('20250815_ETF_Options_Exhibits'!I1970:I1974),"")</f>
        <v/>
      </c>
      <c r="J1974" s="3">
        <f>IF(ISNUMBER(AVERAGE('20250815_ETF_Options_Exhibits'!J1970:J1974)),AVERAGE('20250815_ETF_Options_Exhibits'!J1970:J1974),"")</f>
        <v/>
      </c>
      <c r="K1974" s="3">
        <f>IF(ISNUMBER(AVERAGE('20250815_ETF_Options_Exhibits'!K1970:K1974)),AVERAGE('20250815_ETF_Options_Exhibits'!K1970:K1974),"")</f>
        <v/>
      </c>
      <c r="L1974" s="3">
        <f>IF(ISNUMBER(AVERAGE('20250815_ETF_Options_Exhibits'!L1970:L1974)),AVERAGE('20250815_ETF_Options_Exhibits'!L1970:L1974),"")</f>
        <v/>
      </c>
      <c r="M1974" s="3">
        <f>IF(ISNUMBER(AVERAGE('20250815_ETF_Options_Exhibits'!M1970:M1974)),AVERAGE('20250815_ETF_Options_Exhibits'!M1970:M1974),"")</f>
        <v/>
      </c>
      <c r="N1974" s="3">
        <f>IF(ISNUMBER(AVERAGE('20250815_ETF_Options_Exhibits'!N1970:N1974)),AVERAGE('20250815_ETF_Options_Exhibits'!N1970:N1974),"")</f>
        <v/>
      </c>
      <c r="O1974" s="3">
        <f>IF(ISNUMBER(AVERAGE('20250815_ETF_Options_Exhibits'!O1970:O1974)),AVERAGE('20250815_ETF_Options_Exhibits'!O1970:O1974),"")</f>
        <v/>
      </c>
      <c r="P1974" s="3">
        <f>IF(ISNUMBER(AVERAGE('20250815_ETF_Options_Exhibits'!P1970:P1974)),AVERAGE('20250815_ETF_Options_Exhibits'!P1970:P1974),"")</f>
        <v/>
      </c>
      <c r="Q1974" s="3">
        <f>IF(ISNUMBER(AVERAGE('20250815_ETF_Options_Exhibits'!Q1970:Q1974)),AVERAGE('20250815_ETF_Options_Exhibits'!Q1970:Q1974),"")</f>
        <v/>
      </c>
      <c r="R1974" s="3">
        <f>IF(ISNUMBER(AVERAGE('20250815_ETF_Options_Exhibits'!R1970:R1974)),AVERAGE('20250815_ETF_Options_Exhibits'!R1970:R1974),"")</f>
        <v/>
      </c>
      <c r="S1974" s="3">
        <f>IF(ISNUMBER(AVERAGE('20250815_ETF_Options_Exhibits'!S1970:S1974)),AVERAGE('20250815_ETF_Options_Exhibits'!S1970:S1974),"")</f>
        <v/>
      </c>
      <c r="T1974" s="3">
        <f>IF(ISNUMBER(AVERAGE('20250815_ETF_Options_Exhibits'!T1970:T1974)),AVERAGE('20250815_ETF_Options_Exhibits'!T1970:T1974),"")</f>
        <v/>
      </c>
      <c r="U1974" s="3">
        <f>IF(ISNUMBER(AVERAGE('20250815_ETF_Options_Exhibits'!U1970:U1974)),AVERAGE('20250815_ETF_Options_Exhibits'!U1970:U1974),"")</f>
        <v/>
      </c>
      <c r="V1974" s="3">
        <f>IF(ISNUMBER(AVERAGE('20250815_ETF_Options_Exhibits'!V1970:V1974)),AVERAGE('20250815_ETF_Options_Exhibits'!V1970:V1974),"")</f>
        <v/>
      </c>
      <c r="W1974" s="3">
        <f>IF(ISNUMBER(AVERAGE('20250815_ETF_Options_Exhibits'!W1970:W1974)),AVERAGE('20250815_ETF_Options_Exhibits'!W1970:W1974),"")</f>
        <v/>
      </c>
      <c r="X1974" s="3">
        <f>IF(ISNUMBER(AVERAGE('20250815_ETF_Options_Exhibits'!X1970:X1974)),AVERAGE('20250815_ETF_Options_Exhibits'!X1970:X1974),"")</f>
        <v/>
      </c>
      <c r="Y1974" s="3">
        <f>IF(ISNUMBER(AVERAGE('20250815_ETF_Options_Exhibits'!Y1970:Y1974)),AVERAGE('20250815_ETF_Options_Exhibits'!Y1970:Y1974),"")</f>
        <v/>
      </c>
      <c r="Z1974" s="3">
        <f>IF(ISNUMBER(AVERAGE('20250815_ETF_Options_Exhibits'!Z1970:Z1974)),AVERAGE('20250815_ETF_Options_Exhibits'!Z1970:Z1974),"")</f>
        <v/>
      </c>
      <c r="AA1974" s="3">
        <f>IF(ISNUMBER(AVERAGE('20250815_ETF_Options_Exhibits'!AA1970:AA1974)),AVERAGE('20250815_ETF_Options_Exhibits'!AA1970:AA1974),"")</f>
        <v/>
      </c>
    </row>
    <row r="1975">
      <c r="A1975" s="1" t="n">
        <v>44866</v>
      </c>
      <c r="B1975" s="3">
        <f>IF(ISNUMBER(AVERAGE('20250815_ETF_Options_Exhibits'!B1971:B1975)),AVERAGE('20250815_ETF_Options_Exhibits'!B1971:B1975),"")</f>
        <v/>
      </c>
      <c r="C1975" s="3">
        <f>IF(ISNUMBER(AVERAGE('20250815_ETF_Options_Exhibits'!C1971:C1975)),AVERAGE('20250815_ETF_Options_Exhibits'!C1971:C1975),"")</f>
        <v/>
      </c>
      <c r="D1975" s="3">
        <f>IF(ISNUMBER(AVERAGE('20250815_ETF_Options_Exhibits'!D1971:D1975)),AVERAGE('20250815_ETF_Options_Exhibits'!D1971:D1975),"")</f>
        <v/>
      </c>
      <c r="E1975" s="3">
        <f>IF(ISNUMBER(AVERAGE('20250815_ETF_Options_Exhibits'!E1971:E1975)),AVERAGE('20250815_ETF_Options_Exhibits'!E1971:E1975),"")</f>
        <v/>
      </c>
      <c r="F1975" s="3">
        <f>IF(ISNUMBER(AVERAGE('20250815_ETF_Options_Exhibits'!F1971:F1975)),AVERAGE('20250815_ETF_Options_Exhibits'!F1971:F1975),"")</f>
        <v/>
      </c>
      <c r="G1975" s="3">
        <f>IF(ISNUMBER(AVERAGE('20250815_ETF_Options_Exhibits'!G1971:G1975)),AVERAGE('20250815_ETF_Options_Exhibits'!G1971:G1975),"")</f>
        <v/>
      </c>
      <c r="H1975" s="3">
        <f>IF(ISNUMBER(AVERAGE('20250815_ETF_Options_Exhibits'!H1971:H1975)),AVERAGE('20250815_ETF_Options_Exhibits'!H1971:H1975),"")</f>
        <v/>
      </c>
      <c r="I1975" s="3">
        <f>IF(ISNUMBER(AVERAGE('20250815_ETF_Options_Exhibits'!I1971:I1975)),AVERAGE('20250815_ETF_Options_Exhibits'!I1971:I1975),"")</f>
        <v/>
      </c>
      <c r="J1975" s="3">
        <f>IF(ISNUMBER(AVERAGE('20250815_ETF_Options_Exhibits'!J1971:J1975)),AVERAGE('20250815_ETF_Options_Exhibits'!J1971:J1975),"")</f>
        <v/>
      </c>
      <c r="K1975" s="3">
        <f>IF(ISNUMBER(AVERAGE('20250815_ETF_Options_Exhibits'!K1971:K1975)),AVERAGE('20250815_ETF_Options_Exhibits'!K1971:K1975),"")</f>
        <v/>
      </c>
      <c r="L1975" s="3">
        <f>IF(ISNUMBER(AVERAGE('20250815_ETF_Options_Exhibits'!L1971:L1975)),AVERAGE('20250815_ETF_Options_Exhibits'!L1971:L1975),"")</f>
        <v/>
      </c>
      <c r="M1975" s="3">
        <f>IF(ISNUMBER(AVERAGE('20250815_ETF_Options_Exhibits'!M1971:M1975)),AVERAGE('20250815_ETF_Options_Exhibits'!M1971:M1975),"")</f>
        <v/>
      </c>
      <c r="N1975" s="3">
        <f>IF(ISNUMBER(AVERAGE('20250815_ETF_Options_Exhibits'!N1971:N1975)),AVERAGE('20250815_ETF_Options_Exhibits'!N1971:N1975),"")</f>
        <v/>
      </c>
      <c r="O1975" s="3">
        <f>IF(ISNUMBER(AVERAGE('20250815_ETF_Options_Exhibits'!O1971:O1975)),AVERAGE('20250815_ETF_Options_Exhibits'!O1971:O1975),"")</f>
        <v/>
      </c>
      <c r="P1975" s="3">
        <f>IF(ISNUMBER(AVERAGE('20250815_ETF_Options_Exhibits'!P1971:P1975)),AVERAGE('20250815_ETF_Options_Exhibits'!P1971:P1975),"")</f>
        <v/>
      </c>
      <c r="Q1975" s="3">
        <f>IF(ISNUMBER(AVERAGE('20250815_ETF_Options_Exhibits'!Q1971:Q1975)),AVERAGE('20250815_ETF_Options_Exhibits'!Q1971:Q1975),"")</f>
        <v/>
      </c>
      <c r="R1975" s="3">
        <f>IF(ISNUMBER(AVERAGE('20250815_ETF_Options_Exhibits'!R1971:R1975)),AVERAGE('20250815_ETF_Options_Exhibits'!R1971:R1975),"")</f>
        <v/>
      </c>
      <c r="S1975" s="3">
        <f>IF(ISNUMBER(AVERAGE('20250815_ETF_Options_Exhibits'!S1971:S1975)),AVERAGE('20250815_ETF_Options_Exhibits'!S1971:S1975),"")</f>
        <v/>
      </c>
      <c r="T1975" s="3">
        <f>IF(ISNUMBER(AVERAGE('20250815_ETF_Options_Exhibits'!T1971:T1975)),AVERAGE('20250815_ETF_Options_Exhibits'!T1971:T1975),"")</f>
        <v/>
      </c>
      <c r="U1975" s="3">
        <f>IF(ISNUMBER(AVERAGE('20250815_ETF_Options_Exhibits'!U1971:U1975)),AVERAGE('20250815_ETF_Options_Exhibits'!U1971:U1975),"")</f>
        <v/>
      </c>
      <c r="V1975" s="3">
        <f>IF(ISNUMBER(AVERAGE('20250815_ETF_Options_Exhibits'!V1971:V1975)),AVERAGE('20250815_ETF_Options_Exhibits'!V1971:V1975),"")</f>
        <v/>
      </c>
      <c r="W1975" s="3">
        <f>IF(ISNUMBER(AVERAGE('20250815_ETF_Options_Exhibits'!W1971:W1975)),AVERAGE('20250815_ETF_Options_Exhibits'!W1971:W1975),"")</f>
        <v/>
      </c>
      <c r="X1975" s="3">
        <f>IF(ISNUMBER(AVERAGE('20250815_ETF_Options_Exhibits'!X1971:X1975)),AVERAGE('20250815_ETF_Options_Exhibits'!X1971:X1975),"")</f>
        <v/>
      </c>
      <c r="Y1975" s="3">
        <f>IF(ISNUMBER(AVERAGE('20250815_ETF_Options_Exhibits'!Y1971:Y1975)),AVERAGE('20250815_ETF_Options_Exhibits'!Y1971:Y1975),"")</f>
        <v/>
      </c>
      <c r="Z1975" s="3">
        <f>IF(ISNUMBER(AVERAGE('20250815_ETF_Options_Exhibits'!Z1971:Z1975)),AVERAGE('20250815_ETF_Options_Exhibits'!Z1971:Z1975),"")</f>
        <v/>
      </c>
      <c r="AA1975" s="3">
        <f>IF(ISNUMBER(AVERAGE('20250815_ETF_Options_Exhibits'!AA1971:AA1975)),AVERAGE('20250815_ETF_Options_Exhibits'!AA1971:AA1975),"")</f>
        <v/>
      </c>
    </row>
    <row r="1976">
      <c r="A1976" s="1" t="n">
        <v>44867</v>
      </c>
      <c r="B1976" s="3">
        <f>IF(ISNUMBER(AVERAGE('20250815_ETF_Options_Exhibits'!B1972:B1976)),AVERAGE('20250815_ETF_Options_Exhibits'!B1972:B1976),"")</f>
        <v/>
      </c>
      <c r="C1976" s="3">
        <f>IF(ISNUMBER(AVERAGE('20250815_ETF_Options_Exhibits'!C1972:C1976)),AVERAGE('20250815_ETF_Options_Exhibits'!C1972:C1976),"")</f>
        <v/>
      </c>
      <c r="D1976" s="3">
        <f>IF(ISNUMBER(AVERAGE('20250815_ETF_Options_Exhibits'!D1972:D1976)),AVERAGE('20250815_ETF_Options_Exhibits'!D1972:D1976),"")</f>
        <v/>
      </c>
      <c r="E1976" s="3">
        <f>IF(ISNUMBER(AVERAGE('20250815_ETF_Options_Exhibits'!E1972:E1976)),AVERAGE('20250815_ETF_Options_Exhibits'!E1972:E1976),"")</f>
        <v/>
      </c>
      <c r="F1976" s="3">
        <f>IF(ISNUMBER(AVERAGE('20250815_ETF_Options_Exhibits'!F1972:F1976)),AVERAGE('20250815_ETF_Options_Exhibits'!F1972:F1976),"")</f>
        <v/>
      </c>
      <c r="G1976" s="3">
        <f>IF(ISNUMBER(AVERAGE('20250815_ETF_Options_Exhibits'!G1972:G1976)),AVERAGE('20250815_ETF_Options_Exhibits'!G1972:G1976),"")</f>
        <v/>
      </c>
      <c r="H1976" s="3">
        <f>IF(ISNUMBER(AVERAGE('20250815_ETF_Options_Exhibits'!H1972:H1976)),AVERAGE('20250815_ETF_Options_Exhibits'!H1972:H1976),"")</f>
        <v/>
      </c>
      <c r="I1976" s="3">
        <f>IF(ISNUMBER(AVERAGE('20250815_ETF_Options_Exhibits'!I1972:I1976)),AVERAGE('20250815_ETF_Options_Exhibits'!I1972:I1976),"")</f>
        <v/>
      </c>
      <c r="J1976" s="3">
        <f>IF(ISNUMBER(AVERAGE('20250815_ETF_Options_Exhibits'!J1972:J1976)),AVERAGE('20250815_ETF_Options_Exhibits'!J1972:J1976),"")</f>
        <v/>
      </c>
      <c r="K1976" s="3">
        <f>IF(ISNUMBER(AVERAGE('20250815_ETF_Options_Exhibits'!K1972:K1976)),AVERAGE('20250815_ETF_Options_Exhibits'!K1972:K1976),"")</f>
        <v/>
      </c>
      <c r="L1976" s="3">
        <f>IF(ISNUMBER(AVERAGE('20250815_ETF_Options_Exhibits'!L1972:L1976)),AVERAGE('20250815_ETF_Options_Exhibits'!L1972:L1976),"")</f>
        <v/>
      </c>
      <c r="M1976" s="3">
        <f>IF(ISNUMBER(AVERAGE('20250815_ETF_Options_Exhibits'!M1972:M1976)),AVERAGE('20250815_ETF_Options_Exhibits'!M1972:M1976),"")</f>
        <v/>
      </c>
      <c r="N1976" s="3">
        <f>IF(ISNUMBER(AVERAGE('20250815_ETF_Options_Exhibits'!N1972:N1976)),AVERAGE('20250815_ETF_Options_Exhibits'!N1972:N1976),"")</f>
        <v/>
      </c>
      <c r="O1976" s="3">
        <f>IF(ISNUMBER(AVERAGE('20250815_ETF_Options_Exhibits'!O1972:O1976)),AVERAGE('20250815_ETF_Options_Exhibits'!O1972:O1976),"")</f>
        <v/>
      </c>
      <c r="P1976" s="3">
        <f>IF(ISNUMBER(AVERAGE('20250815_ETF_Options_Exhibits'!P1972:P1976)),AVERAGE('20250815_ETF_Options_Exhibits'!P1972:P1976),"")</f>
        <v/>
      </c>
      <c r="Q1976" s="3">
        <f>IF(ISNUMBER(AVERAGE('20250815_ETF_Options_Exhibits'!Q1972:Q1976)),AVERAGE('20250815_ETF_Options_Exhibits'!Q1972:Q1976),"")</f>
        <v/>
      </c>
      <c r="R1976" s="3">
        <f>IF(ISNUMBER(AVERAGE('20250815_ETF_Options_Exhibits'!R1972:R1976)),AVERAGE('20250815_ETF_Options_Exhibits'!R1972:R1976),"")</f>
        <v/>
      </c>
      <c r="S1976" s="3">
        <f>IF(ISNUMBER(AVERAGE('20250815_ETF_Options_Exhibits'!S1972:S1976)),AVERAGE('20250815_ETF_Options_Exhibits'!S1972:S1976),"")</f>
        <v/>
      </c>
      <c r="T1976" s="3">
        <f>IF(ISNUMBER(AVERAGE('20250815_ETF_Options_Exhibits'!T1972:T1976)),AVERAGE('20250815_ETF_Options_Exhibits'!T1972:T1976),"")</f>
        <v/>
      </c>
      <c r="U1976" s="3">
        <f>IF(ISNUMBER(AVERAGE('20250815_ETF_Options_Exhibits'!U1972:U1976)),AVERAGE('20250815_ETF_Options_Exhibits'!U1972:U1976),"")</f>
        <v/>
      </c>
      <c r="V1976" s="3">
        <f>IF(ISNUMBER(AVERAGE('20250815_ETF_Options_Exhibits'!V1972:V1976)),AVERAGE('20250815_ETF_Options_Exhibits'!V1972:V1976),"")</f>
        <v/>
      </c>
      <c r="W1976" s="3">
        <f>IF(ISNUMBER(AVERAGE('20250815_ETF_Options_Exhibits'!W1972:W1976)),AVERAGE('20250815_ETF_Options_Exhibits'!W1972:W1976),"")</f>
        <v/>
      </c>
      <c r="X1976" s="3">
        <f>IF(ISNUMBER(AVERAGE('20250815_ETF_Options_Exhibits'!X1972:X1976)),AVERAGE('20250815_ETF_Options_Exhibits'!X1972:X1976),"")</f>
        <v/>
      </c>
      <c r="Y1976" s="3">
        <f>IF(ISNUMBER(AVERAGE('20250815_ETF_Options_Exhibits'!Y1972:Y1976)),AVERAGE('20250815_ETF_Options_Exhibits'!Y1972:Y1976),"")</f>
        <v/>
      </c>
      <c r="Z1976" s="3">
        <f>IF(ISNUMBER(AVERAGE('20250815_ETF_Options_Exhibits'!Z1972:Z1976)),AVERAGE('20250815_ETF_Options_Exhibits'!Z1972:Z1976),"")</f>
        <v/>
      </c>
      <c r="AA1976" s="3">
        <f>IF(ISNUMBER(AVERAGE('20250815_ETF_Options_Exhibits'!AA1972:AA1976)),AVERAGE('20250815_ETF_Options_Exhibits'!AA1972:AA1976),"")</f>
        <v/>
      </c>
    </row>
    <row r="1977">
      <c r="A1977" s="1" t="n">
        <v>44868</v>
      </c>
      <c r="B1977" s="3">
        <f>IF(ISNUMBER(AVERAGE('20250815_ETF_Options_Exhibits'!B1973:B1977)),AVERAGE('20250815_ETF_Options_Exhibits'!B1973:B1977),"")</f>
        <v/>
      </c>
      <c r="C1977" s="3">
        <f>IF(ISNUMBER(AVERAGE('20250815_ETF_Options_Exhibits'!C1973:C1977)),AVERAGE('20250815_ETF_Options_Exhibits'!C1973:C1977),"")</f>
        <v/>
      </c>
      <c r="D1977" s="3">
        <f>IF(ISNUMBER(AVERAGE('20250815_ETF_Options_Exhibits'!D1973:D1977)),AVERAGE('20250815_ETF_Options_Exhibits'!D1973:D1977),"")</f>
        <v/>
      </c>
      <c r="E1977" s="3">
        <f>IF(ISNUMBER(AVERAGE('20250815_ETF_Options_Exhibits'!E1973:E1977)),AVERAGE('20250815_ETF_Options_Exhibits'!E1973:E1977),"")</f>
        <v/>
      </c>
      <c r="F1977" s="3">
        <f>IF(ISNUMBER(AVERAGE('20250815_ETF_Options_Exhibits'!F1973:F1977)),AVERAGE('20250815_ETF_Options_Exhibits'!F1973:F1977),"")</f>
        <v/>
      </c>
      <c r="G1977" s="3">
        <f>IF(ISNUMBER(AVERAGE('20250815_ETF_Options_Exhibits'!G1973:G1977)),AVERAGE('20250815_ETF_Options_Exhibits'!G1973:G1977),"")</f>
        <v/>
      </c>
      <c r="H1977" s="3">
        <f>IF(ISNUMBER(AVERAGE('20250815_ETF_Options_Exhibits'!H1973:H1977)),AVERAGE('20250815_ETF_Options_Exhibits'!H1973:H1977),"")</f>
        <v/>
      </c>
      <c r="I1977" s="3">
        <f>IF(ISNUMBER(AVERAGE('20250815_ETF_Options_Exhibits'!I1973:I1977)),AVERAGE('20250815_ETF_Options_Exhibits'!I1973:I1977),"")</f>
        <v/>
      </c>
      <c r="J1977" s="3">
        <f>IF(ISNUMBER(AVERAGE('20250815_ETF_Options_Exhibits'!J1973:J1977)),AVERAGE('20250815_ETF_Options_Exhibits'!J1973:J1977),"")</f>
        <v/>
      </c>
      <c r="K1977" s="3">
        <f>IF(ISNUMBER(AVERAGE('20250815_ETF_Options_Exhibits'!K1973:K1977)),AVERAGE('20250815_ETF_Options_Exhibits'!K1973:K1977),"")</f>
        <v/>
      </c>
      <c r="L1977" s="3">
        <f>IF(ISNUMBER(AVERAGE('20250815_ETF_Options_Exhibits'!L1973:L1977)),AVERAGE('20250815_ETF_Options_Exhibits'!L1973:L1977),"")</f>
        <v/>
      </c>
      <c r="M1977" s="3">
        <f>IF(ISNUMBER(AVERAGE('20250815_ETF_Options_Exhibits'!M1973:M1977)),AVERAGE('20250815_ETF_Options_Exhibits'!M1973:M1977),"")</f>
        <v/>
      </c>
      <c r="N1977" s="3">
        <f>IF(ISNUMBER(AVERAGE('20250815_ETF_Options_Exhibits'!N1973:N1977)),AVERAGE('20250815_ETF_Options_Exhibits'!N1973:N1977),"")</f>
        <v/>
      </c>
      <c r="O1977" s="3">
        <f>IF(ISNUMBER(AVERAGE('20250815_ETF_Options_Exhibits'!O1973:O1977)),AVERAGE('20250815_ETF_Options_Exhibits'!O1973:O1977),"")</f>
        <v/>
      </c>
      <c r="P1977" s="3">
        <f>IF(ISNUMBER(AVERAGE('20250815_ETF_Options_Exhibits'!P1973:P1977)),AVERAGE('20250815_ETF_Options_Exhibits'!P1973:P1977),"")</f>
        <v/>
      </c>
      <c r="Q1977" s="3">
        <f>IF(ISNUMBER(AVERAGE('20250815_ETF_Options_Exhibits'!Q1973:Q1977)),AVERAGE('20250815_ETF_Options_Exhibits'!Q1973:Q1977),"")</f>
        <v/>
      </c>
      <c r="R1977" s="3">
        <f>IF(ISNUMBER(AVERAGE('20250815_ETF_Options_Exhibits'!R1973:R1977)),AVERAGE('20250815_ETF_Options_Exhibits'!R1973:R1977),"")</f>
        <v/>
      </c>
      <c r="S1977" s="3">
        <f>IF(ISNUMBER(AVERAGE('20250815_ETF_Options_Exhibits'!S1973:S1977)),AVERAGE('20250815_ETF_Options_Exhibits'!S1973:S1977),"")</f>
        <v/>
      </c>
      <c r="T1977" s="3">
        <f>IF(ISNUMBER(AVERAGE('20250815_ETF_Options_Exhibits'!T1973:T1977)),AVERAGE('20250815_ETF_Options_Exhibits'!T1973:T1977),"")</f>
        <v/>
      </c>
      <c r="U1977" s="3">
        <f>IF(ISNUMBER(AVERAGE('20250815_ETF_Options_Exhibits'!U1973:U1977)),AVERAGE('20250815_ETF_Options_Exhibits'!U1973:U1977),"")</f>
        <v/>
      </c>
      <c r="V1977" s="3">
        <f>IF(ISNUMBER(AVERAGE('20250815_ETF_Options_Exhibits'!V1973:V1977)),AVERAGE('20250815_ETF_Options_Exhibits'!V1973:V1977),"")</f>
        <v/>
      </c>
      <c r="W1977" s="3">
        <f>IF(ISNUMBER(AVERAGE('20250815_ETF_Options_Exhibits'!W1973:W1977)),AVERAGE('20250815_ETF_Options_Exhibits'!W1973:W1977),"")</f>
        <v/>
      </c>
      <c r="X1977" s="3">
        <f>IF(ISNUMBER(AVERAGE('20250815_ETF_Options_Exhibits'!X1973:X1977)),AVERAGE('20250815_ETF_Options_Exhibits'!X1973:X1977),"")</f>
        <v/>
      </c>
      <c r="Y1977" s="3">
        <f>IF(ISNUMBER(AVERAGE('20250815_ETF_Options_Exhibits'!Y1973:Y1977)),AVERAGE('20250815_ETF_Options_Exhibits'!Y1973:Y1977),"")</f>
        <v/>
      </c>
      <c r="Z1977" s="3">
        <f>IF(ISNUMBER(AVERAGE('20250815_ETF_Options_Exhibits'!Z1973:Z1977)),AVERAGE('20250815_ETF_Options_Exhibits'!Z1973:Z1977),"")</f>
        <v/>
      </c>
      <c r="AA1977" s="3">
        <f>IF(ISNUMBER(AVERAGE('20250815_ETF_Options_Exhibits'!AA1973:AA1977)),AVERAGE('20250815_ETF_Options_Exhibits'!AA1973:AA1977),"")</f>
        <v/>
      </c>
    </row>
    <row r="1978">
      <c r="A1978" s="1" t="n">
        <v>44869</v>
      </c>
      <c r="B1978" s="3">
        <f>IF(ISNUMBER(AVERAGE('20250815_ETF_Options_Exhibits'!B1974:B1978)),AVERAGE('20250815_ETF_Options_Exhibits'!B1974:B1978),"")</f>
        <v/>
      </c>
      <c r="C1978" s="3">
        <f>IF(ISNUMBER(AVERAGE('20250815_ETF_Options_Exhibits'!C1974:C1978)),AVERAGE('20250815_ETF_Options_Exhibits'!C1974:C1978),"")</f>
        <v/>
      </c>
      <c r="D1978" s="3">
        <f>IF(ISNUMBER(AVERAGE('20250815_ETF_Options_Exhibits'!D1974:D1978)),AVERAGE('20250815_ETF_Options_Exhibits'!D1974:D1978),"")</f>
        <v/>
      </c>
      <c r="E1978" s="3">
        <f>IF(ISNUMBER(AVERAGE('20250815_ETF_Options_Exhibits'!E1974:E1978)),AVERAGE('20250815_ETF_Options_Exhibits'!E1974:E1978),"")</f>
        <v/>
      </c>
      <c r="F1978" s="3">
        <f>IF(ISNUMBER(AVERAGE('20250815_ETF_Options_Exhibits'!F1974:F1978)),AVERAGE('20250815_ETF_Options_Exhibits'!F1974:F1978),"")</f>
        <v/>
      </c>
      <c r="G1978" s="3">
        <f>IF(ISNUMBER(AVERAGE('20250815_ETF_Options_Exhibits'!G1974:G1978)),AVERAGE('20250815_ETF_Options_Exhibits'!G1974:G1978),"")</f>
        <v/>
      </c>
      <c r="H1978" s="3">
        <f>IF(ISNUMBER(AVERAGE('20250815_ETF_Options_Exhibits'!H1974:H1978)),AVERAGE('20250815_ETF_Options_Exhibits'!H1974:H1978),"")</f>
        <v/>
      </c>
      <c r="I1978" s="3">
        <f>IF(ISNUMBER(AVERAGE('20250815_ETF_Options_Exhibits'!I1974:I1978)),AVERAGE('20250815_ETF_Options_Exhibits'!I1974:I1978),"")</f>
        <v/>
      </c>
      <c r="J1978" s="3">
        <f>IF(ISNUMBER(AVERAGE('20250815_ETF_Options_Exhibits'!J1974:J1978)),AVERAGE('20250815_ETF_Options_Exhibits'!J1974:J1978),"")</f>
        <v/>
      </c>
      <c r="K1978" s="3">
        <f>IF(ISNUMBER(AVERAGE('20250815_ETF_Options_Exhibits'!K1974:K1978)),AVERAGE('20250815_ETF_Options_Exhibits'!K1974:K1978),"")</f>
        <v/>
      </c>
      <c r="L1978" s="3">
        <f>IF(ISNUMBER(AVERAGE('20250815_ETF_Options_Exhibits'!L1974:L1978)),AVERAGE('20250815_ETF_Options_Exhibits'!L1974:L1978),"")</f>
        <v/>
      </c>
      <c r="M1978" s="3">
        <f>IF(ISNUMBER(AVERAGE('20250815_ETF_Options_Exhibits'!M1974:M1978)),AVERAGE('20250815_ETF_Options_Exhibits'!M1974:M1978),"")</f>
        <v/>
      </c>
      <c r="N1978" s="3">
        <f>IF(ISNUMBER(AVERAGE('20250815_ETF_Options_Exhibits'!N1974:N1978)),AVERAGE('20250815_ETF_Options_Exhibits'!N1974:N1978),"")</f>
        <v/>
      </c>
      <c r="O1978" s="3">
        <f>IF(ISNUMBER(AVERAGE('20250815_ETF_Options_Exhibits'!O1974:O1978)),AVERAGE('20250815_ETF_Options_Exhibits'!O1974:O1978),"")</f>
        <v/>
      </c>
      <c r="P1978" s="3">
        <f>IF(ISNUMBER(AVERAGE('20250815_ETF_Options_Exhibits'!P1974:P1978)),AVERAGE('20250815_ETF_Options_Exhibits'!P1974:P1978),"")</f>
        <v/>
      </c>
      <c r="Q1978" s="3">
        <f>IF(ISNUMBER(AVERAGE('20250815_ETF_Options_Exhibits'!Q1974:Q1978)),AVERAGE('20250815_ETF_Options_Exhibits'!Q1974:Q1978),"")</f>
        <v/>
      </c>
      <c r="R1978" s="3">
        <f>IF(ISNUMBER(AVERAGE('20250815_ETF_Options_Exhibits'!R1974:R1978)),AVERAGE('20250815_ETF_Options_Exhibits'!R1974:R1978),"")</f>
        <v/>
      </c>
      <c r="S1978" s="3">
        <f>IF(ISNUMBER(AVERAGE('20250815_ETF_Options_Exhibits'!S1974:S1978)),AVERAGE('20250815_ETF_Options_Exhibits'!S1974:S1978),"")</f>
        <v/>
      </c>
      <c r="T1978" s="3">
        <f>IF(ISNUMBER(AVERAGE('20250815_ETF_Options_Exhibits'!T1974:T1978)),AVERAGE('20250815_ETF_Options_Exhibits'!T1974:T1978),"")</f>
        <v/>
      </c>
      <c r="U1978" s="3">
        <f>IF(ISNUMBER(AVERAGE('20250815_ETF_Options_Exhibits'!U1974:U1978)),AVERAGE('20250815_ETF_Options_Exhibits'!U1974:U1978),"")</f>
        <v/>
      </c>
      <c r="V1978" s="3">
        <f>IF(ISNUMBER(AVERAGE('20250815_ETF_Options_Exhibits'!V1974:V1978)),AVERAGE('20250815_ETF_Options_Exhibits'!V1974:V1978),"")</f>
        <v/>
      </c>
      <c r="W1978" s="3">
        <f>IF(ISNUMBER(AVERAGE('20250815_ETF_Options_Exhibits'!W1974:W1978)),AVERAGE('20250815_ETF_Options_Exhibits'!W1974:W1978),"")</f>
        <v/>
      </c>
      <c r="X1978" s="3">
        <f>IF(ISNUMBER(AVERAGE('20250815_ETF_Options_Exhibits'!X1974:X1978)),AVERAGE('20250815_ETF_Options_Exhibits'!X1974:X1978),"")</f>
        <v/>
      </c>
      <c r="Y1978" s="3">
        <f>IF(ISNUMBER(AVERAGE('20250815_ETF_Options_Exhibits'!Y1974:Y1978)),AVERAGE('20250815_ETF_Options_Exhibits'!Y1974:Y1978),"")</f>
        <v/>
      </c>
      <c r="Z1978" s="3">
        <f>IF(ISNUMBER(AVERAGE('20250815_ETF_Options_Exhibits'!Z1974:Z1978)),AVERAGE('20250815_ETF_Options_Exhibits'!Z1974:Z1978),"")</f>
        <v/>
      </c>
      <c r="AA1978" s="3">
        <f>IF(ISNUMBER(AVERAGE('20250815_ETF_Options_Exhibits'!AA1974:AA1978)),AVERAGE('20250815_ETF_Options_Exhibits'!AA1974:AA1978),"")</f>
        <v/>
      </c>
    </row>
    <row r="1979">
      <c r="A1979" s="1" t="n">
        <v>44872</v>
      </c>
      <c r="B1979" s="3">
        <f>IF(ISNUMBER(AVERAGE('20250815_ETF_Options_Exhibits'!B1975:B1979)),AVERAGE('20250815_ETF_Options_Exhibits'!B1975:B1979),"")</f>
        <v/>
      </c>
      <c r="C1979" s="3">
        <f>IF(ISNUMBER(AVERAGE('20250815_ETF_Options_Exhibits'!C1975:C1979)),AVERAGE('20250815_ETF_Options_Exhibits'!C1975:C1979),"")</f>
        <v/>
      </c>
      <c r="D1979" s="3">
        <f>IF(ISNUMBER(AVERAGE('20250815_ETF_Options_Exhibits'!D1975:D1979)),AVERAGE('20250815_ETF_Options_Exhibits'!D1975:D1979),"")</f>
        <v/>
      </c>
      <c r="E1979" s="3">
        <f>IF(ISNUMBER(AVERAGE('20250815_ETF_Options_Exhibits'!E1975:E1979)),AVERAGE('20250815_ETF_Options_Exhibits'!E1975:E1979),"")</f>
        <v/>
      </c>
      <c r="F1979" s="3">
        <f>IF(ISNUMBER(AVERAGE('20250815_ETF_Options_Exhibits'!F1975:F1979)),AVERAGE('20250815_ETF_Options_Exhibits'!F1975:F1979),"")</f>
        <v/>
      </c>
      <c r="G1979" s="3">
        <f>IF(ISNUMBER(AVERAGE('20250815_ETF_Options_Exhibits'!G1975:G1979)),AVERAGE('20250815_ETF_Options_Exhibits'!G1975:G1979),"")</f>
        <v/>
      </c>
      <c r="H1979" s="3">
        <f>IF(ISNUMBER(AVERAGE('20250815_ETF_Options_Exhibits'!H1975:H1979)),AVERAGE('20250815_ETF_Options_Exhibits'!H1975:H1979),"")</f>
        <v/>
      </c>
      <c r="I1979" s="3">
        <f>IF(ISNUMBER(AVERAGE('20250815_ETF_Options_Exhibits'!I1975:I1979)),AVERAGE('20250815_ETF_Options_Exhibits'!I1975:I1979),"")</f>
        <v/>
      </c>
      <c r="J1979" s="3">
        <f>IF(ISNUMBER(AVERAGE('20250815_ETF_Options_Exhibits'!J1975:J1979)),AVERAGE('20250815_ETF_Options_Exhibits'!J1975:J1979),"")</f>
        <v/>
      </c>
      <c r="K1979" s="3">
        <f>IF(ISNUMBER(AVERAGE('20250815_ETF_Options_Exhibits'!K1975:K1979)),AVERAGE('20250815_ETF_Options_Exhibits'!K1975:K1979),"")</f>
        <v/>
      </c>
      <c r="L1979" s="3">
        <f>IF(ISNUMBER(AVERAGE('20250815_ETF_Options_Exhibits'!L1975:L1979)),AVERAGE('20250815_ETF_Options_Exhibits'!L1975:L1979),"")</f>
        <v/>
      </c>
      <c r="M1979" s="3">
        <f>IF(ISNUMBER(AVERAGE('20250815_ETF_Options_Exhibits'!M1975:M1979)),AVERAGE('20250815_ETF_Options_Exhibits'!M1975:M1979),"")</f>
        <v/>
      </c>
      <c r="N1979" s="3">
        <f>IF(ISNUMBER(AVERAGE('20250815_ETF_Options_Exhibits'!N1975:N1979)),AVERAGE('20250815_ETF_Options_Exhibits'!N1975:N1979),"")</f>
        <v/>
      </c>
      <c r="O1979" s="3">
        <f>IF(ISNUMBER(AVERAGE('20250815_ETF_Options_Exhibits'!O1975:O1979)),AVERAGE('20250815_ETF_Options_Exhibits'!O1975:O1979),"")</f>
        <v/>
      </c>
      <c r="P1979" s="3">
        <f>IF(ISNUMBER(AVERAGE('20250815_ETF_Options_Exhibits'!P1975:P1979)),AVERAGE('20250815_ETF_Options_Exhibits'!P1975:P1979),"")</f>
        <v/>
      </c>
      <c r="Q1979" s="3">
        <f>IF(ISNUMBER(AVERAGE('20250815_ETF_Options_Exhibits'!Q1975:Q1979)),AVERAGE('20250815_ETF_Options_Exhibits'!Q1975:Q1979),"")</f>
        <v/>
      </c>
      <c r="R1979" s="3">
        <f>IF(ISNUMBER(AVERAGE('20250815_ETF_Options_Exhibits'!R1975:R1979)),AVERAGE('20250815_ETF_Options_Exhibits'!R1975:R1979),"")</f>
        <v/>
      </c>
      <c r="S1979" s="3">
        <f>IF(ISNUMBER(AVERAGE('20250815_ETF_Options_Exhibits'!S1975:S1979)),AVERAGE('20250815_ETF_Options_Exhibits'!S1975:S1979),"")</f>
        <v/>
      </c>
      <c r="T1979" s="3">
        <f>IF(ISNUMBER(AVERAGE('20250815_ETF_Options_Exhibits'!T1975:T1979)),AVERAGE('20250815_ETF_Options_Exhibits'!T1975:T1979),"")</f>
        <v/>
      </c>
      <c r="U1979" s="3">
        <f>IF(ISNUMBER(AVERAGE('20250815_ETF_Options_Exhibits'!U1975:U1979)),AVERAGE('20250815_ETF_Options_Exhibits'!U1975:U1979),"")</f>
        <v/>
      </c>
      <c r="V1979" s="3">
        <f>IF(ISNUMBER(AVERAGE('20250815_ETF_Options_Exhibits'!V1975:V1979)),AVERAGE('20250815_ETF_Options_Exhibits'!V1975:V1979),"")</f>
        <v/>
      </c>
      <c r="W1979" s="3">
        <f>IF(ISNUMBER(AVERAGE('20250815_ETF_Options_Exhibits'!W1975:W1979)),AVERAGE('20250815_ETF_Options_Exhibits'!W1975:W1979),"")</f>
        <v/>
      </c>
      <c r="X1979" s="3">
        <f>IF(ISNUMBER(AVERAGE('20250815_ETF_Options_Exhibits'!X1975:X1979)),AVERAGE('20250815_ETF_Options_Exhibits'!X1975:X1979),"")</f>
        <v/>
      </c>
      <c r="Y1979" s="3">
        <f>IF(ISNUMBER(AVERAGE('20250815_ETF_Options_Exhibits'!Y1975:Y1979)),AVERAGE('20250815_ETF_Options_Exhibits'!Y1975:Y1979),"")</f>
        <v/>
      </c>
      <c r="Z1979" s="3">
        <f>IF(ISNUMBER(AVERAGE('20250815_ETF_Options_Exhibits'!Z1975:Z1979)),AVERAGE('20250815_ETF_Options_Exhibits'!Z1975:Z1979),"")</f>
        <v/>
      </c>
      <c r="AA1979" s="3">
        <f>IF(ISNUMBER(AVERAGE('20250815_ETF_Options_Exhibits'!AA1975:AA1979)),AVERAGE('20250815_ETF_Options_Exhibits'!AA1975:AA1979),"")</f>
        <v/>
      </c>
    </row>
    <row r="1980">
      <c r="A1980" s="1" t="n">
        <v>44873</v>
      </c>
      <c r="B1980" s="3">
        <f>IF(ISNUMBER(AVERAGE('20250815_ETF_Options_Exhibits'!B1976:B1980)),AVERAGE('20250815_ETF_Options_Exhibits'!B1976:B1980),"")</f>
        <v/>
      </c>
      <c r="C1980" s="3">
        <f>IF(ISNUMBER(AVERAGE('20250815_ETF_Options_Exhibits'!C1976:C1980)),AVERAGE('20250815_ETF_Options_Exhibits'!C1976:C1980),"")</f>
        <v/>
      </c>
      <c r="D1980" s="3">
        <f>IF(ISNUMBER(AVERAGE('20250815_ETF_Options_Exhibits'!D1976:D1980)),AVERAGE('20250815_ETF_Options_Exhibits'!D1976:D1980),"")</f>
        <v/>
      </c>
      <c r="E1980" s="3">
        <f>IF(ISNUMBER(AVERAGE('20250815_ETF_Options_Exhibits'!E1976:E1980)),AVERAGE('20250815_ETF_Options_Exhibits'!E1976:E1980),"")</f>
        <v/>
      </c>
      <c r="F1980" s="3">
        <f>IF(ISNUMBER(AVERAGE('20250815_ETF_Options_Exhibits'!F1976:F1980)),AVERAGE('20250815_ETF_Options_Exhibits'!F1976:F1980),"")</f>
        <v/>
      </c>
      <c r="G1980" s="3">
        <f>IF(ISNUMBER(AVERAGE('20250815_ETF_Options_Exhibits'!G1976:G1980)),AVERAGE('20250815_ETF_Options_Exhibits'!G1976:G1980),"")</f>
        <v/>
      </c>
      <c r="H1980" s="3">
        <f>IF(ISNUMBER(AVERAGE('20250815_ETF_Options_Exhibits'!H1976:H1980)),AVERAGE('20250815_ETF_Options_Exhibits'!H1976:H1980),"")</f>
        <v/>
      </c>
      <c r="I1980" s="3">
        <f>IF(ISNUMBER(AVERAGE('20250815_ETF_Options_Exhibits'!I1976:I1980)),AVERAGE('20250815_ETF_Options_Exhibits'!I1976:I1980),"")</f>
        <v/>
      </c>
      <c r="J1980" s="3">
        <f>IF(ISNUMBER(AVERAGE('20250815_ETF_Options_Exhibits'!J1976:J1980)),AVERAGE('20250815_ETF_Options_Exhibits'!J1976:J1980),"")</f>
        <v/>
      </c>
      <c r="K1980" s="3">
        <f>IF(ISNUMBER(AVERAGE('20250815_ETF_Options_Exhibits'!K1976:K1980)),AVERAGE('20250815_ETF_Options_Exhibits'!K1976:K1980),"")</f>
        <v/>
      </c>
      <c r="L1980" s="3">
        <f>IF(ISNUMBER(AVERAGE('20250815_ETF_Options_Exhibits'!L1976:L1980)),AVERAGE('20250815_ETF_Options_Exhibits'!L1976:L1980),"")</f>
        <v/>
      </c>
      <c r="M1980" s="3">
        <f>IF(ISNUMBER(AVERAGE('20250815_ETF_Options_Exhibits'!M1976:M1980)),AVERAGE('20250815_ETF_Options_Exhibits'!M1976:M1980),"")</f>
        <v/>
      </c>
      <c r="N1980" s="3">
        <f>IF(ISNUMBER(AVERAGE('20250815_ETF_Options_Exhibits'!N1976:N1980)),AVERAGE('20250815_ETF_Options_Exhibits'!N1976:N1980),"")</f>
        <v/>
      </c>
      <c r="O1980" s="3">
        <f>IF(ISNUMBER(AVERAGE('20250815_ETF_Options_Exhibits'!O1976:O1980)),AVERAGE('20250815_ETF_Options_Exhibits'!O1976:O1980),"")</f>
        <v/>
      </c>
      <c r="P1980" s="3">
        <f>IF(ISNUMBER(AVERAGE('20250815_ETF_Options_Exhibits'!P1976:P1980)),AVERAGE('20250815_ETF_Options_Exhibits'!P1976:P1980),"")</f>
        <v/>
      </c>
      <c r="Q1980" s="3">
        <f>IF(ISNUMBER(AVERAGE('20250815_ETF_Options_Exhibits'!Q1976:Q1980)),AVERAGE('20250815_ETF_Options_Exhibits'!Q1976:Q1980),"")</f>
        <v/>
      </c>
      <c r="R1980" s="3">
        <f>IF(ISNUMBER(AVERAGE('20250815_ETF_Options_Exhibits'!R1976:R1980)),AVERAGE('20250815_ETF_Options_Exhibits'!R1976:R1980),"")</f>
        <v/>
      </c>
      <c r="S1980" s="3">
        <f>IF(ISNUMBER(AVERAGE('20250815_ETF_Options_Exhibits'!S1976:S1980)),AVERAGE('20250815_ETF_Options_Exhibits'!S1976:S1980),"")</f>
        <v/>
      </c>
      <c r="T1980" s="3">
        <f>IF(ISNUMBER(AVERAGE('20250815_ETF_Options_Exhibits'!T1976:T1980)),AVERAGE('20250815_ETF_Options_Exhibits'!T1976:T1980),"")</f>
        <v/>
      </c>
      <c r="U1980" s="3">
        <f>IF(ISNUMBER(AVERAGE('20250815_ETF_Options_Exhibits'!U1976:U1980)),AVERAGE('20250815_ETF_Options_Exhibits'!U1976:U1980),"")</f>
        <v/>
      </c>
      <c r="V1980" s="3">
        <f>IF(ISNUMBER(AVERAGE('20250815_ETF_Options_Exhibits'!V1976:V1980)),AVERAGE('20250815_ETF_Options_Exhibits'!V1976:V1980),"")</f>
        <v/>
      </c>
      <c r="W1980" s="3">
        <f>IF(ISNUMBER(AVERAGE('20250815_ETF_Options_Exhibits'!W1976:W1980)),AVERAGE('20250815_ETF_Options_Exhibits'!W1976:W1980),"")</f>
        <v/>
      </c>
      <c r="X1980" s="3">
        <f>IF(ISNUMBER(AVERAGE('20250815_ETF_Options_Exhibits'!X1976:X1980)),AVERAGE('20250815_ETF_Options_Exhibits'!X1976:X1980),"")</f>
        <v/>
      </c>
      <c r="Y1980" s="3">
        <f>IF(ISNUMBER(AVERAGE('20250815_ETF_Options_Exhibits'!Y1976:Y1980)),AVERAGE('20250815_ETF_Options_Exhibits'!Y1976:Y1980),"")</f>
        <v/>
      </c>
      <c r="Z1980" s="3">
        <f>IF(ISNUMBER(AVERAGE('20250815_ETF_Options_Exhibits'!Z1976:Z1980)),AVERAGE('20250815_ETF_Options_Exhibits'!Z1976:Z1980),"")</f>
        <v/>
      </c>
      <c r="AA1980" s="3">
        <f>IF(ISNUMBER(AVERAGE('20250815_ETF_Options_Exhibits'!AA1976:AA1980)),AVERAGE('20250815_ETF_Options_Exhibits'!AA1976:AA1980),"")</f>
        <v/>
      </c>
    </row>
    <row r="1981">
      <c r="A1981" s="1" t="n">
        <v>44874</v>
      </c>
      <c r="B1981" s="3">
        <f>IF(ISNUMBER(AVERAGE('20250815_ETF_Options_Exhibits'!B1977:B1981)),AVERAGE('20250815_ETF_Options_Exhibits'!B1977:B1981),"")</f>
        <v/>
      </c>
      <c r="C1981" s="3">
        <f>IF(ISNUMBER(AVERAGE('20250815_ETF_Options_Exhibits'!C1977:C1981)),AVERAGE('20250815_ETF_Options_Exhibits'!C1977:C1981),"")</f>
        <v/>
      </c>
      <c r="D1981" s="3">
        <f>IF(ISNUMBER(AVERAGE('20250815_ETF_Options_Exhibits'!D1977:D1981)),AVERAGE('20250815_ETF_Options_Exhibits'!D1977:D1981),"")</f>
        <v/>
      </c>
      <c r="E1981" s="3">
        <f>IF(ISNUMBER(AVERAGE('20250815_ETF_Options_Exhibits'!E1977:E1981)),AVERAGE('20250815_ETF_Options_Exhibits'!E1977:E1981),"")</f>
        <v/>
      </c>
      <c r="F1981" s="3">
        <f>IF(ISNUMBER(AVERAGE('20250815_ETF_Options_Exhibits'!F1977:F1981)),AVERAGE('20250815_ETF_Options_Exhibits'!F1977:F1981),"")</f>
        <v/>
      </c>
      <c r="G1981" s="3">
        <f>IF(ISNUMBER(AVERAGE('20250815_ETF_Options_Exhibits'!G1977:G1981)),AVERAGE('20250815_ETF_Options_Exhibits'!G1977:G1981),"")</f>
        <v/>
      </c>
      <c r="H1981" s="3">
        <f>IF(ISNUMBER(AVERAGE('20250815_ETF_Options_Exhibits'!H1977:H1981)),AVERAGE('20250815_ETF_Options_Exhibits'!H1977:H1981),"")</f>
        <v/>
      </c>
      <c r="I1981" s="3">
        <f>IF(ISNUMBER(AVERAGE('20250815_ETF_Options_Exhibits'!I1977:I1981)),AVERAGE('20250815_ETF_Options_Exhibits'!I1977:I1981),"")</f>
        <v/>
      </c>
      <c r="J1981" s="3">
        <f>IF(ISNUMBER(AVERAGE('20250815_ETF_Options_Exhibits'!J1977:J1981)),AVERAGE('20250815_ETF_Options_Exhibits'!J1977:J1981),"")</f>
        <v/>
      </c>
      <c r="K1981" s="3">
        <f>IF(ISNUMBER(AVERAGE('20250815_ETF_Options_Exhibits'!K1977:K1981)),AVERAGE('20250815_ETF_Options_Exhibits'!K1977:K1981),"")</f>
        <v/>
      </c>
      <c r="L1981" s="3">
        <f>IF(ISNUMBER(AVERAGE('20250815_ETF_Options_Exhibits'!L1977:L1981)),AVERAGE('20250815_ETF_Options_Exhibits'!L1977:L1981),"")</f>
        <v/>
      </c>
      <c r="M1981" s="3">
        <f>IF(ISNUMBER(AVERAGE('20250815_ETF_Options_Exhibits'!M1977:M1981)),AVERAGE('20250815_ETF_Options_Exhibits'!M1977:M1981),"")</f>
        <v/>
      </c>
      <c r="N1981" s="3">
        <f>IF(ISNUMBER(AVERAGE('20250815_ETF_Options_Exhibits'!N1977:N1981)),AVERAGE('20250815_ETF_Options_Exhibits'!N1977:N1981),"")</f>
        <v/>
      </c>
      <c r="O1981" s="3">
        <f>IF(ISNUMBER(AVERAGE('20250815_ETF_Options_Exhibits'!O1977:O1981)),AVERAGE('20250815_ETF_Options_Exhibits'!O1977:O1981),"")</f>
        <v/>
      </c>
      <c r="P1981" s="3">
        <f>IF(ISNUMBER(AVERAGE('20250815_ETF_Options_Exhibits'!P1977:P1981)),AVERAGE('20250815_ETF_Options_Exhibits'!P1977:P1981),"")</f>
        <v/>
      </c>
      <c r="Q1981" s="3">
        <f>IF(ISNUMBER(AVERAGE('20250815_ETF_Options_Exhibits'!Q1977:Q1981)),AVERAGE('20250815_ETF_Options_Exhibits'!Q1977:Q1981),"")</f>
        <v/>
      </c>
      <c r="R1981" s="3">
        <f>IF(ISNUMBER(AVERAGE('20250815_ETF_Options_Exhibits'!R1977:R1981)),AVERAGE('20250815_ETF_Options_Exhibits'!R1977:R1981),"")</f>
        <v/>
      </c>
      <c r="S1981" s="3">
        <f>IF(ISNUMBER(AVERAGE('20250815_ETF_Options_Exhibits'!S1977:S1981)),AVERAGE('20250815_ETF_Options_Exhibits'!S1977:S1981),"")</f>
        <v/>
      </c>
      <c r="T1981" s="3">
        <f>IF(ISNUMBER(AVERAGE('20250815_ETF_Options_Exhibits'!T1977:T1981)),AVERAGE('20250815_ETF_Options_Exhibits'!T1977:T1981),"")</f>
        <v/>
      </c>
      <c r="U1981" s="3">
        <f>IF(ISNUMBER(AVERAGE('20250815_ETF_Options_Exhibits'!U1977:U1981)),AVERAGE('20250815_ETF_Options_Exhibits'!U1977:U1981),"")</f>
        <v/>
      </c>
      <c r="V1981" s="3">
        <f>IF(ISNUMBER(AVERAGE('20250815_ETF_Options_Exhibits'!V1977:V1981)),AVERAGE('20250815_ETF_Options_Exhibits'!V1977:V1981),"")</f>
        <v/>
      </c>
      <c r="W1981" s="3">
        <f>IF(ISNUMBER(AVERAGE('20250815_ETF_Options_Exhibits'!W1977:W1981)),AVERAGE('20250815_ETF_Options_Exhibits'!W1977:W1981),"")</f>
        <v/>
      </c>
      <c r="X1981" s="3">
        <f>IF(ISNUMBER(AVERAGE('20250815_ETF_Options_Exhibits'!X1977:X1981)),AVERAGE('20250815_ETF_Options_Exhibits'!X1977:X1981),"")</f>
        <v/>
      </c>
      <c r="Y1981" s="3">
        <f>IF(ISNUMBER(AVERAGE('20250815_ETF_Options_Exhibits'!Y1977:Y1981)),AVERAGE('20250815_ETF_Options_Exhibits'!Y1977:Y1981),"")</f>
        <v/>
      </c>
      <c r="Z1981" s="3">
        <f>IF(ISNUMBER(AVERAGE('20250815_ETF_Options_Exhibits'!Z1977:Z1981)),AVERAGE('20250815_ETF_Options_Exhibits'!Z1977:Z1981),"")</f>
        <v/>
      </c>
      <c r="AA1981" s="3">
        <f>IF(ISNUMBER(AVERAGE('20250815_ETF_Options_Exhibits'!AA1977:AA1981)),AVERAGE('20250815_ETF_Options_Exhibits'!AA1977:AA1981),"")</f>
        <v/>
      </c>
    </row>
    <row r="1982">
      <c r="A1982" s="1" t="n">
        <v>44875</v>
      </c>
      <c r="B1982" s="3">
        <f>IF(ISNUMBER(AVERAGE('20250815_ETF_Options_Exhibits'!B1978:B1982)),AVERAGE('20250815_ETF_Options_Exhibits'!B1978:B1982),"")</f>
        <v/>
      </c>
      <c r="C1982" s="3">
        <f>IF(ISNUMBER(AVERAGE('20250815_ETF_Options_Exhibits'!C1978:C1982)),AVERAGE('20250815_ETF_Options_Exhibits'!C1978:C1982),"")</f>
        <v/>
      </c>
      <c r="D1982" s="3">
        <f>IF(ISNUMBER(AVERAGE('20250815_ETF_Options_Exhibits'!D1978:D1982)),AVERAGE('20250815_ETF_Options_Exhibits'!D1978:D1982),"")</f>
        <v/>
      </c>
      <c r="E1982" s="3">
        <f>IF(ISNUMBER(AVERAGE('20250815_ETF_Options_Exhibits'!E1978:E1982)),AVERAGE('20250815_ETF_Options_Exhibits'!E1978:E1982),"")</f>
        <v/>
      </c>
      <c r="F1982" s="3">
        <f>IF(ISNUMBER(AVERAGE('20250815_ETF_Options_Exhibits'!F1978:F1982)),AVERAGE('20250815_ETF_Options_Exhibits'!F1978:F1982),"")</f>
        <v/>
      </c>
      <c r="G1982" s="3">
        <f>IF(ISNUMBER(AVERAGE('20250815_ETF_Options_Exhibits'!G1978:G1982)),AVERAGE('20250815_ETF_Options_Exhibits'!G1978:G1982),"")</f>
        <v/>
      </c>
      <c r="H1982" s="3">
        <f>IF(ISNUMBER(AVERAGE('20250815_ETF_Options_Exhibits'!H1978:H1982)),AVERAGE('20250815_ETF_Options_Exhibits'!H1978:H1982),"")</f>
        <v/>
      </c>
      <c r="I1982" s="3">
        <f>IF(ISNUMBER(AVERAGE('20250815_ETF_Options_Exhibits'!I1978:I1982)),AVERAGE('20250815_ETF_Options_Exhibits'!I1978:I1982),"")</f>
        <v/>
      </c>
      <c r="J1982" s="3">
        <f>IF(ISNUMBER(AVERAGE('20250815_ETF_Options_Exhibits'!J1978:J1982)),AVERAGE('20250815_ETF_Options_Exhibits'!J1978:J1982),"")</f>
        <v/>
      </c>
      <c r="K1982" s="3">
        <f>IF(ISNUMBER(AVERAGE('20250815_ETF_Options_Exhibits'!K1978:K1982)),AVERAGE('20250815_ETF_Options_Exhibits'!K1978:K1982),"")</f>
        <v/>
      </c>
      <c r="L1982" s="3">
        <f>IF(ISNUMBER(AVERAGE('20250815_ETF_Options_Exhibits'!L1978:L1982)),AVERAGE('20250815_ETF_Options_Exhibits'!L1978:L1982),"")</f>
        <v/>
      </c>
      <c r="M1982" s="3">
        <f>IF(ISNUMBER(AVERAGE('20250815_ETF_Options_Exhibits'!M1978:M1982)),AVERAGE('20250815_ETF_Options_Exhibits'!M1978:M1982),"")</f>
        <v/>
      </c>
      <c r="N1982" s="3">
        <f>IF(ISNUMBER(AVERAGE('20250815_ETF_Options_Exhibits'!N1978:N1982)),AVERAGE('20250815_ETF_Options_Exhibits'!N1978:N1982),"")</f>
        <v/>
      </c>
      <c r="O1982" s="3">
        <f>IF(ISNUMBER(AVERAGE('20250815_ETF_Options_Exhibits'!O1978:O1982)),AVERAGE('20250815_ETF_Options_Exhibits'!O1978:O1982),"")</f>
        <v/>
      </c>
      <c r="P1982" s="3">
        <f>IF(ISNUMBER(AVERAGE('20250815_ETF_Options_Exhibits'!P1978:P1982)),AVERAGE('20250815_ETF_Options_Exhibits'!P1978:P1982),"")</f>
        <v/>
      </c>
      <c r="Q1982" s="3">
        <f>IF(ISNUMBER(AVERAGE('20250815_ETF_Options_Exhibits'!Q1978:Q1982)),AVERAGE('20250815_ETF_Options_Exhibits'!Q1978:Q1982),"")</f>
        <v/>
      </c>
      <c r="R1982" s="3">
        <f>IF(ISNUMBER(AVERAGE('20250815_ETF_Options_Exhibits'!R1978:R1982)),AVERAGE('20250815_ETF_Options_Exhibits'!R1978:R1982),"")</f>
        <v/>
      </c>
      <c r="S1982" s="3">
        <f>IF(ISNUMBER(AVERAGE('20250815_ETF_Options_Exhibits'!S1978:S1982)),AVERAGE('20250815_ETF_Options_Exhibits'!S1978:S1982),"")</f>
        <v/>
      </c>
      <c r="T1982" s="3">
        <f>IF(ISNUMBER(AVERAGE('20250815_ETF_Options_Exhibits'!T1978:T1982)),AVERAGE('20250815_ETF_Options_Exhibits'!T1978:T1982),"")</f>
        <v/>
      </c>
      <c r="U1982" s="3">
        <f>IF(ISNUMBER(AVERAGE('20250815_ETF_Options_Exhibits'!U1978:U1982)),AVERAGE('20250815_ETF_Options_Exhibits'!U1978:U1982),"")</f>
        <v/>
      </c>
      <c r="V1982" s="3">
        <f>IF(ISNUMBER(AVERAGE('20250815_ETF_Options_Exhibits'!V1978:V1982)),AVERAGE('20250815_ETF_Options_Exhibits'!V1978:V1982),"")</f>
        <v/>
      </c>
      <c r="W1982" s="3">
        <f>IF(ISNUMBER(AVERAGE('20250815_ETF_Options_Exhibits'!W1978:W1982)),AVERAGE('20250815_ETF_Options_Exhibits'!W1978:W1982),"")</f>
        <v/>
      </c>
      <c r="X1982" s="3">
        <f>IF(ISNUMBER(AVERAGE('20250815_ETF_Options_Exhibits'!X1978:X1982)),AVERAGE('20250815_ETF_Options_Exhibits'!X1978:X1982),"")</f>
        <v/>
      </c>
      <c r="Y1982" s="3">
        <f>IF(ISNUMBER(AVERAGE('20250815_ETF_Options_Exhibits'!Y1978:Y1982)),AVERAGE('20250815_ETF_Options_Exhibits'!Y1978:Y1982),"")</f>
        <v/>
      </c>
      <c r="Z1982" s="3">
        <f>IF(ISNUMBER(AVERAGE('20250815_ETF_Options_Exhibits'!Z1978:Z1982)),AVERAGE('20250815_ETF_Options_Exhibits'!Z1978:Z1982),"")</f>
        <v/>
      </c>
      <c r="AA1982" s="3">
        <f>IF(ISNUMBER(AVERAGE('20250815_ETF_Options_Exhibits'!AA1978:AA1982)),AVERAGE('20250815_ETF_Options_Exhibits'!AA1978:AA1982),"")</f>
        <v/>
      </c>
    </row>
    <row r="1983">
      <c r="A1983" s="1" t="n">
        <v>44876</v>
      </c>
      <c r="B1983" s="3">
        <f>IF(ISNUMBER(AVERAGE('20250815_ETF_Options_Exhibits'!B1979:B1983)),AVERAGE('20250815_ETF_Options_Exhibits'!B1979:B1983),"")</f>
        <v/>
      </c>
      <c r="C1983" s="3">
        <f>IF(ISNUMBER(AVERAGE('20250815_ETF_Options_Exhibits'!C1979:C1983)),AVERAGE('20250815_ETF_Options_Exhibits'!C1979:C1983),"")</f>
        <v/>
      </c>
      <c r="D1983" s="3">
        <f>IF(ISNUMBER(AVERAGE('20250815_ETF_Options_Exhibits'!D1979:D1983)),AVERAGE('20250815_ETF_Options_Exhibits'!D1979:D1983),"")</f>
        <v/>
      </c>
      <c r="E1983" s="3">
        <f>IF(ISNUMBER(AVERAGE('20250815_ETF_Options_Exhibits'!E1979:E1983)),AVERAGE('20250815_ETF_Options_Exhibits'!E1979:E1983),"")</f>
        <v/>
      </c>
      <c r="F1983" s="3">
        <f>IF(ISNUMBER(AVERAGE('20250815_ETF_Options_Exhibits'!F1979:F1983)),AVERAGE('20250815_ETF_Options_Exhibits'!F1979:F1983),"")</f>
        <v/>
      </c>
      <c r="G1983" s="3">
        <f>IF(ISNUMBER(AVERAGE('20250815_ETF_Options_Exhibits'!G1979:G1983)),AVERAGE('20250815_ETF_Options_Exhibits'!G1979:G1983),"")</f>
        <v/>
      </c>
      <c r="H1983" s="3">
        <f>IF(ISNUMBER(AVERAGE('20250815_ETF_Options_Exhibits'!H1979:H1983)),AVERAGE('20250815_ETF_Options_Exhibits'!H1979:H1983),"")</f>
        <v/>
      </c>
      <c r="I1983" s="3">
        <f>IF(ISNUMBER(AVERAGE('20250815_ETF_Options_Exhibits'!I1979:I1983)),AVERAGE('20250815_ETF_Options_Exhibits'!I1979:I1983),"")</f>
        <v/>
      </c>
      <c r="J1983" s="3">
        <f>IF(ISNUMBER(AVERAGE('20250815_ETF_Options_Exhibits'!J1979:J1983)),AVERAGE('20250815_ETF_Options_Exhibits'!J1979:J1983),"")</f>
        <v/>
      </c>
      <c r="K1983" s="3">
        <f>IF(ISNUMBER(AVERAGE('20250815_ETF_Options_Exhibits'!K1979:K1983)),AVERAGE('20250815_ETF_Options_Exhibits'!K1979:K1983),"")</f>
        <v/>
      </c>
      <c r="L1983" s="3">
        <f>IF(ISNUMBER(AVERAGE('20250815_ETF_Options_Exhibits'!L1979:L1983)),AVERAGE('20250815_ETF_Options_Exhibits'!L1979:L1983),"")</f>
        <v/>
      </c>
      <c r="M1983" s="3">
        <f>IF(ISNUMBER(AVERAGE('20250815_ETF_Options_Exhibits'!M1979:M1983)),AVERAGE('20250815_ETF_Options_Exhibits'!M1979:M1983),"")</f>
        <v/>
      </c>
      <c r="N1983" s="3">
        <f>IF(ISNUMBER(AVERAGE('20250815_ETF_Options_Exhibits'!N1979:N1983)),AVERAGE('20250815_ETF_Options_Exhibits'!N1979:N1983),"")</f>
        <v/>
      </c>
      <c r="O1983" s="3">
        <f>IF(ISNUMBER(AVERAGE('20250815_ETF_Options_Exhibits'!O1979:O1983)),AVERAGE('20250815_ETF_Options_Exhibits'!O1979:O1983),"")</f>
        <v/>
      </c>
      <c r="P1983" s="3">
        <f>IF(ISNUMBER(AVERAGE('20250815_ETF_Options_Exhibits'!P1979:P1983)),AVERAGE('20250815_ETF_Options_Exhibits'!P1979:P1983),"")</f>
        <v/>
      </c>
      <c r="Q1983" s="3">
        <f>IF(ISNUMBER(AVERAGE('20250815_ETF_Options_Exhibits'!Q1979:Q1983)),AVERAGE('20250815_ETF_Options_Exhibits'!Q1979:Q1983),"")</f>
        <v/>
      </c>
      <c r="R1983" s="3">
        <f>IF(ISNUMBER(AVERAGE('20250815_ETF_Options_Exhibits'!R1979:R1983)),AVERAGE('20250815_ETF_Options_Exhibits'!R1979:R1983),"")</f>
        <v/>
      </c>
      <c r="S1983" s="3">
        <f>IF(ISNUMBER(AVERAGE('20250815_ETF_Options_Exhibits'!S1979:S1983)),AVERAGE('20250815_ETF_Options_Exhibits'!S1979:S1983),"")</f>
        <v/>
      </c>
      <c r="T1983" s="3">
        <f>IF(ISNUMBER(AVERAGE('20250815_ETF_Options_Exhibits'!T1979:T1983)),AVERAGE('20250815_ETF_Options_Exhibits'!T1979:T1983),"")</f>
        <v/>
      </c>
      <c r="U1983" s="3">
        <f>IF(ISNUMBER(AVERAGE('20250815_ETF_Options_Exhibits'!U1979:U1983)),AVERAGE('20250815_ETF_Options_Exhibits'!U1979:U1983),"")</f>
        <v/>
      </c>
      <c r="V1983" s="3">
        <f>IF(ISNUMBER(AVERAGE('20250815_ETF_Options_Exhibits'!V1979:V1983)),AVERAGE('20250815_ETF_Options_Exhibits'!V1979:V1983),"")</f>
        <v/>
      </c>
      <c r="W1983" s="3">
        <f>IF(ISNUMBER(AVERAGE('20250815_ETF_Options_Exhibits'!W1979:W1983)),AVERAGE('20250815_ETF_Options_Exhibits'!W1979:W1983),"")</f>
        <v/>
      </c>
      <c r="X1983" s="3">
        <f>IF(ISNUMBER(AVERAGE('20250815_ETF_Options_Exhibits'!X1979:X1983)),AVERAGE('20250815_ETF_Options_Exhibits'!X1979:X1983),"")</f>
        <v/>
      </c>
      <c r="Y1983" s="3">
        <f>IF(ISNUMBER(AVERAGE('20250815_ETF_Options_Exhibits'!Y1979:Y1983)),AVERAGE('20250815_ETF_Options_Exhibits'!Y1979:Y1983),"")</f>
        <v/>
      </c>
      <c r="Z1983" s="3">
        <f>IF(ISNUMBER(AVERAGE('20250815_ETF_Options_Exhibits'!Z1979:Z1983)),AVERAGE('20250815_ETF_Options_Exhibits'!Z1979:Z1983),"")</f>
        <v/>
      </c>
      <c r="AA1983" s="3">
        <f>IF(ISNUMBER(AVERAGE('20250815_ETF_Options_Exhibits'!AA1979:AA1983)),AVERAGE('20250815_ETF_Options_Exhibits'!AA1979:AA1983),"")</f>
        <v/>
      </c>
    </row>
    <row r="1984">
      <c r="A1984" s="1" t="n">
        <v>44879</v>
      </c>
      <c r="B1984" s="3">
        <f>IF(ISNUMBER(AVERAGE('20250815_ETF_Options_Exhibits'!B1980:B1984)),AVERAGE('20250815_ETF_Options_Exhibits'!B1980:B1984),"")</f>
        <v/>
      </c>
      <c r="C1984" s="3">
        <f>IF(ISNUMBER(AVERAGE('20250815_ETF_Options_Exhibits'!C1980:C1984)),AVERAGE('20250815_ETF_Options_Exhibits'!C1980:C1984),"")</f>
        <v/>
      </c>
      <c r="D1984" s="3">
        <f>IF(ISNUMBER(AVERAGE('20250815_ETF_Options_Exhibits'!D1980:D1984)),AVERAGE('20250815_ETF_Options_Exhibits'!D1980:D1984),"")</f>
        <v/>
      </c>
      <c r="E1984" s="3">
        <f>IF(ISNUMBER(AVERAGE('20250815_ETF_Options_Exhibits'!E1980:E1984)),AVERAGE('20250815_ETF_Options_Exhibits'!E1980:E1984),"")</f>
        <v/>
      </c>
      <c r="F1984" s="3">
        <f>IF(ISNUMBER(AVERAGE('20250815_ETF_Options_Exhibits'!F1980:F1984)),AVERAGE('20250815_ETF_Options_Exhibits'!F1980:F1984),"")</f>
        <v/>
      </c>
      <c r="G1984" s="3">
        <f>IF(ISNUMBER(AVERAGE('20250815_ETF_Options_Exhibits'!G1980:G1984)),AVERAGE('20250815_ETF_Options_Exhibits'!G1980:G1984),"")</f>
        <v/>
      </c>
      <c r="H1984" s="3">
        <f>IF(ISNUMBER(AVERAGE('20250815_ETF_Options_Exhibits'!H1980:H1984)),AVERAGE('20250815_ETF_Options_Exhibits'!H1980:H1984),"")</f>
        <v/>
      </c>
      <c r="I1984" s="3">
        <f>IF(ISNUMBER(AVERAGE('20250815_ETF_Options_Exhibits'!I1980:I1984)),AVERAGE('20250815_ETF_Options_Exhibits'!I1980:I1984),"")</f>
        <v/>
      </c>
      <c r="J1984" s="3">
        <f>IF(ISNUMBER(AVERAGE('20250815_ETF_Options_Exhibits'!J1980:J1984)),AVERAGE('20250815_ETF_Options_Exhibits'!J1980:J1984),"")</f>
        <v/>
      </c>
      <c r="K1984" s="3">
        <f>IF(ISNUMBER(AVERAGE('20250815_ETF_Options_Exhibits'!K1980:K1984)),AVERAGE('20250815_ETF_Options_Exhibits'!K1980:K1984),"")</f>
        <v/>
      </c>
      <c r="L1984" s="3">
        <f>IF(ISNUMBER(AVERAGE('20250815_ETF_Options_Exhibits'!L1980:L1984)),AVERAGE('20250815_ETF_Options_Exhibits'!L1980:L1984),"")</f>
        <v/>
      </c>
      <c r="M1984" s="3">
        <f>IF(ISNUMBER(AVERAGE('20250815_ETF_Options_Exhibits'!M1980:M1984)),AVERAGE('20250815_ETF_Options_Exhibits'!M1980:M1984),"")</f>
        <v/>
      </c>
      <c r="N1984" s="3">
        <f>IF(ISNUMBER(AVERAGE('20250815_ETF_Options_Exhibits'!N1980:N1984)),AVERAGE('20250815_ETF_Options_Exhibits'!N1980:N1984),"")</f>
        <v/>
      </c>
      <c r="O1984" s="3">
        <f>IF(ISNUMBER(AVERAGE('20250815_ETF_Options_Exhibits'!O1980:O1984)),AVERAGE('20250815_ETF_Options_Exhibits'!O1980:O1984),"")</f>
        <v/>
      </c>
      <c r="P1984" s="3">
        <f>IF(ISNUMBER(AVERAGE('20250815_ETF_Options_Exhibits'!P1980:P1984)),AVERAGE('20250815_ETF_Options_Exhibits'!P1980:P1984),"")</f>
        <v/>
      </c>
      <c r="Q1984" s="3">
        <f>IF(ISNUMBER(AVERAGE('20250815_ETF_Options_Exhibits'!Q1980:Q1984)),AVERAGE('20250815_ETF_Options_Exhibits'!Q1980:Q1984),"")</f>
        <v/>
      </c>
      <c r="R1984" s="3">
        <f>IF(ISNUMBER(AVERAGE('20250815_ETF_Options_Exhibits'!R1980:R1984)),AVERAGE('20250815_ETF_Options_Exhibits'!R1980:R1984),"")</f>
        <v/>
      </c>
      <c r="S1984" s="3">
        <f>IF(ISNUMBER(AVERAGE('20250815_ETF_Options_Exhibits'!S1980:S1984)),AVERAGE('20250815_ETF_Options_Exhibits'!S1980:S1984),"")</f>
        <v/>
      </c>
      <c r="T1984" s="3">
        <f>IF(ISNUMBER(AVERAGE('20250815_ETF_Options_Exhibits'!T1980:T1984)),AVERAGE('20250815_ETF_Options_Exhibits'!T1980:T1984),"")</f>
        <v/>
      </c>
      <c r="U1984" s="3">
        <f>IF(ISNUMBER(AVERAGE('20250815_ETF_Options_Exhibits'!U1980:U1984)),AVERAGE('20250815_ETF_Options_Exhibits'!U1980:U1984),"")</f>
        <v/>
      </c>
      <c r="V1984" s="3">
        <f>IF(ISNUMBER(AVERAGE('20250815_ETF_Options_Exhibits'!V1980:V1984)),AVERAGE('20250815_ETF_Options_Exhibits'!V1980:V1984),"")</f>
        <v/>
      </c>
      <c r="W1984" s="3">
        <f>IF(ISNUMBER(AVERAGE('20250815_ETF_Options_Exhibits'!W1980:W1984)),AVERAGE('20250815_ETF_Options_Exhibits'!W1980:W1984),"")</f>
        <v/>
      </c>
      <c r="X1984" s="3">
        <f>IF(ISNUMBER(AVERAGE('20250815_ETF_Options_Exhibits'!X1980:X1984)),AVERAGE('20250815_ETF_Options_Exhibits'!X1980:X1984),"")</f>
        <v/>
      </c>
      <c r="Y1984" s="3">
        <f>IF(ISNUMBER(AVERAGE('20250815_ETF_Options_Exhibits'!Y1980:Y1984)),AVERAGE('20250815_ETF_Options_Exhibits'!Y1980:Y1984),"")</f>
        <v/>
      </c>
      <c r="Z1984" s="3">
        <f>IF(ISNUMBER(AVERAGE('20250815_ETF_Options_Exhibits'!Z1980:Z1984)),AVERAGE('20250815_ETF_Options_Exhibits'!Z1980:Z1984),"")</f>
        <v/>
      </c>
      <c r="AA1984" s="3">
        <f>IF(ISNUMBER(AVERAGE('20250815_ETF_Options_Exhibits'!AA1980:AA1984)),AVERAGE('20250815_ETF_Options_Exhibits'!AA1980:AA1984),"")</f>
        <v/>
      </c>
    </row>
    <row r="1985">
      <c r="A1985" s="1" t="n">
        <v>44880</v>
      </c>
      <c r="B1985" s="3">
        <f>IF(ISNUMBER(AVERAGE('20250815_ETF_Options_Exhibits'!B1981:B1985)),AVERAGE('20250815_ETF_Options_Exhibits'!B1981:B1985),"")</f>
        <v/>
      </c>
      <c r="C1985" s="3">
        <f>IF(ISNUMBER(AVERAGE('20250815_ETF_Options_Exhibits'!C1981:C1985)),AVERAGE('20250815_ETF_Options_Exhibits'!C1981:C1985),"")</f>
        <v/>
      </c>
      <c r="D1985" s="3">
        <f>IF(ISNUMBER(AVERAGE('20250815_ETF_Options_Exhibits'!D1981:D1985)),AVERAGE('20250815_ETF_Options_Exhibits'!D1981:D1985),"")</f>
        <v/>
      </c>
      <c r="E1985" s="3">
        <f>IF(ISNUMBER(AVERAGE('20250815_ETF_Options_Exhibits'!E1981:E1985)),AVERAGE('20250815_ETF_Options_Exhibits'!E1981:E1985),"")</f>
        <v/>
      </c>
      <c r="F1985" s="3">
        <f>IF(ISNUMBER(AVERAGE('20250815_ETF_Options_Exhibits'!F1981:F1985)),AVERAGE('20250815_ETF_Options_Exhibits'!F1981:F1985),"")</f>
        <v/>
      </c>
      <c r="G1985" s="3">
        <f>IF(ISNUMBER(AVERAGE('20250815_ETF_Options_Exhibits'!G1981:G1985)),AVERAGE('20250815_ETF_Options_Exhibits'!G1981:G1985),"")</f>
        <v/>
      </c>
      <c r="H1985" s="3">
        <f>IF(ISNUMBER(AVERAGE('20250815_ETF_Options_Exhibits'!H1981:H1985)),AVERAGE('20250815_ETF_Options_Exhibits'!H1981:H1985),"")</f>
        <v/>
      </c>
      <c r="I1985" s="3">
        <f>IF(ISNUMBER(AVERAGE('20250815_ETF_Options_Exhibits'!I1981:I1985)),AVERAGE('20250815_ETF_Options_Exhibits'!I1981:I1985),"")</f>
        <v/>
      </c>
      <c r="J1985" s="3">
        <f>IF(ISNUMBER(AVERAGE('20250815_ETF_Options_Exhibits'!J1981:J1985)),AVERAGE('20250815_ETF_Options_Exhibits'!J1981:J1985),"")</f>
        <v/>
      </c>
      <c r="K1985" s="3">
        <f>IF(ISNUMBER(AVERAGE('20250815_ETF_Options_Exhibits'!K1981:K1985)),AVERAGE('20250815_ETF_Options_Exhibits'!K1981:K1985),"")</f>
        <v/>
      </c>
      <c r="L1985" s="3">
        <f>IF(ISNUMBER(AVERAGE('20250815_ETF_Options_Exhibits'!L1981:L1985)),AVERAGE('20250815_ETF_Options_Exhibits'!L1981:L1985),"")</f>
        <v/>
      </c>
      <c r="M1985" s="3">
        <f>IF(ISNUMBER(AVERAGE('20250815_ETF_Options_Exhibits'!M1981:M1985)),AVERAGE('20250815_ETF_Options_Exhibits'!M1981:M1985),"")</f>
        <v/>
      </c>
      <c r="N1985" s="3">
        <f>IF(ISNUMBER(AVERAGE('20250815_ETF_Options_Exhibits'!N1981:N1985)),AVERAGE('20250815_ETF_Options_Exhibits'!N1981:N1985),"")</f>
        <v/>
      </c>
      <c r="O1985" s="3">
        <f>IF(ISNUMBER(AVERAGE('20250815_ETF_Options_Exhibits'!O1981:O1985)),AVERAGE('20250815_ETF_Options_Exhibits'!O1981:O1985),"")</f>
        <v/>
      </c>
      <c r="P1985" s="3">
        <f>IF(ISNUMBER(AVERAGE('20250815_ETF_Options_Exhibits'!P1981:P1985)),AVERAGE('20250815_ETF_Options_Exhibits'!P1981:P1985),"")</f>
        <v/>
      </c>
      <c r="Q1985" s="3">
        <f>IF(ISNUMBER(AVERAGE('20250815_ETF_Options_Exhibits'!Q1981:Q1985)),AVERAGE('20250815_ETF_Options_Exhibits'!Q1981:Q1985),"")</f>
        <v/>
      </c>
      <c r="R1985" s="3">
        <f>IF(ISNUMBER(AVERAGE('20250815_ETF_Options_Exhibits'!R1981:R1985)),AVERAGE('20250815_ETF_Options_Exhibits'!R1981:R1985),"")</f>
        <v/>
      </c>
      <c r="S1985" s="3">
        <f>IF(ISNUMBER(AVERAGE('20250815_ETF_Options_Exhibits'!S1981:S1985)),AVERAGE('20250815_ETF_Options_Exhibits'!S1981:S1985),"")</f>
        <v/>
      </c>
      <c r="T1985" s="3">
        <f>IF(ISNUMBER(AVERAGE('20250815_ETF_Options_Exhibits'!T1981:T1985)),AVERAGE('20250815_ETF_Options_Exhibits'!T1981:T1985),"")</f>
        <v/>
      </c>
      <c r="U1985" s="3">
        <f>IF(ISNUMBER(AVERAGE('20250815_ETF_Options_Exhibits'!U1981:U1985)),AVERAGE('20250815_ETF_Options_Exhibits'!U1981:U1985),"")</f>
        <v/>
      </c>
      <c r="V1985" s="3">
        <f>IF(ISNUMBER(AVERAGE('20250815_ETF_Options_Exhibits'!V1981:V1985)),AVERAGE('20250815_ETF_Options_Exhibits'!V1981:V1985),"")</f>
        <v/>
      </c>
      <c r="W1985" s="3">
        <f>IF(ISNUMBER(AVERAGE('20250815_ETF_Options_Exhibits'!W1981:W1985)),AVERAGE('20250815_ETF_Options_Exhibits'!W1981:W1985),"")</f>
        <v/>
      </c>
      <c r="X1985" s="3">
        <f>IF(ISNUMBER(AVERAGE('20250815_ETF_Options_Exhibits'!X1981:X1985)),AVERAGE('20250815_ETF_Options_Exhibits'!X1981:X1985),"")</f>
        <v/>
      </c>
      <c r="Y1985" s="3">
        <f>IF(ISNUMBER(AVERAGE('20250815_ETF_Options_Exhibits'!Y1981:Y1985)),AVERAGE('20250815_ETF_Options_Exhibits'!Y1981:Y1985),"")</f>
        <v/>
      </c>
      <c r="Z1985" s="3">
        <f>IF(ISNUMBER(AVERAGE('20250815_ETF_Options_Exhibits'!Z1981:Z1985)),AVERAGE('20250815_ETF_Options_Exhibits'!Z1981:Z1985),"")</f>
        <v/>
      </c>
      <c r="AA1985" s="3">
        <f>IF(ISNUMBER(AVERAGE('20250815_ETF_Options_Exhibits'!AA1981:AA1985)),AVERAGE('20250815_ETF_Options_Exhibits'!AA1981:AA1985),"")</f>
        <v/>
      </c>
    </row>
    <row r="1986">
      <c r="A1986" s="1" t="n">
        <v>44881</v>
      </c>
      <c r="B1986" s="3">
        <f>IF(ISNUMBER(AVERAGE('20250815_ETF_Options_Exhibits'!B1982:B1986)),AVERAGE('20250815_ETF_Options_Exhibits'!B1982:B1986),"")</f>
        <v/>
      </c>
      <c r="C1986" s="3">
        <f>IF(ISNUMBER(AVERAGE('20250815_ETF_Options_Exhibits'!C1982:C1986)),AVERAGE('20250815_ETF_Options_Exhibits'!C1982:C1986),"")</f>
        <v/>
      </c>
      <c r="D1986" s="3">
        <f>IF(ISNUMBER(AVERAGE('20250815_ETF_Options_Exhibits'!D1982:D1986)),AVERAGE('20250815_ETF_Options_Exhibits'!D1982:D1986),"")</f>
        <v/>
      </c>
      <c r="E1986" s="3">
        <f>IF(ISNUMBER(AVERAGE('20250815_ETF_Options_Exhibits'!E1982:E1986)),AVERAGE('20250815_ETF_Options_Exhibits'!E1982:E1986),"")</f>
        <v/>
      </c>
      <c r="F1986" s="3">
        <f>IF(ISNUMBER(AVERAGE('20250815_ETF_Options_Exhibits'!F1982:F1986)),AVERAGE('20250815_ETF_Options_Exhibits'!F1982:F1986),"")</f>
        <v/>
      </c>
      <c r="G1986" s="3">
        <f>IF(ISNUMBER(AVERAGE('20250815_ETF_Options_Exhibits'!G1982:G1986)),AVERAGE('20250815_ETF_Options_Exhibits'!G1982:G1986),"")</f>
        <v/>
      </c>
      <c r="H1986" s="3">
        <f>IF(ISNUMBER(AVERAGE('20250815_ETF_Options_Exhibits'!H1982:H1986)),AVERAGE('20250815_ETF_Options_Exhibits'!H1982:H1986),"")</f>
        <v/>
      </c>
      <c r="I1986" s="3">
        <f>IF(ISNUMBER(AVERAGE('20250815_ETF_Options_Exhibits'!I1982:I1986)),AVERAGE('20250815_ETF_Options_Exhibits'!I1982:I1986),"")</f>
        <v/>
      </c>
      <c r="J1986" s="3">
        <f>IF(ISNUMBER(AVERAGE('20250815_ETF_Options_Exhibits'!J1982:J1986)),AVERAGE('20250815_ETF_Options_Exhibits'!J1982:J1986),"")</f>
        <v/>
      </c>
      <c r="K1986" s="3">
        <f>IF(ISNUMBER(AVERAGE('20250815_ETF_Options_Exhibits'!K1982:K1986)),AVERAGE('20250815_ETF_Options_Exhibits'!K1982:K1986),"")</f>
        <v/>
      </c>
      <c r="L1986" s="3">
        <f>IF(ISNUMBER(AVERAGE('20250815_ETF_Options_Exhibits'!L1982:L1986)),AVERAGE('20250815_ETF_Options_Exhibits'!L1982:L1986),"")</f>
        <v/>
      </c>
      <c r="M1986" s="3">
        <f>IF(ISNUMBER(AVERAGE('20250815_ETF_Options_Exhibits'!M1982:M1986)),AVERAGE('20250815_ETF_Options_Exhibits'!M1982:M1986),"")</f>
        <v/>
      </c>
      <c r="N1986" s="3">
        <f>IF(ISNUMBER(AVERAGE('20250815_ETF_Options_Exhibits'!N1982:N1986)),AVERAGE('20250815_ETF_Options_Exhibits'!N1982:N1986),"")</f>
        <v/>
      </c>
      <c r="O1986" s="3">
        <f>IF(ISNUMBER(AVERAGE('20250815_ETF_Options_Exhibits'!O1982:O1986)),AVERAGE('20250815_ETF_Options_Exhibits'!O1982:O1986),"")</f>
        <v/>
      </c>
      <c r="P1986" s="3">
        <f>IF(ISNUMBER(AVERAGE('20250815_ETF_Options_Exhibits'!P1982:P1986)),AVERAGE('20250815_ETF_Options_Exhibits'!P1982:P1986),"")</f>
        <v/>
      </c>
      <c r="Q1986" s="3">
        <f>IF(ISNUMBER(AVERAGE('20250815_ETF_Options_Exhibits'!Q1982:Q1986)),AVERAGE('20250815_ETF_Options_Exhibits'!Q1982:Q1986),"")</f>
        <v/>
      </c>
      <c r="R1986" s="3">
        <f>IF(ISNUMBER(AVERAGE('20250815_ETF_Options_Exhibits'!R1982:R1986)),AVERAGE('20250815_ETF_Options_Exhibits'!R1982:R1986),"")</f>
        <v/>
      </c>
      <c r="S1986" s="3">
        <f>IF(ISNUMBER(AVERAGE('20250815_ETF_Options_Exhibits'!S1982:S1986)),AVERAGE('20250815_ETF_Options_Exhibits'!S1982:S1986),"")</f>
        <v/>
      </c>
      <c r="T1986" s="3">
        <f>IF(ISNUMBER(AVERAGE('20250815_ETF_Options_Exhibits'!T1982:T1986)),AVERAGE('20250815_ETF_Options_Exhibits'!T1982:T1986),"")</f>
        <v/>
      </c>
      <c r="U1986" s="3">
        <f>IF(ISNUMBER(AVERAGE('20250815_ETF_Options_Exhibits'!U1982:U1986)),AVERAGE('20250815_ETF_Options_Exhibits'!U1982:U1986),"")</f>
        <v/>
      </c>
      <c r="V1986" s="3">
        <f>IF(ISNUMBER(AVERAGE('20250815_ETF_Options_Exhibits'!V1982:V1986)),AVERAGE('20250815_ETF_Options_Exhibits'!V1982:V1986),"")</f>
        <v/>
      </c>
      <c r="W1986" s="3">
        <f>IF(ISNUMBER(AVERAGE('20250815_ETF_Options_Exhibits'!W1982:W1986)),AVERAGE('20250815_ETF_Options_Exhibits'!W1982:W1986),"")</f>
        <v/>
      </c>
      <c r="X1986" s="3">
        <f>IF(ISNUMBER(AVERAGE('20250815_ETF_Options_Exhibits'!X1982:X1986)),AVERAGE('20250815_ETF_Options_Exhibits'!X1982:X1986),"")</f>
        <v/>
      </c>
      <c r="Y1986" s="3">
        <f>IF(ISNUMBER(AVERAGE('20250815_ETF_Options_Exhibits'!Y1982:Y1986)),AVERAGE('20250815_ETF_Options_Exhibits'!Y1982:Y1986),"")</f>
        <v/>
      </c>
      <c r="Z1986" s="3">
        <f>IF(ISNUMBER(AVERAGE('20250815_ETF_Options_Exhibits'!Z1982:Z1986)),AVERAGE('20250815_ETF_Options_Exhibits'!Z1982:Z1986),"")</f>
        <v/>
      </c>
      <c r="AA1986" s="3">
        <f>IF(ISNUMBER(AVERAGE('20250815_ETF_Options_Exhibits'!AA1982:AA1986)),AVERAGE('20250815_ETF_Options_Exhibits'!AA1982:AA1986),"")</f>
        <v/>
      </c>
    </row>
    <row r="1987">
      <c r="A1987" s="1" t="n">
        <v>44882</v>
      </c>
      <c r="B1987" s="3">
        <f>IF(ISNUMBER(AVERAGE('20250815_ETF_Options_Exhibits'!B1983:B1987)),AVERAGE('20250815_ETF_Options_Exhibits'!B1983:B1987),"")</f>
        <v/>
      </c>
      <c r="C1987" s="3">
        <f>IF(ISNUMBER(AVERAGE('20250815_ETF_Options_Exhibits'!C1983:C1987)),AVERAGE('20250815_ETF_Options_Exhibits'!C1983:C1987),"")</f>
        <v/>
      </c>
      <c r="D1987" s="3">
        <f>IF(ISNUMBER(AVERAGE('20250815_ETF_Options_Exhibits'!D1983:D1987)),AVERAGE('20250815_ETF_Options_Exhibits'!D1983:D1987),"")</f>
        <v/>
      </c>
      <c r="E1987" s="3">
        <f>IF(ISNUMBER(AVERAGE('20250815_ETF_Options_Exhibits'!E1983:E1987)),AVERAGE('20250815_ETF_Options_Exhibits'!E1983:E1987),"")</f>
        <v/>
      </c>
      <c r="F1987" s="3">
        <f>IF(ISNUMBER(AVERAGE('20250815_ETF_Options_Exhibits'!F1983:F1987)),AVERAGE('20250815_ETF_Options_Exhibits'!F1983:F1987),"")</f>
        <v/>
      </c>
      <c r="G1987" s="3">
        <f>IF(ISNUMBER(AVERAGE('20250815_ETF_Options_Exhibits'!G1983:G1987)),AVERAGE('20250815_ETF_Options_Exhibits'!G1983:G1987),"")</f>
        <v/>
      </c>
      <c r="H1987" s="3">
        <f>IF(ISNUMBER(AVERAGE('20250815_ETF_Options_Exhibits'!H1983:H1987)),AVERAGE('20250815_ETF_Options_Exhibits'!H1983:H1987),"")</f>
        <v/>
      </c>
      <c r="I1987" s="3">
        <f>IF(ISNUMBER(AVERAGE('20250815_ETF_Options_Exhibits'!I1983:I1987)),AVERAGE('20250815_ETF_Options_Exhibits'!I1983:I1987),"")</f>
        <v/>
      </c>
      <c r="J1987" s="3">
        <f>IF(ISNUMBER(AVERAGE('20250815_ETF_Options_Exhibits'!J1983:J1987)),AVERAGE('20250815_ETF_Options_Exhibits'!J1983:J1987),"")</f>
        <v/>
      </c>
      <c r="K1987" s="3">
        <f>IF(ISNUMBER(AVERAGE('20250815_ETF_Options_Exhibits'!K1983:K1987)),AVERAGE('20250815_ETF_Options_Exhibits'!K1983:K1987),"")</f>
        <v/>
      </c>
      <c r="L1987" s="3">
        <f>IF(ISNUMBER(AVERAGE('20250815_ETF_Options_Exhibits'!L1983:L1987)),AVERAGE('20250815_ETF_Options_Exhibits'!L1983:L1987),"")</f>
        <v/>
      </c>
      <c r="M1987" s="3">
        <f>IF(ISNUMBER(AVERAGE('20250815_ETF_Options_Exhibits'!M1983:M1987)),AVERAGE('20250815_ETF_Options_Exhibits'!M1983:M1987),"")</f>
        <v/>
      </c>
      <c r="N1987" s="3">
        <f>IF(ISNUMBER(AVERAGE('20250815_ETF_Options_Exhibits'!N1983:N1987)),AVERAGE('20250815_ETF_Options_Exhibits'!N1983:N1987),"")</f>
        <v/>
      </c>
      <c r="O1987" s="3">
        <f>IF(ISNUMBER(AVERAGE('20250815_ETF_Options_Exhibits'!O1983:O1987)),AVERAGE('20250815_ETF_Options_Exhibits'!O1983:O1987),"")</f>
        <v/>
      </c>
      <c r="P1987" s="3">
        <f>IF(ISNUMBER(AVERAGE('20250815_ETF_Options_Exhibits'!P1983:P1987)),AVERAGE('20250815_ETF_Options_Exhibits'!P1983:P1987),"")</f>
        <v/>
      </c>
      <c r="Q1987" s="3">
        <f>IF(ISNUMBER(AVERAGE('20250815_ETF_Options_Exhibits'!Q1983:Q1987)),AVERAGE('20250815_ETF_Options_Exhibits'!Q1983:Q1987),"")</f>
        <v/>
      </c>
      <c r="R1987" s="3">
        <f>IF(ISNUMBER(AVERAGE('20250815_ETF_Options_Exhibits'!R1983:R1987)),AVERAGE('20250815_ETF_Options_Exhibits'!R1983:R1987),"")</f>
        <v/>
      </c>
      <c r="S1987" s="3">
        <f>IF(ISNUMBER(AVERAGE('20250815_ETF_Options_Exhibits'!S1983:S1987)),AVERAGE('20250815_ETF_Options_Exhibits'!S1983:S1987),"")</f>
        <v/>
      </c>
      <c r="T1987" s="3">
        <f>IF(ISNUMBER(AVERAGE('20250815_ETF_Options_Exhibits'!T1983:T1987)),AVERAGE('20250815_ETF_Options_Exhibits'!T1983:T1987),"")</f>
        <v/>
      </c>
      <c r="U1987" s="3">
        <f>IF(ISNUMBER(AVERAGE('20250815_ETF_Options_Exhibits'!U1983:U1987)),AVERAGE('20250815_ETF_Options_Exhibits'!U1983:U1987),"")</f>
        <v/>
      </c>
      <c r="V1987" s="3">
        <f>IF(ISNUMBER(AVERAGE('20250815_ETF_Options_Exhibits'!V1983:V1987)),AVERAGE('20250815_ETF_Options_Exhibits'!V1983:V1987),"")</f>
        <v/>
      </c>
      <c r="W1987" s="3">
        <f>IF(ISNUMBER(AVERAGE('20250815_ETF_Options_Exhibits'!W1983:W1987)),AVERAGE('20250815_ETF_Options_Exhibits'!W1983:W1987),"")</f>
        <v/>
      </c>
      <c r="X1987" s="3">
        <f>IF(ISNUMBER(AVERAGE('20250815_ETF_Options_Exhibits'!X1983:X1987)),AVERAGE('20250815_ETF_Options_Exhibits'!X1983:X1987),"")</f>
        <v/>
      </c>
      <c r="Y1987" s="3">
        <f>IF(ISNUMBER(AVERAGE('20250815_ETF_Options_Exhibits'!Y1983:Y1987)),AVERAGE('20250815_ETF_Options_Exhibits'!Y1983:Y1987),"")</f>
        <v/>
      </c>
      <c r="Z1987" s="3">
        <f>IF(ISNUMBER(AVERAGE('20250815_ETF_Options_Exhibits'!Z1983:Z1987)),AVERAGE('20250815_ETF_Options_Exhibits'!Z1983:Z1987),"")</f>
        <v/>
      </c>
      <c r="AA1987" s="3">
        <f>IF(ISNUMBER(AVERAGE('20250815_ETF_Options_Exhibits'!AA1983:AA1987)),AVERAGE('20250815_ETF_Options_Exhibits'!AA1983:AA1987),"")</f>
        <v/>
      </c>
    </row>
    <row r="1988">
      <c r="A1988" s="1" t="n">
        <v>44883</v>
      </c>
      <c r="B1988" s="3">
        <f>IF(ISNUMBER(AVERAGE('20250815_ETF_Options_Exhibits'!B1984:B1988)),AVERAGE('20250815_ETF_Options_Exhibits'!B1984:B1988),"")</f>
        <v/>
      </c>
      <c r="C1988" s="3">
        <f>IF(ISNUMBER(AVERAGE('20250815_ETF_Options_Exhibits'!C1984:C1988)),AVERAGE('20250815_ETF_Options_Exhibits'!C1984:C1988),"")</f>
        <v/>
      </c>
      <c r="D1988" s="3">
        <f>IF(ISNUMBER(AVERAGE('20250815_ETF_Options_Exhibits'!D1984:D1988)),AVERAGE('20250815_ETF_Options_Exhibits'!D1984:D1988),"")</f>
        <v/>
      </c>
      <c r="E1988" s="3">
        <f>IF(ISNUMBER(AVERAGE('20250815_ETF_Options_Exhibits'!E1984:E1988)),AVERAGE('20250815_ETF_Options_Exhibits'!E1984:E1988),"")</f>
        <v/>
      </c>
      <c r="F1988" s="3">
        <f>IF(ISNUMBER(AVERAGE('20250815_ETF_Options_Exhibits'!F1984:F1988)),AVERAGE('20250815_ETF_Options_Exhibits'!F1984:F1988),"")</f>
        <v/>
      </c>
      <c r="G1988" s="3">
        <f>IF(ISNUMBER(AVERAGE('20250815_ETF_Options_Exhibits'!G1984:G1988)),AVERAGE('20250815_ETF_Options_Exhibits'!G1984:G1988),"")</f>
        <v/>
      </c>
      <c r="H1988" s="3">
        <f>IF(ISNUMBER(AVERAGE('20250815_ETF_Options_Exhibits'!H1984:H1988)),AVERAGE('20250815_ETF_Options_Exhibits'!H1984:H1988),"")</f>
        <v/>
      </c>
      <c r="I1988" s="3">
        <f>IF(ISNUMBER(AVERAGE('20250815_ETF_Options_Exhibits'!I1984:I1988)),AVERAGE('20250815_ETF_Options_Exhibits'!I1984:I1988),"")</f>
        <v/>
      </c>
      <c r="J1988" s="3">
        <f>IF(ISNUMBER(AVERAGE('20250815_ETF_Options_Exhibits'!J1984:J1988)),AVERAGE('20250815_ETF_Options_Exhibits'!J1984:J1988),"")</f>
        <v/>
      </c>
      <c r="K1988" s="3">
        <f>IF(ISNUMBER(AVERAGE('20250815_ETF_Options_Exhibits'!K1984:K1988)),AVERAGE('20250815_ETF_Options_Exhibits'!K1984:K1988),"")</f>
        <v/>
      </c>
      <c r="L1988" s="3">
        <f>IF(ISNUMBER(AVERAGE('20250815_ETF_Options_Exhibits'!L1984:L1988)),AVERAGE('20250815_ETF_Options_Exhibits'!L1984:L1988),"")</f>
        <v/>
      </c>
      <c r="M1988" s="3">
        <f>IF(ISNUMBER(AVERAGE('20250815_ETF_Options_Exhibits'!M1984:M1988)),AVERAGE('20250815_ETF_Options_Exhibits'!M1984:M1988),"")</f>
        <v/>
      </c>
      <c r="N1988" s="3">
        <f>IF(ISNUMBER(AVERAGE('20250815_ETF_Options_Exhibits'!N1984:N1988)),AVERAGE('20250815_ETF_Options_Exhibits'!N1984:N1988),"")</f>
        <v/>
      </c>
      <c r="O1988" s="3">
        <f>IF(ISNUMBER(AVERAGE('20250815_ETF_Options_Exhibits'!O1984:O1988)),AVERAGE('20250815_ETF_Options_Exhibits'!O1984:O1988),"")</f>
        <v/>
      </c>
      <c r="P1988" s="3">
        <f>IF(ISNUMBER(AVERAGE('20250815_ETF_Options_Exhibits'!P1984:P1988)),AVERAGE('20250815_ETF_Options_Exhibits'!P1984:P1988),"")</f>
        <v/>
      </c>
      <c r="Q1988" s="3">
        <f>IF(ISNUMBER(AVERAGE('20250815_ETF_Options_Exhibits'!Q1984:Q1988)),AVERAGE('20250815_ETF_Options_Exhibits'!Q1984:Q1988),"")</f>
        <v/>
      </c>
      <c r="R1988" s="3">
        <f>IF(ISNUMBER(AVERAGE('20250815_ETF_Options_Exhibits'!R1984:R1988)),AVERAGE('20250815_ETF_Options_Exhibits'!R1984:R1988),"")</f>
        <v/>
      </c>
      <c r="S1988" s="3">
        <f>IF(ISNUMBER(AVERAGE('20250815_ETF_Options_Exhibits'!S1984:S1988)),AVERAGE('20250815_ETF_Options_Exhibits'!S1984:S1988),"")</f>
        <v/>
      </c>
      <c r="T1988" s="3">
        <f>IF(ISNUMBER(AVERAGE('20250815_ETF_Options_Exhibits'!T1984:T1988)),AVERAGE('20250815_ETF_Options_Exhibits'!T1984:T1988),"")</f>
        <v/>
      </c>
      <c r="U1988" s="3">
        <f>IF(ISNUMBER(AVERAGE('20250815_ETF_Options_Exhibits'!U1984:U1988)),AVERAGE('20250815_ETF_Options_Exhibits'!U1984:U1988),"")</f>
        <v/>
      </c>
      <c r="V1988" s="3">
        <f>IF(ISNUMBER(AVERAGE('20250815_ETF_Options_Exhibits'!V1984:V1988)),AVERAGE('20250815_ETF_Options_Exhibits'!V1984:V1988),"")</f>
        <v/>
      </c>
      <c r="W1988" s="3">
        <f>IF(ISNUMBER(AVERAGE('20250815_ETF_Options_Exhibits'!W1984:W1988)),AVERAGE('20250815_ETF_Options_Exhibits'!W1984:W1988),"")</f>
        <v/>
      </c>
      <c r="X1988" s="3">
        <f>IF(ISNUMBER(AVERAGE('20250815_ETF_Options_Exhibits'!X1984:X1988)),AVERAGE('20250815_ETF_Options_Exhibits'!X1984:X1988),"")</f>
        <v/>
      </c>
      <c r="Y1988" s="3">
        <f>IF(ISNUMBER(AVERAGE('20250815_ETF_Options_Exhibits'!Y1984:Y1988)),AVERAGE('20250815_ETF_Options_Exhibits'!Y1984:Y1988),"")</f>
        <v/>
      </c>
      <c r="Z1988" s="3">
        <f>IF(ISNUMBER(AVERAGE('20250815_ETF_Options_Exhibits'!Z1984:Z1988)),AVERAGE('20250815_ETF_Options_Exhibits'!Z1984:Z1988),"")</f>
        <v/>
      </c>
      <c r="AA1988" s="3">
        <f>IF(ISNUMBER(AVERAGE('20250815_ETF_Options_Exhibits'!AA1984:AA1988)),AVERAGE('20250815_ETF_Options_Exhibits'!AA1984:AA1988),"")</f>
        <v/>
      </c>
    </row>
    <row r="1989">
      <c r="A1989" s="1" t="n">
        <v>44886</v>
      </c>
      <c r="B1989" s="3">
        <f>IF(ISNUMBER(AVERAGE('20250815_ETF_Options_Exhibits'!B1985:B1989)),AVERAGE('20250815_ETF_Options_Exhibits'!B1985:B1989),"")</f>
        <v/>
      </c>
      <c r="C1989" s="3">
        <f>IF(ISNUMBER(AVERAGE('20250815_ETF_Options_Exhibits'!C1985:C1989)),AVERAGE('20250815_ETF_Options_Exhibits'!C1985:C1989),"")</f>
        <v/>
      </c>
      <c r="D1989" s="3">
        <f>IF(ISNUMBER(AVERAGE('20250815_ETF_Options_Exhibits'!D1985:D1989)),AVERAGE('20250815_ETF_Options_Exhibits'!D1985:D1989),"")</f>
        <v/>
      </c>
      <c r="E1989" s="3">
        <f>IF(ISNUMBER(AVERAGE('20250815_ETF_Options_Exhibits'!E1985:E1989)),AVERAGE('20250815_ETF_Options_Exhibits'!E1985:E1989),"")</f>
        <v/>
      </c>
      <c r="F1989" s="3">
        <f>IF(ISNUMBER(AVERAGE('20250815_ETF_Options_Exhibits'!F1985:F1989)),AVERAGE('20250815_ETF_Options_Exhibits'!F1985:F1989),"")</f>
        <v/>
      </c>
      <c r="G1989" s="3">
        <f>IF(ISNUMBER(AVERAGE('20250815_ETF_Options_Exhibits'!G1985:G1989)),AVERAGE('20250815_ETF_Options_Exhibits'!G1985:G1989),"")</f>
        <v/>
      </c>
      <c r="H1989" s="3">
        <f>IF(ISNUMBER(AVERAGE('20250815_ETF_Options_Exhibits'!H1985:H1989)),AVERAGE('20250815_ETF_Options_Exhibits'!H1985:H1989),"")</f>
        <v/>
      </c>
      <c r="I1989" s="3">
        <f>IF(ISNUMBER(AVERAGE('20250815_ETF_Options_Exhibits'!I1985:I1989)),AVERAGE('20250815_ETF_Options_Exhibits'!I1985:I1989),"")</f>
        <v/>
      </c>
      <c r="J1989" s="3">
        <f>IF(ISNUMBER(AVERAGE('20250815_ETF_Options_Exhibits'!J1985:J1989)),AVERAGE('20250815_ETF_Options_Exhibits'!J1985:J1989),"")</f>
        <v/>
      </c>
      <c r="K1989" s="3">
        <f>IF(ISNUMBER(AVERAGE('20250815_ETF_Options_Exhibits'!K1985:K1989)),AVERAGE('20250815_ETF_Options_Exhibits'!K1985:K1989),"")</f>
        <v/>
      </c>
      <c r="L1989" s="3">
        <f>IF(ISNUMBER(AVERAGE('20250815_ETF_Options_Exhibits'!L1985:L1989)),AVERAGE('20250815_ETF_Options_Exhibits'!L1985:L1989),"")</f>
        <v/>
      </c>
      <c r="M1989" s="3">
        <f>IF(ISNUMBER(AVERAGE('20250815_ETF_Options_Exhibits'!M1985:M1989)),AVERAGE('20250815_ETF_Options_Exhibits'!M1985:M1989),"")</f>
        <v/>
      </c>
      <c r="N1989" s="3">
        <f>IF(ISNUMBER(AVERAGE('20250815_ETF_Options_Exhibits'!N1985:N1989)),AVERAGE('20250815_ETF_Options_Exhibits'!N1985:N1989),"")</f>
        <v/>
      </c>
      <c r="O1989" s="3">
        <f>IF(ISNUMBER(AVERAGE('20250815_ETF_Options_Exhibits'!O1985:O1989)),AVERAGE('20250815_ETF_Options_Exhibits'!O1985:O1989),"")</f>
        <v/>
      </c>
      <c r="P1989" s="3">
        <f>IF(ISNUMBER(AVERAGE('20250815_ETF_Options_Exhibits'!P1985:P1989)),AVERAGE('20250815_ETF_Options_Exhibits'!P1985:P1989),"")</f>
        <v/>
      </c>
      <c r="Q1989" s="3">
        <f>IF(ISNUMBER(AVERAGE('20250815_ETF_Options_Exhibits'!Q1985:Q1989)),AVERAGE('20250815_ETF_Options_Exhibits'!Q1985:Q1989),"")</f>
        <v/>
      </c>
      <c r="R1989" s="3">
        <f>IF(ISNUMBER(AVERAGE('20250815_ETF_Options_Exhibits'!R1985:R1989)),AVERAGE('20250815_ETF_Options_Exhibits'!R1985:R1989),"")</f>
        <v/>
      </c>
      <c r="S1989" s="3">
        <f>IF(ISNUMBER(AVERAGE('20250815_ETF_Options_Exhibits'!S1985:S1989)),AVERAGE('20250815_ETF_Options_Exhibits'!S1985:S1989),"")</f>
        <v/>
      </c>
      <c r="T1989" s="3">
        <f>IF(ISNUMBER(AVERAGE('20250815_ETF_Options_Exhibits'!T1985:T1989)),AVERAGE('20250815_ETF_Options_Exhibits'!T1985:T1989),"")</f>
        <v/>
      </c>
      <c r="U1989" s="3">
        <f>IF(ISNUMBER(AVERAGE('20250815_ETF_Options_Exhibits'!U1985:U1989)),AVERAGE('20250815_ETF_Options_Exhibits'!U1985:U1989),"")</f>
        <v/>
      </c>
      <c r="V1989" s="3">
        <f>IF(ISNUMBER(AVERAGE('20250815_ETF_Options_Exhibits'!V1985:V1989)),AVERAGE('20250815_ETF_Options_Exhibits'!V1985:V1989),"")</f>
        <v/>
      </c>
      <c r="W1989" s="3">
        <f>IF(ISNUMBER(AVERAGE('20250815_ETF_Options_Exhibits'!W1985:W1989)),AVERAGE('20250815_ETF_Options_Exhibits'!W1985:W1989),"")</f>
        <v/>
      </c>
      <c r="X1989" s="3">
        <f>IF(ISNUMBER(AVERAGE('20250815_ETF_Options_Exhibits'!X1985:X1989)),AVERAGE('20250815_ETF_Options_Exhibits'!X1985:X1989),"")</f>
        <v/>
      </c>
      <c r="Y1989" s="3">
        <f>IF(ISNUMBER(AVERAGE('20250815_ETF_Options_Exhibits'!Y1985:Y1989)),AVERAGE('20250815_ETF_Options_Exhibits'!Y1985:Y1989),"")</f>
        <v/>
      </c>
      <c r="Z1989" s="3">
        <f>IF(ISNUMBER(AVERAGE('20250815_ETF_Options_Exhibits'!Z1985:Z1989)),AVERAGE('20250815_ETF_Options_Exhibits'!Z1985:Z1989),"")</f>
        <v/>
      </c>
      <c r="AA1989" s="3">
        <f>IF(ISNUMBER(AVERAGE('20250815_ETF_Options_Exhibits'!AA1985:AA1989)),AVERAGE('20250815_ETF_Options_Exhibits'!AA1985:AA1989),"")</f>
        <v/>
      </c>
    </row>
    <row r="1990">
      <c r="A1990" s="1" t="n">
        <v>44887</v>
      </c>
      <c r="B1990" s="3">
        <f>IF(ISNUMBER(AVERAGE('20250815_ETF_Options_Exhibits'!B1986:B1990)),AVERAGE('20250815_ETF_Options_Exhibits'!B1986:B1990),"")</f>
        <v/>
      </c>
      <c r="C1990" s="3">
        <f>IF(ISNUMBER(AVERAGE('20250815_ETF_Options_Exhibits'!C1986:C1990)),AVERAGE('20250815_ETF_Options_Exhibits'!C1986:C1990),"")</f>
        <v/>
      </c>
      <c r="D1990" s="3">
        <f>IF(ISNUMBER(AVERAGE('20250815_ETF_Options_Exhibits'!D1986:D1990)),AVERAGE('20250815_ETF_Options_Exhibits'!D1986:D1990),"")</f>
        <v/>
      </c>
      <c r="E1990" s="3">
        <f>IF(ISNUMBER(AVERAGE('20250815_ETF_Options_Exhibits'!E1986:E1990)),AVERAGE('20250815_ETF_Options_Exhibits'!E1986:E1990),"")</f>
        <v/>
      </c>
      <c r="F1990" s="3">
        <f>IF(ISNUMBER(AVERAGE('20250815_ETF_Options_Exhibits'!F1986:F1990)),AVERAGE('20250815_ETF_Options_Exhibits'!F1986:F1990),"")</f>
        <v/>
      </c>
      <c r="G1990" s="3">
        <f>IF(ISNUMBER(AVERAGE('20250815_ETF_Options_Exhibits'!G1986:G1990)),AVERAGE('20250815_ETF_Options_Exhibits'!G1986:G1990),"")</f>
        <v/>
      </c>
      <c r="H1990" s="3">
        <f>IF(ISNUMBER(AVERAGE('20250815_ETF_Options_Exhibits'!H1986:H1990)),AVERAGE('20250815_ETF_Options_Exhibits'!H1986:H1990),"")</f>
        <v/>
      </c>
      <c r="I1990" s="3">
        <f>IF(ISNUMBER(AVERAGE('20250815_ETF_Options_Exhibits'!I1986:I1990)),AVERAGE('20250815_ETF_Options_Exhibits'!I1986:I1990),"")</f>
        <v/>
      </c>
      <c r="J1990" s="3">
        <f>IF(ISNUMBER(AVERAGE('20250815_ETF_Options_Exhibits'!J1986:J1990)),AVERAGE('20250815_ETF_Options_Exhibits'!J1986:J1990),"")</f>
        <v/>
      </c>
      <c r="K1990" s="3">
        <f>IF(ISNUMBER(AVERAGE('20250815_ETF_Options_Exhibits'!K1986:K1990)),AVERAGE('20250815_ETF_Options_Exhibits'!K1986:K1990),"")</f>
        <v/>
      </c>
      <c r="L1990" s="3">
        <f>IF(ISNUMBER(AVERAGE('20250815_ETF_Options_Exhibits'!L1986:L1990)),AVERAGE('20250815_ETF_Options_Exhibits'!L1986:L1990),"")</f>
        <v/>
      </c>
      <c r="M1990" s="3">
        <f>IF(ISNUMBER(AVERAGE('20250815_ETF_Options_Exhibits'!M1986:M1990)),AVERAGE('20250815_ETF_Options_Exhibits'!M1986:M1990),"")</f>
        <v/>
      </c>
      <c r="N1990" s="3">
        <f>IF(ISNUMBER(AVERAGE('20250815_ETF_Options_Exhibits'!N1986:N1990)),AVERAGE('20250815_ETF_Options_Exhibits'!N1986:N1990),"")</f>
        <v/>
      </c>
      <c r="O1990" s="3">
        <f>IF(ISNUMBER(AVERAGE('20250815_ETF_Options_Exhibits'!O1986:O1990)),AVERAGE('20250815_ETF_Options_Exhibits'!O1986:O1990),"")</f>
        <v/>
      </c>
      <c r="P1990" s="3">
        <f>IF(ISNUMBER(AVERAGE('20250815_ETF_Options_Exhibits'!P1986:P1990)),AVERAGE('20250815_ETF_Options_Exhibits'!P1986:P1990),"")</f>
        <v/>
      </c>
      <c r="Q1990" s="3">
        <f>IF(ISNUMBER(AVERAGE('20250815_ETF_Options_Exhibits'!Q1986:Q1990)),AVERAGE('20250815_ETF_Options_Exhibits'!Q1986:Q1990),"")</f>
        <v/>
      </c>
      <c r="R1990" s="3">
        <f>IF(ISNUMBER(AVERAGE('20250815_ETF_Options_Exhibits'!R1986:R1990)),AVERAGE('20250815_ETF_Options_Exhibits'!R1986:R1990),"")</f>
        <v/>
      </c>
      <c r="S1990" s="3">
        <f>IF(ISNUMBER(AVERAGE('20250815_ETF_Options_Exhibits'!S1986:S1990)),AVERAGE('20250815_ETF_Options_Exhibits'!S1986:S1990),"")</f>
        <v/>
      </c>
      <c r="T1990" s="3">
        <f>IF(ISNUMBER(AVERAGE('20250815_ETF_Options_Exhibits'!T1986:T1990)),AVERAGE('20250815_ETF_Options_Exhibits'!T1986:T1990),"")</f>
        <v/>
      </c>
      <c r="U1990" s="3">
        <f>IF(ISNUMBER(AVERAGE('20250815_ETF_Options_Exhibits'!U1986:U1990)),AVERAGE('20250815_ETF_Options_Exhibits'!U1986:U1990),"")</f>
        <v/>
      </c>
      <c r="V1990" s="3">
        <f>IF(ISNUMBER(AVERAGE('20250815_ETF_Options_Exhibits'!V1986:V1990)),AVERAGE('20250815_ETF_Options_Exhibits'!V1986:V1990),"")</f>
        <v/>
      </c>
      <c r="W1990" s="3">
        <f>IF(ISNUMBER(AVERAGE('20250815_ETF_Options_Exhibits'!W1986:W1990)),AVERAGE('20250815_ETF_Options_Exhibits'!W1986:W1990),"")</f>
        <v/>
      </c>
      <c r="X1990" s="3">
        <f>IF(ISNUMBER(AVERAGE('20250815_ETF_Options_Exhibits'!X1986:X1990)),AVERAGE('20250815_ETF_Options_Exhibits'!X1986:X1990),"")</f>
        <v/>
      </c>
      <c r="Y1990" s="3">
        <f>IF(ISNUMBER(AVERAGE('20250815_ETF_Options_Exhibits'!Y1986:Y1990)),AVERAGE('20250815_ETF_Options_Exhibits'!Y1986:Y1990),"")</f>
        <v/>
      </c>
      <c r="Z1990" s="3">
        <f>IF(ISNUMBER(AVERAGE('20250815_ETF_Options_Exhibits'!Z1986:Z1990)),AVERAGE('20250815_ETF_Options_Exhibits'!Z1986:Z1990),"")</f>
        <v/>
      </c>
      <c r="AA1990" s="3">
        <f>IF(ISNUMBER(AVERAGE('20250815_ETF_Options_Exhibits'!AA1986:AA1990)),AVERAGE('20250815_ETF_Options_Exhibits'!AA1986:AA1990),"")</f>
        <v/>
      </c>
    </row>
    <row r="1991">
      <c r="A1991" s="1" t="n">
        <v>44888</v>
      </c>
      <c r="B1991" s="3">
        <f>IF(ISNUMBER(AVERAGE('20250815_ETF_Options_Exhibits'!B1987:B1991)),AVERAGE('20250815_ETF_Options_Exhibits'!B1987:B1991),"")</f>
        <v/>
      </c>
      <c r="C1991" s="3">
        <f>IF(ISNUMBER(AVERAGE('20250815_ETF_Options_Exhibits'!C1987:C1991)),AVERAGE('20250815_ETF_Options_Exhibits'!C1987:C1991),"")</f>
        <v/>
      </c>
      <c r="D1991" s="3">
        <f>IF(ISNUMBER(AVERAGE('20250815_ETF_Options_Exhibits'!D1987:D1991)),AVERAGE('20250815_ETF_Options_Exhibits'!D1987:D1991),"")</f>
        <v/>
      </c>
      <c r="E1991" s="3">
        <f>IF(ISNUMBER(AVERAGE('20250815_ETF_Options_Exhibits'!E1987:E1991)),AVERAGE('20250815_ETF_Options_Exhibits'!E1987:E1991),"")</f>
        <v/>
      </c>
      <c r="F1991" s="3">
        <f>IF(ISNUMBER(AVERAGE('20250815_ETF_Options_Exhibits'!F1987:F1991)),AVERAGE('20250815_ETF_Options_Exhibits'!F1987:F1991),"")</f>
        <v/>
      </c>
      <c r="G1991" s="3">
        <f>IF(ISNUMBER(AVERAGE('20250815_ETF_Options_Exhibits'!G1987:G1991)),AVERAGE('20250815_ETF_Options_Exhibits'!G1987:G1991),"")</f>
        <v/>
      </c>
      <c r="H1991" s="3">
        <f>IF(ISNUMBER(AVERAGE('20250815_ETF_Options_Exhibits'!H1987:H1991)),AVERAGE('20250815_ETF_Options_Exhibits'!H1987:H1991),"")</f>
        <v/>
      </c>
      <c r="I1991" s="3">
        <f>IF(ISNUMBER(AVERAGE('20250815_ETF_Options_Exhibits'!I1987:I1991)),AVERAGE('20250815_ETF_Options_Exhibits'!I1987:I1991),"")</f>
        <v/>
      </c>
      <c r="J1991" s="3">
        <f>IF(ISNUMBER(AVERAGE('20250815_ETF_Options_Exhibits'!J1987:J1991)),AVERAGE('20250815_ETF_Options_Exhibits'!J1987:J1991),"")</f>
        <v/>
      </c>
      <c r="K1991" s="3">
        <f>IF(ISNUMBER(AVERAGE('20250815_ETF_Options_Exhibits'!K1987:K1991)),AVERAGE('20250815_ETF_Options_Exhibits'!K1987:K1991),"")</f>
        <v/>
      </c>
      <c r="L1991" s="3">
        <f>IF(ISNUMBER(AVERAGE('20250815_ETF_Options_Exhibits'!L1987:L1991)),AVERAGE('20250815_ETF_Options_Exhibits'!L1987:L1991),"")</f>
        <v/>
      </c>
      <c r="M1991" s="3">
        <f>IF(ISNUMBER(AVERAGE('20250815_ETF_Options_Exhibits'!M1987:M1991)),AVERAGE('20250815_ETF_Options_Exhibits'!M1987:M1991),"")</f>
        <v/>
      </c>
      <c r="N1991" s="3">
        <f>IF(ISNUMBER(AVERAGE('20250815_ETF_Options_Exhibits'!N1987:N1991)),AVERAGE('20250815_ETF_Options_Exhibits'!N1987:N1991),"")</f>
        <v/>
      </c>
      <c r="O1991" s="3">
        <f>IF(ISNUMBER(AVERAGE('20250815_ETF_Options_Exhibits'!O1987:O1991)),AVERAGE('20250815_ETF_Options_Exhibits'!O1987:O1991),"")</f>
        <v/>
      </c>
      <c r="P1991" s="3">
        <f>IF(ISNUMBER(AVERAGE('20250815_ETF_Options_Exhibits'!P1987:P1991)),AVERAGE('20250815_ETF_Options_Exhibits'!P1987:P1991),"")</f>
        <v/>
      </c>
      <c r="Q1991" s="3">
        <f>IF(ISNUMBER(AVERAGE('20250815_ETF_Options_Exhibits'!Q1987:Q1991)),AVERAGE('20250815_ETF_Options_Exhibits'!Q1987:Q1991),"")</f>
        <v/>
      </c>
      <c r="R1991" s="3">
        <f>IF(ISNUMBER(AVERAGE('20250815_ETF_Options_Exhibits'!R1987:R1991)),AVERAGE('20250815_ETF_Options_Exhibits'!R1987:R1991),"")</f>
        <v/>
      </c>
      <c r="S1991" s="3">
        <f>IF(ISNUMBER(AVERAGE('20250815_ETF_Options_Exhibits'!S1987:S1991)),AVERAGE('20250815_ETF_Options_Exhibits'!S1987:S1991),"")</f>
        <v/>
      </c>
      <c r="T1991" s="3">
        <f>IF(ISNUMBER(AVERAGE('20250815_ETF_Options_Exhibits'!T1987:T1991)),AVERAGE('20250815_ETF_Options_Exhibits'!T1987:T1991),"")</f>
        <v/>
      </c>
      <c r="U1991" s="3">
        <f>IF(ISNUMBER(AVERAGE('20250815_ETF_Options_Exhibits'!U1987:U1991)),AVERAGE('20250815_ETF_Options_Exhibits'!U1987:U1991),"")</f>
        <v/>
      </c>
      <c r="V1991" s="3">
        <f>IF(ISNUMBER(AVERAGE('20250815_ETF_Options_Exhibits'!V1987:V1991)),AVERAGE('20250815_ETF_Options_Exhibits'!V1987:V1991),"")</f>
        <v/>
      </c>
      <c r="W1991" s="3">
        <f>IF(ISNUMBER(AVERAGE('20250815_ETF_Options_Exhibits'!W1987:W1991)),AVERAGE('20250815_ETF_Options_Exhibits'!W1987:W1991),"")</f>
        <v/>
      </c>
      <c r="X1991" s="3">
        <f>IF(ISNUMBER(AVERAGE('20250815_ETF_Options_Exhibits'!X1987:X1991)),AVERAGE('20250815_ETF_Options_Exhibits'!X1987:X1991),"")</f>
        <v/>
      </c>
      <c r="Y1991" s="3">
        <f>IF(ISNUMBER(AVERAGE('20250815_ETF_Options_Exhibits'!Y1987:Y1991)),AVERAGE('20250815_ETF_Options_Exhibits'!Y1987:Y1991),"")</f>
        <v/>
      </c>
      <c r="Z1991" s="3">
        <f>IF(ISNUMBER(AVERAGE('20250815_ETF_Options_Exhibits'!Z1987:Z1991)),AVERAGE('20250815_ETF_Options_Exhibits'!Z1987:Z1991),"")</f>
        <v/>
      </c>
      <c r="AA1991" s="3">
        <f>IF(ISNUMBER(AVERAGE('20250815_ETF_Options_Exhibits'!AA1987:AA1991)),AVERAGE('20250815_ETF_Options_Exhibits'!AA1987:AA1991),"")</f>
        <v/>
      </c>
    </row>
    <row r="1992">
      <c r="A1992" s="1" t="n">
        <v>44890</v>
      </c>
      <c r="B1992" s="3">
        <f>IF(ISNUMBER(AVERAGE('20250815_ETF_Options_Exhibits'!B1988:B1992)),AVERAGE('20250815_ETF_Options_Exhibits'!B1988:B1992),"")</f>
        <v/>
      </c>
      <c r="C1992" s="3">
        <f>IF(ISNUMBER(AVERAGE('20250815_ETF_Options_Exhibits'!C1988:C1992)),AVERAGE('20250815_ETF_Options_Exhibits'!C1988:C1992),"")</f>
        <v/>
      </c>
      <c r="D1992" s="3">
        <f>IF(ISNUMBER(AVERAGE('20250815_ETF_Options_Exhibits'!D1988:D1992)),AVERAGE('20250815_ETF_Options_Exhibits'!D1988:D1992),"")</f>
        <v/>
      </c>
      <c r="E1992" s="3">
        <f>IF(ISNUMBER(AVERAGE('20250815_ETF_Options_Exhibits'!E1988:E1992)),AVERAGE('20250815_ETF_Options_Exhibits'!E1988:E1992),"")</f>
        <v/>
      </c>
      <c r="F1992" s="3">
        <f>IF(ISNUMBER(AVERAGE('20250815_ETF_Options_Exhibits'!F1988:F1992)),AVERAGE('20250815_ETF_Options_Exhibits'!F1988:F1992),"")</f>
        <v/>
      </c>
      <c r="G1992" s="3">
        <f>IF(ISNUMBER(AVERAGE('20250815_ETF_Options_Exhibits'!G1988:G1992)),AVERAGE('20250815_ETF_Options_Exhibits'!G1988:G1992),"")</f>
        <v/>
      </c>
      <c r="H1992" s="3">
        <f>IF(ISNUMBER(AVERAGE('20250815_ETF_Options_Exhibits'!H1988:H1992)),AVERAGE('20250815_ETF_Options_Exhibits'!H1988:H1992),"")</f>
        <v/>
      </c>
      <c r="I1992" s="3">
        <f>IF(ISNUMBER(AVERAGE('20250815_ETF_Options_Exhibits'!I1988:I1992)),AVERAGE('20250815_ETF_Options_Exhibits'!I1988:I1992),"")</f>
        <v/>
      </c>
      <c r="J1992" s="3">
        <f>IF(ISNUMBER(AVERAGE('20250815_ETF_Options_Exhibits'!J1988:J1992)),AVERAGE('20250815_ETF_Options_Exhibits'!J1988:J1992),"")</f>
        <v/>
      </c>
      <c r="K1992" s="3">
        <f>IF(ISNUMBER(AVERAGE('20250815_ETF_Options_Exhibits'!K1988:K1992)),AVERAGE('20250815_ETF_Options_Exhibits'!K1988:K1992),"")</f>
        <v/>
      </c>
      <c r="L1992" s="3">
        <f>IF(ISNUMBER(AVERAGE('20250815_ETF_Options_Exhibits'!L1988:L1992)),AVERAGE('20250815_ETF_Options_Exhibits'!L1988:L1992),"")</f>
        <v/>
      </c>
      <c r="M1992" s="3">
        <f>IF(ISNUMBER(AVERAGE('20250815_ETF_Options_Exhibits'!M1988:M1992)),AVERAGE('20250815_ETF_Options_Exhibits'!M1988:M1992),"")</f>
        <v/>
      </c>
      <c r="N1992" s="3">
        <f>IF(ISNUMBER(AVERAGE('20250815_ETF_Options_Exhibits'!N1988:N1992)),AVERAGE('20250815_ETF_Options_Exhibits'!N1988:N1992),"")</f>
        <v/>
      </c>
      <c r="O1992" s="3">
        <f>IF(ISNUMBER(AVERAGE('20250815_ETF_Options_Exhibits'!O1988:O1992)),AVERAGE('20250815_ETF_Options_Exhibits'!O1988:O1992),"")</f>
        <v/>
      </c>
      <c r="P1992" s="3">
        <f>IF(ISNUMBER(AVERAGE('20250815_ETF_Options_Exhibits'!P1988:P1992)),AVERAGE('20250815_ETF_Options_Exhibits'!P1988:P1992),"")</f>
        <v/>
      </c>
      <c r="Q1992" s="3">
        <f>IF(ISNUMBER(AVERAGE('20250815_ETF_Options_Exhibits'!Q1988:Q1992)),AVERAGE('20250815_ETF_Options_Exhibits'!Q1988:Q1992),"")</f>
        <v/>
      </c>
      <c r="R1992" s="3">
        <f>IF(ISNUMBER(AVERAGE('20250815_ETF_Options_Exhibits'!R1988:R1992)),AVERAGE('20250815_ETF_Options_Exhibits'!R1988:R1992),"")</f>
        <v/>
      </c>
      <c r="S1992" s="3">
        <f>IF(ISNUMBER(AVERAGE('20250815_ETF_Options_Exhibits'!S1988:S1992)),AVERAGE('20250815_ETF_Options_Exhibits'!S1988:S1992),"")</f>
        <v/>
      </c>
      <c r="T1992" s="3">
        <f>IF(ISNUMBER(AVERAGE('20250815_ETF_Options_Exhibits'!T1988:T1992)),AVERAGE('20250815_ETF_Options_Exhibits'!T1988:T1992),"")</f>
        <v/>
      </c>
      <c r="U1992" s="3">
        <f>IF(ISNUMBER(AVERAGE('20250815_ETF_Options_Exhibits'!U1988:U1992)),AVERAGE('20250815_ETF_Options_Exhibits'!U1988:U1992),"")</f>
        <v/>
      </c>
      <c r="V1992" s="3">
        <f>IF(ISNUMBER(AVERAGE('20250815_ETF_Options_Exhibits'!V1988:V1992)),AVERAGE('20250815_ETF_Options_Exhibits'!V1988:V1992),"")</f>
        <v/>
      </c>
      <c r="W1992" s="3">
        <f>IF(ISNUMBER(AVERAGE('20250815_ETF_Options_Exhibits'!W1988:W1992)),AVERAGE('20250815_ETF_Options_Exhibits'!W1988:W1992),"")</f>
        <v/>
      </c>
      <c r="X1992" s="3">
        <f>IF(ISNUMBER(AVERAGE('20250815_ETF_Options_Exhibits'!X1988:X1992)),AVERAGE('20250815_ETF_Options_Exhibits'!X1988:X1992),"")</f>
        <v/>
      </c>
      <c r="Y1992" s="3">
        <f>IF(ISNUMBER(AVERAGE('20250815_ETF_Options_Exhibits'!Y1988:Y1992)),AVERAGE('20250815_ETF_Options_Exhibits'!Y1988:Y1992),"")</f>
        <v/>
      </c>
      <c r="Z1992" s="3">
        <f>IF(ISNUMBER(AVERAGE('20250815_ETF_Options_Exhibits'!Z1988:Z1992)),AVERAGE('20250815_ETF_Options_Exhibits'!Z1988:Z1992),"")</f>
        <v/>
      </c>
      <c r="AA1992" s="3">
        <f>IF(ISNUMBER(AVERAGE('20250815_ETF_Options_Exhibits'!AA1988:AA1992)),AVERAGE('20250815_ETF_Options_Exhibits'!AA1988:AA1992),"")</f>
        <v/>
      </c>
    </row>
    <row r="1993">
      <c r="A1993" s="1" t="n">
        <v>44893</v>
      </c>
      <c r="B1993" s="3">
        <f>IF(ISNUMBER(AVERAGE('20250815_ETF_Options_Exhibits'!B1989:B1993)),AVERAGE('20250815_ETF_Options_Exhibits'!B1989:B1993),"")</f>
        <v/>
      </c>
      <c r="C1993" s="3">
        <f>IF(ISNUMBER(AVERAGE('20250815_ETF_Options_Exhibits'!C1989:C1993)),AVERAGE('20250815_ETF_Options_Exhibits'!C1989:C1993),"")</f>
        <v/>
      </c>
      <c r="D1993" s="3">
        <f>IF(ISNUMBER(AVERAGE('20250815_ETF_Options_Exhibits'!D1989:D1993)),AVERAGE('20250815_ETF_Options_Exhibits'!D1989:D1993),"")</f>
        <v/>
      </c>
      <c r="E1993" s="3">
        <f>IF(ISNUMBER(AVERAGE('20250815_ETF_Options_Exhibits'!E1989:E1993)),AVERAGE('20250815_ETF_Options_Exhibits'!E1989:E1993),"")</f>
        <v/>
      </c>
      <c r="F1993" s="3">
        <f>IF(ISNUMBER(AVERAGE('20250815_ETF_Options_Exhibits'!F1989:F1993)),AVERAGE('20250815_ETF_Options_Exhibits'!F1989:F1993),"")</f>
        <v/>
      </c>
      <c r="G1993" s="3">
        <f>IF(ISNUMBER(AVERAGE('20250815_ETF_Options_Exhibits'!G1989:G1993)),AVERAGE('20250815_ETF_Options_Exhibits'!G1989:G1993),"")</f>
        <v/>
      </c>
      <c r="H1993" s="3">
        <f>IF(ISNUMBER(AVERAGE('20250815_ETF_Options_Exhibits'!H1989:H1993)),AVERAGE('20250815_ETF_Options_Exhibits'!H1989:H1993),"")</f>
        <v/>
      </c>
      <c r="I1993" s="3">
        <f>IF(ISNUMBER(AVERAGE('20250815_ETF_Options_Exhibits'!I1989:I1993)),AVERAGE('20250815_ETF_Options_Exhibits'!I1989:I1993),"")</f>
        <v/>
      </c>
      <c r="J1993" s="3">
        <f>IF(ISNUMBER(AVERAGE('20250815_ETF_Options_Exhibits'!J1989:J1993)),AVERAGE('20250815_ETF_Options_Exhibits'!J1989:J1993),"")</f>
        <v/>
      </c>
      <c r="K1993" s="3">
        <f>IF(ISNUMBER(AVERAGE('20250815_ETF_Options_Exhibits'!K1989:K1993)),AVERAGE('20250815_ETF_Options_Exhibits'!K1989:K1993),"")</f>
        <v/>
      </c>
      <c r="L1993" s="3">
        <f>IF(ISNUMBER(AVERAGE('20250815_ETF_Options_Exhibits'!L1989:L1993)),AVERAGE('20250815_ETF_Options_Exhibits'!L1989:L1993),"")</f>
        <v/>
      </c>
      <c r="M1993" s="3">
        <f>IF(ISNUMBER(AVERAGE('20250815_ETF_Options_Exhibits'!M1989:M1993)),AVERAGE('20250815_ETF_Options_Exhibits'!M1989:M1993),"")</f>
        <v/>
      </c>
      <c r="N1993" s="3">
        <f>IF(ISNUMBER(AVERAGE('20250815_ETF_Options_Exhibits'!N1989:N1993)),AVERAGE('20250815_ETF_Options_Exhibits'!N1989:N1993),"")</f>
        <v/>
      </c>
      <c r="O1993" s="3">
        <f>IF(ISNUMBER(AVERAGE('20250815_ETF_Options_Exhibits'!O1989:O1993)),AVERAGE('20250815_ETF_Options_Exhibits'!O1989:O1993),"")</f>
        <v/>
      </c>
      <c r="P1993" s="3">
        <f>IF(ISNUMBER(AVERAGE('20250815_ETF_Options_Exhibits'!P1989:P1993)),AVERAGE('20250815_ETF_Options_Exhibits'!P1989:P1993),"")</f>
        <v/>
      </c>
      <c r="Q1993" s="3">
        <f>IF(ISNUMBER(AVERAGE('20250815_ETF_Options_Exhibits'!Q1989:Q1993)),AVERAGE('20250815_ETF_Options_Exhibits'!Q1989:Q1993),"")</f>
        <v/>
      </c>
      <c r="R1993" s="3">
        <f>IF(ISNUMBER(AVERAGE('20250815_ETF_Options_Exhibits'!R1989:R1993)),AVERAGE('20250815_ETF_Options_Exhibits'!R1989:R1993),"")</f>
        <v/>
      </c>
      <c r="S1993" s="3">
        <f>IF(ISNUMBER(AVERAGE('20250815_ETF_Options_Exhibits'!S1989:S1993)),AVERAGE('20250815_ETF_Options_Exhibits'!S1989:S1993),"")</f>
        <v/>
      </c>
      <c r="T1993" s="3">
        <f>IF(ISNUMBER(AVERAGE('20250815_ETF_Options_Exhibits'!T1989:T1993)),AVERAGE('20250815_ETF_Options_Exhibits'!T1989:T1993),"")</f>
        <v/>
      </c>
      <c r="U1993" s="3">
        <f>IF(ISNUMBER(AVERAGE('20250815_ETF_Options_Exhibits'!U1989:U1993)),AVERAGE('20250815_ETF_Options_Exhibits'!U1989:U1993),"")</f>
        <v/>
      </c>
      <c r="V1993" s="3">
        <f>IF(ISNUMBER(AVERAGE('20250815_ETF_Options_Exhibits'!V1989:V1993)),AVERAGE('20250815_ETF_Options_Exhibits'!V1989:V1993),"")</f>
        <v/>
      </c>
      <c r="W1993" s="3">
        <f>IF(ISNUMBER(AVERAGE('20250815_ETF_Options_Exhibits'!W1989:W1993)),AVERAGE('20250815_ETF_Options_Exhibits'!W1989:W1993),"")</f>
        <v/>
      </c>
      <c r="X1993" s="3">
        <f>IF(ISNUMBER(AVERAGE('20250815_ETF_Options_Exhibits'!X1989:X1993)),AVERAGE('20250815_ETF_Options_Exhibits'!X1989:X1993),"")</f>
        <v/>
      </c>
      <c r="Y1993" s="3">
        <f>IF(ISNUMBER(AVERAGE('20250815_ETF_Options_Exhibits'!Y1989:Y1993)),AVERAGE('20250815_ETF_Options_Exhibits'!Y1989:Y1993),"")</f>
        <v/>
      </c>
      <c r="Z1993" s="3">
        <f>IF(ISNUMBER(AVERAGE('20250815_ETF_Options_Exhibits'!Z1989:Z1993)),AVERAGE('20250815_ETF_Options_Exhibits'!Z1989:Z1993),"")</f>
        <v/>
      </c>
      <c r="AA1993" s="3">
        <f>IF(ISNUMBER(AVERAGE('20250815_ETF_Options_Exhibits'!AA1989:AA1993)),AVERAGE('20250815_ETF_Options_Exhibits'!AA1989:AA1993),"")</f>
        <v/>
      </c>
    </row>
    <row r="1994">
      <c r="A1994" s="1" t="n">
        <v>44894</v>
      </c>
      <c r="B1994" s="3">
        <f>IF(ISNUMBER(AVERAGE('20250815_ETF_Options_Exhibits'!B1990:B1994)),AVERAGE('20250815_ETF_Options_Exhibits'!B1990:B1994),"")</f>
        <v/>
      </c>
      <c r="C1994" s="3">
        <f>IF(ISNUMBER(AVERAGE('20250815_ETF_Options_Exhibits'!C1990:C1994)),AVERAGE('20250815_ETF_Options_Exhibits'!C1990:C1994),"")</f>
        <v/>
      </c>
      <c r="D1994" s="3">
        <f>IF(ISNUMBER(AVERAGE('20250815_ETF_Options_Exhibits'!D1990:D1994)),AVERAGE('20250815_ETF_Options_Exhibits'!D1990:D1994),"")</f>
        <v/>
      </c>
      <c r="E1994" s="3">
        <f>IF(ISNUMBER(AVERAGE('20250815_ETF_Options_Exhibits'!E1990:E1994)),AVERAGE('20250815_ETF_Options_Exhibits'!E1990:E1994),"")</f>
        <v/>
      </c>
      <c r="F1994" s="3">
        <f>IF(ISNUMBER(AVERAGE('20250815_ETF_Options_Exhibits'!F1990:F1994)),AVERAGE('20250815_ETF_Options_Exhibits'!F1990:F1994),"")</f>
        <v/>
      </c>
      <c r="G1994" s="3">
        <f>IF(ISNUMBER(AVERAGE('20250815_ETF_Options_Exhibits'!G1990:G1994)),AVERAGE('20250815_ETF_Options_Exhibits'!G1990:G1994),"")</f>
        <v/>
      </c>
      <c r="H1994" s="3">
        <f>IF(ISNUMBER(AVERAGE('20250815_ETF_Options_Exhibits'!H1990:H1994)),AVERAGE('20250815_ETF_Options_Exhibits'!H1990:H1994),"")</f>
        <v/>
      </c>
      <c r="I1994" s="3">
        <f>IF(ISNUMBER(AVERAGE('20250815_ETF_Options_Exhibits'!I1990:I1994)),AVERAGE('20250815_ETF_Options_Exhibits'!I1990:I1994),"")</f>
        <v/>
      </c>
      <c r="J1994" s="3">
        <f>IF(ISNUMBER(AVERAGE('20250815_ETF_Options_Exhibits'!J1990:J1994)),AVERAGE('20250815_ETF_Options_Exhibits'!J1990:J1994),"")</f>
        <v/>
      </c>
      <c r="K1994" s="3">
        <f>IF(ISNUMBER(AVERAGE('20250815_ETF_Options_Exhibits'!K1990:K1994)),AVERAGE('20250815_ETF_Options_Exhibits'!K1990:K1994),"")</f>
        <v/>
      </c>
      <c r="L1994" s="3">
        <f>IF(ISNUMBER(AVERAGE('20250815_ETF_Options_Exhibits'!L1990:L1994)),AVERAGE('20250815_ETF_Options_Exhibits'!L1990:L1994),"")</f>
        <v/>
      </c>
      <c r="M1994" s="3">
        <f>IF(ISNUMBER(AVERAGE('20250815_ETF_Options_Exhibits'!M1990:M1994)),AVERAGE('20250815_ETF_Options_Exhibits'!M1990:M1994),"")</f>
        <v/>
      </c>
      <c r="N1994" s="3">
        <f>IF(ISNUMBER(AVERAGE('20250815_ETF_Options_Exhibits'!N1990:N1994)),AVERAGE('20250815_ETF_Options_Exhibits'!N1990:N1994),"")</f>
        <v/>
      </c>
      <c r="O1994" s="3">
        <f>IF(ISNUMBER(AVERAGE('20250815_ETF_Options_Exhibits'!O1990:O1994)),AVERAGE('20250815_ETF_Options_Exhibits'!O1990:O1994),"")</f>
        <v/>
      </c>
      <c r="P1994" s="3">
        <f>IF(ISNUMBER(AVERAGE('20250815_ETF_Options_Exhibits'!P1990:P1994)),AVERAGE('20250815_ETF_Options_Exhibits'!P1990:P1994),"")</f>
        <v/>
      </c>
      <c r="Q1994" s="3">
        <f>IF(ISNUMBER(AVERAGE('20250815_ETF_Options_Exhibits'!Q1990:Q1994)),AVERAGE('20250815_ETF_Options_Exhibits'!Q1990:Q1994),"")</f>
        <v/>
      </c>
      <c r="R1994" s="3">
        <f>IF(ISNUMBER(AVERAGE('20250815_ETF_Options_Exhibits'!R1990:R1994)),AVERAGE('20250815_ETF_Options_Exhibits'!R1990:R1994),"")</f>
        <v/>
      </c>
      <c r="S1994" s="3">
        <f>IF(ISNUMBER(AVERAGE('20250815_ETF_Options_Exhibits'!S1990:S1994)),AVERAGE('20250815_ETF_Options_Exhibits'!S1990:S1994),"")</f>
        <v/>
      </c>
      <c r="T1994" s="3">
        <f>IF(ISNUMBER(AVERAGE('20250815_ETF_Options_Exhibits'!T1990:T1994)),AVERAGE('20250815_ETF_Options_Exhibits'!T1990:T1994),"")</f>
        <v/>
      </c>
      <c r="U1994" s="3">
        <f>IF(ISNUMBER(AVERAGE('20250815_ETF_Options_Exhibits'!U1990:U1994)),AVERAGE('20250815_ETF_Options_Exhibits'!U1990:U1994),"")</f>
        <v/>
      </c>
      <c r="V1994" s="3">
        <f>IF(ISNUMBER(AVERAGE('20250815_ETF_Options_Exhibits'!V1990:V1994)),AVERAGE('20250815_ETF_Options_Exhibits'!V1990:V1994),"")</f>
        <v/>
      </c>
      <c r="W1994" s="3">
        <f>IF(ISNUMBER(AVERAGE('20250815_ETF_Options_Exhibits'!W1990:W1994)),AVERAGE('20250815_ETF_Options_Exhibits'!W1990:W1994),"")</f>
        <v/>
      </c>
      <c r="X1994" s="3">
        <f>IF(ISNUMBER(AVERAGE('20250815_ETF_Options_Exhibits'!X1990:X1994)),AVERAGE('20250815_ETF_Options_Exhibits'!X1990:X1994),"")</f>
        <v/>
      </c>
      <c r="Y1994" s="3">
        <f>IF(ISNUMBER(AVERAGE('20250815_ETF_Options_Exhibits'!Y1990:Y1994)),AVERAGE('20250815_ETF_Options_Exhibits'!Y1990:Y1994),"")</f>
        <v/>
      </c>
      <c r="Z1994" s="3">
        <f>IF(ISNUMBER(AVERAGE('20250815_ETF_Options_Exhibits'!Z1990:Z1994)),AVERAGE('20250815_ETF_Options_Exhibits'!Z1990:Z1994),"")</f>
        <v/>
      </c>
      <c r="AA1994" s="3">
        <f>IF(ISNUMBER(AVERAGE('20250815_ETF_Options_Exhibits'!AA1990:AA1994)),AVERAGE('20250815_ETF_Options_Exhibits'!AA1990:AA1994),"")</f>
        <v/>
      </c>
    </row>
    <row r="1995">
      <c r="A1995" s="1" t="n">
        <v>44895</v>
      </c>
      <c r="B1995" s="3">
        <f>IF(ISNUMBER(AVERAGE('20250815_ETF_Options_Exhibits'!B1991:B1995)),AVERAGE('20250815_ETF_Options_Exhibits'!B1991:B1995),"")</f>
        <v/>
      </c>
      <c r="C1995" s="3">
        <f>IF(ISNUMBER(AVERAGE('20250815_ETF_Options_Exhibits'!C1991:C1995)),AVERAGE('20250815_ETF_Options_Exhibits'!C1991:C1995),"")</f>
        <v/>
      </c>
      <c r="D1995" s="3">
        <f>IF(ISNUMBER(AVERAGE('20250815_ETF_Options_Exhibits'!D1991:D1995)),AVERAGE('20250815_ETF_Options_Exhibits'!D1991:D1995),"")</f>
        <v/>
      </c>
      <c r="E1995" s="3">
        <f>IF(ISNUMBER(AVERAGE('20250815_ETF_Options_Exhibits'!E1991:E1995)),AVERAGE('20250815_ETF_Options_Exhibits'!E1991:E1995),"")</f>
        <v/>
      </c>
      <c r="F1995" s="3">
        <f>IF(ISNUMBER(AVERAGE('20250815_ETF_Options_Exhibits'!F1991:F1995)),AVERAGE('20250815_ETF_Options_Exhibits'!F1991:F1995),"")</f>
        <v/>
      </c>
      <c r="G1995" s="3">
        <f>IF(ISNUMBER(AVERAGE('20250815_ETF_Options_Exhibits'!G1991:G1995)),AVERAGE('20250815_ETF_Options_Exhibits'!G1991:G1995),"")</f>
        <v/>
      </c>
      <c r="H1995" s="3">
        <f>IF(ISNUMBER(AVERAGE('20250815_ETF_Options_Exhibits'!H1991:H1995)),AVERAGE('20250815_ETF_Options_Exhibits'!H1991:H1995),"")</f>
        <v/>
      </c>
      <c r="I1995" s="3">
        <f>IF(ISNUMBER(AVERAGE('20250815_ETF_Options_Exhibits'!I1991:I1995)),AVERAGE('20250815_ETF_Options_Exhibits'!I1991:I1995),"")</f>
        <v/>
      </c>
      <c r="J1995" s="3">
        <f>IF(ISNUMBER(AVERAGE('20250815_ETF_Options_Exhibits'!J1991:J1995)),AVERAGE('20250815_ETF_Options_Exhibits'!J1991:J1995),"")</f>
        <v/>
      </c>
      <c r="K1995" s="3">
        <f>IF(ISNUMBER(AVERAGE('20250815_ETF_Options_Exhibits'!K1991:K1995)),AVERAGE('20250815_ETF_Options_Exhibits'!K1991:K1995),"")</f>
        <v/>
      </c>
      <c r="L1995" s="3">
        <f>IF(ISNUMBER(AVERAGE('20250815_ETF_Options_Exhibits'!L1991:L1995)),AVERAGE('20250815_ETF_Options_Exhibits'!L1991:L1995),"")</f>
        <v/>
      </c>
      <c r="M1995" s="3">
        <f>IF(ISNUMBER(AVERAGE('20250815_ETF_Options_Exhibits'!M1991:M1995)),AVERAGE('20250815_ETF_Options_Exhibits'!M1991:M1995),"")</f>
        <v/>
      </c>
      <c r="N1995" s="3">
        <f>IF(ISNUMBER(AVERAGE('20250815_ETF_Options_Exhibits'!N1991:N1995)),AVERAGE('20250815_ETF_Options_Exhibits'!N1991:N1995),"")</f>
        <v/>
      </c>
      <c r="O1995" s="3">
        <f>IF(ISNUMBER(AVERAGE('20250815_ETF_Options_Exhibits'!O1991:O1995)),AVERAGE('20250815_ETF_Options_Exhibits'!O1991:O1995),"")</f>
        <v/>
      </c>
      <c r="P1995" s="3">
        <f>IF(ISNUMBER(AVERAGE('20250815_ETF_Options_Exhibits'!P1991:P1995)),AVERAGE('20250815_ETF_Options_Exhibits'!P1991:P1995),"")</f>
        <v/>
      </c>
      <c r="Q1995" s="3">
        <f>IF(ISNUMBER(AVERAGE('20250815_ETF_Options_Exhibits'!Q1991:Q1995)),AVERAGE('20250815_ETF_Options_Exhibits'!Q1991:Q1995),"")</f>
        <v/>
      </c>
      <c r="R1995" s="3">
        <f>IF(ISNUMBER(AVERAGE('20250815_ETF_Options_Exhibits'!R1991:R1995)),AVERAGE('20250815_ETF_Options_Exhibits'!R1991:R1995),"")</f>
        <v/>
      </c>
      <c r="S1995" s="3">
        <f>IF(ISNUMBER(AVERAGE('20250815_ETF_Options_Exhibits'!S1991:S1995)),AVERAGE('20250815_ETF_Options_Exhibits'!S1991:S1995),"")</f>
        <v/>
      </c>
      <c r="T1995" s="3">
        <f>IF(ISNUMBER(AVERAGE('20250815_ETF_Options_Exhibits'!T1991:T1995)),AVERAGE('20250815_ETF_Options_Exhibits'!T1991:T1995),"")</f>
        <v/>
      </c>
      <c r="U1995" s="3">
        <f>IF(ISNUMBER(AVERAGE('20250815_ETF_Options_Exhibits'!U1991:U1995)),AVERAGE('20250815_ETF_Options_Exhibits'!U1991:U1995),"")</f>
        <v/>
      </c>
      <c r="V1995" s="3">
        <f>IF(ISNUMBER(AVERAGE('20250815_ETF_Options_Exhibits'!V1991:V1995)),AVERAGE('20250815_ETF_Options_Exhibits'!V1991:V1995),"")</f>
        <v/>
      </c>
      <c r="W1995" s="3">
        <f>IF(ISNUMBER(AVERAGE('20250815_ETF_Options_Exhibits'!W1991:W1995)),AVERAGE('20250815_ETF_Options_Exhibits'!W1991:W1995),"")</f>
        <v/>
      </c>
      <c r="X1995" s="3">
        <f>IF(ISNUMBER(AVERAGE('20250815_ETF_Options_Exhibits'!X1991:X1995)),AVERAGE('20250815_ETF_Options_Exhibits'!X1991:X1995),"")</f>
        <v/>
      </c>
      <c r="Y1995" s="3">
        <f>IF(ISNUMBER(AVERAGE('20250815_ETF_Options_Exhibits'!Y1991:Y1995)),AVERAGE('20250815_ETF_Options_Exhibits'!Y1991:Y1995),"")</f>
        <v/>
      </c>
      <c r="Z1995" s="3">
        <f>IF(ISNUMBER(AVERAGE('20250815_ETF_Options_Exhibits'!Z1991:Z1995)),AVERAGE('20250815_ETF_Options_Exhibits'!Z1991:Z1995),"")</f>
        <v/>
      </c>
      <c r="AA1995" s="3">
        <f>IF(ISNUMBER(AVERAGE('20250815_ETF_Options_Exhibits'!AA1991:AA1995)),AVERAGE('20250815_ETF_Options_Exhibits'!AA1991:AA1995),"")</f>
        <v/>
      </c>
    </row>
    <row r="1996">
      <c r="A1996" s="1" t="n">
        <v>44896</v>
      </c>
      <c r="B1996" s="3">
        <f>IF(ISNUMBER(AVERAGE('20250815_ETF_Options_Exhibits'!B1992:B1996)),AVERAGE('20250815_ETF_Options_Exhibits'!B1992:B1996),"")</f>
        <v/>
      </c>
      <c r="C1996" s="3">
        <f>IF(ISNUMBER(AVERAGE('20250815_ETF_Options_Exhibits'!C1992:C1996)),AVERAGE('20250815_ETF_Options_Exhibits'!C1992:C1996),"")</f>
        <v/>
      </c>
      <c r="D1996" s="3">
        <f>IF(ISNUMBER(AVERAGE('20250815_ETF_Options_Exhibits'!D1992:D1996)),AVERAGE('20250815_ETF_Options_Exhibits'!D1992:D1996),"")</f>
        <v/>
      </c>
      <c r="E1996" s="3">
        <f>IF(ISNUMBER(AVERAGE('20250815_ETF_Options_Exhibits'!E1992:E1996)),AVERAGE('20250815_ETF_Options_Exhibits'!E1992:E1996),"")</f>
        <v/>
      </c>
      <c r="F1996" s="3">
        <f>IF(ISNUMBER(AVERAGE('20250815_ETF_Options_Exhibits'!F1992:F1996)),AVERAGE('20250815_ETF_Options_Exhibits'!F1992:F1996),"")</f>
        <v/>
      </c>
      <c r="G1996" s="3">
        <f>IF(ISNUMBER(AVERAGE('20250815_ETF_Options_Exhibits'!G1992:G1996)),AVERAGE('20250815_ETF_Options_Exhibits'!G1992:G1996),"")</f>
        <v/>
      </c>
      <c r="H1996" s="3">
        <f>IF(ISNUMBER(AVERAGE('20250815_ETF_Options_Exhibits'!H1992:H1996)),AVERAGE('20250815_ETF_Options_Exhibits'!H1992:H1996),"")</f>
        <v/>
      </c>
      <c r="I1996" s="3">
        <f>IF(ISNUMBER(AVERAGE('20250815_ETF_Options_Exhibits'!I1992:I1996)),AVERAGE('20250815_ETF_Options_Exhibits'!I1992:I1996),"")</f>
        <v/>
      </c>
      <c r="J1996" s="3">
        <f>IF(ISNUMBER(AVERAGE('20250815_ETF_Options_Exhibits'!J1992:J1996)),AVERAGE('20250815_ETF_Options_Exhibits'!J1992:J1996),"")</f>
        <v/>
      </c>
      <c r="K1996" s="3">
        <f>IF(ISNUMBER(AVERAGE('20250815_ETF_Options_Exhibits'!K1992:K1996)),AVERAGE('20250815_ETF_Options_Exhibits'!K1992:K1996),"")</f>
        <v/>
      </c>
      <c r="L1996" s="3">
        <f>IF(ISNUMBER(AVERAGE('20250815_ETF_Options_Exhibits'!L1992:L1996)),AVERAGE('20250815_ETF_Options_Exhibits'!L1992:L1996),"")</f>
        <v/>
      </c>
      <c r="M1996" s="3">
        <f>IF(ISNUMBER(AVERAGE('20250815_ETF_Options_Exhibits'!M1992:M1996)),AVERAGE('20250815_ETF_Options_Exhibits'!M1992:M1996),"")</f>
        <v/>
      </c>
      <c r="N1996" s="3">
        <f>IF(ISNUMBER(AVERAGE('20250815_ETF_Options_Exhibits'!N1992:N1996)),AVERAGE('20250815_ETF_Options_Exhibits'!N1992:N1996),"")</f>
        <v/>
      </c>
      <c r="O1996" s="3">
        <f>IF(ISNUMBER(AVERAGE('20250815_ETF_Options_Exhibits'!O1992:O1996)),AVERAGE('20250815_ETF_Options_Exhibits'!O1992:O1996),"")</f>
        <v/>
      </c>
      <c r="P1996" s="3">
        <f>IF(ISNUMBER(AVERAGE('20250815_ETF_Options_Exhibits'!P1992:P1996)),AVERAGE('20250815_ETF_Options_Exhibits'!P1992:P1996),"")</f>
        <v/>
      </c>
      <c r="Q1996" s="3">
        <f>IF(ISNUMBER(AVERAGE('20250815_ETF_Options_Exhibits'!Q1992:Q1996)),AVERAGE('20250815_ETF_Options_Exhibits'!Q1992:Q1996),"")</f>
        <v/>
      </c>
      <c r="R1996" s="3">
        <f>IF(ISNUMBER(AVERAGE('20250815_ETF_Options_Exhibits'!R1992:R1996)),AVERAGE('20250815_ETF_Options_Exhibits'!R1992:R1996),"")</f>
        <v/>
      </c>
      <c r="S1996" s="3">
        <f>IF(ISNUMBER(AVERAGE('20250815_ETF_Options_Exhibits'!S1992:S1996)),AVERAGE('20250815_ETF_Options_Exhibits'!S1992:S1996),"")</f>
        <v/>
      </c>
      <c r="T1996" s="3">
        <f>IF(ISNUMBER(AVERAGE('20250815_ETF_Options_Exhibits'!T1992:T1996)),AVERAGE('20250815_ETF_Options_Exhibits'!T1992:T1996),"")</f>
        <v/>
      </c>
      <c r="U1996" s="3">
        <f>IF(ISNUMBER(AVERAGE('20250815_ETF_Options_Exhibits'!U1992:U1996)),AVERAGE('20250815_ETF_Options_Exhibits'!U1992:U1996),"")</f>
        <v/>
      </c>
      <c r="V1996" s="3">
        <f>IF(ISNUMBER(AVERAGE('20250815_ETF_Options_Exhibits'!V1992:V1996)),AVERAGE('20250815_ETF_Options_Exhibits'!V1992:V1996),"")</f>
        <v/>
      </c>
      <c r="W1996" s="3">
        <f>IF(ISNUMBER(AVERAGE('20250815_ETF_Options_Exhibits'!W1992:W1996)),AVERAGE('20250815_ETF_Options_Exhibits'!W1992:W1996),"")</f>
        <v/>
      </c>
      <c r="X1996" s="3">
        <f>IF(ISNUMBER(AVERAGE('20250815_ETF_Options_Exhibits'!X1992:X1996)),AVERAGE('20250815_ETF_Options_Exhibits'!X1992:X1996),"")</f>
        <v/>
      </c>
      <c r="Y1996" s="3">
        <f>IF(ISNUMBER(AVERAGE('20250815_ETF_Options_Exhibits'!Y1992:Y1996)),AVERAGE('20250815_ETF_Options_Exhibits'!Y1992:Y1996),"")</f>
        <v/>
      </c>
      <c r="Z1996" s="3">
        <f>IF(ISNUMBER(AVERAGE('20250815_ETF_Options_Exhibits'!Z1992:Z1996)),AVERAGE('20250815_ETF_Options_Exhibits'!Z1992:Z1996),"")</f>
        <v/>
      </c>
      <c r="AA1996" s="3">
        <f>IF(ISNUMBER(AVERAGE('20250815_ETF_Options_Exhibits'!AA1992:AA1996)),AVERAGE('20250815_ETF_Options_Exhibits'!AA1992:AA1996),"")</f>
        <v/>
      </c>
    </row>
    <row r="1997">
      <c r="A1997" s="1" t="n">
        <v>44897</v>
      </c>
      <c r="B1997" s="3">
        <f>IF(ISNUMBER(AVERAGE('20250815_ETF_Options_Exhibits'!B1993:B1997)),AVERAGE('20250815_ETF_Options_Exhibits'!B1993:B1997),"")</f>
        <v/>
      </c>
      <c r="C1997" s="3">
        <f>IF(ISNUMBER(AVERAGE('20250815_ETF_Options_Exhibits'!C1993:C1997)),AVERAGE('20250815_ETF_Options_Exhibits'!C1993:C1997),"")</f>
        <v/>
      </c>
      <c r="D1997" s="3">
        <f>IF(ISNUMBER(AVERAGE('20250815_ETF_Options_Exhibits'!D1993:D1997)),AVERAGE('20250815_ETF_Options_Exhibits'!D1993:D1997),"")</f>
        <v/>
      </c>
      <c r="E1997" s="3">
        <f>IF(ISNUMBER(AVERAGE('20250815_ETF_Options_Exhibits'!E1993:E1997)),AVERAGE('20250815_ETF_Options_Exhibits'!E1993:E1997),"")</f>
        <v/>
      </c>
      <c r="F1997" s="3">
        <f>IF(ISNUMBER(AVERAGE('20250815_ETF_Options_Exhibits'!F1993:F1997)),AVERAGE('20250815_ETF_Options_Exhibits'!F1993:F1997),"")</f>
        <v/>
      </c>
      <c r="G1997" s="3">
        <f>IF(ISNUMBER(AVERAGE('20250815_ETF_Options_Exhibits'!G1993:G1997)),AVERAGE('20250815_ETF_Options_Exhibits'!G1993:G1997),"")</f>
        <v/>
      </c>
      <c r="H1997" s="3">
        <f>IF(ISNUMBER(AVERAGE('20250815_ETF_Options_Exhibits'!H1993:H1997)),AVERAGE('20250815_ETF_Options_Exhibits'!H1993:H1997),"")</f>
        <v/>
      </c>
      <c r="I1997" s="3">
        <f>IF(ISNUMBER(AVERAGE('20250815_ETF_Options_Exhibits'!I1993:I1997)),AVERAGE('20250815_ETF_Options_Exhibits'!I1993:I1997),"")</f>
        <v/>
      </c>
      <c r="J1997" s="3">
        <f>IF(ISNUMBER(AVERAGE('20250815_ETF_Options_Exhibits'!J1993:J1997)),AVERAGE('20250815_ETF_Options_Exhibits'!J1993:J1997),"")</f>
        <v/>
      </c>
      <c r="K1997" s="3">
        <f>IF(ISNUMBER(AVERAGE('20250815_ETF_Options_Exhibits'!K1993:K1997)),AVERAGE('20250815_ETF_Options_Exhibits'!K1993:K1997),"")</f>
        <v/>
      </c>
      <c r="L1997" s="3">
        <f>IF(ISNUMBER(AVERAGE('20250815_ETF_Options_Exhibits'!L1993:L1997)),AVERAGE('20250815_ETF_Options_Exhibits'!L1993:L1997),"")</f>
        <v/>
      </c>
      <c r="M1997" s="3">
        <f>IF(ISNUMBER(AVERAGE('20250815_ETF_Options_Exhibits'!M1993:M1997)),AVERAGE('20250815_ETF_Options_Exhibits'!M1993:M1997),"")</f>
        <v/>
      </c>
      <c r="N1997" s="3">
        <f>IF(ISNUMBER(AVERAGE('20250815_ETF_Options_Exhibits'!N1993:N1997)),AVERAGE('20250815_ETF_Options_Exhibits'!N1993:N1997),"")</f>
        <v/>
      </c>
      <c r="O1997" s="3">
        <f>IF(ISNUMBER(AVERAGE('20250815_ETF_Options_Exhibits'!O1993:O1997)),AVERAGE('20250815_ETF_Options_Exhibits'!O1993:O1997),"")</f>
        <v/>
      </c>
      <c r="P1997" s="3">
        <f>IF(ISNUMBER(AVERAGE('20250815_ETF_Options_Exhibits'!P1993:P1997)),AVERAGE('20250815_ETF_Options_Exhibits'!P1993:P1997),"")</f>
        <v/>
      </c>
      <c r="Q1997" s="3">
        <f>IF(ISNUMBER(AVERAGE('20250815_ETF_Options_Exhibits'!Q1993:Q1997)),AVERAGE('20250815_ETF_Options_Exhibits'!Q1993:Q1997),"")</f>
        <v/>
      </c>
      <c r="R1997" s="3">
        <f>IF(ISNUMBER(AVERAGE('20250815_ETF_Options_Exhibits'!R1993:R1997)),AVERAGE('20250815_ETF_Options_Exhibits'!R1993:R1997),"")</f>
        <v/>
      </c>
      <c r="S1997" s="3">
        <f>IF(ISNUMBER(AVERAGE('20250815_ETF_Options_Exhibits'!S1993:S1997)),AVERAGE('20250815_ETF_Options_Exhibits'!S1993:S1997),"")</f>
        <v/>
      </c>
      <c r="T1997" s="3">
        <f>IF(ISNUMBER(AVERAGE('20250815_ETF_Options_Exhibits'!T1993:T1997)),AVERAGE('20250815_ETF_Options_Exhibits'!T1993:T1997),"")</f>
        <v/>
      </c>
      <c r="U1997" s="3">
        <f>IF(ISNUMBER(AVERAGE('20250815_ETF_Options_Exhibits'!U1993:U1997)),AVERAGE('20250815_ETF_Options_Exhibits'!U1993:U1997),"")</f>
        <v/>
      </c>
      <c r="V1997" s="3">
        <f>IF(ISNUMBER(AVERAGE('20250815_ETF_Options_Exhibits'!V1993:V1997)),AVERAGE('20250815_ETF_Options_Exhibits'!V1993:V1997),"")</f>
        <v/>
      </c>
      <c r="W1997" s="3">
        <f>IF(ISNUMBER(AVERAGE('20250815_ETF_Options_Exhibits'!W1993:W1997)),AVERAGE('20250815_ETF_Options_Exhibits'!W1993:W1997),"")</f>
        <v/>
      </c>
      <c r="X1997" s="3">
        <f>IF(ISNUMBER(AVERAGE('20250815_ETF_Options_Exhibits'!X1993:X1997)),AVERAGE('20250815_ETF_Options_Exhibits'!X1993:X1997),"")</f>
        <v/>
      </c>
      <c r="Y1997" s="3">
        <f>IF(ISNUMBER(AVERAGE('20250815_ETF_Options_Exhibits'!Y1993:Y1997)),AVERAGE('20250815_ETF_Options_Exhibits'!Y1993:Y1997),"")</f>
        <v/>
      </c>
      <c r="Z1997" s="3">
        <f>IF(ISNUMBER(AVERAGE('20250815_ETF_Options_Exhibits'!Z1993:Z1997)),AVERAGE('20250815_ETF_Options_Exhibits'!Z1993:Z1997),"")</f>
        <v/>
      </c>
      <c r="AA1997" s="3">
        <f>IF(ISNUMBER(AVERAGE('20250815_ETF_Options_Exhibits'!AA1993:AA1997)),AVERAGE('20250815_ETF_Options_Exhibits'!AA1993:AA1997),"")</f>
        <v/>
      </c>
    </row>
    <row r="1998">
      <c r="A1998" s="1" t="n">
        <v>44900</v>
      </c>
      <c r="B1998" s="3">
        <f>IF(ISNUMBER(AVERAGE('20250815_ETF_Options_Exhibits'!B1994:B1998)),AVERAGE('20250815_ETF_Options_Exhibits'!B1994:B1998),"")</f>
        <v/>
      </c>
      <c r="C1998" s="3">
        <f>IF(ISNUMBER(AVERAGE('20250815_ETF_Options_Exhibits'!C1994:C1998)),AVERAGE('20250815_ETF_Options_Exhibits'!C1994:C1998),"")</f>
        <v/>
      </c>
      <c r="D1998" s="3">
        <f>IF(ISNUMBER(AVERAGE('20250815_ETF_Options_Exhibits'!D1994:D1998)),AVERAGE('20250815_ETF_Options_Exhibits'!D1994:D1998),"")</f>
        <v/>
      </c>
      <c r="E1998" s="3">
        <f>IF(ISNUMBER(AVERAGE('20250815_ETF_Options_Exhibits'!E1994:E1998)),AVERAGE('20250815_ETF_Options_Exhibits'!E1994:E1998),"")</f>
        <v/>
      </c>
      <c r="F1998" s="3">
        <f>IF(ISNUMBER(AVERAGE('20250815_ETF_Options_Exhibits'!F1994:F1998)),AVERAGE('20250815_ETF_Options_Exhibits'!F1994:F1998),"")</f>
        <v/>
      </c>
      <c r="G1998" s="3">
        <f>IF(ISNUMBER(AVERAGE('20250815_ETF_Options_Exhibits'!G1994:G1998)),AVERAGE('20250815_ETF_Options_Exhibits'!G1994:G1998),"")</f>
        <v/>
      </c>
      <c r="H1998" s="3">
        <f>IF(ISNUMBER(AVERAGE('20250815_ETF_Options_Exhibits'!H1994:H1998)),AVERAGE('20250815_ETF_Options_Exhibits'!H1994:H1998),"")</f>
        <v/>
      </c>
      <c r="I1998" s="3">
        <f>IF(ISNUMBER(AVERAGE('20250815_ETF_Options_Exhibits'!I1994:I1998)),AVERAGE('20250815_ETF_Options_Exhibits'!I1994:I1998),"")</f>
        <v/>
      </c>
      <c r="J1998" s="3">
        <f>IF(ISNUMBER(AVERAGE('20250815_ETF_Options_Exhibits'!J1994:J1998)),AVERAGE('20250815_ETF_Options_Exhibits'!J1994:J1998),"")</f>
        <v/>
      </c>
      <c r="K1998" s="3">
        <f>IF(ISNUMBER(AVERAGE('20250815_ETF_Options_Exhibits'!K1994:K1998)),AVERAGE('20250815_ETF_Options_Exhibits'!K1994:K1998),"")</f>
        <v/>
      </c>
      <c r="L1998" s="3">
        <f>IF(ISNUMBER(AVERAGE('20250815_ETF_Options_Exhibits'!L1994:L1998)),AVERAGE('20250815_ETF_Options_Exhibits'!L1994:L1998),"")</f>
        <v/>
      </c>
      <c r="M1998" s="3">
        <f>IF(ISNUMBER(AVERAGE('20250815_ETF_Options_Exhibits'!M1994:M1998)),AVERAGE('20250815_ETF_Options_Exhibits'!M1994:M1998),"")</f>
        <v/>
      </c>
      <c r="N1998" s="3">
        <f>IF(ISNUMBER(AVERAGE('20250815_ETF_Options_Exhibits'!N1994:N1998)),AVERAGE('20250815_ETF_Options_Exhibits'!N1994:N1998),"")</f>
        <v/>
      </c>
      <c r="O1998" s="3">
        <f>IF(ISNUMBER(AVERAGE('20250815_ETF_Options_Exhibits'!O1994:O1998)),AVERAGE('20250815_ETF_Options_Exhibits'!O1994:O1998),"")</f>
        <v/>
      </c>
      <c r="P1998" s="3">
        <f>IF(ISNUMBER(AVERAGE('20250815_ETF_Options_Exhibits'!P1994:P1998)),AVERAGE('20250815_ETF_Options_Exhibits'!P1994:P1998),"")</f>
        <v/>
      </c>
      <c r="Q1998" s="3">
        <f>IF(ISNUMBER(AVERAGE('20250815_ETF_Options_Exhibits'!Q1994:Q1998)),AVERAGE('20250815_ETF_Options_Exhibits'!Q1994:Q1998),"")</f>
        <v/>
      </c>
      <c r="R1998" s="3">
        <f>IF(ISNUMBER(AVERAGE('20250815_ETF_Options_Exhibits'!R1994:R1998)),AVERAGE('20250815_ETF_Options_Exhibits'!R1994:R1998),"")</f>
        <v/>
      </c>
      <c r="S1998" s="3">
        <f>IF(ISNUMBER(AVERAGE('20250815_ETF_Options_Exhibits'!S1994:S1998)),AVERAGE('20250815_ETF_Options_Exhibits'!S1994:S1998),"")</f>
        <v/>
      </c>
      <c r="T1998" s="3">
        <f>IF(ISNUMBER(AVERAGE('20250815_ETF_Options_Exhibits'!T1994:T1998)),AVERAGE('20250815_ETF_Options_Exhibits'!T1994:T1998),"")</f>
        <v/>
      </c>
      <c r="U1998" s="3">
        <f>IF(ISNUMBER(AVERAGE('20250815_ETF_Options_Exhibits'!U1994:U1998)),AVERAGE('20250815_ETF_Options_Exhibits'!U1994:U1998),"")</f>
        <v/>
      </c>
      <c r="V1998" s="3">
        <f>IF(ISNUMBER(AVERAGE('20250815_ETF_Options_Exhibits'!V1994:V1998)),AVERAGE('20250815_ETF_Options_Exhibits'!V1994:V1998),"")</f>
        <v/>
      </c>
      <c r="W1998" s="3">
        <f>IF(ISNUMBER(AVERAGE('20250815_ETF_Options_Exhibits'!W1994:W1998)),AVERAGE('20250815_ETF_Options_Exhibits'!W1994:W1998),"")</f>
        <v/>
      </c>
      <c r="X1998" s="3">
        <f>IF(ISNUMBER(AVERAGE('20250815_ETF_Options_Exhibits'!X1994:X1998)),AVERAGE('20250815_ETF_Options_Exhibits'!X1994:X1998),"")</f>
        <v/>
      </c>
      <c r="Y1998" s="3">
        <f>IF(ISNUMBER(AVERAGE('20250815_ETF_Options_Exhibits'!Y1994:Y1998)),AVERAGE('20250815_ETF_Options_Exhibits'!Y1994:Y1998),"")</f>
        <v/>
      </c>
      <c r="Z1998" s="3">
        <f>IF(ISNUMBER(AVERAGE('20250815_ETF_Options_Exhibits'!Z1994:Z1998)),AVERAGE('20250815_ETF_Options_Exhibits'!Z1994:Z1998),"")</f>
        <v/>
      </c>
      <c r="AA1998" s="3">
        <f>IF(ISNUMBER(AVERAGE('20250815_ETF_Options_Exhibits'!AA1994:AA1998)),AVERAGE('20250815_ETF_Options_Exhibits'!AA1994:AA1998),"")</f>
        <v/>
      </c>
    </row>
    <row r="1999">
      <c r="A1999" s="1" t="n">
        <v>44901</v>
      </c>
      <c r="B1999" s="3">
        <f>IF(ISNUMBER(AVERAGE('20250815_ETF_Options_Exhibits'!B1995:B1999)),AVERAGE('20250815_ETF_Options_Exhibits'!B1995:B1999),"")</f>
        <v/>
      </c>
      <c r="C1999" s="3">
        <f>IF(ISNUMBER(AVERAGE('20250815_ETF_Options_Exhibits'!C1995:C1999)),AVERAGE('20250815_ETF_Options_Exhibits'!C1995:C1999),"")</f>
        <v/>
      </c>
      <c r="D1999" s="3">
        <f>IF(ISNUMBER(AVERAGE('20250815_ETF_Options_Exhibits'!D1995:D1999)),AVERAGE('20250815_ETF_Options_Exhibits'!D1995:D1999),"")</f>
        <v/>
      </c>
      <c r="E1999" s="3">
        <f>IF(ISNUMBER(AVERAGE('20250815_ETF_Options_Exhibits'!E1995:E1999)),AVERAGE('20250815_ETF_Options_Exhibits'!E1995:E1999),"")</f>
        <v/>
      </c>
      <c r="F1999" s="3">
        <f>IF(ISNUMBER(AVERAGE('20250815_ETF_Options_Exhibits'!F1995:F1999)),AVERAGE('20250815_ETF_Options_Exhibits'!F1995:F1999),"")</f>
        <v/>
      </c>
      <c r="G1999" s="3">
        <f>IF(ISNUMBER(AVERAGE('20250815_ETF_Options_Exhibits'!G1995:G1999)),AVERAGE('20250815_ETF_Options_Exhibits'!G1995:G1999),"")</f>
        <v/>
      </c>
      <c r="H1999" s="3">
        <f>IF(ISNUMBER(AVERAGE('20250815_ETF_Options_Exhibits'!H1995:H1999)),AVERAGE('20250815_ETF_Options_Exhibits'!H1995:H1999),"")</f>
        <v/>
      </c>
      <c r="I1999" s="3">
        <f>IF(ISNUMBER(AVERAGE('20250815_ETF_Options_Exhibits'!I1995:I1999)),AVERAGE('20250815_ETF_Options_Exhibits'!I1995:I1999),"")</f>
        <v/>
      </c>
      <c r="J1999" s="3">
        <f>IF(ISNUMBER(AVERAGE('20250815_ETF_Options_Exhibits'!J1995:J1999)),AVERAGE('20250815_ETF_Options_Exhibits'!J1995:J1999),"")</f>
        <v/>
      </c>
      <c r="K1999" s="3">
        <f>IF(ISNUMBER(AVERAGE('20250815_ETF_Options_Exhibits'!K1995:K1999)),AVERAGE('20250815_ETF_Options_Exhibits'!K1995:K1999),"")</f>
        <v/>
      </c>
      <c r="L1999" s="3">
        <f>IF(ISNUMBER(AVERAGE('20250815_ETF_Options_Exhibits'!L1995:L1999)),AVERAGE('20250815_ETF_Options_Exhibits'!L1995:L1999),"")</f>
        <v/>
      </c>
      <c r="M1999" s="3">
        <f>IF(ISNUMBER(AVERAGE('20250815_ETF_Options_Exhibits'!M1995:M1999)),AVERAGE('20250815_ETF_Options_Exhibits'!M1995:M1999),"")</f>
        <v/>
      </c>
      <c r="N1999" s="3">
        <f>IF(ISNUMBER(AVERAGE('20250815_ETF_Options_Exhibits'!N1995:N1999)),AVERAGE('20250815_ETF_Options_Exhibits'!N1995:N1999),"")</f>
        <v/>
      </c>
      <c r="O1999" s="3">
        <f>IF(ISNUMBER(AVERAGE('20250815_ETF_Options_Exhibits'!O1995:O1999)),AVERAGE('20250815_ETF_Options_Exhibits'!O1995:O1999),"")</f>
        <v/>
      </c>
      <c r="P1999" s="3">
        <f>IF(ISNUMBER(AVERAGE('20250815_ETF_Options_Exhibits'!P1995:P1999)),AVERAGE('20250815_ETF_Options_Exhibits'!P1995:P1999),"")</f>
        <v/>
      </c>
      <c r="Q1999" s="3">
        <f>IF(ISNUMBER(AVERAGE('20250815_ETF_Options_Exhibits'!Q1995:Q1999)),AVERAGE('20250815_ETF_Options_Exhibits'!Q1995:Q1999),"")</f>
        <v/>
      </c>
      <c r="R1999" s="3">
        <f>IF(ISNUMBER(AVERAGE('20250815_ETF_Options_Exhibits'!R1995:R1999)),AVERAGE('20250815_ETF_Options_Exhibits'!R1995:R1999),"")</f>
        <v/>
      </c>
      <c r="S1999" s="3">
        <f>IF(ISNUMBER(AVERAGE('20250815_ETF_Options_Exhibits'!S1995:S1999)),AVERAGE('20250815_ETF_Options_Exhibits'!S1995:S1999),"")</f>
        <v/>
      </c>
      <c r="T1999" s="3">
        <f>IF(ISNUMBER(AVERAGE('20250815_ETF_Options_Exhibits'!T1995:T1999)),AVERAGE('20250815_ETF_Options_Exhibits'!T1995:T1999),"")</f>
        <v/>
      </c>
      <c r="U1999" s="3">
        <f>IF(ISNUMBER(AVERAGE('20250815_ETF_Options_Exhibits'!U1995:U1999)),AVERAGE('20250815_ETF_Options_Exhibits'!U1995:U1999),"")</f>
        <v/>
      </c>
      <c r="V1999" s="3">
        <f>IF(ISNUMBER(AVERAGE('20250815_ETF_Options_Exhibits'!V1995:V1999)),AVERAGE('20250815_ETF_Options_Exhibits'!V1995:V1999),"")</f>
        <v/>
      </c>
      <c r="W1999" s="3">
        <f>IF(ISNUMBER(AVERAGE('20250815_ETF_Options_Exhibits'!W1995:W1999)),AVERAGE('20250815_ETF_Options_Exhibits'!W1995:W1999),"")</f>
        <v/>
      </c>
      <c r="X1999" s="3">
        <f>IF(ISNUMBER(AVERAGE('20250815_ETF_Options_Exhibits'!X1995:X1999)),AVERAGE('20250815_ETF_Options_Exhibits'!X1995:X1999),"")</f>
        <v/>
      </c>
      <c r="Y1999" s="3">
        <f>IF(ISNUMBER(AVERAGE('20250815_ETF_Options_Exhibits'!Y1995:Y1999)),AVERAGE('20250815_ETF_Options_Exhibits'!Y1995:Y1999),"")</f>
        <v/>
      </c>
      <c r="Z1999" s="3">
        <f>IF(ISNUMBER(AVERAGE('20250815_ETF_Options_Exhibits'!Z1995:Z1999)),AVERAGE('20250815_ETF_Options_Exhibits'!Z1995:Z1999),"")</f>
        <v/>
      </c>
      <c r="AA1999" s="3">
        <f>IF(ISNUMBER(AVERAGE('20250815_ETF_Options_Exhibits'!AA1995:AA1999)),AVERAGE('20250815_ETF_Options_Exhibits'!AA1995:AA1999),"")</f>
        <v/>
      </c>
    </row>
    <row r="2000">
      <c r="A2000" s="1" t="n">
        <v>44902</v>
      </c>
      <c r="B2000" s="3">
        <f>IF(ISNUMBER(AVERAGE('20250815_ETF_Options_Exhibits'!B1996:B2000)),AVERAGE('20250815_ETF_Options_Exhibits'!B1996:B2000),"")</f>
        <v/>
      </c>
      <c r="C2000" s="3">
        <f>IF(ISNUMBER(AVERAGE('20250815_ETF_Options_Exhibits'!C1996:C2000)),AVERAGE('20250815_ETF_Options_Exhibits'!C1996:C2000),"")</f>
        <v/>
      </c>
      <c r="D2000" s="3">
        <f>IF(ISNUMBER(AVERAGE('20250815_ETF_Options_Exhibits'!D1996:D2000)),AVERAGE('20250815_ETF_Options_Exhibits'!D1996:D2000),"")</f>
        <v/>
      </c>
      <c r="E2000" s="3">
        <f>IF(ISNUMBER(AVERAGE('20250815_ETF_Options_Exhibits'!E1996:E2000)),AVERAGE('20250815_ETF_Options_Exhibits'!E1996:E2000),"")</f>
        <v/>
      </c>
      <c r="F2000" s="3">
        <f>IF(ISNUMBER(AVERAGE('20250815_ETF_Options_Exhibits'!F1996:F2000)),AVERAGE('20250815_ETF_Options_Exhibits'!F1996:F2000),"")</f>
        <v/>
      </c>
      <c r="G2000" s="3">
        <f>IF(ISNUMBER(AVERAGE('20250815_ETF_Options_Exhibits'!G1996:G2000)),AVERAGE('20250815_ETF_Options_Exhibits'!G1996:G2000),"")</f>
        <v/>
      </c>
      <c r="H2000" s="3">
        <f>IF(ISNUMBER(AVERAGE('20250815_ETF_Options_Exhibits'!H1996:H2000)),AVERAGE('20250815_ETF_Options_Exhibits'!H1996:H2000),"")</f>
        <v/>
      </c>
      <c r="I2000" s="3">
        <f>IF(ISNUMBER(AVERAGE('20250815_ETF_Options_Exhibits'!I1996:I2000)),AVERAGE('20250815_ETF_Options_Exhibits'!I1996:I2000),"")</f>
        <v/>
      </c>
      <c r="J2000" s="3">
        <f>IF(ISNUMBER(AVERAGE('20250815_ETF_Options_Exhibits'!J1996:J2000)),AVERAGE('20250815_ETF_Options_Exhibits'!J1996:J2000),"")</f>
        <v/>
      </c>
      <c r="K2000" s="3">
        <f>IF(ISNUMBER(AVERAGE('20250815_ETF_Options_Exhibits'!K1996:K2000)),AVERAGE('20250815_ETF_Options_Exhibits'!K1996:K2000),"")</f>
        <v/>
      </c>
      <c r="L2000" s="3">
        <f>IF(ISNUMBER(AVERAGE('20250815_ETF_Options_Exhibits'!L1996:L2000)),AVERAGE('20250815_ETF_Options_Exhibits'!L1996:L2000),"")</f>
        <v/>
      </c>
      <c r="M2000" s="3">
        <f>IF(ISNUMBER(AVERAGE('20250815_ETF_Options_Exhibits'!M1996:M2000)),AVERAGE('20250815_ETF_Options_Exhibits'!M1996:M2000),"")</f>
        <v/>
      </c>
      <c r="N2000" s="3">
        <f>IF(ISNUMBER(AVERAGE('20250815_ETF_Options_Exhibits'!N1996:N2000)),AVERAGE('20250815_ETF_Options_Exhibits'!N1996:N2000),"")</f>
        <v/>
      </c>
      <c r="O2000" s="3">
        <f>IF(ISNUMBER(AVERAGE('20250815_ETF_Options_Exhibits'!O1996:O2000)),AVERAGE('20250815_ETF_Options_Exhibits'!O1996:O2000),"")</f>
        <v/>
      </c>
      <c r="P2000" s="3">
        <f>IF(ISNUMBER(AVERAGE('20250815_ETF_Options_Exhibits'!P1996:P2000)),AVERAGE('20250815_ETF_Options_Exhibits'!P1996:P2000),"")</f>
        <v/>
      </c>
      <c r="Q2000" s="3">
        <f>IF(ISNUMBER(AVERAGE('20250815_ETF_Options_Exhibits'!Q1996:Q2000)),AVERAGE('20250815_ETF_Options_Exhibits'!Q1996:Q2000),"")</f>
        <v/>
      </c>
      <c r="R2000" s="3">
        <f>IF(ISNUMBER(AVERAGE('20250815_ETF_Options_Exhibits'!R1996:R2000)),AVERAGE('20250815_ETF_Options_Exhibits'!R1996:R2000),"")</f>
        <v/>
      </c>
      <c r="S2000" s="3">
        <f>IF(ISNUMBER(AVERAGE('20250815_ETF_Options_Exhibits'!S1996:S2000)),AVERAGE('20250815_ETF_Options_Exhibits'!S1996:S2000),"")</f>
        <v/>
      </c>
      <c r="T2000" s="3">
        <f>IF(ISNUMBER(AVERAGE('20250815_ETF_Options_Exhibits'!T1996:T2000)),AVERAGE('20250815_ETF_Options_Exhibits'!T1996:T2000),"")</f>
        <v/>
      </c>
      <c r="U2000" s="3">
        <f>IF(ISNUMBER(AVERAGE('20250815_ETF_Options_Exhibits'!U1996:U2000)),AVERAGE('20250815_ETF_Options_Exhibits'!U1996:U2000),"")</f>
        <v/>
      </c>
      <c r="V2000" s="3">
        <f>IF(ISNUMBER(AVERAGE('20250815_ETF_Options_Exhibits'!V1996:V2000)),AVERAGE('20250815_ETF_Options_Exhibits'!V1996:V2000),"")</f>
        <v/>
      </c>
      <c r="W2000" s="3">
        <f>IF(ISNUMBER(AVERAGE('20250815_ETF_Options_Exhibits'!W1996:W2000)),AVERAGE('20250815_ETF_Options_Exhibits'!W1996:W2000),"")</f>
        <v/>
      </c>
      <c r="X2000" s="3">
        <f>IF(ISNUMBER(AVERAGE('20250815_ETF_Options_Exhibits'!X1996:X2000)),AVERAGE('20250815_ETF_Options_Exhibits'!X1996:X2000),"")</f>
        <v/>
      </c>
      <c r="Y2000" s="3">
        <f>IF(ISNUMBER(AVERAGE('20250815_ETF_Options_Exhibits'!Y1996:Y2000)),AVERAGE('20250815_ETF_Options_Exhibits'!Y1996:Y2000),"")</f>
        <v/>
      </c>
      <c r="Z2000" s="3">
        <f>IF(ISNUMBER(AVERAGE('20250815_ETF_Options_Exhibits'!Z1996:Z2000)),AVERAGE('20250815_ETF_Options_Exhibits'!Z1996:Z2000),"")</f>
        <v/>
      </c>
      <c r="AA2000" s="3">
        <f>IF(ISNUMBER(AVERAGE('20250815_ETF_Options_Exhibits'!AA1996:AA2000)),AVERAGE('20250815_ETF_Options_Exhibits'!AA1996:AA2000),"")</f>
        <v/>
      </c>
    </row>
    <row r="2001">
      <c r="A2001" s="1" t="n">
        <v>44903</v>
      </c>
      <c r="B2001" s="3">
        <f>IF(ISNUMBER(AVERAGE('20250815_ETF_Options_Exhibits'!B1997:B2001)),AVERAGE('20250815_ETF_Options_Exhibits'!B1997:B2001),"")</f>
        <v/>
      </c>
      <c r="C2001" s="3">
        <f>IF(ISNUMBER(AVERAGE('20250815_ETF_Options_Exhibits'!C1997:C2001)),AVERAGE('20250815_ETF_Options_Exhibits'!C1997:C2001),"")</f>
        <v/>
      </c>
      <c r="D2001" s="3">
        <f>IF(ISNUMBER(AVERAGE('20250815_ETF_Options_Exhibits'!D1997:D2001)),AVERAGE('20250815_ETF_Options_Exhibits'!D1997:D2001),"")</f>
        <v/>
      </c>
      <c r="E2001" s="3">
        <f>IF(ISNUMBER(AVERAGE('20250815_ETF_Options_Exhibits'!E1997:E2001)),AVERAGE('20250815_ETF_Options_Exhibits'!E1997:E2001),"")</f>
        <v/>
      </c>
      <c r="F2001" s="3">
        <f>IF(ISNUMBER(AVERAGE('20250815_ETF_Options_Exhibits'!F1997:F2001)),AVERAGE('20250815_ETF_Options_Exhibits'!F1997:F2001),"")</f>
        <v/>
      </c>
      <c r="G2001" s="3">
        <f>IF(ISNUMBER(AVERAGE('20250815_ETF_Options_Exhibits'!G1997:G2001)),AVERAGE('20250815_ETF_Options_Exhibits'!G1997:G2001),"")</f>
        <v/>
      </c>
      <c r="H2001" s="3">
        <f>IF(ISNUMBER(AVERAGE('20250815_ETF_Options_Exhibits'!H1997:H2001)),AVERAGE('20250815_ETF_Options_Exhibits'!H1997:H2001),"")</f>
        <v/>
      </c>
      <c r="I2001" s="3">
        <f>IF(ISNUMBER(AVERAGE('20250815_ETF_Options_Exhibits'!I1997:I2001)),AVERAGE('20250815_ETF_Options_Exhibits'!I1997:I2001),"")</f>
        <v/>
      </c>
      <c r="J2001" s="3">
        <f>IF(ISNUMBER(AVERAGE('20250815_ETF_Options_Exhibits'!J1997:J2001)),AVERAGE('20250815_ETF_Options_Exhibits'!J1997:J2001),"")</f>
        <v/>
      </c>
      <c r="K2001" s="3">
        <f>IF(ISNUMBER(AVERAGE('20250815_ETF_Options_Exhibits'!K1997:K2001)),AVERAGE('20250815_ETF_Options_Exhibits'!K1997:K2001),"")</f>
        <v/>
      </c>
      <c r="L2001" s="3">
        <f>IF(ISNUMBER(AVERAGE('20250815_ETF_Options_Exhibits'!L1997:L2001)),AVERAGE('20250815_ETF_Options_Exhibits'!L1997:L2001),"")</f>
        <v/>
      </c>
      <c r="M2001" s="3">
        <f>IF(ISNUMBER(AVERAGE('20250815_ETF_Options_Exhibits'!M1997:M2001)),AVERAGE('20250815_ETF_Options_Exhibits'!M1997:M2001),"")</f>
        <v/>
      </c>
      <c r="N2001" s="3">
        <f>IF(ISNUMBER(AVERAGE('20250815_ETF_Options_Exhibits'!N1997:N2001)),AVERAGE('20250815_ETF_Options_Exhibits'!N1997:N2001),"")</f>
        <v/>
      </c>
      <c r="O2001" s="3">
        <f>IF(ISNUMBER(AVERAGE('20250815_ETF_Options_Exhibits'!O1997:O2001)),AVERAGE('20250815_ETF_Options_Exhibits'!O1997:O2001),"")</f>
        <v/>
      </c>
      <c r="P2001" s="3">
        <f>IF(ISNUMBER(AVERAGE('20250815_ETF_Options_Exhibits'!P1997:P2001)),AVERAGE('20250815_ETF_Options_Exhibits'!P1997:P2001),"")</f>
        <v/>
      </c>
      <c r="Q2001" s="3">
        <f>IF(ISNUMBER(AVERAGE('20250815_ETF_Options_Exhibits'!Q1997:Q2001)),AVERAGE('20250815_ETF_Options_Exhibits'!Q1997:Q2001),"")</f>
        <v/>
      </c>
      <c r="R2001" s="3">
        <f>IF(ISNUMBER(AVERAGE('20250815_ETF_Options_Exhibits'!R1997:R2001)),AVERAGE('20250815_ETF_Options_Exhibits'!R1997:R2001),"")</f>
        <v/>
      </c>
      <c r="S2001" s="3">
        <f>IF(ISNUMBER(AVERAGE('20250815_ETF_Options_Exhibits'!S1997:S2001)),AVERAGE('20250815_ETF_Options_Exhibits'!S1997:S2001),"")</f>
        <v/>
      </c>
      <c r="T2001" s="3">
        <f>IF(ISNUMBER(AVERAGE('20250815_ETF_Options_Exhibits'!T1997:T2001)),AVERAGE('20250815_ETF_Options_Exhibits'!T1997:T2001),"")</f>
        <v/>
      </c>
      <c r="U2001" s="3">
        <f>IF(ISNUMBER(AVERAGE('20250815_ETF_Options_Exhibits'!U1997:U2001)),AVERAGE('20250815_ETF_Options_Exhibits'!U1997:U2001),"")</f>
        <v/>
      </c>
      <c r="V2001" s="3">
        <f>IF(ISNUMBER(AVERAGE('20250815_ETF_Options_Exhibits'!V1997:V2001)),AVERAGE('20250815_ETF_Options_Exhibits'!V1997:V2001),"")</f>
        <v/>
      </c>
      <c r="W2001" s="3">
        <f>IF(ISNUMBER(AVERAGE('20250815_ETF_Options_Exhibits'!W1997:W2001)),AVERAGE('20250815_ETF_Options_Exhibits'!W1997:W2001),"")</f>
        <v/>
      </c>
      <c r="X2001" s="3">
        <f>IF(ISNUMBER(AVERAGE('20250815_ETF_Options_Exhibits'!X1997:X2001)),AVERAGE('20250815_ETF_Options_Exhibits'!X1997:X2001),"")</f>
        <v/>
      </c>
      <c r="Y2001" s="3">
        <f>IF(ISNUMBER(AVERAGE('20250815_ETF_Options_Exhibits'!Y1997:Y2001)),AVERAGE('20250815_ETF_Options_Exhibits'!Y1997:Y2001),"")</f>
        <v/>
      </c>
      <c r="Z2001" s="3">
        <f>IF(ISNUMBER(AVERAGE('20250815_ETF_Options_Exhibits'!Z1997:Z2001)),AVERAGE('20250815_ETF_Options_Exhibits'!Z1997:Z2001),"")</f>
        <v/>
      </c>
      <c r="AA2001" s="3">
        <f>IF(ISNUMBER(AVERAGE('20250815_ETF_Options_Exhibits'!AA1997:AA2001)),AVERAGE('20250815_ETF_Options_Exhibits'!AA1997:AA2001),"")</f>
        <v/>
      </c>
    </row>
    <row r="2002">
      <c r="A2002" s="1" t="n">
        <v>44904</v>
      </c>
      <c r="B2002" s="3">
        <f>IF(ISNUMBER(AVERAGE('20250815_ETF_Options_Exhibits'!B1998:B2002)),AVERAGE('20250815_ETF_Options_Exhibits'!B1998:B2002),"")</f>
        <v/>
      </c>
      <c r="C2002" s="3">
        <f>IF(ISNUMBER(AVERAGE('20250815_ETF_Options_Exhibits'!C1998:C2002)),AVERAGE('20250815_ETF_Options_Exhibits'!C1998:C2002),"")</f>
        <v/>
      </c>
      <c r="D2002" s="3">
        <f>IF(ISNUMBER(AVERAGE('20250815_ETF_Options_Exhibits'!D1998:D2002)),AVERAGE('20250815_ETF_Options_Exhibits'!D1998:D2002),"")</f>
        <v/>
      </c>
      <c r="E2002" s="3">
        <f>IF(ISNUMBER(AVERAGE('20250815_ETF_Options_Exhibits'!E1998:E2002)),AVERAGE('20250815_ETF_Options_Exhibits'!E1998:E2002),"")</f>
        <v/>
      </c>
      <c r="F2002" s="3">
        <f>IF(ISNUMBER(AVERAGE('20250815_ETF_Options_Exhibits'!F1998:F2002)),AVERAGE('20250815_ETF_Options_Exhibits'!F1998:F2002),"")</f>
        <v/>
      </c>
      <c r="G2002" s="3">
        <f>IF(ISNUMBER(AVERAGE('20250815_ETF_Options_Exhibits'!G1998:G2002)),AVERAGE('20250815_ETF_Options_Exhibits'!G1998:G2002),"")</f>
        <v/>
      </c>
      <c r="H2002" s="3">
        <f>IF(ISNUMBER(AVERAGE('20250815_ETF_Options_Exhibits'!H1998:H2002)),AVERAGE('20250815_ETF_Options_Exhibits'!H1998:H2002),"")</f>
        <v/>
      </c>
      <c r="I2002" s="3">
        <f>IF(ISNUMBER(AVERAGE('20250815_ETF_Options_Exhibits'!I1998:I2002)),AVERAGE('20250815_ETF_Options_Exhibits'!I1998:I2002),"")</f>
        <v/>
      </c>
      <c r="J2002" s="3">
        <f>IF(ISNUMBER(AVERAGE('20250815_ETF_Options_Exhibits'!J1998:J2002)),AVERAGE('20250815_ETF_Options_Exhibits'!J1998:J2002),"")</f>
        <v/>
      </c>
      <c r="K2002" s="3">
        <f>IF(ISNUMBER(AVERAGE('20250815_ETF_Options_Exhibits'!K1998:K2002)),AVERAGE('20250815_ETF_Options_Exhibits'!K1998:K2002),"")</f>
        <v/>
      </c>
      <c r="L2002" s="3">
        <f>IF(ISNUMBER(AVERAGE('20250815_ETF_Options_Exhibits'!L1998:L2002)),AVERAGE('20250815_ETF_Options_Exhibits'!L1998:L2002),"")</f>
        <v/>
      </c>
      <c r="M2002" s="3">
        <f>IF(ISNUMBER(AVERAGE('20250815_ETF_Options_Exhibits'!M1998:M2002)),AVERAGE('20250815_ETF_Options_Exhibits'!M1998:M2002),"")</f>
        <v/>
      </c>
      <c r="N2002" s="3">
        <f>IF(ISNUMBER(AVERAGE('20250815_ETF_Options_Exhibits'!N1998:N2002)),AVERAGE('20250815_ETF_Options_Exhibits'!N1998:N2002),"")</f>
        <v/>
      </c>
      <c r="O2002" s="3">
        <f>IF(ISNUMBER(AVERAGE('20250815_ETF_Options_Exhibits'!O1998:O2002)),AVERAGE('20250815_ETF_Options_Exhibits'!O1998:O2002),"")</f>
        <v/>
      </c>
      <c r="P2002" s="3">
        <f>IF(ISNUMBER(AVERAGE('20250815_ETF_Options_Exhibits'!P1998:P2002)),AVERAGE('20250815_ETF_Options_Exhibits'!P1998:P2002),"")</f>
        <v/>
      </c>
      <c r="Q2002" s="3">
        <f>IF(ISNUMBER(AVERAGE('20250815_ETF_Options_Exhibits'!Q1998:Q2002)),AVERAGE('20250815_ETF_Options_Exhibits'!Q1998:Q2002),"")</f>
        <v/>
      </c>
      <c r="R2002" s="3">
        <f>IF(ISNUMBER(AVERAGE('20250815_ETF_Options_Exhibits'!R1998:R2002)),AVERAGE('20250815_ETF_Options_Exhibits'!R1998:R2002),"")</f>
        <v/>
      </c>
      <c r="S2002" s="3">
        <f>IF(ISNUMBER(AVERAGE('20250815_ETF_Options_Exhibits'!S1998:S2002)),AVERAGE('20250815_ETF_Options_Exhibits'!S1998:S2002),"")</f>
        <v/>
      </c>
      <c r="T2002" s="3">
        <f>IF(ISNUMBER(AVERAGE('20250815_ETF_Options_Exhibits'!T1998:T2002)),AVERAGE('20250815_ETF_Options_Exhibits'!T1998:T2002),"")</f>
        <v/>
      </c>
      <c r="U2002" s="3">
        <f>IF(ISNUMBER(AVERAGE('20250815_ETF_Options_Exhibits'!U1998:U2002)),AVERAGE('20250815_ETF_Options_Exhibits'!U1998:U2002),"")</f>
        <v/>
      </c>
      <c r="V2002" s="3">
        <f>IF(ISNUMBER(AVERAGE('20250815_ETF_Options_Exhibits'!V1998:V2002)),AVERAGE('20250815_ETF_Options_Exhibits'!V1998:V2002),"")</f>
        <v/>
      </c>
      <c r="W2002" s="3">
        <f>IF(ISNUMBER(AVERAGE('20250815_ETF_Options_Exhibits'!W1998:W2002)),AVERAGE('20250815_ETF_Options_Exhibits'!W1998:W2002),"")</f>
        <v/>
      </c>
      <c r="X2002" s="3">
        <f>IF(ISNUMBER(AVERAGE('20250815_ETF_Options_Exhibits'!X1998:X2002)),AVERAGE('20250815_ETF_Options_Exhibits'!X1998:X2002),"")</f>
        <v/>
      </c>
      <c r="Y2002" s="3">
        <f>IF(ISNUMBER(AVERAGE('20250815_ETF_Options_Exhibits'!Y1998:Y2002)),AVERAGE('20250815_ETF_Options_Exhibits'!Y1998:Y2002),"")</f>
        <v/>
      </c>
      <c r="Z2002" s="3">
        <f>IF(ISNUMBER(AVERAGE('20250815_ETF_Options_Exhibits'!Z1998:Z2002)),AVERAGE('20250815_ETF_Options_Exhibits'!Z1998:Z2002),"")</f>
        <v/>
      </c>
      <c r="AA2002" s="3">
        <f>IF(ISNUMBER(AVERAGE('20250815_ETF_Options_Exhibits'!AA1998:AA2002)),AVERAGE('20250815_ETF_Options_Exhibits'!AA1998:AA2002),"")</f>
        <v/>
      </c>
    </row>
    <row r="2003">
      <c r="A2003" s="1" t="n">
        <v>44907</v>
      </c>
      <c r="B2003" s="3">
        <f>IF(ISNUMBER(AVERAGE('20250815_ETF_Options_Exhibits'!B1999:B2003)),AVERAGE('20250815_ETF_Options_Exhibits'!B1999:B2003),"")</f>
        <v/>
      </c>
      <c r="C2003" s="3">
        <f>IF(ISNUMBER(AVERAGE('20250815_ETF_Options_Exhibits'!C1999:C2003)),AVERAGE('20250815_ETF_Options_Exhibits'!C1999:C2003),"")</f>
        <v/>
      </c>
      <c r="D2003" s="3">
        <f>IF(ISNUMBER(AVERAGE('20250815_ETF_Options_Exhibits'!D1999:D2003)),AVERAGE('20250815_ETF_Options_Exhibits'!D1999:D2003),"")</f>
        <v/>
      </c>
      <c r="E2003" s="3">
        <f>IF(ISNUMBER(AVERAGE('20250815_ETF_Options_Exhibits'!E1999:E2003)),AVERAGE('20250815_ETF_Options_Exhibits'!E1999:E2003),"")</f>
        <v/>
      </c>
      <c r="F2003" s="3">
        <f>IF(ISNUMBER(AVERAGE('20250815_ETF_Options_Exhibits'!F1999:F2003)),AVERAGE('20250815_ETF_Options_Exhibits'!F1999:F2003),"")</f>
        <v/>
      </c>
      <c r="G2003" s="3">
        <f>IF(ISNUMBER(AVERAGE('20250815_ETF_Options_Exhibits'!G1999:G2003)),AVERAGE('20250815_ETF_Options_Exhibits'!G1999:G2003),"")</f>
        <v/>
      </c>
      <c r="H2003" s="3">
        <f>IF(ISNUMBER(AVERAGE('20250815_ETF_Options_Exhibits'!H1999:H2003)),AVERAGE('20250815_ETF_Options_Exhibits'!H1999:H2003),"")</f>
        <v/>
      </c>
      <c r="I2003" s="3">
        <f>IF(ISNUMBER(AVERAGE('20250815_ETF_Options_Exhibits'!I1999:I2003)),AVERAGE('20250815_ETF_Options_Exhibits'!I1999:I2003),"")</f>
        <v/>
      </c>
      <c r="J2003" s="3">
        <f>IF(ISNUMBER(AVERAGE('20250815_ETF_Options_Exhibits'!J1999:J2003)),AVERAGE('20250815_ETF_Options_Exhibits'!J1999:J2003),"")</f>
        <v/>
      </c>
      <c r="K2003" s="3">
        <f>IF(ISNUMBER(AVERAGE('20250815_ETF_Options_Exhibits'!K1999:K2003)),AVERAGE('20250815_ETF_Options_Exhibits'!K1999:K2003),"")</f>
        <v/>
      </c>
      <c r="L2003" s="3">
        <f>IF(ISNUMBER(AVERAGE('20250815_ETF_Options_Exhibits'!L1999:L2003)),AVERAGE('20250815_ETF_Options_Exhibits'!L1999:L2003),"")</f>
        <v/>
      </c>
      <c r="M2003" s="3">
        <f>IF(ISNUMBER(AVERAGE('20250815_ETF_Options_Exhibits'!M1999:M2003)),AVERAGE('20250815_ETF_Options_Exhibits'!M1999:M2003),"")</f>
        <v/>
      </c>
      <c r="N2003" s="3">
        <f>IF(ISNUMBER(AVERAGE('20250815_ETF_Options_Exhibits'!N1999:N2003)),AVERAGE('20250815_ETF_Options_Exhibits'!N1999:N2003),"")</f>
        <v/>
      </c>
      <c r="O2003" s="3">
        <f>IF(ISNUMBER(AVERAGE('20250815_ETF_Options_Exhibits'!O1999:O2003)),AVERAGE('20250815_ETF_Options_Exhibits'!O1999:O2003),"")</f>
        <v/>
      </c>
      <c r="P2003" s="3">
        <f>IF(ISNUMBER(AVERAGE('20250815_ETF_Options_Exhibits'!P1999:P2003)),AVERAGE('20250815_ETF_Options_Exhibits'!P1999:P2003),"")</f>
        <v/>
      </c>
      <c r="Q2003" s="3">
        <f>IF(ISNUMBER(AVERAGE('20250815_ETF_Options_Exhibits'!Q1999:Q2003)),AVERAGE('20250815_ETF_Options_Exhibits'!Q1999:Q2003),"")</f>
        <v/>
      </c>
      <c r="R2003" s="3">
        <f>IF(ISNUMBER(AVERAGE('20250815_ETF_Options_Exhibits'!R1999:R2003)),AVERAGE('20250815_ETF_Options_Exhibits'!R1999:R2003),"")</f>
        <v/>
      </c>
      <c r="S2003" s="3">
        <f>IF(ISNUMBER(AVERAGE('20250815_ETF_Options_Exhibits'!S1999:S2003)),AVERAGE('20250815_ETF_Options_Exhibits'!S1999:S2003),"")</f>
        <v/>
      </c>
      <c r="T2003" s="3">
        <f>IF(ISNUMBER(AVERAGE('20250815_ETF_Options_Exhibits'!T1999:T2003)),AVERAGE('20250815_ETF_Options_Exhibits'!T1999:T2003),"")</f>
        <v/>
      </c>
      <c r="U2003" s="3">
        <f>IF(ISNUMBER(AVERAGE('20250815_ETF_Options_Exhibits'!U1999:U2003)),AVERAGE('20250815_ETF_Options_Exhibits'!U1999:U2003),"")</f>
        <v/>
      </c>
      <c r="V2003" s="3">
        <f>IF(ISNUMBER(AVERAGE('20250815_ETF_Options_Exhibits'!V1999:V2003)),AVERAGE('20250815_ETF_Options_Exhibits'!V1999:V2003),"")</f>
        <v/>
      </c>
      <c r="W2003" s="3">
        <f>IF(ISNUMBER(AVERAGE('20250815_ETF_Options_Exhibits'!W1999:W2003)),AVERAGE('20250815_ETF_Options_Exhibits'!W1999:W2003),"")</f>
        <v/>
      </c>
      <c r="X2003" s="3">
        <f>IF(ISNUMBER(AVERAGE('20250815_ETF_Options_Exhibits'!X1999:X2003)),AVERAGE('20250815_ETF_Options_Exhibits'!X1999:X2003),"")</f>
        <v/>
      </c>
      <c r="Y2003" s="3">
        <f>IF(ISNUMBER(AVERAGE('20250815_ETF_Options_Exhibits'!Y1999:Y2003)),AVERAGE('20250815_ETF_Options_Exhibits'!Y1999:Y2003),"")</f>
        <v/>
      </c>
      <c r="Z2003" s="3">
        <f>IF(ISNUMBER(AVERAGE('20250815_ETF_Options_Exhibits'!Z1999:Z2003)),AVERAGE('20250815_ETF_Options_Exhibits'!Z1999:Z2003),"")</f>
        <v/>
      </c>
      <c r="AA2003" s="3">
        <f>IF(ISNUMBER(AVERAGE('20250815_ETF_Options_Exhibits'!AA1999:AA2003)),AVERAGE('20250815_ETF_Options_Exhibits'!AA1999:AA2003),"")</f>
        <v/>
      </c>
    </row>
    <row r="2004">
      <c r="A2004" s="1" t="n">
        <v>44908</v>
      </c>
      <c r="B2004" s="3">
        <f>IF(ISNUMBER(AVERAGE('20250815_ETF_Options_Exhibits'!B2000:B2004)),AVERAGE('20250815_ETF_Options_Exhibits'!B2000:B2004),"")</f>
        <v/>
      </c>
      <c r="C2004" s="3">
        <f>IF(ISNUMBER(AVERAGE('20250815_ETF_Options_Exhibits'!C2000:C2004)),AVERAGE('20250815_ETF_Options_Exhibits'!C2000:C2004),"")</f>
        <v/>
      </c>
      <c r="D2004" s="3">
        <f>IF(ISNUMBER(AVERAGE('20250815_ETF_Options_Exhibits'!D2000:D2004)),AVERAGE('20250815_ETF_Options_Exhibits'!D2000:D2004),"")</f>
        <v/>
      </c>
      <c r="E2004" s="3">
        <f>IF(ISNUMBER(AVERAGE('20250815_ETF_Options_Exhibits'!E2000:E2004)),AVERAGE('20250815_ETF_Options_Exhibits'!E2000:E2004),"")</f>
        <v/>
      </c>
      <c r="F2004" s="3">
        <f>IF(ISNUMBER(AVERAGE('20250815_ETF_Options_Exhibits'!F2000:F2004)),AVERAGE('20250815_ETF_Options_Exhibits'!F2000:F2004),"")</f>
        <v/>
      </c>
      <c r="G2004" s="3">
        <f>IF(ISNUMBER(AVERAGE('20250815_ETF_Options_Exhibits'!G2000:G2004)),AVERAGE('20250815_ETF_Options_Exhibits'!G2000:G2004),"")</f>
        <v/>
      </c>
      <c r="H2004" s="3">
        <f>IF(ISNUMBER(AVERAGE('20250815_ETF_Options_Exhibits'!H2000:H2004)),AVERAGE('20250815_ETF_Options_Exhibits'!H2000:H2004),"")</f>
        <v/>
      </c>
      <c r="I2004" s="3">
        <f>IF(ISNUMBER(AVERAGE('20250815_ETF_Options_Exhibits'!I2000:I2004)),AVERAGE('20250815_ETF_Options_Exhibits'!I2000:I2004),"")</f>
        <v/>
      </c>
      <c r="J2004" s="3">
        <f>IF(ISNUMBER(AVERAGE('20250815_ETF_Options_Exhibits'!J2000:J2004)),AVERAGE('20250815_ETF_Options_Exhibits'!J2000:J2004),"")</f>
        <v/>
      </c>
      <c r="K2004" s="3">
        <f>IF(ISNUMBER(AVERAGE('20250815_ETF_Options_Exhibits'!K2000:K2004)),AVERAGE('20250815_ETF_Options_Exhibits'!K2000:K2004),"")</f>
        <v/>
      </c>
      <c r="L2004" s="3">
        <f>IF(ISNUMBER(AVERAGE('20250815_ETF_Options_Exhibits'!L2000:L2004)),AVERAGE('20250815_ETF_Options_Exhibits'!L2000:L2004),"")</f>
        <v/>
      </c>
      <c r="M2004" s="3">
        <f>IF(ISNUMBER(AVERAGE('20250815_ETF_Options_Exhibits'!M2000:M2004)),AVERAGE('20250815_ETF_Options_Exhibits'!M2000:M2004),"")</f>
        <v/>
      </c>
      <c r="N2004" s="3">
        <f>IF(ISNUMBER(AVERAGE('20250815_ETF_Options_Exhibits'!N2000:N2004)),AVERAGE('20250815_ETF_Options_Exhibits'!N2000:N2004),"")</f>
        <v/>
      </c>
      <c r="O2004" s="3">
        <f>IF(ISNUMBER(AVERAGE('20250815_ETF_Options_Exhibits'!O2000:O2004)),AVERAGE('20250815_ETF_Options_Exhibits'!O2000:O2004),"")</f>
        <v/>
      </c>
      <c r="P2004" s="3">
        <f>IF(ISNUMBER(AVERAGE('20250815_ETF_Options_Exhibits'!P2000:P2004)),AVERAGE('20250815_ETF_Options_Exhibits'!P2000:P2004),"")</f>
        <v/>
      </c>
      <c r="Q2004" s="3">
        <f>IF(ISNUMBER(AVERAGE('20250815_ETF_Options_Exhibits'!Q2000:Q2004)),AVERAGE('20250815_ETF_Options_Exhibits'!Q2000:Q2004),"")</f>
        <v/>
      </c>
      <c r="R2004" s="3">
        <f>IF(ISNUMBER(AVERAGE('20250815_ETF_Options_Exhibits'!R2000:R2004)),AVERAGE('20250815_ETF_Options_Exhibits'!R2000:R2004),"")</f>
        <v/>
      </c>
      <c r="S2004" s="3">
        <f>IF(ISNUMBER(AVERAGE('20250815_ETF_Options_Exhibits'!S2000:S2004)),AVERAGE('20250815_ETF_Options_Exhibits'!S2000:S2004),"")</f>
        <v/>
      </c>
      <c r="T2004" s="3">
        <f>IF(ISNUMBER(AVERAGE('20250815_ETF_Options_Exhibits'!T2000:T2004)),AVERAGE('20250815_ETF_Options_Exhibits'!T2000:T2004),"")</f>
        <v/>
      </c>
      <c r="U2004" s="3">
        <f>IF(ISNUMBER(AVERAGE('20250815_ETF_Options_Exhibits'!U2000:U2004)),AVERAGE('20250815_ETF_Options_Exhibits'!U2000:U2004),"")</f>
        <v/>
      </c>
      <c r="V2004" s="3">
        <f>IF(ISNUMBER(AVERAGE('20250815_ETF_Options_Exhibits'!V2000:V2004)),AVERAGE('20250815_ETF_Options_Exhibits'!V2000:V2004),"")</f>
        <v/>
      </c>
      <c r="W2004" s="3">
        <f>IF(ISNUMBER(AVERAGE('20250815_ETF_Options_Exhibits'!W2000:W2004)),AVERAGE('20250815_ETF_Options_Exhibits'!W2000:W2004),"")</f>
        <v/>
      </c>
      <c r="X2004" s="3">
        <f>IF(ISNUMBER(AVERAGE('20250815_ETF_Options_Exhibits'!X2000:X2004)),AVERAGE('20250815_ETF_Options_Exhibits'!X2000:X2004),"")</f>
        <v/>
      </c>
      <c r="Y2004" s="3">
        <f>IF(ISNUMBER(AVERAGE('20250815_ETF_Options_Exhibits'!Y2000:Y2004)),AVERAGE('20250815_ETF_Options_Exhibits'!Y2000:Y2004),"")</f>
        <v/>
      </c>
      <c r="Z2004" s="3">
        <f>IF(ISNUMBER(AVERAGE('20250815_ETF_Options_Exhibits'!Z2000:Z2004)),AVERAGE('20250815_ETF_Options_Exhibits'!Z2000:Z2004),"")</f>
        <v/>
      </c>
      <c r="AA2004" s="3">
        <f>IF(ISNUMBER(AVERAGE('20250815_ETF_Options_Exhibits'!AA2000:AA2004)),AVERAGE('20250815_ETF_Options_Exhibits'!AA2000:AA2004),"")</f>
        <v/>
      </c>
    </row>
    <row r="2005">
      <c r="A2005" s="1" t="n">
        <v>44909</v>
      </c>
      <c r="B2005" s="3">
        <f>IF(ISNUMBER(AVERAGE('20250815_ETF_Options_Exhibits'!B2001:B2005)),AVERAGE('20250815_ETF_Options_Exhibits'!B2001:B2005),"")</f>
        <v/>
      </c>
      <c r="C2005" s="3">
        <f>IF(ISNUMBER(AVERAGE('20250815_ETF_Options_Exhibits'!C2001:C2005)),AVERAGE('20250815_ETF_Options_Exhibits'!C2001:C2005),"")</f>
        <v/>
      </c>
      <c r="D2005" s="3">
        <f>IF(ISNUMBER(AVERAGE('20250815_ETF_Options_Exhibits'!D2001:D2005)),AVERAGE('20250815_ETF_Options_Exhibits'!D2001:D2005),"")</f>
        <v/>
      </c>
      <c r="E2005" s="3">
        <f>IF(ISNUMBER(AVERAGE('20250815_ETF_Options_Exhibits'!E2001:E2005)),AVERAGE('20250815_ETF_Options_Exhibits'!E2001:E2005),"")</f>
        <v/>
      </c>
      <c r="F2005" s="3">
        <f>IF(ISNUMBER(AVERAGE('20250815_ETF_Options_Exhibits'!F2001:F2005)),AVERAGE('20250815_ETF_Options_Exhibits'!F2001:F2005),"")</f>
        <v/>
      </c>
      <c r="G2005" s="3">
        <f>IF(ISNUMBER(AVERAGE('20250815_ETF_Options_Exhibits'!G2001:G2005)),AVERAGE('20250815_ETF_Options_Exhibits'!G2001:G2005),"")</f>
        <v/>
      </c>
      <c r="H2005" s="3">
        <f>IF(ISNUMBER(AVERAGE('20250815_ETF_Options_Exhibits'!H2001:H2005)),AVERAGE('20250815_ETF_Options_Exhibits'!H2001:H2005),"")</f>
        <v/>
      </c>
      <c r="I2005" s="3">
        <f>IF(ISNUMBER(AVERAGE('20250815_ETF_Options_Exhibits'!I2001:I2005)),AVERAGE('20250815_ETF_Options_Exhibits'!I2001:I2005),"")</f>
        <v/>
      </c>
      <c r="J2005" s="3">
        <f>IF(ISNUMBER(AVERAGE('20250815_ETF_Options_Exhibits'!J2001:J2005)),AVERAGE('20250815_ETF_Options_Exhibits'!J2001:J2005),"")</f>
        <v/>
      </c>
      <c r="K2005" s="3">
        <f>IF(ISNUMBER(AVERAGE('20250815_ETF_Options_Exhibits'!K2001:K2005)),AVERAGE('20250815_ETF_Options_Exhibits'!K2001:K2005),"")</f>
        <v/>
      </c>
      <c r="L2005" s="3">
        <f>IF(ISNUMBER(AVERAGE('20250815_ETF_Options_Exhibits'!L2001:L2005)),AVERAGE('20250815_ETF_Options_Exhibits'!L2001:L2005),"")</f>
        <v/>
      </c>
      <c r="M2005" s="3">
        <f>IF(ISNUMBER(AVERAGE('20250815_ETF_Options_Exhibits'!M2001:M2005)),AVERAGE('20250815_ETF_Options_Exhibits'!M2001:M2005),"")</f>
        <v/>
      </c>
      <c r="N2005" s="3">
        <f>IF(ISNUMBER(AVERAGE('20250815_ETF_Options_Exhibits'!N2001:N2005)),AVERAGE('20250815_ETF_Options_Exhibits'!N2001:N2005),"")</f>
        <v/>
      </c>
      <c r="O2005" s="3">
        <f>IF(ISNUMBER(AVERAGE('20250815_ETF_Options_Exhibits'!O2001:O2005)),AVERAGE('20250815_ETF_Options_Exhibits'!O2001:O2005),"")</f>
        <v/>
      </c>
      <c r="P2005" s="3">
        <f>IF(ISNUMBER(AVERAGE('20250815_ETF_Options_Exhibits'!P2001:P2005)),AVERAGE('20250815_ETF_Options_Exhibits'!P2001:P2005),"")</f>
        <v/>
      </c>
      <c r="Q2005" s="3">
        <f>IF(ISNUMBER(AVERAGE('20250815_ETF_Options_Exhibits'!Q2001:Q2005)),AVERAGE('20250815_ETF_Options_Exhibits'!Q2001:Q2005),"")</f>
        <v/>
      </c>
      <c r="R2005" s="3">
        <f>IF(ISNUMBER(AVERAGE('20250815_ETF_Options_Exhibits'!R2001:R2005)),AVERAGE('20250815_ETF_Options_Exhibits'!R2001:R2005),"")</f>
        <v/>
      </c>
      <c r="S2005" s="3">
        <f>IF(ISNUMBER(AVERAGE('20250815_ETF_Options_Exhibits'!S2001:S2005)),AVERAGE('20250815_ETF_Options_Exhibits'!S2001:S2005),"")</f>
        <v/>
      </c>
      <c r="T2005" s="3">
        <f>IF(ISNUMBER(AVERAGE('20250815_ETF_Options_Exhibits'!T2001:T2005)),AVERAGE('20250815_ETF_Options_Exhibits'!T2001:T2005),"")</f>
        <v/>
      </c>
      <c r="U2005" s="3">
        <f>IF(ISNUMBER(AVERAGE('20250815_ETF_Options_Exhibits'!U2001:U2005)),AVERAGE('20250815_ETF_Options_Exhibits'!U2001:U2005),"")</f>
        <v/>
      </c>
      <c r="V2005" s="3">
        <f>IF(ISNUMBER(AVERAGE('20250815_ETF_Options_Exhibits'!V2001:V2005)),AVERAGE('20250815_ETF_Options_Exhibits'!V2001:V2005),"")</f>
        <v/>
      </c>
      <c r="W2005" s="3">
        <f>IF(ISNUMBER(AVERAGE('20250815_ETF_Options_Exhibits'!W2001:W2005)),AVERAGE('20250815_ETF_Options_Exhibits'!W2001:W2005),"")</f>
        <v/>
      </c>
      <c r="X2005" s="3">
        <f>IF(ISNUMBER(AVERAGE('20250815_ETF_Options_Exhibits'!X2001:X2005)),AVERAGE('20250815_ETF_Options_Exhibits'!X2001:X2005),"")</f>
        <v/>
      </c>
      <c r="Y2005" s="3">
        <f>IF(ISNUMBER(AVERAGE('20250815_ETF_Options_Exhibits'!Y2001:Y2005)),AVERAGE('20250815_ETF_Options_Exhibits'!Y2001:Y2005),"")</f>
        <v/>
      </c>
      <c r="Z2005" s="3">
        <f>IF(ISNUMBER(AVERAGE('20250815_ETF_Options_Exhibits'!Z2001:Z2005)),AVERAGE('20250815_ETF_Options_Exhibits'!Z2001:Z2005),"")</f>
        <v/>
      </c>
      <c r="AA2005" s="3">
        <f>IF(ISNUMBER(AVERAGE('20250815_ETF_Options_Exhibits'!AA2001:AA2005)),AVERAGE('20250815_ETF_Options_Exhibits'!AA2001:AA2005),"")</f>
        <v/>
      </c>
    </row>
    <row r="2006">
      <c r="A2006" s="1" t="n">
        <v>44910</v>
      </c>
      <c r="B2006" s="3">
        <f>IF(ISNUMBER(AVERAGE('20250815_ETF_Options_Exhibits'!B2002:B2006)),AVERAGE('20250815_ETF_Options_Exhibits'!B2002:B2006),"")</f>
        <v/>
      </c>
      <c r="C2006" s="3">
        <f>IF(ISNUMBER(AVERAGE('20250815_ETF_Options_Exhibits'!C2002:C2006)),AVERAGE('20250815_ETF_Options_Exhibits'!C2002:C2006),"")</f>
        <v/>
      </c>
      <c r="D2006" s="3">
        <f>IF(ISNUMBER(AVERAGE('20250815_ETF_Options_Exhibits'!D2002:D2006)),AVERAGE('20250815_ETF_Options_Exhibits'!D2002:D2006),"")</f>
        <v/>
      </c>
      <c r="E2006" s="3">
        <f>IF(ISNUMBER(AVERAGE('20250815_ETF_Options_Exhibits'!E2002:E2006)),AVERAGE('20250815_ETF_Options_Exhibits'!E2002:E2006),"")</f>
        <v/>
      </c>
      <c r="F2006" s="3">
        <f>IF(ISNUMBER(AVERAGE('20250815_ETF_Options_Exhibits'!F2002:F2006)),AVERAGE('20250815_ETF_Options_Exhibits'!F2002:F2006),"")</f>
        <v/>
      </c>
      <c r="G2006" s="3">
        <f>IF(ISNUMBER(AVERAGE('20250815_ETF_Options_Exhibits'!G2002:G2006)),AVERAGE('20250815_ETF_Options_Exhibits'!G2002:G2006),"")</f>
        <v/>
      </c>
      <c r="H2006" s="3">
        <f>IF(ISNUMBER(AVERAGE('20250815_ETF_Options_Exhibits'!H2002:H2006)),AVERAGE('20250815_ETF_Options_Exhibits'!H2002:H2006),"")</f>
        <v/>
      </c>
      <c r="I2006" s="3">
        <f>IF(ISNUMBER(AVERAGE('20250815_ETF_Options_Exhibits'!I2002:I2006)),AVERAGE('20250815_ETF_Options_Exhibits'!I2002:I2006),"")</f>
        <v/>
      </c>
      <c r="J2006" s="3">
        <f>IF(ISNUMBER(AVERAGE('20250815_ETF_Options_Exhibits'!J2002:J2006)),AVERAGE('20250815_ETF_Options_Exhibits'!J2002:J2006),"")</f>
        <v/>
      </c>
      <c r="K2006" s="3">
        <f>IF(ISNUMBER(AVERAGE('20250815_ETF_Options_Exhibits'!K2002:K2006)),AVERAGE('20250815_ETF_Options_Exhibits'!K2002:K2006),"")</f>
        <v/>
      </c>
      <c r="L2006" s="3">
        <f>IF(ISNUMBER(AVERAGE('20250815_ETF_Options_Exhibits'!L2002:L2006)),AVERAGE('20250815_ETF_Options_Exhibits'!L2002:L2006),"")</f>
        <v/>
      </c>
      <c r="M2006" s="3">
        <f>IF(ISNUMBER(AVERAGE('20250815_ETF_Options_Exhibits'!M2002:M2006)),AVERAGE('20250815_ETF_Options_Exhibits'!M2002:M2006),"")</f>
        <v/>
      </c>
      <c r="N2006" s="3">
        <f>IF(ISNUMBER(AVERAGE('20250815_ETF_Options_Exhibits'!N2002:N2006)),AVERAGE('20250815_ETF_Options_Exhibits'!N2002:N2006),"")</f>
        <v/>
      </c>
      <c r="O2006" s="3">
        <f>IF(ISNUMBER(AVERAGE('20250815_ETF_Options_Exhibits'!O2002:O2006)),AVERAGE('20250815_ETF_Options_Exhibits'!O2002:O2006),"")</f>
        <v/>
      </c>
      <c r="P2006" s="3">
        <f>IF(ISNUMBER(AVERAGE('20250815_ETF_Options_Exhibits'!P2002:P2006)),AVERAGE('20250815_ETF_Options_Exhibits'!P2002:P2006),"")</f>
        <v/>
      </c>
      <c r="Q2006" s="3">
        <f>IF(ISNUMBER(AVERAGE('20250815_ETF_Options_Exhibits'!Q2002:Q2006)),AVERAGE('20250815_ETF_Options_Exhibits'!Q2002:Q2006),"")</f>
        <v/>
      </c>
      <c r="R2006" s="3">
        <f>IF(ISNUMBER(AVERAGE('20250815_ETF_Options_Exhibits'!R2002:R2006)),AVERAGE('20250815_ETF_Options_Exhibits'!R2002:R2006),"")</f>
        <v/>
      </c>
      <c r="S2006" s="3">
        <f>IF(ISNUMBER(AVERAGE('20250815_ETF_Options_Exhibits'!S2002:S2006)),AVERAGE('20250815_ETF_Options_Exhibits'!S2002:S2006),"")</f>
        <v/>
      </c>
      <c r="T2006" s="3">
        <f>IF(ISNUMBER(AVERAGE('20250815_ETF_Options_Exhibits'!T2002:T2006)),AVERAGE('20250815_ETF_Options_Exhibits'!T2002:T2006),"")</f>
        <v/>
      </c>
      <c r="U2006" s="3">
        <f>IF(ISNUMBER(AVERAGE('20250815_ETF_Options_Exhibits'!U2002:U2006)),AVERAGE('20250815_ETF_Options_Exhibits'!U2002:U2006),"")</f>
        <v/>
      </c>
      <c r="V2006" s="3">
        <f>IF(ISNUMBER(AVERAGE('20250815_ETF_Options_Exhibits'!V2002:V2006)),AVERAGE('20250815_ETF_Options_Exhibits'!V2002:V2006),"")</f>
        <v/>
      </c>
      <c r="W2006" s="3">
        <f>IF(ISNUMBER(AVERAGE('20250815_ETF_Options_Exhibits'!W2002:W2006)),AVERAGE('20250815_ETF_Options_Exhibits'!W2002:W2006),"")</f>
        <v/>
      </c>
      <c r="X2006" s="3">
        <f>IF(ISNUMBER(AVERAGE('20250815_ETF_Options_Exhibits'!X2002:X2006)),AVERAGE('20250815_ETF_Options_Exhibits'!X2002:X2006),"")</f>
        <v/>
      </c>
      <c r="Y2006" s="3">
        <f>IF(ISNUMBER(AVERAGE('20250815_ETF_Options_Exhibits'!Y2002:Y2006)),AVERAGE('20250815_ETF_Options_Exhibits'!Y2002:Y2006),"")</f>
        <v/>
      </c>
      <c r="Z2006" s="3">
        <f>IF(ISNUMBER(AVERAGE('20250815_ETF_Options_Exhibits'!Z2002:Z2006)),AVERAGE('20250815_ETF_Options_Exhibits'!Z2002:Z2006),"")</f>
        <v/>
      </c>
      <c r="AA2006" s="3">
        <f>IF(ISNUMBER(AVERAGE('20250815_ETF_Options_Exhibits'!AA2002:AA2006)),AVERAGE('20250815_ETF_Options_Exhibits'!AA2002:AA2006),"")</f>
        <v/>
      </c>
    </row>
    <row r="2007">
      <c r="A2007" s="1" t="n">
        <v>44911</v>
      </c>
      <c r="B2007" s="3">
        <f>IF(ISNUMBER(AVERAGE('20250815_ETF_Options_Exhibits'!B2003:B2007)),AVERAGE('20250815_ETF_Options_Exhibits'!B2003:B2007),"")</f>
        <v/>
      </c>
      <c r="C2007" s="3">
        <f>IF(ISNUMBER(AVERAGE('20250815_ETF_Options_Exhibits'!C2003:C2007)),AVERAGE('20250815_ETF_Options_Exhibits'!C2003:C2007),"")</f>
        <v/>
      </c>
      <c r="D2007" s="3">
        <f>IF(ISNUMBER(AVERAGE('20250815_ETF_Options_Exhibits'!D2003:D2007)),AVERAGE('20250815_ETF_Options_Exhibits'!D2003:D2007),"")</f>
        <v/>
      </c>
      <c r="E2007" s="3">
        <f>IF(ISNUMBER(AVERAGE('20250815_ETF_Options_Exhibits'!E2003:E2007)),AVERAGE('20250815_ETF_Options_Exhibits'!E2003:E2007),"")</f>
        <v/>
      </c>
      <c r="F2007" s="3">
        <f>IF(ISNUMBER(AVERAGE('20250815_ETF_Options_Exhibits'!F2003:F2007)),AVERAGE('20250815_ETF_Options_Exhibits'!F2003:F2007),"")</f>
        <v/>
      </c>
      <c r="G2007" s="3">
        <f>IF(ISNUMBER(AVERAGE('20250815_ETF_Options_Exhibits'!G2003:G2007)),AVERAGE('20250815_ETF_Options_Exhibits'!G2003:G2007),"")</f>
        <v/>
      </c>
      <c r="H2007" s="3">
        <f>IF(ISNUMBER(AVERAGE('20250815_ETF_Options_Exhibits'!H2003:H2007)),AVERAGE('20250815_ETF_Options_Exhibits'!H2003:H2007),"")</f>
        <v/>
      </c>
      <c r="I2007" s="3">
        <f>IF(ISNUMBER(AVERAGE('20250815_ETF_Options_Exhibits'!I2003:I2007)),AVERAGE('20250815_ETF_Options_Exhibits'!I2003:I2007),"")</f>
        <v/>
      </c>
      <c r="J2007" s="3">
        <f>IF(ISNUMBER(AVERAGE('20250815_ETF_Options_Exhibits'!J2003:J2007)),AVERAGE('20250815_ETF_Options_Exhibits'!J2003:J2007),"")</f>
        <v/>
      </c>
      <c r="K2007" s="3">
        <f>IF(ISNUMBER(AVERAGE('20250815_ETF_Options_Exhibits'!K2003:K2007)),AVERAGE('20250815_ETF_Options_Exhibits'!K2003:K2007),"")</f>
        <v/>
      </c>
      <c r="L2007" s="3">
        <f>IF(ISNUMBER(AVERAGE('20250815_ETF_Options_Exhibits'!L2003:L2007)),AVERAGE('20250815_ETF_Options_Exhibits'!L2003:L2007),"")</f>
        <v/>
      </c>
      <c r="M2007" s="3">
        <f>IF(ISNUMBER(AVERAGE('20250815_ETF_Options_Exhibits'!M2003:M2007)),AVERAGE('20250815_ETF_Options_Exhibits'!M2003:M2007),"")</f>
        <v/>
      </c>
      <c r="N2007" s="3">
        <f>IF(ISNUMBER(AVERAGE('20250815_ETF_Options_Exhibits'!N2003:N2007)),AVERAGE('20250815_ETF_Options_Exhibits'!N2003:N2007),"")</f>
        <v/>
      </c>
      <c r="O2007" s="3">
        <f>IF(ISNUMBER(AVERAGE('20250815_ETF_Options_Exhibits'!O2003:O2007)),AVERAGE('20250815_ETF_Options_Exhibits'!O2003:O2007),"")</f>
        <v/>
      </c>
      <c r="P2007" s="3">
        <f>IF(ISNUMBER(AVERAGE('20250815_ETF_Options_Exhibits'!P2003:P2007)),AVERAGE('20250815_ETF_Options_Exhibits'!P2003:P2007),"")</f>
        <v/>
      </c>
      <c r="Q2007" s="3">
        <f>IF(ISNUMBER(AVERAGE('20250815_ETF_Options_Exhibits'!Q2003:Q2007)),AVERAGE('20250815_ETF_Options_Exhibits'!Q2003:Q2007),"")</f>
        <v/>
      </c>
      <c r="R2007" s="3">
        <f>IF(ISNUMBER(AVERAGE('20250815_ETF_Options_Exhibits'!R2003:R2007)),AVERAGE('20250815_ETF_Options_Exhibits'!R2003:R2007),"")</f>
        <v/>
      </c>
      <c r="S2007" s="3">
        <f>IF(ISNUMBER(AVERAGE('20250815_ETF_Options_Exhibits'!S2003:S2007)),AVERAGE('20250815_ETF_Options_Exhibits'!S2003:S2007),"")</f>
        <v/>
      </c>
      <c r="T2007" s="3">
        <f>IF(ISNUMBER(AVERAGE('20250815_ETF_Options_Exhibits'!T2003:T2007)),AVERAGE('20250815_ETF_Options_Exhibits'!T2003:T2007),"")</f>
        <v/>
      </c>
      <c r="U2007" s="3">
        <f>IF(ISNUMBER(AVERAGE('20250815_ETF_Options_Exhibits'!U2003:U2007)),AVERAGE('20250815_ETF_Options_Exhibits'!U2003:U2007),"")</f>
        <v/>
      </c>
      <c r="V2007" s="3">
        <f>IF(ISNUMBER(AVERAGE('20250815_ETF_Options_Exhibits'!V2003:V2007)),AVERAGE('20250815_ETF_Options_Exhibits'!V2003:V2007),"")</f>
        <v/>
      </c>
      <c r="W2007" s="3">
        <f>IF(ISNUMBER(AVERAGE('20250815_ETF_Options_Exhibits'!W2003:W2007)),AVERAGE('20250815_ETF_Options_Exhibits'!W2003:W2007),"")</f>
        <v/>
      </c>
      <c r="X2007" s="3">
        <f>IF(ISNUMBER(AVERAGE('20250815_ETF_Options_Exhibits'!X2003:X2007)),AVERAGE('20250815_ETF_Options_Exhibits'!X2003:X2007),"")</f>
        <v/>
      </c>
      <c r="Y2007" s="3">
        <f>IF(ISNUMBER(AVERAGE('20250815_ETF_Options_Exhibits'!Y2003:Y2007)),AVERAGE('20250815_ETF_Options_Exhibits'!Y2003:Y2007),"")</f>
        <v/>
      </c>
      <c r="Z2007" s="3">
        <f>IF(ISNUMBER(AVERAGE('20250815_ETF_Options_Exhibits'!Z2003:Z2007)),AVERAGE('20250815_ETF_Options_Exhibits'!Z2003:Z2007),"")</f>
        <v/>
      </c>
      <c r="AA2007" s="3">
        <f>IF(ISNUMBER(AVERAGE('20250815_ETF_Options_Exhibits'!AA2003:AA2007)),AVERAGE('20250815_ETF_Options_Exhibits'!AA2003:AA2007),"")</f>
        <v/>
      </c>
    </row>
    <row r="2008">
      <c r="A2008" s="1" t="n">
        <v>44914</v>
      </c>
      <c r="B2008" s="3">
        <f>IF(ISNUMBER(AVERAGE('20250815_ETF_Options_Exhibits'!B2004:B2008)),AVERAGE('20250815_ETF_Options_Exhibits'!B2004:B2008),"")</f>
        <v/>
      </c>
      <c r="C2008" s="3">
        <f>IF(ISNUMBER(AVERAGE('20250815_ETF_Options_Exhibits'!C2004:C2008)),AVERAGE('20250815_ETF_Options_Exhibits'!C2004:C2008),"")</f>
        <v/>
      </c>
      <c r="D2008" s="3">
        <f>IF(ISNUMBER(AVERAGE('20250815_ETF_Options_Exhibits'!D2004:D2008)),AVERAGE('20250815_ETF_Options_Exhibits'!D2004:D2008),"")</f>
        <v/>
      </c>
      <c r="E2008" s="3">
        <f>IF(ISNUMBER(AVERAGE('20250815_ETF_Options_Exhibits'!E2004:E2008)),AVERAGE('20250815_ETF_Options_Exhibits'!E2004:E2008),"")</f>
        <v/>
      </c>
      <c r="F2008" s="3">
        <f>IF(ISNUMBER(AVERAGE('20250815_ETF_Options_Exhibits'!F2004:F2008)),AVERAGE('20250815_ETF_Options_Exhibits'!F2004:F2008),"")</f>
        <v/>
      </c>
      <c r="G2008" s="3">
        <f>IF(ISNUMBER(AVERAGE('20250815_ETF_Options_Exhibits'!G2004:G2008)),AVERAGE('20250815_ETF_Options_Exhibits'!G2004:G2008),"")</f>
        <v/>
      </c>
      <c r="H2008" s="3">
        <f>IF(ISNUMBER(AVERAGE('20250815_ETF_Options_Exhibits'!H2004:H2008)),AVERAGE('20250815_ETF_Options_Exhibits'!H2004:H2008),"")</f>
        <v/>
      </c>
      <c r="I2008" s="3">
        <f>IF(ISNUMBER(AVERAGE('20250815_ETF_Options_Exhibits'!I2004:I2008)),AVERAGE('20250815_ETF_Options_Exhibits'!I2004:I2008),"")</f>
        <v/>
      </c>
      <c r="J2008" s="3">
        <f>IF(ISNUMBER(AVERAGE('20250815_ETF_Options_Exhibits'!J2004:J2008)),AVERAGE('20250815_ETF_Options_Exhibits'!J2004:J2008),"")</f>
        <v/>
      </c>
      <c r="K2008" s="3">
        <f>IF(ISNUMBER(AVERAGE('20250815_ETF_Options_Exhibits'!K2004:K2008)),AVERAGE('20250815_ETF_Options_Exhibits'!K2004:K2008),"")</f>
        <v/>
      </c>
      <c r="L2008" s="3">
        <f>IF(ISNUMBER(AVERAGE('20250815_ETF_Options_Exhibits'!L2004:L2008)),AVERAGE('20250815_ETF_Options_Exhibits'!L2004:L2008),"")</f>
        <v/>
      </c>
      <c r="M2008" s="3">
        <f>IF(ISNUMBER(AVERAGE('20250815_ETF_Options_Exhibits'!M2004:M2008)),AVERAGE('20250815_ETF_Options_Exhibits'!M2004:M2008),"")</f>
        <v/>
      </c>
      <c r="N2008" s="3">
        <f>IF(ISNUMBER(AVERAGE('20250815_ETF_Options_Exhibits'!N2004:N2008)),AVERAGE('20250815_ETF_Options_Exhibits'!N2004:N2008),"")</f>
        <v/>
      </c>
      <c r="O2008" s="3">
        <f>IF(ISNUMBER(AVERAGE('20250815_ETF_Options_Exhibits'!O2004:O2008)),AVERAGE('20250815_ETF_Options_Exhibits'!O2004:O2008),"")</f>
        <v/>
      </c>
      <c r="P2008" s="3">
        <f>IF(ISNUMBER(AVERAGE('20250815_ETF_Options_Exhibits'!P2004:P2008)),AVERAGE('20250815_ETF_Options_Exhibits'!P2004:P2008),"")</f>
        <v/>
      </c>
      <c r="Q2008" s="3">
        <f>IF(ISNUMBER(AVERAGE('20250815_ETF_Options_Exhibits'!Q2004:Q2008)),AVERAGE('20250815_ETF_Options_Exhibits'!Q2004:Q2008),"")</f>
        <v/>
      </c>
      <c r="R2008" s="3">
        <f>IF(ISNUMBER(AVERAGE('20250815_ETF_Options_Exhibits'!R2004:R2008)),AVERAGE('20250815_ETF_Options_Exhibits'!R2004:R2008),"")</f>
        <v/>
      </c>
      <c r="S2008" s="3">
        <f>IF(ISNUMBER(AVERAGE('20250815_ETF_Options_Exhibits'!S2004:S2008)),AVERAGE('20250815_ETF_Options_Exhibits'!S2004:S2008),"")</f>
        <v/>
      </c>
      <c r="T2008" s="3">
        <f>IF(ISNUMBER(AVERAGE('20250815_ETF_Options_Exhibits'!T2004:T2008)),AVERAGE('20250815_ETF_Options_Exhibits'!T2004:T2008),"")</f>
        <v/>
      </c>
      <c r="U2008" s="3">
        <f>IF(ISNUMBER(AVERAGE('20250815_ETF_Options_Exhibits'!U2004:U2008)),AVERAGE('20250815_ETF_Options_Exhibits'!U2004:U2008),"")</f>
        <v/>
      </c>
      <c r="V2008" s="3">
        <f>IF(ISNUMBER(AVERAGE('20250815_ETF_Options_Exhibits'!V2004:V2008)),AVERAGE('20250815_ETF_Options_Exhibits'!V2004:V2008),"")</f>
        <v/>
      </c>
      <c r="W2008" s="3">
        <f>IF(ISNUMBER(AVERAGE('20250815_ETF_Options_Exhibits'!W2004:W2008)),AVERAGE('20250815_ETF_Options_Exhibits'!W2004:W2008),"")</f>
        <v/>
      </c>
      <c r="X2008" s="3">
        <f>IF(ISNUMBER(AVERAGE('20250815_ETF_Options_Exhibits'!X2004:X2008)),AVERAGE('20250815_ETF_Options_Exhibits'!X2004:X2008),"")</f>
        <v/>
      </c>
      <c r="Y2008" s="3">
        <f>IF(ISNUMBER(AVERAGE('20250815_ETF_Options_Exhibits'!Y2004:Y2008)),AVERAGE('20250815_ETF_Options_Exhibits'!Y2004:Y2008),"")</f>
        <v/>
      </c>
      <c r="Z2008" s="3">
        <f>IF(ISNUMBER(AVERAGE('20250815_ETF_Options_Exhibits'!Z2004:Z2008)),AVERAGE('20250815_ETF_Options_Exhibits'!Z2004:Z2008),"")</f>
        <v/>
      </c>
      <c r="AA2008" s="3">
        <f>IF(ISNUMBER(AVERAGE('20250815_ETF_Options_Exhibits'!AA2004:AA2008)),AVERAGE('20250815_ETF_Options_Exhibits'!AA2004:AA2008),"")</f>
        <v/>
      </c>
    </row>
    <row r="2009">
      <c r="A2009" s="1" t="n">
        <v>44915</v>
      </c>
      <c r="B2009" s="3">
        <f>IF(ISNUMBER(AVERAGE('20250815_ETF_Options_Exhibits'!B2005:B2009)),AVERAGE('20250815_ETF_Options_Exhibits'!B2005:B2009),"")</f>
        <v/>
      </c>
      <c r="C2009" s="3">
        <f>IF(ISNUMBER(AVERAGE('20250815_ETF_Options_Exhibits'!C2005:C2009)),AVERAGE('20250815_ETF_Options_Exhibits'!C2005:C2009),"")</f>
        <v/>
      </c>
      <c r="D2009" s="3">
        <f>IF(ISNUMBER(AVERAGE('20250815_ETF_Options_Exhibits'!D2005:D2009)),AVERAGE('20250815_ETF_Options_Exhibits'!D2005:D2009),"")</f>
        <v/>
      </c>
      <c r="E2009" s="3">
        <f>IF(ISNUMBER(AVERAGE('20250815_ETF_Options_Exhibits'!E2005:E2009)),AVERAGE('20250815_ETF_Options_Exhibits'!E2005:E2009),"")</f>
        <v/>
      </c>
      <c r="F2009" s="3">
        <f>IF(ISNUMBER(AVERAGE('20250815_ETF_Options_Exhibits'!F2005:F2009)),AVERAGE('20250815_ETF_Options_Exhibits'!F2005:F2009),"")</f>
        <v/>
      </c>
      <c r="G2009" s="3">
        <f>IF(ISNUMBER(AVERAGE('20250815_ETF_Options_Exhibits'!G2005:G2009)),AVERAGE('20250815_ETF_Options_Exhibits'!G2005:G2009),"")</f>
        <v/>
      </c>
      <c r="H2009" s="3">
        <f>IF(ISNUMBER(AVERAGE('20250815_ETF_Options_Exhibits'!H2005:H2009)),AVERAGE('20250815_ETF_Options_Exhibits'!H2005:H2009),"")</f>
        <v/>
      </c>
      <c r="I2009" s="3">
        <f>IF(ISNUMBER(AVERAGE('20250815_ETF_Options_Exhibits'!I2005:I2009)),AVERAGE('20250815_ETF_Options_Exhibits'!I2005:I2009),"")</f>
        <v/>
      </c>
      <c r="J2009" s="3">
        <f>IF(ISNUMBER(AVERAGE('20250815_ETF_Options_Exhibits'!J2005:J2009)),AVERAGE('20250815_ETF_Options_Exhibits'!J2005:J2009),"")</f>
        <v/>
      </c>
      <c r="K2009" s="3">
        <f>IF(ISNUMBER(AVERAGE('20250815_ETF_Options_Exhibits'!K2005:K2009)),AVERAGE('20250815_ETF_Options_Exhibits'!K2005:K2009),"")</f>
        <v/>
      </c>
      <c r="L2009" s="3">
        <f>IF(ISNUMBER(AVERAGE('20250815_ETF_Options_Exhibits'!L2005:L2009)),AVERAGE('20250815_ETF_Options_Exhibits'!L2005:L2009),"")</f>
        <v/>
      </c>
      <c r="M2009" s="3">
        <f>IF(ISNUMBER(AVERAGE('20250815_ETF_Options_Exhibits'!M2005:M2009)),AVERAGE('20250815_ETF_Options_Exhibits'!M2005:M2009),"")</f>
        <v/>
      </c>
      <c r="N2009" s="3">
        <f>IF(ISNUMBER(AVERAGE('20250815_ETF_Options_Exhibits'!N2005:N2009)),AVERAGE('20250815_ETF_Options_Exhibits'!N2005:N2009),"")</f>
        <v/>
      </c>
      <c r="O2009" s="3">
        <f>IF(ISNUMBER(AVERAGE('20250815_ETF_Options_Exhibits'!O2005:O2009)),AVERAGE('20250815_ETF_Options_Exhibits'!O2005:O2009),"")</f>
        <v/>
      </c>
      <c r="P2009" s="3">
        <f>IF(ISNUMBER(AVERAGE('20250815_ETF_Options_Exhibits'!P2005:P2009)),AVERAGE('20250815_ETF_Options_Exhibits'!P2005:P2009),"")</f>
        <v/>
      </c>
      <c r="Q2009" s="3">
        <f>IF(ISNUMBER(AVERAGE('20250815_ETF_Options_Exhibits'!Q2005:Q2009)),AVERAGE('20250815_ETF_Options_Exhibits'!Q2005:Q2009),"")</f>
        <v/>
      </c>
      <c r="R2009" s="3">
        <f>IF(ISNUMBER(AVERAGE('20250815_ETF_Options_Exhibits'!R2005:R2009)),AVERAGE('20250815_ETF_Options_Exhibits'!R2005:R2009),"")</f>
        <v/>
      </c>
      <c r="S2009" s="3">
        <f>IF(ISNUMBER(AVERAGE('20250815_ETF_Options_Exhibits'!S2005:S2009)),AVERAGE('20250815_ETF_Options_Exhibits'!S2005:S2009),"")</f>
        <v/>
      </c>
      <c r="T2009" s="3">
        <f>IF(ISNUMBER(AVERAGE('20250815_ETF_Options_Exhibits'!T2005:T2009)),AVERAGE('20250815_ETF_Options_Exhibits'!T2005:T2009),"")</f>
        <v/>
      </c>
      <c r="U2009" s="3">
        <f>IF(ISNUMBER(AVERAGE('20250815_ETF_Options_Exhibits'!U2005:U2009)),AVERAGE('20250815_ETF_Options_Exhibits'!U2005:U2009),"")</f>
        <v/>
      </c>
      <c r="V2009" s="3">
        <f>IF(ISNUMBER(AVERAGE('20250815_ETF_Options_Exhibits'!V2005:V2009)),AVERAGE('20250815_ETF_Options_Exhibits'!V2005:V2009),"")</f>
        <v/>
      </c>
      <c r="W2009" s="3">
        <f>IF(ISNUMBER(AVERAGE('20250815_ETF_Options_Exhibits'!W2005:W2009)),AVERAGE('20250815_ETF_Options_Exhibits'!W2005:W2009),"")</f>
        <v/>
      </c>
      <c r="X2009" s="3">
        <f>IF(ISNUMBER(AVERAGE('20250815_ETF_Options_Exhibits'!X2005:X2009)),AVERAGE('20250815_ETF_Options_Exhibits'!X2005:X2009),"")</f>
        <v/>
      </c>
      <c r="Y2009" s="3">
        <f>IF(ISNUMBER(AVERAGE('20250815_ETF_Options_Exhibits'!Y2005:Y2009)),AVERAGE('20250815_ETF_Options_Exhibits'!Y2005:Y2009),"")</f>
        <v/>
      </c>
      <c r="Z2009" s="3">
        <f>IF(ISNUMBER(AVERAGE('20250815_ETF_Options_Exhibits'!Z2005:Z2009)),AVERAGE('20250815_ETF_Options_Exhibits'!Z2005:Z2009),"")</f>
        <v/>
      </c>
      <c r="AA2009" s="3">
        <f>IF(ISNUMBER(AVERAGE('20250815_ETF_Options_Exhibits'!AA2005:AA2009)),AVERAGE('20250815_ETF_Options_Exhibits'!AA2005:AA2009),"")</f>
        <v/>
      </c>
    </row>
    <row r="2010">
      <c r="A2010" s="1" t="n">
        <v>44916</v>
      </c>
      <c r="B2010" s="3">
        <f>IF(ISNUMBER(AVERAGE('20250815_ETF_Options_Exhibits'!B2006:B2010)),AVERAGE('20250815_ETF_Options_Exhibits'!B2006:B2010),"")</f>
        <v/>
      </c>
      <c r="C2010" s="3">
        <f>IF(ISNUMBER(AVERAGE('20250815_ETF_Options_Exhibits'!C2006:C2010)),AVERAGE('20250815_ETF_Options_Exhibits'!C2006:C2010),"")</f>
        <v/>
      </c>
      <c r="D2010" s="3">
        <f>IF(ISNUMBER(AVERAGE('20250815_ETF_Options_Exhibits'!D2006:D2010)),AVERAGE('20250815_ETF_Options_Exhibits'!D2006:D2010),"")</f>
        <v/>
      </c>
      <c r="E2010" s="3">
        <f>IF(ISNUMBER(AVERAGE('20250815_ETF_Options_Exhibits'!E2006:E2010)),AVERAGE('20250815_ETF_Options_Exhibits'!E2006:E2010),"")</f>
        <v/>
      </c>
      <c r="F2010" s="3">
        <f>IF(ISNUMBER(AVERAGE('20250815_ETF_Options_Exhibits'!F2006:F2010)),AVERAGE('20250815_ETF_Options_Exhibits'!F2006:F2010),"")</f>
        <v/>
      </c>
      <c r="G2010" s="3">
        <f>IF(ISNUMBER(AVERAGE('20250815_ETF_Options_Exhibits'!G2006:G2010)),AVERAGE('20250815_ETF_Options_Exhibits'!G2006:G2010),"")</f>
        <v/>
      </c>
      <c r="H2010" s="3">
        <f>IF(ISNUMBER(AVERAGE('20250815_ETF_Options_Exhibits'!H2006:H2010)),AVERAGE('20250815_ETF_Options_Exhibits'!H2006:H2010),"")</f>
        <v/>
      </c>
      <c r="I2010" s="3">
        <f>IF(ISNUMBER(AVERAGE('20250815_ETF_Options_Exhibits'!I2006:I2010)),AVERAGE('20250815_ETF_Options_Exhibits'!I2006:I2010),"")</f>
        <v/>
      </c>
      <c r="J2010" s="3">
        <f>IF(ISNUMBER(AVERAGE('20250815_ETF_Options_Exhibits'!J2006:J2010)),AVERAGE('20250815_ETF_Options_Exhibits'!J2006:J2010),"")</f>
        <v/>
      </c>
      <c r="K2010" s="3">
        <f>IF(ISNUMBER(AVERAGE('20250815_ETF_Options_Exhibits'!K2006:K2010)),AVERAGE('20250815_ETF_Options_Exhibits'!K2006:K2010),"")</f>
        <v/>
      </c>
      <c r="L2010" s="3">
        <f>IF(ISNUMBER(AVERAGE('20250815_ETF_Options_Exhibits'!L2006:L2010)),AVERAGE('20250815_ETF_Options_Exhibits'!L2006:L2010),"")</f>
        <v/>
      </c>
      <c r="M2010" s="3">
        <f>IF(ISNUMBER(AVERAGE('20250815_ETF_Options_Exhibits'!M2006:M2010)),AVERAGE('20250815_ETF_Options_Exhibits'!M2006:M2010),"")</f>
        <v/>
      </c>
      <c r="N2010" s="3">
        <f>IF(ISNUMBER(AVERAGE('20250815_ETF_Options_Exhibits'!N2006:N2010)),AVERAGE('20250815_ETF_Options_Exhibits'!N2006:N2010),"")</f>
        <v/>
      </c>
      <c r="O2010" s="3">
        <f>IF(ISNUMBER(AVERAGE('20250815_ETF_Options_Exhibits'!O2006:O2010)),AVERAGE('20250815_ETF_Options_Exhibits'!O2006:O2010),"")</f>
        <v/>
      </c>
      <c r="P2010" s="3">
        <f>IF(ISNUMBER(AVERAGE('20250815_ETF_Options_Exhibits'!P2006:P2010)),AVERAGE('20250815_ETF_Options_Exhibits'!P2006:P2010),"")</f>
        <v/>
      </c>
      <c r="Q2010" s="3">
        <f>IF(ISNUMBER(AVERAGE('20250815_ETF_Options_Exhibits'!Q2006:Q2010)),AVERAGE('20250815_ETF_Options_Exhibits'!Q2006:Q2010),"")</f>
        <v/>
      </c>
      <c r="R2010" s="3">
        <f>IF(ISNUMBER(AVERAGE('20250815_ETF_Options_Exhibits'!R2006:R2010)),AVERAGE('20250815_ETF_Options_Exhibits'!R2006:R2010),"")</f>
        <v/>
      </c>
      <c r="S2010" s="3">
        <f>IF(ISNUMBER(AVERAGE('20250815_ETF_Options_Exhibits'!S2006:S2010)),AVERAGE('20250815_ETF_Options_Exhibits'!S2006:S2010),"")</f>
        <v/>
      </c>
      <c r="T2010" s="3">
        <f>IF(ISNUMBER(AVERAGE('20250815_ETF_Options_Exhibits'!T2006:T2010)),AVERAGE('20250815_ETF_Options_Exhibits'!T2006:T2010),"")</f>
        <v/>
      </c>
      <c r="U2010" s="3">
        <f>IF(ISNUMBER(AVERAGE('20250815_ETF_Options_Exhibits'!U2006:U2010)),AVERAGE('20250815_ETF_Options_Exhibits'!U2006:U2010),"")</f>
        <v/>
      </c>
      <c r="V2010" s="3">
        <f>IF(ISNUMBER(AVERAGE('20250815_ETF_Options_Exhibits'!V2006:V2010)),AVERAGE('20250815_ETF_Options_Exhibits'!V2006:V2010),"")</f>
        <v/>
      </c>
      <c r="W2010" s="3">
        <f>IF(ISNUMBER(AVERAGE('20250815_ETF_Options_Exhibits'!W2006:W2010)),AVERAGE('20250815_ETF_Options_Exhibits'!W2006:W2010),"")</f>
        <v/>
      </c>
      <c r="X2010" s="3">
        <f>IF(ISNUMBER(AVERAGE('20250815_ETF_Options_Exhibits'!X2006:X2010)),AVERAGE('20250815_ETF_Options_Exhibits'!X2006:X2010),"")</f>
        <v/>
      </c>
      <c r="Y2010" s="3">
        <f>IF(ISNUMBER(AVERAGE('20250815_ETF_Options_Exhibits'!Y2006:Y2010)),AVERAGE('20250815_ETF_Options_Exhibits'!Y2006:Y2010),"")</f>
        <v/>
      </c>
      <c r="Z2010" s="3">
        <f>IF(ISNUMBER(AVERAGE('20250815_ETF_Options_Exhibits'!Z2006:Z2010)),AVERAGE('20250815_ETF_Options_Exhibits'!Z2006:Z2010),"")</f>
        <v/>
      </c>
      <c r="AA2010" s="3">
        <f>IF(ISNUMBER(AVERAGE('20250815_ETF_Options_Exhibits'!AA2006:AA2010)),AVERAGE('20250815_ETF_Options_Exhibits'!AA2006:AA2010),"")</f>
        <v/>
      </c>
    </row>
    <row r="2011">
      <c r="A2011" s="1" t="n">
        <v>44917</v>
      </c>
      <c r="B2011" s="3">
        <f>IF(ISNUMBER(AVERAGE('20250815_ETF_Options_Exhibits'!B2007:B2011)),AVERAGE('20250815_ETF_Options_Exhibits'!B2007:B2011),"")</f>
        <v/>
      </c>
      <c r="C2011" s="3">
        <f>IF(ISNUMBER(AVERAGE('20250815_ETF_Options_Exhibits'!C2007:C2011)),AVERAGE('20250815_ETF_Options_Exhibits'!C2007:C2011),"")</f>
        <v/>
      </c>
      <c r="D2011" s="3">
        <f>IF(ISNUMBER(AVERAGE('20250815_ETF_Options_Exhibits'!D2007:D2011)),AVERAGE('20250815_ETF_Options_Exhibits'!D2007:D2011),"")</f>
        <v/>
      </c>
      <c r="E2011" s="3">
        <f>IF(ISNUMBER(AVERAGE('20250815_ETF_Options_Exhibits'!E2007:E2011)),AVERAGE('20250815_ETF_Options_Exhibits'!E2007:E2011),"")</f>
        <v/>
      </c>
      <c r="F2011" s="3">
        <f>IF(ISNUMBER(AVERAGE('20250815_ETF_Options_Exhibits'!F2007:F2011)),AVERAGE('20250815_ETF_Options_Exhibits'!F2007:F2011),"")</f>
        <v/>
      </c>
      <c r="G2011" s="3">
        <f>IF(ISNUMBER(AVERAGE('20250815_ETF_Options_Exhibits'!G2007:G2011)),AVERAGE('20250815_ETF_Options_Exhibits'!G2007:G2011),"")</f>
        <v/>
      </c>
      <c r="H2011" s="3">
        <f>IF(ISNUMBER(AVERAGE('20250815_ETF_Options_Exhibits'!H2007:H2011)),AVERAGE('20250815_ETF_Options_Exhibits'!H2007:H2011),"")</f>
        <v/>
      </c>
      <c r="I2011" s="3">
        <f>IF(ISNUMBER(AVERAGE('20250815_ETF_Options_Exhibits'!I2007:I2011)),AVERAGE('20250815_ETF_Options_Exhibits'!I2007:I2011),"")</f>
        <v/>
      </c>
      <c r="J2011" s="3">
        <f>IF(ISNUMBER(AVERAGE('20250815_ETF_Options_Exhibits'!J2007:J2011)),AVERAGE('20250815_ETF_Options_Exhibits'!J2007:J2011),"")</f>
        <v/>
      </c>
      <c r="K2011" s="3">
        <f>IF(ISNUMBER(AVERAGE('20250815_ETF_Options_Exhibits'!K2007:K2011)),AVERAGE('20250815_ETF_Options_Exhibits'!K2007:K2011),"")</f>
        <v/>
      </c>
      <c r="L2011" s="3">
        <f>IF(ISNUMBER(AVERAGE('20250815_ETF_Options_Exhibits'!L2007:L2011)),AVERAGE('20250815_ETF_Options_Exhibits'!L2007:L2011),"")</f>
        <v/>
      </c>
      <c r="M2011" s="3">
        <f>IF(ISNUMBER(AVERAGE('20250815_ETF_Options_Exhibits'!M2007:M2011)),AVERAGE('20250815_ETF_Options_Exhibits'!M2007:M2011),"")</f>
        <v/>
      </c>
      <c r="N2011" s="3">
        <f>IF(ISNUMBER(AVERAGE('20250815_ETF_Options_Exhibits'!N2007:N2011)),AVERAGE('20250815_ETF_Options_Exhibits'!N2007:N2011),"")</f>
        <v/>
      </c>
      <c r="O2011" s="3">
        <f>IF(ISNUMBER(AVERAGE('20250815_ETF_Options_Exhibits'!O2007:O2011)),AVERAGE('20250815_ETF_Options_Exhibits'!O2007:O2011),"")</f>
        <v/>
      </c>
      <c r="P2011" s="3">
        <f>IF(ISNUMBER(AVERAGE('20250815_ETF_Options_Exhibits'!P2007:P2011)),AVERAGE('20250815_ETF_Options_Exhibits'!P2007:P2011),"")</f>
        <v/>
      </c>
      <c r="Q2011" s="3">
        <f>IF(ISNUMBER(AVERAGE('20250815_ETF_Options_Exhibits'!Q2007:Q2011)),AVERAGE('20250815_ETF_Options_Exhibits'!Q2007:Q2011),"")</f>
        <v/>
      </c>
      <c r="R2011" s="3">
        <f>IF(ISNUMBER(AVERAGE('20250815_ETF_Options_Exhibits'!R2007:R2011)),AVERAGE('20250815_ETF_Options_Exhibits'!R2007:R2011),"")</f>
        <v/>
      </c>
      <c r="S2011" s="3">
        <f>IF(ISNUMBER(AVERAGE('20250815_ETF_Options_Exhibits'!S2007:S2011)),AVERAGE('20250815_ETF_Options_Exhibits'!S2007:S2011),"")</f>
        <v/>
      </c>
      <c r="T2011" s="3">
        <f>IF(ISNUMBER(AVERAGE('20250815_ETF_Options_Exhibits'!T2007:T2011)),AVERAGE('20250815_ETF_Options_Exhibits'!T2007:T2011),"")</f>
        <v/>
      </c>
      <c r="U2011" s="3">
        <f>IF(ISNUMBER(AVERAGE('20250815_ETF_Options_Exhibits'!U2007:U2011)),AVERAGE('20250815_ETF_Options_Exhibits'!U2007:U2011),"")</f>
        <v/>
      </c>
      <c r="V2011" s="3">
        <f>IF(ISNUMBER(AVERAGE('20250815_ETF_Options_Exhibits'!V2007:V2011)),AVERAGE('20250815_ETF_Options_Exhibits'!V2007:V2011),"")</f>
        <v/>
      </c>
      <c r="W2011" s="3">
        <f>IF(ISNUMBER(AVERAGE('20250815_ETF_Options_Exhibits'!W2007:W2011)),AVERAGE('20250815_ETF_Options_Exhibits'!W2007:W2011),"")</f>
        <v/>
      </c>
      <c r="X2011" s="3">
        <f>IF(ISNUMBER(AVERAGE('20250815_ETF_Options_Exhibits'!X2007:X2011)),AVERAGE('20250815_ETF_Options_Exhibits'!X2007:X2011),"")</f>
        <v/>
      </c>
      <c r="Y2011" s="3">
        <f>IF(ISNUMBER(AVERAGE('20250815_ETF_Options_Exhibits'!Y2007:Y2011)),AVERAGE('20250815_ETF_Options_Exhibits'!Y2007:Y2011),"")</f>
        <v/>
      </c>
      <c r="Z2011" s="3">
        <f>IF(ISNUMBER(AVERAGE('20250815_ETF_Options_Exhibits'!Z2007:Z2011)),AVERAGE('20250815_ETF_Options_Exhibits'!Z2007:Z2011),"")</f>
        <v/>
      </c>
      <c r="AA2011" s="3">
        <f>IF(ISNUMBER(AVERAGE('20250815_ETF_Options_Exhibits'!AA2007:AA2011)),AVERAGE('20250815_ETF_Options_Exhibits'!AA2007:AA2011),"")</f>
        <v/>
      </c>
    </row>
    <row r="2012">
      <c r="A2012" s="1" t="n">
        <v>44918</v>
      </c>
      <c r="B2012" s="3">
        <f>IF(ISNUMBER(AVERAGE('20250815_ETF_Options_Exhibits'!B2008:B2012)),AVERAGE('20250815_ETF_Options_Exhibits'!B2008:B2012),"")</f>
        <v/>
      </c>
      <c r="C2012" s="3">
        <f>IF(ISNUMBER(AVERAGE('20250815_ETF_Options_Exhibits'!C2008:C2012)),AVERAGE('20250815_ETF_Options_Exhibits'!C2008:C2012),"")</f>
        <v/>
      </c>
      <c r="D2012" s="3">
        <f>IF(ISNUMBER(AVERAGE('20250815_ETF_Options_Exhibits'!D2008:D2012)),AVERAGE('20250815_ETF_Options_Exhibits'!D2008:D2012),"")</f>
        <v/>
      </c>
      <c r="E2012" s="3">
        <f>IF(ISNUMBER(AVERAGE('20250815_ETF_Options_Exhibits'!E2008:E2012)),AVERAGE('20250815_ETF_Options_Exhibits'!E2008:E2012),"")</f>
        <v/>
      </c>
      <c r="F2012" s="3">
        <f>IF(ISNUMBER(AVERAGE('20250815_ETF_Options_Exhibits'!F2008:F2012)),AVERAGE('20250815_ETF_Options_Exhibits'!F2008:F2012),"")</f>
        <v/>
      </c>
      <c r="G2012" s="3">
        <f>IF(ISNUMBER(AVERAGE('20250815_ETF_Options_Exhibits'!G2008:G2012)),AVERAGE('20250815_ETF_Options_Exhibits'!G2008:G2012),"")</f>
        <v/>
      </c>
      <c r="H2012" s="3">
        <f>IF(ISNUMBER(AVERAGE('20250815_ETF_Options_Exhibits'!H2008:H2012)),AVERAGE('20250815_ETF_Options_Exhibits'!H2008:H2012),"")</f>
        <v/>
      </c>
      <c r="I2012" s="3">
        <f>IF(ISNUMBER(AVERAGE('20250815_ETF_Options_Exhibits'!I2008:I2012)),AVERAGE('20250815_ETF_Options_Exhibits'!I2008:I2012),"")</f>
        <v/>
      </c>
      <c r="J2012" s="3">
        <f>IF(ISNUMBER(AVERAGE('20250815_ETF_Options_Exhibits'!J2008:J2012)),AVERAGE('20250815_ETF_Options_Exhibits'!J2008:J2012),"")</f>
        <v/>
      </c>
      <c r="K2012" s="3">
        <f>IF(ISNUMBER(AVERAGE('20250815_ETF_Options_Exhibits'!K2008:K2012)),AVERAGE('20250815_ETF_Options_Exhibits'!K2008:K2012),"")</f>
        <v/>
      </c>
      <c r="L2012" s="3">
        <f>IF(ISNUMBER(AVERAGE('20250815_ETF_Options_Exhibits'!L2008:L2012)),AVERAGE('20250815_ETF_Options_Exhibits'!L2008:L2012),"")</f>
        <v/>
      </c>
      <c r="M2012" s="3">
        <f>IF(ISNUMBER(AVERAGE('20250815_ETF_Options_Exhibits'!M2008:M2012)),AVERAGE('20250815_ETF_Options_Exhibits'!M2008:M2012),"")</f>
        <v/>
      </c>
      <c r="N2012" s="3">
        <f>IF(ISNUMBER(AVERAGE('20250815_ETF_Options_Exhibits'!N2008:N2012)),AVERAGE('20250815_ETF_Options_Exhibits'!N2008:N2012),"")</f>
        <v/>
      </c>
      <c r="O2012" s="3">
        <f>IF(ISNUMBER(AVERAGE('20250815_ETF_Options_Exhibits'!O2008:O2012)),AVERAGE('20250815_ETF_Options_Exhibits'!O2008:O2012),"")</f>
        <v/>
      </c>
      <c r="P2012" s="3">
        <f>IF(ISNUMBER(AVERAGE('20250815_ETF_Options_Exhibits'!P2008:P2012)),AVERAGE('20250815_ETF_Options_Exhibits'!P2008:P2012),"")</f>
        <v/>
      </c>
      <c r="Q2012" s="3">
        <f>IF(ISNUMBER(AVERAGE('20250815_ETF_Options_Exhibits'!Q2008:Q2012)),AVERAGE('20250815_ETF_Options_Exhibits'!Q2008:Q2012),"")</f>
        <v/>
      </c>
      <c r="R2012" s="3">
        <f>IF(ISNUMBER(AVERAGE('20250815_ETF_Options_Exhibits'!R2008:R2012)),AVERAGE('20250815_ETF_Options_Exhibits'!R2008:R2012),"")</f>
        <v/>
      </c>
      <c r="S2012" s="3">
        <f>IF(ISNUMBER(AVERAGE('20250815_ETF_Options_Exhibits'!S2008:S2012)),AVERAGE('20250815_ETF_Options_Exhibits'!S2008:S2012),"")</f>
        <v/>
      </c>
      <c r="T2012" s="3">
        <f>IF(ISNUMBER(AVERAGE('20250815_ETF_Options_Exhibits'!T2008:T2012)),AVERAGE('20250815_ETF_Options_Exhibits'!T2008:T2012),"")</f>
        <v/>
      </c>
      <c r="U2012" s="3">
        <f>IF(ISNUMBER(AVERAGE('20250815_ETF_Options_Exhibits'!U2008:U2012)),AVERAGE('20250815_ETF_Options_Exhibits'!U2008:U2012),"")</f>
        <v/>
      </c>
      <c r="V2012" s="3">
        <f>IF(ISNUMBER(AVERAGE('20250815_ETF_Options_Exhibits'!V2008:V2012)),AVERAGE('20250815_ETF_Options_Exhibits'!V2008:V2012),"")</f>
        <v/>
      </c>
      <c r="W2012" s="3">
        <f>IF(ISNUMBER(AVERAGE('20250815_ETF_Options_Exhibits'!W2008:W2012)),AVERAGE('20250815_ETF_Options_Exhibits'!W2008:W2012),"")</f>
        <v/>
      </c>
      <c r="X2012" s="3">
        <f>IF(ISNUMBER(AVERAGE('20250815_ETF_Options_Exhibits'!X2008:X2012)),AVERAGE('20250815_ETF_Options_Exhibits'!X2008:X2012),"")</f>
        <v/>
      </c>
      <c r="Y2012" s="3">
        <f>IF(ISNUMBER(AVERAGE('20250815_ETF_Options_Exhibits'!Y2008:Y2012)),AVERAGE('20250815_ETF_Options_Exhibits'!Y2008:Y2012),"")</f>
        <v/>
      </c>
      <c r="Z2012" s="3">
        <f>IF(ISNUMBER(AVERAGE('20250815_ETF_Options_Exhibits'!Z2008:Z2012)),AVERAGE('20250815_ETF_Options_Exhibits'!Z2008:Z2012),"")</f>
        <v/>
      </c>
      <c r="AA2012" s="3">
        <f>IF(ISNUMBER(AVERAGE('20250815_ETF_Options_Exhibits'!AA2008:AA2012)),AVERAGE('20250815_ETF_Options_Exhibits'!AA2008:AA2012),"")</f>
        <v/>
      </c>
    </row>
    <row r="2013">
      <c r="A2013" s="1" t="n">
        <v>44922</v>
      </c>
      <c r="B2013" s="3">
        <f>IF(ISNUMBER(AVERAGE('20250815_ETF_Options_Exhibits'!B2009:B2013)),AVERAGE('20250815_ETF_Options_Exhibits'!B2009:B2013),"")</f>
        <v/>
      </c>
      <c r="C2013" s="3">
        <f>IF(ISNUMBER(AVERAGE('20250815_ETF_Options_Exhibits'!C2009:C2013)),AVERAGE('20250815_ETF_Options_Exhibits'!C2009:C2013),"")</f>
        <v/>
      </c>
      <c r="D2013" s="3">
        <f>IF(ISNUMBER(AVERAGE('20250815_ETF_Options_Exhibits'!D2009:D2013)),AVERAGE('20250815_ETF_Options_Exhibits'!D2009:D2013),"")</f>
        <v/>
      </c>
      <c r="E2013" s="3">
        <f>IF(ISNUMBER(AVERAGE('20250815_ETF_Options_Exhibits'!E2009:E2013)),AVERAGE('20250815_ETF_Options_Exhibits'!E2009:E2013),"")</f>
        <v/>
      </c>
      <c r="F2013" s="3">
        <f>IF(ISNUMBER(AVERAGE('20250815_ETF_Options_Exhibits'!F2009:F2013)),AVERAGE('20250815_ETF_Options_Exhibits'!F2009:F2013),"")</f>
        <v/>
      </c>
      <c r="G2013" s="3">
        <f>IF(ISNUMBER(AVERAGE('20250815_ETF_Options_Exhibits'!G2009:G2013)),AVERAGE('20250815_ETF_Options_Exhibits'!G2009:G2013),"")</f>
        <v/>
      </c>
      <c r="H2013" s="3">
        <f>IF(ISNUMBER(AVERAGE('20250815_ETF_Options_Exhibits'!H2009:H2013)),AVERAGE('20250815_ETF_Options_Exhibits'!H2009:H2013),"")</f>
        <v/>
      </c>
      <c r="I2013" s="3">
        <f>IF(ISNUMBER(AVERAGE('20250815_ETF_Options_Exhibits'!I2009:I2013)),AVERAGE('20250815_ETF_Options_Exhibits'!I2009:I2013),"")</f>
        <v/>
      </c>
      <c r="J2013" s="3">
        <f>IF(ISNUMBER(AVERAGE('20250815_ETF_Options_Exhibits'!J2009:J2013)),AVERAGE('20250815_ETF_Options_Exhibits'!J2009:J2013),"")</f>
        <v/>
      </c>
      <c r="K2013" s="3">
        <f>IF(ISNUMBER(AVERAGE('20250815_ETF_Options_Exhibits'!K2009:K2013)),AVERAGE('20250815_ETF_Options_Exhibits'!K2009:K2013),"")</f>
        <v/>
      </c>
      <c r="L2013" s="3">
        <f>IF(ISNUMBER(AVERAGE('20250815_ETF_Options_Exhibits'!L2009:L2013)),AVERAGE('20250815_ETF_Options_Exhibits'!L2009:L2013),"")</f>
        <v/>
      </c>
      <c r="M2013" s="3">
        <f>IF(ISNUMBER(AVERAGE('20250815_ETF_Options_Exhibits'!M2009:M2013)),AVERAGE('20250815_ETF_Options_Exhibits'!M2009:M2013),"")</f>
        <v/>
      </c>
      <c r="N2013" s="3">
        <f>IF(ISNUMBER(AVERAGE('20250815_ETF_Options_Exhibits'!N2009:N2013)),AVERAGE('20250815_ETF_Options_Exhibits'!N2009:N2013),"")</f>
        <v/>
      </c>
      <c r="O2013" s="3">
        <f>IF(ISNUMBER(AVERAGE('20250815_ETF_Options_Exhibits'!O2009:O2013)),AVERAGE('20250815_ETF_Options_Exhibits'!O2009:O2013),"")</f>
        <v/>
      </c>
      <c r="P2013" s="3">
        <f>IF(ISNUMBER(AVERAGE('20250815_ETF_Options_Exhibits'!P2009:P2013)),AVERAGE('20250815_ETF_Options_Exhibits'!P2009:P2013),"")</f>
        <v/>
      </c>
      <c r="Q2013" s="3">
        <f>IF(ISNUMBER(AVERAGE('20250815_ETF_Options_Exhibits'!Q2009:Q2013)),AVERAGE('20250815_ETF_Options_Exhibits'!Q2009:Q2013),"")</f>
        <v/>
      </c>
      <c r="R2013" s="3">
        <f>IF(ISNUMBER(AVERAGE('20250815_ETF_Options_Exhibits'!R2009:R2013)),AVERAGE('20250815_ETF_Options_Exhibits'!R2009:R2013),"")</f>
        <v/>
      </c>
      <c r="S2013" s="3">
        <f>IF(ISNUMBER(AVERAGE('20250815_ETF_Options_Exhibits'!S2009:S2013)),AVERAGE('20250815_ETF_Options_Exhibits'!S2009:S2013),"")</f>
        <v/>
      </c>
      <c r="T2013" s="3">
        <f>IF(ISNUMBER(AVERAGE('20250815_ETF_Options_Exhibits'!T2009:T2013)),AVERAGE('20250815_ETF_Options_Exhibits'!T2009:T2013),"")</f>
        <v/>
      </c>
      <c r="U2013" s="3">
        <f>IF(ISNUMBER(AVERAGE('20250815_ETF_Options_Exhibits'!U2009:U2013)),AVERAGE('20250815_ETF_Options_Exhibits'!U2009:U2013),"")</f>
        <v/>
      </c>
      <c r="V2013" s="3">
        <f>IF(ISNUMBER(AVERAGE('20250815_ETF_Options_Exhibits'!V2009:V2013)),AVERAGE('20250815_ETF_Options_Exhibits'!V2009:V2013),"")</f>
        <v/>
      </c>
      <c r="W2013" s="3">
        <f>IF(ISNUMBER(AVERAGE('20250815_ETF_Options_Exhibits'!W2009:W2013)),AVERAGE('20250815_ETF_Options_Exhibits'!W2009:W2013),"")</f>
        <v/>
      </c>
      <c r="X2013" s="3">
        <f>IF(ISNUMBER(AVERAGE('20250815_ETF_Options_Exhibits'!X2009:X2013)),AVERAGE('20250815_ETF_Options_Exhibits'!X2009:X2013),"")</f>
        <v/>
      </c>
      <c r="Y2013" s="3">
        <f>IF(ISNUMBER(AVERAGE('20250815_ETF_Options_Exhibits'!Y2009:Y2013)),AVERAGE('20250815_ETF_Options_Exhibits'!Y2009:Y2013),"")</f>
        <v/>
      </c>
      <c r="Z2013" s="3">
        <f>IF(ISNUMBER(AVERAGE('20250815_ETF_Options_Exhibits'!Z2009:Z2013)),AVERAGE('20250815_ETF_Options_Exhibits'!Z2009:Z2013),"")</f>
        <v/>
      </c>
      <c r="AA2013" s="3">
        <f>IF(ISNUMBER(AVERAGE('20250815_ETF_Options_Exhibits'!AA2009:AA2013)),AVERAGE('20250815_ETF_Options_Exhibits'!AA2009:AA2013),"")</f>
        <v/>
      </c>
    </row>
    <row r="2014">
      <c r="A2014" s="1" t="n">
        <v>44923</v>
      </c>
      <c r="B2014" s="3">
        <f>IF(ISNUMBER(AVERAGE('20250815_ETF_Options_Exhibits'!B2010:B2014)),AVERAGE('20250815_ETF_Options_Exhibits'!B2010:B2014),"")</f>
        <v/>
      </c>
      <c r="C2014" s="3">
        <f>IF(ISNUMBER(AVERAGE('20250815_ETF_Options_Exhibits'!C2010:C2014)),AVERAGE('20250815_ETF_Options_Exhibits'!C2010:C2014),"")</f>
        <v/>
      </c>
      <c r="D2014" s="3">
        <f>IF(ISNUMBER(AVERAGE('20250815_ETF_Options_Exhibits'!D2010:D2014)),AVERAGE('20250815_ETF_Options_Exhibits'!D2010:D2014),"")</f>
        <v/>
      </c>
      <c r="E2014" s="3">
        <f>IF(ISNUMBER(AVERAGE('20250815_ETF_Options_Exhibits'!E2010:E2014)),AVERAGE('20250815_ETF_Options_Exhibits'!E2010:E2014),"")</f>
        <v/>
      </c>
      <c r="F2014" s="3">
        <f>IF(ISNUMBER(AVERAGE('20250815_ETF_Options_Exhibits'!F2010:F2014)),AVERAGE('20250815_ETF_Options_Exhibits'!F2010:F2014),"")</f>
        <v/>
      </c>
      <c r="G2014" s="3">
        <f>IF(ISNUMBER(AVERAGE('20250815_ETF_Options_Exhibits'!G2010:G2014)),AVERAGE('20250815_ETF_Options_Exhibits'!G2010:G2014),"")</f>
        <v/>
      </c>
      <c r="H2014" s="3">
        <f>IF(ISNUMBER(AVERAGE('20250815_ETF_Options_Exhibits'!H2010:H2014)),AVERAGE('20250815_ETF_Options_Exhibits'!H2010:H2014),"")</f>
        <v/>
      </c>
      <c r="I2014" s="3">
        <f>IF(ISNUMBER(AVERAGE('20250815_ETF_Options_Exhibits'!I2010:I2014)),AVERAGE('20250815_ETF_Options_Exhibits'!I2010:I2014),"")</f>
        <v/>
      </c>
      <c r="J2014" s="3">
        <f>IF(ISNUMBER(AVERAGE('20250815_ETF_Options_Exhibits'!J2010:J2014)),AVERAGE('20250815_ETF_Options_Exhibits'!J2010:J2014),"")</f>
        <v/>
      </c>
      <c r="K2014" s="3">
        <f>IF(ISNUMBER(AVERAGE('20250815_ETF_Options_Exhibits'!K2010:K2014)),AVERAGE('20250815_ETF_Options_Exhibits'!K2010:K2014),"")</f>
        <v/>
      </c>
      <c r="L2014" s="3">
        <f>IF(ISNUMBER(AVERAGE('20250815_ETF_Options_Exhibits'!L2010:L2014)),AVERAGE('20250815_ETF_Options_Exhibits'!L2010:L2014),"")</f>
        <v/>
      </c>
      <c r="M2014" s="3">
        <f>IF(ISNUMBER(AVERAGE('20250815_ETF_Options_Exhibits'!M2010:M2014)),AVERAGE('20250815_ETF_Options_Exhibits'!M2010:M2014),"")</f>
        <v/>
      </c>
      <c r="N2014" s="3">
        <f>IF(ISNUMBER(AVERAGE('20250815_ETF_Options_Exhibits'!N2010:N2014)),AVERAGE('20250815_ETF_Options_Exhibits'!N2010:N2014),"")</f>
        <v/>
      </c>
      <c r="O2014" s="3">
        <f>IF(ISNUMBER(AVERAGE('20250815_ETF_Options_Exhibits'!O2010:O2014)),AVERAGE('20250815_ETF_Options_Exhibits'!O2010:O2014),"")</f>
        <v/>
      </c>
      <c r="P2014" s="3">
        <f>IF(ISNUMBER(AVERAGE('20250815_ETF_Options_Exhibits'!P2010:P2014)),AVERAGE('20250815_ETF_Options_Exhibits'!P2010:P2014),"")</f>
        <v/>
      </c>
      <c r="Q2014" s="3">
        <f>IF(ISNUMBER(AVERAGE('20250815_ETF_Options_Exhibits'!Q2010:Q2014)),AVERAGE('20250815_ETF_Options_Exhibits'!Q2010:Q2014),"")</f>
        <v/>
      </c>
      <c r="R2014" s="3">
        <f>IF(ISNUMBER(AVERAGE('20250815_ETF_Options_Exhibits'!R2010:R2014)),AVERAGE('20250815_ETF_Options_Exhibits'!R2010:R2014),"")</f>
        <v/>
      </c>
      <c r="S2014" s="3">
        <f>IF(ISNUMBER(AVERAGE('20250815_ETF_Options_Exhibits'!S2010:S2014)),AVERAGE('20250815_ETF_Options_Exhibits'!S2010:S2014),"")</f>
        <v/>
      </c>
      <c r="T2014" s="3">
        <f>IF(ISNUMBER(AVERAGE('20250815_ETF_Options_Exhibits'!T2010:T2014)),AVERAGE('20250815_ETF_Options_Exhibits'!T2010:T2014),"")</f>
        <v/>
      </c>
      <c r="U2014" s="3">
        <f>IF(ISNUMBER(AVERAGE('20250815_ETF_Options_Exhibits'!U2010:U2014)),AVERAGE('20250815_ETF_Options_Exhibits'!U2010:U2014),"")</f>
        <v/>
      </c>
      <c r="V2014" s="3">
        <f>IF(ISNUMBER(AVERAGE('20250815_ETF_Options_Exhibits'!V2010:V2014)),AVERAGE('20250815_ETF_Options_Exhibits'!V2010:V2014),"")</f>
        <v/>
      </c>
      <c r="W2014" s="3">
        <f>IF(ISNUMBER(AVERAGE('20250815_ETF_Options_Exhibits'!W2010:W2014)),AVERAGE('20250815_ETF_Options_Exhibits'!W2010:W2014),"")</f>
        <v/>
      </c>
      <c r="X2014" s="3">
        <f>IF(ISNUMBER(AVERAGE('20250815_ETF_Options_Exhibits'!X2010:X2014)),AVERAGE('20250815_ETF_Options_Exhibits'!X2010:X2014),"")</f>
        <v/>
      </c>
      <c r="Y2014" s="3">
        <f>IF(ISNUMBER(AVERAGE('20250815_ETF_Options_Exhibits'!Y2010:Y2014)),AVERAGE('20250815_ETF_Options_Exhibits'!Y2010:Y2014),"")</f>
        <v/>
      </c>
      <c r="Z2014" s="3">
        <f>IF(ISNUMBER(AVERAGE('20250815_ETF_Options_Exhibits'!Z2010:Z2014)),AVERAGE('20250815_ETF_Options_Exhibits'!Z2010:Z2014),"")</f>
        <v/>
      </c>
      <c r="AA2014" s="3">
        <f>IF(ISNUMBER(AVERAGE('20250815_ETF_Options_Exhibits'!AA2010:AA2014)),AVERAGE('20250815_ETF_Options_Exhibits'!AA2010:AA2014),"")</f>
        <v/>
      </c>
    </row>
    <row r="2015">
      <c r="A2015" s="1" t="n">
        <v>44924</v>
      </c>
      <c r="B2015" s="3">
        <f>IF(ISNUMBER(AVERAGE('20250815_ETF_Options_Exhibits'!B2011:B2015)),AVERAGE('20250815_ETF_Options_Exhibits'!B2011:B2015),"")</f>
        <v/>
      </c>
      <c r="C2015" s="3">
        <f>IF(ISNUMBER(AVERAGE('20250815_ETF_Options_Exhibits'!C2011:C2015)),AVERAGE('20250815_ETF_Options_Exhibits'!C2011:C2015),"")</f>
        <v/>
      </c>
      <c r="D2015" s="3">
        <f>IF(ISNUMBER(AVERAGE('20250815_ETF_Options_Exhibits'!D2011:D2015)),AVERAGE('20250815_ETF_Options_Exhibits'!D2011:D2015),"")</f>
        <v/>
      </c>
      <c r="E2015" s="3">
        <f>IF(ISNUMBER(AVERAGE('20250815_ETF_Options_Exhibits'!E2011:E2015)),AVERAGE('20250815_ETF_Options_Exhibits'!E2011:E2015),"")</f>
        <v/>
      </c>
      <c r="F2015" s="3">
        <f>IF(ISNUMBER(AVERAGE('20250815_ETF_Options_Exhibits'!F2011:F2015)),AVERAGE('20250815_ETF_Options_Exhibits'!F2011:F2015),"")</f>
        <v/>
      </c>
      <c r="G2015" s="3">
        <f>IF(ISNUMBER(AVERAGE('20250815_ETF_Options_Exhibits'!G2011:G2015)),AVERAGE('20250815_ETF_Options_Exhibits'!G2011:G2015),"")</f>
        <v/>
      </c>
      <c r="H2015" s="3">
        <f>IF(ISNUMBER(AVERAGE('20250815_ETF_Options_Exhibits'!H2011:H2015)),AVERAGE('20250815_ETF_Options_Exhibits'!H2011:H2015),"")</f>
        <v/>
      </c>
      <c r="I2015" s="3">
        <f>IF(ISNUMBER(AVERAGE('20250815_ETF_Options_Exhibits'!I2011:I2015)),AVERAGE('20250815_ETF_Options_Exhibits'!I2011:I2015),"")</f>
        <v/>
      </c>
      <c r="J2015" s="3">
        <f>IF(ISNUMBER(AVERAGE('20250815_ETF_Options_Exhibits'!J2011:J2015)),AVERAGE('20250815_ETF_Options_Exhibits'!J2011:J2015),"")</f>
        <v/>
      </c>
      <c r="K2015" s="3">
        <f>IF(ISNUMBER(AVERAGE('20250815_ETF_Options_Exhibits'!K2011:K2015)),AVERAGE('20250815_ETF_Options_Exhibits'!K2011:K2015),"")</f>
        <v/>
      </c>
      <c r="L2015" s="3">
        <f>IF(ISNUMBER(AVERAGE('20250815_ETF_Options_Exhibits'!L2011:L2015)),AVERAGE('20250815_ETF_Options_Exhibits'!L2011:L2015),"")</f>
        <v/>
      </c>
      <c r="M2015" s="3">
        <f>IF(ISNUMBER(AVERAGE('20250815_ETF_Options_Exhibits'!M2011:M2015)),AVERAGE('20250815_ETF_Options_Exhibits'!M2011:M2015),"")</f>
        <v/>
      </c>
      <c r="N2015" s="3">
        <f>IF(ISNUMBER(AVERAGE('20250815_ETF_Options_Exhibits'!N2011:N2015)),AVERAGE('20250815_ETF_Options_Exhibits'!N2011:N2015),"")</f>
        <v/>
      </c>
      <c r="O2015" s="3">
        <f>IF(ISNUMBER(AVERAGE('20250815_ETF_Options_Exhibits'!O2011:O2015)),AVERAGE('20250815_ETF_Options_Exhibits'!O2011:O2015),"")</f>
        <v/>
      </c>
      <c r="P2015" s="3">
        <f>IF(ISNUMBER(AVERAGE('20250815_ETF_Options_Exhibits'!P2011:P2015)),AVERAGE('20250815_ETF_Options_Exhibits'!P2011:P2015),"")</f>
        <v/>
      </c>
      <c r="Q2015" s="3">
        <f>IF(ISNUMBER(AVERAGE('20250815_ETF_Options_Exhibits'!Q2011:Q2015)),AVERAGE('20250815_ETF_Options_Exhibits'!Q2011:Q2015),"")</f>
        <v/>
      </c>
      <c r="R2015" s="3">
        <f>IF(ISNUMBER(AVERAGE('20250815_ETF_Options_Exhibits'!R2011:R2015)),AVERAGE('20250815_ETF_Options_Exhibits'!R2011:R2015),"")</f>
        <v/>
      </c>
      <c r="S2015" s="3">
        <f>IF(ISNUMBER(AVERAGE('20250815_ETF_Options_Exhibits'!S2011:S2015)),AVERAGE('20250815_ETF_Options_Exhibits'!S2011:S2015),"")</f>
        <v/>
      </c>
      <c r="T2015" s="3">
        <f>IF(ISNUMBER(AVERAGE('20250815_ETF_Options_Exhibits'!T2011:T2015)),AVERAGE('20250815_ETF_Options_Exhibits'!T2011:T2015),"")</f>
        <v/>
      </c>
      <c r="U2015" s="3">
        <f>IF(ISNUMBER(AVERAGE('20250815_ETF_Options_Exhibits'!U2011:U2015)),AVERAGE('20250815_ETF_Options_Exhibits'!U2011:U2015),"")</f>
        <v/>
      </c>
      <c r="V2015" s="3">
        <f>IF(ISNUMBER(AVERAGE('20250815_ETF_Options_Exhibits'!V2011:V2015)),AVERAGE('20250815_ETF_Options_Exhibits'!V2011:V2015),"")</f>
        <v/>
      </c>
      <c r="W2015" s="3">
        <f>IF(ISNUMBER(AVERAGE('20250815_ETF_Options_Exhibits'!W2011:W2015)),AVERAGE('20250815_ETF_Options_Exhibits'!W2011:W2015),"")</f>
        <v/>
      </c>
      <c r="X2015" s="3">
        <f>IF(ISNUMBER(AVERAGE('20250815_ETF_Options_Exhibits'!X2011:X2015)),AVERAGE('20250815_ETF_Options_Exhibits'!X2011:X2015),"")</f>
        <v/>
      </c>
      <c r="Y2015" s="3">
        <f>IF(ISNUMBER(AVERAGE('20250815_ETF_Options_Exhibits'!Y2011:Y2015)),AVERAGE('20250815_ETF_Options_Exhibits'!Y2011:Y2015),"")</f>
        <v/>
      </c>
      <c r="Z2015" s="3">
        <f>IF(ISNUMBER(AVERAGE('20250815_ETF_Options_Exhibits'!Z2011:Z2015)),AVERAGE('20250815_ETF_Options_Exhibits'!Z2011:Z2015),"")</f>
        <v/>
      </c>
      <c r="AA2015" s="3">
        <f>IF(ISNUMBER(AVERAGE('20250815_ETF_Options_Exhibits'!AA2011:AA2015)),AVERAGE('20250815_ETF_Options_Exhibits'!AA2011:AA2015),"")</f>
        <v/>
      </c>
    </row>
    <row r="2016">
      <c r="A2016" s="1" t="n">
        <v>44925</v>
      </c>
      <c r="B2016" s="3">
        <f>IF(ISNUMBER(AVERAGE('20250815_ETF_Options_Exhibits'!B2012:B2016)),AVERAGE('20250815_ETF_Options_Exhibits'!B2012:B2016),"")</f>
        <v/>
      </c>
      <c r="C2016" s="3">
        <f>IF(ISNUMBER(AVERAGE('20250815_ETF_Options_Exhibits'!C2012:C2016)),AVERAGE('20250815_ETF_Options_Exhibits'!C2012:C2016),"")</f>
        <v/>
      </c>
      <c r="D2016" s="3">
        <f>IF(ISNUMBER(AVERAGE('20250815_ETF_Options_Exhibits'!D2012:D2016)),AVERAGE('20250815_ETF_Options_Exhibits'!D2012:D2016),"")</f>
        <v/>
      </c>
      <c r="E2016" s="3">
        <f>IF(ISNUMBER(AVERAGE('20250815_ETF_Options_Exhibits'!E2012:E2016)),AVERAGE('20250815_ETF_Options_Exhibits'!E2012:E2016),"")</f>
        <v/>
      </c>
      <c r="F2016" s="3">
        <f>IF(ISNUMBER(AVERAGE('20250815_ETF_Options_Exhibits'!F2012:F2016)),AVERAGE('20250815_ETF_Options_Exhibits'!F2012:F2016),"")</f>
        <v/>
      </c>
      <c r="G2016" s="3">
        <f>IF(ISNUMBER(AVERAGE('20250815_ETF_Options_Exhibits'!G2012:G2016)),AVERAGE('20250815_ETF_Options_Exhibits'!G2012:G2016),"")</f>
        <v/>
      </c>
      <c r="H2016" s="3">
        <f>IF(ISNUMBER(AVERAGE('20250815_ETF_Options_Exhibits'!H2012:H2016)),AVERAGE('20250815_ETF_Options_Exhibits'!H2012:H2016),"")</f>
        <v/>
      </c>
      <c r="I2016" s="3">
        <f>IF(ISNUMBER(AVERAGE('20250815_ETF_Options_Exhibits'!I2012:I2016)),AVERAGE('20250815_ETF_Options_Exhibits'!I2012:I2016),"")</f>
        <v/>
      </c>
      <c r="J2016" s="3">
        <f>IF(ISNUMBER(AVERAGE('20250815_ETF_Options_Exhibits'!J2012:J2016)),AVERAGE('20250815_ETF_Options_Exhibits'!J2012:J2016),"")</f>
        <v/>
      </c>
      <c r="K2016" s="3">
        <f>IF(ISNUMBER(AVERAGE('20250815_ETF_Options_Exhibits'!K2012:K2016)),AVERAGE('20250815_ETF_Options_Exhibits'!K2012:K2016),"")</f>
        <v/>
      </c>
      <c r="L2016" s="3">
        <f>IF(ISNUMBER(AVERAGE('20250815_ETF_Options_Exhibits'!L2012:L2016)),AVERAGE('20250815_ETF_Options_Exhibits'!L2012:L2016),"")</f>
        <v/>
      </c>
      <c r="M2016" s="3">
        <f>IF(ISNUMBER(AVERAGE('20250815_ETF_Options_Exhibits'!M2012:M2016)),AVERAGE('20250815_ETF_Options_Exhibits'!M2012:M2016),"")</f>
        <v/>
      </c>
      <c r="N2016" s="3">
        <f>IF(ISNUMBER(AVERAGE('20250815_ETF_Options_Exhibits'!N2012:N2016)),AVERAGE('20250815_ETF_Options_Exhibits'!N2012:N2016),"")</f>
        <v/>
      </c>
      <c r="O2016" s="3">
        <f>IF(ISNUMBER(AVERAGE('20250815_ETF_Options_Exhibits'!O2012:O2016)),AVERAGE('20250815_ETF_Options_Exhibits'!O2012:O2016),"")</f>
        <v/>
      </c>
      <c r="P2016" s="3">
        <f>IF(ISNUMBER(AVERAGE('20250815_ETF_Options_Exhibits'!P2012:P2016)),AVERAGE('20250815_ETF_Options_Exhibits'!P2012:P2016),"")</f>
        <v/>
      </c>
      <c r="Q2016" s="3">
        <f>IF(ISNUMBER(AVERAGE('20250815_ETF_Options_Exhibits'!Q2012:Q2016)),AVERAGE('20250815_ETF_Options_Exhibits'!Q2012:Q2016),"")</f>
        <v/>
      </c>
      <c r="R2016" s="3">
        <f>IF(ISNUMBER(AVERAGE('20250815_ETF_Options_Exhibits'!R2012:R2016)),AVERAGE('20250815_ETF_Options_Exhibits'!R2012:R2016),"")</f>
        <v/>
      </c>
      <c r="S2016" s="3">
        <f>IF(ISNUMBER(AVERAGE('20250815_ETF_Options_Exhibits'!S2012:S2016)),AVERAGE('20250815_ETF_Options_Exhibits'!S2012:S2016),"")</f>
        <v/>
      </c>
      <c r="T2016" s="3">
        <f>IF(ISNUMBER(AVERAGE('20250815_ETF_Options_Exhibits'!T2012:T2016)),AVERAGE('20250815_ETF_Options_Exhibits'!T2012:T2016),"")</f>
        <v/>
      </c>
      <c r="U2016" s="3">
        <f>IF(ISNUMBER(AVERAGE('20250815_ETF_Options_Exhibits'!U2012:U2016)),AVERAGE('20250815_ETF_Options_Exhibits'!U2012:U2016),"")</f>
        <v/>
      </c>
      <c r="V2016" s="3">
        <f>IF(ISNUMBER(AVERAGE('20250815_ETF_Options_Exhibits'!V2012:V2016)),AVERAGE('20250815_ETF_Options_Exhibits'!V2012:V2016),"")</f>
        <v/>
      </c>
      <c r="W2016" s="3">
        <f>IF(ISNUMBER(AVERAGE('20250815_ETF_Options_Exhibits'!W2012:W2016)),AVERAGE('20250815_ETF_Options_Exhibits'!W2012:W2016),"")</f>
        <v/>
      </c>
      <c r="X2016" s="3">
        <f>IF(ISNUMBER(AVERAGE('20250815_ETF_Options_Exhibits'!X2012:X2016)),AVERAGE('20250815_ETF_Options_Exhibits'!X2012:X2016),"")</f>
        <v/>
      </c>
      <c r="Y2016" s="3">
        <f>IF(ISNUMBER(AVERAGE('20250815_ETF_Options_Exhibits'!Y2012:Y2016)),AVERAGE('20250815_ETF_Options_Exhibits'!Y2012:Y2016),"")</f>
        <v/>
      </c>
      <c r="Z2016" s="3">
        <f>IF(ISNUMBER(AVERAGE('20250815_ETF_Options_Exhibits'!Z2012:Z2016)),AVERAGE('20250815_ETF_Options_Exhibits'!Z2012:Z2016),"")</f>
        <v/>
      </c>
      <c r="AA2016" s="3">
        <f>IF(ISNUMBER(AVERAGE('20250815_ETF_Options_Exhibits'!AA2012:AA2016)),AVERAGE('20250815_ETF_Options_Exhibits'!AA2012:AA2016),"")</f>
        <v/>
      </c>
    </row>
    <row r="2017">
      <c r="A2017" s="1" t="n">
        <v>44929</v>
      </c>
      <c r="B2017" s="3">
        <f>IF(ISNUMBER(AVERAGE('20250815_ETF_Options_Exhibits'!B2013:B2017)),AVERAGE('20250815_ETF_Options_Exhibits'!B2013:B2017),"")</f>
        <v/>
      </c>
      <c r="C2017" s="3">
        <f>IF(ISNUMBER(AVERAGE('20250815_ETF_Options_Exhibits'!C2013:C2017)),AVERAGE('20250815_ETF_Options_Exhibits'!C2013:C2017),"")</f>
        <v/>
      </c>
      <c r="D2017" s="3">
        <f>IF(ISNUMBER(AVERAGE('20250815_ETF_Options_Exhibits'!D2013:D2017)),AVERAGE('20250815_ETF_Options_Exhibits'!D2013:D2017),"")</f>
        <v/>
      </c>
      <c r="E2017" s="3">
        <f>IF(ISNUMBER(AVERAGE('20250815_ETF_Options_Exhibits'!E2013:E2017)),AVERAGE('20250815_ETF_Options_Exhibits'!E2013:E2017),"")</f>
        <v/>
      </c>
      <c r="F2017" s="3">
        <f>IF(ISNUMBER(AVERAGE('20250815_ETF_Options_Exhibits'!F2013:F2017)),AVERAGE('20250815_ETF_Options_Exhibits'!F2013:F2017),"")</f>
        <v/>
      </c>
      <c r="G2017" s="3">
        <f>IF(ISNUMBER(AVERAGE('20250815_ETF_Options_Exhibits'!G2013:G2017)),AVERAGE('20250815_ETF_Options_Exhibits'!G2013:G2017),"")</f>
        <v/>
      </c>
      <c r="H2017" s="3">
        <f>IF(ISNUMBER(AVERAGE('20250815_ETF_Options_Exhibits'!H2013:H2017)),AVERAGE('20250815_ETF_Options_Exhibits'!H2013:H2017),"")</f>
        <v/>
      </c>
      <c r="I2017" s="3">
        <f>IF(ISNUMBER(AVERAGE('20250815_ETF_Options_Exhibits'!I2013:I2017)),AVERAGE('20250815_ETF_Options_Exhibits'!I2013:I2017),"")</f>
        <v/>
      </c>
      <c r="J2017" s="3">
        <f>IF(ISNUMBER(AVERAGE('20250815_ETF_Options_Exhibits'!J2013:J2017)),AVERAGE('20250815_ETF_Options_Exhibits'!J2013:J2017),"")</f>
        <v/>
      </c>
      <c r="K2017" s="3">
        <f>IF(ISNUMBER(AVERAGE('20250815_ETF_Options_Exhibits'!K2013:K2017)),AVERAGE('20250815_ETF_Options_Exhibits'!K2013:K2017),"")</f>
        <v/>
      </c>
      <c r="L2017" s="3">
        <f>IF(ISNUMBER(AVERAGE('20250815_ETF_Options_Exhibits'!L2013:L2017)),AVERAGE('20250815_ETF_Options_Exhibits'!L2013:L2017),"")</f>
        <v/>
      </c>
      <c r="M2017" s="3">
        <f>IF(ISNUMBER(AVERAGE('20250815_ETF_Options_Exhibits'!M2013:M2017)),AVERAGE('20250815_ETF_Options_Exhibits'!M2013:M2017),"")</f>
        <v/>
      </c>
      <c r="N2017" s="3">
        <f>IF(ISNUMBER(AVERAGE('20250815_ETF_Options_Exhibits'!N2013:N2017)),AVERAGE('20250815_ETF_Options_Exhibits'!N2013:N2017),"")</f>
        <v/>
      </c>
      <c r="O2017" s="3">
        <f>IF(ISNUMBER(AVERAGE('20250815_ETF_Options_Exhibits'!O2013:O2017)),AVERAGE('20250815_ETF_Options_Exhibits'!O2013:O2017),"")</f>
        <v/>
      </c>
      <c r="P2017" s="3">
        <f>IF(ISNUMBER(AVERAGE('20250815_ETF_Options_Exhibits'!P2013:P2017)),AVERAGE('20250815_ETF_Options_Exhibits'!P2013:P2017),"")</f>
        <v/>
      </c>
      <c r="Q2017" s="3">
        <f>IF(ISNUMBER(AVERAGE('20250815_ETF_Options_Exhibits'!Q2013:Q2017)),AVERAGE('20250815_ETF_Options_Exhibits'!Q2013:Q2017),"")</f>
        <v/>
      </c>
      <c r="R2017" s="3">
        <f>IF(ISNUMBER(AVERAGE('20250815_ETF_Options_Exhibits'!R2013:R2017)),AVERAGE('20250815_ETF_Options_Exhibits'!R2013:R2017),"")</f>
        <v/>
      </c>
      <c r="S2017" s="3">
        <f>IF(ISNUMBER(AVERAGE('20250815_ETF_Options_Exhibits'!S2013:S2017)),AVERAGE('20250815_ETF_Options_Exhibits'!S2013:S2017),"")</f>
        <v/>
      </c>
      <c r="T2017" s="3">
        <f>IF(ISNUMBER(AVERAGE('20250815_ETF_Options_Exhibits'!T2013:T2017)),AVERAGE('20250815_ETF_Options_Exhibits'!T2013:T2017),"")</f>
        <v/>
      </c>
      <c r="U2017" s="3">
        <f>IF(ISNUMBER(AVERAGE('20250815_ETF_Options_Exhibits'!U2013:U2017)),AVERAGE('20250815_ETF_Options_Exhibits'!U2013:U2017),"")</f>
        <v/>
      </c>
      <c r="V2017" s="3">
        <f>IF(ISNUMBER(AVERAGE('20250815_ETF_Options_Exhibits'!V2013:V2017)),AVERAGE('20250815_ETF_Options_Exhibits'!V2013:V2017),"")</f>
        <v/>
      </c>
      <c r="W2017" s="3">
        <f>IF(ISNUMBER(AVERAGE('20250815_ETF_Options_Exhibits'!W2013:W2017)),AVERAGE('20250815_ETF_Options_Exhibits'!W2013:W2017),"")</f>
        <v/>
      </c>
      <c r="X2017" s="3">
        <f>IF(ISNUMBER(AVERAGE('20250815_ETF_Options_Exhibits'!X2013:X2017)),AVERAGE('20250815_ETF_Options_Exhibits'!X2013:X2017),"")</f>
        <v/>
      </c>
      <c r="Y2017" s="3">
        <f>IF(ISNUMBER(AVERAGE('20250815_ETF_Options_Exhibits'!Y2013:Y2017)),AVERAGE('20250815_ETF_Options_Exhibits'!Y2013:Y2017),"")</f>
        <v/>
      </c>
      <c r="Z2017" s="3">
        <f>IF(ISNUMBER(AVERAGE('20250815_ETF_Options_Exhibits'!Z2013:Z2017)),AVERAGE('20250815_ETF_Options_Exhibits'!Z2013:Z2017),"")</f>
        <v/>
      </c>
      <c r="AA2017" s="3">
        <f>IF(ISNUMBER(AVERAGE('20250815_ETF_Options_Exhibits'!AA2013:AA2017)),AVERAGE('20250815_ETF_Options_Exhibits'!AA2013:AA2017),"")</f>
        <v/>
      </c>
    </row>
    <row r="2018">
      <c r="A2018" s="1" t="n">
        <v>44930</v>
      </c>
      <c r="B2018" s="3">
        <f>IF(ISNUMBER(AVERAGE('20250815_ETF_Options_Exhibits'!B2014:B2018)),AVERAGE('20250815_ETF_Options_Exhibits'!B2014:B2018),"")</f>
        <v/>
      </c>
      <c r="C2018" s="3">
        <f>IF(ISNUMBER(AVERAGE('20250815_ETF_Options_Exhibits'!C2014:C2018)),AVERAGE('20250815_ETF_Options_Exhibits'!C2014:C2018),"")</f>
        <v/>
      </c>
      <c r="D2018" s="3">
        <f>IF(ISNUMBER(AVERAGE('20250815_ETF_Options_Exhibits'!D2014:D2018)),AVERAGE('20250815_ETF_Options_Exhibits'!D2014:D2018),"")</f>
        <v/>
      </c>
      <c r="E2018" s="3">
        <f>IF(ISNUMBER(AVERAGE('20250815_ETF_Options_Exhibits'!E2014:E2018)),AVERAGE('20250815_ETF_Options_Exhibits'!E2014:E2018),"")</f>
        <v/>
      </c>
      <c r="F2018" s="3">
        <f>IF(ISNUMBER(AVERAGE('20250815_ETF_Options_Exhibits'!F2014:F2018)),AVERAGE('20250815_ETF_Options_Exhibits'!F2014:F2018),"")</f>
        <v/>
      </c>
      <c r="G2018" s="3">
        <f>IF(ISNUMBER(AVERAGE('20250815_ETF_Options_Exhibits'!G2014:G2018)),AVERAGE('20250815_ETF_Options_Exhibits'!G2014:G2018),"")</f>
        <v/>
      </c>
      <c r="H2018" s="3">
        <f>IF(ISNUMBER(AVERAGE('20250815_ETF_Options_Exhibits'!H2014:H2018)),AVERAGE('20250815_ETF_Options_Exhibits'!H2014:H2018),"")</f>
        <v/>
      </c>
      <c r="I2018" s="3">
        <f>IF(ISNUMBER(AVERAGE('20250815_ETF_Options_Exhibits'!I2014:I2018)),AVERAGE('20250815_ETF_Options_Exhibits'!I2014:I2018),"")</f>
        <v/>
      </c>
      <c r="J2018" s="3">
        <f>IF(ISNUMBER(AVERAGE('20250815_ETF_Options_Exhibits'!J2014:J2018)),AVERAGE('20250815_ETF_Options_Exhibits'!J2014:J2018),"")</f>
        <v/>
      </c>
      <c r="K2018" s="3">
        <f>IF(ISNUMBER(AVERAGE('20250815_ETF_Options_Exhibits'!K2014:K2018)),AVERAGE('20250815_ETF_Options_Exhibits'!K2014:K2018),"")</f>
        <v/>
      </c>
      <c r="L2018" s="3">
        <f>IF(ISNUMBER(AVERAGE('20250815_ETF_Options_Exhibits'!L2014:L2018)),AVERAGE('20250815_ETF_Options_Exhibits'!L2014:L2018),"")</f>
        <v/>
      </c>
      <c r="M2018" s="3">
        <f>IF(ISNUMBER(AVERAGE('20250815_ETF_Options_Exhibits'!M2014:M2018)),AVERAGE('20250815_ETF_Options_Exhibits'!M2014:M2018),"")</f>
        <v/>
      </c>
      <c r="N2018" s="3">
        <f>IF(ISNUMBER(AVERAGE('20250815_ETF_Options_Exhibits'!N2014:N2018)),AVERAGE('20250815_ETF_Options_Exhibits'!N2014:N2018),"")</f>
        <v/>
      </c>
      <c r="O2018" s="3">
        <f>IF(ISNUMBER(AVERAGE('20250815_ETF_Options_Exhibits'!O2014:O2018)),AVERAGE('20250815_ETF_Options_Exhibits'!O2014:O2018),"")</f>
        <v/>
      </c>
      <c r="P2018" s="3">
        <f>IF(ISNUMBER(AVERAGE('20250815_ETF_Options_Exhibits'!P2014:P2018)),AVERAGE('20250815_ETF_Options_Exhibits'!P2014:P2018),"")</f>
        <v/>
      </c>
      <c r="Q2018" s="3">
        <f>IF(ISNUMBER(AVERAGE('20250815_ETF_Options_Exhibits'!Q2014:Q2018)),AVERAGE('20250815_ETF_Options_Exhibits'!Q2014:Q2018),"")</f>
        <v/>
      </c>
      <c r="R2018" s="3">
        <f>IF(ISNUMBER(AVERAGE('20250815_ETF_Options_Exhibits'!R2014:R2018)),AVERAGE('20250815_ETF_Options_Exhibits'!R2014:R2018),"")</f>
        <v/>
      </c>
      <c r="S2018" s="3">
        <f>IF(ISNUMBER(AVERAGE('20250815_ETF_Options_Exhibits'!S2014:S2018)),AVERAGE('20250815_ETF_Options_Exhibits'!S2014:S2018),"")</f>
        <v/>
      </c>
      <c r="T2018" s="3">
        <f>IF(ISNUMBER(AVERAGE('20250815_ETF_Options_Exhibits'!T2014:T2018)),AVERAGE('20250815_ETF_Options_Exhibits'!T2014:T2018),"")</f>
        <v/>
      </c>
      <c r="U2018" s="3">
        <f>IF(ISNUMBER(AVERAGE('20250815_ETF_Options_Exhibits'!U2014:U2018)),AVERAGE('20250815_ETF_Options_Exhibits'!U2014:U2018),"")</f>
        <v/>
      </c>
      <c r="V2018" s="3">
        <f>IF(ISNUMBER(AVERAGE('20250815_ETF_Options_Exhibits'!V2014:V2018)),AVERAGE('20250815_ETF_Options_Exhibits'!V2014:V2018),"")</f>
        <v/>
      </c>
      <c r="W2018" s="3">
        <f>IF(ISNUMBER(AVERAGE('20250815_ETF_Options_Exhibits'!W2014:W2018)),AVERAGE('20250815_ETF_Options_Exhibits'!W2014:W2018),"")</f>
        <v/>
      </c>
      <c r="X2018" s="3">
        <f>IF(ISNUMBER(AVERAGE('20250815_ETF_Options_Exhibits'!X2014:X2018)),AVERAGE('20250815_ETF_Options_Exhibits'!X2014:X2018),"")</f>
        <v/>
      </c>
      <c r="Y2018" s="3">
        <f>IF(ISNUMBER(AVERAGE('20250815_ETF_Options_Exhibits'!Y2014:Y2018)),AVERAGE('20250815_ETF_Options_Exhibits'!Y2014:Y2018),"")</f>
        <v/>
      </c>
      <c r="Z2018" s="3">
        <f>IF(ISNUMBER(AVERAGE('20250815_ETF_Options_Exhibits'!Z2014:Z2018)),AVERAGE('20250815_ETF_Options_Exhibits'!Z2014:Z2018),"")</f>
        <v/>
      </c>
      <c r="AA2018" s="3">
        <f>IF(ISNUMBER(AVERAGE('20250815_ETF_Options_Exhibits'!AA2014:AA2018)),AVERAGE('20250815_ETF_Options_Exhibits'!AA2014:AA2018),"")</f>
        <v/>
      </c>
    </row>
    <row r="2019">
      <c r="A2019" s="1" t="n">
        <v>44931</v>
      </c>
      <c r="B2019" s="3">
        <f>IF(ISNUMBER(AVERAGE('20250815_ETF_Options_Exhibits'!B2015:B2019)),AVERAGE('20250815_ETF_Options_Exhibits'!B2015:B2019),"")</f>
        <v/>
      </c>
      <c r="C2019" s="3">
        <f>IF(ISNUMBER(AVERAGE('20250815_ETF_Options_Exhibits'!C2015:C2019)),AVERAGE('20250815_ETF_Options_Exhibits'!C2015:C2019),"")</f>
        <v/>
      </c>
      <c r="D2019" s="3">
        <f>IF(ISNUMBER(AVERAGE('20250815_ETF_Options_Exhibits'!D2015:D2019)),AVERAGE('20250815_ETF_Options_Exhibits'!D2015:D2019),"")</f>
        <v/>
      </c>
      <c r="E2019" s="3">
        <f>IF(ISNUMBER(AVERAGE('20250815_ETF_Options_Exhibits'!E2015:E2019)),AVERAGE('20250815_ETF_Options_Exhibits'!E2015:E2019),"")</f>
        <v/>
      </c>
      <c r="F2019" s="3">
        <f>IF(ISNUMBER(AVERAGE('20250815_ETF_Options_Exhibits'!F2015:F2019)),AVERAGE('20250815_ETF_Options_Exhibits'!F2015:F2019),"")</f>
        <v/>
      </c>
      <c r="G2019" s="3">
        <f>IF(ISNUMBER(AVERAGE('20250815_ETF_Options_Exhibits'!G2015:G2019)),AVERAGE('20250815_ETF_Options_Exhibits'!G2015:G2019),"")</f>
        <v/>
      </c>
      <c r="H2019" s="3">
        <f>IF(ISNUMBER(AVERAGE('20250815_ETF_Options_Exhibits'!H2015:H2019)),AVERAGE('20250815_ETF_Options_Exhibits'!H2015:H2019),"")</f>
        <v/>
      </c>
      <c r="I2019" s="3">
        <f>IF(ISNUMBER(AVERAGE('20250815_ETF_Options_Exhibits'!I2015:I2019)),AVERAGE('20250815_ETF_Options_Exhibits'!I2015:I2019),"")</f>
        <v/>
      </c>
      <c r="J2019" s="3">
        <f>IF(ISNUMBER(AVERAGE('20250815_ETF_Options_Exhibits'!J2015:J2019)),AVERAGE('20250815_ETF_Options_Exhibits'!J2015:J2019),"")</f>
        <v/>
      </c>
      <c r="K2019" s="3">
        <f>IF(ISNUMBER(AVERAGE('20250815_ETF_Options_Exhibits'!K2015:K2019)),AVERAGE('20250815_ETF_Options_Exhibits'!K2015:K2019),"")</f>
        <v/>
      </c>
      <c r="L2019" s="3">
        <f>IF(ISNUMBER(AVERAGE('20250815_ETF_Options_Exhibits'!L2015:L2019)),AVERAGE('20250815_ETF_Options_Exhibits'!L2015:L2019),"")</f>
        <v/>
      </c>
      <c r="M2019" s="3">
        <f>IF(ISNUMBER(AVERAGE('20250815_ETF_Options_Exhibits'!M2015:M2019)),AVERAGE('20250815_ETF_Options_Exhibits'!M2015:M2019),"")</f>
        <v/>
      </c>
      <c r="N2019" s="3">
        <f>IF(ISNUMBER(AVERAGE('20250815_ETF_Options_Exhibits'!N2015:N2019)),AVERAGE('20250815_ETF_Options_Exhibits'!N2015:N2019),"")</f>
        <v/>
      </c>
      <c r="O2019" s="3">
        <f>IF(ISNUMBER(AVERAGE('20250815_ETF_Options_Exhibits'!O2015:O2019)),AVERAGE('20250815_ETF_Options_Exhibits'!O2015:O2019),"")</f>
        <v/>
      </c>
      <c r="P2019" s="3">
        <f>IF(ISNUMBER(AVERAGE('20250815_ETF_Options_Exhibits'!P2015:P2019)),AVERAGE('20250815_ETF_Options_Exhibits'!P2015:P2019),"")</f>
        <v/>
      </c>
      <c r="Q2019" s="3">
        <f>IF(ISNUMBER(AVERAGE('20250815_ETF_Options_Exhibits'!Q2015:Q2019)),AVERAGE('20250815_ETF_Options_Exhibits'!Q2015:Q2019),"")</f>
        <v/>
      </c>
      <c r="R2019" s="3">
        <f>IF(ISNUMBER(AVERAGE('20250815_ETF_Options_Exhibits'!R2015:R2019)),AVERAGE('20250815_ETF_Options_Exhibits'!R2015:R2019),"")</f>
        <v/>
      </c>
      <c r="S2019" s="3">
        <f>IF(ISNUMBER(AVERAGE('20250815_ETF_Options_Exhibits'!S2015:S2019)),AVERAGE('20250815_ETF_Options_Exhibits'!S2015:S2019),"")</f>
        <v/>
      </c>
      <c r="T2019" s="3">
        <f>IF(ISNUMBER(AVERAGE('20250815_ETF_Options_Exhibits'!T2015:T2019)),AVERAGE('20250815_ETF_Options_Exhibits'!T2015:T2019),"")</f>
        <v/>
      </c>
      <c r="U2019" s="3">
        <f>IF(ISNUMBER(AVERAGE('20250815_ETF_Options_Exhibits'!U2015:U2019)),AVERAGE('20250815_ETF_Options_Exhibits'!U2015:U2019),"")</f>
        <v/>
      </c>
      <c r="V2019" s="3">
        <f>IF(ISNUMBER(AVERAGE('20250815_ETF_Options_Exhibits'!V2015:V2019)),AVERAGE('20250815_ETF_Options_Exhibits'!V2015:V2019),"")</f>
        <v/>
      </c>
      <c r="W2019" s="3">
        <f>IF(ISNUMBER(AVERAGE('20250815_ETF_Options_Exhibits'!W2015:W2019)),AVERAGE('20250815_ETF_Options_Exhibits'!W2015:W2019),"")</f>
        <v/>
      </c>
      <c r="X2019" s="3">
        <f>IF(ISNUMBER(AVERAGE('20250815_ETF_Options_Exhibits'!X2015:X2019)),AVERAGE('20250815_ETF_Options_Exhibits'!X2015:X2019),"")</f>
        <v/>
      </c>
      <c r="Y2019" s="3">
        <f>IF(ISNUMBER(AVERAGE('20250815_ETF_Options_Exhibits'!Y2015:Y2019)),AVERAGE('20250815_ETF_Options_Exhibits'!Y2015:Y2019),"")</f>
        <v/>
      </c>
      <c r="Z2019" s="3">
        <f>IF(ISNUMBER(AVERAGE('20250815_ETF_Options_Exhibits'!Z2015:Z2019)),AVERAGE('20250815_ETF_Options_Exhibits'!Z2015:Z2019),"")</f>
        <v/>
      </c>
      <c r="AA2019" s="3">
        <f>IF(ISNUMBER(AVERAGE('20250815_ETF_Options_Exhibits'!AA2015:AA2019)),AVERAGE('20250815_ETF_Options_Exhibits'!AA2015:AA2019),"")</f>
        <v/>
      </c>
    </row>
    <row r="2020">
      <c r="A2020" s="1" t="n">
        <v>44932</v>
      </c>
      <c r="B2020" s="3">
        <f>IF(ISNUMBER(AVERAGE('20250815_ETF_Options_Exhibits'!B2016:B2020)),AVERAGE('20250815_ETF_Options_Exhibits'!B2016:B2020),"")</f>
        <v/>
      </c>
      <c r="C2020" s="3">
        <f>IF(ISNUMBER(AVERAGE('20250815_ETF_Options_Exhibits'!C2016:C2020)),AVERAGE('20250815_ETF_Options_Exhibits'!C2016:C2020),"")</f>
        <v/>
      </c>
      <c r="D2020" s="3">
        <f>IF(ISNUMBER(AVERAGE('20250815_ETF_Options_Exhibits'!D2016:D2020)),AVERAGE('20250815_ETF_Options_Exhibits'!D2016:D2020),"")</f>
        <v/>
      </c>
      <c r="E2020" s="3">
        <f>IF(ISNUMBER(AVERAGE('20250815_ETF_Options_Exhibits'!E2016:E2020)),AVERAGE('20250815_ETF_Options_Exhibits'!E2016:E2020),"")</f>
        <v/>
      </c>
      <c r="F2020" s="3">
        <f>IF(ISNUMBER(AVERAGE('20250815_ETF_Options_Exhibits'!F2016:F2020)),AVERAGE('20250815_ETF_Options_Exhibits'!F2016:F2020),"")</f>
        <v/>
      </c>
      <c r="G2020" s="3">
        <f>IF(ISNUMBER(AVERAGE('20250815_ETF_Options_Exhibits'!G2016:G2020)),AVERAGE('20250815_ETF_Options_Exhibits'!G2016:G2020),"")</f>
        <v/>
      </c>
      <c r="H2020" s="3">
        <f>IF(ISNUMBER(AVERAGE('20250815_ETF_Options_Exhibits'!H2016:H2020)),AVERAGE('20250815_ETF_Options_Exhibits'!H2016:H2020),"")</f>
        <v/>
      </c>
      <c r="I2020" s="3">
        <f>IF(ISNUMBER(AVERAGE('20250815_ETF_Options_Exhibits'!I2016:I2020)),AVERAGE('20250815_ETF_Options_Exhibits'!I2016:I2020),"")</f>
        <v/>
      </c>
      <c r="J2020" s="3">
        <f>IF(ISNUMBER(AVERAGE('20250815_ETF_Options_Exhibits'!J2016:J2020)),AVERAGE('20250815_ETF_Options_Exhibits'!J2016:J2020),"")</f>
        <v/>
      </c>
      <c r="K2020" s="3">
        <f>IF(ISNUMBER(AVERAGE('20250815_ETF_Options_Exhibits'!K2016:K2020)),AVERAGE('20250815_ETF_Options_Exhibits'!K2016:K2020),"")</f>
        <v/>
      </c>
      <c r="L2020" s="3">
        <f>IF(ISNUMBER(AVERAGE('20250815_ETF_Options_Exhibits'!L2016:L2020)),AVERAGE('20250815_ETF_Options_Exhibits'!L2016:L2020),"")</f>
        <v/>
      </c>
      <c r="M2020" s="3">
        <f>IF(ISNUMBER(AVERAGE('20250815_ETF_Options_Exhibits'!M2016:M2020)),AVERAGE('20250815_ETF_Options_Exhibits'!M2016:M2020),"")</f>
        <v/>
      </c>
      <c r="N2020" s="3">
        <f>IF(ISNUMBER(AVERAGE('20250815_ETF_Options_Exhibits'!N2016:N2020)),AVERAGE('20250815_ETF_Options_Exhibits'!N2016:N2020),"")</f>
        <v/>
      </c>
      <c r="O2020" s="3">
        <f>IF(ISNUMBER(AVERAGE('20250815_ETF_Options_Exhibits'!O2016:O2020)),AVERAGE('20250815_ETF_Options_Exhibits'!O2016:O2020),"")</f>
        <v/>
      </c>
      <c r="P2020" s="3">
        <f>IF(ISNUMBER(AVERAGE('20250815_ETF_Options_Exhibits'!P2016:P2020)),AVERAGE('20250815_ETF_Options_Exhibits'!P2016:P2020),"")</f>
        <v/>
      </c>
      <c r="Q2020" s="3">
        <f>IF(ISNUMBER(AVERAGE('20250815_ETF_Options_Exhibits'!Q2016:Q2020)),AVERAGE('20250815_ETF_Options_Exhibits'!Q2016:Q2020),"")</f>
        <v/>
      </c>
      <c r="R2020" s="3">
        <f>IF(ISNUMBER(AVERAGE('20250815_ETF_Options_Exhibits'!R2016:R2020)),AVERAGE('20250815_ETF_Options_Exhibits'!R2016:R2020),"")</f>
        <v/>
      </c>
      <c r="S2020" s="3">
        <f>IF(ISNUMBER(AVERAGE('20250815_ETF_Options_Exhibits'!S2016:S2020)),AVERAGE('20250815_ETF_Options_Exhibits'!S2016:S2020),"")</f>
        <v/>
      </c>
      <c r="T2020" s="3">
        <f>IF(ISNUMBER(AVERAGE('20250815_ETF_Options_Exhibits'!T2016:T2020)),AVERAGE('20250815_ETF_Options_Exhibits'!T2016:T2020),"")</f>
        <v/>
      </c>
      <c r="U2020" s="3">
        <f>IF(ISNUMBER(AVERAGE('20250815_ETF_Options_Exhibits'!U2016:U2020)),AVERAGE('20250815_ETF_Options_Exhibits'!U2016:U2020),"")</f>
        <v/>
      </c>
      <c r="V2020" s="3">
        <f>IF(ISNUMBER(AVERAGE('20250815_ETF_Options_Exhibits'!V2016:V2020)),AVERAGE('20250815_ETF_Options_Exhibits'!V2016:V2020),"")</f>
        <v/>
      </c>
      <c r="W2020" s="3">
        <f>IF(ISNUMBER(AVERAGE('20250815_ETF_Options_Exhibits'!W2016:W2020)),AVERAGE('20250815_ETF_Options_Exhibits'!W2016:W2020),"")</f>
        <v/>
      </c>
      <c r="X2020" s="3">
        <f>IF(ISNUMBER(AVERAGE('20250815_ETF_Options_Exhibits'!X2016:X2020)),AVERAGE('20250815_ETF_Options_Exhibits'!X2016:X2020),"")</f>
        <v/>
      </c>
      <c r="Y2020" s="3">
        <f>IF(ISNUMBER(AVERAGE('20250815_ETF_Options_Exhibits'!Y2016:Y2020)),AVERAGE('20250815_ETF_Options_Exhibits'!Y2016:Y2020),"")</f>
        <v/>
      </c>
      <c r="Z2020" s="3">
        <f>IF(ISNUMBER(AVERAGE('20250815_ETF_Options_Exhibits'!Z2016:Z2020)),AVERAGE('20250815_ETF_Options_Exhibits'!Z2016:Z2020),"")</f>
        <v/>
      </c>
      <c r="AA2020" s="3">
        <f>IF(ISNUMBER(AVERAGE('20250815_ETF_Options_Exhibits'!AA2016:AA2020)),AVERAGE('20250815_ETF_Options_Exhibits'!AA2016:AA2020),"")</f>
        <v/>
      </c>
    </row>
    <row r="2021">
      <c r="A2021" s="1" t="n">
        <v>44935</v>
      </c>
      <c r="B2021" s="3">
        <f>IF(ISNUMBER(AVERAGE('20250815_ETF_Options_Exhibits'!B2017:B2021)),AVERAGE('20250815_ETF_Options_Exhibits'!B2017:B2021),"")</f>
        <v/>
      </c>
      <c r="C2021" s="3">
        <f>IF(ISNUMBER(AVERAGE('20250815_ETF_Options_Exhibits'!C2017:C2021)),AVERAGE('20250815_ETF_Options_Exhibits'!C2017:C2021),"")</f>
        <v/>
      </c>
      <c r="D2021" s="3">
        <f>IF(ISNUMBER(AVERAGE('20250815_ETF_Options_Exhibits'!D2017:D2021)),AVERAGE('20250815_ETF_Options_Exhibits'!D2017:D2021),"")</f>
        <v/>
      </c>
      <c r="E2021" s="3">
        <f>IF(ISNUMBER(AVERAGE('20250815_ETF_Options_Exhibits'!E2017:E2021)),AVERAGE('20250815_ETF_Options_Exhibits'!E2017:E2021),"")</f>
        <v/>
      </c>
      <c r="F2021" s="3">
        <f>IF(ISNUMBER(AVERAGE('20250815_ETF_Options_Exhibits'!F2017:F2021)),AVERAGE('20250815_ETF_Options_Exhibits'!F2017:F2021),"")</f>
        <v/>
      </c>
      <c r="G2021" s="3">
        <f>IF(ISNUMBER(AVERAGE('20250815_ETF_Options_Exhibits'!G2017:G2021)),AVERAGE('20250815_ETF_Options_Exhibits'!G2017:G2021),"")</f>
        <v/>
      </c>
      <c r="H2021" s="3">
        <f>IF(ISNUMBER(AVERAGE('20250815_ETF_Options_Exhibits'!H2017:H2021)),AVERAGE('20250815_ETF_Options_Exhibits'!H2017:H2021),"")</f>
        <v/>
      </c>
      <c r="I2021" s="3">
        <f>IF(ISNUMBER(AVERAGE('20250815_ETF_Options_Exhibits'!I2017:I2021)),AVERAGE('20250815_ETF_Options_Exhibits'!I2017:I2021),"")</f>
        <v/>
      </c>
      <c r="J2021" s="3">
        <f>IF(ISNUMBER(AVERAGE('20250815_ETF_Options_Exhibits'!J2017:J2021)),AVERAGE('20250815_ETF_Options_Exhibits'!J2017:J2021),"")</f>
        <v/>
      </c>
      <c r="K2021" s="3">
        <f>IF(ISNUMBER(AVERAGE('20250815_ETF_Options_Exhibits'!K2017:K2021)),AVERAGE('20250815_ETF_Options_Exhibits'!K2017:K2021),"")</f>
        <v/>
      </c>
      <c r="L2021" s="3">
        <f>IF(ISNUMBER(AVERAGE('20250815_ETF_Options_Exhibits'!L2017:L2021)),AVERAGE('20250815_ETF_Options_Exhibits'!L2017:L2021),"")</f>
        <v/>
      </c>
      <c r="M2021" s="3">
        <f>IF(ISNUMBER(AVERAGE('20250815_ETF_Options_Exhibits'!M2017:M2021)),AVERAGE('20250815_ETF_Options_Exhibits'!M2017:M2021),"")</f>
        <v/>
      </c>
      <c r="N2021" s="3">
        <f>IF(ISNUMBER(AVERAGE('20250815_ETF_Options_Exhibits'!N2017:N2021)),AVERAGE('20250815_ETF_Options_Exhibits'!N2017:N2021),"")</f>
        <v/>
      </c>
      <c r="O2021" s="3">
        <f>IF(ISNUMBER(AVERAGE('20250815_ETF_Options_Exhibits'!O2017:O2021)),AVERAGE('20250815_ETF_Options_Exhibits'!O2017:O2021),"")</f>
        <v/>
      </c>
      <c r="P2021" s="3">
        <f>IF(ISNUMBER(AVERAGE('20250815_ETF_Options_Exhibits'!P2017:P2021)),AVERAGE('20250815_ETF_Options_Exhibits'!P2017:P2021),"")</f>
        <v/>
      </c>
      <c r="Q2021" s="3">
        <f>IF(ISNUMBER(AVERAGE('20250815_ETF_Options_Exhibits'!Q2017:Q2021)),AVERAGE('20250815_ETF_Options_Exhibits'!Q2017:Q2021),"")</f>
        <v/>
      </c>
      <c r="R2021" s="3">
        <f>IF(ISNUMBER(AVERAGE('20250815_ETF_Options_Exhibits'!R2017:R2021)),AVERAGE('20250815_ETF_Options_Exhibits'!R2017:R2021),"")</f>
        <v/>
      </c>
      <c r="S2021" s="3">
        <f>IF(ISNUMBER(AVERAGE('20250815_ETF_Options_Exhibits'!S2017:S2021)),AVERAGE('20250815_ETF_Options_Exhibits'!S2017:S2021),"")</f>
        <v/>
      </c>
      <c r="T2021" s="3">
        <f>IF(ISNUMBER(AVERAGE('20250815_ETF_Options_Exhibits'!T2017:T2021)),AVERAGE('20250815_ETF_Options_Exhibits'!T2017:T2021),"")</f>
        <v/>
      </c>
      <c r="U2021" s="3">
        <f>IF(ISNUMBER(AVERAGE('20250815_ETF_Options_Exhibits'!U2017:U2021)),AVERAGE('20250815_ETF_Options_Exhibits'!U2017:U2021),"")</f>
        <v/>
      </c>
      <c r="V2021" s="3">
        <f>IF(ISNUMBER(AVERAGE('20250815_ETF_Options_Exhibits'!V2017:V2021)),AVERAGE('20250815_ETF_Options_Exhibits'!V2017:V2021),"")</f>
        <v/>
      </c>
      <c r="W2021" s="3">
        <f>IF(ISNUMBER(AVERAGE('20250815_ETF_Options_Exhibits'!W2017:W2021)),AVERAGE('20250815_ETF_Options_Exhibits'!W2017:W2021),"")</f>
        <v/>
      </c>
      <c r="X2021" s="3">
        <f>IF(ISNUMBER(AVERAGE('20250815_ETF_Options_Exhibits'!X2017:X2021)),AVERAGE('20250815_ETF_Options_Exhibits'!X2017:X2021),"")</f>
        <v/>
      </c>
      <c r="Y2021" s="3">
        <f>IF(ISNUMBER(AVERAGE('20250815_ETF_Options_Exhibits'!Y2017:Y2021)),AVERAGE('20250815_ETF_Options_Exhibits'!Y2017:Y2021),"")</f>
        <v/>
      </c>
      <c r="Z2021" s="3">
        <f>IF(ISNUMBER(AVERAGE('20250815_ETF_Options_Exhibits'!Z2017:Z2021)),AVERAGE('20250815_ETF_Options_Exhibits'!Z2017:Z2021),"")</f>
        <v/>
      </c>
      <c r="AA2021" s="3">
        <f>IF(ISNUMBER(AVERAGE('20250815_ETF_Options_Exhibits'!AA2017:AA2021)),AVERAGE('20250815_ETF_Options_Exhibits'!AA2017:AA2021),"")</f>
        <v/>
      </c>
    </row>
    <row r="2022">
      <c r="A2022" s="1" t="n">
        <v>44936</v>
      </c>
      <c r="B2022" s="3">
        <f>IF(ISNUMBER(AVERAGE('20250815_ETF_Options_Exhibits'!B2018:B2022)),AVERAGE('20250815_ETF_Options_Exhibits'!B2018:B2022),"")</f>
        <v/>
      </c>
      <c r="C2022" s="3">
        <f>IF(ISNUMBER(AVERAGE('20250815_ETF_Options_Exhibits'!C2018:C2022)),AVERAGE('20250815_ETF_Options_Exhibits'!C2018:C2022),"")</f>
        <v/>
      </c>
      <c r="D2022" s="3">
        <f>IF(ISNUMBER(AVERAGE('20250815_ETF_Options_Exhibits'!D2018:D2022)),AVERAGE('20250815_ETF_Options_Exhibits'!D2018:D2022),"")</f>
        <v/>
      </c>
      <c r="E2022" s="3">
        <f>IF(ISNUMBER(AVERAGE('20250815_ETF_Options_Exhibits'!E2018:E2022)),AVERAGE('20250815_ETF_Options_Exhibits'!E2018:E2022),"")</f>
        <v/>
      </c>
      <c r="F2022" s="3">
        <f>IF(ISNUMBER(AVERAGE('20250815_ETF_Options_Exhibits'!F2018:F2022)),AVERAGE('20250815_ETF_Options_Exhibits'!F2018:F2022),"")</f>
        <v/>
      </c>
      <c r="G2022" s="3">
        <f>IF(ISNUMBER(AVERAGE('20250815_ETF_Options_Exhibits'!G2018:G2022)),AVERAGE('20250815_ETF_Options_Exhibits'!G2018:G2022),"")</f>
        <v/>
      </c>
      <c r="H2022" s="3">
        <f>IF(ISNUMBER(AVERAGE('20250815_ETF_Options_Exhibits'!H2018:H2022)),AVERAGE('20250815_ETF_Options_Exhibits'!H2018:H2022),"")</f>
        <v/>
      </c>
      <c r="I2022" s="3">
        <f>IF(ISNUMBER(AVERAGE('20250815_ETF_Options_Exhibits'!I2018:I2022)),AVERAGE('20250815_ETF_Options_Exhibits'!I2018:I2022),"")</f>
        <v/>
      </c>
      <c r="J2022" s="3">
        <f>IF(ISNUMBER(AVERAGE('20250815_ETF_Options_Exhibits'!J2018:J2022)),AVERAGE('20250815_ETF_Options_Exhibits'!J2018:J2022),"")</f>
        <v/>
      </c>
      <c r="K2022" s="3">
        <f>IF(ISNUMBER(AVERAGE('20250815_ETF_Options_Exhibits'!K2018:K2022)),AVERAGE('20250815_ETF_Options_Exhibits'!K2018:K2022),"")</f>
        <v/>
      </c>
      <c r="L2022" s="3">
        <f>IF(ISNUMBER(AVERAGE('20250815_ETF_Options_Exhibits'!L2018:L2022)),AVERAGE('20250815_ETF_Options_Exhibits'!L2018:L2022),"")</f>
        <v/>
      </c>
      <c r="M2022" s="3">
        <f>IF(ISNUMBER(AVERAGE('20250815_ETF_Options_Exhibits'!M2018:M2022)),AVERAGE('20250815_ETF_Options_Exhibits'!M2018:M2022),"")</f>
        <v/>
      </c>
      <c r="N2022" s="3">
        <f>IF(ISNUMBER(AVERAGE('20250815_ETF_Options_Exhibits'!N2018:N2022)),AVERAGE('20250815_ETF_Options_Exhibits'!N2018:N2022),"")</f>
        <v/>
      </c>
      <c r="O2022" s="3">
        <f>IF(ISNUMBER(AVERAGE('20250815_ETF_Options_Exhibits'!O2018:O2022)),AVERAGE('20250815_ETF_Options_Exhibits'!O2018:O2022),"")</f>
        <v/>
      </c>
      <c r="P2022" s="3">
        <f>IF(ISNUMBER(AVERAGE('20250815_ETF_Options_Exhibits'!P2018:P2022)),AVERAGE('20250815_ETF_Options_Exhibits'!P2018:P2022),"")</f>
        <v/>
      </c>
      <c r="Q2022" s="3">
        <f>IF(ISNUMBER(AVERAGE('20250815_ETF_Options_Exhibits'!Q2018:Q2022)),AVERAGE('20250815_ETF_Options_Exhibits'!Q2018:Q2022),"")</f>
        <v/>
      </c>
      <c r="R2022" s="3">
        <f>IF(ISNUMBER(AVERAGE('20250815_ETF_Options_Exhibits'!R2018:R2022)),AVERAGE('20250815_ETF_Options_Exhibits'!R2018:R2022),"")</f>
        <v/>
      </c>
      <c r="S2022" s="3">
        <f>IF(ISNUMBER(AVERAGE('20250815_ETF_Options_Exhibits'!S2018:S2022)),AVERAGE('20250815_ETF_Options_Exhibits'!S2018:S2022),"")</f>
        <v/>
      </c>
      <c r="T2022" s="3">
        <f>IF(ISNUMBER(AVERAGE('20250815_ETF_Options_Exhibits'!T2018:T2022)),AVERAGE('20250815_ETF_Options_Exhibits'!T2018:T2022),"")</f>
        <v/>
      </c>
      <c r="U2022" s="3">
        <f>IF(ISNUMBER(AVERAGE('20250815_ETF_Options_Exhibits'!U2018:U2022)),AVERAGE('20250815_ETF_Options_Exhibits'!U2018:U2022),"")</f>
        <v/>
      </c>
      <c r="V2022" s="3">
        <f>IF(ISNUMBER(AVERAGE('20250815_ETF_Options_Exhibits'!V2018:V2022)),AVERAGE('20250815_ETF_Options_Exhibits'!V2018:V2022),"")</f>
        <v/>
      </c>
      <c r="W2022" s="3">
        <f>IF(ISNUMBER(AVERAGE('20250815_ETF_Options_Exhibits'!W2018:W2022)),AVERAGE('20250815_ETF_Options_Exhibits'!W2018:W2022),"")</f>
        <v/>
      </c>
      <c r="X2022" s="3">
        <f>IF(ISNUMBER(AVERAGE('20250815_ETF_Options_Exhibits'!X2018:X2022)),AVERAGE('20250815_ETF_Options_Exhibits'!X2018:X2022),"")</f>
        <v/>
      </c>
      <c r="Y2022" s="3">
        <f>IF(ISNUMBER(AVERAGE('20250815_ETF_Options_Exhibits'!Y2018:Y2022)),AVERAGE('20250815_ETF_Options_Exhibits'!Y2018:Y2022),"")</f>
        <v/>
      </c>
      <c r="Z2022" s="3">
        <f>IF(ISNUMBER(AVERAGE('20250815_ETF_Options_Exhibits'!Z2018:Z2022)),AVERAGE('20250815_ETF_Options_Exhibits'!Z2018:Z2022),"")</f>
        <v/>
      </c>
      <c r="AA2022" s="3">
        <f>IF(ISNUMBER(AVERAGE('20250815_ETF_Options_Exhibits'!AA2018:AA2022)),AVERAGE('20250815_ETF_Options_Exhibits'!AA2018:AA2022),"")</f>
        <v/>
      </c>
    </row>
    <row r="2023">
      <c r="A2023" s="1" t="n">
        <v>44937</v>
      </c>
      <c r="B2023" s="3">
        <f>IF(ISNUMBER(AVERAGE('20250815_ETF_Options_Exhibits'!B2019:B2023)),AVERAGE('20250815_ETF_Options_Exhibits'!B2019:B2023),"")</f>
        <v/>
      </c>
      <c r="C2023" s="3">
        <f>IF(ISNUMBER(AVERAGE('20250815_ETF_Options_Exhibits'!C2019:C2023)),AVERAGE('20250815_ETF_Options_Exhibits'!C2019:C2023),"")</f>
        <v/>
      </c>
      <c r="D2023" s="3">
        <f>IF(ISNUMBER(AVERAGE('20250815_ETF_Options_Exhibits'!D2019:D2023)),AVERAGE('20250815_ETF_Options_Exhibits'!D2019:D2023),"")</f>
        <v/>
      </c>
      <c r="E2023" s="3">
        <f>IF(ISNUMBER(AVERAGE('20250815_ETF_Options_Exhibits'!E2019:E2023)),AVERAGE('20250815_ETF_Options_Exhibits'!E2019:E2023),"")</f>
        <v/>
      </c>
      <c r="F2023" s="3">
        <f>IF(ISNUMBER(AVERAGE('20250815_ETF_Options_Exhibits'!F2019:F2023)),AVERAGE('20250815_ETF_Options_Exhibits'!F2019:F2023),"")</f>
        <v/>
      </c>
      <c r="G2023" s="3">
        <f>IF(ISNUMBER(AVERAGE('20250815_ETF_Options_Exhibits'!G2019:G2023)),AVERAGE('20250815_ETF_Options_Exhibits'!G2019:G2023),"")</f>
        <v/>
      </c>
      <c r="H2023" s="3">
        <f>IF(ISNUMBER(AVERAGE('20250815_ETF_Options_Exhibits'!H2019:H2023)),AVERAGE('20250815_ETF_Options_Exhibits'!H2019:H2023),"")</f>
        <v/>
      </c>
      <c r="I2023" s="3">
        <f>IF(ISNUMBER(AVERAGE('20250815_ETF_Options_Exhibits'!I2019:I2023)),AVERAGE('20250815_ETF_Options_Exhibits'!I2019:I2023),"")</f>
        <v/>
      </c>
      <c r="J2023" s="3">
        <f>IF(ISNUMBER(AVERAGE('20250815_ETF_Options_Exhibits'!J2019:J2023)),AVERAGE('20250815_ETF_Options_Exhibits'!J2019:J2023),"")</f>
        <v/>
      </c>
      <c r="K2023" s="3">
        <f>IF(ISNUMBER(AVERAGE('20250815_ETF_Options_Exhibits'!K2019:K2023)),AVERAGE('20250815_ETF_Options_Exhibits'!K2019:K2023),"")</f>
        <v/>
      </c>
      <c r="L2023" s="3">
        <f>IF(ISNUMBER(AVERAGE('20250815_ETF_Options_Exhibits'!L2019:L2023)),AVERAGE('20250815_ETF_Options_Exhibits'!L2019:L2023),"")</f>
        <v/>
      </c>
      <c r="M2023" s="3">
        <f>IF(ISNUMBER(AVERAGE('20250815_ETF_Options_Exhibits'!M2019:M2023)),AVERAGE('20250815_ETF_Options_Exhibits'!M2019:M2023),"")</f>
        <v/>
      </c>
      <c r="N2023" s="3">
        <f>IF(ISNUMBER(AVERAGE('20250815_ETF_Options_Exhibits'!N2019:N2023)),AVERAGE('20250815_ETF_Options_Exhibits'!N2019:N2023),"")</f>
        <v/>
      </c>
      <c r="O2023" s="3">
        <f>IF(ISNUMBER(AVERAGE('20250815_ETF_Options_Exhibits'!O2019:O2023)),AVERAGE('20250815_ETF_Options_Exhibits'!O2019:O2023),"")</f>
        <v/>
      </c>
      <c r="P2023" s="3">
        <f>IF(ISNUMBER(AVERAGE('20250815_ETF_Options_Exhibits'!P2019:P2023)),AVERAGE('20250815_ETF_Options_Exhibits'!P2019:P2023),"")</f>
        <v/>
      </c>
      <c r="Q2023" s="3">
        <f>IF(ISNUMBER(AVERAGE('20250815_ETF_Options_Exhibits'!Q2019:Q2023)),AVERAGE('20250815_ETF_Options_Exhibits'!Q2019:Q2023),"")</f>
        <v/>
      </c>
      <c r="R2023" s="3">
        <f>IF(ISNUMBER(AVERAGE('20250815_ETF_Options_Exhibits'!R2019:R2023)),AVERAGE('20250815_ETF_Options_Exhibits'!R2019:R2023),"")</f>
        <v/>
      </c>
      <c r="S2023" s="3">
        <f>IF(ISNUMBER(AVERAGE('20250815_ETF_Options_Exhibits'!S2019:S2023)),AVERAGE('20250815_ETF_Options_Exhibits'!S2019:S2023),"")</f>
        <v/>
      </c>
      <c r="T2023" s="3">
        <f>IF(ISNUMBER(AVERAGE('20250815_ETF_Options_Exhibits'!T2019:T2023)),AVERAGE('20250815_ETF_Options_Exhibits'!T2019:T2023),"")</f>
        <v/>
      </c>
      <c r="U2023" s="3">
        <f>IF(ISNUMBER(AVERAGE('20250815_ETF_Options_Exhibits'!U2019:U2023)),AVERAGE('20250815_ETF_Options_Exhibits'!U2019:U2023),"")</f>
        <v/>
      </c>
      <c r="V2023" s="3">
        <f>IF(ISNUMBER(AVERAGE('20250815_ETF_Options_Exhibits'!V2019:V2023)),AVERAGE('20250815_ETF_Options_Exhibits'!V2019:V2023),"")</f>
        <v/>
      </c>
      <c r="W2023" s="3">
        <f>IF(ISNUMBER(AVERAGE('20250815_ETF_Options_Exhibits'!W2019:W2023)),AVERAGE('20250815_ETF_Options_Exhibits'!W2019:W2023),"")</f>
        <v/>
      </c>
      <c r="X2023" s="3">
        <f>IF(ISNUMBER(AVERAGE('20250815_ETF_Options_Exhibits'!X2019:X2023)),AVERAGE('20250815_ETF_Options_Exhibits'!X2019:X2023),"")</f>
        <v/>
      </c>
      <c r="Y2023" s="3">
        <f>IF(ISNUMBER(AVERAGE('20250815_ETF_Options_Exhibits'!Y2019:Y2023)),AVERAGE('20250815_ETF_Options_Exhibits'!Y2019:Y2023),"")</f>
        <v/>
      </c>
      <c r="Z2023" s="3">
        <f>IF(ISNUMBER(AVERAGE('20250815_ETF_Options_Exhibits'!Z2019:Z2023)),AVERAGE('20250815_ETF_Options_Exhibits'!Z2019:Z2023),"")</f>
        <v/>
      </c>
      <c r="AA2023" s="3">
        <f>IF(ISNUMBER(AVERAGE('20250815_ETF_Options_Exhibits'!AA2019:AA2023)),AVERAGE('20250815_ETF_Options_Exhibits'!AA2019:AA2023),"")</f>
        <v/>
      </c>
    </row>
    <row r="2024">
      <c r="A2024" s="1" t="n">
        <v>44938</v>
      </c>
      <c r="B2024" s="3">
        <f>IF(ISNUMBER(AVERAGE('20250815_ETF_Options_Exhibits'!B2020:B2024)),AVERAGE('20250815_ETF_Options_Exhibits'!B2020:B2024),"")</f>
        <v/>
      </c>
      <c r="C2024" s="3">
        <f>IF(ISNUMBER(AVERAGE('20250815_ETF_Options_Exhibits'!C2020:C2024)),AVERAGE('20250815_ETF_Options_Exhibits'!C2020:C2024),"")</f>
        <v/>
      </c>
      <c r="D2024" s="3">
        <f>IF(ISNUMBER(AVERAGE('20250815_ETF_Options_Exhibits'!D2020:D2024)),AVERAGE('20250815_ETF_Options_Exhibits'!D2020:D2024),"")</f>
        <v/>
      </c>
      <c r="E2024" s="3">
        <f>IF(ISNUMBER(AVERAGE('20250815_ETF_Options_Exhibits'!E2020:E2024)),AVERAGE('20250815_ETF_Options_Exhibits'!E2020:E2024),"")</f>
        <v/>
      </c>
      <c r="F2024" s="3">
        <f>IF(ISNUMBER(AVERAGE('20250815_ETF_Options_Exhibits'!F2020:F2024)),AVERAGE('20250815_ETF_Options_Exhibits'!F2020:F2024),"")</f>
        <v/>
      </c>
      <c r="G2024" s="3">
        <f>IF(ISNUMBER(AVERAGE('20250815_ETF_Options_Exhibits'!G2020:G2024)),AVERAGE('20250815_ETF_Options_Exhibits'!G2020:G2024),"")</f>
        <v/>
      </c>
      <c r="H2024" s="3">
        <f>IF(ISNUMBER(AVERAGE('20250815_ETF_Options_Exhibits'!H2020:H2024)),AVERAGE('20250815_ETF_Options_Exhibits'!H2020:H2024),"")</f>
        <v/>
      </c>
      <c r="I2024" s="3">
        <f>IF(ISNUMBER(AVERAGE('20250815_ETF_Options_Exhibits'!I2020:I2024)),AVERAGE('20250815_ETF_Options_Exhibits'!I2020:I2024),"")</f>
        <v/>
      </c>
      <c r="J2024" s="3">
        <f>IF(ISNUMBER(AVERAGE('20250815_ETF_Options_Exhibits'!J2020:J2024)),AVERAGE('20250815_ETF_Options_Exhibits'!J2020:J2024),"")</f>
        <v/>
      </c>
      <c r="K2024" s="3">
        <f>IF(ISNUMBER(AVERAGE('20250815_ETF_Options_Exhibits'!K2020:K2024)),AVERAGE('20250815_ETF_Options_Exhibits'!K2020:K2024),"")</f>
        <v/>
      </c>
      <c r="L2024" s="3">
        <f>IF(ISNUMBER(AVERAGE('20250815_ETF_Options_Exhibits'!L2020:L2024)),AVERAGE('20250815_ETF_Options_Exhibits'!L2020:L2024),"")</f>
        <v/>
      </c>
      <c r="M2024" s="3">
        <f>IF(ISNUMBER(AVERAGE('20250815_ETF_Options_Exhibits'!M2020:M2024)),AVERAGE('20250815_ETF_Options_Exhibits'!M2020:M2024),"")</f>
        <v/>
      </c>
      <c r="N2024" s="3">
        <f>IF(ISNUMBER(AVERAGE('20250815_ETF_Options_Exhibits'!N2020:N2024)),AVERAGE('20250815_ETF_Options_Exhibits'!N2020:N2024),"")</f>
        <v/>
      </c>
      <c r="O2024" s="3">
        <f>IF(ISNUMBER(AVERAGE('20250815_ETF_Options_Exhibits'!O2020:O2024)),AVERAGE('20250815_ETF_Options_Exhibits'!O2020:O2024),"")</f>
        <v/>
      </c>
      <c r="P2024" s="3">
        <f>IF(ISNUMBER(AVERAGE('20250815_ETF_Options_Exhibits'!P2020:P2024)),AVERAGE('20250815_ETF_Options_Exhibits'!P2020:P2024),"")</f>
        <v/>
      </c>
      <c r="Q2024" s="3">
        <f>IF(ISNUMBER(AVERAGE('20250815_ETF_Options_Exhibits'!Q2020:Q2024)),AVERAGE('20250815_ETF_Options_Exhibits'!Q2020:Q2024),"")</f>
        <v/>
      </c>
      <c r="R2024" s="3">
        <f>IF(ISNUMBER(AVERAGE('20250815_ETF_Options_Exhibits'!R2020:R2024)),AVERAGE('20250815_ETF_Options_Exhibits'!R2020:R2024),"")</f>
        <v/>
      </c>
      <c r="S2024" s="3">
        <f>IF(ISNUMBER(AVERAGE('20250815_ETF_Options_Exhibits'!S2020:S2024)),AVERAGE('20250815_ETF_Options_Exhibits'!S2020:S2024),"")</f>
        <v/>
      </c>
      <c r="T2024" s="3">
        <f>IF(ISNUMBER(AVERAGE('20250815_ETF_Options_Exhibits'!T2020:T2024)),AVERAGE('20250815_ETF_Options_Exhibits'!T2020:T2024),"")</f>
        <v/>
      </c>
      <c r="U2024" s="3">
        <f>IF(ISNUMBER(AVERAGE('20250815_ETF_Options_Exhibits'!U2020:U2024)),AVERAGE('20250815_ETF_Options_Exhibits'!U2020:U2024),"")</f>
        <v/>
      </c>
      <c r="V2024" s="3">
        <f>IF(ISNUMBER(AVERAGE('20250815_ETF_Options_Exhibits'!V2020:V2024)),AVERAGE('20250815_ETF_Options_Exhibits'!V2020:V2024),"")</f>
        <v/>
      </c>
      <c r="W2024" s="3">
        <f>IF(ISNUMBER(AVERAGE('20250815_ETF_Options_Exhibits'!W2020:W2024)),AVERAGE('20250815_ETF_Options_Exhibits'!W2020:W2024),"")</f>
        <v/>
      </c>
      <c r="X2024" s="3">
        <f>IF(ISNUMBER(AVERAGE('20250815_ETF_Options_Exhibits'!X2020:X2024)),AVERAGE('20250815_ETF_Options_Exhibits'!X2020:X2024),"")</f>
        <v/>
      </c>
      <c r="Y2024" s="3">
        <f>IF(ISNUMBER(AVERAGE('20250815_ETF_Options_Exhibits'!Y2020:Y2024)),AVERAGE('20250815_ETF_Options_Exhibits'!Y2020:Y2024),"")</f>
        <v/>
      </c>
      <c r="Z2024" s="3">
        <f>IF(ISNUMBER(AVERAGE('20250815_ETF_Options_Exhibits'!Z2020:Z2024)),AVERAGE('20250815_ETF_Options_Exhibits'!Z2020:Z2024),"")</f>
        <v/>
      </c>
      <c r="AA2024" s="3">
        <f>IF(ISNUMBER(AVERAGE('20250815_ETF_Options_Exhibits'!AA2020:AA2024)),AVERAGE('20250815_ETF_Options_Exhibits'!AA2020:AA2024),"")</f>
        <v/>
      </c>
    </row>
    <row r="2025">
      <c r="A2025" s="1" t="n">
        <v>44939</v>
      </c>
      <c r="B2025" s="3">
        <f>IF(ISNUMBER(AVERAGE('20250815_ETF_Options_Exhibits'!B2021:B2025)),AVERAGE('20250815_ETF_Options_Exhibits'!B2021:B2025),"")</f>
        <v/>
      </c>
      <c r="C2025" s="3">
        <f>IF(ISNUMBER(AVERAGE('20250815_ETF_Options_Exhibits'!C2021:C2025)),AVERAGE('20250815_ETF_Options_Exhibits'!C2021:C2025),"")</f>
        <v/>
      </c>
      <c r="D2025" s="3">
        <f>IF(ISNUMBER(AVERAGE('20250815_ETF_Options_Exhibits'!D2021:D2025)),AVERAGE('20250815_ETF_Options_Exhibits'!D2021:D2025),"")</f>
        <v/>
      </c>
      <c r="E2025" s="3">
        <f>IF(ISNUMBER(AVERAGE('20250815_ETF_Options_Exhibits'!E2021:E2025)),AVERAGE('20250815_ETF_Options_Exhibits'!E2021:E2025),"")</f>
        <v/>
      </c>
      <c r="F2025" s="3">
        <f>IF(ISNUMBER(AVERAGE('20250815_ETF_Options_Exhibits'!F2021:F2025)),AVERAGE('20250815_ETF_Options_Exhibits'!F2021:F2025),"")</f>
        <v/>
      </c>
      <c r="G2025" s="3">
        <f>IF(ISNUMBER(AVERAGE('20250815_ETF_Options_Exhibits'!G2021:G2025)),AVERAGE('20250815_ETF_Options_Exhibits'!G2021:G2025),"")</f>
        <v/>
      </c>
      <c r="H2025" s="3">
        <f>IF(ISNUMBER(AVERAGE('20250815_ETF_Options_Exhibits'!H2021:H2025)),AVERAGE('20250815_ETF_Options_Exhibits'!H2021:H2025),"")</f>
        <v/>
      </c>
      <c r="I2025" s="3">
        <f>IF(ISNUMBER(AVERAGE('20250815_ETF_Options_Exhibits'!I2021:I2025)),AVERAGE('20250815_ETF_Options_Exhibits'!I2021:I2025),"")</f>
        <v/>
      </c>
      <c r="J2025" s="3">
        <f>IF(ISNUMBER(AVERAGE('20250815_ETF_Options_Exhibits'!J2021:J2025)),AVERAGE('20250815_ETF_Options_Exhibits'!J2021:J2025),"")</f>
        <v/>
      </c>
      <c r="K2025" s="3">
        <f>IF(ISNUMBER(AVERAGE('20250815_ETF_Options_Exhibits'!K2021:K2025)),AVERAGE('20250815_ETF_Options_Exhibits'!K2021:K2025),"")</f>
        <v/>
      </c>
      <c r="L2025" s="3">
        <f>IF(ISNUMBER(AVERAGE('20250815_ETF_Options_Exhibits'!L2021:L2025)),AVERAGE('20250815_ETF_Options_Exhibits'!L2021:L2025),"")</f>
        <v/>
      </c>
      <c r="M2025" s="3">
        <f>IF(ISNUMBER(AVERAGE('20250815_ETF_Options_Exhibits'!M2021:M2025)),AVERAGE('20250815_ETF_Options_Exhibits'!M2021:M2025),"")</f>
        <v/>
      </c>
      <c r="N2025" s="3">
        <f>IF(ISNUMBER(AVERAGE('20250815_ETF_Options_Exhibits'!N2021:N2025)),AVERAGE('20250815_ETF_Options_Exhibits'!N2021:N2025),"")</f>
        <v/>
      </c>
      <c r="O2025" s="3">
        <f>IF(ISNUMBER(AVERAGE('20250815_ETF_Options_Exhibits'!O2021:O2025)),AVERAGE('20250815_ETF_Options_Exhibits'!O2021:O2025),"")</f>
        <v/>
      </c>
      <c r="P2025" s="3">
        <f>IF(ISNUMBER(AVERAGE('20250815_ETF_Options_Exhibits'!P2021:P2025)),AVERAGE('20250815_ETF_Options_Exhibits'!P2021:P2025),"")</f>
        <v/>
      </c>
      <c r="Q2025" s="3">
        <f>IF(ISNUMBER(AVERAGE('20250815_ETF_Options_Exhibits'!Q2021:Q2025)),AVERAGE('20250815_ETF_Options_Exhibits'!Q2021:Q2025),"")</f>
        <v/>
      </c>
      <c r="R2025" s="3">
        <f>IF(ISNUMBER(AVERAGE('20250815_ETF_Options_Exhibits'!R2021:R2025)),AVERAGE('20250815_ETF_Options_Exhibits'!R2021:R2025),"")</f>
        <v/>
      </c>
      <c r="S2025" s="3">
        <f>IF(ISNUMBER(AVERAGE('20250815_ETF_Options_Exhibits'!S2021:S2025)),AVERAGE('20250815_ETF_Options_Exhibits'!S2021:S2025),"")</f>
        <v/>
      </c>
      <c r="T2025" s="3">
        <f>IF(ISNUMBER(AVERAGE('20250815_ETF_Options_Exhibits'!T2021:T2025)),AVERAGE('20250815_ETF_Options_Exhibits'!T2021:T2025),"")</f>
        <v/>
      </c>
      <c r="U2025" s="3">
        <f>IF(ISNUMBER(AVERAGE('20250815_ETF_Options_Exhibits'!U2021:U2025)),AVERAGE('20250815_ETF_Options_Exhibits'!U2021:U2025),"")</f>
        <v/>
      </c>
      <c r="V2025" s="3">
        <f>IF(ISNUMBER(AVERAGE('20250815_ETF_Options_Exhibits'!V2021:V2025)),AVERAGE('20250815_ETF_Options_Exhibits'!V2021:V2025),"")</f>
        <v/>
      </c>
      <c r="W2025" s="3">
        <f>IF(ISNUMBER(AVERAGE('20250815_ETF_Options_Exhibits'!W2021:W2025)),AVERAGE('20250815_ETF_Options_Exhibits'!W2021:W2025),"")</f>
        <v/>
      </c>
      <c r="X2025" s="3">
        <f>IF(ISNUMBER(AVERAGE('20250815_ETF_Options_Exhibits'!X2021:X2025)),AVERAGE('20250815_ETF_Options_Exhibits'!X2021:X2025),"")</f>
        <v/>
      </c>
      <c r="Y2025" s="3">
        <f>IF(ISNUMBER(AVERAGE('20250815_ETF_Options_Exhibits'!Y2021:Y2025)),AVERAGE('20250815_ETF_Options_Exhibits'!Y2021:Y2025),"")</f>
        <v/>
      </c>
      <c r="Z2025" s="3">
        <f>IF(ISNUMBER(AVERAGE('20250815_ETF_Options_Exhibits'!Z2021:Z2025)),AVERAGE('20250815_ETF_Options_Exhibits'!Z2021:Z2025),"")</f>
        <v/>
      </c>
      <c r="AA2025" s="3">
        <f>IF(ISNUMBER(AVERAGE('20250815_ETF_Options_Exhibits'!AA2021:AA2025)),AVERAGE('20250815_ETF_Options_Exhibits'!AA2021:AA2025),"")</f>
        <v/>
      </c>
    </row>
    <row r="2026">
      <c r="A2026" s="1" t="n">
        <v>44943</v>
      </c>
      <c r="B2026" s="3">
        <f>IF(ISNUMBER(AVERAGE('20250815_ETF_Options_Exhibits'!B2022:B2026)),AVERAGE('20250815_ETF_Options_Exhibits'!B2022:B2026),"")</f>
        <v/>
      </c>
      <c r="C2026" s="3">
        <f>IF(ISNUMBER(AVERAGE('20250815_ETF_Options_Exhibits'!C2022:C2026)),AVERAGE('20250815_ETF_Options_Exhibits'!C2022:C2026),"")</f>
        <v/>
      </c>
      <c r="D2026" s="3">
        <f>IF(ISNUMBER(AVERAGE('20250815_ETF_Options_Exhibits'!D2022:D2026)),AVERAGE('20250815_ETF_Options_Exhibits'!D2022:D2026),"")</f>
        <v/>
      </c>
      <c r="E2026" s="3">
        <f>IF(ISNUMBER(AVERAGE('20250815_ETF_Options_Exhibits'!E2022:E2026)),AVERAGE('20250815_ETF_Options_Exhibits'!E2022:E2026),"")</f>
        <v/>
      </c>
      <c r="F2026" s="3">
        <f>IF(ISNUMBER(AVERAGE('20250815_ETF_Options_Exhibits'!F2022:F2026)),AVERAGE('20250815_ETF_Options_Exhibits'!F2022:F2026),"")</f>
        <v/>
      </c>
      <c r="G2026" s="3">
        <f>IF(ISNUMBER(AVERAGE('20250815_ETF_Options_Exhibits'!G2022:G2026)),AVERAGE('20250815_ETF_Options_Exhibits'!G2022:G2026),"")</f>
        <v/>
      </c>
      <c r="H2026" s="3">
        <f>IF(ISNUMBER(AVERAGE('20250815_ETF_Options_Exhibits'!H2022:H2026)),AVERAGE('20250815_ETF_Options_Exhibits'!H2022:H2026),"")</f>
        <v/>
      </c>
      <c r="I2026" s="3">
        <f>IF(ISNUMBER(AVERAGE('20250815_ETF_Options_Exhibits'!I2022:I2026)),AVERAGE('20250815_ETF_Options_Exhibits'!I2022:I2026),"")</f>
        <v/>
      </c>
      <c r="J2026" s="3">
        <f>IF(ISNUMBER(AVERAGE('20250815_ETF_Options_Exhibits'!J2022:J2026)),AVERAGE('20250815_ETF_Options_Exhibits'!J2022:J2026),"")</f>
        <v/>
      </c>
      <c r="K2026" s="3">
        <f>IF(ISNUMBER(AVERAGE('20250815_ETF_Options_Exhibits'!K2022:K2026)),AVERAGE('20250815_ETF_Options_Exhibits'!K2022:K2026),"")</f>
        <v/>
      </c>
      <c r="L2026" s="3">
        <f>IF(ISNUMBER(AVERAGE('20250815_ETF_Options_Exhibits'!L2022:L2026)),AVERAGE('20250815_ETF_Options_Exhibits'!L2022:L2026),"")</f>
        <v/>
      </c>
      <c r="M2026" s="3">
        <f>IF(ISNUMBER(AVERAGE('20250815_ETF_Options_Exhibits'!M2022:M2026)),AVERAGE('20250815_ETF_Options_Exhibits'!M2022:M2026),"")</f>
        <v/>
      </c>
      <c r="N2026" s="3">
        <f>IF(ISNUMBER(AVERAGE('20250815_ETF_Options_Exhibits'!N2022:N2026)),AVERAGE('20250815_ETF_Options_Exhibits'!N2022:N2026),"")</f>
        <v/>
      </c>
      <c r="O2026" s="3">
        <f>IF(ISNUMBER(AVERAGE('20250815_ETF_Options_Exhibits'!O2022:O2026)),AVERAGE('20250815_ETF_Options_Exhibits'!O2022:O2026),"")</f>
        <v/>
      </c>
      <c r="P2026" s="3">
        <f>IF(ISNUMBER(AVERAGE('20250815_ETF_Options_Exhibits'!P2022:P2026)),AVERAGE('20250815_ETF_Options_Exhibits'!P2022:P2026),"")</f>
        <v/>
      </c>
      <c r="Q2026" s="3">
        <f>IF(ISNUMBER(AVERAGE('20250815_ETF_Options_Exhibits'!Q2022:Q2026)),AVERAGE('20250815_ETF_Options_Exhibits'!Q2022:Q2026),"")</f>
        <v/>
      </c>
      <c r="R2026" s="3">
        <f>IF(ISNUMBER(AVERAGE('20250815_ETF_Options_Exhibits'!R2022:R2026)),AVERAGE('20250815_ETF_Options_Exhibits'!R2022:R2026),"")</f>
        <v/>
      </c>
      <c r="S2026" s="3">
        <f>IF(ISNUMBER(AVERAGE('20250815_ETF_Options_Exhibits'!S2022:S2026)),AVERAGE('20250815_ETF_Options_Exhibits'!S2022:S2026),"")</f>
        <v/>
      </c>
      <c r="T2026" s="3">
        <f>IF(ISNUMBER(AVERAGE('20250815_ETF_Options_Exhibits'!T2022:T2026)),AVERAGE('20250815_ETF_Options_Exhibits'!T2022:T2026),"")</f>
        <v/>
      </c>
      <c r="U2026" s="3">
        <f>IF(ISNUMBER(AVERAGE('20250815_ETF_Options_Exhibits'!U2022:U2026)),AVERAGE('20250815_ETF_Options_Exhibits'!U2022:U2026),"")</f>
        <v/>
      </c>
      <c r="V2026" s="3">
        <f>IF(ISNUMBER(AVERAGE('20250815_ETF_Options_Exhibits'!V2022:V2026)),AVERAGE('20250815_ETF_Options_Exhibits'!V2022:V2026),"")</f>
        <v/>
      </c>
      <c r="W2026" s="3">
        <f>IF(ISNUMBER(AVERAGE('20250815_ETF_Options_Exhibits'!W2022:W2026)),AVERAGE('20250815_ETF_Options_Exhibits'!W2022:W2026),"")</f>
        <v/>
      </c>
      <c r="X2026" s="3">
        <f>IF(ISNUMBER(AVERAGE('20250815_ETF_Options_Exhibits'!X2022:X2026)),AVERAGE('20250815_ETF_Options_Exhibits'!X2022:X2026),"")</f>
        <v/>
      </c>
      <c r="Y2026" s="3">
        <f>IF(ISNUMBER(AVERAGE('20250815_ETF_Options_Exhibits'!Y2022:Y2026)),AVERAGE('20250815_ETF_Options_Exhibits'!Y2022:Y2026),"")</f>
        <v/>
      </c>
      <c r="Z2026" s="3">
        <f>IF(ISNUMBER(AVERAGE('20250815_ETF_Options_Exhibits'!Z2022:Z2026)),AVERAGE('20250815_ETF_Options_Exhibits'!Z2022:Z2026),"")</f>
        <v/>
      </c>
      <c r="AA2026" s="3">
        <f>IF(ISNUMBER(AVERAGE('20250815_ETF_Options_Exhibits'!AA2022:AA2026)),AVERAGE('20250815_ETF_Options_Exhibits'!AA2022:AA2026),"")</f>
        <v/>
      </c>
    </row>
    <row r="2027">
      <c r="A2027" s="1" t="n">
        <v>44944</v>
      </c>
      <c r="B2027" s="3">
        <f>IF(ISNUMBER(AVERAGE('20250815_ETF_Options_Exhibits'!B2023:B2027)),AVERAGE('20250815_ETF_Options_Exhibits'!B2023:B2027),"")</f>
        <v/>
      </c>
      <c r="C2027" s="3">
        <f>IF(ISNUMBER(AVERAGE('20250815_ETF_Options_Exhibits'!C2023:C2027)),AVERAGE('20250815_ETF_Options_Exhibits'!C2023:C2027),"")</f>
        <v/>
      </c>
      <c r="D2027" s="3">
        <f>IF(ISNUMBER(AVERAGE('20250815_ETF_Options_Exhibits'!D2023:D2027)),AVERAGE('20250815_ETF_Options_Exhibits'!D2023:D2027),"")</f>
        <v/>
      </c>
      <c r="E2027" s="3">
        <f>IF(ISNUMBER(AVERAGE('20250815_ETF_Options_Exhibits'!E2023:E2027)),AVERAGE('20250815_ETF_Options_Exhibits'!E2023:E2027),"")</f>
        <v/>
      </c>
      <c r="F2027" s="3">
        <f>IF(ISNUMBER(AVERAGE('20250815_ETF_Options_Exhibits'!F2023:F2027)),AVERAGE('20250815_ETF_Options_Exhibits'!F2023:F2027),"")</f>
        <v/>
      </c>
      <c r="G2027" s="3">
        <f>IF(ISNUMBER(AVERAGE('20250815_ETF_Options_Exhibits'!G2023:G2027)),AVERAGE('20250815_ETF_Options_Exhibits'!G2023:G2027),"")</f>
        <v/>
      </c>
      <c r="H2027" s="3">
        <f>IF(ISNUMBER(AVERAGE('20250815_ETF_Options_Exhibits'!H2023:H2027)),AVERAGE('20250815_ETF_Options_Exhibits'!H2023:H2027),"")</f>
        <v/>
      </c>
      <c r="I2027" s="3">
        <f>IF(ISNUMBER(AVERAGE('20250815_ETF_Options_Exhibits'!I2023:I2027)),AVERAGE('20250815_ETF_Options_Exhibits'!I2023:I2027),"")</f>
        <v/>
      </c>
      <c r="J2027" s="3">
        <f>IF(ISNUMBER(AVERAGE('20250815_ETF_Options_Exhibits'!J2023:J2027)),AVERAGE('20250815_ETF_Options_Exhibits'!J2023:J2027),"")</f>
        <v/>
      </c>
      <c r="K2027" s="3">
        <f>IF(ISNUMBER(AVERAGE('20250815_ETF_Options_Exhibits'!K2023:K2027)),AVERAGE('20250815_ETF_Options_Exhibits'!K2023:K2027),"")</f>
        <v/>
      </c>
      <c r="L2027" s="3">
        <f>IF(ISNUMBER(AVERAGE('20250815_ETF_Options_Exhibits'!L2023:L2027)),AVERAGE('20250815_ETF_Options_Exhibits'!L2023:L2027),"")</f>
        <v/>
      </c>
      <c r="M2027" s="3">
        <f>IF(ISNUMBER(AVERAGE('20250815_ETF_Options_Exhibits'!M2023:M2027)),AVERAGE('20250815_ETF_Options_Exhibits'!M2023:M2027),"")</f>
        <v/>
      </c>
      <c r="N2027" s="3">
        <f>IF(ISNUMBER(AVERAGE('20250815_ETF_Options_Exhibits'!N2023:N2027)),AVERAGE('20250815_ETF_Options_Exhibits'!N2023:N2027),"")</f>
        <v/>
      </c>
      <c r="O2027" s="3">
        <f>IF(ISNUMBER(AVERAGE('20250815_ETF_Options_Exhibits'!O2023:O2027)),AVERAGE('20250815_ETF_Options_Exhibits'!O2023:O2027),"")</f>
        <v/>
      </c>
      <c r="P2027" s="3">
        <f>IF(ISNUMBER(AVERAGE('20250815_ETF_Options_Exhibits'!P2023:P2027)),AVERAGE('20250815_ETF_Options_Exhibits'!P2023:P2027),"")</f>
        <v/>
      </c>
      <c r="Q2027" s="3">
        <f>IF(ISNUMBER(AVERAGE('20250815_ETF_Options_Exhibits'!Q2023:Q2027)),AVERAGE('20250815_ETF_Options_Exhibits'!Q2023:Q2027),"")</f>
        <v/>
      </c>
      <c r="R2027" s="3">
        <f>IF(ISNUMBER(AVERAGE('20250815_ETF_Options_Exhibits'!R2023:R2027)),AVERAGE('20250815_ETF_Options_Exhibits'!R2023:R2027),"")</f>
        <v/>
      </c>
      <c r="S2027" s="3">
        <f>IF(ISNUMBER(AVERAGE('20250815_ETF_Options_Exhibits'!S2023:S2027)),AVERAGE('20250815_ETF_Options_Exhibits'!S2023:S2027),"")</f>
        <v/>
      </c>
      <c r="T2027" s="3">
        <f>IF(ISNUMBER(AVERAGE('20250815_ETF_Options_Exhibits'!T2023:T2027)),AVERAGE('20250815_ETF_Options_Exhibits'!T2023:T2027),"")</f>
        <v/>
      </c>
      <c r="U2027" s="3">
        <f>IF(ISNUMBER(AVERAGE('20250815_ETF_Options_Exhibits'!U2023:U2027)),AVERAGE('20250815_ETF_Options_Exhibits'!U2023:U2027),"")</f>
        <v/>
      </c>
      <c r="V2027" s="3">
        <f>IF(ISNUMBER(AVERAGE('20250815_ETF_Options_Exhibits'!V2023:V2027)),AVERAGE('20250815_ETF_Options_Exhibits'!V2023:V2027),"")</f>
        <v/>
      </c>
      <c r="W2027" s="3">
        <f>IF(ISNUMBER(AVERAGE('20250815_ETF_Options_Exhibits'!W2023:W2027)),AVERAGE('20250815_ETF_Options_Exhibits'!W2023:W2027),"")</f>
        <v/>
      </c>
      <c r="X2027" s="3">
        <f>IF(ISNUMBER(AVERAGE('20250815_ETF_Options_Exhibits'!X2023:X2027)),AVERAGE('20250815_ETF_Options_Exhibits'!X2023:X2027),"")</f>
        <v/>
      </c>
      <c r="Y2027" s="3">
        <f>IF(ISNUMBER(AVERAGE('20250815_ETF_Options_Exhibits'!Y2023:Y2027)),AVERAGE('20250815_ETF_Options_Exhibits'!Y2023:Y2027),"")</f>
        <v/>
      </c>
      <c r="Z2027" s="3">
        <f>IF(ISNUMBER(AVERAGE('20250815_ETF_Options_Exhibits'!Z2023:Z2027)),AVERAGE('20250815_ETF_Options_Exhibits'!Z2023:Z2027),"")</f>
        <v/>
      </c>
      <c r="AA2027" s="3">
        <f>IF(ISNUMBER(AVERAGE('20250815_ETF_Options_Exhibits'!AA2023:AA2027)),AVERAGE('20250815_ETF_Options_Exhibits'!AA2023:AA2027),"")</f>
        <v/>
      </c>
    </row>
    <row r="2028">
      <c r="A2028" s="1" t="n">
        <v>44945</v>
      </c>
      <c r="B2028" s="3">
        <f>IF(ISNUMBER(AVERAGE('20250815_ETF_Options_Exhibits'!B2024:B2028)),AVERAGE('20250815_ETF_Options_Exhibits'!B2024:B2028),"")</f>
        <v/>
      </c>
      <c r="C2028" s="3">
        <f>IF(ISNUMBER(AVERAGE('20250815_ETF_Options_Exhibits'!C2024:C2028)),AVERAGE('20250815_ETF_Options_Exhibits'!C2024:C2028),"")</f>
        <v/>
      </c>
      <c r="D2028" s="3">
        <f>IF(ISNUMBER(AVERAGE('20250815_ETF_Options_Exhibits'!D2024:D2028)),AVERAGE('20250815_ETF_Options_Exhibits'!D2024:D2028),"")</f>
        <v/>
      </c>
      <c r="E2028" s="3">
        <f>IF(ISNUMBER(AVERAGE('20250815_ETF_Options_Exhibits'!E2024:E2028)),AVERAGE('20250815_ETF_Options_Exhibits'!E2024:E2028),"")</f>
        <v/>
      </c>
      <c r="F2028" s="3">
        <f>IF(ISNUMBER(AVERAGE('20250815_ETF_Options_Exhibits'!F2024:F2028)),AVERAGE('20250815_ETF_Options_Exhibits'!F2024:F2028),"")</f>
        <v/>
      </c>
      <c r="G2028" s="3">
        <f>IF(ISNUMBER(AVERAGE('20250815_ETF_Options_Exhibits'!G2024:G2028)),AVERAGE('20250815_ETF_Options_Exhibits'!G2024:G2028),"")</f>
        <v/>
      </c>
      <c r="H2028" s="3">
        <f>IF(ISNUMBER(AVERAGE('20250815_ETF_Options_Exhibits'!H2024:H2028)),AVERAGE('20250815_ETF_Options_Exhibits'!H2024:H2028),"")</f>
        <v/>
      </c>
      <c r="I2028" s="3">
        <f>IF(ISNUMBER(AVERAGE('20250815_ETF_Options_Exhibits'!I2024:I2028)),AVERAGE('20250815_ETF_Options_Exhibits'!I2024:I2028),"")</f>
        <v/>
      </c>
      <c r="J2028" s="3">
        <f>IF(ISNUMBER(AVERAGE('20250815_ETF_Options_Exhibits'!J2024:J2028)),AVERAGE('20250815_ETF_Options_Exhibits'!J2024:J2028),"")</f>
        <v/>
      </c>
      <c r="K2028" s="3">
        <f>IF(ISNUMBER(AVERAGE('20250815_ETF_Options_Exhibits'!K2024:K2028)),AVERAGE('20250815_ETF_Options_Exhibits'!K2024:K2028),"")</f>
        <v/>
      </c>
      <c r="L2028" s="3">
        <f>IF(ISNUMBER(AVERAGE('20250815_ETF_Options_Exhibits'!L2024:L2028)),AVERAGE('20250815_ETF_Options_Exhibits'!L2024:L2028),"")</f>
        <v/>
      </c>
      <c r="M2028" s="3">
        <f>IF(ISNUMBER(AVERAGE('20250815_ETF_Options_Exhibits'!M2024:M2028)),AVERAGE('20250815_ETF_Options_Exhibits'!M2024:M2028),"")</f>
        <v/>
      </c>
      <c r="N2028" s="3">
        <f>IF(ISNUMBER(AVERAGE('20250815_ETF_Options_Exhibits'!N2024:N2028)),AVERAGE('20250815_ETF_Options_Exhibits'!N2024:N2028),"")</f>
        <v/>
      </c>
      <c r="O2028" s="3">
        <f>IF(ISNUMBER(AVERAGE('20250815_ETF_Options_Exhibits'!O2024:O2028)),AVERAGE('20250815_ETF_Options_Exhibits'!O2024:O2028),"")</f>
        <v/>
      </c>
      <c r="P2028" s="3">
        <f>IF(ISNUMBER(AVERAGE('20250815_ETF_Options_Exhibits'!P2024:P2028)),AVERAGE('20250815_ETF_Options_Exhibits'!P2024:P2028),"")</f>
        <v/>
      </c>
      <c r="Q2028" s="3">
        <f>IF(ISNUMBER(AVERAGE('20250815_ETF_Options_Exhibits'!Q2024:Q2028)),AVERAGE('20250815_ETF_Options_Exhibits'!Q2024:Q2028),"")</f>
        <v/>
      </c>
      <c r="R2028" s="3">
        <f>IF(ISNUMBER(AVERAGE('20250815_ETF_Options_Exhibits'!R2024:R2028)),AVERAGE('20250815_ETF_Options_Exhibits'!R2024:R2028),"")</f>
        <v/>
      </c>
      <c r="S2028" s="3">
        <f>IF(ISNUMBER(AVERAGE('20250815_ETF_Options_Exhibits'!S2024:S2028)),AVERAGE('20250815_ETF_Options_Exhibits'!S2024:S2028),"")</f>
        <v/>
      </c>
      <c r="T2028" s="3">
        <f>IF(ISNUMBER(AVERAGE('20250815_ETF_Options_Exhibits'!T2024:T2028)),AVERAGE('20250815_ETF_Options_Exhibits'!T2024:T2028),"")</f>
        <v/>
      </c>
      <c r="U2028" s="3">
        <f>IF(ISNUMBER(AVERAGE('20250815_ETF_Options_Exhibits'!U2024:U2028)),AVERAGE('20250815_ETF_Options_Exhibits'!U2024:U2028),"")</f>
        <v/>
      </c>
      <c r="V2028" s="3">
        <f>IF(ISNUMBER(AVERAGE('20250815_ETF_Options_Exhibits'!V2024:V2028)),AVERAGE('20250815_ETF_Options_Exhibits'!V2024:V2028),"")</f>
        <v/>
      </c>
      <c r="W2028" s="3">
        <f>IF(ISNUMBER(AVERAGE('20250815_ETF_Options_Exhibits'!W2024:W2028)),AVERAGE('20250815_ETF_Options_Exhibits'!W2024:W2028),"")</f>
        <v/>
      </c>
      <c r="X2028" s="3">
        <f>IF(ISNUMBER(AVERAGE('20250815_ETF_Options_Exhibits'!X2024:X2028)),AVERAGE('20250815_ETF_Options_Exhibits'!X2024:X2028),"")</f>
        <v/>
      </c>
      <c r="Y2028" s="3">
        <f>IF(ISNUMBER(AVERAGE('20250815_ETF_Options_Exhibits'!Y2024:Y2028)),AVERAGE('20250815_ETF_Options_Exhibits'!Y2024:Y2028),"")</f>
        <v/>
      </c>
      <c r="Z2028" s="3">
        <f>IF(ISNUMBER(AVERAGE('20250815_ETF_Options_Exhibits'!Z2024:Z2028)),AVERAGE('20250815_ETF_Options_Exhibits'!Z2024:Z2028),"")</f>
        <v/>
      </c>
      <c r="AA2028" s="3">
        <f>IF(ISNUMBER(AVERAGE('20250815_ETF_Options_Exhibits'!AA2024:AA2028)),AVERAGE('20250815_ETF_Options_Exhibits'!AA2024:AA2028),"")</f>
        <v/>
      </c>
    </row>
    <row r="2029">
      <c r="A2029" s="1" t="n">
        <v>44946</v>
      </c>
      <c r="B2029" s="3">
        <f>IF(ISNUMBER(AVERAGE('20250815_ETF_Options_Exhibits'!B2025:B2029)),AVERAGE('20250815_ETF_Options_Exhibits'!B2025:B2029),"")</f>
        <v/>
      </c>
      <c r="C2029" s="3">
        <f>IF(ISNUMBER(AVERAGE('20250815_ETF_Options_Exhibits'!C2025:C2029)),AVERAGE('20250815_ETF_Options_Exhibits'!C2025:C2029),"")</f>
        <v/>
      </c>
      <c r="D2029" s="3">
        <f>IF(ISNUMBER(AVERAGE('20250815_ETF_Options_Exhibits'!D2025:D2029)),AVERAGE('20250815_ETF_Options_Exhibits'!D2025:D2029),"")</f>
        <v/>
      </c>
      <c r="E2029" s="3">
        <f>IF(ISNUMBER(AVERAGE('20250815_ETF_Options_Exhibits'!E2025:E2029)),AVERAGE('20250815_ETF_Options_Exhibits'!E2025:E2029),"")</f>
        <v/>
      </c>
      <c r="F2029" s="3">
        <f>IF(ISNUMBER(AVERAGE('20250815_ETF_Options_Exhibits'!F2025:F2029)),AVERAGE('20250815_ETF_Options_Exhibits'!F2025:F2029),"")</f>
        <v/>
      </c>
      <c r="G2029" s="3">
        <f>IF(ISNUMBER(AVERAGE('20250815_ETF_Options_Exhibits'!G2025:G2029)),AVERAGE('20250815_ETF_Options_Exhibits'!G2025:G2029),"")</f>
        <v/>
      </c>
      <c r="H2029" s="3">
        <f>IF(ISNUMBER(AVERAGE('20250815_ETF_Options_Exhibits'!H2025:H2029)),AVERAGE('20250815_ETF_Options_Exhibits'!H2025:H2029),"")</f>
        <v/>
      </c>
      <c r="I2029" s="3">
        <f>IF(ISNUMBER(AVERAGE('20250815_ETF_Options_Exhibits'!I2025:I2029)),AVERAGE('20250815_ETF_Options_Exhibits'!I2025:I2029),"")</f>
        <v/>
      </c>
      <c r="J2029" s="3">
        <f>IF(ISNUMBER(AVERAGE('20250815_ETF_Options_Exhibits'!J2025:J2029)),AVERAGE('20250815_ETF_Options_Exhibits'!J2025:J2029),"")</f>
        <v/>
      </c>
      <c r="K2029" s="3">
        <f>IF(ISNUMBER(AVERAGE('20250815_ETF_Options_Exhibits'!K2025:K2029)),AVERAGE('20250815_ETF_Options_Exhibits'!K2025:K2029),"")</f>
        <v/>
      </c>
      <c r="L2029" s="3">
        <f>IF(ISNUMBER(AVERAGE('20250815_ETF_Options_Exhibits'!L2025:L2029)),AVERAGE('20250815_ETF_Options_Exhibits'!L2025:L2029),"")</f>
        <v/>
      </c>
      <c r="M2029" s="3">
        <f>IF(ISNUMBER(AVERAGE('20250815_ETF_Options_Exhibits'!M2025:M2029)),AVERAGE('20250815_ETF_Options_Exhibits'!M2025:M2029),"")</f>
        <v/>
      </c>
      <c r="N2029" s="3">
        <f>IF(ISNUMBER(AVERAGE('20250815_ETF_Options_Exhibits'!N2025:N2029)),AVERAGE('20250815_ETF_Options_Exhibits'!N2025:N2029),"")</f>
        <v/>
      </c>
      <c r="O2029" s="3">
        <f>IF(ISNUMBER(AVERAGE('20250815_ETF_Options_Exhibits'!O2025:O2029)),AVERAGE('20250815_ETF_Options_Exhibits'!O2025:O2029),"")</f>
        <v/>
      </c>
      <c r="P2029" s="3">
        <f>IF(ISNUMBER(AVERAGE('20250815_ETF_Options_Exhibits'!P2025:P2029)),AVERAGE('20250815_ETF_Options_Exhibits'!P2025:P2029),"")</f>
        <v/>
      </c>
      <c r="Q2029" s="3">
        <f>IF(ISNUMBER(AVERAGE('20250815_ETF_Options_Exhibits'!Q2025:Q2029)),AVERAGE('20250815_ETF_Options_Exhibits'!Q2025:Q2029),"")</f>
        <v/>
      </c>
      <c r="R2029" s="3">
        <f>IF(ISNUMBER(AVERAGE('20250815_ETF_Options_Exhibits'!R2025:R2029)),AVERAGE('20250815_ETF_Options_Exhibits'!R2025:R2029),"")</f>
        <v/>
      </c>
      <c r="S2029" s="3">
        <f>IF(ISNUMBER(AVERAGE('20250815_ETF_Options_Exhibits'!S2025:S2029)),AVERAGE('20250815_ETF_Options_Exhibits'!S2025:S2029),"")</f>
        <v/>
      </c>
      <c r="T2029" s="3">
        <f>IF(ISNUMBER(AVERAGE('20250815_ETF_Options_Exhibits'!T2025:T2029)),AVERAGE('20250815_ETF_Options_Exhibits'!T2025:T2029),"")</f>
        <v/>
      </c>
      <c r="U2029" s="3">
        <f>IF(ISNUMBER(AVERAGE('20250815_ETF_Options_Exhibits'!U2025:U2029)),AVERAGE('20250815_ETF_Options_Exhibits'!U2025:U2029),"")</f>
        <v/>
      </c>
      <c r="V2029" s="3">
        <f>IF(ISNUMBER(AVERAGE('20250815_ETF_Options_Exhibits'!V2025:V2029)),AVERAGE('20250815_ETF_Options_Exhibits'!V2025:V2029),"")</f>
        <v/>
      </c>
      <c r="W2029" s="3">
        <f>IF(ISNUMBER(AVERAGE('20250815_ETF_Options_Exhibits'!W2025:W2029)),AVERAGE('20250815_ETF_Options_Exhibits'!W2025:W2029),"")</f>
        <v/>
      </c>
      <c r="X2029" s="3">
        <f>IF(ISNUMBER(AVERAGE('20250815_ETF_Options_Exhibits'!X2025:X2029)),AVERAGE('20250815_ETF_Options_Exhibits'!X2025:X2029),"")</f>
        <v/>
      </c>
      <c r="Y2029" s="3">
        <f>IF(ISNUMBER(AVERAGE('20250815_ETF_Options_Exhibits'!Y2025:Y2029)),AVERAGE('20250815_ETF_Options_Exhibits'!Y2025:Y2029),"")</f>
        <v/>
      </c>
      <c r="Z2029" s="3">
        <f>IF(ISNUMBER(AVERAGE('20250815_ETF_Options_Exhibits'!Z2025:Z2029)),AVERAGE('20250815_ETF_Options_Exhibits'!Z2025:Z2029),"")</f>
        <v/>
      </c>
      <c r="AA2029" s="3">
        <f>IF(ISNUMBER(AVERAGE('20250815_ETF_Options_Exhibits'!AA2025:AA2029)),AVERAGE('20250815_ETF_Options_Exhibits'!AA2025:AA2029),"")</f>
        <v/>
      </c>
    </row>
    <row r="2030">
      <c r="A2030" s="1" t="n">
        <v>44949</v>
      </c>
      <c r="B2030" s="3">
        <f>IF(ISNUMBER(AVERAGE('20250815_ETF_Options_Exhibits'!B2026:B2030)),AVERAGE('20250815_ETF_Options_Exhibits'!B2026:B2030),"")</f>
        <v/>
      </c>
      <c r="C2030" s="3">
        <f>IF(ISNUMBER(AVERAGE('20250815_ETF_Options_Exhibits'!C2026:C2030)),AVERAGE('20250815_ETF_Options_Exhibits'!C2026:C2030),"")</f>
        <v/>
      </c>
      <c r="D2030" s="3">
        <f>IF(ISNUMBER(AVERAGE('20250815_ETF_Options_Exhibits'!D2026:D2030)),AVERAGE('20250815_ETF_Options_Exhibits'!D2026:D2030),"")</f>
        <v/>
      </c>
      <c r="E2030" s="3">
        <f>IF(ISNUMBER(AVERAGE('20250815_ETF_Options_Exhibits'!E2026:E2030)),AVERAGE('20250815_ETF_Options_Exhibits'!E2026:E2030),"")</f>
        <v/>
      </c>
      <c r="F2030" s="3">
        <f>IF(ISNUMBER(AVERAGE('20250815_ETF_Options_Exhibits'!F2026:F2030)),AVERAGE('20250815_ETF_Options_Exhibits'!F2026:F2030),"")</f>
        <v/>
      </c>
      <c r="G2030" s="3">
        <f>IF(ISNUMBER(AVERAGE('20250815_ETF_Options_Exhibits'!G2026:G2030)),AVERAGE('20250815_ETF_Options_Exhibits'!G2026:G2030),"")</f>
        <v/>
      </c>
      <c r="H2030" s="3">
        <f>IF(ISNUMBER(AVERAGE('20250815_ETF_Options_Exhibits'!H2026:H2030)),AVERAGE('20250815_ETF_Options_Exhibits'!H2026:H2030),"")</f>
        <v/>
      </c>
      <c r="I2030" s="3">
        <f>IF(ISNUMBER(AVERAGE('20250815_ETF_Options_Exhibits'!I2026:I2030)),AVERAGE('20250815_ETF_Options_Exhibits'!I2026:I2030),"")</f>
        <v/>
      </c>
      <c r="J2030" s="3">
        <f>IF(ISNUMBER(AVERAGE('20250815_ETF_Options_Exhibits'!J2026:J2030)),AVERAGE('20250815_ETF_Options_Exhibits'!J2026:J2030),"")</f>
        <v/>
      </c>
      <c r="K2030" s="3">
        <f>IF(ISNUMBER(AVERAGE('20250815_ETF_Options_Exhibits'!K2026:K2030)),AVERAGE('20250815_ETF_Options_Exhibits'!K2026:K2030),"")</f>
        <v/>
      </c>
      <c r="L2030" s="3">
        <f>IF(ISNUMBER(AVERAGE('20250815_ETF_Options_Exhibits'!L2026:L2030)),AVERAGE('20250815_ETF_Options_Exhibits'!L2026:L2030),"")</f>
        <v/>
      </c>
      <c r="M2030" s="3">
        <f>IF(ISNUMBER(AVERAGE('20250815_ETF_Options_Exhibits'!M2026:M2030)),AVERAGE('20250815_ETF_Options_Exhibits'!M2026:M2030),"")</f>
        <v/>
      </c>
      <c r="N2030" s="3">
        <f>IF(ISNUMBER(AVERAGE('20250815_ETF_Options_Exhibits'!N2026:N2030)),AVERAGE('20250815_ETF_Options_Exhibits'!N2026:N2030),"")</f>
        <v/>
      </c>
      <c r="O2030" s="3">
        <f>IF(ISNUMBER(AVERAGE('20250815_ETF_Options_Exhibits'!O2026:O2030)),AVERAGE('20250815_ETF_Options_Exhibits'!O2026:O2030),"")</f>
        <v/>
      </c>
      <c r="P2030" s="3">
        <f>IF(ISNUMBER(AVERAGE('20250815_ETF_Options_Exhibits'!P2026:P2030)),AVERAGE('20250815_ETF_Options_Exhibits'!P2026:P2030),"")</f>
        <v/>
      </c>
      <c r="Q2030" s="3">
        <f>IF(ISNUMBER(AVERAGE('20250815_ETF_Options_Exhibits'!Q2026:Q2030)),AVERAGE('20250815_ETF_Options_Exhibits'!Q2026:Q2030),"")</f>
        <v/>
      </c>
      <c r="R2030" s="3">
        <f>IF(ISNUMBER(AVERAGE('20250815_ETF_Options_Exhibits'!R2026:R2030)),AVERAGE('20250815_ETF_Options_Exhibits'!R2026:R2030),"")</f>
        <v/>
      </c>
      <c r="S2030" s="3">
        <f>IF(ISNUMBER(AVERAGE('20250815_ETF_Options_Exhibits'!S2026:S2030)),AVERAGE('20250815_ETF_Options_Exhibits'!S2026:S2030),"")</f>
        <v/>
      </c>
      <c r="T2030" s="3">
        <f>IF(ISNUMBER(AVERAGE('20250815_ETF_Options_Exhibits'!T2026:T2030)),AVERAGE('20250815_ETF_Options_Exhibits'!T2026:T2030),"")</f>
        <v/>
      </c>
      <c r="U2030" s="3">
        <f>IF(ISNUMBER(AVERAGE('20250815_ETF_Options_Exhibits'!U2026:U2030)),AVERAGE('20250815_ETF_Options_Exhibits'!U2026:U2030),"")</f>
        <v/>
      </c>
      <c r="V2030" s="3">
        <f>IF(ISNUMBER(AVERAGE('20250815_ETF_Options_Exhibits'!V2026:V2030)),AVERAGE('20250815_ETF_Options_Exhibits'!V2026:V2030),"")</f>
        <v/>
      </c>
      <c r="W2030" s="3">
        <f>IF(ISNUMBER(AVERAGE('20250815_ETF_Options_Exhibits'!W2026:W2030)),AVERAGE('20250815_ETF_Options_Exhibits'!W2026:W2030),"")</f>
        <v/>
      </c>
      <c r="X2030" s="3">
        <f>IF(ISNUMBER(AVERAGE('20250815_ETF_Options_Exhibits'!X2026:X2030)),AVERAGE('20250815_ETF_Options_Exhibits'!X2026:X2030),"")</f>
        <v/>
      </c>
      <c r="Y2030" s="3">
        <f>IF(ISNUMBER(AVERAGE('20250815_ETF_Options_Exhibits'!Y2026:Y2030)),AVERAGE('20250815_ETF_Options_Exhibits'!Y2026:Y2030),"")</f>
        <v/>
      </c>
      <c r="Z2030" s="3">
        <f>IF(ISNUMBER(AVERAGE('20250815_ETF_Options_Exhibits'!Z2026:Z2030)),AVERAGE('20250815_ETF_Options_Exhibits'!Z2026:Z2030),"")</f>
        <v/>
      </c>
      <c r="AA2030" s="3">
        <f>IF(ISNUMBER(AVERAGE('20250815_ETF_Options_Exhibits'!AA2026:AA2030)),AVERAGE('20250815_ETF_Options_Exhibits'!AA2026:AA2030),"")</f>
        <v/>
      </c>
    </row>
    <row r="2031">
      <c r="A2031" s="1" t="n">
        <v>44950</v>
      </c>
      <c r="B2031" s="3">
        <f>IF(ISNUMBER(AVERAGE('20250815_ETF_Options_Exhibits'!B2027:B2031)),AVERAGE('20250815_ETF_Options_Exhibits'!B2027:B2031),"")</f>
        <v/>
      </c>
      <c r="C2031" s="3">
        <f>IF(ISNUMBER(AVERAGE('20250815_ETF_Options_Exhibits'!C2027:C2031)),AVERAGE('20250815_ETF_Options_Exhibits'!C2027:C2031),"")</f>
        <v/>
      </c>
      <c r="D2031" s="3">
        <f>IF(ISNUMBER(AVERAGE('20250815_ETF_Options_Exhibits'!D2027:D2031)),AVERAGE('20250815_ETF_Options_Exhibits'!D2027:D2031),"")</f>
        <v/>
      </c>
      <c r="E2031" s="3">
        <f>IF(ISNUMBER(AVERAGE('20250815_ETF_Options_Exhibits'!E2027:E2031)),AVERAGE('20250815_ETF_Options_Exhibits'!E2027:E2031),"")</f>
        <v/>
      </c>
      <c r="F2031" s="3">
        <f>IF(ISNUMBER(AVERAGE('20250815_ETF_Options_Exhibits'!F2027:F2031)),AVERAGE('20250815_ETF_Options_Exhibits'!F2027:F2031),"")</f>
        <v/>
      </c>
      <c r="G2031" s="3">
        <f>IF(ISNUMBER(AVERAGE('20250815_ETF_Options_Exhibits'!G2027:G2031)),AVERAGE('20250815_ETF_Options_Exhibits'!G2027:G2031),"")</f>
        <v/>
      </c>
      <c r="H2031" s="3">
        <f>IF(ISNUMBER(AVERAGE('20250815_ETF_Options_Exhibits'!H2027:H2031)),AVERAGE('20250815_ETF_Options_Exhibits'!H2027:H2031),"")</f>
        <v/>
      </c>
      <c r="I2031" s="3">
        <f>IF(ISNUMBER(AVERAGE('20250815_ETF_Options_Exhibits'!I2027:I2031)),AVERAGE('20250815_ETF_Options_Exhibits'!I2027:I2031),"")</f>
        <v/>
      </c>
      <c r="J2031" s="3">
        <f>IF(ISNUMBER(AVERAGE('20250815_ETF_Options_Exhibits'!J2027:J2031)),AVERAGE('20250815_ETF_Options_Exhibits'!J2027:J2031),"")</f>
        <v/>
      </c>
      <c r="K2031" s="3">
        <f>IF(ISNUMBER(AVERAGE('20250815_ETF_Options_Exhibits'!K2027:K2031)),AVERAGE('20250815_ETF_Options_Exhibits'!K2027:K2031),"")</f>
        <v/>
      </c>
      <c r="L2031" s="3">
        <f>IF(ISNUMBER(AVERAGE('20250815_ETF_Options_Exhibits'!L2027:L2031)),AVERAGE('20250815_ETF_Options_Exhibits'!L2027:L2031),"")</f>
        <v/>
      </c>
      <c r="M2031" s="3">
        <f>IF(ISNUMBER(AVERAGE('20250815_ETF_Options_Exhibits'!M2027:M2031)),AVERAGE('20250815_ETF_Options_Exhibits'!M2027:M2031),"")</f>
        <v/>
      </c>
      <c r="N2031" s="3">
        <f>IF(ISNUMBER(AVERAGE('20250815_ETF_Options_Exhibits'!N2027:N2031)),AVERAGE('20250815_ETF_Options_Exhibits'!N2027:N2031),"")</f>
        <v/>
      </c>
      <c r="O2031" s="3">
        <f>IF(ISNUMBER(AVERAGE('20250815_ETF_Options_Exhibits'!O2027:O2031)),AVERAGE('20250815_ETF_Options_Exhibits'!O2027:O2031),"")</f>
        <v/>
      </c>
      <c r="P2031" s="3">
        <f>IF(ISNUMBER(AVERAGE('20250815_ETF_Options_Exhibits'!P2027:P2031)),AVERAGE('20250815_ETF_Options_Exhibits'!P2027:P2031),"")</f>
        <v/>
      </c>
      <c r="Q2031" s="3">
        <f>IF(ISNUMBER(AVERAGE('20250815_ETF_Options_Exhibits'!Q2027:Q2031)),AVERAGE('20250815_ETF_Options_Exhibits'!Q2027:Q2031),"")</f>
        <v/>
      </c>
      <c r="R2031" s="3">
        <f>IF(ISNUMBER(AVERAGE('20250815_ETF_Options_Exhibits'!R2027:R2031)),AVERAGE('20250815_ETF_Options_Exhibits'!R2027:R2031),"")</f>
        <v/>
      </c>
      <c r="S2031" s="3">
        <f>IF(ISNUMBER(AVERAGE('20250815_ETF_Options_Exhibits'!S2027:S2031)),AVERAGE('20250815_ETF_Options_Exhibits'!S2027:S2031),"")</f>
        <v/>
      </c>
      <c r="T2031" s="3">
        <f>IF(ISNUMBER(AVERAGE('20250815_ETF_Options_Exhibits'!T2027:T2031)),AVERAGE('20250815_ETF_Options_Exhibits'!T2027:T2031),"")</f>
        <v/>
      </c>
      <c r="U2031" s="3">
        <f>IF(ISNUMBER(AVERAGE('20250815_ETF_Options_Exhibits'!U2027:U2031)),AVERAGE('20250815_ETF_Options_Exhibits'!U2027:U2031),"")</f>
        <v/>
      </c>
      <c r="V2031" s="3">
        <f>IF(ISNUMBER(AVERAGE('20250815_ETF_Options_Exhibits'!V2027:V2031)),AVERAGE('20250815_ETF_Options_Exhibits'!V2027:V2031),"")</f>
        <v/>
      </c>
      <c r="W2031" s="3">
        <f>IF(ISNUMBER(AVERAGE('20250815_ETF_Options_Exhibits'!W2027:W2031)),AVERAGE('20250815_ETF_Options_Exhibits'!W2027:W2031),"")</f>
        <v/>
      </c>
      <c r="X2031" s="3">
        <f>IF(ISNUMBER(AVERAGE('20250815_ETF_Options_Exhibits'!X2027:X2031)),AVERAGE('20250815_ETF_Options_Exhibits'!X2027:X2031),"")</f>
        <v/>
      </c>
      <c r="Y2031" s="3">
        <f>IF(ISNUMBER(AVERAGE('20250815_ETF_Options_Exhibits'!Y2027:Y2031)),AVERAGE('20250815_ETF_Options_Exhibits'!Y2027:Y2031),"")</f>
        <v/>
      </c>
      <c r="Z2031" s="3">
        <f>IF(ISNUMBER(AVERAGE('20250815_ETF_Options_Exhibits'!Z2027:Z2031)),AVERAGE('20250815_ETF_Options_Exhibits'!Z2027:Z2031),"")</f>
        <v/>
      </c>
      <c r="AA2031" s="3">
        <f>IF(ISNUMBER(AVERAGE('20250815_ETF_Options_Exhibits'!AA2027:AA2031)),AVERAGE('20250815_ETF_Options_Exhibits'!AA2027:AA2031),"")</f>
        <v/>
      </c>
    </row>
    <row r="2032">
      <c r="A2032" s="1" t="n">
        <v>44951</v>
      </c>
      <c r="B2032" s="3">
        <f>IF(ISNUMBER(AVERAGE('20250815_ETF_Options_Exhibits'!B2028:B2032)),AVERAGE('20250815_ETF_Options_Exhibits'!B2028:B2032),"")</f>
        <v/>
      </c>
      <c r="C2032" s="3">
        <f>IF(ISNUMBER(AVERAGE('20250815_ETF_Options_Exhibits'!C2028:C2032)),AVERAGE('20250815_ETF_Options_Exhibits'!C2028:C2032),"")</f>
        <v/>
      </c>
      <c r="D2032" s="3">
        <f>IF(ISNUMBER(AVERAGE('20250815_ETF_Options_Exhibits'!D2028:D2032)),AVERAGE('20250815_ETF_Options_Exhibits'!D2028:D2032),"")</f>
        <v/>
      </c>
      <c r="E2032" s="3">
        <f>IF(ISNUMBER(AVERAGE('20250815_ETF_Options_Exhibits'!E2028:E2032)),AVERAGE('20250815_ETF_Options_Exhibits'!E2028:E2032),"")</f>
        <v/>
      </c>
      <c r="F2032" s="3">
        <f>IF(ISNUMBER(AVERAGE('20250815_ETF_Options_Exhibits'!F2028:F2032)),AVERAGE('20250815_ETF_Options_Exhibits'!F2028:F2032),"")</f>
        <v/>
      </c>
      <c r="G2032" s="3">
        <f>IF(ISNUMBER(AVERAGE('20250815_ETF_Options_Exhibits'!G2028:G2032)),AVERAGE('20250815_ETF_Options_Exhibits'!G2028:G2032),"")</f>
        <v/>
      </c>
      <c r="H2032" s="3">
        <f>IF(ISNUMBER(AVERAGE('20250815_ETF_Options_Exhibits'!H2028:H2032)),AVERAGE('20250815_ETF_Options_Exhibits'!H2028:H2032),"")</f>
        <v/>
      </c>
      <c r="I2032" s="3">
        <f>IF(ISNUMBER(AVERAGE('20250815_ETF_Options_Exhibits'!I2028:I2032)),AVERAGE('20250815_ETF_Options_Exhibits'!I2028:I2032),"")</f>
        <v/>
      </c>
      <c r="J2032" s="3">
        <f>IF(ISNUMBER(AVERAGE('20250815_ETF_Options_Exhibits'!J2028:J2032)),AVERAGE('20250815_ETF_Options_Exhibits'!J2028:J2032),"")</f>
        <v/>
      </c>
      <c r="K2032" s="3">
        <f>IF(ISNUMBER(AVERAGE('20250815_ETF_Options_Exhibits'!K2028:K2032)),AVERAGE('20250815_ETF_Options_Exhibits'!K2028:K2032),"")</f>
        <v/>
      </c>
      <c r="L2032" s="3">
        <f>IF(ISNUMBER(AVERAGE('20250815_ETF_Options_Exhibits'!L2028:L2032)),AVERAGE('20250815_ETF_Options_Exhibits'!L2028:L2032),"")</f>
        <v/>
      </c>
      <c r="M2032" s="3">
        <f>IF(ISNUMBER(AVERAGE('20250815_ETF_Options_Exhibits'!M2028:M2032)),AVERAGE('20250815_ETF_Options_Exhibits'!M2028:M2032),"")</f>
        <v/>
      </c>
      <c r="N2032" s="3">
        <f>IF(ISNUMBER(AVERAGE('20250815_ETF_Options_Exhibits'!N2028:N2032)),AVERAGE('20250815_ETF_Options_Exhibits'!N2028:N2032),"")</f>
        <v/>
      </c>
      <c r="O2032" s="3">
        <f>IF(ISNUMBER(AVERAGE('20250815_ETF_Options_Exhibits'!O2028:O2032)),AVERAGE('20250815_ETF_Options_Exhibits'!O2028:O2032),"")</f>
        <v/>
      </c>
      <c r="P2032" s="3">
        <f>IF(ISNUMBER(AVERAGE('20250815_ETF_Options_Exhibits'!P2028:P2032)),AVERAGE('20250815_ETF_Options_Exhibits'!P2028:P2032),"")</f>
        <v/>
      </c>
      <c r="Q2032" s="3">
        <f>IF(ISNUMBER(AVERAGE('20250815_ETF_Options_Exhibits'!Q2028:Q2032)),AVERAGE('20250815_ETF_Options_Exhibits'!Q2028:Q2032),"")</f>
        <v/>
      </c>
      <c r="R2032" s="3">
        <f>IF(ISNUMBER(AVERAGE('20250815_ETF_Options_Exhibits'!R2028:R2032)),AVERAGE('20250815_ETF_Options_Exhibits'!R2028:R2032),"")</f>
        <v/>
      </c>
      <c r="S2032" s="3">
        <f>IF(ISNUMBER(AVERAGE('20250815_ETF_Options_Exhibits'!S2028:S2032)),AVERAGE('20250815_ETF_Options_Exhibits'!S2028:S2032),"")</f>
        <v/>
      </c>
      <c r="T2032" s="3">
        <f>IF(ISNUMBER(AVERAGE('20250815_ETF_Options_Exhibits'!T2028:T2032)),AVERAGE('20250815_ETF_Options_Exhibits'!T2028:T2032),"")</f>
        <v/>
      </c>
      <c r="U2032" s="3">
        <f>IF(ISNUMBER(AVERAGE('20250815_ETF_Options_Exhibits'!U2028:U2032)),AVERAGE('20250815_ETF_Options_Exhibits'!U2028:U2032),"")</f>
        <v/>
      </c>
      <c r="V2032" s="3">
        <f>IF(ISNUMBER(AVERAGE('20250815_ETF_Options_Exhibits'!V2028:V2032)),AVERAGE('20250815_ETF_Options_Exhibits'!V2028:V2032),"")</f>
        <v/>
      </c>
      <c r="W2032" s="3">
        <f>IF(ISNUMBER(AVERAGE('20250815_ETF_Options_Exhibits'!W2028:W2032)),AVERAGE('20250815_ETF_Options_Exhibits'!W2028:W2032),"")</f>
        <v/>
      </c>
      <c r="X2032" s="3">
        <f>IF(ISNUMBER(AVERAGE('20250815_ETF_Options_Exhibits'!X2028:X2032)),AVERAGE('20250815_ETF_Options_Exhibits'!X2028:X2032),"")</f>
        <v/>
      </c>
      <c r="Y2032" s="3">
        <f>IF(ISNUMBER(AVERAGE('20250815_ETF_Options_Exhibits'!Y2028:Y2032)),AVERAGE('20250815_ETF_Options_Exhibits'!Y2028:Y2032),"")</f>
        <v/>
      </c>
      <c r="Z2032" s="3">
        <f>IF(ISNUMBER(AVERAGE('20250815_ETF_Options_Exhibits'!Z2028:Z2032)),AVERAGE('20250815_ETF_Options_Exhibits'!Z2028:Z2032),"")</f>
        <v/>
      </c>
      <c r="AA2032" s="3">
        <f>IF(ISNUMBER(AVERAGE('20250815_ETF_Options_Exhibits'!AA2028:AA2032)),AVERAGE('20250815_ETF_Options_Exhibits'!AA2028:AA2032),"")</f>
        <v/>
      </c>
    </row>
    <row r="2033">
      <c r="A2033" s="1" t="n">
        <v>44952</v>
      </c>
      <c r="B2033" s="3">
        <f>IF(ISNUMBER(AVERAGE('20250815_ETF_Options_Exhibits'!B2029:B2033)),AVERAGE('20250815_ETF_Options_Exhibits'!B2029:B2033),"")</f>
        <v/>
      </c>
      <c r="C2033" s="3">
        <f>IF(ISNUMBER(AVERAGE('20250815_ETF_Options_Exhibits'!C2029:C2033)),AVERAGE('20250815_ETF_Options_Exhibits'!C2029:C2033),"")</f>
        <v/>
      </c>
      <c r="D2033" s="3">
        <f>IF(ISNUMBER(AVERAGE('20250815_ETF_Options_Exhibits'!D2029:D2033)),AVERAGE('20250815_ETF_Options_Exhibits'!D2029:D2033),"")</f>
        <v/>
      </c>
      <c r="E2033" s="3">
        <f>IF(ISNUMBER(AVERAGE('20250815_ETF_Options_Exhibits'!E2029:E2033)),AVERAGE('20250815_ETF_Options_Exhibits'!E2029:E2033),"")</f>
        <v/>
      </c>
      <c r="F2033" s="3">
        <f>IF(ISNUMBER(AVERAGE('20250815_ETF_Options_Exhibits'!F2029:F2033)),AVERAGE('20250815_ETF_Options_Exhibits'!F2029:F2033),"")</f>
        <v/>
      </c>
      <c r="G2033" s="3">
        <f>IF(ISNUMBER(AVERAGE('20250815_ETF_Options_Exhibits'!G2029:G2033)),AVERAGE('20250815_ETF_Options_Exhibits'!G2029:G2033),"")</f>
        <v/>
      </c>
      <c r="H2033" s="3">
        <f>IF(ISNUMBER(AVERAGE('20250815_ETF_Options_Exhibits'!H2029:H2033)),AVERAGE('20250815_ETF_Options_Exhibits'!H2029:H2033),"")</f>
        <v/>
      </c>
      <c r="I2033" s="3">
        <f>IF(ISNUMBER(AVERAGE('20250815_ETF_Options_Exhibits'!I2029:I2033)),AVERAGE('20250815_ETF_Options_Exhibits'!I2029:I2033),"")</f>
        <v/>
      </c>
      <c r="J2033" s="3">
        <f>IF(ISNUMBER(AVERAGE('20250815_ETF_Options_Exhibits'!J2029:J2033)),AVERAGE('20250815_ETF_Options_Exhibits'!J2029:J2033),"")</f>
        <v/>
      </c>
      <c r="K2033" s="3">
        <f>IF(ISNUMBER(AVERAGE('20250815_ETF_Options_Exhibits'!K2029:K2033)),AVERAGE('20250815_ETF_Options_Exhibits'!K2029:K2033),"")</f>
        <v/>
      </c>
      <c r="L2033" s="3">
        <f>IF(ISNUMBER(AVERAGE('20250815_ETF_Options_Exhibits'!L2029:L2033)),AVERAGE('20250815_ETF_Options_Exhibits'!L2029:L2033),"")</f>
        <v/>
      </c>
      <c r="M2033" s="3">
        <f>IF(ISNUMBER(AVERAGE('20250815_ETF_Options_Exhibits'!M2029:M2033)),AVERAGE('20250815_ETF_Options_Exhibits'!M2029:M2033),"")</f>
        <v/>
      </c>
      <c r="N2033" s="3">
        <f>IF(ISNUMBER(AVERAGE('20250815_ETF_Options_Exhibits'!N2029:N2033)),AVERAGE('20250815_ETF_Options_Exhibits'!N2029:N2033),"")</f>
        <v/>
      </c>
      <c r="O2033" s="3">
        <f>IF(ISNUMBER(AVERAGE('20250815_ETF_Options_Exhibits'!O2029:O2033)),AVERAGE('20250815_ETF_Options_Exhibits'!O2029:O2033),"")</f>
        <v/>
      </c>
      <c r="P2033" s="3">
        <f>IF(ISNUMBER(AVERAGE('20250815_ETF_Options_Exhibits'!P2029:P2033)),AVERAGE('20250815_ETF_Options_Exhibits'!P2029:P2033),"")</f>
        <v/>
      </c>
      <c r="Q2033" s="3">
        <f>IF(ISNUMBER(AVERAGE('20250815_ETF_Options_Exhibits'!Q2029:Q2033)),AVERAGE('20250815_ETF_Options_Exhibits'!Q2029:Q2033),"")</f>
        <v/>
      </c>
      <c r="R2033" s="3">
        <f>IF(ISNUMBER(AVERAGE('20250815_ETF_Options_Exhibits'!R2029:R2033)),AVERAGE('20250815_ETF_Options_Exhibits'!R2029:R2033),"")</f>
        <v/>
      </c>
      <c r="S2033" s="3">
        <f>IF(ISNUMBER(AVERAGE('20250815_ETF_Options_Exhibits'!S2029:S2033)),AVERAGE('20250815_ETF_Options_Exhibits'!S2029:S2033),"")</f>
        <v/>
      </c>
      <c r="T2033" s="3">
        <f>IF(ISNUMBER(AVERAGE('20250815_ETF_Options_Exhibits'!T2029:T2033)),AVERAGE('20250815_ETF_Options_Exhibits'!T2029:T2033),"")</f>
        <v/>
      </c>
      <c r="U2033" s="3">
        <f>IF(ISNUMBER(AVERAGE('20250815_ETF_Options_Exhibits'!U2029:U2033)),AVERAGE('20250815_ETF_Options_Exhibits'!U2029:U2033),"")</f>
        <v/>
      </c>
      <c r="V2033" s="3">
        <f>IF(ISNUMBER(AVERAGE('20250815_ETF_Options_Exhibits'!V2029:V2033)),AVERAGE('20250815_ETF_Options_Exhibits'!V2029:V2033),"")</f>
        <v/>
      </c>
      <c r="W2033" s="3">
        <f>IF(ISNUMBER(AVERAGE('20250815_ETF_Options_Exhibits'!W2029:W2033)),AVERAGE('20250815_ETF_Options_Exhibits'!W2029:W2033),"")</f>
        <v/>
      </c>
      <c r="X2033" s="3">
        <f>IF(ISNUMBER(AVERAGE('20250815_ETF_Options_Exhibits'!X2029:X2033)),AVERAGE('20250815_ETF_Options_Exhibits'!X2029:X2033),"")</f>
        <v/>
      </c>
      <c r="Y2033" s="3">
        <f>IF(ISNUMBER(AVERAGE('20250815_ETF_Options_Exhibits'!Y2029:Y2033)),AVERAGE('20250815_ETF_Options_Exhibits'!Y2029:Y2033),"")</f>
        <v/>
      </c>
      <c r="Z2033" s="3">
        <f>IF(ISNUMBER(AVERAGE('20250815_ETF_Options_Exhibits'!Z2029:Z2033)),AVERAGE('20250815_ETF_Options_Exhibits'!Z2029:Z2033),"")</f>
        <v/>
      </c>
      <c r="AA2033" s="3">
        <f>IF(ISNUMBER(AVERAGE('20250815_ETF_Options_Exhibits'!AA2029:AA2033)),AVERAGE('20250815_ETF_Options_Exhibits'!AA2029:AA2033),"")</f>
        <v/>
      </c>
    </row>
    <row r="2034">
      <c r="A2034" s="1" t="n">
        <v>44953</v>
      </c>
      <c r="B2034" s="3">
        <f>IF(ISNUMBER(AVERAGE('20250815_ETF_Options_Exhibits'!B2030:B2034)),AVERAGE('20250815_ETF_Options_Exhibits'!B2030:B2034),"")</f>
        <v/>
      </c>
      <c r="C2034" s="3">
        <f>IF(ISNUMBER(AVERAGE('20250815_ETF_Options_Exhibits'!C2030:C2034)),AVERAGE('20250815_ETF_Options_Exhibits'!C2030:C2034),"")</f>
        <v/>
      </c>
      <c r="D2034" s="3">
        <f>IF(ISNUMBER(AVERAGE('20250815_ETF_Options_Exhibits'!D2030:D2034)),AVERAGE('20250815_ETF_Options_Exhibits'!D2030:D2034),"")</f>
        <v/>
      </c>
      <c r="E2034" s="3">
        <f>IF(ISNUMBER(AVERAGE('20250815_ETF_Options_Exhibits'!E2030:E2034)),AVERAGE('20250815_ETF_Options_Exhibits'!E2030:E2034),"")</f>
        <v/>
      </c>
      <c r="F2034" s="3">
        <f>IF(ISNUMBER(AVERAGE('20250815_ETF_Options_Exhibits'!F2030:F2034)),AVERAGE('20250815_ETF_Options_Exhibits'!F2030:F2034),"")</f>
        <v/>
      </c>
      <c r="G2034" s="3">
        <f>IF(ISNUMBER(AVERAGE('20250815_ETF_Options_Exhibits'!G2030:G2034)),AVERAGE('20250815_ETF_Options_Exhibits'!G2030:G2034),"")</f>
        <v/>
      </c>
      <c r="H2034" s="3">
        <f>IF(ISNUMBER(AVERAGE('20250815_ETF_Options_Exhibits'!H2030:H2034)),AVERAGE('20250815_ETF_Options_Exhibits'!H2030:H2034),"")</f>
        <v/>
      </c>
      <c r="I2034" s="3">
        <f>IF(ISNUMBER(AVERAGE('20250815_ETF_Options_Exhibits'!I2030:I2034)),AVERAGE('20250815_ETF_Options_Exhibits'!I2030:I2034),"")</f>
        <v/>
      </c>
      <c r="J2034" s="3">
        <f>IF(ISNUMBER(AVERAGE('20250815_ETF_Options_Exhibits'!J2030:J2034)),AVERAGE('20250815_ETF_Options_Exhibits'!J2030:J2034),"")</f>
        <v/>
      </c>
      <c r="K2034" s="3">
        <f>IF(ISNUMBER(AVERAGE('20250815_ETF_Options_Exhibits'!K2030:K2034)),AVERAGE('20250815_ETF_Options_Exhibits'!K2030:K2034),"")</f>
        <v/>
      </c>
      <c r="L2034" s="3">
        <f>IF(ISNUMBER(AVERAGE('20250815_ETF_Options_Exhibits'!L2030:L2034)),AVERAGE('20250815_ETF_Options_Exhibits'!L2030:L2034),"")</f>
        <v/>
      </c>
      <c r="M2034" s="3">
        <f>IF(ISNUMBER(AVERAGE('20250815_ETF_Options_Exhibits'!M2030:M2034)),AVERAGE('20250815_ETF_Options_Exhibits'!M2030:M2034),"")</f>
        <v/>
      </c>
      <c r="N2034" s="3">
        <f>IF(ISNUMBER(AVERAGE('20250815_ETF_Options_Exhibits'!N2030:N2034)),AVERAGE('20250815_ETF_Options_Exhibits'!N2030:N2034),"")</f>
        <v/>
      </c>
      <c r="O2034" s="3">
        <f>IF(ISNUMBER(AVERAGE('20250815_ETF_Options_Exhibits'!O2030:O2034)),AVERAGE('20250815_ETF_Options_Exhibits'!O2030:O2034),"")</f>
        <v/>
      </c>
      <c r="P2034" s="3">
        <f>IF(ISNUMBER(AVERAGE('20250815_ETF_Options_Exhibits'!P2030:P2034)),AVERAGE('20250815_ETF_Options_Exhibits'!P2030:P2034),"")</f>
        <v/>
      </c>
      <c r="Q2034" s="3">
        <f>IF(ISNUMBER(AVERAGE('20250815_ETF_Options_Exhibits'!Q2030:Q2034)),AVERAGE('20250815_ETF_Options_Exhibits'!Q2030:Q2034),"")</f>
        <v/>
      </c>
      <c r="R2034" s="3">
        <f>IF(ISNUMBER(AVERAGE('20250815_ETF_Options_Exhibits'!R2030:R2034)),AVERAGE('20250815_ETF_Options_Exhibits'!R2030:R2034),"")</f>
        <v/>
      </c>
      <c r="S2034" s="3">
        <f>IF(ISNUMBER(AVERAGE('20250815_ETF_Options_Exhibits'!S2030:S2034)),AVERAGE('20250815_ETF_Options_Exhibits'!S2030:S2034),"")</f>
        <v/>
      </c>
      <c r="T2034" s="3">
        <f>IF(ISNUMBER(AVERAGE('20250815_ETF_Options_Exhibits'!T2030:T2034)),AVERAGE('20250815_ETF_Options_Exhibits'!T2030:T2034),"")</f>
        <v/>
      </c>
      <c r="U2034" s="3">
        <f>IF(ISNUMBER(AVERAGE('20250815_ETF_Options_Exhibits'!U2030:U2034)),AVERAGE('20250815_ETF_Options_Exhibits'!U2030:U2034),"")</f>
        <v/>
      </c>
      <c r="V2034" s="3">
        <f>IF(ISNUMBER(AVERAGE('20250815_ETF_Options_Exhibits'!V2030:V2034)),AVERAGE('20250815_ETF_Options_Exhibits'!V2030:V2034),"")</f>
        <v/>
      </c>
      <c r="W2034" s="3">
        <f>IF(ISNUMBER(AVERAGE('20250815_ETF_Options_Exhibits'!W2030:W2034)),AVERAGE('20250815_ETF_Options_Exhibits'!W2030:W2034),"")</f>
        <v/>
      </c>
      <c r="X2034" s="3">
        <f>IF(ISNUMBER(AVERAGE('20250815_ETF_Options_Exhibits'!X2030:X2034)),AVERAGE('20250815_ETF_Options_Exhibits'!X2030:X2034),"")</f>
        <v/>
      </c>
      <c r="Y2034" s="3">
        <f>IF(ISNUMBER(AVERAGE('20250815_ETF_Options_Exhibits'!Y2030:Y2034)),AVERAGE('20250815_ETF_Options_Exhibits'!Y2030:Y2034),"")</f>
        <v/>
      </c>
      <c r="Z2034" s="3">
        <f>IF(ISNUMBER(AVERAGE('20250815_ETF_Options_Exhibits'!Z2030:Z2034)),AVERAGE('20250815_ETF_Options_Exhibits'!Z2030:Z2034),"")</f>
        <v/>
      </c>
      <c r="AA2034" s="3">
        <f>IF(ISNUMBER(AVERAGE('20250815_ETF_Options_Exhibits'!AA2030:AA2034)),AVERAGE('20250815_ETF_Options_Exhibits'!AA2030:AA2034),"")</f>
        <v/>
      </c>
    </row>
    <row r="2035">
      <c r="A2035" s="1" t="n">
        <v>44956</v>
      </c>
      <c r="B2035" s="3">
        <f>IF(ISNUMBER(AVERAGE('20250815_ETF_Options_Exhibits'!B2031:B2035)),AVERAGE('20250815_ETF_Options_Exhibits'!B2031:B2035),"")</f>
        <v/>
      </c>
      <c r="C2035" s="3">
        <f>IF(ISNUMBER(AVERAGE('20250815_ETF_Options_Exhibits'!C2031:C2035)),AVERAGE('20250815_ETF_Options_Exhibits'!C2031:C2035),"")</f>
        <v/>
      </c>
      <c r="D2035" s="3">
        <f>IF(ISNUMBER(AVERAGE('20250815_ETF_Options_Exhibits'!D2031:D2035)),AVERAGE('20250815_ETF_Options_Exhibits'!D2031:D2035),"")</f>
        <v/>
      </c>
      <c r="E2035" s="3">
        <f>IF(ISNUMBER(AVERAGE('20250815_ETF_Options_Exhibits'!E2031:E2035)),AVERAGE('20250815_ETF_Options_Exhibits'!E2031:E2035),"")</f>
        <v/>
      </c>
      <c r="F2035" s="3">
        <f>IF(ISNUMBER(AVERAGE('20250815_ETF_Options_Exhibits'!F2031:F2035)),AVERAGE('20250815_ETF_Options_Exhibits'!F2031:F2035),"")</f>
        <v/>
      </c>
      <c r="G2035" s="3">
        <f>IF(ISNUMBER(AVERAGE('20250815_ETF_Options_Exhibits'!G2031:G2035)),AVERAGE('20250815_ETF_Options_Exhibits'!G2031:G2035),"")</f>
        <v/>
      </c>
      <c r="H2035" s="3">
        <f>IF(ISNUMBER(AVERAGE('20250815_ETF_Options_Exhibits'!H2031:H2035)),AVERAGE('20250815_ETF_Options_Exhibits'!H2031:H2035),"")</f>
        <v/>
      </c>
      <c r="I2035" s="3">
        <f>IF(ISNUMBER(AVERAGE('20250815_ETF_Options_Exhibits'!I2031:I2035)),AVERAGE('20250815_ETF_Options_Exhibits'!I2031:I2035),"")</f>
        <v/>
      </c>
      <c r="J2035" s="3">
        <f>IF(ISNUMBER(AVERAGE('20250815_ETF_Options_Exhibits'!J2031:J2035)),AVERAGE('20250815_ETF_Options_Exhibits'!J2031:J2035),"")</f>
        <v/>
      </c>
      <c r="K2035" s="3">
        <f>IF(ISNUMBER(AVERAGE('20250815_ETF_Options_Exhibits'!K2031:K2035)),AVERAGE('20250815_ETF_Options_Exhibits'!K2031:K2035),"")</f>
        <v/>
      </c>
      <c r="L2035" s="3">
        <f>IF(ISNUMBER(AVERAGE('20250815_ETF_Options_Exhibits'!L2031:L2035)),AVERAGE('20250815_ETF_Options_Exhibits'!L2031:L2035),"")</f>
        <v/>
      </c>
      <c r="M2035" s="3">
        <f>IF(ISNUMBER(AVERAGE('20250815_ETF_Options_Exhibits'!M2031:M2035)),AVERAGE('20250815_ETF_Options_Exhibits'!M2031:M2035),"")</f>
        <v/>
      </c>
      <c r="N2035" s="3">
        <f>IF(ISNUMBER(AVERAGE('20250815_ETF_Options_Exhibits'!N2031:N2035)),AVERAGE('20250815_ETF_Options_Exhibits'!N2031:N2035),"")</f>
        <v/>
      </c>
      <c r="O2035" s="3">
        <f>IF(ISNUMBER(AVERAGE('20250815_ETF_Options_Exhibits'!O2031:O2035)),AVERAGE('20250815_ETF_Options_Exhibits'!O2031:O2035),"")</f>
        <v/>
      </c>
      <c r="P2035" s="3">
        <f>IF(ISNUMBER(AVERAGE('20250815_ETF_Options_Exhibits'!P2031:P2035)),AVERAGE('20250815_ETF_Options_Exhibits'!P2031:P2035),"")</f>
        <v/>
      </c>
      <c r="Q2035" s="3">
        <f>IF(ISNUMBER(AVERAGE('20250815_ETF_Options_Exhibits'!Q2031:Q2035)),AVERAGE('20250815_ETF_Options_Exhibits'!Q2031:Q2035),"")</f>
        <v/>
      </c>
      <c r="R2035" s="3">
        <f>IF(ISNUMBER(AVERAGE('20250815_ETF_Options_Exhibits'!R2031:R2035)),AVERAGE('20250815_ETF_Options_Exhibits'!R2031:R2035),"")</f>
        <v/>
      </c>
      <c r="S2035" s="3">
        <f>IF(ISNUMBER(AVERAGE('20250815_ETF_Options_Exhibits'!S2031:S2035)),AVERAGE('20250815_ETF_Options_Exhibits'!S2031:S2035),"")</f>
        <v/>
      </c>
      <c r="T2035" s="3">
        <f>IF(ISNUMBER(AVERAGE('20250815_ETF_Options_Exhibits'!T2031:T2035)),AVERAGE('20250815_ETF_Options_Exhibits'!T2031:T2035),"")</f>
        <v/>
      </c>
      <c r="U2035" s="3">
        <f>IF(ISNUMBER(AVERAGE('20250815_ETF_Options_Exhibits'!U2031:U2035)),AVERAGE('20250815_ETF_Options_Exhibits'!U2031:U2035),"")</f>
        <v/>
      </c>
      <c r="V2035" s="3">
        <f>IF(ISNUMBER(AVERAGE('20250815_ETF_Options_Exhibits'!V2031:V2035)),AVERAGE('20250815_ETF_Options_Exhibits'!V2031:V2035),"")</f>
        <v/>
      </c>
      <c r="W2035" s="3">
        <f>IF(ISNUMBER(AVERAGE('20250815_ETF_Options_Exhibits'!W2031:W2035)),AVERAGE('20250815_ETF_Options_Exhibits'!W2031:W2035),"")</f>
        <v/>
      </c>
      <c r="X2035" s="3">
        <f>IF(ISNUMBER(AVERAGE('20250815_ETF_Options_Exhibits'!X2031:X2035)),AVERAGE('20250815_ETF_Options_Exhibits'!X2031:X2035),"")</f>
        <v/>
      </c>
      <c r="Y2035" s="3">
        <f>IF(ISNUMBER(AVERAGE('20250815_ETF_Options_Exhibits'!Y2031:Y2035)),AVERAGE('20250815_ETF_Options_Exhibits'!Y2031:Y2035),"")</f>
        <v/>
      </c>
      <c r="Z2035" s="3">
        <f>IF(ISNUMBER(AVERAGE('20250815_ETF_Options_Exhibits'!Z2031:Z2035)),AVERAGE('20250815_ETF_Options_Exhibits'!Z2031:Z2035),"")</f>
        <v/>
      </c>
      <c r="AA2035" s="3">
        <f>IF(ISNUMBER(AVERAGE('20250815_ETF_Options_Exhibits'!AA2031:AA2035)),AVERAGE('20250815_ETF_Options_Exhibits'!AA2031:AA2035),"")</f>
        <v/>
      </c>
    </row>
    <row r="2036">
      <c r="A2036" s="1" t="n">
        <v>44957</v>
      </c>
      <c r="B2036" s="3">
        <f>IF(ISNUMBER(AVERAGE('20250815_ETF_Options_Exhibits'!B2032:B2036)),AVERAGE('20250815_ETF_Options_Exhibits'!B2032:B2036),"")</f>
        <v/>
      </c>
      <c r="C2036" s="3">
        <f>IF(ISNUMBER(AVERAGE('20250815_ETF_Options_Exhibits'!C2032:C2036)),AVERAGE('20250815_ETF_Options_Exhibits'!C2032:C2036),"")</f>
        <v/>
      </c>
      <c r="D2036" s="3">
        <f>IF(ISNUMBER(AVERAGE('20250815_ETF_Options_Exhibits'!D2032:D2036)),AVERAGE('20250815_ETF_Options_Exhibits'!D2032:D2036),"")</f>
        <v/>
      </c>
      <c r="E2036" s="3">
        <f>IF(ISNUMBER(AVERAGE('20250815_ETF_Options_Exhibits'!E2032:E2036)),AVERAGE('20250815_ETF_Options_Exhibits'!E2032:E2036),"")</f>
        <v/>
      </c>
      <c r="F2036" s="3">
        <f>IF(ISNUMBER(AVERAGE('20250815_ETF_Options_Exhibits'!F2032:F2036)),AVERAGE('20250815_ETF_Options_Exhibits'!F2032:F2036),"")</f>
        <v/>
      </c>
      <c r="G2036" s="3">
        <f>IF(ISNUMBER(AVERAGE('20250815_ETF_Options_Exhibits'!G2032:G2036)),AVERAGE('20250815_ETF_Options_Exhibits'!G2032:G2036),"")</f>
        <v/>
      </c>
      <c r="H2036" s="3">
        <f>IF(ISNUMBER(AVERAGE('20250815_ETF_Options_Exhibits'!H2032:H2036)),AVERAGE('20250815_ETF_Options_Exhibits'!H2032:H2036),"")</f>
        <v/>
      </c>
      <c r="I2036" s="3">
        <f>IF(ISNUMBER(AVERAGE('20250815_ETF_Options_Exhibits'!I2032:I2036)),AVERAGE('20250815_ETF_Options_Exhibits'!I2032:I2036),"")</f>
        <v/>
      </c>
      <c r="J2036" s="3">
        <f>IF(ISNUMBER(AVERAGE('20250815_ETF_Options_Exhibits'!J2032:J2036)),AVERAGE('20250815_ETF_Options_Exhibits'!J2032:J2036),"")</f>
        <v/>
      </c>
      <c r="K2036" s="3">
        <f>IF(ISNUMBER(AVERAGE('20250815_ETF_Options_Exhibits'!K2032:K2036)),AVERAGE('20250815_ETF_Options_Exhibits'!K2032:K2036),"")</f>
        <v/>
      </c>
      <c r="L2036" s="3">
        <f>IF(ISNUMBER(AVERAGE('20250815_ETF_Options_Exhibits'!L2032:L2036)),AVERAGE('20250815_ETF_Options_Exhibits'!L2032:L2036),"")</f>
        <v/>
      </c>
      <c r="M2036" s="3">
        <f>IF(ISNUMBER(AVERAGE('20250815_ETF_Options_Exhibits'!M2032:M2036)),AVERAGE('20250815_ETF_Options_Exhibits'!M2032:M2036),"")</f>
        <v/>
      </c>
      <c r="N2036" s="3">
        <f>IF(ISNUMBER(AVERAGE('20250815_ETF_Options_Exhibits'!N2032:N2036)),AVERAGE('20250815_ETF_Options_Exhibits'!N2032:N2036),"")</f>
        <v/>
      </c>
      <c r="O2036" s="3">
        <f>IF(ISNUMBER(AVERAGE('20250815_ETF_Options_Exhibits'!O2032:O2036)),AVERAGE('20250815_ETF_Options_Exhibits'!O2032:O2036),"")</f>
        <v/>
      </c>
      <c r="P2036" s="3">
        <f>IF(ISNUMBER(AVERAGE('20250815_ETF_Options_Exhibits'!P2032:P2036)),AVERAGE('20250815_ETF_Options_Exhibits'!P2032:P2036),"")</f>
        <v/>
      </c>
      <c r="Q2036" s="3">
        <f>IF(ISNUMBER(AVERAGE('20250815_ETF_Options_Exhibits'!Q2032:Q2036)),AVERAGE('20250815_ETF_Options_Exhibits'!Q2032:Q2036),"")</f>
        <v/>
      </c>
      <c r="R2036" s="3">
        <f>IF(ISNUMBER(AVERAGE('20250815_ETF_Options_Exhibits'!R2032:R2036)),AVERAGE('20250815_ETF_Options_Exhibits'!R2032:R2036),"")</f>
        <v/>
      </c>
      <c r="S2036" s="3">
        <f>IF(ISNUMBER(AVERAGE('20250815_ETF_Options_Exhibits'!S2032:S2036)),AVERAGE('20250815_ETF_Options_Exhibits'!S2032:S2036),"")</f>
        <v/>
      </c>
      <c r="T2036" s="3">
        <f>IF(ISNUMBER(AVERAGE('20250815_ETF_Options_Exhibits'!T2032:T2036)),AVERAGE('20250815_ETF_Options_Exhibits'!T2032:T2036),"")</f>
        <v/>
      </c>
      <c r="U2036" s="3">
        <f>IF(ISNUMBER(AVERAGE('20250815_ETF_Options_Exhibits'!U2032:U2036)),AVERAGE('20250815_ETF_Options_Exhibits'!U2032:U2036),"")</f>
        <v/>
      </c>
      <c r="V2036" s="3">
        <f>IF(ISNUMBER(AVERAGE('20250815_ETF_Options_Exhibits'!V2032:V2036)),AVERAGE('20250815_ETF_Options_Exhibits'!V2032:V2036),"")</f>
        <v/>
      </c>
      <c r="W2036" s="3">
        <f>IF(ISNUMBER(AVERAGE('20250815_ETF_Options_Exhibits'!W2032:W2036)),AVERAGE('20250815_ETF_Options_Exhibits'!W2032:W2036),"")</f>
        <v/>
      </c>
      <c r="X2036" s="3">
        <f>IF(ISNUMBER(AVERAGE('20250815_ETF_Options_Exhibits'!X2032:X2036)),AVERAGE('20250815_ETF_Options_Exhibits'!X2032:X2036),"")</f>
        <v/>
      </c>
      <c r="Y2036" s="3">
        <f>IF(ISNUMBER(AVERAGE('20250815_ETF_Options_Exhibits'!Y2032:Y2036)),AVERAGE('20250815_ETF_Options_Exhibits'!Y2032:Y2036),"")</f>
        <v/>
      </c>
      <c r="Z2036" s="3">
        <f>IF(ISNUMBER(AVERAGE('20250815_ETF_Options_Exhibits'!Z2032:Z2036)),AVERAGE('20250815_ETF_Options_Exhibits'!Z2032:Z2036),"")</f>
        <v/>
      </c>
      <c r="AA2036" s="3">
        <f>IF(ISNUMBER(AVERAGE('20250815_ETF_Options_Exhibits'!AA2032:AA2036)),AVERAGE('20250815_ETF_Options_Exhibits'!AA2032:AA2036),"")</f>
        <v/>
      </c>
    </row>
    <row r="2037">
      <c r="A2037" s="1" t="n">
        <v>44958</v>
      </c>
      <c r="B2037" s="3">
        <f>IF(ISNUMBER(AVERAGE('20250815_ETF_Options_Exhibits'!B2033:B2037)),AVERAGE('20250815_ETF_Options_Exhibits'!B2033:B2037),"")</f>
        <v/>
      </c>
      <c r="C2037" s="3">
        <f>IF(ISNUMBER(AVERAGE('20250815_ETF_Options_Exhibits'!C2033:C2037)),AVERAGE('20250815_ETF_Options_Exhibits'!C2033:C2037),"")</f>
        <v/>
      </c>
      <c r="D2037" s="3">
        <f>IF(ISNUMBER(AVERAGE('20250815_ETF_Options_Exhibits'!D2033:D2037)),AVERAGE('20250815_ETF_Options_Exhibits'!D2033:D2037),"")</f>
        <v/>
      </c>
      <c r="E2037" s="3">
        <f>IF(ISNUMBER(AVERAGE('20250815_ETF_Options_Exhibits'!E2033:E2037)),AVERAGE('20250815_ETF_Options_Exhibits'!E2033:E2037),"")</f>
        <v/>
      </c>
      <c r="F2037" s="3">
        <f>IF(ISNUMBER(AVERAGE('20250815_ETF_Options_Exhibits'!F2033:F2037)),AVERAGE('20250815_ETF_Options_Exhibits'!F2033:F2037),"")</f>
        <v/>
      </c>
      <c r="G2037" s="3">
        <f>IF(ISNUMBER(AVERAGE('20250815_ETF_Options_Exhibits'!G2033:G2037)),AVERAGE('20250815_ETF_Options_Exhibits'!G2033:G2037),"")</f>
        <v/>
      </c>
      <c r="H2037" s="3">
        <f>IF(ISNUMBER(AVERAGE('20250815_ETF_Options_Exhibits'!H2033:H2037)),AVERAGE('20250815_ETF_Options_Exhibits'!H2033:H2037),"")</f>
        <v/>
      </c>
      <c r="I2037" s="3">
        <f>IF(ISNUMBER(AVERAGE('20250815_ETF_Options_Exhibits'!I2033:I2037)),AVERAGE('20250815_ETF_Options_Exhibits'!I2033:I2037),"")</f>
        <v/>
      </c>
      <c r="J2037" s="3">
        <f>IF(ISNUMBER(AVERAGE('20250815_ETF_Options_Exhibits'!J2033:J2037)),AVERAGE('20250815_ETF_Options_Exhibits'!J2033:J2037),"")</f>
        <v/>
      </c>
      <c r="K2037" s="3">
        <f>IF(ISNUMBER(AVERAGE('20250815_ETF_Options_Exhibits'!K2033:K2037)),AVERAGE('20250815_ETF_Options_Exhibits'!K2033:K2037),"")</f>
        <v/>
      </c>
      <c r="L2037" s="3">
        <f>IF(ISNUMBER(AVERAGE('20250815_ETF_Options_Exhibits'!L2033:L2037)),AVERAGE('20250815_ETF_Options_Exhibits'!L2033:L2037),"")</f>
        <v/>
      </c>
      <c r="M2037" s="3">
        <f>IF(ISNUMBER(AVERAGE('20250815_ETF_Options_Exhibits'!M2033:M2037)),AVERAGE('20250815_ETF_Options_Exhibits'!M2033:M2037),"")</f>
        <v/>
      </c>
      <c r="N2037" s="3">
        <f>IF(ISNUMBER(AVERAGE('20250815_ETF_Options_Exhibits'!N2033:N2037)),AVERAGE('20250815_ETF_Options_Exhibits'!N2033:N2037),"")</f>
        <v/>
      </c>
      <c r="O2037" s="3">
        <f>IF(ISNUMBER(AVERAGE('20250815_ETF_Options_Exhibits'!O2033:O2037)),AVERAGE('20250815_ETF_Options_Exhibits'!O2033:O2037),"")</f>
        <v/>
      </c>
      <c r="P2037" s="3">
        <f>IF(ISNUMBER(AVERAGE('20250815_ETF_Options_Exhibits'!P2033:P2037)),AVERAGE('20250815_ETF_Options_Exhibits'!P2033:P2037),"")</f>
        <v/>
      </c>
      <c r="Q2037" s="3">
        <f>IF(ISNUMBER(AVERAGE('20250815_ETF_Options_Exhibits'!Q2033:Q2037)),AVERAGE('20250815_ETF_Options_Exhibits'!Q2033:Q2037),"")</f>
        <v/>
      </c>
      <c r="R2037" s="3">
        <f>IF(ISNUMBER(AVERAGE('20250815_ETF_Options_Exhibits'!R2033:R2037)),AVERAGE('20250815_ETF_Options_Exhibits'!R2033:R2037),"")</f>
        <v/>
      </c>
      <c r="S2037" s="3">
        <f>IF(ISNUMBER(AVERAGE('20250815_ETF_Options_Exhibits'!S2033:S2037)),AVERAGE('20250815_ETF_Options_Exhibits'!S2033:S2037),"")</f>
        <v/>
      </c>
      <c r="T2037" s="3">
        <f>IF(ISNUMBER(AVERAGE('20250815_ETF_Options_Exhibits'!T2033:T2037)),AVERAGE('20250815_ETF_Options_Exhibits'!T2033:T2037),"")</f>
        <v/>
      </c>
      <c r="U2037" s="3">
        <f>IF(ISNUMBER(AVERAGE('20250815_ETF_Options_Exhibits'!U2033:U2037)),AVERAGE('20250815_ETF_Options_Exhibits'!U2033:U2037),"")</f>
        <v/>
      </c>
      <c r="V2037" s="3">
        <f>IF(ISNUMBER(AVERAGE('20250815_ETF_Options_Exhibits'!V2033:V2037)),AVERAGE('20250815_ETF_Options_Exhibits'!V2033:V2037),"")</f>
        <v/>
      </c>
      <c r="W2037" s="3">
        <f>IF(ISNUMBER(AVERAGE('20250815_ETF_Options_Exhibits'!W2033:W2037)),AVERAGE('20250815_ETF_Options_Exhibits'!W2033:W2037),"")</f>
        <v/>
      </c>
      <c r="X2037" s="3">
        <f>IF(ISNUMBER(AVERAGE('20250815_ETF_Options_Exhibits'!X2033:X2037)),AVERAGE('20250815_ETF_Options_Exhibits'!X2033:X2037),"")</f>
        <v/>
      </c>
      <c r="Y2037" s="3">
        <f>IF(ISNUMBER(AVERAGE('20250815_ETF_Options_Exhibits'!Y2033:Y2037)),AVERAGE('20250815_ETF_Options_Exhibits'!Y2033:Y2037),"")</f>
        <v/>
      </c>
      <c r="Z2037" s="3">
        <f>IF(ISNUMBER(AVERAGE('20250815_ETF_Options_Exhibits'!Z2033:Z2037)),AVERAGE('20250815_ETF_Options_Exhibits'!Z2033:Z2037),"")</f>
        <v/>
      </c>
      <c r="AA2037" s="3">
        <f>IF(ISNUMBER(AVERAGE('20250815_ETF_Options_Exhibits'!AA2033:AA2037)),AVERAGE('20250815_ETF_Options_Exhibits'!AA2033:AA2037),"")</f>
        <v/>
      </c>
    </row>
    <row r="2038">
      <c r="A2038" s="1" t="n">
        <v>44959</v>
      </c>
      <c r="B2038" s="3">
        <f>IF(ISNUMBER(AVERAGE('20250815_ETF_Options_Exhibits'!B2034:B2038)),AVERAGE('20250815_ETF_Options_Exhibits'!B2034:B2038),"")</f>
        <v/>
      </c>
      <c r="C2038" s="3">
        <f>IF(ISNUMBER(AVERAGE('20250815_ETF_Options_Exhibits'!C2034:C2038)),AVERAGE('20250815_ETF_Options_Exhibits'!C2034:C2038),"")</f>
        <v/>
      </c>
      <c r="D2038" s="3">
        <f>IF(ISNUMBER(AVERAGE('20250815_ETF_Options_Exhibits'!D2034:D2038)),AVERAGE('20250815_ETF_Options_Exhibits'!D2034:D2038),"")</f>
        <v/>
      </c>
      <c r="E2038" s="3">
        <f>IF(ISNUMBER(AVERAGE('20250815_ETF_Options_Exhibits'!E2034:E2038)),AVERAGE('20250815_ETF_Options_Exhibits'!E2034:E2038),"")</f>
        <v/>
      </c>
      <c r="F2038" s="3">
        <f>IF(ISNUMBER(AVERAGE('20250815_ETF_Options_Exhibits'!F2034:F2038)),AVERAGE('20250815_ETF_Options_Exhibits'!F2034:F2038),"")</f>
        <v/>
      </c>
      <c r="G2038" s="3">
        <f>IF(ISNUMBER(AVERAGE('20250815_ETF_Options_Exhibits'!G2034:G2038)),AVERAGE('20250815_ETF_Options_Exhibits'!G2034:G2038),"")</f>
        <v/>
      </c>
      <c r="H2038" s="3">
        <f>IF(ISNUMBER(AVERAGE('20250815_ETF_Options_Exhibits'!H2034:H2038)),AVERAGE('20250815_ETF_Options_Exhibits'!H2034:H2038),"")</f>
        <v/>
      </c>
      <c r="I2038" s="3">
        <f>IF(ISNUMBER(AVERAGE('20250815_ETF_Options_Exhibits'!I2034:I2038)),AVERAGE('20250815_ETF_Options_Exhibits'!I2034:I2038),"")</f>
        <v/>
      </c>
      <c r="J2038" s="3">
        <f>IF(ISNUMBER(AVERAGE('20250815_ETF_Options_Exhibits'!J2034:J2038)),AVERAGE('20250815_ETF_Options_Exhibits'!J2034:J2038),"")</f>
        <v/>
      </c>
      <c r="K2038" s="3">
        <f>IF(ISNUMBER(AVERAGE('20250815_ETF_Options_Exhibits'!K2034:K2038)),AVERAGE('20250815_ETF_Options_Exhibits'!K2034:K2038),"")</f>
        <v/>
      </c>
      <c r="L2038" s="3">
        <f>IF(ISNUMBER(AVERAGE('20250815_ETF_Options_Exhibits'!L2034:L2038)),AVERAGE('20250815_ETF_Options_Exhibits'!L2034:L2038),"")</f>
        <v/>
      </c>
      <c r="M2038" s="3">
        <f>IF(ISNUMBER(AVERAGE('20250815_ETF_Options_Exhibits'!M2034:M2038)),AVERAGE('20250815_ETF_Options_Exhibits'!M2034:M2038),"")</f>
        <v/>
      </c>
      <c r="N2038" s="3">
        <f>IF(ISNUMBER(AVERAGE('20250815_ETF_Options_Exhibits'!N2034:N2038)),AVERAGE('20250815_ETF_Options_Exhibits'!N2034:N2038),"")</f>
        <v/>
      </c>
      <c r="O2038" s="3">
        <f>IF(ISNUMBER(AVERAGE('20250815_ETF_Options_Exhibits'!O2034:O2038)),AVERAGE('20250815_ETF_Options_Exhibits'!O2034:O2038),"")</f>
        <v/>
      </c>
      <c r="P2038" s="3">
        <f>IF(ISNUMBER(AVERAGE('20250815_ETF_Options_Exhibits'!P2034:P2038)),AVERAGE('20250815_ETF_Options_Exhibits'!P2034:P2038),"")</f>
        <v/>
      </c>
      <c r="Q2038" s="3">
        <f>IF(ISNUMBER(AVERAGE('20250815_ETF_Options_Exhibits'!Q2034:Q2038)),AVERAGE('20250815_ETF_Options_Exhibits'!Q2034:Q2038),"")</f>
        <v/>
      </c>
      <c r="R2038" s="3">
        <f>IF(ISNUMBER(AVERAGE('20250815_ETF_Options_Exhibits'!R2034:R2038)),AVERAGE('20250815_ETF_Options_Exhibits'!R2034:R2038),"")</f>
        <v/>
      </c>
      <c r="S2038" s="3">
        <f>IF(ISNUMBER(AVERAGE('20250815_ETF_Options_Exhibits'!S2034:S2038)),AVERAGE('20250815_ETF_Options_Exhibits'!S2034:S2038),"")</f>
        <v/>
      </c>
      <c r="T2038" s="3">
        <f>IF(ISNUMBER(AVERAGE('20250815_ETF_Options_Exhibits'!T2034:T2038)),AVERAGE('20250815_ETF_Options_Exhibits'!T2034:T2038),"")</f>
        <v/>
      </c>
      <c r="U2038" s="3">
        <f>IF(ISNUMBER(AVERAGE('20250815_ETF_Options_Exhibits'!U2034:U2038)),AVERAGE('20250815_ETF_Options_Exhibits'!U2034:U2038),"")</f>
        <v/>
      </c>
      <c r="V2038" s="3">
        <f>IF(ISNUMBER(AVERAGE('20250815_ETF_Options_Exhibits'!V2034:V2038)),AVERAGE('20250815_ETF_Options_Exhibits'!V2034:V2038),"")</f>
        <v/>
      </c>
      <c r="W2038" s="3">
        <f>IF(ISNUMBER(AVERAGE('20250815_ETF_Options_Exhibits'!W2034:W2038)),AVERAGE('20250815_ETF_Options_Exhibits'!W2034:W2038),"")</f>
        <v/>
      </c>
      <c r="X2038" s="3">
        <f>IF(ISNUMBER(AVERAGE('20250815_ETF_Options_Exhibits'!X2034:X2038)),AVERAGE('20250815_ETF_Options_Exhibits'!X2034:X2038),"")</f>
        <v/>
      </c>
      <c r="Y2038" s="3">
        <f>IF(ISNUMBER(AVERAGE('20250815_ETF_Options_Exhibits'!Y2034:Y2038)),AVERAGE('20250815_ETF_Options_Exhibits'!Y2034:Y2038),"")</f>
        <v/>
      </c>
      <c r="Z2038" s="3">
        <f>IF(ISNUMBER(AVERAGE('20250815_ETF_Options_Exhibits'!Z2034:Z2038)),AVERAGE('20250815_ETF_Options_Exhibits'!Z2034:Z2038),"")</f>
        <v/>
      </c>
      <c r="AA2038" s="3">
        <f>IF(ISNUMBER(AVERAGE('20250815_ETF_Options_Exhibits'!AA2034:AA2038)),AVERAGE('20250815_ETF_Options_Exhibits'!AA2034:AA2038),"")</f>
        <v/>
      </c>
    </row>
    <row r="2039">
      <c r="A2039" s="1" t="n">
        <v>44960</v>
      </c>
      <c r="B2039" s="3">
        <f>IF(ISNUMBER(AVERAGE('20250815_ETF_Options_Exhibits'!B2035:B2039)),AVERAGE('20250815_ETF_Options_Exhibits'!B2035:B2039),"")</f>
        <v/>
      </c>
      <c r="C2039" s="3">
        <f>IF(ISNUMBER(AVERAGE('20250815_ETF_Options_Exhibits'!C2035:C2039)),AVERAGE('20250815_ETF_Options_Exhibits'!C2035:C2039),"")</f>
        <v/>
      </c>
      <c r="D2039" s="3">
        <f>IF(ISNUMBER(AVERAGE('20250815_ETF_Options_Exhibits'!D2035:D2039)),AVERAGE('20250815_ETF_Options_Exhibits'!D2035:D2039),"")</f>
        <v/>
      </c>
      <c r="E2039" s="3">
        <f>IF(ISNUMBER(AVERAGE('20250815_ETF_Options_Exhibits'!E2035:E2039)),AVERAGE('20250815_ETF_Options_Exhibits'!E2035:E2039),"")</f>
        <v/>
      </c>
      <c r="F2039" s="3">
        <f>IF(ISNUMBER(AVERAGE('20250815_ETF_Options_Exhibits'!F2035:F2039)),AVERAGE('20250815_ETF_Options_Exhibits'!F2035:F2039),"")</f>
        <v/>
      </c>
      <c r="G2039" s="3">
        <f>IF(ISNUMBER(AVERAGE('20250815_ETF_Options_Exhibits'!G2035:G2039)),AVERAGE('20250815_ETF_Options_Exhibits'!G2035:G2039),"")</f>
        <v/>
      </c>
      <c r="H2039" s="3">
        <f>IF(ISNUMBER(AVERAGE('20250815_ETF_Options_Exhibits'!H2035:H2039)),AVERAGE('20250815_ETF_Options_Exhibits'!H2035:H2039),"")</f>
        <v/>
      </c>
      <c r="I2039" s="3">
        <f>IF(ISNUMBER(AVERAGE('20250815_ETF_Options_Exhibits'!I2035:I2039)),AVERAGE('20250815_ETF_Options_Exhibits'!I2035:I2039),"")</f>
        <v/>
      </c>
      <c r="J2039" s="3">
        <f>IF(ISNUMBER(AVERAGE('20250815_ETF_Options_Exhibits'!J2035:J2039)),AVERAGE('20250815_ETF_Options_Exhibits'!J2035:J2039),"")</f>
        <v/>
      </c>
      <c r="K2039" s="3">
        <f>IF(ISNUMBER(AVERAGE('20250815_ETF_Options_Exhibits'!K2035:K2039)),AVERAGE('20250815_ETF_Options_Exhibits'!K2035:K2039),"")</f>
        <v/>
      </c>
      <c r="L2039" s="3">
        <f>IF(ISNUMBER(AVERAGE('20250815_ETF_Options_Exhibits'!L2035:L2039)),AVERAGE('20250815_ETF_Options_Exhibits'!L2035:L2039),"")</f>
        <v/>
      </c>
      <c r="M2039" s="3">
        <f>IF(ISNUMBER(AVERAGE('20250815_ETF_Options_Exhibits'!M2035:M2039)),AVERAGE('20250815_ETF_Options_Exhibits'!M2035:M2039),"")</f>
        <v/>
      </c>
      <c r="N2039" s="3">
        <f>IF(ISNUMBER(AVERAGE('20250815_ETF_Options_Exhibits'!N2035:N2039)),AVERAGE('20250815_ETF_Options_Exhibits'!N2035:N2039),"")</f>
        <v/>
      </c>
      <c r="O2039" s="3">
        <f>IF(ISNUMBER(AVERAGE('20250815_ETF_Options_Exhibits'!O2035:O2039)),AVERAGE('20250815_ETF_Options_Exhibits'!O2035:O2039),"")</f>
        <v/>
      </c>
      <c r="P2039" s="3">
        <f>IF(ISNUMBER(AVERAGE('20250815_ETF_Options_Exhibits'!P2035:P2039)),AVERAGE('20250815_ETF_Options_Exhibits'!P2035:P2039),"")</f>
        <v/>
      </c>
      <c r="Q2039" s="3">
        <f>IF(ISNUMBER(AVERAGE('20250815_ETF_Options_Exhibits'!Q2035:Q2039)),AVERAGE('20250815_ETF_Options_Exhibits'!Q2035:Q2039),"")</f>
        <v/>
      </c>
      <c r="R2039" s="3">
        <f>IF(ISNUMBER(AVERAGE('20250815_ETF_Options_Exhibits'!R2035:R2039)),AVERAGE('20250815_ETF_Options_Exhibits'!R2035:R2039),"")</f>
        <v/>
      </c>
      <c r="S2039" s="3">
        <f>IF(ISNUMBER(AVERAGE('20250815_ETF_Options_Exhibits'!S2035:S2039)),AVERAGE('20250815_ETF_Options_Exhibits'!S2035:S2039),"")</f>
        <v/>
      </c>
      <c r="T2039" s="3">
        <f>IF(ISNUMBER(AVERAGE('20250815_ETF_Options_Exhibits'!T2035:T2039)),AVERAGE('20250815_ETF_Options_Exhibits'!T2035:T2039),"")</f>
        <v/>
      </c>
      <c r="U2039" s="3">
        <f>IF(ISNUMBER(AVERAGE('20250815_ETF_Options_Exhibits'!U2035:U2039)),AVERAGE('20250815_ETF_Options_Exhibits'!U2035:U2039),"")</f>
        <v/>
      </c>
      <c r="V2039" s="3">
        <f>IF(ISNUMBER(AVERAGE('20250815_ETF_Options_Exhibits'!V2035:V2039)),AVERAGE('20250815_ETF_Options_Exhibits'!V2035:V2039),"")</f>
        <v/>
      </c>
      <c r="W2039" s="3">
        <f>IF(ISNUMBER(AVERAGE('20250815_ETF_Options_Exhibits'!W2035:W2039)),AVERAGE('20250815_ETF_Options_Exhibits'!W2035:W2039),"")</f>
        <v/>
      </c>
      <c r="X2039" s="3">
        <f>IF(ISNUMBER(AVERAGE('20250815_ETF_Options_Exhibits'!X2035:X2039)),AVERAGE('20250815_ETF_Options_Exhibits'!X2035:X2039),"")</f>
        <v/>
      </c>
      <c r="Y2039" s="3">
        <f>IF(ISNUMBER(AVERAGE('20250815_ETF_Options_Exhibits'!Y2035:Y2039)),AVERAGE('20250815_ETF_Options_Exhibits'!Y2035:Y2039),"")</f>
        <v/>
      </c>
      <c r="Z2039" s="3">
        <f>IF(ISNUMBER(AVERAGE('20250815_ETF_Options_Exhibits'!Z2035:Z2039)),AVERAGE('20250815_ETF_Options_Exhibits'!Z2035:Z2039),"")</f>
        <v/>
      </c>
      <c r="AA2039" s="3">
        <f>IF(ISNUMBER(AVERAGE('20250815_ETF_Options_Exhibits'!AA2035:AA2039)),AVERAGE('20250815_ETF_Options_Exhibits'!AA2035:AA2039),"")</f>
        <v/>
      </c>
    </row>
    <row r="2040">
      <c r="A2040" s="1" t="n">
        <v>44963</v>
      </c>
      <c r="B2040" s="3">
        <f>IF(ISNUMBER(AVERAGE('20250815_ETF_Options_Exhibits'!B2036:B2040)),AVERAGE('20250815_ETF_Options_Exhibits'!B2036:B2040),"")</f>
        <v/>
      </c>
      <c r="C2040" s="3">
        <f>IF(ISNUMBER(AVERAGE('20250815_ETF_Options_Exhibits'!C2036:C2040)),AVERAGE('20250815_ETF_Options_Exhibits'!C2036:C2040),"")</f>
        <v/>
      </c>
      <c r="D2040" s="3">
        <f>IF(ISNUMBER(AVERAGE('20250815_ETF_Options_Exhibits'!D2036:D2040)),AVERAGE('20250815_ETF_Options_Exhibits'!D2036:D2040),"")</f>
        <v/>
      </c>
      <c r="E2040" s="3">
        <f>IF(ISNUMBER(AVERAGE('20250815_ETF_Options_Exhibits'!E2036:E2040)),AVERAGE('20250815_ETF_Options_Exhibits'!E2036:E2040),"")</f>
        <v/>
      </c>
      <c r="F2040" s="3">
        <f>IF(ISNUMBER(AVERAGE('20250815_ETF_Options_Exhibits'!F2036:F2040)),AVERAGE('20250815_ETF_Options_Exhibits'!F2036:F2040),"")</f>
        <v/>
      </c>
      <c r="G2040" s="3">
        <f>IF(ISNUMBER(AVERAGE('20250815_ETF_Options_Exhibits'!G2036:G2040)),AVERAGE('20250815_ETF_Options_Exhibits'!G2036:G2040),"")</f>
        <v/>
      </c>
      <c r="H2040" s="3">
        <f>IF(ISNUMBER(AVERAGE('20250815_ETF_Options_Exhibits'!H2036:H2040)),AVERAGE('20250815_ETF_Options_Exhibits'!H2036:H2040),"")</f>
        <v/>
      </c>
      <c r="I2040" s="3">
        <f>IF(ISNUMBER(AVERAGE('20250815_ETF_Options_Exhibits'!I2036:I2040)),AVERAGE('20250815_ETF_Options_Exhibits'!I2036:I2040),"")</f>
        <v/>
      </c>
      <c r="J2040" s="3">
        <f>IF(ISNUMBER(AVERAGE('20250815_ETF_Options_Exhibits'!J2036:J2040)),AVERAGE('20250815_ETF_Options_Exhibits'!J2036:J2040),"")</f>
        <v/>
      </c>
      <c r="K2040" s="3">
        <f>IF(ISNUMBER(AVERAGE('20250815_ETF_Options_Exhibits'!K2036:K2040)),AVERAGE('20250815_ETF_Options_Exhibits'!K2036:K2040),"")</f>
        <v/>
      </c>
      <c r="L2040" s="3">
        <f>IF(ISNUMBER(AVERAGE('20250815_ETF_Options_Exhibits'!L2036:L2040)),AVERAGE('20250815_ETF_Options_Exhibits'!L2036:L2040),"")</f>
        <v/>
      </c>
      <c r="M2040" s="3">
        <f>IF(ISNUMBER(AVERAGE('20250815_ETF_Options_Exhibits'!M2036:M2040)),AVERAGE('20250815_ETF_Options_Exhibits'!M2036:M2040),"")</f>
        <v/>
      </c>
      <c r="N2040" s="3">
        <f>IF(ISNUMBER(AVERAGE('20250815_ETF_Options_Exhibits'!N2036:N2040)),AVERAGE('20250815_ETF_Options_Exhibits'!N2036:N2040),"")</f>
        <v/>
      </c>
      <c r="O2040" s="3">
        <f>IF(ISNUMBER(AVERAGE('20250815_ETF_Options_Exhibits'!O2036:O2040)),AVERAGE('20250815_ETF_Options_Exhibits'!O2036:O2040),"")</f>
        <v/>
      </c>
      <c r="P2040" s="3">
        <f>IF(ISNUMBER(AVERAGE('20250815_ETF_Options_Exhibits'!P2036:P2040)),AVERAGE('20250815_ETF_Options_Exhibits'!P2036:P2040),"")</f>
        <v/>
      </c>
      <c r="Q2040" s="3">
        <f>IF(ISNUMBER(AVERAGE('20250815_ETF_Options_Exhibits'!Q2036:Q2040)),AVERAGE('20250815_ETF_Options_Exhibits'!Q2036:Q2040),"")</f>
        <v/>
      </c>
      <c r="R2040" s="3">
        <f>IF(ISNUMBER(AVERAGE('20250815_ETF_Options_Exhibits'!R2036:R2040)),AVERAGE('20250815_ETF_Options_Exhibits'!R2036:R2040),"")</f>
        <v/>
      </c>
      <c r="S2040" s="3">
        <f>IF(ISNUMBER(AVERAGE('20250815_ETF_Options_Exhibits'!S2036:S2040)),AVERAGE('20250815_ETF_Options_Exhibits'!S2036:S2040),"")</f>
        <v/>
      </c>
      <c r="T2040" s="3">
        <f>IF(ISNUMBER(AVERAGE('20250815_ETF_Options_Exhibits'!T2036:T2040)),AVERAGE('20250815_ETF_Options_Exhibits'!T2036:T2040),"")</f>
        <v/>
      </c>
      <c r="U2040" s="3">
        <f>IF(ISNUMBER(AVERAGE('20250815_ETF_Options_Exhibits'!U2036:U2040)),AVERAGE('20250815_ETF_Options_Exhibits'!U2036:U2040),"")</f>
        <v/>
      </c>
      <c r="V2040" s="3">
        <f>IF(ISNUMBER(AVERAGE('20250815_ETF_Options_Exhibits'!V2036:V2040)),AVERAGE('20250815_ETF_Options_Exhibits'!V2036:V2040),"")</f>
        <v/>
      </c>
      <c r="W2040" s="3">
        <f>IF(ISNUMBER(AVERAGE('20250815_ETF_Options_Exhibits'!W2036:W2040)),AVERAGE('20250815_ETF_Options_Exhibits'!W2036:W2040),"")</f>
        <v/>
      </c>
      <c r="X2040" s="3">
        <f>IF(ISNUMBER(AVERAGE('20250815_ETF_Options_Exhibits'!X2036:X2040)),AVERAGE('20250815_ETF_Options_Exhibits'!X2036:X2040),"")</f>
        <v/>
      </c>
      <c r="Y2040" s="3">
        <f>IF(ISNUMBER(AVERAGE('20250815_ETF_Options_Exhibits'!Y2036:Y2040)),AVERAGE('20250815_ETF_Options_Exhibits'!Y2036:Y2040),"")</f>
        <v/>
      </c>
      <c r="Z2040" s="3">
        <f>IF(ISNUMBER(AVERAGE('20250815_ETF_Options_Exhibits'!Z2036:Z2040)),AVERAGE('20250815_ETF_Options_Exhibits'!Z2036:Z2040),"")</f>
        <v/>
      </c>
      <c r="AA2040" s="3">
        <f>IF(ISNUMBER(AVERAGE('20250815_ETF_Options_Exhibits'!AA2036:AA2040)),AVERAGE('20250815_ETF_Options_Exhibits'!AA2036:AA2040),"")</f>
        <v/>
      </c>
    </row>
    <row r="2041">
      <c r="A2041" s="1" t="n">
        <v>44964</v>
      </c>
      <c r="B2041" s="3">
        <f>IF(ISNUMBER(AVERAGE('20250815_ETF_Options_Exhibits'!B2037:B2041)),AVERAGE('20250815_ETF_Options_Exhibits'!B2037:B2041),"")</f>
        <v/>
      </c>
      <c r="C2041" s="3">
        <f>IF(ISNUMBER(AVERAGE('20250815_ETF_Options_Exhibits'!C2037:C2041)),AVERAGE('20250815_ETF_Options_Exhibits'!C2037:C2041),"")</f>
        <v/>
      </c>
      <c r="D2041" s="3">
        <f>IF(ISNUMBER(AVERAGE('20250815_ETF_Options_Exhibits'!D2037:D2041)),AVERAGE('20250815_ETF_Options_Exhibits'!D2037:D2041),"")</f>
        <v/>
      </c>
      <c r="E2041" s="3">
        <f>IF(ISNUMBER(AVERAGE('20250815_ETF_Options_Exhibits'!E2037:E2041)),AVERAGE('20250815_ETF_Options_Exhibits'!E2037:E2041),"")</f>
        <v/>
      </c>
      <c r="F2041" s="3">
        <f>IF(ISNUMBER(AVERAGE('20250815_ETF_Options_Exhibits'!F2037:F2041)),AVERAGE('20250815_ETF_Options_Exhibits'!F2037:F2041),"")</f>
        <v/>
      </c>
      <c r="G2041" s="3">
        <f>IF(ISNUMBER(AVERAGE('20250815_ETF_Options_Exhibits'!G2037:G2041)),AVERAGE('20250815_ETF_Options_Exhibits'!G2037:G2041),"")</f>
        <v/>
      </c>
      <c r="H2041" s="3">
        <f>IF(ISNUMBER(AVERAGE('20250815_ETF_Options_Exhibits'!H2037:H2041)),AVERAGE('20250815_ETF_Options_Exhibits'!H2037:H2041),"")</f>
        <v/>
      </c>
      <c r="I2041" s="3">
        <f>IF(ISNUMBER(AVERAGE('20250815_ETF_Options_Exhibits'!I2037:I2041)),AVERAGE('20250815_ETF_Options_Exhibits'!I2037:I2041),"")</f>
        <v/>
      </c>
      <c r="J2041" s="3">
        <f>IF(ISNUMBER(AVERAGE('20250815_ETF_Options_Exhibits'!J2037:J2041)),AVERAGE('20250815_ETF_Options_Exhibits'!J2037:J2041),"")</f>
        <v/>
      </c>
      <c r="K2041" s="3">
        <f>IF(ISNUMBER(AVERAGE('20250815_ETF_Options_Exhibits'!K2037:K2041)),AVERAGE('20250815_ETF_Options_Exhibits'!K2037:K2041),"")</f>
        <v/>
      </c>
      <c r="L2041" s="3">
        <f>IF(ISNUMBER(AVERAGE('20250815_ETF_Options_Exhibits'!L2037:L2041)),AVERAGE('20250815_ETF_Options_Exhibits'!L2037:L2041),"")</f>
        <v/>
      </c>
      <c r="M2041" s="3">
        <f>IF(ISNUMBER(AVERAGE('20250815_ETF_Options_Exhibits'!M2037:M2041)),AVERAGE('20250815_ETF_Options_Exhibits'!M2037:M2041),"")</f>
        <v/>
      </c>
      <c r="N2041" s="3">
        <f>IF(ISNUMBER(AVERAGE('20250815_ETF_Options_Exhibits'!N2037:N2041)),AVERAGE('20250815_ETF_Options_Exhibits'!N2037:N2041),"")</f>
        <v/>
      </c>
      <c r="O2041" s="3">
        <f>IF(ISNUMBER(AVERAGE('20250815_ETF_Options_Exhibits'!O2037:O2041)),AVERAGE('20250815_ETF_Options_Exhibits'!O2037:O2041),"")</f>
        <v/>
      </c>
      <c r="P2041" s="3">
        <f>IF(ISNUMBER(AVERAGE('20250815_ETF_Options_Exhibits'!P2037:P2041)),AVERAGE('20250815_ETF_Options_Exhibits'!P2037:P2041),"")</f>
        <v/>
      </c>
      <c r="Q2041" s="3">
        <f>IF(ISNUMBER(AVERAGE('20250815_ETF_Options_Exhibits'!Q2037:Q2041)),AVERAGE('20250815_ETF_Options_Exhibits'!Q2037:Q2041),"")</f>
        <v/>
      </c>
      <c r="R2041" s="3">
        <f>IF(ISNUMBER(AVERAGE('20250815_ETF_Options_Exhibits'!R2037:R2041)),AVERAGE('20250815_ETF_Options_Exhibits'!R2037:R2041),"")</f>
        <v/>
      </c>
      <c r="S2041" s="3">
        <f>IF(ISNUMBER(AVERAGE('20250815_ETF_Options_Exhibits'!S2037:S2041)),AVERAGE('20250815_ETF_Options_Exhibits'!S2037:S2041),"")</f>
        <v/>
      </c>
      <c r="T2041" s="3">
        <f>IF(ISNUMBER(AVERAGE('20250815_ETF_Options_Exhibits'!T2037:T2041)),AVERAGE('20250815_ETF_Options_Exhibits'!T2037:T2041),"")</f>
        <v/>
      </c>
      <c r="U2041" s="3">
        <f>IF(ISNUMBER(AVERAGE('20250815_ETF_Options_Exhibits'!U2037:U2041)),AVERAGE('20250815_ETF_Options_Exhibits'!U2037:U2041),"")</f>
        <v/>
      </c>
      <c r="V2041" s="3">
        <f>IF(ISNUMBER(AVERAGE('20250815_ETF_Options_Exhibits'!V2037:V2041)),AVERAGE('20250815_ETF_Options_Exhibits'!V2037:V2041),"")</f>
        <v/>
      </c>
      <c r="W2041" s="3">
        <f>IF(ISNUMBER(AVERAGE('20250815_ETF_Options_Exhibits'!W2037:W2041)),AVERAGE('20250815_ETF_Options_Exhibits'!W2037:W2041),"")</f>
        <v/>
      </c>
      <c r="X2041" s="3">
        <f>IF(ISNUMBER(AVERAGE('20250815_ETF_Options_Exhibits'!X2037:X2041)),AVERAGE('20250815_ETF_Options_Exhibits'!X2037:X2041),"")</f>
        <v/>
      </c>
      <c r="Y2041" s="3">
        <f>IF(ISNUMBER(AVERAGE('20250815_ETF_Options_Exhibits'!Y2037:Y2041)),AVERAGE('20250815_ETF_Options_Exhibits'!Y2037:Y2041),"")</f>
        <v/>
      </c>
      <c r="Z2041" s="3">
        <f>IF(ISNUMBER(AVERAGE('20250815_ETF_Options_Exhibits'!Z2037:Z2041)),AVERAGE('20250815_ETF_Options_Exhibits'!Z2037:Z2041),"")</f>
        <v/>
      </c>
      <c r="AA2041" s="3">
        <f>IF(ISNUMBER(AVERAGE('20250815_ETF_Options_Exhibits'!AA2037:AA2041)),AVERAGE('20250815_ETF_Options_Exhibits'!AA2037:AA2041),"")</f>
        <v/>
      </c>
    </row>
    <row r="2042">
      <c r="A2042" s="1" t="n">
        <v>44965</v>
      </c>
      <c r="B2042" s="3">
        <f>IF(ISNUMBER(AVERAGE('20250815_ETF_Options_Exhibits'!B2038:B2042)),AVERAGE('20250815_ETF_Options_Exhibits'!B2038:B2042),"")</f>
        <v/>
      </c>
      <c r="C2042" s="3">
        <f>IF(ISNUMBER(AVERAGE('20250815_ETF_Options_Exhibits'!C2038:C2042)),AVERAGE('20250815_ETF_Options_Exhibits'!C2038:C2042),"")</f>
        <v/>
      </c>
      <c r="D2042" s="3">
        <f>IF(ISNUMBER(AVERAGE('20250815_ETF_Options_Exhibits'!D2038:D2042)),AVERAGE('20250815_ETF_Options_Exhibits'!D2038:D2042),"")</f>
        <v/>
      </c>
      <c r="E2042" s="3">
        <f>IF(ISNUMBER(AVERAGE('20250815_ETF_Options_Exhibits'!E2038:E2042)),AVERAGE('20250815_ETF_Options_Exhibits'!E2038:E2042),"")</f>
        <v/>
      </c>
      <c r="F2042" s="3">
        <f>IF(ISNUMBER(AVERAGE('20250815_ETF_Options_Exhibits'!F2038:F2042)),AVERAGE('20250815_ETF_Options_Exhibits'!F2038:F2042),"")</f>
        <v/>
      </c>
      <c r="G2042" s="3">
        <f>IF(ISNUMBER(AVERAGE('20250815_ETF_Options_Exhibits'!G2038:G2042)),AVERAGE('20250815_ETF_Options_Exhibits'!G2038:G2042),"")</f>
        <v/>
      </c>
      <c r="H2042" s="3">
        <f>IF(ISNUMBER(AVERAGE('20250815_ETF_Options_Exhibits'!H2038:H2042)),AVERAGE('20250815_ETF_Options_Exhibits'!H2038:H2042),"")</f>
        <v/>
      </c>
      <c r="I2042" s="3">
        <f>IF(ISNUMBER(AVERAGE('20250815_ETF_Options_Exhibits'!I2038:I2042)),AVERAGE('20250815_ETF_Options_Exhibits'!I2038:I2042),"")</f>
        <v/>
      </c>
      <c r="J2042" s="3">
        <f>IF(ISNUMBER(AVERAGE('20250815_ETF_Options_Exhibits'!J2038:J2042)),AVERAGE('20250815_ETF_Options_Exhibits'!J2038:J2042),"")</f>
        <v/>
      </c>
      <c r="K2042" s="3">
        <f>IF(ISNUMBER(AVERAGE('20250815_ETF_Options_Exhibits'!K2038:K2042)),AVERAGE('20250815_ETF_Options_Exhibits'!K2038:K2042),"")</f>
        <v/>
      </c>
      <c r="L2042" s="3">
        <f>IF(ISNUMBER(AVERAGE('20250815_ETF_Options_Exhibits'!L2038:L2042)),AVERAGE('20250815_ETF_Options_Exhibits'!L2038:L2042),"")</f>
        <v/>
      </c>
      <c r="M2042" s="3">
        <f>IF(ISNUMBER(AVERAGE('20250815_ETF_Options_Exhibits'!M2038:M2042)),AVERAGE('20250815_ETF_Options_Exhibits'!M2038:M2042),"")</f>
        <v/>
      </c>
      <c r="N2042" s="3">
        <f>IF(ISNUMBER(AVERAGE('20250815_ETF_Options_Exhibits'!N2038:N2042)),AVERAGE('20250815_ETF_Options_Exhibits'!N2038:N2042),"")</f>
        <v/>
      </c>
      <c r="O2042" s="3">
        <f>IF(ISNUMBER(AVERAGE('20250815_ETF_Options_Exhibits'!O2038:O2042)),AVERAGE('20250815_ETF_Options_Exhibits'!O2038:O2042),"")</f>
        <v/>
      </c>
      <c r="P2042" s="3">
        <f>IF(ISNUMBER(AVERAGE('20250815_ETF_Options_Exhibits'!P2038:P2042)),AVERAGE('20250815_ETF_Options_Exhibits'!P2038:P2042),"")</f>
        <v/>
      </c>
      <c r="Q2042" s="3">
        <f>IF(ISNUMBER(AVERAGE('20250815_ETF_Options_Exhibits'!Q2038:Q2042)),AVERAGE('20250815_ETF_Options_Exhibits'!Q2038:Q2042),"")</f>
        <v/>
      </c>
      <c r="R2042" s="3">
        <f>IF(ISNUMBER(AVERAGE('20250815_ETF_Options_Exhibits'!R2038:R2042)),AVERAGE('20250815_ETF_Options_Exhibits'!R2038:R2042),"")</f>
        <v/>
      </c>
      <c r="S2042" s="3">
        <f>IF(ISNUMBER(AVERAGE('20250815_ETF_Options_Exhibits'!S2038:S2042)),AVERAGE('20250815_ETF_Options_Exhibits'!S2038:S2042),"")</f>
        <v/>
      </c>
      <c r="T2042" s="3">
        <f>IF(ISNUMBER(AVERAGE('20250815_ETF_Options_Exhibits'!T2038:T2042)),AVERAGE('20250815_ETF_Options_Exhibits'!T2038:T2042),"")</f>
        <v/>
      </c>
      <c r="U2042" s="3">
        <f>IF(ISNUMBER(AVERAGE('20250815_ETF_Options_Exhibits'!U2038:U2042)),AVERAGE('20250815_ETF_Options_Exhibits'!U2038:U2042),"")</f>
        <v/>
      </c>
      <c r="V2042" s="3">
        <f>IF(ISNUMBER(AVERAGE('20250815_ETF_Options_Exhibits'!V2038:V2042)),AVERAGE('20250815_ETF_Options_Exhibits'!V2038:V2042),"")</f>
        <v/>
      </c>
      <c r="W2042" s="3">
        <f>IF(ISNUMBER(AVERAGE('20250815_ETF_Options_Exhibits'!W2038:W2042)),AVERAGE('20250815_ETF_Options_Exhibits'!W2038:W2042),"")</f>
        <v/>
      </c>
      <c r="X2042" s="3">
        <f>IF(ISNUMBER(AVERAGE('20250815_ETF_Options_Exhibits'!X2038:X2042)),AVERAGE('20250815_ETF_Options_Exhibits'!X2038:X2042),"")</f>
        <v/>
      </c>
      <c r="Y2042" s="3">
        <f>IF(ISNUMBER(AVERAGE('20250815_ETF_Options_Exhibits'!Y2038:Y2042)),AVERAGE('20250815_ETF_Options_Exhibits'!Y2038:Y2042),"")</f>
        <v/>
      </c>
      <c r="Z2042" s="3">
        <f>IF(ISNUMBER(AVERAGE('20250815_ETF_Options_Exhibits'!Z2038:Z2042)),AVERAGE('20250815_ETF_Options_Exhibits'!Z2038:Z2042),"")</f>
        <v/>
      </c>
      <c r="AA2042" s="3">
        <f>IF(ISNUMBER(AVERAGE('20250815_ETF_Options_Exhibits'!AA2038:AA2042)),AVERAGE('20250815_ETF_Options_Exhibits'!AA2038:AA2042),"")</f>
        <v/>
      </c>
    </row>
    <row r="2043">
      <c r="A2043" s="1" t="n">
        <v>44966</v>
      </c>
      <c r="B2043" s="3">
        <f>IF(ISNUMBER(AVERAGE('20250815_ETF_Options_Exhibits'!B2039:B2043)),AVERAGE('20250815_ETF_Options_Exhibits'!B2039:B2043),"")</f>
        <v/>
      </c>
      <c r="C2043" s="3">
        <f>IF(ISNUMBER(AVERAGE('20250815_ETF_Options_Exhibits'!C2039:C2043)),AVERAGE('20250815_ETF_Options_Exhibits'!C2039:C2043),"")</f>
        <v/>
      </c>
      <c r="D2043" s="3">
        <f>IF(ISNUMBER(AVERAGE('20250815_ETF_Options_Exhibits'!D2039:D2043)),AVERAGE('20250815_ETF_Options_Exhibits'!D2039:D2043),"")</f>
        <v/>
      </c>
      <c r="E2043" s="3">
        <f>IF(ISNUMBER(AVERAGE('20250815_ETF_Options_Exhibits'!E2039:E2043)),AVERAGE('20250815_ETF_Options_Exhibits'!E2039:E2043),"")</f>
        <v/>
      </c>
      <c r="F2043" s="3">
        <f>IF(ISNUMBER(AVERAGE('20250815_ETF_Options_Exhibits'!F2039:F2043)),AVERAGE('20250815_ETF_Options_Exhibits'!F2039:F2043),"")</f>
        <v/>
      </c>
      <c r="G2043" s="3">
        <f>IF(ISNUMBER(AVERAGE('20250815_ETF_Options_Exhibits'!G2039:G2043)),AVERAGE('20250815_ETF_Options_Exhibits'!G2039:G2043),"")</f>
        <v/>
      </c>
      <c r="H2043" s="3">
        <f>IF(ISNUMBER(AVERAGE('20250815_ETF_Options_Exhibits'!H2039:H2043)),AVERAGE('20250815_ETF_Options_Exhibits'!H2039:H2043),"")</f>
        <v/>
      </c>
      <c r="I2043" s="3">
        <f>IF(ISNUMBER(AVERAGE('20250815_ETF_Options_Exhibits'!I2039:I2043)),AVERAGE('20250815_ETF_Options_Exhibits'!I2039:I2043),"")</f>
        <v/>
      </c>
      <c r="J2043" s="3">
        <f>IF(ISNUMBER(AVERAGE('20250815_ETF_Options_Exhibits'!J2039:J2043)),AVERAGE('20250815_ETF_Options_Exhibits'!J2039:J2043),"")</f>
        <v/>
      </c>
      <c r="K2043" s="3">
        <f>IF(ISNUMBER(AVERAGE('20250815_ETF_Options_Exhibits'!K2039:K2043)),AVERAGE('20250815_ETF_Options_Exhibits'!K2039:K2043),"")</f>
        <v/>
      </c>
      <c r="L2043" s="3">
        <f>IF(ISNUMBER(AVERAGE('20250815_ETF_Options_Exhibits'!L2039:L2043)),AVERAGE('20250815_ETF_Options_Exhibits'!L2039:L2043),"")</f>
        <v/>
      </c>
      <c r="M2043" s="3">
        <f>IF(ISNUMBER(AVERAGE('20250815_ETF_Options_Exhibits'!M2039:M2043)),AVERAGE('20250815_ETF_Options_Exhibits'!M2039:M2043),"")</f>
        <v/>
      </c>
      <c r="N2043" s="3">
        <f>IF(ISNUMBER(AVERAGE('20250815_ETF_Options_Exhibits'!N2039:N2043)),AVERAGE('20250815_ETF_Options_Exhibits'!N2039:N2043),"")</f>
        <v/>
      </c>
      <c r="O2043" s="3">
        <f>IF(ISNUMBER(AVERAGE('20250815_ETF_Options_Exhibits'!O2039:O2043)),AVERAGE('20250815_ETF_Options_Exhibits'!O2039:O2043),"")</f>
        <v/>
      </c>
      <c r="P2043" s="3">
        <f>IF(ISNUMBER(AVERAGE('20250815_ETF_Options_Exhibits'!P2039:P2043)),AVERAGE('20250815_ETF_Options_Exhibits'!P2039:P2043),"")</f>
        <v/>
      </c>
      <c r="Q2043" s="3">
        <f>IF(ISNUMBER(AVERAGE('20250815_ETF_Options_Exhibits'!Q2039:Q2043)),AVERAGE('20250815_ETF_Options_Exhibits'!Q2039:Q2043),"")</f>
        <v/>
      </c>
      <c r="R2043" s="3">
        <f>IF(ISNUMBER(AVERAGE('20250815_ETF_Options_Exhibits'!R2039:R2043)),AVERAGE('20250815_ETF_Options_Exhibits'!R2039:R2043),"")</f>
        <v/>
      </c>
      <c r="S2043" s="3">
        <f>IF(ISNUMBER(AVERAGE('20250815_ETF_Options_Exhibits'!S2039:S2043)),AVERAGE('20250815_ETF_Options_Exhibits'!S2039:S2043),"")</f>
        <v/>
      </c>
      <c r="T2043" s="3">
        <f>IF(ISNUMBER(AVERAGE('20250815_ETF_Options_Exhibits'!T2039:T2043)),AVERAGE('20250815_ETF_Options_Exhibits'!T2039:T2043),"")</f>
        <v/>
      </c>
      <c r="U2043" s="3">
        <f>IF(ISNUMBER(AVERAGE('20250815_ETF_Options_Exhibits'!U2039:U2043)),AVERAGE('20250815_ETF_Options_Exhibits'!U2039:U2043),"")</f>
        <v/>
      </c>
      <c r="V2043" s="3">
        <f>IF(ISNUMBER(AVERAGE('20250815_ETF_Options_Exhibits'!V2039:V2043)),AVERAGE('20250815_ETF_Options_Exhibits'!V2039:V2043),"")</f>
        <v/>
      </c>
      <c r="W2043" s="3">
        <f>IF(ISNUMBER(AVERAGE('20250815_ETF_Options_Exhibits'!W2039:W2043)),AVERAGE('20250815_ETF_Options_Exhibits'!W2039:W2043),"")</f>
        <v/>
      </c>
      <c r="X2043" s="3">
        <f>IF(ISNUMBER(AVERAGE('20250815_ETF_Options_Exhibits'!X2039:X2043)),AVERAGE('20250815_ETF_Options_Exhibits'!X2039:X2043),"")</f>
        <v/>
      </c>
      <c r="Y2043" s="3">
        <f>IF(ISNUMBER(AVERAGE('20250815_ETF_Options_Exhibits'!Y2039:Y2043)),AVERAGE('20250815_ETF_Options_Exhibits'!Y2039:Y2043),"")</f>
        <v/>
      </c>
      <c r="Z2043" s="3">
        <f>IF(ISNUMBER(AVERAGE('20250815_ETF_Options_Exhibits'!Z2039:Z2043)),AVERAGE('20250815_ETF_Options_Exhibits'!Z2039:Z2043),"")</f>
        <v/>
      </c>
      <c r="AA2043" s="3">
        <f>IF(ISNUMBER(AVERAGE('20250815_ETF_Options_Exhibits'!AA2039:AA2043)),AVERAGE('20250815_ETF_Options_Exhibits'!AA2039:AA2043),"")</f>
        <v/>
      </c>
    </row>
    <row r="2044">
      <c r="A2044" s="1" t="n">
        <v>44967</v>
      </c>
      <c r="B2044" s="3">
        <f>IF(ISNUMBER(AVERAGE('20250815_ETF_Options_Exhibits'!B2040:B2044)),AVERAGE('20250815_ETF_Options_Exhibits'!B2040:B2044),"")</f>
        <v/>
      </c>
      <c r="C2044" s="3">
        <f>IF(ISNUMBER(AVERAGE('20250815_ETF_Options_Exhibits'!C2040:C2044)),AVERAGE('20250815_ETF_Options_Exhibits'!C2040:C2044),"")</f>
        <v/>
      </c>
      <c r="D2044" s="3">
        <f>IF(ISNUMBER(AVERAGE('20250815_ETF_Options_Exhibits'!D2040:D2044)),AVERAGE('20250815_ETF_Options_Exhibits'!D2040:D2044),"")</f>
        <v/>
      </c>
      <c r="E2044" s="3">
        <f>IF(ISNUMBER(AVERAGE('20250815_ETF_Options_Exhibits'!E2040:E2044)),AVERAGE('20250815_ETF_Options_Exhibits'!E2040:E2044),"")</f>
        <v/>
      </c>
      <c r="F2044" s="3">
        <f>IF(ISNUMBER(AVERAGE('20250815_ETF_Options_Exhibits'!F2040:F2044)),AVERAGE('20250815_ETF_Options_Exhibits'!F2040:F2044),"")</f>
        <v/>
      </c>
      <c r="G2044" s="3">
        <f>IF(ISNUMBER(AVERAGE('20250815_ETF_Options_Exhibits'!G2040:G2044)),AVERAGE('20250815_ETF_Options_Exhibits'!G2040:G2044),"")</f>
        <v/>
      </c>
      <c r="H2044" s="3">
        <f>IF(ISNUMBER(AVERAGE('20250815_ETF_Options_Exhibits'!H2040:H2044)),AVERAGE('20250815_ETF_Options_Exhibits'!H2040:H2044),"")</f>
        <v/>
      </c>
      <c r="I2044" s="3">
        <f>IF(ISNUMBER(AVERAGE('20250815_ETF_Options_Exhibits'!I2040:I2044)),AVERAGE('20250815_ETF_Options_Exhibits'!I2040:I2044),"")</f>
        <v/>
      </c>
      <c r="J2044" s="3">
        <f>IF(ISNUMBER(AVERAGE('20250815_ETF_Options_Exhibits'!J2040:J2044)),AVERAGE('20250815_ETF_Options_Exhibits'!J2040:J2044),"")</f>
        <v/>
      </c>
      <c r="K2044" s="3">
        <f>IF(ISNUMBER(AVERAGE('20250815_ETF_Options_Exhibits'!K2040:K2044)),AVERAGE('20250815_ETF_Options_Exhibits'!K2040:K2044),"")</f>
        <v/>
      </c>
      <c r="L2044" s="3">
        <f>IF(ISNUMBER(AVERAGE('20250815_ETF_Options_Exhibits'!L2040:L2044)),AVERAGE('20250815_ETF_Options_Exhibits'!L2040:L2044),"")</f>
        <v/>
      </c>
      <c r="M2044" s="3">
        <f>IF(ISNUMBER(AVERAGE('20250815_ETF_Options_Exhibits'!M2040:M2044)),AVERAGE('20250815_ETF_Options_Exhibits'!M2040:M2044),"")</f>
        <v/>
      </c>
      <c r="N2044" s="3">
        <f>IF(ISNUMBER(AVERAGE('20250815_ETF_Options_Exhibits'!N2040:N2044)),AVERAGE('20250815_ETF_Options_Exhibits'!N2040:N2044),"")</f>
        <v/>
      </c>
      <c r="O2044" s="3">
        <f>IF(ISNUMBER(AVERAGE('20250815_ETF_Options_Exhibits'!O2040:O2044)),AVERAGE('20250815_ETF_Options_Exhibits'!O2040:O2044),"")</f>
        <v/>
      </c>
      <c r="P2044" s="3">
        <f>IF(ISNUMBER(AVERAGE('20250815_ETF_Options_Exhibits'!P2040:P2044)),AVERAGE('20250815_ETF_Options_Exhibits'!P2040:P2044),"")</f>
        <v/>
      </c>
      <c r="Q2044" s="3">
        <f>IF(ISNUMBER(AVERAGE('20250815_ETF_Options_Exhibits'!Q2040:Q2044)),AVERAGE('20250815_ETF_Options_Exhibits'!Q2040:Q2044),"")</f>
        <v/>
      </c>
      <c r="R2044" s="3">
        <f>IF(ISNUMBER(AVERAGE('20250815_ETF_Options_Exhibits'!R2040:R2044)),AVERAGE('20250815_ETF_Options_Exhibits'!R2040:R2044),"")</f>
        <v/>
      </c>
      <c r="S2044" s="3">
        <f>IF(ISNUMBER(AVERAGE('20250815_ETF_Options_Exhibits'!S2040:S2044)),AVERAGE('20250815_ETF_Options_Exhibits'!S2040:S2044),"")</f>
        <v/>
      </c>
      <c r="T2044" s="3">
        <f>IF(ISNUMBER(AVERAGE('20250815_ETF_Options_Exhibits'!T2040:T2044)),AVERAGE('20250815_ETF_Options_Exhibits'!T2040:T2044),"")</f>
        <v/>
      </c>
      <c r="U2044" s="3">
        <f>IF(ISNUMBER(AVERAGE('20250815_ETF_Options_Exhibits'!U2040:U2044)),AVERAGE('20250815_ETF_Options_Exhibits'!U2040:U2044),"")</f>
        <v/>
      </c>
      <c r="V2044" s="3">
        <f>IF(ISNUMBER(AVERAGE('20250815_ETF_Options_Exhibits'!V2040:V2044)),AVERAGE('20250815_ETF_Options_Exhibits'!V2040:V2044),"")</f>
        <v/>
      </c>
      <c r="W2044" s="3">
        <f>IF(ISNUMBER(AVERAGE('20250815_ETF_Options_Exhibits'!W2040:W2044)),AVERAGE('20250815_ETF_Options_Exhibits'!W2040:W2044),"")</f>
        <v/>
      </c>
      <c r="X2044" s="3">
        <f>IF(ISNUMBER(AVERAGE('20250815_ETF_Options_Exhibits'!X2040:X2044)),AVERAGE('20250815_ETF_Options_Exhibits'!X2040:X2044),"")</f>
        <v/>
      </c>
      <c r="Y2044" s="3">
        <f>IF(ISNUMBER(AVERAGE('20250815_ETF_Options_Exhibits'!Y2040:Y2044)),AVERAGE('20250815_ETF_Options_Exhibits'!Y2040:Y2044),"")</f>
        <v/>
      </c>
      <c r="Z2044" s="3">
        <f>IF(ISNUMBER(AVERAGE('20250815_ETF_Options_Exhibits'!Z2040:Z2044)),AVERAGE('20250815_ETF_Options_Exhibits'!Z2040:Z2044),"")</f>
        <v/>
      </c>
      <c r="AA2044" s="3">
        <f>IF(ISNUMBER(AVERAGE('20250815_ETF_Options_Exhibits'!AA2040:AA2044)),AVERAGE('20250815_ETF_Options_Exhibits'!AA2040:AA2044),"")</f>
        <v/>
      </c>
    </row>
    <row r="2045">
      <c r="A2045" s="1" t="n">
        <v>44970</v>
      </c>
      <c r="B2045" s="3">
        <f>IF(ISNUMBER(AVERAGE('20250815_ETF_Options_Exhibits'!B2041:B2045)),AVERAGE('20250815_ETF_Options_Exhibits'!B2041:B2045),"")</f>
        <v/>
      </c>
      <c r="C2045" s="3">
        <f>IF(ISNUMBER(AVERAGE('20250815_ETF_Options_Exhibits'!C2041:C2045)),AVERAGE('20250815_ETF_Options_Exhibits'!C2041:C2045),"")</f>
        <v/>
      </c>
      <c r="D2045" s="3">
        <f>IF(ISNUMBER(AVERAGE('20250815_ETF_Options_Exhibits'!D2041:D2045)),AVERAGE('20250815_ETF_Options_Exhibits'!D2041:D2045),"")</f>
        <v/>
      </c>
      <c r="E2045" s="3">
        <f>IF(ISNUMBER(AVERAGE('20250815_ETF_Options_Exhibits'!E2041:E2045)),AVERAGE('20250815_ETF_Options_Exhibits'!E2041:E2045),"")</f>
        <v/>
      </c>
      <c r="F2045" s="3">
        <f>IF(ISNUMBER(AVERAGE('20250815_ETF_Options_Exhibits'!F2041:F2045)),AVERAGE('20250815_ETF_Options_Exhibits'!F2041:F2045),"")</f>
        <v/>
      </c>
      <c r="G2045" s="3">
        <f>IF(ISNUMBER(AVERAGE('20250815_ETF_Options_Exhibits'!G2041:G2045)),AVERAGE('20250815_ETF_Options_Exhibits'!G2041:G2045),"")</f>
        <v/>
      </c>
      <c r="H2045" s="3">
        <f>IF(ISNUMBER(AVERAGE('20250815_ETF_Options_Exhibits'!H2041:H2045)),AVERAGE('20250815_ETF_Options_Exhibits'!H2041:H2045),"")</f>
        <v/>
      </c>
      <c r="I2045" s="3">
        <f>IF(ISNUMBER(AVERAGE('20250815_ETF_Options_Exhibits'!I2041:I2045)),AVERAGE('20250815_ETF_Options_Exhibits'!I2041:I2045),"")</f>
        <v/>
      </c>
      <c r="J2045" s="3">
        <f>IF(ISNUMBER(AVERAGE('20250815_ETF_Options_Exhibits'!J2041:J2045)),AVERAGE('20250815_ETF_Options_Exhibits'!J2041:J2045),"")</f>
        <v/>
      </c>
      <c r="K2045" s="3">
        <f>IF(ISNUMBER(AVERAGE('20250815_ETF_Options_Exhibits'!K2041:K2045)),AVERAGE('20250815_ETF_Options_Exhibits'!K2041:K2045),"")</f>
        <v/>
      </c>
      <c r="L2045" s="3">
        <f>IF(ISNUMBER(AVERAGE('20250815_ETF_Options_Exhibits'!L2041:L2045)),AVERAGE('20250815_ETF_Options_Exhibits'!L2041:L2045),"")</f>
        <v/>
      </c>
      <c r="M2045" s="3">
        <f>IF(ISNUMBER(AVERAGE('20250815_ETF_Options_Exhibits'!M2041:M2045)),AVERAGE('20250815_ETF_Options_Exhibits'!M2041:M2045),"")</f>
        <v/>
      </c>
      <c r="N2045" s="3">
        <f>IF(ISNUMBER(AVERAGE('20250815_ETF_Options_Exhibits'!N2041:N2045)),AVERAGE('20250815_ETF_Options_Exhibits'!N2041:N2045),"")</f>
        <v/>
      </c>
      <c r="O2045" s="3">
        <f>IF(ISNUMBER(AVERAGE('20250815_ETF_Options_Exhibits'!O2041:O2045)),AVERAGE('20250815_ETF_Options_Exhibits'!O2041:O2045),"")</f>
        <v/>
      </c>
      <c r="P2045" s="3">
        <f>IF(ISNUMBER(AVERAGE('20250815_ETF_Options_Exhibits'!P2041:P2045)),AVERAGE('20250815_ETF_Options_Exhibits'!P2041:P2045),"")</f>
        <v/>
      </c>
      <c r="Q2045" s="3">
        <f>IF(ISNUMBER(AVERAGE('20250815_ETF_Options_Exhibits'!Q2041:Q2045)),AVERAGE('20250815_ETF_Options_Exhibits'!Q2041:Q2045),"")</f>
        <v/>
      </c>
      <c r="R2045" s="3">
        <f>IF(ISNUMBER(AVERAGE('20250815_ETF_Options_Exhibits'!R2041:R2045)),AVERAGE('20250815_ETF_Options_Exhibits'!R2041:R2045),"")</f>
        <v/>
      </c>
      <c r="S2045" s="3">
        <f>IF(ISNUMBER(AVERAGE('20250815_ETF_Options_Exhibits'!S2041:S2045)),AVERAGE('20250815_ETF_Options_Exhibits'!S2041:S2045),"")</f>
        <v/>
      </c>
      <c r="T2045" s="3">
        <f>IF(ISNUMBER(AVERAGE('20250815_ETF_Options_Exhibits'!T2041:T2045)),AVERAGE('20250815_ETF_Options_Exhibits'!T2041:T2045),"")</f>
        <v/>
      </c>
      <c r="U2045" s="3">
        <f>IF(ISNUMBER(AVERAGE('20250815_ETF_Options_Exhibits'!U2041:U2045)),AVERAGE('20250815_ETF_Options_Exhibits'!U2041:U2045),"")</f>
        <v/>
      </c>
      <c r="V2045" s="3">
        <f>IF(ISNUMBER(AVERAGE('20250815_ETF_Options_Exhibits'!V2041:V2045)),AVERAGE('20250815_ETF_Options_Exhibits'!V2041:V2045),"")</f>
        <v/>
      </c>
      <c r="W2045" s="3">
        <f>IF(ISNUMBER(AVERAGE('20250815_ETF_Options_Exhibits'!W2041:W2045)),AVERAGE('20250815_ETF_Options_Exhibits'!W2041:W2045),"")</f>
        <v/>
      </c>
      <c r="X2045" s="3">
        <f>IF(ISNUMBER(AVERAGE('20250815_ETF_Options_Exhibits'!X2041:X2045)),AVERAGE('20250815_ETF_Options_Exhibits'!X2041:X2045),"")</f>
        <v/>
      </c>
      <c r="Y2045" s="3">
        <f>IF(ISNUMBER(AVERAGE('20250815_ETF_Options_Exhibits'!Y2041:Y2045)),AVERAGE('20250815_ETF_Options_Exhibits'!Y2041:Y2045),"")</f>
        <v/>
      </c>
      <c r="Z2045" s="3">
        <f>IF(ISNUMBER(AVERAGE('20250815_ETF_Options_Exhibits'!Z2041:Z2045)),AVERAGE('20250815_ETF_Options_Exhibits'!Z2041:Z2045),"")</f>
        <v/>
      </c>
      <c r="AA2045" s="3">
        <f>IF(ISNUMBER(AVERAGE('20250815_ETF_Options_Exhibits'!AA2041:AA2045)),AVERAGE('20250815_ETF_Options_Exhibits'!AA2041:AA2045),"")</f>
        <v/>
      </c>
    </row>
    <row r="2046">
      <c r="A2046" s="1" t="n">
        <v>44971</v>
      </c>
      <c r="B2046" s="3">
        <f>IF(ISNUMBER(AVERAGE('20250815_ETF_Options_Exhibits'!B2042:B2046)),AVERAGE('20250815_ETF_Options_Exhibits'!B2042:B2046),"")</f>
        <v/>
      </c>
      <c r="C2046" s="3">
        <f>IF(ISNUMBER(AVERAGE('20250815_ETF_Options_Exhibits'!C2042:C2046)),AVERAGE('20250815_ETF_Options_Exhibits'!C2042:C2046),"")</f>
        <v/>
      </c>
      <c r="D2046" s="3">
        <f>IF(ISNUMBER(AVERAGE('20250815_ETF_Options_Exhibits'!D2042:D2046)),AVERAGE('20250815_ETF_Options_Exhibits'!D2042:D2046),"")</f>
        <v/>
      </c>
      <c r="E2046" s="3">
        <f>IF(ISNUMBER(AVERAGE('20250815_ETF_Options_Exhibits'!E2042:E2046)),AVERAGE('20250815_ETF_Options_Exhibits'!E2042:E2046),"")</f>
        <v/>
      </c>
      <c r="F2046" s="3">
        <f>IF(ISNUMBER(AVERAGE('20250815_ETF_Options_Exhibits'!F2042:F2046)),AVERAGE('20250815_ETF_Options_Exhibits'!F2042:F2046),"")</f>
        <v/>
      </c>
      <c r="G2046" s="3">
        <f>IF(ISNUMBER(AVERAGE('20250815_ETF_Options_Exhibits'!G2042:G2046)),AVERAGE('20250815_ETF_Options_Exhibits'!G2042:G2046),"")</f>
        <v/>
      </c>
      <c r="H2046" s="3">
        <f>IF(ISNUMBER(AVERAGE('20250815_ETF_Options_Exhibits'!H2042:H2046)),AVERAGE('20250815_ETF_Options_Exhibits'!H2042:H2046),"")</f>
        <v/>
      </c>
      <c r="I2046" s="3">
        <f>IF(ISNUMBER(AVERAGE('20250815_ETF_Options_Exhibits'!I2042:I2046)),AVERAGE('20250815_ETF_Options_Exhibits'!I2042:I2046),"")</f>
        <v/>
      </c>
      <c r="J2046" s="3">
        <f>IF(ISNUMBER(AVERAGE('20250815_ETF_Options_Exhibits'!J2042:J2046)),AVERAGE('20250815_ETF_Options_Exhibits'!J2042:J2046),"")</f>
        <v/>
      </c>
      <c r="K2046" s="3">
        <f>IF(ISNUMBER(AVERAGE('20250815_ETF_Options_Exhibits'!K2042:K2046)),AVERAGE('20250815_ETF_Options_Exhibits'!K2042:K2046),"")</f>
        <v/>
      </c>
      <c r="L2046" s="3">
        <f>IF(ISNUMBER(AVERAGE('20250815_ETF_Options_Exhibits'!L2042:L2046)),AVERAGE('20250815_ETF_Options_Exhibits'!L2042:L2046),"")</f>
        <v/>
      </c>
      <c r="M2046" s="3">
        <f>IF(ISNUMBER(AVERAGE('20250815_ETF_Options_Exhibits'!M2042:M2046)),AVERAGE('20250815_ETF_Options_Exhibits'!M2042:M2046),"")</f>
        <v/>
      </c>
      <c r="N2046" s="3">
        <f>IF(ISNUMBER(AVERAGE('20250815_ETF_Options_Exhibits'!N2042:N2046)),AVERAGE('20250815_ETF_Options_Exhibits'!N2042:N2046),"")</f>
        <v/>
      </c>
      <c r="O2046" s="3">
        <f>IF(ISNUMBER(AVERAGE('20250815_ETF_Options_Exhibits'!O2042:O2046)),AVERAGE('20250815_ETF_Options_Exhibits'!O2042:O2046),"")</f>
        <v/>
      </c>
      <c r="P2046" s="3">
        <f>IF(ISNUMBER(AVERAGE('20250815_ETF_Options_Exhibits'!P2042:P2046)),AVERAGE('20250815_ETF_Options_Exhibits'!P2042:P2046),"")</f>
        <v/>
      </c>
      <c r="Q2046" s="3">
        <f>IF(ISNUMBER(AVERAGE('20250815_ETF_Options_Exhibits'!Q2042:Q2046)),AVERAGE('20250815_ETF_Options_Exhibits'!Q2042:Q2046),"")</f>
        <v/>
      </c>
      <c r="R2046" s="3">
        <f>IF(ISNUMBER(AVERAGE('20250815_ETF_Options_Exhibits'!R2042:R2046)),AVERAGE('20250815_ETF_Options_Exhibits'!R2042:R2046),"")</f>
        <v/>
      </c>
      <c r="S2046" s="3">
        <f>IF(ISNUMBER(AVERAGE('20250815_ETF_Options_Exhibits'!S2042:S2046)),AVERAGE('20250815_ETF_Options_Exhibits'!S2042:S2046),"")</f>
        <v/>
      </c>
      <c r="T2046" s="3">
        <f>IF(ISNUMBER(AVERAGE('20250815_ETF_Options_Exhibits'!T2042:T2046)),AVERAGE('20250815_ETF_Options_Exhibits'!T2042:T2046),"")</f>
        <v/>
      </c>
      <c r="U2046" s="3">
        <f>IF(ISNUMBER(AVERAGE('20250815_ETF_Options_Exhibits'!U2042:U2046)),AVERAGE('20250815_ETF_Options_Exhibits'!U2042:U2046),"")</f>
        <v/>
      </c>
      <c r="V2046" s="3">
        <f>IF(ISNUMBER(AVERAGE('20250815_ETF_Options_Exhibits'!V2042:V2046)),AVERAGE('20250815_ETF_Options_Exhibits'!V2042:V2046),"")</f>
        <v/>
      </c>
      <c r="W2046" s="3">
        <f>IF(ISNUMBER(AVERAGE('20250815_ETF_Options_Exhibits'!W2042:W2046)),AVERAGE('20250815_ETF_Options_Exhibits'!W2042:W2046),"")</f>
        <v/>
      </c>
      <c r="X2046" s="3">
        <f>IF(ISNUMBER(AVERAGE('20250815_ETF_Options_Exhibits'!X2042:X2046)),AVERAGE('20250815_ETF_Options_Exhibits'!X2042:X2046),"")</f>
        <v/>
      </c>
      <c r="Y2046" s="3">
        <f>IF(ISNUMBER(AVERAGE('20250815_ETF_Options_Exhibits'!Y2042:Y2046)),AVERAGE('20250815_ETF_Options_Exhibits'!Y2042:Y2046),"")</f>
        <v/>
      </c>
      <c r="Z2046" s="3">
        <f>IF(ISNUMBER(AVERAGE('20250815_ETF_Options_Exhibits'!Z2042:Z2046)),AVERAGE('20250815_ETF_Options_Exhibits'!Z2042:Z2046),"")</f>
        <v/>
      </c>
      <c r="AA2046" s="3">
        <f>IF(ISNUMBER(AVERAGE('20250815_ETF_Options_Exhibits'!AA2042:AA2046)),AVERAGE('20250815_ETF_Options_Exhibits'!AA2042:AA2046),"")</f>
        <v/>
      </c>
    </row>
    <row r="2047">
      <c r="A2047" s="1" t="n">
        <v>44972</v>
      </c>
      <c r="B2047" s="3">
        <f>IF(ISNUMBER(AVERAGE('20250815_ETF_Options_Exhibits'!B2043:B2047)),AVERAGE('20250815_ETF_Options_Exhibits'!B2043:B2047),"")</f>
        <v/>
      </c>
      <c r="C2047" s="3">
        <f>IF(ISNUMBER(AVERAGE('20250815_ETF_Options_Exhibits'!C2043:C2047)),AVERAGE('20250815_ETF_Options_Exhibits'!C2043:C2047),"")</f>
        <v/>
      </c>
      <c r="D2047" s="3">
        <f>IF(ISNUMBER(AVERAGE('20250815_ETF_Options_Exhibits'!D2043:D2047)),AVERAGE('20250815_ETF_Options_Exhibits'!D2043:D2047),"")</f>
        <v/>
      </c>
      <c r="E2047" s="3">
        <f>IF(ISNUMBER(AVERAGE('20250815_ETF_Options_Exhibits'!E2043:E2047)),AVERAGE('20250815_ETF_Options_Exhibits'!E2043:E2047),"")</f>
        <v/>
      </c>
      <c r="F2047" s="3">
        <f>IF(ISNUMBER(AVERAGE('20250815_ETF_Options_Exhibits'!F2043:F2047)),AVERAGE('20250815_ETF_Options_Exhibits'!F2043:F2047),"")</f>
        <v/>
      </c>
      <c r="G2047" s="3">
        <f>IF(ISNUMBER(AVERAGE('20250815_ETF_Options_Exhibits'!G2043:G2047)),AVERAGE('20250815_ETF_Options_Exhibits'!G2043:G2047),"")</f>
        <v/>
      </c>
      <c r="H2047" s="3">
        <f>IF(ISNUMBER(AVERAGE('20250815_ETF_Options_Exhibits'!H2043:H2047)),AVERAGE('20250815_ETF_Options_Exhibits'!H2043:H2047),"")</f>
        <v/>
      </c>
      <c r="I2047" s="3">
        <f>IF(ISNUMBER(AVERAGE('20250815_ETF_Options_Exhibits'!I2043:I2047)),AVERAGE('20250815_ETF_Options_Exhibits'!I2043:I2047),"")</f>
        <v/>
      </c>
      <c r="J2047" s="3">
        <f>IF(ISNUMBER(AVERAGE('20250815_ETF_Options_Exhibits'!J2043:J2047)),AVERAGE('20250815_ETF_Options_Exhibits'!J2043:J2047),"")</f>
        <v/>
      </c>
      <c r="K2047" s="3">
        <f>IF(ISNUMBER(AVERAGE('20250815_ETF_Options_Exhibits'!K2043:K2047)),AVERAGE('20250815_ETF_Options_Exhibits'!K2043:K2047),"")</f>
        <v/>
      </c>
      <c r="L2047" s="3">
        <f>IF(ISNUMBER(AVERAGE('20250815_ETF_Options_Exhibits'!L2043:L2047)),AVERAGE('20250815_ETF_Options_Exhibits'!L2043:L2047),"")</f>
        <v/>
      </c>
      <c r="M2047" s="3">
        <f>IF(ISNUMBER(AVERAGE('20250815_ETF_Options_Exhibits'!M2043:M2047)),AVERAGE('20250815_ETF_Options_Exhibits'!M2043:M2047),"")</f>
        <v/>
      </c>
      <c r="N2047" s="3">
        <f>IF(ISNUMBER(AVERAGE('20250815_ETF_Options_Exhibits'!N2043:N2047)),AVERAGE('20250815_ETF_Options_Exhibits'!N2043:N2047),"")</f>
        <v/>
      </c>
      <c r="O2047" s="3">
        <f>IF(ISNUMBER(AVERAGE('20250815_ETF_Options_Exhibits'!O2043:O2047)),AVERAGE('20250815_ETF_Options_Exhibits'!O2043:O2047),"")</f>
        <v/>
      </c>
      <c r="P2047" s="3">
        <f>IF(ISNUMBER(AVERAGE('20250815_ETF_Options_Exhibits'!P2043:P2047)),AVERAGE('20250815_ETF_Options_Exhibits'!P2043:P2047),"")</f>
        <v/>
      </c>
      <c r="Q2047" s="3">
        <f>IF(ISNUMBER(AVERAGE('20250815_ETF_Options_Exhibits'!Q2043:Q2047)),AVERAGE('20250815_ETF_Options_Exhibits'!Q2043:Q2047),"")</f>
        <v/>
      </c>
      <c r="R2047" s="3">
        <f>IF(ISNUMBER(AVERAGE('20250815_ETF_Options_Exhibits'!R2043:R2047)),AVERAGE('20250815_ETF_Options_Exhibits'!R2043:R2047),"")</f>
        <v/>
      </c>
      <c r="S2047" s="3">
        <f>IF(ISNUMBER(AVERAGE('20250815_ETF_Options_Exhibits'!S2043:S2047)),AVERAGE('20250815_ETF_Options_Exhibits'!S2043:S2047),"")</f>
        <v/>
      </c>
      <c r="T2047" s="3">
        <f>IF(ISNUMBER(AVERAGE('20250815_ETF_Options_Exhibits'!T2043:T2047)),AVERAGE('20250815_ETF_Options_Exhibits'!T2043:T2047),"")</f>
        <v/>
      </c>
      <c r="U2047" s="3">
        <f>IF(ISNUMBER(AVERAGE('20250815_ETF_Options_Exhibits'!U2043:U2047)),AVERAGE('20250815_ETF_Options_Exhibits'!U2043:U2047),"")</f>
        <v/>
      </c>
      <c r="V2047" s="3">
        <f>IF(ISNUMBER(AVERAGE('20250815_ETF_Options_Exhibits'!V2043:V2047)),AVERAGE('20250815_ETF_Options_Exhibits'!V2043:V2047),"")</f>
        <v/>
      </c>
      <c r="W2047" s="3">
        <f>IF(ISNUMBER(AVERAGE('20250815_ETF_Options_Exhibits'!W2043:W2047)),AVERAGE('20250815_ETF_Options_Exhibits'!W2043:W2047),"")</f>
        <v/>
      </c>
      <c r="X2047" s="3">
        <f>IF(ISNUMBER(AVERAGE('20250815_ETF_Options_Exhibits'!X2043:X2047)),AVERAGE('20250815_ETF_Options_Exhibits'!X2043:X2047),"")</f>
        <v/>
      </c>
      <c r="Y2047" s="3">
        <f>IF(ISNUMBER(AVERAGE('20250815_ETF_Options_Exhibits'!Y2043:Y2047)),AVERAGE('20250815_ETF_Options_Exhibits'!Y2043:Y2047),"")</f>
        <v/>
      </c>
      <c r="Z2047" s="3">
        <f>IF(ISNUMBER(AVERAGE('20250815_ETF_Options_Exhibits'!Z2043:Z2047)),AVERAGE('20250815_ETF_Options_Exhibits'!Z2043:Z2047),"")</f>
        <v/>
      </c>
      <c r="AA2047" s="3">
        <f>IF(ISNUMBER(AVERAGE('20250815_ETF_Options_Exhibits'!AA2043:AA2047)),AVERAGE('20250815_ETF_Options_Exhibits'!AA2043:AA2047),"")</f>
        <v/>
      </c>
    </row>
    <row r="2048">
      <c r="A2048" s="1" t="n">
        <v>44973</v>
      </c>
      <c r="B2048" s="3">
        <f>IF(ISNUMBER(AVERAGE('20250815_ETF_Options_Exhibits'!B2044:B2048)),AVERAGE('20250815_ETF_Options_Exhibits'!B2044:B2048),"")</f>
        <v/>
      </c>
      <c r="C2048" s="3">
        <f>IF(ISNUMBER(AVERAGE('20250815_ETF_Options_Exhibits'!C2044:C2048)),AVERAGE('20250815_ETF_Options_Exhibits'!C2044:C2048),"")</f>
        <v/>
      </c>
      <c r="D2048" s="3">
        <f>IF(ISNUMBER(AVERAGE('20250815_ETF_Options_Exhibits'!D2044:D2048)),AVERAGE('20250815_ETF_Options_Exhibits'!D2044:D2048),"")</f>
        <v/>
      </c>
      <c r="E2048" s="3">
        <f>IF(ISNUMBER(AVERAGE('20250815_ETF_Options_Exhibits'!E2044:E2048)),AVERAGE('20250815_ETF_Options_Exhibits'!E2044:E2048),"")</f>
        <v/>
      </c>
      <c r="F2048" s="3">
        <f>IF(ISNUMBER(AVERAGE('20250815_ETF_Options_Exhibits'!F2044:F2048)),AVERAGE('20250815_ETF_Options_Exhibits'!F2044:F2048),"")</f>
        <v/>
      </c>
      <c r="G2048" s="3">
        <f>IF(ISNUMBER(AVERAGE('20250815_ETF_Options_Exhibits'!G2044:G2048)),AVERAGE('20250815_ETF_Options_Exhibits'!G2044:G2048),"")</f>
        <v/>
      </c>
      <c r="H2048" s="3">
        <f>IF(ISNUMBER(AVERAGE('20250815_ETF_Options_Exhibits'!H2044:H2048)),AVERAGE('20250815_ETF_Options_Exhibits'!H2044:H2048),"")</f>
        <v/>
      </c>
      <c r="I2048" s="3">
        <f>IF(ISNUMBER(AVERAGE('20250815_ETF_Options_Exhibits'!I2044:I2048)),AVERAGE('20250815_ETF_Options_Exhibits'!I2044:I2048),"")</f>
        <v/>
      </c>
      <c r="J2048" s="3">
        <f>IF(ISNUMBER(AVERAGE('20250815_ETF_Options_Exhibits'!J2044:J2048)),AVERAGE('20250815_ETF_Options_Exhibits'!J2044:J2048),"")</f>
        <v/>
      </c>
      <c r="K2048" s="3">
        <f>IF(ISNUMBER(AVERAGE('20250815_ETF_Options_Exhibits'!K2044:K2048)),AVERAGE('20250815_ETF_Options_Exhibits'!K2044:K2048),"")</f>
        <v/>
      </c>
      <c r="L2048" s="3">
        <f>IF(ISNUMBER(AVERAGE('20250815_ETF_Options_Exhibits'!L2044:L2048)),AVERAGE('20250815_ETF_Options_Exhibits'!L2044:L2048),"")</f>
        <v/>
      </c>
      <c r="M2048" s="3">
        <f>IF(ISNUMBER(AVERAGE('20250815_ETF_Options_Exhibits'!M2044:M2048)),AVERAGE('20250815_ETF_Options_Exhibits'!M2044:M2048),"")</f>
        <v/>
      </c>
      <c r="N2048" s="3">
        <f>IF(ISNUMBER(AVERAGE('20250815_ETF_Options_Exhibits'!N2044:N2048)),AVERAGE('20250815_ETF_Options_Exhibits'!N2044:N2048),"")</f>
        <v/>
      </c>
      <c r="O2048" s="3">
        <f>IF(ISNUMBER(AVERAGE('20250815_ETF_Options_Exhibits'!O2044:O2048)),AVERAGE('20250815_ETF_Options_Exhibits'!O2044:O2048),"")</f>
        <v/>
      </c>
      <c r="P2048" s="3">
        <f>IF(ISNUMBER(AVERAGE('20250815_ETF_Options_Exhibits'!P2044:P2048)),AVERAGE('20250815_ETF_Options_Exhibits'!P2044:P2048),"")</f>
        <v/>
      </c>
      <c r="Q2048" s="3">
        <f>IF(ISNUMBER(AVERAGE('20250815_ETF_Options_Exhibits'!Q2044:Q2048)),AVERAGE('20250815_ETF_Options_Exhibits'!Q2044:Q2048),"")</f>
        <v/>
      </c>
      <c r="R2048" s="3">
        <f>IF(ISNUMBER(AVERAGE('20250815_ETF_Options_Exhibits'!R2044:R2048)),AVERAGE('20250815_ETF_Options_Exhibits'!R2044:R2048),"")</f>
        <v/>
      </c>
      <c r="S2048" s="3">
        <f>IF(ISNUMBER(AVERAGE('20250815_ETF_Options_Exhibits'!S2044:S2048)),AVERAGE('20250815_ETF_Options_Exhibits'!S2044:S2048),"")</f>
        <v/>
      </c>
      <c r="T2048" s="3">
        <f>IF(ISNUMBER(AVERAGE('20250815_ETF_Options_Exhibits'!T2044:T2048)),AVERAGE('20250815_ETF_Options_Exhibits'!T2044:T2048),"")</f>
        <v/>
      </c>
      <c r="U2048" s="3">
        <f>IF(ISNUMBER(AVERAGE('20250815_ETF_Options_Exhibits'!U2044:U2048)),AVERAGE('20250815_ETF_Options_Exhibits'!U2044:U2048),"")</f>
        <v/>
      </c>
      <c r="V2048" s="3">
        <f>IF(ISNUMBER(AVERAGE('20250815_ETF_Options_Exhibits'!V2044:V2048)),AVERAGE('20250815_ETF_Options_Exhibits'!V2044:V2048),"")</f>
        <v/>
      </c>
      <c r="W2048" s="3">
        <f>IF(ISNUMBER(AVERAGE('20250815_ETF_Options_Exhibits'!W2044:W2048)),AVERAGE('20250815_ETF_Options_Exhibits'!W2044:W2048),"")</f>
        <v/>
      </c>
      <c r="X2048" s="3">
        <f>IF(ISNUMBER(AVERAGE('20250815_ETF_Options_Exhibits'!X2044:X2048)),AVERAGE('20250815_ETF_Options_Exhibits'!X2044:X2048),"")</f>
        <v/>
      </c>
      <c r="Y2048" s="3">
        <f>IF(ISNUMBER(AVERAGE('20250815_ETF_Options_Exhibits'!Y2044:Y2048)),AVERAGE('20250815_ETF_Options_Exhibits'!Y2044:Y2048),"")</f>
        <v/>
      </c>
      <c r="Z2048" s="3">
        <f>IF(ISNUMBER(AVERAGE('20250815_ETF_Options_Exhibits'!Z2044:Z2048)),AVERAGE('20250815_ETF_Options_Exhibits'!Z2044:Z2048),"")</f>
        <v/>
      </c>
      <c r="AA2048" s="3">
        <f>IF(ISNUMBER(AVERAGE('20250815_ETF_Options_Exhibits'!AA2044:AA2048)),AVERAGE('20250815_ETF_Options_Exhibits'!AA2044:AA2048),"")</f>
        <v/>
      </c>
    </row>
    <row r="2049">
      <c r="A2049" s="1" t="n">
        <v>44974</v>
      </c>
      <c r="B2049" s="3">
        <f>IF(ISNUMBER(AVERAGE('20250815_ETF_Options_Exhibits'!B2045:B2049)),AVERAGE('20250815_ETF_Options_Exhibits'!B2045:B2049),"")</f>
        <v/>
      </c>
      <c r="C2049" s="3">
        <f>IF(ISNUMBER(AVERAGE('20250815_ETF_Options_Exhibits'!C2045:C2049)),AVERAGE('20250815_ETF_Options_Exhibits'!C2045:C2049),"")</f>
        <v/>
      </c>
      <c r="D2049" s="3">
        <f>IF(ISNUMBER(AVERAGE('20250815_ETF_Options_Exhibits'!D2045:D2049)),AVERAGE('20250815_ETF_Options_Exhibits'!D2045:D2049),"")</f>
        <v/>
      </c>
      <c r="E2049" s="3">
        <f>IF(ISNUMBER(AVERAGE('20250815_ETF_Options_Exhibits'!E2045:E2049)),AVERAGE('20250815_ETF_Options_Exhibits'!E2045:E2049),"")</f>
        <v/>
      </c>
      <c r="F2049" s="3">
        <f>IF(ISNUMBER(AVERAGE('20250815_ETF_Options_Exhibits'!F2045:F2049)),AVERAGE('20250815_ETF_Options_Exhibits'!F2045:F2049),"")</f>
        <v/>
      </c>
      <c r="G2049" s="3">
        <f>IF(ISNUMBER(AVERAGE('20250815_ETF_Options_Exhibits'!G2045:G2049)),AVERAGE('20250815_ETF_Options_Exhibits'!G2045:G2049),"")</f>
        <v/>
      </c>
      <c r="H2049" s="3">
        <f>IF(ISNUMBER(AVERAGE('20250815_ETF_Options_Exhibits'!H2045:H2049)),AVERAGE('20250815_ETF_Options_Exhibits'!H2045:H2049),"")</f>
        <v/>
      </c>
      <c r="I2049" s="3">
        <f>IF(ISNUMBER(AVERAGE('20250815_ETF_Options_Exhibits'!I2045:I2049)),AVERAGE('20250815_ETF_Options_Exhibits'!I2045:I2049),"")</f>
        <v/>
      </c>
      <c r="J2049" s="3">
        <f>IF(ISNUMBER(AVERAGE('20250815_ETF_Options_Exhibits'!J2045:J2049)),AVERAGE('20250815_ETF_Options_Exhibits'!J2045:J2049),"")</f>
        <v/>
      </c>
      <c r="K2049" s="3">
        <f>IF(ISNUMBER(AVERAGE('20250815_ETF_Options_Exhibits'!K2045:K2049)),AVERAGE('20250815_ETF_Options_Exhibits'!K2045:K2049),"")</f>
        <v/>
      </c>
      <c r="L2049" s="3">
        <f>IF(ISNUMBER(AVERAGE('20250815_ETF_Options_Exhibits'!L2045:L2049)),AVERAGE('20250815_ETF_Options_Exhibits'!L2045:L2049),"")</f>
        <v/>
      </c>
      <c r="M2049" s="3">
        <f>IF(ISNUMBER(AVERAGE('20250815_ETF_Options_Exhibits'!M2045:M2049)),AVERAGE('20250815_ETF_Options_Exhibits'!M2045:M2049),"")</f>
        <v/>
      </c>
      <c r="N2049" s="3">
        <f>IF(ISNUMBER(AVERAGE('20250815_ETF_Options_Exhibits'!N2045:N2049)),AVERAGE('20250815_ETF_Options_Exhibits'!N2045:N2049),"")</f>
        <v/>
      </c>
      <c r="O2049" s="3">
        <f>IF(ISNUMBER(AVERAGE('20250815_ETF_Options_Exhibits'!O2045:O2049)),AVERAGE('20250815_ETF_Options_Exhibits'!O2045:O2049),"")</f>
        <v/>
      </c>
      <c r="P2049" s="3">
        <f>IF(ISNUMBER(AVERAGE('20250815_ETF_Options_Exhibits'!P2045:P2049)),AVERAGE('20250815_ETF_Options_Exhibits'!P2045:P2049),"")</f>
        <v/>
      </c>
      <c r="Q2049" s="3">
        <f>IF(ISNUMBER(AVERAGE('20250815_ETF_Options_Exhibits'!Q2045:Q2049)),AVERAGE('20250815_ETF_Options_Exhibits'!Q2045:Q2049),"")</f>
        <v/>
      </c>
      <c r="R2049" s="3">
        <f>IF(ISNUMBER(AVERAGE('20250815_ETF_Options_Exhibits'!R2045:R2049)),AVERAGE('20250815_ETF_Options_Exhibits'!R2045:R2049),"")</f>
        <v/>
      </c>
      <c r="S2049" s="3">
        <f>IF(ISNUMBER(AVERAGE('20250815_ETF_Options_Exhibits'!S2045:S2049)),AVERAGE('20250815_ETF_Options_Exhibits'!S2045:S2049),"")</f>
        <v/>
      </c>
      <c r="T2049" s="3">
        <f>IF(ISNUMBER(AVERAGE('20250815_ETF_Options_Exhibits'!T2045:T2049)),AVERAGE('20250815_ETF_Options_Exhibits'!T2045:T2049),"")</f>
        <v/>
      </c>
      <c r="U2049" s="3">
        <f>IF(ISNUMBER(AVERAGE('20250815_ETF_Options_Exhibits'!U2045:U2049)),AVERAGE('20250815_ETF_Options_Exhibits'!U2045:U2049),"")</f>
        <v/>
      </c>
      <c r="V2049" s="3">
        <f>IF(ISNUMBER(AVERAGE('20250815_ETF_Options_Exhibits'!V2045:V2049)),AVERAGE('20250815_ETF_Options_Exhibits'!V2045:V2049),"")</f>
        <v/>
      </c>
      <c r="W2049" s="3">
        <f>IF(ISNUMBER(AVERAGE('20250815_ETF_Options_Exhibits'!W2045:W2049)),AVERAGE('20250815_ETF_Options_Exhibits'!W2045:W2049),"")</f>
        <v/>
      </c>
      <c r="X2049" s="3">
        <f>IF(ISNUMBER(AVERAGE('20250815_ETF_Options_Exhibits'!X2045:X2049)),AVERAGE('20250815_ETF_Options_Exhibits'!X2045:X2049),"")</f>
        <v/>
      </c>
      <c r="Y2049" s="3">
        <f>IF(ISNUMBER(AVERAGE('20250815_ETF_Options_Exhibits'!Y2045:Y2049)),AVERAGE('20250815_ETF_Options_Exhibits'!Y2045:Y2049),"")</f>
        <v/>
      </c>
      <c r="Z2049" s="3">
        <f>IF(ISNUMBER(AVERAGE('20250815_ETF_Options_Exhibits'!Z2045:Z2049)),AVERAGE('20250815_ETF_Options_Exhibits'!Z2045:Z2049),"")</f>
        <v/>
      </c>
      <c r="AA2049" s="3">
        <f>IF(ISNUMBER(AVERAGE('20250815_ETF_Options_Exhibits'!AA2045:AA2049)),AVERAGE('20250815_ETF_Options_Exhibits'!AA2045:AA2049),"")</f>
        <v/>
      </c>
    </row>
    <row r="2050">
      <c r="A2050" s="1" t="n">
        <v>44978</v>
      </c>
      <c r="B2050" s="3">
        <f>IF(ISNUMBER(AVERAGE('20250815_ETF_Options_Exhibits'!B2046:B2050)),AVERAGE('20250815_ETF_Options_Exhibits'!B2046:B2050),"")</f>
        <v/>
      </c>
      <c r="C2050" s="3">
        <f>IF(ISNUMBER(AVERAGE('20250815_ETF_Options_Exhibits'!C2046:C2050)),AVERAGE('20250815_ETF_Options_Exhibits'!C2046:C2050),"")</f>
        <v/>
      </c>
      <c r="D2050" s="3">
        <f>IF(ISNUMBER(AVERAGE('20250815_ETF_Options_Exhibits'!D2046:D2050)),AVERAGE('20250815_ETF_Options_Exhibits'!D2046:D2050),"")</f>
        <v/>
      </c>
      <c r="E2050" s="3">
        <f>IF(ISNUMBER(AVERAGE('20250815_ETF_Options_Exhibits'!E2046:E2050)),AVERAGE('20250815_ETF_Options_Exhibits'!E2046:E2050),"")</f>
        <v/>
      </c>
      <c r="F2050" s="3">
        <f>IF(ISNUMBER(AVERAGE('20250815_ETF_Options_Exhibits'!F2046:F2050)),AVERAGE('20250815_ETF_Options_Exhibits'!F2046:F2050),"")</f>
        <v/>
      </c>
      <c r="G2050" s="3">
        <f>IF(ISNUMBER(AVERAGE('20250815_ETF_Options_Exhibits'!G2046:G2050)),AVERAGE('20250815_ETF_Options_Exhibits'!G2046:G2050),"")</f>
        <v/>
      </c>
      <c r="H2050" s="3">
        <f>IF(ISNUMBER(AVERAGE('20250815_ETF_Options_Exhibits'!H2046:H2050)),AVERAGE('20250815_ETF_Options_Exhibits'!H2046:H2050),"")</f>
        <v/>
      </c>
      <c r="I2050" s="3">
        <f>IF(ISNUMBER(AVERAGE('20250815_ETF_Options_Exhibits'!I2046:I2050)),AVERAGE('20250815_ETF_Options_Exhibits'!I2046:I2050),"")</f>
        <v/>
      </c>
      <c r="J2050" s="3">
        <f>IF(ISNUMBER(AVERAGE('20250815_ETF_Options_Exhibits'!J2046:J2050)),AVERAGE('20250815_ETF_Options_Exhibits'!J2046:J2050),"")</f>
        <v/>
      </c>
      <c r="K2050" s="3">
        <f>IF(ISNUMBER(AVERAGE('20250815_ETF_Options_Exhibits'!K2046:K2050)),AVERAGE('20250815_ETF_Options_Exhibits'!K2046:K2050),"")</f>
        <v/>
      </c>
      <c r="L2050" s="3">
        <f>IF(ISNUMBER(AVERAGE('20250815_ETF_Options_Exhibits'!L2046:L2050)),AVERAGE('20250815_ETF_Options_Exhibits'!L2046:L2050),"")</f>
        <v/>
      </c>
      <c r="M2050" s="3">
        <f>IF(ISNUMBER(AVERAGE('20250815_ETF_Options_Exhibits'!M2046:M2050)),AVERAGE('20250815_ETF_Options_Exhibits'!M2046:M2050),"")</f>
        <v/>
      </c>
      <c r="N2050" s="3">
        <f>IF(ISNUMBER(AVERAGE('20250815_ETF_Options_Exhibits'!N2046:N2050)),AVERAGE('20250815_ETF_Options_Exhibits'!N2046:N2050),"")</f>
        <v/>
      </c>
      <c r="O2050" s="3">
        <f>IF(ISNUMBER(AVERAGE('20250815_ETF_Options_Exhibits'!O2046:O2050)),AVERAGE('20250815_ETF_Options_Exhibits'!O2046:O2050),"")</f>
        <v/>
      </c>
      <c r="P2050" s="3">
        <f>IF(ISNUMBER(AVERAGE('20250815_ETF_Options_Exhibits'!P2046:P2050)),AVERAGE('20250815_ETF_Options_Exhibits'!P2046:P2050),"")</f>
        <v/>
      </c>
      <c r="Q2050" s="3">
        <f>IF(ISNUMBER(AVERAGE('20250815_ETF_Options_Exhibits'!Q2046:Q2050)),AVERAGE('20250815_ETF_Options_Exhibits'!Q2046:Q2050),"")</f>
        <v/>
      </c>
      <c r="R2050" s="3">
        <f>IF(ISNUMBER(AVERAGE('20250815_ETF_Options_Exhibits'!R2046:R2050)),AVERAGE('20250815_ETF_Options_Exhibits'!R2046:R2050),"")</f>
        <v/>
      </c>
      <c r="S2050" s="3">
        <f>IF(ISNUMBER(AVERAGE('20250815_ETF_Options_Exhibits'!S2046:S2050)),AVERAGE('20250815_ETF_Options_Exhibits'!S2046:S2050),"")</f>
        <v/>
      </c>
      <c r="T2050" s="3">
        <f>IF(ISNUMBER(AVERAGE('20250815_ETF_Options_Exhibits'!T2046:T2050)),AVERAGE('20250815_ETF_Options_Exhibits'!T2046:T2050),"")</f>
        <v/>
      </c>
      <c r="U2050" s="3">
        <f>IF(ISNUMBER(AVERAGE('20250815_ETF_Options_Exhibits'!U2046:U2050)),AVERAGE('20250815_ETF_Options_Exhibits'!U2046:U2050),"")</f>
        <v/>
      </c>
      <c r="V2050" s="3">
        <f>IF(ISNUMBER(AVERAGE('20250815_ETF_Options_Exhibits'!V2046:V2050)),AVERAGE('20250815_ETF_Options_Exhibits'!V2046:V2050),"")</f>
        <v/>
      </c>
      <c r="W2050" s="3">
        <f>IF(ISNUMBER(AVERAGE('20250815_ETF_Options_Exhibits'!W2046:W2050)),AVERAGE('20250815_ETF_Options_Exhibits'!W2046:W2050),"")</f>
        <v/>
      </c>
      <c r="X2050" s="3">
        <f>IF(ISNUMBER(AVERAGE('20250815_ETF_Options_Exhibits'!X2046:X2050)),AVERAGE('20250815_ETF_Options_Exhibits'!X2046:X2050),"")</f>
        <v/>
      </c>
      <c r="Y2050" s="3">
        <f>IF(ISNUMBER(AVERAGE('20250815_ETF_Options_Exhibits'!Y2046:Y2050)),AVERAGE('20250815_ETF_Options_Exhibits'!Y2046:Y2050),"")</f>
        <v/>
      </c>
      <c r="Z2050" s="3">
        <f>IF(ISNUMBER(AVERAGE('20250815_ETF_Options_Exhibits'!Z2046:Z2050)),AVERAGE('20250815_ETF_Options_Exhibits'!Z2046:Z2050),"")</f>
        <v/>
      </c>
      <c r="AA2050" s="3">
        <f>IF(ISNUMBER(AVERAGE('20250815_ETF_Options_Exhibits'!AA2046:AA2050)),AVERAGE('20250815_ETF_Options_Exhibits'!AA2046:AA2050),"")</f>
        <v/>
      </c>
    </row>
    <row r="2051">
      <c r="A2051" s="1" t="n">
        <v>44979</v>
      </c>
      <c r="B2051" s="3">
        <f>IF(ISNUMBER(AVERAGE('20250815_ETF_Options_Exhibits'!B2047:B2051)),AVERAGE('20250815_ETF_Options_Exhibits'!B2047:B2051),"")</f>
        <v/>
      </c>
      <c r="C2051" s="3">
        <f>IF(ISNUMBER(AVERAGE('20250815_ETF_Options_Exhibits'!C2047:C2051)),AVERAGE('20250815_ETF_Options_Exhibits'!C2047:C2051),"")</f>
        <v/>
      </c>
      <c r="D2051" s="3">
        <f>IF(ISNUMBER(AVERAGE('20250815_ETF_Options_Exhibits'!D2047:D2051)),AVERAGE('20250815_ETF_Options_Exhibits'!D2047:D2051),"")</f>
        <v/>
      </c>
      <c r="E2051" s="3">
        <f>IF(ISNUMBER(AVERAGE('20250815_ETF_Options_Exhibits'!E2047:E2051)),AVERAGE('20250815_ETF_Options_Exhibits'!E2047:E2051),"")</f>
        <v/>
      </c>
      <c r="F2051" s="3">
        <f>IF(ISNUMBER(AVERAGE('20250815_ETF_Options_Exhibits'!F2047:F2051)),AVERAGE('20250815_ETF_Options_Exhibits'!F2047:F2051),"")</f>
        <v/>
      </c>
      <c r="G2051" s="3">
        <f>IF(ISNUMBER(AVERAGE('20250815_ETF_Options_Exhibits'!G2047:G2051)),AVERAGE('20250815_ETF_Options_Exhibits'!G2047:G2051),"")</f>
        <v/>
      </c>
      <c r="H2051" s="3">
        <f>IF(ISNUMBER(AVERAGE('20250815_ETF_Options_Exhibits'!H2047:H2051)),AVERAGE('20250815_ETF_Options_Exhibits'!H2047:H2051),"")</f>
        <v/>
      </c>
      <c r="I2051" s="3">
        <f>IF(ISNUMBER(AVERAGE('20250815_ETF_Options_Exhibits'!I2047:I2051)),AVERAGE('20250815_ETF_Options_Exhibits'!I2047:I2051),"")</f>
        <v/>
      </c>
      <c r="J2051" s="3">
        <f>IF(ISNUMBER(AVERAGE('20250815_ETF_Options_Exhibits'!J2047:J2051)),AVERAGE('20250815_ETF_Options_Exhibits'!J2047:J2051),"")</f>
        <v/>
      </c>
      <c r="K2051" s="3">
        <f>IF(ISNUMBER(AVERAGE('20250815_ETF_Options_Exhibits'!K2047:K2051)),AVERAGE('20250815_ETF_Options_Exhibits'!K2047:K2051),"")</f>
        <v/>
      </c>
      <c r="L2051" s="3">
        <f>IF(ISNUMBER(AVERAGE('20250815_ETF_Options_Exhibits'!L2047:L2051)),AVERAGE('20250815_ETF_Options_Exhibits'!L2047:L2051),"")</f>
        <v/>
      </c>
      <c r="M2051" s="3">
        <f>IF(ISNUMBER(AVERAGE('20250815_ETF_Options_Exhibits'!M2047:M2051)),AVERAGE('20250815_ETF_Options_Exhibits'!M2047:M2051),"")</f>
        <v/>
      </c>
      <c r="N2051" s="3">
        <f>IF(ISNUMBER(AVERAGE('20250815_ETF_Options_Exhibits'!N2047:N2051)),AVERAGE('20250815_ETF_Options_Exhibits'!N2047:N2051),"")</f>
        <v/>
      </c>
      <c r="O2051" s="3">
        <f>IF(ISNUMBER(AVERAGE('20250815_ETF_Options_Exhibits'!O2047:O2051)),AVERAGE('20250815_ETF_Options_Exhibits'!O2047:O2051),"")</f>
        <v/>
      </c>
      <c r="P2051" s="3">
        <f>IF(ISNUMBER(AVERAGE('20250815_ETF_Options_Exhibits'!P2047:P2051)),AVERAGE('20250815_ETF_Options_Exhibits'!P2047:P2051),"")</f>
        <v/>
      </c>
      <c r="Q2051" s="3">
        <f>IF(ISNUMBER(AVERAGE('20250815_ETF_Options_Exhibits'!Q2047:Q2051)),AVERAGE('20250815_ETF_Options_Exhibits'!Q2047:Q2051),"")</f>
        <v/>
      </c>
      <c r="R2051" s="3">
        <f>IF(ISNUMBER(AVERAGE('20250815_ETF_Options_Exhibits'!R2047:R2051)),AVERAGE('20250815_ETF_Options_Exhibits'!R2047:R2051),"")</f>
        <v/>
      </c>
      <c r="S2051" s="3">
        <f>IF(ISNUMBER(AVERAGE('20250815_ETF_Options_Exhibits'!S2047:S2051)),AVERAGE('20250815_ETF_Options_Exhibits'!S2047:S2051),"")</f>
        <v/>
      </c>
      <c r="T2051" s="3">
        <f>IF(ISNUMBER(AVERAGE('20250815_ETF_Options_Exhibits'!T2047:T2051)),AVERAGE('20250815_ETF_Options_Exhibits'!T2047:T2051),"")</f>
        <v/>
      </c>
      <c r="U2051" s="3">
        <f>IF(ISNUMBER(AVERAGE('20250815_ETF_Options_Exhibits'!U2047:U2051)),AVERAGE('20250815_ETF_Options_Exhibits'!U2047:U2051),"")</f>
        <v/>
      </c>
      <c r="V2051" s="3">
        <f>IF(ISNUMBER(AVERAGE('20250815_ETF_Options_Exhibits'!V2047:V2051)),AVERAGE('20250815_ETF_Options_Exhibits'!V2047:V2051),"")</f>
        <v/>
      </c>
      <c r="W2051" s="3">
        <f>IF(ISNUMBER(AVERAGE('20250815_ETF_Options_Exhibits'!W2047:W2051)),AVERAGE('20250815_ETF_Options_Exhibits'!W2047:W2051),"")</f>
        <v/>
      </c>
      <c r="X2051" s="3">
        <f>IF(ISNUMBER(AVERAGE('20250815_ETF_Options_Exhibits'!X2047:X2051)),AVERAGE('20250815_ETF_Options_Exhibits'!X2047:X2051),"")</f>
        <v/>
      </c>
      <c r="Y2051" s="3">
        <f>IF(ISNUMBER(AVERAGE('20250815_ETF_Options_Exhibits'!Y2047:Y2051)),AVERAGE('20250815_ETF_Options_Exhibits'!Y2047:Y2051),"")</f>
        <v/>
      </c>
      <c r="Z2051" s="3">
        <f>IF(ISNUMBER(AVERAGE('20250815_ETF_Options_Exhibits'!Z2047:Z2051)),AVERAGE('20250815_ETF_Options_Exhibits'!Z2047:Z2051),"")</f>
        <v/>
      </c>
      <c r="AA2051" s="3">
        <f>IF(ISNUMBER(AVERAGE('20250815_ETF_Options_Exhibits'!AA2047:AA2051)),AVERAGE('20250815_ETF_Options_Exhibits'!AA2047:AA2051),"")</f>
        <v/>
      </c>
    </row>
    <row r="2052">
      <c r="A2052" s="1" t="n">
        <v>44980</v>
      </c>
      <c r="B2052" s="3">
        <f>IF(ISNUMBER(AVERAGE('20250815_ETF_Options_Exhibits'!B2048:B2052)),AVERAGE('20250815_ETF_Options_Exhibits'!B2048:B2052),"")</f>
        <v/>
      </c>
      <c r="C2052" s="3">
        <f>IF(ISNUMBER(AVERAGE('20250815_ETF_Options_Exhibits'!C2048:C2052)),AVERAGE('20250815_ETF_Options_Exhibits'!C2048:C2052),"")</f>
        <v/>
      </c>
      <c r="D2052" s="3">
        <f>IF(ISNUMBER(AVERAGE('20250815_ETF_Options_Exhibits'!D2048:D2052)),AVERAGE('20250815_ETF_Options_Exhibits'!D2048:D2052),"")</f>
        <v/>
      </c>
      <c r="E2052" s="3">
        <f>IF(ISNUMBER(AVERAGE('20250815_ETF_Options_Exhibits'!E2048:E2052)),AVERAGE('20250815_ETF_Options_Exhibits'!E2048:E2052),"")</f>
        <v/>
      </c>
      <c r="F2052" s="3">
        <f>IF(ISNUMBER(AVERAGE('20250815_ETF_Options_Exhibits'!F2048:F2052)),AVERAGE('20250815_ETF_Options_Exhibits'!F2048:F2052),"")</f>
        <v/>
      </c>
      <c r="G2052" s="3">
        <f>IF(ISNUMBER(AVERAGE('20250815_ETF_Options_Exhibits'!G2048:G2052)),AVERAGE('20250815_ETF_Options_Exhibits'!G2048:G2052),"")</f>
        <v/>
      </c>
      <c r="H2052" s="3">
        <f>IF(ISNUMBER(AVERAGE('20250815_ETF_Options_Exhibits'!H2048:H2052)),AVERAGE('20250815_ETF_Options_Exhibits'!H2048:H2052),"")</f>
        <v/>
      </c>
      <c r="I2052" s="3">
        <f>IF(ISNUMBER(AVERAGE('20250815_ETF_Options_Exhibits'!I2048:I2052)),AVERAGE('20250815_ETF_Options_Exhibits'!I2048:I2052),"")</f>
        <v/>
      </c>
      <c r="J2052" s="3">
        <f>IF(ISNUMBER(AVERAGE('20250815_ETF_Options_Exhibits'!J2048:J2052)),AVERAGE('20250815_ETF_Options_Exhibits'!J2048:J2052),"")</f>
        <v/>
      </c>
      <c r="K2052" s="3">
        <f>IF(ISNUMBER(AVERAGE('20250815_ETF_Options_Exhibits'!K2048:K2052)),AVERAGE('20250815_ETF_Options_Exhibits'!K2048:K2052),"")</f>
        <v/>
      </c>
      <c r="L2052" s="3">
        <f>IF(ISNUMBER(AVERAGE('20250815_ETF_Options_Exhibits'!L2048:L2052)),AVERAGE('20250815_ETF_Options_Exhibits'!L2048:L2052),"")</f>
        <v/>
      </c>
      <c r="M2052" s="3">
        <f>IF(ISNUMBER(AVERAGE('20250815_ETF_Options_Exhibits'!M2048:M2052)),AVERAGE('20250815_ETF_Options_Exhibits'!M2048:M2052),"")</f>
        <v/>
      </c>
      <c r="N2052" s="3">
        <f>IF(ISNUMBER(AVERAGE('20250815_ETF_Options_Exhibits'!N2048:N2052)),AVERAGE('20250815_ETF_Options_Exhibits'!N2048:N2052),"")</f>
        <v/>
      </c>
      <c r="O2052" s="3">
        <f>IF(ISNUMBER(AVERAGE('20250815_ETF_Options_Exhibits'!O2048:O2052)),AVERAGE('20250815_ETF_Options_Exhibits'!O2048:O2052),"")</f>
        <v/>
      </c>
      <c r="P2052" s="3">
        <f>IF(ISNUMBER(AVERAGE('20250815_ETF_Options_Exhibits'!P2048:P2052)),AVERAGE('20250815_ETF_Options_Exhibits'!P2048:P2052),"")</f>
        <v/>
      </c>
      <c r="Q2052" s="3">
        <f>IF(ISNUMBER(AVERAGE('20250815_ETF_Options_Exhibits'!Q2048:Q2052)),AVERAGE('20250815_ETF_Options_Exhibits'!Q2048:Q2052),"")</f>
        <v/>
      </c>
      <c r="R2052" s="3">
        <f>IF(ISNUMBER(AVERAGE('20250815_ETF_Options_Exhibits'!R2048:R2052)),AVERAGE('20250815_ETF_Options_Exhibits'!R2048:R2052),"")</f>
        <v/>
      </c>
      <c r="S2052" s="3">
        <f>IF(ISNUMBER(AVERAGE('20250815_ETF_Options_Exhibits'!S2048:S2052)),AVERAGE('20250815_ETF_Options_Exhibits'!S2048:S2052),"")</f>
        <v/>
      </c>
      <c r="T2052" s="3">
        <f>IF(ISNUMBER(AVERAGE('20250815_ETF_Options_Exhibits'!T2048:T2052)),AVERAGE('20250815_ETF_Options_Exhibits'!T2048:T2052),"")</f>
        <v/>
      </c>
      <c r="U2052" s="3">
        <f>IF(ISNUMBER(AVERAGE('20250815_ETF_Options_Exhibits'!U2048:U2052)),AVERAGE('20250815_ETF_Options_Exhibits'!U2048:U2052),"")</f>
        <v/>
      </c>
      <c r="V2052" s="3">
        <f>IF(ISNUMBER(AVERAGE('20250815_ETF_Options_Exhibits'!V2048:V2052)),AVERAGE('20250815_ETF_Options_Exhibits'!V2048:V2052),"")</f>
        <v/>
      </c>
      <c r="W2052" s="3">
        <f>IF(ISNUMBER(AVERAGE('20250815_ETF_Options_Exhibits'!W2048:W2052)),AVERAGE('20250815_ETF_Options_Exhibits'!W2048:W2052),"")</f>
        <v/>
      </c>
      <c r="X2052" s="3">
        <f>IF(ISNUMBER(AVERAGE('20250815_ETF_Options_Exhibits'!X2048:X2052)),AVERAGE('20250815_ETF_Options_Exhibits'!X2048:X2052),"")</f>
        <v/>
      </c>
      <c r="Y2052" s="3">
        <f>IF(ISNUMBER(AVERAGE('20250815_ETF_Options_Exhibits'!Y2048:Y2052)),AVERAGE('20250815_ETF_Options_Exhibits'!Y2048:Y2052),"")</f>
        <v/>
      </c>
      <c r="Z2052" s="3">
        <f>IF(ISNUMBER(AVERAGE('20250815_ETF_Options_Exhibits'!Z2048:Z2052)),AVERAGE('20250815_ETF_Options_Exhibits'!Z2048:Z2052),"")</f>
        <v/>
      </c>
      <c r="AA2052" s="3">
        <f>IF(ISNUMBER(AVERAGE('20250815_ETF_Options_Exhibits'!AA2048:AA2052)),AVERAGE('20250815_ETF_Options_Exhibits'!AA2048:AA2052),"")</f>
        <v/>
      </c>
    </row>
    <row r="2053">
      <c r="A2053" s="1" t="n">
        <v>44981</v>
      </c>
      <c r="B2053" s="3">
        <f>IF(ISNUMBER(AVERAGE('20250815_ETF_Options_Exhibits'!B2049:B2053)),AVERAGE('20250815_ETF_Options_Exhibits'!B2049:B2053),"")</f>
        <v/>
      </c>
      <c r="C2053" s="3">
        <f>IF(ISNUMBER(AVERAGE('20250815_ETF_Options_Exhibits'!C2049:C2053)),AVERAGE('20250815_ETF_Options_Exhibits'!C2049:C2053),"")</f>
        <v/>
      </c>
      <c r="D2053" s="3">
        <f>IF(ISNUMBER(AVERAGE('20250815_ETF_Options_Exhibits'!D2049:D2053)),AVERAGE('20250815_ETF_Options_Exhibits'!D2049:D2053),"")</f>
        <v/>
      </c>
      <c r="E2053" s="3">
        <f>IF(ISNUMBER(AVERAGE('20250815_ETF_Options_Exhibits'!E2049:E2053)),AVERAGE('20250815_ETF_Options_Exhibits'!E2049:E2053),"")</f>
        <v/>
      </c>
      <c r="F2053" s="3">
        <f>IF(ISNUMBER(AVERAGE('20250815_ETF_Options_Exhibits'!F2049:F2053)),AVERAGE('20250815_ETF_Options_Exhibits'!F2049:F2053),"")</f>
        <v/>
      </c>
      <c r="G2053" s="3">
        <f>IF(ISNUMBER(AVERAGE('20250815_ETF_Options_Exhibits'!G2049:G2053)),AVERAGE('20250815_ETF_Options_Exhibits'!G2049:G2053),"")</f>
        <v/>
      </c>
      <c r="H2053" s="3">
        <f>IF(ISNUMBER(AVERAGE('20250815_ETF_Options_Exhibits'!H2049:H2053)),AVERAGE('20250815_ETF_Options_Exhibits'!H2049:H2053),"")</f>
        <v/>
      </c>
      <c r="I2053" s="3">
        <f>IF(ISNUMBER(AVERAGE('20250815_ETF_Options_Exhibits'!I2049:I2053)),AVERAGE('20250815_ETF_Options_Exhibits'!I2049:I2053),"")</f>
        <v/>
      </c>
      <c r="J2053" s="3">
        <f>IF(ISNUMBER(AVERAGE('20250815_ETF_Options_Exhibits'!J2049:J2053)),AVERAGE('20250815_ETF_Options_Exhibits'!J2049:J2053),"")</f>
        <v/>
      </c>
      <c r="K2053" s="3">
        <f>IF(ISNUMBER(AVERAGE('20250815_ETF_Options_Exhibits'!K2049:K2053)),AVERAGE('20250815_ETF_Options_Exhibits'!K2049:K2053),"")</f>
        <v/>
      </c>
      <c r="L2053" s="3">
        <f>IF(ISNUMBER(AVERAGE('20250815_ETF_Options_Exhibits'!L2049:L2053)),AVERAGE('20250815_ETF_Options_Exhibits'!L2049:L2053),"")</f>
        <v/>
      </c>
      <c r="M2053" s="3">
        <f>IF(ISNUMBER(AVERAGE('20250815_ETF_Options_Exhibits'!M2049:M2053)),AVERAGE('20250815_ETF_Options_Exhibits'!M2049:M2053),"")</f>
        <v/>
      </c>
      <c r="N2053" s="3">
        <f>IF(ISNUMBER(AVERAGE('20250815_ETF_Options_Exhibits'!N2049:N2053)),AVERAGE('20250815_ETF_Options_Exhibits'!N2049:N2053),"")</f>
        <v/>
      </c>
      <c r="O2053" s="3">
        <f>IF(ISNUMBER(AVERAGE('20250815_ETF_Options_Exhibits'!O2049:O2053)),AVERAGE('20250815_ETF_Options_Exhibits'!O2049:O2053),"")</f>
        <v/>
      </c>
      <c r="P2053" s="3">
        <f>IF(ISNUMBER(AVERAGE('20250815_ETF_Options_Exhibits'!P2049:P2053)),AVERAGE('20250815_ETF_Options_Exhibits'!P2049:P2053),"")</f>
        <v/>
      </c>
      <c r="Q2053" s="3">
        <f>IF(ISNUMBER(AVERAGE('20250815_ETF_Options_Exhibits'!Q2049:Q2053)),AVERAGE('20250815_ETF_Options_Exhibits'!Q2049:Q2053),"")</f>
        <v/>
      </c>
      <c r="R2053" s="3">
        <f>IF(ISNUMBER(AVERAGE('20250815_ETF_Options_Exhibits'!R2049:R2053)),AVERAGE('20250815_ETF_Options_Exhibits'!R2049:R2053),"")</f>
        <v/>
      </c>
      <c r="S2053" s="3">
        <f>IF(ISNUMBER(AVERAGE('20250815_ETF_Options_Exhibits'!S2049:S2053)),AVERAGE('20250815_ETF_Options_Exhibits'!S2049:S2053),"")</f>
        <v/>
      </c>
      <c r="T2053" s="3">
        <f>IF(ISNUMBER(AVERAGE('20250815_ETF_Options_Exhibits'!T2049:T2053)),AVERAGE('20250815_ETF_Options_Exhibits'!T2049:T2053),"")</f>
        <v/>
      </c>
      <c r="U2053" s="3">
        <f>IF(ISNUMBER(AVERAGE('20250815_ETF_Options_Exhibits'!U2049:U2053)),AVERAGE('20250815_ETF_Options_Exhibits'!U2049:U2053),"")</f>
        <v/>
      </c>
      <c r="V2053" s="3">
        <f>IF(ISNUMBER(AVERAGE('20250815_ETF_Options_Exhibits'!V2049:V2053)),AVERAGE('20250815_ETF_Options_Exhibits'!V2049:V2053),"")</f>
        <v/>
      </c>
      <c r="W2053" s="3">
        <f>IF(ISNUMBER(AVERAGE('20250815_ETF_Options_Exhibits'!W2049:W2053)),AVERAGE('20250815_ETF_Options_Exhibits'!W2049:W2053),"")</f>
        <v/>
      </c>
      <c r="X2053" s="3">
        <f>IF(ISNUMBER(AVERAGE('20250815_ETF_Options_Exhibits'!X2049:X2053)),AVERAGE('20250815_ETF_Options_Exhibits'!X2049:X2053),"")</f>
        <v/>
      </c>
      <c r="Y2053" s="3">
        <f>IF(ISNUMBER(AVERAGE('20250815_ETF_Options_Exhibits'!Y2049:Y2053)),AVERAGE('20250815_ETF_Options_Exhibits'!Y2049:Y2053),"")</f>
        <v/>
      </c>
      <c r="Z2053" s="3">
        <f>IF(ISNUMBER(AVERAGE('20250815_ETF_Options_Exhibits'!Z2049:Z2053)),AVERAGE('20250815_ETF_Options_Exhibits'!Z2049:Z2053),"")</f>
        <v/>
      </c>
      <c r="AA2053" s="3">
        <f>IF(ISNUMBER(AVERAGE('20250815_ETF_Options_Exhibits'!AA2049:AA2053)),AVERAGE('20250815_ETF_Options_Exhibits'!AA2049:AA2053),"")</f>
        <v/>
      </c>
    </row>
    <row r="2054">
      <c r="A2054" s="1" t="n">
        <v>44984</v>
      </c>
      <c r="B2054" s="3">
        <f>IF(ISNUMBER(AVERAGE('20250815_ETF_Options_Exhibits'!B2050:B2054)),AVERAGE('20250815_ETF_Options_Exhibits'!B2050:B2054),"")</f>
        <v/>
      </c>
      <c r="C2054" s="3">
        <f>IF(ISNUMBER(AVERAGE('20250815_ETF_Options_Exhibits'!C2050:C2054)),AVERAGE('20250815_ETF_Options_Exhibits'!C2050:C2054),"")</f>
        <v/>
      </c>
      <c r="D2054" s="3">
        <f>IF(ISNUMBER(AVERAGE('20250815_ETF_Options_Exhibits'!D2050:D2054)),AVERAGE('20250815_ETF_Options_Exhibits'!D2050:D2054),"")</f>
        <v/>
      </c>
      <c r="E2054" s="3">
        <f>IF(ISNUMBER(AVERAGE('20250815_ETF_Options_Exhibits'!E2050:E2054)),AVERAGE('20250815_ETF_Options_Exhibits'!E2050:E2054),"")</f>
        <v/>
      </c>
      <c r="F2054" s="3">
        <f>IF(ISNUMBER(AVERAGE('20250815_ETF_Options_Exhibits'!F2050:F2054)),AVERAGE('20250815_ETF_Options_Exhibits'!F2050:F2054),"")</f>
        <v/>
      </c>
      <c r="G2054" s="3">
        <f>IF(ISNUMBER(AVERAGE('20250815_ETF_Options_Exhibits'!G2050:G2054)),AVERAGE('20250815_ETF_Options_Exhibits'!G2050:G2054),"")</f>
        <v/>
      </c>
      <c r="H2054" s="3">
        <f>IF(ISNUMBER(AVERAGE('20250815_ETF_Options_Exhibits'!H2050:H2054)),AVERAGE('20250815_ETF_Options_Exhibits'!H2050:H2054),"")</f>
        <v/>
      </c>
      <c r="I2054" s="3">
        <f>IF(ISNUMBER(AVERAGE('20250815_ETF_Options_Exhibits'!I2050:I2054)),AVERAGE('20250815_ETF_Options_Exhibits'!I2050:I2054),"")</f>
        <v/>
      </c>
      <c r="J2054" s="3">
        <f>IF(ISNUMBER(AVERAGE('20250815_ETF_Options_Exhibits'!J2050:J2054)),AVERAGE('20250815_ETF_Options_Exhibits'!J2050:J2054),"")</f>
        <v/>
      </c>
      <c r="K2054" s="3">
        <f>IF(ISNUMBER(AVERAGE('20250815_ETF_Options_Exhibits'!K2050:K2054)),AVERAGE('20250815_ETF_Options_Exhibits'!K2050:K2054),"")</f>
        <v/>
      </c>
      <c r="L2054" s="3">
        <f>IF(ISNUMBER(AVERAGE('20250815_ETF_Options_Exhibits'!L2050:L2054)),AVERAGE('20250815_ETF_Options_Exhibits'!L2050:L2054),"")</f>
        <v/>
      </c>
      <c r="M2054" s="3">
        <f>IF(ISNUMBER(AVERAGE('20250815_ETF_Options_Exhibits'!M2050:M2054)),AVERAGE('20250815_ETF_Options_Exhibits'!M2050:M2054),"")</f>
        <v/>
      </c>
      <c r="N2054" s="3">
        <f>IF(ISNUMBER(AVERAGE('20250815_ETF_Options_Exhibits'!N2050:N2054)),AVERAGE('20250815_ETF_Options_Exhibits'!N2050:N2054),"")</f>
        <v/>
      </c>
      <c r="O2054" s="3">
        <f>IF(ISNUMBER(AVERAGE('20250815_ETF_Options_Exhibits'!O2050:O2054)),AVERAGE('20250815_ETF_Options_Exhibits'!O2050:O2054),"")</f>
        <v/>
      </c>
      <c r="P2054" s="3">
        <f>IF(ISNUMBER(AVERAGE('20250815_ETF_Options_Exhibits'!P2050:P2054)),AVERAGE('20250815_ETF_Options_Exhibits'!P2050:P2054),"")</f>
        <v/>
      </c>
      <c r="Q2054" s="3">
        <f>IF(ISNUMBER(AVERAGE('20250815_ETF_Options_Exhibits'!Q2050:Q2054)),AVERAGE('20250815_ETF_Options_Exhibits'!Q2050:Q2054),"")</f>
        <v/>
      </c>
      <c r="R2054" s="3">
        <f>IF(ISNUMBER(AVERAGE('20250815_ETF_Options_Exhibits'!R2050:R2054)),AVERAGE('20250815_ETF_Options_Exhibits'!R2050:R2054),"")</f>
        <v/>
      </c>
      <c r="S2054" s="3">
        <f>IF(ISNUMBER(AVERAGE('20250815_ETF_Options_Exhibits'!S2050:S2054)),AVERAGE('20250815_ETF_Options_Exhibits'!S2050:S2054),"")</f>
        <v/>
      </c>
      <c r="T2054" s="3">
        <f>IF(ISNUMBER(AVERAGE('20250815_ETF_Options_Exhibits'!T2050:T2054)),AVERAGE('20250815_ETF_Options_Exhibits'!T2050:T2054),"")</f>
        <v/>
      </c>
      <c r="U2054" s="3">
        <f>IF(ISNUMBER(AVERAGE('20250815_ETF_Options_Exhibits'!U2050:U2054)),AVERAGE('20250815_ETF_Options_Exhibits'!U2050:U2054),"")</f>
        <v/>
      </c>
      <c r="V2054" s="3">
        <f>IF(ISNUMBER(AVERAGE('20250815_ETF_Options_Exhibits'!V2050:V2054)),AVERAGE('20250815_ETF_Options_Exhibits'!V2050:V2054),"")</f>
        <v/>
      </c>
      <c r="W2054" s="3">
        <f>IF(ISNUMBER(AVERAGE('20250815_ETF_Options_Exhibits'!W2050:W2054)),AVERAGE('20250815_ETF_Options_Exhibits'!W2050:W2054),"")</f>
        <v/>
      </c>
      <c r="X2054" s="3">
        <f>IF(ISNUMBER(AVERAGE('20250815_ETF_Options_Exhibits'!X2050:X2054)),AVERAGE('20250815_ETF_Options_Exhibits'!X2050:X2054),"")</f>
        <v/>
      </c>
      <c r="Y2054" s="3">
        <f>IF(ISNUMBER(AVERAGE('20250815_ETF_Options_Exhibits'!Y2050:Y2054)),AVERAGE('20250815_ETF_Options_Exhibits'!Y2050:Y2054),"")</f>
        <v/>
      </c>
      <c r="Z2054" s="3">
        <f>IF(ISNUMBER(AVERAGE('20250815_ETF_Options_Exhibits'!Z2050:Z2054)),AVERAGE('20250815_ETF_Options_Exhibits'!Z2050:Z2054),"")</f>
        <v/>
      </c>
      <c r="AA2054" s="3">
        <f>IF(ISNUMBER(AVERAGE('20250815_ETF_Options_Exhibits'!AA2050:AA2054)),AVERAGE('20250815_ETF_Options_Exhibits'!AA2050:AA2054),"")</f>
        <v/>
      </c>
    </row>
    <row r="2055">
      <c r="A2055" s="1" t="n">
        <v>44985</v>
      </c>
      <c r="B2055" s="3">
        <f>IF(ISNUMBER(AVERAGE('20250815_ETF_Options_Exhibits'!B2051:B2055)),AVERAGE('20250815_ETF_Options_Exhibits'!B2051:B2055),"")</f>
        <v/>
      </c>
      <c r="C2055" s="3">
        <f>IF(ISNUMBER(AVERAGE('20250815_ETF_Options_Exhibits'!C2051:C2055)),AVERAGE('20250815_ETF_Options_Exhibits'!C2051:C2055),"")</f>
        <v/>
      </c>
      <c r="D2055" s="3">
        <f>IF(ISNUMBER(AVERAGE('20250815_ETF_Options_Exhibits'!D2051:D2055)),AVERAGE('20250815_ETF_Options_Exhibits'!D2051:D2055),"")</f>
        <v/>
      </c>
      <c r="E2055" s="3">
        <f>IF(ISNUMBER(AVERAGE('20250815_ETF_Options_Exhibits'!E2051:E2055)),AVERAGE('20250815_ETF_Options_Exhibits'!E2051:E2055),"")</f>
        <v/>
      </c>
      <c r="F2055" s="3">
        <f>IF(ISNUMBER(AVERAGE('20250815_ETF_Options_Exhibits'!F2051:F2055)),AVERAGE('20250815_ETF_Options_Exhibits'!F2051:F2055),"")</f>
        <v/>
      </c>
      <c r="G2055" s="3">
        <f>IF(ISNUMBER(AVERAGE('20250815_ETF_Options_Exhibits'!G2051:G2055)),AVERAGE('20250815_ETF_Options_Exhibits'!G2051:G2055),"")</f>
        <v/>
      </c>
      <c r="H2055" s="3">
        <f>IF(ISNUMBER(AVERAGE('20250815_ETF_Options_Exhibits'!H2051:H2055)),AVERAGE('20250815_ETF_Options_Exhibits'!H2051:H2055),"")</f>
        <v/>
      </c>
      <c r="I2055" s="3">
        <f>IF(ISNUMBER(AVERAGE('20250815_ETF_Options_Exhibits'!I2051:I2055)),AVERAGE('20250815_ETF_Options_Exhibits'!I2051:I2055),"")</f>
        <v/>
      </c>
      <c r="J2055" s="3">
        <f>IF(ISNUMBER(AVERAGE('20250815_ETF_Options_Exhibits'!J2051:J2055)),AVERAGE('20250815_ETF_Options_Exhibits'!J2051:J2055),"")</f>
        <v/>
      </c>
      <c r="K2055" s="3">
        <f>IF(ISNUMBER(AVERAGE('20250815_ETF_Options_Exhibits'!K2051:K2055)),AVERAGE('20250815_ETF_Options_Exhibits'!K2051:K2055),"")</f>
        <v/>
      </c>
      <c r="L2055" s="3">
        <f>IF(ISNUMBER(AVERAGE('20250815_ETF_Options_Exhibits'!L2051:L2055)),AVERAGE('20250815_ETF_Options_Exhibits'!L2051:L2055),"")</f>
        <v/>
      </c>
      <c r="M2055" s="3">
        <f>IF(ISNUMBER(AVERAGE('20250815_ETF_Options_Exhibits'!M2051:M2055)),AVERAGE('20250815_ETF_Options_Exhibits'!M2051:M2055),"")</f>
        <v/>
      </c>
      <c r="N2055" s="3">
        <f>IF(ISNUMBER(AVERAGE('20250815_ETF_Options_Exhibits'!N2051:N2055)),AVERAGE('20250815_ETF_Options_Exhibits'!N2051:N2055),"")</f>
        <v/>
      </c>
      <c r="O2055" s="3">
        <f>IF(ISNUMBER(AVERAGE('20250815_ETF_Options_Exhibits'!O2051:O2055)),AVERAGE('20250815_ETF_Options_Exhibits'!O2051:O2055),"")</f>
        <v/>
      </c>
      <c r="P2055" s="3">
        <f>IF(ISNUMBER(AVERAGE('20250815_ETF_Options_Exhibits'!P2051:P2055)),AVERAGE('20250815_ETF_Options_Exhibits'!P2051:P2055),"")</f>
        <v/>
      </c>
      <c r="Q2055" s="3">
        <f>IF(ISNUMBER(AVERAGE('20250815_ETF_Options_Exhibits'!Q2051:Q2055)),AVERAGE('20250815_ETF_Options_Exhibits'!Q2051:Q2055),"")</f>
        <v/>
      </c>
      <c r="R2055" s="3">
        <f>IF(ISNUMBER(AVERAGE('20250815_ETF_Options_Exhibits'!R2051:R2055)),AVERAGE('20250815_ETF_Options_Exhibits'!R2051:R2055),"")</f>
        <v/>
      </c>
      <c r="S2055" s="3">
        <f>IF(ISNUMBER(AVERAGE('20250815_ETF_Options_Exhibits'!S2051:S2055)),AVERAGE('20250815_ETF_Options_Exhibits'!S2051:S2055),"")</f>
        <v/>
      </c>
      <c r="T2055" s="3">
        <f>IF(ISNUMBER(AVERAGE('20250815_ETF_Options_Exhibits'!T2051:T2055)),AVERAGE('20250815_ETF_Options_Exhibits'!T2051:T2055),"")</f>
        <v/>
      </c>
      <c r="U2055" s="3">
        <f>IF(ISNUMBER(AVERAGE('20250815_ETF_Options_Exhibits'!U2051:U2055)),AVERAGE('20250815_ETF_Options_Exhibits'!U2051:U2055),"")</f>
        <v/>
      </c>
      <c r="V2055" s="3">
        <f>IF(ISNUMBER(AVERAGE('20250815_ETF_Options_Exhibits'!V2051:V2055)),AVERAGE('20250815_ETF_Options_Exhibits'!V2051:V2055),"")</f>
        <v/>
      </c>
      <c r="W2055" s="3">
        <f>IF(ISNUMBER(AVERAGE('20250815_ETF_Options_Exhibits'!W2051:W2055)),AVERAGE('20250815_ETF_Options_Exhibits'!W2051:W2055),"")</f>
        <v/>
      </c>
      <c r="X2055" s="3">
        <f>IF(ISNUMBER(AVERAGE('20250815_ETF_Options_Exhibits'!X2051:X2055)),AVERAGE('20250815_ETF_Options_Exhibits'!X2051:X2055),"")</f>
        <v/>
      </c>
      <c r="Y2055" s="3">
        <f>IF(ISNUMBER(AVERAGE('20250815_ETF_Options_Exhibits'!Y2051:Y2055)),AVERAGE('20250815_ETF_Options_Exhibits'!Y2051:Y2055),"")</f>
        <v/>
      </c>
      <c r="Z2055" s="3">
        <f>IF(ISNUMBER(AVERAGE('20250815_ETF_Options_Exhibits'!Z2051:Z2055)),AVERAGE('20250815_ETF_Options_Exhibits'!Z2051:Z2055),"")</f>
        <v/>
      </c>
      <c r="AA2055" s="3">
        <f>IF(ISNUMBER(AVERAGE('20250815_ETF_Options_Exhibits'!AA2051:AA2055)),AVERAGE('20250815_ETF_Options_Exhibits'!AA2051:AA2055),"")</f>
        <v/>
      </c>
    </row>
    <row r="2056">
      <c r="A2056" s="1" t="n">
        <v>44986</v>
      </c>
      <c r="B2056" s="3">
        <f>IF(ISNUMBER(AVERAGE('20250815_ETF_Options_Exhibits'!B2052:B2056)),AVERAGE('20250815_ETF_Options_Exhibits'!B2052:B2056),"")</f>
        <v/>
      </c>
      <c r="C2056" s="3">
        <f>IF(ISNUMBER(AVERAGE('20250815_ETF_Options_Exhibits'!C2052:C2056)),AVERAGE('20250815_ETF_Options_Exhibits'!C2052:C2056),"")</f>
        <v/>
      </c>
      <c r="D2056" s="3">
        <f>IF(ISNUMBER(AVERAGE('20250815_ETF_Options_Exhibits'!D2052:D2056)),AVERAGE('20250815_ETF_Options_Exhibits'!D2052:D2056),"")</f>
        <v/>
      </c>
      <c r="E2056" s="3">
        <f>IF(ISNUMBER(AVERAGE('20250815_ETF_Options_Exhibits'!E2052:E2056)),AVERAGE('20250815_ETF_Options_Exhibits'!E2052:E2056),"")</f>
        <v/>
      </c>
      <c r="F2056" s="3">
        <f>IF(ISNUMBER(AVERAGE('20250815_ETF_Options_Exhibits'!F2052:F2056)),AVERAGE('20250815_ETF_Options_Exhibits'!F2052:F2056),"")</f>
        <v/>
      </c>
      <c r="G2056" s="3">
        <f>IF(ISNUMBER(AVERAGE('20250815_ETF_Options_Exhibits'!G2052:G2056)),AVERAGE('20250815_ETF_Options_Exhibits'!G2052:G2056),"")</f>
        <v/>
      </c>
      <c r="H2056" s="3">
        <f>IF(ISNUMBER(AVERAGE('20250815_ETF_Options_Exhibits'!H2052:H2056)),AVERAGE('20250815_ETF_Options_Exhibits'!H2052:H2056),"")</f>
        <v/>
      </c>
      <c r="I2056" s="3">
        <f>IF(ISNUMBER(AVERAGE('20250815_ETF_Options_Exhibits'!I2052:I2056)),AVERAGE('20250815_ETF_Options_Exhibits'!I2052:I2056),"")</f>
        <v/>
      </c>
      <c r="J2056" s="3">
        <f>IF(ISNUMBER(AVERAGE('20250815_ETF_Options_Exhibits'!J2052:J2056)),AVERAGE('20250815_ETF_Options_Exhibits'!J2052:J2056),"")</f>
        <v/>
      </c>
      <c r="K2056" s="3">
        <f>IF(ISNUMBER(AVERAGE('20250815_ETF_Options_Exhibits'!K2052:K2056)),AVERAGE('20250815_ETF_Options_Exhibits'!K2052:K2056),"")</f>
        <v/>
      </c>
      <c r="L2056" s="3">
        <f>IF(ISNUMBER(AVERAGE('20250815_ETF_Options_Exhibits'!L2052:L2056)),AVERAGE('20250815_ETF_Options_Exhibits'!L2052:L2056),"")</f>
        <v/>
      </c>
      <c r="M2056" s="3">
        <f>IF(ISNUMBER(AVERAGE('20250815_ETF_Options_Exhibits'!M2052:M2056)),AVERAGE('20250815_ETF_Options_Exhibits'!M2052:M2056),"")</f>
        <v/>
      </c>
      <c r="N2056" s="3">
        <f>IF(ISNUMBER(AVERAGE('20250815_ETF_Options_Exhibits'!N2052:N2056)),AVERAGE('20250815_ETF_Options_Exhibits'!N2052:N2056),"")</f>
        <v/>
      </c>
      <c r="O2056" s="3">
        <f>IF(ISNUMBER(AVERAGE('20250815_ETF_Options_Exhibits'!O2052:O2056)),AVERAGE('20250815_ETF_Options_Exhibits'!O2052:O2056),"")</f>
        <v/>
      </c>
      <c r="P2056" s="3">
        <f>IF(ISNUMBER(AVERAGE('20250815_ETF_Options_Exhibits'!P2052:P2056)),AVERAGE('20250815_ETF_Options_Exhibits'!P2052:P2056),"")</f>
        <v/>
      </c>
      <c r="Q2056" s="3">
        <f>IF(ISNUMBER(AVERAGE('20250815_ETF_Options_Exhibits'!Q2052:Q2056)),AVERAGE('20250815_ETF_Options_Exhibits'!Q2052:Q2056),"")</f>
        <v/>
      </c>
      <c r="R2056" s="3">
        <f>IF(ISNUMBER(AVERAGE('20250815_ETF_Options_Exhibits'!R2052:R2056)),AVERAGE('20250815_ETF_Options_Exhibits'!R2052:R2056),"")</f>
        <v/>
      </c>
      <c r="S2056" s="3">
        <f>IF(ISNUMBER(AVERAGE('20250815_ETF_Options_Exhibits'!S2052:S2056)),AVERAGE('20250815_ETF_Options_Exhibits'!S2052:S2056),"")</f>
        <v/>
      </c>
      <c r="T2056" s="3">
        <f>IF(ISNUMBER(AVERAGE('20250815_ETF_Options_Exhibits'!T2052:T2056)),AVERAGE('20250815_ETF_Options_Exhibits'!T2052:T2056),"")</f>
        <v/>
      </c>
      <c r="U2056" s="3">
        <f>IF(ISNUMBER(AVERAGE('20250815_ETF_Options_Exhibits'!U2052:U2056)),AVERAGE('20250815_ETF_Options_Exhibits'!U2052:U2056),"")</f>
        <v/>
      </c>
      <c r="V2056" s="3">
        <f>IF(ISNUMBER(AVERAGE('20250815_ETF_Options_Exhibits'!V2052:V2056)),AVERAGE('20250815_ETF_Options_Exhibits'!V2052:V2056),"")</f>
        <v/>
      </c>
      <c r="W2056" s="3">
        <f>IF(ISNUMBER(AVERAGE('20250815_ETF_Options_Exhibits'!W2052:W2056)),AVERAGE('20250815_ETF_Options_Exhibits'!W2052:W2056),"")</f>
        <v/>
      </c>
      <c r="X2056" s="3">
        <f>IF(ISNUMBER(AVERAGE('20250815_ETF_Options_Exhibits'!X2052:X2056)),AVERAGE('20250815_ETF_Options_Exhibits'!X2052:X2056),"")</f>
        <v/>
      </c>
      <c r="Y2056" s="3">
        <f>IF(ISNUMBER(AVERAGE('20250815_ETF_Options_Exhibits'!Y2052:Y2056)),AVERAGE('20250815_ETF_Options_Exhibits'!Y2052:Y2056),"")</f>
        <v/>
      </c>
      <c r="Z2056" s="3">
        <f>IF(ISNUMBER(AVERAGE('20250815_ETF_Options_Exhibits'!Z2052:Z2056)),AVERAGE('20250815_ETF_Options_Exhibits'!Z2052:Z2056),"")</f>
        <v/>
      </c>
      <c r="AA2056" s="3">
        <f>IF(ISNUMBER(AVERAGE('20250815_ETF_Options_Exhibits'!AA2052:AA2056)),AVERAGE('20250815_ETF_Options_Exhibits'!AA2052:AA2056),"")</f>
        <v/>
      </c>
    </row>
    <row r="2057">
      <c r="A2057" s="1" t="n">
        <v>44987</v>
      </c>
      <c r="B2057" s="3">
        <f>IF(ISNUMBER(AVERAGE('20250815_ETF_Options_Exhibits'!B2053:B2057)),AVERAGE('20250815_ETF_Options_Exhibits'!B2053:B2057),"")</f>
        <v/>
      </c>
      <c r="C2057" s="3">
        <f>IF(ISNUMBER(AVERAGE('20250815_ETF_Options_Exhibits'!C2053:C2057)),AVERAGE('20250815_ETF_Options_Exhibits'!C2053:C2057),"")</f>
        <v/>
      </c>
      <c r="D2057" s="3">
        <f>IF(ISNUMBER(AVERAGE('20250815_ETF_Options_Exhibits'!D2053:D2057)),AVERAGE('20250815_ETF_Options_Exhibits'!D2053:D2057),"")</f>
        <v/>
      </c>
      <c r="E2057" s="3">
        <f>IF(ISNUMBER(AVERAGE('20250815_ETF_Options_Exhibits'!E2053:E2057)),AVERAGE('20250815_ETF_Options_Exhibits'!E2053:E2057),"")</f>
        <v/>
      </c>
      <c r="F2057" s="3">
        <f>IF(ISNUMBER(AVERAGE('20250815_ETF_Options_Exhibits'!F2053:F2057)),AVERAGE('20250815_ETF_Options_Exhibits'!F2053:F2057),"")</f>
        <v/>
      </c>
      <c r="G2057" s="3">
        <f>IF(ISNUMBER(AVERAGE('20250815_ETF_Options_Exhibits'!G2053:G2057)),AVERAGE('20250815_ETF_Options_Exhibits'!G2053:G2057),"")</f>
        <v/>
      </c>
      <c r="H2057" s="3">
        <f>IF(ISNUMBER(AVERAGE('20250815_ETF_Options_Exhibits'!H2053:H2057)),AVERAGE('20250815_ETF_Options_Exhibits'!H2053:H2057),"")</f>
        <v/>
      </c>
      <c r="I2057" s="3">
        <f>IF(ISNUMBER(AVERAGE('20250815_ETF_Options_Exhibits'!I2053:I2057)),AVERAGE('20250815_ETF_Options_Exhibits'!I2053:I2057),"")</f>
        <v/>
      </c>
      <c r="J2057" s="3">
        <f>IF(ISNUMBER(AVERAGE('20250815_ETF_Options_Exhibits'!J2053:J2057)),AVERAGE('20250815_ETF_Options_Exhibits'!J2053:J2057),"")</f>
        <v/>
      </c>
      <c r="K2057" s="3">
        <f>IF(ISNUMBER(AVERAGE('20250815_ETF_Options_Exhibits'!K2053:K2057)),AVERAGE('20250815_ETF_Options_Exhibits'!K2053:K2057),"")</f>
        <v/>
      </c>
      <c r="L2057" s="3">
        <f>IF(ISNUMBER(AVERAGE('20250815_ETF_Options_Exhibits'!L2053:L2057)),AVERAGE('20250815_ETF_Options_Exhibits'!L2053:L2057),"")</f>
        <v/>
      </c>
      <c r="M2057" s="3">
        <f>IF(ISNUMBER(AVERAGE('20250815_ETF_Options_Exhibits'!M2053:M2057)),AVERAGE('20250815_ETF_Options_Exhibits'!M2053:M2057),"")</f>
        <v/>
      </c>
      <c r="N2057" s="3">
        <f>IF(ISNUMBER(AVERAGE('20250815_ETF_Options_Exhibits'!N2053:N2057)),AVERAGE('20250815_ETF_Options_Exhibits'!N2053:N2057),"")</f>
        <v/>
      </c>
      <c r="O2057" s="3">
        <f>IF(ISNUMBER(AVERAGE('20250815_ETF_Options_Exhibits'!O2053:O2057)),AVERAGE('20250815_ETF_Options_Exhibits'!O2053:O2057),"")</f>
        <v/>
      </c>
      <c r="P2057" s="3">
        <f>IF(ISNUMBER(AVERAGE('20250815_ETF_Options_Exhibits'!P2053:P2057)),AVERAGE('20250815_ETF_Options_Exhibits'!P2053:P2057),"")</f>
        <v/>
      </c>
      <c r="Q2057" s="3">
        <f>IF(ISNUMBER(AVERAGE('20250815_ETF_Options_Exhibits'!Q2053:Q2057)),AVERAGE('20250815_ETF_Options_Exhibits'!Q2053:Q2057),"")</f>
        <v/>
      </c>
      <c r="R2057" s="3">
        <f>IF(ISNUMBER(AVERAGE('20250815_ETF_Options_Exhibits'!R2053:R2057)),AVERAGE('20250815_ETF_Options_Exhibits'!R2053:R2057),"")</f>
        <v/>
      </c>
      <c r="S2057" s="3">
        <f>IF(ISNUMBER(AVERAGE('20250815_ETF_Options_Exhibits'!S2053:S2057)),AVERAGE('20250815_ETF_Options_Exhibits'!S2053:S2057),"")</f>
        <v/>
      </c>
      <c r="T2057" s="3">
        <f>IF(ISNUMBER(AVERAGE('20250815_ETF_Options_Exhibits'!T2053:T2057)),AVERAGE('20250815_ETF_Options_Exhibits'!T2053:T2057),"")</f>
        <v/>
      </c>
      <c r="U2057" s="3">
        <f>IF(ISNUMBER(AVERAGE('20250815_ETF_Options_Exhibits'!U2053:U2057)),AVERAGE('20250815_ETF_Options_Exhibits'!U2053:U2057),"")</f>
        <v/>
      </c>
      <c r="V2057" s="3">
        <f>IF(ISNUMBER(AVERAGE('20250815_ETF_Options_Exhibits'!V2053:V2057)),AVERAGE('20250815_ETF_Options_Exhibits'!V2053:V2057),"")</f>
        <v/>
      </c>
      <c r="W2057" s="3">
        <f>IF(ISNUMBER(AVERAGE('20250815_ETF_Options_Exhibits'!W2053:W2057)),AVERAGE('20250815_ETF_Options_Exhibits'!W2053:W2057),"")</f>
        <v/>
      </c>
      <c r="X2057" s="3">
        <f>IF(ISNUMBER(AVERAGE('20250815_ETF_Options_Exhibits'!X2053:X2057)),AVERAGE('20250815_ETF_Options_Exhibits'!X2053:X2057),"")</f>
        <v/>
      </c>
      <c r="Y2057" s="3">
        <f>IF(ISNUMBER(AVERAGE('20250815_ETF_Options_Exhibits'!Y2053:Y2057)),AVERAGE('20250815_ETF_Options_Exhibits'!Y2053:Y2057),"")</f>
        <v/>
      </c>
      <c r="Z2057" s="3">
        <f>IF(ISNUMBER(AVERAGE('20250815_ETF_Options_Exhibits'!Z2053:Z2057)),AVERAGE('20250815_ETF_Options_Exhibits'!Z2053:Z2057),"")</f>
        <v/>
      </c>
      <c r="AA2057" s="3">
        <f>IF(ISNUMBER(AVERAGE('20250815_ETF_Options_Exhibits'!AA2053:AA2057)),AVERAGE('20250815_ETF_Options_Exhibits'!AA2053:AA2057),"")</f>
        <v/>
      </c>
    </row>
    <row r="2058">
      <c r="A2058" s="1" t="n">
        <v>44988</v>
      </c>
      <c r="B2058" s="3">
        <f>IF(ISNUMBER(AVERAGE('20250815_ETF_Options_Exhibits'!B2054:B2058)),AVERAGE('20250815_ETF_Options_Exhibits'!B2054:B2058),"")</f>
        <v/>
      </c>
      <c r="C2058" s="3">
        <f>IF(ISNUMBER(AVERAGE('20250815_ETF_Options_Exhibits'!C2054:C2058)),AVERAGE('20250815_ETF_Options_Exhibits'!C2054:C2058),"")</f>
        <v/>
      </c>
      <c r="D2058" s="3">
        <f>IF(ISNUMBER(AVERAGE('20250815_ETF_Options_Exhibits'!D2054:D2058)),AVERAGE('20250815_ETF_Options_Exhibits'!D2054:D2058),"")</f>
        <v/>
      </c>
      <c r="E2058" s="3">
        <f>IF(ISNUMBER(AVERAGE('20250815_ETF_Options_Exhibits'!E2054:E2058)),AVERAGE('20250815_ETF_Options_Exhibits'!E2054:E2058),"")</f>
        <v/>
      </c>
      <c r="F2058" s="3">
        <f>IF(ISNUMBER(AVERAGE('20250815_ETF_Options_Exhibits'!F2054:F2058)),AVERAGE('20250815_ETF_Options_Exhibits'!F2054:F2058),"")</f>
        <v/>
      </c>
      <c r="G2058" s="3">
        <f>IF(ISNUMBER(AVERAGE('20250815_ETF_Options_Exhibits'!G2054:G2058)),AVERAGE('20250815_ETF_Options_Exhibits'!G2054:G2058),"")</f>
        <v/>
      </c>
      <c r="H2058" s="3">
        <f>IF(ISNUMBER(AVERAGE('20250815_ETF_Options_Exhibits'!H2054:H2058)),AVERAGE('20250815_ETF_Options_Exhibits'!H2054:H2058),"")</f>
        <v/>
      </c>
      <c r="I2058" s="3">
        <f>IF(ISNUMBER(AVERAGE('20250815_ETF_Options_Exhibits'!I2054:I2058)),AVERAGE('20250815_ETF_Options_Exhibits'!I2054:I2058),"")</f>
        <v/>
      </c>
      <c r="J2058" s="3">
        <f>IF(ISNUMBER(AVERAGE('20250815_ETF_Options_Exhibits'!J2054:J2058)),AVERAGE('20250815_ETF_Options_Exhibits'!J2054:J2058),"")</f>
        <v/>
      </c>
      <c r="K2058" s="3">
        <f>IF(ISNUMBER(AVERAGE('20250815_ETF_Options_Exhibits'!K2054:K2058)),AVERAGE('20250815_ETF_Options_Exhibits'!K2054:K2058),"")</f>
        <v/>
      </c>
      <c r="L2058" s="3">
        <f>IF(ISNUMBER(AVERAGE('20250815_ETF_Options_Exhibits'!L2054:L2058)),AVERAGE('20250815_ETF_Options_Exhibits'!L2054:L2058),"")</f>
        <v/>
      </c>
      <c r="M2058" s="3">
        <f>IF(ISNUMBER(AVERAGE('20250815_ETF_Options_Exhibits'!M2054:M2058)),AVERAGE('20250815_ETF_Options_Exhibits'!M2054:M2058),"")</f>
        <v/>
      </c>
      <c r="N2058" s="3">
        <f>IF(ISNUMBER(AVERAGE('20250815_ETF_Options_Exhibits'!N2054:N2058)),AVERAGE('20250815_ETF_Options_Exhibits'!N2054:N2058),"")</f>
        <v/>
      </c>
      <c r="O2058" s="3">
        <f>IF(ISNUMBER(AVERAGE('20250815_ETF_Options_Exhibits'!O2054:O2058)),AVERAGE('20250815_ETF_Options_Exhibits'!O2054:O2058),"")</f>
        <v/>
      </c>
      <c r="P2058" s="3">
        <f>IF(ISNUMBER(AVERAGE('20250815_ETF_Options_Exhibits'!P2054:P2058)),AVERAGE('20250815_ETF_Options_Exhibits'!P2054:P2058),"")</f>
        <v/>
      </c>
      <c r="Q2058" s="3">
        <f>IF(ISNUMBER(AVERAGE('20250815_ETF_Options_Exhibits'!Q2054:Q2058)),AVERAGE('20250815_ETF_Options_Exhibits'!Q2054:Q2058),"")</f>
        <v/>
      </c>
      <c r="R2058" s="3">
        <f>IF(ISNUMBER(AVERAGE('20250815_ETF_Options_Exhibits'!R2054:R2058)),AVERAGE('20250815_ETF_Options_Exhibits'!R2054:R2058),"")</f>
        <v/>
      </c>
      <c r="S2058" s="3">
        <f>IF(ISNUMBER(AVERAGE('20250815_ETF_Options_Exhibits'!S2054:S2058)),AVERAGE('20250815_ETF_Options_Exhibits'!S2054:S2058),"")</f>
        <v/>
      </c>
      <c r="T2058" s="3">
        <f>IF(ISNUMBER(AVERAGE('20250815_ETF_Options_Exhibits'!T2054:T2058)),AVERAGE('20250815_ETF_Options_Exhibits'!T2054:T2058),"")</f>
        <v/>
      </c>
      <c r="U2058" s="3">
        <f>IF(ISNUMBER(AVERAGE('20250815_ETF_Options_Exhibits'!U2054:U2058)),AVERAGE('20250815_ETF_Options_Exhibits'!U2054:U2058),"")</f>
        <v/>
      </c>
      <c r="V2058" s="3">
        <f>IF(ISNUMBER(AVERAGE('20250815_ETF_Options_Exhibits'!V2054:V2058)),AVERAGE('20250815_ETF_Options_Exhibits'!V2054:V2058),"")</f>
        <v/>
      </c>
      <c r="W2058" s="3">
        <f>IF(ISNUMBER(AVERAGE('20250815_ETF_Options_Exhibits'!W2054:W2058)),AVERAGE('20250815_ETF_Options_Exhibits'!W2054:W2058),"")</f>
        <v/>
      </c>
      <c r="X2058" s="3">
        <f>IF(ISNUMBER(AVERAGE('20250815_ETF_Options_Exhibits'!X2054:X2058)),AVERAGE('20250815_ETF_Options_Exhibits'!X2054:X2058),"")</f>
        <v/>
      </c>
      <c r="Y2058" s="3">
        <f>IF(ISNUMBER(AVERAGE('20250815_ETF_Options_Exhibits'!Y2054:Y2058)),AVERAGE('20250815_ETF_Options_Exhibits'!Y2054:Y2058),"")</f>
        <v/>
      </c>
      <c r="Z2058" s="3">
        <f>IF(ISNUMBER(AVERAGE('20250815_ETF_Options_Exhibits'!Z2054:Z2058)),AVERAGE('20250815_ETF_Options_Exhibits'!Z2054:Z2058),"")</f>
        <v/>
      </c>
      <c r="AA2058" s="3">
        <f>IF(ISNUMBER(AVERAGE('20250815_ETF_Options_Exhibits'!AA2054:AA2058)),AVERAGE('20250815_ETF_Options_Exhibits'!AA2054:AA2058),"")</f>
        <v/>
      </c>
    </row>
    <row r="2059">
      <c r="A2059" s="1" t="n">
        <v>44991</v>
      </c>
      <c r="B2059" s="3">
        <f>IF(ISNUMBER(AVERAGE('20250815_ETF_Options_Exhibits'!B2055:B2059)),AVERAGE('20250815_ETF_Options_Exhibits'!B2055:B2059),"")</f>
        <v/>
      </c>
      <c r="C2059" s="3">
        <f>IF(ISNUMBER(AVERAGE('20250815_ETF_Options_Exhibits'!C2055:C2059)),AVERAGE('20250815_ETF_Options_Exhibits'!C2055:C2059),"")</f>
        <v/>
      </c>
      <c r="D2059" s="3">
        <f>IF(ISNUMBER(AVERAGE('20250815_ETF_Options_Exhibits'!D2055:D2059)),AVERAGE('20250815_ETF_Options_Exhibits'!D2055:D2059),"")</f>
        <v/>
      </c>
      <c r="E2059" s="3">
        <f>IF(ISNUMBER(AVERAGE('20250815_ETF_Options_Exhibits'!E2055:E2059)),AVERAGE('20250815_ETF_Options_Exhibits'!E2055:E2059),"")</f>
        <v/>
      </c>
      <c r="F2059" s="3">
        <f>IF(ISNUMBER(AVERAGE('20250815_ETF_Options_Exhibits'!F2055:F2059)),AVERAGE('20250815_ETF_Options_Exhibits'!F2055:F2059),"")</f>
        <v/>
      </c>
      <c r="G2059" s="3">
        <f>IF(ISNUMBER(AVERAGE('20250815_ETF_Options_Exhibits'!G2055:G2059)),AVERAGE('20250815_ETF_Options_Exhibits'!G2055:G2059),"")</f>
        <v/>
      </c>
      <c r="H2059" s="3">
        <f>IF(ISNUMBER(AVERAGE('20250815_ETF_Options_Exhibits'!H2055:H2059)),AVERAGE('20250815_ETF_Options_Exhibits'!H2055:H2059),"")</f>
        <v/>
      </c>
      <c r="I2059" s="3">
        <f>IF(ISNUMBER(AVERAGE('20250815_ETF_Options_Exhibits'!I2055:I2059)),AVERAGE('20250815_ETF_Options_Exhibits'!I2055:I2059),"")</f>
        <v/>
      </c>
      <c r="J2059" s="3">
        <f>IF(ISNUMBER(AVERAGE('20250815_ETF_Options_Exhibits'!J2055:J2059)),AVERAGE('20250815_ETF_Options_Exhibits'!J2055:J2059),"")</f>
        <v/>
      </c>
      <c r="K2059" s="3">
        <f>IF(ISNUMBER(AVERAGE('20250815_ETF_Options_Exhibits'!K2055:K2059)),AVERAGE('20250815_ETF_Options_Exhibits'!K2055:K2059),"")</f>
        <v/>
      </c>
      <c r="L2059" s="3">
        <f>IF(ISNUMBER(AVERAGE('20250815_ETF_Options_Exhibits'!L2055:L2059)),AVERAGE('20250815_ETF_Options_Exhibits'!L2055:L2059),"")</f>
        <v/>
      </c>
      <c r="M2059" s="3">
        <f>IF(ISNUMBER(AVERAGE('20250815_ETF_Options_Exhibits'!M2055:M2059)),AVERAGE('20250815_ETF_Options_Exhibits'!M2055:M2059),"")</f>
        <v/>
      </c>
      <c r="N2059" s="3">
        <f>IF(ISNUMBER(AVERAGE('20250815_ETF_Options_Exhibits'!N2055:N2059)),AVERAGE('20250815_ETF_Options_Exhibits'!N2055:N2059),"")</f>
        <v/>
      </c>
      <c r="O2059" s="3">
        <f>IF(ISNUMBER(AVERAGE('20250815_ETF_Options_Exhibits'!O2055:O2059)),AVERAGE('20250815_ETF_Options_Exhibits'!O2055:O2059),"")</f>
        <v/>
      </c>
      <c r="P2059" s="3">
        <f>IF(ISNUMBER(AVERAGE('20250815_ETF_Options_Exhibits'!P2055:P2059)),AVERAGE('20250815_ETF_Options_Exhibits'!P2055:P2059),"")</f>
        <v/>
      </c>
      <c r="Q2059" s="3">
        <f>IF(ISNUMBER(AVERAGE('20250815_ETF_Options_Exhibits'!Q2055:Q2059)),AVERAGE('20250815_ETF_Options_Exhibits'!Q2055:Q2059),"")</f>
        <v/>
      </c>
      <c r="R2059" s="3">
        <f>IF(ISNUMBER(AVERAGE('20250815_ETF_Options_Exhibits'!R2055:R2059)),AVERAGE('20250815_ETF_Options_Exhibits'!R2055:R2059),"")</f>
        <v/>
      </c>
      <c r="S2059" s="3">
        <f>IF(ISNUMBER(AVERAGE('20250815_ETF_Options_Exhibits'!S2055:S2059)),AVERAGE('20250815_ETF_Options_Exhibits'!S2055:S2059),"")</f>
        <v/>
      </c>
      <c r="T2059" s="3">
        <f>IF(ISNUMBER(AVERAGE('20250815_ETF_Options_Exhibits'!T2055:T2059)),AVERAGE('20250815_ETF_Options_Exhibits'!T2055:T2059),"")</f>
        <v/>
      </c>
      <c r="U2059" s="3">
        <f>IF(ISNUMBER(AVERAGE('20250815_ETF_Options_Exhibits'!U2055:U2059)),AVERAGE('20250815_ETF_Options_Exhibits'!U2055:U2059),"")</f>
        <v/>
      </c>
      <c r="V2059" s="3">
        <f>IF(ISNUMBER(AVERAGE('20250815_ETF_Options_Exhibits'!V2055:V2059)),AVERAGE('20250815_ETF_Options_Exhibits'!V2055:V2059),"")</f>
        <v/>
      </c>
      <c r="W2059" s="3">
        <f>IF(ISNUMBER(AVERAGE('20250815_ETF_Options_Exhibits'!W2055:W2059)),AVERAGE('20250815_ETF_Options_Exhibits'!W2055:W2059),"")</f>
        <v/>
      </c>
      <c r="X2059" s="3">
        <f>IF(ISNUMBER(AVERAGE('20250815_ETF_Options_Exhibits'!X2055:X2059)),AVERAGE('20250815_ETF_Options_Exhibits'!X2055:X2059),"")</f>
        <v/>
      </c>
      <c r="Y2059" s="3">
        <f>IF(ISNUMBER(AVERAGE('20250815_ETF_Options_Exhibits'!Y2055:Y2059)),AVERAGE('20250815_ETF_Options_Exhibits'!Y2055:Y2059),"")</f>
        <v/>
      </c>
      <c r="Z2059" s="3">
        <f>IF(ISNUMBER(AVERAGE('20250815_ETF_Options_Exhibits'!Z2055:Z2059)),AVERAGE('20250815_ETF_Options_Exhibits'!Z2055:Z2059),"")</f>
        <v/>
      </c>
      <c r="AA2059" s="3">
        <f>IF(ISNUMBER(AVERAGE('20250815_ETF_Options_Exhibits'!AA2055:AA2059)),AVERAGE('20250815_ETF_Options_Exhibits'!AA2055:AA2059),"")</f>
        <v/>
      </c>
    </row>
    <row r="2060">
      <c r="A2060" s="1" t="n">
        <v>44992</v>
      </c>
      <c r="B2060" s="3">
        <f>IF(ISNUMBER(AVERAGE('20250815_ETF_Options_Exhibits'!B2056:B2060)),AVERAGE('20250815_ETF_Options_Exhibits'!B2056:B2060),"")</f>
        <v/>
      </c>
      <c r="C2060" s="3">
        <f>IF(ISNUMBER(AVERAGE('20250815_ETF_Options_Exhibits'!C2056:C2060)),AVERAGE('20250815_ETF_Options_Exhibits'!C2056:C2060),"")</f>
        <v/>
      </c>
      <c r="D2060" s="3">
        <f>IF(ISNUMBER(AVERAGE('20250815_ETF_Options_Exhibits'!D2056:D2060)),AVERAGE('20250815_ETF_Options_Exhibits'!D2056:D2060),"")</f>
        <v/>
      </c>
      <c r="E2060" s="3">
        <f>IF(ISNUMBER(AVERAGE('20250815_ETF_Options_Exhibits'!E2056:E2060)),AVERAGE('20250815_ETF_Options_Exhibits'!E2056:E2060),"")</f>
        <v/>
      </c>
      <c r="F2060" s="3">
        <f>IF(ISNUMBER(AVERAGE('20250815_ETF_Options_Exhibits'!F2056:F2060)),AVERAGE('20250815_ETF_Options_Exhibits'!F2056:F2060),"")</f>
        <v/>
      </c>
      <c r="G2060" s="3">
        <f>IF(ISNUMBER(AVERAGE('20250815_ETF_Options_Exhibits'!G2056:G2060)),AVERAGE('20250815_ETF_Options_Exhibits'!G2056:G2060),"")</f>
        <v/>
      </c>
      <c r="H2060" s="3">
        <f>IF(ISNUMBER(AVERAGE('20250815_ETF_Options_Exhibits'!H2056:H2060)),AVERAGE('20250815_ETF_Options_Exhibits'!H2056:H2060),"")</f>
        <v/>
      </c>
      <c r="I2060" s="3">
        <f>IF(ISNUMBER(AVERAGE('20250815_ETF_Options_Exhibits'!I2056:I2060)),AVERAGE('20250815_ETF_Options_Exhibits'!I2056:I2060),"")</f>
        <v/>
      </c>
      <c r="J2060" s="3">
        <f>IF(ISNUMBER(AVERAGE('20250815_ETF_Options_Exhibits'!J2056:J2060)),AVERAGE('20250815_ETF_Options_Exhibits'!J2056:J2060),"")</f>
        <v/>
      </c>
      <c r="K2060" s="3">
        <f>IF(ISNUMBER(AVERAGE('20250815_ETF_Options_Exhibits'!K2056:K2060)),AVERAGE('20250815_ETF_Options_Exhibits'!K2056:K2060),"")</f>
        <v/>
      </c>
      <c r="L2060" s="3">
        <f>IF(ISNUMBER(AVERAGE('20250815_ETF_Options_Exhibits'!L2056:L2060)),AVERAGE('20250815_ETF_Options_Exhibits'!L2056:L2060),"")</f>
        <v/>
      </c>
      <c r="M2060" s="3">
        <f>IF(ISNUMBER(AVERAGE('20250815_ETF_Options_Exhibits'!M2056:M2060)),AVERAGE('20250815_ETF_Options_Exhibits'!M2056:M2060),"")</f>
        <v/>
      </c>
      <c r="N2060" s="3">
        <f>IF(ISNUMBER(AVERAGE('20250815_ETF_Options_Exhibits'!N2056:N2060)),AVERAGE('20250815_ETF_Options_Exhibits'!N2056:N2060),"")</f>
        <v/>
      </c>
      <c r="O2060" s="3">
        <f>IF(ISNUMBER(AVERAGE('20250815_ETF_Options_Exhibits'!O2056:O2060)),AVERAGE('20250815_ETF_Options_Exhibits'!O2056:O2060),"")</f>
        <v/>
      </c>
      <c r="P2060" s="3">
        <f>IF(ISNUMBER(AVERAGE('20250815_ETF_Options_Exhibits'!P2056:P2060)),AVERAGE('20250815_ETF_Options_Exhibits'!P2056:P2060),"")</f>
        <v/>
      </c>
      <c r="Q2060" s="3">
        <f>IF(ISNUMBER(AVERAGE('20250815_ETF_Options_Exhibits'!Q2056:Q2060)),AVERAGE('20250815_ETF_Options_Exhibits'!Q2056:Q2060),"")</f>
        <v/>
      </c>
      <c r="R2060" s="3">
        <f>IF(ISNUMBER(AVERAGE('20250815_ETF_Options_Exhibits'!R2056:R2060)),AVERAGE('20250815_ETF_Options_Exhibits'!R2056:R2060),"")</f>
        <v/>
      </c>
      <c r="S2060" s="3">
        <f>IF(ISNUMBER(AVERAGE('20250815_ETF_Options_Exhibits'!S2056:S2060)),AVERAGE('20250815_ETF_Options_Exhibits'!S2056:S2060),"")</f>
        <v/>
      </c>
      <c r="T2060" s="3">
        <f>IF(ISNUMBER(AVERAGE('20250815_ETF_Options_Exhibits'!T2056:T2060)),AVERAGE('20250815_ETF_Options_Exhibits'!T2056:T2060),"")</f>
        <v/>
      </c>
      <c r="U2060" s="3">
        <f>IF(ISNUMBER(AVERAGE('20250815_ETF_Options_Exhibits'!U2056:U2060)),AVERAGE('20250815_ETF_Options_Exhibits'!U2056:U2060),"")</f>
        <v/>
      </c>
      <c r="V2060" s="3">
        <f>IF(ISNUMBER(AVERAGE('20250815_ETF_Options_Exhibits'!V2056:V2060)),AVERAGE('20250815_ETF_Options_Exhibits'!V2056:V2060),"")</f>
        <v/>
      </c>
      <c r="W2060" s="3">
        <f>IF(ISNUMBER(AVERAGE('20250815_ETF_Options_Exhibits'!W2056:W2060)),AVERAGE('20250815_ETF_Options_Exhibits'!W2056:W2060),"")</f>
        <v/>
      </c>
      <c r="X2060" s="3">
        <f>IF(ISNUMBER(AVERAGE('20250815_ETF_Options_Exhibits'!X2056:X2060)),AVERAGE('20250815_ETF_Options_Exhibits'!X2056:X2060),"")</f>
        <v/>
      </c>
      <c r="Y2060" s="3">
        <f>IF(ISNUMBER(AVERAGE('20250815_ETF_Options_Exhibits'!Y2056:Y2060)),AVERAGE('20250815_ETF_Options_Exhibits'!Y2056:Y2060),"")</f>
        <v/>
      </c>
      <c r="Z2060" s="3">
        <f>IF(ISNUMBER(AVERAGE('20250815_ETF_Options_Exhibits'!Z2056:Z2060)),AVERAGE('20250815_ETF_Options_Exhibits'!Z2056:Z2060),"")</f>
        <v/>
      </c>
      <c r="AA2060" s="3">
        <f>IF(ISNUMBER(AVERAGE('20250815_ETF_Options_Exhibits'!AA2056:AA2060)),AVERAGE('20250815_ETF_Options_Exhibits'!AA2056:AA2060),"")</f>
        <v/>
      </c>
    </row>
    <row r="2061">
      <c r="A2061" s="1" t="n">
        <v>44993</v>
      </c>
      <c r="B2061" s="3">
        <f>IF(ISNUMBER(AVERAGE('20250815_ETF_Options_Exhibits'!B2057:B2061)),AVERAGE('20250815_ETF_Options_Exhibits'!B2057:B2061),"")</f>
        <v/>
      </c>
      <c r="C2061" s="3">
        <f>IF(ISNUMBER(AVERAGE('20250815_ETF_Options_Exhibits'!C2057:C2061)),AVERAGE('20250815_ETF_Options_Exhibits'!C2057:C2061),"")</f>
        <v/>
      </c>
      <c r="D2061" s="3">
        <f>IF(ISNUMBER(AVERAGE('20250815_ETF_Options_Exhibits'!D2057:D2061)),AVERAGE('20250815_ETF_Options_Exhibits'!D2057:D2061),"")</f>
        <v/>
      </c>
      <c r="E2061" s="3">
        <f>IF(ISNUMBER(AVERAGE('20250815_ETF_Options_Exhibits'!E2057:E2061)),AVERAGE('20250815_ETF_Options_Exhibits'!E2057:E2061),"")</f>
        <v/>
      </c>
      <c r="F2061" s="3">
        <f>IF(ISNUMBER(AVERAGE('20250815_ETF_Options_Exhibits'!F2057:F2061)),AVERAGE('20250815_ETF_Options_Exhibits'!F2057:F2061),"")</f>
        <v/>
      </c>
      <c r="G2061" s="3">
        <f>IF(ISNUMBER(AVERAGE('20250815_ETF_Options_Exhibits'!G2057:G2061)),AVERAGE('20250815_ETF_Options_Exhibits'!G2057:G2061),"")</f>
        <v/>
      </c>
      <c r="H2061" s="3">
        <f>IF(ISNUMBER(AVERAGE('20250815_ETF_Options_Exhibits'!H2057:H2061)),AVERAGE('20250815_ETF_Options_Exhibits'!H2057:H2061),"")</f>
        <v/>
      </c>
      <c r="I2061" s="3">
        <f>IF(ISNUMBER(AVERAGE('20250815_ETF_Options_Exhibits'!I2057:I2061)),AVERAGE('20250815_ETF_Options_Exhibits'!I2057:I2061),"")</f>
        <v/>
      </c>
      <c r="J2061" s="3">
        <f>IF(ISNUMBER(AVERAGE('20250815_ETF_Options_Exhibits'!J2057:J2061)),AVERAGE('20250815_ETF_Options_Exhibits'!J2057:J2061),"")</f>
        <v/>
      </c>
      <c r="K2061" s="3">
        <f>IF(ISNUMBER(AVERAGE('20250815_ETF_Options_Exhibits'!K2057:K2061)),AVERAGE('20250815_ETF_Options_Exhibits'!K2057:K2061),"")</f>
        <v/>
      </c>
      <c r="L2061" s="3">
        <f>IF(ISNUMBER(AVERAGE('20250815_ETF_Options_Exhibits'!L2057:L2061)),AVERAGE('20250815_ETF_Options_Exhibits'!L2057:L2061),"")</f>
        <v/>
      </c>
      <c r="M2061" s="3">
        <f>IF(ISNUMBER(AVERAGE('20250815_ETF_Options_Exhibits'!M2057:M2061)),AVERAGE('20250815_ETF_Options_Exhibits'!M2057:M2061),"")</f>
        <v/>
      </c>
      <c r="N2061" s="3">
        <f>IF(ISNUMBER(AVERAGE('20250815_ETF_Options_Exhibits'!N2057:N2061)),AVERAGE('20250815_ETF_Options_Exhibits'!N2057:N2061),"")</f>
        <v/>
      </c>
      <c r="O2061" s="3">
        <f>IF(ISNUMBER(AVERAGE('20250815_ETF_Options_Exhibits'!O2057:O2061)),AVERAGE('20250815_ETF_Options_Exhibits'!O2057:O2061),"")</f>
        <v/>
      </c>
      <c r="P2061" s="3">
        <f>IF(ISNUMBER(AVERAGE('20250815_ETF_Options_Exhibits'!P2057:P2061)),AVERAGE('20250815_ETF_Options_Exhibits'!P2057:P2061),"")</f>
        <v/>
      </c>
      <c r="Q2061" s="3">
        <f>IF(ISNUMBER(AVERAGE('20250815_ETF_Options_Exhibits'!Q2057:Q2061)),AVERAGE('20250815_ETF_Options_Exhibits'!Q2057:Q2061),"")</f>
        <v/>
      </c>
      <c r="R2061" s="3">
        <f>IF(ISNUMBER(AVERAGE('20250815_ETF_Options_Exhibits'!R2057:R2061)),AVERAGE('20250815_ETF_Options_Exhibits'!R2057:R2061),"")</f>
        <v/>
      </c>
      <c r="S2061" s="3">
        <f>IF(ISNUMBER(AVERAGE('20250815_ETF_Options_Exhibits'!S2057:S2061)),AVERAGE('20250815_ETF_Options_Exhibits'!S2057:S2061),"")</f>
        <v/>
      </c>
      <c r="T2061" s="3">
        <f>IF(ISNUMBER(AVERAGE('20250815_ETF_Options_Exhibits'!T2057:T2061)),AVERAGE('20250815_ETF_Options_Exhibits'!T2057:T2061),"")</f>
        <v/>
      </c>
      <c r="U2061" s="3">
        <f>IF(ISNUMBER(AVERAGE('20250815_ETF_Options_Exhibits'!U2057:U2061)),AVERAGE('20250815_ETF_Options_Exhibits'!U2057:U2061),"")</f>
        <v/>
      </c>
      <c r="V2061" s="3">
        <f>IF(ISNUMBER(AVERAGE('20250815_ETF_Options_Exhibits'!V2057:V2061)),AVERAGE('20250815_ETF_Options_Exhibits'!V2057:V2061),"")</f>
        <v/>
      </c>
      <c r="W2061" s="3">
        <f>IF(ISNUMBER(AVERAGE('20250815_ETF_Options_Exhibits'!W2057:W2061)),AVERAGE('20250815_ETF_Options_Exhibits'!W2057:W2061),"")</f>
        <v/>
      </c>
      <c r="X2061" s="3">
        <f>IF(ISNUMBER(AVERAGE('20250815_ETF_Options_Exhibits'!X2057:X2061)),AVERAGE('20250815_ETF_Options_Exhibits'!X2057:X2061),"")</f>
        <v/>
      </c>
      <c r="Y2061" s="3">
        <f>IF(ISNUMBER(AVERAGE('20250815_ETF_Options_Exhibits'!Y2057:Y2061)),AVERAGE('20250815_ETF_Options_Exhibits'!Y2057:Y2061),"")</f>
        <v/>
      </c>
      <c r="Z2061" s="3">
        <f>IF(ISNUMBER(AVERAGE('20250815_ETF_Options_Exhibits'!Z2057:Z2061)),AVERAGE('20250815_ETF_Options_Exhibits'!Z2057:Z2061),"")</f>
        <v/>
      </c>
      <c r="AA2061" s="3">
        <f>IF(ISNUMBER(AVERAGE('20250815_ETF_Options_Exhibits'!AA2057:AA2061)),AVERAGE('20250815_ETF_Options_Exhibits'!AA2057:AA2061),"")</f>
        <v/>
      </c>
    </row>
    <row r="2062">
      <c r="A2062" s="1" t="n">
        <v>44994</v>
      </c>
      <c r="B2062" s="3">
        <f>IF(ISNUMBER(AVERAGE('20250815_ETF_Options_Exhibits'!B2058:B2062)),AVERAGE('20250815_ETF_Options_Exhibits'!B2058:B2062),"")</f>
        <v/>
      </c>
      <c r="C2062" s="3">
        <f>IF(ISNUMBER(AVERAGE('20250815_ETF_Options_Exhibits'!C2058:C2062)),AVERAGE('20250815_ETF_Options_Exhibits'!C2058:C2062),"")</f>
        <v/>
      </c>
      <c r="D2062" s="3">
        <f>IF(ISNUMBER(AVERAGE('20250815_ETF_Options_Exhibits'!D2058:D2062)),AVERAGE('20250815_ETF_Options_Exhibits'!D2058:D2062),"")</f>
        <v/>
      </c>
      <c r="E2062" s="3">
        <f>IF(ISNUMBER(AVERAGE('20250815_ETF_Options_Exhibits'!E2058:E2062)),AVERAGE('20250815_ETF_Options_Exhibits'!E2058:E2062),"")</f>
        <v/>
      </c>
      <c r="F2062" s="3">
        <f>IF(ISNUMBER(AVERAGE('20250815_ETF_Options_Exhibits'!F2058:F2062)),AVERAGE('20250815_ETF_Options_Exhibits'!F2058:F2062),"")</f>
        <v/>
      </c>
      <c r="G2062" s="3">
        <f>IF(ISNUMBER(AVERAGE('20250815_ETF_Options_Exhibits'!G2058:G2062)),AVERAGE('20250815_ETF_Options_Exhibits'!G2058:G2062),"")</f>
        <v/>
      </c>
      <c r="H2062" s="3">
        <f>IF(ISNUMBER(AVERAGE('20250815_ETF_Options_Exhibits'!H2058:H2062)),AVERAGE('20250815_ETF_Options_Exhibits'!H2058:H2062),"")</f>
        <v/>
      </c>
      <c r="I2062" s="3">
        <f>IF(ISNUMBER(AVERAGE('20250815_ETF_Options_Exhibits'!I2058:I2062)),AVERAGE('20250815_ETF_Options_Exhibits'!I2058:I2062),"")</f>
        <v/>
      </c>
      <c r="J2062" s="3">
        <f>IF(ISNUMBER(AVERAGE('20250815_ETF_Options_Exhibits'!J2058:J2062)),AVERAGE('20250815_ETF_Options_Exhibits'!J2058:J2062),"")</f>
        <v/>
      </c>
      <c r="K2062" s="3">
        <f>IF(ISNUMBER(AVERAGE('20250815_ETF_Options_Exhibits'!K2058:K2062)),AVERAGE('20250815_ETF_Options_Exhibits'!K2058:K2062),"")</f>
        <v/>
      </c>
      <c r="L2062" s="3">
        <f>IF(ISNUMBER(AVERAGE('20250815_ETF_Options_Exhibits'!L2058:L2062)),AVERAGE('20250815_ETF_Options_Exhibits'!L2058:L2062),"")</f>
        <v/>
      </c>
      <c r="M2062" s="3">
        <f>IF(ISNUMBER(AVERAGE('20250815_ETF_Options_Exhibits'!M2058:M2062)),AVERAGE('20250815_ETF_Options_Exhibits'!M2058:M2062),"")</f>
        <v/>
      </c>
      <c r="N2062" s="3">
        <f>IF(ISNUMBER(AVERAGE('20250815_ETF_Options_Exhibits'!N2058:N2062)),AVERAGE('20250815_ETF_Options_Exhibits'!N2058:N2062),"")</f>
        <v/>
      </c>
      <c r="O2062" s="3">
        <f>IF(ISNUMBER(AVERAGE('20250815_ETF_Options_Exhibits'!O2058:O2062)),AVERAGE('20250815_ETF_Options_Exhibits'!O2058:O2062),"")</f>
        <v/>
      </c>
      <c r="P2062" s="3">
        <f>IF(ISNUMBER(AVERAGE('20250815_ETF_Options_Exhibits'!P2058:P2062)),AVERAGE('20250815_ETF_Options_Exhibits'!P2058:P2062),"")</f>
        <v/>
      </c>
      <c r="Q2062" s="3">
        <f>IF(ISNUMBER(AVERAGE('20250815_ETF_Options_Exhibits'!Q2058:Q2062)),AVERAGE('20250815_ETF_Options_Exhibits'!Q2058:Q2062),"")</f>
        <v/>
      </c>
      <c r="R2062" s="3">
        <f>IF(ISNUMBER(AVERAGE('20250815_ETF_Options_Exhibits'!R2058:R2062)),AVERAGE('20250815_ETF_Options_Exhibits'!R2058:R2062),"")</f>
        <v/>
      </c>
      <c r="S2062" s="3">
        <f>IF(ISNUMBER(AVERAGE('20250815_ETF_Options_Exhibits'!S2058:S2062)),AVERAGE('20250815_ETF_Options_Exhibits'!S2058:S2062),"")</f>
        <v/>
      </c>
      <c r="T2062" s="3">
        <f>IF(ISNUMBER(AVERAGE('20250815_ETF_Options_Exhibits'!T2058:T2062)),AVERAGE('20250815_ETF_Options_Exhibits'!T2058:T2062),"")</f>
        <v/>
      </c>
      <c r="U2062" s="3">
        <f>IF(ISNUMBER(AVERAGE('20250815_ETF_Options_Exhibits'!U2058:U2062)),AVERAGE('20250815_ETF_Options_Exhibits'!U2058:U2062),"")</f>
        <v/>
      </c>
      <c r="V2062" s="3">
        <f>IF(ISNUMBER(AVERAGE('20250815_ETF_Options_Exhibits'!V2058:V2062)),AVERAGE('20250815_ETF_Options_Exhibits'!V2058:V2062),"")</f>
        <v/>
      </c>
      <c r="W2062" s="3">
        <f>IF(ISNUMBER(AVERAGE('20250815_ETF_Options_Exhibits'!W2058:W2062)),AVERAGE('20250815_ETF_Options_Exhibits'!W2058:W2062),"")</f>
        <v/>
      </c>
      <c r="X2062" s="3">
        <f>IF(ISNUMBER(AVERAGE('20250815_ETF_Options_Exhibits'!X2058:X2062)),AVERAGE('20250815_ETF_Options_Exhibits'!X2058:X2062),"")</f>
        <v/>
      </c>
      <c r="Y2062" s="3">
        <f>IF(ISNUMBER(AVERAGE('20250815_ETF_Options_Exhibits'!Y2058:Y2062)),AVERAGE('20250815_ETF_Options_Exhibits'!Y2058:Y2062),"")</f>
        <v/>
      </c>
      <c r="Z2062" s="3">
        <f>IF(ISNUMBER(AVERAGE('20250815_ETF_Options_Exhibits'!Z2058:Z2062)),AVERAGE('20250815_ETF_Options_Exhibits'!Z2058:Z2062),"")</f>
        <v/>
      </c>
      <c r="AA2062" s="3">
        <f>IF(ISNUMBER(AVERAGE('20250815_ETF_Options_Exhibits'!AA2058:AA2062)),AVERAGE('20250815_ETF_Options_Exhibits'!AA2058:AA2062),"")</f>
        <v/>
      </c>
    </row>
    <row r="2063">
      <c r="A2063" s="1" t="n">
        <v>44995</v>
      </c>
      <c r="B2063" s="3">
        <f>IF(ISNUMBER(AVERAGE('20250815_ETF_Options_Exhibits'!B2059:B2063)),AVERAGE('20250815_ETF_Options_Exhibits'!B2059:B2063),"")</f>
        <v/>
      </c>
      <c r="C2063" s="3">
        <f>IF(ISNUMBER(AVERAGE('20250815_ETF_Options_Exhibits'!C2059:C2063)),AVERAGE('20250815_ETF_Options_Exhibits'!C2059:C2063),"")</f>
        <v/>
      </c>
      <c r="D2063" s="3">
        <f>IF(ISNUMBER(AVERAGE('20250815_ETF_Options_Exhibits'!D2059:D2063)),AVERAGE('20250815_ETF_Options_Exhibits'!D2059:D2063),"")</f>
        <v/>
      </c>
      <c r="E2063" s="3">
        <f>IF(ISNUMBER(AVERAGE('20250815_ETF_Options_Exhibits'!E2059:E2063)),AVERAGE('20250815_ETF_Options_Exhibits'!E2059:E2063),"")</f>
        <v/>
      </c>
      <c r="F2063" s="3">
        <f>IF(ISNUMBER(AVERAGE('20250815_ETF_Options_Exhibits'!F2059:F2063)),AVERAGE('20250815_ETF_Options_Exhibits'!F2059:F2063),"")</f>
        <v/>
      </c>
      <c r="G2063" s="3">
        <f>IF(ISNUMBER(AVERAGE('20250815_ETF_Options_Exhibits'!G2059:G2063)),AVERAGE('20250815_ETF_Options_Exhibits'!G2059:G2063),"")</f>
        <v/>
      </c>
      <c r="H2063" s="3">
        <f>IF(ISNUMBER(AVERAGE('20250815_ETF_Options_Exhibits'!H2059:H2063)),AVERAGE('20250815_ETF_Options_Exhibits'!H2059:H2063),"")</f>
        <v/>
      </c>
      <c r="I2063" s="3">
        <f>IF(ISNUMBER(AVERAGE('20250815_ETF_Options_Exhibits'!I2059:I2063)),AVERAGE('20250815_ETF_Options_Exhibits'!I2059:I2063),"")</f>
        <v/>
      </c>
      <c r="J2063" s="3">
        <f>IF(ISNUMBER(AVERAGE('20250815_ETF_Options_Exhibits'!J2059:J2063)),AVERAGE('20250815_ETF_Options_Exhibits'!J2059:J2063),"")</f>
        <v/>
      </c>
      <c r="K2063" s="3">
        <f>IF(ISNUMBER(AVERAGE('20250815_ETF_Options_Exhibits'!K2059:K2063)),AVERAGE('20250815_ETF_Options_Exhibits'!K2059:K2063),"")</f>
        <v/>
      </c>
      <c r="L2063" s="3">
        <f>IF(ISNUMBER(AVERAGE('20250815_ETF_Options_Exhibits'!L2059:L2063)),AVERAGE('20250815_ETF_Options_Exhibits'!L2059:L2063),"")</f>
        <v/>
      </c>
      <c r="M2063" s="3">
        <f>IF(ISNUMBER(AVERAGE('20250815_ETF_Options_Exhibits'!M2059:M2063)),AVERAGE('20250815_ETF_Options_Exhibits'!M2059:M2063),"")</f>
        <v/>
      </c>
      <c r="N2063" s="3">
        <f>IF(ISNUMBER(AVERAGE('20250815_ETF_Options_Exhibits'!N2059:N2063)),AVERAGE('20250815_ETF_Options_Exhibits'!N2059:N2063),"")</f>
        <v/>
      </c>
      <c r="O2063" s="3">
        <f>IF(ISNUMBER(AVERAGE('20250815_ETF_Options_Exhibits'!O2059:O2063)),AVERAGE('20250815_ETF_Options_Exhibits'!O2059:O2063),"")</f>
        <v/>
      </c>
      <c r="P2063" s="3">
        <f>IF(ISNUMBER(AVERAGE('20250815_ETF_Options_Exhibits'!P2059:P2063)),AVERAGE('20250815_ETF_Options_Exhibits'!P2059:P2063),"")</f>
        <v/>
      </c>
      <c r="Q2063" s="3">
        <f>IF(ISNUMBER(AVERAGE('20250815_ETF_Options_Exhibits'!Q2059:Q2063)),AVERAGE('20250815_ETF_Options_Exhibits'!Q2059:Q2063),"")</f>
        <v/>
      </c>
      <c r="R2063" s="3">
        <f>IF(ISNUMBER(AVERAGE('20250815_ETF_Options_Exhibits'!R2059:R2063)),AVERAGE('20250815_ETF_Options_Exhibits'!R2059:R2063),"")</f>
        <v/>
      </c>
      <c r="S2063" s="3">
        <f>IF(ISNUMBER(AVERAGE('20250815_ETF_Options_Exhibits'!S2059:S2063)),AVERAGE('20250815_ETF_Options_Exhibits'!S2059:S2063),"")</f>
        <v/>
      </c>
      <c r="T2063" s="3">
        <f>IF(ISNUMBER(AVERAGE('20250815_ETF_Options_Exhibits'!T2059:T2063)),AVERAGE('20250815_ETF_Options_Exhibits'!T2059:T2063),"")</f>
        <v/>
      </c>
      <c r="U2063" s="3">
        <f>IF(ISNUMBER(AVERAGE('20250815_ETF_Options_Exhibits'!U2059:U2063)),AVERAGE('20250815_ETF_Options_Exhibits'!U2059:U2063),"")</f>
        <v/>
      </c>
      <c r="V2063" s="3">
        <f>IF(ISNUMBER(AVERAGE('20250815_ETF_Options_Exhibits'!V2059:V2063)),AVERAGE('20250815_ETF_Options_Exhibits'!V2059:V2063),"")</f>
        <v/>
      </c>
      <c r="W2063" s="3">
        <f>IF(ISNUMBER(AVERAGE('20250815_ETF_Options_Exhibits'!W2059:W2063)),AVERAGE('20250815_ETF_Options_Exhibits'!W2059:W2063),"")</f>
        <v/>
      </c>
      <c r="X2063" s="3">
        <f>IF(ISNUMBER(AVERAGE('20250815_ETF_Options_Exhibits'!X2059:X2063)),AVERAGE('20250815_ETF_Options_Exhibits'!X2059:X2063),"")</f>
        <v/>
      </c>
      <c r="Y2063" s="3">
        <f>IF(ISNUMBER(AVERAGE('20250815_ETF_Options_Exhibits'!Y2059:Y2063)),AVERAGE('20250815_ETF_Options_Exhibits'!Y2059:Y2063),"")</f>
        <v/>
      </c>
      <c r="Z2063" s="3">
        <f>IF(ISNUMBER(AVERAGE('20250815_ETF_Options_Exhibits'!Z2059:Z2063)),AVERAGE('20250815_ETF_Options_Exhibits'!Z2059:Z2063),"")</f>
        <v/>
      </c>
      <c r="AA2063" s="3">
        <f>IF(ISNUMBER(AVERAGE('20250815_ETF_Options_Exhibits'!AA2059:AA2063)),AVERAGE('20250815_ETF_Options_Exhibits'!AA2059:AA2063),"")</f>
        <v/>
      </c>
    </row>
    <row r="2064">
      <c r="A2064" s="1" t="n">
        <v>44998</v>
      </c>
      <c r="B2064" s="3">
        <f>IF(ISNUMBER(AVERAGE('20250815_ETF_Options_Exhibits'!B2060:B2064)),AVERAGE('20250815_ETF_Options_Exhibits'!B2060:B2064),"")</f>
        <v/>
      </c>
      <c r="C2064" s="3">
        <f>IF(ISNUMBER(AVERAGE('20250815_ETF_Options_Exhibits'!C2060:C2064)),AVERAGE('20250815_ETF_Options_Exhibits'!C2060:C2064),"")</f>
        <v/>
      </c>
      <c r="D2064" s="3">
        <f>IF(ISNUMBER(AVERAGE('20250815_ETF_Options_Exhibits'!D2060:D2064)),AVERAGE('20250815_ETF_Options_Exhibits'!D2060:D2064),"")</f>
        <v/>
      </c>
      <c r="E2064" s="3">
        <f>IF(ISNUMBER(AVERAGE('20250815_ETF_Options_Exhibits'!E2060:E2064)),AVERAGE('20250815_ETF_Options_Exhibits'!E2060:E2064),"")</f>
        <v/>
      </c>
      <c r="F2064" s="3">
        <f>IF(ISNUMBER(AVERAGE('20250815_ETF_Options_Exhibits'!F2060:F2064)),AVERAGE('20250815_ETF_Options_Exhibits'!F2060:F2064),"")</f>
        <v/>
      </c>
      <c r="G2064" s="3">
        <f>IF(ISNUMBER(AVERAGE('20250815_ETF_Options_Exhibits'!G2060:G2064)),AVERAGE('20250815_ETF_Options_Exhibits'!G2060:G2064),"")</f>
        <v/>
      </c>
      <c r="H2064" s="3">
        <f>IF(ISNUMBER(AVERAGE('20250815_ETF_Options_Exhibits'!H2060:H2064)),AVERAGE('20250815_ETF_Options_Exhibits'!H2060:H2064),"")</f>
        <v/>
      </c>
      <c r="I2064" s="3">
        <f>IF(ISNUMBER(AVERAGE('20250815_ETF_Options_Exhibits'!I2060:I2064)),AVERAGE('20250815_ETF_Options_Exhibits'!I2060:I2064),"")</f>
        <v/>
      </c>
      <c r="J2064" s="3">
        <f>IF(ISNUMBER(AVERAGE('20250815_ETF_Options_Exhibits'!J2060:J2064)),AVERAGE('20250815_ETF_Options_Exhibits'!J2060:J2064),"")</f>
        <v/>
      </c>
      <c r="K2064" s="3">
        <f>IF(ISNUMBER(AVERAGE('20250815_ETF_Options_Exhibits'!K2060:K2064)),AVERAGE('20250815_ETF_Options_Exhibits'!K2060:K2064),"")</f>
        <v/>
      </c>
      <c r="L2064" s="3">
        <f>IF(ISNUMBER(AVERAGE('20250815_ETF_Options_Exhibits'!L2060:L2064)),AVERAGE('20250815_ETF_Options_Exhibits'!L2060:L2064),"")</f>
        <v/>
      </c>
      <c r="M2064" s="3">
        <f>IF(ISNUMBER(AVERAGE('20250815_ETF_Options_Exhibits'!M2060:M2064)),AVERAGE('20250815_ETF_Options_Exhibits'!M2060:M2064),"")</f>
        <v/>
      </c>
      <c r="N2064" s="3">
        <f>IF(ISNUMBER(AVERAGE('20250815_ETF_Options_Exhibits'!N2060:N2064)),AVERAGE('20250815_ETF_Options_Exhibits'!N2060:N2064),"")</f>
        <v/>
      </c>
      <c r="O2064" s="3">
        <f>IF(ISNUMBER(AVERAGE('20250815_ETF_Options_Exhibits'!O2060:O2064)),AVERAGE('20250815_ETF_Options_Exhibits'!O2060:O2064),"")</f>
        <v/>
      </c>
      <c r="P2064" s="3">
        <f>IF(ISNUMBER(AVERAGE('20250815_ETF_Options_Exhibits'!P2060:P2064)),AVERAGE('20250815_ETF_Options_Exhibits'!P2060:P2064),"")</f>
        <v/>
      </c>
      <c r="Q2064" s="3">
        <f>IF(ISNUMBER(AVERAGE('20250815_ETF_Options_Exhibits'!Q2060:Q2064)),AVERAGE('20250815_ETF_Options_Exhibits'!Q2060:Q2064),"")</f>
        <v/>
      </c>
      <c r="R2064" s="3">
        <f>IF(ISNUMBER(AVERAGE('20250815_ETF_Options_Exhibits'!R2060:R2064)),AVERAGE('20250815_ETF_Options_Exhibits'!R2060:R2064),"")</f>
        <v/>
      </c>
      <c r="S2064" s="3">
        <f>IF(ISNUMBER(AVERAGE('20250815_ETF_Options_Exhibits'!S2060:S2064)),AVERAGE('20250815_ETF_Options_Exhibits'!S2060:S2064),"")</f>
        <v/>
      </c>
      <c r="T2064" s="3">
        <f>IF(ISNUMBER(AVERAGE('20250815_ETF_Options_Exhibits'!T2060:T2064)),AVERAGE('20250815_ETF_Options_Exhibits'!T2060:T2064),"")</f>
        <v/>
      </c>
      <c r="U2064" s="3">
        <f>IF(ISNUMBER(AVERAGE('20250815_ETF_Options_Exhibits'!U2060:U2064)),AVERAGE('20250815_ETF_Options_Exhibits'!U2060:U2064),"")</f>
        <v/>
      </c>
      <c r="V2064" s="3">
        <f>IF(ISNUMBER(AVERAGE('20250815_ETF_Options_Exhibits'!V2060:V2064)),AVERAGE('20250815_ETF_Options_Exhibits'!V2060:V2064),"")</f>
        <v/>
      </c>
      <c r="W2064" s="3">
        <f>IF(ISNUMBER(AVERAGE('20250815_ETF_Options_Exhibits'!W2060:W2064)),AVERAGE('20250815_ETF_Options_Exhibits'!W2060:W2064),"")</f>
        <v/>
      </c>
      <c r="X2064" s="3">
        <f>IF(ISNUMBER(AVERAGE('20250815_ETF_Options_Exhibits'!X2060:X2064)),AVERAGE('20250815_ETF_Options_Exhibits'!X2060:X2064),"")</f>
        <v/>
      </c>
      <c r="Y2064" s="3">
        <f>IF(ISNUMBER(AVERAGE('20250815_ETF_Options_Exhibits'!Y2060:Y2064)),AVERAGE('20250815_ETF_Options_Exhibits'!Y2060:Y2064),"")</f>
        <v/>
      </c>
      <c r="Z2064" s="3">
        <f>IF(ISNUMBER(AVERAGE('20250815_ETF_Options_Exhibits'!Z2060:Z2064)),AVERAGE('20250815_ETF_Options_Exhibits'!Z2060:Z2064),"")</f>
        <v/>
      </c>
      <c r="AA2064" s="3">
        <f>IF(ISNUMBER(AVERAGE('20250815_ETF_Options_Exhibits'!AA2060:AA2064)),AVERAGE('20250815_ETF_Options_Exhibits'!AA2060:AA2064),"")</f>
        <v/>
      </c>
    </row>
    <row r="2065">
      <c r="A2065" s="1" t="n">
        <v>44999</v>
      </c>
      <c r="B2065" s="3">
        <f>IF(ISNUMBER(AVERAGE('20250815_ETF_Options_Exhibits'!B2061:B2065)),AVERAGE('20250815_ETF_Options_Exhibits'!B2061:B2065),"")</f>
        <v/>
      </c>
      <c r="C2065" s="3">
        <f>IF(ISNUMBER(AVERAGE('20250815_ETF_Options_Exhibits'!C2061:C2065)),AVERAGE('20250815_ETF_Options_Exhibits'!C2061:C2065),"")</f>
        <v/>
      </c>
      <c r="D2065" s="3">
        <f>IF(ISNUMBER(AVERAGE('20250815_ETF_Options_Exhibits'!D2061:D2065)),AVERAGE('20250815_ETF_Options_Exhibits'!D2061:D2065),"")</f>
        <v/>
      </c>
      <c r="E2065" s="3">
        <f>IF(ISNUMBER(AVERAGE('20250815_ETF_Options_Exhibits'!E2061:E2065)),AVERAGE('20250815_ETF_Options_Exhibits'!E2061:E2065),"")</f>
        <v/>
      </c>
      <c r="F2065" s="3">
        <f>IF(ISNUMBER(AVERAGE('20250815_ETF_Options_Exhibits'!F2061:F2065)),AVERAGE('20250815_ETF_Options_Exhibits'!F2061:F2065),"")</f>
        <v/>
      </c>
      <c r="G2065" s="3">
        <f>IF(ISNUMBER(AVERAGE('20250815_ETF_Options_Exhibits'!G2061:G2065)),AVERAGE('20250815_ETF_Options_Exhibits'!G2061:G2065),"")</f>
        <v/>
      </c>
      <c r="H2065" s="3">
        <f>IF(ISNUMBER(AVERAGE('20250815_ETF_Options_Exhibits'!H2061:H2065)),AVERAGE('20250815_ETF_Options_Exhibits'!H2061:H2065),"")</f>
        <v/>
      </c>
      <c r="I2065" s="3">
        <f>IF(ISNUMBER(AVERAGE('20250815_ETF_Options_Exhibits'!I2061:I2065)),AVERAGE('20250815_ETF_Options_Exhibits'!I2061:I2065),"")</f>
        <v/>
      </c>
      <c r="J2065" s="3">
        <f>IF(ISNUMBER(AVERAGE('20250815_ETF_Options_Exhibits'!J2061:J2065)),AVERAGE('20250815_ETF_Options_Exhibits'!J2061:J2065),"")</f>
        <v/>
      </c>
      <c r="K2065" s="3">
        <f>IF(ISNUMBER(AVERAGE('20250815_ETF_Options_Exhibits'!K2061:K2065)),AVERAGE('20250815_ETF_Options_Exhibits'!K2061:K2065),"")</f>
        <v/>
      </c>
      <c r="L2065" s="3">
        <f>IF(ISNUMBER(AVERAGE('20250815_ETF_Options_Exhibits'!L2061:L2065)),AVERAGE('20250815_ETF_Options_Exhibits'!L2061:L2065),"")</f>
        <v/>
      </c>
      <c r="M2065" s="3">
        <f>IF(ISNUMBER(AVERAGE('20250815_ETF_Options_Exhibits'!M2061:M2065)),AVERAGE('20250815_ETF_Options_Exhibits'!M2061:M2065),"")</f>
        <v/>
      </c>
      <c r="N2065" s="3">
        <f>IF(ISNUMBER(AVERAGE('20250815_ETF_Options_Exhibits'!N2061:N2065)),AVERAGE('20250815_ETF_Options_Exhibits'!N2061:N2065),"")</f>
        <v/>
      </c>
      <c r="O2065" s="3">
        <f>IF(ISNUMBER(AVERAGE('20250815_ETF_Options_Exhibits'!O2061:O2065)),AVERAGE('20250815_ETF_Options_Exhibits'!O2061:O2065),"")</f>
        <v/>
      </c>
      <c r="P2065" s="3">
        <f>IF(ISNUMBER(AVERAGE('20250815_ETF_Options_Exhibits'!P2061:P2065)),AVERAGE('20250815_ETF_Options_Exhibits'!P2061:P2065),"")</f>
        <v/>
      </c>
      <c r="Q2065" s="3">
        <f>IF(ISNUMBER(AVERAGE('20250815_ETF_Options_Exhibits'!Q2061:Q2065)),AVERAGE('20250815_ETF_Options_Exhibits'!Q2061:Q2065),"")</f>
        <v/>
      </c>
      <c r="R2065" s="3">
        <f>IF(ISNUMBER(AVERAGE('20250815_ETF_Options_Exhibits'!R2061:R2065)),AVERAGE('20250815_ETF_Options_Exhibits'!R2061:R2065),"")</f>
        <v/>
      </c>
      <c r="S2065" s="3">
        <f>IF(ISNUMBER(AVERAGE('20250815_ETF_Options_Exhibits'!S2061:S2065)),AVERAGE('20250815_ETF_Options_Exhibits'!S2061:S2065),"")</f>
        <v/>
      </c>
      <c r="T2065" s="3">
        <f>IF(ISNUMBER(AVERAGE('20250815_ETF_Options_Exhibits'!T2061:T2065)),AVERAGE('20250815_ETF_Options_Exhibits'!T2061:T2065),"")</f>
        <v/>
      </c>
      <c r="U2065" s="3">
        <f>IF(ISNUMBER(AVERAGE('20250815_ETF_Options_Exhibits'!U2061:U2065)),AVERAGE('20250815_ETF_Options_Exhibits'!U2061:U2065),"")</f>
        <v/>
      </c>
      <c r="V2065" s="3">
        <f>IF(ISNUMBER(AVERAGE('20250815_ETF_Options_Exhibits'!V2061:V2065)),AVERAGE('20250815_ETF_Options_Exhibits'!V2061:V2065),"")</f>
        <v/>
      </c>
      <c r="W2065" s="3">
        <f>IF(ISNUMBER(AVERAGE('20250815_ETF_Options_Exhibits'!W2061:W2065)),AVERAGE('20250815_ETF_Options_Exhibits'!W2061:W2065),"")</f>
        <v/>
      </c>
      <c r="X2065" s="3">
        <f>IF(ISNUMBER(AVERAGE('20250815_ETF_Options_Exhibits'!X2061:X2065)),AVERAGE('20250815_ETF_Options_Exhibits'!X2061:X2065),"")</f>
        <v/>
      </c>
      <c r="Y2065" s="3">
        <f>IF(ISNUMBER(AVERAGE('20250815_ETF_Options_Exhibits'!Y2061:Y2065)),AVERAGE('20250815_ETF_Options_Exhibits'!Y2061:Y2065),"")</f>
        <v/>
      </c>
      <c r="Z2065" s="3">
        <f>IF(ISNUMBER(AVERAGE('20250815_ETF_Options_Exhibits'!Z2061:Z2065)),AVERAGE('20250815_ETF_Options_Exhibits'!Z2061:Z2065),"")</f>
        <v/>
      </c>
      <c r="AA2065" s="3">
        <f>IF(ISNUMBER(AVERAGE('20250815_ETF_Options_Exhibits'!AA2061:AA2065)),AVERAGE('20250815_ETF_Options_Exhibits'!AA2061:AA2065),"")</f>
        <v/>
      </c>
    </row>
    <row r="2066">
      <c r="A2066" s="1" t="n">
        <v>45000</v>
      </c>
      <c r="B2066" s="3">
        <f>IF(ISNUMBER(AVERAGE('20250815_ETF_Options_Exhibits'!B2062:B2066)),AVERAGE('20250815_ETF_Options_Exhibits'!B2062:B2066),"")</f>
        <v/>
      </c>
      <c r="C2066" s="3">
        <f>IF(ISNUMBER(AVERAGE('20250815_ETF_Options_Exhibits'!C2062:C2066)),AVERAGE('20250815_ETF_Options_Exhibits'!C2062:C2066),"")</f>
        <v/>
      </c>
      <c r="D2066" s="3">
        <f>IF(ISNUMBER(AVERAGE('20250815_ETF_Options_Exhibits'!D2062:D2066)),AVERAGE('20250815_ETF_Options_Exhibits'!D2062:D2066),"")</f>
        <v/>
      </c>
      <c r="E2066" s="3">
        <f>IF(ISNUMBER(AVERAGE('20250815_ETF_Options_Exhibits'!E2062:E2066)),AVERAGE('20250815_ETF_Options_Exhibits'!E2062:E2066),"")</f>
        <v/>
      </c>
      <c r="F2066" s="3">
        <f>IF(ISNUMBER(AVERAGE('20250815_ETF_Options_Exhibits'!F2062:F2066)),AVERAGE('20250815_ETF_Options_Exhibits'!F2062:F2066),"")</f>
        <v/>
      </c>
      <c r="G2066" s="3">
        <f>IF(ISNUMBER(AVERAGE('20250815_ETF_Options_Exhibits'!G2062:G2066)),AVERAGE('20250815_ETF_Options_Exhibits'!G2062:G2066),"")</f>
        <v/>
      </c>
      <c r="H2066" s="3">
        <f>IF(ISNUMBER(AVERAGE('20250815_ETF_Options_Exhibits'!H2062:H2066)),AVERAGE('20250815_ETF_Options_Exhibits'!H2062:H2066),"")</f>
        <v/>
      </c>
      <c r="I2066" s="3">
        <f>IF(ISNUMBER(AVERAGE('20250815_ETF_Options_Exhibits'!I2062:I2066)),AVERAGE('20250815_ETF_Options_Exhibits'!I2062:I2066),"")</f>
        <v/>
      </c>
      <c r="J2066" s="3">
        <f>IF(ISNUMBER(AVERAGE('20250815_ETF_Options_Exhibits'!J2062:J2066)),AVERAGE('20250815_ETF_Options_Exhibits'!J2062:J2066),"")</f>
        <v/>
      </c>
      <c r="K2066" s="3">
        <f>IF(ISNUMBER(AVERAGE('20250815_ETF_Options_Exhibits'!K2062:K2066)),AVERAGE('20250815_ETF_Options_Exhibits'!K2062:K2066),"")</f>
        <v/>
      </c>
      <c r="L2066" s="3">
        <f>IF(ISNUMBER(AVERAGE('20250815_ETF_Options_Exhibits'!L2062:L2066)),AVERAGE('20250815_ETF_Options_Exhibits'!L2062:L2066),"")</f>
        <v/>
      </c>
      <c r="M2066" s="3">
        <f>IF(ISNUMBER(AVERAGE('20250815_ETF_Options_Exhibits'!M2062:M2066)),AVERAGE('20250815_ETF_Options_Exhibits'!M2062:M2066),"")</f>
        <v/>
      </c>
      <c r="N2066" s="3">
        <f>IF(ISNUMBER(AVERAGE('20250815_ETF_Options_Exhibits'!N2062:N2066)),AVERAGE('20250815_ETF_Options_Exhibits'!N2062:N2066),"")</f>
        <v/>
      </c>
      <c r="O2066" s="3">
        <f>IF(ISNUMBER(AVERAGE('20250815_ETF_Options_Exhibits'!O2062:O2066)),AVERAGE('20250815_ETF_Options_Exhibits'!O2062:O2066),"")</f>
        <v/>
      </c>
      <c r="P2066" s="3">
        <f>IF(ISNUMBER(AVERAGE('20250815_ETF_Options_Exhibits'!P2062:P2066)),AVERAGE('20250815_ETF_Options_Exhibits'!P2062:P2066),"")</f>
        <v/>
      </c>
      <c r="Q2066" s="3">
        <f>IF(ISNUMBER(AVERAGE('20250815_ETF_Options_Exhibits'!Q2062:Q2066)),AVERAGE('20250815_ETF_Options_Exhibits'!Q2062:Q2066),"")</f>
        <v/>
      </c>
      <c r="R2066" s="3">
        <f>IF(ISNUMBER(AVERAGE('20250815_ETF_Options_Exhibits'!R2062:R2066)),AVERAGE('20250815_ETF_Options_Exhibits'!R2062:R2066),"")</f>
        <v/>
      </c>
      <c r="S2066" s="3">
        <f>IF(ISNUMBER(AVERAGE('20250815_ETF_Options_Exhibits'!S2062:S2066)),AVERAGE('20250815_ETF_Options_Exhibits'!S2062:S2066),"")</f>
        <v/>
      </c>
      <c r="T2066" s="3">
        <f>IF(ISNUMBER(AVERAGE('20250815_ETF_Options_Exhibits'!T2062:T2066)),AVERAGE('20250815_ETF_Options_Exhibits'!T2062:T2066),"")</f>
        <v/>
      </c>
      <c r="U2066" s="3">
        <f>IF(ISNUMBER(AVERAGE('20250815_ETF_Options_Exhibits'!U2062:U2066)),AVERAGE('20250815_ETF_Options_Exhibits'!U2062:U2066),"")</f>
        <v/>
      </c>
      <c r="V2066" s="3">
        <f>IF(ISNUMBER(AVERAGE('20250815_ETF_Options_Exhibits'!V2062:V2066)),AVERAGE('20250815_ETF_Options_Exhibits'!V2062:V2066),"")</f>
        <v/>
      </c>
      <c r="W2066" s="3">
        <f>IF(ISNUMBER(AVERAGE('20250815_ETF_Options_Exhibits'!W2062:W2066)),AVERAGE('20250815_ETF_Options_Exhibits'!W2062:W2066),"")</f>
        <v/>
      </c>
      <c r="X2066" s="3">
        <f>IF(ISNUMBER(AVERAGE('20250815_ETF_Options_Exhibits'!X2062:X2066)),AVERAGE('20250815_ETF_Options_Exhibits'!X2062:X2066),"")</f>
        <v/>
      </c>
      <c r="Y2066" s="3">
        <f>IF(ISNUMBER(AVERAGE('20250815_ETF_Options_Exhibits'!Y2062:Y2066)),AVERAGE('20250815_ETF_Options_Exhibits'!Y2062:Y2066),"")</f>
        <v/>
      </c>
      <c r="Z2066" s="3">
        <f>IF(ISNUMBER(AVERAGE('20250815_ETF_Options_Exhibits'!Z2062:Z2066)),AVERAGE('20250815_ETF_Options_Exhibits'!Z2062:Z2066),"")</f>
        <v/>
      </c>
      <c r="AA2066" s="3">
        <f>IF(ISNUMBER(AVERAGE('20250815_ETF_Options_Exhibits'!AA2062:AA2066)),AVERAGE('20250815_ETF_Options_Exhibits'!AA2062:AA2066),"")</f>
        <v/>
      </c>
    </row>
    <row r="2067">
      <c r="A2067" s="1" t="n">
        <v>45001</v>
      </c>
      <c r="B2067" s="3">
        <f>IF(ISNUMBER(AVERAGE('20250815_ETF_Options_Exhibits'!B2063:B2067)),AVERAGE('20250815_ETF_Options_Exhibits'!B2063:B2067),"")</f>
        <v/>
      </c>
      <c r="C2067" s="3">
        <f>IF(ISNUMBER(AVERAGE('20250815_ETF_Options_Exhibits'!C2063:C2067)),AVERAGE('20250815_ETF_Options_Exhibits'!C2063:C2067),"")</f>
        <v/>
      </c>
      <c r="D2067" s="3">
        <f>IF(ISNUMBER(AVERAGE('20250815_ETF_Options_Exhibits'!D2063:D2067)),AVERAGE('20250815_ETF_Options_Exhibits'!D2063:D2067),"")</f>
        <v/>
      </c>
      <c r="E2067" s="3">
        <f>IF(ISNUMBER(AVERAGE('20250815_ETF_Options_Exhibits'!E2063:E2067)),AVERAGE('20250815_ETF_Options_Exhibits'!E2063:E2067),"")</f>
        <v/>
      </c>
      <c r="F2067" s="3">
        <f>IF(ISNUMBER(AVERAGE('20250815_ETF_Options_Exhibits'!F2063:F2067)),AVERAGE('20250815_ETF_Options_Exhibits'!F2063:F2067),"")</f>
        <v/>
      </c>
      <c r="G2067" s="3">
        <f>IF(ISNUMBER(AVERAGE('20250815_ETF_Options_Exhibits'!G2063:G2067)),AVERAGE('20250815_ETF_Options_Exhibits'!G2063:G2067),"")</f>
        <v/>
      </c>
      <c r="H2067" s="3">
        <f>IF(ISNUMBER(AVERAGE('20250815_ETF_Options_Exhibits'!H2063:H2067)),AVERAGE('20250815_ETF_Options_Exhibits'!H2063:H2067),"")</f>
        <v/>
      </c>
      <c r="I2067" s="3">
        <f>IF(ISNUMBER(AVERAGE('20250815_ETF_Options_Exhibits'!I2063:I2067)),AVERAGE('20250815_ETF_Options_Exhibits'!I2063:I2067),"")</f>
        <v/>
      </c>
      <c r="J2067" s="3">
        <f>IF(ISNUMBER(AVERAGE('20250815_ETF_Options_Exhibits'!J2063:J2067)),AVERAGE('20250815_ETF_Options_Exhibits'!J2063:J2067),"")</f>
        <v/>
      </c>
      <c r="K2067" s="3">
        <f>IF(ISNUMBER(AVERAGE('20250815_ETF_Options_Exhibits'!K2063:K2067)),AVERAGE('20250815_ETF_Options_Exhibits'!K2063:K2067),"")</f>
        <v/>
      </c>
      <c r="L2067" s="3">
        <f>IF(ISNUMBER(AVERAGE('20250815_ETF_Options_Exhibits'!L2063:L2067)),AVERAGE('20250815_ETF_Options_Exhibits'!L2063:L2067),"")</f>
        <v/>
      </c>
      <c r="M2067" s="3">
        <f>IF(ISNUMBER(AVERAGE('20250815_ETF_Options_Exhibits'!M2063:M2067)),AVERAGE('20250815_ETF_Options_Exhibits'!M2063:M2067),"")</f>
        <v/>
      </c>
      <c r="N2067" s="3">
        <f>IF(ISNUMBER(AVERAGE('20250815_ETF_Options_Exhibits'!N2063:N2067)),AVERAGE('20250815_ETF_Options_Exhibits'!N2063:N2067),"")</f>
        <v/>
      </c>
      <c r="O2067" s="3">
        <f>IF(ISNUMBER(AVERAGE('20250815_ETF_Options_Exhibits'!O2063:O2067)),AVERAGE('20250815_ETF_Options_Exhibits'!O2063:O2067),"")</f>
        <v/>
      </c>
      <c r="P2067" s="3">
        <f>IF(ISNUMBER(AVERAGE('20250815_ETF_Options_Exhibits'!P2063:P2067)),AVERAGE('20250815_ETF_Options_Exhibits'!P2063:P2067),"")</f>
        <v/>
      </c>
      <c r="Q2067" s="3">
        <f>IF(ISNUMBER(AVERAGE('20250815_ETF_Options_Exhibits'!Q2063:Q2067)),AVERAGE('20250815_ETF_Options_Exhibits'!Q2063:Q2067),"")</f>
        <v/>
      </c>
      <c r="R2067" s="3">
        <f>IF(ISNUMBER(AVERAGE('20250815_ETF_Options_Exhibits'!R2063:R2067)),AVERAGE('20250815_ETF_Options_Exhibits'!R2063:R2067),"")</f>
        <v/>
      </c>
      <c r="S2067" s="3">
        <f>IF(ISNUMBER(AVERAGE('20250815_ETF_Options_Exhibits'!S2063:S2067)),AVERAGE('20250815_ETF_Options_Exhibits'!S2063:S2067),"")</f>
        <v/>
      </c>
      <c r="T2067" s="3">
        <f>IF(ISNUMBER(AVERAGE('20250815_ETF_Options_Exhibits'!T2063:T2067)),AVERAGE('20250815_ETF_Options_Exhibits'!T2063:T2067),"")</f>
        <v/>
      </c>
      <c r="U2067" s="3">
        <f>IF(ISNUMBER(AVERAGE('20250815_ETF_Options_Exhibits'!U2063:U2067)),AVERAGE('20250815_ETF_Options_Exhibits'!U2063:U2067),"")</f>
        <v/>
      </c>
      <c r="V2067" s="3">
        <f>IF(ISNUMBER(AVERAGE('20250815_ETF_Options_Exhibits'!V2063:V2067)),AVERAGE('20250815_ETF_Options_Exhibits'!V2063:V2067),"")</f>
        <v/>
      </c>
      <c r="W2067" s="3">
        <f>IF(ISNUMBER(AVERAGE('20250815_ETF_Options_Exhibits'!W2063:W2067)),AVERAGE('20250815_ETF_Options_Exhibits'!W2063:W2067),"")</f>
        <v/>
      </c>
      <c r="X2067" s="3">
        <f>IF(ISNUMBER(AVERAGE('20250815_ETF_Options_Exhibits'!X2063:X2067)),AVERAGE('20250815_ETF_Options_Exhibits'!X2063:X2067),"")</f>
        <v/>
      </c>
      <c r="Y2067" s="3">
        <f>IF(ISNUMBER(AVERAGE('20250815_ETF_Options_Exhibits'!Y2063:Y2067)),AVERAGE('20250815_ETF_Options_Exhibits'!Y2063:Y2067),"")</f>
        <v/>
      </c>
      <c r="Z2067" s="3">
        <f>IF(ISNUMBER(AVERAGE('20250815_ETF_Options_Exhibits'!Z2063:Z2067)),AVERAGE('20250815_ETF_Options_Exhibits'!Z2063:Z2067),"")</f>
        <v/>
      </c>
      <c r="AA2067" s="3">
        <f>IF(ISNUMBER(AVERAGE('20250815_ETF_Options_Exhibits'!AA2063:AA2067)),AVERAGE('20250815_ETF_Options_Exhibits'!AA2063:AA2067),"")</f>
        <v/>
      </c>
    </row>
    <row r="2068">
      <c r="A2068" s="1" t="n">
        <v>45002</v>
      </c>
      <c r="B2068" s="3">
        <f>IF(ISNUMBER(AVERAGE('20250815_ETF_Options_Exhibits'!B2064:B2068)),AVERAGE('20250815_ETF_Options_Exhibits'!B2064:B2068),"")</f>
        <v/>
      </c>
      <c r="C2068" s="3">
        <f>IF(ISNUMBER(AVERAGE('20250815_ETF_Options_Exhibits'!C2064:C2068)),AVERAGE('20250815_ETF_Options_Exhibits'!C2064:C2068),"")</f>
        <v/>
      </c>
      <c r="D2068" s="3">
        <f>IF(ISNUMBER(AVERAGE('20250815_ETF_Options_Exhibits'!D2064:D2068)),AVERAGE('20250815_ETF_Options_Exhibits'!D2064:D2068),"")</f>
        <v/>
      </c>
      <c r="E2068" s="3">
        <f>IF(ISNUMBER(AVERAGE('20250815_ETF_Options_Exhibits'!E2064:E2068)),AVERAGE('20250815_ETF_Options_Exhibits'!E2064:E2068),"")</f>
        <v/>
      </c>
      <c r="F2068" s="3">
        <f>IF(ISNUMBER(AVERAGE('20250815_ETF_Options_Exhibits'!F2064:F2068)),AVERAGE('20250815_ETF_Options_Exhibits'!F2064:F2068),"")</f>
        <v/>
      </c>
      <c r="G2068" s="3">
        <f>IF(ISNUMBER(AVERAGE('20250815_ETF_Options_Exhibits'!G2064:G2068)),AVERAGE('20250815_ETF_Options_Exhibits'!G2064:G2068),"")</f>
        <v/>
      </c>
      <c r="H2068" s="3">
        <f>IF(ISNUMBER(AVERAGE('20250815_ETF_Options_Exhibits'!H2064:H2068)),AVERAGE('20250815_ETF_Options_Exhibits'!H2064:H2068),"")</f>
        <v/>
      </c>
      <c r="I2068" s="3">
        <f>IF(ISNUMBER(AVERAGE('20250815_ETF_Options_Exhibits'!I2064:I2068)),AVERAGE('20250815_ETF_Options_Exhibits'!I2064:I2068),"")</f>
        <v/>
      </c>
      <c r="J2068" s="3">
        <f>IF(ISNUMBER(AVERAGE('20250815_ETF_Options_Exhibits'!J2064:J2068)),AVERAGE('20250815_ETF_Options_Exhibits'!J2064:J2068),"")</f>
        <v/>
      </c>
      <c r="K2068" s="3">
        <f>IF(ISNUMBER(AVERAGE('20250815_ETF_Options_Exhibits'!K2064:K2068)),AVERAGE('20250815_ETF_Options_Exhibits'!K2064:K2068),"")</f>
        <v/>
      </c>
      <c r="L2068" s="3">
        <f>IF(ISNUMBER(AVERAGE('20250815_ETF_Options_Exhibits'!L2064:L2068)),AVERAGE('20250815_ETF_Options_Exhibits'!L2064:L2068),"")</f>
        <v/>
      </c>
      <c r="M2068" s="3">
        <f>IF(ISNUMBER(AVERAGE('20250815_ETF_Options_Exhibits'!M2064:M2068)),AVERAGE('20250815_ETF_Options_Exhibits'!M2064:M2068),"")</f>
        <v/>
      </c>
      <c r="N2068" s="3">
        <f>IF(ISNUMBER(AVERAGE('20250815_ETF_Options_Exhibits'!N2064:N2068)),AVERAGE('20250815_ETF_Options_Exhibits'!N2064:N2068),"")</f>
        <v/>
      </c>
      <c r="O2068" s="3">
        <f>IF(ISNUMBER(AVERAGE('20250815_ETF_Options_Exhibits'!O2064:O2068)),AVERAGE('20250815_ETF_Options_Exhibits'!O2064:O2068),"")</f>
        <v/>
      </c>
      <c r="P2068" s="3">
        <f>IF(ISNUMBER(AVERAGE('20250815_ETF_Options_Exhibits'!P2064:P2068)),AVERAGE('20250815_ETF_Options_Exhibits'!P2064:P2068),"")</f>
        <v/>
      </c>
      <c r="Q2068" s="3">
        <f>IF(ISNUMBER(AVERAGE('20250815_ETF_Options_Exhibits'!Q2064:Q2068)),AVERAGE('20250815_ETF_Options_Exhibits'!Q2064:Q2068),"")</f>
        <v/>
      </c>
      <c r="R2068" s="3">
        <f>IF(ISNUMBER(AVERAGE('20250815_ETF_Options_Exhibits'!R2064:R2068)),AVERAGE('20250815_ETF_Options_Exhibits'!R2064:R2068),"")</f>
        <v/>
      </c>
      <c r="S2068" s="3">
        <f>IF(ISNUMBER(AVERAGE('20250815_ETF_Options_Exhibits'!S2064:S2068)),AVERAGE('20250815_ETF_Options_Exhibits'!S2064:S2068),"")</f>
        <v/>
      </c>
      <c r="T2068" s="3">
        <f>IF(ISNUMBER(AVERAGE('20250815_ETF_Options_Exhibits'!T2064:T2068)),AVERAGE('20250815_ETF_Options_Exhibits'!T2064:T2068),"")</f>
        <v/>
      </c>
      <c r="U2068" s="3">
        <f>IF(ISNUMBER(AVERAGE('20250815_ETF_Options_Exhibits'!U2064:U2068)),AVERAGE('20250815_ETF_Options_Exhibits'!U2064:U2068),"")</f>
        <v/>
      </c>
      <c r="V2068" s="3">
        <f>IF(ISNUMBER(AVERAGE('20250815_ETF_Options_Exhibits'!V2064:V2068)),AVERAGE('20250815_ETF_Options_Exhibits'!V2064:V2068),"")</f>
        <v/>
      </c>
      <c r="W2068" s="3">
        <f>IF(ISNUMBER(AVERAGE('20250815_ETF_Options_Exhibits'!W2064:W2068)),AVERAGE('20250815_ETF_Options_Exhibits'!W2064:W2068),"")</f>
        <v/>
      </c>
      <c r="X2068" s="3">
        <f>IF(ISNUMBER(AVERAGE('20250815_ETF_Options_Exhibits'!X2064:X2068)),AVERAGE('20250815_ETF_Options_Exhibits'!X2064:X2068),"")</f>
        <v/>
      </c>
      <c r="Y2068" s="3">
        <f>IF(ISNUMBER(AVERAGE('20250815_ETF_Options_Exhibits'!Y2064:Y2068)),AVERAGE('20250815_ETF_Options_Exhibits'!Y2064:Y2068),"")</f>
        <v/>
      </c>
      <c r="Z2068" s="3">
        <f>IF(ISNUMBER(AVERAGE('20250815_ETF_Options_Exhibits'!Z2064:Z2068)),AVERAGE('20250815_ETF_Options_Exhibits'!Z2064:Z2068),"")</f>
        <v/>
      </c>
      <c r="AA2068" s="3">
        <f>IF(ISNUMBER(AVERAGE('20250815_ETF_Options_Exhibits'!AA2064:AA2068)),AVERAGE('20250815_ETF_Options_Exhibits'!AA2064:AA2068),"")</f>
        <v/>
      </c>
    </row>
    <row r="2069">
      <c r="A2069" s="1" t="n">
        <v>45005</v>
      </c>
      <c r="B2069" s="3">
        <f>IF(ISNUMBER(AVERAGE('20250815_ETF_Options_Exhibits'!B2065:B2069)),AVERAGE('20250815_ETF_Options_Exhibits'!B2065:B2069),"")</f>
        <v/>
      </c>
      <c r="C2069" s="3">
        <f>IF(ISNUMBER(AVERAGE('20250815_ETF_Options_Exhibits'!C2065:C2069)),AVERAGE('20250815_ETF_Options_Exhibits'!C2065:C2069),"")</f>
        <v/>
      </c>
      <c r="D2069" s="3">
        <f>IF(ISNUMBER(AVERAGE('20250815_ETF_Options_Exhibits'!D2065:D2069)),AVERAGE('20250815_ETF_Options_Exhibits'!D2065:D2069),"")</f>
        <v/>
      </c>
      <c r="E2069" s="3">
        <f>IF(ISNUMBER(AVERAGE('20250815_ETF_Options_Exhibits'!E2065:E2069)),AVERAGE('20250815_ETF_Options_Exhibits'!E2065:E2069),"")</f>
        <v/>
      </c>
      <c r="F2069" s="3">
        <f>IF(ISNUMBER(AVERAGE('20250815_ETF_Options_Exhibits'!F2065:F2069)),AVERAGE('20250815_ETF_Options_Exhibits'!F2065:F2069),"")</f>
        <v/>
      </c>
      <c r="G2069" s="3">
        <f>IF(ISNUMBER(AVERAGE('20250815_ETF_Options_Exhibits'!G2065:G2069)),AVERAGE('20250815_ETF_Options_Exhibits'!G2065:G2069),"")</f>
        <v/>
      </c>
      <c r="H2069" s="3">
        <f>IF(ISNUMBER(AVERAGE('20250815_ETF_Options_Exhibits'!H2065:H2069)),AVERAGE('20250815_ETF_Options_Exhibits'!H2065:H2069),"")</f>
        <v/>
      </c>
      <c r="I2069" s="3">
        <f>IF(ISNUMBER(AVERAGE('20250815_ETF_Options_Exhibits'!I2065:I2069)),AVERAGE('20250815_ETF_Options_Exhibits'!I2065:I2069),"")</f>
        <v/>
      </c>
      <c r="J2069" s="3">
        <f>IF(ISNUMBER(AVERAGE('20250815_ETF_Options_Exhibits'!J2065:J2069)),AVERAGE('20250815_ETF_Options_Exhibits'!J2065:J2069),"")</f>
        <v/>
      </c>
      <c r="K2069" s="3">
        <f>IF(ISNUMBER(AVERAGE('20250815_ETF_Options_Exhibits'!K2065:K2069)),AVERAGE('20250815_ETF_Options_Exhibits'!K2065:K2069),"")</f>
        <v/>
      </c>
      <c r="L2069" s="3">
        <f>IF(ISNUMBER(AVERAGE('20250815_ETF_Options_Exhibits'!L2065:L2069)),AVERAGE('20250815_ETF_Options_Exhibits'!L2065:L2069),"")</f>
        <v/>
      </c>
      <c r="M2069" s="3">
        <f>IF(ISNUMBER(AVERAGE('20250815_ETF_Options_Exhibits'!M2065:M2069)),AVERAGE('20250815_ETF_Options_Exhibits'!M2065:M2069),"")</f>
        <v/>
      </c>
      <c r="N2069" s="3">
        <f>IF(ISNUMBER(AVERAGE('20250815_ETF_Options_Exhibits'!N2065:N2069)),AVERAGE('20250815_ETF_Options_Exhibits'!N2065:N2069),"")</f>
        <v/>
      </c>
      <c r="O2069" s="3">
        <f>IF(ISNUMBER(AVERAGE('20250815_ETF_Options_Exhibits'!O2065:O2069)),AVERAGE('20250815_ETF_Options_Exhibits'!O2065:O2069),"")</f>
        <v/>
      </c>
      <c r="P2069" s="3">
        <f>IF(ISNUMBER(AVERAGE('20250815_ETF_Options_Exhibits'!P2065:P2069)),AVERAGE('20250815_ETF_Options_Exhibits'!P2065:P2069),"")</f>
        <v/>
      </c>
      <c r="Q2069" s="3">
        <f>IF(ISNUMBER(AVERAGE('20250815_ETF_Options_Exhibits'!Q2065:Q2069)),AVERAGE('20250815_ETF_Options_Exhibits'!Q2065:Q2069),"")</f>
        <v/>
      </c>
      <c r="R2069" s="3">
        <f>IF(ISNUMBER(AVERAGE('20250815_ETF_Options_Exhibits'!R2065:R2069)),AVERAGE('20250815_ETF_Options_Exhibits'!R2065:R2069),"")</f>
        <v/>
      </c>
      <c r="S2069" s="3">
        <f>IF(ISNUMBER(AVERAGE('20250815_ETF_Options_Exhibits'!S2065:S2069)),AVERAGE('20250815_ETF_Options_Exhibits'!S2065:S2069),"")</f>
        <v/>
      </c>
      <c r="T2069" s="3">
        <f>IF(ISNUMBER(AVERAGE('20250815_ETF_Options_Exhibits'!T2065:T2069)),AVERAGE('20250815_ETF_Options_Exhibits'!T2065:T2069),"")</f>
        <v/>
      </c>
      <c r="U2069" s="3">
        <f>IF(ISNUMBER(AVERAGE('20250815_ETF_Options_Exhibits'!U2065:U2069)),AVERAGE('20250815_ETF_Options_Exhibits'!U2065:U2069),"")</f>
        <v/>
      </c>
      <c r="V2069" s="3">
        <f>IF(ISNUMBER(AVERAGE('20250815_ETF_Options_Exhibits'!V2065:V2069)),AVERAGE('20250815_ETF_Options_Exhibits'!V2065:V2069),"")</f>
        <v/>
      </c>
      <c r="W2069" s="3">
        <f>IF(ISNUMBER(AVERAGE('20250815_ETF_Options_Exhibits'!W2065:W2069)),AVERAGE('20250815_ETF_Options_Exhibits'!W2065:W2069),"")</f>
        <v/>
      </c>
      <c r="X2069" s="3">
        <f>IF(ISNUMBER(AVERAGE('20250815_ETF_Options_Exhibits'!X2065:X2069)),AVERAGE('20250815_ETF_Options_Exhibits'!X2065:X2069),"")</f>
        <v/>
      </c>
      <c r="Y2069" s="3">
        <f>IF(ISNUMBER(AVERAGE('20250815_ETF_Options_Exhibits'!Y2065:Y2069)),AVERAGE('20250815_ETF_Options_Exhibits'!Y2065:Y2069),"")</f>
        <v/>
      </c>
      <c r="Z2069" s="3">
        <f>IF(ISNUMBER(AVERAGE('20250815_ETF_Options_Exhibits'!Z2065:Z2069)),AVERAGE('20250815_ETF_Options_Exhibits'!Z2065:Z2069),"")</f>
        <v/>
      </c>
      <c r="AA2069" s="3">
        <f>IF(ISNUMBER(AVERAGE('20250815_ETF_Options_Exhibits'!AA2065:AA2069)),AVERAGE('20250815_ETF_Options_Exhibits'!AA2065:AA2069),"")</f>
        <v/>
      </c>
    </row>
    <row r="2070">
      <c r="A2070" s="1" t="n">
        <v>45006</v>
      </c>
      <c r="B2070" s="3">
        <f>IF(ISNUMBER(AVERAGE('20250815_ETF_Options_Exhibits'!B2066:B2070)),AVERAGE('20250815_ETF_Options_Exhibits'!B2066:B2070),"")</f>
        <v/>
      </c>
      <c r="C2070" s="3">
        <f>IF(ISNUMBER(AVERAGE('20250815_ETF_Options_Exhibits'!C2066:C2070)),AVERAGE('20250815_ETF_Options_Exhibits'!C2066:C2070),"")</f>
        <v/>
      </c>
      <c r="D2070" s="3">
        <f>IF(ISNUMBER(AVERAGE('20250815_ETF_Options_Exhibits'!D2066:D2070)),AVERAGE('20250815_ETF_Options_Exhibits'!D2066:D2070),"")</f>
        <v/>
      </c>
      <c r="E2070" s="3">
        <f>IF(ISNUMBER(AVERAGE('20250815_ETF_Options_Exhibits'!E2066:E2070)),AVERAGE('20250815_ETF_Options_Exhibits'!E2066:E2070),"")</f>
        <v/>
      </c>
      <c r="F2070" s="3">
        <f>IF(ISNUMBER(AVERAGE('20250815_ETF_Options_Exhibits'!F2066:F2070)),AVERAGE('20250815_ETF_Options_Exhibits'!F2066:F2070),"")</f>
        <v/>
      </c>
      <c r="G2070" s="3">
        <f>IF(ISNUMBER(AVERAGE('20250815_ETF_Options_Exhibits'!G2066:G2070)),AVERAGE('20250815_ETF_Options_Exhibits'!G2066:G2070),"")</f>
        <v/>
      </c>
      <c r="H2070" s="3">
        <f>IF(ISNUMBER(AVERAGE('20250815_ETF_Options_Exhibits'!H2066:H2070)),AVERAGE('20250815_ETF_Options_Exhibits'!H2066:H2070),"")</f>
        <v/>
      </c>
      <c r="I2070" s="3">
        <f>IF(ISNUMBER(AVERAGE('20250815_ETF_Options_Exhibits'!I2066:I2070)),AVERAGE('20250815_ETF_Options_Exhibits'!I2066:I2070),"")</f>
        <v/>
      </c>
      <c r="J2070" s="3">
        <f>IF(ISNUMBER(AVERAGE('20250815_ETF_Options_Exhibits'!J2066:J2070)),AVERAGE('20250815_ETF_Options_Exhibits'!J2066:J2070),"")</f>
        <v/>
      </c>
      <c r="K2070" s="3">
        <f>IF(ISNUMBER(AVERAGE('20250815_ETF_Options_Exhibits'!K2066:K2070)),AVERAGE('20250815_ETF_Options_Exhibits'!K2066:K2070),"")</f>
        <v/>
      </c>
      <c r="L2070" s="3">
        <f>IF(ISNUMBER(AVERAGE('20250815_ETF_Options_Exhibits'!L2066:L2070)),AVERAGE('20250815_ETF_Options_Exhibits'!L2066:L2070),"")</f>
        <v/>
      </c>
      <c r="M2070" s="3">
        <f>IF(ISNUMBER(AVERAGE('20250815_ETF_Options_Exhibits'!M2066:M2070)),AVERAGE('20250815_ETF_Options_Exhibits'!M2066:M2070),"")</f>
        <v/>
      </c>
      <c r="N2070" s="3">
        <f>IF(ISNUMBER(AVERAGE('20250815_ETF_Options_Exhibits'!N2066:N2070)),AVERAGE('20250815_ETF_Options_Exhibits'!N2066:N2070),"")</f>
        <v/>
      </c>
      <c r="O2070" s="3">
        <f>IF(ISNUMBER(AVERAGE('20250815_ETF_Options_Exhibits'!O2066:O2070)),AVERAGE('20250815_ETF_Options_Exhibits'!O2066:O2070),"")</f>
        <v/>
      </c>
      <c r="P2070" s="3">
        <f>IF(ISNUMBER(AVERAGE('20250815_ETF_Options_Exhibits'!P2066:P2070)),AVERAGE('20250815_ETF_Options_Exhibits'!P2066:P2070),"")</f>
        <v/>
      </c>
      <c r="Q2070" s="3">
        <f>IF(ISNUMBER(AVERAGE('20250815_ETF_Options_Exhibits'!Q2066:Q2070)),AVERAGE('20250815_ETF_Options_Exhibits'!Q2066:Q2070),"")</f>
        <v/>
      </c>
      <c r="R2070" s="3">
        <f>IF(ISNUMBER(AVERAGE('20250815_ETF_Options_Exhibits'!R2066:R2070)),AVERAGE('20250815_ETF_Options_Exhibits'!R2066:R2070),"")</f>
        <v/>
      </c>
      <c r="S2070" s="3">
        <f>IF(ISNUMBER(AVERAGE('20250815_ETF_Options_Exhibits'!S2066:S2070)),AVERAGE('20250815_ETF_Options_Exhibits'!S2066:S2070),"")</f>
        <v/>
      </c>
      <c r="T2070" s="3">
        <f>IF(ISNUMBER(AVERAGE('20250815_ETF_Options_Exhibits'!T2066:T2070)),AVERAGE('20250815_ETF_Options_Exhibits'!T2066:T2070),"")</f>
        <v/>
      </c>
      <c r="U2070" s="3">
        <f>IF(ISNUMBER(AVERAGE('20250815_ETF_Options_Exhibits'!U2066:U2070)),AVERAGE('20250815_ETF_Options_Exhibits'!U2066:U2070),"")</f>
        <v/>
      </c>
      <c r="V2070" s="3">
        <f>IF(ISNUMBER(AVERAGE('20250815_ETF_Options_Exhibits'!V2066:V2070)),AVERAGE('20250815_ETF_Options_Exhibits'!V2066:V2070),"")</f>
        <v/>
      </c>
      <c r="W2070" s="3">
        <f>IF(ISNUMBER(AVERAGE('20250815_ETF_Options_Exhibits'!W2066:W2070)),AVERAGE('20250815_ETF_Options_Exhibits'!W2066:W2070),"")</f>
        <v/>
      </c>
      <c r="X2070" s="3">
        <f>IF(ISNUMBER(AVERAGE('20250815_ETF_Options_Exhibits'!X2066:X2070)),AVERAGE('20250815_ETF_Options_Exhibits'!X2066:X2070),"")</f>
        <v/>
      </c>
      <c r="Y2070" s="3">
        <f>IF(ISNUMBER(AVERAGE('20250815_ETF_Options_Exhibits'!Y2066:Y2070)),AVERAGE('20250815_ETF_Options_Exhibits'!Y2066:Y2070),"")</f>
        <v/>
      </c>
      <c r="Z2070" s="3">
        <f>IF(ISNUMBER(AVERAGE('20250815_ETF_Options_Exhibits'!Z2066:Z2070)),AVERAGE('20250815_ETF_Options_Exhibits'!Z2066:Z2070),"")</f>
        <v/>
      </c>
      <c r="AA2070" s="3">
        <f>IF(ISNUMBER(AVERAGE('20250815_ETF_Options_Exhibits'!AA2066:AA2070)),AVERAGE('20250815_ETF_Options_Exhibits'!AA2066:AA2070),"")</f>
        <v/>
      </c>
    </row>
    <row r="2071">
      <c r="A2071" s="1" t="n">
        <v>45007</v>
      </c>
      <c r="B2071" s="3">
        <f>IF(ISNUMBER(AVERAGE('20250815_ETF_Options_Exhibits'!B2067:B2071)),AVERAGE('20250815_ETF_Options_Exhibits'!B2067:B2071),"")</f>
        <v/>
      </c>
      <c r="C2071" s="3">
        <f>IF(ISNUMBER(AVERAGE('20250815_ETF_Options_Exhibits'!C2067:C2071)),AVERAGE('20250815_ETF_Options_Exhibits'!C2067:C2071),"")</f>
        <v/>
      </c>
      <c r="D2071" s="3">
        <f>IF(ISNUMBER(AVERAGE('20250815_ETF_Options_Exhibits'!D2067:D2071)),AVERAGE('20250815_ETF_Options_Exhibits'!D2067:D2071),"")</f>
        <v/>
      </c>
      <c r="E2071" s="3">
        <f>IF(ISNUMBER(AVERAGE('20250815_ETF_Options_Exhibits'!E2067:E2071)),AVERAGE('20250815_ETF_Options_Exhibits'!E2067:E2071),"")</f>
        <v/>
      </c>
      <c r="F2071" s="3">
        <f>IF(ISNUMBER(AVERAGE('20250815_ETF_Options_Exhibits'!F2067:F2071)),AVERAGE('20250815_ETF_Options_Exhibits'!F2067:F2071),"")</f>
        <v/>
      </c>
      <c r="G2071" s="3">
        <f>IF(ISNUMBER(AVERAGE('20250815_ETF_Options_Exhibits'!G2067:G2071)),AVERAGE('20250815_ETF_Options_Exhibits'!G2067:G2071),"")</f>
        <v/>
      </c>
      <c r="H2071" s="3">
        <f>IF(ISNUMBER(AVERAGE('20250815_ETF_Options_Exhibits'!H2067:H2071)),AVERAGE('20250815_ETF_Options_Exhibits'!H2067:H2071),"")</f>
        <v/>
      </c>
      <c r="I2071" s="3">
        <f>IF(ISNUMBER(AVERAGE('20250815_ETF_Options_Exhibits'!I2067:I2071)),AVERAGE('20250815_ETF_Options_Exhibits'!I2067:I2071),"")</f>
        <v/>
      </c>
      <c r="J2071" s="3">
        <f>IF(ISNUMBER(AVERAGE('20250815_ETF_Options_Exhibits'!J2067:J2071)),AVERAGE('20250815_ETF_Options_Exhibits'!J2067:J2071),"")</f>
        <v/>
      </c>
      <c r="K2071" s="3">
        <f>IF(ISNUMBER(AVERAGE('20250815_ETF_Options_Exhibits'!K2067:K2071)),AVERAGE('20250815_ETF_Options_Exhibits'!K2067:K2071),"")</f>
        <v/>
      </c>
      <c r="L2071" s="3">
        <f>IF(ISNUMBER(AVERAGE('20250815_ETF_Options_Exhibits'!L2067:L2071)),AVERAGE('20250815_ETF_Options_Exhibits'!L2067:L2071),"")</f>
        <v/>
      </c>
      <c r="M2071" s="3">
        <f>IF(ISNUMBER(AVERAGE('20250815_ETF_Options_Exhibits'!M2067:M2071)),AVERAGE('20250815_ETF_Options_Exhibits'!M2067:M2071),"")</f>
        <v/>
      </c>
      <c r="N2071" s="3">
        <f>IF(ISNUMBER(AVERAGE('20250815_ETF_Options_Exhibits'!N2067:N2071)),AVERAGE('20250815_ETF_Options_Exhibits'!N2067:N2071),"")</f>
        <v/>
      </c>
      <c r="O2071" s="3">
        <f>IF(ISNUMBER(AVERAGE('20250815_ETF_Options_Exhibits'!O2067:O2071)),AVERAGE('20250815_ETF_Options_Exhibits'!O2067:O2071),"")</f>
        <v/>
      </c>
      <c r="P2071" s="3">
        <f>IF(ISNUMBER(AVERAGE('20250815_ETF_Options_Exhibits'!P2067:P2071)),AVERAGE('20250815_ETF_Options_Exhibits'!P2067:P2071),"")</f>
        <v/>
      </c>
      <c r="Q2071" s="3">
        <f>IF(ISNUMBER(AVERAGE('20250815_ETF_Options_Exhibits'!Q2067:Q2071)),AVERAGE('20250815_ETF_Options_Exhibits'!Q2067:Q2071),"")</f>
        <v/>
      </c>
      <c r="R2071" s="3">
        <f>IF(ISNUMBER(AVERAGE('20250815_ETF_Options_Exhibits'!R2067:R2071)),AVERAGE('20250815_ETF_Options_Exhibits'!R2067:R2071),"")</f>
        <v/>
      </c>
      <c r="S2071" s="3">
        <f>IF(ISNUMBER(AVERAGE('20250815_ETF_Options_Exhibits'!S2067:S2071)),AVERAGE('20250815_ETF_Options_Exhibits'!S2067:S2071),"")</f>
        <v/>
      </c>
      <c r="T2071" s="3">
        <f>IF(ISNUMBER(AVERAGE('20250815_ETF_Options_Exhibits'!T2067:T2071)),AVERAGE('20250815_ETF_Options_Exhibits'!T2067:T2071),"")</f>
        <v/>
      </c>
      <c r="U2071" s="3">
        <f>IF(ISNUMBER(AVERAGE('20250815_ETF_Options_Exhibits'!U2067:U2071)),AVERAGE('20250815_ETF_Options_Exhibits'!U2067:U2071),"")</f>
        <v/>
      </c>
      <c r="V2071" s="3">
        <f>IF(ISNUMBER(AVERAGE('20250815_ETF_Options_Exhibits'!V2067:V2071)),AVERAGE('20250815_ETF_Options_Exhibits'!V2067:V2071),"")</f>
        <v/>
      </c>
      <c r="W2071" s="3">
        <f>IF(ISNUMBER(AVERAGE('20250815_ETF_Options_Exhibits'!W2067:W2071)),AVERAGE('20250815_ETF_Options_Exhibits'!W2067:W2071),"")</f>
        <v/>
      </c>
      <c r="X2071" s="3">
        <f>IF(ISNUMBER(AVERAGE('20250815_ETF_Options_Exhibits'!X2067:X2071)),AVERAGE('20250815_ETF_Options_Exhibits'!X2067:X2071),"")</f>
        <v/>
      </c>
      <c r="Y2071" s="3">
        <f>IF(ISNUMBER(AVERAGE('20250815_ETF_Options_Exhibits'!Y2067:Y2071)),AVERAGE('20250815_ETF_Options_Exhibits'!Y2067:Y2071),"")</f>
        <v/>
      </c>
      <c r="Z2071" s="3">
        <f>IF(ISNUMBER(AVERAGE('20250815_ETF_Options_Exhibits'!Z2067:Z2071)),AVERAGE('20250815_ETF_Options_Exhibits'!Z2067:Z2071),"")</f>
        <v/>
      </c>
      <c r="AA2071" s="3">
        <f>IF(ISNUMBER(AVERAGE('20250815_ETF_Options_Exhibits'!AA2067:AA2071)),AVERAGE('20250815_ETF_Options_Exhibits'!AA2067:AA2071),"")</f>
        <v/>
      </c>
    </row>
    <row r="2072">
      <c r="A2072" s="1" t="n">
        <v>45008</v>
      </c>
      <c r="B2072" s="3">
        <f>IF(ISNUMBER(AVERAGE('20250815_ETF_Options_Exhibits'!B2068:B2072)),AVERAGE('20250815_ETF_Options_Exhibits'!B2068:B2072),"")</f>
        <v/>
      </c>
      <c r="C2072" s="3">
        <f>IF(ISNUMBER(AVERAGE('20250815_ETF_Options_Exhibits'!C2068:C2072)),AVERAGE('20250815_ETF_Options_Exhibits'!C2068:C2072),"")</f>
        <v/>
      </c>
      <c r="D2072" s="3">
        <f>IF(ISNUMBER(AVERAGE('20250815_ETF_Options_Exhibits'!D2068:D2072)),AVERAGE('20250815_ETF_Options_Exhibits'!D2068:D2072),"")</f>
        <v/>
      </c>
      <c r="E2072" s="3">
        <f>IF(ISNUMBER(AVERAGE('20250815_ETF_Options_Exhibits'!E2068:E2072)),AVERAGE('20250815_ETF_Options_Exhibits'!E2068:E2072),"")</f>
        <v/>
      </c>
      <c r="F2072" s="3">
        <f>IF(ISNUMBER(AVERAGE('20250815_ETF_Options_Exhibits'!F2068:F2072)),AVERAGE('20250815_ETF_Options_Exhibits'!F2068:F2072),"")</f>
        <v/>
      </c>
      <c r="G2072" s="3">
        <f>IF(ISNUMBER(AVERAGE('20250815_ETF_Options_Exhibits'!G2068:G2072)),AVERAGE('20250815_ETF_Options_Exhibits'!G2068:G2072),"")</f>
        <v/>
      </c>
      <c r="H2072" s="3">
        <f>IF(ISNUMBER(AVERAGE('20250815_ETF_Options_Exhibits'!H2068:H2072)),AVERAGE('20250815_ETF_Options_Exhibits'!H2068:H2072),"")</f>
        <v/>
      </c>
      <c r="I2072" s="3">
        <f>IF(ISNUMBER(AVERAGE('20250815_ETF_Options_Exhibits'!I2068:I2072)),AVERAGE('20250815_ETF_Options_Exhibits'!I2068:I2072),"")</f>
        <v/>
      </c>
      <c r="J2072" s="3">
        <f>IF(ISNUMBER(AVERAGE('20250815_ETF_Options_Exhibits'!J2068:J2072)),AVERAGE('20250815_ETF_Options_Exhibits'!J2068:J2072),"")</f>
        <v/>
      </c>
      <c r="K2072" s="3">
        <f>IF(ISNUMBER(AVERAGE('20250815_ETF_Options_Exhibits'!K2068:K2072)),AVERAGE('20250815_ETF_Options_Exhibits'!K2068:K2072),"")</f>
        <v/>
      </c>
      <c r="L2072" s="3">
        <f>IF(ISNUMBER(AVERAGE('20250815_ETF_Options_Exhibits'!L2068:L2072)),AVERAGE('20250815_ETF_Options_Exhibits'!L2068:L2072),"")</f>
        <v/>
      </c>
      <c r="M2072" s="3">
        <f>IF(ISNUMBER(AVERAGE('20250815_ETF_Options_Exhibits'!M2068:M2072)),AVERAGE('20250815_ETF_Options_Exhibits'!M2068:M2072),"")</f>
        <v/>
      </c>
      <c r="N2072" s="3">
        <f>IF(ISNUMBER(AVERAGE('20250815_ETF_Options_Exhibits'!N2068:N2072)),AVERAGE('20250815_ETF_Options_Exhibits'!N2068:N2072),"")</f>
        <v/>
      </c>
      <c r="O2072" s="3">
        <f>IF(ISNUMBER(AVERAGE('20250815_ETF_Options_Exhibits'!O2068:O2072)),AVERAGE('20250815_ETF_Options_Exhibits'!O2068:O2072),"")</f>
        <v/>
      </c>
      <c r="P2072" s="3">
        <f>IF(ISNUMBER(AVERAGE('20250815_ETF_Options_Exhibits'!P2068:P2072)),AVERAGE('20250815_ETF_Options_Exhibits'!P2068:P2072),"")</f>
        <v/>
      </c>
      <c r="Q2072" s="3">
        <f>IF(ISNUMBER(AVERAGE('20250815_ETF_Options_Exhibits'!Q2068:Q2072)),AVERAGE('20250815_ETF_Options_Exhibits'!Q2068:Q2072),"")</f>
        <v/>
      </c>
      <c r="R2072" s="3">
        <f>IF(ISNUMBER(AVERAGE('20250815_ETF_Options_Exhibits'!R2068:R2072)),AVERAGE('20250815_ETF_Options_Exhibits'!R2068:R2072),"")</f>
        <v/>
      </c>
      <c r="S2072" s="3">
        <f>IF(ISNUMBER(AVERAGE('20250815_ETF_Options_Exhibits'!S2068:S2072)),AVERAGE('20250815_ETF_Options_Exhibits'!S2068:S2072),"")</f>
        <v/>
      </c>
      <c r="T2072" s="3">
        <f>IF(ISNUMBER(AVERAGE('20250815_ETF_Options_Exhibits'!T2068:T2072)),AVERAGE('20250815_ETF_Options_Exhibits'!T2068:T2072),"")</f>
        <v/>
      </c>
      <c r="U2072" s="3">
        <f>IF(ISNUMBER(AVERAGE('20250815_ETF_Options_Exhibits'!U2068:U2072)),AVERAGE('20250815_ETF_Options_Exhibits'!U2068:U2072),"")</f>
        <v/>
      </c>
      <c r="V2072" s="3">
        <f>IF(ISNUMBER(AVERAGE('20250815_ETF_Options_Exhibits'!V2068:V2072)),AVERAGE('20250815_ETF_Options_Exhibits'!V2068:V2072),"")</f>
        <v/>
      </c>
      <c r="W2072" s="3">
        <f>IF(ISNUMBER(AVERAGE('20250815_ETF_Options_Exhibits'!W2068:W2072)),AVERAGE('20250815_ETF_Options_Exhibits'!W2068:W2072),"")</f>
        <v/>
      </c>
      <c r="X2072" s="3">
        <f>IF(ISNUMBER(AVERAGE('20250815_ETF_Options_Exhibits'!X2068:X2072)),AVERAGE('20250815_ETF_Options_Exhibits'!X2068:X2072),"")</f>
        <v/>
      </c>
      <c r="Y2072" s="3">
        <f>IF(ISNUMBER(AVERAGE('20250815_ETF_Options_Exhibits'!Y2068:Y2072)),AVERAGE('20250815_ETF_Options_Exhibits'!Y2068:Y2072),"")</f>
        <v/>
      </c>
      <c r="Z2072" s="3">
        <f>IF(ISNUMBER(AVERAGE('20250815_ETF_Options_Exhibits'!Z2068:Z2072)),AVERAGE('20250815_ETF_Options_Exhibits'!Z2068:Z2072),"")</f>
        <v/>
      </c>
      <c r="AA2072" s="3">
        <f>IF(ISNUMBER(AVERAGE('20250815_ETF_Options_Exhibits'!AA2068:AA2072)),AVERAGE('20250815_ETF_Options_Exhibits'!AA2068:AA2072),"")</f>
        <v/>
      </c>
    </row>
    <row r="2073">
      <c r="A2073" s="1" t="n">
        <v>45009</v>
      </c>
      <c r="B2073" s="3">
        <f>IF(ISNUMBER(AVERAGE('20250815_ETF_Options_Exhibits'!B2069:B2073)),AVERAGE('20250815_ETF_Options_Exhibits'!B2069:B2073),"")</f>
        <v/>
      </c>
      <c r="C2073" s="3">
        <f>IF(ISNUMBER(AVERAGE('20250815_ETF_Options_Exhibits'!C2069:C2073)),AVERAGE('20250815_ETF_Options_Exhibits'!C2069:C2073),"")</f>
        <v/>
      </c>
      <c r="D2073" s="3">
        <f>IF(ISNUMBER(AVERAGE('20250815_ETF_Options_Exhibits'!D2069:D2073)),AVERAGE('20250815_ETF_Options_Exhibits'!D2069:D2073),"")</f>
        <v/>
      </c>
      <c r="E2073" s="3">
        <f>IF(ISNUMBER(AVERAGE('20250815_ETF_Options_Exhibits'!E2069:E2073)),AVERAGE('20250815_ETF_Options_Exhibits'!E2069:E2073),"")</f>
        <v/>
      </c>
      <c r="F2073" s="3">
        <f>IF(ISNUMBER(AVERAGE('20250815_ETF_Options_Exhibits'!F2069:F2073)),AVERAGE('20250815_ETF_Options_Exhibits'!F2069:F2073),"")</f>
        <v/>
      </c>
      <c r="G2073" s="3">
        <f>IF(ISNUMBER(AVERAGE('20250815_ETF_Options_Exhibits'!G2069:G2073)),AVERAGE('20250815_ETF_Options_Exhibits'!G2069:G2073),"")</f>
        <v/>
      </c>
      <c r="H2073" s="3">
        <f>IF(ISNUMBER(AVERAGE('20250815_ETF_Options_Exhibits'!H2069:H2073)),AVERAGE('20250815_ETF_Options_Exhibits'!H2069:H2073),"")</f>
        <v/>
      </c>
      <c r="I2073" s="3">
        <f>IF(ISNUMBER(AVERAGE('20250815_ETF_Options_Exhibits'!I2069:I2073)),AVERAGE('20250815_ETF_Options_Exhibits'!I2069:I2073),"")</f>
        <v/>
      </c>
      <c r="J2073" s="3">
        <f>IF(ISNUMBER(AVERAGE('20250815_ETF_Options_Exhibits'!J2069:J2073)),AVERAGE('20250815_ETF_Options_Exhibits'!J2069:J2073),"")</f>
        <v/>
      </c>
      <c r="K2073" s="3">
        <f>IF(ISNUMBER(AVERAGE('20250815_ETF_Options_Exhibits'!K2069:K2073)),AVERAGE('20250815_ETF_Options_Exhibits'!K2069:K2073),"")</f>
        <v/>
      </c>
      <c r="L2073" s="3">
        <f>IF(ISNUMBER(AVERAGE('20250815_ETF_Options_Exhibits'!L2069:L2073)),AVERAGE('20250815_ETF_Options_Exhibits'!L2069:L2073),"")</f>
        <v/>
      </c>
      <c r="M2073" s="3">
        <f>IF(ISNUMBER(AVERAGE('20250815_ETF_Options_Exhibits'!M2069:M2073)),AVERAGE('20250815_ETF_Options_Exhibits'!M2069:M2073),"")</f>
        <v/>
      </c>
      <c r="N2073" s="3">
        <f>IF(ISNUMBER(AVERAGE('20250815_ETF_Options_Exhibits'!N2069:N2073)),AVERAGE('20250815_ETF_Options_Exhibits'!N2069:N2073),"")</f>
        <v/>
      </c>
      <c r="O2073" s="3">
        <f>IF(ISNUMBER(AVERAGE('20250815_ETF_Options_Exhibits'!O2069:O2073)),AVERAGE('20250815_ETF_Options_Exhibits'!O2069:O2073),"")</f>
        <v/>
      </c>
      <c r="P2073" s="3">
        <f>IF(ISNUMBER(AVERAGE('20250815_ETF_Options_Exhibits'!P2069:P2073)),AVERAGE('20250815_ETF_Options_Exhibits'!P2069:P2073),"")</f>
        <v/>
      </c>
      <c r="Q2073" s="3">
        <f>IF(ISNUMBER(AVERAGE('20250815_ETF_Options_Exhibits'!Q2069:Q2073)),AVERAGE('20250815_ETF_Options_Exhibits'!Q2069:Q2073),"")</f>
        <v/>
      </c>
      <c r="R2073" s="3">
        <f>IF(ISNUMBER(AVERAGE('20250815_ETF_Options_Exhibits'!R2069:R2073)),AVERAGE('20250815_ETF_Options_Exhibits'!R2069:R2073),"")</f>
        <v/>
      </c>
      <c r="S2073" s="3">
        <f>IF(ISNUMBER(AVERAGE('20250815_ETF_Options_Exhibits'!S2069:S2073)),AVERAGE('20250815_ETF_Options_Exhibits'!S2069:S2073),"")</f>
        <v/>
      </c>
      <c r="T2073" s="3">
        <f>IF(ISNUMBER(AVERAGE('20250815_ETF_Options_Exhibits'!T2069:T2073)),AVERAGE('20250815_ETF_Options_Exhibits'!T2069:T2073),"")</f>
        <v/>
      </c>
      <c r="U2073" s="3">
        <f>IF(ISNUMBER(AVERAGE('20250815_ETF_Options_Exhibits'!U2069:U2073)),AVERAGE('20250815_ETF_Options_Exhibits'!U2069:U2073),"")</f>
        <v/>
      </c>
      <c r="V2073" s="3">
        <f>IF(ISNUMBER(AVERAGE('20250815_ETF_Options_Exhibits'!V2069:V2073)),AVERAGE('20250815_ETF_Options_Exhibits'!V2069:V2073),"")</f>
        <v/>
      </c>
      <c r="W2073" s="3">
        <f>IF(ISNUMBER(AVERAGE('20250815_ETF_Options_Exhibits'!W2069:W2073)),AVERAGE('20250815_ETF_Options_Exhibits'!W2069:W2073),"")</f>
        <v/>
      </c>
      <c r="X2073" s="3">
        <f>IF(ISNUMBER(AVERAGE('20250815_ETF_Options_Exhibits'!X2069:X2073)),AVERAGE('20250815_ETF_Options_Exhibits'!X2069:X2073),"")</f>
        <v/>
      </c>
      <c r="Y2073" s="3">
        <f>IF(ISNUMBER(AVERAGE('20250815_ETF_Options_Exhibits'!Y2069:Y2073)),AVERAGE('20250815_ETF_Options_Exhibits'!Y2069:Y2073),"")</f>
        <v/>
      </c>
      <c r="Z2073" s="3">
        <f>IF(ISNUMBER(AVERAGE('20250815_ETF_Options_Exhibits'!Z2069:Z2073)),AVERAGE('20250815_ETF_Options_Exhibits'!Z2069:Z2073),"")</f>
        <v/>
      </c>
      <c r="AA2073" s="3">
        <f>IF(ISNUMBER(AVERAGE('20250815_ETF_Options_Exhibits'!AA2069:AA2073)),AVERAGE('20250815_ETF_Options_Exhibits'!AA2069:AA2073),"")</f>
        <v/>
      </c>
    </row>
    <row r="2074">
      <c r="A2074" s="1" t="n">
        <v>45012</v>
      </c>
      <c r="B2074" s="3">
        <f>IF(ISNUMBER(AVERAGE('20250815_ETF_Options_Exhibits'!B2070:B2074)),AVERAGE('20250815_ETF_Options_Exhibits'!B2070:B2074),"")</f>
        <v/>
      </c>
      <c r="C2074" s="3">
        <f>IF(ISNUMBER(AVERAGE('20250815_ETF_Options_Exhibits'!C2070:C2074)),AVERAGE('20250815_ETF_Options_Exhibits'!C2070:C2074),"")</f>
        <v/>
      </c>
      <c r="D2074" s="3">
        <f>IF(ISNUMBER(AVERAGE('20250815_ETF_Options_Exhibits'!D2070:D2074)),AVERAGE('20250815_ETF_Options_Exhibits'!D2070:D2074),"")</f>
        <v/>
      </c>
      <c r="E2074" s="3">
        <f>IF(ISNUMBER(AVERAGE('20250815_ETF_Options_Exhibits'!E2070:E2074)),AVERAGE('20250815_ETF_Options_Exhibits'!E2070:E2074),"")</f>
        <v/>
      </c>
      <c r="F2074" s="3">
        <f>IF(ISNUMBER(AVERAGE('20250815_ETF_Options_Exhibits'!F2070:F2074)),AVERAGE('20250815_ETF_Options_Exhibits'!F2070:F2074),"")</f>
        <v/>
      </c>
      <c r="G2074" s="3">
        <f>IF(ISNUMBER(AVERAGE('20250815_ETF_Options_Exhibits'!G2070:G2074)),AVERAGE('20250815_ETF_Options_Exhibits'!G2070:G2074),"")</f>
        <v/>
      </c>
      <c r="H2074" s="3">
        <f>IF(ISNUMBER(AVERAGE('20250815_ETF_Options_Exhibits'!H2070:H2074)),AVERAGE('20250815_ETF_Options_Exhibits'!H2070:H2074),"")</f>
        <v/>
      </c>
      <c r="I2074" s="3">
        <f>IF(ISNUMBER(AVERAGE('20250815_ETF_Options_Exhibits'!I2070:I2074)),AVERAGE('20250815_ETF_Options_Exhibits'!I2070:I2074),"")</f>
        <v/>
      </c>
      <c r="J2074" s="3">
        <f>IF(ISNUMBER(AVERAGE('20250815_ETF_Options_Exhibits'!J2070:J2074)),AVERAGE('20250815_ETF_Options_Exhibits'!J2070:J2074),"")</f>
        <v/>
      </c>
      <c r="K2074" s="3">
        <f>IF(ISNUMBER(AVERAGE('20250815_ETF_Options_Exhibits'!K2070:K2074)),AVERAGE('20250815_ETF_Options_Exhibits'!K2070:K2074),"")</f>
        <v/>
      </c>
      <c r="L2074" s="3">
        <f>IF(ISNUMBER(AVERAGE('20250815_ETF_Options_Exhibits'!L2070:L2074)),AVERAGE('20250815_ETF_Options_Exhibits'!L2070:L2074),"")</f>
        <v/>
      </c>
      <c r="M2074" s="3">
        <f>IF(ISNUMBER(AVERAGE('20250815_ETF_Options_Exhibits'!M2070:M2074)),AVERAGE('20250815_ETF_Options_Exhibits'!M2070:M2074),"")</f>
        <v/>
      </c>
      <c r="N2074" s="3">
        <f>IF(ISNUMBER(AVERAGE('20250815_ETF_Options_Exhibits'!N2070:N2074)),AVERAGE('20250815_ETF_Options_Exhibits'!N2070:N2074),"")</f>
        <v/>
      </c>
      <c r="O2074" s="3">
        <f>IF(ISNUMBER(AVERAGE('20250815_ETF_Options_Exhibits'!O2070:O2074)),AVERAGE('20250815_ETF_Options_Exhibits'!O2070:O2074),"")</f>
        <v/>
      </c>
      <c r="P2074" s="3">
        <f>IF(ISNUMBER(AVERAGE('20250815_ETF_Options_Exhibits'!P2070:P2074)),AVERAGE('20250815_ETF_Options_Exhibits'!P2070:P2074),"")</f>
        <v/>
      </c>
      <c r="Q2074" s="3">
        <f>IF(ISNUMBER(AVERAGE('20250815_ETF_Options_Exhibits'!Q2070:Q2074)),AVERAGE('20250815_ETF_Options_Exhibits'!Q2070:Q2074),"")</f>
        <v/>
      </c>
      <c r="R2074" s="3">
        <f>IF(ISNUMBER(AVERAGE('20250815_ETF_Options_Exhibits'!R2070:R2074)),AVERAGE('20250815_ETF_Options_Exhibits'!R2070:R2074),"")</f>
        <v/>
      </c>
      <c r="S2074" s="3">
        <f>IF(ISNUMBER(AVERAGE('20250815_ETF_Options_Exhibits'!S2070:S2074)),AVERAGE('20250815_ETF_Options_Exhibits'!S2070:S2074),"")</f>
        <v/>
      </c>
      <c r="T2074" s="3">
        <f>IF(ISNUMBER(AVERAGE('20250815_ETF_Options_Exhibits'!T2070:T2074)),AVERAGE('20250815_ETF_Options_Exhibits'!T2070:T2074),"")</f>
        <v/>
      </c>
      <c r="U2074" s="3">
        <f>IF(ISNUMBER(AVERAGE('20250815_ETF_Options_Exhibits'!U2070:U2074)),AVERAGE('20250815_ETF_Options_Exhibits'!U2070:U2074),"")</f>
        <v/>
      </c>
      <c r="V2074" s="3">
        <f>IF(ISNUMBER(AVERAGE('20250815_ETF_Options_Exhibits'!V2070:V2074)),AVERAGE('20250815_ETF_Options_Exhibits'!V2070:V2074),"")</f>
        <v/>
      </c>
      <c r="W2074" s="3">
        <f>IF(ISNUMBER(AVERAGE('20250815_ETF_Options_Exhibits'!W2070:W2074)),AVERAGE('20250815_ETF_Options_Exhibits'!W2070:W2074),"")</f>
        <v/>
      </c>
      <c r="X2074" s="3">
        <f>IF(ISNUMBER(AVERAGE('20250815_ETF_Options_Exhibits'!X2070:X2074)),AVERAGE('20250815_ETF_Options_Exhibits'!X2070:X2074),"")</f>
        <v/>
      </c>
      <c r="Y2074" s="3">
        <f>IF(ISNUMBER(AVERAGE('20250815_ETF_Options_Exhibits'!Y2070:Y2074)),AVERAGE('20250815_ETF_Options_Exhibits'!Y2070:Y2074),"")</f>
        <v/>
      </c>
      <c r="Z2074" s="3">
        <f>IF(ISNUMBER(AVERAGE('20250815_ETF_Options_Exhibits'!Z2070:Z2074)),AVERAGE('20250815_ETF_Options_Exhibits'!Z2070:Z2074),"")</f>
        <v/>
      </c>
      <c r="AA2074" s="3">
        <f>IF(ISNUMBER(AVERAGE('20250815_ETF_Options_Exhibits'!AA2070:AA2074)),AVERAGE('20250815_ETF_Options_Exhibits'!AA2070:AA2074),"")</f>
        <v/>
      </c>
    </row>
    <row r="2075">
      <c r="A2075" s="1" t="n">
        <v>45013</v>
      </c>
      <c r="B2075" s="3">
        <f>IF(ISNUMBER(AVERAGE('20250815_ETF_Options_Exhibits'!B2071:B2075)),AVERAGE('20250815_ETF_Options_Exhibits'!B2071:B2075),"")</f>
        <v/>
      </c>
      <c r="C2075" s="3">
        <f>IF(ISNUMBER(AVERAGE('20250815_ETF_Options_Exhibits'!C2071:C2075)),AVERAGE('20250815_ETF_Options_Exhibits'!C2071:C2075),"")</f>
        <v/>
      </c>
      <c r="D2075" s="3">
        <f>IF(ISNUMBER(AVERAGE('20250815_ETF_Options_Exhibits'!D2071:D2075)),AVERAGE('20250815_ETF_Options_Exhibits'!D2071:D2075),"")</f>
        <v/>
      </c>
      <c r="E2075" s="3">
        <f>IF(ISNUMBER(AVERAGE('20250815_ETF_Options_Exhibits'!E2071:E2075)),AVERAGE('20250815_ETF_Options_Exhibits'!E2071:E2075),"")</f>
        <v/>
      </c>
      <c r="F2075" s="3">
        <f>IF(ISNUMBER(AVERAGE('20250815_ETF_Options_Exhibits'!F2071:F2075)),AVERAGE('20250815_ETF_Options_Exhibits'!F2071:F2075),"")</f>
        <v/>
      </c>
      <c r="G2075" s="3">
        <f>IF(ISNUMBER(AVERAGE('20250815_ETF_Options_Exhibits'!G2071:G2075)),AVERAGE('20250815_ETF_Options_Exhibits'!G2071:G2075),"")</f>
        <v/>
      </c>
      <c r="H2075" s="3">
        <f>IF(ISNUMBER(AVERAGE('20250815_ETF_Options_Exhibits'!H2071:H2075)),AVERAGE('20250815_ETF_Options_Exhibits'!H2071:H2075),"")</f>
        <v/>
      </c>
      <c r="I2075" s="3">
        <f>IF(ISNUMBER(AVERAGE('20250815_ETF_Options_Exhibits'!I2071:I2075)),AVERAGE('20250815_ETF_Options_Exhibits'!I2071:I2075),"")</f>
        <v/>
      </c>
      <c r="J2075" s="3">
        <f>IF(ISNUMBER(AVERAGE('20250815_ETF_Options_Exhibits'!J2071:J2075)),AVERAGE('20250815_ETF_Options_Exhibits'!J2071:J2075),"")</f>
        <v/>
      </c>
      <c r="K2075" s="3">
        <f>IF(ISNUMBER(AVERAGE('20250815_ETF_Options_Exhibits'!K2071:K2075)),AVERAGE('20250815_ETF_Options_Exhibits'!K2071:K2075),"")</f>
        <v/>
      </c>
      <c r="L2075" s="3">
        <f>IF(ISNUMBER(AVERAGE('20250815_ETF_Options_Exhibits'!L2071:L2075)),AVERAGE('20250815_ETF_Options_Exhibits'!L2071:L2075),"")</f>
        <v/>
      </c>
      <c r="M2075" s="3">
        <f>IF(ISNUMBER(AVERAGE('20250815_ETF_Options_Exhibits'!M2071:M2075)),AVERAGE('20250815_ETF_Options_Exhibits'!M2071:M2075),"")</f>
        <v/>
      </c>
      <c r="N2075" s="3">
        <f>IF(ISNUMBER(AVERAGE('20250815_ETF_Options_Exhibits'!N2071:N2075)),AVERAGE('20250815_ETF_Options_Exhibits'!N2071:N2075),"")</f>
        <v/>
      </c>
      <c r="O2075" s="3">
        <f>IF(ISNUMBER(AVERAGE('20250815_ETF_Options_Exhibits'!O2071:O2075)),AVERAGE('20250815_ETF_Options_Exhibits'!O2071:O2075),"")</f>
        <v/>
      </c>
      <c r="P2075" s="3">
        <f>IF(ISNUMBER(AVERAGE('20250815_ETF_Options_Exhibits'!P2071:P2075)),AVERAGE('20250815_ETF_Options_Exhibits'!P2071:P2075),"")</f>
        <v/>
      </c>
      <c r="Q2075" s="3">
        <f>IF(ISNUMBER(AVERAGE('20250815_ETF_Options_Exhibits'!Q2071:Q2075)),AVERAGE('20250815_ETF_Options_Exhibits'!Q2071:Q2075),"")</f>
        <v/>
      </c>
      <c r="R2075" s="3">
        <f>IF(ISNUMBER(AVERAGE('20250815_ETF_Options_Exhibits'!R2071:R2075)),AVERAGE('20250815_ETF_Options_Exhibits'!R2071:R2075),"")</f>
        <v/>
      </c>
      <c r="S2075" s="3">
        <f>IF(ISNUMBER(AVERAGE('20250815_ETF_Options_Exhibits'!S2071:S2075)),AVERAGE('20250815_ETF_Options_Exhibits'!S2071:S2075),"")</f>
        <v/>
      </c>
      <c r="T2075" s="3">
        <f>IF(ISNUMBER(AVERAGE('20250815_ETF_Options_Exhibits'!T2071:T2075)),AVERAGE('20250815_ETF_Options_Exhibits'!T2071:T2075),"")</f>
        <v/>
      </c>
      <c r="U2075" s="3">
        <f>IF(ISNUMBER(AVERAGE('20250815_ETF_Options_Exhibits'!U2071:U2075)),AVERAGE('20250815_ETF_Options_Exhibits'!U2071:U2075),"")</f>
        <v/>
      </c>
      <c r="V2075" s="3">
        <f>IF(ISNUMBER(AVERAGE('20250815_ETF_Options_Exhibits'!V2071:V2075)),AVERAGE('20250815_ETF_Options_Exhibits'!V2071:V2075),"")</f>
        <v/>
      </c>
      <c r="W2075" s="3">
        <f>IF(ISNUMBER(AVERAGE('20250815_ETF_Options_Exhibits'!W2071:W2075)),AVERAGE('20250815_ETF_Options_Exhibits'!W2071:W2075),"")</f>
        <v/>
      </c>
      <c r="X2075" s="3">
        <f>IF(ISNUMBER(AVERAGE('20250815_ETF_Options_Exhibits'!X2071:X2075)),AVERAGE('20250815_ETF_Options_Exhibits'!X2071:X2075),"")</f>
        <v/>
      </c>
      <c r="Y2075" s="3">
        <f>IF(ISNUMBER(AVERAGE('20250815_ETF_Options_Exhibits'!Y2071:Y2075)),AVERAGE('20250815_ETF_Options_Exhibits'!Y2071:Y2075),"")</f>
        <v/>
      </c>
      <c r="Z2075" s="3">
        <f>IF(ISNUMBER(AVERAGE('20250815_ETF_Options_Exhibits'!Z2071:Z2075)),AVERAGE('20250815_ETF_Options_Exhibits'!Z2071:Z2075),"")</f>
        <v/>
      </c>
      <c r="AA2075" s="3">
        <f>IF(ISNUMBER(AVERAGE('20250815_ETF_Options_Exhibits'!AA2071:AA2075)),AVERAGE('20250815_ETF_Options_Exhibits'!AA2071:AA2075),"")</f>
        <v/>
      </c>
    </row>
    <row r="2076">
      <c r="A2076" s="1" t="n">
        <v>45014</v>
      </c>
      <c r="B2076" s="3">
        <f>IF(ISNUMBER(AVERAGE('20250815_ETF_Options_Exhibits'!B2072:B2076)),AVERAGE('20250815_ETF_Options_Exhibits'!B2072:B2076),"")</f>
        <v/>
      </c>
      <c r="C2076" s="3">
        <f>IF(ISNUMBER(AVERAGE('20250815_ETF_Options_Exhibits'!C2072:C2076)),AVERAGE('20250815_ETF_Options_Exhibits'!C2072:C2076),"")</f>
        <v/>
      </c>
      <c r="D2076" s="3">
        <f>IF(ISNUMBER(AVERAGE('20250815_ETF_Options_Exhibits'!D2072:D2076)),AVERAGE('20250815_ETF_Options_Exhibits'!D2072:D2076),"")</f>
        <v/>
      </c>
      <c r="E2076" s="3">
        <f>IF(ISNUMBER(AVERAGE('20250815_ETF_Options_Exhibits'!E2072:E2076)),AVERAGE('20250815_ETF_Options_Exhibits'!E2072:E2076),"")</f>
        <v/>
      </c>
      <c r="F2076" s="3">
        <f>IF(ISNUMBER(AVERAGE('20250815_ETF_Options_Exhibits'!F2072:F2076)),AVERAGE('20250815_ETF_Options_Exhibits'!F2072:F2076),"")</f>
        <v/>
      </c>
      <c r="G2076" s="3">
        <f>IF(ISNUMBER(AVERAGE('20250815_ETF_Options_Exhibits'!G2072:G2076)),AVERAGE('20250815_ETF_Options_Exhibits'!G2072:G2076),"")</f>
        <v/>
      </c>
      <c r="H2076" s="3">
        <f>IF(ISNUMBER(AVERAGE('20250815_ETF_Options_Exhibits'!H2072:H2076)),AVERAGE('20250815_ETF_Options_Exhibits'!H2072:H2076),"")</f>
        <v/>
      </c>
      <c r="I2076" s="3">
        <f>IF(ISNUMBER(AVERAGE('20250815_ETF_Options_Exhibits'!I2072:I2076)),AVERAGE('20250815_ETF_Options_Exhibits'!I2072:I2076),"")</f>
        <v/>
      </c>
      <c r="J2076" s="3">
        <f>IF(ISNUMBER(AVERAGE('20250815_ETF_Options_Exhibits'!J2072:J2076)),AVERAGE('20250815_ETF_Options_Exhibits'!J2072:J2076),"")</f>
        <v/>
      </c>
      <c r="K2076" s="3">
        <f>IF(ISNUMBER(AVERAGE('20250815_ETF_Options_Exhibits'!K2072:K2076)),AVERAGE('20250815_ETF_Options_Exhibits'!K2072:K2076),"")</f>
        <v/>
      </c>
      <c r="L2076" s="3">
        <f>IF(ISNUMBER(AVERAGE('20250815_ETF_Options_Exhibits'!L2072:L2076)),AVERAGE('20250815_ETF_Options_Exhibits'!L2072:L2076),"")</f>
        <v/>
      </c>
      <c r="M2076" s="3">
        <f>IF(ISNUMBER(AVERAGE('20250815_ETF_Options_Exhibits'!M2072:M2076)),AVERAGE('20250815_ETF_Options_Exhibits'!M2072:M2076),"")</f>
        <v/>
      </c>
      <c r="N2076" s="3">
        <f>IF(ISNUMBER(AVERAGE('20250815_ETF_Options_Exhibits'!N2072:N2076)),AVERAGE('20250815_ETF_Options_Exhibits'!N2072:N2076),"")</f>
        <v/>
      </c>
      <c r="O2076" s="3">
        <f>IF(ISNUMBER(AVERAGE('20250815_ETF_Options_Exhibits'!O2072:O2076)),AVERAGE('20250815_ETF_Options_Exhibits'!O2072:O2076),"")</f>
        <v/>
      </c>
      <c r="P2076" s="3">
        <f>IF(ISNUMBER(AVERAGE('20250815_ETF_Options_Exhibits'!P2072:P2076)),AVERAGE('20250815_ETF_Options_Exhibits'!P2072:P2076),"")</f>
        <v/>
      </c>
      <c r="Q2076" s="3">
        <f>IF(ISNUMBER(AVERAGE('20250815_ETF_Options_Exhibits'!Q2072:Q2076)),AVERAGE('20250815_ETF_Options_Exhibits'!Q2072:Q2076),"")</f>
        <v/>
      </c>
      <c r="R2076" s="3">
        <f>IF(ISNUMBER(AVERAGE('20250815_ETF_Options_Exhibits'!R2072:R2076)),AVERAGE('20250815_ETF_Options_Exhibits'!R2072:R2076),"")</f>
        <v/>
      </c>
      <c r="S2076" s="3">
        <f>IF(ISNUMBER(AVERAGE('20250815_ETF_Options_Exhibits'!S2072:S2076)),AVERAGE('20250815_ETF_Options_Exhibits'!S2072:S2076),"")</f>
        <v/>
      </c>
      <c r="T2076" s="3">
        <f>IF(ISNUMBER(AVERAGE('20250815_ETF_Options_Exhibits'!T2072:T2076)),AVERAGE('20250815_ETF_Options_Exhibits'!T2072:T2076),"")</f>
        <v/>
      </c>
      <c r="U2076" s="3">
        <f>IF(ISNUMBER(AVERAGE('20250815_ETF_Options_Exhibits'!U2072:U2076)),AVERAGE('20250815_ETF_Options_Exhibits'!U2072:U2076),"")</f>
        <v/>
      </c>
      <c r="V2076" s="3">
        <f>IF(ISNUMBER(AVERAGE('20250815_ETF_Options_Exhibits'!V2072:V2076)),AVERAGE('20250815_ETF_Options_Exhibits'!V2072:V2076),"")</f>
        <v/>
      </c>
      <c r="W2076" s="3">
        <f>IF(ISNUMBER(AVERAGE('20250815_ETF_Options_Exhibits'!W2072:W2076)),AVERAGE('20250815_ETF_Options_Exhibits'!W2072:W2076),"")</f>
        <v/>
      </c>
      <c r="X2076" s="3">
        <f>IF(ISNUMBER(AVERAGE('20250815_ETF_Options_Exhibits'!X2072:X2076)),AVERAGE('20250815_ETF_Options_Exhibits'!X2072:X2076),"")</f>
        <v/>
      </c>
      <c r="Y2076" s="3">
        <f>IF(ISNUMBER(AVERAGE('20250815_ETF_Options_Exhibits'!Y2072:Y2076)),AVERAGE('20250815_ETF_Options_Exhibits'!Y2072:Y2076),"")</f>
        <v/>
      </c>
      <c r="Z2076" s="3">
        <f>IF(ISNUMBER(AVERAGE('20250815_ETF_Options_Exhibits'!Z2072:Z2076)),AVERAGE('20250815_ETF_Options_Exhibits'!Z2072:Z2076),"")</f>
        <v/>
      </c>
      <c r="AA2076" s="3">
        <f>IF(ISNUMBER(AVERAGE('20250815_ETF_Options_Exhibits'!AA2072:AA2076)),AVERAGE('20250815_ETF_Options_Exhibits'!AA2072:AA2076),"")</f>
        <v/>
      </c>
    </row>
    <row r="2077">
      <c r="A2077" s="1" t="n">
        <v>45015</v>
      </c>
      <c r="B2077" s="3">
        <f>IF(ISNUMBER(AVERAGE('20250815_ETF_Options_Exhibits'!B2073:B2077)),AVERAGE('20250815_ETF_Options_Exhibits'!B2073:B2077),"")</f>
        <v/>
      </c>
      <c r="C2077" s="3">
        <f>IF(ISNUMBER(AVERAGE('20250815_ETF_Options_Exhibits'!C2073:C2077)),AVERAGE('20250815_ETF_Options_Exhibits'!C2073:C2077),"")</f>
        <v/>
      </c>
      <c r="D2077" s="3">
        <f>IF(ISNUMBER(AVERAGE('20250815_ETF_Options_Exhibits'!D2073:D2077)),AVERAGE('20250815_ETF_Options_Exhibits'!D2073:D2077),"")</f>
        <v/>
      </c>
      <c r="E2077" s="3">
        <f>IF(ISNUMBER(AVERAGE('20250815_ETF_Options_Exhibits'!E2073:E2077)),AVERAGE('20250815_ETF_Options_Exhibits'!E2073:E2077),"")</f>
        <v/>
      </c>
      <c r="F2077" s="3">
        <f>IF(ISNUMBER(AVERAGE('20250815_ETF_Options_Exhibits'!F2073:F2077)),AVERAGE('20250815_ETF_Options_Exhibits'!F2073:F2077),"")</f>
        <v/>
      </c>
      <c r="G2077" s="3">
        <f>IF(ISNUMBER(AVERAGE('20250815_ETF_Options_Exhibits'!G2073:G2077)),AVERAGE('20250815_ETF_Options_Exhibits'!G2073:G2077),"")</f>
        <v/>
      </c>
      <c r="H2077" s="3">
        <f>IF(ISNUMBER(AVERAGE('20250815_ETF_Options_Exhibits'!H2073:H2077)),AVERAGE('20250815_ETF_Options_Exhibits'!H2073:H2077),"")</f>
        <v/>
      </c>
      <c r="I2077" s="3">
        <f>IF(ISNUMBER(AVERAGE('20250815_ETF_Options_Exhibits'!I2073:I2077)),AVERAGE('20250815_ETF_Options_Exhibits'!I2073:I2077),"")</f>
        <v/>
      </c>
      <c r="J2077" s="3">
        <f>IF(ISNUMBER(AVERAGE('20250815_ETF_Options_Exhibits'!J2073:J2077)),AVERAGE('20250815_ETF_Options_Exhibits'!J2073:J2077),"")</f>
        <v/>
      </c>
      <c r="K2077" s="3">
        <f>IF(ISNUMBER(AVERAGE('20250815_ETF_Options_Exhibits'!K2073:K2077)),AVERAGE('20250815_ETF_Options_Exhibits'!K2073:K2077),"")</f>
        <v/>
      </c>
      <c r="L2077" s="3">
        <f>IF(ISNUMBER(AVERAGE('20250815_ETF_Options_Exhibits'!L2073:L2077)),AVERAGE('20250815_ETF_Options_Exhibits'!L2073:L2077),"")</f>
        <v/>
      </c>
      <c r="M2077" s="3">
        <f>IF(ISNUMBER(AVERAGE('20250815_ETF_Options_Exhibits'!M2073:M2077)),AVERAGE('20250815_ETF_Options_Exhibits'!M2073:M2077),"")</f>
        <v/>
      </c>
      <c r="N2077" s="3">
        <f>IF(ISNUMBER(AVERAGE('20250815_ETF_Options_Exhibits'!N2073:N2077)),AVERAGE('20250815_ETF_Options_Exhibits'!N2073:N2077),"")</f>
        <v/>
      </c>
      <c r="O2077" s="3">
        <f>IF(ISNUMBER(AVERAGE('20250815_ETF_Options_Exhibits'!O2073:O2077)),AVERAGE('20250815_ETF_Options_Exhibits'!O2073:O2077),"")</f>
        <v/>
      </c>
      <c r="P2077" s="3">
        <f>IF(ISNUMBER(AVERAGE('20250815_ETF_Options_Exhibits'!P2073:P2077)),AVERAGE('20250815_ETF_Options_Exhibits'!P2073:P2077),"")</f>
        <v/>
      </c>
      <c r="Q2077" s="3">
        <f>IF(ISNUMBER(AVERAGE('20250815_ETF_Options_Exhibits'!Q2073:Q2077)),AVERAGE('20250815_ETF_Options_Exhibits'!Q2073:Q2077),"")</f>
        <v/>
      </c>
      <c r="R2077" s="3">
        <f>IF(ISNUMBER(AVERAGE('20250815_ETF_Options_Exhibits'!R2073:R2077)),AVERAGE('20250815_ETF_Options_Exhibits'!R2073:R2077),"")</f>
        <v/>
      </c>
      <c r="S2077" s="3">
        <f>IF(ISNUMBER(AVERAGE('20250815_ETF_Options_Exhibits'!S2073:S2077)),AVERAGE('20250815_ETF_Options_Exhibits'!S2073:S2077),"")</f>
        <v/>
      </c>
      <c r="T2077" s="3">
        <f>IF(ISNUMBER(AVERAGE('20250815_ETF_Options_Exhibits'!T2073:T2077)),AVERAGE('20250815_ETF_Options_Exhibits'!T2073:T2077),"")</f>
        <v/>
      </c>
      <c r="U2077" s="3">
        <f>IF(ISNUMBER(AVERAGE('20250815_ETF_Options_Exhibits'!U2073:U2077)),AVERAGE('20250815_ETF_Options_Exhibits'!U2073:U2077),"")</f>
        <v/>
      </c>
      <c r="V2077" s="3">
        <f>IF(ISNUMBER(AVERAGE('20250815_ETF_Options_Exhibits'!V2073:V2077)),AVERAGE('20250815_ETF_Options_Exhibits'!V2073:V2077),"")</f>
        <v/>
      </c>
      <c r="W2077" s="3">
        <f>IF(ISNUMBER(AVERAGE('20250815_ETF_Options_Exhibits'!W2073:W2077)),AVERAGE('20250815_ETF_Options_Exhibits'!W2073:W2077),"")</f>
        <v/>
      </c>
      <c r="X2077" s="3">
        <f>IF(ISNUMBER(AVERAGE('20250815_ETF_Options_Exhibits'!X2073:X2077)),AVERAGE('20250815_ETF_Options_Exhibits'!X2073:X2077),"")</f>
        <v/>
      </c>
      <c r="Y2077" s="3">
        <f>IF(ISNUMBER(AVERAGE('20250815_ETF_Options_Exhibits'!Y2073:Y2077)),AVERAGE('20250815_ETF_Options_Exhibits'!Y2073:Y2077),"")</f>
        <v/>
      </c>
      <c r="Z2077" s="3">
        <f>IF(ISNUMBER(AVERAGE('20250815_ETF_Options_Exhibits'!Z2073:Z2077)),AVERAGE('20250815_ETF_Options_Exhibits'!Z2073:Z2077),"")</f>
        <v/>
      </c>
      <c r="AA2077" s="3">
        <f>IF(ISNUMBER(AVERAGE('20250815_ETF_Options_Exhibits'!AA2073:AA2077)),AVERAGE('20250815_ETF_Options_Exhibits'!AA2073:AA2077),"")</f>
        <v/>
      </c>
    </row>
    <row r="2078">
      <c r="A2078" s="1" t="n">
        <v>45016</v>
      </c>
      <c r="B2078" s="3">
        <f>IF(ISNUMBER(AVERAGE('20250815_ETF_Options_Exhibits'!B2074:B2078)),AVERAGE('20250815_ETF_Options_Exhibits'!B2074:B2078),"")</f>
        <v/>
      </c>
      <c r="C2078" s="3">
        <f>IF(ISNUMBER(AVERAGE('20250815_ETF_Options_Exhibits'!C2074:C2078)),AVERAGE('20250815_ETF_Options_Exhibits'!C2074:C2078),"")</f>
        <v/>
      </c>
      <c r="D2078" s="3">
        <f>IF(ISNUMBER(AVERAGE('20250815_ETF_Options_Exhibits'!D2074:D2078)),AVERAGE('20250815_ETF_Options_Exhibits'!D2074:D2078),"")</f>
        <v/>
      </c>
      <c r="E2078" s="3">
        <f>IF(ISNUMBER(AVERAGE('20250815_ETF_Options_Exhibits'!E2074:E2078)),AVERAGE('20250815_ETF_Options_Exhibits'!E2074:E2078),"")</f>
        <v/>
      </c>
      <c r="F2078" s="3">
        <f>IF(ISNUMBER(AVERAGE('20250815_ETF_Options_Exhibits'!F2074:F2078)),AVERAGE('20250815_ETF_Options_Exhibits'!F2074:F2078),"")</f>
        <v/>
      </c>
      <c r="G2078" s="3">
        <f>IF(ISNUMBER(AVERAGE('20250815_ETF_Options_Exhibits'!G2074:G2078)),AVERAGE('20250815_ETF_Options_Exhibits'!G2074:G2078),"")</f>
        <v/>
      </c>
      <c r="H2078" s="3">
        <f>IF(ISNUMBER(AVERAGE('20250815_ETF_Options_Exhibits'!H2074:H2078)),AVERAGE('20250815_ETF_Options_Exhibits'!H2074:H2078),"")</f>
        <v/>
      </c>
      <c r="I2078" s="3">
        <f>IF(ISNUMBER(AVERAGE('20250815_ETF_Options_Exhibits'!I2074:I2078)),AVERAGE('20250815_ETF_Options_Exhibits'!I2074:I2078),"")</f>
        <v/>
      </c>
      <c r="J2078" s="3">
        <f>IF(ISNUMBER(AVERAGE('20250815_ETF_Options_Exhibits'!J2074:J2078)),AVERAGE('20250815_ETF_Options_Exhibits'!J2074:J2078),"")</f>
        <v/>
      </c>
      <c r="K2078" s="3">
        <f>IF(ISNUMBER(AVERAGE('20250815_ETF_Options_Exhibits'!K2074:K2078)),AVERAGE('20250815_ETF_Options_Exhibits'!K2074:K2078),"")</f>
        <v/>
      </c>
      <c r="L2078" s="3">
        <f>IF(ISNUMBER(AVERAGE('20250815_ETF_Options_Exhibits'!L2074:L2078)),AVERAGE('20250815_ETF_Options_Exhibits'!L2074:L2078),"")</f>
        <v/>
      </c>
      <c r="M2078" s="3">
        <f>IF(ISNUMBER(AVERAGE('20250815_ETF_Options_Exhibits'!M2074:M2078)),AVERAGE('20250815_ETF_Options_Exhibits'!M2074:M2078),"")</f>
        <v/>
      </c>
      <c r="N2078" s="3">
        <f>IF(ISNUMBER(AVERAGE('20250815_ETF_Options_Exhibits'!N2074:N2078)),AVERAGE('20250815_ETF_Options_Exhibits'!N2074:N2078),"")</f>
        <v/>
      </c>
      <c r="O2078" s="3">
        <f>IF(ISNUMBER(AVERAGE('20250815_ETF_Options_Exhibits'!O2074:O2078)),AVERAGE('20250815_ETF_Options_Exhibits'!O2074:O2078),"")</f>
        <v/>
      </c>
      <c r="P2078" s="3">
        <f>IF(ISNUMBER(AVERAGE('20250815_ETF_Options_Exhibits'!P2074:P2078)),AVERAGE('20250815_ETF_Options_Exhibits'!P2074:P2078),"")</f>
        <v/>
      </c>
      <c r="Q2078" s="3">
        <f>IF(ISNUMBER(AVERAGE('20250815_ETF_Options_Exhibits'!Q2074:Q2078)),AVERAGE('20250815_ETF_Options_Exhibits'!Q2074:Q2078),"")</f>
        <v/>
      </c>
      <c r="R2078" s="3">
        <f>IF(ISNUMBER(AVERAGE('20250815_ETF_Options_Exhibits'!R2074:R2078)),AVERAGE('20250815_ETF_Options_Exhibits'!R2074:R2078),"")</f>
        <v/>
      </c>
      <c r="S2078" s="3">
        <f>IF(ISNUMBER(AVERAGE('20250815_ETF_Options_Exhibits'!S2074:S2078)),AVERAGE('20250815_ETF_Options_Exhibits'!S2074:S2078),"")</f>
        <v/>
      </c>
      <c r="T2078" s="3">
        <f>IF(ISNUMBER(AVERAGE('20250815_ETF_Options_Exhibits'!T2074:T2078)),AVERAGE('20250815_ETF_Options_Exhibits'!T2074:T2078),"")</f>
        <v/>
      </c>
      <c r="U2078" s="3">
        <f>IF(ISNUMBER(AVERAGE('20250815_ETF_Options_Exhibits'!U2074:U2078)),AVERAGE('20250815_ETF_Options_Exhibits'!U2074:U2078),"")</f>
        <v/>
      </c>
      <c r="V2078" s="3">
        <f>IF(ISNUMBER(AVERAGE('20250815_ETF_Options_Exhibits'!V2074:V2078)),AVERAGE('20250815_ETF_Options_Exhibits'!V2074:V2078),"")</f>
        <v/>
      </c>
      <c r="W2078" s="3">
        <f>IF(ISNUMBER(AVERAGE('20250815_ETF_Options_Exhibits'!W2074:W2078)),AVERAGE('20250815_ETF_Options_Exhibits'!W2074:W2078),"")</f>
        <v/>
      </c>
      <c r="X2078" s="3">
        <f>IF(ISNUMBER(AVERAGE('20250815_ETF_Options_Exhibits'!X2074:X2078)),AVERAGE('20250815_ETF_Options_Exhibits'!X2074:X2078),"")</f>
        <v/>
      </c>
      <c r="Y2078" s="3">
        <f>IF(ISNUMBER(AVERAGE('20250815_ETF_Options_Exhibits'!Y2074:Y2078)),AVERAGE('20250815_ETF_Options_Exhibits'!Y2074:Y2078),"")</f>
        <v/>
      </c>
      <c r="Z2078" s="3">
        <f>IF(ISNUMBER(AVERAGE('20250815_ETF_Options_Exhibits'!Z2074:Z2078)),AVERAGE('20250815_ETF_Options_Exhibits'!Z2074:Z2078),"")</f>
        <v/>
      </c>
      <c r="AA2078" s="3">
        <f>IF(ISNUMBER(AVERAGE('20250815_ETF_Options_Exhibits'!AA2074:AA2078)),AVERAGE('20250815_ETF_Options_Exhibits'!AA2074:AA2078),"")</f>
        <v/>
      </c>
    </row>
    <row r="2079">
      <c r="A2079" s="1" t="n">
        <v>45019</v>
      </c>
      <c r="B2079" s="3">
        <f>IF(ISNUMBER(AVERAGE('20250815_ETF_Options_Exhibits'!B2075:B2079)),AVERAGE('20250815_ETF_Options_Exhibits'!B2075:B2079),"")</f>
        <v/>
      </c>
      <c r="C2079" s="3">
        <f>IF(ISNUMBER(AVERAGE('20250815_ETF_Options_Exhibits'!C2075:C2079)),AVERAGE('20250815_ETF_Options_Exhibits'!C2075:C2079),"")</f>
        <v/>
      </c>
      <c r="D2079" s="3">
        <f>IF(ISNUMBER(AVERAGE('20250815_ETF_Options_Exhibits'!D2075:D2079)),AVERAGE('20250815_ETF_Options_Exhibits'!D2075:D2079),"")</f>
        <v/>
      </c>
      <c r="E2079" s="3">
        <f>IF(ISNUMBER(AVERAGE('20250815_ETF_Options_Exhibits'!E2075:E2079)),AVERAGE('20250815_ETF_Options_Exhibits'!E2075:E2079),"")</f>
        <v/>
      </c>
      <c r="F2079" s="3">
        <f>IF(ISNUMBER(AVERAGE('20250815_ETF_Options_Exhibits'!F2075:F2079)),AVERAGE('20250815_ETF_Options_Exhibits'!F2075:F2079),"")</f>
        <v/>
      </c>
      <c r="G2079" s="3">
        <f>IF(ISNUMBER(AVERAGE('20250815_ETF_Options_Exhibits'!G2075:G2079)),AVERAGE('20250815_ETF_Options_Exhibits'!G2075:G2079),"")</f>
        <v/>
      </c>
      <c r="H2079" s="3">
        <f>IF(ISNUMBER(AVERAGE('20250815_ETF_Options_Exhibits'!H2075:H2079)),AVERAGE('20250815_ETF_Options_Exhibits'!H2075:H2079),"")</f>
        <v/>
      </c>
      <c r="I2079" s="3">
        <f>IF(ISNUMBER(AVERAGE('20250815_ETF_Options_Exhibits'!I2075:I2079)),AVERAGE('20250815_ETF_Options_Exhibits'!I2075:I2079),"")</f>
        <v/>
      </c>
      <c r="J2079" s="3">
        <f>IF(ISNUMBER(AVERAGE('20250815_ETF_Options_Exhibits'!J2075:J2079)),AVERAGE('20250815_ETF_Options_Exhibits'!J2075:J2079),"")</f>
        <v/>
      </c>
      <c r="K2079" s="3">
        <f>IF(ISNUMBER(AVERAGE('20250815_ETF_Options_Exhibits'!K2075:K2079)),AVERAGE('20250815_ETF_Options_Exhibits'!K2075:K2079),"")</f>
        <v/>
      </c>
      <c r="L2079" s="3">
        <f>IF(ISNUMBER(AVERAGE('20250815_ETF_Options_Exhibits'!L2075:L2079)),AVERAGE('20250815_ETF_Options_Exhibits'!L2075:L2079),"")</f>
        <v/>
      </c>
      <c r="M2079" s="3">
        <f>IF(ISNUMBER(AVERAGE('20250815_ETF_Options_Exhibits'!M2075:M2079)),AVERAGE('20250815_ETF_Options_Exhibits'!M2075:M2079),"")</f>
        <v/>
      </c>
      <c r="N2079" s="3">
        <f>IF(ISNUMBER(AVERAGE('20250815_ETF_Options_Exhibits'!N2075:N2079)),AVERAGE('20250815_ETF_Options_Exhibits'!N2075:N2079),"")</f>
        <v/>
      </c>
      <c r="O2079" s="3">
        <f>IF(ISNUMBER(AVERAGE('20250815_ETF_Options_Exhibits'!O2075:O2079)),AVERAGE('20250815_ETF_Options_Exhibits'!O2075:O2079),"")</f>
        <v/>
      </c>
      <c r="P2079" s="3">
        <f>IF(ISNUMBER(AVERAGE('20250815_ETF_Options_Exhibits'!P2075:P2079)),AVERAGE('20250815_ETF_Options_Exhibits'!P2075:P2079),"")</f>
        <v/>
      </c>
      <c r="Q2079" s="3">
        <f>IF(ISNUMBER(AVERAGE('20250815_ETF_Options_Exhibits'!Q2075:Q2079)),AVERAGE('20250815_ETF_Options_Exhibits'!Q2075:Q2079),"")</f>
        <v/>
      </c>
      <c r="R2079" s="3">
        <f>IF(ISNUMBER(AVERAGE('20250815_ETF_Options_Exhibits'!R2075:R2079)),AVERAGE('20250815_ETF_Options_Exhibits'!R2075:R2079),"")</f>
        <v/>
      </c>
      <c r="S2079" s="3">
        <f>IF(ISNUMBER(AVERAGE('20250815_ETF_Options_Exhibits'!S2075:S2079)),AVERAGE('20250815_ETF_Options_Exhibits'!S2075:S2079),"")</f>
        <v/>
      </c>
      <c r="T2079" s="3">
        <f>IF(ISNUMBER(AVERAGE('20250815_ETF_Options_Exhibits'!T2075:T2079)),AVERAGE('20250815_ETF_Options_Exhibits'!T2075:T2079),"")</f>
        <v/>
      </c>
      <c r="U2079" s="3">
        <f>IF(ISNUMBER(AVERAGE('20250815_ETF_Options_Exhibits'!U2075:U2079)),AVERAGE('20250815_ETF_Options_Exhibits'!U2075:U2079),"")</f>
        <v/>
      </c>
      <c r="V2079" s="3">
        <f>IF(ISNUMBER(AVERAGE('20250815_ETF_Options_Exhibits'!V2075:V2079)),AVERAGE('20250815_ETF_Options_Exhibits'!V2075:V2079),"")</f>
        <v/>
      </c>
      <c r="W2079" s="3">
        <f>IF(ISNUMBER(AVERAGE('20250815_ETF_Options_Exhibits'!W2075:W2079)),AVERAGE('20250815_ETF_Options_Exhibits'!W2075:W2079),"")</f>
        <v/>
      </c>
      <c r="X2079" s="3">
        <f>IF(ISNUMBER(AVERAGE('20250815_ETF_Options_Exhibits'!X2075:X2079)),AVERAGE('20250815_ETF_Options_Exhibits'!X2075:X2079),"")</f>
        <v/>
      </c>
      <c r="Y2079" s="3">
        <f>IF(ISNUMBER(AVERAGE('20250815_ETF_Options_Exhibits'!Y2075:Y2079)),AVERAGE('20250815_ETF_Options_Exhibits'!Y2075:Y2079),"")</f>
        <v/>
      </c>
      <c r="Z2079" s="3">
        <f>IF(ISNUMBER(AVERAGE('20250815_ETF_Options_Exhibits'!Z2075:Z2079)),AVERAGE('20250815_ETF_Options_Exhibits'!Z2075:Z2079),"")</f>
        <v/>
      </c>
      <c r="AA2079" s="3">
        <f>IF(ISNUMBER(AVERAGE('20250815_ETF_Options_Exhibits'!AA2075:AA2079)),AVERAGE('20250815_ETF_Options_Exhibits'!AA2075:AA2079),"")</f>
        <v/>
      </c>
    </row>
    <row r="2080">
      <c r="A2080" s="1" t="n">
        <v>45020</v>
      </c>
      <c r="B2080" s="3">
        <f>IF(ISNUMBER(AVERAGE('20250815_ETF_Options_Exhibits'!B2076:B2080)),AVERAGE('20250815_ETF_Options_Exhibits'!B2076:B2080),"")</f>
        <v/>
      </c>
      <c r="C2080" s="3">
        <f>IF(ISNUMBER(AVERAGE('20250815_ETF_Options_Exhibits'!C2076:C2080)),AVERAGE('20250815_ETF_Options_Exhibits'!C2076:C2080),"")</f>
        <v/>
      </c>
      <c r="D2080" s="3">
        <f>IF(ISNUMBER(AVERAGE('20250815_ETF_Options_Exhibits'!D2076:D2080)),AVERAGE('20250815_ETF_Options_Exhibits'!D2076:D2080),"")</f>
        <v/>
      </c>
      <c r="E2080" s="3">
        <f>IF(ISNUMBER(AVERAGE('20250815_ETF_Options_Exhibits'!E2076:E2080)),AVERAGE('20250815_ETF_Options_Exhibits'!E2076:E2080),"")</f>
        <v/>
      </c>
      <c r="F2080" s="3">
        <f>IF(ISNUMBER(AVERAGE('20250815_ETF_Options_Exhibits'!F2076:F2080)),AVERAGE('20250815_ETF_Options_Exhibits'!F2076:F2080),"")</f>
        <v/>
      </c>
      <c r="G2080" s="3">
        <f>IF(ISNUMBER(AVERAGE('20250815_ETF_Options_Exhibits'!G2076:G2080)),AVERAGE('20250815_ETF_Options_Exhibits'!G2076:G2080),"")</f>
        <v/>
      </c>
      <c r="H2080" s="3">
        <f>IF(ISNUMBER(AVERAGE('20250815_ETF_Options_Exhibits'!H2076:H2080)),AVERAGE('20250815_ETF_Options_Exhibits'!H2076:H2080),"")</f>
        <v/>
      </c>
      <c r="I2080" s="3">
        <f>IF(ISNUMBER(AVERAGE('20250815_ETF_Options_Exhibits'!I2076:I2080)),AVERAGE('20250815_ETF_Options_Exhibits'!I2076:I2080),"")</f>
        <v/>
      </c>
      <c r="J2080" s="3">
        <f>IF(ISNUMBER(AVERAGE('20250815_ETF_Options_Exhibits'!J2076:J2080)),AVERAGE('20250815_ETF_Options_Exhibits'!J2076:J2080),"")</f>
        <v/>
      </c>
      <c r="K2080" s="3">
        <f>IF(ISNUMBER(AVERAGE('20250815_ETF_Options_Exhibits'!K2076:K2080)),AVERAGE('20250815_ETF_Options_Exhibits'!K2076:K2080),"")</f>
        <v/>
      </c>
      <c r="L2080" s="3">
        <f>IF(ISNUMBER(AVERAGE('20250815_ETF_Options_Exhibits'!L2076:L2080)),AVERAGE('20250815_ETF_Options_Exhibits'!L2076:L2080),"")</f>
        <v/>
      </c>
      <c r="M2080" s="3">
        <f>IF(ISNUMBER(AVERAGE('20250815_ETF_Options_Exhibits'!M2076:M2080)),AVERAGE('20250815_ETF_Options_Exhibits'!M2076:M2080),"")</f>
        <v/>
      </c>
      <c r="N2080" s="3">
        <f>IF(ISNUMBER(AVERAGE('20250815_ETF_Options_Exhibits'!N2076:N2080)),AVERAGE('20250815_ETF_Options_Exhibits'!N2076:N2080),"")</f>
        <v/>
      </c>
      <c r="O2080" s="3">
        <f>IF(ISNUMBER(AVERAGE('20250815_ETF_Options_Exhibits'!O2076:O2080)),AVERAGE('20250815_ETF_Options_Exhibits'!O2076:O2080),"")</f>
        <v/>
      </c>
      <c r="P2080" s="3">
        <f>IF(ISNUMBER(AVERAGE('20250815_ETF_Options_Exhibits'!P2076:P2080)),AVERAGE('20250815_ETF_Options_Exhibits'!P2076:P2080),"")</f>
        <v/>
      </c>
      <c r="Q2080" s="3">
        <f>IF(ISNUMBER(AVERAGE('20250815_ETF_Options_Exhibits'!Q2076:Q2080)),AVERAGE('20250815_ETF_Options_Exhibits'!Q2076:Q2080),"")</f>
        <v/>
      </c>
      <c r="R2080" s="3">
        <f>IF(ISNUMBER(AVERAGE('20250815_ETF_Options_Exhibits'!R2076:R2080)),AVERAGE('20250815_ETF_Options_Exhibits'!R2076:R2080),"")</f>
        <v/>
      </c>
      <c r="S2080" s="3">
        <f>IF(ISNUMBER(AVERAGE('20250815_ETF_Options_Exhibits'!S2076:S2080)),AVERAGE('20250815_ETF_Options_Exhibits'!S2076:S2080),"")</f>
        <v/>
      </c>
      <c r="T2080" s="3">
        <f>IF(ISNUMBER(AVERAGE('20250815_ETF_Options_Exhibits'!T2076:T2080)),AVERAGE('20250815_ETF_Options_Exhibits'!T2076:T2080),"")</f>
        <v/>
      </c>
      <c r="U2080" s="3">
        <f>IF(ISNUMBER(AVERAGE('20250815_ETF_Options_Exhibits'!U2076:U2080)),AVERAGE('20250815_ETF_Options_Exhibits'!U2076:U2080),"")</f>
        <v/>
      </c>
      <c r="V2080" s="3">
        <f>IF(ISNUMBER(AVERAGE('20250815_ETF_Options_Exhibits'!V2076:V2080)),AVERAGE('20250815_ETF_Options_Exhibits'!V2076:V2080),"")</f>
        <v/>
      </c>
      <c r="W2080" s="3">
        <f>IF(ISNUMBER(AVERAGE('20250815_ETF_Options_Exhibits'!W2076:W2080)),AVERAGE('20250815_ETF_Options_Exhibits'!W2076:W2080),"")</f>
        <v/>
      </c>
      <c r="X2080" s="3">
        <f>IF(ISNUMBER(AVERAGE('20250815_ETF_Options_Exhibits'!X2076:X2080)),AVERAGE('20250815_ETF_Options_Exhibits'!X2076:X2080),"")</f>
        <v/>
      </c>
      <c r="Y2080" s="3">
        <f>IF(ISNUMBER(AVERAGE('20250815_ETF_Options_Exhibits'!Y2076:Y2080)),AVERAGE('20250815_ETF_Options_Exhibits'!Y2076:Y2080),"")</f>
        <v/>
      </c>
      <c r="Z2080" s="3">
        <f>IF(ISNUMBER(AVERAGE('20250815_ETF_Options_Exhibits'!Z2076:Z2080)),AVERAGE('20250815_ETF_Options_Exhibits'!Z2076:Z2080),"")</f>
        <v/>
      </c>
      <c r="AA2080" s="3">
        <f>IF(ISNUMBER(AVERAGE('20250815_ETF_Options_Exhibits'!AA2076:AA2080)),AVERAGE('20250815_ETF_Options_Exhibits'!AA2076:AA2080),"")</f>
        <v/>
      </c>
    </row>
    <row r="2081">
      <c r="A2081" s="1" t="n">
        <v>45021</v>
      </c>
      <c r="B2081" s="3">
        <f>IF(ISNUMBER(AVERAGE('20250815_ETF_Options_Exhibits'!B2077:B2081)),AVERAGE('20250815_ETF_Options_Exhibits'!B2077:B2081),"")</f>
        <v/>
      </c>
      <c r="C2081" s="3">
        <f>IF(ISNUMBER(AVERAGE('20250815_ETF_Options_Exhibits'!C2077:C2081)),AVERAGE('20250815_ETF_Options_Exhibits'!C2077:C2081),"")</f>
        <v/>
      </c>
      <c r="D2081" s="3">
        <f>IF(ISNUMBER(AVERAGE('20250815_ETF_Options_Exhibits'!D2077:D2081)),AVERAGE('20250815_ETF_Options_Exhibits'!D2077:D2081),"")</f>
        <v/>
      </c>
      <c r="E2081" s="3">
        <f>IF(ISNUMBER(AVERAGE('20250815_ETF_Options_Exhibits'!E2077:E2081)),AVERAGE('20250815_ETF_Options_Exhibits'!E2077:E2081),"")</f>
        <v/>
      </c>
      <c r="F2081" s="3">
        <f>IF(ISNUMBER(AVERAGE('20250815_ETF_Options_Exhibits'!F2077:F2081)),AVERAGE('20250815_ETF_Options_Exhibits'!F2077:F2081),"")</f>
        <v/>
      </c>
      <c r="G2081" s="3">
        <f>IF(ISNUMBER(AVERAGE('20250815_ETF_Options_Exhibits'!G2077:G2081)),AVERAGE('20250815_ETF_Options_Exhibits'!G2077:G2081),"")</f>
        <v/>
      </c>
      <c r="H2081" s="3">
        <f>IF(ISNUMBER(AVERAGE('20250815_ETF_Options_Exhibits'!H2077:H2081)),AVERAGE('20250815_ETF_Options_Exhibits'!H2077:H2081),"")</f>
        <v/>
      </c>
      <c r="I2081" s="3">
        <f>IF(ISNUMBER(AVERAGE('20250815_ETF_Options_Exhibits'!I2077:I2081)),AVERAGE('20250815_ETF_Options_Exhibits'!I2077:I2081),"")</f>
        <v/>
      </c>
      <c r="J2081" s="3">
        <f>IF(ISNUMBER(AVERAGE('20250815_ETF_Options_Exhibits'!J2077:J2081)),AVERAGE('20250815_ETF_Options_Exhibits'!J2077:J2081),"")</f>
        <v/>
      </c>
      <c r="K2081" s="3">
        <f>IF(ISNUMBER(AVERAGE('20250815_ETF_Options_Exhibits'!K2077:K2081)),AVERAGE('20250815_ETF_Options_Exhibits'!K2077:K2081),"")</f>
        <v/>
      </c>
      <c r="L2081" s="3">
        <f>IF(ISNUMBER(AVERAGE('20250815_ETF_Options_Exhibits'!L2077:L2081)),AVERAGE('20250815_ETF_Options_Exhibits'!L2077:L2081),"")</f>
        <v/>
      </c>
      <c r="M2081" s="3">
        <f>IF(ISNUMBER(AVERAGE('20250815_ETF_Options_Exhibits'!M2077:M2081)),AVERAGE('20250815_ETF_Options_Exhibits'!M2077:M2081),"")</f>
        <v/>
      </c>
      <c r="N2081" s="3">
        <f>IF(ISNUMBER(AVERAGE('20250815_ETF_Options_Exhibits'!N2077:N2081)),AVERAGE('20250815_ETF_Options_Exhibits'!N2077:N2081),"")</f>
        <v/>
      </c>
      <c r="O2081" s="3">
        <f>IF(ISNUMBER(AVERAGE('20250815_ETF_Options_Exhibits'!O2077:O2081)),AVERAGE('20250815_ETF_Options_Exhibits'!O2077:O2081),"")</f>
        <v/>
      </c>
      <c r="P2081" s="3">
        <f>IF(ISNUMBER(AVERAGE('20250815_ETF_Options_Exhibits'!P2077:P2081)),AVERAGE('20250815_ETF_Options_Exhibits'!P2077:P2081),"")</f>
        <v/>
      </c>
      <c r="Q2081" s="3">
        <f>IF(ISNUMBER(AVERAGE('20250815_ETF_Options_Exhibits'!Q2077:Q2081)),AVERAGE('20250815_ETF_Options_Exhibits'!Q2077:Q2081),"")</f>
        <v/>
      </c>
      <c r="R2081" s="3">
        <f>IF(ISNUMBER(AVERAGE('20250815_ETF_Options_Exhibits'!R2077:R2081)),AVERAGE('20250815_ETF_Options_Exhibits'!R2077:R2081),"")</f>
        <v/>
      </c>
      <c r="S2081" s="3">
        <f>IF(ISNUMBER(AVERAGE('20250815_ETF_Options_Exhibits'!S2077:S2081)),AVERAGE('20250815_ETF_Options_Exhibits'!S2077:S2081),"")</f>
        <v/>
      </c>
      <c r="T2081" s="3">
        <f>IF(ISNUMBER(AVERAGE('20250815_ETF_Options_Exhibits'!T2077:T2081)),AVERAGE('20250815_ETF_Options_Exhibits'!T2077:T2081),"")</f>
        <v/>
      </c>
      <c r="U2081" s="3">
        <f>IF(ISNUMBER(AVERAGE('20250815_ETF_Options_Exhibits'!U2077:U2081)),AVERAGE('20250815_ETF_Options_Exhibits'!U2077:U2081),"")</f>
        <v/>
      </c>
      <c r="V2081" s="3">
        <f>IF(ISNUMBER(AVERAGE('20250815_ETF_Options_Exhibits'!V2077:V2081)),AVERAGE('20250815_ETF_Options_Exhibits'!V2077:V2081),"")</f>
        <v/>
      </c>
      <c r="W2081" s="3">
        <f>IF(ISNUMBER(AVERAGE('20250815_ETF_Options_Exhibits'!W2077:W2081)),AVERAGE('20250815_ETF_Options_Exhibits'!W2077:W2081),"")</f>
        <v/>
      </c>
      <c r="X2081" s="3">
        <f>IF(ISNUMBER(AVERAGE('20250815_ETF_Options_Exhibits'!X2077:X2081)),AVERAGE('20250815_ETF_Options_Exhibits'!X2077:X2081),"")</f>
        <v/>
      </c>
      <c r="Y2081" s="3">
        <f>IF(ISNUMBER(AVERAGE('20250815_ETF_Options_Exhibits'!Y2077:Y2081)),AVERAGE('20250815_ETF_Options_Exhibits'!Y2077:Y2081),"")</f>
        <v/>
      </c>
      <c r="Z2081" s="3">
        <f>IF(ISNUMBER(AVERAGE('20250815_ETF_Options_Exhibits'!Z2077:Z2081)),AVERAGE('20250815_ETF_Options_Exhibits'!Z2077:Z2081),"")</f>
        <v/>
      </c>
      <c r="AA2081" s="3">
        <f>IF(ISNUMBER(AVERAGE('20250815_ETF_Options_Exhibits'!AA2077:AA2081)),AVERAGE('20250815_ETF_Options_Exhibits'!AA2077:AA2081),"")</f>
        <v/>
      </c>
    </row>
    <row r="2082">
      <c r="A2082" s="1" t="n">
        <v>45022</v>
      </c>
      <c r="B2082" s="3">
        <f>IF(ISNUMBER(AVERAGE('20250815_ETF_Options_Exhibits'!B2078:B2082)),AVERAGE('20250815_ETF_Options_Exhibits'!B2078:B2082),"")</f>
        <v/>
      </c>
      <c r="C2082" s="3">
        <f>IF(ISNUMBER(AVERAGE('20250815_ETF_Options_Exhibits'!C2078:C2082)),AVERAGE('20250815_ETF_Options_Exhibits'!C2078:C2082),"")</f>
        <v/>
      </c>
      <c r="D2082" s="3">
        <f>IF(ISNUMBER(AVERAGE('20250815_ETF_Options_Exhibits'!D2078:D2082)),AVERAGE('20250815_ETF_Options_Exhibits'!D2078:D2082),"")</f>
        <v/>
      </c>
      <c r="E2082" s="3">
        <f>IF(ISNUMBER(AVERAGE('20250815_ETF_Options_Exhibits'!E2078:E2082)),AVERAGE('20250815_ETF_Options_Exhibits'!E2078:E2082),"")</f>
        <v/>
      </c>
      <c r="F2082" s="3">
        <f>IF(ISNUMBER(AVERAGE('20250815_ETF_Options_Exhibits'!F2078:F2082)),AVERAGE('20250815_ETF_Options_Exhibits'!F2078:F2082),"")</f>
        <v/>
      </c>
      <c r="G2082" s="3">
        <f>IF(ISNUMBER(AVERAGE('20250815_ETF_Options_Exhibits'!G2078:G2082)),AVERAGE('20250815_ETF_Options_Exhibits'!G2078:G2082),"")</f>
        <v/>
      </c>
      <c r="H2082" s="3">
        <f>IF(ISNUMBER(AVERAGE('20250815_ETF_Options_Exhibits'!H2078:H2082)),AVERAGE('20250815_ETF_Options_Exhibits'!H2078:H2082),"")</f>
        <v/>
      </c>
      <c r="I2082" s="3">
        <f>IF(ISNUMBER(AVERAGE('20250815_ETF_Options_Exhibits'!I2078:I2082)),AVERAGE('20250815_ETF_Options_Exhibits'!I2078:I2082),"")</f>
        <v/>
      </c>
      <c r="J2082" s="3">
        <f>IF(ISNUMBER(AVERAGE('20250815_ETF_Options_Exhibits'!J2078:J2082)),AVERAGE('20250815_ETF_Options_Exhibits'!J2078:J2082),"")</f>
        <v/>
      </c>
      <c r="K2082" s="3">
        <f>IF(ISNUMBER(AVERAGE('20250815_ETF_Options_Exhibits'!K2078:K2082)),AVERAGE('20250815_ETF_Options_Exhibits'!K2078:K2082),"")</f>
        <v/>
      </c>
      <c r="L2082" s="3">
        <f>IF(ISNUMBER(AVERAGE('20250815_ETF_Options_Exhibits'!L2078:L2082)),AVERAGE('20250815_ETF_Options_Exhibits'!L2078:L2082),"")</f>
        <v/>
      </c>
      <c r="M2082" s="3">
        <f>IF(ISNUMBER(AVERAGE('20250815_ETF_Options_Exhibits'!M2078:M2082)),AVERAGE('20250815_ETF_Options_Exhibits'!M2078:M2082),"")</f>
        <v/>
      </c>
      <c r="N2082" s="3">
        <f>IF(ISNUMBER(AVERAGE('20250815_ETF_Options_Exhibits'!N2078:N2082)),AVERAGE('20250815_ETF_Options_Exhibits'!N2078:N2082),"")</f>
        <v/>
      </c>
      <c r="O2082" s="3">
        <f>IF(ISNUMBER(AVERAGE('20250815_ETF_Options_Exhibits'!O2078:O2082)),AVERAGE('20250815_ETF_Options_Exhibits'!O2078:O2082),"")</f>
        <v/>
      </c>
      <c r="P2082" s="3">
        <f>IF(ISNUMBER(AVERAGE('20250815_ETF_Options_Exhibits'!P2078:P2082)),AVERAGE('20250815_ETF_Options_Exhibits'!P2078:P2082),"")</f>
        <v/>
      </c>
      <c r="Q2082" s="3">
        <f>IF(ISNUMBER(AVERAGE('20250815_ETF_Options_Exhibits'!Q2078:Q2082)),AVERAGE('20250815_ETF_Options_Exhibits'!Q2078:Q2082),"")</f>
        <v/>
      </c>
      <c r="R2082" s="3">
        <f>IF(ISNUMBER(AVERAGE('20250815_ETF_Options_Exhibits'!R2078:R2082)),AVERAGE('20250815_ETF_Options_Exhibits'!R2078:R2082),"")</f>
        <v/>
      </c>
      <c r="S2082" s="3">
        <f>IF(ISNUMBER(AVERAGE('20250815_ETF_Options_Exhibits'!S2078:S2082)),AVERAGE('20250815_ETF_Options_Exhibits'!S2078:S2082),"")</f>
        <v/>
      </c>
      <c r="T2082" s="3">
        <f>IF(ISNUMBER(AVERAGE('20250815_ETF_Options_Exhibits'!T2078:T2082)),AVERAGE('20250815_ETF_Options_Exhibits'!T2078:T2082),"")</f>
        <v/>
      </c>
      <c r="U2082" s="3">
        <f>IF(ISNUMBER(AVERAGE('20250815_ETF_Options_Exhibits'!U2078:U2082)),AVERAGE('20250815_ETF_Options_Exhibits'!U2078:U2082),"")</f>
        <v/>
      </c>
      <c r="V2082" s="3">
        <f>IF(ISNUMBER(AVERAGE('20250815_ETF_Options_Exhibits'!V2078:V2082)),AVERAGE('20250815_ETF_Options_Exhibits'!V2078:V2082),"")</f>
        <v/>
      </c>
      <c r="W2082" s="3">
        <f>IF(ISNUMBER(AVERAGE('20250815_ETF_Options_Exhibits'!W2078:W2082)),AVERAGE('20250815_ETF_Options_Exhibits'!W2078:W2082),"")</f>
        <v/>
      </c>
      <c r="X2082" s="3">
        <f>IF(ISNUMBER(AVERAGE('20250815_ETF_Options_Exhibits'!X2078:X2082)),AVERAGE('20250815_ETF_Options_Exhibits'!X2078:X2082),"")</f>
        <v/>
      </c>
      <c r="Y2082" s="3">
        <f>IF(ISNUMBER(AVERAGE('20250815_ETF_Options_Exhibits'!Y2078:Y2082)),AVERAGE('20250815_ETF_Options_Exhibits'!Y2078:Y2082),"")</f>
        <v/>
      </c>
      <c r="Z2082" s="3">
        <f>IF(ISNUMBER(AVERAGE('20250815_ETF_Options_Exhibits'!Z2078:Z2082)),AVERAGE('20250815_ETF_Options_Exhibits'!Z2078:Z2082),"")</f>
        <v/>
      </c>
      <c r="AA2082" s="3">
        <f>IF(ISNUMBER(AVERAGE('20250815_ETF_Options_Exhibits'!AA2078:AA2082)),AVERAGE('20250815_ETF_Options_Exhibits'!AA2078:AA2082),"")</f>
        <v/>
      </c>
    </row>
    <row r="2083">
      <c r="A2083" s="1" t="n">
        <v>45026</v>
      </c>
      <c r="B2083" s="3">
        <f>IF(ISNUMBER(AVERAGE('20250815_ETF_Options_Exhibits'!B2079:B2083)),AVERAGE('20250815_ETF_Options_Exhibits'!B2079:B2083),"")</f>
        <v/>
      </c>
      <c r="C2083" s="3">
        <f>IF(ISNUMBER(AVERAGE('20250815_ETF_Options_Exhibits'!C2079:C2083)),AVERAGE('20250815_ETF_Options_Exhibits'!C2079:C2083),"")</f>
        <v/>
      </c>
      <c r="D2083" s="3">
        <f>IF(ISNUMBER(AVERAGE('20250815_ETF_Options_Exhibits'!D2079:D2083)),AVERAGE('20250815_ETF_Options_Exhibits'!D2079:D2083),"")</f>
        <v/>
      </c>
      <c r="E2083" s="3">
        <f>IF(ISNUMBER(AVERAGE('20250815_ETF_Options_Exhibits'!E2079:E2083)),AVERAGE('20250815_ETF_Options_Exhibits'!E2079:E2083),"")</f>
        <v/>
      </c>
      <c r="F2083" s="3">
        <f>IF(ISNUMBER(AVERAGE('20250815_ETF_Options_Exhibits'!F2079:F2083)),AVERAGE('20250815_ETF_Options_Exhibits'!F2079:F2083),"")</f>
        <v/>
      </c>
      <c r="G2083" s="3">
        <f>IF(ISNUMBER(AVERAGE('20250815_ETF_Options_Exhibits'!G2079:G2083)),AVERAGE('20250815_ETF_Options_Exhibits'!G2079:G2083),"")</f>
        <v/>
      </c>
      <c r="H2083" s="3">
        <f>IF(ISNUMBER(AVERAGE('20250815_ETF_Options_Exhibits'!H2079:H2083)),AVERAGE('20250815_ETF_Options_Exhibits'!H2079:H2083),"")</f>
        <v/>
      </c>
      <c r="I2083" s="3">
        <f>IF(ISNUMBER(AVERAGE('20250815_ETF_Options_Exhibits'!I2079:I2083)),AVERAGE('20250815_ETF_Options_Exhibits'!I2079:I2083),"")</f>
        <v/>
      </c>
      <c r="J2083" s="3">
        <f>IF(ISNUMBER(AVERAGE('20250815_ETF_Options_Exhibits'!J2079:J2083)),AVERAGE('20250815_ETF_Options_Exhibits'!J2079:J2083),"")</f>
        <v/>
      </c>
      <c r="K2083" s="3">
        <f>IF(ISNUMBER(AVERAGE('20250815_ETF_Options_Exhibits'!K2079:K2083)),AVERAGE('20250815_ETF_Options_Exhibits'!K2079:K2083),"")</f>
        <v/>
      </c>
      <c r="L2083" s="3">
        <f>IF(ISNUMBER(AVERAGE('20250815_ETF_Options_Exhibits'!L2079:L2083)),AVERAGE('20250815_ETF_Options_Exhibits'!L2079:L2083),"")</f>
        <v/>
      </c>
      <c r="M2083" s="3">
        <f>IF(ISNUMBER(AVERAGE('20250815_ETF_Options_Exhibits'!M2079:M2083)),AVERAGE('20250815_ETF_Options_Exhibits'!M2079:M2083),"")</f>
        <v/>
      </c>
      <c r="N2083" s="3">
        <f>IF(ISNUMBER(AVERAGE('20250815_ETF_Options_Exhibits'!N2079:N2083)),AVERAGE('20250815_ETF_Options_Exhibits'!N2079:N2083),"")</f>
        <v/>
      </c>
      <c r="O2083" s="3">
        <f>IF(ISNUMBER(AVERAGE('20250815_ETF_Options_Exhibits'!O2079:O2083)),AVERAGE('20250815_ETF_Options_Exhibits'!O2079:O2083),"")</f>
        <v/>
      </c>
      <c r="P2083" s="3">
        <f>IF(ISNUMBER(AVERAGE('20250815_ETF_Options_Exhibits'!P2079:P2083)),AVERAGE('20250815_ETF_Options_Exhibits'!P2079:P2083),"")</f>
        <v/>
      </c>
      <c r="Q2083" s="3">
        <f>IF(ISNUMBER(AVERAGE('20250815_ETF_Options_Exhibits'!Q2079:Q2083)),AVERAGE('20250815_ETF_Options_Exhibits'!Q2079:Q2083),"")</f>
        <v/>
      </c>
      <c r="R2083" s="3">
        <f>IF(ISNUMBER(AVERAGE('20250815_ETF_Options_Exhibits'!R2079:R2083)),AVERAGE('20250815_ETF_Options_Exhibits'!R2079:R2083),"")</f>
        <v/>
      </c>
      <c r="S2083" s="3">
        <f>IF(ISNUMBER(AVERAGE('20250815_ETF_Options_Exhibits'!S2079:S2083)),AVERAGE('20250815_ETF_Options_Exhibits'!S2079:S2083),"")</f>
        <v/>
      </c>
      <c r="T2083" s="3">
        <f>IF(ISNUMBER(AVERAGE('20250815_ETF_Options_Exhibits'!T2079:T2083)),AVERAGE('20250815_ETF_Options_Exhibits'!T2079:T2083),"")</f>
        <v/>
      </c>
      <c r="U2083" s="3">
        <f>IF(ISNUMBER(AVERAGE('20250815_ETF_Options_Exhibits'!U2079:U2083)),AVERAGE('20250815_ETF_Options_Exhibits'!U2079:U2083),"")</f>
        <v/>
      </c>
      <c r="V2083" s="3">
        <f>IF(ISNUMBER(AVERAGE('20250815_ETF_Options_Exhibits'!V2079:V2083)),AVERAGE('20250815_ETF_Options_Exhibits'!V2079:V2083),"")</f>
        <v/>
      </c>
      <c r="W2083" s="3">
        <f>IF(ISNUMBER(AVERAGE('20250815_ETF_Options_Exhibits'!W2079:W2083)),AVERAGE('20250815_ETF_Options_Exhibits'!W2079:W2083),"")</f>
        <v/>
      </c>
      <c r="X2083" s="3">
        <f>IF(ISNUMBER(AVERAGE('20250815_ETF_Options_Exhibits'!X2079:X2083)),AVERAGE('20250815_ETF_Options_Exhibits'!X2079:X2083),"")</f>
        <v/>
      </c>
      <c r="Y2083" s="3">
        <f>IF(ISNUMBER(AVERAGE('20250815_ETF_Options_Exhibits'!Y2079:Y2083)),AVERAGE('20250815_ETF_Options_Exhibits'!Y2079:Y2083),"")</f>
        <v/>
      </c>
      <c r="Z2083" s="3">
        <f>IF(ISNUMBER(AVERAGE('20250815_ETF_Options_Exhibits'!Z2079:Z2083)),AVERAGE('20250815_ETF_Options_Exhibits'!Z2079:Z2083),"")</f>
        <v/>
      </c>
      <c r="AA2083" s="3">
        <f>IF(ISNUMBER(AVERAGE('20250815_ETF_Options_Exhibits'!AA2079:AA2083)),AVERAGE('20250815_ETF_Options_Exhibits'!AA2079:AA2083),"")</f>
        <v/>
      </c>
    </row>
    <row r="2084">
      <c r="A2084" s="1" t="n">
        <v>45027</v>
      </c>
      <c r="B2084" s="3">
        <f>IF(ISNUMBER(AVERAGE('20250815_ETF_Options_Exhibits'!B2080:B2084)),AVERAGE('20250815_ETF_Options_Exhibits'!B2080:B2084),"")</f>
        <v/>
      </c>
      <c r="C2084" s="3">
        <f>IF(ISNUMBER(AVERAGE('20250815_ETF_Options_Exhibits'!C2080:C2084)),AVERAGE('20250815_ETF_Options_Exhibits'!C2080:C2084),"")</f>
        <v/>
      </c>
      <c r="D2084" s="3">
        <f>IF(ISNUMBER(AVERAGE('20250815_ETF_Options_Exhibits'!D2080:D2084)),AVERAGE('20250815_ETF_Options_Exhibits'!D2080:D2084),"")</f>
        <v/>
      </c>
      <c r="E2084" s="3">
        <f>IF(ISNUMBER(AVERAGE('20250815_ETF_Options_Exhibits'!E2080:E2084)),AVERAGE('20250815_ETF_Options_Exhibits'!E2080:E2084),"")</f>
        <v/>
      </c>
      <c r="F2084" s="3">
        <f>IF(ISNUMBER(AVERAGE('20250815_ETF_Options_Exhibits'!F2080:F2084)),AVERAGE('20250815_ETF_Options_Exhibits'!F2080:F2084),"")</f>
        <v/>
      </c>
      <c r="G2084" s="3">
        <f>IF(ISNUMBER(AVERAGE('20250815_ETF_Options_Exhibits'!G2080:G2084)),AVERAGE('20250815_ETF_Options_Exhibits'!G2080:G2084),"")</f>
        <v/>
      </c>
      <c r="H2084" s="3">
        <f>IF(ISNUMBER(AVERAGE('20250815_ETF_Options_Exhibits'!H2080:H2084)),AVERAGE('20250815_ETF_Options_Exhibits'!H2080:H2084),"")</f>
        <v/>
      </c>
      <c r="I2084" s="3">
        <f>IF(ISNUMBER(AVERAGE('20250815_ETF_Options_Exhibits'!I2080:I2084)),AVERAGE('20250815_ETF_Options_Exhibits'!I2080:I2084),"")</f>
        <v/>
      </c>
      <c r="J2084" s="3">
        <f>IF(ISNUMBER(AVERAGE('20250815_ETF_Options_Exhibits'!J2080:J2084)),AVERAGE('20250815_ETF_Options_Exhibits'!J2080:J2084),"")</f>
        <v/>
      </c>
      <c r="K2084" s="3">
        <f>IF(ISNUMBER(AVERAGE('20250815_ETF_Options_Exhibits'!K2080:K2084)),AVERAGE('20250815_ETF_Options_Exhibits'!K2080:K2084),"")</f>
        <v/>
      </c>
      <c r="L2084" s="3">
        <f>IF(ISNUMBER(AVERAGE('20250815_ETF_Options_Exhibits'!L2080:L2084)),AVERAGE('20250815_ETF_Options_Exhibits'!L2080:L2084),"")</f>
        <v/>
      </c>
      <c r="M2084" s="3">
        <f>IF(ISNUMBER(AVERAGE('20250815_ETF_Options_Exhibits'!M2080:M2084)),AVERAGE('20250815_ETF_Options_Exhibits'!M2080:M2084),"")</f>
        <v/>
      </c>
      <c r="N2084" s="3">
        <f>IF(ISNUMBER(AVERAGE('20250815_ETF_Options_Exhibits'!N2080:N2084)),AVERAGE('20250815_ETF_Options_Exhibits'!N2080:N2084),"")</f>
        <v/>
      </c>
      <c r="O2084" s="3">
        <f>IF(ISNUMBER(AVERAGE('20250815_ETF_Options_Exhibits'!O2080:O2084)),AVERAGE('20250815_ETF_Options_Exhibits'!O2080:O2084),"")</f>
        <v/>
      </c>
      <c r="P2084" s="3">
        <f>IF(ISNUMBER(AVERAGE('20250815_ETF_Options_Exhibits'!P2080:P2084)),AVERAGE('20250815_ETF_Options_Exhibits'!P2080:P2084),"")</f>
        <v/>
      </c>
      <c r="Q2084" s="3">
        <f>IF(ISNUMBER(AVERAGE('20250815_ETF_Options_Exhibits'!Q2080:Q2084)),AVERAGE('20250815_ETF_Options_Exhibits'!Q2080:Q2084),"")</f>
        <v/>
      </c>
      <c r="R2084" s="3">
        <f>IF(ISNUMBER(AVERAGE('20250815_ETF_Options_Exhibits'!R2080:R2084)),AVERAGE('20250815_ETF_Options_Exhibits'!R2080:R2084),"")</f>
        <v/>
      </c>
      <c r="S2084" s="3">
        <f>IF(ISNUMBER(AVERAGE('20250815_ETF_Options_Exhibits'!S2080:S2084)),AVERAGE('20250815_ETF_Options_Exhibits'!S2080:S2084),"")</f>
        <v/>
      </c>
      <c r="T2084" s="3">
        <f>IF(ISNUMBER(AVERAGE('20250815_ETF_Options_Exhibits'!T2080:T2084)),AVERAGE('20250815_ETF_Options_Exhibits'!T2080:T2084),"")</f>
        <v/>
      </c>
      <c r="U2084" s="3">
        <f>IF(ISNUMBER(AVERAGE('20250815_ETF_Options_Exhibits'!U2080:U2084)),AVERAGE('20250815_ETF_Options_Exhibits'!U2080:U2084),"")</f>
        <v/>
      </c>
      <c r="V2084" s="3">
        <f>IF(ISNUMBER(AVERAGE('20250815_ETF_Options_Exhibits'!V2080:V2084)),AVERAGE('20250815_ETF_Options_Exhibits'!V2080:V2084),"")</f>
        <v/>
      </c>
      <c r="W2084" s="3">
        <f>IF(ISNUMBER(AVERAGE('20250815_ETF_Options_Exhibits'!W2080:W2084)),AVERAGE('20250815_ETF_Options_Exhibits'!W2080:W2084),"")</f>
        <v/>
      </c>
      <c r="X2084" s="3">
        <f>IF(ISNUMBER(AVERAGE('20250815_ETF_Options_Exhibits'!X2080:X2084)),AVERAGE('20250815_ETF_Options_Exhibits'!X2080:X2084),"")</f>
        <v/>
      </c>
      <c r="Y2084" s="3">
        <f>IF(ISNUMBER(AVERAGE('20250815_ETF_Options_Exhibits'!Y2080:Y2084)),AVERAGE('20250815_ETF_Options_Exhibits'!Y2080:Y2084),"")</f>
        <v/>
      </c>
      <c r="Z2084" s="3">
        <f>IF(ISNUMBER(AVERAGE('20250815_ETF_Options_Exhibits'!Z2080:Z2084)),AVERAGE('20250815_ETF_Options_Exhibits'!Z2080:Z2084),"")</f>
        <v/>
      </c>
      <c r="AA2084" s="3">
        <f>IF(ISNUMBER(AVERAGE('20250815_ETF_Options_Exhibits'!AA2080:AA2084)),AVERAGE('20250815_ETF_Options_Exhibits'!AA2080:AA2084),"")</f>
        <v/>
      </c>
    </row>
    <row r="2085">
      <c r="A2085" s="1" t="n">
        <v>45028</v>
      </c>
      <c r="B2085" s="3">
        <f>IF(ISNUMBER(AVERAGE('20250815_ETF_Options_Exhibits'!B2081:B2085)),AVERAGE('20250815_ETF_Options_Exhibits'!B2081:B2085),"")</f>
        <v/>
      </c>
      <c r="C2085" s="3">
        <f>IF(ISNUMBER(AVERAGE('20250815_ETF_Options_Exhibits'!C2081:C2085)),AVERAGE('20250815_ETF_Options_Exhibits'!C2081:C2085),"")</f>
        <v/>
      </c>
      <c r="D2085" s="3">
        <f>IF(ISNUMBER(AVERAGE('20250815_ETF_Options_Exhibits'!D2081:D2085)),AVERAGE('20250815_ETF_Options_Exhibits'!D2081:D2085),"")</f>
        <v/>
      </c>
      <c r="E2085" s="3">
        <f>IF(ISNUMBER(AVERAGE('20250815_ETF_Options_Exhibits'!E2081:E2085)),AVERAGE('20250815_ETF_Options_Exhibits'!E2081:E2085),"")</f>
        <v/>
      </c>
      <c r="F2085" s="3">
        <f>IF(ISNUMBER(AVERAGE('20250815_ETF_Options_Exhibits'!F2081:F2085)),AVERAGE('20250815_ETF_Options_Exhibits'!F2081:F2085),"")</f>
        <v/>
      </c>
      <c r="G2085" s="3">
        <f>IF(ISNUMBER(AVERAGE('20250815_ETF_Options_Exhibits'!G2081:G2085)),AVERAGE('20250815_ETF_Options_Exhibits'!G2081:G2085),"")</f>
        <v/>
      </c>
      <c r="H2085" s="3">
        <f>IF(ISNUMBER(AVERAGE('20250815_ETF_Options_Exhibits'!H2081:H2085)),AVERAGE('20250815_ETF_Options_Exhibits'!H2081:H2085),"")</f>
        <v/>
      </c>
      <c r="I2085" s="3">
        <f>IF(ISNUMBER(AVERAGE('20250815_ETF_Options_Exhibits'!I2081:I2085)),AVERAGE('20250815_ETF_Options_Exhibits'!I2081:I2085),"")</f>
        <v/>
      </c>
      <c r="J2085" s="3">
        <f>IF(ISNUMBER(AVERAGE('20250815_ETF_Options_Exhibits'!J2081:J2085)),AVERAGE('20250815_ETF_Options_Exhibits'!J2081:J2085),"")</f>
        <v/>
      </c>
      <c r="K2085" s="3">
        <f>IF(ISNUMBER(AVERAGE('20250815_ETF_Options_Exhibits'!K2081:K2085)),AVERAGE('20250815_ETF_Options_Exhibits'!K2081:K2085),"")</f>
        <v/>
      </c>
      <c r="L2085" s="3">
        <f>IF(ISNUMBER(AVERAGE('20250815_ETF_Options_Exhibits'!L2081:L2085)),AVERAGE('20250815_ETF_Options_Exhibits'!L2081:L2085),"")</f>
        <v/>
      </c>
      <c r="M2085" s="3">
        <f>IF(ISNUMBER(AVERAGE('20250815_ETF_Options_Exhibits'!M2081:M2085)),AVERAGE('20250815_ETF_Options_Exhibits'!M2081:M2085),"")</f>
        <v/>
      </c>
      <c r="N2085" s="3">
        <f>IF(ISNUMBER(AVERAGE('20250815_ETF_Options_Exhibits'!N2081:N2085)),AVERAGE('20250815_ETF_Options_Exhibits'!N2081:N2085),"")</f>
        <v/>
      </c>
      <c r="O2085" s="3">
        <f>IF(ISNUMBER(AVERAGE('20250815_ETF_Options_Exhibits'!O2081:O2085)),AVERAGE('20250815_ETF_Options_Exhibits'!O2081:O2085),"")</f>
        <v/>
      </c>
      <c r="P2085" s="3">
        <f>IF(ISNUMBER(AVERAGE('20250815_ETF_Options_Exhibits'!P2081:P2085)),AVERAGE('20250815_ETF_Options_Exhibits'!P2081:P2085),"")</f>
        <v/>
      </c>
      <c r="Q2085" s="3">
        <f>IF(ISNUMBER(AVERAGE('20250815_ETF_Options_Exhibits'!Q2081:Q2085)),AVERAGE('20250815_ETF_Options_Exhibits'!Q2081:Q2085),"")</f>
        <v/>
      </c>
      <c r="R2085" s="3">
        <f>IF(ISNUMBER(AVERAGE('20250815_ETF_Options_Exhibits'!R2081:R2085)),AVERAGE('20250815_ETF_Options_Exhibits'!R2081:R2085),"")</f>
        <v/>
      </c>
      <c r="S2085" s="3">
        <f>IF(ISNUMBER(AVERAGE('20250815_ETF_Options_Exhibits'!S2081:S2085)),AVERAGE('20250815_ETF_Options_Exhibits'!S2081:S2085),"")</f>
        <v/>
      </c>
      <c r="T2085" s="3">
        <f>IF(ISNUMBER(AVERAGE('20250815_ETF_Options_Exhibits'!T2081:T2085)),AVERAGE('20250815_ETF_Options_Exhibits'!T2081:T2085),"")</f>
        <v/>
      </c>
      <c r="U2085" s="3">
        <f>IF(ISNUMBER(AVERAGE('20250815_ETF_Options_Exhibits'!U2081:U2085)),AVERAGE('20250815_ETF_Options_Exhibits'!U2081:U2085),"")</f>
        <v/>
      </c>
      <c r="V2085" s="3">
        <f>IF(ISNUMBER(AVERAGE('20250815_ETF_Options_Exhibits'!V2081:V2085)),AVERAGE('20250815_ETF_Options_Exhibits'!V2081:V2085),"")</f>
        <v/>
      </c>
      <c r="W2085" s="3">
        <f>IF(ISNUMBER(AVERAGE('20250815_ETF_Options_Exhibits'!W2081:W2085)),AVERAGE('20250815_ETF_Options_Exhibits'!W2081:W2085),"")</f>
        <v/>
      </c>
      <c r="X2085" s="3">
        <f>IF(ISNUMBER(AVERAGE('20250815_ETF_Options_Exhibits'!X2081:X2085)),AVERAGE('20250815_ETF_Options_Exhibits'!X2081:X2085),"")</f>
        <v/>
      </c>
      <c r="Y2085" s="3">
        <f>IF(ISNUMBER(AVERAGE('20250815_ETF_Options_Exhibits'!Y2081:Y2085)),AVERAGE('20250815_ETF_Options_Exhibits'!Y2081:Y2085),"")</f>
        <v/>
      </c>
      <c r="Z2085" s="3">
        <f>IF(ISNUMBER(AVERAGE('20250815_ETF_Options_Exhibits'!Z2081:Z2085)),AVERAGE('20250815_ETF_Options_Exhibits'!Z2081:Z2085),"")</f>
        <v/>
      </c>
      <c r="AA2085" s="3">
        <f>IF(ISNUMBER(AVERAGE('20250815_ETF_Options_Exhibits'!AA2081:AA2085)),AVERAGE('20250815_ETF_Options_Exhibits'!AA2081:AA2085),"")</f>
        <v/>
      </c>
    </row>
    <row r="2086">
      <c r="A2086" s="1" t="n">
        <v>45029</v>
      </c>
      <c r="B2086" s="3">
        <f>IF(ISNUMBER(AVERAGE('20250815_ETF_Options_Exhibits'!B2082:B2086)),AVERAGE('20250815_ETF_Options_Exhibits'!B2082:B2086),"")</f>
        <v/>
      </c>
      <c r="C2086" s="3">
        <f>IF(ISNUMBER(AVERAGE('20250815_ETF_Options_Exhibits'!C2082:C2086)),AVERAGE('20250815_ETF_Options_Exhibits'!C2082:C2086),"")</f>
        <v/>
      </c>
      <c r="D2086" s="3">
        <f>IF(ISNUMBER(AVERAGE('20250815_ETF_Options_Exhibits'!D2082:D2086)),AVERAGE('20250815_ETF_Options_Exhibits'!D2082:D2086),"")</f>
        <v/>
      </c>
      <c r="E2086" s="3">
        <f>IF(ISNUMBER(AVERAGE('20250815_ETF_Options_Exhibits'!E2082:E2086)),AVERAGE('20250815_ETF_Options_Exhibits'!E2082:E2086),"")</f>
        <v/>
      </c>
      <c r="F2086" s="3">
        <f>IF(ISNUMBER(AVERAGE('20250815_ETF_Options_Exhibits'!F2082:F2086)),AVERAGE('20250815_ETF_Options_Exhibits'!F2082:F2086),"")</f>
        <v/>
      </c>
      <c r="G2086" s="3">
        <f>IF(ISNUMBER(AVERAGE('20250815_ETF_Options_Exhibits'!G2082:G2086)),AVERAGE('20250815_ETF_Options_Exhibits'!G2082:G2086),"")</f>
        <v/>
      </c>
      <c r="H2086" s="3">
        <f>IF(ISNUMBER(AVERAGE('20250815_ETF_Options_Exhibits'!H2082:H2086)),AVERAGE('20250815_ETF_Options_Exhibits'!H2082:H2086),"")</f>
        <v/>
      </c>
      <c r="I2086" s="3">
        <f>IF(ISNUMBER(AVERAGE('20250815_ETF_Options_Exhibits'!I2082:I2086)),AVERAGE('20250815_ETF_Options_Exhibits'!I2082:I2086),"")</f>
        <v/>
      </c>
      <c r="J2086" s="3">
        <f>IF(ISNUMBER(AVERAGE('20250815_ETF_Options_Exhibits'!J2082:J2086)),AVERAGE('20250815_ETF_Options_Exhibits'!J2082:J2086),"")</f>
        <v/>
      </c>
      <c r="K2086" s="3">
        <f>IF(ISNUMBER(AVERAGE('20250815_ETF_Options_Exhibits'!K2082:K2086)),AVERAGE('20250815_ETF_Options_Exhibits'!K2082:K2086),"")</f>
        <v/>
      </c>
      <c r="L2086" s="3">
        <f>IF(ISNUMBER(AVERAGE('20250815_ETF_Options_Exhibits'!L2082:L2086)),AVERAGE('20250815_ETF_Options_Exhibits'!L2082:L2086),"")</f>
        <v/>
      </c>
      <c r="M2086" s="3">
        <f>IF(ISNUMBER(AVERAGE('20250815_ETF_Options_Exhibits'!M2082:M2086)),AVERAGE('20250815_ETF_Options_Exhibits'!M2082:M2086),"")</f>
        <v/>
      </c>
      <c r="N2086" s="3">
        <f>IF(ISNUMBER(AVERAGE('20250815_ETF_Options_Exhibits'!N2082:N2086)),AVERAGE('20250815_ETF_Options_Exhibits'!N2082:N2086),"")</f>
        <v/>
      </c>
      <c r="O2086" s="3">
        <f>IF(ISNUMBER(AVERAGE('20250815_ETF_Options_Exhibits'!O2082:O2086)),AVERAGE('20250815_ETF_Options_Exhibits'!O2082:O2086),"")</f>
        <v/>
      </c>
      <c r="P2086" s="3">
        <f>IF(ISNUMBER(AVERAGE('20250815_ETF_Options_Exhibits'!P2082:P2086)),AVERAGE('20250815_ETF_Options_Exhibits'!P2082:P2086),"")</f>
        <v/>
      </c>
      <c r="Q2086" s="3">
        <f>IF(ISNUMBER(AVERAGE('20250815_ETF_Options_Exhibits'!Q2082:Q2086)),AVERAGE('20250815_ETF_Options_Exhibits'!Q2082:Q2086),"")</f>
        <v/>
      </c>
      <c r="R2086" s="3">
        <f>IF(ISNUMBER(AVERAGE('20250815_ETF_Options_Exhibits'!R2082:R2086)),AVERAGE('20250815_ETF_Options_Exhibits'!R2082:R2086),"")</f>
        <v/>
      </c>
      <c r="S2086" s="3">
        <f>IF(ISNUMBER(AVERAGE('20250815_ETF_Options_Exhibits'!S2082:S2086)),AVERAGE('20250815_ETF_Options_Exhibits'!S2082:S2086),"")</f>
        <v/>
      </c>
      <c r="T2086" s="3">
        <f>IF(ISNUMBER(AVERAGE('20250815_ETF_Options_Exhibits'!T2082:T2086)),AVERAGE('20250815_ETF_Options_Exhibits'!T2082:T2086),"")</f>
        <v/>
      </c>
      <c r="U2086" s="3">
        <f>IF(ISNUMBER(AVERAGE('20250815_ETF_Options_Exhibits'!U2082:U2086)),AVERAGE('20250815_ETF_Options_Exhibits'!U2082:U2086),"")</f>
        <v/>
      </c>
      <c r="V2086" s="3">
        <f>IF(ISNUMBER(AVERAGE('20250815_ETF_Options_Exhibits'!V2082:V2086)),AVERAGE('20250815_ETF_Options_Exhibits'!V2082:V2086),"")</f>
        <v/>
      </c>
      <c r="W2086" s="3">
        <f>IF(ISNUMBER(AVERAGE('20250815_ETF_Options_Exhibits'!W2082:W2086)),AVERAGE('20250815_ETF_Options_Exhibits'!W2082:W2086),"")</f>
        <v/>
      </c>
      <c r="X2086" s="3">
        <f>IF(ISNUMBER(AVERAGE('20250815_ETF_Options_Exhibits'!X2082:X2086)),AVERAGE('20250815_ETF_Options_Exhibits'!X2082:X2086),"")</f>
        <v/>
      </c>
      <c r="Y2086" s="3">
        <f>IF(ISNUMBER(AVERAGE('20250815_ETF_Options_Exhibits'!Y2082:Y2086)),AVERAGE('20250815_ETF_Options_Exhibits'!Y2082:Y2086),"")</f>
        <v/>
      </c>
      <c r="Z2086" s="3">
        <f>IF(ISNUMBER(AVERAGE('20250815_ETF_Options_Exhibits'!Z2082:Z2086)),AVERAGE('20250815_ETF_Options_Exhibits'!Z2082:Z2086),"")</f>
        <v/>
      </c>
      <c r="AA2086" s="3">
        <f>IF(ISNUMBER(AVERAGE('20250815_ETF_Options_Exhibits'!AA2082:AA2086)),AVERAGE('20250815_ETF_Options_Exhibits'!AA2082:AA2086),"")</f>
        <v/>
      </c>
    </row>
    <row r="2087">
      <c r="A2087" s="1" t="n">
        <v>45030</v>
      </c>
      <c r="B2087" s="3">
        <f>IF(ISNUMBER(AVERAGE('20250815_ETF_Options_Exhibits'!B2083:B2087)),AVERAGE('20250815_ETF_Options_Exhibits'!B2083:B2087),"")</f>
        <v/>
      </c>
      <c r="C2087" s="3">
        <f>IF(ISNUMBER(AVERAGE('20250815_ETF_Options_Exhibits'!C2083:C2087)),AVERAGE('20250815_ETF_Options_Exhibits'!C2083:C2087),"")</f>
        <v/>
      </c>
      <c r="D2087" s="3">
        <f>IF(ISNUMBER(AVERAGE('20250815_ETF_Options_Exhibits'!D2083:D2087)),AVERAGE('20250815_ETF_Options_Exhibits'!D2083:D2087),"")</f>
        <v/>
      </c>
      <c r="E2087" s="3">
        <f>IF(ISNUMBER(AVERAGE('20250815_ETF_Options_Exhibits'!E2083:E2087)),AVERAGE('20250815_ETF_Options_Exhibits'!E2083:E2087),"")</f>
        <v/>
      </c>
      <c r="F2087" s="3">
        <f>IF(ISNUMBER(AVERAGE('20250815_ETF_Options_Exhibits'!F2083:F2087)),AVERAGE('20250815_ETF_Options_Exhibits'!F2083:F2087),"")</f>
        <v/>
      </c>
      <c r="G2087" s="3">
        <f>IF(ISNUMBER(AVERAGE('20250815_ETF_Options_Exhibits'!G2083:G2087)),AVERAGE('20250815_ETF_Options_Exhibits'!G2083:G2087),"")</f>
        <v/>
      </c>
      <c r="H2087" s="3">
        <f>IF(ISNUMBER(AVERAGE('20250815_ETF_Options_Exhibits'!H2083:H2087)),AVERAGE('20250815_ETF_Options_Exhibits'!H2083:H2087),"")</f>
        <v/>
      </c>
      <c r="I2087" s="3">
        <f>IF(ISNUMBER(AVERAGE('20250815_ETF_Options_Exhibits'!I2083:I2087)),AVERAGE('20250815_ETF_Options_Exhibits'!I2083:I2087),"")</f>
        <v/>
      </c>
      <c r="J2087" s="3">
        <f>IF(ISNUMBER(AVERAGE('20250815_ETF_Options_Exhibits'!J2083:J2087)),AVERAGE('20250815_ETF_Options_Exhibits'!J2083:J2087),"")</f>
        <v/>
      </c>
      <c r="K2087" s="3">
        <f>IF(ISNUMBER(AVERAGE('20250815_ETF_Options_Exhibits'!K2083:K2087)),AVERAGE('20250815_ETF_Options_Exhibits'!K2083:K2087),"")</f>
        <v/>
      </c>
      <c r="L2087" s="3">
        <f>IF(ISNUMBER(AVERAGE('20250815_ETF_Options_Exhibits'!L2083:L2087)),AVERAGE('20250815_ETF_Options_Exhibits'!L2083:L2087),"")</f>
        <v/>
      </c>
      <c r="M2087" s="3">
        <f>IF(ISNUMBER(AVERAGE('20250815_ETF_Options_Exhibits'!M2083:M2087)),AVERAGE('20250815_ETF_Options_Exhibits'!M2083:M2087),"")</f>
        <v/>
      </c>
      <c r="N2087" s="3">
        <f>IF(ISNUMBER(AVERAGE('20250815_ETF_Options_Exhibits'!N2083:N2087)),AVERAGE('20250815_ETF_Options_Exhibits'!N2083:N2087),"")</f>
        <v/>
      </c>
      <c r="O2087" s="3">
        <f>IF(ISNUMBER(AVERAGE('20250815_ETF_Options_Exhibits'!O2083:O2087)),AVERAGE('20250815_ETF_Options_Exhibits'!O2083:O2087),"")</f>
        <v/>
      </c>
      <c r="P2087" s="3">
        <f>IF(ISNUMBER(AVERAGE('20250815_ETF_Options_Exhibits'!P2083:P2087)),AVERAGE('20250815_ETF_Options_Exhibits'!P2083:P2087),"")</f>
        <v/>
      </c>
      <c r="Q2087" s="3">
        <f>IF(ISNUMBER(AVERAGE('20250815_ETF_Options_Exhibits'!Q2083:Q2087)),AVERAGE('20250815_ETF_Options_Exhibits'!Q2083:Q2087),"")</f>
        <v/>
      </c>
      <c r="R2087" s="3">
        <f>IF(ISNUMBER(AVERAGE('20250815_ETF_Options_Exhibits'!R2083:R2087)),AVERAGE('20250815_ETF_Options_Exhibits'!R2083:R2087),"")</f>
        <v/>
      </c>
      <c r="S2087" s="3">
        <f>IF(ISNUMBER(AVERAGE('20250815_ETF_Options_Exhibits'!S2083:S2087)),AVERAGE('20250815_ETF_Options_Exhibits'!S2083:S2087),"")</f>
        <v/>
      </c>
      <c r="T2087" s="3">
        <f>IF(ISNUMBER(AVERAGE('20250815_ETF_Options_Exhibits'!T2083:T2087)),AVERAGE('20250815_ETF_Options_Exhibits'!T2083:T2087),"")</f>
        <v/>
      </c>
      <c r="U2087" s="3">
        <f>IF(ISNUMBER(AVERAGE('20250815_ETF_Options_Exhibits'!U2083:U2087)),AVERAGE('20250815_ETF_Options_Exhibits'!U2083:U2087),"")</f>
        <v/>
      </c>
      <c r="V2087" s="3">
        <f>IF(ISNUMBER(AVERAGE('20250815_ETF_Options_Exhibits'!V2083:V2087)),AVERAGE('20250815_ETF_Options_Exhibits'!V2083:V2087),"")</f>
        <v/>
      </c>
      <c r="W2087" s="3">
        <f>IF(ISNUMBER(AVERAGE('20250815_ETF_Options_Exhibits'!W2083:W2087)),AVERAGE('20250815_ETF_Options_Exhibits'!W2083:W2087),"")</f>
        <v/>
      </c>
      <c r="X2087" s="3">
        <f>IF(ISNUMBER(AVERAGE('20250815_ETF_Options_Exhibits'!X2083:X2087)),AVERAGE('20250815_ETF_Options_Exhibits'!X2083:X2087),"")</f>
        <v/>
      </c>
      <c r="Y2087" s="3">
        <f>IF(ISNUMBER(AVERAGE('20250815_ETF_Options_Exhibits'!Y2083:Y2087)),AVERAGE('20250815_ETF_Options_Exhibits'!Y2083:Y2087),"")</f>
        <v/>
      </c>
      <c r="Z2087" s="3">
        <f>IF(ISNUMBER(AVERAGE('20250815_ETF_Options_Exhibits'!Z2083:Z2087)),AVERAGE('20250815_ETF_Options_Exhibits'!Z2083:Z2087),"")</f>
        <v/>
      </c>
      <c r="AA2087" s="3">
        <f>IF(ISNUMBER(AVERAGE('20250815_ETF_Options_Exhibits'!AA2083:AA2087)),AVERAGE('20250815_ETF_Options_Exhibits'!AA2083:AA2087),"")</f>
        <v/>
      </c>
    </row>
    <row r="2088">
      <c r="A2088" s="1" t="n">
        <v>45033</v>
      </c>
      <c r="B2088" s="3">
        <f>IF(ISNUMBER(AVERAGE('20250815_ETF_Options_Exhibits'!B2084:B2088)),AVERAGE('20250815_ETF_Options_Exhibits'!B2084:B2088),"")</f>
        <v/>
      </c>
      <c r="C2088" s="3">
        <f>IF(ISNUMBER(AVERAGE('20250815_ETF_Options_Exhibits'!C2084:C2088)),AVERAGE('20250815_ETF_Options_Exhibits'!C2084:C2088),"")</f>
        <v/>
      </c>
      <c r="D2088" s="3">
        <f>IF(ISNUMBER(AVERAGE('20250815_ETF_Options_Exhibits'!D2084:D2088)),AVERAGE('20250815_ETF_Options_Exhibits'!D2084:D2088),"")</f>
        <v/>
      </c>
      <c r="E2088" s="3">
        <f>IF(ISNUMBER(AVERAGE('20250815_ETF_Options_Exhibits'!E2084:E2088)),AVERAGE('20250815_ETF_Options_Exhibits'!E2084:E2088),"")</f>
        <v/>
      </c>
      <c r="F2088" s="3">
        <f>IF(ISNUMBER(AVERAGE('20250815_ETF_Options_Exhibits'!F2084:F2088)),AVERAGE('20250815_ETF_Options_Exhibits'!F2084:F2088),"")</f>
        <v/>
      </c>
      <c r="G2088" s="3">
        <f>IF(ISNUMBER(AVERAGE('20250815_ETF_Options_Exhibits'!G2084:G2088)),AVERAGE('20250815_ETF_Options_Exhibits'!G2084:G2088),"")</f>
        <v/>
      </c>
      <c r="H2088" s="3">
        <f>IF(ISNUMBER(AVERAGE('20250815_ETF_Options_Exhibits'!H2084:H2088)),AVERAGE('20250815_ETF_Options_Exhibits'!H2084:H2088),"")</f>
        <v/>
      </c>
      <c r="I2088" s="3">
        <f>IF(ISNUMBER(AVERAGE('20250815_ETF_Options_Exhibits'!I2084:I2088)),AVERAGE('20250815_ETF_Options_Exhibits'!I2084:I2088),"")</f>
        <v/>
      </c>
      <c r="J2088" s="3">
        <f>IF(ISNUMBER(AVERAGE('20250815_ETF_Options_Exhibits'!J2084:J2088)),AVERAGE('20250815_ETF_Options_Exhibits'!J2084:J2088),"")</f>
        <v/>
      </c>
      <c r="K2088" s="3">
        <f>IF(ISNUMBER(AVERAGE('20250815_ETF_Options_Exhibits'!K2084:K2088)),AVERAGE('20250815_ETF_Options_Exhibits'!K2084:K2088),"")</f>
        <v/>
      </c>
      <c r="L2088" s="3">
        <f>IF(ISNUMBER(AVERAGE('20250815_ETF_Options_Exhibits'!L2084:L2088)),AVERAGE('20250815_ETF_Options_Exhibits'!L2084:L2088),"")</f>
        <v/>
      </c>
      <c r="M2088" s="3">
        <f>IF(ISNUMBER(AVERAGE('20250815_ETF_Options_Exhibits'!M2084:M2088)),AVERAGE('20250815_ETF_Options_Exhibits'!M2084:M2088),"")</f>
        <v/>
      </c>
      <c r="N2088" s="3">
        <f>IF(ISNUMBER(AVERAGE('20250815_ETF_Options_Exhibits'!N2084:N2088)),AVERAGE('20250815_ETF_Options_Exhibits'!N2084:N2088),"")</f>
        <v/>
      </c>
      <c r="O2088" s="3">
        <f>IF(ISNUMBER(AVERAGE('20250815_ETF_Options_Exhibits'!O2084:O2088)),AVERAGE('20250815_ETF_Options_Exhibits'!O2084:O2088),"")</f>
        <v/>
      </c>
      <c r="P2088" s="3">
        <f>IF(ISNUMBER(AVERAGE('20250815_ETF_Options_Exhibits'!P2084:P2088)),AVERAGE('20250815_ETF_Options_Exhibits'!P2084:P2088),"")</f>
        <v/>
      </c>
      <c r="Q2088" s="3">
        <f>IF(ISNUMBER(AVERAGE('20250815_ETF_Options_Exhibits'!Q2084:Q2088)),AVERAGE('20250815_ETF_Options_Exhibits'!Q2084:Q2088),"")</f>
        <v/>
      </c>
      <c r="R2088" s="3">
        <f>IF(ISNUMBER(AVERAGE('20250815_ETF_Options_Exhibits'!R2084:R2088)),AVERAGE('20250815_ETF_Options_Exhibits'!R2084:R2088),"")</f>
        <v/>
      </c>
      <c r="S2088" s="3">
        <f>IF(ISNUMBER(AVERAGE('20250815_ETF_Options_Exhibits'!S2084:S2088)),AVERAGE('20250815_ETF_Options_Exhibits'!S2084:S2088),"")</f>
        <v/>
      </c>
      <c r="T2088" s="3">
        <f>IF(ISNUMBER(AVERAGE('20250815_ETF_Options_Exhibits'!T2084:T2088)),AVERAGE('20250815_ETF_Options_Exhibits'!T2084:T2088),"")</f>
        <v/>
      </c>
      <c r="U2088" s="3">
        <f>IF(ISNUMBER(AVERAGE('20250815_ETF_Options_Exhibits'!U2084:U2088)),AVERAGE('20250815_ETF_Options_Exhibits'!U2084:U2088),"")</f>
        <v/>
      </c>
      <c r="V2088" s="3">
        <f>IF(ISNUMBER(AVERAGE('20250815_ETF_Options_Exhibits'!V2084:V2088)),AVERAGE('20250815_ETF_Options_Exhibits'!V2084:V2088),"")</f>
        <v/>
      </c>
      <c r="W2088" s="3">
        <f>IF(ISNUMBER(AVERAGE('20250815_ETF_Options_Exhibits'!W2084:W2088)),AVERAGE('20250815_ETF_Options_Exhibits'!W2084:W2088),"")</f>
        <v/>
      </c>
      <c r="X2088" s="3">
        <f>IF(ISNUMBER(AVERAGE('20250815_ETF_Options_Exhibits'!X2084:X2088)),AVERAGE('20250815_ETF_Options_Exhibits'!X2084:X2088),"")</f>
        <v/>
      </c>
      <c r="Y2088" s="3">
        <f>IF(ISNUMBER(AVERAGE('20250815_ETF_Options_Exhibits'!Y2084:Y2088)),AVERAGE('20250815_ETF_Options_Exhibits'!Y2084:Y2088),"")</f>
        <v/>
      </c>
      <c r="Z2088" s="3">
        <f>IF(ISNUMBER(AVERAGE('20250815_ETF_Options_Exhibits'!Z2084:Z2088)),AVERAGE('20250815_ETF_Options_Exhibits'!Z2084:Z2088),"")</f>
        <v/>
      </c>
      <c r="AA2088" s="3">
        <f>IF(ISNUMBER(AVERAGE('20250815_ETF_Options_Exhibits'!AA2084:AA2088)),AVERAGE('20250815_ETF_Options_Exhibits'!AA2084:AA2088),"")</f>
        <v/>
      </c>
    </row>
    <row r="2089">
      <c r="A2089" s="1" t="n">
        <v>45034</v>
      </c>
      <c r="B2089" s="3">
        <f>IF(ISNUMBER(AVERAGE('20250815_ETF_Options_Exhibits'!B2085:B2089)),AVERAGE('20250815_ETF_Options_Exhibits'!B2085:B2089),"")</f>
        <v/>
      </c>
      <c r="C2089" s="3">
        <f>IF(ISNUMBER(AVERAGE('20250815_ETF_Options_Exhibits'!C2085:C2089)),AVERAGE('20250815_ETF_Options_Exhibits'!C2085:C2089),"")</f>
        <v/>
      </c>
      <c r="D2089" s="3">
        <f>IF(ISNUMBER(AVERAGE('20250815_ETF_Options_Exhibits'!D2085:D2089)),AVERAGE('20250815_ETF_Options_Exhibits'!D2085:D2089),"")</f>
        <v/>
      </c>
      <c r="E2089" s="3">
        <f>IF(ISNUMBER(AVERAGE('20250815_ETF_Options_Exhibits'!E2085:E2089)),AVERAGE('20250815_ETF_Options_Exhibits'!E2085:E2089),"")</f>
        <v/>
      </c>
      <c r="F2089" s="3">
        <f>IF(ISNUMBER(AVERAGE('20250815_ETF_Options_Exhibits'!F2085:F2089)),AVERAGE('20250815_ETF_Options_Exhibits'!F2085:F2089),"")</f>
        <v/>
      </c>
      <c r="G2089" s="3">
        <f>IF(ISNUMBER(AVERAGE('20250815_ETF_Options_Exhibits'!G2085:G2089)),AVERAGE('20250815_ETF_Options_Exhibits'!G2085:G2089),"")</f>
        <v/>
      </c>
      <c r="H2089" s="3">
        <f>IF(ISNUMBER(AVERAGE('20250815_ETF_Options_Exhibits'!H2085:H2089)),AVERAGE('20250815_ETF_Options_Exhibits'!H2085:H2089),"")</f>
        <v/>
      </c>
      <c r="I2089" s="3">
        <f>IF(ISNUMBER(AVERAGE('20250815_ETF_Options_Exhibits'!I2085:I2089)),AVERAGE('20250815_ETF_Options_Exhibits'!I2085:I2089),"")</f>
        <v/>
      </c>
      <c r="J2089" s="3">
        <f>IF(ISNUMBER(AVERAGE('20250815_ETF_Options_Exhibits'!J2085:J2089)),AVERAGE('20250815_ETF_Options_Exhibits'!J2085:J2089),"")</f>
        <v/>
      </c>
      <c r="K2089" s="3">
        <f>IF(ISNUMBER(AVERAGE('20250815_ETF_Options_Exhibits'!K2085:K2089)),AVERAGE('20250815_ETF_Options_Exhibits'!K2085:K2089),"")</f>
        <v/>
      </c>
      <c r="L2089" s="3">
        <f>IF(ISNUMBER(AVERAGE('20250815_ETF_Options_Exhibits'!L2085:L2089)),AVERAGE('20250815_ETF_Options_Exhibits'!L2085:L2089),"")</f>
        <v/>
      </c>
      <c r="M2089" s="3">
        <f>IF(ISNUMBER(AVERAGE('20250815_ETF_Options_Exhibits'!M2085:M2089)),AVERAGE('20250815_ETF_Options_Exhibits'!M2085:M2089),"")</f>
        <v/>
      </c>
      <c r="N2089" s="3">
        <f>IF(ISNUMBER(AVERAGE('20250815_ETF_Options_Exhibits'!N2085:N2089)),AVERAGE('20250815_ETF_Options_Exhibits'!N2085:N2089),"")</f>
        <v/>
      </c>
      <c r="O2089" s="3">
        <f>IF(ISNUMBER(AVERAGE('20250815_ETF_Options_Exhibits'!O2085:O2089)),AVERAGE('20250815_ETF_Options_Exhibits'!O2085:O2089),"")</f>
        <v/>
      </c>
      <c r="P2089" s="3">
        <f>IF(ISNUMBER(AVERAGE('20250815_ETF_Options_Exhibits'!P2085:P2089)),AVERAGE('20250815_ETF_Options_Exhibits'!P2085:P2089),"")</f>
        <v/>
      </c>
      <c r="Q2089" s="3">
        <f>IF(ISNUMBER(AVERAGE('20250815_ETF_Options_Exhibits'!Q2085:Q2089)),AVERAGE('20250815_ETF_Options_Exhibits'!Q2085:Q2089),"")</f>
        <v/>
      </c>
      <c r="R2089" s="3">
        <f>IF(ISNUMBER(AVERAGE('20250815_ETF_Options_Exhibits'!R2085:R2089)),AVERAGE('20250815_ETF_Options_Exhibits'!R2085:R2089),"")</f>
        <v/>
      </c>
      <c r="S2089" s="3">
        <f>IF(ISNUMBER(AVERAGE('20250815_ETF_Options_Exhibits'!S2085:S2089)),AVERAGE('20250815_ETF_Options_Exhibits'!S2085:S2089),"")</f>
        <v/>
      </c>
      <c r="T2089" s="3">
        <f>IF(ISNUMBER(AVERAGE('20250815_ETF_Options_Exhibits'!T2085:T2089)),AVERAGE('20250815_ETF_Options_Exhibits'!T2085:T2089),"")</f>
        <v/>
      </c>
      <c r="U2089" s="3">
        <f>IF(ISNUMBER(AVERAGE('20250815_ETF_Options_Exhibits'!U2085:U2089)),AVERAGE('20250815_ETF_Options_Exhibits'!U2085:U2089),"")</f>
        <v/>
      </c>
      <c r="V2089" s="3">
        <f>IF(ISNUMBER(AVERAGE('20250815_ETF_Options_Exhibits'!V2085:V2089)),AVERAGE('20250815_ETF_Options_Exhibits'!V2085:V2089),"")</f>
        <v/>
      </c>
      <c r="W2089" s="3">
        <f>IF(ISNUMBER(AVERAGE('20250815_ETF_Options_Exhibits'!W2085:W2089)),AVERAGE('20250815_ETF_Options_Exhibits'!W2085:W2089),"")</f>
        <v/>
      </c>
      <c r="X2089" s="3">
        <f>IF(ISNUMBER(AVERAGE('20250815_ETF_Options_Exhibits'!X2085:X2089)),AVERAGE('20250815_ETF_Options_Exhibits'!X2085:X2089),"")</f>
        <v/>
      </c>
      <c r="Y2089" s="3">
        <f>IF(ISNUMBER(AVERAGE('20250815_ETF_Options_Exhibits'!Y2085:Y2089)),AVERAGE('20250815_ETF_Options_Exhibits'!Y2085:Y2089),"")</f>
        <v/>
      </c>
      <c r="Z2089" s="3">
        <f>IF(ISNUMBER(AVERAGE('20250815_ETF_Options_Exhibits'!Z2085:Z2089)),AVERAGE('20250815_ETF_Options_Exhibits'!Z2085:Z2089),"")</f>
        <v/>
      </c>
      <c r="AA2089" s="3">
        <f>IF(ISNUMBER(AVERAGE('20250815_ETF_Options_Exhibits'!AA2085:AA2089)),AVERAGE('20250815_ETF_Options_Exhibits'!AA2085:AA2089),"")</f>
        <v/>
      </c>
    </row>
    <row r="2090">
      <c r="A2090" s="1" t="n">
        <v>45035</v>
      </c>
      <c r="B2090" s="3">
        <f>IF(ISNUMBER(AVERAGE('20250815_ETF_Options_Exhibits'!B2086:B2090)),AVERAGE('20250815_ETF_Options_Exhibits'!B2086:B2090),"")</f>
        <v/>
      </c>
      <c r="C2090" s="3">
        <f>IF(ISNUMBER(AVERAGE('20250815_ETF_Options_Exhibits'!C2086:C2090)),AVERAGE('20250815_ETF_Options_Exhibits'!C2086:C2090),"")</f>
        <v/>
      </c>
      <c r="D2090" s="3">
        <f>IF(ISNUMBER(AVERAGE('20250815_ETF_Options_Exhibits'!D2086:D2090)),AVERAGE('20250815_ETF_Options_Exhibits'!D2086:D2090),"")</f>
        <v/>
      </c>
      <c r="E2090" s="3">
        <f>IF(ISNUMBER(AVERAGE('20250815_ETF_Options_Exhibits'!E2086:E2090)),AVERAGE('20250815_ETF_Options_Exhibits'!E2086:E2090),"")</f>
        <v/>
      </c>
      <c r="F2090" s="3">
        <f>IF(ISNUMBER(AVERAGE('20250815_ETF_Options_Exhibits'!F2086:F2090)),AVERAGE('20250815_ETF_Options_Exhibits'!F2086:F2090),"")</f>
        <v/>
      </c>
      <c r="G2090" s="3">
        <f>IF(ISNUMBER(AVERAGE('20250815_ETF_Options_Exhibits'!G2086:G2090)),AVERAGE('20250815_ETF_Options_Exhibits'!G2086:G2090),"")</f>
        <v/>
      </c>
      <c r="H2090" s="3">
        <f>IF(ISNUMBER(AVERAGE('20250815_ETF_Options_Exhibits'!H2086:H2090)),AVERAGE('20250815_ETF_Options_Exhibits'!H2086:H2090),"")</f>
        <v/>
      </c>
      <c r="I2090" s="3">
        <f>IF(ISNUMBER(AVERAGE('20250815_ETF_Options_Exhibits'!I2086:I2090)),AVERAGE('20250815_ETF_Options_Exhibits'!I2086:I2090),"")</f>
        <v/>
      </c>
      <c r="J2090" s="3">
        <f>IF(ISNUMBER(AVERAGE('20250815_ETF_Options_Exhibits'!J2086:J2090)),AVERAGE('20250815_ETF_Options_Exhibits'!J2086:J2090),"")</f>
        <v/>
      </c>
      <c r="K2090" s="3">
        <f>IF(ISNUMBER(AVERAGE('20250815_ETF_Options_Exhibits'!K2086:K2090)),AVERAGE('20250815_ETF_Options_Exhibits'!K2086:K2090),"")</f>
        <v/>
      </c>
      <c r="L2090" s="3">
        <f>IF(ISNUMBER(AVERAGE('20250815_ETF_Options_Exhibits'!L2086:L2090)),AVERAGE('20250815_ETF_Options_Exhibits'!L2086:L2090),"")</f>
        <v/>
      </c>
      <c r="M2090" s="3">
        <f>IF(ISNUMBER(AVERAGE('20250815_ETF_Options_Exhibits'!M2086:M2090)),AVERAGE('20250815_ETF_Options_Exhibits'!M2086:M2090),"")</f>
        <v/>
      </c>
      <c r="N2090" s="3">
        <f>IF(ISNUMBER(AVERAGE('20250815_ETF_Options_Exhibits'!N2086:N2090)),AVERAGE('20250815_ETF_Options_Exhibits'!N2086:N2090),"")</f>
        <v/>
      </c>
      <c r="O2090" s="3">
        <f>IF(ISNUMBER(AVERAGE('20250815_ETF_Options_Exhibits'!O2086:O2090)),AVERAGE('20250815_ETF_Options_Exhibits'!O2086:O2090),"")</f>
        <v/>
      </c>
      <c r="P2090" s="3">
        <f>IF(ISNUMBER(AVERAGE('20250815_ETF_Options_Exhibits'!P2086:P2090)),AVERAGE('20250815_ETF_Options_Exhibits'!P2086:P2090),"")</f>
        <v/>
      </c>
      <c r="Q2090" s="3">
        <f>IF(ISNUMBER(AVERAGE('20250815_ETF_Options_Exhibits'!Q2086:Q2090)),AVERAGE('20250815_ETF_Options_Exhibits'!Q2086:Q2090),"")</f>
        <v/>
      </c>
      <c r="R2090" s="3">
        <f>IF(ISNUMBER(AVERAGE('20250815_ETF_Options_Exhibits'!R2086:R2090)),AVERAGE('20250815_ETF_Options_Exhibits'!R2086:R2090),"")</f>
        <v/>
      </c>
      <c r="S2090" s="3">
        <f>IF(ISNUMBER(AVERAGE('20250815_ETF_Options_Exhibits'!S2086:S2090)),AVERAGE('20250815_ETF_Options_Exhibits'!S2086:S2090),"")</f>
        <v/>
      </c>
      <c r="T2090" s="3">
        <f>IF(ISNUMBER(AVERAGE('20250815_ETF_Options_Exhibits'!T2086:T2090)),AVERAGE('20250815_ETF_Options_Exhibits'!T2086:T2090),"")</f>
        <v/>
      </c>
      <c r="U2090" s="3">
        <f>IF(ISNUMBER(AVERAGE('20250815_ETF_Options_Exhibits'!U2086:U2090)),AVERAGE('20250815_ETF_Options_Exhibits'!U2086:U2090),"")</f>
        <v/>
      </c>
      <c r="V2090" s="3">
        <f>IF(ISNUMBER(AVERAGE('20250815_ETF_Options_Exhibits'!V2086:V2090)),AVERAGE('20250815_ETF_Options_Exhibits'!V2086:V2090),"")</f>
        <v/>
      </c>
      <c r="W2090" s="3">
        <f>IF(ISNUMBER(AVERAGE('20250815_ETF_Options_Exhibits'!W2086:W2090)),AVERAGE('20250815_ETF_Options_Exhibits'!W2086:W2090),"")</f>
        <v/>
      </c>
      <c r="X2090" s="3">
        <f>IF(ISNUMBER(AVERAGE('20250815_ETF_Options_Exhibits'!X2086:X2090)),AVERAGE('20250815_ETF_Options_Exhibits'!X2086:X2090),"")</f>
        <v/>
      </c>
      <c r="Y2090" s="3">
        <f>IF(ISNUMBER(AVERAGE('20250815_ETF_Options_Exhibits'!Y2086:Y2090)),AVERAGE('20250815_ETF_Options_Exhibits'!Y2086:Y2090),"")</f>
        <v/>
      </c>
      <c r="Z2090" s="3">
        <f>IF(ISNUMBER(AVERAGE('20250815_ETF_Options_Exhibits'!Z2086:Z2090)),AVERAGE('20250815_ETF_Options_Exhibits'!Z2086:Z2090),"")</f>
        <v/>
      </c>
      <c r="AA2090" s="3">
        <f>IF(ISNUMBER(AVERAGE('20250815_ETF_Options_Exhibits'!AA2086:AA2090)),AVERAGE('20250815_ETF_Options_Exhibits'!AA2086:AA2090),"")</f>
        <v/>
      </c>
    </row>
    <row r="2091">
      <c r="A2091" s="1" t="n">
        <v>45036</v>
      </c>
      <c r="B2091" s="3">
        <f>IF(ISNUMBER(AVERAGE('20250815_ETF_Options_Exhibits'!B2087:B2091)),AVERAGE('20250815_ETF_Options_Exhibits'!B2087:B2091),"")</f>
        <v/>
      </c>
      <c r="C2091" s="3">
        <f>IF(ISNUMBER(AVERAGE('20250815_ETF_Options_Exhibits'!C2087:C2091)),AVERAGE('20250815_ETF_Options_Exhibits'!C2087:C2091),"")</f>
        <v/>
      </c>
      <c r="D2091" s="3">
        <f>IF(ISNUMBER(AVERAGE('20250815_ETF_Options_Exhibits'!D2087:D2091)),AVERAGE('20250815_ETF_Options_Exhibits'!D2087:D2091),"")</f>
        <v/>
      </c>
      <c r="E2091" s="3">
        <f>IF(ISNUMBER(AVERAGE('20250815_ETF_Options_Exhibits'!E2087:E2091)),AVERAGE('20250815_ETF_Options_Exhibits'!E2087:E2091),"")</f>
        <v/>
      </c>
      <c r="F2091" s="3">
        <f>IF(ISNUMBER(AVERAGE('20250815_ETF_Options_Exhibits'!F2087:F2091)),AVERAGE('20250815_ETF_Options_Exhibits'!F2087:F2091),"")</f>
        <v/>
      </c>
      <c r="G2091" s="3">
        <f>IF(ISNUMBER(AVERAGE('20250815_ETF_Options_Exhibits'!G2087:G2091)),AVERAGE('20250815_ETF_Options_Exhibits'!G2087:G2091),"")</f>
        <v/>
      </c>
      <c r="H2091" s="3">
        <f>IF(ISNUMBER(AVERAGE('20250815_ETF_Options_Exhibits'!H2087:H2091)),AVERAGE('20250815_ETF_Options_Exhibits'!H2087:H2091),"")</f>
        <v/>
      </c>
      <c r="I2091" s="3">
        <f>IF(ISNUMBER(AVERAGE('20250815_ETF_Options_Exhibits'!I2087:I2091)),AVERAGE('20250815_ETF_Options_Exhibits'!I2087:I2091),"")</f>
        <v/>
      </c>
      <c r="J2091" s="3">
        <f>IF(ISNUMBER(AVERAGE('20250815_ETF_Options_Exhibits'!J2087:J2091)),AVERAGE('20250815_ETF_Options_Exhibits'!J2087:J2091),"")</f>
        <v/>
      </c>
      <c r="K2091" s="3">
        <f>IF(ISNUMBER(AVERAGE('20250815_ETF_Options_Exhibits'!K2087:K2091)),AVERAGE('20250815_ETF_Options_Exhibits'!K2087:K2091),"")</f>
        <v/>
      </c>
      <c r="L2091" s="3">
        <f>IF(ISNUMBER(AVERAGE('20250815_ETF_Options_Exhibits'!L2087:L2091)),AVERAGE('20250815_ETF_Options_Exhibits'!L2087:L2091),"")</f>
        <v/>
      </c>
      <c r="M2091" s="3">
        <f>IF(ISNUMBER(AVERAGE('20250815_ETF_Options_Exhibits'!M2087:M2091)),AVERAGE('20250815_ETF_Options_Exhibits'!M2087:M2091),"")</f>
        <v/>
      </c>
      <c r="N2091" s="3">
        <f>IF(ISNUMBER(AVERAGE('20250815_ETF_Options_Exhibits'!N2087:N2091)),AVERAGE('20250815_ETF_Options_Exhibits'!N2087:N2091),"")</f>
        <v/>
      </c>
      <c r="O2091" s="3">
        <f>IF(ISNUMBER(AVERAGE('20250815_ETF_Options_Exhibits'!O2087:O2091)),AVERAGE('20250815_ETF_Options_Exhibits'!O2087:O2091),"")</f>
        <v/>
      </c>
      <c r="P2091" s="3">
        <f>IF(ISNUMBER(AVERAGE('20250815_ETF_Options_Exhibits'!P2087:P2091)),AVERAGE('20250815_ETF_Options_Exhibits'!P2087:P2091),"")</f>
        <v/>
      </c>
      <c r="Q2091" s="3">
        <f>IF(ISNUMBER(AVERAGE('20250815_ETF_Options_Exhibits'!Q2087:Q2091)),AVERAGE('20250815_ETF_Options_Exhibits'!Q2087:Q2091),"")</f>
        <v/>
      </c>
      <c r="R2091" s="3">
        <f>IF(ISNUMBER(AVERAGE('20250815_ETF_Options_Exhibits'!R2087:R2091)),AVERAGE('20250815_ETF_Options_Exhibits'!R2087:R2091),"")</f>
        <v/>
      </c>
      <c r="S2091" s="3">
        <f>IF(ISNUMBER(AVERAGE('20250815_ETF_Options_Exhibits'!S2087:S2091)),AVERAGE('20250815_ETF_Options_Exhibits'!S2087:S2091),"")</f>
        <v/>
      </c>
      <c r="T2091" s="3">
        <f>IF(ISNUMBER(AVERAGE('20250815_ETF_Options_Exhibits'!T2087:T2091)),AVERAGE('20250815_ETF_Options_Exhibits'!T2087:T2091),"")</f>
        <v/>
      </c>
      <c r="U2091" s="3">
        <f>IF(ISNUMBER(AVERAGE('20250815_ETF_Options_Exhibits'!U2087:U2091)),AVERAGE('20250815_ETF_Options_Exhibits'!U2087:U2091),"")</f>
        <v/>
      </c>
      <c r="V2091" s="3">
        <f>IF(ISNUMBER(AVERAGE('20250815_ETF_Options_Exhibits'!V2087:V2091)),AVERAGE('20250815_ETF_Options_Exhibits'!V2087:V2091),"")</f>
        <v/>
      </c>
      <c r="W2091" s="3">
        <f>IF(ISNUMBER(AVERAGE('20250815_ETF_Options_Exhibits'!W2087:W2091)),AVERAGE('20250815_ETF_Options_Exhibits'!W2087:W2091),"")</f>
        <v/>
      </c>
      <c r="X2091" s="3">
        <f>IF(ISNUMBER(AVERAGE('20250815_ETF_Options_Exhibits'!X2087:X2091)),AVERAGE('20250815_ETF_Options_Exhibits'!X2087:X2091),"")</f>
        <v/>
      </c>
      <c r="Y2091" s="3">
        <f>IF(ISNUMBER(AVERAGE('20250815_ETF_Options_Exhibits'!Y2087:Y2091)),AVERAGE('20250815_ETF_Options_Exhibits'!Y2087:Y2091),"")</f>
        <v/>
      </c>
      <c r="Z2091" s="3">
        <f>IF(ISNUMBER(AVERAGE('20250815_ETF_Options_Exhibits'!Z2087:Z2091)),AVERAGE('20250815_ETF_Options_Exhibits'!Z2087:Z2091),"")</f>
        <v/>
      </c>
      <c r="AA2091" s="3">
        <f>IF(ISNUMBER(AVERAGE('20250815_ETF_Options_Exhibits'!AA2087:AA2091)),AVERAGE('20250815_ETF_Options_Exhibits'!AA2087:AA2091),"")</f>
        <v/>
      </c>
    </row>
    <row r="2092">
      <c r="A2092" s="1" t="n">
        <v>45037</v>
      </c>
      <c r="B2092" s="3">
        <f>IF(ISNUMBER(AVERAGE('20250815_ETF_Options_Exhibits'!B2088:B2092)),AVERAGE('20250815_ETF_Options_Exhibits'!B2088:B2092),"")</f>
        <v/>
      </c>
      <c r="C2092" s="3">
        <f>IF(ISNUMBER(AVERAGE('20250815_ETF_Options_Exhibits'!C2088:C2092)),AVERAGE('20250815_ETF_Options_Exhibits'!C2088:C2092),"")</f>
        <v/>
      </c>
      <c r="D2092" s="3">
        <f>IF(ISNUMBER(AVERAGE('20250815_ETF_Options_Exhibits'!D2088:D2092)),AVERAGE('20250815_ETF_Options_Exhibits'!D2088:D2092),"")</f>
        <v/>
      </c>
      <c r="E2092" s="3">
        <f>IF(ISNUMBER(AVERAGE('20250815_ETF_Options_Exhibits'!E2088:E2092)),AVERAGE('20250815_ETF_Options_Exhibits'!E2088:E2092),"")</f>
        <v/>
      </c>
      <c r="F2092" s="3">
        <f>IF(ISNUMBER(AVERAGE('20250815_ETF_Options_Exhibits'!F2088:F2092)),AVERAGE('20250815_ETF_Options_Exhibits'!F2088:F2092),"")</f>
        <v/>
      </c>
      <c r="G2092" s="3">
        <f>IF(ISNUMBER(AVERAGE('20250815_ETF_Options_Exhibits'!G2088:G2092)),AVERAGE('20250815_ETF_Options_Exhibits'!G2088:G2092),"")</f>
        <v/>
      </c>
      <c r="H2092" s="3">
        <f>IF(ISNUMBER(AVERAGE('20250815_ETF_Options_Exhibits'!H2088:H2092)),AVERAGE('20250815_ETF_Options_Exhibits'!H2088:H2092),"")</f>
        <v/>
      </c>
      <c r="I2092" s="3">
        <f>IF(ISNUMBER(AVERAGE('20250815_ETF_Options_Exhibits'!I2088:I2092)),AVERAGE('20250815_ETF_Options_Exhibits'!I2088:I2092),"")</f>
        <v/>
      </c>
      <c r="J2092" s="3">
        <f>IF(ISNUMBER(AVERAGE('20250815_ETF_Options_Exhibits'!J2088:J2092)),AVERAGE('20250815_ETF_Options_Exhibits'!J2088:J2092),"")</f>
        <v/>
      </c>
      <c r="K2092" s="3">
        <f>IF(ISNUMBER(AVERAGE('20250815_ETF_Options_Exhibits'!K2088:K2092)),AVERAGE('20250815_ETF_Options_Exhibits'!K2088:K2092),"")</f>
        <v/>
      </c>
      <c r="L2092" s="3">
        <f>IF(ISNUMBER(AVERAGE('20250815_ETF_Options_Exhibits'!L2088:L2092)),AVERAGE('20250815_ETF_Options_Exhibits'!L2088:L2092),"")</f>
        <v/>
      </c>
      <c r="M2092" s="3">
        <f>IF(ISNUMBER(AVERAGE('20250815_ETF_Options_Exhibits'!M2088:M2092)),AVERAGE('20250815_ETF_Options_Exhibits'!M2088:M2092),"")</f>
        <v/>
      </c>
      <c r="N2092" s="3">
        <f>IF(ISNUMBER(AVERAGE('20250815_ETF_Options_Exhibits'!N2088:N2092)),AVERAGE('20250815_ETF_Options_Exhibits'!N2088:N2092),"")</f>
        <v/>
      </c>
      <c r="O2092" s="3">
        <f>IF(ISNUMBER(AVERAGE('20250815_ETF_Options_Exhibits'!O2088:O2092)),AVERAGE('20250815_ETF_Options_Exhibits'!O2088:O2092),"")</f>
        <v/>
      </c>
      <c r="P2092" s="3">
        <f>IF(ISNUMBER(AVERAGE('20250815_ETF_Options_Exhibits'!P2088:P2092)),AVERAGE('20250815_ETF_Options_Exhibits'!P2088:P2092),"")</f>
        <v/>
      </c>
      <c r="Q2092" s="3">
        <f>IF(ISNUMBER(AVERAGE('20250815_ETF_Options_Exhibits'!Q2088:Q2092)),AVERAGE('20250815_ETF_Options_Exhibits'!Q2088:Q2092),"")</f>
        <v/>
      </c>
      <c r="R2092" s="3">
        <f>IF(ISNUMBER(AVERAGE('20250815_ETF_Options_Exhibits'!R2088:R2092)),AVERAGE('20250815_ETF_Options_Exhibits'!R2088:R2092),"")</f>
        <v/>
      </c>
      <c r="S2092" s="3">
        <f>IF(ISNUMBER(AVERAGE('20250815_ETF_Options_Exhibits'!S2088:S2092)),AVERAGE('20250815_ETF_Options_Exhibits'!S2088:S2092),"")</f>
        <v/>
      </c>
      <c r="T2092" s="3">
        <f>IF(ISNUMBER(AVERAGE('20250815_ETF_Options_Exhibits'!T2088:T2092)),AVERAGE('20250815_ETF_Options_Exhibits'!T2088:T2092),"")</f>
        <v/>
      </c>
      <c r="U2092" s="3">
        <f>IF(ISNUMBER(AVERAGE('20250815_ETF_Options_Exhibits'!U2088:U2092)),AVERAGE('20250815_ETF_Options_Exhibits'!U2088:U2092),"")</f>
        <v/>
      </c>
      <c r="V2092" s="3">
        <f>IF(ISNUMBER(AVERAGE('20250815_ETF_Options_Exhibits'!V2088:V2092)),AVERAGE('20250815_ETF_Options_Exhibits'!V2088:V2092),"")</f>
        <v/>
      </c>
      <c r="W2092" s="3">
        <f>IF(ISNUMBER(AVERAGE('20250815_ETF_Options_Exhibits'!W2088:W2092)),AVERAGE('20250815_ETF_Options_Exhibits'!W2088:W2092),"")</f>
        <v/>
      </c>
      <c r="X2092" s="3">
        <f>IF(ISNUMBER(AVERAGE('20250815_ETF_Options_Exhibits'!X2088:X2092)),AVERAGE('20250815_ETF_Options_Exhibits'!X2088:X2092),"")</f>
        <v/>
      </c>
      <c r="Y2092" s="3">
        <f>IF(ISNUMBER(AVERAGE('20250815_ETF_Options_Exhibits'!Y2088:Y2092)),AVERAGE('20250815_ETF_Options_Exhibits'!Y2088:Y2092),"")</f>
        <v/>
      </c>
      <c r="Z2092" s="3">
        <f>IF(ISNUMBER(AVERAGE('20250815_ETF_Options_Exhibits'!Z2088:Z2092)),AVERAGE('20250815_ETF_Options_Exhibits'!Z2088:Z2092),"")</f>
        <v/>
      </c>
      <c r="AA2092" s="3">
        <f>IF(ISNUMBER(AVERAGE('20250815_ETF_Options_Exhibits'!AA2088:AA2092)),AVERAGE('20250815_ETF_Options_Exhibits'!AA2088:AA2092),"")</f>
        <v/>
      </c>
    </row>
    <row r="2093">
      <c r="A2093" s="1" t="n">
        <v>45040</v>
      </c>
      <c r="B2093" s="3">
        <f>IF(ISNUMBER(AVERAGE('20250815_ETF_Options_Exhibits'!B2089:B2093)),AVERAGE('20250815_ETF_Options_Exhibits'!B2089:B2093),"")</f>
        <v/>
      </c>
      <c r="C2093" s="3">
        <f>IF(ISNUMBER(AVERAGE('20250815_ETF_Options_Exhibits'!C2089:C2093)),AVERAGE('20250815_ETF_Options_Exhibits'!C2089:C2093),"")</f>
        <v/>
      </c>
      <c r="D2093" s="3">
        <f>IF(ISNUMBER(AVERAGE('20250815_ETF_Options_Exhibits'!D2089:D2093)),AVERAGE('20250815_ETF_Options_Exhibits'!D2089:D2093),"")</f>
        <v/>
      </c>
      <c r="E2093" s="3">
        <f>IF(ISNUMBER(AVERAGE('20250815_ETF_Options_Exhibits'!E2089:E2093)),AVERAGE('20250815_ETF_Options_Exhibits'!E2089:E2093),"")</f>
        <v/>
      </c>
      <c r="F2093" s="3">
        <f>IF(ISNUMBER(AVERAGE('20250815_ETF_Options_Exhibits'!F2089:F2093)),AVERAGE('20250815_ETF_Options_Exhibits'!F2089:F2093),"")</f>
        <v/>
      </c>
      <c r="G2093" s="3">
        <f>IF(ISNUMBER(AVERAGE('20250815_ETF_Options_Exhibits'!G2089:G2093)),AVERAGE('20250815_ETF_Options_Exhibits'!G2089:G2093),"")</f>
        <v/>
      </c>
      <c r="H2093" s="3">
        <f>IF(ISNUMBER(AVERAGE('20250815_ETF_Options_Exhibits'!H2089:H2093)),AVERAGE('20250815_ETF_Options_Exhibits'!H2089:H2093),"")</f>
        <v/>
      </c>
      <c r="I2093" s="3">
        <f>IF(ISNUMBER(AVERAGE('20250815_ETF_Options_Exhibits'!I2089:I2093)),AVERAGE('20250815_ETF_Options_Exhibits'!I2089:I2093),"")</f>
        <v/>
      </c>
      <c r="J2093" s="3">
        <f>IF(ISNUMBER(AVERAGE('20250815_ETF_Options_Exhibits'!J2089:J2093)),AVERAGE('20250815_ETF_Options_Exhibits'!J2089:J2093),"")</f>
        <v/>
      </c>
      <c r="K2093" s="3">
        <f>IF(ISNUMBER(AVERAGE('20250815_ETF_Options_Exhibits'!K2089:K2093)),AVERAGE('20250815_ETF_Options_Exhibits'!K2089:K2093),"")</f>
        <v/>
      </c>
      <c r="L2093" s="3">
        <f>IF(ISNUMBER(AVERAGE('20250815_ETF_Options_Exhibits'!L2089:L2093)),AVERAGE('20250815_ETF_Options_Exhibits'!L2089:L2093),"")</f>
        <v/>
      </c>
      <c r="M2093" s="3">
        <f>IF(ISNUMBER(AVERAGE('20250815_ETF_Options_Exhibits'!M2089:M2093)),AVERAGE('20250815_ETF_Options_Exhibits'!M2089:M2093),"")</f>
        <v/>
      </c>
      <c r="N2093" s="3">
        <f>IF(ISNUMBER(AVERAGE('20250815_ETF_Options_Exhibits'!N2089:N2093)),AVERAGE('20250815_ETF_Options_Exhibits'!N2089:N2093),"")</f>
        <v/>
      </c>
      <c r="O2093" s="3">
        <f>IF(ISNUMBER(AVERAGE('20250815_ETF_Options_Exhibits'!O2089:O2093)),AVERAGE('20250815_ETF_Options_Exhibits'!O2089:O2093),"")</f>
        <v/>
      </c>
      <c r="P2093" s="3">
        <f>IF(ISNUMBER(AVERAGE('20250815_ETF_Options_Exhibits'!P2089:P2093)),AVERAGE('20250815_ETF_Options_Exhibits'!P2089:P2093),"")</f>
        <v/>
      </c>
      <c r="Q2093" s="3">
        <f>IF(ISNUMBER(AVERAGE('20250815_ETF_Options_Exhibits'!Q2089:Q2093)),AVERAGE('20250815_ETF_Options_Exhibits'!Q2089:Q2093),"")</f>
        <v/>
      </c>
      <c r="R2093" s="3">
        <f>IF(ISNUMBER(AVERAGE('20250815_ETF_Options_Exhibits'!R2089:R2093)),AVERAGE('20250815_ETF_Options_Exhibits'!R2089:R2093),"")</f>
        <v/>
      </c>
      <c r="S2093" s="3">
        <f>IF(ISNUMBER(AVERAGE('20250815_ETF_Options_Exhibits'!S2089:S2093)),AVERAGE('20250815_ETF_Options_Exhibits'!S2089:S2093),"")</f>
        <v/>
      </c>
      <c r="T2093" s="3">
        <f>IF(ISNUMBER(AVERAGE('20250815_ETF_Options_Exhibits'!T2089:T2093)),AVERAGE('20250815_ETF_Options_Exhibits'!T2089:T2093),"")</f>
        <v/>
      </c>
      <c r="U2093" s="3">
        <f>IF(ISNUMBER(AVERAGE('20250815_ETF_Options_Exhibits'!U2089:U2093)),AVERAGE('20250815_ETF_Options_Exhibits'!U2089:U2093),"")</f>
        <v/>
      </c>
      <c r="V2093" s="3">
        <f>IF(ISNUMBER(AVERAGE('20250815_ETF_Options_Exhibits'!V2089:V2093)),AVERAGE('20250815_ETF_Options_Exhibits'!V2089:V2093),"")</f>
        <v/>
      </c>
      <c r="W2093" s="3">
        <f>IF(ISNUMBER(AVERAGE('20250815_ETF_Options_Exhibits'!W2089:W2093)),AVERAGE('20250815_ETF_Options_Exhibits'!W2089:W2093),"")</f>
        <v/>
      </c>
      <c r="X2093" s="3">
        <f>IF(ISNUMBER(AVERAGE('20250815_ETF_Options_Exhibits'!X2089:X2093)),AVERAGE('20250815_ETF_Options_Exhibits'!X2089:X2093),"")</f>
        <v/>
      </c>
      <c r="Y2093" s="3">
        <f>IF(ISNUMBER(AVERAGE('20250815_ETF_Options_Exhibits'!Y2089:Y2093)),AVERAGE('20250815_ETF_Options_Exhibits'!Y2089:Y2093),"")</f>
        <v/>
      </c>
      <c r="Z2093" s="3">
        <f>IF(ISNUMBER(AVERAGE('20250815_ETF_Options_Exhibits'!Z2089:Z2093)),AVERAGE('20250815_ETF_Options_Exhibits'!Z2089:Z2093),"")</f>
        <v/>
      </c>
      <c r="AA2093" s="3">
        <f>IF(ISNUMBER(AVERAGE('20250815_ETF_Options_Exhibits'!AA2089:AA2093)),AVERAGE('20250815_ETF_Options_Exhibits'!AA2089:AA2093),"")</f>
        <v/>
      </c>
    </row>
    <row r="2094">
      <c r="A2094" s="1" t="n">
        <v>45041</v>
      </c>
      <c r="B2094" s="3">
        <f>IF(ISNUMBER(AVERAGE('20250815_ETF_Options_Exhibits'!B2090:B2094)),AVERAGE('20250815_ETF_Options_Exhibits'!B2090:B2094),"")</f>
        <v/>
      </c>
      <c r="C2094" s="3">
        <f>IF(ISNUMBER(AVERAGE('20250815_ETF_Options_Exhibits'!C2090:C2094)),AVERAGE('20250815_ETF_Options_Exhibits'!C2090:C2094),"")</f>
        <v/>
      </c>
      <c r="D2094" s="3">
        <f>IF(ISNUMBER(AVERAGE('20250815_ETF_Options_Exhibits'!D2090:D2094)),AVERAGE('20250815_ETF_Options_Exhibits'!D2090:D2094),"")</f>
        <v/>
      </c>
      <c r="E2094" s="3">
        <f>IF(ISNUMBER(AVERAGE('20250815_ETF_Options_Exhibits'!E2090:E2094)),AVERAGE('20250815_ETF_Options_Exhibits'!E2090:E2094),"")</f>
        <v/>
      </c>
      <c r="F2094" s="3">
        <f>IF(ISNUMBER(AVERAGE('20250815_ETF_Options_Exhibits'!F2090:F2094)),AVERAGE('20250815_ETF_Options_Exhibits'!F2090:F2094),"")</f>
        <v/>
      </c>
      <c r="G2094" s="3">
        <f>IF(ISNUMBER(AVERAGE('20250815_ETF_Options_Exhibits'!G2090:G2094)),AVERAGE('20250815_ETF_Options_Exhibits'!G2090:G2094),"")</f>
        <v/>
      </c>
      <c r="H2094" s="3">
        <f>IF(ISNUMBER(AVERAGE('20250815_ETF_Options_Exhibits'!H2090:H2094)),AVERAGE('20250815_ETF_Options_Exhibits'!H2090:H2094),"")</f>
        <v/>
      </c>
      <c r="I2094" s="3">
        <f>IF(ISNUMBER(AVERAGE('20250815_ETF_Options_Exhibits'!I2090:I2094)),AVERAGE('20250815_ETF_Options_Exhibits'!I2090:I2094),"")</f>
        <v/>
      </c>
      <c r="J2094" s="3">
        <f>IF(ISNUMBER(AVERAGE('20250815_ETF_Options_Exhibits'!J2090:J2094)),AVERAGE('20250815_ETF_Options_Exhibits'!J2090:J2094),"")</f>
        <v/>
      </c>
      <c r="K2094" s="3">
        <f>IF(ISNUMBER(AVERAGE('20250815_ETF_Options_Exhibits'!K2090:K2094)),AVERAGE('20250815_ETF_Options_Exhibits'!K2090:K2094),"")</f>
        <v/>
      </c>
      <c r="L2094" s="3">
        <f>IF(ISNUMBER(AVERAGE('20250815_ETF_Options_Exhibits'!L2090:L2094)),AVERAGE('20250815_ETF_Options_Exhibits'!L2090:L2094),"")</f>
        <v/>
      </c>
      <c r="M2094" s="3">
        <f>IF(ISNUMBER(AVERAGE('20250815_ETF_Options_Exhibits'!M2090:M2094)),AVERAGE('20250815_ETF_Options_Exhibits'!M2090:M2094),"")</f>
        <v/>
      </c>
      <c r="N2094" s="3">
        <f>IF(ISNUMBER(AVERAGE('20250815_ETF_Options_Exhibits'!N2090:N2094)),AVERAGE('20250815_ETF_Options_Exhibits'!N2090:N2094),"")</f>
        <v/>
      </c>
      <c r="O2094" s="3">
        <f>IF(ISNUMBER(AVERAGE('20250815_ETF_Options_Exhibits'!O2090:O2094)),AVERAGE('20250815_ETF_Options_Exhibits'!O2090:O2094),"")</f>
        <v/>
      </c>
      <c r="P2094" s="3">
        <f>IF(ISNUMBER(AVERAGE('20250815_ETF_Options_Exhibits'!P2090:P2094)),AVERAGE('20250815_ETF_Options_Exhibits'!P2090:P2094),"")</f>
        <v/>
      </c>
      <c r="Q2094" s="3">
        <f>IF(ISNUMBER(AVERAGE('20250815_ETF_Options_Exhibits'!Q2090:Q2094)),AVERAGE('20250815_ETF_Options_Exhibits'!Q2090:Q2094),"")</f>
        <v/>
      </c>
      <c r="R2094" s="3">
        <f>IF(ISNUMBER(AVERAGE('20250815_ETF_Options_Exhibits'!R2090:R2094)),AVERAGE('20250815_ETF_Options_Exhibits'!R2090:R2094),"")</f>
        <v/>
      </c>
      <c r="S2094" s="3">
        <f>IF(ISNUMBER(AVERAGE('20250815_ETF_Options_Exhibits'!S2090:S2094)),AVERAGE('20250815_ETF_Options_Exhibits'!S2090:S2094),"")</f>
        <v/>
      </c>
      <c r="T2094" s="3">
        <f>IF(ISNUMBER(AVERAGE('20250815_ETF_Options_Exhibits'!T2090:T2094)),AVERAGE('20250815_ETF_Options_Exhibits'!T2090:T2094),"")</f>
        <v/>
      </c>
      <c r="U2094" s="3">
        <f>IF(ISNUMBER(AVERAGE('20250815_ETF_Options_Exhibits'!U2090:U2094)),AVERAGE('20250815_ETF_Options_Exhibits'!U2090:U2094),"")</f>
        <v/>
      </c>
      <c r="V2094" s="3">
        <f>IF(ISNUMBER(AVERAGE('20250815_ETF_Options_Exhibits'!V2090:V2094)),AVERAGE('20250815_ETF_Options_Exhibits'!V2090:V2094),"")</f>
        <v/>
      </c>
      <c r="W2094" s="3">
        <f>IF(ISNUMBER(AVERAGE('20250815_ETF_Options_Exhibits'!W2090:W2094)),AVERAGE('20250815_ETF_Options_Exhibits'!W2090:W2094),"")</f>
        <v/>
      </c>
      <c r="X2094" s="3">
        <f>IF(ISNUMBER(AVERAGE('20250815_ETF_Options_Exhibits'!X2090:X2094)),AVERAGE('20250815_ETF_Options_Exhibits'!X2090:X2094),"")</f>
        <v/>
      </c>
      <c r="Y2094" s="3">
        <f>IF(ISNUMBER(AVERAGE('20250815_ETF_Options_Exhibits'!Y2090:Y2094)),AVERAGE('20250815_ETF_Options_Exhibits'!Y2090:Y2094),"")</f>
        <v/>
      </c>
      <c r="Z2094" s="3">
        <f>IF(ISNUMBER(AVERAGE('20250815_ETF_Options_Exhibits'!Z2090:Z2094)),AVERAGE('20250815_ETF_Options_Exhibits'!Z2090:Z2094),"")</f>
        <v/>
      </c>
      <c r="AA2094" s="3">
        <f>IF(ISNUMBER(AVERAGE('20250815_ETF_Options_Exhibits'!AA2090:AA2094)),AVERAGE('20250815_ETF_Options_Exhibits'!AA2090:AA2094),"")</f>
        <v/>
      </c>
    </row>
    <row r="2095">
      <c r="A2095" s="1" t="n">
        <v>45042</v>
      </c>
      <c r="B2095" s="3">
        <f>IF(ISNUMBER(AVERAGE('20250815_ETF_Options_Exhibits'!B2091:B2095)),AVERAGE('20250815_ETF_Options_Exhibits'!B2091:B2095),"")</f>
        <v/>
      </c>
      <c r="C2095" s="3">
        <f>IF(ISNUMBER(AVERAGE('20250815_ETF_Options_Exhibits'!C2091:C2095)),AVERAGE('20250815_ETF_Options_Exhibits'!C2091:C2095),"")</f>
        <v/>
      </c>
      <c r="D2095" s="3">
        <f>IF(ISNUMBER(AVERAGE('20250815_ETF_Options_Exhibits'!D2091:D2095)),AVERAGE('20250815_ETF_Options_Exhibits'!D2091:D2095),"")</f>
        <v/>
      </c>
      <c r="E2095" s="3">
        <f>IF(ISNUMBER(AVERAGE('20250815_ETF_Options_Exhibits'!E2091:E2095)),AVERAGE('20250815_ETF_Options_Exhibits'!E2091:E2095),"")</f>
        <v/>
      </c>
      <c r="F2095" s="3">
        <f>IF(ISNUMBER(AVERAGE('20250815_ETF_Options_Exhibits'!F2091:F2095)),AVERAGE('20250815_ETF_Options_Exhibits'!F2091:F2095),"")</f>
        <v/>
      </c>
      <c r="G2095" s="3">
        <f>IF(ISNUMBER(AVERAGE('20250815_ETF_Options_Exhibits'!G2091:G2095)),AVERAGE('20250815_ETF_Options_Exhibits'!G2091:G2095),"")</f>
        <v/>
      </c>
      <c r="H2095" s="3">
        <f>IF(ISNUMBER(AVERAGE('20250815_ETF_Options_Exhibits'!H2091:H2095)),AVERAGE('20250815_ETF_Options_Exhibits'!H2091:H2095),"")</f>
        <v/>
      </c>
      <c r="I2095" s="3">
        <f>IF(ISNUMBER(AVERAGE('20250815_ETF_Options_Exhibits'!I2091:I2095)),AVERAGE('20250815_ETF_Options_Exhibits'!I2091:I2095),"")</f>
        <v/>
      </c>
      <c r="J2095" s="3">
        <f>IF(ISNUMBER(AVERAGE('20250815_ETF_Options_Exhibits'!J2091:J2095)),AVERAGE('20250815_ETF_Options_Exhibits'!J2091:J2095),"")</f>
        <v/>
      </c>
      <c r="K2095" s="3">
        <f>IF(ISNUMBER(AVERAGE('20250815_ETF_Options_Exhibits'!K2091:K2095)),AVERAGE('20250815_ETF_Options_Exhibits'!K2091:K2095),"")</f>
        <v/>
      </c>
      <c r="L2095" s="3">
        <f>IF(ISNUMBER(AVERAGE('20250815_ETF_Options_Exhibits'!L2091:L2095)),AVERAGE('20250815_ETF_Options_Exhibits'!L2091:L2095),"")</f>
        <v/>
      </c>
      <c r="M2095" s="3">
        <f>IF(ISNUMBER(AVERAGE('20250815_ETF_Options_Exhibits'!M2091:M2095)),AVERAGE('20250815_ETF_Options_Exhibits'!M2091:M2095),"")</f>
        <v/>
      </c>
      <c r="N2095" s="3">
        <f>IF(ISNUMBER(AVERAGE('20250815_ETF_Options_Exhibits'!N2091:N2095)),AVERAGE('20250815_ETF_Options_Exhibits'!N2091:N2095),"")</f>
        <v/>
      </c>
      <c r="O2095" s="3">
        <f>IF(ISNUMBER(AVERAGE('20250815_ETF_Options_Exhibits'!O2091:O2095)),AVERAGE('20250815_ETF_Options_Exhibits'!O2091:O2095),"")</f>
        <v/>
      </c>
      <c r="P2095" s="3">
        <f>IF(ISNUMBER(AVERAGE('20250815_ETF_Options_Exhibits'!P2091:P2095)),AVERAGE('20250815_ETF_Options_Exhibits'!P2091:P2095),"")</f>
        <v/>
      </c>
      <c r="Q2095" s="3">
        <f>IF(ISNUMBER(AVERAGE('20250815_ETF_Options_Exhibits'!Q2091:Q2095)),AVERAGE('20250815_ETF_Options_Exhibits'!Q2091:Q2095),"")</f>
        <v/>
      </c>
      <c r="R2095" s="3">
        <f>IF(ISNUMBER(AVERAGE('20250815_ETF_Options_Exhibits'!R2091:R2095)),AVERAGE('20250815_ETF_Options_Exhibits'!R2091:R2095),"")</f>
        <v/>
      </c>
      <c r="S2095" s="3">
        <f>IF(ISNUMBER(AVERAGE('20250815_ETF_Options_Exhibits'!S2091:S2095)),AVERAGE('20250815_ETF_Options_Exhibits'!S2091:S2095),"")</f>
        <v/>
      </c>
      <c r="T2095" s="3">
        <f>IF(ISNUMBER(AVERAGE('20250815_ETF_Options_Exhibits'!T2091:T2095)),AVERAGE('20250815_ETF_Options_Exhibits'!T2091:T2095),"")</f>
        <v/>
      </c>
      <c r="U2095" s="3">
        <f>IF(ISNUMBER(AVERAGE('20250815_ETF_Options_Exhibits'!U2091:U2095)),AVERAGE('20250815_ETF_Options_Exhibits'!U2091:U2095),"")</f>
        <v/>
      </c>
      <c r="V2095" s="3">
        <f>IF(ISNUMBER(AVERAGE('20250815_ETF_Options_Exhibits'!V2091:V2095)),AVERAGE('20250815_ETF_Options_Exhibits'!V2091:V2095),"")</f>
        <v/>
      </c>
      <c r="W2095" s="3">
        <f>IF(ISNUMBER(AVERAGE('20250815_ETF_Options_Exhibits'!W2091:W2095)),AVERAGE('20250815_ETF_Options_Exhibits'!W2091:W2095),"")</f>
        <v/>
      </c>
      <c r="X2095" s="3">
        <f>IF(ISNUMBER(AVERAGE('20250815_ETF_Options_Exhibits'!X2091:X2095)),AVERAGE('20250815_ETF_Options_Exhibits'!X2091:X2095),"")</f>
        <v/>
      </c>
      <c r="Y2095" s="3">
        <f>IF(ISNUMBER(AVERAGE('20250815_ETF_Options_Exhibits'!Y2091:Y2095)),AVERAGE('20250815_ETF_Options_Exhibits'!Y2091:Y2095),"")</f>
        <v/>
      </c>
      <c r="Z2095" s="3">
        <f>IF(ISNUMBER(AVERAGE('20250815_ETF_Options_Exhibits'!Z2091:Z2095)),AVERAGE('20250815_ETF_Options_Exhibits'!Z2091:Z2095),"")</f>
        <v/>
      </c>
      <c r="AA2095" s="3">
        <f>IF(ISNUMBER(AVERAGE('20250815_ETF_Options_Exhibits'!AA2091:AA2095)),AVERAGE('20250815_ETF_Options_Exhibits'!AA2091:AA2095),"")</f>
        <v/>
      </c>
    </row>
    <row r="2096">
      <c r="A2096" s="1" t="n">
        <v>45043</v>
      </c>
      <c r="B2096" s="3">
        <f>IF(ISNUMBER(AVERAGE('20250815_ETF_Options_Exhibits'!B2092:B2096)),AVERAGE('20250815_ETF_Options_Exhibits'!B2092:B2096),"")</f>
        <v/>
      </c>
      <c r="C2096" s="3">
        <f>IF(ISNUMBER(AVERAGE('20250815_ETF_Options_Exhibits'!C2092:C2096)),AVERAGE('20250815_ETF_Options_Exhibits'!C2092:C2096),"")</f>
        <v/>
      </c>
      <c r="D2096" s="3">
        <f>IF(ISNUMBER(AVERAGE('20250815_ETF_Options_Exhibits'!D2092:D2096)),AVERAGE('20250815_ETF_Options_Exhibits'!D2092:D2096),"")</f>
        <v/>
      </c>
      <c r="E2096" s="3">
        <f>IF(ISNUMBER(AVERAGE('20250815_ETF_Options_Exhibits'!E2092:E2096)),AVERAGE('20250815_ETF_Options_Exhibits'!E2092:E2096),"")</f>
        <v/>
      </c>
      <c r="F2096" s="3">
        <f>IF(ISNUMBER(AVERAGE('20250815_ETF_Options_Exhibits'!F2092:F2096)),AVERAGE('20250815_ETF_Options_Exhibits'!F2092:F2096),"")</f>
        <v/>
      </c>
      <c r="G2096" s="3">
        <f>IF(ISNUMBER(AVERAGE('20250815_ETF_Options_Exhibits'!G2092:G2096)),AVERAGE('20250815_ETF_Options_Exhibits'!G2092:G2096),"")</f>
        <v/>
      </c>
      <c r="H2096" s="3">
        <f>IF(ISNUMBER(AVERAGE('20250815_ETF_Options_Exhibits'!H2092:H2096)),AVERAGE('20250815_ETF_Options_Exhibits'!H2092:H2096),"")</f>
        <v/>
      </c>
      <c r="I2096" s="3">
        <f>IF(ISNUMBER(AVERAGE('20250815_ETF_Options_Exhibits'!I2092:I2096)),AVERAGE('20250815_ETF_Options_Exhibits'!I2092:I2096),"")</f>
        <v/>
      </c>
      <c r="J2096" s="3">
        <f>IF(ISNUMBER(AVERAGE('20250815_ETF_Options_Exhibits'!J2092:J2096)),AVERAGE('20250815_ETF_Options_Exhibits'!J2092:J2096),"")</f>
        <v/>
      </c>
      <c r="K2096" s="3">
        <f>IF(ISNUMBER(AVERAGE('20250815_ETF_Options_Exhibits'!K2092:K2096)),AVERAGE('20250815_ETF_Options_Exhibits'!K2092:K2096),"")</f>
        <v/>
      </c>
      <c r="L2096" s="3">
        <f>IF(ISNUMBER(AVERAGE('20250815_ETF_Options_Exhibits'!L2092:L2096)),AVERAGE('20250815_ETF_Options_Exhibits'!L2092:L2096),"")</f>
        <v/>
      </c>
      <c r="M2096" s="3">
        <f>IF(ISNUMBER(AVERAGE('20250815_ETF_Options_Exhibits'!M2092:M2096)),AVERAGE('20250815_ETF_Options_Exhibits'!M2092:M2096),"")</f>
        <v/>
      </c>
      <c r="N2096" s="3">
        <f>IF(ISNUMBER(AVERAGE('20250815_ETF_Options_Exhibits'!N2092:N2096)),AVERAGE('20250815_ETF_Options_Exhibits'!N2092:N2096),"")</f>
        <v/>
      </c>
      <c r="O2096" s="3">
        <f>IF(ISNUMBER(AVERAGE('20250815_ETF_Options_Exhibits'!O2092:O2096)),AVERAGE('20250815_ETF_Options_Exhibits'!O2092:O2096),"")</f>
        <v/>
      </c>
      <c r="P2096" s="3">
        <f>IF(ISNUMBER(AVERAGE('20250815_ETF_Options_Exhibits'!P2092:P2096)),AVERAGE('20250815_ETF_Options_Exhibits'!P2092:P2096),"")</f>
        <v/>
      </c>
      <c r="Q2096" s="3">
        <f>IF(ISNUMBER(AVERAGE('20250815_ETF_Options_Exhibits'!Q2092:Q2096)),AVERAGE('20250815_ETF_Options_Exhibits'!Q2092:Q2096),"")</f>
        <v/>
      </c>
      <c r="R2096" s="3">
        <f>IF(ISNUMBER(AVERAGE('20250815_ETF_Options_Exhibits'!R2092:R2096)),AVERAGE('20250815_ETF_Options_Exhibits'!R2092:R2096),"")</f>
        <v/>
      </c>
      <c r="S2096" s="3">
        <f>IF(ISNUMBER(AVERAGE('20250815_ETF_Options_Exhibits'!S2092:S2096)),AVERAGE('20250815_ETF_Options_Exhibits'!S2092:S2096),"")</f>
        <v/>
      </c>
      <c r="T2096" s="3">
        <f>IF(ISNUMBER(AVERAGE('20250815_ETF_Options_Exhibits'!T2092:T2096)),AVERAGE('20250815_ETF_Options_Exhibits'!T2092:T2096),"")</f>
        <v/>
      </c>
      <c r="U2096" s="3">
        <f>IF(ISNUMBER(AVERAGE('20250815_ETF_Options_Exhibits'!U2092:U2096)),AVERAGE('20250815_ETF_Options_Exhibits'!U2092:U2096),"")</f>
        <v/>
      </c>
      <c r="V2096" s="3">
        <f>IF(ISNUMBER(AVERAGE('20250815_ETF_Options_Exhibits'!V2092:V2096)),AVERAGE('20250815_ETF_Options_Exhibits'!V2092:V2096),"")</f>
        <v/>
      </c>
      <c r="W2096" s="3">
        <f>IF(ISNUMBER(AVERAGE('20250815_ETF_Options_Exhibits'!W2092:W2096)),AVERAGE('20250815_ETF_Options_Exhibits'!W2092:W2096),"")</f>
        <v/>
      </c>
      <c r="X2096" s="3">
        <f>IF(ISNUMBER(AVERAGE('20250815_ETF_Options_Exhibits'!X2092:X2096)),AVERAGE('20250815_ETF_Options_Exhibits'!X2092:X2096),"")</f>
        <v/>
      </c>
      <c r="Y2096" s="3">
        <f>IF(ISNUMBER(AVERAGE('20250815_ETF_Options_Exhibits'!Y2092:Y2096)),AVERAGE('20250815_ETF_Options_Exhibits'!Y2092:Y2096),"")</f>
        <v/>
      </c>
      <c r="Z2096" s="3">
        <f>IF(ISNUMBER(AVERAGE('20250815_ETF_Options_Exhibits'!Z2092:Z2096)),AVERAGE('20250815_ETF_Options_Exhibits'!Z2092:Z2096),"")</f>
        <v/>
      </c>
      <c r="AA2096" s="3">
        <f>IF(ISNUMBER(AVERAGE('20250815_ETF_Options_Exhibits'!AA2092:AA2096)),AVERAGE('20250815_ETF_Options_Exhibits'!AA2092:AA2096),"")</f>
        <v/>
      </c>
    </row>
    <row r="2097">
      <c r="A2097" s="1" t="n">
        <v>45044</v>
      </c>
      <c r="B2097" s="3">
        <f>IF(ISNUMBER(AVERAGE('20250815_ETF_Options_Exhibits'!B2093:B2097)),AVERAGE('20250815_ETF_Options_Exhibits'!B2093:B2097),"")</f>
        <v/>
      </c>
      <c r="C2097" s="3">
        <f>IF(ISNUMBER(AVERAGE('20250815_ETF_Options_Exhibits'!C2093:C2097)),AVERAGE('20250815_ETF_Options_Exhibits'!C2093:C2097),"")</f>
        <v/>
      </c>
      <c r="D2097" s="3">
        <f>IF(ISNUMBER(AVERAGE('20250815_ETF_Options_Exhibits'!D2093:D2097)),AVERAGE('20250815_ETF_Options_Exhibits'!D2093:D2097),"")</f>
        <v/>
      </c>
      <c r="E2097" s="3">
        <f>IF(ISNUMBER(AVERAGE('20250815_ETF_Options_Exhibits'!E2093:E2097)),AVERAGE('20250815_ETF_Options_Exhibits'!E2093:E2097),"")</f>
        <v/>
      </c>
      <c r="F2097" s="3">
        <f>IF(ISNUMBER(AVERAGE('20250815_ETF_Options_Exhibits'!F2093:F2097)),AVERAGE('20250815_ETF_Options_Exhibits'!F2093:F2097),"")</f>
        <v/>
      </c>
      <c r="G2097" s="3">
        <f>IF(ISNUMBER(AVERAGE('20250815_ETF_Options_Exhibits'!G2093:G2097)),AVERAGE('20250815_ETF_Options_Exhibits'!G2093:G2097),"")</f>
        <v/>
      </c>
      <c r="H2097" s="3">
        <f>IF(ISNUMBER(AVERAGE('20250815_ETF_Options_Exhibits'!H2093:H2097)),AVERAGE('20250815_ETF_Options_Exhibits'!H2093:H2097),"")</f>
        <v/>
      </c>
      <c r="I2097" s="3">
        <f>IF(ISNUMBER(AVERAGE('20250815_ETF_Options_Exhibits'!I2093:I2097)),AVERAGE('20250815_ETF_Options_Exhibits'!I2093:I2097),"")</f>
        <v/>
      </c>
      <c r="J2097" s="3">
        <f>IF(ISNUMBER(AVERAGE('20250815_ETF_Options_Exhibits'!J2093:J2097)),AVERAGE('20250815_ETF_Options_Exhibits'!J2093:J2097),"")</f>
        <v/>
      </c>
      <c r="K2097" s="3">
        <f>IF(ISNUMBER(AVERAGE('20250815_ETF_Options_Exhibits'!K2093:K2097)),AVERAGE('20250815_ETF_Options_Exhibits'!K2093:K2097),"")</f>
        <v/>
      </c>
      <c r="L2097" s="3">
        <f>IF(ISNUMBER(AVERAGE('20250815_ETF_Options_Exhibits'!L2093:L2097)),AVERAGE('20250815_ETF_Options_Exhibits'!L2093:L2097),"")</f>
        <v/>
      </c>
      <c r="M2097" s="3">
        <f>IF(ISNUMBER(AVERAGE('20250815_ETF_Options_Exhibits'!M2093:M2097)),AVERAGE('20250815_ETF_Options_Exhibits'!M2093:M2097),"")</f>
        <v/>
      </c>
      <c r="N2097" s="3">
        <f>IF(ISNUMBER(AVERAGE('20250815_ETF_Options_Exhibits'!N2093:N2097)),AVERAGE('20250815_ETF_Options_Exhibits'!N2093:N2097),"")</f>
        <v/>
      </c>
      <c r="O2097" s="3">
        <f>IF(ISNUMBER(AVERAGE('20250815_ETF_Options_Exhibits'!O2093:O2097)),AVERAGE('20250815_ETF_Options_Exhibits'!O2093:O2097),"")</f>
        <v/>
      </c>
      <c r="P2097" s="3">
        <f>IF(ISNUMBER(AVERAGE('20250815_ETF_Options_Exhibits'!P2093:P2097)),AVERAGE('20250815_ETF_Options_Exhibits'!P2093:P2097),"")</f>
        <v/>
      </c>
      <c r="Q2097" s="3">
        <f>IF(ISNUMBER(AVERAGE('20250815_ETF_Options_Exhibits'!Q2093:Q2097)),AVERAGE('20250815_ETF_Options_Exhibits'!Q2093:Q2097),"")</f>
        <v/>
      </c>
      <c r="R2097" s="3">
        <f>IF(ISNUMBER(AVERAGE('20250815_ETF_Options_Exhibits'!R2093:R2097)),AVERAGE('20250815_ETF_Options_Exhibits'!R2093:R2097),"")</f>
        <v/>
      </c>
      <c r="S2097" s="3">
        <f>IF(ISNUMBER(AVERAGE('20250815_ETF_Options_Exhibits'!S2093:S2097)),AVERAGE('20250815_ETF_Options_Exhibits'!S2093:S2097),"")</f>
        <v/>
      </c>
      <c r="T2097" s="3">
        <f>IF(ISNUMBER(AVERAGE('20250815_ETF_Options_Exhibits'!T2093:T2097)),AVERAGE('20250815_ETF_Options_Exhibits'!T2093:T2097),"")</f>
        <v/>
      </c>
      <c r="U2097" s="3">
        <f>IF(ISNUMBER(AVERAGE('20250815_ETF_Options_Exhibits'!U2093:U2097)),AVERAGE('20250815_ETF_Options_Exhibits'!U2093:U2097),"")</f>
        <v/>
      </c>
      <c r="V2097" s="3">
        <f>IF(ISNUMBER(AVERAGE('20250815_ETF_Options_Exhibits'!V2093:V2097)),AVERAGE('20250815_ETF_Options_Exhibits'!V2093:V2097),"")</f>
        <v/>
      </c>
      <c r="W2097" s="3">
        <f>IF(ISNUMBER(AVERAGE('20250815_ETF_Options_Exhibits'!W2093:W2097)),AVERAGE('20250815_ETF_Options_Exhibits'!W2093:W2097),"")</f>
        <v/>
      </c>
      <c r="X2097" s="3">
        <f>IF(ISNUMBER(AVERAGE('20250815_ETF_Options_Exhibits'!X2093:X2097)),AVERAGE('20250815_ETF_Options_Exhibits'!X2093:X2097),"")</f>
        <v/>
      </c>
      <c r="Y2097" s="3">
        <f>IF(ISNUMBER(AVERAGE('20250815_ETF_Options_Exhibits'!Y2093:Y2097)),AVERAGE('20250815_ETF_Options_Exhibits'!Y2093:Y2097),"")</f>
        <v/>
      </c>
      <c r="Z2097" s="3">
        <f>IF(ISNUMBER(AVERAGE('20250815_ETF_Options_Exhibits'!Z2093:Z2097)),AVERAGE('20250815_ETF_Options_Exhibits'!Z2093:Z2097),"")</f>
        <v/>
      </c>
      <c r="AA2097" s="3">
        <f>IF(ISNUMBER(AVERAGE('20250815_ETF_Options_Exhibits'!AA2093:AA2097)),AVERAGE('20250815_ETF_Options_Exhibits'!AA2093:AA2097),"")</f>
        <v/>
      </c>
    </row>
    <row r="2098">
      <c r="A2098" s="1" t="n">
        <v>45047</v>
      </c>
      <c r="B2098" s="3">
        <f>IF(ISNUMBER(AVERAGE('20250815_ETF_Options_Exhibits'!B2094:B2098)),AVERAGE('20250815_ETF_Options_Exhibits'!B2094:B2098),"")</f>
        <v/>
      </c>
      <c r="C2098" s="3">
        <f>IF(ISNUMBER(AVERAGE('20250815_ETF_Options_Exhibits'!C2094:C2098)),AVERAGE('20250815_ETF_Options_Exhibits'!C2094:C2098),"")</f>
        <v/>
      </c>
      <c r="D2098" s="3">
        <f>IF(ISNUMBER(AVERAGE('20250815_ETF_Options_Exhibits'!D2094:D2098)),AVERAGE('20250815_ETF_Options_Exhibits'!D2094:D2098),"")</f>
        <v/>
      </c>
      <c r="E2098" s="3">
        <f>IF(ISNUMBER(AVERAGE('20250815_ETF_Options_Exhibits'!E2094:E2098)),AVERAGE('20250815_ETF_Options_Exhibits'!E2094:E2098),"")</f>
        <v/>
      </c>
      <c r="F2098" s="3">
        <f>IF(ISNUMBER(AVERAGE('20250815_ETF_Options_Exhibits'!F2094:F2098)),AVERAGE('20250815_ETF_Options_Exhibits'!F2094:F2098),"")</f>
        <v/>
      </c>
      <c r="G2098" s="3">
        <f>IF(ISNUMBER(AVERAGE('20250815_ETF_Options_Exhibits'!G2094:G2098)),AVERAGE('20250815_ETF_Options_Exhibits'!G2094:G2098),"")</f>
        <v/>
      </c>
      <c r="H2098" s="3">
        <f>IF(ISNUMBER(AVERAGE('20250815_ETF_Options_Exhibits'!H2094:H2098)),AVERAGE('20250815_ETF_Options_Exhibits'!H2094:H2098),"")</f>
        <v/>
      </c>
      <c r="I2098" s="3">
        <f>IF(ISNUMBER(AVERAGE('20250815_ETF_Options_Exhibits'!I2094:I2098)),AVERAGE('20250815_ETF_Options_Exhibits'!I2094:I2098),"")</f>
        <v/>
      </c>
      <c r="J2098" s="3">
        <f>IF(ISNUMBER(AVERAGE('20250815_ETF_Options_Exhibits'!J2094:J2098)),AVERAGE('20250815_ETF_Options_Exhibits'!J2094:J2098),"")</f>
        <v/>
      </c>
      <c r="K2098" s="3">
        <f>IF(ISNUMBER(AVERAGE('20250815_ETF_Options_Exhibits'!K2094:K2098)),AVERAGE('20250815_ETF_Options_Exhibits'!K2094:K2098),"")</f>
        <v/>
      </c>
      <c r="L2098" s="3">
        <f>IF(ISNUMBER(AVERAGE('20250815_ETF_Options_Exhibits'!L2094:L2098)),AVERAGE('20250815_ETF_Options_Exhibits'!L2094:L2098),"")</f>
        <v/>
      </c>
      <c r="M2098" s="3">
        <f>IF(ISNUMBER(AVERAGE('20250815_ETF_Options_Exhibits'!M2094:M2098)),AVERAGE('20250815_ETF_Options_Exhibits'!M2094:M2098),"")</f>
        <v/>
      </c>
      <c r="N2098" s="3">
        <f>IF(ISNUMBER(AVERAGE('20250815_ETF_Options_Exhibits'!N2094:N2098)),AVERAGE('20250815_ETF_Options_Exhibits'!N2094:N2098),"")</f>
        <v/>
      </c>
      <c r="O2098" s="3">
        <f>IF(ISNUMBER(AVERAGE('20250815_ETF_Options_Exhibits'!O2094:O2098)),AVERAGE('20250815_ETF_Options_Exhibits'!O2094:O2098),"")</f>
        <v/>
      </c>
      <c r="P2098" s="3">
        <f>IF(ISNUMBER(AVERAGE('20250815_ETF_Options_Exhibits'!P2094:P2098)),AVERAGE('20250815_ETF_Options_Exhibits'!P2094:P2098),"")</f>
        <v/>
      </c>
      <c r="Q2098" s="3">
        <f>IF(ISNUMBER(AVERAGE('20250815_ETF_Options_Exhibits'!Q2094:Q2098)),AVERAGE('20250815_ETF_Options_Exhibits'!Q2094:Q2098),"")</f>
        <v/>
      </c>
      <c r="R2098" s="3">
        <f>IF(ISNUMBER(AVERAGE('20250815_ETF_Options_Exhibits'!R2094:R2098)),AVERAGE('20250815_ETF_Options_Exhibits'!R2094:R2098),"")</f>
        <v/>
      </c>
      <c r="S2098" s="3">
        <f>IF(ISNUMBER(AVERAGE('20250815_ETF_Options_Exhibits'!S2094:S2098)),AVERAGE('20250815_ETF_Options_Exhibits'!S2094:S2098),"")</f>
        <v/>
      </c>
      <c r="T2098" s="3">
        <f>IF(ISNUMBER(AVERAGE('20250815_ETF_Options_Exhibits'!T2094:T2098)),AVERAGE('20250815_ETF_Options_Exhibits'!T2094:T2098),"")</f>
        <v/>
      </c>
      <c r="U2098" s="3">
        <f>IF(ISNUMBER(AVERAGE('20250815_ETF_Options_Exhibits'!U2094:U2098)),AVERAGE('20250815_ETF_Options_Exhibits'!U2094:U2098),"")</f>
        <v/>
      </c>
      <c r="V2098" s="3">
        <f>IF(ISNUMBER(AVERAGE('20250815_ETF_Options_Exhibits'!V2094:V2098)),AVERAGE('20250815_ETF_Options_Exhibits'!V2094:V2098),"")</f>
        <v/>
      </c>
      <c r="W2098" s="3">
        <f>IF(ISNUMBER(AVERAGE('20250815_ETF_Options_Exhibits'!W2094:W2098)),AVERAGE('20250815_ETF_Options_Exhibits'!W2094:W2098),"")</f>
        <v/>
      </c>
      <c r="X2098" s="3">
        <f>IF(ISNUMBER(AVERAGE('20250815_ETF_Options_Exhibits'!X2094:X2098)),AVERAGE('20250815_ETF_Options_Exhibits'!X2094:X2098),"")</f>
        <v/>
      </c>
      <c r="Y2098" s="3">
        <f>IF(ISNUMBER(AVERAGE('20250815_ETF_Options_Exhibits'!Y2094:Y2098)),AVERAGE('20250815_ETF_Options_Exhibits'!Y2094:Y2098),"")</f>
        <v/>
      </c>
      <c r="Z2098" s="3">
        <f>IF(ISNUMBER(AVERAGE('20250815_ETF_Options_Exhibits'!Z2094:Z2098)),AVERAGE('20250815_ETF_Options_Exhibits'!Z2094:Z2098),"")</f>
        <v/>
      </c>
      <c r="AA2098" s="3">
        <f>IF(ISNUMBER(AVERAGE('20250815_ETF_Options_Exhibits'!AA2094:AA2098)),AVERAGE('20250815_ETF_Options_Exhibits'!AA2094:AA2098),"")</f>
        <v/>
      </c>
    </row>
    <row r="2099">
      <c r="A2099" s="1" t="n">
        <v>45048</v>
      </c>
      <c r="B2099" s="3">
        <f>IF(ISNUMBER(AVERAGE('20250815_ETF_Options_Exhibits'!B2095:B2099)),AVERAGE('20250815_ETF_Options_Exhibits'!B2095:B2099),"")</f>
        <v/>
      </c>
      <c r="C2099" s="3">
        <f>IF(ISNUMBER(AVERAGE('20250815_ETF_Options_Exhibits'!C2095:C2099)),AVERAGE('20250815_ETF_Options_Exhibits'!C2095:C2099),"")</f>
        <v/>
      </c>
      <c r="D2099" s="3">
        <f>IF(ISNUMBER(AVERAGE('20250815_ETF_Options_Exhibits'!D2095:D2099)),AVERAGE('20250815_ETF_Options_Exhibits'!D2095:D2099),"")</f>
        <v/>
      </c>
      <c r="E2099" s="3">
        <f>IF(ISNUMBER(AVERAGE('20250815_ETF_Options_Exhibits'!E2095:E2099)),AVERAGE('20250815_ETF_Options_Exhibits'!E2095:E2099),"")</f>
        <v/>
      </c>
      <c r="F2099" s="3">
        <f>IF(ISNUMBER(AVERAGE('20250815_ETF_Options_Exhibits'!F2095:F2099)),AVERAGE('20250815_ETF_Options_Exhibits'!F2095:F2099),"")</f>
        <v/>
      </c>
      <c r="G2099" s="3">
        <f>IF(ISNUMBER(AVERAGE('20250815_ETF_Options_Exhibits'!G2095:G2099)),AVERAGE('20250815_ETF_Options_Exhibits'!G2095:G2099),"")</f>
        <v/>
      </c>
      <c r="H2099" s="3">
        <f>IF(ISNUMBER(AVERAGE('20250815_ETF_Options_Exhibits'!H2095:H2099)),AVERAGE('20250815_ETF_Options_Exhibits'!H2095:H2099),"")</f>
        <v/>
      </c>
      <c r="I2099" s="3">
        <f>IF(ISNUMBER(AVERAGE('20250815_ETF_Options_Exhibits'!I2095:I2099)),AVERAGE('20250815_ETF_Options_Exhibits'!I2095:I2099),"")</f>
        <v/>
      </c>
      <c r="J2099" s="3">
        <f>IF(ISNUMBER(AVERAGE('20250815_ETF_Options_Exhibits'!J2095:J2099)),AVERAGE('20250815_ETF_Options_Exhibits'!J2095:J2099),"")</f>
        <v/>
      </c>
      <c r="K2099" s="3">
        <f>IF(ISNUMBER(AVERAGE('20250815_ETF_Options_Exhibits'!K2095:K2099)),AVERAGE('20250815_ETF_Options_Exhibits'!K2095:K2099),"")</f>
        <v/>
      </c>
      <c r="L2099" s="3">
        <f>IF(ISNUMBER(AVERAGE('20250815_ETF_Options_Exhibits'!L2095:L2099)),AVERAGE('20250815_ETF_Options_Exhibits'!L2095:L2099),"")</f>
        <v/>
      </c>
      <c r="M2099" s="3">
        <f>IF(ISNUMBER(AVERAGE('20250815_ETF_Options_Exhibits'!M2095:M2099)),AVERAGE('20250815_ETF_Options_Exhibits'!M2095:M2099),"")</f>
        <v/>
      </c>
      <c r="N2099" s="3">
        <f>IF(ISNUMBER(AVERAGE('20250815_ETF_Options_Exhibits'!N2095:N2099)),AVERAGE('20250815_ETF_Options_Exhibits'!N2095:N2099),"")</f>
        <v/>
      </c>
      <c r="O2099" s="3">
        <f>IF(ISNUMBER(AVERAGE('20250815_ETF_Options_Exhibits'!O2095:O2099)),AVERAGE('20250815_ETF_Options_Exhibits'!O2095:O2099),"")</f>
        <v/>
      </c>
      <c r="P2099" s="3">
        <f>IF(ISNUMBER(AVERAGE('20250815_ETF_Options_Exhibits'!P2095:P2099)),AVERAGE('20250815_ETF_Options_Exhibits'!P2095:P2099),"")</f>
        <v/>
      </c>
      <c r="Q2099" s="3">
        <f>IF(ISNUMBER(AVERAGE('20250815_ETF_Options_Exhibits'!Q2095:Q2099)),AVERAGE('20250815_ETF_Options_Exhibits'!Q2095:Q2099),"")</f>
        <v/>
      </c>
      <c r="R2099" s="3">
        <f>IF(ISNUMBER(AVERAGE('20250815_ETF_Options_Exhibits'!R2095:R2099)),AVERAGE('20250815_ETF_Options_Exhibits'!R2095:R2099),"")</f>
        <v/>
      </c>
      <c r="S2099" s="3">
        <f>IF(ISNUMBER(AVERAGE('20250815_ETF_Options_Exhibits'!S2095:S2099)),AVERAGE('20250815_ETF_Options_Exhibits'!S2095:S2099),"")</f>
        <v/>
      </c>
      <c r="T2099" s="3">
        <f>IF(ISNUMBER(AVERAGE('20250815_ETF_Options_Exhibits'!T2095:T2099)),AVERAGE('20250815_ETF_Options_Exhibits'!T2095:T2099),"")</f>
        <v/>
      </c>
      <c r="U2099" s="3">
        <f>IF(ISNUMBER(AVERAGE('20250815_ETF_Options_Exhibits'!U2095:U2099)),AVERAGE('20250815_ETF_Options_Exhibits'!U2095:U2099),"")</f>
        <v/>
      </c>
      <c r="V2099" s="3">
        <f>IF(ISNUMBER(AVERAGE('20250815_ETF_Options_Exhibits'!V2095:V2099)),AVERAGE('20250815_ETF_Options_Exhibits'!V2095:V2099),"")</f>
        <v/>
      </c>
      <c r="W2099" s="3">
        <f>IF(ISNUMBER(AVERAGE('20250815_ETF_Options_Exhibits'!W2095:W2099)),AVERAGE('20250815_ETF_Options_Exhibits'!W2095:W2099),"")</f>
        <v/>
      </c>
      <c r="X2099" s="3">
        <f>IF(ISNUMBER(AVERAGE('20250815_ETF_Options_Exhibits'!X2095:X2099)),AVERAGE('20250815_ETF_Options_Exhibits'!X2095:X2099),"")</f>
        <v/>
      </c>
      <c r="Y2099" s="3">
        <f>IF(ISNUMBER(AVERAGE('20250815_ETF_Options_Exhibits'!Y2095:Y2099)),AVERAGE('20250815_ETF_Options_Exhibits'!Y2095:Y2099),"")</f>
        <v/>
      </c>
      <c r="Z2099" s="3">
        <f>IF(ISNUMBER(AVERAGE('20250815_ETF_Options_Exhibits'!Z2095:Z2099)),AVERAGE('20250815_ETF_Options_Exhibits'!Z2095:Z2099),"")</f>
        <v/>
      </c>
      <c r="AA2099" s="3">
        <f>IF(ISNUMBER(AVERAGE('20250815_ETF_Options_Exhibits'!AA2095:AA2099)),AVERAGE('20250815_ETF_Options_Exhibits'!AA2095:AA2099),"")</f>
        <v/>
      </c>
    </row>
    <row r="2100">
      <c r="A2100" s="1" t="n">
        <v>45049</v>
      </c>
      <c r="B2100" s="3">
        <f>IF(ISNUMBER(AVERAGE('20250815_ETF_Options_Exhibits'!B2096:B2100)),AVERAGE('20250815_ETF_Options_Exhibits'!B2096:B2100),"")</f>
        <v/>
      </c>
      <c r="C2100" s="3">
        <f>IF(ISNUMBER(AVERAGE('20250815_ETF_Options_Exhibits'!C2096:C2100)),AVERAGE('20250815_ETF_Options_Exhibits'!C2096:C2100),"")</f>
        <v/>
      </c>
      <c r="D2100" s="3">
        <f>IF(ISNUMBER(AVERAGE('20250815_ETF_Options_Exhibits'!D2096:D2100)),AVERAGE('20250815_ETF_Options_Exhibits'!D2096:D2100),"")</f>
        <v/>
      </c>
      <c r="E2100" s="3">
        <f>IF(ISNUMBER(AVERAGE('20250815_ETF_Options_Exhibits'!E2096:E2100)),AVERAGE('20250815_ETF_Options_Exhibits'!E2096:E2100),"")</f>
        <v/>
      </c>
      <c r="F2100" s="3">
        <f>IF(ISNUMBER(AVERAGE('20250815_ETF_Options_Exhibits'!F2096:F2100)),AVERAGE('20250815_ETF_Options_Exhibits'!F2096:F2100),"")</f>
        <v/>
      </c>
      <c r="G2100" s="3">
        <f>IF(ISNUMBER(AVERAGE('20250815_ETF_Options_Exhibits'!G2096:G2100)),AVERAGE('20250815_ETF_Options_Exhibits'!G2096:G2100),"")</f>
        <v/>
      </c>
      <c r="H2100" s="3">
        <f>IF(ISNUMBER(AVERAGE('20250815_ETF_Options_Exhibits'!H2096:H2100)),AVERAGE('20250815_ETF_Options_Exhibits'!H2096:H2100),"")</f>
        <v/>
      </c>
      <c r="I2100" s="3">
        <f>IF(ISNUMBER(AVERAGE('20250815_ETF_Options_Exhibits'!I2096:I2100)),AVERAGE('20250815_ETF_Options_Exhibits'!I2096:I2100),"")</f>
        <v/>
      </c>
      <c r="J2100" s="3">
        <f>IF(ISNUMBER(AVERAGE('20250815_ETF_Options_Exhibits'!J2096:J2100)),AVERAGE('20250815_ETF_Options_Exhibits'!J2096:J2100),"")</f>
        <v/>
      </c>
      <c r="K2100" s="3">
        <f>IF(ISNUMBER(AVERAGE('20250815_ETF_Options_Exhibits'!K2096:K2100)),AVERAGE('20250815_ETF_Options_Exhibits'!K2096:K2100),"")</f>
        <v/>
      </c>
      <c r="L2100" s="3">
        <f>IF(ISNUMBER(AVERAGE('20250815_ETF_Options_Exhibits'!L2096:L2100)),AVERAGE('20250815_ETF_Options_Exhibits'!L2096:L2100),"")</f>
        <v/>
      </c>
      <c r="M2100" s="3">
        <f>IF(ISNUMBER(AVERAGE('20250815_ETF_Options_Exhibits'!M2096:M2100)),AVERAGE('20250815_ETF_Options_Exhibits'!M2096:M2100),"")</f>
        <v/>
      </c>
      <c r="N2100" s="3">
        <f>IF(ISNUMBER(AVERAGE('20250815_ETF_Options_Exhibits'!N2096:N2100)),AVERAGE('20250815_ETF_Options_Exhibits'!N2096:N2100),"")</f>
        <v/>
      </c>
      <c r="O2100" s="3">
        <f>IF(ISNUMBER(AVERAGE('20250815_ETF_Options_Exhibits'!O2096:O2100)),AVERAGE('20250815_ETF_Options_Exhibits'!O2096:O2100),"")</f>
        <v/>
      </c>
      <c r="P2100" s="3">
        <f>IF(ISNUMBER(AVERAGE('20250815_ETF_Options_Exhibits'!P2096:P2100)),AVERAGE('20250815_ETF_Options_Exhibits'!P2096:P2100),"")</f>
        <v/>
      </c>
      <c r="Q2100" s="3">
        <f>IF(ISNUMBER(AVERAGE('20250815_ETF_Options_Exhibits'!Q2096:Q2100)),AVERAGE('20250815_ETF_Options_Exhibits'!Q2096:Q2100),"")</f>
        <v/>
      </c>
      <c r="R2100" s="3">
        <f>IF(ISNUMBER(AVERAGE('20250815_ETF_Options_Exhibits'!R2096:R2100)),AVERAGE('20250815_ETF_Options_Exhibits'!R2096:R2100),"")</f>
        <v/>
      </c>
      <c r="S2100" s="3">
        <f>IF(ISNUMBER(AVERAGE('20250815_ETF_Options_Exhibits'!S2096:S2100)),AVERAGE('20250815_ETF_Options_Exhibits'!S2096:S2100),"")</f>
        <v/>
      </c>
      <c r="T2100" s="3">
        <f>IF(ISNUMBER(AVERAGE('20250815_ETF_Options_Exhibits'!T2096:T2100)),AVERAGE('20250815_ETF_Options_Exhibits'!T2096:T2100),"")</f>
        <v/>
      </c>
      <c r="U2100" s="3">
        <f>IF(ISNUMBER(AVERAGE('20250815_ETF_Options_Exhibits'!U2096:U2100)),AVERAGE('20250815_ETF_Options_Exhibits'!U2096:U2100),"")</f>
        <v/>
      </c>
      <c r="V2100" s="3">
        <f>IF(ISNUMBER(AVERAGE('20250815_ETF_Options_Exhibits'!V2096:V2100)),AVERAGE('20250815_ETF_Options_Exhibits'!V2096:V2100),"")</f>
        <v/>
      </c>
      <c r="W2100" s="3">
        <f>IF(ISNUMBER(AVERAGE('20250815_ETF_Options_Exhibits'!W2096:W2100)),AVERAGE('20250815_ETF_Options_Exhibits'!W2096:W2100),"")</f>
        <v/>
      </c>
      <c r="X2100" s="3">
        <f>IF(ISNUMBER(AVERAGE('20250815_ETF_Options_Exhibits'!X2096:X2100)),AVERAGE('20250815_ETF_Options_Exhibits'!X2096:X2100),"")</f>
        <v/>
      </c>
      <c r="Y2100" s="3">
        <f>IF(ISNUMBER(AVERAGE('20250815_ETF_Options_Exhibits'!Y2096:Y2100)),AVERAGE('20250815_ETF_Options_Exhibits'!Y2096:Y2100),"")</f>
        <v/>
      </c>
      <c r="Z2100" s="3">
        <f>IF(ISNUMBER(AVERAGE('20250815_ETF_Options_Exhibits'!Z2096:Z2100)),AVERAGE('20250815_ETF_Options_Exhibits'!Z2096:Z2100),"")</f>
        <v/>
      </c>
      <c r="AA2100" s="3">
        <f>IF(ISNUMBER(AVERAGE('20250815_ETF_Options_Exhibits'!AA2096:AA2100)),AVERAGE('20250815_ETF_Options_Exhibits'!AA2096:AA2100),"")</f>
        <v/>
      </c>
    </row>
    <row r="2101">
      <c r="A2101" s="1" t="n">
        <v>45050</v>
      </c>
      <c r="B2101" s="3">
        <f>IF(ISNUMBER(AVERAGE('20250815_ETF_Options_Exhibits'!B2097:B2101)),AVERAGE('20250815_ETF_Options_Exhibits'!B2097:B2101),"")</f>
        <v/>
      </c>
      <c r="C2101" s="3">
        <f>IF(ISNUMBER(AVERAGE('20250815_ETF_Options_Exhibits'!C2097:C2101)),AVERAGE('20250815_ETF_Options_Exhibits'!C2097:C2101),"")</f>
        <v/>
      </c>
      <c r="D2101" s="3">
        <f>IF(ISNUMBER(AVERAGE('20250815_ETF_Options_Exhibits'!D2097:D2101)),AVERAGE('20250815_ETF_Options_Exhibits'!D2097:D2101),"")</f>
        <v/>
      </c>
      <c r="E2101" s="3">
        <f>IF(ISNUMBER(AVERAGE('20250815_ETF_Options_Exhibits'!E2097:E2101)),AVERAGE('20250815_ETF_Options_Exhibits'!E2097:E2101),"")</f>
        <v/>
      </c>
      <c r="F2101" s="3">
        <f>IF(ISNUMBER(AVERAGE('20250815_ETF_Options_Exhibits'!F2097:F2101)),AVERAGE('20250815_ETF_Options_Exhibits'!F2097:F2101),"")</f>
        <v/>
      </c>
      <c r="G2101" s="3">
        <f>IF(ISNUMBER(AVERAGE('20250815_ETF_Options_Exhibits'!G2097:G2101)),AVERAGE('20250815_ETF_Options_Exhibits'!G2097:G2101),"")</f>
        <v/>
      </c>
      <c r="H2101" s="3">
        <f>IF(ISNUMBER(AVERAGE('20250815_ETF_Options_Exhibits'!H2097:H2101)),AVERAGE('20250815_ETF_Options_Exhibits'!H2097:H2101),"")</f>
        <v/>
      </c>
      <c r="I2101" s="3">
        <f>IF(ISNUMBER(AVERAGE('20250815_ETF_Options_Exhibits'!I2097:I2101)),AVERAGE('20250815_ETF_Options_Exhibits'!I2097:I2101),"")</f>
        <v/>
      </c>
      <c r="J2101" s="3">
        <f>IF(ISNUMBER(AVERAGE('20250815_ETF_Options_Exhibits'!J2097:J2101)),AVERAGE('20250815_ETF_Options_Exhibits'!J2097:J2101),"")</f>
        <v/>
      </c>
      <c r="K2101" s="3">
        <f>IF(ISNUMBER(AVERAGE('20250815_ETF_Options_Exhibits'!K2097:K2101)),AVERAGE('20250815_ETF_Options_Exhibits'!K2097:K2101),"")</f>
        <v/>
      </c>
      <c r="L2101" s="3">
        <f>IF(ISNUMBER(AVERAGE('20250815_ETF_Options_Exhibits'!L2097:L2101)),AVERAGE('20250815_ETF_Options_Exhibits'!L2097:L2101),"")</f>
        <v/>
      </c>
      <c r="M2101" s="3">
        <f>IF(ISNUMBER(AVERAGE('20250815_ETF_Options_Exhibits'!M2097:M2101)),AVERAGE('20250815_ETF_Options_Exhibits'!M2097:M2101),"")</f>
        <v/>
      </c>
      <c r="N2101" s="3">
        <f>IF(ISNUMBER(AVERAGE('20250815_ETF_Options_Exhibits'!N2097:N2101)),AVERAGE('20250815_ETF_Options_Exhibits'!N2097:N2101),"")</f>
        <v/>
      </c>
      <c r="O2101" s="3">
        <f>IF(ISNUMBER(AVERAGE('20250815_ETF_Options_Exhibits'!O2097:O2101)),AVERAGE('20250815_ETF_Options_Exhibits'!O2097:O2101),"")</f>
        <v/>
      </c>
      <c r="P2101" s="3">
        <f>IF(ISNUMBER(AVERAGE('20250815_ETF_Options_Exhibits'!P2097:P2101)),AVERAGE('20250815_ETF_Options_Exhibits'!P2097:P2101),"")</f>
        <v/>
      </c>
      <c r="Q2101" s="3">
        <f>IF(ISNUMBER(AVERAGE('20250815_ETF_Options_Exhibits'!Q2097:Q2101)),AVERAGE('20250815_ETF_Options_Exhibits'!Q2097:Q2101),"")</f>
        <v/>
      </c>
      <c r="R2101" s="3">
        <f>IF(ISNUMBER(AVERAGE('20250815_ETF_Options_Exhibits'!R2097:R2101)),AVERAGE('20250815_ETF_Options_Exhibits'!R2097:R2101),"")</f>
        <v/>
      </c>
      <c r="S2101" s="3">
        <f>IF(ISNUMBER(AVERAGE('20250815_ETF_Options_Exhibits'!S2097:S2101)),AVERAGE('20250815_ETF_Options_Exhibits'!S2097:S2101),"")</f>
        <v/>
      </c>
      <c r="T2101" s="3">
        <f>IF(ISNUMBER(AVERAGE('20250815_ETF_Options_Exhibits'!T2097:T2101)),AVERAGE('20250815_ETF_Options_Exhibits'!T2097:T2101),"")</f>
        <v/>
      </c>
      <c r="U2101" s="3">
        <f>IF(ISNUMBER(AVERAGE('20250815_ETF_Options_Exhibits'!U2097:U2101)),AVERAGE('20250815_ETF_Options_Exhibits'!U2097:U2101),"")</f>
        <v/>
      </c>
      <c r="V2101" s="3">
        <f>IF(ISNUMBER(AVERAGE('20250815_ETF_Options_Exhibits'!V2097:V2101)),AVERAGE('20250815_ETF_Options_Exhibits'!V2097:V2101),"")</f>
        <v/>
      </c>
      <c r="W2101" s="3">
        <f>IF(ISNUMBER(AVERAGE('20250815_ETF_Options_Exhibits'!W2097:W2101)),AVERAGE('20250815_ETF_Options_Exhibits'!W2097:W2101),"")</f>
        <v/>
      </c>
      <c r="X2101" s="3">
        <f>IF(ISNUMBER(AVERAGE('20250815_ETF_Options_Exhibits'!X2097:X2101)),AVERAGE('20250815_ETF_Options_Exhibits'!X2097:X2101),"")</f>
        <v/>
      </c>
      <c r="Y2101" s="3">
        <f>IF(ISNUMBER(AVERAGE('20250815_ETF_Options_Exhibits'!Y2097:Y2101)),AVERAGE('20250815_ETF_Options_Exhibits'!Y2097:Y2101),"")</f>
        <v/>
      </c>
      <c r="Z2101" s="3">
        <f>IF(ISNUMBER(AVERAGE('20250815_ETF_Options_Exhibits'!Z2097:Z2101)),AVERAGE('20250815_ETF_Options_Exhibits'!Z2097:Z2101),"")</f>
        <v/>
      </c>
      <c r="AA2101" s="3">
        <f>IF(ISNUMBER(AVERAGE('20250815_ETF_Options_Exhibits'!AA2097:AA2101)),AVERAGE('20250815_ETF_Options_Exhibits'!AA2097:AA2101),"")</f>
        <v/>
      </c>
    </row>
    <row r="2102">
      <c r="A2102" s="1" t="n">
        <v>45051</v>
      </c>
      <c r="B2102" s="3">
        <f>IF(ISNUMBER(AVERAGE('20250815_ETF_Options_Exhibits'!B2098:B2102)),AVERAGE('20250815_ETF_Options_Exhibits'!B2098:B2102),"")</f>
        <v/>
      </c>
      <c r="C2102" s="3">
        <f>IF(ISNUMBER(AVERAGE('20250815_ETF_Options_Exhibits'!C2098:C2102)),AVERAGE('20250815_ETF_Options_Exhibits'!C2098:C2102),"")</f>
        <v/>
      </c>
      <c r="D2102" s="3">
        <f>IF(ISNUMBER(AVERAGE('20250815_ETF_Options_Exhibits'!D2098:D2102)),AVERAGE('20250815_ETF_Options_Exhibits'!D2098:D2102),"")</f>
        <v/>
      </c>
      <c r="E2102" s="3">
        <f>IF(ISNUMBER(AVERAGE('20250815_ETF_Options_Exhibits'!E2098:E2102)),AVERAGE('20250815_ETF_Options_Exhibits'!E2098:E2102),"")</f>
        <v/>
      </c>
      <c r="F2102" s="3">
        <f>IF(ISNUMBER(AVERAGE('20250815_ETF_Options_Exhibits'!F2098:F2102)),AVERAGE('20250815_ETF_Options_Exhibits'!F2098:F2102),"")</f>
        <v/>
      </c>
      <c r="G2102" s="3">
        <f>IF(ISNUMBER(AVERAGE('20250815_ETF_Options_Exhibits'!G2098:G2102)),AVERAGE('20250815_ETF_Options_Exhibits'!G2098:G2102),"")</f>
        <v/>
      </c>
      <c r="H2102" s="3">
        <f>IF(ISNUMBER(AVERAGE('20250815_ETF_Options_Exhibits'!H2098:H2102)),AVERAGE('20250815_ETF_Options_Exhibits'!H2098:H2102),"")</f>
        <v/>
      </c>
      <c r="I2102" s="3">
        <f>IF(ISNUMBER(AVERAGE('20250815_ETF_Options_Exhibits'!I2098:I2102)),AVERAGE('20250815_ETF_Options_Exhibits'!I2098:I2102),"")</f>
        <v/>
      </c>
      <c r="J2102" s="3">
        <f>IF(ISNUMBER(AVERAGE('20250815_ETF_Options_Exhibits'!J2098:J2102)),AVERAGE('20250815_ETF_Options_Exhibits'!J2098:J2102),"")</f>
        <v/>
      </c>
      <c r="K2102" s="3">
        <f>IF(ISNUMBER(AVERAGE('20250815_ETF_Options_Exhibits'!K2098:K2102)),AVERAGE('20250815_ETF_Options_Exhibits'!K2098:K2102),"")</f>
        <v/>
      </c>
      <c r="L2102" s="3">
        <f>IF(ISNUMBER(AVERAGE('20250815_ETF_Options_Exhibits'!L2098:L2102)),AVERAGE('20250815_ETF_Options_Exhibits'!L2098:L2102),"")</f>
        <v/>
      </c>
      <c r="M2102" s="3">
        <f>IF(ISNUMBER(AVERAGE('20250815_ETF_Options_Exhibits'!M2098:M2102)),AVERAGE('20250815_ETF_Options_Exhibits'!M2098:M2102),"")</f>
        <v/>
      </c>
      <c r="N2102" s="3">
        <f>IF(ISNUMBER(AVERAGE('20250815_ETF_Options_Exhibits'!N2098:N2102)),AVERAGE('20250815_ETF_Options_Exhibits'!N2098:N2102),"")</f>
        <v/>
      </c>
      <c r="O2102" s="3">
        <f>IF(ISNUMBER(AVERAGE('20250815_ETF_Options_Exhibits'!O2098:O2102)),AVERAGE('20250815_ETF_Options_Exhibits'!O2098:O2102),"")</f>
        <v/>
      </c>
      <c r="P2102" s="3">
        <f>IF(ISNUMBER(AVERAGE('20250815_ETF_Options_Exhibits'!P2098:P2102)),AVERAGE('20250815_ETF_Options_Exhibits'!P2098:P2102),"")</f>
        <v/>
      </c>
      <c r="Q2102" s="3">
        <f>IF(ISNUMBER(AVERAGE('20250815_ETF_Options_Exhibits'!Q2098:Q2102)),AVERAGE('20250815_ETF_Options_Exhibits'!Q2098:Q2102),"")</f>
        <v/>
      </c>
      <c r="R2102" s="3">
        <f>IF(ISNUMBER(AVERAGE('20250815_ETF_Options_Exhibits'!R2098:R2102)),AVERAGE('20250815_ETF_Options_Exhibits'!R2098:R2102),"")</f>
        <v/>
      </c>
      <c r="S2102" s="3">
        <f>IF(ISNUMBER(AVERAGE('20250815_ETF_Options_Exhibits'!S2098:S2102)),AVERAGE('20250815_ETF_Options_Exhibits'!S2098:S2102),"")</f>
        <v/>
      </c>
      <c r="T2102" s="3">
        <f>IF(ISNUMBER(AVERAGE('20250815_ETF_Options_Exhibits'!T2098:T2102)),AVERAGE('20250815_ETF_Options_Exhibits'!T2098:T2102),"")</f>
        <v/>
      </c>
      <c r="U2102" s="3">
        <f>IF(ISNUMBER(AVERAGE('20250815_ETF_Options_Exhibits'!U2098:U2102)),AVERAGE('20250815_ETF_Options_Exhibits'!U2098:U2102),"")</f>
        <v/>
      </c>
      <c r="V2102" s="3">
        <f>IF(ISNUMBER(AVERAGE('20250815_ETF_Options_Exhibits'!V2098:V2102)),AVERAGE('20250815_ETF_Options_Exhibits'!V2098:V2102),"")</f>
        <v/>
      </c>
      <c r="W2102" s="3">
        <f>IF(ISNUMBER(AVERAGE('20250815_ETF_Options_Exhibits'!W2098:W2102)),AVERAGE('20250815_ETF_Options_Exhibits'!W2098:W2102),"")</f>
        <v/>
      </c>
      <c r="X2102" s="3">
        <f>IF(ISNUMBER(AVERAGE('20250815_ETF_Options_Exhibits'!X2098:X2102)),AVERAGE('20250815_ETF_Options_Exhibits'!X2098:X2102),"")</f>
        <v/>
      </c>
      <c r="Y2102" s="3">
        <f>IF(ISNUMBER(AVERAGE('20250815_ETF_Options_Exhibits'!Y2098:Y2102)),AVERAGE('20250815_ETF_Options_Exhibits'!Y2098:Y2102),"")</f>
        <v/>
      </c>
      <c r="Z2102" s="3">
        <f>IF(ISNUMBER(AVERAGE('20250815_ETF_Options_Exhibits'!Z2098:Z2102)),AVERAGE('20250815_ETF_Options_Exhibits'!Z2098:Z2102),"")</f>
        <v/>
      </c>
      <c r="AA2102" s="3">
        <f>IF(ISNUMBER(AVERAGE('20250815_ETF_Options_Exhibits'!AA2098:AA2102)),AVERAGE('20250815_ETF_Options_Exhibits'!AA2098:AA2102),"")</f>
        <v/>
      </c>
    </row>
    <row r="2103">
      <c r="A2103" s="1" t="n">
        <v>45054</v>
      </c>
      <c r="B2103" s="3">
        <f>IF(ISNUMBER(AVERAGE('20250815_ETF_Options_Exhibits'!B2099:B2103)),AVERAGE('20250815_ETF_Options_Exhibits'!B2099:B2103),"")</f>
        <v/>
      </c>
      <c r="C2103" s="3">
        <f>IF(ISNUMBER(AVERAGE('20250815_ETF_Options_Exhibits'!C2099:C2103)),AVERAGE('20250815_ETF_Options_Exhibits'!C2099:C2103),"")</f>
        <v/>
      </c>
      <c r="D2103" s="3">
        <f>IF(ISNUMBER(AVERAGE('20250815_ETF_Options_Exhibits'!D2099:D2103)),AVERAGE('20250815_ETF_Options_Exhibits'!D2099:D2103),"")</f>
        <v/>
      </c>
      <c r="E2103" s="3">
        <f>IF(ISNUMBER(AVERAGE('20250815_ETF_Options_Exhibits'!E2099:E2103)),AVERAGE('20250815_ETF_Options_Exhibits'!E2099:E2103),"")</f>
        <v/>
      </c>
      <c r="F2103" s="3">
        <f>IF(ISNUMBER(AVERAGE('20250815_ETF_Options_Exhibits'!F2099:F2103)),AVERAGE('20250815_ETF_Options_Exhibits'!F2099:F2103),"")</f>
        <v/>
      </c>
      <c r="G2103" s="3">
        <f>IF(ISNUMBER(AVERAGE('20250815_ETF_Options_Exhibits'!G2099:G2103)),AVERAGE('20250815_ETF_Options_Exhibits'!G2099:G2103),"")</f>
        <v/>
      </c>
      <c r="H2103" s="3">
        <f>IF(ISNUMBER(AVERAGE('20250815_ETF_Options_Exhibits'!H2099:H2103)),AVERAGE('20250815_ETF_Options_Exhibits'!H2099:H2103),"")</f>
        <v/>
      </c>
      <c r="I2103" s="3">
        <f>IF(ISNUMBER(AVERAGE('20250815_ETF_Options_Exhibits'!I2099:I2103)),AVERAGE('20250815_ETF_Options_Exhibits'!I2099:I2103),"")</f>
        <v/>
      </c>
      <c r="J2103" s="3">
        <f>IF(ISNUMBER(AVERAGE('20250815_ETF_Options_Exhibits'!J2099:J2103)),AVERAGE('20250815_ETF_Options_Exhibits'!J2099:J2103),"")</f>
        <v/>
      </c>
      <c r="K2103" s="3">
        <f>IF(ISNUMBER(AVERAGE('20250815_ETF_Options_Exhibits'!K2099:K2103)),AVERAGE('20250815_ETF_Options_Exhibits'!K2099:K2103),"")</f>
        <v/>
      </c>
      <c r="L2103" s="3">
        <f>IF(ISNUMBER(AVERAGE('20250815_ETF_Options_Exhibits'!L2099:L2103)),AVERAGE('20250815_ETF_Options_Exhibits'!L2099:L2103),"")</f>
        <v/>
      </c>
      <c r="M2103" s="3">
        <f>IF(ISNUMBER(AVERAGE('20250815_ETF_Options_Exhibits'!M2099:M2103)),AVERAGE('20250815_ETF_Options_Exhibits'!M2099:M2103),"")</f>
        <v/>
      </c>
      <c r="N2103" s="3">
        <f>IF(ISNUMBER(AVERAGE('20250815_ETF_Options_Exhibits'!N2099:N2103)),AVERAGE('20250815_ETF_Options_Exhibits'!N2099:N2103),"")</f>
        <v/>
      </c>
      <c r="O2103" s="3">
        <f>IF(ISNUMBER(AVERAGE('20250815_ETF_Options_Exhibits'!O2099:O2103)),AVERAGE('20250815_ETF_Options_Exhibits'!O2099:O2103),"")</f>
        <v/>
      </c>
      <c r="P2103" s="3">
        <f>IF(ISNUMBER(AVERAGE('20250815_ETF_Options_Exhibits'!P2099:P2103)),AVERAGE('20250815_ETF_Options_Exhibits'!P2099:P2103),"")</f>
        <v/>
      </c>
      <c r="Q2103" s="3">
        <f>IF(ISNUMBER(AVERAGE('20250815_ETF_Options_Exhibits'!Q2099:Q2103)),AVERAGE('20250815_ETF_Options_Exhibits'!Q2099:Q2103),"")</f>
        <v/>
      </c>
      <c r="R2103" s="3">
        <f>IF(ISNUMBER(AVERAGE('20250815_ETF_Options_Exhibits'!R2099:R2103)),AVERAGE('20250815_ETF_Options_Exhibits'!R2099:R2103),"")</f>
        <v/>
      </c>
      <c r="S2103" s="3">
        <f>IF(ISNUMBER(AVERAGE('20250815_ETF_Options_Exhibits'!S2099:S2103)),AVERAGE('20250815_ETF_Options_Exhibits'!S2099:S2103),"")</f>
        <v/>
      </c>
      <c r="T2103" s="3">
        <f>IF(ISNUMBER(AVERAGE('20250815_ETF_Options_Exhibits'!T2099:T2103)),AVERAGE('20250815_ETF_Options_Exhibits'!T2099:T2103),"")</f>
        <v/>
      </c>
      <c r="U2103" s="3">
        <f>IF(ISNUMBER(AVERAGE('20250815_ETF_Options_Exhibits'!U2099:U2103)),AVERAGE('20250815_ETF_Options_Exhibits'!U2099:U2103),"")</f>
        <v/>
      </c>
      <c r="V2103" s="3">
        <f>IF(ISNUMBER(AVERAGE('20250815_ETF_Options_Exhibits'!V2099:V2103)),AVERAGE('20250815_ETF_Options_Exhibits'!V2099:V2103),"")</f>
        <v/>
      </c>
      <c r="W2103" s="3">
        <f>IF(ISNUMBER(AVERAGE('20250815_ETF_Options_Exhibits'!W2099:W2103)),AVERAGE('20250815_ETF_Options_Exhibits'!W2099:W2103),"")</f>
        <v/>
      </c>
      <c r="X2103" s="3">
        <f>IF(ISNUMBER(AVERAGE('20250815_ETF_Options_Exhibits'!X2099:X2103)),AVERAGE('20250815_ETF_Options_Exhibits'!X2099:X2103),"")</f>
        <v/>
      </c>
      <c r="Y2103" s="3">
        <f>IF(ISNUMBER(AVERAGE('20250815_ETF_Options_Exhibits'!Y2099:Y2103)),AVERAGE('20250815_ETF_Options_Exhibits'!Y2099:Y2103),"")</f>
        <v/>
      </c>
      <c r="Z2103" s="3">
        <f>IF(ISNUMBER(AVERAGE('20250815_ETF_Options_Exhibits'!Z2099:Z2103)),AVERAGE('20250815_ETF_Options_Exhibits'!Z2099:Z2103),"")</f>
        <v/>
      </c>
      <c r="AA2103" s="3">
        <f>IF(ISNUMBER(AVERAGE('20250815_ETF_Options_Exhibits'!AA2099:AA2103)),AVERAGE('20250815_ETF_Options_Exhibits'!AA2099:AA2103),"")</f>
        <v/>
      </c>
    </row>
    <row r="2104">
      <c r="A2104" s="1" t="n">
        <v>45055</v>
      </c>
      <c r="B2104" s="3">
        <f>IF(ISNUMBER(AVERAGE('20250815_ETF_Options_Exhibits'!B2100:B2104)),AVERAGE('20250815_ETF_Options_Exhibits'!B2100:B2104),"")</f>
        <v/>
      </c>
      <c r="C2104" s="3">
        <f>IF(ISNUMBER(AVERAGE('20250815_ETF_Options_Exhibits'!C2100:C2104)),AVERAGE('20250815_ETF_Options_Exhibits'!C2100:C2104),"")</f>
        <v/>
      </c>
      <c r="D2104" s="3">
        <f>IF(ISNUMBER(AVERAGE('20250815_ETF_Options_Exhibits'!D2100:D2104)),AVERAGE('20250815_ETF_Options_Exhibits'!D2100:D2104),"")</f>
        <v/>
      </c>
      <c r="E2104" s="3">
        <f>IF(ISNUMBER(AVERAGE('20250815_ETF_Options_Exhibits'!E2100:E2104)),AVERAGE('20250815_ETF_Options_Exhibits'!E2100:E2104),"")</f>
        <v/>
      </c>
      <c r="F2104" s="3">
        <f>IF(ISNUMBER(AVERAGE('20250815_ETF_Options_Exhibits'!F2100:F2104)),AVERAGE('20250815_ETF_Options_Exhibits'!F2100:F2104),"")</f>
        <v/>
      </c>
      <c r="G2104" s="3">
        <f>IF(ISNUMBER(AVERAGE('20250815_ETF_Options_Exhibits'!G2100:G2104)),AVERAGE('20250815_ETF_Options_Exhibits'!G2100:G2104),"")</f>
        <v/>
      </c>
      <c r="H2104" s="3">
        <f>IF(ISNUMBER(AVERAGE('20250815_ETF_Options_Exhibits'!H2100:H2104)),AVERAGE('20250815_ETF_Options_Exhibits'!H2100:H2104),"")</f>
        <v/>
      </c>
      <c r="I2104" s="3">
        <f>IF(ISNUMBER(AVERAGE('20250815_ETF_Options_Exhibits'!I2100:I2104)),AVERAGE('20250815_ETF_Options_Exhibits'!I2100:I2104),"")</f>
        <v/>
      </c>
      <c r="J2104" s="3">
        <f>IF(ISNUMBER(AVERAGE('20250815_ETF_Options_Exhibits'!J2100:J2104)),AVERAGE('20250815_ETF_Options_Exhibits'!J2100:J2104),"")</f>
        <v/>
      </c>
      <c r="K2104" s="3">
        <f>IF(ISNUMBER(AVERAGE('20250815_ETF_Options_Exhibits'!K2100:K2104)),AVERAGE('20250815_ETF_Options_Exhibits'!K2100:K2104),"")</f>
        <v/>
      </c>
      <c r="L2104" s="3">
        <f>IF(ISNUMBER(AVERAGE('20250815_ETF_Options_Exhibits'!L2100:L2104)),AVERAGE('20250815_ETF_Options_Exhibits'!L2100:L2104),"")</f>
        <v/>
      </c>
      <c r="M2104" s="3">
        <f>IF(ISNUMBER(AVERAGE('20250815_ETF_Options_Exhibits'!M2100:M2104)),AVERAGE('20250815_ETF_Options_Exhibits'!M2100:M2104),"")</f>
        <v/>
      </c>
      <c r="N2104" s="3">
        <f>IF(ISNUMBER(AVERAGE('20250815_ETF_Options_Exhibits'!N2100:N2104)),AVERAGE('20250815_ETF_Options_Exhibits'!N2100:N2104),"")</f>
        <v/>
      </c>
      <c r="O2104" s="3">
        <f>IF(ISNUMBER(AVERAGE('20250815_ETF_Options_Exhibits'!O2100:O2104)),AVERAGE('20250815_ETF_Options_Exhibits'!O2100:O2104),"")</f>
        <v/>
      </c>
      <c r="P2104" s="3">
        <f>IF(ISNUMBER(AVERAGE('20250815_ETF_Options_Exhibits'!P2100:P2104)),AVERAGE('20250815_ETF_Options_Exhibits'!P2100:P2104),"")</f>
        <v/>
      </c>
      <c r="Q2104" s="3">
        <f>IF(ISNUMBER(AVERAGE('20250815_ETF_Options_Exhibits'!Q2100:Q2104)),AVERAGE('20250815_ETF_Options_Exhibits'!Q2100:Q2104),"")</f>
        <v/>
      </c>
      <c r="R2104" s="3">
        <f>IF(ISNUMBER(AVERAGE('20250815_ETF_Options_Exhibits'!R2100:R2104)),AVERAGE('20250815_ETF_Options_Exhibits'!R2100:R2104),"")</f>
        <v/>
      </c>
      <c r="S2104" s="3">
        <f>IF(ISNUMBER(AVERAGE('20250815_ETF_Options_Exhibits'!S2100:S2104)),AVERAGE('20250815_ETF_Options_Exhibits'!S2100:S2104),"")</f>
        <v/>
      </c>
      <c r="T2104" s="3">
        <f>IF(ISNUMBER(AVERAGE('20250815_ETF_Options_Exhibits'!T2100:T2104)),AVERAGE('20250815_ETF_Options_Exhibits'!T2100:T2104),"")</f>
        <v/>
      </c>
      <c r="U2104" s="3">
        <f>IF(ISNUMBER(AVERAGE('20250815_ETF_Options_Exhibits'!U2100:U2104)),AVERAGE('20250815_ETF_Options_Exhibits'!U2100:U2104),"")</f>
        <v/>
      </c>
      <c r="V2104" s="3">
        <f>IF(ISNUMBER(AVERAGE('20250815_ETF_Options_Exhibits'!V2100:V2104)),AVERAGE('20250815_ETF_Options_Exhibits'!V2100:V2104),"")</f>
        <v/>
      </c>
      <c r="W2104" s="3">
        <f>IF(ISNUMBER(AVERAGE('20250815_ETF_Options_Exhibits'!W2100:W2104)),AVERAGE('20250815_ETF_Options_Exhibits'!W2100:W2104),"")</f>
        <v/>
      </c>
      <c r="X2104" s="3">
        <f>IF(ISNUMBER(AVERAGE('20250815_ETF_Options_Exhibits'!X2100:X2104)),AVERAGE('20250815_ETF_Options_Exhibits'!X2100:X2104),"")</f>
        <v/>
      </c>
      <c r="Y2104" s="3">
        <f>IF(ISNUMBER(AVERAGE('20250815_ETF_Options_Exhibits'!Y2100:Y2104)),AVERAGE('20250815_ETF_Options_Exhibits'!Y2100:Y2104),"")</f>
        <v/>
      </c>
      <c r="Z2104" s="3">
        <f>IF(ISNUMBER(AVERAGE('20250815_ETF_Options_Exhibits'!Z2100:Z2104)),AVERAGE('20250815_ETF_Options_Exhibits'!Z2100:Z2104),"")</f>
        <v/>
      </c>
      <c r="AA2104" s="3">
        <f>IF(ISNUMBER(AVERAGE('20250815_ETF_Options_Exhibits'!AA2100:AA2104)),AVERAGE('20250815_ETF_Options_Exhibits'!AA2100:AA2104),"")</f>
        <v/>
      </c>
    </row>
    <row r="2105">
      <c r="A2105" s="1" t="n">
        <v>45056</v>
      </c>
      <c r="B2105" s="3">
        <f>IF(ISNUMBER(AVERAGE('20250815_ETF_Options_Exhibits'!B2101:B2105)),AVERAGE('20250815_ETF_Options_Exhibits'!B2101:B2105),"")</f>
        <v/>
      </c>
      <c r="C2105" s="3">
        <f>IF(ISNUMBER(AVERAGE('20250815_ETF_Options_Exhibits'!C2101:C2105)),AVERAGE('20250815_ETF_Options_Exhibits'!C2101:C2105),"")</f>
        <v/>
      </c>
      <c r="D2105" s="3">
        <f>IF(ISNUMBER(AVERAGE('20250815_ETF_Options_Exhibits'!D2101:D2105)),AVERAGE('20250815_ETF_Options_Exhibits'!D2101:D2105),"")</f>
        <v/>
      </c>
      <c r="E2105" s="3">
        <f>IF(ISNUMBER(AVERAGE('20250815_ETF_Options_Exhibits'!E2101:E2105)),AVERAGE('20250815_ETF_Options_Exhibits'!E2101:E2105),"")</f>
        <v/>
      </c>
      <c r="F2105" s="3">
        <f>IF(ISNUMBER(AVERAGE('20250815_ETF_Options_Exhibits'!F2101:F2105)),AVERAGE('20250815_ETF_Options_Exhibits'!F2101:F2105),"")</f>
        <v/>
      </c>
      <c r="G2105" s="3">
        <f>IF(ISNUMBER(AVERAGE('20250815_ETF_Options_Exhibits'!G2101:G2105)),AVERAGE('20250815_ETF_Options_Exhibits'!G2101:G2105),"")</f>
        <v/>
      </c>
      <c r="H2105" s="3">
        <f>IF(ISNUMBER(AVERAGE('20250815_ETF_Options_Exhibits'!H2101:H2105)),AVERAGE('20250815_ETF_Options_Exhibits'!H2101:H2105),"")</f>
        <v/>
      </c>
      <c r="I2105" s="3">
        <f>IF(ISNUMBER(AVERAGE('20250815_ETF_Options_Exhibits'!I2101:I2105)),AVERAGE('20250815_ETF_Options_Exhibits'!I2101:I2105),"")</f>
        <v/>
      </c>
      <c r="J2105" s="3">
        <f>IF(ISNUMBER(AVERAGE('20250815_ETF_Options_Exhibits'!J2101:J2105)),AVERAGE('20250815_ETF_Options_Exhibits'!J2101:J2105),"")</f>
        <v/>
      </c>
      <c r="K2105" s="3">
        <f>IF(ISNUMBER(AVERAGE('20250815_ETF_Options_Exhibits'!K2101:K2105)),AVERAGE('20250815_ETF_Options_Exhibits'!K2101:K2105),"")</f>
        <v/>
      </c>
      <c r="L2105" s="3">
        <f>IF(ISNUMBER(AVERAGE('20250815_ETF_Options_Exhibits'!L2101:L2105)),AVERAGE('20250815_ETF_Options_Exhibits'!L2101:L2105),"")</f>
        <v/>
      </c>
      <c r="M2105" s="3">
        <f>IF(ISNUMBER(AVERAGE('20250815_ETF_Options_Exhibits'!M2101:M2105)),AVERAGE('20250815_ETF_Options_Exhibits'!M2101:M2105),"")</f>
        <v/>
      </c>
      <c r="N2105" s="3">
        <f>IF(ISNUMBER(AVERAGE('20250815_ETF_Options_Exhibits'!N2101:N2105)),AVERAGE('20250815_ETF_Options_Exhibits'!N2101:N2105),"")</f>
        <v/>
      </c>
      <c r="O2105" s="3">
        <f>IF(ISNUMBER(AVERAGE('20250815_ETF_Options_Exhibits'!O2101:O2105)),AVERAGE('20250815_ETF_Options_Exhibits'!O2101:O2105),"")</f>
        <v/>
      </c>
      <c r="P2105" s="3">
        <f>IF(ISNUMBER(AVERAGE('20250815_ETF_Options_Exhibits'!P2101:P2105)),AVERAGE('20250815_ETF_Options_Exhibits'!P2101:P2105),"")</f>
        <v/>
      </c>
      <c r="Q2105" s="3">
        <f>IF(ISNUMBER(AVERAGE('20250815_ETF_Options_Exhibits'!Q2101:Q2105)),AVERAGE('20250815_ETF_Options_Exhibits'!Q2101:Q2105),"")</f>
        <v/>
      </c>
      <c r="R2105" s="3">
        <f>IF(ISNUMBER(AVERAGE('20250815_ETF_Options_Exhibits'!R2101:R2105)),AVERAGE('20250815_ETF_Options_Exhibits'!R2101:R2105),"")</f>
        <v/>
      </c>
      <c r="S2105" s="3">
        <f>IF(ISNUMBER(AVERAGE('20250815_ETF_Options_Exhibits'!S2101:S2105)),AVERAGE('20250815_ETF_Options_Exhibits'!S2101:S2105),"")</f>
        <v/>
      </c>
      <c r="T2105" s="3">
        <f>IF(ISNUMBER(AVERAGE('20250815_ETF_Options_Exhibits'!T2101:T2105)),AVERAGE('20250815_ETF_Options_Exhibits'!T2101:T2105),"")</f>
        <v/>
      </c>
      <c r="U2105" s="3">
        <f>IF(ISNUMBER(AVERAGE('20250815_ETF_Options_Exhibits'!U2101:U2105)),AVERAGE('20250815_ETF_Options_Exhibits'!U2101:U2105),"")</f>
        <v/>
      </c>
      <c r="V2105" s="3">
        <f>IF(ISNUMBER(AVERAGE('20250815_ETF_Options_Exhibits'!V2101:V2105)),AVERAGE('20250815_ETF_Options_Exhibits'!V2101:V2105),"")</f>
        <v/>
      </c>
      <c r="W2105" s="3">
        <f>IF(ISNUMBER(AVERAGE('20250815_ETF_Options_Exhibits'!W2101:W2105)),AVERAGE('20250815_ETF_Options_Exhibits'!W2101:W2105),"")</f>
        <v/>
      </c>
      <c r="X2105" s="3">
        <f>IF(ISNUMBER(AVERAGE('20250815_ETF_Options_Exhibits'!X2101:X2105)),AVERAGE('20250815_ETF_Options_Exhibits'!X2101:X2105),"")</f>
        <v/>
      </c>
      <c r="Y2105" s="3">
        <f>IF(ISNUMBER(AVERAGE('20250815_ETF_Options_Exhibits'!Y2101:Y2105)),AVERAGE('20250815_ETF_Options_Exhibits'!Y2101:Y2105),"")</f>
        <v/>
      </c>
      <c r="Z2105" s="3">
        <f>IF(ISNUMBER(AVERAGE('20250815_ETF_Options_Exhibits'!Z2101:Z2105)),AVERAGE('20250815_ETF_Options_Exhibits'!Z2101:Z2105),"")</f>
        <v/>
      </c>
      <c r="AA2105" s="3">
        <f>IF(ISNUMBER(AVERAGE('20250815_ETF_Options_Exhibits'!AA2101:AA2105)),AVERAGE('20250815_ETF_Options_Exhibits'!AA2101:AA2105),"")</f>
        <v/>
      </c>
    </row>
    <row r="2106">
      <c r="A2106" s="1" t="n">
        <v>45057</v>
      </c>
      <c r="B2106" s="3">
        <f>IF(ISNUMBER(AVERAGE('20250815_ETF_Options_Exhibits'!B2102:B2106)),AVERAGE('20250815_ETF_Options_Exhibits'!B2102:B2106),"")</f>
        <v/>
      </c>
      <c r="C2106" s="3">
        <f>IF(ISNUMBER(AVERAGE('20250815_ETF_Options_Exhibits'!C2102:C2106)),AVERAGE('20250815_ETF_Options_Exhibits'!C2102:C2106),"")</f>
        <v/>
      </c>
      <c r="D2106" s="3">
        <f>IF(ISNUMBER(AVERAGE('20250815_ETF_Options_Exhibits'!D2102:D2106)),AVERAGE('20250815_ETF_Options_Exhibits'!D2102:D2106),"")</f>
        <v/>
      </c>
      <c r="E2106" s="3">
        <f>IF(ISNUMBER(AVERAGE('20250815_ETF_Options_Exhibits'!E2102:E2106)),AVERAGE('20250815_ETF_Options_Exhibits'!E2102:E2106),"")</f>
        <v/>
      </c>
      <c r="F2106" s="3">
        <f>IF(ISNUMBER(AVERAGE('20250815_ETF_Options_Exhibits'!F2102:F2106)),AVERAGE('20250815_ETF_Options_Exhibits'!F2102:F2106),"")</f>
        <v/>
      </c>
      <c r="G2106" s="3">
        <f>IF(ISNUMBER(AVERAGE('20250815_ETF_Options_Exhibits'!G2102:G2106)),AVERAGE('20250815_ETF_Options_Exhibits'!G2102:G2106),"")</f>
        <v/>
      </c>
      <c r="H2106" s="3">
        <f>IF(ISNUMBER(AVERAGE('20250815_ETF_Options_Exhibits'!H2102:H2106)),AVERAGE('20250815_ETF_Options_Exhibits'!H2102:H2106),"")</f>
        <v/>
      </c>
      <c r="I2106" s="3">
        <f>IF(ISNUMBER(AVERAGE('20250815_ETF_Options_Exhibits'!I2102:I2106)),AVERAGE('20250815_ETF_Options_Exhibits'!I2102:I2106),"")</f>
        <v/>
      </c>
      <c r="J2106" s="3">
        <f>IF(ISNUMBER(AVERAGE('20250815_ETF_Options_Exhibits'!J2102:J2106)),AVERAGE('20250815_ETF_Options_Exhibits'!J2102:J2106),"")</f>
        <v/>
      </c>
      <c r="K2106" s="3">
        <f>IF(ISNUMBER(AVERAGE('20250815_ETF_Options_Exhibits'!K2102:K2106)),AVERAGE('20250815_ETF_Options_Exhibits'!K2102:K2106),"")</f>
        <v/>
      </c>
      <c r="L2106" s="3">
        <f>IF(ISNUMBER(AVERAGE('20250815_ETF_Options_Exhibits'!L2102:L2106)),AVERAGE('20250815_ETF_Options_Exhibits'!L2102:L2106),"")</f>
        <v/>
      </c>
      <c r="M2106" s="3">
        <f>IF(ISNUMBER(AVERAGE('20250815_ETF_Options_Exhibits'!M2102:M2106)),AVERAGE('20250815_ETF_Options_Exhibits'!M2102:M2106),"")</f>
        <v/>
      </c>
      <c r="N2106" s="3">
        <f>IF(ISNUMBER(AVERAGE('20250815_ETF_Options_Exhibits'!N2102:N2106)),AVERAGE('20250815_ETF_Options_Exhibits'!N2102:N2106),"")</f>
        <v/>
      </c>
      <c r="O2106" s="3">
        <f>IF(ISNUMBER(AVERAGE('20250815_ETF_Options_Exhibits'!O2102:O2106)),AVERAGE('20250815_ETF_Options_Exhibits'!O2102:O2106),"")</f>
        <v/>
      </c>
      <c r="P2106" s="3">
        <f>IF(ISNUMBER(AVERAGE('20250815_ETF_Options_Exhibits'!P2102:P2106)),AVERAGE('20250815_ETF_Options_Exhibits'!P2102:P2106),"")</f>
        <v/>
      </c>
      <c r="Q2106" s="3">
        <f>IF(ISNUMBER(AVERAGE('20250815_ETF_Options_Exhibits'!Q2102:Q2106)),AVERAGE('20250815_ETF_Options_Exhibits'!Q2102:Q2106),"")</f>
        <v/>
      </c>
      <c r="R2106" s="3">
        <f>IF(ISNUMBER(AVERAGE('20250815_ETF_Options_Exhibits'!R2102:R2106)),AVERAGE('20250815_ETF_Options_Exhibits'!R2102:R2106),"")</f>
        <v/>
      </c>
      <c r="S2106" s="3">
        <f>IF(ISNUMBER(AVERAGE('20250815_ETF_Options_Exhibits'!S2102:S2106)),AVERAGE('20250815_ETF_Options_Exhibits'!S2102:S2106),"")</f>
        <v/>
      </c>
      <c r="T2106" s="3">
        <f>IF(ISNUMBER(AVERAGE('20250815_ETF_Options_Exhibits'!T2102:T2106)),AVERAGE('20250815_ETF_Options_Exhibits'!T2102:T2106),"")</f>
        <v/>
      </c>
      <c r="U2106" s="3">
        <f>IF(ISNUMBER(AVERAGE('20250815_ETF_Options_Exhibits'!U2102:U2106)),AVERAGE('20250815_ETF_Options_Exhibits'!U2102:U2106),"")</f>
        <v/>
      </c>
      <c r="V2106" s="3">
        <f>IF(ISNUMBER(AVERAGE('20250815_ETF_Options_Exhibits'!V2102:V2106)),AVERAGE('20250815_ETF_Options_Exhibits'!V2102:V2106),"")</f>
        <v/>
      </c>
      <c r="W2106" s="3">
        <f>IF(ISNUMBER(AVERAGE('20250815_ETF_Options_Exhibits'!W2102:W2106)),AVERAGE('20250815_ETF_Options_Exhibits'!W2102:W2106),"")</f>
        <v/>
      </c>
      <c r="X2106" s="3">
        <f>IF(ISNUMBER(AVERAGE('20250815_ETF_Options_Exhibits'!X2102:X2106)),AVERAGE('20250815_ETF_Options_Exhibits'!X2102:X2106),"")</f>
        <v/>
      </c>
      <c r="Y2106" s="3">
        <f>IF(ISNUMBER(AVERAGE('20250815_ETF_Options_Exhibits'!Y2102:Y2106)),AVERAGE('20250815_ETF_Options_Exhibits'!Y2102:Y2106),"")</f>
        <v/>
      </c>
      <c r="Z2106" s="3">
        <f>IF(ISNUMBER(AVERAGE('20250815_ETF_Options_Exhibits'!Z2102:Z2106)),AVERAGE('20250815_ETF_Options_Exhibits'!Z2102:Z2106),"")</f>
        <v/>
      </c>
      <c r="AA2106" s="3">
        <f>IF(ISNUMBER(AVERAGE('20250815_ETF_Options_Exhibits'!AA2102:AA2106)),AVERAGE('20250815_ETF_Options_Exhibits'!AA2102:AA2106),"")</f>
        <v/>
      </c>
    </row>
    <row r="2107">
      <c r="A2107" s="1" t="n">
        <v>45058</v>
      </c>
      <c r="B2107" s="3">
        <f>IF(ISNUMBER(AVERAGE('20250815_ETF_Options_Exhibits'!B2103:B2107)),AVERAGE('20250815_ETF_Options_Exhibits'!B2103:B2107),"")</f>
        <v/>
      </c>
      <c r="C2107" s="3">
        <f>IF(ISNUMBER(AVERAGE('20250815_ETF_Options_Exhibits'!C2103:C2107)),AVERAGE('20250815_ETF_Options_Exhibits'!C2103:C2107),"")</f>
        <v/>
      </c>
      <c r="D2107" s="3">
        <f>IF(ISNUMBER(AVERAGE('20250815_ETF_Options_Exhibits'!D2103:D2107)),AVERAGE('20250815_ETF_Options_Exhibits'!D2103:D2107),"")</f>
        <v/>
      </c>
      <c r="E2107" s="3">
        <f>IF(ISNUMBER(AVERAGE('20250815_ETF_Options_Exhibits'!E2103:E2107)),AVERAGE('20250815_ETF_Options_Exhibits'!E2103:E2107),"")</f>
        <v/>
      </c>
      <c r="F2107" s="3">
        <f>IF(ISNUMBER(AVERAGE('20250815_ETF_Options_Exhibits'!F2103:F2107)),AVERAGE('20250815_ETF_Options_Exhibits'!F2103:F2107),"")</f>
        <v/>
      </c>
      <c r="G2107" s="3">
        <f>IF(ISNUMBER(AVERAGE('20250815_ETF_Options_Exhibits'!G2103:G2107)),AVERAGE('20250815_ETF_Options_Exhibits'!G2103:G2107),"")</f>
        <v/>
      </c>
      <c r="H2107" s="3">
        <f>IF(ISNUMBER(AVERAGE('20250815_ETF_Options_Exhibits'!H2103:H2107)),AVERAGE('20250815_ETF_Options_Exhibits'!H2103:H2107),"")</f>
        <v/>
      </c>
      <c r="I2107" s="3">
        <f>IF(ISNUMBER(AVERAGE('20250815_ETF_Options_Exhibits'!I2103:I2107)),AVERAGE('20250815_ETF_Options_Exhibits'!I2103:I2107),"")</f>
        <v/>
      </c>
      <c r="J2107" s="3">
        <f>IF(ISNUMBER(AVERAGE('20250815_ETF_Options_Exhibits'!J2103:J2107)),AVERAGE('20250815_ETF_Options_Exhibits'!J2103:J2107),"")</f>
        <v/>
      </c>
      <c r="K2107" s="3">
        <f>IF(ISNUMBER(AVERAGE('20250815_ETF_Options_Exhibits'!K2103:K2107)),AVERAGE('20250815_ETF_Options_Exhibits'!K2103:K2107),"")</f>
        <v/>
      </c>
      <c r="L2107" s="3">
        <f>IF(ISNUMBER(AVERAGE('20250815_ETF_Options_Exhibits'!L2103:L2107)),AVERAGE('20250815_ETF_Options_Exhibits'!L2103:L2107),"")</f>
        <v/>
      </c>
      <c r="M2107" s="3">
        <f>IF(ISNUMBER(AVERAGE('20250815_ETF_Options_Exhibits'!M2103:M2107)),AVERAGE('20250815_ETF_Options_Exhibits'!M2103:M2107),"")</f>
        <v/>
      </c>
      <c r="N2107" s="3">
        <f>IF(ISNUMBER(AVERAGE('20250815_ETF_Options_Exhibits'!N2103:N2107)),AVERAGE('20250815_ETF_Options_Exhibits'!N2103:N2107),"")</f>
        <v/>
      </c>
      <c r="O2107" s="3">
        <f>IF(ISNUMBER(AVERAGE('20250815_ETF_Options_Exhibits'!O2103:O2107)),AVERAGE('20250815_ETF_Options_Exhibits'!O2103:O2107),"")</f>
        <v/>
      </c>
      <c r="P2107" s="3">
        <f>IF(ISNUMBER(AVERAGE('20250815_ETF_Options_Exhibits'!P2103:P2107)),AVERAGE('20250815_ETF_Options_Exhibits'!P2103:P2107),"")</f>
        <v/>
      </c>
      <c r="Q2107" s="3">
        <f>IF(ISNUMBER(AVERAGE('20250815_ETF_Options_Exhibits'!Q2103:Q2107)),AVERAGE('20250815_ETF_Options_Exhibits'!Q2103:Q2107),"")</f>
        <v/>
      </c>
      <c r="R2107" s="3">
        <f>IF(ISNUMBER(AVERAGE('20250815_ETF_Options_Exhibits'!R2103:R2107)),AVERAGE('20250815_ETF_Options_Exhibits'!R2103:R2107),"")</f>
        <v/>
      </c>
      <c r="S2107" s="3">
        <f>IF(ISNUMBER(AVERAGE('20250815_ETF_Options_Exhibits'!S2103:S2107)),AVERAGE('20250815_ETF_Options_Exhibits'!S2103:S2107),"")</f>
        <v/>
      </c>
      <c r="T2107" s="3">
        <f>IF(ISNUMBER(AVERAGE('20250815_ETF_Options_Exhibits'!T2103:T2107)),AVERAGE('20250815_ETF_Options_Exhibits'!T2103:T2107),"")</f>
        <v/>
      </c>
      <c r="U2107" s="3">
        <f>IF(ISNUMBER(AVERAGE('20250815_ETF_Options_Exhibits'!U2103:U2107)),AVERAGE('20250815_ETF_Options_Exhibits'!U2103:U2107),"")</f>
        <v/>
      </c>
      <c r="V2107" s="3">
        <f>IF(ISNUMBER(AVERAGE('20250815_ETF_Options_Exhibits'!V2103:V2107)),AVERAGE('20250815_ETF_Options_Exhibits'!V2103:V2107),"")</f>
        <v/>
      </c>
      <c r="W2107" s="3">
        <f>IF(ISNUMBER(AVERAGE('20250815_ETF_Options_Exhibits'!W2103:W2107)),AVERAGE('20250815_ETF_Options_Exhibits'!W2103:W2107),"")</f>
        <v/>
      </c>
      <c r="X2107" s="3">
        <f>IF(ISNUMBER(AVERAGE('20250815_ETF_Options_Exhibits'!X2103:X2107)),AVERAGE('20250815_ETF_Options_Exhibits'!X2103:X2107),"")</f>
        <v/>
      </c>
      <c r="Y2107" s="3">
        <f>IF(ISNUMBER(AVERAGE('20250815_ETF_Options_Exhibits'!Y2103:Y2107)),AVERAGE('20250815_ETF_Options_Exhibits'!Y2103:Y2107),"")</f>
        <v/>
      </c>
      <c r="Z2107" s="3">
        <f>IF(ISNUMBER(AVERAGE('20250815_ETF_Options_Exhibits'!Z2103:Z2107)),AVERAGE('20250815_ETF_Options_Exhibits'!Z2103:Z2107),"")</f>
        <v/>
      </c>
      <c r="AA2107" s="3">
        <f>IF(ISNUMBER(AVERAGE('20250815_ETF_Options_Exhibits'!AA2103:AA2107)),AVERAGE('20250815_ETF_Options_Exhibits'!AA2103:AA2107),"")</f>
        <v/>
      </c>
    </row>
    <row r="2108">
      <c r="A2108" s="1" t="n">
        <v>45061</v>
      </c>
      <c r="B2108" s="3">
        <f>IF(ISNUMBER(AVERAGE('20250815_ETF_Options_Exhibits'!B2104:B2108)),AVERAGE('20250815_ETF_Options_Exhibits'!B2104:B2108),"")</f>
        <v/>
      </c>
      <c r="C2108" s="3">
        <f>IF(ISNUMBER(AVERAGE('20250815_ETF_Options_Exhibits'!C2104:C2108)),AVERAGE('20250815_ETF_Options_Exhibits'!C2104:C2108),"")</f>
        <v/>
      </c>
      <c r="D2108" s="3">
        <f>IF(ISNUMBER(AVERAGE('20250815_ETF_Options_Exhibits'!D2104:D2108)),AVERAGE('20250815_ETF_Options_Exhibits'!D2104:D2108),"")</f>
        <v/>
      </c>
      <c r="E2108" s="3">
        <f>IF(ISNUMBER(AVERAGE('20250815_ETF_Options_Exhibits'!E2104:E2108)),AVERAGE('20250815_ETF_Options_Exhibits'!E2104:E2108),"")</f>
        <v/>
      </c>
      <c r="F2108" s="3">
        <f>IF(ISNUMBER(AVERAGE('20250815_ETF_Options_Exhibits'!F2104:F2108)),AVERAGE('20250815_ETF_Options_Exhibits'!F2104:F2108),"")</f>
        <v/>
      </c>
      <c r="G2108" s="3">
        <f>IF(ISNUMBER(AVERAGE('20250815_ETF_Options_Exhibits'!G2104:G2108)),AVERAGE('20250815_ETF_Options_Exhibits'!G2104:G2108),"")</f>
        <v/>
      </c>
      <c r="H2108" s="3">
        <f>IF(ISNUMBER(AVERAGE('20250815_ETF_Options_Exhibits'!H2104:H2108)),AVERAGE('20250815_ETF_Options_Exhibits'!H2104:H2108),"")</f>
        <v/>
      </c>
      <c r="I2108" s="3">
        <f>IF(ISNUMBER(AVERAGE('20250815_ETF_Options_Exhibits'!I2104:I2108)),AVERAGE('20250815_ETF_Options_Exhibits'!I2104:I2108),"")</f>
        <v/>
      </c>
      <c r="J2108" s="3">
        <f>IF(ISNUMBER(AVERAGE('20250815_ETF_Options_Exhibits'!J2104:J2108)),AVERAGE('20250815_ETF_Options_Exhibits'!J2104:J2108),"")</f>
        <v/>
      </c>
      <c r="K2108" s="3">
        <f>IF(ISNUMBER(AVERAGE('20250815_ETF_Options_Exhibits'!K2104:K2108)),AVERAGE('20250815_ETF_Options_Exhibits'!K2104:K2108),"")</f>
        <v/>
      </c>
      <c r="L2108" s="3">
        <f>IF(ISNUMBER(AVERAGE('20250815_ETF_Options_Exhibits'!L2104:L2108)),AVERAGE('20250815_ETF_Options_Exhibits'!L2104:L2108),"")</f>
        <v/>
      </c>
      <c r="M2108" s="3">
        <f>IF(ISNUMBER(AVERAGE('20250815_ETF_Options_Exhibits'!M2104:M2108)),AVERAGE('20250815_ETF_Options_Exhibits'!M2104:M2108),"")</f>
        <v/>
      </c>
      <c r="N2108" s="3">
        <f>IF(ISNUMBER(AVERAGE('20250815_ETF_Options_Exhibits'!N2104:N2108)),AVERAGE('20250815_ETF_Options_Exhibits'!N2104:N2108),"")</f>
        <v/>
      </c>
      <c r="O2108" s="3">
        <f>IF(ISNUMBER(AVERAGE('20250815_ETF_Options_Exhibits'!O2104:O2108)),AVERAGE('20250815_ETF_Options_Exhibits'!O2104:O2108),"")</f>
        <v/>
      </c>
      <c r="P2108" s="3">
        <f>IF(ISNUMBER(AVERAGE('20250815_ETF_Options_Exhibits'!P2104:P2108)),AVERAGE('20250815_ETF_Options_Exhibits'!P2104:P2108),"")</f>
        <v/>
      </c>
      <c r="Q2108" s="3">
        <f>IF(ISNUMBER(AVERAGE('20250815_ETF_Options_Exhibits'!Q2104:Q2108)),AVERAGE('20250815_ETF_Options_Exhibits'!Q2104:Q2108),"")</f>
        <v/>
      </c>
      <c r="R2108" s="3">
        <f>IF(ISNUMBER(AVERAGE('20250815_ETF_Options_Exhibits'!R2104:R2108)),AVERAGE('20250815_ETF_Options_Exhibits'!R2104:R2108),"")</f>
        <v/>
      </c>
      <c r="S2108" s="3">
        <f>IF(ISNUMBER(AVERAGE('20250815_ETF_Options_Exhibits'!S2104:S2108)),AVERAGE('20250815_ETF_Options_Exhibits'!S2104:S2108),"")</f>
        <v/>
      </c>
      <c r="T2108" s="3">
        <f>IF(ISNUMBER(AVERAGE('20250815_ETF_Options_Exhibits'!T2104:T2108)),AVERAGE('20250815_ETF_Options_Exhibits'!T2104:T2108),"")</f>
        <v/>
      </c>
      <c r="U2108" s="3">
        <f>IF(ISNUMBER(AVERAGE('20250815_ETF_Options_Exhibits'!U2104:U2108)),AVERAGE('20250815_ETF_Options_Exhibits'!U2104:U2108),"")</f>
        <v/>
      </c>
      <c r="V2108" s="3">
        <f>IF(ISNUMBER(AVERAGE('20250815_ETF_Options_Exhibits'!V2104:V2108)),AVERAGE('20250815_ETF_Options_Exhibits'!V2104:V2108),"")</f>
        <v/>
      </c>
      <c r="W2108" s="3">
        <f>IF(ISNUMBER(AVERAGE('20250815_ETF_Options_Exhibits'!W2104:W2108)),AVERAGE('20250815_ETF_Options_Exhibits'!W2104:W2108),"")</f>
        <v/>
      </c>
      <c r="X2108" s="3">
        <f>IF(ISNUMBER(AVERAGE('20250815_ETF_Options_Exhibits'!X2104:X2108)),AVERAGE('20250815_ETF_Options_Exhibits'!X2104:X2108),"")</f>
        <v/>
      </c>
      <c r="Y2108" s="3">
        <f>IF(ISNUMBER(AVERAGE('20250815_ETF_Options_Exhibits'!Y2104:Y2108)),AVERAGE('20250815_ETF_Options_Exhibits'!Y2104:Y2108),"")</f>
        <v/>
      </c>
      <c r="Z2108" s="3">
        <f>IF(ISNUMBER(AVERAGE('20250815_ETF_Options_Exhibits'!Z2104:Z2108)),AVERAGE('20250815_ETF_Options_Exhibits'!Z2104:Z2108),"")</f>
        <v/>
      </c>
      <c r="AA2108" s="3">
        <f>IF(ISNUMBER(AVERAGE('20250815_ETF_Options_Exhibits'!AA2104:AA2108)),AVERAGE('20250815_ETF_Options_Exhibits'!AA2104:AA2108),"")</f>
        <v/>
      </c>
    </row>
    <row r="2109">
      <c r="A2109" s="1" t="n">
        <v>45062</v>
      </c>
      <c r="B2109" s="3">
        <f>IF(ISNUMBER(AVERAGE('20250815_ETF_Options_Exhibits'!B2105:B2109)),AVERAGE('20250815_ETF_Options_Exhibits'!B2105:B2109),"")</f>
        <v/>
      </c>
      <c r="C2109" s="3">
        <f>IF(ISNUMBER(AVERAGE('20250815_ETF_Options_Exhibits'!C2105:C2109)),AVERAGE('20250815_ETF_Options_Exhibits'!C2105:C2109),"")</f>
        <v/>
      </c>
      <c r="D2109" s="3">
        <f>IF(ISNUMBER(AVERAGE('20250815_ETF_Options_Exhibits'!D2105:D2109)),AVERAGE('20250815_ETF_Options_Exhibits'!D2105:D2109),"")</f>
        <v/>
      </c>
      <c r="E2109" s="3">
        <f>IF(ISNUMBER(AVERAGE('20250815_ETF_Options_Exhibits'!E2105:E2109)),AVERAGE('20250815_ETF_Options_Exhibits'!E2105:E2109),"")</f>
        <v/>
      </c>
      <c r="F2109" s="3">
        <f>IF(ISNUMBER(AVERAGE('20250815_ETF_Options_Exhibits'!F2105:F2109)),AVERAGE('20250815_ETF_Options_Exhibits'!F2105:F2109),"")</f>
        <v/>
      </c>
      <c r="G2109" s="3">
        <f>IF(ISNUMBER(AVERAGE('20250815_ETF_Options_Exhibits'!G2105:G2109)),AVERAGE('20250815_ETF_Options_Exhibits'!G2105:G2109),"")</f>
        <v/>
      </c>
      <c r="H2109" s="3">
        <f>IF(ISNUMBER(AVERAGE('20250815_ETF_Options_Exhibits'!H2105:H2109)),AVERAGE('20250815_ETF_Options_Exhibits'!H2105:H2109),"")</f>
        <v/>
      </c>
      <c r="I2109" s="3">
        <f>IF(ISNUMBER(AVERAGE('20250815_ETF_Options_Exhibits'!I2105:I2109)),AVERAGE('20250815_ETF_Options_Exhibits'!I2105:I2109),"")</f>
        <v/>
      </c>
      <c r="J2109" s="3">
        <f>IF(ISNUMBER(AVERAGE('20250815_ETF_Options_Exhibits'!J2105:J2109)),AVERAGE('20250815_ETF_Options_Exhibits'!J2105:J2109),"")</f>
        <v/>
      </c>
      <c r="K2109" s="3">
        <f>IF(ISNUMBER(AVERAGE('20250815_ETF_Options_Exhibits'!K2105:K2109)),AVERAGE('20250815_ETF_Options_Exhibits'!K2105:K2109),"")</f>
        <v/>
      </c>
      <c r="L2109" s="3">
        <f>IF(ISNUMBER(AVERAGE('20250815_ETF_Options_Exhibits'!L2105:L2109)),AVERAGE('20250815_ETF_Options_Exhibits'!L2105:L2109),"")</f>
        <v/>
      </c>
      <c r="M2109" s="3">
        <f>IF(ISNUMBER(AVERAGE('20250815_ETF_Options_Exhibits'!M2105:M2109)),AVERAGE('20250815_ETF_Options_Exhibits'!M2105:M2109),"")</f>
        <v/>
      </c>
      <c r="N2109" s="3">
        <f>IF(ISNUMBER(AVERAGE('20250815_ETF_Options_Exhibits'!N2105:N2109)),AVERAGE('20250815_ETF_Options_Exhibits'!N2105:N2109),"")</f>
        <v/>
      </c>
      <c r="O2109" s="3">
        <f>IF(ISNUMBER(AVERAGE('20250815_ETF_Options_Exhibits'!O2105:O2109)),AVERAGE('20250815_ETF_Options_Exhibits'!O2105:O2109),"")</f>
        <v/>
      </c>
      <c r="P2109" s="3">
        <f>IF(ISNUMBER(AVERAGE('20250815_ETF_Options_Exhibits'!P2105:P2109)),AVERAGE('20250815_ETF_Options_Exhibits'!P2105:P2109),"")</f>
        <v/>
      </c>
      <c r="Q2109" s="3">
        <f>IF(ISNUMBER(AVERAGE('20250815_ETF_Options_Exhibits'!Q2105:Q2109)),AVERAGE('20250815_ETF_Options_Exhibits'!Q2105:Q2109),"")</f>
        <v/>
      </c>
      <c r="R2109" s="3">
        <f>IF(ISNUMBER(AVERAGE('20250815_ETF_Options_Exhibits'!R2105:R2109)),AVERAGE('20250815_ETF_Options_Exhibits'!R2105:R2109),"")</f>
        <v/>
      </c>
      <c r="S2109" s="3">
        <f>IF(ISNUMBER(AVERAGE('20250815_ETF_Options_Exhibits'!S2105:S2109)),AVERAGE('20250815_ETF_Options_Exhibits'!S2105:S2109),"")</f>
        <v/>
      </c>
      <c r="T2109" s="3">
        <f>IF(ISNUMBER(AVERAGE('20250815_ETF_Options_Exhibits'!T2105:T2109)),AVERAGE('20250815_ETF_Options_Exhibits'!T2105:T2109),"")</f>
        <v/>
      </c>
      <c r="U2109" s="3">
        <f>IF(ISNUMBER(AVERAGE('20250815_ETF_Options_Exhibits'!U2105:U2109)),AVERAGE('20250815_ETF_Options_Exhibits'!U2105:U2109),"")</f>
        <v/>
      </c>
      <c r="V2109" s="3">
        <f>IF(ISNUMBER(AVERAGE('20250815_ETF_Options_Exhibits'!V2105:V2109)),AVERAGE('20250815_ETF_Options_Exhibits'!V2105:V2109),"")</f>
        <v/>
      </c>
      <c r="W2109" s="3">
        <f>IF(ISNUMBER(AVERAGE('20250815_ETF_Options_Exhibits'!W2105:W2109)),AVERAGE('20250815_ETF_Options_Exhibits'!W2105:W2109),"")</f>
        <v/>
      </c>
      <c r="X2109" s="3">
        <f>IF(ISNUMBER(AVERAGE('20250815_ETF_Options_Exhibits'!X2105:X2109)),AVERAGE('20250815_ETF_Options_Exhibits'!X2105:X2109),"")</f>
        <v/>
      </c>
      <c r="Y2109" s="3">
        <f>IF(ISNUMBER(AVERAGE('20250815_ETF_Options_Exhibits'!Y2105:Y2109)),AVERAGE('20250815_ETF_Options_Exhibits'!Y2105:Y2109),"")</f>
        <v/>
      </c>
      <c r="Z2109" s="3">
        <f>IF(ISNUMBER(AVERAGE('20250815_ETF_Options_Exhibits'!Z2105:Z2109)),AVERAGE('20250815_ETF_Options_Exhibits'!Z2105:Z2109),"")</f>
        <v/>
      </c>
      <c r="AA2109" s="3">
        <f>IF(ISNUMBER(AVERAGE('20250815_ETF_Options_Exhibits'!AA2105:AA2109)),AVERAGE('20250815_ETF_Options_Exhibits'!AA2105:AA2109),"")</f>
        <v/>
      </c>
    </row>
    <row r="2110">
      <c r="A2110" s="1" t="n">
        <v>45063</v>
      </c>
      <c r="B2110" s="3">
        <f>IF(ISNUMBER(AVERAGE('20250815_ETF_Options_Exhibits'!B2106:B2110)),AVERAGE('20250815_ETF_Options_Exhibits'!B2106:B2110),"")</f>
        <v/>
      </c>
      <c r="C2110" s="3">
        <f>IF(ISNUMBER(AVERAGE('20250815_ETF_Options_Exhibits'!C2106:C2110)),AVERAGE('20250815_ETF_Options_Exhibits'!C2106:C2110),"")</f>
        <v/>
      </c>
      <c r="D2110" s="3">
        <f>IF(ISNUMBER(AVERAGE('20250815_ETF_Options_Exhibits'!D2106:D2110)),AVERAGE('20250815_ETF_Options_Exhibits'!D2106:D2110),"")</f>
        <v/>
      </c>
      <c r="E2110" s="3">
        <f>IF(ISNUMBER(AVERAGE('20250815_ETF_Options_Exhibits'!E2106:E2110)),AVERAGE('20250815_ETF_Options_Exhibits'!E2106:E2110),"")</f>
        <v/>
      </c>
      <c r="F2110" s="3">
        <f>IF(ISNUMBER(AVERAGE('20250815_ETF_Options_Exhibits'!F2106:F2110)),AVERAGE('20250815_ETF_Options_Exhibits'!F2106:F2110),"")</f>
        <v/>
      </c>
      <c r="G2110" s="3">
        <f>IF(ISNUMBER(AVERAGE('20250815_ETF_Options_Exhibits'!G2106:G2110)),AVERAGE('20250815_ETF_Options_Exhibits'!G2106:G2110),"")</f>
        <v/>
      </c>
      <c r="H2110" s="3">
        <f>IF(ISNUMBER(AVERAGE('20250815_ETF_Options_Exhibits'!H2106:H2110)),AVERAGE('20250815_ETF_Options_Exhibits'!H2106:H2110),"")</f>
        <v/>
      </c>
      <c r="I2110" s="3">
        <f>IF(ISNUMBER(AVERAGE('20250815_ETF_Options_Exhibits'!I2106:I2110)),AVERAGE('20250815_ETF_Options_Exhibits'!I2106:I2110),"")</f>
        <v/>
      </c>
      <c r="J2110" s="3">
        <f>IF(ISNUMBER(AVERAGE('20250815_ETF_Options_Exhibits'!J2106:J2110)),AVERAGE('20250815_ETF_Options_Exhibits'!J2106:J2110),"")</f>
        <v/>
      </c>
      <c r="K2110" s="3">
        <f>IF(ISNUMBER(AVERAGE('20250815_ETF_Options_Exhibits'!K2106:K2110)),AVERAGE('20250815_ETF_Options_Exhibits'!K2106:K2110),"")</f>
        <v/>
      </c>
      <c r="L2110" s="3">
        <f>IF(ISNUMBER(AVERAGE('20250815_ETF_Options_Exhibits'!L2106:L2110)),AVERAGE('20250815_ETF_Options_Exhibits'!L2106:L2110),"")</f>
        <v/>
      </c>
      <c r="M2110" s="3">
        <f>IF(ISNUMBER(AVERAGE('20250815_ETF_Options_Exhibits'!M2106:M2110)),AVERAGE('20250815_ETF_Options_Exhibits'!M2106:M2110),"")</f>
        <v/>
      </c>
      <c r="N2110" s="3">
        <f>IF(ISNUMBER(AVERAGE('20250815_ETF_Options_Exhibits'!N2106:N2110)),AVERAGE('20250815_ETF_Options_Exhibits'!N2106:N2110),"")</f>
        <v/>
      </c>
      <c r="O2110" s="3">
        <f>IF(ISNUMBER(AVERAGE('20250815_ETF_Options_Exhibits'!O2106:O2110)),AVERAGE('20250815_ETF_Options_Exhibits'!O2106:O2110),"")</f>
        <v/>
      </c>
      <c r="P2110" s="3">
        <f>IF(ISNUMBER(AVERAGE('20250815_ETF_Options_Exhibits'!P2106:P2110)),AVERAGE('20250815_ETF_Options_Exhibits'!P2106:P2110),"")</f>
        <v/>
      </c>
      <c r="Q2110" s="3">
        <f>IF(ISNUMBER(AVERAGE('20250815_ETF_Options_Exhibits'!Q2106:Q2110)),AVERAGE('20250815_ETF_Options_Exhibits'!Q2106:Q2110),"")</f>
        <v/>
      </c>
      <c r="R2110" s="3">
        <f>IF(ISNUMBER(AVERAGE('20250815_ETF_Options_Exhibits'!R2106:R2110)),AVERAGE('20250815_ETF_Options_Exhibits'!R2106:R2110),"")</f>
        <v/>
      </c>
      <c r="S2110" s="3">
        <f>IF(ISNUMBER(AVERAGE('20250815_ETF_Options_Exhibits'!S2106:S2110)),AVERAGE('20250815_ETF_Options_Exhibits'!S2106:S2110),"")</f>
        <v/>
      </c>
      <c r="T2110" s="3">
        <f>IF(ISNUMBER(AVERAGE('20250815_ETF_Options_Exhibits'!T2106:T2110)),AVERAGE('20250815_ETF_Options_Exhibits'!T2106:T2110),"")</f>
        <v/>
      </c>
      <c r="U2110" s="3">
        <f>IF(ISNUMBER(AVERAGE('20250815_ETF_Options_Exhibits'!U2106:U2110)),AVERAGE('20250815_ETF_Options_Exhibits'!U2106:U2110),"")</f>
        <v/>
      </c>
      <c r="V2110" s="3">
        <f>IF(ISNUMBER(AVERAGE('20250815_ETF_Options_Exhibits'!V2106:V2110)),AVERAGE('20250815_ETF_Options_Exhibits'!V2106:V2110),"")</f>
        <v/>
      </c>
      <c r="W2110" s="3">
        <f>IF(ISNUMBER(AVERAGE('20250815_ETF_Options_Exhibits'!W2106:W2110)),AVERAGE('20250815_ETF_Options_Exhibits'!W2106:W2110),"")</f>
        <v/>
      </c>
      <c r="X2110" s="3">
        <f>IF(ISNUMBER(AVERAGE('20250815_ETF_Options_Exhibits'!X2106:X2110)),AVERAGE('20250815_ETF_Options_Exhibits'!X2106:X2110),"")</f>
        <v/>
      </c>
      <c r="Y2110" s="3">
        <f>IF(ISNUMBER(AVERAGE('20250815_ETF_Options_Exhibits'!Y2106:Y2110)),AVERAGE('20250815_ETF_Options_Exhibits'!Y2106:Y2110),"")</f>
        <v/>
      </c>
      <c r="Z2110" s="3">
        <f>IF(ISNUMBER(AVERAGE('20250815_ETF_Options_Exhibits'!Z2106:Z2110)),AVERAGE('20250815_ETF_Options_Exhibits'!Z2106:Z2110),"")</f>
        <v/>
      </c>
      <c r="AA2110" s="3">
        <f>IF(ISNUMBER(AVERAGE('20250815_ETF_Options_Exhibits'!AA2106:AA2110)),AVERAGE('20250815_ETF_Options_Exhibits'!AA2106:AA2110),"")</f>
        <v/>
      </c>
    </row>
    <row r="2111">
      <c r="A2111" s="1" t="n">
        <v>45064</v>
      </c>
      <c r="B2111" s="3">
        <f>IF(ISNUMBER(AVERAGE('20250815_ETF_Options_Exhibits'!B2107:B2111)),AVERAGE('20250815_ETF_Options_Exhibits'!B2107:B2111),"")</f>
        <v/>
      </c>
      <c r="C2111" s="3">
        <f>IF(ISNUMBER(AVERAGE('20250815_ETF_Options_Exhibits'!C2107:C2111)),AVERAGE('20250815_ETF_Options_Exhibits'!C2107:C2111),"")</f>
        <v/>
      </c>
      <c r="D2111" s="3">
        <f>IF(ISNUMBER(AVERAGE('20250815_ETF_Options_Exhibits'!D2107:D2111)),AVERAGE('20250815_ETF_Options_Exhibits'!D2107:D2111),"")</f>
        <v/>
      </c>
      <c r="E2111" s="3">
        <f>IF(ISNUMBER(AVERAGE('20250815_ETF_Options_Exhibits'!E2107:E2111)),AVERAGE('20250815_ETF_Options_Exhibits'!E2107:E2111),"")</f>
        <v/>
      </c>
      <c r="F2111" s="3">
        <f>IF(ISNUMBER(AVERAGE('20250815_ETF_Options_Exhibits'!F2107:F2111)),AVERAGE('20250815_ETF_Options_Exhibits'!F2107:F2111),"")</f>
        <v/>
      </c>
      <c r="G2111" s="3">
        <f>IF(ISNUMBER(AVERAGE('20250815_ETF_Options_Exhibits'!G2107:G2111)),AVERAGE('20250815_ETF_Options_Exhibits'!G2107:G2111),"")</f>
        <v/>
      </c>
      <c r="H2111" s="3">
        <f>IF(ISNUMBER(AVERAGE('20250815_ETF_Options_Exhibits'!H2107:H2111)),AVERAGE('20250815_ETF_Options_Exhibits'!H2107:H2111),"")</f>
        <v/>
      </c>
      <c r="I2111" s="3">
        <f>IF(ISNUMBER(AVERAGE('20250815_ETF_Options_Exhibits'!I2107:I2111)),AVERAGE('20250815_ETF_Options_Exhibits'!I2107:I2111),"")</f>
        <v/>
      </c>
      <c r="J2111" s="3">
        <f>IF(ISNUMBER(AVERAGE('20250815_ETF_Options_Exhibits'!J2107:J2111)),AVERAGE('20250815_ETF_Options_Exhibits'!J2107:J2111),"")</f>
        <v/>
      </c>
      <c r="K2111" s="3">
        <f>IF(ISNUMBER(AVERAGE('20250815_ETF_Options_Exhibits'!K2107:K2111)),AVERAGE('20250815_ETF_Options_Exhibits'!K2107:K2111),"")</f>
        <v/>
      </c>
      <c r="L2111" s="3">
        <f>IF(ISNUMBER(AVERAGE('20250815_ETF_Options_Exhibits'!L2107:L2111)),AVERAGE('20250815_ETF_Options_Exhibits'!L2107:L2111),"")</f>
        <v/>
      </c>
      <c r="M2111" s="3">
        <f>IF(ISNUMBER(AVERAGE('20250815_ETF_Options_Exhibits'!M2107:M2111)),AVERAGE('20250815_ETF_Options_Exhibits'!M2107:M2111),"")</f>
        <v/>
      </c>
      <c r="N2111" s="3">
        <f>IF(ISNUMBER(AVERAGE('20250815_ETF_Options_Exhibits'!N2107:N2111)),AVERAGE('20250815_ETF_Options_Exhibits'!N2107:N2111),"")</f>
        <v/>
      </c>
      <c r="O2111" s="3">
        <f>IF(ISNUMBER(AVERAGE('20250815_ETF_Options_Exhibits'!O2107:O2111)),AVERAGE('20250815_ETF_Options_Exhibits'!O2107:O2111),"")</f>
        <v/>
      </c>
      <c r="P2111" s="3">
        <f>IF(ISNUMBER(AVERAGE('20250815_ETF_Options_Exhibits'!P2107:P2111)),AVERAGE('20250815_ETF_Options_Exhibits'!P2107:P2111),"")</f>
        <v/>
      </c>
      <c r="Q2111" s="3">
        <f>IF(ISNUMBER(AVERAGE('20250815_ETF_Options_Exhibits'!Q2107:Q2111)),AVERAGE('20250815_ETF_Options_Exhibits'!Q2107:Q2111),"")</f>
        <v/>
      </c>
      <c r="R2111" s="3">
        <f>IF(ISNUMBER(AVERAGE('20250815_ETF_Options_Exhibits'!R2107:R2111)),AVERAGE('20250815_ETF_Options_Exhibits'!R2107:R2111),"")</f>
        <v/>
      </c>
      <c r="S2111" s="3">
        <f>IF(ISNUMBER(AVERAGE('20250815_ETF_Options_Exhibits'!S2107:S2111)),AVERAGE('20250815_ETF_Options_Exhibits'!S2107:S2111),"")</f>
        <v/>
      </c>
      <c r="T2111" s="3">
        <f>IF(ISNUMBER(AVERAGE('20250815_ETF_Options_Exhibits'!T2107:T2111)),AVERAGE('20250815_ETF_Options_Exhibits'!T2107:T2111),"")</f>
        <v/>
      </c>
      <c r="U2111" s="3">
        <f>IF(ISNUMBER(AVERAGE('20250815_ETF_Options_Exhibits'!U2107:U2111)),AVERAGE('20250815_ETF_Options_Exhibits'!U2107:U2111),"")</f>
        <v/>
      </c>
      <c r="V2111" s="3">
        <f>IF(ISNUMBER(AVERAGE('20250815_ETF_Options_Exhibits'!V2107:V2111)),AVERAGE('20250815_ETF_Options_Exhibits'!V2107:V2111),"")</f>
        <v/>
      </c>
      <c r="W2111" s="3">
        <f>IF(ISNUMBER(AVERAGE('20250815_ETF_Options_Exhibits'!W2107:W2111)),AVERAGE('20250815_ETF_Options_Exhibits'!W2107:W2111),"")</f>
        <v/>
      </c>
      <c r="X2111" s="3">
        <f>IF(ISNUMBER(AVERAGE('20250815_ETF_Options_Exhibits'!X2107:X2111)),AVERAGE('20250815_ETF_Options_Exhibits'!X2107:X2111),"")</f>
        <v/>
      </c>
      <c r="Y2111" s="3">
        <f>IF(ISNUMBER(AVERAGE('20250815_ETF_Options_Exhibits'!Y2107:Y2111)),AVERAGE('20250815_ETF_Options_Exhibits'!Y2107:Y2111),"")</f>
        <v/>
      </c>
      <c r="Z2111" s="3">
        <f>IF(ISNUMBER(AVERAGE('20250815_ETF_Options_Exhibits'!Z2107:Z2111)),AVERAGE('20250815_ETF_Options_Exhibits'!Z2107:Z2111),"")</f>
        <v/>
      </c>
      <c r="AA2111" s="3">
        <f>IF(ISNUMBER(AVERAGE('20250815_ETF_Options_Exhibits'!AA2107:AA2111)),AVERAGE('20250815_ETF_Options_Exhibits'!AA2107:AA2111),"")</f>
        <v/>
      </c>
    </row>
    <row r="2112">
      <c r="A2112" s="1" t="n">
        <v>45065</v>
      </c>
      <c r="B2112" s="3">
        <f>IF(ISNUMBER(AVERAGE('20250815_ETF_Options_Exhibits'!B2108:B2112)),AVERAGE('20250815_ETF_Options_Exhibits'!B2108:B2112),"")</f>
        <v/>
      </c>
      <c r="C2112" s="3">
        <f>IF(ISNUMBER(AVERAGE('20250815_ETF_Options_Exhibits'!C2108:C2112)),AVERAGE('20250815_ETF_Options_Exhibits'!C2108:C2112),"")</f>
        <v/>
      </c>
      <c r="D2112" s="3">
        <f>IF(ISNUMBER(AVERAGE('20250815_ETF_Options_Exhibits'!D2108:D2112)),AVERAGE('20250815_ETF_Options_Exhibits'!D2108:D2112),"")</f>
        <v/>
      </c>
      <c r="E2112" s="3">
        <f>IF(ISNUMBER(AVERAGE('20250815_ETF_Options_Exhibits'!E2108:E2112)),AVERAGE('20250815_ETF_Options_Exhibits'!E2108:E2112),"")</f>
        <v/>
      </c>
      <c r="F2112" s="3">
        <f>IF(ISNUMBER(AVERAGE('20250815_ETF_Options_Exhibits'!F2108:F2112)),AVERAGE('20250815_ETF_Options_Exhibits'!F2108:F2112),"")</f>
        <v/>
      </c>
      <c r="G2112" s="3">
        <f>IF(ISNUMBER(AVERAGE('20250815_ETF_Options_Exhibits'!G2108:G2112)),AVERAGE('20250815_ETF_Options_Exhibits'!G2108:G2112),"")</f>
        <v/>
      </c>
      <c r="H2112" s="3">
        <f>IF(ISNUMBER(AVERAGE('20250815_ETF_Options_Exhibits'!H2108:H2112)),AVERAGE('20250815_ETF_Options_Exhibits'!H2108:H2112),"")</f>
        <v/>
      </c>
      <c r="I2112" s="3">
        <f>IF(ISNUMBER(AVERAGE('20250815_ETF_Options_Exhibits'!I2108:I2112)),AVERAGE('20250815_ETF_Options_Exhibits'!I2108:I2112),"")</f>
        <v/>
      </c>
      <c r="J2112" s="3">
        <f>IF(ISNUMBER(AVERAGE('20250815_ETF_Options_Exhibits'!J2108:J2112)),AVERAGE('20250815_ETF_Options_Exhibits'!J2108:J2112),"")</f>
        <v/>
      </c>
      <c r="K2112" s="3">
        <f>IF(ISNUMBER(AVERAGE('20250815_ETF_Options_Exhibits'!K2108:K2112)),AVERAGE('20250815_ETF_Options_Exhibits'!K2108:K2112),"")</f>
        <v/>
      </c>
      <c r="L2112" s="3">
        <f>IF(ISNUMBER(AVERAGE('20250815_ETF_Options_Exhibits'!L2108:L2112)),AVERAGE('20250815_ETF_Options_Exhibits'!L2108:L2112),"")</f>
        <v/>
      </c>
      <c r="M2112" s="3">
        <f>IF(ISNUMBER(AVERAGE('20250815_ETF_Options_Exhibits'!M2108:M2112)),AVERAGE('20250815_ETF_Options_Exhibits'!M2108:M2112),"")</f>
        <v/>
      </c>
      <c r="N2112" s="3">
        <f>IF(ISNUMBER(AVERAGE('20250815_ETF_Options_Exhibits'!N2108:N2112)),AVERAGE('20250815_ETF_Options_Exhibits'!N2108:N2112),"")</f>
        <v/>
      </c>
      <c r="O2112" s="3">
        <f>IF(ISNUMBER(AVERAGE('20250815_ETF_Options_Exhibits'!O2108:O2112)),AVERAGE('20250815_ETF_Options_Exhibits'!O2108:O2112),"")</f>
        <v/>
      </c>
      <c r="P2112" s="3">
        <f>IF(ISNUMBER(AVERAGE('20250815_ETF_Options_Exhibits'!P2108:P2112)),AVERAGE('20250815_ETF_Options_Exhibits'!P2108:P2112),"")</f>
        <v/>
      </c>
      <c r="Q2112" s="3">
        <f>IF(ISNUMBER(AVERAGE('20250815_ETF_Options_Exhibits'!Q2108:Q2112)),AVERAGE('20250815_ETF_Options_Exhibits'!Q2108:Q2112),"")</f>
        <v/>
      </c>
      <c r="R2112" s="3">
        <f>IF(ISNUMBER(AVERAGE('20250815_ETF_Options_Exhibits'!R2108:R2112)),AVERAGE('20250815_ETF_Options_Exhibits'!R2108:R2112),"")</f>
        <v/>
      </c>
      <c r="S2112" s="3">
        <f>IF(ISNUMBER(AVERAGE('20250815_ETF_Options_Exhibits'!S2108:S2112)),AVERAGE('20250815_ETF_Options_Exhibits'!S2108:S2112),"")</f>
        <v/>
      </c>
      <c r="T2112" s="3">
        <f>IF(ISNUMBER(AVERAGE('20250815_ETF_Options_Exhibits'!T2108:T2112)),AVERAGE('20250815_ETF_Options_Exhibits'!T2108:T2112),"")</f>
        <v/>
      </c>
      <c r="U2112" s="3">
        <f>IF(ISNUMBER(AVERAGE('20250815_ETF_Options_Exhibits'!U2108:U2112)),AVERAGE('20250815_ETF_Options_Exhibits'!U2108:U2112),"")</f>
        <v/>
      </c>
      <c r="V2112" s="3">
        <f>IF(ISNUMBER(AVERAGE('20250815_ETF_Options_Exhibits'!V2108:V2112)),AVERAGE('20250815_ETF_Options_Exhibits'!V2108:V2112),"")</f>
        <v/>
      </c>
      <c r="W2112" s="3">
        <f>IF(ISNUMBER(AVERAGE('20250815_ETF_Options_Exhibits'!W2108:W2112)),AVERAGE('20250815_ETF_Options_Exhibits'!W2108:W2112),"")</f>
        <v/>
      </c>
      <c r="X2112" s="3">
        <f>IF(ISNUMBER(AVERAGE('20250815_ETF_Options_Exhibits'!X2108:X2112)),AVERAGE('20250815_ETF_Options_Exhibits'!X2108:X2112),"")</f>
        <v/>
      </c>
      <c r="Y2112" s="3">
        <f>IF(ISNUMBER(AVERAGE('20250815_ETF_Options_Exhibits'!Y2108:Y2112)),AVERAGE('20250815_ETF_Options_Exhibits'!Y2108:Y2112),"")</f>
        <v/>
      </c>
      <c r="Z2112" s="3">
        <f>IF(ISNUMBER(AVERAGE('20250815_ETF_Options_Exhibits'!Z2108:Z2112)),AVERAGE('20250815_ETF_Options_Exhibits'!Z2108:Z2112),"")</f>
        <v/>
      </c>
      <c r="AA2112" s="3">
        <f>IF(ISNUMBER(AVERAGE('20250815_ETF_Options_Exhibits'!AA2108:AA2112)),AVERAGE('20250815_ETF_Options_Exhibits'!AA2108:AA2112),"")</f>
        <v/>
      </c>
    </row>
    <row r="2113">
      <c r="A2113" s="1" t="n">
        <v>45068</v>
      </c>
      <c r="B2113" s="3">
        <f>IF(ISNUMBER(AVERAGE('20250815_ETF_Options_Exhibits'!B2109:B2113)),AVERAGE('20250815_ETF_Options_Exhibits'!B2109:B2113),"")</f>
        <v/>
      </c>
      <c r="C2113" s="3">
        <f>IF(ISNUMBER(AVERAGE('20250815_ETF_Options_Exhibits'!C2109:C2113)),AVERAGE('20250815_ETF_Options_Exhibits'!C2109:C2113),"")</f>
        <v/>
      </c>
      <c r="D2113" s="3">
        <f>IF(ISNUMBER(AVERAGE('20250815_ETF_Options_Exhibits'!D2109:D2113)),AVERAGE('20250815_ETF_Options_Exhibits'!D2109:D2113),"")</f>
        <v/>
      </c>
      <c r="E2113" s="3">
        <f>IF(ISNUMBER(AVERAGE('20250815_ETF_Options_Exhibits'!E2109:E2113)),AVERAGE('20250815_ETF_Options_Exhibits'!E2109:E2113),"")</f>
        <v/>
      </c>
      <c r="F2113" s="3">
        <f>IF(ISNUMBER(AVERAGE('20250815_ETF_Options_Exhibits'!F2109:F2113)),AVERAGE('20250815_ETF_Options_Exhibits'!F2109:F2113),"")</f>
        <v/>
      </c>
      <c r="G2113" s="3">
        <f>IF(ISNUMBER(AVERAGE('20250815_ETF_Options_Exhibits'!G2109:G2113)),AVERAGE('20250815_ETF_Options_Exhibits'!G2109:G2113),"")</f>
        <v/>
      </c>
      <c r="H2113" s="3">
        <f>IF(ISNUMBER(AVERAGE('20250815_ETF_Options_Exhibits'!H2109:H2113)),AVERAGE('20250815_ETF_Options_Exhibits'!H2109:H2113),"")</f>
        <v/>
      </c>
      <c r="I2113" s="3">
        <f>IF(ISNUMBER(AVERAGE('20250815_ETF_Options_Exhibits'!I2109:I2113)),AVERAGE('20250815_ETF_Options_Exhibits'!I2109:I2113),"")</f>
        <v/>
      </c>
      <c r="J2113" s="3">
        <f>IF(ISNUMBER(AVERAGE('20250815_ETF_Options_Exhibits'!J2109:J2113)),AVERAGE('20250815_ETF_Options_Exhibits'!J2109:J2113),"")</f>
        <v/>
      </c>
      <c r="K2113" s="3">
        <f>IF(ISNUMBER(AVERAGE('20250815_ETF_Options_Exhibits'!K2109:K2113)),AVERAGE('20250815_ETF_Options_Exhibits'!K2109:K2113),"")</f>
        <v/>
      </c>
      <c r="L2113" s="3">
        <f>IF(ISNUMBER(AVERAGE('20250815_ETF_Options_Exhibits'!L2109:L2113)),AVERAGE('20250815_ETF_Options_Exhibits'!L2109:L2113),"")</f>
        <v/>
      </c>
      <c r="M2113" s="3">
        <f>IF(ISNUMBER(AVERAGE('20250815_ETF_Options_Exhibits'!M2109:M2113)),AVERAGE('20250815_ETF_Options_Exhibits'!M2109:M2113),"")</f>
        <v/>
      </c>
      <c r="N2113" s="3">
        <f>IF(ISNUMBER(AVERAGE('20250815_ETF_Options_Exhibits'!N2109:N2113)),AVERAGE('20250815_ETF_Options_Exhibits'!N2109:N2113),"")</f>
        <v/>
      </c>
      <c r="O2113" s="3">
        <f>IF(ISNUMBER(AVERAGE('20250815_ETF_Options_Exhibits'!O2109:O2113)),AVERAGE('20250815_ETF_Options_Exhibits'!O2109:O2113),"")</f>
        <v/>
      </c>
      <c r="P2113" s="3">
        <f>IF(ISNUMBER(AVERAGE('20250815_ETF_Options_Exhibits'!P2109:P2113)),AVERAGE('20250815_ETF_Options_Exhibits'!P2109:P2113),"")</f>
        <v/>
      </c>
      <c r="Q2113" s="3">
        <f>IF(ISNUMBER(AVERAGE('20250815_ETF_Options_Exhibits'!Q2109:Q2113)),AVERAGE('20250815_ETF_Options_Exhibits'!Q2109:Q2113),"")</f>
        <v/>
      </c>
      <c r="R2113" s="3">
        <f>IF(ISNUMBER(AVERAGE('20250815_ETF_Options_Exhibits'!R2109:R2113)),AVERAGE('20250815_ETF_Options_Exhibits'!R2109:R2113),"")</f>
        <v/>
      </c>
      <c r="S2113" s="3">
        <f>IF(ISNUMBER(AVERAGE('20250815_ETF_Options_Exhibits'!S2109:S2113)),AVERAGE('20250815_ETF_Options_Exhibits'!S2109:S2113),"")</f>
        <v/>
      </c>
      <c r="T2113" s="3">
        <f>IF(ISNUMBER(AVERAGE('20250815_ETF_Options_Exhibits'!T2109:T2113)),AVERAGE('20250815_ETF_Options_Exhibits'!T2109:T2113),"")</f>
        <v/>
      </c>
      <c r="U2113" s="3">
        <f>IF(ISNUMBER(AVERAGE('20250815_ETF_Options_Exhibits'!U2109:U2113)),AVERAGE('20250815_ETF_Options_Exhibits'!U2109:U2113),"")</f>
        <v/>
      </c>
      <c r="V2113" s="3">
        <f>IF(ISNUMBER(AVERAGE('20250815_ETF_Options_Exhibits'!V2109:V2113)),AVERAGE('20250815_ETF_Options_Exhibits'!V2109:V2113),"")</f>
        <v/>
      </c>
      <c r="W2113" s="3">
        <f>IF(ISNUMBER(AVERAGE('20250815_ETF_Options_Exhibits'!W2109:W2113)),AVERAGE('20250815_ETF_Options_Exhibits'!W2109:W2113),"")</f>
        <v/>
      </c>
      <c r="X2113" s="3">
        <f>IF(ISNUMBER(AVERAGE('20250815_ETF_Options_Exhibits'!X2109:X2113)),AVERAGE('20250815_ETF_Options_Exhibits'!X2109:X2113),"")</f>
        <v/>
      </c>
      <c r="Y2113" s="3">
        <f>IF(ISNUMBER(AVERAGE('20250815_ETF_Options_Exhibits'!Y2109:Y2113)),AVERAGE('20250815_ETF_Options_Exhibits'!Y2109:Y2113),"")</f>
        <v/>
      </c>
      <c r="Z2113" s="3">
        <f>IF(ISNUMBER(AVERAGE('20250815_ETF_Options_Exhibits'!Z2109:Z2113)),AVERAGE('20250815_ETF_Options_Exhibits'!Z2109:Z2113),"")</f>
        <v/>
      </c>
      <c r="AA2113" s="3">
        <f>IF(ISNUMBER(AVERAGE('20250815_ETF_Options_Exhibits'!AA2109:AA2113)),AVERAGE('20250815_ETF_Options_Exhibits'!AA2109:AA2113),"")</f>
        <v/>
      </c>
    </row>
    <row r="2114">
      <c r="A2114" s="1" t="n">
        <v>45069</v>
      </c>
      <c r="B2114" s="3">
        <f>IF(ISNUMBER(AVERAGE('20250815_ETF_Options_Exhibits'!B2110:B2114)),AVERAGE('20250815_ETF_Options_Exhibits'!B2110:B2114),"")</f>
        <v/>
      </c>
      <c r="C2114" s="3">
        <f>IF(ISNUMBER(AVERAGE('20250815_ETF_Options_Exhibits'!C2110:C2114)),AVERAGE('20250815_ETF_Options_Exhibits'!C2110:C2114),"")</f>
        <v/>
      </c>
      <c r="D2114" s="3">
        <f>IF(ISNUMBER(AVERAGE('20250815_ETF_Options_Exhibits'!D2110:D2114)),AVERAGE('20250815_ETF_Options_Exhibits'!D2110:D2114),"")</f>
        <v/>
      </c>
      <c r="E2114" s="3">
        <f>IF(ISNUMBER(AVERAGE('20250815_ETF_Options_Exhibits'!E2110:E2114)),AVERAGE('20250815_ETF_Options_Exhibits'!E2110:E2114),"")</f>
        <v/>
      </c>
      <c r="F2114" s="3">
        <f>IF(ISNUMBER(AVERAGE('20250815_ETF_Options_Exhibits'!F2110:F2114)),AVERAGE('20250815_ETF_Options_Exhibits'!F2110:F2114),"")</f>
        <v/>
      </c>
      <c r="G2114" s="3">
        <f>IF(ISNUMBER(AVERAGE('20250815_ETF_Options_Exhibits'!G2110:G2114)),AVERAGE('20250815_ETF_Options_Exhibits'!G2110:G2114),"")</f>
        <v/>
      </c>
      <c r="H2114" s="3">
        <f>IF(ISNUMBER(AVERAGE('20250815_ETF_Options_Exhibits'!H2110:H2114)),AVERAGE('20250815_ETF_Options_Exhibits'!H2110:H2114),"")</f>
        <v/>
      </c>
      <c r="I2114" s="3">
        <f>IF(ISNUMBER(AVERAGE('20250815_ETF_Options_Exhibits'!I2110:I2114)),AVERAGE('20250815_ETF_Options_Exhibits'!I2110:I2114),"")</f>
        <v/>
      </c>
      <c r="J2114" s="3">
        <f>IF(ISNUMBER(AVERAGE('20250815_ETF_Options_Exhibits'!J2110:J2114)),AVERAGE('20250815_ETF_Options_Exhibits'!J2110:J2114),"")</f>
        <v/>
      </c>
      <c r="K2114" s="3">
        <f>IF(ISNUMBER(AVERAGE('20250815_ETF_Options_Exhibits'!K2110:K2114)),AVERAGE('20250815_ETF_Options_Exhibits'!K2110:K2114),"")</f>
        <v/>
      </c>
      <c r="L2114" s="3">
        <f>IF(ISNUMBER(AVERAGE('20250815_ETF_Options_Exhibits'!L2110:L2114)),AVERAGE('20250815_ETF_Options_Exhibits'!L2110:L2114),"")</f>
        <v/>
      </c>
      <c r="M2114" s="3">
        <f>IF(ISNUMBER(AVERAGE('20250815_ETF_Options_Exhibits'!M2110:M2114)),AVERAGE('20250815_ETF_Options_Exhibits'!M2110:M2114),"")</f>
        <v/>
      </c>
      <c r="N2114" s="3">
        <f>IF(ISNUMBER(AVERAGE('20250815_ETF_Options_Exhibits'!N2110:N2114)),AVERAGE('20250815_ETF_Options_Exhibits'!N2110:N2114),"")</f>
        <v/>
      </c>
      <c r="O2114" s="3">
        <f>IF(ISNUMBER(AVERAGE('20250815_ETF_Options_Exhibits'!O2110:O2114)),AVERAGE('20250815_ETF_Options_Exhibits'!O2110:O2114),"")</f>
        <v/>
      </c>
      <c r="P2114" s="3">
        <f>IF(ISNUMBER(AVERAGE('20250815_ETF_Options_Exhibits'!P2110:P2114)),AVERAGE('20250815_ETF_Options_Exhibits'!P2110:P2114),"")</f>
        <v/>
      </c>
      <c r="Q2114" s="3">
        <f>IF(ISNUMBER(AVERAGE('20250815_ETF_Options_Exhibits'!Q2110:Q2114)),AVERAGE('20250815_ETF_Options_Exhibits'!Q2110:Q2114),"")</f>
        <v/>
      </c>
      <c r="R2114" s="3">
        <f>IF(ISNUMBER(AVERAGE('20250815_ETF_Options_Exhibits'!R2110:R2114)),AVERAGE('20250815_ETF_Options_Exhibits'!R2110:R2114),"")</f>
        <v/>
      </c>
      <c r="S2114" s="3">
        <f>IF(ISNUMBER(AVERAGE('20250815_ETF_Options_Exhibits'!S2110:S2114)),AVERAGE('20250815_ETF_Options_Exhibits'!S2110:S2114),"")</f>
        <v/>
      </c>
      <c r="T2114" s="3">
        <f>IF(ISNUMBER(AVERAGE('20250815_ETF_Options_Exhibits'!T2110:T2114)),AVERAGE('20250815_ETF_Options_Exhibits'!T2110:T2114),"")</f>
        <v/>
      </c>
      <c r="U2114" s="3">
        <f>IF(ISNUMBER(AVERAGE('20250815_ETF_Options_Exhibits'!U2110:U2114)),AVERAGE('20250815_ETF_Options_Exhibits'!U2110:U2114),"")</f>
        <v/>
      </c>
      <c r="V2114" s="3">
        <f>IF(ISNUMBER(AVERAGE('20250815_ETF_Options_Exhibits'!V2110:V2114)),AVERAGE('20250815_ETF_Options_Exhibits'!V2110:V2114),"")</f>
        <v/>
      </c>
      <c r="W2114" s="3">
        <f>IF(ISNUMBER(AVERAGE('20250815_ETF_Options_Exhibits'!W2110:W2114)),AVERAGE('20250815_ETF_Options_Exhibits'!W2110:W2114),"")</f>
        <v/>
      </c>
      <c r="X2114" s="3">
        <f>IF(ISNUMBER(AVERAGE('20250815_ETF_Options_Exhibits'!X2110:X2114)),AVERAGE('20250815_ETF_Options_Exhibits'!X2110:X2114),"")</f>
        <v/>
      </c>
      <c r="Y2114" s="3">
        <f>IF(ISNUMBER(AVERAGE('20250815_ETF_Options_Exhibits'!Y2110:Y2114)),AVERAGE('20250815_ETF_Options_Exhibits'!Y2110:Y2114),"")</f>
        <v/>
      </c>
      <c r="Z2114" s="3">
        <f>IF(ISNUMBER(AVERAGE('20250815_ETF_Options_Exhibits'!Z2110:Z2114)),AVERAGE('20250815_ETF_Options_Exhibits'!Z2110:Z2114),"")</f>
        <v/>
      </c>
      <c r="AA2114" s="3">
        <f>IF(ISNUMBER(AVERAGE('20250815_ETF_Options_Exhibits'!AA2110:AA2114)),AVERAGE('20250815_ETF_Options_Exhibits'!AA2110:AA2114),"")</f>
        <v/>
      </c>
    </row>
    <row r="2115">
      <c r="A2115" s="1" t="n">
        <v>45070</v>
      </c>
      <c r="B2115" s="3">
        <f>IF(ISNUMBER(AVERAGE('20250815_ETF_Options_Exhibits'!B2111:B2115)),AVERAGE('20250815_ETF_Options_Exhibits'!B2111:B2115),"")</f>
        <v/>
      </c>
      <c r="C2115" s="3">
        <f>IF(ISNUMBER(AVERAGE('20250815_ETF_Options_Exhibits'!C2111:C2115)),AVERAGE('20250815_ETF_Options_Exhibits'!C2111:C2115),"")</f>
        <v/>
      </c>
      <c r="D2115" s="3">
        <f>IF(ISNUMBER(AVERAGE('20250815_ETF_Options_Exhibits'!D2111:D2115)),AVERAGE('20250815_ETF_Options_Exhibits'!D2111:D2115),"")</f>
        <v/>
      </c>
      <c r="E2115" s="3">
        <f>IF(ISNUMBER(AVERAGE('20250815_ETF_Options_Exhibits'!E2111:E2115)),AVERAGE('20250815_ETF_Options_Exhibits'!E2111:E2115),"")</f>
        <v/>
      </c>
      <c r="F2115" s="3">
        <f>IF(ISNUMBER(AVERAGE('20250815_ETF_Options_Exhibits'!F2111:F2115)),AVERAGE('20250815_ETF_Options_Exhibits'!F2111:F2115),"")</f>
        <v/>
      </c>
      <c r="G2115" s="3">
        <f>IF(ISNUMBER(AVERAGE('20250815_ETF_Options_Exhibits'!G2111:G2115)),AVERAGE('20250815_ETF_Options_Exhibits'!G2111:G2115),"")</f>
        <v/>
      </c>
      <c r="H2115" s="3">
        <f>IF(ISNUMBER(AVERAGE('20250815_ETF_Options_Exhibits'!H2111:H2115)),AVERAGE('20250815_ETF_Options_Exhibits'!H2111:H2115),"")</f>
        <v/>
      </c>
      <c r="I2115" s="3">
        <f>IF(ISNUMBER(AVERAGE('20250815_ETF_Options_Exhibits'!I2111:I2115)),AVERAGE('20250815_ETF_Options_Exhibits'!I2111:I2115),"")</f>
        <v/>
      </c>
      <c r="J2115" s="3">
        <f>IF(ISNUMBER(AVERAGE('20250815_ETF_Options_Exhibits'!J2111:J2115)),AVERAGE('20250815_ETF_Options_Exhibits'!J2111:J2115),"")</f>
        <v/>
      </c>
      <c r="K2115" s="3">
        <f>IF(ISNUMBER(AVERAGE('20250815_ETF_Options_Exhibits'!K2111:K2115)),AVERAGE('20250815_ETF_Options_Exhibits'!K2111:K2115),"")</f>
        <v/>
      </c>
      <c r="L2115" s="3">
        <f>IF(ISNUMBER(AVERAGE('20250815_ETF_Options_Exhibits'!L2111:L2115)),AVERAGE('20250815_ETF_Options_Exhibits'!L2111:L2115),"")</f>
        <v/>
      </c>
      <c r="M2115" s="3">
        <f>IF(ISNUMBER(AVERAGE('20250815_ETF_Options_Exhibits'!M2111:M2115)),AVERAGE('20250815_ETF_Options_Exhibits'!M2111:M2115),"")</f>
        <v/>
      </c>
      <c r="N2115" s="3">
        <f>IF(ISNUMBER(AVERAGE('20250815_ETF_Options_Exhibits'!N2111:N2115)),AVERAGE('20250815_ETF_Options_Exhibits'!N2111:N2115),"")</f>
        <v/>
      </c>
      <c r="O2115" s="3">
        <f>IF(ISNUMBER(AVERAGE('20250815_ETF_Options_Exhibits'!O2111:O2115)),AVERAGE('20250815_ETF_Options_Exhibits'!O2111:O2115),"")</f>
        <v/>
      </c>
      <c r="P2115" s="3">
        <f>IF(ISNUMBER(AVERAGE('20250815_ETF_Options_Exhibits'!P2111:P2115)),AVERAGE('20250815_ETF_Options_Exhibits'!P2111:P2115),"")</f>
        <v/>
      </c>
      <c r="Q2115" s="3">
        <f>IF(ISNUMBER(AVERAGE('20250815_ETF_Options_Exhibits'!Q2111:Q2115)),AVERAGE('20250815_ETF_Options_Exhibits'!Q2111:Q2115),"")</f>
        <v/>
      </c>
      <c r="R2115" s="3">
        <f>IF(ISNUMBER(AVERAGE('20250815_ETF_Options_Exhibits'!R2111:R2115)),AVERAGE('20250815_ETF_Options_Exhibits'!R2111:R2115),"")</f>
        <v/>
      </c>
      <c r="S2115" s="3">
        <f>IF(ISNUMBER(AVERAGE('20250815_ETF_Options_Exhibits'!S2111:S2115)),AVERAGE('20250815_ETF_Options_Exhibits'!S2111:S2115),"")</f>
        <v/>
      </c>
      <c r="T2115" s="3">
        <f>IF(ISNUMBER(AVERAGE('20250815_ETF_Options_Exhibits'!T2111:T2115)),AVERAGE('20250815_ETF_Options_Exhibits'!T2111:T2115),"")</f>
        <v/>
      </c>
      <c r="U2115" s="3">
        <f>IF(ISNUMBER(AVERAGE('20250815_ETF_Options_Exhibits'!U2111:U2115)),AVERAGE('20250815_ETF_Options_Exhibits'!U2111:U2115),"")</f>
        <v/>
      </c>
      <c r="V2115" s="3">
        <f>IF(ISNUMBER(AVERAGE('20250815_ETF_Options_Exhibits'!V2111:V2115)),AVERAGE('20250815_ETF_Options_Exhibits'!V2111:V2115),"")</f>
        <v/>
      </c>
      <c r="W2115" s="3">
        <f>IF(ISNUMBER(AVERAGE('20250815_ETF_Options_Exhibits'!W2111:W2115)),AVERAGE('20250815_ETF_Options_Exhibits'!W2111:W2115),"")</f>
        <v/>
      </c>
      <c r="X2115" s="3">
        <f>IF(ISNUMBER(AVERAGE('20250815_ETF_Options_Exhibits'!X2111:X2115)),AVERAGE('20250815_ETF_Options_Exhibits'!X2111:X2115),"")</f>
        <v/>
      </c>
      <c r="Y2115" s="3">
        <f>IF(ISNUMBER(AVERAGE('20250815_ETF_Options_Exhibits'!Y2111:Y2115)),AVERAGE('20250815_ETF_Options_Exhibits'!Y2111:Y2115),"")</f>
        <v/>
      </c>
      <c r="Z2115" s="3">
        <f>IF(ISNUMBER(AVERAGE('20250815_ETF_Options_Exhibits'!Z2111:Z2115)),AVERAGE('20250815_ETF_Options_Exhibits'!Z2111:Z2115),"")</f>
        <v/>
      </c>
      <c r="AA2115" s="3">
        <f>IF(ISNUMBER(AVERAGE('20250815_ETF_Options_Exhibits'!AA2111:AA2115)),AVERAGE('20250815_ETF_Options_Exhibits'!AA2111:AA2115),"")</f>
        <v/>
      </c>
    </row>
    <row r="2116">
      <c r="A2116" s="1" t="n">
        <v>45071</v>
      </c>
      <c r="B2116" s="3">
        <f>IF(ISNUMBER(AVERAGE('20250815_ETF_Options_Exhibits'!B2112:B2116)),AVERAGE('20250815_ETF_Options_Exhibits'!B2112:B2116),"")</f>
        <v/>
      </c>
      <c r="C2116" s="3">
        <f>IF(ISNUMBER(AVERAGE('20250815_ETF_Options_Exhibits'!C2112:C2116)),AVERAGE('20250815_ETF_Options_Exhibits'!C2112:C2116),"")</f>
        <v/>
      </c>
      <c r="D2116" s="3">
        <f>IF(ISNUMBER(AVERAGE('20250815_ETF_Options_Exhibits'!D2112:D2116)),AVERAGE('20250815_ETF_Options_Exhibits'!D2112:D2116),"")</f>
        <v/>
      </c>
      <c r="E2116" s="3">
        <f>IF(ISNUMBER(AVERAGE('20250815_ETF_Options_Exhibits'!E2112:E2116)),AVERAGE('20250815_ETF_Options_Exhibits'!E2112:E2116),"")</f>
        <v/>
      </c>
      <c r="F2116" s="3">
        <f>IF(ISNUMBER(AVERAGE('20250815_ETF_Options_Exhibits'!F2112:F2116)),AVERAGE('20250815_ETF_Options_Exhibits'!F2112:F2116),"")</f>
        <v/>
      </c>
      <c r="G2116" s="3">
        <f>IF(ISNUMBER(AVERAGE('20250815_ETF_Options_Exhibits'!G2112:G2116)),AVERAGE('20250815_ETF_Options_Exhibits'!G2112:G2116),"")</f>
        <v/>
      </c>
      <c r="H2116" s="3">
        <f>IF(ISNUMBER(AVERAGE('20250815_ETF_Options_Exhibits'!H2112:H2116)),AVERAGE('20250815_ETF_Options_Exhibits'!H2112:H2116),"")</f>
        <v/>
      </c>
      <c r="I2116" s="3">
        <f>IF(ISNUMBER(AVERAGE('20250815_ETF_Options_Exhibits'!I2112:I2116)),AVERAGE('20250815_ETF_Options_Exhibits'!I2112:I2116),"")</f>
        <v/>
      </c>
      <c r="J2116" s="3">
        <f>IF(ISNUMBER(AVERAGE('20250815_ETF_Options_Exhibits'!J2112:J2116)),AVERAGE('20250815_ETF_Options_Exhibits'!J2112:J2116),"")</f>
        <v/>
      </c>
      <c r="K2116" s="3">
        <f>IF(ISNUMBER(AVERAGE('20250815_ETF_Options_Exhibits'!K2112:K2116)),AVERAGE('20250815_ETF_Options_Exhibits'!K2112:K2116),"")</f>
        <v/>
      </c>
      <c r="L2116" s="3">
        <f>IF(ISNUMBER(AVERAGE('20250815_ETF_Options_Exhibits'!L2112:L2116)),AVERAGE('20250815_ETF_Options_Exhibits'!L2112:L2116),"")</f>
        <v/>
      </c>
      <c r="M2116" s="3">
        <f>IF(ISNUMBER(AVERAGE('20250815_ETF_Options_Exhibits'!M2112:M2116)),AVERAGE('20250815_ETF_Options_Exhibits'!M2112:M2116),"")</f>
        <v/>
      </c>
      <c r="N2116" s="3">
        <f>IF(ISNUMBER(AVERAGE('20250815_ETF_Options_Exhibits'!N2112:N2116)),AVERAGE('20250815_ETF_Options_Exhibits'!N2112:N2116),"")</f>
        <v/>
      </c>
      <c r="O2116" s="3">
        <f>IF(ISNUMBER(AVERAGE('20250815_ETF_Options_Exhibits'!O2112:O2116)),AVERAGE('20250815_ETF_Options_Exhibits'!O2112:O2116),"")</f>
        <v/>
      </c>
      <c r="P2116" s="3">
        <f>IF(ISNUMBER(AVERAGE('20250815_ETF_Options_Exhibits'!P2112:P2116)),AVERAGE('20250815_ETF_Options_Exhibits'!P2112:P2116),"")</f>
        <v/>
      </c>
      <c r="Q2116" s="3">
        <f>IF(ISNUMBER(AVERAGE('20250815_ETF_Options_Exhibits'!Q2112:Q2116)),AVERAGE('20250815_ETF_Options_Exhibits'!Q2112:Q2116),"")</f>
        <v/>
      </c>
      <c r="R2116" s="3">
        <f>IF(ISNUMBER(AVERAGE('20250815_ETF_Options_Exhibits'!R2112:R2116)),AVERAGE('20250815_ETF_Options_Exhibits'!R2112:R2116),"")</f>
        <v/>
      </c>
      <c r="S2116" s="3">
        <f>IF(ISNUMBER(AVERAGE('20250815_ETF_Options_Exhibits'!S2112:S2116)),AVERAGE('20250815_ETF_Options_Exhibits'!S2112:S2116),"")</f>
        <v/>
      </c>
      <c r="T2116" s="3">
        <f>IF(ISNUMBER(AVERAGE('20250815_ETF_Options_Exhibits'!T2112:T2116)),AVERAGE('20250815_ETF_Options_Exhibits'!T2112:T2116),"")</f>
        <v/>
      </c>
      <c r="U2116" s="3">
        <f>IF(ISNUMBER(AVERAGE('20250815_ETF_Options_Exhibits'!U2112:U2116)),AVERAGE('20250815_ETF_Options_Exhibits'!U2112:U2116),"")</f>
        <v/>
      </c>
      <c r="V2116" s="3">
        <f>IF(ISNUMBER(AVERAGE('20250815_ETF_Options_Exhibits'!V2112:V2116)),AVERAGE('20250815_ETF_Options_Exhibits'!V2112:V2116),"")</f>
        <v/>
      </c>
      <c r="W2116" s="3">
        <f>IF(ISNUMBER(AVERAGE('20250815_ETF_Options_Exhibits'!W2112:W2116)),AVERAGE('20250815_ETF_Options_Exhibits'!W2112:W2116),"")</f>
        <v/>
      </c>
      <c r="X2116" s="3">
        <f>IF(ISNUMBER(AVERAGE('20250815_ETF_Options_Exhibits'!X2112:X2116)),AVERAGE('20250815_ETF_Options_Exhibits'!X2112:X2116),"")</f>
        <v/>
      </c>
      <c r="Y2116" s="3">
        <f>IF(ISNUMBER(AVERAGE('20250815_ETF_Options_Exhibits'!Y2112:Y2116)),AVERAGE('20250815_ETF_Options_Exhibits'!Y2112:Y2116),"")</f>
        <v/>
      </c>
      <c r="Z2116" s="3">
        <f>IF(ISNUMBER(AVERAGE('20250815_ETF_Options_Exhibits'!Z2112:Z2116)),AVERAGE('20250815_ETF_Options_Exhibits'!Z2112:Z2116),"")</f>
        <v/>
      </c>
      <c r="AA2116" s="3">
        <f>IF(ISNUMBER(AVERAGE('20250815_ETF_Options_Exhibits'!AA2112:AA2116)),AVERAGE('20250815_ETF_Options_Exhibits'!AA2112:AA2116),"")</f>
        <v/>
      </c>
    </row>
    <row r="2117">
      <c r="A2117" s="1" t="n">
        <v>45072</v>
      </c>
      <c r="B2117" s="3">
        <f>IF(ISNUMBER(AVERAGE('20250815_ETF_Options_Exhibits'!B2113:B2117)),AVERAGE('20250815_ETF_Options_Exhibits'!B2113:B2117),"")</f>
        <v/>
      </c>
      <c r="C2117" s="3">
        <f>IF(ISNUMBER(AVERAGE('20250815_ETF_Options_Exhibits'!C2113:C2117)),AVERAGE('20250815_ETF_Options_Exhibits'!C2113:C2117),"")</f>
        <v/>
      </c>
      <c r="D2117" s="3">
        <f>IF(ISNUMBER(AVERAGE('20250815_ETF_Options_Exhibits'!D2113:D2117)),AVERAGE('20250815_ETF_Options_Exhibits'!D2113:D2117),"")</f>
        <v/>
      </c>
      <c r="E2117" s="3">
        <f>IF(ISNUMBER(AVERAGE('20250815_ETF_Options_Exhibits'!E2113:E2117)),AVERAGE('20250815_ETF_Options_Exhibits'!E2113:E2117),"")</f>
        <v/>
      </c>
      <c r="F2117" s="3">
        <f>IF(ISNUMBER(AVERAGE('20250815_ETF_Options_Exhibits'!F2113:F2117)),AVERAGE('20250815_ETF_Options_Exhibits'!F2113:F2117),"")</f>
        <v/>
      </c>
      <c r="G2117" s="3">
        <f>IF(ISNUMBER(AVERAGE('20250815_ETF_Options_Exhibits'!G2113:G2117)),AVERAGE('20250815_ETF_Options_Exhibits'!G2113:G2117),"")</f>
        <v/>
      </c>
      <c r="H2117" s="3">
        <f>IF(ISNUMBER(AVERAGE('20250815_ETF_Options_Exhibits'!H2113:H2117)),AVERAGE('20250815_ETF_Options_Exhibits'!H2113:H2117),"")</f>
        <v/>
      </c>
      <c r="I2117" s="3">
        <f>IF(ISNUMBER(AVERAGE('20250815_ETF_Options_Exhibits'!I2113:I2117)),AVERAGE('20250815_ETF_Options_Exhibits'!I2113:I2117),"")</f>
        <v/>
      </c>
      <c r="J2117" s="3">
        <f>IF(ISNUMBER(AVERAGE('20250815_ETF_Options_Exhibits'!J2113:J2117)),AVERAGE('20250815_ETF_Options_Exhibits'!J2113:J2117),"")</f>
        <v/>
      </c>
      <c r="K2117" s="3">
        <f>IF(ISNUMBER(AVERAGE('20250815_ETF_Options_Exhibits'!K2113:K2117)),AVERAGE('20250815_ETF_Options_Exhibits'!K2113:K2117),"")</f>
        <v/>
      </c>
      <c r="L2117" s="3">
        <f>IF(ISNUMBER(AVERAGE('20250815_ETF_Options_Exhibits'!L2113:L2117)),AVERAGE('20250815_ETF_Options_Exhibits'!L2113:L2117),"")</f>
        <v/>
      </c>
      <c r="M2117" s="3">
        <f>IF(ISNUMBER(AVERAGE('20250815_ETF_Options_Exhibits'!M2113:M2117)),AVERAGE('20250815_ETF_Options_Exhibits'!M2113:M2117),"")</f>
        <v/>
      </c>
      <c r="N2117" s="3">
        <f>IF(ISNUMBER(AVERAGE('20250815_ETF_Options_Exhibits'!N2113:N2117)),AVERAGE('20250815_ETF_Options_Exhibits'!N2113:N2117),"")</f>
        <v/>
      </c>
      <c r="O2117" s="3">
        <f>IF(ISNUMBER(AVERAGE('20250815_ETF_Options_Exhibits'!O2113:O2117)),AVERAGE('20250815_ETF_Options_Exhibits'!O2113:O2117),"")</f>
        <v/>
      </c>
      <c r="P2117" s="3">
        <f>IF(ISNUMBER(AVERAGE('20250815_ETF_Options_Exhibits'!P2113:P2117)),AVERAGE('20250815_ETF_Options_Exhibits'!P2113:P2117),"")</f>
        <v/>
      </c>
      <c r="Q2117" s="3">
        <f>IF(ISNUMBER(AVERAGE('20250815_ETF_Options_Exhibits'!Q2113:Q2117)),AVERAGE('20250815_ETF_Options_Exhibits'!Q2113:Q2117),"")</f>
        <v/>
      </c>
      <c r="R2117" s="3">
        <f>IF(ISNUMBER(AVERAGE('20250815_ETF_Options_Exhibits'!R2113:R2117)),AVERAGE('20250815_ETF_Options_Exhibits'!R2113:R2117),"")</f>
        <v/>
      </c>
      <c r="S2117" s="3">
        <f>IF(ISNUMBER(AVERAGE('20250815_ETF_Options_Exhibits'!S2113:S2117)),AVERAGE('20250815_ETF_Options_Exhibits'!S2113:S2117),"")</f>
        <v/>
      </c>
      <c r="T2117" s="3">
        <f>IF(ISNUMBER(AVERAGE('20250815_ETF_Options_Exhibits'!T2113:T2117)),AVERAGE('20250815_ETF_Options_Exhibits'!T2113:T2117),"")</f>
        <v/>
      </c>
      <c r="U2117" s="3">
        <f>IF(ISNUMBER(AVERAGE('20250815_ETF_Options_Exhibits'!U2113:U2117)),AVERAGE('20250815_ETF_Options_Exhibits'!U2113:U2117),"")</f>
        <v/>
      </c>
      <c r="V2117" s="3">
        <f>IF(ISNUMBER(AVERAGE('20250815_ETF_Options_Exhibits'!V2113:V2117)),AVERAGE('20250815_ETF_Options_Exhibits'!V2113:V2117),"")</f>
        <v/>
      </c>
      <c r="W2117" s="3">
        <f>IF(ISNUMBER(AVERAGE('20250815_ETF_Options_Exhibits'!W2113:W2117)),AVERAGE('20250815_ETF_Options_Exhibits'!W2113:W2117),"")</f>
        <v/>
      </c>
      <c r="X2117" s="3">
        <f>IF(ISNUMBER(AVERAGE('20250815_ETF_Options_Exhibits'!X2113:X2117)),AVERAGE('20250815_ETF_Options_Exhibits'!X2113:X2117),"")</f>
        <v/>
      </c>
      <c r="Y2117" s="3">
        <f>IF(ISNUMBER(AVERAGE('20250815_ETF_Options_Exhibits'!Y2113:Y2117)),AVERAGE('20250815_ETF_Options_Exhibits'!Y2113:Y2117),"")</f>
        <v/>
      </c>
      <c r="Z2117" s="3">
        <f>IF(ISNUMBER(AVERAGE('20250815_ETF_Options_Exhibits'!Z2113:Z2117)),AVERAGE('20250815_ETF_Options_Exhibits'!Z2113:Z2117),"")</f>
        <v/>
      </c>
      <c r="AA2117" s="3">
        <f>IF(ISNUMBER(AVERAGE('20250815_ETF_Options_Exhibits'!AA2113:AA2117)),AVERAGE('20250815_ETF_Options_Exhibits'!AA2113:AA2117),"")</f>
        <v/>
      </c>
    </row>
    <row r="2118">
      <c r="A2118" s="1" t="n">
        <v>45076</v>
      </c>
      <c r="B2118" s="3">
        <f>IF(ISNUMBER(AVERAGE('20250815_ETF_Options_Exhibits'!B2114:B2118)),AVERAGE('20250815_ETF_Options_Exhibits'!B2114:B2118),"")</f>
        <v/>
      </c>
      <c r="C2118" s="3">
        <f>IF(ISNUMBER(AVERAGE('20250815_ETF_Options_Exhibits'!C2114:C2118)),AVERAGE('20250815_ETF_Options_Exhibits'!C2114:C2118),"")</f>
        <v/>
      </c>
      <c r="D2118" s="3">
        <f>IF(ISNUMBER(AVERAGE('20250815_ETF_Options_Exhibits'!D2114:D2118)),AVERAGE('20250815_ETF_Options_Exhibits'!D2114:D2118),"")</f>
        <v/>
      </c>
      <c r="E2118" s="3">
        <f>IF(ISNUMBER(AVERAGE('20250815_ETF_Options_Exhibits'!E2114:E2118)),AVERAGE('20250815_ETF_Options_Exhibits'!E2114:E2118),"")</f>
        <v/>
      </c>
      <c r="F2118" s="3">
        <f>IF(ISNUMBER(AVERAGE('20250815_ETF_Options_Exhibits'!F2114:F2118)),AVERAGE('20250815_ETF_Options_Exhibits'!F2114:F2118),"")</f>
        <v/>
      </c>
      <c r="G2118" s="3">
        <f>IF(ISNUMBER(AVERAGE('20250815_ETF_Options_Exhibits'!G2114:G2118)),AVERAGE('20250815_ETF_Options_Exhibits'!G2114:G2118),"")</f>
        <v/>
      </c>
      <c r="H2118" s="3">
        <f>IF(ISNUMBER(AVERAGE('20250815_ETF_Options_Exhibits'!H2114:H2118)),AVERAGE('20250815_ETF_Options_Exhibits'!H2114:H2118),"")</f>
        <v/>
      </c>
      <c r="I2118" s="3">
        <f>IF(ISNUMBER(AVERAGE('20250815_ETF_Options_Exhibits'!I2114:I2118)),AVERAGE('20250815_ETF_Options_Exhibits'!I2114:I2118),"")</f>
        <v/>
      </c>
      <c r="J2118" s="3">
        <f>IF(ISNUMBER(AVERAGE('20250815_ETF_Options_Exhibits'!J2114:J2118)),AVERAGE('20250815_ETF_Options_Exhibits'!J2114:J2118),"")</f>
        <v/>
      </c>
      <c r="K2118" s="3">
        <f>IF(ISNUMBER(AVERAGE('20250815_ETF_Options_Exhibits'!K2114:K2118)),AVERAGE('20250815_ETF_Options_Exhibits'!K2114:K2118),"")</f>
        <v/>
      </c>
      <c r="L2118" s="3">
        <f>IF(ISNUMBER(AVERAGE('20250815_ETF_Options_Exhibits'!L2114:L2118)),AVERAGE('20250815_ETF_Options_Exhibits'!L2114:L2118),"")</f>
        <v/>
      </c>
      <c r="M2118" s="3">
        <f>IF(ISNUMBER(AVERAGE('20250815_ETF_Options_Exhibits'!M2114:M2118)),AVERAGE('20250815_ETF_Options_Exhibits'!M2114:M2118),"")</f>
        <v/>
      </c>
      <c r="N2118" s="3">
        <f>IF(ISNUMBER(AVERAGE('20250815_ETF_Options_Exhibits'!N2114:N2118)),AVERAGE('20250815_ETF_Options_Exhibits'!N2114:N2118),"")</f>
        <v/>
      </c>
      <c r="O2118" s="3">
        <f>IF(ISNUMBER(AVERAGE('20250815_ETF_Options_Exhibits'!O2114:O2118)),AVERAGE('20250815_ETF_Options_Exhibits'!O2114:O2118),"")</f>
        <v/>
      </c>
      <c r="P2118" s="3">
        <f>IF(ISNUMBER(AVERAGE('20250815_ETF_Options_Exhibits'!P2114:P2118)),AVERAGE('20250815_ETF_Options_Exhibits'!P2114:P2118),"")</f>
        <v/>
      </c>
      <c r="Q2118" s="3">
        <f>IF(ISNUMBER(AVERAGE('20250815_ETF_Options_Exhibits'!Q2114:Q2118)),AVERAGE('20250815_ETF_Options_Exhibits'!Q2114:Q2118),"")</f>
        <v/>
      </c>
      <c r="R2118" s="3">
        <f>IF(ISNUMBER(AVERAGE('20250815_ETF_Options_Exhibits'!R2114:R2118)),AVERAGE('20250815_ETF_Options_Exhibits'!R2114:R2118),"")</f>
        <v/>
      </c>
      <c r="S2118" s="3">
        <f>IF(ISNUMBER(AVERAGE('20250815_ETF_Options_Exhibits'!S2114:S2118)),AVERAGE('20250815_ETF_Options_Exhibits'!S2114:S2118),"")</f>
        <v/>
      </c>
      <c r="T2118" s="3">
        <f>IF(ISNUMBER(AVERAGE('20250815_ETF_Options_Exhibits'!T2114:T2118)),AVERAGE('20250815_ETF_Options_Exhibits'!T2114:T2118),"")</f>
        <v/>
      </c>
      <c r="U2118" s="3">
        <f>IF(ISNUMBER(AVERAGE('20250815_ETF_Options_Exhibits'!U2114:U2118)),AVERAGE('20250815_ETF_Options_Exhibits'!U2114:U2118),"")</f>
        <v/>
      </c>
      <c r="V2118" s="3">
        <f>IF(ISNUMBER(AVERAGE('20250815_ETF_Options_Exhibits'!V2114:V2118)),AVERAGE('20250815_ETF_Options_Exhibits'!V2114:V2118),"")</f>
        <v/>
      </c>
      <c r="W2118" s="3">
        <f>IF(ISNUMBER(AVERAGE('20250815_ETF_Options_Exhibits'!W2114:W2118)),AVERAGE('20250815_ETF_Options_Exhibits'!W2114:W2118),"")</f>
        <v/>
      </c>
      <c r="X2118" s="3">
        <f>IF(ISNUMBER(AVERAGE('20250815_ETF_Options_Exhibits'!X2114:X2118)),AVERAGE('20250815_ETF_Options_Exhibits'!X2114:X2118),"")</f>
        <v/>
      </c>
      <c r="Y2118" s="3">
        <f>IF(ISNUMBER(AVERAGE('20250815_ETF_Options_Exhibits'!Y2114:Y2118)),AVERAGE('20250815_ETF_Options_Exhibits'!Y2114:Y2118),"")</f>
        <v/>
      </c>
      <c r="Z2118" s="3">
        <f>IF(ISNUMBER(AVERAGE('20250815_ETF_Options_Exhibits'!Z2114:Z2118)),AVERAGE('20250815_ETF_Options_Exhibits'!Z2114:Z2118),"")</f>
        <v/>
      </c>
      <c r="AA2118" s="3">
        <f>IF(ISNUMBER(AVERAGE('20250815_ETF_Options_Exhibits'!AA2114:AA2118)),AVERAGE('20250815_ETF_Options_Exhibits'!AA2114:AA2118),"")</f>
        <v/>
      </c>
    </row>
    <row r="2119">
      <c r="A2119" s="1" t="n">
        <v>45077</v>
      </c>
      <c r="B2119" s="3">
        <f>IF(ISNUMBER(AVERAGE('20250815_ETF_Options_Exhibits'!B2115:B2119)),AVERAGE('20250815_ETF_Options_Exhibits'!B2115:B2119),"")</f>
        <v/>
      </c>
      <c r="C2119" s="3">
        <f>IF(ISNUMBER(AVERAGE('20250815_ETF_Options_Exhibits'!C2115:C2119)),AVERAGE('20250815_ETF_Options_Exhibits'!C2115:C2119),"")</f>
        <v/>
      </c>
      <c r="D2119" s="3">
        <f>IF(ISNUMBER(AVERAGE('20250815_ETF_Options_Exhibits'!D2115:D2119)),AVERAGE('20250815_ETF_Options_Exhibits'!D2115:D2119),"")</f>
        <v/>
      </c>
      <c r="E2119" s="3">
        <f>IF(ISNUMBER(AVERAGE('20250815_ETF_Options_Exhibits'!E2115:E2119)),AVERAGE('20250815_ETF_Options_Exhibits'!E2115:E2119),"")</f>
        <v/>
      </c>
      <c r="F2119" s="3">
        <f>IF(ISNUMBER(AVERAGE('20250815_ETF_Options_Exhibits'!F2115:F2119)),AVERAGE('20250815_ETF_Options_Exhibits'!F2115:F2119),"")</f>
        <v/>
      </c>
      <c r="G2119" s="3">
        <f>IF(ISNUMBER(AVERAGE('20250815_ETF_Options_Exhibits'!G2115:G2119)),AVERAGE('20250815_ETF_Options_Exhibits'!G2115:G2119),"")</f>
        <v/>
      </c>
      <c r="H2119" s="3">
        <f>IF(ISNUMBER(AVERAGE('20250815_ETF_Options_Exhibits'!H2115:H2119)),AVERAGE('20250815_ETF_Options_Exhibits'!H2115:H2119),"")</f>
        <v/>
      </c>
      <c r="I2119" s="3">
        <f>IF(ISNUMBER(AVERAGE('20250815_ETF_Options_Exhibits'!I2115:I2119)),AVERAGE('20250815_ETF_Options_Exhibits'!I2115:I2119),"")</f>
        <v/>
      </c>
      <c r="J2119" s="3">
        <f>IF(ISNUMBER(AVERAGE('20250815_ETF_Options_Exhibits'!J2115:J2119)),AVERAGE('20250815_ETF_Options_Exhibits'!J2115:J2119),"")</f>
        <v/>
      </c>
      <c r="K2119" s="3">
        <f>IF(ISNUMBER(AVERAGE('20250815_ETF_Options_Exhibits'!K2115:K2119)),AVERAGE('20250815_ETF_Options_Exhibits'!K2115:K2119),"")</f>
        <v/>
      </c>
      <c r="L2119" s="3">
        <f>IF(ISNUMBER(AVERAGE('20250815_ETF_Options_Exhibits'!L2115:L2119)),AVERAGE('20250815_ETF_Options_Exhibits'!L2115:L2119),"")</f>
        <v/>
      </c>
      <c r="M2119" s="3">
        <f>IF(ISNUMBER(AVERAGE('20250815_ETF_Options_Exhibits'!M2115:M2119)),AVERAGE('20250815_ETF_Options_Exhibits'!M2115:M2119),"")</f>
        <v/>
      </c>
      <c r="N2119" s="3">
        <f>IF(ISNUMBER(AVERAGE('20250815_ETF_Options_Exhibits'!N2115:N2119)),AVERAGE('20250815_ETF_Options_Exhibits'!N2115:N2119),"")</f>
        <v/>
      </c>
      <c r="O2119" s="3">
        <f>IF(ISNUMBER(AVERAGE('20250815_ETF_Options_Exhibits'!O2115:O2119)),AVERAGE('20250815_ETF_Options_Exhibits'!O2115:O2119),"")</f>
        <v/>
      </c>
      <c r="P2119" s="3">
        <f>IF(ISNUMBER(AVERAGE('20250815_ETF_Options_Exhibits'!P2115:P2119)),AVERAGE('20250815_ETF_Options_Exhibits'!P2115:P2119),"")</f>
        <v/>
      </c>
      <c r="Q2119" s="3">
        <f>IF(ISNUMBER(AVERAGE('20250815_ETF_Options_Exhibits'!Q2115:Q2119)),AVERAGE('20250815_ETF_Options_Exhibits'!Q2115:Q2119),"")</f>
        <v/>
      </c>
      <c r="R2119" s="3">
        <f>IF(ISNUMBER(AVERAGE('20250815_ETF_Options_Exhibits'!R2115:R2119)),AVERAGE('20250815_ETF_Options_Exhibits'!R2115:R2119),"")</f>
        <v/>
      </c>
      <c r="S2119" s="3">
        <f>IF(ISNUMBER(AVERAGE('20250815_ETF_Options_Exhibits'!S2115:S2119)),AVERAGE('20250815_ETF_Options_Exhibits'!S2115:S2119),"")</f>
        <v/>
      </c>
      <c r="T2119" s="3">
        <f>IF(ISNUMBER(AVERAGE('20250815_ETF_Options_Exhibits'!T2115:T2119)),AVERAGE('20250815_ETF_Options_Exhibits'!T2115:T2119),"")</f>
        <v/>
      </c>
      <c r="U2119" s="3">
        <f>IF(ISNUMBER(AVERAGE('20250815_ETF_Options_Exhibits'!U2115:U2119)),AVERAGE('20250815_ETF_Options_Exhibits'!U2115:U2119),"")</f>
        <v/>
      </c>
      <c r="V2119" s="3">
        <f>IF(ISNUMBER(AVERAGE('20250815_ETF_Options_Exhibits'!V2115:V2119)),AVERAGE('20250815_ETF_Options_Exhibits'!V2115:V2119),"")</f>
        <v/>
      </c>
      <c r="W2119" s="3">
        <f>IF(ISNUMBER(AVERAGE('20250815_ETF_Options_Exhibits'!W2115:W2119)),AVERAGE('20250815_ETF_Options_Exhibits'!W2115:W2119),"")</f>
        <v/>
      </c>
      <c r="X2119" s="3">
        <f>IF(ISNUMBER(AVERAGE('20250815_ETF_Options_Exhibits'!X2115:X2119)),AVERAGE('20250815_ETF_Options_Exhibits'!X2115:X2119),"")</f>
        <v/>
      </c>
      <c r="Y2119" s="3">
        <f>IF(ISNUMBER(AVERAGE('20250815_ETF_Options_Exhibits'!Y2115:Y2119)),AVERAGE('20250815_ETF_Options_Exhibits'!Y2115:Y2119),"")</f>
        <v/>
      </c>
      <c r="Z2119" s="3">
        <f>IF(ISNUMBER(AVERAGE('20250815_ETF_Options_Exhibits'!Z2115:Z2119)),AVERAGE('20250815_ETF_Options_Exhibits'!Z2115:Z2119),"")</f>
        <v/>
      </c>
      <c r="AA2119" s="3">
        <f>IF(ISNUMBER(AVERAGE('20250815_ETF_Options_Exhibits'!AA2115:AA2119)),AVERAGE('20250815_ETF_Options_Exhibits'!AA2115:AA2119),"")</f>
        <v/>
      </c>
    </row>
    <row r="2120">
      <c r="A2120" s="1" t="n">
        <v>45078</v>
      </c>
      <c r="B2120" s="3">
        <f>IF(ISNUMBER(AVERAGE('20250815_ETF_Options_Exhibits'!B2116:B2120)),AVERAGE('20250815_ETF_Options_Exhibits'!B2116:B2120),"")</f>
        <v/>
      </c>
      <c r="C2120" s="3">
        <f>IF(ISNUMBER(AVERAGE('20250815_ETF_Options_Exhibits'!C2116:C2120)),AVERAGE('20250815_ETF_Options_Exhibits'!C2116:C2120),"")</f>
        <v/>
      </c>
      <c r="D2120" s="3">
        <f>IF(ISNUMBER(AVERAGE('20250815_ETF_Options_Exhibits'!D2116:D2120)),AVERAGE('20250815_ETF_Options_Exhibits'!D2116:D2120),"")</f>
        <v/>
      </c>
      <c r="E2120" s="3">
        <f>IF(ISNUMBER(AVERAGE('20250815_ETF_Options_Exhibits'!E2116:E2120)),AVERAGE('20250815_ETF_Options_Exhibits'!E2116:E2120),"")</f>
        <v/>
      </c>
      <c r="F2120" s="3">
        <f>IF(ISNUMBER(AVERAGE('20250815_ETF_Options_Exhibits'!F2116:F2120)),AVERAGE('20250815_ETF_Options_Exhibits'!F2116:F2120),"")</f>
        <v/>
      </c>
      <c r="G2120" s="3">
        <f>IF(ISNUMBER(AVERAGE('20250815_ETF_Options_Exhibits'!G2116:G2120)),AVERAGE('20250815_ETF_Options_Exhibits'!G2116:G2120),"")</f>
        <v/>
      </c>
      <c r="H2120" s="3">
        <f>IF(ISNUMBER(AVERAGE('20250815_ETF_Options_Exhibits'!H2116:H2120)),AVERAGE('20250815_ETF_Options_Exhibits'!H2116:H2120),"")</f>
        <v/>
      </c>
      <c r="I2120" s="3">
        <f>IF(ISNUMBER(AVERAGE('20250815_ETF_Options_Exhibits'!I2116:I2120)),AVERAGE('20250815_ETF_Options_Exhibits'!I2116:I2120),"")</f>
        <v/>
      </c>
      <c r="J2120" s="3">
        <f>IF(ISNUMBER(AVERAGE('20250815_ETF_Options_Exhibits'!J2116:J2120)),AVERAGE('20250815_ETF_Options_Exhibits'!J2116:J2120),"")</f>
        <v/>
      </c>
      <c r="K2120" s="3">
        <f>IF(ISNUMBER(AVERAGE('20250815_ETF_Options_Exhibits'!K2116:K2120)),AVERAGE('20250815_ETF_Options_Exhibits'!K2116:K2120),"")</f>
        <v/>
      </c>
      <c r="L2120" s="3">
        <f>IF(ISNUMBER(AVERAGE('20250815_ETF_Options_Exhibits'!L2116:L2120)),AVERAGE('20250815_ETF_Options_Exhibits'!L2116:L2120),"")</f>
        <v/>
      </c>
      <c r="M2120" s="3">
        <f>IF(ISNUMBER(AVERAGE('20250815_ETF_Options_Exhibits'!M2116:M2120)),AVERAGE('20250815_ETF_Options_Exhibits'!M2116:M2120),"")</f>
        <v/>
      </c>
      <c r="N2120" s="3">
        <f>IF(ISNUMBER(AVERAGE('20250815_ETF_Options_Exhibits'!N2116:N2120)),AVERAGE('20250815_ETF_Options_Exhibits'!N2116:N2120),"")</f>
        <v/>
      </c>
      <c r="O2120" s="3">
        <f>IF(ISNUMBER(AVERAGE('20250815_ETF_Options_Exhibits'!O2116:O2120)),AVERAGE('20250815_ETF_Options_Exhibits'!O2116:O2120),"")</f>
        <v/>
      </c>
      <c r="P2120" s="3">
        <f>IF(ISNUMBER(AVERAGE('20250815_ETF_Options_Exhibits'!P2116:P2120)),AVERAGE('20250815_ETF_Options_Exhibits'!P2116:P2120),"")</f>
        <v/>
      </c>
      <c r="Q2120" s="3">
        <f>IF(ISNUMBER(AVERAGE('20250815_ETF_Options_Exhibits'!Q2116:Q2120)),AVERAGE('20250815_ETF_Options_Exhibits'!Q2116:Q2120),"")</f>
        <v/>
      </c>
      <c r="R2120" s="3">
        <f>IF(ISNUMBER(AVERAGE('20250815_ETF_Options_Exhibits'!R2116:R2120)),AVERAGE('20250815_ETF_Options_Exhibits'!R2116:R2120),"")</f>
        <v/>
      </c>
      <c r="S2120" s="3">
        <f>IF(ISNUMBER(AVERAGE('20250815_ETF_Options_Exhibits'!S2116:S2120)),AVERAGE('20250815_ETF_Options_Exhibits'!S2116:S2120),"")</f>
        <v/>
      </c>
      <c r="T2120" s="3">
        <f>IF(ISNUMBER(AVERAGE('20250815_ETF_Options_Exhibits'!T2116:T2120)),AVERAGE('20250815_ETF_Options_Exhibits'!T2116:T2120),"")</f>
        <v/>
      </c>
      <c r="U2120" s="3">
        <f>IF(ISNUMBER(AVERAGE('20250815_ETF_Options_Exhibits'!U2116:U2120)),AVERAGE('20250815_ETF_Options_Exhibits'!U2116:U2120),"")</f>
        <v/>
      </c>
      <c r="V2120" s="3">
        <f>IF(ISNUMBER(AVERAGE('20250815_ETF_Options_Exhibits'!V2116:V2120)),AVERAGE('20250815_ETF_Options_Exhibits'!V2116:V2120),"")</f>
        <v/>
      </c>
      <c r="W2120" s="3">
        <f>IF(ISNUMBER(AVERAGE('20250815_ETF_Options_Exhibits'!W2116:W2120)),AVERAGE('20250815_ETF_Options_Exhibits'!W2116:W2120),"")</f>
        <v/>
      </c>
      <c r="X2120" s="3">
        <f>IF(ISNUMBER(AVERAGE('20250815_ETF_Options_Exhibits'!X2116:X2120)),AVERAGE('20250815_ETF_Options_Exhibits'!X2116:X2120),"")</f>
        <v/>
      </c>
      <c r="Y2120" s="3">
        <f>IF(ISNUMBER(AVERAGE('20250815_ETF_Options_Exhibits'!Y2116:Y2120)),AVERAGE('20250815_ETF_Options_Exhibits'!Y2116:Y2120),"")</f>
        <v/>
      </c>
      <c r="Z2120" s="3">
        <f>IF(ISNUMBER(AVERAGE('20250815_ETF_Options_Exhibits'!Z2116:Z2120)),AVERAGE('20250815_ETF_Options_Exhibits'!Z2116:Z2120),"")</f>
        <v/>
      </c>
      <c r="AA2120" s="3">
        <f>IF(ISNUMBER(AVERAGE('20250815_ETF_Options_Exhibits'!AA2116:AA2120)),AVERAGE('20250815_ETF_Options_Exhibits'!AA2116:AA2120),"")</f>
        <v/>
      </c>
    </row>
    <row r="2121">
      <c r="A2121" s="1" t="n">
        <v>45079</v>
      </c>
      <c r="B2121" s="3">
        <f>IF(ISNUMBER(AVERAGE('20250815_ETF_Options_Exhibits'!B2117:B2121)),AVERAGE('20250815_ETF_Options_Exhibits'!B2117:B2121),"")</f>
        <v/>
      </c>
      <c r="C2121" s="3">
        <f>IF(ISNUMBER(AVERAGE('20250815_ETF_Options_Exhibits'!C2117:C2121)),AVERAGE('20250815_ETF_Options_Exhibits'!C2117:C2121),"")</f>
        <v/>
      </c>
      <c r="D2121" s="3">
        <f>IF(ISNUMBER(AVERAGE('20250815_ETF_Options_Exhibits'!D2117:D2121)),AVERAGE('20250815_ETF_Options_Exhibits'!D2117:D2121),"")</f>
        <v/>
      </c>
      <c r="E2121" s="3">
        <f>IF(ISNUMBER(AVERAGE('20250815_ETF_Options_Exhibits'!E2117:E2121)),AVERAGE('20250815_ETF_Options_Exhibits'!E2117:E2121),"")</f>
        <v/>
      </c>
      <c r="F2121" s="3">
        <f>IF(ISNUMBER(AVERAGE('20250815_ETF_Options_Exhibits'!F2117:F2121)),AVERAGE('20250815_ETF_Options_Exhibits'!F2117:F2121),"")</f>
        <v/>
      </c>
      <c r="G2121" s="3">
        <f>IF(ISNUMBER(AVERAGE('20250815_ETF_Options_Exhibits'!G2117:G2121)),AVERAGE('20250815_ETF_Options_Exhibits'!G2117:G2121),"")</f>
        <v/>
      </c>
      <c r="H2121" s="3">
        <f>IF(ISNUMBER(AVERAGE('20250815_ETF_Options_Exhibits'!H2117:H2121)),AVERAGE('20250815_ETF_Options_Exhibits'!H2117:H2121),"")</f>
        <v/>
      </c>
      <c r="I2121" s="3">
        <f>IF(ISNUMBER(AVERAGE('20250815_ETF_Options_Exhibits'!I2117:I2121)),AVERAGE('20250815_ETF_Options_Exhibits'!I2117:I2121),"")</f>
        <v/>
      </c>
      <c r="J2121" s="3">
        <f>IF(ISNUMBER(AVERAGE('20250815_ETF_Options_Exhibits'!J2117:J2121)),AVERAGE('20250815_ETF_Options_Exhibits'!J2117:J2121),"")</f>
        <v/>
      </c>
      <c r="K2121" s="3">
        <f>IF(ISNUMBER(AVERAGE('20250815_ETF_Options_Exhibits'!K2117:K2121)),AVERAGE('20250815_ETF_Options_Exhibits'!K2117:K2121),"")</f>
        <v/>
      </c>
      <c r="L2121" s="3">
        <f>IF(ISNUMBER(AVERAGE('20250815_ETF_Options_Exhibits'!L2117:L2121)),AVERAGE('20250815_ETF_Options_Exhibits'!L2117:L2121),"")</f>
        <v/>
      </c>
      <c r="M2121" s="3">
        <f>IF(ISNUMBER(AVERAGE('20250815_ETF_Options_Exhibits'!M2117:M2121)),AVERAGE('20250815_ETF_Options_Exhibits'!M2117:M2121),"")</f>
        <v/>
      </c>
      <c r="N2121" s="3">
        <f>IF(ISNUMBER(AVERAGE('20250815_ETF_Options_Exhibits'!N2117:N2121)),AVERAGE('20250815_ETF_Options_Exhibits'!N2117:N2121),"")</f>
        <v/>
      </c>
      <c r="O2121" s="3">
        <f>IF(ISNUMBER(AVERAGE('20250815_ETF_Options_Exhibits'!O2117:O2121)),AVERAGE('20250815_ETF_Options_Exhibits'!O2117:O2121),"")</f>
        <v/>
      </c>
      <c r="P2121" s="3">
        <f>IF(ISNUMBER(AVERAGE('20250815_ETF_Options_Exhibits'!P2117:P2121)),AVERAGE('20250815_ETF_Options_Exhibits'!P2117:P2121),"")</f>
        <v/>
      </c>
      <c r="Q2121" s="3">
        <f>IF(ISNUMBER(AVERAGE('20250815_ETF_Options_Exhibits'!Q2117:Q2121)),AVERAGE('20250815_ETF_Options_Exhibits'!Q2117:Q2121),"")</f>
        <v/>
      </c>
      <c r="R2121" s="3">
        <f>IF(ISNUMBER(AVERAGE('20250815_ETF_Options_Exhibits'!R2117:R2121)),AVERAGE('20250815_ETF_Options_Exhibits'!R2117:R2121),"")</f>
        <v/>
      </c>
      <c r="S2121" s="3">
        <f>IF(ISNUMBER(AVERAGE('20250815_ETF_Options_Exhibits'!S2117:S2121)),AVERAGE('20250815_ETF_Options_Exhibits'!S2117:S2121),"")</f>
        <v/>
      </c>
      <c r="T2121" s="3">
        <f>IF(ISNUMBER(AVERAGE('20250815_ETF_Options_Exhibits'!T2117:T2121)),AVERAGE('20250815_ETF_Options_Exhibits'!T2117:T2121),"")</f>
        <v/>
      </c>
      <c r="U2121" s="3">
        <f>IF(ISNUMBER(AVERAGE('20250815_ETF_Options_Exhibits'!U2117:U2121)),AVERAGE('20250815_ETF_Options_Exhibits'!U2117:U2121),"")</f>
        <v/>
      </c>
      <c r="V2121" s="3">
        <f>IF(ISNUMBER(AVERAGE('20250815_ETF_Options_Exhibits'!V2117:V2121)),AVERAGE('20250815_ETF_Options_Exhibits'!V2117:V2121),"")</f>
        <v/>
      </c>
      <c r="W2121" s="3">
        <f>IF(ISNUMBER(AVERAGE('20250815_ETF_Options_Exhibits'!W2117:W2121)),AVERAGE('20250815_ETF_Options_Exhibits'!W2117:W2121),"")</f>
        <v/>
      </c>
      <c r="X2121" s="3">
        <f>IF(ISNUMBER(AVERAGE('20250815_ETF_Options_Exhibits'!X2117:X2121)),AVERAGE('20250815_ETF_Options_Exhibits'!X2117:X2121),"")</f>
        <v/>
      </c>
      <c r="Y2121" s="3">
        <f>IF(ISNUMBER(AVERAGE('20250815_ETF_Options_Exhibits'!Y2117:Y2121)),AVERAGE('20250815_ETF_Options_Exhibits'!Y2117:Y2121),"")</f>
        <v/>
      </c>
      <c r="Z2121" s="3">
        <f>IF(ISNUMBER(AVERAGE('20250815_ETF_Options_Exhibits'!Z2117:Z2121)),AVERAGE('20250815_ETF_Options_Exhibits'!Z2117:Z2121),"")</f>
        <v/>
      </c>
      <c r="AA2121" s="3">
        <f>IF(ISNUMBER(AVERAGE('20250815_ETF_Options_Exhibits'!AA2117:AA2121)),AVERAGE('20250815_ETF_Options_Exhibits'!AA2117:AA2121),"")</f>
        <v/>
      </c>
    </row>
    <row r="2122">
      <c r="A2122" s="1" t="n">
        <v>45082</v>
      </c>
      <c r="B2122" s="3">
        <f>IF(ISNUMBER(AVERAGE('20250815_ETF_Options_Exhibits'!B2118:B2122)),AVERAGE('20250815_ETF_Options_Exhibits'!B2118:B2122),"")</f>
        <v/>
      </c>
      <c r="C2122" s="3">
        <f>IF(ISNUMBER(AVERAGE('20250815_ETF_Options_Exhibits'!C2118:C2122)),AVERAGE('20250815_ETF_Options_Exhibits'!C2118:C2122),"")</f>
        <v/>
      </c>
      <c r="D2122" s="3">
        <f>IF(ISNUMBER(AVERAGE('20250815_ETF_Options_Exhibits'!D2118:D2122)),AVERAGE('20250815_ETF_Options_Exhibits'!D2118:D2122),"")</f>
        <v/>
      </c>
      <c r="E2122" s="3">
        <f>IF(ISNUMBER(AVERAGE('20250815_ETF_Options_Exhibits'!E2118:E2122)),AVERAGE('20250815_ETF_Options_Exhibits'!E2118:E2122),"")</f>
        <v/>
      </c>
      <c r="F2122" s="3">
        <f>IF(ISNUMBER(AVERAGE('20250815_ETF_Options_Exhibits'!F2118:F2122)),AVERAGE('20250815_ETF_Options_Exhibits'!F2118:F2122),"")</f>
        <v/>
      </c>
      <c r="G2122" s="3">
        <f>IF(ISNUMBER(AVERAGE('20250815_ETF_Options_Exhibits'!G2118:G2122)),AVERAGE('20250815_ETF_Options_Exhibits'!G2118:G2122),"")</f>
        <v/>
      </c>
      <c r="H2122" s="3">
        <f>IF(ISNUMBER(AVERAGE('20250815_ETF_Options_Exhibits'!H2118:H2122)),AVERAGE('20250815_ETF_Options_Exhibits'!H2118:H2122),"")</f>
        <v/>
      </c>
      <c r="I2122" s="3">
        <f>IF(ISNUMBER(AVERAGE('20250815_ETF_Options_Exhibits'!I2118:I2122)),AVERAGE('20250815_ETF_Options_Exhibits'!I2118:I2122),"")</f>
        <v/>
      </c>
      <c r="J2122" s="3">
        <f>IF(ISNUMBER(AVERAGE('20250815_ETF_Options_Exhibits'!J2118:J2122)),AVERAGE('20250815_ETF_Options_Exhibits'!J2118:J2122),"")</f>
        <v/>
      </c>
      <c r="K2122" s="3">
        <f>IF(ISNUMBER(AVERAGE('20250815_ETF_Options_Exhibits'!K2118:K2122)),AVERAGE('20250815_ETF_Options_Exhibits'!K2118:K2122),"")</f>
        <v/>
      </c>
      <c r="L2122" s="3">
        <f>IF(ISNUMBER(AVERAGE('20250815_ETF_Options_Exhibits'!L2118:L2122)),AVERAGE('20250815_ETF_Options_Exhibits'!L2118:L2122),"")</f>
        <v/>
      </c>
      <c r="M2122" s="3">
        <f>IF(ISNUMBER(AVERAGE('20250815_ETF_Options_Exhibits'!M2118:M2122)),AVERAGE('20250815_ETF_Options_Exhibits'!M2118:M2122),"")</f>
        <v/>
      </c>
      <c r="N2122" s="3">
        <f>IF(ISNUMBER(AVERAGE('20250815_ETF_Options_Exhibits'!N2118:N2122)),AVERAGE('20250815_ETF_Options_Exhibits'!N2118:N2122),"")</f>
        <v/>
      </c>
      <c r="O2122" s="3">
        <f>IF(ISNUMBER(AVERAGE('20250815_ETF_Options_Exhibits'!O2118:O2122)),AVERAGE('20250815_ETF_Options_Exhibits'!O2118:O2122),"")</f>
        <v/>
      </c>
      <c r="P2122" s="3">
        <f>IF(ISNUMBER(AVERAGE('20250815_ETF_Options_Exhibits'!P2118:P2122)),AVERAGE('20250815_ETF_Options_Exhibits'!P2118:P2122),"")</f>
        <v/>
      </c>
      <c r="Q2122" s="3">
        <f>IF(ISNUMBER(AVERAGE('20250815_ETF_Options_Exhibits'!Q2118:Q2122)),AVERAGE('20250815_ETF_Options_Exhibits'!Q2118:Q2122),"")</f>
        <v/>
      </c>
      <c r="R2122" s="3">
        <f>IF(ISNUMBER(AVERAGE('20250815_ETF_Options_Exhibits'!R2118:R2122)),AVERAGE('20250815_ETF_Options_Exhibits'!R2118:R2122),"")</f>
        <v/>
      </c>
      <c r="S2122" s="3">
        <f>IF(ISNUMBER(AVERAGE('20250815_ETF_Options_Exhibits'!S2118:S2122)),AVERAGE('20250815_ETF_Options_Exhibits'!S2118:S2122),"")</f>
        <v/>
      </c>
      <c r="T2122" s="3">
        <f>IF(ISNUMBER(AVERAGE('20250815_ETF_Options_Exhibits'!T2118:T2122)),AVERAGE('20250815_ETF_Options_Exhibits'!T2118:T2122),"")</f>
        <v/>
      </c>
      <c r="U2122" s="3">
        <f>IF(ISNUMBER(AVERAGE('20250815_ETF_Options_Exhibits'!U2118:U2122)),AVERAGE('20250815_ETF_Options_Exhibits'!U2118:U2122),"")</f>
        <v/>
      </c>
      <c r="V2122" s="3">
        <f>IF(ISNUMBER(AVERAGE('20250815_ETF_Options_Exhibits'!V2118:V2122)),AVERAGE('20250815_ETF_Options_Exhibits'!V2118:V2122),"")</f>
        <v/>
      </c>
      <c r="W2122" s="3">
        <f>IF(ISNUMBER(AVERAGE('20250815_ETF_Options_Exhibits'!W2118:W2122)),AVERAGE('20250815_ETF_Options_Exhibits'!W2118:W2122),"")</f>
        <v/>
      </c>
      <c r="X2122" s="3">
        <f>IF(ISNUMBER(AVERAGE('20250815_ETF_Options_Exhibits'!X2118:X2122)),AVERAGE('20250815_ETF_Options_Exhibits'!X2118:X2122),"")</f>
        <v/>
      </c>
      <c r="Y2122" s="3">
        <f>IF(ISNUMBER(AVERAGE('20250815_ETF_Options_Exhibits'!Y2118:Y2122)),AVERAGE('20250815_ETF_Options_Exhibits'!Y2118:Y2122),"")</f>
        <v/>
      </c>
      <c r="Z2122" s="3">
        <f>IF(ISNUMBER(AVERAGE('20250815_ETF_Options_Exhibits'!Z2118:Z2122)),AVERAGE('20250815_ETF_Options_Exhibits'!Z2118:Z2122),"")</f>
        <v/>
      </c>
      <c r="AA2122" s="3">
        <f>IF(ISNUMBER(AVERAGE('20250815_ETF_Options_Exhibits'!AA2118:AA2122)),AVERAGE('20250815_ETF_Options_Exhibits'!AA2118:AA2122),"")</f>
        <v/>
      </c>
    </row>
    <row r="2123">
      <c r="A2123" s="1" t="n">
        <v>45083</v>
      </c>
      <c r="B2123" s="3">
        <f>IF(ISNUMBER(AVERAGE('20250815_ETF_Options_Exhibits'!B2119:B2123)),AVERAGE('20250815_ETF_Options_Exhibits'!B2119:B2123),"")</f>
        <v/>
      </c>
      <c r="C2123" s="3">
        <f>IF(ISNUMBER(AVERAGE('20250815_ETF_Options_Exhibits'!C2119:C2123)),AVERAGE('20250815_ETF_Options_Exhibits'!C2119:C2123),"")</f>
        <v/>
      </c>
      <c r="D2123" s="3">
        <f>IF(ISNUMBER(AVERAGE('20250815_ETF_Options_Exhibits'!D2119:D2123)),AVERAGE('20250815_ETF_Options_Exhibits'!D2119:D2123),"")</f>
        <v/>
      </c>
      <c r="E2123" s="3">
        <f>IF(ISNUMBER(AVERAGE('20250815_ETF_Options_Exhibits'!E2119:E2123)),AVERAGE('20250815_ETF_Options_Exhibits'!E2119:E2123),"")</f>
        <v/>
      </c>
      <c r="F2123" s="3">
        <f>IF(ISNUMBER(AVERAGE('20250815_ETF_Options_Exhibits'!F2119:F2123)),AVERAGE('20250815_ETF_Options_Exhibits'!F2119:F2123),"")</f>
        <v/>
      </c>
      <c r="G2123" s="3">
        <f>IF(ISNUMBER(AVERAGE('20250815_ETF_Options_Exhibits'!G2119:G2123)),AVERAGE('20250815_ETF_Options_Exhibits'!G2119:G2123),"")</f>
        <v/>
      </c>
      <c r="H2123" s="3">
        <f>IF(ISNUMBER(AVERAGE('20250815_ETF_Options_Exhibits'!H2119:H2123)),AVERAGE('20250815_ETF_Options_Exhibits'!H2119:H2123),"")</f>
        <v/>
      </c>
      <c r="I2123" s="3">
        <f>IF(ISNUMBER(AVERAGE('20250815_ETF_Options_Exhibits'!I2119:I2123)),AVERAGE('20250815_ETF_Options_Exhibits'!I2119:I2123),"")</f>
        <v/>
      </c>
      <c r="J2123" s="3">
        <f>IF(ISNUMBER(AVERAGE('20250815_ETF_Options_Exhibits'!J2119:J2123)),AVERAGE('20250815_ETF_Options_Exhibits'!J2119:J2123),"")</f>
        <v/>
      </c>
      <c r="K2123" s="3">
        <f>IF(ISNUMBER(AVERAGE('20250815_ETF_Options_Exhibits'!K2119:K2123)),AVERAGE('20250815_ETF_Options_Exhibits'!K2119:K2123),"")</f>
        <v/>
      </c>
      <c r="L2123" s="3">
        <f>IF(ISNUMBER(AVERAGE('20250815_ETF_Options_Exhibits'!L2119:L2123)),AVERAGE('20250815_ETF_Options_Exhibits'!L2119:L2123),"")</f>
        <v/>
      </c>
      <c r="M2123" s="3">
        <f>IF(ISNUMBER(AVERAGE('20250815_ETF_Options_Exhibits'!M2119:M2123)),AVERAGE('20250815_ETF_Options_Exhibits'!M2119:M2123),"")</f>
        <v/>
      </c>
      <c r="N2123" s="3">
        <f>IF(ISNUMBER(AVERAGE('20250815_ETF_Options_Exhibits'!N2119:N2123)),AVERAGE('20250815_ETF_Options_Exhibits'!N2119:N2123),"")</f>
        <v/>
      </c>
      <c r="O2123" s="3">
        <f>IF(ISNUMBER(AVERAGE('20250815_ETF_Options_Exhibits'!O2119:O2123)),AVERAGE('20250815_ETF_Options_Exhibits'!O2119:O2123),"")</f>
        <v/>
      </c>
      <c r="P2123" s="3">
        <f>IF(ISNUMBER(AVERAGE('20250815_ETF_Options_Exhibits'!P2119:P2123)),AVERAGE('20250815_ETF_Options_Exhibits'!P2119:P2123),"")</f>
        <v/>
      </c>
      <c r="Q2123" s="3">
        <f>IF(ISNUMBER(AVERAGE('20250815_ETF_Options_Exhibits'!Q2119:Q2123)),AVERAGE('20250815_ETF_Options_Exhibits'!Q2119:Q2123),"")</f>
        <v/>
      </c>
      <c r="R2123" s="3">
        <f>IF(ISNUMBER(AVERAGE('20250815_ETF_Options_Exhibits'!R2119:R2123)),AVERAGE('20250815_ETF_Options_Exhibits'!R2119:R2123),"")</f>
        <v/>
      </c>
      <c r="S2123" s="3">
        <f>IF(ISNUMBER(AVERAGE('20250815_ETF_Options_Exhibits'!S2119:S2123)),AVERAGE('20250815_ETF_Options_Exhibits'!S2119:S2123),"")</f>
        <v/>
      </c>
      <c r="T2123" s="3">
        <f>IF(ISNUMBER(AVERAGE('20250815_ETF_Options_Exhibits'!T2119:T2123)),AVERAGE('20250815_ETF_Options_Exhibits'!T2119:T2123),"")</f>
        <v/>
      </c>
      <c r="U2123" s="3">
        <f>IF(ISNUMBER(AVERAGE('20250815_ETF_Options_Exhibits'!U2119:U2123)),AVERAGE('20250815_ETF_Options_Exhibits'!U2119:U2123),"")</f>
        <v/>
      </c>
      <c r="V2123" s="3">
        <f>IF(ISNUMBER(AVERAGE('20250815_ETF_Options_Exhibits'!V2119:V2123)),AVERAGE('20250815_ETF_Options_Exhibits'!V2119:V2123),"")</f>
        <v/>
      </c>
      <c r="W2123" s="3">
        <f>IF(ISNUMBER(AVERAGE('20250815_ETF_Options_Exhibits'!W2119:W2123)),AVERAGE('20250815_ETF_Options_Exhibits'!W2119:W2123),"")</f>
        <v/>
      </c>
      <c r="X2123" s="3">
        <f>IF(ISNUMBER(AVERAGE('20250815_ETF_Options_Exhibits'!X2119:X2123)),AVERAGE('20250815_ETF_Options_Exhibits'!X2119:X2123),"")</f>
        <v/>
      </c>
      <c r="Y2123" s="3">
        <f>IF(ISNUMBER(AVERAGE('20250815_ETF_Options_Exhibits'!Y2119:Y2123)),AVERAGE('20250815_ETF_Options_Exhibits'!Y2119:Y2123),"")</f>
        <v/>
      </c>
      <c r="Z2123" s="3">
        <f>IF(ISNUMBER(AVERAGE('20250815_ETF_Options_Exhibits'!Z2119:Z2123)),AVERAGE('20250815_ETF_Options_Exhibits'!Z2119:Z2123),"")</f>
        <v/>
      </c>
      <c r="AA2123" s="3">
        <f>IF(ISNUMBER(AVERAGE('20250815_ETF_Options_Exhibits'!AA2119:AA2123)),AVERAGE('20250815_ETF_Options_Exhibits'!AA2119:AA2123),"")</f>
        <v/>
      </c>
    </row>
    <row r="2124">
      <c r="A2124" s="1" t="n">
        <v>45084</v>
      </c>
      <c r="B2124" s="3">
        <f>IF(ISNUMBER(AVERAGE('20250815_ETF_Options_Exhibits'!B2120:B2124)),AVERAGE('20250815_ETF_Options_Exhibits'!B2120:B2124),"")</f>
        <v/>
      </c>
      <c r="C2124" s="3">
        <f>IF(ISNUMBER(AVERAGE('20250815_ETF_Options_Exhibits'!C2120:C2124)),AVERAGE('20250815_ETF_Options_Exhibits'!C2120:C2124),"")</f>
        <v/>
      </c>
      <c r="D2124" s="3">
        <f>IF(ISNUMBER(AVERAGE('20250815_ETF_Options_Exhibits'!D2120:D2124)),AVERAGE('20250815_ETF_Options_Exhibits'!D2120:D2124),"")</f>
        <v/>
      </c>
      <c r="E2124" s="3">
        <f>IF(ISNUMBER(AVERAGE('20250815_ETF_Options_Exhibits'!E2120:E2124)),AVERAGE('20250815_ETF_Options_Exhibits'!E2120:E2124),"")</f>
        <v/>
      </c>
      <c r="F2124" s="3">
        <f>IF(ISNUMBER(AVERAGE('20250815_ETF_Options_Exhibits'!F2120:F2124)),AVERAGE('20250815_ETF_Options_Exhibits'!F2120:F2124),"")</f>
        <v/>
      </c>
      <c r="G2124" s="3">
        <f>IF(ISNUMBER(AVERAGE('20250815_ETF_Options_Exhibits'!G2120:G2124)),AVERAGE('20250815_ETF_Options_Exhibits'!G2120:G2124),"")</f>
        <v/>
      </c>
      <c r="H2124" s="3">
        <f>IF(ISNUMBER(AVERAGE('20250815_ETF_Options_Exhibits'!H2120:H2124)),AVERAGE('20250815_ETF_Options_Exhibits'!H2120:H2124),"")</f>
        <v/>
      </c>
      <c r="I2124" s="3">
        <f>IF(ISNUMBER(AVERAGE('20250815_ETF_Options_Exhibits'!I2120:I2124)),AVERAGE('20250815_ETF_Options_Exhibits'!I2120:I2124),"")</f>
        <v/>
      </c>
      <c r="J2124" s="3">
        <f>IF(ISNUMBER(AVERAGE('20250815_ETF_Options_Exhibits'!J2120:J2124)),AVERAGE('20250815_ETF_Options_Exhibits'!J2120:J2124),"")</f>
        <v/>
      </c>
      <c r="K2124" s="3">
        <f>IF(ISNUMBER(AVERAGE('20250815_ETF_Options_Exhibits'!K2120:K2124)),AVERAGE('20250815_ETF_Options_Exhibits'!K2120:K2124),"")</f>
        <v/>
      </c>
      <c r="L2124" s="3">
        <f>IF(ISNUMBER(AVERAGE('20250815_ETF_Options_Exhibits'!L2120:L2124)),AVERAGE('20250815_ETF_Options_Exhibits'!L2120:L2124),"")</f>
        <v/>
      </c>
      <c r="M2124" s="3">
        <f>IF(ISNUMBER(AVERAGE('20250815_ETF_Options_Exhibits'!M2120:M2124)),AVERAGE('20250815_ETF_Options_Exhibits'!M2120:M2124),"")</f>
        <v/>
      </c>
      <c r="N2124" s="3">
        <f>IF(ISNUMBER(AVERAGE('20250815_ETF_Options_Exhibits'!N2120:N2124)),AVERAGE('20250815_ETF_Options_Exhibits'!N2120:N2124),"")</f>
        <v/>
      </c>
      <c r="O2124" s="3">
        <f>IF(ISNUMBER(AVERAGE('20250815_ETF_Options_Exhibits'!O2120:O2124)),AVERAGE('20250815_ETF_Options_Exhibits'!O2120:O2124),"")</f>
        <v/>
      </c>
      <c r="P2124" s="3">
        <f>IF(ISNUMBER(AVERAGE('20250815_ETF_Options_Exhibits'!P2120:P2124)),AVERAGE('20250815_ETF_Options_Exhibits'!P2120:P2124),"")</f>
        <v/>
      </c>
      <c r="Q2124" s="3">
        <f>IF(ISNUMBER(AVERAGE('20250815_ETF_Options_Exhibits'!Q2120:Q2124)),AVERAGE('20250815_ETF_Options_Exhibits'!Q2120:Q2124),"")</f>
        <v/>
      </c>
      <c r="R2124" s="3">
        <f>IF(ISNUMBER(AVERAGE('20250815_ETF_Options_Exhibits'!R2120:R2124)),AVERAGE('20250815_ETF_Options_Exhibits'!R2120:R2124),"")</f>
        <v/>
      </c>
      <c r="S2124" s="3">
        <f>IF(ISNUMBER(AVERAGE('20250815_ETF_Options_Exhibits'!S2120:S2124)),AVERAGE('20250815_ETF_Options_Exhibits'!S2120:S2124),"")</f>
        <v/>
      </c>
      <c r="T2124" s="3">
        <f>IF(ISNUMBER(AVERAGE('20250815_ETF_Options_Exhibits'!T2120:T2124)),AVERAGE('20250815_ETF_Options_Exhibits'!T2120:T2124),"")</f>
        <v/>
      </c>
      <c r="U2124" s="3">
        <f>IF(ISNUMBER(AVERAGE('20250815_ETF_Options_Exhibits'!U2120:U2124)),AVERAGE('20250815_ETF_Options_Exhibits'!U2120:U2124),"")</f>
        <v/>
      </c>
      <c r="V2124" s="3">
        <f>IF(ISNUMBER(AVERAGE('20250815_ETF_Options_Exhibits'!V2120:V2124)),AVERAGE('20250815_ETF_Options_Exhibits'!V2120:V2124),"")</f>
        <v/>
      </c>
      <c r="W2124" s="3">
        <f>IF(ISNUMBER(AVERAGE('20250815_ETF_Options_Exhibits'!W2120:W2124)),AVERAGE('20250815_ETF_Options_Exhibits'!W2120:W2124),"")</f>
        <v/>
      </c>
      <c r="X2124" s="3">
        <f>IF(ISNUMBER(AVERAGE('20250815_ETF_Options_Exhibits'!X2120:X2124)),AVERAGE('20250815_ETF_Options_Exhibits'!X2120:X2124),"")</f>
        <v/>
      </c>
      <c r="Y2124" s="3">
        <f>IF(ISNUMBER(AVERAGE('20250815_ETF_Options_Exhibits'!Y2120:Y2124)),AVERAGE('20250815_ETF_Options_Exhibits'!Y2120:Y2124),"")</f>
        <v/>
      </c>
      <c r="Z2124" s="3">
        <f>IF(ISNUMBER(AVERAGE('20250815_ETF_Options_Exhibits'!Z2120:Z2124)),AVERAGE('20250815_ETF_Options_Exhibits'!Z2120:Z2124),"")</f>
        <v/>
      </c>
      <c r="AA2124" s="3">
        <f>IF(ISNUMBER(AVERAGE('20250815_ETF_Options_Exhibits'!AA2120:AA2124)),AVERAGE('20250815_ETF_Options_Exhibits'!AA2120:AA2124),"")</f>
        <v/>
      </c>
    </row>
    <row r="2125">
      <c r="A2125" s="1" t="n">
        <v>45085</v>
      </c>
      <c r="B2125" s="3">
        <f>IF(ISNUMBER(AVERAGE('20250815_ETF_Options_Exhibits'!B2121:B2125)),AVERAGE('20250815_ETF_Options_Exhibits'!B2121:B2125),"")</f>
        <v/>
      </c>
      <c r="C2125" s="3">
        <f>IF(ISNUMBER(AVERAGE('20250815_ETF_Options_Exhibits'!C2121:C2125)),AVERAGE('20250815_ETF_Options_Exhibits'!C2121:C2125),"")</f>
        <v/>
      </c>
      <c r="D2125" s="3">
        <f>IF(ISNUMBER(AVERAGE('20250815_ETF_Options_Exhibits'!D2121:D2125)),AVERAGE('20250815_ETF_Options_Exhibits'!D2121:D2125),"")</f>
        <v/>
      </c>
      <c r="E2125" s="3">
        <f>IF(ISNUMBER(AVERAGE('20250815_ETF_Options_Exhibits'!E2121:E2125)),AVERAGE('20250815_ETF_Options_Exhibits'!E2121:E2125),"")</f>
        <v/>
      </c>
      <c r="F2125" s="3">
        <f>IF(ISNUMBER(AVERAGE('20250815_ETF_Options_Exhibits'!F2121:F2125)),AVERAGE('20250815_ETF_Options_Exhibits'!F2121:F2125),"")</f>
        <v/>
      </c>
      <c r="G2125" s="3">
        <f>IF(ISNUMBER(AVERAGE('20250815_ETF_Options_Exhibits'!G2121:G2125)),AVERAGE('20250815_ETF_Options_Exhibits'!G2121:G2125),"")</f>
        <v/>
      </c>
      <c r="H2125" s="3">
        <f>IF(ISNUMBER(AVERAGE('20250815_ETF_Options_Exhibits'!H2121:H2125)),AVERAGE('20250815_ETF_Options_Exhibits'!H2121:H2125),"")</f>
        <v/>
      </c>
      <c r="I2125" s="3">
        <f>IF(ISNUMBER(AVERAGE('20250815_ETF_Options_Exhibits'!I2121:I2125)),AVERAGE('20250815_ETF_Options_Exhibits'!I2121:I2125),"")</f>
        <v/>
      </c>
      <c r="J2125" s="3">
        <f>IF(ISNUMBER(AVERAGE('20250815_ETF_Options_Exhibits'!J2121:J2125)),AVERAGE('20250815_ETF_Options_Exhibits'!J2121:J2125),"")</f>
        <v/>
      </c>
      <c r="K2125" s="3">
        <f>IF(ISNUMBER(AVERAGE('20250815_ETF_Options_Exhibits'!K2121:K2125)),AVERAGE('20250815_ETF_Options_Exhibits'!K2121:K2125),"")</f>
        <v/>
      </c>
      <c r="L2125" s="3">
        <f>IF(ISNUMBER(AVERAGE('20250815_ETF_Options_Exhibits'!L2121:L2125)),AVERAGE('20250815_ETF_Options_Exhibits'!L2121:L2125),"")</f>
        <v/>
      </c>
      <c r="M2125" s="3">
        <f>IF(ISNUMBER(AVERAGE('20250815_ETF_Options_Exhibits'!M2121:M2125)),AVERAGE('20250815_ETF_Options_Exhibits'!M2121:M2125),"")</f>
        <v/>
      </c>
      <c r="N2125" s="3">
        <f>IF(ISNUMBER(AVERAGE('20250815_ETF_Options_Exhibits'!N2121:N2125)),AVERAGE('20250815_ETF_Options_Exhibits'!N2121:N2125),"")</f>
        <v/>
      </c>
      <c r="O2125" s="3">
        <f>IF(ISNUMBER(AVERAGE('20250815_ETF_Options_Exhibits'!O2121:O2125)),AVERAGE('20250815_ETF_Options_Exhibits'!O2121:O2125),"")</f>
        <v/>
      </c>
      <c r="P2125" s="3">
        <f>IF(ISNUMBER(AVERAGE('20250815_ETF_Options_Exhibits'!P2121:P2125)),AVERAGE('20250815_ETF_Options_Exhibits'!P2121:P2125),"")</f>
        <v/>
      </c>
      <c r="Q2125" s="3">
        <f>IF(ISNUMBER(AVERAGE('20250815_ETF_Options_Exhibits'!Q2121:Q2125)),AVERAGE('20250815_ETF_Options_Exhibits'!Q2121:Q2125),"")</f>
        <v/>
      </c>
      <c r="R2125" s="3">
        <f>IF(ISNUMBER(AVERAGE('20250815_ETF_Options_Exhibits'!R2121:R2125)),AVERAGE('20250815_ETF_Options_Exhibits'!R2121:R2125),"")</f>
        <v/>
      </c>
      <c r="S2125" s="3">
        <f>IF(ISNUMBER(AVERAGE('20250815_ETF_Options_Exhibits'!S2121:S2125)),AVERAGE('20250815_ETF_Options_Exhibits'!S2121:S2125),"")</f>
        <v/>
      </c>
      <c r="T2125" s="3">
        <f>IF(ISNUMBER(AVERAGE('20250815_ETF_Options_Exhibits'!T2121:T2125)),AVERAGE('20250815_ETF_Options_Exhibits'!T2121:T2125),"")</f>
        <v/>
      </c>
      <c r="U2125" s="3">
        <f>IF(ISNUMBER(AVERAGE('20250815_ETF_Options_Exhibits'!U2121:U2125)),AVERAGE('20250815_ETF_Options_Exhibits'!U2121:U2125),"")</f>
        <v/>
      </c>
      <c r="V2125" s="3">
        <f>IF(ISNUMBER(AVERAGE('20250815_ETF_Options_Exhibits'!V2121:V2125)),AVERAGE('20250815_ETF_Options_Exhibits'!V2121:V2125),"")</f>
        <v/>
      </c>
      <c r="W2125" s="3">
        <f>IF(ISNUMBER(AVERAGE('20250815_ETF_Options_Exhibits'!W2121:W2125)),AVERAGE('20250815_ETF_Options_Exhibits'!W2121:W2125),"")</f>
        <v/>
      </c>
      <c r="X2125" s="3">
        <f>IF(ISNUMBER(AVERAGE('20250815_ETF_Options_Exhibits'!X2121:X2125)),AVERAGE('20250815_ETF_Options_Exhibits'!X2121:X2125),"")</f>
        <v/>
      </c>
      <c r="Y2125" s="3">
        <f>IF(ISNUMBER(AVERAGE('20250815_ETF_Options_Exhibits'!Y2121:Y2125)),AVERAGE('20250815_ETF_Options_Exhibits'!Y2121:Y2125),"")</f>
        <v/>
      </c>
      <c r="Z2125" s="3">
        <f>IF(ISNUMBER(AVERAGE('20250815_ETF_Options_Exhibits'!Z2121:Z2125)),AVERAGE('20250815_ETF_Options_Exhibits'!Z2121:Z2125),"")</f>
        <v/>
      </c>
      <c r="AA2125" s="3">
        <f>IF(ISNUMBER(AVERAGE('20250815_ETF_Options_Exhibits'!AA2121:AA2125)),AVERAGE('20250815_ETF_Options_Exhibits'!AA2121:AA2125),"")</f>
        <v/>
      </c>
    </row>
    <row r="2126">
      <c r="A2126" s="1" t="n">
        <v>45086</v>
      </c>
      <c r="B2126" s="3">
        <f>IF(ISNUMBER(AVERAGE('20250815_ETF_Options_Exhibits'!B2122:B2126)),AVERAGE('20250815_ETF_Options_Exhibits'!B2122:B2126),"")</f>
        <v/>
      </c>
      <c r="C2126" s="3">
        <f>IF(ISNUMBER(AVERAGE('20250815_ETF_Options_Exhibits'!C2122:C2126)),AVERAGE('20250815_ETF_Options_Exhibits'!C2122:C2126),"")</f>
        <v/>
      </c>
      <c r="D2126" s="3">
        <f>IF(ISNUMBER(AVERAGE('20250815_ETF_Options_Exhibits'!D2122:D2126)),AVERAGE('20250815_ETF_Options_Exhibits'!D2122:D2126),"")</f>
        <v/>
      </c>
      <c r="E2126" s="3">
        <f>IF(ISNUMBER(AVERAGE('20250815_ETF_Options_Exhibits'!E2122:E2126)),AVERAGE('20250815_ETF_Options_Exhibits'!E2122:E2126),"")</f>
        <v/>
      </c>
      <c r="F2126" s="3">
        <f>IF(ISNUMBER(AVERAGE('20250815_ETF_Options_Exhibits'!F2122:F2126)),AVERAGE('20250815_ETF_Options_Exhibits'!F2122:F2126),"")</f>
        <v/>
      </c>
      <c r="G2126" s="3">
        <f>IF(ISNUMBER(AVERAGE('20250815_ETF_Options_Exhibits'!G2122:G2126)),AVERAGE('20250815_ETF_Options_Exhibits'!G2122:G2126),"")</f>
        <v/>
      </c>
      <c r="H2126" s="3">
        <f>IF(ISNUMBER(AVERAGE('20250815_ETF_Options_Exhibits'!H2122:H2126)),AVERAGE('20250815_ETF_Options_Exhibits'!H2122:H2126),"")</f>
        <v/>
      </c>
      <c r="I2126" s="3">
        <f>IF(ISNUMBER(AVERAGE('20250815_ETF_Options_Exhibits'!I2122:I2126)),AVERAGE('20250815_ETF_Options_Exhibits'!I2122:I2126),"")</f>
        <v/>
      </c>
      <c r="J2126" s="3">
        <f>IF(ISNUMBER(AVERAGE('20250815_ETF_Options_Exhibits'!J2122:J2126)),AVERAGE('20250815_ETF_Options_Exhibits'!J2122:J2126),"")</f>
        <v/>
      </c>
      <c r="K2126" s="3">
        <f>IF(ISNUMBER(AVERAGE('20250815_ETF_Options_Exhibits'!K2122:K2126)),AVERAGE('20250815_ETF_Options_Exhibits'!K2122:K2126),"")</f>
        <v/>
      </c>
      <c r="L2126" s="3">
        <f>IF(ISNUMBER(AVERAGE('20250815_ETF_Options_Exhibits'!L2122:L2126)),AVERAGE('20250815_ETF_Options_Exhibits'!L2122:L2126),"")</f>
        <v/>
      </c>
      <c r="M2126" s="3">
        <f>IF(ISNUMBER(AVERAGE('20250815_ETF_Options_Exhibits'!M2122:M2126)),AVERAGE('20250815_ETF_Options_Exhibits'!M2122:M2126),"")</f>
        <v/>
      </c>
      <c r="N2126" s="3">
        <f>IF(ISNUMBER(AVERAGE('20250815_ETF_Options_Exhibits'!N2122:N2126)),AVERAGE('20250815_ETF_Options_Exhibits'!N2122:N2126),"")</f>
        <v/>
      </c>
      <c r="O2126" s="3">
        <f>IF(ISNUMBER(AVERAGE('20250815_ETF_Options_Exhibits'!O2122:O2126)),AVERAGE('20250815_ETF_Options_Exhibits'!O2122:O2126),"")</f>
        <v/>
      </c>
      <c r="P2126" s="3">
        <f>IF(ISNUMBER(AVERAGE('20250815_ETF_Options_Exhibits'!P2122:P2126)),AVERAGE('20250815_ETF_Options_Exhibits'!P2122:P2126),"")</f>
        <v/>
      </c>
      <c r="Q2126" s="3">
        <f>IF(ISNUMBER(AVERAGE('20250815_ETF_Options_Exhibits'!Q2122:Q2126)),AVERAGE('20250815_ETF_Options_Exhibits'!Q2122:Q2126),"")</f>
        <v/>
      </c>
      <c r="R2126" s="3">
        <f>IF(ISNUMBER(AVERAGE('20250815_ETF_Options_Exhibits'!R2122:R2126)),AVERAGE('20250815_ETF_Options_Exhibits'!R2122:R2126),"")</f>
        <v/>
      </c>
      <c r="S2126" s="3">
        <f>IF(ISNUMBER(AVERAGE('20250815_ETF_Options_Exhibits'!S2122:S2126)),AVERAGE('20250815_ETF_Options_Exhibits'!S2122:S2126),"")</f>
        <v/>
      </c>
      <c r="T2126" s="3">
        <f>IF(ISNUMBER(AVERAGE('20250815_ETF_Options_Exhibits'!T2122:T2126)),AVERAGE('20250815_ETF_Options_Exhibits'!T2122:T2126),"")</f>
        <v/>
      </c>
      <c r="U2126" s="3">
        <f>IF(ISNUMBER(AVERAGE('20250815_ETF_Options_Exhibits'!U2122:U2126)),AVERAGE('20250815_ETF_Options_Exhibits'!U2122:U2126),"")</f>
        <v/>
      </c>
      <c r="V2126" s="3">
        <f>IF(ISNUMBER(AVERAGE('20250815_ETF_Options_Exhibits'!V2122:V2126)),AVERAGE('20250815_ETF_Options_Exhibits'!V2122:V2126),"")</f>
        <v/>
      </c>
      <c r="W2126" s="3">
        <f>IF(ISNUMBER(AVERAGE('20250815_ETF_Options_Exhibits'!W2122:W2126)),AVERAGE('20250815_ETF_Options_Exhibits'!W2122:W2126),"")</f>
        <v/>
      </c>
      <c r="X2126" s="3">
        <f>IF(ISNUMBER(AVERAGE('20250815_ETF_Options_Exhibits'!X2122:X2126)),AVERAGE('20250815_ETF_Options_Exhibits'!X2122:X2126),"")</f>
        <v/>
      </c>
      <c r="Y2126" s="3">
        <f>IF(ISNUMBER(AVERAGE('20250815_ETF_Options_Exhibits'!Y2122:Y2126)),AVERAGE('20250815_ETF_Options_Exhibits'!Y2122:Y2126),"")</f>
        <v/>
      </c>
      <c r="Z2126" s="3">
        <f>IF(ISNUMBER(AVERAGE('20250815_ETF_Options_Exhibits'!Z2122:Z2126)),AVERAGE('20250815_ETF_Options_Exhibits'!Z2122:Z2126),"")</f>
        <v/>
      </c>
      <c r="AA2126" s="3">
        <f>IF(ISNUMBER(AVERAGE('20250815_ETF_Options_Exhibits'!AA2122:AA2126)),AVERAGE('20250815_ETF_Options_Exhibits'!AA2122:AA2126),"")</f>
        <v/>
      </c>
    </row>
    <row r="2127">
      <c r="A2127" s="1" t="n">
        <v>45089</v>
      </c>
      <c r="B2127" s="3">
        <f>IF(ISNUMBER(AVERAGE('20250815_ETF_Options_Exhibits'!B2123:B2127)),AVERAGE('20250815_ETF_Options_Exhibits'!B2123:B2127),"")</f>
        <v/>
      </c>
      <c r="C2127" s="3">
        <f>IF(ISNUMBER(AVERAGE('20250815_ETF_Options_Exhibits'!C2123:C2127)),AVERAGE('20250815_ETF_Options_Exhibits'!C2123:C2127),"")</f>
        <v/>
      </c>
      <c r="D2127" s="3">
        <f>IF(ISNUMBER(AVERAGE('20250815_ETF_Options_Exhibits'!D2123:D2127)),AVERAGE('20250815_ETF_Options_Exhibits'!D2123:D2127),"")</f>
        <v/>
      </c>
      <c r="E2127" s="3">
        <f>IF(ISNUMBER(AVERAGE('20250815_ETF_Options_Exhibits'!E2123:E2127)),AVERAGE('20250815_ETF_Options_Exhibits'!E2123:E2127),"")</f>
        <v/>
      </c>
      <c r="F2127" s="3">
        <f>IF(ISNUMBER(AVERAGE('20250815_ETF_Options_Exhibits'!F2123:F2127)),AVERAGE('20250815_ETF_Options_Exhibits'!F2123:F2127),"")</f>
        <v/>
      </c>
      <c r="G2127" s="3">
        <f>IF(ISNUMBER(AVERAGE('20250815_ETF_Options_Exhibits'!G2123:G2127)),AVERAGE('20250815_ETF_Options_Exhibits'!G2123:G2127),"")</f>
        <v/>
      </c>
      <c r="H2127" s="3">
        <f>IF(ISNUMBER(AVERAGE('20250815_ETF_Options_Exhibits'!H2123:H2127)),AVERAGE('20250815_ETF_Options_Exhibits'!H2123:H2127),"")</f>
        <v/>
      </c>
      <c r="I2127" s="3">
        <f>IF(ISNUMBER(AVERAGE('20250815_ETF_Options_Exhibits'!I2123:I2127)),AVERAGE('20250815_ETF_Options_Exhibits'!I2123:I2127),"")</f>
        <v/>
      </c>
      <c r="J2127" s="3">
        <f>IF(ISNUMBER(AVERAGE('20250815_ETF_Options_Exhibits'!J2123:J2127)),AVERAGE('20250815_ETF_Options_Exhibits'!J2123:J2127),"")</f>
        <v/>
      </c>
      <c r="K2127" s="3">
        <f>IF(ISNUMBER(AVERAGE('20250815_ETF_Options_Exhibits'!K2123:K2127)),AVERAGE('20250815_ETF_Options_Exhibits'!K2123:K2127),"")</f>
        <v/>
      </c>
      <c r="L2127" s="3">
        <f>IF(ISNUMBER(AVERAGE('20250815_ETF_Options_Exhibits'!L2123:L2127)),AVERAGE('20250815_ETF_Options_Exhibits'!L2123:L2127),"")</f>
        <v/>
      </c>
      <c r="M2127" s="3">
        <f>IF(ISNUMBER(AVERAGE('20250815_ETF_Options_Exhibits'!M2123:M2127)),AVERAGE('20250815_ETF_Options_Exhibits'!M2123:M2127),"")</f>
        <v/>
      </c>
      <c r="N2127" s="3">
        <f>IF(ISNUMBER(AVERAGE('20250815_ETF_Options_Exhibits'!N2123:N2127)),AVERAGE('20250815_ETF_Options_Exhibits'!N2123:N2127),"")</f>
        <v/>
      </c>
      <c r="O2127" s="3">
        <f>IF(ISNUMBER(AVERAGE('20250815_ETF_Options_Exhibits'!O2123:O2127)),AVERAGE('20250815_ETF_Options_Exhibits'!O2123:O2127),"")</f>
        <v/>
      </c>
      <c r="P2127" s="3">
        <f>IF(ISNUMBER(AVERAGE('20250815_ETF_Options_Exhibits'!P2123:P2127)),AVERAGE('20250815_ETF_Options_Exhibits'!P2123:P2127),"")</f>
        <v/>
      </c>
      <c r="Q2127" s="3">
        <f>IF(ISNUMBER(AVERAGE('20250815_ETF_Options_Exhibits'!Q2123:Q2127)),AVERAGE('20250815_ETF_Options_Exhibits'!Q2123:Q2127),"")</f>
        <v/>
      </c>
      <c r="R2127" s="3">
        <f>IF(ISNUMBER(AVERAGE('20250815_ETF_Options_Exhibits'!R2123:R2127)),AVERAGE('20250815_ETF_Options_Exhibits'!R2123:R2127),"")</f>
        <v/>
      </c>
      <c r="S2127" s="3">
        <f>IF(ISNUMBER(AVERAGE('20250815_ETF_Options_Exhibits'!S2123:S2127)),AVERAGE('20250815_ETF_Options_Exhibits'!S2123:S2127),"")</f>
        <v/>
      </c>
      <c r="T2127" s="3">
        <f>IF(ISNUMBER(AVERAGE('20250815_ETF_Options_Exhibits'!T2123:T2127)),AVERAGE('20250815_ETF_Options_Exhibits'!T2123:T2127),"")</f>
        <v/>
      </c>
      <c r="U2127" s="3">
        <f>IF(ISNUMBER(AVERAGE('20250815_ETF_Options_Exhibits'!U2123:U2127)),AVERAGE('20250815_ETF_Options_Exhibits'!U2123:U2127),"")</f>
        <v/>
      </c>
      <c r="V2127" s="3">
        <f>IF(ISNUMBER(AVERAGE('20250815_ETF_Options_Exhibits'!V2123:V2127)),AVERAGE('20250815_ETF_Options_Exhibits'!V2123:V2127),"")</f>
        <v/>
      </c>
      <c r="W2127" s="3">
        <f>IF(ISNUMBER(AVERAGE('20250815_ETF_Options_Exhibits'!W2123:W2127)),AVERAGE('20250815_ETF_Options_Exhibits'!W2123:W2127),"")</f>
        <v/>
      </c>
      <c r="X2127" s="3">
        <f>IF(ISNUMBER(AVERAGE('20250815_ETF_Options_Exhibits'!X2123:X2127)),AVERAGE('20250815_ETF_Options_Exhibits'!X2123:X2127),"")</f>
        <v/>
      </c>
      <c r="Y2127" s="3">
        <f>IF(ISNUMBER(AVERAGE('20250815_ETF_Options_Exhibits'!Y2123:Y2127)),AVERAGE('20250815_ETF_Options_Exhibits'!Y2123:Y2127),"")</f>
        <v/>
      </c>
      <c r="Z2127" s="3">
        <f>IF(ISNUMBER(AVERAGE('20250815_ETF_Options_Exhibits'!Z2123:Z2127)),AVERAGE('20250815_ETF_Options_Exhibits'!Z2123:Z2127),"")</f>
        <v/>
      </c>
      <c r="AA2127" s="3">
        <f>IF(ISNUMBER(AVERAGE('20250815_ETF_Options_Exhibits'!AA2123:AA2127)),AVERAGE('20250815_ETF_Options_Exhibits'!AA2123:AA2127),"")</f>
        <v/>
      </c>
    </row>
    <row r="2128">
      <c r="A2128" s="1" t="n">
        <v>45090</v>
      </c>
      <c r="B2128" s="3">
        <f>IF(ISNUMBER(AVERAGE('20250815_ETF_Options_Exhibits'!B2124:B2128)),AVERAGE('20250815_ETF_Options_Exhibits'!B2124:B2128),"")</f>
        <v/>
      </c>
      <c r="C2128" s="3">
        <f>IF(ISNUMBER(AVERAGE('20250815_ETF_Options_Exhibits'!C2124:C2128)),AVERAGE('20250815_ETF_Options_Exhibits'!C2124:C2128),"")</f>
        <v/>
      </c>
      <c r="D2128" s="3">
        <f>IF(ISNUMBER(AVERAGE('20250815_ETF_Options_Exhibits'!D2124:D2128)),AVERAGE('20250815_ETF_Options_Exhibits'!D2124:D2128),"")</f>
        <v/>
      </c>
      <c r="E2128" s="3">
        <f>IF(ISNUMBER(AVERAGE('20250815_ETF_Options_Exhibits'!E2124:E2128)),AVERAGE('20250815_ETF_Options_Exhibits'!E2124:E2128),"")</f>
        <v/>
      </c>
      <c r="F2128" s="3">
        <f>IF(ISNUMBER(AVERAGE('20250815_ETF_Options_Exhibits'!F2124:F2128)),AVERAGE('20250815_ETF_Options_Exhibits'!F2124:F2128),"")</f>
        <v/>
      </c>
      <c r="G2128" s="3">
        <f>IF(ISNUMBER(AVERAGE('20250815_ETF_Options_Exhibits'!G2124:G2128)),AVERAGE('20250815_ETF_Options_Exhibits'!G2124:G2128),"")</f>
        <v/>
      </c>
      <c r="H2128" s="3">
        <f>IF(ISNUMBER(AVERAGE('20250815_ETF_Options_Exhibits'!H2124:H2128)),AVERAGE('20250815_ETF_Options_Exhibits'!H2124:H2128),"")</f>
        <v/>
      </c>
      <c r="I2128" s="3">
        <f>IF(ISNUMBER(AVERAGE('20250815_ETF_Options_Exhibits'!I2124:I2128)),AVERAGE('20250815_ETF_Options_Exhibits'!I2124:I2128),"")</f>
        <v/>
      </c>
      <c r="J2128" s="3">
        <f>IF(ISNUMBER(AVERAGE('20250815_ETF_Options_Exhibits'!J2124:J2128)),AVERAGE('20250815_ETF_Options_Exhibits'!J2124:J2128),"")</f>
        <v/>
      </c>
      <c r="K2128" s="3">
        <f>IF(ISNUMBER(AVERAGE('20250815_ETF_Options_Exhibits'!K2124:K2128)),AVERAGE('20250815_ETF_Options_Exhibits'!K2124:K2128),"")</f>
        <v/>
      </c>
      <c r="L2128" s="3">
        <f>IF(ISNUMBER(AVERAGE('20250815_ETF_Options_Exhibits'!L2124:L2128)),AVERAGE('20250815_ETF_Options_Exhibits'!L2124:L2128),"")</f>
        <v/>
      </c>
      <c r="M2128" s="3">
        <f>IF(ISNUMBER(AVERAGE('20250815_ETF_Options_Exhibits'!M2124:M2128)),AVERAGE('20250815_ETF_Options_Exhibits'!M2124:M2128),"")</f>
        <v/>
      </c>
      <c r="N2128" s="3">
        <f>IF(ISNUMBER(AVERAGE('20250815_ETF_Options_Exhibits'!N2124:N2128)),AVERAGE('20250815_ETF_Options_Exhibits'!N2124:N2128),"")</f>
        <v/>
      </c>
      <c r="O2128" s="3">
        <f>IF(ISNUMBER(AVERAGE('20250815_ETF_Options_Exhibits'!O2124:O2128)),AVERAGE('20250815_ETF_Options_Exhibits'!O2124:O2128),"")</f>
        <v/>
      </c>
      <c r="P2128" s="3">
        <f>IF(ISNUMBER(AVERAGE('20250815_ETF_Options_Exhibits'!P2124:P2128)),AVERAGE('20250815_ETF_Options_Exhibits'!P2124:P2128),"")</f>
        <v/>
      </c>
      <c r="Q2128" s="3">
        <f>IF(ISNUMBER(AVERAGE('20250815_ETF_Options_Exhibits'!Q2124:Q2128)),AVERAGE('20250815_ETF_Options_Exhibits'!Q2124:Q2128),"")</f>
        <v/>
      </c>
      <c r="R2128" s="3">
        <f>IF(ISNUMBER(AVERAGE('20250815_ETF_Options_Exhibits'!R2124:R2128)),AVERAGE('20250815_ETF_Options_Exhibits'!R2124:R2128),"")</f>
        <v/>
      </c>
      <c r="S2128" s="3">
        <f>IF(ISNUMBER(AVERAGE('20250815_ETF_Options_Exhibits'!S2124:S2128)),AVERAGE('20250815_ETF_Options_Exhibits'!S2124:S2128),"")</f>
        <v/>
      </c>
      <c r="T2128" s="3">
        <f>IF(ISNUMBER(AVERAGE('20250815_ETF_Options_Exhibits'!T2124:T2128)),AVERAGE('20250815_ETF_Options_Exhibits'!T2124:T2128),"")</f>
        <v/>
      </c>
      <c r="U2128" s="3">
        <f>IF(ISNUMBER(AVERAGE('20250815_ETF_Options_Exhibits'!U2124:U2128)),AVERAGE('20250815_ETF_Options_Exhibits'!U2124:U2128),"")</f>
        <v/>
      </c>
      <c r="V2128" s="3">
        <f>IF(ISNUMBER(AVERAGE('20250815_ETF_Options_Exhibits'!V2124:V2128)),AVERAGE('20250815_ETF_Options_Exhibits'!V2124:V2128),"")</f>
        <v/>
      </c>
      <c r="W2128" s="3">
        <f>IF(ISNUMBER(AVERAGE('20250815_ETF_Options_Exhibits'!W2124:W2128)),AVERAGE('20250815_ETF_Options_Exhibits'!W2124:W2128),"")</f>
        <v/>
      </c>
      <c r="X2128" s="3">
        <f>IF(ISNUMBER(AVERAGE('20250815_ETF_Options_Exhibits'!X2124:X2128)),AVERAGE('20250815_ETF_Options_Exhibits'!X2124:X2128),"")</f>
        <v/>
      </c>
      <c r="Y2128" s="3">
        <f>IF(ISNUMBER(AVERAGE('20250815_ETF_Options_Exhibits'!Y2124:Y2128)),AVERAGE('20250815_ETF_Options_Exhibits'!Y2124:Y2128),"")</f>
        <v/>
      </c>
      <c r="Z2128" s="3">
        <f>IF(ISNUMBER(AVERAGE('20250815_ETF_Options_Exhibits'!Z2124:Z2128)),AVERAGE('20250815_ETF_Options_Exhibits'!Z2124:Z2128),"")</f>
        <v/>
      </c>
      <c r="AA2128" s="3">
        <f>IF(ISNUMBER(AVERAGE('20250815_ETF_Options_Exhibits'!AA2124:AA2128)),AVERAGE('20250815_ETF_Options_Exhibits'!AA2124:AA2128),"")</f>
        <v/>
      </c>
    </row>
    <row r="2129">
      <c r="A2129" s="1" t="n">
        <v>45091</v>
      </c>
      <c r="B2129" s="3">
        <f>IF(ISNUMBER(AVERAGE('20250815_ETF_Options_Exhibits'!B2125:B2129)),AVERAGE('20250815_ETF_Options_Exhibits'!B2125:B2129),"")</f>
        <v/>
      </c>
      <c r="C2129" s="3">
        <f>IF(ISNUMBER(AVERAGE('20250815_ETF_Options_Exhibits'!C2125:C2129)),AVERAGE('20250815_ETF_Options_Exhibits'!C2125:C2129),"")</f>
        <v/>
      </c>
      <c r="D2129" s="3">
        <f>IF(ISNUMBER(AVERAGE('20250815_ETF_Options_Exhibits'!D2125:D2129)),AVERAGE('20250815_ETF_Options_Exhibits'!D2125:D2129),"")</f>
        <v/>
      </c>
      <c r="E2129" s="3">
        <f>IF(ISNUMBER(AVERAGE('20250815_ETF_Options_Exhibits'!E2125:E2129)),AVERAGE('20250815_ETF_Options_Exhibits'!E2125:E2129),"")</f>
        <v/>
      </c>
      <c r="F2129" s="3">
        <f>IF(ISNUMBER(AVERAGE('20250815_ETF_Options_Exhibits'!F2125:F2129)),AVERAGE('20250815_ETF_Options_Exhibits'!F2125:F2129),"")</f>
        <v/>
      </c>
      <c r="G2129" s="3">
        <f>IF(ISNUMBER(AVERAGE('20250815_ETF_Options_Exhibits'!G2125:G2129)),AVERAGE('20250815_ETF_Options_Exhibits'!G2125:G2129),"")</f>
        <v/>
      </c>
      <c r="H2129" s="3">
        <f>IF(ISNUMBER(AVERAGE('20250815_ETF_Options_Exhibits'!H2125:H2129)),AVERAGE('20250815_ETF_Options_Exhibits'!H2125:H2129),"")</f>
        <v/>
      </c>
      <c r="I2129" s="3">
        <f>IF(ISNUMBER(AVERAGE('20250815_ETF_Options_Exhibits'!I2125:I2129)),AVERAGE('20250815_ETF_Options_Exhibits'!I2125:I2129),"")</f>
        <v/>
      </c>
      <c r="J2129" s="3">
        <f>IF(ISNUMBER(AVERAGE('20250815_ETF_Options_Exhibits'!J2125:J2129)),AVERAGE('20250815_ETF_Options_Exhibits'!J2125:J2129),"")</f>
        <v/>
      </c>
      <c r="K2129" s="3">
        <f>IF(ISNUMBER(AVERAGE('20250815_ETF_Options_Exhibits'!K2125:K2129)),AVERAGE('20250815_ETF_Options_Exhibits'!K2125:K2129),"")</f>
        <v/>
      </c>
      <c r="L2129" s="3">
        <f>IF(ISNUMBER(AVERAGE('20250815_ETF_Options_Exhibits'!L2125:L2129)),AVERAGE('20250815_ETF_Options_Exhibits'!L2125:L2129),"")</f>
        <v/>
      </c>
      <c r="M2129" s="3">
        <f>IF(ISNUMBER(AVERAGE('20250815_ETF_Options_Exhibits'!M2125:M2129)),AVERAGE('20250815_ETF_Options_Exhibits'!M2125:M2129),"")</f>
        <v/>
      </c>
      <c r="N2129" s="3">
        <f>IF(ISNUMBER(AVERAGE('20250815_ETF_Options_Exhibits'!N2125:N2129)),AVERAGE('20250815_ETF_Options_Exhibits'!N2125:N2129),"")</f>
        <v/>
      </c>
      <c r="O2129" s="3">
        <f>IF(ISNUMBER(AVERAGE('20250815_ETF_Options_Exhibits'!O2125:O2129)),AVERAGE('20250815_ETF_Options_Exhibits'!O2125:O2129),"")</f>
        <v/>
      </c>
      <c r="P2129" s="3">
        <f>IF(ISNUMBER(AVERAGE('20250815_ETF_Options_Exhibits'!P2125:P2129)),AVERAGE('20250815_ETF_Options_Exhibits'!P2125:P2129),"")</f>
        <v/>
      </c>
      <c r="Q2129" s="3">
        <f>IF(ISNUMBER(AVERAGE('20250815_ETF_Options_Exhibits'!Q2125:Q2129)),AVERAGE('20250815_ETF_Options_Exhibits'!Q2125:Q2129),"")</f>
        <v/>
      </c>
      <c r="R2129" s="3">
        <f>IF(ISNUMBER(AVERAGE('20250815_ETF_Options_Exhibits'!R2125:R2129)),AVERAGE('20250815_ETF_Options_Exhibits'!R2125:R2129),"")</f>
        <v/>
      </c>
      <c r="S2129" s="3">
        <f>IF(ISNUMBER(AVERAGE('20250815_ETF_Options_Exhibits'!S2125:S2129)),AVERAGE('20250815_ETF_Options_Exhibits'!S2125:S2129),"")</f>
        <v/>
      </c>
      <c r="T2129" s="3">
        <f>IF(ISNUMBER(AVERAGE('20250815_ETF_Options_Exhibits'!T2125:T2129)),AVERAGE('20250815_ETF_Options_Exhibits'!T2125:T2129),"")</f>
        <v/>
      </c>
      <c r="U2129" s="3">
        <f>IF(ISNUMBER(AVERAGE('20250815_ETF_Options_Exhibits'!U2125:U2129)),AVERAGE('20250815_ETF_Options_Exhibits'!U2125:U2129),"")</f>
        <v/>
      </c>
      <c r="V2129" s="3">
        <f>IF(ISNUMBER(AVERAGE('20250815_ETF_Options_Exhibits'!V2125:V2129)),AVERAGE('20250815_ETF_Options_Exhibits'!V2125:V2129),"")</f>
        <v/>
      </c>
      <c r="W2129" s="3">
        <f>IF(ISNUMBER(AVERAGE('20250815_ETF_Options_Exhibits'!W2125:W2129)),AVERAGE('20250815_ETF_Options_Exhibits'!W2125:W2129),"")</f>
        <v/>
      </c>
      <c r="X2129" s="3">
        <f>IF(ISNUMBER(AVERAGE('20250815_ETF_Options_Exhibits'!X2125:X2129)),AVERAGE('20250815_ETF_Options_Exhibits'!X2125:X2129),"")</f>
        <v/>
      </c>
      <c r="Y2129" s="3">
        <f>IF(ISNUMBER(AVERAGE('20250815_ETF_Options_Exhibits'!Y2125:Y2129)),AVERAGE('20250815_ETF_Options_Exhibits'!Y2125:Y2129),"")</f>
        <v/>
      </c>
      <c r="Z2129" s="3">
        <f>IF(ISNUMBER(AVERAGE('20250815_ETF_Options_Exhibits'!Z2125:Z2129)),AVERAGE('20250815_ETF_Options_Exhibits'!Z2125:Z2129),"")</f>
        <v/>
      </c>
      <c r="AA2129" s="3">
        <f>IF(ISNUMBER(AVERAGE('20250815_ETF_Options_Exhibits'!AA2125:AA2129)),AVERAGE('20250815_ETF_Options_Exhibits'!AA2125:AA2129),"")</f>
        <v/>
      </c>
    </row>
    <row r="2130">
      <c r="A2130" s="1" t="n">
        <v>45092</v>
      </c>
      <c r="B2130" s="3">
        <f>IF(ISNUMBER(AVERAGE('20250815_ETF_Options_Exhibits'!B2126:B2130)),AVERAGE('20250815_ETF_Options_Exhibits'!B2126:B2130),"")</f>
        <v/>
      </c>
      <c r="C2130" s="3">
        <f>IF(ISNUMBER(AVERAGE('20250815_ETF_Options_Exhibits'!C2126:C2130)),AVERAGE('20250815_ETF_Options_Exhibits'!C2126:C2130),"")</f>
        <v/>
      </c>
      <c r="D2130" s="3">
        <f>IF(ISNUMBER(AVERAGE('20250815_ETF_Options_Exhibits'!D2126:D2130)),AVERAGE('20250815_ETF_Options_Exhibits'!D2126:D2130),"")</f>
        <v/>
      </c>
      <c r="E2130" s="3">
        <f>IF(ISNUMBER(AVERAGE('20250815_ETF_Options_Exhibits'!E2126:E2130)),AVERAGE('20250815_ETF_Options_Exhibits'!E2126:E2130),"")</f>
        <v/>
      </c>
      <c r="F2130" s="3">
        <f>IF(ISNUMBER(AVERAGE('20250815_ETF_Options_Exhibits'!F2126:F2130)),AVERAGE('20250815_ETF_Options_Exhibits'!F2126:F2130),"")</f>
        <v/>
      </c>
      <c r="G2130" s="3">
        <f>IF(ISNUMBER(AVERAGE('20250815_ETF_Options_Exhibits'!G2126:G2130)),AVERAGE('20250815_ETF_Options_Exhibits'!G2126:G2130),"")</f>
        <v/>
      </c>
      <c r="H2130" s="3">
        <f>IF(ISNUMBER(AVERAGE('20250815_ETF_Options_Exhibits'!H2126:H2130)),AVERAGE('20250815_ETF_Options_Exhibits'!H2126:H2130),"")</f>
        <v/>
      </c>
      <c r="I2130" s="3">
        <f>IF(ISNUMBER(AVERAGE('20250815_ETF_Options_Exhibits'!I2126:I2130)),AVERAGE('20250815_ETF_Options_Exhibits'!I2126:I2130),"")</f>
        <v/>
      </c>
      <c r="J2130" s="3">
        <f>IF(ISNUMBER(AVERAGE('20250815_ETF_Options_Exhibits'!J2126:J2130)),AVERAGE('20250815_ETF_Options_Exhibits'!J2126:J2130),"")</f>
        <v/>
      </c>
      <c r="K2130" s="3">
        <f>IF(ISNUMBER(AVERAGE('20250815_ETF_Options_Exhibits'!K2126:K2130)),AVERAGE('20250815_ETF_Options_Exhibits'!K2126:K2130),"")</f>
        <v/>
      </c>
      <c r="L2130" s="3">
        <f>IF(ISNUMBER(AVERAGE('20250815_ETF_Options_Exhibits'!L2126:L2130)),AVERAGE('20250815_ETF_Options_Exhibits'!L2126:L2130),"")</f>
        <v/>
      </c>
      <c r="M2130" s="3">
        <f>IF(ISNUMBER(AVERAGE('20250815_ETF_Options_Exhibits'!M2126:M2130)),AVERAGE('20250815_ETF_Options_Exhibits'!M2126:M2130),"")</f>
        <v/>
      </c>
      <c r="N2130" s="3">
        <f>IF(ISNUMBER(AVERAGE('20250815_ETF_Options_Exhibits'!N2126:N2130)),AVERAGE('20250815_ETF_Options_Exhibits'!N2126:N2130),"")</f>
        <v/>
      </c>
      <c r="O2130" s="3">
        <f>IF(ISNUMBER(AVERAGE('20250815_ETF_Options_Exhibits'!O2126:O2130)),AVERAGE('20250815_ETF_Options_Exhibits'!O2126:O2130),"")</f>
        <v/>
      </c>
      <c r="P2130" s="3">
        <f>IF(ISNUMBER(AVERAGE('20250815_ETF_Options_Exhibits'!P2126:P2130)),AVERAGE('20250815_ETF_Options_Exhibits'!P2126:P2130),"")</f>
        <v/>
      </c>
      <c r="Q2130" s="3">
        <f>IF(ISNUMBER(AVERAGE('20250815_ETF_Options_Exhibits'!Q2126:Q2130)),AVERAGE('20250815_ETF_Options_Exhibits'!Q2126:Q2130),"")</f>
        <v/>
      </c>
      <c r="R2130" s="3">
        <f>IF(ISNUMBER(AVERAGE('20250815_ETF_Options_Exhibits'!R2126:R2130)),AVERAGE('20250815_ETF_Options_Exhibits'!R2126:R2130),"")</f>
        <v/>
      </c>
      <c r="S2130" s="3">
        <f>IF(ISNUMBER(AVERAGE('20250815_ETF_Options_Exhibits'!S2126:S2130)),AVERAGE('20250815_ETF_Options_Exhibits'!S2126:S2130),"")</f>
        <v/>
      </c>
      <c r="T2130" s="3">
        <f>IF(ISNUMBER(AVERAGE('20250815_ETF_Options_Exhibits'!T2126:T2130)),AVERAGE('20250815_ETF_Options_Exhibits'!T2126:T2130),"")</f>
        <v/>
      </c>
      <c r="U2130" s="3">
        <f>IF(ISNUMBER(AVERAGE('20250815_ETF_Options_Exhibits'!U2126:U2130)),AVERAGE('20250815_ETF_Options_Exhibits'!U2126:U2130),"")</f>
        <v/>
      </c>
      <c r="V2130" s="3">
        <f>IF(ISNUMBER(AVERAGE('20250815_ETF_Options_Exhibits'!V2126:V2130)),AVERAGE('20250815_ETF_Options_Exhibits'!V2126:V2130),"")</f>
        <v/>
      </c>
      <c r="W2130" s="3">
        <f>IF(ISNUMBER(AVERAGE('20250815_ETF_Options_Exhibits'!W2126:W2130)),AVERAGE('20250815_ETF_Options_Exhibits'!W2126:W2130),"")</f>
        <v/>
      </c>
      <c r="X2130" s="3">
        <f>IF(ISNUMBER(AVERAGE('20250815_ETF_Options_Exhibits'!X2126:X2130)),AVERAGE('20250815_ETF_Options_Exhibits'!X2126:X2130),"")</f>
        <v/>
      </c>
      <c r="Y2130" s="3">
        <f>IF(ISNUMBER(AVERAGE('20250815_ETF_Options_Exhibits'!Y2126:Y2130)),AVERAGE('20250815_ETF_Options_Exhibits'!Y2126:Y2130),"")</f>
        <v/>
      </c>
      <c r="Z2130" s="3">
        <f>IF(ISNUMBER(AVERAGE('20250815_ETF_Options_Exhibits'!Z2126:Z2130)),AVERAGE('20250815_ETF_Options_Exhibits'!Z2126:Z2130),"")</f>
        <v/>
      </c>
      <c r="AA2130" s="3">
        <f>IF(ISNUMBER(AVERAGE('20250815_ETF_Options_Exhibits'!AA2126:AA2130)),AVERAGE('20250815_ETF_Options_Exhibits'!AA2126:AA2130),"")</f>
        <v/>
      </c>
    </row>
    <row r="2131">
      <c r="A2131" s="1" t="n">
        <v>45093</v>
      </c>
      <c r="B2131" s="3">
        <f>IF(ISNUMBER(AVERAGE('20250815_ETF_Options_Exhibits'!B2127:B2131)),AVERAGE('20250815_ETF_Options_Exhibits'!B2127:B2131),"")</f>
        <v/>
      </c>
      <c r="C2131" s="3">
        <f>IF(ISNUMBER(AVERAGE('20250815_ETF_Options_Exhibits'!C2127:C2131)),AVERAGE('20250815_ETF_Options_Exhibits'!C2127:C2131),"")</f>
        <v/>
      </c>
      <c r="D2131" s="3">
        <f>IF(ISNUMBER(AVERAGE('20250815_ETF_Options_Exhibits'!D2127:D2131)),AVERAGE('20250815_ETF_Options_Exhibits'!D2127:D2131),"")</f>
        <v/>
      </c>
      <c r="E2131" s="3">
        <f>IF(ISNUMBER(AVERAGE('20250815_ETF_Options_Exhibits'!E2127:E2131)),AVERAGE('20250815_ETF_Options_Exhibits'!E2127:E2131),"")</f>
        <v/>
      </c>
      <c r="F2131" s="3">
        <f>IF(ISNUMBER(AVERAGE('20250815_ETF_Options_Exhibits'!F2127:F2131)),AVERAGE('20250815_ETF_Options_Exhibits'!F2127:F2131),"")</f>
        <v/>
      </c>
      <c r="G2131" s="3">
        <f>IF(ISNUMBER(AVERAGE('20250815_ETF_Options_Exhibits'!G2127:G2131)),AVERAGE('20250815_ETF_Options_Exhibits'!G2127:G2131),"")</f>
        <v/>
      </c>
      <c r="H2131" s="3">
        <f>IF(ISNUMBER(AVERAGE('20250815_ETF_Options_Exhibits'!H2127:H2131)),AVERAGE('20250815_ETF_Options_Exhibits'!H2127:H2131),"")</f>
        <v/>
      </c>
      <c r="I2131" s="3">
        <f>IF(ISNUMBER(AVERAGE('20250815_ETF_Options_Exhibits'!I2127:I2131)),AVERAGE('20250815_ETF_Options_Exhibits'!I2127:I2131),"")</f>
        <v/>
      </c>
      <c r="J2131" s="3">
        <f>IF(ISNUMBER(AVERAGE('20250815_ETF_Options_Exhibits'!J2127:J2131)),AVERAGE('20250815_ETF_Options_Exhibits'!J2127:J2131),"")</f>
        <v/>
      </c>
      <c r="K2131" s="3">
        <f>IF(ISNUMBER(AVERAGE('20250815_ETF_Options_Exhibits'!K2127:K2131)),AVERAGE('20250815_ETF_Options_Exhibits'!K2127:K2131),"")</f>
        <v/>
      </c>
      <c r="L2131" s="3">
        <f>IF(ISNUMBER(AVERAGE('20250815_ETF_Options_Exhibits'!L2127:L2131)),AVERAGE('20250815_ETF_Options_Exhibits'!L2127:L2131),"")</f>
        <v/>
      </c>
      <c r="M2131" s="3">
        <f>IF(ISNUMBER(AVERAGE('20250815_ETF_Options_Exhibits'!M2127:M2131)),AVERAGE('20250815_ETF_Options_Exhibits'!M2127:M2131),"")</f>
        <v/>
      </c>
      <c r="N2131" s="3">
        <f>IF(ISNUMBER(AVERAGE('20250815_ETF_Options_Exhibits'!N2127:N2131)),AVERAGE('20250815_ETF_Options_Exhibits'!N2127:N2131),"")</f>
        <v/>
      </c>
      <c r="O2131" s="3">
        <f>IF(ISNUMBER(AVERAGE('20250815_ETF_Options_Exhibits'!O2127:O2131)),AVERAGE('20250815_ETF_Options_Exhibits'!O2127:O2131),"")</f>
        <v/>
      </c>
      <c r="P2131" s="3">
        <f>IF(ISNUMBER(AVERAGE('20250815_ETF_Options_Exhibits'!P2127:P2131)),AVERAGE('20250815_ETF_Options_Exhibits'!P2127:P2131),"")</f>
        <v/>
      </c>
      <c r="Q2131" s="3">
        <f>IF(ISNUMBER(AVERAGE('20250815_ETF_Options_Exhibits'!Q2127:Q2131)),AVERAGE('20250815_ETF_Options_Exhibits'!Q2127:Q2131),"")</f>
        <v/>
      </c>
      <c r="R2131" s="3">
        <f>IF(ISNUMBER(AVERAGE('20250815_ETF_Options_Exhibits'!R2127:R2131)),AVERAGE('20250815_ETF_Options_Exhibits'!R2127:R2131),"")</f>
        <v/>
      </c>
      <c r="S2131" s="3">
        <f>IF(ISNUMBER(AVERAGE('20250815_ETF_Options_Exhibits'!S2127:S2131)),AVERAGE('20250815_ETF_Options_Exhibits'!S2127:S2131),"")</f>
        <v/>
      </c>
      <c r="T2131" s="3">
        <f>IF(ISNUMBER(AVERAGE('20250815_ETF_Options_Exhibits'!T2127:T2131)),AVERAGE('20250815_ETF_Options_Exhibits'!T2127:T2131),"")</f>
        <v/>
      </c>
      <c r="U2131" s="3">
        <f>IF(ISNUMBER(AVERAGE('20250815_ETF_Options_Exhibits'!U2127:U2131)),AVERAGE('20250815_ETF_Options_Exhibits'!U2127:U2131),"")</f>
        <v/>
      </c>
      <c r="V2131" s="3">
        <f>IF(ISNUMBER(AVERAGE('20250815_ETF_Options_Exhibits'!V2127:V2131)),AVERAGE('20250815_ETF_Options_Exhibits'!V2127:V2131),"")</f>
        <v/>
      </c>
      <c r="W2131" s="3">
        <f>IF(ISNUMBER(AVERAGE('20250815_ETF_Options_Exhibits'!W2127:W2131)),AVERAGE('20250815_ETF_Options_Exhibits'!W2127:W2131),"")</f>
        <v/>
      </c>
      <c r="X2131" s="3">
        <f>IF(ISNUMBER(AVERAGE('20250815_ETF_Options_Exhibits'!X2127:X2131)),AVERAGE('20250815_ETF_Options_Exhibits'!X2127:X2131),"")</f>
        <v/>
      </c>
      <c r="Y2131" s="3">
        <f>IF(ISNUMBER(AVERAGE('20250815_ETF_Options_Exhibits'!Y2127:Y2131)),AVERAGE('20250815_ETF_Options_Exhibits'!Y2127:Y2131),"")</f>
        <v/>
      </c>
      <c r="Z2131" s="3">
        <f>IF(ISNUMBER(AVERAGE('20250815_ETF_Options_Exhibits'!Z2127:Z2131)),AVERAGE('20250815_ETF_Options_Exhibits'!Z2127:Z2131),"")</f>
        <v/>
      </c>
      <c r="AA2131" s="3">
        <f>IF(ISNUMBER(AVERAGE('20250815_ETF_Options_Exhibits'!AA2127:AA2131)),AVERAGE('20250815_ETF_Options_Exhibits'!AA2127:AA2131),"")</f>
        <v/>
      </c>
    </row>
    <row r="2132">
      <c r="A2132" s="1" t="n">
        <v>45097</v>
      </c>
      <c r="B2132" s="3">
        <f>IF(ISNUMBER(AVERAGE('20250815_ETF_Options_Exhibits'!B2128:B2132)),AVERAGE('20250815_ETF_Options_Exhibits'!B2128:B2132),"")</f>
        <v/>
      </c>
      <c r="C2132" s="3">
        <f>IF(ISNUMBER(AVERAGE('20250815_ETF_Options_Exhibits'!C2128:C2132)),AVERAGE('20250815_ETF_Options_Exhibits'!C2128:C2132),"")</f>
        <v/>
      </c>
      <c r="D2132" s="3">
        <f>IF(ISNUMBER(AVERAGE('20250815_ETF_Options_Exhibits'!D2128:D2132)),AVERAGE('20250815_ETF_Options_Exhibits'!D2128:D2132),"")</f>
        <v/>
      </c>
      <c r="E2132" s="3">
        <f>IF(ISNUMBER(AVERAGE('20250815_ETF_Options_Exhibits'!E2128:E2132)),AVERAGE('20250815_ETF_Options_Exhibits'!E2128:E2132),"")</f>
        <v/>
      </c>
      <c r="F2132" s="3">
        <f>IF(ISNUMBER(AVERAGE('20250815_ETF_Options_Exhibits'!F2128:F2132)),AVERAGE('20250815_ETF_Options_Exhibits'!F2128:F2132),"")</f>
        <v/>
      </c>
      <c r="G2132" s="3">
        <f>IF(ISNUMBER(AVERAGE('20250815_ETF_Options_Exhibits'!G2128:G2132)),AVERAGE('20250815_ETF_Options_Exhibits'!G2128:G2132),"")</f>
        <v/>
      </c>
      <c r="H2132" s="3">
        <f>IF(ISNUMBER(AVERAGE('20250815_ETF_Options_Exhibits'!H2128:H2132)),AVERAGE('20250815_ETF_Options_Exhibits'!H2128:H2132),"")</f>
        <v/>
      </c>
      <c r="I2132" s="3">
        <f>IF(ISNUMBER(AVERAGE('20250815_ETF_Options_Exhibits'!I2128:I2132)),AVERAGE('20250815_ETF_Options_Exhibits'!I2128:I2132),"")</f>
        <v/>
      </c>
      <c r="J2132" s="3">
        <f>IF(ISNUMBER(AVERAGE('20250815_ETF_Options_Exhibits'!J2128:J2132)),AVERAGE('20250815_ETF_Options_Exhibits'!J2128:J2132),"")</f>
        <v/>
      </c>
      <c r="K2132" s="3">
        <f>IF(ISNUMBER(AVERAGE('20250815_ETF_Options_Exhibits'!K2128:K2132)),AVERAGE('20250815_ETF_Options_Exhibits'!K2128:K2132),"")</f>
        <v/>
      </c>
      <c r="L2132" s="3">
        <f>IF(ISNUMBER(AVERAGE('20250815_ETF_Options_Exhibits'!L2128:L2132)),AVERAGE('20250815_ETF_Options_Exhibits'!L2128:L2132),"")</f>
        <v/>
      </c>
      <c r="M2132" s="3">
        <f>IF(ISNUMBER(AVERAGE('20250815_ETF_Options_Exhibits'!M2128:M2132)),AVERAGE('20250815_ETF_Options_Exhibits'!M2128:M2132),"")</f>
        <v/>
      </c>
      <c r="N2132" s="3">
        <f>IF(ISNUMBER(AVERAGE('20250815_ETF_Options_Exhibits'!N2128:N2132)),AVERAGE('20250815_ETF_Options_Exhibits'!N2128:N2132),"")</f>
        <v/>
      </c>
      <c r="O2132" s="3">
        <f>IF(ISNUMBER(AVERAGE('20250815_ETF_Options_Exhibits'!O2128:O2132)),AVERAGE('20250815_ETF_Options_Exhibits'!O2128:O2132),"")</f>
        <v/>
      </c>
      <c r="P2132" s="3">
        <f>IF(ISNUMBER(AVERAGE('20250815_ETF_Options_Exhibits'!P2128:P2132)),AVERAGE('20250815_ETF_Options_Exhibits'!P2128:P2132),"")</f>
        <v/>
      </c>
      <c r="Q2132" s="3">
        <f>IF(ISNUMBER(AVERAGE('20250815_ETF_Options_Exhibits'!Q2128:Q2132)),AVERAGE('20250815_ETF_Options_Exhibits'!Q2128:Q2132),"")</f>
        <v/>
      </c>
      <c r="R2132" s="3">
        <f>IF(ISNUMBER(AVERAGE('20250815_ETF_Options_Exhibits'!R2128:R2132)),AVERAGE('20250815_ETF_Options_Exhibits'!R2128:R2132),"")</f>
        <v/>
      </c>
      <c r="S2132" s="3">
        <f>IF(ISNUMBER(AVERAGE('20250815_ETF_Options_Exhibits'!S2128:S2132)),AVERAGE('20250815_ETF_Options_Exhibits'!S2128:S2132),"")</f>
        <v/>
      </c>
      <c r="T2132" s="3">
        <f>IF(ISNUMBER(AVERAGE('20250815_ETF_Options_Exhibits'!T2128:T2132)),AVERAGE('20250815_ETF_Options_Exhibits'!T2128:T2132),"")</f>
        <v/>
      </c>
      <c r="U2132" s="3">
        <f>IF(ISNUMBER(AVERAGE('20250815_ETF_Options_Exhibits'!U2128:U2132)),AVERAGE('20250815_ETF_Options_Exhibits'!U2128:U2132),"")</f>
        <v/>
      </c>
      <c r="V2132" s="3">
        <f>IF(ISNUMBER(AVERAGE('20250815_ETF_Options_Exhibits'!V2128:V2132)),AVERAGE('20250815_ETF_Options_Exhibits'!V2128:V2132),"")</f>
        <v/>
      </c>
      <c r="W2132" s="3">
        <f>IF(ISNUMBER(AVERAGE('20250815_ETF_Options_Exhibits'!W2128:W2132)),AVERAGE('20250815_ETF_Options_Exhibits'!W2128:W2132),"")</f>
        <v/>
      </c>
      <c r="X2132" s="3">
        <f>IF(ISNUMBER(AVERAGE('20250815_ETF_Options_Exhibits'!X2128:X2132)),AVERAGE('20250815_ETF_Options_Exhibits'!X2128:X2132),"")</f>
        <v/>
      </c>
      <c r="Y2132" s="3">
        <f>IF(ISNUMBER(AVERAGE('20250815_ETF_Options_Exhibits'!Y2128:Y2132)),AVERAGE('20250815_ETF_Options_Exhibits'!Y2128:Y2132),"")</f>
        <v/>
      </c>
      <c r="Z2132" s="3">
        <f>IF(ISNUMBER(AVERAGE('20250815_ETF_Options_Exhibits'!Z2128:Z2132)),AVERAGE('20250815_ETF_Options_Exhibits'!Z2128:Z2132),"")</f>
        <v/>
      </c>
      <c r="AA2132" s="3">
        <f>IF(ISNUMBER(AVERAGE('20250815_ETF_Options_Exhibits'!AA2128:AA2132)),AVERAGE('20250815_ETF_Options_Exhibits'!AA2128:AA2132),"")</f>
        <v/>
      </c>
    </row>
    <row r="2133">
      <c r="A2133" s="1" t="n">
        <v>45098</v>
      </c>
      <c r="B2133" s="3">
        <f>IF(ISNUMBER(AVERAGE('20250815_ETF_Options_Exhibits'!B2129:B2133)),AVERAGE('20250815_ETF_Options_Exhibits'!B2129:B2133),"")</f>
        <v/>
      </c>
      <c r="C2133" s="3">
        <f>IF(ISNUMBER(AVERAGE('20250815_ETF_Options_Exhibits'!C2129:C2133)),AVERAGE('20250815_ETF_Options_Exhibits'!C2129:C2133),"")</f>
        <v/>
      </c>
      <c r="D2133" s="3">
        <f>IF(ISNUMBER(AVERAGE('20250815_ETF_Options_Exhibits'!D2129:D2133)),AVERAGE('20250815_ETF_Options_Exhibits'!D2129:D2133),"")</f>
        <v/>
      </c>
      <c r="E2133" s="3">
        <f>IF(ISNUMBER(AVERAGE('20250815_ETF_Options_Exhibits'!E2129:E2133)),AVERAGE('20250815_ETF_Options_Exhibits'!E2129:E2133),"")</f>
        <v/>
      </c>
      <c r="F2133" s="3">
        <f>IF(ISNUMBER(AVERAGE('20250815_ETF_Options_Exhibits'!F2129:F2133)),AVERAGE('20250815_ETF_Options_Exhibits'!F2129:F2133),"")</f>
        <v/>
      </c>
      <c r="G2133" s="3">
        <f>IF(ISNUMBER(AVERAGE('20250815_ETF_Options_Exhibits'!G2129:G2133)),AVERAGE('20250815_ETF_Options_Exhibits'!G2129:G2133),"")</f>
        <v/>
      </c>
      <c r="H2133" s="3">
        <f>IF(ISNUMBER(AVERAGE('20250815_ETF_Options_Exhibits'!H2129:H2133)),AVERAGE('20250815_ETF_Options_Exhibits'!H2129:H2133),"")</f>
        <v/>
      </c>
      <c r="I2133" s="3">
        <f>IF(ISNUMBER(AVERAGE('20250815_ETF_Options_Exhibits'!I2129:I2133)),AVERAGE('20250815_ETF_Options_Exhibits'!I2129:I2133),"")</f>
        <v/>
      </c>
      <c r="J2133" s="3">
        <f>IF(ISNUMBER(AVERAGE('20250815_ETF_Options_Exhibits'!J2129:J2133)),AVERAGE('20250815_ETF_Options_Exhibits'!J2129:J2133),"")</f>
        <v/>
      </c>
      <c r="K2133" s="3">
        <f>IF(ISNUMBER(AVERAGE('20250815_ETF_Options_Exhibits'!K2129:K2133)),AVERAGE('20250815_ETF_Options_Exhibits'!K2129:K2133),"")</f>
        <v/>
      </c>
      <c r="L2133" s="3">
        <f>IF(ISNUMBER(AVERAGE('20250815_ETF_Options_Exhibits'!L2129:L2133)),AVERAGE('20250815_ETF_Options_Exhibits'!L2129:L2133),"")</f>
        <v/>
      </c>
      <c r="M2133" s="3">
        <f>IF(ISNUMBER(AVERAGE('20250815_ETF_Options_Exhibits'!M2129:M2133)),AVERAGE('20250815_ETF_Options_Exhibits'!M2129:M2133),"")</f>
        <v/>
      </c>
      <c r="N2133" s="3">
        <f>IF(ISNUMBER(AVERAGE('20250815_ETF_Options_Exhibits'!N2129:N2133)),AVERAGE('20250815_ETF_Options_Exhibits'!N2129:N2133),"")</f>
        <v/>
      </c>
      <c r="O2133" s="3">
        <f>IF(ISNUMBER(AVERAGE('20250815_ETF_Options_Exhibits'!O2129:O2133)),AVERAGE('20250815_ETF_Options_Exhibits'!O2129:O2133),"")</f>
        <v/>
      </c>
      <c r="P2133" s="3">
        <f>IF(ISNUMBER(AVERAGE('20250815_ETF_Options_Exhibits'!P2129:P2133)),AVERAGE('20250815_ETF_Options_Exhibits'!P2129:P2133),"")</f>
        <v/>
      </c>
      <c r="Q2133" s="3">
        <f>IF(ISNUMBER(AVERAGE('20250815_ETF_Options_Exhibits'!Q2129:Q2133)),AVERAGE('20250815_ETF_Options_Exhibits'!Q2129:Q2133),"")</f>
        <v/>
      </c>
      <c r="R2133" s="3">
        <f>IF(ISNUMBER(AVERAGE('20250815_ETF_Options_Exhibits'!R2129:R2133)),AVERAGE('20250815_ETF_Options_Exhibits'!R2129:R2133),"")</f>
        <v/>
      </c>
      <c r="S2133" s="3">
        <f>IF(ISNUMBER(AVERAGE('20250815_ETF_Options_Exhibits'!S2129:S2133)),AVERAGE('20250815_ETF_Options_Exhibits'!S2129:S2133),"")</f>
        <v/>
      </c>
      <c r="T2133" s="3">
        <f>IF(ISNUMBER(AVERAGE('20250815_ETF_Options_Exhibits'!T2129:T2133)),AVERAGE('20250815_ETF_Options_Exhibits'!T2129:T2133),"")</f>
        <v/>
      </c>
      <c r="U2133" s="3">
        <f>IF(ISNUMBER(AVERAGE('20250815_ETF_Options_Exhibits'!U2129:U2133)),AVERAGE('20250815_ETF_Options_Exhibits'!U2129:U2133),"")</f>
        <v/>
      </c>
      <c r="V2133" s="3">
        <f>IF(ISNUMBER(AVERAGE('20250815_ETF_Options_Exhibits'!V2129:V2133)),AVERAGE('20250815_ETF_Options_Exhibits'!V2129:V2133),"")</f>
        <v/>
      </c>
      <c r="W2133" s="3">
        <f>IF(ISNUMBER(AVERAGE('20250815_ETF_Options_Exhibits'!W2129:W2133)),AVERAGE('20250815_ETF_Options_Exhibits'!W2129:W2133),"")</f>
        <v/>
      </c>
      <c r="X2133" s="3">
        <f>IF(ISNUMBER(AVERAGE('20250815_ETF_Options_Exhibits'!X2129:X2133)),AVERAGE('20250815_ETF_Options_Exhibits'!X2129:X2133),"")</f>
        <v/>
      </c>
      <c r="Y2133" s="3">
        <f>IF(ISNUMBER(AVERAGE('20250815_ETF_Options_Exhibits'!Y2129:Y2133)),AVERAGE('20250815_ETF_Options_Exhibits'!Y2129:Y2133),"")</f>
        <v/>
      </c>
      <c r="Z2133" s="3">
        <f>IF(ISNUMBER(AVERAGE('20250815_ETF_Options_Exhibits'!Z2129:Z2133)),AVERAGE('20250815_ETF_Options_Exhibits'!Z2129:Z2133),"")</f>
        <v/>
      </c>
      <c r="AA2133" s="3">
        <f>IF(ISNUMBER(AVERAGE('20250815_ETF_Options_Exhibits'!AA2129:AA2133)),AVERAGE('20250815_ETF_Options_Exhibits'!AA2129:AA2133),"")</f>
        <v/>
      </c>
    </row>
    <row r="2134">
      <c r="A2134" s="1" t="n">
        <v>45099</v>
      </c>
      <c r="B2134" s="3">
        <f>IF(ISNUMBER(AVERAGE('20250815_ETF_Options_Exhibits'!B2130:B2134)),AVERAGE('20250815_ETF_Options_Exhibits'!B2130:B2134),"")</f>
        <v/>
      </c>
      <c r="C2134" s="3">
        <f>IF(ISNUMBER(AVERAGE('20250815_ETF_Options_Exhibits'!C2130:C2134)),AVERAGE('20250815_ETF_Options_Exhibits'!C2130:C2134),"")</f>
        <v/>
      </c>
      <c r="D2134" s="3">
        <f>IF(ISNUMBER(AVERAGE('20250815_ETF_Options_Exhibits'!D2130:D2134)),AVERAGE('20250815_ETF_Options_Exhibits'!D2130:D2134),"")</f>
        <v/>
      </c>
      <c r="E2134" s="3">
        <f>IF(ISNUMBER(AVERAGE('20250815_ETF_Options_Exhibits'!E2130:E2134)),AVERAGE('20250815_ETF_Options_Exhibits'!E2130:E2134),"")</f>
        <v/>
      </c>
      <c r="F2134" s="3">
        <f>IF(ISNUMBER(AVERAGE('20250815_ETF_Options_Exhibits'!F2130:F2134)),AVERAGE('20250815_ETF_Options_Exhibits'!F2130:F2134),"")</f>
        <v/>
      </c>
      <c r="G2134" s="3">
        <f>IF(ISNUMBER(AVERAGE('20250815_ETF_Options_Exhibits'!G2130:G2134)),AVERAGE('20250815_ETF_Options_Exhibits'!G2130:G2134),"")</f>
        <v/>
      </c>
      <c r="H2134" s="3">
        <f>IF(ISNUMBER(AVERAGE('20250815_ETF_Options_Exhibits'!H2130:H2134)),AVERAGE('20250815_ETF_Options_Exhibits'!H2130:H2134),"")</f>
        <v/>
      </c>
      <c r="I2134" s="3">
        <f>IF(ISNUMBER(AVERAGE('20250815_ETF_Options_Exhibits'!I2130:I2134)),AVERAGE('20250815_ETF_Options_Exhibits'!I2130:I2134),"")</f>
        <v/>
      </c>
      <c r="J2134" s="3">
        <f>IF(ISNUMBER(AVERAGE('20250815_ETF_Options_Exhibits'!J2130:J2134)),AVERAGE('20250815_ETF_Options_Exhibits'!J2130:J2134),"")</f>
        <v/>
      </c>
      <c r="K2134" s="3">
        <f>IF(ISNUMBER(AVERAGE('20250815_ETF_Options_Exhibits'!K2130:K2134)),AVERAGE('20250815_ETF_Options_Exhibits'!K2130:K2134),"")</f>
        <v/>
      </c>
      <c r="L2134" s="3">
        <f>IF(ISNUMBER(AVERAGE('20250815_ETF_Options_Exhibits'!L2130:L2134)),AVERAGE('20250815_ETF_Options_Exhibits'!L2130:L2134),"")</f>
        <v/>
      </c>
      <c r="M2134" s="3">
        <f>IF(ISNUMBER(AVERAGE('20250815_ETF_Options_Exhibits'!M2130:M2134)),AVERAGE('20250815_ETF_Options_Exhibits'!M2130:M2134),"")</f>
        <v/>
      </c>
      <c r="N2134" s="3">
        <f>IF(ISNUMBER(AVERAGE('20250815_ETF_Options_Exhibits'!N2130:N2134)),AVERAGE('20250815_ETF_Options_Exhibits'!N2130:N2134),"")</f>
        <v/>
      </c>
      <c r="O2134" s="3">
        <f>IF(ISNUMBER(AVERAGE('20250815_ETF_Options_Exhibits'!O2130:O2134)),AVERAGE('20250815_ETF_Options_Exhibits'!O2130:O2134),"")</f>
        <v/>
      </c>
      <c r="P2134" s="3">
        <f>IF(ISNUMBER(AVERAGE('20250815_ETF_Options_Exhibits'!P2130:P2134)),AVERAGE('20250815_ETF_Options_Exhibits'!P2130:P2134),"")</f>
        <v/>
      </c>
      <c r="Q2134" s="3">
        <f>IF(ISNUMBER(AVERAGE('20250815_ETF_Options_Exhibits'!Q2130:Q2134)),AVERAGE('20250815_ETF_Options_Exhibits'!Q2130:Q2134),"")</f>
        <v/>
      </c>
      <c r="R2134" s="3">
        <f>IF(ISNUMBER(AVERAGE('20250815_ETF_Options_Exhibits'!R2130:R2134)),AVERAGE('20250815_ETF_Options_Exhibits'!R2130:R2134),"")</f>
        <v/>
      </c>
      <c r="S2134" s="3">
        <f>IF(ISNUMBER(AVERAGE('20250815_ETF_Options_Exhibits'!S2130:S2134)),AVERAGE('20250815_ETF_Options_Exhibits'!S2130:S2134),"")</f>
        <v/>
      </c>
      <c r="T2134" s="3">
        <f>IF(ISNUMBER(AVERAGE('20250815_ETF_Options_Exhibits'!T2130:T2134)),AVERAGE('20250815_ETF_Options_Exhibits'!T2130:T2134),"")</f>
        <v/>
      </c>
      <c r="U2134" s="3">
        <f>IF(ISNUMBER(AVERAGE('20250815_ETF_Options_Exhibits'!U2130:U2134)),AVERAGE('20250815_ETF_Options_Exhibits'!U2130:U2134),"")</f>
        <v/>
      </c>
      <c r="V2134" s="3">
        <f>IF(ISNUMBER(AVERAGE('20250815_ETF_Options_Exhibits'!V2130:V2134)),AVERAGE('20250815_ETF_Options_Exhibits'!V2130:V2134),"")</f>
        <v/>
      </c>
      <c r="W2134" s="3">
        <f>IF(ISNUMBER(AVERAGE('20250815_ETF_Options_Exhibits'!W2130:W2134)),AVERAGE('20250815_ETF_Options_Exhibits'!W2130:W2134),"")</f>
        <v/>
      </c>
      <c r="X2134" s="3">
        <f>IF(ISNUMBER(AVERAGE('20250815_ETF_Options_Exhibits'!X2130:X2134)),AVERAGE('20250815_ETF_Options_Exhibits'!X2130:X2134),"")</f>
        <v/>
      </c>
      <c r="Y2134" s="3">
        <f>IF(ISNUMBER(AVERAGE('20250815_ETF_Options_Exhibits'!Y2130:Y2134)),AVERAGE('20250815_ETF_Options_Exhibits'!Y2130:Y2134),"")</f>
        <v/>
      </c>
      <c r="Z2134" s="3">
        <f>IF(ISNUMBER(AVERAGE('20250815_ETF_Options_Exhibits'!Z2130:Z2134)),AVERAGE('20250815_ETF_Options_Exhibits'!Z2130:Z2134),"")</f>
        <v/>
      </c>
      <c r="AA2134" s="3">
        <f>IF(ISNUMBER(AVERAGE('20250815_ETF_Options_Exhibits'!AA2130:AA2134)),AVERAGE('20250815_ETF_Options_Exhibits'!AA2130:AA2134),"")</f>
        <v/>
      </c>
    </row>
    <row r="2135">
      <c r="A2135" s="1" t="n">
        <v>45100</v>
      </c>
      <c r="B2135" s="3">
        <f>IF(ISNUMBER(AVERAGE('20250815_ETF_Options_Exhibits'!B2131:B2135)),AVERAGE('20250815_ETF_Options_Exhibits'!B2131:B2135),"")</f>
        <v/>
      </c>
      <c r="C2135" s="3">
        <f>IF(ISNUMBER(AVERAGE('20250815_ETF_Options_Exhibits'!C2131:C2135)),AVERAGE('20250815_ETF_Options_Exhibits'!C2131:C2135),"")</f>
        <v/>
      </c>
      <c r="D2135" s="3">
        <f>IF(ISNUMBER(AVERAGE('20250815_ETF_Options_Exhibits'!D2131:D2135)),AVERAGE('20250815_ETF_Options_Exhibits'!D2131:D2135),"")</f>
        <v/>
      </c>
      <c r="E2135" s="3">
        <f>IF(ISNUMBER(AVERAGE('20250815_ETF_Options_Exhibits'!E2131:E2135)),AVERAGE('20250815_ETF_Options_Exhibits'!E2131:E2135),"")</f>
        <v/>
      </c>
      <c r="F2135" s="3">
        <f>IF(ISNUMBER(AVERAGE('20250815_ETF_Options_Exhibits'!F2131:F2135)),AVERAGE('20250815_ETF_Options_Exhibits'!F2131:F2135),"")</f>
        <v/>
      </c>
      <c r="G2135" s="3">
        <f>IF(ISNUMBER(AVERAGE('20250815_ETF_Options_Exhibits'!G2131:G2135)),AVERAGE('20250815_ETF_Options_Exhibits'!G2131:G2135),"")</f>
        <v/>
      </c>
      <c r="H2135" s="3">
        <f>IF(ISNUMBER(AVERAGE('20250815_ETF_Options_Exhibits'!H2131:H2135)),AVERAGE('20250815_ETF_Options_Exhibits'!H2131:H2135),"")</f>
        <v/>
      </c>
      <c r="I2135" s="3">
        <f>IF(ISNUMBER(AVERAGE('20250815_ETF_Options_Exhibits'!I2131:I2135)),AVERAGE('20250815_ETF_Options_Exhibits'!I2131:I2135),"")</f>
        <v/>
      </c>
      <c r="J2135" s="3">
        <f>IF(ISNUMBER(AVERAGE('20250815_ETF_Options_Exhibits'!J2131:J2135)),AVERAGE('20250815_ETF_Options_Exhibits'!J2131:J2135),"")</f>
        <v/>
      </c>
      <c r="K2135" s="3">
        <f>IF(ISNUMBER(AVERAGE('20250815_ETF_Options_Exhibits'!K2131:K2135)),AVERAGE('20250815_ETF_Options_Exhibits'!K2131:K2135),"")</f>
        <v/>
      </c>
      <c r="L2135" s="3">
        <f>IF(ISNUMBER(AVERAGE('20250815_ETF_Options_Exhibits'!L2131:L2135)),AVERAGE('20250815_ETF_Options_Exhibits'!L2131:L2135),"")</f>
        <v/>
      </c>
      <c r="M2135" s="3">
        <f>IF(ISNUMBER(AVERAGE('20250815_ETF_Options_Exhibits'!M2131:M2135)),AVERAGE('20250815_ETF_Options_Exhibits'!M2131:M2135),"")</f>
        <v/>
      </c>
      <c r="N2135" s="3">
        <f>IF(ISNUMBER(AVERAGE('20250815_ETF_Options_Exhibits'!N2131:N2135)),AVERAGE('20250815_ETF_Options_Exhibits'!N2131:N2135),"")</f>
        <v/>
      </c>
      <c r="O2135" s="3">
        <f>IF(ISNUMBER(AVERAGE('20250815_ETF_Options_Exhibits'!O2131:O2135)),AVERAGE('20250815_ETF_Options_Exhibits'!O2131:O2135),"")</f>
        <v/>
      </c>
      <c r="P2135" s="3">
        <f>IF(ISNUMBER(AVERAGE('20250815_ETF_Options_Exhibits'!P2131:P2135)),AVERAGE('20250815_ETF_Options_Exhibits'!P2131:P2135),"")</f>
        <v/>
      </c>
      <c r="Q2135" s="3">
        <f>IF(ISNUMBER(AVERAGE('20250815_ETF_Options_Exhibits'!Q2131:Q2135)),AVERAGE('20250815_ETF_Options_Exhibits'!Q2131:Q2135),"")</f>
        <v/>
      </c>
      <c r="R2135" s="3">
        <f>IF(ISNUMBER(AVERAGE('20250815_ETF_Options_Exhibits'!R2131:R2135)),AVERAGE('20250815_ETF_Options_Exhibits'!R2131:R2135),"")</f>
        <v/>
      </c>
      <c r="S2135" s="3">
        <f>IF(ISNUMBER(AVERAGE('20250815_ETF_Options_Exhibits'!S2131:S2135)),AVERAGE('20250815_ETF_Options_Exhibits'!S2131:S2135),"")</f>
        <v/>
      </c>
      <c r="T2135" s="3">
        <f>IF(ISNUMBER(AVERAGE('20250815_ETF_Options_Exhibits'!T2131:T2135)),AVERAGE('20250815_ETF_Options_Exhibits'!T2131:T2135),"")</f>
        <v/>
      </c>
      <c r="U2135" s="3">
        <f>IF(ISNUMBER(AVERAGE('20250815_ETF_Options_Exhibits'!U2131:U2135)),AVERAGE('20250815_ETF_Options_Exhibits'!U2131:U2135),"")</f>
        <v/>
      </c>
      <c r="V2135" s="3">
        <f>IF(ISNUMBER(AVERAGE('20250815_ETF_Options_Exhibits'!V2131:V2135)),AVERAGE('20250815_ETF_Options_Exhibits'!V2131:V2135),"")</f>
        <v/>
      </c>
      <c r="W2135" s="3">
        <f>IF(ISNUMBER(AVERAGE('20250815_ETF_Options_Exhibits'!W2131:W2135)),AVERAGE('20250815_ETF_Options_Exhibits'!W2131:W2135),"")</f>
        <v/>
      </c>
      <c r="X2135" s="3">
        <f>IF(ISNUMBER(AVERAGE('20250815_ETF_Options_Exhibits'!X2131:X2135)),AVERAGE('20250815_ETF_Options_Exhibits'!X2131:X2135),"")</f>
        <v/>
      </c>
      <c r="Y2135" s="3">
        <f>IF(ISNUMBER(AVERAGE('20250815_ETF_Options_Exhibits'!Y2131:Y2135)),AVERAGE('20250815_ETF_Options_Exhibits'!Y2131:Y2135),"")</f>
        <v/>
      </c>
      <c r="Z2135" s="3">
        <f>IF(ISNUMBER(AVERAGE('20250815_ETF_Options_Exhibits'!Z2131:Z2135)),AVERAGE('20250815_ETF_Options_Exhibits'!Z2131:Z2135),"")</f>
        <v/>
      </c>
      <c r="AA2135" s="3">
        <f>IF(ISNUMBER(AVERAGE('20250815_ETF_Options_Exhibits'!AA2131:AA2135)),AVERAGE('20250815_ETF_Options_Exhibits'!AA2131:AA2135),"")</f>
        <v/>
      </c>
    </row>
    <row r="2136">
      <c r="A2136" s="1" t="n">
        <v>45103</v>
      </c>
      <c r="B2136" s="3">
        <f>IF(ISNUMBER(AVERAGE('20250815_ETF_Options_Exhibits'!B2132:B2136)),AVERAGE('20250815_ETF_Options_Exhibits'!B2132:B2136),"")</f>
        <v/>
      </c>
      <c r="C2136" s="3">
        <f>IF(ISNUMBER(AVERAGE('20250815_ETF_Options_Exhibits'!C2132:C2136)),AVERAGE('20250815_ETF_Options_Exhibits'!C2132:C2136),"")</f>
        <v/>
      </c>
      <c r="D2136" s="3">
        <f>IF(ISNUMBER(AVERAGE('20250815_ETF_Options_Exhibits'!D2132:D2136)),AVERAGE('20250815_ETF_Options_Exhibits'!D2132:D2136),"")</f>
        <v/>
      </c>
      <c r="E2136" s="3">
        <f>IF(ISNUMBER(AVERAGE('20250815_ETF_Options_Exhibits'!E2132:E2136)),AVERAGE('20250815_ETF_Options_Exhibits'!E2132:E2136),"")</f>
        <v/>
      </c>
      <c r="F2136" s="3">
        <f>IF(ISNUMBER(AVERAGE('20250815_ETF_Options_Exhibits'!F2132:F2136)),AVERAGE('20250815_ETF_Options_Exhibits'!F2132:F2136),"")</f>
        <v/>
      </c>
      <c r="G2136" s="3">
        <f>IF(ISNUMBER(AVERAGE('20250815_ETF_Options_Exhibits'!G2132:G2136)),AVERAGE('20250815_ETF_Options_Exhibits'!G2132:G2136),"")</f>
        <v/>
      </c>
      <c r="H2136" s="3">
        <f>IF(ISNUMBER(AVERAGE('20250815_ETF_Options_Exhibits'!H2132:H2136)),AVERAGE('20250815_ETF_Options_Exhibits'!H2132:H2136),"")</f>
        <v/>
      </c>
      <c r="I2136" s="3">
        <f>IF(ISNUMBER(AVERAGE('20250815_ETF_Options_Exhibits'!I2132:I2136)),AVERAGE('20250815_ETF_Options_Exhibits'!I2132:I2136),"")</f>
        <v/>
      </c>
      <c r="J2136" s="3">
        <f>IF(ISNUMBER(AVERAGE('20250815_ETF_Options_Exhibits'!J2132:J2136)),AVERAGE('20250815_ETF_Options_Exhibits'!J2132:J2136),"")</f>
        <v/>
      </c>
      <c r="K2136" s="3">
        <f>IF(ISNUMBER(AVERAGE('20250815_ETF_Options_Exhibits'!K2132:K2136)),AVERAGE('20250815_ETF_Options_Exhibits'!K2132:K2136),"")</f>
        <v/>
      </c>
      <c r="L2136" s="3">
        <f>IF(ISNUMBER(AVERAGE('20250815_ETF_Options_Exhibits'!L2132:L2136)),AVERAGE('20250815_ETF_Options_Exhibits'!L2132:L2136),"")</f>
        <v/>
      </c>
      <c r="M2136" s="3">
        <f>IF(ISNUMBER(AVERAGE('20250815_ETF_Options_Exhibits'!M2132:M2136)),AVERAGE('20250815_ETF_Options_Exhibits'!M2132:M2136),"")</f>
        <v/>
      </c>
      <c r="N2136" s="3">
        <f>IF(ISNUMBER(AVERAGE('20250815_ETF_Options_Exhibits'!N2132:N2136)),AVERAGE('20250815_ETF_Options_Exhibits'!N2132:N2136),"")</f>
        <v/>
      </c>
      <c r="O2136" s="3">
        <f>IF(ISNUMBER(AVERAGE('20250815_ETF_Options_Exhibits'!O2132:O2136)),AVERAGE('20250815_ETF_Options_Exhibits'!O2132:O2136),"")</f>
        <v/>
      </c>
      <c r="P2136" s="3">
        <f>IF(ISNUMBER(AVERAGE('20250815_ETF_Options_Exhibits'!P2132:P2136)),AVERAGE('20250815_ETF_Options_Exhibits'!P2132:P2136),"")</f>
        <v/>
      </c>
      <c r="Q2136" s="3">
        <f>IF(ISNUMBER(AVERAGE('20250815_ETF_Options_Exhibits'!Q2132:Q2136)),AVERAGE('20250815_ETF_Options_Exhibits'!Q2132:Q2136),"")</f>
        <v/>
      </c>
      <c r="R2136" s="3">
        <f>IF(ISNUMBER(AVERAGE('20250815_ETF_Options_Exhibits'!R2132:R2136)),AVERAGE('20250815_ETF_Options_Exhibits'!R2132:R2136),"")</f>
        <v/>
      </c>
      <c r="S2136" s="3">
        <f>IF(ISNUMBER(AVERAGE('20250815_ETF_Options_Exhibits'!S2132:S2136)),AVERAGE('20250815_ETF_Options_Exhibits'!S2132:S2136),"")</f>
        <v/>
      </c>
      <c r="T2136" s="3">
        <f>IF(ISNUMBER(AVERAGE('20250815_ETF_Options_Exhibits'!T2132:T2136)),AVERAGE('20250815_ETF_Options_Exhibits'!T2132:T2136),"")</f>
        <v/>
      </c>
      <c r="U2136" s="3">
        <f>IF(ISNUMBER(AVERAGE('20250815_ETF_Options_Exhibits'!U2132:U2136)),AVERAGE('20250815_ETF_Options_Exhibits'!U2132:U2136),"")</f>
        <v/>
      </c>
      <c r="V2136" s="3">
        <f>IF(ISNUMBER(AVERAGE('20250815_ETF_Options_Exhibits'!V2132:V2136)),AVERAGE('20250815_ETF_Options_Exhibits'!V2132:V2136),"")</f>
        <v/>
      </c>
      <c r="W2136" s="3">
        <f>IF(ISNUMBER(AVERAGE('20250815_ETF_Options_Exhibits'!W2132:W2136)),AVERAGE('20250815_ETF_Options_Exhibits'!W2132:W2136),"")</f>
        <v/>
      </c>
      <c r="X2136" s="3">
        <f>IF(ISNUMBER(AVERAGE('20250815_ETF_Options_Exhibits'!X2132:X2136)),AVERAGE('20250815_ETF_Options_Exhibits'!X2132:X2136),"")</f>
        <v/>
      </c>
      <c r="Y2136" s="3">
        <f>IF(ISNUMBER(AVERAGE('20250815_ETF_Options_Exhibits'!Y2132:Y2136)),AVERAGE('20250815_ETF_Options_Exhibits'!Y2132:Y2136),"")</f>
        <v/>
      </c>
      <c r="Z2136" s="3">
        <f>IF(ISNUMBER(AVERAGE('20250815_ETF_Options_Exhibits'!Z2132:Z2136)),AVERAGE('20250815_ETF_Options_Exhibits'!Z2132:Z2136),"")</f>
        <v/>
      </c>
      <c r="AA2136" s="3">
        <f>IF(ISNUMBER(AVERAGE('20250815_ETF_Options_Exhibits'!AA2132:AA2136)),AVERAGE('20250815_ETF_Options_Exhibits'!AA2132:AA2136),"")</f>
        <v/>
      </c>
    </row>
    <row r="2137">
      <c r="A2137" s="1" t="n">
        <v>45104</v>
      </c>
      <c r="B2137" s="3">
        <f>IF(ISNUMBER(AVERAGE('20250815_ETF_Options_Exhibits'!B2133:B2137)),AVERAGE('20250815_ETF_Options_Exhibits'!B2133:B2137),"")</f>
        <v/>
      </c>
      <c r="C2137" s="3">
        <f>IF(ISNUMBER(AVERAGE('20250815_ETF_Options_Exhibits'!C2133:C2137)),AVERAGE('20250815_ETF_Options_Exhibits'!C2133:C2137),"")</f>
        <v/>
      </c>
      <c r="D2137" s="3">
        <f>IF(ISNUMBER(AVERAGE('20250815_ETF_Options_Exhibits'!D2133:D2137)),AVERAGE('20250815_ETF_Options_Exhibits'!D2133:D2137),"")</f>
        <v/>
      </c>
      <c r="E2137" s="3">
        <f>IF(ISNUMBER(AVERAGE('20250815_ETF_Options_Exhibits'!E2133:E2137)),AVERAGE('20250815_ETF_Options_Exhibits'!E2133:E2137),"")</f>
        <v/>
      </c>
      <c r="F2137" s="3">
        <f>IF(ISNUMBER(AVERAGE('20250815_ETF_Options_Exhibits'!F2133:F2137)),AVERAGE('20250815_ETF_Options_Exhibits'!F2133:F2137),"")</f>
        <v/>
      </c>
      <c r="G2137" s="3">
        <f>IF(ISNUMBER(AVERAGE('20250815_ETF_Options_Exhibits'!G2133:G2137)),AVERAGE('20250815_ETF_Options_Exhibits'!G2133:G2137),"")</f>
        <v/>
      </c>
      <c r="H2137" s="3">
        <f>IF(ISNUMBER(AVERAGE('20250815_ETF_Options_Exhibits'!H2133:H2137)),AVERAGE('20250815_ETF_Options_Exhibits'!H2133:H2137),"")</f>
        <v/>
      </c>
      <c r="I2137" s="3">
        <f>IF(ISNUMBER(AVERAGE('20250815_ETF_Options_Exhibits'!I2133:I2137)),AVERAGE('20250815_ETF_Options_Exhibits'!I2133:I2137),"")</f>
        <v/>
      </c>
      <c r="J2137" s="3">
        <f>IF(ISNUMBER(AVERAGE('20250815_ETF_Options_Exhibits'!J2133:J2137)),AVERAGE('20250815_ETF_Options_Exhibits'!J2133:J2137),"")</f>
        <v/>
      </c>
      <c r="K2137" s="3">
        <f>IF(ISNUMBER(AVERAGE('20250815_ETF_Options_Exhibits'!K2133:K2137)),AVERAGE('20250815_ETF_Options_Exhibits'!K2133:K2137),"")</f>
        <v/>
      </c>
      <c r="L2137" s="3">
        <f>IF(ISNUMBER(AVERAGE('20250815_ETF_Options_Exhibits'!L2133:L2137)),AVERAGE('20250815_ETF_Options_Exhibits'!L2133:L2137),"")</f>
        <v/>
      </c>
      <c r="M2137" s="3">
        <f>IF(ISNUMBER(AVERAGE('20250815_ETF_Options_Exhibits'!M2133:M2137)),AVERAGE('20250815_ETF_Options_Exhibits'!M2133:M2137),"")</f>
        <v/>
      </c>
      <c r="N2137" s="3">
        <f>IF(ISNUMBER(AVERAGE('20250815_ETF_Options_Exhibits'!N2133:N2137)),AVERAGE('20250815_ETF_Options_Exhibits'!N2133:N2137),"")</f>
        <v/>
      </c>
      <c r="O2137" s="3">
        <f>IF(ISNUMBER(AVERAGE('20250815_ETF_Options_Exhibits'!O2133:O2137)),AVERAGE('20250815_ETF_Options_Exhibits'!O2133:O2137),"")</f>
        <v/>
      </c>
      <c r="P2137" s="3">
        <f>IF(ISNUMBER(AVERAGE('20250815_ETF_Options_Exhibits'!P2133:P2137)),AVERAGE('20250815_ETF_Options_Exhibits'!P2133:P2137),"")</f>
        <v/>
      </c>
      <c r="Q2137" s="3">
        <f>IF(ISNUMBER(AVERAGE('20250815_ETF_Options_Exhibits'!Q2133:Q2137)),AVERAGE('20250815_ETF_Options_Exhibits'!Q2133:Q2137),"")</f>
        <v/>
      </c>
      <c r="R2137" s="3">
        <f>IF(ISNUMBER(AVERAGE('20250815_ETF_Options_Exhibits'!R2133:R2137)),AVERAGE('20250815_ETF_Options_Exhibits'!R2133:R2137),"")</f>
        <v/>
      </c>
      <c r="S2137" s="3">
        <f>IF(ISNUMBER(AVERAGE('20250815_ETF_Options_Exhibits'!S2133:S2137)),AVERAGE('20250815_ETF_Options_Exhibits'!S2133:S2137),"")</f>
        <v/>
      </c>
      <c r="T2137" s="3">
        <f>IF(ISNUMBER(AVERAGE('20250815_ETF_Options_Exhibits'!T2133:T2137)),AVERAGE('20250815_ETF_Options_Exhibits'!T2133:T2137),"")</f>
        <v/>
      </c>
      <c r="U2137" s="3">
        <f>IF(ISNUMBER(AVERAGE('20250815_ETF_Options_Exhibits'!U2133:U2137)),AVERAGE('20250815_ETF_Options_Exhibits'!U2133:U2137),"")</f>
        <v/>
      </c>
      <c r="V2137" s="3">
        <f>IF(ISNUMBER(AVERAGE('20250815_ETF_Options_Exhibits'!V2133:V2137)),AVERAGE('20250815_ETF_Options_Exhibits'!V2133:V2137),"")</f>
        <v/>
      </c>
      <c r="W2137" s="3">
        <f>IF(ISNUMBER(AVERAGE('20250815_ETF_Options_Exhibits'!W2133:W2137)),AVERAGE('20250815_ETF_Options_Exhibits'!W2133:W2137),"")</f>
        <v/>
      </c>
      <c r="X2137" s="3">
        <f>IF(ISNUMBER(AVERAGE('20250815_ETF_Options_Exhibits'!X2133:X2137)),AVERAGE('20250815_ETF_Options_Exhibits'!X2133:X2137),"")</f>
        <v/>
      </c>
      <c r="Y2137" s="3">
        <f>IF(ISNUMBER(AVERAGE('20250815_ETF_Options_Exhibits'!Y2133:Y2137)),AVERAGE('20250815_ETF_Options_Exhibits'!Y2133:Y2137),"")</f>
        <v/>
      </c>
      <c r="Z2137" s="3">
        <f>IF(ISNUMBER(AVERAGE('20250815_ETF_Options_Exhibits'!Z2133:Z2137)),AVERAGE('20250815_ETF_Options_Exhibits'!Z2133:Z2137),"")</f>
        <v/>
      </c>
      <c r="AA2137" s="3">
        <f>IF(ISNUMBER(AVERAGE('20250815_ETF_Options_Exhibits'!AA2133:AA2137)),AVERAGE('20250815_ETF_Options_Exhibits'!AA2133:AA2137),"")</f>
        <v/>
      </c>
    </row>
    <row r="2138">
      <c r="A2138" s="1" t="n">
        <v>45105</v>
      </c>
      <c r="B2138" s="3">
        <f>IF(ISNUMBER(AVERAGE('20250815_ETF_Options_Exhibits'!B2134:B2138)),AVERAGE('20250815_ETF_Options_Exhibits'!B2134:B2138),"")</f>
        <v/>
      </c>
      <c r="C2138" s="3">
        <f>IF(ISNUMBER(AVERAGE('20250815_ETF_Options_Exhibits'!C2134:C2138)),AVERAGE('20250815_ETF_Options_Exhibits'!C2134:C2138),"")</f>
        <v/>
      </c>
      <c r="D2138" s="3">
        <f>IF(ISNUMBER(AVERAGE('20250815_ETF_Options_Exhibits'!D2134:D2138)),AVERAGE('20250815_ETF_Options_Exhibits'!D2134:D2138),"")</f>
        <v/>
      </c>
      <c r="E2138" s="3">
        <f>IF(ISNUMBER(AVERAGE('20250815_ETF_Options_Exhibits'!E2134:E2138)),AVERAGE('20250815_ETF_Options_Exhibits'!E2134:E2138),"")</f>
        <v/>
      </c>
      <c r="F2138" s="3">
        <f>IF(ISNUMBER(AVERAGE('20250815_ETF_Options_Exhibits'!F2134:F2138)),AVERAGE('20250815_ETF_Options_Exhibits'!F2134:F2138),"")</f>
        <v/>
      </c>
      <c r="G2138" s="3">
        <f>IF(ISNUMBER(AVERAGE('20250815_ETF_Options_Exhibits'!G2134:G2138)),AVERAGE('20250815_ETF_Options_Exhibits'!G2134:G2138),"")</f>
        <v/>
      </c>
      <c r="H2138" s="3">
        <f>IF(ISNUMBER(AVERAGE('20250815_ETF_Options_Exhibits'!H2134:H2138)),AVERAGE('20250815_ETF_Options_Exhibits'!H2134:H2138),"")</f>
        <v/>
      </c>
      <c r="I2138" s="3">
        <f>IF(ISNUMBER(AVERAGE('20250815_ETF_Options_Exhibits'!I2134:I2138)),AVERAGE('20250815_ETF_Options_Exhibits'!I2134:I2138),"")</f>
        <v/>
      </c>
      <c r="J2138" s="3">
        <f>IF(ISNUMBER(AVERAGE('20250815_ETF_Options_Exhibits'!J2134:J2138)),AVERAGE('20250815_ETF_Options_Exhibits'!J2134:J2138),"")</f>
        <v/>
      </c>
      <c r="K2138" s="3">
        <f>IF(ISNUMBER(AVERAGE('20250815_ETF_Options_Exhibits'!K2134:K2138)),AVERAGE('20250815_ETF_Options_Exhibits'!K2134:K2138),"")</f>
        <v/>
      </c>
      <c r="L2138" s="3">
        <f>IF(ISNUMBER(AVERAGE('20250815_ETF_Options_Exhibits'!L2134:L2138)),AVERAGE('20250815_ETF_Options_Exhibits'!L2134:L2138),"")</f>
        <v/>
      </c>
      <c r="M2138" s="3">
        <f>IF(ISNUMBER(AVERAGE('20250815_ETF_Options_Exhibits'!M2134:M2138)),AVERAGE('20250815_ETF_Options_Exhibits'!M2134:M2138),"")</f>
        <v/>
      </c>
      <c r="N2138" s="3">
        <f>IF(ISNUMBER(AVERAGE('20250815_ETF_Options_Exhibits'!N2134:N2138)),AVERAGE('20250815_ETF_Options_Exhibits'!N2134:N2138),"")</f>
        <v/>
      </c>
      <c r="O2138" s="3">
        <f>IF(ISNUMBER(AVERAGE('20250815_ETF_Options_Exhibits'!O2134:O2138)),AVERAGE('20250815_ETF_Options_Exhibits'!O2134:O2138),"")</f>
        <v/>
      </c>
      <c r="P2138" s="3">
        <f>IF(ISNUMBER(AVERAGE('20250815_ETF_Options_Exhibits'!P2134:P2138)),AVERAGE('20250815_ETF_Options_Exhibits'!P2134:P2138),"")</f>
        <v/>
      </c>
      <c r="Q2138" s="3">
        <f>IF(ISNUMBER(AVERAGE('20250815_ETF_Options_Exhibits'!Q2134:Q2138)),AVERAGE('20250815_ETF_Options_Exhibits'!Q2134:Q2138),"")</f>
        <v/>
      </c>
      <c r="R2138" s="3">
        <f>IF(ISNUMBER(AVERAGE('20250815_ETF_Options_Exhibits'!R2134:R2138)),AVERAGE('20250815_ETF_Options_Exhibits'!R2134:R2138),"")</f>
        <v/>
      </c>
      <c r="S2138" s="3">
        <f>IF(ISNUMBER(AVERAGE('20250815_ETF_Options_Exhibits'!S2134:S2138)),AVERAGE('20250815_ETF_Options_Exhibits'!S2134:S2138),"")</f>
        <v/>
      </c>
      <c r="T2138" s="3">
        <f>IF(ISNUMBER(AVERAGE('20250815_ETF_Options_Exhibits'!T2134:T2138)),AVERAGE('20250815_ETF_Options_Exhibits'!T2134:T2138),"")</f>
        <v/>
      </c>
      <c r="U2138" s="3">
        <f>IF(ISNUMBER(AVERAGE('20250815_ETF_Options_Exhibits'!U2134:U2138)),AVERAGE('20250815_ETF_Options_Exhibits'!U2134:U2138),"")</f>
        <v/>
      </c>
      <c r="V2138" s="3">
        <f>IF(ISNUMBER(AVERAGE('20250815_ETF_Options_Exhibits'!V2134:V2138)),AVERAGE('20250815_ETF_Options_Exhibits'!V2134:V2138),"")</f>
        <v/>
      </c>
      <c r="W2138" s="3">
        <f>IF(ISNUMBER(AVERAGE('20250815_ETF_Options_Exhibits'!W2134:W2138)),AVERAGE('20250815_ETF_Options_Exhibits'!W2134:W2138),"")</f>
        <v/>
      </c>
      <c r="X2138" s="3">
        <f>IF(ISNUMBER(AVERAGE('20250815_ETF_Options_Exhibits'!X2134:X2138)),AVERAGE('20250815_ETF_Options_Exhibits'!X2134:X2138),"")</f>
        <v/>
      </c>
      <c r="Y2138" s="3">
        <f>IF(ISNUMBER(AVERAGE('20250815_ETF_Options_Exhibits'!Y2134:Y2138)),AVERAGE('20250815_ETF_Options_Exhibits'!Y2134:Y2138),"")</f>
        <v/>
      </c>
      <c r="Z2138" s="3">
        <f>IF(ISNUMBER(AVERAGE('20250815_ETF_Options_Exhibits'!Z2134:Z2138)),AVERAGE('20250815_ETF_Options_Exhibits'!Z2134:Z2138),"")</f>
        <v/>
      </c>
      <c r="AA2138" s="3">
        <f>IF(ISNUMBER(AVERAGE('20250815_ETF_Options_Exhibits'!AA2134:AA2138)),AVERAGE('20250815_ETF_Options_Exhibits'!AA2134:AA2138),"")</f>
        <v/>
      </c>
    </row>
    <row r="2139">
      <c r="A2139" s="1" t="n">
        <v>45106</v>
      </c>
      <c r="B2139" s="3">
        <f>IF(ISNUMBER(AVERAGE('20250815_ETF_Options_Exhibits'!B2135:B2139)),AVERAGE('20250815_ETF_Options_Exhibits'!B2135:B2139),"")</f>
        <v/>
      </c>
      <c r="C2139" s="3">
        <f>IF(ISNUMBER(AVERAGE('20250815_ETF_Options_Exhibits'!C2135:C2139)),AVERAGE('20250815_ETF_Options_Exhibits'!C2135:C2139),"")</f>
        <v/>
      </c>
      <c r="D2139" s="3">
        <f>IF(ISNUMBER(AVERAGE('20250815_ETF_Options_Exhibits'!D2135:D2139)),AVERAGE('20250815_ETF_Options_Exhibits'!D2135:D2139),"")</f>
        <v/>
      </c>
      <c r="E2139" s="3">
        <f>IF(ISNUMBER(AVERAGE('20250815_ETF_Options_Exhibits'!E2135:E2139)),AVERAGE('20250815_ETF_Options_Exhibits'!E2135:E2139),"")</f>
        <v/>
      </c>
      <c r="F2139" s="3">
        <f>IF(ISNUMBER(AVERAGE('20250815_ETF_Options_Exhibits'!F2135:F2139)),AVERAGE('20250815_ETF_Options_Exhibits'!F2135:F2139),"")</f>
        <v/>
      </c>
      <c r="G2139" s="3">
        <f>IF(ISNUMBER(AVERAGE('20250815_ETF_Options_Exhibits'!G2135:G2139)),AVERAGE('20250815_ETF_Options_Exhibits'!G2135:G2139),"")</f>
        <v/>
      </c>
      <c r="H2139" s="3">
        <f>IF(ISNUMBER(AVERAGE('20250815_ETF_Options_Exhibits'!H2135:H2139)),AVERAGE('20250815_ETF_Options_Exhibits'!H2135:H2139),"")</f>
        <v/>
      </c>
      <c r="I2139" s="3">
        <f>IF(ISNUMBER(AVERAGE('20250815_ETF_Options_Exhibits'!I2135:I2139)),AVERAGE('20250815_ETF_Options_Exhibits'!I2135:I2139),"")</f>
        <v/>
      </c>
      <c r="J2139" s="3">
        <f>IF(ISNUMBER(AVERAGE('20250815_ETF_Options_Exhibits'!J2135:J2139)),AVERAGE('20250815_ETF_Options_Exhibits'!J2135:J2139),"")</f>
        <v/>
      </c>
      <c r="K2139" s="3">
        <f>IF(ISNUMBER(AVERAGE('20250815_ETF_Options_Exhibits'!K2135:K2139)),AVERAGE('20250815_ETF_Options_Exhibits'!K2135:K2139),"")</f>
        <v/>
      </c>
      <c r="L2139" s="3">
        <f>IF(ISNUMBER(AVERAGE('20250815_ETF_Options_Exhibits'!L2135:L2139)),AVERAGE('20250815_ETF_Options_Exhibits'!L2135:L2139),"")</f>
        <v/>
      </c>
      <c r="M2139" s="3">
        <f>IF(ISNUMBER(AVERAGE('20250815_ETF_Options_Exhibits'!M2135:M2139)),AVERAGE('20250815_ETF_Options_Exhibits'!M2135:M2139),"")</f>
        <v/>
      </c>
      <c r="N2139" s="3">
        <f>IF(ISNUMBER(AVERAGE('20250815_ETF_Options_Exhibits'!N2135:N2139)),AVERAGE('20250815_ETF_Options_Exhibits'!N2135:N2139),"")</f>
        <v/>
      </c>
      <c r="O2139" s="3">
        <f>IF(ISNUMBER(AVERAGE('20250815_ETF_Options_Exhibits'!O2135:O2139)),AVERAGE('20250815_ETF_Options_Exhibits'!O2135:O2139),"")</f>
        <v/>
      </c>
      <c r="P2139" s="3">
        <f>IF(ISNUMBER(AVERAGE('20250815_ETF_Options_Exhibits'!P2135:P2139)),AVERAGE('20250815_ETF_Options_Exhibits'!P2135:P2139),"")</f>
        <v/>
      </c>
      <c r="Q2139" s="3">
        <f>IF(ISNUMBER(AVERAGE('20250815_ETF_Options_Exhibits'!Q2135:Q2139)),AVERAGE('20250815_ETF_Options_Exhibits'!Q2135:Q2139),"")</f>
        <v/>
      </c>
      <c r="R2139" s="3">
        <f>IF(ISNUMBER(AVERAGE('20250815_ETF_Options_Exhibits'!R2135:R2139)),AVERAGE('20250815_ETF_Options_Exhibits'!R2135:R2139),"")</f>
        <v/>
      </c>
      <c r="S2139" s="3">
        <f>IF(ISNUMBER(AVERAGE('20250815_ETF_Options_Exhibits'!S2135:S2139)),AVERAGE('20250815_ETF_Options_Exhibits'!S2135:S2139),"")</f>
        <v/>
      </c>
      <c r="T2139" s="3">
        <f>IF(ISNUMBER(AVERAGE('20250815_ETF_Options_Exhibits'!T2135:T2139)),AVERAGE('20250815_ETF_Options_Exhibits'!T2135:T2139),"")</f>
        <v/>
      </c>
      <c r="U2139" s="3">
        <f>IF(ISNUMBER(AVERAGE('20250815_ETF_Options_Exhibits'!U2135:U2139)),AVERAGE('20250815_ETF_Options_Exhibits'!U2135:U2139),"")</f>
        <v/>
      </c>
      <c r="V2139" s="3">
        <f>IF(ISNUMBER(AVERAGE('20250815_ETF_Options_Exhibits'!V2135:V2139)),AVERAGE('20250815_ETF_Options_Exhibits'!V2135:V2139),"")</f>
        <v/>
      </c>
      <c r="W2139" s="3">
        <f>IF(ISNUMBER(AVERAGE('20250815_ETF_Options_Exhibits'!W2135:W2139)),AVERAGE('20250815_ETF_Options_Exhibits'!W2135:W2139),"")</f>
        <v/>
      </c>
      <c r="X2139" s="3">
        <f>IF(ISNUMBER(AVERAGE('20250815_ETF_Options_Exhibits'!X2135:X2139)),AVERAGE('20250815_ETF_Options_Exhibits'!X2135:X2139),"")</f>
        <v/>
      </c>
      <c r="Y2139" s="3">
        <f>IF(ISNUMBER(AVERAGE('20250815_ETF_Options_Exhibits'!Y2135:Y2139)),AVERAGE('20250815_ETF_Options_Exhibits'!Y2135:Y2139),"")</f>
        <v/>
      </c>
      <c r="Z2139" s="3">
        <f>IF(ISNUMBER(AVERAGE('20250815_ETF_Options_Exhibits'!Z2135:Z2139)),AVERAGE('20250815_ETF_Options_Exhibits'!Z2135:Z2139),"")</f>
        <v/>
      </c>
      <c r="AA2139" s="3">
        <f>IF(ISNUMBER(AVERAGE('20250815_ETF_Options_Exhibits'!AA2135:AA2139)),AVERAGE('20250815_ETF_Options_Exhibits'!AA2135:AA2139),"")</f>
        <v/>
      </c>
    </row>
    <row r="2140">
      <c r="A2140" s="1" t="n">
        <v>45107</v>
      </c>
      <c r="B2140" s="3">
        <f>IF(ISNUMBER(AVERAGE('20250815_ETF_Options_Exhibits'!B2136:B2140)),AVERAGE('20250815_ETF_Options_Exhibits'!B2136:B2140),"")</f>
        <v/>
      </c>
      <c r="C2140" s="3">
        <f>IF(ISNUMBER(AVERAGE('20250815_ETF_Options_Exhibits'!C2136:C2140)),AVERAGE('20250815_ETF_Options_Exhibits'!C2136:C2140),"")</f>
        <v/>
      </c>
      <c r="D2140" s="3">
        <f>IF(ISNUMBER(AVERAGE('20250815_ETF_Options_Exhibits'!D2136:D2140)),AVERAGE('20250815_ETF_Options_Exhibits'!D2136:D2140),"")</f>
        <v/>
      </c>
      <c r="E2140" s="3">
        <f>IF(ISNUMBER(AVERAGE('20250815_ETF_Options_Exhibits'!E2136:E2140)),AVERAGE('20250815_ETF_Options_Exhibits'!E2136:E2140),"")</f>
        <v/>
      </c>
      <c r="F2140" s="3">
        <f>IF(ISNUMBER(AVERAGE('20250815_ETF_Options_Exhibits'!F2136:F2140)),AVERAGE('20250815_ETF_Options_Exhibits'!F2136:F2140),"")</f>
        <v/>
      </c>
      <c r="G2140" s="3">
        <f>IF(ISNUMBER(AVERAGE('20250815_ETF_Options_Exhibits'!G2136:G2140)),AVERAGE('20250815_ETF_Options_Exhibits'!G2136:G2140),"")</f>
        <v/>
      </c>
      <c r="H2140" s="3">
        <f>IF(ISNUMBER(AVERAGE('20250815_ETF_Options_Exhibits'!H2136:H2140)),AVERAGE('20250815_ETF_Options_Exhibits'!H2136:H2140),"")</f>
        <v/>
      </c>
      <c r="I2140" s="3">
        <f>IF(ISNUMBER(AVERAGE('20250815_ETF_Options_Exhibits'!I2136:I2140)),AVERAGE('20250815_ETF_Options_Exhibits'!I2136:I2140),"")</f>
        <v/>
      </c>
      <c r="J2140" s="3">
        <f>IF(ISNUMBER(AVERAGE('20250815_ETF_Options_Exhibits'!J2136:J2140)),AVERAGE('20250815_ETF_Options_Exhibits'!J2136:J2140),"")</f>
        <v/>
      </c>
      <c r="K2140" s="3">
        <f>IF(ISNUMBER(AVERAGE('20250815_ETF_Options_Exhibits'!K2136:K2140)),AVERAGE('20250815_ETF_Options_Exhibits'!K2136:K2140),"")</f>
        <v/>
      </c>
      <c r="L2140" s="3">
        <f>IF(ISNUMBER(AVERAGE('20250815_ETF_Options_Exhibits'!L2136:L2140)),AVERAGE('20250815_ETF_Options_Exhibits'!L2136:L2140),"")</f>
        <v/>
      </c>
      <c r="M2140" s="3">
        <f>IF(ISNUMBER(AVERAGE('20250815_ETF_Options_Exhibits'!M2136:M2140)),AVERAGE('20250815_ETF_Options_Exhibits'!M2136:M2140),"")</f>
        <v/>
      </c>
      <c r="N2140" s="3">
        <f>IF(ISNUMBER(AVERAGE('20250815_ETF_Options_Exhibits'!N2136:N2140)),AVERAGE('20250815_ETF_Options_Exhibits'!N2136:N2140),"")</f>
        <v/>
      </c>
      <c r="O2140" s="3">
        <f>IF(ISNUMBER(AVERAGE('20250815_ETF_Options_Exhibits'!O2136:O2140)),AVERAGE('20250815_ETF_Options_Exhibits'!O2136:O2140),"")</f>
        <v/>
      </c>
      <c r="P2140" s="3">
        <f>IF(ISNUMBER(AVERAGE('20250815_ETF_Options_Exhibits'!P2136:P2140)),AVERAGE('20250815_ETF_Options_Exhibits'!P2136:P2140),"")</f>
        <v/>
      </c>
      <c r="Q2140" s="3">
        <f>IF(ISNUMBER(AVERAGE('20250815_ETF_Options_Exhibits'!Q2136:Q2140)),AVERAGE('20250815_ETF_Options_Exhibits'!Q2136:Q2140),"")</f>
        <v/>
      </c>
      <c r="R2140" s="3">
        <f>IF(ISNUMBER(AVERAGE('20250815_ETF_Options_Exhibits'!R2136:R2140)),AVERAGE('20250815_ETF_Options_Exhibits'!R2136:R2140),"")</f>
        <v/>
      </c>
      <c r="S2140" s="3">
        <f>IF(ISNUMBER(AVERAGE('20250815_ETF_Options_Exhibits'!S2136:S2140)),AVERAGE('20250815_ETF_Options_Exhibits'!S2136:S2140),"")</f>
        <v/>
      </c>
      <c r="T2140" s="3">
        <f>IF(ISNUMBER(AVERAGE('20250815_ETF_Options_Exhibits'!T2136:T2140)),AVERAGE('20250815_ETF_Options_Exhibits'!T2136:T2140),"")</f>
        <v/>
      </c>
      <c r="U2140" s="3">
        <f>IF(ISNUMBER(AVERAGE('20250815_ETF_Options_Exhibits'!U2136:U2140)),AVERAGE('20250815_ETF_Options_Exhibits'!U2136:U2140),"")</f>
        <v/>
      </c>
      <c r="V2140" s="3">
        <f>IF(ISNUMBER(AVERAGE('20250815_ETF_Options_Exhibits'!V2136:V2140)),AVERAGE('20250815_ETF_Options_Exhibits'!V2136:V2140),"")</f>
        <v/>
      </c>
      <c r="W2140" s="3">
        <f>IF(ISNUMBER(AVERAGE('20250815_ETF_Options_Exhibits'!W2136:W2140)),AVERAGE('20250815_ETF_Options_Exhibits'!W2136:W2140),"")</f>
        <v/>
      </c>
      <c r="X2140" s="3">
        <f>IF(ISNUMBER(AVERAGE('20250815_ETF_Options_Exhibits'!X2136:X2140)),AVERAGE('20250815_ETF_Options_Exhibits'!X2136:X2140),"")</f>
        <v/>
      </c>
      <c r="Y2140" s="3">
        <f>IF(ISNUMBER(AVERAGE('20250815_ETF_Options_Exhibits'!Y2136:Y2140)),AVERAGE('20250815_ETF_Options_Exhibits'!Y2136:Y2140),"")</f>
        <v/>
      </c>
      <c r="Z2140" s="3">
        <f>IF(ISNUMBER(AVERAGE('20250815_ETF_Options_Exhibits'!Z2136:Z2140)),AVERAGE('20250815_ETF_Options_Exhibits'!Z2136:Z2140),"")</f>
        <v/>
      </c>
      <c r="AA2140" s="3">
        <f>IF(ISNUMBER(AVERAGE('20250815_ETF_Options_Exhibits'!AA2136:AA2140)),AVERAGE('20250815_ETF_Options_Exhibits'!AA2136:AA2140),"")</f>
        <v/>
      </c>
    </row>
    <row r="2141">
      <c r="A2141" s="1" t="n">
        <v>45110</v>
      </c>
      <c r="B2141" s="3">
        <f>IF(ISNUMBER(AVERAGE('20250815_ETF_Options_Exhibits'!B2137:B2141)),AVERAGE('20250815_ETF_Options_Exhibits'!B2137:B2141),"")</f>
        <v/>
      </c>
      <c r="C2141" s="3">
        <f>IF(ISNUMBER(AVERAGE('20250815_ETF_Options_Exhibits'!C2137:C2141)),AVERAGE('20250815_ETF_Options_Exhibits'!C2137:C2141),"")</f>
        <v/>
      </c>
      <c r="D2141" s="3">
        <f>IF(ISNUMBER(AVERAGE('20250815_ETF_Options_Exhibits'!D2137:D2141)),AVERAGE('20250815_ETF_Options_Exhibits'!D2137:D2141),"")</f>
        <v/>
      </c>
      <c r="E2141" s="3">
        <f>IF(ISNUMBER(AVERAGE('20250815_ETF_Options_Exhibits'!E2137:E2141)),AVERAGE('20250815_ETF_Options_Exhibits'!E2137:E2141),"")</f>
        <v/>
      </c>
      <c r="F2141" s="3">
        <f>IF(ISNUMBER(AVERAGE('20250815_ETF_Options_Exhibits'!F2137:F2141)),AVERAGE('20250815_ETF_Options_Exhibits'!F2137:F2141),"")</f>
        <v/>
      </c>
      <c r="G2141" s="3">
        <f>IF(ISNUMBER(AVERAGE('20250815_ETF_Options_Exhibits'!G2137:G2141)),AVERAGE('20250815_ETF_Options_Exhibits'!G2137:G2141),"")</f>
        <v/>
      </c>
      <c r="H2141" s="3">
        <f>IF(ISNUMBER(AVERAGE('20250815_ETF_Options_Exhibits'!H2137:H2141)),AVERAGE('20250815_ETF_Options_Exhibits'!H2137:H2141),"")</f>
        <v/>
      </c>
      <c r="I2141" s="3">
        <f>IF(ISNUMBER(AVERAGE('20250815_ETF_Options_Exhibits'!I2137:I2141)),AVERAGE('20250815_ETF_Options_Exhibits'!I2137:I2141),"")</f>
        <v/>
      </c>
      <c r="J2141" s="3">
        <f>IF(ISNUMBER(AVERAGE('20250815_ETF_Options_Exhibits'!J2137:J2141)),AVERAGE('20250815_ETF_Options_Exhibits'!J2137:J2141),"")</f>
        <v/>
      </c>
      <c r="K2141" s="3">
        <f>IF(ISNUMBER(AVERAGE('20250815_ETF_Options_Exhibits'!K2137:K2141)),AVERAGE('20250815_ETF_Options_Exhibits'!K2137:K2141),"")</f>
        <v/>
      </c>
      <c r="L2141" s="3">
        <f>IF(ISNUMBER(AVERAGE('20250815_ETF_Options_Exhibits'!L2137:L2141)),AVERAGE('20250815_ETF_Options_Exhibits'!L2137:L2141),"")</f>
        <v/>
      </c>
      <c r="M2141" s="3">
        <f>IF(ISNUMBER(AVERAGE('20250815_ETF_Options_Exhibits'!M2137:M2141)),AVERAGE('20250815_ETF_Options_Exhibits'!M2137:M2141),"")</f>
        <v/>
      </c>
      <c r="N2141" s="3">
        <f>IF(ISNUMBER(AVERAGE('20250815_ETF_Options_Exhibits'!N2137:N2141)),AVERAGE('20250815_ETF_Options_Exhibits'!N2137:N2141),"")</f>
        <v/>
      </c>
      <c r="O2141" s="3">
        <f>IF(ISNUMBER(AVERAGE('20250815_ETF_Options_Exhibits'!O2137:O2141)),AVERAGE('20250815_ETF_Options_Exhibits'!O2137:O2141),"")</f>
        <v/>
      </c>
      <c r="P2141" s="3">
        <f>IF(ISNUMBER(AVERAGE('20250815_ETF_Options_Exhibits'!P2137:P2141)),AVERAGE('20250815_ETF_Options_Exhibits'!P2137:P2141),"")</f>
        <v/>
      </c>
      <c r="Q2141" s="3">
        <f>IF(ISNUMBER(AVERAGE('20250815_ETF_Options_Exhibits'!Q2137:Q2141)),AVERAGE('20250815_ETF_Options_Exhibits'!Q2137:Q2141),"")</f>
        <v/>
      </c>
      <c r="R2141" s="3">
        <f>IF(ISNUMBER(AVERAGE('20250815_ETF_Options_Exhibits'!R2137:R2141)),AVERAGE('20250815_ETF_Options_Exhibits'!R2137:R2141),"")</f>
        <v/>
      </c>
      <c r="S2141" s="3">
        <f>IF(ISNUMBER(AVERAGE('20250815_ETF_Options_Exhibits'!S2137:S2141)),AVERAGE('20250815_ETF_Options_Exhibits'!S2137:S2141),"")</f>
        <v/>
      </c>
      <c r="T2141" s="3">
        <f>IF(ISNUMBER(AVERAGE('20250815_ETF_Options_Exhibits'!T2137:T2141)),AVERAGE('20250815_ETF_Options_Exhibits'!T2137:T2141),"")</f>
        <v/>
      </c>
      <c r="U2141" s="3">
        <f>IF(ISNUMBER(AVERAGE('20250815_ETF_Options_Exhibits'!U2137:U2141)),AVERAGE('20250815_ETF_Options_Exhibits'!U2137:U2141),"")</f>
        <v/>
      </c>
      <c r="V2141" s="3">
        <f>IF(ISNUMBER(AVERAGE('20250815_ETF_Options_Exhibits'!V2137:V2141)),AVERAGE('20250815_ETF_Options_Exhibits'!V2137:V2141),"")</f>
        <v/>
      </c>
      <c r="W2141" s="3">
        <f>IF(ISNUMBER(AVERAGE('20250815_ETF_Options_Exhibits'!W2137:W2141)),AVERAGE('20250815_ETF_Options_Exhibits'!W2137:W2141),"")</f>
        <v/>
      </c>
      <c r="X2141" s="3">
        <f>IF(ISNUMBER(AVERAGE('20250815_ETF_Options_Exhibits'!X2137:X2141)),AVERAGE('20250815_ETF_Options_Exhibits'!X2137:X2141),"")</f>
        <v/>
      </c>
      <c r="Y2141" s="3">
        <f>IF(ISNUMBER(AVERAGE('20250815_ETF_Options_Exhibits'!Y2137:Y2141)),AVERAGE('20250815_ETF_Options_Exhibits'!Y2137:Y2141),"")</f>
        <v/>
      </c>
      <c r="Z2141" s="3">
        <f>IF(ISNUMBER(AVERAGE('20250815_ETF_Options_Exhibits'!Z2137:Z2141)),AVERAGE('20250815_ETF_Options_Exhibits'!Z2137:Z2141),"")</f>
        <v/>
      </c>
      <c r="AA2141" s="3">
        <f>IF(ISNUMBER(AVERAGE('20250815_ETF_Options_Exhibits'!AA2137:AA2141)),AVERAGE('20250815_ETF_Options_Exhibits'!AA2137:AA2141),"")</f>
        <v/>
      </c>
    </row>
    <row r="2142">
      <c r="A2142" s="1" t="n">
        <v>45112</v>
      </c>
      <c r="B2142" s="3">
        <f>IF(ISNUMBER(AVERAGE('20250815_ETF_Options_Exhibits'!B2138:B2142)),AVERAGE('20250815_ETF_Options_Exhibits'!B2138:B2142),"")</f>
        <v/>
      </c>
      <c r="C2142" s="3">
        <f>IF(ISNUMBER(AVERAGE('20250815_ETF_Options_Exhibits'!C2138:C2142)),AVERAGE('20250815_ETF_Options_Exhibits'!C2138:C2142),"")</f>
        <v/>
      </c>
      <c r="D2142" s="3">
        <f>IF(ISNUMBER(AVERAGE('20250815_ETF_Options_Exhibits'!D2138:D2142)),AVERAGE('20250815_ETF_Options_Exhibits'!D2138:D2142),"")</f>
        <v/>
      </c>
      <c r="E2142" s="3">
        <f>IF(ISNUMBER(AVERAGE('20250815_ETF_Options_Exhibits'!E2138:E2142)),AVERAGE('20250815_ETF_Options_Exhibits'!E2138:E2142),"")</f>
        <v/>
      </c>
      <c r="F2142" s="3">
        <f>IF(ISNUMBER(AVERAGE('20250815_ETF_Options_Exhibits'!F2138:F2142)),AVERAGE('20250815_ETF_Options_Exhibits'!F2138:F2142),"")</f>
        <v/>
      </c>
      <c r="G2142" s="3">
        <f>IF(ISNUMBER(AVERAGE('20250815_ETF_Options_Exhibits'!G2138:G2142)),AVERAGE('20250815_ETF_Options_Exhibits'!G2138:G2142),"")</f>
        <v/>
      </c>
      <c r="H2142" s="3">
        <f>IF(ISNUMBER(AVERAGE('20250815_ETF_Options_Exhibits'!H2138:H2142)),AVERAGE('20250815_ETF_Options_Exhibits'!H2138:H2142),"")</f>
        <v/>
      </c>
      <c r="I2142" s="3">
        <f>IF(ISNUMBER(AVERAGE('20250815_ETF_Options_Exhibits'!I2138:I2142)),AVERAGE('20250815_ETF_Options_Exhibits'!I2138:I2142),"")</f>
        <v/>
      </c>
      <c r="J2142" s="3">
        <f>IF(ISNUMBER(AVERAGE('20250815_ETF_Options_Exhibits'!J2138:J2142)),AVERAGE('20250815_ETF_Options_Exhibits'!J2138:J2142),"")</f>
        <v/>
      </c>
      <c r="K2142" s="3">
        <f>IF(ISNUMBER(AVERAGE('20250815_ETF_Options_Exhibits'!K2138:K2142)),AVERAGE('20250815_ETF_Options_Exhibits'!K2138:K2142),"")</f>
        <v/>
      </c>
      <c r="L2142" s="3">
        <f>IF(ISNUMBER(AVERAGE('20250815_ETF_Options_Exhibits'!L2138:L2142)),AVERAGE('20250815_ETF_Options_Exhibits'!L2138:L2142),"")</f>
        <v/>
      </c>
      <c r="M2142" s="3">
        <f>IF(ISNUMBER(AVERAGE('20250815_ETF_Options_Exhibits'!M2138:M2142)),AVERAGE('20250815_ETF_Options_Exhibits'!M2138:M2142),"")</f>
        <v/>
      </c>
      <c r="N2142" s="3">
        <f>IF(ISNUMBER(AVERAGE('20250815_ETF_Options_Exhibits'!N2138:N2142)),AVERAGE('20250815_ETF_Options_Exhibits'!N2138:N2142),"")</f>
        <v/>
      </c>
      <c r="O2142" s="3">
        <f>IF(ISNUMBER(AVERAGE('20250815_ETF_Options_Exhibits'!O2138:O2142)),AVERAGE('20250815_ETF_Options_Exhibits'!O2138:O2142),"")</f>
        <v/>
      </c>
      <c r="P2142" s="3">
        <f>IF(ISNUMBER(AVERAGE('20250815_ETF_Options_Exhibits'!P2138:P2142)),AVERAGE('20250815_ETF_Options_Exhibits'!P2138:P2142),"")</f>
        <v/>
      </c>
      <c r="Q2142" s="3">
        <f>IF(ISNUMBER(AVERAGE('20250815_ETF_Options_Exhibits'!Q2138:Q2142)),AVERAGE('20250815_ETF_Options_Exhibits'!Q2138:Q2142),"")</f>
        <v/>
      </c>
      <c r="R2142" s="3">
        <f>IF(ISNUMBER(AVERAGE('20250815_ETF_Options_Exhibits'!R2138:R2142)),AVERAGE('20250815_ETF_Options_Exhibits'!R2138:R2142),"")</f>
        <v/>
      </c>
      <c r="S2142" s="3">
        <f>IF(ISNUMBER(AVERAGE('20250815_ETF_Options_Exhibits'!S2138:S2142)),AVERAGE('20250815_ETF_Options_Exhibits'!S2138:S2142),"")</f>
        <v/>
      </c>
      <c r="T2142" s="3">
        <f>IF(ISNUMBER(AVERAGE('20250815_ETF_Options_Exhibits'!T2138:T2142)),AVERAGE('20250815_ETF_Options_Exhibits'!T2138:T2142),"")</f>
        <v/>
      </c>
      <c r="U2142" s="3">
        <f>IF(ISNUMBER(AVERAGE('20250815_ETF_Options_Exhibits'!U2138:U2142)),AVERAGE('20250815_ETF_Options_Exhibits'!U2138:U2142),"")</f>
        <v/>
      </c>
      <c r="V2142" s="3">
        <f>IF(ISNUMBER(AVERAGE('20250815_ETF_Options_Exhibits'!V2138:V2142)),AVERAGE('20250815_ETF_Options_Exhibits'!V2138:V2142),"")</f>
        <v/>
      </c>
      <c r="W2142" s="3">
        <f>IF(ISNUMBER(AVERAGE('20250815_ETF_Options_Exhibits'!W2138:W2142)),AVERAGE('20250815_ETF_Options_Exhibits'!W2138:W2142),"")</f>
        <v/>
      </c>
      <c r="X2142" s="3">
        <f>IF(ISNUMBER(AVERAGE('20250815_ETF_Options_Exhibits'!X2138:X2142)),AVERAGE('20250815_ETF_Options_Exhibits'!X2138:X2142),"")</f>
        <v/>
      </c>
      <c r="Y2142" s="3">
        <f>IF(ISNUMBER(AVERAGE('20250815_ETF_Options_Exhibits'!Y2138:Y2142)),AVERAGE('20250815_ETF_Options_Exhibits'!Y2138:Y2142),"")</f>
        <v/>
      </c>
      <c r="Z2142" s="3">
        <f>IF(ISNUMBER(AVERAGE('20250815_ETF_Options_Exhibits'!Z2138:Z2142)),AVERAGE('20250815_ETF_Options_Exhibits'!Z2138:Z2142),"")</f>
        <v/>
      </c>
      <c r="AA2142" s="3">
        <f>IF(ISNUMBER(AVERAGE('20250815_ETF_Options_Exhibits'!AA2138:AA2142)),AVERAGE('20250815_ETF_Options_Exhibits'!AA2138:AA2142),"")</f>
        <v/>
      </c>
    </row>
    <row r="2143">
      <c r="A2143" s="1" t="n">
        <v>45113</v>
      </c>
      <c r="B2143" s="3">
        <f>IF(ISNUMBER(AVERAGE('20250815_ETF_Options_Exhibits'!B2139:B2143)),AVERAGE('20250815_ETF_Options_Exhibits'!B2139:B2143),"")</f>
        <v/>
      </c>
      <c r="C2143" s="3">
        <f>IF(ISNUMBER(AVERAGE('20250815_ETF_Options_Exhibits'!C2139:C2143)),AVERAGE('20250815_ETF_Options_Exhibits'!C2139:C2143),"")</f>
        <v/>
      </c>
      <c r="D2143" s="3">
        <f>IF(ISNUMBER(AVERAGE('20250815_ETF_Options_Exhibits'!D2139:D2143)),AVERAGE('20250815_ETF_Options_Exhibits'!D2139:D2143),"")</f>
        <v/>
      </c>
      <c r="E2143" s="3">
        <f>IF(ISNUMBER(AVERAGE('20250815_ETF_Options_Exhibits'!E2139:E2143)),AVERAGE('20250815_ETF_Options_Exhibits'!E2139:E2143),"")</f>
        <v/>
      </c>
      <c r="F2143" s="3">
        <f>IF(ISNUMBER(AVERAGE('20250815_ETF_Options_Exhibits'!F2139:F2143)),AVERAGE('20250815_ETF_Options_Exhibits'!F2139:F2143),"")</f>
        <v/>
      </c>
      <c r="G2143" s="3">
        <f>IF(ISNUMBER(AVERAGE('20250815_ETF_Options_Exhibits'!G2139:G2143)),AVERAGE('20250815_ETF_Options_Exhibits'!G2139:G2143),"")</f>
        <v/>
      </c>
      <c r="H2143" s="3">
        <f>IF(ISNUMBER(AVERAGE('20250815_ETF_Options_Exhibits'!H2139:H2143)),AVERAGE('20250815_ETF_Options_Exhibits'!H2139:H2143),"")</f>
        <v/>
      </c>
      <c r="I2143" s="3">
        <f>IF(ISNUMBER(AVERAGE('20250815_ETF_Options_Exhibits'!I2139:I2143)),AVERAGE('20250815_ETF_Options_Exhibits'!I2139:I2143),"")</f>
        <v/>
      </c>
      <c r="J2143" s="3">
        <f>IF(ISNUMBER(AVERAGE('20250815_ETF_Options_Exhibits'!J2139:J2143)),AVERAGE('20250815_ETF_Options_Exhibits'!J2139:J2143),"")</f>
        <v/>
      </c>
      <c r="K2143" s="3">
        <f>IF(ISNUMBER(AVERAGE('20250815_ETF_Options_Exhibits'!K2139:K2143)),AVERAGE('20250815_ETF_Options_Exhibits'!K2139:K2143),"")</f>
        <v/>
      </c>
      <c r="L2143" s="3">
        <f>IF(ISNUMBER(AVERAGE('20250815_ETF_Options_Exhibits'!L2139:L2143)),AVERAGE('20250815_ETF_Options_Exhibits'!L2139:L2143),"")</f>
        <v/>
      </c>
      <c r="M2143" s="3">
        <f>IF(ISNUMBER(AVERAGE('20250815_ETF_Options_Exhibits'!M2139:M2143)),AVERAGE('20250815_ETF_Options_Exhibits'!M2139:M2143),"")</f>
        <v/>
      </c>
      <c r="N2143" s="3">
        <f>IF(ISNUMBER(AVERAGE('20250815_ETF_Options_Exhibits'!N2139:N2143)),AVERAGE('20250815_ETF_Options_Exhibits'!N2139:N2143),"")</f>
        <v/>
      </c>
      <c r="O2143" s="3">
        <f>IF(ISNUMBER(AVERAGE('20250815_ETF_Options_Exhibits'!O2139:O2143)),AVERAGE('20250815_ETF_Options_Exhibits'!O2139:O2143),"")</f>
        <v/>
      </c>
      <c r="P2143" s="3">
        <f>IF(ISNUMBER(AVERAGE('20250815_ETF_Options_Exhibits'!P2139:P2143)),AVERAGE('20250815_ETF_Options_Exhibits'!P2139:P2143),"")</f>
        <v/>
      </c>
      <c r="Q2143" s="3">
        <f>IF(ISNUMBER(AVERAGE('20250815_ETF_Options_Exhibits'!Q2139:Q2143)),AVERAGE('20250815_ETF_Options_Exhibits'!Q2139:Q2143),"")</f>
        <v/>
      </c>
      <c r="R2143" s="3">
        <f>IF(ISNUMBER(AVERAGE('20250815_ETF_Options_Exhibits'!R2139:R2143)),AVERAGE('20250815_ETF_Options_Exhibits'!R2139:R2143),"")</f>
        <v/>
      </c>
      <c r="S2143" s="3">
        <f>IF(ISNUMBER(AVERAGE('20250815_ETF_Options_Exhibits'!S2139:S2143)),AVERAGE('20250815_ETF_Options_Exhibits'!S2139:S2143),"")</f>
        <v/>
      </c>
      <c r="T2143" s="3">
        <f>IF(ISNUMBER(AVERAGE('20250815_ETF_Options_Exhibits'!T2139:T2143)),AVERAGE('20250815_ETF_Options_Exhibits'!T2139:T2143),"")</f>
        <v/>
      </c>
      <c r="U2143" s="3">
        <f>IF(ISNUMBER(AVERAGE('20250815_ETF_Options_Exhibits'!U2139:U2143)),AVERAGE('20250815_ETF_Options_Exhibits'!U2139:U2143),"")</f>
        <v/>
      </c>
      <c r="V2143" s="3">
        <f>IF(ISNUMBER(AVERAGE('20250815_ETF_Options_Exhibits'!V2139:V2143)),AVERAGE('20250815_ETF_Options_Exhibits'!V2139:V2143),"")</f>
        <v/>
      </c>
      <c r="W2143" s="3">
        <f>IF(ISNUMBER(AVERAGE('20250815_ETF_Options_Exhibits'!W2139:W2143)),AVERAGE('20250815_ETF_Options_Exhibits'!W2139:W2143),"")</f>
        <v/>
      </c>
      <c r="X2143" s="3">
        <f>IF(ISNUMBER(AVERAGE('20250815_ETF_Options_Exhibits'!X2139:X2143)),AVERAGE('20250815_ETF_Options_Exhibits'!X2139:X2143),"")</f>
        <v/>
      </c>
      <c r="Y2143" s="3">
        <f>IF(ISNUMBER(AVERAGE('20250815_ETF_Options_Exhibits'!Y2139:Y2143)),AVERAGE('20250815_ETF_Options_Exhibits'!Y2139:Y2143),"")</f>
        <v/>
      </c>
      <c r="Z2143" s="3">
        <f>IF(ISNUMBER(AVERAGE('20250815_ETF_Options_Exhibits'!Z2139:Z2143)),AVERAGE('20250815_ETF_Options_Exhibits'!Z2139:Z2143),"")</f>
        <v/>
      </c>
      <c r="AA2143" s="3">
        <f>IF(ISNUMBER(AVERAGE('20250815_ETF_Options_Exhibits'!AA2139:AA2143)),AVERAGE('20250815_ETF_Options_Exhibits'!AA2139:AA2143),"")</f>
        <v/>
      </c>
    </row>
    <row r="2144">
      <c r="A2144" s="1" t="n">
        <v>45114</v>
      </c>
      <c r="B2144" s="3">
        <f>IF(ISNUMBER(AVERAGE('20250815_ETF_Options_Exhibits'!B2140:B2144)),AVERAGE('20250815_ETF_Options_Exhibits'!B2140:B2144),"")</f>
        <v/>
      </c>
      <c r="C2144" s="3">
        <f>IF(ISNUMBER(AVERAGE('20250815_ETF_Options_Exhibits'!C2140:C2144)),AVERAGE('20250815_ETF_Options_Exhibits'!C2140:C2144),"")</f>
        <v/>
      </c>
      <c r="D2144" s="3">
        <f>IF(ISNUMBER(AVERAGE('20250815_ETF_Options_Exhibits'!D2140:D2144)),AVERAGE('20250815_ETF_Options_Exhibits'!D2140:D2144),"")</f>
        <v/>
      </c>
      <c r="E2144" s="3">
        <f>IF(ISNUMBER(AVERAGE('20250815_ETF_Options_Exhibits'!E2140:E2144)),AVERAGE('20250815_ETF_Options_Exhibits'!E2140:E2144),"")</f>
        <v/>
      </c>
      <c r="F2144" s="3">
        <f>IF(ISNUMBER(AVERAGE('20250815_ETF_Options_Exhibits'!F2140:F2144)),AVERAGE('20250815_ETF_Options_Exhibits'!F2140:F2144),"")</f>
        <v/>
      </c>
      <c r="G2144" s="3">
        <f>IF(ISNUMBER(AVERAGE('20250815_ETF_Options_Exhibits'!G2140:G2144)),AVERAGE('20250815_ETF_Options_Exhibits'!G2140:G2144),"")</f>
        <v/>
      </c>
      <c r="H2144" s="3">
        <f>IF(ISNUMBER(AVERAGE('20250815_ETF_Options_Exhibits'!H2140:H2144)),AVERAGE('20250815_ETF_Options_Exhibits'!H2140:H2144),"")</f>
        <v/>
      </c>
      <c r="I2144" s="3">
        <f>IF(ISNUMBER(AVERAGE('20250815_ETF_Options_Exhibits'!I2140:I2144)),AVERAGE('20250815_ETF_Options_Exhibits'!I2140:I2144),"")</f>
        <v/>
      </c>
      <c r="J2144" s="3">
        <f>IF(ISNUMBER(AVERAGE('20250815_ETF_Options_Exhibits'!J2140:J2144)),AVERAGE('20250815_ETF_Options_Exhibits'!J2140:J2144),"")</f>
        <v/>
      </c>
      <c r="K2144" s="3">
        <f>IF(ISNUMBER(AVERAGE('20250815_ETF_Options_Exhibits'!K2140:K2144)),AVERAGE('20250815_ETF_Options_Exhibits'!K2140:K2144),"")</f>
        <v/>
      </c>
      <c r="L2144" s="3">
        <f>IF(ISNUMBER(AVERAGE('20250815_ETF_Options_Exhibits'!L2140:L2144)),AVERAGE('20250815_ETF_Options_Exhibits'!L2140:L2144),"")</f>
        <v/>
      </c>
      <c r="M2144" s="3">
        <f>IF(ISNUMBER(AVERAGE('20250815_ETF_Options_Exhibits'!M2140:M2144)),AVERAGE('20250815_ETF_Options_Exhibits'!M2140:M2144),"")</f>
        <v/>
      </c>
      <c r="N2144" s="3">
        <f>IF(ISNUMBER(AVERAGE('20250815_ETF_Options_Exhibits'!N2140:N2144)),AVERAGE('20250815_ETF_Options_Exhibits'!N2140:N2144),"")</f>
        <v/>
      </c>
      <c r="O2144" s="3">
        <f>IF(ISNUMBER(AVERAGE('20250815_ETF_Options_Exhibits'!O2140:O2144)),AVERAGE('20250815_ETF_Options_Exhibits'!O2140:O2144),"")</f>
        <v/>
      </c>
      <c r="P2144" s="3">
        <f>IF(ISNUMBER(AVERAGE('20250815_ETF_Options_Exhibits'!P2140:P2144)),AVERAGE('20250815_ETF_Options_Exhibits'!P2140:P2144),"")</f>
        <v/>
      </c>
      <c r="Q2144" s="3">
        <f>IF(ISNUMBER(AVERAGE('20250815_ETF_Options_Exhibits'!Q2140:Q2144)),AVERAGE('20250815_ETF_Options_Exhibits'!Q2140:Q2144),"")</f>
        <v/>
      </c>
      <c r="R2144" s="3">
        <f>IF(ISNUMBER(AVERAGE('20250815_ETF_Options_Exhibits'!R2140:R2144)),AVERAGE('20250815_ETF_Options_Exhibits'!R2140:R2144),"")</f>
        <v/>
      </c>
      <c r="S2144" s="3">
        <f>IF(ISNUMBER(AVERAGE('20250815_ETF_Options_Exhibits'!S2140:S2144)),AVERAGE('20250815_ETF_Options_Exhibits'!S2140:S2144),"")</f>
        <v/>
      </c>
      <c r="T2144" s="3">
        <f>IF(ISNUMBER(AVERAGE('20250815_ETF_Options_Exhibits'!T2140:T2144)),AVERAGE('20250815_ETF_Options_Exhibits'!T2140:T2144),"")</f>
        <v/>
      </c>
      <c r="U2144" s="3">
        <f>IF(ISNUMBER(AVERAGE('20250815_ETF_Options_Exhibits'!U2140:U2144)),AVERAGE('20250815_ETF_Options_Exhibits'!U2140:U2144),"")</f>
        <v/>
      </c>
      <c r="V2144" s="3">
        <f>IF(ISNUMBER(AVERAGE('20250815_ETF_Options_Exhibits'!V2140:V2144)),AVERAGE('20250815_ETF_Options_Exhibits'!V2140:V2144),"")</f>
        <v/>
      </c>
      <c r="W2144" s="3">
        <f>IF(ISNUMBER(AVERAGE('20250815_ETF_Options_Exhibits'!W2140:W2144)),AVERAGE('20250815_ETF_Options_Exhibits'!W2140:W2144),"")</f>
        <v/>
      </c>
      <c r="X2144" s="3">
        <f>IF(ISNUMBER(AVERAGE('20250815_ETF_Options_Exhibits'!X2140:X2144)),AVERAGE('20250815_ETF_Options_Exhibits'!X2140:X2144),"")</f>
        <v/>
      </c>
      <c r="Y2144" s="3">
        <f>IF(ISNUMBER(AVERAGE('20250815_ETF_Options_Exhibits'!Y2140:Y2144)),AVERAGE('20250815_ETF_Options_Exhibits'!Y2140:Y2144),"")</f>
        <v/>
      </c>
      <c r="Z2144" s="3">
        <f>IF(ISNUMBER(AVERAGE('20250815_ETF_Options_Exhibits'!Z2140:Z2144)),AVERAGE('20250815_ETF_Options_Exhibits'!Z2140:Z2144),"")</f>
        <v/>
      </c>
      <c r="AA2144" s="3">
        <f>IF(ISNUMBER(AVERAGE('20250815_ETF_Options_Exhibits'!AA2140:AA2144)),AVERAGE('20250815_ETF_Options_Exhibits'!AA2140:AA2144),"")</f>
        <v/>
      </c>
    </row>
    <row r="2145">
      <c r="A2145" s="1" t="n">
        <v>45117</v>
      </c>
      <c r="B2145" s="3">
        <f>IF(ISNUMBER(AVERAGE('20250815_ETF_Options_Exhibits'!B2141:B2145)),AVERAGE('20250815_ETF_Options_Exhibits'!B2141:B2145),"")</f>
        <v/>
      </c>
      <c r="C2145" s="3">
        <f>IF(ISNUMBER(AVERAGE('20250815_ETF_Options_Exhibits'!C2141:C2145)),AVERAGE('20250815_ETF_Options_Exhibits'!C2141:C2145),"")</f>
        <v/>
      </c>
      <c r="D2145" s="3">
        <f>IF(ISNUMBER(AVERAGE('20250815_ETF_Options_Exhibits'!D2141:D2145)),AVERAGE('20250815_ETF_Options_Exhibits'!D2141:D2145),"")</f>
        <v/>
      </c>
      <c r="E2145" s="3">
        <f>IF(ISNUMBER(AVERAGE('20250815_ETF_Options_Exhibits'!E2141:E2145)),AVERAGE('20250815_ETF_Options_Exhibits'!E2141:E2145),"")</f>
        <v/>
      </c>
      <c r="F2145" s="3">
        <f>IF(ISNUMBER(AVERAGE('20250815_ETF_Options_Exhibits'!F2141:F2145)),AVERAGE('20250815_ETF_Options_Exhibits'!F2141:F2145),"")</f>
        <v/>
      </c>
      <c r="G2145" s="3">
        <f>IF(ISNUMBER(AVERAGE('20250815_ETF_Options_Exhibits'!G2141:G2145)),AVERAGE('20250815_ETF_Options_Exhibits'!G2141:G2145),"")</f>
        <v/>
      </c>
      <c r="H2145" s="3">
        <f>IF(ISNUMBER(AVERAGE('20250815_ETF_Options_Exhibits'!H2141:H2145)),AVERAGE('20250815_ETF_Options_Exhibits'!H2141:H2145),"")</f>
        <v/>
      </c>
      <c r="I2145" s="3">
        <f>IF(ISNUMBER(AVERAGE('20250815_ETF_Options_Exhibits'!I2141:I2145)),AVERAGE('20250815_ETF_Options_Exhibits'!I2141:I2145),"")</f>
        <v/>
      </c>
      <c r="J2145" s="3">
        <f>IF(ISNUMBER(AVERAGE('20250815_ETF_Options_Exhibits'!J2141:J2145)),AVERAGE('20250815_ETF_Options_Exhibits'!J2141:J2145),"")</f>
        <v/>
      </c>
      <c r="K2145" s="3">
        <f>IF(ISNUMBER(AVERAGE('20250815_ETF_Options_Exhibits'!K2141:K2145)),AVERAGE('20250815_ETF_Options_Exhibits'!K2141:K2145),"")</f>
        <v/>
      </c>
      <c r="L2145" s="3">
        <f>IF(ISNUMBER(AVERAGE('20250815_ETF_Options_Exhibits'!L2141:L2145)),AVERAGE('20250815_ETF_Options_Exhibits'!L2141:L2145),"")</f>
        <v/>
      </c>
      <c r="M2145" s="3">
        <f>IF(ISNUMBER(AVERAGE('20250815_ETF_Options_Exhibits'!M2141:M2145)),AVERAGE('20250815_ETF_Options_Exhibits'!M2141:M2145),"")</f>
        <v/>
      </c>
      <c r="N2145" s="3">
        <f>IF(ISNUMBER(AVERAGE('20250815_ETF_Options_Exhibits'!N2141:N2145)),AVERAGE('20250815_ETF_Options_Exhibits'!N2141:N2145),"")</f>
        <v/>
      </c>
      <c r="O2145" s="3">
        <f>IF(ISNUMBER(AVERAGE('20250815_ETF_Options_Exhibits'!O2141:O2145)),AVERAGE('20250815_ETF_Options_Exhibits'!O2141:O2145),"")</f>
        <v/>
      </c>
      <c r="P2145" s="3">
        <f>IF(ISNUMBER(AVERAGE('20250815_ETF_Options_Exhibits'!P2141:P2145)),AVERAGE('20250815_ETF_Options_Exhibits'!P2141:P2145),"")</f>
        <v/>
      </c>
      <c r="Q2145" s="3">
        <f>IF(ISNUMBER(AVERAGE('20250815_ETF_Options_Exhibits'!Q2141:Q2145)),AVERAGE('20250815_ETF_Options_Exhibits'!Q2141:Q2145),"")</f>
        <v/>
      </c>
      <c r="R2145" s="3">
        <f>IF(ISNUMBER(AVERAGE('20250815_ETF_Options_Exhibits'!R2141:R2145)),AVERAGE('20250815_ETF_Options_Exhibits'!R2141:R2145),"")</f>
        <v/>
      </c>
      <c r="S2145" s="3">
        <f>IF(ISNUMBER(AVERAGE('20250815_ETF_Options_Exhibits'!S2141:S2145)),AVERAGE('20250815_ETF_Options_Exhibits'!S2141:S2145),"")</f>
        <v/>
      </c>
      <c r="T2145" s="3">
        <f>IF(ISNUMBER(AVERAGE('20250815_ETF_Options_Exhibits'!T2141:T2145)),AVERAGE('20250815_ETF_Options_Exhibits'!T2141:T2145),"")</f>
        <v/>
      </c>
      <c r="U2145" s="3">
        <f>IF(ISNUMBER(AVERAGE('20250815_ETF_Options_Exhibits'!U2141:U2145)),AVERAGE('20250815_ETF_Options_Exhibits'!U2141:U2145),"")</f>
        <v/>
      </c>
      <c r="V2145" s="3">
        <f>IF(ISNUMBER(AVERAGE('20250815_ETF_Options_Exhibits'!V2141:V2145)),AVERAGE('20250815_ETF_Options_Exhibits'!V2141:V2145),"")</f>
        <v/>
      </c>
      <c r="W2145" s="3">
        <f>IF(ISNUMBER(AVERAGE('20250815_ETF_Options_Exhibits'!W2141:W2145)),AVERAGE('20250815_ETF_Options_Exhibits'!W2141:W2145),"")</f>
        <v/>
      </c>
      <c r="X2145" s="3">
        <f>IF(ISNUMBER(AVERAGE('20250815_ETF_Options_Exhibits'!X2141:X2145)),AVERAGE('20250815_ETF_Options_Exhibits'!X2141:X2145),"")</f>
        <v/>
      </c>
      <c r="Y2145" s="3">
        <f>IF(ISNUMBER(AVERAGE('20250815_ETF_Options_Exhibits'!Y2141:Y2145)),AVERAGE('20250815_ETF_Options_Exhibits'!Y2141:Y2145),"")</f>
        <v/>
      </c>
      <c r="Z2145" s="3">
        <f>IF(ISNUMBER(AVERAGE('20250815_ETF_Options_Exhibits'!Z2141:Z2145)),AVERAGE('20250815_ETF_Options_Exhibits'!Z2141:Z2145),"")</f>
        <v/>
      </c>
      <c r="AA2145" s="3">
        <f>IF(ISNUMBER(AVERAGE('20250815_ETF_Options_Exhibits'!AA2141:AA2145)),AVERAGE('20250815_ETF_Options_Exhibits'!AA2141:AA2145),"")</f>
        <v/>
      </c>
    </row>
    <row r="2146">
      <c r="A2146" s="1" t="n">
        <v>45118</v>
      </c>
      <c r="B2146" s="3">
        <f>IF(ISNUMBER(AVERAGE('20250815_ETF_Options_Exhibits'!B2142:B2146)),AVERAGE('20250815_ETF_Options_Exhibits'!B2142:B2146),"")</f>
        <v/>
      </c>
      <c r="C2146" s="3">
        <f>IF(ISNUMBER(AVERAGE('20250815_ETF_Options_Exhibits'!C2142:C2146)),AVERAGE('20250815_ETF_Options_Exhibits'!C2142:C2146),"")</f>
        <v/>
      </c>
      <c r="D2146" s="3">
        <f>IF(ISNUMBER(AVERAGE('20250815_ETF_Options_Exhibits'!D2142:D2146)),AVERAGE('20250815_ETF_Options_Exhibits'!D2142:D2146),"")</f>
        <v/>
      </c>
      <c r="E2146" s="3">
        <f>IF(ISNUMBER(AVERAGE('20250815_ETF_Options_Exhibits'!E2142:E2146)),AVERAGE('20250815_ETF_Options_Exhibits'!E2142:E2146),"")</f>
        <v/>
      </c>
      <c r="F2146" s="3">
        <f>IF(ISNUMBER(AVERAGE('20250815_ETF_Options_Exhibits'!F2142:F2146)),AVERAGE('20250815_ETF_Options_Exhibits'!F2142:F2146),"")</f>
        <v/>
      </c>
      <c r="G2146" s="3">
        <f>IF(ISNUMBER(AVERAGE('20250815_ETF_Options_Exhibits'!G2142:G2146)),AVERAGE('20250815_ETF_Options_Exhibits'!G2142:G2146),"")</f>
        <v/>
      </c>
      <c r="H2146" s="3">
        <f>IF(ISNUMBER(AVERAGE('20250815_ETF_Options_Exhibits'!H2142:H2146)),AVERAGE('20250815_ETF_Options_Exhibits'!H2142:H2146),"")</f>
        <v/>
      </c>
      <c r="I2146" s="3">
        <f>IF(ISNUMBER(AVERAGE('20250815_ETF_Options_Exhibits'!I2142:I2146)),AVERAGE('20250815_ETF_Options_Exhibits'!I2142:I2146),"")</f>
        <v/>
      </c>
      <c r="J2146" s="3">
        <f>IF(ISNUMBER(AVERAGE('20250815_ETF_Options_Exhibits'!J2142:J2146)),AVERAGE('20250815_ETF_Options_Exhibits'!J2142:J2146),"")</f>
        <v/>
      </c>
      <c r="K2146" s="3">
        <f>IF(ISNUMBER(AVERAGE('20250815_ETF_Options_Exhibits'!K2142:K2146)),AVERAGE('20250815_ETF_Options_Exhibits'!K2142:K2146),"")</f>
        <v/>
      </c>
      <c r="L2146" s="3">
        <f>IF(ISNUMBER(AVERAGE('20250815_ETF_Options_Exhibits'!L2142:L2146)),AVERAGE('20250815_ETF_Options_Exhibits'!L2142:L2146),"")</f>
        <v/>
      </c>
      <c r="M2146" s="3">
        <f>IF(ISNUMBER(AVERAGE('20250815_ETF_Options_Exhibits'!M2142:M2146)),AVERAGE('20250815_ETF_Options_Exhibits'!M2142:M2146),"")</f>
        <v/>
      </c>
      <c r="N2146" s="3">
        <f>IF(ISNUMBER(AVERAGE('20250815_ETF_Options_Exhibits'!N2142:N2146)),AVERAGE('20250815_ETF_Options_Exhibits'!N2142:N2146),"")</f>
        <v/>
      </c>
      <c r="O2146" s="3">
        <f>IF(ISNUMBER(AVERAGE('20250815_ETF_Options_Exhibits'!O2142:O2146)),AVERAGE('20250815_ETF_Options_Exhibits'!O2142:O2146),"")</f>
        <v/>
      </c>
      <c r="P2146" s="3">
        <f>IF(ISNUMBER(AVERAGE('20250815_ETF_Options_Exhibits'!P2142:P2146)),AVERAGE('20250815_ETF_Options_Exhibits'!P2142:P2146),"")</f>
        <v/>
      </c>
      <c r="Q2146" s="3">
        <f>IF(ISNUMBER(AVERAGE('20250815_ETF_Options_Exhibits'!Q2142:Q2146)),AVERAGE('20250815_ETF_Options_Exhibits'!Q2142:Q2146),"")</f>
        <v/>
      </c>
      <c r="R2146" s="3">
        <f>IF(ISNUMBER(AVERAGE('20250815_ETF_Options_Exhibits'!R2142:R2146)),AVERAGE('20250815_ETF_Options_Exhibits'!R2142:R2146),"")</f>
        <v/>
      </c>
      <c r="S2146" s="3">
        <f>IF(ISNUMBER(AVERAGE('20250815_ETF_Options_Exhibits'!S2142:S2146)),AVERAGE('20250815_ETF_Options_Exhibits'!S2142:S2146),"")</f>
        <v/>
      </c>
      <c r="T2146" s="3">
        <f>IF(ISNUMBER(AVERAGE('20250815_ETF_Options_Exhibits'!T2142:T2146)),AVERAGE('20250815_ETF_Options_Exhibits'!T2142:T2146),"")</f>
        <v/>
      </c>
      <c r="U2146" s="3">
        <f>IF(ISNUMBER(AVERAGE('20250815_ETF_Options_Exhibits'!U2142:U2146)),AVERAGE('20250815_ETF_Options_Exhibits'!U2142:U2146),"")</f>
        <v/>
      </c>
      <c r="V2146" s="3">
        <f>IF(ISNUMBER(AVERAGE('20250815_ETF_Options_Exhibits'!V2142:V2146)),AVERAGE('20250815_ETF_Options_Exhibits'!V2142:V2146),"")</f>
        <v/>
      </c>
      <c r="W2146" s="3">
        <f>IF(ISNUMBER(AVERAGE('20250815_ETF_Options_Exhibits'!W2142:W2146)),AVERAGE('20250815_ETF_Options_Exhibits'!W2142:W2146),"")</f>
        <v/>
      </c>
      <c r="X2146" s="3">
        <f>IF(ISNUMBER(AVERAGE('20250815_ETF_Options_Exhibits'!X2142:X2146)),AVERAGE('20250815_ETF_Options_Exhibits'!X2142:X2146),"")</f>
        <v/>
      </c>
      <c r="Y2146" s="3">
        <f>IF(ISNUMBER(AVERAGE('20250815_ETF_Options_Exhibits'!Y2142:Y2146)),AVERAGE('20250815_ETF_Options_Exhibits'!Y2142:Y2146),"")</f>
        <v/>
      </c>
      <c r="Z2146" s="3">
        <f>IF(ISNUMBER(AVERAGE('20250815_ETF_Options_Exhibits'!Z2142:Z2146)),AVERAGE('20250815_ETF_Options_Exhibits'!Z2142:Z2146),"")</f>
        <v/>
      </c>
      <c r="AA2146" s="3">
        <f>IF(ISNUMBER(AVERAGE('20250815_ETF_Options_Exhibits'!AA2142:AA2146)),AVERAGE('20250815_ETF_Options_Exhibits'!AA2142:AA2146),"")</f>
        <v/>
      </c>
    </row>
    <row r="2147">
      <c r="A2147" s="1" t="n">
        <v>45119</v>
      </c>
      <c r="B2147" s="3">
        <f>IF(ISNUMBER(AVERAGE('20250815_ETF_Options_Exhibits'!B2143:B2147)),AVERAGE('20250815_ETF_Options_Exhibits'!B2143:B2147),"")</f>
        <v/>
      </c>
      <c r="C2147" s="3">
        <f>IF(ISNUMBER(AVERAGE('20250815_ETF_Options_Exhibits'!C2143:C2147)),AVERAGE('20250815_ETF_Options_Exhibits'!C2143:C2147),"")</f>
        <v/>
      </c>
      <c r="D2147" s="3">
        <f>IF(ISNUMBER(AVERAGE('20250815_ETF_Options_Exhibits'!D2143:D2147)),AVERAGE('20250815_ETF_Options_Exhibits'!D2143:D2147),"")</f>
        <v/>
      </c>
      <c r="E2147" s="3">
        <f>IF(ISNUMBER(AVERAGE('20250815_ETF_Options_Exhibits'!E2143:E2147)),AVERAGE('20250815_ETF_Options_Exhibits'!E2143:E2147),"")</f>
        <v/>
      </c>
      <c r="F2147" s="3">
        <f>IF(ISNUMBER(AVERAGE('20250815_ETF_Options_Exhibits'!F2143:F2147)),AVERAGE('20250815_ETF_Options_Exhibits'!F2143:F2147),"")</f>
        <v/>
      </c>
      <c r="G2147" s="3">
        <f>IF(ISNUMBER(AVERAGE('20250815_ETF_Options_Exhibits'!G2143:G2147)),AVERAGE('20250815_ETF_Options_Exhibits'!G2143:G2147),"")</f>
        <v/>
      </c>
      <c r="H2147" s="3">
        <f>IF(ISNUMBER(AVERAGE('20250815_ETF_Options_Exhibits'!H2143:H2147)),AVERAGE('20250815_ETF_Options_Exhibits'!H2143:H2147),"")</f>
        <v/>
      </c>
      <c r="I2147" s="3">
        <f>IF(ISNUMBER(AVERAGE('20250815_ETF_Options_Exhibits'!I2143:I2147)),AVERAGE('20250815_ETF_Options_Exhibits'!I2143:I2147),"")</f>
        <v/>
      </c>
      <c r="J2147" s="3">
        <f>IF(ISNUMBER(AVERAGE('20250815_ETF_Options_Exhibits'!J2143:J2147)),AVERAGE('20250815_ETF_Options_Exhibits'!J2143:J2147),"")</f>
        <v/>
      </c>
      <c r="K2147" s="3">
        <f>IF(ISNUMBER(AVERAGE('20250815_ETF_Options_Exhibits'!K2143:K2147)),AVERAGE('20250815_ETF_Options_Exhibits'!K2143:K2147),"")</f>
        <v/>
      </c>
      <c r="L2147" s="3">
        <f>IF(ISNUMBER(AVERAGE('20250815_ETF_Options_Exhibits'!L2143:L2147)),AVERAGE('20250815_ETF_Options_Exhibits'!L2143:L2147),"")</f>
        <v/>
      </c>
      <c r="M2147" s="3">
        <f>IF(ISNUMBER(AVERAGE('20250815_ETF_Options_Exhibits'!M2143:M2147)),AVERAGE('20250815_ETF_Options_Exhibits'!M2143:M2147),"")</f>
        <v/>
      </c>
      <c r="N2147" s="3">
        <f>IF(ISNUMBER(AVERAGE('20250815_ETF_Options_Exhibits'!N2143:N2147)),AVERAGE('20250815_ETF_Options_Exhibits'!N2143:N2147),"")</f>
        <v/>
      </c>
      <c r="O2147" s="3">
        <f>IF(ISNUMBER(AVERAGE('20250815_ETF_Options_Exhibits'!O2143:O2147)),AVERAGE('20250815_ETF_Options_Exhibits'!O2143:O2147),"")</f>
        <v/>
      </c>
      <c r="P2147" s="3">
        <f>IF(ISNUMBER(AVERAGE('20250815_ETF_Options_Exhibits'!P2143:P2147)),AVERAGE('20250815_ETF_Options_Exhibits'!P2143:P2147),"")</f>
        <v/>
      </c>
      <c r="Q2147" s="3">
        <f>IF(ISNUMBER(AVERAGE('20250815_ETF_Options_Exhibits'!Q2143:Q2147)),AVERAGE('20250815_ETF_Options_Exhibits'!Q2143:Q2147),"")</f>
        <v/>
      </c>
      <c r="R2147" s="3">
        <f>IF(ISNUMBER(AVERAGE('20250815_ETF_Options_Exhibits'!R2143:R2147)),AVERAGE('20250815_ETF_Options_Exhibits'!R2143:R2147),"")</f>
        <v/>
      </c>
      <c r="S2147" s="3">
        <f>IF(ISNUMBER(AVERAGE('20250815_ETF_Options_Exhibits'!S2143:S2147)),AVERAGE('20250815_ETF_Options_Exhibits'!S2143:S2147),"")</f>
        <v/>
      </c>
      <c r="T2147" s="3">
        <f>IF(ISNUMBER(AVERAGE('20250815_ETF_Options_Exhibits'!T2143:T2147)),AVERAGE('20250815_ETF_Options_Exhibits'!T2143:T2147),"")</f>
        <v/>
      </c>
      <c r="U2147" s="3">
        <f>IF(ISNUMBER(AVERAGE('20250815_ETF_Options_Exhibits'!U2143:U2147)),AVERAGE('20250815_ETF_Options_Exhibits'!U2143:U2147),"")</f>
        <v/>
      </c>
      <c r="V2147" s="3">
        <f>IF(ISNUMBER(AVERAGE('20250815_ETF_Options_Exhibits'!V2143:V2147)),AVERAGE('20250815_ETF_Options_Exhibits'!V2143:V2147),"")</f>
        <v/>
      </c>
      <c r="W2147" s="3">
        <f>IF(ISNUMBER(AVERAGE('20250815_ETF_Options_Exhibits'!W2143:W2147)),AVERAGE('20250815_ETF_Options_Exhibits'!W2143:W2147),"")</f>
        <v/>
      </c>
      <c r="X2147" s="3">
        <f>IF(ISNUMBER(AVERAGE('20250815_ETF_Options_Exhibits'!X2143:X2147)),AVERAGE('20250815_ETF_Options_Exhibits'!X2143:X2147),"")</f>
        <v/>
      </c>
      <c r="Y2147" s="3">
        <f>IF(ISNUMBER(AVERAGE('20250815_ETF_Options_Exhibits'!Y2143:Y2147)),AVERAGE('20250815_ETF_Options_Exhibits'!Y2143:Y2147),"")</f>
        <v/>
      </c>
      <c r="Z2147" s="3">
        <f>IF(ISNUMBER(AVERAGE('20250815_ETF_Options_Exhibits'!Z2143:Z2147)),AVERAGE('20250815_ETF_Options_Exhibits'!Z2143:Z2147),"")</f>
        <v/>
      </c>
      <c r="AA2147" s="3">
        <f>IF(ISNUMBER(AVERAGE('20250815_ETF_Options_Exhibits'!AA2143:AA2147)),AVERAGE('20250815_ETF_Options_Exhibits'!AA2143:AA2147),"")</f>
        <v/>
      </c>
    </row>
    <row r="2148">
      <c r="A2148" s="1" t="n">
        <v>45120</v>
      </c>
      <c r="B2148" s="3">
        <f>IF(ISNUMBER(AVERAGE('20250815_ETF_Options_Exhibits'!B2144:B2148)),AVERAGE('20250815_ETF_Options_Exhibits'!B2144:B2148),"")</f>
        <v/>
      </c>
      <c r="C2148" s="3">
        <f>IF(ISNUMBER(AVERAGE('20250815_ETF_Options_Exhibits'!C2144:C2148)),AVERAGE('20250815_ETF_Options_Exhibits'!C2144:C2148),"")</f>
        <v/>
      </c>
      <c r="D2148" s="3">
        <f>IF(ISNUMBER(AVERAGE('20250815_ETF_Options_Exhibits'!D2144:D2148)),AVERAGE('20250815_ETF_Options_Exhibits'!D2144:D2148),"")</f>
        <v/>
      </c>
      <c r="E2148" s="3">
        <f>IF(ISNUMBER(AVERAGE('20250815_ETF_Options_Exhibits'!E2144:E2148)),AVERAGE('20250815_ETF_Options_Exhibits'!E2144:E2148),"")</f>
        <v/>
      </c>
      <c r="F2148" s="3">
        <f>IF(ISNUMBER(AVERAGE('20250815_ETF_Options_Exhibits'!F2144:F2148)),AVERAGE('20250815_ETF_Options_Exhibits'!F2144:F2148),"")</f>
        <v/>
      </c>
      <c r="G2148" s="3">
        <f>IF(ISNUMBER(AVERAGE('20250815_ETF_Options_Exhibits'!G2144:G2148)),AVERAGE('20250815_ETF_Options_Exhibits'!G2144:G2148),"")</f>
        <v/>
      </c>
      <c r="H2148" s="3">
        <f>IF(ISNUMBER(AVERAGE('20250815_ETF_Options_Exhibits'!H2144:H2148)),AVERAGE('20250815_ETF_Options_Exhibits'!H2144:H2148),"")</f>
        <v/>
      </c>
      <c r="I2148" s="3">
        <f>IF(ISNUMBER(AVERAGE('20250815_ETF_Options_Exhibits'!I2144:I2148)),AVERAGE('20250815_ETF_Options_Exhibits'!I2144:I2148),"")</f>
        <v/>
      </c>
      <c r="J2148" s="3">
        <f>IF(ISNUMBER(AVERAGE('20250815_ETF_Options_Exhibits'!J2144:J2148)),AVERAGE('20250815_ETF_Options_Exhibits'!J2144:J2148),"")</f>
        <v/>
      </c>
      <c r="K2148" s="3">
        <f>IF(ISNUMBER(AVERAGE('20250815_ETF_Options_Exhibits'!K2144:K2148)),AVERAGE('20250815_ETF_Options_Exhibits'!K2144:K2148),"")</f>
        <v/>
      </c>
      <c r="L2148" s="3">
        <f>IF(ISNUMBER(AVERAGE('20250815_ETF_Options_Exhibits'!L2144:L2148)),AVERAGE('20250815_ETF_Options_Exhibits'!L2144:L2148),"")</f>
        <v/>
      </c>
      <c r="M2148" s="3">
        <f>IF(ISNUMBER(AVERAGE('20250815_ETF_Options_Exhibits'!M2144:M2148)),AVERAGE('20250815_ETF_Options_Exhibits'!M2144:M2148),"")</f>
        <v/>
      </c>
      <c r="N2148" s="3">
        <f>IF(ISNUMBER(AVERAGE('20250815_ETF_Options_Exhibits'!N2144:N2148)),AVERAGE('20250815_ETF_Options_Exhibits'!N2144:N2148),"")</f>
        <v/>
      </c>
      <c r="O2148" s="3">
        <f>IF(ISNUMBER(AVERAGE('20250815_ETF_Options_Exhibits'!O2144:O2148)),AVERAGE('20250815_ETF_Options_Exhibits'!O2144:O2148),"")</f>
        <v/>
      </c>
      <c r="P2148" s="3">
        <f>IF(ISNUMBER(AVERAGE('20250815_ETF_Options_Exhibits'!P2144:P2148)),AVERAGE('20250815_ETF_Options_Exhibits'!P2144:P2148),"")</f>
        <v/>
      </c>
      <c r="Q2148" s="3">
        <f>IF(ISNUMBER(AVERAGE('20250815_ETF_Options_Exhibits'!Q2144:Q2148)),AVERAGE('20250815_ETF_Options_Exhibits'!Q2144:Q2148),"")</f>
        <v/>
      </c>
      <c r="R2148" s="3">
        <f>IF(ISNUMBER(AVERAGE('20250815_ETF_Options_Exhibits'!R2144:R2148)),AVERAGE('20250815_ETF_Options_Exhibits'!R2144:R2148),"")</f>
        <v/>
      </c>
      <c r="S2148" s="3">
        <f>IF(ISNUMBER(AVERAGE('20250815_ETF_Options_Exhibits'!S2144:S2148)),AVERAGE('20250815_ETF_Options_Exhibits'!S2144:S2148),"")</f>
        <v/>
      </c>
      <c r="T2148" s="3">
        <f>IF(ISNUMBER(AVERAGE('20250815_ETF_Options_Exhibits'!T2144:T2148)),AVERAGE('20250815_ETF_Options_Exhibits'!T2144:T2148),"")</f>
        <v/>
      </c>
      <c r="U2148" s="3">
        <f>IF(ISNUMBER(AVERAGE('20250815_ETF_Options_Exhibits'!U2144:U2148)),AVERAGE('20250815_ETF_Options_Exhibits'!U2144:U2148),"")</f>
        <v/>
      </c>
      <c r="V2148" s="3">
        <f>IF(ISNUMBER(AVERAGE('20250815_ETF_Options_Exhibits'!V2144:V2148)),AVERAGE('20250815_ETF_Options_Exhibits'!V2144:V2148),"")</f>
        <v/>
      </c>
      <c r="W2148" s="3">
        <f>IF(ISNUMBER(AVERAGE('20250815_ETF_Options_Exhibits'!W2144:W2148)),AVERAGE('20250815_ETF_Options_Exhibits'!W2144:W2148),"")</f>
        <v/>
      </c>
      <c r="X2148" s="3">
        <f>IF(ISNUMBER(AVERAGE('20250815_ETF_Options_Exhibits'!X2144:X2148)),AVERAGE('20250815_ETF_Options_Exhibits'!X2144:X2148),"")</f>
        <v/>
      </c>
      <c r="Y2148" s="3">
        <f>IF(ISNUMBER(AVERAGE('20250815_ETF_Options_Exhibits'!Y2144:Y2148)),AVERAGE('20250815_ETF_Options_Exhibits'!Y2144:Y2148),"")</f>
        <v/>
      </c>
      <c r="Z2148" s="3">
        <f>IF(ISNUMBER(AVERAGE('20250815_ETF_Options_Exhibits'!Z2144:Z2148)),AVERAGE('20250815_ETF_Options_Exhibits'!Z2144:Z2148),"")</f>
        <v/>
      </c>
      <c r="AA2148" s="3">
        <f>IF(ISNUMBER(AVERAGE('20250815_ETF_Options_Exhibits'!AA2144:AA2148)),AVERAGE('20250815_ETF_Options_Exhibits'!AA2144:AA2148),"")</f>
        <v/>
      </c>
    </row>
    <row r="2149">
      <c r="A2149" s="1" t="n">
        <v>45121</v>
      </c>
      <c r="B2149" s="3">
        <f>IF(ISNUMBER(AVERAGE('20250815_ETF_Options_Exhibits'!B2145:B2149)),AVERAGE('20250815_ETF_Options_Exhibits'!B2145:B2149),"")</f>
        <v/>
      </c>
      <c r="C2149" s="3">
        <f>IF(ISNUMBER(AVERAGE('20250815_ETF_Options_Exhibits'!C2145:C2149)),AVERAGE('20250815_ETF_Options_Exhibits'!C2145:C2149),"")</f>
        <v/>
      </c>
      <c r="D2149" s="3">
        <f>IF(ISNUMBER(AVERAGE('20250815_ETF_Options_Exhibits'!D2145:D2149)),AVERAGE('20250815_ETF_Options_Exhibits'!D2145:D2149),"")</f>
        <v/>
      </c>
      <c r="E2149" s="3">
        <f>IF(ISNUMBER(AVERAGE('20250815_ETF_Options_Exhibits'!E2145:E2149)),AVERAGE('20250815_ETF_Options_Exhibits'!E2145:E2149),"")</f>
        <v/>
      </c>
      <c r="F2149" s="3">
        <f>IF(ISNUMBER(AVERAGE('20250815_ETF_Options_Exhibits'!F2145:F2149)),AVERAGE('20250815_ETF_Options_Exhibits'!F2145:F2149),"")</f>
        <v/>
      </c>
      <c r="G2149" s="3">
        <f>IF(ISNUMBER(AVERAGE('20250815_ETF_Options_Exhibits'!G2145:G2149)),AVERAGE('20250815_ETF_Options_Exhibits'!G2145:G2149),"")</f>
        <v/>
      </c>
      <c r="H2149" s="3">
        <f>IF(ISNUMBER(AVERAGE('20250815_ETF_Options_Exhibits'!H2145:H2149)),AVERAGE('20250815_ETF_Options_Exhibits'!H2145:H2149),"")</f>
        <v/>
      </c>
      <c r="I2149" s="3">
        <f>IF(ISNUMBER(AVERAGE('20250815_ETF_Options_Exhibits'!I2145:I2149)),AVERAGE('20250815_ETF_Options_Exhibits'!I2145:I2149),"")</f>
        <v/>
      </c>
      <c r="J2149" s="3">
        <f>IF(ISNUMBER(AVERAGE('20250815_ETF_Options_Exhibits'!J2145:J2149)),AVERAGE('20250815_ETF_Options_Exhibits'!J2145:J2149),"")</f>
        <v/>
      </c>
      <c r="K2149" s="3">
        <f>IF(ISNUMBER(AVERAGE('20250815_ETF_Options_Exhibits'!K2145:K2149)),AVERAGE('20250815_ETF_Options_Exhibits'!K2145:K2149),"")</f>
        <v/>
      </c>
      <c r="L2149" s="3">
        <f>IF(ISNUMBER(AVERAGE('20250815_ETF_Options_Exhibits'!L2145:L2149)),AVERAGE('20250815_ETF_Options_Exhibits'!L2145:L2149),"")</f>
        <v/>
      </c>
      <c r="M2149" s="3">
        <f>IF(ISNUMBER(AVERAGE('20250815_ETF_Options_Exhibits'!M2145:M2149)),AVERAGE('20250815_ETF_Options_Exhibits'!M2145:M2149),"")</f>
        <v/>
      </c>
      <c r="N2149" s="3">
        <f>IF(ISNUMBER(AVERAGE('20250815_ETF_Options_Exhibits'!N2145:N2149)),AVERAGE('20250815_ETF_Options_Exhibits'!N2145:N2149),"")</f>
        <v/>
      </c>
      <c r="O2149" s="3">
        <f>IF(ISNUMBER(AVERAGE('20250815_ETF_Options_Exhibits'!O2145:O2149)),AVERAGE('20250815_ETF_Options_Exhibits'!O2145:O2149),"")</f>
        <v/>
      </c>
      <c r="P2149" s="3">
        <f>IF(ISNUMBER(AVERAGE('20250815_ETF_Options_Exhibits'!P2145:P2149)),AVERAGE('20250815_ETF_Options_Exhibits'!P2145:P2149),"")</f>
        <v/>
      </c>
      <c r="Q2149" s="3">
        <f>IF(ISNUMBER(AVERAGE('20250815_ETF_Options_Exhibits'!Q2145:Q2149)),AVERAGE('20250815_ETF_Options_Exhibits'!Q2145:Q2149),"")</f>
        <v/>
      </c>
      <c r="R2149" s="3">
        <f>IF(ISNUMBER(AVERAGE('20250815_ETF_Options_Exhibits'!R2145:R2149)),AVERAGE('20250815_ETF_Options_Exhibits'!R2145:R2149),"")</f>
        <v/>
      </c>
      <c r="S2149" s="3">
        <f>IF(ISNUMBER(AVERAGE('20250815_ETF_Options_Exhibits'!S2145:S2149)),AVERAGE('20250815_ETF_Options_Exhibits'!S2145:S2149),"")</f>
        <v/>
      </c>
      <c r="T2149" s="3">
        <f>IF(ISNUMBER(AVERAGE('20250815_ETF_Options_Exhibits'!T2145:T2149)),AVERAGE('20250815_ETF_Options_Exhibits'!T2145:T2149),"")</f>
        <v/>
      </c>
      <c r="U2149" s="3">
        <f>IF(ISNUMBER(AVERAGE('20250815_ETF_Options_Exhibits'!U2145:U2149)),AVERAGE('20250815_ETF_Options_Exhibits'!U2145:U2149),"")</f>
        <v/>
      </c>
      <c r="V2149" s="3">
        <f>IF(ISNUMBER(AVERAGE('20250815_ETF_Options_Exhibits'!V2145:V2149)),AVERAGE('20250815_ETF_Options_Exhibits'!V2145:V2149),"")</f>
        <v/>
      </c>
      <c r="W2149" s="3">
        <f>IF(ISNUMBER(AVERAGE('20250815_ETF_Options_Exhibits'!W2145:W2149)),AVERAGE('20250815_ETF_Options_Exhibits'!W2145:W2149),"")</f>
        <v/>
      </c>
      <c r="X2149" s="3">
        <f>IF(ISNUMBER(AVERAGE('20250815_ETF_Options_Exhibits'!X2145:X2149)),AVERAGE('20250815_ETF_Options_Exhibits'!X2145:X2149),"")</f>
        <v/>
      </c>
      <c r="Y2149" s="3">
        <f>IF(ISNUMBER(AVERAGE('20250815_ETF_Options_Exhibits'!Y2145:Y2149)),AVERAGE('20250815_ETF_Options_Exhibits'!Y2145:Y2149),"")</f>
        <v/>
      </c>
      <c r="Z2149" s="3">
        <f>IF(ISNUMBER(AVERAGE('20250815_ETF_Options_Exhibits'!Z2145:Z2149)),AVERAGE('20250815_ETF_Options_Exhibits'!Z2145:Z2149),"")</f>
        <v/>
      </c>
      <c r="AA2149" s="3">
        <f>IF(ISNUMBER(AVERAGE('20250815_ETF_Options_Exhibits'!AA2145:AA2149)),AVERAGE('20250815_ETF_Options_Exhibits'!AA2145:AA2149),"")</f>
        <v/>
      </c>
    </row>
    <row r="2150">
      <c r="A2150" s="1" t="n">
        <v>45124</v>
      </c>
      <c r="B2150" s="3">
        <f>IF(ISNUMBER(AVERAGE('20250815_ETF_Options_Exhibits'!B2146:B2150)),AVERAGE('20250815_ETF_Options_Exhibits'!B2146:B2150),"")</f>
        <v/>
      </c>
      <c r="C2150" s="3">
        <f>IF(ISNUMBER(AVERAGE('20250815_ETF_Options_Exhibits'!C2146:C2150)),AVERAGE('20250815_ETF_Options_Exhibits'!C2146:C2150),"")</f>
        <v/>
      </c>
      <c r="D2150" s="3">
        <f>IF(ISNUMBER(AVERAGE('20250815_ETF_Options_Exhibits'!D2146:D2150)),AVERAGE('20250815_ETF_Options_Exhibits'!D2146:D2150),"")</f>
        <v/>
      </c>
      <c r="E2150" s="3">
        <f>IF(ISNUMBER(AVERAGE('20250815_ETF_Options_Exhibits'!E2146:E2150)),AVERAGE('20250815_ETF_Options_Exhibits'!E2146:E2150),"")</f>
        <v/>
      </c>
      <c r="F2150" s="3">
        <f>IF(ISNUMBER(AVERAGE('20250815_ETF_Options_Exhibits'!F2146:F2150)),AVERAGE('20250815_ETF_Options_Exhibits'!F2146:F2150),"")</f>
        <v/>
      </c>
      <c r="G2150" s="3">
        <f>IF(ISNUMBER(AVERAGE('20250815_ETF_Options_Exhibits'!G2146:G2150)),AVERAGE('20250815_ETF_Options_Exhibits'!G2146:G2150),"")</f>
        <v/>
      </c>
      <c r="H2150" s="3">
        <f>IF(ISNUMBER(AVERAGE('20250815_ETF_Options_Exhibits'!H2146:H2150)),AVERAGE('20250815_ETF_Options_Exhibits'!H2146:H2150),"")</f>
        <v/>
      </c>
      <c r="I2150" s="3">
        <f>IF(ISNUMBER(AVERAGE('20250815_ETF_Options_Exhibits'!I2146:I2150)),AVERAGE('20250815_ETF_Options_Exhibits'!I2146:I2150),"")</f>
        <v/>
      </c>
      <c r="J2150" s="3">
        <f>IF(ISNUMBER(AVERAGE('20250815_ETF_Options_Exhibits'!J2146:J2150)),AVERAGE('20250815_ETF_Options_Exhibits'!J2146:J2150),"")</f>
        <v/>
      </c>
      <c r="K2150" s="3">
        <f>IF(ISNUMBER(AVERAGE('20250815_ETF_Options_Exhibits'!K2146:K2150)),AVERAGE('20250815_ETF_Options_Exhibits'!K2146:K2150),"")</f>
        <v/>
      </c>
      <c r="L2150" s="3">
        <f>IF(ISNUMBER(AVERAGE('20250815_ETF_Options_Exhibits'!L2146:L2150)),AVERAGE('20250815_ETF_Options_Exhibits'!L2146:L2150),"")</f>
        <v/>
      </c>
      <c r="M2150" s="3">
        <f>IF(ISNUMBER(AVERAGE('20250815_ETF_Options_Exhibits'!M2146:M2150)),AVERAGE('20250815_ETF_Options_Exhibits'!M2146:M2150),"")</f>
        <v/>
      </c>
      <c r="N2150" s="3">
        <f>IF(ISNUMBER(AVERAGE('20250815_ETF_Options_Exhibits'!N2146:N2150)),AVERAGE('20250815_ETF_Options_Exhibits'!N2146:N2150),"")</f>
        <v/>
      </c>
      <c r="O2150" s="3">
        <f>IF(ISNUMBER(AVERAGE('20250815_ETF_Options_Exhibits'!O2146:O2150)),AVERAGE('20250815_ETF_Options_Exhibits'!O2146:O2150),"")</f>
        <v/>
      </c>
      <c r="P2150" s="3">
        <f>IF(ISNUMBER(AVERAGE('20250815_ETF_Options_Exhibits'!P2146:P2150)),AVERAGE('20250815_ETF_Options_Exhibits'!P2146:P2150),"")</f>
        <v/>
      </c>
      <c r="Q2150" s="3">
        <f>IF(ISNUMBER(AVERAGE('20250815_ETF_Options_Exhibits'!Q2146:Q2150)),AVERAGE('20250815_ETF_Options_Exhibits'!Q2146:Q2150),"")</f>
        <v/>
      </c>
      <c r="R2150" s="3">
        <f>IF(ISNUMBER(AVERAGE('20250815_ETF_Options_Exhibits'!R2146:R2150)),AVERAGE('20250815_ETF_Options_Exhibits'!R2146:R2150),"")</f>
        <v/>
      </c>
      <c r="S2150" s="3">
        <f>IF(ISNUMBER(AVERAGE('20250815_ETF_Options_Exhibits'!S2146:S2150)),AVERAGE('20250815_ETF_Options_Exhibits'!S2146:S2150),"")</f>
        <v/>
      </c>
      <c r="T2150" s="3">
        <f>IF(ISNUMBER(AVERAGE('20250815_ETF_Options_Exhibits'!T2146:T2150)),AVERAGE('20250815_ETF_Options_Exhibits'!T2146:T2150),"")</f>
        <v/>
      </c>
      <c r="U2150" s="3">
        <f>IF(ISNUMBER(AVERAGE('20250815_ETF_Options_Exhibits'!U2146:U2150)),AVERAGE('20250815_ETF_Options_Exhibits'!U2146:U2150),"")</f>
        <v/>
      </c>
      <c r="V2150" s="3">
        <f>IF(ISNUMBER(AVERAGE('20250815_ETF_Options_Exhibits'!V2146:V2150)),AVERAGE('20250815_ETF_Options_Exhibits'!V2146:V2150),"")</f>
        <v/>
      </c>
      <c r="W2150" s="3">
        <f>IF(ISNUMBER(AVERAGE('20250815_ETF_Options_Exhibits'!W2146:W2150)),AVERAGE('20250815_ETF_Options_Exhibits'!W2146:W2150),"")</f>
        <v/>
      </c>
      <c r="X2150" s="3">
        <f>IF(ISNUMBER(AVERAGE('20250815_ETF_Options_Exhibits'!X2146:X2150)),AVERAGE('20250815_ETF_Options_Exhibits'!X2146:X2150),"")</f>
        <v/>
      </c>
      <c r="Y2150" s="3">
        <f>IF(ISNUMBER(AVERAGE('20250815_ETF_Options_Exhibits'!Y2146:Y2150)),AVERAGE('20250815_ETF_Options_Exhibits'!Y2146:Y2150),"")</f>
        <v/>
      </c>
      <c r="Z2150" s="3">
        <f>IF(ISNUMBER(AVERAGE('20250815_ETF_Options_Exhibits'!Z2146:Z2150)),AVERAGE('20250815_ETF_Options_Exhibits'!Z2146:Z2150),"")</f>
        <v/>
      </c>
      <c r="AA2150" s="3">
        <f>IF(ISNUMBER(AVERAGE('20250815_ETF_Options_Exhibits'!AA2146:AA2150)),AVERAGE('20250815_ETF_Options_Exhibits'!AA2146:AA2150),"")</f>
        <v/>
      </c>
    </row>
    <row r="2151">
      <c r="A2151" s="1" t="n">
        <v>45125</v>
      </c>
      <c r="B2151" s="3">
        <f>IF(ISNUMBER(AVERAGE('20250815_ETF_Options_Exhibits'!B2147:B2151)),AVERAGE('20250815_ETF_Options_Exhibits'!B2147:B2151),"")</f>
        <v/>
      </c>
      <c r="C2151" s="3">
        <f>IF(ISNUMBER(AVERAGE('20250815_ETF_Options_Exhibits'!C2147:C2151)),AVERAGE('20250815_ETF_Options_Exhibits'!C2147:C2151),"")</f>
        <v/>
      </c>
      <c r="D2151" s="3">
        <f>IF(ISNUMBER(AVERAGE('20250815_ETF_Options_Exhibits'!D2147:D2151)),AVERAGE('20250815_ETF_Options_Exhibits'!D2147:D2151),"")</f>
        <v/>
      </c>
      <c r="E2151" s="3">
        <f>IF(ISNUMBER(AVERAGE('20250815_ETF_Options_Exhibits'!E2147:E2151)),AVERAGE('20250815_ETF_Options_Exhibits'!E2147:E2151),"")</f>
        <v/>
      </c>
      <c r="F2151" s="3">
        <f>IF(ISNUMBER(AVERAGE('20250815_ETF_Options_Exhibits'!F2147:F2151)),AVERAGE('20250815_ETF_Options_Exhibits'!F2147:F2151),"")</f>
        <v/>
      </c>
      <c r="G2151" s="3">
        <f>IF(ISNUMBER(AVERAGE('20250815_ETF_Options_Exhibits'!G2147:G2151)),AVERAGE('20250815_ETF_Options_Exhibits'!G2147:G2151),"")</f>
        <v/>
      </c>
      <c r="H2151" s="3">
        <f>IF(ISNUMBER(AVERAGE('20250815_ETF_Options_Exhibits'!H2147:H2151)),AVERAGE('20250815_ETF_Options_Exhibits'!H2147:H2151),"")</f>
        <v/>
      </c>
      <c r="I2151" s="3">
        <f>IF(ISNUMBER(AVERAGE('20250815_ETF_Options_Exhibits'!I2147:I2151)),AVERAGE('20250815_ETF_Options_Exhibits'!I2147:I2151),"")</f>
        <v/>
      </c>
      <c r="J2151" s="3">
        <f>IF(ISNUMBER(AVERAGE('20250815_ETF_Options_Exhibits'!J2147:J2151)),AVERAGE('20250815_ETF_Options_Exhibits'!J2147:J2151),"")</f>
        <v/>
      </c>
      <c r="K2151" s="3">
        <f>IF(ISNUMBER(AVERAGE('20250815_ETF_Options_Exhibits'!K2147:K2151)),AVERAGE('20250815_ETF_Options_Exhibits'!K2147:K2151),"")</f>
        <v/>
      </c>
      <c r="L2151" s="3">
        <f>IF(ISNUMBER(AVERAGE('20250815_ETF_Options_Exhibits'!L2147:L2151)),AVERAGE('20250815_ETF_Options_Exhibits'!L2147:L2151),"")</f>
        <v/>
      </c>
      <c r="M2151" s="3">
        <f>IF(ISNUMBER(AVERAGE('20250815_ETF_Options_Exhibits'!M2147:M2151)),AVERAGE('20250815_ETF_Options_Exhibits'!M2147:M2151),"")</f>
        <v/>
      </c>
      <c r="N2151" s="3">
        <f>IF(ISNUMBER(AVERAGE('20250815_ETF_Options_Exhibits'!N2147:N2151)),AVERAGE('20250815_ETF_Options_Exhibits'!N2147:N2151),"")</f>
        <v/>
      </c>
      <c r="O2151" s="3">
        <f>IF(ISNUMBER(AVERAGE('20250815_ETF_Options_Exhibits'!O2147:O2151)),AVERAGE('20250815_ETF_Options_Exhibits'!O2147:O2151),"")</f>
        <v/>
      </c>
      <c r="P2151" s="3">
        <f>IF(ISNUMBER(AVERAGE('20250815_ETF_Options_Exhibits'!P2147:P2151)),AVERAGE('20250815_ETF_Options_Exhibits'!P2147:P2151),"")</f>
        <v/>
      </c>
      <c r="Q2151" s="3">
        <f>IF(ISNUMBER(AVERAGE('20250815_ETF_Options_Exhibits'!Q2147:Q2151)),AVERAGE('20250815_ETF_Options_Exhibits'!Q2147:Q2151),"")</f>
        <v/>
      </c>
      <c r="R2151" s="3">
        <f>IF(ISNUMBER(AVERAGE('20250815_ETF_Options_Exhibits'!R2147:R2151)),AVERAGE('20250815_ETF_Options_Exhibits'!R2147:R2151),"")</f>
        <v/>
      </c>
      <c r="S2151" s="3">
        <f>IF(ISNUMBER(AVERAGE('20250815_ETF_Options_Exhibits'!S2147:S2151)),AVERAGE('20250815_ETF_Options_Exhibits'!S2147:S2151),"")</f>
        <v/>
      </c>
      <c r="T2151" s="3">
        <f>IF(ISNUMBER(AVERAGE('20250815_ETF_Options_Exhibits'!T2147:T2151)),AVERAGE('20250815_ETF_Options_Exhibits'!T2147:T2151),"")</f>
        <v/>
      </c>
      <c r="U2151" s="3">
        <f>IF(ISNUMBER(AVERAGE('20250815_ETF_Options_Exhibits'!U2147:U2151)),AVERAGE('20250815_ETF_Options_Exhibits'!U2147:U2151),"")</f>
        <v/>
      </c>
      <c r="V2151" s="3">
        <f>IF(ISNUMBER(AVERAGE('20250815_ETF_Options_Exhibits'!V2147:V2151)),AVERAGE('20250815_ETF_Options_Exhibits'!V2147:V2151),"")</f>
        <v/>
      </c>
      <c r="W2151" s="3">
        <f>IF(ISNUMBER(AVERAGE('20250815_ETF_Options_Exhibits'!W2147:W2151)),AVERAGE('20250815_ETF_Options_Exhibits'!W2147:W2151),"")</f>
        <v/>
      </c>
      <c r="X2151" s="3">
        <f>IF(ISNUMBER(AVERAGE('20250815_ETF_Options_Exhibits'!X2147:X2151)),AVERAGE('20250815_ETF_Options_Exhibits'!X2147:X2151),"")</f>
        <v/>
      </c>
      <c r="Y2151" s="3">
        <f>IF(ISNUMBER(AVERAGE('20250815_ETF_Options_Exhibits'!Y2147:Y2151)),AVERAGE('20250815_ETF_Options_Exhibits'!Y2147:Y2151),"")</f>
        <v/>
      </c>
      <c r="Z2151" s="3">
        <f>IF(ISNUMBER(AVERAGE('20250815_ETF_Options_Exhibits'!Z2147:Z2151)),AVERAGE('20250815_ETF_Options_Exhibits'!Z2147:Z2151),"")</f>
        <v/>
      </c>
      <c r="AA2151" s="3">
        <f>IF(ISNUMBER(AVERAGE('20250815_ETF_Options_Exhibits'!AA2147:AA2151)),AVERAGE('20250815_ETF_Options_Exhibits'!AA2147:AA2151),"")</f>
        <v/>
      </c>
    </row>
    <row r="2152">
      <c r="A2152" s="1" t="n">
        <v>45126</v>
      </c>
      <c r="B2152" s="3">
        <f>IF(ISNUMBER(AVERAGE('20250815_ETF_Options_Exhibits'!B2148:B2152)),AVERAGE('20250815_ETF_Options_Exhibits'!B2148:B2152),"")</f>
        <v/>
      </c>
      <c r="C2152" s="3">
        <f>IF(ISNUMBER(AVERAGE('20250815_ETF_Options_Exhibits'!C2148:C2152)),AVERAGE('20250815_ETF_Options_Exhibits'!C2148:C2152),"")</f>
        <v/>
      </c>
      <c r="D2152" s="3">
        <f>IF(ISNUMBER(AVERAGE('20250815_ETF_Options_Exhibits'!D2148:D2152)),AVERAGE('20250815_ETF_Options_Exhibits'!D2148:D2152),"")</f>
        <v/>
      </c>
      <c r="E2152" s="3">
        <f>IF(ISNUMBER(AVERAGE('20250815_ETF_Options_Exhibits'!E2148:E2152)),AVERAGE('20250815_ETF_Options_Exhibits'!E2148:E2152),"")</f>
        <v/>
      </c>
      <c r="F2152" s="3">
        <f>IF(ISNUMBER(AVERAGE('20250815_ETF_Options_Exhibits'!F2148:F2152)),AVERAGE('20250815_ETF_Options_Exhibits'!F2148:F2152),"")</f>
        <v/>
      </c>
      <c r="G2152" s="3">
        <f>IF(ISNUMBER(AVERAGE('20250815_ETF_Options_Exhibits'!G2148:G2152)),AVERAGE('20250815_ETF_Options_Exhibits'!G2148:G2152),"")</f>
        <v/>
      </c>
      <c r="H2152" s="3">
        <f>IF(ISNUMBER(AVERAGE('20250815_ETF_Options_Exhibits'!H2148:H2152)),AVERAGE('20250815_ETF_Options_Exhibits'!H2148:H2152),"")</f>
        <v/>
      </c>
      <c r="I2152" s="3">
        <f>IF(ISNUMBER(AVERAGE('20250815_ETF_Options_Exhibits'!I2148:I2152)),AVERAGE('20250815_ETF_Options_Exhibits'!I2148:I2152),"")</f>
        <v/>
      </c>
      <c r="J2152" s="3">
        <f>IF(ISNUMBER(AVERAGE('20250815_ETF_Options_Exhibits'!J2148:J2152)),AVERAGE('20250815_ETF_Options_Exhibits'!J2148:J2152),"")</f>
        <v/>
      </c>
      <c r="K2152" s="3">
        <f>IF(ISNUMBER(AVERAGE('20250815_ETF_Options_Exhibits'!K2148:K2152)),AVERAGE('20250815_ETF_Options_Exhibits'!K2148:K2152),"")</f>
        <v/>
      </c>
      <c r="L2152" s="3">
        <f>IF(ISNUMBER(AVERAGE('20250815_ETF_Options_Exhibits'!L2148:L2152)),AVERAGE('20250815_ETF_Options_Exhibits'!L2148:L2152),"")</f>
        <v/>
      </c>
      <c r="M2152" s="3">
        <f>IF(ISNUMBER(AVERAGE('20250815_ETF_Options_Exhibits'!M2148:M2152)),AVERAGE('20250815_ETF_Options_Exhibits'!M2148:M2152),"")</f>
        <v/>
      </c>
      <c r="N2152" s="3">
        <f>IF(ISNUMBER(AVERAGE('20250815_ETF_Options_Exhibits'!N2148:N2152)),AVERAGE('20250815_ETF_Options_Exhibits'!N2148:N2152),"")</f>
        <v/>
      </c>
      <c r="O2152" s="3">
        <f>IF(ISNUMBER(AVERAGE('20250815_ETF_Options_Exhibits'!O2148:O2152)),AVERAGE('20250815_ETF_Options_Exhibits'!O2148:O2152),"")</f>
        <v/>
      </c>
      <c r="P2152" s="3">
        <f>IF(ISNUMBER(AVERAGE('20250815_ETF_Options_Exhibits'!P2148:P2152)),AVERAGE('20250815_ETF_Options_Exhibits'!P2148:P2152),"")</f>
        <v/>
      </c>
      <c r="Q2152" s="3">
        <f>IF(ISNUMBER(AVERAGE('20250815_ETF_Options_Exhibits'!Q2148:Q2152)),AVERAGE('20250815_ETF_Options_Exhibits'!Q2148:Q2152),"")</f>
        <v/>
      </c>
      <c r="R2152" s="3">
        <f>IF(ISNUMBER(AVERAGE('20250815_ETF_Options_Exhibits'!R2148:R2152)),AVERAGE('20250815_ETF_Options_Exhibits'!R2148:R2152),"")</f>
        <v/>
      </c>
      <c r="S2152" s="3">
        <f>IF(ISNUMBER(AVERAGE('20250815_ETF_Options_Exhibits'!S2148:S2152)),AVERAGE('20250815_ETF_Options_Exhibits'!S2148:S2152),"")</f>
        <v/>
      </c>
      <c r="T2152" s="3">
        <f>IF(ISNUMBER(AVERAGE('20250815_ETF_Options_Exhibits'!T2148:T2152)),AVERAGE('20250815_ETF_Options_Exhibits'!T2148:T2152),"")</f>
        <v/>
      </c>
      <c r="U2152" s="3">
        <f>IF(ISNUMBER(AVERAGE('20250815_ETF_Options_Exhibits'!U2148:U2152)),AVERAGE('20250815_ETF_Options_Exhibits'!U2148:U2152),"")</f>
        <v/>
      </c>
      <c r="V2152" s="3">
        <f>IF(ISNUMBER(AVERAGE('20250815_ETF_Options_Exhibits'!V2148:V2152)),AVERAGE('20250815_ETF_Options_Exhibits'!V2148:V2152),"")</f>
        <v/>
      </c>
      <c r="W2152" s="3">
        <f>IF(ISNUMBER(AVERAGE('20250815_ETF_Options_Exhibits'!W2148:W2152)),AVERAGE('20250815_ETF_Options_Exhibits'!W2148:W2152),"")</f>
        <v/>
      </c>
      <c r="X2152" s="3">
        <f>IF(ISNUMBER(AVERAGE('20250815_ETF_Options_Exhibits'!X2148:X2152)),AVERAGE('20250815_ETF_Options_Exhibits'!X2148:X2152),"")</f>
        <v/>
      </c>
      <c r="Y2152" s="3">
        <f>IF(ISNUMBER(AVERAGE('20250815_ETF_Options_Exhibits'!Y2148:Y2152)),AVERAGE('20250815_ETF_Options_Exhibits'!Y2148:Y2152),"")</f>
        <v/>
      </c>
      <c r="Z2152" s="3">
        <f>IF(ISNUMBER(AVERAGE('20250815_ETF_Options_Exhibits'!Z2148:Z2152)),AVERAGE('20250815_ETF_Options_Exhibits'!Z2148:Z2152),"")</f>
        <v/>
      </c>
      <c r="AA2152" s="3">
        <f>IF(ISNUMBER(AVERAGE('20250815_ETF_Options_Exhibits'!AA2148:AA2152)),AVERAGE('20250815_ETF_Options_Exhibits'!AA2148:AA2152),"")</f>
        <v/>
      </c>
    </row>
    <row r="2153">
      <c r="A2153" s="1" t="n">
        <v>45127</v>
      </c>
      <c r="B2153" s="3">
        <f>IF(ISNUMBER(AVERAGE('20250815_ETF_Options_Exhibits'!B2149:B2153)),AVERAGE('20250815_ETF_Options_Exhibits'!B2149:B2153),"")</f>
        <v/>
      </c>
      <c r="C2153" s="3">
        <f>IF(ISNUMBER(AVERAGE('20250815_ETF_Options_Exhibits'!C2149:C2153)),AVERAGE('20250815_ETF_Options_Exhibits'!C2149:C2153),"")</f>
        <v/>
      </c>
      <c r="D2153" s="3">
        <f>IF(ISNUMBER(AVERAGE('20250815_ETF_Options_Exhibits'!D2149:D2153)),AVERAGE('20250815_ETF_Options_Exhibits'!D2149:D2153),"")</f>
        <v/>
      </c>
      <c r="E2153" s="3">
        <f>IF(ISNUMBER(AVERAGE('20250815_ETF_Options_Exhibits'!E2149:E2153)),AVERAGE('20250815_ETF_Options_Exhibits'!E2149:E2153),"")</f>
        <v/>
      </c>
      <c r="F2153" s="3">
        <f>IF(ISNUMBER(AVERAGE('20250815_ETF_Options_Exhibits'!F2149:F2153)),AVERAGE('20250815_ETF_Options_Exhibits'!F2149:F2153),"")</f>
        <v/>
      </c>
      <c r="G2153" s="3">
        <f>IF(ISNUMBER(AVERAGE('20250815_ETF_Options_Exhibits'!G2149:G2153)),AVERAGE('20250815_ETF_Options_Exhibits'!G2149:G2153),"")</f>
        <v/>
      </c>
      <c r="H2153" s="3">
        <f>IF(ISNUMBER(AVERAGE('20250815_ETF_Options_Exhibits'!H2149:H2153)),AVERAGE('20250815_ETF_Options_Exhibits'!H2149:H2153),"")</f>
        <v/>
      </c>
      <c r="I2153" s="3">
        <f>IF(ISNUMBER(AVERAGE('20250815_ETF_Options_Exhibits'!I2149:I2153)),AVERAGE('20250815_ETF_Options_Exhibits'!I2149:I2153),"")</f>
        <v/>
      </c>
      <c r="J2153" s="3">
        <f>IF(ISNUMBER(AVERAGE('20250815_ETF_Options_Exhibits'!J2149:J2153)),AVERAGE('20250815_ETF_Options_Exhibits'!J2149:J2153),"")</f>
        <v/>
      </c>
      <c r="K2153" s="3">
        <f>IF(ISNUMBER(AVERAGE('20250815_ETF_Options_Exhibits'!K2149:K2153)),AVERAGE('20250815_ETF_Options_Exhibits'!K2149:K2153),"")</f>
        <v/>
      </c>
      <c r="L2153" s="3">
        <f>IF(ISNUMBER(AVERAGE('20250815_ETF_Options_Exhibits'!L2149:L2153)),AVERAGE('20250815_ETF_Options_Exhibits'!L2149:L2153),"")</f>
        <v/>
      </c>
      <c r="M2153" s="3">
        <f>IF(ISNUMBER(AVERAGE('20250815_ETF_Options_Exhibits'!M2149:M2153)),AVERAGE('20250815_ETF_Options_Exhibits'!M2149:M2153),"")</f>
        <v/>
      </c>
      <c r="N2153" s="3">
        <f>IF(ISNUMBER(AVERAGE('20250815_ETF_Options_Exhibits'!N2149:N2153)),AVERAGE('20250815_ETF_Options_Exhibits'!N2149:N2153),"")</f>
        <v/>
      </c>
      <c r="O2153" s="3">
        <f>IF(ISNUMBER(AVERAGE('20250815_ETF_Options_Exhibits'!O2149:O2153)),AVERAGE('20250815_ETF_Options_Exhibits'!O2149:O2153),"")</f>
        <v/>
      </c>
      <c r="P2153" s="3">
        <f>IF(ISNUMBER(AVERAGE('20250815_ETF_Options_Exhibits'!P2149:P2153)),AVERAGE('20250815_ETF_Options_Exhibits'!P2149:P2153),"")</f>
        <v/>
      </c>
      <c r="Q2153" s="3">
        <f>IF(ISNUMBER(AVERAGE('20250815_ETF_Options_Exhibits'!Q2149:Q2153)),AVERAGE('20250815_ETF_Options_Exhibits'!Q2149:Q2153),"")</f>
        <v/>
      </c>
      <c r="R2153" s="3">
        <f>IF(ISNUMBER(AVERAGE('20250815_ETF_Options_Exhibits'!R2149:R2153)),AVERAGE('20250815_ETF_Options_Exhibits'!R2149:R2153),"")</f>
        <v/>
      </c>
      <c r="S2153" s="3">
        <f>IF(ISNUMBER(AVERAGE('20250815_ETF_Options_Exhibits'!S2149:S2153)),AVERAGE('20250815_ETF_Options_Exhibits'!S2149:S2153),"")</f>
        <v/>
      </c>
      <c r="T2153" s="3">
        <f>IF(ISNUMBER(AVERAGE('20250815_ETF_Options_Exhibits'!T2149:T2153)),AVERAGE('20250815_ETF_Options_Exhibits'!T2149:T2153),"")</f>
        <v/>
      </c>
      <c r="U2153" s="3">
        <f>IF(ISNUMBER(AVERAGE('20250815_ETF_Options_Exhibits'!U2149:U2153)),AVERAGE('20250815_ETF_Options_Exhibits'!U2149:U2153),"")</f>
        <v/>
      </c>
      <c r="V2153" s="3">
        <f>IF(ISNUMBER(AVERAGE('20250815_ETF_Options_Exhibits'!V2149:V2153)),AVERAGE('20250815_ETF_Options_Exhibits'!V2149:V2153),"")</f>
        <v/>
      </c>
      <c r="W2153" s="3">
        <f>IF(ISNUMBER(AVERAGE('20250815_ETF_Options_Exhibits'!W2149:W2153)),AVERAGE('20250815_ETF_Options_Exhibits'!W2149:W2153),"")</f>
        <v/>
      </c>
      <c r="X2153" s="3">
        <f>IF(ISNUMBER(AVERAGE('20250815_ETF_Options_Exhibits'!X2149:X2153)),AVERAGE('20250815_ETF_Options_Exhibits'!X2149:X2153),"")</f>
        <v/>
      </c>
      <c r="Y2153" s="3">
        <f>IF(ISNUMBER(AVERAGE('20250815_ETF_Options_Exhibits'!Y2149:Y2153)),AVERAGE('20250815_ETF_Options_Exhibits'!Y2149:Y2153),"")</f>
        <v/>
      </c>
      <c r="Z2153" s="3">
        <f>IF(ISNUMBER(AVERAGE('20250815_ETF_Options_Exhibits'!Z2149:Z2153)),AVERAGE('20250815_ETF_Options_Exhibits'!Z2149:Z2153),"")</f>
        <v/>
      </c>
      <c r="AA2153" s="3">
        <f>IF(ISNUMBER(AVERAGE('20250815_ETF_Options_Exhibits'!AA2149:AA2153)),AVERAGE('20250815_ETF_Options_Exhibits'!AA2149:AA2153),"")</f>
        <v/>
      </c>
    </row>
    <row r="2154">
      <c r="A2154" s="1" t="n">
        <v>45128</v>
      </c>
      <c r="B2154" s="3">
        <f>IF(ISNUMBER(AVERAGE('20250815_ETF_Options_Exhibits'!B2150:B2154)),AVERAGE('20250815_ETF_Options_Exhibits'!B2150:B2154),"")</f>
        <v/>
      </c>
      <c r="C2154" s="3">
        <f>IF(ISNUMBER(AVERAGE('20250815_ETF_Options_Exhibits'!C2150:C2154)),AVERAGE('20250815_ETF_Options_Exhibits'!C2150:C2154),"")</f>
        <v/>
      </c>
      <c r="D2154" s="3">
        <f>IF(ISNUMBER(AVERAGE('20250815_ETF_Options_Exhibits'!D2150:D2154)),AVERAGE('20250815_ETF_Options_Exhibits'!D2150:D2154),"")</f>
        <v/>
      </c>
      <c r="E2154" s="3">
        <f>IF(ISNUMBER(AVERAGE('20250815_ETF_Options_Exhibits'!E2150:E2154)),AVERAGE('20250815_ETF_Options_Exhibits'!E2150:E2154),"")</f>
        <v/>
      </c>
      <c r="F2154" s="3">
        <f>IF(ISNUMBER(AVERAGE('20250815_ETF_Options_Exhibits'!F2150:F2154)),AVERAGE('20250815_ETF_Options_Exhibits'!F2150:F2154),"")</f>
        <v/>
      </c>
      <c r="G2154" s="3">
        <f>IF(ISNUMBER(AVERAGE('20250815_ETF_Options_Exhibits'!G2150:G2154)),AVERAGE('20250815_ETF_Options_Exhibits'!G2150:G2154),"")</f>
        <v/>
      </c>
      <c r="H2154" s="3">
        <f>IF(ISNUMBER(AVERAGE('20250815_ETF_Options_Exhibits'!H2150:H2154)),AVERAGE('20250815_ETF_Options_Exhibits'!H2150:H2154),"")</f>
        <v/>
      </c>
      <c r="I2154" s="3">
        <f>IF(ISNUMBER(AVERAGE('20250815_ETF_Options_Exhibits'!I2150:I2154)),AVERAGE('20250815_ETF_Options_Exhibits'!I2150:I2154),"")</f>
        <v/>
      </c>
      <c r="J2154" s="3">
        <f>IF(ISNUMBER(AVERAGE('20250815_ETF_Options_Exhibits'!J2150:J2154)),AVERAGE('20250815_ETF_Options_Exhibits'!J2150:J2154),"")</f>
        <v/>
      </c>
      <c r="K2154" s="3">
        <f>IF(ISNUMBER(AVERAGE('20250815_ETF_Options_Exhibits'!K2150:K2154)),AVERAGE('20250815_ETF_Options_Exhibits'!K2150:K2154),"")</f>
        <v/>
      </c>
      <c r="L2154" s="3">
        <f>IF(ISNUMBER(AVERAGE('20250815_ETF_Options_Exhibits'!L2150:L2154)),AVERAGE('20250815_ETF_Options_Exhibits'!L2150:L2154),"")</f>
        <v/>
      </c>
      <c r="M2154" s="3">
        <f>IF(ISNUMBER(AVERAGE('20250815_ETF_Options_Exhibits'!M2150:M2154)),AVERAGE('20250815_ETF_Options_Exhibits'!M2150:M2154),"")</f>
        <v/>
      </c>
      <c r="N2154" s="3">
        <f>IF(ISNUMBER(AVERAGE('20250815_ETF_Options_Exhibits'!N2150:N2154)),AVERAGE('20250815_ETF_Options_Exhibits'!N2150:N2154),"")</f>
        <v/>
      </c>
      <c r="O2154" s="3">
        <f>IF(ISNUMBER(AVERAGE('20250815_ETF_Options_Exhibits'!O2150:O2154)),AVERAGE('20250815_ETF_Options_Exhibits'!O2150:O2154),"")</f>
        <v/>
      </c>
      <c r="P2154" s="3">
        <f>IF(ISNUMBER(AVERAGE('20250815_ETF_Options_Exhibits'!P2150:P2154)),AVERAGE('20250815_ETF_Options_Exhibits'!P2150:P2154),"")</f>
        <v/>
      </c>
      <c r="Q2154" s="3">
        <f>IF(ISNUMBER(AVERAGE('20250815_ETF_Options_Exhibits'!Q2150:Q2154)),AVERAGE('20250815_ETF_Options_Exhibits'!Q2150:Q2154),"")</f>
        <v/>
      </c>
      <c r="R2154" s="3">
        <f>IF(ISNUMBER(AVERAGE('20250815_ETF_Options_Exhibits'!R2150:R2154)),AVERAGE('20250815_ETF_Options_Exhibits'!R2150:R2154),"")</f>
        <v/>
      </c>
      <c r="S2154" s="3">
        <f>IF(ISNUMBER(AVERAGE('20250815_ETF_Options_Exhibits'!S2150:S2154)),AVERAGE('20250815_ETF_Options_Exhibits'!S2150:S2154),"")</f>
        <v/>
      </c>
      <c r="T2154" s="3">
        <f>IF(ISNUMBER(AVERAGE('20250815_ETF_Options_Exhibits'!T2150:T2154)),AVERAGE('20250815_ETF_Options_Exhibits'!T2150:T2154),"")</f>
        <v/>
      </c>
      <c r="U2154" s="3">
        <f>IF(ISNUMBER(AVERAGE('20250815_ETF_Options_Exhibits'!U2150:U2154)),AVERAGE('20250815_ETF_Options_Exhibits'!U2150:U2154),"")</f>
        <v/>
      </c>
      <c r="V2154" s="3">
        <f>IF(ISNUMBER(AVERAGE('20250815_ETF_Options_Exhibits'!V2150:V2154)),AVERAGE('20250815_ETF_Options_Exhibits'!V2150:V2154),"")</f>
        <v/>
      </c>
      <c r="W2154" s="3">
        <f>IF(ISNUMBER(AVERAGE('20250815_ETF_Options_Exhibits'!W2150:W2154)),AVERAGE('20250815_ETF_Options_Exhibits'!W2150:W2154),"")</f>
        <v/>
      </c>
      <c r="X2154" s="3">
        <f>IF(ISNUMBER(AVERAGE('20250815_ETF_Options_Exhibits'!X2150:X2154)),AVERAGE('20250815_ETF_Options_Exhibits'!X2150:X2154),"")</f>
        <v/>
      </c>
      <c r="Y2154" s="3">
        <f>IF(ISNUMBER(AVERAGE('20250815_ETF_Options_Exhibits'!Y2150:Y2154)),AVERAGE('20250815_ETF_Options_Exhibits'!Y2150:Y2154),"")</f>
        <v/>
      </c>
      <c r="Z2154" s="3">
        <f>IF(ISNUMBER(AVERAGE('20250815_ETF_Options_Exhibits'!Z2150:Z2154)),AVERAGE('20250815_ETF_Options_Exhibits'!Z2150:Z2154),"")</f>
        <v/>
      </c>
      <c r="AA2154" s="3">
        <f>IF(ISNUMBER(AVERAGE('20250815_ETF_Options_Exhibits'!AA2150:AA2154)),AVERAGE('20250815_ETF_Options_Exhibits'!AA2150:AA2154),"")</f>
        <v/>
      </c>
    </row>
    <row r="2155">
      <c r="A2155" s="1" t="n">
        <v>45131</v>
      </c>
      <c r="B2155" s="3">
        <f>IF(ISNUMBER(AVERAGE('20250815_ETF_Options_Exhibits'!B2151:B2155)),AVERAGE('20250815_ETF_Options_Exhibits'!B2151:B2155),"")</f>
        <v/>
      </c>
      <c r="C2155" s="3">
        <f>IF(ISNUMBER(AVERAGE('20250815_ETF_Options_Exhibits'!C2151:C2155)),AVERAGE('20250815_ETF_Options_Exhibits'!C2151:C2155),"")</f>
        <v/>
      </c>
      <c r="D2155" s="3">
        <f>IF(ISNUMBER(AVERAGE('20250815_ETF_Options_Exhibits'!D2151:D2155)),AVERAGE('20250815_ETF_Options_Exhibits'!D2151:D2155),"")</f>
        <v/>
      </c>
      <c r="E2155" s="3">
        <f>IF(ISNUMBER(AVERAGE('20250815_ETF_Options_Exhibits'!E2151:E2155)),AVERAGE('20250815_ETF_Options_Exhibits'!E2151:E2155),"")</f>
        <v/>
      </c>
      <c r="F2155" s="3">
        <f>IF(ISNUMBER(AVERAGE('20250815_ETF_Options_Exhibits'!F2151:F2155)),AVERAGE('20250815_ETF_Options_Exhibits'!F2151:F2155),"")</f>
        <v/>
      </c>
      <c r="G2155" s="3">
        <f>IF(ISNUMBER(AVERAGE('20250815_ETF_Options_Exhibits'!G2151:G2155)),AVERAGE('20250815_ETF_Options_Exhibits'!G2151:G2155),"")</f>
        <v/>
      </c>
      <c r="H2155" s="3">
        <f>IF(ISNUMBER(AVERAGE('20250815_ETF_Options_Exhibits'!H2151:H2155)),AVERAGE('20250815_ETF_Options_Exhibits'!H2151:H2155),"")</f>
        <v/>
      </c>
      <c r="I2155" s="3">
        <f>IF(ISNUMBER(AVERAGE('20250815_ETF_Options_Exhibits'!I2151:I2155)),AVERAGE('20250815_ETF_Options_Exhibits'!I2151:I2155),"")</f>
        <v/>
      </c>
      <c r="J2155" s="3">
        <f>IF(ISNUMBER(AVERAGE('20250815_ETF_Options_Exhibits'!J2151:J2155)),AVERAGE('20250815_ETF_Options_Exhibits'!J2151:J2155),"")</f>
        <v/>
      </c>
      <c r="K2155" s="3">
        <f>IF(ISNUMBER(AVERAGE('20250815_ETF_Options_Exhibits'!K2151:K2155)),AVERAGE('20250815_ETF_Options_Exhibits'!K2151:K2155),"")</f>
        <v/>
      </c>
      <c r="L2155" s="3">
        <f>IF(ISNUMBER(AVERAGE('20250815_ETF_Options_Exhibits'!L2151:L2155)),AVERAGE('20250815_ETF_Options_Exhibits'!L2151:L2155),"")</f>
        <v/>
      </c>
      <c r="M2155" s="3">
        <f>IF(ISNUMBER(AVERAGE('20250815_ETF_Options_Exhibits'!M2151:M2155)),AVERAGE('20250815_ETF_Options_Exhibits'!M2151:M2155),"")</f>
        <v/>
      </c>
      <c r="N2155" s="3">
        <f>IF(ISNUMBER(AVERAGE('20250815_ETF_Options_Exhibits'!N2151:N2155)),AVERAGE('20250815_ETF_Options_Exhibits'!N2151:N2155),"")</f>
        <v/>
      </c>
      <c r="O2155" s="3">
        <f>IF(ISNUMBER(AVERAGE('20250815_ETF_Options_Exhibits'!O2151:O2155)),AVERAGE('20250815_ETF_Options_Exhibits'!O2151:O2155),"")</f>
        <v/>
      </c>
      <c r="P2155" s="3">
        <f>IF(ISNUMBER(AVERAGE('20250815_ETF_Options_Exhibits'!P2151:P2155)),AVERAGE('20250815_ETF_Options_Exhibits'!P2151:P2155),"")</f>
        <v/>
      </c>
      <c r="Q2155" s="3">
        <f>IF(ISNUMBER(AVERAGE('20250815_ETF_Options_Exhibits'!Q2151:Q2155)),AVERAGE('20250815_ETF_Options_Exhibits'!Q2151:Q2155),"")</f>
        <v/>
      </c>
      <c r="R2155" s="3">
        <f>IF(ISNUMBER(AVERAGE('20250815_ETF_Options_Exhibits'!R2151:R2155)),AVERAGE('20250815_ETF_Options_Exhibits'!R2151:R2155),"")</f>
        <v/>
      </c>
      <c r="S2155" s="3">
        <f>IF(ISNUMBER(AVERAGE('20250815_ETF_Options_Exhibits'!S2151:S2155)),AVERAGE('20250815_ETF_Options_Exhibits'!S2151:S2155),"")</f>
        <v/>
      </c>
      <c r="T2155" s="3">
        <f>IF(ISNUMBER(AVERAGE('20250815_ETF_Options_Exhibits'!T2151:T2155)),AVERAGE('20250815_ETF_Options_Exhibits'!T2151:T2155),"")</f>
        <v/>
      </c>
      <c r="U2155" s="3">
        <f>IF(ISNUMBER(AVERAGE('20250815_ETF_Options_Exhibits'!U2151:U2155)),AVERAGE('20250815_ETF_Options_Exhibits'!U2151:U2155),"")</f>
        <v/>
      </c>
      <c r="V2155" s="3">
        <f>IF(ISNUMBER(AVERAGE('20250815_ETF_Options_Exhibits'!V2151:V2155)),AVERAGE('20250815_ETF_Options_Exhibits'!V2151:V2155),"")</f>
        <v/>
      </c>
      <c r="W2155" s="3">
        <f>IF(ISNUMBER(AVERAGE('20250815_ETF_Options_Exhibits'!W2151:W2155)),AVERAGE('20250815_ETF_Options_Exhibits'!W2151:W2155),"")</f>
        <v/>
      </c>
      <c r="X2155" s="3">
        <f>IF(ISNUMBER(AVERAGE('20250815_ETF_Options_Exhibits'!X2151:X2155)),AVERAGE('20250815_ETF_Options_Exhibits'!X2151:X2155),"")</f>
        <v/>
      </c>
      <c r="Y2155" s="3">
        <f>IF(ISNUMBER(AVERAGE('20250815_ETF_Options_Exhibits'!Y2151:Y2155)),AVERAGE('20250815_ETF_Options_Exhibits'!Y2151:Y2155),"")</f>
        <v/>
      </c>
      <c r="Z2155" s="3">
        <f>IF(ISNUMBER(AVERAGE('20250815_ETF_Options_Exhibits'!Z2151:Z2155)),AVERAGE('20250815_ETF_Options_Exhibits'!Z2151:Z2155),"")</f>
        <v/>
      </c>
      <c r="AA2155" s="3">
        <f>IF(ISNUMBER(AVERAGE('20250815_ETF_Options_Exhibits'!AA2151:AA2155)),AVERAGE('20250815_ETF_Options_Exhibits'!AA2151:AA2155),"")</f>
        <v/>
      </c>
    </row>
    <row r="2156">
      <c r="A2156" s="1" t="n">
        <v>45132</v>
      </c>
      <c r="B2156" s="3">
        <f>IF(ISNUMBER(AVERAGE('20250815_ETF_Options_Exhibits'!B2152:B2156)),AVERAGE('20250815_ETF_Options_Exhibits'!B2152:B2156),"")</f>
        <v/>
      </c>
      <c r="C2156" s="3">
        <f>IF(ISNUMBER(AVERAGE('20250815_ETF_Options_Exhibits'!C2152:C2156)),AVERAGE('20250815_ETF_Options_Exhibits'!C2152:C2156),"")</f>
        <v/>
      </c>
      <c r="D2156" s="3">
        <f>IF(ISNUMBER(AVERAGE('20250815_ETF_Options_Exhibits'!D2152:D2156)),AVERAGE('20250815_ETF_Options_Exhibits'!D2152:D2156),"")</f>
        <v/>
      </c>
      <c r="E2156" s="3">
        <f>IF(ISNUMBER(AVERAGE('20250815_ETF_Options_Exhibits'!E2152:E2156)),AVERAGE('20250815_ETF_Options_Exhibits'!E2152:E2156),"")</f>
        <v/>
      </c>
      <c r="F2156" s="3">
        <f>IF(ISNUMBER(AVERAGE('20250815_ETF_Options_Exhibits'!F2152:F2156)),AVERAGE('20250815_ETF_Options_Exhibits'!F2152:F2156),"")</f>
        <v/>
      </c>
      <c r="G2156" s="3">
        <f>IF(ISNUMBER(AVERAGE('20250815_ETF_Options_Exhibits'!G2152:G2156)),AVERAGE('20250815_ETF_Options_Exhibits'!G2152:G2156),"")</f>
        <v/>
      </c>
      <c r="H2156" s="3">
        <f>IF(ISNUMBER(AVERAGE('20250815_ETF_Options_Exhibits'!H2152:H2156)),AVERAGE('20250815_ETF_Options_Exhibits'!H2152:H2156),"")</f>
        <v/>
      </c>
      <c r="I2156" s="3">
        <f>IF(ISNUMBER(AVERAGE('20250815_ETF_Options_Exhibits'!I2152:I2156)),AVERAGE('20250815_ETF_Options_Exhibits'!I2152:I2156),"")</f>
        <v/>
      </c>
      <c r="J2156" s="3">
        <f>IF(ISNUMBER(AVERAGE('20250815_ETF_Options_Exhibits'!J2152:J2156)),AVERAGE('20250815_ETF_Options_Exhibits'!J2152:J2156),"")</f>
        <v/>
      </c>
      <c r="K2156" s="3">
        <f>IF(ISNUMBER(AVERAGE('20250815_ETF_Options_Exhibits'!K2152:K2156)),AVERAGE('20250815_ETF_Options_Exhibits'!K2152:K2156),"")</f>
        <v/>
      </c>
      <c r="L2156" s="3">
        <f>IF(ISNUMBER(AVERAGE('20250815_ETF_Options_Exhibits'!L2152:L2156)),AVERAGE('20250815_ETF_Options_Exhibits'!L2152:L2156),"")</f>
        <v/>
      </c>
      <c r="M2156" s="3">
        <f>IF(ISNUMBER(AVERAGE('20250815_ETF_Options_Exhibits'!M2152:M2156)),AVERAGE('20250815_ETF_Options_Exhibits'!M2152:M2156),"")</f>
        <v/>
      </c>
      <c r="N2156" s="3">
        <f>IF(ISNUMBER(AVERAGE('20250815_ETF_Options_Exhibits'!N2152:N2156)),AVERAGE('20250815_ETF_Options_Exhibits'!N2152:N2156),"")</f>
        <v/>
      </c>
      <c r="O2156" s="3">
        <f>IF(ISNUMBER(AVERAGE('20250815_ETF_Options_Exhibits'!O2152:O2156)),AVERAGE('20250815_ETF_Options_Exhibits'!O2152:O2156),"")</f>
        <v/>
      </c>
      <c r="P2156" s="3">
        <f>IF(ISNUMBER(AVERAGE('20250815_ETF_Options_Exhibits'!P2152:P2156)),AVERAGE('20250815_ETF_Options_Exhibits'!P2152:P2156),"")</f>
        <v/>
      </c>
      <c r="Q2156" s="3">
        <f>IF(ISNUMBER(AVERAGE('20250815_ETF_Options_Exhibits'!Q2152:Q2156)),AVERAGE('20250815_ETF_Options_Exhibits'!Q2152:Q2156),"")</f>
        <v/>
      </c>
      <c r="R2156" s="3">
        <f>IF(ISNUMBER(AVERAGE('20250815_ETF_Options_Exhibits'!R2152:R2156)),AVERAGE('20250815_ETF_Options_Exhibits'!R2152:R2156),"")</f>
        <v/>
      </c>
      <c r="S2156" s="3">
        <f>IF(ISNUMBER(AVERAGE('20250815_ETF_Options_Exhibits'!S2152:S2156)),AVERAGE('20250815_ETF_Options_Exhibits'!S2152:S2156),"")</f>
        <v/>
      </c>
      <c r="T2156" s="3">
        <f>IF(ISNUMBER(AVERAGE('20250815_ETF_Options_Exhibits'!T2152:T2156)),AVERAGE('20250815_ETF_Options_Exhibits'!T2152:T2156),"")</f>
        <v/>
      </c>
      <c r="U2156" s="3">
        <f>IF(ISNUMBER(AVERAGE('20250815_ETF_Options_Exhibits'!U2152:U2156)),AVERAGE('20250815_ETF_Options_Exhibits'!U2152:U2156),"")</f>
        <v/>
      </c>
      <c r="V2156" s="3">
        <f>IF(ISNUMBER(AVERAGE('20250815_ETF_Options_Exhibits'!V2152:V2156)),AVERAGE('20250815_ETF_Options_Exhibits'!V2152:V2156),"")</f>
        <v/>
      </c>
      <c r="W2156" s="3">
        <f>IF(ISNUMBER(AVERAGE('20250815_ETF_Options_Exhibits'!W2152:W2156)),AVERAGE('20250815_ETF_Options_Exhibits'!W2152:W2156),"")</f>
        <v/>
      </c>
      <c r="X2156" s="3">
        <f>IF(ISNUMBER(AVERAGE('20250815_ETF_Options_Exhibits'!X2152:X2156)),AVERAGE('20250815_ETF_Options_Exhibits'!X2152:X2156),"")</f>
        <v/>
      </c>
      <c r="Y2156" s="3">
        <f>IF(ISNUMBER(AVERAGE('20250815_ETF_Options_Exhibits'!Y2152:Y2156)),AVERAGE('20250815_ETF_Options_Exhibits'!Y2152:Y2156),"")</f>
        <v/>
      </c>
      <c r="Z2156" s="3">
        <f>IF(ISNUMBER(AVERAGE('20250815_ETF_Options_Exhibits'!Z2152:Z2156)),AVERAGE('20250815_ETF_Options_Exhibits'!Z2152:Z2156),"")</f>
        <v/>
      </c>
      <c r="AA2156" s="3">
        <f>IF(ISNUMBER(AVERAGE('20250815_ETF_Options_Exhibits'!AA2152:AA2156)),AVERAGE('20250815_ETF_Options_Exhibits'!AA2152:AA2156),"")</f>
        <v/>
      </c>
    </row>
    <row r="2157">
      <c r="A2157" s="1" t="n">
        <v>45133</v>
      </c>
      <c r="B2157" s="3">
        <f>IF(ISNUMBER(AVERAGE('20250815_ETF_Options_Exhibits'!B2153:B2157)),AVERAGE('20250815_ETF_Options_Exhibits'!B2153:B2157),"")</f>
        <v/>
      </c>
      <c r="C2157" s="3">
        <f>IF(ISNUMBER(AVERAGE('20250815_ETF_Options_Exhibits'!C2153:C2157)),AVERAGE('20250815_ETF_Options_Exhibits'!C2153:C2157),"")</f>
        <v/>
      </c>
      <c r="D2157" s="3">
        <f>IF(ISNUMBER(AVERAGE('20250815_ETF_Options_Exhibits'!D2153:D2157)),AVERAGE('20250815_ETF_Options_Exhibits'!D2153:D2157),"")</f>
        <v/>
      </c>
      <c r="E2157" s="3">
        <f>IF(ISNUMBER(AVERAGE('20250815_ETF_Options_Exhibits'!E2153:E2157)),AVERAGE('20250815_ETF_Options_Exhibits'!E2153:E2157),"")</f>
        <v/>
      </c>
      <c r="F2157" s="3">
        <f>IF(ISNUMBER(AVERAGE('20250815_ETF_Options_Exhibits'!F2153:F2157)),AVERAGE('20250815_ETF_Options_Exhibits'!F2153:F2157),"")</f>
        <v/>
      </c>
      <c r="G2157" s="3">
        <f>IF(ISNUMBER(AVERAGE('20250815_ETF_Options_Exhibits'!G2153:G2157)),AVERAGE('20250815_ETF_Options_Exhibits'!G2153:G2157),"")</f>
        <v/>
      </c>
      <c r="H2157" s="3">
        <f>IF(ISNUMBER(AVERAGE('20250815_ETF_Options_Exhibits'!H2153:H2157)),AVERAGE('20250815_ETF_Options_Exhibits'!H2153:H2157),"")</f>
        <v/>
      </c>
      <c r="I2157" s="3">
        <f>IF(ISNUMBER(AVERAGE('20250815_ETF_Options_Exhibits'!I2153:I2157)),AVERAGE('20250815_ETF_Options_Exhibits'!I2153:I2157),"")</f>
        <v/>
      </c>
      <c r="J2157" s="3">
        <f>IF(ISNUMBER(AVERAGE('20250815_ETF_Options_Exhibits'!J2153:J2157)),AVERAGE('20250815_ETF_Options_Exhibits'!J2153:J2157),"")</f>
        <v/>
      </c>
      <c r="K2157" s="3">
        <f>IF(ISNUMBER(AVERAGE('20250815_ETF_Options_Exhibits'!K2153:K2157)),AVERAGE('20250815_ETF_Options_Exhibits'!K2153:K2157),"")</f>
        <v/>
      </c>
      <c r="L2157" s="3">
        <f>IF(ISNUMBER(AVERAGE('20250815_ETF_Options_Exhibits'!L2153:L2157)),AVERAGE('20250815_ETF_Options_Exhibits'!L2153:L2157),"")</f>
        <v/>
      </c>
      <c r="M2157" s="3">
        <f>IF(ISNUMBER(AVERAGE('20250815_ETF_Options_Exhibits'!M2153:M2157)),AVERAGE('20250815_ETF_Options_Exhibits'!M2153:M2157),"")</f>
        <v/>
      </c>
      <c r="N2157" s="3">
        <f>IF(ISNUMBER(AVERAGE('20250815_ETF_Options_Exhibits'!N2153:N2157)),AVERAGE('20250815_ETF_Options_Exhibits'!N2153:N2157),"")</f>
        <v/>
      </c>
      <c r="O2157" s="3">
        <f>IF(ISNUMBER(AVERAGE('20250815_ETF_Options_Exhibits'!O2153:O2157)),AVERAGE('20250815_ETF_Options_Exhibits'!O2153:O2157),"")</f>
        <v/>
      </c>
      <c r="P2157" s="3">
        <f>IF(ISNUMBER(AVERAGE('20250815_ETF_Options_Exhibits'!P2153:P2157)),AVERAGE('20250815_ETF_Options_Exhibits'!P2153:P2157),"")</f>
        <v/>
      </c>
      <c r="Q2157" s="3">
        <f>IF(ISNUMBER(AVERAGE('20250815_ETF_Options_Exhibits'!Q2153:Q2157)),AVERAGE('20250815_ETF_Options_Exhibits'!Q2153:Q2157),"")</f>
        <v/>
      </c>
      <c r="R2157" s="3">
        <f>IF(ISNUMBER(AVERAGE('20250815_ETF_Options_Exhibits'!R2153:R2157)),AVERAGE('20250815_ETF_Options_Exhibits'!R2153:R2157),"")</f>
        <v/>
      </c>
      <c r="S2157" s="3">
        <f>IF(ISNUMBER(AVERAGE('20250815_ETF_Options_Exhibits'!S2153:S2157)),AVERAGE('20250815_ETF_Options_Exhibits'!S2153:S2157),"")</f>
        <v/>
      </c>
      <c r="T2157" s="3">
        <f>IF(ISNUMBER(AVERAGE('20250815_ETF_Options_Exhibits'!T2153:T2157)),AVERAGE('20250815_ETF_Options_Exhibits'!T2153:T2157),"")</f>
        <v/>
      </c>
      <c r="U2157" s="3">
        <f>IF(ISNUMBER(AVERAGE('20250815_ETF_Options_Exhibits'!U2153:U2157)),AVERAGE('20250815_ETF_Options_Exhibits'!U2153:U2157),"")</f>
        <v/>
      </c>
      <c r="V2157" s="3">
        <f>IF(ISNUMBER(AVERAGE('20250815_ETF_Options_Exhibits'!V2153:V2157)),AVERAGE('20250815_ETF_Options_Exhibits'!V2153:V2157),"")</f>
        <v/>
      </c>
      <c r="W2157" s="3">
        <f>IF(ISNUMBER(AVERAGE('20250815_ETF_Options_Exhibits'!W2153:W2157)),AVERAGE('20250815_ETF_Options_Exhibits'!W2153:W2157),"")</f>
        <v/>
      </c>
      <c r="X2157" s="3">
        <f>IF(ISNUMBER(AVERAGE('20250815_ETF_Options_Exhibits'!X2153:X2157)),AVERAGE('20250815_ETF_Options_Exhibits'!X2153:X2157),"")</f>
        <v/>
      </c>
      <c r="Y2157" s="3">
        <f>IF(ISNUMBER(AVERAGE('20250815_ETF_Options_Exhibits'!Y2153:Y2157)),AVERAGE('20250815_ETF_Options_Exhibits'!Y2153:Y2157),"")</f>
        <v/>
      </c>
      <c r="Z2157" s="3">
        <f>IF(ISNUMBER(AVERAGE('20250815_ETF_Options_Exhibits'!Z2153:Z2157)),AVERAGE('20250815_ETF_Options_Exhibits'!Z2153:Z2157),"")</f>
        <v/>
      </c>
      <c r="AA2157" s="3">
        <f>IF(ISNUMBER(AVERAGE('20250815_ETF_Options_Exhibits'!AA2153:AA2157)),AVERAGE('20250815_ETF_Options_Exhibits'!AA2153:AA2157),"")</f>
        <v/>
      </c>
    </row>
    <row r="2158">
      <c r="A2158" s="1" t="n">
        <v>45134</v>
      </c>
      <c r="B2158" s="3">
        <f>IF(ISNUMBER(AVERAGE('20250815_ETF_Options_Exhibits'!B2154:B2158)),AVERAGE('20250815_ETF_Options_Exhibits'!B2154:B2158),"")</f>
        <v/>
      </c>
      <c r="C2158" s="3">
        <f>IF(ISNUMBER(AVERAGE('20250815_ETF_Options_Exhibits'!C2154:C2158)),AVERAGE('20250815_ETF_Options_Exhibits'!C2154:C2158),"")</f>
        <v/>
      </c>
      <c r="D2158" s="3">
        <f>IF(ISNUMBER(AVERAGE('20250815_ETF_Options_Exhibits'!D2154:D2158)),AVERAGE('20250815_ETF_Options_Exhibits'!D2154:D2158),"")</f>
        <v/>
      </c>
      <c r="E2158" s="3">
        <f>IF(ISNUMBER(AVERAGE('20250815_ETF_Options_Exhibits'!E2154:E2158)),AVERAGE('20250815_ETF_Options_Exhibits'!E2154:E2158),"")</f>
        <v/>
      </c>
      <c r="F2158" s="3">
        <f>IF(ISNUMBER(AVERAGE('20250815_ETF_Options_Exhibits'!F2154:F2158)),AVERAGE('20250815_ETF_Options_Exhibits'!F2154:F2158),"")</f>
        <v/>
      </c>
      <c r="G2158" s="3">
        <f>IF(ISNUMBER(AVERAGE('20250815_ETF_Options_Exhibits'!G2154:G2158)),AVERAGE('20250815_ETF_Options_Exhibits'!G2154:G2158),"")</f>
        <v/>
      </c>
      <c r="H2158" s="3">
        <f>IF(ISNUMBER(AVERAGE('20250815_ETF_Options_Exhibits'!H2154:H2158)),AVERAGE('20250815_ETF_Options_Exhibits'!H2154:H2158),"")</f>
        <v/>
      </c>
      <c r="I2158" s="3">
        <f>IF(ISNUMBER(AVERAGE('20250815_ETF_Options_Exhibits'!I2154:I2158)),AVERAGE('20250815_ETF_Options_Exhibits'!I2154:I2158),"")</f>
        <v/>
      </c>
      <c r="J2158" s="3">
        <f>IF(ISNUMBER(AVERAGE('20250815_ETF_Options_Exhibits'!J2154:J2158)),AVERAGE('20250815_ETF_Options_Exhibits'!J2154:J2158),"")</f>
        <v/>
      </c>
      <c r="K2158" s="3">
        <f>IF(ISNUMBER(AVERAGE('20250815_ETF_Options_Exhibits'!K2154:K2158)),AVERAGE('20250815_ETF_Options_Exhibits'!K2154:K2158),"")</f>
        <v/>
      </c>
      <c r="L2158" s="3">
        <f>IF(ISNUMBER(AVERAGE('20250815_ETF_Options_Exhibits'!L2154:L2158)),AVERAGE('20250815_ETF_Options_Exhibits'!L2154:L2158),"")</f>
        <v/>
      </c>
      <c r="M2158" s="3">
        <f>IF(ISNUMBER(AVERAGE('20250815_ETF_Options_Exhibits'!M2154:M2158)),AVERAGE('20250815_ETF_Options_Exhibits'!M2154:M2158),"")</f>
        <v/>
      </c>
      <c r="N2158" s="3">
        <f>IF(ISNUMBER(AVERAGE('20250815_ETF_Options_Exhibits'!N2154:N2158)),AVERAGE('20250815_ETF_Options_Exhibits'!N2154:N2158),"")</f>
        <v/>
      </c>
      <c r="O2158" s="3">
        <f>IF(ISNUMBER(AVERAGE('20250815_ETF_Options_Exhibits'!O2154:O2158)),AVERAGE('20250815_ETF_Options_Exhibits'!O2154:O2158),"")</f>
        <v/>
      </c>
      <c r="P2158" s="3">
        <f>IF(ISNUMBER(AVERAGE('20250815_ETF_Options_Exhibits'!P2154:P2158)),AVERAGE('20250815_ETF_Options_Exhibits'!P2154:P2158),"")</f>
        <v/>
      </c>
      <c r="Q2158" s="3">
        <f>IF(ISNUMBER(AVERAGE('20250815_ETF_Options_Exhibits'!Q2154:Q2158)),AVERAGE('20250815_ETF_Options_Exhibits'!Q2154:Q2158),"")</f>
        <v/>
      </c>
      <c r="R2158" s="3">
        <f>IF(ISNUMBER(AVERAGE('20250815_ETF_Options_Exhibits'!R2154:R2158)),AVERAGE('20250815_ETF_Options_Exhibits'!R2154:R2158),"")</f>
        <v/>
      </c>
      <c r="S2158" s="3">
        <f>IF(ISNUMBER(AVERAGE('20250815_ETF_Options_Exhibits'!S2154:S2158)),AVERAGE('20250815_ETF_Options_Exhibits'!S2154:S2158),"")</f>
        <v/>
      </c>
      <c r="T2158" s="3">
        <f>IF(ISNUMBER(AVERAGE('20250815_ETF_Options_Exhibits'!T2154:T2158)),AVERAGE('20250815_ETF_Options_Exhibits'!T2154:T2158),"")</f>
        <v/>
      </c>
      <c r="U2158" s="3">
        <f>IF(ISNUMBER(AVERAGE('20250815_ETF_Options_Exhibits'!U2154:U2158)),AVERAGE('20250815_ETF_Options_Exhibits'!U2154:U2158),"")</f>
        <v/>
      </c>
      <c r="V2158" s="3">
        <f>IF(ISNUMBER(AVERAGE('20250815_ETF_Options_Exhibits'!V2154:V2158)),AVERAGE('20250815_ETF_Options_Exhibits'!V2154:V2158),"")</f>
        <v/>
      </c>
      <c r="W2158" s="3">
        <f>IF(ISNUMBER(AVERAGE('20250815_ETF_Options_Exhibits'!W2154:W2158)),AVERAGE('20250815_ETF_Options_Exhibits'!W2154:W2158),"")</f>
        <v/>
      </c>
      <c r="X2158" s="3">
        <f>IF(ISNUMBER(AVERAGE('20250815_ETF_Options_Exhibits'!X2154:X2158)),AVERAGE('20250815_ETF_Options_Exhibits'!X2154:X2158),"")</f>
        <v/>
      </c>
      <c r="Y2158" s="3">
        <f>IF(ISNUMBER(AVERAGE('20250815_ETF_Options_Exhibits'!Y2154:Y2158)),AVERAGE('20250815_ETF_Options_Exhibits'!Y2154:Y2158),"")</f>
        <v/>
      </c>
      <c r="Z2158" s="3">
        <f>IF(ISNUMBER(AVERAGE('20250815_ETF_Options_Exhibits'!Z2154:Z2158)),AVERAGE('20250815_ETF_Options_Exhibits'!Z2154:Z2158),"")</f>
        <v/>
      </c>
      <c r="AA2158" s="3">
        <f>IF(ISNUMBER(AVERAGE('20250815_ETF_Options_Exhibits'!AA2154:AA2158)),AVERAGE('20250815_ETF_Options_Exhibits'!AA2154:AA2158),"")</f>
        <v/>
      </c>
    </row>
    <row r="2159">
      <c r="A2159" s="1" t="n">
        <v>45135</v>
      </c>
      <c r="B2159" s="3">
        <f>IF(ISNUMBER(AVERAGE('20250815_ETF_Options_Exhibits'!B2155:B2159)),AVERAGE('20250815_ETF_Options_Exhibits'!B2155:B2159),"")</f>
        <v/>
      </c>
      <c r="C2159" s="3">
        <f>IF(ISNUMBER(AVERAGE('20250815_ETF_Options_Exhibits'!C2155:C2159)),AVERAGE('20250815_ETF_Options_Exhibits'!C2155:C2159),"")</f>
        <v/>
      </c>
      <c r="D2159" s="3">
        <f>IF(ISNUMBER(AVERAGE('20250815_ETF_Options_Exhibits'!D2155:D2159)),AVERAGE('20250815_ETF_Options_Exhibits'!D2155:D2159),"")</f>
        <v/>
      </c>
      <c r="E2159" s="3">
        <f>IF(ISNUMBER(AVERAGE('20250815_ETF_Options_Exhibits'!E2155:E2159)),AVERAGE('20250815_ETF_Options_Exhibits'!E2155:E2159),"")</f>
        <v/>
      </c>
      <c r="F2159" s="3">
        <f>IF(ISNUMBER(AVERAGE('20250815_ETF_Options_Exhibits'!F2155:F2159)),AVERAGE('20250815_ETF_Options_Exhibits'!F2155:F2159),"")</f>
        <v/>
      </c>
      <c r="G2159" s="3">
        <f>IF(ISNUMBER(AVERAGE('20250815_ETF_Options_Exhibits'!G2155:G2159)),AVERAGE('20250815_ETF_Options_Exhibits'!G2155:G2159),"")</f>
        <v/>
      </c>
      <c r="H2159" s="3">
        <f>IF(ISNUMBER(AVERAGE('20250815_ETF_Options_Exhibits'!H2155:H2159)),AVERAGE('20250815_ETF_Options_Exhibits'!H2155:H2159),"")</f>
        <v/>
      </c>
      <c r="I2159" s="3">
        <f>IF(ISNUMBER(AVERAGE('20250815_ETF_Options_Exhibits'!I2155:I2159)),AVERAGE('20250815_ETF_Options_Exhibits'!I2155:I2159),"")</f>
        <v/>
      </c>
      <c r="J2159" s="3">
        <f>IF(ISNUMBER(AVERAGE('20250815_ETF_Options_Exhibits'!J2155:J2159)),AVERAGE('20250815_ETF_Options_Exhibits'!J2155:J2159),"")</f>
        <v/>
      </c>
      <c r="K2159" s="3">
        <f>IF(ISNUMBER(AVERAGE('20250815_ETF_Options_Exhibits'!K2155:K2159)),AVERAGE('20250815_ETF_Options_Exhibits'!K2155:K2159),"")</f>
        <v/>
      </c>
      <c r="L2159" s="3">
        <f>IF(ISNUMBER(AVERAGE('20250815_ETF_Options_Exhibits'!L2155:L2159)),AVERAGE('20250815_ETF_Options_Exhibits'!L2155:L2159),"")</f>
        <v/>
      </c>
      <c r="M2159" s="3">
        <f>IF(ISNUMBER(AVERAGE('20250815_ETF_Options_Exhibits'!M2155:M2159)),AVERAGE('20250815_ETF_Options_Exhibits'!M2155:M2159),"")</f>
        <v/>
      </c>
      <c r="N2159" s="3">
        <f>IF(ISNUMBER(AVERAGE('20250815_ETF_Options_Exhibits'!N2155:N2159)),AVERAGE('20250815_ETF_Options_Exhibits'!N2155:N2159),"")</f>
        <v/>
      </c>
      <c r="O2159" s="3">
        <f>IF(ISNUMBER(AVERAGE('20250815_ETF_Options_Exhibits'!O2155:O2159)),AVERAGE('20250815_ETF_Options_Exhibits'!O2155:O2159),"")</f>
        <v/>
      </c>
      <c r="P2159" s="3">
        <f>IF(ISNUMBER(AVERAGE('20250815_ETF_Options_Exhibits'!P2155:P2159)),AVERAGE('20250815_ETF_Options_Exhibits'!P2155:P2159),"")</f>
        <v/>
      </c>
      <c r="Q2159" s="3">
        <f>IF(ISNUMBER(AVERAGE('20250815_ETF_Options_Exhibits'!Q2155:Q2159)),AVERAGE('20250815_ETF_Options_Exhibits'!Q2155:Q2159),"")</f>
        <v/>
      </c>
      <c r="R2159" s="3">
        <f>IF(ISNUMBER(AVERAGE('20250815_ETF_Options_Exhibits'!R2155:R2159)),AVERAGE('20250815_ETF_Options_Exhibits'!R2155:R2159),"")</f>
        <v/>
      </c>
      <c r="S2159" s="3">
        <f>IF(ISNUMBER(AVERAGE('20250815_ETF_Options_Exhibits'!S2155:S2159)),AVERAGE('20250815_ETF_Options_Exhibits'!S2155:S2159),"")</f>
        <v/>
      </c>
      <c r="T2159" s="3">
        <f>IF(ISNUMBER(AVERAGE('20250815_ETF_Options_Exhibits'!T2155:T2159)),AVERAGE('20250815_ETF_Options_Exhibits'!T2155:T2159),"")</f>
        <v/>
      </c>
      <c r="U2159" s="3">
        <f>IF(ISNUMBER(AVERAGE('20250815_ETF_Options_Exhibits'!U2155:U2159)),AVERAGE('20250815_ETF_Options_Exhibits'!U2155:U2159),"")</f>
        <v/>
      </c>
      <c r="V2159" s="3">
        <f>IF(ISNUMBER(AVERAGE('20250815_ETF_Options_Exhibits'!V2155:V2159)),AVERAGE('20250815_ETF_Options_Exhibits'!V2155:V2159),"")</f>
        <v/>
      </c>
      <c r="W2159" s="3">
        <f>IF(ISNUMBER(AVERAGE('20250815_ETF_Options_Exhibits'!W2155:W2159)),AVERAGE('20250815_ETF_Options_Exhibits'!W2155:W2159),"")</f>
        <v/>
      </c>
      <c r="X2159" s="3">
        <f>IF(ISNUMBER(AVERAGE('20250815_ETF_Options_Exhibits'!X2155:X2159)),AVERAGE('20250815_ETF_Options_Exhibits'!X2155:X2159),"")</f>
        <v/>
      </c>
      <c r="Y2159" s="3">
        <f>IF(ISNUMBER(AVERAGE('20250815_ETF_Options_Exhibits'!Y2155:Y2159)),AVERAGE('20250815_ETF_Options_Exhibits'!Y2155:Y2159),"")</f>
        <v/>
      </c>
      <c r="Z2159" s="3">
        <f>IF(ISNUMBER(AVERAGE('20250815_ETF_Options_Exhibits'!Z2155:Z2159)),AVERAGE('20250815_ETF_Options_Exhibits'!Z2155:Z2159),"")</f>
        <v/>
      </c>
      <c r="AA2159" s="3">
        <f>IF(ISNUMBER(AVERAGE('20250815_ETF_Options_Exhibits'!AA2155:AA2159)),AVERAGE('20250815_ETF_Options_Exhibits'!AA2155:AA2159),"")</f>
        <v/>
      </c>
    </row>
    <row r="2160">
      <c r="A2160" s="1" t="n">
        <v>45138</v>
      </c>
      <c r="B2160" s="3">
        <f>IF(ISNUMBER(AVERAGE('20250815_ETF_Options_Exhibits'!B2156:B2160)),AVERAGE('20250815_ETF_Options_Exhibits'!B2156:B2160),"")</f>
        <v/>
      </c>
      <c r="C2160" s="3">
        <f>IF(ISNUMBER(AVERAGE('20250815_ETF_Options_Exhibits'!C2156:C2160)),AVERAGE('20250815_ETF_Options_Exhibits'!C2156:C2160),"")</f>
        <v/>
      </c>
      <c r="D2160" s="3">
        <f>IF(ISNUMBER(AVERAGE('20250815_ETF_Options_Exhibits'!D2156:D2160)),AVERAGE('20250815_ETF_Options_Exhibits'!D2156:D2160),"")</f>
        <v/>
      </c>
      <c r="E2160" s="3">
        <f>IF(ISNUMBER(AVERAGE('20250815_ETF_Options_Exhibits'!E2156:E2160)),AVERAGE('20250815_ETF_Options_Exhibits'!E2156:E2160),"")</f>
        <v/>
      </c>
      <c r="F2160" s="3">
        <f>IF(ISNUMBER(AVERAGE('20250815_ETF_Options_Exhibits'!F2156:F2160)),AVERAGE('20250815_ETF_Options_Exhibits'!F2156:F2160),"")</f>
        <v/>
      </c>
      <c r="G2160" s="3">
        <f>IF(ISNUMBER(AVERAGE('20250815_ETF_Options_Exhibits'!G2156:G2160)),AVERAGE('20250815_ETF_Options_Exhibits'!G2156:G2160),"")</f>
        <v/>
      </c>
      <c r="H2160" s="3">
        <f>IF(ISNUMBER(AVERAGE('20250815_ETF_Options_Exhibits'!H2156:H2160)),AVERAGE('20250815_ETF_Options_Exhibits'!H2156:H2160),"")</f>
        <v/>
      </c>
      <c r="I2160" s="3">
        <f>IF(ISNUMBER(AVERAGE('20250815_ETF_Options_Exhibits'!I2156:I2160)),AVERAGE('20250815_ETF_Options_Exhibits'!I2156:I2160),"")</f>
        <v/>
      </c>
      <c r="J2160" s="3">
        <f>IF(ISNUMBER(AVERAGE('20250815_ETF_Options_Exhibits'!J2156:J2160)),AVERAGE('20250815_ETF_Options_Exhibits'!J2156:J2160),"")</f>
        <v/>
      </c>
      <c r="K2160" s="3">
        <f>IF(ISNUMBER(AVERAGE('20250815_ETF_Options_Exhibits'!K2156:K2160)),AVERAGE('20250815_ETF_Options_Exhibits'!K2156:K2160),"")</f>
        <v/>
      </c>
      <c r="L2160" s="3">
        <f>IF(ISNUMBER(AVERAGE('20250815_ETF_Options_Exhibits'!L2156:L2160)),AVERAGE('20250815_ETF_Options_Exhibits'!L2156:L2160),"")</f>
        <v/>
      </c>
      <c r="M2160" s="3">
        <f>IF(ISNUMBER(AVERAGE('20250815_ETF_Options_Exhibits'!M2156:M2160)),AVERAGE('20250815_ETF_Options_Exhibits'!M2156:M2160),"")</f>
        <v/>
      </c>
      <c r="N2160" s="3">
        <f>IF(ISNUMBER(AVERAGE('20250815_ETF_Options_Exhibits'!N2156:N2160)),AVERAGE('20250815_ETF_Options_Exhibits'!N2156:N2160),"")</f>
        <v/>
      </c>
      <c r="O2160" s="3">
        <f>IF(ISNUMBER(AVERAGE('20250815_ETF_Options_Exhibits'!O2156:O2160)),AVERAGE('20250815_ETF_Options_Exhibits'!O2156:O2160),"")</f>
        <v/>
      </c>
      <c r="P2160" s="3">
        <f>IF(ISNUMBER(AVERAGE('20250815_ETF_Options_Exhibits'!P2156:P2160)),AVERAGE('20250815_ETF_Options_Exhibits'!P2156:P2160),"")</f>
        <v/>
      </c>
      <c r="Q2160" s="3">
        <f>IF(ISNUMBER(AVERAGE('20250815_ETF_Options_Exhibits'!Q2156:Q2160)),AVERAGE('20250815_ETF_Options_Exhibits'!Q2156:Q2160),"")</f>
        <v/>
      </c>
      <c r="R2160" s="3">
        <f>IF(ISNUMBER(AVERAGE('20250815_ETF_Options_Exhibits'!R2156:R2160)),AVERAGE('20250815_ETF_Options_Exhibits'!R2156:R2160),"")</f>
        <v/>
      </c>
      <c r="S2160" s="3">
        <f>IF(ISNUMBER(AVERAGE('20250815_ETF_Options_Exhibits'!S2156:S2160)),AVERAGE('20250815_ETF_Options_Exhibits'!S2156:S2160),"")</f>
        <v/>
      </c>
      <c r="T2160" s="3">
        <f>IF(ISNUMBER(AVERAGE('20250815_ETF_Options_Exhibits'!T2156:T2160)),AVERAGE('20250815_ETF_Options_Exhibits'!T2156:T2160),"")</f>
        <v/>
      </c>
      <c r="U2160" s="3">
        <f>IF(ISNUMBER(AVERAGE('20250815_ETF_Options_Exhibits'!U2156:U2160)),AVERAGE('20250815_ETF_Options_Exhibits'!U2156:U2160),"")</f>
        <v/>
      </c>
      <c r="V2160" s="3">
        <f>IF(ISNUMBER(AVERAGE('20250815_ETF_Options_Exhibits'!V2156:V2160)),AVERAGE('20250815_ETF_Options_Exhibits'!V2156:V2160),"")</f>
        <v/>
      </c>
      <c r="W2160" s="3">
        <f>IF(ISNUMBER(AVERAGE('20250815_ETF_Options_Exhibits'!W2156:W2160)),AVERAGE('20250815_ETF_Options_Exhibits'!W2156:W2160),"")</f>
        <v/>
      </c>
      <c r="X2160" s="3">
        <f>IF(ISNUMBER(AVERAGE('20250815_ETF_Options_Exhibits'!X2156:X2160)),AVERAGE('20250815_ETF_Options_Exhibits'!X2156:X2160),"")</f>
        <v/>
      </c>
      <c r="Y2160" s="3">
        <f>IF(ISNUMBER(AVERAGE('20250815_ETF_Options_Exhibits'!Y2156:Y2160)),AVERAGE('20250815_ETF_Options_Exhibits'!Y2156:Y2160),"")</f>
        <v/>
      </c>
      <c r="Z2160" s="3">
        <f>IF(ISNUMBER(AVERAGE('20250815_ETF_Options_Exhibits'!Z2156:Z2160)),AVERAGE('20250815_ETF_Options_Exhibits'!Z2156:Z2160),"")</f>
        <v/>
      </c>
      <c r="AA2160" s="3">
        <f>IF(ISNUMBER(AVERAGE('20250815_ETF_Options_Exhibits'!AA2156:AA2160)),AVERAGE('20250815_ETF_Options_Exhibits'!AA2156:AA2160),"")</f>
        <v/>
      </c>
    </row>
    <row r="2161">
      <c r="A2161" s="1" t="n">
        <v>45139</v>
      </c>
      <c r="B2161" s="3">
        <f>IF(ISNUMBER(AVERAGE('20250815_ETF_Options_Exhibits'!B2157:B2161)),AVERAGE('20250815_ETF_Options_Exhibits'!B2157:B2161),"")</f>
        <v/>
      </c>
      <c r="C2161" s="3">
        <f>IF(ISNUMBER(AVERAGE('20250815_ETF_Options_Exhibits'!C2157:C2161)),AVERAGE('20250815_ETF_Options_Exhibits'!C2157:C2161),"")</f>
        <v/>
      </c>
      <c r="D2161" s="3">
        <f>IF(ISNUMBER(AVERAGE('20250815_ETF_Options_Exhibits'!D2157:D2161)),AVERAGE('20250815_ETF_Options_Exhibits'!D2157:D2161),"")</f>
        <v/>
      </c>
      <c r="E2161" s="3">
        <f>IF(ISNUMBER(AVERAGE('20250815_ETF_Options_Exhibits'!E2157:E2161)),AVERAGE('20250815_ETF_Options_Exhibits'!E2157:E2161),"")</f>
        <v/>
      </c>
      <c r="F2161" s="3">
        <f>IF(ISNUMBER(AVERAGE('20250815_ETF_Options_Exhibits'!F2157:F2161)),AVERAGE('20250815_ETF_Options_Exhibits'!F2157:F2161),"")</f>
        <v/>
      </c>
      <c r="G2161" s="3">
        <f>IF(ISNUMBER(AVERAGE('20250815_ETF_Options_Exhibits'!G2157:G2161)),AVERAGE('20250815_ETF_Options_Exhibits'!G2157:G2161),"")</f>
        <v/>
      </c>
      <c r="H2161" s="3">
        <f>IF(ISNUMBER(AVERAGE('20250815_ETF_Options_Exhibits'!H2157:H2161)),AVERAGE('20250815_ETF_Options_Exhibits'!H2157:H2161),"")</f>
        <v/>
      </c>
      <c r="I2161" s="3">
        <f>IF(ISNUMBER(AVERAGE('20250815_ETF_Options_Exhibits'!I2157:I2161)),AVERAGE('20250815_ETF_Options_Exhibits'!I2157:I2161),"")</f>
        <v/>
      </c>
      <c r="J2161" s="3">
        <f>IF(ISNUMBER(AVERAGE('20250815_ETF_Options_Exhibits'!J2157:J2161)),AVERAGE('20250815_ETF_Options_Exhibits'!J2157:J2161),"")</f>
        <v/>
      </c>
      <c r="K2161" s="3">
        <f>IF(ISNUMBER(AVERAGE('20250815_ETF_Options_Exhibits'!K2157:K2161)),AVERAGE('20250815_ETF_Options_Exhibits'!K2157:K2161),"")</f>
        <v/>
      </c>
      <c r="L2161" s="3">
        <f>IF(ISNUMBER(AVERAGE('20250815_ETF_Options_Exhibits'!L2157:L2161)),AVERAGE('20250815_ETF_Options_Exhibits'!L2157:L2161),"")</f>
        <v/>
      </c>
      <c r="M2161" s="3">
        <f>IF(ISNUMBER(AVERAGE('20250815_ETF_Options_Exhibits'!M2157:M2161)),AVERAGE('20250815_ETF_Options_Exhibits'!M2157:M2161),"")</f>
        <v/>
      </c>
      <c r="N2161" s="3">
        <f>IF(ISNUMBER(AVERAGE('20250815_ETF_Options_Exhibits'!N2157:N2161)),AVERAGE('20250815_ETF_Options_Exhibits'!N2157:N2161),"")</f>
        <v/>
      </c>
      <c r="O2161" s="3">
        <f>IF(ISNUMBER(AVERAGE('20250815_ETF_Options_Exhibits'!O2157:O2161)),AVERAGE('20250815_ETF_Options_Exhibits'!O2157:O2161),"")</f>
        <v/>
      </c>
      <c r="P2161" s="3">
        <f>IF(ISNUMBER(AVERAGE('20250815_ETF_Options_Exhibits'!P2157:P2161)),AVERAGE('20250815_ETF_Options_Exhibits'!P2157:P2161),"")</f>
        <v/>
      </c>
      <c r="Q2161" s="3">
        <f>IF(ISNUMBER(AVERAGE('20250815_ETF_Options_Exhibits'!Q2157:Q2161)),AVERAGE('20250815_ETF_Options_Exhibits'!Q2157:Q2161),"")</f>
        <v/>
      </c>
      <c r="R2161" s="3">
        <f>IF(ISNUMBER(AVERAGE('20250815_ETF_Options_Exhibits'!R2157:R2161)),AVERAGE('20250815_ETF_Options_Exhibits'!R2157:R2161),"")</f>
        <v/>
      </c>
      <c r="S2161" s="3">
        <f>IF(ISNUMBER(AVERAGE('20250815_ETF_Options_Exhibits'!S2157:S2161)),AVERAGE('20250815_ETF_Options_Exhibits'!S2157:S2161),"")</f>
        <v/>
      </c>
      <c r="T2161" s="3">
        <f>IF(ISNUMBER(AVERAGE('20250815_ETF_Options_Exhibits'!T2157:T2161)),AVERAGE('20250815_ETF_Options_Exhibits'!T2157:T2161),"")</f>
        <v/>
      </c>
      <c r="U2161" s="3">
        <f>IF(ISNUMBER(AVERAGE('20250815_ETF_Options_Exhibits'!U2157:U2161)),AVERAGE('20250815_ETF_Options_Exhibits'!U2157:U2161),"")</f>
        <v/>
      </c>
      <c r="V2161" s="3">
        <f>IF(ISNUMBER(AVERAGE('20250815_ETF_Options_Exhibits'!V2157:V2161)),AVERAGE('20250815_ETF_Options_Exhibits'!V2157:V2161),"")</f>
        <v/>
      </c>
      <c r="W2161" s="3">
        <f>IF(ISNUMBER(AVERAGE('20250815_ETF_Options_Exhibits'!W2157:W2161)),AVERAGE('20250815_ETF_Options_Exhibits'!W2157:W2161),"")</f>
        <v/>
      </c>
      <c r="X2161" s="3">
        <f>IF(ISNUMBER(AVERAGE('20250815_ETF_Options_Exhibits'!X2157:X2161)),AVERAGE('20250815_ETF_Options_Exhibits'!X2157:X2161),"")</f>
        <v/>
      </c>
      <c r="Y2161" s="3">
        <f>IF(ISNUMBER(AVERAGE('20250815_ETF_Options_Exhibits'!Y2157:Y2161)),AVERAGE('20250815_ETF_Options_Exhibits'!Y2157:Y2161),"")</f>
        <v/>
      </c>
      <c r="Z2161" s="3">
        <f>IF(ISNUMBER(AVERAGE('20250815_ETF_Options_Exhibits'!Z2157:Z2161)),AVERAGE('20250815_ETF_Options_Exhibits'!Z2157:Z2161),"")</f>
        <v/>
      </c>
      <c r="AA2161" s="3">
        <f>IF(ISNUMBER(AVERAGE('20250815_ETF_Options_Exhibits'!AA2157:AA2161)),AVERAGE('20250815_ETF_Options_Exhibits'!AA2157:AA2161),"")</f>
        <v/>
      </c>
    </row>
    <row r="2162">
      <c r="A2162" s="1" t="n">
        <v>45140</v>
      </c>
      <c r="B2162" s="3">
        <f>IF(ISNUMBER(AVERAGE('20250815_ETF_Options_Exhibits'!B2158:B2162)),AVERAGE('20250815_ETF_Options_Exhibits'!B2158:B2162),"")</f>
        <v/>
      </c>
      <c r="C2162" s="3">
        <f>IF(ISNUMBER(AVERAGE('20250815_ETF_Options_Exhibits'!C2158:C2162)),AVERAGE('20250815_ETF_Options_Exhibits'!C2158:C2162),"")</f>
        <v/>
      </c>
      <c r="D2162" s="3">
        <f>IF(ISNUMBER(AVERAGE('20250815_ETF_Options_Exhibits'!D2158:D2162)),AVERAGE('20250815_ETF_Options_Exhibits'!D2158:D2162),"")</f>
        <v/>
      </c>
      <c r="E2162" s="3">
        <f>IF(ISNUMBER(AVERAGE('20250815_ETF_Options_Exhibits'!E2158:E2162)),AVERAGE('20250815_ETF_Options_Exhibits'!E2158:E2162),"")</f>
        <v/>
      </c>
      <c r="F2162" s="3">
        <f>IF(ISNUMBER(AVERAGE('20250815_ETF_Options_Exhibits'!F2158:F2162)),AVERAGE('20250815_ETF_Options_Exhibits'!F2158:F2162),"")</f>
        <v/>
      </c>
      <c r="G2162" s="3">
        <f>IF(ISNUMBER(AVERAGE('20250815_ETF_Options_Exhibits'!G2158:G2162)),AVERAGE('20250815_ETF_Options_Exhibits'!G2158:G2162),"")</f>
        <v/>
      </c>
      <c r="H2162" s="3">
        <f>IF(ISNUMBER(AVERAGE('20250815_ETF_Options_Exhibits'!H2158:H2162)),AVERAGE('20250815_ETF_Options_Exhibits'!H2158:H2162),"")</f>
        <v/>
      </c>
      <c r="I2162" s="3">
        <f>IF(ISNUMBER(AVERAGE('20250815_ETF_Options_Exhibits'!I2158:I2162)),AVERAGE('20250815_ETF_Options_Exhibits'!I2158:I2162),"")</f>
        <v/>
      </c>
      <c r="J2162" s="3">
        <f>IF(ISNUMBER(AVERAGE('20250815_ETF_Options_Exhibits'!J2158:J2162)),AVERAGE('20250815_ETF_Options_Exhibits'!J2158:J2162),"")</f>
        <v/>
      </c>
      <c r="K2162" s="3">
        <f>IF(ISNUMBER(AVERAGE('20250815_ETF_Options_Exhibits'!K2158:K2162)),AVERAGE('20250815_ETF_Options_Exhibits'!K2158:K2162),"")</f>
        <v/>
      </c>
      <c r="L2162" s="3">
        <f>IF(ISNUMBER(AVERAGE('20250815_ETF_Options_Exhibits'!L2158:L2162)),AVERAGE('20250815_ETF_Options_Exhibits'!L2158:L2162),"")</f>
        <v/>
      </c>
      <c r="M2162" s="3">
        <f>IF(ISNUMBER(AVERAGE('20250815_ETF_Options_Exhibits'!M2158:M2162)),AVERAGE('20250815_ETF_Options_Exhibits'!M2158:M2162),"")</f>
        <v/>
      </c>
      <c r="N2162" s="3">
        <f>IF(ISNUMBER(AVERAGE('20250815_ETF_Options_Exhibits'!N2158:N2162)),AVERAGE('20250815_ETF_Options_Exhibits'!N2158:N2162),"")</f>
        <v/>
      </c>
      <c r="O2162" s="3">
        <f>IF(ISNUMBER(AVERAGE('20250815_ETF_Options_Exhibits'!O2158:O2162)),AVERAGE('20250815_ETF_Options_Exhibits'!O2158:O2162),"")</f>
        <v/>
      </c>
      <c r="P2162" s="3">
        <f>IF(ISNUMBER(AVERAGE('20250815_ETF_Options_Exhibits'!P2158:P2162)),AVERAGE('20250815_ETF_Options_Exhibits'!P2158:P2162),"")</f>
        <v/>
      </c>
      <c r="Q2162" s="3">
        <f>IF(ISNUMBER(AVERAGE('20250815_ETF_Options_Exhibits'!Q2158:Q2162)),AVERAGE('20250815_ETF_Options_Exhibits'!Q2158:Q2162),"")</f>
        <v/>
      </c>
      <c r="R2162" s="3">
        <f>IF(ISNUMBER(AVERAGE('20250815_ETF_Options_Exhibits'!R2158:R2162)),AVERAGE('20250815_ETF_Options_Exhibits'!R2158:R2162),"")</f>
        <v/>
      </c>
      <c r="S2162" s="3">
        <f>IF(ISNUMBER(AVERAGE('20250815_ETF_Options_Exhibits'!S2158:S2162)),AVERAGE('20250815_ETF_Options_Exhibits'!S2158:S2162),"")</f>
        <v/>
      </c>
      <c r="T2162" s="3">
        <f>IF(ISNUMBER(AVERAGE('20250815_ETF_Options_Exhibits'!T2158:T2162)),AVERAGE('20250815_ETF_Options_Exhibits'!T2158:T2162),"")</f>
        <v/>
      </c>
      <c r="U2162" s="3">
        <f>IF(ISNUMBER(AVERAGE('20250815_ETF_Options_Exhibits'!U2158:U2162)),AVERAGE('20250815_ETF_Options_Exhibits'!U2158:U2162),"")</f>
        <v/>
      </c>
      <c r="V2162" s="3">
        <f>IF(ISNUMBER(AVERAGE('20250815_ETF_Options_Exhibits'!V2158:V2162)),AVERAGE('20250815_ETF_Options_Exhibits'!V2158:V2162),"")</f>
        <v/>
      </c>
      <c r="W2162" s="3">
        <f>IF(ISNUMBER(AVERAGE('20250815_ETF_Options_Exhibits'!W2158:W2162)),AVERAGE('20250815_ETF_Options_Exhibits'!W2158:W2162),"")</f>
        <v/>
      </c>
      <c r="X2162" s="3">
        <f>IF(ISNUMBER(AVERAGE('20250815_ETF_Options_Exhibits'!X2158:X2162)),AVERAGE('20250815_ETF_Options_Exhibits'!X2158:X2162),"")</f>
        <v/>
      </c>
      <c r="Y2162" s="3">
        <f>IF(ISNUMBER(AVERAGE('20250815_ETF_Options_Exhibits'!Y2158:Y2162)),AVERAGE('20250815_ETF_Options_Exhibits'!Y2158:Y2162),"")</f>
        <v/>
      </c>
      <c r="Z2162" s="3">
        <f>IF(ISNUMBER(AVERAGE('20250815_ETF_Options_Exhibits'!Z2158:Z2162)),AVERAGE('20250815_ETF_Options_Exhibits'!Z2158:Z2162),"")</f>
        <v/>
      </c>
      <c r="AA2162" s="3">
        <f>IF(ISNUMBER(AVERAGE('20250815_ETF_Options_Exhibits'!AA2158:AA2162)),AVERAGE('20250815_ETF_Options_Exhibits'!AA2158:AA2162),"")</f>
        <v/>
      </c>
    </row>
    <row r="2163">
      <c r="A2163" s="1" t="n">
        <v>45141</v>
      </c>
      <c r="B2163" s="3">
        <f>IF(ISNUMBER(AVERAGE('20250815_ETF_Options_Exhibits'!B2159:B2163)),AVERAGE('20250815_ETF_Options_Exhibits'!B2159:B2163),"")</f>
        <v/>
      </c>
      <c r="C2163" s="3">
        <f>IF(ISNUMBER(AVERAGE('20250815_ETF_Options_Exhibits'!C2159:C2163)),AVERAGE('20250815_ETF_Options_Exhibits'!C2159:C2163),"")</f>
        <v/>
      </c>
      <c r="D2163" s="3">
        <f>IF(ISNUMBER(AVERAGE('20250815_ETF_Options_Exhibits'!D2159:D2163)),AVERAGE('20250815_ETF_Options_Exhibits'!D2159:D2163),"")</f>
        <v/>
      </c>
      <c r="E2163" s="3">
        <f>IF(ISNUMBER(AVERAGE('20250815_ETF_Options_Exhibits'!E2159:E2163)),AVERAGE('20250815_ETF_Options_Exhibits'!E2159:E2163),"")</f>
        <v/>
      </c>
      <c r="F2163" s="3">
        <f>IF(ISNUMBER(AVERAGE('20250815_ETF_Options_Exhibits'!F2159:F2163)),AVERAGE('20250815_ETF_Options_Exhibits'!F2159:F2163),"")</f>
        <v/>
      </c>
      <c r="G2163" s="3">
        <f>IF(ISNUMBER(AVERAGE('20250815_ETF_Options_Exhibits'!G2159:G2163)),AVERAGE('20250815_ETF_Options_Exhibits'!G2159:G2163),"")</f>
        <v/>
      </c>
      <c r="H2163" s="3">
        <f>IF(ISNUMBER(AVERAGE('20250815_ETF_Options_Exhibits'!H2159:H2163)),AVERAGE('20250815_ETF_Options_Exhibits'!H2159:H2163),"")</f>
        <v/>
      </c>
      <c r="I2163" s="3">
        <f>IF(ISNUMBER(AVERAGE('20250815_ETF_Options_Exhibits'!I2159:I2163)),AVERAGE('20250815_ETF_Options_Exhibits'!I2159:I2163),"")</f>
        <v/>
      </c>
      <c r="J2163" s="3">
        <f>IF(ISNUMBER(AVERAGE('20250815_ETF_Options_Exhibits'!J2159:J2163)),AVERAGE('20250815_ETF_Options_Exhibits'!J2159:J2163),"")</f>
        <v/>
      </c>
      <c r="K2163" s="3">
        <f>IF(ISNUMBER(AVERAGE('20250815_ETF_Options_Exhibits'!K2159:K2163)),AVERAGE('20250815_ETF_Options_Exhibits'!K2159:K2163),"")</f>
        <v/>
      </c>
      <c r="L2163" s="3">
        <f>IF(ISNUMBER(AVERAGE('20250815_ETF_Options_Exhibits'!L2159:L2163)),AVERAGE('20250815_ETF_Options_Exhibits'!L2159:L2163),"")</f>
        <v/>
      </c>
      <c r="M2163" s="3">
        <f>IF(ISNUMBER(AVERAGE('20250815_ETF_Options_Exhibits'!M2159:M2163)),AVERAGE('20250815_ETF_Options_Exhibits'!M2159:M2163),"")</f>
        <v/>
      </c>
      <c r="N2163" s="3">
        <f>IF(ISNUMBER(AVERAGE('20250815_ETF_Options_Exhibits'!N2159:N2163)),AVERAGE('20250815_ETF_Options_Exhibits'!N2159:N2163),"")</f>
        <v/>
      </c>
      <c r="O2163" s="3">
        <f>IF(ISNUMBER(AVERAGE('20250815_ETF_Options_Exhibits'!O2159:O2163)),AVERAGE('20250815_ETF_Options_Exhibits'!O2159:O2163),"")</f>
        <v/>
      </c>
      <c r="P2163" s="3">
        <f>IF(ISNUMBER(AVERAGE('20250815_ETF_Options_Exhibits'!P2159:P2163)),AVERAGE('20250815_ETF_Options_Exhibits'!P2159:P2163),"")</f>
        <v/>
      </c>
      <c r="Q2163" s="3">
        <f>IF(ISNUMBER(AVERAGE('20250815_ETF_Options_Exhibits'!Q2159:Q2163)),AVERAGE('20250815_ETF_Options_Exhibits'!Q2159:Q2163),"")</f>
        <v/>
      </c>
      <c r="R2163" s="3">
        <f>IF(ISNUMBER(AVERAGE('20250815_ETF_Options_Exhibits'!R2159:R2163)),AVERAGE('20250815_ETF_Options_Exhibits'!R2159:R2163),"")</f>
        <v/>
      </c>
      <c r="S2163" s="3">
        <f>IF(ISNUMBER(AVERAGE('20250815_ETF_Options_Exhibits'!S2159:S2163)),AVERAGE('20250815_ETF_Options_Exhibits'!S2159:S2163),"")</f>
        <v/>
      </c>
      <c r="T2163" s="3">
        <f>IF(ISNUMBER(AVERAGE('20250815_ETF_Options_Exhibits'!T2159:T2163)),AVERAGE('20250815_ETF_Options_Exhibits'!T2159:T2163),"")</f>
        <v/>
      </c>
      <c r="U2163" s="3">
        <f>IF(ISNUMBER(AVERAGE('20250815_ETF_Options_Exhibits'!U2159:U2163)),AVERAGE('20250815_ETF_Options_Exhibits'!U2159:U2163),"")</f>
        <v/>
      </c>
      <c r="V2163" s="3">
        <f>IF(ISNUMBER(AVERAGE('20250815_ETF_Options_Exhibits'!V2159:V2163)),AVERAGE('20250815_ETF_Options_Exhibits'!V2159:V2163),"")</f>
        <v/>
      </c>
      <c r="W2163" s="3">
        <f>IF(ISNUMBER(AVERAGE('20250815_ETF_Options_Exhibits'!W2159:W2163)),AVERAGE('20250815_ETF_Options_Exhibits'!W2159:W2163),"")</f>
        <v/>
      </c>
      <c r="X2163" s="3">
        <f>IF(ISNUMBER(AVERAGE('20250815_ETF_Options_Exhibits'!X2159:X2163)),AVERAGE('20250815_ETF_Options_Exhibits'!X2159:X2163),"")</f>
        <v/>
      </c>
      <c r="Y2163" s="3">
        <f>IF(ISNUMBER(AVERAGE('20250815_ETF_Options_Exhibits'!Y2159:Y2163)),AVERAGE('20250815_ETF_Options_Exhibits'!Y2159:Y2163),"")</f>
        <v/>
      </c>
      <c r="Z2163" s="3">
        <f>IF(ISNUMBER(AVERAGE('20250815_ETF_Options_Exhibits'!Z2159:Z2163)),AVERAGE('20250815_ETF_Options_Exhibits'!Z2159:Z2163),"")</f>
        <v/>
      </c>
      <c r="AA2163" s="3">
        <f>IF(ISNUMBER(AVERAGE('20250815_ETF_Options_Exhibits'!AA2159:AA2163)),AVERAGE('20250815_ETF_Options_Exhibits'!AA2159:AA2163),"")</f>
        <v/>
      </c>
    </row>
    <row r="2164">
      <c r="A2164" s="1" t="n">
        <v>45142</v>
      </c>
      <c r="B2164" s="3">
        <f>IF(ISNUMBER(AVERAGE('20250815_ETF_Options_Exhibits'!B2160:B2164)),AVERAGE('20250815_ETF_Options_Exhibits'!B2160:B2164),"")</f>
        <v/>
      </c>
      <c r="C2164" s="3">
        <f>IF(ISNUMBER(AVERAGE('20250815_ETF_Options_Exhibits'!C2160:C2164)),AVERAGE('20250815_ETF_Options_Exhibits'!C2160:C2164),"")</f>
        <v/>
      </c>
      <c r="D2164" s="3">
        <f>IF(ISNUMBER(AVERAGE('20250815_ETF_Options_Exhibits'!D2160:D2164)),AVERAGE('20250815_ETF_Options_Exhibits'!D2160:D2164),"")</f>
        <v/>
      </c>
      <c r="E2164" s="3">
        <f>IF(ISNUMBER(AVERAGE('20250815_ETF_Options_Exhibits'!E2160:E2164)),AVERAGE('20250815_ETF_Options_Exhibits'!E2160:E2164),"")</f>
        <v/>
      </c>
      <c r="F2164" s="3">
        <f>IF(ISNUMBER(AVERAGE('20250815_ETF_Options_Exhibits'!F2160:F2164)),AVERAGE('20250815_ETF_Options_Exhibits'!F2160:F2164),"")</f>
        <v/>
      </c>
      <c r="G2164" s="3">
        <f>IF(ISNUMBER(AVERAGE('20250815_ETF_Options_Exhibits'!G2160:G2164)),AVERAGE('20250815_ETF_Options_Exhibits'!G2160:G2164),"")</f>
        <v/>
      </c>
      <c r="H2164" s="3">
        <f>IF(ISNUMBER(AVERAGE('20250815_ETF_Options_Exhibits'!H2160:H2164)),AVERAGE('20250815_ETF_Options_Exhibits'!H2160:H2164),"")</f>
        <v/>
      </c>
      <c r="I2164" s="3">
        <f>IF(ISNUMBER(AVERAGE('20250815_ETF_Options_Exhibits'!I2160:I2164)),AVERAGE('20250815_ETF_Options_Exhibits'!I2160:I2164),"")</f>
        <v/>
      </c>
      <c r="J2164" s="3">
        <f>IF(ISNUMBER(AVERAGE('20250815_ETF_Options_Exhibits'!J2160:J2164)),AVERAGE('20250815_ETF_Options_Exhibits'!J2160:J2164),"")</f>
        <v/>
      </c>
      <c r="K2164" s="3">
        <f>IF(ISNUMBER(AVERAGE('20250815_ETF_Options_Exhibits'!K2160:K2164)),AVERAGE('20250815_ETF_Options_Exhibits'!K2160:K2164),"")</f>
        <v/>
      </c>
      <c r="L2164" s="3">
        <f>IF(ISNUMBER(AVERAGE('20250815_ETF_Options_Exhibits'!L2160:L2164)),AVERAGE('20250815_ETF_Options_Exhibits'!L2160:L2164),"")</f>
        <v/>
      </c>
      <c r="M2164" s="3">
        <f>IF(ISNUMBER(AVERAGE('20250815_ETF_Options_Exhibits'!M2160:M2164)),AVERAGE('20250815_ETF_Options_Exhibits'!M2160:M2164),"")</f>
        <v/>
      </c>
      <c r="N2164" s="3">
        <f>IF(ISNUMBER(AVERAGE('20250815_ETF_Options_Exhibits'!N2160:N2164)),AVERAGE('20250815_ETF_Options_Exhibits'!N2160:N2164),"")</f>
        <v/>
      </c>
      <c r="O2164" s="3">
        <f>IF(ISNUMBER(AVERAGE('20250815_ETF_Options_Exhibits'!O2160:O2164)),AVERAGE('20250815_ETF_Options_Exhibits'!O2160:O2164),"")</f>
        <v/>
      </c>
      <c r="P2164" s="3">
        <f>IF(ISNUMBER(AVERAGE('20250815_ETF_Options_Exhibits'!P2160:P2164)),AVERAGE('20250815_ETF_Options_Exhibits'!P2160:P2164),"")</f>
        <v/>
      </c>
      <c r="Q2164" s="3">
        <f>IF(ISNUMBER(AVERAGE('20250815_ETF_Options_Exhibits'!Q2160:Q2164)),AVERAGE('20250815_ETF_Options_Exhibits'!Q2160:Q2164),"")</f>
        <v/>
      </c>
      <c r="R2164" s="3">
        <f>IF(ISNUMBER(AVERAGE('20250815_ETF_Options_Exhibits'!R2160:R2164)),AVERAGE('20250815_ETF_Options_Exhibits'!R2160:R2164),"")</f>
        <v/>
      </c>
      <c r="S2164" s="3">
        <f>IF(ISNUMBER(AVERAGE('20250815_ETF_Options_Exhibits'!S2160:S2164)),AVERAGE('20250815_ETF_Options_Exhibits'!S2160:S2164),"")</f>
        <v/>
      </c>
      <c r="T2164" s="3">
        <f>IF(ISNUMBER(AVERAGE('20250815_ETF_Options_Exhibits'!T2160:T2164)),AVERAGE('20250815_ETF_Options_Exhibits'!T2160:T2164),"")</f>
        <v/>
      </c>
      <c r="U2164" s="3">
        <f>IF(ISNUMBER(AVERAGE('20250815_ETF_Options_Exhibits'!U2160:U2164)),AVERAGE('20250815_ETF_Options_Exhibits'!U2160:U2164),"")</f>
        <v/>
      </c>
      <c r="V2164" s="3">
        <f>IF(ISNUMBER(AVERAGE('20250815_ETF_Options_Exhibits'!V2160:V2164)),AVERAGE('20250815_ETF_Options_Exhibits'!V2160:V2164),"")</f>
        <v/>
      </c>
      <c r="W2164" s="3">
        <f>IF(ISNUMBER(AVERAGE('20250815_ETF_Options_Exhibits'!W2160:W2164)),AVERAGE('20250815_ETF_Options_Exhibits'!W2160:W2164),"")</f>
        <v/>
      </c>
      <c r="X2164" s="3">
        <f>IF(ISNUMBER(AVERAGE('20250815_ETF_Options_Exhibits'!X2160:X2164)),AVERAGE('20250815_ETF_Options_Exhibits'!X2160:X2164),"")</f>
        <v/>
      </c>
      <c r="Y2164" s="3">
        <f>IF(ISNUMBER(AVERAGE('20250815_ETF_Options_Exhibits'!Y2160:Y2164)),AVERAGE('20250815_ETF_Options_Exhibits'!Y2160:Y2164),"")</f>
        <v/>
      </c>
      <c r="Z2164" s="3">
        <f>IF(ISNUMBER(AVERAGE('20250815_ETF_Options_Exhibits'!Z2160:Z2164)),AVERAGE('20250815_ETF_Options_Exhibits'!Z2160:Z2164),"")</f>
        <v/>
      </c>
      <c r="AA2164" s="3">
        <f>IF(ISNUMBER(AVERAGE('20250815_ETF_Options_Exhibits'!AA2160:AA2164)),AVERAGE('20250815_ETF_Options_Exhibits'!AA2160:AA2164),"")</f>
        <v/>
      </c>
    </row>
    <row r="2165">
      <c r="A2165" s="1" t="n">
        <v>45145</v>
      </c>
      <c r="B2165" s="3">
        <f>IF(ISNUMBER(AVERAGE('20250815_ETF_Options_Exhibits'!B2161:B2165)),AVERAGE('20250815_ETF_Options_Exhibits'!B2161:B2165),"")</f>
        <v/>
      </c>
      <c r="C2165" s="3">
        <f>IF(ISNUMBER(AVERAGE('20250815_ETF_Options_Exhibits'!C2161:C2165)),AVERAGE('20250815_ETF_Options_Exhibits'!C2161:C2165),"")</f>
        <v/>
      </c>
      <c r="D2165" s="3">
        <f>IF(ISNUMBER(AVERAGE('20250815_ETF_Options_Exhibits'!D2161:D2165)),AVERAGE('20250815_ETF_Options_Exhibits'!D2161:D2165),"")</f>
        <v/>
      </c>
      <c r="E2165" s="3">
        <f>IF(ISNUMBER(AVERAGE('20250815_ETF_Options_Exhibits'!E2161:E2165)),AVERAGE('20250815_ETF_Options_Exhibits'!E2161:E2165),"")</f>
        <v/>
      </c>
      <c r="F2165" s="3">
        <f>IF(ISNUMBER(AVERAGE('20250815_ETF_Options_Exhibits'!F2161:F2165)),AVERAGE('20250815_ETF_Options_Exhibits'!F2161:F2165),"")</f>
        <v/>
      </c>
      <c r="G2165" s="3">
        <f>IF(ISNUMBER(AVERAGE('20250815_ETF_Options_Exhibits'!G2161:G2165)),AVERAGE('20250815_ETF_Options_Exhibits'!G2161:G2165),"")</f>
        <v/>
      </c>
      <c r="H2165" s="3">
        <f>IF(ISNUMBER(AVERAGE('20250815_ETF_Options_Exhibits'!H2161:H2165)),AVERAGE('20250815_ETF_Options_Exhibits'!H2161:H2165),"")</f>
        <v/>
      </c>
      <c r="I2165" s="3">
        <f>IF(ISNUMBER(AVERAGE('20250815_ETF_Options_Exhibits'!I2161:I2165)),AVERAGE('20250815_ETF_Options_Exhibits'!I2161:I2165),"")</f>
        <v/>
      </c>
      <c r="J2165" s="3">
        <f>IF(ISNUMBER(AVERAGE('20250815_ETF_Options_Exhibits'!J2161:J2165)),AVERAGE('20250815_ETF_Options_Exhibits'!J2161:J2165),"")</f>
        <v/>
      </c>
      <c r="K2165" s="3">
        <f>IF(ISNUMBER(AVERAGE('20250815_ETF_Options_Exhibits'!K2161:K2165)),AVERAGE('20250815_ETF_Options_Exhibits'!K2161:K2165),"")</f>
        <v/>
      </c>
      <c r="L2165" s="3">
        <f>IF(ISNUMBER(AVERAGE('20250815_ETF_Options_Exhibits'!L2161:L2165)),AVERAGE('20250815_ETF_Options_Exhibits'!L2161:L2165),"")</f>
        <v/>
      </c>
      <c r="M2165" s="3">
        <f>IF(ISNUMBER(AVERAGE('20250815_ETF_Options_Exhibits'!M2161:M2165)),AVERAGE('20250815_ETF_Options_Exhibits'!M2161:M2165),"")</f>
        <v/>
      </c>
      <c r="N2165" s="3">
        <f>IF(ISNUMBER(AVERAGE('20250815_ETF_Options_Exhibits'!N2161:N2165)),AVERAGE('20250815_ETF_Options_Exhibits'!N2161:N2165),"")</f>
        <v/>
      </c>
      <c r="O2165" s="3">
        <f>IF(ISNUMBER(AVERAGE('20250815_ETF_Options_Exhibits'!O2161:O2165)),AVERAGE('20250815_ETF_Options_Exhibits'!O2161:O2165),"")</f>
        <v/>
      </c>
      <c r="P2165" s="3">
        <f>IF(ISNUMBER(AVERAGE('20250815_ETF_Options_Exhibits'!P2161:P2165)),AVERAGE('20250815_ETF_Options_Exhibits'!P2161:P2165),"")</f>
        <v/>
      </c>
      <c r="Q2165" s="3">
        <f>IF(ISNUMBER(AVERAGE('20250815_ETF_Options_Exhibits'!Q2161:Q2165)),AVERAGE('20250815_ETF_Options_Exhibits'!Q2161:Q2165),"")</f>
        <v/>
      </c>
      <c r="R2165" s="3">
        <f>IF(ISNUMBER(AVERAGE('20250815_ETF_Options_Exhibits'!R2161:R2165)),AVERAGE('20250815_ETF_Options_Exhibits'!R2161:R2165),"")</f>
        <v/>
      </c>
      <c r="S2165" s="3">
        <f>IF(ISNUMBER(AVERAGE('20250815_ETF_Options_Exhibits'!S2161:S2165)),AVERAGE('20250815_ETF_Options_Exhibits'!S2161:S2165),"")</f>
        <v/>
      </c>
      <c r="T2165" s="3">
        <f>IF(ISNUMBER(AVERAGE('20250815_ETF_Options_Exhibits'!T2161:T2165)),AVERAGE('20250815_ETF_Options_Exhibits'!T2161:T2165),"")</f>
        <v/>
      </c>
      <c r="U2165" s="3">
        <f>IF(ISNUMBER(AVERAGE('20250815_ETF_Options_Exhibits'!U2161:U2165)),AVERAGE('20250815_ETF_Options_Exhibits'!U2161:U2165),"")</f>
        <v/>
      </c>
      <c r="V2165" s="3">
        <f>IF(ISNUMBER(AVERAGE('20250815_ETF_Options_Exhibits'!V2161:V2165)),AVERAGE('20250815_ETF_Options_Exhibits'!V2161:V2165),"")</f>
        <v/>
      </c>
      <c r="W2165" s="3">
        <f>IF(ISNUMBER(AVERAGE('20250815_ETF_Options_Exhibits'!W2161:W2165)),AVERAGE('20250815_ETF_Options_Exhibits'!W2161:W2165),"")</f>
        <v/>
      </c>
      <c r="X2165" s="3">
        <f>IF(ISNUMBER(AVERAGE('20250815_ETF_Options_Exhibits'!X2161:X2165)),AVERAGE('20250815_ETF_Options_Exhibits'!X2161:X2165),"")</f>
        <v/>
      </c>
      <c r="Y2165" s="3">
        <f>IF(ISNUMBER(AVERAGE('20250815_ETF_Options_Exhibits'!Y2161:Y2165)),AVERAGE('20250815_ETF_Options_Exhibits'!Y2161:Y2165),"")</f>
        <v/>
      </c>
      <c r="Z2165" s="3">
        <f>IF(ISNUMBER(AVERAGE('20250815_ETF_Options_Exhibits'!Z2161:Z2165)),AVERAGE('20250815_ETF_Options_Exhibits'!Z2161:Z2165),"")</f>
        <v/>
      </c>
      <c r="AA2165" s="3">
        <f>IF(ISNUMBER(AVERAGE('20250815_ETF_Options_Exhibits'!AA2161:AA2165)),AVERAGE('20250815_ETF_Options_Exhibits'!AA2161:AA2165),"")</f>
        <v/>
      </c>
    </row>
    <row r="2166">
      <c r="A2166" s="1" t="n">
        <v>45146</v>
      </c>
      <c r="B2166" s="3">
        <f>IF(ISNUMBER(AVERAGE('20250815_ETF_Options_Exhibits'!B2162:B2166)),AVERAGE('20250815_ETF_Options_Exhibits'!B2162:B2166),"")</f>
        <v/>
      </c>
      <c r="C2166" s="3">
        <f>IF(ISNUMBER(AVERAGE('20250815_ETF_Options_Exhibits'!C2162:C2166)),AVERAGE('20250815_ETF_Options_Exhibits'!C2162:C2166),"")</f>
        <v/>
      </c>
      <c r="D2166" s="3">
        <f>IF(ISNUMBER(AVERAGE('20250815_ETF_Options_Exhibits'!D2162:D2166)),AVERAGE('20250815_ETF_Options_Exhibits'!D2162:D2166),"")</f>
        <v/>
      </c>
      <c r="E2166" s="3">
        <f>IF(ISNUMBER(AVERAGE('20250815_ETF_Options_Exhibits'!E2162:E2166)),AVERAGE('20250815_ETF_Options_Exhibits'!E2162:E2166),"")</f>
        <v/>
      </c>
      <c r="F2166" s="3">
        <f>IF(ISNUMBER(AVERAGE('20250815_ETF_Options_Exhibits'!F2162:F2166)),AVERAGE('20250815_ETF_Options_Exhibits'!F2162:F2166),"")</f>
        <v/>
      </c>
      <c r="G2166" s="3">
        <f>IF(ISNUMBER(AVERAGE('20250815_ETF_Options_Exhibits'!G2162:G2166)),AVERAGE('20250815_ETF_Options_Exhibits'!G2162:G2166),"")</f>
        <v/>
      </c>
      <c r="H2166" s="3">
        <f>IF(ISNUMBER(AVERAGE('20250815_ETF_Options_Exhibits'!H2162:H2166)),AVERAGE('20250815_ETF_Options_Exhibits'!H2162:H2166),"")</f>
        <v/>
      </c>
      <c r="I2166" s="3">
        <f>IF(ISNUMBER(AVERAGE('20250815_ETF_Options_Exhibits'!I2162:I2166)),AVERAGE('20250815_ETF_Options_Exhibits'!I2162:I2166),"")</f>
        <v/>
      </c>
      <c r="J2166" s="3">
        <f>IF(ISNUMBER(AVERAGE('20250815_ETF_Options_Exhibits'!J2162:J2166)),AVERAGE('20250815_ETF_Options_Exhibits'!J2162:J2166),"")</f>
        <v/>
      </c>
      <c r="K2166" s="3">
        <f>IF(ISNUMBER(AVERAGE('20250815_ETF_Options_Exhibits'!K2162:K2166)),AVERAGE('20250815_ETF_Options_Exhibits'!K2162:K2166),"")</f>
        <v/>
      </c>
      <c r="L2166" s="3">
        <f>IF(ISNUMBER(AVERAGE('20250815_ETF_Options_Exhibits'!L2162:L2166)),AVERAGE('20250815_ETF_Options_Exhibits'!L2162:L2166),"")</f>
        <v/>
      </c>
      <c r="M2166" s="3">
        <f>IF(ISNUMBER(AVERAGE('20250815_ETF_Options_Exhibits'!M2162:M2166)),AVERAGE('20250815_ETF_Options_Exhibits'!M2162:M2166),"")</f>
        <v/>
      </c>
      <c r="N2166" s="3">
        <f>IF(ISNUMBER(AVERAGE('20250815_ETF_Options_Exhibits'!N2162:N2166)),AVERAGE('20250815_ETF_Options_Exhibits'!N2162:N2166),"")</f>
        <v/>
      </c>
      <c r="O2166" s="3">
        <f>IF(ISNUMBER(AVERAGE('20250815_ETF_Options_Exhibits'!O2162:O2166)),AVERAGE('20250815_ETF_Options_Exhibits'!O2162:O2166),"")</f>
        <v/>
      </c>
      <c r="P2166" s="3">
        <f>IF(ISNUMBER(AVERAGE('20250815_ETF_Options_Exhibits'!P2162:P2166)),AVERAGE('20250815_ETF_Options_Exhibits'!P2162:P2166),"")</f>
        <v/>
      </c>
      <c r="Q2166" s="3">
        <f>IF(ISNUMBER(AVERAGE('20250815_ETF_Options_Exhibits'!Q2162:Q2166)),AVERAGE('20250815_ETF_Options_Exhibits'!Q2162:Q2166),"")</f>
        <v/>
      </c>
      <c r="R2166" s="3">
        <f>IF(ISNUMBER(AVERAGE('20250815_ETF_Options_Exhibits'!R2162:R2166)),AVERAGE('20250815_ETF_Options_Exhibits'!R2162:R2166),"")</f>
        <v/>
      </c>
      <c r="S2166" s="3">
        <f>IF(ISNUMBER(AVERAGE('20250815_ETF_Options_Exhibits'!S2162:S2166)),AVERAGE('20250815_ETF_Options_Exhibits'!S2162:S2166),"")</f>
        <v/>
      </c>
      <c r="T2166" s="3">
        <f>IF(ISNUMBER(AVERAGE('20250815_ETF_Options_Exhibits'!T2162:T2166)),AVERAGE('20250815_ETF_Options_Exhibits'!T2162:T2166),"")</f>
        <v/>
      </c>
      <c r="U2166" s="3">
        <f>IF(ISNUMBER(AVERAGE('20250815_ETF_Options_Exhibits'!U2162:U2166)),AVERAGE('20250815_ETF_Options_Exhibits'!U2162:U2166),"")</f>
        <v/>
      </c>
      <c r="V2166" s="3">
        <f>IF(ISNUMBER(AVERAGE('20250815_ETF_Options_Exhibits'!V2162:V2166)),AVERAGE('20250815_ETF_Options_Exhibits'!V2162:V2166),"")</f>
        <v/>
      </c>
      <c r="W2166" s="3">
        <f>IF(ISNUMBER(AVERAGE('20250815_ETF_Options_Exhibits'!W2162:W2166)),AVERAGE('20250815_ETF_Options_Exhibits'!W2162:W2166),"")</f>
        <v/>
      </c>
      <c r="X2166" s="3">
        <f>IF(ISNUMBER(AVERAGE('20250815_ETF_Options_Exhibits'!X2162:X2166)),AVERAGE('20250815_ETF_Options_Exhibits'!X2162:X2166),"")</f>
        <v/>
      </c>
      <c r="Y2166" s="3">
        <f>IF(ISNUMBER(AVERAGE('20250815_ETF_Options_Exhibits'!Y2162:Y2166)),AVERAGE('20250815_ETF_Options_Exhibits'!Y2162:Y2166),"")</f>
        <v/>
      </c>
      <c r="Z2166" s="3">
        <f>IF(ISNUMBER(AVERAGE('20250815_ETF_Options_Exhibits'!Z2162:Z2166)),AVERAGE('20250815_ETF_Options_Exhibits'!Z2162:Z2166),"")</f>
        <v/>
      </c>
      <c r="AA2166" s="3">
        <f>IF(ISNUMBER(AVERAGE('20250815_ETF_Options_Exhibits'!AA2162:AA2166)),AVERAGE('20250815_ETF_Options_Exhibits'!AA2162:AA2166),"")</f>
        <v/>
      </c>
    </row>
    <row r="2167">
      <c r="A2167" s="1" t="n">
        <v>45147</v>
      </c>
      <c r="B2167" s="3">
        <f>IF(ISNUMBER(AVERAGE('20250815_ETF_Options_Exhibits'!B2163:B2167)),AVERAGE('20250815_ETF_Options_Exhibits'!B2163:B2167),"")</f>
        <v/>
      </c>
      <c r="C2167" s="3">
        <f>IF(ISNUMBER(AVERAGE('20250815_ETF_Options_Exhibits'!C2163:C2167)),AVERAGE('20250815_ETF_Options_Exhibits'!C2163:C2167),"")</f>
        <v/>
      </c>
      <c r="D2167" s="3">
        <f>IF(ISNUMBER(AVERAGE('20250815_ETF_Options_Exhibits'!D2163:D2167)),AVERAGE('20250815_ETF_Options_Exhibits'!D2163:D2167),"")</f>
        <v/>
      </c>
      <c r="E2167" s="3">
        <f>IF(ISNUMBER(AVERAGE('20250815_ETF_Options_Exhibits'!E2163:E2167)),AVERAGE('20250815_ETF_Options_Exhibits'!E2163:E2167),"")</f>
        <v/>
      </c>
      <c r="F2167" s="3">
        <f>IF(ISNUMBER(AVERAGE('20250815_ETF_Options_Exhibits'!F2163:F2167)),AVERAGE('20250815_ETF_Options_Exhibits'!F2163:F2167),"")</f>
        <v/>
      </c>
      <c r="G2167" s="3">
        <f>IF(ISNUMBER(AVERAGE('20250815_ETF_Options_Exhibits'!G2163:G2167)),AVERAGE('20250815_ETF_Options_Exhibits'!G2163:G2167),"")</f>
        <v/>
      </c>
      <c r="H2167" s="3">
        <f>IF(ISNUMBER(AVERAGE('20250815_ETF_Options_Exhibits'!H2163:H2167)),AVERAGE('20250815_ETF_Options_Exhibits'!H2163:H2167),"")</f>
        <v/>
      </c>
      <c r="I2167" s="3">
        <f>IF(ISNUMBER(AVERAGE('20250815_ETF_Options_Exhibits'!I2163:I2167)),AVERAGE('20250815_ETF_Options_Exhibits'!I2163:I2167),"")</f>
        <v/>
      </c>
      <c r="J2167" s="3">
        <f>IF(ISNUMBER(AVERAGE('20250815_ETF_Options_Exhibits'!J2163:J2167)),AVERAGE('20250815_ETF_Options_Exhibits'!J2163:J2167),"")</f>
        <v/>
      </c>
      <c r="K2167" s="3">
        <f>IF(ISNUMBER(AVERAGE('20250815_ETF_Options_Exhibits'!K2163:K2167)),AVERAGE('20250815_ETF_Options_Exhibits'!K2163:K2167),"")</f>
        <v/>
      </c>
      <c r="L2167" s="3">
        <f>IF(ISNUMBER(AVERAGE('20250815_ETF_Options_Exhibits'!L2163:L2167)),AVERAGE('20250815_ETF_Options_Exhibits'!L2163:L2167),"")</f>
        <v/>
      </c>
      <c r="M2167" s="3">
        <f>IF(ISNUMBER(AVERAGE('20250815_ETF_Options_Exhibits'!M2163:M2167)),AVERAGE('20250815_ETF_Options_Exhibits'!M2163:M2167),"")</f>
        <v/>
      </c>
      <c r="N2167" s="3">
        <f>IF(ISNUMBER(AVERAGE('20250815_ETF_Options_Exhibits'!N2163:N2167)),AVERAGE('20250815_ETF_Options_Exhibits'!N2163:N2167),"")</f>
        <v/>
      </c>
      <c r="O2167" s="3">
        <f>IF(ISNUMBER(AVERAGE('20250815_ETF_Options_Exhibits'!O2163:O2167)),AVERAGE('20250815_ETF_Options_Exhibits'!O2163:O2167),"")</f>
        <v/>
      </c>
      <c r="P2167" s="3">
        <f>IF(ISNUMBER(AVERAGE('20250815_ETF_Options_Exhibits'!P2163:P2167)),AVERAGE('20250815_ETF_Options_Exhibits'!P2163:P2167),"")</f>
        <v/>
      </c>
      <c r="Q2167" s="3">
        <f>IF(ISNUMBER(AVERAGE('20250815_ETF_Options_Exhibits'!Q2163:Q2167)),AVERAGE('20250815_ETF_Options_Exhibits'!Q2163:Q2167),"")</f>
        <v/>
      </c>
      <c r="R2167" s="3">
        <f>IF(ISNUMBER(AVERAGE('20250815_ETF_Options_Exhibits'!R2163:R2167)),AVERAGE('20250815_ETF_Options_Exhibits'!R2163:R2167),"")</f>
        <v/>
      </c>
      <c r="S2167" s="3">
        <f>IF(ISNUMBER(AVERAGE('20250815_ETF_Options_Exhibits'!S2163:S2167)),AVERAGE('20250815_ETF_Options_Exhibits'!S2163:S2167),"")</f>
        <v/>
      </c>
      <c r="T2167" s="3">
        <f>IF(ISNUMBER(AVERAGE('20250815_ETF_Options_Exhibits'!T2163:T2167)),AVERAGE('20250815_ETF_Options_Exhibits'!T2163:T2167),"")</f>
        <v/>
      </c>
      <c r="U2167" s="3">
        <f>IF(ISNUMBER(AVERAGE('20250815_ETF_Options_Exhibits'!U2163:U2167)),AVERAGE('20250815_ETF_Options_Exhibits'!U2163:U2167),"")</f>
        <v/>
      </c>
      <c r="V2167" s="3">
        <f>IF(ISNUMBER(AVERAGE('20250815_ETF_Options_Exhibits'!V2163:V2167)),AVERAGE('20250815_ETF_Options_Exhibits'!V2163:V2167),"")</f>
        <v/>
      </c>
      <c r="W2167" s="3">
        <f>IF(ISNUMBER(AVERAGE('20250815_ETF_Options_Exhibits'!W2163:W2167)),AVERAGE('20250815_ETF_Options_Exhibits'!W2163:W2167),"")</f>
        <v/>
      </c>
      <c r="X2167" s="3">
        <f>IF(ISNUMBER(AVERAGE('20250815_ETF_Options_Exhibits'!X2163:X2167)),AVERAGE('20250815_ETF_Options_Exhibits'!X2163:X2167),"")</f>
        <v/>
      </c>
      <c r="Y2167" s="3">
        <f>IF(ISNUMBER(AVERAGE('20250815_ETF_Options_Exhibits'!Y2163:Y2167)),AVERAGE('20250815_ETF_Options_Exhibits'!Y2163:Y2167),"")</f>
        <v/>
      </c>
      <c r="Z2167" s="3">
        <f>IF(ISNUMBER(AVERAGE('20250815_ETF_Options_Exhibits'!Z2163:Z2167)),AVERAGE('20250815_ETF_Options_Exhibits'!Z2163:Z2167),"")</f>
        <v/>
      </c>
      <c r="AA2167" s="3">
        <f>IF(ISNUMBER(AVERAGE('20250815_ETF_Options_Exhibits'!AA2163:AA2167)),AVERAGE('20250815_ETF_Options_Exhibits'!AA2163:AA2167),"")</f>
        <v/>
      </c>
    </row>
    <row r="2168">
      <c r="A2168" s="1" t="n">
        <v>45148</v>
      </c>
      <c r="B2168" s="3">
        <f>IF(ISNUMBER(AVERAGE('20250815_ETF_Options_Exhibits'!B2164:B2168)),AVERAGE('20250815_ETF_Options_Exhibits'!B2164:B2168),"")</f>
        <v/>
      </c>
      <c r="C2168" s="3">
        <f>IF(ISNUMBER(AVERAGE('20250815_ETF_Options_Exhibits'!C2164:C2168)),AVERAGE('20250815_ETF_Options_Exhibits'!C2164:C2168),"")</f>
        <v/>
      </c>
      <c r="D2168" s="3">
        <f>IF(ISNUMBER(AVERAGE('20250815_ETF_Options_Exhibits'!D2164:D2168)),AVERAGE('20250815_ETF_Options_Exhibits'!D2164:D2168),"")</f>
        <v/>
      </c>
      <c r="E2168" s="3">
        <f>IF(ISNUMBER(AVERAGE('20250815_ETF_Options_Exhibits'!E2164:E2168)),AVERAGE('20250815_ETF_Options_Exhibits'!E2164:E2168),"")</f>
        <v/>
      </c>
      <c r="F2168" s="3">
        <f>IF(ISNUMBER(AVERAGE('20250815_ETF_Options_Exhibits'!F2164:F2168)),AVERAGE('20250815_ETF_Options_Exhibits'!F2164:F2168),"")</f>
        <v/>
      </c>
      <c r="G2168" s="3">
        <f>IF(ISNUMBER(AVERAGE('20250815_ETF_Options_Exhibits'!G2164:G2168)),AVERAGE('20250815_ETF_Options_Exhibits'!G2164:G2168),"")</f>
        <v/>
      </c>
      <c r="H2168" s="3">
        <f>IF(ISNUMBER(AVERAGE('20250815_ETF_Options_Exhibits'!H2164:H2168)),AVERAGE('20250815_ETF_Options_Exhibits'!H2164:H2168),"")</f>
        <v/>
      </c>
      <c r="I2168" s="3">
        <f>IF(ISNUMBER(AVERAGE('20250815_ETF_Options_Exhibits'!I2164:I2168)),AVERAGE('20250815_ETF_Options_Exhibits'!I2164:I2168),"")</f>
        <v/>
      </c>
      <c r="J2168" s="3">
        <f>IF(ISNUMBER(AVERAGE('20250815_ETF_Options_Exhibits'!J2164:J2168)),AVERAGE('20250815_ETF_Options_Exhibits'!J2164:J2168),"")</f>
        <v/>
      </c>
      <c r="K2168" s="3">
        <f>IF(ISNUMBER(AVERAGE('20250815_ETF_Options_Exhibits'!K2164:K2168)),AVERAGE('20250815_ETF_Options_Exhibits'!K2164:K2168),"")</f>
        <v/>
      </c>
      <c r="L2168" s="3">
        <f>IF(ISNUMBER(AVERAGE('20250815_ETF_Options_Exhibits'!L2164:L2168)),AVERAGE('20250815_ETF_Options_Exhibits'!L2164:L2168),"")</f>
        <v/>
      </c>
      <c r="M2168" s="3">
        <f>IF(ISNUMBER(AVERAGE('20250815_ETF_Options_Exhibits'!M2164:M2168)),AVERAGE('20250815_ETF_Options_Exhibits'!M2164:M2168),"")</f>
        <v/>
      </c>
      <c r="N2168" s="3">
        <f>IF(ISNUMBER(AVERAGE('20250815_ETF_Options_Exhibits'!N2164:N2168)),AVERAGE('20250815_ETF_Options_Exhibits'!N2164:N2168),"")</f>
        <v/>
      </c>
      <c r="O2168" s="3">
        <f>IF(ISNUMBER(AVERAGE('20250815_ETF_Options_Exhibits'!O2164:O2168)),AVERAGE('20250815_ETF_Options_Exhibits'!O2164:O2168),"")</f>
        <v/>
      </c>
      <c r="P2168" s="3">
        <f>IF(ISNUMBER(AVERAGE('20250815_ETF_Options_Exhibits'!P2164:P2168)),AVERAGE('20250815_ETF_Options_Exhibits'!P2164:P2168),"")</f>
        <v/>
      </c>
      <c r="Q2168" s="3">
        <f>IF(ISNUMBER(AVERAGE('20250815_ETF_Options_Exhibits'!Q2164:Q2168)),AVERAGE('20250815_ETF_Options_Exhibits'!Q2164:Q2168),"")</f>
        <v/>
      </c>
      <c r="R2168" s="3">
        <f>IF(ISNUMBER(AVERAGE('20250815_ETF_Options_Exhibits'!R2164:R2168)),AVERAGE('20250815_ETF_Options_Exhibits'!R2164:R2168),"")</f>
        <v/>
      </c>
      <c r="S2168" s="3">
        <f>IF(ISNUMBER(AVERAGE('20250815_ETF_Options_Exhibits'!S2164:S2168)),AVERAGE('20250815_ETF_Options_Exhibits'!S2164:S2168),"")</f>
        <v/>
      </c>
      <c r="T2168" s="3">
        <f>IF(ISNUMBER(AVERAGE('20250815_ETF_Options_Exhibits'!T2164:T2168)),AVERAGE('20250815_ETF_Options_Exhibits'!T2164:T2168),"")</f>
        <v/>
      </c>
      <c r="U2168" s="3">
        <f>IF(ISNUMBER(AVERAGE('20250815_ETF_Options_Exhibits'!U2164:U2168)),AVERAGE('20250815_ETF_Options_Exhibits'!U2164:U2168),"")</f>
        <v/>
      </c>
      <c r="V2168" s="3">
        <f>IF(ISNUMBER(AVERAGE('20250815_ETF_Options_Exhibits'!V2164:V2168)),AVERAGE('20250815_ETF_Options_Exhibits'!V2164:V2168),"")</f>
        <v/>
      </c>
      <c r="W2168" s="3">
        <f>IF(ISNUMBER(AVERAGE('20250815_ETF_Options_Exhibits'!W2164:W2168)),AVERAGE('20250815_ETF_Options_Exhibits'!W2164:W2168),"")</f>
        <v/>
      </c>
      <c r="X2168" s="3">
        <f>IF(ISNUMBER(AVERAGE('20250815_ETF_Options_Exhibits'!X2164:X2168)),AVERAGE('20250815_ETF_Options_Exhibits'!X2164:X2168),"")</f>
        <v/>
      </c>
      <c r="Y2168" s="3">
        <f>IF(ISNUMBER(AVERAGE('20250815_ETF_Options_Exhibits'!Y2164:Y2168)),AVERAGE('20250815_ETF_Options_Exhibits'!Y2164:Y2168),"")</f>
        <v/>
      </c>
      <c r="Z2168" s="3">
        <f>IF(ISNUMBER(AVERAGE('20250815_ETF_Options_Exhibits'!Z2164:Z2168)),AVERAGE('20250815_ETF_Options_Exhibits'!Z2164:Z2168),"")</f>
        <v/>
      </c>
      <c r="AA2168" s="3">
        <f>IF(ISNUMBER(AVERAGE('20250815_ETF_Options_Exhibits'!AA2164:AA2168)),AVERAGE('20250815_ETF_Options_Exhibits'!AA2164:AA2168),"")</f>
        <v/>
      </c>
    </row>
    <row r="2169">
      <c r="A2169" s="1" t="n">
        <v>45149</v>
      </c>
      <c r="B2169" s="3">
        <f>IF(ISNUMBER(AVERAGE('20250815_ETF_Options_Exhibits'!B2165:B2169)),AVERAGE('20250815_ETF_Options_Exhibits'!B2165:B2169),"")</f>
        <v/>
      </c>
      <c r="C2169" s="3">
        <f>IF(ISNUMBER(AVERAGE('20250815_ETF_Options_Exhibits'!C2165:C2169)),AVERAGE('20250815_ETF_Options_Exhibits'!C2165:C2169),"")</f>
        <v/>
      </c>
      <c r="D2169" s="3">
        <f>IF(ISNUMBER(AVERAGE('20250815_ETF_Options_Exhibits'!D2165:D2169)),AVERAGE('20250815_ETF_Options_Exhibits'!D2165:D2169),"")</f>
        <v/>
      </c>
      <c r="E2169" s="3">
        <f>IF(ISNUMBER(AVERAGE('20250815_ETF_Options_Exhibits'!E2165:E2169)),AVERAGE('20250815_ETF_Options_Exhibits'!E2165:E2169),"")</f>
        <v/>
      </c>
      <c r="F2169" s="3">
        <f>IF(ISNUMBER(AVERAGE('20250815_ETF_Options_Exhibits'!F2165:F2169)),AVERAGE('20250815_ETF_Options_Exhibits'!F2165:F2169),"")</f>
        <v/>
      </c>
      <c r="G2169" s="3">
        <f>IF(ISNUMBER(AVERAGE('20250815_ETF_Options_Exhibits'!G2165:G2169)),AVERAGE('20250815_ETF_Options_Exhibits'!G2165:G2169),"")</f>
        <v/>
      </c>
      <c r="H2169" s="3">
        <f>IF(ISNUMBER(AVERAGE('20250815_ETF_Options_Exhibits'!H2165:H2169)),AVERAGE('20250815_ETF_Options_Exhibits'!H2165:H2169),"")</f>
        <v/>
      </c>
      <c r="I2169" s="3">
        <f>IF(ISNUMBER(AVERAGE('20250815_ETF_Options_Exhibits'!I2165:I2169)),AVERAGE('20250815_ETF_Options_Exhibits'!I2165:I2169),"")</f>
        <v/>
      </c>
      <c r="J2169" s="3">
        <f>IF(ISNUMBER(AVERAGE('20250815_ETF_Options_Exhibits'!J2165:J2169)),AVERAGE('20250815_ETF_Options_Exhibits'!J2165:J2169),"")</f>
        <v/>
      </c>
      <c r="K2169" s="3">
        <f>IF(ISNUMBER(AVERAGE('20250815_ETF_Options_Exhibits'!K2165:K2169)),AVERAGE('20250815_ETF_Options_Exhibits'!K2165:K2169),"")</f>
        <v/>
      </c>
      <c r="L2169" s="3">
        <f>IF(ISNUMBER(AVERAGE('20250815_ETF_Options_Exhibits'!L2165:L2169)),AVERAGE('20250815_ETF_Options_Exhibits'!L2165:L2169),"")</f>
        <v/>
      </c>
      <c r="M2169" s="3">
        <f>IF(ISNUMBER(AVERAGE('20250815_ETF_Options_Exhibits'!M2165:M2169)),AVERAGE('20250815_ETF_Options_Exhibits'!M2165:M2169),"")</f>
        <v/>
      </c>
      <c r="N2169" s="3">
        <f>IF(ISNUMBER(AVERAGE('20250815_ETF_Options_Exhibits'!N2165:N2169)),AVERAGE('20250815_ETF_Options_Exhibits'!N2165:N2169),"")</f>
        <v/>
      </c>
      <c r="O2169" s="3">
        <f>IF(ISNUMBER(AVERAGE('20250815_ETF_Options_Exhibits'!O2165:O2169)),AVERAGE('20250815_ETF_Options_Exhibits'!O2165:O2169),"")</f>
        <v/>
      </c>
      <c r="P2169" s="3">
        <f>IF(ISNUMBER(AVERAGE('20250815_ETF_Options_Exhibits'!P2165:P2169)),AVERAGE('20250815_ETF_Options_Exhibits'!P2165:P2169),"")</f>
        <v/>
      </c>
      <c r="Q2169" s="3">
        <f>IF(ISNUMBER(AVERAGE('20250815_ETF_Options_Exhibits'!Q2165:Q2169)),AVERAGE('20250815_ETF_Options_Exhibits'!Q2165:Q2169),"")</f>
        <v/>
      </c>
      <c r="R2169" s="3">
        <f>IF(ISNUMBER(AVERAGE('20250815_ETF_Options_Exhibits'!R2165:R2169)),AVERAGE('20250815_ETF_Options_Exhibits'!R2165:R2169),"")</f>
        <v/>
      </c>
      <c r="S2169" s="3">
        <f>IF(ISNUMBER(AVERAGE('20250815_ETF_Options_Exhibits'!S2165:S2169)),AVERAGE('20250815_ETF_Options_Exhibits'!S2165:S2169),"")</f>
        <v/>
      </c>
      <c r="T2169" s="3">
        <f>IF(ISNUMBER(AVERAGE('20250815_ETF_Options_Exhibits'!T2165:T2169)),AVERAGE('20250815_ETF_Options_Exhibits'!T2165:T2169),"")</f>
        <v/>
      </c>
      <c r="U2169" s="3">
        <f>IF(ISNUMBER(AVERAGE('20250815_ETF_Options_Exhibits'!U2165:U2169)),AVERAGE('20250815_ETF_Options_Exhibits'!U2165:U2169),"")</f>
        <v/>
      </c>
      <c r="V2169" s="3">
        <f>IF(ISNUMBER(AVERAGE('20250815_ETF_Options_Exhibits'!V2165:V2169)),AVERAGE('20250815_ETF_Options_Exhibits'!V2165:V2169),"")</f>
        <v/>
      </c>
      <c r="W2169" s="3">
        <f>IF(ISNUMBER(AVERAGE('20250815_ETF_Options_Exhibits'!W2165:W2169)),AVERAGE('20250815_ETF_Options_Exhibits'!W2165:W2169),"")</f>
        <v/>
      </c>
      <c r="X2169" s="3">
        <f>IF(ISNUMBER(AVERAGE('20250815_ETF_Options_Exhibits'!X2165:X2169)),AVERAGE('20250815_ETF_Options_Exhibits'!X2165:X2169),"")</f>
        <v/>
      </c>
      <c r="Y2169" s="3">
        <f>IF(ISNUMBER(AVERAGE('20250815_ETF_Options_Exhibits'!Y2165:Y2169)),AVERAGE('20250815_ETF_Options_Exhibits'!Y2165:Y2169),"")</f>
        <v/>
      </c>
      <c r="Z2169" s="3">
        <f>IF(ISNUMBER(AVERAGE('20250815_ETF_Options_Exhibits'!Z2165:Z2169)),AVERAGE('20250815_ETF_Options_Exhibits'!Z2165:Z2169),"")</f>
        <v/>
      </c>
      <c r="AA2169" s="3">
        <f>IF(ISNUMBER(AVERAGE('20250815_ETF_Options_Exhibits'!AA2165:AA2169)),AVERAGE('20250815_ETF_Options_Exhibits'!AA2165:AA2169),"")</f>
        <v/>
      </c>
    </row>
    <row r="2170">
      <c r="A2170" s="1" t="n">
        <v>45152</v>
      </c>
      <c r="B2170" s="3">
        <f>IF(ISNUMBER(AVERAGE('20250815_ETF_Options_Exhibits'!B2166:B2170)),AVERAGE('20250815_ETF_Options_Exhibits'!B2166:B2170),"")</f>
        <v/>
      </c>
      <c r="C2170" s="3">
        <f>IF(ISNUMBER(AVERAGE('20250815_ETF_Options_Exhibits'!C2166:C2170)),AVERAGE('20250815_ETF_Options_Exhibits'!C2166:C2170),"")</f>
        <v/>
      </c>
      <c r="D2170" s="3">
        <f>IF(ISNUMBER(AVERAGE('20250815_ETF_Options_Exhibits'!D2166:D2170)),AVERAGE('20250815_ETF_Options_Exhibits'!D2166:D2170),"")</f>
        <v/>
      </c>
      <c r="E2170" s="3">
        <f>IF(ISNUMBER(AVERAGE('20250815_ETF_Options_Exhibits'!E2166:E2170)),AVERAGE('20250815_ETF_Options_Exhibits'!E2166:E2170),"")</f>
        <v/>
      </c>
      <c r="F2170" s="3">
        <f>IF(ISNUMBER(AVERAGE('20250815_ETF_Options_Exhibits'!F2166:F2170)),AVERAGE('20250815_ETF_Options_Exhibits'!F2166:F2170),"")</f>
        <v/>
      </c>
      <c r="G2170" s="3">
        <f>IF(ISNUMBER(AVERAGE('20250815_ETF_Options_Exhibits'!G2166:G2170)),AVERAGE('20250815_ETF_Options_Exhibits'!G2166:G2170),"")</f>
        <v/>
      </c>
      <c r="H2170" s="3">
        <f>IF(ISNUMBER(AVERAGE('20250815_ETF_Options_Exhibits'!H2166:H2170)),AVERAGE('20250815_ETF_Options_Exhibits'!H2166:H2170),"")</f>
        <v/>
      </c>
      <c r="I2170" s="3">
        <f>IF(ISNUMBER(AVERAGE('20250815_ETF_Options_Exhibits'!I2166:I2170)),AVERAGE('20250815_ETF_Options_Exhibits'!I2166:I2170),"")</f>
        <v/>
      </c>
      <c r="J2170" s="3">
        <f>IF(ISNUMBER(AVERAGE('20250815_ETF_Options_Exhibits'!J2166:J2170)),AVERAGE('20250815_ETF_Options_Exhibits'!J2166:J2170),"")</f>
        <v/>
      </c>
      <c r="K2170" s="3">
        <f>IF(ISNUMBER(AVERAGE('20250815_ETF_Options_Exhibits'!K2166:K2170)),AVERAGE('20250815_ETF_Options_Exhibits'!K2166:K2170),"")</f>
        <v/>
      </c>
      <c r="L2170" s="3">
        <f>IF(ISNUMBER(AVERAGE('20250815_ETF_Options_Exhibits'!L2166:L2170)),AVERAGE('20250815_ETF_Options_Exhibits'!L2166:L2170),"")</f>
        <v/>
      </c>
      <c r="M2170" s="3">
        <f>IF(ISNUMBER(AVERAGE('20250815_ETF_Options_Exhibits'!M2166:M2170)),AVERAGE('20250815_ETF_Options_Exhibits'!M2166:M2170),"")</f>
        <v/>
      </c>
      <c r="N2170" s="3">
        <f>IF(ISNUMBER(AVERAGE('20250815_ETF_Options_Exhibits'!N2166:N2170)),AVERAGE('20250815_ETF_Options_Exhibits'!N2166:N2170),"")</f>
        <v/>
      </c>
      <c r="O2170" s="3">
        <f>IF(ISNUMBER(AVERAGE('20250815_ETF_Options_Exhibits'!O2166:O2170)),AVERAGE('20250815_ETF_Options_Exhibits'!O2166:O2170),"")</f>
        <v/>
      </c>
      <c r="P2170" s="3">
        <f>IF(ISNUMBER(AVERAGE('20250815_ETF_Options_Exhibits'!P2166:P2170)),AVERAGE('20250815_ETF_Options_Exhibits'!P2166:P2170),"")</f>
        <v/>
      </c>
      <c r="Q2170" s="3">
        <f>IF(ISNUMBER(AVERAGE('20250815_ETF_Options_Exhibits'!Q2166:Q2170)),AVERAGE('20250815_ETF_Options_Exhibits'!Q2166:Q2170),"")</f>
        <v/>
      </c>
      <c r="R2170" s="3">
        <f>IF(ISNUMBER(AVERAGE('20250815_ETF_Options_Exhibits'!R2166:R2170)),AVERAGE('20250815_ETF_Options_Exhibits'!R2166:R2170),"")</f>
        <v/>
      </c>
      <c r="S2170" s="3">
        <f>IF(ISNUMBER(AVERAGE('20250815_ETF_Options_Exhibits'!S2166:S2170)),AVERAGE('20250815_ETF_Options_Exhibits'!S2166:S2170),"")</f>
        <v/>
      </c>
      <c r="T2170" s="3">
        <f>IF(ISNUMBER(AVERAGE('20250815_ETF_Options_Exhibits'!T2166:T2170)),AVERAGE('20250815_ETF_Options_Exhibits'!T2166:T2170),"")</f>
        <v/>
      </c>
      <c r="U2170" s="3">
        <f>IF(ISNUMBER(AVERAGE('20250815_ETF_Options_Exhibits'!U2166:U2170)),AVERAGE('20250815_ETF_Options_Exhibits'!U2166:U2170),"")</f>
        <v/>
      </c>
      <c r="V2170" s="3">
        <f>IF(ISNUMBER(AVERAGE('20250815_ETF_Options_Exhibits'!V2166:V2170)),AVERAGE('20250815_ETF_Options_Exhibits'!V2166:V2170),"")</f>
        <v/>
      </c>
      <c r="W2170" s="3">
        <f>IF(ISNUMBER(AVERAGE('20250815_ETF_Options_Exhibits'!W2166:W2170)),AVERAGE('20250815_ETF_Options_Exhibits'!W2166:W2170),"")</f>
        <v/>
      </c>
      <c r="X2170" s="3">
        <f>IF(ISNUMBER(AVERAGE('20250815_ETF_Options_Exhibits'!X2166:X2170)),AVERAGE('20250815_ETF_Options_Exhibits'!X2166:X2170),"")</f>
        <v/>
      </c>
      <c r="Y2170" s="3">
        <f>IF(ISNUMBER(AVERAGE('20250815_ETF_Options_Exhibits'!Y2166:Y2170)),AVERAGE('20250815_ETF_Options_Exhibits'!Y2166:Y2170),"")</f>
        <v/>
      </c>
      <c r="Z2170" s="3">
        <f>IF(ISNUMBER(AVERAGE('20250815_ETF_Options_Exhibits'!Z2166:Z2170)),AVERAGE('20250815_ETF_Options_Exhibits'!Z2166:Z2170),"")</f>
        <v/>
      </c>
      <c r="AA2170" s="3">
        <f>IF(ISNUMBER(AVERAGE('20250815_ETF_Options_Exhibits'!AA2166:AA2170)),AVERAGE('20250815_ETF_Options_Exhibits'!AA2166:AA2170),"")</f>
        <v/>
      </c>
    </row>
    <row r="2171">
      <c r="A2171" s="1" t="n">
        <v>45153</v>
      </c>
      <c r="B2171" s="3">
        <f>IF(ISNUMBER(AVERAGE('20250815_ETF_Options_Exhibits'!B2167:B2171)),AVERAGE('20250815_ETF_Options_Exhibits'!B2167:B2171),"")</f>
        <v/>
      </c>
      <c r="C2171" s="3">
        <f>IF(ISNUMBER(AVERAGE('20250815_ETF_Options_Exhibits'!C2167:C2171)),AVERAGE('20250815_ETF_Options_Exhibits'!C2167:C2171),"")</f>
        <v/>
      </c>
      <c r="D2171" s="3">
        <f>IF(ISNUMBER(AVERAGE('20250815_ETF_Options_Exhibits'!D2167:D2171)),AVERAGE('20250815_ETF_Options_Exhibits'!D2167:D2171),"")</f>
        <v/>
      </c>
      <c r="E2171" s="3">
        <f>IF(ISNUMBER(AVERAGE('20250815_ETF_Options_Exhibits'!E2167:E2171)),AVERAGE('20250815_ETF_Options_Exhibits'!E2167:E2171),"")</f>
        <v/>
      </c>
      <c r="F2171" s="3">
        <f>IF(ISNUMBER(AVERAGE('20250815_ETF_Options_Exhibits'!F2167:F2171)),AVERAGE('20250815_ETF_Options_Exhibits'!F2167:F2171),"")</f>
        <v/>
      </c>
      <c r="G2171" s="3">
        <f>IF(ISNUMBER(AVERAGE('20250815_ETF_Options_Exhibits'!G2167:G2171)),AVERAGE('20250815_ETF_Options_Exhibits'!G2167:G2171),"")</f>
        <v/>
      </c>
      <c r="H2171" s="3">
        <f>IF(ISNUMBER(AVERAGE('20250815_ETF_Options_Exhibits'!H2167:H2171)),AVERAGE('20250815_ETF_Options_Exhibits'!H2167:H2171),"")</f>
        <v/>
      </c>
      <c r="I2171" s="3">
        <f>IF(ISNUMBER(AVERAGE('20250815_ETF_Options_Exhibits'!I2167:I2171)),AVERAGE('20250815_ETF_Options_Exhibits'!I2167:I2171),"")</f>
        <v/>
      </c>
      <c r="J2171" s="3">
        <f>IF(ISNUMBER(AVERAGE('20250815_ETF_Options_Exhibits'!J2167:J2171)),AVERAGE('20250815_ETF_Options_Exhibits'!J2167:J2171),"")</f>
        <v/>
      </c>
      <c r="K2171" s="3">
        <f>IF(ISNUMBER(AVERAGE('20250815_ETF_Options_Exhibits'!K2167:K2171)),AVERAGE('20250815_ETF_Options_Exhibits'!K2167:K2171),"")</f>
        <v/>
      </c>
      <c r="L2171" s="3">
        <f>IF(ISNUMBER(AVERAGE('20250815_ETF_Options_Exhibits'!L2167:L2171)),AVERAGE('20250815_ETF_Options_Exhibits'!L2167:L2171),"")</f>
        <v/>
      </c>
      <c r="M2171" s="3">
        <f>IF(ISNUMBER(AVERAGE('20250815_ETF_Options_Exhibits'!M2167:M2171)),AVERAGE('20250815_ETF_Options_Exhibits'!M2167:M2171),"")</f>
        <v/>
      </c>
      <c r="N2171" s="3">
        <f>IF(ISNUMBER(AVERAGE('20250815_ETF_Options_Exhibits'!N2167:N2171)),AVERAGE('20250815_ETF_Options_Exhibits'!N2167:N2171),"")</f>
        <v/>
      </c>
      <c r="O2171" s="3">
        <f>IF(ISNUMBER(AVERAGE('20250815_ETF_Options_Exhibits'!O2167:O2171)),AVERAGE('20250815_ETF_Options_Exhibits'!O2167:O2171),"")</f>
        <v/>
      </c>
      <c r="P2171" s="3">
        <f>IF(ISNUMBER(AVERAGE('20250815_ETF_Options_Exhibits'!P2167:P2171)),AVERAGE('20250815_ETF_Options_Exhibits'!P2167:P2171),"")</f>
        <v/>
      </c>
      <c r="Q2171" s="3">
        <f>IF(ISNUMBER(AVERAGE('20250815_ETF_Options_Exhibits'!Q2167:Q2171)),AVERAGE('20250815_ETF_Options_Exhibits'!Q2167:Q2171),"")</f>
        <v/>
      </c>
      <c r="R2171" s="3">
        <f>IF(ISNUMBER(AVERAGE('20250815_ETF_Options_Exhibits'!R2167:R2171)),AVERAGE('20250815_ETF_Options_Exhibits'!R2167:R2171),"")</f>
        <v/>
      </c>
      <c r="S2171" s="3">
        <f>IF(ISNUMBER(AVERAGE('20250815_ETF_Options_Exhibits'!S2167:S2171)),AVERAGE('20250815_ETF_Options_Exhibits'!S2167:S2171),"")</f>
        <v/>
      </c>
      <c r="T2171" s="3">
        <f>IF(ISNUMBER(AVERAGE('20250815_ETF_Options_Exhibits'!T2167:T2171)),AVERAGE('20250815_ETF_Options_Exhibits'!T2167:T2171),"")</f>
        <v/>
      </c>
      <c r="U2171" s="3">
        <f>IF(ISNUMBER(AVERAGE('20250815_ETF_Options_Exhibits'!U2167:U2171)),AVERAGE('20250815_ETF_Options_Exhibits'!U2167:U2171),"")</f>
        <v/>
      </c>
      <c r="V2171" s="3">
        <f>IF(ISNUMBER(AVERAGE('20250815_ETF_Options_Exhibits'!V2167:V2171)),AVERAGE('20250815_ETF_Options_Exhibits'!V2167:V2171),"")</f>
        <v/>
      </c>
      <c r="W2171" s="3">
        <f>IF(ISNUMBER(AVERAGE('20250815_ETF_Options_Exhibits'!W2167:W2171)),AVERAGE('20250815_ETF_Options_Exhibits'!W2167:W2171),"")</f>
        <v/>
      </c>
      <c r="X2171" s="3">
        <f>IF(ISNUMBER(AVERAGE('20250815_ETF_Options_Exhibits'!X2167:X2171)),AVERAGE('20250815_ETF_Options_Exhibits'!X2167:X2171),"")</f>
        <v/>
      </c>
      <c r="Y2171" s="3">
        <f>IF(ISNUMBER(AVERAGE('20250815_ETF_Options_Exhibits'!Y2167:Y2171)),AVERAGE('20250815_ETF_Options_Exhibits'!Y2167:Y2171),"")</f>
        <v/>
      </c>
      <c r="Z2171" s="3">
        <f>IF(ISNUMBER(AVERAGE('20250815_ETF_Options_Exhibits'!Z2167:Z2171)),AVERAGE('20250815_ETF_Options_Exhibits'!Z2167:Z2171),"")</f>
        <v/>
      </c>
      <c r="AA2171" s="3">
        <f>IF(ISNUMBER(AVERAGE('20250815_ETF_Options_Exhibits'!AA2167:AA2171)),AVERAGE('20250815_ETF_Options_Exhibits'!AA2167:AA2171),"")</f>
        <v/>
      </c>
    </row>
    <row r="2172">
      <c r="A2172" s="1" t="n">
        <v>45154</v>
      </c>
      <c r="B2172" s="3">
        <f>IF(ISNUMBER(AVERAGE('20250815_ETF_Options_Exhibits'!B2168:B2172)),AVERAGE('20250815_ETF_Options_Exhibits'!B2168:B2172),"")</f>
        <v/>
      </c>
      <c r="C2172" s="3">
        <f>IF(ISNUMBER(AVERAGE('20250815_ETF_Options_Exhibits'!C2168:C2172)),AVERAGE('20250815_ETF_Options_Exhibits'!C2168:C2172),"")</f>
        <v/>
      </c>
      <c r="D2172" s="3">
        <f>IF(ISNUMBER(AVERAGE('20250815_ETF_Options_Exhibits'!D2168:D2172)),AVERAGE('20250815_ETF_Options_Exhibits'!D2168:D2172),"")</f>
        <v/>
      </c>
      <c r="E2172" s="3">
        <f>IF(ISNUMBER(AVERAGE('20250815_ETF_Options_Exhibits'!E2168:E2172)),AVERAGE('20250815_ETF_Options_Exhibits'!E2168:E2172),"")</f>
        <v/>
      </c>
      <c r="F2172" s="3">
        <f>IF(ISNUMBER(AVERAGE('20250815_ETF_Options_Exhibits'!F2168:F2172)),AVERAGE('20250815_ETF_Options_Exhibits'!F2168:F2172),"")</f>
        <v/>
      </c>
      <c r="G2172" s="3">
        <f>IF(ISNUMBER(AVERAGE('20250815_ETF_Options_Exhibits'!G2168:G2172)),AVERAGE('20250815_ETF_Options_Exhibits'!G2168:G2172),"")</f>
        <v/>
      </c>
      <c r="H2172" s="3">
        <f>IF(ISNUMBER(AVERAGE('20250815_ETF_Options_Exhibits'!H2168:H2172)),AVERAGE('20250815_ETF_Options_Exhibits'!H2168:H2172),"")</f>
        <v/>
      </c>
      <c r="I2172" s="3">
        <f>IF(ISNUMBER(AVERAGE('20250815_ETF_Options_Exhibits'!I2168:I2172)),AVERAGE('20250815_ETF_Options_Exhibits'!I2168:I2172),"")</f>
        <v/>
      </c>
      <c r="J2172" s="3">
        <f>IF(ISNUMBER(AVERAGE('20250815_ETF_Options_Exhibits'!J2168:J2172)),AVERAGE('20250815_ETF_Options_Exhibits'!J2168:J2172),"")</f>
        <v/>
      </c>
      <c r="K2172" s="3">
        <f>IF(ISNUMBER(AVERAGE('20250815_ETF_Options_Exhibits'!K2168:K2172)),AVERAGE('20250815_ETF_Options_Exhibits'!K2168:K2172),"")</f>
        <v/>
      </c>
      <c r="L2172" s="3">
        <f>IF(ISNUMBER(AVERAGE('20250815_ETF_Options_Exhibits'!L2168:L2172)),AVERAGE('20250815_ETF_Options_Exhibits'!L2168:L2172),"")</f>
        <v/>
      </c>
      <c r="M2172" s="3">
        <f>IF(ISNUMBER(AVERAGE('20250815_ETF_Options_Exhibits'!M2168:M2172)),AVERAGE('20250815_ETF_Options_Exhibits'!M2168:M2172),"")</f>
        <v/>
      </c>
      <c r="N2172" s="3">
        <f>IF(ISNUMBER(AVERAGE('20250815_ETF_Options_Exhibits'!N2168:N2172)),AVERAGE('20250815_ETF_Options_Exhibits'!N2168:N2172),"")</f>
        <v/>
      </c>
      <c r="O2172" s="3">
        <f>IF(ISNUMBER(AVERAGE('20250815_ETF_Options_Exhibits'!O2168:O2172)),AVERAGE('20250815_ETF_Options_Exhibits'!O2168:O2172),"")</f>
        <v/>
      </c>
      <c r="P2172" s="3">
        <f>IF(ISNUMBER(AVERAGE('20250815_ETF_Options_Exhibits'!P2168:P2172)),AVERAGE('20250815_ETF_Options_Exhibits'!P2168:P2172),"")</f>
        <v/>
      </c>
      <c r="Q2172" s="3">
        <f>IF(ISNUMBER(AVERAGE('20250815_ETF_Options_Exhibits'!Q2168:Q2172)),AVERAGE('20250815_ETF_Options_Exhibits'!Q2168:Q2172),"")</f>
        <v/>
      </c>
      <c r="R2172" s="3">
        <f>IF(ISNUMBER(AVERAGE('20250815_ETF_Options_Exhibits'!R2168:R2172)),AVERAGE('20250815_ETF_Options_Exhibits'!R2168:R2172),"")</f>
        <v/>
      </c>
      <c r="S2172" s="3">
        <f>IF(ISNUMBER(AVERAGE('20250815_ETF_Options_Exhibits'!S2168:S2172)),AVERAGE('20250815_ETF_Options_Exhibits'!S2168:S2172),"")</f>
        <v/>
      </c>
      <c r="T2172" s="3">
        <f>IF(ISNUMBER(AVERAGE('20250815_ETF_Options_Exhibits'!T2168:T2172)),AVERAGE('20250815_ETF_Options_Exhibits'!T2168:T2172),"")</f>
        <v/>
      </c>
      <c r="U2172" s="3">
        <f>IF(ISNUMBER(AVERAGE('20250815_ETF_Options_Exhibits'!U2168:U2172)),AVERAGE('20250815_ETF_Options_Exhibits'!U2168:U2172),"")</f>
        <v/>
      </c>
      <c r="V2172" s="3">
        <f>IF(ISNUMBER(AVERAGE('20250815_ETF_Options_Exhibits'!V2168:V2172)),AVERAGE('20250815_ETF_Options_Exhibits'!V2168:V2172),"")</f>
        <v/>
      </c>
      <c r="W2172" s="3">
        <f>IF(ISNUMBER(AVERAGE('20250815_ETF_Options_Exhibits'!W2168:W2172)),AVERAGE('20250815_ETF_Options_Exhibits'!W2168:W2172),"")</f>
        <v/>
      </c>
      <c r="X2172" s="3">
        <f>IF(ISNUMBER(AVERAGE('20250815_ETF_Options_Exhibits'!X2168:X2172)),AVERAGE('20250815_ETF_Options_Exhibits'!X2168:X2172),"")</f>
        <v/>
      </c>
      <c r="Y2172" s="3">
        <f>IF(ISNUMBER(AVERAGE('20250815_ETF_Options_Exhibits'!Y2168:Y2172)),AVERAGE('20250815_ETF_Options_Exhibits'!Y2168:Y2172),"")</f>
        <v/>
      </c>
      <c r="Z2172" s="3">
        <f>IF(ISNUMBER(AVERAGE('20250815_ETF_Options_Exhibits'!Z2168:Z2172)),AVERAGE('20250815_ETF_Options_Exhibits'!Z2168:Z2172),"")</f>
        <v/>
      </c>
      <c r="AA2172" s="3">
        <f>IF(ISNUMBER(AVERAGE('20250815_ETF_Options_Exhibits'!AA2168:AA2172)),AVERAGE('20250815_ETF_Options_Exhibits'!AA2168:AA2172),"")</f>
        <v/>
      </c>
    </row>
    <row r="2173">
      <c r="A2173" s="1" t="n">
        <v>45155</v>
      </c>
      <c r="B2173" s="3">
        <f>IF(ISNUMBER(AVERAGE('20250815_ETF_Options_Exhibits'!B2169:B2173)),AVERAGE('20250815_ETF_Options_Exhibits'!B2169:B2173),"")</f>
        <v/>
      </c>
      <c r="C2173" s="3">
        <f>IF(ISNUMBER(AVERAGE('20250815_ETF_Options_Exhibits'!C2169:C2173)),AVERAGE('20250815_ETF_Options_Exhibits'!C2169:C2173),"")</f>
        <v/>
      </c>
      <c r="D2173" s="3">
        <f>IF(ISNUMBER(AVERAGE('20250815_ETF_Options_Exhibits'!D2169:D2173)),AVERAGE('20250815_ETF_Options_Exhibits'!D2169:D2173),"")</f>
        <v/>
      </c>
      <c r="E2173" s="3">
        <f>IF(ISNUMBER(AVERAGE('20250815_ETF_Options_Exhibits'!E2169:E2173)),AVERAGE('20250815_ETF_Options_Exhibits'!E2169:E2173),"")</f>
        <v/>
      </c>
      <c r="F2173" s="3">
        <f>IF(ISNUMBER(AVERAGE('20250815_ETF_Options_Exhibits'!F2169:F2173)),AVERAGE('20250815_ETF_Options_Exhibits'!F2169:F2173),"")</f>
        <v/>
      </c>
      <c r="G2173" s="3">
        <f>IF(ISNUMBER(AVERAGE('20250815_ETF_Options_Exhibits'!G2169:G2173)),AVERAGE('20250815_ETF_Options_Exhibits'!G2169:G2173),"")</f>
        <v/>
      </c>
      <c r="H2173" s="3">
        <f>IF(ISNUMBER(AVERAGE('20250815_ETF_Options_Exhibits'!H2169:H2173)),AVERAGE('20250815_ETF_Options_Exhibits'!H2169:H2173),"")</f>
        <v/>
      </c>
      <c r="I2173" s="3">
        <f>IF(ISNUMBER(AVERAGE('20250815_ETF_Options_Exhibits'!I2169:I2173)),AVERAGE('20250815_ETF_Options_Exhibits'!I2169:I2173),"")</f>
        <v/>
      </c>
      <c r="J2173" s="3">
        <f>IF(ISNUMBER(AVERAGE('20250815_ETF_Options_Exhibits'!J2169:J2173)),AVERAGE('20250815_ETF_Options_Exhibits'!J2169:J2173),"")</f>
        <v/>
      </c>
      <c r="K2173" s="3">
        <f>IF(ISNUMBER(AVERAGE('20250815_ETF_Options_Exhibits'!K2169:K2173)),AVERAGE('20250815_ETF_Options_Exhibits'!K2169:K2173),"")</f>
        <v/>
      </c>
      <c r="L2173" s="3">
        <f>IF(ISNUMBER(AVERAGE('20250815_ETF_Options_Exhibits'!L2169:L2173)),AVERAGE('20250815_ETF_Options_Exhibits'!L2169:L2173),"")</f>
        <v/>
      </c>
      <c r="M2173" s="3">
        <f>IF(ISNUMBER(AVERAGE('20250815_ETF_Options_Exhibits'!M2169:M2173)),AVERAGE('20250815_ETF_Options_Exhibits'!M2169:M2173),"")</f>
        <v/>
      </c>
      <c r="N2173" s="3">
        <f>IF(ISNUMBER(AVERAGE('20250815_ETF_Options_Exhibits'!N2169:N2173)),AVERAGE('20250815_ETF_Options_Exhibits'!N2169:N2173),"")</f>
        <v/>
      </c>
      <c r="O2173" s="3">
        <f>IF(ISNUMBER(AVERAGE('20250815_ETF_Options_Exhibits'!O2169:O2173)),AVERAGE('20250815_ETF_Options_Exhibits'!O2169:O2173),"")</f>
        <v/>
      </c>
      <c r="P2173" s="3">
        <f>IF(ISNUMBER(AVERAGE('20250815_ETF_Options_Exhibits'!P2169:P2173)),AVERAGE('20250815_ETF_Options_Exhibits'!P2169:P2173),"")</f>
        <v/>
      </c>
      <c r="Q2173" s="3">
        <f>IF(ISNUMBER(AVERAGE('20250815_ETF_Options_Exhibits'!Q2169:Q2173)),AVERAGE('20250815_ETF_Options_Exhibits'!Q2169:Q2173),"")</f>
        <v/>
      </c>
      <c r="R2173" s="3">
        <f>IF(ISNUMBER(AVERAGE('20250815_ETF_Options_Exhibits'!R2169:R2173)),AVERAGE('20250815_ETF_Options_Exhibits'!R2169:R2173),"")</f>
        <v/>
      </c>
      <c r="S2173" s="3">
        <f>IF(ISNUMBER(AVERAGE('20250815_ETF_Options_Exhibits'!S2169:S2173)),AVERAGE('20250815_ETF_Options_Exhibits'!S2169:S2173),"")</f>
        <v/>
      </c>
      <c r="T2173" s="3">
        <f>IF(ISNUMBER(AVERAGE('20250815_ETF_Options_Exhibits'!T2169:T2173)),AVERAGE('20250815_ETF_Options_Exhibits'!T2169:T2173),"")</f>
        <v/>
      </c>
      <c r="U2173" s="3">
        <f>IF(ISNUMBER(AVERAGE('20250815_ETF_Options_Exhibits'!U2169:U2173)),AVERAGE('20250815_ETF_Options_Exhibits'!U2169:U2173),"")</f>
        <v/>
      </c>
      <c r="V2173" s="3">
        <f>IF(ISNUMBER(AVERAGE('20250815_ETF_Options_Exhibits'!V2169:V2173)),AVERAGE('20250815_ETF_Options_Exhibits'!V2169:V2173),"")</f>
        <v/>
      </c>
      <c r="W2173" s="3">
        <f>IF(ISNUMBER(AVERAGE('20250815_ETF_Options_Exhibits'!W2169:W2173)),AVERAGE('20250815_ETF_Options_Exhibits'!W2169:W2173),"")</f>
        <v/>
      </c>
      <c r="X2173" s="3">
        <f>IF(ISNUMBER(AVERAGE('20250815_ETF_Options_Exhibits'!X2169:X2173)),AVERAGE('20250815_ETF_Options_Exhibits'!X2169:X2173),"")</f>
        <v/>
      </c>
      <c r="Y2173" s="3">
        <f>IF(ISNUMBER(AVERAGE('20250815_ETF_Options_Exhibits'!Y2169:Y2173)),AVERAGE('20250815_ETF_Options_Exhibits'!Y2169:Y2173),"")</f>
        <v/>
      </c>
      <c r="Z2173" s="3">
        <f>IF(ISNUMBER(AVERAGE('20250815_ETF_Options_Exhibits'!Z2169:Z2173)),AVERAGE('20250815_ETF_Options_Exhibits'!Z2169:Z2173),"")</f>
        <v/>
      </c>
      <c r="AA2173" s="3">
        <f>IF(ISNUMBER(AVERAGE('20250815_ETF_Options_Exhibits'!AA2169:AA2173)),AVERAGE('20250815_ETF_Options_Exhibits'!AA2169:AA2173),"")</f>
        <v/>
      </c>
    </row>
    <row r="2174">
      <c r="A2174" s="1" t="n">
        <v>45156</v>
      </c>
      <c r="B2174" s="3">
        <f>IF(ISNUMBER(AVERAGE('20250815_ETF_Options_Exhibits'!B2170:B2174)),AVERAGE('20250815_ETF_Options_Exhibits'!B2170:B2174),"")</f>
        <v/>
      </c>
      <c r="C2174" s="3">
        <f>IF(ISNUMBER(AVERAGE('20250815_ETF_Options_Exhibits'!C2170:C2174)),AVERAGE('20250815_ETF_Options_Exhibits'!C2170:C2174),"")</f>
        <v/>
      </c>
      <c r="D2174" s="3">
        <f>IF(ISNUMBER(AVERAGE('20250815_ETF_Options_Exhibits'!D2170:D2174)),AVERAGE('20250815_ETF_Options_Exhibits'!D2170:D2174),"")</f>
        <v/>
      </c>
      <c r="E2174" s="3">
        <f>IF(ISNUMBER(AVERAGE('20250815_ETF_Options_Exhibits'!E2170:E2174)),AVERAGE('20250815_ETF_Options_Exhibits'!E2170:E2174),"")</f>
        <v/>
      </c>
      <c r="F2174" s="3">
        <f>IF(ISNUMBER(AVERAGE('20250815_ETF_Options_Exhibits'!F2170:F2174)),AVERAGE('20250815_ETF_Options_Exhibits'!F2170:F2174),"")</f>
        <v/>
      </c>
      <c r="G2174" s="3">
        <f>IF(ISNUMBER(AVERAGE('20250815_ETF_Options_Exhibits'!G2170:G2174)),AVERAGE('20250815_ETF_Options_Exhibits'!G2170:G2174),"")</f>
        <v/>
      </c>
      <c r="H2174" s="3">
        <f>IF(ISNUMBER(AVERAGE('20250815_ETF_Options_Exhibits'!H2170:H2174)),AVERAGE('20250815_ETF_Options_Exhibits'!H2170:H2174),"")</f>
        <v/>
      </c>
      <c r="I2174" s="3">
        <f>IF(ISNUMBER(AVERAGE('20250815_ETF_Options_Exhibits'!I2170:I2174)),AVERAGE('20250815_ETF_Options_Exhibits'!I2170:I2174),"")</f>
        <v/>
      </c>
      <c r="J2174" s="3">
        <f>IF(ISNUMBER(AVERAGE('20250815_ETF_Options_Exhibits'!J2170:J2174)),AVERAGE('20250815_ETF_Options_Exhibits'!J2170:J2174),"")</f>
        <v/>
      </c>
      <c r="K2174" s="3">
        <f>IF(ISNUMBER(AVERAGE('20250815_ETF_Options_Exhibits'!K2170:K2174)),AVERAGE('20250815_ETF_Options_Exhibits'!K2170:K2174),"")</f>
        <v/>
      </c>
      <c r="L2174" s="3">
        <f>IF(ISNUMBER(AVERAGE('20250815_ETF_Options_Exhibits'!L2170:L2174)),AVERAGE('20250815_ETF_Options_Exhibits'!L2170:L2174),"")</f>
        <v/>
      </c>
      <c r="M2174" s="3">
        <f>IF(ISNUMBER(AVERAGE('20250815_ETF_Options_Exhibits'!M2170:M2174)),AVERAGE('20250815_ETF_Options_Exhibits'!M2170:M2174),"")</f>
        <v/>
      </c>
      <c r="N2174" s="3">
        <f>IF(ISNUMBER(AVERAGE('20250815_ETF_Options_Exhibits'!N2170:N2174)),AVERAGE('20250815_ETF_Options_Exhibits'!N2170:N2174),"")</f>
        <v/>
      </c>
      <c r="O2174" s="3">
        <f>IF(ISNUMBER(AVERAGE('20250815_ETF_Options_Exhibits'!O2170:O2174)),AVERAGE('20250815_ETF_Options_Exhibits'!O2170:O2174),"")</f>
        <v/>
      </c>
      <c r="P2174" s="3">
        <f>IF(ISNUMBER(AVERAGE('20250815_ETF_Options_Exhibits'!P2170:P2174)),AVERAGE('20250815_ETF_Options_Exhibits'!P2170:P2174),"")</f>
        <v/>
      </c>
      <c r="Q2174" s="3">
        <f>IF(ISNUMBER(AVERAGE('20250815_ETF_Options_Exhibits'!Q2170:Q2174)),AVERAGE('20250815_ETF_Options_Exhibits'!Q2170:Q2174),"")</f>
        <v/>
      </c>
      <c r="R2174" s="3">
        <f>IF(ISNUMBER(AVERAGE('20250815_ETF_Options_Exhibits'!R2170:R2174)),AVERAGE('20250815_ETF_Options_Exhibits'!R2170:R2174),"")</f>
        <v/>
      </c>
      <c r="S2174" s="3">
        <f>IF(ISNUMBER(AVERAGE('20250815_ETF_Options_Exhibits'!S2170:S2174)),AVERAGE('20250815_ETF_Options_Exhibits'!S2170:S2174),"")</f>
        <v/>
      </c>
      <c r="T2174" s="3">
        <f>IF(ISNUMBER(AVERAGE('20250815_ETF_Options_Exhibits'!T2170:T2174)),AVERAGE('20250815_ETF_Options_Exhibits'!T2170:T2174),"")</f>
        <v/>
      </c>
      <c r="U2174" s="3">
        <f>IF(ISNUMBER(AVERAGE('20250815_ETF_Options_Exhibits'!U2170:U2174)),AVERAGE('20250815_ETF_Options_Exhibits'!U2170:U2174),"")</f>
        <v/>
      </c>
      <c r="V2174" s="3">
        <f>IF(ISNUMBER(AVERAGE('20250815_ETF_Options_Exhibits'!V2170:V2174)),AVERAGE('20250815_ETF_Options_Exhibits'!V2170:V2174),"")</f>
        <v/>
      </c>
      <c r="W2174" s="3">
        <f>IF(ISNUMBER(AVERAGE('20250815_ETF_Options_Exhibits'!W2170:W2174)),AVERAGE('20250815_ETF_Options_Exhibits'!W2170:W2174),"")</f>
        <v/>
      </c>
      <c r="X2174" s="3">
        <f>IF(ISNUMBER(AVERAGE('20250815_ETF_Options_Exhibits'!X2170:X2174)),AVERAGE('20250815_ETF_Options_Exhibits'!X2170:X2174),"")</f>
        <v/>
      </c>
      <c r="Y2174" s="3">
        <f>IF(ISNUMBER(AVERAGE('20250815_ETF_Options_Exhibits'!Y2170:Y2174)),AVERAGE('20250815_ETF_Options_Exhibits'!Y2170:Y2174),"")</f>
        <v/>
      </c>
      <c r="Z2174" s="3">
        <f>IF(ISNUMBER(AVERAGE('20250815_ETF_Options_Exhibits'!Z2170:Z2174)),AVERAGE('20250815_ETF_Options_Exhibits'!Z2170:Z2174),"")</f>
        <v/>
      </c>
      <c r="AA2174" s="3">
        <f>IF(ISNUMBER(AVERAGE('20250815_ETF_Options_Exhibits'!AA2170:AA2174)),AVERAGE('20250815_ETF_Options_Exhibits'!AA2170:AA2174),"")</f>
        <v/>
      </c>
    </row>
    <row r="2175">
      <c r="A2175" s="1" t="n">
        <v>45159</v>
      </c>
      <c r="B2175" s="3">
        <f>IF(ISNUMBER(AVERAGE('20250815_ETF_Options_Exhibits'!B2171:B2175)),AVERAGE('20250815_ETF_Options_Exhibits'!B2171:B2175),"")</f>
        <v/>
      </c>
      <c r="C2175" s="3">
        <f>IF(ISNUMBER(AVERAGE('20250815_ETF_Options_Exhibits'!C2171:C2175)),AVERAGE('20250815_ETF_Options_Exhibits'!C2171:C2175),"")</f>
        <v/>
      </c>
      <c r="D2175" s="3">
        <f>IF(ISNUMBER(AVERAGE('20250815_ETF_Options_Exhibits'!D2171:D2175)),AVERAGE('20250815_ETF_Options_Exhibits'!D2171:D2175),"")</f>
        <v/>
      </c>
      <c r="E2175" s="3">
        <f>IF(ISNUMBER(AVERAGE('20250815_ETF_Options_Exhibits'!E2171:E2175)),AVERAGE('20250815_ETF_Options_Exhibits'!E2171:E2175),"")</f>
        <v/>
      </c>
      <c r="F2175" s="3">
        <f>IF(ISNUMBER(AVERAGE('20250815_ETF_Options_Exhibits'!F2171:F2175)),AVERAGE('20250815_ETF_Options_Exhibits'!F2171:F2175),"")</f>
        <v/>
      </c>
      <c r="G2175" s="3">
        <f>IF(ISNUMBER(AVERAGE('20250815_ETF_Options_Exhibits'!G2171:G2175)),AVERAGE('20250815_ETF_Options_Exhibits'!G2171:G2175),"")</f>
        <v/>
      </c>
      <c r="H2175" s="3">
        <f>IF(ISNUMBER(AVERAGE('20250815_ETF_Options_Exhibits'!H2171:H2175)),AVERAGE('20250815_ETF_Options_Exhibits'!H2171:H2175),"")</f>
        <v/>
      </c>
      <c r="I2175" s="3">
        <f>IF(ISNUMBER(AVERAGE('20250815_ETF_Options_Exhibits'!I2171:I2175)),AVERAGE('20250815_ETF_Options_Exhibits'!I2171:I2175),"")</f>
        <v/>
      </c>
      <c r="J2175" s="3">
        <f>IF(ISNUMBER(AVERAGE('20250815_ETF_Options_Exhibits'!J2171:J2175)),AVERAGE('20250815_ETF_Options_Exhibits'!J2171:J2175),"")</f>
        <v/>
      </c>
      <c r="K2175" s="3">
        <f>IF(ISNUMBER(AVERAGE('20250815_ETF_Options_Exhibits'!K2171:K2175)),AVERAGE('20250815_ETF_Options_Exhibits'!K2171:K2175),"")</f>
        <v/>
      </c>
      <c r="L2175" s="3">
        <f>IF(ISNUMBER(AVERAGE('20250815_ETF_Options_Exhibits'!L2171:L2175)),AVERAGE('20250815_ETF_Options_Exhibits'!L2171:L2175),"")</f>
        <v/>
      </c>
      <c r="M2175" s="3">
        <f>IF(ISNUMBER(AVERAGE('20250815_ETF_Options_Exhibits'!M2171:M2175)),AVERAGE('20250815_ETF_Options_Exhibits'!M2171:M2175),"")</f>
        <v/>
      </c>
      <c r="N2175" s="3">
        <f>IF(ISNUMBER(AVERAGE('20250815_ETF_Options_Exhibits'!N2171:N2175)),AVERAGE('20250815_ETF_Options_Exhibits'!N2171:N2175),"")</f>
        <v/>
      </c>
      <c r="O2175" s="3">
        <f>IF(ISNUMBER(AVERAGE('20250815_ETF_Options_Exhibits'!O2171:O2175)),AVERAGE('20250815_ETF_Options_Exhibits'!O2171:O2175),"")</f>
        <v/>
      </c>
      <c r="P2175" s="3">
        <f>IF(ISNUMBER(AVERAGE('20250815_ETF_Options_Exhibits'!P2171:P2175)),AVERAGE('20250815_ETF_Options_Exhibits'!P2171:P2175),"")</f>
        <v/>
      </c>
      <c r="Q2175" s="3">
        <f>IF(ISNUMBER(AVERAGE('20250815_ETF_Options_Exhibits'!Q2171:Q2175)),AVERAGE('20250815_ETF_Options_Exhibits'!Q2171:Q2175),"")</f>
        <v/>
      </c>
      <c r="R2175" s="3">
        <f>IF(ISNUMBER(AVERAGE('20250815_ETF_Options_Exhibits'!R2171:R2175)),AVERAGE('20250815_ETF_Options_Exhibits'!R2171:R2175),"")</f>
        <v/>
      </c>
      <c r="S2175" s="3">
        <f>IF(ISNUMBER(AVERAGE('20250815_ETF_Options_Exhibits'!S2171:S2175)),AVERAGE('20250815_ETF_Options_Exhibits'!S2171:S2175),"")</f>
        <v/>
      </c>
      <c r="T2175" s="3">
        <f>IF(ISNUMBER(AVERAGE('20250815_ETF_Options_Exhibits'!T2171:T2175)),AVERAGE('20250815_ETF_Options_Exhibits'!T2171:T2175),"")</f>
        <v/>
      </c>
      <c r="U2175" s="3">
        <f>IF(ISNUMBER(AVERAGE('20250815_ETF_Options_Exhibits'!U2171:U2175)),AVERAGE('20250815_ETF_Options_Exhibits'!U2171:U2175),"")</f>
        <v/>
      </c>
      <c r="V2175" s="3">
        <f>IF(ISNUMBER(AVERAGE('20250815_ETF_Options_Exhibits'!V2171:V2175)),AVERAGE('20250815_ETF_Options_Exhibits'!V2171:V2175),"")</f>
        <v/>
      </c>
      <c r="W2175" s="3">
        <f>IF(ISNUMBER(AVERAGE('20250815_ETF_Options_Exhibits'!W2171:W2175)),AVERAGE('20250815_ETF_Options_Exhibits'!W2171:W2175),"")</f>
        <v/>
      </c>
      <c r="X2175" s="3">
        <f>IF(ISNUMBER(AVERAGE('20250815_ETF_Options_Exhibits'!X2171:X2175)),AVERAGE('20250815_ETF_Options_Exhibits'!X2171:X2175),"")</f>
        <v/>
      </c>
      <c r="Y2175" s="3">
        <f>IF(ISNUMBER(AVERAGE('20250815_ETF_Options_Exhibits'!Y2171:Y2175)),AVERAGE('20250815_ETF_Options_Exhibits'!Y2171:Y2175),"")</f>
        <v/>
      </c>
      <c r="Z2175" s="3">
        <f>IF(ISNUMBER(AVERAGE('20250815_ETF_Options_Exhibits'!Z2171:Z2175)),AVERAGE('20250815_ETF_Options_Exhibits'!Z2171:Z2175),"")</f>
        <v/>
      </c>
      <c r="AA2175" s="3">
        <f>IF(ISNUMBER(AVERAGE('20250815_ETF_Options_Exhibits'!AA2171:AA2175)),AVERAGE('20250815_ETF_Options_Exhibits'!AA2171:AA2175),"")</f>
        <v/>
      </c>
    </row>
    <row r="2176">
      <c r="A2176" s="1" t="n">
        <v>45160</v>
      </c>
      <c r="B2176" s="3">
        <f>IF(ISNUMBER(AVERAGE('20250815_ETF_Options_Exhibits'!B2172:B2176)),AVERAGE('20250815_ETF_Options_Exhibits'!B2172:B2176),"")</f>
        <v/>
      </c>
      <c r="C2176" s="3">
        <f>IF(ISNUMBER(AVERAGE('20250815_ETF_Options_Exhibits'!C2172:C2176)),AVERAGE('20250815_ETF_Options_Exhibits'!C2172:C2176),"")</f>
        <v/>
      </c>
      <c r="D2176" s="3">
        <f>IF(ISNUMBER(AVERAGE('20250815_ETF_Options_Exhibits'!D2172:D2176)),AVERAGE('20250815_ETF_Options_Exhibits'!D2172:D2176),"")</f>
        <v/>
      </c>
      <c r="E2176" s="3">
        <f>IF(ISNUMBER(AVERAGE('20250815_ETF_Options_Exhibits'!E2172:E2176)),AVERAGE('20250815_ETF_Options_Exhibits'!E2172:E2176),"")</f>
        <v/>
      </c>
      <c r="F2176" s="3">
        <f>IF(ISNUMBER(AVERAGE('20250815_ETF_Options_Exhibits'!F2172:F2176)),AVERAGE('20250815_ETF_Options_Exhibits'!F2172:F2176),"")</f>
        <v/>
      </c>
      <c r="G2176" s="3">
        <f>IF(ISNUMBER(AVERAGE('20250815_ETF_Options_Exhibits'!G2172:G2176)),AVERAGE('20250815_ETF_Options_Exhibits'!G2172:G2176),"")</f>
        <v/>
      </c>
      <c r="H2176" s="3">
        <f>IF(ISNUMBER(AVERAGE('20250815_ETF_Options_Exhibits'!H2172:H2176)),AVERAGE('20250815_ETF_Options_Exhibits'!H2172:H2176),"")</f>
        <v/>
      </c>
      <c r="I2176" s="3">
        <f>IF(ISNUMBER(AVERAGE('20250815_ETF_Options_Exhibits'!I2172:I2176)),AVERAGE('20250815_ETF_Options_Exhibits'!I2172:I2176),"")</f>
        <v/>
      </c>
      <c r="J2176" s="3">
        <f>IF(ISNUMBER(AVERAGE('20250815_ETF_Options_Exhibits'!J2172:J2176)),AVERAGE('20250815_ETF_Options_Exhibits'!J2172:J2176),"")</f>
        <v/>
      </c>
      <c r="K2176" s="3">
        <f>IF(ISNUMBER(AVERAGE('20250815_ETF_Options_Exhibits'!K2172:K2176)),AVERAGE('20250815_ETF_Options_Exhibits'!K2172:K2176),"")</f>
        <v/>
      </c>
      <c r="L2176" s="3">
        <f>IF(ISNUMBER(AVERAGE('20250815_ETF_Options_Exhibits'!L2172:L2176)),AVERAGE('20250815_ETF_Options_Exhibits'!L2172:L2176),"")</f>
        <v/>
      </c>
      <c r="M2176" s="3">
        <f>IF(ISNUMBER(AVERAGE('20250815_ETF_Options_Exhibits'!M2172:M2176)),AVERAGE('20250815_ETF_Options_Exhibits'!M2172:M2176),"")</f>
        <v/>
      </c>
      <c r="N2176" s="3">
        <f>IF(ISNUMBER(AVERAGE('20250815_ETF_Options_Exhibits'!N2172:N2176)),AVERAGE('20250815_ETF_Options_Exhibits'!N2172:N2176),"")</f>
        <v/>
      </c>
      <c r="O2176" s="3">
        <f>IF(ISNUMBER(AVERAGE('20250815_ETF_Options_Exhibits'!O2172:O2176)),AVERAGE('20250815_ETF_Options_Exhibits'!O2172:O2176),"")</f>
        <v/>
      </c>
      <c r="P2176" s="3">
        <f>IF(ISNUMBER(AVERAGE('20250815_ETF_Options_Exhibits'!P2172:P2176)),AVERAGE('20250815_ETF_Options_Exhibits'!P2172:P2176),"")</f>
        <v/>
      </c>
      <c r="Q2176" s="3">
        <f>IF(ISNUMBER(AVERAGE('20250815_ETF_Options_Exhibits'!Q2172:Q2176)),AVERAGE('20250815_ETF_Options_Exhibits'!Q2172:Q2176),"")</f>
        <v/>
      </c>
      <c r="R2176" s="3">
        <f>IF(ISNUMBER(AVERAGE('20250815_ETF_Options_Exhibits'!R2172:R2176)),AVERAGE('20250815_ETF_Options_Exhibits'!R2172:R2176),"")</f>
        <v/>
      </c>
      <c r="S2176" s="3">
        <f>IF(ISNUMBER(AVERAGE('20250815_ETF_Options_Exhibits'!S2172:S2176)),AVERAGE('20250815_ETF_Options_Exhibits'!S2172:S2176),"")</f>
        <v/>
      </c>
      <c r="T2176" s="3">
        <f>IF(ISNUMBER(AVERAGE('20250815_ETF_Options_Exhibits'!T2172:T2176)),AVERAGE('20250815_ETF_Options_Exhibits'!T2172:T2176),"")</f>
        <v/>
      </c>
      <c r="U2176" s="3">
        <f>IF(ISNUMBER(AVERAGE('20250815_ETF_Options_Exhibits'!U2172:U2176)),AVERAGE('20250815_ETF_Options_Exhibits'!U2172:U2176),"")</f>
        <v/>
      </c>
      <c r="V2176" s="3">
        <f>IF(ISNUMBER(AVERAGE('20250815_ETF_Options_Exhibits'!V2172:V2176)),AVERAGE('20250815_ETF_Options_Exhibits'!V2172:V2176),"")</f>
        <v/>
      </c>
      <c r="W2176" s="3">
        <f>IF(ISNUMBER(AVERAGE('20250815_ETF_Options_Exhibits'!W2172:W2176)),AVERAGE('20250815_ETF_Options_Exhibits'!W2172:W2176),"")</f>
        <v/>
      </c>
      <c r="X2176" s="3">
        <f>IF(ISNUMBER(AVERAGE('20250815_ETF_Options_Exhibits'!X2172:X2176)),AVERAGE('20250815_ETF_Options_Exhibits'!X2172:X2176),"")</f>
        <v/>
      </c>
      <c r="Y2176" s="3">
        <f>IF(ISNUMBER(AVERAGE('20250815_ETF_Options_Exhibits'!Y2172:Y2176)),AVERAGE('20250815_ETF_Options_Exhibits'!Y2172:Y2176),"")</f>
        <v/>
      </c>
      <c r="Z2176" s="3">
        <f>IF(ISNUMBER(AVERAGE('20250815_ETF_Options_Exhibits'!Z2172:Z2176)),AVERAGE('20250815_ETF_Options_Exhibits'!Z2172:Z2176),"")</f>
        <v/>
      </c>
      <c r="AA2176" s="3">
        <f>IF(ISNUMBER(AVERAGE('20250815_ETF_Options_Exhibits'!AA2172:AA2176)),AVERAGE('20250815_ETF_Options_Exhibits'!AA2172:AA2176),"")</f>
        <v/>
      </c>
    </row>
    <row r="2177">
      <c r="A2177" s="1" t="n">
        <v>45161</v>
      </c>
      <c r="B2177" s="3">
        <f>IF(ISNUMBER(AVERAGE('20250815_ETF_Options_Exhibits'!B2173:B2177)),AVERAGE('20250815_ETF_Options_Exhibits'!B2173:B2177),"")</f>
        <v/>
      </c>
      <c r="C2177" s="3">
        <f>IF(ISNUMBER(AVERAGE('20250815_ETF_Options_Exhibits'!C2173:C2177)),AVERAGE('20250815_ETF_Options_Exhibits'!C2173:C2177),"")</f>
        <v/>
      </c>
      <c r="D2177" s="3">
        <f>IF(ISNUMBER(AVERAGE('20250815_ETF_Options_Exhibits'!D2173:D2177)),AVERAGE('20250815_ETF_Options_Exhibits'!D2173:D2177),"")</f>
        <v/>
      </c>
      <c r="E2177" s="3">
        <f>IF(ISNUMBER(AVERAGE('20250815_ETF_Options_Exhibits'!E2173:E2177)),AVERAGE('20250815_ETF_Options_Exhibits'!E2173:E2177),"")</f>
        <v/>
      </c>
      <c r="F2177" s="3">
        <f>IF(ISNUMBER(AVERAGE('20250815_ETF_Options_Exhibits'!F2173:F2177)),AVERAGE('20250815_ETF_Options_Exhibits'!F2173:F2177),"")</f>
        <v/>
      </c>
      <c r="G2177" s="3">
        <f>IF(ISNUMBER(AVERAGE('20250815_ETF_Options_Exhibits'!G2173:G2177)),AVERAGE('20250815_ETF_Options_Exhibits'!G2173:G2177),"")</f>
        <v/>
      </c>
      <c r="H2177" s="3">
        <f>IF(ISNUMBER(AVERAGE('20250815_ETF_Options_Exhibits'!H2173:H2177)),AVERAGE('20250815_ETF_Options_Exhibits'!H2173:H2177),"")</f>
        <v/>
      </c>
      <c r="I2177" s="3">
        <f>IF(ISNUMBER(AVERAGE('20250815_ETF_Options_Exhibits'!I2173:I2177)),AVERAGE('20250815_ETF_Options_Exhibits'!I2173:I2177),"")</f>
        <v/>
      </c>
      <c r="J2177" s="3">
        <f>IF(ISNUMBER(AVERAGE('20250815_ETF_Options_Exhibits'!J2173:J2177)),AVERAGE('20250815_ETF_Options_Exhibits'!J2173:J2177),"")</f>
        <v/>
      </c>
      <c r="K2177" s="3">
        <f>IF(ISNUMBER(AVERAGE('20250815_ETF_Options_Exhibits'!K2173:K2177)),AVERAGE('20250815_ETF_Options_Exhibits'!K2173:K2177),"")</f>
        <v/>
      </c>
      <c r="L2177" s="3">
        <f>IF(ISNUMBER(AVERAGE('20250815_ETF_Options_Exhibits'!L2173:L2177)),AVERAGE('20250815_ETF_Options_Exhibits'!L2173:L2177),"")</f>
        <v/>
      </c>
      <c r="M2177" s="3">
        <f>IF(ISNUMBER(AVERAGE('20250815_ETF_Options_Exhibits'!M2173:M2177)),AVERAGE('20250815_ETF_Options_Exhibits'!M2173:M2177),"")</f>
        <v/>
      </c>
      <c r="N2177" s="3">
        <f>IF(ISNUMBER(AVERAGE('20250815_ETF_Options_Exhibits'!N2173:N2177)),AVERAGE('20250815_ETF_Options_Exhibits'!N2173:N2177),"")</f>
        <v/>
      </c>
      <c r="O2177" s="3">
        <f>IF(ISNUMBER(AVERAGE('20250815_ETF_Options_Exhibits'!O2173:O2177)),AVERAGE('20250815_ETF_Options_Exhibits'!O2173:O2177),"")</f>
        <v/>
      </c>
      <c r="P2177" s="3">
        <f>IF(ISNUMBER(AVERAGE('20250815_ETF_Options_Exhibits'!P2173:P2177)),AVERAGE('20250815_ETF_Options_Exhibits'!P2173:P2177),"")</f>
        <v/>
      </c>
      <c r="Q2177" s="3">
        <f>IF(ISNUMBER(AVERAGE('20250815_ETF_Options_Exhibits'!Q2173:Q2177)),AVERAGE('20250815_ETF_Options_Exhibits'!Q2173:Q2177),"")</f>
        <v/>
      </c>
      <c r="R2177" s="3">
        <f>IF(ISNUMBER(AVERAGE('20250815_ETF_Options_Exhibits'!R2173:R2177)),AVERAGE('20250815_ETF_Options_Exhibits'!R2173:R2177),"")</f>
        <v/>
      </c>
      <c r="S2177" s="3">
        <f>IF(ISNUMBER(AVERAGE('20250815_ETF_Options_Exhibits'!S2173:S2177)),AVERAGE('20250815_ETF_Options_Exhibits'!S2173:S2177),"")</f>
        <v/>
      </c>
      <c r="T2177" s="3">
        <f>IF(ISNUMBER(AVERAGE('20250815_ETF_Options_Exhibits'!T2173:T2177)),AVERAGE('20250815_ETF_Options_Exhibits'!T2173:T2177),"")</f>
        <v/>
      </c>
      <c r="U2177" s="3">
        <f>IF(ISNUMBER(AVERAGE('20250815_ETF_Options_Exhibits'!U2173:U2177)),AVERAGE('20250815_ETF_Options_Exhibits'!U2173:U2177),"")</f>
        <v/>
      </c>
      <c r="V2177" s="3">
        <f>IF(ISNUMBER(AVERAGE('20250815_ETF_Options_Exhibits'!V2173:V2177)),AVERAGE('20250815_ETF_Options_Exhibits'!V2173:V2177),"")</f>
        <v/>
      </c>
      <c r="W2177" s="3">
        <f>IF(ISNUMBER(AVERAGE('20250815_ETF_Options_Exhibits'!W2173:W2177)),AVERAGE('20250815_ETF_Options_Exhibits'!W2173:W2177),"")</f>
        <v/>
      </c>
      <c r="X2177" s="3">
        <f>IF(ISNUMBER(AVERAGE('20250815_ETF_Options_Exhibits'!X2173:X2177)),AVERAGE('20250815_ETF_Options_Exhibits'!X2173:X2177),"")</f>
        <v/>
      </c>
      <c r="Y2177" s="3">
        <f>IF(ISNUMBER(AVERAGE('20250815_ETF_Options_Exhibits'!Y2173:Y2177)),AVERAGE('20250815_ETF_Options_Exhibits'!Y2173:Y2177),"")</f>
        <v/>
      </c>
      <c r="Z2177" s="3">
        <f>IF(ISNUMBER(AVERAGE('20250815_ETF_Options_Exhibits'!Z2173:Z2177)),AVERAGE('20250815_ETF_Options_Exhibits'!Z2173:Z2177),"")</f>
        <v/>
      </c>
      <c r="AA2177" s="3">
        <f>IF(ISNUMBER(AVERAGE('20250815_ETF_Options_Exhibits'!AA2173:AA2177)),AVERAGE('20250815_ETF_Options_Exhibits'!AA2173:AA2177),"")</f>
        <v/>
      </c>
    </row>
    <row r="2178">
      <c r="A2178" s="1" t="n">
        <v>45162</v>
      </c>
      <c r="B2178" s="3">
        <f>IF(ISNUMBER(AVERAGE('20250815_ETF_Options_Exhibits'!B2174:B2178)),AVERAGE('20250815_ETF_Options_Exhibits'!B2174:B2178),"")</f>
        <v/>
      </c>
      <c r="C2178" s="3">
        <f>IF(ISNUMBER(AVERAGE('20250815_ETF_Options_Exhibits'!C2174:C2178)),AVERAGE('20250815_ETF_Options_Exhibits'!C2174:C2178),"")</f>
        <v/>
      </c>
      <c r="D2178" s="3">
        <f>IF(ISNUMBER(AVERAGE('20250815_ETF_Options_Exhibits'!D2174:D2178)),AVERAGE('20250815_ETF_Options_Exhibits'!D2174:D2178),"")</f>
        <v/>
      </c>
      <c r="E2178" s="3">
        <f>IF(ISNUMBER(AVERAGE('20250815_ETF_Options_Exhibits'!E2174:E2178)),AVERAGE('20250815_ETF_Options_Exhibits'!E2174:E2178),"")</f>
        <v/>
      </c>
      <c r="F2178" s="3">
        <f>IF(ISNUMBER(AVERAGE('20250815_ETF_Options_Exhibits'!F2174:F2178)),AVERAGE('20250815_ETF_Options_Exhibits'!F2174:F2178),"")</f>
        <v/>
      </c>
      <c r="G2178" s="3">
        <f>IF(ISNUMBER(AVERAGE('20250815_ETF_Options_Exhibits'!G2174:G2178)),AVERAGE('20250815_ETF_Options_Exhibits'!G2174:G2178),"")</f>
        <v/>
      </c>
      <c r="H2178" s="3">
        <f>IF(ISNUMBER(AVERAGE('20250815_ETF_Options_Exhibits'!H2174:H2178)),AVERAGE('20250815_ETF_Options_Exhibits'!H2174:H2178),"")</f>
        <v/>
      </c>
      <c r="I2178" s="3">
        <f>IF(ISNUMBER(AVERAGE('20250815_ETF_Options_Exhibits'!I2174:I2178)),AVERAGE('20250815_ETF_Options_Exhibits'!I2174:I2178),"")</f>
        <v/>
      </c>
      <c r="J2178" s="3">
        <f>IF(ISNUMBER(AVERAGE('20250815_ETF_Options_Exhibits'!J2174:J2178)),AVERAGE('20250815_ETF_Options_Exhibits'!J2174:J2178),"")</f>
        <v/>
      </c>
      <c r="K2178" s="3">
        <f>IF(ISNUMBER(AVERAGE('20250815_ETF_Options_Exhibits'!K2174:K2178)),AVERAGE('20250815_ETF_Options_Exhibits'!K2174:K2178),"")</f>
        <v/>
      </c>
      <c r="L2178" s="3">
        <f>IF(ISNUMBER(AVERAGE('20250815_ETF_Options_Exhibits'!L2174:L2178)),AVERAGE('20250815_ETF_Options_Exhibits'!L2174:L2178),"")</f>
        <v/>
      </c>
      <c r="M2178" s="3">
        <f>IF(ISNUMBER(AVERAGE('20250815_ETF_Options_Exhibits'!M2174:M2178)),AVERAGE('20250815_ETF_Options_Exhibits'!M2174:M2178),"")</f>
        <v/>
      </c>
      <c r="N2178" s="3">
        <f>IF(ISNUMBER(AVERAGE('20250815_ETF_Options_Exhibits'!N2174:N2178)),AVERAGE('20250815_ETF_Options_Exhibits'!N2174:N2178),"")</f>
        <v/>
      </c>
      <c r="O2178" s="3">
        <f>IF(ISNUMBER(AVERAGE('20250815_ETF_Options_Exhibits'!O2174:O2178)),AVERAGE('20250815_ETF_Options_Exhibits'!O2174:O2178),"")</f>
        <v/>
      </c>
      <c r="P2178" s="3">
        <f>IF(ISNUMBER(AVERAGE('20250815_ETF_Options_Exhibits'!P2174:P2178)),AVERAGE('20250815_ETF_Options_Exhibits'!P2174:P2178),"")</f>
        <v/>
      </c>
      <c r="Q2178" s="3">
        <f>IF(ISNUMBER(AVERAGE('20250815_ETF_Options_Exhibits'!Q2174:Q2178)),AVERAGE('20250815_ETF_Options_Exhibits'!Q2174:Q2178),"")</f>
        <v/>
      </c>
      <c r="R2178" s="3">
        <f>IF(ISNUMBER(AVERAGE('20250815_ETF_Options_Exhibits'!R2174:R2178)),AVERAGE('20250815_ETF_Options_Exhibits'!R2174:R2178),"")</f>
        <v/>
      </c>
      <c r="S2178" s="3">
        <f>IF(ISNUMBER(AVERAGE('20250815_ETF_Options_Exhibits'!S2174:S2178)),AVERAGE('20250815_ETF_Options_Exhibits'!S2174:S2178),"")</f>
        <v/>
      </c>
      <c r="T2178" s="3">
        <f>IF(ISNUMBER(AVERAGE('20250815_ETF_Options_Exhibits'!T2174:T2178)),AVERAGE('20250815_ETF_Options_Exhibits'!T2174:T2178),"")</f>
        <v/>
      </c>
      <c r="U2178" s="3">
        <f>IF(ISNUMBER(AVERAGE('20250815_ETF_Options_Exhibits'!U2174:U2178)),AVERAGE('20250815_ETF_Options_Exhibits'!U2174:U2178),"")</f>
        <v/>
      </c>
      <c r="V2178" s="3">
        <f>IF(ISNUMBER(AVERAGE('20250815_ETF_Options_Exhibits'!V2174:V2178)),AVERAGE('20250815_ETF_Options_Exhibits'!V2174:V2178),"")</f>
        <v/>
      </c>
      <c r="W2178" s="3">
        <f>IF(ISNUMBER(AVERAGE('20250815_ETF_Options_Exhibits'!W2174:W2178)),AVERAGE('20250815_ETF_Options_Exhibits'!W2174:W2178),"")</f>
        <v/>
      </c>
      <c r="X2178" s="3">
        <f>IF(ISNUMBER(AVERAGE('20250815_ETF_Options_Exhibits'!X2174:X2178)),AVERAGE('20250815_ETF_Options_Exhibits'!X2174:X2178),"")</f>
        <v/>
      </c>
      <c r="Y2178" s="3">
        <f>IF(ISNUMBER(AVERAGE('20250815_ETF_Options_Exhibits'!Y2174:Y2178)),AVERAGE('20250815_ETF_Options_Exhibits'!Y2174:Y2178),"")</f>
        <v/>
      </c>
      <c r="Z2178" s="3">
        <f>IF(ISNUMBER(AVERAGE('20250815_ETF_Options_Exhibits'!Z2174:Z2178)),AVERAGE('20250815_ETF_Options_Exhibits'!Z2174:Z2178),"")</f>
        <v/>
      </c>
      <c r="AA2178" s="3">
        <f>IF(ISNUMBER(AVERAGE('20250815_ETF_Options_Exhibits'!AA2174:AA2178)),AVERAGE('20250815_ETF_Options_Exhibits'!AA2174:AA2178),"")</f>
        <v/>
      </c>
    </row>
    <row r="2179">
      <c r="A2179" s="1" t="n">
        <v>45163</v>
      </c>
      <c r="B2179" s="3">
        <f>IF(ISNUMBER(AVERAGE('20250815_ETF_Options_Exhibits'!B2175:B2179)),AVERAGE('20250815_ETF_Options_Exhibits'!B2175:B2179),"")</f>
        <v/>
      </c>
      <c r="C2179" s="3">
        <f>IF(ISNUMBER(AVERAGE('20250815_ETF_Options_Exhibits'!C2175:C2179)),AVERAGE('20250815_ETF_Options_Exhibits'!C2175:C2179),"")</f>
        <v/>
      </c>
      <c r="D2179" s="3">
        <f>IF(ISNUMBER(AVERAGE('20250815_ETF_Options_Exhibits'!D2175:D2179)),AVERAGE('20250815_ETF_Options_Exhibits'!D2175:D2179),"")</f>
        <v/>
      </c>
      <c r="E2179" s="3">
        <f>IF(ISNUMBER(AVERAGE('20250815_ETF_Options_Exhibits'!E2175:E2179)),AVERAGE('20250815_ETF_Options_Exhibits'!E2175:E2179),"")</f>
        <v/>
      </c>
      <c r="F2179" s="3">
        <f>IF(ISNUMBER(AVERAGE('20250815_ETF_Options_Exhibits'!F2175:F2179)),AVERAGE('20250815_ETF_Options_Exhibits'!F2175:F2179),"")</f>
        <v/>
      </c>
      <c r="G2179" s="3">
        <f>IF(ISNUMBER(AVERAGE('20250815_ETF_Options_Exhibits'!G2175:G2179)),AVERAGE('20250815_ETF_Options_Exhibits'!G2175:G2179),"")</f>
        <v/>
      </c>
      <c r="H2179" s="3">
        <f>IF(ISNUMBER(AVERAGE('20250815_ETF_Options_Exhibits'!H2175:H2179)),AVERAGE('20250815_ETF_Options_Exhibits'!H2175:H2179),"")</f>
        <v/>
      </c>
      <c r="I2179" s="3">
        <f>IF(ISNUMBER(AVERAGE('20250815_ETF_Options_Exhibits'!I2175:I2179)),AVERAGE('20250815_ETF_Options_Exhibits'!I2175:I2179),"")</f>
        <v/>
      </c>
      <c r="J2179" s="3">
        <f>IF(ISNUMBER(AVERAGE('20250815_ETF_Options_Exhibits'!J2175:J2179)),AVERAGE('20250815_ETF_Options_Exhibits'!J2175:J2179),"")</f>
        <v/>
      </c>
      <c r="K2179" s="3">
        <f>IF(ISNUMBER(AVERAGE('20250815_ETF_Options_Exhibits'!K2175:K2179)),AVERAGE('20250815_ETF_Options_Exhibits'!K2175:K2179),"")</f>
        <v/>
      </c>
      <c r="L2179" s="3">
        <f>IF(ISNUMBER(AVERAGE('20250815_ETF_Options_Exhibits'!L2175:L2179)),AVERAGE('20250815_ETF_Options_Exhibits'!L2175:L2179),"")</f>
        <v/>
      </c>
      <c r="M2179" s="3">
        <f>IF(ISNUMBER(AVERAGE('20250815_ETF_Options_Exhibits'!M2175:M2179)),AVERAGE('20250815_ETF_Options_Exhibits'!M2175:M2179),"")</f>
        <v/>
      </c>
      <c r="N2179" s="3">
        <f>IF(ISNUMBER(AVERAGE('20250815_ETF_Options_Exhibits'!N2175:N2179)),AVERAGE('20250815_ETF_Options_Exhibits'!N2175:N2179),"")</f>
        <v/>
      </c>
      <c r="O2179" s="3">
        <f>IF(ISNUMBER(AVERAGE('20250815_ETF_Options_Exhibits'!O2175:O2179)),AVERAGE('20250815_ETF_Options_Exhibits'!O2175:O2179),"")</f>
        <v/>
      </c>
      <c r="P2179" s="3">
        <f>IF(ISNUMBER(AVERAGE('20250815_ETF_Options_Exhibits'!P2175:P2179)),AVERAGE('20250815_ETF_Options_Exhibits'!P2175:P2179),"")</f>
        <v/>
      </c>
      <c r="Q2179" s="3">
        <f>IF(ISNUMBER(AVERAGE('20250815_ETF_Options_Exhibits'!Q2175:Q2179)),AVERAGE('20250815_ETF_Options_Exhibits'!Q2175:Q2179),"")</f>
        <v/>
      </c>
      <c r="R2179" s="3">
        <f>IF(ISNUMBER(AVERAGE('20250815_ETF_Options_Exhibits'!R2175:R2179)),AVERAGE('20250815_ETF_Options_Exhibits'!R2175:R2179),"")</f>
        <v/>
      </c>
      <c r="S2179" s="3">
        <f>IF(ISNUMBER(AVERAGE('20250815_ETF_Options_Exhibits'!S2175:S2179)),AVERAGE('20250815_ETF_Options_Exhibits'!S2175:S2179),"")</f>
        <v/>
      </c>
      <c r="T2179" s="3">
        <f>IF(ISNUMBER(AVERAGE('20250815_ETF_Options_Exhibits'!T2175:T2179)),AVERAGE('20250815_ETF_Options_Exhibits'!T2175:T2179),"")</f>
        <v/>
      </c>
      <c r="U2179" s="3">
        <f>IF(ISNUMBER(AVERAGE('20250815_ETF_Options_Exhibits'!U2175:U2179)),AVERAGE('20250815_ETF_Options_Exhibits'!U2175:U2179),"")</f>
        <v/>
      </c>
      <c r="V2179" s="3">
        <f>IF(ISNUMBER(AVERAGE('20250815_ETF_Options_Exhibits'!V2175:V2179)),AVERAGE('20250815_ETF_Options_Exhibits'!V2175:V2179),"")</f>
        <v/>
      </c>
      <c r="W2179" s="3">
        <f>IF(ISNUMBER(AVERAGE('20250815_ETF_Options_Exhibits'!W2175:W2179)),AVERAGE('20250815_ETF_Options_Exhibits'!W2175:W2179),"")</f>
        <v/>
      </c>
      <c r="X2179" s="3">
        <f>IF(ISNUMBER(AVERAGE('20250815_ETF_Options_Exhibits'!X2175:X2179)),AVERAGE('20250815_ETF_Options_Exhibits'!X2175:X2179),"")</f>
        <v/>
      </c>
      <c r="Y2179" s="3">
        <f>IF(ISNUMBER(AVERAGE('20250815_ETF_Options_Exhibits'!Y2175:Y2179)),AVERAGE('20250815_ETF_Options_Exhibits'!Y2175:Y2179),"")</f>
        <v/>
      </c>
      <c r="Z2179" s="3">
        <f>IF(ISNUMBER(AVERAGE('20250815_ETF_Options_Exhibits'!Z2175:Z2179)),AVERAGE('20250815_ETF_Options_Exhibits'!Z2175:Z2179),"")</f>
        <v/>
      </c>
      <c r="AA2179" s="3">
        <f>IF(ISNUMBER(AVERAGE('20250815_ETF_Options_Exhibits'!AA2175:AA2179)),AVERAGE('20250815_ETF_Options_Exhibits'!AA2175:AA2179),"")</f>
        <v/>
      </c>
    </row>
    <row r="2180">
      <c r="A2180" s="1" t="n">
        <v>45166</v>
      </c>
      <c r="B2180" s="3">
        <f>IF(ISNUMBER(AVERAGE('20250815_ETF_Options_Exhibits'!B2176:B2180)),AVERAGE('20250815_ETF_Options_Exhibits'!B2176:B2180),"")</f>
        <v/>
      </c>
      <c r="C2180" s="3">
        <f>IF(ISNUMBER(AVERAGE('20250815_ETF_Options_Exhibits'!C2176:C2180)),AVERAGE('20250815_ETF_Options_Exhibits'!C2176:C2180),"")</f>
        <v/>
      </c>
      <c r="D2180" s="3">
        <f>IF(ISNUMBER(AVERAGE('20250815_ETF_Options_Exhibits'!D2176:D2180)),AVERAGE('20250815_ETF_Options_Exhibits'!D2176:D2180),"")</f>
        <v/>
      </c>
      <c r="E2180" s="3">
        <f>IF(ISNUMBER(AVERAGE('20250815_ETF_Options_Exhibits'!E2176:E2180)),AVERAGE('20250815_ETF_Options_Exhibits'!E2176:E2180),"")</f>
        <v/>
      </c>
      <c r="F2180" s="3">
        <f>IF(ISNUMBER(AVERAGE('20250815_ETF_Options_Exhibits'!F2176:F2180)),AVERAGE('20250815_ETF_Options_Exhibits'!F2176:F2180),"")</f>
        <v/>
      </c>
      <c r="G2180" s="3">
        <f>IF(ISNUMBER(AVERAGE('20250815_ETF_Options_Exhibits'!G2176:G2180)),AVERAGE('20250815_ETF_Options_Exhibits'!G2176:G2180),"")</f>
        <v/>
      </c>
      <c r="H2180" s="3">
        <f>IF(ISNUMBER(AVERAGE('20250815_ETF_Options_Exhibits'!H2176:H2180)),AVERAGE('20250815_ETF_Options_Exhibits'!H2176:H2180),"")</f>
        <v/>
      </c>
      <c r="I2180" s="3">
        <f>IF(ISNUMBER(AVERAGE('20250815_ETF_Options_Exhibits'!I2176:I2180)),AVERAGE('20250815_ETF_Options_Exhibits'!I2176:I2180),"")</f>
        <v/>
      </c>
      <c r="J2180" s="3">
        <f>IF(ISNUMBER(AVERAGE('20250815_ETF_Options_Exhibits'!J2176:J2180)),AVERAGE('20250815_ETF_Options_Exhibits'!J2176:J2180),"")</f>
        <v/>
      </c>
      <c r="K2180" s="3">
        <f>IF(ISNUMBER(AVERAGE('20250815_ETF_Options_Exhibits'!K2176:K2180)),AVERAGE('20250815_ETF_Options_Exhibits'!K2176:K2180),"")</f>
        <v/>
      </c>
      <c r="L2180" s="3">
        <f>IF(ISNUMBER(AVERAGE('20250815_ETF_Options_Exhibits'!L2176:L2180)),AVERAGE('20250815_ETF_Options_Exhibits'!L2176:L2180),"")</f>
        <v/>
      </c>
      <c r="M2180" s="3">
        <f>IF(ISNUMBER(AVERAGE('20250815_ETF_Options_Exhibits'!M2176:M2180)),AVERAGE('20250815_ETF_Options_Exhibits'!M2176:M2180),"")</f>
        <v/>
      </c>
      <c r="N2180" s="3">
        <f>IF(ISNUMBER(AVERAGE('20250815_ETF_Options_Exhibits'!N2176:N2180)),AVERAGE('20250815_ETF_Options_Exhibits'!N2176:N2180),"")</f>
        <v/>
      </c>
      <c r="O2180" s="3">
        <f>IF(ISNUMBER(AVERAGE('20250815_ETF_Options_Exhibits'!O2176:O2180)),AVERAGE('20250815_ETF_Options_Exhibits'!O2176:O2180),"")</f>
        <v/>
      </c>
      <c r="P2180" s="3">
        <f>IF(ISNUMBER(AVERAGE('20250815_ETF_Options_Exhibits'!P2176:P2180)),AVERAGE('20250815_ETF_Options_Exhibits'!P2176:P2180),"")</f>
        <v/>
      </c>
      <c r="Q2180" s="3">
        <f>IF(ISNUMBER(AVERAGE('20250815_ETF_Options_Exhibits'!Q2176:Q2180)),AVERAGE('20250815_ETF_Options_Exhibits'!Q2176:Q2180),"")</f>
        <v/>
      </c>
      <c r="R2180" s="3">
        <f>IF(ISNUMBER(AVERAGE('20250815_ETF_Options_Exhibits'!R2176:R2180)),AVERAGE('20250815_ETF_Options_Exhibits'!R2176:R2180),"")</f>
        <v/>
      </c>
      <c r="S2180" s="3">
        <f>IF(ISNUMBER(AVERAGE('20250815_ETF_Options_Exhibits'!S2176:S2180)),AVERAGE('20250815_ETF_Options_Exhibits'!S2176:S2180),"")</f>
        <v/>
      </c>
      <c r="T2180" s="3">
        <f>IF(ISNUMBER(AVERAGE('20250815_ETF_Options_Exhibits'!T2176:T2180)),AVERAGE('20250815_ETF_Options_Exhibits'!T2176:T2180),"")</f>
        <v/>
      </c>
      <c r="U2180" s="3">
        <f>IF(ISNUMBER(AVERAGE('20250815_ETF_Options_Exhibits'!U2176:U2180)),AVERAGE('20250815_ETF_Options_Exhibits'!U2176:U2180),"")</f>
        <v/>
      </c>
      <c r="V2180" s="3">
        <f>IF(ISNUMBER(AVERAGE('20250815_ETF_Options_Exhibits'!V2176:V2180)),AVERAGE('20250815_ETF_Options_Exhibits'!V2176:V2180),"")</f>
        <v/>
      </c>
      <c r="W2180" s="3">
        <f>IF(ISNUMBER(AVERAGE('20250815_ETF_Options_Exhibits'!W2176:W2180)),AVERAGE('20250815_ETF_Options_Exhibits'!W2176:W2180),"")</f>
        <v/>
      </c>
      <c r="X2180" s="3">
        <f>IF(ISNUMBER(AVERAGE('20250815_ETF_Options_Exhibits'!X2176:X2180)),AVERAGE('20250815_ETF_Options_Exhibits'!X2176:X2180),"")</f>
        <v/>
      </c>
      <c r="Y2180" s="3">
        <f>IF(ISNUMBER(AVERAGE('20250815_ETF_Options_Exhibits'!Y2176:Y2180)),AVERAGE('20250815_ETF_Options_Exhibits'!Y2176:Y2180),"")</f>
        <v/>
      </c>
      <c r="Z2180" s="3">
        <f>IF(ISNUMBER(AVERAGE('20250815_ETF_Options_Exhibits'!Z2176:Z2180)),AVERAGE('20250815_ETF_Options_Exhibits'!Z2176:Z2180),"")</f>
        <v/>
      </c>
      <c r="AA2180" s="3">
        <f>IF(ISNUMBER(AVERAGE('20250815_ETF_Options_Exhibits'!AA2176:AA2180)),AVERAGE('20250815_ETF_Options_Exhibits'!AA2176:AA2180),"")</f>
        <v/>
      </c>
    </row>
    <row r="2181">
      <c r="A2181" s="1" t="n">
        <v>45167</v>
      </c>
      <c r="B2181" s="3">
        <f>IF(ISNUMBER(AVERAGE('20250815_ETF_Options_Exhibits'!B2177:B2181)),AVERAGE('20250815_ETF_Options_Exhibits'!B2177:B2181),"")</f>
        <v/>
      </c>
      <c r="C2181" s="3">
        <f>IF(ISNUMBER(AVERAGE('20250815_ETF_Options_Exhibits'!C2177:C2181)),AVERAGE('20250815_ETF_Options_Exhibits'!C2177:C2181),"")</f>
        <v/>
      </c>
      <c r="D2181" s="3">
        <f>IF(ISNUMBER(AVERAGE('20250815_ETF_Options_Exhibits'!D2177:D2181)),AVERAGE('20250815_ETF_Options_Exhibits'!D2177:D2181),"")</f>
        <v/>
      </c>
      <c r="E2181" s="3">
        <f>IF(ISNUMBER(AVERAGE('20250815_ETF_Options_Exhibits'!E2177:E2181)),AVERAGE('20250815_ETF_Options_Exhibits'!E2177:E2181),"")</f>
        <v/>
      </c>
      <c r="F2181" s="3">
        <f>IF(ISNUMBER(AVERAGE('20250815_ETF_Options_Exhibits'!F2177:F2181)),AVERAGE('20250815_ETF_Options_Exhibits'!F2177:F2181),"")</f>
        <v/>
      </c>
      <c r="G2181" s="3">
        <f>IF(ISNUMBER(AVERAGE('20250815_ETF_Options_Exhibits'!G2177:G2181)),AVERAGE('20250815_ETF_Options_Exhibits'!G2177:G2181),"")</f>
        <v/>
      </c>
      <c r="H2181" s="3">
        <f>IF(ISNUMBER(AVERAGE('20250815_ETF_Options_Exhibits'!H2177:H2181)),AVERAGE('20250815_ETF_Options_Exhibits'!H2177:H2181),"")</f>
        <v/>
      </c>
      <c r="I2181" s="3">
        <f>IF(ISNUMBER(AVERAGE('20250815_ETF_Options_Exhibits'!I2177:I2181)),AVERAGE('20250815_ETF_Options_Exhibits'!I2177:I2181),"")</f>
        <v/>
      </c>
      <c r="J2181" s="3">
        <f>IF(ISNUMBER(AVERAGE('20250815_ETF_Options_Exhibits'!J2177:J2181)),AVERAGE('20250815_ETF_Options_Exhibits'!J2177:J2181),"")</f>
        <v/>
      </c>
      <c r="K2181" s="3">
        <f>IF(ISNUMBER(AVERAGE('20250815_ETF_Options_Exhibits'!K2177:K2181)),AVERAGE('20250815_ETF_Options_Exhibits'!K2177:K2181),"")</f>
        <v/>
      </c>
      <c r="L2181" s="3">
        <f>IF(ISNUMBER(AVERAGE('20250815_ETF_Options_Exhibits'!L2177:L2181)),AVERAGE('20250815_ETF_Options_Exhibits'!L2177:L2181),"")</f>
        <v/>
      </c>
      <c r="M2181" s="3">
        <f>IF(ISNUMBER(AVERAGE('20250815_ETF_Options_Exhibits'!M2177:M2181)),AVERAGE('20250815_ETF_Options_Exhibits'!M2177:M2181),"")</f>
        <v/>
      </c>
      <c r="N2181" s="3">
        <f>IF(ISNUMBER(AVERAGE('20250815_ETF_Options_Exhibits'!N2177:N2181)),AVERAGE('20250815_ETF_Options_Exhibits'!N2177:N2181),"")</f>
        <v/>
      </c>
      <c r="O2181" s="3">
        <f>IF(ISNUMBER(AVERAGE('20250815_ETF_Options_Exhibits'!O2177:O2181)),AVERAGE('20250815_ETF_Options_Exhibits'!O2177:O2181),"")</f>
        <v/>
      </c>
      <c r="P2181" s="3">
        <f>IF(ISNUMBER(AVERAGE('20250815_ETF_Options_Exhibits'!P2177:P2181)),AVERAGE('20250815_ETF_Options_Exhibits'!P2177:P2181),"")</f>
        <v/>
      </c>
      <c r="Q2181" s="3">
        <f>IF(ISNUMBER(AVERAGE('20250815_ETF_Options_Exhibits'!Q2177:Q2181)),AVERAGE('20250815_ETF_Options_Exhibits'!Q2177:Q2181),"")</f>
        <v/>
      </c>
      <c r="R2181" s="3">
        <f>IF(ISNUMBER(AVERAGE('20250815_ETF_Options_Exhibits'!R2177:R2181)),AVERAGE('20250815_ETF_Options_Exhibits'!R2177:R2181),"")</f>
        <v/>
      </c>
      <c r="S2181" s="3">
        <f>IF(ISNUMBER(AVERAGE('20250815_ETF_Options_Exhibits'!S2177:S2181)),AVERAGE('20250815_ETF_Options_Exhibits'!S2177:S2181),"")</f>
        <v/>
      </c>
      <c r="T2181" s="3">
        <f>IF(ISNUMBER(AVERAGE('20250815_ETF_Options_Exhibits'!T2177:T2181)),AVERAGE('20250815_ETF_Options_Exhibits'!T2177:T2181),"")</f>
        <v/>
      </c>
      <c r="U2181" s="3">
        <f>IF(ISNUMBER(AVERAGE('20250815_ETF_Options_Exhibits'!U2177:U2181)),AVERAGE('20250815_ETF_Options_Exhibits'!U2177:U2181),"")</f>
        <v/>
      </c>
      <c r="V2181" s="3">
        <f>IF(ISNUMBER(AVERAGE('20250815_ETF_Options_Exhibits'!V2177:V2181)),AVERAGE('20250815_ETF_Options_Exhibits'!V2177:V2181),"")</f>
        <v/>
      </c>
      <c r="W2181" s="3">
        <f>IF(ISNUMBER(AVERAGE('20250815_ETF_Options_Exhibits'!W2177:W2181)),AVERAGE('20250815_ETF_Options_Exhibits'!W2177:W2181),"")</f>
        <v/>
      </c>
      <c r="X2181" s="3">
        <f>IF(ISNUMBER(AVERAGE('20250815_ETF_Options_Exhibits'!X2177:X2181)),AVERAGE('20250815_ETF_Options_Exhibits'!X2177:X2181),"")</f>
        <v/>
      </c>
      <c r="Y2181" s="3">
        <f>IF(ISNUMBER(AVERAGE('20250815_ETF_Options_Exhibits'!Y2177:Y2181)),AVERAGE('20250815_ETF_Options_Exhibits'!Y2177:Y2181),"")</f>
        <v/>
      </c>
      <c r="Z2181" s="3">
        <f>IF(ISNUMBER(AVERAGE('20250815_ETF_Options_Exhibits'!Z2177:Z2181)),AVERAGE('20250815_ETF_Options_Exhibits'!Z2177:Z2181),"")</f>
        <v/>
      </c>
      <c r="AA2181" s="3">
        <f>IF(ISNUMBER(AVERAGE('20250815_ETF_Options_Exhibits'!AA2177:AA2181)),AVERAGE('20250815_ETF_Options_Exhibits'!AA2177:AA2181),"")</f>
        <v/>
      </c>
    </row>
    <row r="2182">
      <c r="A2182" s="1" t="n">
        <v>45168</v>
      </c>
      <c r="B2182" s="3">
        <f>IF(ISNUMBER(AVERAGE('20250815_ETF_Options_Exhibits'!B2178:B2182)),AVERAGE('20250815_ETF_Options_Exhibits'!B2178:B2182),"")</f>
        <v/>
      </c>
      <c r="C2182" s="3">
        <f>IF(ISNUMBER(AVERAGE('20250815_ETF_Options_Exhibits'!C2178:C2182)),AVERAGE('20250815_ETF_Options_Exhibits'!C2178:C2182),"")</f>
        <v/>
      </c>
      <c r="D2182" s="3">
        <f>IF(ISNUMBER(AVERAGE('20250815_ETF_Options_Exhibits'!D2178:D2182)),AVERAGE('20250815_ETF_Options_Exhibits'!D2178:D2182),"")</f>
        <v/>
      </c>
      <c r="E2182" s="3">
        <f>IF(ISNUMBER(AVERAGE('20250815_ETF_Options_Exhibits'!E2178:E2182)),AVERAGE('20250815_ETF_Options_Exhibits'!E2178:E2182),"")</f>
        <v/>
      </c>
      <c r="F2182" s="3">
        <f>IF(ISNUMBER(AVERAGE('20250815_ETF_Options_Exhibits'!F2178:F2182)),AVERAGE('20250815_ETF_Options_Exhibits'!F2178:F2182),"")</f>
        <v/>
      </c>
      <c r="G2182" s="3">
        <f>IF(ISNUMBER(AVERAGE('20250815_ETF_Options_Exhibits'!G2178:G2182)),AVERAGE('20250815_ETF_Options_Exhibits'!G2178:G2182),"")</f>
        <v/>
      </c>
      <c r="H2182" s="3">
        <f>IF(ISNUMBER(AVERAGE('20250815_ETF_Options_Exhibits'!H2178:H2182)),AVERAGE('20250815_ETF_Options_Exhibits'!H2178:H2182),"")</f>
        <v/>
      </c>
      <c r="I2182" s="3">
        <f>IF(ISNUMBER(AVERAGE('20250815_ETF_Options_Exhibits'!I2178:I2182)),AVERAGE('20250815_ETF_Options_Exhibits'!I2178:I2182),"")</f>
        <v/>
      </c>
      <c r="J2182" s="3">
        <f>IF(ISNUMBER(AVERAGE('20250815_ETF_Options_Exhibits'!J2178:J2182)),AVERAGE('20250815_ETF_Options_Exhibits'!J2178:J2182),"")</f>
        <v/>
      </c>
      <c r="K2182" s="3">
        <f>IF(ISNUMBER(AVERAGE('20250815_ETF_Options_Exhibits'!K2178:K2182)),AVERAGE('20250815_ETF_Options_Exhibits'!K2178:K2182),"")</f>
        <v/>
      </c>
      <c r="L2182" s="3">
        <f>IF(ISNUMBER(AVERAGE('20250815_ETF_Options_Exhibits'!L2178:L2182)),AVERAGE('20250815_ETF_Options_Exhibits'!L2178:L2182),"")</f>
        <v/>
      </c>
      <c r="M2182" s="3">
        <f>IF(ISNUMBER(AVERAGE('20250815_ETF_Options_Exhibits'!M2178:M2182)),AVERAGE('20250815_ETF_Options_Exhibits'!M2178:M2182),"")</f>
        <v/>
      </c>
      <c r="N2182" s="3">
        <f>IF(ISNUMBER(AVERAGE('20250815_ETF_Options_Exhibits'!N2178:N2182)),AVERAGE('20250815_ETF_Options_Exhibits'!N2178:N2182),"")</f>
        <v/>
      </c>
      <c r="O2182" s="3">
        <f>IF(ISNUMBER(AVERAGE('20250815_ETF_Options_Exhibits'!O2178:O2182)),AVERAGE('20250815_ETF_Options_Exhibits'!O2178:O2182),"")</f>
        <v/>
      </c>
      <c r="P2182" s="3">
        <f>IF(ISNUMBER(AVERAGE('20250815_ETF_Options_Exhibits'!P2178:P2182)),AVERAGE('20250815_ETF_Options_Exhibits'!P2178:P2182),"")</f>
        <v/>
      </c>
      <c r="Q2182" s="3">
        <f>IF(ISNUMBER(AVERAGE('20250815_ETF_Options_Exhibits'!Q2178:Q2182)),AVERAGE('20250815_ETF_Options_Exhibits'!Q2178:Q2182),"")</f>
        <v/>
      </c>
      <c r="R2182" s="3">
        <f>IF(ISNUMBER(AVERAGE('20250815_ETF_Options_Exhibits'!R2178:R2182)),AVERAGE('20250815_ETF_Options_Exhibits'!R2178:R2182),"")</f>
        <v/>
      </c>
      <c r="S2182" s="3">
        <f>IF(ISNUMBER(AVERAGE('20250815_ETF_Options_Exhibits'!S2178:S2182)),AVERAGE('20250815_ETF_Options_Exhibits'!S2178:S2182),"")</f>
        <v/>
      </c>
      <c r="T2182" s="3">
        <f>IF(ISNUMBER(AVERAGE('20250815_ETF_Options_Exhibits'!T2178:T2182)),AVERAGE('20250815_ETF_Options_Exhibits'!T2178:T2182),"")</f>
        <v/>
      </c>
      <c r="U2182" s="3">
        <f>IF(ISNUMBER(AVERAGE('20250815_ETF_Options_Exhibits'!U2178:U2182)),AVERAGE('20250815_ETF_Options_Exhibits'!U2178:U2182),"")</f>
        <v/>
      </c>
      <c r="V2182" s="3">
        <f>IF(ISNUMBER(AVERAGE('20250815_ETF_Options_Exhibits'!V2178:V2182)),AVERAGE('20250815_ETF_Options_Exhibits'!V2178:V2182),"")</f>
        <v/>
      </c>
      <c r="W2182" s="3">
        <f>IF(ISNUMBER(AVERAGE('20250815_ETF_Options_Exhibits'!W2178:W2182)),AVERAGE('20250815_ETF_Options_Exhibits'!W2178:W2182),"")</f>
        <v/>
      </c>
      <c r="X2182" s="3">
        <f>IF(ISNUMBER(AVERAGE('20250815_ETF_Options_Exhibits'!X2178:X2182)),AVERAGE('20250815_ETF_Options_Exhibits'!X2178:X2182),"")</f>
        <v/>
      </c>
      <c r="Y2182" s="3">
        <f>IF(ISNUMBER(AVERAGE('20250815_ETF_Options_Exhibits'!Y2178:Y2182)),AVERAGE('20250815_ETF_Options_Exhibits'!Y2178:Y2182),"")</f>
        <v/>
      </c>
      <c r="Z2182" s="3">
        <f>IF(ISNUMBER(AVERAGE('20250815_ETF_Options_Exhibits'!Z2178:Z2182)),AVERAGE('20250815_ETF_Options_Exhibits'!Z2178:Z2182),"")</f>
        <v/>
      </c>
      <c r="AA2182" s="3">
        <f>IF(ISNUMBER(AVERAGE('20250815_ETF_Options_Exhibits'!AA2178:AA2182)),AVERAGE('20250815_ETF_Options_Exhibits'!AA2178:AA2182),"")</f>
        <v/>
      </c>
    </row>
    <row r="2183">
      <c r="A2183" s="1" t="n">
        <v>45169</v>
      </c>
      <c r="B2183" s="3">
        <f>IF(ISNUMBER(AVERAGE('20250815_ETF_Options_Exhibits'!B2179:B2183)),AVERAGE('20250815_ETF_Options_Exhibits'!B2179:B2183),"")</f>
        <v/>
      </c>
      <c r="C2183" s="3">
        <f>IF(ISNUMBER(AVERAGE('20250815_ETF_Options_Exhibits'!C2179:C2183)),AVERAGE('20250815_ETF_Options_Exhibits'!C2179:C2183),"")</f>
        <v/>
      </c>
      <c r="D2183" s="3">
        <f>IF(ISNUMBER(AVERAGE('20250815_ETF_Options_Exhibits'!D2179:D2183)),AVERAGE('20250815_ETF_Options_Exhibits'!D2179:D2183),"")</f>
        <v/>
      </c>
      <c r="E2183" s="3">
        <f>IF(ISNUMBER(AVERAGE('20250815_ETF_Options_Exhibits'!E2179:E2183)),AVERAGE('20250815_ETF_Options_Exhibits'!E2179:E2183),"")</f>
        <v/>
      </c>
      <c r="F2183" s="3">
        <f>IF(ISNUMBER(AVERAGE('20250815_ETF_Options_Exhibits'!F2179:F2183)),AVERAGE('20250815_ETF_Options_Exhibits'!F2179:F2183),"")</f>
        <v/>
      </c>
      <c r="G2183" s="3">
        <f>IF(ISNUMBER(AVERAGE('20250815_ETF_Options_Exhibits'!G2179:G2183)),AVERAGE('20250815_ETF_Options_Exhibits'!G2179:G2183),"")</f>
        <v/>
      </c>
      <c r="H2183" s="3">
        <f>IF(ISNUMBER(AVERAGE('20250815_ETF_Options_Exhibits'!H2179:H2183)),AVERAGE('20250815_ETF_Options_Exhibits'!H2179:H2183),"")</f>
        <v/>
      </c>
      <c r="I2183" s="3">
        <f>IF(ISNUMBER(AVERAGE('20250815_ETF_Options_Exhibits'!I2179:I2183)),AVERAGE('20250815_ETF_Options_Exhibits'!I2179:I2183),"")</f>
        <v/>
      </c>
      <c r="J2183" s="3">
        <f>IF(ISNUMBER(AVERAGE('20250815_ETF_Options_Exhibits'!J2179:J2183)),AVERAGE('20250815_ETF_Options_Exhibits'!J2179:J2183),"")</f>
        <v/>
      </c>
      <c r="K2183" s="3">
        <f>IF(ISNUMBER(AVERAGE('20250815_ETF_Options_Exhibits'!K2179:K2183)),AVERAGE('20250815_ETF_Options_Exhibits'!K2179:K2183),"")</f>
        <v/>
      </c>
      <c r="L2183" s="3">
        <f>IF(ISNUMBER(AVERAGE('20250815_ETF_Options_Exhibits'!L2179:L2183)),AVERAGE('20250815_ETF_Options_Exhibits'!L2179:L2183),"")</f>
        <v/>
      </c>
      <c r="M2183" s="3">
        <f>IF(ISNUMBER(AVERAGE('20250815_ETF_Options_Exhibits'!M2179:M2183)),AVERAGE('20250815_ETF_Options_Exhibits'!M2179:M2183),"")</f>
        <v/>
      </c>
      <c r="N2183" s="3">
        <f>IF(ISNUMBER(AVERAGE('20250815_ETF_Options_Exhibits'!N2179:N2183)),AVERAGE('20250815_ETF_Options_Exhibits'!N2179:N2183),"")</f>
        <v/>
      </c>
      <c r="O2183" s="3">
        <f>IF(ISNUMBER(AVERAGE('20250815_ETF_Options_Exhibits'!O2179:O2183)),AVERAGE('20250815_ETF_Options_Exhibits'!O2179:O2183),"")</f>
        <v/>
      </c>
      <c r="P2183" s="3">
        <f>IF(ISNUMBER(AVERAGE('20250815_ETF_Options_Exhibits'!P2179:P2183)),AVERAGE('20250815_ETF_Options_Exhibits'!P2179:P2183),"")</f>
        <v/>
      </c>
      <c r="Q2183" s="3">
        <f>IF(ISNUMBER(AVERAGE('20250815_ETF_Options_Exhibits'!Q2179:Q2183)),AVERAGE('20250815_ETF_Options_Exhibits'!Q2179:Q2183),"")</f>
        <v/>
      </c>
      <c r="R2183" s="3">
        <f>IF(ISNUMBER(AVERAGE('20250815_ETF_Options_Exhibits'!R2179:R2183)),AVERAGE('20250815_ETF_Options_Exhibits'!R2179:R2183),"")</f>
        <v/>
      </c>
      <c r="S2183" s="3">
        <f>IF(ISNUMBER(AVERAGE('20250815_ETF_Options_Exhibits'!S2179:S2183)),AVERAGE('20250815_ETF_Options_Exhibits'!S2179:S2183),"")</f>
        <v/>
      </c>
      <c r="T2183" s="3">
        <f>IF(ISNUMBER(AVERAGE('20250815_ETF_Options_Exhibits'!T2179:T2183)),AVERAGE('20250815_ETF_Options_Exhibits'!T2179:T2183),"")</f>
        <v/>
      </c>
      <c r="U2183" s="3">
        <f>IF(ISNUMBER(AVERAGE('20250815_ETF_Options_Exhibits'!U2179:U2183)),AVERAGE('20250815_ETF_Options_Exhibits'!U2179:U2183),"")</f>
        <v/>
      </c>
      <c r="V2183" s="3">
        <f>IF(ISNUMBER(AVERAGE('20250815_ETF_Options_Exhibits'!V2179:V2183)),AVERAGE('20250815_ETF_Options_Exhibits'!V2179:V2183),"")</f>
        <v/>
      </c>
      <c r="W2183" s="3">
        <f>IF(ISNUMBER(AVERAGE('20250815_ETF_Options_Exhibits'!W2179:W2183)),AVERAGE('20250815_ETF_Options_Exhibits'!W2179:W2183),"")</f>
        <v/>
      </c>
      <c r="X2183" s="3">
        <f>IF(ISNUMBER(AVERAGE('20250815_ETF_Options_Exhibits'!X2179:X2183)),AVERAGE('20250815_ETF_Options_Exhibits'!X2179:X2183),"")</f>
        <v/>
      </c>
      <c r="Y2183" s="3">
        <f>IF(ISNUMBER(AVERAGE('20250815_ETF_Options_Exhibits'!Y2179:Y2183)),AVERAGE('20250815_ETF_Options_Exhibits'!Y2179:Y2183),"")</f>
        <v/>
      </c>
      <c r="Z2183" s="3">
        <f>IF(ISNUMBER(AVERAGE('20250815_ETF_Options_Exhibits'!Z2179:Z2183)),AVERAGE('20250815_ETF_Options_Exhibits'!Z2179:Z2183),"")</f>
        <v/>
      </c>
      <c r="AA2183" s="3">
        <f>IF(ISNUMBER(AVERAGE('20250815_ETF_Options_Exhibits'!AA2179:AA2183)),AVERAGE('20250815_ETF_Options_Exhibits'!AA2179:AA2183),"")</f>
        <v/>
      </c>
    </row>
    <row r="2184">
      <c r="A2184" s="1" t="n">
        <v>45170</v>
      </c>
      <c r="B2184" s="3">
        <f>IF(ISNUMBER(AVERAGE('20250815_ETF_Options_Exhibits'!B2180:B2184)),AVERAGE('20250815_ETF_Options_Exhibits'!B2180:B2184),"")</f>
        <v/>
      </c>
      <c r="C2184" s="3">
        <f>IF(ISNUMBER(AVERAGE('20250815_ETF_Options_Exhibits'!C2180:C2184)),AVERAGE('20250815_ETF_Options_Exhibits'!C2180:C2184),"")</f>
        <v/>
      </c>
      <c r="D2184" s="3">
        <f>IF(ISNUMBER(AVERAGE('20250815_ETF_Options_Exhibits'!D2180:D2184)),AVERAGE('20250815_ETF_Options_Exhibits'!D2180:D2184),"")</f>
        <v/>
      </c>
      <c r="E2184" s="3">
        <f>IF(ISNUMBER(AVERAGE('20250815_ETF_Options_Exhibits'!E2180:E2184)),AVERAGE('20250815_ETF_Options_Exhibits'!E2180:E2184),"")</f>
        <v/>
      </c>
      <c r="F2184" s="3">
        <f>IF(ISNUMBER(AVERAGE('20250815_ETF_Options_Exhibits'!F2180:F2184)),AVERAGE('20250815_ETF_Options_Exhibits'!F2180:F2184),"")</f>
        <v/>
      </c>
      <c r="G2184" s="3">
        <f>IF(ISNUMBER(AVERAGE('20250815_ETF_Options_Exhibits'!G2180:G2184)),AVERAGE('20250815_ETF_Options_Exhibits'!G2180:G2184),"")</f>
        <v/>
      </c>
      <c r="H2184" s="3">
        <f>IF(ISNUMBER(AVERAGE('20250815_ETF_Options_Exhibits'!H2180:H2184)),AVERAGE('20250815_ETF_Options_Exhibits'!H2180:H2184),"")</f>
        <v/>
      </c>
      <c r="I2184" s="3">
        <f>IF(ISNUMBER(AVERAGE('20250815_ETF_Options_Exhibits'!I2180:I2184)),AVERAGE('20250815_ETF_Options_Exhibits'!I2180:I2184),"")</f>
        <v/>
      </c>
      <c r="J2184" s="3">
        <f>IF(ISNUMBER(AVERAGE('20250815_ETF_Options_Exhibits'!J2180:J2184)),AVERAGE('20250815_ETF_Options_Exhibits'!J2180:J2184),"")</f>
        <v/>
      </c>
      <c r="K2184" s="3">
        <f>IF(ISNUMBER(AVERAGE('20250815_ETF_Options_Exhibits'!K2180:K2184)),AVERAGE('20250815_ETF_Options_Exhibits'!K2180:K2184),"")</f>
        <v/>
      </c>
      <c r="L2184" s="3">
        <f>IF(ISNUMBER(AVERAGE('20250815_ETF_Options_Exhibits'!L2180:L2184)),AVERAGE('20250815_ETF_Options_Exhibits'!L2180:L2184),"")</f>
        <v/>
      </c>
      <c r="M2184" s="3">
        <f>IF(ISNUMBER(AVERAGE('20250815_ETF_Options_Exhibits'!M2180:M2184)),AVERAGE('20250815_ETF_Options_Exhibits'!M2180:M2184),"")</f>
        <v/>
      </c>
      <c r="N2184" s="3">
        <f>IF(ISNUMBER(AVERAGE('20250815_ETF_Options_Exhibits'!N2180:N2184)),AVERAGE('20250815_ETF_Options_Exhibits'!N2180:N2184),"")</f>
        <v/>
      </c>
      <c r="O2184" s="3">
        <f>IF(ISNUMBER(AVERAGE('20250815_ETF_Options_Exhibits'!O2180:O2184)),AVERAGE('20250815_ETF_Options_Exhibits'!O2180:O2184),"")</f>
        <v/>
      </c>
      <c r="P2184" s="3">
        <f>IF(ISNUMBER(AVERAGE('20250815_ETF_Options_Exhibits'!P2180:P2184)),AVERAGE('20250815_ETF_Options_Exhibits'!P2180:P2184),"")</f>
        <v/>
      </c>
      <c r="Q2184" s="3">
        <f>IF(ISNUMBER(AVERAGE('20250815_ETF_Options_Exhibits'!Q2180:Q2184)),AVERAGE('20250815_ETF_Options_Exhibits'!Q2180:Q2184),"")</f>
        <v/>
      </c>
      <c r="R2184" s="3">
        <f>IF(ISNUMBER(AVERAGE('20250815_ETF_Options_Exhibits'!R2180:R2184)),AVERAGE('20250815_ETF_Options_Exhibits'!R2180:R2184),"")</f>
        <v/>
      </c>
      <c r="S2184" s="3">
        <f>IF(ISNUMBER(AVERAGE('20250815_ETF_Options_Exhibits'!S2180:S2184)),AVERAGE('20250815_ETF_Options_Exhibits'!S2180:S2184),"")</f>
        <v/>
      </c>
      <c r="T2184" s="3">
        <f>IF(ISNUMBER(AVERAGE('20250815_ETF_Options_Exhibits'!T2180:T2184)),AVERAGE('20250815_ETF_Options_Exhibits'!T2180:T2184),"")</f>
        <v/>
      </c>
      <c r="U2184" s="3">
        <f>IF(ISNUMBER(AVERAGE('20250815_ETF_Options_Exhibits'!U2180:U2184)),AVERAGE('20250815_ETF_Options_Exhibits'!U2180:U2184),"")</f>
        <v/>
      </c>
      <c r="V2184" s="3">
        <f>IF(ISNUMBER(AVERAGE('20250815_ETF_Options_Exhibits'!V2180:V2184)),AVERAGE('20250815_ETF_Options_Exhibits'!V2180:V2184),"")</f>
        <v/>
      </c>
      <c r="W2184" s="3">
        <f>IF(ISNUMBER(AVERAGE('20250815_ETF_Options_Exhibits'!W2180:W2184)),AVERAGE('20250815_ETF_Options_Exhibits'!W2180:W2184),"")</f>
        <v/>
      </c>
      <c r="X2184" s="3">
        <f>IF(ISNUMBER(AVERAGE('20250815_ETF_Options_Exhibits'!X2180:X2184)),AVERAGE('20250815_ETF_Options_Exhibits'!X2180:X2184),"")</f>
        <v/>
      </c>
      <c r="Y2184" s="3">
        <f>IF(ISNUMBER(AVERAGE('20250815_ETF_Options_Exhibits'!Y2180:Y2184)),AVERAGE('20250815_ETF_Options_Exhibits'!Y2180:Y2184),"")</f>
        <v/>
      </c>
      <c r="Z2184" s="3">
        <f>IF(ISNUMBER(AVERAGE('20250815_ETF_Options_Exhibits'!Z2180:Z2184)),AVERAGE('20250815_ETF_Options_Exhibits'!Z2180:Z2184),"")</f>
        <v/>
      </c>
      <c r="AA2184" s="3">
        <f>IF(ISNUMBER(AVERAGE('20250815_ETF_Options_Exhibits'!AA2180:AA2184)),AVERAGE('20250815_ETF_Options_Exhibits'!AA2180:AA2184),"")</f>
        <v/>
      </c>
    </row>
    <row r="2185">
      <c r="A2185" s="1" t="n">
        <v>45174</v>
      </c>
      <c r="B2185" s="3">
        <f>IF(ISNUMBER(AVERAGE('20250815_ETF_Options_Exhibits'!B2181:B2185)),AVERAGE('20250815_ETF_Options_Exhibits'!B2181:B2185),"")</f>
        <v/>
      </c>
      <c r="C2185" s="3">
        <f>IF(ISNUMBER(AVERAGE('20250815_ETF_Options_Exhibits'!C2181:C2185)),AVERAGE('20250815_ETF_Options_Exhibits'!C2181:C2185),"")</f>
        <v/>
      </c>
      <c r="D2185" s="3">
        <f>IF(ISNUMBER(AVERAGE('20250815_ETF_Options_Exhibits'!D2181:D2185)),AVERAGE('20250815_ETF_Options_Exhibits'!D2181:D2185),"")</f>
        <v/>
      </c>
      <c r="E2185" s="3">
        <f>IF(ISNUMBER(AVERAGE('20250815_ETF_Options_Exhibits'!E2181:E2185)),AVERAGE('20250815_ETF_Options_Exhibits'!E2181:E2185),"")</f>
        <v/>
      </c>
      <c r="F2185" s="3">
        <f>IF(ISNUMBER(AVERAGE('20250815_ETF_Options_Exhibits'!F2181:F2185)),AVERAGE('20250815_ETF_Options_Exhibits'!F2181:F2185),"")</f>
        <v/>
      </c>
      <c r="G2185" s="3">
        <f>IF(ISNUMBER(AVERAGE('20250815_ETF_Options_Exhibits'!G2181:G2185)),AVERAGE('20250815_ETF_Options_Exhibits'!G2181:G2185),"")</f>
        <v/>
      </c>
      <c r="H2185" s="3">
        <f>IF(ISNUMBER(AVERAGE('20250815_ETF_Options_Exhibits'!H2181:H2185)),AVERAGE('20250815_ETF_Options_Exhibits'!H2181:H2185),"")</f>
        <v/>
      </c>
      <c r="I2185" s="3">
        <f>IF(ISNUMBER(AVERAGE('20250815_ETF_Options_Exhibits'!I2181:I2185)),AVERAGE('20250815_ETF_Options_Exhibits'!I2181:I2185),"")</f>
        <v/>
      </c>
      <c r="J2185" s="3">
        <f>IF(ISNUMBER(AVERAGE('20250815_ETF_Options_Exhibits'!J2181:J2185)),AVERAGE('20250815_ETF_Options_Exhibits'!J2181:J2185),"")</f>
        <v/>
      </c>
      <c r="K2185" s="3">
        <f>IF(ISNUMBER(AVERAGE('20250815_ETF_Options_Exhibits'!K2181:K2185)),AVERAGE('20250815_ETF_Options_Exhibits'!K2181:K2185),"")</f>
        <v/>
      </c>
      <c r="L2185" s="3">
        <f>IF(ISNUMBER(AVERAGE('20250815_ETF_Options_Exhibits'!L2181:L2185)),AVERAGE('20250815_ETF_Options_Exhibits'!L2181:L2185),"")</f>
        <v/>
      </c>
      <c r="M2185" s="3">
        <f>IF(ISNUMBER(AVERAGE('20250815_ETF_Options_Exhibits'!M2181:M2185)),AVERAGE('20250815_ETF_Options_Exhibits'!M2181:M2185),"")</f>
        <v/>
      </c>
      <c r="N2185" s="3">
        <f>IF(ISNUMBER(AVERAGE('20250815_ETF_Options_Exhibits'!N2181:N2185)),AVERAGE('20250815_ETF_Options_Exhibits'!N2181:N2185),"")</f>
        <v/>
      </c>
      <c r="O2185" s="3">
        <f>IF(ISNUMBER(AVERAGE('20250815_ETF_Options_Exhibits'!O2181:O2185)),AVERAGE('20250815_ETF_Options_Exhibits'!O2181:O2185),"")</f>
        <v/>
      </c>
      <c r="P2185" s="3">
        <f>IF(ISNUMBER(AVERAGE('20250815_ETF_Options_Exhibits'!P2181:P2185)),AVERAGE('20250815_ETF_Options_Exhibits'!P2181:P2185),"")</f>
        <v/>
      </c>
      <c r="Q2185" s="3">
        <f>IF(ISNUMBER(AVERAGE('20250815_ETF_Options_Exhibits'!Q2181:Q2185)),AVERAGE('20250815_ETF_Options_Exhibits'!Q2181:Q2185),"")</f>
        <v/>
      </c>
      <c r="R2185" s="3">
        <f>IF(ISNUMBER(AVERAGE('20250815_ETF_Options_Exhibits'!R2181:R2185)),AVERAGE('20250815_ETF_Options_Exhibits'!R2181:R2185),"")</f>
        <v/>
      </c>
      <c r="S2185" s="3">
        <f>IF(ISNUMBER(AVERAGE('20250815_ETF_Options_Exhibits'!S2181:S2185)),AVERAGE('20250815_ETF_Options_Exhibits'!S2181:S2185),"")</f>
        <v/>
      </c>
      <c r="T2185" s="3">
        <f>IF(ISNUMBER(AVERAGE('20250815_ETF_Options_Exhibits'!T2181:T2185)),AVERAGE('20250815_ETF_Options_Exhibits'!T2181:T2185),"")</f>
        <v/>
      </c>
      <c r="U2185" s="3">
        <f>IF(ISNUMBER(AVERAGE('20250815_ETF_Options_Exhibits'!U2181:U2185)),AVERAGE('20250815_ETF_Options_Exhibits'!U2181:U2185),"")</f>
        <v/>
      </c>
      <c r="V2185" s="3">
        <f>IF(ISNUMBER(AVERAGE('20250815_ETF_Options_Exhibits'!V2181:V2185)),AVERAGE('20250815_ETF_Options_Exhibits'!V2181:V2185),"")</f>
        <v/>
      </c>
      <c r="W2185" s="3">
        <f>IF(ISNUMBER(AVERAGE('20250815_ETF_Options_Exhibits'!W2181:W2185)),AVERAGE('20250815_ETF_Options_Exhibits'!W2181:W2185),"")</f>
        <v/>
      </c>
      <c r="X2185" s="3">
        <f>IF(ISNUMBER(AVERAGE('20250815_ETF_Options_Exhibits'!X2181:X2185)),AVERAGE('20250815_ETF_Options_Exhibits'!X2181:X2185),"")</f>
        <v/>
      </c>
      <c r="Y2185" s="3">
        <f>IF(ISNUMBER(AVERAGE('20250815_ETF_Options_Exhibits'!Y2181:Y2185)),AVERAGE('20250815_ETF_Options_Exhibits'!Y2181:Y2185),"")</f>
        <v/>
      </c>
      <c r="Z2185" s="3">
        <f>IF(ISNUMBER(AVERAGE('20250815_ETF_Options_Exhibits'!Z2181:Z2185)),AVERAGE('20250815_ETF_Options_Exhibits'!Z2181:Z2185),"")</f>
        <v/>
      </c>
      <c r="AA2185" s="3">
        <f>IF(ISNUMBER(AVERAGE('20250815_ETF_Options_Exhibits'!AA2181:AA2185)),AVERAGE('20250815_ETF_Options_Exhibits'!AA2181:AA2185),"")</f>
        <v/>
      </c>
    </row>
    <row r="2186">
      <c r="A2186" s="1" t="n">
        <v>45175</v>
      </c>
      <c r="B2186" s="3">
        <f>IF(ISNUMBER(AVERAGE('20250815_ETF_Options_Exhibits'!B2182:B2186)),AVERAGE('20250815_ETF_Options_Exhibits'!B2182:B2186),"")</f>
        <v/>
      </c>
      <c r="C2186" s="3">
        <f>IF(ISNUMBER(AVERAGE('20250815_ETF_Options_Exhibits'!C2182:C2186)),AVERAGE('20250815_ETF_Options_Exhibits'!C2182:C2186),"")</f>
        <v/>
      </c>
      <c r="D2186" s="3">
        <f>IF(ISNUMBER(AVERAGE('20250815_ETF_Options_Exhibits'!D2182:D2186)),AVERAGE('20250815_ETF_Options_Exhibits'!D2182:D2186),"")</f>
        <v/>
      </c>
      <c r="E2186" s="3">
        <f>IF(ISNUMBER(AVERAGE('20250815_ETF_Options_Exhibits'!E2182:E2186)),AVERAGE('20250815_ETF_Options_Exhibits'!E2182:E2186),"")</f>
        <v/>
      </c>
      <c r="F2186" s="3">
        <f>IF(ISNUMBER(AVERAGE('20250815_ETF_Options_Exhibits'!F2182:F2186)),AVERAGE('20250815_ETF_Options_Exhibits'!F2182:F2186),"")</f>
        <v/>
      </c>
      <c r="G2186" s="3">
        <f>IF(ISNUMBER(AVERAGE('20250815_ETF_Options_Exhibits'!G2182:G2186)),AVERAGE('20250815_ETF_Options_Exhibits'!G2182:G2186),"")</f>
        <v/>
      </c>
      <c r="H2186" s="3">
        <f>IF(ISNUMBER(AVERAGE('20250815_ETF_Options_Exhibits'!H2182:H2186)),AVERAGE('20250815_ETF_Options_Exhibits'!H2182:H2186),"")</f>
        <v/>
      </c>
      <c r="I2186" s="3">
        <f>IF(ISNUMBER(AVERAGE('20250815_ETF_Options_Exhibits'!I2182:I2186)),AVERAGE('20250815_ETF_Options_Exhibits'!I2182:I2186),"")</f>
        <v/>
      </c>
      <c r="J2186" s="3">
        <f>IF(ISNUMBER(AVERAGE('20250815_ETF_Options_Exhibits'!J2182:J2186)),AVERAGE('20250815_ETF_Options_Exhibits'!J2182:J2186),"")</f>
        <v/>
      </c>
      <c r="K2186" s="3">
        <f>IF(ISNUMBER(AVERAGE('20250815_ETF_Options_Exhibits'!K2182:K2186)),AVERAGE('20250815_ETF_Options_Exhibits'!K2182:K2186),"")</f>
        <v/>
      </c>
      <c r="L2186" s="3">
        <f>IF(ISNUMBER(AVERAGE('20250815_ETF_Options_Exhibits'!L2182:L2186)),AVERAGE('20250815_ETF_Options_Exhibits'!L2182:L2186),"")</f>
        <v/>
      </c>
      <c r="M2186" s="3">
        <f>IF(ISNUMBER(AVERAGE('20250815_ETF_Options_Exhibits'!M2182:M2186)),AVERAGE('20250815_ETF_Options_Exhibits'!M2182:M2186),"")</f>
        <v/>
      </c>
      <c r="N2186" s="3">
        <f>IF(ISNUMBER(AVERAGE('20250815_ETF_Options_Exhibits'!N2182:N2186)),AVERAGE('20250815_ETF_Options_Exhibits'!N2182:N2186),"")</f>
        <v/>
      </c>
      <c r="O2186" s="3">
        <f>IF(ISNUMBER(AVERAGE('20250815_ETF_Options_Exhibits'!O2182:O2186)),AVERAGE('20250815_ETF_Options_Exhibits'!O2182:O2186),"")</f>
        <v/>
      </c>
      <c r="P2186" s="3">
        <f>IF(ISNUMBER(AVERAGE('20250815_ETF_Options_Exhibits'!P2182:P2186)),AVERAGE('20250815_ETF_Options_Exhibits'!P2182:P2186),"")</f>
        <v/>
      </c>
      <c r="Q2186" s="3">
        <f>IF(ISNUMBER(AVERAGE('20250815_ETF_Options_Exhibits'!Q2182:Q2186)),AVERAGE('20250815_ETF_Options_Exhibits'!Q2182:Q2186),"")</f>
        <v/>
      </c>
      <c r="R2186" s="3">
        <f>IF(ISNUMBER(AVERAGE('20250815_ETF_Options_Exhibits'!R2182:R2186)),AVERAGE('20250815_ETF_Options_Exhibits'!R2182:R2186),"")</f>
        <v/>
      </c>
      <c r="S2186" s="3">
        <f>IF(ISNUMBER(AVERAGE('20250815_ETF_Options_Exhibits'!S2182:S2186)),AVERAGE('20250815_ETF_Options_Exhibits'!S2182:S2186),"")</f>
        <v/>
      </c>
      <c r="T2186" s="3">
        <f>IF(ISNUMBER(AVERAGE('20250815_ETF_Options_Exhibits'!T2182:T2186)),AVERAGE('20250815_ETF_Options_Exhibits'!T2182:T2186),"")</f>
        <v/>
      </c>
      <c r="U2186" s="3">
        <f>IF(ISNUMBER(AVERAGE('20250815_ETF_Options_Exhibits'!U2182:U2186)),AVERAGE('20250815_ETF_Options_Exhibits'!U2182:U2186),"")</f>
        <v/>
      </c>
      <c r="V2186" s="3">
        <f>IF(ISNUMBER(AVERAGE('20250815_ETF_Options_Exhibits'!V2182:V2186)),AVERAGE('20250815_ETF_Options_Exhibits'!V2182:V2186),"")</f>
        <v/>
      </c>
      <c r="W2186" s="3">
        <f>IF(ISNUMBER(AVERAGE('20250815_ETF_Options_Exhibits'!W2182:W2186)),AVERAGE('20250815_ETF_Options_Exhibits'!W2182:W2186),"")</f>
        <v/>
      </c>
      <c r="X2186" s="3">
        <f>IF(ISNUMBER(AVERAGE('20250815_ETF_Options_Exhibits'!X2182:X2186)),AVERAGE('20250815_ETF_Options_Exhibits'!X2182:X2186),"")</f>
        <v/>
      </c>
      <c r="Y2186" s="3">
        <f>IF(ISNUMBER(AVERAGE('20250815_ETF_Options_Exhibits'!Y2182:Y2186)),AVERAGE('20250815_ETF_Options_Exhibits'!Y2182:Y2186),"")</f>
        <v/>
      </c>
      <c r="Z2186" s="3">
        <f>IF(ISNUMBER(AVERAGE('20250815_ETF_Options_Exhibits'!Z2182:Z2186)),AVERAGE('20250815_ETF_Options_Exhibits'!Z2182:Z2186),"")</f>
        <v/>
      </c>
      <c r="AA2186" s="3">
        <f>IF(ISNUMBER(AVERAGE('20250815_ETF_Options_Exhibits'!AA2182:AA2186)),AVERAGE('20250815_ETF_Options_Exhibits'!AA2182:AA2186),"")</f>
        <v/>
      </c>
    </row>
    <row r="2187">
      <c r="A2187" s="1" t="n">
        <v>45176</v>
      </c>
      <c r="B2187" s="3">
        <f>IF(ISNUMBER(AVERAGE('20250815_ETF_Options_Exhibits'!B2183:B2187)),AVERAGE('20250815_ETF_Options_Exhibits'!B2183:B2187),"")</f>
        <v/>
      </c>
      <c r="C2187" s="3">
        <f>IF(ISNUMBER(AVERAGE('20250815_ETF_Options_Exhibits'!C2183:C2187)),AVERAGE('20250815_ETF_Options_Exhibits'!C2183:C2187),"")</f>
        <v/>
      </c>
      <c r="D2187" s="3">
        <f>IF(ISNUMBER(AVERAGE('20250815_ETF_Options_Exhibits'!D2183:D2187)),AVERAGE('20250815_ETF_Options_Exhibits'!D2183:D2187),"")</f>
        <v/>
      </c>
      <c r="E2187" s="3">
        <f>IF(ISNUMBER(AVERAGE('20250815_ETF_Options_Exhibits'!E2183:E2187)),AVERAGE('20250815_ETF_Options_Exhibits'!E2183:E2187),"")</f>
        <v/>
      </c>
      <c r="F2187" s="3">
        <f>IF(ISNUMBER(AVERAGE('20250815_ETF_Options_Exhibits'!F2183:F2187)),AVERAGE('20250815_ETF_Options_Exhibits'!F2183:F2187),"")</f>
        <v/>
      </c>
      <c r="G2187" s="3">
        <f>IF(ISNUMBER(AVERAGE('20250815_ETF_Options_Exhibits'!G2183:G2187)),AVERAGE('20250815_ETF_Options_Exhibits'!G2183:G2187),"")</f>
        <v/>
      </c>
      <c r="H2187" s="3">
        <f>IF(ISNUMBER(AVERAGE('20250815_ETF_Options_Exhibits'!H2183:H2187)),AVERAGE('20250815_ETF_Options_Exhibits'!H2183:H2187),"")</f>
        <v/>
      </c>
      <c r="I2187" s="3">
        <f>IF(ISNUMBER(AVERAGE('20250815_ETF_Options_Exhibits'!I2183:I2187)),AVERAGE('20250815_ETF_Options_Exhibits'!I2183:I2187),"")</f>
        <v/>
      </c>
      <c r="J2187" s="3">
        <f>IF(ISNUMBER(AVERAGE('20250815_ETF_Options_Exhibits'!J2183:J2187)),AVERAGE('20250815_ETF_Options_Exhibits'!J2183:J2187),"")</f>
        <v/>
      </c>
      <c r="K2187" s="3">
        <f>IF(ISNUMBER(AVERAGE('20250815_ETF_Options_Exhibits'!K2183:K2187)),AVERAGE('20250815_ETF_Options_Exhibits'!K2183:K2187),"")</f>
        <v/>
      </c>
      <c r="L2187" s="3">
        <f>IF(ISNUMBER(AVERAGE('20250815_ETF_Options_Exhibits'!L2183:L2187)),AVERAGE('20250815_ETF_Options_Exhibits'!L2183:L2187),"")</f>
        <v/>
      </c>
      <c r="M2187" s="3">
        <f>IF(ISNUMBER(AVERAGE('20250815_ETF_Options_Exhibits'!M2183:M2187)),AVERAGE('20250815_ETF_Options_Exhibits'!M2183:M2187),"")</f>
        <v/>
      </c>
      <c r="N2187" s="3">
        <f>IF(ISNUMBER(AVERAGE('20250815_ETF_Options_Exhibits'!N2183:N2187)),AVERAGE('20250815_ETF_Options_Exhibits'!N2183:N2187),"")</f>
        <v/>
      </c>
      <c r="O2187" s="3">
        <f>IF(ISNUMBER(AVERAGE('20250815_ETF_Options_Exhibits'!O2183:O2187)),AVERAGE('20250815_ETF_Options_Exhibits'!O2183:O2187),"")</f>
        <v/>
      </c>
      <c r="P2187" s="3">
        <f>IF(ISNUMBER(AVERAGE('20250815_ETF_Options_Exhibits'!P2183:P2187)),AVERAGE('20250815_ETF_Options_Exhibits'!P2183:P2187),"")</f>
        <v/>
      </c>
      <c r="Q2187" s="3">
        <f>IF(ISNUMBER(AVERAGE('20250815_ETF_Options_Exhibits'!Q2183:Q2187)),AVERAGE('20250815_ETF_Options_Exhibits'!Q2183:Q2187),"")</f>
        <v/>
      </c>
      <c r="R2187" s="3">
        <f>IF(ISNUMBER(AVERAGE('20250815_ETF_Options_Exhibits'!R2183:R2187)),AVERAGE('20250815_ETF_Options_Exhibits'!R2183:R2187),"")</f>
        <v/>
      </c>
      <c r="S2187" s="3">
        <f>IF(ISNUMBER(AVERAGE('20250815_ETF_Options_Exhibits'!S2183:S2187)),AVERAGE('20250815_ETF_Options_Exhibits'!S2183:S2187),"")</f>
        <v/>
      </c>
      <c r="T2187" s="3">
        <f>IF(ISNUMBER(AVERAGE('20250815_ETF_Options_Exhibits'!T2183:T2187)),AVERAGE('20250815_ETF_Options_Exhibits'!T2183:T2187),"")</f>
        <v/>
      </c>
      <c r="U2187" s="3">
        <f>IF(ISNUMBER(AVERAGE('20250815_ETF_Options_Exhibits'!U2183:U2187)),AVERAGE('20250815_ETF_Options_Exhibits'!U2183:U2187),"")</f>
        <v/>
      </c>
      <c r="V2187" s="3">
        <f>IF(ISNUMBER(AVERAGE('20250815_ETF_Options_Exhibits'!V2183:V2187)),AVERAGE('20250815_ETF_Options_Exhibits'!V2183:V2187),"")</f>
        <v/>
      </c>
      <c r="W2187" s="3">
        <f>IF(ISNUMBER(AVERAGE('20250815_ETF_Options_Exhibits'!W2183:W2187)),AVERAGE('20250815_ETF_Options_Exhibits'!W2183:W2187),"")</f>
        <v/>
      </c>
      <c r="X2187" s="3">
        <f>IF(ISNUMBER(AVERAGE('20250815_ETF_Options_Exhibits'!X2183:X2187)),AVERAGE('20250815_ETF_Options_Exhibits'!X2183:X2187),"")</f>
        <v/>
      </c>
      <c r="Y2187" s="3">
        <f>IF(ISNUMBER(AVERAGE('20250815_ETF_Options_Exhibits'!Y2183:Y2187)),AVERAGE('20250815_ETF_Options_Exhibits'!Y2183:Y2187),"")</f>
        <v/>
      </c>
      <c r="Z2187" s="3">
        <f>IF(ISNUMBER(AVERAGE('20250815_ETF_Options_Exhibits'!Z2183:Z2187)),AVERAGE('20250815_ETF_Options_Exhibits'!Z2183:Z2187),"")</f>
        <v/>
      </c>
      <c r="AA2187" s="3">
        <f>IF(ISNUMBER(AVERAGE('20250815_ETF_Options_Exhibits'!AA2183:AA2187)),AVERAGE('20250815_ETF_Options_Exhibits'!AA2183:AA2187),"")</f>
        <v/>
      </c>
    </row>
    <row r="2188">
      <c r="A2188" s="1" t="n">
        <v>45177</v>
      </c>
      <c r="B2188" s="3">
        <f>IF(ISNUMBER(AVERAGE('20250815_ETF_Options_Exhibits'!B2184:B2188)),AVERAGE('20250815_ETF_Options_Exhibits'!B2184:B2188),"")</f>
        <v/>
      </c>
      <c r="C2188" s="3">
        <f>IF(ISNUMBER(AVERAGE('20250815_ETF_Options_Exhibits'!C2184:C2188)),AVERAGE('20250815_ETF_Options_Exhibits'!C2184:C2188),"")</f>
        <v/>
      </c>
      <c r="D2188" s="3">
        <f>IF(ISNUMBER(AVERAGE('20250815_ETF_Options_Exhibits'!D2184:D2188)),AVERAGE('20250815_ETF_Options_Exhibits'!D2184:D2188),"")</f>
        <v/>
      </c>
      <c r="E2188" s="3">
        <f>IF(ISNUMBER(AVERAGE('20250815_ETF_Options_Exhibits'!E2184:E2188)),AVERAGE('20250815_ETF_Options_Exhibits'!E2184:E2188),"")</f>
        <v/>
      </c>
      <c r="F2188" s="3">
        <f>IF(ISNUMBER(AVERAGE('20250815_ETF_Options_Exhibits'!F2184:F2188)),AVERAGE('20250815_ETF_Options_Exhibits'!F2184:F2188),"")</f>
        <v/>
      </c>
      <c r="G2188" s="3">
        <f>IF(ISNUMBER(AVERAGE('20250815_ETF_Options_Exhibits'!G2184:G2188)),AVERAGE('20250815_ETF_Options_Exhibits'!G2184:G2188),"")</f>
        <v/>
      </c>
      <c r="H2188" s="3">
        <f>IF(ISNUMBER(AVERAGE('20250815_ETF_Options_Exhibits'!H2184:H2188)),AVERAGE('20250815_ETF_Options_Exhibits'!H2184:H2188),"")</f>
        <v/>
      </c>
      <c r="I2188" s="3">
        <f>IF(ISNUMBER(AVERAGE('20250815_ETF_Options_Exhibits'!I2184:I2188)),AVERAGE('20250815_ETF_Options_Exhibits'!I2184:I2188),"")</f>
        <v/>
      </c>
      <c r="J2188" s="3">
        <f>IF(ISNUMBER(AVERAGE('20250815_ETF_Options_Exhibits'!J2184:J2188)),AVERAGE('20250815_ETF_Options_Exhibits'!J2184:J2188),"")</f>
        <v/>
      </c>
      <c r="K2188" s="3">
        <f>IF(ISNUMBER(AVERAGE('20250815_ETF_Options_Exhibits'!K2184:K2188)),AVERAGE('20250815_ETF_Options_Exhibits'!K2184:K2188),"")</f>
        <v/>
      </c>
      <c r="L2188" s="3">
        <f>IF(ISNUMBER(AVERAGE('20250815_ETF_Options_Exhibits'!L2184:L2188)),AVERAGE('20250815_ETF_Options_Exhibits'!L2184:L2188),"")</f>
        <v/>
      </c>
      <c r="M2188" s="3">
        <f>IF(ISNUMBER(AVERAGE('20250815_ETF_Options_Exhibits'!M2184:M2188)),AVERAGE('20250815_ETF_Options_Exhibits'!M2184:M2188),"")</f>
        <v/>
      </c>
      <c r="N2188" s="3">
        <f>IF(ISNUMBER(AVERAGE('20250815_ETF_Options_Exhibits'!N2184:N2188)),AVERAGE('20250815_ETF_Options_Exhibits'!N2184:N2188),"")</f>
        <v/>
      </c>
      <c r="O2188" s="3">
        <f>IF(ISNUMBER(AVERAGE('20250815_ETF_Options_Exhibits'!O2184:O2188)),AVERAGE('20250815_ETF_Options_Exhibits'!O2184:O2188),"")</f>
        <v/>
      </c>
      <c r="P2188" s="3">
        <f>IF(ISNUMBER(AVERAGE('20250815_ETF_Options_Exhibits'!P2184:P2188)),AVERAGE('20250815_ETF_Options_Exhibits'!P2184:P2188),"")</f>
        <v/>
      </c>
      <c r="Q2188" s="3">
        <f>IF(ISNUMBER(AVERAGE('20250815_ETF_Options_Exhibits'!Q2184:Q2188)),AVERAGE('20250815_ETF_Options_Exhibits'!Q2184:Q2188),"")</f>
        <v/>
      </c>
      <c r="R2188" s="3">
        <f>IF(ISNUMBER(AVERAGE('20250815_ETF_Options_Exhibits'!R2184:R2188)),AVERAGE('20250815_ETF_Options_Exhibits'!R2184:R2188),"")</f>
        <v/>
      </c>
      <c r="S2188" s="3">
        <f>IF(ISNUMBER(AVERAGE('20250815_ETF_Options_Exhibits'!S2184:S2188)),AVERAGE('20250815_ETF_Options_Exhibits'!S2184:S2188),"")</f>
        <v/>
      </c>
      <c r="T2188" s="3">
        <f>IF(ISNUMBER(AVERAGE('20250815_ETF_Options_Exhibits'!T2184:T2188)),AVERAGE('20250815_ETF_Options_Exhibits'!T2184:T2188),"")</f>
        <v/>
      </c>
      <c r="U2188" s="3">
        <f>IF(ISNUMBER(AVERAGE('20250815_ETF_Options_Exhibits'!U2184:U2188)),AVERAGE('20250815_ETF_Options_Exhibits'!U2184:U2188),"")</f>
        <v/>
      </c>
      <c r="V2188" s="3">
        <f>IF(ISNUMBER(AVERAGE('20250815_ETF_Options_Exhibits'!V2184:V2188)),AVERAGE('20250815_ETF_Options_Exhibits'!V2184:V2188),"")</f>
        <v/>
      </c>
      <c r="W2188" s="3">
        <f>IF(ISNUMBER(AVERAGE('20250815_ETF_Options_Exhibits'!W2184:W2188)),AVERAGE('20250815_ETF_Options_Exhibits'!W2184:W2188),"")</f>
        <v/>
      </c>
      <c r="X2188" s="3">
        <f>IF(ISNUMBER(AVERAGE('20250815_ETF_Options_Exhibits'!X2184:X2188)),AVERAGE('20250815_ETF_Options_Exhibits'!X2184:X2188),"")</f>
        <v/>
      </c>
      <c r="Y2188" s="3">
        <f>IF(ISNUMBER(AVERAGE('20250815_ETF_Options_Exhibits'!Y2184:Y2188)),AVERAGE('20250815_ETF_Options_Exhibits'!Y2184:Y2188),"")</f>
        <v/>
      </c>
      <c r="Z2188" s="3">
        <f>IF(ISNUMBER(AVERAGE('20250815_ETF_Options_Exhibits'!Z2184:Z2188)),AVERAGE('20250815_ETF_Options_Exhibits'!Z2184:Z2188),"")</f>
        <v/>
      </c>
      <c r="AA2188" s="3">
        <f>IF(ISNUMBER(AVERAGE('20250815_ETF_Options_Exhibits'!AA2184:AA2188)),AVERAGE('20250815_ETF_Options_Exhibits'!AA2184:AA2188),"")</f>
        <v/>
      </c>
    </row>
    <row r="2189">
      <c r="A2189" s="1" t="n">
        <v>45180</v>
      </c>
      <c r="B2189" s="3">
        <f>IF(ISNUMBER(AVERAGE('20250815_ETF_Options_Exhibits'!B2185:B2189)),AVERAGE('20250815_ETF_Options_Exhibits'!B2185:B2189),"")</f>
        <v/>
      </c>
      <c r="C2189" s="3">
        <f>IF(ISNUMBER(AVERAGE('20250815_ETF_Options_Exhibits'!C2185:C2189)),AVERAGE('20250815_ETF_Options_Exhibits'!C2185:C2189),"")</f>
        <v/>
      </c>
      <c r="D2189" s="3">
        <f>IF(ISNUMBER(AVERAGE('20250815_ETF_Options_Exhibits'!D2185:D2189)),AVERAGE('20250815_ETF_Options_Exhibits'!D2185:D2189),"")</f>
        <v/>
      </c>
      <c r="E2189" s="3">
        <f>IF(ISNUMBER(AVERAGE('20250815_ETF_Options_Exhibits'!E2185:E2189)),AVERAGE('20250815_ETF_Options_Exhibits'!E2185:E2189),"")</f>
        <v/>
      </c>
      <c r="F2189" s="3">
        <f>IF(ISNUMBER(AVERAGE('20250815_ETF_Options_Exhibits'!F2185:F2189)),AVERAGE('20250815_ETF_Options_Exhibits'!F2185:F2189),"")</f>
        <v/>
      </c>
      <c r="G2189" s="3">
        <f>IF(ISNUMBER(AVERAGE('20250815_ETF_Options_Exhibits'!G2185:G2189)),AVERAGE('20250815_ETF_Options_Exhibits'!G2185:G2189),"")</f>
        <v/>
      </c>
      <c r="H2189" s="3">
        <f>IF(ISNUMBER(AVERAGE('20250815_ETF_Options_Exhibits'!H2185:H2189)),AVERAGE('20250815_ETF_Options_Exhibits'!H2185:H2189),"")</f>
        <v/>
      </c>
      <c r="I2189" s="3">
        <f>IF(ISNUMBER(AVERAGE('20250815_ETF_Options_Exhibits'!I2185:I2189)),AVERAGE('20250815_ETF_Options_Exhibits'!I2185:I2189),"")</f>
        <v/>
      </c>
      <c r="J2189" s="3">
        <f>IF(ISNUMBER(AVERAGE('20250815_ETF_Options_Exhibits'!J2185:J2189)),AVERAGE('20250815_ETF_Options_Exhibits'!J2185:J2189),"")</f>
        <v/>
      </c>
      <c r="K2189" s="3">
        <f>IF(ISNUMBER(AVERAGE('20250815_ETF_Options_Exhibits'!K2185:K2189)),AVERAGE('20250815_ETF_Options_Exhibits'!K2185:K2189),"")</f>
        <v/>
      </c>
      <c r="L2189" s="3">
        <f>IF(ISNUMBER(AVERAGE('20250815_ETF_Options_Exhibits'!L2185:L2189)),AVERAGE('20250815_ETF_Options_Exhibits'!L2185:L2189),"")</f>
        <v/>
      </c>
      <c r="M2189" s="3">
        <f>IF(ISNUMBER(AVERAGE('20250815_ETF_Options_Exhibits'!M2185:M2189)),AVERAGE('20250815_ETF_Options_Exhibits'!M2185:M2189),"")</f>
        <v/>
      </c>
      <c r="N2189" s="3">
        <f>IF(ISNUMBER(AVERAGE('20250815_ETF_Options_Exhibits'!N2185:N2189)),AVERAGE('20250815_ETF_Options_Exhibits'!N2185:N2189),"")</f>
        <v/>
      </c>
      <c r="O2189" s="3">
        <f>IF(ISNUMBER(AVERAGE('20250815_ETF_Options_Exhibits'!O2185:O2189)),AVERAGE('20250815_ETF_Options_Exhibits'!O2185:O2189),"")</f>
        <v/>
      </c>
      <c r="P2189" s="3">
        <f>IF(ISNUMBER(AVERAGE('20250815_ETF_Options_Exhibits'!P2185:P2189)),AVERAGE('20250815_ETF_Options_Exhibits'!P2185:P2189),"")</f>
        <v/>
      </c>
      <c r="Q2189" s="3">
        <f>IF(ISNUMBER(AVERAGE('20250815_ETF_Options_Exhibits'!Q2185:Q2189)),AVERAGE('20250815_ETF_Options_Exhibits'!Q2185:Q2189),"")</f>
        <v/>
      </c>
      <c r="R2189" s="3">
        <f>IF(ISNUMBER(AVERAGE('20250815_ETF_Options_Exhibits'!R2185:R2189)),AVERAGE('20250815_ETF_Options_Exhibits'!R2185:R2189),"")</f>
        <v/>
      </c>
      <c r="S2189" s="3">
        <f>IF(ISNUMBER(AVERAGE('20250815_ETF_Options_Exhibits'!S2185:S2189)),AVERAGE('20250815_ETF_Options_Exhibits'!S2185:S2189),"")</f>
        <v/>
      </c>
      <c r="T2189" s="3">
        <f>IF(ISNUMBER(AVERAGE('20250815_ETF_Options_Exhibits'!T2185:T2189)),AVERAGE('20250815_ETF_Options_Exhibits'!T2185:T2189),"")</f>
        <v/>
      </c>
      <c r="U2189" s="3">
        <f>IF(ISNUMBER(AVERAGE('20250815_ETF_Options_Exhibits'!U2185:U2189)),AVERAGE('20250815_ETF_Options_Exhibits'!U2185:U2189),"")</f>
        <v/>
      </c>
      <c r="V2189" s="3">
        <f>IF(ISNUMBER(AVERAGE('20250815_ETF_Options_Exhibits'!V2185:V2189)),AVERAGE('20250815_ETF_Options_Exhibits'!V2185:V2189),"")</f>
        <v/>
      </c>
      <c r="W2189" s="3">
        <f>IF(ISNUMBER(AVERAGE('20250815_ETF_Options_Exhibits'!W2185:W2189)),AVERAGE('20250815_ETF_Options_Exhibits'!W2185:W2189),"")</f>
        <v/>
      </c>
      <c r="X2189" s="3">
        <f>IF(ISNUMBER(AVERAGE('20250815_ETF_Options_Exhibits'!X2185:X2189)),AVERAGE('20250815_ETF_Options_Exhibits'!X2185:X2189),"")</f>
        <v/>
      </c>
      <c r="Y2189" s="3">
        <f>IF(ISNUMBER(AVERAGE('20250815_ETF_Options_Exhibits'!Y2185:Y2189)),AVERAGE('20250815_ETF_Options_Exhibits'!Y2185:Y2189),"")</f>
        <v/>
      </c>
      <c r="Z2189" s="3">
        <f>IF(ISNUMBER(AVERAGE('20250815_ETF_Options_Exhibits'!Z2185:Z2189)),AVERAGE('20250815_ETF_Options_Exhibits'!Z2185:Z2189),"")</f>
        <v/>
      </c>
      <c r="AA2189" s="3">
        <f>IF(ISNUMBER(AVERAGE('20250815_ETF_Options_Exhibits'!AA2185:AA2189)),AVERAGE('20250815_ETF_Options_Exhibits'!AA2185:AA2189),"")</f>
        <v/>
      </c>
    </row>
    <row r="2190">
      <c r="A2190" s="1" t="n">
        <v>45181</v>
      </c>
      <c r="B2190" s="3">
        <f>IF(ISNUMBER(AVERAGE('20250815_ETF_Options_Exhibits'!B2186:B2190)),AVERAGE('20250815_ETF_Options_Exhibits'!B2186:B2190),"")</f>
        <v/>
      </c>
      <c r="C2190" s="3">
        <f>IF(ISNUMBER(AVERAGE('20250815_ETF_Options_Exhibits'!C2186:C2190)),AVERAGE('20250815_ETF_Options_Exhibits'!C2186:C2190),"")</f>
        <v/>
      </c>
      <c r="D2190" s="3">
        <f>IF(ISNUMBER(AVERAGE('20250815_ETF_Options_Exhibits'!D2186:D2190)),AVERAGE('20250815_ETF_Options_Exhibits'!D2186:D2190),"")</f>
        <v/>
      </c>
      <c r="E2190" s="3">
        <f>IF(ISNUMBER(AVERAGE('20250815_ETF_Options_Exhibits'!E2186:E2190)),AVERAGE('20250815_ETF_Options_Exhibits'!E2186:E2190),"")</f>
        <v/>
      </c>
      <c r="F2190" s="3">
        <f>IF(ISNUMBER(AVERAGE('20250815_ETF_Options_Exhibits'!F2186:F2190)),AVERAGE('20250815_ETF_Options_Exhibits'!F2186:F2190),"")</f>
        <v/>
      </c>
      <c r="G2190" s="3">
        <f>IF(ISNUMBER(AVERAGE('20250815_ETF_Options_Exhibits'!G2186:G2190)),AVERAGE('20250815_ETF_Options_Exhibits'!G2186:G2190),"")</f>
        <v/>
      </c>
      <c r="H2190" s="3">
        <f>IF(ISNUMBER(AVERAGE('20250815_ETF_Options_Exhibits'!H2186:H2190)),AVERAGE('20250815_ETF_Options_Exhibits'!H2186:H2190),"")</f>
        <v/>
      </c>
      <c r="I2190" s="3">
        <f>IF(ISNUMBER(AVERAGE('20250815_ETF_Options_Exhibits'!I2186:I2190)),AVERAGE('20250815_ETF_Options_Exhibits'!I2186:I2190),"")</f>
        <v/>
      </c>
      <c r="J2190" s="3">
        <f>IF(ISNUMBER(AVERAGE('20250815_ETF_Options_Exhibits'!J2186:J2190)),AVERAGE('20250815_ETF_Options_Exhibits'!J2186:J2190),"")</f>
        <v/>
      </c>
      <c r="K2190" s="3">
        <f>IF(ISNUMBER(AVERAGE('20250815_ETF_Options_Exhibits'!K2186:K2190)),AVERAGE('20250815_ETF_Options_Exhibits'!K2186:K2190),"")</f>
        <v/>
      </c>
      <c r="L2190" s="3">
        <f>IF(ISNUMBER(AVERAGE('20250815_ETF_Options_Exhibits'!L2186:L2190)),AVERAGE('20250815_ETF_Options_Exhibits'!L2186:L2190),"")</f>
        <v/>
      </c>
      <c r="M2190" s="3">
        <f>IF(ISNUMBER(AVERAGE('20250815_ETF_Options_Exhibits'!M2186:M2190)),AVERAGE('20250815_ETF_Options_Exhibits'!M2186:M2190),"")</f>
        <v/>
      </c>
      <c r="N2190" s="3">
        <f>IF(ISNUMBER(AVERAGE('20250815_ETF_Options_Exhibits'!N2186:N2190)),AVERAGE('20250815_ETF_Options_Exhibits'!N2186:N2190),"")</f>
        <v/>
      </c>
      <c r="O2190" s="3">
        <f>IF(ISNUMBER(AVERAGE('20250815_ETF_Options_Exhibits'!O2186:O2190)),AVERAGE('20250815_ETF_Options_Exhibits'!O2186:O2190),"")</f>
        <v/>
      </c>
      <c r="P2190" s="3">
        <f>IF(ISNUMBER(AVERAGE('20250815_ETF_Options_Exhibits'!P2186:P2190)),AVERAGE('20250815_ETF_Options_Exhibits'!P2186:P2190),"")</f>
        <v/>
      </c>
      <c r="Q2190" s="3">
        <f>IF(ISNUMBER(AVERAGE('20250815_ETF_Options_Exhibits'!Q2186:Q2190)),AVERAGE('20250815_ETF_Options_Exhibits'!Q2186:Q2190),"")</f>
        <v/>
      </c>
      <c r="R2190" s="3">
        <f>IF(ISNUMBER(AVERAGE('20250815_ETF_Options_Exhibits'!R2186:R2190)),AVERAGE('20250815_ETF_Options_Exhibits'!R2186:R2190),"")</f>
        <v/>
      </c>
      <c r="S2190" s="3">
        <f>IF(ISNUMBER(AVERAGE('20250815_ETF_Options_Exhibits'!S2186:S2190)),AVERAGE('20250815_ETF_Options_Exhibits'!S2186:S2190),"")</f>
        <v/>
      </c>
      <c r="T2190" s="3">
        <f>IF(ISNUMBER(AVERAGE('20250815_ETF_Options_Exhibits'!T2186:T2190)),AVERAGE('20250815_ETF_Options_Exhibits'!T2186:T2190),"")</f>
        <v/>
      </c>
      <c r="U2190" s="3">
        <f>IF(ISNUMBER(AVERAGE('20250815_ETF_Options_Exhibits'!U2186:U2190)),AVERAGE('20250815_ETF_Options_Exhibits'!U2186:U2190),"")</f>
        <v/>
      </c>
      <c r="V2190" s="3">
        <f>IF(ISNUMBER(AVERAGE('20250815_ETF_Options_Exhibits'!V2186:V2190)),AVERAGE('20250815_ETF_Options_Exhibits'!V2186:V2190),"")</f>
        <v/>
      </c>
      <c r="W2190" s="3">
        <f>IF(ISNUMBER(AVERAGE('20250815_ETF_Options_Exhibits'!W2186:W2190)),AVERAGE('20250815_ETF_Options_Exhibits'!W2186:W2190),"")</f>
        <v/>
      </c>
      <c r="X2190" s="3">
        <f>IF(ISNUMBER(AVERAGE('20250815_ETF_Options_Exhibits'!X2186:X2190)),AVERAGE('20250815_ETF_Options_Exhibits'!X2186:X2190),"")</f>
        <v/>
      </c>
      <c r="Y2190" s="3">
        <f>IF(ISNUMBER(AVERAGE('20250815_ETF_Options_Exhibits'!Y2186:Y2190)),AVERAGE('20250815_ETF_Options_Exhibits'!Y2186:Y2190),"")</f>
        <v/>
      </c>
      <c r="Z2190" s="3">
        <f>IF(ISNUMBER(AVERAGE('20250815_ETF_Options_Exhibits'!Z2186:Z2190)),AVERAGE('20250815_ETF_Options_Exhibits'!Z2186:Z2190),"")</f>
        <v/>
      </c>
      <c r="AA2190" s="3">
        <f>IF(ISNUMBER(AVERAGE('20250815_ETF_Options_Exhibits'!AA2186:AA2190)),AVERAGE('20250815_ETF_Options_Exhibits'!AA2186:AA2190),"")</f>
        <v/>
      </c>
    </row>
    <row r="2191">
      <c r="A2191" s="1" t="n">
        <v>45182</v>
      </c>
      <c r="B2191" s="3">
        <f>IF(ISNUMBER(AVERAGE('20250815_ETF_Options_Exhibits'!B2187:B2191)),AVERAGE('20250815_ETF_Options_Exhibits'!B2187:B2191),"")</f>
        <v/>
      </c>
      <c r="C2191" s="3">
        <f>IF(ISNUMBER(AVERAGE('20250815_ETF_Options_Exhibits'!C2187:C2191)),AVERAGE('20250815_ETF_Options_Exhibits'!C2187:C2191),"")</f>
        <v/>
      </c>
      <c r="D2191" s="3">
        <f>IF(ISNUMBER(AVERAGE('20250815_ETF_Options_Exhibits'!D2187:D2191)),AVERAGE('20250815_ETF_Options_Exhibits'!D2187:D2191),"")</f>
        <v/>
      </c>
      <c r="E2191" s="3">
        <f>IF(ISNUMBER(AVERAGE('20250815_ETF_Options_Exhibits'!E2187:E2191)),AVERAGE('20250815_ETF_Options_Exhibits'!E2187:E2191),"")</f>
        <v/>
      </c>
      <c r="F2191" s="3">
        <f>IF(ISNUMBER(AVERAGE('20250815_ETF_Options_Exhibits'!F2187:F2191)),AVERAGE('20250815_ETF_Options_Exhibits'!F2187:F2191),"")</f>
        <v/>
      </c>
      <c r="G2191" s="3">
        <f>IF(ISNUMBER(AVERAGE('20250815_ETF_Options_Exhibits'!G2187:G2191)),AVERAGE('20250815_ETF_Options_Exhibits'!G2187:G2191),"")</f>
        <v/>
      </c>
      <c r="H2191" s="3">
        <f>IF(ISNUMBER(AVERAGE('20250815_ETF_Options_Exhibits'!H2187:H2191)),AVERAGE('20250815_ETF_Options_Exhibits'!H2187:H2191),"")</f>
        <v/>
      </c>
      <c r="I2191" s="3">
        <f>IF(ISNUMBER(AVERAGE('20250815_ETF_Options_Exhibits'!I2187:I2191)),AVERAGE('20250815_ETF_Options_Exhibits'!I2187:I2191),"")</f>
        <v/>
      </c>
      <c r="J2191" s="3">
        <f>IF(ISNUMBER(AVERAGE('20250815_ETF_Options_Exhibits'!J2187:J2191)),AVERAGE('20250815_ETF_Options_Exhibits'!J2187:J2191),"")</f>
        <v/>
      </c>
      <c r="K2191" s="3">
        <f>IF(ISNUMBER(AVERAGE('20250815_ETF_Options_Exhibits'!K2187:K2191)),AVERAGE('20250815_ETF_Options_Exhibits'!K2187:K2191),"")</f>
        <v/>
      </c>
      <c r="L2191" s="3">
        <f>IF(ISNUMBER(AVERAGE('20250815_ETF_Options_Exhibits'!L2187:L2191)),AVERAGE('20250815_ETF_Options_Exhibits'!L2187:L2191),"")</f>
        <v/>
      </c>
      <c r="M2191" s="3">
        <f>IF(ISNUMBER(AVERAGE('20250815_ETF_Options_Exhibits'!M2187:M2191)),AVERAGE('20250815_ETF_Options_Exhibits'!M2187:M2191),"")</f>
        <v/>
      </c>
      <c r="N2191" s="3">
        <f>IF(ISNUMBER(AVERAGE('20250815_ETF_Options_Exhibits'!N2187:N2191)),AVERAGE('20250815_ETF_Options_Exhibits'!N2187:N2191),"")</f>
        <v/>
      </c>
      <c r="O2191" s="3">
        <f>IF(ISNUMBER(AVERAGE('20250815_ETF_Options_Exhibits'!O2187:O2191)),AVERAGE('20250815_ETF_Options_Exhibits'!O2187:O2191),"")</f>
        <v/>
      </c>
      <c r="P2191" s="3">
        <f>IF(ISNUMBER(AVERAGE('20250815_ETF_Options_Exhibits'!P2187:P2191)),AVERAGE('20250815_ETF_Options_Exhibits'!P2187:P2191),"")</f>
        <v/>
      </c>
      <c r="Q2191" s="3">
        <f>IF(ISNUMBER(AVERAGE('20250815_ETF_Options_Exhibits'!Q2187:Q2191)),AVERAGE('20250815_ETF_Options_Exhibits'!Q2187:Q2191),"")</f>
        <v/>
      </c>
      <c r="R2191" s="3">
        <f>IF(ISNUMBER(AVERAGE('20250815_ETF_Options_Exhibits'!R2187:R2191)),AVERAGE('20250815_ETF_Options_Exhibits'!R2187:R2191),"")</f>
        <v/>
      </c>
      <c r="S2191" s="3">
        <f>IF(ISNUMBER(AVERAGE('20250815_ETF_Options_Exhibits'!S2187:S2191)),AVERAGE('20250815_ETF_Options_Exhibits'!S2187:S2191),"")</f>
        <v/>
      </c>
      <c r="T2191" s="3">
        <f>IF(ISNUMBER(AVERAGE('20250815_ETF_Options_Exhibits'!T2187:T2191)),AVERAGE('20250815_ETF_Options_Exhibits'!T2187:T2191),"")</f>
        <v/>
      </c>
      <c r="U2191" s="3">
        <f>IF(ISNUMBER(AVERAGE('20250815_ETF_Options_Exhibits'!U2187:U2191)),AVERAGE('20250815_ETF_Options_Exhibits'!U2187:U2191),"")</f>
        <v/>
      </c>
      <c r="V2191" s="3">
        <f>IF(ISNUMBER(AVERAGE('20250815_ETF_Options_Exhibits'!V2187:V2191)),AVERAGE('20250815_ETF_Options_Exhibits'!V2187:V2191),"")</f>
        <v/>
      </c>
      <c r="W2191" s="3">
        <f>IF(ISNUMBER(AVERAGE('20250815_ETF_Options_Exhibits'!W2187:W2191)),AVERAGE('20250815_ETF_Options_Exhibits'!W2187:W2191),"")</f>
        <v/>
      </c>
      <c r="X2191" s="3">
        <f>IF(ISNUMBER(AVERAGE('20250815_ETF_Options_Exhibits'!X2187:X2191)),AVERAGE('20250815_ETF_Options_Exhibits'!X2187:X2191),"")</f>
        <v/>
      </c>
      <c r="Y2191" s="3">
        <f>IF(ISNUMBER(AVERAGE('20250815_ETF_Options_Exhibits'!Y2187:Y2191)),AVERAGE('20250815_ETF_Options_Exhibits'!Y2187:Y2191),"")</f>
        <v/>
      </c>
      <c r="Z2191" s="3">
        <f>IF(ISNUMBER(AVERAGE('20250815_ETF_Options_Exhibits'!Z2187:Z2191)),AVERAGE('20250815_ETF_Options_Exhibits'!Z2187:Z2191),"")</f>
        <v/>
      </c>
      <c r="AA2191" s="3">
        <f>IF(ISNUMBER(AVERAGE('20250815_ETF_Options_Exhibits'!AA2187:AA2191)),AVERAGE('20250815_ETF_Options_Exhibits'!AA2187:AA2191),"")</f>
        <v/>
      </c>
    </row>
    <row r="2192">
      <c r="A2192" s="1" t="n">
        <v>45183</v>
      </c>
      <c r="B2192" s="3">
        <f>IF(ISNUMBER(AVERAGE('20250815_ETF_Options_Exhibits'!B2188:B2192)),AVERAGE('20250815_ETF_Options_Exhibits'!B2188:B2192),"")</f>
        <v/>
      </c>
      <c r="C2192" s="3">
        <f>IF(ISNUMBER(AVERAGE('20250815_ETF_Options_Exhibits'!C2188:C2192)),AVERAGE('20250815_ETF_Options_Exhibits'!C2188:C2192),"")</f>
        <v/>
      </c>
      <c r="D2192" s="3">
        <f>IF(ISNUMBER(AVERAGE('20250815_ETF_Options_Exhibits'!D2188:D2192)),AVERAGE('20250815_ETF_Options_Exhibits'!D2188:D2192),"")</f>
        <v/>
      </c>
      <c r="E2192" s="3">
        <f>IF(ISNUMBER(AVERAGE('20250815_ETF_Options_Exhibits'!E2188:E2192)),AVERAGE('20250815_ETF_Options_Exhibits'!E2188:E2192),"")</f>
        <v/>
      </c>
      <c r="F2192" s="3">
        <f>IF(ISNUMBER(AVERAGE('20250815_ETF_Options_Exhibits'!F2188:F2192)),AVERAGE('20250815_ETF_Options_Exhibits'!F2188:F2192),"")</f>
        <v/>
      </c>
      <c r="G2192" s="3">
        <f>IF(ISNUMBER(AVERAGE('20250815_ETF_Options_Exhibits'!G2188:G2192)),AVERAGE('20250815_ETF_Options_Exhibits'!G2188:G2192),"")</f>
        <v/>
      </c>
      <c r="H2192" s="3">
        <f>IF(ISNUMBER(AVERAGE('20250815_ETF_Options_Exhibits'!H2188:H2192)),AVERAGE('20250815_ETF_Options_Exhibits'!H2188:H2192),"")</f>
        <v/>
      </c>
      <c r="I2192" s="3">
        <f>IF(ISNUMBER(AVERAGE('20250815_ETF_Options_Exhibits'!I2188:I2192)),AVERAGE('20250815_ETF_Options_Exhibits'!I2188:I2192),"")</f>
        <v/>
      </c>
      <c r="J2192" s="3">
        <f>IF(ISNUMBER(AVERAGE('20250815_ETF_Options_Exhibits'!J2188:J2192)),AVERAGE('20250815_ETF_Options_Exhibits'!J2188:J2192),"")</f>
        <v/>
      </c>
      <c r="K2192" s="3">
        <f>IF(ISNUMBER(AVERAGE('20250815_ETF_Options_Exhibits'!K2188:K2192)),AVERAGE('20250815_ETF_Options_Exhibits'!K2188:K2192),"")</f>
        <v/>
      </c>
      <c r="L2192" s="3">
        <f>IF(ISNUMBER(AVERAGE('20250815_ETF_Options_Exhibits'!L2188:L2192)),AVERAGE('20250815_ETF_Options_Exhibits'!L2188:L2192),"")</f>
        <v/>
      </c>
      <c r="M2192" s="3">
        <f>IF(ISNUMBER(AVERAGE('20250815_ETF_Options_Exhibits'!M2188:M2192)),AVERAGE('20250815_ETF_Options_Exhibits'!M2188:M2192),"")</f>
        <v/>
      </c>
      <c r="N2192" s="3">
        <f>IF(ISNUMBER(AVERAGE('20250815_ETF_Options_Exhibits'!N2188:N2192)),AVERAGE('20250815_ETF_Options_Exhibits'!N2188:N2192),"")</f>
        <v/>
      </c>
      <c r="O2192" s="3">
        <f>IF(ISNUMBER(AVERAGE('20250815_ETF_Options_Exhibits'!O2188:O2192)),AVERAGE('20250815_ETF_Options_Exhibits'!O2188:O2192),"")</f>
        <v/>
      </c>
      <c r="P2192" s="3">
        <f>IF(ISNUMBER(AVERAGE('20250815_ETF_Options_Exhibits'!P2188:P2192)),AVERAGE('20250815_ETF_Options_Exhibits'!P2188:P2192),"")</f>
        <v/>
      </c>
      <c r="Q2192" s="3">
        <f>IF(ISNUMBER(AVERAGE('20250815_ETF_Options_Exhibits'!Q2188:Q2192)),AVERAGE('20250815_ETF_Options_Exhibits'!Q2188:Q2192),"")</f>
        <v/>
      </c>
      <c r="R2192" s="3">
        <f>IF(ISNUMBER(AVERAGE('20250815_ETF_Options_Exhibits'!R2188:R2192)),AVERAGE('20250815_ETF_Options_Exhibits'!R2188:R2192),"")</f>
        <v/>
      </c>
      <c r="S2192" s="3">
        <f>IF(ISNUMBER(AVERAGE('20250815_ETF_Options_Exhibits'!S2188:S2192)),AVERAGE('20250815_ETF_Options_Exhibits'!S2188:S2192),"")</f>
        <v/>
      </c>
      <c r="T2192" s="3">
        <f>IF(ISNUMBER(AVERAGE('20250815_ETF_Options_Exhibits'!T2188:T2192)),AVERAGE('20250815_ETF_Options_Exhibits'!T2188:T2192),"")</f>
        <v/>
      </c>
      <c r="U2192" s="3">
        <f>IF(ISNUMBER(AVERAGE('20250815_ETF_Options_Exhibits'!U2188:U2192)),AVERAGE('20250815_ETF_Options_Exhibits'!U2188:U2192),"")</f>
        <v/>
      </c>
      <c r="V2192" s="3">
        <f>IF(ISNUMBER(AVERAGE('20250815_ETF_Options_Exhibits'!V2188:V2192)),AVERAGE('20250815_ETF_Options_Exhibits'!V2188:V2192),"")</f>
        <v/>
      </c>
      <c r="W2192" s="3">
        <f>IF(ISNUMBER(AVERAGE('20250815_ETF_Options_Exhibits'!W2188:W2192)),AVERAGE('20250815_ETF_Options_Exhibits'!W2188:W2192),"")</f>
        <v/>
      </c>
      <c r="X2192" s="3">
        <f>IF(ISNUMBER(AVERAGE('20250815_ETF_Options_Exhibits'!X2188:X2192)),AVERAGE('20250815_ETF_Options_Exhibits'!X2188:X2192),"")</f>
        <v/>
      </c>
      <c r="Y2192" s="3">
        <f>IF(ISNUMBER(AVERAGE('20250815_ETF_Options_Exhibits'!Y2188:Y2192)),AVERAGE('20250815_ETF_Options_Exhibits'!Y2188:Y2192),"")</f>
        <v/>
      </c>
      <c r="Z2192" s="3">
        <f>IF(ISNUMBER(AVERAGE('20250815_ETF_Options_Exhibits'!Z2188:Z2192)),AVERAGE('20250815_ETF_Options_Exhibits'!Z2188:Z2192),"")</f>
        <v/>
      </c>
      <c r="AA2192" s="3">
        <f>IF(ISNUMBER(AVERAGE('20250815_ETF_Options_Exhibits'!AA2188:AA2192)),AVERAGE('20250815_ETF_Options_Exhibits'!AA2188:AA2192),"")</f>
        <v/>
      </c>
    </row>
    <row r="2193">
      <c r="A2193" s="1" t="n">
        <v>45184</v>
      </c>
      <c r="B2193" s="3">
        <f>IF(ISNUMBER(AVERAGE('20250815_ETF_Options_Exhibits'!B2189:B2193)),AVERAGE('20250815_ETF_Options_Exhibits'!B2189:B2193),"")</f>
        <v/>
      </c>
      <c r="C2193" s="3">
        <f>IF(ISNUMBER(AVERAGE('20250815_ETF_Options_Exhibits'!C2189:C2193)),AVERAGE('20250815_ETF_Options_Exhibits'!C2189:C2193),"")</f>
        <v/>
      </c>
      <c r="D2193" s="3">
        <f>IF(ISNUMBER(AVERAGE('20250815_ETF_Options_Exhibits'!D2189:D2193)),AVERAGE('20250815_ETF_Options_Exhibits'!D2189:D2193),"")</f>
        <v/>
      </c>
      <c r="E2193" s="3">
        <f>IF(ISNUMBER(AVERAGE('20250815_ETF_Options_Exhibits'!E2189:E2193)),AVERAGE('20250815_ETF_Options_Exhibits'!E2189:E2193),"")</f>
        <v/>
      </c>
      <c r="F2193" s="3">
        <f>IF(ISNUMBER(AVERAGE('20250815_ETF_Options_Exhibits'!F2189:F2193)),AVERAGE('20250815_ETF_Options_Exhibits'!F2189:F2193),"")</f>
        <v/>
      </c>
      <c r="G2193" s="3">
        <f>IF(ISNUMBER(AVERAGE('20250815_ETF_Options_Exhibits'!G2189:G2193)),AVERAGE('20250815_ETF_Options_Exhibits'!G2189:G2193),"")</f>
        <v/>
      </c>
      <c r="H2193" s="3">
        <f>IF(ISNUMBER(AVERAGE('20250815_ETF_Options_Exhibits'!H2189:H2193)),AVERAGE('20250815_ETF_Options_Exhibits'!H2189:H2193),"")</f>
        <v/>
      </c>
      <c r="I2193" s="3">
        <f>IF(ISNUMBER(AVERAGE('20250815_ETF_Options_Exhibits'!I2189:I2193)),AVERAGE('20250815_ETF_Options_Exhibits'!I2189:I2193),"")</f>
        <v/>
      </c>
      <c r="J2193" s="3">
        <f>IF(ISNUMBER(AVERAGE('20250815_ETF_Options_Exhibits'!J2189:J2193)),AVERAGE('20250815_ETF_Options_Exhibits'!J2189:J2193),"")</f>
        <v/>
      </c>
      <c r="K2193" s="3">
        <f>IF(ISNUMBER(AVERAGE('20250815_ETF_Options_Exhibits'!K2189:K2193)),AVERAGE('20250815_ETF_Options_Exhibits'!K2189:K2193),"")</f>
        <v/>
      </c>
      <c r="L2193" s="3">
        <f>IF(ISNUMBER(AVERAGE('20250815_ETF_Options_Exhibits'!L2189:L2193)),AVERAGE('20250815_ETF_Options_Exhibits'!L2189:L2193),"")</f>
        <v/>
      </c>
      <c r="M2193" s="3">
        <f>IF(ISNUMBER(AVERAGE('20250815_ETF_Options_Exhibits'!M2189:M2193)),AVERAGE('20250815_ETF_Options_Exhibits'!M2189:M2193),"")</f>
        <v/>
      </c>
      <c r="N2193" s="3">
        <f>IF(ISNUMBER(AVERAGE('20250815_ETF_Options_Exhibits'!N2189:N2193)),AVERAGE('20250815_ETF_Options_Exhibits'!N2189:N2193),"")</f>
        <v/>
      </c>
      <c r="O2193" s="3">
        <f>IF(ISNUMBER(AVERAGE('20250815_ETF_Options_Exhibits'!O2189:O2193)),AVERAGE('20250815_ETF_Options_Exhibits'!O2189:O2193),"")</f>
        <v/>
      </c>
      <c r="P2193" s="3">
        <f>IF(ISNUMBER(AVERAGE('20250815_ETF_Options_Exhibits'!P2189:P2193)),AVERAGE('20250815_ETF_Options_Exhibits'!P2189:P2193),"")</f>
        <v/>
      </c>
      <c r="Q2193" s="3">
        <f>IF(ISNUMBER(AVERAGE('20250815_ETF_Options_Exhibits'!Q2189:Q2193)),AVERAGE('20250815_ETF_Options_Exhibits'!Q2189:Q2193),"")</f>
        <v/>
      </c>
      <c r="R2193" s="3">
        <f>IF(ISNUMBER(AVERAGE('20250815_ETF_Options_Exhibits'!R2189:R2193)),AVERAGE('20250815_ETF_Options_Exhibits'!R2189:R2193),"")</f>
        <v/>
      </c>
      <c r="S2193" s="3">
        <f>IF(ISNUMBER(AVERAGE('20250815_ETF_Options_Exhibits'!S2189:S2193)),AVERAGE('20250815_ETF_Options_Exhibits'!S2189:S2193),"")</f>
        <v/>
      </c>
      <c r="T2193" s="3">
        <f>IF(ISNUMBER(AVERAGE('20250815_ETF_Options_Exhibits'!T2189:T2193)),AVERAGE('20250815_ETF_Options_Exhibits'!T2189:T2193),"")</f>
        <v/>
      </c>
      <c r="U2193" s="3">
        <f>IF(ISNUMBER(AVERAGE('20250815_ETF_Options_Exhibits'!U2189:U2193)),AVERAGE('20250815_ETF_Options_Exhibits'!U2189:U2193),"")</f>
        <v/>
      </c>
      <c r="V2193" s="3">
        <f>IF(ISNUMBER(AVERAGE('20250815_ETF_Options_Exhibits'!V2189:V2193)),AVERAGE('20250815_ETF_Options_Exhibits'!V2189:V2193),"")</f>
        <v/>
      </c>
      <c r="W2193" s="3">
        <f>IF(ISNUMBER(AVERAGE('20250815_ETF_Options_Exhibits'!W2189:W2193)),AVERAGE('20250815_ETF_Options_Exhibits'!W2189:W2193),"")</f>
        <v/>
      </c>
      <c r="X2193" s="3">
        <f>IF(ISNUMBER(AVERAGE('20250815_ETF_Options_Exhibits'!X2189:X2193)),AVERAGE('20250815_ETF_Options_Exhibits'!X2189:X2193),"")</f>
        <v/>
      </c>
      <c r="Y2193" s="3">
        <f>IF(ISNUMBER(AVERAGE('20250815_ETF_Options_Exhibits'!Y2189:Y2193)),AVERAGE('20250815_ETF_Options_Exhibits'!Y2189:Y2193),"")</f>
        <v/>
      </c>
      <c r="Z2193" s="3">
        <f>IF(ISNUMBER(AVERAGE('20250815_ETF_Options_Exhibits'!Z2189:Z2193)),AVERAGE('20250815_ETF_Options_Exhibits'!Z2189:Z2193),"")</f>
        <v/>
      </c>
      <c r="AA2193" s="3">
        <f>IF(ISNUMBER(AVERAGE('20250815_ETF_Options_Exhibits'!AA2189:AA2193)),AVERAGE('20250815_ETF_Options_Exhibits'!AA2189:AA2193),"")</f>
        <v/>
      </c>
    </row>
    <row r="2194">
      <c r="A2194" s="1" t="n">
        <v>45187</v>
      </c>
      <c r="B2194" s="3">
        <f>IF(ISNUMBER(AVERAGE('20250815_ETF_Options_Exhibits'!B2190:B2194)),AVERAGE('20250815_ETF_Options_Exhibits'!B2190:B2194),"")</f>
        <v/>
      </c>
      <c r="C2194" s="3">
        <f>IF(ISNUMBER(AVERAGE('20250815_ETF_Options_Exhibits'!C2190:C2194)),AVERAGE('20250815_ETF_Options_Exhibits'!C2190:C2194),"")</f>
        <v/>
      </c>
      <c r="D2194" s="3">
        <f>IF(ISNUMBER(AVERAGE('20250815_ETF_Options_Exhibits'!D2190:D2194)),AVERAGE('20250815_ETF_Options_Exhibits'!D2190:D2194),"")</f>
        <v/>
      </c>
      <c r="E2194" s="3">
        <f>IF(ISNUMBER(AVERAGE('20250815_ETF_Options_Exhibits'!E2190:E2194)),AVERAGE('20250815_ETF_Options_Exhibits'!E2190:E2194),"")</f>
        <v/>
      </c>
      <c r="F2194" s="3">
        <f>IF(ISNUMBER(AVERAGE('20250815_ETF_Options_Exhibits'!F2190:F2194)),AVERAGE('20250815_ETF_Options_Exhibits'!F2190:F2194),"")</f>
        <v/>
      </c>
      <c r="G2194" s="3">
        <f>IF(ISNUMBER(AVERAGE('20250815_ETF_Options_Exhibits'!G2190:G2194)),AVERAGE('20250815_ETF_Options_Exhibits'!G2190:G2194),"")</f>
        <v/>
      </c>
      <c r="H2194" s="3">
        <f>IF(ISNUMBER(AVERAGE('20250815_ETF_Options_Exhibits'!H2190:H2194)),AVERAGE('20250815_ETF_Options_Exhibits'!H2190:H2194),"")</f>
        <v/>
      </c>
      <c r="I2194" s="3">
        <f>IF(ISNUMBER(AVERAGE('20250815_ETF_Options_Exhibits'!I2190:I2194)),AVERAGE('20250815_ETF_Options_Exhibits'!I2190:I2194),"")</f>
        <v/>
      </c>
      <c r="J2194" s="3">
        <f>IF(ISNUMBER(AVERAGE('20250815_ETF_Options_Exhibits'!J2190:J2194)),AVERAGE('20250815_ETF_Options_Exhibits'!J2190:J2194),"")</f>
        <v/>
      </c>
      <c r="K2194" s="3">
        <f>IF(ISNUMBER(AVERAGE('20250815_ETF_Options_Exhibits'!K2190:K2194)),AVERAGE('20250815_ETF_Options_Exhibits'!K2190:K2194),"")</f>
        <v/>
      </c>
      <c r="L2194" s="3">
        <f>IF(ISNUMBER(AVERAGE('20250815_ETF_Options_Exhibits'!L2190:L2194)),AVERAGE('20250815_ETF_Options_Exhibits'!L2190:L2194),"")</f>
        <v/>
      </c>
      <c r="M2194" s="3">
        <f>IF(ISNUMBER(AVERAGE('20250815_ETF_Options_Exhibits'!M2190:M2194)),AVERAGE('20250815_ETF_Options_Exhibits'!M2190:M2194),"")</f>
        <v/>
      </c>
      <c r="N2194" s="3">
        <f>IF(ISNUMBER(AVERAGE('20250815_ETF_Options_Exhibits'!N2190:N2194)),AVERAGE('20250815_ETF_Options_Exhibits'!N2190:N2194),"")</f>
        <v/>
      </c>
      <c r="O2194" s="3">
        <f>IF(ISNUMBER(AVERAGE('20250815_ETF_Options_Exhibits'!O2190:O2194)),AVERAGE('20250815_ETF_Options_Exhibits'!O2190:O2194),"")</f>
        <v/>
      </c>
      <c r="P2194" s="3">
        <f>IF(ISNUMBER(AVERAGE('20250815_ETF_Options_Exhibits'!P2190:P2194)),AVERAGE('20250815_ETF_Options_Exhibits'!P2190:P2194),"")</f>
        <v/>
      </c>
      <c r="Q2194" s="3">
        <f>IF(ISNUMBER(AVERAGE('20250815_ETF_Options_Exhibits'!Q2190:Q2194)),AVERAGE('20250815_ETF_Options_Exhibits'!Q2190:Q2194),"")</f>
        <v/>
      </c>
      <c r="R2194" s="3">
        <f>IF(ISNUMBER(AVERAGE('20250815_ETF_Options_Exhibits'!R2190:R2194)),AVERAGE('20250815_ETF_Options_Exhibits'!R2190:R2194),"")</f>
        <v/>
      </c>
      <c r="S2194" s="3">
        <f>IF(ISNUMBER(AVERAGE('20250815_ETF_Options_Exhibits'!S2190:S2194)),AVERAGE('20250815_ETF_Options_Exhibits'!S2190:S2194),"")</f>
        <v/>
      </c>
      <c r="T2194" s="3">
        <f>IF(ISNUMBER(AVERAGE('20250815_ETF_Options_Exhibits'!T2190:T2194)),AVERAGE('20250815_ETF_Options_Exhibits'!T2190:T2194),"")</f>
        <v/>
      </c>
      <c r="U2194" s="3">
        <f>IF(ISNUMBER(AVERAGE('20250815_ETF_Options_Exhibits'!U2190:U2194)),AVERAGE('20250815_ETF_Options_Exhibits'!U2190:U2194),"")</f>
        <v/>
      </c>
      <c r="V2194" s="3">
        <f>IF(ISNUMBER(AVERAGE('20250815_ETF_Options_Exhibits'!V2190:V2194)),AVERAGE('20250815_ETF_Options_Exhibits'!V2190:V2194),"")</f>
        <v/>
      </c>
      <c r="W2194" s="3">
        <f>IF(ISNUMBER(AVERAGE('20250815_ETF_Options_Exhibits'!W2190:W2194)),AVERAGE('20250815_ETF_Options_Exhibits'!W2190:W2194),"")</f>
        <v/>
      </c>
      <c r="X2194" s="3">
        <f>IF(ISNUMBER(AVERAGE('20250815_ETF_Options_Exhibits'!X2190:X2194)),AVERAGE('20250815_ETF_Options_Exhibits'!X2190:X2194),"")</f>
        <v/>
      </c>
      <c r="Y2194" s="3">
        <f>IF(ISNUMBER(AVERAGE('20250815_ETF_Options_Exhibits'!Y2190:Y2194)),AVERAGE('20250815_ETF_Options_Exhibits'!Y2190:Y2194),"")</f>
        <v/>
      </c>
      <c r="Z2194" s="3">
        <f>IF(ISNUMBER(AVERAGE('20250815_ETF_Options_Exhibits'!Z2190:Z2194)),AVERAGE('20250815_ETF_Options_Exhibits'!Z2190:Z2194),"")</f>
        <v/>
      </c>
      <c r="AA2194" s="3">
        <f>IF(ISNUMBER(AVERAGE('20250815_ETF_Options_Exhibits'!AA2190:AA2194)),AVERAGE('20250815_ETF_Options_Exhibits'!AA2190:AA2194),"")</f>
        <v/>
      </c>
    </row>
    <row r="2195">
      <c r="A2195" s="1" t="n">
        <v>45188</v>
      </c>
      <c r="B2195" s="3">
        <f>IF(ISNUMBER(AVERAGE('20250815_ETF_Options_Exhibits'!B2191:B2195)),AVERAGE('20250815_ETF_Options_Exhibits'!B2191:B2195),"")</f>
        <v/>
      </c>
      <c r="C2195" s="3">
        <f>IF(ISNUMBER(AVERAGE('20250815_ETF_Options_Exhibits'!C2191:C2195)),AVERAGE('20250815_ETF_Options_Exhibits'!C2191:C2195),"")</f>
        <v/>
      </c>
      <c r="D2195" s="3">
        <f>IF(ISNUMBER(AVERAGE('20250815_ETF_Options_Exhibits'!D2191:D2195)),AVERAGE('20250815_ETF_Options_Exhibits'!D2191:D2195),"")</f>
        <v/>
      </c>
      <c r="E2195" s="3">
        <f>IF(ISNUMBER(AVERAGE('20250815_ETF_Options_Exhibits'!E2191:E2195)),AVERAGE('20250815_ETF_Options_Exhibits'!E2191:E2195),"")</f>
        <v/>
      </c>
      <c r="F2195" s="3">
        <f>IF(ISNUMBER(AVERAGE('20250815_ETF_Options_Exhibits'!F2191:F2195)),AVERAGE('20250815_ETF_Options_Exhibits'!F2191:F2195),"")</f>
        <v/>
      </c>
      <c r="G2195" s="3">
        <f>IF(ISNUMBER(AVERAGE('20250815_ETF_Options_Exhibits'!G2191:G2195)),AVERAGE('20250815_ETF_Options_Exhibits'!G2191:G2195),"")</f>
        <v/>
      </c>
      <c r="H2195" s="3">
        <f>IF(ISNUMBER(AVERAGE('20250815_ETF_Options_Exhibits'!H2191:H2195)),AVERAGE('20250815_ETF_Options_Exhibits'!H2191:H2195),"")</f>
        <v/>
      </c>
      <c r="I2195" s="3">
        <f>IF(ISNUMBER(AVERAGE('20250815_ETF_Options_Exhibits'!I2191:I2195)),AVERAGE('20250815_ETF_Options_Exhibits'!I2191:I2195),"")</f>
        <v/>
      </c>
      <c r="J2195" s="3">
        <f>IF(ISNUMBER(AVERAGE('20250815_ETF_Options_Exhibits'!J2191:J2195)),AVERAGE('20250815_ETF_Options_Exhibits'!J2191:J2195),"")</f>
        <v/>
      </c>
      <c r="K2195" s="3">
        <f>IF(ISNUMBER(AVERAGE('20250815_ETF_Options_Exhibits'!K2191:K2195)),AVERAGE('20250815_ETF_Options_Exhibits'!K2191:K2195),"")</f>
        <v/>
      </c>
      <c r="L2195" s="3">
        <f>IF(ISNUMBER(AVERAGE('20250815_ETF_Options_Exhibits'!L2191:L2195)),AVERAGE('20250815_ETF_Options_Exhibits'!L2191:L2195),"")</f>
        <v/>
      </c>
      <c r="M2195" s="3">
        <f>IF(ISNUMBER(AVERAGE('20250815_ETF_Options_Exhibits'!M2191:M2195)),AVERAGE('20250815_ETF_Options_Exhibits'!M2191:M2195),"")</f>
        <v/>
      </c>
      <c r="N2195" s="3">
        <f>IF(ISNUMBER(AVERAGE('20250815_ETF_Options_Exhibits'!N2191:N2195)),AVERAGE('20250815_ETF_Options_Exhibits'!N2191:N2195),"")</f>
        <v/>
      </c>
      <c r="O2195" s="3">
        <f>IF(ISNUMBER(AVERAGE('20250815_ETF_Options_Exhibits'!O2191:O2195)),AVERAGE('20250815_ETF_Options_Exhibits'!O2191:O2195),"")</f>
        <v/>
      </c>
      <c r="P2195" s="3">
        <f>IF(ISNUMBER(AVERAGE('20250815_ETF_Options_Exhibits'!P2191:P2195)),AVERAGE('20250815_ETF_Options_Exhibits'!P2191:P2195),"")</f>
        <v/>
      </c>
      <c r="Q2195" s="3">
        <f>IF(ISNUMBER(AVERAGE('20250815_ETF_Options_Exhibits'!Q2191:Q2195)),AVERAGE('20250815_ETF_Options_Exhibits'!Q2191:Q2195),"")</f>
        <v/>
      </c>
      <c r="R2195" s="3">
        <f>IF(ISNUMBER(AVERAGE('20250815_ETF_Options_Exhibits'!R2191:R2195)),AVERAGE('20250815_ETF_Options_Exhibits'!R2191:R2195),"")</f>
        <v/>
      </c>
      <c r="S2195" s="3">
        <f>IF(ISNUMBER(AVERAGE('20250815_ETF_Options_Exhibits'!S2191:S2195)),AVERAGE('20250815_ETF_Options_Exhibits'!S2191:S2195),"")</f>
        <v/>
      </c>
      <c r="T2195" s="3">
        <f>IF(ISNUMBER(AVERAGE('20250815_ETF_Options_Exhibits'!T2191:T2195)),AVERAGE('20250815_ETF_Options_Exhibits'!T2191:T2195),"")</f>
        <v/>
      </c>
      <c r="U2195" s="3">
        <f>IF(ISNUMBER(AVERAGE('20250815_ETF_Options_Exhibits'!U2191:U2195)),AVERAGE('20250815_ETF_Options_Exhibits'!U2191:U2195),"")</f>
        <v/>
      </c>
      <c r="V2195" s="3">
        <f>IF(ISNUMBER(AVERAGE('20250815_ETF_Options_Exhibits'!V2191:V2195)),AVERAGE('20250815_ETF_Options_Exhibits'!V2191:V2195),"")</f>
        <v/>
      </c>
      <c r="W2195" s="3">
        <f>IF(ISNUMBER(AVERAGE('20250815_ETF_Options_Exhibits'!W2191:W2195)),AVERAGE('20250815_ETF_Options_Exhibits'!W2191:W2195),"")</f>
        <v/>
      </c>
      <c r="X2195" s="3">
        <f>IF(ISNUMBER(AVERAGE('20250815_ETF_Options_Exhibits'!X2191:X2195)),AVERAGE('20250815_ETF_Options_Exhibits'!X2191:X2195),"")</f>
        <v/>
      </c>
      <c r="Y2195" s="3">
        <f>IF(ISNUMBER(AVERAGE('20250815_ETF_Options_Exhibits'!Y2191:Y2195)),AVERAGE('20250815_ETF_Options_Exhibits'!Y2191:Y2195),"")</f>
        <v/>
      </c>
      <c r="Z2195" s="3">
        <f>IF(ISNUMBER(AVERAGE('20250815_ETF_Options_Exhibits'!Z2191:Z2195)),AVERAGE('20250815_ETF_Options_Exhibits'!Z2191:Z2195),"")</f>
        <v/>
      </c>
      <c r="AA2195" s="3">
        <f>IF(ISNUMBER(AVERAGE('20250815_ETF_Options_Exhibits'!AA2191:AA2195)),AVERAGE('20250815_ETF_Options_Exhibits'!AA2191:AA2195),"")</f>
        <v/>
      </c>
    </row>
    <row r="2196">
      <c r="A2196" s="1" t="n">
        <v>45189</v>
      </c>
      <c r="B2196" s="3">
        <f>IF(ISNUMBER(AVERAGE('20250815_ETF_Options_Exhibits'!B2192:B2196)),AVERAGE('20250815_ETF_Options_Exhibits'!B2192:B2196),"")</f>
        <v/>
      </c>
      <c r="C2196" s="3">
        <f>IF(ISNUMBER(AVERAGE('20250815_ETF_Options_Exhibits'!C2192:C2196)),AVERAGE('20250815_ETF_Options_Exhibits'!C2192:C2196),"")</f>
        <v/>
      </c>
      <c r="D2196" s="3">
        <f>IF(ISNUMBER(AVERAGE('20250815_ETF_Options_Exhibits'!D2192:D2196)),AVERAGE('20250815_ETF_Options_Exhibits'!D2192:D2196),"")</f>
        <v/>
      </c>
      <c r="E2196" s="3">
        <f>IF(ISNUMBER(AVERAGE('20250815_ETF_Options_Exhibits'!E2192:E2196)),AVERAGE('20250815_ETF_Options_Exhibits'!E2192:E2196),"")</f>
        <v/>
      </c>
      <c r="F2196" s="3">
        <f>IF(ISNUMBER(AVERAGE('20250815_ETF_Options_Exhibits'!F2192:F2196)),AVERAGE('20250815_ETF_Options_Exhibits'!F2192:F2196),"")</f>
        <v/>
      </c>
      <c r="G2196" s="3">
        <f>IF(ISNUMBER(AVERAGE('20250815_ETF_Options_Exhibits'!G2192:G2196)),AVERAGE('20250815_ETF_Options_Exhibits'!G2192:G2196),"")</f>
        <v/>
      </c>
      <c r="H2196" s="3">
        <f>IF(ISNUMBER(AVERAGE('20250815_ETF_Options_Exhibits'!H2192:H2196)),AVERAGE('20250815_ETF_Options_Exhibits'!H2192:H2196),"")</f>
        <v/>
      </c>
      <c r="I2196" s="3">
        <f>IF(ISNUMBER(AVERAGE('20250815_ETF_Options_Exhibits'!I2192:I2196)),AVERAGE('20250815_ETF_Options_Exhibits'!I2192:I2196),"")</f>
        <v/>
      </c>
      <c r="J2196" s="3">
        <f>IF(ISNUMBER(AVERAGE('20250815_ETF_Options_Exhibits'!J2192:J2196)),AVERAGE('20250815_ETF_Options_Exhibits'!J2192:J2196),"")</f>
        <v/>
      </c>
      <c r="K2196" s="3">
        <f>IF(ISNUMBER(AVERAGE('20250815_ETF_Options_Exhibits'!K2192:K2196)),AVERAGE('20250815_ETF_Options_Exhibits'!K2192:K2196),"")</f>
        <v/>
      </c>
      <c r="L2196" s="3">
        <f>IF(ISNUMBER(AVERAGE('20250815_ETF_Options_Exhibits'!L2192:L2196)),AVERAGE('20250815_ETF_Options_Exhibits'!L2192:L2196),"")</f>
        <v/>
      </c>
      <c r="M2196" s="3">
        <f>IF(ISNUMBER(AVERAGE('20250815_ETF_Options_Exhibits'!M2192:M2196)),AVERAGE('20250815_ETF_Options_Exhibits'!M2192:M2196),"")</f>
        <v/>
      </c>
      <c r="N2196" s="3">
        <f>IF(ISNUMBER(AVERAGE('20250815_ETF_Options_Exhibits'!N2192:N2196)),AVERAGE('20250815_ETF_Options_Exhibits'!N2192:N2196),"")</f>
        <v/>
      </c>
      <c r="O2196" s="3">
        <f>IF(ISNUMBER(AVERAGE('20250815_ETF_Options_Exhibits'!O2192:O2196)),AVERAGE('20250815_ETF_Options_Exhibits'!O2192:O2196),"")</f>
        <v/>
      </c>
      <c r="P2196" s="3">
        <f>IF(ISNUMBER(AVERAGE('20250815_ETF_Options_Exhibits'!P2192:P2196)),AVERAGE('20250815_ETF_Options_Exhibits'!P2192:P2196),"")</f>
        <v/>
      </c>
      <c r="Q2196" s="3">
        <f>IF(ISNUMBER(AVERAGE('20250815_ETF_Options_Exhibits'!Q2192:Q2196)),AVERAGE('20250815_ETF_Options_Exhibits'!Q2192:Q2196),"")</f>
        <v/>
      </c>
      <c r="R2196" s="3">
        <f>IF(ISNUMBER(AVERAGE('20250815_ETF_Options_Exhibits'!R2192:R2196)),AVERAGE('20250815_ETF_Options_Exhibits'!R2192:R2196),"")</f>
        <v/>
      </c>
      <c r="S2196" s="3">
        <f>IF(ISNUMBER(AVERAGE('20250815_ETF_Options_Exhibits'!S2192:S2196)),AVERAGE('20250815_ETF_Options_Exhibits'!S2192:S2196),"")</f>
        <v/>
      </c>
      <c r="T2196" s="3">
        <f>IF(ISNUMBER(AVERAGE('20250815_ETF_Options_Exhibits'!T2192:T2196)),AVERAGE('20250815_ETF_Options_Exhibits'!T2192:T2196),"")</f>
        <v/>
      </c>
      <c r="U2196" s="3">
        <f>IF(ISNUMBER(AVERAGE('20250815_ETF_Options_Exhibits'!U2192:U2196)),AVERAGE('20250815_ETF_Options_Exhibits'!U2192:U2196),"")</f>
        <v/>
      </c>
      <c r="V2196" s="3">
        <f>IF(ISNUMBER(AVERAGE('20250815_ETF_Options_Exhibits'!V2192:V2196)),AVERAGE('20250815_ETF_Options_Exhibits'!V2192:V2196),"")</f>
        <v/>
      </c>
      <c r="W2196" s="3">
        <f>IF(ISNUMBER(AVERAGE('20250815_ETF_Options_Exhibits'!W2192:W2196)),AVERAGE('20250815_ETF_Options_Exhibits'!W2192:W2196),"")</f>
        <v/>
      </c>
      <c r="X2196" s="3">
        <f>IF(ISNUMBER(AVERAGE('20250815_ETF_Options_Exhibits'!X2192:X2196)),AVERAGE('20250815_ETF_Options_Exhibits'!X2192:X2196),"")</f>
        <v/>
      </c>
      <c r="Y2196" s="3">
        <f>IF(ISNUMBER(AVERAGE('20250815_ETF_Options_Exhibits'!Y2192:Y2196)),AVERAGE('20250815_ETF_Options_Exhibits'!Y2192:Y2196),"")</f>
        <v/>
      </c>
      <c r="Z2196" s="3">
        <f>IF(ISNUMBER(AVERAGE('20250815_ETF_Options_Exhibits'!Z2192:Z2196)),AVERAGE('20250815_ETF_Options_Exhibits'!Z2192:Z2196),"")</f>
        <v/>
      </c>
      <c r="AA2196" s="3">
        <f>IF(ISNUMBER(AVERAGE('20250815_ETF_Options_Exhibits'!AA2192:AA2196)),AVERAGE('20250815_ETF_Options_Exhibits'!AA2192:AA2196),"")</f>
        <v/>
      </c>
    </row>
    <row r="2197">
      <c r="A2197" s="1" t="n">
        <v>45190</v>
      </c>
      <c r="B2197" s="3">
        <f>IF(ISNUMBER(AVERAGE('20250815_ETF_Options_Exhibits'!B2193:B2197)),AVERAGE('20250815_ETF_Options_Exhibits'!B2193:B2197),"")</f>
        <v/>
      </c>
      <c r="C2197" s="3">
        <f>IF(ISNUMBER(AVERAGE('20250815_ETF_Options_Exhibits'!C2193:C2197)),AVERAGE('20250815_ETF_Options_Exhibits'!C2193:C2197),"")</f>
        <v/>
      </c>
      <c r="D2197" s="3">
        <f>IF(ISNUMBER(AVERAGE('20250815_ETF_Options_Exhibits'!D2193:D2197)),AVERAGE('20250815_ETF_Options_Exhibits'!D2193:D2197),"")</f>
        <v/>
      </c>
      <c r="E2197" s="3">
        <f>IF(ISNUMBER(AVERAGE('20250815_ETF_Options_Exhibits'!E2193:E2197)),AVERAGE('20250815_ETF_Options_Exhibits'!E2193:E2197),"")</f>
        <v/>
      </c>
      <c r="F2197" s="3">
        <f>IF(ISNUMBER(AVERAGE('20250815_ETF_Options_Exhibits'!F2193:F2197)),AVERAGE('20250815_ETF_Options_Exhibits'!F2193:F2197),"")</f>
        <v/>
      </c>
      <c r="G2197" s="3">
        <f>IF(ISNUMBER(AVERAGE('20250815_ETF_Options_Exhibits'!G2193:G2197)),AVERAGE('20250815_ETF_Options_Exhibits'!G2193:G2197),"")</f>
        <v/>
      </c>
      <c r="H2197" s="3">
        <f>IF(ISNUMBER(AVERAGE('20250815_ETF_Options_Exhibits'!H2193:H2197)),AVERAGE('20250815_ETF_Options_Exhibits'!H2193:H2197),"")</f>
        <v/>
      </c>
      <c r="I2197" s="3">
        <f>IF(ISNUMBER(AVERAGE('20250815_ETF_Options_Exhibits'!I2193:I2197)),AVERAGE('20250815_ETF_Options_Exhibits'!I2193:I2197),"")</f>
        <v/>
      </c>
      <c r="J2197" s="3">
        <f>IF(ISNUMBER(AVERAGE('20250815_ETF_Options_Exhibits'!J2193:J2197)),AVERAGE('20250815_ETF_Options_Exhibits'!J2193:J2197),"")</f>
        <v/>
      </c>
      <c r="K2197" s="3">
        <f>IF(ISNUMBER(AVERAGE('20250815_ETF_Options_Exhibits'!K2193:K2197)),AVERAGE('20250815_ETF_Options_Exhibits'!K2193:K2197),"")</f>
        <v/>
      </c>
      <c r="L2197" s="3">
        <f>IF(ISNUMBER(AVERAGE('20250815_ETF_Options_Exhibits'!L2193:L2197)),AVERAGE('20250815_ETF_Options_Exhibits'!L2193:L2197),"")</f>
        <v/>
      </c>
      <c r="M2197" s="3">
        <f>IF(ISNUMBER(AVERAGE('20250815_ETF_Options_Exhibits'!M2193:M2197)),AVERAGE('20250815_ETF_Options_Exhibits'!M2193:M2197),"")</f>
        <v/>
      </c>
      <c r="N2197" s="3">
        <f>IF(ISNUMBER(AVERAGE('20250815_ETF_Options_Exhibits'!N2193:N2197)),AVERAGE('20250815_ETF_Options_Exhibits'!N2193:N2197),"")</f>
        <v/>
      </c>
      <c r="O2197" s="3">
        <f>IF(ISNUMBER(AVERAGE('20250815_ETF_Options_Exhibits'!O2193:O2197)),AVERAGE('20250815_ETF_Options_Exhibits'!O2193:O2197),"")</f>
        <v/>
      </c>
      <c r="P2197" s="3">
        <f>IF(ISNUMBER(AVERAGE('20250815_ETF_Options_Exhibits'!P2193:P2197)),AVERAGE('20250815_ETF_Options_Exhibits'!P2193:P2197),"")</f>
        <v/>
      </c>
      <c r="Q2197" s="3">
        <f>IF(ISNUMBER(AVERAGE('20250815_ETF_Options_Exhibits'!Q2193:Q2197)),AVERAGE('20250815_ETF_Options_Exhibits'!Q2193:Q2197),"")</f>
        <v/>
      </c>
      <c r="R2197" s="3">
        <f>IF(ISNUMBER(AVERAGE('20250815_ETF_Options_Exhibits'!R2193:R2197)),AVERAGE('20250815_ETF_Options_Exhibits'!R2193:R2197),"")</f>
        <v/>
      </c>
      <c r="S2197" s="3">
        <f>IF(ISNUMBER(AVERAGE('20250815_ETF_Options_Exhibits'!S2193:S2197)),AVERAGE('20250815_ETF_Options_Exhibits'!S2193:S2197),"")</f>
        <v/>
      </c>
      <c r="T2197" s="3">
        <f>IF(ISNUMBER(AVERAGE('20250815_ETF_Options_Exhibits'!T2193:T2197)),AVERAGE('20250815_ETF_Options_Exhibits'!T2193:T2197),"")</f>
        <v/>
      </c>
      <c r="U2197" s="3">
        <f>IF(ISNUMBER(AVERAGE('20250815_ETF_Options_Exhibits'!U2193:U2197)),AVERAGE('20250815_ETF_Options_Exhibits'!U2193:U2197),"")</f>
        <v/>
      </c>
      <c r="V2197" s="3">
        <f>IF(ISNUMBER(AVERAGE('20250815_ETF_Options_Exhibits'!V2193:V2197)),AVERAGE('20250815_ETF_Options_Exhibits'!V2193:V2197),"")</f>
        <v/>
      </c>
      <c r="W2197" s="3">
        <f>IF(ISNUMBER(AVERAGE('20250815_ETF_Options_Exhibits'!W2193:W2197)),AVERAGE('20250815_ETF_Options_Exhibits'!W2193:W2197),"")</f>
        <v/>
      </c>
      <c r="X2197" s="3">
        <f>IF(ISNUMBER(AVERAGE('20250815_ETF_Options_Exhibits'!X2193:X2197)),AVERAGE('20250815_ETF_Options_Exhibits'!X2193:X2197),"")</f>
        <v/>
      </c>
      <c r="Y2197" s="3">
        <f>IF(ISNUMBER(AVERAGE('20250815_ETF_Options_Exhibits'!Y2193:Y2197)),AVERAGE('20250815_ETF_Options_Exhibits'!Y2193:Y2197),"")</f>
        <v/>
      </c>
      <c r="Z2197" s="3">
        <f>IF(ISNUMBER(AVERAGE('20250815_ETF_Options_Exhibits'!Z2193:Z2197)),AVERAGE('20250815_ETF_Options_Exhibits'!Z2193:Z2197),"")</f>
        <v/>
      </c>
      <c r="AA2197" s="3">
        <f>IF(ISNUMBER(AVERAGE('20250815_ETF_Options_Exhibits'!AA2193:AA2197)),AVERAGE('20250815_ETF_Options_Exhibits'!AA2193:AA2197),"")</f>
        <v/>
      </c>
    </row>
    <row r="2198">
      <c r="A2198" s="1" t="n">
        <v>45191</v>
      </c>
      <c r="B2198" s="3">
        <f>IF(ISNUMBER(AVERAGE('20250815_ETF_Options_Exhibits'!B2194:B2198)),AVERAGE('20250815_ETF_Options_Exhibits'!B2194:B2198),"")</f>
        <v/>
      </c>
      <c r="C2198" s="3">
        <f>IF(ISNUMBER(AVERAGE('20250815_ETF_Options_Exhibits'!C2194:C2198)),AVERAGE('20250815_ETF_Options_Exhibits'!C2194:C2198),"")</f>
        <v/>
      </c>
      <c r="D2198" s="3">
        <f>IF(ISNUMBER(AVERAGE('20250815_ETF_Options_Exhibits'!D2194:D2198)),AVERAGE('20250815_ETF_Options_Exhibits'!D2194:D2198),"")</f>
        <v/>
      </c>
      <c r="E2198" s="3">
        <f>IF(ISNUMBER(AVERAGE('20250815_ETF_Options_Exhibits'!E2194:E2198)),AVERAGE('20250815_ETF_Options_Exhibits'!E2194:E2198),"")</f>
        <v/>
      </c>
      <c r="F2198" s="3">
        <f>IF(ISNUMBER(AVERAGE('20250815_ETF_Options_Exhibits'!F2194:F2198)),AVERAGE('20250815_ETF_Options_Exhibits'!F2194:F2198),"")</f>
        <v/>
      </c>
      <c r="G2198" s="3">
        <f>IF(ISNUMBER(AVERAGE('20250815_ETF_Options_Exhibits'!G2194:G2198)),AVERAGE('20250815_ETF_Options_Exhibits'!G2194:G2198),"")</f>
        <v/>
      </c>
      <c r="H2198" s="3">
        <f>IF(ISNUMBER(AVERAGE('20250815_ETF_Options_Exhibits'!H2194:H2198)),AVERAGE('20250815_ETF_Options_Exhibits'!H2194:H2198),"")</f>
        <v/>
      </c>
      <c r="I2198" s="3">
        <f>IF(ISNUMBER(AVERAGE('20250815_ETF_Options_Exhibits'!I2194:I2198)),AVERAGE('20250815_ETF_Options_Exhibits'!I2194:I2198),"")</f>
        <v/>
      </c>
      <c r="J2198" s="3">
        <f>IF(ISNUMBER(AVERAGE('20250815_ETF_Options_Exhibits'!J2194:J2198)),AVERAGE('20250815_ETF_Options_Exhibits'!J2194:J2198),"")</f>
        <v/>
      </c>
      <c r="K2198" s="3">
        <f>IF(ISNUMBER(AVERAGE('20250815_ETF_Options_Exhibits'!K2194:K2198)),AVERAGE('20250815_ETF_Options_Exhibits'!K2194:K2198),"")</f>
        <v/>
      </c>
      <c r="L2198" s="3">
        <f>IF(ISNUMBER(AVERAGE('20250815_ETF_Options_Exhibits'!L2194:L2198)),AVERAGE('20250815_ETF_Options_Exhibits'!L2194:L2198),"")</f>
        <v/>
      </c>
      <c r="M2198" s="3">
        <f>IF(ISNUMBER(AVERAGE('20250815_ETF_Options_Exhibits'!M2194:M2198)),AVERAGE('20250815_ETF_Options_Exhibits'!M2194:M2198),"")</f>
        <v/>
      </c>
      <c r="N2198" s="3">
        <f>IF(ISNUMBER(AVERAGE('20250815_ETF_Options_Exhibits'!N2194:N2198)),AVERAGE('20250815_ETF_Options_Exhibits'!N2194:N2198),"")</f>
        <v/>
      </c>
      <c r="O2198" s="3">
        <f>IF(ISNUMBER(AVERAGE('20250815_ETF_Options_Exhibits'!O2194:O2198)),AVERAGE('20250815_ETF_Options_Exhibits'!O2194:O2198),"")</f>
        <v/>
      </c>
      <c r="P2198" s="3">
        <f>IF(ISNUMBER(AVERAGE('20250815_ETF_Options_Exhibits'!P2194:P2198)),AVERAGE('20250815_ETF_Options_Exhibits'!P2194:P2198),"")</f>
        <v/>
      </c>
      <c r="Q2198" s="3">
        <f>IF(ISNUMBER(AVERAGE('20250815_ETF_Options_Exhibits'!Q2194:Q2198)),AVERAGE('20250815_ETF_Options_Exhibits'!Q2194:Q2198),"")</f>
        <v/>
      </c>
      <c r="R2198" s="3">
        <f>IF(ISNUMBER(AVERAGE('20250815_ETF_Options_Exhibits'!R2194:R2198)),AVERAGE('20250815_ETF_Options_Exhibits'!R2194:R2198),"")</f>
        <v/>
      </c>
      <c r="S2198" s="3">
        <f>IF(ISNUMBER(AVERAGE('20250815_ETF_Options_Exhibits'!S2194:S2198)),AVERAGE('20250815_ETF_Options_Exhibits'!S2194:S2198),"")</f>
        <v/>
      </c>
      <c r="T2198" s="3">
        <f>IF(ISNUMBER(AVERAGE('20250815_ETF_Options_Exhibits'!T2194:T2198)),AVERAGE('20250815_ETF_Options_Exhibits'!T2194:T2198),"")</f>
        <v/>
      </c>
      <c r="U2198" s="3">
        <f>IF(ISNUMBER(AVERAGE('20250815_ETF_Options_Exhibits'!U2194:U2198)),AVERAGE('20250815_ETF_Options_Exhibits'!U2194:U2198),"")</f>
        <v/>
      </c>
      <c r="V2198" s="3">
        <f>IF(ISNUMBER(AVERAGE('20250815_ETF_Options_Exhibits'!V2194:V2198)),AVERAGE('20250815_ETF_Options_Exhibits'!V2194:V2198),"")</f>
        <v/>
      </c>
      <c r="W2198" s="3">
        <f>IF(ISNUMBER(AVERAGE('20250815_ETF_Options_Exhibits'!W2194:W2198)),AVERAGE('20250815_ETF_Options_Exhibits'!W2194:W2198),"")</f>
        <v/>
      </c>
      <c r="X2198" s="3">
        <f>IF(ISNUMBER(AVERAGE('20250815_ETF_Options_Exhibits'!X2194:X2198)),AVERAGE('20250815_ETF_Options_Exhibits'!X2194:X2198),"")</f>
        <v/>
      </c>
      <c r="Y2198" s="3">
        <f>IF(ISNUMBER(AVERAGE('20250815_ETF_Options_Exhibits'!Y2194:Y2198)),AVERAGE('20250815_ETF_Options_Exhibits'!Y2194:Y2198),"")</f>
        <v/>
      </c>
      <c r="Z2198" s="3">
        <f>IF(ISNUMBER(AVERAGE('20250815_ETF_Options_Exhibits'!Z2194:Z2198)),AVERAGE('20250815_ETF_Options_Exhibits'!Z2194:Z2198),"")</f>
        <v/>
      </c>
      <c r="AA2198" s="3">
        <f>IF(ISNUMBER(AVERAGE('20250815_ETF_Options_Exhibits'!AA2194:AA2198)),AVERAGE('20250815_ETF_Options_Exhibits'!AA2194:AA2198),"")</f>
        <v/>
      </c>
    </row>
    <row r="2199">
      <c r="A2199" s="1" t="n">
        <v>45194</v>
      </c>
      <c r="B2199" s="3">
        <f>IF(ISNUMBER(AVERAGE('20250815_ETF_Options_Exhibits'!B2195:B2199)),AVERAGE('20250815_ETF_Options_Exhibits'!B2195:B2199),"")</f>
        <v/>
      </c>
      <c r="C2199" s="3">
        <f>IF(ISNUMBER(AVERAGE('20250815_ETF_Options_Exhibits'!C2195:C2199)),AVERAGE('20250815_ETF_Options_Exhibits'!C2195:C2199),"")</f>
        <v/>
      </c>
      <c r="D2199" s="3">
        <f>IF(ISNUMBER(AVERAGE('20250815_ETF_Options_Exhibits'!D2195:D2199)),AVERAGE('20250815_ETF_Options_Exhibits'!D2195:D2199),"")</f>
        <v/>
      </c>
      <c r="E2199" s="3">
        <f>IF(ISNUMBER(AVERAGE('20250815_ETF_Options_Exhibits'!E2195:E2199)),AVERAGE('20250815_ETF_Options_Exhibits'!E2195:E2199),"")</f>
        <v/>
      </c>
      <c r="F2199" s="3">
        <f>IF(ISNUMBER(AVERAGE('20250815_ETF_Options_Exhibits'!F2195:F2199)),AVERAGE('20250815_ETF_Options_Exhibits'!F2195:F2199),"")</f>
        <v/>
      </c>
      <c r="G2199" s="3">
        <f>IF(ISNUMBER(AVERAGE('20250815_ETF_Options_Exhibits'!G2195:G2199)),AVERAGE('20250815_ETF_Options_Exhibits'!G2195:G2199),"")</f>
        <v/>
      </c>
      <c r="H2199" s="3">
        <f>IF(ISNUMBER(AVERAGE('20250815_ETF_Options_Exhibits'!H2195:H2199)),AVERAGE('20250815_ETF_Options_Exhibits'!H2195:H2199),"")</f>
        <v/>
      </c>
      <c r="I2199" s="3">
        <f>IF(ISNUMBER(AVERAGE('20250815_ETF_Options_Exhibits'!I2195:I2199)),AVERAGE('20250815_ETF_Options_Exhibits'!I2195:I2199),"")</f>
        <v/>
      </c>
      <c r="J2199" s="3">
        <f>IF(ISNUMBER(AVERAGE('20250815_ETF_Options_Exhibits'!J2195:J2199)),AVERAGE('20250815_ETF_Options_Exhibits'!J2195:J2199),"")</f>
        <v/>
      </c>
      <c r="K2199" s="3">
        <f>IF(ISNUMBER(AVERAGE('20250815_ETF_Options_Exhibits'!K2195:K2199)),AVERAGE('20250815_ETF_Options_Exhibits'!K2195:K2199),"")</f>
        <v/>
      </c>
      <c r="L2199" s="3">
        <f>IF(ISNUMBER(AVERAGE('20250815_ETF_Options_Exhibits'!L2195:L2199)),AVERAGE('20250815_ETF_Options_Exhibits'!L2195:L2199),"")</f>
        <v/>
      </c>
      <c r="M2199" s="3">
        <f>IF(ISNUMBER(AVERAGE('20250815_ETF_Options_Exhibits'!M2195:M2199)),AVERAGE('20250815_ETF_Options_Exhibits'!M2195:M2199),"")</f>
        <v/>
      </c>
      <c r="N2199" s="3">
        <f>IF(ISNUMBER(AVERAGE('20250815_ETF_Options_Exhibits'!N2195:N2199)),AVERAGE('20250815_ETF_Options_Exhibits'!N2195:N2199),"")</f>
        <v/>
      </c>
      <c r="O2199" s="3">
        <f>IF(ISNUMBER(AVERAGE('20250815_ETF_Options_Exhibits'!O2195:O2199)),AVERAGE('20250815_ETF_Options_Exhibits'!O2195:O2199),"")</f>
        <v/>
      </c>
      <c r="P2199" s="3">
        <f>IF(ISNUMBER(AVERAGE('20250815_ETF_Options_Exhibits'!P2195:P2199)),AVERAGE('20250815_ETF_Options_Exhibits'!P2195:P2199),"")</f>
        <v/>
      </c>
      <c r="Q2199" s="3">
        <f>IF(ISNUMBER(AVERAGE('20250815_ETF_Options_Exhibits'!Q2195:Q2199)),AVERAGE('20250815_ETF_Options_Exhibits'!Q2195:Q2199),"")</f>
        <v/>
      </c>
      <c r="R2199" s="3">
        <f>IF(ISNUMBER(AVERAGE('20250815_ETF_Options_Exhibits'!R2195:R2199)),AVERAGE('20250815_ETF_Options_Exhibits'!R2195:R2199),"")</f>
        <v/>
      </c>
      <c r="S2199" s="3">
        <f>IF(ISNUMBER(AVERAGE('20250815_ETF_Options_Exhibits'!S2195:S2199)),AVERAGE('20250815_ETF_Options_Exhibits'!S2195:S2199),"")</f>
        <v/>
      </c>
      <c r="T2199" s="3">
        <f>IF(ISNUMBER(AVERAGE('20250815_ETF_Options_Exhibits'!T2195:T2199)),AVERAGE('20250815_ETF_Options_Exhibits'!T2195:T2199),"")</f>
        <v/>
      </c>
      <c r="U2199" s="3">
        <f>IF(ISNUMBER(AVERAGE('20250815_ETF_Options_Exhibits'!U2195:U2199)),AVERAGE('20250815_ETF_Options_Exhibits'!U2195:U2199),"")</f>
        <v/>
      </c>
      <c r="V2199" s="3">
        <f>IF(ISNUMBER(AVERAGE('20250815_ETF_Options_Exhibits'!V2195:V2199)),AVERAGE('20250815_ETF_Options_Exhibits'!V2195:V2199),"")</f>
        <v/>
      </c>
      <c r="W2199" s="3">
        <f>IF(ISNUMBER(AVERAGE('20250815_ETF_Options_Exhibits'!W2195:W2199)),AVERAGE('20250815_ETF_Options_Exhibits'!W2195:W2199),"")</f>
        <v/>
      </c>
      <c r="X2199" s="3">
        <f>IF(ISNUMBER(AVERAGE('20250815_ETF_Options_Exhibits'!X2195:X2199)),AVERAGE('20250815_ETF_Options_Exhibits'!X2195:X2199),"")</f>
        <v/>
      </c>
      <c r="Y2199" s="3">
        <f>IF(ISNUMBER(AVERAGE('20250815_ETF_Options_Exhibits'!Y2195:Y2199)),AVERAGE('20250815_ETF_Options_Exhibits'!Y2195:Y2199),"")</f>
        <v/>
      </c>
      <c r="Z2199" s="3">
        <f>IF(ISNUMBER(AVERAGE('20250815_ETF_Options_Exhibits'!Z2195:Z2199)),AVERAGE('20250815_ETF_Options_Exhibits'!Z2195:Z2199),"")</f>
        <v/>
      </c>
      <c r="AA2199" s="3">
        <f>IF(ISNUMBER(AVERAGE('20250815_ETF_Options_Exhibits'!AA2195:AA2199)),AVERAGE('20250815_ETF_Options_Exhibits'!AA2195:AA2199),"")</f>
        <v/>
      </c>
    </row>
    <row r="2200">
      <c r="A2200" s="1" t="n">
        <v>45195</v>
      </c>
      <c r="B2200" s="3">
        <f>IF(ISNUMBER(AVERAGE('20250815_ETF_Options_Exhibits'!B2196:B2200)),AVERAGE('20250815_ETF_Options_Exhibits'!B2196:B2200),"")</f>
        <v/>
      </c>
      <c r="C2200" s="3">
        <f>IF(ISNUMBER(AVERAGE('20250815_ETF_Options_Exhibits'!C2196:C2200)),AVERAGE('20250815_ETF_Options_Exhibits'!C2196:C2200),"")</f>
        <v/>
      </c>
      <c r="D2200" s="3">
        <f>IF(ISNUMBER(AVERAGE('20250815_ETF_Options_Exhibits'!D2196:D2200)),AVERAGE('20250815_ETF_Options_Exhibits'!D2196:D2200),"")</f>
        <v/>
      </c>
      <c r="E2200" s="3">
        <f>IF(ISNUMBER(AVERAGE('20250815_ETF_Options_Exhibits'!E2196:E2200)),AVERAGE('20250815_ETF_Options_Exhibits'!E2196:E2200),"")</f>
        <v/>
      </c>
      <c r="F2200" s="3">
        <f>IF(ISNUMBER(AVERAGE('20250815_ETF_Options_Exhibits'!F2196:F2200)),AVERAGE('20250815_ETF_Options_Exhibits'!F2196:F2200),"")</f>
        <v/>
      </c>
      <c r="G2200" s="3">
        <f>IF(ISNUMBER(AVERAGE('20250815_ETF_Options_Exhibits'!G2196:G2200)),AVERAGE('20250815_ETF_Options_Exhibits'!G2196:G2200),"")</f>
        <v/>
      </c>
      <c r="H2200" s="3">
        <f>IF(ISNUMBER(AVERAGE('20250815_ETF_Options_Exhibits'!H2196:H2200)),AVERAGE('20250815_ETF_Options_Exhibits'!H2196:H2200),"")</f>
        <v/>
      </c>
      <c r="I2200" s="3">
        <f>IF(ISNUMBER(AVERAGE('20250815_ETF_Options_Exhibits'!I2196:I2200)),AVERAGE('20250815_ETF_Options_Exhibits'!I2196:I2200),"")</f>
        <v/>
      </c>
      <c r="J2200" s="3">
        <f>IF(ISNUMBER(AVERAGE('20250815_ETF_Options_Exhibits'!J2196:J2200)),AVERAGE('20250815_ETF_Options_Exhibits'!J2196:J2200),"")</f>
        <v/>
      </c>
      <c r="K2200" s="3">
        <f>IF(ISNUMBER(AVERAGE('20250815_ETF_Options_Exhibits'!K2196:K2200)),AVERAGE('20250815_ETF_Options_Exhibits'!K2196:K2200),"")</f>
        <v/>
      </c>
      <c r="L2200" s="3">
        <f>IF(ISNUMBER(AVERAGE('20250815_ETF_Options_Exhibits'!L2196:L2200)),AVERAGE('20250815_ETF_Options_Exhibits'!L2196:L2200),"")</f>
        <v/>
      </c>
      <c r="M2200" s="3">
        <f>IF(ISNUMBER(AVERAGE('20250815_ETF_Options_Exhibits'!M2196:M2200)),AVERAGE('20250815_ETF_Options_Exhibits'!M2196:M2200),"")</f>
        <v/>
      </c>
      <c r="N2200" s="3">
        <f>IF(ISNUMBER(AVERAGE('20250815_ETF_Options_Exhibits'!N2196:N2200)),AVERAGE('20250815_ETF_Options_Exhibits'!N2196:N2200),"")</f>
        <v/>
      </c>
      <c r="O2200" s="3">
        <f>IF(ISNUMBER(AVERAGE('20250815_ETF_Options_Exhibits'!O2196:O2200)),AVERAGE('20250815_ETF_Options_Exhibits'!O2196:O2200),"")</f>
        <v/>
      </c>
      <c r="P2200" s="3">
        <f>IF(ISNUMBER(AVERAGE('20250815_ETF_Options_Exhibits'!P2196:P2200)),AVERAGE('20250815_ETF_Options_Exhibits'!P2196:P2200),"")</f>
        <v/>
      </c>
      <c r="Q2200" s="3">
        <f>IF(ISNUMBER(AVERAGE('20250815_ETF_Options_Exhibits'!Q2196:Q2200)),AVERAGE('20250815_ETF_Options_Exhibits'!Q2196:Q2200),"")</f>
        <v/>
      </c>
      <c r="R2200" s="3">
        <f>IF(ISNUMBER(AVERAGE('20250815_ETF_Options_Exhibits'!R2196:R2200)),AVERAGE('20250815_ETF_Options_Exhibits'!R2196:R2200),"")</f>
        <v/>
      </c>
      <c r="S2200" s="3">
        <f>IF(ISNUMBER(AVERAGE('20250815_ETF_Options_Exhibits'!S2196:S2200)),AVERAGE('20250815_ETF_Options_Exhibits'!S2196:S2200),"")</f>
        <v/>
      </c>
      <c r="T2200" s="3">
        <f>IF(ISNUMBER(AVERAGE('20250815_ETF_Options_Exhibits'!T2196:T2200)),AVERAGE('20250815_ETF_Options_Exhibits'!T2196:T2200),"")</f>
        <v/>
      </c>
      <c r="U2200" s="3">
        <f>IF(ISNUMBER(AVERAGE('20250815_ETF_Options_Exhibits'!U2196:U2200)),AVERAGE('20250815_ETF_Options_Exhibits'!U2196:U2200),"")</f>
        <v/>
      </c>
      <c r="V2200" s="3">
        <f>IF(ISNUMBER(AVERAGE('20250815_ETF_Options_Exhibits'!V2196:V2200)),AVERAGE('20250815_ETF_Options_Exhibits'!V2196:V2200),"")</f>
        <v/>
      </c>
      <c r="W2200" s="3">
        <f>IF(ISNUMBER(AVERAGE('20250815_ETF_Options_Exhibits'!W2196:W2200)),AVERAGE('20250815_ETF_Options_Exhibits'!W2196:W2200),"")</f>
        <v/>
      </c>
      <c r="X2200" s="3">
        <f>IF(ISNUMBER(AVERAGE('20250815_ETF_Options_Exhibits'!X2196:X2200)),AVERAGE('20250815_ETF_Options_Exhibits'!X2196:X2200),"")</f>
        <v/>
      </c>
      <c r="Y2200" s="3">
        <f>IF(ISNUMBER(AVERAGE('20250815_ETF_Options_Exhibits'!Y2196:Y2200)),AVERAGE('20250815_ETF_Options_Exhibits'!Y2196:Y2200),"")</f>
        <v/>
      </c>
      <c r="Z2200" s="3">
        <f>IF(ISNUMBER(AVERAGE('20250815_ETF_Options_Exhibits'!Z2196:Z2200)),AVERAGE('20250815_ETF_Options_Exhibits'!Z2196:Z2200),"")</f>
        <v/>
      </c>
      <c r="AA2200" s="3">
        <f>IF(ISNUMBER(AVERAGE('20250815_ETF_Options_Exhibits'!AA2196:AA2200)),AVERAGE('20250815_ETF_Options_Exhibits'!AA2196:AA2200),"")</f>
        <v/>
      </c>
    </row>
    <row r="2201">
      <c r="A2201" s="1" t="n">
        <v>45196</v>
      </c>
      <c r="B2201" s="3">
        <f>IF(ISNUMBER(AVERAGE('20250815_ETF_Options_Exhibits'!B2197:B2201)),AVERAGE('20250815_ETF_Options_Exhibits'!B2197:B2201),"")</f>
        <v/>
      </c>
      <c r="C2201" s="3">
        <f>IF(ISNUMBER(AVERAGE('20250815_ETF_Options_Exhibits'!C2197:C2201)),AVERAGE('20250815_ETF_Options_Exhibits'!C2197:C2201),"")</f>
        <v/>
      </c>
      <c r="D2201" s="3">
        <f>IF(ISNUMBER(AVERAGE('20250815_ETF_Options_Exhibits'!D2197:D2201)),AVERAGE('20250815_ETF_Options_Exhibits'!D2197:D2201),"")</f>
        <v/>
      </c>
      <c r="E2201" s="3">
        <f>IF(ISNUMBER(AVERAGE('20250815_ETF_Options_Exhibits'!E2197:E2201)),AVERAGE('20250815_ETF_Options_Exhibits'!E2197:E2201),"")</f>
        <v/>
      </c>
      <c r="F2201" s="3">
        <f>IF(ISNUMBER(AVERAGE('20250815_ETF_Options_Exhibits'!F2197:F2201)),AVERAGE('20250815_ETF_Options_Exhibits'!F2197:F2201),"")</f>
        <v/>
      </c>
      <c r="G2201" s="3">
        <f>IF(ISNUMBER(AVERAGE('20250815_ETF_Options_Exhibits'!G2197:G2201)),AVERAGE('20250815_ETF_Options_Exhibits'!G2197:G2201),"")</f>
        <v/>
      </c>
      <c r="H2201" s="3">
        <f>IF(ISNUMBER(AVERAGE('20250815_ETF_Options_Exhibits'!H2197:H2201)),AVERAGE('20250815_ETF_Options_Exhibits'!H2197:H2201),"")</f>
        <v/>
      </c>
      <c r="I2201" s="3">
        <f>IF(ISNUMBER(AVERAGE('20250815_ETF_Options_Exhibits'!I2197:I2201)),AVERAGE('20250815_ETF_Options_Exhibits'!I2197:I2201),"")</f>
        <v/>
      </c>
      <c r="J2201" s="3">
        <f>IF(ISNUMBER(AVERAGE('20250815_ETF_Options_Exhibits'!J2197:J2201)),AVERAGE('20250815_ETF_Options_Exhibits'!J2197:J2201),"")</f>
        <v/>
      </c>
      <c r="K2201" s="3">
        <f>IF(ISNUMBER(AVERAGE('20250815_ETF_Options_Exhibits'!K2197:K2201)),AVERAGE('20250815_ETF_Options_Exhibits'!K2197:K2201),"")</f>
        <v/>
      </c>
      <c r="L2201" s="3">
        <f>IF(ISNUMBER(AVERAGE('20250815_ETF_Options_Exhibits'!L2197:L2201)),AVERAGE('20250815_ETF_Options_Exhibits'!L2197:L2201),"")</f>
        <v/>
      </c>
      <c r="M2201" s="3">
        <f>IF(ISNUMBER(AVERAGE('20250815_ETF_Options_Exhibits'!M2197:M2201)),AVERAGE('20250815_ETF_Options_Exhibits'!M2197:M2201),"")</f>
        <v/>
      </c>
      <c r="N2201" s="3">
        <f>IF(ISNUMBER(AVERAGE('20250815_ETF_Options_Exhibits'!N2197:N2201)),AVERAGE('20250815_ETF_Options_Exhibits'!N2197:N2201),"")</f>
        <v/>
      </c>
      <c r="O2201" s="3">
        <f>IF(ISNUMBER(AVERAGE('20250815_ETF_Options_Exhibits'!O2197:O2201)),AVERAGE('20250815_ETF_Options_Exhibits'!O2197:O2201),"")</f>
        <v/>
      </c>
      <c r="P2201" s="3">
        <f>IF(ISNUMBER(AVERAGE('20250815_ETF_Options_Exhibits'!P2197:P2201)),AVERAGE('20250815_ETF_Options_Exhibits'!P2197:P2201),"")</f>
        <v/>
      </c>
      <c r="Q2201" s="3">
        <f>IF(ISNUMBER(AVERAGE('20250815_ETF_Options_Exhibits'!Q2197:Q2201)),AVERAGE('20250815_ETF_Options_Exhibits'!Q2197:Q2201),"")</f>
        <v/>
      </c>
      <c r="R2201" s="3">
        <f>IF(ISNUMBER(AVERAGE('20250815_ETF_Options_Exhibits'!R2197:R2201)),AVERAGE('20250815_ETF_Options_Exhibits'!R2197:R2201),"")</f>
        <v/>
      </c>
      <c r="S2201" s="3">
        <f>IF(ISNUMBER(AVERAGE('20250815_ETF_Options_Exhibits'!S2197:S2201)),AVERAGE('20250815_ETF_Options_Exhibits'!S2197:S2201),"")</f>
        <v/>
      </c>
      <c r="T2201" s="3">
        <f>IF(ISNUMBER(AVERAGE('20250815_ETF_Options_Exhibits'!T2197:T2201)),AVERAGE('20250815_ETF_Options_Exhibits'!T2197:T2201),"")</f>
        <v/>
      </c>
      <c r="U2201" s="3">
        <f>IF(ISNUMBER(AVERAGE('20250815_ETF_Options_Exhibits'!U2197:U2201)),AVERAGE('20250815_ETF_Options_Exhibits'!U2197:U2201),"")</f>
        <v/>
      </c>
      <c r="V2201" s="3">
        <f>IF(ISNUMBER(AVERAGE('20250815_ETF_Options_Exhibits'!V2197:V2201)),AVERAGE('20250815_ETF_Options_Exhibits'!V2197:V2201),"")</f>
        <v/>
      </c>
      <c r="W2201" s="3">
        <f>IF(ISNUMBER(AVERAGE('20250815_ETF_Options_Exhibits'!W2197:W2201)),AVERAGE('20250815_ETF_Options_Exhibits'!W2197:W2201),"")</f>
        <v/>
      </c>
      <c r="X2201" s="3">
        <f>IF(ISNUMBER(AVERAGE('20250815_ETF_Options_Exhibits'!X2197:X2201)),AVERAGE('20250815_ETF_Options_Exhibits'!X2197:X2201),"")</f>
        <v/>
      </c>
      <c r="Y2201" s="3">
        <f>IF(ISNUMBER(AVERAGE('20250815_ETF_Options_Exhibits'!Y2197:Y2201)),AVERAGE('20250815_ETF_Options_Exhibits'!Y2197:Y2201),"")</f>
        <v/>
      </c>
      <c r="Z2201" s="3">
        <f>IF(ISNUMBER(AVERAGE('20250815_ETF_Options_Exhibits'!Z2197:Z2201)),AVERAGE('20250815_ETF_Options_Exhibits'!Z2197:Z2201),"")</f>
        <v/>
      </c>
      <c r="AA2201" s="3">
        <f>IF(ISNUMBER(AVERAGE('20250815_ETF_Options_Exhibits'!AA2197:AA2201)),AVERAGE('20250815_ETF_Options_Exhibits'!AA2197:AA2201),"")</f>
        <v/>
      </c>
    </row>
    <row r="2202">
      <c r="A2202" s="1" t="n">
        <v>45197</v>
      </c>
      <c r="B2202" s="3">
        <f>IF(ISNUMBER(AVERAGE('20250815_ETF_Options_Exhibits'!B2198:B2202)),AVERAGE('20250815_ETF_Options_Exhibits'!B2198:B2202),"")</f>
        <v/>
      </c>
      <c r="C2202" s="3">
        <f>IF(ISNUMBER(AVERAGE('20250815_ETF_Options_Exhibits'!C2198:C2202)),AVERAGE('20250815_ETF_Options_Exhibits'!C2198:C2202),"")</f>
        <v/>
      </c>
      <c r="D2202" s="3">
        <f>IF(ISNUMBER(AVERAGE('20250815_ETF_Options_Exhibits'!D2198:D2202)),AVERAGE('20250815_ETF_Options_Exhibits'!D2198:D2202),"")</f>
        <v/>
      </c>
      <c r="E2202" s="3">
        <f>IF(ISNUMBER(AVERAGE('20250815_ETF_Options_Exhibits'!E2198:E2202)),AVERAGE('20250815_ETF_Options_Exhibits'!E2198:E2202),"")</f>
        <v/>
      </c>
      <c r="F2202" s="3">
        <f>IF(ISNUMBER(AVERAGE('20250815_ETF_Options_Exhibits'!F2198:F2202)),AVERAGE('20250815_ETF_Options_Exhibits'!F2198:F2202),"")</f>
        <v/>
      </c>
      <c r="G2202" s="3">
        <f>IF(ISNUMBER(AVERAGE('20250815_ETF_Options_Exhibits'!G2198:G2202)),AVERAGE('20250815_ETF_Options_Exhibits'!G2198:G2202),"")</f>
        <v/>
      </c>
      <c r="H2202" s="3">
        <f>IF(ISNUMBER(AVERAGE('20250815_ETF_Options_Exhibits'!H2198:H2202)),AVERAGE('20250815_ETF_Options_Exhibits'!H2198:H2202),"")</f>
        <v/>
      </c>
      <c r="I2202" s="3">
        <f>IF(ISNUMBER(AVERAGE('20250815_ETF_Options_Exhibits'!I2198:I2202)),AVERAGE('20250815_ETF_Options_Exhibits'!I2198:I2202),"")</f>
        <v/>
      </c>
      <c r="J2202" s="3">
        <f>IF(ISNUMBER(AVERAGE('20250815_ETF_Options_Exhibits'!J2198:J2202)),AVERAGE('20250815_ETF_Options_Exhibits'!J2198:J2202),"")</f>
        <v/>
      </c>
      <c r="K2202" s="3">
        <f>IF(ISNUMBER(AVERAGE('20250815_ETF_Options_Exhibits'!K2198:K2202)),AVERAGE('20250815_ETF_Options_Exhibits'!K2198:K2202),"")</f>
        <v/>
      </c>
      <c r="L2202" s="3">
        <f>IF(ISNUMBER(AVERAGE('20250815_ETF_Options_Exhibits'!L2198:L2202)),AVERAGE('20250815_ETF_Options_Exhibits'!L2198:L2202),"")</f>
        <v/>
      </c>
      <c r="M2202" s="3">
        <f>IF(ISNUMBER(AVERAGE('20250815_ETF_Options_Exhibits'!M2198:M2202)),AVERAGE('20250815_ETF_Options_Exhibits'!M2198:M2202),"")</f>
        <v/>
      </c>
      <c r="N2202" s="3">
        <f>IF(ISNUMBER(AVERAGE('20250815_ETF_Options_Exhibits'!N2198:N2202)),AVERAGE('20250815_ETF_Options_Exhibits'!N2198:N2202),"")</f>
        <v/>
      </c>
      <c r="O2202" s="3">
        <f>IF(ISNUMBER(AVERAGE('20250815_ETF_Options_Exhibits'!O2198:O2202)),AVERAGE('20250815_ETF_Options_Exhibits'!O2198:O2202),"")</f>
        <v/>
      </c>
      <c r="P2202" s="3">
        <f>IF(ISNUMBER(AVERAGE('20250815_ETF_Options_Exhibits'!P2198:P2202)),AVERAGE('20250815_ETF_Options_Exhibits'!P2198:P2202),"")</f>
        <v/>
      </c>
      <c r="Q2202" s="3">
        <f>IF(ISNUMBER(AVERAGE('20250815_ETF_Options_Exhibits'!Q2198:Q2202)),AVERAGE('20250815_ETF_Options_Exhibits'!Q2198:Q2202),"")</f>
        <v/>
      </c>
      <c r="R2202" s="3">
        <f>IF(ISNUMBER(AVERAGE('20250815_ETF_Options_Exhibits'!R2198:R2202)),AVERAGE('20250815_ETF_Options_Exhibits'!R2198:R2202),"")</f>
        <v/>
      </c>
      <c r="S2202" s="3">
        <f>IF(ISNUMBER(AVERAGE('20250815_ETF_Options_Exhibits'!S2198:S2202)),AVERAGE('20250815_ETF_Options_Exhibits'!S2198:S2202),"")</f>
        <v/>
      </c>
      <c r="T2202" s="3">
        <f>IF(ISNUMBER(AVERAGE('20250815_ETF_Options_Exhibits'!T2198:T2202)),AVERAGE('20250815_ETF_Options_Exhibits'!T2198:T2202),"")</f>
        <v/>
      </c>
      <c r="U2202" s="3">
        <f>IF(ISNUMBER(AVERAGE('20250815_ETF_Options_Exhibits'!U2198:U2202)),AVERAGE('20250815_ETF_Options_Exhibits'!U2198:U2202),"")</f>
        <v/>
      </c>
      <c r="V2202" s="3">
        <f>IF(ISNUMBER(AVERAGE('20250815_ETF_Options_Exhibits'!V2198:V2202)),AVERAGE('20250815_ETF_Options_Exhibits'!V2198:V2202),"")</f>
        <v/>
      </c>
      <c r="W2202" s="3">
        <f>IF(ISNUMBER(AVERAGE('20250815_ETF_Options_Exhibits'!W2198:W2202)),AVERAGE('20250815_ETF_Options_Exhibits'!W2198:W2202),"")</f>
        <v/>
      </c>
      <c r="X2202" s="3">
        <f>IF(ISNUMBER(AVERAGE('20250815_ETF_Options_Exhibits'!X2198:X2202)),AVERAGE('20250815_ETF_Options_Exhibits'!X2198:X2202),"")</f>
        <v/>
      </c>
      <c r="Y2202" s="3">
        <f>IF(ISNUMBER(AVERAGE('20250815_ETF_Options_Exhibits'!Y2198:Y2202)),AVERAGE('20250815_ETF_Options_Exhibits'!Y2198:Y2202),"")</f>
        <v/>
      </c>
      <c r="Z2202" s="3">
        <f>IF(ISNUMBER(AVERAGE('20250815_ETF_Options_Exhibits'!Z2198:Z2202)),AVERAGE('20250815_ETF_Options_Exhibits'!Z2198:Z2202),"")</f>
        <v/>
      </c>
      <c r="AA2202" s="3">
        <f>IF(ISNUMBER(AVERAGE('20250815_ETF_Options_Exhibits'!AA2198:AA2202)),AVERAGE('20250815_ETF_Options_Exhibits'!AA2198:AA2202),"")</f>
        <v/>
      </c>
    </row>
    <row r="2203">
      <c r="A2203" s="1" t="n">
        <v>45198</v>
      </c>
      <c r="B2203" s="3">
        <f>IF(ISNUMBER(AVERAGE('20250815_ETF_Options_Exhibits'!B2199:B2203)),AVERAGE('20250815_ETF_Options_Exhibits'!B2199:B2203),"")</f>
        <v/>
      </c>
      <c r="C2203" s="3">
        <f>IF(ISNUMBER(AVERAGE('20250815_ETF_Options_Exhibits'!C2199:C2203)),AVERAGE('20250815_ETF_Options_Exhibits'!C2199:C2203),"")</f>
        <v/>
      </c>
      <c r="D2203" s="3">
        <f>IF(ISNUMBER(AVERAGE('20250815_ETF_Options_Exhibits'!D2199:D2203)),AVERAGE('20250815_ETF_Options_Exhibits'!D2199:D2203),"")</f>
        <v/>
      </c>
      <c r="E2203" s="3">
        <f>IF(ISNUMBER(AVERAGE('20250815_ETF_Options_Exhibits'!E2199:E2203)),AVERAGE('20250815_ETF_Options_Exhibits'!E2199:E2203),"")</f>
        <v/>
      </c>
      <c r="F2203" s="3">
        <f>IF(ISNUMBER(AVERAGE('20250815_ETF_Options_Exhibits'!F2199:F2203)),AVERAGE('20250815_ETF_Options_Exhibits'!F2199:F2203),"")</f>
        <v/>
      </c>
      <c r="G2203" s="3">
        <f>IF(ISNUMBER(AVERAGE('20250815_ETF_Options_Exhibits'!G2199:G2203)),AVERAGE('20250815_ETF_Options_Exhibits'!G2199:G2203),"")</f>
        <v/>
      </c>
      <c r="H2203" s="3">
        <f>IF(ISNUMBER(AVERAGE('20250815_ETF_Options_Exhibits'!H2199:H2203)),AVERAGE('20250815_ETF_Options_Exhibits'!H2199:H2203),"")</f>
        <v/>
      </c>
      <c r="I2203" s="3">
        <f>IF(ISNUMBER(AVERAGE('20250815_ETF_Options_Exhibits'!I2199:I2203)),AVERAGE('20250815_ETF_Options_Exhibits'!I2199:I2203),"")</f>
        <v/>
      </c>
      <c r="J2203" s="3">
        <f>IF(ISNUMBER(AVERAGE('20250815_ETF_Options_Exhibits'!J2199:J2203)),AVERAGE('20250815_ETF_Options_Exhibits'!J2199:J2203),"")</f>
        <v/>
      </c>
      <c r="K2203" s="3">
        <f>IF(ISNUMBER(AVERAGE('20250815_ETF_Options_Exhibits'!K2199:K2203)),AVERAGE('20250815_ETF_Options_Exhibits'!K2199:K2203),"")</f>
        <v/>
      </c>
      <c r="L2203" s="3">
        <f>IF(ISNUMBER(AVERAGE('20250815_ETF_Options_Exhibits'!L2199:L2203)),AVERAGE('20250815_ETF_Options_Exhibits'!L2199:L2203),"")</f>
        <v/>
      </c>
      <c r="M2203" s="3">
        <f>IF(ISNUMBER(AVERAGE('20250815_ETF_Options_Exhibits'!M2199:M2203)),AVERAGE('20250815_ETF_Options_Exhibits'!M2199:M2203),"")</f>
        <v/>
      </c>
      <c r="N2203" s="3">
        <f>IF(ISNUMBER(AVERAGE('20250815_ETF_Options_Exhibits'!N2199:N2203)),AVERAGE('20250815_ETF_Options_Exhibits'!N2199:N2203),"")</f>
        <v/>
      </c>
      <c r="O2203" s="3">
        <f>IF(ISNUMBER(AVERAGE('20250815_ETF_Options_Exhibits'!O2199:O2203)),AVERAGE('20250815_ETF_Options_Exhibits'!O2199:O2203),"")</f>
        <v/>
      </c>
      <c r="P2203" s="3">
        <f>IF(ISNUMBER(AVERAGE('20250815_ETF_Options_Exhibits'!P2199:P2203)),AVERAGE('20250815_ETF_Options_Exhibits'!P2199:P2203),"")</f>
        <v/>
      </c>
      <c r="Q2203" s="3">
        <f>IF(ISNUMBER(AVERAGE('20250815_ETF_Options_Exhibits'!Q2199:Q2203)),AVERAGE('20250815_ETF_Options_Exhibits'!Q2199:Q2203),"")</f>
        <v/>
      </c>
      <c r="R2203" s="3">
        <f>IF(ISNUMBER(AVERAGE('20250815_ETF_Options_Exhibits'!R2199:R2203)),AVERAGE('20250815_ETF_Options_Exhibits'!R2199:R2203),"")</f>
        <v/>
      </c>
      <c r="S2203" s="3">
        <f>IF(ISNUMBER(AVERAGE('20250815_ETF_Options_Exhibits'!S2199:S2203)),AVERAGE('20250815_ETF_Options_Exhibits'!S2199:S2203),"")</f>
        <v/>
      </c>
      <c r="T2203" s="3">
        <f>IF(ISNUMBER(AVERAGE('20250815_ETF_Options_Exhibits'!T2199:T2203)),AVERAGE('20250815_ETF_Options_Exhibits'!T2199:T2203),"")</f>
        <v/>
      </c>
      <c r="U2203" s="3">
        <f>IF(ISNUMBER(AVERAGE('20250815_ETF_Options_Exhibits'!U2199:U2203)),AVERAGE('20250815_ETF_Options_Exhibits'!U2199:U2203),"")</f>
        <v/>
      </c>
      <c r="V2203" s="3">
        <f>IF(ISNUMBER(AVERAGE('20250815_ETF_Options_Exhibits'!V2199:V2203)),AVERAGE('20250815_ETF_Options_Exhibits'!V2199:V2203),"")</f>
        <v/>
      </c>
      <c r="W2203" s="3">
        <f>IF(ISNUMBER(AVERAGE('20250815_ETF_Options_Exhibits'!W2199:W2203)),AVERAGE('20250815_ETF_Options_Exhibits'!W2199:W2203),"")</f>
        <v/>
      </c>
      <c r="X2203" s="3">
        <f>IF(ISNUMBER(AVERAGE('20250815_ETF_Options_Exhibits'!X2199:X2203)),AVERAGE('20250815_ETF_Options_Exhibits'!X2199:X2203),"")</f>
        <v/>
      </c>
      <c r="Y2203" s="3">
        <f>IF(ISNUMBER(AVERAGE('20250815_ETF_Options_Exhibits'!Y2199:Y2203)),AVERAGE('20250815_ETF_Options_Exhibits'!Y2199:Y2203),"")</f>
        <v/>
      </c>
      <c r="Z2203" s="3">
        <f>IF(ISNUMBER(AVERAGE('20250815_ETF_Options_Exhibits'!Z2199:Z2203)),AVERAGE('20250815_ETF_Options_Exhibits'!Z2199:Z2203),"")</f>
        <v/>
      </c>
      <c r="AA2203" s="3">
        <f>IF(ISNUMBER(AVERAGE('20250815_ETF_Options_Exhibits'!AA2199:AA2203)),AVERAGE('20250815_ETF_Options_Exhibits'!AA2199:AA2203),"")</f>
        <v/>
      </c>
    </row>
    <row r="2204">
      <c r="A2204" s="1" t="n">
        <v>45201</v>
      </c>
      <c r="B2204" s="3">
        <f>IF(ISNUMBER(AVERAGE('20250815_ETF_Options_Exhibits'!B2200:B2204)),AVERAGE('20250815_ETF_Options_Exhibits'!B2200:B2204),"")</f>
        <v/>
      </c>
      <c r="C2204" s="3">
        <f>IF(ISNUMBER(AVERAGE('20250815_ETF_Options_Exhibits'!C2200:C2204)),AVERAGE('20250815_ETF_Options_Exhibits'!C2200:C2204),"")</f>
        <v/>
      </c>
      <c r="D2204" s="3">
        <f>IF(ISNUMBER(AVERAGE('20250815_ETF_Options_Exhibits'!D2200:D2204)),AVERAGE('20250815_ETF_Options_Exhibits'!D2200:D2204),"")</f>
        <v/>
      </c>
      <c r="E2204" s="3">
        <f>IF(ISNUMBER(AVERAGE('20250815_ETF_Options_Exhibits'!E2200:E2204)),AVERAGE('20250815_ETF_Options_Exhibits'!E2200:E2204),"")</f>
        <v/>
      </c>
      <c r="F2204" s="3">
        <f>IF(ISNUMBER(AVERAGE('20250815_ETF_Options_Exhibits'!F2200:F2204)),AVERAGE('20250815_ETF_Options_Exhibits'!F2200:F2204),"")</f>
        <v/>
      </c>
      <c r="G2204" s="3">
        <f>IF(ISNUMBER(AVERAGE('20250815_ETF_Options_Exhibits'!G2200:G2204)),AVERAGE('20250815_ETF_Options_Exhibits'!G2200:G2204),"")</f>
        <v/>
      </c>
      <c r="H2204" s="3">
        <f>IF(ISNUMBER(AVERAGE('20250815_ETF_Options_Exhibits'!H2200:H2204)),AVERAGE('20250815_ETF_Options_Exhibits'!H2200:H2204),"")</f>
        <v/>
      </c>
      <c r="I2204" s="3">
        <f>IF(ISNUMBER(AVERAGE('20250815_ETF_Options_Exhibits'!I2200:I2204)),AVERAGE('20250815_ETF_Options_Exhibits'!I2200:I2204),"")</f>
        <v/>
      </c>
      <c r="J2204" s="3">
        <f>IF(ISNUMBER(AVERAGE('20250815_ETF_Options_Exhibits'!J2200:J2204)),AVERAGE('20250815_ETF_Options_Exhibits'!J2200:J2204),"")</f>
        <v/>
      </c>
      <c r="K2204" s="3">
        <f>IF(ISNUMBER(AVERAGE('20250815_ETF_Options_Exhibits'!K2200:K2204)),AVERAGE('20250815_ETF_Options_Exhibits'!K2200:K2204),"")</f>
        <v/>
      </c>
      <c r="L2204" s="3">
        <f>IF(ISNUMBER(AVERAGE('20250815_ETF_Options_Exhibits'!L2200:L2204)),AVERAGE('20250815_ETF_Options_Exhibits'!L2200:L2204),"")</f>
        <v/>
      </c>
      <c r="M2204" s="3">
        <f>IF(ISNUMBER(AVERAGE('20250815_ETF_Options_Exhibits'!M2200:M2204)),AVERAGE('20250815_ETF_Options_Exhibits'!M2200:M2204),"")</f>
        <v/>
      </c>
      <c r="N2204" s="3">
        <f>IF(ISNUMBER(AVERAGE('20250815_ETF_Options_Exhibits'!N2200:N2204)),AVERAGE('20250815_ETF_Options_Exhibits'!N2200:N2204),"")</f>
        <v/>
      </c>
      <c r="O2204" s="3">
        <f>IF(ISNUMBER(AVERAGE('20250815_ETF_Options_Exhibits'!O2200:O2204)),AVERAGE('20250815_ETF_Options_Exhibits'!O2200:O2204),"")</f>
        <v/>
      </c>
      <c r="P2204" s="3">
        <f>IF(ISNUMBER(AVERAGE('20250815_ETF_Options_Exhibits'!P2200:P2204)),AVERAGE('20250815_ETF_Options_Exhibits'!P2200:P2204),"")</f>
        <v/>
      </c>
      <c r="Q2204" s="3">
        <f>IF(ISNUMBER(AVERAGE('20250815_ETF_Options_Exhibits'!Q2200:Q2204)),AVERAGE('20250815_ETF_Options_Exhibits'!Q2200:Q2204),"")</f>
        <v/>
      </c>
      <c r="R2204" s="3">
        <f>IF(ISNUMBER(AVERAGE('20250815_ETF_Options_Exhibits'!R2200:R2204)),AVERAGE('20250815_ETF_Options_Exhibits'!R2200:R2204),"")</f>
        <v/>
      </c>
      <c r="S2204" s="3">
        <f>IF(ISNUMBER(AVERAGE('20250815_ETF_Options_Exhibits'!S2200:S2204)),AVERAGE('20250815_ETF_Options_Exhibits'!S2200:S2204),"")</f>
        <v/>
      </c>
      <c r="T2204" s="3">
        <f>IF(ISNUMBER(AVERAGE('20250815_ETF_Options_Exhibits'!T2200:T2204)),AVERAGE('20250815_ETF_Options_Exhibits'!T2200:T2204),"")</f>
        <v/>
      </c>
      <c r="U2204" s="3">
        <f>IF(ISNUMBER(AVERAGE('20250815_ETF_Options_Exhibits'!U2200:U2204)),AVERAGE('20250815_ETF_Options_Exhibits'!U2200:U2204),"")</f>
        <v/>
      </c>
      <c r="V2204" s="3">
        <f>IF(ISNUMBER(AVERAGE('20250815_ETF_Options_Exhibits'!V2200:V2204)),AVERAGE('20250815_ETF_Options_Exhibits'!V2200:V2204),"")</f>
        <v/>
      </c>
      <c r="W2204" s="3">
        <f>IF(ISNUMBER(AVERAGE('20250815_ETF_Options_Exhibits'!W2200:W2204)),AVERAGE('20250815_ETF_Options_Exhibits'!W2200:W2204),"")</f>
        <v/>
      </c>
      <c r="X2204" s="3">
        <f>IF(ISNUMBER(AVERAGE('20250815_ETF_Options_Exhibits'!X2200:X2204)),AVERAGE('20250815_ETF_Options_Exhibits'!X2200:X2204),"")</f>
        <v/>
      </c>
      <c r="Y2204" s="3">
        <f>IF(ISNUMBER(AVERAGE('20250815_ETF_Options_Exhibits'!Y2200:Y2204)),AVERAGE('20250815_ETF_Options_Exhibits'!Y2200:Y2204),"")</f>
        <v/>
      </c>
      <c r="Z2204" s="3">
        <f>IF(ISNUMBER(AVERAGE('20250815_ETF_Options_Exhibits'!Z2200:Z2204)),AVERAGE('20250815_ETF_Options_Exhibits'!Z2200:Z2204),"")</f>
        <v/>
      </c>
      <c r="AA2204" s="3">
        <f>IF(ISNUMBER(AVERAGE('20250815_ETF_Options_Exhibits'!AA2200:AA2204)),AVERAGE('20250815_ETF_Options_Exhibits'!AA2200:AA2204),"")</f>
        <v/>
      </c>
    </row>
    <row r="2205">
      <c r="A2205" s="1" t="n">
        <v>45202</v>
      </c>
      <c r="B2205" s="3">
        <f>IF(ISNUMBER(AVERAGE('20250815_ETF_Options_Exhibits'!B2201:B2205)),AVERAGE('20250815_ETF_Options_Exhibits'!B2201:B2205),"")</f>
        <v/>
      </c>
      <c r="C2205" s="3">
        <f>IF(ISNUMBER(AVERAGE('20250815_ETF_Options_Exhibits'!C2201:C2205)),AVERAGE('20250815_ETF_Options_Exhibits'!C2201:C2205),"")</f>
        <v/>
      </c>
      <c r="D2205" s="3">
        <f>IF(ISNUMBER(AVERAGE('20250815_ETF_Options_Exhibits'!D2201:D2205)),AVERAGE('20250815_ETF_Options_Exhibits'!D2201:D2205),"")</f>
        <v/>
      </c>
      <c r="E2205" s="3">
        <f>IF(ISNUMBER(AVERAGE('20250815_ETF_Options_Exhibits'!E2201:E2205)),AVERAGE('20250815_ETF_Options_Exhibits'!E2201:E2205),"")</f>
        <v/>
      </c>
      <c r="F2205" s="3">
        <f>IF(ISNUMBER(AVERAGE('20250815_ETF_Options_Exhibits'!F2201:F2205)),AVERAGE('20250815_ETF_Options_Exhibits'!F2201:F2205),"")</f>
        <v/>
      </c>
      <c r="G2205" s="3">
        <f>IF(ISNUMBER(AVERAGE('20250815_ETF_Options_Exhibits'!G2201:G2205)),AVERAGE('20250815_ETF_Options_Exhibits'!G2201:G2205),"")</f>
        <v/>
      </c>
      <c r="H2205" s="3">
        <f>IF(ISNUMBER(AVERAGE('20250815_ETF_Options_Exhibits'!H2201:H2205)),AVERAGE('20250815_ETF_Options_Exhibits'!H2201:H2205),"")</f>
        <v/>
      </c>
      <c r="I2205" s="3">
        <f>IF(ISNUMBER(AVERAGE('20250815_ETF_Options_Exhibits'!I2201:I2205)),AVERAGE('20250815_ETF_Options_Exhibits'!I2201:I2205),"")</f>
        <v/>
      </c>
      <c r="J2205" s="3">
        <f>IF(ISNUMBER(AVERAGE('20250815_ETF_Options_Exhibits'!J2201:J2205)),AVERAGE('20250815_ETF_Options_Exhibits'!J2201:J2205),"")</f>
        <v/>
      </c>
      <c r="K2205" s="3">
        <f>IF(ISNUMBER(AVERAGE('20250815_ETF_Options_Exhibits'!K2201:K2205)),AVERAGE('20250815_ETF_Options_Exhibits'!K2201:K2205),"")</f>
        <v/>
      </c>
      <c r="L2205" s="3">
        <f>IF(ISNUMBER(AVERAGE('20250815_ETF_Options_Exhibits'!L2201:L2205)),AVERAGE('20250815_ETF_Options_Exhibits'!L2201:L2205),"")</f>
        <v/>
      </c>
      <c r="M2205" s="3">
        <f>IF(ISNUMBER(AVERAGE('20250815_ETF_Options_Exhibits'!M2201:M2205)),AVERAGE('20250815_ETF_Options_Exhibits'!M2201:M2205),"")</f>
        <v/>
      </c>
      <c r="N2205" s="3">
        <f>IF(ISNUMBER(AVERAGE('20250815_ETF_Options_Exhibits'!N2201:N2205)),AVERAGE('20250815_ETF_Options_Exhibits'!N2201:N2205),"")</f>
        <v/>
      </c>
      <c r="O2205" s="3">
        <f>IF(ISNUMBER(AVERAGE('20250815_ETF_Options_Exhibits'!O2201:O2205)),AVERAGE('20250815_ETF_Options_Exhibits'!O2201:O2205),"")</f>
        <v/>
      </c>
      <c r="P2205" s="3">
        <f>IF(ISNUMBER(AVERAGE('20250815_ETF_Options_Exhibits'!P2201:P2205)),AVERAGE('20250815_ETF_Options_Exhibits'!P2201:P2205),"")</f>
        <v/>
      </c>
      <c r="Q2205" s="3">
        <f>IF(ISNUMBER(AVERAGE('20250815_ETF_Options_Exhibits'!Q2201:Q2205)),AVERAGE('20250815_ETF_Options_Exhibits'!Q2201:Q2205),"")</f>
        <v/>
      </c>
      <c r="R2205" s="3">
        <f>IF(ISNUMBER(AVERAGE('20250815_ETF_Options_Exhibits'!R2201:R2205)),AVERAGE('20250815_ETF_Options_Exhibits'!R2201:R2205),"")</f>
        <v/>
      </c>
      <c r="S2205" s="3">
        <f>IF(ISNUMBER(AVERAGE('20250815_ETF_Options_Exhibits'!S2201:S2205)),AVERAGE('20250815_ETF_Options_Exhibits'!S2201:S2205),"")</f>
        <v/>
      </c>
      <c r="T2205" s="3">
        <f>IF(ISNUMBER(AVERAGE('20250815_ETF_Options_Exhibits'!T2201:T2205)),AVERAGE('20250815_ETF_Options_Exhibits'!T2201:T2205),"")</f>
        <v/>
      </c>
      <c r="U2205" s="3">
        <f>IF(ISNUMBER(AVERAGE('20250815_ETF_Options_Exhibits'!U2201:U2205)),AVERAGE('20250815_ETF_Options_Exhibits'!U2201:U2205),"")</f>
        <v/>
      </c>
      <c r="V2205" s="3">
        <f>IF(ISNUMBER(AVERAGE('20250815_ETF_Options_Exhibits'!V2201:V2205)),AVERAGE('20250815_ETF_Options_Exhibits'!V2201:V2205),"")</f>
        <v/>
      </c>
      <c r="W2205" s="3">
        <f>IF(ISNUMBER(AVERAGE('20250815_ETF_Options_Exhibits'!W2201:W2205)),AVERAGE('20250815_ETF_Options_Exhibits'!W2201:W2205),"")</f>
        <v/>
      </c>
      <c r="X2205" s="3">
        <f>IF(ISNUMBER(AVERAGE('20250815_ETF_Options_Exhibits'!X2201:X2205)),AVERAGE('20250815_ETF_Options_Exhibits'!X2201:X2205),"")</f>
        <v/>
      </c>
      <c r="Y2205" s="3">
        <f>IF(ISNUMBER(AVERAGE('20250815_ETF_Options_Exhibits'!Y2201:Y2205)),AVERAGE('20250815_ETF_Options_Exhibits'!Y2201:Y2205),"")</f>
        <v/>
      </c>
      <c r="Z2205" s="3">
        <f>IF(ISNUMBER(AVERAGE('20250815_ETF_Options_Exhibits'!Z2201:Z2205)),AVERAGE('20250815_ETF_Options_Exhibits'!Z2201:Z2205),"")</f>
        <v/>
      </c>
      <c r="AA2205" s="3">
        <f>IF(ISNUMBER(AVERAGE('20250815_ETF_Options_Exhibits'!AA2201:AA2205)),AVERAGE('20250815_ETF_Options_Exhibits'!AA2201:AA2205),"")</f>
        <v/>
      </c>
    </row>
    <row r="2206">
      <c r="A2206" s="1" t="n">
        <v>45203</v>
      </c>
      <c r="B2206" s="3">
        <f>IF(ISNUMBER(AVERAGE('20250815_ETF_Options_Exhibits'!B2202:B2206)),AVERAGE('20250815_ETF_Options_Exhibits'!B2202:B2206),"")</f>
        <v/>
      </c>
      <c r="C2206" s="3">
        <f>IF(ISNUMBER(AVERAGE('20250815_ETF_Options_Exhibits'!C2202:C2206)),AVERAGE('20250815_ETF_Options_Exhibits'!C2202:C2206),"")</f>
        <v/>
      </c>
      <c r="D2206" s="3">
        <f>IF(ISNUMBER(AVERAGE('20250815_ETF_Options_Exhibits'!D2202:D2206)),AVERAGE('20250815_ETF_Options_Exhibits'!D2202:D2206),"")</f>
        <v/>
      </c>
      <c r="E2206" s="3">
        <f>IF(ISNUMBER(AVERAGE('20250815_ETF_Options_Exhibits'!E2202:E2206)),AVERAGE('20250815_ETF_Options_Exhibits'!E2202:E2206),"")</f>
        <v/>
      </c>
      <c r="F2206" s="3">
        <f>IF(ISNUMBER(AVERAGE('20250815_ETF_Options_Exhibits'!F2202:F2206)),AVERAGE('20250815_ETF_Options_Exhibits'!F2202:F2206),"")</f>
        <v/>
      </c>
      <c r="G2206" s="3">
        <f>IF(ISNUMBER(AVERAGE('20250815_ETF_Options_Exhibits'!G2202:G2206)),AVERAGE('20250815_ETF_Options_Exhibits'!G2202:G2206),"")</f>
        <v/>
      </c>
      <c r="H2206" s="3">
        <f>IF(ISNUMBER(AVERAGE('20250815_ETF_Options_Exhibits'!H2202:H2206)),AVERAGE('20250815_ETF_Options_Exhibits'!H2202:H2206),"")</f>
        <v/>
      </c>
      <c r="I2206" s="3">
        <f>IF(ISNUMBER(AVERAGE('20250815_ETF_Options_Exhibits'!I2202:I2206)),AVERAGE('20250815_ETF_Options_Exhibits'!I2202:I2206),"")</f>
        <v/>
      </c>
      <c r="J2206" s="3">
        <f>IF(ISNUMBER(AVERAGE('20250815_ETF_Options_Exhibits'!J2202:J2206)),AVERAGE('20250815_ETF_Options_Exhibits'!J2202:J2206),"")</f>
        <v/>
      </c>
      <c r="K2206" s="3">
        <f>IF(ISNUMBER(AVERAGE('20250815_ETF_Options_Exhibits'!K2202:K2206)),AVERAGE('20250815_ETF_Options_Exhibits'!K2202:K2206),"")</f>
        <v/>
      </c>
      <c r="L2206" s="3">
        <f>IF(ISNUMBER(AVERAGE('20250815_ETF_Options_Exhibits'!L2202:L2206)),AVERAGE('20250815_ETF_Options_Exhibits'!L2202:L2206),"")</f>
        <v/>
      </c>
      <c r="M2206" s="3">
        <f>IF(ISNUMBER(AVERAGE('20250815_ETF_Options_Exhibits'!M2202:M2206)),AVERAGE('20250815_ETF_Options_Exhibits'!M2202:M2206),"")</f>
        <v/>
      </c>
      <c r="N2206" s="3">
        <f>IF(ISNUMBER(AVERAGE('20250815_ETF_Options_Exhibits'!N2202:N2206)),AVERAGE('20250815_ETF_Options_Exhibits'!N2202:N2206),"")</f>
        <v/>
      </c>
      <c r="O2206" s="3">
        <f>IF(ISNUMBER(AVERAGE('20250815_ETF_Options_Exhibits'!O2202:O2206)),AVERAGE('20250815_ETF_Options_Exhibits'!O2202:O2206),"")</f>
        <v/>
      </c>
      <c r="P2206" s="3">
        <f>IF(ISNUMBER(AVERAGE('20250815_ETF_Options_Exhibits'!P2202:P2206)),AVERAGE('20250815_ETF_Options_Exhibits'!P2202:P2206),"")</f>
        <v/>
      </c>
      <c r="Q2206" s="3">
        <f>IF(ISNUMBER(AVERAGE('20250815_ETF_Options_Exhibits'!Q2202:Q2206)),AVERAGE('20250815_ETF_Options_Exhibits'!Q2202:Q2206),"")</f>
        <v/>
      </c>
      <c r="R2206" s="3">
        <f>IF(ISNUMBER(AVERAGE('20250815_ETF_Options_Exhibits'!R2202:R2206)),AVERAGE('20250815_ETF_Options_Exhibits'!R2202:R2206),"")</f>
        <v/>
      </c>
      <c r="S2206" s="3">
        <f>IF(ISNUMBER(AVERAGE('20250815_ETF_Options_Exhibits'!S2202:S2206)),AVERAGE('20250815_ETF_Options_Exhibits'!S2202:S2206),"")</f>
        <v/>
      </c>
      <c r="T2206" s="3">
        <f>IF(ISNUMBER(AVERAGE('20250815_ETF_Options_Exhibits'!T2202:T2206)),AVERAGE('20250815_ETF_Options_Exhibits'!T2202:T2206),"")</f>
        <v/>
      </c>
      <c r="U2206" s="3">
        <f>IF(ISNUMBER(AVERAGE('20250815_ETF_Options_Exhibits'!U2202:U2206)),AVERAGE('20250815_ETF_Options_Exhibits'!U2202:U2206),"")</f>
        <v/>
      </c>
      <c r="V2206" s="3">
        <f>IF(ISNUMBER(AVERAGE('20250815_ETF_Options_Exhibits'!V2202:V2206)),AVERAGE('20250815_ETF_Options_Exhibits'!V2202:V2206),"")</f>
        <v/>
      </c>
      <c r="W2206" s="3">
        <f>IF(ISNUMBER(AVERAGE('20250815_ETF_Options_Exhibits'!W2202:W2206)),AVERAGE('20250815_ETF_Options_Exhibits'!W2202:W2206),"")</f>
        <v/>
      </c>
      <c r="X2206" s="3">
        <f>IF(ISNUMBER(AVERAGE('20250815_ETF_Options_Exhibits'!X2202:X2206)),AVERAGE('20250815_ETF_Options_Exhibits'!X2202:X2206),"")</f>
        <v/>
      </c>
      <c r="Y2206" s="3">
        <f>IF(ISNUMBER(AVERAGE('20250815_ETF_Options_Exhibits'!Y2202:Y2206)),AVERAGE('20250815_ETF_Options_Exhibits'!Y2202:Y2206),"")</f>
        <v/>
      </c>
      <c r="Z2206" s="3">
        <f>IF(ISNUMBER(AVERAGE('20250815_ETF_Options_Exhibits'!Z2202:Z2206)),AVERAGE('20250815_ETF_Options_Exhibits'!Z2202:Z2206),"")</f>
        <v/>
      </c>
      <c r="AA2206" s="3">
        <f>IF(ISNUMBER(AVERAGE('20250815_ETF_Options_Exhibits'!AA2202:AA2206)),AVERAGE('20250815_ETF_Options_Exhibits'!AA2202:AA2206),"")</f>
        <v/>
      </c>
    </row>
    <row r="2207">
      <c r="A2207" s="1" t="n">
        <v>45204</v>
      </c>
      <c r="B2207" s="3">
        <f>IF(ISNUMBER(AVERAGE('20250815_ETF_Options_Exhibits'!B2203:B2207)),AVERAGE('20250815_ETF_Options_Exhibits'!B2203:B2207),"")</f>
        <v/>
      </c>
      <c r="C2207" s="3">
        <f>IF(ISNUMBER(AVERAGE('20250815_ETF_Options_Exhibits'!C2203:C2207)),AVERAGE('20250815_ETF_Options_Exhibits'!C2203:C2207),"")</f>
        <v/>
      </c>
      <c r="D2207" s="3">
        <f>IF(ISNUMBER(AVERAGE('20250815_ETF_Options_Exhibits'!D2203:D2207)),AVERAGE('20250815_ETF_Options_Exhibits'!D2203:D2207),"")</f>
        <v/>
      </c>
      <c r="E2207" s="3">
        <f>IF(ISNUMBER(AVERAGE('20250815_ETF_Options_Exhibits'!E2203:E2207)),AVERAGE('20250815_ETF_Options_Exhibits'!E2203:E2207),"")</f>
        <v/>
      </c>
      <c r="F2207" s="3">
        <f>IF(ISNUMBER(AVERAGE('20250815_ETF_Options_Exhibits'!F2203:F2207)),AVERAGE('20250815_ETF_Options_Exhibits'!F2203:F2207),"")</f>
        <v/>
      </c>
      <c r="G2207" s="3">
        <f>IF(ISNUMBER(AVERAGE('20250815_ETF_Options_Exhibits'!G2203:G2207)),AVERAGE('20250815_ETF_Options_Exhibits'!G2203:G2207),"")</f>
        <v/>
      </c>
      <c r="H2207" s="3">
        <f>IF(ISNUMBER(AVERAGE('20250815_ETF_Options_Exhibits'!H2203:H2207)),AVERAGE('20250815_ETF_Options_Exhibits'!H2203:H2207),"")</f>
        <v/>
      </c>
      <c r="I2207" s="3">
        <f>IF(ISNUMBER(AVERAGE('20250815_ETF_Options_Exhibits'!I2203:I2207)),AVERAGE('20250815_ETF_Options_Exhibits'!I2203:I2207),"")</f>
        <v/>
      </c>
      <c r="J2207" s="3">
        <f>IF(ISNUMBER(AVERAGE('20250815_ETF_Options_Exhibits'!J2203:J2207)),AVERAGE('20250815_ETF_Options_Exhibits'!J2203:J2207),"")</f>
        <v/>
      </c>
      <c r="K2207" s="3">
        <f>IF(ISNUMBER(AVERAGE('20250815_ETF_Options_Exhibits'!K2203:K2207)),AVERAGE('20250815_ETF_Options_Exhibits'!K2203:K2207),"")</f>
        <v/>
      </c>
      <c r="L2207" s="3">
        <f>IF(ISNUMBER(AVERAGE('20250815_ETF_Options_Exhibits'!L2203:L2207)),AVERAGE('20250815_ETF_Options_Exhibits'!L2203:L2207),"")</f>
        <v/>
      </c>
      <c r="M2207" s="3">
        <f>IF(ISNUMBER(AVERAGE('20250815_ETF_Options_Exhibits'!M2203:M2207)),AVERAGE('20250815_ETF_Options_Exhibits'!M2203:M2207),"")</f>
        <v/>
      </c>
      <c r="N2207" s="3">
        <f>IF(ISNUMBER(AVERAGE('20250815_ETF_Options_Exhibits'!N2203:N2207)),AVERAGE('20250815_ETF_Options_Exhibits'!N2203:N2207),"")</f>
        <v/>
      </c>
      <c r="O2207" s="3">
        <f>IF(ISNUMBER(AVERAGE('20250815_ETF_Options_Exhibits'!O2203:O2207)),AVERAGE('20250815_ETF_Options_Exhibits'!O2203:O2207),"")</f>
        <v/>
      </c>
      <c r="P2207" s="3">
        <f>IF(ISNUMBER(AVERAGE('20250815_ETF_Options_Exhibits'!P2203:P2207)),AVERAGE('20250815_ETF_Options_Exhibits'!P2203:P2207),"")</f>
        <v/>
      </c>
      <c r="Q2207" s="3">
        <f>IF(ISNUMBER(AVERAGE('20250815_ETF_Options_Exhibits'!Q2203:Q2207)),AVERAGE('20250815_ETF_Options_Exhibits'!Q2203:Q2207),"")</f>
        <v/>
      </c>
      <c r="R2207" s="3">
        <f>IF(ISNUMBER(AVERAGE('20250815_ETF_Options_Exhibits'!R2203:R2207)),AVERAGE('20250815_ETF_Options_Exhibits'!R2203:R2207),"")</f>
        <v/>
      </c>
      <c r="S2207" s="3">
        <f>IF(ISNUMBER(AVERAGE('20250815_ETF_Options_Exhibits'!S2203:S2207)),AVERAGE('20250815_ETF_Options_Exhibits'!S2203:S2207),"")</f>
        <v/>
      </c>
      <c r="T2207" s="3">
        <f>IF(ISNUMBER(AVERAGE('20250815_ETF_Options_Exhibits'!T2203:T2207)),AVERAGE('20250815_ETF_Options_Exhibits'!T2203:T2207),"")</f>
        <v/>
      </c>
      <c r="U2207" s="3">
        <f>IF(ISNUMBER(AVERAGE('20250815_ETF_Options_Exhibits'!U2203:U2207)),AVERAGE('20250815_ETF_Options_Exhibits'!U2203:U2207),"")</f>
        <v/>
      </c>
      <c r="V2207" s="3">
        <f>IF(ISNUMBER(AVERAGE('20250815_ETF_Options_Exhibits'!V2203:V2207)),AVERAGE('20250815_ETF_Options_Exhibits'!V2203:V2207),"")</f>
        <v/>
      </c>
      <c r="W2207" s="3">
        <f>IF(ISNUMBER(AVERAGE('20250815_ETF_Options_Exhibits'!W2203:W2207)),AVERAGE('20250815_ETF_Options_Exhibits'!W2203:W2207),"")</f>
        <v/>
      </c>
      <c r="X2207" s="3">
        <f>IF(ISNUMBER(AVERAGE('20250815_ETF_Options_Exhibits'!X2203:X2207)),AVERAGE('20250815_ETF_Options_Exhibits'!X2203:X2207),"")</f>
        <v/>
      </c>
      <c r="Y2207" s="3">
        <f>IF(ISNUMBER(AVERAGE('20250815_ETF_Options_Exhibits'!Y2203:Y2207)),AVERAGE('20250815_ETF_Options_Exhibits'!Y2203:Y2207),"")</f>
        <v/>
      </c>
      <c r="Z2207" s="3">
        <f>IF(ISNUMBER(AVERAGE('20250815_ETF_Options_Exhibits'!Z2203:Z2207)),AVERAGE('20250815_ETF_Options_Exhibits'!Z2203:Z2207),"")</f>
        <v/>
      </c>
      <c r="AA2207" s="3">
        <f>IF(ISNUMBER(AVERAGE('20250815_ETF_Options_Exhibits'!AA2203:AA2207)),AVERAGE('20250815_ETF_Options_Exhibits'!AA2203:AA2207),"")</f>
        <v/>
      </c>
    </row>
    <row r="2208">
      <c r="A2208" s="1" t="n">
        <v>45205</v>
      </c>
      <c r="B2208" s="3">
        <f>IF(ISNUMBER(AVERAGE('20250815_ETF_Options_Exhibits'!B2204:B2208)),AVERAGE('20250815_ETF_Options_Exhibits'!B2204:B2208),"")</f>
        <v/>
      </c>
      <c r="C2208" s="3">
        <f>IF(ISNUMBER(AVERAGE('20250815_ETF_Options_Exhibits'!C2204:C2208)),AVERAGE('20250815_ETF_Options_Exhibits'!C2204:C2208),"")</f>
        <v/>
      </c>
      <c r="D2208" s="3">
        <f>IF(ISNUMBER(AVERAGE('20250815_ETF_Options_Exhibits'!D2204:D2208)),AVERAGE('20250815_ETF_Options_Exhibits'!D2204:D2208),"")</f>
        <v/>
      </c>
      <c r="E2208" s="3">
        <f>IF(ISNUMBER(AVERAGE('20250815_ETF_Options_Exhibits'!E2204:E2208)),AVERAGE('20250815_ETF_Options_Exhibits'!E2204:E2208),"")</f>
        <v/>
      </c>
      <c r="F2208" s="3">
        <f>IF(ISNUMBER(AVERAGE('20250815_ETF_Options_Exhibits'!F2204:F2208)),AVERAGE('20250815_ETF_Options_Exhibits'!F2204:F2208),"")</f>
        <v/>
      </c>
      <c r="G2208" s="3">
        <f>IF(ISNUMBER(AVERAGE('20250815_ETF_Options_Exhibits'!G2204:G2208)),AVERAGE('20250815_ETF_Options_Exhibits'!G2204:G2208),"")</f>
        <v/>
      </c>
      <c r="H2208" s="3">
        <f>IF(ISNUMBER(AVERAGE('20250815_ETF_Options_Exhibits'!H2204:H2208)),AVERAGE('20250815_ETF_Options_Exhibits'!H2204:H2208),"")</f>
        <v/>
      </c>
      <c r="I2208" s="3">
        <f>IF(ISNUMBER(AVERAGE('20250815_ETF_Options_Exhibits'!I2204:I2208)),AVERAGE('20250815_ETF_Options_Exhibits'!I2204:I2208),"")</f>
        <v/>
      </c>
      <c r="J2208" s="3">
        <f>IF(ISNUMBER(AVERAGE('20250815_ETF_Options_Exhibits'!J2204:J2208)),AVERAGE('20250815_ETF_Options_Exhibits'!J2204:J2208),"")</f>
        <v/>
      </c>
      <c r="K2208" s="3">
        <f>IF(ISNUMBER(AVERAGE('20250815_ETF_Options_Exhibits'!K2204:K2208)),AVERAGE('20250815_ETF_Options_Exhibits'!K2204:K2208),"")</f>
        <v/>
      </c>
      <c r="L2208" s="3">
        <f>IF(ISNUMBER(AVERAGE('20250815_ETF_Options_Exhibits'!L2204:L2208)),AVERAGE('20250815_ETF_Options_Exhibits'!L2204:L2208),"")</f>
        <v/>
      </c>
      <c r="M2208" s="3">
        <f>IF(ISNUMBER(AVERAGE('20250815_ETF_Options_Exhibits'!M2204:M2208)),AVERAGE('20250815_ETF_Options_Exhibits'!M2204:M2208),"")</f>
        <v/>
      </c>
      <c r="N2208" s="3">
        <f>IF(ISNUMBER(AVERAGE('20250815_ETF_Options_Exhibits'!N2204:N2208)),AVERAGE('20250815_ETF_Options_Exhibits'!N2204:N2208),"")</f>
        <v/>
      </c>
      <c r="O2208" s="3">
        <f>IF(ISNUMBER(AVERAGE('20250815_ETF_Options_Exhibits'!O2204:O2208)),AVERAGE('20250815_ETF_Options_Exhibits'!O2204:O2208),"")</f>
        <v/>
      </c>
      <c r="P2208" s="3">
        <f>IF(ISNUMBER(AVERAGE('20250815_ETF_Options_Exhibits'!P2204:P2208)),AVERAGE('20250815_ETF_Options_Exhibits'!P2204:P2208),"")</f>
        <v/>
      </c>
      <c r="Q2208" s="3">
        <f>IF(ISNUMBER(AVERAGE('20250815_ETF_Options_Exhibits'!Q2204:Q2208)),AVERAGE('20250815_ETF_Options_Exhibits'!Q2204:Q2208),"")</f>
        <v/>
      </c>
      <c r="R2208" s="3">
        <f>IF(ISNUMBER(AVERAGE('20250815_ETF_Options_Exhibits'!R2204:R2208)),AVERAGE('20250815_ETF_Options_Exhibits'!R2204:R2208),"")</f>
        <v/>
      </c>
      <c r="S2208" s="3">
        <f>IF(ISNUMBER(AVERAGE('20250815_ETF_Options_Exhibits'!S2204:S2208)),AVERAGE('20250815_ETF_Options_Exhibits'!S2204:S2208),"")</f>
        <v/>
      </c>
      <c r="T2208" s="3">
        <f>IF(ISNUMBER(AVERAGE('20250815_ETF_Options_Exhibits'!T2204:T2208)),AVERAGE('20250815_ETF_Options_Exhibits'!T2204:T2208),"")</f>
        <v/>
      </c>
      <c r="U2208" s="3">
        <f>IF(ISNUMBER(AVERAGE('20250815_ETF_Options_Exhibits'!U2204:U2208)),AVERAGE('20250815_ETF_Options_Exhibits'!U2204:U2208),"")</f>
        <v/>
      </c>
      <c r="V2208" s="3">
        <f>IF(ISNUMBER(AVERAGE('20250815_ETF_Options_Exhibits'!V2204:V2208)),AVERAGE('20250815_ETF_Options_Exhibits'!V2204:V2208),"")</f>
        <v/>
      </c>
      <c r="W2208" s="3">
        <f>IF(ISNUMBER(AVERAGE('20250815_ETF_Options_Exhibits'!W2204:W2208)),AVERAGE('20250815_ETF_Options_Exhibits'!W2204:W2208),"")</f>
        <v/>
      </c>
      <c r="X2208" s="3">
        <f>IF(ISNUMBER(AVERAGE('20250815_ETF_Options_Exhibits'!X2204:X2208)),AVERAGE('20250815_ETF_Options_Exhibits'!X2204:X2208),"")</f>
        <v/>
      </c>
      <c r="Y2208" s="3">
        <f>IF(ISNUMBER(AVERAGE('20250815_ETF_Options_Exhibits'!Y2204:Y2208)),AVERAGE('20250815_ETF_Options_Exhibits'!Y2204:Y2208),"")</f>
        <v/>
      </c>
      <c r="Z2208" s="3">
        <f>IF(ISNUMBER(AVERAGE('20250815_ETF_Options_Exhibits'!Z2204:Z2208)),AVERAGE('20250815_ETF_Options_Exhibits'!Z2204:Z2208),"")</f>
        <v/>
      </c>
      <c r="AA2208" s="3">
        <f>IF(ISNUMBER(AVERAGE('20250815_ETF_Options_Exhibits'!AA2204:AA2208)),AVERAGE('20250815_ETF_Options_Exhibits'!AA2204:AA2208),"")</f>
        <v/>
      </c>
    </row>
    <row r="2209">
      <c r="A2209" s="1" t="n">
        <v>45208</v>
      </c>
      <c r="B2209" s="3">
        <f>IF(ISNUMBER(AVERAGE('20250815_ETF_Options_Exhibits'!B2205:B2209)),AVERAGE('20250815_ETF_Options_Exhibits'!B2205:B2209),"")</f>
        <v/>
      </c>
      <c r="C2209" s="3">
        <f>IF(ISNUMBER(AVERAGE('20250815_ETF_Options_Exhibits'!C2205:C2209)),AVERAGE('20250815_ETF_Options_Exhibits'!C2205:C2209),"")</f>
        <v/>
      </c>
      <c r="D2209" s="3">
        <f>IF(ISNUMBER(AVERAGE('20250815_ETF_Options_Exhibits'!D2205:D2209)),AVERAGE('20250815_ETF_Options_Exhibits'!D2205:D2209),"")</f>
        <v/>
      </c>
      <c r="E2209" s="3">
        <f>IF(ISNUMBER(AVERAGE('20250815_ETF_Options_Exhibits'!E2205:E2209)),AVERAGE('20250815_ETF_Options_Exhibits'!E2205:E2209),"")</f>
        <v/>
      </c>
      <c r="F2209" s="3">
        <f>IF(ISNUMBER(AVERAGE('20250815_ETF_Options_Exhibits'!F2205:F2209)),AVERAGE('20250815_ETF_Options_Exhibits'!F2205:F2209),"")</f>
        <v/>
      </c>
      <c r="G2209" s="3">
        <f>IF(ISNUMBER(AVERAGE('20250815_ETF_Options_Exhibits'!G2205:G2209)),AVERAGE('20250815_ETF_Options_Exhibits'!G2205:G2209),"")</f>
        <v/>
      </c>
      <c r="H2209" s="3">
        <f>IF(ISNUMBER(AVERAGE('20250815_ETF_Options_Exhibits'!H2205:H2209)),AVERAGE('20250815_ETF_Options_Exhibits'!H2205:H2209),"")</f>
        <v/>
      </c>
      <c r="I2209" s="3">
        <f>IF(ISNUMBER(AVERAGE('20250815_ETF_Options_Exhibits'!I2205:I2209)),AVERAGE('20250815_ETF_Options_Exhibits'!I2205:I2209),"")</f>
        <v/>
      </c>
      <c r="J2209" s="3">
        <f>IF(ISNUMBER(AVERAGE('20250815_ETF_Options_Exhibits'!J2205:J2209)),AVERAGE('20250815_ETF_Options_Exhibits'!J2205:J2209),"")</f>
        <v/>
      </c>
      <c r="K2209" s="3">
        <f>IF(ISNUMBER(AVERAGE('20250815_ETF_Options_Exhibits'!K2205:K2209)),AVERAGE('20250815_ETF_Options_Exhibits'!K2205:K2209),"")</f>
        <v/>
      </c>
      <c r="L2209" s="3">
        <f>IF(ISNUMBER(AVERAGE('20250815_ETF_Options_Exhibits'!L2205:L2209)),AVERAGE('20250815_ETF_Options_Exhibits'!L2205:L2209),"")</f>
        <v/>
      </c>
      <c r="M2209" s="3">
        <f>IF(ISNUMBER(AVERAGE('20250815_ETF_Options_Exhibits'!M2205:M2209)),AVERAGE('20250815_ETF_Options_Exhibits'!M2205:M2209),"")</f>
        <v/>
      </c>
      <c r="N2209" s="3">
        <f>IF(ISNUMBER(AVERAGE('20250815_ETF_Options_Exhibits'!N2205:N2209)),AVERAGE('20250815_ETF_Options_Exhibits'!N2205:N2209),"")</f>
        <v/>
      </c>
      <c r="O2209" s="3">
        <f>IF(ISNUMBER(AVERAGE('20250815_ETF_Options_Exhibits'!O2205:O2209)),AVERAGE('20250815_ETF_Options_Exhibits'!O2205:O2209),"")</f>
        <v/>
      </c>
      <c r="P2209" s="3">
        <f>IF(ISNUMBER(AVERAGE('20250815_ETF_Options_Exhibits'!P2205:P2209)),AVERAGE('20250815_ETF_Options_Exhibits'!P2205:P2209),"")</f>
        <v/>
      </c>
      <c r="Q2209" s="3">
        <f>IF(ISNUMBER(AVERAGE('20250815_ETF_Options_Exhibits'!Q2205:Q2209)),AVERAGE('20250815_ETF_Options_Exhibits'!Q2205:Q2209),"")</f>
        <v/>
      </c>
      <c r="R2209" s="3">
        <f>IF(ISNUMBER(AVERAGE('20250815_ETF_Options_Exhibits'!R2205:R2209)),AVERAGE('20250815_ETF_Options_Exhibits'!R2205:R2209),"")</f>
        <v/>
      </c>
      <c r="S2209" s="3">
        <f>IF(ISNUMBER(AVERAGE('20250815_ETF_Options_Exhibits'!S2205:S2209)),AVERAGE('20250815_ETF_Options_Exhibits'!S2205:S2209),"")</f>
        <v/>
      </c>
      <c r="T2209" s="3">
        <f>IF(ISNUMBER(AVERAGE('20250815_ETF_Options_Exhibits'!T2205:T2209)),AVERAGE('20250815_ETF_Options_Exhibits'!T2205:T2209),"")</f>
        <v/>
      </c>
      <c r="U2209" s="3">
        <f>IF(ISNUMBER(AVERAGE('20250815_ETF_Options_Exhibits'!U2205:U2209)),AVERAGE('20250815_ETF_Options_Exhibits'!U2205:U2209),"")</f>
        <v/>
      </c>
      <c r="V2209" s="3">
        <f>IF(ISNUMBER(AVERAGE('20250815_ETF_Options_Exhibits'!V2205:V2209)),AVERAGE('20250815_ETF_Options_Exhibits'!V2205:V2209),"")</f>
        <v/>
      </c>
      <c r="W2209" s="3">
        <f>IF(ISNUMBER(AVERAGE('20250815_ETF_Options_Exhibits'!W2205:W2209)),AVERAGE('20250815_ETF_Options_Exhibits'!W2205:W2209),"")</f>
        <v/>
      </c>
      <c r="X2209" s="3">
        <f>IF(ISNUMBER(AVERAGE('20250815_ETF_Options_Exhibits'!X2205:X2209)),AVERAGE('20250815_ETF_Options_Exhibits'!X2205:X2209),"")</f>
        <v/>
      </c>
      <c r="Y2209" s="3">
        <f>IF(ISNUMBER(AVERAGE('20250815_ETF_Options_Exhibits'!Y2205:Y2209)),AVERAGE('20250815_ETF_Options_Exhibits'!Y2205:Y2209),"")</f>
        <v/>
      </c>
      <c r="Z2209" s="3">
        <f>IF(ISNUMBER(AVERAGE('20250815_ETF_Options_Exhibits'!Z2205:Z2209)),AVERAGE('20250815_ETF_Options_Exhibits'!Z2205:Z2209),"")</f>
        <v/>
      </c>
      <c r="AA2209" s="3">
        <f>IF(ISNUMBER(AVERAGE('20250815_ETF_Options_Exhibits'!AA2205:AA2209)),AVERAGE('20250815_ETF_Options_Exhibits'!AA2205:AA2209),"")</f>
        <v/>
      </c>
    </row>
    <row r="2210">
      <c r="A2210" s="1" t="n">
        <v>45209</v>
      </c>
      <c r="B2210" s="3">
        <f>IF(ISNUMBER(AVERAGE('20250815_ETF_Options_Exhibits'!B2206:B2210)),AVERAGE('20250815_ETF_Options_Exhibits'!B2206:B2210),"")</f>
        <v/>
      </c>
      <c r="C2210" s="3">
        <f>IF(ISNUMBER(AVERAGE('20250815_ETF_Options_Exhibits'!C2206:C2210)),AVERAGE('20250815_ETF_Options_Exhibits'!C2206:C2210),"")</f>
        <v/>
      </c>
      <c r="D2210" s="3">
        <f>IF(ISNUMBER(AVERAGE('20250815_ETF_Options_Exhibits'!D2206:D2210)),AVERAGE('20250815_ETF_Options_Exhibits'!D2206:D2210),"")</f>
        <v/>
      </c>
      <c r="E2210" s="3">
        <f>IF(ISNUMBER(AVERAGE('20250815_ETF_Options_Exhibits'!E2206:E2210)),AVERAGE('20250815_ETF_Options_Exhibits'!E2206:E2210),"")</f>
        <v/>
      </c>
      <c r="F2210" s="3">
        <f>IF(ISNUMBER(AVERAGE('20250815_ETF_Options_Exhibits'!F2206:F2210)),AVERAGE('20250815_ETF_Options_Exhibits'!F2206:F2210),"")</f>
        <v/>
      </c>
      <c r="G2210" s="3">
        <f>IF(ISNUMBER(AVERAGE('20250815_ETF_Options_Exhibits'!G2206:G2210)),AVERAGE('20250815_ETF_Options_Exhibits'!G2206:G2210),"")</f>
        <v/>
      </c>
      <c r="H2210" s="3">
        <f>IF(ISNUMBER(AVERAGE('20250815_ETF_Options_Exhibits'!H2206:H2210)),AVERAGE('20250815_ETF_Options_Exhibits'!H2206:H2210),"")</f>
        <v/>
      </c>
      <c r="I2210" s="3">
        <f>IF(ISNUMBER(AVERAGE('20250815_ETF_Options_Exhibits'!I2206:I2210)),AVERAGE('20250815_ETF_Options_Exhibits'!I2206:I2210),"")</f>
        <v/>
      </c>
      <c r="J2210" s="3">
        <f>IF(ISNUMBER(AVERAGE('20250815_ETF_Options_Exhibits'!J2206:J2210)),AVERAGE('20250815_ETF_Options_Exhibits'!J2206:J2210),"")</f>
        <v/>
      </c>
      <c r="K2210" s="3">
        <f>IF(ISNUMBER(AVERAGE('20250815_ETF_Options_Exhibits'!K2206:K2210)),AVERAGE('20250815_ETF_Options_Exhibits'!K2206:K2210),"")</f>
        <v/>
      </c>
      <c r="L2210" s="3">
        <f>IF(ISNUMBER(AVERAGE('20250815_ETF_Options_Exhibits'!L2206:L2210)),AVERAGE('20250815_ETF_Options_Exhibits'!L2206:L2210),"")</f>
        <v/>
      </c>
      <c r="M2210" s="3">
        <f>IF(ISNUMBER(AVERAGE('20250815_ETF_Options_Exhibits'!M2206:M2210)),AVERAGE('20250815_ETF_Options_Exhibits'!M2206:M2210),"")</f>
        <v/>
      </c>
      <c r="N2210" s="3">
        <f>IF(ISNUMBER(AVERAGE('20250815_ETF_Options_Exhibits'!N2206:N2210)),AVERAGE('20250815_ETF_Options_Exhibits'!N2206:N2210),"")</f>
        <v/>
      </c>
      <c r="O2210" s="3">
        <f>IF(ISNUMBER(AVERAGE('20250815_ETF_Options_Exhibits'!O2206:O2210)),AVERAGE('20250815_ETF_Options_Exhibits'!O2206:O2210),"")</f>
        <v/>
      </c>
      <c r="P2210" s="3">
        <f>IF(ISNUMBER(AVERAGE('20250815_ETF_Options_Exhibits'!P2206:P2210)),AVERAGE('20250815_ETF_Options_Exhibits'!P2206:P2210),"")</f>
        <v/>
      </c>
      <c r="Q2210" s="3">
        <f>IF(ISNUMBER(AVERAGE('20250815_ETF_Options_Exhibits'!Q2206:Q2210)),AVERAGE('20250815_ETF_Options_Exhibits'!Q2206:Q2210),"")</f>
        <v/>
      </c>
      <c r="R2210" s="3">
        <f>IF(ISNUMBER(AVERAGE('20250815_ETF_Options_Exhibits'!R2206:R2210)),AVERAGE('20250815_ETF_Options_Exhibits'!R2206:R2210),"")</f>
        <v/>
      </c>
      <c r="S2210" s="3">
        <f>IF(ISNUMBER(AVERAGE('20250815_ETF_Options_Exhibits'!S2206:S2210)),AVERAGE('20250815_ETF_Options_Exhibits'!S2206:S2210),"")</f>
        <v/>
      </c>
      <c r="T2210" s="3">
        <f>IF(ISNUMBER(AVERAGE('20250815_ETF_Options_Exhibits'!T2206:T2210)),AVERAGE('20250815_ETF_Options_Exhibits'!T2206:T2210),"")</f>
        <v/>
      </c>
      <c r="U2210" s="3">
        <f>IF(ISNUMBER(AVERAGE('20250815_ETF_Options_Exhibits'!U2206:U2210)),AVERAGE('20250815_ETF_Options_Exhibits'!U2206:U2210),"")</f>
        <v/>
      </c>
      <c r="V2210" s="3">
        <f>IF(ISNUMBER(AVERAGE('20250815_ETF_Options_Exhibits'!V2206:V2210)),AVERAGE('20250815_ETF_Options_Exhibits'!V2206:V2210),"")</f>
        <v/>
      </c>
      <c r="W2210" s="3">
        <f>IF(ISNUMBER(AVERAGE('20250815_ETF_Options_Exhibits'!W2206:W2210)),AVERAGE('20250815_ETF_Options_Exhibits'!W2206:W2210),"")</f>
        <v/>
      </c>
      <c r="X2210" s="3">
        <f>IF(ISNUMBER(AVERAGE('20250815_ETF_Options_Exhibits'!X2206:X2210)),AVERAGE('20250815_ETF_Options_Exhibits'!X2206:X2210),"")</f>
        <v/>
      </c>
      <c r="Y2210" s="3">
        <f>IF(ISNUMBER(AVERAGE('20250815_ETF_Options_Exhibits'!Y2206:Y2210)),AVERAGE('20250815_ETF_Options_Exhibits'!Y2206:Y2210),"")</f>
        <v/>
      </c>
      <c r="Z2210" s="3">
        <f>IF(ISNUMBER(AVERAGE('20250815_ETF_Options_Exhibits'!Z2206:Z2210)),AVERAGE('20250815_ETF_Options_Exhibits'!Z2206:Z2210),"")</f>
        <v/>
      </c>
      <c r="AA2210" s="3">
        <f>IF(ISNUMBER(AVERAGE('20250815_ETF_Options_Exhibits'!AA2206:AA2210)),AVERAGE('20250815_ETF_Options_Exhibits'!AA2206:AA2210),"")</f>
        <v/>
      </c>
    </row>
    <row r="2211">
      <c r="A2211" s="1" t="n">
        <v>45210</v>
      </c>
      <c r="B2211" s="3">
        <f>IF(ISNUMBER(AVERAGE('20250815_ETF_Options_Exhibits'!B2207:B2211)),AVERAGE('20250815_ETF_Options_Exhibits'!B2207:B2211),"")</f>
        <v/>
      </c>
      <c r="C2211" s="3">
        <f>IF(ISNUMBER(AVERAGE('20250815_ETF_Options_Exhibits'!C2207:C2211)),AVERAGE('20250815_ETF_Options_Exhibits'!C2207:C2211),"")</f>
        <v/>
      </c>
      <c r="D2211" s="3">
        <f>IF(ISNUMBER(AVERAGE('20250815_ETF_Options_Exhibits'!D2207:D2211)),AVERAGE('20250815_ETF_Options_Exhibits'!D2207:D2211),"")</f>
        <v/>
      </c>
      <c r="E2211" s="3">
        <f>IF(ISNUMBER(AVERAGE('20250815_ETF_Options_Exhibits'!E2207:E2211)),AVERAGE('20250815_ETF_Options_Exhibits'!E2207:E2211),"")</f>
        <v/>
      </c>
      <c r="F2211" s="3">
        <f>IF(ISNUMBER(AVERAGE('20250815_ETF_Options_Exhibits'!F2207:F2211)),AVERAGE('20250815_ETF_Options_Exhibits'!F2207:F2211),"")</f>
        <v/>
      </c>
      <c r="G2211" s="3">
        <f>IF(ISNUMBER(AVERAGE('20250815_ETF_Options_Exhibits'!G2207:G2211)),AVERAGE('20250815_ETF_Options_Exhibits'!G2207:G2211),"")</f>
        <v/>
      </c>
      <c r="H2211" s="3">
        <f>IF(ISNUMBER(AVERAGE('20250815_ETF_Options_Exhibits'!H2207:H2211)),AVERAGE('20250815_ETF_Options_Exhibits'!H2207:H2211),"")</f>
        <v/>
      </c>
      <c r="I2211" s="3">
        <f>IF(ISNUMBER(AVERAGE('20250815_ETF_Options_Exhibits'!I2207:I2211)),AVERAGE('20250815_ETF_Options_Exhibits'!I2207:I2211),"")</f>
        <v/>
      </c>
      <c r="J2211" s="3">
        <f>IF(ISNUMBER(AVERAGE('20250815_ETF_Options_Exhibits'!J2207:J2211)),AVERAGE('20250815_ETF_Options_Exhibits'!J2207:J2211),"")</f>
        <v/>
      </c>
      <c r="K2211" s="3">
        <f>IF(ISNUMBER(AVERAGE('20250815_ETF_Options_Exhibits'!K2207:K2211)),AVERAGE('20250815_ETF_Options_Exhibits'!K2207:K2211),"")</f>
        <v/>
      </c>
      <c r="L2211" s="3">
        <f>IF(ISNUMBER(AVERAGE('20250815_ETF_Options_Exhibits'!L2207:L2211)),AVERAGE('20250815_ETF_Options_Exhibits'!L2207:L2211),"")</f>
        <v/>
      </c>
      <c r="M2211" s="3">
        <f>IF(ISNUMBER(AVERAGE('20250815_ETF_Options_Exhibits'!M2207:M2211)),AVERAGE('20250815_ETF_Options_Exhibits'!M2207:M2211),"")</f>
        <v/>
      </c>
      <c r="N2211" s="3">
        <f>IF(ISNUMBER(AVERAGE('20250815_ETF_Options_Exhibits'!N2207:N2211)),AVERAGE('20250815_ETF_Options_Exhibits'!N2207:N2211),"")</f>
        <v/>
      </c>
      <c r="O2211" s="3">
        <f>IF(ISNUMBER(AVERAGE('20250815_ETF_Options_Exhibits'!O2207:O2211)),AVERAGE('20250815_ETF_Options_Exhibits'!O2207:O2211),"")</f>
        <v/>
      </c>
      <c r="P2211" s="3">
        <f>IF(ISNUMBER(AVERAGE('20250815_ETF_Options_Exhibits'!P2207:P2211)),AVERAGE('20250815_ETF_Options_Exhibits'!P2207:P2211),"")</f>
        <v/>
      </c>
      <c r="Q2211" s="3">
        <f>IF(ISNUMBER(AVERAGE('20250815_ETF_Options_Exhibits'!Q2207:Q2211)),AVERAGE('20250815_ETF_Options_Exhibits'!Q2207:Q2211),"")</f>
        <v/>
      </c>
      <c r="R2211" s="3">
        <f>IF(ISNUMBER(AVERAGE('20250815_ETF_Options_Exhibits'!R2207:R2211)),AVERAGE('20250815_ETF_Options_Exhibits'!R2207:R2211),"")</f>
        <v/>
      </c>
      <c r="S2211" s="3">
        <f>IF(ISNUMBER(AVERAGE('20250815_ETF_Options_Exhibits'!S2207:S2211)),AVERAGE('20250815_ETF_Options_Exhibits'!S2207:S2211),"")</f>
        <v/>
      </c>
      <c r="T2211" s="3">
        <f>IF(ISNUMBER(AVERAGE('20250815_ETF_Options_Exhibits'!T2207:T2211)),AVERAGE('20250815_ETF_Options_Exhibits'!T2207:T2211),"")</f>
        <v/>
      </c>
      <c r="U2211" s="3">
        <f>IF(ISNUMBER(AVERAGE('20250815_ETF_Options_Exhibits'!U2207:U2211)),AVERAGE('20250815_ETF_Options_Exhibits'!U2207:U2211),"")</f>
        <v/>
      </c>
      <c r="V2211" s="3">
        <f>IF(ISNUMBER(AVERAGE('20250815_ETF_Options_Exhibits'!V2207:V2211)),AVERAGE('20250815_ETF_Options_Exhibits'!V2207:V2211),"")</f>
        <v/>
      </c>
      <c r="W2211" s="3">
        <f>IF(ISNUMBER(AVERAGE('20250815_ETF_Options_Exhibits'!W2207:W2211)),AVERAGE('20250815_ETF_Options_Exhibits'!W2207:W2211),"")</f>
        <v/>
      </c>
      <c r="X2211" s="3">
        <f>IF(ISNUMBER(AVERAGE('20250815_ETF_Options_Exhibits'!X2207:X2211)),AVERAGE('20250815_ETF_Options_Exhibits'!X2207:X2211),"")</f>
        <v/>
      </c>
      <c r="Y2211" s="3">
        <f>IF(ISNUMBER(AVERAGE('20250815_ETF_Options_Exhibits'!Y2207:Y2211)),AVERAGE('20250815_ETF_Options_Exhibits'!Y2207:Y2211),"")</f>
        <v/>
      </c>
      <c r="Z2211" s="3">
        <f>IF(ISNUMBER(AVERAGE('20250815_ETF_Options_Exhibits'!Z2207:Z2211)),AVERAGE('20250815_ETF_Options_Exhibits'!Z2207:Z2211),"")</f>
        <v/>
      </c>
      <c r="AA2211" s="3">
        <f>IF(ISNUMBER(AVERAGE('20250815_ETF_Options_Exhibits'!AA2207:AA2211)),AVERAGE('20250815_ETF_Options_Exhibits'!AA2207:AA2211),"")</f>
        <v/>
      </c>
    </row>
    <row r="2212">
      <c r="A2212" s="1" t="n">
        <v>45211</v>
      </c>
      <c r="B2212" s="3">
        <f>IF(ISNUMBER(AVERAGE('20250815_ETF_Options_Exhibits'!B2208:B2212)),AVERAGE('20250815_ETF_Options_Exhibits'!B2208:B2212),"")</f>
        <v/>
      </c>
      <c r="C2212" s="3">
        <f>IF(ISNUMBER(AVERAGE('20250815_ETF_Options_Exhibits'!C2208:C2212)),AVERAGE('20250815_ETF_Options_Exhibits'!C2208:C2212),"")</f>
        <v/>
      </c>
      <c r="D2212" s="3">
        <f>IF(ISNUMBER(AVERAGE('20250815_ETF_Options_Exhibits'!D2208:D2212)),AVERAGE('20250815_ETF_Options_Exhibits'!D2208:D2212),"")</f>
        <v/>
      </c>
      <c r="E2212" s="3">
        <f>IF(ISNUMBER(AVERAGE('20250815_ETF_Options_Exhibits'!E2208:E2212)),AVERAGE('20250815_ETF_Options_Exhibits'!E2208:E2212),"")</f>
        <v/>
      </c>
      <c r="F2212" s="3">
        <f>IF(ISNUMBER(AVERAGE('20250815_ETF_Options_Exhibits'!F2208:F2212)),AVERAGE('20250815_ETF_Options_Exhibits'!F2208:F2212),"")</f>
        <v/>
      </c>
      <c r="G2212" s="3">
        <f>IF(ISNUMBER(AVERAGE('20250815_ETF_Options_Exhibits'!G2208:G2212)),AVERAGE('20250815_ETF_Options_Exhibits'!G2208:G2212),"")</f>
        <v/>
      </c>
      <c r="H2212" s="3">
        <f>IF(ISNUMBER(AVERAGE('20250815_ETF_Options_Exhibits'!H2208:H2212)),AVERAGE('20250815_ETF_Options_Exhibits'!H2208:H2212),"")</f>
        <v/>
      </c>
      <c r="I2212" s="3">
        <f>IF(ISNUMBER(AVERAGE('20250815_ETF_Options_Exhibits'!I2208:I2212)),AVERAGE('20250815_ETF_Options_Exhibits'!I2208:I2212),"")</f>
        <v/>
      </c>
      <c r="J2212" s="3">
        <f>IF(ISNUMBER(AVERAGE('20250815_ETF_Options_Exhibits'!J2208:J2212)),AVERAGE('20250815_ETF_Options_Exhibits'!J2208:J2212),"")</f>
        <v/>
      </c>
      <c r="K2212" s="3">
        <f>IF(ISNUMBER(AVERAGE('20250815_ETF_Options_Exhibits'!K2208:K2212)),AVERAGE('20250815_ETF_Options_Exhibits'!K2208:K2212),"")</f>
        <v/>
      </c>
      <c r="L2212" s="3">
        <f>IF(ISNUMBER(AVERAGE('20250815_ETF_Options_Exhibits'!L2208:L2212)),AVERAGE('20250815_ETF_Options_Exhibits'!L2208:L2212),"")</f>
        <v/>
      </c>
      <c r="M2212" s="3">
        <f>IF(ISNUMBER(AVERAGE('20250815_ETF_Options_Exhibits'!M2208:M2212)),AVERAGE('20250815_ETF_Options_Exhibits'!M2208:M2212),"")</f>
        <v/>
      </c>
      <c r="N2212" s="3">
        <f>IF(ISNUMBER(AVERAGE('20250815_ETF_Options_Exhibits'!N2208:N2212)),AVERAGE('20250815_ETF_Options_Exhibits'!N2208:N2212),"")</f>
        <v/>
      </c>
      <c r="O2212" s="3">
        <f>IF(ISNUMBER(AVERAGE('20250815_ETF_Options_Exhibits'!O2208:O2212)),AVERAGE('20250815_ETF_Options_Exhibits'!O2208:O2212),"")</f>
        <v/>
      </c>
      <c r="P2212" s="3">
        <f>IF(ISNUMBER(AVERAGE('20250815_ETF_Options_Exhibits'!P2208:P2212)),AVERAGE('20250815_ETF_Options_Exhibits'!P2208:P2212),"")</f>
        <v/>
      </c>
      <c r="Q2212" s="3">
        <f>IF(ISNUMBER(AVERAGE('20250815_ETF_Options_Exhibits'!Q2208:Q2212)),AVERAGE('20250815_ETF_Options_Exhibits'!Q2208:Q2212),"")</f>
        <v/>
      </c>
      <c r="R2212" s="3">
        <f>IF(ISNUMBER(AVERAGE('20250815_ETF_Options_Exhibits'!R2208:R2212)),AVERAGE('20250815_ETF_Options_Exhibits'!R2208:R2212),"")</f>
        <v/>
      </c>
      <c r="S2212" s="3">
        <f>IF(ISNUMBER(AVERAGE('20250815_ETF_Options_Exhibits'!S2208:S2212)),AVERAGE('20250815_ETF_Options_Exhibits'!S2208:S2212),"")</f>
        <v/>
      </c>
      <c r="T2212" s="3">
        <f>IF(ISNUMBER(AVERAGE('20250815_ETF_Options_Exhibits'!T2208:T2212)),AVERAGE('20250815_ETF_Options_Exhibits'!T2208:T2212),"")</f>
        <v/>
      </c>
      <c r="U2212" s="3">
        <f>IF(ISNUMBER(AVERAGE('20250815_ETF_Options_Exhibits'!U2208:U2212)),AVERAGE('20250815_ETF_Options_Exhibits'!U2208:U2212),"")</f>
        <v/>
      </c>
      <c r="V2212" s="3">
        <f>IF(ISNUMBER(AVERAGE('20250815_ETF_Options_Exhibits'!V2208:V2212)),AVERAGE('20250815_ETF_Options_Exhibits'!V2208:V2212),"")</f>
        <v/>
      </c>
      <c r="W2212" s="3">
        <f>IF(ISNUMBER(AVERAGE('20250815_ETF_Options_Exhibits'!W2208:W2212)),AVERAGE('20250815_ETF_Options_Exhibits'!W2208:W2212),"")</f>
        <v/>
      </c>
      <c r="X2212" s="3">
        <f>IF(ISNUMBER(AVERAGE('20250815_ETF_Options_Exhibits'!X2208:X2212)),AVERAGE('20250815_ETF_Options_Exhibits'!X2208:X2212),"")</f>
        <v/>
      </c>
      <c r="Y2212" s="3">
        <f>IF(ISNUMBER(AVERAGE('20250815_ETF_Options_Exhibits'!Y2208:Y2212)),AVERAGE('20250815_ETF_Options_Exhibits'!Y2208:Y2212),"")</f>
        <v/>
      </c>
      <c r="Z2212" s="3">
        <f>IF(ISNUMBER(AVERAGE('20250815_ETF_Options_Exhibits'!Z2208:Z2212)),AVERAGE('20250815_ETF_Options_Exhibits'!Z2208:Z2212),"")</f>
        <v/>
      </c>
      <c r="AA2212" s="3">
        <f>IF(ISNUMBER(AVERAGE('20250815_ETF_Options_Exhibits'!AA2208:AA2212)),AVERAGE('20250815_ETF_Options_Exhibits'!AA2208:AA2212),"")</f>
        <v/>
      </c>
    </row>
    <row r="2213">
      <c r="A2213" s="1" t="n">
        <v>45212</v>
      </c>
      <c r="B2213" s="3">
        <f>IF(ISNUMBER(AVERAGE('20250815_ETF_Options_Exhibits'!B2209:B2213)),AVERAGE('20250815_ETF_Options_Exhibits'!B2209:B2213),"")</f>
        <v/>
      </c>
      <c r="C2213" s="3">
        <f>IF(ISNUMBER(AVERAGE('20250815_ETF_Options_Exhibits'!C2209:C2213)),AVERAGE('20250815_ETF_Options_Exhibits'!C2209:C2213),"")</f>
        <v/>
      </c>
      <c r="D2213" s="3">
        <f>IF(ISNUMBER(AVERAGE('20250815_ETF_Options_Exhibits'!D2209:D2213)),AVERAGE('20250815_ETF_Options_Exhibits'!D2209:D2213),"")</f>
        <v/>
      </c>
      <c r="E2213" s="3">
        <f>IF(ISNUMBER(AVERAGE('20250815_ETF_Options_Exhibits'!E2209:E2213)),AVERAGE('20250815_ETF_Options_Exhibits'!E2209:E2213),"")</f>
        <v/>
      </c>
      <c r="F2213" s="3">
        <f>IF(ISNUMBER(AVERAGE('20250815_ETF_Options_Exhibits'!F2209:F2213)),AVERAGE('20250815_ETF_Options_Exhibits'!F2209:F2213),"")</f>
        <v/>
      </c>
      <c r="G2213" s="3">
        <f>IF(ISNUMBER(AVERAGE('20250815_ETF_Options_Exhibits'!G2209:G2213)),AVERAGE('20250815_ETF_Options_Exhibits'!G2209:G2213),"")</f>
        <v/>
      </c>
      <c r="H2213" s="3">
        <f>IF(ISNUMBER(AVERAGE('20250815_ETF_Options_Exhibits'!H2209:H2213)),AVERAGE('20250815_ETF_Options_Exhibits'!H2209:H2213),"")</f>
        <v/>
      </c>
      <c r="I2213" s="3">
        <f>IF(ISNUMBER(AVERAGE('20250815_ETF_Options_Exhibits'!I2209:I2213)),AVERAGE('20250815_ETF_Options_Exhibits'!I2209:I2213),"")</f>
        <v/>
      </c>
      <c r="J2213" s="3">
        <f>IF(ISNUMBER(AVERAGE('20250815_ETF_Options_Exhibits'!J2209:J2213)),AVERAGE('20250815_ETF_Options_Exhibits'!J2209:J2213),"")</f>
        <v/>
      </c>
      <c r="K2213" s="3">
        <f>IF(ISNUMBER(AVERAGE('20250815_ETF_Options_Exhibits'!K2209:K2213)),AVERAGE('20250815_ETF_Options_Exhibits'!K2209:K2213),"")</f>
        <v/>
      </c>
      <c r="L2213" s="3">
        <f>IF(ISNUMBER(AVERAGE('20250815_ETF_Options_Exhibits'!L2209:L2213)),AVERAGE('20250815_ETF_Options_Exhibits'!L2209:L2213),"")</f>
        <v/>
      </c>
      <c r="M2213" s="3">
        <f>IF(ISNUMBER(AVERAGE('20250815_ETF_Options_Exhibits'!M2209:M2213)),AVERAGE('20250815_ETF_Options_Exhibits'!M2209:M2213),"")</f>
        <v/>
      </c>
      <c r="N2213" s="3">
        <f>IF(ISNUMBER(AVERAGE('20250815_ETF_Options_Exhibits'!N2209:N2213)),AVERAGE('20250815_ETF_Options_Exhibits'!N2209:N2213),"")</f>
        <v/>
      </c>
      <c r="O2213" s="3">
        <f>IF(ISNUMBER(AVERAGE('20250815_ETF_Options_Exhibits'!O2209:O2213)),AVERAGE('20250815_ETF_Options_Exhibits'!O2209:O2213),"")</f>
        <v/>
      </c>
      <c r="P2213" s="3">
        <f>IF(ISNUMBER(AVERAGE('20250815_ETF_Options_Exhibits'!P2209:P2213)),AVERAGE('20250815_ETF_Options_Exhibits'!P2209:P2213),"")</f>
        <v/>
      </c>
      <c r="Q2213" s="3">
        <f>IF(ISNUMBER(AVERAGE('20250815_ETF_Options_Exhibits'!Q2209:Q2213)),AVERAGE('20250815_ETF_Options_Exhibits'!Q2209:Q2213),"")</f>
        <v/>
      </c>
      <c r="R2213" s="3">
        <f>IF(ISNUMBER(AVERAGE('20250815_ETF_Options_Exhibits'!R2209:R2213)),AVERAGE('20250815_ETF_Options_Exhibits'!R2209:R2213),"")</f>
        <v/>
      </c>
      <c r="S2213" s="3">
        <f>IF(ISNUMBER(AVERAGE('20250815_ETF_Options_Exhibits'!S2209:S2213)),AVERAGE('20250815_ETF_Options_Exhibits'!S2209:S2213),"")</f>
        <v/>
      </c>
      <c r="T2213" s="3">
        <f>IF(ISNUMBER(AVERAGE('20250815_ETF_Options_Exhibits'!T2209:T2213)),AVERAGE('20250815_ETF_Options_Exhibits'!T2209:T2213),"")</f>
        <v/>
      </c>
      <c r="U2213" s="3">
        <f>IF(ISNUMBER(AVERAGE('20250815_ETF_Options_Exhibits'!U2209:U2213)),AVERAGE('20250815_ETF_Options_Exhibits'!U2209:U2213),"")</f>
        <v/>
      </c>
      <c r="V2213" s="3">
        <f>IF(ISNUMBER(AVERAGE('20250815_ETF_Options_Exhibits'!V2209:V2213)),AVERAGE('20250815_ETF_Options_Exhibits'!V2209:V2213),"")</f>
        <v/>
      </c>
      <c r="W2213" s="3">
        <f>IF(ISNUMBER(AVERAGE('20250815_ETF_Options_Exhibits'!W2209:W2213)),AVERAGE('20250815_ETF_Options_Exhibits'!W2209:W2213),"")</f>
        <v/>
      </c>
      <c r="X2213" s="3">
        <f>IF(ISNUMBER(AVERAGE('20250815_ETF_Options_Exhibits'!X2209:X2213)),AVERAGE('20250815_ETF_Options_Exhibits'!X2209:X2213),"")</f>
        <v/>
      </c>
      <c r="Y2213" s="3">
        <f>IF(ISNUMBER(AVERAGE('20250815_ETF_Options_Exhibits'!Y2209:Y2213)),AVERAGE('20250815_ETF_Options_Exhibits'!Y2209:Y2213),"")</f>
        <v/>
      </c>
      <c r="Z2213" s="3">
        <f>IF(ISNUMBER(AVERAGE('20250815_ETF_Options_Exhibits'!Z2209:Z2213)),AVERAGE('20250815_ETF_Options_Exhibits'!Z2209:Z2213),"")</f>
        <v/>
      </c>
      <c r="AA2213" s="3">
        <f>IF(ISNUMBER(AVERAGE('20250815_ETF_Options_Exhibits'!AA2209:AA2213)),AVERAGE('20250815_ETF_Options_Exhibits'!AA2209:AA2213),"")</f>
        <v/>
      </c>
    </row>
    <row r="2214">
      <c r="A2214" s="1" t="n">
        <v>45215</v>
      </c>
      <c r="B2214" s="3">
        <f>IF(ISNUMBER(AVERAGE('20250815_ETF_Options_Exhibits'!B2210:B2214)),AVERAGE('20250815_ETF_Options_Exhibits'!B2210:B2214),"")</f>
        <v/>
      </c>
      <c r="C2214" s="3">
        <f>IF(ISNUMBER(AVERAGE('20250815_ETF_Options_Exhibits'!C2210:C2214)),AVERAGE('20250815_ETF_Options_Exhibits'!C2210:C2214),"")</f>
        <v/>
      </c>
      <c r="D2214" s="3">
        <f>IF(ISNUMBER(AVERAGE('20250815_ETF_Options_Exhibits'!D2210:D2214)),AVERAGE('20250815_ETF_Options_Exhibits'!D2210:D2214),"")</f>
        <v/>
      </c>
      <c r="E2214" s="3">
        <f>IF(ISNUMBER(AVERAGE('20250815_ETF_Options_Exhibits'!E2210:E2214)),AVERAGE('20250815_ETF_Options_Exhibits'!E2210:E2214),"")</f>
        <v/>
      </c>
      <c r="F2214" s="3">
        <f>IF(ISNUMBER(AVERAGE('20250815_ETF_Options_Exhibits'!F2210:F2214)),AVERAGE('20250815_ETF_Options_Exhibits'!F2210:F2214),"")</f>
        <v/>
      </c>
      <c r="G2214" s="3">
        <f>IF(ISNUMBER(AVERAGE('20250815_ETF_Options_Exhibits'!G2210:G2214)),AVERAGE('20250815_ETF_Options_Exhibits'!G2210:G2214),"")</f>
        <v/>
      </c>
      <c r="H2214" s="3">
        <f>IF(ISNUMBER(AVERAGE('20250815_ETF_Options_Exhibits'!H2210:H2214)),AVERAGE('20250815_ETF_Options_Exhibits'!H2210:H2214),"")</f>
        <v/>
      </c>
      <c r="I2214" s="3">
        <f>IF(ISNUMBER(AVERAGE('20250815_ETF_Options_Exhibits'!I2210:I2214)),AVERAGE('20250815_ETF_Options_Exhibits'!I2210:I2214),"")</f>
        <v/>
      </c>
      <c r="J2214" s="3">
        <f>IF(ISNUMBER(AVERAGE('20250815_ETF_Options_Exhibits'!J2210:J2214)),AVERAGE('20250815_ETF_Options_Exhibits'!J2210:J2214),"")</f>
        <v/>
      </c>
      <c r="K2214" s="3">
        <f>IF(ISNUMBER(AVERAGE('20250815_ETF_Options_Exhibits'!K2210:K2214)),AVERAGE('20250815_ETF_Options_Exhibits'!K2210:K2214),"")</f>
        <v/>
      </c>
      <c r="L2214" s="3">
        <f>IF(ISNUMBER(AVERAGE('20250815_ETF_Options_Exhibits'!L2210:L2214)),AVERAGE('20250815_ETF_Options_Exhibits'!L2210:L2214),"")</f>
        <v/>
      </c>
      <c r="M2214" s="3">
        <f>IF(ISNUMBER(AVERAGE('20250815_ETF_Options_Exhibits'!M2210:M2214)),AVERAGE('20250815_ETF_Options_Exhibits'!M2210:M2214),"")</f>
        <v/>
      </c>
      <c r="N2214" s="3">
        <f>IF(ISNUMBER(AVERAGE('20250815_ETF_Options_Exhibits'!N2210:N2214)),AVERAGE('20250815_ETF_Options_Exhibits'!N2210:N2214),"")</f>
        <v/>
      </c>
      <c r="O2214" s="3">
        <f>IF(ISNUMBER(AVERAGE('20250815_ETF_Options_Exhibits'!O2210:O2214)),AVERAGE('20250815_ETF_Options_Exhibits'!O2210:O2214),"")</f>
        <v/>
      </c>
      <c r="P2214" s="3">
        <f>IF(ISNUMBER(AVERAGE('20250815_ETF_Options_Exhibits'!P2210:P2214)),AVERAGE('20250815_ETF_Options_Exhibits'!P2210:P2214),"")</f>
        <v/>
      </c>
      <c r="Q2214" s="3">
        <f>IF(ISNUMBER(AVERAGE('20250815_ETF_Options_Exhibits'!Q2210:Q2214)),AVERAGE('20250815_ETF_Options_Exhibits'!Q2210:Q2214),"")</f>
        <v/>
      </c>
      <c r="R2214" s="3">
        <f>IF(ISNUMBER(AVERAGE('20250815_ETF_Options_Exhibits'!R2210:R2214)),AVERAGE('20250815_ETF_Options_Exhibits'!R2210:R2214),"")</f>
        <v/>
      </c>
      <c r="S2214" s="3">
        <f>IF(ISNUMBER(AVERAGE('20250815_ETF_Options_Exhibits'!S2210:S2214)),AVERAGE('20250815_ETF_Options_Exhibits'!S2210:S2214),"")</f>
        <v/>
      </c>
      <c r="T2214" s="3">
        <f>IF(ISNUMBER(AVERAGE('20250815_ETF_Options_Exhibits'!T2210:T2214)),AVERAGE('20250815_ETF_Options_Exhibits'!T2210:T2214),"")</f>
        <v/>
      </c>
      <c r="U2214" s="3">
        <f>IF(ISNUMBER(AVERAGE('20250815_ETF_Options_Exhibits'!U2210:U2214)),AVERAGE('20250815_ETF_Options_Exhibits'!U2210:U2214),"")</f>
        <v/>
      </c>
      <c r="V2214" s="3">
        <f>IF(ISNUMBER(AVERAGE('20250815_ETF_Options_Exhibits'!V2210:V2214)),AVERAGE('20250815_ETF_Options_Exhibits'!V2210:V2214),"")</f>
        <v/>
      </c>
      <c r="W2214" s="3">
        <f>IF(ISNUMBER(AVERAGE('20250815_ETF_Options_Exhibits'!W2210:W2214)),AVERAGE('20250815_ETF_Options_Exhibits'!W2210:W2214),"")</f>
        <v/>
      </c>
      <c r="X2214" s="3">
        <f>IF(ISNUMBER(AVERAGE('20250815_ETF_Options_Exhibits'!X2210:X2214)),AVERAGE('20250815_ETF_Options_Exhibits'!X2210:X2214),"")</f>
        <v/>
      </c>
      <c r="Y2214" s="3">
        <f>IF(ISNUMBER(AVERAGE('20250815_ETF_Options_Exhibits'!Y2210:Y2214)),AVERAGE('20250815_ETF_Options_Exhibits'!Y2210:Y2214),"")</f>
        <v/>
      </c>
      <c r="Z2214" s="3">
        <f>IF(ISNUMBER(AVERAGE('20250815_ETF_Options_Exhibits'!Z2210:Z2214)),AVERAGE('20250815_ETF_Options_Exhibits'!Z2210:Z2214),"")</f>
        <v/>
      </c>
      <c r="AA2214" s="3">
        <f>IF(ISNUMBER(AVERAGE('20250815_ETF_Options_Exhibits'!AA2210:AA2214)),AVERAGE('20250815_ETF_Options_Exhibits'!AA2210:AA2214),"")</f>
        <v/>
      </c>
    </row>
    <row r="2215">
      <c r="A2215" s="1" t="n">
        <v>45216</v>
      </c>
      <c r="B2215" s="3">
        <f>IF(ISNUMBER(AVERAGE('20250815_ETF_Options_Exhibits'!B2211:B2215)),AVERAGE('20250815_ETF_Options_Exhibits'!B2211:B2215),"")</f>
        <v/>
      </c>
      <c r="C2215" s="3">
        <f>IF(ISNUMBER(AVERAGE('20250815_ETF_Options_Exhibits'!C2211:C2215)),AVERAGE('20250815_ETF_Options_Exhibits'!C2211:C2215),"")</f>
        <v/>
      </c>
      <c r="D2215" s="3">
        <f>IF(ISNUMBER(AVERAGE('20250815_ETF_Options_Exhibits'!D2211:D2215)),AVERAGE('20250815_ETF_Options_Exhibits'!D2211:D2215),"")</f>
        <v/>
      </c>
      <c r="E2215" s="3">
        <f>IF(ISNUMBER(AVERAGE('20250815_ETF_Options_Exhibits'!E2211:E2215)),AVERAGE('20250815_ETF_Options_Exhibits'!E2211:E2215),"")</f>
        <v/>
      </c>
      <c r="F2215" s="3">
        <f>IF(ISNUMBER(AVERAGE('20250815_ETF_Options_Exhibits'!F2211:F2215)),AVERAGE('20250815_ETF_Options_Exhibits'!F2211:F2215),"")</f>
        <v/>
      </c>
      <c r="G2215" s="3">
        <f>IF(ISNUMBER(AVERAGE('20250815_ETF_Options_Exhibits'!G2211:G2215)),AVERAGE('20250815_ETF_Options_Exhibits'!G2211:G2215),"")</f>
        <v/>
      </c>
      <c r="H2215" s="3">
        <f>IF(ISNUMBER(AVERAGE('20250815_ETF_Options_Exhibits'!H2211:H2215)),AVERAGE('20250815_ETF_Options_Exhibits'!H2211:H2215),"")</f>
        <v/>
      </c>
      <c r="I2215" s="3">
        <f>IF(ISNUMBER(AVERAGE('20250815_ETF_Options_Exhibits'!I2211:I2215)),AVERAGE('20250815_ETF_Options_Exhibits'!I2211:I2215),"")</f>
        <v/>
      </c>
      <c r="J2215" s="3">
        <f>IF(ISNUMBER(AVERAGE('20250815_ETF_Options_Exhibits'!J2211:J2215)),AVERAGE('20250815_ETF_Options_Exhibits'!J2211:J2215),"")</f>
        <v/>
      </c>
      <c r="K2215" s="3">
        <f>IF(ISNUMBER(AVERAGE('20250815_ETF_Options_Exhibits'!K2211:K2215)),AVERAGE('20250815_ETF_Options_Exhibits'!K2211:K2215),"")</f>
        <v/>
      </c>
      <c r="L2215" s="3">
        <f>IF(ISNUMBER(AVERAGE('20250815_ETF_Options_Exhibits'!L2211:L2215)),AVERAGE('20250815_ETF_Options_Exhibits'!L2211:L2215),"")</f>
        <v/>
      </c>
      <c r="M2215" s="3">
        <f>IF(ISNUMBER(AVERAGE('20250815_ETF_Options_Exhibits'!M2211:M2215)),AVERAGE('20250815_ETF_Options_Exhibits'!M2211:M2215),"")</f>
        <v/>
      </c>
      <c r="N2215" s="3">
        <f>IF(ISNUMBER(AVERAGE('20250815_ETF_Options_Exhibits'!N2211:N2215)),AVERAGE('20250815_ETF_Options_Exhibits'!N2211:N2215),"")</f>
        <v/>
      </c>
      <c r="O2215" s="3">
        <f>IF(ISNUMBER(AVERAGE('20250815_ETF_Options_Exhibits'!O2211:O2215)),AVERAGE('20250815_ETF_Options_Exhibits'!O2211:O2215),"")</f>
        <v/>
      </c>
      <c r="P2215" s="3">
        <f>IF(ISNUMBER(AVERAGE('20250815_ETF_Options_Exhibits'!P2211:P2215)),AVERAGE('20250815_ETF_Options_Exhibits'!P2211:P2215),"")</f>
        <v/>
      </c>
      <c r="Q2215" s="3">
        <f>IF(ISNUMBER(AVERAGE('20250815_ETF_Options_Exhibits'!Q2211:Q2215)),AVERAGE('20250815_ETF_Options_Exhibits'!Q2211:Q2215),"")</f>
        <v/>
      </c>
      <c r="R2215" s="3">
        <f>IF(ISNUMBER(AVERAGE('20250815_ETF_Options_Exhibits'!R2211:R2215)),AVERAGE('20250815_ETF_Options_Exhibits'!R2211:R2215),"")</f>
        <v/>
      </c>
      <c r="S2215" s="3">
        <f>IF(ISNUMBER(AVERAGE('20250815_ETF_Options_Exhibits'!S2211:S2215)),AVERAGE('20250815_ETF_Options_Exhibits'!S2211:S2215),"")</f>
        <v/>
      </c>
      <c r="T2215" s="3">
        <f>IF(ISNUMBER(AVERAGE('20250815_ETF_Options_Exhibits'!T2211:T2215)),AVERAGE('20250815_ETF_Options_Exhibits'!T2211:T2215),"")</f>
        <v/>
      </c>
      <c r="U2215" s="3">
        <f>IF(ISNUMBER(AVERAGE('20250815_ETF_Options_Exhibits'!U2211:U2215)),AVERAGE('20250815_ETF_Options_Exhibits'!U2211:U2215),"")</f>
        <v/>
      </c>
      <c r="V2215" s="3">
        <f>IF(ISNUMBER(AVERAGE('20250815_ETF_Options_Exhibits'!V2211:V2215)),AVERAGE('20250815_ETF_Options_Exhibits'!V2211:V2215),"")</f>
        <v/>
      </c>
      <c r="W2215" s="3">
        <f>IF(ISNUMBER(AVERAGE('20250815_ETF_Options_Exhibits'!W2211:W2215)),AVERAGE('20250815_ETF_Options_Exhibits'!W2211:W2215),"")</f>
        <v/>
      </c>
      <c r="X2215" s="3">
        <f>IF(ISNUMBER(AVERAGE('20250815_ETF_Options_Exhibits'!X2211:X2215)),AVERAGE('20250815_ETF_Options_Exhibits'!X2211:X2215),"")</f>
        <v/>
      </c>
      <c r="Y2215" s="3">
        <f>IF(ISNUMBER(AVERAGE('20250815_ETF_Options_Exhibits'!Y2211:Y2215)),AVERAGE('20250815_ETF_Options_Exhibits'!Y2211:Y2215),"")</f>
        <v/>
      </c>
      <c r="Z2215" s="3">
        <f>IF(ISNUMBER(AVERAGE('20250815_ETF_Options_Exhibits'!Z2211:Z2215)),AVERAGE('20250815_ETF_Options_Exhibits'!Z2211:Z2215),"")</f>
        <v/>
      </c>
      <c r="AA2215" s="3">
        <f>IF(ISNUMBER(AVERAGE('20250815_ETF_Options_Exhibits'!AA2211:AA2215)),AVERAGE('20250815_ETF_Options_Exhibits'!AA2211:AA2215),"")</f>
        <v/>
      </c>
    </row>
    <row r="2216">
      <c r="A2216" s="1" t="n">
        <v>45217</v>
      </c>
      <c r="B2216" s="3">
        <f>IF(ISNUMBER(AVERAGE('20250815_ETF_Options_Exhibits'!B2212:B2216)),AVERAGE('20250815_ETF_Options_Exhibits'!B2212:B2216),"")</f>
        <v/>
      </c>
      <c r="C2216" s="3">
        <f>IF(ISNUMBER(AVERAGE('20250815_ETF_Options_Exhibits'!C2212:C2216)),AVERAGE('20250815_ETF_Options_Exhibits'!C2212:C2216),"")</f>
        <v/>
      </c>
      <c r="D2216" s="3">
        <f>IF(ISNUMBER(AVERAGE('20250815_ETF_Options_Exhibits'!D2212:D2216)),AVERAGE('20250815_ETF_Options_Exhibits'!D2212:D2216),"")</f>
        <v/>
      </c>
      <c r="E2216" s="3">
        <f>IF(ISNUMBER(AVERAGE('20250815_ETF_Options_Exhibits'!E2212:E2216)),AVERAGE('20250815_ETF_Options_Exhibits'!E2212:E2216),"")</f>
        <v/>
      </c>
      <c r="F2216" s="3">
        <f>IF(ISNUMBER(AVERAGE('20250815_ETF_Options_Exhibits'!F2212:F2216)),AVERAGE('20250815_ETF_Options_Exhibits'!F2212:F2216),"")</f>
        <v/>
      </c>
      <c r="G2216" s="3">
        <f>IF(ISNUMBER(AVERAGE('20250815_ETF_Options_Exhibits'!G2212:G2216)),AVERAGE('20250815_ETF_Options_Exhibits'!G2212:G2216),"")</f>
        <v/>
      </c>
      <c r="H2216" s="3">
        <f>IF(ISNUMBER(AVERAGE('20250815_ETF_Options_Exhibits'!H2212:H2216)),AVERAGE('20250815_ETF_Options_Exhibits'!H2212:H2216),"")</f>
        <v/>
      </c>
      <c r="I2216" s="3">
        <f>IF(ISNUMBER(AVERAGE('20250815_ETF_Options_Exhibits'!I2212:I2216)),AVERAGE('20250815_ETF_Options_Exhibits'!I2212:I2216),"")</f>
        <v/>
      </c>
      <c r="J2216" s="3">
        <f>IF(ISNUMBER(AVERAGE('20250815_ETF_Options_Exhibits'!J2212:J2216)),AVERAGE('20250815_ETF_Options_Exhibits'!J2212:J2216),"")</f>
        <v/>
      </c>
      <c r="K2216" s="3">
        <f>IF(ISNUMBER(AVERAGE('20250815_ETF_Options_Exhibits'!K2212:K2216)),AVERAGE('20250815_ETF_Options_Exhibits'!K2212:K2216),"")</f>
        <v/>
      </c>
      <c r="L2216" s="3">
        <f>IF(ISNUMBER(AVERAGE('20250815_ETF_Options_Exhibits'!L2212:L2216)),AVERAGE('20250815_ETF_Options_Exhibits'!L2212:L2216),"")</f>
        <v/>
      </c>
      <c r="M2216" s="3">
        <f>IF(ISNUMBER(AVERAGE('20250815_ETF_Options_Exhibits'!M2212:M2216)),AVERAGE('20250815_ETF_Options_Exhibits'!M2212:M2216),"")</f>
        <v/>
      </c>
      <c r="N2216" s="3">
        <f>IF(ISNUMBER(AVERAGE('20250815_ETF_Options_Exhibits'!N2212:N2216)),AVERAGE('20250815_ETF_Options_Exhibits'!N2212:N2216),"")</f>
        <v/>
      </c>
      <c r="O2216" s="3">
        <f>IF(ISNUMBER(AVERAGE('20250815_ETF_Options_Exhibits'!O2212:O2216)),AVERAGE('20250815_ETF_Options_Exhibits'!O2212:O2216),"")</f>
        <v/>
      </c>
      <c r="P2216" s="3">
        <f>IF(ISNUMBER(AVERAGE('20250815_ETF_Options_Exhibits'!P2212:P2216)),AVERAGE('20250815_ETF_Options_Exhibits'!P2212:P2216),"")</f>
        <v/>
      </c>
      <c r="Q2216" s="3">
        <f>IF(ISNUMBER(AVERAGE('20250815_ETF_Options_Exhibits'!Q2212:Q2216)),AVERAGE('20250815_ETF_Options_Exhibits'!Q2212:Q2216),"")</f>
        <v/>
      </c>
      <c r="R2216" s="3">
        <f>IF(ISNUMBER(AVERAGE('20250815_ETF_Options_Exhibits'!R2212:R2216)),AVERAGE('20250815_ETF_Options_Exhibits'!R2212:R2216),"")</f>
        <v/>
      </c>
      <c r="S2216" s="3">
        <f>IF(ISNUMBER(AVERAGE('20250815_ETF_Options_Exhibits'!S2212:S2216)),AVERAGE('20250815_ETF_Options_Exhibits'!S2212:S2216),"")</f>
        <v/>
      </c>
      <c r="T2216" s="3">
        <f>IF(ISNUMBER(AVERAGE('20250815_ETF_Options_Exhibits'!T2212:T2216)),AVERAGE('20250815_ETF_Options_Exhibits'!T2212:T2216),"")</f>
        <v/>
      </c>
      <c r="U2216" s="3">
        <f>IF(ISNUMBER(AVERAGE('20250815_ETF_Options_Exhibits'!U2212:U2216)),AVERAGE('20250815_ETF_Options_Exhibits'!U2212:U2216),"")</f>
        <v/>
      </c>
      <c r="V2216" s="3">
        <f>IF(ISNUMBER(AVERAGE('20250815_ETF_Options_Exhibits'!V2212:V2216)),AVERAGE('20250815_ETF_Options_Exhibits'!V2212:V2216),"")</f>
        <v/>
      </c>
      <c r="W2216" s="3">
        <f>IF(ISNUMBER(AVERAGE('20250815_ETF_Options_Exhibits'!W2212:W2216)),AVERAGE('20250815_ETF_Options_Exhibits'!W2212:W2216),"")</f>
        <v/>
      </c>
      <c r="X2216" s="3">
        <f>IF(ISNUMBER(AVERAGE('20250815_ETF_Options_Exhibits'!X2212:X2216)),AVERAGE('20250815_ETF_Options_Exhibits'!X2212:X2216),"")</f>
        <v/>
      </c>
      <c r="Y2216" s="3">
        <f>IF(ISNUMBER(AVERAGE('20250815_ETF_Options_Exhibits'!Y2212:Y2216)),AVERAGE('20250815_ETF_Options_Exhibits'!Y2212:Y2216),"")</f>
        <v/>
      </c>
      <c r="Z2216" s="3">
        <f>IF(ISNUMBER(AVERAGE('20250815_ETF_Options_Exhibits'!Z2212:Z2216)),AVERAGE('20250815_ETF_Options_Exhibits'!Z2212:Z2216),"")</f>
        <v/>
      </c>
      <c r="AA2216" s="3">
        <f>IF(ISNUMBER(AVERAGE('20250815_ETF_Options_Exhibits'!AA2212:AA2216)),AVERAGE('20250815_ETF_Options_Exhibits'!AA2212:AA2216),"")</f>
        <v/>
      </c>
    </row>
    <row r="2217">
      <c r="A2217" s="1" t="n">
        <v>45218</v>
      </c>
      <c r="B2217" s="3">
        <f>IF(ISNUMBER(AVERAGE('20250815_ETF_Options_Exhibits'!B2213:B2217)),AVERAGE('20250815_ETF_Options_Exhibits'!B2213:B2217),"")</f>
        <v/>
      </c>
      <c r="C2217" s="3">
        <f>IF(ISNUMBER(AVERAGE('20250815_ETF_Options_Exhibits'!C2213:C2217)),AVERAGE('20250815_ETF_Options_Exhibits'!C2213:C2217),"")</f>
        <v/>
      </c>
      <c r="D2217" s="3">
        <f>IF(ISNUMBER(AVERAGE('20250815_ETF_Options_Exhibits'!D2213:D2217)),AVERAGE('20250815_ETF_Options_Exhibits'!D2213:D2217),"")</f>
        <v/>
      </c>
      <c r="E2217" s="3">
        <f>IF(ISNUMBER(AVERAGE('20250815_ETF_Options_Exhibits'!E2213:E2217)),AVERAGE('20250815_ETF_Options_Exhibits'!E2213:E2217),"")</f>
        <v/>
      </c>
      <c r="F2217" s="3">
        <f>IF(ISNUMBER(AVERAGE('20250815_ETF_Options_Exhibits'!F2213:F2217)),AVERAGE('20250815_ETF_Options_Exhibits'!F2213:F2217),"")</f>
        <v/>
      </c>
      <c r="G2217" s="3">
        <f>IF(ISNUMBER(AVERAGE('20250815_ETF_Options_Exhibits'!G2213:G2217)),AVERAGE('20250815_ETF_Options_Exhibits'!G2213:G2217),"")</f>
        <v/>
      </c>
      <c r="H2217" s="3">
        <f>IF(ISNUMBER(AVERAGE('20250815_ETF_Options_Exhibits'!H2213:H2217)),AVERAGE('20250815_ETF_Options_Exhibits'!H2213:H2217),"")</f>
        <v/>
      </c>
      <c r="I2217" s="3">
        <f>IF(ISNUMBER(AVERAGE('20250815_ETF_Options_Exhibits'!I2213:I2217)),AVERAGE('20250815_ETF_Options_Exhibits'!I2213:I2217),"")</f>
        <v/>
      </c>
      <c r="J2217" s="3">
        <f>IF(ISNUMBER(AVERAGE('20250815_ETF_Options_Exhibits'!J2213:J2217)),AVERAGE('20250815_ETF_Options_Exhibits'!J2213:J2217),"")</f>
        <v/>
      </c>
      <c r="K2217" s="3">
        <f>IF(ISNUMBER(AVERAGE('20250815_ETF_Options_Exhibits'!K2213:K2217)),AVERAGE('20250815_ETF_Options_Exhibits'!K2213:K2217),"")</f>
        <v/>
      </c>
      <c r="L2217" s="3">
        <f>IF(ISNUMBER(AVERAGE('20250815_ETF_Options_Exhibits'!L2213:L2217)),AVERAGE('20250815_ETF_Options_Exhibits'!L2213:L2217),"")</f>
        <v/>
      </c>
      <c r="M2217" s="3">
        <f>IF(ISNUMBER(AVERAGE('20250815_ETF_Options_Exhibits'!M2213:M2217)),AVERAGE('20250815_ETF_Options_Exhibits'!M2213:M2217),"")</f>
        <v/>
      </c>
      <c r="N2217" s="3">
        <f>IF(ISNUMBER(AVERAGE('20250815_ETF_Options_Exhibits'!N2213:N2217)),AVERAGE('20250815_ETF_Options_Exhibits'!N2213:N2217),"")</f>
        <v/>
      </c>
      <c r="O2217" s="3">
        <f>IF(ISNUMBER(AVERAGE('20250815_ETF_Options_Exhibits'!O2213:O2217)),AVERAGE('20250815_ETF_Options_Exhibits'!O2213:O2217),"")</f>
        <v/>
      </c>
      <c r="P2217" s="3">
        <f>IF(ISNUMBER(AVERAGE('20250815_ETF_Options_Exhibits'!P2213:P2217)),AVERAGE('20250815_ETF_Options_Exhibits'!P2213:P2217),"")</f>
        <v/>
      </c>
      <c r="Q2217" s="3">
        <f>IF(ISNUMBER(AVERAGE('20250815_ETF_Options_Exhibits'!Q2213:Q2217)),AVERAGE('20250815_ETF_Options_Exhibits'!Q2213:Q2217),"")</f>
        <v/>
      </c>
      <c r="R2217" s="3">
        <f>IF(ISNUMBER(AVERAGE('20250815_ETF_Options_Exhibits'!R2213:R2217)),AVERAGE('20250815_ETF_Options_Exhibits'!R2213:R2217),"")</f>
        <v/>
      </c>
      <c r="S2217" s="3">
        <f>IF(ISNUMBER(AVERAGE('20250815_ETF_Options_Exhibits'!S2213:S2217)),AVERAGE('20250815_ETF_Options_Exhibits'!S2213:S2217),"")</f>
        <v/>
      </c>
      <c r="T2217" s="3">
        <f>IF(ISNUMBER(AVERAGE('20250815_ETF_Options_Exhibits'!T2213:T2217)),AVERAGE('20250815_ETF_Options_Exhibits'!T2213:T2217),"")</f>
        <v/>
      </c>
      <c r="U2217" s="3">
        <f>IF(ISNUMBER(AVERAGE('20250815_ETF_Options_Exhibits'!U2213:U2217)),AVERAGE('20250815_ETF_Options_Exhibits'!U2213:U2217),"")</f>
        <v/>
      </c>
      <c r="V2217" s="3">
        <f>IF(ISNUMBER(AVERAGE('20250815_ETF_Options_Exhibits'!V2213:V2217)),AVERAGE('20250815_ETF_Options_Exhibits'!V2213:V2217),"")</f>
        <v/>
      </c>
      <c r="W2217" s="3">
        <f>IF(ISNUMBER(AVERAGE('20250815_ETF_Options_Exhibits'!W2213:W2217)),AVERAGE('20250815_ETF_Options_Exhibits'!W2213:W2217),"")</f>
        <v/>
      </c>
      <c r="X2217" s="3">
        <f>IF(ISNUMBER(AVERAGE('20250815_ETF_Options_Exhibits'!X2213:X2217)),AVERAGE('20250815_ETF_Options_Exhibits'!X2213:X2217),"")</f>
        <v/>
      </c>
      <c r="Y2217" s="3">
        <f>IF(ISNUMBER(AVERAGE('20250815_ETF_Options_Exhibits'!Y2213:Y2217)),AVERAGE('20250815_ETF_Options_Exhibits'!Y2213:Y2217),"")</f>
        <v/>
      </c>
      <c r="Z2217" s="3">
        <f>IF(ISNUMBER(AVERAGE('20250815_ETF_Options_Exhibits'!Z2213:Z2217)),AVERAGE('20250815_ETF_Options_Exhibits'!Z2213:Z2217),"")</f>
        <v/>
      </c>
      <c r="AA2217" s="3">
        <f>IF(ISNUMBER(AVERAGE('20250815_ETF_Options_Exhibits'!AA2213:AA2217)),AVERAGE('20250815_ETF_Options_Exhibits'!AA2213:AA2217),"")</f>
        <v/>
      </c>
    </row>
    <row r="2218">
      <c r="A2218" s="1" t="n">
        <v>45219</v>
      </c>
      <c r="B2218" s="3">
        <f>IF(ISNUMBER(AVERAGE('20250815_ETF_Options_Exhibits'!B2214:B2218)),AVERAGE('20250815_ETF_Options_Exhibits'!B2214:B2218),"")</f>
        <v/>
      </c>
      <c r="C2218" s="3">
        <f>IF(ISNUMBER(AVERAGE('20250815_ETF_Options_Exhibits'!C2214:C2218)),AVERAGE('20250815_ETF_Options_Exhibits'!C2214:C2218),"")</f>
        <v/>
      </c>
      <c r="D2218" s="3">
        <f>IF(ISNUMBER(AVERAGE('20250815_ETF_Options_Exhibits'!D2214:D2218)),AVERAGE('20250815_ETF_Options_Exhibits'!D2214:D2218),"")</f>
        <v/>
      </c>
      <c r="E2218" s="3">
        <f>IF(ISNUMBER(AVERAGE('20250815_ETF_Options_Exhibits'!E2214:E2218)),AVERAGE('20250815_ETF_Options_Exhibits'!E2214:E2218),"")</f>
        <v/>
      </c>
      <c r="F2218" s="3">
        <f>IF(ISNUMBER(AVERAGE('20250815_ETF_Options_Exhibits'!F2214:F2218)),AVERAGE('20250815_ETF_Options_Exhibits'!F2214:F2218),"")</f>
        <v/>
      </c>
      <c r="G2218" s="3">
        <f>IF(ISNUMBER(AVERAGE('20250815_ETF_Options_Exhibits'!G2214:G2218)),AVERAGE('20250815_ETF_Options_Exhibits'!G2214:G2218),"")</f>
        <v/>
      </c>
      <c r="H2218" s="3">
        <f>IF(ISNUMBER(AVERAGE('20250815_ETF_Options_Exhibits'!H2214:H2218)),AVERAGE('20250815_ETF_Options_Exhibits'!H2214:H2218),"")</f>
        <v/>
      </c>
      <c r="I2218" s="3">
        <f>IF(ISNUMBER(AVERAGE('20250815_ETF_Options_Exhibits'!I2214:I2218)),AVERAGE('20250815_ETF_Options_Exhibits'!I2214:I2218),"")</f>
        <v/>
      </c>
      <c r="J2218" s="3">
        <f>IF(ISNUMBER(AVERAGE('20250815_ETF_Options_Exhibits'!J2214:J2218)),AVERAGE('20250815_ETF_Options_Exhibits'!J2214:J2218),"")</f>
        <v/>
      </c>
      <c r="K2218" s="3">
        <f>IF(ISNUMBER(AVERAGE('20250815_ETF_Options_Exhibits'!K2214:K2218)),AVERAGE('20250815_ETF_Options_Exhibits'!K2214:K2218),"")</f>
        <v/>
      </c>
      <c r="L2218" s="3">
        <f>IF(ISNUMBER(AVERAGE('20250815_ETF_Options_Exhibits'!L2214:L2218)),AVERAGE('20250815_ETF_Options_Exhibits'!L2214:L2218),"")</f>
        <v/>
      </c>
      <c r="M2218" s="3">
        <f>IF(ISNUMBER(AVERAGE('20250815_ETF_Options_Exhibits'!M2214:M2218)),AVERAGE('20250815_ETF_Options_Exhibits'!M2214:M2218),"")</f>
        <v/>
      </c>
      <c r="N2218" s="3">
        <f>IF(ISNUMBER(AVERAGE('20250815_ETF_Options_Exhibits'!N2214:N2218)),AVERAGE('20250815_ETF_Options_Exhibits'!N2214:N2218),"")</f>
        <v/>
      </c>
      <c r="O2218" s="3">
        <f>IF(ISNUMBER(AVERAGE('20250815_ETF_Options_Exhibits'!O2214:O2218)),AVERAGE('20250815_ETF_Options_Exhibits'!O2214:O2218),"")</f>
        <v/>
      </c>
      <c r="P2218" s="3">
        <f>IF(ISNUMBER(AVERAGE('20250815_ETF_Options_Exhibits'!P2214:P2218)),AVERAGE('20250815_ETF_Options_Exhibits'!P2214:P2218),"")</f>
        <v/>
      </c>
      <c r="Q2218" s="3">
        <f>IF(ISNUMBER(AVERAGE('20250815_ETF_Options_Exhibits'!Q2214:Q2218)),AVERAGE('20250815_ETF_Options_Exhibits'!Q2214:Q2218),"")</f>
        <v/>
      </c>
      <c r="R2218" s="3">
        <f>IF(ISNUMBER(AVERAGE('20250815_ETF_Options_Exhibits'!R2214:R2218)),AVERAGE('20250815_ETF_Options_Exhibits'!R2214:R2218),"")</f>
        <v/>
      </c>
      <c r="S2218" s="3">
        <f>IF(ISNUMBER(AVERAGE('20250815_ETF_Options_Exhibits'!S2214:S2218)),AVERAGE('20250815_ETF_Options_Exhibits'!S2214:S2218),"")</f>
        <v/>
      </c>
      <c r="T2218" s="3">
        <f>IF(ISNUMBER(AVERAGE('20250815_ETF_Options_Exhibits'!T2214:T2218)),AVERAGE('20250815_ETF_Options_Exhibits'!T2214:T2218),"")</f>
        <v/>
      </c>
      <c r="U2218" s="3">
        <f>IF(ISNUMBER(AVERAGE('20250815_ETF_Options_Exhibits'!U2214:U2218)),AVERAGE('20250815_ETF_Options_Exhibits'!U2214:U2218),"")</f>
        <v/>
      </c>
      <c r="V2218" s="3">
        <f>IF(ISNUMBER(AVERAGE('20250815_ETF_Options_Exhibits'!V2214:V2218)),AVERAGE('20250815_ETF_Options_Exhibits'!V2214:V2218),"")</f>
        <v/>
      </c>
      <c r="W2218" s="3">
        <f>IF(ISNUMBER(AVERAGE('20250815_ETF_Options_Exhibits'!W2214:W2218)),AVERAGE('20250815_ETF_Options_Exhibits'!W2214:W2218),"")</f>
        <v/>
      </c>
      <c r="X2218" s="3">
        <f>IF(ISNUMBER(AVERAGE('20250815_ETF_Options_Exhibits'!X2214:X2218)),AVERAGE('20250815_ETF_Options_Exhibits'!X2214:X2218),"")</f>
        <v/>
      </c>
      <c r="Y2218" s="3">
        <f>IF(ISNUMBER(AVERAGE('20250815_ETF_Options_Exhibits'!Y2214:Y2218)),AVERAGE('20250815_ETF_Options_Exhibits'!Y2214:Y2218),"")</f>
        <v/>
      </c>
      <c r="Z2218" s="3">
        <f>IF(ISNUMBER(AVERAGE('20250815_ETF_Options_Exhibits'!Z2214:Z2218)),AVERAGE('20250815_ETF_Options_Exhibits'!Z2214:Z2218),"")</f>
        <v/>
      </c>
      <c r="AA2218" s="3">
        <f>IF(ISNUMBER(AVERAGE('20250815_ETF_Options_Exhibits'!AA2214:AA2218)),AVERAGE('20250815_ETF_Options_Exhibits'!AA2214:AA2218),"")</f>
        <v/>
      </c>
    </row>
    <row r="2219">
      <c r="A2219" s="1" t="n">
        <v>45222</v>
      </c>
      <c r="B2219" s="3">
        <f>IF(ISNUMBER(AVERAGE('20250815_ETF_Options_Exhibits'!B2215:B2219)),AVERAGE('20250815_ETF_Options_Exhibits'!B2215:B2219),"")</f>
        <v/>
      </c>
      <c r="C2219" s="3">
        <f>IF(ISNUMBER(AVERAGE('20250815_ETF_Options_Exhibits'!C2215:C2219)),AVERAGE('20250815_ETF_Options_Exhibits'!C2215:C2219),"")</f>
        <v/>
      </c>
      <c r="D2219" s="3">
        <f>IF(ISNUMBER(AVERAGE('20250815_ETF_Options_Exhibits'!D2215:D2219)),AVERAGE('20250815_ETF_Options_Exhibits'!D2215:D2219),"")</f>
        <v/>
      </c>
      <c r="E2219" s="3">
        <f>IF(ISNUMBER(AVERAGE('20250815_ETF_Options_Exhibits'!E2215:E2219)),AVERAGE('20250815_ETF_Options_Exhibits'!E2215:E2219),"")</f>
        <v/>
      </c>
      <c r="F2219" s="3">
        <f>IF(ISNUMBER(AVERAGE('20250815_ETF_Options_Exhibits'!F2215:F2219)),AVERAGE('20250815_ETF_Options_Exhibits'!F2215:F2219),"")</f>
        <v/>
      </c>
      <c r="G2219" s="3">
        <f>IF(ISNUMBER(AVERAGE('20250815_ETF_Options_Exhibits'!G2215:G2219)),AVERAGE('20250815_ETF_Options_Exhibits'!G2215:G2219),"")</f>
        <v/>
      </c>
      <c r="H2219" s="3">
        <f>IF(ISNUMBER(AVERAGE('20250815_ETF_Options_Exhibits'!H2215:H2219)),AVERAGE('20250815_ETF_Options_Exhibits'!H2215:H2219),"")</f>
        <v/>
      </c>
      <c r="I2219" s="3">
        <f>IF(ISNUMBER(AVERAGE('20250815_ETF_Options_Exhibits'!I2215:I2219)),AVERAGE('20250815_ETF_Options_Exhibits'!I2215:I2219),"")</f>
        <v/>
      </c>
      <c r="J2219" s="3">
        <f>IF(ISNUMBER(AVERAGE('20250815_ETF_Options_Exhibits'!J2215:J2219)),AVERAGE('20250815_ETF_Options_Exhibits'!J2215:J2219),"")</f>
        <v/>
      </c>
      <c r="K2219" s="3">
        <f>IF(ISNUMBER(AVERAGE('20250815_ETF_Options_Exhibits'!K2215:K2219)),AVERAGE('20250815_ETF_Options_Exhibits'!K2215:K2219),"")</f>
        <v/>
      </c>
      <c r="L2219" s="3">
        <f>IF(ISNUMBER(AVERAGE('20250815_ETF_Options_Exhibits'!L2215:L2219)),AVERAGE('20250815_ETF_Options_Exhibits'!L2215:L2219),"")</f>
        <v/>
      </c>
      <c r="M2219" s="3">
        <f>IF(ISNUMBER(AVERAGE('20250815_ETF_Options_Exhibits'!M2215:M2219)),AVERAGE('20250815_ETF_Options_Exhibits'!M2215:M2219),"")</f>
        <v/>
      </c>
      <c r="N2219" s="3">
        <f>IF(ISNUMBER(AVERAGE('20250815_ETF_Options_Exhibits'!N2215:N2219)),AVERAGE('20250815_ETF_Options_Exhibits'!N2215:N2219),"")</f>
        <v/>
      </c>
      <c r="O2219" s="3">
        <f>IF(ISNUMBER(AVERAGE('20250815_ETF_Options_Exhibits'!O2215:O2219)),AVERAGE('20250815_ETF_Options_Exhibits'!O2215:O2219),"")</f>
        <v/>
      </c>
      <c r="P2219" s="3">
        <f>IF(ISNUMBER(AVERAGE('20250815_ETF_Options_Exhibits'!P2215:P2219)),AVERAGE('20250815_ETF_Options_Exhibits'!P2215:P2219),"")</f>
        <v/>
      </c>
      <c r="Q2219" s="3">
        <f>IF(ISNUMBER(AVERAGE('20250815_ETF_Options_Exhibits'!Q2215:Q2219)),AVERAGE('20250815_ETF_Options_Exhibits'!Q2215:Q2219),"")</f>
        <v/>
      </c>
      <c r="R2219" s="3">
        <f>IF(ISNUMBER(AVERAGE('20250815_ETF_Options_Exhibits'!R2215:R2219)),AVERAGE('20250815_ETF_Options_Exhibits'!R2215:R2219),"")</f>
        <v/>
      </c>
      <c r="S2219" s="3">
        <f>IF(ISNUMBER(AVERAGE('20250815_ETF_Options_Exhibits'!S2215:S2219)),AVERAGE('20250815_ETF_Options_Exhibits'!S2215:S2219),"")</f>
        <v/>
      </c>
      <c r="T2219" s="3">
        <f>IF(ISNUMBER(AVERAGE('20250815_ETF_Options_Exhibits'!T2215:T2219)),AVERAGE('20250815_ETF_Options_Exhibits'!T2215:T2219),"")</f>
        <v/>
      </c>
      <c r="U2219" s="3">
        <f>IF(ISNUMBER(AVERAGE('20250815_ETF_Options_Exhibits'!U2215:U2219)),AVERAGE('20250815_ETF_Options_Exhibits'!U2215:U2219),"")</f>
        <v/>
      </c>
      <c r="V2219" s="3">
        <f>IF(ISNUMBER(AVERAGE('20250815_ETF_Options_Exhibits'!V2215:V2219)),AVERAGE('20250815_ETF_Options_Exhibits'!V2215:V2219),"")</f>
        <v/>
      </c>
      <c r="W2219" s="3">
        <f>IF(ISNUMBER(AVERAGE('20250815_ETF_Options_Exhibits'!W2215:W2219)),AVERAGE('20250815_ETF_Options_Exhibits'!W2215:W2219),"")</f>
        <v/>
      </c>
      <c r="X2219" s="3">
        <f>IF(ISNUMBER(AVERAGE('20250815_ETF_Options_Exhibits'!X2215:X2219)),AVERAGE('20250815_ETF_Options_Exhibits'!X2215:X2219),"")</f>
        <v/>
      </c>
      <c r="Y2219" s="3">
        <f>IF(ISNUMBER(AVERAGE('20250815_ETF_Options_Exhibits'!Y2215:Y2219)),AVERAGE('20250815_ETF_Options_Exhibits'!Y2215:Y2219),"")</f>
        <v/>
      </c>
      <c r="Z2219" s="3">
        <f>IF(ISNUMBER(AVERAGE('20250815_ETF_Options_Exhibits'!Z2215:Z2219)),AVERAGE('20250815_ETF_Options_Exhibits'!Z2215:Z2219),"")</f>
        <v/>
      </c>
      <c r="AA2219" s="3">
        <f>IF(ISNUMBER(AVERAGE('20250815_ETF_Options_Exhibits'!AA2215:AA2219)),AVERAGE('20250815_ETF_Options_Exhibits'!AA2215:AA2219),"")</f>
        <v/>
      </c>
    </row>
    <row r="2220">
      <c r="A2220" s="1" t="n">
        <v>45223</v>
      </c>
      <c r="B2220" s="3">
        <f>IF(ISNUMBER(AVERAGE('20250815_ETF_Options_Exhibits'!B2216:B2220)),AVERAGE('20250815_ETF_Options_Exhibits'!B2216:B2220),"")</f>
        <v/>
      </c>
      <c r="C2220" s="3">
        <f>IF(ISNUMBER(AVERAGE('20250815_ETF_Options_Exhibits'!C2216:C2220)),AVERAGE('20250815_ETF_Options_Exhibits'!C2216:C2220),"")</f>
        <v/>
      </c>
      <c r="D2220" s="3">
        <f>IF(ISNUMBER(AVERAGE('20250815_ETF_Options_Exhibits'!D2216:D2220)),AVERAGE('20250815_ETF_Options_Exhibits'!D2216:D2220),"")</f>
        <v/>
      </c>
      <c r="E2220" s="3">
        <f>IF(ISNUMBER(AVERAGE('20250815_ETF_Options_Exhibits'!E2216:E2220)),AVERAGE('20250815_ETF_Options_Exhibits'!E2216:E2220),"")</f>
        <v/>
      </c>
      <c r="F2220" s="3">
        <f>IF(ISNUMBER(AVERAGE('20250815_ETF_Options_Exhibits'!F2216:F2220)),AVERAGE('20250815_ETF_Options_Exhibits'!F2216:F2220),"")</f>
        <v/>
      </c>
      <c r="G2220" s="3">
        <f>IF(ISNUMBER(AVERAGE('20250815_ETF_Options_Exhibits'!G2216:G2220)),AVERAGE('20250815_ETF_Options_Exhibits'!G2216:G2220),"")</f>
        <v/>
      </c>
      <c r="H2220" s="3">
        <f>IF(ISNUMBER(AVERAGE('20250815_ETF_Options_Exhibits'!H2216:H2220)),AVERAGE('20250815_ETF_Options_Exhibits'!H2216:H2220),"")</f>
        <v/>
      </c>
      <c r="I2220" s="3">
        <f>IF(ISNUMBER(AVERAGE('20250815_ETF_Options_Exhibits'!I2216:I2220)),AVERAGE('20250815_ETF_Options_Exhibits'!I2216:I2220),"")</f>
        <v/>
      </c>
      <c r="J2220" s="3">
        <f>IF(ISNUMBER(AVERAGE('20250815_ETF_Options_Exhibits'!J2216:J2220)),AVERAGE('20250815_ETF_Options_Exhibits'!J2216:J2220),"")</f>
        <v/>
      </c>
      <c r="K2220" s="3">
        <f>IF(ISNUMBER(AVERAGE('20250815_ETF_Options_Exhibits'!K2216:K2220)),AVERAGE('20250815_ETF_Options_Exhibits'!K2216:K2220),"")</f>
        <v/>
      </c>
      <c r="L2220" s="3">
        <f>IF(ISNUMBER(AVERAGE('20250815_ETF_Options_Exhibits'!L2216:L2220)),AVERAGE('20250815_ETF_Options_Exhibits'!L2216:L2220),"")</f>
        <v/>
      </c>
      <c r="M2220" s="3">
        <f>IF(ISNUMBER(AVERAGE('20250815_ETF_Options_Exhibits'!M2216:M2220)),AVERAGE('20250815_ETF_Options_Exhibits'!M2216:M2220),"")</f>
        <v/>
      </c>
      <c r="N2220" s="3">
        <f>IF(ISNUMBER(AVERAGE('20250815_ETF_Options_Exhibits'!N2216:N2220)),AVERAGE('20250815_ETF_Options_Exhibits'!N2216:N2220),"")</f>
        <v/>
      </c>
      <c r="O2220" s="3">
        <f>IF(ISNUMBER(AVERAGE('20250815_ETF_Options_Exhibits'!O2216:O2220)),AVERAGE('20250815_ETF_Options_Exhibits'!O2216:O2220),"")</f>
        <v/>
      </c>
      <c r="P2220" s="3">
        <f>IF(ISNUMBER(AVERAGE('20250815_ETF_Options_Exhibits'!P2216:P2220)),AVERAGE('20250815_ETF_Options_Exhibits'!P2216:P2220),"")</f>
        <v/>
      </c>
      <c r="Q2220" s="3">
        <f>IF(ISNUMBER(AVERAGE('20250815_ETF_Options_Exhibits'!Q2216:Q2220)),AVERAGE('20250815_ETF_Options_Exhibits'!Q2216:Q2220),"")</f>
        <v/>
      </c>
      <c r="R2220" s="3">
        <f>IF(ISNUMBER(AVERAGE('20250815_ETF_Options_Exhibits'!R2216:R2220)),AVERAGE('20250815_ETF_Options_Exhibits'!R2216:R2220),"")</f>
        <v/>
      </c>
      <c r="S2220" s="3">
        <f>IF(ISNUMBER(AVERAGE('20250815_ETF_Options_Exhibits'!S2216:S2220)),AVERAGE('20250815_ETF_Options_Exhibits'!S2216:S2220),"")</f>
        <v/>
      </c>
      <c r="T2220" s="3">
        <f>IF(ISNUMBER(AVERAGE('20250815_ETF_Options_Exhibits'!T2216:T2220)),AVERAGE('20250815_ETF_Options_Exhibits'!T2216:T2220),"")</f>
        <v/>
      </c>
      <c r="U2220" s="3">
        <f>IF(ISNUMBER(AVERAGE('20250815_ETF_Options_Exhibits'!U2216:U2220)),AVERAGE('20250815_ETF_Options_Exhibits'!U2216:U2220),"")</f>
        <v/>
      </c>
      <c r="V2220" s="3">
        <f>IF(ISNUMBER(AVERAGE('20250815_ETF_Options_Exhibits'!V2216:V2220)),AVERAGE('20250815_ETF_Options_Exhibits'!V2216:V2220),"")</f>
        <v/>
      </c>
      <c r="W2220" s="3">
        <f>IF(ISNUMBER(AVERAGE('20250815_ETF_Options_Exhibits'!W2216:W2220)),AVERAGE('20250815_ETF_Options_Exhibits'!W2216:W2220),"")</f>
        <v/>
      </c>
      <c r="X2220" s="3">
        <f>IF(ISNUMBER(AVERAGE('20250815_ETF_Options_Exhibits'!X2216:X2220)),AVERAGE('20250815_ETF_Options_Exhibits'!X2216:X2220),"")</f>
        <v/>
      </c>
      <c r="Y2220" s="3">
        <f>IF(ISNUMBER(AVERAGE('20250815_ETF_Options_Exhibits'!Y2216:Y2220)),AVERAGE('20250815_ETF_Options_Exhibits'!Y2216:Y2220),"")</f>
        <v/>
      </c>
      <c r="Z2220" s="3">
        <f>IF(ISNUMBER(AVERAGE('20250815_ETF_Options_Exhibits'!Z2216:Z2220)),AVERAGE('20250815_ETF_Options_Exhibits'!Z2216:Z2220),"")</f>
        <v/>
      </c>
      <c r="AA2220" s="3">
        <f>IF(ISNUMBER(AVERAGE('20250815_ETF_Options_Exhibits'!AA2216:AA2220)),AVERAGE('20250815_ETF_Options_Exhibits'!AA2216:AA2220),"")</f>
        <v/>
      </c>
    </row>
    <row r="2221">
      <c r="A2221" s="1" t="n">
        <v>45224</v>
      </c>
      <c r="B2221" s="3">
        <f>IF(ISNUMBER(AVERAGE('20250815_ETF_Options_Exhibits'!B2217:B2221)),AVERAGE('20250815_ETF_Options_Exhibits'!B2217:B2221),"")</f>
        <v/>
      </c>
      <c r="C2221" s="3">
        <f>IF(ISNUMBER(AVERAGE('20250815_ETF_Options_Exhibits'!C2217:C2221)),AVERAGE('20250815_ETF_Options_Exhibits'!C2217:C2221),"")</f>
        <v/>
      </c>
      <c r="D2221" s="3">
        <f>IF(ISNUMBER(AVERAGE('20250815_ETF_Options_Exhibits'!D2217:D2221)),AVERAGE('20250815_ETF_Options_Exhibits'!D2217:D2221),"")</f>
        <v/>
      </c>
      <c r="E2221" s="3">
        <f>IF(ISNUMBER(AVERAGE('20250815_ETF_Options_Exhibits'!E2217:E2221)),AVERAGE('20250815_ETF_Options_Exhibits'!E2217:E2221),"")</f>
        <v/>
      </c>
      <c r="F2221" s="3">
        <f>IF(ISNUMBER(AVERAGE('20250815_ETF_Options_Exhibits'!F2217:F2221)),AVERAGE('20250815_ETF_Options_Exhibits'!F2217:F2221),"")</f>
        <v/>
      </c>
      <c r="G2221" s="3">
        <f>IF(ISNUMBER(AVERAGE('20250815_ETF_Options_Exhibits'!G2217:G2221)),AVERAGE('20250815_ETF_Options_Exhibits'!G2217:G2221),"")</f>
        <v/>
      </c>
      <c r="H2221" s="3">
        <f>IF(ISNUMBER(AVERAGE('20250815_ETF_Options_Exhibits'!H2217:H2221)),AVERAGE('20250815_ETF_Options_Exhibits'!H2217:H2221),"")</f>
        <v/>
      </c>
      <c r="I2221" s="3">
        <f>IF(ISNUMBER(AVERAGE('20250815_ETF_Options_Exhibits'!I2217:I2221)),AVERAGE('20250815_ETF_Options_Exhibits'!I2217:I2221),"")</f>
        <v/>
      </c>
      <c r="J2221" s="3">
        <f>IF(ISNUMBER(AVERAGE('20250815_ETF_Options_Exhibits'!J2217:J2221)),AVERAGE('20250815_ETF_Options_Exhibits'!J2217:J2221),"")</f>
        <v/>
      </c>
      <c r="K2221" s="3">
        <f>IF(ISNUMBER(AVERAGE('20250815_ETF_Options_Exhibits'!K2217:K2221)),AVERAGE('20250815_ETF_Options_Exhibits'!K2217:K2221),"")</f>
        <v/>
      </c>
      <c r="L2221" s="3">
        <f>IF(ISNUMBER(AVERAGE('20250815_ETF_Options_Exhibits'!L2217:L2221)),AVERAGE('20250815_ETF_Options_Exhibits'!L2217:L2221),"")</f>
        <v/>
      </c>
      <c r="M2221" s="3">
        <f>IF(ISNUMBER(AVERAGE('20250815_ETF_Options_Exhibits'!M2217:M2221)),AVERAGE('20250815_ETF_Options_Exhibits'!M2217:M2221),"")</f>
        <v/>
      </c>
      <c r="N2221" s="3">
        <f>IF(ISNUMBER(AVERAGE('20250815_ETF_Options_Exhibits'!N2217:N2221)),AVERAGE('20250815_ETF_Options_Exhibits'!N2217:N2221),"")</f>
        <v/>
      </c>
      <c r="O2221" s="3">
        <f>IF(ISNUMBER(AVERAGE('20250815_ETF_Options_Exhibits'!O2217:O2221)),AVERAGE('20250815_ETF_Options_Exhibits'!O2217:O2221),"")</f>
        <v/>
      </c>
      <c r="P2221" s="3">
        <f>IF(ISNUMBER(AVERAGE('20250815_ETF_Options_Exhibits'!P2217:P2221)),AVERAGE('20250815_ETF_Options_Exhibits'!P2217:P2221),"")</f>
        <v/>
      </c>
      <c r="Q2221" s="3">
        <f>IF(ISNUMBER(AVERAGE('20250815_ETF_Options_Exhibits'!Q2217:Q2221)),AVERAGE('20250815_ETF_Options_Exhibits'!Q2217:Q2221),"")</f>
        <v/>
      </c>
      <c r="R2221" s="3">
        <f>IF(ISNUMBER(AVERAGE('20250815_ETF_Options_Exhibits'!R2217:R2221)),AVERAGE('20250815_ETF_Options_Exhibits'!R2217:R2221),"")</f>
        <v/>
      </c>
      <c r="S2221" s="3">
        <f>IF(ISNUMBER(AVERAGE('20250815_ETF_Options_Exhibits'!S2217:S2221)),AVERAGE('20250815_ETF_Options_Exhibits'!S2217:S2221),"")</f>
        <v/>
      </c>
      <c r="T2221" s="3">
        <f>IF(ISNUMBER(AVERAGE('20250815_ETF_Options_Exhibits'!T2217:T2221)),AVERAGE('20250815_ETF_Options_Exhibits'!T2217:T2221),"")</f>
        <v/>
      </c>
      <c r="U2221" s="3">
        <f>IF(ISNUMBER(AVERAGE('20250815_ETF_Options_Exhibits'!U2217:U2221)),AVERAGE('20250815_ETF_Options_Exhibits'!U2217:U2221),"")</f>
        <v/>
      </c>
      <c r="V2221" s="3">
        <f>IF(ISNUMBER(AVERAGE('20250815_ETF_Options_Exhibits'!V2217:V2221)),AVERAGE('20250815_ETF_Options_Exhibits'!V2217:V2221),"")</f>
        <v/>
      </c>
      <c r="W2221" s="3">
        <f>IF(ISNUMBER(AVERAGE('20250815_ETF_Options_Exhibits'!W2217:W2221)),AVERAGE('20250815_ETF_Options_Exhibits'!W2217:W2221),"")</f>
        <v/>
      </c>
      <c r="X2221" s="3">
        <f>IF(ISNUMBER(AVERAGE('20250815_ETF_Options_Exhibits'!X2217:X2221)),AVERAGE('20250815_ETF_Options_Exhibits'!X2217:X2221),"")</f>
        <v/>
      </c>
      <c r="Y2221" s="3">
        <f>IF(ISNUMBER(AVERAGE('20250815_ETF_Options_Exhibits'!Y2217:Y2221)),AVERAGE('20250815_ETF_Options_Exhibits'!Y2217:Y2221),"")</f>
        <v/>
      </c>
      <c r="Z2221" s="3">
        <f>IF(ISNUMBER(AVERAGE('20250815_ETF_Options_Exhibits'!Z2217:Z2221)),AVERAGE('20250815_ETF_Options_Exhibits'!Z2217:Z2221),"")</f>
        <v/>
      </c>
      <c r="AA2221" s="3">
        <f>IF(ISNUMBER(AVERAGE('20250815_ETF_Options_Exhibits'!AA2217:AA2221)),AVERAGE('20250815_ETF_Options_Exhibits'!AA2217:AA2221),"")</f>
        <v/>
      </c>
    </row>
    <row r="2222">
      <c r="A2222" s="1" t="n">
        <v>45225</v>
      </c>
      <c r="B2222" s="3">
        <f>IF(ISNUMBER(AVERAGE('20250815_ETF_Options_Exhibits'!B2218:B2222)),AVERAGE('20250815_ETF_Options_Exhibits'!B2218:B2222),"")</f>
        <v/>
      </c>
      <c r="C2222" s="3">
        <f>IF(ISNUMBER(AVERAGE('20250815_ETF_Options_Exhibits'!C2218:C2222)),AVERAGE('20250815_ETF_Options_Exhibits'!C2218:C2222),"")</f>
        <v/>
      </c>
      <c r="D2222" s="3">
        <f>IF(ISNUMBER(AVERAGE('20250815_ETF_Options_Exhibits'!D2218:D2222)),AVERAGE('20250815_ETF_Options_Exhibits'!D2218:D2222),"")</f>
        <v/>
      </c>
      <c r="E2222" s="3">
        <f>IF(ISNUMBER(AVERAGE('20250815_ETF_Options_Exhibits'!E2218:E2222)),AVERAGE('20250815_ETF_Options_Exhibits'!E2218:E2222),"")</f>
        <v/>
      </c>
      <c r="F2222" s="3">
        <f>IF(ISNUMBER(AVERAGE('20250815_ETF_Options_Exhibits'!F2218:F2222)),AVERAGE('20250815_ETF_Options_Exhibits'!F2218:F2222),"")</f>
        <v/>
      </c>
      <c r="G2222" s="3">
        <f>IF(ISNUMBER(AVERAGE('20250815_ETF_Options_Exhibits'!G2218:G2222)),AVERAGE('20250815_ETF_Options_Exhibits'!G2218:G2222),"")</f>
        <v/>
      </c>
      <c r="H2222" s="3">
        <f>IF(ISNUMBER(AVERAGE('20250815_ETF_Options_Exhibits'!H2218:H2222)),AVERAGE('20250815_ETF_Options_Exhibits'!H2218:H2222),"")</f>
        <v/>
      </c>
      <c r="I2222" s="3">
        <f>IF(ISNUMBER(AVERAGE('20250815_ETF_Options_Exhibits'!I2218:I2222)),AVERAGE('20250815_ETF_Options_Exhibits'!I2218:I2222),"")</f>
        <v/>
      </c>
      <c r="J2222" s="3">
        <f>IF(ISNUMBER(AVERAGE('20250815_ETF_Options_Exhibits'!J2218:J2222)),AVERAGE('20250815_ETF_Options_Exhibits'!J2218:J2222),"")</f>
        <v/>
      </c>
      <c r="K2222" s="3">
        <f>IF(ISNUMBER(AVERAGE('20250815_ETF_Options_Exhibits'!K2218:K2222)),AVERAGE('20250815_ETF_Options_Exhibits'!K2218:K2222),"")</f>
        <v/>
      </c>
      <c r="L2222" s="3">
        <f>IF(ISNUMBER(AVERAGE('20250815_ETF_Options_Exhibits'!L2218:L2222)),AVERAGE('20250815_ETF_Options_Exhibits'!L2218:L2222),"")</f>
        <v/>
      </c>
      <c r="M2222" s="3">
        <f>IF(ISNUMBER(AVERAGE('20250815_ETF_Options_Exhibits'!M2218:M2222)),AVERAGE('20250815_ETF_Options_Exhibits'!M2218:M2222),"")</f>
        <v/>
      </c>
      <c r="N2222" s="3">
        <f>IF(ISNUMBER(AVERAGE('20250815_ETF_Options_Exhibits'!N2218:N2222)),AVERAGE('20250815_ETF_Options_Exhibits'!N2218:N2222),"")</f>
        <v/>
      </c>
      <c r="O2222" s="3">
        <f>IF(ISNUMBER(AVERAGE('20250815_ETF_Options_Exhibits'!O2218:O2222)),AVERAGE('20250815_ETF_Options_Exhibits'!O2218:O2222),"")</f>
        <v/>
      </c>
      <c r="P2222" s="3">
        <f>IF(ISNUMBER(AVERAGE('20250815_ETF_Options_Exhibits'!P2218:P2222)),AVERAGE('20250815_ETF_Options_Exhibits'!P2218:P2222),"")</f>
        <v/>
      </c>
      <c r="Q2222" s="3">
        <f>IF(ISNUMBER(AVERAGE('20250815_ETF_Options_Exhibits'!Q2218:Q2222)),AVERAGE('20250815_ETF_Options_Exhibits'!Q2218:Q2222),"")</f>
        <v/>
      </c>
      <c r="R2222" s="3">
        <f>IF(ISNUMBER(AVERAGE('20250815_ETF_Options_Exhibits'!R2218:R2222)),AVERAGE('20250815_ETF_Options_Exhibits'!R2218:R2222),"")</f>
        <v/>
      </c>
      <c r="S2222" s="3">
        <f>IF(ISNUMBER(AVERAGE('20250815_ETF_Options_Exhibits'!S2218:S2222)),AVERAGE('20250815_ETF_Options_Exhibits'!S2218:S2222),"")</f>
        <v/>
      </c>
      <c r="T2222" s="3">
        <f>IF(ISNUMBER(AVERAGE('20250815_ETF_Options_Exhibits'!T2218:T2222)),AVERAGE('20250815_ETF_Options_Exhibits'!T2218:T2222),"")</f>
        <v/>
      </c>
      <c r="U2222" s="3">
        <f>IF(ISNUMBER(AVERAGE('20250815_ETF_Options_Exhibits'!U2218:U2222)),AVERAGE('20250815_ETF_Options_Exhibits'!U2218:U2222),"")</f>
        <v/>
      </c>
      <c r="V2222" s="3">
        <f>IF(ISNUMBER(AVERAGE('20250815_ETF_Options_Exhibits'!V2218:V2222)),AVERAGE('20250815_ETF_Options_Exhibits'!V2218:V2222),"")</f>
        <v/>
      </c>
      <c r="W2222" s="3">
        <f>IF(ISNUMBER(AVERAGE('20250815_ETF_Options_Exhibits'!W2218:W2222)),AVERAGE('20250815_ETF_Options_Exhibits'!W2218:W2222),"")</f>
        <v/>
      </c>
      <c r="X2222" s="3">
        <f>IF(ISNUMBER(AVERAGE('20250815_ETF_Options_Exhibits'!X2218:X2222)),AVERAGE('20250815_ETF_Options_Exhibits'!X2218:X2222),"")</f>
        <v/>
      </c>
      <c r="Y2222" s="3">
        <f>IF(ISNUMBER(AVERAGE('20250815_ETF_Options_Exhibits'!Y2218:Y2222)),AVERAGE('20250815_ETF_Options_Exhibits'!Y2218:Y2222),"")</f>
        <v/>
      </c>
      <c r="Z2222" s="3">
        <f>IF(ISNUMBER(AVERAGE('20250815_ETF_Options_Exhibits'!Z2218:Z2222)),AVERAGE('20250815_ETF_Options_Exhibits'!Z2218:Z2222),"")</f>
        <v/>
      </c>
      <c r="AA2222" s="3">
        <f>IF(ISNUMBER(AVERAGE('20250815_ETF_Options_Exhibits'!AA2218:AA2222)),AVERAGE('20250815_ETF_Options_Exhibits'!AA2218:AA2222),"")</f>
        <v/>
      </c>
    </row>
    <row r="2223">
      <c r="A2223" s="1" t="n">
        <v>45226</v>
      </c>
      <c r="B2223" s="3">
        <f>IF(ISNUMBER(AVERAGE('20250815_ETF_Options_Exhibits'!B2219:B2223)),AVERAGE('20250815_ETF_Options_Exhibits'!B2219:B2223),"")</f>
        <v/>
      </c>
      <c r="C2223" s="3">
        <f>IF(ISNUMBER(AVERAGE('20250815_ETF_Options_Exhibits'!C2219:C2223)),AVERAGE('20250815_ETF_Options_Exhibits'!C2219:C2223),"")</f>
        <v/>
      </c>
      <c r="D2223" s="3">
        <f>IF(ISNUMBER(AVERAGE('20250815_ETF_Options_Exhibits'!D2219:D2223)),AVERAGE('20250815_ETF_Options_Exhibits'!D2219:D2223),"")</f>
        <v/>
      </c>
      <c r="E2223" s="3">
        <f>IF(ISNUMBER(AVERAGE('20250815_ETF_Options_Exhibits'!E2219:E2223)),AVERAGE('20250815_ETF_Options_Exhibits'!E2219:E2223),"")</f>
        <v/>
      </c>
      <c r="F2223" s="3">
        <f>IF(ISNUMBER(AVERAGE('20250815_ETF_Options_Exhibits'!F2219:F2223)),AVERAGE('20250815_ETF_Options_Exhibits'!F2219:F2223),"")</f>
        <v/>
      </c>
      <c r="G2223" s="3">
        <f>IF(ISNUMBER(AVERAGE('20250815_ETF_Options_Exhibits'!G2219:G2223)),AVERAGE('20250815_ETF_Options_Exhibits'!G2219:G2223),"")</f>
        <v/>
      </c>
      <c r="H2223" s="3">
        <f>IF(ISNUMBER(AVERAGE('20250815_ETF_Options_Exhibits'!H2219:H2223)),AVERAGE('20250815_ETF_Options_Exhibits'!H2219:H2223),"")</f>
        <v/>
      </c>
      <c r="I2223" s="3">
        <f>IF(ISNUMBER(AVERAGE('20250815_ETF_Options_Exhibits'!I2219:I2223)),AVERAGE('20250815_ETF_Options_Exhibits'!I2219:I2223),"")</f>
        <v/>
      </c>
      <c r="J2223" s="3">
        <f>IF(ISNUMBER(AVERAGE('20250815_ETF_Options_Exhibits'!J2219:J2223)),AVERAGE('20250815_ETF_Options_Exhibits'!J2219:J2223),"")</f>
        <v/>
      </c>
      <c r="K2223" s="3">
        <f>IF(ISNUMBER(AVERAGE('20250815_ETF_Options_Exhibits'!K2219:K2223)),AVERAGE('20250815_ETF_Options_Exhibits'!K2219:K2223),"")</f>
        <v/>
      </c>
      <c r="L2223" s="3">
        <f>IF(ISNUMBER(AVERAGE('20250815_ETF_Options_Exhibits'!L2219:L2223)),AVERAGE('20250815_ETF_Options_Exhibits'!L2219:L2223),"")</f>
        <v/>
      </c>
      <c r="M2223" s="3">
        <f>IF(ISNUMBER(AVERAGE('20250815_ETF_Options_Exhibits'!M2219:M2223)),AVERAGE('20250815_ETF_Options_Exhibits'!M2219:M2223),"")</f>
        <v/>
      </c>
      <c r="N2223" s="3">
        <f>IF(ISNUMBER(AVERAGE('20250815_ETF_Options_Exhibits'!N2219:N2223)),AVERAGE('20250815_ETF_Options_Exhibits'!N2219:N2223),"")</f>
        <v/>
      </c>
      <c r="O2223" s="3">
        <f>IF(ISNUMBER(AVERAGE('20250815_ETF_Options_Exhibits'!O2219:O2223)),AVERAGE('20250815_ETF_Options_Exhibits'!O2219:O2223),"")</f>
        <v/>
      </c>
      <c r="P2223" s="3">
        <f>IF(ISNUMBER(AVERAGE('20250815_ETF_Options_Exhibits'!P2219:P2223)),AVERAGE('20250815_ETF_Options_Exhibits'!P2219:P2223),"")</f>
        <v/>
      </c>
      <c r="Q2223" s="3">
        <f>IF(ISNUMBER(AVERAGE('20250815_ETF_Options_Exhibits'!Q2219:Q2223)),AVERAGE('20250815_ETF_Options_Exhibits'!Q2219:Q2223),"")</f>
        <v/>
      </c>
      <c r="R2223" s="3">
        <f>IF(ISNUMBER(AVERAGE('20250815_ETF_Options_Exhibits'!R2219:R2223)),AVERAGE('20250815_ETF_Options_Exhibits'!R2219:R2223),"")</f>
        <v/>
      </c>
      <c r="S2223" s="3">
        <f>IF(ISNUMBER(AVERAGE('20250815_ETF_Options_Exhibits'!S2219:S2223)),AVERAGE('20250815_ETF_Options_Exhibits'!S2219:S2223),"")</f>
        <v/>
      </c>
      <c r="T2223" s="3">
        <f>IF(ISNUMBER(AVERAGE('20250815_ETF_Options_Exhibits'!T2219:T2223)),AVERAGE('20250815_ETF_Options_Exhibits'!T2219:T2223),"")</f>
        <v/>
      </c>
      <c r="U2223" s="3">
        <f>IF(ISNUMBER(AVERAGE('20250815_ETF_Options_Exhibits'!U2219:U2223)),AVERAGE('20250815_ETF_Options_Exhibits'!U2219:U2223),"")</f>
        <v/>
      </c>
      <c r="V2223" s="3">
        <f>IF(ISNUMBER(AVERAGE('20250815_ETF_Options_Exhibits'!V2219:V2223)),AVERAGE('20250815_ETF_Options_Exhibits'!V2219:V2223),"")</f>
        <v/>
      </c>
      <c r="W2223" s="3">
        <f>IF(ISNUMBER(AVERAGE('20250815_ETF_Options_Exhibits'!W2219:W2223)),AVERAGE('20250815_ETF_Options_Exhibits'!W2219:W2223),"")</f>
        <v/>
      </c>
      <c r="X2223" s="3">
        <f>IF(ISNUMBER(AVERAGE('20250815_ETF_Options_Exhibits'!X2219:X2223)),AVERAGE('20250815_ETF_Options_Exhibits'!X2219:X2223),"")</f>
        <v/>
      </c>
      <c r="Y2223" s="3">
        <f>IF(ISNUMBER(AVERAGE('20250815_ETF_Options_Exhibits'!Y2219:Y2223)),AVERAGE('20250815_ETF_Options_Exhibits'!Y2219:Y2223),"")</f>
        <v/>
      </c>
      <c r="Z2223" s="3">
        <f>IF(ISNUMBER(AVERAGE('20250815_ETF_Options_Exhibits'!Z2219:Z2223)),AVERAGE('20250815_ETF_Options_Exhibits'!Z2219:Z2223),"")</f>
        <v/>
      </c>
      <c r="AA2223" s="3">
        <f>IF(ISNUMBER(AVERAGE('20250815_ETF_Options_Exhibits'!AA2219:AA2223)),AVERAGE('20250815_ETF_Options_Exhibits'!AA2219:AA2223),"")</f>
        <v/>
      </c>
    </row>
    <row r="2224">
      <c r="A2224" s="1" t="n">
        <v>45229</v>
      </c>
      <c r="B2224" s="3">
        <f>IF(ISNUMBER(AVERAGE('20250815_ETF_Options_Exhibits'!B2220:B2224)),AVERAGE('20250815_ETF_Options_Exhibits'!B2220:B2224),"")</f>
        <v/>
      </c>
      <c r="C2224" s="3">
        <f>IF(ISNUMBER(AVERAGE('20250815_ETF_Options_Exhibits'!C2220:C2224)),AVERAGE('20250815_ETF_Options_Exhibits'!C2220:C2224),"")</f>
        <v/>
      </c>
      <c r="D2224" s="3">
        <f>IF(ISNUMBER(AVERAGE('20250815_ETF_Options_Exhibits'!D2220:D2224)),AVERAGE('20250815_ETF_Options_Exhibits'!D2220:D2224),"")</f>
        <v/>
      </c>
      <c r="E2224" s="3">
        <f>IF(ISNUMBER(AVERAGE('20250815_ETF_Options_Exhibits'!E2220:E2224)),AVERAGE('20250815_ETF_Options_Exhibits'!E2220:E2224),"")</f>
        <v/>
      </c>
      <c r="F2224" s="3">
        <f>IF(ISNUMBER(AVERAGE('20250815_ETF_Options_Exhibits'!F2220:F2224)),AVERAGE('20250815_ETF_Options_Exhibits'!F2220:F2224),"")</f>
        <v/>
      </c>
      <c r="G2224" s="3">
        <f>IF(ISNUMBER(AVERAGE('20250815_ETF_Options_Exhibits'!G2220:G2224)),AVERAGE('20250815_ETF_Options_Exhibits'!G2220:G2224),"")</f>
        <v/>
      </c>
      <c r="H2224" s="3">
        <f>IF(ISNUMBER(AVERAGE('20250815_ETF_Options_Exhibits'!H2220:H2224)),AVERAGE('20250815_ETF_Options_Exhibits'!H2220:H2224),"")</f>
        <v/>
      </c>
      <c r="I2224" s="3">
        <f>IF(ISNUMBER(AVERAGE('20250815_ETF_Options_Exhibits'!I2220:I2224)),AVERAGE('20250815_ETF_Options_Exhibits'!I2220:I2224),"")</f>
        <v/>
      </c>
      <c r="J2224" s="3">
        <f>IF(ISNUMBER(AVERAGE('20250815_ETF_Options_Exhibits'!J2220:J2224)),AVERAGE('20250815_ETF_Options_Exhibits'!J2220:J2224),"")</f>
        <v/>
      </c>
      <c r="K2224" s="3">
        <f>IF(ISNUMBER(AVERAGE('20250815_ETF_Options_Exhibits'!K2220:K2224)),AVERAGE('20250815_ETF_Options_Exhibits'!K2220:K2224),"")</f>
        <v/>
      </c>
      <c r="L2224" s="3">
        <f>IF(ISNUMBER(AVERAGE('20250815_ETF_Options_Exhibits'!L2220:L2224)),AVERAGE('20250815_ETF_Options_Exhibits'!L2220:L2224),"")</f>
        <v/>
      </c>
      <c r="M2224" s="3">
        <f>IF(ISNUMBER(AVERAGE('20250815_ETF_Options_Exhibits'!M2220:M2224)),AVERAGE('20250815_ETF_Options_Exhibits'!M2220:M2224),"")</f>
        <v/>
      </c>
      <c r="N2224" s="3">
        <f>IF(ISNUMBER(AVERAGE('20250815_ETF_Options_Exhibits'!N2220:N2224)),AVERAGE('20250815_ETF_Options_Exhibits'!N2220:N2224),"")</f>
        <v/>
      </c>
      <c r="O2224" s="3">
        <f>IF(ISNUMBER(AVERAGE('20250815_ETF_Options_Exhibits'!O2220:O2224)),AVERAGE('20250815_ETF_Options_Exhibits'!O2220:O2224),"")</f>
        <v/>
      </c>
      <c r="P2224" s="3">
        <f>IF(ISNUMBER(AVERAGE('20250815_ETF_Options_Exhibits'!P2220:P2224)),AVERAGE('20250815_ETF_Options_Exhibits'!P2220:P2224),"")</f>
        <v/>
      </c>
      <c r="Q2224" s="3">
        <f>IF(ISNUMBER(AVERAGE('20250815_ETF_Options_Exhibits'!Q2220:Q2224)),AVERAGE('20250815_ETF_Options_Exhibits'!Q2220:Q2224),"")</f>
        <v/>
      </c>
      <c r="R2224" s="3">
        <f>IF(ISNUMBER(AVERAGE('20250815_ETF_Options_Exhibits'!R2220:R2224)),AVERAGE('20250815_ETF_Options_Exhibits'!R2220:R2224),"")</f>
        <v/>
      </c>
      <c r="S2224" s="3">
        <f>IF(ISNUMBER(AVERAGE('20250815_ETF_Options_Exhibits'!S2220:S2224)),AVERAGE('20250815_ETF_Options_Exhibits'!S2220:S2224),"")</f>
        <v/>
      </c>
      <c r="T2224" s="3">
        <f>IF(ISNUMBER(AVERAGE('20250815_ETF_Options_Exhibits'!T2220:T2224)),AVERAGE('20250815_ETF_Options_Exhibits'!T2220:T2224),"")</f>
        <v/>
      </c>
      <c r="U2224" s="3">
        <f>IF(ISNUMBER(AVERAGE('20250815_ETF_Options_Exhibits'!U2220:U2224)),AVERAGE('20250815_ETF_Options_Exhibits'!U2220:U2224),"")</f>
        <v/>
      </c>
      <c r="V2224" s="3">
        <f>IF(ISNUMBER(AVERAGE('20250815_ETF_Options_Exhibits'!V2220:V2224)),AVERAGE('20250815_ETF_Options_Exhibits'!V2220:V2224),"")</f>
        <v/>
      </c>
      <c r="W2224" s="3">
        <f>IF(ISNUMBER(AVERAGE('20250815_ETF_Options_Exhibits'!W2220:W2224)),AVERAGE('20250815_ETF_Options_Exhibits'!W2220:W2224),"")</f>
        <v/>
      </c>
      <c r="X2224" s="3">
        <f>IF(ISNUMBER(AVERAGE('20250815_ETF_Options_Exhibits'!X2220:X2224)),AVERAGE('20250815_ETF_Options_Exhibits'!X2220:X2224),"")</f>
        <v/>
      </c>
      <c r="Y2224" s="3">
        <f>IF(ISNUMBER(AVERAGE('20250815_ETF_Options_Exhibits'!Y2220:Y2224)),AVERAGE('20250815_ETF_Options_Exhibits'!Y2220:Y2224),"")</f>
        <v/>
      </c>
      <c r="Z2224" s="3">
        <f>IF(ISNUMBER(AVERAGE('20250815_ETF_Options_Exhibits'!Z2220:Z2224)),AVERAGE('20250815_ETF_Options_Exhibits'!Z2220:Z2224),"")</f>
        <v/>
      </c>
      <c r="AA2224" s="3">
        <f>IF(ISNUMBER(AVERAGE('20250815_ETF_Options_Exhibits'!AA2220:AA2224)),AVERAGE('20250815_ETF_Options_Exhibits'!AA2220:AA2224),"")</f>
        <v/>
      </c>
    </row>
    <row r="2225">
      <c r="A2225" s="1" t="n">
        <v>45230</v>
      </c>
      <c r="B2225" s="3">
        <f>IF(ISNUMBER(AVERAGE('20250815_ETF_Options_Exhibits'!B2221:B2225)),AVERAGE('20250815_ETF_Options_Exhibits'!B2221:B2225),"")</f>
        <v/>
      </c>
      <c r="C2225" s="3">
        <f>IF(ISNUMBER(AVERAGE('20250815_ETF_Options_Exhibits'!C2221:C2225)),AVERAGE('20250815_ETF_Options_Exhibits'!C2221:C2225),"")</f>
        <v/>
      </c>
      <c r="D2225" s="3">
        <f>IF(ISNUMBER(AVERAGE('20250815_ETF_Options_Exhibits'!D2221:D2225)),AVERAGE('20250815_ETF_Options_Exhibits'!D2221:D2225),"")</f>
        <v/>
      </c>
      <c r="E2225" s="3">
        <f>IF(ISNUMBER(AVERAGE('20250815_ETF_Options_Exhibits'!E2221:E2225)),AVERAGE('20250815_ETF_Options_Exhibits'!E2221:E2225),"")</f>
        <v/>
      </c>
      <c r="F2225" s="3">
        <f>IF(ISNUMBER(AVERAGE('20250815_ETF_Options_Exhibits'!F2221:F2225)),AVERAGE('20250815_ETF_Options_Exhibits'!F2221:F2225),"")</f>
        <v/>
      </c>
      <c r="G2225" s="3">
        <f>IF(ISNUMBER(AVERAGE('20250815_ETF_Options_Exhibits'!G2221:G2225)),AVERAGE('20250815_ETF_Options_Exhibits'!G2221:G2225),"")</f>
        <v/>
      </c>
      <c r="H2225" s="3">
        <f>IF(ISNUMBER(AVERAGE('20250815_ETF_Options_Exhibits'!H2221:H2225)),AVERAGE('20250815_ETF_Options_Exhibits'!H2221:H2225),"")</f>
        <v/>
      </c>
      <c r="I2225" s="3">
        <f>IF(ISNUMBER(AVERAGE('20250815_ETF_Options_Exhibits'!I2221:I2225)),AVERAGE('20250815_ETF_Options_Exhibits'!I2221:I2225),"")</f>
        <v/>
      </c>
      <c r="J2225" s="3">
        <f>IF(ISNUMBER(AVERAGE('20250815_ETF_Options_Exhibits'!J2221:J2225)),AVERAGE('20250815_ETF_Options_Exhibits'!J2221:J2225),"")</f>
        <v/>
      </c>
      <c r="K2225" s="3">
        <f>IF(ISNUMBER(AVERAGE('20250815_ETF_Options_Exhibits'!K2221:K2225)),AVERAGE('20250815_ETF_Options_Exhibits'!K2221:K2225),"")</f>
        <v/>
      </c>
      <c r="L2225" s="3">
        <f>IF(ISNUMBER(AVERAGE('20250815_ETF_Options_Exhibits'!L2221:L2225)),AVERAGE('20250815_ETF_Options_Exhibits'!L2221:L2225),"")</f>
        <v/>
      </c>
      <c r="M2225" s="3">
        <f>IF(ISNUMBER(AVERAGE('20250815_ETF_Options_Exhibits'!M2221:M2225)),AVERAGE('20250815_ETF_Options_Exhibits'!M2221:M2225),"")</f>
        <v/>
      </c>
      <c r="N2225" s="3">
        <f>IF(ISNUMBER(AVERAGE('20250815_ETF_Options_Exhibits'!N2221:N2225)),AVERAGE('20250815_ETF_Options_Exhibits'!N2221:N2225),"")</f>
        <v/>
      </c>
      <c r="O2225" s="3">
        <f>IF(ISNUMBER(AVERAGE('20250815_ETF_Options_Exhibits'!O2221:O2225)),AVERAGE('20250815_ETF_Options_Exhibits'!O2221:O2225),"")</f>
        <v/>
      </c>
      <c r="P2225" s="3">
        <f>IF(ISNUMBER(AVERAGE('20250815_ETF_Options_Exhibits'!P2221:P2225)),AVERAGE('20250815_ETF_Options_Exhibits'!P2221:P2225),"")</f>
        <v/>
      </c>
      <c r="Q2225" s="3">
        <f>IF(ISNUMBER(AVERAGE('20250815_ETF_Options_Exhibits'!Q2221:Q2225)),AVERAGE('20250815_ETF_Options_Exhibits'!Q2221:Q2225),"")</f>
        <v/>
      </c>
      <c r="R2225" s="3">
        <f>IF(ISNUMBER(AVERAGE('20250815_ETF_Options_Exhibits'!R2221:R2225)),AVERAGE('20250815_ETF_Options_Exhibits'!R2221:R2225),"")</f>
        <v/>
      </c>
      <c r="S2225" s="3">
        <f>IF(ISNUMBER(AVERAGE('20250815_ETF_Options_Exhibits'!S2221:S2225)),AVERAGE('20250815_ETF_Options_Exhibits'!S2221:S2225),"")</f>
        <v/>
      </c>
      <c r="T2225" s="3">
        <f>IF(ISNUMBER(AVERAGE('20250815_ETF_Options_Exhibits'!T2221:T2225)),AVERAGE('20250815_ETF_Options_Exhibits'!T2221:T2225),"")</f>
        <v/>
      </c>
      <c r="U2225" s="3">
        <f>IF(ISNUMBER(AVERAGE('20250815_ETF_Options_Exhibits'!U2221:U2225)),AVERAGE('20250815_ETF_Options_Exhibits'!U2221:U2225),"")</f>
        <v/>
      </c>
      <c r="V2225" s="3">
        <f>IF(ISNUMBER(AVERAGE('20250815_ETF_Options_Exhibits'!V2221:V2225)),AVERAGE('20250815_ETF_Options_Exhibits'!V2221:V2225),"")</f>
        <v/>
      </c>
      <c r="W2225" s="3">
        <f>IF(ISNUMBER(AVERAGE('20250815_ETF_Options_Exhibits'!W2221:W2225)),AVERAGE('20250815_ETF_Options_Exhibits'!W2221:W2225),"")</f>
        <v/>
      </c>
      <c r="X2225" s="3">
        <f>IF(ISNUMBER(AVERAGE('20250815_ETF_Options_Exhibits'!X2221:X2225)),AVERAGE('20250815_ETF_Options_Exhibits'!X2221:X2225),"")</f>
        <v/>
      </c>
      <c r="Y2225" s="3">
        <f>IF(ISNUMBER(AVERAGE('20250815_ETF_Options_Exhibits'!Y2221:Y2225)),AVERAGE('20250815_ETF_Options_Exhibits'!Y2221:Y2225),"")</f>
        <v/>
      </c>
      <c r="Z2225" s="3">
        <f>IF(ISNUMBER(AVERAGE('20250815_ETF_Options_Exhibits'!Z2221:Z2225)),AVERAGE('20250815_ETF_Options_Exhibits'!Z2221:Z2225),"")</f>
        <v/>
      </c>
      <c r="AA2225" s="3">
        <f>IF(ISNUMBER(AVERAGE('20250815_ETF_Options_Exhibits'!AA2221:AA2225)),AVERAGE('20250815_ETF_Options_Exhibits'!AA2221:AA2225),"")</f>
        <v/>
      </c>
    </row>
    <row r="2226">
      <c r="A2226" s="1" t="n">
        <v>45231</v>
      </c>
      <c r="B2226" s="3">
        <f>IF(ISNUMBER(AVERAGE('20250815_ETF_Options_Exhibits'!B2222:B2226)),AVERAGE('20250815_ETF_Options_Exhibits'!B2222:B2226),"")</f>
        <v/>
      </c>
      <c r="C2226" s="3">
        <f>IF(ISNUMBER(AVERAGE('20250815_ETF_Options_Exhibits'!C2222:C2226)),AVERAGE('20250815_ETF_Options_Exhibits'!C2222:C2226),"")</f>
        <v/>
      </c>
      <c r="D2226" s="3">
        <f>IF(ISNUMBER(AVERAGE('20250815_ETF_Options_Exhibits'!D2222:D2226)),AVERAGE('20250815_ETF_Options_Exhibits'!D2222:D2226),"")</f>
        <v/>
      </c>
      <c r="E2226" s="3">
        <f>IF(ISNUMBER(AVERAGE('20250815_ETF_Options_Exhibits'!E2222:E2226)),AVERAGE('20250815_ETF_Options_Exhibits'!E2222:E2226),"")</f>
        <v/>
      </c>
      <c r="F2226" s="3">
        <f>IF(ISNUMBER(AVERAGE('20250815_ETF_Options_Exhibits'!F2222:F2226)),AVERAGE('20250815_ETF_Options_Exhibits'!F2222:F2226),"")</f>
        <v/>
      </c>
      <c r="G2226" s="3">
        <f>IF(ISNUMBER(AVERAGE('20250815_ETF_Options_Exhibits'!G2222:G2226)),AVERAGE('20250815_ETF_Options_Exhibits'!G2222:G2226),"")</f>
        <v/>
      </c>
      <c r="H2226" s="3">
        <f>IF(ISNUMBER(AVERAGE('20250815_ETF_Options_Exhibits'!H2222:H2226)),AVERAGE('20250815_ETF_Options_Exhibits'!H2222:H2226),"")</f>
        <v/>
      </c>
      <c r="I2226" s="3">
        <f>IF(ISNUMBER(AVERAGE('20250815_ETF_Options_Exhibits'!I2222:I2226)),AVERAGE('20250815_ETF_Options_Exhibits'!I2222:I2226),"")</f>
        <v/>
      </c>
      <c r="J2226" s="3">
        <f>IF(ISNUMBER(AVERAGE('20250815_ETF_Options_Exhibits'!J2222:J2226)),AVERAGE('20250815_ETF_Options_Exhibits'!J2222:J2226),"")</f>
        <v/>
      </c>
      <c r="K2226" s="3">
        <f>IF(ISNUMBER(AVERAGE('20250815_ETF_Options_Exhibits'!K2222:K2226)),AVERAGE('20250815_ETF_Options_Exhibits'!K2222:K2226),"")</f>
        <v/>
      </c>
      <c r="L2226" s="3">
        <f>IF(ISNUMBER(AVERAGE('20250815_ETF_Options_Exhibits'!L2222:L2226)),AVERAGE('20250815_ETF_Options_Exhibits'!L2222:L2226),"")</f>
        <v/>
      </c>
      <c r="M2226" s="3">
        <f>IF(ISNUMBER(AVERAGE('20250815_ETF_Options_Exhibits'!M2222:M2226)),AVERAGE('20250815_ETF_Options_Exhibits'!M2222:M2226),"")</f>
        <v/>
      </c>
      <c r="N2226" s="3">
        <f>IF(ISNUMBER(AVERAGE('20250815_ETF_Options_Exhibits'!N2222:N2226)),AVERAGE('20250815_ETF_Options_Exhibits'!N2222:N2226),"")</f>
        <v/>
      </c>
      <c r="O2226" s="3">
        <f>IF(ISNUMBER(AVERAGE('20250815_ETF_Options_Exhibits'!O2222:O2226)),AVERAGE('20250815_ETF_Options_Exhibits'!O2222:O2226),"")</f>
        <v/>
      </c>
      <c r="P2226" s="3">
        <f>IF(ISNUMBER(AVERAGE('20250815_ETF_Options_Exhibits'!P2222:P2226)),AVERAGE('20250815_ETF_Options_Exhibits'!P2222:P2226),"")</f>
        <v/>
      </c>
      <c r="Q2226" s="3">
        <f>IF(ISNUMBER(AVERAGE('20250815_ETF_Options_Exhibits'!Q2222:Q2226)),AVERAGE('20250815_ETF_Options_Exhibits'!Q2222:Q2226),"")</f>
        <v/>
      </c>
      <c r="R2226" s="3">
        <f>IF(ISNUMBER(AVERAGE('20250815_ETF_Options_Exhibits'!R2222:R2226)),AVERAGE('20250815_ETF_Options_Exhibits'!R2222:R2226),"")</f>
        <v/>
      </c>
      <c r="S2226" s="3">
        <f>IF(ISNUMBER(AVERAGE('20250815_ETF_Options_Exhibits'!S2222:S2226)),AVERAGE('20250815_ETF_Options_Exhibits'!S2222:S2226),"")</f>
        <v/>
      </c>
      <c r="T2226" s="3">
        <f>IF(ISNUMBER(AVERAGE('20250815_ETF_Options_Exhibits'!T2222:T2226)),AVERAGE('20250815_ETF_Options_Exhibits'!T2222:T2226),"")</f>
        <v/>
      </c>
      <c r="U2226" s="3">
        <f>IF(ISNUMBER(AVERAGE('20250815_ETF_Options_Exhibits'!U2222:U2226)),AVERAGE('20250815_ETF_Options_Exhibits'!U2222:U2226),"")</f>
        <v/>
      </c>
      <c r="V2226" s="3">
        <f>IF(ISNUMBER(AVERAGE('20250815_ETF_Options_Exhibits'!V2222:V2226)),AVERAGE('20250815_ETF_Options_Exhibits'!V2222:V2226),"")</f>
        <v/>
      </c>
      <c r="W2226" s="3">
        <f>IF(ISNUMBER(AVERAGE('20250815_ETF_Options_Exhibits'!W2222:W2226)),AVERAGE('20250815_ETF_Options_Exhibits'!W2222:W2226),"")</f>
        <v/>
      </c>
      <c r="X2226" s="3">
        <f>IF(ISNUMBER(AVERAGE('20250815_ETF_Options_Exhibits'!X2222:X2226)),AVERAGE('20250815_ETF_Options_Exhibits'!X2222:X2226),"")</f>
        <v/>
      </c>
      <c r="Y2226" s="3">
        <f>IF(ISNUMBER(AVERAGE('20250815_ETF_Options_Exhibits'!Y2222:Y2226)),AVERAGE('20250815_ETF_Options_Exhibits'!Y2222:Y2226),"")</f>
        <v/>
      </c>
      <c r="Z2226" s="3">
        <f>IF(ISNUMBER(AVERAGE('20250815_ETF_Options_Exhibits'!Z2222:Z2226)),AVERAGE('20250815_ETF_Options_Exhibits'!Z2222:Z2226),"")</f>
        <v/>
      </c>
      <c r="AA2226" s="3">
        <f>IF(ISNUMBER(AVERAGE('20250815_ETF_Options_Exhibits'!AA2222:AA2226)),AVERAGE('20250815_ETF_Options_Exhibits'!AA2222:AA2226),"")</f>
        <v/>
      </c>
    </row>
    <row r="2227">
      <c r="A2227" s="1" t="n">
        <v>45232</v>
      </c>
      <c r="B2227" s="3">
        <f>IF(ISNUMBER(AVERAGE('20250815_ETF_Options_Exhibits'!B2223:B2227)),AVERAGE('20250815_ETF_Options_Exhibits'!B2223:B2227),"")</f>
        <v/>
      </c>
      <c r="C2227" s="3">
        <f>IF(ISNUMBER(AVERAGE('20250815_ETF_Options_Exhibits'!C2223:C2227)),AVERAGE('20250815_ETF_Options_Exhibits'!C2223:C2227),"")</f>
        <v/>
      </c>
      <c r="D2227" s="3">
        <f>IF(ISNUMBER(AVERAGE('20250815_ETF_Options_Exhibits'!D2223:D2227)),AVERAGE('20250815_ETF_Options_Exhibits'!D2223:D2227),"")</f>
        <v/>
      </c>
      <c r="E2227" s="3">
        <f>IF(ISNUMBER(AVERAGE('20250815_ETF_Options_Exhibits'!E2223:E2227)),AVERAGE('20250815_ETF_Options_Exhibits'!E2223:E2227),"")</f>
        <v/>
      </c>
      <c r="F2227" s="3">
        <f>IF(ISNUMBER(AVERAGE('20250815_ETF_Options_Exhibits'!F2223:F2227)),AVERAGE('20250815_ETF_Options_Exhibits'!F2223:F2227),"")</f>
        <v/>
      </c>
      <c r="G2227" s="3">
        <f>IF(ISNUMBER(AVERAGE('20250815_ETF_Options_Exhibits'!G2223:G2227)),AVERAGE('20250815_ETF_Options_Exhibits'!G2223:G2227),"")</f>
        <v/>
      </c>
      <c r="H2227" s="3">
        <f>IF(ISNUMBER(AVERAGE('20250815_ETF_Options_Exhibits'!H2223:H2227)),AVERAGE('20250815_ETF_Options_Exhibits'!H2223:H2227),"")</f>
        <v/>
      </c>
      <c r="I2227" s="3">
        <f>IF(ISNUMBER(AVERAGE('20250815_ETF_Options_Exhibits'!I2223:I2227)),AVERAGE('20250815_ETF_Options_Exhibits'!I2223:I2227),"")</f>
        <v/>
      </c>
      <c r="J2227" s="3">
        <f>IF(ISNUMBER(AVERAGE('20250815_ETF_Options_Exhibits'!J2223:J2227)),AVERAGE('20250815_ETF_Options_Exhibits'!J2223:J2227),"")</f>
        <v/>
      </c>
      <c r="K2227" s="3">
        <f>IF(ISNUMBER(AVERAGE('20250815_ETF_Options_Exhibits'!K2223:K2227)),AVERAGE('20250815_ETF_Options_Exhibits'!K2223:K2227),"")</f>
        <v/>
      </c>
      <c r="L2227" s="3">
        <f>IF(ISNUMBER(AVERAGE('20250815_ETF_Options_Exhibits'!L2223:L2227)),AVERAGE('20250815_ETF_Options_Exhibits'!L2223:L2227),"")</f>
        <v/>
      </c>
      <c r="M2227" s="3">
        <f>IF(ISNUMBER(AVERAGE('20250815_ETF_Options_Exhibits'!M2223:M2227)),AVERAGE('20250815_ETF_Options_Exhibits'!M2223:M2227),"")</f>
        <v/>
      </c>
      <c r="N2227" s="3">
        <f>IF(ISNUMBER(AVERAGE('20250815_ETF_Options_Exhibits'!N2223:N2227)),AVERAGE('20250815_ETF_Options_Exhibits'!N2223:N2227),"")</f>
        <v/>
      </c>
      <c r="O2227" s="3">
        <f>IF(ISNUMBER(AVERAGE('20250815_ETF_Options_Exhibits'!O2223:O2227)),AVERAGE('20250815_ETF_Options_Exhibits'!O2223:O2227),"")</f>
        <v/>
      </c>
      <c r="P2227" s="3">
        <f>IF(ISNUMBER(AVERAGE('20250815_ETF_Options_Exhibits'!P2223:P2227)),AVERAGE('20250815_ETF_Options_Exhibits'!P2223:P2227),"")</f>
        <v/>
      </c>
      <c r="Q2227" s="3">
        <f>IF(ISNUMBER(AVERAGE('20250815_ETF_Options_Exhibits'!Q2223:Q2227)),AVERAGE('20250815_ETF_Options_Exhibits'!Q2223:Q2227),"")</f>
        <v/>
      </c>
      <c r="R2227" s="3">
        <f>IF(ISNUMBER(AVERAGE('20250815_ETF_Options_Exhibits'!R2223:R2227)),AVERAGE('20250815_ETF_Options_Exhibits'!R2223:R2227),"")</f>
        <v/>
      </c>
      <c r="S2227" s="3">
        <f>IF(ISNUMBER(AVERAGE('20250815_ETF_Options_Exhibits'!S2223:S2227)),AVERAGE('20250815_ETF_Options_Exhibits'!S2223:S2227),"")</f>
        <v/>
      </c>
      <c r="T2227" s="3">
        <f>IF(ISNUMBER(AVERAGE('20250815_ETF_Options_Exhibits'!T2223:T2227)),AVERAGE('20250815_ETF_Options_Exhibits'!T2223:T2227),"")</f>
        <v/>
      </c>
      <c r="U2227" s="3">
        <f>IF(ISNUMBER(AVERAGE('20250815_ETF_Options_Exhibits'!U2223:U2227)),AVERAGE('20250815_ETF_Options_Exhibits'!U2223:U2227),"")</f>
        <v/>
      </c>
      <c r="V2227" s="3">
        <f>IF(ISNUMBER(AVERAGE('20250815_ETF_Options_Exhibits'!V2223:V2227)),AVERAGE('20250815_ETF_Options_Exhibits'!V2223:V2227),"")</f>
        <v/>
      </c>
      <c r="W2227" s="3">
        <f>IF(ISNUMBER(AVERAGE('20250815_ETF_Options_Exhibits'!W2223:W2227)),AVERAGE('20250815_ETF_Options_Exhibits'!W2223:W2227),"")</f>
        <v/>
      </c>
      <c r="X2227" s="3">
        <f>IF(ISNUMBER(AVERAGE('20250815_ETF_Options_Exhibits'!X2223:X2227)),AVERAGE('20250815_ETF_Options_Exhibits'!X2223:X2227),"")</f>
        <v/>
      </c>
      <c r="Y2227" s="3">
        <f>IF(ISNUMBER(AVERAGE('20250815_ETF_Options_Exhibits'!Y2223:Y2227)),AVERAGE('20250815_ETF_Options_Exhibits'!Y2223:Y2227),"")</f>
        <v/>
      </c>
      <c r="Z2227" s="3">
        <f>IF(ISNUMBER(AVERAGE('20250815_ETF_Options_Exhibits'!Z2223:Z2227)),AVERAGE('20250815_ETF_Options_Exhibits'!Z2223:Z2227),"")</f>
        <v/>
      </c>
      <c r="AA2227" s="3">
        <f>IF(ISNUMBER(AVERAGE('20250815_ETF_Options_Exhibits'!AA2223:AA2227)),AVERAGE('20250815_ETF_Options_Exhibits'!AA2223:AA2227),"")</f>
        <v/>
      </c>
    </row>
    <row r="2228">
      <c r="A2228" s="1" t="n">
        <v>45233</v>
      </c>
      <c r="B2228" s="3">
        <f>IF(ISNUMBER(AVERAGE('20250815_ETF_Options_Exhibits'!B2224:B2228)),AVERAGE('20250815_ETF_Options_Exhibits'!B2224:B2228),"")</f>
        <v/>
      </c>
      <c r="C2228" s="3">
        <f>IF(ISNUMBER(AVERAGE('20250815_ETF_Options_Exhibits'!C2224:C2228)),AVERAGE('20250815_ETF_Options_Exhibits'!C2224:C2228),"")</f>
        <v/>
      </c>
      <c r="D2228" s="3">
        <f>IF(ISNUMBER(AVERAGE('20250815_ETF_Options_Exhibits'!D2224:D2228)),AVERAGE('20250815_ETF_Options_Exhibits'!D2224:D2228),"")</f>
        <v/>
      </c>
      <c r="E2228" s="3">
        <f>IF(ISNUMBER(AVERAGE('20250815_ETF_Options_Exhibits'!E2224:E2228)),AVERAGE('20250815_ETF_Options_Exhibits'!E2224:E2228),"")</f>
        <v/>
      </c>
      <c r="F2228" s="3">
        <f>IF(ISNUMBER(AVERAGE('20250815_ETF_Options_Exhibits'!F2224:F2228)),AVERAGE('20250815_ETF_Options_Exhibits'!F2224:F2228),"")</f>
        <v/>
      </c>
      <c r="G2228" s="3">
        <f>IF(ISNUMBER(AVERAGE('20250815_ETF_Options_Exhibits'!G2224:G2228)),AVERAGE('20250815_ETF_Options_Exhibits'!G2224:G2228),"")</f>
        <v/>
      </c>
      <c r="H2228" s="3">
        <f>IF(ISNUMBER(AVERAGE('20250815_ETF_Options_Exhibits'!H2224:H2228)),AVERAGE('20250815_ETF_Options_Exhibits'!H2224:H2228),"")</f>
        <v/>
      </c>
      <c r="I2228" s="3">
        <f>IF(ISNUMBER(AVERAGE('20250815_ETF_Options_Exhibits'!I2224:I2228)),AVERAGE('20250815_ETF_Options_Exhibits'!I2224:I2228),"")</f>
        <v/>
      </c>
      <c r="J2228" s="3">
        <f>IF(ISNUMBER(AVERAGE('20250815_ETF_Options_Exhibits'!J2224:J2228)),AVERAGE('20250815_ETF_Options_Exhibits'!J2224:J2228),"")</f>
        <v/>
      </c>
      <c r="K2228" s="3">
        <f>IF(ISNUMBER(AVERAGE('20250815_ETF_Options_Exhibits'!K2224:K2228)),AVERAGE('20250815_ETF_Options_Exhibits'!K2224:K2228),"")</f>
        <v/>
      </c>
      <c r="L2228" s="3">
        <f>IF(ISNUMBER(AVERAGE('20250815_ETF_Options_Exhibits'!L2224:L2228)),AVERAGE('20250815_ETF_Options_Exhibits'!L2224:L2228),"")</f>
        <v/>
      </c>
      <c r="M2228" s="3">
        <f>IF(ISNUMBER(AVERAGE('20250815_ETF_Options_Exhibits'!M2224:M2228)),AVERAGE('20250815_ETF_Options_Exhibits'!M2224:M2228),"")</f>
        <v/>
      </c>
      <c r="N2228" s="3">
        <f>IF(ISNUMBER(AVERAGE('20250815_ETF_Options_Exhibits'!N2224:N2228)),AVERAGE('20250815_ETF_Options_Exhibits'!N2224:N2228),"")</f>
        <v/>
      </c>
      <c r="O2228" s="3">
        <f>IF(ISNUMBER(AVERAGE('20250815_ETF_Options_Exhibits'!O2224:O2228)),AVERAGE('20250815_ETF_Options_Exhibits'!O2224:O2228),"")</f>
        <v/>
      </c>
      <c r="P2228" s="3">
        <f>IF(ISNUMBER(AVERAGE('20250815_ETF_Options_Exhibits'!P2224:P2228)),AVERAGE('20250815_ETF_Options_Exhibits'!P2224:P2228),"")</f>
        <v/>
      </c>
      <c r="Q2228" s="3">
        <f>IF(ISNUMBER(AVERAGE('20250815_ETF_Options_Exhibits'!Q2224:Q2228)),AVERAGE('20250815_ETF_Options_Exhibits'!Q2224:Q2228),"")</f>
        <v/>
      </c>
      <c r="R2228" s="3">
        <f>IF(ISNUMBER(AVERAGE('20250815_ETF_Options_Exhibits'!R2224:R2228)),AVERAGE('20250815_ETF_Options_Exhibits'!R2224:R2228),"")</f>
        <v/>
      </c>
      <c r="S2228" s="3">
        <f>IF(ISNUMBER(AVERAGE('20250815_ETF_Options_Exhibits'!S2224:S2228)),AVERAGE('20250815_ETF_Options_Exhibits'!S2224:S2228),"")</f>
        <v/>
      </c>
      <c r="T2228" s="3">
        <f>IF(ISNUMBER(AVERAGE('20250815_ETF_Options_Exhibits'!T2224:T2228)),AVERAGE('20250815_ETF_Options_Exhibits'!T2224:T2228),"")</f>
        <v/>
      </c>
      <c r="U2228" s="3">
        <f>IF(ISNUMBER(AVERAGE('20250815_ETF_Options_Exhibits'!U2224:U2228)),AVERAGE('20250815_ETF_Options_Exhibits'!U2224:U2228),"")</f>
        <v/>
      </c>
      <c r="V2228" s="3">
        <f>IF(ISNUMBER(AVERAGE('20250815_ETF_Options_Exhibits'!V2224:V2228)),AVERAGE('20250815_ETF_Options_Exhibits'!V2224:V2228),"")</f>
        <v/>
      </c>
      <c r="W2228" s="3">
        <f>IF(ISNUMBER(AVERAGE('20250815_ETF_Options_Exhibits'!W2224:W2228)),AVERAGE('20250815_ETF_Options_Exhibits'!W2224:W2228),"")</f>
        <v/>
      </c>
      <c r="X2228" s="3">
        <f>IF(ISNUMBER(AVERAGE('20250815_ETF_Options_Exhibits'!X2224:X2228)),AVERAGE('20250815_ETF_Options_Exhibits'!X2224:X2228),"")</f>
        <v/>
      </c>
      <c r="Y2228" s="3">
        <f>IF(ISNUMBER(AVERAGE('20250815_ETF_Options_Exhibits'!Y2224:Y2228)),AVERAGE('20250815_ETF_Options_Exhibits'!Y2224:Y2228),"")</f>
        <v/>
      </c>
      <c r="Z2228" s="3">
        <f>IF(ISNUMBER(AVERAGE('20250815_ETF_Options_Exhibits'!Z2224:Z2228)),AVERAGE('20250815_ETF_Options_Exhibits'!Z2224:Z2228),"")</f>
        <v/>
      </c>
      <c r="AA2228" s="3">
        <f>IF(ISNUMBER(AVERAGE('20250815_ETF_Options_Exhibits'!AA2224:AA2228)),AVERAGE('20250815_ETF_Options_Exhibits'!AA2224:AA2228),"")</f>
        <v/>
      </c>
    </row>
    <row r="2229">
      <c r="A2229" s="1" t="n">
        <v>45236</v>
      </c>
      <c r="B2229" s="3">
        <f>IF(ISNUMBER(AVERAGE('20250815_ETF_Options_Exhibits'!B2225:B2229)),AVERAGE('20250815_ETF_Options_Exhibits'!B2225:B2229),"")</f>
        <v/>
      </c>
      <c r="C2229" s="3">
        <f>IF(ISNUMBER(AVERAGE('20250815_ETF_Options_Exhibits'!C2225:C2229)),AVERAGE('20250815_ETF_Options_Exhibits'!C2225:C2229),"")</f>
        <v/>
      </c>
      <c r="D2229" s="3">
        <f>IF(ISNUMBER(AVERAGE('20250815_ETF_Options_Exhibits'!D2225:D2229)),AVERAGE('20250815_ETF_Options_Exhibits'!D2225:D2229),"")</f>
        <v/>
      </c>
      <c r="E2229" s="3">
        <f>IF(ISNUMBER(AVERAGE('20250815_ETF_Options_Exhibits'!E2225:E2229)),AVERAGE('20250815_ETF_Options_Exhibits'!E2225:E2229),"")</f>
        <v/>
      </c>
      <c r="F2229" s="3">
        <f>IF(ISNUMBER(AVERAGE('20250815_ETF_Options_Exhibits'!F2225:F2229)),AVERAGE('20250815_ETF_Options_Exhibits'!F2225:F2229),"")</f>
        <v/>
      </c>
      <c r="G2229" s="3">
        <f>IF(ISNUMBER(AVERAGE('20250815_ETF_Options_Exhibits'!G2225:G2229)),AVERAGE('20250815_ETF_Options_Exhibits'!G2225:G2229),"")</f>
        <v/>
      </c>
      <c r="H2229" s="3">
        <f>IF(ISNUMBER(AVERAGE('20250815_ETF_Options_Exhibits'!H2225:H2229)),AVERAGE('20250815_ETF_Options_Exhibits'!H2225:H2229),"")</f>
        <v/>
      </c>
      <c r="I2229" s="3">
        <f>IF(ISNUMBER(AVERAGE('20250815_ETF_Options_Exhibits'!I2225:I2229)),AVERAGE('20250815_ETF_Options_Exhibits'!I2225:I2229),"")</f>
        <v/>
      </c>
      <c r="J2229" s="3">
        <f>IF(ISNUMBER(AVERAGE('20250815_ETF_Options_Exhibits'!J2225:J2229)),AVERAGE('20250815_ETF_Options_Exhibits'!J2225:J2229),"")</f>
        <v/>
      </c>
      <c r="K2229" s="3">
        <f>IF(ISNUMBER(AVERAGE('20250815_ETF_Options_Exhibits'!K2225:K2229)),AVERAGE('20250815_ETF_Options_Exhibits'!K2225:K2229),"")</f>
        <v/>
      </c>
      <c r="L2229" s="3">
        <f>IF(ISNUMBER(AVERAGE('20250815_ETF_Options_Exhibits'!L2225:L2229)),AVERAGE('20250815_ETF_Options_Exhibits'!L2225:L2229),"")</f>
        <v/>
      </c>
      <c r="M2229" s="3">
        <f>IF(ISNUMBER(AVERAGE('20250815_ETF_Options_Exhibits'!M2225:M2229)),AVERAGE('20250815_ETF_Options_Exhibits'!M2225:M2229),"")</f>
        <v/>
      </c>
      <c r="N2229" s="3">
        <f>IF(ISNUMBER(AVERAGE('20250815_ETF_Options_Exhibits'!N2225:N2229)),AVERAGE('20250815_ETF_Options_Exhibits'!N2225:N2229),"")</f>
        <v/>
      </c>
      <c r="O2229" s="3">
        <f>IF(ISNUMBER(AVERAGE('20250815_ETF_Options_Exhibits'!O2225:O2229)),AVERAGE('20250815_ETF_Options_Exhibits'!O2225:O2229),"")</f>
        <v/>
      </c>
      <c r="P2229" s="3">
        <f>IF(ISNUMBER(AVERAGE('20250815_ETF_Options_Exhibits'!P2225:P2229)),AVERAGE('20250815_ETF_Options_Exhibits'!P2225:P2229),"")</f>
        <v/>
      </c>
      <c r="Q2229" s="3">
        <f>IF(ISNUMBER(AVERAGE('20250815_ETF_Options_Exhibits'!Q2225:Q2229)),AVERAGE('20250815_ETF_Options_Exhibits'!Q2225:Q2229),"")</f>
        <v/>
      </c>
      <c r="R2229" s="3">
        <f>IF(ISNUMBER(AVERAGE('20250815_ETF_Options_Exhibits'!R2225:R2229)),AVERAGE('20250815_ETF_Options_Exhibits'!R2225:R2229),"")</f>
        <v/>
      </c>
      <c r="S2229" s="3">
        <f>IF(ISNUMBER(AVERAGE('20250815_ETF_Options_Exhibits'!S2225:S2229)),AVERAGE('20250815_ETF_Options_Exhibits'!S2225:S2229),"")</f>
        <v/>
      </c>
      <c r="T2229" s="3">
        <f>IF(ISNUMBER(AVERAGE('20250815_ETF_Options_Exhibits'!T2225:T2229)),AVERAGE('20250815_ETF_Options_Exhibits'!T2225:T2229),"")</f>
        <v/>
      </c>
      <c r="U2229" s="3">
        <f>IF(ISNUMBER(AVERAGE('20250815_ETF_Options_Exhibits'!U2225:U2229)),AVERAGE('20250815_ETF_Options_Exhibits'!U2225:U2229),"")</f>
        <v/>
      </c>
      <c r="V2229" s="3">
        <f>IF(ISNUMBER(AVERAGE('20250815_ETF_Options_Exhibits'!V2225:V2229)),AVERAGE('20250815_ETF_Options_Exhibits'!V2225:V2229),"")</f>
        <v/>
      </c>
      <c r="W2229" s="3">
        <f>IF(ISNUMBER(AVERAGE('20250815_ETF_Options_Exhibits'!W2225:W2229)),AVERAGE('20250815_ETF_Options_Exhibits'!W2225:W2229),"")</f>
        <v/>
      </c>
      <c r="X2229" s="3">
        <f>IF(ISNUMBER(AVERAGE('20250815_ETF_Options_Exhibits'!X2225:X2229)),AVERAGE('20250815_ETF_Options_Exhibits'!X2225:X2229),"")</f>
        <v/>
      </c>
      <c r="Y2229" s="3">
        <f>IF(ISNUMBER(AVERAGE('20250815_ETF_Options_Exhibits'!Y2225:Y2229)),AVERAGE('20250815_ETF_Options_Exhibits'!Y2225:Y2229),"")</f>
        <v/>
      </c>
      <c r="Z2229" s="3">
        <f>IF(ISNUMBER(AVERAGE('20250815_ETF_Options_Exhibits'!Z2225:Z2229)),AVERAGE('20250815_ETF_Options_Exhibits'!Z2225:Z2229),"")</f>
        <v/>
      </c>
      <c r="AA2229" s="3">
        <f>IF(ISNUMBER(AVERAGE('20250815_ETF_Options_Exhibits'!AA2225:AA2229)),AVERAGE('20250815_ETF_Options_Exhibits'!AA2225:AA2229),"")</f>
        <v/>
      </c>
    </row>
    <row r="2230">
      <c r="A2230" s="1" t="n">
        <v>45237</v>
      </c>
      <c r="B2230" s="3">
        <f>IF(ISNUMBER(AVERAGE('20250815_ETF_Options_Exhibits'!B2226:B2230)),AVERAGE('20250815_ETF_Options_Exhibits'!B2226:B2230),"")</f>
        <v/>
      </c>
      <c r="C2230" s="3">
        <f>IF(ISNUMBER(AVERAGE('20250815_ETF_Options_Exhibits'!C2226:C2230)),AVERAGE('20250815_ETF_Options_Exhibits'!C2226:C2230),"")</f>
        <v/>
      </c>
      <c r="D2230" s="3">
        <f>IF(ISNUMBER(AVERAGE('20250815_ETF_Options_Exhibits'!D2226:D2230)),AVERAGE('20250815_ETF_Options_Exhibits'!D2226:D2230),"")</f>
        <v/>
      </c>
      <c r="E2230" s="3">
        <f>IF(ISNUMBER(AVERAGE('20250815_ETF_Options_Exhibits'!E2226:E2230)),AVERAGE('20250815_ETF_Options_Exhibits'!E2226:E2230),"")</f>
        <v/>
      </c>
      <c r="F2230" s="3">
        <f>IF(ISNUMBER(AVERAGE('20250815_ETF_Options_Exhibits'!F2226:F2230)),AVERAGE('20250815_ETF_Options_Exhibits'!F2226:F2230),"")</f>
        <v/>
      </c>
      <c r="G2230" s="3">
        <f>IF(ISNUMBER(AVERAGE('20250815_ETF_Options_Exhibits'!G2226:G2230)),AVERAGE('20250815_ETF_Options_Exhibits'!G2226:G2230),"")</f>
        <v/>
      </c>
      <c r="H2230" s="3">
        <f>IF(ISNUMBER(AVERAGE('20250815_ETF_Options_Exhibits'!H2226:H2230)),AVERAGE('20250815_ETF_Options_Exhibits'!H2226:H2230),"")</f>
        <v/>
      </c>
      <c r="I2230" s="3">
        <f>IF(ISNUMBER(AVERAGE('20250815_ETF_Options_Exhibits'!I2226:I2230)),AVERAGE('20250815_ETF_Options_Exhibits'!I2226:I2230),"")</f>
        <v/>
      </c>
      <c r="J2230" s="3">
        <f>IF(ISNUMBER(AVERAGE('20250815_ETF_Options_Exhibits'!J2226:J2230)),AVERAGE('20250815_ETF_Options_Exhibits'!J2226:J2230),"")</f>
        <v/>
      </c>
      <c r="K2230" s="3">
        <f>IF(ISNUMBER(AVERAGE('20250815_ETF_Options_Exhibits'!K2226:K2230)),AVERAGE('20250815_ETF_Options_Exhibits'!K2226:K2230),"")</f>
        <v/>
      </c>
      <c r="L2230" s="3">
        <f>IF(ISNUMBER(AVERAGE('20250815_ETF_Options_Exhibits'!L2226:L2230)),AVERAGE('20250815_ETF_Options_Exhibits'!L2226:L2230),"")</f>
        <v/>
      </c>
      <c r="M2230" s="3">
        <f>IF(ISNUMBER(AVERAGE('20250815_ETF_Options_Exhibits'!M2226:M2230)),AVERAGE('20250815_ETF_Options_Exhibits'!M2226:M2230),"")</f>
        <v/>
      </c>
      <c r="N2230" s="3">
        <f>IF(ISNUMBER(AVERAGE('20250815_ETF_Options_Exhibits'!N2226:N2230)),AVERAGE('20250815_ETF_Options_Exhibits'!N2226:N2230),"")</f>
        <v/>
      </c>
      <c r="O2230" s="3">
        <f>IF(ISNUMBER(AVERAGE('20250815_ETF_Options_Exhibits'!O2226:O2230)),AVERAGE('20250815_ETF_Options_Exhibits'!O2226:O2230),"")</f>
        <v/>
      </c>
      <c r="P2230" s="3">
        <f>IF(ISNUMBER(AVERAGE('20250815_ETF_Options_Exhibits'!P2226:P2230)),AVERAGE('20250815_ETF_Options_Exhibits'!P2226:P2230),"")</f>
        <v/>
      </c>
      <c r="Q2230" s="3">
        <f>IF(ISNUMBER(AVERAGE('20250815_ETF_Options_Exhibits'!Q2226:Q2230)),AVERAGE('20250815_ETF_Options_Exhibits'!Q2226:Q2230),"")</f>
        <v/>
      </c>
      <c r="R2230" s="3">
        <f>IF(ISNUMBER(AVERAGE('20250815_ETF_Options_Exhibits'!R2226:R2230)),AVERAGE('20250815_ETF_Options_Exhibits'!R2226:R2230),"")</f>
        <v/>
      </c>
      <c r="S2230" s="3">
        <f>IF(ISNUMBER(AVERAGE('20250815_ETF_Options_Exhibits'!S2226:S2230)),AVERAGE('20250815_ETF_Options_Exhibits'!S2226:S2230),"")</f>
        <v/>
      </c>
      <c r="T2230" s="3">
        <f>IF(ISNUMBER(AVERAGE('20250815_ETF_Options_Exhibits'!T2226:T2230)),AVERAGE('20250815_ETF_Options_Exhibits'!T2226:T2230),"")</f>
        <v/>
      </c>
      <c r="U2230" s="3">
        <f>IF(ISNUMBER(AVERAGE('20250815_ETF_Options_Exhibits'!U2226:U2230)),AVERAGE('20250815_ETF_Options_Exhibits'!U2226:U2230),"")</f>
        <v/>
      </c>
      <c r="V2230" s="3">
        <f>IF(ISNUMBER(AVERAGE('20250815_ETF_Options_Exhibits'!V2226:V2230)),AVERAGE('20250815_ETF_Options_Exhibits'!V2226:V2230),"")</f>
        <v/>
      </c>
      <c r="W2230" s="3">
        <f>IF(ISNUMBER(AVERAGE('20250815_ETF_Options_Exhibits'!W2226:W2230)),AVERAGE('20250815_ETF_Options_Exhibits'!W2226:W2230),"")</f>
        <v/>
      </c>
      <c r="X2230" s="3">
        <f>IF(ISNUMBER(AVERAGE('20250815_ETF_Options_Exhibits'!X2226:X2230)),AVERAGE('20250815_ETF_Options_Exhibits'!X2226:X2230),"")</f>
        <v/>
      </c>
      <c r="Y2230" s="3">
        <f>IF(ISNUMBER(AVERAGE('20250815_ETF_Options_Exhibits'!Y2226:Y2230)),AVERAGE('20250815_ETF_Options_Exhibits'!Y2226:Y2230),"")</f>
        <v/>
      </c>
      <c r="Z2230" s="3">
        <f>IF(ISNUMBER(AVERAGE('20250815_ETF_Options_Exhibits'!Z2226:Z2230)),AVERAGE('20250815_ETF_Options_Exhibits'!Z2226:Z2230),"")</f>
        <v/>
      </c>
      <c r="AA2230" s="3">
        <f>IF(ISNUMBER(AVERAGE('20250815_ETF_Options_Exhibits'!AA2226:AA2230)),AVERAGE('20250815_ETF_Options_Exhibits'!AA2226:AA2230),"")</f>
        <v/>
      </c>
    </row>
    <row r="2231">
      <c r="A2231" s="1" t="n">
        <v>45238</v>
      </c>
      <c r="B2231" s="3">
        <f>IF(ISNUMBER(AVERAGE('20250815_ETF_Options_Exhibits'!B2227:B2231)),AVERAGE('20250815_ETF_Options_Exhibits'!B2227:B2231),"")</f>
        <v/>
      </c>
      <c r="C2231" s="3">
        <f>IF(ISNUMBER(AVERAGE('20250815_ETF_Options_Exhibits'!C2227:C2231)),AVERAGE('20250815_ETF_Options_Exhibits'!C2227:C2231),"")</f>
        <v/>
      </c>
      <c r="D2231" s="3">
        <f>IF(ISNUMBER(AVERAGE('20250815_ETF_Options_Exhibits'!D2227:D2231)),AVERAGE('20250815_ETF_Options_Exhibits'!D2227:D2231),"")</f>
        <v/>
      </c>
      <c r="E2231" s="3">
        <f>IF(ISNUMBER(AVERAGE('20250815_ETF_Options_Exhibits'!E2227:E2231)),AVERAGE('20250815_ETF_Options_Exhibits'!E2227:E2231),"")</f>
        <v/>
      </c>
      <c r="F2231" s="3">
        <f>IF(ISNUMBER(AVERAGE('20250815_ETF_Options_Exhibits'!F2227:F2231)),AVERAGE('20250815_ETF_Options_Exhibits'!F2227:F2231),"")</f>
        <v/>
      </c>
      <c r="G2231" s="3">
        <f>IF(ISNUMBER(AVERAGE('20250815_ETF_Options_Exhibits'!G2227:G2231)),AVERAGE('20250815_ETF_Options_Exhibits'!G2227:G2231),"")</f>
        <v/>
      </c>
      <c r="H2231" s="3">
        <f>IF(ISNUMBER(AVERAGE('20250815_ETF_Options_Exhibits'!H2227:H2231)),AVERAGE('20250815_ETF_Options_Exhibits'!H2227:H2231),"")</f>
        <v/>
      </c>
      <c r="I2231" s="3">
        <f>IF(ISNUMBER(AVERAGE('20250815_ETF_Options_Exhibits'!I2227:I2231)),AVERAGE('20250815_ETF_Options_Exhibits'!I2227:I2231),"")</f>
        <v/>
      </c>
      <c r="J2231" s="3">
        <f>IF(ISNUMBER(AVERAGE('20250815_ETF_Options_Exhibits'!J2227:J2231)),AVERAGE('20250815_ETF_Options_Exhibits'!J2227:J2231),"")</f>
        <v/>
      </c>
      <c r="K2231" s="3">
        <f>IF(ISNUMBER(AVERAGE('20250815_ETF_Options_Exhibits'!K2227:K2231)),AVERAGE('20250815_ETF_Options_Exhibits'!K2227:K2231),"")</f>
        <v/>
      </c>
      <c r="L2231" s="3">
        <f>IF(ISNUMBER(AVERAGE('20250815_ETF_Options_Exhibits'!L2227:L2231)),AVERAGE('20250815_ETF_Options_Exhibits'!L2227:L2231),"")</f>
        <v/>
      </c>
      <c r="M2231" s="3">
        <f>IF(ISNUMBER(AVERAGE('20250815_ETF_Options_Exhibits'!M2227:M2231)),AVERAGE('20250815_ETF_Options_Exhibits'!M2227:M2231),"")</f>
        <v/>
      </c>
      <c r="N2231" s="3">
        <f>IF(ISNUMBER(AVERAGE('20250815_ETF_Options_Exhibits'!N2227:N2231)),AVERAGE('20250815_ETF_Options_Exhibits'!N2227:N2231),"")</f>
        <v/>
      </c>
      <c r="O2231" s="3">
        <f>IF(ISNUMBER(AVERAGE('20250815_ETF_Options_Exhibits'!O2227:O2231)),AVERAGE('20250815_ETF_Options_Exhibits'!O2227:O2231),"")</f>
        <v/>
      </c>
      <c r="P2231" s="3">
        <f>IF(ISNUMBER(AVERAGE('20250815_ETF_Options_Exhibits'!P2227:P2231)),AVERAGE('20250815_ETF_Options_Exhibits'!P2227:P2231),"")</f>
        <v/>
      </c>
      <c r="Q2231" s="3">
        <f>IF(ISNUMBER(AVERAGE('20250815_ETF_Options_Exhibits'!Q2227:Q2231)),AVERAGE('20250815_ETF_Options_Exhibits'!Q2227:Q2231),"")</f>
        <v/>
      </c>
      <c r="R2231" s="3">
        <f>IF(ISNUMBER(AVERAGE('20250815_ETF_Options_Exhibits'!R2227:R2231)),AVERAGE('20250815_ETF_Options_Exhibits'!R2227:R2231),"")</f>
        <v/>
      </c>
      <c r="S2231" s="3">
        <f>IF(ISNUMBER(AVERAGE('20250815_ETF_Options_Exhibits'!S2227:S2231)),AVERAGE('20250815_ETF_Options_Exhibits'!S2227:S2231),"")</f>
        <v/>
      </c>
      <c r="T2231" s="3">
        <f>IF(ISNUMBER(AVERAGE('20250815_ETF_Options_Exhibits'!T2227:T2231)),AVERAGE('20250815_ETF_Options_Exhibits'!T2227:T2231),"")</f>
        <v/>
      </c>
      <c r="U2231" s="3">
        <f>IF(ISNUMBER(AVERAGE('20250815_ETF_Options_Exhibits'!U2227:U2231)),AVERAGE('20250815_ETF_Options_Exhibits'!U2227:U2231),"")</f>
        <v/>
      </c>
      <c r="V2231" s="3">
        <f>IF(ISNUMBER(AVERAGE('20250815_ETF_Options_Exhibits'!V2227:V2231)),AVERAGE('20250815_ETF_Options_Exhibits'!V2227:V2231),"")</f>
        <v/>
      </c>
      <c r="W2231" s="3">
        <f>IF(ISNUMBER(AVERAGE('20250815_ETF_Options_Exhibits'!W2227:W2231)),AVERAGE('20250815_ETF_Options_Exhibits'!W2227:W2231),"")</f>
        <v/>
      </c>
      <c r="X2231" s="3">
        <f>IF(ISNUMBER(AVERAGE('20250815_ETF_Options_Exhibits'!X2227:X2231)),AVERAGE('20250815_ETF_Options_Exhibits'!X2227:X2231),"")</f>
        <v/>
      </c>
      <c r="Y2231" s="3">
        <f>IF(ISNUMBER(AVERAGE('20250815_ETF_Options_Exhibits'!Y2227:Y2231)),AVERAGE('20250815_ETF_Options_Exhibits'!Y2227:Y2231),"")</f>
        <v/>
      </c>
      <c r="Z2231" s="3">
        <f>IF(ISNUMBER(AVERAGE('20250815_ETF_Options_Exhibits'!Z2227:Z2231)),AVERAGE('20250815_ETF_Options_Exhibits'!Z2227:Z2231),"")</f>
        <v/>
      </c>
      <c r="AA2231" s="3">
        <f>IF(ISNUMBER(AVERAGE('20250815_ETF_Options_Exhibits'!AA2227:AA2231)),AVERAGE('20250815_ETF_Options_Exhibits'!AA2227:AA2231),"")</f>
        <v/>
      </c>
    </row>
    <row r="2232">
      <c r="A2232" s="1" t="n">
        <v>45239</v>
      </c>
      <c r="B2232" s="3">
        <f>IF(ISNUMBER(AVERAGE('20250815_ETF_Options_Exhibits'!B2228:B2232)),AVERAGE('20250815_ETF_Options_Exhibits'!B2228:B2232),"")</f>
        <v/>
      </c>
      <c r="C2232" s="3">
        <f>IF(ISNUMBER(AVERAGE('20250815_ETF_Options_Exhibits'!C2228:C2232)),AVERAGE('20250815_ETF_Options_Exhibits'!C2228:C2232),"")</f>
        <v/>
      </c>
      <c r="D2232" s="3">
        <f>IF(ISNUMBER(AVERAGE('20250815_ETF_Options_Exhibits'!D2228:D2232)),AVERAGE('20250815_ETF_Options_Exhibits'!D2228:D2232),"")</f>
        <v/>
      </c>
      <c r="E2232" s="3">
        <f>IF(ISNUMBER(AVERAGE('20250815_ETF_Options_Exhibits'!E2228:E2232)),AVERAGE('20250815_ETF_Options_Exhibits'!E2228:E2232),"")</f>
        <v/>
      </c>
      <c r="F2232" s="3">
        <f>IF(ISNUMBER(AVERAGE('20250815_ETF_Options_Exhibits'!F2228:F2232)),AVERAGE('20250815_ETF_Options_Exhibits'!F2228:F2232),"")</f>
        <v/>
      </c>
      <c r="G2232" s="3">
        <f>IF(ISNUMBER(AVERAGE('20250815_ETF_Options_Exhibits'!G2228:G2232)),AVERAGE('20250815_ETF_Options_Exhibits'!G2228:G2232),"")</f>
        <v/>
      </c>
      <c r="H2232" s="3">
        <f>IF(ISNUMBER(AVERAGE('20250815_ETF_Options_Exhibits'!H2228:H2232)),AVERAGE('20250815_ETF_Options_Exhibits'!H2228:H2232),"")</f>
        <v/>
      </c>
      <c r="I2232" s="3">
        <f>IF(ISNUMBER(AVERAGE('20250815_ETF_Options_Exhibits'!I2228:I2232)),AVERAGE('20250815_ETF_Options_Exhibits'!I2228:I2232),"")</f>
        <v/>
      </c>
      <c r="J2232" s="3">
        <f>IF(ISNUMBER(AVERAGE('20250815_ETF_Options_Exhibits'!J2228:J2232)),AVERAGE('20250815_ETF_Options_Exhibits'!J2228:J2232),"")</f>
        <v/>
      </c>
      <c r="K2232" s="3">
        <f>IF(ISNUMBER(AVERAGE('20250815_ETF_Options_Exhibits'!K2228:K2232)),AVERAGE('20250815_ETF_Options_Exhibits'!K2228:K2232),"")</f>
        <v/>
      </c>
      <c r="L2232" s="3">
        <f>IF(ISNUMBER(AVERAGE('20250815_ETF_Options_Exhibits'!L2228:L2232)),AVERAGE('20250815_ETF_Options_Exhibits'!L2228:L2232),"")</f>
        <v/>
      </c>
      <c r="M2232" s="3">
        <f>IF(ISNUMBER(AVERAGE('20250815_ETF_Options_Exhibits'!M2228:M2232)),AVERAGE('20250815_ETF_Options_Exhibits'!M2228:M2232),"")</f>
        <v/>
      </c>
      <c r="N2232" s="3">
        <f>IF(ISNUMBER(AVERAGE('20250815_ETF_Options_Exhibits'!N2228:N2232)),AVERAGE('20250815_ETF_Options_Exhibits'!N2228:N2232),"")</f>
        <v/>
      </c>
      <c r="O2232" s="3">
        <f>IF(ISNUMBER(AVERAGE('20250815_ETF_Options_Exhibits'!O2228:O2232)),AVERAGE('20250815_ETF_Options_Exhibits'!O2228:O2232),"")</f>
        <v/>
      </c>
      <c r="P2232" s="3">
        <f>IF(ISNUMBER(AVERAGE('20250815_ETF_Options_Exhibits'!P2228:P2232)),AVERAGE('20250815_ETF_Options_Exhibits'!P2228:P2232),"")</f>
        <v/>
      </c>
      <c r="Q2232" s="3">
        <f>IF(ISNUMBER(AVERAGE('20250815_ETF_Options_Exhibits'!Q2228:Q2232)),AVERAGE('20250815_ETF_Options_Exhibits'!Q2228:Q2232),"")</f>
        <v/>
      </c>
      <c r="R2232" s="3">
        <f>IF(ISNUMBER(AVERAGE('20250815_ETF_Options_Exhibits'!R2228:R2232)),AVERAGE('20250815_ETF_Options_Exhibits'!R2228:R2232),"")</f>
        <v/>
      </c>
      <c r="S2232" s="3">
        <f>IF(ISNUMBER(AVERAGE('20250815_ETF_Options_Exhibits'!S2228:S2232)),AVERAGE('20250815_ETF_Options_Exhibits'!S2228:S2232),"")</f>
        <v/>
      </c>
      <c r="T2232" s="3">
        <f>IF(ISNUMBER(AVERAGE('20250815_ETF_Options_Exhibits'!T2228:T2232)),AVERAGE('20250815_ETF_Options_Exhibits'!T2228:T2232),"")</f>
        <v/>
      </c>
      <c r="U2232" s="3">
        <f>IF(ISNUMBER(AVERAGE('20250815_ETF_Options_Exhibits'!U2228:U2232)),AVERAGE('20250815_ETF_Options_Exhibits'!U2228:U2232),"")</f>
        <v/>
      </c>
      <c r="V2232" s="3">
        <f>IF(ISNUMBER(AVERAGE('20250815_ETF_Options_Exhibits'!V2228:V2232)),AVERAGE('20250815_ETF_Options_Exhibits'!V2228:V2232),"")</f>
        <v/>
      </c>
      <c r="W2232" s="3">
        <f>IF(ISNUMBER(AVERAGE('20250815_ETF_Options_Exhibits'!W2228:W2232)),AVERAGE('20250815_ETF_Options_Exhibits'!W2228:W2232),"")</f>
        <v/>
      </c>
      <c r="X2232" s="3">
        <f>IF(ISNUMBER(AVERAGE('20250815_ETF_Options_Exhibits'!X2228:X2232)),AVERAGE('20250815_ETF_Options_Exhibits'!X2228:X2232),"")</f>
        <v/>
      </c>
      <c r="Y2232" s="3">
        <f>IF(ISNUMBER(AVERAGE('20250815_ETF_Options_Exhibits'!Y2228:Y2232)),AVERAGE('20250815_ETF_Options_Exhibits'!Y2228:Y2232),"")</f>
        <v/>
      </c>
      <c r="Z2232" s="3">
        <f>IF(ISNUMBER(AVERAGE('20250815_ETF_Options_Exhibits'!Z2228:Z2232)),AVERAGE('20250815_ETF_Options_Exhibits'!Z2228:Z2232),"")</f>
        <v/>
      </c>
      <c r="AA2232" s="3">
        <f>IF(ISNUMBER(AVERAGE('20250815_ETF_Options_Exhibits'!AA2228:AA2232)),AVERAGE('20250815_ETF_Options_Exhibits'!AA2228:AA2232),"")</f>
        <v/>
      </c>
    </row>
    <row r="2233">
      <c r="A2233" s="1" t="n">
        <v>45240</v>
      </c>
      <c r="B2233" s="3">
        <f>IF(ISNUMBER(AVERAGE('20250815_ETF_Options_Exhibits'!B2229:B2233)),AVERAGE('20250815_ETF_Options_Exhibits'!B2229:B2233),"")</f>
        <v/>
      </c>
      <c r="C2233" s="3">
        <f>IF(ISNUMBER(AVERAGE('20250815_ETF_Options_Exhibits'!C2229:C2233)),AVERAGE('20250815_ETF_Options_Exhibits'!C2229:C2233),"")</f>
        <v/>
      </c>
      <c r="D2233" s="3">
        <f>IF(ISNUMBER(AVERAGE('20250815_ETF_Options_Exhibits'!D2229:D2233)),AVERAGE('20250815_ETF_Options_Exhibits'!D2229:D2233),"")</f>
        <v/>
      </c>
      <c r="E2233" s="3">
        <f>IF(ISNUMBER(AVERAGE('20250815_ETF_Options_Exhibits'!E2229:E2233)),AVERAGE('20250815_ETF_Options_Exhibits'!E2229:E2233),"")</f>
        <v/>
      </c>
      <c r="F2233" s="3">
        <f>IF(ISNUMBER(AVERAGE('20250815_ETF_Options_Exhibits'!F2229:F2233)),AVERAGE('20250815_ETF_Options_Exhibits'!F2229:F2233),"")</f>
        <v/>
      </c>
      <c r="G2233" s="3">
        <f>IF(ISNUMBER(AVERAGE('20250815_ETF_Options_Exhibits'!G2229:G2233)),AVERAGE('20250815_ETF_Options_Exhibits'!G2229:G2233),"")</f>
        <v/>
      </c>
      <c r="H2233" s="3">
        <f>IF(ISNUMBER(AVERAGE('20250815_ETF_Options_Exhibits'!H2229:H2233)),AVERAGE('20250815_ETF_Options_Exhibits'!H2229:H2233),"")</f>
        <v/>
      </c>
      <c r="I2233" s="3">
        <f>IF(ISNUMBER(AVERAGE('20250815_ETF_Options_Exhibits'!I2229:I2233)),AVERAGE('20250815_ETF_Options_Exhibits'!I2229:I2233),"")</f>
        <v/>
      </c>
      <c r="J2233" s="3">
        <f>IF(ISNUMBER(AVERAGE('20250815_ETF_Options_Exhibits'!J2229:J2233)),AVERAGE('20250815_ETF_Options_Exhibits'!J2229:J2233),"")</f>
        <v/>
      </c>
      <c r="K2233" s="3">
        <f>IF(ISNUMBER(AVERAGE('20250815_ETF_Options_Exhibits'!K2229:K2233)),AVERAGE('20250815_ETF_Options_Exhibits'!K2229:K2233),"")</f>
        <v/>
      </c>
      <c r="L2233" s="3">
        <f>IF(ISNUMBER(AVERAGE('20250815_ETF_Options_Exhibits'!L2229:L2233)),AVERAGE('20250815_ETF_Options_Exhibits'!L2229:L2233),"")</f>
        <v/>
      </c>
      <c r="M2233" s="3">
        <f>IF(ISNUMBER(AVERAGE('20250815_ETF_Options_Exhibits'!M2229:M2233)),AVERAGE('20250815_ETF_Options_Exhibits'!M2229:M2233),"")</f>
        <v/>
      </c>
      <c r="N2233" s="3">
        <f>IF(ISNUMBER(AVERAGE('20250815_ETF_Options_Exhibits'!N2229:N2233)),AVERAGE('20250815_ETF_Options_Exhibits'!N2229:N2233),"")</f>
        <v/>
      </c>
      <c r="O2233" s="3">
        <f>IF(ISNUMBER(AVERAGE('20250815_ETF_Options_Exhibits'!O2229:O2233)),AVERAGE('20250815_ETF_Options_Exhibits'!O2229:O2233),"")</f>
        <v/>
      </c>
      <c r="P2233" s="3">
        <f>IF(ISNUMBER(AVERAGE('20250815_ETF_Options_Exhibits'!P2229:P2233)),AVERAGE('20250815_ETF_Options_Exhibits'!P2229:P2233),"")</f>
        <v/>
      </c>
      <c r="Q2233" s="3">
        <f>IF(ISNUMBER(AVERAGE('20250815_ETF_Options_Exhibits'!Q2229:Q2233)),AVERAGE('20250815_ETF_Options_Exhibits'!Q2229:Q2233),"")</f>
        <v/>
      </c>
      <c r="R2233" s="3">
        <f>IF(ISNUMBER(AVERAGE('20250815_ETF_Options_Exhibits'!R2229:R2233)),AVERAGE('20250815_ETF_Options_Exhibits'!R2229:R2233),"")</f>
        <v/>
      </c>
      <c r="S2233" s="3">
        <f>IF(ISNUMBER(AVERAGE('20250815_ETF_Options_Exhibits'!S2229:S2233)),AVERAGE('20250815_ETF_Options_Exhibits'!S2229:S2233),"")</f>
        <v/>
      </c>
      <c r="T2233" s="3">
        <f>IF(ISNUMBER(AVERAGE('20250815_ETF_Options_Exhibits'!T2229:T2233)),AVERAGE('20250815_ETF_Options_Exhibits'!T2229:T2233),"")</f>
        <v/>
      </c>
      <c r="U2233" s="3">
        <f>IF(ISNUMBER(AVERAGE('20250815_ETF_Options_Exhibits'!U2229:U2233)),AVERAGE('20250815_ETF_Options_Exhibits'!U2229:U2233),"")</f>
        <v/>
      </c>
      <c r="V2233" s="3">
        <f>IF(ISNUMBER(AVERAGE('20250815_ETF_Options_Exhibits'!V2229:V2233)),AVERAGE('20250815_ETF_Options_Exhibits'!V2229:V2233),"")</f>
        <v/>
      </c>
      <c r="W2233" s="3">
        <f>IF(ISNUMBER(AVERAGE('20250815_ETF_Options_Exhibits'!W2229:W2233)),AVERAGE('20250815_ETF_Options_Exhibits'!W2229:W2233),"")</f>
        <v/>
      </c>
      <c r="X2233" s="3">
        <f>IF(ISNUMBER(AVERAGE('20250815_ETF_Options_Exhibits'!X2229:X2233)),AVERAGE('20250815_ETF_Options_Exhibits'!X2229:X2233),"")</f>
        <v/>
      </c>
      <c r="Y2233" s="3">
        <f>IF(ISNUMBER(AVERAGE('20250815_ETF_Options_Exhibits'!Y2229:Y2233)),AVERAGE('20250815_ETF_Options_Exhibits'!Y2229:Y2233),"")</f>
        <v/>
      </c>
      <c r="Z2233" s="3">
        <f>IF(ISNUMBER(AVERAGE('20250815_ETF_Options_Exhibits'!Z2229:Z2233)),AVERAGE('20250815_ETF_Options_Exhibits'!Z2229:Z2233),"")</f>
        <v/>
      </c>
      <c r="AA2233" s="3">
        <f>IF(ISNUMBER(AVERAGE('20250815_ETF_Options_Exhibits'!AA2229:AA2233)),AVERAGE('20250815_ETF_Options_Exhibits'!AA2229:AA2233),"")</f>
        <v/>
      </c>
    </row>
    <row r="2234">
      <c r="A2234" s="1" t="n">
        <v>45243</v>
      </c>
      <c r="B2234" s="3">
        <f>IF(ISNUMBER(AVERAGE('20250815_ETF_Options_Exhibits'!B2230:B2234)),AVERAGE('20250815_ETF_Options_Exhibits'!B2230:B2234),"")</f>
        <v/>
      </c>
      <c r="C2234" s="3">
        <f>IF(ISNUMBER(AVERAGE('20250815_ETF_Options_Exhibits'!C2230:C2234)),AVERAGE('20250815_ETF_Options_Exhibits'!C2230:C2234),"")</f>
        <v/>
      </c>
      <c r="D2234" s="3">
        <f>IF(ISNUMBER(AVERAGE('20250815_ETF_Options_Exhibits'!D2230:D2234)),AVERAGE('20250815_ETF_Options_Exhibits'!D2230:D2234),"")</f>
        <v/>
      </c>
      <c r="E2234" s="3">
        <f>IF(ISNUMBER(AVERAGE('20250815_ETF_Options_Exhibits'!E2230:E2234)),AVERAGE('20250815_ETF_Options_Exhibits'!E2230:E2234),"")</f>
        <v/>
      </c>
      <c r="F2234" s="3">
        <f>IF(ISNUMBER(AVERAGE('20250815_ETF_Options_Exhibits'!F2230:F2234)),AVERAGE('20250815_ETF_Options_Exhibits'!F2230:F2234),"")</f>
        <v/>
      </c>
      <c r="G2234" s="3">
        <f>IF(ISNUMBER(AVERAGE('20250815_ETF_Options_Exhibits'!G2230:G2234)),AVERAGE('20250815_ETF_Options_Exhibits'!G2230:G2234),"")</f>
        <v/>
      </c>
      <c r="H2234" s="3">
        <f>IF(ISNUMBER(AVERAGE('20250815_ETF_Options_Exhibits'!H2230:H2234)),AVERAGE('20250815_ETF_Options_Exhibits'!H2230:H2234),"")</f>
        <v/>
      </c>
      <c r="I2234" s="3">
        <f>IF(ISNUMBER(AVERAGE('20250815_ETF_Options_Exhibits'!I2230:I2234)),AVERAGE('20250815_ETF_Options_Exhibits'!I2230:I2234),"")</f>
        <v/>
      </c>
      <c r="J2234" s="3">
        <f>IF(ISNUMBER(AVERAGE('20250815_ETF_Options_Exhibits'!J2230:J2234)),AVERAGE('20250815_ETF_Options_Exhibits'!J2230:J2234),"")</f>
        <v/>
      </c>
      <c r="K2234" s="3">
        <f>IF(ISNUMBER(AVERAGE('20250815_ETF_Options_Exhibits'!K2230:K2234)),AVERAGE('20250815_ETF_Options_Exhibits'!K2230:K2234),"")</f>
        <v/>
      </c>
      <c r="L2234" s="3">
        <f>IF(ISNUMBER(AVERAGE('20250815_ETF_Options_Exhibits'!L2230:L2234)),AVERAGE('20250815_ETF_Options_Exhibits'!L2230:L2234),"")</f>
        <v/>
      </c>
      <c r="M2234" s="3">
        <f>IF(ISNUMBER(AVERAGE('20250815_ETF_Options_Exhibits'!M2230:M2234)),AVERAGE('20250815_ETF_Options_Exhibits'!M2230:M2234),"")</f>
        <v/>
      </c>
      <c r="N2234" s="3">
        <f>IF(ISNUMBER(AVERAGE('20250815_ETF_Options_Exhibits'!N2230:N2234)),AVERAGE('20250815_ETF_Options_Exhibits'!N2230:N2234),"")</f>
        <v/>
      </c>
      <c r="O2234" s="3">
        <f>IF(ISNUMBER(AVERAGE('20250815_ETF_Options_Exhibits'!O2230:O2234)),AVERAGE('20250815_ETF_Options_Exhibits'!O2230:O2234),"")</f>
        <v/>
      </c>
      <c r="P2234" s="3">
        <f>IF(ISNUMBER(AVERAGE('20250815_ETF_Options_Exhibits'!P2230:P2234)),AVERAGE('20250815_ETF_Options_Exhibits'!P2230:P2234),"")</f>
        <v/>
      </c>
      <c r="Q2234" s="3">
        <f>IF(ISNUMBER(AVERAGE('20250815_ETF_Options_Exhibits'!Q2230:Q2234)),AVERAGE('20250815_ETF_Options_Exhibits'!Q2230:Q2234),"")</f>
        <v/>
      </c>
      <c r="R2234" s="3">
        <f>IF(ISNUMBER(AVERAGE('20250815_ETF_Options_Exhibits'!R2230:R2234)),AVERAGE('20250815_ETF_Options_Exhibits'!R2230:R2234),"")</f>
        <v/>
      </c>
      <c r="S2234" s="3">
        <f>IF(ISNUMBER(AVERAGE('20250815_ETF_Options_Exhibits'!S2230:S2234)),AVERAGE('20250815_ETF_Options_Exhibits'!S2230:S2234),"")</f>
        <v/>
      </c>
      <c r="T2234" s="3">
        <f>IF(ISNUMBER(AVERAGE('20250815_ETF_Options_Exhibits'!T2230:T2234)),AVERAGE('20250815_ETF_Options_Exhibits'!T2230:T2234),"")</f>
        <v/>
      </c>
      <c r="U2234" s="3">
        <f>IF(ISNUMBER(AVERAGE('20250815_ETF_Options_Exhibits'!U2230:U2234)),AVERAGE('20250815_ETF_Options_Exhibits'!U2230:U2234),"")</f>
        <v/>
      </c>
      <c r="V2234" s="3">
        <f>IF(ISNUMBER(AVERAGE('20250815_ETF_Options_Exhibits'!V2230:V2234)),AVERAGE('20250815_ETF_Options_Exhibits'!V2230:V2234),"")</f>
        <v/>
      </c>
      <c r="W2234" s="3">
        <f>IF(ISNUMBER(AVERAGE('20250815_ETF_Options_Exhibits'!W2230:W2234)),AVERAGE('20250815_ETF_Options_Exhibits'!W2230:W2234),"")</f>
        <v/>
      </c>
      <c r="X2234" s="3">
        <f>IF(ISNUMBER(AVERAGE('20250815_ETF_Options_Exhibits'!X2230:X2234)),AVERAGE('20250815_ETF_Options_Exhibits'!X2230:X2234),"")</f>
        <v/>
      </c>
      <c r="Y2234" s="3">
        <f>IF(ISNUMBER(AVERAGE('20250815_ETF_Options_Exhibits'!Y2230:Y2234)),AVERAGE('20250815_ETF_Options_Exhibits'!Y2230:Y2234),"")</f>
        <v/>
      </c>
      <c r="Z2234" s="3">
        <f>IF(ISNUMBER(AVERAGE('20250815_ETF_Options_Exhibits'!Z2230:Z2234)),AVERAGE('20250815_ETF_Options_Exhibits'!Z2230:Z2234),"")</f>
        <v/>
      </c>
      <c r="AA2234" s="3">
        <f>IF(ISNUMBER(AVERAGE('20250815_ETF_Options_Exhibits'!AA2230:AA2234)),AVERAGE('20250815_ETF_Options_Exhibits'!AA2230:AA2234),"")</f>
        <v/>
      </c>
    </row>
    <row r="2235">
      <c r="A2235" s="1" t="n">
        <v>45244</v>
      </c>
      <c r="B2235" s="3">
        <f>IF(ISNUMBER(AVERAGE('20250815_ETF_Options_Exhibits'!B2231:B2235)),AVERAGE('20250815_ETF_Options_Exhibits'!B2231:B2235),"")</f>
        <v/>
      </c>
      <c r="C2235" s="3">
        <f>IF(ISNUMBER(AVERAGE('20250815_ETF_Options_Exhibits'!C2231:C2235)),AVERAGE('20250815_ETF_Options_Exhibits'!C2231:C2235),"")</f>
        <v/>
      </c>
      <c r="D2235" s="3">
        <f>IF(ISNUMBER(AVERAGE('20250815_ETF_Options_Exhibits'!D2231:D2235)),AVERAGE('20250815_ETF_Options_Exhibits'!D2231:D2235),"")</f>
        <v/>
      </c>
      <c r="E2235" s="3">
        <f>IF(ISNUMBER(AVERAGE('20250815_ETF_Options_Exhibits'!E2231:E2235)),AVERAGE('20250815_ETF_Options_Exhibits'!E2231:E2235),"")</f>
        <v/>
      </c>
      <c r="F2235" s="3">
        <f>IF(ISNUMBER(AVERAGE('20250815_ETF_Options_Exhibits'!F2231:F2235)),AVERAGE('20250815_ETF_Options_Exhibits'!F2231:F2235),"")</f>
        <v/>
      </c>
      <c r="G2235" s="3">
        <f>IF(ISNUMBER(AVERAGE('20250815_ETF_Options_Exhibits'!G2231:G2235)),AVERAGE('20250815_ETF_Options_Exhibits'!G2231:G2235),"")</f>
        <v/>
      </c>
      <c r="H2235" s="3">
        <f>IF(ISNUMBER(AVERAGE('20250815_ETF_Options_Exhibits'!H2231:H2235)),AVERAGE('20250815_ETF_Options_Exhibits'!H2231:H2235),"")</f>
        <v/>
      </c>
      <c r="I2235" s="3">
        <f>IF(ISNUMBER(AVERAGE('20250815_ETF_Options_Exhibits'!I2231:I2235)),AVERAGE('20250815_ETF_Options_Exhibits'!I2231:I2235),"")</f>
        <v/>
      </c>
      <c r="J2235" s="3">
        <f>IF(ISNUMBER(AVERAGE('20250815_ETF_Options_Exhibits'!J2231:J2235)),AVERAGE('20250815_ETF_Options_Exhibits'!J2231:J2235),"")</f>
        <v/>
      </c>
      <c r="K2235" s="3">
        <f>IF(ISNUMBER(AVERAGE('20250815_ETF_Options_Exhibits'!K2231:K2235)),AVERAGE('20250815_ETF_Options_Exhibits'!K2231:K2235),"")</f>
        <v/>
      </c>
      <c r="L2235" s="3">
        <f>IF(ISNUMBER(AVERAGE('20250815_ETF_Options_Exhibits'!L2231:L2235)),AVERAGE('20250815_ETF_Options_Exhibits'!L2231:L2235),"")</f>
        <v/>
      </c>
      <c r="M2235" s="3">
        <f>IF(ISNUMBER(AVERAGE('20250815_ETF_Options_Exhibits'!M2231:M2235)),AVERAGE('20250815_ETF_Options_Exhibits'!M2231:M2235),"")</f>
        <v/>
      </c>
      <c r="N2235" s="3">
        <f>IF(ISNUMBER(AVERAGE('20250815_ETF_Options_Exhibits'!N2231:N2235)),AVERAGE('20250815_ETF_Options_Exhibits'!N2231:N2235),"")</f>
        <v/>
      </c>
      <c r="O2235" s="3">
        <f>IF(ISNUMBER(AVERAGE('20250815_ETF_Options_Exhibits'!O2231:O2235)),AVERAGE('20250815_ETF_Options_Exhibits'!O2231:O2235),"")</f>
        <v/>
      </c>
      <c r="P2235" s="3">
        <f>IF(ISNUMBER(AVERAGE('20250815_ETF_Options_Exhibits'!P2231:P2235)),AVERAGE('20250815_ETF_Options_Exhibits'!P2231:P2235),"")</f>
        <v/>
      </c>
      <c r="Q2235" s="3">
        <f>IF(ISNUMBER(AVERAGE('20250815_ETF_Options_Exhibits'!Q2231:Q2235)),AVERAGE('20250815_ETF_Options_Exhibits'!Q2231:Q2235),"")</f>
        <v/>
      </c>
      <c r="R2235" s="3">
        <f>IF(ISNUMBER(AVERAGE('20250815_ETF_Options_Exhibits'!R2231:R2235)),AVERAGE('20250815_ETF_Options_Exhibits'!R2231:R2235),"")</f>
        <v/>
      </c>
      <c r="S2235" s="3">
        <f>IF(ISNUMBER(AVERAGE('20250815_ETF_Options_Exhibits'!S2231:S2235)),AVERAGE('20250815_ETF_Options_Exhibits'!S2231:S2235),"")</f>
        <v/>
      </c>
      <c r="T2235" s="3">
        <f>IF(ISNUMBER(AVERAGE('20250815_ETF_Options_Exhibits'!T2231:T2235)),AVERAGE('20250815_ETF_Options_Exhibits'!T2231:T2235),"")</f>
        <v/>
      </c>
      <c r="U2235" s="3">
        <f>IF(ISNUMBER(AVERAGE('20250815_ETF_Options_Exhibits'!U2231:U2235)),AVERAGE('20250815_ETF_Options_Exhibits'!U2231:U2235),"")</f>
        <v/>
      </c>
      <c r="V2235" s="3">
        <f>IF(ISNUMBER(AVERAGE('20250815_ETF_Options_Exhibits'!V2231:V2235)),AVERAGE('20250815_ETF_Options_Exhibits'!V2231:V2235),"")</f>
        <v/>
      </c>
      <c r="W2235" s="3">
        <f>IF(ISNUMBER(AVERAGE('20250815_ETF_Options_Exhibits'!W2231:W2235)),AVERAGE('20250815_ETF_Options_Exhibits'!W2231:W2235),"")</f>
        <v/>
      </c>
      <c r="X2235" s="3">
        <f>IF(ISNUMBER(AVERAGE('20250815_ETF_Options_Exhibits'!X2231:X2235)),AVERAGE('20250815_ETF_Options_Exhibits'!X2231:X2235),"")</f>
        <v/>
      </c>
      <c r="Y2235" s="3">
        <f>IF(ISNUMBER(AVERAGE('20250815_ETF_Options_Exhibits'!Y2231:Y2235)),AVERAGE('20250815_ETF_Options_Exhibits'!Y2231:Y2235),"")</f>
        <v/>
      </c>
      <c r="Z2235" s="3">
        <f>IF(ISNUMBER(AVERAGE('20250815_ETF_Options_Exhibits'!Z2231:Z2235)),AVERAGE('20250815_ETF_Options_Exhibits'!Z2231:Z2235),"")</f>
        <v/>
      </c>
      <c r="AA2235" s="3">
        <f>IF(ISNUMBER(AVERAGE('20250815_ETF_Options_Exhibits'!AA2231:AA2235)),AVERAGE('20250815_ETF_Options_Exhibits'!AA2231:AA2235),"")</f>
        <v/>
      </c>
    </row>
    <row r="2236">
      <c r="A2236" s="1" t="n">
        <v>45245</v>
      </c>
      <c r="B2236" s="3">
        <f>IF(ISNUMBER(AVERAGE('20250815_ETF_Options_Exhibits'!B2232:B2236)),AVERAGE('20250815_ETF_Options_Exhibits'!B2232:B2236),"")</f>
        <v/>
      </c>
      <c r="C2236" s="3">
        <f>IF(ISNUMBER(AVERAGE('20250815_ETF_Options_Exhibits'!C2232:C2236)),AVERAGE('20250815_ETF_Options_Exhibits'!C2232:C2236),"")</f>
        <v/>
      </c>
      <c r="D2236" s="3">
        <f>IF(ISNUMBER(AVERAGE('20250815_ETF_Options_Exhibits'!D2232:D2236)),AVERAGE('20250815_ETF_Options_Exhibits'!D2232:D2236),"")</f>
        <v/>
      </c>
      <c r="E2236" s="3">
        <f>IF(ISNUMBER(AVERAGE('20250815_ETF_Options_Exhibits'!E2232:E2236)),AVERAGE('20250815_ETF_Options_Exhibits'!E2232:E2236),"")</f>
        <v/>
      </c>
      <c r="F2236" s="3">
        <f>IF(ISNUMBER(AVERAGE('20250815_ETF_Options_Exhibits'!F2232:F2236)),AVERAGE('20250815_ETF_Options_Exhibits'!F2232:F2236),"")</f>
        <v/>
      </c>
      <c r="G2236" s="3">
        <f>IF(ISNUMBER(AVERAGE('20250815_ETF_Options_Exhibits'!G2232:G2236)),AVERAGE('20250815_ETF_Options_Exhibits'!G2232:G2236),"")</f>
        <v/>
      </c>
      <c r="H2236" s="3">
        <f>IF(ISNUMBER(AVERAGE('20250815_ETF_Options_Exhibits'!H2232:H2236)),AVERAGE('20250815_ETF_Options_Exhibits'!H2232:H2236),"")</f>
        <v/>
      </c>
      <c r="I2236" s="3">
        <f>IF(ISNUMBER(AVERAGE('20250815_ETF_Options_Exhibits'!I2232:I2236)),AVERAGE('20250815_ETF_Options_Exhibits'!I2232:I2236),"")</f>
        <v/>
      </c>
      <c r="J2236" s="3">
        <f>IF(ISNUMBER(AVERAGE('20250815_ETF_Options_Exhibits'!J2232:J2236)),AVERAGE('20250815_ETF_Options_Exhibits'!J2232:J2236),"")</f>
        <v/>
      </c>
      <c r="K2236" s="3">
        <f>IF(ISNUMBER(AVERAGE('20250815_ETF_Options_Exhibits'!K2232:K2236)),AVERAGE('20250815_ETF_Options_Exhibits'!K2232:K2236),"")</f>
        <v/>
      </c>
      <c r="L2236" s="3">
        <f>IF(ISNUMBER(AVERAGE('20250815_ETF_Options_Exhibits'!L2232:L2236)),AVERAGE('20250815_ETF_Options_Exhibits'!L2232:L2236),"")</f>
        <v/>
      </c>
      <c r="M2236" s="3">
        <f>IF(ISNUMBER(AVERAGE('20250815_ETF_Options_Exhibits'!M2232:M2236)),AVERAGE('20250815_ETF_Options_Exhibits'!M2232:M2236),"")</f>
        <v/>
      </c>
      <c r="N2236" s="3">
        <f>IF(ISNUMBER(AVERAGE('20250815_ETF_Options_Exhibits'!N2232:N2236)),AVERAGE('20250815_ETF_Options_Exhibits'!N2232:N2236),"")</f>
        <v/>
      </c>
      <c r="O2236" s="3">
        <f>IF(ISNUMBER(AVERAGE('20250815_ETF_Options_Exhibits'!O2232:O2236)),AVERAGE('20250815_ETF_Options_Exhibits'!O2232:O2236),"")</f>
        <v/>
      </c>
      <c r="P2236" s="3">
        <f>IF(ISNUMBER(AVERAGE('20250815_ETF_Options_Exhibits'!P2232:P2236)),AVERAGE('20250815_ETF_Options_Exhibits'!P2232:P2236),"")</f>
        <v/>
      </c>
      <c r="Q2236" s="3">
        <f>IF(ISNUMBER(AVERAGE('20250815_ETF_Options_Exhibits'!Q2232:Q2236)),AVERAGE('20250815_ETF_Options_Exhibits'!Q2232:Q2236),"")</f>
        <v/>
      </c>
      <c r="R2236" s="3">
        <f>IF(ISNUMBER(AVERAGE('20250815_ETF_Options_Exhibits'!R2232:R2236)),AVERAGE('20250815_ETF_Options_Exhibits'!R2232:R2236),"")</f>
        <v/>
      </c>
      <c r="S2236" s="3">
        <f>IF(ISNUMBER(AVERAGE('20250815_ETF_Options_Exhibits'!S2232:S2236)),AVERAGE('20250815_ETF_Options_Exhibits'!S2232:S2236),"")</f>
        <v/>
      </c>
      <c r="T2236" s="3">
        <f>IF(ISNUMBER(AVERAGE('20250815_ETF_Options_Exhibits'!T2232:T2236)),AVERAGE('20250815_ETF_Options_Exhibits'!T2232:T2236),"")</f>
        <v/>
      </c>
      <c r="U2236" s="3">
        <f>IF(ISNUMBER(AVERAGE('20250815_ETF_Options_Exhibits'!U2232:U2236)),AVERAGE('20250815_ETF_Options_Exhibits'!U2232:U2236),"")</f>
        <v/>
      </c>
      <c r="V2236" s="3">
        <f>IF(ISNUMBER(AVERAGE('20250815_ETF_Options_Exhibits'!V2232:V2236)),AVERAGE('20250815_ETF_Options_Exhibits'!V2232:V2236),"")</f>
        <v/>
      </c>
      <c r="W2236" s="3">
        <f>IF(ISNUMBER(AVERAGE('20250815_ETF_Options_Exhibits'!W2232:W2236)),AVERAGE('20250815_ETF_Options_Exhibits'!W2232:W2236),"")</f>
        <v/>
      </c>
      <c r="X2236" s="3">
        <f>IF(ISNUMBER(AVERAGE('20250815_ETF_Options_Exhibits'!X2232:X2236)),AVERAGE('20250815_ETF_Options_Exhibits'!X2232:X2236),"")</f>
        <v/>
      </c>
      <c r="Y2236" s="3">
        <f>IF(ISNUMBER(AVERAGE('20250815_ETF_Options_Exhibits'!Y2232:Y2236)),AVERAGE('20250815_ETF_Options_Exhibits'!Y2232:Y2236),"")</f>
        <v/>
      </c>
      <c r="Z2236" s="3">
        <f>IF(ISNUMBER(AVERAGE('20250815_ETF_Options_Exhibits'!Z2232:Z2236)),AVERAGE('20250815_ETF_Options_Exhibits'!Z2232:Z2236),"")</f>
        <v/>
      </c>
      <c r="AA2236" s="3">
        <f>IF(ISNUMBER(AVERAGE('20250815_ETF_Options_Exhibits'!AA2232:AA2236)),AVERAGE('20250815_ETF_Options_Exhibits'!AA2232:AA2236),"")</f>
        <v/>
      </c>
    </row>
    <row r="2237">
      <c r="A2237" s="1" t="n">
        <v>45246</v>
      </c>
      <c r="B2237" s="3">
        <f>IF(ISNUMBER(AVERAGE('20250815_ETF_Options_Exhibits'!B2233:B2237)),AVERAGE('20250815_ETF_Options_Exhibits'!B2233:B2237),"")</f>
        <v/>
      </c>
      <c r="C2237" s="3">
        <f>IF(ISNUMBER(AVERAGE('20250815_ETF_Options_Exhibits'!C2233:C2237)),AVERAGE('20250815_ETF_Options_Exhibits'!C2233:C2237),"")</f>
        <v/>
      </c>
      <c r="D2237" s="3">
        <f>IF(ISNUMBER(AVERAGE('20250815_ETF_Options_Exhibits'!D2233:D2237)),AVERAGE('20250815_ETF_Options_Exhibits'!D2233:D2237),"")</f>
        <v/>
      </c>
      <c r="E2237" s="3">
        <f>IF(ISNUMBER(AVERAGE('20250815_ETF_Options_Exhibits'!E2233:E2237)),AVERAGE('20250815_ETF_Options_Exhibits'!E2233:E2237),"")</f>
        <v/>
      </c>
      <c r="F2237" s="3">
        <f>IF(ISNUMBER(AVERAGE('20250815_ETF_Options_Exhibits'!F2233:F2237)),AVERAGE('20250815_ETF_Options_Exhibits'!F2233:F2237),"")</f>
        <v/>
      </c>
      <c r="G2237" s="3">
        <f>IF(ISNUMBER(AVERAGE('20250815_ETF_Options_Exhibits'!G2233:G2237)),AVERAGE('20250815_ETF_Options_Exhibits'!G2233:G2237),"")</f>
        <v/>
      </c>
      <c r="H2237" s="3">
        <f>IF(ISNUMBER(AVERAGE('20250815_ETF_Options_Exhibits'!H2233:H2237)),AVERAGE('20250815_ETF_Options_Exhibits'!H2233:H2237),"")</f>
        <v/>
      </c>
      <c r="I2237" s="3">
        <f>IF(ISNUMBER(AVERAGE('20250815_ETF_Options_Exhibits'!I2233:I2237)),AVERAGE('20250815_ETF_Options_Exhibits'!I2233:I2237),"")</f>
        <v/>
      </c>
      <c r="J2237" s="3">
        <f>IF(ISNUMBER(AVERAGE('20250815_ETF_Options_Exhibits'!J2233:J2237)),AVERAGE('20250815_ETF_Options_Exhibits'!J2233:J2237),"")</f>
        <v/>
      </c>
      <c r="K2237" s="3">
        <f>IF(ISNUMBER(AVERAGE('20250815_ETF_Options_Exhibits'!K2233:K2237)),AVERAGE('20250815_ETF_Options_Exhibits'!K2233:K2237),"")</f>
        <v/>
      </c>
      <c r="L2237" s="3">
        <f>IF(ISNUMBER(AVERAGE('20250815_ETF_Options_Exhibits'!L2233:L2237)),AVERAGE('20250815_ETF_Options_Exhibits'!L2233:L2237),"")</f>
        <v/>
      </c>
      <c r="M2237" s="3">
        <f>IF(ISNUMBER(AVERAGE('20250815_ETF_Options_Exhibits'!M2233:M2237)),AVERAGE('20250815_ETF_Options_Exhibits'!M2233:M2237),"")</f>
        <v/>
      </c>
      <c r="N2237" s="3">
        <f>IF(ISNUMBER(AVERAGE('20250815_ETF_Options_Exhibits'!N2233:N2237)),AVERAGE('20250815_ETF_Options_Exhibits'!N2233:N2237),"")</f>
        <v/>
      </c>
      <c r="O2237" s="3">
        <f>IF(ISNUMBER(AVERAGE('20250815_ETF_Options_Exhibits'!O2233:O2237)),AVERAGE('20250815_ETF_Options_Exhibits'!O2233:O2237),"")</f>
        <v/>
      </c>
      <c r="P2237" s="3">
        <f>IF(ISNUMBER(AVERAGE('20250815_ETF_Options_Exhibits'!P2233:P2237)),AVERAGE('20250815_ETF_Options_Exhibits'!P2233:P2237),"")</f>
        <v/>
      </c>
      <c r="Q2237" s="3">
        <f>IF(ISNUMBER(AVERAGE('20250815_ETF_Options_Exhibits'!Q2233:Q2237)),AVERAGE('20250815_ETF_Options_Exhibits'!Q2233:Q2237),"")</f>
        <v/>
      </c>
      <c r="R2237" s="3">
        <f>IF(ISNUMBER(AVERAGE('20250815_ETF_Options_Exhibits'!R2233:R2237)),AVERAGE('20250815_ETF_Options_Exhibits'!R2233:R2237),"")</f>
        <v/>
      </c>
      <c r="S2237" s="3">
        <f>IF(ISNUMBER(AVERAGE('20250815_ETF_Options_Exhibits'!S2233:S2237)),AVERAGE('20250815_ETF_Options_Exhibits'!S2233:S2237),"")</f>
        <v/>
      </c>
      <c r="T2237" s="3">
        <f>IF(ISNUMBER(AVERAGE('20250815_ETF_Options_Exhibits'!T2233:T2237)),AVERAGE('20250815_ETF_Options_Exhibits'!T2233:T2237),"")</f>
        <v/>
      </c>
      <c r="U2237" s="3">
        <f>IF(ISNUMBER(AVERAGE('20250815_ETF_Options_Exhibits'!U2233:U2237)),AVERAGE('20250815_ETF_Options_Exhibits'!U2233:U2237),"")</f>
        <v/>
      </c>
      <c r="V2237" s="3">
        <f>IF(ISNUMBER(AVERAGE('20250815_ETF_Options_Exhibits'!V2233:V2237)),AVERAGE('20250815_ETF_Options_Exhibits'!V2233:V2237),"")</f>
        <v/>
      </c>
      <c r="W2237" s="3">
        <f>IF(ISNUMBER(AVERAGE('20250815_ETF_Options_Exhibits'!W2233:W2237)),AVERAGE('20250815_ETF_Options_Exhibits'!W2233:W2237),"")</f>
        <v/>
      </c>
      <c r="X2237" s="3">
        <f>IF(ISNUMBER(AVERAGE('20250815_ETF_Options_Exhibits'!X2233:X2237)),AVERAGE('20250815_ETF_Options_Exhibits'!X2233:X2237),"")</f>
        <v/>
      </c>
      <c r="Y2237" s="3">
        <f>IF(ISNUMBER(AVERAGE('20250815_ETF_Options_Exhibits'!Y2233:Y2237)),AVERAGE('20250815_ETF_Options_Exhibits'!Y2233:Y2237),"")</f>
        <v/>
      </c>
      <c r="Z2237" s="3">
        <f>IF(ISNUMBER(AVERAGE('20250815_ETF_Options_Exhibits'!Z2233:Z2237)),AVERAGE('20250815_ETF_Options_Exhibits'!Z2233:Z2237),"")</f>
        <v/>
      </c>
      <c r="AA2237" s="3">
        <f>IF(ISNUMBER(AVERAGE('20250815_ETF_Options_Exhibits'!AA2233:AA2237)),AVERAGE('20250815_ETF_Options_Exhibits'!AA2233:AA2237),"")</f>
        <v/>
      </c>
    </row>
    <row r="2238">
      <c r="A2238" s="1" t="n">
        <v>45247</v>
      </c>
      <c r="B2238" s="3">
        <f>IF(ISNUMBER(AVERAGE('20250815_ETF_Options_Exhibits'!B2234:B2238)),AVERAGE('20250815_ETF_Options_Exhibits'!B2234:B2238),"")</f>
        <v/>
      </c>
      <c r="C2238" s="3">
        <f>IF(ISNUMBER(AVERAGE('20250815_ETF_Options_Exhibits'!C2234:C2238)),AVERAGE('20250815_ETF_Options_Exhibits'!C2234:C2238),"")</f>
        <v/>
      </c>
      <c r="D2238" s="3">
        <f>IF(ISNUMBER(AVERAGE('20250815_ETF_Options_Exhibits'!D2234:D2238)),AVERAGE('20250815_ETF_Options_Exhibits'!D2234:D2238),"")</f>
        <v/>
      </c>
      <c r="E2238" s="3">
        <f>IF(ISNUMBER(AVERAGE('20250815_ETF_Options_Exhibits'!E2234:E2238)),AVERAGE('20250815_ETF_Options_Exhibits'!E2234:E2238),"")</f>
        <v/>
      </c>
      <c r="F2238" s="3">
        <f>IF(ISNUMBER(AVERAGE('20250815_ETF_Options_Exhibits'!F2234:F2238)),AVERAGE('20250815_ETF_Options_Exhibits'!F2234:F2238),"")</f>
        <v/>
      </c>
      <c r="G2238" s="3">
        <f>IF(ISNUMBER(AVERAGE('20250815_ETF_Options_Exhibits'!G2234:G2238)),AVERAGE('20250815_ETF_Options_Exhibits'!G2234:G2238),"")</f>
        <v/>
      </c>
      <c r="H2238" s="3">
        <f>IF(ISNUMBER(AVERAGE('20250815_ETF_Options_Exhibits'!H2234:H2238)),AVERAGE('20250815_ETF_Options_Exhibits'!H2234:H2238),"")</f>
        <v/>
      </c>
      <c r="I2238" s="3">
        <f>IF(ISNUMBER(AVERAGE('20250815_ETF_Options_Exhibits'!I2234:I2238)),AVERAGE('20250815_ETF_Options_Exhibits'!I2234:I2238),"")</f>
        <v/>
      </c>
      <c r="J2238" s="3">
        <f>IF(ISNUMBER(AVERAGE('20250815_ETF_Options_Exhibits'!J2234:J2238)),AVERAGE('20250815_ETF_Options_Exhibits'!J2234:J2238),"")</f>
        <v/>
      </c>
      <c r="K2238" s="3">
        <f>IF(ISNUMBER(AVERAGE('20250815_ETF_Options_Exhibits'!K2234:K2238)),AVERAGE('20250815_ETF_Options_Exhibits'!K2234:K2238),"")</f>
        <v/>
      </c>
      <c r="L2238" s="3">
        <f>IF(ISNUMBER(AVERAGE('20250815_ETF_Options_Exhibits'!L2234:L2238)),AVERAGE('20250815_ETF_Options_Exhibits'!L2234:L2238),"")</f>
        <v/>
      </c>
      <c r="M2238" s="3">
        <f>IF(ISNUMBER(AVERAGE('20250815_ETF_Options_Exhibits'!M2234:M2238)),AVERAGE('20250815_ETF_Options_Exhibits'!M2234:M2238),"")</f>
        <v/>
      </c>
      <c r="N2238" s="3">
        <f>IF(ISNUMBER(AVERAGE('20250815_ETF_Options_Exhibits'!N2234:N2238)),AVERAGE('20250815_ETF_Options_Exhibits'!N2234:N2238),"")</f>
        <v/>
      </c>
      <c r="O2238" s="3">
        <f>IF(ISNUMBER(AVERAGE('20250815_ETF_Options_Exhibits'!O2234:O2238)),AVERAGE('20250815_ETF_Options_Exhibits'!O2234:O2238),"")</f>
        <v/>
      </c>
      <c r="P2238" s="3">
        <f>IF(ISNUMBER(AVERAGE('20250815_ETF_Options_Exhibits'!P2234:P2238)),AVERAGE('20250815_ETF_Options_Exhibits'!P2234:P2238),"")</f>
        <v/>
      </c>
      <c r="Q2238" s="3">
        <f>IF(ISNUMBER(AVERAGE('20250815_ETF_Options_Exhibits'!Q2234:Q2238)),AVERAGE('20250815_ETF_Options_Exhibits'!Q2234:Q2238),"")</f>
        <v/>
      </c>
      <c r="R2238" s="3">
        <f>IF(ISNUMBER(AVERAGE('20250815_ETF_Options_Exhibits'!R2234:R2238)),AVERAGE('20250815_ETF_Options_Exhibits'!R2234:R2238),"")</f>
        <v/>
      </c>
      <c r="S2238" s="3">
        <f>IF(ISNUMBER(AVERAGE('20250815_ETF_Options_Exhibits'!S2234:S2238)),AVERAGE('20250815_ETF_Options_Exhibits'!S2234:S2238),"")</f>
        <v/>
      </c>
      <c r="T2238" s="3">
        <f>IF(ISNUMBER(AVERAGE('20250815_ETF_Options_Exhibits'!T2234:T2238)),AVERAGE('20250815_ETF_Options_Exhibits'!T2234:T2238),"")</f>
        <v/>
      </c>
      <c r="U2238" s="3">
        <f>IF(ISNUMBER(AVERAGE('20250815_ETF_Options_Exhibits'!U2234:U2238)),AVERAGE('20250815_ETF_Options_Exhibits'!U2234:U2238),"")</f>
        <v/>
      </c>
      <c r="V2238" s="3">
        <f>IF(ISNUMBER(AVERAGE('20250815_ETF_Options_Exhibits'!V2234:V2238)),AVERAGE('20250815_ETF_Options_Exhibits'!V2234:V2238),"")</f>
        <v/>
      </c>
      <c r="W2238" s="3">
        <f>IF(ISNUMBER(AVERAGE('20250815_ETF_Options_Exhibits'!W2234:W2238)),AVERAGE('20250815_ETF_Options_Exhibits'!W2234:W2238),"")</f>
        <v/>
      </c>
      <c r="X2238" s="3">
        <f>IF(ISNUMBER(AVERAGE('20250815_ETF_Options_Exhibits'!X2234:X2238)),AVERAGE('20250815_ETF_Options_Exhibits'!X2234:X2238),"")</f>
        <v/>
      </c>
      <c r="Y2238" s="3">
        <f>IF(ISNUMBER(AVERAGE('20250815_ETF_Options_Exhibits'!Y2234:Y2238)),AVERAGE('20250815_ETF_Options_Exhibits'!Y2234:Y2238),"")</f>
        <v/>
      </c>
      <c r="Z2238" s="3">
        <f>IF(ISNUMBER(AVERAGE('20250815_ETF_Options_Exhibits'!Z2234:Z2238)),AVERAGE('20250815_ETF_Options_Exhibits'!Z2234:Z2238),"")</f>
        <v/>
      </c>
      <c r="AA2238" s="3">
        <f>IF(ISNUMBER(AVERAGE('20250815_ETF_Options_Exhibits'!AA2234:AA2238)),AVERAGE('20250815_ETF_Options_Exhibits'!AA2234:AA2238),"")</f>
        <v/>
      </c>
    </row>
    <row r="2239">
      <c r="A2239" s="1" t="n">
        <v>45250</v>
      </c>
      <c r="B2239" s="3">
        <f>IF(ISNUMBER(AVERAGE('20250815_ETF_Options_Exhibits'!B2235:B2239)),AVERAGE('20250815_ETF_Options_Exhibits'!B2235:B2239),"")</f>
        <v/>
      </c>
      <c r="C2239" s="3">
        <f>IF(ISNUMBER(AVERAGE('20250815_ETF_Options_Exhibits'!C2235:C2239)),AVERAGE('20250815_ETF_Options_Exhibits'!C2235:C2239),"")</f>
        <v/>
      </c>
      <c r="D2239" s="3">
        <f>IF(ISNUMBER(AVERAGE('20250815_ETF_Options_Exhibits'!D2235:D2239)),AVERAGE('20250815_ETF_Options_Exhibits'!D2235:D2239),"")</f>
        <v/>
      </c>
      <c r="E2239" s="3">
        <f>IF(ISNUMBER(AVERAGE('20250815_ETF_Options_Exhibits'!E2235:E2239)),AVERAGE('20250815_ETF_Options_Exhibits'!E2235:E2239),"")</f>
        <v/>
      </c>
      <c r="F2239" s="3">
        <f>IF(ISNUMBER(AVERAGE('20250815_ETF_Options_Exhibits'!F2235:F2239)),AVERAGE('20250815_ETF_Options_Exhibits'!F2235:F2239),"")</f>
        <v/>
      </c>
      <c r="G2239" s="3">
        <f>IF(ISNUMBER(AVERAGE('20250815_ETF_Options_Exhibits'!G2235:G2239)),AVERAGE('20250815_ETF_Options_Exhibits'!G2235:G2239),"")</f>
        <v/>
      </c>
      <c r="H2239" s="3">
        <f>IF(ISNUMBER(AVERAGE('20250815_ETF_Options_Exhibits'!H2235:H2239)),AVERAGE('20250815_ETF_Options_Exhibits'!H2235:H2239),"")</f>
        <v/>
      </c>
      <c r="I2239" s="3">
        <f>IF(ISNUMBER(AVERAGE('20250815_ETF_Options_Exhibits'!I2235:I2239)),AVERAGE('20250815_ETF_Options_Exhibits'!I2235:I2239),"")</f>
        <v/>
      </c>
      <c r="J2239" s="3">
        <f>IF(ISNUMBER(AVERAGE('20250815_ETF_Options_Exhibits'!J2235:J2239)),AVERAGE('20250815_ETF_Options_Exhibits'!J2235:J2239),"")</f>
        <v/>
      </c>
      <c r="K2239" s="3">
        <f>IF(ISNUMBER(AVERAGE('20250815_ETF_Options_Exhibits'!K2235:K2239)),AVERAGE('20250815_ETF_Options_Exhibits'!K2235:K2239),"")</f>
        <v/>
      </c>
      <c r="L2239" s="3">
        <f>IF(ISNUMBER(AVERAGE('20250815_ETF_Options_Exhibits'!L2235:L2239)),AVERAGE('20250815_ETF_Options_Exhibits'!L2235:L2239),"")</f>
        <v/>
      </c>
      <c r="M2239" s="3">
        <f>IF(ISNUMBER(AVERAGE('20250815_ETF_Options_Exhibits'!M2235:M2239)),AVERAGE('20250815_ETF_Options_Exhibits'!M2235:M2239),"")</f>
        <v/>
      </c>
      <c r="N2239" s="3">
        <f>IF(ISNUMBER(AVERAGE('20250815_ETF_Options_Exhibits'!N2235:N2239)),AVERAGE('20250815_ETF_Options_Exhibits'!N2235:N2239),"")</f>
        <v/>
      </c>
      <c r="O2239" s="3">
        <f>IF(ISNUMBER(AVERAGE('20250815_ETF_Options_Exhibits'!O2235:O2239)),AVERAGE('20250815_ETF_Options_Exhibits'!O2235:O2239),"")</f>
        <v/>
      </c>
      <c r="P2239" s="3">
        <f>IF(ISNUMBER(AVERAGE('20250815_ETF_Options_Exhibits'!P2235:P2239)),AVERAGE('20250815_ETF_Options_Exhibits'!P2235:P2239),"")</f>
        <v/>
      </c>
      <c r="Q2239" s="3">
        <f>IF(ISNUMBER(AVERAGE('20250815_ETF_Options_Exhibits'!Q2235:Q2239)),AVERAGE('20250815_ETF_Options_Exhibits'!Q2235:Q2239),"")</f>
        <v/>
      </c>
      <c r="R2239" s="3">
        <f>IF(ISNUMBER(AVERAGE('20250815_ETF_Options_Exhibits'!R2235:R2239)),AVERAGE('20250815_ETF_Options_Exhibits'!R2235:R2239),"")</f>
        <v/>
      </c>
      <c r="S2239" s="3">
        <f>IF(ISNUMBER(AVERAGE('20250815_ETF_Options_Exhibits'!S2235:S2239)),AVERAGE('20250815_ETF_Options_Exhibits'!S2235:S2239),"")</f>
        <v/>
      </c>
      <c r="T2239" s="3">
        <f>IF(ISNUMBER(AVERAGE('20250815_ETF_Options_Exhibits'!T2235:T2239)),AVERAGE('20250815_ETF_Options_Exhibits'!T2235:T2239),"")</f>
        <v/>
      </c>
      <c r="U2239" s="3">
        <f>IF(ISNUMBER(AVERAGE('20250815_ETF_Options_Exhibits'!U2235:U2239)),AVERAGE('20250815_ETF_Options_Exhibits'!U2235:U2239),"")</f>
        <v/>
      </c>
      <c r="V2239" s="3">
        <f>IF(ISNUMBER(AVERAGE('20250815_ETF_Options_Exhibits'!V2235:V2239)),AVERAGE('20250815_ETF_Options_Exhibits'!V2235:V2239),"")</f>
        <v/>
      </c>
      <c r="W2239" s="3">
        <f>IF(ISNUMBER(AVERAGE('20250815_ETF_Options_Exhibits'!W2235:W2239)),AVERAGE('20250815_ETF_Options_Exhibits'!W2235:W2239),"")</f>
        <v/>
      </c>
      <c r="X2239" s="3">
        <f>IF(ISNUMBER(AVERAGE('20250815_ETF_Options_Exhibits'!X2235:X2239)),AVERAGE('20250815_ETF_Options_Exhibits'!X2235:X2239),"")</f>
        <v/>
      </c>
      <c r="Y2239" s="3">
        <f>IF(ISNUMBER(AVERAGE('20250815_ETF_Options_Exhibits'!Y2235:Y2239)),AVERAGE('20250815_ETF_Options_Exhibits'!Y2235:Y2239),"")</f>
        <v/>
      </c>
      <c r="Z2239" s="3">
        <f>IF(ISNUMBER(AVERAGE('20250815_ETF_Options_Exhibits'!Z2235:Z2239)),AVERAGE('20250815_ETF_Options_Exhibits'!Z2235:Z2239),"")</f>
        <v/>
      </c>
      <c r="AA2239" s="3">
        <f>IF(ISNUMBER(AVERAGE('20250815_ETF_Options_Exhibits'!AA2235:AA2239)),AVERAGE('20250815_ETF_Options_Exhibits'!AA2235:AA2239),"")</f>
        <v/>
      </c>
    </row>
    <row r="2240">
      <c r="A2240" s="1" t="n">
        <v>45251</v>
      </c>
      <c r="B2240" s="3">
        <f>IF(ISNUMBER(AVERAGE('20250815_ETF_Options_Exhibits'!B2236:B2240)),AVERAGE('20250815_ETF_Options_Exhibits'!B2236:B2240),"")</f>
        <v/>
      </c>
      <c r="C2240" s="3">
        <f>IF(ISNUMBER(AVERAGE('20250815_ETF_Options_Exhibits'!C2236:C2240)),AVERAGE('20250815_ETF_Options_Exhibits'!C2236:C2240),"")</f>
        <v/>
      </c>
      <c r="D2240" s="3">
        <f>IF(ISNUMBER(AVERAGE('20250815_ETF_Options_Exhibits'!D2236:D2240)),AVERAGE('20250815_ETF_Options_Exhibits'!D2236:D2240),"")</f>
        <v/>
      </c>
      <c r="E2240" s="3">
        <f>IF(ISNUMBER(AVERAGE('20250815_ETF_Options_Exhibits'!E2236:E2240)),AVERAGE('20250815_ETF_Options_Exhibits'!E2236:E2240),"")</f>
        <v/>
      </c>
      <c r="F2240" s="3">
        <f>IF(ISNUMBER(AVERAGE('20250815_ETF_Options_Exhibits'!F2236:F2240)),AVERAGE('20250815_ETF_Options_Exhibits'!F2236:F2240),"")</f>
        <v/>
      </c>
      <c r="G2240" s="3">
        <f>IF(ISNUMBER(AVERAGE('20250815_ETF_Options_Exhibits'!G2236:G2240)),AVERAGE('20250815_ETF_Options_Exhibits'!G2236:G2240),"")</f>
        <v/>
      </c>
      <c r="H2240" s="3">
        <f>IF(ISNUMBER(AVERAGE('20250815_ETF_Options_Exhibits'!H2236:H2240)),AVERAGE('20250815_ETF_Options_Exhibits'!H2236:H2240),"")</f>
        <v/>
      </c>
      <c r="I2240" s="3">
        <f>IF(ISNUMBER(AVERAGE('20250815_ETF_Options_Exhibits'!I2236:I2240)),AVERAGE('20250815_ETF_Options_Exhibits'!I2236:I2240),"")</f>
        <v/>
      </c>
      <c r="J2240" s="3">
        <f>IF(ISNUMBER(AVERAGE('20250815_ETF_Options_Exhibits'!J2236:J2240)),AVERAGE('20250815_ETF_Options_Exhibits'!J2236:J2240),"")</f>
        <v/>
      </c>
      <c r="K2240" s="3">
        <f>IF(ISNUMBER(AVERAGE('20250815_ETF_Options_Exhibits'!K2236:K2240)),AVERAGE('20250815_ETF_Options_Exhibits'!K2236:K2240),"")</f>
        <v/>
      </c>
      <c r="L2240" s="3">
        <f>IF(ISNUMBER(AVERAGE('20250815_ETF_Options_Exhibits'!L2236:L2240)),AVERAGE('20250815_ETF_Options_Exhibits'!L2236:L2240),"")</f>
        <v/>
      </c>
      <c r="M2240" s="3">
        <f>IF(ISNUMBER(AVERAGE('20250815_ETF_Options_Exhibits'!M2236:M2240)),AVERAGE('20250815_ETF_Options_Exhibits'!M2236:M2240),"")</f>
        <v/>
      </c>
      <c r="N2240" s="3">
        <f>IF(ISNUMBER(AVERAGE('20250815_ETF_Options_Exhibits'!N2236:N2240)),AVERAGE('20250815_ETF_Options_Exhibits'!N2236:N2240),"")</f>
        <v/>
      </c>
      <c r="O2240" s="3">
        <f>IF(ISNUMBER(AVERAGE('20250815_ETF_Options_Exhibits'!O2236:O2240)),AVERAGE('20250815_ETF_Options_Exhibits'!O2236:O2240),"")</f>
        <v/>
      </c>
      <c r="P2240" s="3">
        <f>IF(ISNUMBER(AVERAGE('20250815_ETF_Options_Exhibits'!P2236:P2240)),AVERAGE('20250815_ETF_Options_Exhibits'!P2236:P2240),"")</f>
        <v/>
      </c>
      <c r="Q2240" s="3">
        <f>IF(ISNUMBER(AVERAGE('20250815_ETF_Options_Exhibits'!Q2236:Q2240)),AVERAGE('20250815_ETF_Options_Exhibits'!Q2236:Q2240),"")</f>
        <v/>
      </c>
      <c r="R2240" s="3">
        <f>IF(ISNUMBER(AVERAGE('20250815_ETF_Options_Exhibits'!R2236:R2240)),AVERAGE('20250815_ETF_Options_Exhibits'!R2236:R2240),"")</f>
        <v/>
      </c>
      <c r="S2240" s="3">
        <f>IF(ISNUMBER(AVERAGE('20250815_ETF_Options_Exhibits'!S2236:S2240)),AVERAGE('20250815_ETF_Options_Exhibits'!S2236:S2240),"")</f>
        <v/>
      </c>
      <c r="T2240" s="3">
        <f>IF(ISNUMBER(AVERAGE('20250815_ETF_Options_Exhibits'!T2236:T2240)),AVERAGE('20250815_ETF_Options_Exhibits'!T2236:T2240),"")</f>
        <v/>
      </c>
      <c r="U2240" s="3">
        <f>IF(ISNUMBER(AVERAGE('20250815_ETF_Options_Exhibits'!U2236:U2240)),AVERAGE('20250815_ETF_Options_Exhibits'!U2236:U2240),"")</f>
        <v/>
      </c>
      <c r="V2240" s="3">
        <f>IF(ISNUMBER(AVERAGE('20250815_ETF_Options_Exhibits'!V2236:V2240)),AVERAGE('20250815_ETF_Options_Exhibits'!V2236:V2240),"")</f>
        <v/>
      </c>
      <c r="W2240" s="3">
        <f>IF(ISNUMBER(AVERAGE('20250815_ETF_Options_Exhibits'!W2236:W2240)),AVERAGE('20250815_ETF_Options_Exhibits'!W2236:W2240),"")</f>
        <v/>
      </c>
      <c r="X2240" s="3">
        <f>IF(ISNUMBER(AVERAGE('20250815_ETF_Options_Exhibits'!X2236:X2240)),AVERAGE('20250815_ETF_Options_Exhibits'!X2236:X2240),"")</f>
        <v/>
      </c>
      <c r="Y2240" s="3">
        <f>IF(ISNUMBER(AVERAGE('20250815_ETF_Options_Exhibits'!Y2236:Y2240)),AVERAGE('20250815_ETF_Options_Exhibits'!Y2236:Y2240),"")</f>
        <v/>
      </c>
      <c r="Z2240" s="3">
        <f>IF(ISNUMBER(AVERAGE('20250815_ETF_Options_Exhibits'!Z2236:Z2240)),AVERAGE('20250815_ETF_Options_Exhibits'!Z2236:Z2240),"")</f>
        <v/>
      </c>
      <c r="AA2240" s="3">
        <f>IF(ISNUMBER(AVERAGE('20250815_ETF_Options_Exhibits'!AA2236:AA2240)),AVERAGE('20250815_ETF_Options_Exhibits'!AA2236:AA2240),"")</f>
        <v/>
      </c>
    </row>
    <row r="2241">
      <c r="A2241" s="1" t="n">
        <v>45252</v>
      </c>
      <c r="B2241" s="3">
        <f>IF(ISNUMBER(AVERAGE('20250815_ETF_Options_Exhibits'!B2237:B2241)),AVERAGE('20250815_ETF_Options_Exhibits'!B2237:B2241),"")</f>
        <v/>
      </c>
      <c r="C2241" s="3">
        <f>IF(ISNUMBER(AVERAGE('20250815_ETF_Options_Exhibits'!C2237:C2241)),AVERAGE('20250815_ETF_Options_Exhibits'!C2237:C2241),"")</f>
        <v/>
      </c>
      <c r="D2241" s="3">
        <f>IF(ISNUMBER(AVERAGE('20250815_ETF_Options_Exhibits'!D2237:D2241)),AVERAGE('20250815_ETF_Options_Exhibits'!D2237:D2241),"")</f>
        <v/>
      </c>
      <c r="E2241" s="3">
        <f>IF(ISNUMBER(AVERAGE('20250815_ETF_Options_Exhibits'!E2237:E2241)),AVERAGE('20250815_ETF_Options_Exhibits'!E2237:E2241),"")</f>
        <v/>
      </c>
      <c r="F2241" s="3">
        <f>IF(ISNUMBER(AVERAGE('20250815_ETF_Options_Exhibits'!F2237:F2241)),AVERAGE('20250815_ETF_Options_Exhibits'!F2237:F2241),"")</f>
        <v/>
      </c>
      <c r="G2241" s="3">
        <f>IF(ISNUMBER(AVERAGE('20250815_ETF_Options_Exhibits'!G2237:G2241)),AVERAGE('20250815_ETF_Options_Exhibits'!G2237:G2241),"")</f>
        <v/>
      </c>
      <c r="H2241" s="3">
        <f>IF(ISNUMBER(AVERAGE('20250815_ETF_Options_Exhibits'!H2237:H2241)),AVERAGE('20250815_ETF_Options_Exhibits'!H2237:H2241),"")</f>
        <v/>
      </c>
      <c r="I2241" s="3">
        <f>IF(ISNUMBER(AVERAGE('20250815_ETF_Options_Exhibits'!I2237:I2241)),AVERAGE('20250815_ETF_Options_Exhibits'!I2237:I2241),"")</f>
        <v/>
      </c>
      <c r="J2241" s="3">
        <f>IF(ISNUMBER(AVERAGE('20250815_ETF_Options_Exhibits'!J2237:J2241)),AVERAGE('20250815_ETF_Options_Exhibits'!J2237:J2241),"")</f>
        <v/>
      </c>
      <c r="K2241" s="3">
        <f>IF(ISNUMBER(AVERAGE('20250815_ETF_Options_Exhibits'!K2237:K2241)),AVERAGE('20250815_ETF_Options_Exhibits'!K2237:K2241),"")</f>
        <v/>
      </c>
      <c r="L2241" s="3">
        <f>IF(ISNUMBER(AVERAGE('20250815_ETF_Options_Exhibits'!L2237:L2241)),AVERAGE('20250815_ETF_Options_Exhibits'!L2237:L2241),"")</f>
        <v/>
      </c>
      <c r="M2241" s="3">
        <f>IF(ISNUMBER(AVERAGE('20250815_ETF_Options_Exhibits'!M2237:M2241)),AVERAGE('20250815_ETF_Options_Exhibits'!M2237:M2241),"")</f>
        <v/>
      </c>
      <c r="N2241" s="3">
        <f>IF(ISNUMBER(AVERAGE('20250815_ETF_Options_Exhibits'!N2237:N2241)),AVERAGE('20250815_ETF_Options_Exhibits'!N2237:N2241),"")</f>
        <v/>
      </c>
      <c r="O2241" s="3">
        <f>IF(ISNUMBER(AVERAGE('20250815_ETF_Options_Exhibits'!O2237:O2241)),AVERAGE('20250815_ETF_Options_Exhibits'!O2237:O2241),"")</f>
        <v/>
      </c>
      <c r="P2241" s="3">
        <f>IF(ISNUMBER(AVERAGE('20250815_ETF_Options_Exhibits'!P2237:P2241)),AVERAGE('20250815_ETF_Options_Exhibits'!P2237:P2241),"")</f>
        <v/>
      </c>
      <c r="Q2241" s="3">
        <f>IF(ISNUMBER(AVERAGE('20250815_ETF_Options_Exhibits'!Q2237:Q2241)),AVERAGE('20250815_ETF_Options_Exhibits'!Q2237:Q2241),"")</f>
        <v/>
      </c>
      <c r="R2241" s="3">
        <f>IF(ISNUMBER(AVERAGE('20250815_ETF_Options_Exhibits'!R2237:R2241)),AVERAGE('20250815_ETF_Options_Exhibits'!R2237:R2241),"")</f>
        <v/>
      </c>
      <c r="S2241" s="3">
        <f>IF(ISNUMBER(AVERAGE('20250815_ETF_Options_Exhibits'!S2237:S2241)),AVERAGE('20250815_ETF_Options_Exhibits'!S2237:S2241),"")</f>
        <v/>
      </c>
      <c r="T2241" s="3">
        <f>IF(ISNUMBER(AVERAGE('20250815_ETF_Options_Exhibits'!T2237:T2241)),AVERAGE('20250815_ETF_Options_Exhibits'!T2237:T2241),"")</f>
        <v/>
      </c>
      <c r="U2241" s="3">
        <f>IF(ISNUMBER(AVERAGE('20250815_ETF_Options_Exhibits'!U2237:U2241)),AVERAGE('20250815_ETF_Options_Exhibits'!U2237:U2241),"")</f>
        <v/>
      </c>
      <c r="V2241" s="3">
        <f>IF(ISNUMBER(AVERAGE('20250815_ETF_Options_Exhibits'!V2237:V2241)),AVERAGE('20250815_ETF_Options_Exhibits'!V2237:V2241),"")</f>
        <v/>
      </c>
      <c r="W2241" s="3">
        <f>IF(ISNUMBER(AVERAGE('20250815_ETF_Options_Exhibits'!W2237:W2241)),AVERAGE('20250815_ETF_Options_Exhibits'!W2237:W2241),"")</f>
        <v/>
      </c>
      <c r="X2241" s="3">
        <f>IF(ISNUMBER(AVERAGE('20250815_ETF_Options_Exhibits'!X2237:X2241)),AVERAGE('20250815_ETF_Options_Exhibits'!X2237:X2241),"")</f>
        <v/>
      </c>
      <c r="Y2241" s="3">
        <f>IF(ISNUMBER(AVERAGE('20250815_ETF_Options_Exhibits'!Y2237:Y2241)),AVERAGE('20250815_ETF_Options_Exhibits'!Y2237:Y2241),"")</f>
        <v/>
      </c>
      <c r="Z2241" s="3">
        <f>IF(ISNUMBER(AVERAGE('20250815_ETF_Options_Exhibits'!Z2237:Z2241)),AVERAGE('20250815_ETF_Options_Exhibits'!Z2237:Z2241),"")</f>
        <v/>
      </c>
      <c r="AA2241" s="3">
        <f>IF(ISNUMBER(AVERAGE('20250815_ETF_Options_Exhibits'!AA2237:AA2241)),AVERAGE('20250815_ETF_Options_Exhibits'!AA2237:AA2241),"")</f>
        <v/>
      </c>
    </row>
    <row r="2242">
      <c r="A2242" s="1" t="n">
        <v>45254</v>
      </c>
      <c r="B2242" s="3">
        <f>IF(ISNUMBER(AVERAGE('20250815_ETF_Options_Exhibits'!B2238:B2242)),AVERAGE('20250815_ETF_Options_Exhibits'!B2238:B2242),"")</f>
        <v/>
      </c>
      <c r="C2242" s="3">
        <f>IF(ISNUMBER(AVERAGE('20250815_ETF_Options_Exhibits'!C2238:C2242)),AVERAGE('20250815_ETF_Options_Exhibits'!C2238:C2242),"")</f>
        <v/>
      </c>
      <c r="D2242" s="3">
        <f>IF(ISNUMBER(AVERAGE('20250815_ETF_Options_Exhibits'!D2238:D2242)),AVERAGE('20250815_ETF_Options_Exhibits'!D2238:D2242),"")</f>
        <v/>
      </c>
      <c r="E2242" s="3">
        <f>IF(ISNUMBER(AVERAGE('20250815_ETF_Options_Exhibits'!E2238:E2242)),AVERAGE('20250815_ETF_Options_Exhibits'!E2238:E2242),"")</f>
        <v/>
      </c>
      <c r="F2242" s="3">
        <f>IF(ISNUMBER(AVERAGE('20250815_ETF_Options_Exhibits'!F2238:F2242)),AVERAGE('20250815_ETF_Options_Exhibits'!F2238:F2242),"")</f>
        <v/>
      </c>
      <c r="G2242" s="3">
        <f>IF(ISNUMBER(AVERAGE('20250815_ETF_Options_Exhibits'!G2238:G2242)),AVERAGE('20250815_ETF_Options_Exhibits'!G2238:G2242),"")</f>
        <v/>
      </c>
      <c r="H2242" s="3">
        <f>IF(ISNUMBER(AVERAGE('20250815_ETF_Options_Exhibits'!H2238:H2242)),AVERAGE('20250815_ETF_Options_Exhibits'!H2238:H2242),"")</f>
        <v/>
      </c>
      <c r="I2242" s="3">
        <f>IF(ISNUMBER(AVERAGE('20250815_ETF_Options_Exhibits'!I2238:I2242)),AVERAGE('20250815_ETF_Options_Exhibits'!I2238:I2242),"")</f>
        <v/>
      </c>
      <c r="J2242" s="3">
        <f>IF(ISNUMBER(AVERAGE('20250815_ETF_Options_Exhibits'!J2238:J2242)),AVERAGE('20250815_ETF_Options_Exhibits'!J2238:J2242),"")</f>
        <v/>
      </c>
      <c r="K2242" s="3">
        <f>IF(ISNUMBER(AVERAGE('20250815_ETF_Options_Exhibits'!K2238:K2242)),AVERAGE('20250815_ETF_Options_Exhibits'!K2238:K2242),"")</f>
        <v/>
      </c>
      <c r="L2242" s="3">
        <f>IF(ISNUMBER(AVERAGE('20250815_ETF_Options_Exhibits'!L2238:L2242)),AVERAGE('20250815_ETF_Options_Exhibits'!L2238:L2242),"")</f>
        <v/>
      </c>
      <c r="M2242" s="3">
        <f>IF(ISNUMBER(AVERAGE('20250815_ETF_Options_Exhibits'!M2238:M2242)),AVERAGE('20250815_ETF_Options_Exhibits'!M2238:M2242),"")</f>
        <v/>
      </c>
      <c r="N2242" s="3">
        <f>IF(ISNUMBER(AVERAGE('20250815_ETF_Options_Exhibits'!N2238:N2242)),AVERAGE('20250815_ETF_Options_Exhibits'!N2238:N2242),"")</f>
        <v/>
      </c>
      <c r="O2242" s="3">
        <f>IF(ISNUMBER(AVERAGE('20250815_ETF_Options_Exhibits'!O2238:O2242)),AVERAGE('20250815_ETF_Options_Exhibits'!O2238:O2242),"")</f>
        <v/>
      </c>
      <c r="P2242" s="3">
        <f>IF(ISNUMBER(AVERAGE('20250815_ETF_Options_Exhibits'!P2238:P2242)),AVERAGE('20250815_ETF_Options_Exhibits'!P2238:P2242),"")</f>
        <v/>
      </c>
      <c r="Q2242" s="3">
        <f>IF(ISNUMBER(AVERAGE('20250815_ETF_Options_Exhibits'!Q2238:Q2242)),AVERAGE('20250815_ETF_Options_Exhibits'!Q2238:Q2242),"")</f>
        <v/>
      </c>
      <c r="R2242" s="3">
        <f>IF(ISNUMBER(AVERAGE('20250815_ETF_Options_Exhibits'!R2238:R2242)),AVERAGE('20250815_ETF_Options_Exhibits'!R2238:R2242),"")</f>
        <v/>
      </c>
      <c r="S2242" s="3">
        <f>IF(ISNUMBER(AVERAGE('20250815_ETF_Options_Exhibits'!S2238:S2242)),AVERAGE('20250815_ETF_Options_Exhibits'!S2238:S2242),"")</f>
        <v/>
      </c>
      <c r="T2242" s="3">
        <f>IF(ISNUMBER(AVERAGE('20250815_ETF_Options_Exhibits'!T2238:T2242)),AVERAGE('20250815_ETF_Options_Exhibits'!T2238:T2242),"")</f>
        <v/>
      </c>
      <c r="U2242" s="3">
        <f>IF(ISNUMBER(AVERAGE('20250815_ETF_Options_Exhibits'!U2238:U2242)),AVERAGE('20250815_ETF_Options_Exhibits'!U2238:U2242),"")</f>
        <v/>
      </c>
      <c r="V2242" s="3">
        <f>IF(ISNUMBER(AVERAGE('20250815_ETF_Options_Exhibits'!V2238:V2242)),AVERAGE('20250815_ETF_Options_Exhibits'!V2238:V2242),"")</f>
        <v/>
      </c>
      <c r="W2242" s="3">
        <f>IF(ISNUMBER(AVERAGE('20250815_ETF_Options_Exhibits'!W2238:W2242)),AVERAGE('20250815_ETF_Options_Exhibits'!W2238:W2242),"")</f>
        <v/>
      </c>
      <c r="X2242" s="3">
        <f>IF(ISNUMBER(AVERAGE('20250815_ETF_Options_Exhibits'!X2238:X2242)),AVERAGE('20250815_ETF_Options_Exhibits'!X2238:X2242),"")</f>
        <v/>
      </c>
      <c r="Y2242" s="3">
        <f>IF(ISNUMBER(AVERAGE('20250815_ETF_Options_Exhibits'!Y2238:Y2242)),AVERAGE('20250815_ETF_Options_Exhibits'!Y2238:Y2242),"")</f>
        <v/>
      </c>
      <c r="Z2242" s="3">
        <f>IF(ISNUMBER(AVERAGE('20250815_ETF_Options_Exhibits'!Z2238:Z2242)),AVERAGE('20250815_ETF_Options_Exhibits'!Z2238:Z2242),"")</f>
        <v/>
      </c>
      <c r="AA2242" s="3">
        <f>IF(ISNUMBER(AVERAGE('20250815_ETF_Options_Exhibits'!AA2238:AA2242)),AVERAGE('20250815_ETF_Options_Exhibits'!AA2238:AA2242),"")</f>
        <v/>
      </c>
    </row>
    <row r="2243">
      <c r="A2243" s="1" t="n">
        <v>45257</v>
      </c>
      <c r="B2243" s="3">
        <f>IF(ISNUMBER(AVERAGE('20250815_ETF_Options_Exhibits'!B2239:B2243)),AVERAGE('20250815_ETF_Options_Exhibits'!B2239:B2243),"")</f>
        <v/>
      </c>
      <c r="C2243" s="3">
        <f>IF(ISNUMBER(AVERAGE('20250815_ETF_Options_Exhibits'!C2239:C2243)),AVERAGE('20250815_ETF_Options_Exhibits'!C2239:C2243),"")</f>
        <v/>
      </c>
      <c r="D2243" s="3">
        <f>IF(ISNUMBER(AVERAGE('20250815_ETF_Options_Exhibits'!D2239:D2243)),AVERAGE('20250815_ETF_Options_Exhibits'!D2239:D2243),"")</f>
        <v/>
      </c>
      <c r="E2243" s="3">
        <f>IF(ISNUMBER(AVERAGE('20250815_ETF_Options_Exhibits'!E2239:E2243)),AVERAGE('20250815_ETF_Options_Exhibits'!E2239:E2243),"")</f>
        <v/>
      </c>
      <c r="F2243" s="3">
        <f>IF(ISNUMBER(AVERAGE('20250815_ETF_Options_Exhibits'!F2239:F2243)),AVERAGE('20250815_ETF_Options_Exhibits'!F2239:F2243),"")</f>
        <v/>
      </c>
      <c r="G2243" s="3">
        <f>IF(ISNUMBER(AVERAGE('20250815_ETF_Options_Exhibits'!G2239:G2243)),AVERAGE('20250815_ETF_Options_Exhibits'!G2239:G2243),"")</f>
        <v/>
      </c>
      <c r="H2243" s="3">
        <f>IF(ISNUMBER(AVERAGE('20250815_ETF_Options_Exhibits'!H2239:H2243)),AVERAGE('20250815_ETF_Options_Exhibits'!H2239:H2243),"")</f>
        <v/>
      </c>
      <c r="I2243" s="3">
        <f>IF(ISNUMBER(AVERAGE('20250815_ETF_Options_Exhibits'!I2239:I2243)),AVERAGE('20250815_ETF_Options_Exhibits'!I2239:I2243),"")</f>
        <v/>
      </c>
      <c r="J2243" s="3">
        <f>IF(ISNUMBER(AVERAGE('20250815_ETF_Options_Exhibits'!J2239:J2243)),AVERAGE('20250815_ETF_Options_Exhibits'!J2239:J2243),"")</f>
        <v/>
      </c>
      <c r="K2243" s="3">
        <f>IF(ISNUMBER(AVERAGE('20250815_ETF_Options_Exhibits'!K2239:K2243)),AVERAGE('20250815_ETF_Options_Exhibits'!K2239:K2243),"")</f>
        <v/>
      </c>
      <c r="L2243" s="3">
        <f>IF(ISNUMBER(AVERAGE('20250815_ETF_Options_Exhibits'!L2239:L2243)),AVERAGE('20250815_ETF_Options_Exhibits'!L2239:L2243),"")</f>
        <v/>
      </c>
      <c r="M2243" s="3">
        <f>IF(ISNUMBER(AVERAGE('20250815_ETF_Options_Exhibits'!M2239:M2243)),AVERAGE('20250815_ETF_Options_Exhibits'!M2239:M2243),"")</f>
        <v/>
      </c>
      <c r="N2243" s="3">
        <f>IF(ISNUMBER(AVERAGE('20250815_ETF_Options_Exhibits'!N2239:N2243)),AVERAGE('20250815_ETF_Options_Exhibits'!N2239:N2243),"")</f>
        <v/>
      </c>
      <c r="O2243" s="3">
        <f>IF(ISNUMBER(AVERAGE('20250815_ETF_Options_Exhibits'!O2239:O2243)),AVERAGE('20250815_ETF_Options_Exhibits'!O2239:O2243),"")</f>
        <v/>
      </c>
      <c r="P2243" s="3">
        <f>IF(ISNUMBER(AVERAGE('20250815_ETF_Options_Exhibits'!P2239:P2243)),AVERAGE('20250815_ETF_Options_Exhibits'!P2239:P2243),"")</f>
        <v/>
      </c>
      <c r="Q2243" s="3">
        <f>IF(ISNUMBER(AVERAGE('20250815_ETF_Options_Exhibits'!Q2239:Q2243)),AVERAGE('20250815_ETF_Options_Exhibits'!Q2239:Q2243),"")</f>
        <v/>
      </c>
      <c r="R2243" s="3">
        <f>IF(ISNUMBER(AVERAGE('20250815_ETF_Options_Exhibits'!R2239:R2243)),AVERAGE('20250815_ETF_Options_Exhibits'!R2239:R2243),"")</f>
        <v/>
      </c>
      <c r="S2243" s="3">
        <f>IF(ISNUMBER(AVERAGE('20250815_ETF_Options_Exhibits'!S2239:S2243)),AVERAGE('20250815_ETF_Options_Exhibits'!S2239:S2243),"")</f>
        <v/>
      </c>
      <c r="T2243" s="3">
        <f>IF(ISNUMBER(AVERAGE('20250815_ETF_Options_Exhibits'!T2239:T2243)),AVERAGE('20250815_ETF_Options_Exhibits'!T2239:T2243),"")</f>
        <v/>
      </c>
      <c r="U2243" s="3">
        <f>IF(ISNUMBER(AVERAGE('20250815_ETF_Options_Exhibits'!U2239:U2243)),AVERAGE('20250815_ETF_Options_Exhibits'!U2239:U2243),"")</f>
        <v/>
      </c>
      <c r="V2243" s="3">
        <f>IF(ISNUMBER(AVERAGE('20250815_ETF_Options_Exhibits'!V2239:V2243)),AVERAGE('20250815_ETF_Options_Exhibits'!V2239:V2243),"")</f>
        <v/>
      </c>
      <c r="W2243" s="3">
        <f>IF(ISNUMBER(AVERAGE('20250815_ETF_Options_Exhibits'!W2239:W2243)),AVERAGE('20250815_ETF_Options_Exhibits'!W2239:W2243),"")</f>
        <v/>
      </c>
      <c r="X2243" s="3">
        <f>IF(ISNUMBER(AVERAGE('20250815_ETF_Options_Exhibits'!X2239:X2243)),AVERAGE('20250815_ETF_Options_Exhibits'!X2239:X2243),"")</f>
        <v/>
      </c>
      <c r="Y2243" s="3">
        <f>IF(ISNUMBER(AVERAGE('20250815_ETF_Options_Exhibits'!Y2239:Y2243)),AVERAGE('20250815_ETF_Options_Exhibits'!Y2239:Y2243),"")</f>
        <v/>
      </c>
      <c r="Z2243" s="3">
        <f>IF(ISNUMBER(AVERAGE('20250815_ETF_Options_Exhibits'!Z2239:Z2243)),AVERAGE('20250815_ETF_Options_Exhibits'!Z2239:Z2243),"")</f>
        <v/>
      </c>
      <c r="AA2243" s="3">
        <f>IF(ISNUMBER(AVERAGE('20250815_ETF_Options_Exhibits'!AA2239:AA2243)),AVERAGE('20250815_ETF_Options_Exhibits'!AA2239:AA2243),"")</f>
        <v/>
      </c>
    </row>
    <row r="2244">
      <c r="A2244" s="1" t="n">
        <v>45258</v>
      </c>
      <c r="B2244" s="3">
        <f>IF(ISNUMBER(AVERAGE('20250815_ETF_Options_Exhibits'!B2240:B2244)),AVERAGE('20250815_ETF_Options_Exhibits'!B2240:B2244),"")</f>
        <v/>
      </c>
      <c r="C2244" s="3">
        <f>IF(ISNUMBER(AVERAGE('20250815_ETF_Options_Exhibits'!C2240:C2244)),AVERAGE('20250815_ETF_Options_Exhibits'!C2240:C2244),"")</f>
        <v/>
      </c>
      <c r="D2244" s="3">
        <f>IF(ISNUMBER(AVERAGE('20250815_ETF_Options_Exhibits'!D2240:D2244)),AVERAGE('20250815_ETF_Options_Exhibits'!D2240:D2244),"")</f>
        <v/>
      </c>
      <c r="E2244" s="3">
        <f>IF(ISNUMBER(AVERAGE('20250815_ETF_Options_Exhibits'!E2240:E2244)),AVERAGE('20250815_ETF_Options_Exhibits'!E2240:E2244),"")</f>
        <v/>
      </c>
      <c r="F2244" s="3">
        <f>IF(ISNUMBER(AVERAGE('20250815_ETF_Options_Exhibits'!F2240:F2244)),AVERAGE('20250815_ETF_Options_Exhibits'!F2240:F2244),"")</f>
        <v/>
      </c>
      <c r="G2244" s="3">
        <f>IF(ISNUMBER(AVERAGE('20250815_ETF_Options_Exhibits'!G2240:G2244)),AVERAGE('20250815_ETF_Options_Exhibits'!G2240:G2244),"")</f>
        <v/>
      </c>
      <c r="H2244" s="3">
        <f>IF(ISNUMBER(AVERAGE('20250815_ETF_Options_Exhibits'!H2240:H2244)),AVERAGE('20250815_ETF_Options_Exhibits'!H2240:H2244),"")</f>
        <v/>
      </c>
      <c r="I2244" s="3">
        <f>IF(ISNUMBER(AVERAGE('20250815_ETF_Options_Exhibits'!I2240:I2244)),AVERAGE('20250815_ETF_Options_Exhibits'!I2240:I2244),"")</f>
        <v/>
      </c>
      <c r="J2244" s="3">
        <f>IF(ISNUMBER(AVERAGE('20250815_ETF_Options_Exhibits'!J2240:J2244)),AVERAGE('20250815_ETF_Options_Exhibits'!J2240:J2244),"")</f>
        <v/>
      </c>
      <c r="K2244" s="3">
        <f>IF(ISNUMBER(AVERAGE('20250815_ETF_Options_Exhibits'!K2240:K2244)),AVERAGE('20250815_ETF_Options_Exhibits'!K2240:K2244),"")</f>
        <v/>
      </c>
      <c r="L2244" s="3">
        <f>IF(ISNUMBER(AVERAGE('20250815_ETF_Options_Exhibits'!L2240:L2244)),AVERAGE('20250815_ETF_Options_Exhibits'!L2240:L2244),"")</f>
        <v/>
      </c>
      <c r="M2244" s="3">
        <f>IF(ISNUMBER(AVERAGE('20250815_ETF_Options_Exhibits'!M2240:M2244)),AVERAGE('20250815_ETF_Options_Exhibits'!M2240:M2244),"")</f>
        <v/>
      </c>
      <c r="N2244" s="3">
        <f>IF(ISNUMBER(AVERAGE('20250815_ETF_Options_Exhibits'!N2240:N2244)),AVERAGE('20250815_ETF_Options_Exhibits'!N2240:N2244),"")</f>
        <v/>
      </c>
      <c r="O2244" s="3">
        <f>IF(ISNUMBER(AVERAGE('20250815_ETF_Options_Exhibits'!O2240:O2244)),AVERAGE('20250815_ETF_Options_Exhibits'!O2240:O2244),"")</f>
        <v/>
      </c>
      <c r="P2244" s="3">
        <f>IF(ISNUMBER(AVERAGE('20250815_ETF_Options_Exhibits'!P2240:P2244)),AVERAGE('20250815_ETF_Options_Exhibits'!P2240:P2244),"")</f>
        <v/>
      </c>
      <c r="Q2244" s="3">
        <f>IF(ISNUMBER(AVERAGE('20250815_ETF_Options_Exhibits'!Q2240:Q2244)),AVERAGE('20250815_ETF_Options_Exhibits'!Q2240:Q2244),"")</f>
        <v/>
      </c>
      <c r="R2244" s="3">
        <f>IF(ISNUMBER(AVERAGE('20250815_ETF_Options_Exhibits'!R2240:R2244)),AVERAGE('20250815_ETF_Options_Exhibits'!R2240:R2244),"")</f>
        <v/>
      </c>
      <c r="S2244" s="3">
        <f>IF(ISNUMBER(AVERAGE('20250815_ETF_Options_Exhibits'!S2240:S2244)),AVERAGE('20250815_ETF_Options_Exhibits'!S2240:S2244),"")</f>
        <v/>
      </c>
      <c r="T2244" s="3">
        <f>IF(ISNUMBER(AVERAGE('20250815_ETF_Options_Exhibits'!T2240:T2244)),AVERAGE('20250815_ETF_Options_Exhibits'!T2240:T2244),"")</f>
        <v/>
      </c>
      <c r="U2244" s="3">
        <f>IF(ISNUMBER(AVERAGE('20250815_ETF_Options_Exhibits'!U2240:U2244)),AVERAGE('20250815_ETF_Options_Exhibits'!U2240:U2244),"")</f>
        <v/>
      </c>
      <c r="V2244" s="3">
        <f>IF(ISNUMBER(AVERAGE('20250815_ETF_Options_Exhibits'!V2240:V2244)),AVERAGE('20250815_ETF_Options_Exhibits'!V2240:V2244),"")</f>
        <v/>
      </c>
      <c r="W2244" s="3">
        <f>IF(ISNUMBER(AVERAGE('20250815_ETF_Options_Exhibits'!W2240:W2244)),AVERAGE('20250815_ETF_Options_Exhibits'!W2240:W2244),"")</f>
        <v/>
      </c>
      <c r="X2244" s="3">
        <f>IF(ISNUMBER(AVERAGE('20250815_ETF_Options_Exhibits'!X2240:X2244)),AVERAGE('20250815_ETF_Options_Exhibits'!X2240:X2244),"")</f>
        <v/>
      </c>
      <c r="Y2244" s="3">
        <f>IF(ISNUMBER(AVERAGE('20250815_ETF_Options_Exhibits'!Y2240:Y2244)),AVERAGE('20250815_ETF_Options_Exhibits'!Y2240:Y2244),"")</f>
        <v/>
      </c>
      <c r="Z2244" s="3">
        <f>IF(ISNUMBER(AVERAGE('20250815_ETF_Options_Exhibits'!Z2240:Z2244)),AVERAGE('20250815_ETF_Options_Exhibits'!Z2240:Z2244),"")</f>
        <v/>
      </c>
      <c r="AA2244" s="3">
        <f>IF(ISNUMBER(AVERAGE('20250815_ETF_Options_Exhibits'!AA2240:AA2244)),AVERAGE('20250815_ETF_Options_Exhibits'!AA2240:AA2244),"")</f>
        <v/>
      </c>
    </row>
    <row r="2245">
      <c r="A2245" s="1" t="n">
        <v>45259</v>
      </c>
      <c r="B2245" s="3">
        <f>IF(ISNUMBER(AVERAGE('20250815_ETF_Options_Exhibits'!B2241:B2245)),AVERAGE('20250815_ETF_Options_Exhibits'!B2241:B2245),"")</f>
        <v/>
      </c>
      <c r="C2245" s="3">
        <f>IF(ISNUMBER(AVERAGE('20250815_ETF_Options_Exhibits'!C2241:C2245)),AVERAGE('20250815_ETF_Options_Exhibits'!C2241:C2245),"")</f>
        <v/>
      </c>
      <c r="D2245" s="3">
        <f>IF(ISNUMBER(AVERAGE('20250815_ETF_Options_Exhibits'!D2241:D2245)),AVERAGE('20250815_ETF_Options_Exhibits'!D2241:D2245),"")</f>
        <v/>
      </c>
      <c r="E2245" s="3">
        <f>IF(ISNUMBER(AVERAGE('20250815_ETF_Options_Exhibits'!E2241:E2245)),AVERAGE('20250815_ETF_Options_Exhibits'!E2241:E2245),"")</f>
        <v/>
      </c>
      <c r="F2245" s="3">
        <f>IF(ISNUMBER(AVERAGE('20250815_ETF_Options_Exhibits'!F2241:F2245)),AVERAGE('20250815_ETF_Options_Exhibits'!F2241:F2245),"")</f>
        <v/>
      </c>
      <c r="G2245" s="3">
        <f>IF(ISNUMBER(AVERAGE('20250815_ETF_Options_Exhibits'!G2241:G2245)),AVERAGE('20250815_ETF_Options_Exhibits'!G2241:G2245),"")</f>
        <v/>
      </c>
      <c r="H2245" s="3">
        <f>IF(ISNUMBER(AVERAGE('20250815_ETF_Options_Exhibits'!H2241:H2245)),AVERAGE('20250815_ETF_Options_Exhibits'!H2241:H2245),"")</f>
        <v/>
      </c>
      <c r="I2245" s="3">
        <f>IF(ISNUMBER(AVERAGE('20250815_ETF_Options_Exhibits'!I2241:I2245)),AVERAGE('20250815_ETF_Options_Exhibits'!I2241:I2245),"")</f>
        <v/>
      </c>
      <c r="J2245" s="3">
        <f>IF(ISNUMBER(AVERAGE('20250815_ETF_Options_Exhibits'!J2241:J2245)),AVERAGE('20250815_ETF_Options_Exhibits'!J2241:J2245),"")</f>
        <v/>
      </c>
      <c r="K2245" s="3">
        <f>IF(ISNUMBER(AVERAGE('20250815_ETF_Options_Exhibits'!K2241:K2245)),AVERAGE('20250815_ETF_Options_Exhibits'!K2241:K2245),"")</f>
        <v/>
      </c>
      <c r="L2245" s="3">
        <f>IF(ISNUMBER(AVERAGE('20250815_ETF_Options_Exhibits'!L2241:L2245)),AVERAGE('20250815_ETF_Options_Exhibits'!L2241:L2245),"")</f>
        <v/>
      </c>
      <c r="M2245" s="3">
        <f>IF(ISNUMBER(AVERAGE('20250815_ETF_Options_Exhibits'!M2241:M2245)),AVERAGE('20250815_ETF_Options_Exhibits'!M2241:M2245),"")</f>
        <v/>
      </c>
      <c r="N2245" s="3">
        <f>IF(ISNUMBER(AVERAGE('20250815_ETF_Options_Exhibits'!N2241:N2245)),AVERAGE('20250815_ETF_Options_Exhibits'!N2241:N2245),"")</f>
        <v/>
      </c>
      <c r="O2245" s="3">
        <f>IF(ISNUMBER(AVERAGE('20250815_ETF_Options_Exhibits'!O2241:O2245)),AVERAGE('20250815_ETF_Options_Exhibits'!O2241:O2245),"")</f>
        <v/>
      </c>
      <c r="P2245" s="3">
        <f>IF(ISNUMBER(AVERAGE('20250815_ETF_Options_Exhibits'!P2241:P2245)),AVERAGE('20250815_ETF_Options_Exhibits'!P2241:P2245),"")</f>
        <v/>
      </c>
      <c r="Q2245" s="3">
        <f>IF(ISNUMBER(AVERAGE('20250815_ETF_Options_Exhibits'!Q2241:Q2245)),AVERAGE('20250815_ETF_Options_Exhibits'!Q2241:Q2245),"")</f>
        <v/>
      </c>
      <c r="R2245" s="3">
        <f>IF(ISNUMBER(AVERAGE('20250815_ETF_Options_Exhibits'!R2241:R2245)),AVERAGE('20250815_ETF_Options_Exhibits'!R2241:R2245),"")</f>
        <v/>
      </c>
      <c r="S2245" s="3">
        <f>IF(ISNUMBER(AVERAGE('20250815_ETF_Options_Exhibits'!S2241:S2245)),AVERAGE('20250815_ETF_Options_Exhibits'!S2241:S2245),"")</f>
        <v/>
      </c>
      <c r="T2245" s="3">
        <f>IF(ISNUMBER(AVERAGE('20250815_ETF_Options_Exhibits'!T2241:T2245)),AVERAGE('20250815_ETF_Options_Exhibits'!T2241:T2245),"")</f>
        <v/>
      </c>
      <c r="U2245" s="3">
        <f>IF(ISNUMBER(AVERAGE('20250815_ETF_Options_Exhibits'!U2241:U2245)),AVERAGE('20250815_ETF_Options_Exhibits'!U2241:U2245),"")</f>
        <v/>
      </c>
      <c r="V2245" s="3">
        <f>IF(ISNUMBER(AVERAGE('20250815_ETF_Options_Exhibits'!V2241:V2245)),AVERAGE('20250815_ETF_Options_Exhibits'!V2241:V2245),"")</f>
        <v/>
      </c>
      <c r="W2245" s="3">
        <f>IF(ISNUMBER(AVERAGE('20250815_ETF_Options_Exhibits'!W2241:W2245)),AVERAGE('20250815_ETF_Options_Exhibits'!W2241:W2245),"")</f>
        <v/>
      </c>
      <c r="X2245" s="3">
        <f>IF(ISNUMBER(AVERAGE('20250815_ETF_Options_Exhibits'!X2241:X2245)),AVERAGE('20250815_ETF_Options_Exhibits'!X2241:X2245),"")</f>
        <v/>
      </c>
      <c r="Y2245" s="3">
        <f>IF(ISNUMBER(AVERAGE('20250815_ETF_Options_Exhibits'!Y2241:Y2245)),AVERAGE('20250815_ETF_Options_Exhibits'!Y2241:Y2245),"")</f>
        <v/>
      </c>
      <c r="Z2245" s="3">
        <f>IF(ISNUMBER(AVERAGE('20250815_ETF_Options_Exhibits'!Z2241:Z2245)),AVERAGE('20250815_ETF_Options_Exhibits'!Z2241:Z2245),"")</f>
        <v/>
      </c>
      <c r="AA2245" s="3">
        <f>IF(ISNUMBER(AVERAGE('20250815_ETF_Options_Exhibits'!AA2241:AA2245)),AVERAGE('20250815_ETF_Options_Exhibits'!AA2241:AA2245),"")</f>
        <v/>
      </c>
    </row>
    <row r="2246">
      <c r="A2246" s="1" t="n">
        <v>45260</v>
      </c>
      <c r="B2246" s="3">
        <f>IF(ISNUMBER(AVERAGE('20250815_ETF_Options_Exhibits'!B2242:B2246)),AVERAGE('20250815_ETF_Options_Exhibits'!B2242:B2246),"")</f>
        <v/>
      </c>
      <c r="C2246" s="3">
        <f>IF(ISNUMBER(AVERAGE('20250815_ETF_Options_Exhibits'!C2242:C2246)),AVERAGE('20250815_ETF_Options_Exhibits'!C2242:C2246),"")</f>
        <v/>
      </c>
      <c r="D2246" s="3">
        <f>IF(ISNUMBER(AVERAGE('20250815_ETF_Options_Exhibits'!D2242:D2246)),AVERAGE('20250815_ETF_Options_Exhibits'!D2242:D2246),"")</f>
        <v/>
      </c>
      <c r="E2246" s="3">
        <f>IF(ISNUMBER(AVERAGE('20250815_ETF_Options_Exhibits'!E2242:E2246)),AVERAGE('20250815_ETF_Options_Exhibits'!E2242:E2246),"")</f>
        <v/>
      </c>
      <c r="F2246" s="3">
        <f>IF(ISNUMBER(AVERAGE('20250815_ETF_Options_Exhibits'!F2242:F2246)),AVERAGE('20250815_ETF_Options_Exhibits'!F2242:F2246),"")</f>
        <v/>
      </c>
      <c r="G2246" s="3">
        <f>IF(ISNUMBER(AVERAGE('20250815_ETF_Options_Exhibits'!G2242:G2246)),AVERAGE('20250815_ETF_Options_Exhibits'!G2242:G2246),"")</f>
        <v/>
      </c>
      <c r="H2246" s="3">
        <f>IF(ISNUMBER(AVERAGE('20250815_ETF_Options_Exhibits'!H2242:H2246)),AVERAGE('20250815_ETF_Options_Exhibits'!H2242:H2246),"")</f>
        <v/>
      </c>
      <c r="I2246" s="3">
        <f>IF(ISNUMBER(AVERAGE('20250815_ETF_Options_Exhibits'!I2242:I2246)),AVERAGE('20250815_ETF_Options_Exhibits'!I2242:I2246),"")</f>
        <v/>
      </c>
      <c r="J2246" s="3">
        <f>IF(ISNUMBER(AVERAGE('20250815_ETF_Options_Exhibits'!J2242:J2246)),AVERAGE('20250815_ETF_Options_Exhibits'!J2242:J2246),"")</f>
        <v/>
      </c>
      <c r="K2246" s="3">
        <f>IF(ISNUMBER(AVERAGE('20250815_ETF_Options_Exhibits'!K2242:K2246)),AVERAGE('20250815_ETF_Options_Exhibits'!K2242:K2246),"")</f>
        <v/>
      </c>
      <c r="L2246" s="3">
        <f>IF(ISNUMBER(AVERAGE('20250815_ETF_Options_Exhibits'!L2242:L2246)),AVERAGE('20250815_ETF_Options_Exhibits'!L2242:L2246),"")</f>
        <v/>
      </c>
      <c r="M2246" s="3">
        <f>IF(ISNUMBER(AVERAGE('20250815_ETF_Options_Exhibits'!M2242:M2246)),AVERAGE('20250815_ETF_Options_Exhibits'!M2242:M2246),"")</f>
        <v/>
      </c>
      <c r="N2246" s="3">
        <f>IF(ISNUMBER(AVERAGE('20250815_ETF_Options_Exhibits'!N2242:N2246)),AVERAGE('20250815_ETF_Options_Exhibits'!N2242:N2246),"")</f>
        <v/>
      </c>
      <c r="O2246" s="3">
        <f>IF(ISNUMBER(AVERAGE('20250815_ETF_Options_Exhibits'!O2242:O2246)),AVERAGE('20250815_ETF_Options_Exhibits'!O2242:O2246),"")</f>
        <v/>
      </c>
      <c r="P2246" s="3">
        <f>IF(ISNUMBER(AVERAGE('20250815_ETF_Options_Exhibits'!P2242:P2246)),AVERAGE('20250815_ETF_Options_Exhibits'!P2242:P2246),"")</f>
        <v/>
      </c>
      <c r="Q2246" s="3">
        <f>IF(ISNUMBER(AVERAGE('20250815_ETF_Options_Exhibits'!Q2242:Q2246)),AVERAGE('20250815_ETF_Options_Exhibits'!Q2242:Q2246),"")</f>
        <v/>
      </c>
      <c r="R2246" s="3">
        <f>IF(ISNUMBER(AVERAGE('20250815_ETF_Options_Exhibits'!R2242:R2246)),AVERAGE('20250815_ETF_Options_Exhibits'!R2242:R2246),"")</f>
        <v/>
      </c>
      <c r="S2246" s="3">
        <f>IF(ISNUMBER(AVERAGE('20250815_ETF_Options_Exhibits'!S2242:S2246)),AVERAGE('20250815_ETF_Options_Exhibits'!S2242:S2246),"")</f>
        <v/>
      </c>
      <c r="T2246" s="3">
        <f>IF(ISNUMBER(AVERAGE('20250815_ETF_Options_Exhibits'!T2242:T2246)),AVERAGE('20250815_ETF_Options_Exhibits'!T2242:T2246),"")</f>
        <v/>
      </c>
      <c r="U2246" s="3">
        <f>IF(ISNUMBER(AVERAGE('20250815_ETF_Options_Exhibits'!U2242:U2246)),AVERAGE('20250815_ETF_Options_Exhibits'!U2242:U2246),"")</f>
        <v/>
      </c>
      <c r="V2246" s="3">
        <f>IF(ISNUMBER(AVERAGE('20250815_ETF_Options_Exhibits'!V2242:V2246)),AVERAGE('20250815_ETF_Options_Exhibits'!V2242:V2246),"")</f>
        <v/>
      </c>
      <c r="W2246" s="3">
        <f>IF(ISNUMBER(AVERAGE('20250815_ETF_Options_Exhibits'!W2242:W2246)),AVERAGE('20250815_ETF_Options_Exhibits'!W2242:W2246),"")</f>
        <v/>
      </c>
      <c r="X2246" s="3">
        <f>IF(ISNUMBER(AVERAGE('20250815_ETF_Options_Exhibits'!X2242:X2246)),AVERAGE('20250815_ETF_Options_Exhibits'!X2242:X2246),"")</f>
        <v/>
      </c>
      <c r="Y2246" s="3">
        <f>IF(ISNUMBER(AVERAGE('20250815_ETF_Options_Exhibits'!Y2242:Y2246)),AVERAGE('20250815_ETF_Options_Exhibits'!Y2242:Y2246),"")</f>
        <v/>
      </c>
      <c r="Z2246" s="3">
        <f>IF(ISNUMBER(AVERAGE('20250815_ETF_Options_Exhibits'!Z2242:Z2246)),AVERAGE('20250815_ETF_Options_Exhibits'!Z2242:Z2246),"")</f>
        <v/>
      </c>
      <c r="AA2246" s="3">
        <f>IF(ISNUMBER(AVERAGE('20250815_ETF_Options_Exhibits'!AA2242:AA2246)),AVERAGE('20250815_ETF_Options_Exhibits'!AA2242:AA2246),"")</f>
        <v/>
      </c>
    </row>
    <row r="2247">
      <c r="A2247" s="1" t="n">
        <v>45261</v>
      </c>
      <c r="B2247" s="3">
        <f>IF(ISNUMBER(AVERAGE('20250815_ETF_Options_Exhibits'!B2243:B2247)),AVERAGE('20250815_ETF_Options_Exhibits'!B2243:B2247),"")</f>
        <v/>
      </c>
      <c r="C2247" s="3">
        <f>IF(ISNUMBER(AVERAGE('20250815_ETF_Options_Exhibits'!C2243:C2247)),AVERAGE('20250815_ETF_Options_Exhibits'!C2243:C2247),"")</f>
        <v/>
      </c>
      <c r="D2247" s="3">
        <f>IF(ISNUMBER(AVERAGE('20250815_ETF_Options_Exhibits'!D2243:D2247)),AVERAGE('20250815_ETF_Options_Exhibits'!D2243:D2247),"")</f>
        <v/>
      </c>
      <c r="E2247" s="3">
        <f>IF(ISNUMBER(AVERAGE('20250815_ETF_Options_Exhibits'!E2243:E2247)),AVERAGE('20250815_ETF_Options_Exhibits'!E2243:E2247),"")</f>
        <v/>
      </c>
      <c r="F2247" s="3">
        <f>IF(ISNUMBER(AVERAGE('20250815_ETF_Options_Exhibits'!F2243:F2247)),AVERAGE('20250815_ETF_Options_Exhibits'!F2243:F2247),"")</f>
        <v/>
      </c>
      <c r="G2247" s="3">
        <f>IF(ISNUMBER(AVERAGE('20250815_ETF_Options_Exhibits'!G2243:G2247)),AVERAGE('20250815_ETF_Options_Exhibits'!G2243:G2247),"")</f>
        <v/>
      </c>
      <c r="H2247" s="3">
        <f>IF(ISNUMBER(AVERAGE('20250815_ETF_Options_Exhibits'!H2243:H2247)),AVERAGE('20250815_ETF_Options_Exhibits'!H2243:H2247),"")</f>
        <v/>
      </c>
      <c r="I2247" s="3">
        <f>IF(ISNUMBER(AVERAGE('20250815_ETF_Options_Exhibits'!I2243:I2247)),AVERAGE('20250815_ETF_Options_Exhibits'!I2243:I2247),"")</f>
        <v/>
      </c>
      <c r="J2247" s="3">
        <f>IF(ISNUMBER(AVERAGE('20250815_ETF_Options_Exhibits'!J2243:J2247)),AVERAGE('20250815_ETF_Options_Exhibits'!J2243:J2247),"")</f>
        <v/>
      </c>
      <c r="K2247" s="3">
        <f>IF(ISNUMBER(AVERAGE('20250815_ETF_Options_Exhibits'!K2243:K2247)),AVERAGE('20250815_ETF_Options_Exhibits'!K2243:K2247),"")</f>
        <v/>
      </c>
      <c r="L2247" s="3">
        <f>IF(ISNUMBER(AVERAGE('20250815_ETF_Options_Exhibits'!L2243:L2247)),AVERAGE('20250815_ETF_Options_Exhibits'!L2243:L2247),"")</f>
        <v/>
      </c>
      <c r="M2247" s="3">
        <f>IF(ISNUMBER(AVERAGE('20250815_ETF_Options_Exhibits'!M2243:M2247)),AVERAGE('20250815_ETF_Options_Exhibits'!M2243:M2247),"")</f>
        <v/>
      </c>
      <c r="N2247" s="3">
        <f>IF(ISNUMBER(AVERAGE('20250815_ETF_Options_Exhibits'!N2243:N2247)),AVERAGE('20250815_ETF_Options_Exhibits'!N2243:N2247),"")</f>
        <v/>
      </c>
      <c r="O2247" s="3">
        <f>IF(ISNUMBER(AVERAGE('20250815_ETF_Options_Exhibits'!O2243:O2247)),AVERAGE('20250815_ETF_Options_Exhibits'!O2243:O2247),"")</f>
        <v/>
      </c>
      <c r="P2247" s="3">
        <f>IF(ISNUMBER(AVERAGE('20250815_ETF_Options_Exhibits'!P2243:P2247)),AVERAGE('20250815_ETF_Options_Exhibits'!P2243:P2247),"")</f>
        <v/>
      </c>
      <c r="Q2247" s="3">
        <f>IF(ISNUMBER(AVERAGE('20250815_ETF_Options_Exhibits'!Q2243:Q2247)),AVERAGE('20250815_ETF_Options_Exhibits'!Q2243:Q2247),"")</f>
        <v/>
      </c>
      <c r="R2247" s="3">
        <f>IF(ISNUMBER(AVERAGE('20250815_ETF_Options_Exhibits'!R2243:R2247)),AVERAGE('20250815_ETF_Options_Exhibits'!R2243:R2247),"")</f>
        <v/>
      </c>
      <c r="S2247" s="3">
        <f>IF(ISNUMBER(AVERAGE('20250815_ETF_Options_Exhibits'!S2243:S2247)),AVERAGE('20250815_ETF_Options_Exhibits'!S2243:S2247),"")</f>
        <v/>
      </c>
      <c r="T2247" s="3">
        <f>IF(ISNUMBER(AVERAGE('20250815_ETF_Options_Exhibits'!T2243:T2247)),AVERAGE('20250815_ETF_Options_Exhibits'!T2243:T2247),"")</f>
        <v/>
      </c>
      <c r="U2247" s="3">
        <f>IF(ISNUMBER(AVERAGE('20250815_ETF_Options_Exhibits'!U2243:U2247)),AVERAGE('20250815_ETF_Options_Exhibits'!U2243:U2247),"")</f>
        <v/>
      </c>
      <c r="V2247" s="3">
        <f>IF(ISNUMBER(AVERAGE('20250815_ETF_Options_Exhibits'!V2243:V2247)),AVERAGE('20250815_ETF_Options_Exhibits'!V2243:V2247),"")</f>
        <v/>
      </c>
      <c r="W2247" s="3">
        <f>IF(ISNUMBER(AVERAGE('20250815_ETF_Options_Exhibits'!W2243:W2247)),AVERAGE('20250815_ETF_Options_Exhibits'!W2243:W2247),"")</f>
        <v/>
      </c>
      <c r="X2247" s="3">
        <f>IF(ISNUMBER(AVERAGE('20250815_ETF_Options_Exhibits'!X2243:X2247)),AVERAGE('20250815_ETF_Options_Exhibits'!X2243:X2247),"")</f>
        <v/>
      </c>
      <c r="Y2247" s="3">
        <f>IF(ISNUMBER(AVERAGE('20250815_ETF_Options_Exhibits'!Y2243:Y2247)),AVERAGE('20250815_ETF_Options_Exhibits'!Y2243:Y2247),"")</f>
        <v/>
      </c>
      <c r="Z2247" s="3">
        <f>IF(ISNUMBER(AVERAGE('20250815_ETF_Options_Exhibits'!Z2243:Z2247)),AVERAGE('20250815_ETF_Options_Exhibits'!Z2243:Z2247),"")</f>
        <v/>
      </c>
      <c r="AA2247" s="3">
        <f>IF(ISNUMBER(AVERAGE('20250815_ETF_Options_Exhibits'!AA2243:AA2247)),AVERAGE('20250815_ETF_Options_Exhibits'!AA2243:AA2247),"")</f>
        <v/>
      </c>
    </row>
    <row r="2248">
      <c r="A2248" s="1" t="n">
        <v>45264</v>
      </c>
      <c r="B2248" s="3">
        <f>IF(ISNUMBER(AVERAGE('20250815_ETF_Options_Exhibits'!B2244:B2248)),AVERAGE('20250815_ETF_Options_Exhibits'!B2244:B2248),"")</f>
        <v/>
      </c>
      <c r="C2248" s="3">
        <f>IF(ISNUMBER(AVERAGE('20250815_ETF_Options_Exhibits'!C2244:C2248)),AVERAGE('20250815_ETF_Options_Exhibits'!C2244:C2248),"")</f>
        <v/>
      </c>
      <c r="D2248" s="3">
        <f>IF(ISNUMBER(AVERAGE('20250815_ETF_Options_Exhibits'!D2244:D2248)),AVERAGE('20250815_ETF_Options_Exhibits'!D2244:D2248),"")</f>
        <v/>
      </c>
      <c r="E2248" s="3">
        <f>IF(ISNUMBER(AVERAGE('20250815_ETF_Options_Exhibits'!E2244:E2248)),AVERAGE('20250815_ETF_Options_Exhibits'!E2244:E2248),"")</f>
        <v/>
      </c>
      <c r="F2248" s="3">
        <f>IF(ISNUMBER(AVERAGE('20250815_ETF_Options_Exhibits'!F2244:F2248)),AVERAGE('20250815_ETF_Options_Exhibits'!F2244:F2248),"")</f>
        <v/>
      </c>
      <c r="G2248" s="3">
        <f>IF(ISNUMBER(AVERAGE('20250815_ETF_Options_Exhibits'!G2244:G2248)),AVERAGE('20250815_ETF_Options_Exhibits'!G2244:G2248),"")</f>
        <v/>
      </c>
      <c r="H2248" s="3">
        <f>IF(ISNUMBER(AVERAGE('20250815_ETF_Options_Exhibits'!H2244:H2248)),AVERAGE('20250815_ETF_Options_Exhibits'!H2244:H2248),"")</f>
        <v/>
      </c>
      <c r="I2248" s="3">
        <f>IF(ISNUMBER(AVERAGE('20250815_ETF_Options_Exhibits'!I2244:I2248)),AVERAGE('20250815_ETF_Options_Exhibits'!I2244:I2248),"")</f>
        <v/>
      </c>
      <c r="J2248" s="3">
        <f>IF(ISNUMBER(AVERAGE('20250815_ETF_Options_Exhibits'!J2244:J2248)),AVERAGE('20250815_ETF_Options_Exhibits'!J2244:J2248),"")</f>
        <v/>
      </c>
      <c r="K2248" s="3">
        <f>IF(ISNUMBER(AVERAGE('20250815_ETF_Options_Exhibits'!K2244:K2248)),AVERAGE('20250815_ETF_Options_Exhibits'!K2244:K2248),"")</f>
        <v/>
      </c>
      <c r="L2248" s="3">
        <f>IF(ISNUMBER(AVERAGE('20250815_ETF_Options_Exhibits'!L2244:L2248)),AVERAGE('20250815_ETF_Options_Exhibits'!L2244:L2248),"")</f>
        <v/>
      </c>
      <c r="M2248" s="3">
        <f>IF(ISNUMBER(AVERAGE('20250815_ETF_Options_Exhibits'!M2244:M2248)),AVERAGE('20250815_ETF_Options_Exhibits'!M2244:M2248),"")</f>
        <v/>
      </c>
      <c r="N2248" s="3">
        <f>IF(ISNUMBER(AVERAGE('20250815_ETF_Options_Exhibits'!N2244:N2248)),AVERAGE('20250815_ETF_Options_Exhibits'!N2244:N2248),"")</f>
        <v/>
      </c>
      <c r="O2248" s="3">
        <f>IF(ISNUMBER(AVERAGE('20250815_ETF_Options_Exhibits'!O2244:O2248)),AVERAGE('20250815_ETF_Options_Exhibits'!O2244:O2248),"")</f>
        <v/>
      </c>
      <c r="P2248" s="3">
        <f>IF(ISNUMBER(AVERAGE('20250815_ETF_Options_Exhibits'!P2244:P2248)),AVERAGE('20250815_ETF_Options_Exhibits'!P2244:P2248),"")</f>
        <v/>
      </c>
      <c r="Q2248" s="3">
        <f>IF(ISNUMBER(AVERAGE('20250815_ETF_Options_Exhibits'!Q2244:Q2248)),AVERAGE('20250815_ETF_Options_Exhibits'!Q2244:Q2248),"")</f>
        <v/>
      </c>
      <c r="R2248" s="3">
        <f>IF(ISNUMBER(AVERAGE('20250815_ETF_Options_Exhibits'!R2244:R2248)),AVERAGE('20250815_ETF_Options_Exhibits'!R2244:R2248),"")</f>
        <v/>
      </c>
      <c r="S2248" s="3">
        <f>IF(ISNUMBER(AVERAGE('20250815_ETF_Options_Exhibits'!S2244:S2248)),AVERAGE('20250815_ETF_Options_Exhibits'!S2244:S2248),"")</f>
        <v/>
      </c>
      <c r="T2248" s="3">
        <f>IF(ISNUMBER(AVERAGE('20250815_ETF_Options_Exhibits'!T2244:T2248)),AVERAGE('20250815_ETF_Options_Exhibits'!T2244:T2248),"")</f>
        <v/>
      </c>
      <c r="U2248" s="3">
        <f>IF(ISNUMBER(AVERAGE('20250815_ETF_Options_Exhibits'!U2244:U2248)),AVERAGE('20250815_ETF_Options_Exhibits'!U2244:U2248),"")</f>
        <v/>
      </c>
      <c r="V2248" s="3">
        <f>IF(ISNUMBER(AVERAGE('20250815_ETF_Options_Exhibits'!V2244:V2248)),AVERAGE('20250815_ETF_Options_Exhibits'!V2244:V2248),"")</f>
        <v/>
      </c>
      <c r="W2248" s="3">
        <f>IF(ISNUMBER(AVERAGE('20250815_ETF_Options_Exhibits'!W2244:W2248)),AVERAGE('20250815_ETF_Options_Exhibits'!W2244:W2248),"")</f>
        <v/>
      </c>
      <c r="X2248" s="3">
        <f>IF(ISNUMBER(AVERAGE('20250815_ETF_Options_Exhibits'!X2244:X2248)),AVERAGE('20250815_ETF_Options_Exhibits'!X2244:X2248),"")</f>
        <v/>
      </c>
      <c r="Y2248" s="3">
        <f>IF(ISNUMBER(AVERAGE('20250815_ETF_Options_Exhibits'!Y2244:Y2248)),AVERAGE('20250815_ETF_Options_Exhibits'!Y2244:Y2248),"")</f>
        <v/>
      </c>
      <c r="Z2248" s="3">
        <f>IF(ISNUMBER(AVERAGE('20250815_ETF_Options_Exhibits'!Z2244:Z2248)),AVERAGE('20250815_ETF_Options_Exhibits'!Z2244:Z2248),"")</f>
        <v/>
      </c>
      <c r="AA2248" s="3">
        <f>IF(ISNUMBER(AVERAGE('20250815_ETF_Options_Exhibits'!AA2244:AA2248)),AVERAGE('20250815_ETF_Options_Exhibits'!AA2244:AA2248),"")</f>
        <v/>
      </c>
    </row>
    <row r="2249">
      <c r="A2249" s="1" t="n">
        <v>45265</v>
      </c>
      <c r="B2249" s="3">
        <f>IF(ISNUMBER(AVERAGE('20250815_ETF_Options_Exhibits'!B2245:B2249)),AVERAGE('20250815_ETF_Options_Exhibits'!B2245:B2249),"")</f>
        <v/>
      </c>
      <c r="C2249" s="3">
        <f>IF(ISNUMBER(AVERAGE('20250815_ETF_Options_Exhibits'!C2245:C2249)),AVERAGE('20250815_ETF_Options_Exhibits'!C2245:C2249),"")</f>
        <v/>
      </c>
      <c r="D2249" s="3">
        <f>IF(ISNUMBER(AVERAGE('20250815_ETF_Options_Exhibits'!D2245:D2249)),AVERAGE('20250815_ETF_Options_Exhibits'!D2245:D2249),"")</f>
        <v/>
      </c>
      <c r="E2249" s="3">
        <f>IF(ISNUMBER(AVERAGE('20250815_ETF_Options_Exhibits'!E2245:E2249)),AVERAGE('20250815_ETF_Options_Exhibits'!E2245:E2249),"")</f>
        <v/>
      </c>
      <c r="F2249" s="3">
        <f>IF(ISNUMBER(AVERAGE('20250815_ETF_Options_Exhibits'!F2245:F2249)),AVERAGE('20250815_ETF_Options_Exhibits'!F2245:F2249),"")</f>
        <v/>
      </c>
      <c r="G2249" s="3">
        <f>IF(ISNUMBER(AVERAGE('20250815_ETF_Options_Exhibits'!G2245:G2249)),AVERAGE('20250815_ETF_Options_Exhibits'!G2245:G2249),"")</f>
        <v/>
      </c>
      <c r="H2249" s="3">
        <f>IF(ISNUMBER(AVERAGE('20250815_ETF_Options_Exhibits'!H2245:H2249)),AVERAGE('20250815_ETF_Options_Exhibits'!H2245:H2249),"")</f>
        <v/>
      </c>
      <c r="I2249" s="3">
        <f>IF(ISNUMBER(AVERAGE('20250815_ETF_Options_Exhibits'!I2245:I2249)),AVERAGE('20250815_ETF_Options_Exhibits'!I2245:I2249),"")</f>
        <v/>
      </c>
      <c r="J2249" s="3">
        <f>IF(ISNUMBER(AVERAGE('20250815_ETF_Options_Exhibits'!J2245:J2249)),AVERAGE('20250815_ETF_Options_Exhibits'!J2245:J2249),"")</f>
        <v/>
      </c>
      <c r="K2249" s="3">
        <f>IF(ISNUMBER(AVERAGE('20250815_ETF_Options_Exhibits'!K2245:K2249)),AVERAGE('20250815_ETF_Options_Exhibits'!K2245:K2249),"")</f>
        <v/>
      </c>
      <c r="L2249" s="3">
        <f>IF(ISNUMBER(AVERAGE('20250815_ETF_Options_Exhibits'!L2245:L2249)),AVERAGE('20250815_ETF_Options_Exhibits'!L2245:L2249),"")</f>
        <v/>
      </c>
      <c r="M2249" s="3">
        <f>IF(ISNUMBER(AVERAGE('20250815_ETF_Options_Exhibits'!M2245:M2249)),AVERAGE('20250815_ETF_Options_Exhibits'!M2245:M2249),"")</f>
        <v/>
      </c>
      <c r="N2249" s="3">
        <f>IF(ISNUMBER(AVERAGE('20250815_ETF_Options_Exhibits'!N2245:N2249)),AVERAGE('20250815_ETF_Options_Exhibits'!N2245:N2249),"")</f>
        <v/>
      </c>
      <c r="O2249" s="3">
        <f>IF(ISNUMBER(AVERAGE('20250815_ETF_Options_Exhibits'!O2245:O2249)),AVERAGE('20250815_ETF_Options_Exhibits'!O2245:O2249),"")</f>
        <v/>
      </c>
      <c r="P2249" s="3">
        <f>IF(ISNUMBER(AVERAGE('20250815_ETF_Options_Exhibits'!P2245:P2249)),AVERAGE('20250815_ETF_Options_Exhibits'!P2245:P2249),"")</f>
        <v/>
      </c>
      <c r="Q2249" s="3">
        <f>IF(ISNUMBER(AVERAGE('20250815_ETF_Options_Exhibits'!Q2245:Q2249)),AVERAGE('20250815_ETF_Options_Exhibits'!Q2245:Q2249),"")</f>
        <v/>
      </c>
      <c r="R2249" s="3">
        <f>IF(ISNUMBER(AVERAGE('20250815_ETF_Options_Exhibits'!R2245:R2249)),AVERAGE('20250815_ETF_Options_Exhibits'!R2245:R2249),"")</f>
        <v/>
      </c>
      <c r="S2249" s="3">
        <f>IF(ISNUMBER(AVERAGE('20250815_ETF_Options_Exhibits'!S2245:S2249)),AVERAGE('20250815_ETF_Options_Exhibits'!S2245:S2249),"")</f>
        <v/>
      </c>
      <c r="T2249" s="3">
        <f>IF(ISNUMBER(AVERAGE('20250815_ETF_Options_Exhibits'!T2245:T2249)),AVERAGE('20250815_ETF_Options_Exhibits'!T2245:T2249),"")</f>
        <v/>
      </c>
      <c r="U2249" s="3">
        <f>IF(ISNUMBER(AVERAGE('20250815_ETF_Options_Exhibits'!U2245:U2249)),AVERAGE('20250815_ETF_Options_Exhibits'!U2245:U2249),"")</f>
        <v/>
      </c>
      <c r="V2249" s="3">
        <f>IF(ISNUMBER(AVERAGE('20250815_ETF_Options_Exhibits'!V2245:V2249)),AVERAGE('20250815_ETF_Options_Exhibits'!V2245:V2249),"")</f>
        <v/>
      </c>
      <c r="W2249" s="3">
        <f>IF(ISNUMBER(AVERAGE('20250815_ETF_Options_Exhibits'!W2245:W2249)),AVERAGE('20250815_ETF_Options_Exhibits'!W2245:W2249),"")</f>
        <v/>
      </c>
      <c r="X2249" s="3">
        <f>IF(ISNUMBER(AVERAGE('20250815_ETF_Options_Exhibits'!X2245:X2249)),AVERAGE('20250815_ETF_Options_Exhibits'!X2245:X2249),"")</f>
        <v/>
      </c>
      <c r="Y2249" s="3">
        <f>IF(ISNUMBER(AVERAGE('20250815_ETF_Options_Exhibits'!Y2245:Y2249)),AVERAGE('20250815_ETF_Options_Exhibits'!Y2245:Y2249),"")</f>
        <v/>
      </c>
      <c r="Z2249" s="3">
        <f>IF(ISNUMBER(AVERAGE('20250815_ETF_Options_Exhibits'!Z2245:Z2249)),AVERAGE('20250815_ETF_Options_Exhibits'!Z2245:Z2249),"")</f>
        <v/>
      </c>
      <c r="AA2249" s="3">
        <f>IF(ISNUMBER(AVERAGE('20250815_ETF_Options_Exhibits'!AA2245:AA2249)),AVERAGE('20250815_ETF_Options_Exhibits'!AA2245:AA2249),"")</f>
        <v/>
      </c>
    </row>
    <row r="2250">
      <c r="A2250" s="1" t="n">
        <v>45266</v>
      </c>
      <c r="B2250" s="3">
        <f>IF(ISNUMBER(AVERAGE('20250815_ETF_Options_Exhibits'!B2246:B2250)),AVERAGE('20250815_ETF_Options_Exhibits'!B2246:B2250),"")</f>
        <v/>
      </c>
      <c r="C2250" s="3">
        <f>IF(ISNUMBER(AVERAGE('20250815_ETF_Options_Exhibits'!C2246:C2250)),AVERAGE('20250815_ETF_Options_Exhibits'!C2246:C2250),"")</f>
        <v/>
      </c>
      <c r="D2250" s="3">
        <f>IF(ISNUMBER(AVERAGE('20250815_ETF_Options_Exhibits'!D2246:D2250)),AVERAGE('20250815_ETF_Options_Exhibits'!D2246:D2250),"")</f>
        <v/>
      </c>
      <c r="E2250" s="3">
        <f>IF(ISNUMBER(AVERAGE('20250815_ETF_Options_Exhibits'!E2246:E2250)),AVERAGE('20250815_ETF_Options_Exhibits'!E2246:E2250),"")</f>
        <v/>
      </c>
      <c r="F2250" s="3">
        <f>IF(ISNUMBER(AVERAGE('20250815_ETF_Options_Exhibits'!F2246:F2250)),AVERAGE('20250815_ETF_Options_Exhibits'!F2246:F2250),"")</f>
        <v/>
      </c>
      <c r="G2250" s="3">
        <f>IF(ISNUMBER(AVERAGE('20250815_ETF_Options_Exhibits'!G2246:G2250)),AVERAGE('20250815_ETF_Options_Exhibits'!G2246:G2250),"")</f>
        <v/>
      </c>
      <c r="H2250" s="3">
        <f>IF(ISNUMBER(AVERAGE('20250815_ETF_Options_Exhibits'!H2246:H2250)),AVERAGE('20250815_ETF_Options_Exhibits'!H2246:H2250),"")</f>
        <v/>
      </c>
      <c r="I2250" s="3">
        <f>IF(ISNUMBER(AVERAGE('20250815_ETF_Options_Exhibits'!I2246:I2250)),AVERAGE('20250815_ETF_Options_Exhibits'!I2246:I2250),"")</f>
        <v/>
      </c>
      <c r="J2250" s="3">
        <f>IF(ISNUMBER(AVERAGE('20250815_ETF_Options_Exhibits'!J2246:J2250)),AVERAGE('20250815_ETF_Options_Exhibits'!J2246:J2250),"")</f>
        <v/>
      </c>
      <c r="K2250" s="3">
        <f>IF(ISNUMBER(AVERAGE('20250815_ETF_Options_Exhibits'!K2246:K2250)),AVERAGE('20250815_ETF_Options_Exhibits'!K2246:K2250),"")</f>
        <v/>
      </c>
      <c r="L2250" s="3">
        <f>IF(ISNUMBER(AVERAGE('20250815_ETF_Options_Exhibits'!L2246:L2250)),AVERAGE('20250815_ETF_Options_Exhibits'!L2246:L2250),"")</f>
        <v/>
      </c>
      <c r="M2250" s="3">
        <f>IF(ISNUMBER(AVERAGE('20250815_ETF_Options_Exhibits'!M2246:M2250)),AVERAGE('20250815_ETF_Options_Exhibits'!M2246:M2250),"")</f>
        <v/>
      </c>
      <c r="N2250" s="3">
        <f>IF(ISNUMBER(AVERAGE('20250815_ETF_Options_Exhibits'!N2246:N2250)),AVERAGE('20250815_ETF_Options_Exhibits'!N2246:N2250),"")</f>
        <v/>
      </c>
      <c r="O2250" s="3">
        <f>IF(ISNUMBER(AVERAGE('20250815_ETF_Options_Exhibits'!O2246:O2250)),AVERAGE('20250815_ETF_Options_Exhibits'!O2246:O2250),"")</f>
        <v/>
      </c>
      <c r="P2250" s="3">
        <f>IF(ISNUMBER(AVERAGE('20250815_ETF_Options_Exhibits'!P2246:P2250)),AVERAGE('20250815_ETF_Options_Exhibits'!P2246:P2250),"")</f>
        <v/>
      </c>
      <c r="Q2250" s="3">
        <f>IF(ISNUMBER(AVERAGE('20250815_ETF_Options_Exhibits'!Q2246:Q2250)),AVERAGE('20250815_ETF_Options_Exhibits'!Q2246:Q2250),"")</f>
        <v/>
      </c>
      <c r="R2250" s="3">
        <f>IF(ISNUMBER(AVERAGE('20250815_ETF_Options_Exhibits'!R2246:R2250)),AVERAGE('20250815_ETF_Options_Exhibits'!R2246:R2250),"")</f>
        <v/>
      </c>
      <c r="S2250" s="3">
        <f>IF(ISNUMBER(AVERAGE('20250815_ETF_Options_Exhibits'!S2246:S2250)),AVERAGE('20250815_ETF_Options_Exhibits'!S2246:S2250),"")</f>
        <v/>
      </c>
      <c r="T2250" s="3">
        <f>IF(ISNUMBER(AVERAGE('20250815_ETF_Options_Exhibits'!T2246:T2250)),AVERAGE('20250815_ETF_Options_Exhibits'!T2246:T2250),"")</f>
        <v/>
      </c>
      <c r="U2250" s="3">
        <f>IF(ISNUMBER(AVERAGE('20250815_ETF_Options_Exhibits'!U2246:U2250)),AVERAGE('20250815_ETF_Options_Exhibits'!U2246:U2250),"")</f>
        <v/>
      </c>
      <c r="V2250" s="3">
        <f>IF(ISNUMBER(AVERAGE('20250815_ETF_Options_Exhibits'!V2246:V2250)),AVERAGE('20250815_ETF_Options_Exhibits'!V2246:V2250),"")</f>
        <v/>
      </c>
      <c r="W2250" s="3">
        <f>IF(ISNUMBER(AVERAGE('20250815_ETF_Options_Exhibits'!W2246:W2250)),AVERAGE('20250815_ETF_Options_Exhibits'!W2246:W2250),"")</f>
        <v/>
      </c>
      <c r="X2250" s="3">
        <f>IF(ISNUMBER(AVERAGE('20250815_ETF_Options_Exhibits'!X2246:X2250)),AVERAGE('20250815_ETF_Options_Exhibits'!X2246:X2250),"")</f>
        <v/>
      </c>
      <c r="Y2250" s="3">
        <f>IF(ISNUMBER(AVERAGE('20250815_ETF_Options_Exhibits'!Y2246:Y2250)),AVERAGE('20250815_ETF_Options_Exhibits'!Y2246:Y2250),"")</f>
        <v/>
      </c>
      <c r="Z2250" s="3">
        <f>IF(ISNUMBER(AVERAGE('20250815_ETF_Options_Exhibits'!Z2246:Z2250)),AVERAGE('20250815_ETF_Options_Exhibits'!Z2246:Z2250),"")</f>
        <v/>
      </c>
      <c r="AA2250" s="3">
        <f>IF(ISNUMBER(AVERAGE('20250815_ETF_Options_Exhibits'!AA2246:AA2250)),AVERAGE('20250815_ETF_Options_Exhibits'!AA2246:AA2250),"")</f>
        <v/>
      </c>
    </row>
    <row r="2251">
      <c r="A2251" s="1" t="n">
        <v>45267</v>
      </c>
      <c r="B2251" s="3">
        <f>IF(ISNUMBER(AVERAGE('20250815_ETF_Options_Exhibits'!B2247:B2251)),AVERAGE('20250815_ETF_Options_Exhibits'!B2247:B2251),"")</f>
        <v/>
      </c>
      <c r="C2251" s="3">
        <f>IF(ISNUMBER(AVERAGE('20250815_ETF_Options_Exhibits'!C2247:C2251)),AVERAGE('20250815_ETF_Options_Exhibits'!C2247:C2251),"")</f>
        <v/>
      </c>
      <c r="D2251" s="3">
        <f>IF(ISNUMBER(AVERAGE('20250815_ETF_Options_Exhibits'!D2247:D2251)),AVERAGE('20250815_ETF_Options_Exhibits'!D2247:D2251),"")</f>
        <v/>
      </c>
      <c r="E2251" s="3">
        <f>IF(ISNUMBER(AVERAGE('20250815_ETF_Options_Exhibits'!E2247:E2251)),AVERAGE('20250815_ETF_Options_Exhibits'!E2247:E2251),"")</f>
        <v/>
      </c>
      <c r="F2251" s="3">
        <f>IF(ISNUMBER(AVERAGE('20250815_ETF_Options_Exhibits'!F2247:F2251)),AVERAGE('20250815_ETF_Options_Exhibits'!F2247:F2251),"")</f>
        <v/>
      </c>
      <c r="G2251" s="3">
        <f>IF(ISNUMBER(AVERAGE('20250815_ETF_Options_Exhibits'!G2247:G2251)),AVERAGE('20250815_ETF_Options_Exhibits'!G2247:G2251),"")</f>
        <v/>
      </c>
      <c r="H2251" s="3">
        <f>IF(ISNUMBER(AVERAGE('20250815_ETF_Options_Exhibits'!H2247:H2251)),AVERAGE('20250815_ETF_Options_Exhibits'!H2247:H2251),"")</f>
        <v/>
      </c>
      <c r="I2251" s="3">
        <f>IF(ISNUMBER(AVERAGE('20250815_ETF_Options_Exhibits'!I2247:I2251)),AVERAGE('20250815_ETF_Options_Exhibits'!I2247:I2251),"")</f>
        <v/>
      </c>
      <c r="J2251" s="3">
        <f>IF(ISNUMBER(AVERAGE('20250815_ETF_Options_Exhibits'!J2247:J2251)),AVERAGE('20250815_ETF_Options_Exhibits'!J2247:J2251),"")</f>
        <v/>
      </c>
      <c r="K2251" s="3">
        <f>IF(ISNUMBER(AVERAGE('20250815_ETF_Options_Exhibits'!K2247:K2251)),AVERAGE('20250815_ETF_Options_Exhibits'!K2247:K2251),"")</f>
        <v/>
      </c>
      <c r="L2251" s="3">
        <f>IF(ISNUMBER(AVERAGE('20250815_ETF_Options_Exhibits'!L2247:L2251)),AVERAGE('20250815_ETF_Options_Exhibits'!L2247:L2251),"")</f>
        <v/>
      </c>
      <c r="M2251" s="3">
        <f>IF(ISNUMBER(AVERAGE('20250815_ETF_Options_Exhibits'!M2247:M2251)),AVERAGE('20250815_ETF_Options_Exhibits'!M2247:M2251),"")</f>
        <v/>
      </c>
      <c r="N2251" s="3">
        <f>IF(ISNUMBER(AVERAGE('20250815_ETF_Options_Exhibits'!N2247:N2251)),AVERAGE('20250815_ETF_Options_Exhibits'!N2247:N2251),"")</f>
        <v/>
      </c>
      <c r="O2251" s="3">
        <f>IF(ISNUMBER(AVERAGE('20250815_ETF_Options_Exhibits'!O2247:O2251)),AVERAGE('20250815_ETF_Options_Exhibits'!O2247:O2251),"")</f>
        <v/>
      </c>
      <c r="P2251" s="3">
        <f>IF(ISNUMBER(AVERAGE('20250815_ETF_Options_Exhibits'!P2247:P2251)),AVERAGE('20250815_ETF_Options_Exhibits'!P2247:P2251),"")</f>
        <v/>
      </c>
      <c r="Q2251" s="3">
        <f>IF(ISNUMBER(AVERAGE('20250815_ETF_Options_Exhibits'!Q2247:Q2251)),AVERAGE('20250815_ETF_Options_Exhibits'!Q2247:Q2251),"")</f>
        <v/>
      </c>
      <c r="R2251" s="3">
        <f>IF(ISNUMBER(AVERAGE('20250815_ETF_Options_Exhibits'!R2247:R2251)),AVERAGE('20250815_ETF_Options_Exhibits'!R2247:R2251),"")</f>
        <v/>
      </c>
      <c r="S2251" s="3">
        <f>IF(ISNUMBER(AVERAGE('20250815_ETF_Options_Exhibits'!S2247:S2251)),AVERAGE('20250815_ETF_Options_Exhibits'!S2247:S2251),"")</f>
        <v/>
      </c>
      <c r="T2251" s="3">
        <f>IF(ISNUMBER(AVERAGE('20250815_ETF_Options_Exhibits'!T2247:T2251)),AVERAGE('20250815_ETF_Options_Exhibits'!T2247:T2251),"")</f>
        <v/>
      </c>
      <c r="U2251" s="3">
        <f>IF(ISNUMBER(AVERAGE('20250815_ETF_Options_Exhibits'!U2247:U2251)),AVERAGE('20250815_ETF_Options_Exhibits'!U2247:U2251),"")</f>
        <v/>
      </c>
      <c r="V2251" s="3">
        <f>IF(ISNUMBER(AVERAGE('20250815_ETF_Options_Exhibits'!V2247:V2251)),AVERAGE('20250815_ETF_Options_Exhibits'!V2247:V2251),"")</f>
        <v/>
      </c>
      <c r="W2251" s="3">
        <f>IF(ISNUMBER(AVERAGE('20250815_ETF_Options_Exhibits'!W2247:W2251)),AVERAGE('20250815_ETF_Options_Exhibits'!W2247:W2251),"")</f>
        <v/>
      </c>
      <c r="X2251" s="3">
        <f>IF(ISNUMBER(AVERAGE('20250815_ETF_Options_Exhibits'!X2247:X2251)),AVERAGE('20250815_ETF_Options_Exhibits'!X2247:X2251),"")</f>
        <v/>
      </c>
      <c r="Y2251" s="3">
        <f>IF(ISNUMBER(AVERAGE('20250815_ETF_Options_Exhibits'!Y2247:Y2251)),AVERAGE('20250815_ETF_Options_Exhibits'!Y2247:Y2251),"")</f>
        <v/>
      </c>
      <c r="Z2251" s="3">
        <f>IF(ISNUMBER(AVERAGE('20250815_ETF_Options_Exhibits'!Z2247:Z2251)),AVERAGE('20250815_ETF_Options_Exhibits'!Z2247:Z2251),"")</f>
        <v/>
      </c>
      <c r="AA2251" s="3">
        <f>IF(ISNUMBER(AVERAGE('20250815_ETF_Options_Exhibits'!AA2247:AA2251)),AVERAGE('20250815_ETF_Options_Exhibits'!AA2247:AA2251),"")</f>
        <v/>
      </c>
    </row>
    <row r="2252">
      <c r="A2252" s="1" t="n">
        <v>45268</v>
      </c>
      <c r="B2252" s="3">
        <f>IF(ISNUMBER(AVERAGE('20250815_ETF_Options_Exhibits'!B2248:B2252)),AVERAGE('20250815_ETF_Options_Exhibits'!B2248:B2252),"")</f>
        <v/>
      </c>
      <c r="C2252" s="3">
        <f>IF(ISNUMBER(AVERAGE('20250815_ETF_Options_Exhibits'!C2248:C2252)),AVERAGE('20250815_ETF_Options_Exhibits'!C2248:C2252),"")</f>
        <v/>
      </c>
      <c r="D2252" s="3">
        <f>IF(ISNUMBER(AVERAGE('20250815_ETF_Options_Exhibits'!D2248:D2252)),AVERAGE('20250815_ETF_Options_Exhibits'!D2248:D2252),"")</f>
        <v/>
      </c>
      <c r="E2252" s="3">
        <f>IF(ISNUMBER(AVERAGE('20250815_ETF_Options_Exhibits'!E2248:E2252)),AVERAGE('20250815_ETF_Options_Exhibits'!E2248:E2252),"")</f>
        <v/>
      </c>
      <c r="F2252" s="3">
        <f>IF(ISNUMBER(AVERAGE('20250815_ETF_Options_Exhibits'!F2248:F2252)),AVERAGE('20250815_ETF_Options_Exhibits'!F2248:F2252),"")</f>
        <v/>
      </c>
      <c r="G2252" s="3">
        <f>IF(ISNUMBER(AVERAGE('20250815_ETF_Options_Exhibits'!G2248:G2252)),AVERAGE('20250815_ETF_Options_Exhibits'!G2248:G2252),"")</f>
        <v/>
      </c>
      <c r="H2252" s="3">
        <f>IF(ISNUMBER(AVERAGE('20250815_ETF_Options_Exhibits'!H2248:H2252)),AVERAGE('20250815_ETF_Options_Exhibits'!H2248:H2252),"")</f>
        <v/>
      </c>
      <c r="I2252" s="3">
        <f>IF(ISNUMBER(AVERAGE('20250815_ETF_Options_Exhibits'!I2248:I2252)),AVERAGE('20250815_ETF_Options_Exhibits'!I2248:I2252),"")</f>
        <v/>
      </c>
      <c r="J2252" s="3">
        <f>IF(ISNUMBER(AVERAGE('20250815_ETF_Options_Exhibits'!J2248:J2252)),AVERAGE('20250815_ETF_Options_Exhibits'!J2248:J2252),"")</f>
        <v/>
      </c>
      <c r="K2252" s="3">
        <f>IF(ISNUMBER(AVERAGE('20250815_ETF_Options_Exhibits'!K2248:K2252)),AVERAGE('20250815_ETF_Options_Exhibits'!K2248:K2252),"")</f>
        <v/>
      </c>
      <c r="L2252" s="3">
        <f>IF(ISNUMBER(AVERAGE('20250815_ETF_Options_Exhibits'!L2248:L2252)),AVERAGE('20250815_ETF_Options_Exhibits'!L2248:L2252),"")</f>
        <v/>
      </c>
      <c r="M2252" s="3">
        <f>IF(ISNUMBER(AVERAGE('20250815_ETF_Options_Exhibits'!M2248:M2252)),AVERAGE('20250815_ETF_Options_Exhibits'!M2248:M2252),"")</f>
        <v/>
      </c>
      <c r="N2252" s="3">
        <f>IF(ISNUMBER(AVERAGE('20250815_ETF_Options_Exhibits'!N2248:N2252)),AVERAGE('20250815_ETF_Options_Exhibits'!N2248:N2252),"")</f>
        <v/>
      </c>
      <c r="O2252" s="3">
        <f>IF(ISNUMBER(AVERAGE('20250815_ETF_Options_Exhibits'!O2248:O2252)),AVERAGE('20250815_ETF_Options_Exhibits'!O2248:O2252),"")</f>
        <v/>
      </c>
      <c r="P2252" s="3">
        <f>IF(ISNUMBER(AVERAGE('20250815_ETF_Options_Exhibits'!P2248:P2252)),AVERAGE('20250815_ETF_Options_Exhibits'!P2248:P2252),"")</f>
        <v/>
      </c>
      <c r="Q2252" s="3">
        <f>IF(ISNUMBER(AVERAGE('20250815_ETF_Options_Exhibits'!Q2248:Q2252)),AVERAGE('20250815_ETF_Options_Exhibits'!Q2248:Q2252),"")</f>
        <v/>
      </c>
      <c r="R2252" s="3">
        <f>IF(ISNUMBER(AVERAGE('20250815_ETF_Options_Exhibits'!R2248:R2252)),AVERAGE('20250815_ETF_Options_Exhibits'!R2248:R2252),"")</f>
        <v/>
      </c>
      <c r="S2252" s="3">
        <f>IF(ISNUMBER(AVERAGE('20250815_ETF_Options_Exhibits'!S2248:S2252)),AVERAGE('20250815_ETF_Options_Exhibits'!S2248:S2252),"")</f>
        <v/>
      </c>
      <c r="T2252" s="3">
        <f>IF(ISNUMBER(AVERAGE('20250815_ETF_Options_Exhibits'!T2248:T2252)),AVERAGE('20250815_ETF_Options_Exhibits'!T2248:T2252),"")</f>
        <v/>
      </c>
      <c r="U2252" s="3">
        <f>IF(ISNUMBER(AVERAGE('20250815_ETF_Options_Exhibits'!U2248:U2252)),AVERAGE('20250815_ETF_Options_Exhibits'!U2248:U2252),"")</f>
        <v/>
      </c>
      <c r="V2252" s="3">
        <f>IF(ISNUMBER(AVERAGE('20250815_ETF_Options_Exhibits'!V2248:V2252)),AVERAGE('20250815_ETF_Options_Exhibits'!V2248:V2252),"")</f>
        <v/>
      </c>
      <c r="W2252" s="3">
        <f>IF(ISNUMBER(AVERAGE('20250815_ETF_Options_Exhibits'!W2248:W2252)),AVERAGE('20250815_ETF_Options_Exhibits'!W2248:W2252),"")</f>
        <v/>
      </c>
      <c r="X2252" s="3">
        <f>IF(ISNUMBER(AVERAGE('20250815_ETF_Options_Exhibits'!X2248:X2252)),AVERAGE('20250815_ETF_Options_Exhibits'!X2248:X2252),"")</f>
        <v/>
      </c>
      <c r="Y2252" s="3">
        <f>IF(ISNUMBER(AVERAGE('20250815_ETF_Options_Exhibits'!Y2248:Y2252)),AVERAGE('20250815_ETF_Options_Exhibits'!Y2248:Y2252),"")</f>
        <v/>
      </c>
      <c r="Z2252" s="3">
        <f>IF(ISNUMBER(AVERAGE('20250815_ETF_Options_Exhibits'!Z2248:Z2252)),AVERAGE('20250815_ETF_Options_Exhibits'!Z2248:Z2252),"")</f>
        <v/>
      </c>
      <c r="AA2252" s="3">
        <f>IF(ISNUMBER(AVERAGE('20250815_ETF_Options_Exhibits'!AA2248:AA2252)),AVERAGE('20250815_ETF_Options_Exhibits'!AA2248:AA2252),"")</f>
        <v/>
      </c>
    </row>
    <row r="2253">
      <c r="A2253" s="1" t="n">
        <v>45271</v>
      </c>
      <c r="B2253" s="3">
        <f>IF(ISNUMBER(AVERAGE('20250815_ETF_Options_Exhibits'!B2249:B2253)),AVERAGE('20250815_ETF_Options_Exhibits'!B2249:B2253),"")</f>
        <v/>
      </c>
      <c r="C2253" s="3">
        <f>IF(ISNUMBER(AVERAGE('20250815_ETF_Options_Exhibits'!C2249:C2253)),AVERAGE('20250815_ETF_Options_Exhibits'!C2249:C2253),"")</f>
        <v/>
      </c>
      <c r="D2253" s="3">
        <f>IF(ISNUMBER(AVERAGE('20250815_ETF_Options_Exhibits'!D2249:D2253)),AVERAGE('20250815_ETF_Options_Exhibits'!D2249:D2253),"")</f>
        <v/>
      </c>
      <c r="E2253" s="3">
        <f>IF(ISNUMBER(AVERAGE('20250815_ETF_Options_Exhibits'!E2249:E2253)),AVERAGE('20250815_ETF_Options_Exhibits'!E2249:E2253),"")</f>
        <v/>
      </c>
      <c r="F2253" s="3">
        <f>IF(ISNUMBER(AVERAGE('20250815_ETF_Options_Exhibits'!F2249:F2253)),AVERAGE('20250815_ETF_Options_Exhibits'!F2249:F2253),"")</f>
        <v/>
      </c>
      <c r="G2253" s="3">
        <f>IF(ISNUMBER(AVERAGE('20250815_ETF_Options_Exhibits'!G2249:G2253)),AVERAGE('20250815_ETF_Options_Exhibits'!G2249:G2253),"")</f>
        <v/>
      </c>
      <c r="H2253" s="3">
        <f>IF(ISNUMBER(AVERAGE('20250815_ETF_Options_Exhibits'!H2249:H2253)),AVERAGE('20250815_ETF_Options_Exhibits'!H2249:H2253),"")</f>
        <v/>
      </c>
      <c r="I2253" s="3">
        <f>IF(ISNUMBER(AVERAGE('20250815_ETF_Options_Exhibits'!I2249:I2253)),AVERAGE('20250815_ETF_Options_Exhibits'!I2249:I2253),"")</f>
        <v/>
      </c>
      <c r="J2253" s="3">
        <f>IF(ISNUMBER(AVERAGE('20250815_ETF_Options_Exhibits'!J2249:J2253)),AVERAGE('20250815_ETF_Options_Exhibits'!J2249:J2253),"")</f>
        <v/>
      </c>
      <c r="K2253" s="3">
        <f>IF(ISNUMBER(AVERAGE('20250815_ETF_Options_Exhibits'!K2249:K2253)),AVERAGE('20250815_ETF_Options_Exhibits'!K2249:K2253),"")</f>
        <v/>
      </c>
      <c r="L2253" s="3">
        <f>IF(ISNUMBER(AVERAGE('20250815_ETF_Options_Exhibits'!L2249:L2253)),AVERAGE('20250815_ETF_Options_Exhibits'!L2249:L2253),"")</f>
        <v/>
      </c>
      <c r="M2253" s="3">
        <f>IF(ISNUMBER(AVERAGE('20250815_ETF_Options_Exhibits'!M2249:M2253)),AVERAGE('20250815_ETF_Options_Exhibits'!M2249:M2253),"")</f>
        <v/>
      </c>
      <c r="N2253" s="3">
        <f>IF(ISNUMBER(AVERAGE('20250815_ETF_Options_Exhibits'!N2249:N2253)),AVERAGE('20250815_ETF_Options_Exhibits'!N2249:N2253),"")</f>
        <v/>
      </c>
      <c r="O2253" s="3">
        <f>IF(ISNUMBER(AVERAGE('20250815_ETF_Options_Exhibits'!O2249:O2253)),AVERAGE('20250815_ETF_Options_Exhibits'!O2249:O2253),"")</f>
        <v/>
      </c>
      <c r="P2253" s="3">
        <f>IF(ISNUMBER(AVERAGE('20250815_ETF_Options_Exhibits'!P2249:P2253)),AVERAGE('20250815_ETF_Options_Exhibits'!P2249:P2253),"")</f>
        <v/>
      </c>
      <c r="Q2253" s="3">
        <f>IF(ISNUMBER(AVERAGE('20250815_ETF_Options_Exhibits'!Q2249:Q2253)),AVERAGE('20250815_ETF_Options_Exhibits'!Q2249:Q2253),"")</f>
        <v/>
      </c>
      <c r="R2253" s="3">
        <f>IF(ISNUMBER(AVERAGE('20250815_ETF_Options_Exhibits'!R2249:R2253)),AVERAGE('20250815_ETF_Options_Exhibits'!R2249:R2253),"")</f>
        <v/>
      </c>
      <c r="S2253" s="3">
        <f>IF(ISNUMBER(AVERAGE('20250815_ETF_Options_Exhibits'!S2249:S2253)),AVERAGE('20250815_ETF_Options_Exhibits'!S2249:S2253),"")</f>
        <v/>
      </c>
      <c r="T2253" s="3">
        <f>IF(ISNUMBER(AVERAGE('20250815_ETF_Options_Exhibits'!T2249:T2253)),AVERAGE('20250815_ETF_Options_Exhibits'!T2249:T2253),"")</f>
        <v/>
      </c>
      <c r="U2253" s="3">
        <f>IF(ISNUMBER(AVERAGE('20250815_ETF_Options_Exhibits'!U2249:U2253)),AVERAGE('20250815_ETF_Options_Exhibits'!U2249:U2253),"")</f>
        <v/>
      </c>
      <c r="V2253" s="3">
        <f>IF(ISNUMBER(AVERAGE('20250815_ETF_Options_Exhibits'!V2249:V2253)),AVERAGE('20250815_ETF_Options_Exhibits'!V2249:V2253),"")</f>
        <v/>
      </c>
      <c r="W2253" s="3">
        <f>IF(ISNUMBER(AVERAGE('20250815_ETF_Options_Exhibits'!W2249:W2253)),AVERAGE('20250815_ETF_Options_Exhibits'!W2249:W2253),"")</f>
        <v/>
      </c>
      <c r="X2253" s="3">
        <f>IF(ISNUMBER(AVERAGE('20250815_ETF_Options_Exhibits'!X2249:X2253)),AVERAGE('20250815_ETF_Options_Exhibits'!X2249:X2253),"")</f>
        <v/>
      </c>
      <c r="Y2253" s="3">
        <f>IF(ISNUMBER(AVERAGE('20250815_ETF_Options_Exhibits'!Y2249:Y2253)),AVERAGE('20250815_ETF_Options_Exhibits'!Y2249:Y2253),"")</f>
        <v/>
      </c>
      <c r="Z2253" s="3">
        <f>IF(ISNUMBER(AVERAGE('20250815_ETF_Options_Exhibits'!Z2249:Z2253)),AVERAGE('20250815_ETF_Options_Exhibits'!Z2249:Z2253),"")</f>
        <v/>
      </c>
      <c r="AA2253" s="3">
        <f>IF(ISNUMBER(AVERAGE('20250815_ETF_Options_Exhibits'!AA2249:AA2253)),AVERAGE('20250815_ETF_Options_Exhibits'!AA2249:AA2253),"")</f>
        <v/>
      </c>
    </row>
    <row r="2254">
      <c r="A2254" s="1" t="n">
        <v>45272</v>
      </c>
      <c r="B2254" s="3">
        <f>IF(ISNUMBER(AVERAGE('20250815_ETF_Options_Exhibits'!B2250:B2254)),AVERAGE('20250815_ETF_Options_Exhibits'!B2250:B2254),"")</f>
        <v/>
      </c>
      <c r="C2254" s="3">
        <f>IF(ISNUMBER(AVERAGE('20250815_ETF_Options_Exhibits'!C2250:C2254)),AVERAGE('20250815_ETF_Options_Exhibits'!C2250:C2254),"")</f>
        <v/>
      </c>
      <c r="D2254" s="3">
        <f>IF(ISNUMBER(AVERAGE('20250815_ETF_Options_Exhibits'!D2250:D2254)),AVERAGE('20250815_ETF_Options_Exhibits'!D2250:D2254),"")</f>
        <v/>
      </c>
      <c r="E2254" s="3">
        <f>IF(ISNUMBER(AVERAGE('20250815_ETF_Options_Exhibits'!E2250:E2254)),AVERAGE('20250815_ETF_Options_Exhibits'!E2250:E2254),"")</f>
        <v/>
      </c>
      <c r="F2254" s="3">
        <f>IF(ISNUMBER(AVERAGE('20250815_ETF_Options_Exhibits'!F2250:F2254)),AVERAGE('20250815_ETF_Options_Exhibits'!F2250:F2254),"")</f>
        <v/>
      </c>
      <c r="G2254" s="3">
        <f>IF(ISNUMBER(AVERAGE('20250815_ETF_Options_Exhibits'!G2250:G2254)),AVERAGE('20250815_ETF_Options_Exhibits'!G2250:G2254),"")</f>
        <v/>
      </c>
      <c r="H2254" s="3">
        <f>IF(ISNUMBER(AVERAGE('20250815_ETF_Options_Exhibits'!H2250:H2254)),AVERAGE('20250815_ETF_Options_Exhibits'!H2250:H2254),"")</f>
        <v/>
      </c>
      <c r="I2254" s="3">
        <f>IF(ISNUMBER(AVERAGE('20250815_ETF_Options_Exhibits'!I2250:I2254)),AVERAGE('20250815_ETF_Options_Exhibits'!I2250:I2254),"")</f>
        <v/>
      </c>
      <c r="J2254" s="3">
        <f>IF(ISNUMBER(AVERAGE('20250815_ETF_Options_Exhibits'!J2250:J2254)),AVERAGE('20250815_ETF_Options_Exhibits'!J2250:J2254),"")</f>
        <v/>
      </c>
      <c r="K2254" s="3">
        <f>IF(ISNUMBER(AVERAGE('20250815_ETF_Options_Exhibits'!K2250:K2254)),AVERAGE('20250815_ETF_Options_Exhibits'!K2250:K2254),"")</f>
        <v/>
      </c>
      <c r="L2254" s="3">
        <f>IF(ISNUMBER(AVERAGE('20250815_ETF_Options_Exhibits'!L2250:L2254)),AVERAGE('20250815_ETF_Options_Exhibits'!L2250:L2254),"")</f>
        <v/>
      </c>
      <c r="M2254" s="3">
        <f>IF(ISNUMBER(AVERAGE('20250815_ETF_Options_Exhibits'!M2250:M2254)),AVERAGE('20250815_ETF_Options_Exhibits'!M2250:M2254),"")</f>
        <v/>
      </c>
      <c r="N2254" s="3">
        <f>IF(ISNUMBER(AVERAGE('20250815_ETF_Options_Exhibits'!N2250:N2254)),AVERAGE('20250815_ETF_Options_Exhibits'!N2250:N2254),"")</f>
        <v/>
      </c>
      <c r="O2254" s="3">
        <f>IF(ISNUMBER(AVERAGE('20250815_ETF_Options_Exhibits'!O2250:O2254)),AVERAGE('20250815_ETF_Options_Exhibits'!O2250:O2254),"")</f>
        <v/>
      </c>
      <c r="P2254" s="3">
        <f>IF(ISNUMBER(AVERAGE('20250815_ETF_Options_Exhibits'!P2250:P2254)),AVERAGE('20250815_ETF_Options_Exhibits'!P2250:P2254),"")</f>
        <v/>
      </c>
      <c r="Q2254" s="3">
        <f>IF(ISNUMBER(AVERAGE('20250815_ETF_Options_Exhibits'!Q2250:Q2254)),AVERAGE('20250815_ETF_Options_Exhibits'!Q2250:Q2254),"")</f>
        <v/>
      </c>
      <c r="R2254" s="3">
        <f>IF(ISNUMBER(AVERAGE('20250815_ETF_Options_Exhibits'!R2250:R2254)),AVERAGE('20250815_ETF_Options_Exhibits'!R2250:R2254),"")</f>
        <v/>
      </c>
      <c r="S2254" s="3">
        <f>IF(ISNUMBER(AVERAGE('20250815_ETF_Options_Exhibits'!S2250:S2254)),AVERAGE('20250815_ETF_Options_Exhibits'!S2250:S2254),"")</f>
        <v/>
      </c>
      <c r="T2254" s="3">
        <f>IF(ISNUMBER(AVERAGE('20250815_ETF_Options_Exhibits'!T2250:T2254)),AVERAGE('20250815_ETF_Options_Exhibits'!T2250:T2254),"")</f>
        <v/>
      </c>
      <c r="U2254" s="3">
        <f>IF(ISNUMBER(AVERAGE('20250815_ETF_Options_Exhibits'!U2250:U2254)),AVERAGE('20250815_ETF_Options_Exhibits'!U2250:U2254),"")</f>
        <v/>
      </c>
      <c r="V2254" s="3">
        <f>IF(ISNUMBER(AVERAGE('20250815_ETF_Options_Exhibits'!V2250:V2254)),AVERAGE('20250815_ETF_Options_Exhibits'!V2250:V2254),"")</f>
        <v/>
      </c>
      <c r="W2254" s="3">
        <f>IF(ISNUMBER(AVERAGE('20250815_ETF_Options_Exhibits'!W2250:W2254)),AVERAGE('20250815_ETF_Options_Exhibits'!W2250:W2254),"")</f>
        <v/>
      </c>
      <c r="X2254" s="3">
        <f>IF(ISNUMBER(AVERAGE('20250815_ETF_Options_Exhibits'!X2250:X2254)),AVERAGE('20250815_ETF_Options_Exhibits'!X2250:X2254),"")</f>
        <v/>
      </c>
      <c r="Y2254" s="3">
        <f>IF(ISNUMBER(AVERAGE('20250815_ETF_Options_Exhibits'!Y2250:Y2254)),AVERAGE('20250815_ETF_Options_Exhibits'!Y2250:Y2254),"")</f>
        <v/>
      </c>
      <c r="Z2254" s="3">
        <f>IF(ISNUMBER(AVERAGE('20250815_ETF_Options_Exhibits'!Z2250:Z2254)),AVERAGE('20250815_ETF_Options_Exhibits'!Z2250:Z2254),"")</f>
        <v/>
      </c>
      <c r="AA2254" s="3">
        <f>IF(ISNUMBER(AVERAGE('20250815_ETF_Options_Exhibits'!AA2250:AA2254)),AVERAGE('20250815_ETF_Options_Exhibits'!AA2250:AA2254),"")</f>
        <v/>
      </c>
    </row>
    <row r="2255">
      <c r="A2255" s="1" t="n">
        <v>45273</v>
      </c>
      <c r="B2255" s="3">
        <f>IF(ISNUMBER(AVERAGE('20250815_ETF_Options_Exhibits'!B2251:B2255)),AVERAGE('20250815_ETF_Options_Exhibits'!B2251:B2255),"")</f>
        <v/>
      </c>
      <c r="C2255" s="3">
        <f>IF(ISNUMBER(AVERAGE('20250815_ETF_Options_Exhibits'!C2251:C2255)),AVERAGE('20250815_ETF_Options_Exhibits'!C2251:C2255),"")</f>
        <v/>
      </c>
      <c r="D2255" s="3">
        <f>IF(ISNUMBER(AVERAGE('20250815_ETF_Options_Exhibits'!D2251:D2255)),AVERAGE('20250815_ETF_Options_Exhibits'!D2251:D2255),"")</f>
        <v/>
      </c>
      <c r="E2255" s="3">
        <f>IF(ISNUMBER(AVERAGE('20250815_ETF_Options_Exhibits'!E2251:E2255)),AVERAGE('20250815_ETF_Options_Exhibits'!E2251:E2255),"")</f>
        <v/>
      </c>
      <c r="F2255" s="3">
        <f>IF(ISNUMBER(AVERAGE('20250815_ETF_Options_Exhibits'!F2251:F2255)),AVERAGE('20250815_ETF_Options_Exhibits'!F2251:F2255),"")</f>
        <v/>
      </c>
      <c r="G2255" s="3">
        <f>IF(ISNUMBER(AVERAGE('20250815_ETF_Options_Exhibits'!G2251:G2255)),AVERAGE('20250815_ETF_Options_Exhibits'!G2251:G2255),"")</f>
        <v/>
      </c>
      <c r="H2255" s="3">
        <f>IF(ISNUMBER(AVERAGE('20250815_ETF_Options_Exhibits'!H2251:H2255)),AVERAGE('20250815_ETF_Options_Exhibits'!H2251:H2255),"")</f>
        <v/>
      </c>
      <c r="I2255" s="3">
        <f>IF(ISNUMBER(AVERAGE('20250815_ETF_Options_Exhibits'!I2251:I2255)),AVERAGE('20250815_ETF_Options_Exhibits'!I2251:I2255),"")</f>
        <v/>
      </c>
      <c r="J2255" s="3">
        <f>IF(ISNUMBER(AVERAGE('20250815_ETF_Options_Exhibits'!J2251:J2255)),AVERAGE('20250815_ETF_Options_Exhibits'!J2251:J2255),"")</f>
        <v/>
      </c>
      <c r="K2255" s="3">
        <f>IF(ISNUMBER(AVERAGE('20250815_ETF_Options_Exhibits'!K2251:K2255)),AVERAGE('20250815_ETF_Options_Exhibits'!K2251:K2255),"")</f>
        <v/>
      </c>
      <c r="L2255" s="3">
        <f>IF(ISNUMBER(AVERAGE('20250815_ETF_Options_Exhibits'!L2251:L2255)),AVERAGE('20250815_ETF_Options_Exhibits'!L2251:L2255),"")</f>
        <v/>
      </c>
      <c r="M2255" s="3">
        <f>IF(ISNUMBER(AVERAGE('20250815_ETF_Options_Exhibits'!M2251:M2255)),AVERAGE('20250815_ETF_Options_Exhibits'!M2251:M2255),"")</f>
        <v/>
      </c>
      <c r="N2255" s="3">
        <f>IF(ISNUMBER(AVERAGE('20250815_ETF_Options_Exhibits'!N2251:N2255)),AVERAGE('20250815_ETF_Options_Exhibits'!N2251:N2255),"")</f>
        <v/>
      </c>
      <c r="O2255" s="3">
        <f>IF(ISNUMBER(AVERAGE('20250815_ETF_Options_Exhibits'!O2251:O2255)),AVERAGE('20250815_ETF_Options_Exhibits'!O2251:O2255),"")</f>
        <v/>
      </c>
      <c r="P2255" s="3">
        <f>IF(ISNUMBER(AVERAGE('20250815_ETF_Options_Exhibits'!P2251:P2255)),AVERAGE('20250815_ETF_Options_Exhibits'!P2251:P2255),"")</f>
        <v/>
      </c>
      <c r="Q2255" s="3">
        <f>IF(ISNUMBER(AVERAGE('20250815_ETF_Options_Exhibits'!Q2251:Q2255)),AVERAGE('20250815_ETF_Options_Exhibits'!Q2251:Q2255),"")</f>
        <v/>
      </c>
      <c r="R2255" s="3">
        <f>IF(ISNUMBER(AVERAGE('20250815_ETF_Options_Exhibits'!R2251:R2255)),AVERAGE('20250815_ETF_Options_Exhibits'!R2251:R2255),"")</f>
        <v/>
      </c>
      <c r="S2255" s="3">
        <f>IF(ISNUMBER(AVERAGE('20250815_ETF_Options_Exhibits'!S2251:S2255)),AVERAGE('20250815_ETF_Options_Exhibits'!S2251:S2255),"")</f>
        <v/>
      </c>
      <c r="T2255" s="3">
        <f>IF(ISNUMBER(AVERAGE('20250815_ETF_Options_Exhibits'!T2251:T2255)),AVERAGE('20250815_ETF_Options_Exhibits'!T2251:T2255),"")</f>
        <v/>
      </c>
      <c r="U2255" s="3">
        <f>IF(ISNUMBER(AVERAGE('20250815_ETF_Options_Exhibits'!U2251:U2255)),AVERAGE('20250815_ETF_Options_Exhibits'!U2251:U2255),"")</f>
        <v/>
      </c>
      <c r="V2255" s="3">
        <f>IF(ISNUMBER(AVERAGE('20250815_ETF_Options_Exhibits'!V2251:V2255)),AVERAGE('20250815_ETF_Options_Exhibits'!V2251:V2255),"")</f>
        <v/>
      </c>
      <c r="W2255" s="3">
        <f>IF(ISNUMBER(AVERAGE('20250815_ETF_Options_Exhibits'!W2251:W2255)),AVERAGE('20250815_ETF_Options_Exhibits'!W2251:W2255),"")</f>
        <v/>
      </c>
      <c r="X2255" s="3">
        <f>IF(ISNUMBER(AVERAGE('20250815_ETF_Options_Exhibits'!X2251:X2255)),AVERAGE('20250815_ETF_Options_Exhibits'!X2251:X2255),"")</f>
        <v/>
      </c>
      <c r="Y2255" s="3">
        <f>IF(ISNUMBER(AVERAGE('20250815_ETF_Options_Exhibits'!Y2251:Y2255)),AVERAGE('20250815_ETF_Options_Exhibits'!Y2251:Y2255),"")</f>
        <v/>
      </c>
      <c r="Z2255" s="3">
        <f>IF(ISNUMBER(AVERAGE('20250815_ETF_Options_Exhibits'!Z2251:Z2255)),AVERAGE('20250815_ETF_Options_Exhibits'!Z2251:Z2255),"")</f>
        <v/>
      </c>
      <c r="AA2255" s="3">
        <f>IF(ISNUMBER(AVERAGE('20250815_ETF_Options_Exhibits'!AA2251:AA2255)),AVERAGE('20250815_ETF_Options_Exhibits'!AA2251:AA2255),"")</f>
        <v/>
      </c>
    </row>
    <row r="2256">
      <c r="A2256" s="1" t="n">
        <v>45274</v>
      </c>
      <c r="B2256" s="3">
        <f>IF(ISNUMBER(AVERAGE('20250815_ETF_Options_Exhibits'!B2252:B2256)),AVERAGE('20250815_ETF_Options_Exhibits'!B2252:B2256),"")</f>
        <v/>
      </c>
      <c r="C2256" s="3">
        <f>IF(ISNUMBER(AVERAGE('20250815_ETF_Options_Exhibits'!C2252:C2256)),AVERAGE('20250815_ETF_Options_Exhibits'!C2252:C2256),"")</f>
        <v/>
      </c>
      <c r="D2256" s="3">
        <f>IF(ISNUMBER(AVERAGE('20250815_ETF_Options_Exhibits'!D2252:D2256)),AVERAGE('20250815_ETF_Options_Exhibits'!D2252:D2256),"")</f>
        <v/>
      </c>
      <c r="E2256" s="3">
        <f>IF(ISNUMBER(AVERAGE('20250815_ETF_Options_Exhibits'!E2252:E2256)),AVERAGE('20250815_ETF_Options_Exhibits'!E2252:E2256),"")</f>
        <v/>
      </c>
      <c r="F2256" s="3">
        <f>IF(ISNUMBER(AVERAGE('20250815_ETF_Options_Exhibits'!F2252:F2256)),AVERAGE('20250815_ETF_Options_Exhibits'!F2252:F2256),"")</f>
        <v/>
      </c>
      <c r="G2256" s="3">
        <f>IF(ISNUMBER(AVERAGE('20250815_ETF_Options_Exhibits'!G2252:G2256)),AVERAGE('20250815_ETF_Options_Exhibits'!G2252:G2256),"")</f>
        <v/>
      </c>
      <c r="H2256" s="3">
        <f>IF(ISNUMBER(AVERAGE('20250815_ETF_Options_Exhibits'!H2252:H2256)),AVERAGE('20250815_ETF_Options_Exhibits'!H2252:H2256),"")</f>
        <v/>
      </c>
      <c r="I2256" s="3">
        <f>IF(ISNUMBER(AVERAGE('20250815_ETF_Options_Exhibits'!I2252:I2256)),AVERAGE('20250815_ETF_Options_Exhibits'!I2252:I2256),"")</f>
        <v/>
      </c>
      <c r="J2256" s="3">
        <f>IF(ISNUMBER(AVERAGE('20250815_ETF_Options_Exhibits'!J2252:J2256)),AVERAGE('20250815_ETF_Options_Exhibits'!J2252:J2256),"")</f>
        <v/>
      </c>
      <c r="K2256" s="3">
        <f>IF(ISNUMBER(AVERAGE('20250815_ETF_Options_Exhibits'!K2252:K2256)),AVERAGE('20250815_ETF_Options_Exhibits'!K2252:K2256),"")</f>
        <v/>
      </c>
      <c r="L2256" s="3">
        <f>IF(ISNUMBER(AVERAGE('20250815_ETF_Options_Exhibits'!L2252:L2256)),AVERAGE('20250815_ETF_Options_Exhibits'!L2252:L2256),"")</f>
        <v/>
      </c>
      <c r="M2256" s="3">
        <f>IF(ISNUMBER(AVERAGE('20250815_ETF_Options_Exhibits'!M2252:M2256)),AVERAGE('20250815_ETF_Options_Exhibits'!M2252:M2256),"")</f>
        <v/>
      </c>
      <c r="N2256" s="3">
        <f>IF(ISNUMBER(AVERAGE('20250815_ETF_Options_Exhibits'!N2252:N2256)),AVERAGE('20250815_ETF_Options_Exhibits'!N2252:N2256),"")</f>
        <v/>
      </c>
      <c r="O2256" s="3">
        <f>IF(ISNUMBER(AVERAGE('20250815_ETF_Options_Exhibits'!O2252:O2256)),AVERAGE('20250815_ETF_Options_Exhibits'!O2252:O2256),"")</f>
        <v/>
      </c>
      <c r="P2256" s="3">
        <f>IF(ISNUMBER(AVERAGE('20250815_ETF_Options_Exhibits'!P2252:P2256)),AVERAGE('20250815_ETF_Options_Exhibits'!P2252:P2256),"")</f>
        <v/>
      </c>
      <c r="Q2256" s="3">
        <f>IF(ISNUMBER(AVERAGE('20250815_ETF_Options_Exhibits'!Q2252:Q2256)),AVERAGE('20250815_ETF_Options_Exhibits'!Q2252:Q2256),"")</f>
        <v/>
      </c>
      <c r="R2256" s="3">
        <f>IF(ISNUMBER(AVERAGE('20250815_ETF_Options_Exhibits'!R2252:R2256)),AVERAGE('20250815_ETF_Options_Exhibits'!R2252:R2256),"")</f>
        <v/>
      </c>
      <c r="S2256" s="3">
        <f>IF(ISNUMBER(AVERAGE('20250815_ETF_Options_Exhibits'!S2252:S2256)),AVERAGE('20250815_ETF_Options_Exhibits'!S2252:S2256),"")</f>
        <v/>
      </c>
      <c r="T2256" s="3">
        <f>IF(ISNUMBER(AVERAGE('20250815_ETF_Options_Exhibits'!T2252:T2256)),AVERAGE('20250815_ETF_Options_Exhibits'!T2252:T2256),"")</f>
        <v/>
      </c>
      <c r="U2256" s="3">
        <f>IF(ISNUMBER(AVERAGE('20250815_ETF_Options_Exhibits'!U2252:U2256)),AVERAGE('20250815_ETF_Options_Exhibits'!U2252:U2256),"")</f>
        <v/>
      </c>
      <c r="V2256" s="3">
        <f>IF(ISNUMBER(AVERAGE('20250815_ETF_Options_Exhibits'!V2252:V2256)),AVERAGE('20250815_ETF_Options_Exhibits'!V2252:V2256),"")</f>
        <v/>
      </c>
      <c r="W2256" s="3">
        <f>IF(ISNUMBER(AVERAGE('20250815_ETF_Options_Exhibits'!W2252:W2256)),AVERAGE('20250815_ETF_Options_Exhibits'!W2252:W2256),"")</f>
        <v/>
      </c>
      <c r="X2256" s="3">
        <f>IF(ISNUMBER(AVERAGE('20250815_ETF_Options_Exhibits'!X2252:X2256)),AVERAGE('20250815_ETF_Options_Exhibits'!X2252:X2256),"")</f>
        <v/>
      </c>
      <c r="Y2256" s="3">
        <f>IF(ISNUMBER(AVERAGE('20250815_ETF_Options_Exhibits'!Y2252:Y2256)),AVERAGE('20250815_ETF_Options_Exhibits'!Y2252:Y2256),"")</f>
        <v/>
      </c>
      <c r="Z2256" s="3">
        <f>IF(ISNUMBER(AVERAGE('20250815_ETF_Options_Exhibits'!Z2252:Z2256)),AVERAGE('20250815_ETF_Options_Exhibits'!Z2252:Z2256),"")</f>
        <v/>
      </c>
      <c r="AA2256" s="3">
        <f>IF(ISNUMBER(AVERAGE('20250815_ETF_Options_Exhibits'!AA2252:AA2256)),AVERAGE('20250815_ETF_Options_Exhibits'!AA2252:AA2256),"")</f>
        <v/>
      </c>
    </row>
    <row r="2257">
      <c r="A2257" s="1" t="n">
        <v>45275</v>
      </c>
      <c r="B2257" s="3">
        <f>IF(ISNUMBER(AVERAGE('20250815_ETF_Options_Exhibits'!B2253:B2257)),AVERAGE('20250815_ETF_Options_Exhibits'!B2253:B2257),"")</f>
        <v/>
      </c>
      <c r="C2257" s="3">
        <f>IF(ISNUMBER(AVERAGE('20250815_ETF_Options_Exhibits'!C2253:C2257)),AVERAGE('20250815_ETF_Options_Exhibits'!C2253:C2257),"")</f>
        <v/>
      </c>
      <c r="D2257" s="3">
        <f>IF(ISNUMBER(AVERAGE('20250815_ETF_Options_Exhibits'!D2253:D2257)),AVERAGE('20250815_ETF_Options_Exhibits'!D2253:D2257),"")</f>
        <v/>
      </c>
      <c r="E2257" s="3">
        <f>IF(ISNUMBER(AVERAGE('20250815_ETF_Options_Exhibits'!E2253:E2257)),AVERAGE('20250815_ETF_Options_Exhibits'!E2253:E2257),"")</f>
        <v/>
      </c>
      <c r="F2257" s="3">
        <f>IF(ISNUMBER(AVERAGE('20250815_ETF_Options_Exhibits'!F2253:F2257)),AVERAGE('20250815_ETF_Options_Exhibits'!F2253:F2257),"")</f>
        <v/>
      </c>
      <c r="G2257" s="3">
        <f>IF(ISNUMBER(AVERAGE('20250815_ETF_Options_Exhibits'!G2253:G2257)),AVERAGE('20250815_ETF_Options_Exhibits'!G2253:G2257),"")</f>
        <v/>
      </c>
      <c r="H2257" s="3">
        <f>IF(ISNUMBER(AVERAGE('20250815_ETF_Options_Exhibits'!H2253:H2257)),AVERAGE('20250815_ETF_Options_Exhibits'!H2253:H2257),"")</f>
        <v/>
      </c>
      <c r="I2257" s="3">
        <f>IF(ISNUMBER(AVERAGE('20250815_ETF_Options_Exhibits'!I2253:I2257)),AVERAGE('20250815_ETF_Options_Exhibits'!I2253:I2257),"")</f>
        <v/>
      </c>
      <c r="J2257" s="3">
        <f>IF(ISNUMBER(AVERAGE('20250815_ETF_Options_Exhibits'!J2253:J2257)),AVERAGE('20250815_ETF_Options_Exhibits'!J2253:J2257),"")</f>
        <v/>
      </c>
      <c r="K2257" s="3">
        <f>IF(ISNUMBER(AVERAGE('20250815_ETF_Options_Exhibits'!K2253:K2257)),AVERAGE('20250815_ETF_Options_Exhibits'!K2253:K2257),"")</f>
        <v/>
      </c>
      <c r="L2257" s="3">
        <f>IF(ISNUMBER(AVERAGE('20250815_ETF_Options_Exhibits'!L2253:L2257)),AVERAGE('20250815_ETF_Options_Exhibits'!L2253:L2257),"")</f>
        <v/>
      </c>
      <c r="M2257" s="3">
        <f>IF(ISNUMBER(AVERAGE('20250815_ETF_Options_Exhibits'!M2253:M2257)),AVERAGE('20250815_ETF_Options_Exhibits'!M2253:M2257),"")</f>
        <v/>
      </c>
      <c r="N2257" s="3">
        <f>IF(ISNUMBER(AVERAGE('20250815_ETF_Options_Exhibits'!N2253:N2257)),AVERAGE('20250815_ETF_Options_Exhibits'!N2253:N2257),"")</f>
        <v/>
      </c>
      <c r="O2257" s="3">
        <f>IF(ISNUMBER(AVERAGE('20250815_ETF_Options_Exhibits'!O2253:O2257)),AVERAGE('20250815_ETF_Options_Exhibits'!O2253:O2257),"")</f>
        <v/>
      </c>
      <c r="P2257" s="3">
        <f>IF(ISNUMBER(AVERAGE('20250815_ETF_Options_Exhibits'!P2253:P2257)),AVERAGE('20250815_ETF_Options_Exhibits'!P2253:P2257),"")</f>
        <v/>
      </c>
      <c r="Q2257" s="3">
        <f>IF(ISNUMBER(AVERAGE('20250815_ETF_Options_Exhibits'!Q2253:Q2257)),AVERAGE('20250815_ETF_Options_Exhibits'!Q2253:Q2257),"")</f>
        <v/>
      </c>
      <c r="R2257" s="3">
        <f>IF(ISNUMBER(AVERAGE('20250815_ETF_Options_Exhibits'!R2253:R2257)),AVERAGE('20250815_ETF_Options_Exhibits'!R2253:R2257),"")</f>
        <v/>
      </c>
      <c r="S2257" s="3">
        <f>IF(ISNUMBER(AVERAGE('20250815_ETF_Options_Exhibits'!S2253:S2257)),AVERAGE('20250815_ETF_Options_Exhibits'!S2253:S2257),"")</f>
        <v/>
      </c>
      <c r="T2257" s="3">
        <f>IF(ISNUMBER(AVERAGE('20250815_ETF_Options_Exhibits'!T2253:T2257)),AVERAGE('20250815_ETF_Options_Exhibits'!T2253:T2257),"")</f>
        <v/>
      </c>
      <c r="U2257" s="3">
        <f>IF(ISNUMBER(AVERAGE('20250815_ETF_Options_Exhibits'!U2253:U2257)),AVERAGE('20250815_ETF_Options_Exhibits'!U2253:U2257),"")</f>
        <v/>
      </c>
      <c r="V2257" s="3">
        <f>IF(ISNUMBER(AVERAGE('20250815_ETF_Options_Exhibits'!V2253:V2257)),AVERAGE('20250815_ETF_Options_Exhibits'!V2253:V2257),"")</f>
        <v/>
      </c>
      <c r="W2257" s="3">
        <f>IF(ISNUMBER(AVERAGE('20250815_ETF_Options_Exhibits'!W2253:W2257)),AVERAGE('20250815_ETF_Options_Exhibits'!W2253:W2257),"")</f>
        <v/>
      </c>
      <c r="X2257" s="3">
        <f>IF(ISNUMBER(AVERAGE('20250815_ETF_Options_Exhibits'!X2253:X2257)),AVERAGE('20250815_ETF_Options_Exhibits'!X2253:X2257),"")</f>
        <v/>
      </c>
      <c r="Y2257" s="3">
        <f>IF(ISNUMBER(AVERAGE('20250815_ETF_Options_Exhibits'!Y2253:Y2257)),AVERAGE('20250815_ETF_Options_Exhibits'!Y2253:Y2257),"")</f>
        <v/>
      </c>
      <c r="Z2257" s="3">
        <f>IF(ISNUMBER(AVERAGE('20250815_ETF_Options_Exhibits'!Z2253:Z2257)),AVERAGE('20250815_ETF_Options_Exhibits'!Z2253:Z2257),"")</f>
        <v/>
      </c>
      <c r="AA2257" s="3">
        <f>IF(ISNUMBER(AVERAGE('20250815_ETF_Options_Exhibits'!AA2253:AA2257)),AVERAGE('20250815_ETF_Options_Exhibits'!AA2253:AA2257),"")</f>
        <v/>
      </c>
    </row>
    <row r="2258">
      <c r="A2258" s="1" t="n">
        <v>45278</v>
      </c>
      <c r="B2258" s="3">
        <f>IF(ISNUMBER(AVERAGE('20250815_ETF_Options_Exhibits'!B2254:B2258)),AVERAGE('20250815_ETF_Options_Exhibits'!B2254:B2258),"")</f>
        <v/>
      </c>
      <c r="C2258" s="3">
        <f>IF(ISNUMBER(AVERAGE('20250815_ETF_Options_Exhibits'!C2254:C2258)),AVERAGE('20250815_ETF_Options_Exhibits'!C2254:C2258),"")</f>
        <v/>
      </c>
      <c r="D2258" s="3">
        <f>IF(ISNUMBER(AVERAGE('20250815_ETF_Options_Exhibits'!D2254:D2258)),AVERAGE('20250815_ETF_Options_Exhibits'!D2254:D2258),"")</f>
        <v/>
      </c>
      <c r="E2258" s="3">
        <f>IF(ISNUMBER(AVERAGE('20250815_ETF_Options_Exhibits'!E2254:E2258)),AVERAGE('20250815_ETF_Options_Exhibits'!E2254:E2258),"")</f>
        <v/>
      </c>
      <c r="F2258" s="3">
        <f>IF(ISNUMBER(AVERAGE('20250815_ETF_Options_Exhibits'!F2254:F2258)),AVERAGE('20250815_ETF_Options_Exhibits'!F2254:F2258),"")</f>
        <v/>
      </c>
      <c r="G2258" s="3">
        <f>IF(ISNUMBER(AVERAGE('20250815_ETF_Options_Exhibits'!G2254:G2258)),AVERAGE('20250815_ETF_Options_Exhibits'!G2254:G2258),"")</f>
        <v/>
      </c>
      <c r="H2258" s="3">
        <f>IF(ISNUMBER(AVERAGE('20250815_ETF_Options_Exhibits'!H2254:H2258)),AVERAGE('20250815_ETF_Options_Exhibits'!H2254:H2258),"")</f>
        <v/>
      </c>
      <c r="I2258" s="3">
        <f>IF(ISNUMBER(AVERAGE('20250815_ETF_Options_Exhibits'!I2254:I2258)),AVERAGE('20250815_ETF_Options_Exhibits'!I2254:I2258),"")</f>
        <v/>
      </c>
      <c r="J2258" s="3">
        <f>IF(ISNUMBER(AVERAGE('20250815_ETF_Options_Exhibits'!J2254:J2258)),AVERAGE('20250815_ETF_Options_Exhibits'!J2254:J2258),"")</f>
        <v/>
      </c>
      <c r="K2258" s="3">
        <f>IF(ISNUMBER(AVERAGE('20250815_ETF_Options_Exhibits'!K2254:K2258)),AVERAGE('20250815_ETF_Options_Exhibits'!K2254:K2258),"")</f>
        <v/>
      </c>
      <c r="L2258" s="3">
        <f>IF(ISNUMBER(AVERAGE('20250815_ETF_Options_Exhibits'!L2254:L2258)),AVERAGE('20250815_ETF_Options_Exhibits'!L2254:L2258),"")</f>
        <v/>
      </c>
      <c r="M2258" s="3">
        <f>IF(ISNUMBER(AVERAGE('20250815_ETF_Options_Exhibits'!M2254:M2258)),AVERAGE('20250815_ETF_Options_Exhibits'!M2254:M2258),"")</f>
        <v/>
      </c>
      <c r="N2258" s="3">
        <f>IF(ISNUMBER(AVERAGE('20250815_ETF_Options_Exhibits'!N2254:N2258)),AVERAGE('20250815_ETF_Options_Exhibits'!N2254:N2258),"")</f>
        <v/>
      </c>
      <c r="O2258" s="3">
        <f>IF(ISNUMBER(AVERAGE('20250815_ETF_Options_Exhibits'!O2254:O2258)),AVERAGE('20250815_ETF_Options_Exhibits'!O2254:O2258),"")</f>
        <v/>
      </c>
      <c r="P2258" s="3">
        <f>IF(ISNUMBER(AVERAGE('20250815_ETF_Options_Exhibits'!P2254:P2258)),AVERAGE('20250815_ETF_Options_Exhibits'!P2254:P2258),"")</f>
        <v/>
      </c>
      <c r="Q2258" s="3">
        <f>IF(ISNUMBER(AVERAGE('20250815_ETF_Options_Exhibits'!Q2254:Q2258)),AVERAGE('20250815_ETF_Options_Exhibits'!Q2254:Q2258),"")</f>
        <v/>
      </c>
      <c r="R2258" s="3">
        <f>IF(ISNUMBER(AVERAGE('20250815_ETF_Options_Exhibits'!R2254:R2258)),AVERAGE('20250815_ETF_Options_Exhibits'!R2254:R2258),"")</f>
        <v/>
      </c>
      <c r="S2258" s="3">
        <f>IF(ISNUMBER(AVERAGE('20250815_ETF_Options_Exhibits'!S2254:S2258)),AVERAGE('20250815_ETF_Options_Exhibits'!S2254:S2258),"")</f>
        <v/>
      </c>
      <c r="T2258" s="3">
        <f>IF(ISNUMBER(AVERAGE('20250815_ETF_Options_Exhibits'!T2254:T2258)),AVERAGE('20250815_ETF_Options_Exhibits'!T2254:T2258),"")</f>
        <v/>
      </c>
      <c r="U2258" s="3">
        <f>IF(ISNUMBER(AVERAGE('20250815_ETF_Options_Exhibits'!U2254:U2258)),AVERAGE('20250815_ETF_Options_Exhibits'!U2254:U2258),"")</f>
        <v/>
      </c>
      <c r="V2258" s="3">
        <f>IF(ISNUMBER(AVERAGE('20250815_ETF_Options_Exhibits'!V2254:V2258)),AVERAGE('20250815_ETF_Options_Exhibits'!V2254:V2258),"")</f>
        <v/>
      </c>
      <c r="W2258" s="3">
        <f>IF(ISNUMBER(AVERAGE('20250815_ETF_Options_Exhibits'!W2254:W2258)),AVERAGE('20250815_ETF_Options_Exhibits'!W2254:W2258),"")</f>
        <v/>
      </c>
      <c r="X2258" s="3">
        <f>IF(ISNUMBER(AVERAGE('20250815_ETF_Options_Exhibits'!X2254:X2258)),AVERAGE('20250815_ETF_Options_Exhibits'!X2254:X2258),"")</f>
        <v/>
      </c>
      <c r="Y2258" s="3">
        <f>IF(ISNUMBER(AVERAGE('20250815_ETF_Options_Exhibits'!Y2254:Y2258)),AVERAGE('20250815_ETF_Options_Exhibits'!Y2254:Y2258),"")</f>
        <v/>
      </c>
      <c r="Z2258" s="3">
        <f>IF(ISNUMBER(AVERAGE('20250815_ETF_Options_Exhibits'!Z2254:Z2258)),AVERAGE('20250815_ETF_Options_Exhibits'!Z2254:Z2258),"")</f>
        <v/>
      </c>
      <c r="AA2258" s="3">
        <f>IF(ISNUMBER(AVERAGE('20250815_ETF_Options_Exhibits'!AA2254:AA2258)),AVERAGE('20250815_ETF_Options_Exhibits'!AA2254:AA2258),"")</f>
        <v/>
      </c>
    </row>
    <row r="2259">
      <c r="A2259" s="1" t="n">
        <v>45279</v>
      </c>
      <c r="B2259" s="3">
        <f>IF(ISNUMBER(AVERAGE('20250815_ETF_Options_Exhibits'!B2255:B2259)),AVERAGE('20250815_ETF_Options_Exhibits'!B2255:B2259),"")</f>
        <v/>
      </c>
      <c r="C2259" s="3">
        <f>IF(ISNUMBER(AVERAGE('20250815_ETF_Options_Exhibits'!C2255:C2259)),AVERAGE('20250815_ETF_Options_Exhibits'!C2255:C2259),"")</f>
        <v/>
      </c>
      <c r="D2259" s="3">
        <f>IF(ISNUMBER(AVERAGE('20250815_ETF_Options_Exhibits'!D2255:D2259)),AVERAGE('20250815_ETF_Options_Exhibits'!D2255:D2259),"")</f>
        <v/>
      </c>
      <c r="E2259" s="3">
        <f>IF(ISNUMBER(AVERAGE('20250815_ETF_Options_Exhibits'!E2255:E2259)),AVERAGE('20250815_ETF_Options_Exhibits'!E2255:E2259),"")</f>
        <v/>
      </c>
      <c r="F2259" s="3">
        <f>IF(ISNUMBER(AVERAGE('20250815_ETF_Options_Exhibits'!F2255:F2259)),AVERAGE('20250815_ETF_Options_Exhibits'!F2255:F2259),"")</f>
        <v/>
      </c>
      <c r="G2259" s="3">
        <f>IF(ISNUMBER(AVERAGE('20250815_ETF_Options_Exhibits'!G2255:G2259)),AVERAGE('20250815_ETF_Options_Exhibits'!G2255:G2259),"")</f>
        <v/>
      </c>
      <c r="H2259" s="3">
        <f>IF(ISNUMBER(AVERAGE('20250815_ETF_Options_Exhibits'!H2255:H2259)),AVERAGE('20250815_ETF_Options_Exhibits'!H2255:H2259),"")</f>
        <v/>
      </c>
      <c r="I2259" s="3">
        <f>IF(ISNUMBER(AVERAGE('20250815_ETF_Options_Exhibits'!I2255:I2259)),AVERAGE('20250815_ETF_Options_Exhibits'!I2255:I2259),"")</f>
        <v/>
      </c>
      <c r="J2259" s="3">
        <f>IF(ISNUMBER(AVERAGE('20250815_ETF_Options_Exhibits'!J2255:J2259)),AVERAGE('20250815_ETF_Options_Exhibits'!J2255:J2259),"")</f>
        <v/>
      </c>
      <c r="K2259" s="3">
        <f>IF(ISNUMBER(AVERAGE('20250815_ETF_Options_Exhibits'!K2255:K2259)),AVERAGE('20250815_ETF_Options_Exhibits'!K2255:K2259),"")</f>
        <v/>
      </c>
      <c r="L2259" s="3">
        <f>IF(ISNUMBER(AVERAGE('20250815_ETF_Options_Exhibits'!L2255:L2259)),AVERAGE('20250815_ETF_Options_Exhibits'!L2255:L2259),"")</f>
        <v/>
      </c>
      <c r="M2259" s="3">
        <f>IF(ISNUMBER(AVERAGE('20250815_ETF_Options_Exhibits'!M2255:M2259)),AVERAGE('20250815_ETF_Options_Exhibits'!M2255:M2259),"")</f>
        <v/>
      </c>
      <c r="N2259" s="3">
        <f>IF(ISNUMBER(AVERAGE('20250815_ETF_Options_Exhibits'!N2255:N2259)),AVERAGE('20250815_ETF_Options_Exhibits'!N2255:N2259),"")</f>
        <v/>
      </c>
      <c r="O2259" s="3">
        <f>IF(ISNUMBER(AVERAGE('20250815_ETF_Options_Exhibits'!O2255:O2259)),AVERAGE('20250815_ETF_Options_Exhibits'!O2255:O2259),"")</f>
        <v/>
      </c>
      <c r="P2259" s="3">
        <f>IF(ISNUMBER(AVERAGE('20250815_ETF_Options_Exhibits'!P2255:P2259)),AVERAGE('20250815_ETF_Options_Exhibits'!P2255:P2259),"")</f>
        <v/>
      </c>
      <c r="Q2259" s="3">
        <f>IF(ISNUMBER(AVERAGE('20250815_ETF_Options_Exhibits'!Q2255:Q2259)),AVERAGE('20250815_ETF_Options_Exhibits'!Q2255:Q2259),"")</f>
        <v/>
      </c>
      <c r="R2259" s="3">
        <f>IF(ISNUMBER(AVERAGE('20250815_ETF_Options_Exhibits'!R2255:R2259)),AVERAGE('20250815_ETF_Options_Exhibits'!R2255:R2259),"")</f>
        <v/>
      </c>
      <c r="S2259" s="3">
        <f>IF(ISNUMBER(AVERAGE('20250815_ETF_Options_Exhibits'!S2255:S2259)),AVERAGE('20250815_ETF_Options_Exhibits'!S2255:S2259),"")</f>
        <v/>
      </c>
      <c r="T2259" s="3">
        <f>IF(ISNUMBER(AVERAGE('20250815_ETF_Options_Exhibits'!T2255:T2259)),AVERAGE('20250815_ETF_Options_Exhibits'!T2255:T2259),"")</f>
        <v/>
      </c>
      <c r="U2259" s="3">
        <f>IF(ISNUMBER(AVERAGE('20250815_ETF_Options_Exhibits'!U2255:U2259)),AVERAGE('20250815_ETF_Options_Exhibits'!U2255:U2259),"")</f>
        <v/>
      </c>
      <c r="V2259" s="3">
        <f>IF(ISNUMBER(AVERAGE('20250815_ETF_Options_Exhibits'!V2255:V2259)),AVERAGE('20250815_ETF_Options_Exhibits'!V2255:V2259),"")</f>
        <v/>
      </c>
      <c r="W2259" s="3">
        <f>IF(ISNUMBER(AVERAGE('20250815_ETF_Options_Exhibits'!W2255:W2259)),AVERAGE('20250815_ETF_Options_Exhibits'!W2255:W2259),"")</f>
        <v/>
      </c>
      <c r="X2259" s="3">
        <f>IF(ISNUMBER(AVERAGE('20250815_ETF_Options_Exhibits'!X2255:X2259)),AVERAGE('20250815_ETF_Options_Exhibits'!X2255:X2259),"")</f>
        <v/>
      </c>
      <c r="Y2259" s="3">
        <f>IF(ISNUMBER(AVERAGE('20250815_ETF_Options_Exhibits'!Y2255:Y2259)),AVERAGE('20250815_ETF_Options_Exhibits'!Y2255:Y2259),"")</f>
        <v/>
      </c>
      <c r="Z2259" s="3">
        <f>IF(ISNUMBER(AVERAGE('20250815_ETF_Options_Exhibits'!Z2255:Z2259)),AVERAGE('20250815_ETF_Options_Exhibits'!Z2255:Z2259),"")</f>
        <v/>
      </c>
      <c r="AA2259" s="3">
        <f>IF(ISNUMBER(AVERAGE('20250815_ETF_Options_Exhibits'!AA2255:AA2259)),AVERAGE('20250815_ETF_Options_Exhibits'!AA2255:AA2259),"")</f>
        <v/>
      </c>
    </row>
    <row r="2260">
      <c r="A2260" s="1" t="n">
        <v>45280</v>
      </c>
      <c r="B2260" s="3">
        <f>IF(ISNUMBER(AVERAGE('20250815_ETF_Options_Exhibits'!B2256:B2260)),AVERAGE('20250815_ETF_Options_Exhibits'!B2256:B2260),"")</f>
        <v/>
      </c>
      <c r="C2260" s="3">
        <f>IF(ISNUMBER(AVERAGE('20250815_ETF_Options_Exhibits'!C2256:C2260)),AVERAGE('20250815_ETF_Options_Exhibits'!C2256:C2260),"")</f>
        <v/>
      </c>
      <c r="D2260" s="3">
        <f>IF(ISNUMBER(AVERAGE('20250815_ETF_Options_Exhibits'!D2256:D2260)),AVERAGE('20250815_ETF_Options_Exhibits'!D2256:D2260),"")</f>
        <v/>
      </c>
      <c r="E2260" s="3">
        <f>IF(ISNUMBER(AVERAGE('20250815_ETF_Options_Exhibits'!E2256:E2260)),AVERAGE('20250815_ETF_Options_Exhibits'!E2256:E2260),"")</f>
        <v/>
      </c>
      <c r="F2260" s="3">
        <f>IF(ISNUMBER(AVERAGE('20250815_ETF_Options_Exhibits'!F2256:F2260)),AVERAGE('20250815_ETF_Options_Exhibits'!F2256:F2260),"")</f>
        <v/>
      </c>
      <c r="G2260" s="3">
        <f>IF(ISNUMBER(AVERAGE('20250815_ETF_Options_Exhibits'!G2256:G2260)),AVERAGE('20250815_ETF_Options_Exhibits'!G2256:G2260),"")</f>
        <v/>
      </c>
      <c r="H2260" s="3">
        <f>IF(ISNUMBER(AVERAGE('20250815_ETF_Options_Exhibits'!H2256:H2260)),AVERAGE('20250815_ETF_Options_Exhibits'!H2256:H2260),"")</f>
        <v/>
      </c>
      <c r="I2260" s="3">
        <f>IF(ISNUMBER(AVERAGE('20250815_ETF_Options_Exhibits'!I2256:I2260)),AVERAGE('20250815_ETF_Options_Exhibits'!I2256:I2260),"")</f>
        <v/>
      </c>
      <c r="J2260" s="3">
        <f>IF(ISNUMBER(AVERAGE('20250815_ETF_Options_Exhibits'!J2256:J2260)),AVERAGE('20250815_ETF_Options_Exhibits'!J2256:J2260),"")</f>
        <v/>
      </c>
      <c r="K2260" s="3">
        <f>IF(ISNUMBER(AVERAGE('20250815_ETF_Options_Exhibits'!K2256:K2260)),AVERAGE('20250815_ETF_Options_Exhibits'!K2256:K2260),"")</f>
        <v/>
      </c>
      <c r="L2260" s="3">
        <f>IF(ISNUMBER(AVERAGE('20250815_ETF_Options_Exhibits'!L2256:L2260)),AVERAGE('20250815_ETF_Options_Exhibits'!L2256:L2260),"")</f>
        <v/>
      </c>
      <c r="M2260" s="3">
        <f>IF(ISNUMBER(AVERAGE('20250815_ETF_Options_Exhibits'!M2256:M2260)),AVERAGE('20250815_ETF_Options_Exhibits'!M2256:M2260),"")</f>
        <v/>
      </c>
      <c r="N2260" s="3">
        <f>IF(ISNUMBER(AVERAGE('20250815_ETF_Options_Exhibits'!N2256:N2260)),AVERAGE('20250815_ETF_Options_Exhibits'!N2256:N2260),"")</f>
        <v/>
      </c>
      <c r="O2260" s="3">
        <f>IF(ISNUMBER(AVERAGE('20250815_ETF_Options_Exhibits'!O2256:O2260)),AVERAGE('20250815_ETF_Options_Exhibits'!O2256:O2260),"")</f>
        <v/>
      </c>
      <c r="P2260" s="3">
        <f>IF(ISNUMBER(AVERAGE('20250815_ETF_Options_Exhibits'!P2256:P2260)),AVERAGE('20250815_ETF_Options_Exhibits'!P2256:P2260),"")</f>
        <v/>
      </c>
      <c r="Q2260" s="3">
        <f>IF(ISNUMBER(AVERAGE('20250815_ETF_Options_Exhibits'!Q2256:Q2260)),AVERAGE('20250815_ETF_Options_Exhibits'!Q2256:Q2260),"")</f>
        <v/>
      </c>
      <c r="R2260" s="3">
        <f>IF(ISNUMBER(AVERAGE('20250815_ETF_Options_Exhibits'!R2256:R2260)),AVERAGE('20250815_ETF_Options_Exhibits'!R2256:R2260),"")</f>
        <v/>
      </c>
      <c r="S2260" s="3">
        <f>IF(ISNUMBER(AVERAGE('20250815_ETF_Options_Exhibits'!S2256:S2260)),AVERAGE('20250815_ETF_Options_Exhibits'!S2256:S2260),"")</f>
        <v/>
      </c>
      <c r="T2260" s="3">
        <f>IF(ISNUMBER(AVERAGE('20250815_ETF_Options_Exhibits'!T2256:T2260)),AVERAGE('20250815_ETF_Options_Exhibits'!T2256:T2260),"")</f>
        <v/>
      </c>
      <c r="U2260" s="3">
        <f>IF(ISNUMBER(AVERAGE('20250815_ETF_Options_Exhibits'!U2256:U2260)),AVERAGE('20250815_ETF_Options_Exhibits'!U2256:U2260),"")</f>
        <v/>
      </c>
      <c r="V2260" s="3">
        <f>IF(ISNUMBER(AVERAGE('20250815_ETF_Options_Exhibits'!V2256:V2260)),AVERAGE('20250815_ETF_Options_Exhibits'!V2256:V2260),"")</f>
        <v/>
      </c>
      <c r="W2260" s="3">
        <f>IF(ISNUMBER(AVERAGE('20250815_ETF_Options_Exhibits'!W2256:W2260)),AVERAGE('20250815_ETF_Options_Exhibits'!W2256:W2260),"")</f>
        <v/>
      </c>
      <c r="X2260" s="3">
        <f>IF(ISNUMBER(AVERAGE('20250815_ETF_Options_Exhibits'!X2256:X2260)),AVERAGE('20250815_ETF_Options_Exhibits'!X2256:X2260),"")</f>
        <v/>
      </c>
      <c r="Y2260" s="3">
        <f>IF(ISNUMBER(AVERAGE('20250815_ETF_Options_Exhibits'!Y2256:Y2260)),AVERAGE('20250815_ETF_Options_Exhibits'!Y2256:Y2260),"")</f>
        <v/>
      </c>
      <c r="Z2260" s="3">
        <f>IF(ISNUMBER(AVERAGE('20250815_ETF_Options_Exhibits'!Z2256:Z2260)),AVERAGE('20250815_ETF_Options_Exhibits'!Z2256:Z2260),"")</f>
        <v/>
      </c>
      <c r="AA2260" s="3">
        <f>IF(ISNUMBER(AVERAGE('20250815_ETF_Options_Exhibits'!AA2256:AA2260)),AVERAGE('20250815_ETF_Options_Exhibits'!AA2256:AA2260),"")</f>
        <v/>
      </c>
    </row>
    <row r="2261">
      <c r="A2261" s="1" t="n">
        <v>45281</v>
      </c>
      <c r="B2261" s="3">
        <f>IF(ISNUMBER(AVERAGE('20250815_ETF_Options_Exhibits'!B2257:B2261)),AVERAGE('20250815_ETF_Options_Exhibits'!B2257:B2261),"")</f>
        <v/>
      </c>
      <c r="C2261" s="3">
        <f>IF(ISNUMBER(AVERAGE('20250815_ETF_Options_Exhibits'!C2257:C2261)),AVERAGE('20250815_ETF_Options_Exhibits'!C2257:C2261),"")</f>
        <v/>
      </c>
      <c r="D2261" s="3">
        <f>IF(ISNUMBER(AVERAGE('20250815_ETF_Options_Exhibits'!D2257:D2261)),AVERAGE('20250815_ETF_Options_Exhibits'!D2257:D2261),"")</f>
        <v/>
      </c>
      <c r="E2261" s="3">
        <f>IF(ISNUMBER(AVERAGE('20250815_ETF_Options_Exhibits'!E2257:E2261)),AVERAGE('20250815_ETF_Options_Exhibits'!E2257:E2261),"")</f>
        <v/>
      </c>
      <c r="F2261" s="3">
        <f>IF(ISNUMBER(AVERAGE('20250815_ETF_Options_Exhibits'!F2257:F2261)),AVERAGE('20250815_ETF_Options_Exhibits'!F2257:F2261),"")</f>
        <v/>
      </c>
      <c r="G2261" s="3">
        <f>IF(ISNUMBER(AVERAGE('20250815_ETF_Options_Exhibits'!G2257:G2261)),AVERAGE('20250815_ETF_Options_Exhibits'!G2257:G2261),"")</f>
        <v/>
      </c>
      <c r="H2261" s="3">
        <f>IF(ISNUMBER(AVERAGE('20250815_ETF_Options_Exhibits'!H2257:H2261)),AVERAGE('20250815_ETF_Options_Exhibits'!H2257:H2261),"")</f>
        <v/>
      </c>
      <c r="I2261" s="3">
        <f>IF(ISNUMBER(AVERAGE('20250815_ETF_Options_Exhibits'!I2257:I2261)),AVERAGE('20250815_ETF_Options_Exhibits'!I2257:I2261),"")</f>
        <v/>
      </c>
      <c r="J2261" s="3">
        <f>IF(ISNUMBER(AVERAGE('20250815_ETF_Options_Exhibits'!J2257:J2261)),AVERAGE('20250815_ETF_Options_Exhibits'!J2257:J2261),"")</f>
        <v/>
      </c>
      <c r="K2261" s="3">
        <f>IF(ISNUMBER(AVERAGE('20250815_ETF_Options_Exhibits'!K2257:K2261)),AVERAGE('20250815_ETF_Options_Exhibits'!K2257:K2261),"")</f>
        <v/>
      </c>
      <c r="L2261" s="3">
        <f>IF(ISNUMBER(AVERAGE('20250815_ETF_Options_Exhibits'!L2257:L2261)),AVERAGE('20250815_ETF_Options_Exhibits'!L2257:L2261),"")</f>
        <v/>
      </c>
      <c r="M2261" s="3">
        <f>IF(ISNUMBER(AVERAGE('20250815_ETF_Options_Exhibits'!M2257:M2261)),AVERAGE('20250815_ETF_Options_Exhibits'!M2257:M2261),"")</f>
        <v/>
      </c>
      <c r="N2261" s="3">
        <f>IF(ISNUMBER(AVERAGE('20250815_ETF_Options_Exhibits'!N2257:N2261)),AVERAGE('20250815_ETF_Options_Exhibits'!N2257:N2261),"")</f>
        <v/>
      </c>
      <c r="O2261" s="3">
        <f>IF(ISNUMBER(AVERAGE('20250815_ETF_Options_Exhibits'!O2257:O2261)),AVERAGE('20250815_ETF_Options_Exhibits'!O2257:O2261),"")</f>
        <v/>
      </c>
      <c r="P2261" s="3">
        <f>IF(ISNUMBER(AVERAGE('20250815_ETF_Options_Exhibits'!P2257:P2261)),AVERAGE('20250815_ETF_Options_Exhibits'!P2257:P2261),"")</f>
        <v/>
      </c>
      <c r="Q2261" s="3">
        <f>IF(ISNUMBER(AVERAGE('20250815_ETF_Options_Exhibits'!Q2257:Q2261)),AVERAGE('20250815_ETF_Options_Exhibits'!Q2257:Q2261),"")</f>
        <v/>
      </c>
      <c r="R2261" s="3">
        <f>IF(ISNUMBER(AVERAGE('20250815_ETF_Options_Exhibits'!R2257:R2261)),AVERAGE('20250815_ETF_Options_Exhibits'!R2257:R2261),"")</f>
        <v/>
      </c>
      <c r="S2261" s="3">
        <f>IF(ISNUMBER(AVERAGE('20250815_ETF_Options_Exhibits'!S2257:S2261)),AVERAGE('20250815_ETF_Options_Exhibits'!S2257:S2261),"")</f>
        <v/>
      </c>
      <c r="T2261" s="3">
        <f>IF(ISNUMBER(AVERAGE('20250815_ETF_Options_Exhibits'!T2257:T2261)),AVERAGE('20250815_ETF_Options_Exhibits'!T2257:T2261),"")</f>
        <v/>
      </c>
      <c r="U2261" s="3">
        <f>IF(ISNUMBER(AVERAGE('20250815_ETF_Options_Exhibits'!U2257:U2261)),AVERAGE('20250815_ETF_Options_Exhibits'!U2257:U2261),"")</f>
        <v/>
      </c>
      <c r="V2261" s="3">
        <f>IF(ISNUMBER(AVERAGE('20250815_ETF_Options_Exhibits'!V2257:V2261)),AVERAGE('20250815_ETF_Options_Exhibits'!V2257:V2261),"")</f>
        <v/>
      </c>
      <c r="W2261" s="3">
        <f>IF(ISNUMBER(AVERAGE('20250815_ETF_Options_Exhibits'!W2257:W2261)),AVERAGE('20250815_ETF_Options_Exhibits'!W2257:W2261),"")</f>
        <v/>
      </c>
      <c r="X2261" s="3">
        <f>IF(ISNUMBER(AVERAGE('20250815_ETF_Options_Exhibits'!X2257:X2261)),AVERAGE('20250815_ETF_Options_Exhibits'!X2257:X2261),"")</f>
        <v/>
      </c>
      <c r="Y2261" s="3">
        <f>IF(ISNUMBER(AVERAGE('20250815_ETF_Options_Exhibits'!Y2257:Y2261)),AVERAGE('20250815_ETF_Options_Exhibits'!Y2257:Y2261),"")</f>
        <v/>
      </c>
      <c r="Z2261" s="3">
        <f>IF(ISNUMBER(AVERAGE('20250815_ETF_Options_Exhibits'!Z2257:Z2261)),AVERAGE('20250815_ETF_Options_Exhibits'!Z2257:Z2261),"")</f>
        <v/>
      </c>
      <c r="AA2261" s="3">
        <f>IF(ISNUMBER(AVERAGE('20250815_ETF_Options_Exhibits'!AA2257:AA2261)),AVERAGE('20250815_ETF_Options_Exhibits'!AA2257:AA2261),"")</f>
        <v/>
      </c>
    </row>
    <row r="2262">
      <c r="A2262" s="1" t="n">
        <v>45282</v>
      </c>
      <c r="B2262" s="3">
        <f>IF(ISNUMBER(AVERAGE('20250815_ETF_Options_Exhibits'!B2258:B2262)),AVERAGE('20250815_ETF_Options_Exhibits'!B2258:B2262),"")</f>
        <v/>
      </c>
      <c r="C2262" s="3">
        <f>IF(ISNUMBER(AVERAGE('20250815_ETF_Options_Exhibits'!C2258:C2262)),AVERAGE('20250815_ETF_Options_Exhibits'!C2258:C2262),"")</f>
        <v/>
      </c>
      <c r="D2262" s="3">
        <f>IF(ISNUMBER(AVERAGE('20250815_ETF_Options_Exhibits'!D2258:D2262)),AVERAGE('20250815_ETF_Options_Exhibits'!D2258:D2262),"")</f>
        <v/>
      </c>
      <c r="E2262" s="3">
        <f>IF(ISNUMBER(AVERAGE('20250815_ETF_Options_Exhibits'!E2258:E2262)),AVERAGE('20250815_ETF_Options_Exhibits'!E2258:E2262),"")</f>
        <v/>
      </c>
      <c r="F2262" s="3">
        <f>IF(ISNUMBER(AVERAGE('20250815_ETF_Options_Exhibits'!F2258:F2262)),AVERAGE('20250815_ETF_Options_Exhibits'!F2258:F2262),"")</f>
        <v/>
      </c>
      <c r="G2262" s="3">
        <f>IF(ISNUMBER(AVERAGE('20250815_ETF_Options_Exhibits'!G2258:G2262)),AVERAGE('20250815_ETF_Options_Exhibits'!G2258:G2262),"")</f>
        <v/>
      </c>
      <c r="H2262" s="3">
        <f>IF(ISNUMBER(AVERAGE('20250815_ETF_Options_Exhibits'!H2258:H2262)),AVERAGE('20250815_ETF_Options_Exhibits'!H2258:H2262),"")</f>
        <v/>
      </c>
      <c r="I2262" s="3">
        <f>IF(ISNUMBER(AVERAGE('20250815_ETF_Options_Exhibits'!I2258:I2262)),AVERAGE('20250815_ETF_Options_Exhibits'!I2258:I2262),"")</f>
        <v/>
      </c>
      <c r="J2262" s="3">
        <f>IF(ISNUMBER(AVERAGE('20250815_ETF_Options_Exhibits'!J2258:J2262)),AVERAGE('20250815_ETF_Options_Exhibits'!J2258:J2262),"")</f>
        <v/>
      </c>
      <c r="K2262" s="3">
        <f>IF(ISNUMBER(AVERAGE('20250815_ETF_Options_Exhibits'!K2258:K2262)),AVERAGE('20250815_ETF_Options_Exhibits'!K2258:K2262),"")</f>
        <v/>
      </c>
      <c r="L2262" s="3">
        <f>IF(ISNUMBER(AVERAGE('20250815_ETF_Options_Exhibits'!L2258:L2262)),AVERAGE('20250815_ETF_Options_Exhibits'!L2258:L2262),"")</f>
        <v/>
      </c>
      <c r="M2262" s="3">
        <f>IF(ISNUMBER(AVERAGE('20250815_ETF_Options_Exhibits'!M2258:M2262)),AVERAGE('20250815_ETF_Options_Exhibits'!M2258:M2262),"")</f>
        <v/>
      </c>
      <c r="N2262" s="3">
        <f>IF(ISNUMBER(AVERAGE('20250815_ETF_Options_Exhibits'!N2258:N2262)),AVERAGE('20250815_ETF_Options_Exhibits'!N2258:N2262),"")</f>
        <v/>
      </c>
      <c r="O2262" s="3">
        <f>IF(ISNUMBER(AVERAGE('20250815_ETF_Options_Exhibits'!O2258:O2262)),AVERAGE('20250815_ETF_Options_Exhibits'!O2258:O2262),"")</f>
        <v/>
      </c>
      <c r="P2262" s="3">
        <f>IF(ISNUMBER(AVERAGE('20250815_ETF_Options_Exhibits'!P2258:P2262)),AVERAGE('20250815_ETF_Options_Exhibits'!P2258:P2262),"")</f>
        <v/>
      </c>
      <c r="Q2262" s="3">
        <f>IF(ISNUMBER(AVERAGE('20250815_ETF_Options_Exhibits'!Q2258:Q2262)),AVERAGE('20250815_ETF_Options_Exhibits'!Q2258:Q2262),"")</f>
        <v/>
      </c>
      <c r="R2262" s="3">
        <f>IF(ISNUMBER(AVERAGE('20250815_ETF_Options_Exhibits'!R2258:R2262)),AVERAGE('20250815_ETF_Options_Exhibits'!R2258:R2262),"")</f>
        <v/>
      </c>
      <c r="S2262" s="3">
        <f>IF(ISNUMBER(AVERAGE('20250815_ETF_Options_Exhibits'!S2258:S2262)),AVERAGE('20250815_ETF_Options_Exhibits'!S2258:S2262),"")</f>
        <v/>
      </c>
      <c r="T2262" s="3">
        <f>IF(ISNUMBER(AVERAGE('20250815_ETF_Options_Exhibits'!T2258:T2262)),AVERAGE('20250815_ETF_Options_Exhibits'!T2258:T2262),"")</f>
        <v/>
      </c>
      <c r="U2262" s="3">
        <f>IF(ISNUMBER(AVERAGE('20250815_ETF_Options_Exhibits'!U2258:U2262)),AVERAGE('20250815_ETF_Options_Exhibits'!U2258:U2262),"")</f>
        <v/>
      </c>
      <c r="V2262" s="3">
        <f>IF(ISNUMBER(AVERAGE('20250815_ETF_Options_Exhibits'!V2258:V2262)),AVERAGE('20250815_ETF_Options_Exhibits'!V2258:V2262),"")</f>
        <v/>
      </c>
      <c r="W2262" s="3">
        <f>IF(ISNUMBER(AVERAGE('20250815_ETF_Options_Exhibits'!W2258:W2262)),AVERAGE('20250815_ETF_Options_Exhibits'!W2258:W2262),"")</f>
        <v/>
      </c>
      <c r="X2262" s="3">
        <f>IF(ISNUMBER(AVERAGE('20250815_ETF_Options_Exhibits'!X2258:X2262)),AVERAGE('20250815_ETF_Options_Exhibits'!X2258:X2262),"")</f>
        <v/>
      </c>
      <c r="Y2262" s="3">
        <f>IF(ISNUMBER(AVERAGE('20250815_ETF_Options_Exhibits'!Y2258:Y2262)),AVERAGE('20250815_ETF_Options_Exhibits'!Y2258:Y2262),"")</f>
        <v/>
      </c>
      <c r="Z2262" s="3">
        <f>IF(ISNUMBER(AVERAGE('20250815_ETF_Options_Exhibits'!Z2258:Z2262)),AVERAGE('20250815_ETF_Options_Exhibits'!Z2258:Z2262),"")</f>
        <v/>
      </c>
      <c r="AA2262" s="3">
        <f>IF(ISNUMBER(AVERAGE('20250815_ETF_Options_Exhibits'!AA2258:AA2262)),AVERAGE('20250815_ETF_Options_Exhibits'!AA2258:AA2262),"")</f>
        <v/>
      </c>
    </row>
    <row r="2263">
      <c r="A2263" s="1" t="n">
        <v>45286</v>
      </c>
      <c r="B2263" s="3">
        <f>IF(ISNUMBER(AVERAGE('20250815_ETF_Options_Exhibits'!B2259:B2263)),AVERAGE('20250815_ETF_Options_Exhibits'!B2259:B2263),"")</f>
        <v/>
      </c>
      <c r="C2263" s="3">
        <f>IF(ISNUMBER(AVERAGE('20250815_ETF_Options_Exhibits'!C2259:C2263)),AVERAGE('20250815_ETF_Options_Exhibits'!C2259:C2263),"")</f>
        <v/>
      </c>
      <c r="D2263" s="3">
        <f>IF(ISNUMBER(AVERAGE('20250815_ETF_Options_Exhibits'!D2259:D2263)),AVERAGE('20250815_ETF_Options_Exhibits'!D2259:D2263),"")</f>
        <v/>
      </c>
      <c r="E2263" s="3">
        <f>IF(ISNUMBER(AVERAGE('20250815_ETF_Options_Exhibits'!E2259:E2263)),AVERAGE('20250815_ETF_Options_Exhibits'!E2259:E2263),"")</f>
        <v/>
      </c>
      <c r="F2263" s="3">
        <f>IF(ISNUMBER(AVERAGE('20250815_ETF_Options_Exhibits'!F2259:F2263)),AVERAGE('20250815_ETF_Options_Exhibits'!F2259:F2263),"")</f>
        <v/>
      </c>
      <c r="G2263" s="3">
        <f>IF(ISNUMBER(AVERAGE('20250815_ETF_Options_Exhibits'!G2259:G2263)),AVERAGE('20250815_ETF_Options_Exhibits'!G2259:G2263),"")</f>
        <v/>
      </c>
      <c r="H2263" s="3">
        <f>IF(ISNUMBER(AVERAGE('20250815_ETF_Options_Exhibits'!H2259:H2263)),AVERAGE('20250815_ETF_Options_Exhibits'!H2259:H2263),"")</f>
        <v/>
      </c>
      <c r="I2263" s="3">
        <f>IF(ISNUMBER(AVERAGE('20250815_ETF_Options_Exhibits'!I2259:I2263)),AVERAGE('20250815_ETF_Options_Exhibits'!I2259:I2263),"")</f>
        <v/>
      </c>
      <c r="J2263" s="3">
        <f>IF(ISNUMBER(AVERAGE('20250815_ETF_Options_Exhibits'!J2259:J2263)),AVERAGE('20250815_ETF_Options_Exhibits'!J2259:J2263),"")</f>
        <v/>
      </c>
      <c r="K2263" s="3">
        <f>IF(ISNUMBER(AVERAGE('20250815_ETF_Options_Exhibits'!K2259:K2263)),AVERAGE('20250815_ETF_Options_Exhibits'!K2259:K2263),"")</f>
        <v/>
      </c>
      <c r="L2263" s="3">
        <f>IF(ISNUMBER(AVERAGE('20250815_ETF_Options_Exhibits'!L2259:L2263)),AVERAGE('20250815_ETF_Options_Exhibits'!L2259:L2263),"")</f>
        <v/>
      </c>
      <c r="M2263" s="3">
        <f>IF(ISNUMBER(AVERAGE('20250815_ETF_Options_Exhibits'!M2259:M2263)),AVERAGE('20250815_ETF_Options_Exhibits'!M2259:M2263),"")</f>
        <v/>
      </c>
      <c r="N2263" s="3">
        <f>IF(ISNUMBER(AVERAGE('20250815_ETF_Options_Exhibits'!N2259:N2263)),AVERAGE('20250815_ETF_Options_Exhibits'!N2259:N2263),"")</f>
        <v/>
      </c>
      <c r="O2263" s="3">
        <f>IF(ISNUMBER(AVERAGE('20250815_ETF_Options_Exhibits'!O2259:O2263)),AVERAGE('20250815_ETF_Options_Exhibits'!O2259:O2263),"")</f>
        <v/>
      </c>
      <c r="P2263" s="3">
        <f>IF(ISNUMBER(AVERAGE('20250815_ETF_Options_Exhibits'!P2259:P2263)),AVERAGE('20250815_ETF_Options_Exhibits'!P2259:P2263),"")</f>
        <v/>
      </c>
      <c r="Q2263" s="3">
        <f>IF(ISNUMBER(AVERAGE('20250815_ETF_Options_Exhibits'!Q2259:Q2263)),AVERAGE('20250815_ETF_Options_Exhibits'!Q2259:Q2263),"")</f>
        <v/>
      </c>
      <c r="R2263" s="3">
        <f>IF(ISNUMBER(AVERAGE('20250815_ETF_Options_Exhibits'!R2259:R2263)),AVERAGE('20250815_ETF_Options_Exhibits'!R2259:R2263),"")</f>
        <v/>
      </c>
      <c r="S2263" s="3">
        <f>IF(ISNUMBER(AVERAGE('20250815_ETF_Options_Exhibits'!S2259:S2263)),AVERAGE('20250815_ETF_Options_Exhibits'!S2259:S2263),"")</f>
        <v/>
      </c>
      <c r="T2263" s="3">
        <f>IF(ISNUMBER(AVERAGE('20250815_ETF_Options_Exhibits'!T2259:T2263)),AVERAGE('20250815_ETF_Options_Exhibits'!T2259:T2263),"")</f>
        <v/>
      </c>
      <c r="U2263" s="3">
        <f>IF(ISNUMBER(AVERAGE('20250815_ETF_Options_Exhibits'!U2259:U2263)),AVERAGE('20250815_ETF_Options_Exhibits'!U2259:U2263),"")</f>
        <v/>
      </c>
      <c r="V2263" s="3">
        <f>IF(ISNUMBER(AVERAGE('20250815_ETF_Options_Exhibits'!V2259:V2263)),AVERAGE('20250815_ETF_Options_Exhibits'!V2259:V2263),"")</f>
        <v/>
      </c>
      <c r="W2263" s="3">
        <f>IF(ISNUMBER(AVERAGE('20250815_ETF_Options_Exhibits'!W2259:W2263)),AVERAGE('20250815_ETF_Options_Exhibits'!W2259:W2263),"")</f>
        <v/>
      </c>
      <c r="X2263" s="3">
        <f>IF(ISNUMBER(AVERAGE('20250815_ETF_Options_Exhibits'!X2259:X2263)),AVERAGE('20250815_ETF_Options_Exhibits'!X2259:X2263),"")</f>
        <v/>
      </c>
      <c r="Y2263" s="3">
        <f>IF(ISNUMBER(AVERAGE('20250815_ETF_Options_Exhibits'!Y2259:Y2263)),AVERAGE('20250815_ETF_Options_Exhibits'!Y2259:Y2263),"")</f>
        <v/>
      </c>
      <c r="Z2263" s="3">
        <f>IF(ISNUMBER(AVERAGE('20250815_ETF_Options_Exhibits'!Z2259:Z2263)),AVERAGE('20250815_ETF_Options_Exhibits'!Z2259:Z2263),"")</f>
        <v/>
      </c>
      <c r="AA2263" s="3">
        <f>IF(ISNUMBER(AVERAGE('20250815_ETF_Options_Exhibits'!AA2259:AA2263)),AVERAGE('20250815_ETF_Options_Exhibits'!AA2259:AA2263),"")</f>
        <v/>
      </c>
    </row>
    <row r="2264">
      <c r="A2264" s="1" t="n">
        <v>45287</v>
      </c>
      <c r="B2264" s="3">
        <f>IF(ISNUMBER(AVERAGE('20250815_ETF_Options_Exhibits'!B2260:B2264)),AVERAGE('20250815_ETF_Options_Exhibits'!B2260:B2264),"")</f>
        <v/>
      </c>
      <c r="C2264" s="3">
        <f>IF(ISNUMBER(AVERAGE('20250815_ETF_Options_Exhibits'!C2260:C2264)),AVERAGE('20250815_ETF_Options_Exhibits'!C2260:C2264),"")</f>
        <v/>
      </c>
      <c r="D2264" s="3">
        <f>IF(ISNUMBER(AVERAGE('20250815_ETF_Options_Exhibits'!D2260:D2264)),AVERAGE('20250815_ETF_Options_Exhibits'!D2260:D2264),"")</f>
        <v/>
      </c>
      <c r="E2264" s="3">
        <f>IF(ISNUMBER(AVERAGE('20250815_ETF_Options_Exhibits'!E2260:E2264)),AVERAGE('20250815_ETF_Options_Exhibits'!E2260:E2264),"")</f>
        <v/>
      </c>
      <c r="F2264" s="3">
        <f>IF(ISNUMBER(AVERAGE('20250815_ETF_Options_Exhibits'!F2260:F2264)),AVERAGE('20250815_ETF_Options_Exhibits'!F2260:F2264),"")</f>
        <v/>
      </c>
      <c r="G2264" s="3">
        <f>IF(ISNUMBER(AVERAGE('20250815_ETF_Options_Exhibits'!G2260:G2264)),AVERAGE('20250815_ETF_Options_Exhibits'!G2260:G2264),"")</f>
        <v/>
      </c>
      <c r="H2264" s="3">
        <f>IF(ISNUMBER(AVERAGE('20250815_ETF_Options_Exhibits'!H2260:H2264)),AVERAGE('20250815_ETF_Options_Exhibits'!H2260:H2264),"")</f>
        <v/>
      </c>
      <c r="I2264" s="3">
        <f>IF(ISNUMBER(AVERAGE('20250815_ETF_Options_Exhibits'!I2260:I2264)),AVERAGE('20250815_ETF_Options_Exhibits'!I2260:I2264),"")</f>
        <v/>
      </c>
      <c r="J2264" s="3">
        <f>IF(ISNUMBER(AVERAGE('20250815_ETF_Options_Exhibits'!J2260:J2264)),AVERAGE('20250815_ETF_Options_Exhibits'!J2260:J2264),"")</f>
        <v/>
      </c>
      <c r="K2264" s="3">
        <f>IF(ISNUMBER(AVERAGE('20250815_ETF_Options_Exhibits'!K2260:K2264)),AVERAGE('20250815_ETF_Options_Exhibits'!K2260:K2264),"")</f>
        <v/>
      </c>
      <c r="L2264" s="3">
        <f>IF(ISNUMBER(AVERAGE('20250815_ETF_Options_Exhibits'!L2260:L2264)),AVERAGE('20250815_ETF_Options_Exhibits'!L2260:L2264),"")</f>
        <v/>
      </c>
      <c r="M2264" s="3">
        <f>IF(ISNUMBER(AVERAGE('20250815_ETF_Options_Exhibits'!M2260:M2264)),AVERAGE('20250815_ETF_Options_Exhibits'!M2260:M2264),"")</f>
        <v/>
      </c>
      <c r="N2264" s="3">
        <f>IF(ISNUMBER(AVERAGE('20250815_ETF_Options_Exhibits'!N2260:N2264)),AVERAGE('20250815_ETF_Options_Exhibits'!N2260:N2264),"")</f>
        <v/>
      </c>
      <c r="O2264" s="3">
        <f>IF(ISNUMBER(AVERAGE('20250815_ETF_Options_Exhibits'!O2260:O2264)),AVERAGE('20250815_ETF_Options_Exhibits'!O2260:O2264),"")</f>
        <v/>
      </c>
      <c r="P2264" s="3">
        <f>IF(ISNUMBER(AVERAGE('20250815_ETF_Options_Exhibits'!P2260:P2264)),AVERAGE('20250815_ETF_Options_Exhibits'!P2260:P2264),"")</f>
        <v/>
      </c>
      <c r="Q2264" s="3">
        <f>IF(ISNUMBER(AVERAGE('20250815_ETF_Options_Exhibits'!Q2260:Q2264)),AVERAGE('20250815_ETF_Options_Exhibits'!Q2260:Q2264),"")</f>
        <v/>
      </c>
      <c r="R2264" s="3">
        <f>IF(ISNUMBER(AVERAGE('20250815_ETF_Options_Exhibits'!R2260:R2264)),AVERAGE('20250815_ETF_Options_Exhibits'!R2260:R2264),"")</f>
        <v/>
      </c>
      <c r="S2264" s="3">
        <f>IF(ISNUMBER(AVERAGE('20250815_ETF_Options_Exhibits'!S2260:S2264)),AVERAGE('20250815_ETF_Options_Exhibits'!S2260:S2264),"")</f>
        <v/>
      </c>
      <c r="T2264" s="3">
        <f>IF(ISNUMBER(AVERAGE('20250815_ETF_Options_Exhibits'!T2260:T2264)),AVERAGE('20250815_ETF_Options_Exhibits'!T2260:T2264),"")</f>
        <v/>
      </c>
      <c r="U2264" s="3">
        <f>IF(ISNUMBER(AVERAGE('20250815_ETF_Options_Exhibits'!U2260:U2264)),AVERAGE('20250815_ETF_Options_Exhibits'!U2260:U2264),"")</f>
        <v/>
      </c>
      <c r="V2264" s="3">
        <f>IF(ISNUMBER(AVERAGE('20250815_ETF_Options_Exhibits'!V2260:V2264)),AVERAGE('20250815_ETF_Options_Exhibits'!V2260:V2264),"")</f>
        <v/>
      </c>
      <c r="W2264" s="3">
        <f>IF(ISNUMBER(AVERAGE('20250815_ETF_Options_Exhibits'!W2260:W2264)),AVERAGE('20250815_ETF_Options_Exhibits'!W2260:W2264),"")</f>
        <v/>
      </c>
      <c r="X2264" s="3">
        <f>IF(ISNUMBER(AVERAGE('20250815_ETF_Options_Exhibits'!X2260:X2264)),AVERAGE('20250815_ETF_Options_Exhibits'!X2260:X2264),"")</f>
        <v/>
      </c>
      <c r="Y2264" s="3">
        <f>IF(ISNUMBER(AVERAGE('20250815_ETF_Options_Exhibits'!Y2260:Y2264)),AVERAGE('20250815_ETF_Options_Exhibits'!Y2260:Y2264),"")</f>
        <v/>
      </c>
      <c r="Z2264" s="3">
        <f>IF(ISNUMBER(AVERAGE('20250815_ETF_Options_Exhibits'!Z2260:Z2264)),AVERAGE('20250815_ETF_Options_Exhibits'!Z2260:Z2264),"")</f>
        <v/>
      </c>
      <c r="AA2264" s="3">
        <f>IF(ISNUMBER(AVERAGE('20250815_ETF_Options_Exhibits'!AA2260:AA2264)),AVERAGE('20250815_ETF_Options_Exhibits'!AA2260:AA2264),"")</f>
        <v/>
      </c>
    </row>
    <row r="2265">
      <c r="A2265" s="1" t="n">
        <v>45288</v>
      </c>
      <c r="B2265" s="3">
        <f>IF(ISNUMBER(AVERAGE('20250815_ETF_Options_Exhibits'!B2261:B2265)),AVERAGE('20250815_ETF_Options_Exhibits'!B2261:B2265),"")</f>
        <v/>
      </c>
      <c r="C2265" s="3">
        <f>IF(ISNUMBER(AVERAGE('20250815_ETF_Options_Exhibits'!C2261:C2265)),AVERAGE('20250815_ETF_Options_Exhibits'!C2261:C2265),"")</f>
        <v/>
      </c>
      <c r="D2265" s="3">
        <f>IF(ISNUMBER(AVERAGE('20250815_ETF_Options_Exhibits'!D2261:D2265)),AVERAGE('20250815_ETF_Options_Exhibits'!D2261:D2265),"")</f>
        <v/>
      </c>
      <c r="E2265" s="3">
        <f>IF(ISNUMBER(AVERAGE('20250815_ETF_Options_Exhibits'!E2261:E2265)),AVERAGE('20250815_ETF_Options_Exhibits'!E2261:E2265),"")</f>
        <v/>
      </c>
      <c r="F2265" s="3">
        <f>IF(ISNUMBER(AVERAGE('20250815_ETF_Options_Exhibits'!F2261:F2265)),AVERAGE('20250815_ETF_Options_Exhibits'!F2261:F2265),"")</f>
        <v/>
      </c>
      <c r="G2265" s="3">
        <f>IF(ISNUMBER(AVERAGE('20250815_ETF_Options_Exhibits'!G2261:G2265)),AVERAGE('20250815_ETF_Options_Exhibits'!G2261:G2265),"")</f>
        <v/>
      </c>
      <c r="H2265" s="3">
        <f>IF(ISNUMBER(AVERAGE('20250815_ETF_Options_Exhibits'!H2261:H2265)),AVERAGE('20250815_ETF_Options_Exhibits'!H2261:H2265),"")</f>
        <v/>
      </c>
      <c r="I2265" s="3">
        <f>IF(ISNUMBER(AVERAGE('20250815_ETF_Options_Exhibits'!I2261:I2265)),AVERAGE('20250815_ETF_Options_Exhibits'!I2261:I2265),"")</f>
        <v/>
      </c>
      <c r="J2265" s="3">
        <f>IF(ISNUMBER(AVERAGE('20250815_ETF_Options_Exhibits'!J2261:J2265)),AVERAGE('20250815_ETF_Options_Exhibits'!J2261:J2265),"")</f>
        <v/>
      </c>
      <c r="K2265" s="3">
        <f>IF(ISNUMBER(AVERAGE('20250815_ETF_Options_Exhibits'!K2261:K2265)),AVERAGE('20250815_ETF_Options_Exhibits'!K2261:K2265),"")</f>
        <v/>
      </c>
      <c r="L2265" s="3">
        <f>IF(ISNUMBER(AVERAGE('20250815_ETF_Options_Exhibits'!L2261:L2265)),AVERAGE('20250815_ETF_Options_Exhibits'!L2261:L2265),"")</f>
        <v/>
      </c>
      <c r="M2265" s="3">
        <f>IF(ISNUMBER(AVERAGE('20250815_ETF_Options_Exhibits'!M2261:M2265)),AVERAGE('20250815_ETF_Options_Exhibits'!M2261:M2265),"")</f>
        <v/>
      </c>
      <c r="N2265" s="3">
        <f>IF(ISNUMBER(AVERAGE('20250815_ETF_Options_Exhibits'!N2261:N2265)),AVERAGE('20250815_ETF_Options_Exhibits'!N2261:N2265),"")</f>
        <v/>
      </c>
      <c r="O2265" s="3">
        <f>IF(ISNUMBER(AVERAGE('20250815_ETF_Options_Exhibits'!O2261:O2265)),AVERAGE('20250815_ETF_Options_Exhibits'!O2261:O2265),"")</f>
        <v/>
      </c>
      <c r="P2265" s="3">
        <f>IF(ISNUMBER(AVERAGE('20250815_ETF_Options_Exhibits'!P2261:P2265)),AVERAGE('20250815_ETF_Options_Exhibits'!P2261:P2265),"")</f>
        <v/>
      </c>
      <c r="Q2265" s="3">
        <f>IF(ISNUMBER(AVERAGE('20250815_ETF_Options_Exhibits'!Q2261:Q2265)),AVERAGE('20250815_ETF_Options_Exhibits'!Q2261:Q2265),"")</f>
        <v/>
      </c>
      <c r="R2265" s="3">
        <f>IF(ISNUMBER(AVERAGE('20250815_ETF_Options_Exhibits'!R2261:R2265)),AVERAGE('20250815_ETF_Options_Exhibits'!R2261:R2265),"")</f>
        <v/>
      </c>
      <c r="S2265" s="3">
        <f>IF(ISNUMBER(AVERAGE('20250815_ETF_Options_Exhibits'!S2261:S2265)),AVERAGE('20250815_ETF_Options_Exhibits'!S2261:S2265),"")</f>
        <v/>
      </c>
      <c r="T2265" s="3">
        <f>IF(ISNUMBER(AVERAGE('20250815_ETF_Options_Exhibits'!T2261:T2265)),AVERAGE('20250815_ETF_Options_Exhibits'!T2261:T2265),"")</f>
        <v/>
      </c>
      <c r="U2265" s="3">
        <f>IF(ISNUMBER(AVERAGE('20250815_ETF_Options_Exhibits'!U2261:U2265)),AVERAGE('20250815_ETF_Options_Exhibits'!U2261:U2265),"")</f>
        <v/>
      </c>
      <c r="V2265" s="3">
        <f>IF(ISNUMBER(AVERAGE('20250815_ETF_Options_Exhibits'!V2261:V2265)),AVERAGE('20250815_ETF_Options_Exhibits'!V2261:V2265),"")</f>
        <v/>
      </c>
      <c r="W2265" s="3">
        <f>IF(ISNUMBER(AVERAGE('20250815_ETF_Options_Exhibits'!W2261:W2265)),AVERAGE('20250815_ETF_Options_Exhibits'!W2261:W2265),"")</f>
        <v/>
      </c>
      <c r="X2265" s="3">
        <f>IF(ISNUMBER(AVERAGE('20250815_ETF_Options_Exhibits'!X2261:X2265)),AVERAGE('20250815_ETF_Options_Exhibits'!X2261:X2265),"")</f>
        <v/>
      </c>
      <c r="Y2265" s="3">
        <f>IF(ISNUMBER(AVERAGE('20250815_ETF_Options_Exhibits'!Y2261:Y2265)),AVERAGE('20250815_ETF_Options_Exhibits'!Y2261:Y2265),"")</f>
        <v/>
      </c>
      <c r="Z2265" s="3">
        <f>IF(ISNUMBER(AVERAGE('20250815_ETF_Options_Exhibits'!Z2261:Z2265)),AVERAGE('20250815_ETF_Options_Exhibits'!Z2261:Z2265),"")</f>
        <v/>
      </c>
      <c r="AA2265" s="3">
        <f>IF(ISNUMBER(AVERAGE('20250815_ETF_Options_Exhibits'!AA2261:AA2265)),AVERAGE('20250815_ETF_Options_Exhibits'!AA2261:AA2265),"")</f>
        <v/>
      </c>
    </row>
    <row r="2266">
      <c r="A2266" s="1" t="n">
        <v>45289</v>
      </c>
      <c r="B2266" s="3">
        <f>IF(ISNUMBER(AVERAGE('20250815_ETF_Options_Exhibits'!B2262:B2266)),AVERAGE('20250815_ETF_Options_Exhibits'!B2262:B2266),"")</f>
        <v/>
      </c>
      <c r="C2266" s="3">
        <f>IF(ISNUMBER(AVERAGE('20250815_ETF_Options_Exhibits'!C2262:C2266)),AVERAGE('20250815_ETF_Options_Exhibits'!C2262:C2266),"")</f>
        <v/>
      </c>
      <c r="D2266" s="3">
        <f>IF(ISNUMBER(AVERAGE('20250815_ETF_Options_Exhibits'!D2262:D2266)),AVERAGE('20250815_ETF_Options_Exhibits'!D2262:D2266),"")</f>
        <v/>
      </c>
      <c r="E2266" s="3">
        <f>IF(ISNUMBER(AVERAGE('20250815_ETF_Options_Exhibits'!E2262:E2266)),AVERAGE('20250815_ETF_Options_Exhibits'!E2262:E2266),"")</f>
        <v/>
      </c>
      <c r="F2266" s="3">
        <f>IF(ISNUMBER(AVERAGE('20250815_ETF_Options_Exhibits'!F2262:F2266)),AVERAGE('20250815_ETF_Options_Exhibits'!F2262:F2266),"")</f>
        <v/>
      </c>
      <c r="G2266" s="3">
        <f>IF(ISNUMBER(AVERAGE('20250815_ETF_Options_Exhibits'!G2262:G2266)),AVERAGE('20250815_ETF_Options_Exhibits'!G2262:G2266),"")</f>
        <v/>
      </c>
      <c r="H2266" s="3">
        <f>IF(ISNUMBER(AVERAGE('20250815_ETF_Options_Exhibits'!H2262:H2266)),AVERAGE('20250815_ETF_Options_Exhibits'!H2262:H2266),"")</f>
        <v/>
      </c>
      <c r="I2266" s="3">
        <f>IF(ISNUMBER(AVERAGE('20250815_ETF_Options_Exhibits'!I2262:I2266)),AVERAGE('20250815_ETF_Options_Exhibits'!I2262:I2266),"")</f>
        <v/>
      </c>
      <c r="J2266" s="3">
        <f>IF(ISNUMBER(AVERAGE('20250815_ETF_Options_Exhibits'!J2262:J2266)),AVERAGE('20250815_ETF_Options_Exhibits'!J2262:J2266),"")</f>
        <v/>
      </c>
      <c r="K2266" s="3">
        <f>IF(ISNUMBER(AVERAGE('20250815_ETF_Options_Exhibits'!K2262:K2266)),AVERAGE('20250815_ETF_Options_Exhibits'!K2262:K2266),"")</f>
        <v/>
      </c>
      <c r="L2266" s="3">
        <f>IF(ISNUMBER(AVERAGE('20250815_ETF_Options_Exhibits'!L2262:L2266)),AVERAGE('20250815_ETF_Options_Exhibits'!L2262:L2266),"")</f>
        <v/>
      </c>
      <c r="M2266" s="3">
        <f>IF(ISNUMBER(AVERAGE('20250815_ETF_Options_Exhibits'!M2262:M2266)),AVERAGE('20250815_ETF_Options_Exhibits'!M2262:M2266),"")</f>
        <v/>
      </c>
      <c r="N2266" s="3">
        <f>IF(ISNUMBER(AVERAGE('20250815_ETF_Options_Exhibits'!N2262:N2266)),AVERAGE('20250815_ETF_Options_Exhibits'!N2262:N2266),"")</f>
        <v/>
      </c>
      <c r="O2266" s="3">
        <f>IF(ISNUMBER(AVERAGE('20250815_ETF_Options_Exhibits'!O2262:O2266)),AVERAGE('20250815_ETF_Options_Exhibits'!O2262:O2266),"")</f>
        <v/>
      </c>
      <c r="P2266" s="3">
        <f>IF(ISNUMBER(AVERAGE('20250815_ETF_Options_Exhibits'!P2262:P2266)),AVERAGE('20250815_ETF_Options_Exhibits'!P2262:P2266),"")</f>
        <v/>
      </c>
      <c r="Q2266" s="3">
        <f>IF(ISNUMBER(AVERAGE('20250815_ETF_Options_Exhibits'!Q2262:Q2266)),AVERAGE('20250815_ETF_Options_Exhibits'!Q2262:Q2266),"")</f>
        <v/>
      </c>
      <c r="R2266" s="3">
        <f>IF(ISNUMBER(AVERAGE('20250815_ETF_Options_Exhibits'!R2262:R2266)),AVERAGE('20250815_ETF_Options_Exhibits'!R2262:R2266),"")</f>
        <v/>
      </c>
      <c r="S2266" s="3">
        <f>IF(ISNUMBER(AVERAGE('20250815_ETF_Options_Exhibits'!S2262:S2266)),AVERAGE('20250815_ETF_Options_Exhibits'!S2262:S2266),"")</f>
        <v/>
      </c>
      <c r="T2266" s="3">
        <f>IF(ISNUMBER(AVERAGE('20250815_ETF_Options_Exhibits'!T2262:T2266)),AVERAGE('20250815_ETF_Options_Exhibits'!T2262:T2266),"")</f>
        <v/>
      </c>
      <c r="U2266" s="3">
        <f>IF(ISNUMBER(AVERAGE('20250815_ETF_Options_Exhibits'!U2262:U2266)),AVERAGE('20250815_ETF_Options_Exhibits'!U2262:U2266),"")</f>
        <v/>
      </c>
      <c r="V2266" s="3">
        <f>IF(ISNUMBER(AVERAGE('20250815_ETF_Options_Exhibits'!V2262:V2266)),AVERAGE('20250815_ETF_Options_Exhibits'!V2262:V2266),"")</f>
        <v/>
      </c>
      <c r="W2266" s="3">
        <f>IF(ISNUMBER(AVERAGE('20250815_ETF_Options_Exhibits'!W2262:W2266)),AVERAGE('20250815_ETF_Options_Exhibits'!W2262:W2266),"")</f>
        <v/>
      </c>
      <c r="X2266" s="3">
        <f>IF(ISNUMBER(AVERAGE('20250815_ETF_Options_Exhibits'!X2262:X2266)),AVERAGE('20250815_ETF_Options_Exhibits'!X2262:X2266),"")</f>
        <v/>
      </c>
      <c r="Y2266" s="3">
        <f>IF(ISNUMBER(AVERAGE('20250815_ETF_Options_Exhibits'!Y2262:Y2266)),AVERAGE('20250815_ETF_Options_Exhibits'!Y2262:Y2266),"")</f>
        <v/>
      </c>
      <c r="Z2266" s="3">
        <f>IF(ISNUMBER(AVERAGE('20250815_ETF_Options_Exhibits'!Z2262:Z2266)),AVERAGE('20250815_ETF_Options_Exhibits'!Z2262:Z2266),"")</f>
        <v/>
      </c>
      <c r="AA2266" s="3">
        <f>IF(ISNUMBER(AVERAGE('20250815_ETF_Options_Exhibits'!AA2262:AA2266)),AVERAGE('20250815_ETF_Options_Exhibits'!AA2262:AA2266),"")</f>
        <v/>
      </c>
    </row>
    <row r="2267">
      <c r="A2267" s="1" t="n">
        <v>45293</v>
      </c>
      <c r="B2267" s="3">
        <f>IF(ISNUMBER(AVERAGE('20250815_ETF_Options_Exhibits'!B2263:B2267)),AVERAGE('20250815_ETF_Options_Exhibits'!B2263:B2267),"")</f>
        <v/>
      </c>
      <c r="C2267" s="3">
        <f>IF(ISNUMBER(AVERAGE('20250815_ETF_Options_Exhibits'!C2263:C2267)),AVERAGE('20250815_ETF_Options_Exhibits'!C2263:C2267),"")</f>
        <v/>
      </c>
      <c r="D2267" s="3">
        <f>IF(ISNUMBER(AVERAGE('20250815_ETF_Options_Exhibits'!D2263:D2267)),AVERAGE('20250815_ETF_Options_Exhibits'!D2263:D2267),"")</f>
        <v/>
      </c>
      <c r="E2267" s="3">
        <f>IF(ISNUMBER(AVERAGE('20250815_ETF_Options_Exhibits'!E2263:E2267)),AVERAGE('20250815_ETF_Options_Exhibits'!E2263:E2267),"")</f>
        <v/>
      </c>
      <c r="F2267" s="3">
        <f>IF(ISNUMBER(AVERAGE('20250815_ETF_Options_Exhibits'!F2263:F2267)),AVERAGE('20250815_ETF_Options_Exhibits'!F2263:F2267),"")</f>
        <v/>
      </c>
      <c r="G2267" s="3">
        <f>IF(ISNUMBER(AVERAGE('20250815_ETF_Options_Exhibits'!G2263:G2267)),AVERAGE('20250815_ETF_Options_Exhibits'!G2263:G2267),"")</f>
        <v/>
      </c>
      <c r="H2267" s="3">
        <f>IF(ISNUMBER(AVERAGE('20250815_ETF_Options_Exhibits'!H2263:H2267)),AVERAGE('20250815_ETF_Options_Exhibits'!H2263:H2267),"")</f>
        <v/>
      </c>
      <c r="I2267" s="3">
        <f>IF(ISNUMBER(AVERAGE('20250815_ETF_Options_Exhibits'!I2263:I2267)),AVERAGE('20250815_ETF_Options_Exhibits'!I2263:I2267),"")</f>
        <v/>
      </c>
      <c r="J2267" s="3">
        <f>IF(ISNUMBER(AVERAGE('20250815_ETF_Options_Exhibits'!J2263:J2267)),AVERAGE('20250815_ETF_Options_Exhibits'!J2263:J2267),"")</f>
        <v/>
      </c>
      <c r="K2267" s="3">
        <f>IF(ISNUMBER(AVERAGE('20250815_ETF_Options_Exhibits'!K2263:K2267)),AVERAGE('20250815_ETF_Options_Exhibits'!K2263:K2267),"")</f>
        <v/>
      </c>
      <c r="L2267" s="3">
        <f>IF(ISNUMBER(AVERAGE('20250815_ETF_Options_Exhibits'!L2263:L2267)),AVERAGE('20250815_ETF_Options_Exhibits'!L2263:L2267),"")</f>
        <v/>
      </c>
      <c r="M2267" s="3">
        <f>IF(ISNUMBER(AVERAGE('20250815_ETF_Options_Exhibits'!M2263:M2267)),AVERAGE('20250815_ETF_Options_Exhibits'!M2263:M2267),"")</f>
        <v/>
      </c>
      <c r="N2267" s="3">
        <f>IF(ISNUMBER(AVERAGE('20250815_ETF_Options_Exhibits'!N2263:N2267)),AVERAGE('20250815_ETF_Options_Exhibits'!N2263:N2267),"")</f>
        <v/>
      </c>
      <c r="O2267" s="3">
        <f>IF(ISNUMBER(AVERAGE('20250815_ETF_Options_Exhibits'!O2263:O2267)),AVERAGE('20250815_ETF_Options_Exhibits'!O2263:O2267),"")</f>
        <v/>
      </c>
      <c r="P2267" s="3">
        <f>IF(ISNUMBER(AVERAGE('20250815_ETF_Options_Exhibits'!P2263:P2267)),AVERAGE('20250815_ETF_Options_Exhibits'!P2263:P2267),"")</f>
        <v/>
      </c>
      <c r="Q2267" s="3">
        <f>IF(ISNUMBER(AVERAGE('20250815_ETF_Options_Exhibits'!Q2263:Q2267)),AVERAGE('20250815_ETF_Options_Exhibits'!Q2263:Q2267),"")</f>
        <v/>
      </c>
      <c r="R2267" s="3">
        <f>IF(ISNUMBER(AVERAGE('20250815_ETF_Options_Exhibits'!R2263:R2267)),AVERAGE('20250815_ETF_Options_Exhibits'!R2263:R2267),"")</f>
        <v/>
      </c>
      <c r="S2267" s="3">
        <f>IF(ISNUMBER(AVERAGE('20250815_ETF_Options_Exhibits'!S2263:S2267)),AVERAGE('20250815_ETF_Options_Exhibits'!S2263:S2267),"")</f>
        <v/>
      </c>
      <c r="T2267" s="3">
        <f>IF(ISNUMBER(AVERAGE('20250815_ETF_Options_Exhibits'!T2263:T2267)),AVERAGE('20250815_ETF_Options_Exhibits'!T2263:T2267),"")</f>
        <v/>
      </c>
      <c r="U2267" s="3">
        <f>IF(ISNUMBER(AVERAGE('20250815_ETF_Options_Exhibits'!U2263:U2267)),AVERAGE('20250815_ETF_Options_Exhibits'!U2263:U2267),"")</f>
        <v/>
      </c>
      <c r="V2267" s="3">
        <f>IF(ISNUMBER(AVERAGE('20250815_ETF_Options_Exhibits'!V2263:V2267)),AVERAGE('20250815_ETF_Options_Exhibits'!V2263:V2267),"")</f>
        <v/>
      </c>
      <c r="W2267" s="3">
        <f>IF(ISNUMBER(AVERAGE('20250815_ETF_Options_Exhibits'!W2263:W2267)),AVERAGE('20250815_ETF_Options_Exhibits'!W2263:W2267),"")</f>
        <v/>
      </c>
      <c r="X2267" s="3">
        <f>IF(ISNUMBER(AVERAGE('20250815_ETF_Options_Exhibits'!X2263:X2267)),AVERAGE('20250815_ETF_Options_Exhibits'!X2263:X2267),"")</f>
        <v/>
      </c>
      <c r="Y2267" s="3">
        <f>IF(ISNUMBER(AVERAGE('20250815_ETF_Options_Exhibits'!Y2263:Y2267)),AVERAGE('20250815_ETF_Options_Exhibits'!Y2263:Y2267),"")</f>
        <v/>
      </c>
      <c r="Z2267" s="3">
        <f>IF(ISNUMBER(AVERAGE('20250815_ETF_Options_Exhibits'!Z2263:Z2267)),AVERAGE('20250815_ETF_Options_Exhibits'!Z2263:Z2267),"")</f>
        <v/>
      </c>
      <c r="AA2267" s="3">
        <f>IF(ISNUMBER(AVERAGE('20250815_ETF_Options_Exhibits'!AA2263:AA2267)),AVERAGE('20250815_ETF_Options_Exhibits'!AA2263:AA2267),"")</f>
        <v/>
      </c>
    </row>
    <row r="2268">
      <c r="A2268" s="1" t="n">
        <v>45294</v>
      </c>
      <c r="B2268" s="3">
        <f>IF(ISNUMBER(AVERAGE('20250815_ETF_Options_Exhibits'!B2264:B2268)),AVERAGE('20250815_ETF_Options_Exhibits'!B2264:B2268),"")</f>
        <v/>
      </c>
      <c r="C2268" s="3">
        <f>IF(ISNUMBER(AVERAGE('20250815_ETF_Options_Exhibits'!C2264:C2268)),AVERAGE('20250815_ETF_Options_Exhibits'!C2264:C2268),"")</f>
        <v/>
      </c>
      <c r="D2268" s="3">
        <f>IF(ISNUMBER(AVERAGE('20250815_ETF_Options_Exhibits'!D2264:D2268)),AVERAGE('20250815_ETF_Options_Exhibits'!D2264:D2268),"")</f>
        <v/>
      </c>
      <c r="E2268" s="3">
        <f>IF(ISNUMBER(AVERAGE('20250815_ETF_Options_Exhibits'!E2264:E2268)),AVERAGE('20250815_ETF_Options_Exhibits'!E2264:E2268),"")</f>
        <v/>
      </c>
      <c r="F2268" s="3">
        <f>IF(ISNUMBER(AVERAGE('20250815_ETF_Options_Exhibits'!F2264:F2268)),AVERAGE('20250815_ETF_Options_Exhibits'!F2264:F2268),"")</f>
        <v/>
      </c>
      <c r="G2268" s="3">
        <f>IF(ISNUMBER(AVERAGE('20250815_ETF_Options_Exhibits'!G2264:G2268)),AVERAGE('20250815_ETF_Options_Exhibits'!G2264:G2268),"")</f>
        <v/>
      </c>
      <c r="H2268" s="3">
        <f>IF(ISNUMBER(AVERAGE('20250815_ETF_Options_Exhibits'!H2264:H2268)),AVERAGE('20250815_ETF_Options_Exhibits'!H2264:H2268),"")</f>
        <v/>
      </c>
      <c r="I2268" s="3">
        <f>IF(ISNUMBER(AVERAGE('20250815_ETF_Options_Exhibits'!I2264:I2268)),AVERAGE('20250815_ETF_Options_Exhibits'!I2264:I2268),"")</f>
        <v/>
      </c>
      <c r="J2268" s="3">
        <f>IF(ISNUMBER(AVERAGE('20250815_ETF_Options_Exhibits'!J2264:J2268)),AVERAGE('20250815_ETF_Options_Exhibits'!J2264:J2268),"")</f>
        <v/>
      </c>
      <c r="K2268" s="3">
        <f>IF(ISNUMBER(AVERAGE('20250815_ETF_Options_Exhibits'!K2264:K2268)),AVERAGE('20250815_ETF_Options_Exhibits'!K2264:K2268),"")</f>
        <v/>
      </c>
      <c r="L2268" s="3">
        <f>IF(ISNUMBER(AVERAGE('20250815_ETF_Options_Exhibits'!L2264:L2268)),AVERAGE('20250815_ETF_Options_Exhibits'!L2264:L2268),"")</f>
        <v/>
      </c>
      <c r="M2268" s="3">
        <f>IF(ISNUMBER(AVERAGE('20250815_ETF_Options_Exhibits'!M2264:M2268)),AVERAGE('20250815_ETF_Options_Exhibits'!M2264:M2268),"")</f>
        <v/>
      </c>
      <c r="N2268" s="3">
        <f>IF(ISNUMBER(AVERAGE('20250815_ETF_Options_Exhibits'!N2264:N2268)),AVERAGE('20250815_ETF_Options_Exhibits'!N2264:N2268),"")</f>
        <v/>
      </c>
      <c r="O2268" s="3">
        <f>IF(ISNUMBER(AVERAGE('20250815_ETF_Options_Exhibits'!O2264:O2268)),AVERAGE('20250815_ETF_Options_Exhibits'!O2264:O2268),"")</f>
        <v/>
      </c>
      <c r="P2268" s="3">
        <f>IF(ISNUMBER(AVERAGE('20250815_ETF_Options_Exhibits'!P2264:P2268)),AVERAGE('20250815_ETF_Options_Exhibits'!P2264:P2268),"")</f>
        <v/>
      </c>
      <c r="Q2268" s="3">
        <f>IF(ISNUMBER(AVERAGE('20250815_ETF_Options_Exhibits'!Q2264:Q2268)),AVERAGE('20250815_ETF_Options_Exhibits'!Q2264:Q2268),"")</f>
        <v/>
      </c>
      <c r="R2268" s="3">
        <f>IF(ISNUMBER(AVERAGE('20250815_ETF_Options_Exhibits'!R2264:R2268)),AVERAGE('20250815_ETF_Options_Exhibits'!R2264:R2268),"")</f>
        <v/>
      </c>
      <c r="S2268" s="3">
        <f>IF(ISNUMBER(AVERAGE('20250815_ETF_Options_Exhibits'!S2264:S2268)),AVERAGE('20250815_ETF_Options_Exhibits'!S2264:S2268),"")</f>
        <v/>
      </c>
      <c r="T2268" s="3">
        <f>IF(ISNUMBER(AVERAGE('20250815_ETF_Options_Exhibits'!T2264:T2268)),AVERAGE('20250815_ETF_Options_Exhibits'!T2264:T2268),"")</f>
        <v/>
      </c>
      <c r="U2268" s="3">
        <f>IF(ISNUMBER(AVERAGE('20250815_ETF_Options_Exhibits'!U2264:U2268)),AVERAGE('20250815_ETF_Options_Exhibits'!U2264:U2268),"")</f>
        <v/>
      </c>
      <c r="V2268" s="3">
        <f>IF(ISNUMBER(AVERAGE('20250815_ETF_Options_Exhibits'!V2264:V2268)),AVERAGE('20250815_ETF_Options_Exhibits'!V2264:V2268),"")</f>
        <v/>
      </c>
      <c r="W2268" s="3">
        <f>IF(ISNUMBER(AVERAGE('20250815_ETF_Options_Exhibits'!W2264:W2268)),AVERAGE('20250815_ETF_Options_Exhibits'!W2264:W2268),"")</f>
        <v/>
      </c>
      <c r="X2268" s="3">
        <f>IF(ISNUMBER(AVERAGE('20250815_ETF_Options_Exhibits'!X2264:X2268)),AVERAGE('20250815_ETF_Options_Exhibits'!X2264:X2268),"")</f>
        <v/>
      </c>
      <c r="Y2268" s="3">
        <f>IF(ISNUMBER(AVERAGE('20250815_ETF_Options_Exhibits'!Y2264:Y2268)),AVERAGE('20250815_ETF_Options_Exhibits'!Y2264:Y2268),"")</f>
        <v/>
      </c>
      <c r="Z2268" s="3">
        <f>IF(ISNUMBER(AVERAGE('20250815_ETF_Options_Exhibits'!Z2264:Z2268)),AVERAGE('20250815_ETF_Options_Exhibits'!Z2264:Z2268),"")</f>
        <v/>
      </c>
      <c r="AA2268" s="3">
        <f>IF(ISNUMBER(AVERAGE('20250815_ETF_Options_Exhibits'!AA2264:AA2268)),AVERAGE('20250815_ETF_Options_Exhibits'!AA2264:AA2268),"")</f>
        <v/>
      </c>
    </row>
    <row r="2269">
      <c r="A2269" s="1" t="n">
        <v>45295</v>
      </c>
      <c r="B2269" s="3">
        <f>IF(ISNUMBER(AVERAGE('20250815_ETF_Options_Exhibits'!B2265:B2269)),AVERAGE('20250815_ETF_Options_Exhibits'!B2265:B2269),"")</f>
        <v/>
      </c>
      <c r="C2269" s="3">
        <f>IF(ISNUMBER(AVERAGE('20250815_ETF_Options_Exhibits'!C2265:C2269)),AVERAGE('20250815_ETF_Options_Exhibits'!C2265:C2269),"")</f>
        <v/>
      </c>
      <c r="D2269" s="3">
        <f>IF(ISNUMBER(AVERAGE('20250815_ETF_Options_Exhibits'!D2265:D2269)),AVERAGE('20250815_ETF_Options_Exhibits'!D2265:D2269),"")</f>
        <v/>
      </c>
      <c r="E2269" s="3">
        <f>IF(ISNUMBER(AVERAGE('20250815_ETF_Options_Exhibits'!E2265:E2269)),AVERAGE('20250815_ETF_Options_Exhibits'!E2265:E2269),"")</f>
        <v/>
      </c>
      <c r="F2269" s="3">
        <f>IF(ISNUMBER(AVERAGE('20250815_ETF_Options_Exhibits'!F2265:F2269)),AVERAGE('20250815_ETF_Options_Exhibits'!F2265:F2269),"")</f>
        <v/>
      </c>
      <c r="G2269" s="3">
        <f>IF(ISNUMBER(AVERAGE('20250815_ETF_Options_Exhibits'!G2265:G2269)),AVERAGE('20250815_ETF_Options_Exhibits'!G2265:G2269),"")</f>
        <v/>
      </c>
      <c r="H2269" s="3">
        <f>IF(ISNUMBER(AVERAGE('20250815_ETF_Options_Exhibits'!H2265:H2269)),AVERAGE('20250815_ETF_Options_Exhibits'!H2265:H2269),"")</f>
        <v/>
      </c>
      <c r="I2269" s="3">
        <f>IF(ISNUMBER(AVERAGE('20250815_ETF_Options_Exhibits'!I2265:I2269)),AVERAGE('20250815_ETF_Options_Exhibits'!I2265:I2269),"")</f>
        <v/>
      </c>
      <c r="J2269" s="3">
        <f>IF(ISNUMBER(AVERAGE('20250815_ETF_Options_Exhibits'!J2265:J2269)),AVERAGE('20250815_ETF_Options_Exhibits'!J2265:J2269),"")</f>
        <v/>
      </c>
      <c r="K2269" s="3">
        <f>IF(ISNUMBER(AVERAGE('20250815_ETF_Options_Exhibits'!K2265:K2269)),AVERAGE('20250815_ETF_Options_Exhibits'!K2265:K2269),"")</f>
        <v/>
      </c>
      <c r="L2269" s="3">
        <f>IF(ISNUMBER(AVERAGE('20250815_ETF_Options_Exhibits'!L2265:L2269)),AVERAGE('20250815_ETF_Options_Exhibits'!L2265:L2269),"")</f>
        <v/>
      </c>
      <c r="M2269" s="3">
        <f>IF(ISNUMBER(AVERAGE('20250815_ETF_Options_Exhibits'!M2265:M2269)),AVERAGE('20250815_ETF_Options_Exhibits'!M2265:M2269),"")</f>
        <v/>
      </c>
      <c r="N2269" s="3">
        <f>IF(ISNUMBER(AVERAGE('20250815_ETF_Options_Exhibits'!N2265:N2269)),AVERAGE('20250815_ETF_Options_Exhibits'!N2265:N2269),"")</f>
        <v/>
      </c>
      <c r="O2269" s="3">
        <f>IF(ISNUMBER(AVERAGE('20250815_ETF_Options_Exhibits'!O2265:O2269)),AVERAGE('20250815_ETF_Options_Exhibits'!O2265:O2269),"")</f>
        <v/>
      </c>
      <c r="P2269" s="3">
        <f>IF(ISNUMBER(AVERAGE('20250815_ETF_Options_Exhibits'!P2265:P2269)),AVERAGE('20250815_ETF_Options_Exhibits'!P2265:P2269),"")</f>
        <v/>
      </c>
      <c r="Q2269" s="3">
        <f>IF(ISNUMBER(AVERAGE('20250815_ETF_Options_Exhibits'!Q2265:Q2269)),AVERAGE('20250815_ETF_Options_Exhibits'!Q2265:Q2269),"")</f>
        <v/>
      </c>
      <c r="R2269" s="3">
        <f>IF(ISNUMBER(AVERAGE('20250815_ETF_Options_Exhibits'!R2265:R2269)),AVERAGE('20250815_ETF_Options_Exhibits'!R2265:R2269),"")</f>
        <v/>
      </c>
      <c r="S2269" s="3">
        <f>IF(ISNUMBER(AVERAGE('20250815_ETF_Options_Exhibits'!S2265:S2269)),AVERAGE('20250815_ETF_Options_Exhibits'!S2265:S2269),"")</f>
        <v/>
      </c>
      <c r="T2269" s="3">
        <f>IF(ISNUMBER(AVERAGE('20250815_ETF_Options_Exhibits'!T2265:T2269)),AVERAGE('20250815_ETF_Options_Exhibits'!T2265:T2269),"")</f>
        <v/>
      </c>
      <c r="U2269" s="3">
        <f>IF(ISNUMBER(AVERAGE('20250815_ETF_Options_Exhibits'!U2265:U2269)),AVERAGE('20250815_ETF_Options_Exhibits'!U2265:U2269),"")</f>
        <v/>
      </c>
      <c r="V2269" s="3">
        <f>IF(ISNUMBER(AVERAGE('20250815_ETF_Options_Exhibits'!V2265:V2269)),AVERAGE('20250815_ETF_Options_Exhibits'!V2265:V2269),"")</f>
        <v/>
      </c>
      <c r="W2269" s="3">
        <f>IF(ISNUMBER(AVERAGE('20250815_ETF_Options_Exhibits'!W2265:W2269)),AVERAGE('20250815_ETF_Options_Exhibits'!W2265:W2269),"")</f>
        <v/>
      </c>
      <c r="X2269" s="3">
        <f>IF(ISNUMBER(AVERAGE('20250815_ETF_Options_Exhibits'!X2265:X2269)),AVERAGE('20250815_ETF_Options_Exhibits'!X2265:X2269),"")</f>
        <v/>
      </c>
      <c r="Y2269" s="3">
        <f>IF(ISNUMBER(AVERAGE('20250815_ETF_Options_Exhibits'!Y2265:Y2269)),AVERAGE('20250815_ETF_Options_Exhibits'!Y2265:Y2269),"")</f>
        <v/>
      </c>
      <c r="Z2269" s="3">
        <f>IF(ISNUMBER(AVERAGE('20250815_ETF_Options_Exhibits'!Z2265:Z2269)),AVERAGE('20250815_ETF_Options_Exhibits'!Z2265:Z2269),"")</f>
        <v/>
      </c>
      <c r="AA2269" s="3">
        <f>IF(ISNUMBER(AVERAGE('20250815_ETF_Options_Exhibits'!AA2265:AA2269)),AVERAGE('20250815_ETF_Options_Exhibits'!AA2265:AA2269),"")</f>
        <v/>
      </c>
    </row>
    <row r="2270">
      <c r="A2270" s="1" t="n">
        <v>45296</v>
      </c>
      <c r="B2270" s="3">
        <f>IF(ISNUMBER(AVERAGE('20250815_ETF_Options_Exhibits'!B2266:B2270)),AVERAGE('20250815_ETF_Options_Exhibits'!B2266:B2270),"")</f>
        <v/>
      </c>
      <c r="C2270" s="3">
        <f>IF(ISNUMBER(AVERAGE('20250815_ETF_Options_Exhibits'!C2266:C2270)),AVERAGE('20250815_ETF_Options_Exhibits'!C2266:C2270),"")</f>
        <v/>
      </c>
      <c r="D2270" s="3">
        <f>IF(ISNUMBER(AVERAGE('20250815_ETF_Options_Exhibits'!D2266:D2270)),AVERAGE('20250815_ETF_Options_Exhibits'!D2266:D2270),"")</f>
        <v/>
      </c>
      <c r="E2270" s="3">
        <f>IF(ISNUMBER(AVERAGE('20250815_ETF_Options_Exhibits'!E2266:E2270)),AVERAGE('20250815_ETF_Options_Exhibits'!E2266:E2270),"")</f>
        <v/>
      </c>
      <c r="F2270" s="3">
        <f>IF(ISNUMBER(AVERAGE('20250815_ETF_Options_Exhibits'!F2266:F2270)),AVERAGE('20250815_ETF_Options_Exhibits'!F2266:F2270),"")</f>
        <v/>
      </c>
      <c r="G2270" s="3">
        <f>IF(ISNUMBER(AVERAGE('20250815_ETF_Options_Exhibits'!G2266:G2270)),AVERAGE('20250815_ETF_Options_Exhibits'!G2266:G2270),"")</f>
        <v/>
      </c>
      <c r="H2270" s="3">
        <f>IF(ISNUMBER(AVERAGE('20250815_ETF_Options_Exhibits'!H2266:H2270)),AVERAGE('20250815_ETF_Options_Exhibits'!H2266:H2270),"")</f>
        <v/>
      </c>
      <c r="I2270" s="3">
        <f>IF(ISNUMBER(AVERAGE('20250815_ETF_Options_Exhibits'!I2266:I2270)),AVERAGE('20250815_ETF_Options_Exhibits'!I2266:I2270),"")</f>
        <v/>
      </c>
      <c r="J2270" s="3">
        <f>IF(ISNUMBER(AVERAGE('20250815_ETF_Options_Exhibits'!J2266:J2270)),AVERAGE('20250815_ETF_Options_Exhibits'!J2266:J2270),"")</f>
        <v/>
      </c>
      <c r="K2270" s="3">
        <f>IF(ISNUMBER(AVERAGE('20250815_ETF_Options_Exhibits'!K2266:K2270)),AVERAGE('20250815_ETF_Options_Exhibits'!K2266:K2270),"")</f>
        <v/>
      </c>
      <c r="L2270" s="3">
        <f>IF(ISNUMBER(AVERAGE('20250815_ETF_Options_Exhibits'!L2266:L2270)),AVERAGE('20250815_ETF_Options_Exhibits'!L2266:L2270),"")</f>
        <v/>
      </c>
      <c r="M2270" s="3">
        <f>IF(ISNUMBER(AVERAGE('20250815_ETF_Options_Exhibits'!M2266:M2270)),AVERAGE('20250815_ETF_Options_Exhibits'!M2266:M2270),"")</f>
        <v/>
      </c>
      <c r="N2270" s="3">
        <f>IF(ISNUMBER(AVERAGE('20250815_ETF_Options_Exhibits'!N2266:N2270)),AVERAGE('20250815_ETF_Options_Exhibits'!N2266:N2270),"")</f>
        <v/>
      </c>
      <c r="O2270" s="3">
        <f>IF(ISNUMBER(AVERAGE('20250815_ETF_Options_Exhibits'!O2266:O2270)),AVERAGE('20250815_ETF_Options_Exhibits'!O2266:O2270),"")</f>
        <v/>
      </c>
      <c r="P2270" s="3">
        <f>IF(ISNUMBER(AVERAGE('20250815_ETF_Options_Exhibits'!P2266:P2270)),AVERAGE('20250815_ETF_Options_Exhibits'!P2266:P2270),"")</f>
        <v/>
      </c>
      <c r="Q2270" s="3">
        <f>IF(ISNUMBER(AVERAGE('20250815_ETF_Options_Exhibits'!Q2266:Q2270)),AVERAGE('20250815_ETF_Options_Exhibits'!Q2266:Q2270),"")</f>
        <v/>
      </c>
      <c r="R2270" s="3">
        <f>IF(ISNUMBER(AVERAGE('20250815_ETF_Options_Exhibits'!R2266:R2270)),AVERAGE('20250815_ETF_Options_Exhibits'!R2266:R2270),"")</f>
        <v/>
      </c>
      <c r="S2270" s="3">
        <f>IF(ISNUMBER(AVERAGE('20250815_ETF_Options_Exhibits'!S2266:S2270)),AVERAGE('20250815_ETF_Options_Exhibits'!S2266:S2270),"")</f>
        <v/>
      </c>
      <c r="T2270" s="3">
        <f>IF(ISNUMBER(AVERAGE('20250815_ETF_Options_Exhibits'!T2266:T2270)),AVERAGE('20250815_ETF_Options_Exhibits'!T2266:T2270),"")</f>
        <v/>
      </c>
      <c r="U2270" s="3">
        <f>IF(ISNUMBER(AVERAGE('20250815_ETF_Options_Exhibits'!U2266:U2270)),AVERAGE('20250815_ETF_Options_Exhibits'!U2266:U2270),"")</f>
        <v/>
      </c>
      <c r="V2270" s="3">
        <f>IF(ISNUMBER(AVERAGE('20250815_ETF_Options_Exhibits'!V2266:V2270)),AVERAGE('20250815_ETF_Options_Exhibits'!V2266:V2270),"")</f>
        <v/>
      </c>
      <c r="W2270" s="3">
        <f>IF(ISNUMBER(AVERAGE('20250815_ETF_Options_Exhibits'!W2266:W2270)),AVERAGE('20250815_ETF_Options_Exhibits'!W2266:W2270),"")</f>
        <v/>
      </c>
      <c r="X2270" s="3">
        <f>IF(ISNUMBER(AVERAGE('20250815_ETF_Options_Exhibits'!X2266:X2270)),AVERAGE('20250815_ETF_Options_Exhibits'!X2266:X2270),"")</f>
        <v/>
      </c>
      <c r="Y2270" s="3">
        <f>IF(ISNUMBER(AVERAGE('20250815_ETF_Options_Exhibits'!Y2266:Y2270)),AVERAGE('20250815_ETF_Options_Exhibits'!Y2266:Y2270),"")</f>
        <v/>
      </c>
      <c r="Z2270" s="3">
        <f>IF(ISNUMBER(AVERAGE('20250815_ETF_Options_Exhibits'!Z2266:Z2270)),AVERAGE('20250815_ETF_Options_Exhibits'!Z2266:Z2270),"")</f>
        <v/>
      </c>
      <c r="AA2270" s="3">
        <f>IF(ISNUMBER(AVERAGE('20250815_ETF_Options_Exhibits'!AA2266:AA2270)),AVERAGE('20250815_ETF_Options_Exhibits'!AA2266:AA2270),"")</f>
        <v/>
      </c>
    </row>
    <row r="2271">
      <c r="A2271" s="1" t="n">
        <v>45299</v>
      </c>
      <c r="B2271" s="3">
        <f>IF(ISNUMBER(AVERAGE('20250815_ETF_Options_Exhibits'!B2267:B2271)),AVERAGE('20250815_ETF_Options_Exhibits'!B2267:B2271),"")</f>
        <v/>
      </c>
      <c r="C2271" s="3">
        <f>IF(ISNUMBER(AVERAGE('20250815_ETF_Options_Exhibits'!C2267:C2271)),AVERAGE('20250815_ETF_Options_Exhibits'!C2267:C2271),"")</f>
        <v/>
      </c>
      <c r="D2271" s="3">
        <f>IF(ISNUMBER(AVERAGE('20250815_ETF_Options_Exhibits'!D2267:D2271)),AVERAGE('20250815_ETF_Options_Exhibits'!D2267:D2271),"")</f>
        <v/>
      </c>
      <c r="E2271" s="3">
        <f>IF(ISNUMBER(AVERAGE('20250815_ETF_Options_Exhibits'!E2267:E2271)),AVERAGE('20250815_ETF_Options_Exhibits'!E2267:E2271),"")</f>
        <v/>
      </c>
      <c r="F2271" s="3">
        <f>IF(ISNUMBER(AVERAGE('20250815_ETF_Options_Exhibits'!F2267:F2271)),AVERAGE('20250815_ETF_Options_Exhibits'!F2267:F2271),"")</f>
        <v/>
      </c>
      <c r="G2271" s="3">
        <f>IF(ISNUMBER(AVERAGE('20250815_ETF_Options_Exhibits'!G2267:G2271)),AVERAGE('20250815_ETF_Options_Exhibits'!G2267:G2271),"")</f>
        <v/>
      </c>
      <c r="H2271" s="3">
        <f>IF(ISNUMBER(AVERAGE('20250815_ETF_Options_Exhibits'!H2267:H2271)),AVERAGE('20250815_ETF_Options_Exhibits'!H2267:H2271),"")</f>
        <v/>
      </c>
      <c r="I2271" s="3">
        <f>IF(ISNUMBER(AVERAGE('20250815_ETF_Options_Exhibits'!I2267:I2271)),AVERAGE('20250815_ETF_Options_Exhibits'!I2267:I2271),"")</f>
        <v/>
      </c>
      <c r="J2271" s="3">
        <f>IF(ISNUMBER(AVERAGE('20250815_ETF_Options_Exhibits'!J2267:J2271)),AVERAGE('20250815_ETF_Options_Exhibits'!J2267:J2271),"")</f>
        <v/>
      </c>
      <c r="K2271" s="3">
        <f>IF(ISNUMBER(AVERAGE('20250815_ETF_Options_Exhibits'!K2267:K2271)),AVERAGE('20250815_ETF_Options_Exhibits'!K2267:K2271),"")</f>
        <v/>
      </c>
      <c r="L2271" s="3">
        <f>IF(ISNUMBER(AVERAGE('20250815_ETF_Options_Exhibits'!L2267:L2271)),AVERAGE('20250815_ETF_Options_Exhibits'!L2267:L2271),"")</f>
        <v/>
      </c>
      <c r="M2271" s="3">
        <f>IF(ISNUMBER(AVERAGE('20250815_ETF_Options_Exhibits'!M2267:M2271)),AVERAGE('20250815_ETF_Options_Exhibits'!M2267:M2271),"")</f>
        <v/>
      </c>
      <c r="N2271" s="3">
        <f>IF(ISNUMBER(AVERAGE('20250815_ETF_Options_Exhibits'!N2267:N2271)),AVERAGE('20250815_ETF_Options_Exhibits'!N2267:N2271),"")</f>
        <v/>
      </c>
      <c r="O2271" s="3">
        <f>IF(ISNUMBER(AVERAGE('20250815_ETF_Options_Exhibits'!O2267:O2271)),AVERAGE('20250815_ETF_Options_Exhibits'!O2267:O2271),"")</f>
        <v/>
      </c>
      <c r="P2271" s="3">
        <f>IF(ISNUMBER(AVERAGE('20250815_ETF_Options_Exhibits'!P2267:P2271)),AVERAGE('20250815_ETF_Options_Exhibits'!P2267:P2271),"")</f>
        <v/>
      </c>
      <c r="Q2271" s="3">
        <f>IF(ISNUMBER(AVERAGE('20250815_ETF_Options_Exhibits'!Q2267:Q2271)),AVERAGE('20250815_ETF_Options_Exhibits'!Q2267:Q2271),"")</f>
        <v/>
      </c>
      <c r="R2271" s="3">
        <f>IF(ISNUMBER(AVERAGE('20250815_ETF_Options_Exhibits'!R2267:R2271)),AVERAGE('20250815_ETF_Options_Exhibits'!R2267:R2271),"")</f>
        <v/>
      </c>
      <c r="S2271" s="3">
        <f>IF(ISNUMBER(AVERAGE('20250815_ETF_Options_Exhibits'!S2267:S2271)),AVERAGE('20250815_ETF_Options_Exhibits'!S2267:S2271),"")</f>
        <v/>
      </c>
      <c r="T2271" s="3">
        <f>IF(ISNUMBER(AVERAGE('20250815_ETF_Options_Exhibits'!T2267:T2271)),AVERAGE('20250815_ETF_Options_Exhibits'!T2267:T2271),"")</f>
        <v/>
      </c>
      <c r="U2271" s="3">
        <f>IF(ISNUMBER(AVERAGE('20250815_ETF_Options_Exhibits'!U2267:U2271)),AVERAGE('20250815_ETF_Options_Exhibits'!U2267:U2271),"")</f>
        <v/>
      </c>
      <c r="V2271" s="3">
        <f>IF(ISNUMBER(AVERAGE('20250815_ETF_Options_Exhibits'!V2267:V2271)),AVERAGE('20250815_ETF_Options_Exhibits'!V2267:V2271),"")</f>
        <v/>
      </c>
      <c r="W2271" s="3">
        <f>IF(ISNUMBER(AVERAGE('20250815_ETF_Options_Exhibits'!W2267:W2271)),AVERAGE('20250815_ETF_Options_Exhibits'!W2267:W2271),"")</f>
        <v/>
      </c>
      <c r="X2271" s="3">
        <f>IF(ISNUMBER(AVERAGE('20250815_ETF_Options_Exhibits'!X2267:X2271)),AVERAGE('20250815_ETF_Options_Exhibits'!X2267:X2271),"")</f>
        <v/>
      </c>
      <c r="Y2271" s="3">
        <f>IF(ISNUMBER(AVERAGE('20250815_ETF_Options_Exhibits'!Y2267:Y2271)),AVERAGE('20250815_ETF_Options_Exhibits'!Y2267:Y2271),"")</f>
        <v/>
      </c>
      <c r="Z2271" s="3">
        <f>IF(ISNUMBER(AVERAGE('20250815_ETF_Options_Exhibits'!Z2267:Z2271)),AVERAGE('20250815_ETF_Options_Exhibits'!Z2267:Z2271),"")</f>
        <v/>
      </c>
      <c r="AA2271" s="3">
        <f>IF(ISNUMBER(AVERAGE('20250815_ETF_Options_Exhibits'!AA2267:AA2271)),AVERAGE('20250815_ETF_Options_Exhibits'!AA2267:AA2271),"")</f>
        <v/>
      </c>
    </row>
    <row r="2272">
      <c r="A2272" s="1" t="n">
        <v>45300</v>
      </c>
      <c r="B2272" s="3">
        <f>IF(ISNUMBER(AVERAGE('20250815_ETF_Options_Exhibits'!B2268:B2272)),AVERAGE('20250815_ETF_Options_Exhibits'!B2268:B2272),"")</f>
        <v/>
      </c>
      <c r="C2272" s="3">
        <f>IF(ISNUMBER(AVERAGE('20250815_ETF_Options_Exhibits'!C2268:C2272)),AVERAGE('20250815_ETF_Options_Exhibits'!C2268:C2272),"")</f>
        <v/>
      </c>
      <c r="D2272" s="3">
        <f>IF(ISNUMBER(AVERAGE('20250815_ETF_Options_Exhibits'!D2268:D2272)),AVERAGE('20250815_ETF_Options_Exhibits'!D2268:D2272),"")</f>
        <v/>
      </c>
      <c r="E2272" s="3">
        <f>IF(ISNUMBER(AVERAGE('20250815_ETF_Options_Exhibits'!E2268:E2272)),AVERAGE('20250815_ETF_Options_Exhibits'!E2268:E2272),"")</f>
        <v/>
      </c>
      <c r="F2272" s="3">
        <f>IF(ISNUMBER(AVERAGE('20250815_ETF_Options_Exhibits'!F2268:F2272)),AVERAGE('20250815_ETF_Options_Exhibits'!F2268:F2272),"")</f>
        <v/>
      </c>
      <c r="G2272" s="3">
        <f>IF(ISNUMBER(AVERAGE('20250815_ETF_Options_Exhibits'!G2268:G2272)),AVERAGE('20250815_ETF_Options_Exhibits'!G2268:G2272),"")</f>
        <v/>
      </c>
      <c r="H2272" s="3">
        <f>IF(ISNUMBER(AVERAGE('20250815_ETF_Options_Exhibits'!H2268:H2272)),AVERAGE('20250815_ETF_Options_Exhibits'!H2268:H2272),"")</f>
        <v/>
      </c>
      <c r="I2272" s="3">
        <f>IF(ISNUMBER(AVERAGE('20250815_ETF_Options_Exhibits'!I2268:I2272)),AVERAGE('20250815_ETF_Options_Exhibits'!I2268:I2272),"")</f>
        <v/>
      </c>
      <c r="J2272" s="3">
        <f>IF(ISNUMBER(AVERAGE('20250815_ETF_Options_Exhibits'!J2268:J2272)),AVERAGE('20250815_ETF_Options_Exhibits'!J2268:J2272),"")</f>
        <v/>
      </c>
      <c r="K2272" s="3">
        <f>IF(ISNUMBER(AVERAGE('20250815_ETF_Options_Exhibits'!K2268:K2272)),AVERAGE('20250815_ETF_Options_Exhibits'!K2268:K2272),"")</f>
        <v/>
      </c>
      <c r="L2272" s="3">
        <f>IF(ISNUMBER(AVERAGE('20250815_ETF_Options_Exhibits'!L2268:L2272)),AVERAGE('20250815_ETF_Options_Exhibits'!L2268:L2272),"")</f>
        <v/>
      </c>
      <c r="M2272" s="3">
        <f>IF(ISNUMBER(AVERAGE('20250815_ETF_Options_Exhibits'!M2268:M2272)),AVERAGE('20250815_ETF_Options_Exhibits'!M2268:M2272),"")</f>
        <v/>
      </c>
      <c r="N2272" s="3">
        <f>IF(ISNUMBER(AVERAGE('20250815_ETF_Options_Exhibits'!N2268:N2272)),AVERAGE('20250815_ETF_Options_Exhibits'!N2268:N2272),"")</f>
        <v/>
      </c>
      <c r="O2272" s="3">
        <f>IF(ISNUMBER(AVERAGE('20250815_ETF_Options_Exhibits'!O2268:O2272)),AVERAGE('20250815_ETF_Options_Exhibits'!O2268:O2272),"")</f>
        <v/>
      </c>
      <c r="P2272" s="3">
        <f>IF(ISNUMBER(AVERAGE('20250815_ETF_Options_Exhibits'!P2268:P2272)),AVERAGE('20250815_ETF_Options_Exhibits'!P2268:P2272),"")</f>
        <v/>
      </c>
      <c r="Q2272" s="3">
        <f>IF(ISNUMBER(AVERAGE('20250815_ETF_Options_Exhibits'!Q2268:Q2272)),AVERAGE('20250815_ETF_Options_Exhibits'!Q2268:Q2272),"")</f>
        <v/>
      </c>
      <c r="R2272" s="3">
        <f>IF(ISNUMBER(AVERAGE('20250815_ETF_Options_Exhibits'!R2268:R2272)),AVERAGE('20250815_ETF_Options_Exhibits'!R2268:R2272),"")</f>
        <v/>
      </c>
      <c r="S2272" s="3">
        <f>IF(ISNUMBER(AVERAGE('20250815_ETF_Options_Exhibits'!S2268:S2272)),AVERAGE('20250815_ETF_Options_Exhibits'!S2268:S2272),"")</f>
        <v/>
      </c>
      <c r="T2272" s="3">
        <f>IF(ISNUMBER(AVERAGE('20250815_ETF_Options_Exhibits'!T2268:T2272)),AVERAGE('20250815_ETF_Options_Exhibits'!T2268:T2272),"")</f>
        <v/>
      </c>
      <c r="U2272" s="3">
        <f>IF(ISNUMBER(AVERAGE('20250815_ETF_Options_Exhibits'!U2268:U2272)),AVERAGE('20250815_ETF_Options_Exhibits'!U2268:U2272),"")</f>
        <v/>
      </c>
      <c r="V2272" s="3">
        <f>IF(ISNUMBER(AVERAGE('20250815_ETF_Options_Exhibits'!V2268:V2272)),AVERAGE('20250815_ETF_Options_Exhibits'!V2268:V2272),"")</f>
        <v/>
      </c>
      <c r="W2272" s="3">
        <f>IF(ISNUMBER(AVERAGE('20250815_ETF_Options_Exhibits'!W2268:W2272)),AVERAGE('20250815_ETF_Options_Exhibits'!W2268:W2272),"")</f>
        <v/>
      </c>
      <c r="X2272" s="3">
        <f>IF(ISNUMBER(AVERAGE('20250815_ETF_Options_Exhibits'!X2268:X2272)),AVERAGE('20250815_ETF_Options_Exhibits'!X2268:X2272),"")</f>
        <v/>
      </c>
      <c r="Y2272" s="3">
        <f>IF(ISNUMBER(AVERAGE('20250815_ETF_Options_Exhibits'!Y2268:Y2272)),AVERAGE('20250815_ETF_Options_Exhibits'!Y2268:Y2272),"")</f>
        <v/>
      </c>
      <c r="Z2272" s="3">
        <f>IF(ISNUMBER(AVERAGE('20250815_ETF_Options_Exhibits'!Z2268:Z2272)),AVERAGE('20250815_ETF_Options_Exhibits'!Z2268:Z2272),"")</f>
        <v/>
      </c>
      <c r="AA2272" s="3">
        <f>IF(ISNUMBER(AVERAGE('20250815_ETF_Options_Exhibits'!AA2268:AA2272)),AVERAGE('20250815_ETF_Options_Exhibits'!AA2268:AA2272),"")</f>
        <v/>
      </c>
    </row>
    <row r="2273">
      <c r="A2273" s="1" t="n">
        <v>45301</v>
      </c>
      <c r="B2273" s="3">
        <f>IF(ISNUMBER(AVERAGE('20250815_ETF_Options_Exhibits'!B2269:B2273)),AVERAGE('20250815_ETF_Options_Exhibits'!B2269:B2273),"")</f>
        <v/>
      </c>
      <c r="C2273" s="3">
        <f>IF(ISNUMBER(AVERAGE('20250815_ETF_Options_Exhibits'!C2269:C2273)),AVERAGE('20250815_ETF_Options_Exhibits'!C2269:C2273),"")</f>
        <v/>
      </c>
      <c r="D2273" s="3">
        <f>IF(ISNUMBER(AVERAGE('20250815_ETF_Options_Exhibits'!D2269:D2273)),AVERAGE('20250815_ETF_Options_Exhibits'!D2269:D2273),"")</f>
        <v/>
      </c>
      <c r="E2273" s="3">
        <f>IF(ISNUMBER(AVERAGE('20250815_ETF_Options_Exhibits'!E2269:E2273)),AVERAGE('20250815_ETF_Options_Exhibits'!E2269:E2273),"")</f>
        <v/>
      </c>
      <c r="F2273" s="3">
        <f>IF(ISNUMBER(AVERAGE('20250815_ETF_Options_Exhibits'!F2269:F2273)),AVERAGE('20250815_ETF_Options_Exhibits'!F2269:F2273),"")</f>
        <v/>
      </c>
      <c r="G2273" s="3">
        <f>IF(ISNUMBER(AVERAGE('20250815_ETF_Options_Exhibits'!G2269:G2273)),AVERAGE('20250815_ETF_Options_Exhibits'!G2269:G2273),"")</f>
        <v/>
      </c>
      <c r="H2273" s="3">
        <f>IF(ISNUMBER(AVERAGE('20250815_ETF_Options_Exhibits'!H2269:H2273)),AVERAGE('20250815_ETF_Options_Exhibits'!H2269:H2273),"")</f>
        <v/>
      </c>
      <c r="I2273" s="3">
        <f>IF(ISNUMBER(AVERAGE('20250815_ETF_Options_Exhibits'!I2269:I2273)),AVERAGE('20250815_ETF_Options_Exhibits'!I2269:I2273),"")</f>
        <v/>
      </c>
      <c r="J2273" s="3">
        <f>IF(ISNUMBER(AVERAGE('20250815_ETF_Options_Exhibits'!J2269:J2273)),AVERAGE('20250815_ETF_Options_Exhibits'!J2269:J2273),"")</f>
        <v/>
      </c>
      <c r="K2273" s="3">
        <f>IF(ISNUMBER(AVERAGE('20250815_ETF_Options_Exhibits'!K2269:K2273)),AVERAGE('20250815_ETF_Options_Exhibits'!K2269:K2273),"")</f>
        <v/>
      </c>
      <c r="L2273" s="3">
        <f>IF(ISNUMBER(AVERAGE('20250815_ETF_Options_Exhibits'!L2269:L2273)),AVERAGE('20250815_ETF_Options_Exhibits'!L2269:L2273),"")</f>
        <v/>
      </c>
      <c r="M2273" s="3">
        <f>IF(ISNUMBER(AVERAGE('20250815_ETF_Options_Exhibits'!M2269:M2273)),AVERAGE('20250815_ETF_Options_Exhibits'!M2269:M2273),"")</f>
        <v/>
      </c>
      <c r="N2273" s="3">
        <f>IF(ISNUMBER(AVERAGE('20250815_ETF_Options_Exhibits'!N2269:N2273)),AVERAGE('20250815_ETF_Options_Exhibits'!N2269:N2273),"")</f>
        <v/>
      </c>
      <c r="O2273" s="3">
        <f>IF(ISNUMBER(AVERAGE('20250815_ETF_Options_Exhibits'!O2269:O2273)),AVERAGE('20250815_ETF_Options_Exhibits'!O2269:O2273),"")</f>
        <v/>
      </c>
      <c r="P2273" s="3">
        <f>IF(ISNUMBER(AVERAGE('20250815_ETF_Options_Exhibits'!P2269:P2273)),AVERAGE('20250815_ETF_Options_Exhibits'!P2269:P2273),"")</f>
        <v/>
      </c>
      <c r="Q2273" s="3">
        <f>IF(ISNUMBER(AVERAGE('20250815_ETF_Options_Exhibits'!Q2269:Q2273)),AVERAGE('20250815_ETF_Options_Exhibits'!Q2269:Q2273),"")</f>
        <v/>
      </c>
      <c r="R2273" s="3">
        <f>IF(ISNUMBER(AVERAGE('20250815_ETF_Options_Exhibits'!R2269:R2273)),AVERAGE('20250815_ETF_Options_Exhibits'!R2269:R2273),"")</f>
        <v/>
      </c>
      <c r="S2273" s="3">
        <f>IF(ISNUMBER(AVERAGE('20250815_ETF_Options_Exhibits'!S2269:S2273)),AVERAGE('20250815_ETF_Options_Exhibits'!S2269:S2273),"")</f>
        <v/>
      </c>
      <c r="T2273" s="3">
        <f>IF(ISNUMBER(AVERAGE('20250815_ETF_Options_Exhibits'!T2269:T2273)),AVERAGE('20250815_ETF_Options_Exhibits'!T2269:T2273),"")</f>
        <v/>
      </c>
      <c r="U2273" s="3">
        <f>IF(ISNUMBER(AVERAGE('20250815_ETF_Options_Exhibits'!U2269:U2273)),AVERAGE('20250815_ETF_Options_Exhibits'!U2269:U2273),"")</f>
        <v/>
      </c>
      <c r="V2273" s="3">
        <f>IF(ISNUMBER(AVERAGE('20250815_ETF_Options_Exhibits'!V2269:V2273)),AVERAGE('20250815_ETF_Options_Exhibits'!V2269:V2273),"")</f>
        <v/>
      </c>
      <c r="W2273" s="3">
        <f>IF(ISNUMBER(AVERAGE('20250815_ETF_Options_Exhibits'!W2269:W2273)),AVERAGE('20250815_ETF_Options_Exhibits'!W2269:W2273),"")</f>
        <v/>
      </c>
      <c r="X2273" s="3">
        <f>IF(ISNUMBER(AVERAGE('20250815_ETF_Options_Exhibits'!X2269:X2273)),AVERAGE('20250815_ETF_Options_Exhibits'!X2269:X2273),"")</f>
        <v/>
      </c>
      <c r="Y2273" s="3">
        <f>IF(ISNUMBER(AVERAGE('20250815_ETF_Options_Exhibits'!Y2269:Y2273)),AVERAGE('20250815_ETF_Options_Exhibits'!Y2269:Y2273),"")</f>
        <v/>
      </c>
      <c r="Z2273" s="3">
        <f>IF(ISNUMBER(AVERAGE('20250815_ETF_Options_Exhibits'!Z2269:Z2273)),AVERAGE('20250815_ETF_Options_Exhibits'!Z2269:Z2273),"")</f>
        <v/>
      </c>
      <c r="AA2273" s="3">
        <f>IF(ISNUMBER(AVERAGE('20250815_ETF_Options_Exhibits'!AA2269:AA2273)),AVERAGE('20250815_ETF_Options_Exhibits'!AA2269:AA2273),"")</f>
        <v/>
      </c>
    </row>
    <row r="2274">
      <c r="A2274" s="1" t="n">
        <v>45302</v>
      </c>
      <c r="B2274" s="3">
        <f>IF(ISNUMBER(AVERAGE('20250815_ETF_Options_Exhibits'!B2270:B2274)),AVERAGE('20250815_ETF_Options_Exhibits'!B2270:B2274),"")</f>
        <v/>
      </c>
      <c r="C2274" s="3">
        <f>IF(ISNUMBER(AVERAGE('20250815_ETF_Options_Exhibits'!C2270:C2274)),AVERAGE('20250815_ETF_Options_Exhibits'!C2270:C2274),"")</f>
        <v/>
      </c>
      <c r="D2274" s="3">
        <f>IF(ISNUMBER(AVERAGE('20250815_ETF_Options_Exhibits'!D2270:D2274)),AVERAGE('20250815_ETF_Options_Exhibits'!D2270:D2274),"")</f>
        <v/>
      </c>
      <c r="E2274" s="3">
        <f>IF(ISNUMBER(AVERAGE('20250815_ETF_Options_Exhibits'!E2270:E2274)),AVERAGE('20250815_ETF_Options_Exhibits'!E2270:E2274),"")</f>
        <v/>
      </c>
      <c r="F2274" s="3">
        <f>IF(ISNUMBER(AVERAGE('20250815_ETF_Options_Exhibits'!F2270:F2274)),AVERAGE('20250815_ETF_Options_Exhibits'!F2270:F2274),"")</f>
        <v/>
      </c>
      <c r="G2274" s="3">
        <f>IF(ISNUMBER(AVERAGE('20250815_ETF_Options_Exhibits'!G2270:G2274)),AVERAGE('20250815_ETF_Options_Exhibits'!G2270:G2274),"")</f>
        <v/>
      </c>
      <c r="H2274" s="3">
        <f>IF(ISNUMBER(AVERAGE('20250815_ETF_Options_Exhibits'!H2270:H2274)),AVERAGE('20250815_ETF_Options_Exhibits'!H2270:H2274),"")</f>
        <v/>
      </c>
      <c r="I2274" s="3">
        <f>IF(ISNUMBER(AVERAGE('20250815_ETF_Options_Exhibits'!I2270:I2274)),AVERAGE('20250815_ETF_Options_Exhibits'!I2270:I2274),"")</f>
        <v/>
      </c>
      <c r="J2274" s="3">
        <f>IF(ISNUMBER(AVERAGE('20250815_ETF_Options_Exhibits'!J2270:J2274)),AVERAGE('20250815_ETF_Options_Exhibits'!J2270:J2274),"")</f>
        <v/>
      </c>
      <c r="K2274" s="3">
        <f>IF(ISNUMBER(AVERAGE('20250815_ETF_Options_Exhibits'!K2270:K2274)),AVERAGE('20250815_ETF_Options_Exhibits'!K2270:K2274),"")</f>
        <v/>
      </c>
      <c r="L2274" s="3">
        <f>IF(ISNUMBER(AVERAGE('20250815_ETF_Options_Exhibits'!L2270:L2274)),AVERAGE('20250815_ETF_Options_Exhibits'!L2270:L2274),"")</f>
        <v/>
      </c>
      <c r="M2274" s="3">
        <f>IF(ISNUMBER(AVERAGE('20250815_ETF_Options_Exhibits'!M2270:M2274)),AVERAGE('20250815_ETF_Options_Exhibits'!M2270:M2274),"")</f>
        <v/>
      </c>
      <c r="N2274" s="3">
        <f>IF(ISNUMBER(AVERAGE('20250815_ETF_Options_Exhibits'!N2270:N2274)),AVERAGE('20250815_ETF_Options_Exhibits'!N2270:N2274),"")</f>
        <v/>
      </c>
      <c r="O2274" s="3">
        <f>IF(ISNUMBER(AVERAGE('20250815_ETF_Options_Exhibits'!O2270:O2274)),AVERAGE('20250815_ETF_Options_Exhibits'!O2270:O2274),"")</f>
        <v/>
      </c>
      <c r="P2274" s="3">
        <f>IF(ISNUMBER(AVERAGE('20250815_ETF_Options_Exhibits'!P2270:P2274)),AVERAGE('20250815_ETF_Options_Exhibits'!P2270:P2274),"")</f>
        <v/>
      </c>
      <c r="Q2274" s="3">
        <f>IF(ISNUMBER(AVERAGE('20250815_ETF_Options_Exhibits'!Q2270:Q2274)),AVERAGE('20250815_ETF_Options_Exhibits'!Q2270:Q2274),"")</f>
        <v/>
      </c>
      <c r="R2274" s="3">
        <f>IF(ISNUMBER(AVERAGE('20250815_ETF_Options_Exhibits'!R2270:R2274)),AVERAGE('20250815_ETF_Options_Exhibits'!R2270:R2274),"")</f>
        <v/>
      </c>
      <c r="S2274" s="3">
        <f>IF(ISNUMBER(AVERAGE('20250815_ETF_Options_Exhibits'!S2270:S2274)),AVERAGE('20250815_ETF_Options_Exhibits'!S2270:S2274),"")</f>
        <v/>
      </c>
      <c r="T2274" s="3">
        <f>IF(ISNUMBER(AVERAGE('20250815_ETF_Options_Exhibits'!T2270:T2274)),AVERAGE('20250815_ETF_Options_Exhibits'!T2270:T2274),"")</f>
        <v/>
      </c>
      <c r="U2274" s="3">
        <f>IF(ISNUMBER(AVERAGE('20250815_ETF_Options_Exhibits'!U2270:U2274)),AVERAGE('20250815_ETF_Options_Exhibits'!U2270:U2274),"")</f>
        <v/>
      </c>
      <c r="V2274" s="3">
        <f>IF(ISNUMBER(AVERAGE('20250815_ETF_Options_Exhibits'!V2270:V2274)),AVERAGE('20250815_ETF_Options_Exhibits'!V2270:V2274),"")</f>
        <v/>
      </c>
      <c r="W2274" s="3">
        <f>IF(ISNUMBER(AVERAGE('20250815_ETF_Options_Exhibits'!W2270:W2274)),AVERAGE('20250815_ETF_Options_Exhibits'!W2270:W2274),"")</f>
        <v/>
      </c>
      <c r="X2274" s="3">
        <f>IF(ISNUMBER(AVERAGE('20250815_ETF_Options_Exhibits'!X2270:X2274)),AVERAGE('20250815_ETF_Options_Exhibits'!X2270:X2274),"")</f>
        <v/>
      </c>
      <c r="Y2274" s="3">
        <f>IF(ISNUMBER(AVERAGE('20250815_ETF_Options_Exhibits'!Y2270:Y2274)),AVERAGE('20250815_ETF_Options_Exhibits'!Y2270:Y2274),"")</f>
        <v/>
      </c>
      <c r="Z2274" s="3">
        <f>IF(ISNUMBER(AVERAGE('20250815_ETF_Options_Exhibits'!Z2270:Z2274)),AVERAGE('20250815_ETF_Options_Exhibits'!Z2270:Z2274),"")</f>
        <v/>
      </c>
      <c r="AA2274" s="3">
        <f>IF(ISNUMBER(AVERAGE('20250815_ETF_Options_Exhibits'!AA2270:AA2274)),AVERAGE('20250815_ETF_Options_Exhibits'!AA2270:AA2274),"")</f>
        <v/>
      </c>
    </row>
    <row r="2275">
      <c r="A2275" s="1" t="n">
        <v>45303</v>
      </c>
      <c r="B2275" s="3">
        <f>IF(ISNUMBER(AVERAGE('20250815_ETF_Options_Exhibits'!B2271:B2275)),AVERAGE('20250815_ETF_Options_Exhibits'!B2271:B2275),"")</f>
        <v/>
      </c>
      <c r="C2275" s="3">
        <f>IF(ISNUMBER(AVERAGE('20250815_ETF_Options_Exhibits'!C2271:C2275)),AVERAGE('20250815_ETF_Options_Exhibits'!C2271:C2275),"")</f>
        <v/>
      </c>
      <c r="D2275" s="3">
        <f>IF(ISNUMBER(AVERAGE('20250815_ETF_Options_Exhibits'!D2271:D2275)),AVERAGE('20250815_ETF_Options_Exhibits'!D2271:D2275),"")</f>
        <v/>
      </c>
      <c r="E2275" s="3">
        <f>IF(ISNUMBER(AVERAGE('20250815_ETF_Options_Exhibits'!E2271:E2275)),AVERAGE('20250815_ETF_Options_Exhibits'!E2271:E2275),"")</f>
        <v/>
      </c>
      <c r="F2275" s="3">
        <f>IF(ISNUMBER(AVERAGE('20250815_ETF_Options_Exhibits'!F2271:F2275)),AVERAGE('20250815_ETF_Options_Exhibits'!F2271:F2275),"")</f>
        <v/>
      </c>
      <c r="G2275" s="3">
        <f>IF(ISNUMBER(AVERAGE('20250815_ETF_Options_Exhibits'!G2271:G2275)),AVERAGE('20250815_ETF_Options_Exhibits'!G2271:G2275),"")</f>
        <v/>
      </c>
      <c r="H2275" s="3">
        <f>IF(ISNUMBER(AVERAGE('20250815_ETF_Options_Exhibits'!H2271:H2275)),AVERAGE('20250815_ETF_Options_Exhibits'!H2271:H2275),"")</f>
        <v/>
      </c>
      <c r="I2275" s="3">
        <f>IF(ISNUMBER(AVERAGE('20250815_ETF_Options_Exhibits'!I2271:I2275)),AVERAGE('20250815_ETF_Options_Exhibits'!I2271:I2275),"")</f>
        <v/>
      </c>
      <c r="J2275" s="3">
        <f>IF(ISNUMBER(AVERAGE('20250815_ETF_Options_Exhibits'!J2271:J2275)),AVERAGE('20250815_ETF_Options_Exhibits'!J2271:J2275),"")</f>
        <v/>
      </c>
      <c r="K2275" s="3">
        <f>IF(ISNUMBER(AVERAGE('20250815_ETF_Options_Exhibits'!K2271:K2275)),AVERAGE('20250815_ETF_Options_Exhibits'!K2271:K2275),"")</f>
        <v/>
      </c>
      <c r="L2275" s="3">
        <f>IF(ISNUMBER(AVERAGE('20250815_ETF_Options_Exhibits'!L2271:L2275)),AVERAGE('20250815_ETF_Options_Exhibits'!L2271:L2275),"")</f>
        <v/>
      </c>
      <c r="M2275" s="3">
        <f>IF(ISNUMBER(AVERAGE('20250815_ETF_Options_Exhibits'!M2271:M2275)),AVERAGE('20250815_ETF_Options_Exhibits'!M2271:M2275),"")</f>
        <v/>
      </c>
      <c r="N2275" s="3">
        <f>IF(ISNUMBER(AVERAGE('20250815_ETF_Options_Exhibits'!N2271:N2275)),AVERAGE('20250815_ETF_Options_Exhibits'!N2271:N2275),"")</f>
        <v/>
      </c>
      <c r="O2275" s="3">
        <f>IF(ISNUMBER(AVERAGE('20250815_ETF_Options_Exhibits'!O2271:O2275)),AVERAGE('20250815_ETF_Options_Exhibits'!O2271:O2275),"")</f>
        <v/>
      </c>
      <c r="P2275" s="3">
        <f>IF(ISNUMBER(AVERAGE('20250815_ETF_Options_Exhibits'!P2271:P2275)),AVERAGE('20250815_ETF_Options_Exhibits'!P2271:P2275),"")</f>
        <v/>
      </c>
      <c r="Q2275" s="3">
        <f>IF(ISNUMBER(AVERAGE('20250815_ETF_Options_Exhibits'!Q2271:Q2275)),AVERAGE('20250815_ETF_Options_Exhibits'!Q2271:Q2275),"")</f>
        <v/>
      </c>
      <c r="R2275" s="3">
        <f>IF(ISNUMBER(AVERAGE('20250815_ETF_Options_Exhibits'!R2271:R2275)),AVERAGE('20250815_ETF_Options_Exhibits'!R2271:R2275),"")</f>
        <v/>
      </c>
      <c r="S2275" s="3">
        <f>IF(ISNUMBER(AVERAGE('20250815_ETF_Options_Exhibits'!S2271:S2275)),AVERAGE('20250815_ETF_Options_Exhibits'!S2271:S2275),"")</f>
        <v/>
      </c>
      <c r="T2275" s="3">
        <f>IF(ISNUMBER(AVERAGE('20250815_ETF_Options_Exhibits'!T2271:T2275)),AVERAGE('20250815_ETF_Options_Exhibits'!T2271:T2275),"")</f>
        <v/>
      </c>
      <c r="U2275" s="3">
        <f>IF(ISNUMBER(AVERAGE('20250815_ETF_Options_Exhibits'!U2271:U2275)),AVERAGE('20250815_ETF_Options_Exhibits'!U2271:U2275),"")</f>
        <v/>
      </c>
      <c r="V2275" s="3">
        <f>IF(ISNUMBER(AVERAGE('20250815_ETF_Options_Exhibits'!V2271:V2275)),AVERAGE('20250815_ETF_Options_Exhibits'!V2271:V2275),"")</f>
        <v/>
      </c>
      <c r="W2275" s="3">
        <f>IF(ISNUMBER(AVERAGE('20250815_ETF_Options_Exhibits'!W2271:W2275)),AVERAGE('20250815_ETF_Options_Exhibits'!W2271:W2275),"")</f>
        <v/>
      </c>
      <c r="X2275" s="3">
        <f>IF(ISNUMBER(AVERAGE('20250815_ETF_Options_Exhibits'!X2271:X2275)),AVERAGE('20250815_ETF_Options_Exhibits'!X2271:X2275),"")</f>
        <v/>
      </c>
      <c r="Y2275" s="3">
        <f>IF(ISNUMBER(AVERAGE('20250815_ETF_Options_Exhibits'!Y2271:Y2275)),AVERAGE('20250815_ETF_Options_Exhibits'!Y2271:Y2275),"")</f>
        <v/>
      </c>
      <c r="Z2275" s="3">
        <f>IF(ISNUMBER(AVERAGE('20250815_ETF_Options_Exhibits'!Z2271:Z2275)),AVERAGE('20250815_ETF_Options_Exhibits'!Z2271:Z2275),"")</f>
        <v/>
      </c>
      <c r="AA2275" s="3">
        <f>IF(ISNUMBER(AVERAGE('20250815_ETF_Options_Exhibits'!AA2271:AA2275)),AVERAGE('20250815_ETF_Options_Exhibits'!AA2271:AA2275),"")</f>
        <v/>
      </c>
    </row>
    <row r="2276">
      <c r="A2276" s="1" t="n">
        <v>45307</v>
      </c>
      <c r="B2276" s="3">
        <f>IF(ISNUMBER(AVERAGE('20250815_ETF_Options_Exhibits'!B2272:B2276)),AVERAGE('20250815_ETF_Options_Exhibits'!B2272:B2276),"")</f>
        <v/>
      </c>
      <c r="C2276" s="3">
        <f>IF(ISNUMBER(AVERAGE('20250815_ETF_Options_Exhibits'!C2272:C2276)),AVERAGE('20250815_ETF_Options_Exhibits'!C2272:C2276),"")</f>
        <v/>
      </c>
      <c r="D2276" s="3">
        <f>IF(ISNUMBER(AVERAGE('20250815_ETF_Options_Exhibits'!D2272:D2276)),AVERAGE('20250815_ETF_Options_Exhibits'!D2272:D2276),"")</f>
        <v/>
      </c>
      <c r="E2276" s="3">
        <f>IF(ISNUMBER(AVERAGE('20250815_ETF_Options_Exhibits'!E2272:E2276)),AVERAGE('20250815_ETF_Options_Exhibits'!E2272:E2276),"")</f>
        <v/>
      </c>
      <c r="F2276" s="3">
        <f>IF(ISNUMBER(AVERAGE('20250815_ETF_Options_Exhibits'!F2272:F2276)),AVERAGE('20250815_ETF_Options_Exhibits'!F2272:F2276),"")</f>
        <v/>
      </c>
      <c r="G2276" s="3">
        <f>IF(ISNUMBER(AVERAGE('20250815_ETF_Options_Exhibits'!G2272:G2276)),AVERAGE('20250815_ETF_Options_Exhibits'!G2272:G2276),"")</f>
        <v/>
      </c>
      <c r="H2276" s="3">
        <f>IF(ISNUMBER(AVERAGE('20250815_ETF_Options_Exhibits'!H2272:H2276)),AVERAGE('20250815_ETF_Options_Exhibits'!H2272:H2276),"")</f>
        <v/>
      </c>
      <c r="I2276" s="3">
        <f>IF(ISNUMBER(AVERAGE('20250815_ETF_Options_Exhibits'!I2272:I2276)),AVERAGE('20250815_ETF_Options_Exhibits'!I2272:I2276),"")</f>
        <v/>
      </c>
      <c r="J2276" s="3">
        <f>IF(ISNUMBER(AVERAGE('20250815_ETF_Options_Exhibits'!J2272:J2276)),AVERAGE('20250815_ETF_Options_Exhibits'!J2272:J2276),"")</f>
        <v/>
      </c>
      <c r="K2276" s="3">
        <f>IF(ISNUMBER(AVERAGE('20250815_ETF_Options_Exhibits'!K2272:K2276)),AVERAGE('20250815_ETF_Options_Exhibits'!K2272:K2276),"")</f>
        <v/>
      </c>
      <c r="L2276" s="3">
        <f>IF(ISNUMBER(AVERAGE('20250815_ETF_Options_Exhibits'!L2272:L2276)),AVERAGE('20250815_ETF_Options_Exhibits'!L2272:L2276),"")</f>
        <v/>
      </c>
      <c r="M2276" s="3">
        <f>IF(ISNUMBER(AVERAGE('20250815_ETF_Options_Exhibits'!M2272:M2276)),AVERAGE('20250815_ETF_Options_Exhibits'!M2272:M2276),"")</f>
        <v/>
      </c>
      <c r="N2276" s="3">
        <f>IF(ISNUMBER(AVERAGE('20250815_ETF_Options_Exhibits'!N2272:N2276)),AVERAGE('20250815_ETF_Options_Exhibits'!N2272:N2276),"")</f>
        <v/>
      </c>
      <c r="O2276" s="3">
        <f>IF(ISNUMBER(AVERAGE('20250815_ETF_Options_Exhibits'!O2272:O2276)),AVERAGE('20250815_ETF_Options_Exhibits'!O2272:O2276),"")</f>
        <v/>
      </c>
      <c r="P2276" s="3">
        <f>IF(ISNUMBER(AVERAGE('20250815_ETF_Options_Exhibits'!P2272:P2276)),AVERAGE('20250815_ETF_Options_Exhibits'!P2272:P2276),"")</f>
        <v/>
      </c>
      <c r="Q2276" s="3">
        <f>IF(ISNUMBER(AVERAGE('20250815_ETF_Options_Exhibits'!Q2272:Q2276)),AVERAGE('20250815_ETF_Options_Exhibits'!Q2272:Q2276),"")</f>
        <v/>
      </c>
      <c r="R2276" s="3">
        <f>IF(ISNUMBER(AVERAGE('20250815_ETF_Options_Exhibits'!R2272:R2276)),AVERAGE('20250815_ETF_Options_Exhibits'!R2272:R2276),"")</f>
        <v/>
      </c>
      <c r="S2276" s="3">
        <f>IF(ISNUMBER(AVERAGE('20250815_ETF_Options_Exhibits'!S2272:S2276)),AVERAGE('20250815_ETF_Options_Exhibits'!S2272:S2276),"")</f>
        <v/>
      </c>
      <c r="T2276" s="3">
        <f>IF(ISNUMBER(AVERAGE('20250815_ETF_Options_Exhibits'!T2272:T2276)),AVERAGE('20250815_ETF_Options_Exhibits'!T2272:T2276),"")</f>
        <v/>
      </c>
      <c r="U2276" s="3">
        <f>IF(ISNUMBER(AVERAGE('20250815_ETF_Options_Exhibits'!U2272:U2276)),AVERAGE('20250815_ETF_Options_Exhibits'!U2272:U2276),"")</f>
        <v/>
      </c>
      <c r="V2276" s="3">
        <f>IF(ISNUMBER(AVERAGE('20250815_ETF_Options_Exhibits'!V2272:V2276)),AVERAGE('20250815_ETF_Options_Exhibits'!V2272:V2276),"")</f>
        <v/>
      </c>
      <c r="W2276" s="3">
        <f>IF(ISNUMBER(AVERAGE('20250815_ETF_Options_Exhibits'!W2272:W2276)),AVERAGE('20250815_ETF_Options_Exhibits'!W2272:W2276),"")</f>
        <v/>
      </c>
      <c r="X2276" s="3">
        <f>IF(ISNUMBER(AVERAGE('20250815_ETF_Options_Exhibits'!X2272:X2276)),AVERAGE('20250815_ETF_Options_Exhibits'!X2272:X2276),"")</f>
        <v/>
      </c>
      <c r="Y2276" s="3">
        <f>IF(ISNUMBER(AVERAGE('20250815_ETF_Options_Exhibits'!Y2272:Y2276)),AVERAGE('20250815_ETF_Options_Exhibits'!Y2272:Y2276),"")</f>
        <v/>
      </c>
      <c r="Z2276" s="3">
        <f>IF(ISNUMBER(AVERAGE('20250815_ETF_Options_Exhibits'!Z2272:Z2276)),AVERAGE('20250815_ETF_Options_Exhibits'!Z2272:Z2276),"")</f>
        <v/>
      </c>
      <c r="AA2276" s="3">
        <f>IF(ISNUMBER(AVERAGE('20250815_ETF_Options_Exhibits'!AA2272:AA2276)),AVERAGE('20250815_ETF_Options_Exhibits'!AA2272:AA2276),"")</f>
        <v/>
      </c>
    </row>
    <row r="2277">
      <c r="A2277" s="1" t="n">
        <v>45308</v>
      </c>
      <c r="B2277" s="3">
        <f>IF(ISNUMBER(AVERAGE('20250815_ETF_Options_Exhibits'!B2273:B2277)),AVERAGE('20250815_ETF_Options_Exhibits'!B2273:B2277),"")</f>
        <v/>
      </c>
      <c r="C2277" s="3">
        <f>IF(ISNUMBER(AVERAGE('20250815_ETF_Options_Exhibits'!C2273:C2277)),AVERAGE('20250815_ETF_Options_Exhibits'!C2273:C2277),"")</f>
        <v/>
      </c>
      <c r="D2277" s="3">
        <f>IF(ISNUMBER(AVERAGE('20250815_ETF_Options_Exhibits'!D2273:D2277)),AVERAGE('20250815_ETF_Options_Exhibits'!D2273:D2277),"")</f>
        <v/>
      </c>
      <c r="E2277" s="3">
        <f>IF(ISNUMBER(AVERAGE('20250815_ETF_Options_Exhibits'!E2273:E2277)),AVERAGE('20250815_ETF_Options_Exhibits'!E2273:E2277),"")</f>
        <v/>
      </c>
      <c r="F2277" s="3">
        <f>IF(ISNUMBER(AVERAGE('20250815_ETF_Options_Exhibits'!F2273:F2277)),AVERAGE('20250815_ETF_Options_Exhibits'!F2273:F2277),"")</f>
        <v/>
      </c>
      <c r="G2277" s="3">
        <f>IF(ISNUMBER(AVERAGE('20250815_ETF_Options_Exhibits'!G2273:G2277)),AVERAGE('20250815_ETF_Options_Exhibits'!G2273:G2277),"")</f>
        <v/>
      </c>
      <c r="H2277" s="3">
        <f>IF(ISNUMBER(AVERAGE('20250815_ETF_Options_Exhibits'!H2273:H2277)),AVERAGE('20250815_ETF_Options_Exhibits'!H2273:H2277),"")</f>
        <v/>
      </c>
      <c r="I2277" s="3">
        <f>IF(ISNUMBER(AVERAGE('20250815_ETF_Options_Exhibits'!I2273:I2277)),AVERAGE('20250815_ETF_Options_Exhibits'!I2273:I2277),"")</f>
        <v/>
      </c>
      <c r="J2277" s="3">
        <f>IF(ISNUMBER(AVERAGE('20250815_ETF_Options_Exhibits'!J2273:J2277)),AVERAGE('20250815_ETF_Options_Exhibits'!J2273:J2277),"")</f>
        <v/>
      </c>
      <c r="K2277" s="3">
        <f>IF(ISNUMBER(AVERAGE('20250815_ETF_Options_Exhibits'!K2273:K2277)),AVERAGE('20250815_ETF_Options_Exhibits'!K2273:K2277),"")</f>
        <v/>
      </c>
      <c r="L2277" s="3">
        <f>IF(ISNUMBER(AVERAGE('20250815_ETF_Options_Exhibits'!L2273:L2277)),AVERAGE('20250815_ETF_Options_Exhibits'!L2273:L2277),"")</f>
        <v/>
      </c>
      <c r="M2277" s="3">
        <f>IF(ISNUMBER(AVERAGE('20250815_ETF_Options_Exhibits'!M2273:M2277)),AVERAGE('20250815_ETF_Options_Exhibits'!M2273:M2277),"")</f>
        <v/>
      </c>
      <c r="N2277" s="3">
        <f>IF(ISNUMBER(AVERAGE('20250815_ETF_Options_Exhibits'!N2273:N2277)),AVERAGE('20250815_ETF_Options_Exhibits'!N2273:N2277),"")</f>
        <v/>
      </c>
      <c r="O2277" s="3">
        <f>IF(ISNUMBER(AVERAGE('20250815_ETF_Options_Exhibits'!O2273:O2277)),AVERAGE('20250815_ETF_Options_Exhibits'!O2273:O2277),"")</f>
        <v/>
      </c>
      <c r="P2277" s="3">
        <f>IF(ISNUMBER(AVERAGE('20250815_ETF_Options_Exhibits'!P2273:P2277)),AVERAGE('20250815_ETF_Options_Exhibits'!P2273:P2277),"")</f>
        <v/>
      </c>
      <c r="Q2277" s="3">
        <f>IF(ISNUMBER(AVERAGE('20250815_ETF_Options_Exhibits'!Q2273:Q2277)),AVERAGE('20250815_ETF_Options_Exhibits'!Q2273:Q2277),"")</f>
        <v/>
      </c>
      <c r="R2277" s="3">
        <f>IF(ISNUMBER(AVERAGE('20250815_ETF_Options_Exhibits'!R2273:R2277)),AVERAGE('20250815_ETF_Options_Exhibits'!R2273:R2277),"")</f>
        <v/>
      </c>
      <c r="S2277" s="3">
        <f>IF(ISNUMBER(AVERAGE('20250815_ETF_Options_Exhibits'!S2273:S2277)),AVERAGE('20250815_ETF_Options_Exhibits'!S2273:S2277),"")</f>
        <v/>
      </c>
      <c r="T2277" s="3">
        <f>IF(ISNUMBER(AVERAGE('20250815_ETF_Options_Exhibits'!T2273:T2277)),AVERAGE('20250815_ETF_Options_Exhibits'!T2273:T2277),"")</f>
        <v/>
      </c>
      <c r="U2277" s="3">
        <f>IF(ISNUMBER(AVERAGE('20250815_ETF_Options_Exhibits'!U2273:U2277)),AVERAGE('20250815_ETF_Options_Exhibits'!U2273:U2277),"")</f>
        <v/>
      </c>
      <c r="V2277" s="3">
        <f>IF(ISNUMBER(AVERAGE('20250815_ETF_Options_Exhibits'!V2273:V2277)),AVERAGE('20250815_ETF_Options_Exhibits'!V2273:V2277),"")</f>
        <v/>
      </c>
      <c r="W2277" s="3">
        <f>IF(ISNUMBER(AVERAGE('20250815_ETF_Options_Exhibits'!W2273:W2277)),AVERAGE('20250815_ETF_Options_Exhibits'!W2273:W2277),"")</f>
        <v/>
      </c>
      <c r="X2277" s="3">
        <f>IF(ISNUMBER(AVERAGE('20250815_ETF_Options_Exhibits'!X2273:X2277)),AVERAGE('20250815_ETF_Options_Exhibits'!X2273:X2277),"")</f>
        <v/>
      </c>
      <c r="Y2277" s="3">
        <f>IF(ISNUMBER(AVERAGE('20250815_ETF_Options_Exhibits'!Y2273:Y2277)),AVERAGE('20250815_ETF_Options_Exhibits'!Y2273:Y2277),"")</f>
        <v/>
      </c>
      <c r="Z2277" s="3">
        <f>IF(ISNUMBER(AVERAGE('20250815_ETF_Options_Exhibits'!Z2273:Z2277)),AVERAGE('20250815_ETF_Options_Exhibits'!Z2273:Z2277),"")</f>
        <v/>
      </c>
      <c r="AA2277" s="3">
        <f>IF(ISNUMBER(AVERAGE('20250815_ETF_Options_Exhibits'!AA2273:AA2277)),AVERAGE('20250815_ETF_Options_Exhibits'!AA2273:AA2277),"")</f>
        <v/>
      </c>
    </row>
    <row r="2278">
      <c r="A2278" s="1" t="n">
        <v>45309</v>
      </c>
      <c r="B2278" s="3">
        <f>IF(ISNUMBER(AVERAGE('20250815_ETF_Options_Exhibits'!B2274:B2278)),AVERAGE('20250815_ETF_Options_Exhibits'!B2274:B2278),"")</f>
        <v/>
      </c>
      <c r="C2278" s="3">
        <f>IF(ISNUMBER(AVERAGE('20250815_ETF_Options_Exhibits'!C2274:C2278)),AVERAGE('20250815_ETF_Options_Exhibits'!C2274:C2278),"")</f>
        <v/>
      </c>
      <c r="D2278" s="3">
        <f>IF(ISNUMBER(AVERAGE('20250815_ETF_Options_Exhibits'!D2274:D2278)),AVERAGE('20250815_ETF_Options_Exhibits'!D2274:D2278),"")</f>
        <v/>
      </c>
      <c r="E2278" s="3">
        <f>IF(ISNUMBER(AVERAGE('20250815_ETF_Options_Exhibits'!E2274:E2278)),AVERAGE('20250815_ETF_Options_Exhibits'!E2274:E2278),"")</f>
        <v/>
      </c>
      <c r="F2278" s="3">
        <f>IF(ISNUMBER(AVERAGE('20250815_ETF_Options_Exhibits'!F2274:F2278)),AVERAGE('20250815_ETF_Options_Exhibits'!F2274:F2278),"")</f>
        <v/>
      </c>
      <c r="G2278" s="3">
        <f>IF(ISNUMBER(AVERAGE('20250815_ETF_Options_Exhibits'!G2274:G2278)),AVERAGE('20250815_ETF_Options_Exhibits'!G2274:G2278),"")</f>
        <v/>
      </c>
      <c r="H2278" s="3">
        <f>IF(ISNUMBER(AVERAGE('20250815_ETF_Options_Exhibits'!H2274:H2278)),AVERAGE('20250815_ETF_Options_Exhibits'!H2274:H2278),"")</f>
        <v/>
      </c>
      <c r="I2278" s="3">
        <f>IF(ISNUMBER(AVERAGE('20250815_ETF_Options_Exhibits'!I2274:I2278)),AVERAGE('20250815_ETF_Options_Exhibits'!I2274:I2278),"")</f>
        <v/>
      </c>
      <c r="J2278" s="3">
        <f>IF(ISNUMBER(AVERAGE('20250815_ETF_Options_Exhibits'!J2274:J2278)),AVERAGE('20250815_ETF_Options_Exhibits'!J2274:J2278),"")</f>
        <v/>
      </c>
      <c r="K2278" s="3">
        <f>IF(ISNUMBER(AVERAGE('20250815_ETF_Options_Exhibits'!K2274:K2278)),AVERAGE('20250815_ETF_Options_Exhibits'!K2274:K2278),"")</f>
        <v/>
      </c>
      <c r="L2278" s="3">
        <f>IF(ISNUMBER(AVERAGE('20250815_ETF_Options_Exhibits'!L2274:L2278)),AVERAGE('20250815_ETF_Options_Exhibits'!L2274:L2278),"")</f>
        <v/>
      </c>
      <c r="M2278" s="3">
        <f>IF(ISNUMBER(AVERAGE('20250815_ETF_Options_Exhibits'!M2274:M2278)),AVERAGE('20250815_ETF_Options_Exhibits'!M2274:M2278),"")</f>
        <v/>
      </c>
      <c r="N2278" s="3">
        <f>IF(ISNUMBER(AVERAGE('20250815_ETF_Options_Exhibits'!N2274:N2278)),AVERAGE('20250815_ETF_Options_Exhibits'!N2274:N2278),"")</f>
        <v/>
      </c>
      <c r="O2278" s="3">
        <f>IF(ISNUMBER(AVERAGE('20250815_ETF_Options_Exhibits'!O2274:O2278)),AVERAGE('20250815_ETF_Options_Exhibits'!O2274:O2278),"")</f>
        <v/>
      </c>
      <c r="P2278" s="3">
        <f>IF(ISNUMBER(AVERAGE('20250815_ETF_Options_Exhibits'!P2274:P2278)),AVERAGE('20250815_ETF_Options_Exhibits'!P2274:P2278),"")</f>
        <v/>
      </c>
      <c r="Q2278" s="3">
        <f>IF(ISNUMBER(AVERAGE('20250815_ETF_Options_Exhibits'!Q2274:Q2278)),AVERAGE('20250815_ETF_Options_Exhibits'!Q2274:Q2278),"")</f>
        <v/>
      </c>
      <c r="R2278" s="3">
        <f>IF(ISNUMBER(AVERAGE('20250815_ETF_Options_Exhibits'!R2274:R2278)),AVERAGE('20250815_ETF_Options_Exhibits'!R2274:R2278),"")</f>
        <v/>
      </c>
      <c r="S2278" s="3">
        <f>IF(ISNUMBER(AVERAGE('20250815_ETF_Options_Exhibits'!S2274:S2278)),AVERAGE('20250815_ETF_Options_Exhibits'!S2274:S2278),"")</f>
        <v/>
      </c>
      <c r="T2278" s="3">
        <f>IF(ISNUMBER(AVERAGE('20250815_ETF_Options_Exhibits'!T2274:T2278)),AVERAGE('20250815_ETF_Options_Exhibits'!T2274:T2278),"")</f>
        <v/>
      </c>
      <c r="U2278" s="3">
        <f>IF(ISNUMBER(AVERAGE('20250815_ETF_Options_Exhibits'!U2274:U2278)),AVERAGE('20250815_ETF_Options_Exhibits'!U2274:U2278),"")</f>
        <v/>
      </c>
      <c r="V2278" s="3">
        <f>IF(ISNUMBER(AVERAGE('20250815_ETF_Options_Exhibits'!V2274:V2278)),AVERAGE('20250815_ETF_Options_Exhibits'!V2274:V2278),"")</f>
        <v/>
      </c>
      <c r="W2278" s="3">
        <f>IF(ISNUMBER(AVERAGE('20250815_ETF_Options_Exhibits'!W2274:W2278)),AVERAGE('20250815_ETF_Options_Exhibits'!W2274:W2278),"")</f>
        <v/>
      </c>
      <c r="X2278" s="3">
        <f>IF(ISNUMBER(AVERAGE('20250815_ETF_Options_Exhibits'!X2274:X2278)),AVERAGE('20250815_ETF_Options_Exhibits'!X2274:X2278),"")</f>
        <v/>
      </c>
      <c r="Y2278" s="3">
        <f>IF(ISNUMBER(AVERAGE('20250815_ETF_Options_Exhibits'!Y2274:Y2278)),AVERAGE('20250815_ETF_Options_Exhibits'!Y2274:Y2278),"")</f>
        <v/>
      </c>
      <c r="Z2278" s="3">
        <f>IF(ISNUMBER(AVERAGE('20250815_ETF_Options_Exhibits'!Z2274:Z2278)),AVERAGE('20250815_ETF_Options_Exhibits'!Z2274:Z2278),"")</f>
        <v/>
      </c>
      <c r="AA2278" s="3">
        <f>IF(ISNUMBER(AVERAGE('20250815_ETF_Options_Exhibits'!AA2274:AA2278)),AVERAGE('20250815_ETF_Options_Exhibits'!AA2274:AA2278),"")</f>
        <v/>
      </c>
    </row>
    <row r="2279">
      <c r="A2279" s="1" t="n">
        <v>45310</v>
      </c>
      <c r="B2279" s="3">
        <f>IF(ISNUMBER(AVERAGE('20250815_ETF_Options_Exhibits'!B2275:B2279)),AVERAGE('20250815_ETF_Options_Exhibits'!B2275:B2279),"")</f>
        <v/>
      </c>
      <c r="C2279" s="3">
        <f>IF(ISNUMBER(AVERAGE('20250815_ETF_Options_Exhibits'!C2275:C2279)),AVERAGE('20250815_ETF_Options_Exhibits'!C2275:C2279),"")</f>
        <v/>
      </c>
      <c r="D2279" s="3">
        <f>IF(ISNUMBER(AVERAGE('20250815_ETF_Options_Exhibits'!D2275:D2279)),AVERAGE('20250815_ETF_Options_Exhibits'!D2275:D2279),"")</f>
        <v/>
      </c>
      <c r="E2279" s="3">
        <f>IF(ISNUMBER(AVERAGE('20250815_ETF_Options_Exhibits'!E2275:E2279)),AVERAGE('20250815_ETF_Options_Exhibits'!E2275:E2279),"")</f>
        <v/>
      </c>
      <c r="F2279" s="3">
        <f>IF(ISNUMBER(AVERAGE('20250815_ETF_Options_Exhibits'!F2275:F2279)),AVERAGE('20250815_ETF_Options_Exhibits'!F2275:F2279),"")</f>
        <v/>
      </c>
      <c r="G2279" s="3">
        <f>IF(ISNUMBER(AVERAGE('20250815_ETF_Options_Exhibits'!G2275:G2279)),AVERAGE('20250815_ETF_Options_Exhibits'!G2275:G2279),"")</f>
        <v/>
      </c>
      <c r="H2279" s="3">
        <f>IF(ISNUMBER(AVERAGE('20250815_ETF_Options_Exhibits'!H2275:H2279)),AVERAGE('20250815_ETF_Options_Exhibits'!H2275:H2279),"")</f>
        <v/>
      </c>
      <c r="I2279" s="3">
        <f>IF(ISNUMBER(AVERAGE('20250815_ETF_Options_Exhibits'!I2275:I2279)),AVERAGE('20250815_ETF_Options_Exhibits'!I2275:I2279),"")</f>
        <v/>
      </c>
      <c r="J2279" s="3">
        <f>IF(ISNUMBER(AVERAGE('20250815_ETF_Options_Exhibits'!J2275:J2279)),AVERAGE('20250815_ETF_Options_Exhibits'!J2275:J2279),"")</f>
        <v/>
      </c>
      <c r="K2279" s="3">
        <f>IF(ISNUMBER(AVERAGE('20250815_ETF_Options_Exhibits'!K2275:K2279)),AVERAGE('20250815_ETF_Options_Exhibits'!K2275:K2279),"")</f>
        <v/>
      </c>
      <c r="L2279" s="3">
        <f>IF(ISNUMBER(AVERAGE('20250815_ETF_Options_Exhibits'!L2275:L2279)),AVERAGE('20250815_ETF_Options_Exhibits'!L2275:L2279),"")</f>
        <v/>
      </c>
      <c r="M2279" s="3">
        <f>IF(ISNUMBER(AVERAGE('20250815_ETF_Options_Exhibits'!M2275:M2279)),AVERAGE('20250815_ETF_Options_Exhibits'!M2275:M2279),"")</f>
        <v/>
      </c>
      <c r="N2279" s="3">
        <f>IF(ISNUMBER(AVERAGE('20250815_ETF_Options_Exhibits'!N2275:N2279)),AVERAGE('20250815_ETF_Options_Exhibits'!N2275:N2279),"")</f>
        <v/>
      </c>
      <c r="O2279" s="3">
        <f>IF(ISNUMBER(AVERAGE('20250815_ETF_Options_Exhibits'!O2275:O2279)),AVERAGE('20250815_ETF_Options_Exhibits'!O2275:O2279),"")</f>
        <v/>
      </c>
      <c r="P2279" s="3">
        <f>IF(ISNUMBER(AVERAGE('20250815_ETF_Options_Exhibits'!P2275:P2279)),AVERAGE('20250815_ETF_Options_Exhibits'!P2275:P2279),"")</f>
        <v/>
      </c>
      <c r="Q2279" s="3">
        <f>IF(ISNUMBER(AVERAGE('20250815_ETF_Options_Exhibits'!Q2275:Q2279)),AVERAGE('20250815_ETF_Options_Exhibits'!Q2275:Q2279),"")</f>
        <v/>
      </c>
      <c r="R2279" s="3">
        <f>IF(ISNUMBER(AVERAGE('20250815_ETF_Options_Exhibits'!R2275:R2279)),AVERAGE('20250815_ETF_Options_Exhibits'!R2275:R2279),"")</f>
        <v/>
      </c>
      <c r="S2279" s="3">
        <f>IF(ISNUMBER(AVERAGE('20250815_ETF_Options_Exhibits'!S2275:S2279)),AVERAGE('20250815_ETF_Options_Exhibits'!S2275:S2279),"")</f>
        <v/>
      </c>
      <c r="T2279" s="3">
        <f>IF(ISNUMBER(AVERAGE('20250815_ETF_Options_Exhibits'!T2275:T2279)),AVERAGE('20250815_ETF_Options_Exhibits'!T2275:T2279),"")</f>
        <v/>
      </c>
      <c r="U2279" s="3">
        <f>IF(ISNUMBER(AVERAGE('20250815_ETF_Options_Exhibits'!U2275:U2279)),AVERAGE('20250815_ETF_Options_Exhibits'!U2275:U2279),"")</f>
        <v/>
      </c>
      <c r="V2279" s="3">
        <f>IF(ISNUMBER(AVERAGE('20250815_ETF_Options_Exhibits'!V2275:V2279)),AVERAGE('20250815_ETF_Options_Exhibits'!V2275:V2279),"")</f>
        <v/>
      </c>
      <c r="W2279" s="3">
        <f>IF(ISNUMBER(AVERAGE('20250815_ETF_Options_Exhibits'!W2275:W2279)),AVERAGE('20250815_ETF_Options_Exhibits'!W2275:W2279),"")</f>
        <v/>
      </c>
      <c r="X2279" s="3">
        <f>IF(ISNUMBER(AVERAGE('20250815_ETF_Options_Exhibits'!X2275:X2279)),AVERAGE('20250815_ETF_Options_Exhibits'!X2275:X2279),"")</f>
        <v/>
      </c>
      <c r="Y2279" s="3">
        <f>IF(ISNUMBER(AVERAGE('20250815_ETF_Options_Exhibits'!Y2275:Y2279)),AVERAGE('20250815_ETF_Options_Exhibits'!Y2275:Y2279),"")</f>
        <v/>
      </c>
      <c r="Z2279" s="3">
        <f>IF(ISNUMBER(AVERAGE('20250815_ETF_Options_Exhibits'!Z2275:Z2279)),AVERAGE('20250815_ETF_Options_Exhibits'!Z2275:Z2279),"")</f>
        <v/>
      </c>
      <c r="AA2279" s="3">
        <f>IF(ISNUMBER(AVERAGE('20250815_ETF_Options_Exhibits'!AA2275:AA2279)),AVERAGE('20250815_ETF_Options_Exhibits'!AA2275:AA2279),"")</f>
        <v/>
      </c>
    </row>
    <row r="2280">
      <c r="A2280" s="1" t="n">
        <v>45313</v>
      </c>
      <c r="B2280" s="3">
        <f>IF(ISNUMBER(AVERAGE('20250815_ETF_Options_Exhibits'!B2276:B2280)),AVERAGE('20250815_ETF_Options_Exhibits'!B2276:B2280),"")</f>
        <v/>
      </c>
      <c r="C2280" s="3">
        <f>IF(ISNUMBER(AVERAGE('20250815_ETF_Options_Exhibits'!C2276:C2280)),AVERAGE('20250815_ETF_Options_Exhibits'!C2276:C2280),"")</f>
        <v/>
      </c>
      <c r="D2280" s="3">
        <f>IF(ISNUMBER(AVERAGE('20250815_ETF_Options_Exhibits'!D2276:D2280)),AVERAGE('20250815_ETF_Options_Exhibits'!D2276:D2280),"")</f>
        <v/>
      </c>
      <c r="E2280" s="3">
        <f>IF(ISNUMBER(AVERAGE('20250815_ETF_Options_Exhibits'!E2276:E2280)),AVERAGE('20250815_ETF_Options_Exhibits'!E2276:E2280),"")</f>
        <v/>
      </c>
      <c r="F2280" s="3">
        <f>IF(ISNUMBER(AVERAGE('20250815_ETF_Options_Exhibits'!F2276:F2280)),AVERAGE('20250815_ETF_Options_Exhibits'!F2276:F2280),"")</f>
        <v/>
      </c>
      <c r="G2280" s="3">
        <f>IF(ISNUMBER(AVERAGE('20250815_ETF_Options_Exhibits'!G2276:G2280)),AVERAGE('20250815_ETF_Options_Exhibits'!G2276:G2280),"")</f>
        <v/>
      </c>
      <c r="H2280" s="3">
        <f>IF(ISNUMBER(AVERAGE('20250815_ETF_Options_Exhibits'!H2276:H2280)),AVERAGE('20250815_ETF_Options_Exhibits'!H2276:H2280),"")</f>
        <v/>
      </c>
      <c r="I2280" s="3">
        <f>IF(ISNUMBER(AVERAGE('20250815_ETF_Options_Exhibits'!I2276:I2280)),AVERAGE('20250815_ETF_Options_Exhibits'!I2276:I2280),"")</f>
        <v/>
      </c>
      <c r="J2280" s="3">
        <f>IF(ISNUMBER(AVERAGE('20250815_ETF_Options_Exhibits'!J2276:J2280)),AVERAGE('20250815_ETF_Options_Exhibits'!J2276:J2280),"")</f>
        <v/>
      </c>
      <c r="K2280" s="3">
        <f>IF(ISNUMBER(AVERAGE('20250815_ETF_Options_Exhibits'!K2276:K2280)),AVERAGE('20250815_ETF_Options_Exhibits'!K2276:K2280),"")</f>
        <v/>
      </c>
      <c r="L2280" s="3">
        <f>IF(ISNUMBER(AVERAGE('20250815_ETF_Options_Exhibits'!L2276:L2280)),AVERAGE('20250815_ETF_Options_Exhibits'!L2276:L2280),"")</f>
        <v/>
      </c>
      <c r="M2280" s="3">
        <f>IF(ISNUMBER(AVERAGE('20250815_ETF_Options_Exhibits'!M2276:M2280)),AVERAGE('20250815_ETF_Options_Exhibits'!M2276:M2280),"")</f>
        <v/>
      </c>
      <c r="N2280" s="3">
        <f>IF(ISNUMBER(AVERAGE('20250815_ETF_Options_Exhibits'!N2276:N2280)),AVERAGE('20250815_ETF_Options_Exhibits'!N2276:N2280),"")</f>
        <v/>
      </c>
      <c r="O2280" s="3">
        <f>IF(ISNUMBER(AVERAGE('20250815_ETF_Options_Exhibits'!O2276:O2280)),AVERAGE('20250815_ETF_Options_Exhibits'!O2276:O2280),"")</f>
        <v/>
      </c>
      <c r="P2280" s="3">
        <f>IF(ISNUMBER(AVERAGE('20250815_ETF_Options_Exhibits'!P2276:P2280)),AVERAGE('20250815_ETF_Options_Exhibits'!P2276:P2280),"")</f>
        <v/>
      </c>
      <c r="Q2280" s="3">
        <f>IF(ISNUMBER(AVERAGE('20250815_ETF_Options_Exhibits'!Q2276:Q2280)),AVERAGE('20250815_ETF_Options_Exhibits'!Q2276:Q2280),"")</f>
        <v/>
      </c>
      <c r="R2280" s="3">
        <f>IF(ISNUMBER(AVERAGE('20250815_ETF_Options_Exhibits'!R2276:R2280)),AVERAGE('20250815_ETF_Options_Exhibits'!R2276:R2280),"")</f>
        <v/>
      </c>
      <c r="S2280" s="3">
        <f>IF(ISNUMBER(AVERAGE('20250815_ETF_Options_Exhibits'!S2276:S2280)),AVERAGE('20250815_ETF_Options_Exhibits'!S2276:S2280),"")</f>
        <v/>
      </c>
      <c r="T2280" s="3">
        <f>IF(ISNUMBER(AVERAGE('20250815_ETF_Options_Exhibits'!T2276:T2280)),AVERAGE('20250815_ETF_Options_Exhibits'!T2276:T2280),"")</f>
        <v/>
      </c>
      <c r="U2280" s="3">
        <f>IF(ISNUMBER(AVERAGE('20250815_ETF_Options_Exhibits'!U2276:U2280)),AVERAGE('20250815_ETF_Options_Exhibits'!U2276:U2280),"")</f>
        <v/>
      </c>
      <c r="V2280" s="3">
        <f>IF(ISNUMBER(AVERAGE('20250815_ETF_Options_Exhibits'!V2276:V2280)),AVERAGE('20250815_ETF_Options_Exhibits'!V2276:V2280),"")</f>
        <v/>
      </c>
      <c r="W2280" s="3">
        <f>IF(ISNUMBER(AVERAGE('20250815_ETF_Options_Exhibits'!W2276:W2280)),AVERAGE('20250815_ETF_Options_Exhibits'!W2276:W2280),"")</f>
        <v/>
      </c>
      <c r="X2280" s="3">
        <f>IF(ISNUMBER(AVERAGE('20250815_ETF_Options_Exhibits'!X2276:X2280)),AVERAGE('20250815_ETF_Options_Exhibits'!X2276:X2280),"")</f>
        <v/>
      </c>
      <c r="Y2280" s="3">
        <f>IF(ISNUMBER(AVERAGE('20250815_ETF_Options_Exhibits'!Y2276:Y2280)),AVERAGE('20250815_ETF_Options_Exhibits'!Y2276:Y2280),"")</f>
        <v/>
      </c>
      <c r="Z2280" s="3">
        <f>IF(ISNUMBER(AVERAGE('20250815_ETF_Options_Exhibits'!Z2276:Z2280)),AVERAGE('20250815_ETF_Options_Exhibits'!Z2276:Z2280),"")</f>
        <v/>
      </c>
      <c r="AA2280" s="3">
        <f>IF(ISNUMBER(AVERAGE('20250815_ETF_Options_Exhibits'!AA2276:AA2280)),AVERAGE('20250815_ETF_Options_Exhibits'!AA2276:AA2280),"")</f>
        <v/>
      </c>
    </row>
    <row r="2281">
      <c r="A2281" s="1" t="n">
        <v>45314</v>
      </c>
      <c r="B2281" s="3">
        <f>IF(ISNUMBER(AVERAGE('20250815_ETF_Options_Exhibits'!B2277:B2281)),AVERAGE('20250815_ETF_Options_Exhibits'!B2277:B2281),"")</f>
        <v/>
      </c>
      <c r="C2281" s="3">
        <f>IF(ISNUMBER(AVERAGE('20250815_ETF_Options_Exhibits'!C2277:C2281)),AVERAGE('20250815_ETF_Options_Exhibits'!C2277:C2281),"")</f>
        <v/>
      </c>
      <c r="D2281" s="3">
        <f>IF(ISNUMBER(AVERAGE('20250815_ETF_Options_Exhibits'!D2277:D2281)),AVERAGE('20250815_ETF_Options_Exhibits'!D2277:D2281),"")</f>
        <v/>
      </c>
      <c r="E2281" s="3">
        <f>IF(ISNUMBER(AVERAGE('20250815_ETF_Options_Exhibits'!E2277:E2281)),AVERAGE('20250815_ETF_Options_Exhibits'!E2277:E2281),"")</f>
        <v/>
      </c>
      <c r="F2281" s="3">
        <f>IF(ISNUMBER(AVERAGE('20250815_ETF_Options_Exhibits'!F2277:F2281)),AVERAGE('20250815_ETF_Options_Exhibits'!F2277:F2281),"")</f>
        <v/>
      </c>
      <c r="G2281" s="3">
        <f>IF(ISNUMBER(AVERAGE('20250815_ETF_Options_Exhibits'!G2277:G2281)),AVERAGE('20250815_ETF_Options_Exhibits'!G2277:G2281),"")</f>
        <v/>
      </c>
      <c r="H2281" s="3">
        <f>IF(ISNUMBER(AVERAGE('20250815_ETF_Options_Exhibits'!H2277:H2281)),AVERAGE('20250815_ETF_Options_Exhibits'!H2277:H2281),"")</f>
        <v/>
      </c>
      <c r="I2281" s="3">
        <f>IF(ISNUMBER(AVERAGE('20250815_ETF_Options_Exhibits'!I2277:I2281)),AVERAGE('20250815_ETF_Options_Exhibits'!I2277:I2281),"")</f>
        <v/>
      </c>
      <c r="J2281" s="3">
        <f>IF(ISNUMBER(AVERAGE('20250815_ETF_Options_Exhibits'!J2277:J2281)),AVERAGE('20250815_ETF_Options_Exhibits'!J2277:J2281),"")</f>
        <v/>
      </c>
      <c r="K2281" s="3">
        <f>IF(ISNUMBER(AVERAGE('20250815_ETF_Options_Exhibits'!K2277:K2281)),AVERAGE('20250815_ETF_Options_Exhibits'!K2277:K2281),"")</f>
        <v/>
      </c>
      <c r="L2281" s="3">
        <f>IF(ISNUMBER(AVERAGE('20250815_ETF_Options_Exhibits'!L2277:L2281)),AVERAGE('20250815_ETF_Options_Exhibits'!L2277:L2281),"")</f>
        <v/>
      </c>
      <c r="M2281" s="3">
        <f>IF(ISNUMBER(AVERAGE('20250815_ETF_Options_Exhibits'!M2277:M2281)),AVERAGE('20250815_ETF_Options_Exhibits'!M2277:M2281),"")</f>
        <v/>
      </c>
      <c r="N2281" s="3">
        <f>IF(ISNUMBER(AVERAGE('20250815_ETF_Options_Exhibits'!N2277:N2281)),AVERAGE('20250815_ETF_Options_Exhibits'!N2277:N2281),"")</f>
        <v/>
      </c>
      <c r="O2281" s="3">
        <f>IF(ISNUMBER(AVERAGE('20250815_ETF_Options_Exhibits'!O2277:O2281)),AVERAGE('20250815_ETF_Options_Exhibits'!O2277:O2281),"")</f>
        <v/>
      </c>
      <c r="P2281" s="3">
        <f>IF(ISNUMBER(AVERAGE('20250815_ETF_Options_Exhibits'!P2277:P2281)),AVERAGE('20250815_ETF_Options_Exhibits'!P2277:P2281),"")</f>
        <v/>
      </c>
      <c r="Q2281" s="3">
        <f>IF(ISNUMBER(AVERAGE('20250815_ETF_Options_Exhibits'!Q2277:Q2281)),AVERAGE('20250815_ETF_Options_Exhibits'!Q2277:Q2281),"")</f>
        <v/>
      </c>
      <c r="R2281" s="3">
        <f>IF(ISNUMBER(AVERAGE('20250815_ETF_Options_Exhibits'!R2277:R2281)),AVERAGE('20250815_ETF_Options_Exhibits'!R2277:R2281),"")</f>
        <v/>
      </c>
      <c r="S2281" s="3">
        <f>IF(ISNUMBER(AVERAGE('20250815_ETF_Options_Exhibits'!S2277:S2281)),AVERAGE('20250815_ETF_Options_Exhibits'!S2277:S2281),"")</f>
        <v/>
      </c>
      <c r="T2281" s="3">
        <f>IF(ISNUMBER(AVERAGE('20250815_ETF_Options_Exhibits'!T2277:T2281)),AVERAGE('20250815_ETF_Options_Exhibits'!T2277:T2281),"")</f>
        <v/>
      </c>
      <c r="U2281" s="3">
        <f>IF(ISNUMBER(AVERAGE('20250815_ETF_Options_Exhibits'!U2277:U2281)),AVERAGE('20250815_ETF_Options_Exhibits'!U2277:U2281),"")</f>
        <v/>
      </c>
      <c r="V2281" s="3">
        <f>IF(ISNUMBER(AVERAGE('20250815_ETF_Options_Exhibits'!V2277:V2281)),AVERAGE('20250815_ETF_Options_Exhibits'!V2277:V2281),"")</f>
        <v/>
      </c>
      <c r="W2281" s="3">
        <f>IF(ISNUMBER(AVERAGE('20250815_ETF_Options_Exhibits'!W2277:W2281)),AVERAGE('20250815_ETF_Options_Exhibits'!W2277:W2281),"")</f>
        <v/>
      </c>
      <c r="X2281" s="3">
        <f>IF(ISNUMBER(AVERAGE('20250815_ETF_Options_Exhibits'!X2277:X2281)),AVERAGE('20250815_ETF_Options_Exhibits'!X2277:X2281),"")</f>
        <v/>
      </c>
      <c r="Y2281" s="3">
        <f>IF(ISNUMBER(AVERAGE('20250815_ETF_Options_Exhibits'!Y2277:Y2281)),AVERAGE('20250815_ETF_Options_Exhibits'!Y2277:Y2281),"")</f>
        <v/>
      </c>
      <c r="Z2281" s="3">
        <f>IF(ISNUMBER(AVERAGE('20250815_ETF_Options_Exhibits'!Z2277:Z2281)),AVERAGE('20250815_ETF_Options_Exhibits'!Z2277:Z2281),"")</f>
        <v/>
      </c>
      <c r="AA2281" s="3">
        <f>IF(ISNUMBER(AVERAGE('20250815_ETF_Options_Exhibits'!AA2277:AA2281)),AVERAGE('20250815_ETF_Options_Exhibits'!AA2277:AA2281),"")</f>
        <v/>
      </c>
    </row>
    <row r="2282">
      <c r="A2282" s="1" t="n">
        <v>45315</v>
      </c>
      <c r="B2282" s="3">
        <f>IF(ISNUMBER(AVERAGE('20250815_ETF_Options_Exhibits'!B2278:B2282)),AVERAGE('20250815_ETF_Options_Exhibits'!B2278:B2282),"")</f>
        <v/>
      </c>
      <c r="C2282" s="3">
        <f>IF(ISNUMBER(AVERAGE('20250815_ETF_Options_Exhibits'!C2278:C2282)),AVERAGE('20250815_ETF_Options_Exhibits'!C2278:C2282),"")</f>
        <v/>
      </c>
      <c r="D2282" s="3">
        <f>IF(ISNUMBER(AVERAGE('20250815_ETF_Options_Exhibits'!D2278:D2282)),AVERAGE('20250815_ETF_Options_Exhibits'!D2278:D2282),"")</f>
        <v/>
      </c>
      <c r="E2282" s="3">
        <f>IF(ISNUMBER(AVERAGE('20250815_ETF_Options_Exhibits'!E2278:E2282)),AVERAGE('20250815_ETF_Options_Exhibits'!E2278:E2282),"")</f>
        <v/>
      </c>
      <c r="F2282" s="3">
        <f>IF(ISNUMBER(AVERAGE('20250815_ETF_Options_Exhibits'!F2278:F2282)),AVERAGE('20250815_ETF_Options_Exhibits'!F2278:F2282),"")</f>
        <v/>
      </c>
      <c r="G2282" s="3">
        <f>IF(ISNUMBER(AVERAGE('20250815_ETF_Options_Exhibits'!G2278:G2282)),AVERAGE('20250815_ETF_Options_Exhibits'!G2278:G2282),"")</f>
        <v/>
      </c>
      <c r="H2282" s="3">
        <f>IF(ISNUMBER(AVERAGE('20250815_ETF_Options_Exhibits'!H2278:H2282)),AVERAGE('20250815_ETF_Options_Exhibits'!H2278:H2282),"")</f>
        <v/>
      </c>
      <c r="I2282" s="3">
        <f>IF(ISNUMBER(AVERAGE('20250815_ETF_Options_Exhibits'!I2278:I2282)),AVERAGE('20250815_ETF_Options_Exhibits'!I2278:I2282),"")</f>
        <v/>
      </c>
      <c r="J2282" s="3">
        <f>IF(ISNUMBER(AVERAGE('20250815_ETF_Options_Exhibits'!J2278:J2282)),AVERAGE('20250815_ETF_Options_Exhibits'!J2278:J2282),"")</f>
        <v/>
      </c>
      <c r="K2282" s="3">
        <f>IF(ISNUMBER(AVERAGE('20250815_ETF_Options_Exhibits'!K2278:K2282)),AVERAGE('20250815_ETF_Options_Exhibits'!K2278:K2282),"")</f>
        <v/>
      </c>
      <c r="L2282" s="3">
        <f>IF(ISNUMBER(AVERAGE('20250815_ETF_Options_Exhibits'!L2278:L2282)),AVERAGE('20250815_ETF_Options_Exhibits'!L2278:L2282),"")</f>
        <v/>
      </c>
      <c r="M2282" s="3">
        <f>IF(ISNUMBER(AVERAGE('20250815_ETF_Options_Exhibits'!M2278:M2282)),AVERAGE('20250815_ETF_Options_Exhibits'!M2278:M2282),"")</f>
        <v/>
      </c>
      <c r="N2282" s="3">
        <f>IF(ISNUMBER(AVERAGE('20250815_ETF_Options_Exhibits'!N2278:N2282)),AVERAGE('20250815_ETF_Options_Exhibits'!N2278:N2282),"")</f>
        <v/>
      </c>
      <c r="O2282" s="3">
        <f>IF(ISNUMBER(AVERAGE('20250815_ETF_Options_Exhibits'!O2278:O2282)),AVERAGE('20250815_ETF_Options_Exhibits'!O2278:O2282),"")</f>
        <v/>
      </c>
      <c r="P2282" s="3">
        <f>IF(ISNUMBER(AVERAGE('20250815_ETF_Options_Exhibits'!P2278:P2282)),AVERAGE('20250815_ETF_Options_Exhibits'!P2278:P2282),"")</f>
        <v/>
      </c>
      <c r="Q2282" s="3">
        <f>IF(ISNUMBER(AVERAGE('20250815_ETF_Options_Exhibits'!Q2278:Q2282)),AVERAGE('20250815_ETF_Options_Exhibits'!Q2278:Q2282),"")</f>
        <v/>
      </c>
      <c r="R2282" s="3">
        <f>IF(ISNUMBER(AVERAGE('20250815_ETF_Options_Exhibits'!R2278:R2282)),AVERAGE('20250815_ETF_Options_Exhibits'!R2278:R2282),"")</f>
        <v/>
      </c>
      <c r="S2282" s="3">
        <f>IF(ISNUMBER(AVERAGE('20250815_ETF_Options_Exhibits'!S2278:S2282)),AVERAGE('20250815_ETF_Options_Exhibits'!S2278:S2282),"")</f>
        <v/>
      </c>
      <c r="T2282" s="3">
        <f>IF(ISNUMBER(AVERAGE('20250815_ETF_Options_Exhibits'!T2278:T2282)),AVERAGE('20250815_ETF_Options_Exhibits'!T2278:T2282),"")</f>
        <v/>
      </c>
      <c r="U2282" s="3">
        <f>IF(ISNUMBER(AVERAGE('20250815_ETF_Options_Exhibits'!U2278:U2282)),AVERAGE('20250815_ETF_Options_Exhibits'!U2278:U2282),"")</f>
        <v/>
      </c>
      <c r="V2282" s="3">
        <f>IF(ISNUMBER(AVERAGE('20250815_ETF_Options_Exhibits'!V2278:V2282)),AVERAGE('20250815_ETF_Options_Exhibits'!V2278:V2282),"")</f>
        <v/>
      </c>
      <c r="W2282" s="3">
        <f>IF(ISNUMBER(AVERAGE('20250815_ETF_Options_Exhibits'!W2278:W2282)),AVERAGE('20250815_ETF_Options_Exhibits'!W2278:W2282),"")</f>
        <v/>
      </c>
      <c r="X2282" s="3">
        <f>IF(ISNUMBER(AVERAGE('20250815_ETF_Options_Exhibits'!X2278:X2282)),AVERAGE('20250815_ETF_Options_Exhibits'!X2278:X2282),"")</f>
        <v/>
      </c>
      <c r="Y2282" s="3">
        <f>IF(ISNUMBER(AVERAGE('20250815_ETF_Options_Exhibits'!Y2278:Y2282)),AVERAGE('20250815_ETF_Options_Exhibits'!Y2278:Y2282),"")</f>
        <v/>
      </c>
      <c r="Z2282" s="3">
        <f>IF(ISNUMBER(AVERAGE('20250815_ETF_Options_Exhibits'!Z2278:Z2282)),AVERAGE('20250815_ETF_Options_Exhibits'!Z2278:Z2282),"")</f>
        <v/>
      </c>
      <c r="AA2282" s="3">
        <f>IF(ISNUMBER(AVERAGE('20250815_ETF_Options_Exhibits'!AA2278:AA2282)),AVERAGE('20250815_ETF_Options_Exhibits'!AA2278:AA2282),"")</f>
        <v/>
      </c>
    </row>
    <row r="2283">
      <c r="A2283" s="1" t="n">
        <v>45316</v>
      </c>
      <c r="B2283" s="3">
        <f>IF(ISNUMBER(AVERAGE('20250815_ETF_Options_Exhibits'!B2279:B2283)),AVERAGE('20250815_ETF_Options_Exhibits'!B2279:B2283),"")</f>
        <v/>
      </c>
      <c r="C2283" s="3">
        <f>IF(ISNUMBER(AVERAGE('20250815_ETF_Options_Exhibits'!C2279:C2283)),AVERAGE('20250815_ETF_Options_Exhibits'!C2279:C2283),"")</f>
        <v/>
      </c>
      <c r="D2283" s="3">
        <f>IF(ISNUMBER(AVERAGE('20250815_ETF_Options_Exhibits'!D2279:D2283)),AVERAGE('20250815_ETF_Options_Exhibits'!D2279:D2283),"")</f>
        <v/>
      </c>
      <c r="E2283" s="3">
        <f>IF(ISNUMBER(AVERAGE('20250815_ETF_Options_Exhibits'!E2279:E2283)),AVERAGE('20250815_ETF_Options_Exhibits'!E2279:E2283),"")</f>
        <v/>
      </c>
      <c r="F2283" s="3">
        <f>IF(ISNUMBER(AVERAGE('20250815_ETF_Options_Exhibits'!F2279:F2283)),AVERAGE('20250815_ETF_Options_Exhibits'!F2279:F2283),"")</f>
        <v/>
      </c>
      <c r="G2283" s="3">
        <f>IF(ISNUMBER(AVERAGE('20250815_ETF_Options_Exhibits'!G2279:G2283)),AVERAGE('20250815_ETF_Options_Exhibits'!G2279:G2283),"")</f>
        <v/>
      </c>
      <c r="H2283" s="3">
        <f>IF(ISNUMBER(AVERAGE('20250815_ETF_Options_Exhibits'!H2279:H2283)),AVERAGE('20250815_ETF_Options_Exhibits'!H2279:H2283),"")</f>
        <v/>
      </c>
      <c r="I2283" s="3">
        <f>IF(ISNUMBER(AVERAGE('20250815_ETF_Options_Exhibits'!I2279:I2283)),AVERAGE('20250815_ETF_Options_Exhibits'!I2279:I2283),"")</f>
        <v/>
      </c>
      <c r="J2283" s="3">
        <f>IF(ISNUMBER(AVERAGE('20250815_ETF_Options_Exhibits'!J2279:J2283)),AVERAGE('20250815_ETF_Options_Exhibits'!J2279:J2283),"")</f>
        <v/>
      </c>
      <c r="K2283" s="3">
        <f>IF(ISNUMBER(AVERAGE('20250815_ETF_Options_Exhibits'!K2279:K2283)),AVERAGE('20250815_ETF_Options_Exhibits'!K2279:K2283),"")</f>
        <v/>
      </c>
      <c r="L2283" s="3">
        <f>IF(ISNUMBER(AVERAGE('20250815_ETF_Options_Exhibits'!L2279:L2283)),AVERAGE('20250815_ETF_Options_Exhibits'!L2279:L2283),"")</f>
        <v/>
      </c>
      <c r="M2283" s="3">
        <f>IF(ISNUMBER(AVERAGE('20250815_ETF_Options_Exhibits'!M2279:M2283)),AVERAGE('20250815_ETF_Options_Exhibits'!M2279:M2283),"")</f>
        <v/>
      </c>
      <c r="N2283" s="3">
        <f>IF(ISNUMBER(AVERAGE('20250815_ETF_Options_Exhibits'!N2279:N2283)),AVERAGE('20250815_ETF_Options_Exhibits'!N2279:N2283),"")</f>
        <v/>
      </c>
      <c r="O2283" s="3">
        <f>IF(ISNUMBER(AVERAGE('20250815_ETF_Options_Exhibits'!O2279:O2283)),AVERAGE('20250815_ETF_Options_Exhibits'!O2279:O2283),"")</f>
        <v/>
      </c>
      <c r="P2283" s="3">
        <f>IF(ISNUMBER(AVERAGE('20250815_ETF_Options_Exhibits'!P2279:P2283)),AVERAGE('20250815_ETF_Options_Exhibits'!P2279:P2283),"")</f>
        <v/>
      </c>
      <c r="Q2283" s="3">
        <f>IF(ISNUMBER(AVERAGE('20250815_ETF_Options_Exhibits'!Q2279:Q2283)),AVERAGE('20250815_ETF_Options_Exhibits'!Q2279:Q2283),"")</f>
        <v/>
      </c>
      <c r="R2283" s="3">
        <f>IF(ISNUMBER(AVERAGE('20250815_ETF_Options_Exhibits'!R2279:R2283)),AVERAGE('20250815_ETF_Options_Exhibits'!R2279:R2283),"")</f>
        <v/>
      </c>
      <c r="S2283" s="3">
        <f>IF(ISNUMBER(AVERAGE('20250815_ETF_Options_Exhibits'!S2279:S2283)),AVERAGE('20250815_ETF_Options_Exhibits'!S2279:S2283),"")</f>
        <v/>
      </c>
      <c r="T2283" s="3">
        <f>IF(ISNUMBER(AVERAGE('20250815_ETF_Options_Exhibits'!T2279:T2283)),AVERAGE('20250815_ETF_Options_Exhibits'!T2279:T2283),"")</f>
        <v/>
      </c>
      <c r="U2283" s="3">
        <f>IF(ISNUMBER(AVERAGE('20250815_ETF_Options_Exhibits'!U2279:U2283)),AVERAGE('20250815_ETF_Options_Exhibits'!U2279:U2283),"")</f>
        <v/>
      </c>
      <c r="V2283" s="3">
        <f>IF(ISNUMBER(AVERAGE('20250815_ETF_Options_Exhibits'!V2279:V2283)),AVERAGE('20250815_ETF_Options_Exhibits'!V2279:V2283),"")</f>
        <v/>
      </c>
      <c r="W2283" s="3">
        <f>IF(ISNUMBER(AVERAGE('20250815_ETF_Options_Exhibits'!W2279:W2283)),AVERAGE('20250815_ETF_Options_Exhibits'!W2279:W2283),"")</f>
        <v/>
      </c>
      <c r="X2283" s="3">
        <f>IF(ISNUMBER(AVERAGE('20250815_ETF_Options_Exhibits'!X2279:X2283)),AVERAGE('20250815_ETF_Options_Exhibits'!X2279:X2283),"")</f>
        <v/>
      </c>
      <c r="Y2283" s="3">
        <f>IF(ISNUMBER(AVERAGE('20250815_ETF_Options_Exhibits'!Y2279:Y2283)),AVERAGE('20250815_ETF_Options_Exhibits'!Y2279:Y2283),"")</f>
        <v/>
      </c>
      <c r="Z2283" s="3">
        <f>IF(ISNUMBER(AVERAGE('20250815_ETF_Options_Exhibits'!Z2279:Z2283)),AVERAGE('20250815_ETF_Options_Exhibits'!Z2279:Z2283),"")</f>
        <v/>
      </c>
      <c r="AA2283" s="3">
        <f>IF(ISNUMBER(AVERAGE('20250815_ETF_Options_Exhibits'!AA2279:AA2283)),AVERAGE('20250815_ETF_Options_Exhibits'!AA2279:AA2283),"")</f>
        <v/>
      </c>
    </row>
    <row r="2284">
      <c r="A2284" s="1" t="n">
        <v>45317</v>
      </c>
      <c r="B2284" s="3">
        <f>IF(ISNUMBER(AVERAGE('20250815_ETF_Options_Exhibits'!B2280:B2284)),AVERAGE('20250815_ETF_Options_Exhibits'!B2280:B2284),"")</f>
        <v/>
      </c>
      <c r="C2284" s="3">
        <f>IF(ISNUMBER(AVERAGE('20250815_ETF_Options_Exhibits'!C2280:C2284)),AVERAGE('20250815_ETF_Options_Exhibits'!C2280:C2284),"")</f>
        <v/>
      </c>
      <c r="D2284" s="3">
        <f>IF(ISNUMBER(AVERAGE('20250815_ETF_Options_Exhibits'!D2280:D2284)),AVERAGE('20250815_ETF_Options_Exhibits'!D2280:D2284),"")</f>
        <v/>
      </c>
      <c r="E2284" s="3">
        <f>IF(ISNUMBER(AVERAGE('20250815_ETF_Options_Exhibits'!E2280:E2284)),AVERAGE('20250815_ETF_Options_Exhibits'!E2280:E2284),"")</f>
        <v/>
      </c>
      <c r="F2284" s="3">
        <f>IF(ISNUMBER(AVERAGE('20250815_ETF_Options_Exhibits'!F2280:F2284)),AVERAGE('20250815_ETF_Options_Exhibits'!F2280:F2284),"")</f>
        <v/>
      </c>
      <c r="G2284" s="3">
        <f>IF(ISNUMBER(AVERAGE('20250815_ETF_Options_Exhibits'!G2280:G2284)),AVERAGE('20250815_ETF_Options_Exhibits'!G2280:G2284),"")</f>
        <v/>
      </c>
      <c r="H2284" s="3">
        <f>IF(ISNUMBER(AVERAGE('20250815_ETF_Options_Exhibits'!H2280:H2284)),AVERAGE('20250815_ETF_Options_Exhibits'!H2280:H2284),"")</f>
        <v/>
      </c>
      <c r="I2284" s="3">
        <f>IF(ISNUMBER(AVERAGE('20250815_ETF_Options_Exhibits'!I2280:I2284)),AVERAGE('20250815_ETF_Options_Exhibits'!I2280:I2284),"")</f>
        <v/>
      </c>
      <c r="J2284" s="3">
        <f>IF(ISNUMBER(AVERAGE('20250815_ETF_Options_Exhibits'!J2280:J2284)),AVERAGE('20250815_ETF_Options_Exhibits'!J2280:J2284),"")</f>
        <v/>
      </c>
      <c r="K2284" s="3">
        <f>IF(ISNUMBER(AVERAGE('20250815_ETF_Options_Exhibits'!K2280:K2284)),AVERAGE('20250815_ETF_Options_Exhibits'!K2280:K2284),"")</f>
        <v/>
      </c>
      <c r="L2284" s="3">
        <f>IF(ISNUMBER(AVERAGE('20250815_ETF_Options_Exhibits'!L2280:L2284)),AVERAGE('20250815_ETF_Options_Exhibits'!L2280:L2284),"")</f>
        <v/>
      </c>
      <c r="M2284" s="3">
        <f>IF(ISNUMBER(AVERAGE('20250815_ETF_Options_Exhibits'!M2280:M2284)),AVERAGE('20250815_ETF_Options_Exhibits'!M2280:M2284),"")</f>
        <v/>
      </c>
      <c r="N2284" s="3">
        <f>IF(ISNUMBER(AVERAGE('20250815_ETF_Options_Exhibits'!N2280:N2284)),AVERAGE('20250815_ETF_Options_Exhibits'!N2280:N2284),"")</f>
        <v/>
      </c>
      <c r="O2284" s="3">
        <f>IF(ISNUMBER(AVERAGE('20250815_ETF_Options_Exhibits'!O2280:O2284)),AVERAGE('20250815_ETF_Options_Exhibits'!O2280:O2284),"")</f>
        <v/>
      </c>
      <c r="P2284" s="3">
        <f>IF(ISNUMBER(AVERAGE('20250815_ETF_Options_Exhibits'!P2280:P2284)),AVERAGE('20250815_ETF_Options_Exhibits'!P2280:P2284),"")</f>
        <v/>
      </c>
      <c r="Q2284" s="3">
        <f>IF(ISNUMBER(AVERAGE('20250815_ETF_Options_Exhibits'!Q2280:Q2284)),AVERAGE('20250815_ETF_Options_Exhibits'!Q2280:Q2284),"")</f>
        <v/>
      </c>
      <c r="R2284" s="3">
        <f>IF(ISNUMBER(AVERAGE('20250815_ETF_Options_Exhibits'!R2280:R2284)),AVERAGE('20250815_ETF_Options_Exhibits'!R2280:R2284),"")</f>
        <v/>
      </c>
      <c r="S2284" s="3">
        <f>IF(ISNUMBER(AVERAGE('20250815_ETF_Options_Exhibits'!S2280:S2284)),AVERAGE('20250815_ETF_Options_Exhibits'!S2280:S2284),"")</f>
        <v/>
      </c>
      <c r="T2284" s="3">
        <f>IF(ISNUMBER(AVERAGE('20250815_ETF_Options_Exhibits'!T2280:T2284)),AVERAGE('20250815_ETF_Options_Exhibits'!T2280:T2284),"")</f>
        <v/>
      </c>
      <c r="U2284" s="3">
        <f>IF(ISNUMBER(AVERAGE('20250815_ETF_Options_Exhibits'!U2280:U2284)),AVERAGE('20250815_ETF_Options_Exhibits'!U2280:U2284),"")</f>
        <v/>
      </c>
      <c r="V2284" s="3">
        <f>IF(ISNUMBER(AVERAGE('20250815_ETF_Options_Exhibits'!V2280:V2284)),AVERAGE('20250815_ETF_Options_Exhibits'!V2280:V2284),"")</f>
        <v/>
      </c>
      <c r="W2284" s="3">
        <f>IF(ISNUMBER(AVERAGE('20250815_ETF_Options_Exhibits'!W2280:W2284)),AVERAGE('20250815_ETF_Options_Exhibits'!W2280:W2284),"")</f>
        <v/>
      </c>
      <c r="X2284" s="3">
        <f>IF(ISNUMBER(AVERAGE('20250815_ETF_Options_Exhibits'!X2280:X2284)),AVERAGE('20250815_ETF_Options_Exhibits'!X2280:X2284),"")</f>
        <v/>
      </c>
      <c r="Y2284" s="3">
        <f>IF(ISNUMBER(AVERAGE('20250815_ETF_Options_Exhibits'!Y2280:Y2284)),AVERAGE('20250815_ETF_Options_Exhibits'!Y2280:Y2284),"")</f>
        <v/>
      </c>
      <c r="Z2284" s="3">
        <f>IF(ISNUMBER(AVERAGE('20250815_ETF_Options_Exhibits'!Z2280:Z2284)),AVERAGE('20250815_ETF_Options_Exhibits'!Z2280:Z2284),"")</f>
        <v/>
      </c>
      <c r="AA2284" s="3">
        <f>IF(ISNUMBER(AVERAGE('20250815_ETF_Options_Exhibits'!AA2280:AA2284)),AVERAGE('20250815_ETF_Options_Exhibits'!AA2280:AA2284),"")</f>
        <v/>
      </c>
    </row>
    <row r="2285">
      <c r="A2285" s="1" t="n">
        <v>45320</v>
      </c>
      <c r="B2285" s="3">
        <f>IF(ISNUMBER(AVERAGE('20250815_ETF_Options_Exhibits'!B2281:B2285)),AVERAGE('20250815_ETF_Options_Exhibits'!B2281:B2285),"")</f>
        <v/>
      </c>
      <c r="C2285" s="3">
        <f>IF(ISNUMBER(AVERAGE('20250815_ETF_Options_Exhibits'!C2281:C2285)),AVERAGE('20250815_ETF_Options_Exhibits'!C2281:C2285),"")</f>
        <v/>
      </c>
      <c r="D2285" s="3">
        <f>IF(ISNUMBER(AVERAGE('20250815_ETF_Options_Exhibits'!D2281:D2285)),AVERAGE('20250815_ETF_Options_Exhibits'!D2281:D2285),"")</f>
        <v/>
      </c>
      <c r="E2285" s="3">
        <f>IF(ISNUMBER(AVERAGE('20250815_ETF_Options_Exhibits'!E2281:E2285)),AVERAGE('20250815_ETF_Options_Exhibits'!E2281:E2285),"")</f>
        <v/>
      </c>
      <c r="F2285" s="3">
        <f>IF(ISNUMBER(AVERAGE('20250815_ETF_Options_Exhibits'!F2281:F2285)),AVERAGE('20250815_ETF_Options_Exhibits'!F2281:F2285),"")</f>
        <v/>
      </c>
      <c r="G2285" s="3">
        <f>IF(ISNUMBER(AVERAGE('20250815_ETF_Options_Exhibits'!G2281:G2285)),AVERAGE('20250815_ETF_Options_Exhibits'!G2281:G2285),"")</f>
        <v/>
      </c>
      <c r="H2285" s="3">
        <f>IF(ISNUMBER(AVERAGE('20250815_ETF_Options_Exhibits'!H2281:H2285)),AVERAGE('20250815_ETF_Options_Exhibits'!H2281:H2285),"")</f>
        <v/>
      </c>
      <c r="I2285" s="3">
        <f>IF(ISNUMBER(AVERAGE('20250815_ETF_Options_Exhibits'!I2281:I2285)),AVERAGE('20250815_ETF_Options_Exhibits'!I2281:I2285),"")</f>
        <v/>
      </c>
      <c r="J2285" s="3">
        <f>IF(ISNUMBER(AVERAGE('20250815_ETF_Options_Exhibits'!J2281:J2285)),AVERAGE('20250815_ETF_Options_Exhibits'!J2281:J2285),"")</f>
        <v/>
      </c>
      <c r="K2285" s="3">
        <f>IF(ISNUMBER(AVERAGE('20250815_ETF_Options_Exhibits'!K2281:K2285)),AVERAGE('20250815_ETF_Options_Exhibits'!K2281:K2285),"")</f>
        <v/>
      </c>
      <c r="L2285" s="3">
        <f>IF(ISNUMBER(AVERAGE('20250815_ETF_Options_Exhibits'!L2281:L2285)),AVERAGE('20250815_ETF_Options_Exhibits'!L2281:L2285),"")</f>
        <v/>
      </c>
      <c r="M2285" s="3">
        <f>IF(ISNUMBER(AVERAGE('20250815_ETF_Options_Exhibits'!M2281:M2285)),AVERAGE('20250815_ETF_Options_Exhibits'!M2281:M2285),"")</f>
        <v/>
      </c>
      <c r="N2285" s="3">
        <f>IF(ISNUMBER(AVERAGE('20250815_ETF_Options_Exhibits'!N2281:N2285)),AVERAGE('20250815_ETF_Options_Exhibits'!N2281:N2285),"")</f>
        <v/>
      </c>
      <c r="O2285" s="3">
        <f>IF(ISNUMBER(AVERAGE('20250815_ETF_Options_Exhibits'!O2281:O2285)),AVERAGE('20250815_ETF_Options_Exhibits'!O2281:O2285),"")</f>
        <v/>
      </c>
      <c r="P2285" s="3">
        <f>IF(ISNUMBER(AVERAGE('20250815_ETF_Options_Exhibits'!P2281:P2285)),AVERAGE('20250815_ETF_Options_Exhibits'!P2281:P2285),"")</f>
        <v/>
      </c>
      <c r="Q2285" s="3">
        <f>IF(ISNUMBER(AVERAGE('20250815_ETF_Options_Exhibits'!Q2281:Q2285)),AVERAGE('20250815_ETF_Options_Exhibits'!Q2281:Q2285),"")</f>
        <v/>
      </c>
      <c r="R2285" s="3">
        <f>IF(ISNUMBER(AVERAGE('20250815_ETF_Options_Exhibits'!R2281:R2285)),AVERAGE('20250815_ETF_Options_Exhibits'!R2281:R2285),"")</f>
        <v/>
      </c>
      <c r="S2285" s="3">
        <f>IF(ISNUMBER(AVERAGE('20250815_ETF_Options_Exhibits'!S2281:S2285)),AVERAGE('20250815_ETF_Options_Exhibits'!S2281:S2285),"")</f>
        <v/>
      </c>
      <c r="T2285" s="3">
        <f>IF(ISNUMBER(AVERAGE('20250815_ETF_Options_Exhibits'!T2281:T2285)),AVERAGE('20250815_ETF_Options_Exhibits'!T2281:T2285),"")</f>
        <v/>
      </c>
      <c r="U2285" s="3">
        <f>IF(ISNUMBER(AVERAGE('20250815_ETF_Options_Exhibits'!U2281:U2285)),AVERAGE('20250815_ETF_Options_Exhibits'!U2281:U2285),"")</f>
        <v/>
      </c>
      <c r="V2285" s="3">
        <f>IF(ISNUMBER(AVERAGE('20250815_ETF_Options_Exhibits'!V2281:V2285)),AVERAGE('20250815_ETF_Options_Exhibits'!V2281:V2285),"")</f>
        <v/>
      </c>
      <c r="W2285" s="3">
        <f>IF(ISNUMBER(AVERAGE('20250815_ETF_Options_Exhibits'!W2281:W2285)),AVERAGE('20250815_ETF_Options_Exhibits'!W2281:W2285),"")</f>
        <v/>
      </c>
      <c r="X2285" s="3">
        <f>IF(ISNUMBER(AVERAGE('20250815_ETF_Options_Exhibits'!X2281:X2285)),AVERAGE('20250815_ETF_Options_Exhibits'!X2281:X2285),"")</f>
        <v/>
      </c>
      <c r="Y2285" s="3">
        <f>IF(ISNUMBER(AVERAGE('20250815_ETF_Options_Exhibits'!Y2281:Y2285)),AVERAGE('20250815_ETF_Options_Exhibits'!Y2281:Y2285),"")</f>
        <v/>
      </c>
      <c r="Z2285" s="3">
        <f>IF(ISNUMBER(AVERAGE('20250815_ETF_Options_Exhibits'!Z2281:Z2285)),AVERAGE('20250815_ETF_Options_Exhibits'!Z2281:Z2285),"")</f>
        <v/>
      </c>
      <c r="AA2285" s="3">
        <f>IF(ISNUMBER(AVERAGE('20250815_ETF_Options_Exhibits'!AA2281:AA2285)),AVERAGE('20250815_ETF_Options_Exhibits'!AA2281:AA2285),"")</f>
        <v/>
      </c>
    </row>
    <row r="2286">
      <c r="A2286" s="1" t="n">
        <v>45321</v>
      </c>
      <c r="B2286" s="3">
        <f>IF(ISNUMBER(AVERAGE('20250815_ETF_Options_Exhibits'!B2282:B2286)),AVERAGE('20250815_ETF_Options_Exhibits'!B2282:B2286),"")</f>
        <v/>
      </c>
      <c r="C2286" s="3">
        <f>IF(ISNUMBER(AVERAGE('20250815_ETF_Options_Exhibits'!C2282:C2286)),AVERAGE('20250815_ETF_Options_Exhibits'!C2282:C2286),"")</f>
        <v/>
      </c>
      <c r="D2286" s="3">
        <f>IF(ISNUMBER(AVERAGE('20250815_ETF_Options_Exhibits'!D2282:D2286)),AVERAGE('20250815_ETF_Options_Exhibits'!D2282:D2286),"")</f>
        <v/>
      </c>
      <c r="E2286" s="3">
        <f>IF(ISNUMBER(AVERAGE('20250815_ETF_Options_Exhibits'!E2282:E2286)),AVERAGE('20250815_ETF_Options_Exhibits'!E2282:E2286),"")</f>
        <v/>
      </c>
      <c r="F2286" s="3">
        <f>IF(ISNUMBER(AVERAGE('20250815_ETF_Options_Exhibits'!F2282:F2286)),AVERAGE('20250815_ETF_Options_Exhibits'!F2282:F2286),"")</f>
        <v/>
      </c>
      <c r="G2286" s="3">
        <f>IF(ISNUMBER(AVERAGE('20250815_ETF_Options_Exhibits'!G2282:G2286)),AVERAGE('20250815_ETF_Options_Exhibits'!G2282:G2286),"")</f>
        <v/>
      </c>
      <c r="H2286" s="3">
        <f>IF(ISNUMBER(AVERAGE('20250815_ETF_Options_Exhibits'!H2282:H2286)),AVERAGE('20250815_ETF_Options_Exhibits'!H2282:H2286),"")</f>
        <v/>
      </c>
      <c r="I2286" s="3">
        <f>IF(ISNUMBER(AVERAGE('20250815_ETF_Options_Exhibits'!I2282:I2286)),AVERAGE('20250815_ETF_Options_Exhibits'!I2282:I2286),"")</f>
        <v/>
      </c>
      <c r="J2286" s="3">
        <f>IF(ISNUMBER(AVERAGE('20250815_ETF_Options_Exhibits'!J2282:J2286)),AVERAGE('20250815_ETF_Options_Exhibits'!J2282:J2286),"")</f>
        <v/>
      </c>
      <c r="K2286" s="3">
        <f>IF(ISNUMBER(AVERAGE('20250815_ETF_Options_Exhibits'!K2282:K2286)),AVERAGE('20250815_ETF_Options_Exhibits'!K2282:K2286),"")</f>
        <v/>
      </c>
      <c r="L2286" s="3">
        <f>IF(ISNUMBER(AVERAGE('20250815_ETF_Options_Exhibits'!L2282:L2286)),AVERAGE('20250815_ETF_Options_Exhibits'!L2282:L2286),"")</f>
        <v/>
      </c>
      <c r="M2286" s="3">
        <f>IF(ISNUMBER(AVERAGE('20250815_ETF_Options_Exhibits'!M2282:M2286)),AVERAGE('20250815_ETF_Options_Exhibits'!M2282:M2286),"")</f>
        <v/>
      </c>
      <c r="N2286" s="3">
        <f>IF(ISNUMBER(AVERAGE('20250815_ETF_Options_Exhibits'!N2282:N2286)),AVERAGE('20250815_ETF_Options_Exhibits'!N2282:N2286),"")</f>
        <v/>
      </c>
      <c r="O2286" s="3">
        <f>IF(ISNUMBER(AVERAGE('20250815_ETF_Options_Exhibits'!O2282:O2286)),AVERAGE('20250815_ETF_Options_Exhibits'!O2282:O2286),"")</f>
        <v/>
      </c>
      <c r="P2286" s="3">
        <f>IF(ISNUMBER(AVERAGE('20250815_ETF_Options_Exhibits'!P2282:P2286)),AVERAGE('20250815_ETF_Options_Exhibits'!P2282:P2286),"")</f>
        <v/>
      </c>
      <c r="Q2286" s="3">
        <f>IF(ISNUMBER(AVERAGE('20250815_ETF_Options_Exhibits'!Q2282:Q2286)),AVERAGE('20250815_ETF_Options_Exhibits'!Q2282:Q2286),"")</f>
        <v/>
      </c>
      <c r="R2286" s="3">
        <f>IF(ISNUMBER(AVERAGE('20250815_ETF_Options_Exhibits'!R2282:R2286)),AVERAGE('20250815_ETF_Options_Exhibits'!R2282:R2286),"")</f>
        <v/>
      </c>
      <c r="S2286" s="3">
        <f>IF(ISNUMBER(AVERAGE('20250815_ETF_Options_Exhibits'!S2282:S2286)),AVERAGE('20250815_ETF_Options_Exhibits'!S2282:S2286),"")</f>
        <v/>
      </c>
      <c r="T2286" s="3">
        <f>IF(ISNUMBER(AVERAGE('20250815_ETF_Options_Exhibits'!T2282:T2286)),AVERAGE('20250815_ETF_Options_Exhibits'!T2282:T2286),"")</f>
        <v/>
      </c>
      <c r="U2286" s="3">
        <f>IF(ISNUMBER(AVERAGE('20250815_ETF_Options_Exhibits'!U2282:U2286)),AVERAGE('20250815_ETF_Options_Exhibits'!U2282:U2286),"")</f>
        <v/>
      </c>
      <c r="V2286" s="3">
        <f>IF(ISNUMBER(AVERAGE('20250815_ETF_Options_Exhibits'!V2282:V2286)),AVERAGE('20250815_ETF_Options_Exhibits'!V2282:V2286),"")</f>
        <v/>
      </c>
      <c r="W2286" s="3">
        <f>IF(ISNUMBER(AVERAGE('20250815_ETF_Options_Exhibits'!W2282:W2286)),AVERAGE('20250815_ETF_Options_Exhibits'!W2282:W2286),"")</f>
        <v/>
      </c>
      <c r="X2286" s="3">
        <f>IF(ISNUMBER(AVERAGE('20250815_ETF_Options_Exhibits'!X2282:X2286)),AVERAGE('20250815_ETF_Options_Exhibits'!X2282:X2286),"")</f>
        <v/>
      </c>
      <c r="Y2286" s="3">
        <f>IF(ISNUMBER(AVERAGE('20250815_ETF_Options_Exhibits'!Y2282:Y2286)),AVERAGE('20250815_ETF_Options_Exhibits'!Y2282:Y2286),"")</f>
        <v/>
      </c>
      <c r="Z2286" s="3">
        <f>IF(ISNUMBER(AVERAGE('20250815_ETF_Options_Exhibits'!Z2282:Z2286)),AVERAGE('20250815_ETF_Options_Exhibits'!Z2282:Z2286),"")</f>
        <v/>
      </c>
      <c r="AA2286" s="3">
        <f>IF(ISNUMBER(AVERAGE('20250815_ETF_Options_Exhibits'!AA2282:AA2286)),AVERAGE('20250815_ETF_Options_Exhibits'!AA2282:AA2286),"")</f>
        <v/>
      </c>
    </row>
    <row r="2287">
      <c r="A2287" s="1" t="n">
        <v>45322</v>
      </c>
      <c r="B2287" s="3">
        <f>IF(ISNUMBER(AVERAGE('20250815_ETF_Options_Exhibits'!B2283:B2287)),AVERAGE('20250815_ETF_Options_Exhibits'!B2283:B2287),"")</f>
        <v/>
      </c>
      <c r="C2287" s="3">
        <f>IF(ISNUMBER(AVERAGE('20250815_ETF_Options_Exhibits'!C2283:C2287)),AVERAGE('20250815_ETF_Options_Exhibits'!C2283:C2287),"")</f>
        <v/>
      </c>
      <c r="D2287" s="3">
        <f>IF(ISNUMBER(AVERAGE('20250815_ETF_Options_Exhibits'!D2283:D2287)),AVERAGE('20250815_ETF_Options_Exhibits'!D2283:D2287),"")</f>
        <v/>
      </c>
      <c r="E2287" s="3">
        <f>IF(ISNUMBER(AVERAGE('20250815_ETF_Options_Exhibits'!E2283:E2287)),AVERAGE('20250815_ETF_Options_Exhibits'!E2283:E2287),"")</f>
        <v/>
      </c>
      <c r="F2287" s="3">
        <f>IF(ISNUMBER(AVERAGE('20250815_ETF_Options_Exhibits'!F2283:F2287)),AVERAGE('20250815_ETF_Options_Exhibits'!F2283:F2287),"")</f>
        <v/>
      </c>
      <c r="G2287" s="3">
        <f>IF(ISNUMBER(AVERAGE('20250815_ETF_Options_Exhibits'!G2283:G2287)),AVERAGE('20250815_ETF_Options_Exhibits'!G2283:G2287),"")</f>
        <v/>
      </c>
      <c r="H2287" s="3">
        <f>IF(ISNUMBER(AVERAGE('20250815_ETF_Options_Exhibits'!H2283:H2287)),AVERAGE('20250815_ETF_Options_Exhibits'!H2283:H2287),"")</f>
        <v/>
      </c>
      <c r="I2287" s="3">
        <f>IF(ISNUMBER(AVERAGE('20250815_ETF_Options_Exhibits'!I2283:I2287)),AVERAGE('20250815_ETF_Options_Exhibits'!I2283:I2287),"")</f>
        <v/>
      </c>
      <c r="J2287" s="3">
        <f>IF(ISNUMBER(AVERAGE('20250815_ETF_Options_Exhibits'!J2283:J2287)),AVERAGE('20250815_ETF_Options_Exhibits'!J2283:J2287),"")</f>
        <v/>
      </c>
      <c r="K2287" s="3">
        <f>IF(ISNUMBER(AVERAGE('20250815_ETF_Options_Exhibits'!K2283:K2287)),AVERAGE('20250815_ETF_Options_Exhibits'!K2283:K2287),"")</f>
        <v/>
      </c>
      <c r="L2287" s="3">
        <f>IF(ISNUMBER(AVERAGE('20250815_ETF_Options_Exhibits'!L2283:L2287)),AVERAGE('20250815_ETF_Options_Exhibits'!L2283:L2287),"")</f>
        <v/>
      </c>
      <c r="M2287" s="3">
        <f>IF(ISNUMBER(AVERAGE('20250815_ETF_Options_Exhibits'!M2283:M2287)),AVERAGE('20250815_ETF_Options_Exhibits'!M2283:M2287),"")</f>
        <v/>
      </c>
      <c r="N2287" s="3">
        <f>IF(ISNUMBER(AVERAGE('20250815_ETF_Options_Exhibits'!N2283:N2287)),AVERAGE('20250815_ETF_Options_Exhibits'!N2283:N2287),"")</f>
        <v/>
      </c>
      <c r="O2287" s="3">
        <f>IF(ISNUMBER(AVERAGE('20250815_ETF_Options_Exhibits'!O2283:O2287)),AVERAGE('20250815_ETF_Options_Exhibits'!O2283:O2287),"")</f>
        <v/>
      </c>
      <c r="P2287" s="3">
        <f>IF(ISNUMBER(AVERAGE('20250815_ETF_Options_Exhibits'!P2283:P2287)),AVERAGE('20250815_ETF_Options_Exhibits'!P2283:P2287),"")</f>
        <v/>
      </c>
      <c r="Q2287" s="3">
        <f>IF(ISNUMBER(AVERAGE('20250815_ETF_Options_Exhibits'!Q2283:Q2287)),AVERAGE('20250815_ETF_Options_Exhibits'!Q2283:Q2287),"")</f>
        <v/>
      </c>
      <c r="R2287" s="3">
        <f>IF(ISNUMBER(AVERAGE('20250815_ETF_Options_Exhibits'!R2283:R2287)),AVERAGE('20250815_ETF_Options_Exhibits'!R2283:R2287),"")</f>
        <v/>
      </c>
      <c r="S2287" s="3">
        <f>IF(ISNUMBER(AVERAGE('20250815_ETF_Options_Exhibits'!S2283:S2287)),AVERAGE('20250815_ETF_Options_Exhibits'!S2283:S2287),"")</f>
        <v/>
      </c>
      <c r="T2287" s="3">
        <f>IF(ISNUMBER(AVERAGE('20250815_ETF_Options_Exhibits'!T2283:T2287)),AVERAGE('20250815_ETF_Options_Exhibits'!T2283:T2287),"")</f>
        <v/>
      </c>
      <c r="U2287" s="3">
        <f>IF(ISNUMBER(AVERAGE('20250815_ETF_Options_Exhibits'!U2283:U2287)),AVERAGE('20250815_ETF_Options_Exhibits'!U2283:U2287),"")</f>
        <v/>
      </c>
      <c r="V2287" s="3">
        <f>IF(ISNUMBER(AVERAGE('20250815_ETF_Options_Exhibits'!V2283:V2287)),AVERAGE('20250815_ETF_Options_Exhibits'!V2283:V2287),"")</f>
        <v/>
      </c>
      <c r="W2287" s="3">
        <f>IF(ISNUMBER(AVERAGE('20250815_ETF_Options_Exhibits'!W2283:W2287)),AVERAGE('20250815_ETF_Options_Exhibits'!W2283:W2287),"")</f>
        <v/>
      </c>
      <c r="X2287" s="3">
        <f>IF(ISNUMBER(AVERAGE('20250815_ETF_Options_Exhibits'!X2283:X2287)),AVERAGE('20250815_ETF_Options_Exhibits'!X2283:X2287),"")</f>
        <v/>
      </c>
      <c r="Y2287" s="3">
        <f>IF(ISNUMBER(AVERAGE('20250815_ETF_Options_Exhibits'!Y2283:Y2287)),AVERAGE('20250815_ETF_Options_Exhibits'!Y2283:Y2287),"")</f>
        <v/>
      </c>
      <c r="Z2287" s="3">
        <f>IF(ISNUMBER(AVERAGE('20250815_ETF_Options_Exhibits'!Z2283:Z2287)),AVERAGE('20250815_ETF_Options_Exhibits'!Z2283:Z2287),"")</f>
        <v/>
      </c>
      <c r="AA2287" s="3">
        <f>IF(ISNUMBER(AVERAGE('20250815_ETF_Options_Exhibits'!AA2283:AA2287)),AVERAGE('20250815_ETF_Options_Exhibits'!AA2283:AA2287),"")</f>
        <v/>
      </c>
    </row>
    <row r="2288">
      <c r="A2288" s="1" t="n">
        <v>45323</v>
      </c>
      <c r="B2288" s="3">
        <f>IF(ISNUMBER(AVERAGE('20250815_ETF_Options_Exhibits'!B2284:B2288)),AVERAGE('20250815_ETF_Options_Exhibits'!B2284:B2288),"")</f>
        <v/>
      </c>
      <c r="C2288" s="3">
        <f>IF(ISNUMBER(AVERAGE('20250815_ETF_Options_Exhibits'!C2284:C2288)),AVERAGE('20250815_ETF_Options_Exhibits'!C2284:C2288),"")</f>
        <v/>
      </c>
      <c r="D2288" s="3">
        <f>IF(ISNUMBER(AVERAGE('20250815_ETF_Options_Exhibits'!D2284:D2288)),AVERAGE('20250815_ETF_Options_Exhibits'!D2284:D2288),"")</f>
        <v/>
      </c>
      <c r="E2288" s="3">
        <f>IF(ISNUMBER(AVERAGE('20250815_ETF_Options_Exhibits'!E2284:E2288)),AVERAGE('20250815_ETF_Options_Exhibits'!E2284:E2288),"")</f>
        <v/>
      </c>
      <c r="F2288" s="3">
        <f>IF(ISNUMBER(AVERAGE('20250815_ETF_Options_Exhibits'!F2284:F2288)),AVERAGE('20250815_ETF_Options_Exhibits'!F2284:F2288),"")</f>
        <v/>
      </c>
      <c r="G2288" s="3">
        <f>IF(ISNUMBER(AVERAGE('20250815_ETF_Options_Exhibits'!G2284:G2288)),AVERAGE('20250815_ETF_Options_Exhibits'!G2284:G2288),"")</f>
        <v/>
      </c>
      <c r="H2288" s="3">
        <f>IF(ISNUMBER(AVERAGE('20250815_ETF_Options_Exhibits'!H2284:H2288)),AVERAGE('20250815_ETF_Options_Exhibits'!H2284:H2288),"")</f>
        <v/>
      </c>
      <c r="I2288" s="3">
        <f>IF(ISNUMBER(AVERAGE('20250815_ETF_Options_Exhibits'!I2284:I2288)),AVERAGE('20250815_ETF_Options_Exhibits'!I2284:I2288),"")</f>
        <v/>
      </c>
      <c r="J2288" s="3">
        <f>IF(ISNUMBER(AVERAGE('20250815_ETF_Options_Exhibits'!J2284:J2288)),AVERAGE('20250815_ETF_Options_Exhibits'!J2284:J2288),"")</f>
        <v/>
      </c>
      <c r="K2288" s="3">
        <f>IF(ISNUMBER(AVERAGE('20250815_ETF_Options_Exhibits'!K2284:K2288)),AVERAGE('20250815_ETF_Options_Exhibits'!K2284:K2288),"")</f>
        <v/>
      </c>
      <c r="L2288" s="3">
        <f>IF(ISNUMBER(AVERAGE('20250815_ETF_Options_Exhibits'!L2284:L2288)),AVERAGE('20250815_ETF_Options_Exhibits'!L2284:L2288),"")</f>
        <v/>
      </c>
      <c r="M2288" s="3">
        <f>IF(ISNUMBER(AVERAGE('20250815_ETF_Options_Exhibits'!M2284:M2288)),AVERAGE('20250815_ETF_Options_Exhibits'!M2284:M2288),"")</f>
        <v/>
      </c>
      <c r="N2288" s="3">
        <f>IF(ISNUMBER(AVERAGE('20250815_ETF_Options_Exhibits'!N2284:N2288)),AVERAGE('20250815_ETF_Options_Exhibits'!N2284:N2288),"")</f>
        <v/>
      </c>
      <c r="O2288" s="3">
        <f>IF(ISNUMBER(AVERAGE('20250815_ETF_Options_Exhibits'!O2284:O2288)),AVERAGE('20250815_ETF_Options_Exhibits'!O2284:O2288),"")</f>
        <v/>
      </c>
      <c r="P2288" s="3">
        <f>IF(ISNUMBER(AVERAGE('20250815_ETF_Options_Exhibits'!P2284:P2288)),AVERAGE('20250815_ETF_Options_Exhibits'!P2284:P2288),"")</f>
        <v/>
      </c>
      <c r="Q2288" s="3">
        <f>IF(ISNUMBER(AVERAGE('20250815_ETF_Options_Exhibits'!Q2284:Q2288)),AVERAGE('20250815_ETF_Options_Exhibits'!Q2284:Q2288),"")</f>
        <v/>
      </c>
      <c r="R2288" s="3">
        <f>IF(ISNUMBER(AVERAGE('20250815_ETF_Options_Exhibits'!R2284:R2288)),AVERAGE('20250815_ETF_Options_Exhibits'!R2284:R2288),"")</f>
        <v/>
      </c>
      <c r="S2288" s="3">
        <f>IF(ISNUMBER(AVERAGE('20250815_ETF_Options_Exhibits'!S2284:S2288)),AVERAGE('20250815_ETF_Options_Exhibits'!S2284:S2288),"")</f>
        <v/>
      </c>
      <c r="T2288" s="3">
        <f>IF(ISNUMBER(AVERAGE('20250815_ETF_Options_Exhibits'!T2284:T2288)),AVERAGE('20250815_ETF_Options_Exhibits'!T2284:T2288),"")</f>
        <v/>
      </c>
      <c r="U2288" s="3">
        <f>IF(ISNUMBER(AVERAGE('20250815_ETF_Options_Exhibits'!U2284:U2288)),AVERAGE('20250815_ETF_Options_Exhibits'!U2284:U2288),"")</f>
        <v/>
      </c>
      <c r="V2288" s="3">
        <f>IF(ISNUMBER(AVERAGE('20250815_ETF_Options_Exhibits'!V2284:V2288)),AVERAGE('20250815_ETF_Options_Exhibits'!V2284:V2288),"")</f>
        <v/>
      </c>
      <c r="W2288" s="3">
        <f>IF(ISNUMBER(AVERAGE('20250815_ETF_Options_Exhibits'!W2284:W2288)),AVERAGE('20250815_ETF_Options_Exhibits'!W2284:W2288),"")</f>
        <v/>
      </c>
      <c r="X2288" s="3">
        <f>IF(ISNUMBER(AVERAGE('20250815_ETF_Options_Exhibits'!X2284:X2288)),AVERAGE('20250815_ETF_Options_Exhibits'!X2284:X2288),"")</f>
        <v/>
      </c>
      <c r="Y2288" s="3">
        <f>IF(ISNUMBER(AVERAGE('20250815_ETF_Options_Exhibits'!Y2284:Y2288)),AVERAGE('20250815_ETF_Options_Exhibits'!Y2284:Y2288),"")</f>
        <v/>
      </c>
      <c r="Z2288" s="3">
        <f>IF(ISNUMBER(AVERAGE('20250815_ETF_Options_Exhibits'!Z2284:Z2288)),AVERAGE('20250815_ETF_Options_Exhibits'!Z2284:Z2288),"")</f>
        <v/>
      </c>
      <c r="AA2288" s="3">
        <f>IF(ISNUMBER(AVERAGE('20250815_ETF_Options_Exhibits'!AA2284:AA2288)),AVERAGE('20250815_ETF_Options_Exhibits'!AA2284:AA2288),"")</f>
        <v/>
      </c>
    </row>
    <row r="2289">
      <c r="A2289" s="1" t="n">
        <v>45324</v>
      </c>
      <c r="B2289" s="3">
        <f>IF(ISNUMBER(AVERAGE('20250815_ETF_Options_Exhibits'!B2285:B2289)),AVERAGE('20250815_ETF_Options_Exhibits'!B2285:B2289),"")</f>
        <v/>
      </c>
      <c r="C2289" s="3">
        <f>IF(ISNUMBER(AVERAGE('20250815_ETF_Options_Exhibits'!C2285:C2289)),AVERAGE('20250815_ETF_Options_Exhibits'!C2285:C2289),"")</f>
        <v/>
      </c>
      <c r="D2289" s="3">
        <f>IF(ISNUMBER(AVERAGE('20250815_ETF_Options_Exhibits'!D2285:D2289)),AVERAGE('20250815_ETF_Options_Exhibits'!D2285:D2289),"")</f>
        <v/>
      </c>
      <c r="E2289" s="3">
        <f>IF(ISNUMBER(AVERAGE('20250815_ETF_Options_Exhibits'!E2285:E2289)),AVERAGE('20250815_ETF_Options_Exhibits'!E2285:E2289),"")</f>
        <v/>
      </c>
      <c r="F2289" s="3">
        <f>IF(ISNUMBER(AVERAGE('20250815_ETF_Options_Exhibits'!F2285:F2289)),AVERAGE('20250815_ETF_Options_Exhibits'!F2285:F2289),"")</f>
        <v/>
      </c>
      <c r="G2289" s="3">
        <f>IF(ISNUMBER(AVERAGE('20250815_ETF_Options_Exhibits'!G2285:G2289)),AVERAGE('20250815_ETF_Options_Exhibits'!G2285:G2289),"")</f>
        <v/>
      </c>
      <c r="H2289" s="3">
        <f>IF(ISNUMBER(AVERAGE('20250815_ETF_Options_Exhibits'!H2285:H2289)),AVERAGE('20250815_ETF_Options_Exhibits'!H2285:H2289),"")</f>
        <v/>
      </c>
      <c r="I2289" s="3">
        <f>IF(ISNUMBER(AVERAGE('20250815_ETF_Options_Exhibits'!I2285:I2289)),AVERAGE('20250815_ETF_Options_Exhibits'!I2285:I2289),"")</f>
        <v/>
      </c>
      <c r="J2289" s="3">
        <f>IF(ISNUMBER(AVERAGE('20250815_ETF_Options_Exhibits'!J2285:J2289)),AVERAGE('20250815_ETF_Options_Exhibits'!J2285:J2289),"")</f>
        <v/>
      </c>
      <c r="K2289" s="3">
        <f>IF(ISNUMBER(AVERAGE('20250815_ETF_Options_Exhibits'!K2285:K2289)),AVERAGE('20250815_ETF_Options_Exhibits'!K2285:K2289),"")</f>
        <v/>
      </c>
      <c r="L2289" s="3">
        <f>IF(ISNUMBER(AVERAGE('20250815_ETF_Options_Exhibits'!L2285:L2289)),AVERAGE('20250815_ETF_Options_Exhibits'!L2285:L2289),"")</f>
        <v/>
      </c>
      <c r="M2289" s="3">
        <f>IF(ISNUMBER(AVERAGE('20250815_ETF_Options_Exhibits'!M2285:M2289)),AVERAGE('20250815_ETF_Options_Exhibits'!M2285:M2289),"")</f>
        <v/>
      </c>
      <c r="N2289" s="3">
        <f>IF(ISNUMBER(AVERAGE('20250815_ETF_Options_Exhibits'!N2285:N2289)),AVERAGE('20250815_ETF_Options_Exhibits'!N2285:N2289),"")</f>
        <v/>
      </c>
      <c r="O2289" s="3">
        <f>IF(ISNUMBER(AVERAGE('20250815_ETF_Options_Exhibits'!O2285:O2289)),AVERAGE('20250815_ETF_Options_Exhibits'!O2285:O2289),"")</f>
        <v/>
      </c>
      <c r="P2289" s="3">
        <f>IF(ISNUMBER(AVERAGE('20250815_ETF_Options_Exhibits'!P2285:P2289)),AVERAGE('20250815_ETF_Options_Exhibits'!P2285:P2289),"")</f>
        <v/>
      </c>
      <c r="Q2289" s="3">
        <f>IF(ISNUMBER(AVERAGE('20250815_ETF_Options_Exhibits'!Q2285:Q2289)),AVERAGE('20250815_ETF_Options_Exhibits'!Q2285:Q2289),"")</f>
        <v/>
      </c>
      <c r="R2289" s="3">
        <f>IF(ISNUMBER(AVERAGE('20250815_ETF_Options_Exhibits'!R2285:R2289)),AVERAGE('20250815_ETF_Options_Exhibits'!R2285:R2289),"")</f>
        <v/>
      </c>
      <c r="S2289" s="3">
        <f>IF(ISNUMBER(AVERAGE('20250815_ETF_Options_Exhibits'!S2285:S2289)),AVERAGE('20250815_ETF_Options_Exhibits'!S2285:S2289),"")</f>
        <v/>
      </c>
      <c r="T2289" s="3">
        <f>IF(ISNUMBER(AVERAGE('20250815_ETF_Options_Exhibits'!T2285:T2289)),AVERAGE('20250815_ETF_Options_Exhibits'!T2285:T2289),"")</f>
        <v/>
      </c>
      <c r="U2289" s="3">
        <f>IF(ISNUMBER(AVERAGE('20250815_ETF_Options_Exhibits'!U2285:U2289)),AVERAGE('20250815_ETF_Options_Exhibits'!U2285:U2289),"")</f>
        <v/>
      </c>
      <c r="V2289" s="3">
        <f>IF(ISNUMBER(AVERAGE('20250815_ETF_Options_Exhibits'!V2285:V2289)),AVERAGE('20250815_ETF_Options_Exhibits'!V2285:V2289),"")</f>
        <v/>
      </c>
      <c r="W2289" s="3">
        <f>IF(ISNUMBER(AVERAGE('20250815_ETF_Options_Exhibits'!W2285:W2289)),AVERAGE('20250815_ETF_Options_Exhibits'!W2285:W2289),"")</f>
        <v/>
      </c>
      <c r="X2289" s="3">
        <f>IF(ISNUMBER(AVERAGE('20250815_ETF_Options_Exhibits'!X2285:X2289)),AVERAGE('20250815_ETF_Options_Exhibits'!X2285:X2289),"")</f>
        <v/>
      </c>
      <c r="Y2289" s="3">
        <f>IF(ISNUMBER(AVERAGE('20250815_ETF_Options_Exhibits'!Y2285:Y2289)),AVERAGE('20250815_ETF_Options_Exhibits'!Y2285:Y2289),"")</f>
        <v/>
      </c>
      <c r="Z2289" s="3">
        <f>IF(ISNUMBER(AVERAGE('20250815_ETF_Options_Exhibits'!Z2285:Z2289)),AVERAGE('20250815_ETF_Options_Exhibits'!Z2285:Z2289),"")</f>
        <v/>
      </c>
      <c r="AA2289" s="3">
        <f>IF(ISNUMBER(AVERAGE('20250815_ETF_Options_Exhibits'!AA2285:AA2289)),AVERAGE('20250815_ETF_Options_Exhibits'!AA2285:AA2289),"")</f>
        <v/>
      </c>
    </row>
    <row r="2290">
      <c r="A2290" s="1" t="n">
        <v>45327</v>
      </c>
      <c r="B2290" s="3">
        <f>IF(ISNUMBER(AVERAGE('20250815_ETF_Options_Exhibits'!B2286:B2290)),AVERAGE('20250815_ETF_Options_Exhibits'!B2286:B2290),"")</f>
        <v/>
      </c>
      <c r="C2290" s="3">
        <f>IF(ISNUMBER(AVERAGE('20250815_ETF_Options_Exhibits'!C2286:C2290)),AVERAGE('20250815_ETF_Options_Exhibits'!C2286:C2290),"")</f>
        <v/>
      </c>
      <c r="D2290" s="3">
        <f>IF(ISNUMBER(AVERAGE('20250815_ETF_Options_Exhibits'!D2286:D2290)),AVERAGE('20250815_ETF_Options_Exhibits'!D2286:D2290),"")</f>
        <v/>
      </c>
      <c r="E2290" s="3">
        <f>IF(ISNUMBER(AVERAGE('20250815_ETF_Options_Exhibits'!E2286:E2290)),AVERAGE('20250815_ETF_Options_Exhibits'!E2286:E2290),"")</f>
        <v/>
      </c>
      <c r="F2290" s="3">
        <f>IF(ISNUMBER(AVERAGE('20250815_ETF_Options_Exhibits'!F2286:F2290)),AVERAGE('20250815_ETF_Options_Exhibits'!F2286:F2290),"")</f>
        <v/>
      </c>
      <c r="G2290" s="3">
        <f>IF(ISNUMBER(AVERAGE('20250815_ETF_Options_Exhibits'!G2286:G2290)),AVERAGE('20250815_ETF_Options_Exhibits'!G2286:G2290),"")</f>
        <v/>
      </c>
      <c r="H2290" s="3">
        <f>IF(ISNUMBER(AVERAGE('20250815_ETF_Options_Exhibits'!H2286:H2290)),AVERAGE('20250815_ETF_Options_Exhibits'!H2286:H2290),"")</f>
        <v/>
      </c>
      <c r="I2290" s="3">
        <f>IF(ISNUMBER(AVERAGE('20250815_ETF_Options_Exhibits'!I2286:I2290)),AVERAGE('20250815_ETF_Options_Exhibits'!I2286:I2290),"")</f>
        <v/>
      </c>
      <c r="J2290" s="3">
        <f>IF(ISNUMBER(AVERAGE('20250815_ETF_Options_Exhibits'!J2286:J2290)),AVERAGE('20250815_ETF_Options_Exhibits'!J2286:J2290),"")</f>
        <v/>
      </c>
      <c r="K2290" s="3">
        <f>IF(ISNUMBER(AVERAGE('20250815_ETF_Options_Exhibits'!K2286:K2290)),AVERAGE('20250815_ETF_Options_Exhibits'!K2286:K2290),"")</f>
        <v/>
      </c>
      <c r="L2290" s="3">
        <f>IF(ISNUMBER(AVERAGE('20250815_ETF_Options_Exhibits'!L2286:L2290)),AVERAGE('20250815_ETF_Options_Exhibits'!L2286:L2290),"")</f>
        <v/>
      </c>
      <c r="M2290" s="3">
        <f>IF(ISNUMBER(AVERAGE('20250815_ETF_Options_Exhibits'!M2286:M2290)),AVERAGE('20250815_ETF_Options_Exhibits'!M2286:M2290),"")</f>
        <v/>
      </c>
      <c r="N2290" s="3">
        <f>IF(ISNUMBER(AVERAGE('20250815_ETF_Options_Exhibits'!N2286:N2290)),AVERAGE('20250815_ETF_Options_Exhibits'!N2286:N2290),"")</f>
        <v/>
      </c>
      <c r="O2290" s="3">
        <f>IF(ISNUMBER(AVERAGE('20250815_ETF_Options_Exhibits'!O2286:O2290)),AVERAGE('20250815_ETF_Options_Exhibits'!O2286:O2290),"")</f>
        <v/>
      </c>
      <c r="P2290" s="3">
        <f>IF(ISNUMBER(AVERAGE('20250815_ETF_Options_Exhibits'!P2286:P2290)),AVERAGE('20250815_ETF_Options_Exhibits'!P2286:P2290),"")</f>
        <v/>
      </c>
      <c r="Q2290" s="3">
        <f>IF(ISNUMBER(AVERAGE('20250815_ETF_Options_Exhibits'!Q2286:Q2290)),AVERAGE('20250815_ETF_Options_Exhibits'!Q2286:Q2290),"")</f>
        <v/>
      </c>
      <c r="R2290" s="3">
        <f>IF(ISNUMBER(AVERAGE('20250815_ETF_Options_Exhibits'!R2286:R2290)),AVERAGE('20250815_ETF_Options_Exhibits'!R2286:R2290),"")</f>
        <v/>
      </c>
      <c r="S2290" s="3">
        <f>IF(ISNUMBER(AVERAGE('20250815_ETF_Options_Exhibits'!S2286:S2290)),AVERAGE('20250815_ETF_Options_Exhibits'!S2286:S2290),"")</f>
        <v/>
      </c>
      <c r="T2290" s="3">
        <f>IF(ISNUMBER(AVERAGE('20250815_ETF_Options_Exhibits'!T2286:T2290)),AVERAGE('20250815_ETF_Options_Exhibits'!T2286:T2290),"")</f>
        <v/>
      </c>
      <c r="U2290" s="3">
        <f>IF(ISNUMBER(AVERAGE('20250815_ETF_Options_Exhibits'!U2286:U2290)),AVERAGE('20250815_ETF_Options_Exhibits'!U2286:U2290),"")</f>
        <v/>
      </c>
      <c r="V2290" s="3">
        <f>IF(ISNUMBER(AVERAGE('20250815_ETF_Options_Exhibits'!V2286:V2290)),AVERAGE('20250815_ETF_Options_Exhibits'!V2286:V2290),"")</f>
        <v/>
      </c>
      <c r="W2290" s="3">
        <f>IF(ISNUMBER(AVERAGE('20250815_ETF_Options_Exhibits'!W2286:W2290)),AVERAGE('20250815_ETF_Options_Exhibits'!W2286:W2290),"")</f>
        <v/>
      </c>
      <c r="X2290" s="3">
        <f>IF(ISNUMBER(AVERAGE('20250815_ETF_Options_Exhibits'!X2286:X2290)),AVERAGE('20250815_ETF_Options_Exhibits'!X2286:X2290),"")</f>
        <v/>
      </c>
      <c r="Y2290" s="3">
        <f>IF(ISNUMBER(AVERAGE('20250815_ETF_Options_Exhibits'!Y2286:Y2290)),AVERAGE('20250815_ETF_Options_Exhibits'!Y2286:Y2290),"")</f>
        <v/>
      </c>
      <c r="Z2290" s="3">
        <f>IF(ISNUMBER(AVERAGE('20250815_ETF_Options_Exhibits'!Z2286:Z2290)),AVERAGE('20250815_ETF_Options_Exhibits'!Z2286:Z2290),"")</f>
        <v/>
      </c>
      <c r="AA2290" s="3">
        <f>IF(ISNUMBER(AVERAGE('20250815_ETF_Options_Exhibits'!AA2286:AA2290)),AVERAGE('20250815_ETF_Options_Exhibits'!AA2286:AA2290),"")</f>
        <v/>
      </c>
    </row>
    <row r="2291">
      <c r="A2291" s="1" t="n">
        <v>45328</v>
      </c>
      <c r="B2291" s="3">
        <f>IF(ISNUMBER(AVERAGE('20250815_ETF_Options_Exhibits'!B2287:B2291)),AVERAGE('20250815_ETF_Options_Exhibits'!B2287:B2291),"")</f>
        <v/>
      </c>
      <c r="C2291" s="3">
        <f>IF(ISNUMBER(AVERAGE('20250815_ETF_Options_Exhibits'!C2287:C2291)),AVERAGE('20250815_ETF_Options_Exhibits'!C2287:C2291),"")</f>
        <v/>
      </c>
      <c r="D2291" s="3">
        <f>IF(ISNUMBER(AVERAGE('20250815_ETF_Options_Exhibits'!D2287:D2291)),AVERAGE('20250815_ETF_Options_Exhibits'!D2287:D2291),"")</f>
        <v/>
      </c>
      <c r="E2291" s="3">
        <f>IF(ISNUMBER(AVERAGE('20250815_ETF_Options_Exhibits'!E2287:E2291)),AVERAGE('20250815_ETF_Options_Exhibits'!E2287:E2291),"")</f>
        <v/>
      </c>
      <c r="F2291" s="3">
        <f>IF(ISNUMBER(AVERAGE('20250815_ETF_Options_Exhibits'!F2287:F2291)),AVERAGE('20250815_ETF_Options_Exhibits'!F2287:F2291),"")</f>
        <v/>
      </c>
      <c r="G2291" s="3">
        <f>IF(ISNUMBER(AVERAGE('20250815_ETF_Options_Exhibits'!G2287:G2291)),AVERAGE('20250815_ETF_Options_Exhibits'!G2287:G2291),"")</f>
        <v/>
      </c>
      <c r="H2291" s="3">
        <f>IF(ISNUMBER(AVERAGE('20250815_ETF_Options_Exhibits'!H2287:H2291)),AVERAGE('20250815_ETF_Options_Exhibits'!H2287:H2291),"")</f>
        <v/>
      </c>
      <c r="I2291" s="3">
        <f>IF(ISNUMBER(AVERAGE('20250815_ETF_Options_Exhibits'!I2287:I2291)),AVERAGE('20250815_ETF_Options_Exhibits'!I2287:I2291),"")</f>
        <v/>
      </c>
      <c r="J2291" s="3">
        <f>IF(ISNUMBER(AVERAGE('20250815_ETF_Options_Exhibits'!J2287:J2291)),AVERAGE('20250815_ETF_Options_Exhibits'!J2287:J2291),"")</f>
        <v/>
      </c>
      <c r="K2291" s="3">
        <f>IF(ISNUMBER(AVERAGE('20250815_ETF_Options_Exhibits'!K2287:K2291)),AVERAGE('20250815_ETF_Options_Exhibits'!K2287:K2291),"")</f>
        <v/>
      </c>
      <c r="L2291" s="3">
        <f>IF(ISNUMBER(AVERAGE('20250815_ETF_Options_Exhibits'!L2287:L2291)),AVERAGE('20250815_ETF_Options_Exhibits'!L2287:L2291),"")</f>
        <v/>
      </c>
      <c r="M2291" s="3">
        <f>IF(ISNUMBER(AVERAGE('20250815_ETF_Options_Exhibits'!M2287:M2291)),AVERAGE('20250815_ETF_Options_Exhibits'!M2287:M2291),"")</f>
        <v/>
      </c>
      <c r="N2291" s="3">
        <f>IF(ISNUMBER(AVERAGE('20250815_ETF_Options_Exhibits'!N2287:N2291)),AVERAGE('20250815_ETF_Options_Exhibits'!N2287:N2291),"")</f>
        <v/>
      </c>
      <c r="O2291" s="3">
        <f>IF(ISNUMBER(AVERAGE('20250815_ETF_Options_Exhibits'!O2287:O2291)),AVERAGE('20250815_ETF_Options_Exhibits'!O2287:O2291),"")</f>
        <v/>
      </c>
      <c r="P2291" s="3">
        <f>IF(ISNUMBER(AVERAGE('20250815_ETF_Options_Exhibits'!P2287:P2291)),AVERAGE('20250815_ETF_Options_Exhibits'!P2287:P2291),"")</f>
        <v/>
      </c>
      <c r="Q2291" s="3">
        <f>IF(ISNUMBER(AVERAGE('20250815_ETF_Options_Exhibits'!Q2287:Q2291)),AVERAGE('20250815_ETF_Options_Exhibits'!Q2287:Q2291),"")</f>
        <v/>
      </c>
      <c r="R2291" s="3">
        <f>IF(ISNUMBER(AVERAGE('20250815_ETF_Options_Exhibits'!R2287:R2291)),AVERAGE('20250815_ETF_Options_Exhibits'!R2287:R2291),"")</f>
        <v/>
      </c>
      <c r="S2291" s="3">
        <f>IF(ISNUMBER(AVERAGE('20250815_ETF_Options_Exhibits'!S2287:S2291)),AVERAGE('20250815_ETF_Options_Exhibits'!S2287:S2291),"")</f>
        <v/>
      </c>
      <c r="T2291" s="3">
        <f>IF(ISNUMBER(AVERAGE('20250815_ETF_Options_Exhibits'!T2287:T2291)),AVERAGE('20250815_ETF_Options_Exhibits'!T2287:T2291),"")</f>
        <v/>
      </c>
      <c r="U2291" s="3">
        <f>IF(ISNUMBER(AVERAGE('20250815_ETF_Options_Exhibits'!U2287:U2291)),AVERAGE('20250815_ETF_Options_Exhibits'!U2287:U2291),"")</f>
        <v/>
      </c>
      <c r="V2291" s="3">
        <f>IF(ISNUMBER(AVERAGE('20250815_ETF_Options_Exhibits'!V2287:V2291)),AVERAGE('20250815_ETF_Options_Exhibits'!V2287:V2291),"")</f>
        <v/>
      </c>
      <c r="W2291" s="3">
        <f>IF(ISNUMBER(AVERAGE('20250815_ETF_Options_Exhibits'!W2287:W2291)),AVERAGE('20250815_ETF_Options_Exhibits'!W2287:W2291),"")</f>
        <v/>
      </c>
      <c r="X2291" s="3">
        <f>IF(ISNUMBER(AVERAGE('20250815_ETF_Options_Exhibits'!X2287:X2291)),AVERAGE('20250815_ETF_Options_Exhibits'!X2287:X2291),"")</f>
        <v/>
      </c>
      <c r="Y2291" s="3">
        <f>IF(ISNUMBER(AVERAGE('20250815_ETF_Options_Exhibits'!Y2287:Y2291)),AVERAGE('20250815_ETF_Options_Exhibits'!Y2287:Y2291),"")</f>
        <v/>
      </c>
      <c r="Z2291" s="3">
        <f>IF(ISNUMBER(AVERAGE('20250815_ETF_Options_Exhibits'!Z2287:Z2291)),AVERAGE('20250815_ETF_Options_Exhibits'!Z2287:Z2291),"")</f>
        <v/>
      </c>
      <c r="AA2291" s="3">
        <f>IF(ISNUMBER(AVERAGE('20250815_ETF_Options_Exhibits'!AA2287:AA2291)),AVERAGE('20250815_ETF_Options_Exhibits'!AA2287:AA2291),"")</f>
        <v/>
      </c>
    </row>
    <row r="2292">
      <c r="A2292" s="1" t="n">
        <v>45329</v>
      </c>
      <c r="B2292" s="3">
        <f>IF(ISNUMBER(AVERAGE('20250815_ETF_Options_Exhibits'!B2288:B2292)),AVERAGE('20250815_ETF_Options_Exhibits'!B2288:B2292),"")</f>
        <v/>
      </c>
      <c r="C2292" s="3">
        <f>IF(ISNUMBER(AVERAGE('20250815_ETF_Options_Exhibits'!C2288:C2292)),AVERAGE('20250815_ETF_Options_Exhibits'!C2288:C2292),"")</f>
        <v/>
      </c>
      <c r="D2292" s="3">
        <f>IF(ISNUMBER(AVERAGE('20250815_ETF_Options_Exhibits'!D2288:D2292)),AVERAGE('20250815_ETF_Options_Exhibits'!D2288:D2292),"")</f>
        <v/>
      </c>
      <c r="E2292" s="3">
        <f>IF(ISNUMBER(AVERAGE('20250815_ETF_Options_Exhibits'!E2288:E2292)),AVERAGE('20250815_ETF_Options_Exhibits'!E2288:E2292),"")</f>
        <v/>
      </c>
      <c r="F2292" s="3">
        <f>IF(ISNUMBER(AVERAGE('20250815_ETF_Options_Exhibits'!F2288:F2292)),AVERAGE('20250815_ETF_Options_Exhibits'!F2288:F2292),"")</f>
        <v/>
      </c>
      <c r="G2292" s="3">
        <f>IF(ISNUMBER(AVERAGE('20250815_ETF_Options_Exhibits'!G2288:G2292)),AVERAGE('20250815_ETF_Options_Exhibits'!G2288:G2292),"")</f>
        <v/>
      </c>
      <c r="H2292" s="3">
        <f>IF(ISNUMBER(AVERAGE('20250815_ETF_Options_Exhibits'!H2288:H2292)),AVERAGE('20250815_ETF_Options_Exhibits'!H2288:H2292),"")</f>
        <v/>
      </c>
      <c r="I2292" s="3">
        <f>IF(ISNUMBER(AVERAGE('20250815_ETF_Options_Exhibits'!I2288:I2292)),AVERAGE('20250815_ETF_Options_Exhibits'!I2288:I2292),"")</f>
        <v/>
      </c>
      <c r="J2292" s="3">
        <f>IF(ISNUMBER(AVERAGE('20250815_ETF_Options_Exhibits'!J2288:J2292)),AVERAGE('20250815_ETF_Options_Exhibits'!J2288:J2292),"")</f>
        <v/>
      </c>
      <c r="K2292" s="3">
        <f>IF(ISNUMBER(AVERAGE('20250815_ETF_Options_Exhibits'!K2288:K2292)),AVERAGE('20250815_ETF_Options_Exhibits'!K2288:K2292),"")</f>
        <v/>
      </c>
      <c r="L2292" s="3">
        <f>IF(ISNUMBER(AVERAGE('20250815_ETF_Options_Exhibits'!L2288:L2292)),AVERAGE('20250815_ETF_Options_Exhibits'!L2288:L2292),"")</f>
        <v/>
      </c>
      <c r="M2292" s="3">
        <f>IF(ISNUMBER(AVERAGE('20250815_ETF_Options_Exhibits'!M2288:M2292)),AVERAGE('20250815_ETF_Options_Exhibits'!M2288:M2292),"")</f>
        <v/>
      </c>
      <c r="N2292" s="3">
        <f>IF(ISNUMBER(AVERAGE('20250815_ETF_Options_Exhibits'!N2288:N2292)),AVERAGE('20250815_ETF_Options_Exhibits'!N2288:N2292),"")</f>
        <v/>
      </c>
      <c r="O2292" s="3">
        <f>IF(ISNUMBER(AVERAGE('20250815_ETF_Options_Exhibits'!O2288:O2292)),AVERAGE('20250815_ETF_Options_Exhibits'!O2288:O2292),"")</f>
        <v/>
      </c>
      <c r="P2292" s="3">
        <f>IF(ISNUMBER(AVERAGE('20250815_ETF_Options_Exhibits'!P2288:P2292)),AVERAGE('20250815_ETF_Options_Exhibits'!P2288:P2292),"")</f>
        <v/>
      </c>
      <c r="Q2292" s="3">
        <f>IF(ISNUMBER(AVERAGE('20250815_ETF_Options_Exhibits'!Q2288:Q2292)),AVERAGE('20250815_ETF_Options_Exhibits'!Q2288:Q2292),"")</f>
        <v/>
      </c>
      <c r="R2292" s="3">
        <f>IF(ISNUMBER(AVERAGE('20250815_ETF_Options_Exhibits'!R2288:R2292)),AVERAGE('20250815_ETF_Options_Exhibits'!R2288:R2292),"")</f>
        <v/>
      </c>
      <c r="S2292" s="3">
        <f>IF(ISNUMBER(AVERAGE('20250815_ETF_Options_Exhibits'!S2288:S2292)),AVERAGE('20250815_ETF_Options_Exhibits'!S2288:S2292),"")</f>
        <v/>
      </c>
      <c r="T2292" s="3">
        <f>IF(ISNUMBER(AVERAGE('20250815_ETF_Options_Exhibits'!T2288:T2292)),AVERAGE('20250815_ETF_Options_Exhibits'!T2288:T2292),"")</f>
        <v/>
      </c>
      <c r="U2292" s="3">
        <f>IF(ISNUMBER(AVERAGE('20250815_ETF_Options_Exhibits'!U2288:U2292)),AVERAGE('20250815_ETF_Options_Exhibits'!U2288:U2292),"")</f>
        <v/>
      </c>
      <c r="V2292" s="3">
        <f>IF(ISNUMBER(AVERAGE('20250815_ETF_Options_Exhibits'!V2288:V2292)),AVERAGE('20250815_ETF_Options_Exhibits'!V2288:V2292),"")</f>
        <v/>
      </c>
      <c r="W2292" s="3">
        <f>IF(ISNUMBER(AVERAGE('20250815_ETF_Options_Exhibits'!W2288:W2292)),AVERAGE('20250815_ETF_Options_Exhibits'!W2288:W2292),"")</f>
        <v/>
      </c>
      <c r="X2292" s="3">
        <f>IF(ISNUMBER(AVERAGE('20250815_ETF_Options_Exhibits'!X2288:X2292)),AVERAGE('20250815_ETF_Options_Exhibits'!X2288:X2292),"")</f>
        <v/>
      </c>
      <c r="Y2292" s="3">
        <f>IF(ISNUMBER(AVERAGE('20250815_ETF_Options_Exhibits'!Y2288:Y2292)),AVERAGE('20250815_ETF_Options_Exhibits'!Y2288:Y2292),"")</f>
        <v/>
      </c>
      <c r="Z2292" s="3">
        <f>IF(ISNUMBER(AVERAGE('20250815_ETF_Options_Exhibits'!Z2288:Z2292)),AVERAGE('20250815_ETF_Options_Exhibits'!Z2288:Z2292),"")</f>
        <v/>
      </c>
      <c r="AA2292" s="3">
        <f>IF(ISNUMBER(AVERAGE('20250815_ETF_Options_Exhibits'!AA2288:AA2292)),AVERAGE('20250815_ETF_Options_Exhibits'!AA2288:AA2292),"")</f>
        <v/>
      </c>
    </row>
    <row r="2293">
      <c r="A2293" s="1" t="n">
        <v>45330</v>
      </c>
      <c r="B2293" s="3">
        <f>IF(ISNUMBER(AVERAGE('20250815_ETF_Options_Exhibits'!B2289:B2293)),AVERAGE('20250815_ETF_Options_Exhibits'!B2289:B2293),"")</f>
        <v/>
      </c>
      <c r="C2293" s="3">
        <f>IF(ISNUMBER(AVERAGE('20250815_ETF_Options_Exhibits'!C2289:C2293)),AVERAGE('20250815_ETF_Options_Exhibits'!C2289:C2293),"")</f>
        <v/>
      </c>
      <c r="D2293" s="3">
        <f>IF(ISNUMBER(AVERAGE('20250815_ETF_Options_Exhibits'!D2289:D2293)),AVERAGE('20250815_ETF_Options_Exhibits'!D2289:D2293),"")</f>
        <v/>
      </c>
      <c r="E2293" s="3">
        <f>IF(ISNUMBER(AVERAGE('20250815_ETF_Options_Exhibits'!E2289:E2293)),AVERAGE('20250815_ETF_Options_Exhibits'!E2289:E2293),"")</f>
        <v/>
      </c>
      <c r="F2293" s="3">
        <f>IF(ISNUMBER(AVERAGE('20250815_ETF_Options_Exhibits'!F2289:F2293)),AVERAGE('20250815_ETF_Options_Exhibits'!F2289:F2293),"")</f>
        <v/>
      </c>
      <c r="G2293" s="3">
        <f>IF(ISNUMBER(AVERAGE('20250815_ETF_Options_Exhibits'!G2289:G2293)),AVERAGE('20250815_ETF_Options_Exhibits'!G2289:G2293),"")</f>
        <v/>
      </c>
      <c r="H2293" s="3">
        <f>IF(ISNUMBER(AVERAGE('20250815_ETF_Options_Exhibits'!H2289:H2293)),AVERAGE('20250815_ETF_Options_Exhibits'!H2289:H2293),"")</f>
        <v/>
      </c>
      <c r="I2293" s="3">
        <f>IF(ISNUMBER(AVERAGE('20250815_ETF_Options_Exhibits'!I2289:I2293)),AVERAGE('20250815_ETF_Options_Exhibits'!I2289:I2293),"")</f>
        <v/>
      </c>
      <c r="J2293" s="3">
        <f>IF(ISNUMBER(AVERAGE('20250815_ETF_Options_Exhibits'!J2289:J2293)),AVERAGE('20250815_ETF_Options_Exhibits'!J2289:J2293),"")</f>
        <v/>
      </c>
      <c r="K2293" s="3">
        <f>IF(ISNUMBER(AVERAGE('20250815_ETF_Options_Exhibits'!K2289:K2293)),AVERAGE('20250815_ETF_Options_Exhibits'!K2289:K2293),"")</f>
        <v/>
      </c>
      <c r="L2293" s="3">
        <f>IF(ISNUMBER(AVERAGE('20250815_ETF_Options_Exhibits'!L2289:L2293)),AVERAGE('20250815_ETF_Options_Exhibits'!L2289:L2293),"")</f>
        <v/>
      </c>
      <c r="M2293" s="3">
        <f>IF(ISNUMBER(AVERAGE('20250815_ETF_Options_Exhibits'!M2289:M2293)),AVERAGE('20250815_ETF_Options_Exhibits'!M2289:M2293),"")</f>
        <v/>
      </c>
      <c r="N2293" s="3">
        <f>IF(ISNUMBER(AVERAGE('20250815_ETF_Options_Exhibits'!N2289:N2293)),AVERAGE('20250815_ETF_Options_Exhibits'!N2289:N2293),"")</f>
        <v/>
      </c>
      <c r="O2293" s="3">
        <f>IF(ISNUMBER(AVERAGE('20250815_ETF_Options_Exhibits'!O2289:O2293)),AVERAGE('20250815_ETF_Options_Exhibits'!O2289:O2293),"")</f>
        <v/>
      </c>
      <c r="P2293" s="3">
        <f>IF(ISNUMBER(AVERAGE('20250815_ETF_Options_Exhibits'!P2289:P2293)),AVERAGE('20250815_ETF_Options_Exhibits'!P2289:P2293),"")</f>
        <v/>
      </c>
      <c r="Q2293" s="3">
        <f>IF(ISNUMBER(AVERAGE('20250815_ETF_Options_Exhibits'!Q2289:Q2293)),AVERAGE('20250815_ETF_Options_Exhibits'!Q2289:Q2293),"")</f>
        <v/>
      </c>
      <c r="R2293" s="3">
        <f>IF(ISNUMBER(AVERAGE('20250815_ETF_Options_Exhibits'!R2289:R2293)),AVERAGE('20250815_ETF_Options_Exhibits'!R2289:R2293),"")</f>
        <v/>
      </c>
      <c r="S2293" s="3">
        <f>IF(ISNUMBER(AVERAGE('20250815_ETF_Options_Exhibits'!S2289:S2293)),AVERAGE('20250815_ETF_Options_Exhibits'!S2289:S2293),"")</f>
        <v/>
      </c>
      <c r="T2293" s="3">
        <f>IF(ISNUMBER(AVERAGE('20250815_ETF_Options_Exhibits'!T2289:T2293)),AVERAGE('20250815_ETF_Options_Exhibits'!T2289:T2293),"")</f>
        <v/>
      </c>
      <c r="U2293" s="3">
        <f>IF(ISNUMBER(AVERAGE('20250815_ETF_Options_Exhibits'!U2289:U2293)),AVERAGE('20250815_ETF_Options_Exhibits'!U2289:U2293),"")</f>
        <v/>
      </c>
      <c r="V2293" s="3">
        <f>IF(ISNUMBER(AVERAGE('20250815_ETF_Options_Exhibits'!V2289:V2293)),AVERAGE('20250815_ETF_Options_Exhibits'!V2289:V2293),"")</f>
        <v/>
      </c>
      <c r="W2293" s="3">
        <f>IF(ISNUMBER(AVERAGE('20250815_ETF_Options_Exhibits'!W2289:W2293)),AVERAGE('20250815_ETF_Options_Exhibits'!W2289:W2293),"")</f>
        <v/>
      </c>
      <c r="X2293" s="3">
        <f>IF(ISNUMBER(AVERAGE('20250815_ETF_Options_Exhibits'!X2289:X2293)),AVERAGE('20250815_ETF_Options_Exhibits'!X2289:X2293),"")</f>
        <v/>
      </c>
      <c r="Y2293" s="3">
        <f>IF(ISNUMBER(AVERAGE('20250815_ETF_Options_Exhibits'!Y2289:Y2293)),AVERAGE('20250815_ETF_Options_Exhibits'!Y2289:Y2293),"")</f>
        <v/>
      </c>
      <c r="Z2293" s="3">
        <f>IF(ISNUMBER(AVERAGE('20250815_ETF_Options_Exhibits'!Z2289:Z2293)),AVERAGE('20250815_ETF_Options_Exhibits'!Z2289:Z2293),"")</f>
        <v/>
      </c>
      <c r="AA2293" s="3">
        <f>IF(ISNUMBER(AVERAGE('20250815_ETF_Options_Exhibits'!AA2289:AA2293)),AVERAGE('20250815_ETF_Options_Exhibits'!AA2289:AA2293),"")</f>
        <v/>
      </c>
    </row>
    <row r="2294">
      <c r="A2294" s="1" t="n">
        <v>45331</v>
      </c>
      <c r="B2294" s="3">
        <f>IF(ISNUMBER(AVERAGE('20250815_ETF_Options_Exhibits'!B2290:B2294)),AVERAGE('20250815_ETF_Options_Exhibits'!B2290:B2294),"")</f>
        <v/>
      </c>
      <c r="C2294" s="3">
        <f>IF(ISNUMBER(AVERAGE('20250815_ETF_Options_Exhibits'!C2290:C2294)),AVERAGE('20250815_ETF_Options_Exhibits'!C2290:C2294),"")</f>
        <v/>
      </c>
      <c r="D2294" s="3">
        <f>IF(ISNUMBER(AVERAGE('20250815_ETF_Options_Exhibits'!D2290:D2294)),AVERAGE('20250815_ETF_Options_Exhibits'!D2290:D2294),"")</f>
        <v/>
      </c>
      <c r="E2294" s="3">
        <f>IF(ISNUMBER(AVERAGE('20250815_ETF_Options_Exhibits'!E2290:E2294)),AVERAGE('20250815_ETF_Options_Exhibits'!E2290:E2294),"")</f>
        <v/>
      </c>
      <c r="F2294" s="3">
        <f>IF(ISNUMBER(AVERAGE('20250815_ETF_Options_Exhibits'!F2290:F2294)),AVERAGE('20250815_ETF_Options_Exhibits'!F2290:F2294),"")</f>
        <v/>
      </c>
      <c r="G2294" s="3">
        <f>IF(ISNUMBER(AVERAGE('20250815_ETF_Options_Exhibits'!G2290:G2294)),AVERAGE('20250815_ETF_Options_Exhibits'!G2290:G2294),"")</f>
        <v/>
      </c>
      <c r="H2294" s="3">
        <f>IF(ISNUMBER(AVERAGE('20250815_ETF_Options_Exhibits'!H2290:H2294)),AVERAGE('20250815_ETF_Options_Exhibits'!H2290:H2294),"")</f>
        <v/>
      </c>
      <c r="I2294" s="3">
        <f>IF(ISNUMBER(AVERAGE('20250815_ETF_Options_Exhibits'!I2290:I2294)),AVERAGE('20250815_ETF_Options_Exhibits'!I2290:I2294),"")</f>
        <v/>
      </c>
      <c r="J2294" s="3">
        <f>IF(ISNUMBER(AVERAGE('20250815_ETF_Options_Exhibits'!J2290:J2294)),AVERAGE('20250815_ETF_Options_Exhibits'!J2290:J2294),"")</f>
        <v/>
      </c>
      <c r="K2294" s="3">
        <f>IF(ISNUMBER(AVERAGE('20250815_ETF_Options_Exhibits'!K2290:K2294)),AVERAGE('20250815_ETF_Options_Exhibits'!K2290:K2294),"")</f>
        <v/>
      </c>
      <c r="L2294" s="3">
        <f>IF(ISNUMBER(AVERAGE('20250815_ETF_Options_Exhibits'!L2290:L2294)),AVERAGE('20250815_ETF_Options_Exhibits'!L2290:L2294),"")</f>
        <v/>
      </c>
      <c r="M2294" s="3">
        <f>IF(ISNUMBER(AVERAGE('20250815_ETF_Options_Exhibits'!M2290:M2294)),AVERAGE('20250815_ETF_Options_Exhibits'!M2290:M2294),"")</f>
        <v/>
      </c>
      <c r="N2294" s="3">
        <f>IF(ISNUMBER(AVERAGE('20250815_ETF_Options_Exhibits'!N2290:N2294)),AVERAGE('20250815_ETF_Options_Exhibits'!N2290:N2294),"")</f>
        <v/>
      </c>
      <c r="O2294" s="3">
        <f>IF(ISNUMBER(AVERAGE('20250815_ETF_Options_Exhibits'!O2290:O2294)),AVERAGE('20250815_ETF_Options_Exhibits'!O2290:O2294),"")</f>
        <v/>
      </c>
      <c r="P2294" s="3">
        <f>IF(ISNUMBER(AVERAGE('20250815_ETF_Options_Exhibits'!P2290:P2294)),AVERAGE('20250815_ETF_Options_Exhibits'!P2290:P2294),"")</f>
        <v/>
      </c>
      <c r="Q2294" s="3">
        <f>IF(ISNUMBER(AVERAGE('20250815_ETF_Options_Exhibits'!Q2290:Q2294)),AVERAGE('20250815_ETF_Options_Exhibits'!Q2290:Q2294),"")</f>
        <v/>
      </c>
      <c r="R2294" s="3">
        <f>IF(ISNUMBER(AVERAGE('20250815_ETF_Options_Exhibits'!R2290:R2294)),AVERAGE('20250815_ETF_Options_Exhibits'!R2290:R2294),"")</f>
        <v/>
      </c>
      <c r="S2294" s="3">
        <f>IF(ISNUMBER(AVERAGE('20250815_ETF_Options_Exhibits'!S2290:S2294)),AVERAGE('20250815_ETF_Options_Exhibits'!S2290:S2294),"")</f>
        <v/>
      </c>
      <c r="T2294" s="3">
        <f>IF(ISNUMBER(AVERAGE('20250815_ETF_Options_Exhibits'!T2290:T2294)),AVERAGE('20250815_ETF_Options_Exhibits'!T2290:T2294),"")</f>
        <v/>
      </c>
      <c r="U2294" s="3">
        <f>IF(ISNUMBER(AVERAGE('20250815_ETF_Options_Exhibits'!U2290:U2294)),AVERAGE('20250815_ETF_Options_Exhibits'!U2290:U2294),"")</f>
        <v/>
      </c>
      <c r="V2294" s="3">
        <f>IF(ISNUMBER(AVERAGE('20250815_ETF_Options_Exhibits'!V2290:V2294)),AVERAGE('20250815_ETF_Options_Exhibits'!V2290:V2294),"")</f>
        <v/>
      </c>
      <c r="W2294" s="3">
        <f>IF(ISNUMBER(AVERAGE('20250815_ETF_Options_Exhibits'!W2290:W2294)),AVERAGE('20250815_ETF_Options_Exhibits'!W2290:W2294),"")</f>
        <v/>
      </c>
      <c r="X2294" s="3">
        <f>IF(ISNUMBER(AVERAGE('20250815_ETF_Options_Exhibits'!X2290:X2294)),AVERAGE('20250815_ETF_Options_Exhibits'!X2290:X2294),"")</f>
        <v/>
      </c>
      <c r="Y2294" s="3">
        <f>IF(ISNUMBER(AVERAGE('20250815_ETF_Options_Exhibits'!Y2290:Y2294)),AVERAGE('20250815_ETF_Options_Exhibits'!Y2290:Y2294),"")</f>
        <v/>
      </c>
      <c r="Z2294" s="3">
        <f>IF(ISNUMBER(AVERAGE('20250815_ETF_Options_Exhibits'!Z2290:Z2294)),AVERAGE('20250815_ETF_Options_Exhibits'!Z2290:Z2294),"")</f>
        <v/>
      </c>
      <c r="AA2294" s="3">
        <f>IF(ISNUMBER(AVERAGE('20250815_ETF_Options_Exhibits'!AA2290:AA2294)),AVERAGE('20250815_ETF_Options_Exhibits'!AA2290:AA2294),"")</f>
        <v/>
      </c>
    </row>
    <row r="2295">
      <c r="A2295" s="1" t="n">
        <v>45334</v>
      </c>
      <c r="B2295" s="3">
        <f>IF(ISNUMBER(AVERAGE('20250815_ETF_Options_Exhibits'!B2291:B2295)),AVERAGE('20250815_ETF_Options_Exhibits'!B2291:B2295),"")</f>
        <v/>
      </c>
      <c r="C2295" s="3">
        <f>IF(ISNUMBER(AVERAGE('20250815_ETF_Options_Exhibits'!C2291:C2295)),AVERAGE('20250815_ETF_Options_Exhibits'!C2291:C2295),"")</f>
        <v/>
      </c>
      <c r="D2295" s="3">
        <f>IF(ISNUMBER(AVERAGE('20250815_ETF_Options_Exhibits'!D2291:D2295)),AVERAGE('20250815_ETF_Options_Exhibits'!D2291:D2295),"")</f>
        <v/>
      </c>
      <c r="E2295" s="3">
        <f>IF(ISNUMBER(AVERAGE('20250815_ETF_Options_Exhibits'!E2291:E2295)),AVERAGE('20250815_ETF_Options_Exhibits'!E2291:E2295),"")</f>
        <v/>
      </c>
      <c r="F2295" s="3">
        <f>IF(ISNUMBER(AVERAGE('20250815_ETF_Options_Exhibits'!F2291:F2295)),AVERAGE('20250815_ETF_Options_Exhibits'!F2291:F2295),"")</f>
        <v/>
      </c>
      <c r="G2295" s="3">
        <f>IF(ISNUMBER(AVERAGE('20250815_ETF_Options_Exhibits'!G2291:G2295)),AVERAGE('20250815_ETF_Options_Exhibits'!G2291:G2295),"")</f>
        <v/>
      </c>
      <c r="H2295" s="3">
        <f>IF(ISNUMBER(AVERAGE('20250815_ETF_Options_Exhibits'!H2291:H2295)),AVERAGE('20250815_ETF_Options_Exhibits'!H2291:H2295),"")</f>
        <v/>
      </c>
      <c r="I2295" s="3">
        <f>IF(ISNUMBER(AVERAGE('20250815_ETF_Options_Exhibits'!I2291:I2295)),AVERAGE('20250815_ETF_Options_Exhibits'!I2291:I2295),"")</f>
        <v/>
      </c>
      <c r="J2295" s="3">
        <f>IF(ISNUMBER(AVERAGE('20250815_ETF_Options_Exhibits'!J2291:J2295)),AVERAGE('20250815_ETF_Options_Exhibits'!J2291:J2295),"")</f>
        <v/>
      </c>
      <c r="K2295" s="3">
        <f>IF(ISNUMBER(AVERAGE('20250815_ETF_Options_Exhibits'!K2291:K2295)),AVERAGE('20250815_ETF_Options_Exhibits'!K2291:K2295),"")</f>
        <v/>
      </c>
      <c r="L2295" s="3">
        <f>IF(ISNUMBER(AVERAGE('20250815_ETF_Options_Exhibits'!L2291:L2295)),AVERAGE('20250815_ETF_Options_Exhibits'!L2291:L2295),"")</f>
        <v/>
      </c>
      <c r="M2295" s="3">
        <f>IF(ISNUMBER(AVERAGE('20250815_ETF_Options_Exhibits'!M2291:M2295)),AVERAGE('20250815_ETF_Options_Exhibits'!M2291:M2295),"")</f>
        <v/>
      </c>
      <c r="N2295" s="3">
        <f>IF(ISNUMBER(AVERAGE('20250815_ETF_Options_Exhibits'!N2291:N2295)),AVERAGE('20250815_ETF_Options_Exhibits'!N2291:N2295),"")</f>
        <v/>
      </c>
      <c r="O2295" s="3">
        <f>IF(ISNUMBER(AVERAGE('20250815_ETF_Options_Exhibits'!O2291:O2295)),AVERAGE('20250815_ETF_Options_Exhibits'!O2291:O2295),"")</f>
        <v/>
      </c>
      <c r="P2295" s="3">
        <f>IF(ISNUMBER(AVERAGE('20250815_ETF_Options_Exhibits'!P2291:P2295)),AVERAGE('20250815_ETF_Options_Exhibits'!P2291:P2295),"")</f>
        <v/>
      </c>
      <c r="Q2295" s="3">
        <f>IF(ISNUMBER(AVERAGE('20250815_ETF_Options_Exhibits'!Q2291:Q2295)),AVERAGE('20250815_ETF_Options_Exhibits'!Q2291:Q2295),"")</f>
        <v/>
      </c>
      <c r="R2295" s="3">
        <f>IF(ISNUMBER(AVERAGE('20250815_ETF_Options_Exhibits'!R2291:R2295)),AVERAGE('20250815_ETF_Options_Exhibits'!R2291:R2295),"")</f>
        <v/>
      </c>
      <c r="S2295" s="3">
        <f>IF(ISNUMBER(AVERAGE('20250815_ETF_Options_Exhibits'!S2291:S2295)),AVERAGE('20250815_ETF_Options_Exhibits'!S2291:S2295),"")</f>
        <v/>
      </c>
      <c r="T2295" s="3">
        <f>IF(ISNUMBER(AVERAGE('20250815_ETF_Options_Exhibits'!T2291:T2295)),AVERAGE('20250815_ETF_Options_Exhibits'!T2291:T2295),"")</f>
        <v/>
      </c>
      <c r="U2295" s="3">
        <f>IF(ISNUMBER(AVERAGE('20250815_ETF_Options_Exhibits'!U2291:U2295)),AVERAGE('20250815_ETF_Options_Exhibits'!U2291:U2295),"")</f>
        <v/>
      </c>
      <c r="V2295" s="3">
        <f>IF(ISNUMBER(AVERAGE('20250815_ETF_Options_Exhibits'!V2291:V2295)),AVERAGE('20250815_ETF_Options_Exhibits'!V2291:V2295),"")</f>
        <v/>
      </c>
      <c r="W2295" s="3">
        <f>IF(ISNUMBER(AVERAGE('20250815_ETF_Options_Exhibits'!W2291:W2295)),AVERAGE('20250815_ETF_Options_Exhibits'!W2291:W2295),"")</f>
        <v/>
      </c>
      <c r="X2295" s="3">
        <f>IF(ISNUMBER(AVERAGE('20250815_ETF_Options_Exhibits'!X2291:X2295)),AVERAGE('20250815_ETF_Options_Exhibits'!X2291:X2295),"")</f>
        <v/>
      </c>
      <c r="Y2295" s="3">
        <f>IF(ISNUMBER(AVERAGE('20250815_ETF_Options_Exhibits'!Y2291:Y2295)),AVERAGE('20250815_ETF_Options_Exhibits'!Y2291:Y2295),"")</f>
        <v/>
      </c>
      <c r="Z2295" s="3">
        <f>IF(ISNUMBER(AVERAGE('20250815_ETF_Options_Exhibits'!Z2291:Z2295)),AVERAGE('20250815_ETF_Options_Exhibits'!Z2291:Z2295),"")</f>
        <v/>
      </c>
      <c r="AA2295" s="3">
        <f>IF(ISNUMBER(AVERAGE('20250815_ETF_Options_Exhibits'!AA2291:AA2295)),AVERAGE('20250815_ETF_Options_Exhibits'!AA2291:AA2295),"")</f>
        <v/>
      </c>
    </row>
    <row r="2296">
      <c r="A2296" s="1" t="n">
        <v>45335</v>
      </c>
      <c r="B2296" s="3">
        <f>IF(ISNUMBER(AVERAGE('20250815_ETF_Options_Exhibits'!B2292:B2296)),AVERAGE('20250815_ETF_Options_Exhibits'!B2292:B2296),"")</f>
        <v/>
      </c>
      <c r="C2296" s="3">
        <f>IF(ISNUMBER(AVERAGE('20250815_ETF_Options_Exhibits'!C2292:C2296)),AVERAGE('20250815_ETF_Options_Exhibits'!C2292:C2296),"")</f>
        <v/>
      </c>
      <c r="D2296" s="3">
        <f>IF(ISNUMBER(AVERAGE('20250815_ETF_Options_Exhibits'!D2292:D2296)),AVERAGE('20250815_ETF_Options_Exhibits'!D2292:D2296),"")</f>
        <v/>
      </c>
      <c r="E2296" s="3">
        <f>IF(ISNUMBER(AVERAGE('20250815_ETF_Options_Exhibits'!E2292:E2296)),AVERAGE('20250815_ETF_Options_Exhibits'!E2292:E2296),"")</f>
        <v/>
      </c>
      <c r="F2296" s="3">
        <f>IF(ISNUMBER(AVERAGE('20250815_ETF_Options_Exhibits'!F2292:F2296)),AVERAGE('20250815_ETF_Options_Exhibits'!F2292:F2296),"")</f>
        <v/>
      </c>
      <c r="G2296" s="3">
        <f>IF(ISNUMBER(AVERAGE('20250815_ETF_Options_Exhibits'!G2292:G2296)),AVERAGE('20250815_ETF_Options_Exhibits'!G2292:G2296),"")</f>
        <v/>
      </c>
      <c r="H2296" s="3">
        <f>IF(ISNUMBER(AVERAGE('20250815_ETF_Options_Exhibits'!H2292:H2296)),AVERAGE('20250815_ETF_Options_Exhibits'!H2292:H2296),"")</f>
        <v/>
      </c>
      <c r="I2296" s="3">
        <f>IF(ISNUMBER(AVERAGE('20250815_ETF_Options_Exhibits'!I2292:I2296)),AVERAGE('20250815_ETF_Options_Exhibits'!I2292:I2296),"")</f>
        <v/>
      </c>
      <c r="J2296" s="3">
        <f>IF(ISNUMBER(AVERAGE('20250815_ETF_Options_Exhibits'!J2292:J2296)),AVERAGE('20250815_ETF_Options_Exhibits'!J2292:J2296),"")</f>
        <v/>
      </c>
      <c r="K2296" s="3">
        <f>IF(ISNUMBER(AVERAGE('20250815_ETF_Options_Exhibits'!K2292:K2296)),AVERAGE('20250815_ETF_Options_Exhibits'!K2292:K2296),"")</f>
        <v/>
      </c>
      <c r="L2296" s="3">
        <f>IF(ISNUMBER(AVERAGE('20250815_ETF_Options_Exhibits'!L2292:L2296)),AVERAGE('20250815_ETF_Options_Exhibits'!L2292:L2296),"")</f>
        <v/>
      </c>
      <c r="M2296" s="3">
        <f>IF(ISNUMBER(AVERAGE('20250815_ETF_Options_Exhibits'!M2292:M2296)),AVERAGE('20250815_ETF_Options_Exhibits'!M2292:M2296),"")</f>
        <v/>
      </c>
      <c r="N2296" s="3">
        <f>IF(ISNUMBER(AVERAGE('20250815_ETF_Options_Exhibits'!N2292:N2296)),AVERAGE('20250815_ETF_Options_Exhibits'!N2292:N2296),"")</f>
        <v/>
      </c>
      <c r="O2296" s="3">
        <f>IF(ISNUMBER(AVERAGE('20250815_ETF_Options_Exhibits'!O2292:O2296)),AVERAGE('20250815_ETF_Options_Exhibits'!O2292:O2296),"")</f>
        <v/>
      </c>
      <c r="P2296" s="3">
        <f>IF(ISNUMBER(AVERAGE('20250815_ETF_Options_Exhibits'!P2292:P2296)),AVERAGE('20250815_ETF_Options_Exhibits'!P2292:P2296),"")</f>
        <v/>
      </c>
      <c r="Q2296" s="3">
        <f>IF(ISNUMBER(AVERAGE('20250815_ETF_Options_Exhibits'!Q2292:Q2296)),AVERAGE('20250815_ETF_Options_Exhibits'!Q2292:Q2296),"")</f>
        <v/>
      </c>
      <c r="R2296" s="3">
        <f>IF(ISNUMBER(AVERAGE('20250815_ETF_Options_Exhibits'!R2292:R2296)),AVERAGE('20250815_ETF_Options_Exhibits'!R2292:R2296),"")</f>
        <v/>
      </c>
      <c r="S2296" s="3">
        <f>IF(ISNUMBER(AVERAGE('20250815_ETF_Options_Exhibits'!S2292:S2296)),AVERAGE('20250815_ETF_Options_Exhibits'!S2292:S2296),"")</f>
        <v/>
      </c>
      <c r="T2296" s="3">
        <f>IF(ISNUMBER(AVERAGE('20250815_ETF_Options_Exhibits'!T2292:T2296)),AVERAGE('20250815_ETF_Options_Exhibits'!T2292:T2296),"")</f>
        <v/>
      </c>
      <c r="U2296" s="3">
        <f>IF(ISNUMBER(AVERAGE('20250815_ETF_Options_Exhibits'!U2292:U2296)),AVERAGE('20250815_ETF_Options_Exhibits'!U2292:U2296),"")</f>
        <v/>
      </c>
      <c r="V2296" s="3">
        <f>IF(ISNUMBER(AVERAGE('20250815_ETF_Options_Exhibits'!V2292:V2296)),AVERAGE('20250815_ETF_Options_Exhibits'!V2292:V2296),"")</f>
        <v/>
      </c>
      <c r="W2296" s="3">
        <f>IF(ISNUMBER(AVERAGE('20250815_ETF_Options_Exhibits'!W2292:W2296)),AVERAGE('20250815_ETF_Options_Exhibits'!W2292:W2296),"")</f>
        <v/>
      </c>
      <c r="X2296" s="3">
        <f>IF(ISNUMBER(AVERAGE('20250815_ETF_Options_Exhibits'!X2292:X2296)),AVERAGE('20250815_ETF_Options_Exhibits'!X2292:X2296),"")</f>
        <v/>
      </c>
      <c r="Y2296" s="3">
        <f>IF(ISNUMBER(AVERAGE('20250815_ETF_Options_Exhibits'!Y2292:Y2296)),AVERAGE('20250815_ETF_Options_Exhibits'!Y2292:Y2296),"")</f>
        <v/>
      </c>
      <c r="Z2296" s="3">
        <f>IF(ISNUMBER(AVERAGE('20250815_ETF_Options_Exhibits'!Z2292:Z2296)),AVERAGE('20250815_ETF_Options_Exhibits'!Z2292:Z2296),"")</f>
        <v/>
      </c>
      <c r="AA2296" s="3">
        <f>IF(ISNUMBER(AVERAGE('20250815_ETF_Options_Exhibits'!AA2292:AA2296)),AVERAGE('20250815_ETF_Options_Exhibits'!AA2292:AA2296),"")</f>
        <v/>
      </c>
    </row>
    <row r="2297">
      <c r="A2297" s="1" t="n">
        <v>45336</v>
      </c>
      <c r="B2297" s="3">
        <f>IF(ISNUMBER(AVERAGE('20250815_ETF_Options_Exhibits'!B2293:B2297)),AVERAGE('20250815_ETF_Options_Exhibits'!B2293:B2297),"")</f>
        <v/>
      </c>
      <c r="C2297" s="3">
        <f>IF(ISNUMBER(AVERAGE('20250815_ETF_Options_Exhibits'!C2293:C2297)),AVERAGE('20250815_ETF_Options_Exhibits'!C2293:C2297),"")</f>
        <v/>
      </c>
      <c r="D2297" s="3">
        <f>IF(ISNUMBER(AVERAGE('20250815_ETF_Options_Exhibits'!D2293:D2297)),AVERAGE('20250815_ETF_Options_Exhibits'!D2293:D2297),"")</f>
        <v/>
      </c>
      <c r="E2297" s="3">
        <f>IF(ISNUMBER(AVERAGE('20250815_ETF_Options_Exhibits'!E2293:E2297)),AVERAGE('20250815_ETF_Options_Exhibits'!E2293:E2297),"")</f>
        <v/>
      </c>
      <c r="F2297" s="3">
        <f>IF(ISNUMBER(AVERAGE('20250815_ETF_Options_Exhibits'!F2293:F2297)),AVERAGE('20250815_ETF_Options_Exhibits'!F2293:F2297),"")</f>
        <v/>
      </c>
      <c r="G2297" s="3">
        <f>IF(ISNUMBER(AVERAGE('20250815_ETF_Options_Exhibits'!G2293:G2297)),AVERAGE('20250815_ETF_Options_Exhibits'!G2293:G2297),"")</f>
        <v/>
      </c>
      <c r="H2297" s="3">
        <f>IF(ISNUMBER(AVERAGE('20250815_ETF_Options_Exhibits'!H2293:H2297)),AVERAGE('20250815_ETF_Options_Exhibits'!H2293:H2297),"")</f>
        <v/>
      </c>
      <c r="I2297" s="3">
        <f>IF(ISNUMBER(AVERAGE('20250815_ETF_Options_Exhibits'!I2293:I2297)),AVERAGE('20250815_ETF_Options_Exhibits'!I2293:I2297),"")</f>
        <v/>
      </c>
      <c r="J2297" s="3">
        <f>IF(ISNUMBER(AVERAGE('20250815_ETF_Options_Exhibits'!J2293:J2297)),AVERAGE('20250815_ETF_Options_Exhibits'!J2293:J2297),"")</f>
        <v/>
      </c>
      <c r="K2297" s="3">
        <f>IF(ISNUMBER(AVERAGE('20250815_ETF_Options_Exhibits'!K2293:K2297)),AVERAGE('20250815_ETF_Options_Exhibits'!K2293:K2297),"")</f>
        <v/>
      </c>
      <c r="L2297" s="3">
        <f>IF(ISNUMBER(AVERAGE('20250815_ETF_Options_Exhibits'!L2293:L2297)),AVERAGE('20250815_ETF_Options_Exhibits'!L2293:L2297),"")</f>
        <v/>
      </c>
      <c r="M2297" s="3">
        <f>IF(ISNUMBER(AVERAGE('20250815_ETF_Options_Exhibits'!M2293:M2297)),AVERAGE('20250815_ETF_Options_Exhibits'!M2293:M2297),"")</f>
        <v/>
      </c>
      <c r="N2297" s="3">
        <f>IF(ISNUMBER(AVERAGE('20250815_ETF_Options_Exhibits'!N2293:N2297)),AVERAGE('20250815_ETF_Options_Exhibits'!N2293:N2297),"")</f>
        <v/>
      </c>
      <c r="O2297" s="3">
        <f>IF(ISNUMBER(AVERAGE('20250815_ETF_Options_Exhibits'!O2293:O2297)),AVERAGE('20250815_ETF_Options_Exhibits'!O2293:O2297),"")</f>
        <v/>
      </c>
      <c r="P2297" s="3">
        <f>IF(ISNUMBER(AVERAGE('20250815_ETF_Options_Exhibits'!P2293:P2297)),AVERAGE('20250815_ETF_Options_Exhibits'!P2293:P2297),"")</f>
        <v/>
      </c>
      <c r="Q2297" s="3">
        <f>IF(ISNUMBER(AVERAGE('20250815_ETF_Options_Exhibits'!Q2293:Q2297)),AVERAGE('20250815_ETF_Options_Exhibits'!Q2293:Q2297),"")</f>
        <v/>
      </c>
      <c r="R2297" s="3">
        <f>IF(ISNUMBER(AVERAGE('20250815_ETF_Options_Exhibits'!R2293:R2297)),AVERAGE('20250815_ETF_Options_Exhibits'!R2293:R2297),"")</f>
        <v/>
      </c>
      <c r="S2297" s="3">
        <f>IF(ISNUMBER(AVERAGE('20250815_ETF_Options_Exhibits'!S2293:S2297)),AVERAGE('20250815_ETF_Options_Exhibits'!S2293:S2297),"")</f>
        <v/>
      </c>
      <c r="T2297" s="3">
        <f>IF(ISNUMBER(AVERAGE('20250815_ETF_Options_Exhibits'!T2293:T2297)),AVERAGE('20250815_ETF_Options_Exhibits'!T2293:T2297),"")</f>
        <v/>
      </c>
      <c r="U2297" s="3">
        <f>IF(ISNUMBER(AVERAGE('20250815_ETF_Options_Exhibits'!U2293:U2297)),AVERAGE('20250815_ETF_Options_Exhibits'!U2293:U2297),"")</f>
        <v/>
      </c>
      <c r="V2297" s="3">
        <f>IF(ISNUMBER(AVERAGE('20250815_ETF_Options_Exhibits'!V2293:V2297)),AVERAGE('20250815_ETF_Options_Exhibits'!V2293:V2297),"")</f>
        <v/>
      </c>
      <c r="W2297" s="3">
        <f>IF(ISNUMBER(AVERAGE('20250815_ETF_Options_Exhibits'!W2293:W2297)),AVERAGE('20250815_ETF_Options_Exhibits'!W2293:W2297),"")</f>
        <v/>
      </c>
      <c r="X2297" s="3">
        <f>IF(ISNUMBER(AVERAGE('20250815_ETF_Options_Exhibits'!X2293:X2297)),AVERAGE('20250815_ETF_Options_Exhibits'!X2293:X2297),"")</f>
        <v/>
      </c>
      <c r="Y2297" s="3">
        <f>IF(ISNUMBER(AVERAGE('20250815_ETF_Options_Exhibits'!Y2293:Y2297)),AVERAGE('20250815_ETF_Options_Exhibits'!Y2293:Y2297),"")</f>
        <v/>
      </c>
      <c r="Z2297" s="3">
        <f>IF(ISNUMBER(AVERAGE('20250815_ETF_Options_Exhibits'!Z2293:Z2297)),AVERAGE('20250815_ETF_Options_Exhibits'!Z2293:Z2297),"")</f>
        <v/>
      </c>
      <c r="AA2297" s="3">
        <f>IF(ISNUMBER(AVERAGE('20250815_ETF_Options_Exhibits'!AA2293:AA2297)),AVERAGE('20250815_ETF_Options_Exhibits'!AA2293:AA2297),"")</f>
        <v/>
      </c>
    </row>
    <row r="2298">
      <c r="A2298" s="1" t="n">
        <v>45337</v>
      </c>
      <c r="B2298" s="3">
        <f>IF(ISNUMBER(AVERAGE('20250815_ETF_Options_Exhibits'!B2294:B2298)),AVERAGE('20250815_ETF_Options_Exhibits'!B2294:B2298),"")</f>
        <v/>
      </c>
      <c r="C2298" s="3">
        <f>IF(ISNUMBER(AVERAGE('20250815_ETF_Options_Exhibits'!C2294:C2298)),AVERAGE('20250815_ETF_Options_Exhibits'!C2294:C2298),"")</f>
        <v/>
      </c>
      <c r="D2298" s="3">
        <f>IF(ISNUMBER(AVERAGE('20250815_ETF_Options_Exhibits'!D2294:D2298)),AVERAGE('20250815_ETF_Options_Exhibits'!D2294:D2298),"")</f>
        <v/>
      </c>
      <c r="E2298" s="3">
        <f>IF(ISNUMBER(AVERAGE('20250815_ETF_Options_Exhibits'!E2294:E2298)),AVERAGE('20250815_ETF_Options_Exhibits'!E2294:E2298),"")</f>
        <v/>
      </c>
      <c r="F2298" s="3">
        <f>IF(ISNUMBER(AVERAGE('20250815_ETF_Options_Exhibits'!F2294:F2298)),AVERAGE('20250815_ETF_Options_Exhibits'!F2294:F2298),"")</f>
        <v/>
      </c>
      <c r="G2298" s="3">
        <f>IF(ISNUMBER(AVERAGE('20250815_ETF_Options_Exhibits'!G2294:G2298)),AVERAGE('20250815_ETF_Options_Exhibits'!G2294:G2298),"")</f>
        <v/>
      </c>
      <c r="H2298" s="3">
        <f>IF(ISNUMBER(AVERAGE('20250815_ETF_Options_Exhibits'!H2294:H2298)),AVERAGE('20250815_ETF_Options_Exhibits'!H2294:H2298),"")</f>
        <v/>
      </c>
      <c r="I2298" s="3">
        <f>IF(ISNUMBER(AVERAGE('20250815_ETF_Options_Exhibits'!I2294:I2298)),AVERAGE('20250815_ETF_Options_Exhibits'!I2294:I2298),"")</f>
        <v/>
      </c>
      <c r="J2298" s="3">
        <f>IF(ISNUMBER(AVERAGE('20250815_ETF_Options_Exhibits'!J2294:J2298)),AVERAGE('20250815_ETF_Options_Exhibits'!J2294:J2298),"")</f>
        <v/>
      </c>
      <c r="K2298" s="3">
        <f>IF(ISNUMBER(AVERAGE('20250815_ETF_Options_Exhibits'!K2294:K2298)),AVERAGE('20250815_ETF_Options_Exhibits'!K2294:K2298),"")</f>
        <v/>
      </c>
      <c r="L2298" s="3">
        <f>IF(ISNUMBER(AVERAGE('20250815_ETF_Options_Exhibits'!L2294:L2298)),AVERAGE('20250815_ETF_Options_Exhibits'!L2294:L2298),"")</f>
        <v/>
      </c>
      <c r="M2298" s="3">
        <f>IF(ISNUMBER(AVERAGE('20250815_ETF_Options_Exhibits'!M2294:M2298)),AVERAGE('20250815_ETF_Options_Exhibits'!M2294:M2298),"")</f>
        <v/>
      </c>
      <c r="N2298" s="3">
        <f>IF(ISNUMBER(AVERAGE('20250815_ETF_Options_Exhibits'!N2294:N2298)),AVERAGE('20250815_ETF_Options_Exhibits'!N2294:N2298),"")</f>
        <v/>
      </c>
      <c r="O2298" s="3">
        <f>IF(ISNUMBER(AVERAGE('20250815_ETF_Options_Exhibits'!O2294:O2298)),AVERAGE('20250815_ETF_Options_Exhibits'!O2294:O2298),"")</f>
        <v/>
      </c>
      <c r="P2298" s="3">
        <f>IF(ISNUMBER(AVERAGE('20250815_ETF_Options_Exhibits'!P2294:P2298)),AVERAGE('20250815_ETF_Options_Exhibits'!P2294:P2298),"")</f>
        <v/>
      </c>
      <c r="Q2298" s="3">
        <f>IF(ISNUMBER(AVERAGE('20250815_ETF_Options_Exhibits'!Q2294:Q2298)),AVERAGE('20250815_ETF_Options_Exhibits'!Q2294:Q2298),"")</f>
        <v/>
      </c>
      <c r="R2298" s="3">
        <f>IF(ISNUMBER(AVERAGE('20250815_ETF_Options_Exhibits'!R2294:R2298)),AVERAGE('20250815_ETF_Options_Exhibits'!R2294:R2298),"")</f>
        <v/>
      </c>
      <c r="S2298" s="3">
        <f>IF(ISNUMBER(AVERAGE('20250815_ETF_Options_Exhibits'!S2294:S2298)),AVERAGE('20250815_ETF_Options_Exhibits'!S2294:S2298),"")</f>
        <v/>
      </c>
      <c r="T2298" s="3">
        <f>IF(ISNUMBER(AVERAGE('20250815_ETF_Options_Exhibits'!T2294:T2298)),AVERAGE('20250815_ETF_Options_Exhibits'!T2294:T2298),"")</f>
        <v/>
      </c>
      <c r="U2298" s="3">
        <f>IF(ISNUMBER(AVERAGE('20250815_ETF_Options_Exhibits'!U2294:U2298)),AVERAGE('20250815_ETF_Options_Exhibits'!U2294:U2298),"")</f>
        <v/>
      </c>
      <c r="V2298" s="3">
        <f>IF(ISNUMBER(AVERAGE('20250815_ETF_Options_Exhibits'!V2294:V2298)),AVERAGE('20250815_ETF_Options_Exhibits'!V2294:V2298),"")</f>
        <v/>
      </c>
      <c r="W2298" s="3">
        <f>IF(ISNUMBER(AVERAGE('20250815_ETF_Options_Exhibits'!W2294:W2298)),AVERAGE('20250815_ETF_Options_Exhibits'!W2294:W2298),"")</f>
        <v/>
      </c>
      <c r="X2298" s="3">
        <f>IF(ISNUMBER(AVERAGE('20250815_ETF_Options_Exhibits'!X2294:X2298)),AVERAGE('20250815_ETF_Options_Exhibits'!X2294:X2298),"")</f>
        <v/>
      </c>
      <c r="Y2298" s="3">
        <f>IF(ISNUMBER(AVERAGE('20250815_ETF_Options_Exhibits'!Y2294:Y2298)),AVERAGE('20250815_ETF_Options_Exhibits'!Y2294:Y2298),"")</f>
        <v/>
      </c>
      <c r="Z2298" s="3">
        <f>IF(ISNUMBER(AVERAGE('20250815_ETF_Options_Exhibits'!Z2294:Z2298)),AVERAGE('20250815_ETF_Options_Exhibits'!Z2294:Z2298),"")</f>
        <v/>
      </c>
      <c r="AA2298" s="3">
        <f>IF(ISNUMBER(AVERAGE('20250815_ETF_Options_Exhibits'!AA2294:AA2298)),AVERAGE('20250815_ETF_Options_Exhibits'!AA2294:AA2298),"")</f>
        <v/>
      </c>
    </row>
    <row r="2299">
      <c r="A2299" s="1" t="n">
        <v>45338</v>
      </c>
      <c r="B2299" s="3">
        <f>IF(ISNUMBER(AVERAGE('20250815_ETF_Options_Exhibits'!B2295:B2299)),AVERAGE('20250815_ETF_Options_Exhibits'!B2295:B2299),"")</f>
        <v/>
      </c>
      <c r="C2299" s="3">
        <f>IF(ISNUMBER(AVERAGE('20250815_ETF_Options_Exhibits'!C2295:C2299)),AVERAGE('20250815_ETF_Options_Exhibits'!C2295:C2299),"")</f>
        <v/>
      </c>
      <c r="D2299" s="3">
        <f>IF(ISNUMBER(AVERAGE('20250815_ETF_Options_Exhibits'!D2295:D2299)),AVERAGE('20250815_ETF_Options_Exhibits'!D2295:D2299),"")</f>
        <v/>
      </c>
      <c r="E2299" s="3">
        <f>IF(ISNUMBER(AVERAGE('20250815_ETF_Options_Exhibits'!E2295:E2299)),AVERAGE('20250815_ETF_Options_Exhibits'!E2295:E2299),"")</f>
        <v/>
      </c>
      <c r="F2299" s="3">
        <f>IF(ISNUMBER(AVERAGE('20250815_ETF_Options_Exhibits'!F2295:F2299)),AVERAGE('20250815_ETF_Options_Exhibits'!F2295:F2299),"")</f>
        <v/>
      </c>
      <c r="G2299" s="3">
        <f>IF(ISNUMBER(AVERAGE('20250815_ETF_Options_Exhibits'!G2295:G2299)),AVERAGE('20250815_ETF_Options_Exhibits'!G2295:G2299),"")</f>
        <v/>
      </c>
      <c r="H2299" s="3">
        <f>IF(ISNUMBER(AVERAGE('20250815_ETF_Options_Exhibits'!H2295:H2299)),AVERAGE('20250815_ETF_Options_Exhibits'!H2295:H2299),"")</f>
        <v/>
      </c>
      <c r="I2299" s="3">
        <f>IF(ISNUMBER(AVERAGE('20250815_ETF_Options_Exhibits'!I2295:I2299)),AVERAGE('20250815_ETF_Options_Exhibits'!I2295:I2299),"")</f>
        <v/>
      </c>
      <c r="J2299" s="3">
        <f>IF(ISNUMBER(AVERAGE('20250815_ETF_Options_Exhibits'!J2295:J2299)),AVERAGE('20250815_ETF_Options_Exhibits'!J2295:J2299),"")</f>
        <v/>
      </c>
      <c r="K2299" s="3">
        <f>IF(ISNUMBER(AVERAGE('20250815_ETF_Options_Exhibits'!K2295:K2299)),AVERAGE('20250815_ETF_Options_Exhibits'!K2295:K2299),"")</f>
        <v/>
      </c>
      <c r="L2299" s="3">
        <f>IF(ISNUMBER(AVERAGE('20250815_ETF_Options_Exhibits'!L2295:L2299)),AVERAGE('20250815_ETF_Options_Exhibits'!L2295:L2299),"")</f>
        <v/>
      </c>
      <c r="M2299" s="3">
        <f>IF(ISNUMBER(AVERAGE('20250815_ETF_Options_Exhibits'!M2295:M2299)),AVERAGE('20250815_ETF_Options_Exhibits'!M2295:M2299),"")</f>
        <v/>
      </c>
      <c r="N2299" s="3">
        <f>IF(ISNUMBER(AVERAGE('20250815_ETF_Options_Exhibits'!N2295:N2299)),AVERAGE('20250815_ETF_Options_Exhibits'!N2295:N2299),"")</f>
        <v/>
      </c>
      <c r="O2299" s="3">
        <f>IF(ISNUMBER(AVERAGE('20250815_ETF_Options_Exhibits'!O2295:O2299)),AVERAGE('20250815_ETF_Options_Exhibits'!O2295:O2299),"")</f>
        <v/>
      </c>
      <c r="P2299" s="3">
        <f>IF(ISNUMBER(AVERAGE('20250815_ETF_Options_Exhibits'!P2295:P2299)),AVERAGE('20250815_ETF_Options_Exhibits'!P2295:P2299),"")</f>
        <v/>
      </c>
      <c r="Q2299" s="3">
        <f>IF(ISNUMBER(AVERAGE('20250815_ETF_Options_Exhibits'!Q2295:Q2299)),AVERAGE('20250815_ETF_Options_Exhibits'!Q2295:Q2299),"")</f>
        <v/>
      </c>
      <c r="R2299" s="3">
        <f>IF(ISNUMBER(AVERAGE('20250815_ETF_Options_Exhibits'!R2295:R2299)),AVERAGE('20250815_ETF_Options_Exhibits'!R2295:R2299),"")</f>
        <v/>
      </c>
      <c r="S2299" s="3">
        <f>IF(ISNUMBER(AVERAGE('20250815_ETF_Options_Exhibits'!S2295:S2299)),AVERAGE('20250815_ETF_Options_Exhibits'!S2295:S2299),"")</f>
        <v/>
      </c>
      <c r="T2299" s="3">
        <f>IF(ISNUMBER(AVERAGE('20250815_ETF_Options_Exhibits'!T2295:T2299)),AVERAGE('20250815_ETF_Options_Exhibits'!T2295:T2299),"")</f>
        <v/>
      </c>
      <c r="U2299" s="3">
        <f>IF(ISNUMBER(AVERAGE('20250815_ETF_Options_Exhibits'!U2295:U2299)),AVERAGE('20250815_ETF_Options_Exhibits'!U2295:U2299),"")</f>
        <v/>
      </c>
      <c r="V2299" s="3">
        <f>IF(ISNUMBER(AVERAGE('20250815_ETF_Options_Exhibits'!V2295:V2299)),AVERAGE('20250815_ETF_Options_Exhibits'!V2295:V2299),"")</f>
        <v/>
      </c>
      <c r="W2299" s="3">
        <f>IF(ISNUMBER(AVERAGE('20250815_ETF_Options_Exhibits'!W2295:W2299)),AVERAGE('20250815_ETF_Options_Exhibits'!W2295:W2299),"")</f>
        <v/>
      </c>
      <c r="X2299" s="3">
        <f>IF(ISNUMBER(AVERAGE('20250815_ETF_Options_Exhibits'!X2295:X2299)),AVERAGE('20250815_ETF_Options_Exhibits'!X2295:X2299),"")</f>
        <v/>
      </c>
      <c r="Y2299" s="3">
        <f>IF(ISNUMBER(AVERAGE('20250815_ETF_Options_Exhibits'!Y2295:Y2299)),AVERAGE('20250815_ETF_Options_Exhibits'!Y2295:Y2299),"")</f>
        <v/>
      </c>
      <c r="Z2299" s="3">
        <f>IF(ISNUMBER(AVERAGE('20250815_ETF_Options_Exhibits'!Z2295:Z2299)),AVERAGE('20250815_ETF_Options_Exhibits'!Z2295:Z2299),"")</f>
        <v/>
      </c>
      <c r="AA2299" s="3">
        <f>IF(ISNUMBER(AVERAGE('20250815_ETF_Options_Exhibits'!AA2295:AA2299)),AVERAGE('20250815_ETF_Options_Exhibits'!AA2295:AA2299),"")</f>
        <v/>
      </c>
    </row>
    <row r="2300">
      <c r="A2300" s="1" t="n">
        <v>45342</v>
      </c>
      <c r="B2300" s="3">
        <f>IF(ISNUMBER(AVERAGE('20250815_ETF_Options_Exhibits'!B2296:B2300)),AVERAGE('20250815_ETF_Options_Exhibits'!B2296:B2300),"")</f>
        <v/>
      </c>
      <c r="C2300" s="3">
        <f>IF(ISNUMBER(AVERAGE('20250815_ETF_Options_Exhibits'!C2296:C2300)),AVERAGE('20250815_ETF_Options_Exhibits'!C2296:C2300),"")</f>
        <v/>
      </c>
      <c r="D2300" s="3">
        <f>IF(ISNUMBER(AVERAGE('20250815_ETF_Options_Exhibits'!D2296:D2300)),AVERAGE('20250815_ETF_Options_Exhibits'!D2296:D2300),"")</f>
        <v/>
      </c>
      <c r="E2300" s="3">
        <f>IF(ISNUMBER(AVERAGE('20250815_ETF_Options_Exhibits'!E2296:E2300)),AVERAGE('20250815_ETF_Options_Exhibits'!E2296:E2300),"")</f>
        <v/>
      </c>
      <c r="F2300" s="3">
        <f>IF(ISNUMBER(AVERAGE('20250815_ETF_Options_Exhibits'!F2296:F2300)),AVERAGE('20250815_ETF_Options_Exhibits'!F2296:F2300),"")</f>
        <v/>
      </c>
      <c r="G2300" s="3">
        <f>IF(ISNUMBER(AVERAGE('20250815_ETF_Options_Exhibits'!G2296:G2300)),AVERAGE('20250815_ETF_Options_Exhibits'!G2296:G2300),"")</f>
        <v/>
      </c>
      <c r="H2300" s="3">
        <f>IF(ISNUMBER(AVERAGE('20250815_ETF_Options_Exhibits'!H2296:H2300)),AVERAGE('20250815_ETF_Options_Exhibits'!H2296:H2300),"")</f>
        <v/>
      </c>
      <c r="I2300" s="3">
        <f>IF(ISNUMBER(AVERAGE('20250815_ETF_Options_Exhibits'!I2296:I2300)),AVERAGE('20250815_ETF_Options_Exhibits'!I2296:I2300),"")</f>
        <v/>
      </c>
      <c r="J2300" s="3">
        <f>IF(ISNUMBER(AVERAGE('20250815_ETF_Options_Exhibits'!J2296:J2300)),AVERAGE('20250815_ETF_Options_Exhibits'!J2296:J2300),"")</f>
        <v/>
      </c>
      <c r="K2300" s="3">
        <f>IF(ISNUMBER(AVERAGE('20250815_ETF_Options_Exhibits'!K2296:K2300)),AVERAGE('20250815_ETF_Options_Exhibits'!K2296:K2300),"")</f>
        <v/>
      </c>
      <c r="L2300" s="3">
        <f>IF(ISNUMBER(AVERAGE('20250815_ETF_Options_Exhibits'!L2296:L2300)),AVERAGE('20250815_ETF_Options_Exhibits'!L2296:L2300),"")</f>
        <v/>
      </c>
      <c r="M2300" s="3">
        <f>IF(ISNUMBER(AVERAGE('20250815_ETF_Options_Exhibits'!M2296:M2300)),AVERAGE('20250815_ETF_Options_Exhibits'!M2296:M2300),"")</f>
        <v/>
      </c>
      <c r="N2300" s="3">
        <f>IF(ISNUMBER(AVERAGE('20250815_ETF_Options_Exhibits'!N2296:N2300)),AVERAGE('20250815_ETF_Options_Exhibits'!N2296:N2300),"")</f>
        <v/>
      </c>
      <c r="O2300" s="3">
        <f>IF(ISNUMBER(AVERAGE('20250815_ETF_Options_Exhibits'!O2296:O2300)),AVERAGE('20250815_ETF_Options_Exhibits'!O2296:O2300),"")</f>
        <v/>
      </c>
      <c r="P2300" s="3">
        <f>IF(ISNUMBER(AVERAGE('20250815_ETF_Options_Exhibits'!P2296:P2300)),AVERAGE('20250815_ETF_Options_Exhibits'!P2296:P2300),"")</f>
        <v/>
      </c>
      <c r="Q2300" s="3">
        <f>IF(ISNUMBER(AVERAGE('20250815_ETF_Options_Exhibits'!Q2296:Q2300)),AVERAGE('20250815_ETF_Options_Exhibits'!Q2296:Q2300),"")</f>
        <v/>
      </c>
      <c r="R2300" s="3">
        <f>IF(ISNUMBER(AVERAGE('20250815_ETF_Options_Exhibits'!R2296:R2300)),AVERAGE('20250815_ETF_Options_Exhibits'!R2296:R2300),"")</f>
        <v/>
      </c>
      <c r="S2300" s="3">
        <f>IF(ISNUMBER(AVERAGE('20250815_ETF_Options_Exhibits'!S2296:S2300)),AVERAGE('20250815_ETF_Options_Exhibits'!S2296:S2300),"")</f>
        <v/>
      </c>
      <c r="T2300" s="3">
        <f>IF(ISNUMBER(AVERAGE('20250815_ETF_Options_Exhibits'!T2296:T2300)),AVERAGE('20250815_ETF_Options_Exhibits'!T2296:T2300),"")</f>
        <v/>
      </c>
      <c r="U2300" s="3">
        <f>IF(ISNUMBER(AVERAGE('20250815_ETF_Options_Exhibits'!U2296:U2300)),AVERAGE('20250815_ETF_Options_Exhibits'!U2296:U2300),"")</f>
        <v/>
      </c>
      <c r="V2300" s="3">
        <f>IF(ISNUMBER(AVERAGE('20250815_ETF_Options_Exhibits'!V2296:V2300)),AVERAGE('20250815_ETF_Options_Exhibits'!V2296:V2300),"")</f>
        <v/>
      </c>
      <c r="W2300" s="3">
        <f>IF(ISNUMBER(AVERAGE('20250815_ETF_Options_Exhibits'!W2296:W2300)),AVERAGE('20250815_ETF_Options_Exhibits'!W2296:W2300),"")</f>
        <v/>
      </c>
      <c r="X2300" s="3">
        <f>IF(ISNUMBER(AVERAGE('20250815_ETF_Options_Exhibits'!X2296:X2300)),AVERAGE('20250815_ETF_Options_Exhibits'!X2296:X2300),"")</f>
        <v/>
      </c>
      <c r="Y2300" s="3">
        <f>IF(ISNUMBER(AVERAGE('20250815_ETF_Options_Exhibits'!Y2296:Y2300)),AVERAGE('20250815_ETF_Options_Exhibits'!Y2296:Y2300),"")</f>
        <v/>
      </c>
      <c r="Z2300" s="3">
        <f>IF(ISNUMBER(AVERAGE('20250815_ETF_Options_Exhibits'!Z2296:Z2300)),AVERAGE('20250815_ETF_Options_Exhibits'!Z2296:Z2300),"")</f>
        <v/>
      </c>
      <c r="AA2300" s="3">
        <f>IF(ISNUMBER(AVERAGE('20250815_ETF_Options_Exhibits'!AA2296:AA2300)),AVERAGE('20250815_ETF_Options_Exhibits'!AA2296:AA2300),"")</f>
        <v/>
      </c>
    </row>
    <row r="2301">
      <c r="A2301" s="1" t="n">
        <v>45343</v>
      </c>
      <c r="B2301" s="3">
        <f>IF(ISNUMBER(AVERAGE('20250815_ETF_Options_Exhibits'!B2297:B2301)),AVERAGE('20250815_ETF_Options_Exhibits'!B2297:B2301),"")</f>
        <v/>
      </c>
      <c r="C2301" s="3">
        <f>IF(ISNUMBER(AVERAGE('20250815_ETF_Options_Exhibits'!C2297:C2301)),AVERAGE('20250815_ETF_Options_Exhibits'!C2297:C2301),"")</f>
        <v/>
      </c>
      <c r="D2301" s="3">
        <f>IF(ISNUMBER(AVERAGE('20250815_ETF_Options_Exhibits'!D2297:D2301)),AVERAGE('20250815_ETF_Options_Exhibits'!D2297:D2301),"")</f>
        <v/>
      </c>
      <c r="E2301" s="3">
        <f>IF(ISNUMBER(AVERAGE('20250815_ETF_Options_Exhibits'!E2297:E2301)),AVERAGE('20250815_ETF_Options_Exhibits'!E2297:E2301),"")</f>
        <v/>
      </c>
      <c r="F2301" s="3">
        <f>IF(ISNUMBER(AVERAGE('20250815_ETF_Options_Exhibits'!F2297:F2301)),AVERAGE('20250815_ETF_Options_Exhibits'!F2297:F2301),"")</f>
        <v/>
      </c>
      <c r="G2301" s="3">
        <f>IF(ISNUMBER(AVERAGE('20250815_ETF_Options_Exhibits'!G2297:G2301)),AVERAGE('20250815_ETF_Options_Exhibits'!G2297:G2301),"")</f>
        <v/>
      </c>
      <c r="H2301" s="3">
        <f>IF(ISNUMBER(AVERAGE('20250815_ETF_Options_Exhibits'!H2297:H2301)),AVERAGE('20250815_ETF_Options_Exhibits'!H2297:H2301),"")</f>
        <v/>
      </c>
      <c r="I2301" s="3">
        <f>IF(ISNUMBER(AVERAGE('20250815_ETF_Options_Exhibits'!I2297:I2301)),AVERAGE('20250815_ETF_Options_Exhibits'!I2297:I2301),"")</f>
        <v/>
      </c>
      <c r="J2301" s="3">
        <f>IF(ISNUMBER(AVERAGE('20250815_ETF_Options_Exhibits'!J2297:J2301)),AVERAGE('20250815_ETF_Options_Exhibits'!J2297:J2301),"")</f>
        <v/>
      </c>
      <c r="K2301" s="3">
        <f>IF(ISNUMBER(AVERAGE('20250815_ETF_Options_Exhibits'!K2297:K2301)),AVERAGE('20250815_ETF_Options_Exhibits'!K2297:K2301),"")</f>
        <v/>
      </c>
      <c r="L2301" s="3">
        <f>IF(ISNUMBER(AVERAGE('20250815_ETF_Options_Exhibits'!L2297:L2301)),AVERAGE('20250815_ETF_Options_Exhibits'!L2297:L2301),"")</f>
        <v/>
      </c>
      <c r="M2301" s="3">
        <f>IF(ISNUMBER(AVERAGE('20250815_ETF_Options_Exhibits'!M2297:M2301)),AVERAGE('20250815_ETF_Options_Exhibits'!M2297:M2301),"")</f>
        <v/>
      </c>
      <c r="N2301" s="3">
        <f>IF(ISNUMBER(AVERAGE('20250815_ETF_Options_Exhibits'!N2297:N2301)),AVERAGE('20250815_ETF_Options_Exhibits'!N2297:N2301),"")</f>
        <v/>
      </c>
      <c r="O2301" s="3">
        <f>IF(ISNUMBER(AVERAGE('20250815_ETF_Options_Exhibits'!O2297:O2301)),AVERAGE('20250815_ETF_Options_Exhibits'!O2297:O2301),"")</f>
        <v/>
      </c>
      <c r="P2301" s="3">
        <f>IF(ISNUMBER(AVERAGE('20250815_ETF_Options_Exhibits'!P2297:P2301)),AVERAGE('20250815_ETF_Options_Exhibits'!P2297:P2301),"")</f>
        <v/>
      </c>
      <c r="Q2301" s="3">
        <f>IF(ISNUMBER(AVERAGE('20250815_ETF_Options_Exhibits'!Q2297:Q2301)),AVERAGE('20250815_ETF_Options_Exhibits'!Q2297:Q2301),"")</f>
        <v/>
      </c>
      <c r="R2301" s="3">
        <f>IF(ISNUMBER(AVERAGE('20250815_ETF_Options_Exhibits'!R2297:R2301)),AVERAGE('20250815_ETF_Options_Exhibits'!R2297:R2301),"")</f>
        <v/>
      </c>
      <c r="S2301" s="3">
        <f>IF(ISNUMBER(AVERAGE('20250815_ETF_Options_Exhibits'!S2297:S2301)),AVERAGE('20250815_ETF_Options_Exhibits'!S2297:S2301),"")</f>
        <v/>
      </c>
      <c r="T2301" s="3">
        <f>IF(ISNUMBER(AVERAGE('20250815_ETF_Options_Exhibits'!T2297:T2301)),AVERAGE('20250815_ETF_Options_Exhibits'!T2297:T2301),"")</f>
        <v/>
      </c>
      <c r="U2301" s="3">
        <f>IF(ISNUMBER(AVERAGE('20250815_ETF_Options_Exhibits'!U2297:U2301)),AVERAGE('20250815_ETF_Options_Exhibits'!U2297:U2301),"")</f>
        <v/>
      </c>
      <c r="V2301" s="3">
        <f>IF(ISNUMBER(AVERAGE('20250815_ETF_Options_Exhibits'!V2297:V2301)),AVERAGE('20250815_ETF_Options_Exhibits'!V2297:V2301),"")</f>
        <v/>
      </c>
      <c r="W2301" s="3">
        <f>IF(ISNUMBER(AVERAGE('20250815_ETF_Options_Exhibits'!W2297:W2301)),AVERAGE('20250815_ETF_Options_Exhibits'!W2297:W2301),"")</f>
        <v/>
      </c>
      <c r="X2301" s="3">
        <f>IF(ISNUMBER(AVERAGE('20250815_ETF_Options_Exhibits'!X2297:X2301)),AVERAGE('20250815_ETF_Options_Exhibits'!X2297:X2301),"")</f>
        <v/>
      </c>
      <c r="Y2301" s="3">
        <f>IF(ISNUMBER(AVERAGE('20250815_ETF_Options_Exhibits'!Y2297:Y2301)),AVERAGE('20250815_ETF_Options_Exhibits'!Y2297:Y2301),"")</f>
        <v/>
      </c>
      <c r="Z2301" s="3">
        <f>IF(ISNUMBER(AVERAGE('20250815_ETF_Options_Exhibits'!Z2297:Z2301)),AVERAGE('20250815_ETF_Options_Exhibits'!Z2297:Z2301),"")</f>
        <v/>
      </c>
      <c r="AA2301" s="3">
        <f>IF(ISNUMBER(AVERAGE('20250815_ETF_Options_Exhibits'!AA2297:AA2301)),AVERAGE('20250815_ETF_Options_Exhibits'!AA2297:AA2301),"")</f>
        <v/>
      </c>
    </row>
    <row r="2302">
      <c r="A2302" s="1" t="n">
        <v>45344</v>
      </c>
      <c r="B2302" s="3">
        <f>IF(ISNUMBER(AVERAGE('20250815_ETF_Options_Exhibits'!B2298:B2302)),AVERAGE('20250815_ETF_Options_Exhibits'!B2298:B2302),"")</f>
        <v/>
      </c>
      <c r="C2302" s="3">
        <f>IF(ISNUMBER(AVERAGE('20250815_ETF_Options_Exhibits'!C2298:C2302)),AVERAGE('20250815_ETF_Options_Exhibits'!C2298:C2302),"")</f>
        <v/>
      </c>
      <c r="D2302" s="3">
        <f>IF(ISNUMBER(AVERAGE('20250815_ETF_Options_Exhibits'!D2298:D2302)),AVERAGE('20250815_ETF_Options_Exhibits'!D2298:D2302),"")</f>
        <v/>
      </c>
      <c r="E2302" s="3">
        <f>IF(ISNUMBER(AVERAGE('20250815_ETF_Options_Exhibits'!E2298:E2302)),AVERAGE('20250815_ETF_Options_Exhibits'!E2298:E2302),"")</f>
        <v/>
      </c>
      <c r="F2302" s="3">
        <f>IF(ISNUMBER(AVERAGE('20250815_ETF_Options_Exhibits'!F2298:F2302)),AVERAGE('20250815_ETF_Options_Exhibits'!F2298:F2302),"")</f>
        <v/>
      </c>
      <c r="G2302" s="3">
        <f>IF(ISNUMBER(AVERAGE('20250815_ETF_Options_Exhibits'!G2298:G2302)),AVERAGE('20250815_ETF_Options_Exhibits'!G2298:G2302),"")</f>
        <v/>
      </c>
      <c r="H2302" s="3">
        <f>IF(ISNUMBER(AVERAGE('20250815_ETF_Options_Exhibits'!H2298:H2302)),AVERAGE('20250815_ETF_Options_Exhibits'!H2298:H2302),"")</f>
        <v/>
      </c>
      <c r="I2302" s="3">
        <f>IF(ISNUMBER(AVERAGE('20250815_ETF_Options_Exhibits'!I2298:I2302)),AVERAGE('20250815_ETF_Options_Exhibits'!I2298:I2302),"")</f>
        <v/>
      </c>
      <c r="J2302" s="3">
        <f>IF(ISNUMBER(AVERAGE('20250815_ETF_Options_Exhibits'!J2298:J2302)),AVERAGE('20250815_ETF_Options_Exhibits'!J2298:J2302),"")</f>
        <v/>
      </c>
      <c r="K2302" s="3">
        <f>IF(ISNUMBER(AVERAGE('20250815_ETF_Options_Exhibits'!K2298:K2302)),AVERAGE('20250815_ETF_Options_Exhibits'!K2298:K2302),"")</f>
        <v/>
      </c>
      <c r="L2302" s="3">
        <f>IF(ISNUMBER(AVERAGE('20250815_ETF_Options_Exhibits'!L2298:L2302)),AVERAGE('20250815_ETF_Options_Exhibits'!L2298:L2302),"")</f>
        <v/>
      </c>
      <c r="M2302" s="3">
        <f>IF(ISNUMBER(AVERAGE('20250815_ETF_Options_Exhibits'!M2298:M2302)),AVERAGE('20250815_ETF_Options_Exhibits'!M2298:M2302),"")</f>
        <v/>
      </c>
      <c r="N2302" s="3">
        <f>IF(ISNUMBER(AVERAGE('20250815_ETF_Options_Exhibits'!N2298:N2302)),AVERAGE('20250815_ETF_Options_Exhibits'!N2298:N2302),"")</f>
        <v/>
      </c>
      <c r="O2302" s="3">
        <f>IF(ISNUMBER(AVERAGE('20250815_ETF_Options_Exhibits'!O2298:O2302)),AVERAGE('20250815_ETF_Options_Exhibits'!O2298:O2302),"")</f>
        <v/>
      </c>
      <c r="P2302" s="3">
        <f>IF(ISNUMBER(AVERAGE('20250815_ETF_Options_Exhibits'!P2298:P2302)),AVERAGE('20250815_ETF_Options_Exhibits'!P2298:P2302),"")</f>
        <v/>
      </c>
      <c r="Q2302" s="3">
        <f>IF(ISNUMBER(AVERAGE('20250815_ETF_Options_Exhibits'!Q2298:Q2302)),AVERAGE('20250815_ETF_Options_Exhibits'!Q2298:Q2302),"")</f>
        <v/>
      </c>
      <c r="R2302" s="3">
        <f>IF(ISNUMBER(AVERAGE('20250815_ETF_Options_Exhibits'!R2298:R2302)),AVERAGE('20250815_ETF_Options_Exhibits'!R2298:R2302),"")</f>
        <v/>
      </c>
      <c r="S2302" s="3">
        <f>IF(ISNUMBER(AVERAGE('20250815_ETF_Options_Exhibits'!S2298:S2302)),AVERAGE('20250815_ETF_Options_Exhibits'!S2298:S2302),"")</f>
        <v/>
      </c>
      <c r="T2302" s="3">
        <f>IF(ISNUMBER(AVERAGE('20250815_ETF_Options_Exhibits'!T2298:T2302)),AVERAGE('20250815_ETF_Options_Exhibits'!T2298:T2302),"")</f>
        <v/>
      </c>
      <c r="U2302" s="3">
        <f>IF(ISNUMBER(AVERAGE('20250815_ETF_Options_Exhibits'!U2298:U2302)),AVERAGE('20250815_ETF_Options_Exhibits'!U2298:U2302),"")</f>
        <v/>
      </c>
      <c r="V2302" s="3">
        <f>IF(ISNUMBER(AVERAGE('20250815_ETF_Options_Exhibits'!V2298:V2302)),AVERAGE('20250815_ETF_Options_Exhibits'!V2298:V2302),"")</f>
        <v/>
      </c>
      <c r="W2302" s="3">
        <f>IF(ISNUMBER(AVERAGE('20250815_ETF_Options_Exhibits'!W2298:W2302)),AVERAGE('20250815_ETF_Options_Exhibits'!W2298:W2302),"")</f>
        <v/>
      </c>
      <c r="X2302" s="3">
        <f>IF(ISNUMBER(AVERAGE('20250815_ETF_Options_Exhibits'!X2298:X2302)),AVERAGE('20250815_ETF_Options_Exhibits'!X2298:X2302),"")</f>
        <v/>
      </c>
      <c r="Y2302" s="3">
        <f>IF(ISNUMBER(AVERAGE('20250815_ETF_Options_Exhibits'!Y2298:Y2302)),AVERAGE('20250815_ETF_Options_Exhibits'!Y2298:Y2302),"")</f>
        <v/>
      </c>
      <c r="Z2302" s="3">
        <f>IF(ISNUMBER(AVERAGE('20250815_ETF_Options_Exhibits'!Z2298:Z2302)),AVERAGE('20250815_ETF_Options_Exhibits'!Z2298:Z2302),"")</f>
        <v/>
      </c>
      <c r="AA2302" s="3">
        <f>IF(ISNUMBER(AVERAGE('20250815_ETF_Options_Exhibits'!AA2298:AA2302)),AVERAGE('20250815_ETF_Options_Exhibits'!AA2298:AA2302),"")</f>
        <v/>
      </c>
    </row>
    <row r="2303">
      <c r="A2303" s="1" t="n">
        <v>45345</v>
      </c>
      <c r="B2303" s="3">
        <f>IF(ISNUMBER(AVERAGE('20250815_ETF_Options_Exhibits'!B2299:B2303)),AVERAGE('20250815_ETF_Options_Exhibits'!B2299:B2303),"")</f>
        <v/>
      </c>
      <c r="C2303" s="3">
        <f>IF(ISNUMBER(AVERAGE('20250815_ETF_Options_Exhibits'!C2299:C2303)),AVERAGE('20250815_ETF_Options_Exhibits'!C2299:C2303),"")</f>
        <v/>
      </c>
      <c r="D2303" s="3">
        <f>IF(ISNUMBER(AVERAGE('20250815_ETF_Options_Exhibits'!D2299:D2303)),AVERAGE('20250815_ETF_Options_Exhibits'!D2299:D2303),"")</f>
        <v/>
      </c>
      <c r="E2303" s="3">
        <f>IF(ISNUMBER(AVERAGE('20250815_ETF_Options_Exhibits'!E2299:E2303)),AVERAGE('20250815_ETF_Options_Exhibits'!E2299:E2303),"")</f>
        <v/>
      </c>
      <c r="F2303" s="3">
        <f>IF(ISNUMBER(AVERAGE('20250815_ETF_Options_Exhibits'!F2299:F2303)),AVERAGE('20250815_ETF_Options_Exhibits'!F2299:F2303),"")</f>
        <v/>
      </c>
      <c r="G2303" s="3">
        <f>IF(ISNUMBER(AVERAGE('20250815_ETF_Options_Exhibits'!G2299:G2303)),AVERAGE('20250815_ETF_Options_Exhibits'!G2299:G2303),"")</f>
        <v/>
      </c>
      <c r="H2303" s="3">
        <f>IF(ISNUMBER(AVERAGE('20250815_ETF_Options_Exhibits'!H2299:H2303)),AVERAGE('20250815_ETF_Options_Exhibits'!H2299:H2303),"")</f>
        <v/>
      </c>
      <c r="I2303" s="3">
        <f>IF(ISNUMBER(AVERAGE('20250815_ETF_Options_Exhibits'!I2299:I2303)),AVERAGE('20250815_ETF_Options_Exhibits'!I2299:I2303),"")</f>
        <v/>
      </c>
      <c r="J2303" s="3">
        <f>IF(ISNUMBER(AVERAGE('20250815_ETF_Options_Exhibits'!J2299:J2303)),AVERAGE('20250815_ETF_Options_Exhibits'!J2299:J2303),"")</f>
        <v/>
      </c>
      <c r="K2303" s="3">
        <f>IF(ISNUMBER(AVERAGE('20250815_ETF_Options_Exhibits'!K2299:K2303)),AVERAGE('20250815_ETF_Options_Exhibits'!K2299:K2303),"")</f>
        <v/>
      </c>
      <c r="L2303" s="3">
        <f>IF(ISNUMBER(AVERAGE('20250815_ETF_Options_Exhibits'!L2299:L2303)),AVERAGE('20250815_ETF_Options_Exhibits'!L2299:L2303),"")</f>
        <v/>
      </c>
      <c r="M2303" s="3">
        <f>IF(ISNUMBER(AVERAGE('20250815_ETF_Options_Exhibits'!M2299:M2303)),AVERAGE('20250815_ETF_Options_Exhibits'!M2299:M2303),"")</f>
        <v/>
      </c>
      <c r="N2303" s="3">
        <f>IF(ISNUMBER(AVERAGE('20250815_ETF_Options_Exhibits'!N2299:N2303)),AVERAGE('20250815_ETF_Options_Exhibits'!N2299:N2303),"")</f>
        <v/>
      </c>
      <c r="O2303" s="3">
        <f>IF(ISNUMBER(AVERAGE('20250815_ETF_Options_Exhibits'!O2299:O2303)),AVERAGE('20250815_ETF_Options_Exhibits'!O2299:O2303),"")</f>
        <v/>
      </c>
      <c r="P2303" s="3">
        <f>IF(ISNUMBER(AVERAGE('20250815_ETF_Options_Exhibits'!P2299:P2303)),AVERAGE('20250815_ETF_Options_Exhibits'!P2299:P2303),"")</f>
        <v/>
      </c>
      <c r="Q2303" s="3">
        <f>IF(ISNUMBER(AVERAGE('20250815_ETF_Options_Exhibits'!Q2299:Q2303)),AVERAGE('20250815_ETF_Options_Exhibits'!Q2299:Q2303),"")</f>
        <v/>
      </c>
      <c r="R2303" s="3">
        <f>IF(ISNUMBER(AVERAGE('20250815_ETF_Options_Exhibits'!R2299:R2303)),AVERAGE('20250815_ETF_Options_Exhibits'!R2299:R2303),"")</f>
        <v/>
      </c>
      <c r="S2303" s="3">
        <f>IF(ISNUMBER(AVERAGE('20250815_ETF_Options_Exhibits'!S2299:S2303)),AVERAGE('20250815_ETF_Options_Exhibits'!S2299:S2303),"")</f>
        <v/>
      </c>
      <c r="T2303" s="3">
        <f>IF(ISNUMBER(AVERAGE('20250815_ETF_Options_Exhibits'!T2299:T2303)),AVERAGE('20250815_ETF_Options_Exhibits'!T2299:T2303),"")</f>
        <v/>
      </c>
      <c r="U2303" s="3">
        <f>IF(ISNUMBER(AVERAGE('20250815_ETF_Options_Exhibits'!U2299:U2303)),AVERAGE('20250815_ETF_Options_Exhibits'!U2299:U2303),"")</f>
        <v/>
      </c>
      <c r="V2303" s="3">
        <f>IF(ISNUMBER(AVERAGE('20250815_ETF_Options_Exhibits'!V2299:V2303)),AVERAGE('20250815_ETF_Options_Exhibits'!V2299:V2303),"")</f>
        <v/>
      </c>
      <c r="W2303" s="3">
        <f>IF(ISNUMBER(AVERAGE('20250815_ETF_Options_Exhibits'!W2299:W2303)),AVERAGE('20250815_ETF_Options_Exhibits'!W2299:W2303),"")</f>
        <v/>
      </c>
      <c r="X2303" s="3">
        <f>IF(ISNUMBER(AVERAGE('20250815_ETF_Options_Exhibits'!X2299:X2303)),AVERAGE('20250815_ETF_Options_Exhibits'!X2299:X2303),"")</f>
        <v/>
      </c>
      <c r="Y2303" s="3">
        <f>IF(ISNUMBER(AVERAGE('20250815_ETF_Options_Exhibits'!Y2299:Y2303)),AVERAGE('20250815_ETF_Options_Exhibits'!Y2299:Y2303),"")</f>
        <v/>
      </c>
      <c r="Z2303" s="3">
        <f>IF(ISNUMBER(AVERAGE('20250815_ETF_Options_Exhibits'!Z2299:Z2303)),AVERAGE('20250815_ETF_Options_Exhibits'!Z2299:Z2303),"")</f>
        <v/>
      </c>
      <c r="AA2303" s="3">
        <f>IF(ISNUMBER(AVERAGE('20250815_ETF_Options_Exhibits'!AA2299:AA2303)),AVERAGE('20250815_ETF_Options_Exhibits'!AA2299:AA2303),"")</f>
        <v/>
      </c>
    </row>
    <row r="2304">
      <c r="A2304" s="1" t="n">
        <v>45348</v>
      </c>
      <c r="B2304" s="3">
        <f>IF(ISNUMBER(AVERAGE('20250815_ETF_Options_Exhibits'!B2300:B2304)),AVERAGE('20250815_ETF_Options_Exhibits'!B2300:B2304),"")</f>
        <v/>
      </c>
      <c r="C2304" s="3">
        <f>IF(ISNUMBER(AVERAGE('20250815_ETF_Options_Exhibits'!C2300:C2304)),AVERAGE('20250815_ETF_Options_Exhibits'!C2300:C2304),"")</f>
        <v/>
      </c>
      <c r="D2304" s="3">
        <f>IF(ISNUMBER(AVERAGE('20250815_ETF_Options_Exhibits'!D2300:D2304)),AVERAGE('20250815_ETF_Options_Exhibits'!D2300:D2304),"")</f>
        <v/>
      </c>
      <c r="E2304" s="3">
        <f>IF(ISNUMBER(AVERAGE('20250815_ETF_Options_Exhibits'!E2300:E2304)),AVERAGE('20250815_ETF_Options_Exhibits'!E2300:E2304),"")</f>
        <v/>
      </c>
      <c r="F2304" s="3">
        <f>IF(ISNUMBER(AVERAGE('20250815_ETF_Options_Exhibits'!F2300:F2304)),AVERAGE('20250815_ETF_Options_Exhibits'!F2300:F2304),"")</f>
        <v/>
      </c>
      <c r="G2304" s="3">
        <f>IF(ISNUMBER(AVERAGE('20250815_ETF_Options_Exhibits'!G2300:G2304)),AVERAGE('20250815_ETF_Options_Exhibits'!G2300:G2304),"")</f>
        <v/>
      </c>
      <c r="H2304" s="3">
        <f>IF(ISNUMBER(AVERAGE('20250815_ETF_Options_Exhibits'!H2300:H2304)),AVERAGE('20250815_ETF_Options_Exhibits'!H2300:H2304),"")</f>
        <v/>
      </c>
      <c r="I2304" s="3">
        <f>IF(ISNUMBER(AVERAGE('20250815_ETF_Options_Exhibits'!I2300:I2304)),AVERAGE('20250815_ETF_Options_Exhibits'!I2300:I2304),"")</f>
        <v/>
      </c>
      <c r="J2304" s="3">
        <f>IF(ISNUMBER(AVERAGE('20250815_ETF_Options_Exhibits'!J2300:J2304)),AVERAGE('20250815_ETF_Options_Exhibits'!J2300:J2304),"")</f>
        <v/>
      </c>
      <c r="K2304" s="3">
        <f>IF(ISNUMBER(AVERAGE('20250815_ETF_Options_Exhibits'!K2300:K2304)),AVERAGE('20250815_ETF_Options_Exhibits'!K2300:K2304),"")</f>
        <v/>
      </c>
      <c r="L2304" s="3">
        <f>IF(ISNUMBER(AVERAGE('20250815_ETF_Options_Exhibits'!L2300:L2304)),AVERAGE('20250815_ETF_Options_Exhibits'!L2300:L2304),"")</f>
        <v/>
      </c>
      <c r="M2304" s="3">
        <f>IF(ISNUMBER(AVERAGE('20250815_ETF_Options_Exhibits'!M2300:M2304)),AVERAGE('20250815_ETF_Options_Exhibits'!M2300:M2304),"")</f>
        <v/>
      </c>
      <c r="N2304" s="3">
        <f>IF(ISNUMBER(AVERAGE('20250815_ETF_Options_Exhibits'!N2300:N2304)),AVERAGE('20250815_ETF_Options_Exhibits'!N2300:N2304),"")</f>
        <v/>
      </c>
      <c r="O2304" s="3">
        <f>IF(ISNUMBER(AVERAGE('20250815_ETF_Options_Exhibits'!O2300:O2304)),AVERAGE('20250815_ETF_Options_Exhibits'!O2300:O2304),"")</f>
        <v/>
      </c>
      <c r="P2304" s="3">
        <f>IF(ISNUMBER(AVERAGE('20250815_ETF_Options_Exhibits'!P2300:P2304)),AVERAGE('20250815_ETF_Options_Exhibits'!P2300:P2304),"")</f>
        <v/>
      </c>
      <c r="Q2304" s="3">
        <f>IF(ISNUMBER(AVERAGE('20250815_ETF_Options_Exhibits'!Q2300:Q2304)),AVERAGE('20250815_ETF_Options_Exhibits'!Q2300:Q2304),"")</f>
        <v/>
      </c>
      <c r="R2304" s="3">
        <f>IF(ISNUMBER(AVERAGE('20250815_ETF_Options_Exhibits'!R2300:R2304)),AVERAGE('20250815_ETF_Options_Exhibits'!R2300:R2304),"")</f>
        <v/>
      </c>
      <c r="S2304" s="3">
        <f>IF(ISNUMBER(AVERAGE('20250815_ETF_Options_Exhibits'!S2300:S2304)),AVERAGE('20250815_ETF_Options_Exhibits'!S2300:S2304),"")</f>
        <v/>
      </c>
      <c r="T2304" s="3">
        <f>IF(ISNUMBER(AVERAGE('20250815_ETF_Options_Exhibits'!T2300:T2304)),AVERAGE('20250815_ETF_Options_Exhibits'!T2300:T2304),"")</f>
        <v/>
      </c>
      <c r="U2304" s="3">
        <f>IF(ISNUMBER(AVERAGE('20250815_ETF_Options_Exhibits'!U2300:U2304)),AVERAGE('20250815_ETF_Options_Exhibits'!U2300:U2304),"")</f>
        <v/>
      </c>
      <c r="V2304" s="3">
        <f>IF(ISNUMBER(AVERAGE('20250815_ETF_Options_Exhibits'!V2300:V2304)),AVERAGE('20250815_ETF_Options_Exhibits'!V2300:V2304),"")</f>
        <v/>
      </c>
      <c r="W2304" s="3">
        <f>IF(ISNUMBER(AVERAGE('20250815_ETF_Options_Exhibits'!W2300:W2304)),AVERAGE('20250815_ETF_Options_Exhibits'!W2300:W2304),"")</f>
        <v/>
      </c>
      <c r="X2304" s="3">
        <f>IF(ISNUMBER(AVERAGE('20250815_ETF_Options_Exhibits'!X2300:X2304)),AVERAGE('20250815_ETF_Options_Exhibits'!X2300:X2304),"")</f>
        <v/>
      </c>
      <c r="Y2304" s="3">
        <f>IF(ISNUMBER(AVERAGE('20250815_ETF_Options_Exhibits'!Y2300:Y2304)),AVERAGE('20250815_ETF_Options_Exhibits'!Y2300:Y2304),"")</f>
        <v/>
      </c>
      <c r="Z2304" s="3">
        <f>IF(ISNUMBER(AVERAGE('20250815_ETF_Options_Exhibits'!Z2300:Z2304)),AVERAGE('20250815_ETF_Options_Exhibits'!Z2300:Z2304),"")</f>
        <v/>
      </c>
      <c r="AA2304" s="3">
        <f>IF(ISNUMBER(AVERAGE('20250815_ETF_Options_Exhibits'!AA2300:AA2304)),AVERAGE('20250815_ETF_Options_Exhibits'!AA2300:AA2304),"")</f>
        <v/>
      </c>
    </row>
    <row r="2305">
      <c r="A2305" s="1" t="n">
        <v>45349</v>
      </c>
      <c r="B2305" s="3">
        <f>IF(ISNUMBER(AVERAGE('20250815_ETF_Options_Exhibits'!B2301:B2305)),AVERAGE('20250815_ETF_Options_Exhibits'!B2301:B2305),"")</f>
        <v/>
      </c>
      <c r="C2305" s="3">
        <f>IF(ISNUMBER(AVERAGE('20250815_ETF_Options_Exhibits'!C2301:C2305)),AVERAGE('20250815_ETF_Options_Exhibits'!C2301:C2305),"")</f>
        <v/>
      </c>
      <c r="D2305" s="3">
        <f>IF(ISNUMBER(AVERAGE('20250815_ETF_Options_Exhibits'!D2301:D2305)),AVERAGE('20250815_ETF_Options_Exhibits'!D2301:D2305),"")</f>
        <v/>
      </c>
      <c r="E2305" s="3">
        <f>IF(ISNUMBER(AVERAGE('20250815_ETF_Options_Exhibits'!E2301:E2305)),AVERAGE('20250815_ETF_Options_Exhibits'!E2301:E2305),"")</f>
        <v/>
      </c>
      <c r="F2305" s="3">
        <f>IF(ISNUMBER(AVERAGE('20250815_ETF_Options_Exhibits'!F2301:F2305)),AVERAGE('20250815_ETF_Options_Exhibits'!F2301:F2305),"")</f>
        <v/>
      </c>
      <c r="G2305" s="3">
        <f>IF(ISNUMBER(AVERAGE('20250815_ETF_Options_Exhibits'!G2301:G2305)),AVERAGE('20250815_ETF_Options_Exhibits'!G2301:G2305),"")</f>
        <v/>
      </c>
      <c r="H2305" s="3">
        <f>IF(ISNUMBER(AVERAGE('20250815_ETF_Options_Exhibits'!H2301:H2305)),AVERAGE('20250815_ETF_Options_Exhibits'!H2301:H2305),"")</f>
        <v/>
      </c>
      <c r="I2305" s="3">
        <f>IF(ISNUMBER(AVERAGE('20250815_ETF_Options_Exhibits'!I2301:I2305)),AVERAGE('20250815_ETF_Options_Exhibits'!I2301:I2305),"")</f>
        <v/>
      </c>
      <c r="J2305" s="3">
        <f>IF(ISNUMBER(AVERAGE('20250815_ETF_Options_Exhibits'!J2301:J2305)),AVERAGE('20250815_ETF_Options_Exhibits'!J2301:J2305),"")</f>
        <v/>
      </c>
      <c r="K2305" s="3">
        <f>IF(ISNUMBER(AVERAGE('20250815_ETF_Options_Exhibits'!K2301:K2305)),AVERAGE('20250815_ETF_Options_Exhibits'!K2301:K2305),"")</f>
        <v/>
      </c>
      <c r="L2305" s="3">
        <f>IF(ISNUMBER(AVERAGE('20250815_ETF_Options_Exhibits'!L2301:L2305)),AVERAGE('20250815_ETF_Options_Exhibits'!L2301:L2305),"")</f>
        <v/>
      </c>
      <c r="M2305" s="3">
        <f>IF(ISNUMBER(AVERAGE('20250815_ETF_Options_Exhibits'!M2301:M2305)),AVERAGE('20250815_ETF_Options_Exhibits'!M2301:M2305),"")</f>
        <v/>
      </c>
      <c r="N2305" s="3">
        <f>IF(ISNUMBER(AVERAGE('20250815_ETF_Options_Exhibits'!N2301:N2305)),AVERAGE('20250815_ETF_Options_Exhibits'!N2301:N2305),"")</f>
        <v/>
      </c>
      <c r="O2305" s="3">
        <f>IF(ISNUMBER(AVERAGE('20250815_ETF_Options_Exhibits'!O2301:O2305)),AVERAGE('20250815_ETF_Options_Exhibits'!O2301:O2305),"")</f>
        <v/>
      </c>
      <c r="P2305" s="3">
        <f>IF(ISNUMBER(AVERAGE('20250815_ETF_Options_Exhibits'!P2301:P2305)),AVERAGE('20250815_ETF_Options_Exhibits'!P2301:P2305),"")</f>
        <v/>
      </c>
      <c r="Q2305" s="3">
        <f>IF(ISNUMBER(AVERAGE('20250815_ETF_Options_Exhibits'!Q2301:Q2305)),AVERAGE('20250815_ETF_Options_Exhibits'!Q2301:Q2305),"")</f>
        <v/>
      </c>
      <c r="R2305" s="3">
        <f>IF(ISNUMBER(AVERAGE('20250815_ETF_Options_Exhibits'!R2301:R2305)),AVERAGE('20250815_ETF_Options_Exhibits'!R2301:R2305),"")</f>
        <v/>
      </c>
      <c r="S2305" s="3">
        <f>IF(ISNUMBER(AVERAGE('20250815_ETF_Options_Exhibits'!S2301:S2305)),AVERAGE('20250815_ETF_Options_Exhibits'!S2301:S2305),"")</f>
        <v/>
      </c>
      <c r="T2305" s="3">
        <f>IF(ISNUMBER(AVERAGE('20250815_ETF_Options_Exhibits'!T2301:T2305)),AVERAGE('20250815_ETF_Options_Exhibits'!T2301:T2305),"")</f>
        <v/>
      </c>
      <c r="U2305" s="3">
        <f>IF(ISNUMBER(AVERAGE('20250815_ETF_Options_Exhibits'!U2301:U2305)),AVERAGE('20250815_ETF_Options_Exhibits'!U2301:U2305),"")</f>
        <v/>
      </c>
      <c r="V2305" s="3">
        <f>IF(ISNUMBER(AVERAGE('20250815_ETF_Options_Exhibits'!V2301:V2305)),AVERAGE('20250815_ETF_Options_Exhibits'!V2301:V2305),"")</f>
        <v/>
      </c>
      <c r="W2305" s="3">
        <f>IF(ISNUMBER(AVERAGE('20250815_ETF_Options_Exhibits'!W2301:W2305)),AVERAGE('20250815_ETF_Options_Exhibits'!W2301:W2305),"")</f>
        <v/>
      </c>
      <c r="X2305" s="3">
        <f>IF(ISNUMBER(AVERAGE('20250815_ETF_Options_Exhibits'!X2301:X2305)),AVERAGE('20250815_ETF_Options_Exhibits'!X2301:X2305),"")</f>
        <v/>
      </c>
      <c r="Y2305" s="3">
        <f>IF(ISNUMBER(AVERAGE('20250815_ETF_Options_Exhibits'!Y2301:Y2305)),AVERAGE('20250815_ETF_Options_Exhibits'!Y2301:Y2305),"")</f>
        <v/>
      </c>
      <c r="Z2305" s="3">
        <f>IF(ISNUMBER(AVERAGE('20250815_ETF_Options_Exhibits'!Z2301:Z2305)),AVERAGE('20250815_ETF_Options_Exhibits'!Z2301:Z2305),"")</f>
        <v/>
      </c>
      <c r="AA2305" s="3">
        <f>IF(ISNUMBER(AVERAGE('20250815_ETF_Options_Exhibits'!AA2301:AA2305)),AVERAGE('20250815_ETF_Options_Exhibits'!AA2301:AA2305),"")</f>
        <v/>
      </c>
    </row>
    <row r="2306">
      <c r="A2306" s="1" t="n">
        <v>45350</v>
      </c>
      <c r="B2306" s="3">
        <f>IF(ISNUMBER(AVERAGE('20250815_ETF_Options_Exhibits'!B2302:B2306)),AVERAGE('20250815_ETF_Options_Exhibits'!B2302:B2306),"")</f>
        <v/>
      </c>
      <c r="C2306" s="3">
        <f>IF(ISNUMBER(AVERAGE('20250815_ETF_Options_Exhibits'!C2302:C2306)),AVERAGE('20250815_ETF_Options_Exhibits'!C2302:C2306),"")</f>
        <v/>
      </c>
      <c r="D2306" s="3">
        <f>IF(ISNUMBER(AVERAGE('20250815_ETF_Options_Exhibits'!D2302:D2306)),AVERAGE('20250815_ETF_Options_Exhibits'!D2302:D2306),"")</f>
        <v/>
      </c>
      <c r="E2306" s="3">
        <f>IF(ISNUMBER(AVERAGE('20250815_ETF_Options_Exhibits'!E2302:E2306)),AVERAGE('20250815_ETF_Options_Exhibits'!E2302:E2306),"")</f>
        <v/>
      </c>
      <c r="F2306" s="3">
        <f>IF(ISNUMBER(AVERAGE('20250815_ETF_Options_Exhibits'!F2302:F2306)),AVERAGE('20250815_ETF_Options_Exhibits'!F2302:F2306),"")</f>
        <v/>
      </c>
      <c r="G2306" s="3">
        <f>IF(ISNUMBER(AVERAGE('20250815_ETF_Options_Exhibits'!G2302:G2306)),AVERAGE('20250815_ETF_Options_Exhibits'!G2302:G2306),"")</f>
        <v/>
      </c>
      <c r="H2306" s="3">
        <f>IF(ISNUMBER(AVERAGE('20250815_ETF_Options_Exhibits'!H2302:H2306)),AVERAGE('20250815_ETF_Options_Exhibits'!H2302:H2306),"")</f>
        <v/>
      </c>
      <c r="I2306" s="3">
        <f>IF(ISNUMBER(AVERAGE('20250815_ETF_Options_Exhibits'!I2302:I2306)),AVERAGE('20250815_ETF_Options_Exhibits'!I2302:I2306),"")</f>
        <v/>
      </c>
      <c r="J2306" s="3">
        <f>IF(ISNUMBER(AVERAGE('20250815_ETF_Options_Exhibits'!J2302:J2306)),AVERAGE('20250815_ETF_Options_Exhibits'!J2302:J2306),"")</f>
        <v/>
      </c>
      <c r="K2306" s="3">
        <f>IF(ISNUMBER(AVERAGE('20250815_ETF_Options_Exhibits'!K2302:K2306)),AVERAGE('20250815_ETF_Options_Exhibits'!K2302:K2306),"")</f>
        <v/>
      </c>
      <c r="L2306" s="3">
        <f>IF(ISNUMBER(AVERAGE('20250815_ETF_Options_Exhibits'!L2302:L2306)),AVERAGE('20250815_ETF_Options_Exhibits'!L2302:L2306),"")</f>
        <v/>
      </c>
      <c r="M2306" s="3">
        <f>IF(ISNUMBER(AVERAGE('20250815_ETF_Options_Exhibits'!M2302:M2306)),AVERAGE('20250815_ETF_Options_Exhibits'!M2302:M2306),"")</f>
        <v/>
      </c>
      <c r="N2306" s="3">
        <f>IF(ISNUMBER(AVERAGE('20250815_ETF_Options_Exhibits'!N2302:N2306)),AVERAGE('20250815_ETF_Options_Exhibits'!N2302:N2306),"")</f>
        <v/>
      </c>
      <c r="O2306" s="3">
        <f>IF(ISNUMBER(AVERAGE('20250815_ETF_Options_Exhibits'!O2302:O2306)),AVERAGE('20250815_ETF_Options_Exhibits'!O2302:O2306),"")</f>
        <v/>
      </c>
      <c r="P2306" s="3">
        <f>IF(ISNUMBER(AVERAGE('20250815_ETF_Options_Exhibits'!P2302:P2306)),AVERAGE('20250815_ETF_Options_Exhibits'!P2302:P2306),"")</f>
        <v/>
      </c>
      <c r="Q2306" s="3">
        <f>IF(ISNUMBER(AVERAGE('20250815_ETF_Options_Exhibits'!Q2302:Q2306)),AVERAGE('20250815_ETF_Options_Exhibits'!Q2302:Q2306),"")</f>
        <v/>
      </c>
      <c r="R2306" s="3">
        <f>IF(ISNUMBER(AVERAGE('20250815_ETF_Options_Exhibits'!R2302:R2306)),AVERAGE('20250815_ETF_Options_Exhibits'!R2302:R2306),"")</f>
        <v/>
      </c>
      <c r="S2306" s="3">
        <f>IF(ISNUMBER(AVERAGE('20250815_ETF_Options_Exhibits'!S2302:S2306)),AVERAGE('20250815_ETF_Options_Exhibits'!S2302:S2306),"")</f>
        <v/>
      </c>
      <c r="T2306" s="3">
        <f>IF(ISNUMBER(AVERAGE('20250815_ETF_Options_Exhibits'!T2302:T2306)),AVERAGE('20250815_ETF_Options_Exhibits'!T2302:T2306),"")</f>
        <v/>
      </c>
      <c r="U2306" s="3">
        <f>IF(ISNUMBER(AVERAGE('20250815_ETF_Options_Exhibits'!U2302:U2306)),AVERAGE('20250815_ETF_Options_Exhibits'!U2302:U2306),"")</f>
        <v/>
      </c>
      <c r="V2306" s="3">
        <f>IF(ISNUMBER(AVERAGE('20250815_ETF_Options_Exhibits'!V2302:V2306)),AVERAGE('20250815_ETF_Options_Exhibits'!V2302:V2306),"")</f>
        <v/>
      </c>
      <c r="W2306" s="3">
        <f>IF(ISNUMBER(AVERAGE('20250815_ETF_Options_Exhibits'!W2302:W2306)),AVERAGE('20250815_ETF_Options_Exhibits'!W2302:W2306),"")</f>
        <v/>
      </c>
      <c r="X2306" s="3">
        <f>IF(ISNUMBER(AVERAGE('20250815_ETF_Options_Exhibits'!X2302:X2306)),AVERAGE('20250815_ETF_Options_Exhibits'!X2302:X2306),"")</f>
        <v/>
      </c>
      <c r="Y2306" s="3">
        <f>IF(ISNUMBER(AVERAGE('20250815_ETF_Options_Exhibits'!Y2302:Y2306)),AVERAGE('20250815_ETF_Options_Exhibits'!Y2302:Y2306),"")</f>
        <v/>
      </c>
      <c r="Z2306" s="3">
        <f>IF(ISNUMBER(AVERAGE('20250815_ETF_Options_Exhibits'!Z2302:Z2306)),AVERAGE('20250815_ETF_Options_Exhibits'!Z2302:Z2306),"")</f>
        <v/>
      </c>
      <c r="AA2306" s="3">
        <f>IF(ISNUMBER(AVERAGE('20250815_ETF_Options_Exhibits'!AA2302:AA2306)),AVERAGE('20250815_ETF_Options_Exhibits'!AA2302:AA2306),"")</f>
        <v/>
      </c>
    </row>
    <row r="2307">
      <c r="A2307" s="1" t="n">
        <v>45351</v>
      </c>
      <c r="B2307" s="3">
        <f>IF(ISNUMBER(AVERAGE('20250815_ETF_Options_Exhibits'!B2303:B2307)),AVERAGE('20250815_ETF_Options_Exhibits'!B2303:B2307),"")</f>
        <v/>
      </c>
      <c r="C2307" s="3">
        <f>IF(ISNUMBER(AVERAGE('20250815_ETF_Options_Exhibits'!C2303:C2307)),AVERAGE('20250815_ETF_Options_Exhibits'!C2303:C2307),"")</f>
        <v/>
      </c>
      <c r="D2307" s="3">
        <f>IF(ISNUMBER(AVERAGE('20250815_ETF_Options_Exhibits'!D2303:D2307)),AVERAGE('20250815_ETF_Options_Exhibits'!D2303:D2307),"")</f>
        <v/>
      </c>
      <c r="E2307" s="3">
        <f>IF(ISNUMBER(AVERAGE('20250815_ETF_Options_Exhibits'!E2303:E2307)),AVERAGE('20250815_ETF_Options_Exhibits'!E2303:E2307),"")</f>
        <v/>
      </c>
      <c r="F2307" s="3">
        <f>IF(ISNUMBER(AVERAGE('20250815_ETF_Options_Exhibits'!F2303:F2307)),AVERAGE('20250815_ETF_Options_Exhibits'!F2303:F2307),"")</f>
        <v/>
      </c>
      <c r="G2307" s="3">
        <f>IF(ISNUMBER(AVERAGE('20250815_ETF_Options_Exhibits'!G2303:G2307)),AVERAGE('20250815_ETF_Options_Exhibits'!G2303:G2307),"")</f>
        <v/>
      </c>
      <c r="H2307" s="3">
        <f>IF(ISNUMBER(AVERAGE('20250815_ETF_Options_Exhibits'!H2303:H2307)),AVERAGE('20250815_ETF_Options_Exhibits'!H2303:H2307),"")</f>
        <v/>
      </c>
      <c r="I2307" s="3">
        <f>IF(ISNUMBER(AVERAGE('20250815_ETF_Options_Exhibits'!I2303:I2307)),AVERAGE('20250815_ETF_Options_Exhibits'!I2303:I2307),"")</f>
        <v/>
      </c>
      <c r="J2307" s="3">
        <f>IF(ISNUMBER(AVERAGE('20250815_ETF_Options_Exhibits'!J2303:J2307)),AVERAGE('20250815_ETF_Options_Exhibits'!J2303:J2307),"")</f>
        <v/>
      </c>
      <c r="K2307" s="3">
        <f>IF(ISNUMBER(AVERAGE('20250815_ETF_Options_Exhibits'!K2303:K2307)),AVERAGE('20250815_ETF_Options_Exhibits'!K2303:K2307),"")</f>
        <v/>
      </c>
      <c r="L2307" s="3">
        <f>IF(ISNUMBER(AVERAGE('20250815_ETF_Options_Exhibits'!L2303:L2307)),AVERAGE('20250815_ETF_Options_Exhibits'!L2303:L2307),"")</f>
        <v/>
      </c>
      <c r="M2307" s="3">
        <f>IF(ISNUMBER(AVERAGE('20250815_ETF_Options_Exhibits'!M2303:M2307)),AVERAGE('20250815_ETF_Options_Exhibits'!M2303:M2307),"")</f>
        <v/>
      </c>
      <c r="N2307" s="3">
        <f>IF(ISNUMBER(AVERAGE('20250815_ETF_Options_Exhibits'!N2303:N2307)),AVERAGE('20250815_ETF_Options_Exhibits'!N2303:N2307),"")</f>
        <v/>
      </c>
      <c r="O2307" s="3">
        <f>IF(ISNUMBER(AVERAGE('20250815_ETF_Options_Exhibits'!O2303:O2307)),AVERAGE('20250815_ETF_Options_Exhibits'!O2303:O2307),"")</f>
        <v/>
      </c>
      <c r="P2307" s="3">
        <f>IF(ISNUMBER(AVERAGE('20250815_ETF_Options_Exhibits'!P2303:P2307)),AVERAGE('20250815_ETF_Options_Exhibits'!P2303:P2307),"")</f>
        <v/>
      </c>
      <c r="Q2307" s="3">
        <f>IF(ISNUMBER(AVERAGE('20250815_ETF_Options_Exhibits'!Q2303:Q2307)),AVERAGE('20250815_ETF_Options_Exhibits'!Q2303:Q2307),"")</f>
        <v/>
      </c>
      <c r="R2307" s="3">
        <f>IF(ISNUMBER(AVERAGE('20250815_ETF_Options_Exhibits'!R2303:R2307)),AVERAGE('20250815_ETF_Options_Exhibits'!R2303:R2307),"")</f>
        <v/>
      </c>
      <c r="S2307" s="3">
        <f>IF(ISNUMBER(AVERAGE('20250815_ETF_Options_Exhibits'!S2303:S2307)),AVERAGE('20250815_ETF_Options_Exhibits'!S2303:S2307),"")</f>
        <v/>
      </c>
      <c r="T2307" s="3">
        <f>IF(ISNUMBER(AVERAGE('20250815_ETF_Options_Exhibits'!T2303:T2307)),AVERAGE('20250815_ETF_Options_Exhibits'!T2303:T2307),"")</f>
        <v/>
      </c>
      <c r="U2307" s="3">
        <f>IF(ISNUMBER(AVERAGE('20250815_ETF_Options_Exhibits'!U2303:U2307)),AVERAGE('20250815_ETF_Options_Exhibits'!U2303:U2307),"")</f>
        <v/>
      </c>
      <c r="V2307" s="3">
        <f>IF(ISNUMBER(AVERAGE('20250815_ETF_Options_Exhibits'!V2303:V2307)),AVERAGE('20250815_ETF_Options_Exhibits'!V2303:V2307),"")</f>
        <v/>
      </c>
      <c r="W2307" s="3">
        <f>IF(ISNUMBER(AVERAGE('20250815_ETF_Options_Exhibits'!W2303:W2307)),AVERAGE('20250815_ETF_Options_Exhibits'!W2303:W2307),"")</f>
        <v/>
      </c>
      <c r="X2307" s="3">
        <f>IF(ISNUMBER(AVERAGE('20250815_ETF_Options_Exhibits'!X2303:X2307)),AVERAGE('20250815_ETF_Options_Exhibits'!X2303:X2307),"")</f>
        <v/>
      </c>
      <c r="Y2307" s="3">
        <f>IF(ISNUMBER(AVERAGE('20250815_ETF_Options_Exhibits'!Y2303:Y2307)),AVERAGE('20250815_ETF_Options_Exhibits'!Y2303:Y2307),"")</f>
        <v/>
      </c>
      <c r="Z2307" s="3">
        <f>IF(ISNUMBER(AVERAGE('20250815_ETF_Options_Exhibits'!Z2303:Z2307)),AVERAGE('20250815_ETF_Options_Exhibits'!Z2303:Z2307),"")</f>
        <v/>
      </c>
      <c r="AA2307" s="3">
        <f>IF(ISNUMBER(AVERAGE('20250815_ETF_Options_Exhibits'!AA2303:AA2307)),AVERAGE('20250815_ETF_Options_Exhibits'!AA2303:AA2307),"")</f>
        <v/>
      </c>
    </row>
    <row r="2308">
      <c r="A2308" s="1" t="n">
        <v>45352</v>
      </c>
      <c r="B2308" s="3">
        <f>IF(ISNUMBER(AVERAGE('20250815_ETF_Options_Exhibits'!B2304:B2308)),AVERAGE('20250815_ETF_Options_Exhibits'!B2304:B2308),"")</f>
        <v/>
      </c>
      <c r="C2308" s="3">
        <f>IF(ISNUMBER(AVERAGE('20250815_ETF_Options_Exhibits'!C2304:C2308)),AVERAGE('20250815_ETF_Options_Exhibits'!C2304:C2308),"")</f>
        <v/>
      </c>
      <c r="D2308" s="3">
        <f>IF(ISNUMBER(AVERAGE('20250815_ETF_Options_Exhibits'!D2304:D2308)),AVERAGE('20250815_ETF_Options_Exhibits'!D2304:D2308),"")</f>
        <v/>
      </c>
      <c r="E2308" s="3">
        <f>IF(ISNUMBER(AVERAGE('20250815_ETF_Options_Exhibits'!E2304:E2308)),AVERAGE('20250815_ETF_Options_Exhibits'!E2304:E2308),"")</f>
        <v/>
      </c>
      <c r="F2308" s="3">
        <f>IF(ISNUMBER(AVERAGE('20250815_ETF_Options_Exhibits'!F2304:F2308)),AVERAGE('20250815_ETF_Options_Exhibits'!F2304:F2308),"")</f>
        <v/>
      </c>
      <c r="G2308" s="3">
        <f>IF(ISNUMBER(AVERAGE('20250815_ETF_Options_Exhibits'!G2304:G2308)),AVERAGE('20250815_ETF_Options_Exhibits'!G2304:G2308),"")</f>
        <v/>
      </c>
      <c r="H2308" s="3">
        <f>IF(ISNUMBER(AVERAGE('20250815_ETF_Options_Exhibits'!H2304:H2308)),AVERAGE('20250815_ETF_Options_Exhibits'!H2304:H2308),"")</f>
        <v/>
      </c>
      <c r="I2308" s="3">
        <f>IF(ISNUMBER(AVERAGE('20250815_ETF_Options_Exhibits'!I2304:I2308)),AVERAGE('20250815_ETF_Options_Exhibits'!I2304:I2308),"")</f>
        <v/>
      </c>
      <c r="J2308" s="3">
        <f>IF(ISNUMBER(AVERAGE('20250815_ETF_Options_Exhibits'!J2304:J2308)),AVERAGE('20250815_ETF_Options_Exhibits'!J2304:J2308),"")</f>
        <v/>
      </c>
      <c r="K2308" s="3">
        <f>IF(ISNUMBER(AVERAGE('20250815_ETF_Options_Exhibits'!K2304:K2308)),AVERAGE('20250815_ETF_Options_Exhibits'!K2304:K2308),"")</f>
        <v/>
      </c>
      <c r="L2308" s="3">
        <f>IF(ISNUMBER(AVERAGE('20250815_ETF_Options_Exhibits'!L2304:L2308)),AVERAGE('20250815_ETF_Options_Exhibits'!L2304:L2308),"")</f>
        <v/>
      </c>
      <c r="M2308" s="3">
        <f>IF(ISNUMBER(AVERAGE('20250815_ETF_Options_Exhibits'!M2304:M2308)),AVERAGE('20250815_ETF_Options_Exhibits'!M2304:M2308),"")</f>
        <v/>
      </c>
      <c r="N2308" s="3">
        <f>IF(ISNUMBER(AVERAGE('20250815_ETF_Options_Exhibits'!N2304:N2308)),AVERAGE('20250815_ETF_Options_Exhibits'!N2304:N2308),"")</f>
        <v/>
      </c>
      <c r="O2308" s="3">
        <f>IF(ISNUMBER(AVERAGE('20250815_ETF_Options_Exhibits'!O2304:O2308)),AVERAGE('20250815_ETF_Options_Exhibits'!O2304:O2308),"")</f>
        <v/>
      </c>
      <c r="P2308" s="3">
        <f>IF(ISNUMBER(AVERAGE('20250815_ETF_Options_Exhibits'!P2304:P2308)),AVERAGE('20250815_ETF_Options_Exhibits'!P2304:P2308),"")</f>
        <v/>
      </c>
      <c r="Q2308" s="3">
        <f>IF(ISNUMBER(AVERAGE('20250815_ETF_Options_Exhibits'!Q2304:Q2308)),AVERAGE('20250815_ETF_Options_Exhibits'!Q2304:Q2308),"")</f>
        <v/>
      </c>
      <c r="R2308" s="3">
        <f>IF(ISNUMBER(AVERAGE('20250815_ETF_Options_Exhibits'!R2304:R2308)),AVERAGE('20250815_ETF_Options_Exhibits'!R2304:R2308),"")</f>
        <v/>
      </c>
      <c r="S2308" s="3">
        <f>IF(ISNUMBER(AVERAGE('20250815_ETF_Options_Exhibits'!S2304:S2308)),AVERAGE('20250815_ETF_Options_Exhibits'!S2304:S2308),"")</f>
        <v/>
      </c>
      <c r="T2308" s="3">
        <f>IF(ISNUMBER(AVERAGE('20250815_ETF_Options_Exhibits'!T2304:T2308)),AVERAGE('20250815_ETF_Options_Exhibits'!T2304:T2308),"")</f>
        <v/>
      </c>
      <c r="U2308" s="3">
        <f>IF(ISNUMBER(AVERAGE('20250815_ETF_Options_Exhibits'!U2304:U2308)),AVERAGE('20250815_ETF_Options_Exhibits'!U2304:U2308),"")</f>
        <v/>
      </c>
      <c r="V2308" s="3">
        <f>IF(ISNUMBER(AVERAGE('20250815_ETF_Options_Exhibits'!V2304:V2308)),AVERAGE('20250815_ETF_Options_Exhibits'!V2304:V2308),"")</f>
        <v/>
      </c>
      <c r="W2308" s="3">
        <f>IF(ISNUMBER(AVERAGE('20250815_ETF_Options_Exhibits'!W2304:W2308)),AVERAGE('20250815_ETF_Options_Exhibits'!W2304:W2308),"")</f>
        <v/>
      </c>
      <c r="X2308" s="3">
        <f>IF(ISNUMBER(AVERAGE('20250815_ETF_Options_Exhibits'!X2304:X2308)),AVERAGE('20250815_ETF_Options_Exhibits'!X2304:X2308),"")</f>
        <v/>
      </c>
      <c r="Y2308" s="3">
        <f>IF(ISNUMBER(AVERAGE('20250815_ETF_Options_Exhibits'!Y2304:Y2308)),AVERAGE('20250815_ETF_Options_Exhibits'!Y2304:Y2308),"")</f>
        <v/>
      </c>
      <c r="Z2308" s="3">
        <f>IF(ISNUMBER(AVERAGE('20250815_ETF_Options_Exhibits'!Z2304:Z2308)),AVERAGE('20250815_ETF_Options_Exhibits'!Z2304:Z2308),"")</f>
        <v/>
      </c>
      <c r="AA2308" s="3">
        <f>IF(ISNUMBER(AVERAGE('20250815_ETF_Options_Exhibits'!AA2304:AA2308)),AVERAGE('20250815_ETF_Options_Exhibits'!AA2304:AA2308),"")</f>
        <v/>
      </c>
    </row>
    <row r="2309">
      <c r="A2309" s="1" t="n">
        <v>45355</v>
      </c>
      <c r="B2309" s="3">
        <f>IF(ISNUMBER(AVERAGE('20250815_ETF_Options_Exhibits'!B2305:B2309)),AVERAGE('20250815_ETF_Options_Exhibits'!B2305:B2309),"")</f>
        <v/>
      </c>
      <c r="C2309" s="3">
        <f>IF(ISNUMBER(AVERAGE('20250815_ETF_Options_Exhibits'!C2305:C2309)),AVERAGE('20250815_ETF_Options_Exhibits'!C2305:C2309),"")</f>
        <v/>
      </c>
      <c r="D2309" s="3">
        <f>IF(ISNUMBER(AVERAGE('20250815_ETF_Options_Exhibits'!D2305:D2309)),AVERAGE('20250815_ETF_Options_Exhibits'!D2305:D2309),"")</f>
        <v/>
      </c>
      <c r="E2309" s="3">
        <f>IF(ISNUMBER(AVERAGE('20250815_ETF_Options_Exhibits'!E2305:E2309)),AVERAGE('20250815_ETF_Options_Exhibits'!E2305:E2309),"")</f>
        <v/>
      </c>
      <c r="F2309" s="3">
        <f>IF(ISNUMBER(AVERAGE('20250815_ETF_Options_Exhibits'!F2305:F2309)),AVERAGE('20250815_ETF_Options_Exhibits'!F2305:F2309),"")</f>
        <v/>
      </c>
      <c r="G2309" s="3">
        <f>IF(ISNUMBER(AVERAGE('20250815_ETF_Options_Exhibits'!G2305:G2309)),AVERAGE('20250815_ETF_Options_Exhibits'!G2305:G2309),"")</f>
        <v/>
      </c>
      <c r="H2309" s="3">
        <f>IF(ISNUMBER(AVERAGE('20250815_ETF_Options_Exhibits'!H2305:H2309)),AVERAGE('20250815_ETF_Options_Exhibits'!H2305:H2309),"")</f>
        <v/>
      </c>
      <c r="I2309" s="3">
        <f>IF(ISNUMBER(AVERAGE('20250815_ETF_Options_Exhibits'!I2305:I2309)),AVERAGE('20250815_ETF_Options_Exhibits'!I2305:I2309),"")</f>
        <v/>
      </c>
      <c r="J2309" s="3">
        <f>IF(ISNUMBER(AVERAGE('20250815_ETF_Options_Exhibits'!J2305:J2309)),AVERAGE('20250815_ETF_Options_Exhibits'!J2305:J2309),"")</f>
        <v/>
      </c>
      <c r="K2309" s="3">
        <f>IF(ISNUMBER(AVERAGE('20250815_ETF_Options_Exhibits'!K2305:K2309)),AVERAGE('20250815_ETF_Options_Exhibits'!K2305:K2309),"")</f>
        <v/>
      </c>
      <c r="L2309" s="3">
        <f>IF(ISNUMBER(AVERAGE('20250815_ETF_Options_Exhibits'!L2305:L2309)),AVERAGE('20250815_ETF_Options_Exhibits'!L2305:L2309),"")</f>
        <v/>
      </c>
      <c r="M2309" s="3">
        <f>IF(ISNUMBER(AVERAGE('20250815_ETF_Options_Exhibits'!M2305:M2309)),AVERAGE('20250815_ETF_Options_Exhibits'!M2305:M2309),"")</f>
        <v/>
      </c>
      <c r="N2309" s="3">
        <f>IF(ISNUMBER(AVERAGE('20250815_ETF_Options_Exhibits'!N2305:N2309)),AVERAGE('20250815_ETF_Options_Exhibits'!N2305:N2309),"")</f>
        <v/>
      </c>
      <c r="O2309" s="3">
        <f>IF(ISNUMBER(AVERAGE('20250815_ETF_Options_Exhibits'!O2305:O2309)),AVERAGE('20250815_ETF_Options_Exhibits'!O2305:O2309),"")</f>
        <v/>
      </c>
      <c r="P2309" s="3">
        <f>IF(ISNUMBER(AVERAGE('20250815_ETF_Options_Exhibits'!P2305:P2309)),AVERAGE('20250815_ETF_Options_Exhibits'!P2305:P2309),"")</f>
        <v/>
      </c>
      <c r="Q2309" s="3">
        <f>IF(ISNUMBER(AVERAGE('20250815_ETF_Options_Exhibits'!Q2305:Q2309)),AVERAGE('20250815_ETF_Options_Exhibits'!Q2305:Q2309),"")</f>
        <v/>
      </c>
      <c r="R2309" s="3">
        <f>IF(ISNUMBER(AVERAGE('20250815_ETF_Options_Exhibits'!R2305:R2309)),AVERAGE('20250815_ETF_Options_Exhibits'!R2305:R2309),"")</f>
        <v/>
      </c>
      <c r="S2309" s="3">
        <f>IF(ISNUMBER(AVERAGE('20250815_ETF_Options_Exhibits'!S2305:S2309)),AVERAGE('20250815_ETF_Options_Exhibits'!S2305:S2309),"")</f>
        <v/>
      </c>
      <c r="T2309" s="3">
        <f>IF(ISNUMBER(AVERAGE('20250815_ETF_Options_Exhibits'!T2305:T2309)),AVERAGE('20250815_ETF_Options_Exhibits'!T2305:T2309),"")</f>
        <v/>
      </c>
      <c r="U2309" s="3">
        <f>IF(ISNUMBER(AVERAGE('20250815_ETF_Options_Exhibits'!U2305:U2309)),AVERAGE('20250815_ETF_Options_Exhibits'!U2305:U2309),"")</f>
        <v/>
      </c>
      <c r="V2309" s="3">
        <f>IF(ISNUMBER(AVERAGE('20250815_ETF_Options_Exhibits'!V2305:V2309)),AVERAGE('20250815_ETF_Options_Exhibits'!V2305:V2309),"")</f>
        <v/>
      </c>
      <c r="W2309" s="3">
        <f>IF(ISNUMBER(AVERAGE('20250815_ETF_Options_Exhibits'!W2305:W2309)),AVERAGE('20250815_ETF_Options_Exhibits'!W2305:W2309),"")</f>
        <v/>
      </c>
      <c r="X2309" s="3">
        <f>IF(ISNUMBER(AVERAGE('20250815_ETF_Options_Exhibits'!X2305:X2309)),AVERAGE('20250815_ETF_Options_Exhibits'!X2305:X2309),"")</f>
        <v/>
      </c>
      <c r="Y2309" s="3">
        <f>IF(ISNUMBER(AVERAGE('20250815_ETF_Options_Exhibits'!Y2305:Y2309)),AVERAGE('20250815_ETF_Options_Exhibits'!Y2305:Y2309),"")</f>
        <v/>
      </c>
      <c r="Z2309" s="3">
        <f>IF(ISNUMBER(AVERAGE('20250815_ETF_Options_Exhibits'!Z2305:Z2309)),AVERAGE('20250815_ETF_Options_Exhibits'!Z2305:Z2309),"")</f>
        <v/>
      </c>
      <c r="AA2309" s="3">
        <f>IF(ISNUMBER(AVERAGE('20250815_ETF_Options_Exhibits'!AA2305:AA2309)),AVERAGE('20250815_ETF_Options_Exhibits'!AA2305:AA2309),"")</f>
        <v/>
      </c>
    </row>
    <row r="2310">
      <c r="A2310" s="1" t="n">
        <v>45356</v>
      </c>
      <c r="B2310" s="3">
        <f>IF(ISNUMBER(AVERAGE('20250815_ETF_Options_Exhibits'!B2306:B2310)),AVERAGE('20250815_ETF_Options_Exhibits'!B2306:B2310),"")</f>
        <v/>
      </c>
      <c r="C2310" s="3">
        <f>IF(ISNUMBER(AVERAGE('20250815_ETF_Options_Exhibits'!C2306:C2310)),AVERAGE('20250815_ETF_Options_Exhibits'!C2306:C2310),"")</f>
        <v/>
      </c>
      <c r="D2310" s="3">
        <f>IF(ISNUMBER(AVERAGE('20250815_ETF_Options_Exhibits'!D2306:D2310)),AVERAGE('20250815_ETF_Options_Exhibits'!D2306:D2310),"")</f>
        <v/>
      </c>
      <c r="E2310" s="3">
        <f>IF(ISNUMBER(AVERAGE('20250815_ETF_Options_Exhibits'!E2306:E2310)),AVERAGE('20250815_ETF_Options_Exhibits'!E2306:E2310),"")</f>
        <v/>
      </c>
      <c r="F2310" s="3">
        <f>IF(ISNUMBER(AVERAGE('20250815_ETF_Options_Exhibits'!F2306:F2310)),AVERAGE('20250815_ETF_Options_Exhibits'!F2306:F2310),"")</f>
        <v/>
      </c>
      <c r="G2310" s="3">
        <f>IF(ISNUMBER(AVERAGE('20250815_ETF_Options_Exhibits'!G2306:G2310)),AVERAGE('20250815_ETF_Options_Exhibits'!G2306:G2310),"")</f>
        <v/>
      </c>
      <c r="H2310" s="3">
        <f>IF(ISNUMBER(AVERAGE('20250815_ETF_Options_Exhibits'!H2306:H2310)),AVERAGE('20250815_ETF_Options_Exhibits'!H2306:H2310),"")</f>
        <v/>
      </c>
      <c r="I2310" s="3">
        <f>IF(ISNUMBER(AVERAGE('20250815_ETF_Options_Exhibits'!I2306:I2310)),AVERAGE('20250815_ETF_Options_Exhibits'!I2306:I2310),"")</f>
        <v/>
      </c>
      <c r="J2310" s="3">
        <f>IF(ISNUMBER(AVERAGE('20250815_ETF_Options_Exhibits'!J2306:J2310)),AVERAGE('20250815_ETF_Options_Exhibits'!J2306:J2310),"")</f>
        <v/>
      </c>
      <c r="K2310" s="3">
        <f>IF(ISNUMBER(AVERAGE('20250815_ETF_Options_Exhibits'!K2306:K2310)),AVERAGE('20250815_ETF_Options_Exhibits'!K2306:K2310),"")</f>
        <v/>
      </c>
      <c r="L2310" s="3">
        <f>IF(ISNUMBER(AVERAGE('20250815_ETF_Options_Exhibits'!L2306:L2310)),AVERAGE('20250815_ETF_Options_Exhibits'!L2306:L2310),"")</f>
        <v/>
      </c>
      <c r="M2310" s="3">
        <f>IF(ISNUMBER(AVERAGE('20250815_ETF_Options_Exhibits'!M2306:M2310)),AVERAGE('20250815_ETF_Options_Exhibits'!M2306:M2310),"")</f>
        <v/>
      </c>
      <c r="N2310" s="3">
        <f>IF(ISNUMBER(AVERAGE('20250815_ETF_Options_Exhibits'!N2306:N2310)),AVERAGE('20250815_ETF_Options_Exhibits'!N2306:N2310),"")</f>
        <v/>
      </c>
      <c r="O2310" s="3">
        <f>IF(ISNUMBER(AVERAGE('20250815_ETF_Options_Exhibits'!O2306:O2310)),AVERAGE('20250815_ETF_Options_Exhibits'!O2306:O2310),"")</f>
        <v/>
      </c>
      <c r="P2310" s="3">
        <f>IF(ISNUMBER(AVERAGE('20250815_ETF_Options_Exhibits'!P2306:P2310)),AVERAGE('20250815_ETF_Options_Exhibits'!P2306:P2310),"")</f>
        <v/>
      </c>
      <c r="Q2310" s="3">
        <f>IF(ISNUMBER(AVERAGE('20250815_ETF_Options_Exhibits'!Q2306:Q2310)),AVERAGE('20250815_ETF_Options_Exhibits'!Q2306:Q2310),"")</f>
        <v/>
      </c>
      <c r="R2310" s="3">
        <f>IF(ISNUMBER(AVERAGE('20250815_ETF_Options_Exhibits'!R2306:R2310)),AVERAGE('20250815_ETF_Options_Exhibits'!R2306:R2310),"")</f>
        <v/>
      </c>
      <c r="S2310" s="3">
        <f>IF(ISNUMBER(AVERAGE('20250815_ETF_Options_Exhibits'!S2306:S2310)),AVERAGE('20250815_ETF_Options_Exhibits'!S2306:S2310),"")</f>
        <v/>
      </c>
      <c r="T2310" s="3">
        <f>IF(ISNUMBER(AVERAGE('20250815_ETF_Options_Exhibits'!T2306:T2310)),AVERAGE('20250815_ETF_Options_Exhibits'!T2306:T2310),"")</f>
        <v/>
      </c>
      <c r="U2310" s="3">
        <f>IF(ISNUMBER(AVERAGE('20250815_ETF_Options_Exhibits'!U2306:U2310)),AVERAGE('20250815_ETF_Options_Exhibits'!U2306:U2310),"")</f>
        <v/>
      </c>
      <c r="V2310" s="3">
        <f>IF(ISNUMBER(AVERAGE('20250815_ETF_Options_Exhibits'!V2306:V2310)),AVERAGE('20250815_ETF_Options_Exhibits'!V2306:V2310),"")</f>
        <v/>
      </c>
      <c r="W2310" s="3">
        <f>IF(ISNUMBER(AVERAGE('20250815_ETF_Options_Exhibits'!W2306:W2310)),AVERAGE('20250815_ETF_Options_Exhibits'!W2306:W2310),"")</f>
        <v/>
      </c>
      <c r="X2310" s="3">
        <f>IF(ISNUMBER(AVERAGE('20250815_ETF_Options_Exhibits'!X2306:X2310)),AVERAGE('20250815_ETF_Options_Exhibits'!X2306:X2310),"")</f>
        <v/>
      </c>
      <c r="Y2310" s="3">
        <f>IF(ISNUMBER(AVERAGE('20250815_ETF_Options_Exhibits'!Y2306:Y2310)),AVERAGE('20250815_ETF_Options_Exhibits'!Y2306:Y2310),"")</f>
        <v/>
      </c>
      <c r="Z2310" s="3">
        <f>IF(ISNUMBER(AVERAGE('20250815_ETF_Options_Exhibits'!Z2306:Z2310)),AVERAGE('20250815_ETF_Options_Exhibits'!Z2306:Z2310),"")</f>
        <v/>
      </c>
      <c r="AA2310" s="3">
        <f>IF(ISNUMBER(AVERAGE('20250815_ETF_Options_Exhibits'!AA2306:AA2310)),AVERAGE('20250815_ETF_Options_Exhibits'!AA2306:AA2310),"")</f>
        <v/>
      </c>
    </row>
    <row r="2311">
      <c r="A2311" s="1" t="n">
        <v>45357</v>
      </c>
      <c r="B2311" s="3">
        <f>IF(ISNUMBER(AVERAGE('20250815_ETF_Options_Exhibits'!B2307:B2311)),AVERAGE('20250815_ETF_Options_Exhibits'!B2307:B2311),"")</f>
        <v/>
      </c>
      <c r="C2311" s="3">
        <f>IF(ISNUMBER(AVERAGE('20250815_ETF_Options_Exhibits'!C2307:C2311)),AVERAGE('20250815_ETF_Options_Exhibits'!C2307:C2311),"")</f>
        <v/>
      </c>
      <c r="D2311" s="3">
        <f>IF(ISNUMBER(AVERAGE('20250815_ETF_Options_Exhibits'!D2307:D2311)),AVERAGE('20250815_ETF_Options_Exhibits'!D2307:D2311),"")</f>
        <v/>
      </c>
      <c r="E2311" s="3">
        <f>IF(ISNUMBER(AVERAGE('20250815_ETF_Options_Exhibits'!E2307:E2311)),AVERAGE('20250815_ETF_Options_Exhibits'!E2307:E2311),"")</f>
        <v/>
      </c>
      <c r="F2311" s="3">
        <f>IF(ISNUMBER(AVERAGE('20250815_ETF_Options_Exhibits'!F2307:F2311)),AVERAGE('20250815_ETF_Options_Exhibits'!F2307:F2311),"")</f>
        <v/>
      </c>
      <c r="G2311" s="3">
        <f>IF(ISNUMBER(AVERAGE('20250815_ETF_Options_Exhibits'!G2307:G2311)),AVERAGE('20250815_ETF_Options_Exhibits'!G2307:G2311),"")</f>
        <v/>
      </c>
      <c r="H2311" s="3">
        <f>IF(ISNUMBER(AVERAGE('20250815_ETF_Options_Exhibits'!H2307:H2311)),AVERAGE('20250815_ETF_Options_Exhibits'!H2307:H2311),"")</f>
        <v/>
      </c>
      <c r="I2311" s="3">
        <f>IF(ISNUMBER(AVERAGE('20250815_ETF_Options_Exhibits'!I2307:I2311)),AVERAGE('20250815_ETF_Options_Exhibits'!I2307:I2311),"")</f>
        <v/>
      </c>
      <c r="J2311" s="3">
        <f>IF(ISNUMBER(AVERAGE('20250815_ETF_Options_Exhibits'!J2307:J2311)),AVERAGE('20250815_ETF_Options_Exhibits'!J2307:J2311),"")</f>
        <v/>
      </c>
      <c r="K2311" s="3">
        <f>IF(ISNUMBER(AVERAGE('20250815_ETF_Options_Exhibits'!K2307:K2311)),AVERAGE('20250815_ETF_Options_Exhibits'!K2307:K2311),"")</f>
        <v/>
      </c>
      <c r="L2311" s="3">
        <f>IF(ISNUMBER(AVERAGE('20250815_ETF_Options_Exhibits'!L2307:L2311)),AVERAGE('20250815_ETF_Options_Exhibits'!L2307:L2311),"")</f>
        <v/>
      </c>
      <c r="M2311" s="3">
        <f>IF(ISNUMBER(AVERAGE('20250815_ETF_Options_Exhibits'!M2307:M2311)),AVERAGE('20250815_ETF_Options_Exhibits'!M2307:M2311),"")</f>
        <v/>
      </c>
      <c r="N2311" s="3">
        <f>IF(ISNUMBER(AVERAGE('20250815_ETF_Options_Exhibits'!N2307:N2311)),AVERAGE('20250815_ETF_Options_Exhibits'!N2307:N2311),"")</f>
        <v/>
      </c>
      <c r="O2311" s="3">
        <f>IF(ISNUMBER(AVERAGE('20250815_ETF_Options_Exhibits'!O2307:O2311)),AVERAGE('20250815_ETF_Options_Exhibits'!O2307:O2311),"")</f>
        <v/>
      </c>
      <c r="P2311" s="3">
        <f>IF(ISNUMBER(AVERAGE('20250815_ETF_Options_Exhibits'!P2307:P2311)),AVERAGE('20250815_ETF_Options_Exhibits'!P2307:P2311),"")</f>
        <v/>
      </c>
      <c r="Q2311" s="3">
        <f>IF(ISNUMBER(AVERAGE('20250815_ETF_Options_Exhibits'!Q2307:Q2311)),AVERAGE('20250815_ETF_Options_Exhibits'!Q2307:Q2311),"")</f>
        <v/>
      </c>
      <c r="R2311" s="3">
        <f>IF(ISNUMBER(AVERAGE('20250815_ETF_Options_Exhibits'!R2307:R2311)),AVERAGE('20250815_ETF_Options_Exhibits'!R2307:R2311),"")</f>
        <v/>
      </c>
      <c r="S2311" s="3">
        <f>IF(ISNUMBER(AVERAGE('20250815_ETF_Options_Exhibits'!S2307:S2311)),AVERAGE('20250815_ETF_Options_Exhibits'!S2307:S2311),"")</f>
        <v/>
      </c>
      <c r="T2311" s="3">
        <f>IF(ISNUMBER(AVERAGE('20250815_ETF_Options_Exhibits'!T2307:T2311)),AVERAGE('20250815_ETF_Options_Exhibits'!T2307:T2311),"")</f>
        <v/>
      </c>
      <c r="U2311" s="3">
        <f>IF(ISNUMBER(AVERAGE('20250815_ETF_Options_Exhibits'!U2307:U2311)),AVERAGE('20250815_ETF_Options_Exhibits'!U2307:U2311),"")</f>
        <v/>
      </c>
      <c r="V2311" s="3">
        <f>IF(ISNUMBER(AVERAGE('20250815_ETF_Options_Exhibits'!V2307:V2311)),AVERAGE('20250815_ETF_Options_Exhibits'!V2307:V2311),"")</f>
        <v/>
      </c>
      <c r="W2311" s="3">
        <f>IF(ISNUMBER(AVERAGE('20250815_ETF_Options_Exhibits'!W2307:W2311)),AVERAGE('20250815_ETF_Options_Exhibits'!W2307:W2311),"")</f>
        <v/>
      </c>
      <c r="X2311" s="3">
        <f>IF(ISNUMBER(AVERAGE('20250815_ETF_Options_Exhibits'!X2307:X2311)),AVERAGE('20250815_ETF_Options_Exhibits'!X2307:X2311),"")</f>
        <v/>
      </c>
      <c r="Y2311" s="3">
        <f>IF(ISNUMBER(AVERAGE('20250815_ETF_Options_Exhibits'!Y2307:Y2311)),AVERAGE('20250815_ETF_Options_Exhibits'!Y2307:Y2311),"")</f>
        <v/>
      </c>
      <c r="Z2311" s="3">
        <f>IF(ISNUMBER(AVERAGE('20250815_ETF_Options_Exhibits'!Z2307:Z2311)),AVERAGE('20250815_ETF_Options_Exhibits'!Z2307:Z2311),"")</f>
        <v/>
      </c>
      <c r="AA2311" s="3">
        <f>IF(ISNUMBER(AVERAGE('20250815_ETF_Options_Exhibits'!AA2307:AA2311)),AVERAGE('20250815_ETF_Options_Exhibits'!AA2307:AA2311),"")</f>
        <v/>
      </c>
    </row>
    <row r="2312">
      <c r="A2312" s="1" t="n">
        <v>45358</v>
      </c>
      <c r="B2312" s="3">
        <f>IF(ISNUMBER(AVERAGE('20250815_ETF_Options_Exhibits'!B2308:B2312)),AVERAGE('20250815_ETF_Options_Exhibits'!B2308:B2312),"")</f>
        <v/>
      </c>
      <c r="C2312" s="3">
        <f>IF(ISNUMBER(AVERAGE('20250815_ETF_Options_Exhibits'!C2308:C2312)),AVERAGE('20250815_ETF_Options_Exhibits'!C2308:C2312),"")</f>
        <v/>
      </c>
      <c r="D2312" s="3">
        <f>IF(ISNUMBER(AVERAGE('20250815_ETF_Options_Exhibits'!D2308:D2312)),AVERAGE('20250815_ETF_Options_Exhibits'!D2308:D2312),"")</f>
        <v/>
      </c>
      <c r="E2312" s="3">
        <f>IF(ISNUMBER(AVERAGE('20250815_ETF_Options_Exhibits'!E2308:E2312)),AVERAGE('20250815_ETF_Options_Exhibits'!E2308:E2312),"")</f>
        <v/>
      </c>
      <c r="F2312" s="3">
        <f>IF(ISNUMBER(AVERAGE('20250815_ETF_Options_Exhibits'!F2308:F2312)),AVERAGE('20250815_ETF_Options_Exhibits'!F2308:F2312),"")</f>
        <v/>
      </c>
      <c r="G2312" s="3">
        <f>IF(ISNUMBER(AVERAGE('20250815_ETF_Options_Exhibits'!G2308:G2312)),AVERAGE('20250815_ETF_Options_Exhibits'!G2308:G2312),"")</f>
        <v/>
      </c>
      <c r="H2312" s="3">
        <f>IF(ISNUMBER(AVERAGE('20250815_ETF_Options_Exhibits'!H2308:H2312)),AVERAGE('20250815_ETF_Options_Exhibits'!H2308:H2312),"")</f>
        <v/>
      </c>
      <c r="I2312" s="3">
        <f>IF(ISNUMBER(AVERAGE('20250815_ETF_Options_Exhibits'!I2308:I2312)),AVERAGE('20250815_ETF_Options_Exhibits'!I2308:I2312),"")</f>
        <v/>
      </c>
      <c r="J2312" s="3">
        <f>IF(ISNUMBER(AVERAGE('20250815_ETF_Options_Exhibits'!J2308:J2312)),AVERAGE('20250815_ETF_Options_Exhibits'!J2308:J2312),"")</f>
        <v/>
      </c>
      <c r="K2312" s="3">
        <f>IF(ISNUMBER(AVERAGE('20250815_ETF_Options_Exhibits'!K2308:K2312)),AVERAGE('20250815_ETF_Options_Exhibits'!K2308:K2312),"")</f>
        <v/>
      </c>
      <c r="L2312" s="3">
        <f>IF(ISNUMBER(AVERAGE('20250815_ETF_Options_Exhibits'!L2308:L2312)),AVERAGE('20250815_ETF_Options_Exhibits'!L2308:L2312),"")</f>
        <v/>
      </c>
      <c r="M2312" s="3">
        <f>IF(ISNUMBER(AVERAGE('20250815_ETF_Options_Exhibits'!M2308:M2312)),AVERAGE('20250815_ETF_Options_Exhibits'!M2308:M2312),"")</f>
        <v/>
      </c>
      <c r="N2312" s="3">
        <f>IF(ISNUMBER(AVERAGE('20250815_ETF_Options_Exhibits'!N2308:N2312)),AVERAGE('20250815_ETF_Options_Exhibits'!N2308:N2312),"")</f>
        <v/>
      </c>
      <c r="O2312" s="3">
        <f>IF(ISNUMBER(AVERAGE('20250815_ETF_Options_Exhibits'!O2308:O2312)),AVERAGE('20250815_ETF_Options_Exhibits'!O2308:O2312),"")</f>
        <v/>
      </c>
      <c r="P2312" s="3">
        <f>IF(ISNUMBER(AVERAGE('20250815_ETF_Options_Exhibits'!P2308:P2312)),AVERAGE('20250815_ETF_Options_Exhibits'!P2308:P2312),"")</f>
        <v/>
      </c>
      <c r="Q2312" s="3">
        <f>IF(ISNUMBER(AVERAGE('20250815_ETF_Options_Exhibits'!Q2308:Q2312)),AVERAGE('20250815_ETF_Options_Exhibits'!Q2308:Q2312),"")</f>
        <v/>
      </c>
      <c r="R2312" s="3">
        <f>IF(ISNUMBER(AVERAGE('20250815_ETF_Options_Exhibits'!R2308:R2312)),AVERAGE('20250815_ETF_Options_Exhibits'!R2308:R2312),"")</f>
        <v/>
      </c>
      <c r="S2312" s="3">
        <f>IF(ISNUMBER(AVERAGE('20250815_ETF_Options_Exhibits'!S2308:S2312)),AVERAGE('20250815_ETF_Options_Exhibits'!S2308:S2312),"")</f>
        <v/>
      </c>
      <c r="T2312" s="3">
        <f>IF(ISNUMBER(AVERAGE('20250815_ETF_Options_Exhibits'!T2308:T2312)),AVERAGE('20250815_ETF_Options_Exhibits'!T2308:T2312),"")</f>
        <v/>
      </c>
      <c r="U2312" s="3">
        <f>IF(ISNUMBER(AVERAGE('20250815_ETF_Options_Exhibits'!U2308:U2312)),AVERAGE('20250815_ETF_Options_Exhibits'!U2308:U2312),"")</f>
        <v/>
      </c>
      <c r="V2312" s="3">
        <f>IF(ISNUMBER(AVERAGE('20250815_ETF_Options_Exhibits'!V2308:V2312)),AVERAGE('20250815_ETF_Options_Exhibits'!V2308:V2312),"")</f>
        <v/>
      </c>
      <c r="W2312" s="3">
        <f>IF(ISNUMBER(AVERAGE('20250815_ETF_Options_Exhibits'!W2308:W2312)),AVERAGE('20250815_ETF_Options_Exhibits'!W2308:W2312),"")</f>
        <v/>
      </c>
      <c r="X2312" s="3">
        <f>IF(ISNUMBER(AVERAGE('20250815_ETF_Options_Exhibits'!X2308:X2312)),AVERAGE('20250815_ETF_Options_Exhibits'!X2308:X2312),"")</f>
        <v/>
      </c>
      <c r="Y2312" s="3">
        <f>IF(ISNUMBER(AVERAGE('20250815_ETF_Options_Exhibits'!Y2308:Y2312)),AVERAGE('20250815_ETF_Options_Exhibits'!Y2308:Y2312),"")</f>
        <v/>
      </c>
      <c r="Z2312" s="3">
        <f>IF(ISNUMBER(AVERAGE('20250815_ETF_Options_Exhibits'!Z2308:Z2312)),AVERAGE('20250815_ETF_Options_Exhibits'!Z2308:Z2312),"")</f>
        <v/>
      </c>
      <c r="AA2312" s="3">
        <f>IF(ISNUMBER(AVERAGE('20250815_ETF_Options_Exhibits'!AA2308:AA2312)),AVERAGE('20250815_ETF_Options_Exhibits'!AA2308:AA2312),"")</f>
        <v/>
      </c>
    </row>
    <row r="2313">
      <c r="A2313" s="1" t="n">
        <v>45359</v>
      </c>
      <c r="B2313" s="3">
        <f>IF(ISNUMBER(AVERAGE('20250815_ETF_Options_Exhibits'!B2309:B2313)),AVERAGE('20250815_ETF_Options_Exhibits'!B2309:B2313),"")</f>
        <v/>
      </c>
      <c r="C2313" s="3">
        <f>IF(ISNUMBER(AVERAGE('20250815_ETF_Options_Exhibits'!C2309:C2313)),AVERAGE('20250815_ETF_Options_Exhibits'!C2309:C2313),"")</f>
        <v/>
      </c>
      <c r="D2313" s="3">
        <f>IF(ISNUMBER(AVERAGE('20250815_ETF_Options_Exhibits'!D2309:D2313)),AVERAGE('20250815_ETF_Options_Exhibits'!D2309:D2313),"")</f>
        <v/>
      </c>
      <c r="E2313" s="3">
        <f>IF(ISNUMBER(AVERAGE('20250815_ETF_Options_Exhibits'!E2309:E2313)),AVERAGE('20250815_ETF_Options_Exhibits'!E2309:E2313),"")</f>
        <v/>
      </c>
      <c r="F2313" s="3">
        <f>IF(ISNUMBER(AVERAGE('20250815_ETF_Options_Exhibits'!F2309:F2313)),AVERAGE('20250815_ETF_Options_Exhibits'!F2309:F2313),"")</f>
        <v/>
      </c>
      <c r="G2313" s="3">
        <f>IF(ISNUMBER(AVERAGE('20250815_ETF_Options_Exhibits'!G2309:G2313)),AVERAGE('20250815_ETF_Options_Exhibits'!G2309:G2313),"")</f>
        <v/>
      </c>
      <c r="H2313" s="3">
        <f>IF(ISNUMBER(AVERAGE('20250815_ETF_Options_Exhibits'!H2309:H2313)),AVERAGE('20250815_ETF_Options_Exhibits'!H2309:H2313),"")</f>
        <v/>
      </c>
      <c r="I2313" s="3">
        <f>IF(ISNUMBER(AVERAGE('20250815_ETF_Options_Exhibits'!I2309:I2313)),AVERAGE('20250815_ETF_Options_Exhibits'!I2309:I2313),"")</f>
        <v/>
      </c>
      <c r="J2313" s="3">
        <f>IF(ISNUMBER(AVERAGE('20250815_ETF_Options_Exhibits'!J2309:J2313)),AVERAGE('20250815_ETF_Options_Exhibits'!J2309:J2313),"")</f>
        <v/>
      </c>
      <c r="K2313" s="3">
        <f>IF(ISNUMBER(AVERAGE('20250815_ETF_Options_Exhibits'!K2309:K2313)),AVERAGE('20250815_ETF_Options_Exhibits'!K2309:K2313),"")</f>
        <v/>
      </c>
      <c r="L2313" s="3">
        <f>IF(ISNUMBER(AVERAGE('20250815_ETF_Options_Exhibits'!L2309:L2313)),AVERAGE('20250815_ETF_Options_Exhibits'!L2309:L2313),"")</f>
        <v/>
      </c>
      <c r="M2313" s="3">
        <f>IF(ISNUMBER(AVERAGE('20250815_ETF_Options_Exhibits'!M2309:M2313)),AVERAGE('20250815_ETF_Options_Exhibits'!M2309:M2313),"")</f>
        <v/>
      </c>
      <c r="N2313" s="3">
        <f>IF(ISNUMBER(AVERAGE('20250815_ETF_Options_Exhibits'!N2309:N2313)),AVERAGE('20250815_ETF_Options_Exhibits'!N2309:N2313),"")</f>
        <v/>
      </c>
      <c r="O2313" s="3">
        <f>IF(ISNUMBER(AVERAGE('20250815_ETF_Options_Exhibits'!O2309:O2313)),AVERAGE('20250815_ETF_Options_Exhibits'!O2309:O2313),"")</f>
        <v/>
      </c>
      <c r="P2313" s="3">
        <f>IF(ISNUMBER(AVERAGE('20250815_ETF_Options_Exhibits'!P2309:P2313)),AVERAGE('20250815_ETF_Options_Exhibits'!P2309:P2313),"")</f>
        <v/>
      </c>
      <c r="Q2313" s="3">
        <f>IF(ISNUMBER(AVERAGE('20250815_ETF_Options_Exhibits'!Q2309:Q2313)),AVERAGE('20250815_ETF_Options_Exhibits'!Q2309:Q2313),"")</f>
        <v/>
      </c>
      <c r="R2313" s="3">
        <f>IF(ISNUMBER(AVERAGE('20250815_ETF_Options_Exhibits'!R2309:R2313)),AVERAGE('20250815_ETF_Options_Exhibits'!R2309:R2313),"")</f>
        <v/>
      </c>
      <c r="S2313" s="3">
        <f>IF(ISNUMBER(AVERAGE('20250815_ETF_Options_Exhibits'!S2309:S2313)),AVERAGE('20250815_ETF_Options_Exhibits'!S2309:S2313),"")</f>
        <v/>
      </c>
      <c r="T2313" s="3">
        <f>IF(ISNUMBER(AVERAGE('20250815_ETF_Options_Exhibits'!T2309:T2313)),AVERAGE('20250815_ETF_Options_Exhibits'!T2309:T2313),"")</f>
        <v/>
      </c>
      <c r="U2313" s="3">
        <f>IF(ISNUMBER(AVERAGE('20250815_ETF_Options_Exhibits'!U2309:U2313)),AVERAGE('20250815_ETF_Options_Exhibits'!U2309:U2313),"")</f>
        <v/>
      </c>
      <c r="V2313" s="3">
        <f>IF(ISNUMBER(AVERAGE('20250815_ETF_Options_Exhibits'!V2309:V2313)),AVERAGE('20250815_ETF_Options_Exhibits'!V2309:V2313),"")</f>
        <v/>
      </c>
      <c r="W2313" s="3">
        <f>IF(ISNUMBER(AVERAGE('20250815_ETF_Options_Exhibits'!W2309:W2313)),AVERAGE('20250815_ETF_Options_Exhibits'!W2309:W2313),"")</f>
        <v/>
      </c>
      <c r="X2313" s="3">
        <f>IF(ISNUMBER(AVERAGE('20250815_ETF_Options_Exhibits'!X2309:X2313)),AVERAGE('20250815_ETF_Options_Exhibits'!X2309:X2313),"")</f>
        <v/>
      </c>
      <c r="Y2313" s="3">
        <f>IF(ISNUMBER(AVERAGE('20250815_ETF_Options_Exhibits'!Y2309:Y2313)),AVERAGE('20250815_ETF_Options_Exhibits'!Y2309:Y2313),"")</f>
        <v/>
      </c>
      <c r="Z2313" s="3">
        <f>IF(ISNUMBER(AVERAGE('20250815_ETF_Options_Exhibits'!Z2309:Z2313)),AVERAGE('20250815_ETF_Options_Exhibits'!Z2309:Z2313),"")</f>
        <v/>
      </c>
      <c r="AA2313" s="3">
        <f>IF(ISNUMBER(AVERAGE('20250815_ETF_Options_Exhibits'!AA2309:AA2313)),AVERAGE('20250815_ETF_Options_Exhibits'!AA2309:AA2313),"")</f>
        <v/>
      </c>
    </row>
    <row r="2314">
      <c r="A2314" s="1" t="n">
        <v>45362</v>
      </c>
      <c r="B2314" s="3">
        <f>IF(ISNUMBER(AVERAGE('20250815_ETF_Options_Exhibits'!B2310:B2314)),AVERAGE('20250815_ETF_Options_Exhibits'!B2310:B2314),"")</f>
        <v/>
      </c>
      <c r="C2314" s="3">
        <f>IF(ISNUMBER(AVERAGE('20250815_ETF_Options_Exhibits'!C2310:C2314)),AVERAGE('20250815_ETF_Options_Exhibits'!C2310:C2314),"")</f>
        <v/>
      </c>
      <c r="D2314" s="3">
        <f>IF(ISNUMBER(AVERAGE('20250815_ETF_Options_Exhibits'!D2310:D2314)),AVERAGE('20250815_ETF_Options_Exhibits'!D2310:D2314),"")</f>
        <v/>
      </c>
      <c r="E2314" s="3">
        <f>IF(ISNUMBER(AVERAGE('20250815_ETF_Options_Exhibits'!E2310:E2314)),AVERAGE('20250815_ETF_Options_Exhibits'!E2310:E2314),"")</f>
        <v/>
      </c>
      <c r="F2314" s="3">
        <f>IF(ISNUMBER(AVERAGE('20250815_ETF_Options_Exhibits'!F2310:F2314)),AVERAGE('20250815_ETF_Options_Exhibits'!F2310:F2314),"")</f>
        <v/>
      </c>
      <c r="G2314" s="3">
        <f>IF(ISNUMBER(AVERAGE('20250815_ETF_Options_Exhibits'!G2310:G2314)),AVERAGE('20250815_ETF_Options_Exhibits'!G2310:G2314),"")</f>
        <v/>
      </c>
      <c r="H2314" s="3">
        <f>IF(ISNUMBER(AVERAGE('20250815_ETF_Options_Exhibits'!H2310:H2314)),AVERAGE('20250815_ETF_Options_Exhibits'!H2310:H2314),"")</f>
        <v/>
      </c>
      <c r="I2314" s="3">
        <f>IF(ISNUMBER(AVERAGE('20250815_ETF_Options_Exhibits'!I2310:I2314)),AVERAGE('20250815_ETF_Options_Exhibits'!I2310:I2314),"")</f>
        <v/>
      </c>
      <c r="J2314" s="3">
        <f>IF(ISNUMBER(AVERAGE('20250815_ETF_Options_Exhibits'!J2310:J2314)),AVERAGE('20250815_ETF_Options_Exhibits'!J2310:J2314),"")</f>
        <v/>
      </c>
      <c r="K2314" s="3">
        <f>IF(ISNUMBER(AVERAGE('20250815_ETF_Options_Exhibits'!K2310:K2314)),AVERAGE('20250815_ETF_Options_Exhibits'!K2310:K2314),"")</f>
        <v/>
      </c>
      <c r="L2314" s="3">
        <f>IF(ISNUMBER(AVERAGE('20250815_ETF_Options_Exhibits'!L2310:L2314)),AVERAGE('20250815_ETF_Options_Exhibits'!L2310:L2314),"")</f>
        <v/>
      </c>
      <c r="M2314" s="3">
        <f>IF(ISNUMBER(AVERAGE('20250815_ETF_Options_Exhibits'!M2310:M2314)),AVERAGE('20250815_ETF_Options_Exhibits'!M2310:M2314),"")</f>
        <v/>
      </c>
      <c r="N2314" s="3">
        <f>IF(ISNUMBER(AVERAGE('20250815_ETF_Options_Exhibits'!N2310:N2314)),AVERAGE('20250815_ETF_Options_Exhibits'!N2310:N2314),"")</f>
        <v/>
      </c>
      <c r="O2314" s="3">
        <f>IF(ISNUMBER(AVERAGE('20250815_ETF_Options_Exhibits'!O2310:O2314)),AVERAGE('20250815_ETF_Options_Exhibits'!O2310:O2314),"")</f>
        <v/>
      </c>
      <c r="P2314" s="3">
        <f>IF(ISNUMBER(AVERAGE('20250815_ETF_Options_Exhibits'!P2310:P2314)),AVERAGE('20250815_ETF_Options_Exhibits'!P2310:P2314),"")</f>
        <v/>
      </c>
      <c r="Q2314" s="3">
        <f>IF(ISNUMBER(AVERAGE('20250815_ETF_Options_Exhibits'!Q2310:Q2314)),AVERAGE('20250815_ETF_Options_Exhibits'!Q2310:Q2314),"")</f>
        <v/>
      </c>
      <c r="R2314" s="3">
        <f>IF(ISNUMBER(AVERAGE('20250815_ETF_Options_Exhibits'!R2310:R2314)),AVERAGE('20250815_ETF_Options_Exhibits'!R2310:R2314),"")</f>
        <v/>
      </c>
      <c r="S2314" s="3">
        <f>IF(ISNUMBER(AVERAGE('20250815_ETF_Options_Exhibits'!S2310:S2314)),AVERAGE('20250815_ETF_Options_Exhibits'!S2310:S2314),"")</f>
        <v/>
      </c>
      <c r="T2314" s="3">
        <f>IF(ISNUMBER(AVERAGE('20250815_ETF_Options_Exhibits'!T2310:T2314)),AVERAGE('20250815_ETF_Options_Exhibits'!T2310:T2314),"")</f>
        <v/>
      </c>
      <c r="U2314" s="3">
        <f>IF(ISNUMBER(AVERAGE('20250815_ETF_Options_Exhibits'!U2310:U2314)),AVERAGE('20250815_ETF_Options_Exhibits'!U2310:U2314),"")</f>
        <v/>
      </c>
      <c r="V2314" s="3">
        <f>IF(ISNUMBER(AVERAGE('20250815_ETF_Options_Exhibits'!V2310:V2314)),AVERAGE('20250815_ETF_Options_Exhibits'!V2310:V2314),"")</f>
        <v/>
      </c>
      <c r="W2314" s="3">
        <f>IF(ISNUMBER(AVERAGE('20250815_ETF_Options_Exhibits'!W2310:W2314)),AVERAGE('20250815_ETF_Options_Exhibits'!W2310:W2314),"")</f>
        <v/>
      </c>
      <c r="X2314" s="3">
        <f>IF(ISNUMBER(AVERAGE('20250815_ETF_Options_Exhibits'!X2310:X2314)),AVERAGE('20250815_ETF_Options_Exhibits'!X2310:X2314),"")</f>
        <v/>
      </c>
      <c r="Y2314" s="3">
        <f>IF(ISNUMBER(AVERAGE('20250815_ETF_Options_Exhibits'!Y2310:Y2314)),AVERAGE('20250815_ETF_Options_Exhibits'!Y2310:Y2314),"")</f>
        <v/>
      </c>
      <c r="Z2314" s="3">
        <f>IF(ISNUMBER(AVERAGE('20250815_ETF_Options_Exhibits'!Z2310:Z2314)),AVERAGE('20250815_ETF_Options_Exhibits'!Z2310:Z2314),"")</f>
        <v/>
      </c>
      <c r="AA2314" s="3">
        <f>IF(ISNUMBER(AVERAGE('20250815_ETF_Options_Exhibits'!AA2310:AA2314)),AVERAGE('20250815_ETF_Options_Exhibits'!AA2310:AA2314),"")</f>
        <v/>
      </c>
    </row>
    <row r="2315">
      <c r="A2315" s="1" t="n">
        <v>45363</v>
      </c>
      <c r="B2315" s="3">
        <f>IF(ISNUMBER(AVERAGE('20250815_ETF_Options_Exhibits'!B2311:B2315)),AVERAGE('20250815_ETF_Options_Exhibits'!B2311:B2315),"")</f>
        <v/>
      </c>
      <c r="C2315" s="3">
        <f>IF(ISNUMBER(AVERAGE('20250815_ETF_Options_Exhibits'!C2311:C2315)),AVERAGE('20250815_ETF_Options_Exhibits'!C2311:C2315),"")</f>
        <v/>
      </c>
      <c r="D2315" s="3">
        <f>IF(ISNUMBER(AVERAGE('20250815_ETF_Options_Exhibits'!D2311:D2315)),AVERAGE('20250815_ETF_Options_Exhibits'!D2311:D2315),"")</f>
        <v/>
      </c>
      <c r="E2315" s="3">
        <f>IF(ISNUMBER(AVERAGE('20250815_ETF_Options_Exhibits'!E2311:E2315)),AVERAGE('20250815_ETF_Options_Exhibits'!E2311:E2315),"")</f>
        <v/>
      </c>
      <c r="F2315" s="3">
        <f>IF(ISNUMBER(AVERAGE('20250815_ETF_Options_Exhibits'!F2311:F2315)),AVERAGE('20250815_ETF_Options_Exhibits'!F2311:F2315),"")</f>
        <v/>
      </c>
      <c r="G2315" s="3">
        <f>IF(ISNUMBER(AVERAGE('20250815_ETF_Options_Exhibits'!G2311:G2315)),AVERAGE('20250815_ETF_Options_Exhibits'!G2311:G2315),"")</f>
        <v/>
      </c>
      <c r="H2315" s="3">
        <f>IF(ISNUMBER(AVERAGE('20250815_ETF_Options_Exhibits'!H2311:H2315)),AVERAGE('20250815_ETF_Options_Exhibits'!H2311:H2315),"")</f>
        <v/>
      </c>
      <c r="I2315" s="3">
        <f>IF(ISNUMBER(AVERAGE('20250815_ETF_Options_Exhibits'!I2311:I2315)),AVERAGE('20250815_ETF_Options_Exhibits'!I2311:I2315),"")</f>
        <v/>
      </c>
      <c r="J2315" s="3">
        <f>IF(ISNUMBER(AVERAGE('20250815_ETF_Options_Exhibits'!J2311:J2315)),AVERAGE('20250815_ETF_Options_Exhibits'!J2311:J2315),"")</f>
        <v/>
      </c>
      <c r="K2315" s="3">
        <f>IF(ISNUMBER(AVERAGE('20250815_ETF_Options_Exhibits'!K2311:K2315)),AVERAGE('20250815_ETF_Options_Exhibits'!K2311:K2315),"")</f>
        <v/>
      </c>
      <c r="L2315" s="3">
        <f>IF(ISNUMBER(AVERAGE('20250815_ETF_Options_Exhibits'!L2311:L2315)),AVERAGE('20250815_ETF_Options_Exhibits'!L2311:L2315),"")</f>
        <v/>
      </c>
      <c r="M2315" s="3">
        <f>IF(ISNUMBER(AVERAGE('20250815_ETF_Options_Exhibits'!M2311:M2315)),AVERAGE('20250815_ETF_Options_Exhibits'!M2311:M2315),"")</f>
        <v/>
      </c>
      <c r="N2315" s="3">
        <f>IF(ISNUMBER(AVERAGE('20250815_ETF_Options_Exhibits'!N2311:N2315)),AVERAGE('20250815_ETF_Options_Exhibits'!N2311:N2315),"")</f>
        <v/>
      </c>
      <c r="O2315" s="3">
        <f>IF(ISNUMBER(AVERAGE('20250815_ETF_Options_Exhibits'!O2311:O2315)),AVERAGE('20250815_ETF_Options_Exhibits'!O2311:O2315),"")</f>
        <v/>
      </c>
      <c r="P2315" s="3">
        <f>IF(ISNUMBER(AVERAGE('20250815_ETF_Options_Exhibits'!P2311:P2315)),AVERAGE('20250815_ETF_Options_Exhibits'!P2311:P2315),"")</f>
        <v/>
      </c>
      <c r="Q2315" s="3">
        <f>IF(ISNUMBER(AVERAGE('20250815_ETF_Options_Exhibits'!Q2311:Q2315)),AVERAGE('20250815_ETF_Options_Exhibits'!Q2311:Q2315),"")</f>
        <v/>
      </c>
      <c r="R2315" s="3">
        <f>IF(ISNUMBER(AVERAGE('20250815_ETF_Options_Exhibits'!R2311:R2315)),AVERAGE('20250815_ETF_Options_Exhibits'!R2311:R2315),"")</f>
        <v/>
      </c>
      <c r="S2315" s="3">
        <f>IF(ISNUMBER(AVERAGE('20250815_ETF_Options_Exhibits'!S2311:S2315)),AVERAGE('20250815_ETF_Options_Exhibits'!S2311:S2315),"")</f>
        <v/>
      </c>
      <c r="T2315" s="3">
        <f>IF(ISNUMBER(AVERAGE('20250815_ETF_Options_Exhibits'!T2311:T2315)),AVERAGE('20250815_ETF_Options_Exhibits'!T2311:T2315),"")</f>
        <v/>
      </c>
      <c r="U2315" s="3">
        <f>IF(ISNUMBER(AVERAGE('20250815_ETF_Options_Exhibits'!U2311:U2315)),AVERAGE('20250815_ETF_Options_Exhibits'!U2311:U2315),"")</f>
        <v/>
      </c>
      <c r="V2315" s="3">
        <f>IF(ISNUMBER(AVERAGE('20250815_ETF_Options_Exhibits'!V2311:V2315)),AVERAGE('20250815_ETF_Options_Exhibits'!V2311:V2315),"")</f>
        <v/>
      </c>
      <c r="W2315" s="3">
        <f>IF(ISNUMBER(AVERAGE('20250815_ETF_Options_Exhibits'!W2311:W2315)),AVERAGE('20250815_ETF_Options_Exhibits'!W2311:W2315),"")</f>
        <v/>
      </c>
      <c r="X2315" s="3">
        <f>IF(ISNUMBER(AVERAGE('20250815_ETF_Options_Exhibits'!X2311:X2315)),AVERAGE('20250815_ETF_Options_Exhibits'!X2311:X2315),"")</f>
        <v/>
      </c>
      <c r="Y2315" s="3">
        <f>IF(ISNUMBER(AVERAGE('20250815_ETF_Options_Exhibits'!Y2311:Y2315)),AVERAGE('20250815_ETF_Options_Exhibits'!Y2311:Y2315),"")</f>
        <v/>
      </c>
      <c r="Z2315" s="3">
        <f>IF(ISNUMBER(AVERAGE('20250815_ETF_Options_Exhibits'!Z2311:Z2315)),AVERAGE('20250815_ETF_Options_Exhibits'!Z2311:Z2315),"")</f>
        <v/>
      </c>
      <c r="AA2315" s="3">
        <f>IF(ISNUMBER(AVERAGE('20250815_ETF_Options_Exhibits'!AA2311:AA2315)),AVERAGE('20250815_ETF_Options_Exhibits'!AA2311:AA2315),"")</f>
        <v/>
      </c>
    </row>
    <row r="2316">
      <c r="A2316" s="1" t="n">
        <v>45364</v>
      </c>
      <c r="B2316" s="3">
        <f>IF(ISNUMBER(AVERAGE('20250815_ETF_Options_Exhibits'!B2312:B2316)),AVERAGE('20250815_ETF_Options_Exhibits'!B2312:B2316),"")</f>
        <v/>
      </c>
      <c r="C2316" s="3">
        <f>IF(ISNUMBER(AVERAGE('20250815_ETF_Options_Exhibits'!C2312:C2316)),AVERAGE('20250815_ETF_Options_Exhibits'!C2312:C2316),"")</f>
        <v/>
      </c>
      <c r="D2316" s="3">
        <f>IF(ISNUMBER(AVERAGE('20250815_ETF_Options_Exhibits'!D2312:D2316)),AVERAGE('20250815_ETF_Options_Exhibits'!D2312:D2316),"")</f>
        <v/>
      </c>
      <c r="E2316" s="3">
        <f>IF(ISNUMBER(AVERAGE('20250815_ETF_Options_Exhibits'!E2312:E2316)),AVERAGE('20250815_ETF_Options_Exhibits'!E2312:E2316),"")</f>
        <v/>
      </c>
      <c r="F2316" s="3">
        <f>IF(ISNUMBER(AVERAGE('20250815_ETF_Options_Exhibits'!F2312:F2316)),AVERAGE('20250815_ETF_Options_Exhibits'!F2312:F2316),"")</f>
        <v/>
      </c>
      <c r="G2316" s="3">
        <f>IF(ISNUMBER(AVERAGE('20250815_ETF_Options_Exhibits'!G2312:G2316)),AVERAGE('20250815_ETF_Options_Exhibits'!G2312:G2316),"")</f>
        <v/>
      </c>
      <c r="H2316" s="3">
        <f>IF(ISNUMBER(AVERAGE('20250815_ETF_Options_Exhibits'!H2312:H2316)),AVERAGE('20250815_ETF_Options_Exhibits'!H2312:H2316),"")</f>
        <v/>
      </c>
      <c r="I2316" s="3">
        <f>IF(ISNUMBER(AVERAGE('20250815_ETF_Options_Exhibits'!I2312:I2316)),AVERAGE('20250815_ETF_Options_Exhibits'!I2312:I2316),"")</f>
        <v/>
      </c>
      <c r="J2316" s="3">
        <f>IF(ISNUMBER(AVERAGE('20250815_ETF_Options_Exhibits'!J2312:J2316)),AVERAGE('20250815_ETF_Options_Exhibits'!J2312:J2316),"")</f>
        <v/>
      </c>
      <c r="K2316" s="3">
        <f>IF(ISNUMBER(AVERAGE('20250815_ETF_Options_Exhibits'!K2312:K2316)),AVERAGE('20250815_ETF_Options_Exhibits'!K2312:K2316),"")</f>
        <v/>
      </c>
      <c r="L2316" s="3">
        <f>IF(ISNUMBER(AVERAGE('20250815_ETF_Options_Exhibits'!L2312:L2316)),AVERAGE('20250815_ETF_Options_Exhibits'!L2312:L2316),"")</f>
        <v/>
      </c>
      <c r="M2316" s="3">
        <f>IF(ISNUMBER(AVERAGE('20250815_ETF_Options_Exhibits'!M2312:M2316)),AVERAGE('20250815_ETF_Options_Exhibits'!M2312:M2316),"")</f>
        <v/>
      </c>
      <c r="N2316" s="3">
        <f>IF(ISNUMBER(AVERAGE('20250815_ETF_Options_Exhibits'!N2312:N2316)),AVERAGE('20250815_ETF_Options_Exhibits'!N2312:N2316),"")</f>
        <v/>
      </c>
      <c r="O2316" s="3">
        <f>IF(ISNUMBER(AVERAGE('20250815_ETF_Options_Exhibits'!O2312:O2316)),AVERAGE('20250815_ETF_Options_Exhibits'!O2312:O2316),"")</f>
        <v/>
      </c>
      <c r="P2316" s="3">
        <f>IF(ISNUMBER(AVERAGE('20250815_ETF_Options_Exhibits'!P2312:P2316)),AVERAGE('20250815_ETF_Options_Exhibits'!P2312:P2316),"")</f>
        <v/>
      </c>
      <c r="Q2316" s="3">
        <f>IF(ISNUMBER(AVERAGE('20250815_ETF_Options_Exhibits'!Q2312:Q2316)),AVERAGE('20250815_ETF_Options_Exhibits'!Q2312:Q2316),"")</f>
        <v/>
      </c>
      <c r="R2316" s="3">
        <f>IF(ISNUMBER(AVERAGE('20250815_ETF_Options_Exhibits'!R2312:R2316)),AVERAGE('20250815_ETF_Options_Exhibits'!R2312:R2316),"")</f>
        <v/>
      </c>
      <c r="S2316" s="3">
        <f>IF(ISNUMBER(AVERAGE('20250815_ETF_Options_Exhibits'!S2312:S2316)),AVERAGE('20250815_ETF_Options_Exhibits'!S2312:S2316),"")</f>
        <v/>
      </c>
      <c r="T2316" s="3">
        <f>IF(ISNUMBER(AVERAGE('20250815_ETF_Options_Exhibits'!T2312:T2316)),AVERAGE('20250815_ETF_Options_Exhibits'!T2312:T2316),"")</f>
        <v/>
      </c>
      <c r="U2316" s="3">
        <f>IF(ISNUMBER(AVERAGE('20250815_ETF_Options_Exhibits'!U2312:U2316)),AVERAGE('20250815_ETF_Options_Exhibits'!U2312:U2316),"")</f>
        <v/>
      </c>
      <c r="V2316" s="3">
        <f>IF(ISNUMBER(AVERAGE('20250815_ETF_Options_Exhibits'!V2312:V2316)),AVERAGE('20250815_ETF_Options_Exhibits'!V2312:V2316),"")</f>
        <v/>
      </c>
      <c r="W2316" s="3">
        <f>IF(ISNUMBER(AVERAGE('20250815_ETF_Options_Exhibits'!W2312:W2316)),AVERAGE('20250815_ETF_Options_Exhibits'!W2312:W2316),"")</f>
        <v/>
      </c>
      <c r="X2316" s="3">
        <f>IF(ISNUMBER(AVERAGE('20250815_ETF_Options_Exhibits'!X2312:X2316)),AVERAGE('20250815_ETF_Options_Exhibits'!X2312:X2316),"")</f>
        <v/>
      </c>
      <c r="Y2316" s="3">
        <f>IF(ISNUMBER(AVERAGE('20250815_ETF_Options_Exhibits'!Y2312:Y2316)),AVERAGE('20250815_ETF_Options_Exhibits'!Y2312:Y2316),"")</f>
        <v/>
      </c>
      <c r="Z2316" s="3">
        <f>IF(ISNUMBER(AVERAGE('20250815_ETF_Options_Exhibits'!Z2312:Z2316)),AVERAGE('20250815_ETF_Options_Exhibits'!Z2312:Z2316),"")</f>
        <v/>
      </c>
      <c r="AA2316" s="3">
        <f>IF(ISNUMBER(AVERAGE('20250815_ETF_Options_Exhibits'!AA2312:AA2316)),AVERAGE('20250815_ETF_Options_Exhibits'!AA2312:AA2316),"")</f>
        <v/>
      </c>
    </row>
    <row r="2317">
      <c r="A2317" s="1" t="n">
        <v>45365</v>
      </c>
      <c r="B2317" s="3">
        <f>IF(ISNUMBER(AVERAGE('20250815_ETF_Options_Exhibits'!B2313:B2317)),AVERAGE('20250815_ETF_Options_Exhibits'!B2313:B2317),"")</f>
        <v/>
      </c>
      <c r="C2317" s="3">
        <f>IF(ISNUMBER(AVERAGE('20250815_ETF_Options_Exhibits'!C2313:C2317)),AVERAGE('20250815_ETF_Options_Exhibits'!C2313:C2317),"")</f>
        <v/>
      </c>
      <c r="D2317" s="3">
        <f>IF(ISNUMBER(AVERAGE('20250815_ETF_Options_Exhibits'!D2313:D2317)),AVERAGE('20250815_ETF_Options_Exhibits'!D2313:D2317),"")</f>
        <v/>
      </c>
      <c r="E2317" s="3">
        <f>IF(ISNUMBER(AVERAGE('20250815_ETF_Options_Exhibits'!E2313:E2317)),AVERAGE('20250815_ETF_Options_Exhibits'!E2313:E2317),"")</f>
        <v/>
      </c>
      <c r="F2317" s="3">
        <f>IF(ISNUMBER(AVERAGE('20250815_ETF_Options_Exhibits'!F2313:F2317)),AVERAGE('20250815_ETF_Options_Exhibits'!F2313:F2317),"")</f>
        <v/>
      </c>
      <c r="G2317" s="3">
        <f>IF(ISNUMBER(AVERAGE('20250815_ETF_Options_Exhibits'!G2313:G2317)),AVERAGE('20250815_ETF_Options_Exhibits'!G2313:G2317),"")</f>
        <v/>
      </c>
      <c r="H2317" s="3">
        <f>IF(ISNUMBER(AVERAGE('20250815_ETF_Options_Exhibits'!H2313:H2317)),AVERAGE('20250815_ETF_Options_Exhibits'!H2313:H2317),"")</f>
        <v/>
      </c>
      <c r="I2317" s="3">
        <f>IF(ISNUMBER(AVERAGE('20250815_ETF_Options_Exhibits'!I2313:I2317)),AVERAGE('20250815_ETF_Options_Exhibits'!I2313:I2317),"")</f>
        <v/>
      </c>
      <c r="J2317" s="3">
        <f>IF(ISNUMBER(AVERAGE('20250815_ETF_Options_Exhibits'!J2313:J2317)),AVERAGE('20250815_ETF_Options_Exhibits'!J2313:J2317),"")</f>
        <v/>
      </c>
      <c r="K2317" s="3">
        <f>IF(ISNUMBER(AVERAGE('20250815_ETF_Options_Exhibits'!K2313:K2317)),AVERAGE('20250815_ETF_Options_Exhibits'!K2313:K2317),"")</f>
        <v/>
      </c>
      <c r="L2317" s="3">
        <f>IF(ISNUMBER(AVERAGE('20250815_ETF_Options_Exhibits'!L2313:L2317)),AVERAGE('20250815_ETF_Options_Exhibits'!L2313:L2317),"")</f>
        <v/>
      </c>
      <c r="M2317" s="3">
        <f>IF(ISNUMBER(AVERAGE('20250815_ETF_Options_Exhibits'!M2313:M2317)),AVERAGE('20250815_ETF_Options_Exhibits'!M2313:M2317),"")</f>
        <v/>
      </c>
      <c r="N2317" s="3">
        <f>IF(ISNUMBER(AVERAGE('20250815_ETF_Options_Exhibits'!N2313:N2317)),AVERAGE('20250815_ETF_Options_Exhibits'!N2313:N2317),"")</f>
        <v/>
      </c>
      <c r="O2317" s="3">
        <f>IF(ISNUMBER(AVERAGE('20250815_ETF_Options_Exhibits'!O2313:O2317)),AVERAGE('20250815_ETF_Options_Exhibits'!O2313:O2317),"")</f>
        <v/>
      </c>
      <c r="P2317" s="3">
        <f>IF(ISNUMBER(AVERAGE('20250815_ETF_Options_Exhibits'!P2313:P2317)),AVERAGE('20250815_ETF_Options_Exhibits'!P2313:P2317),"")</f>
        <v/>
      </c>
      <c r="Q2317" s="3">
        <f>IF(ISNUMBER(AVERAGE('20250815_ETF_Options_Exhibits'!Q2313:Q2317)),AVERAGE('20250815_ETF_Options_Exhibits'!Q2313:Q2317),"")</f>
        <v/>
      </c>
      <c r="R2317" s="3">
        <f>IF(ISNUMBER(AVERAGE('20250815_ETF_Options_Exhibits'!R2313:R2317)),AVERAGE('20250815_ETF_Options_Exhibits'!R2313:R2317),"")</f>
        <v/>
      </c>
      <c r="S2317" s="3">
        <f>IF(ISNUMBER(AVERAGE('20250815_ETF_Options_Exhibits'!S2313:S2317)),AVERAGE('20250815_ETF_Options_Exhibits'!S2313:S2317),"")</f>
        <v/>
      </c>
      <c r="T2317" s="3">
        <f>IF(ISNUMBER(AVERAGE('20250815_ETF_Options_Exhibits'!T2313:T2317)),AVERAGE('20250815_ETF_Options_Exhibits'!T2313:T2317),"")</f>
        <v/>
      </c>
      <c r="U2317" s="3">
        <f>IF(ISNUMBER(AVERAGE('20250815_ETF_Options_Exhibits'!U2313:U2317)),AVERAGE('20250815_ETF_Options_Exhibits'!U2313:U2317),"")</f>
        <v/>
      </c>
      <c r="V2317" s="3">
        <f>IF(ISNUMBER(AVERAGE('20250815_ETF_Options_Exhibits'!V2313:V2317)),AVERAGE('20250815_ETF_Options_Exhibits'!V2313:V2317),"")</f>
        <v/>
      </c>
      <c r="W2317" s="3">
        <f>IF(ISNUMBER(AVERAGE('20250815_ETF_Options_Exhibits'!W2313:W2317)),AVERAGE('20250815_ETF_Options_Exhibits'!W2313:W2317),"")</f>
        <v/>
      </c>
      <c r="X2317" s="3">
        <f>IF(ISNUMBER(AVERAGE('20250815_ETF_Options_Exhibits'!X2313:X2317)),AVERAGE('20250815_ETF_Options_Exhibits'!X2313:X2317),"")</f>
        <v/>
      </c>
      <c r="Y2317" s="3">
        <f>IF(ISNUMBER(AVERAGE('20250815_ETF_Options_Exhibits'!Y2313:Y2317)),AVERAGE('20250815_ETF_Options_Exhibits'!Y2313:Y2317),"")</f>
        <v/>
      </c>
      <c r="Z2317" s="3">
        <f>IF(ISNUMBER(AVERAGE('20250815_ETF_Options_Exhibits'!Z2313:Z2317)),AVERAGE('20250815_ETF_Options_Exhibits'!Z2313:Z2317),"")</f>
        <v/>
      </c>
      <c r="AA2317" s="3">
        <f>IF(ISNUMBER(AVERAGE('20250815_ETF_Options_Exhibits'!AA2313:AA2317)),AVERAGE('20250815_ETF_Options_Exhibits'!AA2313:AA2317),"")</f>
        <v/>
      </c>
    </row>
    <row r="2318">
      <c r="A2318" s="1" t="n">
        <v>45366</v>
      </c>
      <c r="B2318" s="3">
        <f>IF(ISNUMBER(AVERAGE('20250815_ETF_Options_Exhibits'!B2314:B2318)),AVERAGE('20250815_ETF_Options_Exhibits'!B2314:B2318),"")</f>
        <v/>
      </c>
      <c r="C2318" s="3">
        <f>IF(ISNUMBER(AVERAGE('20250815_ETF_Options_Exhibits'!C2314:C2318)),AVERAGE('20250815_ETF_Options_Exhibits'!C2314:C2318),"")</f>
        <v/>
      </c>
      <c r="D2318" s="3">
        <f>IF(ISNUMBER(AVERAGE('20250815_ETF_Options_Exhibits'!D2314:D2318)),AVERAGE('20250815_ETF_Options_Exhibits'!D2314:D2318),"")</f>
        <v/>
      </c>
      <c r="E2318" s="3">
        <f>IF(ISNUMBER(AVERAGE('20250815_ETF_Options_Exhibits'!E2314:E2318)),AVERAGE('20250815_ETF_Options_Exhibits'!E2314:E2318),"")</f>
        <v/>
      </c>
      <c r="F2318" s="3">
        <f>IF(ISNUMBER(AVERAGE('20250815_ETF_Options_Exhibits'!F2314:F2318)),AVERAGE('20250815_ETF_Options_Exhibits'!F2314:F2318),"")</f>
        <v/>
      </c>
      <c r="G2318" s="3">
        <f>IF(ISNUMBER(AVERAGE('20250815_ETF_Options_Exhibits'!G2314:G2318)),AVERAGE('20250815_ETF_Options_Exhibits'!G2314:G2318),"")</f>
        <v/>
      </c>
      <c r="H2318" s="3">
        <f>IF(ISNUMBER(AVERAGE('20250815_ETF_Options_Exhibits'!H2314:H2318)),AVERAGE('20250815_ETF_Options_Exhibits'!H2314:H2318),"")</f>
        <v/>
      </c>
      <c r="I2318" s="3">
        <f>IF(ISNUMBER(AVERAGE('20250815_ETF_Options_Exhibits'!I2314:I2318)),AVERAGE('20250815_ETF_Options_Exhibits'!I2314:I2318),"")</f>
        <v/>
      </c>
      <c r="J2318" s="3">
        <f>IF(ISNUMBER(AVERAGE('20250815_ETF_Options_Exhibits'!J2314:J2318)),AVERAGE('20250815_ETF_Options_Exhibits'!J2314:J2318),"")</f>
        <v/>
      </c>
      <c r="K2318" s="3">
        <f>IF(ISNUMBER(AVERAGE('20250815_ETF_Options_Exhibits'!K2314:K2318)),AVERAGE('20250815_ETF_Options_Exhibits'!K2314:K2318),"")</f>
        <v/>
      </c>
      <c r="L2318" s="3">
        <f>IF(ISNUMBER(AVERAGE('20250815_ETF_Options_Exhibits'!L2314:L2318)),AVERAGE('20250815_ETF_Options_Exhibits'!L2314:L2318),"")</f>
        <v/>
      </c>
      <c r="M2318" s="3">
        <f>IF(ISNUMBER(AVERAGE('20250815_ETF_Options_Exhibits'!M2314:M2318)),AVERAGE('20250815_ETF_Options_Exhibits'!M2314:M2318),"")</f>
        <v/>
      </c>
      <c r="N2318" s="3">
        <f>IF(ISNUMBER(AVERAGE('20250815_ETF_Options_Exhibits'!N2314:N2318)),AVERAGE('20250815_ETF_Options_Exhibits'!N2314:N2318),"")</f>
        <v/>
      </c>
      <c r="O2318" s="3">
        <f>IF(ISNUMBER(AVERAGE('20250815_ETF_Options_Exhibits'!O2314:O2318)),AVERAGE('20250815_ETF_Options_Exhibits'!O2314:O2318),"")</f>
        <v/>
      </c>
      <c r="P2318" s="3">
        <f>IF(ISNUMBER(AVERAGE('20250815_ETF_Options_Exhibits'!P2314:P2318)),AVERAGE('20250815_ETF_Options_Exhibits'!P2314:P2318),"")</f>
        <v/>
      </c>
      <c r="Q2318" s="3">
        <f>IF(ISNUMBER(AVERAGE('20250815_ETF_Options_Exhibits'!Q2314:Q2318)),AVERAGE('20250815_ETF_Options_Exhibits'!Q2314:Q2318),"")</f>
        <v/>
      </c>
      <c r="R2318" s="3">
        <f>IF(ISNUMBER(AVERAGE('20250815_ETF_Options_Exhibits'!R2314:R2318)),AVERAGE('20250815_ETF_Options_Exhibits'!R2314:R2318),"")</f>
        <v/>
      </c>
      <c r="S2318" s="3">
        <f>IF(ISNUMBER(AVERAGE('20250815_ETF_Options_Exhibits'!S2314:S2318)),AVERAGE('20250815_ETF_Options_Exhibits'!S2314:S2318),"")</f>
        <v/>
      </c>
      <c r="T2318" s="3">
        <f>IF(ISNUMBER(AVERAGE('20250815_ETF_Options_Exhibits'!T2314:T2318)),AVERAGE('20250815_ETF_Options_Exhibits'!T2314:T2318),"")</f>
        <v/>
      </c>
      <c r="U2318" s="3">
        <f>IF(ISNUMBER(AVERAGE('20250815_ETF_Options_Exhibits'!U2314:U2318)),AVERAGE('20250815_ETF_Options_Exhibits'!U2314:U2318),"")</f>
        <v/>
      </c>
      <c r="V2318" s="3">
        <f>IF(ISNUMBER(AVERAGE('20250815_ETF_Options_Exhibits'!V2314:V2318)),AVERAGE('20250815_ETF_Options_Exhibits'!V2314:V2318),"")</f>
        <v/>
      </c>
      <c r="W2318" s="3">
        <f>IF(ISNUMBER(AVERAGE('20250815_ETF_Options_Exhibits'!W2314:W2318)),AVERAGE('20250815_ETF_Options_Exhibits'!W2314:W2318),"")</f>
        <v/>
      </c>
      <c r="X2318" s="3">
        <f>IF(ISNUMBER(AVERAGE('20250815_ETF_Options_Exhibits'!X2314:X2318)),AVERAGE('20250815_ETF_Options_Exhibits'!X2314:X2318),"")</f>
        <v/>
      </c>
      <c r="Y2318" s="3">
        <f>IF(ISNUMBER(AVERAGE('20250815_ETF_Options_Exhibits'!Y2314:Y2318)),AVERAGE('20250815_ETF_Options_Exhibits'!Y2314:Y2318),"")</f>
        <v/>
      </c>
      <c r="Z2318" s="3">
        <f>IF(ISNUMBER(AVERAGE('20250815_ETF_Options_Exhibits'!Z2314:Z2318)),AVERAGE('20250815_ETF_Options_Exhibits'!Z2314:Z2318),"")</f>
        <v/>
      </c>
      <c r="AA2318" s="3">
        <f>IF(ISNUMBER(AVERAGE('20250815_ETF_Options_Exhibits'!AA2314:AA2318)),AVERAGE('20250815_ETF_Options_Exhibits'!AA2314:AA2318),"")</f>
        <v/>
      </c>
    </row>
    <row r="2319">
      <c r="A2319" s="1" t="n">
        <v>45369</v>
      </c>
      <c r="B2319" s="3">
        <f>IF(ISNUMBER(AVERAGE('20250815_ETF_Options_Exhibits'!B2315:B2319)),AVERAGE('20250815_ETF_Options_Exhibits'!B2315:B2319),"")</f>
        <v/>
      </c>
      <c r="C2319" s="3">
        <f>IF(ISNUMBER(AVERAGE('20250815_ETF_Options_Exhibits'!C2315:C2319)),AVERAGE('20250815_ETF_Options_Exhibits'!C2315:C2319),"")</f>
        <v/>
      </c>
      <c r="D2319" s="3">
        <f>IF(ISNUMBER(AVERAGE('20250815_ETF_Options_Exhibits'!D2315:D2319)),AVERAGE('20250815_ETF_Options_Exhibits'!D2315:D2319),"")</f>
        <v/>
      </c>
      <c r="E2319" s="3">
        <f>IF(ISNUMBER(AVERAGE('20250815_ETF_Options_Exhibits'!E2315:E2319)),AVERAGE('20250815_ETF_Options_Exhibits'!E2315:E2319),"")</f>
        <v/>
      </c>
      <c r="F2319" s="3">
        <f>IF(ISNUMBER(AVERAGE('20250815_ETF_Options_Exhibits'!F2315:F2319)),AVERAGE('20250815_ETF_Options_Exhibits'!F2315:F2319),"")</f>
        <v/>
      </c>
      <c r="G2319" s="3">
        <f>IF(ISNUMBER(AVERAGE('20250815_ETF_Options_Exhibits'!G2315:G2319)),AVERAGE('20250815_ETF_Options_Exhibits'!G2315:G2319),"")</f>
        <v/>
      </c>
      <c r="H2319" s="3">
        <f>IF(ISNUMBER(AVERAGE('20250815_ETF_Options_Exhibits'!H2315:H2319)),AVERAGE('20250815_ETF_Options_Exhibits'!H2315:H2319),"")</f>
        <v/>
      </c>
      <c r="I2319" s="3">
        <f>IF(ISNUMBER(AVERAGE('20250815_ETF_Options_Exhibits'!I2315:I2319)),AVERAGE('20250815_ETF_Options_Exhibits'!I2315:I2319),"")</f>
        <v/>
      </c>
      <c r="J2319" s="3">
        <f>IF(ISNUMBER(AVERAGE('20250815_ETF_Options_Exhibits'!J2315:J2319)),AVERAGE('20250815_ETF_Options_Exhibits'!J2315:J2319),"")</f>
        <v/>
      </c>
      <c r="K2319" s="3">
        <f>IF(ISNUMBER(AVERAGE('20250815_ETF_Options_Exhibits'!K2315:K2319)),AVERAGE('20250815_ETF_Options_Exhibits'!K2315:K2319),"")</f>
        <v/>
      </c>
      <c r="L2319" s="3">
        <f>IF(ISNUMBER(AVERAGE('20250815_ETF_Options_Exhibits'!L2315:L2319)),AVERAGE('20250815_ETF_Options_Exhibits'!L2315:L2319),"")</f>
        <v/>
      </c>
      <c r="M2319" s="3">
        <f>IF(ISNUMBER(AVERAGE('20250815_ETF_Options_Exhibits'!M2315:M2319)),AVERAGE('20250815_ETF_Options_Exhibits'!M2315:M2319),"")</f>
        <v/>
      </c>
      <c r="N2319" s="3">
        <f>IF(ISNUMBER(AVERAGE('20250815_ETF_Options_Exhibits'!N2315:N2319)),AVERAGE('20250815_ETF_Options_Exhibits'!N2315:N2319),"")</f>
        <v/>
      </c>
      <c r="O2319" s="3">
        <f>IF(ISNUMBER(AVERAGE('20250815_ETF_Options_Exhibits'!O2315:O2319)),AVERAGE('20250815_ETF_Options_Exhibits'!O2315:O2319),"")</f>
        <v/>
      </c>
      <c r="P2319" s="3">
        <f>IF(ISNUMBER(AVERAGE('20250815_ETF_Options_Exhibits'!P2315:P2319)),AVERAGE('20250815_ETF_Options_Exhibits'!P2315:P2319),"")</f>
        <v/>
      </c>
      <c r="Q2319" s="3">
        <f>IF(ISNUMBER(AVERAGE('20250815_ETF_Options_Exhibits'!Q2315:Q2319)),AVERAGE('20250815_ETF_Options_Exhibits'!Q2315:Q2319),"")</f>
        <v/>
      </c>
      <c r="R2319" s="3">
        <f>IF(ISNUMBER(AVERAGE('20250815_ETF_Options_Exhibits'!R2315:R2319)),AVERAGE('20250815_ETF_Options_Exhibits'!R2315:R2319),"")</f>
        <v/>
      </c>
      <c r="S2319" s="3">
        <f>IF(ISNUMBER(AVERAGE('20250815_ETF_Options_Exhibits'!S2315:S2319)),AVERAGE('20250815_ETF_Options_Exhibits'!S2315:S2319),"")</f>
        <v/>
      </c>
      <c r="T2319" s="3">
        <f>IF(ISNUMBER(AVERAGE('20250815_ETF_Options_Exhibits'!T2315:T2319)),AVERAGE('20250815_ETF_Options_Exhibits'!T2315:T2319),"")</f>
        <v/>
      </c>
      <c r="U2319" s="3">
        <f>IF(ISNUMBER(AVERAGE('20250815_ETF_Options_Exhibits'!U2315:U2319)),AVERAGE('20250815_ETF_Options_Exhibits'!U2315:U2319),"")</f>
        <v/>
      </c>
      <c r="V2319" s="3">
        <f>IF(ISNUMBER(AVERAGE('20250815_ETF_Options_Exhibits'!V2315:V2319)),AVERAGE('20250815_ETF_Options_Exhibits'!V2315:V2319),"")</f>
        <v/>
      </c>
      <c r="W2319" s="3">
        <f>IF(ISNUMBER(AVERAGE('20250815_ETF_Options_Exhibits'!W2315:W2319)),AVERAGE('20250815_ETF_Options_Exhibits'!W2315:W2319),"")</f>
        <v/>
      </c>
      <c r="X2319" s="3">
        <f>IF(ISNUMBER(AVERAGE('20250815_ETF_Options_Exhibits'!X2315:X2319)),AVERAGE('20250815_ETF_Options_Exhibits'!X2315:X2319),"")</f>
        <v/>
      </c>
      <c r="Y2319" s="3">
        <f>IF(ISNUMBER(AVERAGE('20250815_ETF_Options_Exhibits'!Y2315:Y2319)),AVERAGE('20250815_ETF_Options_Exhibits'!Y2315:Y2319),"")</f>
        <v/>
      </c>
      <c r="Z2319" s="3">
        <f>IF(ISNUMBER(AVERAGE('20250815_ETF_Options_Exhibits'!Z2315:Z2319)),AVERAGE('20250815_ETF_Options_Exhibits'!Z2315:Z2319),"")</f>
        <v/>
      </c>
      <c r="AA2319" s="3">
        <f>IF(ISNUMBER(AVERAGE('20250815_ETF_Options_Exhibits'!AA2315:AA2319)),AVERAGE('20250815_ETF_Options_Exhibits'!AA2315:AA2319),"")</f>
        <v/>
      </c>
    </row>
    <row r="2320">
      <c r="A2320" s="1" t="n">
        <v>45370</v>
      </c>
      <c r="B2320" s="3">
        <f>IF(ISNUMBER(AVERAGE('20250815_ETF_Options_Exhibits'!B2316:B2320)),AVERAGE('20250815_ETF_Options_Exhibits'!B2316:B2320),"")</f>
        <v/>
      </c>
      <c r="C2320" s="3">
        <f>IF(ISNUMBER(AVERAGE('20250815_ETF_Options_Exhibits'!C2316:C2320)),AVERAGE('20250815_ETF_Options_Exhibits'!C2316:C2320),"")</f>
        <v/>
      </c>
      <c r="D2320" s="3">
        <f>IF(ISNUMBER(AVERAGE('20250815_ETF_Options_Exhibits'!D2316:D2320)),AVERAGE('20250815_ETF_Options_Exhibits'!D2316:D2320),"")</f>
        <v/>
      </c>
      <c r="E2320" s="3">
        <f>IF(ISNUMBER(AVERAGE('20250815_ETF_Options_Exhibits'!E2316:E2320)),AVERAGE('20250815_ETF_Options_Exhibits'!E2316:E2320),"")</f>
        <v/>
      </c>
      <c r="F2320" s="3">
        <f>IF(ISNUMBER(AVERAGE('20250815_ETF_Options_Exhibits'!F2316:F2320)),AVERAGE('20250815_ETF_Options_Exhibits'!F2316:F2320),"")</f>
        <v/>
      </c>
      <c r="G2320" s="3">
        <f>IF(ISNUMBER(AVERAGE('20250815_ETF_Options_Exhibits'!G2316:G2320)),AVERAGE('20250815_ETF_Options_Exhibits'!G2316:G2320),"")</f>
        <v/>
      </c>
      <c r="H2320" s="3">
        <f>IF(ISNUMBER(AVERAGE('20250815_ETF_Options_Exhibits'!H2316:H2320)),AVERAGE('20250815_ETF_Options_Exhibits'!H2316:H2320),"")</f>
        <v/>
      </c>
      <c r="I2320" s="3">
        <f>IF(ISNUMBER(AVERAGE('20250815_ETF_Options_Exhibits'!I2316:I2320)),AVERAGE('20250815_ETF_Options_Exhibits'!I2316:I2320),"")</f>
        <v/>
      </c>
      <c r="J2320" s="3">
        <f>IF(ISNUMBER(AVERAGE('20250815_ETF_Options_Exhibits'!J2316:J2320)),AVERAGE('20250815_ETF_Options_Exhibits'!J2316:J2320),"")</f>
        <v/>
      </c>
      <c r="K2320" s="3">
        <f>IF(ISNUMBER(AVERAGE('20250815_ETF_Options_Exhibits'!K2316:K2320)),AVERAGE('20250815_ETF_Options_Exhibits'!K2316:K2320),"")</f>
        <v/>
      </c>
      <c r="L2320" s="3">
        <f>IF(ISNUMBER(AVERAGE('20250815_ETF_Options_Exhibits'!L2316:L2320)),AVERAGE('20250815_ETF_Options_Exhibits'!L2316:L2320),"")</f>
        <v/>
      </c>
      <c r="M2320" s="3">
        <f>IF(ISNUMBER(AVERAGE('20250815_ETF_Options_Exhibits'!M2316:M2320)),AVERAGE('20250815_ETF_Options_Exhibits'!M2316:M2320),"")</f>
        <v/>
      </c>
      <c r="N2320" s="3">
        <f>IF(ISNUMBER(AVERAGE('20250815_ETF_Options_Exhibits'!N2316:N2320)),AVERAGE('20250815_ETF_Options_Exhibits'!N2316:N2320),"")</f>
        <v/>
      </c>
      <c r="O2320" s="3">
        <f>IF(ISNUMBER(AVERAGE('20250815_ETF_Options_Exhibits'!O2316:O2320)),AVERAGE('20250815_ETF_Options_Exhibits'!O2316:O2320),"")</f>
        <v/>
      </c>
      <c r="P2320" s="3">
        <f>IF(ISNUMBER(AVERAGE('20250815_ETF_Options_Exhibits'!P2316:P2320)),AVERAGE('20250815_ETF_Options_Exhibits'!P2316:P2320),"")</f>
        <v/>
      </c>
      <c r="Q2320" s="3">
        <f>IF(ISNUMBER(AVERAGE('20250815_ETF_Options_Exhibits'!Q2316:Q2320)),AVERAGE('20250815_ETF_Options_Exhibits'!Q2316:Q2320),"")</f>
        <v/>
      </c>
      <c r="R2320" s="3">
        <f>IF(ISNUMBER(AVERAGE('20250815_ETF_Options_Exhibits'!R2316:R2320)),AVERAGE('20250815_ETF_Options_Exhibits'!R2316:R2320),"")</f>
        <v/>
      </c>
      <c r="S2320" s="3">
        <f>IF(ISNUMBER(AVERAGE('20250815_ETF_Options_Exhibits'!S2316:S2320)),AVERAGE('20250815_ETF_Options_Exhibits'!S2316:S2320),"")</f>
        <v/>
      </c>
      <c r="T2320" s="3">
        <f>IF(ISNUMBER(AVERAGE('20250815_ETF_Options_Exhibits'!T2316:T2320)),AVERAGE('20250815_ETF_Options_Exhibits'!T2316:T2320),"")</f>
        <v/>
      </c>
      <c r="U2320" s="3">
        <f>IF(ISNUMBER(AVERAGE('20250815_ETF_Options_Exhibits'!U2316:U2320)),AVERAGE('20250815_ETF_Options_Exhibits'!U2316:U2320),"")</f>
        <v/>
      </c>
      <c r="V2320" s="3">
        <f>IF(ISNUMBER(AVERAGE('20250815_ETF_Options_Exhibits'!V2316:V2320)),AVERAGE('20250815_ETF_Options_Exhibits'!V2316:V2320),"")</f>
        <v/>
      </c>
      <c r="W2320" s="3">
        <f>IF(ISNUMBER(AVERAGE('20250815_ETF_Options_Exhibits'!W2316:W2320)),AVERAGE('20250815_ETF_Options_Exhibits'!W2316:W2320),"")</f>
        <v/>
      </c>
      <c r="X2320" s="3">
        <f>IF(ISNUMBER(AVERAGE('20250815_ETF_Options_Exhibits'!X2316:X2320)),AVERAGE('20250815_ETF_Options_Exhibits'!X2316:X2320),"")</f>
        <v/>
      </c>
      <c r="Y2320" s="3">
        <f>IF(ISNUMBER(AVERAGE('20250815_ETF_Options_Exhibits'!Y2316:Y2320)),AVERAGE('20250815_ETF_Options_Exhibits'!Y2316:Y2320),"")</f>
        <v/>
      </c>
      <c r="Z2320" s="3">
        <f>IF(ISNUMBER(AVERAGE('20250815_ETF_Options_Exhibits'!Z2316:Z2320)),AVERAGE('20250815_ETF_Options_Exhibits'!Z2316:Z2320),"")</f>
        <v/>
      </c>
      <c r="AA2320" s="3">
        <f>IF(ISNUMBER(AVERAGE('20250815_ETF_Options_Exhibits'!AA2316:AA2320)),AVERAGE('20250815_ETF_Options_Exhibits'!AA2316:AA2320),"")</f>
        <v/>
      </c>
    </row>
    <row r="2321">
      <c r="A2321" s="1" t="n">
        <v>45371</v>
      </c>
      <c r="B2321" s="3">
        <f>IF(ISNUMBER(AVERAGE('20250815_ETF_Options_Exhibits'!B2317:B2321)),AVERAGE('20250815_ETF_Options_Exhibits'!B2317:B2321),"")</f>
        <v/>
      </c>
      <c r="C2321" s="3">
        <f>IF(ISNUMBER(AVERAGE('20250815_ETF_Options_Exhibits'!C2317:C2321)),AVERAGE('20250815_ETF_Options_Exhibits'!C2317:C2321),"")</f>
        <v/>
      </c>
      <c r="D2321" s="3">
        <f>IF(ISNUMBER(AVERAGE('20250815_ETF_Options_Exhibits'!D2317:D2321)),AVERAGE('20250815_ETF_Options_Exhibits'!D2317:D2321),"")</f>
        <v/>
      </c>
      <c r="E2321" s="3">
        <f>IF(ISNUMBER(AVERAGE('20250815_ETF_Options_Exhibits'!E2317:E2321)),AVERAGE('20250815_ETF_Options_Exhibits'!E2317:E2321),"")</f>
        <v/>
      </c>
      <c r="F2321" s="3">
        <f>IF(ISNUMBER(AVERAGE('20250815_ETF_Options_Exhibits'!F2317:F2321)),AVERAGE('20250815_ETF_Options_Exhibits'!F2317:F2321),"")</f>
        <v/>
      </c>
      <c r="G2321" s="3">
        <f>IF(ISNUMBER(AVERAGE('20250815_ETF_Options_Exhibits'!G2317:G2321)),AVERAGE('20250815_ETF_Options_Exhibits'!G2317:G2321),"")</f>
        <v/>
      </c>
      <c r="H2321" s="3">
        <f>IF(ISNUMBER(AVERAGE('20250815_ETF_Options_Exhibits'!H2317:H2321)),AVERAGE('20250815_ETF_Options_Exhibits'!H2317:H2321),"")</f>
        <v/>
      </c>
      <c r="I2321" s="3">
        <f>IF(ISNUMBER(AVERAGE('20250815_ETF_Options_Exhibits'!I2317:I2321)),AVERAGE('20250815_ETF_Options_Exhibits'!I2317:I2321),"")</f>
        <v/>
      </c>
      <c r="J2321" s="3">
        <f>IF(ISNUMBER(AVERAGE('20250815_ETF_Options_Exhibits'!J2317:J2321)),AVERAGE('20250815_ETF_Options_Exhibits'!J2317:J2321),"")</f>
        <v/>
      </c>
      <c r="K2321" s="3">
        <f>IF(ISNUMBER(AVERAGE('20250815_ETF_Options_Exhibits'!K2317:K2321)),AVERAGE('20250815_ETF_Options_Exhibits'!K2317:K2321),"")</f>
        <v/>
      </c>
      <c r="L2321" s="3">
        <f>IF(ISNUMBER(AVERAGE('20250815_ETF_Options_Exhibits'!L2317:L2321)),AVERAGE('20250815_ETF_Options_Exhibits'!L2317:L2321),"")</f>
        <v/>
      </c>
      <c r="M2321" s="3">
        <f>IF(ISNUMBER(AVERAGE('20250815_ETF_Options_Exhibits'!M2317:M2321)),AVERAGE('20250815_ETF_Options_Exhibits'!M2317:M2321),"")</f>
        <v/>
      </c>
      <c r="N2321" s="3">
        <f>IF(ISNUMBER(AVERAGE('20250815_ETF_Options_Exhibits'!N2317:N2321)),AVERAGE('20250815_ETF_Options_Exhibits'!N2317:N2321),"")</f>
        <v/>
      </c>
      <c r="O2321" s="3">
        <f>IF(ISNUMBER(AVERAGE('20250815_ETF_Options_Exhibits'!O2317:O2321)),AVERAGE('20250815_ETF_Options_Exhibits'!O2317:O2321),"")</f>
        <v/>
      </c>
      <c r="P2321" s="3">
        <f>IF(ISNUMBER(AVERAGE('20250815_ETF_Options_Exhibits'!P2317:P2321)),AVERAGE('20250815_ETF_Options_Exhibits'!P2317:P2321),"")</f>
        <v/>
      </c>
      <c r="Q2321" s="3">
        <f>IF(ISNUMBER(AVERAGE('20250815_ETF_Options_Exhibits'!Q2317:Q2321)),AVERAGE('20250815_ETF_Options_Exhibits'!Q2317:Q2321),"")</f>
        <v/>
      </c>
      <c r="R2321" s="3">
        <f>IF(ISNUMBER(AVERAGE('20250815_ETF_Options_Exhibits'!R2317:R2321)),AVERAGE('20250815_ETF_Options_Exhibits'!R2317:R2321),"")</f>
        <v/>
      </c>
      <c r="S2321" s="3">
        <f>IF(ISNUMBER(AVERAGE('20250815_ETF_Options_Exhibits'!S2317:S2321)),AVERAGE('20250815_ETF_Options_Exhibits'!S2317:S2321),"")</f>
        <v/>
      </c>
      <c r="T2321" s="3">
        <f>IF(ISNUMBER(AVERAGE('20250815_ETF_Options_Exhibits'!T2317:T2321)),AVERAGE('20250815_ETF_Options_Exhibits'!T2317:T2321),"")</f>
        <v/>
      </c>
      <c r="U2321" s="3">
        <f>IF(ISNUMBER(AVERAGE('20250815_ETF_Options_Exhibits'!U2317:U2321)),AVERAGE('20250815_ETF_Options_Exhibits'!U2317:U2321),"")</f>
        <v/>
      </c>
      <c r="V2321" s="3">
        <f>IF(ISNUMBER(AVERAGE('20250815_ETF_Options_Exhibits'!V2317:V2321)),AVERAGE('20250815_ETF_Options_Exhibits'!V2317:V2321),"")</f>
        <v/>
      </c>
      <c r="W2321" s="3">
        <f>IF(ISNUMBER(AVERAGE('20250815_ETF_Options_Exhibits'!W2317:W2321)),AVERAGE('20250815_ETF_Options_Exhibits'!W2317:W2321),"")</f>
        <v/>
      </c>
      <c r="X2321" s="3">
        <f>IF(ISNUMBER(AVERAGE('20250815_ETF_Options_Exhibits'!X2317:X2321)),AVERAGE('20250815_ETF_Options_Exhibits'!X2317:X2321),"")</f>
        <v/>
      </c>
      <c r="Y2321" s="3">
        <f>IF(ISNUMBER(AVERAGE('20250815_ETF_Options_Exhibits'!Y2317:Y2321)),AVERAGE('20250815_ETF_Options_Exhibits'!Y2317:Y2321),"")</f>
        <v/>
      </c>
      <c r="Z2321" s="3">
        <f>IF(ISNUMBER(AVERAGE('20250815_ETF_Options_Exhibits'!Z2317:Z2321)),AVERAGE('20250815_ETF_Options_Exhibits'!Z2317:Z2321),"")</f>
        <v/>
      </c>
      <c r="AA2321" s="3">
        <f>IF(ISNUMBER(AVERAGE('20250815_ETF_Options_Exhibits'!AA2317:AA2321)),AVERAGE('20250815_ETF_Options_Exhibits'!AA2317:AA2321),"")</f>
        <v/>
      </c>
    </row>
    <row r="2322">
      <c r="A2322" s="1" t="n">
        <v>45372</v>
      </c>
      <c r="B2322" s="3">
        <f>IF(ISNUMBER(AVERAGE('20250815_ETF_Options_Exhibits'!B2318:B2322)),AVERAGE('20250815_ETF_Options_Exhibits'!B2318:B2322),"")</f>
        <v/>
      </c>
      <c r="C2322" s="3">
        <f>IF(ISNUMBER(AVERAGE('20250815_ETF_Options_Exhibits'!C2318:C2322)),AVERAGE('20250815_ETF_Options_Exhibits'!C2318:C2322),"")</f>
        <v/>
      </c>
      <c r="D2322" s="3">
        <f>IF(ISNUMBER(AVERAGE('20250815_ETF_Options_Exhibits'!D2318:D2322)),AVERAGE('20250815_ETF_Options_Exhibits'!D2318:D2322),"")</f>
        <v/>
      </c>
      <c r="E2322" s="3">
        <f>IF(ISNUMBER(AVERAGE('20250815_ETF_Options_Exhibits'!E2318:E2322)),AVERAGE('20250815_ETF_Options_Exhibits'!E2318:E2322),"")</f>
        <v/>
      </c>
      <c r="F2322" s="3">
        <f>IF(ISNUMBER(AVERAGE('20250815_ETF_Options_Exhibits'!F2318:F2322)),AVERAGE('20250815_ETF_Options_Exhibits'!F2318:F2322),"")</f>
        <v/>
      </c>
      <c r="G2322" s="3">
        <f>IF(ISNUMBER(AVERAGE('20250815_ETF_Options_Exhibits'!G2318:G2322)),AVERAGE('20250815_ETF_Options_Exhibits'!G2318:G2322),"")</f>
        <v/>
      </c>
      <c r="H2322" s="3">
        <f>IF(ISNUMBER(AVERAGE('20250815_ETF_Options_Exhibits'!H2318:H2322)),AVERAGE('20250815_ETF_Options_Exhibits'!H2318:H2322),"")</f>
        <v/>
      </c>
      <c r="I2322" s="3">
        <f>IF(ISNUMBER(AVERAGE('20250815_ETF_Options_Exhibits'!I2318:I2322)),AVERAGE('20250815_ETF_Options_Exhibits'!I2318:I2322),"")</f>
        <v/>
      </c>
      <c r="J2322" s="3">
        <f>IF(ISNUMBER(AVERAGE('20250815_ETF_Options_Exhibits'!J2318:J2322)),AVERAGE('20250815_ETF_Options_Exhibits'!J2318:J2322),"")</f>
        <v/>
      </c>
      <c r="K2322" s="3">
        <f>IF(ISNUMBER(AVERAGE('20250815_ETF_Options_Exhibits'!K2318:K2322)),AVERAGE('20250815_ETF_Options_Exhibits'!K2318:K2322),"")</f>
        <v/>
      </c>
      <c r="L2322" s="3">
        <f>IF(ISNUMBER(AVERAGE('20250815_ETF_Options_Exhibits'!L2318:L2322)),AVERAGE('20250815_ETF_Options_Exhibits'!L2318:L2322),"")</f>
        <v/>
      </c>
      <c r="M2322" s="3">
        <f>IF(ISNUMBER(AVERAGE('20250815_ETF_Options_Exhibits'!M2318:M2322)),AVERAGE('20250815_ETF_Options_Exhibits'!M2318:M2322),"")</f>
        <v/>
      </c>
      <c r="N2322" s="3">
        <f>IF(ISNUMBER(AVERAGE('20250815_ETF_Options_Exhibits'!N2318:N2322)),AVERAGE('20250815_ETF_Options_Exhibits'!N2318:N2322),"")</f>
        <v/>
      </c>
      <c r="O2322" s="3">
        <f>IF(ISNUMBER(AVERAGE('20250815_ETF_Options_Exhibits'!O2318:O2322)),AVERAGE('20250815_ETF_Options_Exhibits'!O2318:O2322),"")</f>
        <v/>
      </c>
      <c r="P2322" s="3">
        <f>IF(ISNUMBER(AVERAGE('20250815_ETF_Options_Exhibits'!P2318:P2322)),AVERAGE('20250815_ETF_Options_Exhibits'!P2318:P2322),"")</f>
        <v/>
      </c>
      <c r="Q2322" s="3">
        <f>IF(ISNUMBER(AVERAGE('20250815_ETF_Options_Exhibits'!Q2318:Q2322)),AVERAGE('20250815_ETF_Options_Exhibits'!Q2318:Q2322),"")</f>
        <v/>
      </c>
      <c r="R2322" s="3">
        <f>IF(ISNUMBER(AVERAGE('20250815_ETF_Options_Exhibits'!R2318:R2322)),AVERAGE('20250815_ETF_Options_Exhibits'!R2318:R2322),"")</f>
        <v/>
      </c>
      <c r="S2322" s="3">
        <f>IF(ISNUMBER(AVERAGE('20250815_ETF_Options_Exhibits'!S2318:S2322)),AVERAGE('20250815_ETF_Options_Exhibits'!S2318:S2322),"")</f>
        <v/>
      </c>
      <c r="T2322" s="3">
        <f>IF(ISNUMBER(AVERAGE('20250815_ETF_Options_Exhibits'!T2318:T2322)),AVERAGE('20250815_ETF_Options_Exhibits'!T2318:T2322),"")</f>
        <v/>
      </c>
      <c r="U2322" s="3">
        <f>IF(ISNUMBER(AVERAGE('20250815_ETF_Options_Exhibits'!U2318:U2322)),AVERAGE('20250815_ETF_Options_Exhibits'!U2318:U2322),"")</f>
        <v/>
      </c>
      <c r="V2322" s="3">
        <f>IF(ISNUMBER(AVERAGE('20250815_ETF_Options_Exhibits'!V2318:V2322)),AVERAGE('20250815_ETF_Options_Exhibits'!V2318:V2322),"")</f>
        <v/>
      </c>
      <c r="W2322" s="3">
        <f>IF(ISNUMBER(AVERAGE('20250815_ETF_Options_Exhibits'!W2318:W2322)),AVERAGE('20250815_ETF_Options_Exhibits'!W2318:W2322),"")</f>
        <v/>
      </c>
      <c r="X2322" s="3">
        <f>IF(ISNUMBER(AVERAGE('20250815_ETF_Options_Exhibits'!X2318:X2322)),AVERAGE('20250815_ETF_Options_Exhibits'!X2318:X2322),"")</f>
        <v/>
      </c>
      <c r="Y2322" s="3">
        <f>IF(ISNUMBER(AVERAGE('20250815_ETF_Options_Exhibits'!Y2318:Y2322)),AVERAGE('20250815_ETF_Options_Exhibits'!Y2318:Y2322),"")</f>
        <v/>
      </c>
      <c r="Z2322" s="3">
        <f>IF(ISNUMBER(AVERAGE('20250815_ETF_Options_Exhibits'!Z2318:Z2322)),AVERAGE('20250815_ETF_Options_Exhibits'!Z2318:Z2322),"")</f>
        <v/>
      </c>
      <c r="AA2322" s="3">
        <f>IF(ISNUMBER(AVERAGE('20250815_ETF_Options_Exhibits'!AA2318:AA2322)),AVERAGE('20250815_ETF_Options_Exhibits'!AA2318:AA2322),"")</f>
        <v/>
      </c>
    </row>
    <row r="2323">
      <c r="A2323" s="1" t="n">
        <v>45373</v>
      </c>
      <c r="B2323" s="3">
        <f>IF(ISNUMBER(AVERAGE('20250815_ETF_Options_Exhibits'!B2319:B2323)),AVERAGE('20250815_ETF_Options_Exhibits'!B2319:B2323),"")</f>
        <v/>
      </c>
      <c r="C2323" s="3">
        <f>IF(ISNUMBER(AVERAGE('20250815_ETF_Options_Exhibits'!C2319:C2323)),AVERAGE('20250815_ETF_Options_Exhibits'!C2319:C2323),"")</f>
        <v/>
      </c>
      <c r="D2323" s="3">
        <f>IF(ISNUMBER(AVERAGE('20250815_ETF_Options_Exhibits'!D2319:D2323)),AVERAGE('20250815_ETF_Options_Exhibits'!D2319:D2323),"")</f>
        <v/>
      </c>
      <c r="E2323" s="3">
        <f>IF(ISNUMBER(AVERAGE('20250815_ETF_Options_Exhibits'!E2319:E2323)),AVERAGE('20250815_ETF_Options_Exhibits'!E2319:E2323),"")</f>
        <v/>
      </c>
      <c r="F2323" s="3">
        <f>IF(ISNUMBER(AVERAGE('20250815_ETF_Options_Exhibits'!F2319:F2323)),AVERAGE('20250815_ETF_Options_Exhibits'!F2319:F2323),"")</f>
        <v/>
      </c>
      <c r="G2323" s="3">
        <f>IF(ISNUMBER(AVERAGE('20250815_ETF_Options_Exhibits'!G2319:G2323)),AVERAGE('20250815_ETF_Options_Exhibits'!G2319:G2323),"")</f>
        <v/>
      </c>
      <c r="H2323" s="3">
        <f>IF(ISNUMBER(AVERAGE('20250815_ETF_Options_Exhibits'!H2319:H2323)),AVERAGE('20250815_ETF_Options_Exhibits'!H2319:H2323),"")</f>
        <v/>
      </c>
      <c r="I2323" s="3">
        <f>IF(ISNUMBER(AVERAGE('20250815_ETF_Options_Exhibits'!I2319:I2323)),AVERAGE('20250815_ETF_Options_Exhibits'!I2319:I2323),"")</f>
        <v/>
      </c>
      <c r="J2323" s="3">
        <f>IF(ISNUMBER(AVERAGE('20250815_ETF_Options_Exhibits'!J2319:J2323)),AVERAGE('20250815_ETF_Options_Exhibits'!J2319:J2323),"")</f>
        <v/>
      </c>
      <c r="K2323" s="3">
        <f>IF(ISNUMBER(AVERAGE('20250815_ETF_Options_Exhibits'!K2319:K2323)),AVERAGE('20250815_ETF_Options_Exhibits'!K2319:K2323),"")</f>
        <v/>
      </c>
      <c r="L2323" s="3">
        <f>IF(ISNUMBER(AVERAGE('20250815_ETF_Options_Exhibits'!L2319:L2323)),AVERAGE('20250815_ETF_Options_Exhibits'!L2319:L2323),"")</f>
        <v/>
      </c>
      <c r="M2323" s="3">
        <f>IF(ISNUMBER(AVERAGE('20250815_ETF_Options_Exhibits'!M2319:M2323)),AVERAGE('20250815_ETF_Options_Exhibits'!M2319:M2323),"")</f>
        <v/>
      </c>
      <c r="N2323" s="3">
        <f>IF(ISNUMBER(AVERAGE('20250815_ETF_Options_Exhibits'!N2319:N2323)),AVERAGE('20250815_ETF_Options_Exhibits'!N2319:N2323),"")</f>
        <v/>
      </c>
      <c r="O2323" s="3">
        <f>IF(ISNUMBER(AVERAGE('20250815_ETF_Options_Exhibits'!O2319:O2323)),AVERAGE('20250815_ETF_Options_Exhibits'!O2319:O2323),"")</f>
        <v/>
      </c>
      <c r="P2323" s="3">
        <f>IF(ISNUMBER(AVERAGE('20250815_ETF_Options_Exhibits'!P2319:P2323)),AVERAGE('20250815_ETF_Options_Exhibits'!P2319:P2323),"")</f>
        <v/>
      </c>
      <c r="Q2323" s="3">
        <f>IF(ISNUMBER(AVERAGE('20250815_ETF_Options_Exhibits'!Q2319:Q2323)),AVERAGE('20250815_ETF_Options_Exhibits'!Q2319:Q2323),"")</f>
        <v/>
      </c>
      <c r="R2323" s="3">
        <f>IF(ISNUMBER(AVERAGE('20250815_ETF_Options_Exhibits'!R2319:R2323)),AVERAGE('20250815_ETF_Options_Exhibits'!R2319:R2323),"")</f>
        <v/>
      </c>
      <c r="S2323" s="3">
        <f>IF(ISNUMBER(AVERAGE('20250815_ETF_Options_Exhibits'!S2319:S2323)),AVERAGE('20250815_ETF_Options_Exhibits'!S2319:S2323),"")</f>
        <v/>
      </c>
      <c r="T2323" s="3">
        <f>IF(ISNUMBER(AVERAGE('20250815_ETF_Options_Exhibits'!T2319:T2323)),AVERAGE('20250815_ETF_Options_Exhibits'!T2319:T2323),"")</f>
        <v/>
      </c>
      <c r="U2323" s="3">
        <f>IF(ISNUMBER(AVERAGE('20250815_ETF_Options_Exhibits'!U2319:U2323)),AVERAGE('20250815_ETF_Options_Exhibits'!U2319:U2323),"")</f>
        <v/>
      </c>
      <c r="V2323" s="3">
        <f>IF(ISNUMBER(AVERAGE('20250815_ETF_Options_Exhibits'!V2319:V2323)),AVERAGE('20250815_ETF_Options_Exhibits'!V2319:V2323),"")</f>
        <v/>
      </c>
      <c r="W2323" s="3">
        <f>IF(ISNUMBER(AVERAGE('20250815_ETF_Options_Exhibits'!W2319:W2323)),AVERAGE('20250815_ETF_Options_Exhibits'!W2319:W2323),"")</f>
        <v/>
      </c>
      <c r="X2323" s="3">
        <f>IF(ISNUMBER(AVERAGE('20250815_ETF_Options_Exhibits'!X2319:X2323)),AVERAGE('20250815_ETF_Options_Exhibits'!X2319:X2323),"")</f>
        <v/>
      </c>
      <c r="Y2323" s="3">
        <f>IF(ISNUMBER(AVERAGE('20250815_ETF_Options_Exhibits'!Y2319:Y2323)),AVERAGE('20250815_ETF_Options_Exhibits'!Y2319:Y2323),"")</f>
        <v/>
      </c>
      <c r="Z2323" s="3">
        <f>IF(ISNUMBER(AVERAGE('20250815_ETF_Options_Exhibits'!Z2319:Z2323)),AVERAGE('20250815_ETF_Options_Exhibits'!Z2319:Z2323),"")</f>
        <v/>
      </c>
      <c r="AA2323" s="3">
        <f>IF(ISNUMBER(AVERAGE('20250815_ETF_Options_Exhibits'!AA2319:AA2323)),AVERAGE('20250815_ETF_Options_Exhibits'!AA2319:AA2323),"")</f>
        <v/>
      </c>
    </row>
    <row r="2324">
      <c r="A2324" s="1" t="n">
        <v>45376</v>
      </c>
      <c r="B2324" s="3">
        <f>IF(ISNUMBER(AVERAGE('20250815_ETF_Options_Exhibits'!B2320:B2324)),AVERAGE('20250815_ETF_Options_Exhibits'!B2320:B2324),"")</f>
        <v/>
      </c>
      <c r="C2324" s="3">
        <f>IF(ISNUMBER(AVERAGE('20250815_ETF_Options_Exhibits'!C2320:C2324)),AVERAGE('20250815_ETF_Options_Exhibits'!C2320:C2324),"")</f>
        <v/>
      </c>
      <c r="D2324" s="3">
        <f>IF(ISNUMBER(AVERAGE('20250815_ETF_Options_Exhibits'!D2320:D2324)),AVERAGE('20250815_ETF_Options_Exhibits'!D2320:D2324),"")</f>
        <v/>
      </c>
      <c r="E2324" s="3">
        <f>IF(ISNUMBER(AVERAGE('20250815_ETF_Options_Exhibits'!E2320:E2324)),AVERAGE('20250815_ETF_Options_Exhibits'!E2320:E2324),"")</f>
        <v/>
      </c>
      <c r="F2324" s="3">
        <f>IF(ISNUMBER(AVERAGE('20250815_ETF_Options_Exhibits'!F2320:F2324)),AVERAGE('20250815_ETF_Options_Exhibits'!F2320:F2324),"")</f>
        <v/>
      </c>
      <c r="G2324" s="3">
        <f>IF(ISNUMBER(AVERAGE('20250815_ETF_Options_Exhibits'!G2320:G2324)),AVERAGE('20250815_ETF_Options_Exhibits'!G2320:G2324),"")</f>
        <v/>
      </c>
      <c r="H2324" s="3">
        <f>IF(ISNUMBER(AVERAGE('20250815_ETF_Options_Exhibits'!H2320:H2324)),AVERAGE('20250815_ETF_Options_Exhibits'!H2320:H2324),"")</f>
        <v/>
      </c>
      <c r="I2324" s="3">
        <f>IF(ISNUMBER(AVERAGE('20250815_ETF_Options_Exhibits'!I2320:I2324)),AVERAGE('20250815_ETF_Options_Exhibits'!I2320:I2324),"")</f>
        <v/>
      </c>
      <c r="J2324" s="3">
        <f>IF(ISNUMBER(AVERAGE('20250815_ETF_Options_Exhibits'!J2320:J2324)),AVERAGE('20250815_ETF_Options_Exhibits'!J2320:J2324),"")</f>
        <v/>
      </c>
      <c r="K2324" s="3">
        <f>IF(ISNUMBER(AVERAGE('20250815_ETF_Options_Exhibits'!K2320:K2324)),AVERAGE('20250815_ETF_Options_Exhibits'!K2320:K2324),"")</f>
        <v/>
      </c>
      <c r="L2324" s="3">
        <f>IF(ISNUMBER(AVERAGE('20250815_ETF_Options_Exhibits'!L2320:L2324)),AVERAGE('20250815_ETF_Options_Exhibits'!L2320:L2324),"")</f>
        <v/>
      </c>
      <c r="M2324" s="3">
        <f>IF(ISNUMBER(AVERAGE('20250815_ETF_Options_Exhibits'!M2320:M2324)),AVERAGE('20250815_ETF_Options_Exhibits'!M2320:M2324),"")</f>
        <v/>
      </c>
      <c r="N2324" s="3">
        <f>IF(ISNUMBER(AVERAGE('20250815_ETF_Options_Exhibits'!N2320:N2324)),AVERAGE('20250815_ETF_Options_Exhibits'!N2320:N2324),"")</f>
        <v/>
      </c>
      <c r="O2324" s="3">
        <f>IF(ISNUMBER(AVERAGE('20250815_ETF_Options_Exhibits'!O2320:O2324)),AVERAGE('20250815_ETF_Options_Exhibits'!O2320:O2324),"")</f>
        <v/>
      </c>
      <c r="P2324" s="3">
        <f>IF(ISNUMBER(AVERAGE('20250815_ETF_Options_Exhibits'!P2320:P2324)),AVERAGE('20250815_ETF_Options_Exhibits'!P2320:P2324),"")</f>
        <v/>
      </c>
      <c r="Q2324" s="3">
        <f>IF(ISNUMBER(AVERAGE('20250815_ETF_Options_Exhibits'!Q2320:Q2324)),AVERAGE('20250815_ETF_Options_Exhibits'!Q2320:Q2324),"")</f>
        <v/>
      </c>
      <c r="R2324" s="3">
        <f>IF(ISNUMBER(AVERAGE('20250815_ETF_Options_Exhibits'!R2320:R2324)),AVERAGE('20250815_ETF_Options_Exhibits'!R2320:R2324),"")</f>
        <v/>
      </c>
      <c r="S2324" s="3">
        <f>IF(ISNUMBER(AVERAGE('20250815_ETF_Options_Exhibits'!S2320:S2324)),AVERAGE('20250815_ETF_Options_Exhibits'!S2320:S2324),"")</f>
        <v/>
      </c>
      <c r="T2324" s="3">
        <f>IF(ISNUMBER(AVERAGE('20250815_ETF_Options_Exhibits'!T2320:T2324)),AVERAGE('20250815_ETF_Options_Exhibits'!T2320:T2324),"")</f>
        <v/>
      </c>
      <c r="U2324" s="3">
        <f>IF(ISNUMBER(AVERAGE('20250815_ETF_Options_Exhibits'!U2320:U2324)),AVERAGE('20250815_ETF_Options_Exhibits'!U2320:U2324),"")</f>
        <v/>
      </c>
      <c r="V2324" s="3">
        <f>IF(ISNUMBER(AVERAGE('20250815_ETF_Options_Exhibits'!V2320:V2324)),AVERAGE('20250815_ETF_Options_Exhibits'!V2320:V2324),"")</f>
        <v/>
      </c>
      <c r="W2324" s="3">
        <f>IF(ISNUMBER(AVERAGE('20250815_ETF_Options_Exhibits'!W2320:W2324)),AVERAGE('20250815_ETF_Options_Exhibits'!W2320:W2324),"")</f>
        <v/>
      </c>
      <c r="X2324" s="3">
        <f>IF(ISNUMBER(AVERAGE('20250815_ETF_Options_Exhibits'!X2320:X2324)),AVERAGE('20250815_ETF_Options_Exhibits'!X2320:X2324),"")</f>
        <v/>
      </c>
      <c r="Y2324" s="3">
        <f>IF(ISNUMBER(AVERAGE('20250815_ETF_Options_Exhibits'!Y2320:Y2324)),AVERAGE('20250815_ETF_Options_Exhibits'!Y2320:Y2324),"")</f>
        <v/>
      </c>
      <c r="Z2324" s="3">
        <f>IF(ISNUMBER(AVERAGE('20250815_ETF_Options_Exhibits'!Z2320:Z2324)),AVERAGE('20250815_ETF_Options_Exhibits'!Z2320:Z2324),"")</f>
        <v/>
      </c>
      <c r="AA2324" s="3">
        <f>IF(ISNUMBER(AVERAGE('20250815_ETF_Options_Exhibits'!AA2320:AA2324)),AVERAGE('20250815_ETF_Options_Exhibits'!AA2320:AA2324),"")</f>
        <v/>
      </c>
    </row>
    <row r="2325">
      <c r="A2325" s="1" t="n">
        <v>45377</v>
      </c>
      <c r="B2325" s="3">
        <f>IF(ISNUMBER(AVERAGE('20250815_ETF_Options_Exhibits'!B2321:B2325)),AVERAGE('20250815_ETF_Options_Exhibits'!B2321:B2325),"")</f>
        <v/>
      </c>
      <c r="C2325" s="3">
        <f>IF(ISNUMBER(AVERAGE('20250815_ETF_Options_Exhibits'!C2321:C2325)),AVERAGE('20250815_ETF_Options_Exhibits'!C2321:C2325),"")</f>
        <v/>
      </c>
      <c r="D2325" s="3">
        <f>IF(ISNUMBER(AVERAGE('20250815_ETF_Options_Exhibits'!D2321:D2325)),AVERAGE('20250815_ETF_Options_Exhibits'!D2321:D2325),"")</f>
        <v/>
      </c>
      <c r="E2325" s="3">
        <f>IF(ISNUMBER(AVERAGE('20250815_ETF_Options_Exhibits'!E2321:E2325)),AVERAGE('20250815_ETF_Options_Exhibits'!E2321:E2325),"")</f>
        <v/>
      </c>
      <c r="F2325" s="3">
        <f>IF(ISNUMBER(AVERAGE('20250815_ETF_Options_Exhibits'!F2321:F2325)),AVERAGE('20250815_ETF_Options_Exhibits'!F2321:F2325),"")</f>
        <v/>
      </c>
      <c r="G2325" s="3">
        <f>IF(ISNUMBER(AVERAGE('20250815_ETF_Options_Exhibits'!G2321:G2325)),AVERAGE('20250815_ETF_Options_Exhibits'!G2321:G2325),"")</f>
        <v/>
      </c>
      <c r="H2325" s="3">
        <f>IF(ISNUMBER(AVERAGE('20250815_ETF_Options_Exhibits'!H2321:H2325)),AVERAGE('20250815_ETF_Options_Exhibits'!H2321:H2325),"")</f>
        <v/>
      </c>
      <c r="I2325" s="3">
        <f>IF(ISNUMBER(AVERAGE('20250815_ETF_Options_Exhibits'!I2321:I2325)),AVERAGE('20250815_ETF_Options_Exhibits'!I2321:I2325),"")</f>
        <v/>
      </c>
      <c r="J2325" s="3">
        <f>IF(ISNUMBER(AVERAGE('20250815_ETF_Options_Exhibits'!J2321:J2325)),AVERAGE('20250815_ETF_Options_Exhibits'!J2321:J2325),"")</f>
        <v/>
      </c>
      <c r="K2325" s="3">
        <f>IF(ISNUMBER(AVERAGE('20250815_ETF_Options_Exhibits'!K2321:K2325)),AVERAGE('20250815_ETF_Options_Exhibits'!K2321:K2325),"")</f>
        <v/>
      </c>
      <c r="L2325" s="3">
        <f>IF(ISNUMBER(AVERAGE('20250815_ETF_Options_Exhibits'!L2321:L2325)),AVERAGE('20250815_ETF_Options_Exhibits'!L2321:L2325),"")</f>
        <v/>
      </c>
      <c r="M2325" s="3">
        <f>IF(ISNUMBER(AVERAGE('20250815_ETF_Options_Exhibits'!M2321:M2325)),AVERAGE('20250815_ETF_Options_Exhibits'!M2321:M2325),"")</f>
        <v/>
      </c>
      <c r="N2325" s="3">
        <f>IF(ISNUMBER(AVERAGE('20250815_ETF_Options_Exhibits'!N2321:N2325)),AVERAGE('20250815_ETF_Options_Exhibits'!N2321:N2325),"")</f>
        <v/>
      </c>
      <c r="O2325" s="3">
        <f>IF(ISNUMBER(AVERAGE('20250815_ETF_Options_Exhibits'!O2321:O2325)),AVERAGE('20250815_ETF_Options_Exhibits'!O2321:O2325),"")</f>
        <v/>
      </c>
      <c r="P2325" s="3">
        <f>IF(ISNUMBER(AVERAGE('20250815_ETF_Options_Exhibits'!P2321:P2325)),AVERAGE('20250815_ETF_Options_Exhibits'!P2321:P2325),"")</f>
        <v/>
      </c>
      <c r="Q2325" s="3">
        <f>IF(ISNUMBER(AVERAGE('20250815_ETF_Options_Exhibits'!Q2321:Q2325)),AVERAGE('20250815_ETF_Options_Exhibits'!Q2321:Q2325),"")</f>
        <v/>
      </c>
      <c r="R2325" s="3">
        <f>IF(ISNUMBER(AVERAGE('20250815_ETF_Options_Exhibits'!R2321:R2325)),AVERAGE('20250815_ETF_Options_Exhibits'!R2321:R2325),"")</f>
        <v/>
      </c>
      <c r="S2325" s="3">
        <f>IF(ISNUMBER(AVERAGE('20250815_ETF_Options_Exhibits'!S2321:S2325)),AVERAGE('20250815_ETF_Options_Exhibits'!S2321:S2325),"")</f>
        <v/>
      </c>
      <c r="T2325" s="3">
        <f>IF(ISNUMBER(AVERAGE('20250815_ETF_Options_Exhibits'!T2321:T2325)),AVERAGE('20250815_ETF_Options_Exhibits'!T2321:T2325),"")</f>
        <v/>
      </c>
      <c r="U2325" s="3">
        <f>IF(ISNUMBER(AVERAGE('20250815_ETF_Options_Exhibits'!U2321:U2325)),AVERAGE('20250815_ETF_Options_Exhibits'!U2321:U2325),"")</f>
        <v/>
      </c>
      <c r="V2325" s="3">
        <f>IF(ISNUMBER(AVERAGE('20250815_ETF_Options_Exhibits'!V2321:V2325)),AVERAGE('20250815_ETF_Options_Exhibits'!V2321:V2325),"")</f>
        <v/>
      </c>
      <c r="W2325" s="3">
        <f>IF(ISNUMBER(AVERAGE('20250815_ETF_Options_Exhibits'!W2321:W2325)),AVERAGE('20250815_ETF_Options_Exhibits'!W2321:W2325),"")</f>
        <v/>
      </c>
      <c r="X2325" s="3">
        <f>IF(ISNUMBER(AVERAGE('20250815_ETF_Options_Exhibits'!X2321:X2325)),AVERAGE('20250815_ETF_Options_Exhibits'!X2321:X2325),"")</f>
        <v/>
      </c>
      <c r="Y2325" s="3">
        <f>IF(ISNUMBER(AVERAGE('20250815_ETF_Options_Exhibits'!Y2321:Y2325)),AVERAGE('20250815_ETF_Options_Exhibits'!Y2321:Y2325),"")</f>
        <v/>
      </c>
      <c r="Z2325" s="3">
        <f>IF(ISNUMBER(AVERAGE('20250815_ETF_Options_Exhibits'!Z2321:Z2325)),AVERAGE('20250815_ETF_Options_Exhibits'!Z2321:Z2325),"")</f>
        <v/>
      </c>
      <c r="AA2325" s="3">
        <f>IF(ISNUMBER(AVERAGE('20250815_ETF_Options_Exhibits'!AA2321:AA2325)),AVERAGE('20250815_ETF_Options_Exhibits'!AA2321:AA2325),"")</f>
        <v/>
      </c>
    </row>
    <row r="2326">
      <c r="A2326" s="1" t="n">
        <v>45378</v>
      </c>
      <c r="B2326" s="3">
        <f>IF(ISNUMBER(AVERAGE('20250815_ETF_Options_Exhibits'!B2322:B2326)),AVERAGE('20250815_ETF_Options_Exhibits'!B2322:B2326),"")</f>
        <v/>
      </c>
      <c r="C2326" s="3">
        <f>IF(ISNUMBER(AVERAGE('20250815_ETF_Options_Exhibits'!C2322:C2326)),AVERAGE('20250815_ETF_Options_Exhibits'!C2322:C2326),"")</f>
        <v/>
      </c>
      <c r="D2326" s="3">
        <f>IF(ISNUMBER(AVERAGE('20250815_ETF_Options_Exhibits'!D2322:D2326)),AVERAGE('20250815_ETF_Options_Exhibits'!D2322:D2326),"")</f>
        <v/>
      </c>
      <c r="E2326" s="3">
        <f>IF(ISNUMBER(AVERAGE('20250815_ETF_Options_Exhibits'!E2322:E2326)),AVERAGE('20250815_ETF_Options_Exhibits'!E2322:E2326),"")</f>
        <v/>
      </c>
      <c r="F2326" s="3">
        <f>IF(ISNUMBER(AVERAGE('20250815_ETF_Options_Exhibits'!F2322:F2326)),AVERAGE('20250815_ETF_Options_Exhibits'!F2322:F2326),"")</f>
        <v/>
      </c>
      <c r="G2326" s="3">
        <f>IF(ISNUMBER(AVERAGE('20250815_ETF_Options_Exhibits'!G2322:G2326)),AVERAGE('20250815_ETF_Options_Exhibits'!G2322:G2326),"")</f>
        <v/>
      </c>
      <c r="H2326" s="3">
        <f>IF(ISNUMBER(AVERAGE('20250815_ETF_Options_Exhibits'!H2322:H2326)),AVERAGE('20250815_ETF_Options_Exhibits'!H2322:H2326),"")</f>
        <v/>
      </c>
      <c r="I2326" s="3">
        <f>IF(ISNUMBER(AVERAGE('20250815_ETF_Options_Exhibits'!I2322:I2326)),AVERAGE('20250815_ETF_Options_Exhibits'!I2322:I2326),"")</f>
        <v/>
      </c>
      <c r="J2326" s="3">
        <f>IF(ISNUMBER(AVERAGE('20250815_ETF_Options_Exhibits'!J2322:J2326)),AVERAGE('20250815_ETF_Options_Exhibits'!J2322:J2326),"")</f>
        <v/>
      </c>
      <c r="K2326" s="3">
        <f>IF(ISNUMBER(AVERAGE('20250815_ETF_Options_Exhibits'!K2322:K2326)),AVERAGE('20250815_ETF_Options_Exhibits'!K2322:K2326),"")</f>
        <v/>
      </c>
      <c r="L2326" s="3">
        <f>IF(ISNUMBER(AVERAGE('20250815_ETF_Options_Exhibits'!L2322:L2326)),AVERAGE('20250815_ETF_Options_Exhibits'!L2322:L2326),"")</f>
        <v/>
      </c>
      <c r="M2326" s="3">
        <f>IF(ISNUMBER(AVERAGE('20250815_ETF_Options_Exhibits'!M2322:M2326)),AVERAGE('20250815_ETF_Options_Exhibits'!M2322:M2326),"")</f>
        <v/>
      </c>
      <c r="N2326" s="3">
        <f>IF(ISNUMBER(AVERAGE('20250815_ETF_Options_Exhibits'!N2322:N2326)),AVERAGE('20250815_ETF_Options_Exhibits'!N2322:N2326),"")</f>
        <v/>
      </c>
      <c r="O2326" s="3">
        <f>IF(ISNUMBER(AVERAGE('20250815_ETF_Options_Exhibits'!O2322:O2326)),AVERAGE('20250815_ETF_Options_Exhibits'!O2322:O2326),"")</f>
        <v/>
      </c>
      <c r="P2326" s="3">
        <f>IF(ISNUMBER(AVERAGE('20250815_ETF_Options_Exhibits'!P2322:P2326)),AVERAGE('20250815_ETF_Options_Exhibits'!P2322:P2326),"")</f>
        <v/>
      </c>
      <c r="Q2326" s="3">
        <f>IF(ISNUMBER(AVERAGE('20250815_ETF_Options_Exhibits'!Q2322:Q2326)),AVERAGE('20250815_ETF_Options_Exhibits'!Q2322:Q2326),"")</f>
        <v/>
      </c>
      <c r="R2326" s="3">
        <f>IF(ISNUMBER(AVERAGE('20250815_ETF_Options_Exhibits'!R2322:R2326)),AVERAGE('20250815_ETF_Options_Exhibits'!R2322:R2326),"")</f>
        <v/>
      </c>
      <c r="S2326" s="3">
        <f>IF(ISNUMBER(AVERAGE('20250815_ETF_Options_Exhibits'!S2322:S2326)),AVERAGE('20250815_ETF_Options_Exhibits'!S2322:S2326),"")</f>
        <v/>
      </c>
      <c r="T2326" s="3">
        <f>IF(ISNUMBER(AVERAGE('20250815_ETF_Options_Exhibits'!T2322:T2326)),AVERAGE('20250815_ETF_Options_Exhibits'!T2322:T2326),"")</f>
        <v/>
      </c>
      <c r="U2326" s="3">
        <f>IF(ISNUMBER(AVERAGE('20250815_ETF_Options_Exhibits'!U2322:U2326)),AVERAGE('20250815_ETF_Options_Exhibits'!U2322:U2326),"")</f>
        <v/>
      </c>
      <c r="V2326" s="3">
        <f>IF(ISNUMBER(AVERAGE('20250815_ETF_Options_Exhibits'!V2322:V2326)),AVERAGE('20250815_ETF_Options_Exhibits'!V2322:V2326),"")</f>
        <v/>
      </c>
      <c r="W2326" s="3">
        <f>IF(ISNUMBER(AVERAGE('20250815_ETF_Options_Exhibits'!W2322:W2326)),AVERAGE('20250815_ETF_Options_Exhibits'!W2322:W2326),"")</f>
        <v/>
      </c>
      <c r="X2326" s="3">
        <f>IF(ISNUMBER(AVERAGE('20250815_ETF_Options_Exhibits'!X2322:X2326)),AVERAGE('20250815_ETF_Options_Exhibits'!X2322:X2326),"")</f>
        <v/>
      </c>
      <c r="Y2326" s="3">
        <f>IF(ISNUMBER(AVERAGE('20250815_ETF_Options_Exhibits'!Y2322:Y2326)),AVERAGE('20250815_ETF_Options_Exhibits'!Y2322:Y2326),"")</f>
        <v/>
      </c>
      <c r="Z2326" s="3">
        <f>IF(ISNUMBER(AVERAGE('20250815_ETF_Options_Exhibits'!Z2322:Z2326)),AVERAGE('20250815_ETF_Options_Exhibits'!Z2322:Z2326),"")</f>
        <v/>
      </c>
      <c r="AA2326" s="3">
        <f>IF(ISNUMBER(AVERAGE('20250815_ETF_Options_Exhibits'!AA2322:AA2326)),AVERAGE('20250815_ETF_Options_Exhibits'!AA2322:AA2326),"")</f>
        <v/>
      </c>
    </row>
    <row r="2327">
      <c r="A2327" s="1" t="n">
        <v>45379</v>
      </c>
      <c r="B2327" s="3">
        <f>IF(ISNUMBER(AVERAGE('20250815_ETF_Options_Exhibits'!B2323:B2327)),AVERAGE('20250815_ETF_Options_Exhibits'!B2323:B2327),"")</f>
        <v/>
      </c>
      <c r="C2327" s="3">
        <f>IF(ISNUMBER(AVERAGE('20250815_ETF_Options_Exhibits'!C2323:C2327)),AVERAGE('20250815_ETF_Options_Exhibits'!C2323:C2327),"")</f>
        <v/>
      </c>
      <c r="D2327" s="3">
        <f>IF(ISNUMBER(AVERAGE('20250815_ETF_Options_Exhibits'!D2323:D2327)),AVERAGE('20250815_ETF_Options_Exhibits'!D2323:D2327),"")</f>
        <v/>
      </c>
      <c r="E2327" s="3">
        <f>IF(ISNUMBER(AVERAGE('20250815_ETF_Options_Exhibits'!E2323:E2327)),AVERAGE('20250815_ETF_Options_Exhibits'!E2323:E2327),"")</f>
        <v/>
      </c>
      <c r="F2327" s="3">
        <f>IF(ISNUMBER(AVERAGE('20250815_ETF_Options_Exhibits'!F2323:F2327)),AVERAGE('20250815_ETF_Options_Exhibits'!F2323:F2327),"")</f>
        <v/>
      </c>
      <c r="G2327" s="3">
        <f>IF(ISNUMBER(AVERAGE('20250815_ETF_Options_Exhibits'!G2323:G2327)),AVERAGE('20250815_ETF_Options_Exhibits'!G2323:G2327),"")</f>
        <v/>
      </c>
      <c r="H2327" s="3">
        <f>IF(ISNUMBER(AVERAGE('20250815_ETF_Options_Exhibits'!H2323:H2327)),AVERAGE('20250815_ETF_Options_Exhibits'!H2323:H2327),"")</f>
        <v/>
      </c>
      <c r="I2327" s="3">
        <f>IF(ISNUMBER(AVERAGE('20250815_ETF_Options_Exhibits'!I2323:I2327)),AVERAGE('20250815_ETF_Options_Exhibits'!I2323:I2327),"")</f>
        <v/>
      </c>
      <c r="J2327" s="3">
        <f>IF(ISNUMBER(AVERAGE('20250815_ETF_Options_Exhibits'!J2323:J2327)),AVERAGE('20250815_ETF_Options_Exhibits'!J2323:J2327),"")</f>
        <v/>
      </c>
      <c r="K2327" s="3">
        <f>IF(ISNUMBER(AVERAGE('20250815_ETF_Options_Exhibits'!K2323:K2327)),AVERAGE('20250815_ETF_Options_Exhibits'!K2323:K2327),"")</f>
        <v/>
      </c>
      <c r="L2327" s="3">
        <f>IF(ISNUMBER(AVERAGE('20250815_ETF_Options_Exhibits'!L2323:L2327)),AVERAGE('20250815_ETF_Options_Exhibits'!L2323:L2327),"")</f>
        <v/>
      </c>
      <c r="M2327" s="3">
        <f>IF(ISNUMBER(AVERAGE('20250815_ETF_Options_Exhibits'!M2323:M2327)),AVERAGE('20250815_ETF_Options_Exhibits'!M2323:M2327),"")</f>
        <v/>
      </c>
      <c r="N2327" s="3">
        <f>IF(ISNUMBER(AVERAGE('20250815_ETF_Options_Exhibits'!N2323:N2327)),AVERAGE('20250815_ETF_Options_Exhibits'!N2323:N2327),"")</f>
        <v/>
      </c>
      <c r="O2327" s="3">
        <f>IF(ISNUMBER(AVERAGE('20250815_ETF_Options_Exhibits'!O2323:O2327)),AVERAGE('20250815_ETF_Options_Exhibits'!O2323:O2327),"")</f>
        <v/>
      </c>
      <c r="P2327" s="3">
        <f>IF(ISNUMBER(AVERAGE('20250815_ETF_Options_Exhibits'!P2323:P2327)),AVERAGE('20250815_ETF_Options_Exhibits'!P2323:P2327),"")</f>
        <v/>
      </c>
      <c r="Q2327" s="3">
        <f>IF(ISNUMBER(AVERAGE('20250815_ETF_Options_Exhibits'!Q2323:Q2327)),AVERAGE('20250815_ETF_Options_Exhibits'!Q2323:Q2327),"")</f>
        <v/>
      </c>
      <c r="R2327" s="3">
        <f>IF(ISNUMBER(AVERAGE('20250815_ETF_Options_Exhibits'!R2323:R2327)),AVERAGE('20250815_ETF_Options_Exhibits'!R2323:R2327),"")</f>
        <v/>
      </c>
      <c r="S2327" s="3">
        <f>IF(ISNUMBER(AVERAGE('20250815_ETF_Options_Exhibits'!S2323:S2327)),AVERAGE('20250815_ETF_Options_Exhibits'!S2323:S2327),"")</f>
        <v/>
      </c>
      <c r="T2327" s="3">
        <f>IF(ISNUMBER(AVERAGE('20250815_ETF_Options_Exhibits'!T2323:T2327)),AVERAGE('20250815_ETF_Options_Exhibits'!T2323:T2327),"")</f>
        <v/>
      </c>
      <c r="U2327" s="3">
        <f>IF(ISNUMBER(AVERAGE('20250815_ETF_Options_Exhibits'!U2323:U2327)),AVERAGE('20250815_ETF_Options_Exhibits'!U2323:U2327),"")</f>
        <v/>
      </c>
      <c r="V2327" s="3">
        <f>IF(ISNUMBER(AVERAGE('20250815_ETF_Options_Exhibits'!V2323:V2327)),AVERAGE('20250815_ETF_Options_Exhibits'!V2323:V2327),"")</f>
        <v/>
      </c>
      <c r="W2327" s="3">
        <f>IF(ISNUMBER(AVERAGE('20250815_ETF_Options_Exhibits'!W2323:W2327)),AVERAGE('20250815_ETF_Options_Exhibits'!W2323:W2327),"")</f>
        <v/>
      </c>
      <c r="X2327" s="3">
        <f>IF(ISNUMBER(AVERAGE('20250815_ETF_Options_Exhibits'!X2323:X2327)),AVERAGE('20250815_ETF_Options_Exhibits'!X2323:X2327),"")</f>
        <v/>
      </c>
      <c r="Y2327" s="3">
        <f>IF(ISNUMBER(AVERAGE('20250815_ETF_Options_Exhibits'!Y2323:Y2327)),AVERAGE('20250815_ETF_Options_Exhibits'!Y2323:Y2327),"")</f>
        <v/>
      </c>
      <c r="Z2327" s="3">
        <f>IF(ISNUMBER(AVERAGE('20250815_ETF_Options_Exhibits'!Z2323:Z2327)),AVERAGE('20250815_ETF_Options_Exhibits'!Z2323:Z2327),"")</f>
        <v/>
      </c>
      <c r="AA2327" s="3">
        <f>IF(ISNUMBER(AVERAGE('20250815_ETF_Options_Exhibits'!AA2323:AA2327)),AVERAGE('20250815_ETF_Options_Exhibits'!AA2323:AA2327),"")</f>
        <v/>
      </c>
    </row>
    <row r="2328">
      <c r="A2328" s="1" t="n">
        <v>45383</v>
      </c>
      <c r="B2328" s="3">
        <f>IF(ISNUMBER(AVERAGE('20250815_ETF_Options_Exhibits'!B2324:B2328)),AVERAGE('20250815_ETF_Options_Exhibits'!B2324:B2328),"")</f>
        <v/>
      </c>
      <c r="C2328" s="3">
        <f>IF(ISNUMBER(AVERAGE('20250815_ETF_Options_Exhibits'!C2324:C2328)),AVERAGE('20250815_ETF_Options_Exhibits'!C2324:C2328),"")</f>
        <v/>
      </c>
      <c r="D2328" s="3">
        <f>IF(ISNUMBER(AVERAGE('20250815_ETF_Options_Exhibits'!D2324:D2328)),AVERAGE('20250815_ETF_Options_Exhibits'!D2324:D2328),"")</f>
        <v/>
      </c>
      <c r="E2328" s="3">
        <f>IF(ISNUMBER(AVERAGE('20250815_ETF_Options_Exhibits'!E2324:E2328)),AVERAGE('20250815_ETF_Options_Exhibits'!E2324:E2328),"")</f>
        <v/>
      </c>
      <c r="F2328" s="3">
        <f>IF(ISNUMBER(AVERAGE('20250815_ETF_Options_Exhibits'!F2324:F2328)),AVERAGE('20250815_ETF_Options_Exhibits'!F2324:F2328),"")</f>
        <v/>
      </c>
      <c r="G2328" s="3">
        <f>IF(ISNUMBER(AVERAGE('20250815_ETF_Options_Exhibits'!G2324:G2328)),AVERAGE('20250815_ETF_Options_Exhibits'!G2324:G2328),"")</f>
        <v/>
      </c>
      <c r="H2328" s="3">
        <f>IF(ISNUMBER(AVERAGE('20250815_ETF_Options_Exhibits'!H2324:H2328)),AVERAGE('20250815_ETF_Options_Exhibits'!H2324:H2328),"")</f>
        <v/>
      </c>
      <c r="I2328" s="3">
        <f>IF(ISNUMBER(AVERAGE('20250815_ETF_Options_Exhibits'!I2324:I2328)),AVERAGE('20250815_ETF_Options_Exhibits'!I2324:I2328),"")</f>
        <v/>
      </c>
      <c r="J2328" s="3">
        <f>IF(ISNUMBER(AVERAGE('20250815_ETF_Options_Exhibits'!J2324:J2328)),AVERAGE('20250815_ETF_Options_Exhibits'!J2324:J2328),"")</f>
        <v/>
      </c>
      <c r="K2328" s="3">
        <f>IF(ISNUMBER(AVERAGE('20250815_ETF_Options_Exhibits'!K2324:K2328)),AVERAGE('20250815_ETF_Options_Exhibits'!K2324:K2328),"")</f>
        <v/>
      </c>
      <c r="L2328" s="3">
        <f>IF(ISNUMBER(AVERAGE('20250815_ETF_Options_Exhibits'!L2324:L2328)),AVERAGE('20250815_ETF_Options_Exhibits'!L2324:L2328),"")</f>
        <v/>
      </c>
      <c r="M2328" s="3">
        <f>IF(ISNUMBER(AVERAGE('20250815_ETF_Options_Exhibits'!M2324:M2328)),AVERAGE('20250815_ETF_Options_Exhibits'!M2324:M2328),"")</f>
        <v/>
      </c>
      <c r="N2328" s="3">
        <f>IF(ISNUMBER(AVERAGE('20250815_ETF_Options_Exhibits'!N2324:N2328)),AVERAGE('20250815_ETF_Options_Exhibits'!N2324:N2328),"")</f>
        <v/>
      </c>
      <c r="O2328" s="3">
        <f>IF(ISNUMBER(AVERAGE('20250815_ETF_Options_Exhibits'!O2324:O2328)),AVERAGE('20250815_ETF_Options_Exhibits'!O2324:O2328),"")</f>
        <v/>
      </c>
      <c r="P2328" s="3">
        <f>IF(ISNUMBER(AVERAGE('20250815_ETF_Options_Exhibits'!P2324:P2328)),AVERAGE('20250815_ETF_Options_Exhibits'!P2324:P2328),"")</f>
        <v/>
      </c>
      <c r="Q2328" s="3">
        <f>IF(ISNUMBER(AVERAGE('20250815_ETF_Options_Exhibits'!Q2324:Q2328)),AVERAGE('20250815_ETF_Options_Exhibits'!Q2324:Q2328),"")</f>
        <v/>
      </c>
      <c r="R2328" s="3">
        <f>IF(ISNUMBER(AVERAGE('20250815_ETF_Options_Exhibits'!R2324:R2328)),AVERAGE('20250815_ETF_Options_Exhibits'!R2324:R2328),"")</f>
        <v/>
      </c>
      <c r="S2328" s="3">
        <f>IF(ISNUMBER(AVERAGE('20250815_ETF_Options_Exhibits'!S2324:S2328)),AVERAGE('20250815_ETF_Options_Exhibits'!S2324:S2328),"")</f>
        <v/>
      </c>
      <c r="T2328" s="3">
        <f>IF(ISNUMBER(AVERAGE('20250815_ETF_Options_Exhibits'!T2324:T2328)),AVERAGE('20250815_ETF_Options_Exhibits'!T2324:T2328),"")</f>
        <v/>
      </c>
      <c r="U2328" s="3">
        <f>IF(ISNUMBER(AVERAGE('20250815_ETF_Options_Exhibits'!U2324:U2328)),AVERAGE('20250815_ETF_Options_Exhibits'!U2324:U2328),"")</f>
        <v/>
      </c>
      <c r="V2328" s="3">
        <f>IF(ISNUMBER(AVERAGE('20250815_ETF_Options_Exhibits'!V2324:V2328)),AVERAGE('20250815_ETF_Options_Exhibits'!V2324:V2328),"")</f>
        <v/>
      </c>
      <c r="W2328" s="3">
        <f>IF(ISNUMBER(AVERAGE('20250815_ETF_Options_Exhibits'!W2324:W2328)),AVERAGE('20250815_ETF_Options_Exhibits'!W2324:W2328),"")</f>
        <v/>
      </c>
      <c r="X2328" s="3">
        <f>IF(ISNUMBER(AVERAGE('20250815_ETF_Options_Exhibits'!X2324:X2328)),AVERAGE('20250815_ETF_Options_Exhibits'!X2324:X2328),"")</f>
        <v/>
      </c>
      <c r="Y2328" s="3">
        <f>IF(ISNUMBER(AVERAGE('20250815_ETF_Options_Exhibits'!Y2324:Y2328)),AVERAGE('20250815_ETF_Options_Exhibits'!Y2324:Y2328),"")</f>
        <v/>
      </c>
      <c r="Z2328" s="3">
        <f>IF(ISNUMBER(AVERAGE('20250815_ETF_Options_Exhibits'!Z2324:Z2328)),AVERAGE('20250815_ETF_Options_Exhibits'!Z2324:Z2328),"")</f>
        <v/>
      </c>
      <c r="AA2328" s="3">
        <f>IF(ISNUMBER(AVERAGE('20250815_ETF_Options_Exhibits'!AA2324:AA2328)),AVERAGE('20250815_ETF_Options_Exhibits'!AA2324:AA2328),"")</f>
        <v/>
      </c>
    </row>
    <row r="2329">
      <c r="A2329" s="1" t="n">
        <v>45384</v>
      </c>
      <c r="B2329" s="3">
        <f>IF(ISNUMBER(AVERAGE('20250815_ETF_Options_Exhibits'!B2325:B2329)),AVERAGE('20250815_ETF_Options_Exhibits'!B2325:B2329),"")</f>
        <v/>
      </c>
      <c r="C2329" s="3">
        <f>IF(ISNUMBER(AVERAGE('20250815_ETF_Options_Exhibits'!C2325:C2329)),AVERAGE('20250815_ETF_Options_Exhibits'!C2325:C2329),"")</f>
        <v/>
      </c>
      <c r="D2329" s="3">
        <f>IF(ISNUMBER(AVERAGE('20250815_ETF_Options_Exhibits'!D2325:D2329)),AVERAGE('20250815_ETF_Options_Exhibits'!D2325:D2329),"")</f>
        <v/>
      </c>
      <c r="E2329" s="3">
        <f>IF(ISNUMBER(AVERAGE('20250815_ETF_Options_Exhibits'!E2325:E2329)),AVERAGE('20250815_ETF_Options_Exhibits'!E2325:E2329),"")</f>
        <v/>
      </c>
      <c r="F2329" s="3">
        <f>IF(ISNUMBER(AVERAGE('20250815_ETF_Options_Exhibits'!F2325:F2329)),AVERAGE('20250815_ETF_Options_Exhibits'!F2325:F2329),"")</f>
        <v/>
      </c>
      <c r="G2329" s="3">
        <f>IF(ISNUMBER(AVERAGE('20250815_ETF_Options_Exhibits'!G2325:G2329)),AVERAGE('20250815_ETF_Options_Exhibits'!G2325:G2329),"")</f>
        <v/>
      </c>
      <c r="H2329" s="3">
        <f>IF(ISNUMBER(AVERAGE('20250815_ETF_Options_Exhibits'!H2325:H2329)),AVERAGE('20250815_ETF_Options_Exhibits'!H2325:H2329),"")</f>
        <v/>
      </c>
      <c r="I2329" s="3">
        <f>IF(ISNUMBER(AVERAGE('20250815_ETF_Options_Exhibits'!I2325:I2329)),AVERAGE('20250815_ETF_Options_Exhibits'!I2325:I2329),"")</f>
        <v/>
      </c>
      <c r="J2329" s="3">
        <f>IF(ISNUMBER(AVERAGE('20250815_ETF_Options_Exhibits'!J2325:J2329)),AVERAGE('20250815_ETF_Options_Exhibits'!J2325:J2329),"")</f>
        <v/>
      </c>
      <c r="K2329" s="3">
        <f>IF(ISNUMBER(AVERAGE('20250815_ETF_Options_Exhibits'!K2325:K2329)),AVERAGE('20250815_ETF_Options_Exhibits'!K2325:K2329),"")</f>
        <v/>
      </c>
      <c r="L2329" s="3">
        <f>IF(ISNUMBER(AVERAGE('20250815_ETF_Options_Exhibits'!L2325:L2329)),AVERAGE('20250815_ETF_Options_Exhibits'!L2325:L2329),"")</f>
        <v/>
      </c>
      <c r="M2329" s="3">
        <f>IF(ISNUMBER(AVERAGE('20250815_ETF_Options_Exhibits'!M2325:M2329)),AVERAGE('20250815_ETF_Options_Exhibits'!M2325:M2329),"")</f>
        <v/>
      </c>
      <c r="N2329" s="3">
        <f>IF(ISNUMBER(AVERAGE('20250815_ETF_Options_Exhibits'!N2325:N2329)),AVERAGE('20250815_ETF_Options_Exhibits'!N2325:N2329),"")</f>
        <v/>
      </c>
      <c r="O2329" s="3">
        <f>IF(ISNUMBER(AVERAGE('20250815_ETF_Options_Exhibits'!O2325:O2329)),AVERAGE('20250815_ETF_Options_Exhibits'!O2325:O2329),"")</f>
        <v/>
      </c>
      <c r="P2329" s="3">
        <f>IF(ISNUMBER(AVERAGE('20250815_ETF_Options_Exhibits'!P2325:P2329)),AVERAGE('20250815_ETF_Options_Exhibits'!P2325:P2329),"")</f>
        <v/>
      </c>
      <c r="Q2329" s="3">
        <f>IF(ISNUMBER(AVERAGE('20250815_ETF_Options_Exhibits'!Q2325:Q2329)),AVERAGE('20250815_ETF_Options_Exhibits'!Q2325:Q2329),"")</f>
        <v/>
      </c>
      <c r="R2329" s="3">
        <f>IF(ISNUMBER(AVERAGE('20250815_ETF_Options_Exhibits'!R2325:R2329)),AVERAGE('20250815_ETF_Options_Exhibits'!R2325:R2329),"")</f>
        <v/>
      </c>
      <c r="S2329" s="3">
        <f>IF(ISNUMBER(AVERAGE('20250815_ETF_Options_Exhibits'!S2325:S2329)),AVERAGE('20250815_ETF_Options_Exhibits'!S2325:S2329),"")</f>
        <v/>
      </c>
      <c r="T2329" s="3">
        <f>IF(ISNUMBER(AVERAGE('20250815_ETF_Options_Exhibits'!T2325:T2329)),AVERAGE('20250815_ETF_Options_Exhibits'!T2325:T2329),"")</f>
        <v/>
      </c>
      <c r="U2329" s="3">
        <f>IF(ISNUMBER(AVERAGE('20250815_ETF_Options_Exhibits'!U2325:U2329)),AVERAGE('20250815_ETF_Options_Exhibits'!U2325:U2329),"")</f>
        <v/>
      </c>
      <c r="V2329" s="3">
        <f>IF(ISNUMBER(AVERAGE('20250815_ETF_Options_Exhibits'!V2325:V2329)),AVERAGE('20250815_ETF_Options_Exhibits'!V2325:V2329),"")</f>
        <v/>
      </c>
      <c r="W2329" s="3">
        <f>IF(ISNUMBER(AVERAGE('20250815_ETF_Options_Exhibits'!W2325:W2329)),AVERAGE('20250815_ETF_Options_Exhibits'!W2325:W2329),"")</f>
        <v/>
      </c>
      <c r="X2329" s="3">
        <f>IF(ISNUMBER(AVERAGE('20250815_ETF_Options_Exhibits'!X2325:X2329)),AVERAGE('20250815_ETF_Options_Exhibits'!X2325:X2329),"")</f>
        <v/>
      </c>
      <c r="Y2329" s="3">
        <f>IF(ISNUMBER(AVERAGE('20250815_ETF_Options_Exhibits'!Y2325:Y2329)),AVERAGE('20250815_ETF_Options_Exhibits'!Y2325:Y2329),"")</f>
        <v/>
      </c>
      <c r="Z2329" s="3">
        <f>IF(ISNUMBER(AVERAGE('20250815_ETF_Options_Exhibits'!Z2325:Z2329)),AVERAGE('20250815_ETF_Options_Exhibits'!Z2325:Z2329),"")</f>
        <v/>
      </c>
      <c r="AA2329" s="3">
        <f>IF(ISNUMBER(AVERAGE('20250815_ETF_Options_Exhibits'!AA2325:AA2329)),AVERAGE('20250815_ETF_Options_Exhibits'!AA2325:AA2329),"")</f>
        <v/>
      </c>
    </row>
    <row r="2330">
      <c r="A2330" s="1" t="n">
        <v>45385</v>
      </c>
      <c r="B2330" s="3">
        <f>IF(ISNUMBER(AVERAGE('20250815_ETF_Options_Exhibits'!B2326:B2330)),AVERAGE('20250815_ETF_Options_Exhibits'!B2326:B2330),"")</f>
        <v/>
      </c>
      <c r="C2330" s="3">
        <f>IF(ISNUMBER(AVERAGE('20250815_ETF_Options_Exhibits'!C2326:C2330)),AVERAGE('20250815_ETF_Options_Exhibits'!C2326:C2330),"")</f>
        <v/>
      </c>
      <c r="D2330" s="3">
        <f>IF(ISNUMBER(AVERAGE('20250815_ETF_Options_Exhibits'!D2326:D2330)),AVERAGE('20250815_ETF_Options_Exhibits'!D2326:D2330),"")</f>
        <v/>
      </c>
      <c r="E2330" s="3">
        <f>IF(ISNUMBER(AVERAGE('20250815_ETF_Options_Exhibits'!E2326:E2330)),AVERAGE('20250815_ETF_Options_Exhibits'!E2326:E2330),"")</f>
        <v/>
      </c>
      <c r="F2330" s="3">
        <f>IF(ISNUMBER(AVERAGE('20250815_ETF_Options_Exhibits'!F2326:F2330)),AVERAGE('20250815_ETF_Options_Exhibits'!F2326:F2330),"")</f>
        <v/>
      </c>
      <c r="G2330" s="3">
        <f>IF(ISNUMBER(AVERAGE('20250815_ETF_Options_Exhibits'!G2326:G2330)),AVERAGE('20250815_ETF_Options_Exhibits'!G2326:G2330),"")</f>
        <v/>
      </c>
      <c r="H2330" s="3">
        <f>IF(ISNUMBER(AVERAGE('20250815_ETF_Options_Exhibits'!H2326:H2330)),AVERAGE('20250815_ETF_Options_Exhibits'!H2326:H2330),"")</f>
        <v/>
      </c>
      <c r="I2330" s="3">
        <f>IF(ISNUMBER(AVERAGE('20250815_ETF_Options_Exhibits'!I2326:I2330)),AVERAGE('20250815_ETF_Options_Exhibits'!I2326:I2330),"")</f>
        <v/>
      </c>
      <c r="J2330" s="3">
        <f>IF(ISNUMBER(AVERAGE('20250815_ETF_Options_Exhibits'!J2326:J2330)),AVERAGE('20250815_ETF_Options_Exhibits'!J2326:J2330),"")</f>
        <v/>
      </c>
      <c r="K2330" s="3">
        <f>IF(ISNUMBER(AVERAGE('20250815_ETF_Options_Exhibits'!K2326:K2330)),AVERAGE('20250815_ETF_Options_Exhibits'!K2326:K2330),"")</f>
        <v/>
      </c>
      <c r="L2330" s="3">
        <f>IF(ISNUMBER(AVERAGE('20250815_ETF_Options_Exhibits'!L2326:L2330)),AVERAGE('20250815_ETF_Options_Exhibits'!L2326:L2330),"")</f>
        <v/>
      </c>
      <c r="M2330" s="3">
        <f>IF(ISNUMBER(AVERAGE('20250815_ETF_Options_Exhibits'!M2326:M2330)),AVERAGE('20250815_ETF_Options_Exhibits'!M2326:M2330),"")</f>
        <v/>
      </c>
      <c r="N2330" s="3">
        <f>IF(ISNUMBER(AVERAGE('20250815_ETF_Options_Exhibits'!N2326:N2330)),AVERAGE('20250815_ETF_Options_Exhibits'!N2326:N2330),"")</f>
        <v/>
      </c>
      <c r="O2330" s="3">
        <f>IF(ISNUMBER(AVERAGE('20250815_ETF_Options_Exhibits'!O2326:O2330)),AVERAGE('20250815_ETF_Options_Exhibits'!O2326:O2330),"")</f>
        <v/>
      </c>
      <c r="P2330" s="3">
        <f>IF(ISNUMBER(AVERAGE('20250815_ETF_Options_Exhibits'!P2326:P2330)),AVERAGE('20250815_ETF_Options_Exhibits'!P2326:P2330),"")</f>
        <v/>
      </c>
      <c r="Q2330" s="3">
        <f>IF(ISNUMBER(AVERAGE('20250815_ETF_Options_Exhibits'!Q2326:Q2330)),AVERAGE('20250815_ETF_Options_Exhibits'!Q2326:Q2330),"")</f>
        <v/>
      </c>
      <c r="R2330" s="3">
        <f>IF(ISNUMBER(AVERAGE('20250815_ETF_Options_Exhibits'!R2326:R2330)),AVERAGE('20250815_ETF_Options_Exhibits'!R2326:R2330),"")</f>
        <v/>
      </c>
      <c r="S2330" s="3">
        <f>IF(ISNUMBER(AVERAGE('20250815_ETF_Options_Exhibits'!S2326:S2330)),AVERAGE('20250815_ETF_Options_Exhibits'!S2326:S2330),"")</f>
        <v/>
      </c>
      <c r="T2330" s="3">
        <f>IF(ISNUMBER(AVERAGE('20250815_ETF_Options_Exhibits'!T2326:T2330)),AVERAGE('20250815_ETF_Options_Exhibits'!T2326:T2330),"")</f>
        <v/>
      </c>
      <c r="U2330" s="3">
        <f>IF(ISNUMBER(AVERAGE('20250815_ETF_Options_Exhibits'!U2326:U2330)),AVERAGE('20250815_ETF_Options_Exhibits'!U2326:U2330),"")</f>
        <v/>
      </c>
      <c r="V2330" s="3">
        <f>IF(ISNUMBER(AVERAGE('20250815_ETF_Options_Exhibits'!V2326:V2330)),AVERAGE('20250815_ETF_Options_Exhibits'!V2326:V2330),"")</f>
        <v/>
      </c>
      <c r="W2330" s="3">
        <f>IF(ISNUMBER(AVERAGE('20250815_ETF_Options_Exhibits'!W2326:W2330)),AVERAGE('20250815_ETF_Options_Exhibits'!W2326:W2330),"")</f>
        <v/>
      </c>
      <c r="X2330" s="3">
        <f>IF(ISNUMBER(AVERAGE('20250815_ETF_Options_Exhibits'!X2326:X2330)),AVERAGE('20250815_ETF_Options_Exhibits'!X2326:X2330),"")</f>
        <v/>
      </c>
      <c r="Y2330" s="3">
        <f>IF(ISNUMBER(AVERAGE('20250815_ETF_Options_Exhibits'!Y2326:Y2330)),AVERAGE('20250815_ETF_Options_Exhibits'!Y2326:Y2330),"")</f>
        <v/>
      </c>
      <c r="Z2330" s="3">
        <f>IF(ISNUMBER(AVERAGE('20250815_ETF_Options_Exhibits'!Z2326:Z2330)),AVERAGE('20250815_ETF_Options_Exhibits'!Z2326:Z2330),"")</f>
        <v/>
      </c>
      <c r="AA2330" s="3">
        <f>IF(ISNUMBER(AVERAGE('20250815_ETF_Options_Exhibits'!AA2326:AA2330)),AVERAGE('20250815_ETF_Options_Exhibits'!AA2326:AA2330),"")</f>
        <v/>
      </c>
    </row>
    <row r="2331">
      <c r="A2331" s="1" t="n">
        <v>45386</v>
      </c>
      <c r="B2331" s="3">
        <f>IF(ISNUMBER(AVERAGE('20250815_ETF_Options_Exhibits'!B2327:B2331)),AVERAGE('20250815_ETF_Options_Exhibits'!B2327:B2331),"")</f>
        <v/>
      </c>
      <c r="C2331" s="3">
        <f>IF(ISNUMBER(AVERAGE('20250815_ETF_Options_Exhibits'!C2327:C2331)),AVERAGE('20250815_ETF_Options_Exhibits'!C2327:C2331),"")</f>
        <v/>
      </c>
      <c r="D2331" s="3">
        <f>IF(ISNUMBER(AVERAGE('20250815_ETF_Options_Exhibits'!D2327:D2331)),AVERAGE('20250815_ETF_Options_Exhibits'!D2327:D2331),"")</f>
        <v/>
      </c>
      <c r="E2331" s="3">
        <f>IF(ISNUMBER(AVERAGE('20250815_ETF_Options_Exhibits'!E2327:E2331)),AVERAGE('20250815_ETF_Options_Exhibits'!E2327:E2331),"")</f>
        <v/>
      </c>
      <c r="F2331" s="3">
        <f>IF(ISNUMBER(AVERAGE('20250815_ETF_Options_Exhibits'!F2327:F2331)),AVERAGE('20250815_ETF_Options_Exhibits'!F2327:F2331),"")</f>
        <v/>
      </c>
      <c r="G2331" s="3">
        <f>IF(ISNUMBER(AVERAGE('20250815_ETF_Options_Exhibits'!G2327:G2331)),AVERAGE('20250815_ETF_Options_Exhibits'!G2327:G2331),"")</f>
        <v/>
      </c>
      <c r="H2331" s="3">
        <f>IF(ISNUMBER(AVERAGE('20250815_ETF_Options_Exhibits'!H2327:H2331)),AVERAGE('20250815_ETF_Options_Exhibits'!H2327:H2331),"")</f>
        <v/>
      </c>
      <c r="I2331" s="3">
        <f>IF(ISNUMBER(AVERAGE('20250815_ETF_Options_Exhibits'!I2327:I2331)),AVERAGE('20250815_ETF_Options_Exhibits'!I2327:I2331),"")</f>
        <v/>
      </c>
      <c r="J2331" s="3">
        <f>IF(ISNUMBER(AVERAGE('20250815_ETF_Options_Exhibits'!J2327:J2331)),AVERAGE('20250815_ETF_Options_Exhibits'!J2327:J2331),"")</f>
        <v/>
      </c>
      <c r="K2331" s="3">
        <f>IF(ISNUMBER(AVERAGE('20250815_ETF_Options_Exhibits'!K2327:K2331)),AVERAGE('20250815_ETF_Options_Exhibits'!K2327:K2331),"")</f>
        <v/>
      </c>
      <c r="L2331" s="3">
        <f>IF(ISNUMBER(AVERAGE('20250815_ETF_Options_Exhibits'!L2327:L2331)),AVERAGE('20250815_ETF_Options_Exhibits'!L2327:L2331),"")</f>
        <v/>
      </c>
      <c r="M2331" s="3">
        <f>IF(ISNUMBER(AVERAGE('20250815_ETF_Options_Exhibits'!M2327:M2331)),AVERAGE('20250815_ETF_Options_Exhibits'!M2327:M2331),"")</f>
        <v/>
      </c>
      <c r="N2331" s="3">
        <f>IF(ISNUMBER(AVERAGE('20250815_ETF_Options_Exhibits'!N2327:N2331)),AVERAGE('20250815_ETF_Options_Exhibits'!N2327:N2331),"")</f>
        <v/>
      </c>
      <c r="O2331" s="3">
        <f>IF(ISNUMBER(AVERAGE('20250815_ETF_Options_Exhibits'!O2327:O2331)),AVERAGE('20250815_ETF_Options_Exhibits'!O2327:O2331),"")</f>
        <v/>
      </c>
      <c r="P2331" s="3">
        <f>IF(ISNUMBER(AVERAGE('20250815_ETF_Options_Exhibits'!P2327:P2331)),AVERAGE('20250815_ETF_Options_Exhibits'!P2327:P2331),"")</f>
        <v/>
      </c>
      <c r="Q2331" s="3">
        <f>IF(ISNUMBER(AVERAGE('20250815_ETF_Options_Exhibits'!Q2327:Q2331)),AVERAGE('20250815_ETF_Options_Exhibits'!Q2327:Q2331),"")</f>
        <v/>
      </c>
      <c r="R2331" s="3">
        <f>IF(ISNUMBER(AVERAGE('20250815_ETF_Options_Exhibits'!R2327:R2331)),AVERAGE('20250815_ETF_Options_Exhibits'!R2327:R2331),"")</f>
        <v/>
      </c>
      <c r="S2331" s="3">
        <f>IF(ISNUMBER(AVERAGE('20250815_ETF_Options_Exhibits'!S2327:S2331)),AVERAGE('20250815_ETF_Options_Exhibits'!S2327:S2331),"")</f>
        <v/>
      </c>
      <c r="T2331" s="3">
        <f>IF(ISNUMBER(AVERAGE('20250815_ETF_Options_Exhibits'!T2327:T2331)),AVERAGE('20250815_ETF_Options_Exhibits'!T2327:T2331),"")</f>
        <v/>
      </c>
      <c r="U2331" s="3">
        <f>IF(ISNUMBER(AVERAGE('20250815_ETF_Options_Exhibits'!U2327:U2331)),AVERAGE('20250815_ETF_Options_Exhibits'!U2327:U2331),"")</f>
        <v/>
      </c>
      <c r="V2331" s="3">
        <f>IF(ISNUMBER(AVERAGE('20250815_ETF_Options_Exhibits'!V2327:V2331)),AVERAGE('20250815_ETF_Options_Exhibits'!V2327:V2331),"")</f>
        <v/>
      </c>
      <c r="W2331" s="3">
        <f>IF(ISNUMBER(AVERAGE('20250815_ETF_Options_Exhibits'!W2327:W2331)),AVERAGE('20250815_ETF_Options_Exhibits'!W2327:W2331),"")</f>
        <v/>
      </c>
      <c r="X2331" s="3">
        <f>IF(ISNUMBER(AVERAGE('20250815_ETF_Options_Exhibits'!X2327:X2331)),AVERAGE('20250815_ETF_Options_Exhibits'!X2327:X2331),"")</f>
        <v/>
      </c>
      <c r="Y2331" s="3">
        <f>IF(ISNUMBER(AVERAGE('20250815_ETF_Options_Exhibits'!Y2327:Y2331)),AVERAGE('20250815_ETF_Options_Exhibits'!Y2327:Y2331),"")</f>
        <v/>
      </c>
      <c r="Z2331" s="3">
        <f>IF(ISNUMBER(AVERAGE('20250815_ETF_Options_Exhibits'!Z2327:Z2331)),AVERAGE('20250815_ETF_Options_Exhibits'!Z2327:Z2331),"")</f>
        <v/>
      </c>
      <c r="AA2331" s="3">
        <f>IF(ISNUMBER(AVERAGE('20250815_ETF_Options_Exhibits'!AA2327:AA2331)),AVERAGE('20250815_ETF_Options_Exhibits'!AA2327:AA2331),"")</f>
        <v/>
      </c>
    </row>
    <row r="2332">
      <c r="A2332" s="1" t="n">
        <v>45387</v>
      </c>
      <c r="B2332" s="3">
        <f>IF(ISNUMBER(AVERAGE('20250815_ETF_Options_Exhibits'!B2328:B2332)),AVERAGE('20250815_ETF_Options_Exhibits'!B2328:B2332),"")</f>
        <v/>
      </c>
      <c r="C2332" s="3">
        <f>IF(ISNUMBER(AVERAGE('20250815_ETF_Options_Exhibits'!C2328:C2332)),AVERAGE('20250815_ETF_Options_Exhibits'!C2328:C2332),"")</f>
        <v/>
      </c>
      <c r="D2332" s="3">
        <f>IF(ISNUMBER(AVERAGE('20250815_ETF_Options_Exhibits'!D2328:D2332)),AVERAGE('20250815_ETF_Options_Exhibits'!D2328:D2332),"")</f>
        <v/>
      </c>
      <c r="E2332" s="3">
        <f>IF(ISNUMBER(AVERAGE('20250815_ETF_Options_Exhibits'!E2328:E2332)),AVERAGE('20250815_ETF_Options_Exhibits'!E2328:E2332),"")</f>
        <v/>
      </c>
      <c r="F2332" s="3">
        <f>IF(ISNUMBER(AVERAGE('20250815_ETF_Options_Exhibits'!F2328:F2332)),AVERAGE('20250815_ETF_Options_Exhibits'!F2328:F2332),"")</f>
        <v/>
      </c>
      <c r="G2332" s="3">
        <f>IF(ISNUMBER(AVERAGE('20250815_ETF_Options_Exhibits'!G2328:G2332)),AVERAGE('20250815_ETF_Options_Exhibits'!G2328:G2332),"")</f>
        <v/>
      </c>
      <c r="H2332" s="3">
        <f>IF(ISNUMBER(AVERAGE('20250815_ETF_Options_Exhibits'!H2328:H2332)),AVERAGE('20250815_ETF_Options_Exhibits'!H2328:H2332),"")</f>
        <v/>
      </c>
      <c r="I2332" s="3">
        <f>IF(ISNUMBER(AVERAGE('20250815_ETF_Options_Exhibits'!I2328:I2332)),AVERAGE('20250815_ETF_Options_Exhibits'!I2328:I2332),"")</f>
        <v/>
      </c>
      <c r="J2332" s="3">
        <f>IF(ISNUMBER(AVERAGE('20250815_ETF_Options_Exhibits'!J2328:J2332)),AVERAGE('20250815_ETF_Options_Exhibits'!J2328:J2332),"")</f>
        <v/>
      </c>
      <c r="K2332" s="3">
        <f>IF(ISNUMBER(AVERAGE('20250815_ETF_Options_Exhibits'!K2328:K2332)),AVERAGE('20250815_ETF_Options_Exhibits'!K2328:K2332),"")</f>
        <v/>
      </c>
      <c r="L2332" s="3">
        <f>IF(ISNUMBER(AVERAGE('20250815_ETF_Options_Exhibits'!L2328:L2332)),AVERAGE('20250815_ETF_Options_Exhibits'!L2328:L2332),"")</f>
        <v/>
      </c>
      <c r="M2332" s="3">
        <f>IF(ISNUMBER(AVERAGE('20250815_ETF_Options_Exhibits'!M2328:M2332)),AVERAGE('20250815_ETF_Options_Exhibits'!M2328:M2332),"")</f>
        <v/>
      </c>
      <c r="N2332" s="3">
        <f>IF(ISNUMBER(AVERAGE('20250815_ETF_Options_Exhibits'!N2328:N2332)),AVERAGE('20250815_ETF_Options_Exhibits'!N2328:N2332),"")</f>
        <v/>
      </c>
      <c r="O2332" s="3">
        <f>IF(ISNUMBER(AVERAGE('20250815_ETF_Options_Exhibits'!O2328:O2332)),AVERAGE('20250815_ETF_Options_Exhibits'!O2328:O2332),"")</f>
        <v/>
      </c>
      <c r="P2332" s="3">
        <f>IF(ISNUMBER(AVERAGE('20250815_ETF_Options_Exhibits'!P2328:P2332)),AVERAGE('20250815_ETF_Options_Exhibits'!P2328:P2332),"")</f>
        <v/>
      </c>
      <c r="Q2332" s="3">
        <f>IF(ISNUMBER(AVERAGE('20250815_ETF_Options_Exhibits'!Q2328:Q2332)),AVERAGE('20250815_ETF_Options_Exhibits'!Q2328:Q2332),"")</f>
        <v/>
      </c>
      <c r="R2332" s="3">
        <f>IF(ISNUMBER(AVERAGE('20250815_ETF_Options_Exhibits'!R2328:R2332)),AVERAGE('20250815_ETF_Options_Exhibits'!R2328:R2332),"")</f>
        <v/>
      </c>
      <c r="S2332" s="3">
        <f>IF(ISNUMBER(AVERAGE('20250815_ETF_Options_Exhibits'!S2328:S2332)),AVERAGE('20250815_ETF_Options_Exhibits'!S2328:S2332),"")</f>
        <v/>
      </c>
      <c r="T2332" s="3">
        <f>IF(ISNUMBER(AVERAGE('20250815_ETF_Options_Exhibits'!T2328:T2332)),AVERAGE('20250815_ETF_Options_Exhibits'!T2328:T2332),"")</f>
        <v/>
      </c>
      <c r="U2332" s="3">
        <f>IF(ISNUMBER(AVERAGE('20250815_ETF_Options_Exhibits'!U2328:U2332)),AVERAGE('20250815_ETF_Options_Exhibits'!U2328:U2332),"")</f>
        <v/>
      </c>
      <c r="V2332" s="3">
        <f>IF(ISNUMBER(AVERAGE('20250815_ETF_Options_Exhibits'!V2328:V2332)),AVERAGE('20250815_ETF_Options_Exhibits'!V2328:V2332),"")</f>
        <v/>
      </c>
      <c r="W2332" s="3">
        <f>IF(ISNUMBER(AVERAGE('20250815_ETF_Options_Exhibits'!W2328:W2332)),AVERAGE('20250815_ETF_Options_Exhibits'!W2328:W2332),"")</f>
        <v/>
      </c>
      <c r="X2332" s="3">
        <f>IF(ISNUMBER(AVERAGE('20250815_ETF_Options_Exhibits'!X2328:X2332)),AVERAGE('20250815_ETF_Options_Exhibits'!X2328:X2332),"")</f>
        <v/>
      </c>
      <c r="Y2332" s="3">
        <f>IF(ISNUMBER(AVERAGE('20250815_ETF_Options_Exhibits'!Y2328:Y2332)),AVERAGE('20250815_ETF_Options_Exhibits'!Y2328:Y2332),"")</f>
        <v/>
      </c>
      <c r="Z2332" s="3">
        <f>IF(ISNUMBER(AVERAGE('20250815_ETF_Options_Exhibits'!Z2328:Z2332)),AVERAGE('20250815_ETF_Options_Exhibits'!Z2328:Z2332),"")</f>
        <v/>
      </c>
      <c r="AA2332" s="3">
        <f>IF(ISNUMBER(AVERAGE('20250815_ETF_Options_Exhibits'!AA2328:AA2332)),AVERAGE('20250815_ETF_Options_Exhibits'!AA2328:AA2332),"")</f>
        <v/>
      </c>
    </row>
    <row r="2333">
      <c r="A2333" s="1" t="n">
        <v>45390</v>
      </c>
      <c r="B2333" s="3">
        <f>IF(ISNUMBER(AVERAGE('20250815_ETF_Options_Exhibits'!B2329:B2333)),AVERAGE('20250815_ETF_Options_Exhibits'!B2329:B2333),"")</f>
        <v/>
      </c>
      <c r="C2333" s="3">
        <f>IF(ISNUMBER(AVERAGE('20250815_ETF_Options_Exhibits'!C2329:C2333)),AVERAGE('20250815_ETF_Options_Exhibits'!C2329:C2333),"")</f>
        <v/>
      </c>
      <c r="D2333" s="3">
        <f>IF(ISNUMBER(AVERAGE('20250815_ETF_Options_Exhibits'!D2329:D2333)),AVERAGE('20250815_ETF_Options_Exhibits'!D2329:D2333),"")</f>
        <v/>
      </c>
      <c r="E2333" s="3">
        <f>IF(ISNUMBER(AVERAGE('20250815_ETF_Options_Exhibits'!E2329:E2333)),AVERAGE('20250815_ETF_Options_Exhibits'!E2329:E2333),"")</f>
        <v/>
      </c>
      <c r="F2333" s="3">
        <f>IF(ISNUMBER(AVERAGE('20250815_ETF_Options_Exhibits'!F2329:F2333)),AVERAGE('20250815_ETF_Options_Exhibits'!F2329:F2333),"")</f>
        <v/>
      </c>
      <c r="G2333" s="3">
        <f>IF(ISNUMBER(AVERAGE('20250815_ETF_Options_Exhibits'!G2329:G2333)),AVERAGE('20250815_ETF_Options_Exhibits'!G2329:G2333),"")</f>
        <v/>
      </c>
      <c r="H2333" s="3">
        <f>IF(ISNUMBER(AVERAGE('20250815_ETF_Options_Exhibits'!H2329:H2333)),AVERAGE('20250815_ETF_Options_Exhibits'!H2329:H2333),"")</f>
        <v/>
      </c>
      <c r="I2333" s="3">
        <f>IF(ISNUMBER(AVERAGE('20250815_ETF_Options_Exhibits'!I2329:I2333)),AVERAGE('20250815_ETF_Options_Exhibits'!I2329:I2333),"")</f>
        <v/>
      </c>
      <c r="J2333" s="3">
        <f>IF(ISNUMBER(AVERAGE('20250815_ETF_Options_Exhibits'!J2329:J2333)),AVERAGE('20250815_ETF_Options_Exhibits'!J2329:J2333),"")</f>
        <v/>
      </c>
      <c r="K2333" s="3">
        <f>IF(ISNUMBER(AVERAGE('20250815_ETF_Options_Exhibits'!K2329:K2333)),AVERAGE('20250815_ETF_Options_Exhibits'!K2329:K2333),"")</f>
        <v/>
      </c>
      <c r="L2333" s="3">
        <f>IF(ISNUMBER(AVERAGE('20250815_ETF_Options_Exhibits'!L2329:L2333)),AVERAGE('20250815_ETF_Options_Exhibits'!L2329:L2333),"")</f>
        <v/>
      </c>
      <c r="M2333" s="3">
        <f>IF(ISNUMBER(AVERAGE('20250815_ETF_Options_Exhibits'!M2329:M2333)),AVERAGE('20250815_ETF_Options_Exhibits'!M2329:M2333),"")</f>
        <v/>
      </c>
      <c r="N2333" s="3">
        <f>IF(ISNUMBER(AVERAGE('20250815_ETF_Options_Exhibits'!N2329:N2333)),AVERAGE('20250815_ETF_Options_Exhibits'!N2329:N2333),"")</f>
        <v/>
      </c>
      <c r="O2333" s="3">
        <f>IF(ISNUMBER(AVERAGE('20250815_ETF_Options_Exhibits'!O2329:O2333)),AVERAGE('20250815_ETF_Options_Exhibits'!O2329:O2333),"")</f>
        <v/>
      </c>
      <c r="P2333" s="3">
        <f>IF(ISNUMBER(AVERAGE('20250815_ETF_Options_Exhibits'!P2329:P2333)),AVERAGE('20250815_ETF_Options_Exhibits'!P2329:P2333),"")</f>
        <v/>
      </c>
      <c r="Q2333" s="3">
        <f>IF(ISNUMBER(AVERAGE('20250815_ETF_Options_Exhibits'!Q2329:Q2333)),AVERAGE('20250815_ETF_Options_Exhibits'!Q2329:Q2333),"")</f>
        <v/>
      </c>
      <c r="R2333" s="3">
        <f>IF(ISNUMBER(AVERAGE('20250815_ETF_Options_Exhibits'!R2329:R2333)),AVERAGE('20250815_ETF_Options_Exhibits'!R2329:R2333),"")</f>
        <v/>
      </c>
      <c r="S2333" s="3">
        <f>IF(ISNUMBER(AVERAGE('20250815_ETF_Options_Exhibits'!S2329:S2333)),AVERAGE('20250815_ETF_Options_Exhibits'!S2329:S2333),"")</f>
        <v/>
      </c>
      <c r="T2333" s="3">
        <f>IF(ISNUMBER(AVERAGE('20250815_ETF_Options_Exhibits'!T2329:T2333)),AVERAGE('20250815_ETF_Options_Exhibits'!T2329:T2333),"")</f>
        <v/>
      </c>
      <c r="U2333" s="3">
        <f>IF(ISNUMBER(AVERAGE('20250815_ETF_Options_Exhibits'!U2329:U2333)),AVERAGE('20250815_ETF_Options_Exhibits'!U2329:U2333),"")</f>
        <v/>
      </c>
      <c r="V2333" s="3">
        <f>IF(ISNUMBER(AVERAGE('20250815_ETF_Options_Exhibits'!V2329:V2333)),AVERAGE('20250815_ETF_Options_Exhibits'!V2329:V2333),"")</f>
        <v/>
      </c>
      <c r="W2333" s="3">
        <f>IF(ISNUMBER(AVERAGE('20250815_ETF_Options_Exhibits'!W2329:W2333)),AVERAGE('20250815_ETF_Options_Exhibits'!W2329:W2333),"")</f>
        <v/>
      </c>
      <c r="X2333" s="3">
        <f>IF(ISNUMBER(AVERAGE('20250815_ETF_Options_Exhibits'!X2329:X2333)),AVERAGE('20250815_ETF_Options_Exhibits'!X2329:X2333),"")</f>
        <v/>
      </c>
      <c r="Y2333" s="3">
        <f>IF(ISNUMBER(AVERAGE('20250815_ETF_Options_Exhibits'!Y2329:Y2333)),AVERAGE('20250815_ETF_Options_Exhibits'!Y2329:Y2333),"")</f>
        <v/>
      </c>
      <c r="Z2333" s="3">
        <f>IF(ISNUMBER(AVERAGE('20250815_ETF_Options_Exhibits'!Z2329:Z2333)),AVERAGE('20250815_ETF_Options_Exhibits'!Z2329:Z2333),"")</f>
        <v/>
      </c>
      <c r="AA2333" s="3">
        <f>IF(ISNUMBER(AVERAGE('20250815_ETF_Options_Exhibits'!AA2329:AA2333)),AVERAGE('20250815_ETF_Options_Exhibits'!AA2329:AA2333),"")</f>
        <v/>
      </c>
    </row>
    <row r="2334">
      <c r="A2334" s="1" t="n">
        <v>45391</v>
      </c>
      <c r="B2334" s="3">
        <f>IF(ISNUMBER(AVERAGE('20250815_ETF_Options_Exhibits'!B2330:B2334)),AVERAGE('20250815_ETF_Options_Exhibits'!B2330:B2334),"")</f>
        <v/>
      </c>
      <c r="C2334" s="3">
        <f>IF(ISNUMBER(AVERAGE('20250815_ETF_Options_Exhibits'!C2330:C2334)),AVERAGE('20250815_ETF_Options_Exhibits'!C2330:C2334),"")</f>
        <v/>
      </c>
      <c r="D2334" s="3">
        <f>IF(ISNUMBER(AVERAGE('20250815_ETF_Options_Exhibits'!D2330:D2334)),AVERAGE('20250815_ETF_Options_Exhibits'!D2330:D2334),"")</f>
        <v/>
      </c>
      <c r="E2334" s="3">
        <f>IF(ISNUMBER(AVERAGE('20250815_ETF_Options_Exhibits'!E2330:E2334)),AVERAGE('20250815_ETF_Options_Exhibits'!E2330:E2334),"")</f>
        <v/>
      </c>
      <c r="F2334" s="3">
        <f>IF(ISNUMBER(AVERAGE('20250815_ETF_Options_Exhibits'!F2330:F2334)),AVERAGE('20250815_ETF_Options_Exhibits'!F2330:F2334),"")</f>
        <v/>
      </c>
      <c r="G2334" s="3">
        <f>IF(ISNUMBER(AVERAGE('20250815_ETF_Options_Exhibits'!G2330:G2334)),AVERAGE('20250815_ETF_Options_Exhibits'!G2330:G2334),"")</f>
        <v/>
      </c>
      <c r="H2334" s="3">
        <f>IF(ISNUMBER(AVERAGE('20250815_ETF_Options_Exhibits'!H2330:H2334)),AVERAGE('20250815_ETF_Options_Exhibits'!H2330:H2334),"")</f>
        <v/>
      </c>
      <c r="I2334" s="3">
        <f>IF(ISNUMBER(AVERAGE('20250815_ETF_Options_Exhibits'!I2330:I2334)),AVERAGE('20250815_ETF_Options_Exhibits'!I2330:I2334),"")</f>
        <v/>
      </c>
      <c r="J2334" s="3">
        <f>IF(ISNUMBER(AVERAGE('20250815_ETF_Options_Exhibits'!J2330:J2334)),AVERAGE('20250815_ETF_Options_Exhibits'!J2330:J2334),"")</f>
        <v/>
      </c>
      <c r="K2334" s="3">
        <f>IF(ISNUMBER(AVERAGE('20250815_ETF_Options_Exhibits'!K2330:K2334)),AVERAGE('20250815_ETF_Options_Exhibits'!K2330:K2334),"")</f>
        <v/>
      </c>
      <c r="L2334" s="3">
        <f>IF(ISNUMBER(AVERAGE('20250815_ETF_Options_Exhibits'!L2330:L2334)),AVERAGE('20250815_ETF_Options_Exhibits'!L2330:L2334),"")</f>
        <v/>
      </c>
      <c r="M2334" s="3">
        <f>IF(ISNUMBER(AVERAGE('20250815_ETF_Options_Exhibits'!M2330:M2334)),AVERAGE('20250815_ETF_Options_Exhibits'!M2330:M2334),"")</f>
        <v/>
      </c>
      <c r="N2334" s="3">
        <f>IF(ISNUMBER(AVERAGE('20250815_ETF_Options_Exhibits'!N2330:N2334)),AVERAGE('20250815_ETF_Options_Exhibits'!N2330:N2334),"")</f>
        <v/>
      </c>
      <c r="O2334" s="3">
        <f>IF(ISNUMBER(AVERAGE('20250815_ETF_Options_Exhibits'!O2330:O2334)),AVERAGE('20250815_ETF_Options_Exhibits'!O2330:O2334),"")</f>
        <v/>
      </c>
      <c r="P2334" s="3">
        <f>IF(ISNUMBER(AVERAGE('20250815_ETF_Options_Exhibits'!P2330:P2334)),AVERAGE('20250815_ETF_Options_Exhibits'!P2330:P2334),"")</f>
        <v/>
      </c>
      <c r="Q2334" s="3">
        <f>IF(ISNUMBER(AVERAGE('20250815_ETF_Options_Exhibits'!Q2330:Q2334)),AVERAGE('20250815_ETF_Options_Exhibits'!Q2330:Q2334),"")</f>
        <v/>
      </c>
      <c r="R2334" s="3">
        <f>IF(ISNUMBER(AVERAGE('20250815_ETF_Options_Exhibits'!R2330:R2334)),AVERAGE('20250815_ETF_Options_Exhibits'!R2330:R2334),"")</f>
        <v/>
      </c>
      <c r="S2334" s="3">
        <f>IF(ISNUMBER(AVERAGE('20250815_ETF_Options_Exhibits'!S2330:S2334)),AVERAGE('20250815_ETF_Options_Exhibits'!S2330:S2334),"")</f>
        <v/>
      </c>
      <c r="T2334" s="3">
        <f>IF(ISNUMBER(AVERAGE('20250815_ETF_Options_Exhibits'!T2330:T2334)),AVERAGE('20250815_ETF_Options_Exhibits'!T2330:T2334),"")</f>
        <v/>
      </c>
      <c r="U2334" s="3">
        <f>IF(ISNUMBER(AVERAGE('20250815_ETF_Options_Exhibits'!U2330:U2334)),AVERAGE('20250815_ETF_Options_Exhibits'!U2330:U2334),"")</f>
        <v/>
      </c>
      <c r="V2334" s="3">
        <f>IF(ISNUMBER(AVERAGE('20250815_ETF_Options_Exhibits'!V2330:V2334)),AVERAGE('20250815_ETF_Options_Exhibits'!V2330:V2334),"")</f>
        <v/>
      </c>
      <c r="W2334" s="3">
        <f>IF(ISNUMBER(AVERAGE('20250815_ETF_Options_Exhibits'!W2330:W2334)),AVERAGE('20250815_ETF_Options_Exhibits'!W2330:W2334),"")</f>
        <v/>
      </c>
      <c r="X2334" s="3">
        <f>IF(ISNUMBER(AVERAGE('20250815_ETF_Options_Exhibits'!X2330:X2334)),AVERAGE('20250815_ETF_Options_Exhibits'!X2330:X2334),"")</f>
        <v/>
      </c>
      <c r="Y2334" s="3">
        <f>IF(ISNUMBER(AVERAGE('20250815_ETF_Options_Exhibits'!Y2330:Y2334)),AVERAGE('20250815_ETF_Options_Exhibits'!Y2330:Y2334),"")</f>
        <v/>
      </c>
      <c r="Z2334" s="3">
        <f>IF(ISNUMBER(AVERAGE('20250815_ETF_Options_Exhibits'!Z2330:Z2334)),AVERAGE('20250815_ETF_Options_Exhibits'!Z2330:Z2334),"")</f>
        <v/>
      </c>
      <c r="AA2334" s="3">
        <f>IF(ISNUMBER(AVERAGE('20250815_ETF_Options_Exhibits'!AA2330:AA2334)),AVERAGE('20250815_ETF_Options_Exhibits'!AA2330:AA2334),"")</f>
        <v/>
      </c>
    </row>
    <row r="2335">
      <c r="A2335" s="1" t="n">
        <v>45392</v>
      </c>
      <c r="B2335" s="3">
        <f>IF(ISNUMBER(AVERAGE('20250815_ETF_Options_Exhibits'!B2331:B2335)),AVERAGE('20250815_ETF_Options_Exhibits'!B2331:B2335),"")</f>
        <v/>
      </c>
      <c r="C2335" s="3">
        <f>IF(ISNUMBER(AVERAGE('20250815_ETF_Options_Exhibits'!C2331:C2335)),AVERAGE('20250815_ETF_Options_Exhibits'!C2331:C2335),"")</f>
        <v/>
      </c>
      <c r="D2335" s="3">
        <f>IF(ISNUMBER(AVERAGE('20250815_ETF_Options_Exhibits'!D2331:D2335)),AVERAGE('20250815_ETF_Options_Exhibits'!D2331:D2335),"")</f>
        <v/>
      </c>
      <c r="E2335" s="3">
        <f>IF(ISNUMBER(AVERAGE('20250815_ETF_Options_Exhibits'!E2331:E2335)),AVERAGE('20250815_ETF_Options_Exhibits'!E2331:E2335),"")</f>
        <v/>
      </c>
      <c r="F2335" s="3">
        <f>IF(ISNUMBER(AVERAGE('20250815_ETF_Options_Exhibits'!F2331:F2335)),AVERAGE('20250815_ETF_Options_Exhibits'!F2331:F2335),"")</f>
        <v/>
      </c>
      <c r="G2335" s="3">
        <f>IF(ISNUMBER(AVERAGE('20250815_ETF_Options_Exhibits'!G2331:G2335)),AVERAGE('20250815_ETF_Options_Exhibits'!G2331:G2335),"")</f>
        <v/>
      </c>
      <c r="H2335" s="3">
        <f>IF(ISNUMBER(AVERAGE('20250815_ETF_Options_Exhibits'!H2331:H2335)),AVERAGE('20250815_ETF_Options_Exhibits'!H2331:H2335),"")</f>
        <v/>
      </c>
      <c r="I2335" s="3">
        <f>IF(ISNUMBER(AVERAGE('20250815_ETF_Options_Exhibits'!I2331:I2335)),AVERAGE('20250815_ETF_Options_Exhibits'!I2331:I2335),"")</f>
        <v/>
      </c>
      <c r="J2335" s="3">
        <f>IF(ISNUMBER(AVERAGE('20250815_ETF_Options_Exhibits'!J2331:J2335)),AVERAGE('20250815_ETF_Options_Exhibits'!J2331:J2335),"")</f>
        <v/>
      </c>
      <c r="K2335" s="3">
        <f>IF(ISNUMBER(AVERAGE('20250815_ETF_Options_Exhibits'!K2331:K2335)),AVERAGE('20250815_ETF_Options_Exhibits'!K2331:K2335),"")</f>
        <v/>
      </c>
      <c r="L2335" s="3">
        <f>IF(ISNUMBER(AVERAGE('20250815_ETF_Options_Exhibits'!L2331:L2335)),AVERAGE('20250815_ETF_Options_Exhibits'!L2331:L2335),"")</f>
        <v/>
      </c>
      <c r="M2335" s="3">
        <f>IF(ISNUMBER(AVERAGE('20250815_ETF_Options_Exhibits'!M2331:M2335)),AVERAGE('20250815_ETF_Options_Exhibits'!M2331:M2335),"")</f>
        <v/>
      </c>
      <c r="N2335" s="3">
        <f>IF(ISNUMBER(AVERAGE('20250815_ETF_Options_Exhibits'!N2331:N2335)),AVERAGE('20250815_ETF_Options_Exhibits'!N2331:N2335),"")</f>
        <v/>
      </c>
      <c r="O2335" s="3">
        <f>IF(ISNUMBER(AVERAGE('20250815_ETF_Options_Exhibits'!O2331:O2335)),AVERAGE('20250815_ETF_Options_Exhibits'!O2331:O2335),"")</f>
        <v/>
      </c>
      <c r="P2335" s="3">
        <f>IF(ISNUMBER(AVERAGE('20250815_ETF_Options_Exhibits'!P2331:P2335)),AVERAGE('20250815_ETF_Options_Exhibits'!P2331:P2335),"")</f>
        <v/>
      </c>
      <c r="Q2335" s="3">
        <f>IF(ISNUMBER(AVERAGE('20250815_ETF_Options_Exhibits'!Q2331:Q2335)),AVERAGE('20250815_ETF_Options_Exhibits'!Q2331:Q2335),"")</f>
        <v/>
      </c>
      <c r="R2335" s="3">
        <f>IF(ISNUMBER(AVERAGE('20250815_ETF_Options_Exhibits'!R2331:R2335)),AVERAGE('20250815_ETF_Options_Exhibits'!R2331:R2335),"")</f>
        <v/>
      </c>
      <c r="S2335" s="3">
        <f>IF(ISNUMBER(AVERAGE('20250815_ETF_Options_Exhibits'!S2331:S2335)),AVERAGE('20250815_ETF_Options_Exhibits'!S2331:S2335),"")</f>
        <v/>
      </c>
      <c r="T2335" s="3">
        <f>IF(ISNUMBER(AVERAGE('20250815_ETF_Options_Exhibits'!T2331:T2335)),AVERAGE('20250815_ETF_Options_Exhibits'!T2331:T2335),"")</f>
        <v/>
      </c>
      <c r="U2335" s="3">
        <f>IF(ISNUMBER(AVERAGE('20250815_ETF_Options_Exhibits'!U2331:U2335)),AVERAGE('20250815_ETF_Options_Exhibits'!U2331:U2335),"")</f>
        <v/>
      </c>
      <c r="V2335" s="3">
        <f>IF(ISNUMBER(AVERAGE('20250815_ETF_Options_Exhibits'!V2331:V2335)),AVERAGE('20250815_ETF_Options_Exhibits'!V2331:V2335),"")</f>
        <v/>
      </c>
      <c r="W2335" s="3">
        <f>IF(ISNUMBER(AVERAGE('20250815_ETF_Options_Exhibits'!W2331:W2335)),AVERAGE('20250815_ETF_Options_Exhibits'!W2331:W2335),"")</f>
        <v/>
      </c>
      <c r="X2335" s="3">
        <f>IF(ISNUMBER(AVERAGE('20250815_ETF_Options_Exhibits'!X2331:X2335)),AVERAGE('20250815_ETF_Options_Exhibits'!X2331:X2335),"")</f>
        <v/>
      </c>
      <c r="Y2335" s="3">
        <f>IF(ISNUMBER(AVERAGE('20250815_ETF_Options_Exhibits'!Y2331:Y2335)),AVERAGE('20250815_ETF_Options_Exhibits'!Y2331:Y2335),"")</f>
        <v/>
      </c>
      <c r="Z2335" s="3">
        <f>IF(ISNUMBER(AVERAGE('20250815_ETF_Options_Exhibits'!Z2331:Z2335)),AVERAGE('20250815_ETF_Options_Exhibits'!Z2331:Z2335),"")</f>
        <v/>
      </c>
      <c r="AA2335" s="3">
        <f>IF(ISNUMBER(AVERAGE('20250815_ETF_Options_Exhibits'!AA2331:AA2335)),AVERAGE('20250815_ETF_Options_Exhibits'!AA2331:AA2335),"")</f>
        <v/>
      </c>
    </row>
    <row r="2336">
      <c r="A2336" s="1" t="n">
        <v>45393</v>
      </c>
      <c r="B2336" s="3">
        <f>IF(ISNUMBER(AVERAGE('20250815_ETF_Options_Exhibits'!B2332:B2336)),AVERAGE('20250815_ETF_Options_Exhibits'!B2332:B2336),"")</f>
        <v/>
      </c>
      <c r="C2336" s="3">
        <f>IF(ISNUMBER(AVERAGE('20250815_ETF_Options_Exhibits'!C2332:C2336)),AVERAGE('20250815_ETF_Options_Exhibits'!C2332:C2336),"")</f>
        <v/>
      </c>
      <c r="D2336" s="3">
        <f>IF(ISNUMBER(AVERAGE('20250815_ETF_Options_Exhibits'!D2332:D2336)),AVERAGE('20250815_ETF_Options_Exhibits'!D2332:D2336),"")</f>
        <v/>
      </c>
      <c r="E2336" s="3">
        <f>IF(ISNUMBER(AVERAGE('20250815_ETF_Options_Exhibits'!E2332:E2336)),AVERAGE('20250815_ETF_Options_Exhibits'!E2332:E2336),"")</f>
        <v/>
      </c>
      <c r="F2336" s="3">
        <f>IF(ISNUMBER(AVERAGE('20250815_ETF_Options_Exhibits'!F2332:F2336)),AVERAGE('20250815_ETF_Options_Exhibits'!F2332:F2336),"")</f>
        <v/>
      </c>
      <c r="G2336" s="3">
        <f>IF(ISNUMBER(AVERAGE('20250815_ETF_Options_Exhibits'!G2332:G2336)),AVERAGE('20250815_ETF_Options_Exhibits'!G2332:G2336),"")</f>
        <v/>
      </c>
      <c r="H2336" s="3">
        <f>IF(ISNUMBER(AVERAGE('20250815_ETF_Options_Exhibits'!H2332:H2336)),AVERAGE('20250815_ETF_Options_Exhibits'!H2332:H2336),"")</f>
        <v/>
      </c>
      <c r="I2336" s="3">
        <f>IF(ISNUMBER(AVERAGE('20250815_ETF_Options_Exhibits'!I2332:I2336)),AVERAGE('20250815_ETF_Options_Exhibits'!I2332:I2336),"")</f>
        <v/>
      </c>
      <c r="J2336" s="3">
        <f>IF(ISNUMBER(AVERAGE('20250815_ETF_Options_Exhibits'!J2332:J2336)),AVERAGE('20250815_ETF_Options_Exhibits'!J2332:J2336),"")</f>
        <v/>
      </c>
      <c r="K2336" s="3">
        <f>IF(ISNUMBER(AVERAGE('20250815_ETF_Options_Exhibits'!K2332:K2336)),AVERAGE('20250815_ETF_Options_Exhibits'!K2332:K2336),"")</f>
        <v/>
      </c>
      <c r="L2336" s="3">
        <f>IF(ISNUMBER(AVERAGE('20250815_ETF_Options_Exhibits'!L2332:L2336)),AVERAGE('20250815_ETF_Options_Exhibits'!L2332:L2336),"")</f>
        <v/>
      </c>
      <c r="M2336" s="3">
        <f>IF(ISNUMBER(AVERAGE('20250815_ETF_Options_Exhibits'!M2332:M2336)),AVERAGE('20250815_ETF_Options_Exhibits'!M2332:M2336),"")</f>
        <v/>
      </c>
      <c r="N2336" s="3">
        <f>IF(ISNUMBER(AVERAGE('20250815_ETF_Options_Exhibits'!N2332:N2336)),AVERAGE('20250815_ETF_Options_Exhibits'!N2332:N2336),"")</f>
        <v/>
      </c>
      <c r="O2336" s="3">
        <f>IF(ISNUMBER(AVERAGE('20250815_ETF_Options_Exhibits'!O2332:O2336)),AVERAGE('20250815_ETF_Options_Exhibits'!O2332:O2336),"")</f>
        <v/>
      </c>
      <c r="P2336" s="3">
        <f>IF(ISNUMBER(AVERAGE('20250815_ETF_Options_Exhibits'!P2332:P2336)),AVERAGE('20250815_ETF_Options_Exhibits'!P2332:P2336),"")</f>
        <v/>
      </c>
      <c r="Q2336" s="3">
        <f>IF(ISNUMBER(AVERAGE('20250815_ETF_Options_Exhibits'!Q2332:Q2336)),AVERAGE('20250815_ETF_Options_Exhibits'!Q2332:Q2336),"")</f>
        <v/>
      </c>
      <c r="R2336" s="3">
        <f>IF(ISNUMBER(AVERAGE('20250815_ETF_Options_Exhibits'!R2332:R2336)),AVERAGE('20250815_ETF_Options_Exhibits'!R2332:R2336),"")</f>
        <v/>
      </c>
      <c r="S2336" s="3">
        <f>IF(ISNUMBER(AVERAGE('20250815_ETF_Options_Exhibits'!S2332:S2336)),AVERAGE('20250815_ETF_Options_Exhibits'!S2332:S2336),"")</f>
        <v/>
      </c>
      <c r="T2336" s="3">
        <f>IF(ISNUMBER(AVERAGE('20250815_ETF_Options_Exhibits'!T2332:T2336)),AVERAGE('20250815_ETF_Options_Exhibits'!T2332:T2336),"")</f>
        <v/>
      </c>
      <c r="U2336" s="3">
        <f>IF(ISNUMBER(AVERAGE('20250815_ETF_Options_Exhibits'!U2332:U2336)),AVERAGE('20250815_ETF_Options_Exhibits'!U2332:U2336),"")</f>
        <v/>
      </c>
      <c r="V2336" s="3">
        <f>IF(ISNUMBER(AVERAGE('20250815_ETF_Options_Exhibits'!V2332:V2336)),AVERAGE('20250815_ETF_Options_Exhibits'!V2332:V2336),"")</f>
        <v/>
      </c>
      <c r="W2336" s="3">
        <f>IF(ISNUMBER(AVERAGE('20250815_ETF_Options_Exhibits'!W2332:W2336)),AVERAGE('20250815_ETF_Options_Exhibits'!W2332:W2336),"")</f>
        <v/>
      </c>
      <c r="X2336" s="3">
        <f>IF(ISNUMBER(AVERAGE('20250815_ETF_Options_Exhibits'!X2332:X2336)),AVERAGE('20250815_ETF_Options_Exhibits'!X2332:X2336),"")</f>
        <v/>
      </c>
      <c r="Y2336" s="3">
        <f>IF(ISNUMBER(AVERAGE('20250815_ETF_Options_Exhibits'!Y2332:Y2336)),AVERAGE('20250815_ETF_Options_Exhibits'!Y2332:Y2336),"")</f>
        <v/>
      </c>
      <c r="Z2336" s="3">
        <f>IF(ISNUMBER(AVERAGE('20250815_ETF_Options_Exhibits'!Z2332:Z2336)),AVERAGE('20250815_ETF_Options_Exhibits'!Z2332:Z2336),"")</f>
        <v/>
      </c>
      <c r="AA2336" s="3">
        <f>IF(ISNUMBER(AVERAGE('20250815_ETF_Options_Exhibits'!AA2332:AA2336)),AVERAGE('20250815_ETF_Options_Exhibits'!AA2332:AA2336),"")</f>
        <v/>
      </c>
    </row>
    <row r="2337">
      <c r="A2337" s="1" t="n">
        <v>45394</v>
      </c>
      <c r="B2337" s="3">
        <f>IF(ISNUMBER(AVERAGE('20250815_ETF_Options_Exhibits'!B2333:B2337)),AVERAGE('20250815_ETF_Options_Exhibits'!B2333:B2337),"")</f>
        <v/>
      </c>
      <c r="C2337" s="3">
        <f>IF(ISNUMBER(AVERAGE('20250815_ETF_Options_Exhibits'!C2333:C2337)),AVERAGE('20250815_ETF_Options_Exhibits'!C2333:C2337),"")</f>
        <v/>
      </c>
      <c r="D2337" s="3">
        <f>IF(ISNUMBER(AVERAGE('20250815_ETF_Options_Exhibits'!D2333:D2337)),AVERAGE('20250815_ETF_Options_Exhibits'!D2333:D2337),"")</f>
        <v/>
      </c>
      <c r="E2337" s="3">
        <f>IF(ISNUMBER(AVERAGE('20250815_ETF_Options_Exhibits'!E2333:E2337)),AVERAGE('20250815_ETF_Options_Exhibits'!E2333:E2337),"")</f>
        <v/>
      </c>
      <c r="F2337" s="3">
        <f>IF(ISNUMBER(AVERAGE('20250815_ETF_Options_Exhibits'!F2333:F2337)),AVERAGE('20250815_ETF_Options_Exhibits'!F2333:F2337),"")</f>
        <v/>
      </c>
      <c r="G2337" s="3">
        <f>IF(ISNUMBER(AVERAGE('20250815_ETF_Options_Exhibits'!G2333:G2337)),AVERAGE('20250815_ETF_Options_Exhibits'!G2333:G2337),"")</f>
        <v/>
      </c>
      <c r="H2337" s="3">
        <f>IF(ISNUMBER(AVERAGE('20250815_ETF_Options_Exhibits'!H2333:H2337)),AVERAGE('20250815_ETF_Options_Exhibits'!H2333:H2337),"")</f>
        <v/>
      </c>
      <c r="I2337" s="3">
        <f>IF(ISNUMBER(AVERAGE('20250815_ETF_Options_Exhibits'!I2333:I2337)),AVERAGE('20250815_ETF_Options_Exhibits'!I2333:I2337),"")</f>
        <v/>
      </c>
      <c r="J2337" s="3">
        <f>IF(ISNUMBER(AVERAGE('20250815_ETF_Options_Exhibits'!J2333:J2337)),AVERAGE('20250815_ETF_Options_Exhibits'!J2333:J2337),"")</f>
        <v/>
      </c>
      <c r="K2337" s="3">
        <f>IF(ISNUMBER(AVERAGE('20250815_ETF_Options_Exhibits'!K2333:K2337)),AVERAGE('20250815_ETF_Options_Exhibits'!K2333:K2337),"")</f>
        <v/>
      </c>
      <c r="L2337" s="3">
        <f>IF(ISNUMBER(AVERAGE('20250815_ETF_Options_Exhibits'!L2333:L2337)),AVERAGE('20250815_ETF_Options_Exhibits'!L2333:L2337),"")</f>
        <v/>
      </c>
      <c r="M2337" s="3">
        <f>IF(ISNUMBER(AVERAGE('20250815_ETF_Options_Exhibits'!M2333:M2337)),AVERAGE('20250815_ETF_Options_Exhibits'!M2333:M2337),"")</f>
        <v/>
      </c>
      <c r="N2337" s="3">
        <f>IF(ISNUMBER(AVERAGE('20250815_ETF_Options_Exhibits'!N2333:N2337)),AVERAGE('20250815_ETF_Options_Exhibits'!N2333:N2337),"")</f>
        <v/>
      </c>
      <c r="O2337" s="3">
        <f>IF(ISNUMBER(AVERAGE('20250815_ETF_Options_Exhibits'!O2333:O2337)),AVERAGE('20250815_ETF_Options_Exhibits'!O2333:O2337),"")</f>
        <v/>
      </c>
      <c r="P2337" s="3">
        <f>IF(ISNUMBER(AVERAGE('20250815_ETF_Options_Exhibits'!P2333:P2337)),AVERAGE('20250815_ETF_Options_Exhibits'!P2333:P2337),"")</f>
        <v/>
      </c>
      <c r="Q2337" s="3">
        <f>IF(ISNUMBER(AVERAGE('20250815_ETF_Options_Exhibits'!Q2333:Q2337)),AVERAGE('20250815_ETF_Options_Exhibits'!Q2333:Q2337),"")</f>
        <v/>
      </c>
      <c r="R2337" s="3">
        <f>IF(ISNUMBER(AVERAGE('20250815_ETF_Options_Exhibits'!R2333:R2337)),AVERAGE('20250815_ETF_Options_Exhibits'!R2333:R2337),"")</f>
        <v/>
      </c>
      <c r="S2337" s="3">
        <f>IF(ISNUMBER(AVERAGE('20250815_ETF_Options_Exhibits'!S2333:S2337)),AVERAGE('20250815_ETF_Options_Exhibits'!S2333:S2337),"")</f>
        <v/>
      </c>
      <c r="T2337" s="3">
        <f>IF(ISNUMBER(AVERAGE('20250815_ETF_Options_Exhibits'!T2333:T2337)),AVERAGE('20250815_ETF_Options_Exhibits'!T2333:T2337),"")</f>
        <v/>
      </c>
      <c r="U2337" s="3">
        <f>IF(ISNUMBER(AVERAGE('20250815_ETF_Options_Exhibits'!U2333:U2337)),AVERAGE('20250815_ETF_Options_Exhibits'!U2333:U2337),"")</f>
        <v/>
      </c>
      <c r="V2337" s="3">
        <f>IF(ISNUMBER(AVERAGE('20250815_ETF_Options_Exhibits'!V2333:V2337)),AVERAGE('20250815_ETF_Options_Exhibits'!V2333:V2337),"")</f>
        <v/>
      </c>
      <c r="W2337" s="3">
        <f>IF(ISNUMBER(AVERAGE('20250815_ETF_Options_Exhibits'!W2333:W2337)),AVERAGE('20250815_ETF_Options_Exhibits'!W2333:W2337),"")</f>
        <v/>
      </c>
      <c r="X2337" s="3">
        <f>IF(ISNUMBER(AVERAGE('20250815_ETF_Options_Exhibits'!X2333:X2337)),AVERAGE('20250815_ETF_Options_Exhibits'!X2333:X2337),"")</f>
        <v/>
      </c>
      <c r="Y2337" s="3">
        <f>IF(ISNUMBER(AVERAGE('20250815_ETF_Options_Exhibits'!Y2333:Y2337)),AVERAGE('20250815_ETF_Options_Exhibits'!Y2333:Y2337),"")</f>
        <v/>
      </c>
      <c r="Z2337" s="3">
        <f>IF(ISNUMBER(AVERAGE('20250815_ETF_Options_Exhibits'!Z2333:Z2337)),AVERAGE('20250815_ETF_Options_Exhibits'!Z2333:Z2337),"")</f>
        <v/>
      </c>
      <c r="AA2337" s="3">
        <f>IF(ISNUMBER(AVERAGE('20250815_ETF_Options_Exhibits'!AA2333:AA2337)),AVERAGE('20250815_ETF_Options_Exhibits'!AA2333:AA2337),"")</f>
        <v/>
      </c>
    </row>
    <row r="2338">
      <c r="A2338" s="1" t="n">
        <v>45397</v>
      </c>
      <c r="B2338" s="3">
        <f>IF(ISNUMBER(AVERAGE('20250815_ETF_Options_Exhibits'!B2334:B2338)),AVERAGE('20250815_ETF_Options_Exhibits'!B2334:B2338),"")</f>
        <v/>
      </c>
      <c r="C2338" s="3">
        <f>IF(ISNUMBER(AVERAGE('20250815_ETF_Options_Exhibits'!C2334:C2338)),AVERAGE('20250815_ETF_Options_Exhibits'!C2334:C2338),"")</f>
        <v/>
      </c>
      <c r="D2338" s="3">
        <f>IF(ISNUMBER(AVERAGE('20250815_ETF_Options_Exhibits'!D2334:D2338)),AVERAGE('20250815_ETF_Options_Exhibits'!D2334:D2338),"")</f>
        <v/>
      </c>
      <c r="E2338" s="3">
        <f>IF(ISNUMBER(AVERAGE('20250815_ETF_Options_Exhibits'!E2334:E2338)),AVERAGE('20250815_ETF_Options_Exhibits'!E2334:E2338),"")</f>
        <v/>
      </c>
      <c r="F2338" s="3">
        <f>IF(ISNUMBER(AVERAGE('20250815_ETF_Options_Exhibits'!F2334:F2338)),AVERAGE('20250815_ETF_Options_Exhibits'!F2334:F2338),"")</f>
        <v/>
      </c>
      <c r="G2338" s="3">
        <f>IF(ISNUMBER(AVERAGE('20250815_ETF_Options_Exhibits'!G2334:G2338)),AVERAGE('20250815_ETF_Options_Exhibits'!G2334:G2338),"")</f>
        <v/>
      </c>
      <c r="H2338" s="3">
        <f>IF(ISNUMBER(AVERAGE('20250815_ETF_Options_Exhibits'!H2334:H2338)),AVERAGE('20250815_ETF_Options_Exhibits'!H2334:H2338),"")</f>
        <v/>
      </c>
      <c r="I2338" s="3">
        <f>IF(ISNUMBER(AVERAGE('20250815_ETF_Options_Exhibits'!I2334:I2338)),AVERAGE('20250815_ETF_Options_Exhibits'!I2334:I2338),"")</f>
        <v/>
      </c>
      <c r="J2338" s="3">
        <f>IF(ISNUMBER(AVERAGE('20250815_ETF_Options_Exhibits'!J2334:J2338)),AVERAGE('20250815_ETF_Options_Exhibits'!J2334:J2338),"")</f>
        <v/>
      </c>
      <c r="K2338" s="3">
        <f>IF(ISNUMBER(AVERAGE('20250815_ETF_Options_Exhibits'!K2334:K2338)),AVERAGE('20250815_ETF_Options_Exhibits'!K2334:K2338),"")</f>
        <v/>
      </c>
      <c r="L2338" s="3">
        <f>IF(ISNUMBER(AVERAGE('20250815_ETF_Options_Exhibits'!L2334:L2338)),AVERAGE('20250815_ETF_Options_Exhibits'!L2334:L2338),"")</f>
        <v/>
      </c>
      <c r="M2338" s="3">
        <f>IF(ISNUMBER(AVERAGE('20250815_ETF_Options_Exhibits'!M2334:M2338)),AVERAGE('20250815_ETF_Options_Exhibits'!M2334:M2338),"")</f>
        <v/>
      </c>
      <c r="N2338" s="3">
        <f>IF(ISNUMBER(AVERAGE('20250815_ETF_Options_Exhibits'!N2334:N2338)),AVERAGE('20250815_ETF_Options_Exhibits'!N2334:N2338),"")</f>
        <v/>
      </c>
      <c r="O2338" s="3">
        <f>IF(ISNUMBER(AVERAGE('20250815_ETF_Options_Exhibits'!O2334:O2338)),AVERAGE('20250815_ETF_Options_Exhibits'!O2334:O2338),"")</f>
        <v/>
      </c>
      <c r="P2338" s="3">
        <f>IF(ISNUMBER(AVERAGE('20250815_ETF_Options_Exhibits'!P2334:P2338)),AVERAGE('20250815_ETF_Options_Exhibits'!P2334:P2338),"")</f>
        <v/>
      </c>
      <c r="Q2338" s="3">
        <f>IF(ISNUMBER(AVERAGE('20250815_ETF_Options_Exhibits'!Q2334:Q2338)),AVERAGE('20250815_ETF_Options_Exhibits'!Q2334:Q2338),"")</f>
        <v/>
      </c>
      <c r="R2338" s="3">
        <f>IF(ISNUMBER(AVERAGE('20250815_ETF_Options_Exhibits'!R2334:R2338)),AVERAGE('20250815_ETF_Options_Exhibits'!R2334:R2338),"")</f>
        <v/>
      </c>
      <c r="S2338" s="3">
        <f>IF(ISNUMBER(AVERAGE('20250815_ETF_Options_Exhibits'!S2334:S2338)),AVERAGE('20250815_ETF_Options_Exhibits'!S2334:S2338),"")</f>
        <v/>
      </c>
      <c r="T2338" s="3">
        <f>IF(ISNUMBER(AVERAGE('20250815_ETF_Options_Exhibits'!T2334:T2338)),AVERAGE('20250815_ETF_Options_Exhibits'!T2334:T2338),"")</f>
        <v/>
      </c>
      <c r="U2338" s="3">
        <f>IF(ISNUMBER(AVERAGE('20250815_ETF_Options_Exhibits'!U2334:U2338)),AVERAGE('20250815_ETF_Options_Exhibits'!U2334:U2338),"")</f>
        <v/>
      </c>
      <c r="V2338" s="3">
        <f>IF(ISNUMBER(AVERAGE('20250815_ETF_Options_Exhibits'!V2334:V2338)),AVERAGE('20250815_ETF_Options_Exhibits'!V2334:V2338),"")</f>
        <v/>
      </c>
      <c r="W2338" s="3">
        <f>IF(ISNUMBER(AVERAGE('20250815_ETF_Options_Exhibits'!W2334:W2338)),AVERAGE('20250815_ETF_Options_Exhibits'!W2334:W2338),"")</f>
        <v/>
      </c>
      <c r="X2338" s="3">
        <f>IF(ISNUMBER(AVERAGE('20250815_ETF_Options_Exhibits'!X2334:X2338)),AVERAGE('20250815_ETF_Options_Exhibits'!X2334:X2338),"")</f>
        <v/>
      </c>
      <c r="Y2338" s="3">
        <f>IF(ISNUMBER(AVERAGE('20250815_ETF_Options_Exhibits'!Y2334:Y2338)),AVERAGE('20250815_ETF_Options_Exhibits'!Y2334:Y2338),"")</f>
        <v/>
      </c>
      <c r="Z2338" s="3">
        <f>IF(ISNUMBER(AVERAGE('20250815_ETF_Options_Exhibits'!Z2334:Z2338)),AVERAGE('20250815_ETF_Options_Exhibits'!Z2334:Z2338),"")</f>
        <v/>
      </c>
      <c r="AA2338" s="3">
        <f>IF(ISNUMBER(AVERAGE('20250815_ETF_Options_Exhibits'!AA2334:AA2338)),AVERAGE('20250815_ETF_Options_Exhibits'!AA2334:AA2338),"")</f>
        <v/>
      </c>
    </row>
    <row r="2339">
      <c r="A2339" s="1" t="n">
        <v>45398</v>
      </c>
      <c r="B2339" s="3">
        <f>IF(ISNUMBER(AVERAGE('20250815_ETF_Options_Exhibits'!B2335:B2339)),AVERAGE('20250815_ETF_Options_Exhibits'!B2335:B2339),"")</f>
        <v/>
      </c>
      <c r="C2339" s="3">
        <f>IF(ISNUMBER(AVERAGE('20250815_ETF_Options_Exhibits'!C2335:C2339)),AVERAGE('20250815_ETF_Options_Exhibits'!C2335:C2339),"")</f>
        <v/>
      </c>
      <c r="D2339" s="3">
        <f>IF(ISNUMBER(AVERAGE('20250815_ETF_Options_Exhibits'!D2335:D2339)),AVERAGE('20250815_ETF_Options_Exhibits'!D2335:D2339),"")</f>
        <v/>
      </c>
      <c r="E2339" s="3">
        <f>IF(ISNUMBER(AVERAGE('20250815_ETF_Options_Exhibits'!E2335:E2339)),AVERAGE('20250815_ETF_Options_Exhibits'!E2335:E2339),"")</f>
        <v/>
      </c>
      <c r="F2339" s="3">
        <f>IF(ISNUMBER(AVERAGE('20250815_ETF_Options_Exhibits'!F2335:F2339)),AVERAGE('20250815_ETF_Options_Exhibits'!F2335:F2339),"")</f>
        <v/>
      </c>
      <c r="G2339" s="3">
        <f>IF(ISNUMBER(AVERAGE('20250815_ETF_Options_Exhibits'!G2335:G2339)),AVERAGE('20250815_ETF_Options_Exhibits'!G2335:G2339),"")</f>
        <v/>
      </c>
      <c r="H2339" s="3">
        <f>IF(ISNUMBER(AVERAGE('20250815_ETF_Options_Exhibits'!H2335:H2339)),AVERAGE('20250815_ETF_Options_Exhibits'!H2335:H2339),"")</f>
        <v/>
      </c>
      <c r="I2339" s="3">
        <f>IF(ISNUMBER(AVERAGE('20250815_ETF_Options_Exhibits'!I2335:I2339)),AVERAGE('20250815_ETF_Options_Exhibits'!I2335:I2339),"")</f>
        <v/>
      </c>
      <c r="J2339" s="3">
        <f>IF(ISNUMBER(AVERAGE('20250815_ETF_Options_Exhibits'!J2335:J2339)),AVERAGE('20250815_ETF_Options_Exhibits'!J2335:J2339),"")</f>
        <v/>
      </c>
      <c r="K2339" s="3">
        <f>IF(ISNUMBER(AVERAGE('20250815_ETF_Options_Exhibits'!K2335:K2339)),AVERAGE('20250815_ETF_Options_Exhibits'!K2335:K2339),"")</f>
        <v/>
      </c>
      <c r="L2339" s="3">
        <f>IF(ISNUMBER(AVERAGE('20250815_ETF_Options_Exhibits'!L2335:L2339)),AVERAGE('20250815_ETF_Options_Exhibits'!L2335:L2339),"")</f>
        <v/>
      </c>
      <c r="M2339" s="3">
        <f>IF(ISNUMBER(AVERAGE('20250815_ETF_Options_Exhibits'!M2335:M2339)),AVERAGE('20250815_ETF_Options_Exhibits'!M2335:M2339),"")</f>
        <v/>
      </c>
      <c r="N2339" s="3">
        <f>IF(ISNUMBER(AVERAGE('20250815_ETF_Options_Exhibits'!N2335:N2339)),AVERAGE('20250815_ETF_Options_Exhibits'!N2335:N2339),"")</f>
        <v/>
      </c>
      <c r="O2339" s="3">
        <f>IF(ISNUMBER(AVERAGE('20250815_ETF_Options_Exhibits'!O2335:O2339)),AVERAGE('20250815_ETF_Options_Exhibits'!O2335:O2339),"")</f>
        <v/>
      </c>
      <c r="P2339" s="3">
        <f>IF(ISNUMBER(AVERAGE('20250815_ETF_Options_Exhibits'!P2335:P2339)),AVERAGE('20250815_ETF_Options_Exhibits'!P2335:P2339),"")</f>
        <v/>
      </c>
      <c r="Q2339" s="3">
        <f>IF(ISNUMBER(AVERAGE('20250815_ETF_Options_Exhibits'!Q2335:Q2339)),AVERAGE('20250815_ETF_Options_Exhibits'!Q2335:Q2339),"")</f>
        <v/>
      </c>
      <c r="R2339" s="3">
        <f>IF(ISNUMBER(AVERAGE('20250815_ETF_Options_Exhibits'!R2335:R2339)),AVERAGE('20250815_ETF_Options_Exhibits'!R2335:R2339),"")</f>
        <v/>
      </c>
      <c r="S2339" s="3">
        <f>IF(ISNUMBER(AVERAGE('20250815_ETF_Options_Exhibits'!S2335:S2339)),AVERAGE('20250815_ETF_Options_Exhibits'!S2335:S2339),"")</f>
        <v/>
      </c>
      <c r="T2339" s="3">
        <f>IF(ISNUMBER(AVERAGE('20250815_ETF_Options_Exhibits'!T2335:T2339)),AVERAGE('20250815_ETF_Options_Exhibits'!T2335:T2339),"")</f>
        <v/>
      </c>
      <c r="U2339" s="3">
        <f>IF(ISNUMBER(AVERAGE('20250815_ETF_Options_Exhibits'!U2335:U2339)),AVERAGE('20250815_ETF_Options_Exhibits'!U2335:U2339),"")</f>
        <v/>
      </c>
      <c r="V2339" s="3">
        <f>IF(ISNUMBER(AVERAGE('20250815_ETF_Options_Exhibits'!V2335:V2339)),AVERAGE('20250815_ETF_Options_Exhibits'!V2335:V2339),"")</f>
        <v/>
      </c>
      <c r="W2339" s="3">
        <f>IF(ISNUMBER(AVERAGE('20250815_ETF_Options_Exhibits'!W2335:W2339)),AVERAGE('20250815_ETF_Options_Exhibits'!W2335:W2339),"")</f>
        <v/>
      </c>
      <c r="X2339" s="3">
        <f>IF(ISNUMBER(AVERAGE('20250815_ETF_Options_Exhibits'!X2335:X2339)),AVERAGE('20250815_ETF_Options_Exhibits'!X2335:X2339),"")</f>
        <v/>
      </c>
      <c r="Y2339" s="3">
        <f>IF(ISNUMBER(AVERAGE('20250815_ETF_Options_Exhibits'!Y2335:Y2339)),AVERAGE('20250815_ETF_Options_Exhibits'!Y2335:Y2339),"")</f>
        <v/>
      </c>
      <c r="Z2339" s="3">
        <f>IF(ISNUMBER(AVERAGE('20250815_ETF_Options_Exhibits'!Z2335:Z2339)),AVERAGE('20250815_ETF_Options_Exhibits'!Z2335:Z2339),"")</f>
        <v/>
      </c>
      <c r="AA2339" s="3">
        <f>IF(ISNUMBER(AVERAGE('20250815_ETF_Options_Exhibits'!AA2335:AA2339)),AVERAGE('20250815_ETF_Options_Exhibits'!AA2335:AA2339),"")</f>
        <v/>
      </c>
    </row>
    <row r="2340">
      <c r="A2340" s="1" t="n">
        <v>45399</v>
      </c>
      <c r="B2340" s="3">
        <f>IF(ISNUMBER(AVERAGE('20250815_ETF_Options_Exhibits'!B2336:B2340)),AVERAGE('20250815_ETF_Options_Exhibits'!B2336:B2340),"")</f>
        <v/>
      </c>
      <c r="C2340" s="3">
        <f>IF(ISNUMBER(AVERAGE('20250815_ETF_Options_Exhibits'!C2336:C2340)),AVERAGE('20250815_ETF_Options_Exhibits'!C2336:C2340),"")</f>
        <v/>
      </c>
      <c r="D2340" s="3">
        <f>IF(ISNUMBER(AVERAGE('20250815_ETF_Options_Exhibits'!D2336:D2340)),AVERAGE('20250815_ETF_Options_Exhibits'!D2336:D2340),"")</f>
        <v/>
      </c>
      <c r="E2340" s="3">
        <f>IF(ISNUMBER(AVERAGE('20250815_ETF_Options_Exhibits'!E2336:E2340)),AVERAGE('20250815_ETF_Options_Exhibits'!E2336:E2340),"")</f>
        <v/>
      </c>
      <c r="F2340" s="3">
        <f>IF(ISNUMBER(AVERAGE('20250815_ETF_Options_Exhibits'!F2336:F2340)),AVERAGE('20250815_ETF_Options_Exhibits'!F2336:F2340),"")</f>
        <v/>
      </c>
      <c r="G2340" s="3">
        <f>IF(ISNUMBER(AVERAGE('20250815_ETF_Options_Exhibits'!G2336:G2340)),AVERAGE('20250815_ETF_Options_Exhibits'!G2336:G2340),"")</f>
        <v/>
      </c>
      <c r="H2340" s="3">
        <f>IF(ISNUMBER(AVERAGE('20250815_ETF_Options_Exhibits'!H2336:H2340)),AVERAGE('20250815_ETF_Options_Exhibits'!H2336:H2340),"")</f>
        <v/>
      </c>
      <c r="I2340" s="3">
        <f>IF(ISNUMBER(AVERAGE('20250815_ETF_Options_Exhibits'!I2336:I2340)),AVERAGE('20250815_ETF_Options_Exhibits'!I2336:I2340),"")</f>
        <v/>
      </c>
      <c r="J2340" s="3">
        <f>IF(ISNUMBER(AVERAGE('20250815_ETF_Options_Exhibits'!J2336:J2340)),AVERAGE('20250815_ETF_Options_Exhibits'!J2336:J2340),"")</f>
        <v/>
      </c>
      <c r="K2340" s="3">
        <f>IF(ISNUMBER(AVERAGE('20250815_ETF_Options_Exhibits'!K2336:K2340)),AVERAGE('20250815_ETF_Options_Exhibits'!K2336:K2340),"")</f>
        <v/>
      </c>
      <c r="L2340" s="3">
        <f>IF(ISNUMBER(AVERAGE('20250815_ETF_Options_Exhibits'!L2336:L2340)),AVERAGE('20250815_ETF_Options_Exhibits'!L2336:L2340),"")</f>
        <v/>
      </c>
      <c r="M2340" s="3">
        <f>IF(ISNUMBER(AVERAGE('20250815_ETF_Options_Exhibits'!M2336:M2340)),AVERAGE('20250815_ETF_Options_Exhibits'!M2336:M2340),"")</f>
        <v/>
      </c>
      <c r="N2340" s="3">
        <f>IF(ISNUMBER(AVERAGE('20250815_ETF_Options_Exhibits'!N2336:N2340)),AVERAGE('20250815_ETF_Options_Exhibits'!N2336:N2340),"")</f>
        <v/>
      </c>
      <c r="O2340" s="3">
        <f>IF(ISNUMBER(AVERAGE('20250815_ETF_Options_Exhibits'!O2336:O2340)),AVERAGE('20250815_ETF_Options_Exhibits'!O2336:O2340),"")</f>
        <v/>
      </c>
      <c r="P2340" s="3">
        <f>IF(ISNUMBER(AVERAGE('20250815_ETF_Options_Exhibits'!P2336:P2340)),AVERAGE('20250815_ETF_Options_Exhibits'!P2336:P2340),"")</f>
        <v/>
      </c>
      <c r="Q2340" s="3">
        <f>IF(ISNUMBER(AVERAGE('20250815_ETF_Options_Exhibits'!Q2336:Q2340)),AVERAGE('20250815_ETF_Options_Exhibits'!Q2336:Q2340),"")</f>
        <v/>
      </c>
      <c r="R2340" s="3">
        <f>IF(ISNUMBER(AVERAGE('20250815_ETF_Options_Exhibits'!R2336:R2340)),AVERAGE('20250815_ETF_Options_Exhibits'!R2336:R2340),"")</f>
        <v/>
      </c>
      <c r="S2340" s="3">
        <f>IF(ISNUMBER(AVERAGE('20250815_ETF_Options_Exhibits'!S2336:S2340)),AVERAGE('20250815_ETF_Options_Exhibits'!S2336:S2340),"")</f>
        <v/>
      </c>
      <c r="T2340" s="3">
        <f>IF(ISNUMBER(AVERAGE('20250815_ETF_Options_Exhibits'!T2336:T2340)),AVERAGE('20250815_ETF_Options_Exhibits'!T2336:T2340),"")</f>
        <v/>
      </c>
      <c r="U2340" s="3">
        <f>IF(ISNUMBER(AVERAGE('20250815_ETF_Options_Exhibits'!U2336:U2340)),AVERAGE('20250815_ETF_Options_Exhibits'!U2336:U2340),"")</f>
        <v/>
      </c>
      <c r="V2340" s="3">
        <f>IF(ISNUMBER(AVERAGE('20250815_ETF_Options_Exhibits'!V2336:V2340)),AVERAGE('20250815_ETF_Options_Exhibits'!V2336:V2340),"")</f>
        <v/>
      </c>
      <c r="W2340" s="3">
        <f>IF(ISNUMBER(AVERAGE('20250815_ETF_Options_Exhibits'!W2336:W2340)),AVERAGE('20250815_ETF_Options_Exhibits'!W2336:W2340),"")</f>
        <v/>
      </c>
      <c r="X2340" s="3">
        <f>IF(ISNUMBER(AVERAGE('20250815_ETF_Options_Exhibits'!X2336:X2340)),AVERAGE('20250815_ETF_Options_Exhibits'!X2336:X2340),"")</f>
        <v/>
      </c>
      <c r="Y2340" s="3">
        <f>IF(ISNUMBER(AVERAGE('20250815_ETF_Options_Exhibits'!Y2336:Y2340)),AVERAGE('20250815_ETF_Options_Exhibits'!Y2336:Y2340),"")</f>
        <v/>
      </c>
      <c r="Z2340" s="3">
        <f>IF(ISNUMBER(AVERAGE('20250815_ETF_Options_Exhibits'!Z2336:Z2340)),AVERAGE('20250815_ETF_Options_Exhibits'!Z2336:Z2340),"")</f>
        <v/>
      </c>
      <c r="AA2340" s="3">
        <f>IF(ISNUMBER(AVERAGE('20250815_ETF_Options_Exhibits'!AA2336:AA2340)),AVERAGE('20250815_ETF_Options_Exhibits'!AA2336:AA2340),"")</f>
        <v/>
      </c>
    </row>
    <row r="2341">
      <c r="A2341" s="1" t="n">
        <v>45400</v>
      </c>
      <c r="B2341" s="3">
        <f>IF(ISNUMBER(AVERAGE('20250815_ETF_Options_Exhibits'!B2337:B2341)),AVERAGE('20250815_ETF_Options_Exhibits'!B2337:B2341),"")</f>
        <v/>
      </c>
      <c r="C2341" s="3">
        <f>IF(ISNUMBER(AVERAGE('20250815_ETF_Options_Exhibits'!C2337:C2341)),AVERAGE('20250815_ETF_Options_Exhibits'!C2337:C2341),"")</f>
        <v/>
      </c>
      <c r="D2341" s="3">
        <f>IF(ISNUMBER(AVERAGE('20250815_ETF_Options_Exhibits'!D2337:D2341)),AVERAGE('20250815_ETF_Options_Exhibits'!D2337:D2341),"")</f>
        <v/>
      </c>
      <c r="E2341" s="3">
        <f>IF(ISNUMBER(AVERAGE('20250815_ETF_Options_Exhibits'!E2337:E2341)),AVERAGE('20250815_ETF_Options_Exhibits'!E2337:E2341),"")</f>
        <v/>
      </c>
      <c r="F2341" s="3">
        <f>IF(ISNUMBER(AVERAGE('20250815_ETF_Options_Exhibits'!F2337:F2341)),AVERAGE('20250815_ETF_Options_Exhibits'!F2337:F2341),"")</f>
        <v/>
      </c>
      <c r="G2341" s="3">
        <f>IF(ISNUMBER(AVERAGE('20250815_ETF_Options_Exhibits'!G2337:G2341)),AVERAGE('20250815_ETF_Options_Exhibits'!G2337:G2341),"")</f>
        <v/>
      </c>
      <c r="H2341" s="3">
        <f>IF(ISNUMBER(AVERAGE('20250815_ETF_Options_Exhibits'!H2337:H2341)),AVERAGE('20250815_ETF_Options_Exhibits'!H2337:H2341),"")</f>
        <v/>
      </c>
      <c r="I2341" s="3">
        <f>IF(ISNUMBER(AVERAGE('20250815_ETF_Options_Exhibits'!I2337:I2341)),AVERAGE('20250815_ETF_Options_Exhibits'!I2337:I2341),"")</f>
        <v/>
      </c>
      <c r="J2341" s="3">
        <f>IF(ISNUMBER(AVERAGE('20250815_ETF_Options_Exhibits'!J2337:J2341)),AVERAGE('20250815_ETF_Options_Exhibits'!J2337:J2341),"")</f>
        <v/>
      </c>
      <c r="K2341" s="3">
        <f>IF(ISNUMBER(AVERAGE('20250815_ETF_Options_Exhibits'!K2337:K2341)),AVERAGE('20250815_ETF_Options_Exhibits'!K2337:K2341),"")</f>
        <v/>
      </c>
      <c r="L2341" s="3">
        <f>IF(ISNUMBER(AVERAGE('20250815_ETF_Options_Exhibits'!L2337:L2341)),AVERAGE('20250815_ETF_Options_Exhibits'!L2337:L2341),"")</f>
        <v/>
      </c>
      <c r="M2341" s="3">
        <f>IF(ISNUMBER(AVERAGE('20250815_ETF_Options_Exhibits'!M2337:M2341)),AVERAGE('20250815_ETF_Options_Exhibits'!M2337:M2341),"")</f>
        <v/>
      </c>
      <c r="N2341" s="3">
        <f>IF(ISNUMBER(AVERAGE('20250815_ETF_Options_Exhibits'!N2337:N2341)),AVERAGE('20250815_ETF_Options_Exhibits'!N2337:N2341),"")</f>
        <v/>
      </c>
      <c r="O2341" s="3">
        <f>IF(ISNUMBER(AVERAGE('20250815_ETF_Options_Exhibits'!O2337:O2341)),AVERAGE('20250815_ETF_Options_Exhibits'!O2337:O2341),"")</f>
        <v/>
      </c>
      <c r="P2341" s="3">
        <f>IF(ISNUMBER(AVERAGE('20250815_ETF_Options_Exhibits'!P2337:P2341)),AVERAGE('20250815_ETF_Options_Exhibits'!P2337:P2341),"")</f>
        <v/>
      </c>
      <c r="Q2341" s="3">
        <f>IF(ISNUMBER(AVERAGE('20250815_ETF_Options_Exhibits'!Q2337:Q2341)),AVERAGE('20250815_ETF_Options_Exhibits'!Q2337:Q2341),"")</f>
        <v/>
      </c>
      <c r="R2341" s="3">
        <f>IF(ISNUMBER(AVERAGE('20250815_ETF_Options_Exhibits'!R2337:R2341)),AVERAGE('20250815_ETF_Options_Exhibits'!R2337:R2341),"")</f>
        <v/>
      </c>
      <c r="S2341" s="3">
        <f>IF(ISNUMBER(AVERAGE('20250815_ETF_Options_Exhibits'!S2337:S2341)),AVERAGE('20250815_ETF_Options_Exhibits'!S2337:S2341),"")</f>
        <v/>
      </c>
      <c r="T2341" s="3">
        <f>IF(ISNUMBER(AVERAGE('20250815_ETF_Options_Exhibits'!T2337:T2341)),AVERAGE('20250815_ETF_Options_Exhibits'!T2337:T2341),"")</f>
        <v/>
      </c>
      <c r="U2341" s="3">
        <f>IF(ISNUMBER(AVERAGE('20250815_ETF_Options_Exhibits'!U2337:U2341)),AVERAGE('20250815_ETF_Options_Exhibits'!U2337:U2341),"")</f>
        <v/>
      </c>
      <c r="V2341" s="3">
        <f>IF(ISNUMBER(AVERAGE('20250815_ETF_Options_Exhibits'!V2337:V2341)),AVERAGE('20250815_ETF_Options_Exhibits'!V2337:V2341),"")</f>
        <v/>
      </c>
      <c r="W2341" s="3">
        <f>IF(ISNUMBER(AVERAGE('20250815_ETF_Options_Exhibits'!W2337:W2341)),AVERAGE('20250815_ETF_Options_Exhibits'!W2337:W2341),"")</f>
        <v/>
      </c>
      <c r="X2341" s="3">
        <f>IF(ISNUMBER(AVERAGE('20250815_ETF_Options_Exhibits'!X2337:X2341)),AVERAGE('20250815_ETF_Options_Exhibits'!X2337:X2341),"")</f>
        <v/>
      </c>
      <c r="Y2341" s="3">
        <f>IF(ISNUMBER(AVERAGE('20250815_ETF_Options_Exhibits'!Y2337:Y2341)),AVERAGE('20250815_ETF_Options_Exhibits'!Y2337:Y2341),"")</f>
        <v/>
      </c>
      <c r="Z2341" s="3">
        <f>IF(ISNUMBER(AVERAGE('20250815_ETF_Options_Exhibits'!Z2337:Z2341)),AVERAGE('20250815_ETF_Options_Exhibits'!Z2337:Z2341),"")</f>
        <v/>
      </c>
      <c r="AA2341" s="3">
        <f>IF(ISNUMBER(AVERAGE('20250815_ETF_Options_Exhibits'!AA2337:AA2341)),AVERAGE('20250815_ETF_Options_Exhibits'!AA2337:AA2341),"")</f>
        <v/>
      </c>
    </row>
    <row r="2342">
      <c r="A2342" s="1" t="n">
        <v>45401</v>
      </c>
      <c r="B2342" s="3">
        <f>IF(ISNUMBER(AVERAGE('20250815_ETF_Options_Exhibits'!B2338:B2342)),AVERAGE('20250815_ETF_Options_Exhibits'!B2338:B2342),"")</f>
        <v/>
      </c>
      <c r="C2342" s="3">
        <f>IF(ISNUMBER(AVERAGE('20250815_ETF_Options_Exhibits'!C2338:C2342)),AVERAGE('20250815_ETF_Options_Exhibits'!C2338:C2342),"")</f>
        <v/>
      </c>
      <c r="D2342" s="3">
        <f>IF(ISNUMBER(AVERAGE('20250815_ETF_Options_Exhibits'!D2338:D2342)),AVERAGE('20250815_ETF_Options_Exhibits'!D2338:D2342),"")</f>
        <v/>
      </c>
      <c r="E2342" s="3">
        <f>IF(ISNUMBER(AVERAGE('20250815_ETF_Options_Exhibits'!E2338:E2342)),AVERAGE('20250815_ETF_Options_Exhibits'!E2338:E2342),"")</f>
        <v/>
      </c>
      <c r="F2342" s="3">
        <f>IF(ISNUMBER(AVERAGE('20250815_ETF_Options_Exhibits'!F2338:F2342)),AVERAGE('20250815_ETF_Options_Exhibits'!F2338:F2342),"")</f>
        <v/>
      </c>
      <c r="G2342" s="3">
        <f>IF(ISNUMBER(AVERAGE('20250815_ETF_Options_Exhibits'!G2338:G2342)),AVERAGE('20250815_ETF_Options_Exhibits'!G2338:G2342),"")</f>
        <v/>
      </c>
      <c r="H2342" s="3">
        <f>IF(ISNUMBER(AVERAGE('20250815_ETF_Options_Exhibits'!H2338:H2342)),AVERAGE('20250815_ETF_Options_Exhibits'!H2338:H2342),"")</f>
        <v/>
      </c>
      <c r="I2342" s="3">
        <f>IF(ISNUMBER(AVERAGE('20250815_ETF_Options_Exhibits'!I2338:I2342)),AVERAGE('20250815_ETF_Options_Exhibits'!I2338:I2342),"")</f>
        <v/>
      </c>
      <c r="J2342" s="3">
        <f>IF(ISNUMBER(AVERAGE('20250815_ETF_Options_Exhibits'!J2338:J2342)),AVERAGE('20250815_ETF_Options_Exhibits'!J2338:J2342),"")</f>
        <v/>
      </c>
      <c r="K2342" s="3">
        <f>IF(ISNUMBER(AVERAGE('20250815_ETF_Options_Exhibits'!K2338:K2342)),AVERAGE('20250815_ETF_Options_Exhibits'!K2338:K2342),"")</f>
        <v/>
      </c>
      <c r="L2342" s="3">
        <f>IF(ISNUMBER(AVERAGE('20250815_ETF_Options_Exhibits'!L2338:L2342)),AVERAGE('20250815_ETF_Options_Exhibits'!L2338:L2342),"")</f>
        <v/>
      </c>
      <c r="M2342" s="3">
        <f>IF(ISNUMBER(AVERAGE('20250815_ETF_Options_Exhibits'!M2338:M2342)),AVERAGE('20250815_ETF_Options_Exhibits'!M2338:M2342),"")</f>
        <v/>
      </c>
      <c r="N2342" s="3">
        <f>IF(ISNUMBER(AVERAGE('20250815_ETF_Options_Exhibits'!N2338:N2342)),AVERAGE('20250815_ETF_Options_Exhibits'!N2338:N2342),"")</f>
        <v/>
      </c>
      <c r="O2342" s="3">
        <f>IF(ISNUMBER(AVERAGE('20250815_ETF_Options_Exhibits'!O2338:O2342)),AVERAGE('20250815_ETF_Options_Exhibits'!O2338:O2342),"")</f>
        <v/>
      </c>
      <c r="P2342" s="3">
        <f>IF(ISNUMBER(AVERAGE('20250815_ETF_Options_Exhibits'!P2338:P2342)),AVERAGE('20250815_ETF_Options_Exhibits'!P2338:P2342),"")</f>
        <v/>
      </c>
      <c r="Q2342" s="3">
        <f>IF(ISNUMBER(AVERAGE('20250815_ETF_Options_Exhibits'!Q2338:Q2342)),AVERAGE('20250815_ETF_Options_Exhibits'!Q2338:Q2342),"")</f>
        <v/>
      </c>
      <c r="R2342" s="3">
        <f>IF(ISNUMBER(AVERAGE('20250815_ETF_Options_Exhibits'!R2338:R2342)),AVERAGE('20250815_ETF_Options_Exhibits'!R2338:R2342),"")</f>
        <v/>
      </c>
      <c r="S2342" s="3">
        <f>IF(ISNUMBER(AVERAGE('20250815_ETF_Options_Exhibits'!S2338:S2342)),AVERAGE('20250815_ETF_Options_Exhibits'!S2338:S2342),"")</f>
        <v/>
      </c>
      <c r="T2342" s="3">
        <f>IF(ISNUMBER(AVERAGE('20250815_ETF_Options_Exhibits'!T2338:T2342)),AVERAGE('20250815_ETF_Options_Exhibits'!T2338:T2342),"")</f>
        <v/>
      </c>
      <c r="U2342" s="3">
        <f>IF(ISNUMBER(AVERAGE('20250815_ETF_Options_Exhibits'!U2338:U2342)),AVERAGE('20250815_ETF_Options_Exhibits'!U2338:U2342),"")</f>
        <v/>
      </c>
      <c r="V2342" s="3">
        <f>IF(ISNUMBER(AVERAGE('20250815_ETF_Options_Exhibits'!V2338:V2342)),AVERAGE('20250815_ETF_Options_Exhibits'!V2338:V2342),"")</f>
        <v/>
      </c>
      <c r="W2342" s="3">
        <f>IF(ISNUMBER(AVERAGE('20250815_ETF_Options_Exhibits'!W2338:W2342)),AVERAGE('20250815_ETF_Options_Exhibits'!W2338:W2342),"")</f>
        <v/>
      </c>
      <c r="X2342" s="3">
        <f>IF(ISNUMBER(AVERAGE('20250815_ETF_Options_Exhibits'!X2338:X2342)),AVERAGE('20250815_ETF_Options_Exhibits'!X2338:X2342),"")</f>
        <v/>
      </c>
      <c r="Y2342" s="3">
        <f>IF(ISNUMBER(AVERAGE('20250815_ETF_Options_Exhibits'!Y2338:Y2342)),AVERAGE('20250815_ETF_Options_Exhibits'!Y2338:Y2342),"")</f>
        <v/>
      </c>
      <c r="Z2342" s="3">
        <f>IF(ISNUMBER(AVERAGE('20250815_ETF_Options_Exhibits'!Z2338:Z2342)),AVERAGE('20250815_ETF_Options_Exhibits'!Z2338:Z2342),"")</f>
        <v/>
      </c>
      <c r="AA2342" s="3">
        <f>IF(ISNUMBER(AVERAGE('20250815_ETF_Options_Exhibits'!AA2338:AA2342)),AVERAGE('20250815_ETF_Options_Exhibits'!AA2338:AA2342),"")</f>
        <v/>
      </c>
    </row>
    <row r="2343">
      <c r="A2343" s="1" t="n">
        <v>45404</v>
      </c>
      <c r="B2343" s="3">
        <f>IF(ISNUMBER(AVERAGE('20250815_ETF_Options_Exhibits'!B2339:B2343)),AVERAGE('20250815_ETF_Options_Exhibits'!B2339:B2343),"")</f>
        <v/>
      </c>
      <c r="C2343" s="3">
        <f>IF(ISNUMBER(AVERAGE('20250815_ETF_Options_Exhibits'!C2339:C2343)),AVERAGE('20250815_ETF_Options_Exhibits'!C2339:C2343),"")</f>
        <v/>
      </c>
      <c r="D2343" s="3">
        <f>IF(ISNUMBER(AVERAGE('20250815_ETF_Options_Exhibits'!D2339:D2343)),AVERAGE('20250815_ETF_Options_Exhibits'!D2339:D2343),"")</f>
        <v/>
      </c>
      <c r="E2343" s="3">
        <f>IF(ISNUMBER(AVERAGE('20250815_ETF_Options_Exhibits'!E2339:E2343)),AVERAGE('20250815_ETF_Options_Exhibits'!E2339:E2343),"")</f>
        <v/>
      </c>
      <c r="F2343" s="3">
        <f>IF(ISNUMBER(AVERAGE('20250815_ETF_Options_Exhibits'!F2339:F2343)),AVERAGE('20250815_ETF_Options_Exhibits'!F2339:F2343),"")</f>
        <v/>
      </c>
      <c r="G2343" s="3">
        <f>IF(ISNUMBER(AVERAGE('20250815_ETF_Options_Exhibits'!G2339:G2343)),AVERAGE('20250815_ETF_Options_Exhibits'!G2339:G2343),"")</f>
        <v/>
      </c>
      <c r="H2343" s="3">
        <f>IF(ISNUMBER(AVERAGE('20250815_ETF_Options_Exhibits'!H2339:H2343)),AVERAGE('20250815_ETF_Options_Exhibits'!H2339:H2343),"")</f>
        <v/>
      </c>
      <c r="I2343" s="3">
        <f>IF(ISNUMBER(AVERAGE('20250815_ETF_Options_Exhibits'!I2339:I2343)),AVERAGE('20250815_ETF_Options_Exhibits'!I2339:I2343),"")</f>
        <v/>
      </c>
      <c r="J2343" s="3">
        <f>IF(ISNUMBER(AVERAGE('20250815_ETF_Options_Exhibits'!J2339:J2343)),AVERAGE('20250815_ETF_Options_Exhibits'!J2339:J2343),"")</f>
        <v/>
      </c>
      <c r="K2343" s="3">
        <f>IF(ISNUMBER(AVERAGE('20250815_ETF_Options_Exhibits'!K2339:K2343)),AVERAGE('20250815_ETF_Options_Exhibits'!K2339:K2343),"")</f>
        <v/>
      </c>
      <c r="L2343" s="3">
        <f>IF(ISNUMBER(AVERAGE('20250815_ETF_Options_Exhibits'!L2339:L2343)),AVERAGE('20250815_ETF_Options_Exhibits'!L2339:L2343),"")</f>
        <v/>
      </c>
      <c r="M2343" s="3">
        <f>IF(ISNUMBER(AVERAGE('20250815_ETF_Options_Exhibits'!M2339:M2343)),AVERAGE('20250815_ETF_Options_Exhibits'!M2339:M2343),"")</f>
        <v/>
      </c>
      <c r="N2343" s="3">
        <f>IF(ISNUMBER(AVERAGE('20250815_ETF_Options_Exhibits'!N2339:N2343)),AVERAGE('20250815_ETF_Options_Exhibits'!N2339:N2343),"")</f>
        <v/>
      </c>
      <c r="O2343" s="3">
        <f>IF(ISNUMBER(AVERAGE('20250815_ETF_Options_Exhibits'!O2339:O2343)),AVERAGE('20250815_ETF_Options_Exhibits'!O2339:O2343),"")</f>
        <v/>
      </c>
      <c r="P2343" s="3">
        <f>IF(ISNUMBER(AVERAGE('20250815_ETF_Options_Exhibits'!P2339:P2343)),AVERAGE('20250815_ETF_Options_Exhibits'!P2339:P2343),"")</f>
        <v/>
      </c>
      <c r="Q2343" s="3">
        <f>IF(ISNUMBER(AVERAGE('20250815_ETF_Options_Exhibits'!Q2339:Q2343)),AVERAGE('20250815_ETF_Options_Exhibits'!Q2339:Q2343),"")</f>
        <v/>
      </c>
      <c r="R2343" s="3">
        <f>IF(ISNUMBER(AVERAGE('20250815_ETF_Options_Exhibits'!R2339:R2343)),AVERAGE('20250815_ETF_Options_Exhibits'!R2339:R2343),"")</f>
        <v/>
      </c>
      <c r="S2343" s="3">
        <f>IF(ISNUMBER(AVERAGE('20250815_ETF_Options_Exhibits'!S2339:S2343)),AVERAGE('20250815_ETF_Options_Exhibits'!S2339:S2343),"")</f>
        <v/>
      </c>
      <c r="T2343" s="3">
        <f>IF(ISNUMBER(AVERAGE('20250815_ETF_Options_Exhibits'!T2339:T2343)),AVERAGE('20250815_ETF_Options_Exhibits'!T2339:T2343),"")</f>
        <v/>
      </c>
      <c r="U2343" s="3">
        <f>IF(ISNUMBER(AVERAGE('20250815_ETF_Options_Exhibits'!U2339:U2343)),AVERAGE('20250815_ETF_Options_Exhibits'!U2339:U2343),"")</f>
        <v/>
      </c>
      <c r="V2343" s="3">
        <f>IF(ISNUMBER(AVERAGE('20250815_ETF_Options_Exhibits'!V2339:V2343)),AVERAGE('20250815_ETF_Options_Exhibits'!V2339:V2343),"")</f>
        <v/>
      </c>
      <c r="W2343" s="3">
        <f>IF(ISNUMBER(AVERAGE('20250815_ETF_Options_Exhibits'!W2339:W2343)),AVERAGE('20250815_ETF_Options_Exhibits'!W2339:W2343),"")</f>
        <v/>
      </c>
      <c r="X2343" s="3">
        <f>IF(ISNUMBER(AVERAGE('20250815_ETF_Options_Exhibits'!X2339:X2343)),AVERAGE('20250815_ETF_Options_Exhibits'!X2339:X2343),"")</f>
        <v/>
      </c>
      <c r="Y2343" s="3">
        <f>IF(ISNUMBER(AVERAGE('20250815_ETF_Options_Exhibits'!Y2339:Y2343)),AVERAGE('20250815_ETF_Options_Exhibits'!Y2339:Y2343),"")</f>
        <v/>
      </c>
      <c r="Z2343" s="3">
        <f>IF(ISNUMBER(AVERAGE('20250815_ETF_Options_Exhibits'!Z2339:Z2343)),AVERAGE('20250815_ETF_Options_Exhibits'!Z2339:Z2343),"")</f>
        <v/>
      </c>
      <c r="AA2343" s="3">
        <f>IF(ISNUMBER(AVERAGE('20250815_ETF_Options_Exhibits'!AA2339:AA2343)),AVERAGE('20250815_ETF_Options_Exhibits'!AA2339:AA2343),"")</f>
        <v/>
      </c>
    </row>
    <row r="2344">
      <c r="A2344" s="1" t="n">
        <v>45405</v>
      </c>
      <c r="B2344" s="3">
        <f>IF(ISNUMBER(AVERAGE('20250815_ETF_Options_Exhibits'!B2340:B2344)),AVERAGE('20250815_ETF_Options_Exhibits'!B2340:B2344),"")</f>
        <v/>
      </c>
      <c r="C2344" s="3">
        <f>IF(ISNUMBER(AVERAGE('20250815_ETF_Options_Exhibits'!C2340:C2344)),AVERAGE('20250815_ETF_Options_Exhibits'!C2340:C2344),"")</f>
        <v/>
      </c>
      <c r="D2344" s="3">
        <f>IF(ISNUMBER(AVERAGE('20250815_ETF_Options_Exhibits'!D2340:D2344)),AVERAGE('20250815_ETF_Options_Exhibits'!D2340:D2344),"")</f>
        <v/>
      </c>
      <c r="E2344" s="3">
        <f>IF(ISNUMBER(AVERAGE('20250815_ETF_Options_Exhibits'!E2340:E2344)),AVERAGE('20250815_ETF_Options_Exhibits'!E2340:E2344),"")</f>
        <v/>
      </c>
      <c r="F2344" s="3">
        <f>IF(ISNUMBER(AVERAGE('20250815_ETF_Options_Exhibits'!F2340:F2344)),AVERAGE('20250815_ETF_Options_Exhibits'!F2340:F2344),"")</f>
        <v/>
      </c>
      <c r="G2344" s="3">
        <f>IF(ISNUMBER(AVERAGE('20250815_ETF_Options_Exhibits'!G2340:G2344)),AVERAGE('20250815_ETF_Options_Exhibits'!G2340:G2344),"")</f>
        <v/>
      </c>
      <c r="H2344" s="3">
        <f>IF(ISNUMBER(AVERAGE('20250815_ETF_Options_Exhibits'!H2340:H2344)),AVERAGE('20250815_ETF_Options_Exhibits'!H2340:H2344),"")</f>
        <v/>
      </c>
      <c r="I2344" s="3">
        <f>IF(ISNUMBER(AVERAGE('20250815_ETF_Options_Exhibits'!I2340:I2344)),AVERAGE('20250815_ETF_Options_Exhibits'!I2340:I2344),"")</f>
        <v/>
      </c>
      <c r="J2344" s="3">
        <f>IF(ISNUMBER(AVERAGE('20250815_ETF_Options_Exhibits'!J2340:J2344)),AVERAGE('20250815_ETF_Options_Exhibits'!J2340:J2344),"")</f>
        <v/>
      </c>
      <c r="K2344" s="3">
        <f>IF(ISNUMBER(AVERAGE('20250815_ETF_Options_Exhibits'!K2340:K2344)),AVERAGE('20250815_ETF_Options_Exhibits'!K2340:K2344),"")</f>
        <v/>
      </c>
      <c r="L2344" s="3">
        <f>IF(ISNUMBER(AVERAGE('20250815_ETF_Options_Exhibits'!L2340:L2344)),AVERAGE('20250815_ETF_Options_Exhibits'!L2340:L2344),"")</f>
        <v/>
      </c>
      <c r="M2344" s="3">
        <f>IF(ISNUMBER(AVERAGE('20250815_ETF_Options_Exhibits'!M2340:M2344)),AVERAGE('20250815_ETF_Options_Exhibits'!M2340:M2344),"")</f>
        <v/>
      </c>
      <c r="N2344" s="3">
        <f>IF(ISNUMBER(AVERAGE('20250815_ETF_Options_Exhibits'!N2340:N2344)),AVERAGE('20250815_ETF_Options_Exhibits'!N2340:N2344),"")</f>
        <v/>
      </c>
      <c r="O2344" s="3">
        <f>IF(ISNUMBER(AVERAGE('20250815_ETF_Options_Exhibits'!O2340:O2344)),AVERAGE('20250815_ETF_Options_Exhibits'!O2340:O2344),"")</f>
        <v/>
      </c>
      <c r="P2344" s="3">
        <f>IF(ISNUMBER(AVERAGE('20250815_ETF_Options_Exhibits'!P2340:P2344)),AVERAGE('20250815_ETF_Options_Exhibits'!P2340:P2344),"")</f>
        <v/>
      </c>
      <c r="Q2344" s="3">
        <f>IF(ISNUMBER(AVERAGE('20250815_ETF_Options_Exhibits'!Q2340:Q2344)),AVERAGE('20250815_ETF_Options_Exhibits'!Q2340:Q2344),"")</f>
        <v/>
      </c>
      <c r="R2344" s="3">
        <f>IF(ISNUMBER(AVERAGE('20250815_ETF_Options_Exhibits'!R2340:R2344)),AVERAGE('20250815_ETF_Options_Exhibits'!R2340:R2344),"")</f>
        <v/>
      </c>
      <c r="S2344" s="3">
        <f>IF(ISNUMBER(AVERAGE('20250815_ETF_Options_Exhibits'!S2340:S2344)),AVERAGE('20250815_ETF_Options_Exhibits'!S2340:S2344),"")</f>
        <v/>
      </c>
      <c r="T2344" s="3">
        <f>IF(ISNUMBER(AVERAGE('20250815_ETF_Options_Exhibits'!T2340:T2344)),AVERAGE('20250815_ETF_Options_Exhibits'!T2340:T2344),"")</f>
        <v/>
      </c>
      <c r="U2344" s="3">
        <f>IF(ISNUMBER(AVERAGE('20250815_ETF_Options_Exhibits'!U2340:U2344)),AVERAGE('20250815_ETF_Options_Exhibits'!U2340:U2344),"")</f>
        <v/>
      </c>
      <c r="V2344" s="3">
        <f>IF(ISNUMBER(AVERAGE('20250815_ETF_Options_Exhibits'!V2340:V2344)),AVERAGE('20250815_ETF_Options_Exhibits'!V2340:V2344),"")</f>
        <v/>
      </c>
      <c r="W2344" s="3">
        <f>IF(ISNUMBER(AVERAGE('20250815_ETF_Options_Exhibits'!W2340:W2344)),AVERAGE('20250815_ETF_Options_Exhibits'!W2340:W2344),"")</f>
        <v/>
      </c>
      <c r="X2344" s="3">
        <f>IF(ISNUMBER(AVERAGE('20250815_ETF_Options_Exhibits'!X2340:X2344)),AVERAGE('20250815_ETF_Options_Exhibits'!X2340:X2344),"")</f>
        <v/>
      </c>
      <c r="Y2344" s="3">
        <f>IF(ISNUMBER(AVERAGE('20250815_ETF_Options_Exhibits'!Y2340:Y2344)),AVERAGE('20250815_ETF_Options_Exhibits'!Y2340:Y2344),"")</f>
        <v/>
      </c>
      <c r="Z2344" s="3">
        <f>IF(ISNUMBER(AVERAGE('20250815_ETF_Options_Exhibits'!Z2340:Z2344)),AVERAGE('20250815_ETF_Options_Exhibits'!Z2340:Z2344),"")</f>
        <v/>
      </c>
      <c r="AA2344" s="3">
        <f>IF(ISNUMBER(AVERAGE('20250815_ETF_Options_Exhibits'!AA2340:AA2344)),AVERAGE('20250815_ETF_Options_Exhibits'!AA2340:AA2344),"")</f>
        <v/>
      </c>
    </row>
    <row r="2345">
      <c r="A2345" s="1" t="n">
        <v>45406</v>
      </c>
      <c r="B2345" s="3">
        <f>IF(ISNUMBER(AVERAGE('20250815_ETF_Options_Exhibits'!B2341:B2345)),AVERAGE('20250815_ETF_Options_Exhibits'!B2341:B2345),"")</f>
        <v/>
      </c>
      <c r="C2345" s="3">
        <f>IF(ISNUMBER(AVERAGE('20250815_ETF_Options_Exhibits'!C2341:C2345)),AVERAGE('20250815_ETF_Options_Exhibits'!C2341:C2345),"")</f>
        <v/>
      </c>
      <c r="D2345" s="3">
        <f>IF(ISNUMBER(AVERAGE('20250815_ETF_Options_Exhibits'!D2341:D2345)),AVERAGE('20250815_ETF_Options_Exhibits'!D2341:D2345),"")</f>
        <v/>
      </c>
      <c r="E2345" s="3">
        <f>IF(ISNUMBER(AVERAGE('20250815_ETF_Options_Exhibits'!E2341:E2345)),AVERAGE('20250815_ETF_Options_Exhibits'!E2341:E2345),"")</f>
        <v/>
      </c>
      <c r="F2345" s="3">
        <f>IF(ISNUMBER(AVERAGE('20250815_ETF_Options_Exhibits'!F2341:F2345)),AVERAGE('20250815_ETF_Options_Exhibits'!F2341:F2345),"")</f>
        <v/>
      </c>
      <c r="G2345" s="3">
        <f>IF(ISNUMBER(AVERAGE('20250815_ETF_Options_Exhibits'!G2341:G2345)),AVERAGE('20250815_ETF_Options_Exhibits'!G2341:G2345),"")</f>
        <v/>
      </c>
      <c r="H2345" s="3">
        <f>IF(ISNUMBER(AVERAGE('20250815_ETF_Options_Exhibits'!H2341:H2345)),AVERAGE('20250815_ETF_Options_Exhibits'!H2341:H2345),"")</f>
        <v/>
      </c>
      <c r="I2345" s="3">
        <f>IF(ISNUMBER(AVERAGE('20250815_ETF_Options_Exhibits'!I2341:I2345)),AVERAGE('20250815_ETF_Options_Exhibits'!I2341:I2345),"")</f>
        <v/>
      </c>
      <c r="J2345" s="3">
        <f>IF(ISNUMBER(AVERAGE('20250815_ETF_Options_Exhibits'!J2341:J2345)),AVERAGE('20250815_ETF_Options_Exhibits'!J2341:J2345),"")</f>
        <v/>
      </c>
      <c r="K2345" s="3">
        <f>IF(ISNUMBER(AVERAGE('20250815_ETF_Options_Exhibits'!K2341:K2345)),AVERAGE('20250815_ETF_Options_Exhibits'!K2341:K2345),"")</f>
        <v/>
      </c>
      <c r="L2345" s="3">
        <f>IF(ISNUMBER(AVERAGE('20250815_ETF_Options_Exhibits'!L2341:L2345)),AVERAGE('20250815_ETF_Options_Exhibits'!L2341:L2345),"")</f>
        <v/>
      </c>
      <c r="M2345" s="3">
        <f>IF(ISNUMBER(AVERAGE('20250815_ETF_Options_Exhibits'!M2341:M2345)),AVERAGE('20250815_ETF_Options_Exhibits'!M2341:M2345),"")</f>
        <v/>
      </c>
      <c r="N2345" s="3">
        <f>IF(ISNUMBER(AVERAGE('20250815_ETF_Options_Exhibits'!N2341:N2345)),AVERAGE('20250815_ETF_Options_Exhibits'!N2341:N2345),"")</f>
        <v/>
      </c>
      <c r="O2345" s="3">
        <f>IF(ISNUMBER(AVERAGE('20250815_ETF_Options_Exhibits'!O2341:O2345)),AVERAGE('20250815_ETF_Options_Exhibits'!O2341:O2345),"")</f>
        <v/>
      </c>
      <c r="P2345" s="3">
        <f>IF(ISNUMBER(AVERAGE('20250815_ETF_Options_Exhibits'!P2341:P2345)),AVERAGE('20250815_ETF_Options_Exhibits'!P2341:P2345),"")</f>
        <v/>
      </c>
      <c r="Q2345" s="3">
        <f>IF(ISNUMBER(AVERAGE('20250815_ETF_Options_Exhibits'!Q2341:Q2345)),AVERAGE('20250815_ETF_Options_Exhibits'!Q2341:Q2345),"")</f>
        <v/>
      </c>
      <c r="R2345" s="3">
        <f>IF(ISNUMBER(AVERAGE('20250815_ETF_Options_Exhibits'!R2341:R2345)),AVERAGE('20250815_ETF_Options_Exhibits'!R2341:R2345),"")</f>
        <v/>
      </c>
      <c r="S2345" s="3">
        <f>IF(ISNUMBER(AVERAGE('20250815_ETF_Options_Exhibits'!S2341:S2345)),AVERAGE('20250815_ETF_Options_Exhibits'!S2341:S2345),"")</f>
        <v/>
      </c>
      <c r="T2345" s="3">
        <f>IF(ISNUMBER(AVERAGE('20250815_ETF_Options_Exhibits'!T2341:T2345)),AVERAGE('20250815_ETF_Options_Exhibits'!T2341:T2345),"")</f>
        <v/>
      </c>
      <c r="U2345" s="3">
        <f>IF(ISNUMBER(AVERAGE('20250815_ETF_Options_Exhibits'!U2341:U2345)),AVERAGE('20250815_ETF_Options_Exhibits'!U2341:U2345),"")</f>
        <v/>
      </c>
      <c r="V2345" s="3">
        <f>IF(ISNUMBER(AVERAGE('20250815_ETF_Options_Exhibits'!V2341:V2345)),AVERAGE('20250815_ETF_Options_Exhibits'!V2341:V2345),"")</f>
        <v/>
      </c>
      <c r="W2345" s="3">
        <f>IF(ISNUMBER(AVERAGE('20250815_ETF_Options_Exhibits'!W2341:W2345)),AVERAGE('20250815_ETF_Options_Exhibits'!W2341:W2345),"")</f>
        <v/>
      </c>
      <c r="X2345" s="3">
        <f>IF(ISNUMBER(AVERAGE('20250815_ETF_Options_Exhibits'!X2341:X2345)),AVERAGE('20250815_ETF_Options_Exhibits'!X2341:X2345),"")</f>
        <v/>
      </c>
      <c r="Y2345" s="3">
        <f>IF(ISNUMBER(AVERAGE('20250815_ETF_Options_Exhibits'!Y2341:Y2345)),AVERAGE('20250815_ETF_Options_Exhibits'!Y2341:Y2345),"")</f>
        <v/>
      </c>
      <c r="Z2345" s="3">
        <f>IF(ISNUMBER(AVERAGE('20250815_ETF_Options_Exhibits'!Z2341:Z2345)),AVERAGE('20250815_ETF_Options_Exhibits'!Z2341:Z2345),"")</f>
        <v/>
      </c>
      <c r="AA2345" s="3">
        <f>IF(ISNUMBER(AVERAGE('20250815_ETF_Options_Exhibits'!AA2341:AA2345)),AVERAGE('20250815_ETF_Options_Exhibits'!AA2341:AA2345),"")</f>
        <v/>
      </c>
    </row>
    <row r="2346">
      <c r="A2346" s="1" t="n">
        <v>45407</v>
      </c>
      <c r="B2346" s="3">
        <f>IF(ISNUMBER(AVERAGE('20250815_ETF_Options_Exhibits'!B2342:B2346)),AVERAGE('20250815_ETF_Options_Exhibits'!B2342:B2346),"")</f>
        <v/>
      </c>
      <c r="C2346" s="3">
        <f>IF(ISNUMBER(AVERAGE('20250815_ETF_Options_Exhibits'!C2342:C2346)),AVERAGE('20250815_ETF_Options_Exhibits'!C2342:C2346),"")</f>
        <v/>
      </c>
      <c r="D2346" s="3">
        <f>IF(ISNUMBER(AVERAGE('20250815_ETF_Options_Exhibits'!D2342:D2346)),AVERAGE('20250815_ETF_Options_Exhibits'!D2342:D2346),"")</f>
        <v/>
      </c>
      <c r="E2346" s="3">
        <f>IF(ISNUMBER(AVERAGE('20250815_ETF_Options_Exhibits'!E2342:E2346)),AVERAGE('20250815_ETF_Options_Exhibits'!E2342:E2346),"")</f>
        <v/>
      </c>
      <c r="F2346" s="3">
        <f>IF(ISNUMBER(AVERAGE('20250815_ETF_Options_Exhibits'!F2342:F2346)),AVERAGE('20250815_ETF_Options_Exhibits'!F2342:F2346),"")</f>
        <v/>
      </c>
      <c r="G2346" s="3">
        <f>IF(ISNUMBER(AVERAGE('20250815_ETF_Options_Exhibits'!G2342:G2346)),AVERAGE('20250815_ETF_Options_Exhibits'!G2342:G2346),"")</f>
        <v/>
      </c>
      <c r="H2346" s="3">
        <f>IF(ISNUMBER(AVERAGE('20250815_ETF_Options_Exhibits'!H2342:H2346)),AVERAGE('20250815_ETF_Options_Exhibits'!H2342:H2346),"")</f>
        <v/>
      </c>
      <c r="I2346" s="3">
        <f>IF(ISNUMBER(AVERAGE('20250815_ETF_Options_Exhibits'!I2342:I2346)),AVERAGE('20250815_ETF_Options_Exhibits'!I2342:I2346),"")</f>
        <v/>
      </c>
      <c r="J2346" s="3">
        <f>IF(ISNUMBER(AVERAGE('20250815_ETF_Options_Exhibits'!J2342:J2346)),AVERAGE('20250815_ETF_Options_Exhibits'!J2342:J2346),"")</f>
        <v/>
      </c>
      <c r="K2346" s="3">
        <f>IF(ISNUMBER(AVERAGE('20250815_ETF_Options_Exhibits'!K2342:K2346)),AVERAGE('20250815_ETF_Options_Exhibits'!K2342:K2346),"")</f>
        <v/>
      </c>
      <c r="L2346" s="3">
        <f>IF(ISNUMBER(AVERAGE('20250815_ETF_Options_Exhibits'!L2342:L2346)),AVERAGE('20250815_ETF_Options_Exhibits'!L2342:L2346),"")</f>
        <v/>
      </c>
      <c r="M2346" s="3">
        <f>IF(ISNUMBER(AVERAGE('20250815_ETF_Options_Exhibits'!M2342:M2346)),AVERAGE('20250815_ETF_Options_Exhibits'!M2342:M2346),"")</f>
        <v/>
      </c>
      <c r="N2346" s="3">
        <f>IF(ISNUMBER(AVERAGE('20250815_ETF_Options_Exhibits'!N2342:N2346)),AVERAGE('20250815_ETF_Options_Exhibits'!N2342:N2346),"")</f>
        <v/>
      </c>
      <c r="O2346" s="3">
        <f>IF(ISNUMBER(AVERAGE('20250815_ETF_Options_Exhibits'!O2342:O2346)),AVERAGE('20250815_ETF_Options_Exhibits'!O2342:O2346),"")</f>
        <v/>
      </c>
      <c r="P2346" s="3">
        <f>IF(ISNUMBER(AVERAGE('20250815_ETF_Options_Exhibits'!P2342:P2346)),AVERAGE('20250815_ETF_Options_Exhibits'!P2342:P2346),"")</f>
        <v/>
      </c>
      <c r="Q2346" s="3">
        <f>IF(ISNUMBER(AVERAGE('20250815_ETF_Options_Exhibits'!Q2342:Q2346)),AVERAGE('20250815_ETF_Options_Exhibits'!Q2342:Q2346),"")</f>
        <v/>
      </c>
      <c r="R2346" s="3">
        <f>IF(ISNUMBER(AVERAGE('20250815_ETF_Options_Exhibits'!R2342:R2346)),AVERAGE('20250815_ETF_Options_Exhibits'!R2342:R2346),"")</f>
        <v/>
      </c>
      <c r="S2346" s="3">
        <f>IF(ISNUMBER(AVERAGE('20250815_ETF_Options_Exhibits'!S2342:S2346)),AVERAGE('20250815_ETF_Options_Exhibits'!S2342:S2346),"")</f>
        <v/>
      </c>
      <c r="T2346" s="3">
        <f>IF(ISNUMBER(AVERAGE('20250815_ETF_Options_Exhibits'!T2342:T2346)),AVERAGE('20250815_ETF_Options_Exhibits'!T2342:T2346),"")</f>
        <v/>
      </c>
      <c r="U2346" s="3">
        <f>IF(ISNUMBER(AVERAGE('20250815_ETF_Options_Exhibits'!U2342:U2346)),AVERAGE('20250815_ETF_Options_Exhibits'!U2342:U2346),"")</f>
        <v/>
      </c>
      <c r="V2346" s="3">
        <f>IF(ISNUMBER(AVERAGE('20250815_ETF_Options_Exhibits'!V2342:V2346)),AVERAGE('20250815_ETF_Options_Exhibits'!V2342:V2346),"")</f>
        <v/>
      </c>
      <c r="W2346" s="3">
        <f>IF(ISNUMBER(AVERAGE('20250815_ETF_Options_Exhibits'!W2342:W2346)),AVERAGE('20250815_ETF_Options_Exhibits'!W2342:W2346),"")</f>
        <v/>
      </c>
      <c r="X2346" s="3">
        <f>IF(ISNUMBER(AVERAGE('20250815_ETF_Options_Exhibits'!X2342:X2346)),AVERAGE('20250815_ETF_Options_Exhibits'!X2342:X2346),"")</f>
        <v/>
      </c>
      <c r="Y2346" s="3">
        <f>IF(ISNUMBER(AVERAGE('20250815_ETF_Options_Exhibits'!Y2342:Y2346)),AVERAGE('20250815_ETF_Options_Exhibits'!Y2342:Y2346),"")</f>
        <v/>
      </c>
      <c r="Z2346" s="3">
        <f>IF(ISNUMBER(AVERAGE('20250815_ETF_Options_Exhibits'!Z2342:Z2346)),AVERAGE('20250815_ETF_Options_Exhibits'!Z2342:Z2346),"")</f>
        <v/>
      </c>
      <c r="AA2346" s="3">
        <f>IF(ISNUMBER(AVERAGE('20250815_ETF_Options_Exhibits'!AA2342:AA2346)),AVERAGE('20250815_ETF_Options_Exhibits'!AA2342:AA2346),"")</f>
        <v/>
      </c>
    </row>
    <row r="2347">
      <c r="A2347" s="1" t="n">
        <v>45408</v>
      </c>
      <c r="B2347" s="3">
        <f>IF(ISNUMBER(AVERAGE('20250815_ETF_Options_Exhibits'!B2343:B2347)),AVERAGE('20250815_ETF_Options_Exhibits'!B2343:B2347),"")</f>
        <v/>
      </c>
      <c r="C2347" s="3">
        <f>IF(ISNUMBER(AVERAGE('20250815_ETF_Options_Exhibits'!C2343:C2347)),AVERAGE('20250815_ETF_Options_Exhibits'!C2343:C2347),"")</f>
        <v/>
      </c>
      <c r="D2347" s="3">
        <f>IF(ISNUMBER(AVERAGE('20250815_ETF_Options_Exhibits'!D2343:D2347)),AVERAGE('20250815_ETF_Options_Exhibits'!D2343:D2347),"")</f>
        <v/>
      </c>
      <c r="E2347" s="3">
        <f>IF(ISNUMBER(AVERAGE('20250815_ETF_Options_Exhibits'!E2343:E2347)),AVERAGE('20250815_ETF_Options_Exhibits'!E2343:E2347),"")</f>
        <v/>
      </c>
      <c r="F2347" s="3">
        <f>IF(ISNUMBER(AVERAGE('20250815_ETF_Options_Exhibits'!F2343:F2347)),AVERAGE('20250815_ETF_Options_Exhibits'!F2343:F2347),"")</f>
        <v/>
      </c>
      <c r="G2347" s="3">
        <f>IF(ISNUMBER(AVERAGE('20250815_ETF_Options_Exhibits'!G2343:G2347)),AVERAGE('20250815_ETF_Options_Exhibits'!G2343:G2347),"")</f>
        <v/>
      </c>
      <c r="H2347" s="3">
        <f>IF(ISNUMBER(AVERAGE('20250815_ETF_Options_Exhibits'!H2343:H2347)),AVERAGE('20250815_ETF_Options_Exhibits'!H2343:H2347),"")</f>
        <v/>
      </c>
      <c r="I2347" s="3">
        <f>IF(ISNUMBER(AVERAGE('20250815_ETF_Options_Exhibits'!I2343:I2347)),AVERAGE('20250815_ETF_Options_Exhibits'!I2343:I2347),"")</f>
        <v/>
      </c>
      <c r="J2347" s="3">
        <f>IF(ISNUMBER(AVERAGE('20250815_ETF_Options_Exhibits'!J2343:J2347)),AVERAGE('20250815_ETF_Options_Exhibits'!J2343:J2347),"")</f>
        <v/>
      </c>
      <c r="K2347" s="3">
        <f>IF(ISNUMBER(AVERAGE('20250815_ETF_Options_Exhibits'!K2343:K2347)),AVERAGE('20250815_ETF_Options_Exhibits'!K2343:K2347),"")</f>
        <v/>
      </c>
      <c r="L2347" s="3">
        <f>IF(ISNUMBER(AVERAGE('20250815_ETF_Options_Exhibits'!L2343:L2347)),AVERAGE('20250815_ETF_Options_Exhibits'!L2343:L2347),"")</f>
        <v/>
      </c>
      <c r="M2347" s="3">
        <f>IF(ISNUMBER(AVERAGE('20250815_ETF_Options_Exhibits'!M2343:M2347)),AVERAGE('20250815_ETF_Options_Exhibits'!M2343:M2347),"")</f>
        <v/>
      </c>
      <c r="N2347" s="3">
        <f>IF(ISNUMBER(AVERAGE('20250815_ETF_Options_Exhibits'!N2343:N2347)),AVERAGE('20250815_ETF_Options_Exhibits'!N2343:N2347),"")</f>
        <v/>
      </c>
      <c r="O2347" s="3">
        <f>IF(ISNUMBER(AVERAGE('20250815_ETF_Options_Exhibits'!O2343:O2347)),AVERAGE('20250815_ETF_Options_Exhibits'!O2343:O2347),"")</f>
        <v/>
      </c>
      <c r="P2347" s="3">
        <f>IF(ISNUMBER(AVERAGE('20250815_ETF_Options_Exhibits'!P2343:P2347)),AVERAGE('20250815_ETF_Options_Exhibits'!P2343:P2347),"")</f>
        <v/>
      </c>
      <c r="Q2347" s="3">
        <f>IF(ISNUMBER(AVERAGE('20250815_ETF_Options_Exhibits'!Q2343:Q2347)),AVERAGE('20250815_ETF_Options_Exhibits'!Q2343:Q2347),"")</f>
        <v/>
      </c>
      <c r="R2347" s="3">
        <f>IF(ISNUMBER(AVERAGE('20250815_ETF_Options_Exhibits'!R2343:R2347)),AVERAGE('20250815_ETF_Options_Exhibits'!R2343:R2347),"")</f>
        <v/>
      </c>
      <c r="S2347" s="3">
        <f>IF(ISNUMBER(AVERAGE('20250815_ETF_Options_Exhibits'!S2343:S2347)),AVERAGE('20250815_ETF_Options_Exhibits'!S2343:S2347),"")</f>
        <v/>
      </c>
      <c r="T2347" s="3">
        <f>IF(ISNUMBER(AVERAGE('20250815_ETF_Options_Exhibits'!T2343:T2347)),AVERAGE('20250815_ETF_Options_Exhibits'!T2343:T2347),"")</f>
        <v/>
      </c>
      <c r="U2347" s="3">
        <f>IF(ISNUMBER(AVERAGE('20250815_ETF_Options_Exhibits'!U2343:U2347)),AVERAGE('20250815_ETF_Options_Exhibits'!U2343:U2347),"")</f>
        <v/>
      </c>
      <c r="V2347" s="3">
        <f>IF(ISNUMBER(AVERAGE('20250815_ETF_Options_Exhibits'!V2343:V2347)),AVERAGE('20250815_ETF_Options_Exhibits'!V2343:V2347),"")</f>
        <v/>
      </c>
      <c r="W2347" s="3">
        <f>IF(ISNUMBER(AVERAGE('20250815_ETF_Options_Exhibits'!W2343:W2347)),AVERAGE('20250815_ETF_Options_Exhibits'!W2343:W2347),"")</f>
        <v/>
      </c>
      <c r="X2347" s="3">
        <f>IF(ISNUMBER(AVERAGE('20250815_ETF_Options_Exhibits'!X2343:X2347)),AVERAGE('20250815_ETF_Options_Exhibits'!X2343:X2347),"")</f>
        <v/>
      </c>
      <c r="Y2347" s="3">
        <f>IF(ISNUMBER(AVERAGE('20250815_ETF_Options_Exhibits'!Y2343:Y2347)),AVERAGE('20250815_ETF_Options_Exhibits'!Y2343:Y2347),"")</f>
        <v/>
      </c>
      <c r="Z2347" s="3">
        <f>IF(ISNUMBER(AVERAGE('20250815_ETF_Options_Exhibits'!Z2343:Z2347)),AVERAGE('20250815_ETF_Options_Exhibits'!Z2343:Z2347),"")</f>
        <v/>
      </c>
      <c r="AA2347" s="3">
        <f>IF(ISNUMBER(AVERAGE('20250815_ETF_Options_Exhibits'!AA2343:AA2347)),AVERAGE('20250815_ETF_Options_Exhibits'!AA2343:AA2347),"")</f>
        <v/>
      </c>
    </row>
    <row r="2348">
      <c r="A2348" s="1" t="n">
        <v>45411</v>
      </c>
      <c r="B2348" s="3">
        <f>IF(ISNUMBER(AVERAGE('20250815_ETF_Options_Exhibits'!B2344:B2348)),AVERAGE('20250815_ETF_Options_Exhibits'!B2344:B2348),"")</f>
        <v/>
      </c>
      <c r="C2348" s="3">
        <f>IF(ISNUMBER(AVERAGE('20250815_ETF_Options_Exhibits'!C2344:C2348)),AVERAGE('20250815_ETF_Options_Exhibits'!C2344:C2348),"")</f>
        <v/>
      </c>
      <c r="D2348" s="3">
        <f>IF(ISNUMBER(AVERAGE('20250815_ETF_Options_Exhibits'!D2344:D2348)),AVERAGE('20250815_ETF_Options_Exhibits'!D2344:D2348),"")</f>
        <v/>
      </c>
      <c r="E2348" s="3">
        <f>IF(ISNUMBER(AVERAGE('20250815_ETF_Options_Exhibits'!E2344:E2348)),AVERAGE('20250815_ETF_Options_Exhibits'!E2344:E2348),"")</f>
        <v/>
      </c>
      <c r="F2348" s="3">
        <f>IF(ISNUMBER(AVERAGE('20250815_ETF_Options_Exhibits'!F2344:F2348)),AVERAGE('20250815_ETF_Options_Exhibits'!F2344:F2348),"")</f>
        <v/>
      </c>
      <c r="G2348" s="3">
        <f>IF(ISNUMBER(AVERAGE('20250815_ETF_Options_Exhibits'!G2344:G2348)),AVERAGE('20250815_ETF_Options_Exhibits'!G2344:G2348),"")</f>
        <v/>
      </c>
      <c r="H2348" s="3">
        <f>IF(ISNUMBER(AVERAGE('20250815_ETF_Options_Exhibits'!H2344:H2348)),AVERAGE('20250815_ETF_Options_Exhibits'!H2344:H2348),"")</f>
        <v/>
      </c>
      <c r="I2348" s="3">
        <f>IF(ISNUMBER(AVERAGE('20250815_ETF_Options_Exhibits'!I2344:I2348)),AVERAGE('20250815_ETF_Options_Exhibits'!I2344:I2348),"")</f>
        <v/>
      </c>
      <c r="J2348" s="3">
        <f>IF(ISNUMBER(AVERAGE('20250815_ETF_Options_Exhibits'!J2344:J2348)),AVERAGE('20250815_ETF_Options_Exhibits'!J2344:J2348),"")</f>
        <v/>
      </c>
      <c r="K2348" s="3">
        <f>IF(ISNUMBER(AVERAGE('20250815_ETF_Options_Exhibits'!K2344:K2348)),AVERAGE('20250815_ETF_Options_Exhibits'!K2344:K2348),"")</f>
        <v/>
      </c>
      <c r="L2348" s="3">
        <f>IF(ISNUMBER(AVERAGE('20250815_ETF_Options_Exhibits'!L2344:L2348)),AVERAGE('20250815_ETF_Options_Exhibits'!L2344:L2348),"")</f>
        <v/>
      </c>
      <c r="M2348" s="3">
        <f>IF(ISNUMBER(AVERAGE('20250815_ETF_Options_Exhibits'!M2344:M2348)),AVERAGE('20250815_ETF_Options_Exhibits'!M2344:M2348),"")</f>
        <v/>
      </c>
      <c r="N2348" s="3">
        <f>IF(ISNUMBER(AVERAGE('20250815_ETF_Options_Exhibits'!N2344:N2348)),AVERAGE('20250815_ETF_Options_Exhibits'!N2344:N2348),"")</f>
        <v/>
      </c>
      <c r="O2348" s="3">
        <f>IF(ISNUMBER(AVERAGE('20250815_ETF_Options_Exhibits'!O2344:O2348)),AVERAGE('20250815_ETF_Options_Exhibits'!O2344:O2348),"")</f>
        <v/>
      </c>
      <c r="P2348" s="3">
        <f>IF(ISNUMBER(AVERAGE('20250815_ETF_Options_Exhibits'!P2344:P2348)),AVERAGE('20250815_ETF_Options_Exhibits'!P2344:P2348),"")</f>
        <v/>
      </c>
      <c r="Q2348" s="3">
        <f>IF(ISNUMBER(AVERAGE('20250815_ETF_Options_Exhibits'!Q2344:Q2348)),AVERAGE('20250815_ETF_Options_Exhibits'!Q2344:Q2348),"")</f>
        <v/>
      </c>
      <c r="R2348" s="3">
        <f>IF(ISNUMBER(AVERAGE('20250815_ETF_Options_Exhibits'!R2344:R2348)),AVERAGE('20250815_ETF_Options_Exhibits'!R2344:R2348),"")</f>
        <v/>
      </c>
      <c r="S2348" s="3">
        <f>IF(ISNUMBER(AVERAGE('20250815_ETF_Options_Exhibits'!S2344:S2348)),AVERAGE('20250815_ETF_Options_Exhibits'!S2344:S2348),"")</f>
        <v/>
      </c>
      <c r="T2348" s="3">
        <f>IF(ISNUMBER(AVERAGE('20250815_ETF_Options_Exhibits'!T2344:T2348)),AVERAGE('20250815_ETF_Options_Exhibits'!T2344:T2348),"")</f>
        <v/>
      </c>
      <c r="U2348" s="3">
        <f>IF(ISNUMBER(AVERAGE('20250815_ETF_Options_Exhibits'!U2344:U2348)),AVERAGE('20250815_ETF_Options_Exhibits'!U2344:U2348),"")</f>
        <v/>
      </c>
      <c r="V2348" s="3">
        <f>IF(ISNUMBER(AVERAGE('20250815_ETF_Options_Exhibits'!V2344:V2348)),AVERAGE('20250815_ETF_Options_Exhibits'!V2344:V2348),"")</f>
        <v/>
      </c>
      <c r="W2348" s="3">
        <f>IF(ISNUMBER(AVERAGE('20250815_ETF_Options_Exhibits'!W2344:W2348)),AVERAGE('20250815_ETF_Options_Exhibits'!W2344:W2348),"")</f>
        <v/>
      </c>
      <c r="X2348" s="3">
        <f>IF(ISNUMBER(AVERAGE('20250815_ETF_Options_Exhibits'!X2344:X2348)),AVERAGE('20250815_ETF_Options_Exhibits'!X2344:X2348),"")</f>
        <v/>
      </c>
      <c r="Y2348" s="3">
        <f>IF(ISNUMBER(AVERAGE('20250815_ETF_Options_Exhibits'!Y2344:Y2348)),AVERAGE('20250815_ETF_Options_Exhibits'!Y2344:Y2348),"")</f>
        <v/>
      </c>
      <c r="Z2348" s="3">
        <f>IF(ISNUMBER(AVERAGE('20250815_ETF_Options_Exhibits'!Z2344:Z2348)),AVERAGE('20250815_ETF_Options_Exhibits'!Z2344:Z2348),"")</f>
        <v/>
      </c>
      <c r="AA2348" s="3">
        <f>IF(ISNUMBER(AVERAGE('20250815_ETF_Options_Exhibits'!AA2344:AA2348)),AVERAGE('20250815_ETF_Options_Exhibits'!AA2344:AA2348),"")</f>
        <v/>
      </c>
    </row>
    <row r="2349">
      <c r="A2349" s="1" t="n">
        <v>45412</v>
      </c>
      <c r="B2349" s="3">
        <f>IF(ISNUMBER(AVERAGE('20250815_ETF_Options_Exhibits'!B2345:B2349)),AVERAGE('20250815_ETF_Options_Exhibits'!B2345:B2349),"")</f>
        <v/>
      </c>
      <c r="C2349" s="3">
        <f>IF(ISNUMBER(AVERAGE('20250815_ETF_Options_Exhibits'!C2345:C2349)),AVERAGE('20250815_ETF_Options_Exhibits'!C2345:C2349),"")</f>
        <v/>
      </c>
      <c r="D2349" s="3">
        <f>IF(ISNUMBER(AVERAGE('20250815_ETF_Options_Exhibits'!D2345:D2349)),AVERAGE('20250815_ETF_Options_Exhibits'!D2345:D2349),"")</f>
        <v/>
      </c>
      <c r="E2349" s="3">
        <f>IF(ISNUMBER(AVERAGE('20250815_ETF_Options_Exhibits'!E2345:E2349)),AVERAGE('20250815_ETF_Options_Exhibits'!E2345:E2349),"")</f>
        <v/>
      </c>
      <c r="F2349" s="3">
        <f>IF(ISNUMBER(AVERAGE('20250815_ETF_Options_Exhibits'!F2345:F2349)),AVERAGE('20250815_ETF_Options_Exhibits'!F2345:F2349),"")</f>
        <v/>
      </c>
      <c r="G2349" s="3">
        <f>IF(ISNUMBER(AVERAGE('20250815_ETF_Options_Exhibits'!G2345:G2349)),AVERAGE('20250815_ETF_Options_Exhibits'!G2345:G2349),"")</f>
        <v/>
      </c>
      <c r="H2349" s="3">
        <f>IF(ISNUMBER(AVERAGE('20250815_ETF_Options_Exhibits'!H2345:H2349)),AVERAGE('20250815_ETF_Options_Exhibits'!H2345:H2349),"")</f>
        <v/>
      </c>
      <c r="I2349" s="3">
        <f>IF(ISNUMBER(AVERAGE('20250815_ETF_Options_Exhibits'!I2345:I2349)),AVERAGE('20250815_ETF_Options_Exhibits'!I2345:I2349),"")</f>
        <v/>
      </c>
      <c r="J2349" s="3">
        <f>IF(ISNUMBER(AVERAGE('20250815_ETF_Options_Exhibits'!J2345:J2349)),AVERAGE('20250815_ETF_Options_Exhibits'!J2345:J2349),"")</f>
        <v/>
      </c>
      <c r="K2349" s="3">
        <f>IF(ISNUMBER(AVERAGE('20250815_ETF_Options_Exhibits'!K2345:K2349)),AVERAGE('20250815_ETF_Options_Exhibits'!K2345:K2349),"")</f>
        <v/>
      </c>
      <c r="L2349" s="3">
        <f>IF(ISNUMBER(AVERAGE('20250815_ETF_Options_Exhibits'!L2345:L2349)),AVERAGE('20250815_ETF_Options_Exhibits'!L2345:L2349),"")</f>
        <v/>
      </c>
      <c r="M2349" s="3">
        <f>IF(ISNUMBER(AVERAGE('20250815_ETF_Options_Exhibits'!M2345:M2349)),AVERAGE('20250815_ETF_Options_Exhibits'!M2345:M2349),"")</f>
        <v/>
      </c>
      <c r="N2349" s="3">
        <f>IF(ISNUMBER(AVERAGE('20250815_ETF_Options_Exhibits'!N2345:N2349)),AVERAGE('20250815_ETF_Options_Exhibits'!N2345:N2349),"")</f>
        <v/>
      </c>
      <c r="O2349" s="3">
        <f>IF(ISNUMBER(AVERAGE('20250815_ETF_Options_Exhibits'!O2345:O2349)),AVERAGE('20250815_ETF_Options_Exhibits'!O2345:O2349),"")</f>
        <v/>
      </c>
      <c r="P2349" s="3">
        <f>IF(ISNUMBER(AVERAGE('20250815_ETF_Options_Exhibits'!P2345:P2349)),AVERAGE('20250815_ETF_Options_Exhibits'!P2345:P2349),"")</f>
        <v/>
      </c>
      <c r="Q2349" s="3">
        <f>IF(ISNUMBER(AVERAGE('20250815_ETF_Options_Exhibits'!Q2345:Q2349)),AVERAGE('20250815_ETF_Options_Exhibits'!Q2345:Q2349),"")</f>
        <v/>
      </c>
      <c r="R2349" s="3">
        <f>IF(ISNUMBER(AVERAGE('20250815_ETF_Options_Exhibits'!R2345:R2349)),AVERAGE('20250815_ETF_Options_Exhibits'!R2345:R2349),"")</f>
        <v/>
      </c>
      <c r="S2349" s="3">
        <f>IF(ISNUMBER(AVERAGE('20250815_ETF_Options_Exhibits'!S2345:S2349)),AVERAGE('20250815_ETF_Options_Exhibits'!S2345:S2349),"")</f>
        <v/>
      </c>
      <c r="T2349" s="3">
        <f>IF(ISNUMBER(AVERAGE('20250815_ETF_Options_Exhibits'!T2345:T2349)),AVERAGE('20250815_ETF_Options_Exhibits'!T2345:T2349),"")</f>
        <v/>
      </c>
      <c r="U2349" s="3">
        <f>IF(ISNUMBER(AVERAGE('20250815_ETF_Options_Exhibits'!U2345:U2349)),AVERAGE('20250815_ETF_Options_Exhibits'!U2345:U2349),"")</f>
        <v/>
      </c>
      <c r="V2349" s="3">
        <f>IF(ISNUMBER(AVERAGE('20250815_ETF_Options_Exhibits'!V2345:V2349)),AVERAGE('20250815_ETF_Options_Exhibits'!V2345:V2349),"")</f>
        <v/>
      </c>
      <c r="W2349" s="3">
        <f>IF(ISNUMBER(AVERAGE('20250815_ETF_Options_Exhibits'!W2345:W2349)),AVERAGE('20250815_ETF_Options_Exhibits'!W2345:W2349),"")</f>
        <v/>
      </c>
      <c r="X2349" s="3">
        <f>IF(ISNUMBER(AVERAGE('20250815_ETF_Options_Exhibits'!X2345:X2349)),AVERAGE('20250815_ETF_Options_Exhibits'!X2345:X2349),"")</f>
        <v/>
      </c>
      <c r="Y2349" s="3">
        <f>IF(ISNUMBER(AVERAGE('20250815_ETF_Options_Exhibits'!Y2345:Y2349)),AVERAGE('20250815_ETF_Options_Exhibits'!Y2345:Y2349),"")</f>
        <v/>
      </c>
      <c r="Z2349" s="3">
        <f>IF(ISNUMBER(AVERAGE('20250815_ETF_Options_Exhibits'!Z2345:Z2349)),AVERAGE('20250815_ETF_Options_Exhibits'!Z2345:Z2349),"")</f>
        <v/>
      </c>
      <c r="AA2349" s="3">
        <f>IF(ISNUMBER(AVERAGE('20250815_ETF_Options_Exhibits'!AA2345:AA2349)),AVERAGE('20250815_ETF_Options_Exhibits'!AA2345:AA2349),"")</f>
        <v/>
      </c>
    </row>
    <row r="2350">
      <c r="A2350" s="1" t="n">
        <v>45413</v>
      </c>
      <c r="B2350" s="3">
        <f>IF(ISNUMBER(AVERAGE('20250815_ETF_Options_Exhibits'!B2346:B2350)),AVERAGE('20250815_ETF_Options_Exhibits'!B2346:B2350),"")</f>
        <v/>
      </c>
      <c r="C2350" s="3">
        <f>IF(ISNUMBER(AVERAGE('20250815_ETF_Options_Exhibits'!C2346:C2350)),AVERAGE('20250815_ETF_Options_Exhibits'!C2346:C2350),"")</f>
        <v/>
      </c>
      <c r="D2350" s="3">
        <f>IF(ISNUMBER(AVERAGE('20250815_ETF_Options_Exhibits'!D2346:D2350)),AVERAGE('20250815_ETF_Options_Exhibits'!D2346:D2350),"")</f>
        <v/>
      </c>
      <c r="E2350" s="3">
        <f>IF(ISNUMBER(AVERAGE('20250815_ETF_Options_Exhibits'!E2346:E2350)),AVERAGE('20250815_ETF_Options_Exhibits'!E2346:E2350),"")</f>
        <v/>
      </c>
      <c r="F2350" s="3">
        <f>IF(ISNUMBER(AVERAGE('20250815_ETF_Options_Exhibits'!F2346:F2350)),AVERAGE('20250815_ETF_Options_Exhibits'!F2346:F2350),"")</f>
        <v/>
      </c>
      <c r="G2350" s="3">
        <f>IF(ISNUMBER(AVERAGE('20250815_ETF_Options_Exhibits'!G2346:G2350)),AVERAGE('20250815_ETF_Options_Exhibits'!G2346:G2350),"")</f>
        <v/>
      </c>
      <c r="H2350" s="3">
        <f>IF(ISNUMBER(AVERAGE('20250815_ETF_Options_Exhibits'!H2346:H2350)),AVERAGE('20250815_ETF_Options_Exhibits'!H2346:H2350),"")</f>
        <v/>
      </c>
      <c r="I2350" s="3">
        <f>IF(ISNUMBER(AVERAGE('20250815_ETF_Options_Exhibits'!I2346:I2350)),AVERAGE('20250815_ETF_Options_Exhibits'!I2346:I2350),"")</f>
        <v/>
      </c>
      <c r="J2350" s="3">
        <f>IF(ISNUMBER(AVERAGE('20250815_ETF_Options_Exhibits'!J2346:J2350)),AVERAGE('20250815_ETF_Options_Exhibits'!J2346:J2350),"")</f>
        <v/>
      </c>
      <c r="K2350" s="3">
        <f>IF(ISNUMBER(AVERAGE('20250815_ETF_Options_Exhibits'!K2346:K2350)),AVERAGE('20250815_ETF_Options_Exhibits'!K2346:K2350),"")</f>
        <v/>
      </c>
      <c r="L2350" s="3">
        <f>IF(ISNUMBER(AVERAGE('20250815_ETF_Options_Exhibits'!L2346:L2350)),AVERAGE('20250815_ETF_Options_Exhibits'!L2346:L2350),"")</f>
        <v/>
      </c>
      <c r="M2350" s="3">
        <f>IF(ISNUMBER(AVERAGE('20250815_ETF_Options_Exhibits'!M2346:M2350)),AVERAGE('20250815_ETF_Options_Exhibits'!M2346:M2350),"")</f>
        <v/>
      </c>
      <c r="N2350" s="3">
        <f>IF(ISNUMBER(AVERAGE('20250815_ETF_Options_Exhibits'!N2346:N2350)),AVERAGE('20250815_ETF_Options_Exhibits'!N2346:N2350),"")</f>
        <v/>
      </c>
      <c r="O2350" s="3">
        <f>IF(ISNUMBER(AVERAGE('20250815_ETF_Options_Exhibits'!O2346:O2350)),AVERAGE('20250815_ETF_Options_Exhibits'!O2346:O2350),"")</f>
        <v/>
      </c>
      <c r="P2350" s="3">
        <f>IF(ISNUMBER(AVERAGE('20250815_ETF_Options_Exhibits'!P2346:P2350)),AVERAGE('20250815_ETF_Options_Exhibits'!P2346:P2350),"")</f>
        <v/>
      </c>
      <c r="Q2350" s="3">
        <f>IF(ISNUMBER(AVERAGE('20250815_ETF_Options_Exhibits'!Q2346:Q2350)),AVERAGE('20250815_ETF_Options_Exhibits'!Q2346:Q2350),"")</f>
        <v/>
      </c>
      <c r="R2350" s="3">
        <f>IF(ISNUMBER(AVERAGE('20250815_ETF_Options_Exhibits'!R2346:R2350)),AVERAGE('20250815_ETF_Options_Exhibits'!R2346:R2350),"")</f>
        <v/>
      </c>
      <c r="S2350" s="3">
        <f>IF(ISNUMBER(AVERAGE('20250815_ETF_Options_Exhibits'!S2346:S2350)),AVERAGE('20250815_ETF_Options_Exhibits'!S2346:S2350),"")</f>
        <v/>
      </c>
      <c r="T2350" s="3">
        <f>IF(ISNUMBER(AVERAGE('20250815_ETF_Options_Exhibits'!T2346:T2350)),AVERAGE('20250815_ETF_Options_Exhibits'!T2346:T2350),"")</f>
        <v/>
      </c>
      <c r="U2350" s="3">
        <f>IF(ISNUMBER(AVERAGE('20250815_ETF_Options_Exhibits'!U2346:U2350)),AVERAGE('20250815_ETF_Options_Exhibits'!U2346:U2350),"")</f>
        <v/>
      </c>
      <c r="V2350" s="3">
        <f>IF(ISNUMBER(AVERAGE('20250815_ETF_Options_Exhibits'!V2346:V2350)),AVERAGE('20250815_ETF_Options_Exhibits'!V2346:V2350),"")</f>
        <v/>
      </c>
      <c r="W2350" s="3">
        <f>IF(ISNUMBER(AVERAGE('20250815_ETF_Options_Exhibits'!W2346:W2350)),AVERAGE('20250815_ETF_Options_Exhibits'!W2346:W2350),"")</f>
        <v/>
      </c>
      <c r="X2350" s="3">
        <f>IF(ISNUMBER(AVERAGE('20250815_ETF_Options_Exhibits'!X2346:X2350)),AVERAGE('20250815_ETF_Options_Exhibits'!X2346:X2350),"")</f>
        <v/>
      </c>
      <c r="Y2350" s="3">
        <f>IF(ISNUMBER(AVERAGE('20250815_ETF_Options_Exhibits'!Y2346:Y2350)),AVERAGE('20250815_ETF_Options_Exhibits'!Y2346:Y2350),"")</f>
        <v/>
      </c>
      <c r="Z2350" s="3">
        <f>IF(ISNUMBER(AVERAGE('20250815_ETF_Options_Exhibits'!Z2346:Z2350)),AVERAGE('20250815_ETF_Options_Exhibits'!Z2346:Z2350),"")</f>
        <v/>
      </c>
      <c r="AA2350" s="3">
        <f>IF(ISNUMBER(AVERAGE('20250815_ETF_Options_Exhibits'!AA2346:AA2350)),AVERAGE('20250815_ETF_Options_Exhibits'!AA2346:AA2350),"")</f>
        <v/>
      </c>
    </row>
    <row r="2351">
      <c r="A2351" s="1" t="n">
        <v>45414</v>
      </c>
      <c r="B2351" s="3">
        <f>IF(ISNUMBER(AVERAGE('20250815_ETF_Options_Exhibits'!B2347:B2351)),AVERAGE('20250815_ETF_Options_Exhibits'!B2347:B2351),"")</f>
        <v/>
      </c>
      <c r="C2351" s="3">
        <f>IF(ISNUMBER(AVERAGE('20250815_ETF_Options_Exhibits'!C2347:C2351)),AVERAGE('20250815_ETF_Options_Exhibits'!C2347:C2351),"")</f>
        <v/>
      </c>
      <c r="D2351" s="3">
        <f>IF(ISNUMBER(AVERAGE('20250815_ETF_Options_Exhibits'!D2347:D2351)),AVERAGE('20250815_ETF_Options_Exhibits'!D2347:D2351),"")</f>
        <v/>
      </c>
      <c r="E2351" s="3">
        <f>IF(ISNUMBER(AVERAGE('20250815_ETF_Options_Exhibits'!E2347:E2351)),AVERAGE('20250815_ETF_Options_Exhibits'!E2347:E2351),"")</f>
        <v/>
      </c>
      <c r="F2351" s="3">
        <f>IF(ISNUMBER(AVERAGE('20250815_ETF_Options_Exhibits'!F2347:F2351)),AVERAGE('20250815_ETF_Options_Exhibits'!F2347:F2351),"")</f>
        <v/>
      </c>
      <c r="G2351" s="3">
        <f>IF(ISNUMBER(AVERAGE('20250815_ETF_Options_Exhibits'!G2347:G2351)),AVERAGE('20250815_ETF_Options_Exhibits'!G2347:G2351),"")</f>
        <v/>
      </c>
      <c r="H2351" s="3">
        <f>IF(ISNUMBER(AVERAGE('20250815_ETF_Options_Exhibits'!H2347:H2351)),AVERAGE('20250815_ETF_Options_Exhibits'!H2347:H2351),"")</f>
        <v/>
      </c>
      <c r="I2351" s="3">
        <f>IF(ISNUMBER(AVERAGE('20250815_ETF_Options_Exhibits'!I2347:I2351)),AVERAGE('20250815_ETF_Options_Exhibits'!I2347:I2351),"")</f>
        <v/>
      </c>
      <c r="J2351" s="3">
        <f>IF(ISNUMBER(AVERAGE('20250815_ETF_Options_Exhibits'!J2347:J2351)),AVERAGE('20250815_ETF_Options_Exhibits'!J2347:J2351),"")</f>
        <v/>
      </c>
      <c r="K2351" s="3">
        <f>IF(ISNUMBER(AVERAGE('20250815_ETF_Options_Exhibits'!K2347:K2351)),AVERAGE('20250815_ETF_Options_Exhibits'!K2347:K2351),"")</f>
        <v/>
      </c>
      <c r="L2351" s="3">
        <f>IF(ISNUMBER(AVERAGE('20250815_ETF_Options_Exhibits'!L2347:L2351)),AVERAGE('20250815_ETF_Options_Exhibits'!L2347:L2351),"")</f>
        <v/>
      </c>
      <c r="M2351" s="3">
        <f>IF(ISNUMBER(AVERAGE('20250815_ETF_Options_Exhibits'!M2347:M2351)),AVERAGE('20250815_ETF_Options_Exhibits'!M2347:M2351),"")</f>
        <v/>
      </c>
      <c r="N2351" s="3">
        <f>IF(ISNUMBER(AVERAGE('20250815_ETF_Options_Exhibits'!N2347:N2351)),AVERAGE('20250815_ETF_Options_Exhibits'!N2347:N2351),"")</f>
        <v/>
      </c>
      <c r="O2351" s="3">
        <f>IF(ISNUMBER(AVERAGE('20250815_ETF_Options_Exhibits'!O2347:O2351)),AVERAGE('20250815_ETF_Options_Exhibits'!O2347:O2351),"")</f>
        <v/>
      </c>
      <c r="P2351" s="3">
        <f>IF(ISNUMBER(AVERAGE('20250815_ETF_Options_Exhibits'!P2347:P2351)),AVERAGE('20250815_ETF_Options_Exhibits'!P2347:P2351),"")</f>
        <v/>
      </c>
      <c r="Q2351" s="3">
        <f>IF(ISNUMBER(AVERAGE('20250815_ETF_Options_Exhibits'!Q2347:Q2351)),AVERAGE('20250815_ETF_Options_Exhibits'!Q2347:Q2351),"")</f>
        <v/>
      </c>
      <c r="R2351" s="3">
        <f>IF(ISNUMBER(AVERAGE('20250815_ETF_Options_Exhibits'!R2347:R2351)),AVERAGE('20250815_ETF_Options_Exhibits'!R2347:R2351),"")</f>
        <v/>
      </c>
      <c r="S2351" s="3">
        <f>IF(ISNUMBER(AVERAGE('20250815_ETF_Options_Exhibits'!S2347:S2351)),AVERAGE('20250815_ETF_Options_Exhibits'!S2347:S2351),"")</f>
        <v/>
      </c>
      <c r="T2351" s="3">
        <f>IF(ISNUMBER(AVERAGE('20250815_ETF_Options_Exhibits'!T2347:T2351)),AVERAGE('20250815_ETF_Options_Exhibits'!T2347:T2351),"")</f>
        <v/>
      </c>
      <c r="U2351" s="3">
        <f>IF(ISNUMBER(AVERAGE('20250815_ETF_Options_Exhibits'!U2347:U2351)),AVERAGE('20250815_ETF_Options_Exhibits'!U2347:U2351),"")</f>
        <v/>
      </c>
      <c r="V2351" s="3">
        <f>IF(ISNUMBER(AVERAGE('20250815_ETF_Options_Exhibits'!V2347:V2351)),AVERAGE('20250815_ETF_Options_Exhibits'!V2347:V2351),"")</f>
        <v/>
      </c>
      <c r="W2351" s="3">
        <f>IF(ISNUMBER(AVERAGE('20250815_ETF_Options_Exhibits'!W2347:W2351)),AVERAGE('20250815_ETF_Options_Exhibits'!W2347:W2351),"")</f>
        <v/>
      </c>
      <c r="X2351" s="3">
        <f>IF(ISNUMBER(AVERAGE('20250815_ETF_Options_Exhibits'!X2347:X2351)),AVERAGE('20250815_ETF_Options_Exhibits'!X2347:X2351),"")</f>
        <v/>
      </c>
      <c r="Y2351" s="3">
        <f>IF(ISNUMBER(AVERAGE('20250815_ETF_Options_Exhibits'!Y2347:Y2351)),AVERAGE('20250815_ETF_Options_Exhibits'!Y2347:Y2351),"")</f>
        <v/>
      </c>
      <c r="Z2351" s="3">
        <f>IF(ISNUMBER(AVERAGE('20250815_ETF_Options_Exhibits'!Z2347:Z2351)),AVERAGE('20250815_ETF_Options_Exhibits'!Z2347:Z2351),"")</f>
        <v/>
      </c>
      <c r="AA2351" s="3">
        <f>IF(ISNUMBER(AVERAGE('20250815_ETF_Options_Exhibits'!AA2347:AA2351)),AVERAGE('20250815_ETF_Options_Exhibits'!AA2347:AA2351),"")</f>
        <v/>
      </c>
    </row>
    <row r="2352">
      <c r="A2352" s="1" t="n">
        <v>45415</v>
      </c>
      <c r="B2352" s="3">
        <f>IF(ISNUMBER(AVERAGE('20250815_ETF_Options_Exhibits'!B2348:B2352)),AVERAGE('20250815_ETF_Options_Exhibits'!B2348:B2352),"")</f>
        <v/>
      </c>
      <c r="C2352" s="3">
        <f>IF(ISNUMBER(AVERAGE('20250815_ETF_Options_Exhibits'!C2348:C2352)),AVERAGE('20250815_ETF_Options_Exhibits'!C2348:C2352),"")</f>
        <v/>
      </c>
      <c r="D2352" s="3">
        <f>IF(ISNUMBER(AVERAGE('20250815_ETF_Options_Exhibits'!D2348:D2352)),AVERAGE('20250815_ETF_Options_Exhibits'!D2348:D2352),"")</f>
        <v/>
      </c>
      <c r="E2352" s="3">
        <f>IF(ISNUMBER(AVERAGE('20250815_ETF_Options_Exhibits'!E2348:E2352)),AVERAGE('20250815_ETF_Options_Exhibits'!E2348:E2352),"")</f>
        <v/>
      </c>
      <c r="F2352" s="3">
        <f>IF(ISNUMBER(AVERAGE('20250815_ETF_Options_Exhibits'!F2348:F2352)),AVERAGE('20250815_ETF_Options_Exhibits'!F2348:F2352),"")</f>
        <v/>
      </c>
      <c r="G2352" s="3">
        <f>IF(ISNUMBER(AVERAGE('20250815_ETF_Options_Exhibits'!G2348:G2352)),AVERAGE('20250815_ETF_Options_Exhibits'!G2348:G2352),"")</f>
        <v/>
      </c>
      <c r="H2352" s="3">
        <f>IF(ISNUMBER(AVERAGE('20250815_ETF_Options_Exhibits'!H2348:H2352)),AVERAGE('20250815_ETF_Options_Exhibits'!H2348:H2352),"")</f>
        <v/>
      </c>
      <c r="I2352" s="3">
        <f>IF(ISNUMBER(AVERAGE('20250815_ETF_Options_Exhibits'!I2348:I2352)),AVERAGE('20250815_ETF_Options_Exhibits'!I2348:I2352),"")</f>
        <v/>
      </c>
      <c r="J2352" s="3">
        <f>IF(ISNUMBER(AVERAGE('20250815_ETF_Options_Exhibits'!J2348:J2352)),AVERAGE('20250815_ETF_Options_Exhibits'!J2348:J2352),"")</f>
        <v/>
      </c>
      <c r="K2352" s="3">
        <f>IF(ISNUMBER(AVERAGE('20250815_ETF_Options_Exhibits'!K2348:K2352)),AVERAGE('20250815_ETF_Options_Exhibits'!K2348:K2352),"")</f>
        <v/>
      </c>
      <c r="L2352" s="3">
        <f>IF(ISNUMBER(AVERAGE('20250815_ETF_Options_Exhibits'!L2348:L2352)),AVERAGE('20250815_ETF_Options_Exhibits'!L2348:L2352),"")</f>
        <v/>
      </c>
      <c r="M2352" s="3">
        <f>IF(ISNUMBER(AVERAGE('20250815_ETF_Options_Exhibits'!M2348:M2352)),AVERAGE('20250815_ETF_Options_Exhibits'!M2348:M2352),"")</f>
        <v/>
      </c>
      <c r="N2352" s="3">
        <f>IF(ISNUMBER(AVERAGE('20250815_ETF_Options_Exhibits'!N2348:N2352)),AVERAGE('20250815_ETF_Options_Exhibits'!N2348:N2352),"")</f>
        <v/>
      </c>
      <c r="O2352" s="3">
        <f>IF(ISNUMBER(AVERAGE('20250815_ETF_Options_Exhibits'!O2348:O2352)),AVERAGE('20250815_ETF_Options_Exhibits'!O2348:O2352),"")</f>
        <v/>
      </c>
      <c r="P2352" s="3">
        <f>IF(ISNUMBER(AVERAGE('20250815_ETF_Options_Exhibits'!P2348:P2352)),AVERAGE('20250815_ETF_Options_Exhibits'!P2348:P2352),"")</f>
        <v/>
      </c>
      <c r="Q2352" s="3">
        <f>IF(ISNUMBER(AVERAGE('20250815_ETF_Options_Exhibits'!Q2348:Q2352)),AVERAGE('20250815_ETF_Options_Exhibits'!Q2348:Q2352),"")</f>
        <v/>
      </c>
      <c r="R2352" s="3">
        <f>IF(ISNUMBER(AVERAGE('20250815_ETF_Options_Exhibits'!R2348:R2352)),AVERAGE('20250815_ETF_Options_Exhibits'!R2348:R2352),"")</f>
        <v/>
      </c>
      <c r="S2352" s="3">
        <f>IF(ISNUMBER(AVERAGE('20250815_ETF_Options_Exhibits'!S2348:S2352)),AVERAGE('20250815_ETF_Options_Exhibits'!S2348:S2352),"")</f>
        <v/>
      </c>
      <c r="T2352" s="3">
        <f>IF(ISNUMBER(AVERAGE('20250815_ETF_Options_Exhibits'!T2348:T2352)),AVERAGE('20250815_ETF_Options_Exhibits'!T2348:T2352),"")</f>
        <v/>
      </c>
      <c r="U2352" s="3">
        <f>IF(ISNUMBER(AVERAGE('20250815_ETF_Options_Exhibits'!U2348:U2352)),AVERAGE('20250815_ETF_Options_Exhibits'!U2348:U2352),"")</f>
        <v/>
      </c>
      <c r="V2352" s="3">
        <f>IF(ISNUMBER(AVERAGE('20250815_ETF_Options_Exhibits'!V2348:V2352)),AVERAGE('20250815_ETF_Options_Exhibits'!V2348:V2352),"")</f>
        <v/>
      </c>
      <c r="W2352" s="3">
        <f>IF(ISNUMBER(AVERAGE('20250815_ETF_Options_Exhibits'!W2348:W2352)),AVERAGE('20250815_ETF_Options_Exhibits'!W2348:W2352),"")</f>
        <v/>
      </c>
      <c r="X2352" s="3">
        <f>IF(ISNUMBER(AVERAGE('20250815_ETF_Options_Exhibits'!X2348:X2352)),AVERAGE('20250815_ETF_Options_Exhibits'!X2348:X2352),"")</f>
        <v/>
      </c>
      <c r="Y2352" s="3">
        <f>IF(ISNUMBER(AVERAGE('20250815_ETF_Options_Exhibits'!Y2348:Y2352)),AVERAGE('20250815_ETF_Options_Exhibits'!Y2348:Y2352),"")</f>
        <v/>
      </c>
      <c r="Z2352" s="3">
        <f>IF(ISNUMBER(AVERAGE('20250815_ETF_Options_Exhibits'!Z2348:Z2352)),AVERAGE('20250815_ETF_Options_Exhibits'!Z2348:Z2352),"")</f>
        <v/>
      </c>
      <c r="AA2352" s="3">
        <f>IF(ISNUMBER(AVERAGE('20250815_ETF_Options_Exhibits'!AA2348:AA2352)),AVERAGE('20250815_ETF_Options_Exhibits'!AA2348:AA2352),"")</f>
        <v/>
      </c>
    </row>
    <row r="2353">
      <c r="A2353" s="1" t="n">
        <v>45418</v>
      </c>
      <c r="B2353" s="3">
        <f>IF(ISNUMBER(AVERAGE('20250815_ETF_Options_Exhibits'!B2349:B2353)),AVERAGE('20250815_ETF_Options_Exhibits'!B2349:B2353),"")</f>
        <v/>
      </c>
      <c r="C2353" s="3">
        <f>IF(ISNUMBER(AVERAGE('20250815_ETF_Options_Exhibits'!C2349:C2353)),AVERAGE('20250815_ETF_Options_Exhibits'!C2349:C2353),"")</f>
        <v/>
      </c>
      <c r="D2353" s="3">
        <f>IF(ISNUMBER(AVERAGE('20250815_ETF_Options_Exhibits'!D2349:D2353)),AVERAGE('20250815_ETF_Options_Exhibits'!D2349:D2353),"")</f>
        <v/>
      </c>
      <c r="E2353" s="3">
        <f>IF(ISNUMBER(AVERAGE('20250815_ETF_Options_Exhibits'!E2349:E2353)),AVERAGE('20250815_ETF_Options_Exhibits'!E2349:E2353),"")</f>
        <v/>
      </c>
      <c r="F2353" s="3">
        <f>IF(ISNUMBER(AVERAGE('20250815_ETF_Options_Exhibits'!F2349:F2353)),AVERAGE('20250815_ETF_Options_Exhibits'!F2349:F2353),"")</f>
        <v/>
      </c>
      <c r="G2353" s="3">
        <f>IF(ISNUMBER(AVERAGE('20250815_ETF_Options_Exhibits'!G2349:G2353)),AVERAGE('20250815_ETF_Options_Exhibits'!G2349:G2353),"")</f>
        <v/>
      </c>
      <c r="H2353" s="3">
        <f>IF(ISNUMBER(AVERAGE('20250815_ETF_Options_Exhibits'!H2349:H2353)),AVERAGE('20250815_ETF_Options_Exhibits'!H2349:H2353),"")</f>
        <v/>
      </c>
      <c r="I2353" s="3">
        <f>IF(ISNUMBER(AVERAGE('20250815_ETF_Options_Exhibits'!I2349:I2353)),AVERAGE('20250815_ETF_Options_Exhibits'!I2349:I2353),"")</f>
        <v/>
      </c>
      <c r="J2353" s="3">
        <f>IF(ISNUMBER(AVERAGE('20250815_ETF_Options_Exhibits'!J2349:J2353)),AVERAGE('20250815_ETF_Options_Exhibits'!J2349:J2353),"")</f>
        <v/>
      </c>
      <c r="K2353" s="3">
        <f>IF(ISNUMBER(AVERAGE('20250815_ETF_Options_Exhibits'!K2349:K2353)),AVERAGE('20250815_ETF_Options_Exhibits'!K2349:K2353),"")</f>
        <v/>
      </c>
      <c r="L2353" s="3">
        <f>IF(ISNUMBER(AVERAGE('20250815_ETF_Options_Exhibits'!L2349:L2353)),AVERAGE('20250815_ETF_Options_Exhibits'!L2349:L2353),"")</f>
        <v/>
      </c>
      <c r="M2353" s="3">
        <f>IF(ISNUMBER(AVERAGE('20250815_ETF_Options_Exhibits'!M2349:M2353)),AVERAGE('20250815_ETF_Options_Exhibits'!M2349:M2353),"")</f>
        <v/>
      </c>
      <c r="N2353" s="3">
        <f>IF(ISNUMBER(AVERAGE('20250815_ETF_Options_Exhibits'!N2349:N2353)),AVERAGE('20250815_ETF_Options_Exhibits'!N2349:N2353),"")</f>
        <v/>
      </c>
      <c r="O2353" s="3">
        <f>IF(ISNUMBER(AVERAGE('20250815_ETF_Options_Exhibits'!O2349:O2353)),AVERAGE('20250815_ETF_Options_Exhibits'!O2349:O2353),"")</f>
        <v/>
      </c>
      <c r="P2353" s="3">
        <f>IF(ISNUMBER(AVERAGE('20250815_ETF_Options_Exhibits'!P2349:P2353)),AVERAGE('20250815_ETF_Options_Exhibits'!P2349:P2353),"")</f>
        <v/>
      </c>
      <c r="Q2353" s="3">
        <f>IF(ISNUMBER(AVERAGE('20250815_ETF_Options_Exhibits'!Q2349:Q2353)),AVERAGE('20250815_ETF_Options_Exhibits'!Q2349:Q2353),"")</f>
        <v/>
      </c>
      <c r="R2353" s="3">
        <f>IF(ISNUMBER(AVERAGE('20250815_ETF_Options_Exhibits'!R2349:R2353)),AVERAGE('20250815_ETF_Options_Exhibits'!R2349:R2353),"")</f>
        <v/>
      </c>
      <c r="S2353" s="3">
        <f>IF(ISNUMBER(AVERAGE('20250815_ETF_Options_Exhibits'!S2349:S2353)),AVERAGE('20250815_ETF_Options_Exhibits'!S2349:S2353),"")</f>
        <v/>
      </c>
      <c r="T2353" s="3">
        <f>IF(ISNUMBER(AVERAGE('20250815_ETF_Options_Exhibits'!T2349:T2353)),AVERAGE('20250815_ETF_Options_Exhibits'!T2349:T2353),"")</f>
        <v/>
      </c>
      <c r="U2353" s="3">
        <f>IF(ISNUMBER(AVERAGE('20250815_ETF_Options_Exhibits'!U2349:U2353)),AVERAGE('20250815_ETF_Options_Exhibits'!U2349:U2353),"")</f>
        <v/>
      </c>
      <c r="V2353" s="3">
        <f>IF(ISNUMBER(AVERAGE('20250815_ETF_Options_Exhibits'!V2349:V2353)),AVERAGE('20250815_ETF_Options_Exhibits'!V2349:V2353),"")</f>
        <v/>
      </c>
      <c r="W2353" s="3">
        <f>IF(ISNUMBER(AVERAGE('20250815_ETF_Options_Exhibits'!W2349:W2353)),AVERAGE('20250815_ETF_Options_Exhibits'!W2349:W2353),"")</f>
        <v/>
      </c>
      <c r="X2353" s="3">
        <f>IF(ISNUMBER(AVERAGE('20250815_ETF_Options_Exhibits'!X2349:X2353)),AVERAGE('20250815_ETF_Options_Exhibits'!X2349:X2353),"")</f>
        <v/>
      </c>
      <c r="Y2353" s="3">
        <f>IF(ISNUMBER(AVERAGE('20250815_ETF_Options_Exhibits'!Y2349:Y2353)),AVERAGE('20250815_ETF_Options_Exhibits'!Y2349:Y2353),"")</f>
        <v/>
      </c>
      <c r="Z2353" s="3">
        <f>IF(ISNUMBER(AVERAGE('20250815_ETF_Options_Exhibits'!Z2349:Z2353)),AVERAGE('20250815_ETF_Options_Exhibits'!Z2349:Z2353),"")</f>
        <v/>
      </c>
      <c r="AA2353" s="3">
        <f>IF(ISNUMBER(AVERAGE('20250815_ETF_Options_Exhibits'!AA2349:AA2353)),AVERAGE('20250815_ETF_Options_Exhibits'!AA2349:AA2353),"")</f>
        <v/>
      </c>
    </row>
    <row r="2354">
      <c r="A2354" s="1" t="n">
        <v>45419</v>
      </c>
      <c r="B2354" s="3">
        <f>IF(ISNUMBER(AVERAGE('20250815_ETF_Options_Exhibits'!B2350:B2354)),AVERAGE('20250815_ETF_Options_Exhibits'!B2350:B2354),"")</f>
        <v/>
      </c>
      <c r="C2354" s="3">
        <f>IF(ISNUMBER(AVERAGE('20250815_ETF_Options_Exhibits'!C2350:C2354)),AVERAGE('20250815_ETF_Options_Exhibits'!C2350:C2354),"")</f>
        <v/>
      </c>
      <c r="D2354" s="3">
        <f>IF(ISNUMBER(AVERAGE('20250815_ETF_Options_Exhibits'!D2350:D2354)),AVERAGE('20250815_ETF_Options_Exhibits'!D2350:D2354),"")</f>
        <v/>
      </c>
      <c r="E2354" s="3">
        <f>IF(ISNUMBER(AVERAGE('20250815_ETF_Options_Exhibits'!E2350:E2354)),AVERAGE('20250815_ETF_Options_Exhibits'!E2350:E2354),"")</f>
        <v/>
      </c>
      <c r="F2354" s="3">
        <f>IF(ISNUMBER(AVERAGE('20250815_ETF_Options_Exhibits'!F2350:F2354)),AVERAGE('20250815_ETF_Options_Exhibits'!F2350:F2354),"")</f>
        <v/>
      </c>
      <c r="G2354" s="3">
        <f>IF(ISNUMBER(AVERAGE('20250815_ETF_Options_Exhibits'!G2350:G2354)),AVERAGE('20250815_ETF_Options_Exhibits'!G2350:G2354),"")</f>
        <v/>
      </c>
      <c r="H2354" s="3">
        <f>IF(ISNUMBER(AVERAGE('20250815_ETF_Options_Exhibits'!H2350:H2354)),AVERAGE('20250815_ETF_Options_Exhibits'!H2350:H2354),"")</f>
        <v/>
      </c>
      <c r="I2354" s="3">
        <f>IF(ISNUMBER(AVERAGE('20250815_ETF_Options_Exhibits'!I2350:I2354)),AVERAGE('20250815_ETF_Options_Exhibits'!I2350:I2354),"")</f>
        <v/>
      </c>
      <c r="J2354" s="3">
        <f>IF(ISNUMBER(AVERAGE('20250815_ETF_Options_Exhibits'!J2350:J2354)),AVERAGE('20250815_ETF_Options_Exhibits'!J2350:J2354),"")</f>
        <v/>
      </c>
      <c r="K2354" s="3">
        <f>IF(ISNUMBER(AVERAGE('20250815_ETF_Options_Exhibits'!K2350:K2354)),AVERAGE('20250815_ETF_Options_Exhibits'!K2350:K2354),"")</f>
        <v/>
      </c>
      <c r="L2354" s="3">
        <f>IF(ISNUMBER(AVERAGE('20250815_ETF_Options_Exhibits'!L2350:L2354)),AVERAGE('20250815_ETF_Options_Exhibits'!L2350:L2354),"")</f>
        <v/>
      </c>
      <c r="M2354" s="3">
        <f>IF(ISNUMBER(AVERAGE('20250815_ETF_Options_Exhibits'!M2350:M2354)),AVERAGE('20250815_ETF_Options_Exhibits'!M2350:M2354),"")</f>
        <v/>
      </c>
      <c r="N2354" s="3">
        <f>IF(ISNUMBER(AVERAGE('20250815_ETF_Options_Exhibits'!N2350:N2354)),AVERAGE('20250815_ETF_Options_Exhibits'!N2350:N2354),"")</f>
        <v/>
      </c>
      <c r="O2354" s="3">
        <f>IF(ISNUMBER(AVERAGE('20250815_ETF_Options_Exhibits'!O2350:O2354)),AVERAGE('20250815_ETF_Options_Exhibits'!O2350:O2354),"")</f>
        <v/>
      </c>
      <c r="P2354" s="3">
        <f>IF(ISNUMBER(AVERAGE('20250815_ETF_Options_Exhibits'!P2350:P2354)),AVERAGE('20250815_ETF_Options_Exhibits'!P2350:P2354),"")</f>
        <v/>
      </c>
      <c r="Q2354" s="3">
        <f>IF(ISNUMBER(AVERAGE('20250815_ETF_Options_Exhibits'!Q2350:Q2354)),AVERAGE('20250815_ETF_Options_Exhibits'!Q2350:Q2354),"")</f>
        <v/>
      </c>
      <c r="R2354" s="3">
        <f>IF(ISNUMBER(AVERAGE('20250815_ETF_Options_Exhibits'!R2350:R2354)),AVERAGE('20250815_ETF_Options_Exhibits'!R2350:R2354),"")</f>
        <v/>
      </c>
      <c r="S2354" s="3">
        <f>IF(ISNUMBER(AVERAGE('20250815_ETF_Options_Exhibits'!S2350:S2354)),AVERAGE('20250815_ETF_Options_Exhibits'!S2350:S2354),"")</f>
        <v/>
      </c>
      <c r="T2354" s="3">
        <f>IF(ISNUMBER(AVERAGE('20250815_ETF_Options_Exhibits'!T2350:T2354)),AVERAGE('20250815_ETF_Options_Exhibits'!T2350:T2354),"")</f>
        <v/>
      </c>
      <c r="U2354" s="3">
        <f>IF(ISNUMBER(AVERAGE('20250815_ETF_Options_Exhibits'!U2350:U2354)),AVERAGE('20250815_ETF_Options_Exhibits'!U2350:U2354),"")</f>
        <v/>
      </c>
      <c r="V2354" s="3">
        <f>IF(ISNUMBER(AVERAGE('20250815_ETF_Options_Exhibits'!V2350:V2354)),AVERAGE('20250815_ETF_Options_Exhibits'!V2350:V2354),"")</f>
        <v/>
      </c>
      <c r="W2354" s="3">
        <f>IF(ISNUMBER(AVERAGE('20250815_ETF_Options_Exhibits'!W2350:W2354)),AVERAGE('20250815_ETF_Options_Exhibits'!W2350:W2354),"")</f>
        <v/>
      </c>
      <c r="X2354" s="3">
        <f>IF(ISNUMBER(AVERAGE('20250815_ETF_Options_Exhibits'!X2350:X2354)),AVERAGE('20250815_ETF_Options_Exhibits'!X2350:X2354),"")</f>
        <v/>
      </c>
      <c r="Y2354" s="3">
        <f>IF(ISNUMBER(AVERAGE('20250815_ETF_Options_Exhibits'!Y2350:Y2354)),AVERAGE('20250815_ETF_Options_Exhibits'!Y2350:Y2354),"")</f>
        <v/>
      </c>
      <c r="Z2354" s="3">
        <f>IF(ISNUMBER(AVERAGE('20250815_ETF_Options_Exhibits'!Z2350:Z2354)),AVERAGE('20250815_ETF_Options_Exhibits'!Z2350:Z2354),"")</f>
        <v/>
      </c>
      <c r="AA2354" s="3">
        <f>IF(ISNUMBER(AVERAGE('20250815_ETF_Options_Exhibits'!AA2350:AA2354)),AVERAGE('20250815_ETF_Options_Exhibits'!AA2350:AA2354),"")</f>
        <v/>
      </c>
    </row>
    <row r="2355">
      <c r="A2355" s="1" t="n">
        <v>45420</v>
      </c>
      <c r="B2355" s="3">
        <f>IF(ISNUMBER(AVERAGE('20250815_ETF_Options_Exhibits'!B2351:B2355)),AVERAGE('20250815_ETF_Options_Exhibits'!B2351:B2355),"")</f>
        <v/>
      </c>
      <c r="C2355" s="3">
        <f>IF(ISNUMBER(AVERAGE('20250815_ETF_Options_Exhibits'!C2351:C2355)),AVERAGE('20250815_ETF_Options_Exhibits'!C2351:C2355),"")</f>
        <v/>
      </c>
      <c r="D2355" s="3">
        <f>IF(ISNUMBER(AVERAGE('20250815_ETF_Options_Exhibits'!D2351:D2355)),AVERAGE('20250815_ETF_Options_Exhibits'!D2351:D2355),"")</f>
        <v/>
      </c>
      <c r="E2355" s="3">
        <f>IF(ISNUMBER(AVERAGE('20250815_ETF_Options_Exhibits'!E2351:E2355)),AVERAGE('20250815_ETF_Options_Exhibits'!E2351:E2355),"")</f>
        <v/>
      </c>
      <c r="F2355" s="3">
        <f>IF(ISNUMBER(AVERAGE('20250815_ETF_Options_Exhibits'!F2351:F2355)),AVERAGE('20250815_ETF_Options_Exhibits'!F2351:F2355),"")</f>
        <v/>
      </c>
      <c r="G2355" s="3">
        <f>IF(ISNUMBER(AVERAGE('20250815_ETF_Options_Exhibits'!G2351:G2355)),AVERAGE('20250815_ETF_Options_Exhibits'!G2351:G2355),"")</f>
        <v/>
      </c>
      <c r="H2355" s="3">
        <f>IF(ISNUMBER(AVERAGE('20250815_ETF_Options_Exhibits'!H2351:H2355)),AVERAGE('20250815_ETF_Options_Exhibits'!H2351:H2355),"")</f>
        <v/>
      </c>
      <c r="I2355" s="3">
        <f>IF(ISNUMBER(AVERAGE('20250815_ETF_Options_Exhibits'!I2351:I2355)),AVERAGE('20250815_ETF_Options_Exhibits'!I2351:I2355),"")</f>
        <v/>
      </c>
      <c r="J2355" s="3">
        <f>IF(ISNUMBER(AVERAGE('20250815_ETF_Options_Exhibits'!J2351:J2355)),AVERAGE('20250815_ETF_Options_Exhibits'!J2351:J2355),"")</f>
        <v/>
      </c>
      <c r="K2355" s="3">
        <f>IF(ISNUMBER(AVERAGE('20250815_ETF_Options_Exhibits'!K2351:K2355)),AVERAGE('20250815_ETF_Options_Exhibits'!K2351:K2355),"")</f>
        <v/>
      </c>
      <c r="L2355" s="3">
        <f>IF(ISNUMBER(AVERAGE('20250815_ETF_Options_Exhibits'!L2351:L2355)),AVERAGE('20250815_ETF_Options_Exhibits'!L2351:L2355),"")</f>
        <v/>
      </c>
      <c r="M2355" s="3">
        <f>IF(ISNUMBER(AVERAGE('20250815_ETF_Options_Exhibits'!M2351:M2355)),AVERAGE('20250815_ETF_Options_Exhibits'!M2351:M2355),"")</f>
        <v/>
      </c>
      <c r="N2355" s="3">
        <f>IF(ISNUMBER(AVERAGE('20250815_ETF_Options_Exhibits'!N2351:N2355)),AVERAGE('20250815_ETF_Options_Exhibits'!N2351:N2355),"")</f>
        <v/>
      </c>
      <c r="O2355" s="3">
        <f>IF(ISNUMBER(AVERAGE('20250815_ETF_Options_Exhibits'!O2351:O2355)),AVERAGE('20250815_ETF_Options_Exhibits'!O2351:O2355),"")</f>
        <v/>
      </c>
      <c r="P2355" s="3">
        <f>IF(ISNUMBER(AVERAGE('20250815_ETF_Options_Exhibits'!P2351:P2355)),AVERAGE('20250815_ETF_Options_Exhibits'!P2351:P2355),"")</f>
        <v/>
      </c>
      <c r="Q2355" s="3">
        <f>IF(ISNUMBER(AVERAGE('20250815_ETF_Options_Exhibits'!Q2351:Q2355)),AVERAGE('20250815_ETF_Options_Exhibits'!Q2351:Q2355),"")</f>
        <v/>
      </c>
      <c r="R2355" s="3">
        <f>IF(ISNUMBER(AVERAGE('20250815_ETF_Options_Exhibits'!R2351:R2355)),AVERAGE('20250815_ETF_Options_Exhibits'!R2351:R2355),"")</f>
        <v/>
      </c>
      <c r="S2355" s="3">
        <f>IF(ISNUMBER(AVERAGE('20250815_ETF_Options_Exhibits'!S2351:S2355)),AVERAGE('20250815_ETF_Options_Exhibits'!S2351:S2355),"")</f>
        <v/>
      </c>
      <c r="T2355" s="3">
        <f>IF(ISNUMBER(AVERAGE('20250815_ETF_Options_Exhibits'!T2351:T2355)),AVERAGE('20250815_ETF_Options_Exhibits'!T2351:T2355),"")</f>
        <v/>
      </c>
      <c r="U2355" s="3">
        <f>IF(ISNUMBER(AVERAGE('20250815_ETF_Options_Exhibits'!U2351:U2355)),AVERAGE('20250815_ETF_Options_Exhibits'!U2351:U2355),"")</f>
        <v/>
      </c>
      <c r="V2355" s="3">
        <f>IF(ISNUMBER(AVERAGE('20250815_ETF_Options_Exhibits'!V2351:V2355)),AVERAGE('20250815_ETF_Options_Exhibits'!V2351:V2355),"")</f>
        <v/>
      </c>
      <c r="W2355" s="3">
        <f>IF(ISNUMBER(AVERAGE('20250815_ETF_Options_Exhibits'!W2351:W2355)),AVERAGE('20250815_ETF_Options_Exhibits'!W2351:W2355),"")</f>
        <v/>
      </c>
      <c r="X2355" s="3">
        <f>IF(ISNUMBER(AVERAGE('20250815_ETF_Options_Exhibits'!X2351:X2355)),AVERAGE('20250815_ETF_Options_Exhibits'!X2351:X2355),"")</f>
        <v/>
      </c>
      <c r="Y2355" s="3">
        <f>IF(ISNUMBER(AVERAGE('20250815_ETF_Options_Exhibits'!Y2351:Y2355)),AVERAGE('20250815_ETF_Options_Exhibits'!Y2351:Y2355),"")</f>
        <v/>
      </c>
      <c r="Z2355" s="3">
        <f>IF(ISNUMBER(AVERAGE('20250815_ETF_Options_Exhibits'!Z2351:Z2355)),AVERAGE('20250815_ETF_Options_Exhibits'!Z2351:Z2355),"")</f>
        <v/>
      </c>
      <c r="AA2355" s="3">
        <f>IF(ISNUMBER(AVERAGE('20250815_ETF_Options_Exhibits'!AA2351:AA2355)),AVERAGE('20250815_ETF_Options_Exhibits'!AA2351:AA2355),"")</f>
        <v/>
      </c>
    </row>
    <row r="2356">
      <c r="A2356" s="1" t="n">
        <v>45421</v>
      </c>
      <c r="B2356" s="3">
        <f>IF(ISNUMBER(AVERAGE('20250815_ETF_Options_Exhibits'!B2352:B2356)),AVERAGE('20250815_ETF_Options_Exhibits'!B2352:B2356),"")</f>
        <v/>
      </c>
      <c r="C2356" s="3">
        <f>IF(ISNUMBER(AVERAGE('20250815_ETF_Options_Exhibits'!C2352:C2356)),AVERAGE('20250815_ETF_Options_Exhibits'!C2352:C2356),"")</f>
        <v/>
      </c>
      <c r="D2356" s="3">
        <f>IF(ISNUMBER(AVERAGE('20250815_ETF_Options_Exhibits'!D2352:D2356)),AVERAGE('20250815_ETF_Options_Exhibits'!D2352:D2356),"")</f>
        <v/>
      </c>
      <c r="E2356" s="3">
        <f>IF(ISNUMBER(AVERAGE('20250815_ETF_Options_Exhibits'!E2352:E2356)),AVERAGE('20250815_ETF_Options_Exhibits'!E2352:E2356),"")</f>
        <v/>
      </c>
      <c r="F2356" s="3">
        <f>IF(ISNUMBER(AVERAGE('20250815_ETF_Options_Exhibits'!F2352:F2356)),AVERAGE('20250815_ETF_Options_Exhibits'!F2352:F2356),"")</f>
        <v/>
      </c>
      <c r="G2356" s="3">
        <f>IF(ISNUMBER(AVERAGE('20250815_ETF_Options_Exhibits'!G2352:G2356)),AVERAGE('20250815_ETF_Options_Exhibits'!G2352:G2356),"")</f>
        <v/>
      </c>
      <c r="H2356" s="3">
        <f>IF(ISNUMBER(AVERAGE('20250815_ETF_Options_Exhibits'!H2352:H2356)),AVERAGE('20250815_ETF_Options_Exhibits'!H2352:H2356),"")</f>
        <v/>
      </c>
      <c r="I2356" s="3">
        <f>IF(ISNUMBER(AVERAGE('20250815_ETF_Options_Exhibits'!I2352:I2356)),AVERAGE('20250815_ETF_Options_Exhibits'!I2352:I2356),"")</f>
        <v/>
      </c>
      <c r="J2356" s="3">
        <f>IF(ISNUMBER(AVERAGE('20250815_ETF_Options_Exhibits'!J2352:J2356)),AVERAGE('20250815_ETF_Options_Exhibits'!J2352:J2356),"")</f>
        <v/>
      </c>
      <c r="K2356" s="3">
        <f>IF(ISNUMBER(AVERAGE('20250815_ETF_Options_Exhibits'!K2352:K2356)),AVERAGE('20250815_ETF_Options_Exhibits'!K2352:K2356),"")</f>
        <v/>
      </c>
      <c r="L2356" s="3">
        <f>IF(ISNUMBER(AVERAGE('20250815_ETF_Options_Exhibits'!L2352:L2356)),AVERAGE('20250815_ETF_Options_Exhibits'!L2352:L2356),"")</f>
        <v/>
      </c>
      <c r="M2356" s="3">
        <f>IF(ISNUMBER(AVERAGE('20250815_ETF_Options_Exhibits'!M2352:M2356)),AVERAGE('20250815_ETF_Options_Exhibits'!M2352:M2356),"")</f>
        <v/>
      </c>
      <c r="N2356" s="3">
        <f>IF(ISNUMBER(AVERAGE('20250815_ETF_Options_Exhibits'!N2352:N2356)),AVERAGE('20250815_ETF_Options_Exhibits'!N2352:N2356),"")</f>
        <v/>
      </c>
      <c r="O2356" s="3">
        <f>IF(ISNUMBER(AVERAGE('20250815_ETF_Options_Exhibits'!O2352:O2356)),AVERAGE('20250815_ETF_Options_Exhibits'!O2352:O2356),"")</f>
        <v/>
      </c>
      <c r="P2356" s="3">
        <f>IF(ISNUMBER(AVERAGE('20250815_ETF_Options_Exhibits'!P2352:P2356)),AVERAGE('20250815_ETF_Options_Exhibits'!P2352:P2356),"")</f>
        <v/>
      </c>
      <c r="Q2356" s="3">
        <f>IF(ISNUMBER(AVERAGE('20250815_ETF_Options_Exhibits'!Q2352:Q2356)),AVERAGE('20250815_ETF_Options_Exhibits'!Q2352:Q2356),"")</f>
        <v/>
      </c>
      <c r="R2356" s="3">
        <f>IF(ISNUMBER(AVERAGE('20250815_ETF_Options_Exhibits'!R2352:R2356)),AVERAGE('20250815_ETF_Options_Exhibits'!R2352:R2356),"")</f>
        <v/>
      </c>
      <c r="S2356" s="3">
        <f>IF(ISNUMBER(AVERAGE('20250815_ETF_Options_Exhibits'!S2352:S2356)),AVERAGE('20250815_ETF_Options_Exhibits'!S2352:S2356),"")</f>
        <v/>
      </c>
      <c r="T2356" s="3">
        <f>IF(ISNUMBER(AVERAGE('20250815_ETF_Options_Exhibits'!T2352:T2356)),AVERAGE('20250815_ETF_Options_Exhibits'!T2352:T2356),"")</f>
        <v/>
      </c>
      <c r="U2356" s="3">
        <f>IF(ISNUMBER(AVERAGE('20250815_ETF_Options_Exhibits'!U2352:U2356)),AVERAGE('20250815_ETF_Options_Exhibits'!U2352:U2356),"")</f>
        <v/>
      </c>
      <c r="V2356" s="3">
        <f>IF(ISNUMBER(AVERAGE('20250815_ETF_Options_Exhibits'!V2352:V2356)),AVERAGE('20250815_ETF_Options_Exhibits'!V2352:V2356),"")</f>
        <v/>
      </c>
      <c r="W2356" s="3">
        <f>IF(ISNUMBER(AVERAGE('20250815_ETF_Options_Exhibits'!W2352:W2356)),AVERAGE('20250815_ETF_Options_Exhibits'!W2352:W2356),"")</f>
        <v/>
      </c>
      <c r="X2356" s="3">
        <f>IF(ISNUMBER(AVERAGE('20250815_ETF_Options_Exhibits'!X2352:X2356)),AVERAGE('20250815_ETF_Options_Exhibits'!X2352:X2356),"")</f>
        <v/>
      </c>
      <c r="Y2356" s="3">
        <f>IF(ISNUMBER(AVERAGE('20250815_ETF_Options_Exhibits'!Y2352:Y2356)),AVERAGE('20250815_ETF_Options_Exhibits'!Y2352:Y2356),"")</f>
        <v/>
      </c>
      <c r="Z2356" s="3">
        <f>IF(ISNUMBER(AVERAGE('20250815_ETF_Options_Exhibits'!Z2352:Z2356)),AVERAGE('20250815_ETF_Options_Exhibits'!Z2352:Z2356),"")</f>
        <v/>
      </c>
      <c r="AA2356" s="3">
        <f>IF(ISNUMBER(AVERAGE('20250815_ETF_Options_Exhibits'!AA2352:AA2356)),AVERAGE('20250815_ETF_Options_Exhibits'!AA2352:AA2356),"")</f>
        <v/>
      </c>
    </row>
    <row r="2357">
      <c r="A2357" s="1" t="n">
        <v>45422</v>
      </c>
      <c r="B2357" s="3">
        <f>IF(ISNUMBER(AVERAGE('20250815_ETF_Options_Exhibits'!B2353:B2357)),AVERAGE('20250815_ETF_Options_Exhibits'!B2353:B2357),"")</f>
        <v/>
      </c>
      <c r="C2357" s="3">
        <f>IF(ISNUMBER(AVERAGE('20250815_ETF_Options_Exhibits'!C2353:C2357)),AVERAGE('20250815_ETF_Options_Exhibits'!C2353:C2357),"")</f>
        <v/>
      </c>
      <c r="D2357" s="3">
        <f>IF(ISNUMBER(AVERAGE('20250815_ETF_Options_Exhibits'!D2353:D2357)),AVERAGE('20250815_ETF_Options_Exhibits'!D2353:D2357),"")</f>
        <v/>
      </c>
      <c r="E2357" s="3">
        <f>IF(ISNUMBER(AVERAGE('20250815_ETF_Options_Exhibits'!E2353:E2357)),AVERAGE('20250815_ETF_Options_Exhibits'!E2353:E2357),"")</f>
        <v/>
      </c>
      <c r="F2357" s="3">
        <f>IF(ISNUMBER(AVERAGE('20250815_ETF_Options_Exhibits'!F2353:F2357)),AVERAGE('20250815_ETF_Options_Exhibits'!F2353:F2357),"")</f>
        <v/>
      </c>
      <c r="G2357" s="3">
        <f>IF(ISNUMBER(AVERAGE('20250815_ETF_Options_Exhibits'!G2353:G2357)),AVERAGE('20250815_ETF_Options_Exhibits'!G2353:G2357),"")</f>
        <v/>
      </c>
      <c r="H2357" s="3">
        <f>IF(ISNUMBER(AVERAGE('20250815_ETF_Options_Exhibits'!H2353:H2357)),AVERAGE('20250815_ETF_Options_Exhibits'!H2353:H2357),"")</f>
        <v/>
      </c>
      <c r="I2357" s="3">
        <f>IF(ISNUMBER(AVERAGE('20250815_ETF_Options_Exhibits'!I2353:I2357)),AVERAGE('20250815_ETF_Options_Exhibits'!I2353:I2357),"")</f>
        <v/>
      </c>
      <c r="J2357" s="3">
        <f>IF(ISNUMBER(AVERAGE('20250815_ETF_Options_Exhibits'!J2353:J2357)),AVERAGE('20250815_ETF_Options_Exhibits'!J2353:J2357),"")</f>
        <v/>
      </c>
      <c r="K2357" s="3">
        <f>IF(ISNUMBER(AVERAGE('20250815_ETF_Options_Exhibits'!K2353:K2357)),AVERAGE('20250815_ETF_Options_Exhibits'!K2353:K2357),"")</f>
        <v/>
      </c>
      <c r="L2357" s="3">
        <f>IF(ISNUMBER(AVERAGE('20250815_ETF_Options_Exhibits'!L2353:L2357)),AVERAGE('20250815_ETF_Options_Exhibits'!L2353:L2357),"")</f>
        <v/>
      </c>
      <c r="M2357" s="3">
        <f>IF(ISNUMBER(AVERAGE('20250815_ETF_Options_Exhibits'!M2353:M2357)),AVERAGE('20250815_ETF_Options_Exhibits'!M2353:M2357),"")</f>
        <v/>
      </c>
      <c r="N2357" s="3">
        <f>IF(ISNUMBER(AVERAGE('20250815_ETF_Options_Exhibits'!N2353:N2357)),AVERAGE('20250815_ETF_Options_Exhibits'!N2353:N2357),"")</f>
        <v/>
      </c>
      <c r="O2357" s="3">
        <f>IF(ISNUMBER(AVERAGE('20250815_ETF_Options_Exhibits'!O2353:O2357)),AVERAGE('20250815_ETF_Options_Exhibits'!O2353:O2357),"")</f>
        <v/>
      </c>
      <c r="P2357" s="3">
        <f>IF(ISNUMBER(AVERAGE('20250815_ETF_Options_Exhibits'!P2353:P2357)),AVERAGE('20250815_ETF_Options_Exhibits'!P2353:P2357),"")</f>
        <v/>
      </c>
      <c r="Q2357" s="3">
        <f>IF(ISNUMBER(AVERAGE('20250815_ETF_Options_Exhibits'!Q2353:Q2357)),AVERAGE('20250815_ETF_Options_Exhibits'!Q2353:Q2357),"")</f>
        <v/>
      </c>
      <c r="R2357" s="3">
        <f>IF(ISNUMBER(AVERAGE('20250815_ETF_Options_Exhibits'!R2353:R2357)),AVERAGE('20250815_ETF_Options_Exhibits'!R2353:R2357),"")</f>
        <v/>
      </c>
      <c r="S2357" s="3">
        <f>IF(ISNUMBER(AVERAGE('20250815_ETF_Options_Exhibits'!S2353:S2357)),AVERAGE('20250815_ETF_Options_Exhibits'!S2353:S2357),"")</f>
        <v/>
      </c>
      <c r="T2357" s="3">
        <f>IF(ISNUMBER(AVERAGE('20250815_ETF_Options_Exhibits'!T2353:T2357)),AVERAGE('20250815_ETF_Options_Exhibits'!T2353:T2357),"")</f>
        <v/>
      </c>
      <c r="U2357" s="3">
        <f>IF(ISNUMBER(AVERAGE('20250815_ETF_Options_Exhibits'!U2353:U2357)),AVERAGE('20250815_ETF_Options_Exhibits'!U2353:U2357),"")</f>
        <v/>
      </c>
      <c r="V2357" s="3">
        <f>IF(ISNUMBER(AVERAGE('20250815_ETF_Options_Exhibits'!V2353:V2357)),AVERAGE('20250815_ETF_Options_Exhibits'!V2353:V2357),"")</f>
        <v/>
      </c>
      <c r="W2357" s="3">
        <f>IF(ISNUMBER(AVERAGE('20250815_ETF_Options_Exhibits'!W2353:W2357)),AVERAGE('20250815_ETF_Options_Exhibits'!W2353:W2357),"")</f>
        <v/>
      </c>
      <c r="X2357" s="3">
        <f>IF(ISNUMBER(AVERAGE('20250815_ETF_Options_Exhibits'!X2353:X2357)),AVERAGE('20250815_ETF_Options_Exhibits'!X2353:X2357),"")</f>
        <v/>
      </c>
      <c r="Y2357" s="3">
        <f>IF(ISNUMBER(AVERAGE('20250815_ETF_Options_Exhibits'!Y2353:Y2357)),AVERAGE('20250815_ETF_Options_Exhibits'!Y2353:Y2357),"")</f>
        <v/>
      </c>
      <c r="Z2357" s="3">
        <f>IF(ISNUMBER(AVERAGE('20250815_ETF_Options_Exhibits'!Z2353:Z2357)),AVERAGE('20250815_ETF_Options_Exhibits'!Z2353:Z2357),"")</f>
        <v/>
      </c>
      <c r="AA2357" s="3">
        <f>IF(ISNUMBER(AVERAGE('20250815_ETF_Options_Exhibits'!AA2353:AA2357)),AVERAGE('20250815_ETF_Options_Exhibits'!AA2353:AA2357),"")</f>
        <v/>
      </c>
    </row>
    <row r="2358">
      <c r="A2358" s="1" t="n">
        <v>45425</v>
      </c>
      <c r="B2358" s="3">
        <f>IF(ISNUMBER(AVERAGE('20250815_ETF_Options_Exhibits'!B2354:B2358)),AVERAGE('20250815_ETF_Options_Exhibits'!B2354:B2358),"")</f>
        <v/>
      </c>
      <c r="C2358" s="3">
        <f>IF(ISNUMBER(AVERAGE('20250815_ETF_Options_Exhibits'!C2354:C2358)),AVERAGE('20250815_ETF_Options_Exhibits'!C2354:C2358),"")</f>
        <v/>
      </c>
      <c r="D2358" s="3">
        <f>IF(ISNUMBER(AVERAGE('20250815_ETF_Options_Exhibits'!D2354:D2358)),AVERAGE('20250815_ETF_Options_Exhibits'!D2354:D2358),"")</f>
        <v/>
      </c>
      <c r="E2358" s="3">
        <f>IF(ISNUMBER(AVERAGE('20250815_ETF_Options_Exhibits'!E2354:E2358)),AVERAGE('20250815_ETF_Options_Exhibits'!E2354:E2358),"")</f>
        <v/>
      </c>
      <c r="F2358" s="3">
        <f>IF(ISNUMBER(AVERAGE('20250815_ETF_Options_Exhibits'!F2354:F2358)),AVERAGE('20250815_ETF_Options_Exhibits'!F2354:F2358),"")</f>
        <v/>
      </c>
      <c r="G2358" s="3">
        <f>IF(ISNUMBER(AVERAGE('20250815_ETF_Options_Exhibits'!G2354:G2358)),AVERAGE('20250815_ETF_Options_Exhibits'!G2354:G2358),"")</f>
        <v/>
      </c>
      <c r="H2358" s="3">
        <f>IF(ISNUMBER(AVERAGE('20250815_ETF_Options_Exhibits'!H2354:H2358)),AVERAGE('20250815_ETF_Options_Exhibits'!H2354:H2358),"")</f>
        <v/>
      </c>
      <c r="I2358" s="3">
        <f>IF(ISNUMBER(AVERAGE('20250815_ETF_Options_Exhibits'!I2354:I2358)),AVERAGE('20250815_ETF_Options_Exhibits'!I2354:I2358),"")</f>
        <v/>
      </c>
      <c r="J2358" s="3">
        <f>IF(ISNUMBER(AVERAGE('20250815_ETF_Options_Exhibits'!J2354:J2358)),AVERAGE('20250815_ETF_Options_Exhibits'!J2354:J2358),"")</f>
        <v/>
      </c>
      <c r="K2358" s="3">
        <f>IF(ISNUMBER(AVERAGE('20250815_ETF_Options_Exhibits'!K2354:K2358)),AVERAGE('20250815_ETF_Options_Exhibits'!K2354:K2358),"")</f>
        <v/>
      </c>
      <c r="L2358" s="3">
        <f>IF(ISNUMBER(AVERAGE('20250815_ETF_Options_Exhibits'!L2354:L2358)),AVERAGE('20250815_ETF_Options_Exhibits'!L2354:L2358),"")</f>
        <v/>
      </c>
      <c r="M2358" s="3">
        <f>IF(ISNUMBER(AVERAGE('20250815_ETF_Options_Exhibits'!M2354:M2358)),AVERAGE('20250815_ETF_Options_Exhibits'!M2354:M2358),"")</f>
        <v/>
      </c>
      <c r="N2358" s="3">
        <f>IF(ISNUMBER(AVERAGE('20250815_ETF_Options_Exhibits'!N2354:N2358)),AVERAGE('20250815_ETF_Options_Exhibits'!N2354:N2358),"")</f>
        <v/>
      </c>
      <c r="O2358" s="3">
        <f>IF(ISNUMBER(AVERAGE('20250815_ETF_Options_Exhibits'!O2354:O2358)),AVERAGE('20250815_ETF_Options_Exhibits'!O2354:O2358),"")</f>
        <v/>
      </c>
      <c r="P2358" s="3">
        <f>IF(ISNUMBER(AVERAGE('20250815_ETF_Options_Exhibits'!P2354:P2358)),AVERAGE('20250815_ETF_Options_Exhibits'!P2354:P2358),"")</f>
        <v/>
      </c>
      <c r="Q2358" s="3">
        <f>IF(ISNUMBER(AVERAGE('20250815_ETF_Options_Exhibits'!Q2354:Q2358)),AVERAGE('20250815_ETF_Options_Exhibits'!Q2354:Q2358),"")</f>
        <v/>
      </c>
      <c r="R2358" s="3">
        <f>IF(ISNUMBER(AVERAGE('20250815_ETF_Options_Exhibits'!R2354:R2358)),AVERAGE('20250815_ETF_Options_Exhibits'!R2354:R2358),"")</f>
        <v/>
      </c>
      <c r="S2358" s="3">
        <f>IF(ISNUMBER(AVERAGE('20250815_ETF_Options_Exhibits'!S2354:S2358)),AVERAGE('20250815_ETF_Options_Exhibits'!S2354:S2358),"")</f>
        <v/>
      </c>
      <c r="T2358" s="3">
        <f>IF(ISNUMBER(AVERAGE('20250815_ETF_Options_Exhibits'!T2354:T2358)),AVERAGE('20250815_ETF_Options_Exhibits'!T2354:T2358),"")</f>
        <v/>
      </c>
      <c r="U2358" s="3">
        <f>IF(ISNUMBER(AVERAGE('20250815_ETF_Options_Exhibits'!U2354:U2358)),AVERAGE('20250815_ETF_Options_Exhibits'!U2354:U2358),"")</f>
        <v/>
      </c>
      <c r="V2358" s="3">
        <f>IF(ISNUMBER(AVERAGE('20250815_ETF_Options_Exhibits'!V2354:V2358)),AVERAGE('20250815_ETF_Options_Exhibits'!V2354:V2358),"")</f>
        <v/>
      </c>
      <c r="W2358" s="3">
        <f>IF(ISNUMBER(AVERAGE('20250815_ETF_Options_Exhibits'!W2354:W2358)),AVERAGE('20250815_ETF_Options_Exhibits'!W2354:W2358),"")</f>
        <v/>
      </c>
      <c r="X2358" s="3">
        <f>IF(ISNUMBER(AVERAGE('20250815_ETF_Options_Exhibits'!X2354:X2358)),AVERAGE('20250815_ETF_Options_Exhibits'!X2354:X2358),"")</f>
        <v/>
      </c>
      <c r="Y2358" s="3">
        <f>IF(ISNUMBER(AVERAGE('20250815_ETF_Options_Exhibits'!Y2354:Y2358)),AVERAGE('20250815_ETF_Options_Exhibits'!Y2354:Y2358),"")</f>
        <v/>
      </c>
      <c r="Z2358" s="3">
        <f>IF(ISNUMBER(AVERAGE('20250815_ETF_Options_Exhibits'!Z2354:Z2358)),AVERAGE('20250815_ETF_Options_Exhibits'!Z2354:Z2358),"")</f>
        <v/>
      </c>
      <c r="AA2358" s="3">
        <f>IF(ISNUMBER(AVERAGE('20250815_ETF_Options_Exhibits'!AA2354:AA2358)),AVERAGE('20250815_ETF_Options_Exhibits'!AA2354:AA2358),"")</f>
        <v/>
      </c>
    </row>
    <row r="2359">
      <c r="A2359" s="1" t="n">
        <v>45426</v>
      </c>
      <c r="B2359" s="3">
        <f>IF(ISNUMBER(AVERAGE('20250815_ETF_Options_Exhibits'!B2355:B2359)),AVERAGE('20250815_ETF_Options_Exhibits'!B2355:B2359),"")</f>
        <v/>
      </c>
      <c r="C2359" s="3">
        <f>IF(ISNUMBER(AVERAGE('20250815_ETF_Options_Exhibits'!C2355:C2359)),AVERAGE('20250815_ETF_Options_Exhibits'!C2355:C2359),"")</f>
        <v/>
      </c>
      <c r="D2359" s="3">
        <f>IF(ISNUMBER(AVERAGE('20250815_ETF_Options_Exhibits'!D2355:D2359)),AVERAGE('20250815_ETF_Options_Exhibits'!D2355:D2359),"")</f>
        <v/>
      </c>
      <c r="E2359" s="3">
        <f>IF(ISNUMBER(AVERAGE('20250815_ETF_Options_Exhibits'!E2355:E2359)),AVERAGE('20250815_ETF_Options_Exhibits'!E2355:E2359),"")</f>
        <v/>
      </c>
      <c r="F2359" s="3">
        <f>IF(ISNUMBER(AVERAGE('20250815_ETF_Options_Exhibits'!F2355:F2359)),AVERAGE('20250815_ETF_Options_Exhibits'!F2355:F2359),"")</f>
        <v/>
      </c>
      <c r="G2359" s="3">
        <f>IF(ISNUMBER(AVERAGE('20250815_ETF_Options_Exhibits'!G2355:G2359)),AVERAGE('20250815_ETF_Options_Exhibits'!G2355:G2359),"")</f>
        <v/>
      </c>
      <c r="H2359" s="3">
        <f>IF(ISNUMBER(AVERAGE('20250815_ETF_Options_Exhibits'!H2355:H2359)),AVERAGE('20250815_ETF_Options_Exhibits'!H2355:H2359),"")</f>
        <v/>
      </c>
      <c r="I2359" s="3">
        <f>IF(ISNUMBER(AVERAGE('20250815_ETF_Options_Exhibits'!I2355:I2359)),AVERAGE('20250815_ETF_Options_Exhibits'!I2355:I2359),"")</f>
        <v/>
      </c>
      <c r="J2359" s="3">
        <f>IF(ISNUMBER(AVERAGE('20250815_ETF_Options_Exhibits'!J2355:J2359)),AVERAGE('20250815_ETF_Options_Exhibits'!J2355:J2359),"")</f>
        <v/>
      </c>
      <c r="K2359" s="3">
        <f>IF(ISNUMBER(AVERAGE('20250815_ETF_Options_Exhibits'!K2355:K2359)),AVERAGE('20250815_ETF_Options_Exhibits'!K2355:K2359),"")</f>
        <v/>
      </c>
      <c r="L2359" s="3">
        <f>IF(ISNUMBER(AVERAGE('20250815_ETF_Options_Exhibits'!L2355:L2359)),AVERAGE('20250815_ETF_Options_Exhibits'!L2355:L2359),"")</f>
        <v/>
      </c>
      <c r="M2359" s="3">
        <f>IF(ISNUMBER(AVERAGE('20250815_ETF_Options_Exhibits'!M2355:M2359)),AVERAGE('20250815_ETF_Options_Exhibits'!M2355:M2359),"")</f>
        <v/>
      </c>
      <c r="N2359" s="3">
        <f>IF(ISNUMBER(AVERAGE('20250815_ETF_Options_Exhibits'!N2355:N2359)),AVERAGE('20250815_ETF_Options_Exhibits'!N2355:N2359),"")</f>
        <v/>
      </c>
      <c r="O2359" s="3">
        <f>IF(ISNUMBER(AVERAGE('20250815_ETF_Options_Exhibits'!O2355:O2359)),AVERAGE('20250815_ETF_Options_Exhibits'!O2355:O2359),"")</f>
        <v/>
      </c>
      <c r="P2359" s="3">
        <f>IF(ISNUMBER(AVERAGE('20250815_ETF_Options_Exhibits'!P2355:P2359)),AVERAGE('20250815_ETF_Options_Exhibits'!P2355:P2359),"")</f>
        <v/>
      </c>
      <c r="Q2359" s="3">
        <f>IF(ISNUMBER(AVERAGE('20250815_ETF_Options_Exhibits'!Q2355:Q2359)),AVERAGE('20250815_ETF_Options_Exhibits'!Q2355:Q2359),"")</f>
        <v/>
      </c>
      <c r="R2359" s="3">
        <f>IF(ISNUMBER(AVERAGE('20250815_ETF_Options_Exhibits'!R2355:R2359)),AVERAGE('20250815_ETF_Options_Exhibits'!R2355:R2359),"")</f>
        <v/>
      </c>
      <c r="S2359" s="3">
        <f>IF(ISNUMBER(AVERAGE('20250815_ETF_Options_Exhibits'!S2355:S2359)),AVERAGE('20250815_ETF_Options_Exhibits'!S2355:S2359),"")</f>
        <v/>
      </c>
      <c r="T2359" s="3">
        <f>IF(ISNUMBER(AVERAGE('20250815_ETF_Options_Exhibits'!T2355:T2359)),AVERAGE('20250815_ETF_Options_Exhibits'!T2355:T2359),"")</f>
        <v/>
      </c>
      <c r="U2359" s="3">
        <f>IF(ISNUMBER(AVERAGE('20250815_ETF_Options_Exhibits'!U2355:U2359)),AVERAGE('20250815_ETF_Options_Exhibits'!U2355:U2359),"")</f>
        <v/>
      </c>
      <c r="V2359" s="3">
        <f>IF(ISNUMBER(AVERAGE('20250815_ETF_Options_Exhibits'!V2355:V2359)),AVERAGE('20250815_ETF_Options_Exhibits'!V2355:V2359),"")</f>
        <v/>
      </c>
      <c r="W2359" s="3">
        <f>IF(ISNUMBER(AVERAGE('20250815_ETF_Options_Exhibits'!W2355:W2359)),AVERAGE('20250815_ETF_Options_Exhibits'!W2355:W2359),"")</f>
        <v/>
      </c>
      <c r="X2359" s="3">
        <f>IF(ISNUMBER(AVERAGE('20250815_ETF_Options_Exhibits'!X2355:X2359)),AVERAGE('20250815_ETF_Options_Exhibits'!X2355:X2359),"")</f>
        <v/>
      </c>
      <c r="Y2359" s="3">
        <f>IF(ISNUMBER(AVERAGE('20250815_ETF_Options_Exhibits'!Y2355:Y2359)),AVERAGE('20250815_ETF_Options_Exhibits'!Y2355:Y2359),"")</f>
        <v/>
      </c>
      <c r="Z2359" s="3">
        <f>IF(ISNUMBER(AVERAGE('20250815_ETF_Options_Exhibits'!Z2355:Z2359)),AVERAGE('20250815_ETF_Options_Exhibits'!Z2355:Z2359),"")</f>
        <v/>
      </c>
      <c r="AA2359" s="3">
        <f>IF(ISNUMBER(AVERAGE('20250815_ETF_Options_Exhibits'!AA2355:AA2359)),AVERAGE('20250815_ETF_Options_Exhibits'!AA2355:AA2359),"")</f>
        <v/>
      </c>
    </row>
    <row r="2360">
      <c r="A2360" s="1" t="n">
        <v>45427</v>
      </c>
      <c r="B2360" s="3">
        <f>IF(ISNUMBER(AVERAGE('20250815_ETF_Options_Exhibits'!B2356:B2360)),AVERAGE('20250815_ETF_Options_Exhibits'!B2356:B2360),"")</f>
        <v/>
      </c>
      <c r="C2360" s="3">
        <f>IF(ISNUMBER(AVERAGE('20250815_ETF_Options_Exhibits'!C2356:C2360)),AVERAGE('20250815_ETF_Options_Exhibits'!C2356:C2360),"")</f>
        <v/>
      </c>
      <c r="D2360" s="3">
        <f>IF(ISNUMBER(AVERAGE('20250815_ETF_Options_Exhibits'!D2356:D2360)),AVERAGE('20250815_ETF_Options_Exhibits'!D2356:D2360),"")</f>
        <v/>
      </c>
      <c r="E2360" s="3">
        <f>IF(ISNUMBER(AVERAGE('20250815_ETF_Options_Exhibits'!E2356:E2360)),AVERAGE('20250815_ETF_Options_Exhibits'!E2356:E2360),"")</f>
        <v/>
      </c>
      <c r="F2360" s="3">
        <f>IF(ISNUMBER(AVERAGE('20250815_ETF_Options_Exhibits'!F2356:F2360)),AVERAGE('20250815_ETF_Options_Exhibits'!F2356:F2360),"")</f>
        <v/>
      </c>
      <c r="G2360" s="3">
        <f>IF(ISNUMBER(AVERAGE('20250815_ETF_Options_Exhibits'!G2356:G2360)),AVERAGE('20250815_ETF_Options_Exhibits'!G2356:G2360),"")</f>
        <v/>
      </c>
      <c r="H2360" s="3">
        <f>IF(ISNUMBER(AVERAGE('20250815_ETF_Options_Exhibits'!H2356:H2360)),AVERAGE('20250815_ETF_Options_Exhibits'!H2356:H2360),"")</f>
        <v/>
      </c>
      <c r="I2360" s="3">
        <f>IF(ISNUMBER(AVERAGE('20250815_ETF_Options_Exhibits'!I2356:I2360)),AVERAGE('20250815_ETF_Options_Exhibits'!I2356:I2360),"")</f>
        <v/>
      </c>
      <c r="J2360" s="3">
        <f>IF(ISNUMBER(AVERAGE('20250815_ETF_Options_Exhibits'!J2356:J2360)),AVERAGE('20250815_ETF_Options_Exhibits'!J2356:J2360),"")</f>
        <v/>
      </c>
      <c r="K2360" s="3">
        <f>IF(ISNUMBER(AVERAGE('20250815_ETF_Options_Exhibits'!K2356:K2360)),AVERAGE('20250815_ETF_Options_Exhibits'!K2356:K2360),"")</f>
        <v/>
      </c>
      <c r="L2360" s="3">
        <f>IF(ISNUMBER(AVERAGE('20250815_ETF_Options_Exhibits'!L2356:L2360)),AVERAGE('20250815_ETF_Options_Exhibits'!L2356:L2360),"")</f>
        <v/>
      </c>
      <c r="M2360" s="3">
        <f>IF(ISNUMBER(AVERAGE('20250815_ETF_Options_Exhibits'!M2356:M2360)),AVERAGE('20250815_ETF_Options_Exhibits'!M2356:M2360),"")</f>
        <v/>
      </c>
      <c r="N2360" s="3">
        <f>IF(ISNUMBER(AVERAGE('20250815_ETF_Options_Exhibits'!N2356:N2360)),AVERAGE('20250815_ETF_Options_Exhibits'!N2356:N2360),"")</f>
        <v/>
      </c>
      <c r="O2360" s="3">
        <f>IF(ISNUMBER(AVERAGE('20250815_ETF_Options_Exhibits'!O2356:O2360)),AVERAGE('20250815_ETF_Options_Exhibits'!O2356:O2360),"")</f>
        <v/>
      </c>
      <c r="P2360" s="3">
        <f>IF(ISNUMBER(AVERAGE('20250815_ETF_Options_Exhibits'!P2356:P2360)),AVERAGE('20250815_ETF_Options_Exhibits'!P2356:P2360),"")</f>
        <v/>
      </c>
      <c r="Q2360" s="3">
        <f>IF(ISNUMBER(AVERAGE('20250815_ETF_Options_Exhibits'!Q2356:Q2360)),AVERAGE('20250815_ETF_Options_Exhibits'!Q2356:Q2360),"")</f>
        <v/>
      </c>
      <c r="R2360" s="3">
        <f>IF(ISNUMBER(AVERAGE('20250815_ETF_Options_Exhibits'!R2356:R2360)),AVERAGE('20250815_ETF_Options_Exhibits'!R2356:R2360),"")</f>
        <v/>
      </c>
      <c r="S2360" s="3">
        <f>IF(ISNUMBER(AVERAGE('20250815_ETF_Options_Exhibits'!S2356:S2360)),AVERAGE('20250815_ETF_Options_Exhibits'!S2356:S2360),"")</f>
        <v/>
      </c>
      <c r="T2360" s="3">
        <f>IF(ISNUMBER(AVERAGE('20250815_ETF_Options_Exhibits'!T2356:T2360)),AVERAGE('20250815_ETF_Options_Exhibits'!T2356:T2360),"")</f>
        <v/>
      </c>
      <c r="U2360" s="3">
        <f>IF(ISNUMBER(AVERAGE('20250815_ETF_Options_Exhibits'!U2356:U2360)),AVERAGE('20250815_ETF_Options_Exhibits'!U2356:U2360),"")</f>
        <v/>
      </c>
      <c r="V2360" s="3">
        <f>IF(ISNUMBER(AVERAGE('20250815_ETF_Options_Exhibits'!V2356:V2360)),AVERAGE('20250815_ETF_Options_Exhibits'!V2356:V2360),"")</f>
        <v/>
      </c>
      <c r="W2360" s="3">
        <f>IF(ISNUMBER(AVERAGE('20250815_ETF_Options_Exhibits'!W2356:W2360)),AVERAGE('20250815_ETF_Options_Exhibits'!W2356:W2360),"")</f>
        <v/>
      </c>
      <c r="X2360" s="3">
        <f>IF(ISNUMBER(AVERAGE('20250815_ETF_Options_Exhibits'!X2356:X2360)),AVERAGE('20250815_ETF_Options_Exhibits'!X2356:X2360),"")</f>
        <v/>
      </c>
      <c r="Y2360" s="3">
        <f>IF(ISNUMBER(AVERAGE('20250815_ETF_Options_Exhibits'!Y2356:Y2360)),AVERAGE('20250815_ETF_Options_Exhibits'!Y2356:Y2360),"")</f>
        <v/>
      </c>
      <c r="Z2360" s="3">
        <f>IF(ISNUMBER(AVERAGE('20250815_ETF_Options_Exhibits'!Z2356:Z2360)),AVERAGE('20250815_ETF_Options_Exhibits'!Z2356:Z2360),"")</f>
        <v/>
      </c>
      <c r="AA2360" s="3">
        <f>IF(ISNUMBER(AVERAGE('20250815_ETF_Options_Exhibits'!AA2356:AA2360)),AVERAGE('20250815_ETF_Options_Exhibits'!AA2356:AA2360),"")</f>
        <v/>
      </c>
    </row>
    <row r="2361">
      <c r="A2361" s="1" t="n">
        <v>45428</v>
      </c>
      <c r="B2361" s="3">
        <f>IF(ISNUMBER(AVERAGE('20250815_ETF_Options_Exhibits'!B2357:B2361)),AVERAGE('20250815_ETF_Options_Exhibits'!B2357:B2361),"")</f>
        <v/>
      </c>
      <c r="C2361" s="3">
        <f>IF(ISNUMBER(AVERAGE('20250815_ETF_Options_Exhibits'!C2357:C2361)),AVERAGE('20250815_ETF_Options_Exhibits'!C2357:C2361),"")</f>
        <v/>
      </c>
      <c r="D2361" s="3">
        <f>IF(ISNUMBER(AVERAGE('20250815_ETF_Options_Exhibits'!D2357:D2361)),AVERAGE('20250815_ETF_Options_Exhibits'!D2357:D2361),"")</f>
        <v/>
      </c>
      <c r="E2361" s="3">
        <f>IF(ISNUMBER(AVERAGE('20250815_ETF_Options_Exhibits'!E2357:E2361)),AVERAGE('20250815_ETF_Options_Exhibits'!E2357:E2361),"")</f>
        <v/>
      </c>
      <c r="F2361" s="3">
        <f>IF(ISNUMBER(AVERAGE('20250815_ETF_Options_Exhibits'!F2357:F2361)),AVERAGE('20250815_ETF_Options_Exhibits'!F2357:F2361),"")</f>
        <v/>
      </c>
      <c r="G2361" s="3">
        <f>IF(ISNUMBER(AVERAGE('20250815_ETF_Options_Exhibits'!G2357:G2361)),AVERAGE('20250815_ETF_Options_Exhibits'!G2357:G2361),"")</f>
        <v/>
      </c>
      <c r="H2361" s="3">
        <f>IF(ISNUMBER(AVERAGE('20250815_ETF_Options_Exhibits'!H2357:H2361)),AVERAGE('20250815_ETF_Options_Exhibits'!H2357:H2361),"")</f>
        <v/>
      </c>
      <c r="I2361" s="3">
        <f>IF(ISNUMBER(AVERAGE('20250815_ETF_Options_Exhibits'!I2357:I2361)),AVERAGE('20250815_ETF_Options_Exhibits'!I2357:I2361),"")</f>
        <v/>
      </c>
      <c r="J2361" s="3">
        <f>IF(ISNUMBER(AVERAGE('20250815_ETF_Options_Exhibits'!J2357:J2361)),AVERAGE('20250815_ETF_Options_Exhibits'!J2357:J2361),"")</f>
        <v/>
      </c>
      <c r="K2361" s="3">
        <f>IF(ISNUMBER(AVERAGE('20250815_ETF_Options_Exhibits'!K2357:K2361)),AVERAGE('20250815_ETF_Options_Exhibits'!K2357:K2361),"")</f>
        <v/>
      </c>
      <c r="L2361" s="3">
        <f>IF(ISNUMBER(AVERAGE('20250815_ETF_Options_Exhibits'!L2357:L2361)),AVERAGE('20250815_ETF_Options_Exhibits'!L2357:L2361),"")</f>
        <v/>
      </c>
      <c r="M2361" s="3">
        <f>IF(ISNUMBER(AVERAGE('20250815_ETF_Options_Exhibits'!M2357:M2361)),AVERAGE('20250815_ETF_Options_Exhibits'!M2357:M2361),"")</f>
        <v/>
      </c>
      <c r="N2361" s="3">
        <f>IF(ISNUMBER(AVERAGE('20250815_ETF_Options_Exhibits'!N2357:N2361)),AVERAGE('20250815_ETF_Options_Exhibits'!N2357:N2361),"")</f>
        <v/>
      </c>
      <c r="O2361" s="3">
        <f>IF(ISNUMBER(AVERAGE('20250815_ETF_Options_Exhibits'!O2357:O2361)),AVERAGE('20250815_ETF_Options_Exhibits'!O2357:O2361),"")</f>
        <v/>
      </c>
      <c r="P2361" s="3">
        <f>IF(ISNUMBER(AVERAGE('20250815_ETF_Options_Exhibits'!P2357:P2361)),AVERAGE('20250815_ETF_Options_Exhibits'!P2357:P2361),"")</f>
        <v/>
      </c>
      <c r="Q2361" s="3">
        <f>IF(ISNUMBER(AVERAGE('20250815_ETF_Options_Exhibits'!Q2357:Q2361)),AVERAGE('20250815_ETF_Options_Exhibits'!Q2357:Q2361),"")</f>
        <v/>
      </c>
      <c r="R2361" s="3">
        <f>IF(ISNUMBER(AVERAGE('20250815_ETF_Options_Exhibits'!R2357:R2361)),AVERAGE('20250815_ETF_Options_Exhibits'!R2357:R2361),"")</f>
        <v/>
      </c>
      <c r="S2361" s="3">
        <f>IF(ISNUMBER(AVERAGE('20250815_ETF_Options_Exhibits'!S2357:S2361)),AVERAGE('20250815_ETF_Options_Exhibits'!S2357:S2361),"")</f>
        <v/>
      </c>
      <c r="T2361" s="3">
        <f>IF(ISNUMBER(AVERAGE('20250815_ETF_Options_Exhibits'!T2357:T2361)),AVERAGE('20250815_ETF_Options_Exhibits'!T2357:T2361),"")</f>
        <v/>
      </c>
      <c r="U2361" s="3">
        <f>IF(ISNUMBER(AVERAGE('20250815_ETF_Options_Exhibits'!U2357:U2361)),AVERAGE('20250815_ETF_Options_Exhibits'!U2357:U2361),"")</f>
        <v/>
      </c>
      <c r="V2361" s="3">
        <f>IF(ISNUMBER(AVERAGE('20250815_ETF_Options_Exhibits'!V2357:V2361)),AVERAGE('20250815_ETF_Options_Exhibits'!V2357:V2361),"")</f>
        <v/>
      </c>
      <c r="W2361" s="3">
        <f>IF(ISNUMBER(AVERAGE('20250815_ETF_Options_Exhibits'!W2357:W2361)),AVERAGE('20250815_ETF_Options_Exhibits'!W2357:W2361),"")</f>
        <v/>
      </c>
      <c r="X2361" s="3">
        <f>IF(ISNUMBER(AVERAGE('20250815_ETF_Options_Exhibits'!X2357:X2361)),AVERAGE('20250815_ETF_Options_Exhibits'!X2357:X2361),"")</f>
        <v/>
      </c>
      <c r="Y2361" s="3">
        <f>IF(ISNUMBER(AVERAGE('20250815_ETF_Options_Exhibits'!Y2357:Y2361)),AVERAGE('20250815_ETF_Options_Exhibits'!Y2357:Y2361),"")</f>
        <v/>
      </c>
      <c r="Z2361" s="3">
        <f>IF(ISNUMBER(AVERAGE('20250815_ETF_Options_Exhibits'!Z2357:Z2361)),AVERAGE('20250815_ETF_Options_Exhibits'!Z2357:Z2361),"")</f>
        <v/>
      </c>
      <c r="AA2361" s="3">
        <f>IF(ISNUMBER(AVERAGE('20250815_ETF_Options_Exhibits'!AA2357:AA2361)),AVERAGE('20250815_ETF_Options_Exhibits'!AA2357:AA2361),"")</f>
        <v/>
      </c>
    </row>
    <row r="2362">
      <c r="A2362" s="1" t="n">
        <v>45429</v>
      </c>
      <c r="B2362" s="3">
        <f>IF(ISNUMBER(AVERAGE('20250815_ETF_Options_Exhibits'!B2358:B2362)),AVERAGE('20250815_ETF_Options_Exhibits'!B2358:B2362),"")</f>
        <v/>
      </c>
      <c r="C2362" s="3">
        <f>IF(ISNUMBER(AVERAGE('20250815_ETF_Options_Exhibits'!C2358:C2362)),AVERAGE('20250815_ETF_Options_Exhibits'!C2358:C2362),"")</f>
        <v/>
      </c>
      <c r="D2362" s="3">
        <f>IF(ISNUMBER(AVERAGE('20250815_ETF_Options_Exhibits'!D2358:D2362)),AVERAGE('20250815_ETF_Options_Exhibits'!D2358:D2362),"")</f>
        <v/>
      </c>
      <c r="E2362" s="3">
        <f>IF(ISNUMBER(AVERAGE('20250815_ETF_Options_Exhibits'!E2358:E2362)),AVERAGE('20250815_ETF_Options_Exhibits'!E2358:E2362),"")</f>
        <v/>
      </c>
      <c r="F2362" s="3">
        <f>IF(ISNUMBER(AVERAGE('20250815_ETF_Options_Exhibits'!F2358:F2362)),AVERAGE('20250815_ETF_Options_Exhibits'!F2358:F2362),"")</f>
        <v/>
      </c>
      <c r="G2362" s="3">
        <f>IF(ISNUMBER(AVERAGE('20250815_ETF_Options_Exhibits'!G2358:G2362)),AVERAGE('20250815_ETF_Options_Exhibits'!G2358:G2362),"")</f>
        <v/>
      </c>
      <c r="H2362" s="3">
        <f>IF(ISNUMBER(AVERAGE('20250815_ETF_Options_Exhibits'!H2358:H2362)),AVERAGE('20250815_ETF_Options_Exhibits'!H2358:H2362),"")</f>
        <v/>
      </c>
      <c r="I2362" s="3">
        <f>IF(ISNUMBER(AVERAGE('20250815_ETF_Options_Exhibits'!I2358:I2362)),AVERAGE('20250815_ETF_Options_Exhibits'!I2358:I2362),"")</f>
        <v/>
      </c>
      <c r="J2362" s="3">
        <f>IF(ISNUMBER(AVERAGE('20250815_ETF_Options_Exhibits'!J2358:J2362)),AVERAGE('20250815_ETF_Options_Exhibits'!J2358:J2362),"")</f>
        <v/>
      </c>
      <c r="K2362" s="3">
        <f>IF(ISNUMBER(AVERAGE('20250815_ETF_Options_Exhibits'!K2358:K2362)),AVERAGE('20250815_ETF_Options_Exhibits'!K2358:K2362),"")</f>
        <v/>
      </c>
      <c r="L2362" s="3">
        <f>IF(ISNUMBER(AVERAGE('20250815_ETF_Options_Exhibits'!L2358:L2362)),AVERAGE('20250815_ETF_Options_Exhibits'!L2358:L2362),"")</f>
        <v/>
      </c>
      <c r="M2362" s="3">
        <f>IF(ISNUMBER(AVERAGE('20250815_ETF_Options_Exhibits'!M2358:M2362)),AVERAGE('20250815_ETF_Options_Exhibits'!M2358:M2362),"")</f>
        <v/>
      </c>
      <c r="N2362" s="3">
        <f>IF(ISNUMBER(AVERAGE('20250815_ETF_Options_Exhibits'!N2358:N2362)),AVERAGE('20250815_ETF_Options_Exhibits'!N2358:N2362),"")</f>
        <v/>
      </c>
      <c r="O2362" s="3">
        <f>IF(ISNUMBER(AVERAGE('20250815_ETF_Options_Exhibits'!O2358:O2362)),AVERAGE('20250815_ETF_Options_Exhibits'!O2358:O2362),"")</f>
        <v/>
      </c>
      <c r="P2362" s="3">
        <f>IF(ISNUMBER(AVERAGE('20250815_ETF_Options_Exhibits'!P2358:P2362)),AVERAGE('20250815_ETF_Options_Exhibits'!P2358:P2362),"")</f>
        <v/>
      </c>
      <c r="Q2362" s="3">
        <f>IF(ISNUMBER(AVERAGE('20250815_ETF_Options_Exhibits'!Q2358:Q2362)),AVERAGE('20250815_ETF_Options_Exhibits'!Q2358:Q2362),"")</f>
        <v/>
      </c>
      <c r="R2362" s="3">
        <f>IF(ISNUMBER(AVERAGE('20250815_ETF_Options_Exhibits'!R2358:R2362)),AVERAGE('20250815_ETF_Options_Exhibits'!R2358:R2362),"")</f>
        <v/>
      </c>
      <c r="S2362" s="3">
        <f>IF(ISNUMBER(AVERAGE('20250815_ETF_Options_Exhibits'!S2358:S2362)),AVERAGE('20250815_ETF_Options_Exhibits'!S2358:S2362),"")</f>
        <v/>
      </c>
      <c r="T2362" s="3">
        <f>IF(ISNUMBER(AVERAGE('20250815_ETF_Options_Exhibits'!T2358:T2362)),AVERAGE('20250815_ETF_Options_Exhibits'!T2358:T2362),"")</f>
        <v/>
      </c>
      <c r="U2362" s="3">
        <f>IF(ISNUMBER(AVERAGE('20250815_ETF_Options_Exhibits'!U2358:U2362)),AVERAGE('20250815_ETF_Options_Exhibits'!U2358:U2362),"")</f>
        <v/>
      </c>
      <c r="V2362" s="3">
        <f>IF(ISNUMBER(AVERAGE('20250815_ETF_Options_Exhibits'!V2358:V2362)),AVERAGE('20250815_ETF_Options_Exhibits'!V2358:V2362),"")</f>
        <v/>
      </c>
      <c r="W2362" s="3">
        <f>IF(ISNUMBER(AVERAGE('20250815_ETF_Options_Exhibits'!W2358:W2362)),AVERAGE('20250815_ETF_Options_Exhibits'!W2358:W2362),"")</f>
        <v/>
      </c>
      <c r="X2362" s="3">
        <f>IF(ISNUMBER(AVERAGE('20250815_ETF_Options_Exhibits'!X2358:X2362)),AVERAGE('20250815_ETF_Options_Exhibits'!X2358:X2362),"")</f>
        <v/>
      </c>
      <c r="Y2362" s="3">
        <f>IF(ISNUMBER(AVERAGE('20250815_ETF_Options_Exhibits'!Y2358:Y2362)),AVERAGE('20250815_ETF_Options_Exhibits'!Y2358:Y2362),"")</f>
        <v/>
      </c>
      <c r="Z2362" s="3">
        <f>IF(ISNUMBER(AVERAGE('20250815_ETF_Options_Exhibits'!Z2358:Z2362)),AVERAGE('20250815_ETF_Options_Exhibits'!Z2358:Z2362),"")</f>
        <v/>
      </c>
      <c r="AA2362" s="3">
        <f>IF(ISNUMBER(AVERAGE('20250815_ETF_Options_Exhibits'!AA2358:AA2362)),AVERAGE('20250815_ETF_Options_Exhibits'!AA2358:AA2362),"")</f>
        <v/>
      </c>
    </row>
    <row r="2363">
      <c r="A2363" s="1" t="n">
        <v>45432</v>
      </c>
      <c r="B2363" s="3">
        <f>IF(ISNUMBER(AVERAGE('20250815_ETF_Options_Exhibits'!B2359:B2363)),AVERAGE('20250815_ETF_Options_Exhibits'!B2359:B2363),"")</f>
        <v/>
      </c>
      <c r="C2363" s="3">
        <f>IF(ISNUMBER(AVERAGE('20250815_ETF_Options_Exhibits'!C2359:C2363)),AVERAGE('20250815_ETF_Options_Exhibits'!C2359:C2363),"")</f>
        <v/>
      </c>
      <c r="D2363" s="3">
        <f>IF(ISNUMBER(AVERAGE('20250815_ETF_Options_Exhibits'!D2359:D2363)),AVERAGE('20250815_ETF_Options_Exhibits'!D2359:D2363),"")</f>
        <v/>
      </c>
      <c r="E2363" s="3">
        <f>IF(ISNUMBER(AVERAGE('20250815_ETF_Options_Exhibits'!E2359:E2363)),AVERAGE('20250815_ETF_Options_Exhibits'!E2359:E2363),"")</f>
        <v/>
      </c>
      <c r="F2363" s="3">
        <f>IF(ISNUMBER(AVERAGE('20250815_ETF_Options_Exhibits'!F2359:F2363)),AVERAGE('20250815_ETF_Options_Exhibits'!F2359:F2363),"")</f>
        <v/>
      </c>
      <c r="G2363" s="3">
        <f>IF(ISNUMBER(AVERAGE('20250815_ETF_Options_Exhibits'!G2359:G2363)),AVERAGE('20250815_ETF_Options_Exhibits'!G2359:G2363),"")</f>
        <v/>
      </c>
      <c r="H2363" s="3">
        <f>IF(ISNUMBER(AVERAGE('20250815_ETF_Options_Exhibits'!H2359:H2363)),AVERAGE('20250815_ETF_Options_Exhibits'!H2359:H2363),"")</f>
        <v/>
      </c>
      <c r="I2363" s="3">
        <f>IF(ISNUMBER(AVERAGE('20250815_ETF_Options_Exhibits'!I2359:I2363)),AVERAGE('20250815_ETF_Options_Exhibits'!I2359:I2363),"")</f>
        <v/>
      </c>
      <c r="J2363" s="3">
        <f>IF(ISNUMBER(AVERAGE('20250815_ETF_Options_Exhibits'!J2359:J2363)),AVERAGE('20250815_ETF_Options_Exhibits'!J2359:J2363),"")</f>
        <v/>
      </c>
      <c r="K2363" s="3">
        <f>IF(ISNUMBER(AVERAGE('20250815_ETF_Options_Exhibits'!K2359:K2363)),AVERAGE('20250815_ETF_Options_Exhibits'!K2359:K2363),"")</f>
        <v/>
      </c>
      <c r="L2363" s="3">
        <f>IF(ISNUMBER(AVERAGE('20250815_ETF_Options_Exhibits'!L2359:L2363)),AVERAGE('20250815_ETF_Options_Exhibits'!L2359:L2363),"")</f>
        <v/>
      </c>
      <c r="M2363" s="3">
        <f>IF(ISNUMBER(AVERAGE('20250815_ETF_Options_Exhibits'!M2359:M2363)),AVERAGE('20250815_ETF_Options_Exhibits'!M2359:M2363),"")</f>
        <v/>
      </c>
      <c r="N2363" s="3">
        <f>IF(ISNUMBER(AVERAGE('20250815_ETF_Options_Exhibits'!N2359:N2363)),AVERAGE('20250815_ETF_Options_Exhibits'!N2359:N2363),"")</f>
        <v/>
      </c>
      <c r="O2363" s="3">
        <f>IF(ISNUMBER(AVERAGE('20250815_ETF_Options_Exhibits'!O2359:O2363)),AVERAGE('20250815_ETF_Options_Exhibits'!O2359:O2363),"")</f>
        <v/>
      </c>
      <c r="P2363" s="3">
        <f>IF(ISNUMBER(AVERAGE('20250815_ETF_Options_Exhibits'!P2359:P2363)),AVERAGE('20250815_ETF_Options_Exhibits'!P2359:P2363),"")</f>
        <v/>
      </c>
      <c r="Q2363" s="3">
        <f>IF(ISNUMBER(AVERAGE('20250815_ETF_Options_Exhibits'!Q2359:Q2363)),AVERAGE('20250815_ETF_Options_Exhibits'!Q2359:Q2363),"")</f>
        <v/>
      </c>
      <c r="R2363" s="3">
        <f>IF(ISNUMBER(AVERAGE('20250815_ETF_Options_Exhibits'!R2359:R2363)),AVERAGE('20250815_ETF_Options_Exhibits'!R2359:R2363),"")</f>
        <v/>
      </c>
      <c r="S2363" s="3">
        <f>IF(ISNUMBER(AVERAGE('20250815_ETF_Options_Exhibits'!S2359:S2363)),AVERAGE('20250815_ETF_Options_Exhibits'!S2359:S2363),"")</f>
        <v/>
      </c>
      <c r="T2363" s="3">
        <f>IF(ISNUMBER(AVERAGE('20250815_ETF_Options_Exhibits'!T2359:T2363)),AVERAGE('20250815_ETF_Options_Exhibits'!T2359:T2363),"")</f>
        <v/>
      </c>
      <c r="U2363" s="3">
        <f>IF(ISNUMBER(AVERAGE('20250815_ETF_Options_Exhibits'!U2359:U2363)),AVERAGE('20250815_ETF_Options_Exhibits'!U2359:U2363),"")</f>
        <v/>
      </c>
      <c r="V2363" s="3">
        <f>IF(ISNUMBER(AVERAGE('20250815_ETF_Options_Exhibits'!V2359:V2363)),AVERAGE('20250815_ETF_Options_Exhibits'!V2359:V2363),"")</f>
        <v/>
      </c>
      <c r="W2363" s="3">
        <f>IF(ISNUMBER(AVERAGE('20250815_ETF_Options_Exhibits'!W2359:W2363)),AVERAGE('20250815_ETF_Options_Exhibits'!W2359:W2363),"")</f>
        <v/>
      </c>
      <c r="X2363" s="3">
        <f>IF(ISNUMBER(AVERAGE('20250815_ETF_Options_Exhibits'!X2359:X2363)),AVERAGE('20250815_ETF_Options_Exhibits'!X2359:X2363),"")</f>
        <v/>
      </c>
      <c r="Y2363" s="3">
        <f>IF(ISNUMBER(AVERAGE('20250815_ETF_Options_Exhibits'!Y2359:Y2363)),AVERAGE('20250815_ETF_Options_Exhibits'!Y2359:Y2363),"")</f>
        <v/>
      </c>
      <c r="Z2363" s="3">
        <f>IF(ISNUMBER(AVERAGE('20250815_ETF_Options_Exhibits'!Z2359:Z2363)),AVERAGE('20250815_ETF_Options_Exhibits'!Z2359:Z2363),"")</f>
        <v/>
      </c>
      <c r="AA2363" s="3">
        <f>IF(ISNUMBER(AVERAGE('20250815_ETF_Options_Exhibits'!AA2359:AA2363)),AVERAGE('20250815_ETF_Options_Exhibits'!AA2359:AA2363),"")</f>
        <v/>
      </c>
    </row>
    <row r="2364">
      <c r="A2364" s="1" t="n">
        <v>45433</v>
      </c>
      <c r="B2364" s="3">
        <f>IF(ISNUMBER(AVERAGE('20250815_ETF_Options_Exhibits'!B2360:B2364)),AVERAGE('20250815_ETF_Options_Exhibits'!B2360:B2364),"")</f>
        <v/>
      </c>
      <c r="C2364" s="3">
        <f>IF(ISNUMBER(AVERAGE('20250815_ETF_Options_Exhibits'!C2360:C2364)),AVERAGE('20250815_ETF_Options_Exhibits'!C2360:C2364),"")</f>
        <v/>
      </c>
      <c r="D2364" s="3">
        <f>IF(ISNUMBER(AVERAGE('20250815_ETF_Options_Exhibits'!D2360:D2364)),AVERAGE('20250815_ETF_Options_Exhibits'!D2360:D2364),"")</f>
        <v/>
      </c>
      <c r="E2364" s="3">
        <f>IF(ISNUMBER(AVERAGE('20250815_ETF_Options_Exhibits'!E2360:E2364)),AVERAGE('20250815_ETF_Options_Exhibits'!E2360:E2364),"")</f>
        <v/>
      </c>
      <c r="F2364" s="3">
        <f>IF(ISNUMBER(AVERAGE('20250815_ETF_Options_Exhibits'!F2360:F2364)),AVERAGE('20250815_ETF_Options_Exhibits'!F2360:F2364),"")</f>
        <v/>
      </c>
      <c r="G2364" s="3">
        <f>IF(ISNUMBER(AVERAGE('20250815_ETF_Options_Exhibits'!G2360:G2364)),AVERAGE('20250815_ETF_Options_Exhibits'!G2360:G2364),"")</f>
        <v/>
      </c>
      <c r="H2364" s="3">
        <f>IF(ISNUMBER(AVERAGE('20250815_ETF_Options_Exhibits'!H2360:H2364)),AVERAGE('20250815_ETF_Options_Exhibits'!H2360:H2364),"")</f>
        <v/>
      </c>
      <c r="I2364" s="3">
        <f>IF(ISNUMBER(AVERAGE('20250815_ETF_Options_Exhibits'!I2360:I2364)),AVERAGE('20250815_ETF_Options_Exhibits'!I2360:I2364),"")</f>
        <v/>
      </c>
      <c r="J2364" s="3">
        <f>IF(ISNUMBER(AVERAGE('20250815_ETF_Options_Exhibits'!J2360:J2364)),AVERAGE('20250815_ETF_Options_Exhibits'!J2360:J2364),"")</f>
        <v/>
      </c>
      <c r="K2364" s="3">
        <f>IF(ISNUMBER(AVERAGE('20250815_ETF_Options_Exhibits'!K2360:K2364)),AVERAGE('20250815_ETF_Options_Exhibits'!K2360:K2364),"")</f>
        <v/>
      </c>
      <c r="L2364" s="3">
        <f>IF(ISNUMBER(AVERAGE('20250815_ETF_Options_Exhibits'!L2360:L2364)),AVERAGE('20250815_ETF_Options_Exhibits'!L2360:L2364),"")</f>
        <v/>
      </c>
      <c r="M2364" s="3">
        <f>IF(ISNUMBER(AVERAGE('20250815_ETF_Options_Exhibits'!M2360:M2364)),AVERAGE('20250815_ETF_Options_Exhibits'!M2360:M2364),"")</f>
        <v/>
      </c>
      <c r="N2364" s="3">
        <f>IF(ISNUMBER(AVERAGE('20250815_ETF_Options_Exhibits'!N2360:N2364)),AVERAGE('20250815_ETF_Options_Exhibits'!N2360:N2364),"")</f>
        <v/>
      </c>
      <c r="O2364" s="3">
        <f>IF(ISNUMBER(AVERAGE('20250815_ETF_Options_Exhibits'!O2360:O2364)),AVERAGE('20250815_ETF_Options_Exhibits'!O2360:O2364),"")</f>
        <v/>
      </c>
      <c r="P2364" s="3">
        <f>IF(ISNUMBER(AVERAGE('20250815_ETF_Options_Exhibits'!P2360:P2364)),AVERAGE('20250815_ETF_Options_Exhibits'!P2360:P2364),"")</f>
        <v/>
      </c>
      <c r="Q2364" s="3">
        <f>IF(ISNUMBER(AVERAGE('20250815_ETF_Options_Exhibits'!Q2360:Q2364)),AVERAGE('20250815_ETF_Options_Exhibits'!Q2360:Q2364),"")</f>
        <v/>
      </c>
      <c r="R2364" s="3">
        <f>IF(ISNUMBER(AVERAGE('20250815_ETF_Options_Exhibits'!R2360:R2364)),AVERAGE('20250815_ETF_Options_Exhibits'!R2360:R2364),"")</f>
        <v/>
      </c>
      <c r="S2364" s="3">
        <f>IF(ISNUMBER(AVERAGE('20250815_ETF_Options_Exhibits'!S2360:S2364)),AVERAGE('20250815_ETF_Options_Exhibits'!S2360:S2364),"")</f>
        <v/>
      </c>
      <c r="T2364" s="3">
        <f>IF(ISNUMBER(AVERAGE('20250815_ETF_Options_Exhibits'!T2360:T2364)),AVERAGE('20250815_ETF_Options_Exhibits'!T2360:T2364),"")</f>
        <v/>
      </c>
      <c r="U2364" s="3">
        <f>IF(ISNUMBER(AVERAGE('20250815_ETF_Options_Exhibits'!U2360:U2364)),AVERAGE('20250815_ETF_Options_Exhibits'!U2360:U2364),"")</f>
        <v/>
      </c>
      <c r="V2364" s="3">
        <f>IF(ISNUMBER(AVERAGE('20250815_ETF_Options_Exhibits'!V2360:V2364)),AVERAGE('20250815_ETF_Options_Exhibits'!V2360:V2364),"")</f>
        <v/>
      </c>
      <c r="W2364" s="3">
        <f>IF(ISNUMBER(AVERAGE('20250815_ETF_Options_Exhibits'!W2360:W2364)),AVERAGE('20250815_ETF_Options_Exhibits'!W2360:W2364),"")</f>
        <v/>
      </c>
      <c r="X2364" s="3">
        <f>IF(ISNUMBER(AVERAGE('20250815_ETF_Options_Exhibits'!X2360:X2364)),AVERAGE('20250815_ETF_Options_Exhibits'!X2360:X2364),"")</f>
        <v/>
      </c>
      <c r="Y2364" s="3">
        <f>IF(ISNUMBER(AVERAGE('20250815_ETF_Options_Exhibits'!Y2360:Y2364)),AVERAGE('20250815_ETF_Options_Exhibits'!Y2360:Y2364),"")</f>
        <v/>
      </c>
      <c r="Z2364" s="3">
        <f>IF(ISNUMBER(AVERAGE('20250815_ETF_Options_Exhibits'!Z2360:Z2364)),AVERAGE('20250815_ETF_Options_Exhibits'!Z2360:Z2364),"")</f>
        <v/>
      </c>
      <c r="AA2364" s="3">
        <f>IF(ISNUMBER(AVERAGE('20250815_ETF_Options_Exhibits'!AA2360:AA2364)),AVERAGE('20250815_ETF_Options_Exhibits'!AA2360:AA2364),"")</f>
        <v/>
      </c>
    </row>
    <row r="2365">
      <c r="A2365" s="1" t="n">
        <v>45434</v>
      </c>
      <c r="B2365" s="3">
        <f>IF(ISNUMBER(AVERAGE('20250815_ETF_Options_Exhibits'!B2361:B2365)),AVERAGE('20250815_ETF_Options_Exhibits'!B2361:B2365),"")</f>
        <v/>
      </c>
      <c r="C2365" s="3">
        <f>IF(ISNUMBER(AVERAGE('20250815_ETF_Options_Exhibits'!C2361:C2365)),AVERAGE('20250815_ETF_Options_Exhibits'!C2361:C2365),"")</f>
        <v/>
      </c>
      <c r="D2365" s="3">
        <f>IF(ISNUMBER(AVERAGE('20250815_ETF_Options_Exhibits'!D2361:D2365)),AVERAGE('20250815_ETF_Options_Exhibits'!D2361:D2365),"")</f>
        <v/>
      </c>
      <c r="E2365" s="3">
        <f>IF(ISNUMBER(AVERAGE('20250815_ETF_Options_Exhibits'!E2361:E2365)),AVERAGE('20250815_ETF_Options_Exhibits'!E2361:E2365),"")</f>
        <v/>
      </c>
      <c r="F2365" s="3">
        <f>IF(ISNUMBER(AVERAGE('20250815_ETF_Options_Exhibits'!F2361:F2365)),AVERAGE('20250815_ETF_Options_Exhibits'!F2361:F2365),"")</f>
        <v/>
      </c>
      <c r="G2365" s="3">
        <f>IF(ISNUMBER(AVERAGE('20250815_ETF_Options_Exhibits'!G2361:G2365)),AVERAGE('20250815_ETF_Options_Exhibits'!G2361:G2365),"")</f>
        <v/>
      </c>
      <c r="H2365" s="3">
        <f>IF(ISNUMBER(AVERAGE('20250815_ETF_Options_Exhibits'!H2361:H2365)),AVERAGE('20250815_ETF_Options_Exhibits'!H2361:H2365),"")</f>
        <v/>
      </c>
      <c r="I2365" s="3">
        <f>IF(ISNUMBER(AVERAGE('20250815_ETF_Options_Exhibits'!I2361:I2365)),AVERAGE('20250815_ETF_Options_Exhibits'!I2361:I2365),"")</f>
        <v/>
      </c>
      <c r="J2365" s="3">
        <f>IF(ISNUMBER(AVERAGE('20250815_ETF_Options_Exhibits'!J2361:J2365)),AVERAGE('20250815_ETF_Options_Exhibits'!J2361:J2365),"")</f>
        <v/>
      </c>
      <c r="K2365" s="3">
        <f>IF(ISNUMBER(AVERAGE('20250815_ETF_Options_Exhibits'!K2361:K2365)),AVERAGE('20250815_ETF_Options_Exhibits'!K2361:K2365),"")</f>
        <v/>
      </c>
      <c r="L2365" s="3">
        <f>IF(ISNUMBER(AVERAGE('20250815_ETF_Options_Exhibits'!L2361:L2365)),AVERAGE('20250815_ETF_Options_Exhibits'!L2361:L2365),"")</f>
        <v/>
      </c>
      <c r="M2365" s="3">
        <f>IF(ISNUMBER(AVERAGE('20250815_ETF_Options_Exhibits'!M2361:M2365)),AVERAGE('20250815_ETF_Options_Exhibits'!M2361:M2365),"")</f>
        <v/>
      </c>
      <c r="N2365" s="3">
        <f>IF(ISNUMBER(AVERAGE('20250815_ETF_Options_Exhibits'!N2361:N2365)),AVERAGE('20250815_ETF_Options_Exhibits'!N2361:N2365),"")</f>
        <v/>
      </c>
      <c r="O2365" s="3">
        <f>IF(ISNUMBER(AVERAGE('20250815_ETF_Options_Exhibits'!O2361:O2365)),AVERAGE('20250815_ETF_Options_Exhibits'!O2361:O2365),"")</f>
        <v/>
      </c>
      <c r="P2365" s="3">
        <f>IF(ISNUMBER(AVERAGE('20250815_ETF_Options_Exhibits'!P2361:P2365)),AVERAGE('20250815_ETF_Options_Exhibits'!P2361:P2365),"")</f>
        <v/>
      </c>
      <c r="Q2365" s="3">
        <f>IF(ISNUMBER(AVERAGE('20250815_ETF_Options_Exhibits'!Q2361:Q2365)),AVERAGE('20250815_ETF_Options_Exhibits'!Q2361:Q2365),"")</f>
        <v/>
      </c>
      <c r="R2365" s="3">
        <f>IF(ISNUMBER(AVERAGE('20250815_ETF_Options_Exhibits'!R2361:R2365)),AVERAGE('20250815_ETF_Options_Exhibits'!R2361:R2365),"")</f>
        <v/>
      </c>
      <c r="S2365" s="3">
        <f>IF(ISNUMBER(AVERAGE('20250815_ETF_Options_Exhibits'!S2361:S2365)),AVERAGE('20250815_ETF_Options_Exhibits'!S2361:S2365),"")</f>
        <v/>
      </c>
      <c r="T2365" s="3">
        <f>IF(ISNUMBER(AVERAGE('20250815_ETF_Options_Exhibits'!T2361:T2365)),AVERAGE('20250815_ETF_Options_Exhibits'!T2361:T2365),"")</f>
        <v/>
      </c>
      <c r="U2365" s="3">
        <f>IF(ISNUMBER(AVERAGE('20250815_ETF_Options_Exhibits'!U2361:U2365)),AVERAGE('20250815_ETF_Options_Exhibits'!U2361:U2365),"")</f>
        <v/>
      </c>
      <c r="V2365" s="3">
        <f>IF(ISNUMBER(AVERAGE('20250815_ETF_Options_Exhibits'!V2361:V2365)),AVERAGE('20250815_ETF_Options_Exhibits'!V2361:V2365),"")</f>
        <v/>
      </c>
      <c r="W2365" s="3">
        <f>IF(ISNUMBER(AVERAGE('20250815_ETF_Options_Exhibits'!W2361:W2365)),AVERAGE('20250815_ETF_Options_Exhibits'!W2361:W2365),"")</f>
        <v/>
      </c>
      <c r="X2365" s="3">
        <f>IF(ISNUMBER(AVERAGE('20250815_ETF_Options_Exhibits'!X2361:X2365)),AVERAGE('20250815_ETF_Options_Exhibits'!X2361:X2365),"")</f>
        <v/>
      </c>
      <c r="Y2365" s="3">
        <f>IF(ISNUMBER(AVERAGE('20250815_ETF_Options_Exhibits'!Y2361:Y2365)),AVERAGE('20250815_ETF_Options_Exhibits'!Y2361:Y2365),"")</f>
        <v/>
      </c>
      <c r="Z2365" s="3">
        <f>IF(ISNUMBER(AVERAGE('20250815_ETF_Options_Exhibits'!Z2361:Z2365)),AVERAGE('20250815_ETF_Options_Exhibits'!Z2361:Z2365),"")</f>
        <v/>
      </c>
      <c r="AA2365" s="3">
        <f>IF(ISNUMBER(AVERAGE('20250815_ETF_Options_Exhibits'!AA2361:AA2365)),AVERAGE('20250815_ETF_Options_Exhibits'!AA2361:AA2365),"")</f>
        <v/>
      </c>
    </row>
    <row r="2366">
      <c r="A2366" s="1" t="n">
        <v>45435</v>
      </c>
      <c r="B2366" s="3">
        <f>IF(ISNUMBER(AVERAGE('20250815_ETF_Options_Exhibits'!B2362:B2366)),AVERAGE('20250815_ETF_Options_Exhibits'!B2362:B2366),"")</f>
        <v/>
      </c>
      <c r="C2366" s="3">
        <f>IF(ISNUMBER(AVERAGE('20250815_ETF_Options_Exhibits'!C2362:C2366)),AVERAGE('20250815_ETF_Options_Exhibits'!C2362:C2366),"")</f>
        <v/>
      </c>
      <c r="D2366" s="3">
        <f>IF(ISNUMBER(AVERAGE('20250815_ETF_Options_Exhibits'!D2362:D2366)),AVERAGE('20250815_ETF_Options_Exhibits'!D2362:D2366),"")</f>
        <v/>
      </c>
      <c r="E2366" s="3">
        <f>IF(ISNUMBER(AVERAGE('20250815_ETF_Options_Exhibits'!E2362:E2366)),AVERAGE('20250815_ETF_Options_Exhibits'!E2362:E2366),"")</f>
        <v/>
      </c>
      <c r="F2366" s="3">
        <f>IF(ISNUMBER(AVERAGE('20250815_ETF_Options_Exhibits'!F2362:F2366)),AVERAGE('20250815_ETF_Options_Exhibits'!F2362:F2366),"")</f>
        <v/>
      </c>
      <c r="G2366" s="3">
        <f>IF(ISNUMBER(AVERAGE('20250815_ETF_Options_Exhibits'!G2362:G2366)),AVERAGE('20250815_ETF_Options_Exhibits'!G2362:G2366),"")</f>
        <v/>
      </c>
      <c r="H2366" s="3">
        <f>IF(ISNUMBER(AVERAGE('20250815_ETF_Options_Exhibits'!H2362:H2366)),AVERAGE('20250815_ETF_Options_Exhibits'!H2362:H2366),"")</f>
        <v/>
      </c>
      <c r="I2366" s="3">
        <f>IF(ISNUMBER(AVERAGE('20250815_ETF_Options_Exhibits'!I2362:I2366)),AVERAGE('20250815_ETF_Options_Exhibits'!I2362:I2366),"")</f>
        <v/>
      </c>
      <c r="J2366" s="3">
        <f>IF(ISNUMBER(AVERAGE('20250815_ETF_Options_Exhibits'!J2362:J2366)),AVERAGE('20250815_ETF_Options_Exhibits'!J2362:J2366),"")</f>
        <v/>
      </c>
      <c r="K2366" s="3">
        <f>IF(ISNUMBER(AVERAGE('20250815_ETF_Options_Exhibits'!K2362:K2366)),AVERAGE('20250815_ETF_Options_Exhibits'!K2362:K2366),"")</f>
        <v/>
      </c>
      <c r="L2366" s="3">
        <f>IF(ISNUMBER(AVERAGE('20250815_ETF_Options_Exhibits'!L2362:L2366)),AVERAGE('20250815_ETF_Options_Exhibits'!L2362:L2366),"")</f>
        <v/>
      </c>
      <c r="M2366" s="3">
        <f>IF(ISNUMBER(AVERAGE('20250815_ETF_Options_Exhibits'!M2362:M2366)),AVERAGE('20250815_ETF_Options_Exhibits'!M2362:M2366),"")</f>
        <v/>
      </c>
      <c r="N2366" s="3">
        <f>IF(ISNUMBER(AVERAGE('20250815_ETF_Options_Exhibits'!N2362:N2366)),AVERAGE('20250815_ETF_Options_Exhibits'!N2362:N2366),"")</f>
        <v/>
      </c>
      <c r="O2366" s="3">
        <f>IF(ISNUMBER(AVERAGE('20250815_ETF_Options_Exhibits'!O2362:O2366)),AVERAGE('20250815_ETF_Options_Exhibits'!O2362:O2366),"")</f>
        <v/>
      </c>
      <c r="P2366" s="3">
        <f>IF(ISNUMBER(AVERAGE('20250815_ETF_Options_Exhibits'!P2362:P2366)),AVERAGE('20250815_ETF_Options_Exhibits'!P2362:P2366),"")</f>
        <v/>
      </c>
      <c r="Q2366" s="3">
        <f>IF(ISNUMBER(AVERAGE('20250815_ETF_Options_Exhibits'!Q2362:Q2366)),AVERAGE('20250815_ETF_Options_Exhibits'!Q2362:Q2366),"")</f>
        <v/>
      </c>
      <c r="R2366" s="3">
        <f>IF(ISNUMBER(AVERAGE('20250815_ETF_Options_Exhibits'!R2362:R2366)),AVERAGE('20250815_ETF_Options_Exhibits'!R2362:R2366),"")</f>
        <v/>
      </c>
      <c r="S2366" s="3">
        <f>IF(ISNUMBER(AVERAGE('20250815_ETF_Options_Exhibits'!S2362:S2366)),AVERAGE('20250815_ETF_Options_Exhibits'!S2362:S2366),"")</f>
        <v/>
      </c>
      <c r="T2366" s="3">
        <f>IF(ISNUMBER(AVERAGE('20250815_ETF_Options_Exhibits'!T2362:T2366)),AVERAGE('20250815_ETF_Options_Exhibits'!T2362:T2366),"")</f>
        <v/>
      </c>
      <c r="U2366" s="3">
        <f>IF(ISNUMBER(AVERAGE('20250815_ETF_Options_Exhibits'!U2362:U2366)),AVERAGE('20250815_ETF_Options_Exhibits'!U2362:U2366),"")</f>
        <v/>
      </c>
      <c r="V2366" s="3">
        <f>IF(ISNUMBER(AVERAGE('20250815_ETF_Options_Exhibits'!V2362:V2366)),AVERAGE('20250815_ETF_Options_Exhibits'!V2362:V2366),"")</f>
        <v/>
      </c>
      <c r="W2366" s="3">
        <f>IF(ISNUMBER(AVERAGE('20250815_ETF_Options_Exhibits'!W2362:W2366)),AVERAGE('20250815_ETF_Options_Exhibits'!W2362:W2366),"")</f>
        <v/>
      </c>
      <c r="X2366" s="3">
        <f>IF(ISNUMBER(AVERAGE('20250815_ETF_Options_Exhibits'!X2362:X2366)),AVERAGE('20250815_ETF_Options_Exhibits'!X2362:X2366),"")</f>
        <v/>
      </c>
      <c r="Y2366" s="3">
        <f>IF(ISNUMBER(AVERAGE('20250815_ETF_Options_Exhibits'!Y2362:Y2366)),AVERAGE('20250815_ETF_Options_Exhibits'!Y2362:Y2366),"")</f>
        <v/>
      </c>
      <c r="Z2366" s="3">
        <f>IF(ISNUMBER(AVERAGE('20250815_ETF_Options_Exhibits'!Z2362:Z2366)),AVERAGE('20250815_ETF_Options_Exhibits'!Z2362:Z2366),"")</f>
        <v/>
      </c>
      <c r="AA2366" s="3">
        <f>IF(ISNUMBER(AVERAGE('20250815_ETF_Options_Exhibits'!AA2362:AA2366)),AVERAGE('20250815_ETF_Options_Exhibits'!AA2362:AA2366),"")</f>
        <v/>
      </c>
    </row>
    <row r="2367">
      <c r="A2367" s="1" t="n">
        <v>45436</v>
      </c>
      <c r="B2367" s="3">
        <f>IF(ISNUMBER(AVERAGE('20250815_ETF_Options_Exhibits'!B2363:B2367)),AVERAGE('20250815_ETF_Options_Exhibits'!B2363:B2367),"")</f>
        <v/>
      </c>
      <c r="C2367" s="3">
        <f>IF(ISNUMBER(AVERAGE('20250815_ETF_Options_Exhibits'!C2363:C2367)),AVERAGE('20250815_ETF_Options_Exhibits'!C2363:C2367),"")</f>
        <v/>
      </c>
      <c r="D2367" s="3">
        <f>IF(ISNUMBER(AVERAGE('20250815_ETF_Options_Exhibits'!D2363:D2367)),AVERAGE('20250815_ETF_Options_Exhibits'!D2363:D2367),"")</f>
        <v/>
      </c>
      <c r="E2367" s="3">
        <f>IF(ISNUMBER(AVERAGE('20250815_ETF_Options_Exhibits'!E2363:E2367)),AVERAGE('20250815_ETF_Options_Exhibits'!E2363:E2367),"")</f>
        <v/>
      </c>
      <c r="F2367" s="3">
        <f>IF(ISNUMBER(AVERAGE('20250815_ETF_Options_Exhibits'!F2363:F2367)),AVERAGE('20250815_ETF_Options_Exhibits'!F2363:F2367),"")</f>
        <v/>
      </c>
      <c r="G2367" s="3">
        <f>IF(ISNUMBER(AVERAGE('20250815_ETF_Options_Exhibits'!G2363:G2367)),AVERAGE('20250815_ETF_Options_Exhibits'!G2363:G2367),"")</f>
        <v/>
      </c>
      <c r="H2367" s="3">
        <f>IF(ISNUMBER(AVERAGE('20250815_ETF_Options_Exhibits'!H2363:H2367)),AVERAGE('20250815_ETF_Options_Exhibits'!H2363:H2367),"")</f>
        <v/>
      </c>
      <c r="I2367" s="3">
        <f>IF(ISNUMBER(AVERAGE('20250815_ETF_Options_Exhibits'!I2363:I2367)),AVERAGE('20250815_ETF_Options_Exhibits'!I2363:I2367),"")</f>
        <v/>
      </c>
      <c r="J2367" s="3">
        <f>IF(ISNUMBER(AVERAGE('20250815_ETF_Options_Exhibits'!J2363:J2367)),AVERAGE('20250815_ETF_Options_Exhibits'!J2363:J2367),"")</f>
        <v/>
      </c>
      <c r="K2367" s="3">
        <f>IF(ISNUMBER(AVERAGE('20250815_ETF_Options_Exhibits'!K2363:K2367)),AVERAGE('20250815_ETF_Options_Exhibits'!K2363:K2367),"")</f>
        <v/>
      </c>
      <c r="L2367" s="3">
        <f>IF(ISNUMBER(AVERAGE('20250815_ETF_Options_Exhibits'!L2363:L2367)),AVERAGE('20250815_ETF_Options_Exhibits'!L2363:L2367),"")</f>
        <v/>
      </c>
      <c r="M2367" s="3">
        <f>IF(ISNUMBER(AVERAGE('20250815_ETF_Options_Exhibits'!M2363:M2367)),AVERAGE('20250815_ETF_Options_Exhibits'!M2363:M2367),"")</f>
        <v/>
      </c>
      <c r="N2367" s="3">
        <f>IF(ISNUMBER(AVERAGE('20250815_ETF_Options_Exhibits'!N2363:N2367)),AVERAGE('20250815_ETF_Options_Exhibits'!N2363:N2367),"")</f>
        <v/>
      </c>
      <c r="O2367" s="3">
        <f>IF(ISNUMBER(AVERAGE('20250815_ETF_Options_Exhibits'!O2363:O2367)),AVERAGE('20250815_ETF_Options_Exhibits'!O2363:O2367),"")</f>
        <v/>
      </c>
      <c r="P2367" s="3">
        <f>IF(ISNUMBER(AVERAGE('20250815_ETF_Options_Exhibits'!P2363:P2367)),AVERAGE('20250815_ETF_Options_Exhibits'!P2363:P2367),"")</f>
        <v/>
      </c>
      <c r="Q2367" s="3">
        <f>IF(ISNUMBER(AVERAGE('20250815_ETF_Options_Exhibits'!Q2363:Q2367)),AVERAGE('20250815_ETF_Options_Exhibits'!Q2363:Q2367),"")</f>
        <v/>
      </c>
      <c r="R2367" s="3">
        <f>IF(ISNUMBER(AVERAGE('20250815_ETF_Options_Exhibits'!R2363:R2367)),AVERAGE('20250815_ETF_Options_Exhibits'!R2363:R2367),"")</f>
        <v/>
      </c>
      <c r="S2367" s="3">
        <f>IF(ISNUMBER(AVERAGE('20250815_ETF_Options_Exhibits'!S2363:S2367)),AVERAGE('20250815_ETF_Options_Exhibits'!S2363:S2367),"")</f>
        <v/>
      </c>
      <c r="T2367" s="3">
        <f>IF(ISNUMBER(AVERAGE('20250815_ETF_Options_Exhibits'!T2363:T2367)),AVERAGE('20250815_ETF_Options_Exhibits'!T2363:T2367),"")</f>
        <v/>
      </c>
      <c r="U2367" s="3">
        <f>IF(ISNUMBER(AVERAGE('20250815_ETF_Options_Exhibits'!U2363:U2367)),AVERAGE('20250815_ETF_Options_Exhibits'!U2363:U2367),"")</f>
        <v/>
      </c>
      <c r="V2367" s="3">
        <f>IF(ISNUMBER(AVERAGE('20250815_ETF_Options_Exhibits'!V2363:V2367)),AVERAGE('20250815_ETF_Options_Exhibits'!V2363:V2367),"")</f>
        <v/>
      </c>
      <c r="W2367" s="3">
        <f>IF(ISNUMBER(AVERAGE('20250815_ETF_Options_Exhibits'!W2363:W2367)),AVERAGE('20250815_ETF_Options_Exhibits'!W2363:W2367),"")</f>
        <v/>
      </c>
      <c r="X2367" s="3">
        <f>IF(ISNUMBER(AVERAGE('20250815_ETF_Options_Exhibits'!X2363:X2367)),AVERAGE('20250815_ETF_Options_Exhibits'!X2363:X2367),"")</f>
        <v/>
      </c>
      <c r="Y2367" s="3">
        <f>IF(ISNUMBER(AVERAGE('20250815_ETF_Options_Exhibits'!Y2363:Y2367)),AVERAGE('20250815_ETF_Options_Exhibits'!Y2363:Y2367),"")</f>
        <v/>
      </c>
      <c r="Z2367" s="3">
        <f>IF(ISNUMBER(AVERAGE('20250815_ETF_Options_Exhibits'!Z2363:Z2367)),AVERAGE('20250815_ETF_Options_Exhibits'!Z2363:Z2367),"")</f>
        <v/>
      </c>
      <c r="AA2367" s="3">
        <f>IF(ISNUMBER(AVERAGE('20250815_ETF_Options_Exhibits'!AA2363:AA2367)),AVERAGE('20250815_ETF_Options_Exhibits'!AA2363:AA2367),"")</f>
        <v/>
      </c>
    </row>
    <row r="2368">
      <c r="A2368" s="1" t="n">
        <v>45440</v>
      </c>
      <c r="B2368" s="3">
        <f>IF(ISNUMBER(AVERAGE('20250815_ETF_Options_Exhibits'!B2364:B2368)),AVERAGE('20250815_ETF_Options_Exhibits'!B2364:B2368),"")</f>
        <v/>
      </c>
      <c r="C2368" s="3">
        <f>IF(ISNUMBER(AVERAGE('20250815_ETF_Options_Exhibits'!C2364:C2368)),AVERAGE('20250815_ETF_Options_Exhibits'!C2364:C2368),"")</f>
        <v/>
      </c>
      <c r="D2368" s="3">
        <f>IF(ISNUMBER(AVERAGE('20250815_ETF_Options_Exhibits'!D2364:D2368)),AVERAGE('20250815_ETF_Options_Exhibits'!D2364:D2368),"")</f>
        <v/>
      </c>
      <c r="E2368" s="3">
        <f>IF(ISNUMBER(AVERAGE('20250815_ETF_Options_Exhibits'!E2364:E2368)),AVERAGE('20250815_ETF_Options_Exhibits'!E2364:E2368),"")</f>
        <v/>
      </c>
      <c r="F2368" s="3">
        <f>IF(ISNUMBER(AVERAGE('20250815_ETF_Options_Exhibits'!F2364:F2368)),AVERAGE('20250815_ETF_Options_Exhibits'!F2364:F2368),"")</f>
        <v/>
      </c>
      <c r="G2368" s="3">
        <f>IF(ISNUMBER(AVERAGE('20250815_ETF_Options_Exhibits'!G2364:G2368)),AVERAGE('20250815_ETF_Options_Exhibits'!G2364:G2368),"")</f>
        <v/>
      </c>
      <c r="H2368" s="3">
        <f>IF(ISNUMBER(AVERAGE('20250815_ETF_Options_Exhibits'!H2364:H2368)),AVERAGE('20250815_ETF_Options_Exhibits'!H2364:H2368),"")</f>
        <v/>
      </c>
      <c r="I2368" s="3">
        <f>IF(ISNUMBER(AVERAGE('20250815_ETF_Options_Exhibits'!I2364:I2368)),AVERAGE('20250815_ETF_Options_Exhibits'!I2364:I2368),"")</f>
        <v/>
      </c>
      <c r="J2368" s="3">
        <f>IF(ISNUMBER(AVERAGE('20250815_ETF_Options_Exhibits'!J2364:J2368)),AVERAGE('20250815_ETF_Options_Exhibits'!J2364:J2368),"")</f>
        <v/>
      </c>
      <c r="K2368" s="3">
        <f>IF(ISNUMBER(AVERAGE('20250815_ETF_Options_Exhibits'!K2364:K2368)),AVERAGE('20250815_ETF_Options_Exhibits'!K2364:K2368),"")</f>
        <v/>
      </c>
      <c r="L2368" s="3">
        <f>IF(ISNUMBER(AVERAGE('20250815_ETF_Options_Exhibits'!L2364:L2368)),AVERAGE('20250815_ETF_Options_Exhibits'!L2364:L2368),"")</f>
        <v/>
      </c>
      <c r="M2368" s="3">
        <f>IF(ISNUMBER(AVERAGE('20250815_ETF_Options_Exhibits'!M2364:M2368)),AVERAGE('20250815_ETF_Options_Exhibits'!M2364:M2368),"")</f>
        <v/>
      </c>
      <c r="N2368" s="3">
        <f>IF(ISNUMBER(AVERAGE('20250815_ETF_Options_Exhibits'!N2364:N2368)),AVERAGE('20250815_ETF_Options_Exhibits'!N2364:N2368),"")</f>
        <v/>
      </c>
      <c r="O2368" s="3">
        <f>IF(ISNUMBER(AVERAGE('20250815_ETF_Options_Exhibits'!O2364:O2368)),AVERAGE('20250815_ETF_Options_Exhibits'!O2364:O2368),"")</f>
        <v/>
      </c>
      <c r="P2368" s="3">
        <f>IF(ISNUMBER(AVERAGE('20250815_ETF_Options_Exhibits'!P2364:P2368)),AVERAGE('20250815_ETF_Options_Exhibits'!P2364:P2368),"")</f>
        <v/>
      </c>
      <c r="Q2368" s="3">
        <f>IF(ISNUMBER(AVERAGE('20250815_ETF_Options_Exhibits'!Q2364:Q2368)),AVERAGE('20250815_ETF_Options_Exhibits'!Q2364:Q2368),"")</f>
        <v/>
      </c>
      <c r="R2368" s="3">
        <f>IF(ISNUMBER(AVERAGE('20250815_ETF_Options_Exhibits'!R2364:R2368)),AVERAGE('20250815_ETF_Options_Exhibits'!R2364:R2368),"")</f>
        <v/>
      </c>
      <c r="S2368" s="3">
        <f>IF(ISNUMBER(AVERAGE('20250815_ETF_Options_Exhibits'!S2364:S2368)),AVERAGE('20250815_ETF_Options_Exhibits'!S2364:S2368),"")</f>
        <v/>
      </c>
      <c r="T2368" s="3">
        <f>IF(ISNUMBER(AVERAGE('20250815_ETF_Options_Exhibits'!T2364:T2368)),AVERAGE('20250815_ETF_Options_Exhibits'!T2364:T2368),"")</f>
        <v/>
      </c>
      <c r="U2368" s="3">
        <f>IF(ISNUMBER(AVERAGE('20250815_ETF_Options_Exhibits'!U2364:U2368)),AVERAGE('20250815_ETF_Options_Exhibits'!U2364:U2368),"")</f>
        <v/>
      </c>
      <c r="V2368" s="3">
        <f>IF(ISNUMBER(AVERAGE('20250815_ETF_Options_Exhibits'!V2364:V2368)),AVERAGE('20250815_ETF_Options_Exhibits'!V2364:V2368),"")</f>
        <v/>
      </c>
      <c r="W2368" s="3">
        <f>IF(ISNUMBER(AVERAGE('20250815_ETF_Options_Exhibits'!W2364:W2368)),AVERAGE('20250815_ETF_Options_Exhibits'!W2364:W2368),"")</f>
        <v/>
      </c>
      <c r="X2368" s="3">
        <f>IF(ISNUMBER(AVERAGE('20250815_ETF_Options_Exhibits'!X2364:X2368)),AVERAGE('20250815_ETF_Options_Exhibits'!X2364:X2368),"")</f>
        <v/>
      </c>
      <c r="Y2368" s="3">
        <f>IF(ISNUMBER(AVERAGE('20250815_ETF_Options_Exhibits'!Y2364:Y2368)),AVERAGE('20250815_ETF_Options_Exhibits'!Y2364:Y2368),"")</f>
        <v/>
      </c>
      <c r="Z2368" s="3">
        <f>IF(ISNUMBER(AVERAGE('20250815_ETF_Options_Exhibits'!Z2364:Z2368)),AVERAGE('20250815_ETF_Options_Exhibits'!Z2364:Z2368),"")</f>
        <v/>
      </c>
      <c r="AA2368" s="3">
        <f>IF(ISNUMBER(AVERAGE('20250815_ETF_Options_Exhibits'!AA2364:AA2368)),AVERAGE('20250815_ETF_Options_Exhibits'!AA2364:AA2368),"")</f>
        <v/>
      </c>
    </row>
    <row r="2369">
      <c r="A2369" s="1" t="n">
        <v>45441</v>
      </c>
      <c r="B2369" s="3">
        <f>IF(ISNUMBER(AVERAGE('20250815_ETF_Options_Exhibits'!B2365:B2369)),AVERAGE('20250815_ETF_Options_Exhibits'!B2365:B2369),"")</f>
        <v/>
      </c>
      <c r="C2369" s="3">
        <f>IF(ISNUMBER(AVERAGE('20250815_ETF_Options_Exhibits'!C2365:C2369)),AVERAGE('20250815_ETF_Options_Exhibits'!C2365:C2369),"")</f>
        <v/>
      </c>
      <c r="D2369" s="3">
        <f>IF(ISNUMBER(AVERAGE('20250815_ETF_Options_Exhibits'!D2365:D2369)),AVERAGE('20250815_ETF_Options_Exhibits'!D2365:D2369),"")</f>
        <v/>
      </c>
      <c r="E2369" s="3">
        <f>IF(ISNUMBER(AVERAGE('20250815_ETF_Options_Exhibits'!E2365:E2369)),AVERAGE('20250815_ETF_Options_Exhibits'!E2365:E2369),"")</f>
        <v/>
      </c>
      <c r="F2369" s="3">
        <f>IF(ISNUMBER(AVERAGE('20250815_ETF_Options_Exhibits'!F2365:F2369)),AVERAGE('20250815_ETF_Options_Exhibits'!F2365:F2369),"")</f>
        <v/>
      </c>
      <c r="G2369" s="3">
        <f>IF(ISNUMBER(AVERAGE('20250815_ETF_Options_Exhibits'!G2365:G2369)),AVERAGE('20250815_ETF_Options_Exhibits'!G2365:G2369),"")</f>
        <v/>
      </c>
      <c r="H2369" s="3">
        <f>IF(ISNUMBER(AVERAGE('20250815_ETF_Options_Exhibits'!H2365:H2369)),AVERAGE('20250815_ETF_Options_Exhibits'!H2365:H2369),"")</f>
        <v/>
      </c>
      <c r="I2369" s="3">
        <f>IF(ISNUMBER(AVERAGE('20250815_ETF_Options_Exhibits'!I2365:I2369)),AVERAGE('20250815_ETF_Options_Exhibits'!I2365:I2369),"")</f>
        <v/>
      </c>
      <c r="J2369" s="3">
        <f>IF(ISNUMBER(AVERAGE('20250815_ETF_Options_Exhibits'!J2365:J2369)),AVERAGE('20250815_ETF_Options_Exhibits'!J2365:J2369),"")</f>
        <v/>
      </c>
      <c r="K2369" s="3">
        <f>IF(ISNUMBER(AVERAGE('20250815_ETF_Options_Exhibits'!K2365:K2369)),AVERAGE('20250815_ETF_Options_Exhibits'!K2365:K2369),"")</f>
        <v/>
      </c>
      <c r="L2369" s="3">
        <f>IF(ISNUMBER(AVERAGE('20250815_ETF_Options_Exhibits'!L2365:L2369)),AVERAGE('20250815_ETF_Options_Exhibits'!L2365:L2369),"")</f>
        <v/>
      </c>
      <c r="M2369" s="3">
        <f>IF(ISNUMBER(AVERAGE('20250815_ETF_Options_Exhibits'!M2365:M2369)),AVERAGE('20250815_ETF_Options_Exhibits'!M2365:M2369),"")</f>
        <v/>
      </c>
      <c r="N2369" s="3">
        <f>IF(ISNUMBER(AVERAGE('20250815_ETF_Options_Exhibits'!N2365:N2369)),AVERAGE('20250815_ETF_Options_Exhibits'!N2365:N2369),"")</f>
        <v/>
      </c>
      <c r="O2369" s="3">
        <f>IF(ISNUMBER(AVERAGE('20250815_ETF_Options_Exhibits'!O2365:O2369)),AVERAGE('20250815_ETF_Options_Exhibits'!O2365:O2369),"")</f>
        <v/>
      </c>
      <c r="P2369" s="3">
        <f>IF(ISNUMBER(AVERAGE('20250815_ETF_Options_Exhibits'!P2365:P2369)),AVERAGE('20250815_ETF_Options_Exhibits'!P2365:P2369),"")</f>
        <v/>
      </c>
      <c r="Q2369" s="3">
        <f>IF(ISNUMBER(AVERAGE('20250815_ETF_Options_Exhibits'!Q2365:Q2369)),AVERAGE('20250815_ETF_Options_Exhibits'!Q2365:Q2369),"")</f>
        <v/>
      </c>
      <c r="R2369" s="3">
        <f>IF(ISNUMBER(AVERAGE('20250815_ETF_Options_Exhibits'!R2365:R2369)),AVERAGE('20250815_ETF_Options_Exhibits'!R2365:R2369),"")</f>
        <v/>
      </c>
      <c r="S2369" s="3">
        <f>IF(ISNUMBER(AVERAGE('20250815_ETF_Options_Exhibits'!S2365:S2369)),AVERAGE('20250815_ETF_Options_Exhibits'!S2365:S2369),"")</f>
        <v/>
      </c>
      <c r="T2369" s="3">
        <f>IF(ISNUMBER(AVERAGE('20250815_ETF_Options_Exhibits'!T2365:T2369)),AVERAGE('20250815_ETF_Options_Exhibits'!T2365:T2369),"")</f>
        <v/>
      </c>
      <c r="U2369" s="3">
        <f>IF(ISNUMBER(AVERAGE('20250815_ETF_Options_Exhibits'!U2365:U2369)),AVERAGE('20250815_ETF_Options_Exhibits'!U2365:U2369),"")</f>
        <v/>
      </c>
      <c r="V2369" s="3">
        <f>IF(ISNUMBER(AVERAGE('20250815_ETF_Options_Exhibits'!V2365:V2369)),AVERAGE('20250815_ETF_Options_Exhibits'!V2365:V2369),"")</f>
        <v/>
      </c>
      <c r="W2369" s="3">
        <f>IF(ISNUMBER(AVERAGE('20250815_ETF_Options_Exhibits'!W2365:W2369)),AVERAGE('20250815_ETF_Options_Exhibits'!W2365:W2369),"")</f>
        <v/>
      </c>
      <c r="X2369" s="3">
        <f>IF(ISNUMBER(AVERAGE('20250815_ETF_Options_Exhibits'!X2365:X2369)),AVERAGE('20250815_ETF_Options_Exhibits'!X2365:X2369),"")</f>
        <v/>
      </c>
      <c r="Y2369" s="3">
        <f>IF(ISNUMBER(AVERAGE('20250815_ETF_Options_Exhibits'!Y2365:Y2369)),AVERAGE('20250815_ETF_Options_Exhibits'!Y2365:Y2369),"")</f>
        <v/>
      </c>
      <c r="Z2369" s="3">
        <f>IF(ISNUMBER(AVERAGE('20250815_ETF_Options_Exhibits'!Z2365:Z2369)),AVERAGE('20250815_ETF_Options_Exhibits'!Z2365:Z2369),"")</f>
        <v/>
      </c>
      <c r="AA2369" s="3">
        <f>IF(ISNUMBER(AVERAGE('20250815_ETF_Options_Exhibits'!AA2365:AA2369)),AVERAGE('20250815_ETF_Options_Exhibits'!AA2365:AA2369),"")</f>
        <v/>
      </c>
    </row>
    <row r="2370">
      <c r="A2370" s="1" t="n">
        <v>45442</v>
      </c>
      <c r="B2370" s="3">
        <f>IF(ISNUMBER(AVERAGE('20250815_ETF_Options_Exhibits'!B2366:B2370)),AVERAGE('20250815_ETF_Options_Exhibits'!B2366:B2370),"")</f>
        <v/>
      </c>
      <c r="C2370" s="3">
        <f>IF(ISNUMBER(AVERAGE('20250815_ETF_Options_Exhibits'!C2366:C2370)),AVERAGE('20250815_ETF_Options_Exhibits'!C2366:C2370),"")</f>
        <v/>
      </c>
      <c r="D2370" s="3">
        <f>IF(ISNUMBER(AVERAGE('20250815_ETF_Options_Exhibits'!D2366:D2370)),AVERAGE('20250815_ETF_Options_Exhibits'!D2366:D2370),"")</f>
        <v/>
      </c>
      <c r="E2370" s="3">
        <f>IF(ISNUMBER(AVERAGE('20250815_ETF_Options_Exhibits'!E2366:E2370)),AVERAGE('20250815_ETF_Options_Exhibits'!E2366:E2370),"")</f>
        <v/>
      </c>
      <c r="F2370" s="3">
        <f>IF(ISNUMBER(AVERAGE('20250815_ETF_Options_Exhibits'!F2366:F2370)),AVERAGE('20250815_ETF_Options_Exhibits'!F2366:F2370),"")</f>
        <v/>
      </c>
      <c r="G2370" s="3">
        <f>IF(ISNUMBER(AVERAGE('20250815_ETF_Options_Exhibits'!G2366:G2370)),AVERAGE('20250815_ETF_Options_Exhibits'!G2366:G2370),"")</f>
        <v/>
      </c>
      <c r="H2370" s="3">
        <f>IF(ISNUMBER(AVERAGE('20250815_ETF_Options_Exhibits'!H2366:H2370)),AVERAGE('20250815_ETF_Options_Exhibits'!H2366:H2370),"")</f>
        <v/>
      </c>
      <c r="I2370" s="3">
        <f>IF(ISNUMBER(AVERAGE('20250815_ETF_Options_Exhibits'!I2366:I2370)),AVERAGE('20250815_ETF_Options_Exhibits'!I2366:I2370),"")</f>
        <v/>
      </c>
      <c r="J2370" s="3">
        <f>IF(ISNUMBER(AVERAGE('20250815_ETF_Options_Exhibits'!J2366:J2370)),AVERAGE('20250815_ETF_Options_Exhibits'!J2366:J2370),"")</f>
        <v/>
      </c>
      <c r="K2370" s="3">
        <f>IF(ISNUMBER(AVERAGE('20250815_ETF_Options_Exhibits'!K2366:K2370)),AVERAGE('20250815_ETF_Options_Exhibits'!K2366:K2370),"")</f>
        <v/>
      </c>
      <c r="L2370" s="3">
        <f>IF(ISNUMBER(AVERAGE('20250815_ETF_Options_Exhibits'!L2366:L2370)),AVERAGE('20250815_ETF_Options_Exhibits'!L2366:L2370),"")</f>
        <v/>
      </c>
      <c r="M2370" s="3">
        <f>IF(ISNUMBER(AVERAGE('20250815_ETF_Options_Exhibits'!M2366:M2370)),AVERAGE('20250815_ETF_Options_Exhibits'!M2366:M2370),"")</f>
        <v/>
      </c>
      <c r="N2370" s="3">
        <f>IF(ISNUMBER(AVERAGE('20250815_ETF_Options_Exhibits'!N2366:N2370)),AVERAGE('20250815_ETF_Options_Exhibits'!N2366:N2370),"")</f>
        <v/>
      </c>
      <c r="O2370" s="3">
        <f>IF(ISNUMBER(AVERAGE('20250815_ETF_Options_Exhibits'!O2366:O2370)),AVERAGE('20250815_ETF_Options_Exhibits'!O2366:O2370),"")</f>
        <v/>
      </c>
      <c r="P2370" s="3">
        <f>IF(ISNUMBER(AVERAGE('20250815_ETF_Options_Exhibits'!P2366:P2370)),AVERAGE('20250815_ETF_Options_Exhibits'!P2366:P2370),"")</f>
        <v/>
      </c>
      <c r="Q2370" s="3">
        <f>IF(ISNUMBER(AVERAGE('20250815_ETF_Options_Exhibits'!Q2366:Q2370)),AVERAGE('20250815_ETF_Options_Exhibits'!Q2366:Q2370),"")</f>
        <v/>
      </c>
      <c r="R2370" s="3">
        <f>IF(ISNUMBER(AVERAGE('20250815_ETF_Options_Exhibits'!R2366:R2370)),AVERAGE('20250815_ETF_Options_Exhibits'!R2366:R2370),"")</f>
        <v/>
      </c>
      <c r="S2370" s="3">
        <f>IF(ISNUMBER(AVERAGE('20250815_ETF_Options_Exhibits'!S2366:S2370)),AVERAGE('20250815_ETF_Options_Exhibits'!S2366:S2370),"")</f>
        <v/>
      </c>
      <c r="T2370" s="3">
        <f>IF(ISNUMBER(AVERAGE('20250815_ETF_Options_Exhibits'!T2366:T2370)),AVERAGE('20250815_ETF_Options_Exhibits'!T2366:T2370),"")</f>
        <v/>
      </c>
      <c r="U2370" s="3">
        <f>IF(ISNUMBER(AVERAGE('20250815_ETF_Options_Exhibits'!U2366:U2370)),AVERAGE('20250815_ETF_Options_Exhibits'!U2366:U2370),"")</f>
        <v/>
      </c>
      <c r="V2370" s="3">
        <f>IF(ISNUMBER(AVERAGE('20250815_ETF_Options_Exhibits'!V2366:V2370)),AVERAGE('20250815_ETF_Options_Exhibits'!V2366:V2370),"")</f>
        <v/>
      </c>
      <c r="W2370" s="3">
        <f>IF(ISNUMBER(AVERAGE('20250815_ETF_Options_Exhibits'!W2366:W2370)),AVERAGE('20250815_ETF_Options_Exhibits'!W2366:W2370),"")</f>
        <v/>
      </c>
      <c r="X2370" s="3">
        <f>IF(ISNUMBER(AVERAGE('20250815_ETF_Options_Exhibits'!X2366:X2370)),AVERAGE('20250815_ETF_Options_Exhibits'!X2366:X2370),"")</f>
        <v/>
      </c>
      <c r="Y2370" s="3">
        <f>IF(ISNUMBER(AVERAGE('20250815_ETF_Options_Exhibits'!Y2366:Y2370)),AVERAGE('20250815_ETF_Options_Exhibits'!Y2366:Y2370),"")</f>
        <v/>
      </c>
      <c r="Z2370" s="3">
        <f>IF(ISNUMBER(AVERAGE('20250815_ETF_Options_Exhibits'!Z2366:Z2370)),AVERAGE('20250815_ETF_Options_Exhibits'!Z2366:Z2370),"")</f>
        <v/>
      </c>
      <c r="AA2370" s="3">
        <f>IF(ISNUMBER(AVERAGE('20250815_ETF_Options_Exhibits'!AA2366:AA2370)),AVERAGE('20250815_ETF_Options_Exhibits'!AA2366:AA2370),"")</f>
        <v/>
      </c>
    </row>
    <row r="2371">
      <c r="A2371" s="1" t="n">
        <v>45443</v>
      </c>
      <c r="B2371" s="3">
        <f>IF(ISNUMBER(AVERAGE('20250815_ETF_Options_Exhibits'!B2367:B2371)),AVERAGE('20250815_ETF_Options_Exhibits'!B2367:B2371),"")</f>
        <v/>
      </c>
      <c r="C2371" s="3">
        <f>IF(ISNUMBER(AVERAGE('20250815_ETF_Options_Exhibits'!C2367:C2371)),AVERAGE('20250815_ETF_Options_Exhibits'!C2367:C2371),"")</f>
        <v/>
      </c>
      <c r="D2371" s="3">
        <f>IF(ISNUMBER(AVERAGE('20250815_ETF_Options_Exhibits'!D2367:D2371)),AVERAGE('20250815_ETF_Options_Exhibits'!D2367:D2371),"")</f>
        <v/>
      </c>
      <c r="E2371" s="3">
        <f>IF(ISNUMBER(AVERAGE('20250815_ETF_Options_Exhibits'!E2367:E2371)),AVERAGE('20250815_ETF_Options_Exhibits'!E2367:E2371),"")</f>
        <v/>
      </c>
      <c r="F2371" s="3">
        <f>IF(ISNUMBER(AVERAGE('20250815_ETF_Options_Exhibits'!F2367:F2371)),AVERAGE('20250815_ETF_Options_Exhibits'!F2367:F2371),"")</f>
        <v/>
      </c>
      <c r="G2371" s="3">
        <f>IF(ISNUMBER(AVERAGE('20250815_ETF_Options_Exhibits'!G2367:G2371)),AVERAGE('20250815_ETF_Options_Exhibits'!G2367:G2371),"")</f>
        <v/>
      </c>
      <c r="H2371" s="3">
        <f>IF(ISNUMBER(AVERAGE('20250815_ETF_Options_Exhibits'!H2367:H2371)),AVERAGE('20250815_ETF_Options_Exhibits'!H2367:H2371),"")</f>
        <v/>
      </c>
      <c r="I2371" s="3">
        <f>IF(ISNUMBER(AVERAGE('20250815_ETF_Options_Exhibits'!I2367:I2371)),AVERAGE('20250815_ETF_Options_Exhibits'!I2367:I2371),"")</f>
        <v/>
      </c>
      <c r="J2371" s="3">
        <f>IF(ISNUMBER(AVERAGE('20250815_ETF_Options_Exhibits'!J2367:J2371)),AVERAGE('20250815_ETF_Options_Exhibits'!J2367:J2371),"")</f>
        <v/>
      </c>
      <c r="K2371" s="3">
        <f>IF(ISNUMBER(AVERAGE('20250815_ETF_Options_Exhibits'!K2367:K2371)),AVERAGE('20250815_ETF_Options_Exhibits'!K2367:K2371),"")</f>
        <v/>
      </c>
      <c r="L2371" s="3">
        <f>IF(ISNUMBER(AVERAGE('20250815_ETF_Options_Exhibits'!L2367:L2371)),AVERAGE('20250815_ETF_Options_Exhibits'!L2367:L2371),"")</f>
        <v/>
      </c>
      <c r="M2371" s="3">
        <f>IF(ISNUMBER(AVERAGE('20250815_ETF_Options_Exhibits'!M2367:M2371)),AVERAGE('20250815_ETF_Options_Exhibits'!M2367:M2371),"")</f>
        <v/>
      </c>
      <c r="N2371" s="3">
        <f>IF(ISNUMBER(AVERAGE('20250815_ETF_Options_Exhibits'!N2367:N2371)),AVERAGE('20250815_ETF_Options_Exhibits'!N2367:N2371),"")</f>
        <v/>
      </c>
      <c r="O2371" s="3">
        <f>IF(ISNUMBER(AVERAGE('20250815_ETF_Options_Exhibits'!O2367:O2371)),AVERAGE('20250815_ETF_Options_Exhibits'!O2367:O2371),"")</f>
        <v/>
      </c>
      <c r="P2371" s="3">
        <f>IF(ISNUMBER(AVERAGE('20250815_ETF_Options_Exhibits'!P2367:P2371)),AVERAGE('20250815_ETF_Options_Exhibits'!P2367:P2371),"")</f>
        <v/>
      </c>
      <c r="Q2371" s="3">
        <f>IF(ISNUMBER(AVERAGE('20250815_ETF_Options_Exhibits'!Q2367:Q2371)),AVERAGE('20250815_ETF_Options_Exhibits'!Q2367:Q2371),"")</f>
        <v/>
      </c>
      <c r="R2371" s="3">
        <f>IF(ISNUMBER(AVERAGE('20250815_ETF_Options_Exhibits'!R2367:R2371)),AVERAGE('20250815_ETF_Options_Exhibits'!R2367:R2371),"")</f>
        <v/>
      </c>
      <c r="S2371" s="3">
        <f>IF(ISNUMBER(AVERAGE('20250815_ETF_Options_Exhibits'!S2367:S2371)),AVERAGE('20250815_ETF_Options_Exhibits'!S2367:S2371),"")</f>
        <v/>
      </c>
      <c r="T2371" s="3">
        <f>IF(ISNUMBER(AVERAGE('20250815_ETF_Options_Exhibits'!T2367:T2371)),AVERAGE('20250815_ETF_Options_Exhibits'!T2367:T2371),"")</f>
        <v/>
      </c>
      <c r="U2371" s="3">
        <f>IF(ISNUMBER(AVERAGE('20250815_ETF_Options_Exhibits'!U2367:U2371)),AVERAGE('20250815_ETF_Options_Exhibits'!U2367:U2371),"")</f>
        <v/>
      </c>
      <c r="V2371" s="3">
        <f>IF(ISNUMBER(AVERAGE('20250815_ETF_Options_Exhibits'!V2367:V2371)),AVERAGE('20250815_ETF_Options_Exhibits'!V2367:V2371),"")</f>
        <v/>
      </c>
      <c r="W2371" s="3">
        <f>IF(ISNUMBER(AVERAGE('20250815_ETF_Options_Exhibits'!W2367:W2371)),AVERAGE('20250815_ETF_Options_Exhibits'!W2367:W2371),"")</f>
        <v/>
      </c>
      <c r="X2371" s="3">
        <f>IF(ISNUMBER(AVERAGE('20250815_ETF_Options_Exhibits'!X2367:X2371)),AVERAGE('20250815_ETF_Options_Exhibits'!X2367:X2371),"")</f>
        <v/>
      </c>
      <c r="Y2371" s="3">
        <f>IF(ISNUMBER(AVERAGE('20250815_ETF_Options_Exhibits'!Y2367:Y2371)),AVERAGE('20250815_ETF_Options_Exhibits'!Y2367:Y2371),"")</f>
        <v/>
      </c>
      <c r="Z2371" s="3">
        <f>IF(ISNUMBER(AVERAGE('20250815_ETF_Options_Exhibits'!Z2367:Z2371)),AVERAGE('20250815_ETF_Options_Exhibits'!Z2367:Z2371),"")</f>
        <v/>
      </c>
      <c r="AA2371" s="3">
        <f>IF(ISNUMBER(AVERAGE('20250815_ETF_Options_Exhibits'!AA2367:AA2371)),AVERAGE('20250815_ETF_Options_Exhibits'!AA2367:AA2371),"")</f>
        <v/>
      </c>
    </row>
    <row r="2372">
      <c r="A2372" s="1" t="n">
        <v>45446</v>
      </c>
      <c r="B2372" s="3">
        <f>IF(ISNUMBER(AVERAGE('20250815_ETF_Options_Exhibits'!B2368:B2372)),AVERAGE('20250815_ETF_Options_Exhibits'!B2368:B2372),"")</f>
        <v/>
      </c>
      <c r="C2372" s="3">
        <f>IF(ISNUMBER(AVERAGE('20250815_ETF_Options_Exhibits'!C2368:C2372)),AVERAGE('20250815_ETF_Options_Exhibits'!C2368:C2372),"")</f>
        <v/>
      </c>
      <c r="D2372" s="3">
        <f>IF(ISNUMBER(AVERAGE('20250815_ETF_Options_Exhibits'!D2368:D2372)),AVERAGE('20250815_ETF_Options_Exhibits'!D2368:D2372),"")</f>
        <v/>
      </c>
      <c r="E2372" s="3">
        <f>IF(ISNUMBER(AVERAGE('20250815_ETF_Options_Exhibits'!E2368:E2372)),AVERAGE('20250815_ETF_Options_Exhibits'!E2368:E2372),"")</f>
        <v/>
      </c>
      <c r="F2372" s="3">
        <f>IF(ISNUMBER(AVERAGE('20250815_ETF_Options_Exhibits'!F2368:F2372)),AVERAGE('20250815_ETF_Options_Exhibits'!F2368:F2372),"")</f>
        <v/>
      </c>
      <c r="G2372" s="3">
        <f>IF(ISNUMBER(AVERAGE('20250815_ETF_Options_Exhibits'!G2368:G2372)),AVERAGE('20250815_ETF_Options_Exhibits'!G2368:G2372),"")</f>
        <v/>
      </c>
      <c r="H2372" s="3">
        <f>IF(ISNUMBER(AVERAGE('20250815_ETF_Options_Exhibits'!H2368:H2372)),AVERAGE('20250815_ETF_Options_Exhibits'!H2368:H2372),"")</f>
        <v/>
      </c>
      <c r="I2372" s="3">
        <f>IF(ISNUMBER(AVERAGE('20250815_ETF_Options_Exhibits'!I2368:I2372)),AVERAGE('20250815_ETF_Options_Exhibits'!I2368:I2372),"")</f>
        <v/>
      </c>
      <c r="J2372" s="3">
        <f>IF(ISNUMBER(AVERAGE('20250815_ETF_Options_Exhibits'!J2368:J2372)),AVERAGE('20250815_ETF_Options_Exhibits'!J2368:J2372),"")</f>
        <v/>
      </c>
      <c r="K2372" s="3">
        <f>IF(ISNUMBER(AVERAGE('20250815_ETF_Options_Exhibits'!K2368:K2372)),AVERAGE('20250815_ETF_Options_Exhibits'!K2368:K2372),"")</f>
        <v/>
      </c>
      <c r="L2372" s="3">
        <f>IF(ISNUMBER(AVERAGE('20250815_ETF_Options_Exhibits'!L2368:L2372)),AVERAGE('20250815_ETF_Options_Exhibits'!L2368:L2372),"")</f>
        <v/>
      </c>
      <c r="M2372" s="3">
        <f>IF(ISNUMBER(AVERAGE('20250815_ETF_Options_Exhibits'!M2368:M2372)),AVERAGE('20250815_ETF_Options_Exhibits'!M2368:M2372),"")</f>
        <v/>
      </c>
      <c r="N2372" s="3">
        <f>IF(ISNUMBER(AVERAGE('20250815_ETF_Options_Exhibits'!N2368:N2372)),AVERAGE('20250815_ETF_Options_Exhibits'!N2368:N2372),"")</f>
        <v/>
      </c>
      <c r="O2372" s="3">
        <f>IF(ISNUMBER(AVERAGE('20250815_ETF_Options_Exhibits'!O2368:O2372)),AVERAGE('20250815_ETF_Options_Exhibits'!O2368:O2372),"")</f>
        <v/>
      </c>
      <c r="P2372" s="3">
        <f>IF(ISNUMBER(AVERAGE('20250815_ETF_Options_Exhibits'!P2368:P2372)),AVERAGE('20250815_ETF_Options_Exhibits'!P2368:P2372),"")</f>
        <v/>
      </c>
      <c r="Q2372" s="3">
        <f>IF(ISNUMBER(AVERAGE('20250815_ETF_Options_Exhibits'!Q2368:Q2372)),AVERAGE('20250815_ETF_Options_Exhibits'!Q2368:Q2372),"")</f>
        <v/>
      </c>
      <c r="R2372" s="3">
        <f>IF(ISNUMBER(AVERAGE('20250815_ETF_Options_Exhibits'!R2368:R2372)),AVERAGE('20250815_ETF_Options_Exhibits'!R2368:R2372),"")</f>
        <v/>
      </c>
      <c r="S2372" s="3">
        <f>IF(ISNUMBER(AVERAGE('20250815_ETF_Options_Exhibits'!S2368:S2372)),AVERAGE('20250815_ETF_Options_Exhibits'!S2368:S2372),"")</f>
        <v/>
      </c>
      <c r="T2372" s="3">
        <f>IF(ISNUMBER(AVERAGE('20250815_ETF_Options_Exhibits'!T2368:T2372)),AVERAGE('20250815_ETF_Options_Exhibits'!T2368:T2372),"")</f>
        <v/>
      </c>
      <c r="U2372" s="3">
        <f>IF(ISNUMBER(AVERAGE('20250815_ETF_Options_Exhibits'!U2368:U2372)),AVERAGE('20250815_ETF_Options_Exhibits'!U2368:U2372),"")</f>
        <v/>
      </c>
      <c r="V2372" s="3">
        <f>IF(ISNUMBER(AVERAGE('20250815_ETF_Options_Exhibits'!V2368:V2372)),AVERAGE('20250815_ETF_Options_Exhibits'!V2368:V2372),"")</f>
        <v/>
      </c>
      <c r="W2372" s="3">
        <f>IF(ISNUMBER(AVERAGE('20250815_ETF_Options_Exhibits'!W2368:W2372)),AVERAGE('20250815_ETF_Options_Exhibits'!W2368:W2372),"")</f>
        <v/>
      </c>
      <c r="X2372" s="3">
        <f>IF(ISNUMBER(AVERAGE('20250815_ETF_Options_Exhibits'!X2368:X2372)),AVERAGE('20250815_ETF_Options_Exhibits'!X2368:X2372),"")</f>
        <v/>
      </c>
      <c r="Y2372" s="3">
        <f>IF(ISNUMBER(AVERAGE('20250815_ETF_Options_Exhibits'!Y2368:Y2372)),AVERAGE('20250815_ETF_Options_Exhibits'!Y2368:Y2372),"")</f>
        <v/>
      </c>
      <c r="Z2372" s="3">
        <f>IF(ISNUMBER(AVERAGE('20250815_ETF_Options_Exhibits'!Z2368:Z2372)),AVERAGE('20250815_ETF_Options_Exhibits'!Z2368:Z2372),"")</f>
        <v/>
      </c>
      <c r="AA2372" s="3">
        <f>IF(ISNUMBER(AVERAGE('20250815_ETF_Options_Exhibits'!AA2368:AA2372)),AVERAGE('20250815_ETF_Options_Exhibits'!AA2368:AA2372),"")</f>
        <v/>
      </c>
    </row>
    <row r="2373">
      <c r="A2373" s="1" t="n">
        <v>45447</v>
      </c>
      <c r="B2373" s="3">
        <f>IF(ISNUMBER(AVERAGE('20250815_ETF_Options_Exhibits'!B2369:B2373)),AVERAGE('20250815_ETF_Options_Exhibits'!B2369:B2373),"")</f>
        <v/>
      </c>
      <c r="C2373" s="3">
        <f>IF(ISNUMBER(AVERAGE('20250815_ETF_Options_Exhibits'!C2369:C2373)),AVERAGE('20250815_ETF_Options_Exhibits'!C2369:C2373),"")</f>
        <v/>
      </c>
      <c r="D2373" s="3">
        <f>IF(ISNUMBER(AVERAGE('20250815_ETF_Options_Exhibits'!D2369:D2373)),AVERAGE('20250815_ETF_Options_Exhibits'!D2369:D2373),"")</f>
        <v/>
      </c>
      <c r="E2373" s="3">
        <f>IF(ISNUMBER(AVERAGE('20250815_ETF_Options_Exhibits'!E2369:E2373)),AVERAGE('20250815_ETF_Options_Exhibits'!E2369:E2373),"")</f>
        <v/>
      </c>
      <c r="F2373" s="3">
        <f>IF(ISNUMBER(AVERAGE('20250815_ETF_Options_Exhibits'!F2369:F2373)),AVERAGE('20250815_ETF_Options_Exhibits'!F2369:F2373),"")</f>
        <v/>
      </c>
      <c r="G2373" s="3">
        <f>IF(ISNUMBER(AVERAGE('20250815_ETF_Options_Exhibits'!G2369:G2373)),AVERAGE('20250815_ETF_Options_Exhibits'!G2369:G2373),"")</f>
        <v/>
      </c>
      <c r="H2373" s="3">
        <f>IF(ISNUMBER(AVERAGE('20250815_ETF_Options_Exhibits'!H2369:H2373)),AVERAGE('20250815_ETF_Options_Exhibits'!H2369:H2373),"")</f>
        <v/>
      </c>
      <c r="I2373" s="3">
        <f>IF(ISNUMBER(AVERAGE('20250815_ETF_Options_Exhibits'!I2369:I2373)),AVERAGE('20250815_ETF_Options_Exhibits'!I2369:I2373),"")</f>
        <v/>
      </c>
      <c r="J2373" s="3">
        <f>IF(ISNUMBER(AVERAGE('20250815_ETF_Options_Exhibits'!J2369:J2373)),AVERAGE('20250815_ETF_Options_Exhibits'!J2369:J2373),"")</f>
        <v/>
      </c>
      <c r="K2373" s="3">
        <f>IF(ISNUMBER(AVERAGE('20250815_ETF_Options_Exhibits'!K2369:K2373)),AVERAGE('20250815_ETF_Options_Exhibits'!K2369:K2373),"")</f>
        <v/>
      </c>
      <c r="L2373" s="3">
        <f>IF(ISNUMBER(AVERAGE('20250815_ETF_Options_Exhibits'!L2369:L2373)),AVERAGE('20250815_ETF_Options_Exhibits'!L2369:L2373),"")</f>
        <v/>
      </c>
      <c r="M2373" s="3">
        <f>IF(ISNUMBER(AVERAGE('20250815_ETF_Options_Exhibits'!M2369:M2373)),AVERAGE('20250815_ETF_Options_Exhibits'!M2369:M2373),"")</f>
        <v/>
      </c>
      <c r="N2373" s="3">
        <f>IF(ISNUMBER(AVERAGE('20250815_ETF_Options_Exhibits'!N2369:N2373)),AVERAGE('20250815_ETF_Options_Exhibits'!N2369:N2373),"")</f>
        <v/>
      </c>
      <c r="O2373" s="3">
        <f>IF(ISNUMBER(AVERAGE('20250815_ETF_Options_Exhibits'!O2369:O2373)),AVERAGE('20250815_ETF_Options_Exhibits'!O2369:O2373),"")</f>
        <v/>
      </c>
      <c r="P2373" s="3">
        <f>IF(ISNUMBER(AVERAGE('20250815_ETF_Options_Exhibits'!P2369:P2373)),AVERAGE('20250815_ETF_Options_Exhibits'!P2369:P2373),"")</f>
        <v/>
      </c>
      <c r="Q2373" s="3">
        <f>IF(ISNUMBER(AVERAGE('20250815_ETF_Options_Exhibits'!Q2369:Q2373)),AVERAGE('20250815_ETF_Options_Exhibits'!Q2369:Q2373),"")</f>
        <v/>
      </c>
      <c r="R2373" s="3">
        <f>IF(ISNUMBER(AVERAGE('20250815_ETF_Options_Exhibits'!R2369:R2373)),AVERAGE('20250815_ETF_Options_Exhibits'!R2369:R2373),"")</f>
        <v/>
      </c>
      <c r="S2373" s="3">
        <f>IF(ISNUMBER(AVERAGE('20250815_ETF_Options_Exhibits'!S2369:S2373)),AVERAGE('20250815_ETF_Options_Exhibits'!S2369:S2373),"")</f>
        <v/>
      </c>
      <c r="T2373" s="3">
        <f>IF(ISNUMBER(AVERAGE('20250815_ETF_Options_Exhibits'!T2369:T2373)),AVERAGE('20250815_ETF_Options_Exhibits'!T2369:T2373),"")</f>
        <v/>
      </c>
      <c r="U2373" s="3">
        <f>IF(ISNUMBER(AVERAGE('20250815_ETF_Options_Exhibits'!U2369:U2373)),AVERAGE('20250815_ETF_Options_Exhibits'!U2369:U2373),"")</f>
        <v/>
      </c>
      <c r="V2373" s="3">
        <f>IF(ISNUMBER(AVERAGE('20250815_ETF_Options_Exhibits'!V2369:V2373)),AVERAGE('20250815_ETF_Options_Exhibits'!V2369:V2373),"")</f>
        <v/>
      </c>
      <c r="W2373" s="3">
        <f>IF(ISNUMBER(AVERAGE('20250815_ETF_Options_Exhibits'!W2369:W2373)),AVERAGE('20250815_ETF_Options_Exhibits'!W2369:W2373),"")</f>
        <v/>
      </c>
      <c r="X2373" s="3">
        <f>IF(ISNUMBER(AVERAGE('20250815_ETF_Options_Exhibits'!X2369:X2373)),AVERAGE('20250815_ETF_Options_Exhibits'!X2369:X2373),"")</f>
        <v/>
      </c>
      <c r="Y2373" s="3">
        <f>IF(ISNUMBER(AVERAGE('20250815_ETF_Options_Exhibits'!Y2369:Y2373)),AVERAGE('20250815_ETF_Options_Exhibits'!Y2369:Y2373),"")</f>
        <v/>
      </c>
      <c r="Z2373" s="3">
        <f>IF(ISNUMBER(AVERAGE('20250815_ETF_Options_Exhibits'!Z2369:Z2373)),AVERAGE('20250815_ETF_Options_Exhibits'!Z2369:Z2373),"")</f>
        <v/>
      </c>
      <c r="AA2373" s="3">
        <f>IF(ISNUMBER(AVERAGE('20250815_ETF_Options_Exhibits'!AA2369:AA2373)),AVERAGE('20250815_ETF_Options_Exhibits'!AA2369:AA2373),"")</f>
        <v/>
      </c>
    </row>
    <row r="2374">
      <c r="A2374" s="1" t="n">
        <v>45448</v>
      </c>
      <c r="B2374" s="3">
        <f>IF(ISNUMBER(AVERAGE('20250815_ETF_Options_Exhibits'!B2370:B2374)),AVERAGE('20250815_ETF_Options_Exhibits'!B2370:B2374),"")</f>
        <v/>
      </c>
      <c r="C2374" s="3">
        <f>IF(ISNUMBER(AVERAGE('20250815_ETF_Options_Exhibits'!C2370:C2374)),AVERAGE('20250815_ETF_Options_Exhibits'!C2370:C2374),"")</f>
        <v/>
      </c>
      <c r="D2374" s="3">
        <f>IF(ISNUMBER(AVERAGE('20250815_ETF_Options_Exhibits'!D2370:D2374)),AVERAGE('20250815_ETF_Options_Exhibits'!D2370:D2374),"")</f>
        <v/>
      </c>
      <c r="E2374" s="3">
        <f>IF(ISNUMBER(AVERAGE('20250815_ETF_Options_Exhibits'!E2370:E2374)),AVERAGE('20250815_ETF_Options_Exhibits'!E2370:E2374),"")</f>
        <v/>
      </c>
      <c r="F2374" s="3">
        <f>IF(ISNUMBER(AVERAGE('20250815_ETF_Options_Exhibits'!F2370:F2374)),AVERAGE('20250815_ETF_Options_Exhibits'!F2370:F2374),"")</f>
        <v/>
      </c>
      <c r="G2374" s="3">
        <f>IF(ISNUMBER(AVERAGE('20250815_ETF_Options_Exhibits'!G2370:G2374)),AVERAGE('20250815_ETF_Options_Exhibits'!G2370:G2374),"")</f>
        <v/>
      </c>
      <c r="H2374" s="3">
        <f>IF(ISNUMBER(AVERAGE('20250815_ETF_Options_Exhibits'!H2370:H2374)),AVERAGE('20250815_ETF_Options_Exhibits'!H2370:H2374),"")</f>
        <v/>
      </c>
      <c r="I2374" s="3">
        <f>IF(ISNUMBER(AVERAGE('20250815_ETF_Options_Exhibits'!I2370:I2374)),AVERAGE('20250815_ETF_Options_Exhibits'!I2370:I2374),"")</f>
        <v/>
      </c>
      <c r="J2374" s="3">
        <f>IF(ISNUMBER(AVERAGE('20250815_ETF_Options_Exhibits'!J2370:J2374)),AVERAGE('20250815_ETF_Options_Exhibits'!J2370:J2374),"")</f>
        <v/>
      </c>
      <c r="K2374" s="3">
        <f>IF(ISNUMBER(AVERAGE('20250815_ETF_Options_Exhibits'!K2370:K2374)),AVERAGE('20250815_ETF_Options_Exhibits'!K2370:K2374),"")</f>
        <v/>
      </c>
      <c r="L2374" s="3">
        <f>IF(ISNUMBER(AVERAGE('20250815_ETF_Options_Exhibits'!L2370:L2374)),AVERAGE('20250815_ETF_Options_Exhibits'!L2370:L2374),"")</f>
        <v/>
      </c>
      <c r="M2374" s="3">
        <f>IF(ISNUMBER(AVERAGE('20250815_ETF_Options_Exhibits'!M2370:M2374)),AVERAGE('20250815_ETF_Options_Exhibits'!M2370:M2374),"")</f>
        <v/>
      </c>
      <c r="N2374" s="3">
        <f>IF(ISNUMBER(AVERAGE('20250815_ETF_Options_Exhibits'!N2370:N2374)),AVERAGE('20250815_ETF_Options_Exhibits'!N2370:N2374),"")</f>
        <v/>
      </c>
      <c r="O2374" s="3">
        <f>IF(ISNUMBER(AVERAGE('20250815_ETF_Options_Exhibits'!O2370:O2374)),AVERAGE('20250815_ETF_Options_Exhibits'!O2370:O2374),"")</f>
        <v/>
      </c>
      <c r="P2374" s="3">
        <f>IF(ISNUMBER(AVERAGE('20250815_ETF_Options_Exhibits'!P2370:P2374)),AVERAGE('20250815_ETF_Options_Exhibits'!P2370:P2374),"")</f>
        <v/>
      </c>
      <c r="Q2374" s="3">
        <f>IF(ISNUMBER(AVERAGE('20250815_ETF_Options_Exhibits'!Q2370:Q2374)),AVERAGE('20250815_ETF_Options_Exhibits'!Q2370:Q2374),"")</f>
        <v/>
      </c>
      <c r="R2374" s="3">
        <f>IF(ISNUMBER(AVERAGE('20250815_ETF_Options_Exhibits'!R2370:R2374)),AVERAGE('20250815_ETF_Options_Exhibits'!R2370:R2374),"")</f>
        <v/>
      </c>
      <c r="S2374" s="3">
        <f>IF(ISNUMBER(AVERAGE('20250815_ETF_Options_Exhibits'!S2370:S2374)),AVERAGE('20250815_ETF_Options_Exhibits'!S2370:S2374),"")</f>
        <v/>
      </c>
      <c r="T2374" s="3">
        <f>IF(ISNUMBER(AVERAGE('20250815_ETF_Options_Exhibits'!T2370:T2374)),AVERAGE('20250815_ETF_Options_Exhibits'!T2370:T2374),"")</f>
        <v/>
      </c>
      <c r="U2374" s="3">
        <f>IF(ISNUMBER(AVERAGE('20250815_ETF_Options_Exhibits'!U2370:U2374)),AVERAGE('20250815_ETF_Options_Exhibits'!U2370:U2374),"")</f>
        <v/>
      </c>
      <c r="V2374" s="3">
        <f>IF(ISNUMBER(AVERAGE('20250815_ETF_Options_Exhibits'!V2370:V2374)),AVERAGE('20250815_ETF_Options_Exhibits'!V2370:V2374),"")</f>
        <v/>
      </c>
      <c r="W2374" s="3">
        <f>IF(ISNUMBER(AVERAGE('20250815_ETF_Options_Exhibits'!W2370:W2374)),AVERAGE('20250815_ETF_Options_Exhibits'!W2370:W2374),"")</f>
        <v/>
      </c>
      <c r="X2374" s="3">
        <f>IF(ISNUMBER(AVERAGE('20250815_ETF_Options_Exhibits'!X2370:X2374)),AVERAGE('20250815_ETF_Options_Exhibits'!X2370:X2374),"")</f>
        <v/>
      </c>
      <c r="Y2374" s="3">
        <f>IF(ISNUMBER(AVERAGE('20250815_ETF_Options_Exhibits'!Y2370:Y2374)),AVERAGE('20250815_ETF_Options_Exhibits'!Y2370:Y2374),"")</f>
        <v/>
      </c>
      <c r="Z2374" s="3">
        <f>IF(ISNUMBER(AVERAGE('20250815_ETF_Options_Exhibits'!Z2370:Z2374)),AVERAGE('20250815_ETF_Options_Exhibits'!Z2370:Z2374),"")</f>
        <v/>
      </c>
      <c r="AA2374" s="3">
        <f>IF(ISNUMBER(AVERAGE('20250815_ETF_Options_Exhibits'!AA2370:AA2374)),AVERAGE('20250815_ETF_Options_Exhibits'!AA2370:AA2374),"")</f>
        <v/>
      </c>
    </row>
    <row r="2375">
      <c r="A2375" s="1" t="n">
        <v>45449</v>
      </c>
      <c r="B2375" s="3">
        <f>IF(ISNUMBER(AVERAGE('20250815_ETF_Options_Exhibits'!B2371:B2375)),AVERAGE('20250815_ETF_Options_Exhibits'!B2371:B2375),"")</f>
        <v/>
      </c>
      <c r="C2375" s="3">
        <f>IF(ISNUMBER(AVERAGE('20250815_ETF_Options_Exhibits'!C2371:C2375)),AVERAGE('20250815_ETF_Options_Exhibits'!C2371:C2375),"")</f>
        <v/>
      </c>
      <c r="D2375" s="3">
        <f>IF(ISNUMBER(AVERAGE('20250815_ETF_Options_Exhibits'!D2371:D2375)),AVERAGE('20250815_ETF_Options_Exhibits'!D2371:D2375),"")</f>
        <v/>
      </c>
      <c r="E2375" s="3">
        <f>IF(ISNUMBER(AVERAGE('20250815_ETF_Options_Exhibits'!E2371:E2375)),AVERAGE('20250815_ETF_Options_Exhibits'!E2371:E2375),"")</f>
        <v/>
      </c>
      <c r="F2375" s="3">
        <f>IF(ISNUMBER(AVERAGE('20250815_ETF_Options_Exhibits'!F2371:F2375)),AVERAGE('20250815_ETF_Options_Exhibits'!F2371:F2375),"")</f>
        <v/>
      </c>
      <c r="G2375" s="3">
        <f>IF(ISNUMBER(AVERAGE('20250815_ETF_Options_Exhibits'!G2371:G2375)),AVERAGE('20250815_ETF_Options_Exhibits'!G2371:G2375),"")</f>
        <v/>
      </c>
      <c r="H2375" s="3">
        <f>IF(ISNUMBER(AVERAGE('20250815_ETF_Options_Exhibits'!H2371:H2375)),AVERAGE('20250815_ETF_Options_Exhibits'!H2371:H2375),"")</f>
        <v/>
      </c>
      <c r="I2375" s="3">
        <f>IF(ISNUMBER(AVERAGE('20250815_ETF_Options_Exhibits'!I2371:I2375)),AVERAGE('20250815_ETF_Options_Exhibits'!I2371:I2375),"")</f>
        <v/>
      </c>
      <c r="J2375" s="3">
        <f>IF(ISNUMBER(AVERAGE('20250815_ETF_Options_Exhibits'!J2371:J2375)),AVERAGE('20250815_ETF_Options_Exhibits'!J2371:J2375),"")</f>
        <v/>
      </c>
      <c r="K2375" s="3">
        <f>IF(ISNUMBER(AVERAGE('20250815_ETF_Options_Exhibits'!K2371:K2375)),AVERAGE('20250815_ETF_Options_Exhibits'!K2371:K2375),"")</f>
        <v/>
      </c>
      <c r="L2375" s="3">
        <f>IF(ISNUMBER(AVERAGE('20250815_ETF_Options_Exhibits'!L2371:L2375)),AVERAGE('20250815_ETF_Options_Exhibits'!L2371:L2375),"")</f>
        <v/>
      </c>
      <c r="M2375" s="3">
        <f>IF(ISNUMBER(AVERAGE('20250815_ETF_Options_Exhibits'!M2371:M2375)),AVERAGE('20250815_ETF_Options_Exhibits'!M2371:M2375),"")</f>
        <v/>
      </c>
      <c r="N2375" s="3">
        <f>IF(ISNUMBER(AVERAGE('20250815_ETF_Options_Exhibits'!N2371:N2375)),AVERAGE('20250815_ETF_Options_Exhibits'!N2371:N2375),"")</f>
        <v/>
      </c>
      <c r="O2375" s="3">
        <f>IF(ISNUMBER(AVERAGE('20250815_ETF_Options_Exhibits'!O2371:O2375)),AVERAGE('20250815_ETF_Options_Exhibits'!O2371:O2375),"")</f>
        <v/>
      </c>
      <c r="P2375" s="3">
        <f>IF(ISNUMBER(AVERAGE('20250815_ETF_Options_Exhibits'!P2371:P2375)),AVERAGE('20250815_ETF_Options_Exhibits'!P2371:P2375),"")</f>
        <v/>
      </c>
      <c r="Q2375" s="3">
        <f>IF(ISNUMBER(AVERAGE('20250815_ETF_Options_Exhibits'!Q2371:Q2375)),AVERAGE('20250815_ETF_Options_Exhibits'!Q2371:Q2375),"")</f>
        <v/>
      </c>
      <c r="R2375" s="3">
        <f>IF(ISNUMBER(AVERAGE('20250815_ETF_Options_Exhibits'!R2371:R2375)),AVERAGE('20250815_ETF_Options_Exhibits'!R2371:R2375),"")</f>
        <v/>
      </c>
      <c r="S2375" s="3">
        <f>IF(ISNUMBER(AVERAGE('20250815_ETF_Options_Exhibits'!S2371:S2375)),AVERAGE('20250815_ETF_Options_Exhibits'!S2371:S2375),"")</f>
        <v/>
      </c>
      <c r="T2375" s="3">
        <f>IF(ISNUMBER(AVERAGE('20250815_ETF_Options_Exhibits'!T2371:T2375)),AVERAGE('20250815_ETF_Options_Exhibits'!T2371:T2375),"")</f>
        <v/>
      </c>
      <c r="U2375" s="3">
        <f>IF(ISNUMBER(AVERAGE('20250815_ETF_Options_Exhibits'!U2371:U2375)),AVERAGE('20250815_ETF_Options_Exhibits'!U2371:U2375),"")</f>
        <v/>
      </c>
      <c r="V2375" s="3">
        <f>IF(ISNUMBER(AVERAGE('20250815_ETF_Options_Exhibits'!V2371:V2375)),AVERAGE('20250815_ETF_Options_Exhibits'!V2371:V2375),"")</f>
        <v/>
      </c>
      <c r="W2375" s="3">
        <f>IF(ISNUMBER(AVERAGE('20250815_ETF_Options_Exhibits'!W2371:W2375)),AVERAGE('20250815_ETF_Options_Exhibits'!W2371:W2375),"")</f>
        <v/>
      </c>
      <c r="X2375" s="3">
        <f>IF(ISNUMBER(AVERAGE('20250815_ETF_Options_Exhibits'!X2371:X2375)),AVERAGE('20250815_ETF_Options_Exhibits'!X2371:X2375),"")</f>
        <v/>
      </c>
      <c r="Y2375" s="3">
        <f>IF(ISNUMBER(AVERAGE('20250815_ETF_Options_Exhibits'!Y2371:Y2375)),AVERAGE('20250815_ETF_Options_Exhibits'!Y2371:Y2375),"")</f>
        <v/>
      </c>
      <c r="Z2375" s="3">
        <f>IF(ISNUMBER(AVERAGE('20250815_ETF_Options_Exhibits'!Z2371:Z2375)),AVERAGE('20250815_ETF_Options_Exhibits'!Z2371:Z2375),"")</f>
        <v/>
      </c>
      <c r="AA2375" s="3">
        <f>IF(ISNUMBER(AVERAGE('20250815_ETF_Options_Exhibits'!AA2371:AA2375)),AVERAGE('20250815_ETF_Options_Exhibits'!AA2371:AA2375),"")</f>
        <v/>
      </c>
    </row>
    <row r="2376">
      <c r="A2376" s="1" t="n">
        <v>45450</v>
      </c>
      <c r="B2376" s="3">
        <f>IF(ISNUMBER(AVERAGE('20250815_ETF_Options_Exhibits'!B2372:B2376)),AVERAGE('20250815_ETF_Options_Exhibits'!B2372:B2376),"")</f>
        <v/>
      </c>
      <c r="C2376" s="3">
        <f>IF(ISNUMBER(AVERAGE('20250815_ETF_Options_Exhibits'!C2372:C2376)),AVERAGE('20250815_ETF_Options_Exhibits'!C2372:C2376),"")</f>
        <v/>
      </c>
      <c r="D2376" s="3">
        <f>IF(ISNUMBER(AVERAGE('20250815_ETF_Options_Exhibits'!D2372:D2376)),AVERAGE('20250815_ETF_Options_Exhibits'!D2372:D2376),"")</f>
        <v/>
      </c>
      <c r="E2376" s="3">
        <f>IF(ISNUMBER(AVERAGE('20250815_ETF_Options_Exhibits'!E2372:E2376)),AVERAGE('20250815_ETF_Options_Exhibits'!E2372:E2376),"")</f>
        <v/>
      </c>
      <c r="F2376" s="3">
        <f>IF(ISNUMBER(AVERAGE('20250815_ETF_Options_Exhibits'!F2372:F2376)),AVERAGE('20250815_ETF_Options_Exhibits'!F2372:F2376),"")</f>
        <v/>
      </c>
      <c r="G2376" s="3">
        <f>IF(ISNUMBER(AVERAGE('20250815_ETF_Options_Exhibits'!G2372:G2376)),AVERAGE('20250815_ETF_Options_Exhibits'!G2372:G2376),"")</f>
        <v/>
      </c>
      <c r="H2376" s="3">
        <f>IF(ISNUMBER(AVERAGE('20250815_ETF_Options_Exhibits'!H2372:H2376)),AVERAGE('20250815_ETF_Options_Exhibits'!H2372:H2376),"")</f>
        <v/>
      </c>
      <c r="I2376" s="3">
        <f>IF(ISNUMBER(AVERAGE('20250815_ETF_Options_Exhibits'!I2372:I2376)),AVERAGE('20250815_ETF_Options_Exhibits'!I2372:I2376),"")</f>
        <v/>
      </c>
      <c r="J2376" s="3">
        <f>IF(ISNUMBER(AVERAGE('20250815_ETF_Options_Exhibits'!J2372:J2376)),AVERAGE('20250815_ETF_Options_Exhibits'!J2372:J2376),"")</f>
        <v/>
      </c>
      <c r="K2376" s="3">
        <f>IF(ISNUMBER(AVERAGE('20250815_ETF_Options_Exhibits'!K2372:K2376)),AVERAGE('20250815_ETF_Options_Exhibits'!K2372:K2376),"")</f>
        <v/>
      </c>
      <c r="L2376" s="3">
        <f>IF(ISNUMBER(AVERAGE('20250815_ETF_Options_Exhibits'!L2372:L2376)),AVERAGE('20250815_ETF_Options_Exhibits'!L2372:L2376),"")</f>
        <v/>
      </c>
      <c r="M2376" s="3">
        <f>IF(ISNUMBER(AVERAGE('20250815_ETF_Options_Exhibits'!M2372:M2376)),AVERAGE('20250815_ETF_Options_Exhibits'!M2372:M2376),"")</f>
        <v/>
      </c>
      <c r="N2376" s="3">
        <f>IF(ISNUMBER(AVERAGE('20250815_ETF_Options_Exhibits'!N2372:N2376)),AVERAGE('20250815_ETF_Options_Exhibits'!N2372:N2376),"")</f>
        <v/>
      </c>
      <c r="O2376" s="3">
        <f>IF(ISNUMBER(AVERAGE('20250815_ETF_Options_Exhibits'!O2372:O2376)),AVERAGE('20250815_ETF_Options_Exhibits'!O2372:O2376),"")</f>
        <v/>
      </c>
      <c r="P2376" s="3">
        <f>IF(ISNUMBER(AVERAGE('20250815_ETF_Options_Exhibits'!P2372:P2376)),AVERAGE('20250815_ETF_Options_Exhibits'!P2372:P2376),"")</f>
        <v/>
      </c>
      <c r="Q2376" s="3">
        <f>IF(ISNUMBER(AVERAGE('20250815_ETF_Options_Exhibits'!Q2372:Q2376)),AVERAGE('20250815_ETF_Options_Exhibits'!Q2372:Q2376),"")</f>
        <v/>
      </c>
      <c r="R2376" s="3">
        <f>IF(ISNUMBER(AVERAGE('20250815_ETF_Options_Exhibits'!R2372:R2376)),AVERAGE('20250815_ETF_Options_Exhibits'!R2372:R2376),"")</f>
        <v/>
      </c>
      <c r="S2376" s="3">
        <f>IF(ISNUMBER(AVERAGE('20250815_ETF_Options_Exhibits'!S2372:S2376)),AVERAGE('20250815_ETF_Options_Exhibits'!S2372:S2376),"")</f>
        <v/>
      </c>
      <c r="T2376" s="3">
        <f>IF(ISNUMBER(AVERAGE('20250815_ETF_Options_Exhibits'!T2372:T2376)),AVERAGE('20250815_ETF_Options_Exhibits'!T2372:T2376),"")</f>
        <v/>
      </c>
      <c r="U2376" s="3">
        <f>IF(ISNUMBER(AVERAGE('20250815_ETF_Options_Exhibits'!U2372:U2376)),AVERAGE('20250815_ETF_Options_Exhibits'!U2372:U2376),"")</f>
        <v/>
      </c>
      <c r="V2376" s="3">
        <f>IF(ISNUMBER(AVERAGE('20250815_ETF_Options_Exhibits'!V2372:V2376)),AVERAGE('20250815_ETF_Options_Exhibits'!V2372:V2376),"")</f>
        <v/>
      </c>
      <c r="W2376" s="3">
        <f>IF(ISNUMBER(AVERAGE('20250815_ETF_Options_Exhibits'!W2372:W2376)),AVERAGE('20250815_ETF_Options_Exhibits'!W2372:W2376),"")</f>
        <v/>
      </c>
      <c r="X2376" s="3">
        <f>IF(ISNUMBER(AVERAGE('20250815_ETF_Options_Exhibits'!X2372:X2376)),AVERAGE('20250815_ETF_Options_Exhibits'!X2372:X2376),"")</f>
        <v/>
      </c>
      <c r="Y2376" s="3">
        <f>IF(ISNUMBER(AVERAGE('20250815_ETF_Options_Exhibits'!Y2372:Y2376)),AVERAGE('20250815_ETF_Options_Exhibits'!Y2372:Y2376),"")</f>
        <v/>
      </c>
      <c r="Z2376" s="3">
        <f>IF(ISNUMBER(AVERAGE('20250815_ETF_Options_Exhibits'!Z2372:Z2376)),AVERAGE('20250815_ETF_Options_Exhibits'!Z2372:Z2376),"")</f>
        <v/>
      </c>
      <c r="AA2376" s="3">
        <f>IF(ISNUMBER(AVERAGE('20250815_ETF_Options_Exhibits'!AA2372:AA2376)),AVERAGE('20250815_ETF_Options_Exhibits'!AA2372:AA2376),"")</f>
        <v/>
      </c>
    </row>
    <row r="2377">
      <c r="A2377" s="1" t="n">
        <v>45453</v>
      </c>
      <c r="B2377" s="3">
        <f>IF(ISNUMBER(AVERAGE('20250815_ETF_Options_Exhibits'!B2373:B2377)),AVERAGE('20250815_ETF_Options_Exhibits'!B2373:B2377),"")</f>
        <v/>
      </c>
      <c r="C2377" s="3">
        <f>IF(ISNUMBER(AVERAGE('20250815_ETF_Options_Exhibits'!C2373:C2377)),AVERAGE('20250815_ETF_Options_Exhibits'!C2373:C2377),"")</f>
        <v/>
      </c>
      <c r="D2377" s="3">
        <f>IF(ISNUMBER(AVERAGE('20250815_ETF_Options_Exhibits'!D2373:D2377)),AVERAGE('20250815_ETF_Options_Exhibits'!D2373:D2377),"")</f>
        <v/>
      </c>
      <c r="E2377" s="3">
        <f>IF(ISNUMBER(AVERAGE('20250815_ETF_Options_Exhibits'!E2373:E2377)),AVERAGE('20250815_ETF_Options_Exhibits'!E2373:E2377),"")</f>
        <v/>
      </c>
      <c r="F2377" s="3">
        <f>IF(ISNUMBER(AVERAGE('20250815_ETF_Options_Exhibits'!F2373:F2377)),AVERAGE('20250815_ETF_Options_Exhibits'!F2373:F2377),"")</f>
        <v/>
      </c>
      <c r="G2377" s="3">
        <f>IF(ISNUMBER(AVERAGE('20250815_ETF_Options_Exhibits'!G2373:G2377)),AVERAGE('20250815_ETF_Options_Exhibits'!G2373:G2377),"")</f>
        <v/>
      </c>
      <c r="H2377" s="3">
        <f>IF(ISNUMBER(AVERAGE('20250815_ETF_Options_Exhibits'!H2373:H2377)),AVERAGE('20250815_ETF_Options_Exhibits'!H2373:H2377),"")</f>
        <v/>
      </c>
      <c r="I2377" s="3">
        <f>IF(ISNUMBER(AVERAGE('20250815_ETF_Options_Exhibits'!I2373:I2377)),AVERAGE('20250815_ETF_Options_Exhibits'!I2373:I2377),"")</f>
        <v/>
      </c>
      <c r="J2377" s="3">
        <f>IF(ISNUMBER(AVERAGE('20250815_ETF_Options_Exhibits'!J2373:J2377)),AVERAGE('20250815_ETF_Options_Exhibits'!J2373:J2377),"")</f>
        <v/>
      </c>
      <c r="K2377" s="3">
        <f>IF(ISNUMBER(AVERAGE('20250815_ETF_Options_Exhibits'!K2373:K2377)),AVERAGE('20250815_ETF_Options_Exhibits'!K2373:K2377),"")</f>
        <v/>
      </c>
      <c r="L2377" s="3">
        <f>IF(ISNUMBER(AVERAGE('20250815_ETF_Options_Exhibits'!L2373:L2377)),AVERAGE('20250815_ETF_Options_Exhibits'!L2373:L2377),"")</f>
        <v/>
      </c>
      <c r="M2377" s="3">
        <f>IF(ISNUMBER(AVERAGE('20250815_ETF_Options_Exhibits'!M2373:M2377)),AVERAGE('20250815_ETF_Options_Exhibits'!M2373:M2377),"")</f>
        <v/>
      </c>
      <c r="N2377" s="3">
        <f>IF(ISNUMBER(AVERAGE('20250815_ETF_Options_Exhibits'!N2373:N2377)),AVERAGE('20250815_ETF_Options_Exhibits'!N2373:N2377),"")</f>
        <v/>
      </c>
      <c r="O2377" s="3">
        <f>IF(ISNUMBER(AVERAGE('20250815_ETF_Options_Exhibits'!O2373:O2377)),AVERAGE('20250815_ETF_Options_Exhibits'!O2373:O2377),"")</f>
        <v/>
      </c>
      <c r="P2377" s="3">
        <f>IF(ISNUMBER(AVERAGE('20250815_ETF_Options_Exhibits'!P2373:P2377)),AVERAGE('20250815_ETF_Options_Exhibits'!P2373:P2377),"")</f>
        <v/>
      </c>
      <c r="Q2377" s="3">
        <f>IF(ISNUMBER(AVERAGE('20250815_ETF_Options_Exhibits'!Q2373:Q2377)),AVERAGE('20250815_ETF_Options_Exhibits'!Q2373:Q2377),"")</f>
        <v/>
      </c>
      <c r="R2377" s="3">
        <f>IF(ISNUMBER(AVERAGE('20250815_ETF_Options_Exhibits'!R2373:R2377)),AVERAGE('20250815_ETF_Options_Exhibits'!R2373:R2377),"")</f>
        <v/>
      </c>
      <c r="S2377" s="3">
        <f>IF(ISNUMBER(AVERAGE('20250815_ETF_Options_Exhibits'!S2373:S2377)),AVERAGE('20250815_ETF_Options_Exhibits'!S2373:S2377),"")</f>
        <v/>
      </c>
      <c r="T2377" s="3">
        <f>IF(ISNUMBER(AVERAGE('20250815_ETF_Options_Exhibits'!T2373:T2377)),AVERAGE('20250815_ETF_Options_Exhibits'!T2373:T2377),"")</f>
        <v/>
      </c>
      <c r="U2377" s="3">
        <f>IF(ISNUMBER(AVERAGE('20250815_ETF_Options_Exhibits'!U2373:U2377)),AVERAGE('20250815_ETF_Options_Exhibits'!U2373:U2377),"")</f>
        <v/>
      </c>
      <c r="V2377" s="3">
        <f>IF(ISNUMBER(AVERAGE('20250815_ETF_Options_Exhibits'!V2373:V2377)),AVERAGE('20250815_ETF_Options_Exhibits'!V2373:V2377),"")</f>
        <v/>
      </c>
      <c r="W2377" s="3">
        <f>IF(ISNUMBER(AVERAGE('20250815_ETF_Options_Exhibits'!W2373:W2377)),AVERAGE('20250815_ETF_Options_Exhibits'!W2373:W2377),"")</f>
        <v/>
      </c>
      <c r="X2377" s="3">
        <f>IF(ISNUMBER(AVERAGE('20250815_ETF_Options_Exhibits'!X2373:X2377)),AVERAGE('20250815_ETF_Options_Exhibits'!X2373:X2377),"")</f>
        <v/>
      </c>
      <c r="Y2377" s="3">
        <f>IF(ISNUMBER(AVERAGE('20250815_ETF_Options_Exhibits'!Y2373:Y2377)),AVERAGE('20250815_ETF_Options_Exhibits'!Y2373:Y2377),"")</f>
        <v/>
      </c>
      <c r="Z2377" s="3">
        <f>IF(ISNUMBER(AVERAGE('20250815_ETF_Options_Exhibits'!Z2373:Z2377)),AVERAGE('20250815_ETF_Options_Exhibits'!Z2373:Z2377),"")</f>
        <v/>
      </c>
      <c r="AA2377" s="3">
        <f>IF(ISNUMBER(AVERAGE('20250815_ETF_Options_Exhibits'!AA2373:AA2377)),AVERAGE('20250815_ETF_Options_Exhibits'!AA2373:AA2377),"")</f>
        <v/>
      </c>
    </row>
    <row r="2378">
      <c r="A2378" s="1" t="n">
        <v>45454</v>
      </c>
      <c r="B2378" s="3">
        <f>IF(ISNUMBER(AVERAGE('20250815_ETF_Options_Exhibits'!B2374:B2378)),AVERAGE('20250815_ETF_Options_Exhibits'!B2374:B2378),"")</f>
        <v/>
      </c>
      <c r="C2378" s="3">
        <f>IF(ISNUMBER(AVERAGE('20250815_ETF_Options_Exhibits'!C2374:C2378)),AVERAGE('20250815_ETF_Options_Exhibits'!C2374:C2378),"")</f>
        <v/>
      </c>
      <c r="D2378" s="3">
        <f>IF(ISNUMBER(AVERAGE('20250815_ETF_Options_Exhibits'!D2374:D2378)),AVERAGE('20250815_ETF_Options_Exhibits'!D2374:D2378),"")</f>
        <v/>
      </c>
      <c r="E2378" s="3">
        <f>IF(ISNUMBER(AVERAGE('20250815_ETF_Options_Exhibits'!E2374:E2378)),AVERAGE('20250815_ETF_Options_Exhibits'!E2374:E2378),"")</f>
        <v/>
      </c>
      <c r="F2378" s="3">
        <f>IF(ISNUMBER(AVERAGE('20250815_ETF_Options_Exhibits'!F2374:F2378)),AVERAGE('20250815_ETF_Options_Exhibits'!F2374:F2378),"")</f>
        <v/>
      </c>
      <c r="G2378" s="3">
        <f>IF(ISNUMBER(AVERAGE('20250815_ETF_Options_Exhibits'!G2374:G2378)),AVERAGE('20250815_ETF_Options_Exhibits'!G2374:G2378),"")</f>
        <v/>
      </c>
      <c r="H2378" s="3">
        <f>IF(ISNUMBER(AVERAGE('20250815_ETF_Options_Exhibits'!H2374:H2378)),AVERAGE('20250815_ETF_Options_Exhibits'!H2374:H2378),"")</f>
        <v/>
      </c>
      <c r="I2378" s="3">
        <f>IF(ISNUMBER(AVERAGE('20250815_ETF_Options_Exhibits'!I2374:I2378)),AVERAGE('20250815_ETF_Options_Exhibits'!I2374:I2378),"")</f>
        <v/>
      </c>
      <c r="J2378" s="3">
        <f>IF(ISNUMBER(AVERAGE('20250815_ETF_Options_Exhibits'!J2374:J2378)),AVERAGE('20250815_ETF_Options_Exhibits'!J2374:J2378),"")</f>
        <v/>
      </c>
      <c r="K2378" s="3">
        <f>IF(ISNUMBER(AVERAGE('20250815_ETF_Options_Exhibits'!K2374:K2378)),AVERAGE('20250815_ETF_Options_Exhibits'!K2374:K2378),"")</f>
        <v/>
      </c>
      <c r="L2378" s="3">
        <f>IF(ISNUMBER(AVERAGE('20250815_ETF_Options_Exhibits'!L2374:L2378)),AVERAGE('20250815_ETF_Options_Exhibits'!L2374:L2378),"")</f>
        <v/>
      </c>
      <c r="M2378" s="3">
        <f>IF(ISNUMBER(AVERAGE('20250815_ETF_Options_Exhibits'!M2374:M2378)),AVERAGE('20250815_ETF_Options_Exhibits'!M2374:M2378),"")</f>
        <v/>
      </c>
      <c r="N2378" s="3">
        <f>IF(ISNUMBER(AVERAGE('20250815_ETF_Options_Exhibits'!N2374:N2378)),AVERAGE('20250815_ETF_Options_Exhibits'!N2374:N2378),"")</f>
        <v/>
      </c>
      <c r="O2378" s="3">
        <f>IF(ISNUMBER(AVERAGE('20250815_ETF_Options_Exhibits'!O2374:O2378)),AVERAGE('20250815_ETF_Options_Exhibits'!O2374:O2378),"")</f>
        <v/>
      </c>
      <c r="P2378" s="3">
        <f>IF(ISNUMBER(AVERAGE('20250815_ETF_Options_Exhibits'!P2374:P2378)),AVERAGE('20250815_ETF_Options_Exhibits'!P2374:P2378),"")</f>
        <v/>
      </c>
      <c r="Q2378" s="3">
        <f>IF(ISNUMBER(AVERAGE('20250815_ETF_Options_Exhibits'!Q2374:Q2378)),AVERAGE('20250815_ETF_Options_Exhibits'!Q2374:Q2378),"")</f>
        <v/>
      </c>
      <c r="R2378" s="3">
        <f>IF(ISNUMBER(AVERAGE('20250815_ETF_Options_Exhibits'!R2374:R2378)),AVERAGE('20250815_ETF_Options_Exhibits'!R2374:R2378),"")</f>
        <v/>
      </c>
      <c r="S2378" s="3">
        <f>IF(ISNUMBER(AVERAGE('20250815_ETF_Options_Exhibits'!S2374:S2378)),AVERAGE('20250815_ETF_Options_Exhibits'!S2374:S2378),"")</f>
        <v/>
      </c>
      <c r="T2378" s="3">
        <f>IF(ISNUMBER(AVERAGE('20250815_ETF_Options_Exhibits'!T2374:T2378)),AVERAGE('20250815_ETF_Options_Exhibits'!T2374:T2378),"")</f>
        <v/>
      </c>
      <c r="U2378" s="3">
        <f>IF(ISNUMBER(AVERAGE('20250815_ETF_Options_Exhibits'!U2374:U2378)),AVERAGE('20250815_ETF_Options_Exhibits'!U2374:U2378),"")</f>
        <v/>
      </c>
      <c r="V2378" s="3">
        <f>IF(ISNUMBER(AVERAGE('20250815_ETF_Options_Exhibits'!V2374:V2378)),AVERAGE('20250815_ETF_Options_Exhibits'!V2374:V2378),"")</f>
        <v/>
      </c>
      <c r="W2378" s="3">
        <f>IF(ISNUMBER(AVERAGE('20250815_ETF_Options_Exhibits'!W2374:W2378)),AVERAGE('20250815_ETF_Options_Exhibits'!W2374:W2378),"")</f>
        <v/>
      </c>
      <c r="X2378" s="3">
        <f>IF(ISNUMBER(AVERAGE('20250815_ETF_Options_Exhibits'!X2374:X2378)),AVERAGE('20250815_ETF_Options_Exhibits'!X2374:X2378),"")</f>
        <v/>
      </c>
      <c r="Y2378" s="3">
        <f>IF(ISNUMBER(AVERAGE('20250815_ETF_Options_Exhibits'!Y2374:Y2378)),AVERAGE('20250815_ETF_Options_Exhibits'!Y2374:Y2378),"")</f>
        <v/>
      </c>
      <c r="Z2378" s="3">
        <f>IF(ISNUMBER(AVERAGE('20250815_ETF_Options_Exhibits'!Z2374:Z2378)),AVERAGE('20250815_ETF_Options_Exhibits'!Z2374:Z2378),"")</f>
        <v/>
      </c>
      <c r="AA2378" s="3">
        <f>IF(ISNUMBER(AVERAGE('20250815_ETF_Options_Exhibits'!AA2374:AA2378)),AVERAGE('20250815_ETF_Options_Exhibits'!AA2374:AA2378),"")</f>
        <v/>
      </c>
    </row>
    <row r="2379">
      <c r="A2379" s="1" t="n">
        <v>45455</v>
      </c>
      <c r="B2379" s="3">
        <f>IF(ISNUMBER(AVERAGE('20250815_ETF_Options_Exhibits'!B2375:B2379)),AVERAGE('20250815_ETF_Options_Exhibits'!B2375:B2379),"")</f>
        <v/>
      </c>
      <c r="C2379" s="3">
        <f>IF(ISNUMBER(AVERAGE('20250815_ETF_Options_Exhibits'!C2375:C2379)),AVERAGE('20250815_ETF_Options_Exhibits'!C2375:C2379),"")</f>
        <v/>
      </c>
      <c r="D2379" s="3">
        <f>IF(ISNUMBER(AVERAGE('20250815_ETF_Options_Exhibits'!D2375:D2379)),AVERAGE('20250815_ETF_Options_Exhibits'!D2375:D2379),"")</f>
        <v/>
      </c>
      <c r="E2379" s="3">
        <f>IF(ISNUMBER(AVERAGE('20250815_ETF_Options_Exhibits'!E2375:E2379)),AVERAGE('20250815_ETF_Options_Exhibits'!E2375:E2379),"")</f>
        <v/>
      </c>
      <c r="F2379" s="3">
        <f>IF(ISNUMBER(AVERAGE('20250815_ETF_Options_Exhibits'!F2375:F2379)),AVERAGE('20250815_ETF_Options_Exhibits'!F2375:F2379),"")</f>
        <v/>
      </c>
      <c r="G2379" s="3">
        <f>IF(ISNUMBER(AVERAGE('20250815_ETF_Options_Exhibits'!G2375:G2379)),AVERAGE('20250815_ETF_Options_Exhibits'!G2375:G2379),"")</f>
        <v/>
      </c>
      <c r="H2379" s="3">
        <f>IF(ISNUMBER(AVERAGE('20250815_ETF_Options_Exhibits'!H2375:H2379)),AVERAGE('20250815_ETF_Options_Exhibits'!H2375:H2379),"")</f>
        <v/>
      </c>
      <c r="I2379" s="3">
        <f>IF(ISNUMBER(AVERAGE('20250815_ETF_Options_Exhibits'!I2375:I2379)),AVERAGE('20250815_ETF_Options_Exhibits'!I2375:I2379),"")</f>
        <v/>
      </c>
      <c r="J2379" s="3">
        <f>IF(ISNUMBER(AVERAGE('20250815_ETF_Options_Exhibits'!J2375:J2379)),AVERAGE('20250815_ETF_Options_Exhibits'!J2375:J2379),"")</f>
        <v/>
      </c>
      <c r="K2379" s="3">
        <f>IF(ISNUMBER(AVERAGE('20250815_ETF_Options_Exhibits'!K2375:K2379)),AVERAGE('20250815_ETF_Options_Exhibits'!K2375:K2379),"")</f>
        <v/>
      </c>
      <c r="L2379" s="3">
        <f>IF(ISNUMBER(AVERAGE('20250815_ETF_Options_Exhibits'!L2375:L2379)),AVERAGE('20250815_ETF_Options_Exhibits'!L2375:L2379),"")</f>
        <v/>
      </c>
      <c r="M2379" s="3">
        <f>IF(ISNUMBER(AVERAGE('20250815_ETF_Options_Exhibits'!M2375:M2379)),AVERAGE('20250815_ETF_Options_Exhibits'!M2375:M2379),"")</f>
        <v/>
      </c>
      <c r="N2379" s="3">
        <f>IF(ISNUMBER(AVERAGE('20250815_ETF_Options_Exhibits'!N2375:N2379)),AVERAGE('20250815_ETF_Options_Exhibits'!N2375:N2379),"")</f>
        <v/>
      </c>
      <c r="O2379" s="3">
        <f>IF(ISNUMBER(AVERAGE('20250815_ETF_Options_Exhibits'!O2375:O2379)),AVERAGE('20250815_ETF_Options_Exhibits'!O2375:O2379),"")</f>
        <v/>
      </c>
      <c r="P2379" s="3">
        <f>IF(ISNUMBER(AVERAGE('20250815_ETF_Options_Exhibits'!P2375:P2379)),AVERAGE('20250815_ETF_Options_Exhibits'!P2375:P2379),"")</f>
        <v/>
      </c>
      <c r="Q2379" s="3">
        <f>IF(ISNUMBER(AVERAGE('20250815_ETF_Options_Exhibits'!Q2375:Q2379)),AVERAGE('20250815_ETF_Options_Exhibits'!Q2375:Q2379),"")</f>
        <v/>
      </c>
      <c r="R2379" s="3">
        <f>IF(ISNUMBER(AVERAGE('20250815_ETF_Options_Exhibits'!R2375:R2379)),AVERAGE('20250815_ETF_Options_Exhibits'!R2375:R2379),"")</f>
        <v/>
      </c>
      <c r="S2379" s="3">
        <f>IF(ISNUMBER(AVERAGE('20250815_ETF_Options_Exhibits'!S2375:S2379)),AVERAGE('20250815_ETF_Options_Exhibits'!S2375:S2379),"")</f>
        <v/>
      </c>
      <c r="T2379" s="3">
        <f>IF(ISNUMBER(AVERAGE('20250815_ETF_Options_Exhibits'!T2375:T2379)),AVERAGE('20250815_ETF_Options_Exhibits'!T2375:T2379),"")</f>
        <v/>
      </c>
      <c r="U2379" s="3">
        <f>IF(ISNUMBER(AVERAGE('20250815_ETF_Options_Exhibits'!U2375:U2379)),AVERAGE('20250815_ETF_Options_Exhibits'!U2375:U2379),"")</f>
        <v/>
      </c>
      <c r="V2379" s="3">
        <f>IF(ISNUMBER(AVERAGE('20250815_ETF_Options_Exhibits'!V2375:V2379)),AVERAGE('20250815_ETF_Options_Exhibits'!V2375:V2379),"")</f>
        <v/>
      </c>
      <c r="W2379" s="3">
        <f>IF(ISNUMBER(AVERAGE('20250815_ETF_Options_Exhibits'!W2375:W2379)),AVERAGE('20250815_ETF_Options_Exhibits'!W2375:W2379),"")</f>
        <v/>
      </c>
      <c r="X2379" s="3">
        <f>IF(ISNUMBER(AVERAGE('20250815_ETF_Options_Exhibits'!X2375:X2379)),AVERAGE('20250815_ETF_Options_Exhibits'!X2375:X2379),"")</f>
        <v/>
      </c>
      <c r="Y2379" s="3">
        <f>IF(ISNUMBER(AVERAGE('20250815_ETF_Options_Exhibits'!Y2375:Y2379)),AVERAGE('20250815_ETF_Options_Exhibits'!Y2375:Y2379),"")</f>
        <v/>
      </c>
      <c r="Z2379" s="3">
        <f>IF(ISNUMBER(AVERAGE('20250815_ETF_Options_Exhibits'!Z2375:Z2379)),AVERAGE('20250815_ETF_Options_Exhibits'!Z2375:Z2379),"")</f>
        <v/>
      </c>
      <c r="AA2379" s="3">
        <f>IF(ISNUMBER(AVERAGE('20250815_ETF_Options_Exhibits'!AA2375:AA2379)),AVERAGE('20250815_ETF_Options_Exhibits'!AA2375:AA2379),"")</f>
        <v/>
      </c>
    </row>
    <row r="2380">
      <c r="A2380" s="1" t="n">
        <v>45456</v>
      </c>
      <c r="B2380" s="3">
        <f>IF(ISNUMBER(AVERAGE('20250815_ETF_Options_Exhibits'!B2376:B2380)),AVERAGE('20250815_ETF_Options_Exhibits'!B2376:B2380),"")</f>
        <v/>
      </c>
      <c r="C2380" s="3">
        <f>IF(ISNUMBER(AVERAGE('20250815_ETF_Options_Exhibits'!C2376:C2380)),AVERAGE('20250815_ETF_Options_Exhibits'!C2376:C2380),"")</f>
        <v/>
      </c>
      <c r="D2380" s="3">
        <f>IF(ISNUMBER(AVERAGE('20250815_ETF_Options_Exhibits'!D2376:D2380)),AVERAGE('20250815_ETF_Options_Exhibits'!D2376:D2380),"")</f>
        <v/>
      </c>
      <c r="E2380" s="3">
        <f>IF(ISNUMBER(AVERAGE('20250815_ETF_Options_Exhibits'!E2376:E2380)),AVERAGE('20250815_ETF_Options_Exhibits'!E2376:E2380),"")</f>
        <v/>
      </c>
      <c r="F2380" s="3">
        <f>IF(ISNUMBER(AVERAGE('20250815_ETF_Options_Exhibits'!F2376:F2380)),AVERAGE('20250815_ETF_Options_Exhibits'!F2376:F2380),"")</f>
        <v/>
      </c>
      <c r="G2380" s="3">
        <f>IF(ISNUMBER(AVERAGE('20250815_ETF_Options_Exhibits'!G2376:G2380)),AVERAGE('20250815_ETF_Options_Exhibits'!G2376:G2380),"")</f>
        <v/>
      </c>
      <c r="H2380" s="3">
        <f>IF(ISNUMBER(AVERAGE('20250815_ETF_Options_Exhibits'!H2376:H2380)),AVERAGE('20250815_ETF_Options_Exhibits'!H2376:H2380),"")</f>
        <v/>
      </c>
      <c r="I2380" s="3">
        <f>IF(ISNUMBER(AVERAGE('20250815_ETF_Options_Exhibits'!I2376:I2380)),AVERAGE('20250815_ETF_Options_Exhibits'!I2376:I2380),"")</f>
        <v/>
      </c>
      <c r="J2380" s="3">
        <f>IF(ISNUMBER(AVERAGE('20250815_ETF_Options_Exhibits'!J2376:J2380)),AVERAGE('20250815_ETF_Options_Exhibits'!J2376:J2380),"")</f>
        <v/>
      </c>
      <c r="K2380" s="3">
        <f>IF(ISNUMBER(AVERAGE('20250815_ETF_Options_Exhibits'!K2376:K2380)),AVERAGE('20250815_ETF_Options_Exhibits'!K2376:K2380),"")</f>
        <v/>
      </c>
      <c r="L2380" s="3">
        <f>IF(ISNUMBER(AVERAGE('20250815_ETF_Options_Exhibits'!L2376:L2380)),AVERAGE('20250815_ETF_Options_Exhibits'!L2376:L2380),"")</f>
        <v/>
      </c>
      <c r="M2380" s="3">
        <f>IF(ISNUMBER(AVERAGE('20250815_ETF_Options_Exhibits'!M2376:M2380)),AVERAGE('20250815_ETF_Options_Exhibits'!M2376:M2380),"")</f>
        <v/>
      </c>
      <c r="N2380" s="3">
        <f>IF(ISNUMBER(AVERAGE('20250815_ETF_Options_Exhibits'!N2376:N2380)),AVERAGE('20250815_ETF_Options_Exhibits'!N2376:N2380),"")</f>
        <v/>
      </c>
      <c r="O2380" s="3">
        <f>IF(ISNUMBER(AVERAGE('20250815_ETF_Options_Exhibits'!O2376:O2380)),AVERAGE('20250815_ETF_Options_Exhibits'!O2376:O2380),"")</f>
        <v/>
      </c>
      <c r="P2380" s="3">
        <f>IF(ISNUMBER(AVERAGE('20250815_ETF_Options_Exhibits'!P2376:P2380)),AVERAGE('20250815_ETF_Options_Exhibits'!P2376:P2380),"")</f>
        <v/>
      </c>
      <c r="Q2380" s="3">
        <f>IF(ISNUMBER(AVERAGE('20250815_ETF_Options_Exhibits'!Q2376:Q2380)),AVERAGE('20250815_ETF_Options_Exhibits'!Q2376:Q2380),"")</f>
        <v/>
      </c>
      <c r="R2380" s="3">
        <f>IF(ISNUMBER(AVERAGE('20250815_ETF_Options_Exhibits'!R2376:R2380)),AVERAGE('20250815_ETF_Options_Exhibits'!R2376:R2380),"")</f>
        <v/>
      </c>
      <c r="S2380" s="3">
        <f>IF(ISNUMBER(AVERAGE('20250815_ETF_Options_Exhibits'!S2376:S2380)),AVERAGE('20250815_ETF_Options_Exhibits'!S2376:S2380),"")</f>
        <v/>
      </c>
      <c r="T2380" s="3">
        <f>IF(ISNUMBER(AVERAGE('20250815_ETF_Options_Exhibits'!T2376:T2380)),AVERAGE('20250815_ETF_Options_Exhibits'!T2376:T2380),"")</f>
        <v/>
      </c>
      <c r="U2380" s="3">
        <f>IF(ISNUMBER(AVERAGE('20250815_ETF_Options_Exhibits'!U2376:U2380)),AVERAGE('20250815_ETF_Options_Exhibits'!U2376:U2380),"")</f>
        <v/>
      </c>
      <c r="V2380" s="3">
        <f>IF(ISNUMBER(AVERAGE('20250815_ETF_Options_Exhibits'!V2376:V2380)),AVERAGE('20250815_ETF_Options_Exhibits'!V2376:V2380),"")</f>
        <v/>
      </c>
      <c r="W2380" s="3">
        <f>IF(ISNUMBER(AVERAGE('20250815_ETF_Options_Exhibits'!W2376:W2380)),AVERAGE('20250815_ETF_Options_Exhibits'!W2376:W2380),"")</f>
        <v/>
      </c>
      <c r="X2380" s="3">
        <f>IF(ISNUMBER(AVERAGE('20250815_ETF_Options_Exhibits'!X2376:X2380)),AVERAGE('20250815_ETF_Options_Exhibits'!X2376:X2380),"")</f>
        <v/>
      </c>
      <c r="Y2380" s="3">
        <f>IF(ISNUMBER(AVERAGE('20250815_ETF_Options_Exhibits'!Y2376:Y2380)),AVERAGE('20250815_ETF_Options_Exhibits'!Y2376:Y2380),"")</f>
        <v/>
      </c>
      <c r="Z2380" s="3">
        <f>IF(ISNUMBER(AVERAGE('20250815_ETF_Options_Exhibits'!Z2376:Z2380)),AVERAGE('20250815_ETF_Options_Exhibits'!Z2376:Z2380),"")</f>
        <v/>
      </c>
      <c r="AA2380" s="3">
        <f>IF(ISNUMBER(AVERAGE('20250815_ETF_Options_Exhibits'!AA2376:AA2380)),AVERAGE('20250815_ETF_Options_Exhibits'!AA2376:AA2380),"")</f>
        <v/>
      </c>
    </row>
    <row r="2381">
      <c r="A2381" s="1" t="n">
        <v>45457</v>
      </c>
      <c r="B2381" s="3">
        <f>IF(ISNUMBER(AVERAGE('20250815_ETF_Options_Exhibits'!B2377:B2381)),AVERAGE('20250815_ETF_Options_Exhibits'!B2377:B2381),"")</f>
        <v/>
      </c>
      <c r="C2381" s="3">
        <f>IF(ISNUMBER(AVERAGE('20250815_ETF_Options_Exhibits'!C2377:C2381)),AVERAGE('20250815_ETF_Options_Exhibits'!C2377:C2381),"")</f>
        <v/>
      </c>
      <c r="D2381" s="3">
        <f>IF(ISNUMBER(AVERAGE('20250815_ETF_Options_Exhibits'!D2377:D2381)),AVERAGE('20250815_ETF_Options_Exhibits'!D2377:D2381),"")</f>
        <v/>
      </c>
      <c r="E2381" s="3">
        <f>IF(ISNUMBER(AVERAGE('20250815_ETF_Options_Exhibits'!E2377:E2381)),AVERAGE('20250815_ETF_Options_Exhibits'!E2377:E2381),"")</f>
        <v/>
      </c>
      <c r="F2381" s="3">
        <f>IF(ISNUMBER(AVERAGE('20250815_ETF_Options_Exhibits'!F2377:F2381)),AVERAGE('20250815_ETF_Options_Exhibits'!F2377:F2381),"")</f>
        <v/>
      </c>
      <c r="G2381" s="3">
        <f>IF(ISNUMBER(AVERAGE('20250815_ETF_Options_Exhibits'!G2377:G2381)),AVERAGE('20250815_ETF_Options_Exhibits'!G2377:G2381),"")</f>
        <v/>
      </c>
      <c r="H2381" s="3">
        <f>IF(ISNUMBER(AVERAGE('20250815_ETF_Options_Exhibits'!H2377:H2381)),AVERAGE('20250815_ETF_Options_Exhibits'!H2377:H2381),"")</f>
        <v/>
      </c>
      <c r="I2381" s="3">
        <f>IF(ISNUMBER(AVERAGE('20250815_ETF_Options_Exhibits'!I2377:I2381)),AVERAGE('20250815_ETF_Options_Exhibits'!I2377:I2381),"")</f>
        <v/>
      </c>
      <c r="J2381" s="3">
        <f>IF(ISNUMBER(AVERAGE('20250815_ETF_Options_Exhibits'!J2377:J2381)),AVERAGE('20250815_ETF_Options_Exhibits'!J2377:J2381),"")</f>
        <v/>
      </c>
      <c r="K2381" s="3">
        <f>IF(ISNUMBER(AVERAGE('20250815_ETF_Options_Exhibits'!K2377:K2381)),AVERAGE('20250815_ETF_Options_Exhibits'!K2377:K2381),"")</f>
        <v/>
      </c>
      <c r="L2381" s="3">
        <f>IF(ISNUMBER(AVERAGE('20250815_ETF_Options_Exhibits'!L2377:L2381)),AVERAGE('20250815_ETF_Options_Exhibits'!L2377:L2381),"")</f>
        <v/>
      </c>
      <c r="M2381" s="3">
        <f>IF(ISNUMBER(AVERAGE('20250815_ETF_Options_Exhibits'!M2377:M2381)),AVERAGE('20250815_ETF_Options_Exhibits'!M2377:M2381),"")</f>
        <v/>
      </c>
      <c r="N2381" s="3">
        <f>IF(ISNUMBER(AVERAGE('20250815_ETF_Options_Exhibits'!N2377:N2381)),AVERAGE('20250815_ETF_Options_Exhibits'!N2377:N2381),"")</f>
        <v/>
      </c>
      <c r="O2381" s="3">
        <f>IF(ISNUMBER(AVERAGE('20250815_ETF_Options_Exhibits'!O2377:O2381)),AVERAGE('20250815_ETF_Options_Exhibits'!O2377:O2381),"")</f>
        <v/>
      </c>
      <c r="P2381" s="3">
        <f>IF(ISNUMBER(AVERAGE('20250815_ETF_Options_Exhibits'!P2377:P2381)),AVERAGE('20250815_ETF_Options_Exhibits'!P2377:P2381),"")</f>
        <v/>
      </c>
      <c r="Q2381" s="3">
        <f>IF(ISNUMBER(AVERAGE('20250815_ETF_Options_Exhibits'!Q2377:Q2381)),AVERAGE('20250815_ETF_Options_Exhibits'!Q2377:Q2381),"")</f>
        <v/>
      </c>
      <c r="R2381" s="3">
        <f>IF(ISNUMBER(AVERAGE('20250815_ETF_Options_Exhibits'!R2377:R2381)),AVERAGE('20250815_ETF_Options_Exhibits'!R2377:R2381),"")</f>
        <v/>
      </c>
      <c r="S2381" s="3">
        <f>IF(ISNUMBER(AVERAGE('20250815_ETF_Options_Exhibits'!S2377:S2381)),AVERAGE('20250815_ETF_Options_Exhibits'!S2377:S2381),"")</f>
        <v/>
      </c>
      <c r="T2381" s="3">
        <f>IF(ISNUMBER(AVERAGE('20250815_ETF_Options_Exhibits'!T2377:T2381)),AVERAGE('20250815_ETF_Options_Exhibits'!T2377:T2381),"")</f>
        <v/>
      </c>
      <c r="U2381" s="3">
        <f>IF(ISNUMBER(AVERAGE('20250815_ETF_Options_Exhibits'!U2377:U2381)),AVERAGE('20250815_ETF_Options_Exhibits'!U2377:U2381),"")</f>
        <v/>
      </c>
      <c r="V2381" s="3">
        <f>IF(ISNUMBER(AVERAGE('20250815_ETF_Options_Exhibits'!V2377:V2381)),AVERAGE('20250815_ETF_Options_Exhibits'!V2377:V2381),"")</f>
        <v/>
      </c>
      <c r="W2381" s="3">
        <f>IF(ISNUMBER(AVERAGE('20250815_ETF_Options_Exhibits'!W2377:W2381)),AVERAGE('20250815_ETF_Options_Exhibits'!W2377:W2381),"")</f>
        <v/>
      </c>
      <c r="X2381" s="3">
        <f>IF(ISNUMBER(AVERAGE('20250815_ETF_Options_Exhibits'!X2377:X2381)),AVERAGE('20250815_ETF_Options_Exhibits'!X2377:X2381),"")</f>
        <v/>
      </c>
      <c r="Y2381" s="3">
        <f>IF(ISNUMBER(AVERAGE('20250815_ETF_Options_Exhibits'!Y2377:Y2381)),AVERAGE('20250815_ETF_Options_Exhibits'!Y2377:Y2381),"")</f>
        <v/>
      </c>
      <c r="Z2381" s="3">
        <f>IF(ISNUMBER(AVERAGE('20250815_ETF_Options_Exhibits'!Z2377:Z2381)),AVERAGE('20250815_ETF_Options_Exhibits'!Z2377:Z2381),"")</f>
        <v/>
      </c>
      <c r="AA2381" s="3">
        <f>IF(ISNUMBER(AVERAGE('20250815_ETF_Options_Exhibits'!AA2377:AA2381)),AVERAGE('20250815_ETF_Options_Exhibits'!AA2377:AA2381),"")</f>
        <v/>
      </c>
    </row>
    <row r="2382">
      <c r="A2382" s="1" t="n">
        <v>45460</v>
      </c>
      <c r="B2382" s="3">
        <f>IF(ISNUMBER(AVERAGE('20250815_ETF_Options_Exhibits'!B2378:B2382)),AVERAGE('20250815_ETF_Options_Exhibits'!B2378:B2382),"")</f>
        <v/>
      </c>
      <c r="C2382" s="3">
        <f>IF(ISNUMBER(AVERAGE('20250815_ETF_Options_Exhibits'!C2378:C2382)),AVERAGE('20250815_ETF_Options_Exhibits'!C2378:C2382),"")</f>
        <v/>
      </c>
      <c r="D2382" s="3">
        <f>IF(ISNUMBER(AVERAGE('20250815_ETF_Options_Exhibits'!D2378:D2382)),AVERAGE('20250815_ETF_Options_Exhibits'!D2378:D2382),"")</f>
        <v/>
      </c>
      <c r="E2382" s="3">
        <f>IF(ISNUMBER(AVERAGE('20250815_ETF_Options_Exhibits'!E2378:E2382)),AVERAGE('20250815_ETF_Options_Exhibits'!E2378:E2382),"")</f>
        <v/>
      </c>
      <c r="F2382" s="3">
        <f>IF(ISNUMBER(AVERAGE('20250815_ETF_Options_Exhibits'!F2378:F2382)),AVERAGE('20250815_ETF_Options_Exhibits'!F2378:F2382),"")</f>
        <v/>
      </c>
      <c r="G2382" s="3">
        <f>IF(ISNUMBER(AVERAGE('20250815_ETF_Options_Exhibits'!G2378:G2382)),AVERAGE('20250815_ETF_Options_Exhibits'!G2378:G2382),"")</f>
        <v/>
      </c>
      <c r="H2382" s="3">
        <f>IF(ISNUMBER(AVERAGE('20250815_ETF_Options_Exhibits'!H2378:H2382)),AVERAGE('20250815_ETF_Options_Exhibits'!H2378:H2382),"")</f>
        <v/>
      </c>
      <c r="I2382" s="3">
        <f>IF(ISNUMBER(AVERAGE('20250815_ETF_Options_Exhibits'!I2378:I2382)),AVERAGE('20250815_ETF_Options_Exhibits'!I2378:I2382),"")</f>
        <v/>
      </c>
      <c r="J2382" s="3">
        <f>IF(ISNUMBER(AVERAGE('20250815_ETF_Options_Exhibits'!J2378:J2382)),AVERAGE('20250815_ETF_Options_Exhibits'!J2378:J2382),"")</f>
        <v/>
      </c>
      <c r="K2382" s="3">
        <f>IF(ISNUMBER(AVERAGE('20250815_ETF_Options_Exhibits'!K2378:K2382)),AVERAGE('20250815_ETF_Options_Exhibits'!K2378:K2382),"")</f>
        <v/>
      </c>
      <c r="L2382" s="3">
        <f>IF(ISNUMBER(AVERAGE('20250815_ETF_Options_Exhibits'!L2378:L2382)),AVERAGE('20250815_ETF_Options_Exhibits'!L2378:L2382),"")</f>
        <v/>
      </c>
      <c r="M2382" s="3">
        <f>IF(ISNUMBER(AVERAGE('20250815_ETF_Options_Exhibits'!M2378:M2382)),AVERAGE('20250815_ETF_Options_Exhibits'!M2378:M2382),"")</f>
        <v/>
      </c>
      <c r="N2382" s="3">
        <f>IF(ISNUMBER(AVERAGE('20250815_ETF_Options_Exhibits'!N2378:N2382)),AVERAGE('20250815_ETF_Options_Exhibits'!N2378:N2382),"")</f>
        <v/>
      </c>
      <c r="O2382" s="3">
        <f>IF(ISNUMBER(AVERAGE('20250815_ETF_Options_Exhibits'!O2378:O2382)),AVERAGE('20250815_ETF_Options_Exhibits'!O2378:O2382),"")</f>
        <v/>
      </c>
      <c r="P2382" s="3">
        <f>IF(ISNUMBER(AVERAGE('20250815_ETF_Options_Exhibits'!P2378:P2382)),AVERAGE('20250815_ETF_Options_Exhibits'!P2378:P2382),"")</f>
        <v/>
      </c>
      <c r="Q2382" s="3">
        <f>IF(ISNUMBER(AVERAGE('20250815_ETF_Options_Exhibits'!Q2378:Q2382)),AVERAGE('20250815_ETF_Options_Exhibits'!Q2378:Q2382),"")</f>
        <v/>
      </c>
      <c r="R2382" s="3">
        <f>IF(ISNUMBER(AVERAGE('20250815_ETF_Options_Exhibits'!R2378:R2382)),AVERAGE('20250815_ETF_Options_Exhibits'!R2378:R2382),"")</f>
        <v/>
      </c>
      <c r="S2382" s="3">
        <f>IF(ISNUMBER(AVERAGE('20250815_ETF_Options_Exhibits'!S2378:S2382)),AVERAGE('20250815_ETF_Options_Exhibits'!S2378:S2382),"")</f>
        <v/>
      </c>
      <c r="T2382" s="3">
        <f>IF(ISNUMBER(AVERAGE('20250815_ETF_Options_Exhibits'!T2378:T2382)),AVERAGE('20250815_ETF_Options_Exhibits'!T2378:T2382),"")</f>
        <v/>
      </c>
      <c r="U2382" s="3">
        <f>IF(ISNUMBER(AVERAGE('20250815_ETF_Options_Exhibits'!U2378:U2382)),AVERAGE('20250815_ETF_Options_Exhibits'!U2378:U2382),"")</f>
        <v/>
      </c>
      <c r="V2382" s="3">
        <f>IF(ISNUMBER(AVERAGE('20250815_ETF_Options_Exhibits'!V2378:V2382)),AVERAGE('20250815_ETF_Options_Exhibits'!V2378:V2382),"")</f>
        <v/>
      </c>
      <c r="W2382" s="3">
        <f>IF(ISNUMBER(AVERAGE('20250815_ETF_Options_Exhibits'!W2378:W2382)),AVERAGE('20250815_ETF_Options_Exhibits'!W2378:W2382),"")</f>
        <v/>
      </c>
      <c r="X2382" s="3">
        <f>IF(ISNUMBER(AVERAGE('20250815_ETF_Options_Exhibits'!X2378:X2382)),AVERAGE('20250815_ETF_Options_Exhibits'!X2378:X2382),"")</f>
        <v/>
      </c>
      <c r="Y2382" s="3">
        <f>IF(ISNUMBER(AVERAGE('20250815_ETF_Options_Exhibits'!Y2378:Y2382)),AVERAGE('20250815_ETF_Options_Exhibits'!Y2378:Y2382),"")</f>
        <v/>
      </c>
      <c r="Z2382" s="3">
        <f>IF(ISNUMBER(AVERAGE('20250815_ETF_Options_Exhibits'!Z2378:Z2382)),AVERAGE('20250815_ETF_Options_Exhibits'!Z2378:Z2382),"")</f>
        <v/>
      </c>
      <c r="AA2382" s="3">
        <f>IF(ISNUMBER(AVERAGE('20250815_ETF_Options_Exhibits'!AA2378:AA2382)),AVERAGE('20250815_ETF_Options_Exhibits'!AA2378:AA2382),"")</f>
        <v/>
      </c>
    </row>
    <row r="2383">
      <c r="A2383" s="1" t="n">
        <v>45461</v>
      </c>
      <c r="B2383" s="3">
        <f>IF(ISNUMBER(AVERAGE('20250815_ETF_Options_Exhibits'!B2379:B2383)),AVERAGE('20250815_ETF_Options_Exhibits'!B2379:B2383),"")</f>
        <v/>
      </c>
      <c r="C2383" s="3">
        <f>IF(ISNUMBER(AVERAGE('20250815_ETF_Options_Exhibits'!C2379:C2383)),AVERAGE('20250815_ETF_Options_Exhibits'!C2379:C2383),"")</f>
        <v/>
      </c>
      <c r="D2383" s="3">
        <f>IF(ISNUMBER(AVERAGE('20250815_ETF_Options_Exhibits'!D2379:D2383)),AVERAGE('20250815_ETF_Options_Exhibits'!D2379:D2383),"")</f>
        <v/>
      </c>
      <c r="E2383" s="3">
        <f>IF(ISNUMBER(AVERAGE('20250815_ETF_Options_Exhibits'!E2379:E2383)),AVERAGE('20250815_ETF_Options_Exhibits'!E2379:E2383),"")</f>
        <v/>
      </c>
      <c r="F2383" s="3">
        <f>IF(ISNUMBER(AVERAGE('20250815_ETF_Options_Exhibits'!F2379:F2383)),AVERAGE('20250815_ETF_Options_Exhibits'!F2379:F2383),"")</f>
        <v/>
      </c>
      <c r="G2383" s="3">
        <f>IF(ISNUMBER(AVERAGE('20250815_ETF_Options_Exhibits'!G2379:G2383)),AVERAGE('20250815_ETF_Options_Exhibits'!G2379:G2383),"")</f>
        <v/>
      </c>
      <c r="H2383" s="3">
        <f>IF(ISNUMBER(AVERAGE('20250815_ETF_Options_Exhibits'!H2379:H2383)),AVERAGE('20250815_ETF_Options_Exhibits'!H2379:H2383),"")</f>
        <v/>
      </c>
      <c r="I2383" s="3">
        <f>IF(ISNUMBER(AVERAGE('20250815_ETF_Options_Exhibits'!I2379:I2383)),AVERAGE('20250815_ETF_Options_Exhibits'!I2379:I2383),"")</f>
        <v/>
      </c>
      <c r="J2383" s="3">
        <f>IF(ISNUMBER(AVERAGE('20250815_ETF_Options_Exhibits'!J2379:J2383)),AVERAGE('20250815_ETF_Options_Exhibits'!J2379:J2383),"")</f>
        <v/>
      </c>
      <c r="K2383" s="3">
        <f>IF(ISNUMBER(AVERAGE('20250815_ETF_Options_Exhibits'!K2379:K2383)),AVERAGE('20250815_ETF_Options_Exhibits'!K2379:K2383),"")</f>
        <v/>
      </c>
      <c r="L2383" s="3">
        <f>IF(ISNUMBER(AVERAGE('20250815_ETF_Options_Exhibits'!L2379:L2383)),AVERAGE('20250815_ETF_Options_Exhibits'!L2379:L2383),"")</f>
        <v/>
      </c>
      <c r="M2383" s="3">
        <f>IF(ISNUMBER(AVERAGE('20250815_ETF_Options_Exhibits'!M2379:M2383)),AVERAGE('20250815_ETF_Options_Exhibits'!M2379:M2383),"")</f>
        <v/>
      </c>
      <c r="N2383" s="3">
        <f>IF(ISNUMBER(AVERAGE('20250815_ETF_Options_Exhibits'!N2379:N2383)),AVERAGE('20250815_ETF_Options_Exhibits'!N2379:N2383),"")</f>
        <v/>
      </c>
      <c r="O2383" s="3">
        <f>IF(ISNUMBER(AVERAGE('20250815_ETF_Options_Exhibits'!O2379:O2383)),AVERAGE('20250815_ETF_Options_Exhibits'!O2379:O2383),"")</f>
        <v/>
      </c>
      <c r="P2383" s="3">
        <f>IF(ISNUMBER(AVERAGE('20250815_ETF_Options_Exhibits'!P2379:P2383)),AVERAGE('20250815_ETF_Options_Exhibits'!P2379:P2383),"")</f>
        <v/>
      </c>
      <c r="Q2383" s="3">
        <f>IF(ISNUMBER(AVERAGE('20250815_ETF_Options_Exhibits'!Q2379:Q2383)),AVERAGE('20250815_ETF_Options_Exhibits'!Q2379:Q2383),"")</f>
        <v/>
      </c>
      <c r="R2383" s="3">
        <f>IF(ISNUMBER(AVERAGE('20250815_ETF_Options_Exhibits'!R2379:R2383)),AVERAGE('20250815_ETF_Options_Exhibits'!R2379:R2383),"")</f>
        <v/>
      </c>
      <c r="S2383" s="3">
        <f>IF(ISNUMBER(AVERAGE('20250815_ETF_Options_Exhibits'!S2379:S2383)),AVERAGE('20250815_ETF_Options_Exhibits'!S2379:S2383),"")</f>
        <v/>
      </c>
      <c r="T2383" s="3">
        <f>IF(ISNUMBER(AVERAGE('20250815_ETF_Options_Exhibits'!T2379:T2383)),AVERAGE('20250815_ETF_Options_Exhibits'!T2379:T2383),"")</f>
        <v/>
      </c>
      <c r="U2383" s="3">
        <f>IF(ISNUMBER(AVERAGE('20250815_ETF_Options_Exhibits'!U2379:U2383)),AVERAGE('20250815_ETF_Options_Exhibits'!U2379:U2383),"")</f>
        <v/>
      </c>
      <c r="V2383" s="3">
        <f>IF(ISNUMBER(AVERAGE('20250815_ETF_Options_Exhibits'!V2379:V2383)),AVERAGE('20250815_ETF_Options_Exhibits'!V2379:V2383),"")</f>
        <v/>
      </c>
      <c r="W2383" s="3">
        <f>IF(ISNUMBER(AVERAGE('20250815_ETF_Options_Exhibits'!W2379:W2383)),AVERAGE('20250815_ETF_Options_Exhibits'!W2379:W2383),"")</f>
        <v/>
      </c>
      <c r="X2383" s="3">
        <f>IF(ISNUMBER(AVERAGE('20250815_ETF_Options_Exhibits'!X2379:X2383)),AVERAGE('20250815_ETF_Options_Exhibits'!X2379:X2383),"")</f>
        <v/>
      </c>
      <c r="Y2383" s="3">
        <f>IF(ISNUMBER(AVERAGE('20250815_ETF_Options_Exhibits'!Y2379:Y2383)),AVERAGE('20250815_ETF_Options_Exhibits'!Y2379:Y2383),"")</f>
        <v/>
      </c>
      <c r="Z2383" s="3">
        <f>IF(ISNUMBER(AVERAGE('20250815_ETF_Options_Exhibits'!Z2379:Z2383)),AVERAGE('20250815_ETF_Options_Exhibits'!Z2379:Z2383),"")</f>
        <v/>
      </c>
      <c r="AA2383" s="3">
        <f>IF(ISNUMBER(AVERAGE('20250815_ETF_Options_Exhibits'!AA2379:AA2383)),AVERAGE('20250815_ETF_Options_Exhibits'!AA2379:AA2383),"")</f>
        <v/>
      </c>
    </row>
    <row r="2384">
      <c r="A2384" s="1" t="n">
        <v>45463</v>
      </c>
      <c r="B2384" s="3">
        <f>IF(ISNUMBER(AVERAGE('20250815_ETF_Options_Exhibits'!B2380:B2384)),AVERAGE('20250815_ETF_Options_Exhibits'!B2380:B2384),"")</f>
        <v/>
      </c>
      <c r="C2384" s="3">
        <f>IF(ISNUMBER(AVERAGE('20250815_ETF_Options_Exhibits'!C2380:C2384)),AVERAGE('20250815_ETF_Options_Exhibits'!C2380:C2384),"")</f>
        <v/>
      </c>
      <c r="D2384" s="3">
        <f>IF(ISNUMBER(AVERAGE('20250815_ETF_Options_Exhibits'!D2380:D2384)),AVERAGE('20250815_ETF_Options_Exhibits'!D2380:D2384),"")</f>
        <v/>
      </c>
      <c r="E2384" s="3">
        <f>IF(ISNUMBER(AVERAGE('20250815_ETF_Options_Exhibits'!E2380:E2384)),AVERAGE('20250815_ETF_Options_Exhibits'!E2380:E2384),"")</f>
        <v/>
      </c>
      <c r="F2384" s="3">
        <f>IF(ISNUMBER(AVERAGE('20250815_ETF_Options_Exhibits'!F2380:F2384)),AVERAGE('20250815_ETF_Options_Exhibits'!F2380:F2384),"")</f>
        <v/>
      </c>
      <c r="G2384" s="3">
        <f>IF(ISNUMBER(AVERAGE('20250815_ETF_Options_Exhibits'!G2380:G2384)),AVERAGE('20250815_ETF_Options_Exhibits'!G2380:G2384),"")</f>
        <v/>
      </c>
      <c r="H2384" s="3">
        <f>IF(ISNUMBER(AVERAGE('20250815_ETF_Options_Exhibits'!H2380:H2384)),AVERAGE('20250815_ETF_Options_Exhibits'!H2380:H2384),"")</f>
        <v/>
      </c>
      <c r="I2384" s="3">
        <f>IF(ISNUMBER(AVERAGE('20250815_ETF_Options_Exhibits'!I2380:I2384)),AVERAGE('20250815_ETF_Options_Exhibits'!I2380:I2384),"")</f>
        <v/>
      </c>
      <c r="J2384" s="3">
        <f>IF(ISNUMBER(AVERAGE('20250815_ETF_Options_Exhibits'!J2380:J2384)),AVERAGE('20250815_ETF_Options_Exhibits'!J2380:J2384),"")</f>
        <v/>
      </c>
      <c r="K2384" s="3">
        <f>IF(ISNUMBER(AVERAGE('20250815_ETF_Options_Exhibits'!K2380:K2384)),AVERAGE('20250815_ETF_Options_Exhibits'!K2380:K2384),"")</f>
        <v/>
      </c>
      <c r="L2384" s="3">
        <f>IF(ISNUMBER(AVERAGE('20250815_ETF_Options_Exhibits'!L2380:L2384)),AVERAGE('20250815_ETF_Options_Exhibits'!L2380:L2384),"")</f>
        <v/>
      </c>
      <c r="M2384" s="3">
        <f>IF(ISNUMBER(AVERAGE('20250815_ETF_Options_Exhibits'!M2380:M2384)),AVERAGE('20250815_ETF_Options_Exhibits'!M2380:M2384),"")</f>
        <v/>
      </c>
      <c r="N2384" s="3">
        <f>IF(ISNUMBER(AVERAGE('20250815_ETF_Options_Exhibits'!N2380:N2384)),AVERAGE('20250815_ETF_Options_Exhibits'!N2380:N2384),"")</f>
        <v/>
      </c>
      <c r="O2384" s="3">
        <f>IF(ISNUMBER(AVERAGE('20250815_ETF_Options_Exhibits'!O2380:O2384)),AVERAGE('20250815_ETF_Options_Exhibits'!O2380:O2384),"")</f>
        <v/>
      </c>
      <c r="P2384" s="3">
        <f>IF(ISNUMBER(AVERAGE('20250815_ETF_Options_Exhibits'!P2380:P2384)),AVERAGE('20250815_ETF_Options_Exhibits'!P2380:P2384),"")</f>
        <v/>
      </c>
      <c r="Q2384" s="3">
        <f>IF(ISNUMBER(AVERAGE('20250815_ETF_Options_Exhibits'!Q2380:Q2384)),AVERAGE('20250815_ETF_Options_Exhibits'!Q2380:Q2384),"")</f>
        <v/>
      </c>
      <c r="R2384" s="3">
        <f>IF(ISNUMBER(AVERAGE('20250815_ETF_Options_Exhibits'!R2380:R2384)),AVERAGE('20250815_ETF_Options_Exhibits'!R2380:R2384),"")</f>
        <v/>
      </c>
      <c r="S2384" s="3">
        <f>IF(ISNUMBER(AVERAGE('20250815_ETF_Options_Exhibits'!S2380:S2384)),AVERAGE('20250815_ETF_Options_Exhibits'!S2380:S2384),"")</f>
        <v/>
      </c>
      <c r="T2384" s="3">
        <f>IF(ISNUMBER(AVERAGE('20250815_ETF_Options_Exhibits'!T2380:T2384)),AVERAGE('20250815_ETF_Options_Exhibits'!T2380:T2384),"")</f>
        <v/>
      </c>
      <c r="U2384" s="3">
        <f>IF(ISNUMBER(AVERAGE('20250815_ETF_Options_Exhibits'!U2380:U2384)),AVERAGE('20250815_ETF_Options_Exhibits'!U2380:U2384),"")</f>
        <v/>
      </c>
      <c r="V2384" s="3">
        <f>IF(ISNUMBER(AVERAGE('20250815_ETF_Options_Exhibits'!V2380:V2384)),AVERAGE('20250815_ETF_Options_Exhibits'!V2380:V2384),"")</f>
        <v/>
      </c>
      <c r="W2384" s="3">
        <f>IF(ISNUMBER(AVERAGE('20250815_ETF_Options_Exhibits'!W2380:W2384)),AVERAGE('20250815_ETF_Options_Exhibits'!W2380:W2384),"")</f>
        <v/>
      </c>
      <c r="X2384" s="3">
        <f>IF(ISNUMBER(AVERAGE('20250815_ETF_Options_Exhibits'!X2380:X2384)),AVERAGE('20250815_ETF_Options_Exhibits'!X2380:X2384),"")</f>
        <v/>
      </c>
      <c r="Y2384" s="3">
        <f>IF(ISNUMBER(AVERAGE('20250815_ETF_Options_Exhibits'!Y2380:Y2384)),AVERAGE('20250815_ETF_Options_Exhibits'!Y2380:Y2384),"")</f>
        <v/>
      </c>
      <c r="Z2384" s="3">
        <f>IF(ISNUMBER(AVERAGE('20250815_ETF_Options_Exhibits'!Z2380:Z2384)),AVERAGE('20250815_ETF_Options_Exhibits'!Z2380:Z2384),"")</f>
        <v/>
      </c>
      <c r="AA2384" s="3">
        <f>IF(ISNUMBER(AVERAGE('20250815_ETF_Options_Exhibits'!AA2380:AA2384)),AVERAGE('20250815_ETF_Options_Exhibits'!AA2380:AA2384),"")</f>
        <v/>
      </c>
    </row>
    <row r="2385">
      <c r="A2385" s="1" t="n">
        <v>45464</v>
      </c>
      <c r="B2385" s="3">
        <f>IF(ISNUMBER(AVERAGE('20250815_ETF_Options_Exhibits'!B2381:B2385)),AVERAGE('20250815_ETF_Options_Exhibits'!B2381:B2385),"")</f>
        <v/>
      </c>
      <c r="C2385" s="3">
        <f>IF(ISNUMBER(AVERAGE('20250815_ETF_Options_Exhibits'!C2381:C2385)),AVERAGE('20250815_ETF_Options_Exhibits'!C2381:C2385),"")</f>
        <v/>
      </c>
      <c r="D2385" s="3">
        <f>IF(ISNUMBER(AVERAGE('20250815_ETF_Options_Exhibits'!D2381:D2385)),AVERAGE('20250815_ETF_Options_Exhibits'!D2381:D2385),"")</f>
        <v/>
      </c>
      <c r="E2385" s="3">
        <f>IF(ISNUMBER(AVERAGE('20250815_ETF_Options_Exhibits'!E2381:E2385)),AVERAGE('20250815_ETF_Options_Exhibits'!E2381:E2385),"")</f>
        <v/>
      </c>
      <c r="F2385" s="3">
        <f>IF(ISNUMBER(AVERAGE('20250815_ETF_Options_Exhibits'!F2381:F2385)),AVERAGE('20250815_ETF_Options_Exhibits'!F2381:F2385),"")</f>
        <v/>
      </c>
      <c r="G2385" s="3">
        <f>IF(ISNUMBER(AVERAGE('20250815_ETF_Options_Exhibits'!G2381:G2385)),AVERAGE('20250815_ETF_Options_Exhibits'!G2381:G2385),"")</f>
        <v/>
      </c>
      <c r="H2385" s="3">
        <f>IF(ISNUMBER(AVERAGE('20250815_ETF_Options_Exhibits'!H2381:H2385)),AVERAGE('20250815_ETF_Options_Exhibits'!H2381:H2385),"")</f>
        <v/>
      </c>
      <c r="I2385" s="3">
        <f>IF(ISNUMBER(AVERAGE('20250815_ETF_Options_Exhibits'!I2381:I2385)),AVERAGE('20250815_ETF_Options_Exhibits'!I2381:I2385),"")</f>
        <v/>
      </c>
      <c r="J2385" s="3">
        <f>IF(ISNUMBER(AVERAGE('20250815_ETF_Options_Exhibits'!J2381:J2385)),AVERAGE('20250815_ETF_Options_Exhibits'!J2381:J2385),"")</f>
        <v/>
      </c>
      <c r="K2385" s="3">
        <f>IF(ISNUMBER(AVERAGE('20250815_ETF_Options_Exhibits'!K2381:K2385)),AVERAGE('20250815_ETF_Options_Exhibits'!K2381:K2385),"")</f>
        <v/>
      </c>
      <c r="L2385" s="3">
        <f>IF(ISNUMBER(AVERAGE('20250815_ETF_Options_Exhibits'!L2381:L2385)),AVERAGE('20250815_ETF_Options_Exhibits'!L2381:L2385),"")</f>
        <v/>
      </c>
      <c r="M2385" s="3">
        <f>IF(ISNUMBER(AVERAGE('20250815_ETF_Options_Exhibits'!M2381:M2385)),AVERAGE('20250815_ETF_Options_Exhibits'!M2381:M2385),"")</f>
        <v/>
      </c>
      <c r="N2385" s="3">
        <f>IF(ISNUMBER(AVERAGE('20250815_ETF_Options_Exhibits'!N2381:N2385)),AVERAGE('20250815_ETF_Options_Exhibits'!N2381:N2385),"")</f>
        <v/>
      </c>
      <c r="O2385" s="3">
        <f>IF(ISNUMBER(AVERAGE('20250815_ETF_Options_Exhibits'!O2381:O2385)),AVERAGE('20250815_ETF_Options_Exhibits'!O2381:O2385),"")</f>
        <v/>
      </c>
      <c r="P2385" s="3">
        <f>IF(ISNUMBER(AVERAGE('20250815_ETF_Options_Exhibits'!P2381:P2385)),AVERAGE('20250815_ETF_Options_Exhibits'!P2381:P2385),"")</f>
        <v/>
      </c>
      <c r="Q2385" s="3">
        <f>IF(ISNUMBER(AVERAGE('20250815_ETF_Options_Exhibits'!Q2381:Q2385)),AVERAGE('20250815_ETF_Options_Exhibits'!Q2381:Q2385),"")</f>
        <v/>
      </c>
      <c r="R2385" s="3">
        <f>IF(ISNUMBER(AVERAGE('20250815_ETF_Options_Exhibits'!R2381:R2385)),AVERAGE('20250815_ETF_Options_Exhibits'!R2381:R2385),"")</f>
        <v/>
      </c>
      <c r="S2385" s="3">
        <f>IF(ISNUMBER(AVERAGE('20250815_ETF_Options_Exhibits'!S2381:S2385)),AVERAGE('20250815_ETF_Options_Exhibits'!S2381:S2385),"")</f>
        <v/>
      </c>
      <c r="T2385" s="3">
        <f>IF(ISNUMBER(AVERAGE('20250815_ETF_Options_Exhibits'!T2381:T2385)),AVERAGE('20250815_ETF_Options_Exhibits'!T2381:T2385),"")</f>
        <v/>
      </c>
      <c r="U2385" s="3">
        <f>IF(ISNUMBER(AVERAGE('20250815_ETF_Options_Exhibits'!U2381:U2385)),AVERAGE('20250815_ETF_Options_Exhibits'!U2381:U2385),"")</f>
        <v/>
      </c>
      <c r="V2385" s="3">
        <f>IF(ISNUMBER(AVERAGE('20250815_ETF_Options_Exhibits'!V2381:V2385)),AVERAGE('20250815_ETF_Options_Exhibits'!V2381:V2385),"")</f>
        <v/>
      </c>
      <c r="W2385" s="3">
        <f>IF(ISNUMBER(AVERAGE('20250815_ETF_Options_Exhibits'!W2381:W2385)),AVERAGE('20250815_ETF_Options_Exhibits'!W2381:W2385),"")</f>
        <v/>
      </c>
      <c r="X2385" s="3">
        <f>IF(ISNUMBER(AVERAGE('20250815_ETF_Options_Exhibits'!X2381:X2385)),AVERAGE('20250815_ETF_Options_Exhibits'!X2381:X2385),"")</f>
        <v/>
      </c>
      <c r="Y2385" s="3">
        <f>IF(ISNUMBER(AVERAGE('20250815_ETF_Options_Exhibits'!Y2381:Y2385)),AVERAGE('20250815_ETF_Options_Exhibits'!Y2381:Y2385),"")</f>
        <v/>
      </c>
      <c r="Z2385" s="3">
        <f>IF(ISNUMBER(AVERAGE('20250815_ETF_Options_Exhibits'!Z2381:Z2385)),AVERAGE('20250815_ETF_Options_Exhibits'!Z2381:Z2385),"")</f>
        <v/>
      </c>
      <c r="AA2385" s="3">
        <f>IF(ISNUMBER(AVERAGE('20250815_ETF_Options_Exhibits'!AA2381:AA2385)),AVERAGE('20250815_ETF_Options_Exhibits'!AA2381:AA2385),"")</f>
        <v/>
      </c>
    </row>
    <row r="2386">
      <c r="A2386" s="1" t="n">
        <v>45467</v>
      </c>
      <c r="B2386" s="3">
        <f>IF(ISNUMBER(AVERAGE('20250815_ETF_Options_Exhibits'!B2382:B2386)),AVERAGE('20250815_ETF_Options_Exhibits'!B2382:B2386),"")</f>
        <v/>
      </c>
      <c r="C2386" s="3">
        <f>IF(ISNUMBER(AVERAGE('20250815_ETF_Options_Exhibits'!C2382:C2386)),AVERAGE('20250815_ETF_Options_Exhibits'!C2382:C2386),"")</f>
        <v/>
      </c>
      <c r="D2386" s="3">
        <f>IF(ISNUMBER(AVERAGE('20250815_ETF_Options_Exhibits'!D2382:D2386)),AVERAGE('20250815_ETF_Options_Exhibits'!D2382:D2386),"")</f>
        <v/>
      </c>
      <c r="E2386" s="3">
        <f>IF(ISNUMBER(AVERAGE('20250815_ETF_Options_Exhibits'!E2382:E2386)),AVERAGE('20250815_ETF_Options_Exhibits'!E2382:E2386),"")</f>
        <v/>
      </c>
      <c r="F2386" s="3">
        <f>IF(ISNUMBER(AVERAGE('20250815_ETF_Options_Exhibits'!F2382:F2386)),AVERAGE('20250815_ETF_Options_Exhibits'!F2382:F2386),"")</f>
        <v/>
      </c>
      <c r="G2386" s="3">
        <f>IF(ISNUMBER(AVERAGE('20250815_ETF_Options_Exhibits'!G2382:G2386)),AVERAGE('20250815_ETF_Options_Exhibits'!G2382:G2386),"")</f>
        <v/>
      </c>
      <c r="H2386" s="3">
        <f>IF(ISNUMBER(AVERAGE('20250815_ETF_Options_Exhibits'!H2382:H2386)),AVERAGE('20250815_ETF_Options_Exhibits'!H2382:H2386),"")</f>
        <v/>
      </c>
      <c r="I2386" s="3">
        <f>IF(ISNUMBER(AVERAGE('20250815_ETF_Options_Exhibits'!I2382:I2386)),AVERAGE('20250815_ETF_Options_Exhibits'!I2382:I2386),"")</f>
        <v/>
      </c>
      <c r="J2386" s="3">
        <f>IF(ISNUMBER(AVERAGE('20250815_ETF_Options_Exhibits'!J2382:J2386)),AVERAGE('20250815_ETF_Options_Exhibits'!J2382:J2386),"")</f>
        <v/>
      </c>
      <c r="K2386" s="3">
        <f>IF(ISNUMBER(AVERAGE('20250815_ETF_Options_Exhibits'!K2382:K2386)),AVERAGE('20250815_ETF_Options_Exhibits'!K2382:K2386),"")</f>
        <v/>
      </c>
      <c r="L2386" s="3">
        <f>IF(ISNUMBER(AVERAGE('20250815_ETF_Options_Exhibits'!L2382:L2386)),AVERAGE('20250815_ETF_Options_Exhibits'!L2382:L2386),"")</f>
        <v/>
      </c>
      <c r="M2386" s="3">
        <f>IF(ISNUMBER(AVERAGE('20250815_ETF_Options_Exhibits'!M2382:M2386)),AVERAGE('20250815_ETF_Options_Exhibits'!M2382:M2386),"")</f>
        <v/>
      </c>
      <c r="N2386" s="3">
        <f>IF(ISNUMBER(AVERAGE('20250815_ETF_Options_Exhibits'!N2382:N2386)),AVERAGE('20250815_ETF_Options_Exhibits'!N2382:N2386),"")</f>
        <v/>
      </c>
      <c r="O2386" s="3">
        <f>IF(ISNUMBER(AVERAGE('20250815_ETF_Options_Exhibits'!O2382:O2386)),AVERAGE('20250815_ETF_Options_Exhibits'!O2382:O2386),"")</f>
        <v/>
      </c>
      <c r="P2386" s="3">
        <f>IF(ISNUMBER(AVERAGE('20250815_ETF_Options_Exhibits'!P2382:P2386)),AVERAGE('20250815_ETF_Options_Exhibits'!P2382:P2386),"")</f>
        <v/>
      </c>
      <c r="Q2386" s="3">
        <f>IF(ISNUMBER(AVERAGE('20250815_ETF_Options_Exhibits'!Q2382:Q2386)),AVERAGE('20250815_ETF_Options_Exhibits'!Q2382:Q2386),"")</f>
        <v/>
      </c>
      <c r="R2386" s="3">
        <f>IF(ISNUMBER(AVERAGE('20250815_ETF_Options_Exhibits'!R2382:R2386)),AVERAGE('20250815_ETF_Options_Exhibits'!R2382:R2386),"")</f>
        <v/>
      </c>
      <c r="S2386" s="3">
        <f>IF(ISNUMBER(AVERAGE('20250815_ETF_Options_Exhibits'!S2382:S2386)),AVERAGE('20250815_ETF_Options_Exhibits'!S2382:S2386),"")</f>
        <v/>
      </c>
      <c r="T2386" s="3">
        <f>IF(ISNUMBER(AVERAGE('20250815_ETF_Options_Exhibits'!T2382:T2386)),AVERAGE('20250815_ETF_Options_Exhibits'!T2382:T2386),"")</f>
        <v/>
      </c>
      <c r="U2386" s="3">
        <f>IF(ISNUMBER(AVERAGE('20250815_ETF_Options_Exhibits'!U2382:U2386)),AVERAGE('20250815_ETF_Options_Exhibits'!U2382:U2386),"")</f>
        <v/>
      </c>
      <c r="V2386" s="3">
        <f>IF(ISNUMBER(AVERAGE('20250815_ETF_Options_Exhibits'!V2382:V2386)),AVERAGE('20250815_ETF_Options_Exhibits'!V2382:V2386),"")</f>
        <v/>
      </c>
      <c r="W2386" s="3">
        <f>IF(ISNUMBER(AVERAGE('20250815_ETF_Options_Exhibits'!W2382:W2386)),AVERAGE('20250815_ETF_Options_Exhibits'!W2382:W2386),"")</f>
        <v/>
      </c>
      <c r="X2386" s="3">
        <f>IF(ISNUMBER(AVERAGE('20250815_ETF_Options_Exhibits'!X2382:X2386)),AVERAGE('20250815_ETF_Options_Exhibits'!X2382:X2386),"")</f>
        <v/>
      </c>
      <c r="Y2386" s="3">
        <f>IF(ISNUMBER(AVERAGE('20250815_ETF_Options_Exhibits'!Y2382:Y2386)),AVERAGE('20250815_ETF_Options_Exhibits'!Y2382:Y2386),"")</f>
        <v/>
      </c>
      <c r="Z2386" s="3">
        <f>IF(ISNUMBER(AVERAGE('20250815_ETF_Options_Exhibits'!Z2382:Z2386)),AVERAGE('20250815_ETF_Options_Exhibits'!Z2382:Z2386),"")</f>
        <v/>
      </c>
      <c r="AA2386" s="3">
        <f>IF(ISNUMBER(AVERAGE('20250815_ETF_Options_Exhibits'!AA2382:AA2386)),AVERAGE('20250815_ETF_Options_Exhibits'!AA2382:AA2386),"")</f>
        <v/>
      </c>
    </row>
    <row r="2387">
      <c r="A2387" s="1" t="n">
        <v>45468</v>
      </c>
      <c r="B2387" s="3">
        <f>IF(ISNUMBER(AVERAGE('20250815_ETF_Options_Exhibits'!B2383:B2387)),AVERAGE('20250815_ETF_Options_Exhibits'!B2383:B2387),"")</f>
        <v/>
      </c>
      <c r="C2387" s="3">
        <f>IF(ISNUMBER(AVERAGE('20250815_ETF_Options_Exhibits'!C2383:C2387)),AVERAGE('20250815_ETF_Options_Exhibits'!C2383:C2387),"")</f>
        <v/>
      </c>
      <c r="D2387" s="3">
        <f>IF(ISNUMBER(AVERAGE('20250815_ETF_Options_Exhibits'!D2383:D2387)),AVERAGE('20250815_ETF_Options_Exhibits'!D2383:D2387),"")</f>
        <v/>
      </c>
      <c r="E2387" s="3">
        <f>IF(ISNUMBER(AVERAGE('20250815_ETF_Options_Exhibits'!E2383:E2387)),AVERAGE('20250815_ETF_Options_Exhibits'!E2383:E2387),"")</f>
        <v/>
      </c>
      <c r="F2387" s="3">
        <f>IF(ISNUMBER(AVERAGE('20250815_ETF_Options_Exhibits'!F2383:F2387)),AVERAGE('20250815_ETF_Options_Exhibits'!F2383:F2387),"")</f>
        <v/>
      </c>
      <c r="G2387" s="3">
        <f>IF(ISNUMBER(AVERAGE('20250815_ETF_Options_Exhibits'!G2383:G2387)),AVERAGE('20250815_ETF_Options_Exhibits'!G2383:G2387),"")</f>
        <v/>
      </c>
      <c r="H2387" s="3">
        <f>IF(ISNUMBER(AVERAGE('20250815_ETF_Options_Exhibits'!H2383:H2387)),AVERAGE('20250815_ETF_Options_Exhibits'!H2383:H2387),"")</f>
        <v/>
      </c>
      <c r="I2387" s="3">
        <f>IF(ISNUMBER(AVERAGE('20250815_ETF_Options_Exhibits'!I2383:I2387)),AVERAGE('20250815_ETF_Options_Exhibits'!I2383:I2387),"")</f>
        <v/>
      </c>
      <c r="J2387" s="3">
        <f>IF(ISNUMBER(AVERAGE('20250815_ETF_Options_Exhibits'!J2383:J2387)),AVERAGE('20250815_ETF_Options_Exhibits'!J2383:J2387),"")</f>
        <v/>
      </c>
      <c r="K2387" s="3">
        <f>IF(ISNUMBER(AVERAGE('20250815_ETF_Options_Exhibits'!K2383:K2387)),AVERAGE('20250815_ETF_Options_Exhibits'!K2383:K2387),"")</f>
        <v/>
      </c>
      <c r="L2387" s="3">
        <f>IF(ISNUMBER(AVERAGE('20250815_ETF_Options_Exhibits'!L2383:L2387)),AVERAGE('20250815_ETF_Options_Exhibits'!L2383:L2387),"")</f>
        <v/>
      </c>
      <c r="M2387" s="3">
        <f>IF(ISNUMBER(AVERAGE('20250815_ETF_Options_Exhibits'!M2383:M2387)),AVERAGE('20250815_ETF_Options_Exhibits'!M2383:M2387),"")</f>
        <v/>
      </c>
      <c r="N2387" s="3">
        <f>IF(ISNUMBER(AVERAGE('20250815_ETF_Options_Exhibits'!N2383:N2387)),AVERAGE('20250815_ETF_Options_Exhibits'!N2383:N2387),"")</f>
        <v/>
      </c>
      <c r="O2387" s="3">
        <f>IF(ISNUMBER(AVERAGE('20250815_ETF_Options_Exhibits'!O2383:O2387)),AVERAGE('20250815_ETF_Options_Exhibits'!O2383:O2387),"")</f>
        <v/>
      </c>
      <c r="P2387" s="3">
        <f>IF(ISNUMBER(AVERAGE('20250815_ETF_Options_Exhibits'!P2383:P2387)),AVERAGE('20250815_ETF_Options_Exhibits'!P2383:P2387),"")</f>
        <v/>
      </c>
      <c r="Q2387" s="3">
        <f>IF(ISNUMBER(AVERAGE('20250815_ETF_Options_Exhibits'!Q2383:Q2387)),AVERAGE('20250815_ETF_Options_Exhibits'!Q2383:Q2387),"")</f>
        <v/>
      </c>
      <c r="R2387" s="3">
        <f>IF(ISNUMBER(AVERAGE('20250815_ETF_Options_Exhibits'!R2383:R2387)),AVERAGE('20250815_ETF_Options_Exhibits'!R2383:R2387),"")</f>
        <v/>
      </c>
      <c r="S2387" s="3">
        <f>IF(ISNUMBER(AVERAGE('20250815_ETF_Options_Exhibits'!S2383:S2387)),AVERAGE('20250815_ETF_Options_Exhibits'!S2383:S2387),"")</f>
        <v/>
      </c>
      <c r="T2387" s="3">
        <f>IF(ISNUMBER(AVERAGE('20250815_ETF_Options_Exhibits'!T2383:T2387)),AVERAGE('20250815_ETF_Options_Exhibits'!T2383:T2387),"")</f>
        <v/>
      </c>
      <c r="U2387" s="3">
        <f>IF(ISNUMBER(AVERAGE('20250815_ETF_Options_Exhibits'!U2383:U2387)),AVERAGE('20250815_ETF_Options_Exhibits'!U2383:U2387),"")</f>
        <v/>
      </c>
      <c r="V2387" s="3">
        <f>IF(ISNUMBER(AVERAGE('20250815_ETF_Options_Exhibits'!V2383:V2387)),AVERAGE('20250815_ETF_Options_Exhibits'!V2383:V2387),"")</f>
        <v/>
      </c>
      <c r="W2387" s="3">
        <f>IF(ISNUMBER(AVERAGE('20250815_ETF_Options_Exhibits'!W2383:W2387)),AVERAGE('20250815_ETF_Options_Exhibits'!W2383:W2387),"")</f>
        <v/>
      </c>
      <c r="X2387" s="3">
        <f>IF(ISNUMBER(AVERAGE('20250815_ETF_Options_Exhibits'!X2383:X2387)),AVERAGE('20250815_ETF_Options_Exhibits'!X2383:X2387),"")</f>
        <v/>
      </c>
      <c r="Y2387" s="3">
        <f>IF(ISNUMBER(AVERAGE('20250815_ETF_Options_Exhibits'!Y2383:Y2387)),AVERAGE('20250815_ETF_Options_Exhibits'!Y2383:Y2387),"")</f>
        <v/>
      </c>
      <c r="Z2387" s="3">
        <f>IF(ISNUMBER(AVERAGE('20250815_ETF_Options_Exhibits'!Z2383:Z2387)),AVERAGE('20250815_ETF_Options_Exhibits'!Z2383:Z2387),"")</f>
        <v/>
      </c>
      <c r="AA2387" s="3">
        <f>IF(ISNUMBER(AVERAGE('20250815_ETF_Options_Exhibits'!AA2383:AA2387)),AVERAGE('20250815_ETF_Options_Exhibits'!AA2383:AA2387),"")</f>
        <v/>
      </c>
    </row>
    <row r="2388">
      <c r="A2388" s="1" t="n">
        <v>45469</v>
      </c>
      <c r="B2388" s="3">
        <f>IF(ISNUMBER(AVERAGE('20250815_ETF_Options_Exhibits'!B2384:B2388)),AVERAGE('20250815_ETF_Options_Exhibits'!B2384:B2388),"")</f>
        <v/>
      </c>
      <c r="C2388" s="3">
        <f>IF(ISNUMBER(AVERAGE('20250815_ETF_Options_Exhibits'!C2384:C2388)),AVERAGE('20250815_ETF_Options_Exhibits'!C2384:C2388),"")</f>
        <v/>
      </c>
      <c r="D2388" s="3">
        <f>IF(ISNUMBER(AVERAGE('20250815_ETF_Options_Exhibits'!D2384:D2388)),AVERAGE('20250815_ETF_Options_Exhibits'!D2384:D2388),"")</f>
        <v/>
      </c>
      <c r="E2388" s="3">
        <f>IF(ISNUMBER(AVERAGE('20250815_ETF_Options_Exhibits'!E2384:E2388)),AVERAGE('20250815_ETF_Options_Exhibits'!E2384:E2388),"")</f>
        <v/>
      </c>
      <c r="F2388" s="3">
        <f>IF(ISNUMBER(AVERAGE('20250815_ETF_Options_Exhibits'!F2384:F2388)),AVERAGE('20250815_ETF_Options_Exhibits'!F2384:F2388),"")</f>
        <v/>
      </c>
      <c r="G2388" s="3">
        <f>IF(ISNUMBER(AVERAGE('20250815_ETF_Options_Exhibits'!G2384:G2388)),AVERAGE('20250815_ETF_Options_Exhibits'!G2384:G2388),"")</f>
        <v/>
      </c>
      <c r="H2388" s="3">
        <f>IF(ISNUMBER(AVERAGE('20250815_ETF_Options_Exhibits'!H2384:H2388)),AVERAGE('20250815_ETF_Options_Exhibits'!H2384:H2388),"")</f>
        <v/>
      </c>
      <c r="I2388" s="3">
        <f>IF(ISNUMBER(AVERAGE('20250815_ETF_Options_Exhibits'!I2384:I2388)),AVERAGE('20250815_ETF_Options_Exhibits'!I2384:I2388),"")</f>
        <v/>
      </c>
      <c r="J2388" s="3">
        <f>IF(ISNUMBER(AVERAGE('20250815_ETF_Options_Exhibits'!J2384:J2388)),AVERAGE('20250815_ETF_Options_Exhibits'!J2384:J2388),"")</f>
        <v/>
      </c>
      <c r="K2388" s="3">
        <f>IF(ISNUMBER(AVERAGE('20250815_ETF_Options_Exhibits'!K2384:K2388)),AVERAGE('20250815_ETF_Options_Exhibits'!K2384:K2388),"")</f>
        <v/>
      </c>
      <c r="L2388" s="3">
        <f>IF(ISNUMBER(AVERAGE('20250815_ETF_Options_Exhibits'!L2384:L2388)),AVERAGE('20250815_ETF_Options_Exhibits'!L2384:L2388),"")</f>
        <v/>
      </c>
      <c r="M2388" s="3">
        <f>IF(ISNUMBER(AVERAGE('20250815_ETF_Options_Exhibits'!M2384:M2388)),AVERAGE('20250815_ETF_Options_Exhibits'!M2384:M2388),"")</f>
        <v/>
      </c>
      <c r="N2388" s="3">
        <f>IF(ISNUMBER(AVERAGE('20250815_ETF_Options_Exhibits'!N2384:N2388)),AVERAGE('20250815_ETF_Options_Exhibits'!N2384:N2388),"")</f>
        <v/>
      </c>
      <c r="O2388" s="3">
        <f>IF(ISNUMBER(AVERAGE('20250815_ETF_Options_Exhibits'!O2384:O2388)),AVERAGE('20250815_ETF_Options_Exhibits'!O2384:O2388),"")</f>
        <v/>
      </c>
      <c r="P2388" s="3">
        <f>IF(ISNUMBER(AVERAGE('20250815_ETF_Options_Exhibits'!P2384:P2388)),AVERAGE('20250815_ETF_Options_Exhibits'!P2384:P2388),"")</f>
        <v/>
      </c>
      <c r="Q2388" s="3">
        <f>IF(ISNUMBER(AVERAGE('20250815_ETF_Options_Exhibits'!Q2384:Q2388)),AVERAGE('20250815_ETF_Options_Exhibits'!Q2384:Q2388),"")</f>
        <v/>
      </c>
      <c r="R2388" s="3">
        <f>IF(ISNUMBER(AVERAGE('20250815_ETF_Options_Exhibits'!R2384:R2388)),AVERAGE('20250815_ETF_Options_Exhibits'!R2384:R2388),"")</f>
        <v/>
      </c>
      <c r="S2388" s="3">
        <f>IF(ISNUMBER(AVERAGE('20250815_ETF_Options_Exhibits'!S2384:S2388)),AVERAGE('20250815_ETF_Options_Exhibits'!S2384:S2388),"")</f>
        <v/>
      </c>
      <c r="T2388" s="3">
        <f>IF(ISNUMBER(AVERAGE('20250815_ETF_Options_Exhibits'!T2384:T2388)),AVERAGE('20250815_ETF_Options_Exhibits'!T2384:T2388),"")</f>
        <v/>
      </c>
      <c r="U2388" s="3">
        <f>IF(ISNUMBER(AVERAGE('20250815_ETF_Options_Exhibits'!U2384:U2388)),AVERAGE('20250815_ETF_Options_Exhibits'!U2384:U2388),"")</f>
        <v/>
      </c>
      <c r="V2388" s="3">
        <f>IF(ISNUMBER(AVERAGE('20250815_ETF_Options_Exhibits'!V2384:V2388)),AVERAGE('20250815_ETF_Options_Exhibits'!V2384:V2388),"")</f>
        <v/>
      </c>
      <c r="W2388" s="3">
        <f>IF(ISNUMBER(AVERAGE('20250815_ETF_Options_Exhibits'!W2384:W2388)),AVERAGE('20250815_ETF_Options_Exhibits'!W2384:W2388),"")</f>
        <v/>
      </c>
      <c r="X2388" s="3">
        <f>IF(ISNUMBER(AVERAGE('20250815_ETF_Options_Exhibits'!X2384:X2388)),AVERAGE('20250815_ETF_Options_Exhibits'!X2384:X2388),"")</f>
        <v/>
      </c>
      <c r="Y2388" s="3">
        <f>IF(ISNUMBER(AVERAGE('20250815_ETF_Options_Exhibits'!Y2384:Y2388)),AVERAGE('20250815_ETF_Options_Exhibits'!Y2384:Y2388),"")</f>
        <v/>
      </c>
      <c r="Z2388" s="3">
        <f>IF(ISNUMBER(AVERAGE('20250815_ETF_Options_Exhibits'!Z2384:Z2388)),AVERAGE('20250815_ETF_Options_Exhibits'!Z2384:Z2388),"")</f>
        <v/>
      </c>
      <c r="AA2388" s="3">
        <f>IF(ISNUMBER(AVERAGE('20250815_ETF_Options_Exhibits'!AA2384:AA2388)),AVERAGE('20250815_ETF_Options_Exhibits'!AA2384:AA2388),"")</f>
        <v/>
      </c>
    </row>
    <row r="2389">
      <c r="A2389" s="1" t="n">
        <v>45470</v>
      </c>
      <c r="B2389" s="3">
        <f>IF(ISNUMBER(AVERAGE('20250815_ETF_Options_Exhibits'!B2385:B2389)),AVERAGE('20250815_ETF_Options_Exhibits'!B2385:B2389),"")</f>
        <v/>
      </c>
      <c r="C2389" s="3">
        <f>IF(ISNUMBER(AVERAGE('20250815_ETF_Options_Exhibits'!C2385:C2389)),AVERAGE('20250815_ETF_Options_Exhibits'!C2385:C2389),"")</f>
        <v/>
      </c>
      <c r="D2389" s="3">
        <f>IF(ISNUMBER(AVERAGE('20250815_ETF_Options_Exhibits'!D2385:D2389)),AVERAGE('20250815_ETF_Options_Exhibits'!D2385:D2389),"")</f>
        <v/>
      </c>
      <c r="E2389" s="3">
        <f>IF(ISNUMBER(AVERAGE('20250815_ETF_Options_Exhibits'!E2385:E2389)),AVERAGE('20250815_ETF_Options_Exhibits'!E2385:E2389),"")</f>
        <v/>
      </c>
      <c r="F2389" s="3">
        <f>IF(ISNUMBER(AVERAGE('20250815_ETF_Options_Exhibits'!F2385:F2389)),AVERAGE('20250815_ETF_Options_Exhibits'!F2385:F2389),"")</f>
        <v/>
      </c>
      <c r="G2389" s="3">
        <f>IF(ISNUMBER(AVERAGE('20250815_ETF_Options_Exhibits'!G2385:G2389)),AVERAGE('20250815_ETF_Options_Exhibits'!G2385:G2389),"")</f>
        <v/>
      </c>
      <c r="H2389" s="3">
        <f>IF(ISNUMBER(AVERAGE('20250815_ETF_Options_Exhibits'!H2385:H2389)),AVERAGE('20250815_ETF_Options_Exhibits'!H2385:H2389),"")</f>
        <v/>
      </c>
      <c r="I2389" s="3">
        <f>IF(ISNUMBER(AVERAGE('20250815_ETF_Options_Exhibits'!I2385:I2389)),AVERAGE('20250815_ETF_Options_Exhibits'!I2385:I2389),"")</f>
        <v/>
      </c>
      <c r="J2389" s="3">
        <f>IF(ISNUMBER(AVERAGE('20250815_ETF_Options_Exhibits'!J2385:J2389)),AVERAGE('20250815_ETF_Options_Exhibits'!J2385:J2389),"")</f>
        <v/>
      </c>
      <c r="K2389" s="3">
        <f>IF(ISNUMBER(AVERAGE('20250815_ETF_Options_Exhibits'!K2385:K2389)),AVERAGE('20250815_ETF_Options_Exhibits'!K2385:K2389),"")</f>
        <v/>
      </c>
      <c r="L2389" s="3">
        <f>IF(ISNUMBER(AVERAGE('20250815_ETF_Options_Exhibits'!L2385:L2389)),AVERAGE('20250815_ETF_Options_Exhibits'!L2385:L2389),"")</f>
        <v/>
      </c>
      <c r="M2389" s="3">
        <f>IF(ISNUMBER(AVERAGE('20250815_ETF_Options_Exhibits'!M2385:M2389)),AVERAGE('20250815_ETF_Options_Exhibits'!M2385:M2389),"")</f>
        <v/>
      </c>
      <c r="N2389" s="3">
        <f>IF(ISNUMBER(AVERAGE('20250815_ETF_Options_Exhibits'!N2385:N2389)),AVERAGE('20250815_ETF_Options_Exhibits'!N2385:N2389),"")</f>
        <v/>
      </c>
      <c r="O2389" s="3">
        <f>IF(ISNUMBER(AVERAGE('20250815_ETF_Options_Exhibits'!O2385:O2389)),AVERAGE('20250815_ETF_Options_Exhibits'!O2385:O2389),"")</f>
        <v/>
      </c>
      <c r="P2389" s="3">
        <f>IF(ISNUMBER(AVERAGE('20250815_ETF_Options_Exhibits'!P2385:P2389)),AVERAGE('20250815_ETF_Options_Exhibits'!P2385:P2389),"")</f>
        <v/>
      </c>
      <c r="Q2389" s="3">
        <f>IF(ISNUMBER(AVERAGE('20250815_ETF_Options_Exhibits'!Q2385:Q2389)),AVERAGE('20250815_ETF_Options_Exhibits'!Q2385:Q2389),"")</f>
        <v/>
      </c>
      <c r="R2389" s="3">
        <f>IF(ISNUMBER(AVERAGE('20250815_ETF_Options_Exhibits'!R2385:R2389)),AVERAGE('20250815_ETF_Options_Exhibits'!R2385:R2389),"")</f>
        <v/>
      </c>
      <c r="S2389" s="3">
        <f>IF(ISNUMBER(AVERAGE('20250815_ETF_Options_Exhibits'!S2385:S2389)),AVERAGE('20250815_ETF_Options_Exhibits'!S2385:S2389),"")</f>
        <v/>
      </c>
      <c r="T2389" s="3">
        <f>IF(ISNUMBER(AVERAGE('20250815_ETF_Options_Exhibits'!T2385:T2389)),AVERAGE('20250815_ETF_Options_Exhibits'!T2385:T2389),"")</f>
        <v/>
      </c>
      <c r="U2389" s="3">
        <f>IF(ISNUMBER(AVERAGE('20250815_ETF_Options_Exhibits'!U2385:U2389)),AVERAGE('20250815_ETF_Options_Exhibits'!U2385:U2389),"")</f>
        <v/>
      </c>
      <c r="V2389" s="3">
        <f>IF(ISNUMBER(AVERAGE('20250815_ETF_Options_Exhibits'!V2385:V2389)),AVERAGE('20250815_ETF_Options_Exhibits'!V2385:V2389),"")</f>
        <v/>
      </c>
      <c r="W2389" s="3">
        <f>IF(ISNUMBER(AVERAGE('20250815_ETF_Options_Exhibits'!W2385:W2389)),AVERAGE('20250815_ETF_Options_Exhibits'!W2385:W2389),"")</f>
        <v/>
      </c>
      <c r="X2389" s="3">
        <f>IF(ISNUMBER(AVERAGE('20250815_ETF_Options_Exhibits'!X2385:X2389)),AVERAGE('20250815_ETF_Options_Exhibits'!X2385:X2389),"")</f>
        <v/>
      </c>
      <c r="Y2389" s="3">
        <f>IF(ISNUMBER(AVERAGE('20250815_ETF_Options_Exhibits'!Y2385:Y2389)),AVERAGE('20250815_ETF_Options_Exhibits'!Y2385:Y2389),"")</f>
        <v/>
      </c>
      <c r="Z2389" s="3">
        <f>IF(ISNUMBER(AVERAGE('20250815_ETF_Options_Exhibits'!Z2385:Z2389)),AVERAGE('20250815_ETF_Options_Exhibits'!Z2385:Z2389),"")</f>
        <v/>
      </c>
      <c r="AA2389" s="3">
        <f>IF(ISNUMBER(AVERAGE('20250815_ETF_Options_Exhibits'!AA2385:AA2389)),AVERAGE('20250815_ETF_Options_Exhibits'!AA2385:AA2389),"")</f>
        <v/>
      </c>
    </row>
    <row r="2390">
      <c r="A2390" s="1" t="n">
        <v>45471</v>
      </c>
      <c r="B2390" s="3">
        <f>IF(ISNUMBER(AVERAGE('20250815_ETF_Options_Exhibits'!B2386:B2390)),AVERAGE('20250815_ETF_Options_Exhibits'!B2386:B2390),"")</f>
        <v/>
      </c>
      <c r="C2390" s="3">
        <f>IF(ISNUMBER(AVERAGE('20250815_ETF_Options_Exhibits'!C2386:C2390)),AVERAGE('20250815_ETF_Options_Exhibits'!C2386:C2390),"")</f>
        <v/>
      </c>
      <c r="D2390" s="3">
        <f>IF(ISNUMBER(AVERAGE('20250815_ETF_Options_Exhibits'!D2386:D2390)),AVERAGE('20250815_ETF_Options_Exhibits'!D2386:D2390),"")</f>
        <v/>
      </c>
      <c r="E2390" s="3">
        <f>IF(ISNUMBER(AVERAGE('20250815_ETF_Options_Exhibits'!E2386:E2390)),AVERAGE('20250815_ETF_Options_Exhibits'!E2386:E2390),"")</f>
        <v/>
      </c>
      <c r="F2390" s="3">
        <f>IF(ISNUMBER(AVERAGE('20250815_ETF_Options_Exhibits'!F2386:F2390)),AVERAGE('20250815_ETF_Options_Exhibits'!F2386:F2390),"")</f>
        <v/>
      </c>
      <c r="G2390" s="3">
        <f>IF(ISNUMBER(AVERAGE('20250815_ETF_Options_Exhibits'!G2386:G2390)),AVERAGE('20250815_ETF_Options_Exhibits'!G2386:G2390),"")</f>
        <v/>
      </c>
      <c r="H2390" s="3">
        <f>IF(ISNUMBER(AVERAGE('20250815_ETF_Options_Exhibits'!H2386:H2390)),AVERAGE('20250815_ETF_Options_Exhibits'!H2386:H2390),"")</f>
        <v/>
      </c>
      <c r="I2390" s="3">
        <f>IF(ISNUMBER(AVERAGE('20250815_ETF_Options_Exhibits'!I2386:I2390)),AVERAGE('20250815_ETF_Options_Exhibits'!I2386:I2390),"")</f>
        <v/>
      </c>
      <c r="J2390" s="3">
        <f>IF(ISNUMBER(AVERAGE('20250815_ETF_Options_Exhibits'!J2386:J2390)),AVERAGE('20250815_ETF_Options_Exhibits'!J2386:J2390),"")</f>
        <v/>
      </c>
      <c r="K2390" s="3">
        <f>IF(ISNUMBER(AVERAGE('20250815_ETF_Options_Exhibits'!K2386:K2390)),AVERAGE('20250815_ETF_Options_Exhibits'!K2386:K2390),"")</f>
        <v/>
      </c>
      <c r="L2390" s="3">
        <f>IF(ISNUMBER(AVERAGE('20250815_ETF_Options_Exhibits'!L2386:L2390)),AVERAGE('20250815_ETF_Options_Exhibits'!L2386:L2390),"")</f>
        <v/>
      </c>
      <c r="M2390" s="3">
        <f>IF(ISNUMBER(AVERAGE('20250815_ETF_Options_Exhibits'!M2386:M2390)),AVERAGE('20250815_ETF_Options_Exhibits'!M2386:M2390),"")</f>
        <v/>
      </c>
      <c r="N2390" s="3">
        <f>IF(ISNUMBER(AVERAGE('20250815_ETF_Options_Exhibits'!N2386:N2390)),AVERAGE('20250815_ETF_Options_Exhibits'!N2386:N2390),"")</f>
        <v/>
      </c>
      <c r="O2390" s="3">
        <f>IF(ISNUMBER(AVERAGE('20250815_ETF_Options_Exhibits'!O2386:O2390)),AVERAGE('20250815_ETF_Options_Exhibits'!O2386:O2390),"")</f>
        <v/>
      </c>
      <c r="P2390" s="3">
        <f>IF(ISNUMBER(AVERAGE('20250815_ETF_Options_Exhibits'!P2386:P2390)),AVERAGE('20250815_ETF_Options_Exhibits'!P2386:P2390),"")</f>
        <v/>
      </c>
      <c r="Q2390" s="3">
        <f>IF(ISNUMBER(AVERAGE('20250815_ETF_Options_Exhibits'!Q2386:Q2390)),AVERAGE('20250815_ETF_Options_Exhibits'!Q2386:Q2390),"")</f>
        <v/>
      </c>
      <c r="R2390" s="3">
        <f>IF(ISNUMBER(AVERAGE('20250815_ETF_Options_Exhibits'!R2386:R2390)),AVERAGE('20250815_ETF_Options_Exhibits'!R2386:R2390),"")</f>
        <v/>
      </c>
      <c r="S2390" s="3">
        <f>IF(ISNUMBER(AVERAGE('20250815_ETF_Options_Exhibits'!S2386:S2390)),AVERAGE('20250815_ETF_Options_Exhibits'!S2386:S2390),"")</f>
        <v/>
      </c>
      <c r="T2390" s="3">
        <f>IF(ISNUMBER(AVERAGE('20250815_ETF_Options_Exhibits'!T2386:T2390)),AVERAGE('20250815_ETF_Options_Exhibits'!T2386:T2390),"")</f>
        <v/>
      </c>
      <c r="U2390" s="3">
        <f>IF(ISNUMBER(AVERAGE('20250815_ETF_Options_Exhibits'!U2386:U2390)),AVERAGE('20250815_ETF_Options_Exhibits'!U2386:U2390),"")</f>
        <v/>
      </c>
      <c r="V2390" s="3">
        <f>IF(ISNUMBER(AVERAGE('20250815_ETF_Options_Exhibits'!V2386:V2390)),AVERAGE('20250815_ETF_Options_Exhibits'!V2386:V2390),"")</f>
        <v/>
      </c>
      <c r="W2390" s="3">
        <f>IF(ISNUMBER(AVERAGE('20250815_ETF_Options_Exhibits'!W2386:W2390)),AVERAGE('20250815_ETF_Options_Exhibits'!W2386:W2390),"")</f>
        <v/>
      </c>
      <c r="X2390" s="3">
        <f>IF(ISNUMBER(AVERAGE('20250815_ETF_Options_Exhibits'!X2386:X2390)),AVERAGE('20250815_ETF_Options_Exhibits'!X2386:X2390),"")</f>
        <v/>
      </c>
      <c r="Y2390" s="3">
        <f>IF(ISNUMBER(AVERAGE('20250815_ETF_Options_Exhibits'!Y2386:Y2390)),AVERAGE('20250815_ETF_Options_Exhibits'!Y2386:Y2390),"")</f>
        <v/>
      </c>
      <c r="Z2390" s="3">
        <f>IF(ISNUMBER(AVERAGE('20250815_ETF_Options_Exhibits'!Z2386:Z2390)),AVERAGE('20250815_ETF_Options_Exhibits'!Z2386:Z2390),"")</f>
        <v/>
      </c>
      <c r="AA2390" s="3">
        <f>IF(ISNUMBER(AVERAGE('20250815_ETF_Options_Exhibits'!AA2386:AA2390)),AVERAGE('20250815_ETF_Options_Exhibits'!AA2386:AA2390),"")</f>
        <v/>
      </c>
    </row>
    <row r="2391">
      <c r="A2391" s="1" t="n">
        <v>45474</v>
      </c>
      <c r="B2391" s="3">
        <f>IF(ISNUMBER(AVERAGE('20250815_ETF_Options_Exhibits'!B2387:B2391)),AVERAGE('20250815_ETF_Options_Exhibits'!B2387:B2391),"")</f>
        <v/>
      </c>
      <c r="C2391" s="3">
        <f>IF(ISNUMBER(AVERAGE('20250815_ETF_Options_Exhibits'!C2387:C2391)),AVERAGE('20250815_ETF_Options_Exhibits'!C2387:C2391),"")</f>
        <v/>
      </c>
      <c r="D2391" s="3">
        <f>IF(ISNUMBER(AVERAGE('20250815_ETF_Options_Exhibits'!D2387:D2391)),AVERAGE('20250815_ETF_Options_Exhibits'!D2387:D2391),"")</f>
        <v/>
      </c>
      <c r="E2391" s="3">
        <f>IF(ISNUMBER(AVERAGE('20250815_ETF_Options_Exhibits'!E2387:E2391)),AVERAGE('20250815_ETF_Options_Exhibits'!E2387:E2391),"")</f>
        <v/>
      </c>
      <c r="F2391" s="3">
        <f>IF(ISNUMBER(AVERAGE('20250815_ETF_Options_Exhibits'!F2387:F2391)),AVERAGE('20250815_ETF_Options_Exhibits'!F2387:F2391),"")</f>
        <v/>
      </c>
      <c r="G2391" s="3">
        <f>IF(ISNUMBER(AVERAGE('20250815_ETF_Options_Exhibits'!G2387:G2391)),AVERAGE('20250815_ETF_Options_Exhibits'!G2387:G2391),"")</f>
        <v/>
      </c>
      <c r="H2391" s="3">
        <f>IF(ISNUMBER(AVERAGE('20250815_ETF_Options_Exhibits'!H2387:H2391)),AVERAGE('20250815_ETF_Options_Exhibits'!H2387:H2391),"")</f>
        <v/>
      </c>
      <c r="I2391" s="3">
        <f>IF(ISNUMBER(AVERAGE('20250815_ETF_Options_Exhibits'!I2387:I2391)),AVERAGE('20250815_ETF_Options_Exhibits'!I2387:I2391),"")</f>
        <v/>
      </c>
      <c r="J2391" s="3">
        <f>IF(ISNUMBER(AVERAGE('20250815_ETF_Options_Exhibits'!J2387:J2391)),AVERAGE('20250815_ETF_Options_Exhibits'!J2387:J2391),"")</f>
        <v/>
      </c>
      <c r="K2391" s="3">
        <f>IF(ISNUMBER(AVERAGE('20250815_ETF_Options_Exhibits'!K2387:K2391)),AVERAGE('20250815_ETF_Options_Exhibits'!K2387:K2391),"")</f>
        <v/>
      </c>
      <c r="L2391" s="3">
        <f>IF(ISNUMBER(AVERAGE('20250815_ETF_Options_Exhibits'!L2387:L2391)),AVERAGE('20250815_ETF_Options_Exhibits'!L2387:L2391),"")</f>
        <v/>
      </c>
      <c r="M2391" s="3">
        <f>IF(ISNUMBER(AVERAGE('20250815_ETF_Options_Exhibits'!M2387:M2391)),AVERAGE('20250815_ETF_Options_Exhibits'!M2387:M2391),"")</f>
        <v/>
      </c>
      <c r="N2391" s="3">
        <f>IF(ISNUMBER(AVERAGE('20250815_ETF_Options_Exhibits'!N2387:N2391)),AVERAGE('20250815_ETF_Options_Exhibits'!N2387:N2391),"")</f>
        <v/>
      </c>
      <c r="O2391" s="3">
        <f>IF(ISNUMBER(AVERAGE('20250815_ETF_Options_Exhibits'!O2387:O2391)),AVERAGE('20250815_ETF_Options_Exhibits'!O2387:O2391),"")</f>
        <v/>
      </c>
      <c r="P2391" s="3">
        <f>IF(ISNUMBER(AVERAGE('20250815_ETF_Options_Exhibits'!P2387:P2391)),AVERAGE('20250815_ETF_Options_Exhibits'!P2387:P2391),"")</f>
        <v/>
      </c>
      <c r="Q2391" s="3">
        <f>IF(ISNUMBER(AVERAGE('20250815_ETF_Options_Exhibits'!Q2387:Q2391)),AVERAGE('20250815_ETF_Options_Exhibits'!Q2387:Q2391),"")</f>
        <v/>
      </c>
      <c r="R2391" s="3">
        <f>IF(ISNUMBER(AVERAGE('20250815_ETF_Options_Exhibits'!R2387:R2391)),AVERAGE('20250815_ETF_Options_Exhibits'!R2387:R2391),"")</f>
        <v/>
      </c>
      <c r="S2391" s="3">
        <f>IF(ISNUMBER(AVERAGE('20250815_ETF_Options_Exhibits'!S2387:S2391)),AVERAGE('20250815_ETF_Options_Exhibits'!S2387:S2391),"")</f>
        <v/>
      </c>
      <c r="T2391" s="3">
        <f>IF(ISNUMBER(AVERAGE('20250815_ETF_Options_Exhibits'!T2387:T2391)),AVERAGE('20250815_ETF_Options_Exhibits'!T2387:T2391),"")</f>
        <v/>
      </c>
      <c r="U2391" s="3">
        <f>IF(ISNUMBER(AVERAGE('20250815_ETF_Options_Exhibits'!U2387:U2391)),AVERAGE('20250815_ETF_Options_Exhibits'!U2387:U2391),"")</f>
        <v/>
      </c>
      <c r="V2391" s="3">
        <f>IF(ISNUMBER(AVERAGE('20250815_ETF_Options_Exhibits'!V2387:V2391)),AVERAGE('20250815_ETF_Options_Exhibits'!V2387:V2391),"")</f>
        <v/>
      </c>
      <c r="W2391" s="3">
        <f>IF(ISNUMBER(AVERAGE('20250815_ETF_Options_Exhibits'!W2387:W2391)),AVERAGE('20250815_ETF_Options_Exhibits'!W2387:W2391),"")</f>
        <v/>
      </c>
      <c r="X2391" s="3">
        <f>IF(ISNUMBER(AVERAGE('20250815_ETF_Options_Exhibits'!X2387:X2391)),AVERAGE('20250815_ETF_Options_Exhibits'!X2387:X2391),"")</f>
        <v/>
      </c>
      <c r="Y2391" s="3">
        <f>IF(ISNUMBER(AVERAGE('20250815_ETF_Options_Exhibits'!Y2387:Y2391)),AVERAGE('20250815_ETF_Options_Exhibits'!Y2387:Y2391),"")</f>
        <v/>
      </c>
      <c r="Z2391" s="3">
        <f>IF(ISNUMBER(AVERAGE('20250815_ETF_Options_Exhibits'!Z2387:Z2391)),AVERAGE('20250815_ETF_Options_Exhibits'!Z2387:Z2391),"")</f>
        <v/>
      </c>
      <c r="AA2391" s="3">
        <f>IF(ISNUMBER(AVERAGE('20250815_ETF_Options_Exhibits'!AA2387:AA2391)),AVERAGE('20250815_ETF_Options_Exhibits'!AA2387:AA2391),"")</f>
        <v/>
      </c>
    </row>
    <row r="2392">
      <c r="A2392" s="1" t="n">
        <v>45475</v>
      </c>
      <c r="B2392" s="3">
        <f>IF(ISNUMBER(AVERAGE('20250815_ETF_Options_Exhibits'!B2388:B2392)),AVERAGE('20250815_ETF_Options_Exhibits'!B2388:B2392),"")</f>
        <v/>
      </c>
      <c r="C2392" s="3">
        <f>IF(ISNUMBER(AVERAGE('20250815_ETF_Options_Exhibits'!C2388:C2392)),AVERAGE('20250815_ETF_Options_Exhibits'!C2388:C2392),"")</f>
        <v/>
      </c>
      <c r="D2392" s="3">
        <f>IF(ISNUMBER(AVERAGE('20250815_ETF_Options_Exhibits'!D2388:D2392)),AVERAGE('20250815_ETF_Options_Exhibits'!D2388:D2392),"")</f>
        <v/>
      </c>
      <c r="E2392" s="3">
        <f>IF(ISNUMBER(AVERAGE('20250815_ETF_Options_Exhibits'!E2388:E2392)),AVERAGE('20250815_ETF_Options_Exhibits'!E2388:E2392),"")</f>
        <v/>
      </c>
      <c r="F2392" s="3">
        <f>IF(ISNUMBER(AVERAGE('20250815_ETF_Options_Exhibits'!F2388:F2392)),AVERAGE('20250815_ETF_Options_Exhibits'!F2388:F2392),"")</f>
        <v/>
      </c>
      <c r="G2392" s="3">
        <f>IF(ISNUMBER(AVERAGE('20250815_ETF_Options_Exhibits'!G2388:G2392)),AVERAGE('20250815_ETF_Options_Exhibits'!G2388:G2392),"")</f>
        <v/>
      </c>
      <c r="H2392" s="3">
        <f>IF(ISNUMBER(AVERAGE('20250815_ETF_Options_Exhibits'!H2388:H2392)),AVERAGE('20250815_ETF_Options_Exhibits'!H2388:H2392),"")</f>
        <v/>
      </c>
      <c r="I2392" s="3">
        <f>IF(ISNUMBER(AVERAGE('20250815_ETF_Options_Exhibits'!I2388:I2392)),AVERAGE('20250815_ETF_Options_Exhibits'!I2388:I2392),"")</f>
        <v/>
      </c>
      <c r="J2392" s="3">
        <f>IF(ISNUMBER(AVERAGE('20250815_ETF_Options_Exhibits'!J2388:J2392)),AVERAGE('20250815_ETF_Options_Exhibits'!J2388:J2392),"")</f>
        <v/>
      </c>
      <c r="K2392" s="3">
        <f>IF(ISNUMBER(AVERAGE('20250815_ETF_Options_Exhibits'!K2388:K2392)),AVERAGE('20250815_ETF_Options_Exhibits'!K2388:K2392),"")</f>
        <v/>
      </c>
      <c r="L2392" s="3">
        <f>IF(ISNUMBER(AVERAGE('20250815_ETF_Options_Exhibits'!L2388:L2392)),AVERAGE('20250815_ETF_Options_Exhibits'!L2388:L2392),"")</f>
        <v/>
      </c>
      <c r="M2392" s="3">
        <f>IF(ISNUMBER(AVERAGE('20250815_ETF_Options_Exhibits'!M2388:M2392)),AVERAGE('20250815_ETF_Options_Exhibits'!M2388:M2392),"")</f>
        <v/>
      </c>
      <c r="N2392" s="3">
        <f>IF(ISNUMBER(AVERAGE('20250815_ETF_Options_Exhibits'!N2388:N2392)),AVERAGE('20250815_ETF_Options_Exhibits'!N2388:N2392),"")</f>
        <v/>
      </c>
      <c r="O2392" s="3">
        <f>IF(ISNUMBER(AVERAGE('20250815_ETF_Options_Exhibits'!O2388:O2392)),AVERAGE('20250815_ETF_Options_Exhibits'!O2388:O2392),"")</f>
        <v/>
      </c>
      <c r="P2392" s="3">
        <f>IF(ISNUMBER(AVERAGE('20250815_ETF_Options_Exhibits'!P2388:P2392)),AVERAGE('20250815_ETF_Options_Exhibits'!P2388:P2392),"")</f>
        <v/>
      </c>
      <c r="Q2392" s="3">
        <f>IF(ISNUMBER(AVERAGE('20250815_ETF_Options_Exhibits'!Q2388:Q2392)),AVERAGE('20250815_ETF_Options_Exhibits'!Q2388:Q2392),"")</f>
        <v/>
      </c>
      <c r="R2392" s="3">
        <f>IF(ISNUMBER(AVERAGE('20250815_ETF_Options_Exhibits'!R2388:R2392)),AVERAGE('20250815_ETF_Options_Exhibits'!R2388:R2392),"")</f>
        <v/>
      </c>
      <c r="S2392" s="3">
        <f>IF(ISNUMBER(AVERAGE('20250815_ETF_Options_Exhibits'!S2388:S2392)),AVERAGE('20250815_ETF_Options_Exhibits'!S2388:S2392),"")</f>
        <v/>
      </c>
      <c r="T2392" s="3">
        <f>IF(ISNUMBER(AVERAGE('20250815_ETF_Options_Exhibits'!T2388:T2392)),AVERAGE('20250815_ETF_Options_Exhibits'!T2388:T2392),"")</f>
        <v/>
      </c>
      <c r="U2392" s="3">
        <f>IF(ISNUMBER(AVERAGE('20250815_ETF_Options_Exhibits'!U2388:U2392)),AVERAGE('20250815_ETF_Options_Exhibits'!U2388:U2392),"")</f>
        <v/>
      </c>
      <c r="V2392" s="3">
        <f>IF(ISNUMBER(AVERAGE('20250815_ETF_Options_Exhibits'!V2388:V2392)),AVERAGE('20250815_ETF_Options_Exhibits'!V2388:V2392),"")</f>
        <v/>
      </c>
      <c r="W2392" s="3">
        <f>IF(ISNUMBER(AVERAGE('20250815_ETF_Options_Exhibits'!W2388:W2392)),AVERAGE('20250815_ETF_Options_Exhibits'!W2388:W2392),"")</f>
        <v/>
      </c>
      <c r="X2392" s="3">
        <f>IF(ISNUMBER(AVERAGE('20250815_ETF_Options_Exhibits'!X2388:X2392)),AVERAGE('20250815_ETF_Options_Exhibits'!X2388:X2392),"")</f>
        <v/>
      </c>
      <c r="Y2392" s="3">
        <f>IF(ISNUMBER(AVERAGE('20250815_ETF_Options_Exhibits'!Y2388:Y2392)),AVERAGE('20250815_ETF_Options_Exhibits'!Y2388:Y2392),"")</f>
        <v/>
      </c>
      <c r="Z2392" s="3">
        <f>IF(ISNUMBER(AVERAGE('20250815_ETF_Options_Exhibits'!Z2388:Z2392)),AVERAGE('20250815_ETF_Options_Exhibits'!Z2388:Z2392),"")</f>
        <v/>
      </c>
      <c r="AA2392" s="3">
        <f>IF(ISNUMBER(AVERAGE('20250815_ETF_Options_Exhibits'!AA2388:AA2392)),AVERAGE('20250815_ETF_Options_Exhibits'!AA2388:AA2392),"")</f>
        <v/>
      </c>
    </row>
    <row r="2393">
      <c r="A2393" s="1" t="n">
        <v>45476</v>
      </c>
      <c r="B2393" s="3">
        <f>IF(ISNUMBER(AVERAGE('20250815_ETF_Options_Exhibits'!B2389:B2393)),AVERAGE('20250815_ETF_Options_Exhibits'!B2389:B2393),"")</f>
        <v/>
      </c>
      <c r="C2393" s="3">
        <f>IF(ISNUMBER(AVERAGE('20250815_ETF_Options_Exhibits'!C2389:C2393)),AVERAGE('20250815_ETF_Options_Exhibits'!C2389:C2393),"")</f>
        <v/>
      </c>
      <c r="D2393" s="3">
        <f>IF(ISNUMBER(AVERAGE('20250815_ETF_Options_Exhibits'!D2389:D2393)),AVERAGE('20250815_ETF_Options_Exhibits'!D2389:D2393),"")</f>
        <v/>
      </c>
      <c r="E2393" s="3">
        <f>IF(ISNUMBER(AVERAGE('20250815_ETF_Options_Exhibits'!E2389:E2393)),AVERAGE('20250815_ETF_Options_Exhibits'!E2389:E2393),"")</f>
        <v/>
      </c>
      <c r="F2393" s="3">
        <f>IF(ISNUMBER(AVERAGE('20250815_ETF_Options_Exhibits'!F2389:F2393)),AVERAGE('20250815_ETF_Options_Exhibits'!F2389:F2393),"")</f>
        <v/>
      </c>
      <c r="G2393" s="3">
        <f>IF(ISNUMBER(AVERAGE('20250815_ETF_Options_Exhibits'!G2389:G2393)),AVERAGE('20250815_ETF_Options_Exhibits'!G2389:G2393),"")</f>
        <v/>
      </c>
      <c r="H2393" s="3">
        <f>IF(ISNUMBER(AVERAGE('20250815_ETF_Options_Exhibits'!H2389:H2393)),AVERAGE('20250815_ETF_Options_Exhibits'!H2389:H2393),"")</f>
        <v/>
      </c>
      <c r="I2393" s="3">
        <f>IF(ISNUMBER(AVERAGE('20250815_ETF_Options_Exhibits'!I2389:I2393)),AVERAGE('20250815_ETF_Options_Exhibits'!I2389:I2393),"")</f>
        <v/>
      </c>
      <c r="J2393" s="3">
        <f>IF(ISNUMBER(AVERAGE('20250815_ETF_Options_Exhibits'!J2389:J2393)),AVERAGE('20250815_ETF_Options_Exhibits'!J2389:J2393),"")</f>
        <v/>
      </c>
      <c r="K2393" s="3">
        <f>IF(ISNUMBER(AVERAGE('20250815_ETF_Options_Exhibits'!K2389:K2393)),AVERAGE('20250815_ETF_Options_Exhibits'!K2389:K2393),"")</f>
        <v/>
      </c>
      <c r="L2393" s="3">
        <f>IF(ISNUMBER(AVERAGE('20250815_ETF_Options_Exhibits'!L2389:L2393)),AVERAGE('20250815_ETF_Options_Exhibits'!L2389:L2393),"")</f>
        <v/>
      </c>
      <c r="M2393" s="3">
        <f>IF(ISNUMBER(AVERAGE('20250815_ETF_Options_Exhibits'!M2389:M2393)),AVERAGE('20250815_ETF_Options_Exhibits'!M2389:M2393),"")</f>
        <v/>
      </c>
      <c r="N2393" s="3">
        <f>IF(ISNUMBER(AVERAGE('20250815_ETF_Options_Exhibits'!N2389:N2393)),AVERAGE('20250815_ETF_Options_Exhibits'!N2389:N2393),"")</f>
        <v/>
      </c>
      <c r="O2393" s="3">
        <f>IF(ISNUMBER(AVERAGE('20250815_ETF_Options_Exhibits'!O2389:O2393)),AVERAGE('20250815_ETF_Options_Exhibits'!O2389:O2393),"")</f>
        <v/>
      </c>
      <c r="P2393" s="3">
        <f>IF(ISNUMBER(AVERAGE('20250815_ETF_Options_Exhibits'!P2389:P2393)),AVERAGE('20250815_ETF_Options_Exhibits'!P2389:P2393),"")</f>
        <v/>
      </c>
      <c r="Q2393" s="3">
        <f>IF(ISNUMBER(AVERAGE('20250815_ETF_Options_Exhibits'!Q2389:Q2393)),AVERAGE('20250815_ETF_Options_Exhibits'!Q2389:Q2393),"")</f>
        <v/>
      </c>
      <c r="R2393" s="3">
        <f>IF(ISNUMBER(AVERAGE('20250815_ETF_Options_Exhibits'!R2389:R2393)),AVERAGE('20250815_ETF_Options_Exhibits'!R2389:R2393),"")</f>
        <v/>
      </c>
      <c r="S2393" s="3">
        <f>IF(ISNUMBER(AVERAGE('20250815_ETF_Options_Exhibits'!S2389:S2393)),AVERAGE('20250815_ETF_Options_Exhibits'!S2389:S2393),"")</f>
        <v/>
      </c>
      <c r="T2393" s="3">
        <f>IF(ISNUMBER(AVERAGE('20250815_ETF_Options_Exhibits'!T2389:T2393)),AVERAGE('20250815_ETF_Options_Exhibits'!T2389:T2393),"")</f>
        <v/>
      </c>
      <c r="U2393" s="3">
        <f>IF(ISNUMBER(AVERAGE('20250815_ETF_Options_Exhibits'!U2389:U2393)),AVERAGE('20250815_ETF_Options_Exhibits'!U2389:U2393),"")</f>
        <v/>
      </c>
      <c r="V2393" s="3">
        <f>IF(ISNUMBER(AVERAGE('20250815_ETF_Options_Exhibits'!V2389:V2393)),AVERAGE('20250815_ETF_Options_Exhibits'!V2389:V2393),"")</f>
        <v/>
      </c>
      <c r="W2393" s="3">
        <f>IF(ISNUMBER(AVERAGE('20250815_ETF_Options_Exhibits'!W2389:W2393)),AVERAGE('20250815_ETF_Options_Exhibits'!W2389:W2393),"")</f>
        <v/>
      </c>
      <c r="X2393" s="3">
        <f>IF(ISNUMBER(AVERAGE('20250815_ETF_Options_Exhibits'!X2389:X2393)),AVERAGE('20250815_ETF_Options_Exhibits'!X2389:X2393),"")</f>
        <v/>
      </c>
      <c r="Y2393" s="3">
        <f>IF(ISNUMBER(AVERAGE('20250815_ETF_Options_Exhibits'!Y2389:Y2393)),AVERAGE('20250815_ETF_Options_Exhibits'!Y2389:Y2393),"")</f>
        <v/>
      </c>
      <c r="Z2393" s="3">
        <f>IF(ISNUMBER(AVERAGE('20250815_ETF_Options_Exhibits'!Z2389:Z2393)),AVERAGE('20250815_ETF_Options_Exhibits'!Z2389:Z2393),"")</f>
        <v/>
      </c>
      <c r="AA2393" s="3">
        <f>IF(ISNUMBER(AVERAGE('20250815_ETF_Options_Exhibits'!AA2389:AA2393)),AVERAGE('20250815_ETF_Options_Exhibits'!AA2389:AA2393),"")</f>
        <v/>
      </c>
    </row>
    <row r="2394">
      <c r="A2394" s="1" t="n">
        <v>45478</v>
      </c>
      <c r="B2394" s="3">
        <f>IF(ISNUMBER(AVERAGE('20250815_ETF_Options_Exhibits'!B2390:B2394)),AVERAGE('20250815_ETF_Options_Exhibits'!B2390:B2394),"")</f>
        <v/>
      </c>
      <c r="C2394" s="3">
        <f>IF(ISNUMBER(AVERAGE('20250815_ETF_Options_Exhibits'!C2390:C2394)),AVERAGE('20250815_ETF_Options_Exhibits'!C2390:C2394),"")</f>
        <v/>
      </c>
      <c r="D2394" s="3">
        <f>IF(ISNUMBER(AVERAGE('20250815_ETF_Options_Exhibits'!D2390:D2394)),AVERAGE('20250815_ETF_Options_Exhibits'!D2390:D2394),"")</f>
        <v/>
      </c>
      <c r="E2394" s="3">
        <f>IF(ISNUMBER(AVERAGE('20250815_ETF_Options_Exhibits'!E2390:E2394)),AVERAGE('20250815_ETF_Options_Exhibits'!E2390:E2394),"")</f>
        <v/>
      </c>
      <c r="F2394" s="3">
        <f>IF(ISNUMBER(AVERAGE('20250815_ETF_Options_Exhibits'!F2390:F2394)),AVERAGE('20250815_ETF_Options_Exhibits'!F2390:F2394),"")</f>
        <v/>
      </c>
      <c r="G2394" s="3">
        <f>IF(ISNUMBER(AVERAGE('20250815_ETF_Options_Exhibits'!G2390:G2394)),AVERAGE('20250815_ETF_Options_Exhibits'!G2390:G2394),"")</f>
        <v/>
      </c>
      <c r="H2394" s="3">
        <f>IF(ISNUMBER(AVERAGE('20250815_ETF_Options_Exhibits'!H2390:H2394)),AVERAGE('20250815_ETF_Options_Exhibits'!H2390:H2394),"")</f>
        <v/>
      </c>
      <c r="I2394" s="3">
        <f>IF(ISNUMBER(AVERAGE('20250815_ETF_Options_Exhibits'!I2390:I2394)),AVERAGE('20250815_ETF_Options_Exhibits'!I2390:I2394),"")</f>
        <v/>
      </c>
      <c r="J2394" s="3">
        <f>IF(ISNUMBER(AVERAGE('20250815_ETF_Options_Exhibits'!J2390:J2394)),AVERAGE('20250815_ETF_Options_Exhibits'!J2390:J2394),"")</f>
        <v/>
      </c>
      <c r="K2394" s="3">
        <f>IF(ISNUMBER(AVERAGE('20250815_ETF_Options_Exhibits'!K2390:K2394)),AVERAGE('20250815_ETF_Options_Exhibits'!K2390:K2394),"")</f>
        <v/>
      </c>
      <c r="L2394" s="3">
        <f>IF(ISNUMBER(AVERAGE('20250815_ETF_Options_Exhibits'!L2390:L2394)),AVERAGE('20250815_ETF_Options_Exhibits'!L2390:L2394),"")</f>
        <v/>
      </c>
      <c r="M2394" s="3">
        <f>IF(ISNUMBER(AVERAGE('20250815_ETF_Options_Exhibits'!M2390:M2394)),AVERAGE('20250815_ETF_Options_Exhibits'!M2390:M2394),"")</f>
        <v/>
      </c>
      <c r="N2394" s="3">
        <f>IF(ISNUMBER(AVERAGE('20250815_ETF_Options_Exhibits'!N2390:N2394)),AVERAGE('20250815_ETF_Options_Exhibits'!N2390:N2394),"")</f>
        <v/>
      </c>
      <c r="O2394" s="3">
        <f>IF(ISNUMBER(AVERAGE('20250815_ETF_Options_Exhibits'!O2390:O2394)),AVERAGE('20250815_ETF_Options_Exhibits'!O2390:O2394),"")</f>
        <v/>
      </c>
      <c r="P2394" s="3">
        <f>IF(ISNUMBER(AVERAGE('20250815_ETF_Options_Exhibits'!P2390:P2394)),AVERAGE('20250815_ETF_Options_Exhibits'!P2390:P2394),"")</f>
        <v/>
      </c>
      <c r="Q2394" s="3">
        <f>IF(ISNUMBER(AVERAGE('20250815_ETF_Options_Exhibits'!Q2390:Q2394)),AVERAGE('20250815_ETF_Options_Exhibits'!Q2390:Q2394),"")</f>
        <v/>
      </c>
      <c r="R2394" s="3">
        <f>IF(ISNUMBER(AVERAGE('20250815_ETF_Options_Exhibits'!R2390:R2394)),AVERAGE('20250815_ETF_Options_Exhibits'!R2390:R2394),"")</f>
        <v/>
      </c>
      <c r="S2394" s="3">
        <f>IF(ISNUMBER(AVERAGE('20250815_ETF_Options_Exhibits'!S2390:S2394)),AVERAGE('20250815_ETF_Options_Exhibits'!S2390:S2394),"")</f>
        <v/>
      </c>
      <c r="T2394" s="3">
        <f>IF(ISNUMBER(AVERAGE('20250815_ETF_Options_Exhibits'!T2390:T2394)),AVERAGE('20250815_ETF_Options_Exhibits'!T2390:T2394),"")</f>
        <v/>
      </c>
      <c r="U2394" s="3">
        <f>IF(ISNUMBER(AVERAGE('20250815_ETF_Options_Exhibits'!U2390:U2394)),AVERAGE('20250815_ETF_Options_Exhibits'!U2390:U2394),"")</f>
        <v/>
      </c>
      <c r="V2394" s="3">
        <f>IF(ISNUMBER(AVERAGE('20250815_ETF_Options_Exhibits'!V2390:V2394)),AVERAGE('20250815_ETF_Options_Exhibits'!V2390:V2394),"")</f>
        <v/>
      </c>
      <c r="W2394" s="3">
        <f>IF(ISNUMBER(AVERAGE('20250815_ETF_Options_Exhibits'!W2390:W2394)),AVERAGE('20250815_ETF_Options_Exhibits'!W2390:W2394),"")</f>
        <v/>
      </c>
      <c r="X2394" s="3">
        <f>IF(ISNUMBER(AVERAGE('20250815_ETF_Options_Exhibits'!X2390:X2394)),AVERAGE('20250815_ETF_Options_Exhibits'!X2390:X2394),"")</f>
        <v/>
      </c>
      <c r="Y2394" s="3">
        <f>IF(ISNUMBER(AVERAGE('20250815_ETF_Options_Exhibits'!Y2390:Y2394)),AVERAGE('20250815_ETF_Options_Exhibits'!Y2390:Y2394),"")</f>
        <v/>
      </c>
      <c r="Z2394" s="3">
        <f>IF(ISNUMBER(AVERAGE('20250815_ETF_Options_Exhibits'!Z2390:Z2394)),AVERAGE('20250815_ETF_Options_Exhibits'!Z2390:Z2394),"")</f>
        <v/>
      </c>
      <c r="AA2394" s="3">
        <f>IF(ISNUMBER(AVERAGE('20250815_ETF_Options_Exhibits'!AA2390:AA2394)),AVERAGE('20250815_ETF_Options_Exhibits'!AA2390:AA2394),"")</f>
        <v/>
      </c>
    </row>
    <row r="2395">
      <c r="A2395" s="1" t="n">
        <v>45481</v>
      </c>
      <c r="B2395" s="3">
        <f>IF(ISNUMBER(AVERAGE('20250815_ETF_Options_Exhibits'!B2391:B2395)),AVERAGE('20250815_ETF_Options_Exhibits'!B2391:B2395),"")</f>
        <v/>
      </c>
      <c r="C2395" s="3">
        <f>IF(ISNUMBER(AVERAGE('20250815_ETF_Options_Exhibits'!C2391:C2395)),AVERAGE('20250815_ETF_Options_Exhibits'!C2391:C2395),"")</f>
        <v/>
      </c>
      <c r="D2395" s="3">
        <f>IF(ISNUMBER(AVERAGE('20250815_ETF_Options_Exhibits'!D2391:D2395)),AVERAGE('20250815_ETF_Options_Exhibits'!D2391:D2395),"")</f>
        <v/>
      </c>
      <c r="E2395" s="3">
        <f>IF(ISNUMBER(AVERAGE('20250815_ETF_Options_Exhibits'!E2391:E2395)),AVERAGE('20250815_ETF_Options_Exhibits'!E2391:E2395),"")</f>
        <v/>
      </c>
      <c r="F2395" s="3">
        <f>IF(ISNUMBER(AVERAGE('20250815_ETF_Options_Exhibits'!F2391:F2395)),AVERAGE('20250815_ETF_Options_Exhibits'!F2391:F2395),"")</f>
        <v/>
      </c>
      <c r="G2395" s="3">
        <f>IF(ISNUMBER(AVERAGE('20250815_ETF_Options_Exhibits'!G2391:G2395)),AVERAGE('20250815_ETF_Options_Exhibits'!G2391:G2395),"")</f>
        <v/>
      </c>
      <c r="H2395" s="3">
        <f>IF(ISNUMBER(AVERAGE('20250815_ETF_Options_Exhibits'!H2391:H2395)),AVERAGE('20250815_ETF_Options_Exhibits'!H2391:H2395),"")</f>
        <v/>
      </c>
      <c r="I2395" s="3">
        <f>IF(ISNUMBER(AVERAGE('20250815_ETF_Options_Exhibits'!I2391:I2395)),AVERAGE('20250815_ETF_Options_Exhibits'!I2391:I2395),"")</f>
        <v/>
      </c>
      <c r="J2395" s="3">
        <f>IF(ISNUMBER(AVERAGE('20250815_ETF_Options_Exhibits'!J2391:J2395)),AVERAGE('20250815_ETF_Options_Exhibits'!J2391:J2395),"")</f>
        <v/>
      </c>
      <c r="K2395" s="3">
        <f>IF(ISNUMBER(AVERAGE('20250815_ETF_Options_Exhibits'!K2391:K2395)),AVERAGE('20250815_ETF_Options_Exhibits'!K2391:K2395),"")</f>
        <v/>
      </c>
      <c r="L2395" s="3">
        <f>IF(ISNUMBER(AVERAGE('20250815_ETF_Options_Exhibits'!L2391:L2395)),AVERAGE('20250815_ETF_Options_Exhibits'!L2391:L2395),"")</f>
        <v/>
      </c>
      <c r="M2395" s="3">
        <f>IF(ISNUMBER(AVERAGE('20250815_ETF_Options_Exhibits'!M2391:M2395)),AVERAGE('20250815_ETF_Options_Exhibits'!M2391:M2395),"")</f>
        <v/>
      </c>
      <c r="N2395" s="3">
        <f>IF(ISNUMBER(AVERAGE('20250815_ETF_Options_Exhibits'!N2391:N2395)),AVERAGE('20250815_ETF_Options_Exhibits'!N2391:N2395),"")</f>
        <v/>
      </c>
      <c r="O2395" s="3">
        <f>IF(ISNUMBER(AVERAGE('20250815_ETF_Options_Exhibits'!O2391:O2395)),AVERAGE('20250815_ETF_Options_Exhibits'!O2391:O2395),"")</f>
        <v/>
      </c>
      <c r="P2395" s="3">
        <f>IF(ISNUMBER(AVERAGE('20250815_ETF_Options_Exhibits'!P2391:P2395)),AVERAGE('20250815_ETF_Options_Exhibits'!P2391:P2395),"")</f>
        <v/>
      </c>
      <c r="Q2395" s="3">
        <f>IF(ISNUMBER(AVERAGE('20250815_ETF_Options_Exhibits'!Q2391:Q2395)),AVERAGE('20250815_ETF_Options_Exhibits'!Q2391:Q2395),"")</f>
        <v/>
      </c>
      <c r="R2395" s="3">
        <f>IF(ISNUMBER(AVERAGE('20250815_ETF_Options_Exhibits'!R2391:R2395)),AVERAGE('20250815_ETF_Options_Exhibits'!R2391:R2395),"")</f>
        <v/>
      </c>
      <c r="S2395" s="3">
        <f>IF(ISNUMBER(AVERAGE('20250815_ETF_Options_Exhibits'!S2391:S2395)),AVERAGE('20250815_ETF_Options_Exhibits'!S2391:S2395),"")</f>
        <v/>
      </c>
      <c r="T2395" s="3">
        <f>IF(ISNUMBER(AVERAGE('20250815_ETF_Options_Exhibits'!T2391:T2395)),AVERAGE('20250815_ETF_Options_Exhibits'!T2391:T2395),"")</f>
        <v/>
      </c>
      <c r="U2395" s="3">
        <f>IF(ISNUMBER(AVERAGE('20250815_ETF_Options_Exhibits'!U2391:U2395)),AVERAGE('20250815_ETF_Options_Exhibits'!U2391:U2395),"")</f>
        <v/>
      </c>
      <c r="V2395" s="3">
        <f>IF(ISNUMBER(AVERAGE('20250815_ETF_Options_Exhibits'!V2391:V2395)),AVERAGE('20250815_ETF_Options_Exhibits'!V2391:V2395),"")</f>
        <v/>
      </c>
      <c r="W2395" s="3">
        <f>IF(ISNUMBER(AVERAGE('20250815_ETF_Options_Exhibits'!W2391:W2395)),AVERAGE('20250815_ETF_Options_Exhibits'!W2391:W2395),"")</f>
        <v/>
      </c>
      <c r="X2395" s="3">
        <f>IF(ISNUMBER(AVERAGE('20250815_ETF_Options_Exhibits'!X2391:X2395)),AVERAGE('20250815_ETF_Options_Exhibits'!X2391:X2395),"")</f>
        <v/>
      </c>
      <c r="Y2395" s="3">
        <f>IF(ISNUMBER(AVERAGE('20250815_ETF_Options_Exhibits'!Y2391:Y2395)),AVERAGE('20250815_ETF_Options_Exhibits'!Y2391:Y2395),"")</f>
        <v/>
      </c>
      <c r="Z2395" s="3">
        <f>IF(ISNUMBER(AVERAGE('20250815_ETF_Options_Exhibits'!Z2391:Z2395)),AVERAGE('20250815_ETF_Options_Exhibits'!Z2391:Z2395),"")</f>
        <v/>
      </c>
      <c r="AA2395" s="3">
        <f>IF(ISNUMBER(AVERAGE('20250815_ETF_Options_Exhibits'!AA2391:AA2395)),AVERAGE('20250815_ETF_Options_Exhibits'!AA2391:AA2395),"")</f>
        <v/>
      </c>
    </row>
    <row r="2396">
      <c r="A2396" s="1" t="n">
        <v>45482</v>
      </c>
      <c r="B2396" s="3">
        <f>IF(ISNUMBER(AVERAGE('20250815_ETF_Options_Exhibits'!B2392:B2396)),AVERAGE('20250815_ETF_Options_Exhibits'!B2392:B2396),"")</f>
        <v/>
      </c>
      <c r="C2396" s="3">
        <f>IF(ISNUMBER(AVERAGE('20250815_ETF_Options_Exhibits'!C2392:C2396)),AVERAGE('20250815_ETF_Options_Exhibits'!C2392:C2396),"")</f>
        <v/>
      </c>
      <c r="D2396" s="3">
        <f>IF(ISNUMBER(AVERAGE('20250815_ETF_Options_Exhibits'!D2392:D2396)),AVERAGE('20250815_ETF_Options_Exhibits'!D2392:D2396),"")</f>
        <v/>
      </c>
      <c r="E2396" s="3">
        <f>IF(ISNUMBER(AVERAGE('20250815_ETF_Options_Exhibits'!E2392:E2396)),AVERAGE('20250815_ETF_Options_Exhibits'!E2392:E2396),"")</f>
        <v/>
      </c>
      <c r="F2396" s="3">
        <f>IF(ISNUMBER(AVERAGE('20250815_ETF_Options_Exhibits'!F2392:F2396)),AVERAGE('20250815_ETF_Options_Exhibits'!F2392:F2396),"")</f>
        <v/>
      </c>
      <c r="G2396" s="3">
        <f>IF(ISNUMBER(AVERAGE('20250815_ETF_Options_Exhibits'!G2392:G2396)),AVERAGE('20250815_ETF_Options_Exhibits'!G2392:G2396),"")</f>
        <v/>
      </c>
      <c r="H2396" s="3">
        <f>IF(ISNUMBER(AVERAGE('20250815_ETF_Options_Exhibits'!H2392:H2396)),AVERAGE('20250815_ETF_Options_Exhibits'!H2392:H2396),"")</f>
        <v/>
      </c>
      <c r="I2396" s="3">
        <f>IF(ISNUMBER(AVERAGE('20250815_ETF_Options_Exhibits'!I2392:I2396)),AVERAGE('20250815_ETF_Options_Exhibits'!I2392:I2396),"")</f>
        <v/>
      </c>
      <c r="J2396" s="3">
        <f>IF(ISNUMBER(AVERAGE('20250815_ETF_Options_Exhibits'!J2392:J2396)),AVERAGE('20250815_ETF_Options_Exhibits'!J2392:J2396),"")</f>
        <v/>
      </c>
      <c r="K2396" s="3">
        <f>IF(ISNUMBER(AVERAGE('20250815_ETF_Options_Exhibits'!K2392:K2396)),AVERAGE('20250815_ETF_Options_Exhibits'!K2392:K2396),"")</f>
        <v/>
      </c>
      <c r="L2396" s="3">
        <f>IF(ISNUMBER(AVERAGE('20250815_ETF_Options_Exhibits'!L2392:L2396)),AVERAGE('20250815_ETF_Options_Exhibits'!L2392:L2396),"")</f>
        <v/>
      </c>
      <c r="M2396" s="3">
        <f>IF(ISNUMBER(AVERAGE('20250815_ETF_Options_Exhibits'!M2392:M2396)),AVERAGE('20250815_ETF_Options_Exhibits'!M2392:M2396),"")</f>
        <v/>
      </c>
      <c r="N2396" s="3">
        <f>IF(ISNUMBER(AVERAGE('20250815_ETF_Options_Exhibits'!N2392:N2396)),AVERAGE('20250815_ETF_Options_Exhibits'!N2392:N2396),"")</f>
        <v/>
      </c>
      <c r="O2396" s="3">
        <f>IF(ISNUMBER(AVERAGE('20250815_ETF_Options_Exhibits'!O2392:O2396)),AVERAGE('20250815_ETF_Options_Exhibits'!O2392:O2396),"")</f>
        <v/>
      </c>
      <c r="P2396" s="3">
        <f>IF(ISNUMBER(AVERAGE('20250815_ETF_Options_Exhibits'!P2392:P2396)),AVERAGE('20250815_ETF_Options_Exhibits'!P2392:P2396),"")</f>
        <v/>
      </c>
      <c r="Q2396" s="3">
        <f>IF(ISNUMBER(AVERAGE('20250815_ETF_Options_Exhibits'!Q2392:Q2396)),AVERAGE('20250815_ETF_Options_Exhibits'!Q2392:Q2396),"")</f>
        <v/>
      </c>
      <c r="R2396" s="3">
        <f>IF(ISNUMBER(AVERAGE('20250815_ETF_Options_Exhibits'!R2392:R2396)),AVERAGE('20250815_ETF_Options_Exhibits'!R2392:R2396),"")</f>
        <v/>
      </c>
      <c r="S2396" s="3">
        <f>IF(ISNUMBER(AVERAGE('20250815_ETF_Options_Exhibits'!S2392:S2396)),AVERAGE('20250815_ETF_Options_Exhibits'!S2392:S2396),"")</f>
        <v/>
      </c>
      <c r="T2396" s="3">
        <f>IF(ISNUMBER(AVERAGE('20250815_ETF_Options_Exhibits'!T2392:T2396)),AVERAGE('20250815_ETF_Options_Exhibits'!T2392:T2396),"")</f>
        <v/>
      </c>
      <c r="U2396" s="3">
        <f>IF(ISNUMBER(AVERAGE('20250815_ETF_Options_Exhibits'!U2392:U2396)),AVERAGE('20250815_ETF_Options_Exhibits'!U2392:U2396),"")</f>
        <v/>
      </c>
      <c r="V2396" s="3">
        <f>IF(ISNUMBER(AVERAGE('20250815_ETF_Options_Exhibits'!V2392:V2396)),AVERAGE('20250815_ETF_Options_Exhibits'!V2392:V2396),"")</f>
        <v/>
      </c>
      <c r="W2396" s="3">
        <f>IF(ISNUMBER(AVERAGE('20250815_ETF_Options_Exhibits'!W2392:W2396)),AVERAGE('20250815_ETF_Options_Exhibits'!W2392:W2396),"")</f>
        <v/>
      </c>
      <c r="X2396" s="3">
        <f>IF(ISNUMBER(AVERAGE('20250815_ETF_Options_Exhibits'!X2392:X2396)),AVERAGE('20250815_ETF_Options_Exhibits'!X2392:X2396),"")</f>
        <v/>
      </c>
      <c r="Y2396" s="3">
        <f>IF(ISNUMBER(AVERAGE('20250815_ETF_Options_Exhibits'!Y2392:Y2396)),AVERAGE('20250815_ETF_Options_Exhibits'!Y2392:Y2396),"")</f>
        <v/>
      </c>
      <c r="Z2396" s="3">
        <f>IF(ISNUMBER(AVERAGE('20250815_ETF_Options_Exhibits'!Z2392:Z2396)),AVERAGE('20250815_ETF_Options_Exhibits'!Z2392:Z2396),"")</f>
        <v/>
      </c>
      <c r="AA2396" s="3">
        <f>IF(ISNUMBER(AVERAGE('20250815_ETF_Options_Exhibits'!AA2392:AA2396)),AVERAGE('20250815_ETF_Options_Exhibits'!AA2392:AA2396),"")</f>
        <v/>
      </c>
    </row>
    <row r="2397">
      <c r="A2397" s="1" t="n">
        <v>45483</v>
      </c>
      <c r="B2397" s="3">
        <f>IF(ISNUMBER(AVERAGE('20250815_ETF_Options_Exhibits'!B2393:B2397)),AVERAGE('20250815_ETF_Options_Exhibits'!B2393:B2397),"")</f>
        <v/>
      </c>
      <c r="C2397" s="3">
        <f>IF(ISNUMBER(AVERAGE('20250815_ETF_Options_Exhibits'!C2393:C2397)),AVERAGE('20250815_ETF_Options_Exhibits'!C2393:C2397),"")</f>
        <v/>
      </c>
      <c r="D2397" s="3">
        <f>IF(ISNUMBER(AVERAGE('20250815_ETF_Options_Exhibits'!D2393:D2397)),AVERAGE('20250815_ETF_Options_Exhibits'!D2393:D2397),"")</f>
        <v/>
      </c>
      <c r="E2397" s="3">
        <f>IF(ISNUMBER(AVERAGE('20250815_ETF_Options_Exhibits'!E2393:E2397)),AVERAGE('20250815_ETF_Options_Exhibits'!E2393:E2397),"")</f>
        <v/>
      </c>
      <c r="F2397" s="3">
        <f>IF(ISNUMBER(AVERAGE('20250815_ETF_Options_Exhibits'!F2393:F2397)),AVERAGE('20250815_ETF_Options_Exhibits'!F2393:F2397),"")</f>
        <v/>
      </c>
      <c r="G2397" s="3">
        <f>IF(ISNUMBER(AVERAGE('20250815_ETF_Options_Exhibits'!G2393:G2397)),AVERAGE('20250815_ETF_Options_Exhibits'!G2393:G2397),"")</f>
        <v/>
      </c>
      <c r="H2397" s="3">
        <f>IF(ISNUMBER(AVERAGE('20250815_ETF_Options_Exhibits'!H2393:H2397)),AVERAGE('20250815_ETF_Options_Exhibits'!H2393:H2397),"")</f>
        <v/>
      </c>
      <c r="I2397" s="3">
        <f>IF(ISNUMBER(AVERAGE('20250815_ETF_Options_Exhibits'!I2393:I2397)),AVERAGE('20250815_ETF_Options_Exhibits'!I2393:I2397),"")</f>
        <v/>
      </c>
      <c r="J2397" s="3">
        <f>IF(ISNUMBER(AVERAGE('20250815_ETF_Options_Exhibits'!J2393:J2397)),AVERAGE('20250815_ETF_Options_Exhibits'!J2393:J2397),"")</f>
        <v/>
      </c>
      <c r="K2397" s="3">
        <f>IF(ISNUMBER(AVERAGE('20250815_ETF_Options_Exhibits'!K2393:K2397)),AVERAGE('20250815_ETF_Options_Exhibits'!K2393:K2397),"")</f>
        <v/>
      </c>
      <c r="L2397" s="3">
        <f>IF(ISNUMBER(AVERAGE('20250815_ETF_Options_Exhibits'!L2393:L2397)),AVERAGE('20250815_ETF_Options_Exhibits'!L2393:L2397),"")</f>
        <v/>
      </c>
      <c r="M2397" s="3">
        <f>IF(ISNUMBER(AVERAGE('20250815_ETF_Options_Exhibits'!M2393:M2397)),AVERAGE('20250815_ETF_Options_Exhibits'!M2393:M2397),"")</f>
        <v/>
      </c>
      <c r="N2397" s="3">
        <f>IF(ISNUMBER(AVERAGE('20250815_ETF_Options_Exhibits'!N2393:N2397)),AVERAGE('20250815_ETF_Options_Exhibits'!N2393:N2397),"")</f>
        <v/>
      </c>
      <c r="O2397" s="3">
        <f>IF(ISNUMBER(AVERAGE('20250815_ETF_Options_Exhibits'!O2393:O2397)),AVERAGE('20250815_ETF_Options_Exhibits'!O2393:O2397),"")</f>
        <v/>
      </c>
      <c r="P2397" s="3">
        <f>IF(ISNUMBER(AVERAGE('20250815_ETF_Options_Exhibits'!P2393:P2397)),AVERAGE('20250815_ETF_Options_Exhibits'!P2393:P2397),"")</f>
        <v/>
      </c>
      <c r="Q2397" s="3">
        <f>IF(ISNUMBER(AVERAGE('20250815_ETF_Options_Exhibits'!Q2393:Q2397)),AVERAGE('20250815_ETF_Options_Exhibits'!Q2393:Q2397),"")</f>
        <v/>
      </c>
      <c r="R2397" s="3">
        <f>IF(ISNUMBER(AVERAGE('20250815_ETF_Options_Exhibits'!R2393:R2397)),AVERAGE('20250815_ETF_Options_Exhibits'!R2393:R2397),"")</f>
        <v/>
      </c>
      <c r="S2397" s="3">
        <f>IF(ISNUMBER(AVERAGE('20250815_ETF_Options_Exhibits'!S2393:S2397)),AVERAGE('20250815_ETF_Options_Exhibits'!S2393:S2397),"")</f>
        <v/>
      </c>
      <c r="T2397" s="3">
        <f>IF(ISNUMBER(AVERAGE('20250815_ETF_Options_Exhibits'!T2393:T2397)),AVERAGE('20250815_ETF_Options_Exhibits'!T2393:T2397),"")</f>
        <v/>
      </c>
      <c r="U2397" s="3">
        <f>IF(ISNUMBER(AVERAGE('20250815_ETF_Options_Exhibits'!U2393:U2397)),AVERAGE('20250815_ETF_Options_Exhibits'!U2393:U2397),"")</f>
        <v/>
      </c>
      <c r="V2397" s="3">
        <f>IF(ISNUMBER(AVERAGE('20250815_ETF_Options_Exhibits'!V2393:V2397)),AVERAGE('20250815_ETF_Options_Exhibits'!V2393:V2397),"")</f>
        <v/>
      </c>
      <c r="W2397" s="3">
        <f>IF(ISNUMBER(AVERAGE('20250815_ETF_Options_Exhibits'!W2393:W2397)),AVERAGE('20250815_ETF_Options_Exhibits'!W2393:W2397),"")</f>
        <v/>
      </c>
      <c r="X2397" s="3">
        <f>IF(ISNUMBER(AVERAGE('20250815_ETF_Options_Exhibits'!X2393:X2397)),AVERAGE('20250815_ETF_Options_Exhibits'!X2393:X2397),"")</f>
        <v/>
      </c>
      <c r="Y2397" s="3">
        <f>IF(ISNUMBER(AVERAGE('20250815_ETF_Options_Exhibits'!Y2393:Y2397)),AVERAGE('20250815_ETF_Options_Exhibits'!Y2393:Y2397),"")</f>
        <v/>
      </c>
      <c r="Z2397" s="3">
        <f>IF(ISNUMBER(AVERAGE('20250815_ETF_Options_Exhibits'!Z2393:Z2397)),AVERAGE('20250815_ETF_Options_Exhibits'!Z2393:Z2397),"")</f>
        <v/>
      </c>
      <c r="AA2397" s="3">
        <f>IF(ISNUMBER(AVERAGE('20250815_ETF_Options_Exhibits'!AA2393:AA2397)),AVERAGE('20250815_ETF_Options_Exhibits'!AA2393:AA2397),"")</f>
        <v/>
      </c>
    </row>
    <row r="2398">
      <c r="A2398" s="1" t="n">
        <v>45484</v>
      </c>
      <c r="B2398" s="3">
        <f>IF(ISNUMBER(AVERAGE('20250815_ETF_Options_Exhibits'!B2394:B2398)),AVERAGE('20250815_ETF_Options_Exhibits'!B2394:B2398),"")</f>
        <v/>
      </c>
      <c r="C2398" s="3">
        <f>IF(ISNUMBER(AVERAGE('20250815_ETF_Options_Exhibits'!C2394:C2398)),AVERAGE('20250815_ETF_Options_Exhibits'!C2394:C2398),"")</f>
        <v/>
      </c>
      <c r="D2398" s="3">
        <f>IF(ISNUMBER(AVERAGE('20250815_ETF_Options_Exhibits'!D2394:D2398)),AVERAGE('20250815_ETF_Options_Exhibits'!D2394:D2398),"")</f>
        <v/>
      </c>
      <c r="E2398" s="3">
        <f>IF(ISNUMBER(AVERAGE('20250815_ETF_Options_Exhibits'!E2394:E2398)),AVERAGE('20250815_ETF_Options_Exhibits'!E2394:E2398),"")</f>
        <v/>
      </c>
      <c r="F2398" s="3">
        <f>IF(ISNUMBER(AVERAGE('20250815_ETF_Options_Exhibits'!F2394:F2398)),AVERAGE('20250815_ETF_Options_Exhibits'!F2394:F2398),"")</f>
        <v/>
      </c>
      <c r="G2398" s="3">
        <f>IF(ISNUMBER(AVERAGE('20250815_ETF_Options_Exhibits'!G2394:G2398)),AVERAGE('20250815_ETF_Options_Exhibits'!G2394:G2398),"")</f>
        <v/>
      </c>
      <c r="H2398" s="3">
        <f>IF(ISNUMBER(AVERAGE('20250815_ETF_Options_Exhibits'!H2394:H2398)),AVERAGE('20250815_ETF_Options_Exhibits'!H2394:H2398),"")</f>
        <v/>
      </c>
      <c r="I2398" s="3">
        <f>IF(ISNUMBER(AVERAGE('20250815_ETF_Options_Exhibits'!I2394:I2398)),AVERAGE('20250815_ETF_Options_Exhibits'!I2394:I2398),"")</f>
        <v/>
      </c>
      <c r="J2398" s="3">
        <f>IF(ISNUMBER(AVERAGE('20250815_ETF_Options_Exhibits'!J2394:J2398)),AVERAGE('20250815_ETF_Options_Exhibits'!J2394:J2398),"")</f>
        <v/>
      </c>
      <c r="K2398" s="3">
        <f>IF(ISNUMBER(AVERAGE('20250815_ETF_Options_Exhibits'!K2394:K2398)),AVERAGE('20250815_ETF_Options_Exhibits'!K2394:K2398),"")</f>
        <v/>
      </c>
      <c r="L2398" s="3">
        <f>IF(ISNUMBER(AVERAGE('20250815_ETF_Options_Exhibits'!L2394:L2398)),AVERAGE('20250815_ETF_Options_Exhibits'!L2394:L2398),"")</f>
        <v/>
      </c>
      <c r="M2398" s="3">
        <f>IF(ISNUMBER(AVERAGE('20250815_ETF_Options_Exhibits'!M2394:M2398)),AVERAGE('20250815_ETF_Options_Exhibits'!M2394:M2398),"")</f>
        <v/>
      </c>
      <c r="N2398" s="3">
        <f>IF(ISNUMBER(AVERAGE('20250815_ETF_Options_Exhibits'!N2394:N2398)),AVERAGE('20250815_ETF_Options_Exhibits'!N2394:N2398),"")</f>
        <v/>
      </c>
      <c r="O2398" s="3">
        <f>IF(ISNUMBER(AVERAGE('20250815_ETF_Options_Exhibits'!O2394:O2398)),AVERAGE('20250815_ETF_Options_Exhibits'!O2394:O2398),"")</f>
        <v/>
      </c>
      <c r="P2398" s="3">
        <f>IF(ISNUMBER(AVERAGE('20250815_ETF_Options_Exhibits'!P2394:P2398)),AVERAGE('20250815_ETF_Options_Exhibits'!P2394:P2398),"")</f>
        <v/>
      </c>
      <c r="Q2398" s="3">
        <f>IF(ISNUMBER(AVERAGE('20250815_ETF_Options_Exhibits'!Q2394:Q2398)),AVERAGE('20250815_ETF_Options_Exhibits'!Q2394:Q2398),"")</f>
        <v/>
      </c>
      <c r="R2398" s="3">
        <f>IF(ISNUMBER(AVERAGE('20250815_ETF_Options_Exhibits'!R2394:R2398)),AVERAGE('20250815_ETF_Options_Exhibits'!R2394:R2398),"")</f>
        <v/>
      </c>
      <c r="S2398" s="3">
        <f>IF(ISNUMBER(AVERAGE('20250815_ETF_Options_Exhibits'!S2394:S2398)),AVERAGE('20250815_ETF_Options_Exhibits'!S2394:S2398),"")</f>
        <v/>
      </c>
      <c r="T2398" s="3">
        <f>IF(ISNUMBER(AVERAGE('20250815_ETF_Options_Exhibits'!T2394:T2398)),AVERAGE('20250815_ETF_Options_Exhibits'!T2394:T2398),"")</f>
        <v/>
      </c>
      <c r="U2398" s="3">
        <f>IF(ISNUMBER(AVERAGE('20250815_ETF_Options_Exhibits'!U2394:U2398)),AVERAGE('20250815_ETF_Options_Exhibits'!U2394:U2398),"")</f>
        <v/>
      </c>
      <c r="V2398" s="3">
        <f>IF(ISNUMBER(AVERAGE('20250815_ETF_Options_Exhibits'!V2394:V2398)),AVERAGE('20250815_ETF_Options_Exhibits'!V2394:V2398),"")</f>
        <v/>
      </c>
      <c r="W2398" s="3">
        <f>IF(ISNUMBER(AVERAGE('20250815_ETF_Options_Exhibits'!W2394:W2398)),AVERAGE('20250815_ETF_Options_Exhibits'!W2394:W2398),"")</f>
        <v/>
      </c>
      <c r="X2398" s="3">
        <f>IF(ISNUMBER(AVERAGE('20250815_ETF_Options_Exhibits'!X2394:X2398)),AVERAGE('20250815_ETF_Options_Exhibits'!X2394:X2398),"")</f>
        <v/>
      </c>
      <c r="Y2398" s="3">
        <f>IF(ISNUMBER(AVERAGE('20250815_ETF_Options_Exhibits'!Y2394:Y2398)),AVERAGE('20250815_ETF_Options_Exhibits'!Y2394:Y2398),"")</f>
        <v/>
      </c>
      <c r="Z2398" s="3">
        <f>IF(ISNUMBER(AVERAGE('20250815_ETF_Options_Exhibits'!Z2394:Z2398)),AVERAGE('20250815_ETF_Options_Exhibits'!Z2394:Z2398),"")</f>
        <v/>
      </c>
      <c r="AA2398" s="3">
        <f>IF(ISNUMBER(AVERAGE('20250815_ETF_Options_Exhibits'!AA2394:AA2398)),AVERAGE('20250815_ETF_Options_Exhibits'!AA2394:AA2398),"")</f>
        <v/>
      </c>
    </row>
    <row r="2399">
      <c r="A2399" s="1" t="n">
        <v>45485</v>
      </c>
      <c r="B2399" s="3">
        <f>IF(ISNUMBER(AVERAGE('20250815_ETF_Options_Exhibits'!B2395:B2399)),AVERAGE('20250815_ETF_Options_Exhibits'!B2395:B2399),"")</f>
        <v/>
      </c>
      <c r="C2399" s="3">
        <f>IF(ISNUMBER(AVERAGE('20250815_ETF_Options_Exhibits'!C2395:C2399)),AVERAGE('20250815_ETF_Options_Exhibits'!C2395:C2399),"")</f>
        <v/>
      </c>
      <c r="D2399" s="3">
        <f>IF(ISNUMBER(AVERAGE('20250815_ETF_Options_Exhibits'!D2395:D2399)),AVERAGE('20250815_ETF_Options_Exhibits'!D2395:D2399),"")</f>
        <v/>
      </c>
      <c r="E2399" s="3">
        <f>IF(ISNUMBER(AVERAGE('20250815_ETF_Options_Exhibits'!E2395:E2399)),AVERAGE('20250815_ETF_Options_Exhibits'!E2395:E2399),"")</f>
        <v/>
      </c>
      <c r="F2399" s="3">
        <f>IF(ISNUMBER(AVERAGE('20250815_ETF_Options_Exhibits'!F2395:F2399)),AVERAGE('20250815_ETF_Options_Exhibits'!F2395:F2399),"")</f>
        <v/>
      </c>
      <c r="G2399" s="3">
        <f>IF(ISNUMBER(AVERAGE('20250815_ETF_Options_Exhibits'!G2395:G2399)),AVERAGE('20250815_ETF_Options_Exhibits'!G2395:G2399),"")</f>
        <v/>
      </c>
      <c r="H2399" s="3">
        <f>IF(ISNUMBER(AVERAGE('20250815_ETF_Options_Exhibits'!H2395:H2399)),AVERAGE('20250815_ETF_Options_Exhibits'!H2395:H2399),"")</f>
        <v/>
      </c>
      <c r="I2399" s="3">
        <f>IF(ISNUMBER(AVERAGE('20250815_ETF_Options_Exhibits'!I2395:I2399)),AVERAGE('20250815_ETF_Options_Exhibits'!I2395:I2399),"")</f>
        <v/>
      </c>
      <c r="J2399" s="3">
        <f>IF(ISNUMBER(AVERAGE('20250815_ETF_Options_Exhibits'!J2395:J2399)),AVERAGE('20250815_ETF_Options_Exhibits'!J2395:J2399),"")</f>
        <v/>
      </c>
      <c r="K2399" s="3">
        <f>IF(ISNUMBER(AVERAGE('20250815_ETF_Options_Exhibits'!K2395:K2399)),AVERAGE('20250815_ETF_Options_Exhibits'!K2395:K2399),"")</f>
        <v/>
      </c>
      <c r="L2399" s="3">
        <f>IF(ISNUMBER(AVERAGE('20250815_ETF_Options_Exhibits'!L2395:L2399)),AVERAGE('20250815_ETF_Options_Exhibits'!L2395:L2399),"")</f>
        <v/>
      </c>
      <c r="M2399" s="3">
        <f>IF(ISNUMBER(AVERAGE('20250815_ETF_Options_Exhibits'!M2395:M2399)),AVERAGE('20250815_ETF_Options_Exhibits'!M2395:M2399),"")</f>
        <v/>
      </c>
      <c r="N2399" s="3">
        <f>IF(ISNUMBER(AVERAGE('20250815_ETF_Options_Exhibits'!N2395:N2399)),AVERAGE('20250815_ETF_Options_Exhibits'!N2395:N2399),"")</f>
        <v/>
      </c>
      <c r="O2399" s="3">
        <f>IF(ISNUMBER(AVERAGE('20250815_ETF_Options_Exhibits'!O2395:O2399)),AVERAGE('20250815_ETF_Options_Exhibits'!O2395:O2399),"")</f>
        <v/>
      </c>
      <c r="P2399" s="3">
        <f>IF(ISNUMBER(AVERAGE('20250815_ETF_Options_Exhibits'!P2395:P2399)),AVERAGE('20250815_ETF_Options_Exhibits'!P2395:P2399),"")</f>
        <v/>
      </c>
      <c r="Q2399" s="3">
        <f>IF(ISNUMBER(AVERAGE('20250815_ETF_Options_Exhibits'!Q2395:Q2399)),AVERAGE('20250815_ETF_Options_Exhibits'!Q2395:Q2399),"")</f>
        <v/>
      </c>
      <c r="R2399" s="3">
        <f>IF(ISNUMBER(AVERAGE('20250815_ETF_Options_Exhibits'!R2395:R2399)),AVERAGE('20250815_ETF_Options_Exhibits'!R2395:R2399),"")</f>
        <v/>
      </c>
      <c r="S2399" s="3">
        <f>IF(ISNUMBER(AVERAGE('20250815_ETF_Options_Exhibits'!S2395:S2399)),AVERAGE('20250815_ETF_Options_Exhibits'!S2395:S2399),"")</f>
        <v/>
      </c>
      <c r="T2399" s="3">
        <f>IF(ISNUMBER(AVERAGE('20250815_ETF_Options_Exhibits'!T2395:T2399)),AVERAGE('20250815_ETF_Options_Exhibits'!T2395:T2399),"")</f>
        <v/>
      </c>
      <c r="U2399" s="3">
        <f>IF(ISNUMBER(AVERAGE('20250815_ETF_Options_Exhibits'!U2395:U2399)),AVERAGE('20250815_ETF_Options_Exhibits'!U2395:U2399),"")</f>
        <v/>
      </c>
      <c r="V2399" s="3">
        <f>IF(ISNUMBER(AVERAGE('20250815_ETF_Options_Exhibits'!V2395:V2399)),AVERAGE('20250815_ETF_Options_Exhibits'!V2395:V2399),"")</f>
        <v/>
      </c>
      <c r="W2399" s="3">
        <f>IF(ISNUMBER(AVERAGE('20250815_ETF_Options_Exhibits'!W2395:W2399)),AVERAGE('20250815_ETF_Options_Exhibits'!W2395:W2399),"")</f>
        <v/>
      </c>
      <c r="X2399" s="3">
        <f>IF(ISNUMBER(AVERAGE('20250815_ETF_Options_Exhibits'!X2395:X2399)),AVERAGE('20250815_ETF_Options_Exhibits'!X2395:X2399),"")</f>
        <v/>
      </c>
      <c r="Y2399" s="3">
        <f>IF(ISNUMBER(AVERAGE('20250815_ETF_Options_Exhibits'!Y2395:Y2399)),AVERAGE('20250815_ETF_Options_Exhibits'!Y2395:Y2399),"")</f>
        <v/>
      </c>
      <c r="Z2399" s="3">
        <f>IF(ISNUMBER(AVERAGE('20250815_ETF_Options_Exhibits'!Z2395:Z2399)),AVERAGE('20250815_ETF_Options_Exhibits'!Z2395:Z2399),"")</f>
        <v/>
      </c>
      <c r="AA2399" s="3">
        <f>IF(ISNUMBER(AVERAGE('20250815_ETF_Options_Exhibits'!AA2395:AA2399)),AVERAGE('20250815_ETF_Options_Exhibits'!AA2395:AA2399),"")</f>
        <v/>
      </c>
    </row>
    <row r="2400">
      <c r="A2400" s="1" t="n">
        <v>45488</v>
      </c>
      <c r="B2400" s="3">
        <f>IF(ISNUMBER(AVERAGE('20250815_ETF_Options_Exhibits'!B2396:B2400)),AVERAGE('20250815_ETF_Options_Exhibits'!B2396:B2400),"")</f>
        <v/>
      </c>
      <c r="C2400" s="3">
        <f>IF(ISNUMBER(AVERAGE('20250815_ETF_Options_Exhibits'!C2396:C2400)),AVERAGE('20250815_ETF_Options_Exhibits'!C2396:C2400),"")</f>
        <v/>
      </c>
      <c r="D2400" s="3">
        <f>IF(ISNUMBER(AVERAGE('20250815_ETF_Options_Exhibits'!D2396:D2400)),AVERAGE('20250815_ETF_Options_Exhibits'!D2396:D2400),"")</f>
        <v/>
      </c>
      <c r="E2400" s="3">
        <f>IF(ISNUMBER(AVERAGE('20250815_ETF_Options_Exhibits'!E2396:E2400)),AVERAGE('20250815_ETF_Options_Exhibits'!E2396:E2400),"")</f>
        <v/>
      </c>
      <c r="F2400" s="3">
        <f>IF(ISNUMBER(AVERAGE('20250815_ETF_Options_Exhibits'!F2396:F2400)),AVERAGE('20250815_ETF_Options_Exhibits'!F2396:F2400),"")</f>
        <v/>
      </c>
      <c r="G2400" s="3">
        <f>IF(ISNUMBER(AVERAGE('20250815_ETF_Options_Exhibits'!G2396:G2400)),AVERAGE('20250815_ETF_Options_Exhibits'!G2396:G2400),"")</f>
        <v/>
      </c>
      <c r="H2400" s="3">
        <f>IF(ISNUMBER(AVERAGE('20250815_ETF_Options_Exhibits'!H2396:H2400)),AVERAGE('20250815_ETF_Options_Exhibits'!H2396:H2400),"")</f>
        <v/>
      </c>
      <c r="I2400" s="3">
        <f>IF(ISNUMBER(AVERAGE('20250815_ETF_Options_Exhibits'!I2396:I2400)),AVERAGE('20250815_ETF_Options_Exhibits'!I2396:I2400),"")</f>
        <v/>
      </c>
      <c r="J2400" s="3">
        <f>IF(ISNUMBER(AVERAGE('20250815_ETF_Options_Exhibits'!J2396:J2400)),AVERAGE('20250815_ETF_Options_Exhibits'!J2396:J2400),"")</f>
        <v/>
      </c>
      <c r="K2400" s="3">
        <f>IF(ISNUMBER(AVERAGE('20250815_ETF_Options_Exhibits'!K2396:K2400)),AVERAGE('20250815_ETF_Options_Exhibits'!K2396:K2400),"")</f>
        <v/>
      </c>
      <c r="L2400" s="3">
        <f>IF(ISNUMBER(AVERAGE('20250815_ETF_Options_Exhibits'!L2396:L2400)),AVERAGE('20250815_ETF_Options_Exhibits'!L2396:L2400),"")</f>
        <v/>
      </c>
      <c r="M2400" s="3">
        <f>IF(ISNUMBER(AVERAGE('20250815_ETF_Options_Exhibits'!M2396:M2400)),AVERAGE('20250815_ETF_Options_Exhibits'!M2396:M2400),"")</f>
        <v/>
      </c>
      <c r="N2400" s="3">
        <f>IF(ISNUMBER(AVERAGE('20250815_ETF_Options_Exhibits'!N2396:N2400)),AVERAGE('20250815_ETF_Options_Exhibits'!N2396:N2400),"")</f>
        <v/>
      </c>
      <c r="O2400" s="3">
        <f>IF(ISNUMBER(AVERAGE('20250815_ETF_Options_Exhibits'!O2396:O2400)),AVERAGE('20250815_ETF_Options_Exhibits'!O2396:O2400),"")</f>
        <v/>
      </c>
      <c r="P2400" s="3">
        <f>IF(ISNUMBER(AVERAGE('20250815_ETF_Options_Exhibits'!P2396:P2400)),AVERAGE('20250815_ETF_Options_Exhibits'!P2396:P2400),"")</f>
        <v/>
      </c>
      <c r="Q2400" s="3">
        <f>IF(ISNUMBER(AVERAGE('20250815_ETF_Options_Exhibits'!Q2396:Q2400)),AVERAGE('20250815_ETF_Options_Exhibits'!Q2396:Q2400),"")</f>
        <v/>
      </c>
      <c r="R2400" s="3">
        <f>IF(ISNUMBER(AVERAGE('20250815_ETF_Options_Exhibits'!R2396:R2400)),AVERAGE('20250815_ETF_Options_Exhibits'!R2396:R2400),"")</f>
        <v/>
      </c>
      <c r="S2400" s="3">
        <f>IF(ISNUMBER(AVERAGE('20250815_ETF_Options_Exhibits'!S2396:S2400)),AVERAGE('20250815_ETF_Options_Exhibits'!S2396:S2400),"")</f>
        <v/>
      </c>
      <c r="T2400" s="3">
        <f>IF(ISNUMBER(AVERAGE('20250815_ETF_Options_Exhibits'!T2396:T2400)),AVERAGE('20250815_ETF_Options_Exhibits'!T2396:T2400),"")</f>
        <v/>
      </c>
      <c r="U2400" s="3">
        <f>IF(ISNUMBER(AVERAGE('20250815_ETF_Options_Exhibits'!U2396:U2400)),AVERAGE('20250815_ETF_Options_Exhibits'!U2396:U2400),"")</f>
        <v/>
      </c>
      <c r="V2400" s="3">
        <f>IF(ISNUMBER(AVERAGE('20250815_ETF_Options_Exhibits'!V2396:V2400)),AVERAGE('20250815_ETF_Options_Exhibits'!V2396:V2400),"")</f>
        <v/>
      </c>
      <c r="W2400" s="3">
        <f>IF(ISNUMBER(AVERAGE('20250815_ETF_Options_Exhibits'!W2396:W2400)),AVERAGE('20250815_ETF_Options_Exhibits'!W2396:W2400),"")</f>
        <v/>
      </c>
      <c r="X2400" s="3">
        <f>IF(ISNUMBER(AVERAGE('20250815_ETF_Options_Exhibits'!X2396:X2400)),AVERAGE('20250815_ETF_Options_Exhibits'!X2396:X2400),"")</f>
        <v/>
      </c>
      <c r="Y2400" s="3">
        <f>IF(ISNUMBER(AVERAGE('20250815_ETF_Options_Exhibits'!Y2396:Y2400)),AVERAGE('20250815_ETF_Options_Exhibits'!Y2396:Y2400),"")</f>
        <v/>
      </c>
      <c r="Z2400" s="3">
        <f>IF(ISNUMBER(AVERAGE('20250815_ETF_Options_Exhibits'!Z2396:Z2400)),AVERAGE('20250815_ETF_Options_Exhibits'!Z2396:Z2400),"")</f>
        <v/>
      </c>
      <c r="AA2400" s="3">
        <f>IF(ISNUMBER(AVERAGE('20250815_ETF_Options_Exhibits'!AA2396:AA2400)),AVERAGE('20250815_ETF_Options_Exhibits'!AA2396:AA2400),"")</f>
        <v/>
      </c>
    </row>
    <row r="2401">
      <c r="A2401" s="1" t="n">
        <v>45489</v>
      </c>
      <c r="B2401" s="3">
        <f>IF(ISNUMBER(AVERAGE('20250815_ETF_Options_Exhibits'!B2397:B2401)),AVERAGE('20250815_ETF_Options_Exhibits'!B2397:B2401),"")</f>
        <v/>
      </c>
      <c r="C2401" s="3">
        <f>IF(ISNUMBER(AVERAGE('20250815_ETF_Options_Exhibits'!C2397:C2401)),AVERAGE('20250815_ETF_Options_Exhibits'!C2397:C2401),"")</f>
        <v/>
      </c>
      <c r="D2401" s="3">
        <f>IF(ISNUMBER(AVERAGE('20250815_ETF_Options_Exhibits'!D2397:D2401)),AVERAGE('20250815_ETF_Options_Exhibits'!D2397:D2401),"")</f>
        <v/>
      </c>
      <c r="E2401" s="3">
        <f>IF(ISNUMBER(AVERAGE('20250815_ETF_Options_Exhibits'!E2397:E2401)),AVERAGE('20250815_ETF_Options_Exhibits'!E2397:E2401),"")</f>
        <v/>
      </c>
      <c r="F2401" s="3">
        <f>IF(ISNUMBER(AVERAGE('20250815_ETF_Options_Exhibits'!F2397:F2401)),AVERAGE('20250815_ETF_Options_Exhibits'!F2397:F2401),"")</f>
        <v/>
      </c>
      <c r="G2401" s="3">
        <f>IF(ISNUMBER(AVERAGE('20250815_ETF_Options_Exhibits'!G2397:G2401)),AVERAGE('20250815_ETF_Options_Exhibits'!G2397:G2401),"")</f>
        <v/>
      </c>
      <c r="H2401" s="3">
        <f>IF(ISNUMBER(AVERAGE('20250815_ETF_Options_Exhibits'!H2397:H2401)),AVERAGE('20250815_ETF_Options_Exhibits'!H2397:H2401),"")</f>
        <v/>
      </c>
      <c r="I2401" s="3">
        <f>IF(ISNUMBER(AVERAGE('20250815_ETF_Options_Exhibits'!I2397:I2401)),AVERAGE('20250815_ETF_Options_Exhibits'!I2397:I2401),"")</f>
        <v/>
      </c>
      <c r="J2401" s="3">
        <f>IF(ISNUMBER(AVERAGE('20250815_ETF_Options_Exhibits'!J2397:J2401)),AVERAGE('20250815_ETF_Options_Exhibits'!J2397:J2401),"")</f>
        <v/>
      </c>
      <c r="K2401" s="3">
        <f>IF(ISNUMBER(AVERAGE('20250815_ETF_Options_Exhibits'!K2397:K2401)),AVERAGE('20250815_ETF_Options_Exhibits'!K2397:K2401),"")</f>
        <v/>
      </c>
      <c r="L2401" s="3">
        <f>IF(ISNUMBER(AVERAGE('20250815_ETF_Options_Exhibits'!L2397:L2401)),AVERAGE('20250815_ETF_Options_Exhibits'!L2397:L2401),"")</f>
        <v/>
      </c>
      <c r="M2401" s="3">
        <f>IF(ISNUMBER(AVERAGE('20250815_ETF_Options_Exhibits'!M2397:M2401)),AVERAGE('20250815_ETF_Options_Exhibits'!M2397:M2401),"")</f>
        <v/>
      </c>
      <c r="N2401" s="3">
        <f>IF(ISNUMBER(AVERAGE('20250815_ETF_Options_Exhibits'!N2397:N2401)),AVERAGE('20250815_ETF_Options_Exhibits'!N2397:N2401),"")</f>
        <v/>
      </c>
      <c r="O2401" s="3">
        <f>IF(ISNUMBER(AVERAGE('20250815_ETF_Options_Exhibits'!O2397:O2401)),AVERAGE('20250815_ETF_Options_Exhibits'!O2397:O2401),"")</f>
        <v/>
      </c>
      <c r="P2401" s="3">
        <f>IF(ISNUMBER(AVERAGE('20250815_ETF_Options_Exhibits'!P2397:P2401)),AVERAGE('20250815_ETF_Options_Exhibits'!P2397:P2401),"")</f>
        <v/>
      </c>
      <c r="Q2401" s="3">
        <f>IF(ISNUMBER(AVERAGE('20250815_ETF_Options_Exhibits'!Q2397:Q2401)),AVERAGE('20250815_ETF_Options_Exhibits'!Q2397:Q2401),"")</f>
        <v/>
      </c>
      <c r="R2401" s="3">
        <f>IF(ISNUMBER(AVERAGE('20250815_ETF_Options_Exhibits'!R2397:R2401)),AVERAGE('20250815_ETF_Options_Exhibits'!R2397:R2401),"")</f>
        <v/>
      </c>
      <c r="S2401" s="3">
        <f>IF(ISNUMBER(AVERAGE('20250815_ETF_Options_Exhibits'!S2397:S2401)),AVERAGE('20250815_ETF_Options_Exhibits'!S2397:S2401),"")</f>
        <v/>
      </c>
      <c r="T2401" s="3">
        <f>IF(ISNUMBER(AVERAGE('20250815_ETF_Options_Exhibits'!T2397:T2401)),AVERAGE('20250815_ETF_Options_Exhibits'!T2397:T2401),"")</f>
        <v/>
      </c>
      <c r="U2401" s="3">
        <f>IF(ISNUMBER(AVERAGE('20250815_ETF_Options_Exhibits'!U2397:U2401)),AVERAGE('20250815_ETF_Options_Exhibits'!U2397:U2401),"")</f>
        <v/>
      </c>
      <c r="V2401" s="3">
        <f>IF(ISNUMBER(AVERAGE('20250815_ETF_Options_Exhibits'!V2397:V2401)),AVERAGE('20250815_ETF_Options_Exhibits'!V2397:V2401),"")</f>
        <v/>
      </c>
      <c r="W2401" s="3">
        <f>IF(ISNUMBER(AVERAGE('20250815_ETF_Options_Exhibits'!W2397:W2401)),AVERAGE('20250815_ETF_Options_Exhibits'!W2397:W2401),"")</f>
        <v/>
      </c>
      <c r="X2401" s="3">
        <f>IF(ISNUMBER(AVERAGE('20250815_ETF_Options_Exhibits'!X2397:X2401)),AVERAGE('20250815_ETF_Options_Exhibits'!X2397:X2401),"")</f>
        <v/>
      </c>
      <c r="Y2401" s="3">
        <f>IF(ISNUMBER(AVERAGE('20250815_ETF_Options_Exhibits'!Y2397:Y2401)),AVERAGE('20250815_ETF_Options_Exhibits'!Y2397:Y2401),"")</f>
        <v/>
      </c>
      <c r="Z2401" s="3">
        <f>IF(ISNUMBER(AVERAGE('20250815_ETF_Options_Exhibits'!Z2397:Z2401)),AVERAGE('20250815_ETF_Options_Exhibits'!Z2397:Z2401),"")</f>
        <v/>
      </c>
      <c r="AA2401" s="3">
        <f>IF(ISNUMBER(AVERAGE('20250815_ETF_Options_Exhibits'!AA2397:AA2401)),AVERAGE('20250815_ETF_Options_Exhibits'!AA2397:AA2401),"")</f>
        <v/>
      </c>
    </row>
    <row r="2402">
      <c r="A2402" s="1" t="n">
        <v>45490</v>
      </c>
      <c r="B2402" s="3">
        <f>IF(ISNUMBER(AVERAGE('20250815_ETF_Options_Exhibits'!B2398:B2402)),AVERAGE('20250815_ETF_Options_Exhibits'!B2398:B2402),"")</f>
        <v/>
      </c>
      <c r="C2402" s="3">
        <f>IF(ISNUMBER(AVERAGE('20250815_ETF_Options_Exhibits'!C2398:C2402)),AVERAGE('20250815_ETF_Options_Exhibits'!C2398:C2402),"")</f>
        <v/>
      </c>
      <c r="D2402" s="3">
        <f>IF(ISNUMBER(AVERAGE('20250815_ETF_Options_Exhibits'!D2398:D2402)),AVERAGE('20250815_ETF_Options_Exhibits'!D2398:D2402),"")</f>
        <v/>
      </c>
      <c r="E2402" s="3">
        <f>IF(ISNUMBER(AVERAGE('20250815_ETF_Options_Exhibits'!E2398:E2402)),AVERAGE('20250815_ETF_Options_Exhibits'!E2398:E2402),"")</f>
        <v/>
      </c>
      <c r="F2402" s="3">
        <f>IF(ISNUMBER(AVERAGE('20250815_ETF_Options_Exhibits'!F2398:F2402)),AVERAGE('20250815_ETF_Options_Exhibits'!F2398:F2402),"")</f>
        <v/>
      </c>
      <c r="G2402" s="3">
        <f>IF(ISNUMBER(AVERAGE('20250815_ETF_Options_Exhibits'!G2398:G2402)),AVERAGE('20250815_ETF_Options_Exhibits'!G2398:G2402),"")</f>
        <v/>
      </c>
      <c r="H2402" s="3">
        <f>IF(ISNUMBER(AVERAGE('20250815_ETF_Options_Exhibits'!H2398:H2402)),AVERAGE('20250815_ETF_Options_Exhibits'!H2398:H2402),"")</f>
        <v/>
      </c>
      <c r="I2402" s="3">
        <f>IF(ISNUMBER(AVERAGE('20250815_ETF_Options_Exhibits'!I2398:I2402)),AVERAGE('20250815_ETF_Options_Exhibits'!I2398:I2402),"")</f>
        <v/>
      </c>
      <c r="J2402" s="3">
        <f>IF(ISNUMBER(AVERAGE('20250815_ETF_Options_Exhibits'!J2398:J2402)),AVERAGE('20250815_ETF_Options_Exhibits'!J2398:J2402),"")</f>
        <v/>
      </c>
      <c r="K2402" s="3">
        <f>IF(ISNUMBER(AVERAGE('20250815_ETF_Options_Exhibits'!K2398:K2402)),AVERAGE('20250815_ETF_Options_Exhibits'!K2398:K2402),"")</f>
        <v/>
      </c>
      <c r="L2402" s="3">
        <f>IF(ISNUMBER(AVERAGE('20250815_ETF_Options_Exhibits'!L2398:L2402)),AVERAGE('20250815_ETF_Options_Exhibits'!L2398:L2402),"")</f>
        <v/>
      </c>
      <c r="M2402" s="3">
        <f>IF(ISNUMBER(AVERAGE('20250815_ETF_Options_Exhibits'!M2398:M2402)),AVERAGE('20250815_ETF_Options_Exhibits'!M2398:M2402),"")</f>
        <v/>
      </c>
      <c r="N2402" s="3">
        <f>IF(ISNUMBER(AVERAGE('20250815_ETF_Options_Exhibits'!N2398:N2402)),AVERAGE('20250815_ETF_Options_Exhibits'!N2398:N2402),"")</f>
        <v/>
      </c>
      <c r="O2402" s="3">
        <f>IF(ISNUMBER(AVERAGE('20250815_ETF_Options_Exhibits'!O2398:O2402)),AVERAGE('20250815_ETF_Options_Exhibits'!O2398:O2402),"")</f>
        <v/>
      </c>
      <c r="P2402" s="3">
        <f>IF(ISNUMBER(AVERAGE('20250815_ETF_Options_Exhibits'!P2398:P2402)),AVERAGE('20250815_ETF_Options_Exhibits'!P2398:P2402),"")</f>
        <v/>
      </c>
      <c r="Q2402" s="3">
        <f>IF(ISNUMBER(AVERAGE('20250815_ETF_Options_Exhibits'!Q2398:Q2402)),AVERAGE('20250815_ETF_Options_Exhibits'!Q2398:Q2402),"")</f>
        <v/>
      </c>
      <c r="R2402" s="3">
        <f>IF(ISNUMBER(AVERAGE('20250815_ETF_Options_Exhibits'!R2398:R2402)),AVERAGE('20250815_ETF_Options_Exhibits'!R2398:R2402),"")</f>
        <v/>
      </c>
      <c r="S2402" s="3">
        <f>IF(ISNUMBER(AVERAGE('20250815_ETF_Options_Exhibits'!S2398:S2402)),AVERAGE('20250815_ETF_Options_Exhibits'!S2398:S2402),"")</f>
        <v/>
      </c>
      <c r="T2402" s="3">
        <f>IF(ISNUMBER(AVERAGE('20250815_ETF_Options_Exhibits'!T2398:T2402)),AVERAGE('20250815_ETF_Options_Exhibits'!T2398:T2402),"")</f>
        <v/>
      </c>
      <c r="U2402" s="3">
        <f>IF(ISNUMBER(AVERAGE('20250815_ETF_Options_Exhibits'!U2398:U2402)),AVERAGE('20250815_ETF_Options_Exhibits'!U2398:U2402),"")</f>
        <v/>
      </c>
      <c r="V2402" s="3">
        <f>IF(ISNUMBER(AVERAGE('20250815_ETF_Options_Exhibits'!V2398:V2402)),AVERAGE('20250815_ETF_Options_Exhibits'!V2398:V2402),"")</f>
        <v/>
      </c>
      <c r="W2402" s="3">
        <f>IF(ISNUMBER(AVERAGE('20250815_ETF_Options_Exhibits'!W2398:W2402)),AVERAGE('20250815_ETF_Options_Exhibits'!W2398:W2402),"")</f>
        <v/>
      </c>
      <c r="X2402" s="3">
        <f>IF(ISNUMBER(AVERAGE('20250815_ETF_Options_Exhibits'!X2398:X2402)),AVERAGE('20250815_ETF_Options_Exhibits'!X2398:X2402),"")</f>
        <v/>
      </c>
      <c r="Y2402" s="3">
        <f>IF(ISNUMBER(AVERAGE('20250815_ETF_Options_Exhibits'!Y2398:Y2402)),AVERAGE('20250815_ETF_Options_Exhibits'!Y2398:Y2402),"")</f>
        <v/>
      </c>
      <c r="Z2402" s="3">
        <f>IF(ISNUMBER(AVERAGE('20250815_ETF_Options_Exhibits'!Z2398:Z2402)),AVERAGE('20250815_ETF_Options_Exhibits'!Z2398:Z2402),"")</f>
        <v/>
      </c>
      <c r="AA2402" s="3">
        <f>IF(ISNUMBER(AVERAGE('20250815_ETF_Options_Exhibits'!AA2398:AA2402)),AVERAGE('20250815_ETF_Options_Exhibits'!AA2398:AA2402),"")</f>
        <v/>
      </c>
    </row>
    <row r="2403">
      <c r="A2403" s="1" t="n">
        <v>45491</v>
      </c>
      <c r="B2403" s="3">
        <f>IF(ISNUMBER(AVERAGE('20250815_ETF_Options_Exhibits'!B2399:B2403)),AVERAGE('20250815_ETF_Options_Exhibits'!B2399:B2403),"")</f>
        <v/>
      </c>
      <c r="C2403" s="3">
        <f>IF(ISNUMBER(AVERAGE('20250815_ETF_Options_Exhibits'!C2399:C2403)),AVERAGE('20250815_ETF_Options_Exhibits'!C2399:C2403),"")</f>
        <v/>
      </c>
      <c r="D2403" s="3">
        <f>IF(ISNUMBER(AVERAGE('20250815_ETF_Options_Exhibits'!D2399:D2403)),AVERAGE('20250815_ETF_Options_Exhibits'!D2399:D2403),"")</f>
        <v/>
      </c>
      <c r="E2403" s="3">
        <f>IF(ISNUMBER(AVERAGE('20250815_ETF_Options_Exhibits'!E2399:E2403)),AVERAGE('20250815_ETF_Options_Exhibits'!E2399:E2403),"")</f>
        <v/>
      </c>
      <c r="F2403" s="3">
        <f>IF(ISNUMBER(AVERAGE('20250815_ETF_Options_Exhibits'!F2399:F2403)),AVERAGE('20250815_ETF_Options_Exhibits'!F2399:F2403),"")</f>
        <v/>
      </c>
      <c r="G2403" s="3">
        <f>IF(ISNUMBER(AVERAGE('20250815_ETF_Options_Exhibits'!G2399:G2403)),AVERAGE('20250815_ETF_Options_Exhibits'!G2399:G2403),"")</f>
        <v/>
      </c>
      <c r="H2403" s="3">
        <f>IF(ISNUMBER(AVERAGE('20250815_ETF_Options_Exhibits'!H2399:H2403)),AVERAGE('20250815_ETF_Options_Exhibits'!H2399:H2403),"")</f>
        <v/>
      </c>
      <c r="I2403" s="3">
        <f>IF(ISNUMBER(AVERAGE('20250815_ETF_Options_Exhibits'!I2399:I2403)),AVERAGE('20250815_ETF_Options_Exhibits'!I2399:I2403),"")</f>
        <v/>
      </c>
      <c r="J2403" s="3">
        <f>IF(ISNUMBER(AVERAGE('20250815_ETF_Options_Exhibits'!J2399:J2403)),AVERAGE('20250815_ETF_Options_Exhibits'!J2399:J2403),"")</f>
        <v/>
      </c>
      <c r="K2403" s="3">
        <f>IF(ISNUMBER(AVERAGE('20250815_ETF_Options_Exhibits'!K2399:K2403)),AVERAGE('20250815_ETF_Options_Exhibits'!K2399:K2403),"")</f>
        <v/>
      </c>
      <c r="L2403" s="3">
        <f>IF(ISNUMBER(AVERAGE('20250815_ETF_Options_Exhibits'!L2399:L2403)),AVERAGE('20250815_ETF_Options_Exhibits'!L2399:L2403),"")</f>
        <v/>
      </c>
      <c r="M2403" s="3">
        <f>IF(ISNUMBER(AVERAGE('20250815_ETF_Options_Exhibits'!M2399:M2403)),AVERAGE('20250815_ETF_Options_Exhibits'!M2399:M2403),"")</f>
        <v/>
      </c>
      <c r="N2403" s="3">
        <f>IF(ISNUMBER(AVERAGE('20250815_ETF_Options_Exhibits'!N2399:N2403)),AVERAGE('20250815_ETF_Options_Exhibits'!N2399:N2403),"")</f>
        <v/>
      </c>
      <c r="O2403" s="3">
        <f>IF(ISNUMBER(AVERAGE('20250815_ETF_Options_Exhibits'!O2399:O2403)),AVERAGE('20250815_ETF_Options_Exhibits'!O2399:O2403),"")</f>
        <v/>
      </c>
      <c r="P2403" s="3">
        <f>IF(ISNUMBER(AVERAGE('20250815_ETF_Options_Exhibits'!P2399:P2403)),AVERAGE('20250815_ETF_Options_Exhibits'!P2399:P2403),"")</f>
        <v/>
      </c>
      <c r="Q2403" s="3">
        <f>IF(ISNUMBER(AVERAGE('20250815_ETF_Options_Exhibits'!Q2399:Q2403)),AVERAGE('20250815_ETF_Options_Exhibits'!Q2399:Q2403),"")</f>
        <v/>
      </c>
      <c r="R2403" s="3">
        <f>IF(ISNUMBER(AVERAGE('20250815_ETF_Options_Exhibits'!R2399:R2403)),AVERAGE('20250815_ETF_Options_Exhibits'!R2399:R2403),"")</f>
        <v/>
      </c>
      <c r="S2403" s="3">
        <f>IF(ISNUMBER(AVERAGE('20250815_ETF_Options_Exhibits'!S2399:S2403)),AVERAGE('20250815_ETF_Options_Exhibits'!S2399:S2403),"")</f>
        <v/>
      </c>
      <c r="T2403" s="3">
        <f>IF(ISNUMBER(AVERAGE('20250815_ETF_Options_Exhibits'!T2399:T2403)),AVERAGE('20250815_ETF_Options_Exhibits'!T2399:T2403),"")</f>
        <v/>
      </c>
      <c r="U2403" s="3">
        <f>IF(ISNUMBER(AVERAGE('20250815_ETF_Options_Exhibits'!U2399:U2403)),AVERAGE('20250815_ETF_Options_Exhibits'!U2399:U2403),"")</f>
        <v/>
      </c>
      <c r="V2403" s="3">
        <f>IF(ISNUMBER(AVERAGE('20250815_ETF_Options_Exhibits'!V2399:V2403)),AVERAGE('20250815_ETF_Options_Exhibits'!V2399:V2403),"")</f>
        <v/>
      </c>
      <c r="W2403" s="3">
        <f>IF(ISNUMBER(AVERAGE('20250815_ETF_Options_Exhibits'!W2399:W2403)),AVERAGE('20250815_ETF_Options_Exhibits'!W2399:W2403),"")</f>
        <v/>
      </c>
      <c r="X2403" s="3">
        <f>IF(ISNUMBER(AVERAGE('20250815_ETF_Options_Exhibits'!X2399:X2403)),AVERAGE('20250815_ETF_Options_Exhibits'!X2399:X2403),"")</f>
        <v/>
      </c>
      <c r="Y2403" s="3">
        <f>IF(ISNUMBER(AVERAGE('20250815_ETF_Options_Exhibits'!Y2399:Y2403)),AVERAGE('20250815_ETF_Options_Exhibits'!Y2399:Y2403),"")</f>
        <v/>
      </c>
      <c r="Z2403" s="3">
        <f>IF(ISNUMBER(AVERAGE('20250815_ETF_Options_Exhibits'!Z2399:Z2403)),AVERAGE('20250815_ETF_Options_Exhibits'!Z2399:Z2403),"")</f>
        <v/>
      </c>
      <c r="AA2403" s="3">
        <f>IF(ISNUMBER(AVERAGE('20250815_ETF_Options_Exhibits'!AA2399:AA2403)),AVERAGE('20250815_ETF_Options_Exhibits'!AA2399:AA2403),"")</f>
        <v/>
      </c>
    </row>
    <row r="2404">
      <c r="A2404" s="1" t="n">
        <v>45492</v>
      </c>
      <c r="B2404" s="3">
        <f>IF(ISNUMBER(AVERAGE('20250815_ETF_Options_Exhibits'!B2400:B2404)),AVERAGE('20250815_ETF_Options_Exhibits'!B2400:B2404),"")</f>
        <v/>
      </c>
      <c r="C2404" s="3">
        <f>IF(ISNUMBER(AVERAGE('20250815_ETF_Options_Exhibits'!C2400:C2404)),AVERAGE('20250815_ETF_Options_Exhibits'!C2400:C2404),"")</f>
        <v/>
      </c>
      <c r="D2404" s="3">
        <f>IF(ISNUMBER(AVERAGE('20250815_ETF_Options_Exhibits'!D2400:D2404)),AVERAGE('20250815_ETF_Options_Exhibits'!D2400:D2404),"")</f>
        <v/>
      </c>
      <c r="E2404" s="3">
        <f>IF(ISNUMBER(AVERAGE('20250815_ETF_Options_Exhibits'!E2400:E2404)),AVERAGE('20250815_ETF_Options_Exhibits'!E2400:E2404),"")</f>
        <v/>
      </c>
      <c r="F2404" s="3">
        <f>IF(ISNUMBER(AVERAGE('20250815_ETF_Options_Exhibits'!F2400:F2404)),AVERAGE('20250815_ETF_Options_Exhibits'!F2400:F2404),"")</f>
        <v/>
      </c>
      <c r="G2404" s="3">
        <f>IF(ISNUMBER(AVERAGE('20250815_ETF_Options_Exhibits'!G2400:G2404)),AVERAGE('20250815_ETF_Options_Exhibits'!G2400:G2404),"")</f>
        <v/>
      </c>
      <c r="H2404" s="3">
        <f>IF(ISNUMBER(AVERAGE('20250815_ETF_Options_Exhibits'!H2400:H2404)),AVERAGE('20250815_ETF_Options_Exhibits'!H2400:H2404),"")</f>
        <v/>
      </c>
      <c r="I2404" s="3">
        <f>IF(ISNUMBER(AVERAGE('20250815_ETF_Options_Exhibits'!I2400:I2404)),AVERAGE('20250815_ETF_Options_Exhibits'!I2400:I2404),"")</f>
        <v/>
      </c>
      <c r="J2404" s="3">
        <f>IF(ISNUMBER(AVERAGE('20250815_ETF_Options_Exhibits'!J2400:J2404)),AVERAGE('20250815_ETF_Options_Exhibits'!J2400:J2404),"")</f>
        <v/>
      </c>
      <c r="K2404" s="3">
        <f>IF(ISNUMBER(AVERAGE('20250815_ETF_Options_Exhibits'!K2400:K2404)),AVERAGE('20250815_ETF_Options_Exhibits'!K2400:K2404),"")</f>
        <v/>
      </c>
      <c r="L2404" s="3">
        <f>IF(ISNUMBER(AVERAGE('20250815_ETF_Options_Exhibits'!L2400:L2404)),AVERAGE('20250815_ETF_Options_Exhibits'!L2400:L2404),"")</f>
        <v/>
      </c>
      <c r="M2404" s="3">
        <f>IF(ISNUMBER(AVERAGE('20250815_ETF_Options_Exhibits'!M2400:M2404)),AVERAGE('20250815_ETF_Options_Exhibits'!M2400:M2404),"")</f>
        <v/>
      </c>
      <c r="N2404" s="3">
        <f>IF(ISNUMBER(AVERAGE('20250815_ETF_Options_Exhibits'!N2400:N2404)),AVERAGE('20250815_ETF_Options_Exhibits'!N2400:N2404),"")</f>
        <v/>
      </c>
      <c r="O2404" s="3">
        <f>IF(ISNUMBER(AVERAGE('20250815_ETF_Options_Exhibits'!O2400:O2404)),AVERAGE('20250815_ETF_Options_Exhibits'!O2400:O2404),"")</f>
        <v/>
      </c>
      <c r="P2404" s="3">
        <f>IF(ISNUMBER(AVERAGE('20250815_ETF_Options_Exhibits'!P2400:P2404)),AVERAGE('20250815_ETF_Options_Exhibits'!P2400:P2404),"")</f>
        <v/>
      </c>
      <c r="Q2404" s="3">
        <f>IF(ISNUMBER(AVERAGE('20250815_ETF_Options_Exhibits'!Q2400:Q2404)),AVERAGE('20250815_ETF_Options_Exhibits'!Q2400:Q2404),"")</f>
        <v/>
      </c>
      <c r="R2404" s="3">
        <f>IF(ISNUMBER(AVERAGE('20250815_ETF_Options_Exhibits'!R2400:R2404)),AVERAGE('20250815_ETF_Options_Exhibits'!R2400:R2404),"")</f>
        <v/>
      </c>
      <c r="S2404" s="3">
        <f>IF(ISNUMBER(AVERAGE('20250815_ETF_Options_Exhibits'!S2400:S2404)),AVERAGE('20250815_ETF_Options_Exhibits'!S2400:S2404),"")</f>
        <v/>
      </c>
      <c r="T2404" s="3">
        <f>IF(ISNUMBER(AVERAGE('20250815_ETF_Options_Exhibits'!T2400:T2404)),AVERAGE('20250815_ETF_Options_Exhibits'!T2400:T2404),"")</f>
        <v/>
      </c>
      <c r="U2404" s="3">
        <f>IF(ISNUMBER(AVERAGE('20250815_ETF_Options_Exhibits'!U2400:U2404)),AVERAGE('20250815_ETF_Options_Exhibits'!U2400:U2404),"")</f>
        <v/>
      </c>
      <c r="V2404" s="3">
        <f>IF(ISNUMBER(AVERAGE('20250815_ETF_Options_Exhibits'!V2400:V2404)),AVERAGE('20250815_ETF_Options_Exhibits'!V2400:V2404),"")</f>
        <v/>
      </c>
      <c r="W2404" s="3">
        <f>IF(ISNUMBER(AVERAGE('20250815_ETF_Options_Exhibits'!W2400:W2404)),AVERAGE('20250815_ETF_Options_Exhibits'!W2400:W2404),"")</f>
        <v/>
      </c>
      <c r="X2404" s="3">
        <f>IF(ISNUMBER(AVERAGE('20250815_ETF_Options_Exhibits'!X2400:X2404)),AVERAGE('20250815_ETF_Options_Exhibits'!X2400:X2404),"")</f>
        <v/>
      </c>
      <c r="Y2404" s="3">
        <f>IF(ISNUMBER(AVERAGE('20250815_ETF_Options_Exhibits'!Y2400:Y2404)),AVERAGE('20250815_ETF_Options_Exhibits'!Y2400:Y2404),"")</f>
        <v/>
      </c>
      <c r="Z2404" s="3">
        <f>IF(ISNUMBER(AVERAGE('20250815_ETF_Options_Exhibits'!Z2400:Z2404)),AVERAGE('20250815_ETF_Options_Exhibits'!Z2400:Z2404),"")</f>
        <v/>
      </c>
      <c r="AA2404" s="3">
        <f>IF(ISNUMBER(AVERAGE('20250815_ETF_Options_Exhibits'!AA2400:AA2404)),AVERAGE('20250815_ETF_Options_Exhibits'!AA2400:AA2404),"")</f>
        <v/>
      </c>
    </row>
    <row r="2405">
      <c r="A2405" s="1" t="n">
        <v>45495</v>
      </c>
      <c r="B2405" s="3">
        <f>IF(ISNUMBER(AVERAGE('20250815_ETF_Options_Exhibits'!B2401:B2405)),AVERAGE('20250815_ETF_Options_Exhibits'!B2401:B2405),"")</f>
        <v/>
      </c>
      <c r="C2405" s="3">
        <f>IF(ISNUMBER(AVERAGE('20250815_ETF_Options_Exhibits'!C2401:C2405)),AVERAGE('20250815_ETF_Options_Exhibits'!C2401:C2405),"")</f>
        <v/>
      </c>
      <c r="D2405" s="3">
        <f>IF(ISNUMBER(AVERAGE('20250815_ETF_Options_Exhibits'!D2401:D2405)),AVERAGE('20250815_ETF_Options_Exhibits'!D2401:D2405),"")</f>
        <v/>
      </c>
      <c r="E2405" s="3">
        <f>IF(ISNUMBER(AVERAGE('20250815_ETF_Options_Exhibits'!E2401:E2405)),AVERAGE('20250815_ETF_Options_Exhibits'!E2401:E2405),"")</f>
        <v/>
      </c>
      <c r="F2405" s="3">
        <f>IF(ISNUMBER(AVERAGE('20250815_ETF_Options_Exhibits'!F2401:F2405)),AVERAGE('20250815_ETF_Options_Exhibits'!F2401:F2405),"")</f>
        <v/>
      </c>
      <c r="G2405" s="3">
        <f>IF(ISNUMBER(AVERAGE('20250815_ETF_Options_Exhibits'!G2401:G2405)),AVERAGE('20250815_ETF_Options_Exhibits'!G2401:G2405),"")</f>
        <v/>
      </c>
      <c r="H2405" s="3">
        <f>IF(ISNUMBER(AVERAGE('20250815_ETF_Options_Exhibits'!H2401:H2405)),AVERAGE('20250815_ETF_Options_Exhibits'!H2401:H2405),"")</f>
        <v/>
      </c>
      <c r="I2405" s="3">
        <f>IF(ISNUMBER(AVERAGE('20250815_ETF_Options_Exhibits'!I2401:I2405)),AVERAGE('20250815_ETF_Options_Exhibits'!I2401:I2405),"")</f>
        <v/>
      </c>
      <c r="J2405" s="3">
        <f>IF(ISNUMBER(AVERAGE('20250815_ETF_Options_Exhibits'!J2401:J2405)),AVERAGE('20250815_ETF_Options_Exhibits'!J2401:J2405),"")</f>
        <v/>
      </c>
      <c r="K2405" s="3">
        <f>IF(ISNUMBER(AVERAGE('20250815_ETF_Options_Exhibits'!K2401:K2405)),AVERAGE('20250815_ETF_Options_Exhibits'!K2401:K2405),"")</f>
        <v/>
      </c>
      <c r="L2405" s="3">
        <f>IF(ISNUMBER(AVERAGE('20250815_ETF_Options_Exhibits'!L2401:L2405)),AVERAGE('20250815_ETF_Options_Exhibits'!L2401:L2405),"")</f>
        <v/>
      </c>
      <c r="M2405" s="3">
        <f>IF(ISNUMBER(AVERAGE('20250815_ETF_Options_Exhibits'!M2401:M2405)),AVERAGE('20250815_ETF_Options_Exhibits'!M2401:M2405),"")</f>
        <v/>
      </c>
      <c r="N2405" s="3">
        <f>IF(ISNUMBER(AVERAGE('20250815_ETF_Options_Exhibits'!N2401:N2405)),AVERAGE('20250815_ETF_Options_Exhibits'!N2401:N2405),"")</f>
        <v/>
      </c>
      <c r="O2405" s="3">
        <f>IF(ISNUMBER(AVERAGE('20250815_ETF_Options_Exhibits'!O2401:O2405)),AVERAGE('20250815_ETF_Options_Exhibits'!O2401:O2405),"")</f>
        <v/>
      </c>
      <c r="P2405" s="3">
        <f>IF(ISNUMBER(AVERAGE('20250815_ETF_Options_Exhibits'!P2401:P2405)),AVERAGE('20250815_ETF_Options_Exhibits'!P2401:P2405),"")</f>
        <v/>
      </c>
      <c r="Q2405" s="3">
        <f>IF(ISNUMBER(AVERAGE('20250815_ETF_Options_Exhibits'!Q2401:Q2405)),AVERAGE('20250815_ETF_Options_Exhibits'!Q2401:Q2405),"")</f>
        <v/>
      </c>
      <c r="R2405" s="3">
        <f>IF(ISNUMBER(AVERAGE('20250815_ETF_Options_Exhibits'!R2401:R2405)),AVERAGE('20250815_ETF_Options_Exhibits'!R2401:R2405),"")</f>
        <v/>
      </c>
      <c r="S2405" s="3">
        <f>IF(ISNUMBER(AVERAGE('20250815_ETF_Options_Exhibits'!S2401:S2405)),AVERAGE('20250815_ETF_Options_Exhibits'!S2401:S2405),"")</f>
        <v/>
      </c>
      <c r="T2405" s="3">
        <f>IF(ISNUMBER(AVERAGE('20250815_ETF_Options_Exhibits'!T2401:T2405)),AVERAGE('20250815_ETF_Options_Exhibits'!T2401:T2405),"")</f>
        <v/>
      </c>
      <c r="U2405" s="3">
        <f>IF(ISNUMBER(AVERAGE('20250815_ETF_Options_Exhibits'!U2401:U2405)),AVERAGE('20250815_ETF_Options_Exhibits'!U2401:U2405),"")</f>
        <v/>
      </c>
      <c r="V2405" s="3">
        <f>IF(ISNUMBER(AVERAGE('20250815_ETF_Options_Exhibits'!V2401:V2405)),AVERAGE('20250815_ETF_Options_Exhibits'!V2401:V2405),"")</f>
        <v/>
      </c>
      <c r="W2405" s="3">
        <f>IF(ISNUMBER(AVERAGE('20250815_ETF_Options_Exhibits'!W2401:W2405)),AVERAGE('20250815_ETF_Options_Exhibits'!W2401:W2405),"")</f>
        <v/>
      </c>
      <c r="X2405" s="3">
        <f>IF(ISNUMBER(AVERAGE('20250815_ETF_Options_Exhibits'!X2401:X2405)),AVERAGE('20250815_ETF_Options_Exhibits'!X2401:X2405),"")</f>
        <v/>
      </c>
      <c r="Y2405" s="3">
        <f>IF(ISNUMBER(AVERAGE('20250815_ETF_Options_Exhibits'!Y2401:Y2405)),AVERAGE('20250815_ETF_Options_Exhibits'!Y2401:Y2405),"")</f>
        <v/>
      </c>
      <c r="Z2405" s="3">
        <f>IF(ISNUMBER(AVERAGE('20250815_ETF_Options_Exhibits'!Z2401:Z2405)),AVERAGE('20250815_ETF_Options_Exhibits'!Z2401:Z2405),"")</f>
        <v/>
      </c>
      <c r="AA2405" s="3">
        <f>IF(ISNUMBER(AVERAGE('20250815_ETF_Options_Exhibits'!AA2401:AA2405)),AVERAGE('20250815_ETF_Options_Exhibits'!AA2401:AA2405),"")</f>
        <v/>
      </c>
    </row>
    <row r="2406">
      <c r="A2406" s="1" t="n">
        <v>45496</v>
      </c>
      <c r="B2406" s="3">
        <f>IF(ISNUMBER(AVERAGE('20250815_ETF_Options_Exhibits'!B2402:B2406)),AVERAGE('20250815_ETF_Options_Exhibits'!B2402:B2406),"")</f>
        <v/>
      </c>
      <c r="C2406" s="3">
        <f>IF(ISNUMBER(AVERAGE('20250815_ETF_Options_Exhibits'!C2402:C2406)),AVERAGE('20250815_ETF_Options_Exhibits'!C2402:C2406),"")</f>
        <v/>
      </c>
      <c r="D2406" s="3">
        <f>IF(ISNUMBER(AVERAGE('20250815_ETF_Options_Exhibits'!D2402:D2406)),AVERAGE('20250815_ETF_Options_Exhibits'!D2402:D2406),"")</f>
        <v/>
      </c>
      <c r="E2406" s="3">
        <f>IF(ISNUMBER(AVERAGE('20250815_ETF_Options_Exhibits'!E2402:E2406)),AVERAGE('20250815_ETF_Options_Exhibits'!E2402:E2406),"")</f>
        <v/>
      </c>
      <c r="F2406" s="3">
        <f>IF(ISNUMBER(AVERAGE('20250815_ETF_Options_Exhibits'!F2402:F2406)),AVERAGE('20250815_ETF_Options_Exhibits'!F2402:F2406),"")</f>
        <v/>
      </c>
      <c r="G2406" s="3">
        <f>IF(ISNUMBER(AVERAGE('20250815_ETF_Options_Exhibits'!G2402:G2406)),AVERAGE('20250815_ETF_Options_Exhibits'!G2402:G2406),"")</f>
        <v/>
      </c>
      <c r="H2406" s="3">
        <f>IF(ISNUMBER(AVERAGE('20250815_ETF_Options_Exhibits'!H2402:H2406)),AVERAGE('20250815_ETF_Options_Exhibits'!H2402:H2406),"")</f>
        <v/>
      </c>
      <c r="I2406" s="3">
        <f>IF(ISNUMBER(AVERAGE('20250815_ETF_Options_Exhibits'!I2402:I2406)),AVERAGE('20250815_ETF_Options_Exhibits'!I2402:I2406),"")</f>
        <v/>
      </c>
      <c r="J2406" s="3">
        <f>IF(ISNUMBER(AVERAGE('20250815_ETF_Options_Exhibits'!J2402:J2406)),AVERAGE('20250815_ETF_Options_Exhibits'!J2402:J2406),"")</f>
        <v/>
      </c>
      <c r="K2406" s="3">
        <f>IF(ISNUMBER(AVERAGE('20250815_ETF_Options_Exhibits'!K2402:K2406)),AVERAGE('20250815_ETF_Options_Exhibits'!K2402:K2406),"")</f>
        <v/>
      </c>
      <c r="L2406" s="3">
        <f>IF(ISNUMBER(AVERAGE('20250815_ETF_Options_Exhibits'!L2402:L2406)),AVERAGE('20250815_ETF_Options_Exhibits'!L2402:L2406),"")</f>
        <v/>
      </c>
      <c r="M2406" s="3">
        <f>IF(ISNUMBER(AVERAGE('20250815_ETF_Options_Exhibits'!M2402:M2406)),AVERAGE('20250815_ETF_Options_Exhibits'!M2402:M2406),"")</f>
        <v/>
      </c>
      <c r="N2406" s="3">
        <f>IF(ISNUMBER(AVERAGE('20250815_ETF_Options_Exhibits'!N2402:N2406)),AVERAGE('20250815_ETF_Options_Exhibits'!N2402:N2406),"")</f>
        <v/>
      </c>
      <c r="O2406" s="3">
        <f>IF(ISNUMBER(AVERAGE('20250815_ETF_Options_Exhibits'!O2402:O2406)),AVERAGE('20250815_ETF_Options_Exhibits'!O2402:O2406),"")</f>
        <v/>
      </c>
      <c r="P2406" s="3">
        <f>IF(ISNUMBER(AVERAGE('20250815_ETF_Options_Exhibits'!P2402:P2406)),AVERAGE('20250815_ETF_Options_Exhibits'!P2402:P2406),"")</f>
        <v/>
      </c>
      <c r="Q2406" s="3">
        <f>IF(ISNUMBER(AVERAGE('20250815_ETF_Options_Exhibits'!Q2402:Q2406)),AVERAGE('20250815_ETF_Options_Exhibits'!Q2402:Q2406),"")</f>
        <v/>
      </c>
      <c r="R2406" s="3">
        <f>IF(ISNUMBER(AVERAGE('20250815_ETF_Options_Exhibits'!R2402:R2406)),AVERAGE('20250815_ETF_Options_Exhibits'!R2402:R2406),"")</f>
        <v/>
      </c>
      <c r="S2406" s="3">
        <f>IF(ISNUMBER(AVERAGE('20250815_ETF_Options_Exhibits'!S2402:S2406)),AVERAGE('20250815_ETF_Options_Exhibits'!S2402:S2406),"")</f>
        <v/>
      </c>
      <c r="T2406" s="3">
        <f>IF(ISNUMBER(AVERAGE('20250815_ETF_Options_Exhibits'!T2402:T2406)),AVERAGE('20250815_ETF_Options_Exhibits'!T2402:T2406),"")</f>
        <v/>
      </c>
      <c r="U2406" s="3">
        <f>IF(ISNUMBER(AVERAGE('20250815_ETF_Options_Exhibits'!U2402:U2406)),AVERAGE('20250815_ETF_Options_Exhibits'!U2402:U2406),"")</f>
        <v/>
      </c>
      <c r="V2406" s="3">
        <f>IF(ISNUMBER(AVERAGE('20250815_ETF_Options_Exhibits'!V2402:V2406)),AVERAGE('20250815_ETF_Options_Exhibits'!V2402:V2406),"")</f>
        <v/>
      </c>
      <c r="W2406" s="3">
        <f>IF(ISNUMBER(AVERAGE('20250815_ETF_Options_Exhibits'!W2402:W2406)),AVERAGE('20250815_ETF_Options_Exhibits'!W2402:W2406),"")</f>
        <v/>
      </c>
      <c r="X2406" s="3">
        <f>IF(ISNUMBER(AVERAGE('20250815_ETF_Options_Exhibits'!X2402:X2406)),AVERAGE('20250815_ETF_Options_Exhibits'!X2402:X2406),"")</f>
        <v/>
      </c>
      <c r="Y2406" s="3">
        <f>IF(ISNUMBER(AVERAGE('20250815_ETF_Options_Exhibits'!Y2402:Y2406)),AVERAGE('20250815_ETF_Options_Exhibits'!Y2402:Y2406),"")</f>
        <v/>
      </c>
      <c r="Z2406" s="3">
        <f>IF(ISNUMBER(AVERAGE('20250815_ETF_Options_Exhibits'!Z2402:Z2406)),AVERAGE('20250815_ETF_Options_Exhibits'!Z2402:Z2406),"")</f>
        <v/>
      </c>
      <c r="AA2406" s="3">
        <f>IF(ISNUMBER(AVERAGE('20250815_ETF_Options_Exhibits'!AA2402:AA2406)),AVERAGE('20250815_ETF_Options_Exhibits'!AA2402:AA2406),"")</f>
        <v/>
      </c>
    </row>
    <row r="2407">
      <c r="A2407" s="1" t="n">
        <v>45497</v>
      </c>
      <c r="B2407" s="3">
        <f>IF(ISNUMBER(AVERAGE('20250815_ETF_Options_Exhibits'!B2403:B2407)),AVERAGE('20250815_ETF_Options_Exhibits'!B2403:B2407),"")</f>
        <v/>
      </c>
      <c r="C2407" s="3">
        <f>IF(ISNUMBER(AVERAGE('20250815_ETF_Options_Exhibits'!C2403:C2407)),AVERAGE('20250815_ETF_Options_Exhibits'!C2403:C2407),"")</f>
        <v/>
      </c>
      <c r="D2407" s="3">
        <f>IF(ISNUMBER(AVERAGE('20250815_ETF_Options_Exhibits'!D2403:D2407)),AVERAGE('20250815_ETF_Options_Exhibits'!D2403:D2407),"")</f>
        <v/>
      </c>
      <c r="E2407" s="3">
        <f>IF(ISNUMBER(AVERAGE('20250815_ETF_Options_Exhibits'!E2403:E2407)),AVERAGE('20250815_ETF_Options_Exhibits'!E2403:E2407),"")</f>
        <v/>
      </c>
      <c r="F2407" s="3">
        <f>IF(ISNUMBER(AVERAGE('20250815_ETF_Options_Exhibits'!F2403:F2407)),AVERAGE('20250815_ETF_Options_Exhibits'!F2403:F2407),"")</f>
        <v/>
      </c>
      <c r="G2407" s="3">
        <f>IF(ISNUMBER(AVERAGE('20250815_ETF_Options_Exhibits'!G2403:G2407)),AVERAGE('20250815_ETF_Options_Exhibits'!G2403:G2407),"")</f>
        <v/>
      </c>
      <c r="H2407" s="3">
        <f>IF(ISNUMBER(AVERAGE('20250815_ETF_Options_Exhibits'!H2403:H2407)),AVERAGE('20250815_ETF_Options_Exhibits'!H2403:H2407),"")</f>
        <v/>
      </c>
      <c r="I2407" s="3">
        <f>IF(ISNUMBER(AVERAGE('20250815_ETF_Options_Exhibits'!I2403:I2407)),AVERAGE('20250815_ETF_Options_Exhibits'!I2403:I2407),"")</f>
        <v/>
      </c>
      <c r="J2407" s="3">
        <f>IF(ISNUMBER(AVERAGE('20250815_ETF_Options_Exhibits'!J2403:J2407)),AVERAGE('20250815_ETF_Options_Exhibits'!J2403:J2407),"")</f>
        <v/>
      </c>
      <c r="K2407" s="3">
        <f>IF(ISNUMBER(AVERAGE('20250815_ETF_Options_Exhibits'!K2403:K2407)),AVERAGE('20250815_ETF_Options_Exhibits'!K2403:K2407),"")</f>
        <v/>
      </c>
      <c r="L2407" s="3">
        <f>IF(ISNUMBER(AVERAGE('20250815_ETF_Options_Exhibits'!L2403:L2407)),AVERAGE('20250815_ETF_Options_Exhibits'!L2403:L2407),"")</f>
        <v/>
      </c>
      <c r="M2407" s="3">
        <f>IF(ISNUMBER(AVERAGE('20250815_ETF_Options_Exhibits'!M2403:M2407)),AVERAGE('20250815_ETF_Options_Exhibits'!M2403:M2407),"")</f>
        <v/>
      </c>
      <c r="N2407" s="3">
        <f>IF(ISNUMBER(AVERAGE('20250815_ETF_Options_Exhibits'!N2403:N2407)),AVERAGE('20250815_ETF_Options_Exhibits'!N2403:N2407),"")</f>
        <v/>
      </c>
      <c r="O2407" s="3">
        <f>IF(ISNUMBER(AVERAGE('20250815_ETF_Options_Exhibits'!O2403:O2407)),AVERAGE('20250815_ETF_Options_Exhibits'!O2403:O2407),"")</f>
        <v/>
      </c>
      <c r="P2407" s="3">
        <f>IF(ISNUMBER(AVERAGE('20250815_ETF_Options_Exhibits'!P2403:P2407)),AVERAGE('20250815_ETF_Options_Exhibits'!P2403:P2407),"")</f>
        <v/>
      </c>
      <c r="Q2407" s="3">
        <f>IF(ISNUMBER(AVERAGE('20250815_ETF_Options_Exhibits'!Q2403:Q2407)),AVERAGE('20250815_ETF_Options_Exhibits'!Q2403:Q2407),"")</f>
        <v/>
      </c>
      <c r="R2407" s="3">
        <f>IF(ISNUMBER(AVERAGE('20250815_ETF_Options_Exhibits'!R2403:R2407)),AVERAGE('20250815_ETF_Options_Exhibits'!R2403:R2407),"")</f>
        <v/>
      </c>
      <c r="S2407" s="3">
        <f>IF(ISNUMBER(AVERAGE('20250815_ETF_Options_Exhibits'!S2403:S2407)),AVERAGE('20250815_ETF_Options_Exhibits'!S2403:S2407),"")</f>
        <v/>
      </c>
      <c r="T2407" s="3">
        <f>IF(ISNUMBER(AVERAGE('20250815_ETF_Options_Exhibits'!T2403:T2407)),AVERAGE('20250815_ETF_Options_Exhibits'!T2403:T2407),"")</f>
        <v/>
      </c>
      <c r="U2407" s="3">
        <f>IF(ISNUMBER(AVERAGE('20250815_ETF_Options_Exhibits'!U2403:U2407)),AVERAGE('20250815_ETF_Options_Exhibits'!U2403:U2407),"")</f>
        <v/>
      </c>
      <c r="V2407" s="3">
        <f>IF(ISNUMBER(AVERAGE('20250815_ETF_Options_Exhibits'!V2403:V2407)),AVERAGE('20250815_ETF_Options_Exhibits'!V2403:V2407),"")</f>
        <v/>
      </c>
      <c r="W2407" s="3">
        <f>IF(ISNUMBER(AVERAGE('20250815_ETF_Options_Exhibits'!W2403:W2407)),AVERAGE('20250815_ETF_Options_Exhibits'!W2403:W2407),"")</f>
        <v/>
      </c>
      <c r="X2407" s="3">
        <f>IF(ISNUMBER(AVERAGE('20250815_ETF_Options_Exhibits'!X2403:X2407)),AVERAGE('20250815_ETF_Options_Exhibits'!X2403:X2407),"")</f>
        <v/>
      </c>
      <c r="Y2407" s="3">
        <f>IF(ISNUMBER(AVERAGE('20250815_ETF_Options_Exhibits'!Y2403:Y2407)),AVERAGE('20250815_ETF_Options_Exhibits'!Y2403:Y2407),"")</f>
        <v/>
      </c>
      <c r="Z2407" s="3">
        <f>IF(ISNUMBER(AVERAGE('20250815_ETF_Options_Exhibits'!Z2403:Z2407)),AVERAGE('20250815_ETF_Options_Exhibits'!Z2403:Z2407),"")</f>
        <v/>
      </c>
      <c r="AA2407" s="3">
        <f>IF(ISNUMBER(AVERAGE('20250815_ETF_Options_Exhibits'!AA2403:AA2407)),AVERAGE('20250815_ETF_Options_Exhibits'!AA2403:AA2407),"")</f>
        <v/>
      </c>
    </row>
    <row r="2408">
      <c r="A2408" s="1" t="n">
        <v>45498</v>
      </c>
      <c r="B2408" s="3">
        <f>IF(ISNUMBER(AVERAGE('20250815_ETF_Options_Exhibits'!B2404:B2408)),AVERAGE('20250815_ETF_Options_Exhibits'!B2404:B2408),"")</f>
        <v/>
      </c>
      <c r="C2408" s="3">
        <f>IF(ISNUMBER(AVERAGE('20250815_ETF_Options_Exhibits'!C2404:C2408)),AVERAGE('20250815_ETF_Options_Exhibits'!C2404:C2408),"")</f>
        <v/>
      </c>
      <c r="D2408" s="3">
        <f>IF(ISNUMBER(AVERAGE('20250815_ETF_Options_Exhibits'!D2404:D2408)),AVERAGE('20250815_ETF_Options_Exhibits'!D2404:D2408),"")</f>
        <v/>
      </c>
      <c r="E2408" s="3">
        <f>IF(ISNUMBER(AVERAGE('20250815_ETF_Options_Exhibits'!E2404:E2408)),AVERAGE('20250815_ETF_Options_Exhibits'!E2404:E2408),"")</f>
        <v/>
      </c>
      <c r="F2408" s="3">
        <f>IF(ISNUMBER(AVERAGE('20250815_ETF_Options_Exhibits'!F2404:F2408)),AVERAGE('20250815_ETF_Options_Exhibits'!F2404:F2408),"")</f>
        <v/>
      </c>
      <c r="G2408" s="3">
        <f>IF(ISNUMBER(AVERAGE('20250815_ETF_Options_Exhibits'!G2404:G2408)),AVERAGE('20250815_ETF_Options_Exhibits'!G2404:G2408),"")</f>
        <v/>
      </c>
      <c r="H2408" s="3">
        <f>IF(ISNUMBER(AVERAGE('20250815_ETF_Options_Exhibits'!H2404:H2408)),AVERAGE('20250815_ETF_Options_Exhibits'!H2404:H2408),"")</f>
        <v/>
      </c>
      <c r="I2408" s="3">
        <f>IF(ISNUMBER(AVERAGE('20250815_ETF_Options_Exhibits'!I2404:I2408)),AVERAGE('20250815_ETF_Options_Exhibits'!I2404:I2408),"")</f>
        <v/>
      </c>
      <c r="J2408" s="3">
        <f>IF(ISNUMBER(AVERAGE('20250815_ETF_Options_Exhibits'!J2404:J2408)),AVERAGE('20250815_ETF_Options_Exhibits'!J2404:J2408),"")</f>
        <v/>
      </c>
      <c r="K2408" s="3">
        <f>IF(ISNUMBER(AVERAGE('20250815_ETF_Options_Exhibits'!K2404:K2408)),AVERAGE('20250815_ETF_Options_Exhibits'!K2404:K2408),"")</f>
        <v/>
      </c>
      <c r="L2408" s="3">
        <f>IF(ISNUMBER(AVERAGE('20250815_ETF_Options_Exhibits'!L2404:L2408)),AVERAGE('20250815_ETF_Options_Exhibits'!L2404:L2408),"")</f>
        <v/>
      </c>
      <c r="M2408" s="3">
        <f>IF(ISNUMBER(AVERAGE('20250815_ETF_Options_Exhibits'!M2404:M2408)),AVERAGE('20250815_ETF_Options_Exhibits'!M2404:M2408),"")</f>
        <v/>
      </c>
      <c r="N2408" s="3">
        <f>IF(ISNUMBER(AVERAGE('20250815_ETF_Options_Exhibits'!N2404:N2408)),AVERAGE('20250815_ETF_Options_Exhibits'!N2404:N2408),"")</f>
        <v/>
      </c>
      <c r="O2408" s="3">
        <f>IF(ISNUMBER(AVERAGE('20250815_ETF_Options_Exhibits'!O2404:O2408)),AVERAGE('20250815_ETF_Options_Exhibits'!O2404:O2408),"")</f>
        <v/>
      </c>
      <c r="P2408" s="3">
        <f>IF(ISNUMBER(AVERAGE('20250815_ETF_Options_Exhibits'!P2404:P2408)),AVERAGE('20250815_ETF_Options_Exhibits'!P2404:P2408),"")</f>
        <v/>
      </c>
      <c r="Q2408" s="3">
        <f>IF(ISNUMBER(AVERAGE('20250815_ETF_Options_Exhibits'!Q2404:Q2408)),AVERAGE('20250815_ETF_Options_Exhibits'!Q2404:Q2408),"")</f>
        <v/>
      </c>
      <c r="R2408" s="3">
        <f>IF(ISNUMBER(AVERAGE('20250815_ETF_Options_Exhibits'!R2404:R2408)),AVERAGE('20250815_ETF_Options_Exhibits'!R2404:R2408),"")</f>
        <v/>
      </c>
      <c r="S2408" s="3">
        <f>IF(ISNUMBER(AVERAGE('20250815_ETF_Options_Exhibits'!S2404:S2408)),AVERAGE('20250815_ETF_Options_Exhibits'!S2404:S2408),"")</f>
        <v/>
      </c>
      <c r="T2408" s="3">
        <f>IF(ISNUMBER(AVERAGE('20250815_ETF_Options_Exhibits'!T2404:T2408)),AVERAGE('20250815_ETF_Options_Exhibits'!T2404:T2408),"")</f>
        <v/>
      </c>
      <c r="U2408" s="3">
        <f>IF(ISNUMBER(AVERAGE('20250815_ETF_Options_Exhibits'!U2404:U2408)),AVERAGE('20250815_ETF_Options_Exhibits'!U2404:U2408),"")</f>
        <v/>
      </c>
      <c r="V2408" s="3">
        <f>IF(ISNUMBER(AVERAGE('20250815_ETF_Options_Exhibits'!V2404:V2408)),AVERAGE('20250815_ETF_Options_Exhibits'!V2404:V2408),"")</f>
        <v/>
      </c>
      <c r="W2408" s="3">
        <f>IF(ISNUMBER(AVERAGE('20250815_ETF_Options_Exhibits'!W2404:W2408)),AVERAGE('20250815_ETF_Options_Exhibits'!W2404:W2408),"")</f>
        <v/>
      </c>
      <c r="X2408" s="3">
        <f>IF(ISNUMBER(AVERAGE('20250815_ETF_Options_Exhibits'!X2404:X2408)),AVERAGE('20250815_ETF_Options_Exhibits'!X2404:X2408),"")</f>
        <v/>
      </c>
      <c r="Y2408" s="3">
        <f>IF(ISNUMBER(AVERAGE('20250815_ETF_Options_Exhibits'!Y2404:Y2408)),AVERAGE('20250815_ETF_Options_Exhibits'!Y2404:Y2408),"")</f>
        <v/>
      </c>
      <c r="Z2408" s="3">
        <f>IF(ISNUMBER(AVERAGE('20250815_ETF_Options_Exhibits'!Z2404:Z2408)),AVERAGE('20250815_ETF_Options_Exhibits'!Z2404:Z2408),"")</f>
        <v/>
      </c>
      <c r="AA2408" s="3">
        <f>IF(ISNUMBER(AVERAGE('20250815_ETF_Options_Exhibits'!AA2404:AA2408)),AVERAGE('20250815_ETF_Options_Exhibits'!AA2404:AA2408),"")</f>
        <v/>
      </c>
    </row>
    <row r="2409">
      <c r="A2409" s="1" t="n">
        <v>45499</v>
      </c>
      <c r="B2409" s="3">
        <f>IF(ISNUMBER(AVERAGE('20250815_ETF_Options_Exhibits'!B2405:B2409)),AVERAGE('20250815_ETF_Options_Exhibits'!B2405:B2409),"")</f>
        <v/>
      </c>
      <c r="C2409" s="3">
        <f>IF(ISNUMBER(AVERAGE('20250815_ETF_Options_Exhibits'!C2405:C2409)),AVERAGE('20250815_ETF_Options_Exhibits'!C2405:C2409),"")</f>
        <v/>
      </c>
      <c r="D2409" s="3">
        <f>IF(ISNUMBER(AVERAGE('20250815_ETF_Options_Exhibits'!D2405:D2409)),AVERAGE('20250815_ETF_Options_Exhibits'!D2405:D2409),"")</f>
        <v/>
      </c>
      <c r="E2409" s="3">
        <f>IF(ISNUMBER(AVERAGE('20250815_ETF_Options_Exhibits'!E2405:E2409)),AVERAGE('20250815_ETF_Options_Exhibits'!E2405:E2409),"")</f>
        <v/>
      </c>
      <c r="F2409" s="3">
        <f>IF(ISNUMBER(AVERAGE('20250815_ETF_Options_Exhibits'!F2405:F2409)),AVERAGE('20250815_ETF_Options_Exhibits'!F2405:F2409),"")</f>
        <v/>
      </c>
      <c r="G2409" s="3">
        <f>IF(ISNUMBER(AVERAGE('20250815_ETF_Options_Exhibits'!G2405:G2409)),AVERAGE('20250815_ETF_Options_Exhibits'!G2405:G2409),"")</f>
        <v/>
      </c>
      <c r="H2409" s="3">
        <f>IF(ISNUMBER(AVERAGE('20250815_ETF_Options_Exhibits'!H2405:H2409)),AVERAGE('20250815_ETF_Options_Exhibits'!H2405:H2409),"")</f>
        <v/>
      </c>
      <c r="I2409" s="3">
        <f>IF(ISNUMBER(AVERAGE('20250815_ETF_Options_Exhibits'!I2405:I2409)),AVERAGE('20250815_ETF_Options_Exhibits'!I2405:I2409),"")</f>
        <v/>
      </c>
      <c r="J2409" s="3">
        <f>IF(ISNUMBER(AVERAGE('20250815_ETF_Options_Exhibits'!J2405:J2409)),AVERAGE('20250815_ETF_Options_Exhibits'!J2405:J2409),"")</f>
        <v/>
      </c>
      <c r="K2409" s="3">
        <f>IF(ISNUMBER(AVERAGE('20250815_ETF_Options_Exhibits'!K2405:K2409)),AVERAGE('20250815_ETF_Options_Exhibits'!K2405:K2409),"")</f>
        <v/>
      </c>
      <c r="L2409" s="3">
        <f>IF(ISNUMBER(AVERAGE('20250815_ETF_Options_Exhibits'!L2405:L2409)),AVERAGE('20250815_ETF_Options_Exhibits'!L2405:L2409),"")</f>
        <v/>
      </c>
      <c r="M2409" s="3">
        <f>IF(ISNUMBER(AVERAGE('20250815_ETF_Options_Exhibits'!M2405:M2409)),AVERAGE('20250815_ETF_Options_Exhibits'!M2405:M2409),"")</f>
        <v/>
      </c>
      <c r="N2409" s="3">
        <f>IF(ISNUMBER(AVERAGE('20250815_ETF_Options_Exhibits'!N2405:N2409)),AVERAGE('20250815_ETF_Options_Exhibits'!N2405:N2409),"")</f>
        <v/>
      </c>
      <c r="O2409" s="3">
        <f>IF(ISNUMBER(AVERAGE('20250815_ETF_Options_Exhibits'!O2405:O2409)),AVERAGE('20250815_ETF_Options_Exhibits'!O2405:O2409),"")</f>
        <v/>
      </c>
      <c r="P2409" s="3">
        <f>IF(ISNUMBER(AVERAGE('20250815_ETF_Options_Exhibits'!P2405:P2409)),AVERAGE('20250815_ETF_Options_Exhibits'!P2405:P2409),"")</f>
        <v/>
      </c>
      <c r="Q2409" s="3">
        <f>IF(ISNUMBER(AVERAGE('20250815_ETF_Options_Exhibits'!Q2405:Q2409)),AVERAGE('20250815_ETF_Options_Exhibits'!Q2405:Q2409),"")</f>
        <v/>
      </c>
      <c r="R2409" s="3">
        <f>IF(ISNUMBER(AVERAGE('20250815_ETF_Options_Exhibits'!R2405:R2409)),AVERAGE('20250815_ETF_Options_Exhibits'!R2405:R2409),"")</f>
        <v/>
      </c>
      <c r="S2409" s="3">
        <f>IF(ISNUMBER(AVERAGE('20250815_ETF_Options_Exhibits'!S2405:S2409)),AVERAGE('20250815_ETF_Options_Exhibits'!S2405:S2409),"")</f>
        <v/>
      </c>
      <c r="T2409" s="3">
        <f>IF(ISNUMBER(AVERAGE('20250815_ETF_Options_Exhibits'!T2405:T2409)),AVERAGE('20250815_ETF_Options_Exhibits'!T2405:T2409),"")</f>
        <v/>
      </c>
      <c r="U2409" s="3">
        <f>IF(ISNUMBER(AVERAGE('20250815_ETF_Options_Exhibits'!U2405:U2409)),AVERAGE('20250815_ETF_Options_Exhibits'!U2405:U2409),"")</f>
        <v/>
      </c>
      <c r="V2409" s="3">
        <f>IF(ISNUMBER(AVERAGE('20250815_ETF_Options_Exhibits'!V2405:V2409)),AVERAGE('20250815_ETF_Options_Exhibits'!V2405:V2409),"")</f>
        <v/>
      </c>
      <c r="W2409" s="3">
        <f>IF(ISNUMBER(AVERAGE('20250815_ETF_Options_Exhibits'!W2405:W2409)),AVERAGE('20250815_ETF_Options_Exhibits'!W2405:W2409),"")</f>
        <v/>
      </c>
      <c r="X2409" s="3">
        <f>IF(ISNUMBER(AVERAGE('20250815_ETF_Options_Exhibits'!X2405:X2409)),AVERAGE('20250815_ETF_Options_Exhibits'!X2405:X2409),"")</f>
        <v/>
      </c>
      <c r="Y2409" s="3">
        <f>IF(ISNUMBER(AVERAGE('20250815_ETF_Options_Exhibits'!Y2405:Y2409)),AVERAGE('20250815_ETF_Options_Exhibits'!Y2405:Y2409),"")</f>
        <v/>
      </c>
      <c r="Z2409" s="3">
        <f>IF(ISNUMBER(AVERAGE('20250815_ETF_Options_Exhibits'!Z2405:Z2409)),AVERAGE('20250815_ETF_Options_Exhibits'!Z2405:Z2409),"")</f>
        <v/>
      </c>
      <c r="AA2409" s="3">
        <f>IF(ISNUMBER(AVERAGE('20250815_ETF_Options_Exhibits'!AA2405:AA2409)),AVERAGE('20250815_ETF_Options_Exhibits'!AA2405:AA2409),"")</f>
        <v/>
      </c>
    </row>
    <row r="2410">
      <c r="A2410" s="1" t="n">
        <v>45502</v>
      </c>
      <c r="B2410" s="3">
        <f>IF(ISNUMBER(AVERAGE('20250815_ETF_Options_Exhibits'!B2406:B2410)),AVERAGE('20250815_ETF_Options_Exhibits'!B2406:B2410),"")</f>
        <v/>
      </c>
      <c r="C2410" s="3">
        <f>IF(ISNUMBER(AVERAGE('20250815_ETF_Options_Exhibits'!C2406:C2410)),AVERAGE('20250815_ETF_Options_Exhibits'!C2406:C2410),"")</f>
        <v/>
      </c>
      <c r="D2410" s="3">
        <f>IF(ISNUMBER(AVERAGE('20250815_ETF_Options_Exhibits'!D2406:D2410)),AVERAGE('20250815_ETF_Options_Exhibits'!D2406:D2410),"")</f>
        <v/>
      </c>
      <c r="E2410" s="3">
        <f>IF(ISNUMBER(AVERAGE('20250815_ETF_Options_Exhibits'!E2406:E2410)),AVERAGE('20250815_ETF_Options_Exhibits'!E2406:E2410),"")</f>
        <v/>
      </c>
      <c r="F2410" s="3">
        <f>IF(ISNUMBER(AVERAGE('20250815_ETF_Options_Exhibits'!F2406:F2410)),AVERAGE('20250815_ETF_Options_Exhibits'!F2406:F2410),"")</f>
        <v/>
      </c>
      <c r="G2410" s="3">
        <f>IF(ISNUMBER(AVERAGE('20250815_ETF_Options_Exhibits'!G2406:G2410)),AVERAGE('20250815_ETF_Options_Exhibits'!G2406:G2410),"")</f>
        <v/>
      </c>
      <c r="H2410" s="3">
        <f>IF(ISNUMBER(AVERAGE('20250815_ETF_Options_Exhibits'!H2406:H2410)),AVERAGE('20250815_ETF_Options_Exhibits'!H2406:H2410),"")</f>
        <v/>
      </c>
      <c r="I2410" s="3">
        <f>IF(ISNUMBER(AVERAGE('20250815_ETF_Options_Exhibits'!I2406:I2410)),AVERAGE('20250815_ETF_Options_Exhibits'!I2406:I2410),"")</f>
        <v/>
      </c>
      <c r="J2410" s="3">
        <f>IF(ISNUMBER(AVERAGE('20250815_ETF_Options_Exhibits'!J2406:J2410)),AVERAGE('20250815_ETF_Options_Exhibits'!J2406:J2410),"")</f>
        <v/>
      </c>
      <c r="K2410" s="3">
        <f>IF(ISNUMBER(AVERAGE('20250815_ETF_Options_Exhibits'!K2406:K2410)),AVERAGE('20250815_ETF_Options_Exhibits'!K2406:K2410),"")</f>
        <v/>
      </c>
      <c r="L2410" s="3">
        <f>IF(ISNUMBER(AVERAGE('20250815_ETF_Options_Exhibits'!L2406:L2410)),AVERAGE('20250815_ETF_Options_Exhibits'!L2406:L2410),"")</f>
        <v/>
      </c>
      <c r="M2410" s="3">
        <f>IF(ISNUMBER(AVERAGE('20250815_ETF_Options_Exhibits'!M2406:M2410)),AVERAGE('20250815_ETF_Options_Exhibits'!M2406:M2410),"")</f>
        <v/>
      </c>
      <c r="N2410" s="3">
        <f>IF(ISNUMBER(AVERAGE('20250815_ETF_Options_Exhibits'!N2406:N2410)),AVERAGE('20250815_ETF_Options_Exhibits'!N2406:N2410),"")</f>
        <v/>
      </c>
      <c r="O2410" s="3">
        <f>IF(ISNUMBER(AVERAGE('20250815_ETF_Options_Exhibits'!O2406:O2410)),AVERAGE('20250815_ETF_Options_Exhibits'!O2406:O2410),"")</f>
        <v/>
      </c>
      <c r="P2410" s="3">
        <f>IF(ISNUMBER(AVERAGE('20250815_ETF_Options_Exhibits'!P2406:P2410)),AVERAGE('20250815_ETF_Options_Exhibits'!P2406:P2410),"")</f>
        <v/>
      </c>
      <c r="Q2410" s="3">
        <f>IF(ISNUMBER(AVERAGE('20250815_ETF_Options_Exhibits'!Q2406:Q2410)),AVERAGE('20250815_ETF_Options_Exhibits'!Q2406:Q2410),"")</f>
        <v/>
      </c>
      <c r="R2410" s="3">
        <f>IF(ISNUMBER(AVERAGE('20250815_ETF_Options_Exhibits'!R2406:R2410)),AVERAGE('20250815_ETF_Options_Exhibits'!R2406:R2410),"")</f>
        <v/>
      </c>
      <c r="S2410" s="3">
        <f>IF(ISNUMBER(AVERAGE('20250815_ETF_Options_Exhibits'!S2406:S2410)),AVERAGE('20250815_ETF_Options_Exhibits'!S2406:S2410),"")</f>
        <v/>
      </c>
      <c r="T2410" s="3">
        <f>IF(ISNUMBER(AVERAGE('20250815_ETF_Options_Exhibits'!T2406:T2410)),AVERAGE('20250815_ETF_Options_Exhibits'!T2406:T2410),"")</f>
        <v/>
      </c>
      <c r="U2410" s="3">
        <f>IF(ISNUMBER(AVERAGE('20250815_ETF_Options_Exhibits'!U2406:U2410)),AVERAGE('20250815_ETF_Options_Exhibits'!U2406:U2410),"")</f>
        <v/>
      </c>
      <c r="V2410" s="3">
        <f>IF(ISNUMBER(AVERAGE('20250815_ETF_Options_Exhibits'!V2406:V2410)),AVERAGE('20250815_ETF_Options_Exhibits'!V2406:V2410),"")</f>
        <v/>
      </c>
      <c r="W2410" s="3">
        <f>IF(ISNUMBER(AVERAGE('20250815_ETF_Options_Exhibits'!W2406:W2410)),AVERAGE('20250815_ETF_Options_Exhibits'!W2406:W2410),"")</f>
        <v/>
      </c>
      <c r="X2410" s="3">
        <f>IF(ISNUMBER(AVERAGE('20250815_ETF_Options_Exhibits'!X2406:X2410)),AVERAGE('20250815_ETF_Options_Exhibits'!X2406:X2410),"")</f>
        <v/>
      </c>
      <c r="Y2410" s="3">
        <f>IF(ISNUMBER(AVERAGE('20250815_ETF_Options_Exhibits'!Y2406:Y2410)),AVERAGE('20250815_ETF_Options_Exhibits'!Y2406:Y2410),"")</f>
        <v/>
      </c>
      <c r="Z2410" s="3">
        <f>IF(ISNUMBER(AVERAGE('20250815_ETF_Options_Exhibits'!Z2406:Z2410)),AVERAGE('20250815_ETF_Options_Exhibits'!Z2406:Z2410),"")</f>
        <v/>
      </c>
      <c r="AA2410" s="3">
        <f>IF(ISNUMBER(AVERAGE('20250815_ETF_Options_Exhibits'!AA2406:AA2410)),AVERAGE('20250815_ETF_Options_Exhibits'!AA2406:AA2410),"")</f>
        <v/>
      </c>
    </row>
    <row r="2411">
      <c r="A2411" s="1" t="n">
        <v>45503</v>
      </c>
      <c r="B2411" s="3">
        <f>IF(ISNUMBER(AVERAGE('20250815_ETF_Options_Exhibits'!B2407:B2411)),AVERAGE('20250815_ETF_Options_Exhibits'!B2407:B2411),"")</f>
        <v/>
      </c>
      <c r="C2411" s="3">
        <f>IF(ISNUMBER(AVERAGE('20250815_ETF_Options_Exhibits'!C2407:C2411)),AVERAGE('20250815_ETF_Options_Exhibits'!C2407:C2411),"")</f>
        <v/>
      </c>
      <c r="D2411" s="3">
        <f>IF(ISNUMBER(AVERAGE('20250815_ETF_Options_Exhibits'!D2407:D2411)),AVERAGE('20250815_ETF_Options_Exhibits'!D2407:D2411),"")</f>
        <v/>
      </c>
      <c r="E2411" s="3">
        <f>IF(ISNUMBER(AVERAGE('20250815_ETF_Options_Exhibits'!E2407:E2411)),AVERAGE('20250815_ETF_Options_Exhibits'!E2407:E2411),"")</f>
        <v/>
      </c>
      <c r="F2411" s="3">
        <f>IF(ISNUMBER(AVERAGE('20250815_ETF_Options_Exhibits'!F2407:F2411)),AVERAGE('20250815_ETF_Options_Exhibits'!F2407:F2411),"")</f>
        <v/>
      </c>
      <c r="G2411" s="3">
        <f>IF(ISNUMBER(AVERAGE('20250815_ETF_Options_Exhibits'!G2407:G2411)),AVERAGE('20250815_ETF_Options_Exhibits'!G2407:G2411),"")</f>
        <v/>
      </c>
      <c r="H2411" s="3">
        <f>IF(ISNUMBER(AVERAGE('20250815_ETF_Options_Exhibits'!H2407:H2411)),AVERAGE('20250815_ETF_Options_Exhibits'!H2407:H2411),"")</f>
        <v/>
      </c>
      <c r="I2411" s="3">
        <f>IF(ISNUMBER(AVERAGE('20250815_ETF_Options_Exhibits'!I2407:I2411)),AVERAGE('20250815_ETF_Options_Exhibits'!I2407:I2411),"")</f>
        <v/>
      </c>
      <c r="J2411" s="3">
        <f>IF(ISNUMBER(AVERAGE('20250815_ETF_Options_Exhibits'!J2407:J2411)),AVERAGE('20250815_ETF_Options_Exhibits'!J2407:J2411),"")</f>
        <v/>
      </c>
      <c r="K2411" s="3">
        <f>IF(ISNUMBER(AVERAGE('20250815_ETF_Options_Exhibits'!K2407:K2411)),AVERAGE('20250815_ETF_Options_Exhibits'!K2407:K2411),"")</f>
        <v/>
      </c>
      <c r="L2411" s="3">
        <f>IF(ISNUMBER(AVERAGE('20250815_ETF_Options_Exhibits'!L2407:L2411)),AVERAGE('20250815_ETF_Options_Exhibits'!L2407:L2411),"")</f>
        <v/>
      </c>
      <c r="M2411" s="3">
        <f>IF(ISNUMBER(AVERAGE('20250815_ETF_Options_Exhibits'!M2407:M2411)),AVERAGE('20250815_ETF_Options_Exhibits'!M2407:M2411),"")</f>
        <v/>
      </c>
      <c r="N2411" s="3">
        <f>IF(ISNUMBER(AVERAGE('20250815_ETF_Options_Exhibits'!N2407:N2411)),AVERAGE('20250815_ETF_Options_Exhibits'!N2407:N2411),"")</f>
        <v/>
      </c>
      <c r="O2411" s="3">
        <f>IF(ISNUMBER(AVERAGE('20250815_ETF_Options_Exhibits'!O2407:O2411)),AVERAGE('20250815_ETF_Options_Exhibits'!O2407:O2411),"")</f>
        <v/>
      </c>
      <c r="P2411" s="3">
        <f>IF(ISNUMBER(AVERAGE('20250815_ETF_Options_Exhibits'!P2407:P2411)),AVERAGE('20250815_ETF_Options_Exhibits'!P2407:P2411),"")</f>
        <v/>
      </c>
      <c r="Q2411" s="3">
        <f>IF(ISNUMBER(AVERAGE('20250815_ETF_Options_Exhibits'!Q2407:Q2411)),AVERAGE('20250815_ETF_Options_Exhibits'!Q2407:Q2411),"")</f>
        <v/>
      </c>
      <c r="R2411" s="3">
        <f>IF(ISNUMBER(AVERAGE('20250815_ETF_Options_Exhibits'!R2407:R2411)),AVERAGE('20250815_ETF_Options_Exhibits'!R2407:R2411),"")</f>
        <v/>
      </c>
      <c r="S2411" s="3">
        <f>IF(ISNUMBER(AVERAGE('20250815_ETF_Options_Exhibits'!S2407:S2411)),AVERAGE('20250815_ETF_Options_Exhibits'!S2407:S2411),"")</f>
        <v/>
      </c>
      <c r="T2411" s="3">
        <f>IF(ISNUMBER(AVERAGE('20250815_ETF_Options_Exhibits'!T2407:T2411)),AVERAGE('20250815_ETF_Options_Exhibits'!T2407:T2411),"")</f>
        <v/>
      </c>
      <c r="U2411" s="3">
        <f>IF(ISNUMBER(AVERAGE('20250815_ETF_Options_Exhibits'!U2407:U2411)),AVERAGE('20250815_ETF_Options_Exhibits'!U2407:U2411),"")</f>
        <v/>
      </c>
      <c r="V2411" s="3">
        <f>IF(ISNUMBER(AVERAGE('20250815_ETF_Options_Exhibits'!V2407:V2411)),AVERAGE('20250815_ETF_Options_Exhibits'!V2407:V2411),"")</f>
        <v/>
      </c>
      <c r="W2411" s="3">
        <f>IF(ISNUMBER(AVERAGE('20250815_ETF_Options_Exhibits'!W2407:W2411)),AVERAGE('20250815_ETF_Options_Exhibits'!W2407:W2411),"")</f>
        <v/>
      </c>
      <c r="X2411" s="3">
        <f>IF(ISNUMBER(AVERAGE('20250815_ETF_Options_Exhibits'!X2407:X2411)),AVERAGE('20250815_ETF_Options_Exhibits'!X2407:X2411),"")</f>
        <v/>
      </c>
      <c r="Y2411" s="3">
        <f>IF(ISNUMBER(AVERAGE('20250815_ETF_Options_Exhibits'!Y2407:Y2411)),AVERAGE('20250815_ETF_Options_Exhibits'!Y2407:Y2411),"")</f>
        <v/>
      </c>
      <c r="Z2411" s="3">
        <f>IF(ISNUMBER(AVERAGE('20250815_ETF_Options_Exhibits'!Z2407:Z2411)),AVERAGE('20250815_ETF_Options_Exhibits'!Z2407:Z2411),"")</f>
        <v/>
      </c>
      <c r="AA2411" s="3">
        <f>IF(ISNUMBER(AVERAGE('20250815_ETF_Options_Exhibits'!AA2407:AA2411)),AVERAGE('20250815_ETF_Options_Exhibits'!AA2407:AA2411),"")</f>
        <v/>
      </c>
    </row>
    <row r="2412">
      <c r="A2412" s="1" t="n">
        <v>45504</v>
      </c>
      <c r="B2412" s="3">
        <f>IF(ISNUMBER(AVERAGE('20250815_ETF_Options_Exhibits'!B2408:B2412)),AVERAGE('20250815_ETF_Options_Exhibits'!B2408:B2412),"")</f>
        <v/>
      </c>
      <c r="C2412" s="3">
        <f>IF(ISNUMBER(AVERAGE('20250815_ETF_Options_Exhibits'!C2408:C2412)),AVERAGE('20250815_ETF_Options_Exhibits'!C2408:C2412),"")</f>
        <v/>
      </c>
      <c r="D2412" s="3">
        <f>IF(ISNUMBER(AVERAGE('20250815_ETF_Options_Exhibits'!D2408:D2412)),AVERAGE('20250815_ETF_Options_Exhibits'!D2408:D2412),"")</f>
        <v/>
      </c>
      <c r="E2412" s="3">
        <f>IF(ISNUMBER(AVERAGE('20250815_ETF_Options_Exhibits'!E2408:E2412)),AVERAGE('20250815_ETF_Options_Exhibits'!E2408:E2412),"")</f>
        <v/>
      </c>
      <c r="F2412" s="3">
        <f>IF(ISNUMBER(AVERAGE('20250815_ETF_Options_Exhibits'!F2408:F2412)),AVERAGE('20250815_ETF_Options_Exhibits'!F2408:F2412),"")</f>
        <v/>
      </c>
      <c r="G2412" s="3">
        <f>IF(ISNUMBER(AVERAGE('20250815_ETF_Options_Exhibits'!G2408:G2412)),AVERAGE('20250815_ETF_Options_Exhibits'!G2408:G2412),"")</f>
        <v/>
      </c>
      <c r="H2412" s="3">
        <f>IF(ISNUMBER(AVERAGE('20250815_ETF_Options_Exhibits'!H2408:H2412)),AVERAGE('20250815_ETF_Options_Exhibits'!H2408:H2412),"")</f>
        <v/>
      </c>
      <c r="I2412" s="3">
        <f>IF(ISNUMBER(AVERAGE('20250815_ETF_Options_Exhibits'!I2408:I2412)),AVERAGE('20250815_ETF_Options_Exhibits'!I2408:I2412),"")</f>
        <v/>
      </c>
      <c r="J2412" s="3">
        <f>IF(ISNUMBER(AVERAGE('20250815_ETF_Options_Exhibits'!J2408:J2412)),AVERAGE('20250815_ETF_Options_Exhibits'!J2408:J2412),"")</f>
        <v/>
      </c>
      <c r="K2412" s="3">
        <f>IF(ISNUMBER(AVERAGE('20250815_ETF_Options_Exhibits'!K2408:K2412)),AVERAGE('20250815_ETF_Options_Exhibits'!K2408:K2412),"")</f>
        <v/>
      </c>
      <c r="L2412" s="3">
        <f>IF(ISNUMBER(AVERAGE('20250815_ETF_Options_Exhibits'!L2408:L2412)),AVERAGE('20250815_ETF_Options_Exhibits'!L2408:L2412),"")</f>
        <v/>
      </c>
      <c r="M2412" s="3">
        <f>IF(ISNUMBER(AVERAGE('20250815_ETF_Options_Exhibits'!M2408:M2412)),AVERAGE('20250815_ETF_Options_Exhibits'!M2408:M2412),"")</f>
        <v/>
      </c>
      <c r="N2412" s="3">
        <f>IF(ISNUMBER(AVERAGE('20250815_ETF_Options_Exhibits'!N2408:N2412)),AVERAGE('20250815_ETF_Options_Exhibits'!N2408:N2412),"")</f>
        <v/>
      </c>
      <c r="O2412" s="3">
        <f>IF(ISNUMBER(AVERAGE('20250815_ETF_Options_Exhibits'!O2408:O2412)),AVERAGE('20250815_ETF_Options_Exhibits'!O2408:O2412),"")</f>
        <v/>
      </c>
      <c r="P2412" s="3">
        <f>IF(ISNUMBER(AVERAGE('20250815_ETF_Options_Exhibits'!P2408:P2412)),AVERAGE('20250815_ETF_Options_Exhibits'!P2408:P2412),"")</f>
        <v/>
      </c>
      <c r="Q2412" s="3">
        <f>IF(ISNUMBER(AVERAGE('20250815_ETF_Options_Exhibits'!Q2408:Q2412)),AVERAGE('20250815_ETF_Options_Exhibits'!Q2408:Q2412),"")</f>
        <v/>
      </c>
      <c r="R2412" s="3">
        <f>IF(ISNUMBER(AVERAGE('20250815_ETF_Options_Exhibits'!R2408:R2412)),AVERAGE('20250815_ETF_Options_Exhibits'!R2408:R2412),"")</f>
        <v/>
      </c>
      <c r="S2412" s="3">
        <f>IF(ISNUMBER(AVERAGE('20250815_ETF_Options_Exhibits'!S2408:S2412)),AVERAGE('20250815_ETF_Options_Exhibits'!S2408:S2412),"")</f>
        <v/>
      </c>
      <c r="T2412" s="3">
        <f>IF(ISNUMBER(AVERAGE('20250815_ETF_Options_Exhibits'!T2408:T2412)),AVERAGE('20250815_ETF_Options_Exhibits'!T2408:T2412),"")</f>
        <v/>
      </c>
      <c r="U2412" s="3">
        <f>IF(ISNUMBER(AVERAGE('20250815_ETF_Options_Exhibits'!U2408:U2412)),AVERAGE('20250815_ETF_Options_Exhibits'!U2408:U2412),"")</f>
        <v/>
      </c>
      <c r="V2412" s="3">
        <f>IF(ISNUMBER(AVERAGE('20250815_ETF_Options_Exhibits'!V2408:V2412)),AVERAGE('20250815_ETF_Options_Exhibits'!V2408:V2412),"")</f>
        <v/>
      </c>
      <c r="W2412" s="3">
        <f>IF(ISNUMBER(AVERAGE('20250815_ETF_Options_Exhibits'!W2408:W2412)),AVERAGE('20250815_ETF_Options_Exhibits'!W2408:W2412),"")</f>
        <v/>
      </c>
      <c r="X2412" s="3">
        <f>IF(ISNUMBER(AVERAGE('20250815_ETF_Options_Exhibits'!X2408:X2412)),AVERAGE('20250815_ETF_Options_Exhibits'!X2408:X2412),"")</f>
        <v/>
      </c>
      <c r="Y2412" s="3">
        <f>IF(ISNUMBER(AVERAGE('20250815_ETF_Options_Exhibits'!Y2408:Y2412)),AVERAGE('20250815_ETF_Options_Exhibits'!Y2408:Y2412),"")</f>
        <v/>
      </c>
      <c r="Z2412" s="3">
        <f>IF(ISNUMBER(AVERAGE('20250815_ETF_Options_Exhibits'!Z2408:Z2412)),AVERAGE('20250815_ETF_Options_Exhibits'!Z2408:Z2412),"")</f>
        <v/>
      </c>
      <c r="AA2412" s="3">
        <f>IF(ISNUMBER(AVERAGE('20250815_ETF_Options_Exhibits'!AA2408:AA2412)),AVERAGE('20250815_ETF_Options_Exhibits'!AA2408:AA2412),"")</f>
        <v/>
      </c>
    </row>
    <row r="2413">
      <c r="A2413" s="1" t="n">
        <v>45505</v>
      </c>
      <c r="B2413" s="3">
        <f>IF(ISNUMBER(AVERAGE('20250815_ETF_Options_Exhibits'!B2409:B2413)),AVERAGE('20250815_ETF_Options_Exhibits'!B2409:B2413),"")</f>
        <v/>
      </c>
      <c r="C2413" s="3">
        <f>IF(ISNUMBER(AVERAGE('20250815_ETF_Options_Exhibits'!C2409:C2413)),AVERAGE('20250815_ETF_Options_Exhibits'!C2409:C2413),"")</f>
        <v/>
      </c>
      <c r="D2413" s="3">
        <f>IF(ISNUMBER(AVERAGE('20250815_ETF_Options_Exhibits'!D2409:D2413)),AVERAGE('20250815_ETF_Options_Exhibits'!D2409:D2413),"")</f>
        <v/>
      </c>
      <c r="E2413" s="3">
        <f>IF(ISNUMBER(AVERAGE('20250815_ETF_Options_Exhibits'!E2409:E2413)),AVERAGE('20250815_ETF_Options_Exhibits'!E2409:E2413),"")</f>
        <v/>
      </c>
      <c r="F2413" s="3">
        <f>IF(ISNUMBER(AVERAGE('20250815_ETF_Options_Exhibits'!F2409:F2413)),AVERAGE('20250815_ETF_Options_Exhibits'!F2409:F2413),"")</f>
        <v/>
      </c>
      <c r="G2413" s="3">
        <f>IF(ISNUMBER(AVERAGE('20250815_ETF_Options_Exhibits'!G2409:G2413)),AVERAGE('20250815_ETF_Options_Exhibits'!G2409:G2413),"")</f>
        <v/>
      </c>
      <c r="H2413" s="3">
        <f>IF(ISNUMBER(AVERAGE('20250815_ETF_Options_Exhibits'!H2409:H2413)),AVERAGE('20250815_ETF_Options_Exhibits'!H2409:H2413),"")</f>
        <v/>
      </c>
      <c r="I2413" s="3">
        <f>IF(ISNUMBER(AVERAGE('20250815_ETF_Options_Exhibits'!I2409:I2413)),AVERAGE('20250815_ETF_Options_Exhibits'!I2409:I2413),"")</f>
        <v/>
      </c>
      <c r="J2413" s="3">
        <f>IF(ISNUMBER(AVERAGE('20250815_ETF_Options_Exhibits'!J2409:J2413)),AVERAGE('20250815_ETF_Options_Exhibits'!J2409:J2413),"")</f>
        <v/>
      </c>
      <c r="K2413" s="3">
        <f>IF(ISNUMBER(AVERAGE('20250815_ETF_Options_Exhibits'!K2409:K2413)),AVERAGE('20250815_ETF_Options_Exhibits'!K2409:K2413),"")</f>
        <v/>
      </c>
      <c r="L2413" s="3">
        <f>IF(ISNUMBER(AVERAGE('20250815_ETF_Options_Exhibits'!L2409:L2413)),AVERAGE('20250815_ETF_Options_Exhibits'!L2409:L2413),"")</f>
        <v/>
      </c>
      <c r="M2413" s="3">
        <f>IF(ISNUMBER(AVERAGE('20250815_ETF_Options_Exhibits'!M2409:M2413)),AVERAGE('20250815_ETF_Options_Exhibits'!M2409:M2413),"")</f>
        <v/>
      </c>
      <c r="N2413" s="3">
        <f>IF(ISNUMBER(AVERAGE('20250815_ETF_Options_Exhibits'!N2409:N2413)),AVERAGE('20250815_ETF_Options_Exhibits'!N2409:N2413),"")</f>
        <v/>
      </c>
      <c r="O2413" s="3">
        <f>IF(ISNUMBER(AVERAGE('20250815_ETF_Options_Exhibits'!O2409:O2413)),AVERAGE('20250815_ETF_Options_Exhibits'!O2409:O2413),"")</f>
        <v/>
      </c>
      <c r="P2413" s="3">
        <f>IF(ISNUMBER(AVERAGE('20250815_ETF_Options_Exhibits'!P2409:P2413)),AVERAGE('20250815_ETF_Options_Exhibits'!P2409:P2413),"")</f>
        <v/>
      </c>
      <c r="Q2413" s="3">
        <f>IF(ISNUMBER(AVERAGE('20250815_ETF_Options_Exhibits'!Q2409:Q2413)),AVERAGE('20250815_ETF_Options_Exhibits'!Q2409:Q2413),"")</f>
        <v/>
      </c>
      <c r="R2413" s="3">
        <f>IF(ISNUMBER(AVERAGE('20250815_ETF_Options_Exhibits'!R2409:R2413)),AVERAGE('20250815_ETF_Options_Exhibits'!R2409:R2413),"")</f>
        <v/>
      </c>
      <c r="S2413" s="3">
        <f>IF(ISNUMBER(AVERAGE('20250815_ETF_Options_Exhibits'!S2409:S2413)),AVERAGE('20250815_ETF_Options_Exhibits'!S2409:S2413),"")</f>
        <v/>
      </c>
      <c r="T2413" s="3">
        <f>IF(ISNUMBER(AVERAGE('20250815_ETF_Options_Exhibits'!T2409:T2413)),AVERAGE('20250815_ETF_Options_Exhibits'!T2409:T2413),"")</f>
        <v/>
      </c>
      <c r="U2413" s="3">
        <f>IF(ISNUMBER(AVERAGE('20250815_ETF_Options_Exhibits'!U2409:U2413)),AVERAGE('20250815_ETF_Options_Exhibits'!U2409:U2413),"")</f>
        <v/>
      </c>
      <c r="V2413" s="3">
        <f>IF(ISNUMBER(AVERAGE('20250815_ETF_Options_Exhibits'!V2409:V2413)),AVERAGE('20250815_ETF_Options_Exhibits'!V2409:V2413),"")</f>
        <v/>
      </c>
      <c r="W2413" s="3">
        <f>IF(ISNUMBER(AVERAGE('20250815_ETF_Options_Exhibits'!W2409:W2413)),AVERAGE('20250815_ETF_Options_Exhibits'!W2409:W2413),"")</f>
        <v/>
      </c>
      <c r="X2413" s="3">
        <f>IF(ISNUMBER(AVERAGE('20250815_ETF_Options_Exhibits'!X2409:X2413)),AVERAGE('20250815_ETF_Options_Exhibits'!X2409:X2413),"")</f>
        <v/>
      </c>
      <c r="Y2413" s="3">
        <f>IF(ISNUMBER(AVERAGE('20250815_ETF_Options_Exhibits'!Y2409:Y2413)),AVERAGE('20250815_ETF_Options_Exhibits'!Y2409:Y2413),"")</f>
        <v/>
      </c>
      <c r="Z2413" s="3">
        <f>IF(ISNUMBER(AVERAGE('20250815_ETF_Options_Exhibits'!Z2409:Z2413)),AVERAGE('20250815_ETF_Options_Exhibits'!Z2409:Z2413),"")</f>
        <v/>
      </c>
      <c r="AA2413" s="3">
        <f>IF(ISNUMBER(AVERAGE('20250815_ETF_Options_Exhibits'!AA2409:AA2413)),AVERAGE('20250815_ETF_Options_Exhibits'!AA2409:AA2413),"")</f>
        <v/>
      </c>
    </row>
    <row r="2414">
      <c r="A2414" s="1" t="n">
        <v>45506</v>
      </c>
      <c r="B2414" s="3">
        <f>IF(ISNUMBER(AVERAGE('20250815_ETF_Options_Exhibits'!B2410:B2414)),AVERAGE('20250815_ETF_Options_Exhibits'!B2410:B2414),"")</f>
        <v/>
      </c>
      <c r="C2414" s="3">
        <f>IF(ISNUMBER(AVERAGE('20250815_ETF_Options_Exhibits'!C2410:C2414)),AVERAGE('20250815_ETF_Options_Exhibits'!C2410:C2414),"")</f>
        <v/>
      </c>
      <c r="D2414" s="3">
        <f>IF(ISNUMBER(AVERAGE('20250815_ETF_Options_Exhibits'!D2410:D2414)),AVERAGE('20250815_ETF_Options_Exhibits'!D2410:D2414),"")</f>
        <v/>
      </c>
      <c r="E2414" s="3">
        <f>IF(ISNUMBER(AVERAGE('20250815_ETF_Options_Exhibits'!E2410:E2414)),AVERAGE('20250815_ETF_Options_Exhibits'!E2410:E2414),"")</f>
        <v/>
      </c>
      <c r="F2414" s="3">
        <f>IF(ISNUMBER(AVERAGE('20250815_ETF_Options_Exhibits'!F2410:F2414)),AVERAGE('20250815_ETF_Options_Exhibits'!F2410:F2414),"")</f>
        <v/>
      </c>
      <c r="G2414" s="3">
        <f>IF(ISNUMBER(AVERAGE('20250815_ETF_Options_Exhibits'!G2410:G2414)),AVERAGE('20250815_ETF_Options_Exhibits'!G2410:G2414),"")</f>
        <v/>
      </c>
      <c r="H2414" s="3">
        <f>IF(ISNUMBER(AVERAGE('20250815_ETF_Options_Exhibits'!H2410:H2414)),AVERAGE('20250815_ETF_Options_Exhibits'!H2410:H2414),"")</f>
        <v/>
      </c>
      <c r="I2414" s="3">
        <f>IF(ISNUMBER(AVERAGE('20250815_ETF_Options_Exhibits'!I2410:I2414)),AVERAGE('20250815_ETF_Options_Exhibits'!I2410:I2414),"")</f>
        <v/>
      </c>
      <c r="J2414" s="3">
        <f>IF(ISNUMBER(AVERAGE('20250815_ETF_Options_Exhibits'!J2410:J2414)),AVERAGE('20250815_ETF_Options_Exhibits'!J2410:J2414),"")</f>
        <v/>
      </c>
      <c r="K2414" s="3">
        <f>IF(ISNUMBER(AVERAGE('20250815_ETF_Options_Exhibits'!K2410:K2414)),AVERAGE('20250815_ETF_Options_Exhibits'!K2410:K2414),"")</f>
        <v/>
      </c>
      <c r="L2414" s="3">
        <f>IF(ISNUMBER(AVERAGE('20250815_ETF_Options_Exhibits'!L2410:L2414)),AVERAGE('20250815_ETF_Options_Exhibits'!L2410:L2414),"")</f>
        <v/>
      </c>
      <c r="M2414" s="3">
        <f>IF(ISNUMBER(AVERAGE('20250815_ETF_Options_Exhibits'!M2410:M2414)),AVERAGE('20250815_ETF_Options_Exhibits'!M2410:M2414),"")</f>
        <v/>
      </c>
      <c r="N2414" s="3">
        <f>IF(ISNUMBER(AVERAGE('20250815_ETF_Options_Exhibits'!N2410:N2414)),AVERAGE('20250815_ETF_Options_Exhibits'!N2410:N2414),"")</f>
        <v/>
      </c>
      <c r="O2414" s="3">
        <f>IF(ISNUMBER(AVERAGE('20250815_ETF_Options_Exhibits'!O2410:O2414)),AVERAGE('20250815_ETF_Options_Exhibits'!O2410:O2414),"")</f>
        <v/>
      </c>
      <c r="P2414" s="3">
        <f>IF(ISNUMBER(AVERAGE('20250815_ETF_Options_Exhibits'!P2410:P2414)),AVERAGE('20250815_ETF_Options_Exhibits'!P2410:P2414),"")</f>
        <v/>
      </c>
      <c r="Q2414" s="3">
        <f>IF(ISNUMBER(AVERAGE('20250815_ETF_Options_Exhibits'!Q2410:Q2414)),AVERAGE('20250815_ETF_Options_Exhibits'!Q2410:Q2414),"")</f>
        <v/>
      </c>
      <c r="R2414" s="3">
        <f>IF(ISNUMBER(AVERAGE('20250815_ETF_Options_Exhibits'!R2410:R2414)),AVERAGE('20250815_ETF_Options_Exhibits'!R2410:R2414),"")</f>
        <v/>
      </c>
      <c r="S2414" s="3">
        <f>IF(ISNUMBER(AVERAGE('20250815_ETF_Options_Exhibits'!S2410:S2414)),AVERAGE('20250815_ETF_Options_Exhibits'!S2410:S2414),"")</f>
        <v/>
      </c>
      <c r="T2414" s="3">
        <f>IF(ISNUMBER(AVERAGE('20250815_ETF_Options_Exhibits'!T2410:T2414)),AVERAGE('20250815_ETF_Options_Exhibits'!T2410:T2414),"")</f>
        <v/>
      </c>
      <c r="U2414" s="3">
        <f>IF(ISNUMBER(AVERAGE('20250815_ETF_Options_Exhibits'!U2410:U2414)),AVERAGE('20250815_ETF_Options_Exhibits'!U2410:U2414),"")</f>
        <v/>
      </c>
      <c r="V2414" s="3">
        <f>IF(ISNUMBER(AVERAGE('20250815_ETF_Options_Exhibits'!V2410:V2414)),AVERAGE('20250815_ETF_Options_Exhibits'!V2410:V2414),"")</f>
        <v/>
      </c>
      <c r="W2414" s="3">
        <f>IF(ISNUMBER(AVERAGE('20250815_ETF_Options_Exhibits'!W2410:W2414)),AVERAGE('20250815_ETF_Options_Exhibits'!W2410:W2414),"")</f>
        <v/>
      </c>
      <c r="X2414" s="3">
        <f>IF(ISNUMBER(AVERAGE('20250815_ETF_Options_Exhibits'!X2410:X2414)),AVERAGE('20250815_ETF_Options_Exhibits'!X2410:X2414),"")</f>
        <v/>
      </c>
      <c r="Y2414" s="3">
        <f>IF(ISNUMBER(AVERAGE('20250815_ETF_Options_Exhibits'!Y2410:Y2414)),AVERAGE('20250815_ETF_Options_Exhibits'!Y2410:Y2414),"")</f>
        <v/>
      </c>
      <c r="Z2414" s="3">
        <f>IF(ISNUMBER(AVERAGE('20250815_ETF_Options_Exhibits'!Z2410:Z2414)),AVERAGE('20250815_ETF_Options_Exhibits'!Z2410:Z2414),"")</f>
        <v/>
      </c>
      <c r="AA2414" s="3">
        <f>IF(ISNUMBER(AVERAGE('20250815_ETF_Options_Exhibits'!AA2410:AA2414)),AVERAGE('20250815_ETF_Options_Exhibits'!AA2410:AA2414),"")</f>
        <v/>
      </c>
    </row>
    <row r="2415">
      <c r="A2415" s="1" t="n">
        <v>45509</v>
      </c>
      <c r="B2415" s="3">
        <f>IF(ISNUMBER(AVERAGE('20250815_ETF_Options_Exhibits'!B2411:B2415)),AVERAGE('20250815_ETF_Options_Exhibits'!B2411:B2415),"")</f>
        <v/>
      </c>
      <c r="C2415" s="3">
        <f>IF(ISNUMBER(AVERAGE('20250815_ETF_Options_Exhibits'!C2411:C2415)),AVERAGE('20250815_ETF_Options_Exhibits'!C2411:C2415),"")</f>
        <v/>
      </c>
      <c r="D2415" s="3">
        <f>IF(ISNUMBER(AVERAGE('20250815_ETF_Options_Exhibits'!D2411:D2415)),AVERAGE('20250815_ETF_Options_Exhibits'!D2411:D2415),"")</f>
        <v/>
      </c>
      <c r="E2415" s="3">
        <f>IF(ISNUMBER(AVERAGE('20250815_ETF_Options_Exhibits'!E2411:E2415)),AVERAGE('20250815_ETF_Options_Exhibits'!E2411:E2415),"")</f>
        <v/>
      </c>
      <c r="F2415" s="3">
        <f>IF(ISNUMBER(AVERAGE('20250815_ETF_Options_Exhibits'!F2411:F2415)),AVERAGE('20250815_ETF_Options_Exhibits'!F2411:F2415),"")</f>
        <v/>
      </c>
      <c r="G2415" s="3">
        <f>IF(ISNUMBER(AVERAGE('20250815_ETF_Options_Exhibits'!G2411:G2415)),AVERAGE('20250815_ETF_Options_Exhibits'!G2411:G2415),"")</f>
        <v/>
      </c>
      <c r="H2415" s="3">
        <f>IF(ISNUMBER(AVERAGE('20250815_ETF_Options_Exhibits'!H2411:H2415)),AVERAGE('20250815_ETF_Options_Exhibits'!H2411:H2415),"")</f>
        <v/>
      </c>
      <c r="I2415" s="3">
        <f>IF(ISNUMBER(AVERAGE('20250815_ETF_Options_Exhibits'!I2411:I2415)),AVERAGE('20250815_ETF_Options_Exhibits'!I2411:I2415),"")</f>
        <v/>
      </c>
      <c r="J2415" s="3">
        <f>IF(ISNUMBER(AVERAGE('20250815_ETF_Options_Exhibits'!J2411:J2415)),AVERAGE('20250815_ETF_Options_Exhibits'!J2411:J2415),"")</f>
        <v/>
      </c>
      <c r="K2415" s="3">
        <f>IF(ISNUMBER(AVERAGE('20250815_ETF_Options_Exhibits'!K2411:K2415)),AVERAGE('20250815_ETF_Options_Exhibits'!K2411:K2415),"")</f>
        <v/>
      </c>
      <c r="L2415" s="3">
        <f>IF(ISNUMBER(AVERAGE('20250815_ETF_Options_Exhibits'!L2411:L2415)),AVERAGE('20250815_ETF_Options_Exhibits'!L2411:L2415),"")</f>
        <v/>
      </c>
      <c r="M2415" s="3">
        <f>IF(ISNUMBER(AVERAGE('20250815_ETF_Options_Exhibits'!M2411:M2415)),AVERAGE('20250815_ETF_Options_Exhibits'!M2411:M2415),"")</f>
        <v/>
      </c>
      <c r="N2415" s="3">
        <f>IF(ISNUMBER(AVERAGE('20250815_ETF_Options_Exhibits'!N2411:N2415)),AVERAGE('20250815_ETF_Options_Exhibits'!N2411:N2415),"")</f>
        <v/>
      </c>
      <c r="O2415" s="3">
        <f>IF(ISNUMBER(AVERAGE('20250815_ETF_Options_Exhibits'!O2411:O2415)),AVERAGE('20250815_ETF_Options_Exhibits'!O2411:O2415),"")</f>
        <v/>
      </c>
      <c r="P2415" s="3">
        <f>IF(ISNUMBER(AVERAGE('20250815_ETF_Options_Exhibits'!P2411:P2415)),AVERAGE('20250815_ETF_Options_Exhibits'!P2411:P2415),"")</f>
        <v/>
      </c>
      <c r="Q2415" s="3">
        <f>IF(ISNUMBER(AVERAGE('20250815_ETF_Options_Exhibits'!Q2411:Q2415)),AVERAGE('20250815_ETF_Options_Exhibits'!Q2411:Q2415),"")</f>
        <v/>
      </c>
      <c r="R2415" s="3">
        <f>IF(ISNUMBER(AVERAGE('20250815_ETF_Options_Exhibits'!R2411:R2415)),AVERAGE('20250815_ETF_Options_Exhibits'!R2411:R2415),"")</f>
        <v/>
      </c>
      <c r="S2415" s="3">
        <f>IF(ISNUMBER(AVERAGE('20250815_ETF_Options_Exhibits'!S2411:S2415)),AVERAGE('20250815_ETF_Options_Exhibits'!S2411:S2415),"")</f>
        <v/>
      </c>
      <c r="T2415" s="3">
        <f>IF(ISNUMBER(AVERAGE('20250815_ETF_Options_Exhibits'!T2411:T2415)),AVERAGE('20250815_ETF_Options_Exhibits'!T2411:T2415),"")</f>
        <v/>
      </c>
      <c r="U2415" s="3">
        <f>IF(ISNUMBER(AVERAGE('20250815_ETF_Options_Exhibits'!U2411:U2415)),AVERAGE('20250815_ETF_Options_Exhibits'!U2411:U2415),"")</f>
        <v/>
      </c>
      <c r="V2415" s="3">
        <f>IF(ISNUMBER(AVERAGE('20250815_ETF_Options_Exhibits'!V2411:V2415)),AVERAGE('20250815_ETF_Options_Exhibits'!V2411:V2415),"")</f>
        <v/>
      </c>
      <c r="W2415" s="3">
        <f>IF(ISNUMBER(AVERAGE('20250815_ETF_Options_Exhibits'!W2411:W2415)),AVERAGE('20250815_ETF_Options_Exhibits'!W2411:W2415),"")</f>
        <v/>
      </c>
      <c r="X2415" s="3">
        <f>IF(ISNUMBER(AVERAGE('20250815_ETF_Options_Exhibits'!X2411:X2415)),AVERAGE('20250815_ETF_Options_Exhibits'!X2411:X2415),"")</f>
        <v/>
      </c>
      <c r="Y2415" s="3">
        <f>IF(ISNUMBER(AVERAGE('20250815_ETF_Options_Exhibits'!Y2411:Y2415)),AVERAGE('20250815_ETF_Options_Exhibits'!Y2411:Y2415),"")</f>
        <v/>
      </c>
      <c r="Z2415" s="3">
        <f>IF(ISNUMBER(AVERAGE('20250815_ETF_Options_Exhibits'!Z2411:Z2415)),AVERAGE('20250815_ETF_Options_Exhibits'!Z2411:Z2415),"")</f>
        <v/>
      </c>
      <c r="AA2415" s="3">
        <f>IF(ISNUMBER(AVERAGE('20250815_ETF_Options_Exhibits'!AA2411:AA2415)),AVERAGE('20250815_ETF_Options_Exhibits'!AA2411:AA2415),"")</f>
        <v/>
      </c>
    </row>
    <row r="2416">
      <c r="A2416" s="1" t="n">
        <v>45510</v>
      </c>
      <c r="B2416" s="3">
        <f>IF(ISNUMBER(AVERAGE('20250815_ETF_Options_Exhibits'!B2412:B2416)),AVERAGE('20250815_ETF_Options_Exhibits'!B2412:B2416),"")</f>
        <v/>
      </c>
      <c r="C2416" s="3">
        <f>IF(ISNUMBER(AVERAGE('20250815_ETF_Options_Exhibits'!C2412:C2416)),AVERAGE('20250815_ETF_Options_Exhibits'!C2412:C2416),"")</f>
        <v/>
      </c>
      <c r="D2416" s="3">
        <f>IF(ISNUMBER(AVERAGE('20250815_ETF_Options_Exhibits'!D2412:D2416)),AVERAGE('20250815_ETF_Options_Exhibits'!D2412:D2416),"")</f>
        <v/>
      </c>
      <c r="E2416" s="3">
        <f>IF(ISNUMBER(AVERAGE('20250815_ETF_Options_Exhibits'!E2412:E2416)),AVERAGE('20250815_ETF_Options_Exhibits'!E2412:E2416),"")</f>
        <v/>
      </c>
      <c r="F2416" s="3">
        <f>IF(ISNUMBER(AVERAGE('20250815_ETF_Options_Exhibits'!F2412:F2416)),AVERAGE('20250815_ETF_Options_Exhibits'!F2412:F2416),"")</f>
        <v/>
      </c>
      <c r="G2416" s="3">
        <f>IF(ISNUMBER(AVERAGE('20250815_ETF_Options_Exhibits'!G2412:G2416)),AVERAGE('20250815_ETF_Options_Exhibits'!G2412:G2416),"")</f>
        <v/>
      </c>
      <c r="H2416" s="3">
        <f>IF(ISNUMBER(AVERAGE('20250815_ETF_Options_Exhibits'!H2412:H2416)),AVERAGE('20250815_ETF_Options_Exhibits'!H2412:H2416),"")</f>
        <v/>
      </c>
      <c r="I2416" s="3">
        <f>IF(ISNUMBER(AVERAGE('20250815_ETF_Options_Exhibits'!I2412:I2416)),AVERAGE('20250815_ETF_Options_Exhibits'!I2412:I2416),"")</f>
        <v/>
      </c>
      <c r="J2416" s="3">
        <f>IF(ISNUMBER(AVERAGE('20250815_ETF_Options_Exhibits'!J2412:J2416)),AVERAGE('20250815_ETF_Options_Exhibits'!J2412:J2416),"")</f>
        <v/>
      </c>
      <c r="K2416" s="3">
        <f>IF(ISNUMBER(AVERAGE('20250815_ETF_Options_Exhibits'!K2412:K2416)),AVERAGE('20250815_ETF_Options_Exhibits'!K2412:K2416),"")</f>
        <v/>
      </c>
      <c r="L2416" s="3">
        <f>IF(ISNUMBER(AVERAGE('20250815_ETF_Options_Exhibits'!L2412:L2416)),AVERAGE('20250815_ETF_Options_Exhibits'!L2412:L2416),"")</f>
        <v/>
      </c>
      <c r="M2416" s="3">
        <f>IF(ISNUMBER(AVERAGE('20250815_ETF_Options_Exhibits'!M2412:M2416)),AVERAGE('20250815_ETF_Options_Exhibits'!M2412:M2416),"")</f>
        <v/>
      </c>
      <c r="N2416" s="3">
        <f>IF(ISNUMBER(AVERAGE('20250815_ETF_Options_Exhibits'!N2412:N2416)),AVERAGE('20250815_ETF_Options_Exhibits'!N2412:N2416),"")</f>
        <v/>
      </c>
      <c r="O2416" s="3">
        <f>IF(ISNUMBER(AVERAGE('20250815_ETF_Options_Exhibits'!O2412:O2416)),AVERAGE('20250815_ETF_Options_Exhibits'!O2412:O2416),"")</f>
        <v/>
      </c>
      <c r="P2416" s="3">
        <f>IF(ISNUMBER(AVERAGE('20250815_ETF_Options_Exhibits'!P2412:P2416)),AVERAGE('20250815_ETF_Options_Exhibits'!P2412:P2416),"")</f>
        <v/>
      </c>
      <c r="Q2416" s="3">
        <f>IF(ISNUMBER(AVERAGE('20250815_ETF_Options_Exhibits'!Q2412:Q2416)),AVERAGE('20250815_ETF_Options_Exhibits'!Q2412:Q2416),"")</f>
        <v/>
      </c>
      <c r="R2416" s="3">
        <f>IF(ISNUMBER(AVERAGE('20250815_ETF_Options_Exhibits'!R2412:R2416)),AVERAGE('20250815_ETF_Options_Exhibits'!R2412:R2416),"")</f>
        <v/>
      </c>
      <c r="S2416" s="3">
        <f>IF(ISNUMBER(AVERAGE('20250815_ETF_Options_Exhibits'!S2412:S2416)),AVERAGE('20250815_ETF_Options_Exhibits'!S2412:S2416),"")</f>
        <v/>
      </c>
      <c r="T2416" s="3">
        <f>IF(ISNUMBER(AVERAGE('20250815_ETF_Options_Exhibits'!T2412:T2416)),AVERAGE('20250815_ETF_Options_Exhibits'!T2412:T2416),"")</f>
        <v/>
      </c>
      <c r="U2416" s="3">
        <f>IF(ISNUMBER(AVERAGE('20250815_ETF_Options_Exhibits'!U2412:U2416)),AVERAGE('20250815_ETF_Options_Exhibits'!U2412:U2416),"")</f>
        <v/>
      </c>
      <c r="V2416" s="3">
        <f>IF(ISNUMBER(AVERAGE('20250815_ETF_Options_Exhibits'!V2412:V2416)),AVERAGE('20250815_ETF_Options_Exhibits'!V2412:V2416),"")</f>
        <v/>
      </c>
      <c r="W2416" s="3">
        <f>IF(ISNUMBER(AVERAGE('20250815_ETF_Options_Exhibits'!W2412:W2416)),AVERAGE('20250815_ETF_Options_Exhibits'!W2412:W2416),"")</f>
        <v/>
      </c>
      <c r="X2416" s="3">
        <f>IF(ISNUMBER(AVERAGE('20250815_ETF_Options_Exhibits'!X2412:X2416)),AVERAGE('20250815_ETF_Options_Exhibits'!X2412:X2416),"")</f>
        <v/>
      </c>
      <c r="Y2416" s="3">
        <f>IF(ISNUMBER(AVERAGE('20250815_ETF_Options_Exhibits'!Y2412:Y2416)),AVERAGE('20250815_ETF_Options_Exhibits'!Y2412:Y2416),"")</f>
        <v/>
      </c>
      <c r="Z2416" s="3">
        <f>IF(ISNUMBER(AVERAGE('20250815_ETF_Options_Exhibits'!Z2412:Z2416)),AVERAGE('20250815_ETF_Options_Exhibits'!Z2412:Z2416),"")</f>
        <v/>
      </c>
      <c r="AA2416" s="3">
        <f>IF(ISNUMBER(AVERAGE('20250815_ETF_Options_Exhibits'!AA2412:AA2416)),AVERAGE('20250815_ETF_Options_Exhibits'!AA2412:AA2416),"")</f>
        <v/>
      </c>
    </row>
    <row r="2417">
      <c r="A2417" s="1" t="n">
        <v>45511</v>
      </c>
      <c r="B2417" s="3">
        <f>IF(ISNUMBER(AVERAGE('20250815_ETF_Options_Exhibits'!B2413:B2417)),AVERAGE('20250815_ETF_Options_Exhibits'!B2413:B2417),"")</f>
        <v/>
      </c>
      <c r="C2417" s="3">
        <f>IF(ISNUMBER(AVERAGE('20250815_ETF_Options_Exhibits'!C2413:C2417)),AVERAGE('20250815_ETF_Options_Exhibits'!C2413:C2417),"")</f>
        <v/>
      </c>
      <c r="D2417" s="3">
        <f>IF(ISNUMBER(AVERAGE('20250815_ETF_Options_Exhibits'!D2413:D2417)),AVERAGE('20250815_ETF_Options_Exhibits'!D2413:D2417),"")</f>
        <v/>
      </c>
      <c r="E2417" s="3">
        <f>IF(ISNUMBER(AVERAGE('20250815_ETF_Options_Exhibits'!E2413:E2417)),AVERAGE('20250815_ETF_Options_Exhibits'!E2413:E2417),"")</f>
        <v/>
      </c>
      <c r="F2417" s="3">
        <f>IF(ISNUMBER(AVERAGE('20250815_ETF_Options_Exhibits'!F2413:F2417)),AVERAGE('20250815_ETF_Options_Exhibits'!F2413:F2417),"")</f>
        <v/>
      </c>
      <c r="G2417" s="3">
        <f>IF(ISNUMBER(AVERAGE('20250815_ETF_Options_Exhibits'!G2413:G2417)),AVERAGE('20250815_ETF_Options_Exhibits'!G2413:G2417),"")</f>
        <v/>
      </c>
      <c r="H2417" s="3">
        <f>IF(ISNUMBER(AVERAGE('20250815_ETF_Options_Exhibits'!H2413:H2417)),AVERAGE('20250815_ETF_Options_Exhibits'!H2413:H2417),"")</f>
        <v/>
      </c>
      <c r="I2417" s="3">
        <f>IF(ISNUMBER(AVERAGE('20250815_ETF_Options_Exhibits'!I2413:I2417)),AVERAGE('20250815_ETF_Options_Exhibits'!I2413:I2417),"")</f>
        <v/>
      </c>
      <c r="J2417" s="3">
        <f>IF(ISNUMBER(AVERAGE('20250815_ETF_Options_Exhibits'!J2413:J2417)),AVERAGE('20250815_ETF_Options_Exhibits'!J2413:J2417),"")</f>
        <v/>
      </c>
      <c r="K2417" s="3">
        <f>IF(ISNUMBER(AVERAGE('20250815_ETF_Options_Exhibits'!K2413:K2417)),AVERAGE('20250815_ETF_Options_Exhibits'!K2413:K2417),"")</f>
        <v/>
      </c>
      <c r="L2417" s="3">
        <f>IF(ISNUMBER(AVERAGE('20250815_ETF_Options_Exhibits'!L2413:L2417)),AVERAGE('20250815_ETF_Options_Exhibits'!L2413:L2417),"")</f>
        <v/>
      </c>
      <c r="M2417" s="3">
        <f>IF(ISNUMBER(AVERAGE('20250815_ETF_Options_Exhibits'!M2413:M2417)),AVERAGE('20250815_ETF_Options_Exhibits'!M2413:M2417),"")</f>
        <v/>
      </c>
      <c r="N2417" s="3">
        <f>IF(ISNUMBER(AVERAGE('20250815_ETF_Options_Exhibits'!N2413:N2417)),AVERAGE('20250815_ETF_Options_Exhibits'!N2413:N2417),"")</f>
        <v/>
      </c>
      <c r="O2417" s="3">
        <f>IF(ISNUMBER(AVERAGE('20250815_ETF_Options_Exhibits'!O2413:O2417)),AVERAGE('20250815_ETF_Options_Exhibits'!O2413:O2417),"")</f>
        <v/>
      </c>
      <c r="P2417" s="3">
        <f>IF(ISNUMBER(AVERAGE('20250815_ETF_Options_Exhibits'!P2413:P2417)),AVERAGE('20250815_ETF_Options_Exhibits'!P2413:P2417),"")</f>
        <v/>
      </c>
      <c r="Q2417" s="3">
        <f>IF(ISNUMBER(AVERAGE('20250815_ETF_Options_Exhibits'!Q2413:Q2417)),AVERAGE('20250815_ETF_Options_Exhibits'!Q2413:Q2417),"")</f>
        <v/>
      </c>
      <c r="R2417" s="3">
        <f>IF(ISNUMBER(AVERAGE('20250815_ETF_Options_Exhibits'!R2413:R2417)),AVERAGE('20250815_ETF_Options_Exhibits'!R2413:R2417),"")</f>
        <v/>
      </c>
      <c r="S2417" s="3">
        <f>IF(ISNUMBER(AVERAGE('20250815_ETF_Options_Exhibits'!S2413:S2417)),AVERAGE('20250815_ETF_Options_Exhibits'!S2413:S2417),"")</f>
        <v/>
      </c>
      <c r="T2417" s="3">
        <f>IF(ISNUMBER(AVERAGE('20250815_ETF_Options_Exhibits'!T2413:T2417)),AVERAGE('20250815_ETF_Options_Exhibits'!T2413:T2417),"")</f>
        <v/>
      </c>
      <c r="U2417" s="3">
        <f>IF(ISNUMBER(AVERAGE('20250815_ETF_Options_Exhibits'!U2413:U2417)),AVERAGE('20250815_ETF_Options_Exhibits'!U2413:U2417),"")</f>
        <v/>
      </c>
      <c r="V2417" s="3">
        <f>IF(ISNUMBER(AVERAGE('20250815_ETF_Options_Exhibits'!V2413:V2417)),AVERAGE('20250815_ETF_Options_Exhibits'!V2413:V2417),"")</f>
        <v/>
      </c>
      <c r="W2417" s="3">
        <f>IF(ISNUMBER(AVERAGE('20250815_ETF_Options_Exhibits'!W2413:W2417)),AVERAGE('20250815_ETF_Options_Exhibits'!W2413:W2417),"")</f>
        <v/>
      </c>
      <c r="X2417" s="3">
        <f>IF(ISNUMBER(AVERAGE('20250815_ETF_Options_Exhibits'!X2413:X2417)),AVERAGE('20250815_ETF_Options_Exhibits'!X2413:X2417),"")</f>
        <v/>
      </c>
      <c r="Y2417" s="3">
        <f>IF(ISNUMBER(AVERAGE('20250815_ETF_Options_Exhibits'!Y2413:Y2417)),AVERAGE('20250815_ETF_Options_Exhibits'!Y2413:Y2417),"")</f>
        <v/>
      </c>
      <c r="Z2417" s="3">
        <f>IF(ISNUMBER(AVERAGE('20250815_ETF_Options_Exhibits'!Z2413:Z2417)),AVERAGE('20250815_ETF_Options_Exhibits'!Z2413:Z2417),"")</f>
        <v/>
      </c>
      <c r="AA2417" s="3">
        <f>IF(ISNUMBER(AVERAGE('20250815_ETF_Options_Exhibits'!AA2413:AA2417)),AVERAGE('20250815_ETF_Options_Exhibits'!AA2413:AA2417),"")</f>
        <v/>
      </c>
    </row>
    <row r="2418">
      <c r="A2418" s="1" t="n">
        <v>45512</v>
      </c>
      <c r="B2418" s="3">
        <f>IF(ISNUMBER(AVERAGE('20250815_ETF_Options_Exhibits'!B2414:B2418)),AVERAGE('20250815_ETF_Options_Exhibits'!B2414:B2418),"")</f>
        <v/>
      </c>
      <c r="C2418" s="3">
        <f>IF(ISNUMBER(AVERAGE('20250815_ETF_Options_Exhibits'!C2414:C2418)),AVERAGE('20250815_ETF_Options_Exhibits'!C2414:C2418),"")</f>
        <v/>
      </c>
      <c r="D2418" s="3">
        <f>IF(ISNUMBER(AVERAGE('20250815_ETF_Options_Exhibits'!D2414:D2418)),AVERAGE('20250815_ETF_Options_Exhibits'!D2414:D2418),"")</f>
        <v/>
      </c>
      <c r="E2418" s="3">
        <f>IF(ISNUMBER(AVERAGE('20250815_ETF_Options_Exhibits'!E2414:E2418)),AVERAGE('20250815_ETF_Options_Exhibits'!E2414:E2418),"")</f>
        <v/>
      </c>
      <c r="F2418" s="3">
        <f>IF(ISNUMBER(AVERAGE('20250815_ETF_Options_Exhibits'!F2414:F2418)),AVERAGE('20250815_ETF_Options_Exhibits'!F2414:F2418),"")</f>
        <v/>
      </c>
      <c r="G2418" s="3">
        <f>IF(ISNUMBER(AVERAGE('20250815_ETF_Options_Exhibits'!G2414:G2418)),AVERAGE('20250815_ETF_Options_Exhibits'!G2414:G2418),"")</f>
        <v/>
      </c>
      <c r="H2418" s="3">
        <f>IF(ISNUMBER(AVERAGE('20250815_ETF_Options_Exhibits'!H2414:H2418)),AVERAGE('20250815_ETF_Options_Exhibits'!H2414:H2418),"")</f>
        <v/>
      </c>
      <c r="I2418" s="3">
        <f>IF(ISNUMBER(AVERAGE('20250815_ETF_Options_Exhibits'!I2414:I2418)),AVERAGE('20250815_ETF_Options_Exhibits'!I2414:I2418),"")</f>
        <v/>
      </c>
      <c r="J2418" s="3">
        <f>IF(ISNUMBER(AVERAGE('20250815_ETF_Options_Exhibits'!J2414:J2418)),AVERAGE('20250815_ETF_Options_Exhibits'!J2414:J2418),"")</f>
        <v/>
      </c>
      <c r="K2418" s="3">
        <f>IF(ISNUMBER(AVERAGE('20250815_ETF_Options_Exhibits'!K2414:K2418)),AVERAGE('20250815_ETF_Options_Exhibits'!K2414:K2418),"")</f>
        <v/>
      </c>
      <c r="L2418" s="3">
        <f>IF(ISNUMBER(AVERAGE('20250815_ETF_Options_Exhibits'!L2414:L2418)),AVERAGE('20250815_ETF_Options_Exhibits'!L2414:L2418),"")</f>
        <v/>
      </c>
      <c r="M2418" s="3">
        <f>IF(ISNUMBER(AVERAGE('20250815_ETF_Options_Exhibits'!M2414:M2418)),AVERAGE('20250815_ETF_Options_Exhibits'!M2414:M2418),"")</f>
        <v/>
      </c>
      <c r="N2418" s="3">
        <f>IF(ISNUMBER(AVERAGE('20250815_ETF_Options_Exhibits'!N2414:N2418)),AVERAGE('20250815_ETF_Options_Exhibits'!N2414:N2418),"")</f>
        <v/>
      </c>
      <c r="O2418" s="3">
        <f>IF(ISNUMBER(AVERAGE('20250815_ETF_Options_Exhibits'!O2414:O2418)),AVERAGE('20250815_ETF_Options_Exhibits'!O2414:O2418),"")</f>
        <v/>
      </c>
      <c r="P2418" s="3">
        <f>IF(ISNUMBER(AVERAGE('20250815_ETF_Options_Exhibits'!P2414:P2418)),AVERAGE('20250815_ETF_Options_Exhibits'!P2414:P2418),"")</f>
        <v/>
      </c>
      <c r="Q2418" s="3">
        <f>IF(ISNUMBER(AVERAGE('20250815_ETF_Options_Exhibits'!Q2414:Q2418)),AVERAGE('20250815_ETF_Options_Exhibits'!Q2414:Q2418),"")</f>
        <v/>
      </c>
      <c r="R2418" s="3">
        <f>IF(ISNUMBER(AVERAGE('20250815_ETF_Options_Exhibits'!R2414:R2418)),AVERAGE('20250815_ETF_Options_Exhibits'!R2414:R2418),"")</f>
        <v/>
      </c>
      <c r="S2418" s="3">
        <f>IF(ISNUMBER(AVERAGE('20250815_ETF_Options_Exhibits'!S2414:S2418)),AVERAGE('20250815_ETF_Options_Exhibits'!S2414:S2418),"")</f>
        <v/>
      </c>
      <c r="T2418" s="3">
        <f>IF(ISNUMBER(AVERAGE('20250815_ETF_Options_Exhibits'!T2414:T2418)),AVERAGE('20250815_ETF_Options_Exhibits'!T2414:T2418),"")</f>
        <v/>
      </c>
      <c r="U2418" s="3">
        <f>IF(ISNUMBER(AVERAGE('20250815_ETF_Options_Exhibits'!U2414:U2418)),AVERAGE('20250815_ETF_Options_Exhibits'!U2414:U2418),"")</f>
        <v/>
      </c>
      <c r="V2418" s="3">
        <f>IF(ISNUMBER(AVERAGE('20250815_ETF_Options_Exhibits'!V2414:V2418)),AVERAGE('20250815_ETF_Options_Exhibits'!V2414:V2418),"")</f>
        <v/>
      </c>
      <c r="W2418" s="3">
        <f>IF(ISNUMBER(AVERAGE('20250815_ETF_Options_Exhibits'!W2414:W2418)),AVERAGE('20250815_ETF_Options_Exhibits'!W2414:W2418),"")</f>
        <v/>
      </c>
      <c r="X2418" s="3">
        <f>IF(ISNUMBER(AVERAGE('20250815_ETF_Options_Exhibits'!X2414:X2418)),AVERAGE('20250815_ETF_Options_Exhibits'!X2414:X2418),"")</f>
        <v/>
      </c>
      <c r="Y2418" s="3">
        <f>IF(ISNUMBER(AVERAGE('20250815_ETF_Options_Exhibits'!Y2414:Y2418)),AVERAGE('20250815_ETF_Options_Exhibits'!Y2414:Y2418),"")</f>
        <v/>
      </c>
      <c r="Z2418" s="3">
        <f>IF(ISNUMBER(AVERAGE('20250815_ETF_Options_Exhibits'!Z2414:Z2418)),AVERAGE('20250815_ETF_Options_Exhibits'!Z2414:Z2418),"")</f>
        <v/>
      </c>
      <c r="AA2418" s="3">
        <f>IF(ISNUMBER(AVERAGE('20250815_ETF_Options_Exhibits'!AA2414:AA2418)),AVERAGE('20250815_ETF_Options_Exhibits'!AA2414:AA2418),"")</f>
        <v/>
      </c>
    </row>
    <row r="2419">
      <c r="A2419" s="1" t="n">
        <v>45513</v>
      </c>
      <c r="B2419" s="3">
        <f>IF(ISNUMBER(AVERAGE('20250815_ETF_Options_Exhibits'!B2415:B2419)),AVERAGE('20250815_ETF_Options_Exhibits'!B2415:B2419),"")</f>
        <v/>
      </c>
      <c r="C2419" s="3">
        <f>IF(ISNUMBER(AVERAGE('20250815_ETF_Options_Exhibits'!C2415:C2419)),AVERAGE('20250815_ETF_Options_Exhibits'!C2415:C2419),"")</f>
        <v/>
      </c>
      <c r="D2419" s="3">
        <f>IF(ISNUMBER(AVERAGE('20250815_ETF_Options_Exhibits'!D2415:D2419)),AVERAGE('20250815_ETF_Options_Exhibits'!D2415:D2419),"")</f>
        <v/>
      </c>
      <c r="E2419" s="3">
        <f>IF(ISNUMBER(AVERAGE('20250815_ETF_Options_Exhibits'!E2415:E2419)),AVERAGE('20250815_ETF_Options_Exhibits'!E2415:E2419),"")</f>
        <v/>
      </c>
      <c r="F2419" s="3">
        <f>IF(ISNUMBER(AVERAGE('20250815_ETF_Options_Exhibits'!F2415:F2419)),AVERAGE('20250815_ETF_Options_Exhibits'!F2415:F2419),"")</f>
        <v/>
      </c>
      <c r="G2419" s="3">
        <f>IF(ISNUMBER(AVERAGE('20250815_ETF_Options_Exhibits'!G2415:G2419)),AVERAGE('20250815_ETF_Options_Exhibits'!G2415:G2419),"")</f>
        <v/>
      </c>
      <c r="H2419" s="3">
        <f>IF(ISNUMBER(AVERAGE('20250815_ETF_Options_Exhibits'!H2415:H2419)),AVERAGE('20250815_ETF_Options_Exhibits'!H2415:H2419),"")</f>
        <v/>
      </c>
      <c r="I2419" s="3">
        <f>IF(ISNUMBER(AVERAGE('20250815_ETF_Options_Exhibits'!I2415:I2419)),AVERAGE('20250815_ETF_Options_Exhibits'!I2415:I2419),"")</f>
        <v/>
      </c>
      <c r="J2419" s="3">
        <f>IF(ISNUMBER(AVERAGE('20250815_ETF_Options_Exhibits'!J2415:J2419)),AVERAGE('20250815_ETF_Options_Exhibits'!J2415:J2419),"")</f>
        <v/>
      </c>
      <c r="K2419" s="3">
        <f>IF(ISNUMBER(AVERAGE('20250815_ETF_Options_Exhibits'!K2415:K2419)),AVERAGE('20250815_ETF_Options_Exhibits'!K2415:K2419),"")</f>
        <v/>
      </c>
      <c r="L2419" s="3">
        <f>IF(ISNUMBER(AVERAGE('20250815_ETF_Options_Exhibits'!L2415:L2419)),AVERAGE('20250815_ETF_Options_Exhibits'!L2415:L2419),"")</f>
        <v/>
      </c>
      <c r="M2419" s="3">
        <f>IF(ISNUMBER(AVERAGE('20250815_ETF_Options_Exhibits'!M2415:M2419)),AVERAGE('20250815_ETF_Options_Exhibits'!M2415:M2419),"")</f>
        <v/>
      </c>
      <c r="N2419" s="3">
        <f>IF(ISNUMBER(AVERAGE('20250815_ETF_Options_Exhibits'!N2415:N2419)),AVERAGE('20250815_ETF_Options_Exhibits'!N2415:N2419),"")</f>
        <v/>
      </c>
      <c r="O2419" s="3">
        <f>IF(ISNUMBER(AVERAGE('20250815_ETF_Options_Exhibits'!O2415:O2419)),AVERAGE('20250815_ETF_Options_Exhibits'!O2415:O2419),"")</f>
        <v/>
      </c>
      <c r="P2419" s="3">
        <f>IF(ISNUMBER(AVERAGE('20250815_ETF_Options_Exhibits'!P2415:P2419)),AVERAGE('20250815_ETF_Options_Exhibits'!P2415:P2419),"")</f>
        <v/>
      </c>
      <c r="Q2419" s="3">
        <f>IF(ISNUMBER(AVERAGE('20250815_ETF_Options_Exhibits'!Q2415:Q2419)),AVERAGE('20250815_ETF_Options_Exhibits'!Q2415:Q2419),"")</f>
        <v/>
      </c>
      <c r="R2419" s="3">
        <f>IF(ISNUMBER(AVERAGE('20250815_ETF_Options_Exhibits'!R2415:R2419)),AVERAGE('20250815_ETF_Options_Exhibits'!R2415:R2419),"")</f>
        <v/>
      </c>
      <c r="S2419" s="3">
        <f>IF(ISNUMBER(AVERAGE('20250815_ETF_Options_Exhibits'!S2415:S2419)),AVERAGE('20250815_ETF_Options_Exhibits'!S2415:S2419),"")</f>
        <v/>
      </c>
      <c r="T2419" s="3">
        <f>IF(ISNUMBER(AVERAGE('20250815_ETF_Options_Exhibits'!T2415:T2419)),AVERAGE('20250815_ETF_Options_Exhibits'!T2415:T2419),"")</f>
        <v/>
      </c>
      <c r="U2419" s="3">
        <f>IF(ISNUMBER(AVERAGE('20250815_ETF_Options_Exhibits'!U2415:U2419)),AVERAGE('20250815_ETF_Options_Exhibits'!U2415:U2419),"")</f>
        <v/>
      </c>
      <c r="V2419" s="3">
        <f>IF(ISNUMBER(AVERAGE('20250815_ETF_Options_Exhibits'!V2415:V2419)),AVERAGE('20250815_ETF_Options_Exhibits'!V2415:V2419),"")</f>
        <v/>
      </c>
      <c r="W2419" s="3">
        <f>IF(ISNUMBER(AVERAGE('20250815_ETF_Options_Exhibits'!W2415:W2419)),AVERAGE('20250815_ETF_Options_Exhibits'!W2415:W2419),"")</f>
        <v/>
      </c>
      <c r="X2419" s="3">
        <f>IF(ISNUMBER(AVERAGE('20250815_ETF_Options_Exhibits'!X2415:X2419)),AVERAGE('20250815_ETF_Options_Exhibits'!X2415:X2419),"")</f>
        <v/>
      </c>
      <c r="Y2419" s="3">
        <f>IF(ISNUMBER(AVERAGE('20250815_ETF_Options_Exhibits'!Y2415:Y2419)),AVERAGE('20250815_ETF_Options_Exhibits'!Y2415:Y2419),"")</f>
        <v/>
      </c>
      <c r="Z2419" s="3">
        <f>IF(ISNUMBER(AVERAGE('20250815_ETF_Options_Exhibits'!Z2415:Z2419)),AVERAGE('20250815_ETF_Options_Exhibits'!Z2415:Z2419),"")</f>
        <v/>
      </c>
      <c r="AA2419" s="3">
        <f>IF(ISNUMBER(AVERAGE('20250815_ETF_Options_Exhibits'!AA2415:AA2419)),AVERAGE('20250815_ETF_Options_Exhibits'!AA2415:AA2419),"")</f>
        <v/>
      </c>
    </row>
    <row r="2420">
      <c r="A2420" s="1" t="n">
        <v>45516</v>
      </c>
      <c r="B2420" s="3">
        <f>IF(ISNUMBER(AVERAGE('20250815_ETF_Options_Exhibits'!B2416:B2420)),AVERAGE('20250815_ETF_Options_Exhibits'!B2416:B2420),"")</f>
        <v/>
      </c>
      <c r="C2420" s="3">
        <f>IF(ISNUMBER(AVERAGE('20250815_ETF_Options_Exhibits'!C2416:C2420)),AVERAGE('20250815_ETF_Options_Exhibits'!C2416:C2420),"")</f>
        <v/>
      </c>
      <c r="D2420" s="3">
        <f>IF(ISNUMBER(AVERAGE('20250815_ETF_Options_Exhibits'!D2416:D2420)),AVERAGE('20250815_ETF_Options_Exhibits'!D2416:D2420),"")</f>
        <v/>
      </c>
      <c r="E2420" s="3">
        <f>IF(ISNUMBER(AVERAGE('20250815_ETF_Options_Exhibits'!E2416:E2420)),AVERAGE('20250815_ETF_Options_Exhibits'!E2416:E2420),"")</f>
        <v/>
      </c>
      <c r="F2420" s="3">
        <f>IF(ISNUMBER(AVERAGE('20250815_ETF_Options_Exhibits'!F2416:F2420)),AVERAGE('20250815_ETF_Options_Exhibits'!F2416:F2420),"")</f>
        <v/>
      </c>
      <c r="G2420" s="3">
        <f>IF(ISNUMBER(AVERAGE('20250815_ETF_Options_Exhibits'!G2416:G2420)),AVERAGE('20250815_ETF_Options_Exhibits'!G2416:G2420),"")</f>
        <v/>
      </c>
      <c r="H2420" s="3">
        <f>IF(ISNUMBER(AVERAGE('20250815_ETF_Options_Exhibits'!H2416:H2420)),AVERAGE('20250815_ETF_Options_Exhibits'!H2416:H2420),"")</f>
        <v/>
      </c>
      <c r="I2420" s="3">
        <f>IF(ISNUMBER(AVERAGE('20250815_ETF_Options_Exhibits'!I2416:I2420)),AVERAGE('20250815_ETF_Options_Exhibits'!I2416:I2420),"")</f>
        <v/>
      </c>
      <c r="J2420" s="3">
        <f>IF(ISNUMBER(AVERAGE('20250815_ETF_Options_Exhibits'!J2416:J2420)),AVERAGE('20250815_ETF_Options_Exhibits'!J2416:J2420),"")</f>
        <v/>
      </c>
      <c r="K2420" s="3">
        <f>IF(ISNUMBER(AVERAGE('20250815_ETF_Options_Exhibits'!K2416:K2420)),AVERAGE('20250815_ETF_Options_Exhibits'!K2416:K2420),"")</f>
        <v/>
      </c>
      <c r="L2420" s="3">
        <f>IF(ISNUMBER(AVERAGE('20250815_ETF_Options_Exhibits'!L2416:L2420)),AVERAGE('20250815_ETF_Options_Exhibits'!L2416:L2420),"")</f>
        <v/>
      </c>
      <c r="M2420" s="3">
        <f>IF(ISNUMBER(AVERAGE('20250815_ETF_Options_Exhibits'!M2416:M2420)),AVERAGE('20250815_ETF_Options_Exhibits'!M2416:M2420),"")</f>
        <v/>
      </c>
      <c r="N2420" s="3">
        <f>IF(ISNUMBER(AVERAGE('20250815_ETF_Options_Exhibits'!N2416:N2420)),AVERAGE('20250815_ETF_Options_Exhibits'!N2416:N2420),"")</f>
        <v/>
      </c>
      <c r="O2420" s="3">
        <f>IF(ISNUMBER(AVERAGE('20250815_ETF_Options_Exhibits'!O2416:O2420)),AVERAGE('20250815_ETF_Options_Exhibits'!O2416:O2420),"")</f>
        <v/>
      </c>
      <c r="P2420" s="3">
        <f>IF(ISNUMBER(AVERAGE('20250815_ETF_Options_Exhibits'!P2416:P2420)),AVERAGE('20250815_ETF_Options_Exhibits'!P2416:P2420),"")</f>
        <v/>
      </c>
      <c r="Q2420" s="3">
        <f>IF(ISNUMBER(AVERAGE('20250815_ETF_Options_Exhibits'!Q2416:Q2420)),AVERAGE('20250815_ETF_Options_Exhibits'!Q2416:Q2420),"")</f>
        <v/>
      </c>
      <c r="R2420" s="3">
        <f>IF(ISNUMBER(AVERAGE('20250815_ETF_Options_Exhibits'!R2416:R2420)),AVERAGE('20250815_ETF_Options_Exhibits'!R2416:R2420),"")</f>
        <v/>
      </c>
      <c r="S2420" s="3">
        <f>IF(ISNUMBER(AVERAGE('20250815_ETF_Options_Exhibits'!S2416:S2420)),AVERAGE('20250815_ETF_Options_Exhibits'!S2416:S2420),"")</f>
        <v/>
      </c>
      <c r="T2420" s="3">
        <f>IF(ISNUMBER(AVERAGE('20250815_ETF_Options_Exhibits'!T2416:T2420)),AVERAGE('20250815_ETF_Options_Exhibits'!T2416:T2420),"")</f>
        <v/>
      </c>
      <c r="U2420" s="3">
        <f>IF(ISNUMBER(AVERAGE('20250815_ETF_Options_Exhibits'!U2416:U2420)),AVERAGE('20250815_ETF_Options_Exhibits'!U2416:U2420),"")</f>
        <v/>
      </c>
      <c r="V2420" s="3">
        <f>IF(ISNUMBER(AVERAGE('20250815_ETF_Options_Exhibits'!V2416:V2420)),AVERAGE('20250815_ETF_Options_Exhibits'!V2416:V2420),"")</f>
        <v/>
      </c>
      <c r="W2420" s="3">
        <f>IF(ISNUMBER(AVERAGE('20250815_ETF_Options_Exhibits'!W2416:W2420)),AVERAGE('20250815_ETF_Options_Exhibits'!W2416:W2420),"")</f>
        <v/>
      </c>
      <c r="X2420" s="3">
        <f>IF(ISNUMBER(AVERAGE('20250815_ETF_Options_Exhibits'!X2416:X2420)),AVERAGE('20250815_ETF_Options_Exhibits'!X2416:X2420),"")</f>
        <v/>
      </c>
      <c r="Y2420" s="3">
        <f>IF(ISNUMBER(AVERAGE('20250815_ETF_Options_Exhibits'!Y2416:Y2420)),AVERAGE('20250815_ETF_Options_Exhibits'!Y2416:Y2420),"")</f>
        <v/>
      </c>
      <c r="Z2420" s="3">
        <f>IF(ISNUMBER(AVERAGE('20250815_ETF_Options_Exhibits'!Z2416:Z2420)),AVERAGE('20250815_ETF_Options_Exhibits'!Z2416:Z2420),"")</f>
        <v/>
      </c>
      <c r="AA2420" s="3">
        <f>IF(ISNUMBER(AVERAGE('20250815_ETF_Options_Exhibits'!AA2416:AA2420)),AVERAGE('20250815_ETF_Options_Exhibits'!AA2416:AA2420),"")</f>
        <v/>
      </c>
    </row>
    <row r="2421">
      <c r="A2421" s="1" t="n">
        <v>45517</v>
      </c>
      <c r="B2421" s="3">
        <f>IF(ISNUMBER(AVERAGE('20250815_ETF_Options_Exhibits'!B2417:B2421)),AVERAGE('20250815_ETF_Options_Exhibits'!B2417:B2421),"")</f>
        <v/>
      </c>
      <c r="C2421" s="3">
        <f>IF(ISNUMBER(AVERAGE('20250815_ETF_Options_Exhibits'!C2417:C2421)),AVERAGE('20250815_ETF_Options_Exhibits'!C2417:C2421),"")</f>
        <v/>
      </c>
      <c r="D2421" s="3">
        <f>IF(ISNUMBER(AVERAGE('20250815_ETF_Options_Exhibits'!D2417:D2421)),AVERAGE('20250815_ETF_Options_Exhibits'!D2417:D2421),"")</f>
        <v/>
      </c>
      <c r="E2421" s="3">
        <f>IF(ISNUMBER(AVERAGE('20250815_ETF_Options_Exhibits'!E2417:E2421)),AVERAGE('20250815_ETF_Options_Exhibits'!E2417:E2421),"")</f>
        <v/>
      </c>
      <c r="F2421" s="3">
        <f>IF(ISNUMBER(AVERAGE('20250815_ETF_Options_Exhibits'!F2417:F2421)),AVERAGE('20250815_ETF_Options_Exhibits'!F2417:F2421),"")</f>
        <v/>
      </c>
      <c r="G2421" s="3">
        <f>IF(ISNUMBER(AVERAGE('20250815_ETF_Options_Exhibits'!G2417:G2421)),AVERAGE('20250815_ETF_Options_Exhibits'!G2417:G2421),"")</f>
        <v/>
      </c>
      <c r="H2421" s="3">
        <f>IF(ISNUMBER(AVERAGE('20250815_ETF_Options_Exhibits'!H2417:H2421)),AVERAGE('20250815_ETF_Options_Exhibits'!H2417:H2421),"")</f>
        <v/>
      </c>
      <c r="I2421" s="3">
        <f>IF(ISNUMBER(AVERAGE('20250815_ETF_Options_Exhibits'!I2417:I2421)),AVERAGE('20250815_ETF_Options_Exhibits'!I2417:I2421),"")</f>
        <v/>
      </c>
      <c r="J2421" s="3">
        <f>IF(ISNUMBER(AVERAGE('20250815_ETF_Options_Exhibits'!J2417:J2421)),AVERAGE('20250815_ETF_Options_Exhibits'!J2417:J2421),"")</f>
        <v/>
      </c>
      <c r="K2421" s="3">
        <f>IF(ISNUMBER(AVERAGE('20250815_ETF_Options_Exhibits'!K2417:K2421)),AVERAGE('20250815_ETF_Options_Exhibits'!K2417:K2421),"")</f>
        <v/>
      </c>
      <c r="L2421" s="3">
        <f>IF(ISNUMBER(AVERAGE('20250815_ETF_Options_Exhibits'!L2417:L2421)),AVERAGE('20250815_ETF_Options_Exhibits'!L2417:L2421),"")</f>
        <v/>
      </c>
      <c r="M2421" s="3">
        <f>IF(ISNUMBER(AVERAGE('20250815_ETF_Options_Exhibits'!M2417:M2421)),AVERAGE('20250815_ETF_Options_Exhibits'!M2417:M2421),"")</f>
        <v/>
      </c>
      <c r="N2421" s="3">
        <f>IF(ISNUMBER(AVERAGE('20250815_ETF_Options_Exhibits'!N2417:N2421)),AVERAGE('20250815_ETF_Options_Exhibits'!N2417:N2421),"")</f>
        <v/>
      </c>
      <c r="O2421" s="3">
        <f>IF(ISNUMBER(AVERAGE('20250815_ETF_Options_Exhibits'!O2417:O2421)),AVERAGE('20250815_ETF_Options_Exhibits'!O2417:O2421),"")</f>
        <v/>
      </c>
      <c r="P2421" s="3">
        <f>IF(ISNUMBER(AVERAGE('20250815_ETF_Options_Exhibits'!P2417:P2421)),AVERAGE('20250815_ETF_Options_Exhibits'!P2417:P2421),"")</f>
        <v/>
      </c>
      <c r="Q2421" s="3">
        <f>IF(ISNUMBER(AVERAGE('20250815_ETF_Options_Exhibits'!Q2417:Q2421)),AVERAGE('20250815_ETF_Options_Exhibits'!Q2417:Q2421),"")</f>
        <v/>
      </c>
      <c r="R2421" s="3">
        <f>IF(ISNUMBER(AVERAGE('20250815_ETF_Options_Exhibits'!R2417:R2421)),AVERAGE('20250815_ETF_Options_Exhibits'!R2417:R2421),"")</f>
        <v/>
      </c>
      <c r="S2421" s="3">
        <f>IF(ISNUMBER(AVERAGE('20250815_ETF_Options_Exhibits'!S2417:S2421)),AVERAGE('20250815_ETF_Options_Exhibits'!S2417:S2421),"")</f>
        <v/>
      </c>
      <c r="T2421" s="3">
        <f>IF(ISNUMBER(AVERAGE('20250815_ETF_Options_Exhibits'!T2417:T2421)),AVERAGE('20250815_ETF_Options_Exhibits'!T2417:T2421),"")</f>
        <v/>
      </c>
      <c r="U2421" s="3">
        <f>IF(ISNUMBER(AVERAGE('20250815_ETF_Options_Exhibits'!U2417:U2421)),AVERAGE('20250815_ETF_Options_Exhibits'!U2417:U2421),"")</f>
        <v/>
      </c>
      <c r="V2421" s="3">
        <f>IF(ISNUMBER(AVERAGE('20250815_ETF_Options_Exhibits'!V2417:V2421)),AVERAGE('20250815_ETF_Options_Exhibits'!V2417:V2421),"")</f>
        <v/>
      </c>
      <c r="W2421" s="3">
        <f>IF(ISNUMBER(AVERAGE('20250815_ETF_Options_Exhibits'!W2417:W2421)),AVERAGE('20250815_ETF_Options_Exhibits'!W2417:W2421),"")</f>
        <v/>
      </c>
      <c r="X2421" s="3">
        <f>IF(ISNUMBER(AVERAGE('20250815_ETF_Options_Exhibits'!X2417:X2421)),AVERAGE('20250815_ETF_Options_Exhibits'!X2417:X2421),"")</f>
        <v/>
      </c>
      <c r="Y2421" s="3">
        <f>IF(ISNUMBER(AVERAGE('20250815_ETF_Options_Exhibits'!Y2417:Y2421)),AVERAGE('20250815_ETF_Options_Exhibits'!Y2417:Y2421),"")</f>
        <v/>
      </c>
      <c r="Z2421" s="3">
        <f>IF(ISNUMBER(AVERAGE('20250815_ETF_Options_Exhibits'!Z2417:Z2421)),AVERAGE('20250815_ETF_Options_Exhibits'!Z2417:Z2421),"")</f>
        <v/>
      </c>
      <c r="AA2421" s="3">
        <f>IF(ISNUMBER(AVERAGE('20250815_ETF_Options_Exhibits'!AA2417:AA2421)),AVERAGE('20250815_ETF_Options_Exhibits'!AA2417:AA2421),"")</f>
        <v/>
      </c>
    </row>
    <row r="2422">
      <c r="A2422" s="1" t="n">
        <v>45518</v>
      </c>
      <c r="B2422" s="3">
        <f>IF(ISNUMBER(AVERAGE('20250815_ETF_Options_Exhibits'!B2418:B2422)),AVERAGE('20250815_ETF_Options_Exhibits'!B2418:B2422),"")</f>
        <v/>
      </c>
      <c r="C2422" s="3">
        <f>IF(ISNUMBER(AVERAGE('20250815_ETF_Options_Exhibits'!C2418:C2422)),AVERAGE('20250815_ETF_Options_Exhibits'!C2418:C2422),"")</f>
        <v/>
      </c>
      <c r="D2422" s="3">
        <f>IF(ISNUMBER(AVERAGE('20250815_ETF_Options_Exhibits'!D2418:D2422)),AVERAGE('20250815_ETF_Options_Exhibits'!D2418:D2422),"")</f>
        <v/>
      </c>
      <c r="E2422" s="3">
        <f>IF(ISNUMBER(AVERAGE('20250815_ETF_Options_Exhibits'!E2418:E2422)),AVERAGE('20250815_ETF_Options_Exhibits'!E2418:E2422),"")</f>
        <v/>
      </c>
      <c r="F2422" s="3">
        <f>IF(ISNUMBER(AVERAGE('20250815_ETF_Options_Exhibits'!F2418:F2422)),AVERAGE('20250815_ETF_Options_Exhibits'!F2418:F2422),"")</f>
        <v/>
      </c>
      <c r="G2422" s="3">
        <f>IF(ISNUMBER(AVERAGE('20250815_ETF_Options_Exhibits'!G2418:G2422)),AVERAGE('20250815_ETF_Options_Exhibits'!G2418:G2422),"")</f>
        <v/>
      </c>
      <c r="H2422" s="3">
        <f>IF(ISNUMBER(AVERAGE('20250815_ETF_Options_Exhibits'!H2418:H2422)),AVERAGE('20250815_ETF_Options_Exhibits'!H2418:H2422),"")</f>
        <v/>
      </c>
      <c r="I2422" s="3">
        <f>IF(ISNUMBER(AVERAGE('20250815_ETF_Options_Exhibits'!I2418:I2422)),AVERAGE('20250815_ETF_Options_Exhibits'!I2418:I2422),"")</f>
        <v/>
      </c>
      <c r="J2422" s="3">
        <f>IF(ISNUMBER(AVERAGE('20250815_ETF_Options_Exhibits'!J2418:J2422)),AVERAGE('20250815_ETF_Options_Exhibits'!J2418:J2422),"")</f>
        <v/>
      </c>
      <c r="K2422" s="3">
        <f>IF(ISNUMBER(AVERAGE('20250815_ETF_Options_Exhibits'!K2418:K2422)),AVERAGE('20250815_ETF_Options_Exhibits'!K2418:K2422),"")</f>
        <v/>
      </c>
      <c r="L2422" s="3">
        <f>IF(ISNUMBER(AVERAGE('20250815_ETF_Options_Exhibits'!L2418:L2422)),AVERAGE('20250815_ETF_Options_Exhibits'!L2418:L2422),"")</f>
        <v/>
      </c>
      <c r="M2422" s="3">
        <f>IF(ISNUMBER(AVERAGE('20250815_ETF_Options_Exhibits'!M2418:M2422)),AVERAGE('20250815_ETF_Options_Exhibits'!M2418:M2422),"")</f>
        <v/>
      </c>
      <c r="N2422" s="3">
        <f>IF(ISNUMBER(AVERAGE('20250815_ETF_Options_Exhibits'!N2418:N2422)),AVERAGE('20250815_ETF_Options_Exhibits'!N2418:N2422),"")</f>
        <v/>
      </c>
      <c r="O2422" s="3">
        <f>IF(ISNUMBER(AVERAGE('20250815_ETF_Options_Exhibits'!O2418:O2422)),AVERAGE('20250815_ETF_Options_Exhibits'!O2418:O2422),"")</f>
        <v/>
      </c>
      <c r="P2422" s="3">
        <f>IF(ISNUMBER(AVERAGE('20250815_ETF_Options_Exhibits'!P2418:P2422)),AVERAGE('20250815_ETF_Options_Exhibits'!P2418:P2422),"")</f>
        <v/>
      </c>
      <c r="Q2422" s="3">
        <f>IF(ISNUMBER(AVERAGE('20250815_ETF_Options_Exhibits'!Q2418:Q2422)),AVERAGE('20250815_ETF_Options_Exhibits'!Q2418:Q2422),"")</f>
        <v/>
      </c>
      <c r="R2422" s="3">
        <f>IF(ISNUMBER(AVERAGE('20250815_ETF_Options_Exhibits'!R2418:R2422)),AVERAGE('20250815_ETF_Options_Exhibits'!R2418:R2422),"")</f>
        <v/>
      </c>
      <c r="S2422" s="3">
        <f>IF(ISNUMBER(AVERAGE('20250815_ETF_Options_Exhibits'!S2418:S2422)),AVERAGE('20250815_ETF_Options_Exhibits'!S2418:S2422),"")</f>
        <v/>
      </c>
      <c r="T2422" s="3">
        <f>IF(ISNUMBER(AVERAGE('20250815_ETF_Options_Exhibits'!T2418:T2422)),AVERAGE('20250815_ETF_Options_Exhibits'!T2418:T2422),"")</f>
        <v/>
      </c>
      <c r="U2422" s="3">
        <f>IF(ISNUMBER(AVERAGE('20250815_ETF_Options_Exhibits'!U2418:U2422)),AVERAGE('20250815_ETF_Options_Exhibits'!U2418:U2422),"")</f>
        <v/>
      </c>
      <c r="V2422" s="3">
        <f>IF(ISNUMBER(AVERAGE('20250815_ETF_Options_Exhibits'!V2418:V2422)),AVERAGE('20250815_ETF_Options_Exhibits'!V2418:V2422),"")</f>
        <v/>
      </c>
      <c r="W2422" s="3">
        <f>IF(ISNUMBER(AVERAGE('20250815_ETF_Options_Exhibits'!W2418:W2422)),AVERAGE('20250815_ETF_Options_Exhibits'!W2418:W2422),"")</f>
        <v/>
      </c>
      <c r="X2422" s="3">
        <f>IF(ISNUMBER(AVERAGE('20250815_ETF_Options_Exhibits'!X2418:X2422)),AVERAGE('20250815_ETF_Options_Exhibits'!X2418:X2422),"")</f>
        <v/>
      </c>
      <c r="Y2422" s="3">
        <f>IF(ISNUMBER(AVERAGE('20250815_ETF_Options_Exhibits'!Y2418:Y2422)),AVERAGE('20250815_ETF_Options_Exhibits'!Y2418:Y2422),"")</f>
        <v/>
      </c>
      <c r="Z2422" s="3">
        <f>IF(ISNUMBER(AVERAGE('20250815_ETF_Options_Exhibits'!Z2418:Z2422)),AVERAGE('20250815_ETF_Options_Exhibits'!Z2418:Z2422),"")</f>
        <v/>
      </c>
      <c r="AA2422" s="3">
        <f>IF(ISNUMBER(AVERAGE('20250815_ETF_Options_Exhibits'!AA2418:AA2422)),AVERAGE('20250815_ETF_Options_Exhibits'!AA2418:AA2422),"")</f>
        <v/>
      </c>
    </row>
    <row r="2423">
      <c r="A2423" s="1" t="n">
        <v>45519</v>
      </c>
      <c r="B2423" s="3">
        <f>IF(ISNUMBER(AVERAGE('20250815_ETF_Options_Exhibits'!B2419:B2423)),AVERAGE('20250815_ETF_Options_Exhibits'!B2419:B2423),"")</f>
        <v/>
      </c>
      <c r="C2423" s="3">
        <f>IF(ISNUMBER(AVERAGE('20250815_ETF_Options_Exhibits'!C2419:C2423)),AVERAGE('20250815_ETF_Options_Exhibits'!C2419:C2423),"")</f>
        <v/>
      </c>
      <c r="D2423" s="3">
        <f>IF(ISNUMBER(AVERAGE('20250815_ETF_Options_Exhibits'!D2419:D2423)),AVERAGE('20250815_ETF_Options_Exhibits'!D2419:D2423),"")</f>
        <v/>
      </c>
      <c r="E2423" s="3">
        <f>IF(ISNUMBER(AVERAGE('20250815_ETF_Options_Exhibits'!E2419:E2423)),AVERAGE('20250815_ETF_Options_Exhibits'!E2419:E2423),"")</f>
        <v/>
      </c>
      <c r="F2423" s="3">
        <f>IF(ISNUMBER(AVERAGE('20250815_ETF_Options_Exhibits'!F2419:F2423)),AVERAGE('20250815_ETF_Options_Exhibits'!F2419:F2423),"")</f>
        <v/>
      </c>
      <c r="G2423" s="3">
        <f>IF(ISNUMBER(AVERAGE('20250815_ETF_Options_Exhibits'!G2419:G2423)),AVERAGE('20250815_ETF_Options_Exhibits'!G2419:G2423),"")</f>
        <v/>
      </c>
      <c r="H2423" s="3">
        <f>IF(ISNUMBER(AVERAGE('20250815_ETF_Options_Exhibits'!H2419:H2423)),AVERAGE('20250815_ETF_Options_Exhibits'!H2419:H2423),"")</f>
        <v/>
      </c>
      <c r="I2423" s="3">
        <f>IF(ISNUMBER(AVERAGE('20250815_ETF_Options_Exhibits'!I2419:I2423)),AVERAGE('20250815_ETF_Options_Exhibits'!I2419:I2423),"")</f>
        <v/>
      </c>
      <c r="J2423" s="3">
        <f>IF(ISNUMBER(AVERAGE('20250815_ETF_Options_Exhibits'!J2419:J2423)),AVERAGE('20250815_ETF_Options_Exhibits'!J2419:J2423),"")</f>
        <v/>
      </c>
      <c r="K2423" s="3">
        <f>IF(ISNUMBER(AVERAGE('20250815_ETF_Options_Exhibits'!K2419:K2423)),AVERAGE('20250815_ETF_Options_Exhibits'!K2419:K2423),"")</f>
        <v/>
      </c>
      <c r="L2423" s="3">
        <f>IF(ISNUMBER(AVERAGE('20250815_ETF_Options_Exhibits'!L2419:L2423)),AVERAGE('20250815_ETF_Options_Exhibits'!L2419:L2423),"")</f>
        <v/>
      </c>
      <c r="M2423" s="3">
        <f>IF(ISNUMBER(AVERAGE('20250815_ETF_Options_Exhibits'!M2419:M2423)),AVERAGE('20250815_ETF_Options_Exhibits'!M2419:M2423),"")</f>
        <v/>
      </c>
      <c r="N2423" s="3">
        <f>IF(ISNUMBER(AVERAGE('20250815_ETF_Options_Exhibits'!N2419:N2423)),AVERAGE('20250815_ETF_Options_Exhibits'!N2419:N2423),"")</f>
        <v/>
      </c>
      <c r="O2423" s="3">
        <f>IF(ISNUMBER(AVERAGE('20250815_ETF_Options_Exhibits'!O2419:O2423)),AVERAGE('20250815_ETF_Options_Exhibits'!O2419:O2423),"")</f>
        <v/>
      </c>
      <c r="P2423" s="3">
        <f>IF(ISNUMBER(AVERAGE('20250815_ETF_Options_Exhibits'!P2419:P2423)),AVERAGE('20250815_ETF_Options_Exhibits'!P2419:P2423),"")</f>
        <v/>
      </c>
      <c r="Q2423" s="3">
        <f>IF(ISNUMBER(AVERAGE('20250815_ETF_Options_Exhibits'!Q2419:Q2423)),AVERAGE('20250815_ETF_Options_Exhibits'!Q2419:Q2423),"")</f>
        <v/>
      </c>
      <c r="R2423" s="3">
        <f>IF(ISNUMBER(AVERAGE('20250815_ETF_Options_Exhibits'!R2419:R2423)),AVERAGE('20250815_ETF_Options_Exhibits'!R2419:R2423),"")</f>
        <v/>
      </c>
      <c r="S2423" s="3">
        <f>IF(ISNUMBER(AVERAGE('20250815_ETF_Options_Exhibits'!S2419:S2423)),AVERAGE('20250815_ETF_Options_Exhibits'!S2419:S2423),"")</f>
        <v/>
      </c>
      <c r="T2423" s="3">
        <f>IF(ISNUMBER(AVERAGE('20250815_ETF_Options_Exhibits'!T2419:T2423)),AVERAGE('20250815_ETF_Options_Exhibits'!T2419:T2423),"")</f>
        <v/>
      </c>
      <c r="U2423" s="3">
        <f>IF(ISNUMBER(AVERAGE('20250815_ETF_Options_Exhibits'!U2419:U2423)),AVERAGE('20250815_ETF_Options_Exhibits'!U2419:U2423),"")</f>
        <v/>
      </c>
      <c r="V2423" s="3">
        <f>IF(ISNUMBER(AVERAGE('20250815_ETF_Options_Exhibits'!V2419:V2423)),AVERAGE('20250815_ETF_Options_Exhibits'!V2419:V2423),"")</f>
        <v/>
      </c>
      <c r="W2423" s="3">
        <f>IF(ISNUMBER(AVERAGE('20250815_ETF_Options_Exhibits'!W2419:W2423)),AVERAGE('20250815_ETF_Options_Exhibits'!W2419:W2423),"")</f>
        <v/>
      </c>
      <c r="X2423" s="3">
        <f>IF(ISNUMBER(AVERAGE('20250815_ETF_Options_Exhibits'!X2419:X2423)),AVERAGE('20250815_ETF_Options_Exhibits'!X2419:X2423),"")</f>
        <v/>
      </c>
      <c r="Y2423" s="3">
        <f>IF(ISNUMBER(AVERAGE('20250815_ETF_Options_Exhibits'!Y2419:Y2423)),AVERAGE('20250815_ETF_Options_Exhibits'!Y2419:Y2423),"")</f>
        <v/>
      </c>
      <c r="Z2423" s="3">
        <f>IF(ISNUMBER(AVERAGE('20250815_ETF_Options_Exhibits'!Z2419:Z2423)),AVERAGE('20250815_ETF_Options_Exhibits'!Z2419:Z2423),"")</f>
        <v/>
      </c>
      <c r="AA2423" s="3">
        <f>IF(ISNUMBER(AVERAGE('20250815_ETF_Options_Exhibits'!AA2419:AA2423)),AVERAGE('20250815_ETF_Options_Exhibits'!AA2419:AA2423),"")</f>
        <v/>
      </c>
    </row>
    <row r="2424">
      <c r="A2424" s="1" t="n">
        <v>45520</v>
      </c>
      <c r="B2424" s="3">
        <f>IF(ISNUMBER(AVERAGE('20250815_ETF_Options_Exhibits'!B2420:B2424)),AVERAGE('20250815_ETF_Options_Exhibits'!B2420:B2424),"")</f>
        <v/>
      </c>
      <c r="C2424" s="3">
        <f>IF(ISNUMBER(AVERAGE('20250815_ETF_Options_Exhibits'!C2420:C2424)),AVERAGE('20250815_ETF_Options_Exhibits'!C2420:C2424),"")</f>
        <v/>
      </c>
      <c r="D2424" s="3">
        <f>IF(ISNUMBER(AVERAGE('20250815_ETF_Options_Exhibits'!D2420:D2424)),AVERAGE('20250815_ETF_Options_Exhibits'!D2420:D2424),"")</f>
        <v/>
      </c>
      <c r="E2424" s="3">
        <f>IF(ISNUMBER(AVERAGE('20250815_ETF_Options_Exhibits'!E2420:E2424)),AVERAGE('20250815_ETF_Options_Exhibits'!E2420:E2424),"")</f>
        <v/>
      </c>
      <c r="F2424" s="3">
        <f>IF(ISNUMBER(AVERAGE('20250815_ETF_Options_Exhibits'!F2420:F2424)),AVERAGE('20250815_ETF_Options_Exhibits'!F2420:F2424),"")</f>
        <v/>
      </c>
      <c r="G2424" s="3">
        <f>IF(ISNUMBER(AVERAGE('20250815_ETF_Options_Exhibits'!G2420:G2424)),AVERAGE('20250815_ETF_Options_Exhibits'!G2420:G2424),"")</f>
        <v/>
      </c>
      <c r="H2424" s="3">
        <f>IF(ISNUMBER(AVERAGE('20250815_ETF_Options_Exhibits'!H2420:H2424)),AVERAGE('20250815_ETF_Options_Exhibits'!H2420:H2424),"")</f>
        <v/>
      </c>
      <c r="I2424" s="3">
        <f>IF(ISNUMBER(AVERAGE('20250815_ETF_Options_Exhibits'!I2420:I2424)),AVERAGE('20250815_ETF_Options_Exhibits'!I2420:I2424),"")</f>
        <v/>
      </c>
      <c r="J2424" s="3">
        <f>IF(ISNUMBER(AVERAGE('20250815_ETF_Options_Exhibits'!J2420:J2424)),AVERAGE('20250815_ETF_Options_Exhibits'!J2420:J2424),"")</f>
        <v/>
      </c>
      <c r="K2424" s="3">
        <f>IF(ISNUMBER(AVERAGE('20250815_ETF_Options_Exhibits'!K2420:K2424)),AVERAGE('20250815_ETF_Options_Exhibits'!K2420:K2424),"")</f>
        <v/>
      </c>
      <c r="L2424" s="3">
        <f>IF(ISNUMBER(AVERAGE('20250815_ETF_Options_Exhibits'!L2420:L2424)),AVERAGE('20250815_ETF_Options_Exhibits'!L2420:L2424),"")</f>
        <v/>
      </c>
      <c r="M2424" s="3">
        <f>IF(ISNUMBER(AVERAGE('20250815_ETF_Options_Exhibits'!M2420:M2424)),AVERAGE('20250815_ETF_Options_Exhibits'!M2420:M2424),"")</f>
        <v/>
      </c>
      <c r="N2424" s="3">
        <f>IF(ISNUMBER(AVERAGE('20250815_ETF_Options_Exhibits'!N2420:N2424)),AVERAGE('20250815_ETF_Options_Exhibits'!N2420:N2424),"")</f>
        <v/>
      </c>
      <c r="O2424" s="3">
        <f>IF(ISNUMBER(AVERAGE('20250815_ETF_Options_Exhibits'!O2420:O2424)),AVERAGE('20250815_ETF_Options_Exhibits'!O2420:O2424),"")</f>
        <v/>
      </c>
      <c r="P2424" s="3">
        <f>IF(ISNUMBER(AVERAGE('20250815_ETF_Options_Exhibits'!P2420:P2424)),AVERAGE('20250815_ETF_Options_Exhibits'!P2420:P2424),"")</f>
        <v/>
      </c>
      <c r="Q2424" s="3">
        <f>IF(ISNUMBER(AVERAGE('20250815_ETF_Options_Exhibits'!Q2420:Q2424)),AVERAGE('20250815_ETF_Options_Exhibits'!Q2420:Q2424),"")</f>
        <v/>
      </c>
      <c r="R2424" s="3">
        <f>IF(ISNUMBER(AVERAGE('20250815_ETF_Options_Exhibits'!R2420:R2424)),AVERAGE('20250815_ETF_Options_Exhibits'!R2420:R2424),"")</f>
        <v/>
      </c>
      <c r="S2424" s="3">
        <f>IF(ISNUMBER(AVERAGE('20250815_ETF_Options_Exhibits'!S2420:S2424)),AVERAGE('20250815_ETF_Options_Exhibits'!S2420:S2424),"")</f>
        <v/>
      </c>
      <c r="T2424" s="3">
        <f>IF(ISNUMBER(AVERAGE('20250815_ETF_Options_Exhibits'!T2420:T2424)),AVERAGE('20250815_ETF_Options_Exhibits'!T2420:T2424),"")</f>
        <v/>
      </c>
      <c r="U2424" s="3">
        <f>IF(ISNUMBER(AVERAGE('20250815_ETF_Options_Exhibits'!U2420:U2424)),AVERAGE('20250815_ETF_Options_Exhibits'!U2420:U2424),"")</f>
        <v/>
      </c>
      <c r="V2424" s="3">
        <f>IF(ISNUMBER(AVERAGE('20250815_ETF_Options_Exhibits'!V2420:V2424)),AVERAGE('20250815_ETF_Options_Exhibits'!V2420:V2424),"")</f>
        <v/>
      </c>
      <c r="W2424" s="3">
        <f>IF(ISNUMBER(AVERAGE('20250815_ETF_Options_Exhibits'!W2420:W2424)),AVERAGE('20250815_ETF_Options_Exhibits'!W2420:W2424),"")</f>
        <v/>
      </c>
      <c r="X2424" s="3">
        <f>IF(ISNUMBER(AVERAGE('20250815_ETF_Options_Exhibits'!X2420:X2424)),AVERAGE('20250815_ETF_Options_Exhibits'!X2420:X2424),"")</f>
        <v/>
      </c>
      <c r="Y2424" s="3">
        <f>IF(ISNUMBER(AVERAGE('20250815_ETF_Options_Exhibits'!Y2420:Y2424)),AVERAGE('20250815_ETF_Options_Exhibits'!Y2420:Y2424),"")</f>
        <v/>
      </c>
      <c r="Z2424" s="3">
        <f>IF(ISNUMBER(AVERAGE('20250815_ETF_Options_Exhibits'!Z2420:Z2424)),AVERAGE('20250815_ETF_Options_Exhibits'!Z2420:Z2424),"")</f>
        <v/>
      </c>
      <c r="AA2424" s="3">
        <f>IF(ISNUMBER(AVERAGE('20250815_ETF_Options_Exhibits'!AA2420:AA2424)),AVERAGE('20250815_ETF_Options_Exhibits'!AA2420:AA2424),"")</f>
        <v/>
      </c>
    </row>
    <row r="2425">
      <c r="A2425" s="1" t="n">
        <v>45523</v>
      </c>
      <c r="B2425" s="3">
        <f>IF(ISNUMBER(AVERAGE('20250815_ETF_Options_Exhibits'!B2421:B2425)),AVERAGE('20250815_ETF_Options_Exhibits'!B2421:B2425),"")</f>
        <v/>
      </c>
      <c r="C2425" s="3">
        <f>IF(ISNUMBER(AVERAGE('20250815_ETF_Options_Exhibits'!C2421:C2425)),AVERAGE('20250815_ETF_Options_Exhibits'!C2421:C2425),"")</f>
        <v/>
      </c>
      <c r="D2425" s="3">
        <f>IF(ISNUMBER(AVERAGE('20250815_ETF_Options_Exhibits'!D2421:D2425)),AVERAGE('20250815_ETF_Options_Exhibits'!D2421:D2425),"")</f>
        <v/>
      </c>
      <c r="E2425" s="3">
        <f>IF(ISNUMBER(AVERAGE('20250815_ETF_Options_Exhibits'!E2421:E2425)),AVERAGE('20250815_ETF_Options_Exhibits'!E2421:E2425),"")</f>
        <v/>
      </c>
      <c r="F2425" s="3">
        <f>IF(ISNUMBER(AVERAGE('20250815_ETF_Options_Exhibits'!F2421:F2425)),AVERAGE('20250815_ETF_Options_Exhibits'!F2421:F2425),"")</f>
        <v/>
      </c>
      <c r="G2425" s="3">
        <f>IF(ISNUMBER(AVERAGE('20250815_ETF_Options_Exhibits'!G2421:G2425)),AVERAGE('20250815_ETF_Options_Exhibits'!G2421:G2425),"")</f>
        <v/>
      </c>
      <c r="H2425" s="3">
        <f>IF(ISNUMBER(AVERAGE('20250815_ETF_Options_Exhibits'!H2421:H2425)),AVERAGE('20250815_ETF_Options_Exhibits'!H2421:H2425),"")</f>
        <v/>
      </c>
      <c r="I2425" s="3">
        <f>IF(ISNUMBER(AVERAGE('20250815_ETF_Options_Exhibits'!I2421:I2425)),AVERAGE('20250815_ETF_Options_Exhibits'!I2421:I2425),"")</f>
        <v/>
      </c>
      <c r="J2425" s="3">
        <f>IF(ISNUMBER(AVERAGE('20250815_ETF_Options_Exhibits'!J2421:J2425)),AVERAGE('20250815_ETF_Options_Exhibits'!J2421:J2425),"")</f>
        <v/>
      </c>
      <c r="K2425" s="3">
        <f>IF(ISNUMBER(AVERAGE('20250815_ETF_Options_Exhibits'!K2421:K2425)),AVERAGE('20250815_ETF_Options_Exhibits'!K2421:K2425),"")</f>
        <v/>
      </c>
      <c r="L2425" s="3">
        <f>IF(ISNUMBER(AVERAGE('20250815_ETF_Options_Exhibits'!L2421:L2425)),AVERAGE('20250815_ETF_Options_Exhibits'!L2421:L2425),"")</f>
        <v/>
      </c>
      <c r="M2425" s="3">
        <f>IF(ISNUMBER(AVERAGE('20250815_ETF_Options_Exhibits'!M2421:M2425)),AVERAGE('20250815_ETF_Options_Exhibits'!M2421:M2425),"")</f>
        <v/>
      </c>
      <c r="N2425" s="3">
        <f>IF(ISNUMBER(AVERAGE('20250815_ETF_Options_Exhibits'!N2421:N2425)),AVERAGE('20250815_ETF_Options_Exhibits'!N2421:N2425),"")</f>
        <v/>
      </c>
      <c r="O2425" s="3">
        <f>IF(ISNUMBER(AVERAGE('20250815_ETF_Options_Exhibits'!O2421:O2425)),AVERAGE('20250815_ETF_Options_Exhibits'!O2421:O2425),"")</f>
        <v/>
      </c>
      <c r="P2425" s="3">
        <f>IF(ISNUMBER(AVERAGE('20250815_ETF_Options_Exhibits'!P2421:P2425)),AVERAGE('20250815_ETF_Options_Exhibits'!P2421:P2425),"")</f>
        <v/>
      </c>
      <c r="Q2425" s="3">
        <f>IF(ISNUMBER(AVERAGE('20250815_ETF_Options_Exhibits'!Q2421:Q2425)),AVERAGE('20250815_ETF_Options_Exhibits'!Q2421:Q2425),"")</f>
        <v/>
      </c>
      <c r="R2425" s="3">
        <f>IF(ISNUMBER(AVERAGE('20250815_ETF_Options_Exhibits'!R2421:R2425)),AVERAGE('20250815_ETF_Options_Exhibits'!R2421:R2425),"")</f>
        <v/>
      </c>
      <c r="S2425" s="3">
        <f>IF(ISNUMBER(AVERAGE('20250815_ETF_Options_Exhibits'!S2421:S2425)),AVERAGE('20250815_ETF_Options_Exhibits'!S2421:S2425),"")</f>
        <v/>
      </c>
      <c r="T2425" s="3">
        <f>IF(ISNUMBER(AVERAGE('20250815_ETF_Options_Exhibits'!T2421:T2425)),AVERAGE('20250815_ETF_Options_Exhibits'!T2421:T2425),"")</f>
        <v/>
      </c>
      <c r="U2425" s="3">
        <f>IF(ISNUMBER(AVERAGE('20250815_ETF_Options_Exhibits'!U2421:U2425)),AVERAGE('20250815_ETF_Options_Exhibits'!U2421:U2425),"")</f>
        <v/>
      </c>
      <c r="V2425" s="3">
        <f>IF(ISNUMBER(AVERAGE('20250815_ETF_Options_Exhibits'!V2421:V2425)),AVERAGE('20250815_ETF_Options_Exhibits'!V2421:V2425),"")</f>
        <v/>
      </c>
      <c r="W2425" s="3">
        <f>IF(ISNUMBER(AVERAGE('20250815_ETF_Options_Exhibits'!W2421:W2425)),AVERAGE('20250815_ETF_Options_Exhibits'!W2421:W2425),"")</f>
        <v/>
      </c>
      <c r="X2425" s="3">
        <f>IF(ISNUMBER(AVERAGE('20250815_ETF_Options_Exhibits'!X2421:X2425)),AVERAGE('20250815_ETF_Options_Exhibits'!X2421:X2425),"")</f>
        <v/>
      </c>
      <c r="Y2425" s="3">
        <f>IF(ISNUMBER(AVERAGE('20250815_ETF_Options_Exhibits'!Y2421:Y2425)),AVERAGE('20250815_ETF_Options_Exhibits'!Y2421:Y2425),"")</f>
        <v/>
      </c>
      <c r="Z2425" s="3">
        <f>IF(ISNUMBER(AVERAGE('20250815_ETF_Options_Exhibits'!Z2421:Z2425)),AVERAGE('20250815_ETF_Options_Exhibits'!Z2421:Z2425),"")</f>
        <v/>
      </c>
      <c r="AA2425" s="3">
        <f>IF(ISNUMBER(AVERAGE('20250815_ETF_Options_Exhibits'!AA2421:AA2425)),AVERAGE('20250815_ETF_Options_Exhibits'!AA2421:AA2425),"")</f>
        <v/>
      </c>
    </row>
    <row r="2426">
      <c r="A2426" s="1" t="n">
        <v>45524</v>
      </c>
      <c r="B2426" s="3">
        <f>IF(ISNUMBER(AVERAGE('20250815_ETF_Options_Exhibits'!B2422:B2426)),AVERAGE('20250815_ETF_Options_Exhibits'!B2422:B2426),"")</f>
        <v/>
      </c>
      <c r="C2426" s="3">
        <f>IF(ISNUMBER(AVERAGE('20250815_ETF_Options_Exhibits'!C2422:C2426)),AVERAGE('20250815_ETF_Options_Exhibits'!C2422:C2426),"")</f>
        <v/>
      </c>
      <c r="D2426" s="3">
        <f>IF(ISNUMBER(AVERAGE('20250815_ETF_Options_Exhibits'!D2422:D2426)),AVERAGE('20250815_ETF_Options_Exhibits'!D2422:D2426),"")</f>
        <v/>
      </c>
      <c r="E2426" s="3">
        <f>IF(ISNUMBER(AVERAGE('20250815_ETF_Options_Exhibits'!E2422:E2426)),AVERAGE('20250815_ETF_Options_Exhibits'!E2422:E2426),"")</f>
        <v/>
      </c>
      <c r="F2426" s="3">
        <f>IF(ISNUMBER(AVERAGE('20250815_ETF_Options_Exhibits'!F2422:F2426)),AVERAGE('20250815_ETF_Options_Exhibits'!F2422:F2426),"")</f>
        <v/>
      </c>
      <c r="G2426" s="3">
        <f>IF(ISNUMBER(AVERAGE('20250815_ETF_Options_Exhibits'!G2422:G2426)),AVERAGE('20250815_ETF_Options_Exhibits'!G2422:G2426),"")</f>
        <v/>
      </c>
      <c r="H2426" s="3">
        <f>IF(ISNUMBER(AVERAGE('20250815_ETF_Options_Exhibits'!H2422:H2426)),AVERAGE('20250815_ETF_Options_Exhibits'!H2422:H2426),"")</f>
        <v/>
      </c>
      <c r="I2426" s="3">
        <f>IF(ISNUMBER(AVERAGE('20250815_ETF_Options_Exhibits'!I2422:I2426)),AVERAGE('20250815_ETF_Options_Exhibits'!I2422:I2426),"")</f>
        <v/>
      </c>
      <c r="J2426" s="3">
        <f>IF(ISNUMBER(AVERAGE('20250815_ETF_Options_Exhibits'!J2422:J2426)),AVERAGE('20250815_ETF_Options_Exhibits'!J2422:J2426),"")</f>
        <v/>
      </c>
      <c r="K2426" s="3">
        <f>IF(ISNUMBER(AVERAGE('20250815_ETF_Options_Exhibits'!K2422:K2426)),AVERAGE('20250815_ETF_Options_Exhibits'!K2422:K2426),"")</f>
        <v/>
      </c>
      <c r="L2426" s="3">
        <f>IF(ISNUMBER(AVERAGE('20250815_ETF_Options_Exhibits'!L2422:L2426)),AVERAGE('20250815_ETF_Options_Exhibits'!L2422:L2426),"")</f>
        <v/>
      </c>
      <c r="M2426" s="3">
        <f>IF(ISNUMBER(AVERAGE('20250815_ETF_Options_Exhibits'!M2422:M2426)),AVERAGE('20250815_ETF_Options_Exhibits'!M2422:M2426),"")</f>
        <v/>
      </c>
      <c r="N2426" s="3">
        <f>IF(ISNUMBER(AVERAGE('20250815_ETF_Options_Exhibits'!N2422:N2426)),AVERAGE('20250815_ETF_Options_Exhibits'!N2422:N2426),"")</f>
        <v/>
      </c>
      <c r="O2426" s="3">
        <f>IF(ISNUMBER(AVERAGE('20250815_ETF_Options_Exhibits'!O2422:O2426)),AVERAGE('20250815_ETF_Options_Exhibits'!O2422:O2426),"")</f>
        <v/>
      </c>
      <c r="P2426" s="3">
        <f>IF(ISNUMBER(AVERAGE('20250815_ETF_Options_Exhibits'!P2422:P2426)),AVERAGE('20250815_ETF_Options_Exhibits'!P2422:P2426),"")</f>
        <v/>
      </c>
      <c r="Q2426" s="3">
        <f>IF(ISNUMBER(AVERAGE('20250815_ETF_Options_Exhibits'!Q2422:Q2426)),AVERAGE('20250815_ETF_Options_Exhibits'!Q2422:Q2426),"")</f>
        <v/>
      </c>
      <c r="R2426" s="3">
        <f>IF(ISNUMBER(AVERAGE('20250815_ETF_Options_Exhibits'!R2422:R2426)),AVERAGE('20250815_ETF_Options_Exhibits'!R2422:R2426),"")</f>
        <v/>
      </c>
      <c r="S2426" s="3">
        <f>IF(ISNUMBER(AVERAGE('20250815_ETF_Options_Exhibits'!S2422:S2426)),AVERAGE('20250815_ETF_Options_Exhibits'!S2422:S2426),"")</f>
        <v/>
      </c>
      <c r="T2426" s="3">
        <f>IF(ISNUMBER(AVERAGE('20250815_ETF_Options_Exhibits'!T2422:T2426)),AVERAGE('20250815_ETF_Options_Exhibits'!T2422:T2426),"")</f>
        <v/>
      </c>
      <c r="U2426" s="3">
        <f>IF(ISNUMBER(AVERAGE('20250815_ETF_Options_Exhibits'!U2422:U2426)),AVERAGE('20250815_ETF_Options_Exhibits'!U2422:U2426),"")</f>
        <v/>
      </c>
      <c r="V2426" s="3">
        <f>IF(ISNUMBER(AVERAGE('20250815_ETF_Options_Exhibits'!V2422:V2426)),AVERAGE('20250815_ETF_Options_Exhibits'!V2422:V2426),"")</f>
        <v/>
      </c>
      <c r="W2426" s="3">
        <f>IF(ISNUMBER(AVERAGE('20250815_ETF_Options_Exhibits'!W2422:W2426)),AVERAGE('20250815_ETF_Options_Exhibits'!W2422:W2426),"")</f>
        <v/>
      </c>
      <c r="X2426" s="3">
        <f>IF(ISNUMBER(AVERAGE('20250815_ETF_Options_Exhibits'!X2422:X2426)),AVERAGE('20250815_ETF_Options_Exhibits'!X2422:X2426),"")</f>
        <v/>
      </c>
      <c r="Y2426" s="3">
        <f>IF(ISNUMBER(AVERAGE('20250815_ETF_Options_Exhibits'!Y2422:Y2426)),AVERAGE('20250815_ETF_Options_Exhibits'!Y2422:Y2426),"")</f>
        <v/>
      </c>
      <c r="Z2426" s="3">
        <f>IF(ISNUMBER(AVERAGE('20250815_ETF_Options_Exhibits'!Z2422:Z2426)),AVERAGE('20250815_ETF_Options_Exhibits'!Z2422:Z2426),"")</f>
        <v/>
      </c>
      <c r="AA2426" s="3">
        <f>IF(ISNUMBER(AVERAGE('20250815_ETF_Options_Exhibits'!AA2422:AA2426)),AVERAGE('20250815_ETF_Options_Exhibits'!AA2422:AA2426),"")</f>
        <v/>
      </c>
    </row>
    <row r="2427">
      <c r="A2427" s="1" t="n">
        <v>45525</v>
      </c>
      <c r="B2427" s="3">
        <f>IF(ISNUMBER(AVERAGE('20250815_ETF_Options_Exhibits'!B2423:B2427)),AVERAGE('20250815_ETF_Options_Exhibits'!B2423:B2427),"")</f>
        <v/>
      </c>
      <c r="C2427" s="3">
        <f>IF(ISNUMBER(AVERAGE('20250815_ETF_Options_Exhibits'!C2423:C2427)),AVERAGE('20250815_ETF_Options_Exhibits'!C2423:C2427),"")</f>
        <v/>
      </c>
      <c r="D2427" s="3">
        <f>IF(ISNUMBER(AVERAGE('20250815_ETF_Options_Exhibits'!D2423:D2427)),AVERAGE('20250815_ETF_Options_Exhibits'!D2423:D2427),"")</f>
        <v/>
      </c>
      <c r="E2427" s="3">
        <f>IF(ISNUMBER(AVERAGE('20250815_ETF_Options_Exhibits'!E2423:E2427)),AVERAGE('20250815_ETF_Options_Exhibits'!E2423:E2427),"")</f>
        <v/>
      </c>
      <c r="F2427" s="3">
        <f>IF(ISNUMBER(AVERAGE('20250815_ETF_Options_Exhibits'!F2423:F2427)),AVERAGE('20250815_ETF_Options_Exhibits'!F2423:F2427),"")</f>
        <v/>
      </c>
      <c r="G2427" s="3">
        <f>IF(ISNUMBER(AVERAGE('20250815_ETF_Options_Exhibits'!G2423:G2427)),AVERAGE('20250815_ETF_Options_Exhibits'!G2423:G2427),"")</f>
        <v/>
      </c>
      <c r="H2427" s="3">
        <f>IF(ISNUMBER(AVERAGE('20250815_ETF_Options_Exhibits'!H2423:H2427)),AVERAGE('20250815_ETF_Options_Exhibits'!H2423:H2427),"")</f>
        <v/>
      </c>
      <c r="I2427" s="3">
        <f>IF(ISNUMBER(AVERAGE('20250815_ETF_Options_Exhibits'!I2423:I2427)),AVERAGE('20250815_ETF_Options_Exhibits'!I2423:I2427),"")</f>
        <v/>
      </c>
      <c r="J2427" s="3">
        <f>IF(ISNUMBER(AVERAGE('20250815_ETF_Options_Exhibits'!J2423:J2427)),AVERAGE('20250815_ETF_Options_Exhibits'!J2423:J2427),"")</f>
        <v/>
      </c>
      <c r="K2427" s="3">
        <f>IF(ISNUMBER(AVERAGE('20250815_ETF_Options_Exhibits'!K2423:K2427)),AVERAGE('20250815_ETF_Options_Exhibits'!K2423:K2427),"")</f>
        <v/>
      </c>
      <c r="L2427" s="3">
        <f>IF(ISNUMBER(AVERAGE('20250815_ETF_Options_Exhibits'!L2423:L2427)),AVERAGE('20250815_ETF_Options_Exhibits'!L2423:L2427),"")</f>
        <v/>
      </c>
      <c r="M2427" s="3">
        <f>IF(ISNUMBER(AVERAGE('20250815_ETF_Options_Exhibits'!M2423:M2427)),AVERAGE('20250815_ETF_Options_Exhibits'!M2423:M2427),"")</f>
        <v/>
      </c>
      <c r="N2427" s="3">
        <f>IF(ISNUMBER(AVERAGE('20250815_ETF_Options_Exhibits'!N2423:N2427)),AVERAGE('20250815_ETF_Options_Exhibits'!N2423:N2427),"")</f>
        <v/>
      </c>
      <c r="O2427" s="3">
        <f>IF(ISNUMBER(AVERAGE('20250815_ETF_Options_Exhibits'!O2423:O2427)),AVERAGE('20250815_ETF_Options_Exhibits'!O2423:O2427),"")</f>
        <v/>
      </c>
      <c r="P2427" s="3">
        <f>IF(ISNUMBER(AVERAGE('20250815_ETF_Options_Exhibits'!P2423:P2427)),AVERAGE('20250815_ETF_Options_Exhibits'!P2423:P2427),"")</f>
        <v/>
      </c>
      <c r="Q2427" s="3">
        <f>IF(ISNUMBER(AVERAGE('20250815_ETF_Options_Exhibits'!Q2423:Q2427)),AVERAGE('20250815_ETF_Options_Exhibits'!Q2423:Q2427),"")</f>
        <v/>
      </c>
      <c r="R2427" s="3">
        <f>IF(ISNUMBER(AVERAGE('20250815_ETF_Options_Exhibits'!R2423:R2427)),AVERAGE('20250815_ETF_Options_Exhibits'!R2423:R2427),"")</f>
        <v/>
      </c>
      <c r="S2427" s="3">
        <f>IF(ISNUMBER(AVERAGE('20250815_ETF_Options_Exhibits'!S2423:S2427)),AVERAGE('20250815_ETF_Options_Exhibits'!S2423:S2427),"")</f>
        <v/>
      </c>
      <c r="T2427" s="3">
        <f>IF(ISNUMBER(AVERAGE('20250815_ETF_Options_Exhibits'!T2423:T2427)),AVERAGE('20250815_ETF_Options_Exhibits'!T2423:T2427),"")</f>
        <v/>
      </c>
      <c r="U2427" s="3">
        <f>IF(ISNUMBER(AVERAGE('20250815_ETF_Options_Exhibits'!U2423:U2427)),AVERAGE('20250815_ETF_Options_Exhibits'!U2423:U2427),"")</f>
        <v/>
      </c>
      <c r="V2427" s="3">
        <f>IF(ISNUMBER(AVERAGE('20250815_ETF_Options_Exhibits'!V2423:V2427)),AVERAGE('20250815_ETF_Options_Exhibits'!V2423:V2427),"")</f>
        <v/>
      </c>
      <c r="W2427" s="3">
        <f>IF(ISNUMBER(AVERAGE('20250815_ETF_Options_Exhibits'!W2423:W2427)),AVERAGE('20250815_ETF_Options_Exhibits'!W2423:W2427),"")</f>
        <v/>
      </c>
      <c r="X2427" s="3">
        <f>IF(ISNUMBER(AVERAGE('20250815_ETF_Options_Exhibits'!X2423:X2427)),AVERAGE('20250815_ETF_Options_Exhibits'!X2423:X2427),"")</f>
        <v/>
      </c>
      <c r="Y2427" s="3">
        <f>IF(ISNUMBER(AVERAGE('20250815_ETF_Options_Exhibits'!Y2423:Y2427)),AVERAGE('20250815_ETF_Options_Exhibits'!Y2423:Y2427),"")</f>
        <v/>
      </c>
      <c r="Z2427" s="3">
        <f>IF(ISNUMBER(AVERAGE('20250815_ETF_Options_Exhibits'!Z2423:Z2427)),AVERAGE('20250815_ETF_Options_Exhibits'!Z2423:Z2427),"")</f>
        <v/>
      </c>
      <c r="AA2427" s="3">
        <f>IF(ISNUMBER(AVERAGE('20250815_ETF_Options_Exhibits'!AA2423:AA2427)),AVERAGE('20250815_ETF_Options_Exhibits'!AA2423:AA2427),"")</f>
        <v/>
      </c>
    </row>
    <row r="2428">
      <c r="A2428" s="1" t="n">
        <v>45526</v>
      </c>
      <c r="B2428" s="3">
        <f>IF(ISNUMBER(AVERAGE('20250815_ETF_Options_Exhibits'!B2424:B2428)),AVERAGE('20250815_ETF_Options_Exhibits'!B2424:B2428),"")</f>
        <v/>
      </c>
      <c r="C2428" s="3">
        <f>IF(ISNUMBER(AVERAGE('20250815_ETF_Options_Exhibits'!C2424:C2428)),AVERAGE('20250815_ETF_Options_Exhibits'!C2424:C2428),"")</f>
        <v/>
      </c>
      <c r="D2428" s="3">
        <f>IF(ISNUMBER(AVERAGE('20250815_ETF_Options_Exhibits'!D2424:D2428)),AVERAGE('20250815_ETF_Options_Exhibits'!D2424:D2428),"")</f>
        <v/>
      </c>
      <c r="E2428" s="3">
        <f>IF(ISNUMBER(AVERAGE('20250815_ETF_Options_Exhibits'!E2424:E2428)),AVERAGE('20250815_ETF_Options_Exhibits'!E2424:E2428),"")</f>
        <v/>
      </c>
      <c r="F2428" s="3">
        <f>IF(ISNUMBER(AVERAGE('20250815_ETF_Options_Exhibits'!F2424:F2428)),AVERAGE('20250815_ETF_Options_Exhibits'!F2424:F2428),"")</f>
        <v/>
      </c>
      <c r="G2428" s="3">
        <f>IF(ISNUMBER(AVERAGE('20250815_ETF_Options_Exhibits'!G2424:G2428)),AVERAGE('20250815_ETF_Options_Exhibits'!G2424:G2428),"")</f>
        <v/>
      </c>
      <c r="H2428" s="3">
        <f>IF(ISNUMBER(AVERAGE('20250815_ETF_Options_Exhibits'!H2424:H2428)),AVERAGE('20250815_ETF_Options_Exhibits'!H2424:H2428),"")</f>
        <v/>
      </c>
      <c r="I2428" s="3">
        <f>IF(ISNUMBER(AVERAGE('20250815_ETF_Options_Exhibits'!I2424:I2428)),AVERAGE('20250815_ETF_Options_Exhibits'!I2424:I2428),"")</f>
        <v/>
      </c>
      <c r="J2428" s="3">
        <f>IF(ISNUMBER(AVERAGE('20250815_ETF_Options_Exhibits'!J2424:J2428)),AVERAGE('20250815_ETF_Options_Exhibits'!J2424:J2428),"")</f>
        <v/>
      </c>
      <c r="K2428" s="3">
        <f>IF(ISNUMBER(AVERAGE('20250815_ETF_Options_Exhibits'!K2424:K2428)),AVERAGE('20250815_ETF_Options_Exhibits'!K2424:K2428),"")</f>
        <v/>
      </c>
      <c r="L2428" s="3">
        <f>IF(ISNUMBER(AVERAGE('20250815_ETF_Options_Exhibits'!L2424:L2428)),AVERAGE('20250815_ETF_Options_Exhibits'!L2424:L2428),"")</f>
        <v/>
      </c>
      <c r="M2428" s="3">
        <f>IF(ISNUMBER(AVERAGE('20250815_ETF_Options_Exhibits'!M2424:M2428)),AVERAGE('20250815_ETF_Options_Exhibits'!M2424:M2428),"")</f>
        <v/>
      </c>
      <c r="N2428" s="3">
        <f>IF(ISNUMBER(AVERAGE('20250815_ETF_Options_Exhibits'!N2424:N2428)),AVERAGE('20250815_ETF_Options_Exhibits'!N2424:N2428),"")</f>
        <v/>
      </c>
      <c r="O2428" s="3">
        <f>IF(ISNUMBER(AVERAGE('20250815_ETF_Options_Exhibits'!O2424:O2428)),AVERAGE('20250815_ETF_Options_Exhibits'!O2424:O2428),"")</f>
        <v/>
      </c>
      <c r="P2428" s="3">
        <f>IF(ISNUMBER(AVERAGE('20250815_ETF_Options_Exhibits'!P2424:P2428)),AVERAGE('20250815_ETF_Options_Exhibits'!P2424:P2428),"")</f>
        <v/>
      </c>
      <c r="Q2428" s="3">
        <f>IF(ISNUMBER(AVERAGE('20250815_ETF_Options_Exhibits'!Q2424:Q2428)),AVERAGE('20250815_ETF_Options_Exhibits'!Q2424:Q2428),"")</f>
        <v/>
      </c>
      <c r="R2428" s="3">
        <f>IF(ISNUMBER(AVERAGE('20250815_ETF_Options_Exhibits'!R2424:R2428)),AVERAGE('20250815_ETF_Options_Exhibits'!R2424:R2428),"")</f>
        <v/>
      </c>
      <c r="S2428" s="3">
        <f>IF(ISNUMBER(AVERAGE('20250815_ETF_Options_Exhibits'!S2424:S2428)),AVERAGE('20250815_ETF_Options_Exhibits'!S2424:S2428),"")</f>
        <v/>
      </c>
      <c r="T2428" s="3">
        <f>IF(ISNUMBER(AVERAGE('20250815_ETF_Options_Exhibits'!T2424:T2428)),AVERAGE('20250815_ETF_Options_Exhibits'!T2424:T2428),"")</f>
        <v/>
      </c>
      <c r="U2428" s="3">
        <f>IF(ISNUMBER(AVERAGE('20250815_ETF_Options_Exhibits'!U2424:U2428)),AVERAGE('20250815_ETF_Options_Exhibits'!U2424:U2428),"")</f>
        <v/>
      </c>
      <c r="V2428" s="3">
        <f>IF(ISNUMBER(AVERAGE('20250815_ETF_Options_Exhibits'!V2424:V2428)),AVERAGE('20250815_ETF_Options_Exhibits'!V2424:V2428),"")</f>
        <v/>
      </c>
      <c r="W2428" s="3">
        <f>IF(ISNUMBER(AVERAGE('20250815_ETF_Options_Exhibits'!W2424:W2428)),AVERAGE('20250815_ETF_Options_Exhibits'!W2424:W2428),"")</f>
        <v/>
      </c>
      <c r="X2428" s="3">
        <f>IF(ISNUMBER(AVERAGE('20250815_ETF_Options_Exhibits'!X2424:X2428)),AVERAGE('20250815_ETF_Options_Exhibits'!X2424:X2428),"")</f>
        <v/>
      </c>
      <c r="Y2428" s="3">
        <f>IF(ISNUMBER(AVERAGE('20250815_ETF_Options_Exhibits'!Y2424:Y2428)),AVERAGE('20250815_ETF_Options_Exhibits'!Y2424:Y2428),"")</f>
        <v/>
      </c>
      <c r="Z2428" s="3">
        <f>IF(ISNUMBER(AVERAGE('20250815_ETF_Options_Exhibits'!Z2424:Z2428)),AVERAGE('20250815_ETF_Options_Exhibits'!Z2424:Z2428),"")</f>
        <v/>
      </c>
      <c r="AA2428" s="3">
        <f>IF(ISNUMBER(AVERAGE('20250815_ETF_Options_Exhibits'!AA2424:AA2428)),AVERAGE('20250815_ETF_Options_Exhibits'!AA2424:AA2428),"")</f>
        <v/>
      </c>
    </row>
    <row r="2429">
      <c r="A2429" s="1" t="n">
        <v>45527</v>
      </c>
      <c r="B2429" s="3">
        <f>IF(ISNUMBER(AVERAGE('20250815_ETF_Options_Exhibits'!B2425:B2429)),AVERAGE('20250815_ETF_Options_Exhibits'!B2425:B2429),"")</f>
        <v/>
      </c>
      <c r="C2429" s="3">
        <f>IF(ISNUMBER(AVERAGE('20250815_ETF_Options_Exhibits'!C2425:C2429)),AVERAGE('20250815_ETF_Options_Exhibits'!C2425:C2429),"")</f>
        <v/>
      </c>
      <c r="D2429" s="3">
        <f>IF(ISNUMBER(AVERAGE('20250815_ETF_Options_Exhibits'!D2425:D2429)),AVERAGE('20250815_ETF_Options_Exhibits'!D2425:D2429),"")</f>
        <v/>
      </c>
      <c r="E2429" s="3">
        <f>IF(ISNUMBER(AVERAGE('20250815_ETF_Options_Exhibits'!E2425:E2429)),AVERAGE('20250815_ETF_Options_Exhibits'!E2425:E2429),"")</f>
        <v/>
      </c>
      <c r="F2429" s="3">
        <f>IF(ISNUMBER(AVERAGE('20250815_ETF_Options_Exhibits'!F2425:F2429)),AVERAGE('20250815_ETF_Options_Exhibits'!F2425:F2429),"")</f>
        <v/>
      </c>
      <c r="G2429" s="3">
        <f>IF(ISNUMBER(AVERAGE('20250815_ETF_Options_Exhibits'!G2425:G2429)),AVERAGE('20250815_ETF_Options_Exhibits'!G2425:G2429),"")</f>
        <v/>
      </c>
      <c r="H2429" s="3">
        <f>IF(ISNUMBER(AVERAGE('20250815_ETF_Options_Exhibits'!H2425:H2429)),AVERAGE('20250815_ETF_Options_Exhibits'!H2425:H2429),"")</f>
        <v/>
      </c>
      <c r="I2429" s="3">
        <f>IF(ISNUMBER(AVERAGE('20250815_ETF_Options_Exhibits'!I2425:I2429)),AVERAGE('20250815_ETF_Options_Exhibits'!I2425:I2429),"")</f>
        <v/>
      </c>
      <c r="J2429" s="3">
        <f>IF(ISNUMBER(AVERAGE('20250815_ETF_Options_Exhibits'!J2425:J2429)),AVERAGE('20250815_ETF_Options_Exhibits'!J2425:J2429),"")</f>
        <v/>
      </c>
      <c r="K2429" s="3">
        <f>IF(ISNUMBER(AVERAGE('20250815_ETF_Options_Exhibits'!K2425:K2429)),AVERAGE('20250815_ETF_Options_Exhibits'!K2425:K2429),"")</f>
        <v/>
      </c>
      <c r="L2429" s="3">
        <f>IF(ISNUMBER(AVERAGE('20250815_ETF_Options_Exhibits'!L2425:L2429)),AVERAGE('20250815_ETF_Options_Exhibits'!L2425:L2429),"")</f>
        <v/>
      </c>
      <c r="M2429" s="3">
        <f>IF(ISNUMBER(AVERAGE('20250815_ETF_Options_Exhibits'!M2425:M2429)),AVERAGE('20250815_ETF_Options_Exhibits'!M2425:M2429),"")</f>
        <v/>
      </c>
      <c r="N2429" s="3">
        <f>IF(ISNUMBER(AVERAGE('20250815_ETF_Options_Exhibits'!N2425:N2429)),AVERAGE('20250815_ETF_Options_Exhibits'!N2425:N2429),"")</f>
        <v/>
      </c>
      <c r="O2429" s="3">
        <f>IF(ISNUMBER(AVERAGE('20250815_ETF_Options_Exhibits'!O2425:O2429)),AVERAGE('20250815_ETF_Options_Exhibits'!O2425:O2429),"")</f>
        <v/>
      </c>
      <c r="P2429" s="3">
        <f>IF(ISNUMBER(AVERAGE('20250815_ETF_Options_Exhibits'!P2425:P2429)),AVERAGE('20250815_ETF_Options_Exhibits'!P2425:P2429),"")</f>
        <v/>
      </c>
      <c r="Q2429" s="3">
        <f>IF(ISNUMBER(AVERAGE('20250815_ETF_Options_Exhibits'!Q2425:Q2429)),AVERAGE('20250815_ETF_Options_Exhibits'!Q2425:Q2429),"")</f>
        <v/>
      </c>
      <c r="R2429" s="3">
        <f>IF(ISNUMBER(AVERAGE('20250815_ETF_Options_Exhibits'!R2425:R2429)),AVERAGE('20250815_ETF_Options_Exhibits'!R2425:R2429),"")</f>
        <v/>
      </c>
      <c r="S2429" s="3">
        <f>IF(ISNUMBER(AVERAGE('20250815_ETF_Options_Exhibits'!S2425:S2429)),AVERAGE('20250815_ETF_Options_Exhibits'!S2425:S2429),"")</f>
        <v/>
      </c>
      <c r="T2429" s="3">
        <f>IF(ISNUMBER(AVERAGE('20250815_ETF_Options_Exhibits'!T2425:T2429)),AVERAGE('20250815_ETF_Options_Exhibits'!T2425:T2429),"")</f>
        <v/>
      </c>
      <c r="U2429" s="3">
        <f>IF(ISNUMBER(AVERAGE('20250815_ETF_Options_Exhibits'!U2425:U2429)),AVERAGE('20250815_ETF_Options_Exhibits'!U2425:U2429),"")</f>
        <v/>
      </c>
      <c r="V2429" s="3">
        <f>IF(ISNUMBER(AVERAGE('20250815_ETF_Options_Exhibits'!V2425:V2429)),AVERAGE('20250815_ETF_Options_Exhibits'!V2425:V2429),"")</f>
        <v/>
      </c>
      <c r="W2429" s="3">
        <f>IF(ISNUMBER(AVERAGE('20250815_ETF_Options_Exhibits'!W2425:W2429)),AVERAGE('20250815_ETF_Options_Exhibits'!W2425:W2429),"")</f>
        <v/>
      </c>
      <c r="X2429" s="3">
        <f>IF(ISNUMBER(AVERAGE('20250815_ETF_Options_Exhibits'!X2425:X2429)),AVERAGE('20250815_ETF_Options_Exhibits'!X2425:X2429),"")</f>
        <v/>
      </c>
      <c r="Y2429" s="3">
        <f>IF(ISNUMBER(AVERAGE('20250815_ETF_Options_Exhibits'!Y2425:Y2429)),AVERAGE('20250815_ETF_Options_Exhibits'!Y2425:Y2429),"")</f>
        <v/>
      </c>
      <c r="Z2429" s="3">
        <f>IF(ISNUMBER(AVERAGE('20250815_ETF_Options_Exhibits'!Z2425:Z2429)),AVERAGE('20250815_ETF_Options_Exhibits'!Z2425:Z2429),"")</f>
        <v/>
      </c>
      <c r="AA2429" s="3">
        <f>IF(ISNUMBER(AVERAGE('20250815_ETF_Options_Exhibits'!AA2425:AA2429)),AVERAGE('20250815_ETF_Options_Exhibits'!AA2425:AA2429),"")</f>
        <v/>
      </c>
    </row>
    <row r="2430">
      <c r="A2430" s="1" t="n">
        <v>45530</v>
      </c>
      <c r="B2430" s="3">
        <f>IF(ISNUMBER(AVERAGE('20250815_ETF_Options_Exhibits'!B2426:B2430)),AVERAGE('20250815_ETF_Options_Exhibits'!B2426:B2430),"")</f>
        <v/>
      </c>
      <c r="C2430" s="3">
        <f>IF(ISNUMBER(AVERAGE('20250815_ETF_Options_Exhibits'!C2426:C2430)),AVERAGE('20250815_ETF_Options_Exhibits'!C2426:C2430),"")</f>
        <v/>
      </c>
      <c r="D2430" s="3">
        <f>IF(ISNUMBER(AVERAGE('20250815_ETF_Options_Exhibits'!D2426:D2430)),AVERAGE('20250815_ETF_Options_Exhibits'!D2426:D2430),"")</f>
        <v/>
      </c>
      <c r="E2430" s="3">
        <f>IF(ISNUMBER(AVERAGE('20250815_ETF_Options_Exhibits'!E2426:E2430)),AVERAGE('20250815_ETF_Options_Exhibits'!E2426:E2430),"")</f>
        <v/>
      </c>
      <c r="F2430" s="3">
        <f>IF(ISNUMBER(AVERAGE('20250815_ETF_Options_Exhibits'!F2426:F2430)),AVERAGE('20250815_ETF_Options_Exhibits'!F2426:F2430),"")</f>
        <v/>
      </c>
      <c r="G2430" s="3">
        <f>IF(ISNUMBER(AVERAGE('20250815_ETF_Options_Exhibits'!G2426:G2430)),AVERAGE('20250815_ETF_Options_Exhibits'!G2426:G2430),"")</f>
        <v/>
      </c>
      <c r="H2430" s="3">
        <f>IF(ISNUMBER(AVERAGE('20250815_ETF_Options_Exhibits'!H2426:H2430)),AVERAGE('20250815_ETF_Options_Exhibits'!H2426:H2430),"")</f>
        <v/>
      </c>
      <c r="I2430" s="3">
        <f>IF(ISNUMBER(AVERAGE('20250815_ETF_Options_Exhibits'!I2426:I2430)),AVERAGE('20250815_ETF_Options_Exhibits'!I2426:I2430),"")</f>
        <v/>
      </c>
      <c r="J2430" s="3">
        <f>IF(ISNUMBER(AVERAGE('20250815_ETF_Options_Exhibits'!J2426:J2430)),AVERAGE('20250815_ETF_Options_Exhibits'!J2426:J2430),"")</f>
        <v/>
      </c>
      <c r="K2430" s="3">
        <f>IF(ISNUMBER(AVERAGE('20250815_ETF_Options_Exhibits'!K2426:K2430)),AVERAGE('20250815_ETF_Options_Exhibits'!K2426:K2430),"")</f>
        <v/>
      </c>
      <c r="L2430" s="3">
        <f>IF(ISNUMBER(AVERAGE('20250815_ETF_Options_Exhibits'!L2426:L2430)),AVERAGE('20250815_ETF_Options_Exhibits'!L2426:L2430),"")</f>
        <v/>
      </c>
      <c r="M2430" s="3">
        <f>IF(ISNUMBER(AVERAGE('20250815_ETF_Options_Exhibits'!M2426:M2430)),AVERAGE('20250815_ETF_Options_Exhibits'!M2426:M2430),"")</f>
        <v/>
      </c>
      <c r="N2430" s="3">
        <f>IF(ISNUMBER(AVERAGE('20250815_ETF_Options_Exhibits'!N2426:N2430)),AVERAGE('20250815_ETF_Options_Exhibits'!N2426:N2430),"")</f>
        <v/>
      </c>
      <c r="O2430" s="3">
        <f>IF(ISNUMBER(AVERAGE('20250815_ETF_Options_Exhibits'!O2426:O2430)),AVERAGE('20250815_ETF_Options_Exhibits'!O2426:O2430),"")</f>
        <v/>
      </c>
      <c r="P2430" s="3">
        <f>IF(ISNUMBER(AVERAGE('20250815_ETF_Options_Exhibits'!P2426:P2430)),AVERAGE('20250815_ETF_Options_Exhibits'!P2426:P2430),"")</f>
        <v/>
      </c>
      <c r="Q2430" s="3">
        <f>IF(ISNUMBER(AVERAGE('20250815_ETF_Options_Exhibits'!Q2426:Q2430)),AVERAGE('20250815_ETF_Options_Exhibits'!Q2426:Q2430),"")</f>
        <v/>
      </c>
      <c r="R2430" s="3">
        <f>IF(ISNUMBER(AVERAGE('20250815_ETF_Options_Exhibits'!R2426:R2430)),AVERAGE('20250815_ETF_Options_Exhibits'!R2426:R2430),"")</f>
        <v/>
      </c>
      <c r="S2430" s="3">
        <f>IF(ISNUMBER(AVERAGE('20250815_ETF_Options_Exhibits'!S2426:S2430)),AVERAGE('20250815_ETF_Options_Exhibits'!S2426:S2430),"")</f>
        <v/>
      </c>
      <c r="T2430" s="3">
        <f>IF(ISNUMBER(AVERAGE('20250815_ETF_Options_Exhibits'!T2426:T2430)),AVERAGE('20250815_ETF_Options_Exhibits'!T2426:T2430),"")</f>
        <v/>
      </c>
      <c r="U2430" s="3">
        <f>IF(ISNUMBER(AVERAGE('20250815_ETF_Options_Exhibits'!U2426:U2430)),AVERAGE('20250815_ETF_Options_Exhibits'!U2426:U2430),"")</f>
        <v/>
      </c>
      <c r="V2430" s="3">
        <f>IF(ISNUMBER(AVERAGE('20250815_ETF_Options_Exhibits'!V2426:V2430)),AVERAGE('20250815_ETF_Options_Exhibits'!V2426:V2430),"")</f>
        <v/>
      </c>
      <c r="W2430" s="3">
        <f>IF(ISNUMBER(AVERAGE('20250815_ETF_Options_Exhibits'!W2426:W2430)),AVERAGE('20250815_ETF_Options_Exhibits'!W2426:W2430),"")</f>
        <v/>
      </c>
      <c r="X2430" s="3">
        <f>IF(ISNUMBER(AVERAGE('20250815_ETF_Options_Exhibits'!X2426:X2430)),AVERAGE('20250815_ETF_Options_Exhibits'!X2426:X2430),"")</f>
        <v/>
      </c>
      <c r="Y2430" s="3">
        <f>IF(ISNUMBER(AVERAGE('20250815_ETF_Options_Exhibits'!Y2426:Y2430)),AVERAGE('20250815_ETF_Options_Exhibits'!Y2426:Y2430),"")</f>
        <v/>
      </c>
      <c r="Z2430" s="3">
        <f>IF(ISNUMBER(AVERAGE('20250815_ETF_Options_Exhibits'!Z2426:Z2430)),AVERAGE('20250815_ETF_Options_Exhibits'!Z2426:Z2430),"")</f>
        <v/>
      </c>
      <c r="AA2430" s="3">
        <f>IF(ISNUMBER(AVERAGE('20250815_ETF_Options_Exhibits'!AA2426:AA2430)),AVERAGE('20250815_ETF_Options_Exhibits'!AA2426:AA2430),"")</f>
        <v/>
      </c>
    </row>
    <row r="2431">
      <c r="A2431" s="1" t="n">
        <v>45531</v>
      </c>
      <c r="B2431" s="3">
        <f>IF(ISNUMBER(AVERAGE('20250815_ETF_Options_Exhibits'!B2427:B2431)),AVERAGE('20250815_ETF_Options_Exhibits'!B2427:B2431),"")</f>
        <v/>
      </c>
      <c r="C2431" s="3">
        <f>IF(ISNUMBER(AVERAGE('20250815_ETF_Options_Exhibits'!C2427:C2431)),AVERAGE('20250815_ETF_Options_Exhibits'!C2427:C2431),"")</f>
        <v/>
      </c>
      <c r="D2431" s="3">
        <f>IF(ISNUMBER(AVERAGE('20250815_ETF_Options_Exhibits'!D2427:D2431)),AVERAGE('20250815_ETF_Options_Exhibits'!D2427:D2431),"")</f>
        <v/>
      </c>
      <c r="E2431" s="3">
        <f>IF(ISNUMBER(AVERAGE('20250815_ETF_Options_Exhibits'!E2427:E2431)),AVERAGE('20250815_ETF_Options_Exhibits'!E2427:E2431),"")</f>
        <v/>
      </c>
      <c r="F2431" s="3">
        <f>IF(ISNUMBER(AVERAGE('20250815_ETF_Options_Exhibits'!F2427:F2431)),AVERAGE('20250815_ETF_Options_Exhibits'!F2427:F2431),"")</f>
        <v/>
      </c>
      <c r="G2431" s="3">
        <f>IF(ISNUMBER(AVERAGE('20250815_ETF_Options_Exhibits'!G2427:G2431)),AVERAGE('20250815_ETF_Options_Exhibits'!G2427:G2431),"")</f>
        <v/>
      </c>
      <c r="H2431" s="3">
        <f>IF(ISNUMBER(AVERAGE('20250815_ETF_Options_Exhibits'!H2427:H2431)),AVERAGE('20250815_ETF_Options_Exhibits'!H2427:H2431),"")</f>
        <v/>
      </c>
      <c r="I2431" s="3">
        <f>IF(ISNUMBER(AVERAGE('20250815_ETF_Options_Exhibits'!I2427:I2431)),AVERAGE('20250815_ETF_Options_Exhibits'!I2427:I2431),"")</f>
        <v/>
      </c>
      <c r="J2431" s="3">
        <f>IF(ISNUMBER(AVERAGE('20250815_ETF_Options_Exhibits'!J2427:J2431)),AVERAGE('20250815_ETF_Options_Exhibits'!J2427:J2431),"")</f>
        <v/>
      </c>
      <c r="K2431" s="3">
        <f>IF(ISNUMBER(AVERAGE('20250815_ETF_Options_Exhibits'!K2427:K2431)),AVERAGE('20250815_ETF_Options_Exhibits'!K2427:K2431),"")</f>
        <v/>
      </c>
      <c r="L2431" s="3">
        <f>IF(ISNUMBER(AVERAGE('20250815_ETF_Options_Exhibits'!L2427:L2431)),AVERAGE('20250815_ETF_Options_Exhibits'!L2427:L2431),"")</f>
        <v/>
      </c>
      <c r="M2431" s="3">
        <f>IF(ISNUMBER(AVERAGE('20250815_ETF_Options_Exhibits'!M2427:M2431)),AVERAGE('20250815_ETF_Options_Exhibits'!M2427:M2431),"")</f>
        <v/>
      </c>
      <c r="N2431" s="3">
        <f>IF(ISNUMBER(AVERAGE('20250815_ETF_Options_Exhibits'!N2427:N2431)),AVERAGE('20250815_ETF_Options_Exhibits'!N2427:N2431),"")</f>
        <v/>
      </c>
      <c r="O2431" s="3">
        <f>IF(ISNUMBER(AVERAGE('20250815_ETF_Options_Exhibits'!O2427:O2431)),AVERAGE('20250815_ETF_Options_Exhibits'!O2427:O2431),"")</f>
        <v/>
      </c>
      <c r="P2431" s="3">
        <f>IF(ISNUMBER(AVERAGE('20250815_ETF_Options_Exhibits'!P2427:P2431)),AVERAGE('20250815_ETF_Options_Exhibits'!P2427:P2431),"")</f>
        <v/>
      </c>
      <c r="Q2431" s="3">
        <f>IF(ISNUMBER(AVERAGE('20250815_ETF_Options_Exhibits'!Q2427:Q2431)),AVERAGE('20250815_ETF_Options_Exhibits'!Q2427:Q2431),"")</f>
        <v/>
      </c>
      <c r="R2431" s="3">
        <f>IF(ISNUMBER(AVERAGE('20250815_ETF_Options_Exhibits'!R2427:R2431)),AVERAGE('20250815_ETF_Options_Exhibits'!R2427:R2431),"")</f>
        <v/>
      </c>
      <c r="S2431" s="3">
        <f>IF(ISNUMBER(AVERAGE('20250815_ETF_Options_Exhibits'!S2427:S2431)),AVERAGE('20250815_ETF_Options_Exhibits'!S2427:S2431),"")</f>
        <v/>
      </c>
      <c r="T2431" s="3">
        <f>IF(ISNUMBER(AVERAGE('20250815_ETF_Options_Exhibits'!T2427:T2431)),AVERAGE('20250815_ETF_Options_Exhibits'!T2427:T2431),"")</f>
        <v/>
      </c>
      <c r="U2431" s="3">
        <f>IF(ISNUMBER(AVERAGE('20250815_ETF_Options_Exhibits'!U2427:U2431)),AVERAGE('20250815_ETF_Options_Exhibits'!U2427:U2431),"")</f>
        <v/>
      </c>
      <c r="V2431" s="3">
        <f>IF(ISNUMBER(AVERAGE('20250815_ETF_Options_Exhibits'!V2427:V2431)),AVERAGE('20250815_ETF_Options_Exhibits'!V2427:V2431),"")</f>
        <v/>
      </c>
      <c r="W2431" s="3">
        <f>IF(ISNUMBER(AVERAGE('20250815_ETF_Options_Exhibits'!W2427:W2431)),AVERAGE('20250815_ETF_Options_Exhibits'!W2427:W2431),"")</f>
        <v/>
      </c>
      <c r="X2431" s="3">
        <f>IF(ISNUMBER(AVERAGE('20250815_ETF_Options_Exhibits'!X2427:X2431)),AVERAGE('20250815_ETF_Options_Exhibits'!X2427:X2431),"")</f>
        <v/>
      </c>
      <c r="Y2431" s="3">
        <f>IF(ISNUMBER(AVERAGE('20250815_ETF_Options_Exhibits'!Y2427:Y2431)),AVERAGE('20250815_ETF_Options_Exhibits'!Y2427:Y2431),"")</f>
        <v/>
      </c>
      <c r="Z2431" s="3">
        <f>IF(ISNUMBER(AVERAGE('20250815_ETF_Options_Exhibits'!Z2427:Z2431)),AVERAGE('20250815_ETF_Options_Exhibits'!Z2427:Z2431),"")</f>
        <v/>
      </c>
      <c r="AA2431" s="3">
        <f>IF(ISNUMBER(AVERAGE('20250815_ETF_Options_Exhibits'!AA2427:AA2431)),AVERAGE('20250815_ETF_Options_Exhibits'!AA2427:AA2431),"")</f>
        <v/>
      </c>
    </row>
    <row r="2432">
      <c r="A2432" s="1" t="n">
        <v>45532</v>
      </c>
      <c r="B2432" s="3">
        <f>IF(ISNUMBER(AVERAGE('20250815_ETF_Options_Exhibits'!B2428:B2432)),AVERAGE('20250815_ETF_Options_Exhibits'!B2428:B2432),"")</f>
        <v/>
      </c>
      <c r="C2432" s="3">
        <f>IF(ISNUMBER(AVERAGE('20250815_ETF_Options_Exhibits'!C2428:C2432)),AVERAGE('20250815_ETF_Options_Exhibits'!C2428:C2432),"")</f>
        <v/>
      </c>
      <c r="D2432" s="3">
        <f>IF(ISNUMBER(AVERAGE('20250815_ETF_Options_Exhibits'!D2428:D2432)),AVERAGE('20250815_ETF_Options_Exhibits'!D2428:D2432),"")</f>
        <v/>
      </c>
      <c r="E2432" s="3">
        <f>IF(ISNUMBER(AVERAGE('20250815_ETF_Options_Exhibits'!E2428:E2432)),AVERAGE('20250815_ETF_Options_Exhibits'!E2428:E2432),"")</f>
        <v/>
      </c>
      <c r="F2432" s="3">
        <f>IF(ISNUMBER(AVERAGE('20250815_ETF_Options_Exhibits'!F2428:F2432)),AVERAGE('20250815_ETF_Options_Exhibits'!F2428:F2432),"")</f>
        <v/>
      </c>
      <c r="G2432" s="3">
        <f>IF(ISNUMBER(AVERAGE('20250815_ETF_Options_Exhibits'!G2428:G2432)),AVERAGE('20250815_ETF_Options_Exhibits'!G2428:G2432),"")</f>
        <v/>
      </c>
      <c r="H2432" s="3">
        <f>IF(ISNUMBER(AVERAGE('20250815_ETF_Options_Exhibits'!H2428:H2432)),AVERAGE('20250815_ETF_Options_Exhibits'!H2428:H2432),"")</f>
        <v/>
      </c>
      <c r="I2432" s="3">
        <f>IF(ISNUMBER(AVERAGE('20250815_ETF_Options_Exhibits'!I2428:I2432)),AVERAGE('20250815_ETF_Options_Exhibits'!I2428:I2432),"")</f>
        <v/>
      </c>
      <c r="J2432" s="3">
        <f>IF(ISNUMBER(AVERAGE('20250815_ETF_Options_Exhibits'!J2428:J2432)),AVERAGE('20250815_ETF_Options_Exhibits'!J2428:J2432),"")</f>
        <v/>
      </c>
      <c r="K2432" s="3">
        <f>IF(ISNUMBER(AVERAGE('20250815_ETF_Options_Exhibits'!K2428:K2432)),AVERAGE('20250815_ETF_Options_Exhibits'!K2428:K2432),"")</f>
        <v/>
      </c>
      <c r="L2432" s="3">
        <f>IF(ISNUMBER(AVERAGE('20250815_ETF_Options_Exhibits'!L2428:L2432)),AVERAGE('20250815_ETF_Options_Exhibits'!L2428:L2432),"")</f>
        <v/>
      </c>
      <c r="M2432" s="3">
        <f>IF(ISNUMBER(AVERAGE('20250815_ETF_Options_Exhibits'!M2428:M2432)),AVERAGE('20250815_ETF_Options_Exhibits'!M2428:M2432),"")</f>
        <v/>
      </c>
      <c r="N2432" s="3">
        <f>IF(ISNUMBER(AVERAGE('20250815_ETF_Options_Exhibits'!N2428:N2432)),AVERAGE('20250815_ETF_Options_Exhibits'!N2428:N2432),"")</f>
        <v/>
      </c>
      <c r="O2432" s="3">
        <f>IF(ISNUMBER(AVERAGE('20250815_ETF_Options_Exhibits'!O2428:O2432)),AVERAGE('20250815_ETF_Options_Exhibits'!O2428:O2432),"")</f>
        <v/>
      </c>
      <c r="P2432" s="3">
        <f>IF(ISNUMBER(AVERAGE('20250815_ETF_Options_Exhibits'!P2428:P2432)),AVERAGE('20250815_ETF_Options_Exhibits'!P2428:P2432),"")</f>
        <v/>
      </c>
      <c r="Q2432" s="3">
        <f>IF(ISNUMBER(AVERAGE('20250815_ETF_Options_Exhibits'!Q2428:Q2432)),AVERAGE('20250815_ETF_Options_Exhibits'!Q2428:Q2432),"")</f>
        <v/>
      </c>
      <c r="R2432" s="3">
        <f>IF(ISNUMBER(AVERAGE('20250815_ETF_Options_Exhibits'!R2428:R2432)),AVERAGE('20250815_ETF_Options_Exhibits'!R2428:R2432),"")</f>
        <v/>
      </c>
      <c r="S2432" s="3">
        <f>IF(ISNUMBER(AVERAGE('20250815_ETF_Options_Exhibits'!S2428:S2432)),AVERAGE('20250815_ETF_Options_Exhibits'!S2428:S2432),"")</f>
        <v/>
      </c>
      <c r="T2432" s="3">
        <f>IF(ISNUMBER(AVERAGE('20250815_ETF_Options_Exhibits'!T2428:T2432)),AVERAGE('20250815_ETF_Options_Exhibits'!T2428:T2432),"")</f>
        <v/>
      </c>
      <c r="U2432" s="3">
        <f>IF(ISNUMBER(AVERAGE('20250815_ETF_Options_Exhibits'!U2428:U2432)),AVERAGE('20250815_ETF_Options_Exhibits'!U2428:U2432),"")</f>
        <v/>
      </c>
      <c r="V2432" s="3">
        <f>IF(ISNUMBER(AVERAGE('20250815_ETF_Options_Exhibits'!V2428:V2432)),AVERAGE('20250815_ETF_Options_Exhibits'!V2428:V2432),"")</f>
        <v/>
      </c>
      <c r="W2432" s="3">
        <f>IF(ISNUMBER(AVERAGE('20250815_ETF_Options_Exhibits'!W2428:W2432)),AVERAGE('20250815_ETF_Options_Exhibits'!W2428:W2432),"")</f>
        <v/>
      </c>
      <c r="X2432" s="3">
        <f>IF(ISNUMBER(AVERAGE('20250815_ETF_Options_Exhibits'!X2428:X2432)),AVERAGE('20250815_ETF_Options_Exhibits'!X2428:X2432),"")</f>
        <v/>
      </c>
      <c r="Y2432" s="3">
        <f>IF(ISNUMBER(AVERAGE('20250815_ETF_Options_Exhibits'!Y2428:Y2432)),AVERAGE('20250815_ETF_Options_Exhibits'!Y2428:Y2432),"")</f>
        <v/>
      </c>
      <c r="Z2432" s="3">
        <f>IF(ISNUMBER(AVERAGE('20250815_ETF_Options_Exhibits'!Z2428:Z2432)),AVERAGE('20250815_ETF_Options_Exhibits'!Z2428:Z2432),"")</f>
        <v/>
      </c>
      <c r="AA2432" s="3">
        <f>IF(ISNUMBER(AVERAGE('20250815_ETF_Options_Exhibits'!AA2428:AA2432)),AVERAGE('20250815_ETF_Options_Exhibits'!AA2428:AA2432),"")</f>
        <v/>
      </c>
    </row>
    <row r="2433">
      <c r="A2433" s="1" t="n">
        <v>45533</v>
      </c>
      <c r="B2433" s="3">
        <f>IF(ISNUMBER(AVERAGE('20250815_ETF_Options_Exhibits'!B2429:B2433)),AVERAGE('20250815_ETF_Options_Exhibits'!B2429:B2433),"")</f>
        <v/>
      </c>
      <c r="C2433" s="3">
        <f>IF(ISNUMBER(AVERAGE('20250815_ETF_Options_Exhibits'!C2429:C2433)),AVERAGE('20250815_ETF_Options_Exhibits'!C2429:C2433),"")</f>
        <v/>
      </c>
      <c r="D2433" s="3">
        <f>IF(ISNUMBER(AVERAGE('20250815_ETF_Options_Exhibits'!D2429:D2433)),AVERAGE('20250815_ETF_Options_Exhibits'!D2429:D2433),"")</f>
        <v/>
      </c>
      <c r="E2433" s="3">
        <f>IF(ISNUMBER(AVERAGE('20250815_ETF_Options_Exhibits'!E2429:E2433)),AVERAGE('20250815_ETF_Options_Exhibits'!E2429:E2433),"")</f>
        <v/>
      </c>
      <c r="F2433" s="3">
        <f>IF(ISNUMBER(AVERAGE('20250815_ETF_Options_Exhibits'!F2429:F2433)),AVERAGE('20250815_ETF_Options_Exhibits'!F2429:F2433),"")</f>
        <v/>
      </c>
      <c r="G2433" s="3">
        <f>IF(ISNUMBER(AVERAGE('20250815_ETF_Options_Exhibits'!G2429:G2433)),AVERAGE('20250815_ETF_Options_Exhibits'!G2429:G2433),"")</f>
        <v/>
      </c>
      <c r="H2433" s="3">
        <f>IF(ISNUMBER(AVERAGE('20250815_ETF_Options_Exhibits'!H2429:H2433)),AVERAGE('20250815_ETF_Options_Exhibits'!H2429:H2433),"")</f>
        <v/>
      </c>
      <c r="I2433" s="3">
        <f>IF(ISNUMBER(AVERAGE('20250815_ETF_Options_Exhibits'!I2429:I2433)),AVERAGE('20250815_ETF_Options_Exhibits'!I2429:I2433),"")</f>
        <v/>
      </c>
      <c r="J2433" s="3">
        <f>IF(ISNUMBER(AVERAGE('20250815_ETF_Options_Exhibits'!J2429:J2433)),AVERAGE('20250815_ETF_Options_Exhibits'!J2429:J2433),"")</f>
        <v/>
      </c>
      <c r="K2433" s="3">
        <f>IF(ISNUMBER(AVERAGE('20250815_ETF_Options_Exhibits'!K2429:K2433)),AVERAGE('20250815_ETF_Options_Exhibits'!K2429:K2433),"")</f>
        <v/>
      </c>
      <c r="L2433" s="3">
        <f>IF(ISNUMBER(AVERAGE('20250815_ETF_Options_Exhibits'!L2429:L2433)),AVERAGE('20250815_ETF_Options_Exhibits'!L2429:L2433),"")</f>
        <v/>
      </c>
      <c r="M2433" s="3">
        <f>IF(ISNUMBER(AVERAGE('20250815_ETF_Options_Exhibits'!M2429:M2433)),AVERAGE('20250815_ETF_Options_Exhibits'!M2429:M2433),"")</f>
        <v/>
      </c>
      <c r="N2433" s="3">
        <f>IF(ISNUMBER(AVERAGE('20250815_ETF_Options_Exhibits'!N2429:N2433)),AVERAGE('20250815_ETF_Options_Exhibits'!N2429:N2433),"")</f>
        <v/>
      </c>
      <c r="O2433" s="3">
        <f>IF(ISNUMBER(AVERAGE('20250815_ETF_Options_Exhibits'!O2429:O2433)),AVERAGE('20250815_ETF_Options_Exhibits'!O2429:O2433),"")</f>
        <v/>
      </c>
      <c r="P2433" s="3">
        <f>IF(ISNUMBER(AVERAGE('20250815_ETF_Options_Exhibits'!P2429:P2433)),AVERAGE('20250815_ETF_Options_Exhibits'!P2429:P2433),"")</f>
        <v/>
      </c>
      <c r="Q2433" s="3">
        <f>IF(ISNUMBER(AVERAGE('20250815_ETF_Options_Exhibits'!Q2429:Q2433)),AVERAGE('20250815_ETF_Options_Exhibits'!Q2429:Q2433),"")</f>
        <v/>
      </c>
      <c r="R2433" s="3">
        <f>IF(ISNUMBER(AVERAGE('20250815_ETF_Options_Exhibits'!R2429:R2433)),AVERAGE('20250815_ETF_Options_Exhibits'!R2429:R2433),"")</f>
        <v/>
      </c>
      <c r="S2433" s="3">
        <f>IF(ISNUMBER(AVERAGE('20250815_ETF_Options_Exhibits'!S2429:S2433)),AVERAGE('20250815_ETF_Options_Exhibits'!S2429:S2433),"")</f>
        <v/>
      </c>
      <c r="T2433" s="3">
        <f>IF(ISNUMBER(AVERAGE('20250815_ETF_Options_Exhibits'!T2429:T2433)),AVERAGE('20250815_ETF_Options_Exhibits'!T2429:T2433),"")</f>
        <v/>
      </c>
      <c r="U2433" s="3">
        <f>IF(ISNUMBER(AVERAGE('20250815_ETF_Options_Exhibits'!U2429:U2433)),AVERAGE('20250815_ETF_Options_Exhibits'!U2429:U2433),"")</f>
        <v/>
      </c>
      <c r="V2433" s="3">
        <f>IF(ISNUMBER(AVERAGE('20250815_ETF_Options_Exhibits'!V2429:V2433)),AVERAGE('20250815_ETF_Options_Exhibits'!V2429:V2433),"")</f>
        <v/>
      </c>
      <c r="W2433" s="3">
        <f>IF(ISNUMBER(AVERAGE('20250815_ETF_Options_Exhibits'!W2429:W2433)),AVERAGE('20250815_ETF_Options_Exhibits'!W2429:W2433),"")</f>
        <v/>
      </c>
      <c r="X2433" s="3">
        <f>IF(ISNUMBER(AVERAGE('20250815_ETF_Options_Exhibits'!X2429:X2433)),AVERAGE('20250815_ETF_Options_Exhibits'!X2429:X2433),"")</f>
        <v/>
      </c>
      <c r="Y2433" s="3">
        <f>IF(ISNUMBER(AVERAGE('20250815_ETF_Options_Exhibits'!Y2429:Y2433)),AVERAGE('20250815_ETF_Options_Exhibits'!Y2429:Y2433),"")</f>
        <v/>
      </c>
      <c r="Z2433" s="3">
        <f>IF(ISNUMBER(AVERAGE('20250815_ETF_Options_Exhibits'!Z2429:Z2433)),AVERAGE('20250815_ETF_Options_Exhibits'!Z2429:Z2433),"")</f>
        <v/>
      </c>
      <c r="AA2433" s="3">
        <f>IF(ISNUMBER(AVERAGE('20250815_ETF_Options_Exhibits'!AA2429:AA2433)),AVERAGE('20250815_ETF_Options_Exhibits'!AA2429:AA2433),"")</f>
        <v/>
      </c>
    </row>
    <row r="2434">
      <c r="A2434" s="1" t="n">
        <v>45534</v>
      </c>
      <c r="B2434" s="3">
        <f>IF(ISNUMBER(AVERAGE('20250815_ETF_Options_Exhibits'!B2430:B2434)),AVERAGE('20250815_ETF_Options_Exhibits'!B2430:B2434),"")</f>
        <v/>
      </c>
      <c r="C2434" s="3">
        <f>IF(ISNUMBER(AVERAGE('20250815_ETF_Options_Exhibits'!C2430:C2434)),AVERAGE('20250815_ETF_Options_Exhibits'!C2430:C2434),"")</f>
        <v/>
      </c>
      <c r="D2434" s="3">
        <f>IF(ISNUMBER(AVERAGE('20250815_ETF_Options_Exhibits'!D2430:D2434)),AVERAGE('20250815_ETF_Options_Exhibits'!D2430:D2434),"")</f>
        <v/>
      </c>
      <c r="E2434" s="3">
        <f>IF(ISNUMBER(AVERAGE('20250815_ETF_Options_Exhibits'!E2430:E2434)),AVERAGE('20250815_ETF_Options_Exhibits'!E2430:E2434),"")</f>
        <v/>
      </c>
      <c r="F2434" s="3">
        <f>IF(ISNUMBER(AVERAGE('20250815_ETF_Options_Exhibits'!F2430:F2434)),AVERAGE('20250815_ETF_Options_Exhibits'!F2430:F2434),"")</f>
        <v/>
      </c>
      <c r="G2434" s="3">
        <f>IF(ISNUMBER(AVERAGE('20250815_ETF_Options_Exhibits'!G2430:G2434)),AVERAGE('20250815_ETF_Options_Exhibits'!G2430:G2434),"")</f>
        <v/>
      </c>
      <c r="H2434" s="3">
        <f>IF(ISNUMBER(AVERAGE('20250815_ETF_Options_Exhibits'!H2430:H2434)),AVERAGE('20250815_ETF_Options_Exhibits'!H2430:H2434),"")</f>
        <v/>
      </c>
      <c r="I2434" s="3">
        <f>IF(ISNUMBER(AVERAGE('20250815_ETF_Options_Exhibits'!I2430:I2434)),AVERAGE('20250815_ETF_Options_Exhibits'!I2430:I2434),"")</f>
        <v/>
      </c>
      <c r="J2434" s="3">
        <f>IF(ISNUMBER(AVERAGE('20250815_ETF_Options_Exhibits'!J2430:J2434)),AVERAGE('20250815_ETF_Options_Exhibits'!J2430:J2434),"")</f>
        <v/>
      </c>
      <c r="K2434" s="3">
        <f>IF(ISNUMBER(AVERAGE('20250815_ETF_Options_Exhibits'!K2430:K2434)),AVERAGE('20250815_ETF_Options_Exhibits'!K2430:K2434),"")</f>
        <v/>
      </c>
      <c r="L2434" s="3">
        <f>IF(ISNUMBER(AVERAGE('20250815_ETF_Options_Exhibits'!L2430:L2434)),AVERAGE('20250815_ETF_Options_Exhibits'!L2430:L2434),"")</f>
        <v/>
      </c>
      <c r="M2434" s="3">
        <f>IF(ISNUMBER(AVERAGE('20250815_ETF_Options_Exhibits'!M2430:M2434)),AVERAGE('20250815_ETF_Options_Exhibits'!M2430:M2434),"")</f>
        <v/>
      </c>
      <c r="N2434" s="3">
        <f>IF(ISNUMBER(AVERAGE('20250815_ETF_Options_Exhibits'!N2430:N2434)),AVERAGE('20250815_ETF_Options_Exhibits'!N2430:N2434),"")</f>
        <v/>
      </c>
      <c r="O2434" s="3">
        <f>IF(ISNUMBER(AVERAGE('20250815_ETF_Options_Exhibits'!O2430:O2434)),AVERAGE('20250815_ETF_Options_Exhibits'!O2430:O2434),"")</f>
        <v/>
      </c>
      <c r="P2434" s="3">
        <f>IF(ISNUMBER(AVERAGE('20250815_ETF_Options_Exhibits'!P2430:P2434)),AVERAGE('20250815_ETF_Options_Exhibits'!P2430:P2434),"")</f>
        <v/>
      </c>
      <c r="Q2434" s="3">
        <f>IF(ISNUMBER(AVERAGE('20250815_ETF_Options_Exhibits'!Q2430:Q2434)),AVERAGE('20250815_ETF_Options_Exhibits'!Q2430:Q2434),"")</f>
        <v/>
      </c>
      <c r="R2434" s="3">
        <f>IF(ISNUMBER(AVERAGE('20250815_ETF_Options_Exhibits'!R2430:R2434)),AVERAGE('20250815_ETF_Options_Exhibits'!R2430:R2434),"")</f>
        <v/>
      </c>
      <c r="S2434" s="3">
        <f>IF(ISNUMBER(AVERAGE('20250815_ETF_Options_Exhibits'!S2430:S2434)),AVERAGE('20250815_ETF_Options_Exhibits'!S2430:S2434),"")</f>
        <v/>
      </c>
      <c r="T2434" s="3">
        <f>IF(ISNUMBER(AVERAGE('20250815_ETF_Options_Exhibits'!T2430:T2434)),AVERAGE('20250815_ETF_Options_Exhibits'!T2430:T2434),"")</f>
        <v/>
      </c>
      <c r="U2434" s="3">
        <f>IF(ISNUMBER(AVERAGE('20250815_ETF_Options_Exhibits'!U2430:U2434)),AVERAGE('20250815_ETF_Options_Exhibits'!U2430:U2434),"")</f>
        <v/>
      </c>
      <c r="V2434" s="3">
        <f>IF(ISNUMBER(AVERAGE('20250815_ETF_Options_Exhibits'!V2430:V2434)),AVERAGE('20250815_ETF_Options_Exhibits'!V2430:V2434),"")</f>
        <v/>
      </c>
      <c r="W2434" s="3">
        <f>IF(ISNUMBER(AVERAGE('20250815_ETF_Options_Exhibits'!W2430:W2434)),AVERAGE('20250815_ETF_Options_Exhibits'!W2430:W2434),"")</f>
        <v/>
      </c>
      <c r="X2434" s="3">
        <f>IF(ISNUMBER(AVERAGE('20250815_ETF_Options_Exhibits'!X2430:X2434)),AVERAGE('20250815_ETF_Options_Exhibits'!X2430:X2434),"")</f>
        <v/>
      </c>
      <c r="Y2434" s="3">
        <f>IF(ISNUMBER(AVERAGE('20250815_ETF_Options_Exhibits'!Y2430:Y2434)),AVERAGE('20250815_ETF_Options_Exhibits'!Y2430:Y2434),"")</f>
        <v/>
      </c>
      <c r="Z2434" s="3">
        <f>IF(ISNUMBER(AVERAGE('20250815_ETF_Options_Exhibits'!Z2430:Z2434)),AVERAGE('20250815_ETF_Options_Exhibits'!Z2430:Z2434),"")</f>
        <v/>
      </c>
      <c r="AA2434" s="3">
        <f>IF(ISNUMBER(AVERAGE('20250815_ETF_Options_Exhibits'!AA2430:AA2434)),AVERAGE('20250815_ETF_Options_Exhibits'!AA2430:AA2434),"")</f>
        <v/>
      </c>
    </row>
    <row r="2435">
      <c r="A2435" s="1" t="n">
        <v>45538</v>
      </c>
      <c r="B2435" s="3">
        <f>IF(ISNUMBER(AVERAGE('20250815_ETF_Options_Exhibits'!B2431:B2435)),AVERAGE('20250815_ETF_Options_Exhibits'!B2431:B2435),"")</f>
        <v/>
      </c>
      <c r="C2435" s="3">
        <f>IF(ISNUMBER(AVERAGE('20250815_ETF_Options_Exhibits'!C2431:C2435)),AVERAGE('20250815_ETF_Options_Exhibits'!C2431:C2435),"")</f>
        <v/>
      </c>
      <c r="D2435" s="3">
        <f>IF(ISNUMBER(AVERAGE('20250815_ETF_Options_Exhibits'!D2431:D2435)),AVERAGE('20250815_ETF_Options_Exhibits'!D2431:D2435),"")</f>
        <v/>
      </c>
      <c r="E2435" s="3">
        <f>IF(ISNUMBER(AVERAGE('20250815_ETF_Options_Exhibits'!E2431:E2435)),AVERAGE('20250815_ETF_Options_Exhibits'!E2431:E2435),"")</f>
        <v/>
      </c>
      <c r="F2435" s="3">
        <f>IF(ISNUMBER(AVERAGE('20250815_ETF_Options_Exhibits'!F2431:F2435)),AVERAGE('20250815_ETF_Options_Exhibits'!F2431:F2435),"")</f>
        <v/>
      </c>
      <c r="G2435" s="3">
        <f>IF(ISNUMBER(AVERAGE('20250815_ETF_Options_Exhibits'!G2431:G2435)),AVERAGE('20250815_ETF_Options_Exhibits'!G2431:G2435),"")</f>
        <v/>
      </c>
      <c r="H2435" s="3">
        <f>IF(ISNUMBER(AVERAGE('20250815_ETF_Options_Exhibits'!H2431:H2435)),AVERAGE('20250815_ETF_Options_Exhibits'!H2431:H2435),"")</f>
        <v/>
      </c>
      <c r="I2435" s="3">
        <f>IF(ISNUMBER(AVERAGE('20250815_ETF_Options_Exhibits'!I2431:I2435)),AVERAGE('20250815_ETF_Options_Exhibits'!I2431:I2435),"")</f>
        <v/>
      </c>
      <c r="J2435" s="3">
        <f>IF(ISNUMBER(AVERAGE('20250815_ETF_Options_Exhibits'!J2431:J2435)),AVERAGE('20250815_ETF_Options_Exhibits'!J2431:J2435),"")</f>
        <v/>
      </c>
      <c r="K2435" s="3">
        <f>IF(ISNUMBER(AVERAGE('20250815_ETF_Options_Exhibits'!K2431:K2435)),AVERAGE('20250815_ETF_Options_Exhibits'!K2431:K2435),"")</f>
        <v/>
      </c>
      <c r="L2435" s="3">
        <f>IF(ISNUMBER(AVERAGE('20250815_ETF_Options_Exhibits'!L2431:L2435)),AVERAGE('20250815_ETF_Options_Exhibits'!L2431:L2435),"")</f>
        <v/>
      </c>
      <c r="M2435" s="3">
        <f>IF(ISNUMBER(AVERAGE('20250815_ETF_Options_Exhibits'!M2431:M2435)),AVERAGE('20250815_ETF_Options_Exhibits'!M2431:M2435),"")</f>
        <v/>
      </c>
      <c r="N2435" s="3">
        <f>IF(ISNUMBER(AVERAGE('20250815_ETF_Options_Exhibits'!N2431:N2435)),AVERAGE('20250815_ETF_Options_Exhibits'!N2431:N2435),"")</f>
        <v/>
      </c>
      <c r="O2435" s="3">
        <f>IF(ISNUMBER(AVERAGE('20250815_ETF_Options_Exhibits'!O2431:O2435)),AVERAGE('20250815_ETF_Options_Exhibits'!O2431:O2435),"")</f>
        <v/>
      </c>
      <c r="P2435" s="3">
        <f>IF(ISNUMBER(AVERAGE('20250815_ETF_Options_Exhibits'!P2431:P2435)),AVERAGE('20250815_ETF_Options_Exhibits'!P2431:P2435),"")</f>
        <v/>
      </c>
      <c r="Q2435" s="3">
        <f>IF(ISNUMBER(AVERAGE('20250815_ETF_Options_Exhibits'!Q2431:Q2435)),AVERAGE('20250815_ETF_Options_Exhibits'!Q2431:Q2435),"")</f>
        <v/>
      </c>
      <c r="R2435" s="3">
        <f>IF(ISNUMBER(AVERAGE('20250815_ETF_Options_Exhibits'!R2431:R2435)),AVERAGE('20250815_ETF_Options_Exhibits'!R2431:R2435),"")</f>
        <v/>
      </c>
      <c r="S2435" s="3">
        <f>IF(ISNUMBER(AVERAGE('20250815_ETF_Options_Exhibits'!S2431:S2435)),AVERAGE('20250815_ETF_Options_Exhibits'!S2431:S2435),"")</f>
        <v/>
      </c>
      <c r="T2435" s="3">
        <f>IF(ISNUMBER(AVERAGE('20250815_ETF_Options_Exhibits'!T2431:T2435)),AVERAGE('20250815_ETF_Options_Exhibits'!T2431:T2435),"")</f>
        <v/>
      </c>
      <c r="U2435" s="3">
        <f>IF(ISNUMBER(AVERAGE('20250815_ETF_Options_Exhibits'!U2431:U2435)),AVERAGE('20250815_ETF_Options_Exhibits'!U2431:U2435),"")</f>
        <v/>
      </c>
      <c r="V2435" s="3">
        <f>IF(ISNUMBER(AVERAGE('20250815_ETF_Options_Exhibits'!V2431:V2435)),AVERAGE('20250815_ETF_Options_Exhibits'!V2431:V2435),"")</f>
        <v/>
      </c>
      <c r="W2435" s="3">
        <f>IF(ISNUMBER(AVERAGE('20250815_ETF_Options_Exhibits'!W2431:W2435)),AVERAGE('20250815_ETF_Options_Exhibits'!W2431:W2435),"")</f>
        <v/>
      </c>
      <c r="X2435" s="3">
        <f>IF(ISNUMBER(AVERAGE('20250815_ETF_Options_Exhibits'!X2431:X2435)),AVERAGE('20250815_ETF_Options_Exhibits'!X2431:X2435),"")</f>
        <v/>
      </c>
      <c r="Y2435" s="3">
        <f>IF(ISNUMBER(AVERAGE('20250815_ETF_Options_Exhibits'!Y2431:Y2435)),AVERAGE('20250815_ETF_Options_Exhibits'!Y2431:Y2435),"")</f>
        <v/>
      </c>
      <c r="Z2435" s="3">
        <f>IF(ISNUMBER(AVERAGE('20250815_ETF_Options_Exhibits'!Z2431:Z2435)),AVERAGE('20250815_ETF_Options_Exhibits'!Z2431:Z2435),"")</f>
        <v/>
      </c>
      <c r="AA2435" s="3">
        <f>IF(ISNUMBER(AVERAGE('20250815_ETF_Options_Exhibits'!AA2431:AA2435)),AVERAGE('20250815_ETF_Options_Exhibits'!AA2431:AA2435),"")</f>
        <v/>
      </c>
    </row>
    <row r="2436">
      <c r="A2436" s="1" t="n">
        <v>45539</v>
      </c>
      <c r="B2436" s="3">
        <f>IF(ISNUMBER(AVERAGE('20250815_ETF_Options_Exhibits'!B2432:B2436)),AVERAGE('20250815_ETF_Options_Exhibits'!B2432:B2436),"")</f>
        <v/>
      </c>
      <c r="C2436" s="3">
        <f>IF(ISNUMBER(AVERAGE('20250815_ETF_Options_Exhibits'!C2432:C2436)),AVERAGE('20250815_ETF_Options_Exhibits'!C2432:C2436),"")</f>
        <v/>
      </c>
      <c r="D2436" s="3">
        <f>IF(ISNUMBER(AVERAGE('20250815_ETF_Options_Exhibits'!D2432:D2436)),AVERAGE('20250815_ETF_Options_Exhibits'!D2432:D2436),"")</f>
        <v/>
      </c>
      <c r="E2436" s="3">
        <f>IF(ISNUMBER(AVERAGE('20250815_ETF_Options_Exhibits'!E2432:E2436)),AVERAGE('20250815_ETF_Options_Exhibits'!E2432:E2436),"")</f>
        <v/>
      </c>
      <c r="F2436" s="3">
        <f>IF(ISNUMBER(AVERAGE('20250815_ETF_Options_Exhibits'!F2432:F2436)),AVERAGE('20250815_ETF_Options_Exhibits'!F2432:F2436),"")</f>
        <v/>
      </c>
      <c r="G2436" s="3">
        <f>IF(ISNUMBER(AVERAGE('20250815_ETF_Options_Exhibits'!G2432:G2436)),AVERAGE('20250815_ETF_Options_Exhibits'!G2432:G2436),"")</f>
        <v/>
      </c>
      <c r="H2436" s="3">
        <f>IF(ISNUMBER(AVERAGE('20250815_ETF_Options_Exhibits'!H2432:H2436)),AVERAGE('20250815_ETF_Options_Exhibits'!H2432:H2436),"")</f>
        <v/>
      </c>
      <c r="I2436" s="3">
        <f>IF(ISNUMBER(AVERAGE('20250815_ETF_Options_Exhibits'!I2432:I2436)),AVERAGE('20250815_ETF_Options_Exhibits'!I2432:I2436),"")</f>
        <v/>
      </c>
      <c r="J2436" s="3">
        <f>IF(ISNUMBER(AVERAGE('20250815_ETF_Options_Exhibits'!J2432:J2436)),AVERAGE('20250815_ETF_Options_Exhibits'!J2432:J2436),"")</f>
        <v/>
      </c>
      <c r="K2436" s="3">
        <f>IF(ISNUMBER(AVERAGE('20250815_ETF_Options_Exhibits'!K2432:K2436)),AVERAGE('20250815_ETF_Options_Exhibits'!K2432:K2436),"")</f>
        <v/>
      </c>
      <c r="L2436" s="3">
        <f>IF(ISNUMBER(AVERAGE('20250815_ETF_Options_Exhibits'!L2432:L2436)),AVERAGE('20250815_ETF_Options_Exhibits'!L2432:L2436),"")</f>
        <v/>
      </c>
      <c r="M2436" s="3">
        <f>IF(ISNUMBER(AVERAGE('20250815_ETF_Options_Exhibits'!M2432:M2436)),AVERAGE('20250815_ETF_Options_Exhibits'!M2432:M2436),"")</f>
        <v/>
      </c>
      <c r="N2436" s="3">
        <f>IF(ISNUMBER(AVERAGE('20250815_ETF_Options_Exhibits'!N2432:N2436)),AVERAGE('20250815_ETF_Options_Exhibits'!N2432:N2436),"")</f>
        <v/>
      </c>
      <c r="O2436" s="3">
        <f>IF(ISNUMBER(AVERAGE('20250815_ETF_Options_Exhibits'!O2432:O2436)),AVERAGE('20250815_ETF_Options_Exhibits'!O2432:O2436),"")</f>
        <v/>
      </c>
      <c r="P2436" s="3">
        <f>IF(ISNUMBER(AVERAGE('20250815_ETF_Options_Exhibits'!P2432:P2436)),AVERAGE('20250815_ETF_Options_Exhibits'!P2432:P2436),"")</f>
        <v/>
      </c>
      <c r="Q2436" s="3">
        <f>IF(ISNUMBER(AVERAGE('20250815_ETF_Options_Exhibits'!Q2432:Q2436)),AVERAGE('20250815_ETF_Options_Exhibits'!Q2432:Q2436),"")</f>
        <v/>
      </c>
      <c r="R2436" s="3">
        <f>IF(ISNUMBER(AVERAGE('20250815_ETF_Options_Exhibits'!R2432:R2436)),AVERAGE('20250815_ETF_Options_Exhibits'!R2432:R2436),"")</f>
        <v/>
      </c>
      <c r="S2436" s="3">
        <f>IF(ISNUMBER(AVERAGE('20250815_ETF_Options_Exhibits'!S2432:S2436)),AVERAGE('20250815_ETF_Options_Exhibits'!S2432:S2436),"")</f>
        <v/>
      </c>
      <c r="T2436" s="3">
        <f>IF(ISNUMBER(AVERAGE('20250815_ETF_Options_Exhibits'!T2432:T2436)),AVERAGE('20250815_ETF_Options_Exhibits'!T2432:T2436),"")</f>
        <v/>
      </c>
      <c r="U2436" s="3">
        <f>IF(ISNUMBER(AVERAGE('20250815_ETF_Options_Exhibits'!U2432:U2436)),AVERAGE('20250815_ETF_Options_Exhibits'!U2432:U2436),"")</f>
        <v/>
      </c>
      <c r="V2436" s="3">
        <f>IF(ISNUMBER(AVERAGE('20250815_ETF_Options_Exhibits'!V2432:V2436)),AVERAGE('20250815_ETF_Options_Exhibits'!V2432:V2436),"")</f>
        <v/>
      </c>
      <c r="W2436" s="3">
        <f>IF(ISNUMBER(AVERAGE('20250815_ETF_Options_Exhibits'!W2432:W2436)),AVERAGE('20250815_ETF_Options_Exhibits'!W2432:W2436),"")</f>
        <v/>
      </c>
      <c r="X2436" s="3">
        <f>IF(ISNUMBER(AVERAGE('20250815_ETF_Options_Exhibits'!X2432:X2436)),AVERAGE('20250815_ETF_Options_Exhibits'!X2432:X2436),"")</f>
        <v/>
      </c>
      <c r="Y2436" s="3">
        <f>IF(ISNUMBER(AVERAGE('20250815_ETF_Options_Exhibits'!Y2432:Y2436)),AVERAGE('20250815_ETF_Options_Exhibits'!Y2432:Y2436),"")</f>
        <v/>
      </c>
      <c r="Z2436" s="3">
        <f>IF(ISNUMBER(AVERAGE('20250815_ETF_Options_Exhibits'!Z2432:Z2436)),AVERAGE('20250815_ETF_Options_Exhibits'!Z2432:Z2436),"")</f>
        <v/>
      </c>
      <c r="AA2436" s="3">
        <f>IF(ISNUMBER(AVERAGE('20250815_ETF_Options_Exhibits'!AA2432:AA2436)),AVERAGE('20250815_ETF_Options_Exhibits'!AA2432:AA2436),"")</f>
        <v/>
      </c>
    </row>
    <row r="2437">
      <c r="A2437" s="1" t="n">
        <v>45540</v>
      </c>
      <c r="B2437" s="3">
        <f>IF(ISNUMBER(AVERAGE('20250815_ETF_Options_Exhibits'!B2433:B2437)),AVERAGE('20250815_ETF_Options_Exhibits'!B2433:B2437),"")</f>
        <v/>
      </c>
      <c r="C2437" s="3">
        <f>IF(ISNUMBER(AVERAGE('20250815_ETF_Options_Exhibits'!C2433:C2437)),AVERAGE('20250815_ETF_Options_Exhibits'!C2433:C2437),"")</f>
        <v/>
      </c>
      <c r="D2437" s="3">
        <f>IF(ISNUMBER(AVERAGE('20250815_ETF_Options_Exhibits'!D2433:D2437)),AVERAGE('20250815_ETF_Options_Exhibits'!D2433:D2437),"")</f>
        <v/>
      </c>
      <c r="E2437" s="3">
        <f>IF(ISNUMBER(AVERAGE('20250815_ETF_Options_Exhibits'!E2433:E2437)),AVERAGE('20250815_ETF_Options_Exhibits'!E2433:E2437),"")</f>
        <v/>
      </c>
      <c r="F2437" s="3">
        <f>IF(ISNUMBER(AVERAGE('20250815_ETF_Options_Exhibits'!F2433:F2437)),AVERAGE('20250815_ETF_Options_Exhibits'!F2433:F2437),"")</f>
        <v/>
      </c>
      <c r="G2437" s="3">
        <f>IF(ISNUMBER(AVERAGE('20250815_ETF_Options_Exhibits'!G2433:G2437)),AVERAGE('20250815_ETF_Options_Exhibits'!G2433:G2437),"")</f>
        <v/>
      </c>
      <c r="H2437" s="3">
        <f>IF(ISNUMBER(AVERAGE('20250815_ETF_Options_Exhibits'!H2433:H2437)),AVERAGE('20250815_ETF_Options_Exhibits'!H2433:H2437),"")</f>
        <v/>
      </c>
      <c r="I2437" s="3">
        <f>IF(ISNUMBER(AVERAGE('20250815_ETF_Options_Exhibits'!I2433:I2437)),AVERAGE('20250815_ETF_Options_Exhibits'!I2433:I2437),"")</f>
        <v/>
      </c>
      <c r="J2437" s="3">
        <f>IF(ISNUMBER(AVERAGE('20250815_ETF_Options_Exhibits'!J2433:J2437)),AVERAGE('20250815_ETF_Options_Exhibits'!J2433:J2437),"")</f>
        <v/>
      </c>
      <c r="K2437" s="3">
        <f>IF(ISNUMBER(AVERAGE('20250815_ETF_Options_Exhibits'!K2433:K2437)),AVERAGE('20250815_ETF_Options_Exhibits'!K2433:K2437),"")</f>
        <v/>
      </c>
      <c r="L2437" s="3">
        <f>IF(ISNUMBER(AVERAGE('20250815_ETF_Options_Exhibits'!L2433:L2437)),AVERAGE('20250815_ETF_Options_Exhibits'!L2433:L2437),"")</f>
        <v/>
      </c>
      <c r="M2437" s="3">
        <f>IF(ISNUMBER(AVERAGE('20250815_ETF_Options_Exhibits'!M2433:M2437)),AVERAGE('20250815_ETF_Options_Exhibits'!M2433:M2437),"")</f>
        <v/>
      </c>
      <c r="N2437" s="3">
        <f>IF(ISNUMBER(AVERAGE('20250815_ETF_Options_Exhibits'!N2433:N2437)),AVERAGE('20250815_ETF_Options_Exhibits'!N2433:N2437),"")</f>
        <v/>
      </c>
      <c r="O2437" s="3">
        <f>IF(ISNUMBER(AVERAGE('20250815_ETF_Options_Exhibits'!O2433:O2437)),AVERAGE('20250815_ETF_Options_Exhibits'!O2433:O2437),"")</f>
        <v/>
      </c>
      <c r="P2437" s="3">
        <f>IF(ISNUMBER(AVERAGE('20250815_ETF_Options_Exhibits'!P2433:P2437)),AVERAGE('20250815_ETF_Options_Exhibits'!P2433:P2437),"")</f>
        <v/>
      </c>
      <c r="Q2437" s="3">
        <f>IF(ISNUMBER(AVERAGE('20250815_ETF_Options_Exhibits'!Q2433:Q2437)),AVERAGE('20250815_ETF_Options_Exhibits'!Q2433:Q2437),"")</f>
        <v/>
      </c>
      <c r="R2437" s="3">
        <f>IF(ISNUMBER(AVERAGE('20250815_ETF_Options_Exhibits'!R2433:R2437)),AVERAGE('20250815_ETF_Options_Exhibits'!R2433:R2437),"")</f>
        <v/>
      </c>
      <c r="S2437" s="3">
        <f>IF(ISNUMBER(AVERAGE('20250815_ETF_Options_Exhibits'!S2433:S2437)),AVERAGE('20250815_ETF_Options_Exhibits'!S2433:S2437),"")</f>
        <v/>
      </c>
      <c r="T2437" s="3">
        <f>IF(ISNUMBER(AVERAGE('20250815_ETF_Options_Exhibits'!T2433:T2437)),AVERAGE('20250815_ETF_Options_Exhibits'!T2433:T2437),"")</f>
        <v/>
      </c>
      <c r="U2437" s="3">
        <f>IF(ISNUMBER(AVERAGE('20250815_ETF_Options_Exhibits'!U2433:U2437)),AVERAGE('20250815_ETF_Options_Exhibits'!U2433:U2437),"")</f>
        <v/>
      </c>
      <c r="V2437" s="3">
        <f>IF(ISNUMBER(AVERAGE('20250815_ETF_Options_Exhibits'!V2433:V2437)),AVERAGE('20250815_ETF_Options_Exhibits'!V2433:V2437),"")</f>
        <v/>
      </c>
      <c r="W2437" s="3">
        <f>IF(ISNUMBER(AVERAGE('20250815_ETF_Options_Exhibits'!W2433:W2437)),AVERAGE('20250815_ETF_Options_Exhibits'!W2433:W2437),"")</f>
        <v/>
      </c>
      <c r="X2437" s="3">
        <f>IF(ISNUMBER(AVERAGE('20250815_ETF_Options_Exhibits'!X2433:X2437)),AVERAGE('20250815_ETF_Options_Exhibits'!X2433:X2437),"")</f>
        <v/>
      </c>
      <c r="Y2437" s="3">
        <f>IF(ISNUMBER(AVERAGE('20250815_ETF_Options_Exhibits'!Y2433:Y2437)),AVERAGE('20250815_ETF_Options_Exhibits'!Y2433:Y2437),"")</f>
        <v/>
      </c>
      <c r="Z2437" s="3">
        <f>IF(ISNUMBER(AVERAGE('20250815_ETF_Options_Exhibits'!Z2433:Z2437)),AVERAGE('20250815_ETF_Options_Exhibits'!Z2433:Z2437),"")</f>
        <v/>
      </c>
      <c r="AA2437" s="3">
        <f>IF(ISNUMBER(AVERAGE('20250815_ETF_Options_Exhibits'!AA2433:AA2437)),AVERAGE('20250815_ETF_Options_Exhibits'!AA2433:AA2437),"")</f>
        <v/>
      </c>
    </row>
    <row r="2438">
      <c r="A2438" s="1" t="n">
        <v>45541</v>
      </c>
      <c r="B2438" s="3">
        <f>IF(ISNUMBER(AVERAGE('20250815_ETF_Options_Exhibits'!B2434:B2438)),AVERAGE('20250815_ETF_Options_Exhibits'!B2434:B2438),"")</f>
        <v/>
      </c>
      <c r="C2438" s="3">
        <f>IF(ISNUMBER(AVERAGE('20250815_ETF_Options_Exhibits'!C2434:C2438)),AVERAGE('20250815_ETF_Options_Exhibits'!C2434:C2438),"")</f>
        <v/>
      </c>
      <c r="D2438" s="3">
        <f>IF(ISNUMBER(AVERAGE('20250815_ETF_Options_Exhibits'!D2434:D2438)),AVERAGE('20250815_ETF_Options_Exhibits'!D2434:D2438),"")</f>
        <v/>
      </c>
      <c r="E2438" s="3">
        <f>IF(ISNUMBER(AVERAGE('20250815_ETF_Options_Exhibits'!E2434:E2438)),AVERAGE('20250815_ETF_Options_Exhibits'!E2434:E2438),"")</f>
        <v/>
      </c>
      <c r="F2438" s="3">
        <f>IF(ISNUMBER(AVERAGE('20250815_ETF_Options_Exhibits'!F2434:F2438)),AVERAGE('20250815_ETF_Options_Exhibits'!F2434:F2438),"")</f>
        <v/>
      </c>
      <c r="G2438" s="3">
        <f>IF(ISNUMBER(AVERAGE('20250815_ETF_Options_Exhibits'!G2434:G2438)),AVERAGE('20250815_ETF_Options_Exhibits'!G2434:G2438),"")</f>
        <v/>
      </c>
      <c r="H2438" s="3">
        <f>IF(ISNUMBER(AVERAGE('20250815_ETF_Options_Exhibits'!H2434:H2438)),AVERAGE('20250815_ETF_Options_Exhibits'!H2434:H2438),"")</f>
        <v/>
      </c>
      <c r="I2438" s="3">
        <f>IF(ISNUMBER(AVERAGE('20250815_ETF_Options_Exhibits'!I2434:I2438)),AVERAGE('20250815_ETF_Options_Exhibits'!I2434:I2438),"")</f>
        <v/>
      </c>
      <c r="J2438" s="3">
        <f>IF(ISNUMBER(AVERAGE('20250815_ETF_Options_Exhibits'!J2434:J2438)),AVERAGE('20250815_ETF_Options_Exhibits'!J2434:J2438),"")</f>
        <v/>
      </c>
      <c r="K2438" s="3">
        <f>IF(ISNUMBER(AVERAGE('20250815_ETF_Options_Exhibits'!K2434:K2438)),AVERAGE('20250815_ETF_Options_Exhibits'!K2434:K2438),"")</f>
        <v/>
      </c>
      <c r="L2438" s="3">
        <f>IF(ISNUMBER(AVERAGE('20250815_ETF_Options_Exhibits'!L2434:L2438)),AVERAGE('20250815_ETF_Options_Exhibits'!L2434:L2438),"")</f>
        <v/>
      </c>
      <c r="M2438" s="3">
        <f>IF(ISNUMBER(AVERAGE('20250815_ETF_Options_Exhibits'!M2434:M2438)),AVERAGE('20250815_ETF_Options_Exhibits'!M2434:M2438),"")</f>
        <v/>
      </c>
      <c r="N2438" s="3">
        <f>IF(ISNUMBER(AVERAGE('20250815_ETF_Options_Exhibits'!N2434:N2438)),AVERAGE('20250815_ETF_Options_Exhibits'!N2434:N2438),"")</f>
        <v/>
      </c>
      <c r="O2438" s="3">
        <f>IF(ISNUMBER(AVERAGE('20250815_ETF_Options_Exhibits'!O2434:O2438)),AVERAGE('20250815_ETF_Options_Exhibits'!O2434:O2438),"")</f>
        <v/>
      </c>
      <c r="P2438" s="3">
        <f>IF(ISNUMBER(AVERAGE('20250815_ETF_Options_Exhibits'!P2434:P2438)),AVERAGE('20250815_ETF_Options_Exhibits'!P2434:P2438),"")</f>
        <v/>
      </c>
      <c r="Q2438" s="3">
        <f>IF(ISNUMBER(AVERAGE('20250815_ETF_Options_Exhibits'!Q2434:Q2438)),AVERAGE('20250815_ETF_Options_Exhibits'!Q2434:Q2438),"")</f>
        <v/>
      </c>
      <c r="R2438" s="3">
        <f>IF(ISNUMBER(AVERAGE('20250815_ETF_Options_Exhibits'!R2434:R2438)),AVERAGE('20250815_ETF_Options_Exhibits'!R2434:R2438),"")</f>
        <v/>
      </c>
      <c r="S2438" s="3">
        <f>IF(ISNUMBER(AVERAGE('20250815_ETF_Options_Exhibits'!S2434:S2438)),AVERAGE('20250815_ETF_Options_Exhibits'!S2434:S2438),"")</f>
        <v/>
      </c>
      <c r="T2438" s="3">
        <f>IF(ISNUMBER(AVERAGE('20250815_ETF_Options_Exhibits'!T2434:T2438)),AVERAGE('20250815_ETF_Options_Exhibits'!T2434:T2438),"")</f>
        <v/>
      </c>
      <c r="U2438" s="3">
        <f>IF(ISNUMBER(AVERAGE('20250815_ETF_Options_Exhibits'!U2434:U2438)),AVERAGE('20250815_ETF_Options_Exhibits'!U2434:U2438),"")</f>
        <v/>
      </c>
      <c r="V2438" s="3">
        <f>IF(ISNUMBER(AVERAGE('20250815_ETF_Options_Exhibits'!V2434:V2438)),AVERAGE('20250815_ETF_Options_Exhibits'!V2434:V2438),"")</f>
        <v/>
      </c>
      <c r="W2438" s="3">
        <f>IF(ISNUMBER(AVERAGE('20250815_ETF_Options_Exhibits'!W2434:W2438)),AVERAGE('20250815_ETF_Options_Exhibits'!W2434:W2438),"")</f>
        <v/>
      </c>
      <c r="X2438" s="3">
        <f>IF(ISNUMBER(AVERAGE('20250815_ETF_Options_Exhibits'!X2434:X2438)),AVERAGE('20250815_ETF_Options_Exhibits'!X2434:X2438),"")</f>
        <v/>
      </c>
      <c r="Y2438" s="3">
        <f>IF(ISNUMBER(AVERAGE('20250815_ETF_Options_Exhibits'!Y2434:Y2438)),AVERAGE('20250815_ETF_Options_Exhibits'!Y2434:Y2438),"")</f>
        <v/>
      </c>
      <c r="Z2438" s="3">
        <f>IF(ISNUMBER(AVERAGE('20250815_ETF_Options_Exhibits'!Z2434:Z2438)),AVERAGE('20250815_ETF_Options_Exhibits'!Z2434:Z2438),"")</f>
        <v/>
      </c>
      <c r="AA2438" s="3">
        <f>IF(ISNUMBER(AVERAGE('20250815_ETF_Options_Exhibits'!AA2434:AA2438)),AVERAGE('20250815_ETF_Options_Exhibits'!AA2434:AA2438),"")</f>
        <v/>
      </c>
    </row>
    <row r="2439">
      <c r="A2439" s="1" t="n">
        <v>45544</v>
      </c>
      <c r="B2439" s="3">
        <f>IF(ISNUMBER(AVERAGE('20250815_ETF_Options_Exhibits'!B2435:B2439)),AVERAGE('20250815_ETF_Options_Exhibits'!B2435:B2439),"")</f>
        <v/>
      </c>
      <c r="C2439" s="3">
        <f>IF(ISNUMBER(AVERAGE('20250815_ETF_Options_Exhibits'!C2435:C2439)),AVERAGE('20250815_ETF_Options_Exhibits'!C2435:C2439),"")</f>
        <v/>
      </c>
      <c r="D2439" s="3">
        <f>IF(ISNUMBER(AVERAGE('20250815_ETF_Options_Exhibits'!D2435:D2439)),AVERAGE('20250815_ETF_Options_Exhibits'!D2435:D2439),"")</f>
        <v/>
      </c>
      <c r="E2439" s="3">
        <f>IF(ISNUMBER(AVERAGE('20250815_ETF_Options_Exhibits'!E2435:E2439)),AVERAGE('20250815_ETF_Options_Exhibits'!E2435:E2439),"")</f>
        <v/>
      </c>
      <c r="F2439" s="3">
        <f>IF(ISNUMBER(AVERAGE('20250815_ETF_Options_Exhibits'!F2435:F2439)),AVERAGE('20250815_ETF_Options_Exhibits'!F2435:F2439),"")</f>
        <v/>
      </c>
      <c r="G2439" s="3">
        <f>IF(ISNUMBER(AVERAGE('20250815_ETF_Options_Exhibits'!G2435:G2439)),AVERAGE('20250815_ETF_Options_Exhibits'!G2435:G2439),"")</f>
        <v/>
      </c>
      <c r="H2439" s="3">
        <f>IF(ISNUMBER(AVERAGE('20250815_ETF_Options_Exhibits'!H2435:H2439)),AVERAGE('20250815_ETF_Options_Exhibits'!H2435:H2439),"")</f>
        <v/>
      </c>
      <c r="I2439" s="3">
        <f>IF(ISNUMBER(AVERAGE('20250815_ETF_Options_Exhibits'!I2435:I2439)),AVERAGE('20250815_ETF_Options_Exhibits'!I2435:I2439),"")</f>
        <v/>
      </c>
      <c r="J2439" s="3">
        <f>IF(ISNUMBER(AVERAGE('20250815_ETF_Options_Exhibits'!J2435:J2439)),AVERAGE('20250815_ETF_Options_Exhibits'!J2435:J2439),"")</f>
        <v/>
      </c>
      <c r="K2439" s="3">
        <f>IF(ISNUMBER(AVERAGE('20250815_ETF_Options_Exhibits'!K2435:K2439)),AVERAGE('20250815_ETF_Options_Exhibits'!K2435:K2439),"")</f>
        <v/>
      </c>
      <c r="L2439" s="3">
        <f>IF(ISNUMBER(AVERAGE('20250815_ETF_Options_Exhibits'!L2435:L2439)),AVERAGE('20250815_ETF_Options_Exhibits'!L2435:L2439),"")</f>
        <v/>
      </c>
      <c r="M2439" s="3">
        <f>IF(ISNUMBER(AVERAGE('20250815_ETF_Options_Exhibits'!M2435:M2439)),AVERAGE('20250815_ETF_Options_Exhibits'!M2435:M2439),"")</f>
        <v/>
      </c>
      <c r="N2439" s="3">
        <f>IF(ISNUMBER(AVERAGE('20250815_ETF_Options_Exhibits'!N2435:N2439)),AVERAGE('20250815_ETF_Options_Exhibits'!N2435:N2439),"")</f>
        <v/>
      </c>
      <c r="O2439" s="3">
        <f>IF(ISNUMBER(AVERAGE('20250815_ETF_Options_Exhibits'!O2435:O2439)),AVERAGE('20250815_ETF_Options_Exhibits'!O2435:O2439),"")</f>
        <v/>
      </c>
      <c r="P2439" s="3">
        <f>IF(ISNUMBER(AVERAGE('20250815_ETF_Options_Exhibits'!P2435:P2439)),AVERAGE('20250815_ETF_Options_Exhibits'!P2435:P2439),"")</f>
        <v/>
      </c>
      <c r="Q2439" s="3">
        <f>IF(ISNUMBER(AVERAGE('20250815_ETF_Options_Exhibits'!Q2435:Q2439)),AVERAGE('20250815_ETF_Options_Exhibits'!Q2435:Q2439),"")</f>
        <v/>
      </c>
      <c r="R2439" s="3">
        <f>IF(ISNUMBER(AVERAGE('20250815_ETF_Options_Exhibits'!R2435:R2439)),AVERAGE('20250815_ETF_Options_Exhibits'!R2435:R2439),"")</f>
        <v/>
      </c>
      <c r="S2439" s="3">
        <f>IF(ISNUMBER(AVERAGE('20250815_ETF_Options_Exhibits'!S2435:S2439)),AVERAGE('20250815_ETF_Options_Exhibits'!S2435:S2439),"")</f>
        <v/>
      </c>
      <c r="T2439" s="3">
        <f>IF(ISNUMBER(AVERAGE('20250815_ETF_Options_Exhibits'!T2435:T2439)),AVERAGE('20250815_ETF_Options_Exhibits'!T2435:T2439),"")</f>
        <v/>
      </c>
      <c r="U2439" s="3">
        <f>IF(ISNUMBER(AVERAGE('20250815_ETF_Options_Exhibits'!U2435:U2439)),AVERAGE('20250815_ETF_Options_Exhibits'!U2435:U2439),"")</f>
        <v/>
      </c>
      <c r="V2439" s="3">
        <f>IF(ISNUMBER(AVERAGE('20250815_ETF_Options_Exhibits'!V2435:V2439)),AVERAGE('20250815_ETF_Options_Exhibits'!V2435:V2439),"")</f>
        <v/>
      </c>
      <c r="W2439" s="3">
        <f>IF(ISNUMBER(AVERAGE('20250815_ETF_Options_Exhibits'!W2435:W2439)),AVERAGE('20250815_ETF_Options_Exhibits'!W2435:W2439),"")</f>
        <v/>
      </c>
      <c r="X2439" s="3">
        <f>IF(ISNUMBER(AVERAGE('20250815_ETF_Options_Exhibits'!X2435:X2439)),AVERAGE('20250815_ETF_Options_Exhibits'!X2435:X2439),"")</f>
        <v/>
      </c>
      <c r="Y2439" s="3">
        <f>IF(ISNUMBER(AVERAGE('20250815_ETF_Options_Exhibits'!Y2435:Y2439)),AVERAGE('20250815_ETF_Options_Exhibits'!Y2435:Y2439),"")</f>
        <v/>
      </c>
      <c r="Z2439" s="3">
        <f>IF(ISNUMBER(AVERAGE('20250815_ETF_Options_Exhibits'!Z2435:Z2439)),AVERAGE('20250815_ETF_Options_Exhibits'!Z2435:Z2439),"")</f>
        <v/>
      </c>
      <c r="AA2439" s="3">
        <f>IF(ISNUMBER(AVERAGE('20250815_ETF_Options_Exhibits'!AA2435:AA2439)),AVERAGE('20250815_ETF_Options_Exhibits'!AA2435:AA2439),"")</f>
        <v/>
      </c>
    </row>
    <row r="2440">
      <c r="A2440" s="1" t="n">
        <v>45545</v>
      </c>
      <c r="B2440" s="3">
        <f>IF(ISNUMBER(AVERAGE('20250815_ETF_Options_Exhibits'!B2436:B2440)),AVERAGE('20250815_ETF_Options_Exhibits'!B2436:B2440),"")</f>
        <v/>
      </c>
      <c r="C2440" s="3">
        <f>IF(ISNUMBER(AVERAGE('20250815_ETF_Options_Exhibits'!C2436:C2440)),AVERAGE('20250815_ETF_Options_Exhibits'!C2436:C2440),"")</f>
        <v/>
      </c>
      <c r="D2440" s="3">
        <f>IF(ISNUMBER(AVERAGE('20250815_ETF_Options_Exhibits'!D2436:D2440)),AVERAGE('20250815_ETF_Options_Exhibits'!D2436:D2440),"")</f>
        <v/>
      </c>
      <c r="E2440" s="3">
        <f>IF(ISNUMBER(AVERAGE('20250815_ETF_Options_Exhibits'!E2436:E2440)),AVERAGE('20250815_ETF_Options_Exhibits'!E2436:E2440),"")</f>
        <v/>
      </c>
      <c r="F2440" s="3">
        <f>IF(ISNUMBER(AVERAGE('20250815_ETF_Options_Exhibits'!F2436:F2440)),AVERAGE('20250815_ETF_Options_Exhibits'!F2436:F2440),"")</f>
        <v/>
      </c>
      <c r="G2440" s="3">
        <f>IF(ISNUMBER(AVERAGE('20250815_ETF_Options_Exhibits'!G2436:G2440)),AVERAGE('20250815_ETF_Options_Exhibits'!G2436:G2440),"")</f>
        <v/>
      </c>
      <c r="H2440" s="3">
        <f>IF(ISNUMBER(AVERAGE('20250815_ETF_Options_Exhibits'!H2436:H2440)),AVERAGE('20250815_ETF_Options_Exhibits'!H2436:H2440),"")</f>
        <v/>
      </c>
      <c r="I2440" s="3">
        <f>IF(ISNUMBER(AVERAGE('20250815_ETF_Options_Exhibits'!I2436:I2440)),AVERAGE('20250815_ETF_Options_Exhibits'!I2436:I2440),"")</f>
        <v/>
      </c>
      <c r="J2440" s="3">
        <f>IF(ISNUMBER(AVERAGE('20250815_ETF_Options_Exhibits'!J2436:J2440)),AVERAGE('20250815_ETF_Options_Exhibits'!J2436:J2440),"")</f>
        <v/>
      </c>
      <c r="K2440" s="3">
        <f>IF(ISNUMBER(AVERAGE('20250815_ETF_Options_Exhibits'!K2436:K2440)),AVERAGE('20250815_ETF_Options_Exhibits'!K2436:K2440),"")</f>
        <v/>
      </c>
      <c r="L2440" s="3">
        <f>IF(ISNUMBER(AVERAGE('20250815_ETF_Options_Exhibits'!L2436:L2440)),AVERAGE('20250815_ETF_Options_Exhibits'!L2436:L2440),"")</f>
        <v/>
      </c>
      <c r="M2440" s="3">
        <f>IF(ISNUMBER(AVERAGE('20250815_ETF_Options_Exhibits'!M2436:M2440)),AVERAGE('20250815_ETF_Options_Exhibits'!M2436:M2440),"")</f>
        <v/>
      </c>
      <c r="N2440" s="3">
        <f>IF(ISNUMBER(AVERAGE('20250815_ETF_Options_Exhibits'!N2436:N2440)),AVERAGE('20250815_ETF_Options_Exhibits'!N2436:N2440),"")</f>
        <v/>
      </c>
      <c r="O2440" s="3">
        <f>IF(ISNUMBER(AVERAGE('20250815_ETF_Options_Exhibits'!O2436:O2440)),AVERAGE('20250815_ETF_Options_Exhibits'!O2436:O2440),"")</f>
        <v/>
      </c>
      <c r="P2440" s="3">
        <f>IF(ISNUMBER(AVERAGE('20250815_ETF_Options_Exhibits'!P2436:P2440)),AVERAGE('20250815_ETF_Options_Exhibits'!P2436:P2440),"")</f>
        <v/>
      </c>
      <c r="Q2440" s="3">
        <f>IF(ISNUMBER(AVERAGE('20250815_ETF_Options_Exhibits'!Q2436:Q2440)),AVERAGE('20250815_ETF_Options_Exhibits'!Q2436:Q2440),"")</f>
        <v/>
      </c>
      <c r="R2440" s="3">
        <f>IF(ISNUMBER(AVERAGE('20250815_ETF_Options_Exhibits'!R2436:R2440)),AVERAGE('20250815_ETF_Options_Exhibits'!R2436:R2440),"")</f>
        <v/>
      </c>
      <c r="S2440" s="3">
        <f>IF(ISNUMBER(AVERAGE('20250815_ETF_Options_Exhibits'!S2436:S2440)),AVERAGE('20250815_ETF_Options_Exhibits'!S2436:S2440),"")</f>
        <v/>
      </c>
      <c r="T2440" s="3">
        <f>IF(ISNUMBER(AVERAGE('20250815_ETF_Options_Exhibits'!T2436:T2440)),AVERAGE('20250815_ETF_Options_Exhibits'!T2436:T2440),"")</f>
        <v/>
      </c>
      <c r="U2440" s="3">
        <f>IF(ISNUMBER(AVERAGE('20250815_ETF_Options_Exhibits'!U2436:U2440)),AVERAGE('20250815_ETF_Options_Exhibits'!U2436:U2440),"")</f>
        <v/>
      </c>
      <c r="V2440" s="3">
        <f>IF(ISNUMBER(AVERAGE('20250815_ETF_Options_Exhibits'!V2436:V2440)),AVERAGE('20250815_ETF_Options_Exhibits'!V2436:V2440),"")</f>
        <v/>
      </c>
      <c r="W2440" s="3">
        <f>IF(ISNUMBER(AVERAGE('20250815_ETF_Options_Exhibits'!W2436:W2440)),AVERAGE('20250815_ETF_Options_Exhibits'!W2436:W2440),"")</f>
        <v/>
      </c>
      <c r="X2440" s="3">
        <f>IF(ISNUMBER(AVERAGE('20250815_ETF_Options_Exhibits'!X2436:X2440)),AVERAGE('20250815_ETF_Options_Exhibits'!X2436:X2440),"")</f>
        <v/>
      </c>
      <c r="Y2440" s="3">
        <f>IF(ISNUMBER(AVERAGE('20250815_ETF_Options_Exhibits'!Y2436:Y2440)),AVERAGE('20250815_ETF_Options_Exhibits'!Y2436:Y2440),"")</f>
        <v/>
      </c>
      <c r="Z2440" s="3">
        <f>IF(ISNUMBER(AVERAGE('20250815_ETF_Options_Exhibits'!Z2436:Z2440)),AVERAGE('20250815_ETF_Options_Exhibits'!Z2436:Z2440),"")</f>
        <v/>
      </c>
      <c r="AA2440" s="3">
        <f>IF(ISNUMBER(AVERAGE('20250815_ETF_Options_Exhibits'!AA2436:AA2440)),AVERAGE('20250815_ETF_Options_Exhibits'!AA2436:AA2440),"")</f>
        <v/>
      </c>
    </row>
    <row r="2441">
      <c r="A2441" s="1" t="n">
        <v>45546</v>
      </c>
      <c r="B2441" s="3">
        <f>IF(ISNUMBER(AVERAGE('20250815_ETF_Options_Exhibits'!B2437:B2441)),AVERAGE('20250815_ETF_Options_Exhibits'!B2437:B2441),"")</f>
        <v/>
      </c>
      <c r="C2441" s="3">
        <f>IF(ISNUMBER(AVERAGE('20250815_ETF_Options_Exhibits'!C2437:C2441)),AVERAGE('20250815_ETF_Options_Exhibits'!C2437:C2441),"")</f>
        <v/>
      </c>
      <c r="D2441" s="3">
        <f>IF(ISNUMBER(AVERAGE('20250815_ETF_Options_Exhibits'!D2437:D2441)),AVERAGE('20250815_ETF_Options_Exhibits'!D2437:D2441),"")</f>
        <v/>
      </c>
      <c r="E2441" s="3">
        <f>IF(ISNUMBER(AVERAGE('20250815_ETF_Options_Exhibits'!E2437:E2441)),AVERAGE('20250815_ETF_Options_Exhibits'!E2437:E2441),"")</f>
        <v/>
      </c>
      <c r="F2441" s="3">
        <f>IF(ISNUMBER(AVERAGE('20250815_ETF_Options_Exhibits'!F2437:F2441)),AVERAGE('20250815_ETF_Options_Exhibits'!F2437:F2441),"")</f>
        <v/>
      </c>
      <c r="G2441" s="3">
        <f>IF(ISNUMBER(AVERAGE('20250815_ETF_Options_Exhibits'!G2437:G2441)),AVERAGE('20250815_ETF_Options_Exhibits'!G2437:G2441),"")</f>
        <v/>
      </c>
      <c r="H2441" s="3">
        <f>IF(ISNUMBER(AVERAGE('20250815_ETF_Options_Exhibits'!H2437:H2441)),AVERAGE('20250815_ETF_Options_Exhibits'!H2437:H2441),"")</f>
        <v/>
      </c>
      <c r="I2441" s="3">
        <f>IF(ISNUMBER(AVERAGE('20250815_ETF_Options_Exhibits'!I2437:I2441)),AVERAGE('20250815_ETF_Options_Exhibits'!I2437:I2441),"")</f>
        <v/>
      </c>
      <c r="J2441" s="3">
        <f>IF(ISNUMBER(AVERAGE('20250815_ETF_Options_Exhibits'!J2437:J2441)),AVERAGE('20250815_ETF_Options_Exhibits'!J2437:J2441),"")</f>
        <v/>
      </c>
      <c r="K2441" s="3">
        <f>IF(ISNUMBER(AVERAGE('20250815_ETF_Options_Exhibits'!K2437:K2441)),AVERAGE('20250815_ETF_Options_Exhibits'!K2437:K2441),"")</f>
        <v/>
      </c>
      <c r="L2441" s="3">
        <f>IF(ISNUMBER(AVERAGE('20250815_ETF_Options_Exhibits'!L2437:L2441)),AVERAGE('20250815_ETF_Options_Exhibits'!L2437:L2441),"")</f>
        <v/>
      </c>
      <c r="M2441" s="3">
        <f>IF(ISNUMBER(AVERAGE('20250815_ETF_Options_Exhibits'!M2437:M2441)),AVERAGE('20250815_ETF_Options_Exhibits'!M2437:M2441),"")</f>
        <v/>
      </c>
      <c r="N2441" s="3">
        <f>IF(ISNUMBER(AVERAGE('20250815_ETF_Options_Exhibits'!N2437:N2441)),AVERAGE('20250815_ETF_Options_Exhibits'!N2437:N2441),"")</f>
        <v/>
      </c>
      <c r="O2441" s="3">
        <f>IF(ISNUMBER(AVERAGE('20250815_ETF_Options_Exhibits'!O2437:O2441)),AVERAGE('20250815_ETF_Options_Exhibits'!O2437:O2441),"")</f>
        <v/>
      </c>
      <c r="P2441" s="3">
        <f>IF(ISNUMBER(AVERAGE('20250815_ETF_Options_Exhibits'!P2437:P2441)),AVERAGE('20250815_ETF_Options_Exhibits'!P2437:P2441),"")</f>
        <v/>
      </c>
      <c r="Q2441" s="3">
        <f>IF(ISNUMBER(AVERAGE('20250815_ETF_Options_Exhibits'!Q2437:Q2441)),AVERAGE('20250815_ETF_Options_Exhibits'!Q2437:Q2441),"")</f>
        <v/>
      </c>
      <c r="R2441" s="3">
        <f>IF(ISNUMBER(AVERAGE('20250815_ETF_Options_Exhibits'!R2437:R2441)),AVERAGE('20250815_ETF_Options_Exhibits'!R2437:R2441),"")</f>
        <v/>
      </c>
      <c r="S2441" s="3">
        <f>IF(ISNUMBER(AVERAGE('20250815_ETF_Options_Exhibits'!S2437:S2441)),AVERAGE('20250815_ETF_Options_Exhibits'!S2437:S2441),"")</f>
        <v/>
      </c>
      <c r="T2441" s="3">
        <f>IF(ISNUMBER(AVERAGE('20250815_ETF_Options_Exhibits'!T2437:T2441)),AVERAGE('20250815_ETF_Options_Exhibits'!T2437:T2441),"")</f>
        <v/>
      </c>
      <c r="U2441" s="3">
        <f>IF(ISNUMBER(AVERAGE('20250815_ETF_Options_Exhibits'!U2437:U2441)),AVERAGE('20250815_ETF_Options_Exhibits'!U2437:U2441),"")</f>
        <v/>
      </c>
      <c r="V2441" s="3">
        <f>IF(ISNUMBER(AVERAGE('20250815_ETF_Options_Exhibits'!V2437:V2441)),AVERAGE('20250815_ETF_Options_Exhibits'!V2437:V2441),"")</f>
        <v/>
      </c>
      <c r="W2441" s="3">
        <f>IF(ISNUMBER(AVERAGE('20250815_ETF_Options_Exhibits'!W2437:W2441)),AVERAGE('20250815_ETF_Options_Exhibits'!W2437:W2441),"")</f>
        <v/>
      </c>
      <c r="X2441" s="3">
        <f>IF(ISNUMBER(AVERAGE('20250815_ETF_Options_Exhibits'!X2437:X2441)),AVERAGE('20250815_ETF_Options_Exhibits'!X2437:X2441),"")</f>
        <v/>
      </c>
      <c r="Y2441" s="3">
        <f>IF(ISNUMBER(AVERAGE('20250815_ETF_Options_Exhibits'!Y2437:Y2441)),AVERAGE('20250815_ETF_Options_Exhibits'!Y2437:Y2441),"")</f>
        <v/>
      </c>
      <c r="Z2441" s="3">
        <f>IF(ISNUMBER(AVERAGE('20250815_ETF_Options_Exhibits'!Z2437:Z2441)),AVERAGE('20250815_ETF_Options_Exhibits'!Z2437:Z2441),"")</f>
        <v/>
      </c>
      <c r="AA2441" s="3">
        <f>IF(ISNUMBER(AVERAGE('20250815_ETF_Options_Exhibits'!AA2437:AA2441)),AVERAGE('20250815_ETF_Options_Exhibits'!AA2437:AA2441),"")</f>
        <v/>
      </c>
    </row>
    <row r="2442">
      <c r="A2442" s="1" t="n">
        <v>45547</v>
      </c>
      <c r="B2442" s="3">
        <f>IF(ISNUMBER(AVERAGE('20250815_ETF_Options_Exhibits'!B2438:B2442)),AVERAGE('20250815_ETF_Options_Exhibits'!B2438:B2442),"")</f>
        <v/>
      </c>
      <c r="C2442" s="3">
        <f>IF(ISNUMBER(AVERAGE('20250815_ETF_Options_Exhibits'!C2438:C2442)),AVERAGE('20250815_ETF_Options_Exhibits'!C2438:C2442),"")</f>
        <v/>
      </c>
      <c r="D2442" s="3">
        <f>IF(ISNUMBER(AVERAGE('20250815_ETF_Options_Exhibits'!D2438:D2442)),AVERAGE('20250815_ETF_Options_Exhibits'!D2438:D2442),"")</f>
        <v/>
      </c>
      <c r="E2442" s="3">
        <f>IF(ISNUMBER(AVERAGE('20250815_ETF_Options_Exhibits'!E2438:E2442)),AVERAGE('20250815_ETF_Options_Exhibits'!E2438:E2442),"")</f>
        <v/>
      </c>
      <c r="F2442" s="3">
        <f>IF(ISNUMBER(AVERAGE('20250815_ETF_Options_Exhibits'!F2438:F2442)),AVERAGE('20250815_ETF_Options_Exhibits'!F2438:F2442),"")</f>
        <v/>
      </c>
      <c r="G2442" s="3">
        <f>IF(ISNUMBER(AVERAGE('20250815_ETF_Options_Exhibits'!G2438:G2442)),AVERAGE('20250815_ETF_Options_Exhibits'!G2438:G2442),"")</f>
        <v/>
      </c>
      <c r="H2442" s="3">
        <f>IF(ISNUMBER(AVERAGE('20250815_ETF_Options_Exhibits'!H2438:H2442)),AVERAGE('20250815_ETF_Options_Exhibits'!H2438:H2442),"")</f>
        <v/>
      </c>
      <c r="I2442" s="3">
        <f>IF(ISNUMBER(AVERAGE('20250815_ETF_Options_Exhibits'!I2438:I2442)),AVERAGE('20250815_ETF_Options_Exhibits'!I2438:I2442),"")</f>
        <v/>
      </c>
      <c r="J2442" s="3">
        <f>IF(ISNUMBER(AVERAGE('20250815_ETF_Options_Exhibits'!J2438:J2442)),AVERAGE('20250815_ETF_Options_Exhibits'!J2438:J2442),"")</f>
        <v/>
      </c>
      <c r="K2442" s="3">
        <f>IF(ISNUMBER(AVERAGE('20250815_ETF_Options_Exhibits'!K2438:K2442)),AVERAGE('20250815_ETF_Options_Exhibits'!K2438:K2442),"")</f>
        <v/>
      </c>
      <c r="L2442" s="3">
        <f>IF(ISNUMBER(AVERAGE('20250815_ETF_Options_Exhibits'!L2438:L2442)),AVERAGE('20250815_ETF_Options_Exhibits'!L2438:L2442),"")</f>
        <v/>
      </c>
      <c r="M2442" s="3">
        <f>IF(ISNUMBER(AVERAGE('20250815_ETF_Options_Exhibits'!M2438:M2442)),AVERAGE('20250815_ETF_Options_Exhibits'!M2438:M2442),"")</f>
        <v/>
      </c>
      <c r="N2442" s="3">
        <f>IF(ISNUMBER(AVERAGE('20250815_ETF_Options_Exhibits'!N2438:N2442)),AVERAGE('20250815_ETF_Options_Exhibits'!N2438:N2442),"")</f>
        <v/>
      </c>
      <c r="O2442" s="3">
        <f>IF(ISNUMBER(AVERAGE('20250815_ETF_Options_Exhibits'!O2438:O2442)),AVERAGE('20250815_ETF_Options_Exhibits'!O2438:O2442),"")</f>
        <v/>
      </c>
      <c r="P2442" s="3">
        <f>IF(ISNUMBER(AVERAGE('20250815_ETF_Options_Exhibits'!P2438:P2442)),AVERAGE('20250815_ETF_Options_Exhibits'!P2438:P2442),"")</f>
        <v/>
      </c>
      <c r="Q2442" s="3">
        <f>IF(ISNUMBER(AVERAGE('20250815_ETF_Options_Exhibits'!Q2438:Q2442)),AVERAGE('20250815_ETF_Options_Exhibits'!Q2438:Q2442),"")</f>
        <v/>
      </c>
      <c r="R2442" s="3">
        <f>IF(ISNUMBER(AVERAGE('20250815_ETF_Options_Exhibits'!R2438:R2442)),AVERAGE('20250815_ETF_Options_Exhibits'!R2438:R2442),"")</f>
        <v/>
      </c>
      <c r="S2442" s="3">
        <f>IF(ISNUMBER(AVERAGE('20250815_ETF_Options_Exhibits'!S2438:S2442)),AVERAGE('20250815_ETF_Options_Exhibits'!S2438:S2442),"")</f>
        <v/>
      </c>
      <c r="T2442" s="3">
        <f>IF(ISNUMBER(AVERAGE('20250815_ETF_Options_Exhibits'!T2438:T2442)),AVERAGE('20250815_ETF_Options_Exhibits'!T2438:T2442),"")</f>
        <v/>
      </c>
      <c r="U2442" s="3">
        <f>IF(ISNUMBER(AVERAGE('20250815_ETF_Options_Exhibits'!U2438:U2442)),AVERAGE('20250815_ETF_Options_Exhibits'!U2438:U2442),"")</f>
        <v/>
      </c>
      <c r="V2442" s="3">
        <f>IF(ISNUMBER(AVERAGE('20250815_ETF_Options_Exhibits'!V2438:V2442)),AVERAGE('20250815_ETF_Options_Exhibits'!V2438:V2442),"")</f>
        <v/>
      </c>
      <c r="W2442" s="3">
        <f>IF(ISNUMBER(AVERAGE('20250815_ETF_Options_Exhibits'!W2438:W2442)),AVERAGE('20250815_ETF_Options_Exhibits'!W2438:W2442),"")</f>
        <v/>
      </c>
      <c r="X2442" s="3">
        <f>IF(ISNUMBER(AVERAGE('20250815_ETF_Options_Exhibits'!X2438:X2442)),AVERAGE('20250815_ETF_Options_Exhibits'!X2438:X2442),"")</f>
        <v/>
      </c>
      <c r="Y2442" s="3">
        <f>IF(ISNUMBER(AVERAGE('20250815_ETF_Options_Exhibits'!Y2438:Y2442)),AVERAGE('20250815_ETF_Options_Exhibits'!Y2438:Y2442),"")</f>
        <v/>
      </c>
      <c r="Z2442" s="3">
        <f>IF(ISNUMBER(AVERAGE('20250815_ETF_Options_Exhibits'!Z2438:Z2442)),AVERAGE('20250815_ETF_Options_Exhibits'!Z2438:Z2442),"")</f>
        <v/>
      </c>
      <c r="AA2442" s="3">
        <f>IF(ISNUMBER(AVERAGE('20250815_ETF_Options_Exhibits'!AA2438:AA2442)),AVERAGE('20250815_ETF_Options_Exhibits'!AA2438:AA2442),"")</f>
        <v/>
      </c>
    </row>
    <row r="2443">
      <c r="A2443" s="1" t="n">
        <v>45548</v>
      </c>
      <c r="B2443" s="3">
        <f>IF(ISNUMBER(AVERAGE('20250815_ETF_Options_Exhibits'!B2439:B2443)),AVERAGE('20250815_ETF_Options_Exhibits'!B2439:B2443),"")</f>
        <v/>
      </c>
      <c r="C2443" s="3">
        <f>IF(ISNUMBER(AVERAGE('20250815_ETF_Options_Exhibits'!C2439:C2443)),AVERAGE('20250815_ETF_Options_Exhibits'!C2439:C2443),"")</f>
        <v/>
      </c>
      <c r="D2443" s="3">
        <f>IF(ISNUMBER(AVERAGE('20250815_ETF_Options_Exhibits'!D2439:D2443)),AVERAGE('20250815_ETF_Options_Exhibits'!D2439:D2443),"")</f>
        <v/>
      </c>
      <c r="E2443" s="3">
        <f>IF(ISNUMBER(AVERAGE('20250815_ETF_Options_Exhibits'!E2439:E2443)),AVERAGE('20250815_ETF_Options_Exhibits'!E2439:E2443),"")</f>
        <v/>
      </c>
      <c r="F2443" s="3">
        <f>IF(ISNUMBER(AVERAGE('20250815_ETF_Options_Exhibits'!F2439:F2443)),AVERAGE('20250815_ETF_Options_Exhibits'!F2439:F2443),"")</f>
        <v/>
      </c>
      <c r="G2443" s="3">
        <f>IF(ISNUMBER(AVERAGE('20250815_ETF_Options_Exhibits'!G2439:G2443)),AVERAGE('20250815_ETF_Options_Exhibits'!G2439:G2443),"")</f>
        <v/>
      </c>
      <c r="H2443" s="3">
        <f>IF(ISNUMBER(AVERAGE('20250815_ETF_Options_Exhibits'!H2439:H2443)),AVERAGE('20250815_ETF_Options_Exhibits'!H2439:H2443),"")</f>
        <v/>
      </c>
      <c r="I2443" s="3">
        <f>IF(ISNUMBER(AVERAGE('20250815_ETF_Options_Exhibits'!I2439:I2443)),AVERAGE('20250815_ETF_Options_Exhibits'!I2439:I2443),"")</f>
        <v/>
      </c>
      <c r="J2443" s="3">
        <f>IF(ISNUMBER(AVERAGE('20250815_ETF_Options_Exhibits'!J2439:J2443)),AVERAGE('20250815_ETF_Options_Exhibits'!J2439:J2443),"")</f>
        <v/>
      </c>
      <c r="K2443" s="3">
        <f>IF(ISNUMBER(AVERAGE('20250815_ETF_Options_Exhibits'!K2439:K2443)),AVERAGE('20250815_ETF_Options_Exhibits'!K2439:K2443),"")</f>
        <v/>
      </c>
      <c r="L2443" s="3">
        <f>IF(ISNUMBER(AVERAGE('20250815_ETF_Options_Exhibits'!L2439:L2443)),AVERAGE('20250815_ETF_Options_Exhibits'!L2439:L2443),"")</f>
        <v/>
      </c>
      <c r="M2443" s="3">
        <f>IF(ISNUMBER(AVERAGE('20250815_ETF_Options_Exhibits'!M2439:M2443)),AVERAGE('20250815_ETF_Options_Exhibits'!M2439:M2443),"")</f>
        <v/>
      </c>
      <c r="N2443" s="3">
        <f>IF(ISNUMBER(AVERAGE('20250815_ETF_Options_Exhibits'!N2439:N2443)),AVERAGE('20250815_ETF_Options_Exhibits'!N2439:N2443),"")</f>
        <v/>
      </c>
      <c r="O2443" s="3">
        <f>IF(ISNUMBER(AVERAGE('20250815_ETF_Options_Exhibits'!O2439:O2443)),AVERAGE('20250815_ETF_Options_Exhibits'!O2439:O2443),"")</f>
        <v/>
      </c>
      <c r="P2443" s="3">
        <f>IF(ISNUMBER(AVERAGE('20250815_ETF_Options_Exhibits'!P2439:P2443)),AVERAGE('20250815_ETF_Options_Exhibits'!P2439:P2443),"")</f>
        <v/>
      </c>
      <c r="Q2443" s="3">
        <f>IF(ISNUMBER(AVERAGE('20250815_ETF_Options_Exhibits'!Q2439:Q2443)),AVERAGE('20250815_ETF_Options_Exhibits'!Q2439:Q2443),"")</f>
        <v/>
      </c>
      <c r="R2443" s="3">
        <f>IF(ISNUMBER(AVERAGE('20250815_ETF_Options_Exhibits'!R2439:R2443)),AVERAGE('20250815_ETF_Options_Exhibits'!R2439:R2443),"")</f>
        <v/>
      </c>
      <c r="S2443" s="3">
        <f>IF(ISNUMBER(AVERAGE('20250815_ETF_Options_Exhibits'!S2439:S2443)),AVERAGE('20250815_ETF_Options_Exhibits'!S2439:S2443),"")</f>
        <v/>
      </c>
      <c r="T2443" s="3">
        <f>IF(ISNUMBER(AVERAGE('20250815_ETF_Options_Exhibits'!T2439:T2443)),AVERAGE('20250815_ETF_Options_Exhibits'!T2439:T2443),"")</f>
        <v/>
      </c>
      <c r="U2443" s="3">
        <f>IF(ISNUMBER(AVERAGE('20250815_ETF_Options_Exhibits'!U2439:U2443)),AVERAGE('20250815_ETF_Options_Exhibits'!U2439:U2443),"")</f>
        <v/>
      </c>
      <c r="V2443" s="3">
        <f>IF(ISNUMBER(AVERAGE('20250815_ETF_Options_Exhibits'!V2439:V2443)),AVERAGE('20250815_ETF_Options_Exhibits'!V2439:V2443),"")</f>
        <v/>
      </c>
      <c r="W2443" s="3">
        <f>IF(ISNUMBER(AVERAGE('20250815_ETF_Options_Exhibits'!W2439:W2443)),AVERAGE('20250815_ETF_Options_Exhibits'!W2439:W2443),"")</f>
        <v/>
      </c>
      <c r="X2443" s="3">
        <f>IF(ISNUMBER(AVERAGE('20250815_ETF_Options_Exhibits'!X2439:X2443)),AVERAGE('20250815_ETF_Options_Exhibits'!X2439:X2443),"")</f>
        <v/>
      </c>
      <c r="Y2443" s="3">
        <f>IF(ISNUMBER(AVERAGE('20250815_ETF_Options_Exhibits'!Y2439:Y2443)),AVERAGE('20250815_ETF_Options_Exhibits'!Y2439:Y2443),"")</f>
        <v/>
      </c>
      <c r="Z2443" s="3">
        <f>IF(ISNUMBER(AVERAGE('20250815_ETF_Options_Exhibits'!Z2439:Z2443)),AVERAGE('20250815_ETF_Options_Exhibits'!Z2439:Z2443),"")</f>
        <v/>
      </c>
      <c r="AA2443" s="3">
        <f>IF(ISNUMBER(AVERAGE('20250815_ETF_Options_Exhibits'!AA2439:AA2443)),AVERAGE('20250815_ETF_Options_Exhibits'!AA2439:AA2443),"")</f>
        <v/>
      </c>
    </row>
    <row r="2444">
      <c r="A2444" s="1" t="n">
        <v>45551</v>
      </c>
      <c r="B2444" s="3">
        <f>IF(ISNUMBER(AVERAGE('20250815_ETF_Options_Exhibits'!B2440:B2444)),AVERAGE('20250815_ETF_Options_Exhibits'!B2440:B2444),"")</f>
        <v/>
      </c>
      <c r="C2444" s="3">
        <f>IF(ISNUMBER(AVERAGE('20250815_ETF_Options_Exhibits'!C2440:C2444)),AVERAGE('20250815_ETF_Options_Exhibits'!C2440:C2444),"")</f>
        <v/>
      </c>
      <c r="D2444" s="3">
        <f>IF(ISNUMBER(AVERAGE('20250815_ETF_Options_Exhibits'!D2440:D2444)),AVERAGE('20250815_ETF_Options_Exhibits'!D2440:D2444),"")</f>
        <v/>
      </c>
      <c r="E2444" s="3">
        <f>IF(ISNUMBER(AVERAGE('20250815_ETF_Options_Exhibits'!E2440:E2444)),AVERAGE('20250815_ETF_Options_Exhibits'!E2440:E2444),"")</f>
        <v/>
      </c>
      <c r="F2444" s="3">
        <f>IF(ISNUMBER(AVERAGE('20250815_ETF_Options_Exhibits'!F2440:F2444)),AVERAGE('20250815_ETF_Options_Exhibits'!F2440:F2444),"")</f>
        <v/>
      </c>
      <c r="G2444" s="3">
        <f>IF(ISNUMBER(AVERAGE('20250815_ETF_Options_Exhibits'!G2440:G2444)),AVERAGE('20250815_ETF_Options_Exhibits'!G2440:G2444),"")</f>
        <v/>
      </c>
      <c r="H2444" s="3">
        <f>IF(ISNUMBER(AVERAGE('20250815_ETF_Options_Exhibits'!H2440:H2444)),AVERAGE('20250815_ETF_Options_Exhibits'!H2440:H2444),"")</f>
        <v/>
      </c>
      <c r="I2444" s="3">
        <f>IF(ISNUMBER(AVERAGE('20250815_ETF_Options_Exhibits'!I2440:I2444)),AVERAGE('20250815_ETF_Options_Exhibits'!I2440:I2444),"")</f>
        <v/>
      </c>
      <c r="J2444" s="3">
        <f>IF(ISNUMBER(AVERAGE('20250815_ETF_Options_Exhibits'!J2440:J2444)),AVERAGE('20250815_ETF_Options_Exhibits'!J2440:J2444),"")</f>
        <v/>
      </c>
      <c r="K2444" s="3">
        <f>IF(ISNUMBER(AVERAGE('20250815_ETF_Options_Exhibits'!K2440:K2444)),AVERAGE('20250815_ETF_Options_Exhibits'!K2440:K2444),"")</f>
        <v/>
      </c>
      <c r="L2444" s="3">
        <f>IF(ISNUMBER(AVERAGE('20250815_ETF_Options_Exhibits'!L2440:L2444)),AVERAGE('20250815_ETF_Options_Exhibits'!L2440:L2444),"")</f>
        <v/>
      </c>
      <c r="M2444" s="3">
        <f>IF(ISNUMBER(AVERAGE('20250815_ETF_Options_Exhibits'!M2440:M2444)),AVERAGE('20250815_ETF_Options_Exhibits'!M2440:M2444),"")</f>
        <v/>
      </c>
      <c r="N2444" s="3">
        <f>IF(ISNUMBER(AVERAGE('20250815_ETF_Options_Exhibits'!N2440:N2444)),AVERAGE('20250815_ETF_Options_Exhibits'!N2440:N2444),"")</f>
        <v/>
      </c>
      <c r="O2444" s="3">
        <f>IF(ISNUMBER(AVERAGE('20250815_ETF_Options_Exhibits'!O2440:O2444)),AVERAGE('20250815_ETF_Options_Exhibits'!O2440:O2444),"")</f>
        <v/>
      </c>
      <c r="P2444" s="3">
        <f>IF(ISNUMBER(AVERAGE('20250815_ETF_Options_Exhibits'!P2440:P2444)),AVERAGE('20250815_ETF_Options_Exhibits'!P2440:P2444),"")</f>
        <v/>
      </c>
      <c r="Q2444" s="3">
        <f>IF(ISNUMBER(AVERAGE('20250815_ETF_Options_Exhibits'!Q2440:Q2444)),AVERAGE('20250815_ETF_Options_Exhibits'!Q2440:Q2444),"")</f>
        <v/>
      </c>
      <c r="R2444" s="3">
        <f>IF(ISNUMBER(AVERAGE('20250815_ETF_Options_Exhibits'!R2440:R2444)),AVERAGE('20250815_ETF_Options_Exhibits'!R2440:R2444),"")</f>
        <v/>
      </c>
      <c r="S2444" s="3">
        <f>IF(ISNUMBER(AVERAGE('20250815_ETF_Options_Exhibits'!S2440:S2444)),AVERAGE('20250815_ETF_Options_Exhibits'!S2440:S2444),"")</f>
        <v/>
      </c>
      <c r="T2444" s="3">
        <f>IF(ISNUMBER(AVERAGE('20250815_ETF_Options_Exhibits'!T2440:T2444)),AVERAGE('20250815_ETF_Options_Exhibits'!T2440:T2444),"")</f>
        <v/>
      </c>
      <c r="U2444" s="3">
        <f>IF(ISNUMBER(AVERAGE('20250815_ETF_Options_Exhibits'!U2440:U2444)),AVERAGE('20250815_ETF_Options_Exhibits'!U2440:U2444),"")</f>
        <v/>
      </c>
      <c r="V2444" s="3">
        <f>IF(ISNUMBER(AVERAGE('20250815_ETF_Options_Exhibits'!V2440:V2444)),AVERAGE('20250815_ETF_Options_Exhibits'!V2440:V2444),"")</f>
        <v/>
      </c>
      <c r="W2444" s="3">
        <f>IF(ISNUMBER(AVERAGE('20250815_ETF_Options_Exhibits'!W2440:W2444)),AVERAGE('20250815_ETF_Options_Exhibits'!W2440:W2444),"")</f>
        <v/>
      </c>
      <c r="X2444" s="3">
        <f>IF(ISNUMBER(AVERAGE('20250815_ETF_Options_Exhibits'!X2440:X2444)),AVERAGE('20250815_ETF_Options_Exhibits'!X2440:X2444),"")</f>
        <v/>
      </c>
      <c r="Y2444" s="3">
        <f>IF(ISNUMBER(AVERAGE('20250815_ETF_Options_Exhibits'!Y2440:Y2444)),AVERAGE('20250815_ETF_Options_Exhibits'!Y2440:Y2444),"")</f>
        <v/>
      </c>
      <c r="Z2444" s="3">
        <f>IF(ISNUMBER(AVERAGE('20250815_ETF_Options_Exhibits'!Z2440:Z2444)),AVERAGE('20250815_ETF_Options_Exhibits'!Z2440:Z2444),"")</f>
        <v/>
      </c>
      <c r="AA2444" s="3">
        <f>IF(ISNUMBER(AVERAGE('20250815_ETF_Options_Exhibits'!AA2440:AA2444)),AVERAGE('20250815_ETF_Options_Exhibits'!AA2440:AA2444),"")</f>
        <v/>
      </c>
    </row>
    <row r="2445">
      <c r="A2445" s="1" t="n">
        <v>45552</v>
      </c>
      <c r="B2445" s="3">
        <f>IF(ISNUMBER(AVERAGE('20250815_ETF_Options_Exhibits'!B2441:B2445)),AVERAGE('20250815_ETF_Options_Exhibits'!B2441:B2445),"")</f>
        <v/>
      </c>
      <c r="C2445" s="3">
        <f>IF(ISNUMBER(AVERAGE('20250815_ETF_Options_Exhibits'!C2441:C2445)),AVERAGE('20250815_ETF_Options_Exhibits'!C2441:C2445),"")</f>
        <v/>
      </c>
      <c r="D2445" s="3">
        <f>IF(ISNUMBER(AVERAGE('20250815_ETF_Options_Exhibits'!D2441:D2445)),AVERAGE('20250815_ETF_Options_Exhibits'!D2441:D2445),"")</f>
        <v/>
      </c>
      <c r="E2445" s="3">
        <f>IF(ISNUMBER(AVERAGE('20250815_ETF_Options_Exhibits'!E2441:E2445)),AVERAGE('20250815_ETF_Options_Exhibits'!E2441:E2445),"")</f>
        <v/>
      </c>
      <c r="F2445" s="3">
        <f>IF(ISNUMBER(AVERAGE('20250815_ETF_Options_Exhibits'!F2441:F2445)),AVERAGE('20250815_ETF_Options_Exhibits'!F2441:F2445),"")</f>
        <v/>
      </c>
      <c r="G2445" s="3">
        <f>IF(ISNUMBER(AVERAGE('20250815_ETF_Options_Exhibits'!G2441:G2445)),AVERAGE('20250815_ETF_Options_Exhibits'!G2441:G2445),"")</f>
        <v/>
      </c>
      <c r="H2445" s="3">
        <f>IF(ISNUMBER(AVERAGE('20250815_ETF_Options_Exhibits'!H2441:H2445)),AVERAGE('20250815_ETF_Options_Exhibits'!H2441:H2445),"")</f>
        <v/>
      </c>
      <c r="I2445" s="3">
        <f>IF(ISNUMBER(AVERAGE('20250815_ETF_Options_Exhibits'!I2441:I2445)),AVERAGE('20250815_ETF_Options_Exhibits'!I2441:I2445),"")</f>
        <v/>
      </c>
      <c r="J2445" s="3">
        <f>IF(ISNUMBER(AVERAGE('20250815_ETF_Options_Exhibits'!J2441:J2445)),AVERAGE('20250815_ETF_Options_Exhibits'!J2441:J2445),"")</f>
        <v/>
      </c>
      <c r="K2445" s="3">
        <f>IF(ISNUMBER(AVERAGE('20250815_ETF_Options_Exhibits'!K2441:K2445)),AVERAGE('20250815_ETF_Options_Exhibits'!K2441:K2445),"")</f>
        <v/>
      </c>
      <c r="L2445" s="3">
        <f>IF(ISNUMBER(AVERAGE('20250815_ETF_Options_Exhibits'!L2441:L2445)),AVERAGE('20250815_ETF_Options_Exhibits'!L2441:L2445),"")</f>
        <v/>
      </c>
      <c r="M2445" s="3">
        <f>IF(ISNUMBER(AVERAGE('20250815_ETF_Options_Exhibits'!M2441:M2445)),AVERAGE('20250815_ETF_Options_Exhibits'!M2441:M2445),"")</f>
        <v/>
      </c>
      <c r="N2445" s="3">
        <f>IF(ISNUMBER(AVERAGE('20250815_ETF_Options_Exhibits'!N2441:N2445)),AVERAGE('20250815_ETF_Options_Exhibits'!N2441:N2445),"")</f>
        <v/>
      </c>
      <c r="O2445" s="3">
        <f>IF(ISNUMBER(AVERAGE('20250815_ETF_Options_Exhibits'!O2441:O2445)),AVERAGE('20250815_ETF_Options_Exhibits'!O2441:O2445),"")</f>
        <v/>
      </c>
      <c r="P2445" s="3">
        <f>IF(ISNUMBER(AVERAGE('20250815_ETF_Options_Exhibits'!P2441:P2445)),AVERAGE('20250815_ETF_Options_Exhibits'!P2441:P2445),"")</f>
        <v/>
      </c>
      <c r="Q2445" s="3">
        <f>IF(ISNUMBER(AVERAGE('20250815_ETF_Options_Exhibits'!Q2441:Q2445)),AVERAGE('20250815_ETF_Options_Exhibits'!Q2441:Q2445),"")</f>
        <v/>
      </c>
      <c r="R2445" s="3">
        <f>IF(ISNUMBER(AVERAGE('20250815_ETF_Options_Exhibits'!R2441:R2445)),AVERAGE('20250815_ETF_Options_Exhibits'!R2441:R2445),"")</f>
        <v/>
      </c>
      <c r="S2445" s="3">
        <f>IF(ISNUMBER(AVERAGE('20250815_ETF_Options_Exhibits'!S2441:S2445)),AVERAGE('20250815_ETF_Options_Exhibits'!S2441:S2445),"")</f>
        <v/>
      </c>
      <c r="T2445" s="3">
        <f>IF(ISNUMBER(AVERAGE('20250815_ETF_Options_Exhibits'!T2441:T2445)),AVERAGE('20250815_ETF_Options_Exhibits'!T2441:T2445),"")</f>
        <v/>
      </c>
      <c r="U2445" s="3">
        <f>IF(ISNUMBER(AVERAGE('20250815_ETF_Options_Exhibits'!U2441:U2445)),AVERAGE('20250815_ETF_Options_Exhibits'!U2441:U2445),"")</f>
        <v/>
      </c>
      <c r="V2445" s="3">
        <f>IF(ISNUMBER(AVERAGE('20250815_ETF_Options_Exhibits'!V2441:V2445)),AVERAGE('20250815_ETF_Options_Exhibits'!V2441:V2445),"")</f>
        <v/>
      </c>
      <c r="W2445" s="3">
        <f>IF(ISNUMBER(AVERAGE('20250815_ETF_Options_Exhibits'!W2441:W2445)),AVERAGE('20250815_ETF_Options_Exhibits'!W2441:W2445),"")</f>
        <v/>
      </c>
      <c r="X2445" s="3">
        <f>IF(ISNUMBER(AVERAGE('20250815_ETF_Options_Exhibits'!X2441:X2445)),AVERAGE('20250815_ETF_Options_Exhibits'!X2441:X2445),"")</f>
        <v/>
      </c>
      <c r="Y2445" s="3">
        <f>IF(ISNUMBER(AVERAGE('20250815_ETF_Options_Exhibits'!Y2441:Y2445)),AVERAGE('20250815_ETF_Options_Exhibits'!Y2441:Y2445),"")</f>
        <v/>
      </c>
      <c r="Z2445" s="3">
        <f>IF(ISNUMBER(AVERAGE('20250815_ETF_Options_Exhibits'!Z2441:Z2445)),AVERAGE('20250815_ETF_Options_Exhibits'!Z2441:Z2445),"")</f>
        <v/>
      </c>
      <c r="AA2445" s="3">
        <f>IF(ISNUMBER(AVERAGE('20250815_ETF_Options_Exhibits'!AA2441:AA2445)),AVERAGE('20250815_ETF_Options_Exhibits'!AA2441:AA2445),"")</f>
        <v/>
      </c>
    </row>
    <row r="2446">
      <c r="A2446" s="1" t="n">
        <v>45553</v>
      </c>
      <c r="B2446" s="3">
        <f>IF(ISNUMBER(AVERAGE('20250815_ETF_Options_Exhibits'!B2442:B2446)),AVERAGE('20250815_ETF_Options_Exhibits'!B2442:B2446),"")</f>
        <v/>
      </c>
      <c r="C2446" s="3">
        <f>IF(ISNUMBER(AVERAGE('20250815_ETF_Options_Exhibits'!C2442:C2446)),AVERAGE('20250815_ETF_Options_Exhibits'!C2442:C2446),"")</f>
        <v/>
      </c>
      <c r="D2446" s="3">
        <f>IF(ISNUMBER(AVERAGE('20250815_ETF_Options_Exhibits'!D2442:D2446)),AVERAGE('20250815_ETF_Options_Exhibits'!D2442:D2446),"")</f>
        <v/>
      </c>
      <c r="E2446" s="3">
        <f>IF(ISNUMBER(AVERAGE('20250815_ETF_Options_Exhibits'!E2442:E2446)),AVERAGE('20250815_ETF_Options_Exhibits'!E2442:E2446),"")</f>
        <v/>
      </c>
      <c r="F2446" s="3">
        <f>IF(ISNUMBER(AVERAGE('20250815_ETF_Options_Exhibits'!F2442:F2446)),AVERAGE('20250815_ETF_Options_Exhibits'!F2442:F2446),"")</f>
        <v/>
      </c>
      <c r="G2446" s="3">
        <f>IF(ISNUMBER(AVERAGE('20250815_ETF_Options_Exhibits'!G2442:G2446)),AVERAGE('20250815_ETF_Options_Exhibits'!G2442:G2446),"")</f>
        <v/>
      </c>
      <c r="H2446" s="3">
        <f>IF(ISNUMBER(AVERAGE('20250815_ETF_Options_Exhibits'!H2442:H2446)),AVERAGE('20250815_ETF_Options_Exhibits'!H2442:H2446),"")</f>
        <v/>
      </c>
      <c r="I2446" s="3">
        <f>IF(ISNUMBER(AVERAGE('20250815_ETF_Options_Exhibits'!I2442:I2446)),AVERAGE('20250815_ETF_Options_Exhibits'!I2442:I2446),"")</f>
        <v/>
      </c>
      <c r="J2446" s="3">
        <f>IF(ISNUMBER(AVERAGE('20250815_ETF_Options_Exhibits'!J2442:J2446)),AVERAGE('20250815_ETF_Options_Exhibits'!J2442:J2446),"")</f>
        <v/>
      </c>
      <c r="K2446" s="3">
        <f>IF(ISNUMBER(AVERAGE('20250815_ETF_Options_Exhibits'!K2442:K2446)),AVERAGE('20250815_ETF_Options_Exhibits'!K2442:K2446),"")</f>
        <v/>
      </c>
      <c r="L2446" s="3">
        <f>IF(ISNUMBER(AVERAGE('20250815_ETF_Options_Exhibits'!L2442:L2446)),AVERAGE('20250815_ETF_Options_Exhibits'!L2442:L2446),"")</f>
        <v/>
      </c>
      <c r="M2446" s="3">
        <f>IF(ISNUMBER(AVERAGE('20250815_ETF_Options_Exhibits'!M2442:M2446)),AVERAGE('20250815_ETF_Options_Exhibits'!M2442:M2446),"")</f>
        <v/>
      </c>
      <c r="N2446" s="3">
        <f>IF(ISNUMBER(AVERAGE('20250815_ETF_Options_Exhibits'!N2442:N2446)),AVERAGE('20250815_ETF_Options_Exhibits'!N2442:N2446),"")</f>
        <v/>
      </c>
      <c r="O2446" s="3">
        <f>IF(ISNUMBER(AVERAGE('20250815_ETF_Options_Exhibits'!O2442:O2446)),AVERAGE('20250815_ETF_Options_Exhibits'!O2442:O2446),"")</f>
        <v/>
      </c>
      <c r="P2446" s="3">
        <f>IF(ISNUMBER(AVERAGE('20250815_ETF_Options_Exhibits'!P2442:P2446)),AVERAGE('20250815_ETF_Options_Exhibits'!P2442:P2446),"")</f>
        <v/>
      </c>
      <c r="Q2446" s="3">
        <f>IF(ISNUMBER(AVERAGE('20250815_ETF_Options_Exhibits'!Q2442:Q2446)),AVERAGE('20250815_ETF_Options_Exhibits'!Q2442:Q2446),"")</f>
        <v/>
      </c>
      <c r="R2446" s="3">
        <f>IF(ISNUMBER(AVERAGE('20250815_ETF_Options_Exhibits'!R2442:R2446)),AVERAGE('20250815_ETF_Options_Exhibits'!R2442:R2446),"")</f>
        <v/>
      </c>
      <c r="S2446" s="3">
        <f>IF(ISNUMBER(AVERAGE('20250815_ETF_Options_Exhibits'!S2442:S2446)),AVERAGE('20250815_ETF_Options_Exhibits'!S2442:S2446),"")</f>
        <v/>
      </c>
      <c r="T2446" s="3">
        <f>IF(ISNUMBER(AVERAGE('20250815_ETF_Options_Exhibits'!T2442:T2446)),AVERAGE('20250815_ETF_Options_Exhibits'!T2442:T2446),"")</f>
        <v/>
      </c>
      <c r="U2446" s="3">
        <f>IF(ISNUMBER(AVERAGE('20250815_ETF_Options_Exhibits'!U2442:U2446)),AVERAGE('20250815_ETF_Options_Exhibits'!U2442:U2446),"")</f>
        <v/>
      </c>
      <c r="V2446" s="3">
        <f>IF(ISNUMBER(AVERAGE('20250815_ETF_Options_Exhibits'!V2442:V2446)),AVERAGE('20250815_ETF_Options_Exhibits'!V2442:V2446),"")</f>
        <v/>
      </c>
      <c r="W2446" s="3">
        <f>IF(ISNUMBER(AVERAGE('20250815_ETF_Options_Exhibits'!W2442:W2446)),AVERAGE('20250815_ETF_Options_Exhibits'!W2442:W2446),"")</f>
        <v/>
      </c>
      <c r="X2446" s="3">
        <f>IF(ISNUMBER(AVERAGE('20250815_ETF_Options_Exhibits'!X2442:X2446)),AVERAGE('20250815_ETF_Options_Exhibits'!X2442:X2446),"")</f>
        <v/>
      </c>
      <c r="Y2446" s="3">
        <f>IF(ISNUMBER(AVERAGE('20250815_ETF_Options_Exhibits'!Y2442:Y2446)),AVERAGE('20250815_ETF_Options_Exhibits'!Y2442:Y2446),"")</f>
        <v/>
      </c>
      <c r="Z2446" s="3">
        <f>IF(ISNUMBER(AVERAGE('20250815_ETF_Options_Exhibits'!Z2442:Z2446)),AVERAGE('20250815_ETF_Options_Exhibits'!Z2442:Z2446),"")</f>
        <v/>
      </c>
      <c r="AA2446" s="3">
        <f>IF(ISNUMBER(AVERAGE('20250815_ETF_Options_Exhibits'!AA2442:AA2446)),AVERAGE('20250815_ETF_Options_Exhibits'!AA2442:AA2446),"")</f>
        <v/>
      </c>
    </row>
    <row r="2447">
      <c r="A2447" s="1" t="n">
        <v>45554</v>
      </c>
      <c r="B2447" s="3">
        <f>IF(ISNUMBER(AVERAGE('20250815_ETF_Options_Exhibits'!B2443:B2447)),AVERAGE('20250815_ETF_Options_Exhibits'!B2443:B2447),"")</f>
        <v/>
      </c>
      <c r="C2447" s="3">
        <f>IF(ISNUMBER(AVERAGE('20250815_ETF_Options_Exhibits'!C2443:C2447)),AVERAGE('20250815_ETF_Options_Exhibits'!C2443:C2447),"")</f>
        <v/>
      </c>
      <c r="D2447" s="3">
        <f>IF(ISNUMBER(AVERAGE('20250815_ETF_Options_Exhibits'!D2443:D2447)),AVERAGE('20250815_ETF_Options_Exhibits'!D2443:D2447),"")</f>
        <v/>
      </c>
      <c r="E2447" s="3">
        <f>IF(ISNUMBER(AVERAGE('20250815_ETF_Options_Exhibits'!E2443:E2447)),AVERAGE('20250815_ETF_Options_Exhibits'!E2443:E2447),"")</f>
        <v/>
      </c>
      <c r="F2447" s="3">
        <f>IF(ISNUMBER(AVERAGE('20250815_ETF_Options_Exhibits'!F2443:F2447)),AVERAGE('20250815_ETF_Options_Exhibits'!F2443:F2447),"")</f>
        <v/>
      </c>
      <c r="G2447" s="3">
        <f>IF(ISNUMBER(AVERAGE('20250815_ETF_Options_Exhibits'!G2443:G2447)),AVERAGE('20250815_ETF_Options_Exhibits'!G2443:G2447),"")</f>
        <v/>
      </c>
      <c r="H2447" s="3">
        <f>IF(ISNUMBER(AVERAGE('20250815_ETF_Options_Exhibits'!H2443:H2447)),AVERAGE('20250815_ETF_Options_Exhibits'!H2443:H2447),"")</f>
        <v/>
      </c>
      <c r="I2447" s="3">
        <f>IF(ISNUMBER(AVERAGE('20250815_ETF_Options_Exhibits'!I2443:I2447)),AVERAGE('20250815_ETF_Options_Exhibits'!I2443:I2447),"")</f>
        <v/>
      </c>
      <c r="J2447" s="3">
        <f>IF(ISNUMBER(AVERAGE('20250815_ETF_Options_Exhibits'!J2443:J2447)),AVERAGE('20250815_ETF_Options_Exhibits'!J2443:J2447),"")</f>
        <v/>
      </c>
      <c r="K2447" s="3">
        <f>IF(ISNUMBER(AVERAGE('20250815_ETF_Options_Exhibits'!K2443:K2447)),AVERAGE('20250815_ETF_Options_Exhibits'!K2443:K2447),"")</f>
        <v/>
      </c>
      <c r="L2447" s="3">
        <f>IF(ISNUMBER(AVERAGE('20250815_ETF_Options_Exhibits'!L2443:L2447)),AVERAGE('20250815_ETF_Options_Exhibits'!L2443:L2447),"")</f>
        <v/>
      </c>
      <c r="M2447" s="3">
        <f>IF(ISNUMBER(AVERAGE('20250815_ETF_Options_Exhibits'!M2443:M2447)),AVERAGE('20250815_ETF_Options_Exhibits'!M2443:M2447),"")</f>
        <v/>
      </c>
      <c r="N2447" s="3">
        <f>IF(ISNUMBER(AVERAGE('20250815_ETF_Options_Exhibits'!N2443:N2447)),AVERAGE('20250815_ETF_Options_Exhibits'!N2443:N2447),"")</f>
        <v/>
      </c>
      <c r="O2447" s="3">
        <f>IF(ISNUMBER(AVERAGE('20250815_ETF_Options_Exhibits'!O2443:O2447)),AVERAGE('20250815_ETF_Options_Exhibits'!O2443:O2447),"")</f>
        <v/>
      </c>
      <c r="P2447" s="3">
        <f>IF(ISNUMBER(AVERAGE('20250815_ETF_Options_Exhibits'!P2443:P2447)),AVERAGE('20250815_ETF_Options_Exhibits'!P2443:P2447),"")</f>
        <v/>
      </c>
      <c r="Q2447" s="3">
        <f>IF(ISNUMBER(AVERAGE('20250815_ETF_Options_Exhibits'!Q2443:Q2447)),AVERAGE('20250815_ETF_Options_Exhibits'!Q2443:Q2447),"")</f>
        <v/>
      </c>
      <c r="R2447" s="3">
        <f>IF(ISNUMBER(AVERAGE('20250815_ETF_Options_Exhibits'!R2443:R2447)),AVERAGE('20250815_ETF_Options_Exhibits'!R2443:R2447),"")</f>
        <v/>
      </c>
      <c r="S2447" s="3">
        <f>IF(ISNUMBER(AVERAGE('20250815_ETF_Options_Exhibits'!S2443:S2447)),AVERAGE('20250815_ETF_Options_Exhibits'!S2443:S2447),"")</f>
        <v/>
      </c>
      <c r="T2447" s="3">
        <f>IF(ISNUMBER(AVERAGE('20250815_ETF_Options_Exhibits'!T2443:T2447)),AVERAGE('20250815_ETF_Options_Exhibits'!T2443:T2447),"")</f>
        <v/>
      </c>
      <c r="U2447" s="3">
        <f>IF(ISNUMBER(AVERAGE('20250815_ETF_Options_Exhibits'!U2443:U2447)),AVERAGE('20250815_ETF_Options_Exhibits'!U2443:U2447),"")</f>
        <v/>
      </c>
      <c r="V2447" s="3">
        <f>IF(ISNUMBER(AVERAGE('20250815_ETF_Options_Exhibits'!V2443:V2447)),AVERAGE('20250815_ETF_Options_Exhibits'!V2443:V2447),"")</f>
        <v/>
      </c>
      <c r="W2447" s="3">
        <f>IF(ISNUMBER(AVERAGE('20250815_ETF_Options_Exhibits'!W2443:W2447)),AVERAGE('20250815_ETF_Options_Exhibits'!W2443:W2447),"")</f>
        <v/>
      </c>
      <c r="X2447" s="3">
        <f>IF(ISNUMBER(AVERAGE('20250815_ETF_Options_Exhibits'!X2443:X2447)),AVERAGE('20250815_ETF_Options_Exhibits'!X2443:X2447),"")</f>
        <v/>
      </c>
      <c r="Y2447" s="3">
        <f>IF(ISNUMBER(AVERAGE('20250815_ETF_Options_Exhibits'!Y2443:Y2447)),AVERAGE('20250815_ETF_Options_Exhibits'!Y2443:Y2447),"")</f>
        <v/>
      </c>
      <c r="Z2447" s="3">
        <f>IF(ISNUMBER(AVERAGE('20250815_ETF_Options_Exhibits'!Z2443:Z2447)),AVERAGE('20250815_ETF_Options_Exhibits'!Z2443:Z2447),"")</f>
        <v/>
      </c>
      <c r="AA2447" s="3">
        <f>IF(ISNUMBER(AVERAGE('20250815_ETF_Options_Exhibits'!AA2443:AA2447)),AVERAGE('20250815_ETF_Options_Exhibits'!AA2443:AA2447),"")</f>
        <v/>
      </c>
    </row>
    <row r="2448">
      <c r="A2448" s="1" t="n">
        <v>45555</v>
      </c>
      <c r="B2448" s="3">
        <f>IF(ISNUMBER(AVERAGE('20250815_ETF_Options_Exhibits'!B2444:B2448)),AVERAGE('20250815_ETF_Options_Exhibits'!B2444:B2448),"")</f>
        <v/>
      </c>
      <c r="C2448" s="3">
        <f>IF(ISNUMBER(AVERAGE('20250815_ETF_Options_Exhibits'!C2444:C2448)),AVERAGE('20250815_ETF_Options_Exhibits'!C2444:C2448),"")</f>
        <v/>
      </c>
      <c r="D2448" s="3">
        <f>IF(ISNUMBER(AVERAGE('20250815_ETF_Options_Exhibits'!D2444:D2448)),AVERAGE('20250815_ETF_Options_Exhibits'!D2444:D2448),"")</f>
        <v/>
      </c>
      <c r="E2448" s="3">
        <f>IF(ISNUMBER(AVERAGE('20250815_ETF_Options_Exhibits'!E2444:E2448)),AVERAGE('20250815_ETF_Options_Exhibits'!E2444:E2448),"")</f>
        <v/>
      </c>
      <c r="F2448" s="3">
        <f>IF(ISNUMBER(AVERAGE('20250815_ETF_Options_Exhibits'!F2444:F2448)),AVERAGE('20250815_ETF_Options_Exhibits'!F2444:F2448),"")</f>
        <v/>
      </c>
      <c r="G2448" s="3">
        <f>IF(ISNUMBER(AVERAGE('20250815_ETF_Options_Exhibits'!G2444:G2448)),AVERAGE('20250815_ETF_Options_Exhibits'!G2444:G2448),"")</f>
        <v/>
      </c>
      <c r="H2448" s="3">
        <f>IF(ISNUMBER(AVERAGE('20250815_ETF_Options_Exhibits'!H2444:H2448)),AVERAGE('20250815_ETF_Options_Exhibits'!H2444:H2448),"")</f>
        <v/>
      </c>
      <c r="I2448" s="3">
        <f>IF(ISNUMBER(AVERAGE('20250815_ETF_Options_Exhibits'!I2444:I2448)),AVERAGE('20250815_ETF_Options_Exhibits'!I2444:I2448),"")</f>
        <v/>
      </c>
      <c r="J2448" s="3">
        <f>IF(ISNUMBER(AVERAGE('20250815_ETF_Options_Exhibits'!J2444:J2448)),AVERAGE('20250815_ETF_Options_Exhibits'!J2444:J2448),"")</f>
        <v/>
      </c>
      <c r="K2448" s="3">
        <f>IF(ISNUMBER(AVERAGE('20250815_ETF_Options_Exhibits'!K2444:K2448)),AVERAGE('20250815_ETF_Options_Exhibits'!K2444:K2448),"")</f>
        <v/>
      </c>
      <c r="L2448" s="3">
        <f>IF(ISNUMBER(AVERAGE('20250815_ETF_Options_Exhibits'!L2444:L2448)),AVERAGE('20250815_ETF_Options_Exhibits'!L2444:L2448),"")</f>
        <v/>
      </c>
      <c r="M2448" s="3">
        <f>IF(ISNUMBER(AVERAGE('20250815_ETF_Options_Exhibits'!M2444:M2448)),AVERAGE('20250815_ETF_Options_Exhibits'!M2444:M2448),"")</f>
        <v/>
      </c>
      <c r="N2448" s="3">
        <f>IF(ISNUMBER(AVERAGE('20250815_ETF_Options_Exhibits'!N2444:N2448)),AVERAGE('20250815_ETF_Options_Exhibits'!N2444:N2448),"")</f>
        <v/>
      </c>
      <c r="O2448" s="3">
        <f>IF(ISNUMBER(AVERAGE('20250815_ETF_Options_Exhibits'!O2444:O2448)),AVERAGE('20250815_ETF_Options_Exhibits'!O2444:O2448),"")</f>
        <v/>
      </c>
      <c r="P2448" s="3">
        <f>IF(ISNUMBER(AVERAGE('20250815_ETF_Options_Exhibits'!P2444:P2448)),AVERAGE('20250815_ETF_Options_Exhibits'!P2444:P2448),"")</f>
        <v/>
      </c>
      <c r="Q2448" s="3">
        <f>IF(ISNUMBER(AVERAGE('20250815_ETF_Options_Exhibits'!Q2444:Q2448)),AVERAGE('20250815_ETF_Options_Exhibits'!Q2444:Q2448),"")</f>
        <v/>
      </c>
      <c r="R2448" s="3">
        <f>IF(ISNUMBER(AVERAGE('20250815_ETF_Options_Exhibits'!R2444:R2448)),AVERAGE('20250815_ETF_Options_Exhibits'!R2444:R2448),"")</f>
        <v/>
      </c>
      <c r="S2448" s="3">
        <f>IF(ISNUMBER(AVERAGE('20250815_ETF_Options_Exhibits'!S2444:S2448)),AVERAGE('20250815_ETF_Options_Exhibits'!S2444:S2448),"")</f>
        <v/>
      </c>
      <c r="T2448" s="3">
        <f>IF(ISNUMBER(AVERAGE('20250815_ETF_Options_Exhibits'!T2444:T2448)),AVERAGE('20250815_ETF_Options_Exhibits'!T2444:T2448),"")</f>
        <v/>
      </c>
      <c r="U2448" s="3">
        <f>IF(ISNUMBER(AVERAGE('20250815_ETF_Options_Exhibits'!U2444:U2448)),AVERAGE('20250815_ETF_Options_Exhibits'!U2444:U2448),"")</f>
        <v/>
      </c>
      <c r="V2448" s="3">
        <f>IF(ISNUMBER(AVERAGE('20250815_ETF_Options_Exhibits'!V2444:V2448)),AVERAGE('20250815_ETF_Options_Exhibits'!V2444:V2448),"")</f>
        <v/>
      </c>
      <c r="W2448" s="3">
        <f>IF(ISNUMBER(AVERAGE('20250815_ETF_Options_Exhibits'!W2444:W2448)),AVERAGE('20250815_ETF_Options_Exhibits'!W2444:W2448),"")</f>
        <v/>
      </c>
      <c r="X2448" s="3">
        <f>IF(ISNUMBER(AVERAGE('20250815_ETF_Options_Exhibits'!X2444:X2448)),AVERAGE('20250815_ETF_Options_Exhibits'!X2444:X2448),"")</f>
        <v/>
      </c>
      <c r="Y2448" s="3">
        <f>IF(ISNUMBER(AVERAGE('20250815_ETF_Options_Exhibits'!Y2444:Y2448)),AVERAGE('20250815_ETF_Options_Exhibits'!Y2444:Y2448),"")</f>
        <v/>
      </c>
      <c r="Z2448" s="3">
        <f>IF(ISNUMBER(AVERAGE('20250815_ETF_Options_Exhibits'!Z2444:Z2448)),AVERAGE('20250815_ETF_Options_Exhibits'!Z2444:Z2448),"")</f>
        <v/>
      </c>
      <c r="AA2448" s="3">
        <f>IF(ISNUMBER(AVERAGE('20250815_ETF_Options_Exhibits'!AA2444:AA2448)),AVERAGE('20250815_ETF_Options_Exhibits'!AA2444:AA2448),"")</f>
        <v/>
      </c>
    </row>
    <row r="2449">
      <c r="A2449" s="1" t="n">
        <v>45558</v>
      </c>
      <c r="B2449" s="3">
        <f>IF(ISNUMBER(AVERAGE('20250815_ETF_Options_Exhibits'!B2445:B2449)),AVERAGE('20250815_ETF_Options_Exhibits'!B2445:B2449),"")</f>
        <v/>
      </c>
      <c r="C2449" s="3">
        <f>IF(ISNUMBER(AVERAGE('20250815_ETF_Options_Exhibits'!C2445:C2449)),AVERAGE('20250815_ETF_Options_Exhibits'!C2445:C2449),"")</f>
        <v/>
      </c>
      <c r="D2449" s="3">
        <f>IF(ISNUMBER(AVERAGE('20250815_ETF_Options_Exhibits'!D2445:D2449)),AVERAGE('20250815_ETF_Options_Exhibits'!D2445:D2449),"")</f>
        <v/>
      </c>
      <c r="E2449" s="3">
        <f>IF(ISNUMBER(AVERAGE('20250815_ETF_Options_Exhibits'!E2445:E2449)),AVERAGE('20250815_ETF_Options_Exhibits'!E2445:E2449),"")</f>
        <v/>
      </c>
      <c r="F2449" s="3">
        <f>IF(ISNUMBER(AVERAGE('20250815_ETF_Options_Exhibits'!F2445:F2449)),AVERAGE('20250815_ETF_Options_Exhibits'!F2445:F2449),"")</f>
        <v/>
      </c>
      <c r="G2449" s="3">
        <f>IF(ISNUMBER(AVERAGE('20250815_ETF_Options_Exhibits'!G2445:G2449)),AVERAGE('20250815_ETF_Options_Exhibits'!G2445:G2449),"")</f>
        <v/>
      </c>
      <c r="H2449" s="3">
        <f>IF(ISNUMBER(AVERAGE('20250815_ETF_Options_Exhibits'!H2445:H2449)),AVERAGE('20250815_ETF_Options_Exhibits'!H2445:H2449),"")</f>
        <v/>
      </c>
      <c r="I2449" s="3">
        <f>IF(ISNUMBER(AVERAGE('20250815_ETF_Options_Exhibits'!I2445:I2449)),AVERAGE('20250815_ETF_Options_Exhibits'!I2445:I2449),"")</f>
        <v/>
      </c>
      <c r="J2449" s="3">
        <f>IF(ISNUMBER(AVERAGE('20250815_ETF_Options_Exhibits'!J2445:J2449)),AVERAGE('20250815_ETF_Options_Exhibits'!J2445:J2449),"")</f>
        <v/>
      </c>
      <c r="K2449" s="3">
        <f>IF(ISNUMBER(AVERAGE('20250815_ETF_Options_Exhibits'!K2445:K2449)),AVERAGE('20250815_ETF_Options_Exhibits'!K2445:K2449),"")</f>
        <v/>
      </c>
      <c r="L2449" s="3">
        <f>IF(ISNUMBER(AVERAGE('20250815_ETF_Options_Exhibits'!L2445:L2449)),AVERAGE('20250815_ETF_Options_Exhibits'!L2445:L2449),"")</f>
        <v/>
      </c>
      <c r="M2449" s="3">
        <f>IF(ISNUMBER(AVERAGE('20250815_ETF_Options_Exhibits'!M2445:M2449)),AVERAGE('20250815_ETF_Options_Exhibits'!M2445:M2449),"")</f>
        <v/>
      </c>
      <c r="N2449" s="3">
        <f>IF(ISNUMBER(AVERAGE('20250815_ETF_Options_Exhibits'!N2445:N2449)),AVERAGE('20250815_ETF_Options_Exhibits'!N2445:N2449),"")</f>
        <v/>
      </c>
      <c r="O2449" s="3">
        <f>IF(ISNUMBER(AVERAGE('20250815_ETF_Options_Exhibits'!O2445:O2449)),AVERAGE('20250815_ETF_Options_Exhibits'!O2445:O2449),"")</f>
        <v/>
      </c>
      <c r="P2449" s="3">
        <f>IF(ISNUMBER(AVERAGE('20250815_ETF_Options_Exhibits'!P2445:P2449)),AVERAGE('20250815_ETF_Options_Exhibits'!P2445:P2449),"")</f>
        <v/>
      </c>
      <c r="Q2449" s="3">
        <f>IF(ISNUMBER(AVERAGE('20250815_ETF_Options_Exhibits'!Q2445:Q2449)),AVERAGE('20250815_ETF_Options_Exhibits'!Q2445:Q2449),"")</f>
        <v/>
      </c>
      <c r="R2449" s="3">
        <f>IF(ISNUMBER(AVERAGE('20250815_ETF_Options_Exhibits'!R2445:R2449)),AVERAGE('20250815_ETF_Options_Exhibits'!R2445:R2449),"")</f>
        <v/>
      </c>
      <c r="S2449" s="3">
        <f>IF(ISNUMBER(AVERAGE('20250815_ETF_Options_Exhibits'!S2445:S2449)),AVERAGE('20250815_ETF_Options_Exhibits'!S2445:S2449),"")</f>
        <v/>
      </c>
      <c r="T2449" s="3">
        <f>IF(ISNUMBER(AVERAGE('20250815_ETF_Options_Exhibits'!T2445:T2449)),AVERAGE('20250815_ETF_Options_Exhibits'!T2445:T2449),"")</f>
        <v/>
      </c>
      <c r="U2449" s="3">
        <f>IF(ISNUMBER(AVERAGE('20250815_ETF_Options_Exhibits'!U2445:U2449)),AVERAGE('20250815_ETF_Options_Exhibits'!U2445:U2449),"")</f>
        <v/>
      </c>
      <c r="V2449" s="3">
        <f>IF(ISNUMBER(AVERAGE('20250815_ETF_Options_Exhibits'!V2445:V2449)),AVERAGE('20250815_ETF_Options_Exhibits'!V2445:V2449),"")</f>
        <v/>
      </c>
      <c r="W2449" s="3">
        <f>IF(ISNUMBER(AVERAGE('20250815_ETF_Options_Exhibits'!W2445:W2449)),AVERAGE('20250815_ETF_Options_Exhibits'!W2445:W2449),"")</f>
        <v/>
      </c>
      <c r="X2449" s="3">
        <f>IF(ISNUMBER(AVERAGE('20250815_ETF_Options_Exhibits'!X2445:X2449)),AVERAGE('20250815_ETF_Options_Exhibits'!X2445:X2449),"")</f>
        <v/>
      </c>
      <c r="Y2449" s="3">
        <f>IF(ISNUMBER(AVERAGE('20250815_ETF_Options_Exhibits'!Y2445:Y2449)),AVERAGE('20250815_ETF_Options_Exhibits'!Y2445:Y2449),"")</f>
        <v/>
      </c>
      <c r="Z2449" s="3">
        <f>IF(ISNUMBER(AVERAGE('20250815_ETF_Options_Exhibits'!Z2445:Z2449)),AVERAGE('20250815_ETF_Options_Exhibits'!Z2445:Z2449),"")</f>
        <v/>
      </c>
      <c r="AA2449" s="3">
        <f>IF(ISNUMBER(AVERAGE('20250815_ETF_Options_Exhibits'!AA2445:AA2449)),AVERAGE('20250815_ETF_Options_Exhibits'!AA2445:AA2449),"")</f>
        <v/>
      </c>
    </row>
    <row r="2450">
      <c r="A2450" s="1" t="n">
        <v>45559</v>
      </c>
      <c r="B2450" s="3">
        <f>IF(ISNUMBER(AVERAGE('20250815_ETF_Options_Exhibits'!B2446:B2450)),AVERAGE('20250815_ETF_Options_Exhibits'!B2446:B2450),"")</f>
        <v/>
      </c>
      <c r="C2450" s="3">
        <f>IF(ISNUMBER(AVERAGE('20250815_ETF_Options_Exhibits'!C2446:C2450)),AVERAGE('20250815_ETF_Options_Exhibits'!C2446:C2450),"")</f>
        <v/>
      </c>
      <c r="D2450" s="3">
        <f>IF(ISNUMBER(AVERAGE('20250815_ETF_Options_Exhibits'!D2446:D2450)),AVERAGE('20250815_ETF_Options_Exhibits'!D2446:D2450),"")</f>
        <v/>
      </c>
      <c r="E2450" s="3">
        <f>IF(ISNUMBER(AVERAGE('20250815_ETF_Options_Exhibits'!E2446:E2450)),AVERAGE('20250815_ETF_Options_Exhibits'!E2446:E2450),"")</f>
        <v/>
      </c>
      <c r="F2450" s="3">
        <f>IF(ISNUMBER(AVERAGE('20250815_ETF_Options_Exhibits'!F2446:F2450)),AVERAGE('20250815_ETF_Options_Exhibits'!F2446:F2450),"")</f>
        <v/>
      </c>
      <c r="G2450" s="3">
        <f>IF(ISNUMBER(AVERAGE('20250815_ETF_Options_Exhibits'!G2446:G2450)),AVERAGE('20250815_ETF_Options_Exhibits'!G2446:G2450),"")</f>
        <v/>
      </c>
      <c r="H2450" s="3">
        <f>IF(ISNUMBER(AVERAGE('20250815_ETF_Options_Exhibits'!H2446:H2450)),AVERAGE('20250815_ETF_Options_Exhibits'!H2446:H2450),"")</f>
        <v/>
      </c>
      <c r="I2450" s="3">
        <f>IF(ISNUMBER(AVERAGE('20250815_ETF_Options_Exhibits'!I2446:I2450)),AVERAGE('20250815_ETF_Options_Exhibits'!I2446:I2450),"")</f>
        <v/>
      </c>
      <c r="J2450" s="3">
        <f>IF(ISNUMBER(AVERAGE('20250815_ETF_Options_Exhibits'!J2446:J2450)),AVERAGE('20250815_ETF_Options_Exhibits'!J2446:J2450),"")</f>
        <v/>
      </c>
      <c r="K2450" s="3">
        <f>IF(ISNUMBER(AVERAGE('20250815_ETF_Options_Exhibits'!K2446:K2450)),AVERAGE('20250815_ETF_Options_Exhibits'!K2446:K2450),"")</f>
        <v/>
      </c>
      <c r="L2450" s="3">
        <f>IF(ISNUMBER(AVERAGE('20250815_ETF_Options_Exhibits'!L2446:L2450)),AVERAGE('20250815_ETF_Options_Exhibits'!L2446:L2450),"")</f>
        <v/>
      </c>
      <c r="M2450" s="3">
        <f>IF(ISNUMBER(AVERAGE('20250815_ETF_Options_Exhibits'!M2446:M2450)),AVERAGE('20250815_ETF_Options_Exhibits'!M2446:M2450),"")</f>
        <v/>
      </c>
      <c r="N2450" s="3">
        <f>IF(ISNUMBER(AVERAGE('20250815_ETF_Options_Exhibits'!N2446:N2450)),AVERAGE('20250815_ETF_Options_Exhibits'!N2446:N2450),"")</f>
        <v/>
      </c>
      <c r="O2450" s="3">
        <f>IF(ISNUMBER(AVERAGE('20250815_ETF_Options_Exhibits'!O2446:O2450)),AVERAGE('20250815_ETF_Options_Exhibits'!O2446:O2450),"")</f>
        <v/>
      </c>
      <c r="P2450" s="3">
        <f>IF(ISNUMBER(AVERAGE('20250815_ETF_Options_Exhibits'!P2446:P2450)),AVERAGE('20250815_ETF_Options_Exhibits'!P2446:P2450),"")</f>
        <v/>
      </c>
      <c r="Q2450" s="3">
        <f>IF(ISNUMBER(AVERAGE('20250815_ETF_Options_Exhibits'!Q2446:Q2450)),AVERAGE('20250815_ETF_Options_Exhibits'!Q2446:Q2450),"")</f>
        <v/>
      </c>
      <c r="R2450" s="3">
        <f>IF(ISNUMBER(AVERAGE('20250815_ETF_Options_Exhibits'!R2446:R2450)),AVERAGE('20250815_ETF_Options_Exhibits'!R2446:R2450),"")</f>
        <v/>
      </c>
      <c r="S2450" s="3">
        <f>IF(ISNUMBER(AVERAGE('20250815_ETF_Options_Exhibits'!S2446:S2450)),AVERAGE('20250815_ETF_Options_Exhibits'!S2446:S2450),"")</f>
        <v/>
      </c>
      <c r="T2450" s="3">
        <f>IF(ISNUMBER(AVERAGE('20250815_ETF_Options_Exhibits'!T2446:T2450)),AVERAGE('20250815_ETF_Options_Exhibits'!T2446:T2450),"")</f>
        <v/>
      </c>
      <c r="U2450" s="3">
        <f>IF(ISNUMBER(AVERAGE('20250815_ETF_Options_Exhibits'!U2446:U2450)),AVERAGE('20250815_ETF_Options_Exhibits'!U2446:U2450),"")</f>
        <v/>
      </c>
      <c r="V2450" s="3">
        <f>IF(ISNUMBER(AVERAGE('20250815_ETF_Options_Exhibits'!V2446:V2450)),AVERAGE('20250815_ETF_Options_Exhibits'!V2446:V2450),"")</f>
        <v/>
      </c>
      <c r="W2450" s="3">
        <f>IF(ISNUMBER(AVERAGE('20250815_ETF_Options_Exhibits'!W2446:W2450)),AVERAGE('20250815_ETF_Options_Exhibits'!W2446:W2450),"")</f>
        <v/>
      </c>
      <c r="X2450" s="3">
        <f>IF(ISNUMBER(AVERAGE('20250815_ETF_Options_Exhibits'!X2446:X2450)),AVERAGE('20250815_ETF_Options_Exhibits'!X2446:X2450),"")</f>
        <v/>
      </c>
      <c r="Y2450" s="3">
        <f>IF(ISNUMBER(AVERAGE('20250815_ETF_Options_Exhibits'!Y2446:Y2450)),AVERAGE('20250815_ETF_Options_Exhibits'!Y2446:Y2450),"")</f>
        <v/>
      </c>
      <c r="Z2450" s="3">
        <f>IF(ISNUMBER(AVERAGE('20250815_ETF_Options_Exhibits'!Z2446:Z2450)),AVERAGE('20250815_ETF_Options_Exhibits'!Z2446:Z2450),"")</f>
        <v/>
      </c>
      <c r="AA2450" s="3">
        <f>IF(ISNUMBER(AVERAGE('20250815_ETF_Options_Exhibits'!AA2446:AA2450)),AVERAGE('20250815_ETF_Options_Exhibits'!AA2446:AA2450),"")</f>
        <v/>
      </c>
    </row>
    <row r="2451">
      <c r="A2451" s="1" t="n">
        <v>45560</v>
      </c>
      <c r="B2451" s="3">
        <f>IF(ISNUMBER(AVERAGE('20250815_ETF_Options_Exhibits'!B2447:B2451)),AVERAGE('20250815_ETF_Options_Exhibits'!B2447:B2451),"")</f>
        <v/>
      </c>
      <c r="C2451" s="3">
        <f>IF(ISNUMBER(AVERAGE('20250815_ETF_Options_Exhibits'!C2447:C2451)),AVERAGE('20250815_ETF_Options_Exhibits'!C2447:C2451),"")</f>
        <v/>
      </c>
      <c r="D2451" s="3">
        <f>IF(ISNUMBER(AVERAGE('20250815_ETF_Options_Exhibits'!D2447:D2451)),AVERAGE('20250815_ETF_Options_Exhibits'!D2447:D2451),"")</f>
        <v/>
      </c>
      <c r="E2451" s="3">
        <f>IF(ISNUMBER(AVERAGE('20250815_ETF_Options_Exhibits'!E2447:E2451)),AVERAGE('20250815_ETF_Options_Exhibits'!E2447:E2451),"")</f>
        <v/>
      </c>
      <c r="F2451" s="3">
        <f>IF(ISNUMBER(AVERAGE('20250815_ETF_Options_Exhibits'!F2447:F2451)),AVERAGE('20250815_ETF_Options_Exhibits'!F2447:F2451),"")</f>
        <v/>
      </c>
      <c r="G2451" s="3">
        <f>IF(ISNUMBER(AVERAGE('20250815_ETF_Options_Exhibits'!G2447:G2451)),AVERAGE('20250815_ETF_Options_Exhibits'!G2447:G2451),"")</f>
        <v/>
      </c>
      <c r="H2451" s="3">
        <f>IF(ISNUMBER(AVERAGE('20250815_ETF_Options_Exhibits'!H2447:H2451)),AVERAGE('20250815_ETF_Options_Exhibits'!H2447:H2451),"")</f>
        <v/>
      </c>
      <c r="I2451" s="3">
        <f>IF(ISNUMBER(AVERAGE('20250815_ETF_Options_Exhibits'!I2447:I2451)),AVERAGE('20250815_ETF_Options_Exhibits'!I2447:I2451),"")</f>
        <v/>
      </c>
      <c r="J2451" s="3">
        <f>IF(ISNUMBER(AVERAGE('20250815_ETF_Options_Exhibits'!J2447:J2451)),AVERAGE('20250815_ETF_Options_Exhibits'!J2447:J2451),"")</f>
        <v/>
      </c>
      <c r="K2451" s="3">
        <f>IF(ISNUMBER(AVERAGE('20250815_ETF_Options_Exhibits'!K2447:K2451)),AVERAGE('20250815_ETF_Options_Exhibits'!K2447:K2451),"")</f>
        <v/>
      </c>
      <c r="L2451" s="3">
        <f>IF(ISNUMBER(AVERAGE('20250815_ETF_Options_Exhibits'!L2447:L2451)),AVERAGE('20250815_ETF_Options_Exhibits'!L2447:L2451),"")</f>
        <v/>
      </c>
      <c r="M2451" s="3">
        <f>IF(ISNUMBER(AVERAGE('20250815_ETF_Options_Exhibits'!M2447:M2451)),AVERAGE('20250815_ETF_Options_Exhibits'!M2447:M2451),"")</f>
        <v/>
      </c>
      <c r="N2451" s="3">
        <f>IF(ISNUMBER(AVERAGE('20250815_ETF_Options_Exhibits'!N2447:N2451)),AVERAGE('20250815_ETF_Options_Exhibits'!N2447:N2451),"")</f>
        <v/>
      </c>
      <c r="O2451" s="3">
        <f>IF(ISNUMBER(AVERAGE('20250815_ETF_Options_Exhibits'!O2447:O2451)),AVERAGE('20250815_ETF_Options_Exhibits'!O2447:O2451),"")</f>
        <v/>
      </c>
      <c r="P2451" s="3">
        <f>IF(ISNUMBER(AVERAGE('20250815_ETF_Options_Exhibits'!P2447:P2451)),AVERAGE('20250815_ETF_Options_Exhibits'!P2447:P2451),"")</f>
        <v/>
      </c>
      <c r="Q2451" s="3">
        <f>IF(ISNUMBER(AVERAGE('20250815_ETF_Options_Exhibits'!Q2447:Q2451)),AVERAGE('20250815_ETF_Options_Exhibits'!Q2447:Q2451),"")</f>
        <v/>
      </c>
      <c r="R2451" s="3">
        <f>IF(ISNUMBER(AVERAGE('20250815_ETF_Options_Exhibits'!R2447:R2451)),AVERAGE('20250815_ETF_Options_Exhibits'!R2447:R2451),"")</f>
        <v/>
      </c>
      <c r="S2451" s="3">
        <f>IF(ISNUMBER(AVERAGE('20250815_ETF_Options_Exhibits'!S2447:S2451)),AVERAGE('20250815_ETF_Options_Exhibits'!S2447:S2451),"")</f>
        <v/>
      </c>
      <c r="T2451" s="3">
        <f>IF(ISNUMBER(AVERAGE('20250815_ETF_Options_Exhibits'!T2447:T2451)),AVERAGE('20250815_ETF_Options_Exhibits'!T2447:T2451),"")</f>
        <v/>
      </c>
      <c r="U2451" s="3">
        <f>IF(ISNUMBER(AVERAGE('20250815_ETF_Options_Exhibits'!U2447:U2451)),AVERAGE('20250815_ETF_Options_Exhibits'!U2447:U2451),"")</f>
        <v/>
      </c>
      <c r="V2451" s="3">
        <f>IF(ISNUMBER(AVERAGE('20250815_ETF_Options_Exhibits'!V2447:V2451)),AVERAGE('20250815_ETF_Options_Exhibits'!V2447:V2451),"")</f>
        <v/>
      </c>
      <c r="W2451" s="3">
        <f>IF(ISNUMBER(AVERAGE('20250815_ETF_Options_Exhibits'!W2447:W2451)),AVERAGE('20250815_ETF_Options_Exhibits'!W2447:W2451),"")</f>
        <v/>
      </c>
      <c r="X2451" s="3">
        <f>IF(ISNUMBER(AVERAGE('20250815_ETF_Options_Exhibits'!X2447:X2451)),AVERAGE('20250815_ETF_Options_Exhibits'!X2447:X2451),"")</f>
        <v/>
      </c>
      <c r="Y2451" s="3">
        <f>IF(ISNUMBER(AVERAGE('20250815_ETF_Options_Exhibits'!Y2447:Y2451)),AVERAGE('20250815_ETF_Options_Exhibits'!Y2447:Y2451),"")</f>
        <v/>
      </c>
      <c r="Z2451" s="3">
        <f>IF(ISNUMBER(AVERAGE('20250815_ETF_Options_Exhibits'!Z2447:Z2451)),AVERAGE('20250815_ETF_Options_Exhibits'!Z2447:Z2451),"")</f>
        <v/>
      </c>
      <c r="AA2451" s="3">
        <f>IF(ISNUMBER(AVERAGE('20250815_ETF_Options_Exhibits'!AA2447:AA2451)),AVERAGE('20250815_ETF_Options_Exhibits'!AA2447:AA2451),"")</f>
        <v/>
      </c>
    </row>
    <row r="2452">
      <c r="A2452" s="1" t="n">
        <v>45561</v>
      </c>
      <c r="B2452" s="3">
        <f>IF(ISNUMBER(AVERAGE('20250815_ETF_Options_Exhibits'!B2448:B2452)),AVERAGE('20250815_ETF_Options_Exhibits'!B2448:B2452),"")</f>
        <v/>
      </c>
      <c r="C2452" s="3">
        <f>IF(ISNUMBER(AVERAGE('20250815_ETF_Options_Exhibits'!C2448:C2452)),AVERAGE('20250815_ETF_Options_Exhibits'!C2448:C2452),"")</f>
        <v/>
      </c>
      <c r="D2452" s="3">
        <f>IF(ISNUMBER(AVERAGE('20250815_ETF_Options_Exhibits'!D2448:D2452)),AVERAGE('20250815_ETF_Options_Exhibits'!D2448:D2452),"")</f>
        <v/>
      </c>
      <c r="E2452" s="3">
        <f>IF(ISNUMBER(AVERAGE('20250815_ETF_Options_Exhibits'!E2448:E2452)),AVERAGE('20250815_ETF_Options_Exhibits'!E2448:E2452),"")</f>
        <v/>
      </c>
      <c r="F2452" s="3">
        <f>IF(ISNUMBER(AVERAGE('20250815_ETF_Options_Exhibits'!F2448:F2452)),AVERAGE('20250815_ETF_Options_Exhibits'!F2448:F2452),"")</f>
        <v/>
      </c>
      <c r="G2452" s="3">
        <f>IF(ISNUMBER(AVERAGE('20250815_ETF_Options_Exhibits'!G2448:G2452)),AVERAGE('20250815_ETF_Options_Exhibits'!G2448:G2452),"")</f>
        <v/>
      </c>
      <c r="H2452" s="3">
        <f>IF(ISNUMBER(AVERAGE('20250815_ETF_Options_Exhibits'!H2448:H2452)),AVERAGE('20250815_ETF_Options_Exhibits'!H2448:H2452),"")</f>
        <v/>
      </c>
      <c r="I2452" s="3">
        <f>IF(ISNUMBER(AVERAGE('20250815_ETF_Options_Exhibits'!I2448:I2452)),AVERAGE('20250815_ETF_Options_Exhibits'!I2448:I2452),"")</f>
        <v/>
      </c>
      <c r="J2452" s="3">
        <f>IF(ISNUMBER(AVERAGE('20250815_ETF_Options_Exhibits'!J2448:J2452)),AVERAGE('20250815_ETF_Options_Exhibits'!J2448:J2452),"")</f>
        <v/>
      </c>
      <c r="K2452" s="3">
        <f>IF(ISNUMBER(AVERAGE('20250815_ETF_Options_Exhibits'!K2448:K2452)),AVERAGE('20250815_ETF_Options_Exhibits'!K2448:K2452),"")</f>
        <v/>
      </c>
      <c r="L2452" s="3">
        <f>IF(ISNUMBER(AVERAGE('20250815_ETF_Options_Exhibits'!L2448:L2452)),AVERAGE('20250815_ETF_Options_Exhibits'!L2448:L2452),"")</f>
        <v/>
      </c>
      <c r="M2452" s="3">
        <f>IF(ISNUMBER(AVERAGE('20250815_ETF_Options_Exhibits'!M2448:M2452)),AVERAGE('20250815_ETF_Options_Exhibits'!M2448:M2452),"")</f>
        <v/>
      </c>
      <c r="N2452" s="3">
        <f>IF(ISNUMBER(AVERAGE('20250815_ETF_Options_Exhibits'!N2448:N2452)),AVERAGE('20250815_ETF_Options_Exhibits'!N2448:N2452),"")</f>
        <v/>
      </c>
      <c r="O2452" s="3">
        <f>IF(ISNUMBER(AVERAGE('20250815_ETF_Options_Exhibits'!O2448:O2452)),AVERAGE('20250815_ETF_Options_Exhibits'!O2448:O2452),"")</f>
        <v/>
      </c>
      <c r="P2452" s="3">
        <f>IF(ISNUMBER(AVERAGE('20250815_ETF_Options_Exhibits'!P2448:P2452)),AVERAGE('20250815_ETF_Options_Exhibits'!P2448:P2452),"")</f>
        <v/>
      </c>
      <c r="Q2452" s="3">
        <f>IF(ISNUMBER(AVERAGE('20250815_ETF_Options_Exhibits'!Q2448:Q2452)),AVERAGE('20250815_ETF_Options_Exhibits'!Q2448:Q2452),"")</f>
        <v/>
      </c>
      <c r="R2452" s="3">
        <f>IF(ISNUMBER(AVERAGE('20250815_ETF_Options_Exhibits'!R2448:R2452)),AVERAGE('20250815_ETF_Options_Exhibits'!R2448:R2452),"")</f>
        <v/>
      </c>
      <c r="S2452" s="3">
        <f>IF(ISNUMBER(AVERAGE('20250815_ETF_Options_Exhibits'!S2448:S2452)),AVERAGE('20250815_ETF_Options_Exhibits'!S2448:S2452),"")</f>
        <v/>
      </c>
      <c r="T2452" s="3">
        <f>IF(ISNUMBER(AVERAGE('20250815_ETF_Options_Exhibits'!T2448:T2452)),AVERAGE('20250815_ETF_Options_Exhibits'!T2448:T2452),"")</f>
        <v/>
      </c>
      <c r="U2452" s="3">
        <f>IF(ISNUMBER(AVERAGE('20250815_ETF_Options_Exhibits'!U2448:U2452)),AVERAGE('20250815_ETF_Options_Exhibits'!U2448:U2452),"")</f>
        <v/>
      </c>
      <c r="V2452" s="3">
        <f>IF(ISNUMBER(AVERAGE('20250815_ETF_Options_Exhibits'!V2448:V2452)),AVERAGE('20250815_ETF_Options_Exhibits'!V2448:V2452),"")</f>
        <v/>
      </c>
      <c r="W2452" s="3">
        <f>IF(ISNUMBER(AVERAGE('20250815_ETF_Options_Exhibits'!W2448:W2452)),AVERAGE('20250815_ETF_Options_Exhibits'!W2448:W2452),"")</f>
        <v/>
      </c>
      <c r="X2452" s="3">
        <f>IF(ISNUMBER(AVERAGE('20250815_ETF_Options_Exhibits'!X2448:X2452)),AVERAGE('20250815_ETF_Options_Exhibits'!X2448:X2452),"")</f>
        <v/>
      </c>
      <c r="Y2452" s="3">
        <f>IF(ISNUMBER(AVERAGE('20250815_ETF_Options_Exhibits'!Y2448:Y2452)),AVERAGE('20250815_ETF_Options_Exhibits'!Y2448:Y2452),"")</f>
        <v/>
      </c>
      <c r="Z2452" s="3">
        <f>IF(ISNUMBER(AVERAGE('20250815_ETF_Options_Exhibits'!Z2448:Z2452)),AVERAGE('20250815_ETF_Options_Exhibits'!Z2448:Z2452),"")</f>
        <v/>
      </c>
      <c r="AA2452" s="3">
        <f>IF(ISNUMBER(AVERAGE('20250815_ETF_Options_Exhibits'!AA2448:AA2452)),AVERAGE('20250815_ETF_Options_Exhibits'!AA2448:AA2452),"")</f>
        <v/>
      </c>
    </row>
    <row r="2453">
      <c r="A2453" s="1" t="n">
        <v>45562</v>
      </c>
      <c r="B2453" s="3">
        <f>IF(ISNUMBER(AVERAGE('20250815_ETF_Options_Exhibits'!B2449:B2453)),AVERAGE('20250815_ETF_Options_Exhibits'!B2449:B2453),"")</f>
        <v/>
      </c>
      <c r="C2453" s="3">
        <f>IF(ISNUMBER(AVERAGE('20250815_ETF_Options_Exhibits'!C2449:C2453)),AVERAGE('20250815_ETF_Options_Exhibits'!C2449:C2453),"")</f>
        <v/>
      </c>
      <c r="D2453" s="3">
        <f>IF(ISNUMBER(AVERAGE('20250815_ETF_Options_Exhibits'!D2449:D2453)),AVERAGE('20250815_ETF_Options_Exhibits'!D2449:D2453),"")</f>
        <v/>
      </c>
      <c r="E2453" s="3">
        <f>IF(ISNUMBER(AVERAGE('20250815_ETF_Options_Exhibits'!E2449:E2453)),AVERAGE('20250815_ETF_Options_Exhibits'!E2449:E2453),"")</f>
        <v/>
      </c>
      <c r="F2453" s="3">
        <f>IF(ISNUMBER(AVERAGE('20250815_ETF_Options_Exhibits'!F2449:F2453)),AVERAGE('20250815_ETF_Options_Exhibits'!F2449:F2453),"")</f>
        <v/>
      </c>
      <c r="G2453" s="3">
        <f>IF(ISNUMBER(AVERAGE('20250815_ETF_Options_Exhibits'!G2449:G2453)),AVERAGE('20250815_ETF_Options_Exhibits'!G2449:G2453),"")</f>
        <v/>
      </c>
      <c r="H2453" s="3">
        <f>IF(ISNUMBER(AVERAGE('20250815_ETF_Options_Exhibits'!H2449:H2453)),AVERAGE('20250815_ETF_Options_Exhibits'!H2449:H2453),"")</f>
        <v/>
      </c>
      <c r="I2453" s="3">
        <f>IF(ISNUMBER(AVERAGE('20250815_ETF_Options_Exhibits'!I2449:I2453)),AVERAGE('20250815_ETF_Options_Exhibits'!I2449:I2453),"")</f>
        <v/>
      </c>
      <c r="J2453" s="3">
        <f>IF(ISNUMBER(AVERAGE('20250815_ETF_Options_Exhibits'!J2449:J2453)),AVERAGE('20250815_ETF_Options_Exhibits'!J2449:J2453),"")</f>
        <v/>
      </c>
      <c r="K2453" s="3">
        <f>IF(ISNUMBER(AVERAGE('20250815_ETF_Options_Exhibits'!K2449:K2453)),AVERAGE('20250815_ETF_Options_Exhibits'!K2449:K2453),"")</f>
        <v/>
      </c>
      <c r="L2453" s="3">
        <f>IF(ISNUMBER(AVERAGE('20250815_ETF_Options_Exhibits'!L2449:L2453)),AVERAGE('20250815_ETF_Options_Exhibits'!L2449:L2453),"")</f>
        <v/>
      </c>
      <c r="M2453" s="3">
        <f>IF(ISNUMBER(AVERAGE('20250815_ETF_Options_Exhibits'!M2449:M2453)),AVERAGE('20250815_ETF_Options_Exhibits'!M2449:M2453),"")</f>
        <v/>
      </c>
      <c r="N2453" s="3">
        <f>IF(ISNUMBER(AVERAGE('20250815_ETF_Options_Exhibits'!N2449:N2453)),AVERAGE('20250815_ETF_Options_Exhibits'!N2449:N2453),"")</f>
        <v/>
      </c>
      <c r="O2453" s="3">
        <f>IF(ISNUMBER(AVERAGE('20250815_ETF_Options_Exhibits'!O2449:O2453)),AVERAGE('20250815_ETF_Options_Exhibits'!O2449:O2453),"")</f>
        <v/>
      </c>
      <c r="P2453" s="3">
        <f>IF(ISNUMBER(AVERAGE('20250815_ETF_Options_Exhibits'!P2449:P2453)),AVERAGE('20250815_ETF_Options_Exhibits'!P2449:P2453),"")</f>
        <v/>
      </c>
      <c r="Q2453" s="3">
        <f>IF(ISNUMBER(AVERAGE('20250815_ETF_Options_Exhibits'!Q2449:Q2453)),AVERAGE('20250815_ETF_Options_Exhibits'!Q2449:Q2453),"")</f>
        <v/>
      </c>
      <c r="R2453" s="3">
        <f>IF(ISNUMBER(AVERAGE('20250815_ETF_Options_Exhibits'!R2449:R2453)),AVERAGE('20250815_ETF_Options_Exhibits'!R2449:R2453),"")</f>
        <v/>
      </c>
      <c r="S2453" s="3">
        <f>IF(ISNUMBER(AVERAGE('20250815_ETF_Options_Exhibits'!S2449:S2453)),AVERAGE('20250815_ETF_Options_Exhibits'!S2449:S2453),"")</f>
        <v/>
      </c>
      <c r="T2453" s="3">
        <f>IF(ISNUMBER(AVERAGE('20250815_ETF_Options_Exhibits'!T2449:T2453)),AVERAGE('20250815_ETF_Options_Exhibits'!T2449:T2453),"")</f>
        <v/>
      </c>
      <c r="U2453" s="3">
        <f>IF(ISNUMBER(AVERAGE('20250815_ETF_Options_Exhibits'!U2449:U2453)),AVERAGE('20250815_ETF_Options_Exhibits'!U2449:U2453),"")</f>
        <v/>
      </c>
      <c r="V2453" s="3">
        <f>IF(ISNUMBER(AVERAGE('20250815_ETF_Options_Exhibits'!V2449:V2453)),AVERAGE('20250815_ETF_Options_Exhibits'!V2449:V2453),"")</f>
        <v/>
      </c>
      <c r="W2453" s="3">
        <f>IF(ISNUMBER(AVERAGE('20250815_ETF_Options_Exhibits'!W2449:W2453)),AVERAGE('20250815_ETF_Options_Exhibits'!W2449:W2453),"")</f>
        <v/>
      </c>
      <c r="X2453" s="3">
        <f>IF(ISNUMBER(AVERAGE('20250815_ETF_Options_Exhibits'!X2449:X2453)),AVERAGE('20250815_ETF_Options_Exhibits'!X2449:X2453),"")</f>
        <v/>
      </c>
      <c r="Y2453" s="3">
        <f>IF(ISNUMBER(AVERAGE('20250815_ETF_Options_Exhibits'!Y2449:Y2453)),AVERAGE('20250815_ETF_Options_Exhibits'!Y2449:Y2453),"")</f>
        <v/>
      </c>
      <c r="Z2453" s="3">
        <f>IF(ISNUMBER(AVERAGE('20250815_ETF_Options_Exhibits'!Z2449:Z2453)),AVERAGE('20250815_ETF_Options_Exhibits'!Z2449:Z2453),"")</f>
        <v/>
      </c>
      <c r="AA2453" s="3">
        <f>IF(ISNUMBER(AVERAGE('20250815_ETF_Options_Exhibits'!AA2449:AA2453)),AVERAGE('20250815_ETF_Options_Exhibits'!AA2449:AA2453),"")</f>
        <v/>
      </c>
    </row>
    <row r="2454">
      <c r="A2454" s="1" t="n">
        <v>45565</v>
      </c>
      <c r="B2454" s="3">
        <f>IF(ISNUMBER(AVERAGE('20250815_ETF_Options_Exhibits'!B2450:B2454)),AVERAGE('20250815_ETF_Options_Exhibits'!B2450:B2454),"")</f>
        <v/>
      </c>
      <c r="C2454" s="3">
        <f>IF(ISNUMBER(AVERAGE('20250815_ETF_Options_Exhibits'!C2450:C2454)),AVERAGE('20250815_ETF_Options_Exhibits'!C2450:C2454),"")</f>
        <v/>
      </c>
      <c r="D2454" s="3">
        <f>IF(ISNUMBER(AVERAGE('20250815_ETF_Options_Exhibits'!D2450:D2454)),AVERAGE('20250815_ETF_Options_Exhibits'!D2450:D2454),"")</f>
        <v/>
      </c>
      <c r="E2454" s="3">
        <f>IF(ISNUMBER(AVERAGE('20250815_ETF_Options_Exhibits'!E2450:E2454)),AVERAGE('20250815_ETF_Options_Exhibits'!E2450:E2454),"")</f>
        <v/>
      </c>
      <c r="F2454" s="3">
        <f>IF(ISNUMBER(AVERAGE('20250815_ETF_Options_Exhibits'!F2450:F2454)),AVERAGE('20250815_ETF_Options_Exhibits'!F2450:F2454),"")</f>
        <v/>
      </c>
      <c r="G2454" s="3">
        <f>IF(ISNUMBER(AVERAGE('20250815_ETF_Options_Exhibits'!G2450:G2454)),AVERAGE('20250815_ETF_Options_Exhibits'!G2450:G2454),"")</f>
        <v/>
      </c>
      <c r="H2454" s="3">
        <f>IF(ISNUMBER(AVERAGE('20250815_ETF_Options_Exhibits'!H2450:H2454)),AVERAGE('20250815_ETF_Options_Exhibits'!H2450:H2454),"")</f>
        <v/>
      </c>
      <c r="I2454" s="3">
        <f>IF(ISNUMBER(AVERAGE('20250815_ETF_Options_Exhibits'!I2450:I2454)),AVERAGE('20250815_ETF_Options_Exhibits'!I2450:I2454),"")</f>
        <v/>
      </c>
      <c r="J2454" s="3">
        <f>IF(ISNUMBER(AVERAGE('20250815_ETF_Options_Exhibits'!J2450:J2454)),AVERAGE('20250815_ETF_Options_Exhibits'!J2450:J2454),"")</f>
        <v/>
      </c>
      <c r="K2454" s="3">
        <f>IF(ISNUMBER(AVERAGE('20250815_ETF_Options_Exhibits'!K2450:K2454)),AVERAGE('20250815_ETF_Options_Exhibits'!K2450:K2454),"")</f>
        <v/>
      </c>
      <c r="L2454" s="3">
        <f>IF(ISNUMBER(AVERAGE('20250815_ETF_Options_Exhibits'!L2450:L2454)),AVERAGE('20250815_ETF_Options_Exhibits'!L2450:L2454),"")</f>
        <v/>
      </c>
      <c r="M2454" s="3">
        <f>IF(ISNUMBER(AVERAGE('20250815_ETF_Options_Exhibits'!M2450:M2454)),AVERAGE('20250815_ETF_Options_Exhibits'!M2450:M2454),"")</f>
        <v/>
      </c>
      <c r="N2454" s="3">
        <f>IF(ISNUMBER(AVERAGE('20250815_ETF_Options_Exhibits'!N2450:N2454)),AVERAGE('20250815_ETF_Options_Exhibits'!N2450:N2454),"")</f>
        <v/>
      </c>
      <c r="O2454" s="3">
        <f>IF(ISNUMBER(AVERAGE('20250815_ETF_Options_Exhibits'!O2450:O2454)),AVERAGE('20250815_ETF_Options_Exhibits'!O2450:O2454),"")</f>
        <v/>
      </c>
      <c r="P2454" s="3">
        <f>IF(ISNUMBER(AVERAGE('20250815_ETF_Options_Exhibits'!P2450:P2454)),AVERAGE('20250815_ETF_Options_Exhibits'!P2450:P2454),"")</f>
        <v/>
      </c>
      <c r="Q2454" s="3">
        <f>IF(ISNUMBER(AVERAGE('20250815_ETF_Options_Exhibits'!Q2450:Q2454)),AVERAGE('20250815_ETF_Options_Exhibits'!Q2450:Q2454),"")</f>
        <v/>
      </c>
      <c r="R2454" s="3">
        <f>IF(ISNUMBER(AVERAGE('20250815_ETF_Options_Exhibits'!R2450:R2454)),AVERAGE('20250815_ETF_Options_Exhibits'!R2450:R2454),"")</f>
        <v/>
      </c>
      <c r="S2454" s="3">
        <f>IF(ISNUMBER(AVERAGE('20250815_ETF_Options_Exhibits'!S2450:S2454)),AVERAGE('20250815_ETF_Options_Exhibits'!S2450:S2454),"")</f>
        <v/>
      </c>
      <c r="T2454" s="3">
        <f>IF(ISNUMBER(AVERAGE('20250815_ETF_Options_Exhibits'!T2450:T2454)),AVERAGE('20250815_ETF_Options_Exhibits'!T2450:T2454),"")</f>
        <v/>
      </c>
      <c r="U2454" s="3">
        <f>IF(ISNUMBER(AVERAGE('20250815_ETF_Options_Exhibits'!U2450:U2454)),AVERAGE('20250815_ETF_Options_Exhibits'!U2450:U2454),"")</f>
        <v/>
      </c>
      <c r="V2454" s="3">
        <f>IF(ISNUMBER(AVERAGE('20250815_ETF_Options_Exhibits'!V2450:V2454)),AVERAGE('20250815_ETF_Options_Exhibits'!V2450:V2454),"")</f>
        <v/>
      </c>
      <c r="W2454" s="3">
        <f>IF(ISNUMBER(AVERAGE('20250815_ETF_Options_Exhibits'!W2450:W2454)),AVERAGE('20250815_ETF_Options_Exhibits'!W2450:W2454),"")</f>
        <v/>
      </c>
      <c r="X2454" s="3">
        <f>IF(ISNUMBER(AVERAGE('20250815_ETF_Options_Exhibits'!X2450:X2454)),AVERAGE('20250815_ETF_Options_Exhibits'!X2450:X2454),"")</f>
        <v/>
      </c>
      <c r="Y2454" s="3">
        <f>IF(ISNUMBER(AVERAGE('20250815_ETF_Options_Exhibits'!Y2450:Y2454)),AVERAGE('20250815_ETF_Options_Exhibits'!Y2450:Y2454),"")</f>
        <v/>
      </c>
      <c r="Z2454" s="3">
        <f>IF(ISNUMBER(AVERAGE('20250815_ETF_Options_Exhibits'!Z2450:Z2454)),AVERAGE('20250815_ETF_Options_Exhibits'!Z2450:Z2454),"")</f>
        <v/>
      </c>
      <c r="AA2454" s="3">
        <f>IF(ISNUMBER(AVERAGE('20250815_ETF_Options_Exhibits'!AA2450:AA2454)),AVERAGE('20250815_ETF_Options_Exhibits'!AA2450:AA2454),"")</f>
        <v/>
      </c>
    </row>
    <row r="2455">
      <c r="A2455" s="1" t="n">
        <v>45566</v>
      </c>
      <c r="B2455" s="3">
        <f>IF(ISNUMBER(AVERAGE('20250815_ETF_Options_Exhibits'!B2451:B2455)),AVERAGE('20250815_ETF_Options_Exhibits'!B2451:B2455),"")</f>
        <v/>
      </c>
      <c r="C2455" s="3">
        <f>IF(ISNUMBER(AVERAGE('20250815_ETF_Options_Exhibits'!C2451:C2455)),AVERAGE('20250815_ETF_Options_Exhibits'!C2451:C2455),"")</f>
        <v/>
      </c>
      <c r="D2455" s="3">
        <f>IF(ISNUMBER(AVERAGE('20250815_ETF_Options_Exhibits'!D2451:D2455)),AVERAGE('20250815_ETF_Options_Exhibits'!D2451:D2455),"")</f>
        <v/>
      </c>
      <c r="E2455" s="3">
        <f>IF(ISNUMBER(AVERAGE('20250815_ETF_Options_Exhibits'!E2451:E2455)),AVERAGE('20250815_ETF_Options_Exhibits'!E2451:E2455),"")</f>
        <v/>
      </c>
      <c r="F2455" s="3">
        <f>IF(ISNUMBER(AVERAGE('20250815_ETF_Options_Exhibits'!F2451:F2455)),AVERAGE('20250815_ETF_Options_Exhibits'!F2451:F2455),"")</f>
        <v/>
      </c>
      <c r="G2455" s="3">
        <f>IF(ISNUMBER(AVERAGE('20250815_ETF_Options_Exhibits'!G2451:G2455)),AVERAGE('20250815_ETF_Options_Exhibits'!G2451:G2455),"")</f>
        <v/>
      </c>
      <c r="H2455" s="3">
        <f>IF(ISNUMBER(AVERAGE('20250815_ETF_Options_Exhibits'!H2451:H2455)),AVERAGE('20250815_ETF_Options_Exhibits'!H2451:H2455),"")</f>
        <v/>
      </c>
      <c r="I2455" s="3">
        <f>IF(ISNUMBER(AVERAGE('20250815_ETF_Options_Exhibits'!I2451:I2455)),AVERAGE('20250815_ETF_Options_Exhibits'!I2451:I2455),"")</f>
        <v/>
      </c>
      <c r="J2455" s="3">
        <f>IF(ISNUMBER(AVERAGE('20250815_ETF_Options_Exhibits'!J2451:J2455)),AVERAGE('20250815_ETF_Options_Exhibits'!J2451:J2455),"")</f>
        <v/>
      </c>
      <c r="K2455" s="3">
        <f>IF(ISNUMBER(AVERAGE('20250815_ETF_Options_Exhibits'!K2451:K2455)),AVERAGE('20250815_ETF_Options_Exhibits'!K2451:K2455),"")</f>
        <v/>
      </c>
      <c r="L2455" s="3">
        <f>IF(ISNUMBER(AVERAGE('20250815_ETF_Options_Exhibits'!L2451:L2455)),AVERAGE('20250815_ETF_Options_Exhibits'!L2451:L2455),"")</f>
        <v/>
      </c>
      <c r="M2455" s="3">
        <f>IF(ISNUMBER(AVERAGE('20250815_ETF_Options_Exhibits'!M2451:M2455)),AVERAGE('20250815_ETF_Options_Exhibits'!M2451:M2455),"")</f>
        <v/>
      </c>
      <c r="N2455" s="3">
        <f>IF(ISNUMBER(AVERAGE('20250815_ETF_Options_Exhibits'!N2451:N2455)),AVERAGE('20250815_ETF_Options_Exhibits'!N2451:N2455),"")</f>
        <v/>
      </c>
      <c r="O2455" s="3">
        <f>IF(ISNUMBER(AVERAGE('20250815_ETF_Options_Exhibits'!O2451:O2455)),AVERAGE('20250815_ETF_Options_Exhibits'!O2451:O2455),"")</f>
        <v/>
      </c>
      <c r="P2455" s="3">
        <f>IF(ISNUMBER(AVERAGE('20250815_ETF_Options_Exhibits'!P2451:P2455)),AVERAGE('20250815_ETF_Options_Exhibits'!P2451:P2455),"")</f>
        <v/>
      </c>
      <c r="Q2455" s="3">
        <f>IF(ISNUMBER(AVERAGE('20250815_ETF_Options_Exhibits'!Q2451:Q2455)),AVERAGE('20250815_ETF_Options_Exhibits'!Q2451:Q2455),"")</f>
        <v/>
      </c>
      <c r="R2455" s="3">
        <f>IF(ISNUMBER(AVERAGE('20250815_ETF_Options_Exhibits'!R2451:R2455)),AVERAGE('20250815_ETF_Options_Exhibits'!R2451:R2455),"")</f>
        <v/>
      </c>
      <c r="S2455" s="3">
        <f>IF(ISNUMBER(AVERAGE('20250815_ETF_Options_Exhibits'!S2451:S2455)),AVERAGE('20250815_ETF_Options_Exhibits'!S2451:S2455),"")</f>
        <v/>
      </c>
      <c r="T2455" s="3">
        <f>IF(ISNUMBER(AVERAGE('20250815_ETF_Options_Exhibits'!T2451:T2455)),AVERAGE('20250815_ETF_Options_Exhibits'!T2451:T2455),"")</f>
        <v/>
      </c>
      <c r="U2455" s="3">
        <f>IF(ISNUMBER(AVERAGE('20250815_ETF_Options_Exhibits'!U2451:U2455)),AVERAGE('20250815_ETF_Options_Exhibits'!U2451:U2455),"")</f>
        <v/>
      </c>
      <c r="V2455" s="3">
        <f>IF(ISNUMBER(AVERAGE('20250815_ETF_Options_Exhibits'!V2451:V2455)),AVERAGE('20250815_ETF_Options_Exhibits'!V2451:V2455),"")</f>
        <v/>
      </c>
      <c r="W2455" s="3">
        <f>IF(ISNUMBER(AVERAGE('20250815_ETF_Options_Exhibits'!W2451:W2455)),AVERAGE('20250815_ETF_Options_Exhibits'!W2451:W2455),"")</f>
        <v/>
      </c>
      <c r="X2455" s="3">
        <f>IF(ISNUMBER(AVERAGE('20250815_ETF_Options_Exhibits'!X2451:X2455)),AVERAGE('20250815_ETF_Options_Exhibits'!X2451:X2455),"")</f>
        <v/>
      </c>
      <c r="Y2455" s="3">
        <f>IF(ISNUMBER(AVERAGE('20250815_ETF_Options_Exhibits'!Y2451:Y2455)),AVERAGE('20250815_ETF_Options_Exhibits'!Y2451:Y2455),"")</f>
        <v/>
      </c>
      <c r="Z2455" s="3">
        <f>IF(ISNUMBER(AVERAGE('20250815_ETF_Options_Exhibits'!Z2451:Z2455)),AVERAGE('20250815_ETF_Options_Exhibits'!Z2451:Z2455),"")</f>
        <v/>
      </c>
      <c r="AA2455" s="3">
        <f>IF(ISNUMBER(AVERAGE('20250815_ETF_Options_Exhibits'!AA2451:AA2455)),AVERAGE('20250815_ETF_Options_Exhibits'!AA2451:AA2455),"")</f>
        <v/>
      </c>
    </row>
    <row r="2456">
      <c r="A2456" s="1" t="n">
        <v>45567</v>
      </c>
      <c r="B2456" s="3">
        <f>IF(ISNUMBER(AVERAGE('20250815_ETF_Options_Exhibits'!B2452:B2456)),AVERAGE('20250815_ETF_Options_Exhibits'!B2452:B2456),"")</f>
        <v/>
      </c>
      <c r="C2456" s="3">
        <f>IF(ISNUMBER(AVERAGE('20250815_ETF_Options_Exhibits'!C2452:C2456)),AVERAGE('20250815_ETF_Options_Exhibits'!C2452:C2456),"")</f>
        <v/>
      </c>
      <c r="D2456" s="3">
        <f>IF(ISNUMBER(AVERAGE('20250815_ETF_Options_Exhibits'!D2452:D2456)),AVERAGE('20250815_ETF_Options_Exhibits'!D2452:D2456),"")</f>
        <v/>
      </c>
      <c r="E2456" s="3">
        <f>IF(ISNUMBER(AVERAGE('20250815_ETF_Options_Exhibits'!E2452:E2456)),AVERAGE('20250815_ETF_Options_Exhibits'!E2452:E2456),"")</f>
        <v/>
      </c>
      <c r="F2456" s="3">
        <f>IF(ISNUMBER(AVERAGE('20250815_ETF_Options_Exhibits'!F2452:F2456)),AVERAGE('20250815_ETF_Options_Exhibits'!F2452:F2456),"")</f>
        <v/>
      </c>
      <c r="G2456" s="3">
        <f>IF(ISNUMBER(AVERAGE('20250815_ETF_Options_Exhibits'!G2452:G2456)),AVERAGE('20250815_ETF_Options_Exhibits'!G2452:G2456),"")</f>
        <v/>
      </c>
      <c r="H2456" s="3">
        <f>IF(ISNUMBER(AVERAGE('20250815_ETF_Options_Exhibits'!H2452:H2456)),AVERAGE('20250815_ETF_Options_Exhibits'!H2452:H2456),"")</f>
        <v/>
      </c>
      <c r="I2456" s="3">
        <f>IF(ISNUMBER(AVERAGE('20250815_ETF_Options_Exhibits'!I2452:I2456)),AVERAGE('20250815_ETF_Options_Exhibits'!I2452:I2456),"")</f>
        <v/>
      </c>
      <c r="J2456" s="3">
        <f>IF(ISNUMBER(AVERAGE('20250815_ETF_Options_Exhibits'!J2452:J2456)),AVERAGE('20250815_ETF_Options_Exhibits'!J2452:J2456),"")</f>
        <v/>
      </c>
      <c r="K2456" s="3">
        <f>IF(ISNUMBER(AVERAGE('20250815_ETF_Options_Exhibits'!K2452:K2456)),AVERAGE('20250815_ETF_Options_Exhibits'!K2452:K2456),"")</f>
        <v/>
      </c>
      <c r="L2456" s="3">
        <f>IF(ISNUMBER(AVERAGE('20250815_ETF_Options_Exhibits'!L2452:L2456)),AVERAGE('20250815_ETF_Options_Exhibits'!L2452:L2456),"")</f>
        <v/>
      </c>
      <c r="M2456" s="3">
        <f>IF(ISNUMBER(AVERAGE('20250815_ETF_Options_Exhibits'!M2452:M2456)),AVERAGE('20250815_ETF_Options_Exhibits'!M2452:M2456),"")</f>
        <v/>
      </c>
      <c r="N2456" s="3">
        <f>IF(ISNUMBER(AVERAGE('20250815_ETF_Options_Exhibits'!N2452:N2456)),AVERAGE('20250815_ETF_Options_Exhibits'!N2452:N2456),"")</f>
        <v/>
      </c>
      <c r="O2456" s="3">
        <f>IF(ISNUMBER(AVERAGE('20250815_ETF_Options_Exhibits'!O2452:O2456)),AVERAGE('20250815_ETF_Options_Exhibits'!O2452:O2456),"")</f>
        <v/>
      </c>
      <c r="P2456" s="3">
        <f>IF(ISNUMBER(AVERAGE('20250815_ETF_Options_Exhibits'!P2452:P2456)),AVERAGE('20250815_ETF_Options_Exhibits'!P2452:P2456),"")</f>
        <v/>
      </c>
      <c r="Q2456" s="3">
        <f>IF(ISNUMBER(AVERAGE('20250815_ETF_Options_Exhibits'!Q2452:Q2456)),AVERAGE('20250815_ETF_Options_Exhibits'!Q2452:Q2456),"")</f>
        <v/>
      </c>
      <c r="R2456" s="3">
        <f>IF(ISNUMBER(AVERAGE('20250815_ETF_Options_Exhibits'!R2452:R2456)),AVERAGE('20250815_ETF_Options_Exhibits'!R2452:R2456),"")</f>
        <v/>
      </c>
      <c r="S2456" s="3">
        <f>IF(ISNUMBER(AVERAGE('20250815_ETF_Options_Exhibits'!S2452:S2456)),AVERAGE('20250815_ETF_Options_Exhibits'!S2452:S2456),"")</f>
        <v/>
      </c>
      <c r="T2456" s="3">
        <f>IF(ISNUMBER(AVERAGE('20250815_ETF_Options_Exhibits'!T2452:T2456)),AVERAGE('20250815_ETF_Options_Exhibits'!T2452:T2456),"")</f>
        <v/>
      </c>
      <c r="U2456" s="3">
        <f>IF(ISNUMBER(AVERAGE('20250815_ETF_Options_Exhibits'!U2452:U2456)),AVERAGE('20250815_ETF_Options_Exhibits'!U2452:U2456),"")</f>
        <v/>
      </c>
      <c r="V2456" s="3">
        <f>IF(ISNUMBER(AVERAGE('20250815_ETF_Options_Exhibits'!V2452:V2456)),AVERAGE('20250815_ETF_Options_Exhibits'!V2452:V2456),"")</f>
        <v/>
      </c>
      <c r="W2456" s="3">
        <f>IF(ISNUMBER(AVERAGE('20250815_ETF_Options_Exhibits'!W2452:W2456)),AVERAGE('20250815_ETF_Options_Exhibits'!W2452:W2456),"")</f>
        <v/>
      </c>
      <c r="X2456" s="3">
        <f>IF(ISNUMBER(AVERAGE('20250815_ETF_Options_Exhibits'!X2452:X2456)),AVERAGE('20250815_ETF_Options_Exhibits'!X2452:X2456),"")</f>
        <v/>
      </c>
      <c r="Y2456" s="3">
        <f>IF(ISNUMBER(AVERAGE('20250815_ETF_Options_Exhibits'!Y2452:Y2456)),AVERAGE('20250815_ETF_Options_Exhibits'!Y2452:Y2456),"")</f>
        <v/>
      </c>
      <c r="Z2456" s="3">
        <f>IF(ISNUMBER(AVERAGE('20250815_ETF_Options_Exhibits'!Z2452:Z2456)),AVERAGE('20250815_ETF_Options_Exhibits'!Z2452:Z2456),"")</f>
        <v/>
      </c>
      <c r="AA2456" s="3">
        <f>IF(ISNUMBER(AVERAGE('20250815_ETF_Options_Exhibits'!AA2452:AA2456)),AVERAGE('20250815_ETF_Options_Exhibits'!AA2452:AA2456),"")</f>
        <v/>
      </c>
    </row>
    <row r="2457">
      <c r="A2457" s="1" t="n">
        <v>45568</v>
      </c>
      <c r="B2457" s="3">
        <f>IF(ISNUMBER(AVERAGE('20250815_ETF_Options_Exhibits'!B2453:B2457)),AVERAGE('20250815_ETF_Options_Exhibits'!B2453:B2457),"")</f>
        <v/>
      </c>
      <c r="C2457" s="3">
        <f>IF(ISNUMBER(AVERAGE('20250815_ETF_Options_Exhibits'!C2453:C2457)),AVERAGE('20250815_ETF_Options_Exhibits'!C2453:C2457),"")</f>
        <v/>
      </c>
      <c r="D2457" s="3">
        <f>IF(ISNUMBER(AVERAGE('20250815_ETF_Options_Exhibits'!D2453:D2457)),AVERAGE('20250815_ETF_Options_Exhibits'!D2453:D2457),"")</f>
        <v/>
      </c>
      <c r="E2457" s="3">
        <f>IF(ISNUMBER(AVERAGE('20250815_ETF_Options_Exhibits'!E2453:E2457)),AVERAGE('20250815_ETF_Options_Exhibits'!E2453:E2457),"")</f>
        <v/>
      </c>
      <c r="F2457" s="3">
        <f>IF(ISNUMBER(AVERAGE('20250815_ETF_Options_Exhibits'!F2453:F2457)),AVERAGE('20250815_ETF_Options_Exhibits'!F2453:F2457),"")</f>
        <v/>
      </c>
      <c r="G2457" s="3">
        <f>IF(ISNUMBER(AVERAGE('20250815_ETF_Options_Exhibits'!G2453:G2457)),AVERAGE('20250815_ETF_Options_Exhibits'!G2453:G2457),"")</f>
        <v/>
      </c>
      <c r="H2457" s="3">
        <f>IF(ISNUMBER(AVERAGE('20250815_ETF_Options_Exhibits'!H2453:H2457)),AVERAGE('20250815_ETF_Options_Exhibits'!H2453:H2457),"")</f>
        <v/>
      </c>
      <c r="I2457" s="3">
        <f>IF(ISNUMBER(AVERAGE('20250815_ETF_Options_Exhibits'!I2453:I2457)),AVERAGE('20250815_ETF_Options_Exhibits'!I2453:I2457),"")</f>
        <v/>
      </c>
      <c r="J2457" s="3">
        <f>IF(ISNUMBER(AVERAGE('20250815_ETF_Options_Exhibits'!J2453:J2457)),AVERAGE('20250815_ETF_Options_Exhibits'!J2453:J2457),"")</f>
        <v/>
      </c>
      <c r="K2457" s="3">
        <f>IF(ISNUMBER(AVERAGE('20250815_ETF_Options_Exhibits'!K2453:K2457)),AVERAGE('20250815_ETF_Options_Exhibits'!K2453:K2457),"")</f>
        <v/>
      </c>
      <c r="L2457" s="3">
        <f>IF(ISNUMBER(AVERAGE('20250815_ETF_Options_Exhibits'!L2453:L2457)),AVERAGE('20250815_ETF_Options_Exhibits'!L2453:L2457),"")</f>
        <v/>
      </c>
      <c r="M2457" s="3">
        <f>IF(ISNUMBER(AVERAGE('20250815_ETF_Options_Exhibits'!M2453:M2457)),AVERAGE('20250815_ETF_Options_Exhibits'!M2453:M2457),"")</f>
        <v/>
      </c>
      <c r="N2457" s="3">
        <f>IF(ISNUMBER(AVERAGE('20250815_ETF_Options_Exhibits'!N2453:N2457)),AVERAGE('20250815_ETF_Options_Exhibits'!N2453:N2457),"")</f>
        <v/>
      </c>
      <c r="O2457" s="3">
        <f>IF(ISNUMBER(AVERAGE('20250815_ETF_Options_Exhibits'!O2453:O2457)),AVERAGE('20250815_ETF_Options_Exhibits'!O2453:O2457),"")</f>
        <v/>
      </c>
      <c r="P2457" s="3">
        <f>IF(ISNUMBER(AVERAGE('20250815_ETF_Options_Exhibits'!P2453:P2457)),AVERAGE('20250815_ETF_Options_Exhibits'!P2453:P2457),"")</f>
        <v/>
      </c>
      <c r="Q2457" s="3">
        <f>IF(ISNUMBER(AVERAGE('20250815_ETF_Options_Exhibits'!Q2453:Q2457)),AVERAGE('20250815_ETF_Options_Exhibits'!Q2453:Q2457),"")</f>
        <v/>
      </c>
      <c r="R2457" s="3">
        <f>IF(ISNUMBER(AVERAGE('20250815_ETF_Options_Exhibits'!R2453:R2457)),AVERAGE('20250815_ETF_Options_Exhibits'!R2453:R2457),"")</f>
        <v/>
      </c>
      <c r="S2457" s="3">
        <f>IF(ISNUMBER(AVERAGE('20250815_ETF_Options_Exhibits'!S2453:S2457)),AVERAGE('20250815_ETF_Options_Exhibits'!S2453:S2457),"")</f>
        <v/>
      </c>
      <c r="T2457" s="3">
        <f>IF(ISNUMBER(AVERAGE('20250815_ETF_Options_Exhibits'!T2453:T2457)),AVERAGE('20250815_ETF_Options_Exhibits'!T2453:T2457),"")</f>
        <v/>
      </c>
      <c r="U2457" s="3">
        <f>IF(ISNUMBER(AVERAGE('20250815_ETF_Options_Exhibits'!U2453:U2457)),AVERAGE('20250815_ETF_Options_Exhibits'!U2453:U2457),"")</f>
        <v/>
      </c>
      <c r="V2457" s="3">
        <f>IF(ISNUMBER(AVERAGE('20250815_ETF_Options_Exhibits'!V2453:V2457)),AVERAGE('20250815_ETF_Options_Exhibits'!V2453:V2457),"")</f>
        <v/>
      </c>
      <c r="W2457" s="3">
        <f>IF(ISNUMBER(AVERAGE('20250815_ETF_Options_Exhibits'!W2453:W2457)),AVERAGE('20250815_ETF_Options_Exhibits'!W2453:W2457),"")</f>
        <v/>
      </c>
      <c r="X2457" s="3">
        <f>IF(ISNUMBER(AVERAGE('20250815_ETF_Options_Exhibits'!X2453:X2457)),AVERAGE('20250815_ETF_Options_Exhibits'!X2453:X2457),"")</f>
        <v/>
      </c>
      <c r="Y2457" s="3">
        <f>IF(ISNUMBER(AVERAGE('20250815_ETF_Options_Exhibits'!Y2453:Y2457)),AVERAGE('20250815_ETF_Options_Exhibits'!Y2453:Y2457),"")</f>
        <v/>
      </c>
      <c r="Z2457" s="3">
        <f>IF(ISNUMBER(AVERAGE('20250815_ETF_Options_Exhibits'!Z2453:Z2457)),AVERAGE('20250815_ETF_Options_Exhibits'!Z2453:Z2457),"")</f>
        <v/>
      </c>
      <c r="AA2457" s="3">
        <f>IF(ISNUMBER(AVERAGE('20250815_ETF_Options_Exhibits'!AA2453:AA2457)),AVERAGE('20250815_ETF_Options_Exhibits'!AA2453:AA2457),"")</f>
        <v/>
      </c>
    </row>
    <row r="2458">
      <c r="A2458" s="1" t="n">
        <v>45569</v>
      </c>
      <c r="B2458" s="3">
        <f>IF(ISNUMBER(AVERAGE('20250815_ETF_Options_Exhibits'!B2454:B2458)),AVERAGE('20250815_ETF_Options_Exhibits'!B2454:B2458),"")</f>
        <v/>
      </c>
      <c r="C2458" s="3">
        <f>IF(ISNUMBER(AVERAGE('20250815_ETF_Options_Exhibits'!C2454:C2458)),AVERAGE('20250815_ETF_Options_Exhibits'!C2454:C2458),"")</f>
        <v/>
      </c>
      <c r="D2458" s="3">
        <f>IF(ISNUMBER(AVERAGE('20250815_ETF_Options_Exhibits'!D2454:D2458)),AVERAGE('20250815_ETF_Options_Exhibits'!D2454:D2458),"")</f>
        <v/>
      </c>
      <c r="E2458" s="3">
        <f>IF(ISNUMBER(AVERAGE('20250815_ETF_Options_Exhibits'!E2454:E2458)),AVERAGE('20250815_ETF_Options_Exhibits'!E2454:E2458),"")</f>
        <v/>
      </c>
      <c r="F2458" s="3">
        <f>IF(ISNUMBER(AVERAGE('20250815_ETF_Options_Exhibits'!F2454:F2458)),AVERAGE('20250815_ETF_Options_Exhibits'!F2454:F2458),"")</f>
        <v/>
      </c>
      <c r="G2458" s="3">
        <f>IF(ISNUMBER(AVERAGE('20250815_ETF_Options_Exhibits'!G2454:G2458)),AVERAGE('20250815_ETF_Options_Exhibits'!G2454:G2458),"")</f>
        <v/>
      </c>
      <c r="H2458" s="3">
        <f>IF(ISNUMBER(AVERAGE('20250815_ETF_Options_Exhibits'!H2454:H2458)),AVERAGE('20250815_ETF_Options_Exhibits'!H2454:H2458),"")</f>
        <v/>
      </c>
      <c r="I2458" s="3">
        <f>IF(ISNUMBER(AVERAGE('20250815_ETF_Options_Exhibits'!I2454:I2458)),AVERAGE('20250815_ETF_Options_Exhibits'!I2454:I2458),"")</f>
        <v/>
      </c>
      <c r="J2458" s="3">
        <f>IF(ISNUMBER(AVERAGE('20250815_ETF_Options_Exhibits'!J2454:J2458)),AVERAGE('20250815_ETF_Options_Exhibits'!J2454:J2458),"")</f>
        <v/>
      </c>
      <c r="K2458" s="3">
        <f>IF(ISNUMBER(AVERAGE('20250815_ETF_Options_Exhibits'!K2454:K2458)),AVERAGE('20250815_ETF_Options_Exhibits'!K2454:K2458),"")</f>
        <v/>
      </c>
      <c r="L2458" s="3">
        <f>IF(ISNUMBER(AVERAGE('20250815_ETF_Options_Exhibits'!L2454:L2458)),AVERAGE('20250815_ETF_Options_Exhibits'!L2454:L2458),"")</f>
        <v/>
      </c>
      <c r="M2458" s="3">
        <f>IF(ISNUMBER(AVERAGE('20250815_ETF_Options_Exhibits'!M2454:M2458)),AVERAGE('20250815_ETF_Options_Exhibits'!M2454:M2458),"")</f>
        <v/>
      </c>
      <c r="N2458" s="3">
        <f>IF(ISNUMBER(AVERAGE('20250815_ETF_Options_Exhibits'!N2454:N2458)),AVERAGE('20250815_ETF_Options_Exhibits'!N2454:N2458),"")</f>
        <v/>
      </c>
      <c r="O2458" s="3">
        <f>IF(ISNUMBER(AVERAGE('20250815_ETF_Options_Exhibits'!O2454:O2458)),AVERAGE('20250815_ETF_Options_Exhibits'!O2454:O2458),"")</f>
        <v/>
      </c>
      <c r="P2458" s="3">
        <f>IF(ISNUMBER(AVERAGE('20250815_ETF_Options_Exhibits'!P2454:P2458)),AVERAGE('20250815_ETF_Options_Exhibits'!P2454:P2458),"")</f>
        <v/>
      </c>
      <c r="Q2458" s="3">
        <f>IF(ISNUMBER(AVERAGE('20250815_ETF_Options_Exhibits'!Q2454:Q2458)),AVERAGE('20250815_ETF_Options_Exhibits'!Q2454:Q2458),"")</f>
        <v/>
      </c>
      <c r="R2458" s="3">
        <f>IF(ISNUMBER(AVERAGE('20250815_ETF_Options_Exhibits'!R2454:R2458)),AVERAGE('20250815_ETF_Options_Exhibits'!R2454:R2458),"")</f>
        <v/>
      </c>
      <c r="S2458" s="3">
        <f>IF(ISNUMBER(AVERAGE('20250815_ETF_Options_Exhibits'!S2454:S2458)),AVERAGE('20250815_ETF_Options_Exhibits'!S2454:S2458),"")</f>
        <v/>
      </c>
      <c r="T2458" s="3">
        <f>IF(ISNUMBER(AVERAGE('20250815_ETF_Options_Exhibits'!T2454:T2458)),AVERAGE('20250815_ETF_Options_Exhibits'!T2454:T2458),"")</f>
        <v/>
      </c>
      <c r="U2458" s="3">
        <f>IF(ISNUMBER(AVERAGE('20250815_ETF_Options_Exhibits'!U2454:U2458)),AVERAGE('20250815_ETF_Options_Exhibits'!U2454:U2458),"")</f>
        <v/>
      </c>
      <c r="V2458" s="3">
        <f>IF(ISNUMBER(AVERAGE('20250815_ETF_Options_Exhibits'!V2454:V2458)),AVERAGE('20250815_ETF_Options_Exhibits'!V2454:V2458),"")</f>
        <v/>
      </c>
      <c r="W2458" s="3">
        <f>IF(ISNUMBER(AVERAGE('20250815_ETF_Options_Exhibits'!W2454:W2458)),AVERAGE('20250815_ETF_Options_Exhibits'!W2454:W2458),"")</f>
        <v/>
      </c>
      <c r="X2458" s="3">
        <f>IF(ISNUMBER(AVERAGE('20250815_ETF_Options_Exhibits'!X2454:X2458)),AVERAGE('20250815_ETF_Options_Exhibits'!X2454:X2458),"")</f>
        <v/>
      </c>
      <c r="Y2458" s="3">
        <f>IF(ISNUMBER(AVERAGE('20250815_ETF_Options_Exhibits'!Y2454:Y2458)),AVERAGE('20250815_ETF_Options_Exhibits'!Y2454:Y2458),"")</f>
        <v/>
      </c>
      <c r="Z2458" s="3">
        <f>IF(ISNUMBER(AVERAGE('20250815_ETF_Options_Exhibits'!Z2454:Z2458)),AVERAGE('20250815_ETF_Options_Exhibits'!Z2454:Z2458),"")</f>
        <v/>
      </c>
      <c r="AA2458" s="3">
        <f>IF(ISNUMBER(AVERAGE('20250815_ETF_Options_Exhibits'!AA2454:AA2458)),AVERAGE('20250815_ETF_Options_Exhibits'!AA2454:AA2458),"")</f>
        <v/>
      </c>
    </row>
    <row r="2459">
      <c r="A2459" s="1" t="n">
        <v>45572</v>
      </c>
      <c r="B2459" s="3">
        <f>IF(ISNUMBER(AVERAGE('20250815_ETF_Options_Exhibits'!B2455:B2459)),AVERAGE('20250815_ETF_Options_Exhibits'!B2455:B2459),"")</f>
        <v/>
      </c>
      <c r="C2459" s="3">
        <f>IF(ISNUMBER(AVERAGE('20250815_ETF_Options_Exhibits'!C2455:C2459)),AVERAGE('20250815_ETF_Options_Exhibits'!C2455:C2459),"")</f>
        <v/>
      </c>
      <c r="D2459" s="3">
        <f>IF(ISNUMBER(AVERAGE('20250815_ETF_Options_Exhibits'!D2455:D2459)),AVERAGE('20250815_ETF_Options_Exhibits'!D2455:D2459),"")</f>
        <v/>
      </c>
      <c r="E2459" s="3">
        <f>IF(ISNUMBER(AVERAGE('20250815_ETF_Options_Exhibits'!E2455:E2459)),AVERAGE('20250815_ETF_Options_Exhibits'!E2455:E2459),"")</f>
        <v/>
      </c>
      <c r="F2459" s="3">
        <f>IF(ISNUMBER(AVERAGE('20250815_ETF_Options_Exhibits'!F2455:F2459)),AVERAGE('20250815_ETF_Options_Exhibits'!F2455:F2459),"")</f>
        <v/>
      </c>
      <c r="G2459" s="3">
        <f>IF(ISNUMBER(AVERAGE('20250815_ETF_Options_Exhibits'!G2455:G2459)),AVERAGE('20250815_ETF_Options_Exhibits'!G2455:G2459),"")</f>
        <v/>
      </c>
      <c r="H2459" s="3">
        <f>IF(ISNUMBER(AVERAGE('20250815_ETF_Options_Exhibits'!H2455:H2459)),AVERAGE('20250815_ETF_Options_Exhibits'!H2455:H2459),"")</f>
        <v/>
      </c>
      <c r="I2459" s="3">
        <f>IF(ISNUMBER(AVERAGE('20250815_ETF_Options_Exhibits'!I2455:I2459)),AVERAGE('20250815_ETF_Options_Exhibits'!I2455:I2459),"")</f>
        <v/>
      </c>
      <c r="J2459" s="3">
        <f>IF(ISNUMBER(AVERAGE('20250815_ETF_Options_Exhibits'!J2455:J2459)),AVERAGE('20250815_ETF_Options_Exhibits'!J2455:J2459),"")</f>
        <v/>
      </c>
      <c r="K2459" s="3">
        <f>IF(ISNUMBER(AVERAGE('20250815_ETF_Options_Exhibits'!K2455:K2459)),AVERAGE('20250815_ETF_Options_Exhibits'!K2455:K2459),"")</f>
        <v/>
      </c>
      <c r="L2459" s="3">
        <f>IF(ISNUMBER(AVERAGE('20250815_ETF_Options_Exhibits'!L2455:L2459)),AVERAGE('20250815_ETF_Options_Exhibits'!L2455:L2459),"")</f>
        <v/>
      </c>
      <c r="M2459" s="3">
        <f>IF(ISNUMBER(AVERAGE('20250815_ETF_Options_Exhibits'!M2455:M2459)),AVERAGE('20250815_ETF_Options_Exhibits'!M2455:M2459),"")</f>
        <v/>
      </c>
      <c r="N2459" s="3">
        <f>IF(ISNUMBER(AVERAGE('20250815_ETF_Options_Exhibits'!N2455:N2459)),AVERAGE('20250815_ETF_Options_Exhibits'!N2455:N2459),"")</f>
        <v/>
      </c>
      <c r="O2459" s="3">
        <f>IF(ISNUMBER(AVERAGE('20250815_ETF_Options_Exhibits'!O2455:O2459)),AVERAGE('20250815_ETF_Options_Exhibits'!O2455:O2459),"")</f>
        <v/>
      </c>
      <c r="P2459" s="3">
        <f>IF(ISNUMBER(AVERAGE('20250815_ETF_Options_Exhibits'!P2455:P2459)),AVERAGE('20250815_ETF_Options_Exhibits'!P2455:P2459),"")</f>
        <v/>
      </c>
      <c r="Q2459" s="3">
        <f>IF(ISNUMBER(AVERAGE('20250815_ETF_Options_Exhibits'!Q2455:Q2459)),AVERAGE('20250815_ETF_Options_Exhibits'!Q2455:Q2459),"")</f>
        <v/>
      </c>
      <c r="R2459" s="3">
        <f>IF(ISNUMBER(AVERAGE('20250815_ETF_Options_Exhibits'!R2455:R2459)),AVERAGE('20250815_ETF_Options_Exhibits'!R2455:R2459),"")</f>
        <v/>
      </c>
      <c r="S2459" s="3">
        <f>IF(ISNUMBER(AVERAGE('20250815_ETF_Options_Exhibits'!S2455:S2459)),AVERAGE('20250815_ETF_Options_Exhibits'!S2455:S2459),"")</f>
        <v/>
      </c>
      <c r="T2459" s="3">
        <f>IF(ISNUMBER(AVERAGE('20250815_ETF_Options_Exhibits'!T2455:T2459)),AVERAGE('20250815_ETF_Options_Exhibits'!T2455:T2459),"")</f>
        <v/>
      </c>
      <c r="U2459" s="3">
        <f>IF(ISNUMBER(AVERAGE('20250815_ETF_Options_Exhibits'!U2455:U2459)),AVERAGE('20250815_ETF_Options_Exhibits'!U2455:U2459),"")</f>
        <v/>
      </c>
      <c r="V2459" s="3">
        <f>IF(ISNUMBER(AVERAGE('20250815_ETF_Options_Exhibits'!V2455:V2459)),AVERAGE('20250815_ETF_Options_Exhibits'!V2455:V2459),"")</f>
        <v/>
      </c>
      <c r="W2459" s="3">
        <f>IF(ISNUMBER(AVERAGE('20250815_ETF_Options_Exhibits'!W2455:W2459)),AVERAGE('20250815_ETF_Options_Exhibits'!W2455:W2459),"")</f>
        <v/>
      </c>
      <c r="X2459" s="3">
        <f>IF(ISNUMBER(AVERAGE('20250815_ETF_Options_Exhibits'!X2455:X2459)),AVERAGE('20250815_ETF_Options_Exhibits'!X2455:X2459),"")</f>
        <v/>
      </c>
      <c r="Y2459" s="3">
        <f>IF(ISNUMBER(AVERAGE('20250815_ETF_Options_Exhibits'!Y2455:Y2459)),AVERAGE('20250815_ETF_Options_Exhibits'!Y2455:Y2459),"")</f>
        <v/>
      </c>
      <c r="Z2459" s="3">
        <f>IF(ISNUMBER(AVERAGE('20250815_ETF_Options_Exhibits'!Z2455:Z2459)),AVERAGE('20250815_ETF_Options_Exhibits'!Z2455:Z2459),"")</f>
        <v/>
      </c>
      <c r="AA2459" s="3">
        <f>IF(ISNUMBER(AVERAGE('20250815_ETF_Options_Exhibits'!AA2455:AA2459)),AVERAGE('20250815_ETF_Options_Exhibits'!AA2455:AA2459),"")</f>
        <v/>
      </c>
    </row>
    <row r="2460">
      <c r="A2460" s="1" t="n">
        <v>45573</v>
      </c>
      <c r="B2460" s="3">
        <f>IF(ISNUMBER(AVERAGE('20250815_ETF_Options_Exhibits'!B2456:B2460)),AVERAGE('20250815_ETF_Options_Exhibits'!B2456:B2460),"")</f>
        <v/>
      </c>
      <c r="C2460" s="3">
        <f>IF(ISNUMBER(AVERAGE('20250815_ETF_Options_Exhibits'!C2456:C2460)),AVERAGE('20250815_ETF_Options_Exhibits'!C2456:C2460),"")</f>
        <v/>
      </c>
      <c r="D2460" s="3">
        <f>IF(ISNUMBER(AVERAGE('20250815_ETF_Options_Exhibits'!D2456:D2460)),AVERAGE('20250815_ETF_Options_Exhibits'!D2456:D2460),"")</f>
        <v/>
      </c>
      <c r="E2460" s="3">
        <f>IF(ISNUMBER(AVERAGE('20250815_ETF_Options_Exhibits'!E2456:E2460)),AVERAGE('20250815_ETF_Options_Exhibits'!E2456:E2460),"")</f>
        <v/>
      </c>
      <c r="F2460" s="3">
        <f>IF(ISNUMBER(AVERAGE('20250815_ETF_Options_Exhibits'!F2456:F2460)),AVERAGE('20250815_ETF_Options_Exhibits'!F2456:F2460),"")</f>
        <v/>
      </c>
      <c r="G2460" s="3">
        <f>IF(ISNUMBER(AVERAGE('20250815_ETF_Options_Exhibits'!G2456:G2460)),AVERAGE('20250815_ETF_Options_Exhibits'!G2456:G2460),"")</f>
        <v/>
      </c>
      <c r="H2460" s="3">
        <f>IF(ISNUMBER(AVERAGE('20250815_ETF_Options_Exhibits'!H2456:H2460)),AVERAGE('20250815_ETF_Options_Exhibits'!H2456:H2460),"")</f>
        <v/>
      </c>
      <c r="I2460" s="3">
        <f>IF(ISNUMBER(AVERAGE('20250815_ETF_Options_Exhibits'!I2456:I2460)),AVERAGE('20250815_ETF_Options_Exhibits'!I2456:I2460),"")</f>
        <v/>
      </c>
      <c r="J2460" s="3">
        <f>IF(ISNUMBER(AVERAGE('20250815_ETF_Options_Exhibits'!J2456:J2460)),AVERAGE('20250815_ETF_Options_Exhibits'!J2456:J2460),"")</f>
        <v/>
      </c>
      <c r="K2460" s="3">
        <f>IF(ISNUMBER(AVERAGE('20250815_ETF_Options_Exhibits'!K2456:K2460)),AVERAGE('20250815_ETF_Options_Exhibits'!K2456:K2460),"")</f>
        <v/>
      </c>
      <c r="L2460" s="3">
        <f>IF(ISNUMBER(AVERAGE('20250815_ETF_Options_Exhibits'!L2456:L2460)),AVERAGE('20250815_ETF_Options_Exhibits'!L2456:L2460),"")</f>
        <v/>
      </c>
      <c r="M2460" s="3">
        <f>IF(ISNUMBER(AVERAGE('20250815_ETF_Options_Exhibits'!M2456:M2460)),AVERAGE('20250815_ETF_Options_Exhibits'!M2456:M2460),"")</f>
        <v/>
      </c>
      <c r="N2460" s="3">
        <f>IF(ISNUMBER(AVERAGE('20250815_ETF_Options_Exhibits'!N2456:N2460)),AVERAGE('20250815_ETF_Options_Exhibits'!N2456:N2460),"")</f>
        <v/>
      </c>
      <c r="O2460" s="3">
        <f>IF(ISNUMBER(AVERAGE('20250815_ETF_Options_Exhibits'!O2456:O2460)),AVERAGE('20250815_ETF_Options_Exhibits'!O2456:O2460),"")</f>
        <v/>
      </c>
      <c r="P2460" s="3">
        <f>IF(ISNUMBER(AVERAGE('20250815_ETF_Options_Exhibits'!P2456:P2460)),AVERAGE('20250815_ETF_Options_Exhibits'!P2456:P2460),"")</f>
        <v/>
      </c>
      <c r="Q2460" s="3">
        <f>IF(ISNUMBER(AVERAGE('20250815_ETF_Options_Exhibits'!Q2456:Q2460)),AVERAGE('20250815_ETF_Options_Exhibits'!Q2456:Q2460),"")</f>
        <v/>
      </c>
      <c r="R2460" s="3">
        <f>IF(ISNUMBER(AVERAGE('20250815_ETF_Options_Exhibits'!R2456:R2460)),AVERAGE('20250815_ETF_Options_Exhibits'!R2456:R2460),"")</f>
        <v/>
      </c>
      <c r="S2460" s="3">
        <f>IF(ISNUMBER(AVERAGE('20250815_ETF_Options_Exhibits'!S2456:S2460)),AVERAGE('20250815_ETF_Options_Exhibits'!S2456:S2460),"")</f>
        <v/>
      </c>
      <c r="T2460" s="3">
        <f>IF(ISNUMBER(AVERAGE('20250815_ETF_Options_Exhibits'!T2456:T2460)),AVERAGE('20250815_ETF_Options_Exhibits'!T2456:T2460),"")</f>
        <v/>
      </c>
      <c r="U2460" s="3">
        <f>IF(ISNUMBER(AVERAGE('20250815_ETF_Options_Exhibits'!U2456:U2460)),AVERAGE('20250815_ETF_Options_Exhibits'!U2456:U2460),"")</f>
        <v/>
      </c>
      <c r="V2460" s="3">
        <f>IF(ISNUMBER(AVERAGE('20250815_ETF_Options_Exhibits'!V2456:V2460)),AVERAGE('20250815_ETF_Options_Exhibits'!V2456:V2460),"")</f>
        <v/>
      </c>
      <c r="W2460" s="3">
        <f>IF(ISNUMBER(AVERAGE('20250815_ETF_Options_Exhibits'!W2456:W2460)),AVERAGE('20250815_ETF_Options_Exhibits'!W2456:W2460),"")</f>
        <v/>
      </c>
      <c r="X2460" s="3">
        <f>IF(ISNUMBER(AVERAGE('20250815_ETF_Options_Exhibits'!X2456:X2460)),AVERAGE('20250815_ETF_Options_Exhibits'!X2456:X2460),"")</f>
        <v/>
      </c>
      <c r="Y2460" s="3">
        <f>IF(ISNUMBER(AVERAGE('20250815_ETF_Options_Exhibits'!Y2456:Y2460)),AVERAGE('20250815_ETF_Options_Exhibits'!Y2456:Y2460),"")</f>
        <v/>
      </c>
      <c r="Z2460" s="3">
        <f>IF(ISNUMBER(AVERAGE('20250815_ETF_Options_Exhibits'!Z2456:Z2460)),AVERAGE('20250815_ETF_Options_Exhibits'!Z2456:Z2460),"")</f>
        <v/>
      </c>
      <c r="AA2460" s="3">
        <f>IF(ISNUMBER(AVERAGE('20250815_ETF_Options_Exhibits'!AA2456:AA2460)),AVERAGE('20250815_ETF_Options_Exhibits'!AA2456:AA2460),"")</f>
        <v/>
      </c>
    </row>
    <row r="2461">
      <c r="A2461" s="1" t="n">
        <v>45574</v>
      </c>
      <c r="B2461" s="3">
        <f>IF(ISNUMBER(AVERAGE('20250815_ETF_Options_Exhibits'!B2457:B2461)),AVERAGE('20250815_ETF_Options_Exhibits'!B2457:B2461),"")</f>
        <v/>
      </c>
      <c r="C2461" s="3">
        <f>IF(ISNUMBER(AVERAGE('20250815_ETF_Options_Exhibits'!C2457:C2461)),AVERAGE('20250815_ETF_Options_Exhibits'!C2457:C2461),"")</f>
        <v/>
      </c>
      <c r="D2461" s="3">
        <f>IF(ISNUMBER(AVERAGE('20250815_ETF_Options_Exhibits'!D2457:D2461)),AVERAGE('20250815_ETF_Options_Exhibits'!D2457:D2461),"")</f>
        <v/>
      </c>
      <c r="E2461" s="3">
        <f>IF(ISNUMBER(AVERAGE('20250815_ETF_Options_Exhibits'!E2457:E2461)),AVERAGE('20250815_ETF_Options_Exhibits'!E2457:E2461),"")</f>
        <v/>
      </c>
      <c r="F2461" s="3">
        <f>IF(ISNUMBER(AVERAGE('20250815_ETF_Options_Exhibits'!F2457:F2461)),AVERAGE('20250815_ETF_Options_Exhibits'!F2457:F2461),"")</f>
        <v/>
      </c>
      <c r="G2461" s="3">
        <f>IF(ISNUMBER(AVERAGE('20250815_ETF_Options_Exhibits'!G2457:G2461)),AVERAGE('20250815_ETF_Options_Exhibits'!G2457:G2461),"")</f>
        <v/>
      </c>
      <c r="H2461" s="3">
        <f>IF(ISNUMBER(AVERAGE('20250815_ETF_Options_Exhibits'!H2457:H2461)),AVERAGE('20250815_ETF_Options_Exhibits'!H2457:H2461),"")</f>
        <v/>
      </c>
      <c r="I2461" s="3">
        <f>IF(ISNUMBER(AVERAGE('20250815_ETF_Options_Exhibits'!I2457:I2461)),AVERAGE('20250815_ETF_Options_Exhibits'!I2457:I2461),"")</f>
        <v/>
      </c>
      <c r="J2461" s="3">
        <f>IF(ISNUMBER(AVERAGE('20250815_ETF_Options_Exhibits'!J2457:J2461)),AVERAGE('20250815_ETF_Options_Exhibits'!J2457:J2461),"")</f>
        <v/>
      </c>
      <c r="K2461" s="3">
        <f>IF(ISNUMBER(AVERAGE('20250815_ETF_Options_Exhibits'!K2457:K2461)),AVERAGE('20250815_ETF_Options_Exhibits'!K2457:K2461),"")</f>
        <v/>
      </c>
      <c r="L2461" s="3">
        <f>IF(ISNUMBER(AVERAGE('20250815_ETF_Options_Exhibits'!L2457:L2461)),AVERAGE('20250815_ETF_Options_Exhibits'!L2457:L2461),"")</f>
        <v/>
      </c>
      <c r="M2461" s="3">
        <f>IF(ISNUMBER(AVERAGE('20250815_ETF_Options_Exhibits'!M2457:M2461)),AVERAGE('20250815_ETF_Options_Exhibits'!M2457:M2461),"")</f>
        <v/>
      </c>
      <c r="N2461" s="3">
        <f>IF(ISNUMBER(AVERAGE('20250815_ETF_Options_Exhibits'!N2457:N2461)),AVERAGE('20250815_ETF_Options_Exhibits'!N2457:N2461),"")</f>
        <v/>
      </c>
      <c r="O2461" s="3">
        <f>IF(ISNUMBER(AVERAGE('20250815_ETF_Options_Exhibits'!O2457:O2461)),AVERAGE('20250815_ETF_Options_Exhibits'!O2457:O2461),"")</f>
        <v/>
      </c>
      <c r="P2461" s="3">
        <f>IF(ISNUMBER(AVERAGE('20250815_ETF_Options_Exhibits'!P2457:P2461)),AVERAGE('20250815_ETF_Options_Exhibits'!P2457:P2461),"")</f>
        <v/>
      </c>
      <c r="Q2461" s="3">
        <f>IF(ISNUMBER(AVERAGE('20250815_ETF_Options_Exhibits'!Q2457:Q2461)),AVERAGE('20250815_ETF_Options_Exhibits'!Q2457:Q2461),"")</f>
        <v/>
      </c>
      <c r="R2461" s="3">
        <f>IF(ISNUMBER(AVERAGE('20250815_ETF_Options_Exhibits'!R2457:R2461)),AVERAGE('20250815_ETF_Options_Exhibits'!R2457:R2461),"")</f>
        <v/>
      </c>
      <c r="S2461" s="3">
        <f>IF(ISNUMBER(AVERAGE('20250815_ETF_Options_Exhibits'!S2457:S2461)),AVERAGE('20250815_ETF_Options_Exhibits'!S2457:S2461),"")</f>
        <v/>
      </c>
      <c r="T2461" s="3">
        <f>IF(ISNUMBER(AVERAGE('20250815_ETF_Options_Exhibits'!T2457:T2461)),AVERAGE('20250815_ETF_Options_Exhibits'!T2457:T2461),"")</f>
        <v/>
      </c>
      <c r="U2461" s="3">
        <f>IF(ISNUMBER(AVERAGE('20250815_ETF_Options_Exhibits'!U2457:U2461)),AVERAGE('20250815_ETF_Options_Exhibits'!U2457:U2461),"")</f>
        <v/>
      </c>
      <c r="V2461" s="3">
        <f>IF(ISNUMBER(AVERAGE('20250815_ETF_Options_Exhibits'!V2457:V2461)),AVERAGE('20250815_ETF_Options_Exhibits'!V2457:V2461),"")</f>
        <v/>
      </c>
      <c r="W2461" s="3">
        <f>IF(ISNUMBER(AVERAGE('20250815_ETF_Options_Exhibits'!W2457:W2461)),AVERAGE('20250815_ETF_Options_Exhibits'!W2457:W2461),"")</f>
        <v/>
      </c>
      <c r="X2461" s="3">
        <f>IF(ISNUMBER(AVERAGE('20250815_ETF_Options_Exhibits'!X2457:X2461)),AVERAGE('20250815_ETF_Options_Exhibits'!X2457:X2461),"")</f>
        <v/>
      </c>
      <c r="Y2461" s="3">
        <f>IF(ISNUMBER(AVERAGE('20250815_ETF_Options_Exhibits'!Y2457:Y2461)),AVERAGE('20250815_ETF_Options_Exhibits'!Y2457:Y2461),"")</f>
        <v/>
      </c>
      <c r="Z2461" s="3">
        <f>IF(ISNUMBER(AVERAGE('20250815_ETF_Options_Exhibits'!Z2457:Z2461)),AVERAGE('20250815_ETF_Options_Exhibits'!Z2457:Z2461),"")</f>
        <v/>
      </c>
      <c r="AA2461" s="3">
        <f>IF(ISNUMBER(AVERAGE('20250815_ETF_Options_Exhibits'!AA2457:AA2461)),AVERAGE('20250815_ETF_Options_Exhibits'!AA2457:AA2461),"")</f>
        <v/>
      </c>
    </row>
    <row r="2462">
      <c r="A2462" s="1" t="n">
        <v>45575</v>
      </c>
      <c r="B2462" s="3">
        <f>IF(ISNUMBER(AVERAGE('20250815_ETF_Options_Exhibits'!B2458:B2462)),AVERAGE('20250815_ETF_Options_Exhibits'!B2458:B2462),"")</f>
        <v/>
      </c>
      <c r="C2462" s="3">
        <f>IF(ISNUMBER(AVERAGE('20250815_ETF_Options_Exhibits'!C2458:C2462)),AVERAGE('20250815_ETF_Options_Exhibits'!C2458:C2462),"")</f>
        <v/>
      </c>
      <c r="D2462" s="3">
        <f>IF(ISNUMBER(AVERAGE('20250815_ETF_Options_Exhibits'!D2458:D2462)),AVERAGE('20250815_ETF_Options_Exhibits'!D2458:D2462),"")</f>
        <v/>
      </c>
      <c r="E2462" s="3">
        <f>IF(ISNUMBER(AVERAGE('20250815_ETF_Options_Exhibits'!E2458:E2462)),AVERAGE('20250815_ETF_Options_Exhibits'!E2458:E2462),"")</f>
        <v/>
      </c>
      <c r="F2462" s="3">
        <f>IF(ISNUMBER(AVERAGE('20250815_ETF_Options_Exhibits'!F2458:F2462)),AVERAGE('20250815_ETF_Options_Exhibits'!F2458:F2462),"")</f>
        <v/>
      </c>
      <c r="G2462" s="3">
        <f>IF(ISNUMBER(AVERAGE('20250815_ETF_Options_Exhibits'!G2458:G2462)),AVERAGE('20250815_ETF_Options_Exhibits'!G2458:G2462),"")</f>
        <v/>
      </c>
      <c r="H2462" s="3">
        <f>IF(ISNUMBER(AVERAGE('20250815_ETF_Options_Exhibits'!H2458:H2462)),AVERAGE('20250815_ETF_Options_Exhibits'!H2458:H2462),"")</f>
        <v/>
      </c>
      <c r="I2462" s="3">
        <f>IF(ISNUMBER(AVERAGE('20250815_ETF_Options_Exhibits'!I2458:I2462)),AVERAGE('20250815_ETF_Options_Exhibits'!I2458:I2462),"")</f>
        <v/>
      </c>
      <c r="J2462" s="3">
        <f>IF(ISNUMBER(AVERAGE('20250815_ETF_Options_Exhibits'!J2458:J2462)),AVERAGE('20250815_ETF_Options_Exhibits'!J2458:J2462),"")</f>
        <v/>
      </c>
      <c r="K2462" s="3">
        <f>IF(ISNUMBER(AVERAGE('20250815_ETF_Options_Exhibits'!K2458:K2462)),AVERAGE('20250815_ETF_Options_Exhibits'!K2458:K2462),"")</f>
        <v/>
      </c>
      <c r="L2462" s="3">
        <f>IF(ISNUMBER(AVERAGE('20250815_ETF_Options_Exhibits'!L2458:L2462)),AVERAGE('20250815_ETF_Options_Exhibits'!L2458:L2462),"")</f>
        <v/>
      </c>
      <c r="M2462" s="3">
        <f>IF(ISNUMBER(AVERAGE('20250815_ETF_Options_Exhibits'!M2458:M2462)),AVERAGE('20250815_ETF_Options_Exhibits'!M2458:M2462),"")</f>
        <v/>
      </c>
      <c r="N2462" s="3">
        <f>IF(ISNUMBER(AVERAGE('20250815_ETF_Options_Exhibits'!N2458:N2462)),AVERAGE('20250815_ETF_Options_Exhibits'!N2458:N2462),"")</f>
        <v/>
      </c>
      <c r="O2462" s="3">
        <f>IF(ISNUMBER(AVERAGE('20250815_ETF_Options_Exhibits'!O2458:O2462)),AVERAGE('20250815_ETF_Options_Exhibits'!O2458:O2462),"")</f>
        <v/>
      </c>
      <c r="P2462" s="3">
        <f>IF(ISNUMBER(AVERAGE('20250815_ETF_Options_Exhibits'!P2458:P2462)),AVERAGE('20250815_ETF_Options_Exhibits'!P2458:P2462),"")</f>
        <v/>
      </c>
      <c r="Q2462" s="3">
        <f>IF(ISNUMBER(AVERAGE('20250815_ETF_Options_Exhibits'!Q2458:Q2462)),AVERAGE('20250815_ETF_Options_Exhibits'!Q2458:Q2462),"")</f>
        <v/>
      </c>
      <c r="R2462" s="3">
        <f>IF(ISNUMBER(AVERAGE('20250815_ETF_Options_Exhibits'!R2458:R2462)),AVERAGE('20250815_ETF_Options_Exhibits'!R2458:R2462),"")</f>
        <v/>
      </c>
      <c r="S2462" s="3">
        <f>IF(ISNUMBER(AVERAGE('20250815_ETF_Options_Exhibits'!S2458:S2462)),AVERAGE('20250815_ETF_Options_Exhibits'!S2458:S2462),"")</f>
        <v/>
      </c>
      <c r="T2462" s="3">
        <f>IF(ISNUMBER(AVERAGE('20250815_ETF_Options_Exhibits'!T2458:T2462)),AVERAGE('20250815_ETF_Options_Exhibits'!T2458:T2462),"")</f>
        <v/>
      </c>
      <c r="U2462" s="3">
        <f>IF(ISNUMBER(AVERAGE('20250815_ETF_Options_Exhibits'!U2458:U2462)),AVERAGE('20250815_ETF_Options_Exhibits'!U2458:U2462),"")</f>
        <v/>
      </c>
      <c r="V2462" s="3">
        <f>IF(ISNUMBER(AVERAGE('20250815_ETF_Options_Exhibits'!V2458:V2462)),AVERAGE('20250815_ETF_Options_Exhibits'!V2458:V2462),"")</f>
        <v/>
      </c>
      <c r="W2462" s="3">
        <f>IF(ISNUMBER(AVERAGE('20250815_ETF_Options_Exhibits'!W2458:W2462)),AVERAGE('20250815_ETF_Options_Exhibits'!W2458:W2462),"")</f>
        <v/>
      </c>
      <c r="X2462" s="3">
        <f>IF(ISNUMBER(AVERAGE('20250815_ETF_Options_Exhibits'!X2458:X2462)),AVERAGE('20250815_ETF_Options_Exhibits'!X2458:X2462),"")</f>
        <v/>
      </c>
      <c r="Y2462" s="3">
        <f>IF(ISNUMBER(AVERAGE('20250815_ETF_Options_Exhibits'!Y2458:Y2462)),AVERAGE('20250815_ETF_Options_Exhibits'!Y2458:Y2462),"")</f>
        <v/>
      </c>
      <c r="Z2462" s="3">
        <f>IF(ISNUMBER(AVERAGE('20250815_ETF_Options_Exhibits'!Z2458:Z2462)),AVERAGE('20250815_ETF_Options_Exhibits'!Z2458:Z2462),"")</f>
        <v/>
      </c>
      <c r="AA2462" s="3">
        <f>IF(ISNUMBER(AVERAGE('20250815_ETF_Options_Exhibits'!AA2458:AA2462)),AVERAGE('20250815_ETF_Options_Exhibits'!AA2458:AA2462),"")</f>
        <v/>
      </c>
    </row>
    <row r="2463">
      <c r="A2463" s="1" t="n">
        <v>45576</v>
      </c>
      <c r="B2463" s="3">
        <f>IF(ISNUMBER(AVERAGE('20250815_ETF_Options_Exhibits'!B2459:B2463)),AVERAGE('20250815_ETF_Options_Exhibits'!B2459:B2463),"")</f>
        <v/>
      </c>
      <c r="C2463" s="3">
        <f>IF(ISNUMBER(AVERAGE('20250815_ETF_Options_Exhibits'!C2459:C2463)),AVERAGE('20250815_ETF_Options_Exhibits'!C2459:C2463),"")</f>
        <v/>
      </c>
      <c r="D2463" s="3">
        <f>IF(ISNUMBER(AVERAGE('20250815_ETF_Options_Exhibits'!D2459:D2463)),AVERAGE('20250815_ETF_Options_Exhibits'!D2459:D2463),"")</f>
        <v/>
      </c>
      <c r="E2463" s="3">
        <f>IF(ISNUMBER(AVERAGE('20250815_ETF_Options_Exhibits'!E2459:E2463)),AVERAGE('20250815_ETF_Options_Exhibits'!E2459:E2463),"")</f>
        <v/>
      </c>
      <c r="F2463" s="3">
        <f>IF(ISNUMBER(AVERAGE('20250815_ETF_Options_Exhibits'!F2459:F2463)),AVERAGE('20250815_ETF_Options_Exhibits'!F2459:F2463),"")</f>
        <v/>
      </c>
      <c r="G2463" s="3">
        <f>IF(ISNUMBER(AVERAGE('20250815_ETF_Options_Exhibits'!G2459:G2463)),AVERAGE('20250815_ETF_Options_Exhibits'!G2459:G2463),"")</f>
        <v/>
      </c>
      <c r="H2463" s="3">
        <f>IF(ISNUMBER(AVERAGE('20250815_ETF_Options_Exhibits'!H2459:H2463)),AVERAGE('20250815_ETF_Options_Exhibits'!H2459:H2463),"")</f>
        <v/>
      </c>
      <c r="I2463" s="3">
        <f>IF(ISNUMBER(AVERAGE('20250815_ETF_Options_Exhibits'!I2459:I2463)),AVERAGE('20250815_ETF_Options_Exhibits'!I2459:I2463),"")</f>
        <v/>
      </c>
      <c r="J2463" s="3">
        <f>IF(ISNUMBER(AVERAGE('20250815_ETF_Options_Exhibits'!J2459:J2463)),AVERAGE('20250815_ETF_Options_Exhibits'!J2459:J2463),"")</f>
        <v/>
      </c>
      <c r="K2463" s="3">
        <f>IF(ISNUMBER(AVERAGE('20250815_ETF_Options_Exhibits'!K2459:K2463)),AVERAGE('20250815_ETF_Options_Exhibits'!K2459:K2463),"")</f>
        <v/>
      </c>
      <c r="L2463" s="3">
        <f>IF(ISNUMBER(AVERAGE('20250815_ETF_Options_Exhibits'!L2459:L2463)),AVERAGE('20250815_ETF_Options_Exhibits'!L2459:L2463),"")</f>
        <v/>
      </c>
      <c r="M2463" s="3">
        <f>IF(ISNUMBER(AVERAGE('20250815_ETF_Options_Exhibits'!M2459:M2463)),AVERAGE('20250815_ETF_Options_Exhibits'!M2459:M2463),"")</f>
        <v/>
      </c>
      <c r="N2463" s="3">
        <f>IF(ISNUMBER(AVERAGE('20250815_ETF_Options_Exhibits'!N2459:N2463)),AVERAGE('20250815_ETF_Options_Exhibits'!N2459:N2463),"")</f>
        <v/>
      </c>
      <c r="O2463" s="3">
        <f>IF(ISNUMBER(AVERAGE('20250815_ETF_Options_Exhibits'!O2459:O2463)),AVERAGE('20250815_ETF_Options_Exhibits'!O2459:O2463),"")</f>
        <v/>
      </c>
      <c r="P2463" s="3">
        <f>IF(ISNUMBER(AVERAGE('20250815_ETF_Options_Exhibits'!P2459:P2463)),AVERAGE('20250815_ETF_Options_Exhibits'!P2459:P2463),"")</f>
        <v/>
      </c>
      <c r="Q2463" s="3">
        <f>IF(ISNUMBER(AVERAGE('20250815_ETF_Options_Exhibits'!Q2459:Q2463)),AVERAGE('20250815_ETF_Options_Exhibits'!Q2459:Q2463),"")</f>
        <v/>
      </c>
      <c r="R2463" s="3">
        <f>IF(ISNUMBER(AVERAGE('20250815_ETF_Options_Exhibits'!R2459:R2463)),AVERAGE('20250815_ETF_Options_Exhibits'!R2459:R2463),"")</f>
        <v/>
      </c>
      <c r="S2463" s="3">
        <f>IF(ISNUMBER(AVERAGE('20250815_ETF_Options_Exhibits'!S2459:S2463)),AVERAGE('20250815_ETF_Options_Exhibits'!S2459:S2463),"")</f>
        <v/>
      </c>
      <c r="T2463" s="3">
        <f>IF(ISNUMBER(AVERAGE('20250815_ETF_Options_Exhibits'!T2459:T2463)),AVERAGE('20250815_ETF_Options_Exhibits'!T2459:T2463),"")</f>
        <v/>
      </c>
      <c r="U2463" s="3">
        <f>IF(ISNUMBER(AVERAGE('20250815_ETF_Options_Exhibits'!U2459:U2463)),AVERAGE('20250815_ETF_Options_Exhibits'!U2459:U2463),"")</f>
        <v/>
      </c>
      <c r="V2463" s="3">
        <f>IF(ISNUMBER(AVERAGE('20250815_ETF_Options_Exhibits'!V2459:V2463)),AVERAGE('20250815_ETF_Options_Exhibits'!V2459:V2463),"")</f>
        <v/>
      </c>
      <c r="W2463" s="3">
        <f>IF(ISNUMBER(AVERAGE('20250815_ETF_Options_Exhibits'!W2459:W2463)),AVERAGE('20250815_ETF_Options_Exhibits'!W2459:W2463),"")</f>
        <v/>
      </c>
      <c r="X2463" s="3">
        <f>IF(ISNUMBER(AVERAGE('20250815_ETF_Options_Exhibits'!X2459:X2463)),AVERAGE('20250815_ETF_Options_Exhibits'!X2459:X2463),"")</f>
        <v/>
      </c>
      <c r="Y2463" s="3">
        <f>IF(ISNUMBER(AVERAGE('20250815_ETF_Options_Exhibits'!Y2459:Y2463)),AVERAGE('20250815_ETF_Options_Exhibits'!Y2459:Y2463),"")</f>
        <v/>
      </c>
      <c r="Z2463" s="3">
        <f>IF(ISNUMBER(AVERAGE('20250815_ETF_Options_Exhibits'!Z2459:Z2463)),AVERAGE('20250815_ETF_Options_Exhibits'!Z2459:Z2463),"")</f>
        <v/>
      </c>
      <c r="AA2463" s="3">
        <f>IF(ISNUMBER(AVERAGE('20250815_ETF_Options_Exhibits'!AA2459:AA2463)),AVERAGE('20250815_ETF_Options_Exhibits'!AA2459:AA2463),"")</f>
        <v/>
      </c>
    </row>
    <row r="2464">
      <c r="A2464" s="1" t="n">
        <v>45579</v>
      </c>
      <c r="B2464" s="3">
        <f>IF(ISNUMBER(AVERAGE('20250815_ETF_Options_Exhibits'!B2460:B2464)),AVERAGE('20250815_ETF_Options_Exhibits'!B2460:B2464),"")</f>
        <v/>
      </c>
      <c r="C2464" s="3">
        <f>IF(ISNUMBER(AVERAGE('20250815_ETF_Options_Exhibits'!C2460:C2464)),AVERAGE('20250815_ETF_Options_Exhibits'!C2460:C2464),"")</f>
        <v/>
      </c>
      <c r="D2464" s="3">
        <f>IF(ISNUMBER(AVERAGE('20250815_ETF_Options_Exhibits'!D2460:D2464)),AVERAGE('20250815_ETF_Options_Exhibits'!D2460:D2464),"")</f>
        <v/>
      </c>
      <c r="E2464" s="3">
        <f>IF(ISNUMBER(AVERAGE('20250815_ETF_Options_Exhibits'!E2460:E2464)),AVERAGE('20250815_ETF_Options_Exhibits'!E2460:E2464),"")</f>
        <v/>
      </c>
      <c r="F2464" s="3">
        <f>IF(ISNUMBER(AVERAGE('20250815_ETF_Options_Exhibits'!F2460:F2464)),AVERAGE('20250815_ETF_Options_Exhibits'!F2460:F2464),"")</f>
        <v/>
      </c>
      <c r="G2464" s="3">
        <f>IF(ISNUMBER(AVERAGE('20250815_ETF_Options_Exhibits'!G2460:G2464)),AVERAGE('20250815_ETF_Options_Exhibits'!G2460:G2464),"")</f>
        <v/>
      </c>
      <c r="H2464" s="3">
        <f>IF(ISNUMBER(AVERAGE('20250815_ETF_Options_Exhibits'!H2460:H2464)),AVERAGE('20250815_ETF_Options_Exhibits'!H2460:H2464),"")</f>
        <v/>
      </c>
      <c r="I2464" s="3">
        <f>IF(ISNUMBER(AVERAGE('20250815_ETF_Options_Exhibits'!I2460:I2464)),AVERAGE('20250815_ETF_Options_Exhibits'!I2460:I2464),"")</f>
        <v/>
      </c>
      <c r="J2464" s="3">
        <f>IF(ISNUMBER(AVERAGE('20250815_ETF_Options_Exhibits'!J2460:J2464)),AVERAGE('20250815_ETF_Options_Exhibits'!J2460:J2464),"")</f>
        <v/>
      </c>
      <c r="K2464" s="3">
        <f>IF(ISNUMBER(AVERAGE('20250815_ETF_Options_Exhibits'!K2460:K2464)),AVERAGE('20250815_ETF_Options_Exhibits'!K2460:K2464),"")</f>
        <v/>
      </c>
      <c r="L2464" s="3">
        <f>IF(ISNUMBER(AVERAGE('20250815_ETF_Options_Exhibits'!L2460:L2464)),AVERAGE('20250815_ETF_Options_Exhibits'!L2460:L2464),"")</f>
        <v/>
      </c>
      <c r="M2464" s="3">
        <f>IF(ISNUMBER(AVERAGE('20250815_ETF_Options_Exhibits'!M2460:M2464)),AVERAGE('20250815_ETF_Options_Exhibits'!M2460:M2464),"")</f>
        <v/>
      </c>
      <c r="N2464" s="3">
        <f>IF(ISNUMBER(AVERAGE('20250815_ETF_Options_Exhibits'!N2460:N2464)),AVERAGE('20250815_ETF_Options_Exhibits'!N2460:N2464),"")</f>
        <v/>
      </c>
      <c r="O2464" s="3">
        <f>IF(ISNUMBER(AVERAGE('20250815_ETF_Options_Exhibits'!O2460:O2464)),AVERAGE('20250815_ETF_Options_Exhibits'!O2460:O2464),"")</f>
        <v/>
      </c>
      <c r="P2464" s="3">
        <f>IF(ISNUMBER(AVERAGE('20250815_ETF_Options_Exhibits'!P2460:P2464)),AVERAGE('20250815_ETF_Options_Exhibits'!P2460:P2464),"")</f>
        <v/>
      </c>
      <c r="Q2464" s="3">
        <f>IF(ISNUMBER(AVERAGE('20250815_ETF_Options_Exhibits'!Q2460:Q2464)),AVERAGE('20250815_ETF_Options_Exhibits'!Q2460:Q2464),"")</f>
        <v/>
      </c>
      <c r="R2464" s="3">
        <f>IF(ISNUMBER(AVERAGE('20250815_ETF_Options_Exhibits'!R2460:R2464)),AVERAGE('20250815_ETF_Options_Exhibits'!R2460:R2464),"")</f>
        <v/>
      </c>
      <c r="S2464" s="3">
        <f>IF(ISNUMBER(AVERAGE('20250815_ETF_Options_Exhibits'!S2460:S2464)),AVERAGE('20250815_ETF_Options_Exhibits'!S2460:S2464),"")</f>
        <v/>
      </c>
      <c r="T2464" s="3">
        <f>IF(ISNUMBER(AVERAGE('20250815_ETF_Options_Exhibits'!T2460:T2464)),AVERAGE('20250815_ETF_Options_Exhibits'!T2460:T2464),"")</f>
        <v/>
      </c>
      <c r="U2464" s="3">
        <f>IF(ISNUMBER(AVERAGE('20250815_ETF_Options_Exhibits'!U2460:U2464)),AVERAGE('20250815_ETF_Options_Exhibits'!U2460:U2464),"")</f>
        <v/>
      </c>
      <c r="V2464" s="3">
        <f>IF(ISNUMBER(AVERAGE('20250815_ETF_Options_Exhibits'!V2460:V2464)),AVERAGE('20250815_ETF_Options_Exhibits'!V2460:V2464),"")</f>
        <v/>
      </c>
      <c r="W2464" s="3">
        <f>IF(ISNUMBER(AVERAGE('20250815_ETF_Options_Exhibits'!W2460:W2464)),AVERAGE('20250815_ETF_Options_Exhibits'!W2460:W2464),"")</f>
        <v/>
      </c>
      <c r="X2464" s="3">
        <f>IF(ISNUMBER(AVERAGE('20250815_ETF_Options_Exhibits'!X2460:X2464)),AVERAGE('20250815_ETF_Options_Exhibits'!X2460:X2464),"")</f>
        <v/>
      </c>
      <c r="Y2464" s="3">
        <f>IF(ISNUMBER(AVERAGE('20250815_ETF_Options_Exhibits'!Y2460:Y2464)),AVERAGE('20250815_ETF_Options_Exhibits'!Y2460:Y2464),"")</f>
        <v/>
      </c>
      <c r="Z2464" s="3">
        <f>IF(ISNUMBER(AVERAGE('20250815_ETF_Options_Exhibits'!Z2460:Z2464)),AVERAGE('20250815_ETF_Options_Exhibits'!Z2460:Z2464),"")</f>
        <v/>
      </c>
      <c r="AA2464" s="3">
        <f>IF(ISNUMBER(AVERAGE('20250815_ETF_Options_Exhibits'!AA2460:AA2464)),AVERAGE('20250815_ETF_Options_Exhibits'!AA2460:AA2464),"")</f>
        <v/>
      </c>
    </row>
    <row r="2465">
      <c r="A2465" s="1" t="n">
        <v>45580</v>
      </c>
      <c r="B2465" s="3">
        <f>IF(ISNUMBER(AVERAGE('20250815_ETF_Options_Exhibits'!B2461:B2465)),AVERAGE('20250815_ETF_Options_Exhibits'!B2461:B2465),"")</f>
        <v/>
      </c>
      <c r="C2465" s="3">
        <f>IF(ISNUMBER(AVERAGE('20250815_ETF_Options_Exhibits'!C2461:C2465)),AVERAGE('20250815_ETF_Options_Exhibits'!C2461:C2465),"")</f>
        <v/>
      </c>
      <c r="D2465" s="3">
        <f>IF(ISNUMBER(AVERAGE('20250815_ETF_Options_Exhibits'!D2461:D2465)),AVERAGE('20250815_ETF_Options_Exhibits'!D2461:D2465),"")</f>
        <v/>
      </c>
      <c r="E2465" s="3">
        <f>IF(ISNUMBER(AVERAGE('20250815_ETF_Options_Exhibits'!E2461:E2465)),AVERAGE('20250815_ETF_Options_Exhibits'!E2461:E2465),"")</f>
        <v/>
      </c>
      <c r="F2465" s="3">
        <f>IF(ISNUMBER(AVERAGE('20250815_ETF_Options_Exhibits'!F2461:F2465)),AVERAGE('20250815_ETF_Options_Exhibits'!F2461:F2465),"")</f>
        <v/>
      </c>
      <c r="G2465" s="3">
        <f>IF(ISNUMBER(AVERAGE('20250815_ETF_Options_Exhibits'!G2461:G2465)),AVERAGE('20250815_ETF_Options_Exhibits'!G2461:G2465),"")</f>
        <v/>
      </c>
      <c r="H2465" s="3">
        <f>IF(ISNUMBER(AVERAGE('20250815_ETF_Options_Exhibits'!H2461:H2465)),AVERAGE('20250815_ETF_Options_Exhibits'!H2461:H2465),"")</f>
        <v/>
      </c>
      <c r="I2465" s="3">
        <f>IF(ISNUMBER(AVERAGE('20250815_ETF_Options_Exhibits'!I2461:I2465)),AVERAGE('20250815_ETF_Options_Exhibits'!I2461:I2465),"")</f>
        <v/>
      </c>
      <c r="J2465" s="3">
        <f>IF(ISNUMBER(AVERAGE('20250815_ETF_Options_Exhibits'!J2461:J2465)),AVERAGE('20250815_ETF_Options_Exhibits'!J2461:J2465),"")</f>
        <v/>
      </c>
      <c r="K2465" s="3">
        <f>IF(ISNUMBER(AVERAGE('20250815_ETF_Options_Exhibits'!K2461:K2465)),AVERAGE('20250815_ETF_Options_Exhibits'!K2461:K2465),"")</f>
        <v/>
      </c>
      <c r="L2465" s="3">
        <f>IF(ISNUMBER(AVERAGE('20250815_ETF_Options_Exhibits'!L2461:L2465)),AVERAGE('20250815_ETF_Options_Exhibits'!L2461:L2465),"")</f>
        <v/>
      </c>
      <c r="M2465" s="3">
        <f>IF(ISNUMBER(AVERAGE('20250815_ETF_Options_Exhibits'!M2461:M2465)),AVERAGE('20250815_ETF_Options_Exhibits'!M2461:M2465),"")</f>
        <v/>
      </c>
      <c r="N2465" s="3">
        <f>IF(ISNUMBER(AVERAGE('20250815_ETF_Options_Exhibits'!N2461:N2465)),AVERAGE('20250815_ETF_Options_Exhibits'!N2461:N2465),"")</f>
        <v/>
      </c>
      <c r="O2465" s="3">
        <f>IF(ISNUMBER(AVERAGE('20250815_ETF_Options_Exhibits'!O2461:O2465)),AVERAGE('20250815_ETF_Options_Exhibits'!O2461:O2465),"")</f>
        <v/>
      </c>
      <c r="P2465" s="3">
        <f>IF(ISNUMBER(AVERAGE('20250815_ETF_Options_Exhibits'!P2461:P2465)),AVERAGE('20250815_ETF_Options_Exhibits'!P2461:P2465),"")</f>
        <v/>
      </c>
      <c r="Q2465" s="3">
        <f>IF(ISNUMBER(AVERAGE('20250815_ETF_Options_Exhibits'!Q2461:Q2465)),AVERAGE('20250815_ETF_Options_Exhibits'!Q2461:Q2465),"")</f>
        <v/>
      </c>
      <c r="R2465" s="3">
        <f>IF(ISNUMBER(AVERAGE('20250815_ETF_Options_Exhibits'!R2461:R2465)),AVERAGE('20250815_ETF_Options_Exhibits'!R2461:R2465),"")</f>
        <v/>
      </c>
      <c r="S2465" s="3">
        <f>IF(ISNUMBER(AVERAGE('20250815_ETF_Options_Exhibits'!S2461:S2465)),AVERAGE('20250815_ETF_Options_Exhibits'!S2461:S2465),"")</f>
        <v/>
      </c>
      <c r="T2465" s="3">
        <f>IF(ISNUMBER(AVERAGE('20250815_ETF_Options_Exhibits'!T2461:T2465)),AVERAGE('20250815_ETF_Options_Exhibits'!T2461:T2465),"")</f>
        <v/>
      </c>
      <c r="U2465" s="3">
        <f>IF(ISNUMBER(AVERAGE('20250815_ETF_Options_Exhibits'!U2461:U2465)),AVERAGE('20250815_ETF_Options_Exhibits'!U2461:U2465),"")</f>
        <v/>
      </c>
      <c r="V2465" s="3">
        <f>IF(ISNUMBER(AVERAGE('20250815_ETF_Options_Exhibits'!V2461:V2465)),AVERAGE('20250815_ETF_Options_Exhibits'!V2461:V2465),"")</f>
        <v/>
      </c>
      <c r="W2465" s="3">
        <f>IF(ISNUMBER(AVERAGE('20250815_ETF_Options_Exhibits'!W2461:W2465)),AVERAGE('20250815_ETF_Options_Exhibits'!W2461:W2465),"")</f>
        <v/>
      </c>
      <c r="X2465" s="3">
        <f>IF(ISNUMBER(AVERAGE('20250815_ETF_Options_Exhibits'!X2461:X2465)),AVERAGE('20250815_ETF_Options_Exhibits'!X2461:X2465),"")</f>
        <v/>
      </c>
      <c r="Y2465" s="3">
        <f>IF(ISNUMBER(AVERAGE('20250815_ETF_Options_Exhibits'!Y2461:Y2465)),AVERAGE('20250815_ETF_Options_Exhibits'!Y2461:Y2465),"")</f>
        <v/>
      </c>
      <c r="Z2465" s="3">
        <f>IF(ISNUMBER(AVERAGE('20250815_ETF_Options_Exhibits'!Z2461:Z2465)),AVERAGE('20250815_ETF_Options_Exhibits'!Z2461:Z2465),"")</f>
        <v/>
      </c>
      <c r="AA2465" s="3">
        <f>IF(ISNUMBER(AVERAGE('20250815_ETF_Options_Exhibits'!AA2461:AA2465)),AVERAGE('20250815_ETF_Options_Exhibits'!AA2461:AA2465),"")</f>
        <v/>
      </c>
    </row>
    <row r="2466">
      <c r="A2466" s="1" t="n">
        <v>45581</v>
      </c>
      <c r="B2466" s="3">
        <f>IF(ISNUMBER(AVERAGE('20250815_ETF_Options_Exhibits'!B2462:B2466)),AVERAGE('20250815_ETF_Options_Exhibits'!B2462:B2466),"")</f>
        <v/>
      </c>
      <c r="C2466" s="3">
        <f>IF(ISNUMBER(AVERAGE('20250815_ETF_Options_Exhibits'!C2462:C2466)),AVERAGE('20250815_ETF_Options_Exhibits'!C2462:C2466),"")</f>
        <v/>
      </c>
      <c r="D2466" s="3">
        <f>IF(ISNUMBER(AVERAGE('20250815_ETF_Options_Exhibits'!D2462:D2466)),AVERAGE('20250815_ETF_Options_Exhibits'!D2462:D2466),"")</f>
        <v/>
      </c>
      <c r="E2466" s="3">
        <f>IF(ISNUMBER(AVERAGE('20250815_ETF_Options_Exhibits'!E2462:E2466)),AVERAGE('20250815_ETF_Options_Exhibits'!E2462:E2466),"")</f>
        <v/>
      </c>
      <c r="F2466" s="3">
        <f>IF(ISNUMBER(AVERAGE('20250815_ETF_Options_Exhibits'!F2462:F2466)),AVERAGE('20250815_ETF_Options_Exhibits'!F2462:F2466),"")</f>
        <v/>
      </c>
      <c r="G2466" s="3">
        <f>IF(ISNUMBER(AVERAGE('20250815_ETF_Options_Exhibits'!G2462:G2466)),AVERAGE('20250815_ETF_Options_Exhibits'!G2462:G2466),"")</f>
        <v/>
      </c>
      <c r="H2466" s="3">
        <f>IF(ISNUMBER(AVERAGE('20250815_ETF_Options_Exhibits'!H2462:H2466)),AVERAGE('20250815_ETF_Options_Exhibits'!H2462:H2466),"")</f>
        <v/>
      </c>
      <c r="I2466" s="3">
        <f>IF(ISNUMBER(AVERAGE('20250815_ETF_Options_Exhibits'!I2462:I2466)),AVERAGE('20250815_ETF_Options_Exhibits'!I2462:I2466),"")</f>
        <v/>
      </c>
      <c r="J2466" s="3">
        <f>IF(ISNUMBER(AVERAGE('20250815_ETF_Options_Exhibits'!J2462:J2466)),AVERAGE('20250815_ETF_Options_Exhibits'!J2462:J2466),"")</f>
        <v/>
      </c>
      <c r="K2466" s="3">
        <f>IF(ISNUMBER(AVERAGE('20250815_ETF_Options_Exhibits'!K2462:K2466)),AVERAGE('20250815_ETF_Options_Exhibits'!K2462:K2466),"")</f>
        <v/>
      </c>
      <c r="L2466" s="3">
        <f>IF(ISNUMBER(AVERAGE('20250815_ETF_Options_Exhibits'!L2462:L2466)),AVERAGE('20250815_ETF_Options_Exhibits'!L2462:L2466),"")</f>
        <v/>
      </c>
      <c r="M2466" s="3">
        <f>IF(ISNUMBER(AVERAGE('20250815_ETF_Options_Exhibits'!M2462:M2466)),AVERAGE('20250815_ETF_Options_Exhibits'!M2462:M2466),"")</f>
        <v/>
      </c>
      <c r="N2466" s="3">
        <f>IF(ISNUMBER(AVERAGE('20250815_ETF_Options_Exhibits'!N2462:N2466)),AVERAGE('20250815_ETF_Options_Exhibits'!N2462:N2466),"")</f>
        <v/>
      </c>
      <c r="O2466" s="3">
        <f>IF(ISNUMBER(AVERAGE('20250815_ETF_Options_Exhibits'!O2462:O2466)),AVERAGE('20250815_ETF_Options_Exhibits'!O2462:O2466),"")</f>
        <v/>
      </c>
      <c r="P2466" s="3">
        <f>IF(ISNUMBER(AVERAGE('20250815_ETF_Options_Exhibits'!P2462:P2466)),AVERAGE('20250815_ETF_Options_Exhibits'!P2462:P2466),"")</f>
        <v/>
      </c>
      <c r="Q2466" s="3">
        <f>IF(ISNUMBER(AVERAGE('20250815_ETF_Options_Exhibits'!Q2462:Q2466)),AVERAGE('20250815_ETF_Options_Exhibits'!Q2462:Q2466),"")</f>
        <v/>
      </c>
      <c r="R2466" s="3">
        <f>IF(ISNUMBER(AVERAGE('20250815_ETF_Options_Exhibits'!R2462:R2466)),AVERAGE('20250815_ETF_Options_Exhibits'!R2462:R2466),"")</f>
        <v/>
      </c>
      <c r="S2466" s="3">
        <f>IF(ISNUMBER(AVERAGE('20250815_ETF_Options_Exhibits'!S2462:S2466)),AVERAGE('20250815_ETF_Options_Exhibits'!S2462:S2466),"")</f>
        <v/>
      </c>
      <c r="T2466" s="3">
        <f>IF(ISNUMBER(AVERAGE('20250815_ETF_Options_Exhibits'!T2462:T2466)),AVERAGE('20250815_ETF_Options_Exhibits'!T2462:T2466),"")</f>
        <v/>
      </c>
      <c r="U2466" s="3">
        <f>IF(ISNUMBER(AVERAGE('20250815_ETF_Options_Exhibits'!U2462:U2466)),AVERAGE('20250815_ETF_Options_Exhibits'!U2462:U2466),"")</f>
        <v/>
      </c>
      <c r="V2466" s="3">
        <f>IF(ISNUMBER(AVERAGE('20250815_ETF_Options_Exhibits'!V2462:V2466)),AVERAGE('20250815_ETF_Options_Exhibits'!V2462:V2466),"")</f>
        <v/>
      </c>
      <c r="W2466" s="3">
        <f>IF(ISNUMBER(AVERAGE('20250815_ETF_Options_Exhibits'!W2462:W2466)),AVERAGE('20250815_ETF_Options_Exhibits'!W2462:W2466),"")</f>
        <v/>
      </c>
      <c r="X2466" s="3">
        <f>IF(ISNUMBER(AVERAGE('20250815_ETF_Options_Exhibits'!X2462:X2466)),AVERAGE('20250815_ETF_Options_Exhibits'!X2462:X2466),"")</f>
        <v/>
      </c>
      <c r="Y2466" s="3">
        <f>IF(ISNUMBER(AVERAGE('20250815_ETF_Options_Exhibits'!Y2462:Y2466)),AVERAGE('20250815_ETF_Options_Exhibits'!Y2462:Y2466),"")</f>
        <v/>
      </c>
      <c r="Z2466" s="3">
        <f>IF(ISNUMBER(AVERAGE('20250815_ETF_Options_Exhibits'!Z2462:Z2466)),AVERAGE('20250815_ETF_Options_Exhibits'!Z2462:Z2466),"")</f>
        <v/>
      </c>
      <c r="AA2466" s="3">
        <f>IF(ISNUMBER(AVERAGE('20250815_ETF_Options_Exhibits'!AA2462:AA2466)),AVERAGE('20250815_ETF_Options_Exhibits'!AA2462:AA2466),"")</f>
        <v/>
      </c>
    </row>
    <row r="2467">
      <c r="A2467" s="1" t="n">
        <v>45582</v>
      </c>
      <c r="B2467" s="3">
        <f>IF(ISNUMBER(AVERAGE('20250815_ETF_Options_Exhibits'!B2463:B2467)),AVERAGE('20250815_ETF_Options_Exhibits'!B2463:B2467),"")</f>
        <v/>
      </c>
      <c r="C2467" s="3">
        <f>IF(ISNUMBER(AVERAGE('20250815_ETF_Options_Exhibits'!C2463:C2467)),AVERAGE('20250815_ETF_Options_Exhibits'!C2463:C2467),"")</f>
        <v/>
      </c>
      <c r="D2467" s="3">
        <f>IF(ISNUMBER(AVERAGE('20250815_ETF_Options_Exhibits'!D2463:D2467)),AVERAGE('20250815_ETF_Options_Exhibits'!D2463:D2467),"")</f>
        <v/>
      </c>
      <c r="E2467" s="3">
        <f>IF(ISNUMBER(AVERAGE('20250815_ETF_Options_Exhibits'!E2463:E2467)),AVERAGE('20250815_ETF_Options_Exhibits'!E2463:E2467),"")</f>
        <v/>
      </c>
      <c r="F2467" s="3">
        <f>IF(ISNUMBER(AVERAGE('20250815_ETF_Options_Exhibits'!F2463:F2467)),AVERAGE('20250815_ETF_Options_Exhibits'!F2463:F2467),"")</f>
        <v/>
      </c>
      <c r="G2467" s="3">
        <f>IF(ISNUMBER(AVERAGE('20250815_ETF_Options_Exhibits'!G2463:G2467)),AVERAGE('20250815_ETF_Options_Exhibits'!G2463:G2467),"")</f>
        <v/>
      </c>
      <c r="H2467" s="3">
        <f>IF(ISNUMBER(AVERAGE('20250815_ETF_Options_Exhibits'!H2463:H2467)),AVERAGE('20250815_ETF_Options_Exhibits'!H2463:H2467),"")</f>
        <v/>
      </c>
      <c r="I2467" s="3">
        <f>IF(ISNUMBER(AVERAGE('20250815_ETF_Options_Exhibits'!I2463:I2467)),AVERAGE('20250815_ETF_Options_Exhibits'!I2463:I2467),"")</f>
        <v/>
      </c>
      <c r="J2467" s="3">
        <f>IF(ISNUMBER(AVERAGE('20250815_ETF_Options_Exhibits'!J2463:J2467)),AVERAGE('20250815_ETF_Options_Exhibits'!J2463:J2467),"")</f>
        <v/>
      </c>
      <c r="K2467" s="3">
        <f>IF(ISNUMBER(AVERAGE('20250815_ETF_Options_Exhibits'!K2463:K2467)),AVERAGE('20250815_ETF_Options_Exhibits'!K2463:K2467),"")</f>
        <v/>
      </c>
      <c r="L2467" s="3">
        <f>IF(ISNUMBER(AVERAGE('20250815_ETF_Options_Exhibits'!L2463:L2467)),AVERAGE('20250815_ETF_Options_Exhibits'!L2463:L2467),"")</f>
        <v/>
      </c>
      <c r="M2467" s="3">
        <f>IF(ISNUMBER(AVERAGE('20250815_ETF_Options_Exhibits'!M2463:M2467)),AVERAGE('20250815_ETF_Options_Exhibits'!M2463:M2467),"")</f>
        <v/>
      </c>
      <c r="N2467" s="3">
        <f>IF(ISNUMBER(AVERAGE('20250815_ETF_Options_Exhibits'!N2463:N2467)),AVERAGE('20250815_ETF_Options_Exhibits'!N2463:N2467),"")</f>
        <v/>
      </c>
      <c r="O2467" s="3">
        <f>IF(ISNUMBER(AVERAGE('20250815_ETF_Options_Exhibits'!O2463:O2467)),AVERAGE('20250815_ETF_Options_Exhibits'!O2463:O2467),"")</f>
        <v/>
      </c>
      <c r="P2467" s="3">
        <f>IF(ISNUMBER(AVERAGE('20250815_ETF_Options_Exhibits'!P2463:P2467)),AVERAGE('20250815_ETF_Options_Exhibits'!P2463:P2467),"")</f>
        <v/>
      </c>
      <c r="Q2467" s="3">
        <f>IF(ISNUMBER(AVERAGE('20250815_ETF_Options_Exhibits'!Q2463:Q2467)),AVERAGE('20250815_ETF_Options_Exhibits'!Q2463:Q2467),"")</f>
        <v/>
      </c>
      <c r="R2467" s="3">
        <f>IF(ISNUMBER(AVERAGE('20250815_ETF_Options_Exhibits'!R2463:R2467)),AVERAGE('20250815_ETF_Options_Exhibits'!R2463:R2467),"")</f>
        <v/>
      </c>
      <c r="S2467" s="3">
        <f>IF(ISNUMBER(AVERAGE('20250815_ETF_Options_Exhibits'!S2463:S2467)),AVERAGE('20250815_ETF_Options_Exhibits'!S2463:S2467),"")</f>
        <v/>
      </c>
      <c r="T2467" s="3">
        <f>IF(ISNUMBER(AVERAGE('20250815_ETF_Options_Exhibits'!T2463:T2467)),AVERAGE('20250815_ETF_Options_Exhibits'!T2463:T2467),"")</f>
        <v/>
      </c>
      <c r="U2467" s="3">
        <f>IF(ISNUMBER(AVERAGE('20250815_ETF_Options_Exhibits'!U2463:U2467)),AVERAGE('20250815_ETF_Options_Exhibits'!U2463:U2467),"")</f>
        <v/>
      </c>
      <c r="V2467" s="3">
        <f>IF(ISNUMBER(AVERAGE('20250815_ETF_Options_Exhibits'!V2463:V2467)),AVERAGE('20250815_ETF_Options_Exhibits'!V2463:V2467),"")</f>
        <v/>
      </c>
      <c r="W2467" s="3">
        <f>IF(ISNUMBER(AVERAGE('20250815_ETF_Options_Exhibits'!W2463:W2467)),AVERAGE('20250815_ETF_Options_Exhibits'!W2463:W2467),"")</f>
        <v/>
      </c>
      <c r="X2467" s="3">
        <f>IF(ISNUMBER(AVERAGE('20250815_ETF_Options_Exhibits'!X2463:X2467)),AVERAGE('20250815_ETF_Options_Exhibits'!X2463:X2467),"")</f>
        <v/>
      </c>
      <c r="Y2467" s="3">
        <f>IF(ISNUMBER(AVERAGE('20250815_ETF_Options_Exhibits'!Y2463:Y2467)),AVERAGE('20250815_ETF_Options_Exhibits'!Y2463:Y2467),"")</f>
        <v/>
      </c>
      <c r="Z2467" s="3">
        <f>IF(ISNUMBER(AVERAGE('20250815_ETF_Options_Exhibits'!Z2463:Z2467)),AVERAGE('20250815_ETF_Options_Exhibits'!Z2463:Z2467),"")</f>
        <v/>
      </c>
      <c r="AA2467" s="3">
        <f>IF(ISNUMBER(AVERAGE('20250815_ETF_Options_Exhibits'!AA2463:AA2467)),AVERAGE('20250815_ETF_Options_Exhibits'!AA2463:AA2467),"")</f>
        <v/>
      </c>
    </row>
    <row r="2468">
      <c r="A2468" s="1" t="n">
        <v>45583</v>
      </c>
      <c r="B2468" s="3">
        <f>IF(ISNUMBER(AVERAGE('20250815_ETF_Options_Exhibits'!B2464:B2468)),AVERAGE('20250815_ETF_Options_Exhibits'!B2464:B2468),"")</f>
        <v/>
      </c>
      <c r="C2468" s="3">
        <f>IF(ISNUMBER(AVERAGE('20250815_ETF_Options_Exhibits'!C2464:C2468)),AVERAGE('20250815_ETF_Options_Exhibits'!C2464:C2468),"")</f>
        <v/>
      </c>
      <c r="D2468" s="3">
        <f>IF(ISNUMBER(AVERAGE('20250815_ETF_Options_Exhibits'!D2464:D2468)),AVERAGE('20250815_ETF_Options_Exhibits'!D2464:D2468),"")</f>
        <v/>
      </c>
      <c r="E2468" s="3">
        <f>IF(ISNUMBER(AVERAGE('20250815_ETF_Options_Exhibits'!E2464:E2468)),AVERAGE('20250815_ETF_Options_Exhibits'!E2464:E2468),"")</f>
        <v/>
      </c>
      <c r="F2468" s="3">
        <f>IF(ISNUMBER(AVERAGE('20250815_ETF_Options_Exhibits'!F2464:F2468)),AVERAGE('20250815_ETF_Options_Exhibits'!F2464:F2468),"")</f>
        <v/>
      </c>
      <c r="G2468" s="3">
        <f>IF(ISNUMBER(AVERAGE('20250815_ETF_Options_Exhibits'!G2464:G2468)),AVERAGE('20250815_ETF_Options_Exhibits'!G2464:G2468),"")</f>
        <v/>
      </c>
      <c r="H2468" s="3">
        <f>IF(ISNUMBER(AVERAGE('20250815_ETF_Options_Exhibits'!H2464:H2468)),AVERAGE('20250815_ETF_Options_Exhibits'!H2464:H2468),"")</f>
        <v/>
      </c>
      <c r="I2468" s="3">
        <f>IF(ISNUMBER(AVERAGE('20250815_ETF_Options_Exhibits'!I2464:I2468)),AVERAGE('20250815_ETF_Options_Exhibits'!I2464:I2468),"")</f>
        <v/>
      </c>
      <c r="J2468" s="3">
        <f>IF(ISNUMBER(AVERAGE('20250815_ETF_Options_Exhibits'!J2464:J2468)),AVERAGE('20250815_ETF_Options_Exhibits'!J2464:J2468),"")</f>
        <v/>
      </c>
      <c r="K2468" s="3">
        <f>IF(ISNUMBER(AVERAGE('20250815_ETF_Options_Exhibits'!K2464:K2468)),AVERAGE('20250815_ETF_Options_Exhibits'!K2464:K2468),"")</f>
        <v/>
      </c>
      <c r="L2468" s="3">
        <f>IF(ISNUMBER(AVERAGE('20250815_ETF_Options_Exhibits'!L2464:L2468)),AVERAGE('20250815_ETF_Options_Exhibits'!L2464:L2468),"")</f>
        <v/>
      </c>
      <c r="M2468" s="3">
        <f>IF(ISNUMBER(AVERAGE('20250815_ETF_Options_Exhibits'!M2464:M2468)),AVERAGE('20250815_ETF_Options_Exhibits'!M2464:M2468),"")</f>
        <v/>
      </c>
      <c r="N2468" s="3">
        <f>IF(ISNUMBER(AVERAGE('20250815_ETF_Options_Exhibits'!N2464:N2468)),AVERAGE('20250815_ETF_Options_Exhibits'!N2464:N2468),"")</f>
        <v/>
      </c>
      <c r="O2468" s="3">
        <f>IF(ISNUMBER(AVERAGE('20250815_ETF_Options_Exhibits'!O2464:O2468)),AVERAGE('20250815_ETF_Options_Exhibits'!O2464:O2468),"")</f>
        <v/>
      </c>
      <c r="P2468" s="3">
        <f>IF(ISNUMBER(AVERAGE('20250815_ETF_Options_Exhibits'!P2464:P2468)),AVERAGE('20250815_ETF_Options_Exhibits'!P2464:P2468),"")</f>
        <v/>
      </c>
      <c r="Q2468" s="3">
        <f>IF(ISNUMBER(AVERAGE('20250815_ETF_Options_Exhibits'!Q2464:Q2468)),AVERAGE('20250815_ETF_Options_Exhibits'!Q2464:Q2468),"")</f>
        <v/>
      </c>
      <c r="R2468" s="3">
        <f>IF(ISNUMBER(AVERAGE('20250815_ETF_Options_Exhibits'!R2464:R2468)),AVERAGE('20250815_ETF_Options_Exhibits'!R2464:R2468),"")</f>
        <v/>
      </c>
      <c r="S2468" s="3">
        <f>IF(ISNUMBER(AVERAGE('20250815_ETF_Options_Exhibits'!S2464:S2468)),AVERAGE('20250815_ETF_Options_Exhibits'!S2464:S2468),"")</f>
        <v/>
      </c>
      <c r="T2468" s="3">
        <f>IF(ISNUMBER(AVERAGE('20250815_ETF_Options_Exhibits'!T2464:T2468)),AVERAGE('20250815_ETF_Options_Exhibits'!T2464:T2468),"")</f>
        <v/>
      </c>
      <c r="U2468" s="3">
        <f>IF(ISNUMBER(AVERAGE('20250815_ETF_Options_Exhibits'!U2464:U2468)),AVERAGE('20250815_ETF_Options_Exhibits'!U2464:U2468),"")</f>
        <v/>
      </c>
      <c r="V2468" s="3">
        <f>IF(ISNUMBER(AVERAGE('20250815_ETF_Options_Exhibits'!V2464:V2468)),AVERAGE('20250815_ETF_Options_Exhibits'!V2464:V2468),"")</f>
        <v/>
      </c>
      <c r="W2468" s="3">
        <f>IF(ISNUMBER(AVERAGE('20250815_ETF_Options_Exhibits'!W2464:W2468)),AVERAGE('20250815_ETF_Options_Exhibits'!W2464:W2468),"")</f>
        <v/>
      </c>
      <c r="X2468" s="3">
        <f>IF(ISNUMBER(AVERAGE('20250815_ETF_Options_Exhibits'!X2464:X2468)),AVERAGE('20250815_ETF_Options_Exhibits'!X2464:X2468),"")</f>
        <v/>
      </c>
      <c r="Y2468" s="3">
        <f>IF(ISNUMBER(AVERAGE('20250815_ETF_Options_Exhibits'!Y2464:Y2468)),AVERAGE('20250815_ETF_Options_Exhibits'!Y2464:Y2468),"")</f>
        <v/>
      </c>
      <c r="Z2468" s="3">
        <f>IF(ISNUMBER(AVERAGE('20250815_ETF_Options_Exhibits'!Z2464:Z2468)),AVERAGE('20250815_ETF_Options_Exhibits'!Z2464:Z2468),"")</f>
        <v/>
      </c>
      <c r="AA2468" s="3">
        <f>IF(ISNUMBER(AVERAGE('20250815_ETF_Options_Exhibits'!AA2464:AA2468)),AVERAGE('20250815_ETF_Options_Exhibits'!AA2464:AA2468),"")</f>
        <v/>
      </c>
    </row>
    <row r="2469">
      <c r="A2469" s="1" t="n">
        <v>45586</v>
      </c>
      <c r="B2469" s="3">
        <f>IF(ISNUMBER(AVERAGE('20250815_ETF_Options_Exhibits'!B2465:B2469)),AVERAGE('20250815_ETF_Options_Exhibits'!B2465:B2469),"")</f>
        <v/>
      </c>
      <c r="C2469" s="3">
        <f>IF(ISNUMBER(AVERAGE('20250815_ETF_Options_Exhibits'!C2465:C2469)),AVERAGE('20250815_ETF_Options_Exhibits'!C2465:C2469),"")</f>
        <v/>
      </c>
      <c r="D2469" s="3">
        <f>IF(ISNUMBER(AVERAGE('20250815_ETF_Options_Exhibits'!D2465:D2469)),AVERAGE('20250815_ETF_Options_Exhibits'!D2465:D2469),"")</f>
        <v/>
      </c>
      <c r="E2469" s="3">
        <f>IF(ISNUMBER(AVERAGE('20250815_ETF_Options_Exhibits'!E2465:E2469)),AVERAGE('20250815_ETF_Options_Exhibits'!E2465:E2469),"")</f>
        <v/>
      </c>
      <c r="F2469" s="3">
        <f>IF(ISNUMBER(AVERAGE('20250815_ETF_Options_Exhibits'!F2465:F2469)),AVERAGE('20250815_ETF_Options_Exhibits'!F2465:F2469),"")</f>
        <v/>
      </c>
      <c r="G2469" s="3">
        <f>IF(ISNUMBER(AVERAGE('20250815_ETF_Options_Exhibits'!G2465:G2469)),AVERAGE('20250815_ETF_Options_Exhibits'!G2465:G2469),"")</f>
        <v/>
      </c>
      <c r="H2469" s="3">
        <f>IF(ISNUMBER(AVERAGE('20250815_ETF_Options_Exhibits'!H2465:H2469)),AVERAGE('20250815_ETF_Options_Exhibits'!H2465:H2469),"")</f>
        <v/>
      </c>
      <c r="I2469" s="3">
        <f>IF(ISNUMBER(AVERAGE('20250815_ETF_Options_Exhibits'!I2465:I2469)),AVERAGE('20250815_ETF_Options_Exhibits'!I2465:I2469),"")</f>
        <v/>
      </c>
      <c r="J2469" s="3">
        <f>IF(ISNUMBER(AVERAGE('20250815_ETF_Options_Exhibits'!J2465:J2469)),AVERAGE('20250815_ETF_Options_Exhibits'!J2465:J2469),"")</f>
        <v/>
      </c>
      <c r="K2469" s="3">
        <f>IF(ISNUMBER(AVERAGE('20250815_ETF_Options_Exhibits'!K2465:K2469)),AVERAGE('20250815_ETF_Options_Exhibits'!K2465:K2469),"")</f>
        <v/>
      </c>
      <c r="L2469" s="3">
        <f>IF(ISNUMBER(AVERAGE('20250815_ETF_Options_Exhibits'!L2465:L2469)),AVERAGE('20250815_ETF_Options_Exhibits'!L2465:L2469),"")</f>
        <v/>
      </c>
      <c r="M2469" s="3">
        <f>IF(ISNUMBER(AVERAGE('20250815_ETF_Options_Exhibits'!M2465:M2469)),AVERAGE('20250815_ETF_Options_Exhibits'!M2465:M2469),"")</f>
        <v/>
      </c>
      <c r="N2469" s="3">
        <f>IF(ISNUMBER(AVERAGE('20250815_ETF_Options_Exhibits'!N2465:N2469)),AVERAGE('20250815_ETF_Options_Exhibits'!N2465:N2469),"")</f>
        <v/>
      </c>
      <c r="O2469" s="3">
        <f>IF(ISNUMBER(AVERAGE('20250815_ETF_Options_Exhibits'!O2465:O2469)),AVERAGE('20250815_ETF_Options_Exhibits'!O2465:O2469),"")</f>
        <v/>
      </c>
      <c r="P2469" s="3">
        <f>IF(ISNUMBER(AVERAGE('20250815_ETF_Options_Exhibits'!P2465:P2469)),AVERAGE('20250815_ETF_Options_Exhibits'!P2465:P2469),"")</f>
        <v/>
      </c>
      <c r="Q2469" s="3">
        <f>IF(ISNUMBER(AVERAGE('20250815_ETF_Options_Exhibits'!Q2465:Q2469)),AVERAGE('20250815_ETF_Options_Exhibits'!Q2465:Q2469),"")</f>
        <v/>
      </c>
      <c r="R2469" s="3">
        <f>IF(ISNUMBER(AVERAGE('20250815_ETF_Options_Exhibits'!R2465:R2469)),AVERAGE('20250815_ETF_Options_Exhibits'!R2465:R2469),"")</f>
        <v/>
      </c>
      <c r="S2469" s="3">
        <f>IF(ISNUMBER(AVERAGE('20250815_ETF_Options_Exhibits'!S2465:S2469)),AVERAGE('20250815_ETF_Options_Exhibits'!S2465:S2469),"")</f>
        <v/>
      </c>
      <c r="T2469" s="3">
        <f>IF(ISNUMBER(AVERAGE('20250815_ETF_Options_Exhibits'!T2465:T2469)),AVERAGE('20250815_ETF_Options_Exhibits'!T2465:T2469),"")</f>
        <v/>
      </c>
      <c r="U2469" s="3">
        <f>IF(ISNUMBER(AVERAGE('20250815_ETF_Options_Exhibits'!U2465:U2469)),AVERAGE('20250815_ETF_Options_Exhibits'!U2465:U2469),"")</f>
        <v/>
      </c>
      <c r="V2469" s="3">
        <f>IF(ISNUMBER(AVERAGE('20250815_ETF_Options_Exhibits'!V2465:V2469)),AVERAGE('20250815_ETF_Options_Exhibits'!V2465:V2469),"")</f>
        <v/>
      </c>
      <c r="W2469" s="3">
        <f>IF(ISNUMBER(AVERAGE('20250815_ETF_Options_Exhibits'!W2465:W2469)),AVERAGE('20250815_ETF_Options_Exhibits'!W2465:W2469),"")</f>
        <v/>
      </c>
      <c r="X2469" s="3">
        <f>IF(ISNUMBER(AVERAGE('20250815_ETF_Options_Exhibits'!X2465:X2469)),AVERAGE('20250815_ETF_Options_Exhibits'!X2465:X2469),"")</f>
        <v/>
      </c>
      <c r="Y2469" s="3">
        <f>IF(ISNUMBER(AVERAGE('20250815_ETF_Options_Exhibits'!Y2465:Y2469)),AVERAGE('20250815_ETF_Options_Exhibits'!Y2465:Y2469),"")</f>
        <v/>
      </c>
      <c r="Z2469" s="3">
        <f>IF(ISNUMBER(AVERAGE('20250815_ETF_Options_Exhibits'!Z2465:Z2469)),AVERAGE('20250815_ETF_Options_Exhibits'!Z2465:Z2469),"")</f>
        <v/>
      </c>
      <c r="AA2469" s="3">
        <f>IF(ISNUMBER(AVERAGE('20250815_ETF_Options_Exhibits'!AA2465:AA2469)),AVERAGE('20250815_ETF_Options_Exhibits'!AA2465:AA2469),"")</f>
        <v/>
      </c>
    </row>
    <row r="2470">
      <c r="A2470" s="1" t="n">
        <v>45587</v>
      </c>
      <c r="B2470" s="3">
        <f>IF(ISNUMBER(AVERAGE('20250815_ETF_Options_Exhibits'!B2466:B2470)),AVERAGE('20250815_ETF_Options_Exhibits'!B2466:B2470),"")</f>
        <v/>
      </c>
      <c r="C2470" s="3">
        <f>IF(ISNUMBER(AVERAGE('20250815_ETF_Options_Exhibits'!C2466:C2470)),AVERAGE('20250815_ETF_Options_Exhibits'!C2466:C2470),"")</f>
        <v/>
      </c>
      <c r="D2470" s="3">
        <f>IF(ISNUMBER(AVERAGE('20250815_ETF_Options_Exhibits'!D2466:D2470)),AVERAGE('20250815_ETF_Options_Exhibits'!D2466:D2470),"")</f>
        <v/>
      </c>
      <c r="E2470" s="3">
        <f>IF(ISNUMBER(AVERAGE('20250815_ETF_Options_Exhibits'!E2466:E2470)),AVERAGE('20250815_ETF_Options_Exhibits'!E2466:E2470),"")</f>
        <v/>
      </c>
      <c r="F2470" s="3">
        <f>IF(ISNUMBER(AVERAGE('20250815_ETF_Options_Exhibits'!F2466:F2470)),AVERAGE('20250815_ETF_Options_Exhibits'!F2466:F2470),"")</f>
        <v/>
      </c>
      <c r="G2470" s="3">
        <f>IF(ISNUMBER(AVERAGE('20250815_ETF_Options_Exhibits'!G2466:G2470)),AVERAGE('20250815_ETF_Options_Exhibits'!G2466:G2470),"")</f>
        <v/>
      </c>
      <c r="H2470" s="3">
        <f>IF(ISNUMBER(AVERAGE('20250815_ETF_Options_Exhibits'!H2466:H2470)),AVERAGE('20250815_ETF_Options_Exhibits'!H2466:H2470),"")</f>
        <v/>
      </c>
      <c r="I2470" s="3">
        <f>IF(ISNUMBER(AVERAGE('20250815_ETF_Options_Exhibits'!I2466:I2470)),AVERAGE('20250815_ETF_Options_Exhibits'!I2466:I2470),"")</f>
        <v/>
      </c>
      <c r="J2470" s="3">
        <f>IF(ISNUMBER(AVERAGE('20250815_ETF_Options_Exhibits'!J2466:J2470)),AVERAGE('20250815_ETF_Options_Exhibits'!J2466:J2470),"")</f>
        <v/>
      </c>
      <c r="K2470" s="3">
        <f>IF(ISNUMBER(AVERAGE('20250815_ETF_Options_Exhibits'!K2466:K2470)),AVERAGE('20250815_ETF_Options_Exhibits'!K2466:K2470),"")</f>
        <v/>
      </c>
      <c r="L2470" s="3">
        <f>IF(ISNUMBER(AVERAGE('20250815_ETF_Options_Exhibits'!L2466:L2470)),AVERAGE('20250815_ETF_Options_Exhibits'!L2466:L2470),"")</f>
        <v/>
      </c>
      <c r="M2470" s="3">
        <f>IF(ISNUMBER(AVERAGE('20250815_ETF_Options_Exhibits'!M2466:M2470)),AVERAGE('20250815_ETF_Options_Exhibits'!M2466:M2470),"")</f>
        <v/>
      </c>
      <c r="N2470" s="3">
        <f>IF(ISNUMBER(AVERAGE('20250815_ETF_Options_Exhibits'!N2466:N2470)),AVERAGE('20250815_ETF_Options_Exhibits'!N2466:N2470),"")</f>
        <v/>
      </c>
      <c r="O2470" s="3">
        <f>IF(ISNUMBER(AVERAGE('20250815_ETF_Options_Exhibits'!O2466:O2470)),AVERAGE('20250815_ETF_Options_Exhibits'!O2466:O2470),"")</f>
        <v/>
      </c>
      <c r="P2470" s="3">
        <f>IF(ISNUMBER(AVERAGE('20250815_ETF_Options_Exhibits'!P2466:P2470)),AVERAGE('20250815_ETF_Options_Exhibits'!P2466:P2470),"")</f>
        <v/>
      </c>
      <c r="Q2470" s="3">
        <f>IF(ISNUMBER(AVERAGE('20250815_ETF_Options_Exhibits'!Q2466:Q2470)),AVERAGE('20250815_ETF_Options_Exhibits'!Q2466:Q2470),"")</f>
        <v/>
      </c>
      <c r="R2470" s="3">
        <f>IF(ISNUMBER(AVERAGE('20250815_ETF_Options_Exhibits'!R2466:R2470)),AVERAGE('20250815_ETF_Options_Exhibits'!R2466:R2470),"")</f>
        <v/>
      </c>
      <c r="S2470" s="3">
        <f>IF(ISNUMBER(AVERAGE('20250815_ETF_Options_Exhibits'!S2466:S2470)),AVERAGE('20250815_ETF_Options_Exhibits'!S2466:S2470),"")</f>
        <v/>
      </c>
      <c r="T2470" s="3">
        <f>IF(ISNUMBER(AVERAGE('20250815_ETF_Options_Exhibits'!T2466:T2470)),AVERAGE('20250815_ETF_Options_Exhibits'!T2466:T2470),"")</f>
        <v/>
      </c>
      <c r="U2470" s="3">
        <f>IF(ISNUMBER(AVERAGE('20250815_ETF_Options_Exhibits'!U2466:U2470)),AVERAGE('20250815_ETF_Options_Exhibits'!U2466:U2470),"")</f>
        <v/>
      </c>
      <c r="V2470" s="3">
        <f>IF(ISNUMBER(AVERAGE('20250815_ETF_Options_Exhibits'!V2466:V2470)),AVERAGE('20250815_ETF_Options_Exhibits'!V2466:V2470),"")</f>
        <v/>
      </c>
      <c r="W2470" s="3">
        <f>IF(ISNUMBER(AVERAGE('20250815_ETF_Options_Exhibits'!W2466:W2470)),AVERAGE('20250815_ETF_Options_Exhibits'!W2466:W2470),"")</f>
        <v/>
      </c>
      <c r="X2470" s="3">
        <f>IF(ISNUMBER(AVERAGE('20250815_ETF_Options_Exhibits'!X2466:X2470)),AVERAGE('20250815_ETF_Options_Exhibits'!X2466:X2470),"")</f>
        <v/>
      </c>
      <c r="Y2470" s="3">
        <f>IF(ISNUMBER(AVERAGE('20250815_ETF_Options_Exhibits'!Y2466:Y2470)),AVERAGE('20250815_ETF_Options_Exhibits'!Y2466:Y2470),"")</f>
        <v/>
      </c>
      <c r="Z2470" s="3">
        <f>IF(ISNUMBER(AVERAGE('20250815_ETF_Options_Exhibits'!Z2466:Z2470)),AVERAGE('20250815_ETF_Options_Exhibits'!Z2466:Z2470),"")</f>
        <v/>
      </c>
      <c r="AA2470" s="3">
        <f>IF(ISNUMBER(AVERAGE('20250815_ETF_Options_Exhibits'!AA2466:AA2470)),AVERAGE('20250815_ETF_Options_Exhibits'!AA2466:AA2470),"")</f>
        <v/>
      </c>
    </row>
    <row r="2471">
      <c r="A2471" s="1" t="n">
        <v>45588</v>
      </c>
      <c r="B2471" s="3">
        <f>IF(ISNUMBER(AVERAGE('20250815_ETF_Options_Exhibits'!B2467:B2471)),AVERAGE('20250815_ETF_Options_Exhibits'!B2467:B2471),"")</f>
        <v/>
      </c>
      <c r="C2471" s="3">
        <f>IF(ISNUMBER(AVERAGE('20250815_ETF_Options_Exhibits'!C2467:C2471)),AVERAGE('20250815_ETF_Options_Exhibits'!C2467:C2471),"")</f>
        <v/>
      </c>
      <c r="D2471" s="3">
        <f>IF(ISNUMBER(AVERAGE('20250815_ETF_Options_Exhibits'!D2467:D2471)),AVERAGE('20250815_ETF_Options_Exhibits'!D2467:D2471),"")</f>
        <v/>
      </c>
      <c r="E2471" s="3">
        <f>IF(ISNUMBER(AVERAGE('20250815_ETF_Options_Exhibits'!E2467:E2471)),AVERAGE('20250815_ETF_Options_Exhibits'!E2467:E2471),"")</f>
        <v/>
      </c>
      <c r="F2471" s="3">
        <f>IF(ISNUMBER(AVERAGE('20250815_ETF_Options_Exhibits'!F2467:F2471)),AVERAGE('20250815_ETF_Options_Exhibits'!F2467:F2471),"")</f>
        <v/>
      </c>
      <c r="G2471" s="3">
        <f>IF(ISNUMBER(AVERAGE('20250815_ETF_Options_Exhibits'!G2467:G2471)),AVERAGE('20250815_ETF_Options_Exhibits'!G2467:G2471),"")</f>
        <v/>
      </c>
      <c r="H2471" s="3">
        <f>IF(ISNUMBER(AVERAGE('20250815_ETF_Options_Exhibits'!H2467:H2471)),AVERAGE('20250815_ETF_Options_Exhibits'!H2467:H2471),"")</f>
        <v/>
      </c>
      <c r="I2471" s="3">
        <f>IF(ISNUMBER(AVERAGE('20250815_ETF_Options_Exhibits'!I2467:I2471)),AVERAGE('20250815_ETF_Options_Exhibits'!I2467:I2471),"")</f>
        <v/>
      </c>
      <c r="J2471" s="3">
        <f>IF(ISNUMBER(AVERAGE('20250815_ETF_Options_Exhibits'!J2467:J2471)),AVERAGE('20250815_ETF_Options_Exhibits'!J2467:J2471),"")</f>
        <v/>
      </c>
      <c r="K2471" s="3">
        <f>IF(ISNUMBER(AVERAGE('20250815_ETF_Options_Exhibits'!K2467:K2471)),AVERAGE('20250815_ETF_Options_Exhibits'!K2467:K2471),"")</f>
        <v/>
      </c>
      <c r="L2471" s="3">
        <f>IF(ISNUMBER(AVERAGE('20250815_ETF_Options_Exhibits'!L2467:L2471)),AVERAGE('20250815_ETF_Options_Exhibits'!L2467:L2471),"")</f>
        <v/>
      </c>
      <c r="M2471" s="3">
        <f>IF(ISNUMBER(AVERAGE('20250815_ETF_Options_Exhibits'!M2467:M2471)),AVERAGE('20250815_ETF_Options_Exhibits'!M2467:M2471),"")</f>
        <v/>
      </c>
      <c r="N2471" s="3">
        <f>IF(ISNUMBER(AVERAGE('20250815_ETF_Options_Exhibits'!N2467:N2471)),AVERAGE('20250815_ETF_Options_Exhibits'!N2467:N2471),"")</f>
        <v/>
      </c>
      <c r="O2471" s="3">
        <f>IF(ISNUMBER(AVERAGE('20250815_ETF_Options_Exhibits'!O2467:O2471)),AVERAGE('20250815_ETF_Options_Exhibits'!O2467:O2471),"")</f>
        <v/>
      </c>
      <c r="P2471" s="3">
        <f>IF(ISNUMBER(AVERAGE('20250815_ETF_Options_Exhibits'!P2467:P2471)),AVERAGE('20250815_ETF_Options_Exhibits'!P2467:P2471),"")</f>
        <v/>
      </c>
      <c r="Q2471" s="3">
        <f>IF(ISNUMBER(AVERAGE('20250815_ETF_Options_Exhibits'!Q2467:Q2471)),AVERAGE('20250815_ETF_Options_Exhibits'!Q2467:Q2471),"")</f>
        <v/>
      </c>
      <c r="R2471" s="3">
        <f>IF(ISNUMBER(AVERAGE('20250815_ETF_Options_Exhibits'!R2467:R2471)),AVERAGE('20250815_ETF_Options_Exhibits'!R2467:R2471),"")</f>
        <v/>
      </c>
      <c r="S2471" s="3">
        <f>IF(ISNUMBER(AVERAGE('20250815_ETF_Options_Exhibits'!S2467:S2471)),AVERAGE('20250815_ETF_Options_Exhibits'!S2467:S2471),"")</f>
        <v/>
      </c>
      <c r="T2471" s="3">
        <f>IF(ISNUMBER(AVERAGE('20250815_ETF_Options_Exhibits'!T2467:T2471)),AVERAGE('20250815_ETF_Options_Exhibits'!T2467:T2471),"")</f>
        <v/>
      </c>
      <c r="U2471" s="3">
        <f>IF(ISNUMBER(AVERAGE('20250815_ETF_Options_Exhibits'!U2467:U2471)),AVERAGE('20250815_ETF_Options_Exhibits'!U2467:U2471),"")</f>
        <v/>
      </c>
      <c r="V2471" s="3">
        <f>IF(ISNUMBER(AVERAGE('20250815_ETF_Options_Exhibits'!V2467:V2471)),AVERAGE('20250815_ETF_Options_Exhibits'!V2467:V2471),"")</f>
        <v/>
      </c>
      <c r="W2471" s="3">
        <f>IF(ISNUMBER(AVERAGE('20250815_ETF_Options_Exhibits'!W2467:W2471)),AVERAGE('20250815_ETF_Options_Exhibits'!W2467:W2471),"")</f>
        <v/>
      </c>
      <c r="X2471" s="3">
        <f>IF(ISNUMBER(AVERAGE('20250815_ETF_Options_Exhibits'!X2467:X2471)),AVERAGE('20250815_ETF_Options_Exhibits'!X2467:X2471),"")</f>
        <v/>
      </c>
      <c r="Y2471" s="3">
        <f>IF(ISNUMBER(AVERAGE('20250815_ETF_Options_Exhibits'!Y2467:Y2471)),AVERAGE('20250815_ETF_Options_Exhibits'!Y2467:Y2471),"")</f>
        <v/>
      </c>
      <c r="Z2471" s="3">
        <f>IF(ISNUMBER(AVERAGE('20250815_ETF_Options_Exhibits'!Z2467:Z2471)),AVERAGE('20250815_ETF_Options_Exhibits'!Z2467:Z2471),"")</f>
        <v/>
      </c>
      <c r="AA2471" s="3">
        <f>IF(ISNUMBER(AVERAGE('20250815_ETF_Options_Exhibits'!AA2467:AA2471)),AVERAGE('20250815_ETF_Options_Exhibits'!AA2467:AA2471),"")</f>
        <v/>
      </c>
    </row>
    <row r="2472">
      <c r="A2472" s="1" t="n">
        <v>45589</v>
      </c>
      <c r="B2472" s="3">
        <f>IF(ISNUMBER(AVERAGE('20250815_ETF_Options_Exhibits'!B2468:B2472)),AVERAGE('20250815_ETF_Options_Exhibits'!B2468:B2472),"")</f>
        <v/>
      </c>
      <c r="C2472" s="3">
        <f>IF(ISNUMBER(AVERAGE('20250815_ETF_Options_Exhibits'!C2468:C2472)),AVERAGE('20250815_ETF_Options_Exhibits'!C2468:C2472),"")</f>
        <v/>
      </c>
      <c r="D2472" s="3">
        <f>IF(ISNUMBER(AVERAGE('20250815_ETF_Options_Exhibits'!D2468:D2472)),AVERAGE('20250815_ETF_Options_Exhibits'!D2468:D2472),"")</f>
        <v/>
      </c>
      <c r="E2472" s="3">
        <f>IF(ISNUMBER(AVERAGE('20250815_ETF_Options_Exhibits'!E2468:E2472)),AVERAGE('20250815_ETF_Options_Exhibits'!E2468:E2472),"")</f>
        <v/>
      </c>
      <c r="F2472" s="3">
        <f>IF(ISNUMBER(AVERAGE('20250815_ETF_Options_Exhibits'!F2468:F2472)),AVERAGE('20250815_ETF_Options_Exhibits'!F2468:F2472),"")</f>
        <v/>
      </c>
      <c r="G2472" s="3">
        <f>IF(ISNUMBER(AVERAGE('20250815_ETF_Options_Exhibits'!G2468:G2472)),AVERAGE('20250815_ETF_Options_Exhibits'!G2468:G2472),"")</f>
        <v/>
      </c>
      <c r="H2472" s="3">
        <f>IF(ISNUMBER(AVERAGE('20250815_ETF_Options_Exhibits'!H2468:H2472)),AVERAGE('20250815_ETF_Options_Exhibits'!H2468:H2472),"")</f>
        <v/>
      </c>
      <c r="I2472" s="3">
        <f>IF(ISNUMBER(AVERAGE('20250815_ETF_Options_Exhibits'!I2468:I2472)),AVERAGE('20250815_ETF_Options_Exhibits'!I2468:I2472),"")</f>
        <v/>
      </c>
      <c r="J2472" s="3">
        <f>IF(ISNUMBER(AVERAGE('20250815_ETF_Options_Exhibits'!J2468:J2472)),AVERAGE('20250815_ETF_Options_Exhibits'!J2468:J2472),"")</f>
        <v/>
      </c>
      <c r="K2472" s="3">
        <f>IF(ISNUMBER(AVERAGE('20250815_ETF_Options_Exhibits'!K2468:K2472)),AVERAGE('20250815_ETF_Options_Exhibits'!K2468:K2472),"")</f>
        <v/>
      </c>
      <c r="L2472" s="3">
        <f>IF(ISNUMBER(AVERAGE('20250815_ETF_Options_Exhibits'!L2468:L2472)),AVERAGE('20250815_ETF_Options_Exhibits'!L2468:L2472),"")</f>
        <v/>
      </c>
      <c r="M2472" s="3">
        <f>IF(ISNUMBER(AVERAGE('20250815_ETF_Options_Exhibits'!M2468:M2472)),AVERAGE('20250815_ETF_Options_Exhibits'!M2468:M2472),"")</f>
        <v/>
      </c>
      <c r="N2472" s="3">
        <f>IF(ISNUMBER(AVERAGE('20250815_ETF_Options_Exhibits'!N2468:N2472)),AVERAGE('20250815_ETF_Options_Exhibits'!N2468:N2472),"")</f>
        <v/>
      </c>
      <c r="O2472" s="3">
        <f>IF(ISNUMBER(AVERAGE('20250815_ETF_Options_Exhibits'!O2468:O2472)),AVERAGE('20250815_ETF_Options_Exhibits'!O2468:O2472),"")</f>
        <v/>
      </c>
      <c r="P2472" s="3">
        <f>IF(ISNUMBER(AVERAGE('20250815_ETF_Options_Exhibits'!P2468:P2472)),AVERAGE('20250815_ETF_Options_Exhibits'!P2468:P2472),"")</f>
        <v/>
      </c>
      <c r="Q2472" s="3">
        <f>IF(ISNUMBER(AVERAGE('20250815_ETF_Options_Exhibits'!Q2468:Q2472)),AVERAGE('20250815_ETF_Options_Exhibits'!Q2468:Q2472),"")</f>
        <v/>
      </c>
      <c r="R2472" s="3">
        <f>IF(ISNUMBER(AVERAGE('20250815_ETF_Options_Exhibits'!R2468:R2472)),AVERAGE('20250815_ETF_Options_Exhibits'!R2468:R2472),"")</f>
        <v/>
      </c>
      <c r="S2472" s="3">
        <f>IF(ISNUMBER(AVERAGE('20250815_ETF_Options_Exhibits'!S2468:S2472)),AVERAGE('20250815_ETF_Options_Exhibits'!S2468:S2472),"")</f>
        <v/>
      </c>
      <c r="T2472" s="3">
        <f>IF(ISNUMBER(AVERAGE('20250815_ETF_Options_Exhibits'!T2468:T2472)),AVERAGE('20250815_ETF_Options_Exhibits'!T2468:T2472),"")</f>
        <v/>
      </c>
      <c r="U2472" s="3">
        <f>IF(ISNUMBER(AVERAGE('20250815_ETF_Options_Exhibits'!U2468:U2472)),AVERAGE('20250815_ETF_Options_Exhibits'!U2468:U2472),"")</f>
        <v/>
      </c>
      <c r="V2472" s="3">
        <f>IF(ISNUMBER(AVERAGE('20250815_ETF_Options_Exhibits'!V2468:V2472)),AVERAGE('20250815_ETF_Options_Exhibits'!V2468:V2472),"")</f>
        <v/>
      </c>
      <c r="W2472" s="3">
        <f>IF(ISNUMBER(AVERAGE('20250815_ETF_Options_Exhibits'!W2468:W2472)),AVERAGE('20250815_ETF_Options_Exhibits'!W2468:W2472),"")</f>
        <v/>
      </c>
      <c r="X2472" s="3">
        <f>IF(ISNUMBER(AVERAGE('20250815_ETF_Options_Exhibits'!X2468:X2472)),AVERAGE('20250815_ETF_Options_Exhibits'!X2468:X2472),"")</f>
        <v/>
      </c>
      <c r="Y2472" s="3">
        <f>IF(ISNUMBER(AVERAGE('20250815_ETF_Options_Exhibits'!Y2468:Y2472)),AVERAGE('20250815_ETF_Options_Exhibits'!Y2468:Y2472),"")</f>
        <v/>
      </c>
      <c r="Z2472" s="3">
        <f>IF(ISNUMBER(AVERAGE('20250815_ETF_Options_Exhibits'!Z2468:Z2472)),AVERAGE('20250815_ETF_Options_Exhibits'!Z2468:Z2472),"")</f>
        <v/>
      </c>
      <c r="AA2472" s="3">
        <f>IF(ISNUMBER(AVERAGE('20250815_ETF_Options_Exhibits'!AA2468:AA2472)),AVERAGE('20250815_ETF_Options_Exhibits'!AA2468:AA2472),"")</f>
        <v/>
      </c>
    </row>
    <row r="2473">
      <c r="A2473" s="1" t="n">
        <v>45590</v>
      </c>
      <c r="B2473" s="3">
        <f>IF(ISNUMBER(AVERAGE('20250815_ETF_Options_Exhibits'!B2469:B2473)),AVERAGE('20250815_ETF_Options_Exhibits'!B2469:B2473),"")</f>
        <v/>
      </c>
      <c r="C2473" s="3">
        <f>IF(ISNUMBER(AVERAGE('20250815_ETF_Options_Exhibits'!C2469:C2473)),AVERAGE('20250815_ETF_Options_Exhibits'!C2469:C2473),"")</f>
        <v/>
      </c>
      <c r="D2473" s="3">
        <f>IF(ISNUMBER(AVERAGE('20250815_ETF_Options_Exhibits'!D2469:D2473)),AVERAGE('20250815_ETF_Options_Exhibits'!D2469:D2473),"")</f>
        <v/>
      </c>
      <c r="E2473" s="3">
        <f>IF(ISNUMBER(AVERAGE('20250815_ETF_Options_Exhibits'!E2469:E2473)),AVERAGE('20250815_ETF_Options_Exhibits'!E2469:E2473),"")</f>
        <v/>
      </c>
      <c r="F2473" s="3">
        <f>IF(ISNUMBER(AVERAGE('20250815_ETF_Options_Exhibits'!F2469:F2473)),AVERAGE('20250815_ETF_Options_Exhibits'!F2469:F2473),"")</f>
        <v/>
      </c>
      <c r="G2473" s="3">
        <f>IF(ISNUMBER(AVERAGE('20250815_ETF_Options_Exhibits'!G2469:G2473)),AVERAGE('20250815_ETF_Options_Exhibits'!G2469:G2473),"")</f>
        <v/>
      </c>
      <c r="H2473" s="3">
        <f>IF(ISNUMBER(AVERAGE('20250815_ETF_Options_Exhibits'!H2469:H2473)),AVERAGE('20250815_ETF_Options_Exhibits'!H2469:H2473),"")</f>
        <v/>
      </c>
      <c r="I2473" s="3">
        <f>IF(ISNUMBER(AVERAGE('20250815_ETF_Options_Exhibits'!I2469:I2473)),AVERAGE('20250815_ETF_Options_Exhibits'!I2469:I2473),"")</f>
        <v/>
      </c>
      <c r="J2473" s="3">
        <f>IF(ISNUMBER(AVERAGE('20250815_ETF_Options_Exhibits'!J2469:J2473)),AVERAGE('20250815_ETF_Options_Exhibits'!J2469:J2473),"")</f>
        <v/>
      </c>
      <c r="K2473" s="3">
        <f>IF(ISNUMBER(AVERAGE('20250815_ETF_Options_Exhibits'!K2469:K2473)),AVERAGE('20250815_ETF_Options_Exhibits'!K2469:K2473),"")</f>
        <v/>
      </c>
      <c r="L2473" s="3">
        <f>IF(ISNUMBER(AVERAGE('20250815_ETF_Options_Exhibits'!L2469:L2473)),AVERAGE('20250815_ETF_Options_Exhibits'!L2469:L2473),"")</f>
        <v/>
      </c>
      <c r="M2473" s="3">
        <f>IF(ISNUMBER(AVERAGE('20250815_ETF_Options_Exhibits'!M2469:M2473)),AVERAGE('20250815_ETF_Options_Exhibits'!M2469:M2473),"")</f>
        <v/>
      </c>
      <c r="N2473" s="3">
        <f>IF(ISNUMBER(AVERAGE('20250815_ETF_Options_Exhibits'!N2469:N2473)),AVERAGE('20250815_ETF_Options_Exhibits'!N2469:N2473),"")</f>
        <v/>
      </c>
      <c r="O2473" s="3">
        <f>IF(ISNUMBER(AVERAGE('20250815_ETF_Options_Exhibits'!O2469:O2473)),AVERAGE('20250815_ETF_Options_Exhibits'!O2469:O2473),"")</f>
        <v/>
      </c>
      <c r="P2473" s="3">
        <f>IF(ISNUMBER(AVERAGE('20250815_ETF_Options_Exhibits'!P2469:P2473)),AVERAGE('20250815_ETF_Options_Exhibits'!P2469:P2473),"")</f>
        <v/>
      </c>
      <c r="Q2473" s="3">
        <f>IF(ISNUMBER(AVERAGE('20250815_ETF_Options_Exhibits'!Q2469:Q2473)),AVERAGE('20250815_ETF_Options_Exhibits'!Q2469:Q2473),"")</f>
        <v/>
      </c>
      <c r="R2473" s="3">
        <f>IF(ISNUMBER(AVERAGE('20250815_ETF_Options_Exhibits'!R2469:R2473)),AVERAGE('20250815_ETF_Options_Exhibits'!R2469:R2473),"")</f>
        <v/>
      </c>
      <c r="S2473" s="3">
        <f>IF(ISNUMBER(AVERAGE('20250815_ETF_Options_Exhibits'!S2469:S2473)),AVERAGE('20250815_ETF_Options_Exhibits'!S2469:S2473),"")</f>
        <v/>
      </c>
      <c r="T2473" s="3">
        <f>IF(ISNUMBER(AVERAGE('20250815_ETF_Options_Exhibits'!T2469:T2473)),AVERAGE('20250815_ETF_Options_Exhibits'!T2469:T2473),"")</f>
        <v/>
      </c>
      <c r="U2473" s="3">
        <f>IF(ISNUMBER(AVERAGE('20250815_ETF_Options_Exhibits'!U2469:U2473)),AVERAGE('20250815_ETF_Options_Exhibits'!U2469:U2473),"")</f>
        <v/>
      </c>
      <c r="V2473" s="3">
        <f>IF(ISNUMBER(AVERAGE('20250815_ETF_Options_Exhibits'!V2469:V2473)),AVERAGE('20250815_ETF_Options_Exhibits'!V2469:V2473),"")</f>
        <v/>
      </c>
      <c r="W2473" s="3">
        <f>IF(ISNUMBER(AVERAGE('20250815_ETF_Options_Exhibits'!W2469:W2473)),AVERAGE('20250815_ETF_Options_Exhibits'!W2469:W2473),"")</f>
        <v/>
      </c>
      <c r="X2473" s="3">
        <f>IF(ISNUMBER(AVERAGE('20250815_ETF_Options_Exhibits'!X2469:X2473)),AVERAGE('20250815_ETF_Options_Exhibits'!X2469:X2473),"")</f>
        <v/>
      </c>
      <c r="Y2473" s="3">
        <f>IF(ISNUMBER(AVERAGE('20250815_ETF_Options_Exhibits'!Y2469:Y2473)),AVERAGE('20250815_ETF_Options_Exhibits'!Y2469:Y2473),"")</f>
        <v/>
      </c>
      <c r="Z2473" s="3">
        <f>IF(ISNUMBER(AVERAGE('20250815_ETF_Options_Exhibits'!Z2469:Z2473)),AVERAGE('20250815_ETF_Options_Exhibits'!Z2469:Z2473),"")</f>
        <v/>
      </c>
      <c r="AA2473" s="3">
        <f>IF(ISNUMBER(AVERAGE('20250815_ETF_Options_Exhibits'!AA2469:AA2473)),AVERAGE('20250815_ETF_Options_Exhibits'!AA2469:AA2473),"")</f>
        <v/>
      </c>
    </row>
    <row r="2474">
      <c r="A2474" s="1" t="n">
        <v>45593</v>
      </c>
      <c r="B2474" s="3">
        <f>IF(ISNUMBER(AVERAGE('20250815_ETF_Options_Exhibits'!B2470:B2474)),AVERAGE('20250815_ETF_Options_Exhibits'!B2470:B2474),"")</f>
        <v/>
      </c>
      <c r="C2474" s="3">
        <f>IF(ISNUMBER(AVERAGE('20250815_ETF_Options_Exhibits'!C2470:C2474)),AVERAGE('20250815_ETF_Options_Exhibits'!C2470:C2474),"")</f>
        <v/>
      </c>
      <c r="D2474" s="3">
        <f>IF(ISNUMBER(AVERAGE('20250815_ETF_Options_Exhibits'!D2470:D2474)),AVERAGE('20250815_ETF_Options_Exhibits'!D2470:D2474),"")</f>
        <v/>
      </c>
      <c r="E2474" s="3">
        <f>IF(ISNUMBER(AVERAGE('20250815_ETF_Options_Exhibits'!E2470:E2474)),AVERAGE('20250815_ETF_Options_Exhibits'!E2470:E2474),"")</f>
        <v/>
      </c>
      <c r="F2474" s="3">
        <f>IF(ISNUMBER(AVERAGE('20250815_ETF_Options_Exhibits'!F2470:F2474)),AVERAGE('20250815_ETF_Options_Exhibits'!F2470:F2474),"")</f>
        <v/>
      </c>
      <c r="G2474" s="3">
        <f>IF(ISNUMBER(AVERAGE('20250815_ETF_Options_Exhibits'!G2470:G2474)),AVERAGE('20250815_ETF_Options_Exhibits'!G2470:G2474),"")</f>
        <v/>
      </c>
      <c r="H2474" s="3">
        <f>IF(ISNUMBER(AVERAGE('20250815_ETF_Options_Exhibits'!H2470:H2474)),AVERAGE('20250815_ETF_Options_Exhibits'!H2470:H2474),"")</f>
        <v/>
      </c>
      <c r="I2474" s="3">
        <f>IF(ISNUMBER(AVERAGE('20250815_ETF_Options_Exhibits'!I2470:I2474)),AVERAGE('20250815_ETF_Options_Exhibits'!I2470:I2474),"")</f>
        <v/>
      </c>
      <c r="J2474" s="3">
        <f>IF(ISNUMBER(AVERAGE('20250815_ETF_Options_Exhibits'!J2470:J2474)),AVERAGE('20250815_ETF_Options_Exhibits'!J2470:J2474),"")</f>
        <v/>
      </c>
      <c r="K2474" s="3">
        <f>IF(ISNUMBER(AVERAGE('20250815_ETF_Options_Exhibits'!K2470:K2474)),AVERAGE('20250815_ETF_Options_Exhibits'!K2470:K2474),"")</f>
        <v/>
      </c>
      <c r="L2474" s="3">
        <f>IF(ISNUMBER(AVERAGE('20250815_ETF_Options_Exhibits'!L2470:L2474)),AVERAGE('20250815_ETF_Options_Exhibits'!L2470:L2474),"")</f>
        <v/>
      </c>
      <c r="M2474" s="3">
        <f>IF(ISNUMBER(AVERAGE('20250815_ETF_Options_Exhibits'!M2470:M2474)),AVERAGE('20250815_ETF_Options_Exhibits'!M2470:M2474),"")</f>
        <v/>
      </c>
      <c r="N2474" s="3">
        <f>IF(ISNUMBER(AVERAGE('20250815_ETF_Options_Exhibits'!N2470:N2474)),AVERAGE('20250815_ETF_Options_Exhibits'!N2470:N2474),"")</f>
        <v/>
      </c>
      <c r="O2474" s="3">
        <f>IF(ISNUMBER(AVERAGE('20250815_ETF_Options_Exhibits'!O2470:O2474)),AVERAGE('20250815_ETF_Options_Exhibits'!O2470:O2474),"")</f>
        <v/>
      </c>
      <c r="P2474" s="3">
        <f>IF(ISNUMBER(AVERAGE('20250815_ETF_Options_Exhibits'!P2470:P2474)),AVERAGE('20250815_ETF_Options_Exhibits'!P2470:P2474),"")</f>
        <v/>
      </c>
      <c r="Q2474" s="3">
        <f>IF(ISNUMBER(AVERAGE('20250815_ETF_Options_Exhibits'!Q2470:Q2474)),AVERAGE('20250815_ETF_Options_Exhibits'!Q2470:Q2474),"")</f>
        <v/>
      </c>
      <c r="R2474" s="3">
        <f>IF(ISNUMBER(AVERAGE('20250815_ETF_Options_Exhibits'!R2470:R2474)),AVERAGE('20250815_ETF_Options_Exhibits'!R2470:R2474),"")</f>
        <v/>
      </c>
      <c r="S2474" s="3">
        <f>IF(ISNUMBER(AVERAGE('20250815_ETF_Options_Exhibits'!S2470:S2474)),AVERAGE('20250815_ETF_Options_Exhibits'!S2470:S2474),"")</f>
        <v/>
      </c>
      <c r="T2474" s="3">
        <f>IF(ISNUMBER(AVERAGE('20250815_ETF_Options_Exhibits'!T2470:T2474)),AVERAGE('20250815_ETF_Options_Exhibits'!T2470:T2474),"")</f>
        <v/>
      </c>
      <c r="U2474" s="3">
        <f>IF(ISNUMBER(AVERAGE('20250815_ETF_Options_Exhibits'!U2470:U2474)),AVERAGE('20250815_ETF_Options_Exhibits'!U2470:U2474),"")</f>
        <v/>
      </c>
      <c r="V2474" s="3">
        <f>IF(ISNUMBER(AVERAGE('20250815_ETF_Options_Exhibits'!V2470:V2474)),AVERAGE('20250815_ETF_Options_Exhibits'!V2470:V2474),"")</f>
        <v/>
      </c>
      <c r="W2474" s="3">
        <f>IF(ISNUMBER(AVERAGE('20250815_ETF_Options_Exhibits'!W2470:W2474)),AVERAGE('20250815_ETF_Options_Exhibits'!W2470:W2474),"")</f>
        <v/>
      </c>
      <c r="X2474" s="3">
        <f>IF(ISNUMBER(AVERAGE('20250815_ETF_Options_Exhibits'!X2470:X2474)),AVERAGE('20250815_ETF_Options_Exhibits'!X2470:X2474),"")</f>
        <v/>
      </c>
      <c r="Y2474" s="3">
        <f>IF(ISNUMBER(AVERAGE('20250815_ETF_Options_Exhibits'!Y2470:Y2474)),AVERAGE('20250815_ETF_Options_Exhibits'!Y2470:Y2474),"")</f>
        <v/>
      </c>
      <c r="Z2474" s="3">
        <f>IF(ISNUMBER(AVERAGE('20250815_ETF_Options_Exhibits'!Z2470:Z2474)),AVERAGE('20250815_ETF_Options_Exhibits'!Z2470:Z2474),"")</f>
        <v/>
      </c>
      <c r="AA2474" s="3">
        <f>IF(ISNUMBER(AVERAGE('20250815_ETF_Options_Exhibits'!AA2470:AA2474)),AVERAGE('20250815_ETF_Options_Exhibits'!AA2470:AA2474),"")</f>
        <v/>
      </c>
    </row>
    <row r="2475">
      <c r="A2475" s="1" t="n">
        <v>45594</v>
      </c>
      <c r="B2475" s="3">
        <f>IF(ISNUMBER(AVERAGE('20250815_ETF_Options_Exhibits'!B2471:B2475)),AVERAGE('20250815_ETF_Options_Exhibits'!B2471:B2475),"")</f>
        <v/>
      </c>
      <c r="C2475" s="3">
        <f>IF(ISNUMBER(AVERAGE('20250815_ETF_Options_Exhibits'!C2471:C2475)),AVERAGE('20250815_ETF_Options_Exhibits'!C2471:C2475),"")</f>
        <v/>
      </c>
      <c r="D2475" s="3">
        <f>IF(ISNUMBER(AVERAGE('20250815_ETF_Options_Exhibits'!D2471:D2475)),AVERAGE('20250815_ETF_Options_Exhibits'!D2471:D2475),"")</f>
        <v/>
      </c>
      <c r="E2475" s="3">
        <f>IF(ISNUMBER(AVERAGE('20250815_ETF_Options_Exhibits'!E2471:E2475)),AVERAGE('20250815_ETF_Options_Exhibits'!E2471:E2475),"")</f>
        <v/>
      </c>
      <c r="F2475" s="3">
        <f>IF(ISNUMBER(AVERAGE('20250815_ETF_Options_Exhibits'!F2471:F2475)),AVERAGE('20250815_ETF_Options_Exhibits'!F2471:F2475),"")</f>
        <v/>
      </c>
      <c r="G2475" s="3">
        <f>IF(ISNUMBER(AVERAGE('20250815_ETF_Options_Exhibits'!G2471:G2475)),AVERAGE('20250815_ETF_Options_Exhibits'!G2471:G2475),"")</f>
        <v/>
      </c>
      <c r="H2475" s="3">
        <f>IF(ISNUMBER(AVERAGE('20250815_ETF_Options_Exhibits'!H2471:H2475)),AVERAGE('20250815_ETF_Options_Exhibits'!H2471:H2475),"")</f>
        <v/>
      </c>
      <c r="I2475" s="3">
        <f>IF(ISNUMBER(AVERAGE('20250815_ETF_Options_Exhibits'!I2471:I2475)),AVERAGE('20250815_ETF_Options_Exhibits'!I2471:I2475),"")</f>
        <v/>
      </c>
      <c r="J2475" s="3">
        <f>IF(ISNUMBER(AVERAGE('20250815_ETF_Options_Exhibits'!J2471:J2475)),AVERAGE('20250815_ETF_Options_Exhibits'!J2471:J2475),"")</f>
        <v/>
      </c>
      <c r="K2475" s="3">
        <f>IF(ISNUMBER(AVERAGE('20250815_ETF_Options_Exhibits'!K2471:K2475)),AVERAGE('20250815_ETF_Options_Exhibits'!K2471:K2475),"")</f>
        <v/>
      </c>
      <c r="L2475" s="3">
        <f>IF(ISNUMBER(AVERAGE('20250815_ETF_Options_Exhibits'!L2471:L2475)),AVERAGE('20250815_ETF_Options_Exhibits'!L2471:L2475),"")</f>
        <v/>
      </c>
      <c r="M2475" s="3">
        <f>IF(ISNUMBER(AVERAGE('20250815_ETF_Options_Exhibits'!M2471:M2475)),AVERAGE('20250815_ETF_Options_Exhibits'!M2471:M2475),"")</f>
        <v/>
      </c>
      <c r="N2475" s="3">
        <f>IF(ISNUMBER(AVERAGE('20250815_ETF_Options_Exhibits'!N2471:N2475)),AVERAGE('20250815_ETF_Options_Exhibits'!N2471:N2475),"")</f>
        <v/>
      </c>
      <c r="O2475" s="3">
        <f>IF(ISNUMBER(AVERAGE('20250815_ETF_Options_Exhibits'!O2471:O2475)),AVERAGE('20250815_ETF_Options_Exhibits'!O2471:O2475),"")</f>
        <v/>
      </c>
      <c r="P2475" s="3">
        <f>IF(ISNUMBER(AVERAGE('20250815_ETF_Options_Exhibits'!P2471:P2475)),AVERAGE('20250815_ETF_Options_Exhibits'!P2471:P2475),"")</f>
        <v/>
      </c>
      <c r="Q2475" s="3">
        <f>IF(ISNUMBER(AVERAGE('20250815_ETF_Options_Exhibits'!Q2471:Q2475)),AVERAGE('20250815_ETF_Options_Exhibits'!Q2471:Q2475),"")</f>
        <v/>
      </c>
      <c r="R2475" s="3">
        <f>IF(ISNUMBER(AVERAGE('20250815_ETF_Options_Exhibits'!R2471:R2475)),AVERAGE('20250815_ETF_Options_Exhibits'!R2471:R2475),"")</f>
        <v/>
      </c>
      <c r="S2475" s="3">
        <f>IF(ISNUMBER(AVERAGE('20250815_ETF_Options_Exhibits'!S2471:S2475)),AVERAGE('20250815_ETF_Options_Exhibits'!S2471:S2475),"")</f>
        <v/>
      </c>
      <c r="T2475" s="3">
        <f>IF(ISNUMBER(AVERAGE('20250815_ETF_Options_Exhibits'!T2471:T2475)),AVERAGE('20250815_ETF_Options_Exhibits'!T2471:T2475),"")</f>
        <v/>
      </c>
      <c r="U2475" s="3">
        <f>IF(ISNUMBER(AVERAGE('20250815_ETF_Options_Exhibits'!U2471:U2475)),AVERAGE('20250815_ETF_Options_Exhibits'!U2471:U2475),"")</f>
        <v/>
      </c>
      <c r="V2475" s="3">
        <f>IF(ISNUMBER(AVERAGE('20250815_ETF_Options_Exhibits'!V2471:V2475)),AVERAGE('20250815_ETF_Options_Exhibits'!V2471:V2475),"")</f>
        <v/>
      </c>
      <c r="W2475" s="3">
        <f>IF(ISNUMBER(AVERAGE('20250815_ETF_Options_Exhibits'!W2471:W2475)),AVERAGE('20250815_ETF_Options_Exhibits'!W2471:W2475),"")</f>
        <v/>
      </c>
      <c r="X2475" s="3">
        <f>IF(ISNUMBER(AVERAGE('20250815_ETF_Options_Exhibits'!X2471:X2475)),AVERAGE('20250815_ETF_Options_Exhibits'!X2471:X2475),"")</f>
        <v/>
      </c>
      <c r="Y2475" s="3">
        <f>IF(ISNUMBER(AVERAGE('20250815_ETF_Options_Exhibits'!Y2471:Y2475)),AVERAGE('20250815_ETF_Options_Exhibits'!Y2471:Y2475),"")</f>
        <v/>
      </c>
      <c r="Z2475" s="3">
        <f>IF(ISNUMBER(AVERAGE('20250815_ETF_Options_Exhibits'!Z2471:Z2475)),AVERAGE('20250815_ETF_Options_Exhibits'!Z2471:Z2475),"")</f>
        <v/>
      </c>
      <c r="AA2475" s="3">
        <f>IF(ISNUMBER(AVERAGE('20250815_ETF_Options_Exhibits'!AA2471:AA2475)),AVERAGE('20250815_ETF_Options_Exhibits'!AA2471:AA2475),"")</f>
        <v/>
      </c>
    </row>
    <row r="2476">
      <c r="A2476" s="1" t="n">
        <v>45595</v>
      </c>
      <c r="B2476" s="3">
        <f>IF(ISNUMBER(AVERAGE('20250815_ETF_Options_Exhibits'!B2472:B2476)),AVERAGE('20250815_ETF_Options_Exhibits'!B2472:B2476),"")</f>
        <v/>
      </c>
      <c r="C2476" s="3">
        <f>IF(ISNUMBER(AVERAGE('20250815_ETF_Options_Exhibits'!C2472:C2476)),AVERAGE('20250815_ETF_Options_Exhibits'!C2472:C2476),"")</f>
        <v/>
      </c>
      <c r="D2476" s="3">
        <f>IF(ISNUMBER(AVERAGE('20250815_ETF_Options_Exhibits'!D2472:D2476)),AVERAGE('20250815_ETF_Options_Exhibits'!D2472:D2476),"")</f>
        <v/>
      </c>
      <c r="E2476" s="3">
        <f>IF(ISNUMBER(AVERAGE('20250815_ETF_Options_Exhibits'!E2472:E2476)),AVERAGE('20250815_ETF_Options_Exhibits'!E2472:E2476),"")</f>
        <v/>
      </c>
      <c r="F2476" s="3">
        <f>IF(ISNUMBER(AVERAGE('20250815_ETF_Options_Exhibits'!F2472:F2476)),AVERAGE('20250815_ETF_Options_Exhibits'!F2472:F2476),"")</f>
        <v/>
      </c>
      <c r="G2476" s="3">
        <f>IF(ISNUMBER(AVERAGE('20250815_ETF_Options_Exhibits'!G2472:G2476)),AVERAGE('20250815_ETF_Options_Exhibits'!G2472:G2476),"")</f>
        <v/>
      </c>
      <c r="H2476" s="3">
        <f>IF(ISNUMBER(AVERAGE('20250815_ETF_Options_Exhibits'!H2472:H2476)),AVERAGE('20250815_ETF_Options_Exhibits'!H2472:H2476),"")</f>
        <v/>
      </c>
      <c r="I2476" s="3">
        <f>IF(ISNUMBER(AVERAGE('20250815_ETF_Options_Exhibits'!I2472:I2476)),AVERAGE('20250815_ETF_Options_Exhibits'!I2472:I2476),"")</f>
        <v/>
      </c>
      <c r="J2476" s="3">
        <f>IF(ISNUMBER(AVERAGE('20250815_ETF_Options_Exhibits'!J2472:J2476)),AVERAGE('20250815_ETF_Options_Exhibits'!J2472:J2476),"")</f>
        <v/>
      </c>
      <c r="K2476" s="3">
        <f>IF(ISNUMBER(AVERAGE('20250815_ETF_Options_Exhibits'!K2472:K2476)),AVERAGE('20250815_ETF_Options_Exhibits'!K2472:K2476),"")</f>
        <v/>
      </c>
      <c r="L2476" s="3">
        <f>IF(ISNUMBER(AVERAGE('20250815_ETF_Options_Exhibits'!L2472:L2476)),AVERAGE('20250815_ETF_Options_Exhibits'!L2472:L2476),"")</f>
        <v/>
      </c>
      <c r="M2476" s="3">
        <f>IF(ISNUMBER(AVERAGE('20250815_ETF_Options_Exhibits'!M2472:M2476)),AVERAGE('20250815_ETF_Options_Exhibits'!M2472:M2476),"")</f>
        <v/>
      </c>
      <c r="N2476" s="3">
        <f>IF(ISNUMBER(AVERAGE('20250815_ETF_Options_Exhibits'!N2472:N2476)),AVERAGE('20250815_ETF_Options_Exhibits'!N2472:N2476),"")</f>
        <v/>
      </c>
      <c r="O2476" s="3">
        <f>IF(ISNUMBER(AVERAGE('20250815_ETF_Options_Exhibits'!O2472:O2476)),AVERAGE('20250815_ETF_Options_Exhibits'!O2472:O2476),"")</f>
        <v/>
      </c>
      <c r="P2476" s="3">
        <f>IF(ISNUMBER(AVERAGE('20250815_ETF_Options_Exhibits'!P2472:P2476)),AVERAGE('20250815_ETF_Options_Exhibits'!P2472:P2476),"")</f>
        <v/>
      </c>
      <c r="Q2476" s="3">
        <f>IF(ISNUMBER(AVERAGE('20250815_ETF_Options_Exhibits'!Q2472:Q2476)),AVERAGE('20250815_ETF_Options_Exhibits'!Q2472:Q2476),"")</f>
        <v/>
      </c>
      <c r="R2476" s="3">
        <f>IF(ISNUMBER(AVERAGE('20250815_ETF_Options_Exhibits'!R2472:R2476)),AVERAGE('20250815_ETF_Options_Exhibits'!R2472:R2476),"")</f>
        <v/>
      </c>
      <c r="S2476" s="3">
        <f>IF(ISNUMBER(AVERAGE('20250815_ETF_Options_Exhibits'!S2472:S2476)),AVERAGE('20250815_ETF_Options_Exhibits'!S2472:S2476),"")</f>
        <v/>
      </c>
      <c r="T2476" s="3">
        <f>IF(ISNUMBER(AVERAGE('20250815_ETF_Options_Exhibits'!T2472:T2476)),AVERAGE('20250815_ETF_Options_Exhibits'!T2472:T2476),"")</f>
        <v/>
      </c>
      <c r="U2476" s="3">
        <f>IF(ISNUMBER(AVERAGE('20250815_ETF_Options_Exhibits'!U2472:U2476)),AVERAGE('20250815_ETF_Options_Exhibits'!U2472:U2476),"")</f>
        <v/>
      </c>
      <c r="V2476" s="3">
        <f>IF(ISNUMBER(AVERAGE('20250815_ETF_Options_Exhibits'!V2472:V2476)),AVERAGE('20250815_ETF_Options_Exhibits'!V2472:V2476),"")</f>
        <v/>
      </c>
      <c r="W2476" s="3">
        <f>IF(ISNUMBER(AVERAGE('20250815_ETF_Options_Exhibits'!W2472:W2476)),AVERAGE('20250815_ETF_Options_Exhibits'!W2472:W2476),"")</f>
        <v/>
      </c>
      <c r="X2476" s="3">
        <f>IF(ISNUMBER(AVERAGE('20250815_ETF_Options_Exhibits'!X2472:X2476)),AVERAGE('20250815_ETF_Options_Exhibits'!X2472:X2476),"")</f>
        <v/>
      </c>
      <c r="Y2476" s="3">
        <f>IF(ISNUMBER(AVERAGE('20250815_ETF_Options_Exhibits'!Y2472:Y2476)),AVERAGE('20250815_ETF_Options_Exhibits'!Y2472:Y2476),"")</f>
        <v/>
      </c>
      <c r="Z2476" s="3">
        <f>IF(ISNUMBER(AVERAGE('20250815_ETF_Options_Exhibits'!Z2472:Z2476)),AVERAGE('20250815_ETF_Options_Exhibits'!Z2472:Z2476),"")</f>
        <v/>
      </c>
      <c r="AA2476" s="3">
        <f>IF(ISNUMBER(AVERAGE('20250815_ETF_Options_Exhibits'!AA2472:AA2476)),AVERAGE('20250815_ETF_Options_Exhibits'!AA2472:AA2476),"")</f>
        <v/>
      </c>
    </row>
    <row r="2477">
      <c r="A2477" s="1" t="n">
        <v>45596</v>
      </c>
      <c r="B2477" s="3">
        <f>IF(ISNUMBER(AVERAGE('20250815_ETF_Options_Exhibits'!B2473:B2477)),AVERAGE('20250815_ETF_Options_Exhibits'!B2473:B2477),"")</f>
        <v/>
      </c>
      <c r="C2477" s="3">
        <f>IF(ISNUMBER(AVERAGE('20250815_ETF_Options_Exhibits'!C2473:C2477)),AVERAGE('20250815_ETF_Options_Exhibits'!C2473:C2477),"")</f>
        <v/>
      </c>
      <c r="D2477" s="3">
        <f>IF(ISNUMBER(AVERAGE('20250815_ETF_Options_Exhibits'!D2473:D2477)),AVERAGE('20250815_ETF_Options_Exhibits'!D2473:D2477),"")</f>
        <v/>
      </c>
      <c r="E2477" s="3">
        <f>IF(ISNUMBER(AVERAGE('20250815_ETF_Options_Exhibits'!E2473:E2477)),AVERAGE('20250815_ETF_Options_Exhibits'!E2473:E2477),"")</f>
        <v/>
      </c>
      <c r="F2477" s="3">
        <f>IF(ISNUMBER(AVERAGE('20250815_ETF_Options_Exhibits'!F2473:F2477)),AVERAGE('20250815_ETF_Options_Exhibits'!F2473:F2477),"")</f>
        <v/>
      </c>
      <c r="G2477" s="3">
        <f>IF(ISNUMBER(AVERAGE('20250815_ETF_Options_Exhibits'!G2473:G2477)),AVERAGE('20250815_ETF_Options_Exhibits'!G2473:G2477),"")</f>
        <v/>
      </c>
      <c r="H2477" s="3">
        <f>IF(ISNUMBER(AVERAGE('20250815_ETF_Options_Exhibits'!H2473:H2477)),AVERAGE('20250815_ETF_Options_Exhibits'!H2473:H2477),"")</f>
        <v/>
      </c>
      <c r="I2477" s="3">
        <f>IF(ISNUMBER(AVERAGE('20250815_ETF_Options_Exhibits'!I2473:I2477)),AVERAGE('20250815_ETF_Options_Exhibits'!I2473:I2477),"")</f>
        <v/>
      </c>
      <c r="J2477" s="3">
        <f>IF(ISNUMBER(AVERAGE('20250815_ETF_Options_Exhibits'!J2473:J2477)),AVERAGE('20250815_ETF_Options_Exhibits'!J2473:J2477),"")</f>
        <v/>
      </c>
      <c r="K2477" s="3">
        <f>IF(ISNUMBER(AVERAGE('20250815_ETF_Options_Exhibits'!K2473:K2477)),AVERAGE('20250815_ETF_Options_Exhibits'!K2473:K2477),"")</f>
        <v/>
      </c>
      <c r="L2477" s="3">
        <f>IF(ISNUMBER(AVERAGE('20250815_ETF_Options_Exhibits'!L2473:L2477)),AVERAGE('20250815_ETF_Options_Exhibits'!L2473:L2477),"")</f>
        <v/>
      </c>
      <c r="M2477" s="3">
        <f>IF(ISNUMBER(AVERAGE('20250815_ETF_Options_Exhibits'!M2473:M2477)),AVERAGE('20250815_ETF_Options_Exhibits'!M2473:M2477),"")</f>
        <v/>
      </c>
      <c r="N2477" s="3">
        <f>IF(ISNUMBER(AVERAGE('20250815_ETF_Options_Exhibits'!N2473:N2477)),AVERAGE('20250815_ETF_Options_Exhibits'!N2473:N2477),"")</f>
        <v/>
      </c>
      <c r="O2477" s="3">
        <f>IF(ISNUMBER(AVERAGE('20250815_ETF_Options_Exhibits'!O2473:O2477)),AVERAGE('20250815_ETF_Options_Exhibits'!O2473:O2477),"")</f>
        <v/>
      </c>
      <c r="P2477" s="3">
        <f>IF(ISNUMBER(AVERAGE('20250815_ETF_Options_Exhibits'!P2473:P2477)),AVERAGE('20250815_ETF_Options_Exhibits'!P2473:P2477),"")</f>
        <v/>
      </c>
      <c r="Q2477" s="3">
        <f>IF(ISNUMBER(AVERAGE('20250815_ETF_Options_Exhibits'!Q2473:Q2477)),AVERAGE('20250815_ETF_Options_Exhibits'!Q2473:Q2477),"")</f>
        <v/>
      </c>
      <c r="R2477" s="3">
        <f>IF(ISNUMBER(AVERAGE('20250815_ETF_Options_Exhibits'!R2473:R2477)),AVERAGE('20250815_ETF_Options_Exhibits'!R2473:R2477),"")</f>
        <v/>
      </c>
      <c r="S2477" s="3">
        <f>IF(ISNUMBER(AVERAGE('20250815_ETF_Options_Exhibits'!S2473:S2477)),AVERAGE('20250815_ETF_Options_Exhibits'!S2473:S2477),"")</f>
        <v/>
      </c>
      <c r="T2477" s="3">
        <f>IF(ISNUMBER(AVERAGE('20250815_ETF_Options_Exhibits'!T2473:T2477)),AVERAGE('20250815_ETF_Options_Exhibits'!T2473:T2477),"")</f>
        <v/>
      </c>
      <c r="U2477" s="3">
        <f>IF(ISNUMBER(AVERAGE('20250815_ETF_Options_Exhibits'!U2473:U2477)),AVERAGE('20250815_ETF_Options_Exhibits'!U2473:U2477),"")</f>
        <v/>
      </c>
      <c r="V2477" s="3">
        <f>IF(ISNUMBER(AVERAGE('20250815_ETF_Options_Exhibits'!V2473:V2477)),AVERAGE('20250815_ETF_Options_Exhibits'!V2473:V2477),"")</f>
        <v/>
      </c>
      <c r="W2477" s="3">
        <f>IF(ISNUMBER(AVERAGE('20250815_ETF_Options_Exhibits'!W2473:W2477)),AVERAGE('20250815_ETF_Options_Exhibits'!W2473:W2477),"")</f>
        <v/>
      </c>
      <c r="X2477" s="3">
        <f>IF(ISNUMBER(AVERAGE('20250815_ETF_Options_Exhibits'!X2473:X2477)),AVERAGE('20250815_ETF_Options_Exhibits'!X2473:X2477),"")</f>
        <v/>
      </c>
      <c r="Y2477" s="3">
        <f>IF(ISNUMBER(AVERAGE('20250815_ETF_Options_Exhibits'!Y2473:Y2477)),AVERAGE('20250815_ETF_Options_Exhibits'!Y2473:Y2477),"")</f>
        <v/>
      </c>
      <c r="Z2477" s="3">
        <f>IF(ISNUMBER(AVERAGE('20250815_ETF_Options_Exhibits'!Z2473:Z2477)),AVERAGE('20250815_ETF_Options_Exhibits'!Z2473:Z2477),"")</f>
        <v/>
      </c>
      <c r="AA2477" s="3">
        <f>IF(ISNUMBER(AVERAGE('20250815_ETF_Options_Exhibits'!AA2473:AA2477)),AVERAGE('20250815_ETF_Options_Exhibits'!AA2473:AA2477),"")</f>
        <v/>
      </c>
    </row>
    <row r="2478">
      <c r="A2478" s="1" t="n">
        <v>45597</v>
      </c>
      <c r="B2478" s="3">
        <f>IF(ISNUMBER(AVERAGE('20250815_ETF_Options_Exhibits'!B2474:B2478)),AVERAGE('20250815_ETF_Options_Exhibits'!B2474:B2478),"")</f>
        <v/>
      </c>
      <c r="C2478" s="3">
        <f>IF(ISNUMBER(AVERAGE('20250815_ETF_Options_Exhibits'!C2474:C2478)),AVERAGE('20250815_ETF_Options_Exhibits'!C2474:C2478),"")</f>
        <v/>
      </c>
      <c r="D2478" s="3">
        <f>IF(ISNUMBER(AVERAGE('20250815_ETF_Options_Exhibits'!D2474:D2478)),AVERAGE('20250815_ETF_Options_Exhibits'!D2474:D2478),"")</f>
        <v/>
      </c>
      <c r="E2478" s="3">
        <f>IF(ISNUMBER(AVERAGE('20250815_ETF_Options_Exhibits'!E2474:E2478)),AVERAGE('20250815_ETF_Options_Exhibits'!E2474:E2478),"")</f>
        <v/>
      </c>
      <c r="F2478" s="3">
        <f>IF(ISNUMBER(AVERAGE('20250815_ETF_Options_Exhibits'!F2474:F2478)),AVERAGE('20250815_ETF_Options_Exhibits'!F2474:F2478),"")</f>
        <v/>
      </c>
      <c r="G2478" s="3">
        <f>IF(ISNUMBER(AVERAGE('20250815_ETF_Options_Exhibits'!G2474:G2478)),AVERAGE('20250815_ETF_Options_Exhibits'!G2474:G2478),"")</f>
        <v/>
      </c>
      <c r="H2478" s="3">
        <f>IF(ISNUMBER(AVERAGE('20250815_ETF_Options_Exhibits'!H2474:H2478)),AVERAGE('20250815_ETF_Options_Exhibits'!H2474:H2478),"")</f>
        <v/>
      </c>
      <c r="I2478" s="3">
        <f>IF(ISNUMBER(AVERAGE('20250815_ETF_Options_Exhibits'!I2474:I2478)),AVERAGE('20250815_ETF_Options_Exhibits'!I2474:I2478),"")</f>
        <v/>
      </c>
      <c r="J2478" s="3">
        <f>IF(ISNUMBER(AVERAGE('20250815_ETF_Options_Exhibits'!J2474:J2478)),AVERAGE('20250815_ETF_Options_Exhibits'!J2474:J2478),"")</f>
        <v/>
      </c>
      <c r="K2478" s="3">
        <f>IF(ISNUMBER(AVERAGE('20250815_ETF_Options_Exhibits'!K2474:K2478)),AVERAGE('20250815_ETF_Options_Exhibits'!K2474:K2478),"")</f>
        <v/>
      </c>
      <c r="L2478" s="3">
        <f>IF(ISNUMBER(AVERAGE('20250815_ETF_Options_Exhibits'!L2474:L2478)),AVERAGE('20250815_ETF_Options_Exhibits'!L2474:L2478),"")</f>
        <v/>
      </c>
      <c r="M2478" s="3">
        <f>IF(ISNUMBER(AVERAGE('20250815_ETF_Options_Exhibits'!M2474:M2478)),AVERAGE('20250815_ETF_Options_Exhibits'!M2474:M2478),"")</f>
        <v/>
      </c>
      <c r="N2478" s="3">
        <f>IF(ISNUMBER(AVERAGE('20250815_ETF_Options_Exhibits'!N2474:N2478)),AVERAGE('20250815_ETF_Options_Exhibits'!N2474:N2478),"")</f>
        <v/>
      </c>
      <c r="O2478" s="3">
        <f>IF(ISNUMBER(AVERAGE('20250815_ETF_Options_Exhibits'!O2474:O2478)),AVERAGE('20250815_ETF_Options_Exhibits'!O2474:O2478),"")</f>
        <v/>
      </c>
      <c r="P2478" s="3">
        <f>IF(ISNUMBER(AVERAGE('20250815_ETF_Options_Exhibits'!P2474:P2478)),AVERAGE('20250815_ETF_Options_Exhibits'!P2474:P2478),"")</f>
        <v/>
      </c>
      <c r="Q2478" s="3">
        <f>IF(ISNUMBER(AVERAGE('20250815_ETF_Options_Exhibits'!Q2474:Q2478)),AVERAGE('20250815_ETF_Options_Exhibits'!Q2474:Q2478),"")</f>
        <v/>
      </c>
      <c r="R2478" s="3">
        <f>IF(ISNUMBER(AVERAGE('20250815_ETF_Options_Exhibits'!R2474:R2478)),AVERAGE('20250815_ETF_Options_Exhibits'!R2474:R2478),"")</f>
        <v/>
      </c>
      <c r="S2478" s="3">
        <f>IF(ISNUMBER(AVERAGE('20250815_ETF_Options_Exhibits'!S2474:S2478)),AVERAGE('20250815_ETF_Options_Exhibits'!S2474:S2478),"")</f>
        <v/>
      </c>
      <c r="T2478" s="3">
        <f>IF(ISNUMBER(AVERAGE('20250815_ETF_Options_Exhibits'!T2474:T2478)),AVERAGE('20250815_ETF_Options_Exhibits'!T2474:T2478),"")</f>
        <v/>
      </c>
      <c r="U2478" s="3">
        <f>IF(ISNUMBER(AVERAGE('20250815_ETF_Options_Exhibits'!U2474:U2478)),AVERAGE('20250815_ETF_Options_Exhibits'!U2474:U2478),"")</f>
        <v/>
      </c>
      <c r="V2478" s="3">
        <f>IF(ISNUMBER(AVERAGE('20250815_ETF_Options_Exhibits'!V2474:V2478)),AVERAGE('20250815_ETF_Options_Exhibits'!V2474:V2478),"")</f>
        <v/>
      </c>
      <c r="W2478" s="3">
        <f>IF(ISNUMBER(AVERAGE('20250815_ETF_Options_Exhibits'!W2474:W2478)),AVERAGE('20250815_ETF_Options_Exhibits'!W2474:W2478),"")</f>
        <v/>
      </c>
      <c r="X2478" s="3">
        <f>IF(ISNUMBER(AVERAGE('20250815_ETF_Options_Exhibits'!X2474:X2478)),AVERAGE('20250815_ETF_Options_Exhibits'!X2474:X2478),"")</f>
        <v/>
      </c>
      <c r="Y2478" s="3">
        <f>IF(ISNUMBER(AVERAGE('20250815_ETF_Options_Exhibits'!Y2474:Y2478)),AVERAGE('20250815_ETF_Options_Exhibits'!Y2474:Y2478),"")</f>
        <v/>
      </c>
      <c r="Z2478" s="3">
        <f>IF(ISNUMBER(AVERAGE('20250815_ETF_Options_Exhibits'!Z2474:Z2478)),AVERAGE('20250815_ETF_Options_Exhibits'!Z2474:Z2478),"")</f>
        <v/>
      </c>
      <c r="AA2478" s="3">
        <f>IF(ISNUMBER(AVERAGE('20250815_ETF_Options_Exhibits'!AA2474:AA2478)),AVERAGE('20250815_ETF_Options_Exhibits'!AA2474:AA2478),"")</f>
        <v/>
      </c>
    </row>
    <row r="2479">
      <c r="A2479" s="1" t="n">
        <v>45600</v>
      </c>
      <c r="B2479" s="3">
        <f>IF(ISNUMBER(AVERAGE('20250815_ETF_Options_Exhibits'!B2475:B2479)),AVERAGE('20250815_ETF_Options_Exhibits'!B2475:B2479),"")</f>
        <v/>
      </c>
      <c r="C2479" s="3">
        <f>IF(ISNUMBER(AVERAGE('20250815_ETF_Options_Exhibits'!C2475:C2479)),AVERAGE('20250815_ETF_Options_Exhibits'!C2475:C2479),"")</f>
        <v/>
      </c>
      <c r="D2479" s="3">
        <f>IF(ISNUMBER(AVERAGE('20250815_ETF_Options_Exhibits'!D2475:D2479)),AVERAGE('20250815_ETF_Options_Exhibits'!D2475:D2479),"")</f>
        <v/>
      </c>
      <c r="E2479" s="3">
        <f>IF(ISNUMBER(AVERAGE('20250815_ETF_Options_Exhibits'!E2475:E2479)),AVERAGE('20250815_ETF_Options_Exhibits'!E2475:E2479),"")</f>
        <v/>
      </c>
      <c r="F2479" s="3">
        <f>IF(ISNUMBER(AVERAGE('20250815_ETF_Options_Exhibits'!F2475:F2479)),AVERAGE('20250815_ETF_Options_Exhibits'!F2475:F2479),"")</f>
        <v/>
      </c>
      <c r="G2479" s="3">
        <f>IF(ISNUMBER(AVERAGE('20250815_ETF_Options_Exhibits'!G2475:G2479)),AVERAGE('20250815_ETF_Options_Exhibits'!G2475:G2479),"")</f>
        <v/>
      </c>
      <c r="H2479" s="3">
        <f>IF(ISNUMBER(AVERAGE('20250815_ETF_Options_Exhibits'!H2475:H2479)),AVERAGE('20250815_ETF_Options_Exhibits'!H2475:H2479),"")</f>
        <v/>
      </c>
      <c r="I2479" s="3">
        <f>IF(ISNUMBER(AVERAGE('20250815_ETF_Options_Exhibits'!I2475:I2479)),AVERAGE('20250815_ETF_Options_Exhibits'!I2475:I2479),"")</f>
        <v/>
      </c>
      <c r="J2479" s="3">
        <f>IF(ISNUMBER(AVERAGE('20250815_ETF_Options_Exhibits'!J2475:J2479)),AVERAGE('20250815_ETF_Options_Exhibits'!J2475:J2479),"")</f>
        <v/>
      </c>
      <c r="K2479" s="3">
        <f>IF(ISNUMBER(AVERAGE('20250815_ETF_Options_Exhibits'!K2475:K2479)),AVERAGE('20250815_ETF_Options_Exhibits'!K2475:K2479),"")</f>
        <v/>
      </c>
      <c r="L2479" s="3">
        <f>IF(ISNUMBER(AVERAGE('20250815_ETF_Options_Exhibits'!L2475:L2479)),AVERAGE('20250815_ETF_Options_Exhibits'!L2475:L2479),"")</f>
        <v/>
      </c>
      <c r="M2479" s="3">
        <f>IF(ISNUMBER(AVERAGE('20250815_ETF_Options_Exhibits'!M2475:M2479)),AVERAGE('20250815_ETF_Options_Exhibits'!M2475:M2479),"")</f>
        <v/>
      </c>
      <c r="N2479" s="3">
        <f>IF(ISNUMBER(AVERAGE('20250815_ETF_Options_Exhibits'!N2475:N2479)),AVERAGE('20250815_ETF_Options_Exhibits'!N2475:N2479),"")</f>
        <v/>
      </c>
      <c r="O2479" s="3">
        <f>IF(ISNUMBER(AVERAGE('20250815_ETF_Options_Exhibits'!O2475:O2479)),AVERAGE('20250815_ETF_Options_Exhibits'!O2475:O2479),"")</f>
        <v/>
      </c>
      <c r="P2479" s="3">
        <f>IF(ISNUMBER(AVERAGE('20250815_ETF_Options_Exhibits'!P2475:P2479)),AVERAGE('20250815_ETF_Options_Exhibits'!P2475:P2479),"")</f>
        <v/>
      </c>
      <c r="Q2479" s="3">
        <f>IF(ISNUMBER(AVERAGE('20250815_ETF_Options_Exhibits'!Q2475:Q2479)),AVERAGE('20250815_ETF_Options_Exhibits'!Q2475:Q2479),"")</f>
        <v/>
      </c>
      <c r="R2479" s="3">
        <f>IF(ISNUMBER(AVERAGE('20250815_ETF_Options_Exhibits'!R2475:R2479)),AVERAGE('20250815_ETF_Options_Exhibits'!R2475:R2479),"")</f>
        <v/>
      </c>
      <c r="S2479" s="3">
        <f>IF(ISNUMBER(AVERAGE('20250815_ETF_Options_Exhibits'!S2475:S2479)),AVERAGE('20250815_ETF_Options_Exhibits'!S2475:S2479),"")</f>
        <v/>
      </c>
      <c r="T2479" s="3">
        <f>IF(ISNUMBER(AVERAGE('20250815_ETF_Options_Exhibits'!T2475:T2479)),AVERAGE('20250815_ETF_Options_Exhibits'!T2475:T2479),"")</f>
        <v/>
      </c>
      <c r="U2479" s="3">
        <f>IF(ISNUMBER(AVERAGE('20250815_ETF_Options_Exhibits'!U2475:U2479)),AVERAGE('20250815_ETF_Options_Exhibits'!U2475:U2479),"")</f>
        <v/>
      </c>
      <c r="V2479" s="3">
        <f>IF(ISNUMBER(AVERAGE('20250815_ETF_Options_Exhibits'!V2475:V2479)),AVERAGE('20250815_ETF_Options_Exhibits'!V2475:V2479),"")</f>
        <v/>
      </c>
      <c r="W2479" s="3">
        <f>IF(ISNUMBER(AVERAGE('20250815_ETF_Options_Exhibits'!W2475:W2479)),AVERAGE('20250815_ETF_Options_Exhibits'!W2475:W2479),"")</f>
        <v/>
      </c>
      <c r="X2479" s="3">
        <f>IF(ISNUMBER(AVERAGE('20250815_ETF_Options_Exhibits'!X2475:X2479)),AVERAGE('20250815_ETF_Options_Exhibits'!X2475:X2479),"")</f>
        <v/>
      </c>
      <c r="Y2479" s="3">
        <f>IF(ISNUMBER(AVERAGE('20250815_ETF_Options_Exhibits'!Y2475:Y2479)),AVERAGE('20250815_ETF_Options_Exhibits'!Y2475:Y2479),"")</f>
        <v/>
      </c>
      <c r="Z2479" s="3">
        <f>IF(ISNUMBER(AVERAGE('20250815_ETF_Options_Exhibits'!Z2475:Z2479)),AVERAGE('20250815_ETF_Options_Exhibits'!Z2475:Z2479),"")</f>
        <v/>
      </c>
      <c r="AA2479" s="3">
        <f>IF(ISNUMBER(AVERAGE('20250815_ETF_Options_Exhibits'!AA2475:AA2479)),AVERAGE('20250815_ETF_Options_Exhibits'!AA2475:AA2479),"")</f>
        <v/>
      </c>
    </row>
    <row r="2480">
      <c r="A2480" s="1" t="n">
        <v>45601</v>
      </c>
      <c r="B2480" s="3">
        <f>IF(ISNUMBER(AVERAGE('20250815_ETF_Options_Exhibits'!B2476:B2480)),AVERAGE('20250815_ETF_Options_Exhibits'!B2476:B2480),"")</f>
        <v/>
      </c>
      <c r="C2480" s="3">
        <f>IF(ISNUMBER(AVERAGE('20250815_ETF_Options_Exhibits'!C2476:C2480)),AVERAGE('20250815_ETF_Options_Exhibits'!C2476:C2480),"")</f>
        <v/>
      </c>
      <c r="D2480" s="3">
        <f>IF(ISNUMBER(AVERAGE('20250815_ETF_Options_Exhibits'!D2476:D2480)),AVERAGE('20250815_ETF_Options_Exhibits'!D2476:D2480),"")</f>
        <v/>
      </c>
      <c r="E2480" s="3">
        <f>IF(ISNUMBER(AVERAGE('20250815_ETF_Options_Exhibits'!E2476:E2480)),AVERAGE('20250815_ETF_Options_Exhibits'!E2476:E2480),"")</f>
        <v/>
      </c>
      <c r="F2480" s="3">
        <f>IF(ISNUMBER(AVERAGE('20250815_ETF_Options_Exhibits'!F2476:F2480)),AVERAGE('20250815_ETF_Options_Exhibits'!F2476:F2480),"")</f>
        <v/>
      </c>
      <c r="G2480" s="3">
        <f>IF(ISNUMBER(AVERAGE('20250815_ETF_Options_Exhibits'!G2476:G2480)),AVERAGE('20250815_ETF_Options_Exhibits'!G2476:G2480),"")</f>
        <v/>
      </c>
      <c r="H2480" s="3">
        <f>IF(ISNUMBER(AVERAGE('20250815_ETF_Options_Exhibits'!H2476:H2480)),AVERAGE('20250815_ETF_Options_Exhibits'!H2476:H2480),"")</f>
        <v/>
      </c>
      <c r="I2480" s="3">
        <f>IF(ISNUMBER(AVERAGE('20250815_ETF_Options_Exhibits'!I2476:I2480)),AVERAGE('20250815_ETF_Options_Exhibits'!I2476:I2480),"")</f>
        <v/>
      </c>
      <c r="J2480" s="3">
        <f>IF(ISNUMBER(AVERAGE('20250815_ETF_Options_Exhibits'!J2476:J2480)),AVERAGE('20250815_ETF_Options_Exhibits'!J2476:J2480),"")</f>
        <v/>
      </c>
      <c r="K2480" s="3">
        <f>IF(ISNUMBER(AVERAGE('20250815_ETF_Options_Exhibits'!K2476:K2480)),AVERAGE('20250815_ETF_Options_Exhibits'!K2476:K2480),"")</f>
        <v/>
      </c>
      <c r="L2480" s="3">
        <f>IF(ISNUMBER(AVERAGE('20250815_ETF_Options_Exhibits'!L2476:L2480)),AVERAGE('20250815_ETF_Options_Exhibits'!L2476:L2480),"")</f>
        <v/>
      </c>
      <c r="M2480" s="3">
        <f>IF(ISNUMBER(AVERAGE('20250815_ETF_Options_Exhibits'!M2476:M2480)),AVERAGE('20250815_ETF_Options_Exhibits'!M2476:M2480),"")</f>
        <v/>
      </c>
      <c r="N2480" s="3">
        <f>IF(ISNUMBER(AVERAGE('20250815_ETF_Options_Exhibits'!N2476:N2480)),AVERAGE('20250815_ETF_Options_Exhibits'!N2476:N2480),"")</f>
        <v/>
      </c>
      <c r="O2480" s="3">
        <f>IF(ISNUMBER(AVERAGE('20250815_ETF_Options_Exhibits'!O2476:O2480)),AVERAGE('20250815_ETF_Options_Exhibits'!O2476:O2480),"")</f>
        <v/>
      </c>
      <c r="P2480" s="3">
        <f>IF(ISNUMBER(AVERAGE('20250815_ETF_Options_Exhibits'!P2476:P2480)),AVERAGE('20250815_ETF_Options_Exhibits'!P2476:P2480),"")</f>
        <v/>
      </c>
      <c r="Q2480" s="3">
        <f>IF(ISNUMBER(AVERAGE('20250815_ETF_Options_Exhibits'!Q2476:Q2480)),AVERAGE('20250815_ETF_Options_Exhibits'!Q2476:Q2480),"")</f>
        <v/>
      </c>
      <c r="R2480" s="3">
        <f>IF(ISNUMBER(AVERAGE('20250815_ETF_Options_Exhibits'!R2476:R2480)),AVERAGE('20250815_ETF_Options_Exhibits'!R2476:R2480),"")</f>
        <v/>
      </c>
      <c r="S2480" s="3">
        <f>IF(ISNUMBER(AVERAGE('20250815_ETF_Options_Exhibits'!S2476:S2480)),AVERAGE('20250815_ETF_Options_Exhibits'!S2476:S2480),"")</f>
        <v/>
      </c>
      <c r="T2480" s="3">
        <f>IF(ISNUMBER(AVERAGE('20250815_ETF_Options_Exhibits'!T2476:T2480)),AVERAGE('20250815_ETF_Options_Exhibits'!T2476:T2480),"")</f>
        <v/>
      </c>
      <c r="U2480" s="3">
        <f>IF(ISNUMBER(AVERAGE('20250815_ETF_Options_Exhibits'!U2476:U2480)),AVERAGE('20250815_ETF_Options_Exhibits'!U2476:U2480),"")</f>
        <v/>
      </c>
      <c r="V2480" s="3">
        <f>IF(ISNUMBER(AVERAGE('20250815_ETF_Options_Exhibits'!V2476:V2480)),AVERAGE('20250815_ETF_Options_Exhibits'!V2476:V2480),"")</f>
        <v/>
      </c>
      <c r="W2480" s="3">
        <f>IF(ISNUMBER(AVERAGE('20250815_ETF_Options_Exhibits'!W2476:W2480)),AVERAGE('20250815_ETF_Options_Exhibits'!W2476:W2480),"")</f>
        <v/>
      </c>
      <c r="X2480" s="3">
        <f>IF(ISNUMBER(AVERAGE('20250815_ETF_Options_Exhibits'!X2476:X2480)),AVERAGE('20250815_ETF_Options_Exhibits'!X2476:X2480),"")</f>
        <v/>
      </c>
      <c r="Y2480" s="3">
        <f>IF(ISNUMBER(AVERAGE('20250815_ETF_Options_Exhibits'!Y2476:Y2480)),AVERAGE('20250815_ETF_Options_Exhibits'!Y2476:Y2480),"")</f>
        <v/>
      </c>
      <c r="Z2480" s="3">
        <f>IF(ISNUMBER(AVERAGE('20250815_ETF_Options_Exhibits'!Z2476:Z2480)),AVERAGE('20250815_ETF_Options_Exhibits'!Z2476:Z2480),"")</f>
        <v/>
      </c>
      <c r="AA2480" s="3">
        <f>IF(ISNUMBER(AVERAGE('20250815_ETF_Options_Exhibits'!AA2476:AA2480)),AVERAGE('20250815_ETF_Options_Exhibits'!AA2476:AA2480),"")</f>
        <v/>
      </c>
    </row>
    <row r="2481">
      <c r="A2481" s="1" t="n">
        <v>45602</v>
      </c>
      <c r="B2481" s="3">
        <f>IF(ISNUMBER(AVERAGE('20250815_ETF_Options_Exhibits'!B2477:B2481)),AVERAGE('20250815_ETF_Options_Exhibits'!B2477:B2481),"")</f>
        <v/>
      </c>
      <c r="C2481" s="3">
        <f>IF(ISNUMBER(AVERAGE('20250815_ETF_Options_Exhibits'!C2477:C2481)),AVERAGE('20250815_ETF_Options_Exhibits'!C2477:C2481),"")</f>
        <v/>
      </c>
      <c r="D2481" s="3">
        <f>IF(ISNUMBER(AVERAGE('20250815_ETF_Options_Exhibits'!D2477:D2481)),AVERAGE('20250815_ETF_Options_Exhibits'!D2477:D2481),"")</f>
        <v/>
      </c>
      <c r="E2481" s="3">
        <f>IF(ISNUMBER(AVERAGE('20250815_ETF_Options_Exhibits'!E2477:E2481)),AVERAGE('20250815_ETF_Options_Exhibits'!E2477:E2481),"")</f>
        <v/>
      </c>
      <c r="F2481" s="3">
        <f>IF(ISNUMBER(AVERAGE('20250815_ETF_Options_Exhibits'!F2477:F2481)),AVERAGE('20250815_ETF_Options_Exhibits'!F2477:F2481),"")</f>
        <v/>
      </c>
      <c r="G2481" s="3">
        <f>IF(ISNUMBER(AVERAGE('20250815_ETF_Options_Exhibits'!G2477:G2481)),AVERAGE('20250815_ETF_Options_Exhibits'!G2477:G2481),"")</f>
        <v/>
      </c>
      <c r="H2481" s="3">
        <f>IF(ISNUMBER(AVERAGE('20250815_ETF_Options_Exhibits'!H2477:H2481)),AVERAGE('20250815_ETF_Options_Exhibits'!H2477:H2481),"")</f>
        <v/>
      </c>
      <c r="I2481" s="3">
        <f>IF(ISNUMBER(AVERAGE('20250815_ETF_Options_Exhibits'!I2477:I2481)),AVERAGE('20250815_ETF_Options_Exhibits'!I2477:I2481),"")</f>
        <v/>
      </c>
      <c r="J2481" s="3">
        <f>IF(ISNUMBER(AVERAGE('20250815_ETF_Options_Exhibits'!J2477:J2481)),AVERAGE('20250815_ETF_Options_Exhibits'!J2477:J2481),"")</f>
        <v/>
      </c>
      <c r="K2481" s="3">
        <f>IF(ISNUMBER(AVERAGE('20250815_ETF_Options_Exhibits'!K2477:K2481)),AVERAGE('20250815_ETF_Options_Exhibits'!K2477:K2481),"")</f>
        <v/>
      </c>
      <c r="L2481" s="3">
        <f>IF(ISNUMBER(AVERAGE('20250815_ETF_Options_Exhibits'!L2477:L2481)),AVERAGE('20250815_ETF_Options_Exhibits'!L2477:L2481),"")</f>
        <v/>
      </c>
      <c r="M2481" s="3">
        <f>IF(ISNUMBER(AVERAGE('20250815_ETF_Options_Exhibits'!M2477:M2481)),AVERAGE('20250815_ETF_Options_Exhibits'!M2477:M2481),"")</f>
        <v/>
      </c>
      <c r="N2481" s="3">
        <f>IF(ISNUMBER(AVERAGE('20250815_ETF_Options_Exhibits'!N2477:N2481)),AVERAGE('20250815_ETF_Options_Exhibits'!N2477:N2481),"")</f>
        <v/>
      </c>
      <c r="O2481" s="3">
        <f>IF(ISNUMBER(AVERAGE('20250815_ETF_Options_Exhibits'!O2477:O2481)),AVERAGE('20250815_ETF_Options_Exhibits'!O2477:O2481),"")</f>
        <v/>
      </c>
      <c r="P2481" s="3">
        <f>IF(ISNUMBER(AVERAGE('20250815_ETF_Options_Exhibits'!P2477:P2481)),AVERAGE('20250815_ETF_Options_Exhibits'!P2477:P2481),"")</f>
        <v/>
      </c>
      <c r="Q2481" s="3">
        <f>IF(ISNUMBER(AVERAGE('20250815_ETF_Options_Exhibits'!Q2477:Q2481)),AVERAGE('20250815_ETF_Options_Exhibits'!Q2477:Q2481),"")</f>
        <v/>
      </c>
      <c r="R2481" s="3">
        <f>IF(ISNUMBER(AVERAGE('20250815_ETF_Options_Exhibits'!R2477:R2481)),AVERAGE('20250815_ETF_Options_Exhibits'!R2477:R2481),"")</f>
        <v/>
      </c>
      <c r="S2481" s="3">
        <f>IF(ISNUMBER(AVERAGE('20250815_ETF_Options_Exhibits'!S2477:S2481)),AVERAGE('20250815_ETF_Options_Exhibits'!S2477:S2481),"")</f>
        <v/>
      </c>
      <c r="T2481" s="3">
        <f>IF(ISNUMBER(AVERAGE('20250815_ETF_Options_Exhibits'!T2477:T2481)),AVERAGE('20250815_ETF_Options_Exhibits'!T2477:T2481),"")</f>
        <v/>
      </c>
      <c r="U2481" s="3">
        <f>IF(ISNUMBER(AVERAGE('20250815_ETF_Options_Exhibits'!U2477:U2481)),AVERAGE('20250815_ETF_Options_Exhibits'!U2477:U2481),"")</f>
        <v/>
      </c>
      <c r="V2481" s="3">
        <f>IF(ISNUMBER(AVERAGE('20250815_ETF_Options_Exhibits'!V2477:V2481)),AVERAGE('20250815_ETF_Options_Exhibits'!V2477:V2481),"")</f>
        <v/>
      </c>
      <c r="W2481" s="3">
        <f>IF(ISNUMBER(AVERAGE('20250815_ETF_Options_Exhibits'!W2477:W2481)),AVERAGE('20250815_ETF_Options_Exhibits'!W2477:W2481),"")</f>
        <v/>
      </c>
      <c r="X2481" s="3">
        <f>IF(ISNUMBER(AVERAGE('20250815_ETF_Options_Exhibits'!X2477:X2481)),AVERAGE('20250815_ETF_Options_Exhibits'!X2477:X2481),"")</f>
        <v/>
      </c>
      <c r="Y2481" s="3">
        <f>IF(ISNUMBER(AVERAGE('20250815_ETF_Options_Exhibits'!Y2477:Y2481)),AVERAGE('20250815_ETF_Options_Exhibits'!Y2477:Y2481),"")</f>
        <v/>
      </c>
      <c r="Z2481" s="3">
        <f>IF(ISNUMBER(AVERAGE('20250815_ETF_Options_Exhibits'!Z2477:Z2481)),AVERAGE('20250815_ETF_Options_Exhibits'!Z2477:Z2481),"")</f>
        <v/>
      </c>
      <c r="AA2481" s="3">
        <f>IF(ISNUMBER(AVERAGE('20250815_ETF_Options_Exhibits'!AA2477:AA2481)),AVERAGE('20250815_ETF_Options_Exhibits'!AA2477:AA2481),"")</f>
        <v/>
      </c>
    </row>
    <row r="2482">
      <c r="A2482" s="1" t="n">
        <v>45603</v>
      </c>
      <c r="B2482" s="3">
        <f>IF(ISNUMBER(AVERAGE('20250815_ETF_Options_Exhibits'!B2478:B2482)),AVERAGE('20250815_ETF_Options_Exhibits'!B2478:B2482),"")</f>
        <v/>
      </c>
      <c r="C2482" s="3">
        <f>IF(ISNUMBER(AVERAGE('20250815_ETF_Options_Exhibits'!C2478:C2482)),AVERAGE('20250815_ETF_Options_Exhibits'!C2478:C2482),"")</f>
        <v/>
      </c>
      <c r="D2482" s="3">
        <f>IF(ISNUMBER(AVERAGE('20250815_ETF_Options_Exhibits'!D2478:D2482)),AVERAGE('20250815_ETF_Options_Exhibits'!D2478:D2482),"")</f>
        <v/>
      </c>
      <c r="E2482" s="3">
        <f>IF(ISNUMBER(AVERAGE('20250815_ETF_Options_Exhibits'!E2478:E2482)),AVERAGE('20250815_ETF_Options_Exhibits'!E2478:E2482),"")</f>
        <v/>
      </c>
      <c r="F2482" s="3">
        <f>IF(ISNUMBER(AVERAGE('20250815_ETF_Options_Exhibits'!F2478:F2482)),AVERAGE('20250815_ETF_Options_Exhibits'!F2478:F2482),"")</f>
        <v/>
      </c>
      <c r="G2482" s="3">
        <f>IF(ISNUMBER(AVERAGE('20250815_ETF_Options_Exhibits'!G2478:G2482)),AVERAGE('20250815_ETF_Options_Exhibits'!G2478:G2482),"")</f>
        <v/>
      </c>
      <c r="H2482" s="3">
        <f>IF(ISNUMBER(AVERAGE('20250815_ETF_Options_Exhibits'!H2478:H2482)),AVERAGE('20250815_ETF_Options_Exhibits'!H2478:H2482),"")</f>
        <v/>
      </c>
      <c r="I2482" s="3">
        <f>IF(ISNUMBER(AVERAGE('20250815_ETF_Options_Exhibits'!I2478:I2482)),AVERAGE('20250815_ETF_Options_Exhibits'!I2478:I2482),"")</f>
        <v/>
      </c>
      <c r="J2482" s="3">
        <f>IF(ISNUMBER(AVERAGE('20250815_ETF_Options_Exhibits'!J2478:J2482)),AVERAGE('20250815_ETF_Options_Exhibits'!J2478:J2482),"")</f>
        <v/>
      </c>
      <c r="K2482" s="3">
        <f>IF(ISNUMBER(AVERAGE('20250815_ETF_Options_Exhibits'!K2478:K2482)),AVERAGE('20250815_ETF_Options_Exhibits'!K2478:K2482),"")</f>
        <v/>
      </c>
      <c r="L2482" s="3">
        <f>IF(ISNUMBER(AVERAGE('20250815_ETF_Options_Exhibits'!L2478:L2482)),AVERAGE('20250815_ETF_Options_Exhibits'!L2478:L2482),"")</f>
        <v/>
      </c>
      <c r="M2482" s="3">
        <f>IF(ISNUMBER(AVERAGE('20250815_ETF_Options_Exhibits'!M2478:M2482)),AVERAGE('20250815_ETF_Options_Exhibits'!M2478:M2482),"")</f>
        <v/>
      </c>
      <c r="N2482" s="3">
        <f>IF(ISNUMBER(AVERAGE('20250815_ETF_Options_Exhibits'!N2478:N2482)),AVERAGE('20250815_ETF_Options_Exhibits'!N2478:N2482),"")</f>
        <v/>
      </c>
      <c r="O2482" s="3">
        <f>IF(ISNUMBER(AVERAGE('20250815_ETF_Options_Exhibits'!O2478:O2482)),AVERAGE('20250815_ETF_Options_Exhibits'!O2478:O2482),"")</f>
        <v/>
      </c>
      <c r="P2482" s="3">
        <f>IF(ISNUMBER(AVERAGE('20250815_ETF_Options_Exhibits'!P2478:P2482)),AVERAGE('20250815_ETF_Options_Exhibits'!P2478:P2482),"")</f>
        <v/>
      </c>
      <c r="Q2482" s="3">
        <f>IF(ISNUMBER(AVERAGE('20250815_ETF_Options_Exhibits'!Q2478:Q2482)),AVERAGE('20250815_ETF_Options_Exhibits'!Q2478:Q2482),"")</f>
        <v/>
      </c>
      <c r="R2482" s="3">
        <f>IF(ISNUMBER(AVERAGE('20250815_ETF_Options_Exhibits'!R2478:R2482)),AVERAGE('20250815_ETF_Options_Exhibits'!R2478:R2482),"")</f>
        <v/>
      </c>
      <c r="S2482" s="3">
        <f>IF(ISNUMBER(AVERAGE('20250815_ETF_Options_Exhibits'!S2478:S2482)),AVERAGE('20250815_ETF_Options_Exhibits'!S2478:S2482),"")</f>
        <v/>
      </c>
      <c r="T2482" s="3">
        <f>IF(ISNUMBER(AVERAGE('20250815_ETF_Options_Exhibits'!T2478:T2482)),AVERAGE('20250815_ETF_Options_Exhibits'!T2478:T2482),"")</f>
        <v/>
      </c>
      <c r="U2482" s="3">
        <f>IF(ISNUMBER(AVERAGE('20250815_ETF_Options_Exhibits'!U2478:U2482)),AVERAGE('20250815_ETF_Options_Exhibits'!U2478:U2482),"")</f>
        <v/>
      </c>
      <c r="V2482" s="3">
        <f>IF(ISNUMBER(AVERAGE('20250815_ETF_Options_Exhibits'!V2478:V2482)),AVERAGE('20250815_ETF_Options_Exhibits'!V2478:V2482),"")</f>
        <v/>
      </c>
      <c r="W2482" s="3">
        <f>IF(ISNUMBER(AVERAGE('20250815_ETF_Options_Exhibits'!W2478:W2482)),AVERAGE('20250815_ETF_Options_Exhibits'!W2478:W2482),"")</f>
        <v/>
      </c>
      <c r="X2482" s="3">
        <f>IF(ISNUMBER(AVERAGE('20250815_ETF_Options_Exhibits'!X2478:X2482)),AVERAGE('20250815_ETF_Options_Exhibits'!X2478:X2482),"")</f>
        <v/>
      </c>
      <c r="Y2482" s="3">
        <f>IF(ISNUMBER(AVERAGE('20250815_ETF_Options_Exhibits'!Y2478:Y2482)),AVERAGE('20250815_ETF_Options_Exhibits'!Y2478:Y2482),"")</f>
        <v/>
      </c>
      <c r="Z2482" s="3">
        <f>IF(ISNUMBER(AVERAGE('20250815_ETF_Options_Exhibits'!Z2478:Z2482)),AVERAGE('20250815_ETF_Options_Exhibits'!Z2478:Z2482),"")</f>
        <v/>
      </c>
      <c r="AA2482" s="3">
        <f>IF(ISNUMBER(AVERAGE('20250815_ETF_Options_Exhibits'!AA2478:AA2482)),AVERAGE('20250815_ETF_Options_Exhibits'!AA2478:AA2482),"")</f>
        <v/>
      </c>
    </row>
    <row r="2483">
      <c r="A2483" s="1" t="n">
        <v>45604</v>
      </c>
      <c r="B2483" s="3">
        <f>IF(ISNUMBER(AVERAGE('20250815_ETF_Options_Exhibits'!B2479:B2483)),AVERAGE('20250815_ETF_Options_Exhibits'!B2479:B2483),"")</f>
        <v/>
      </c>
      <c r="C2483" s="3">
        <f>IF(ISNUMBER(AVERAGE('20250815_ETF_Options_Exhibits'!C2479:C2483)),AVERAGE('20250815_ETF_Options_Exhibits'!C2479:C2483),"")</f>
        <v/>
      </c>
      <c r="D2483" s="3">
        <f>IF(ISNUMBER(AVERAGE('20250815_ETF_Options_Exhibits'!D2479:D2483)),AVERAGE('20250815_ETF_Options_Exhibits'!D2479:D2483),"")</f>
        <v/>
      </c>
      <c r="E2483" s="3">
        <f>IF(ISNUMBER(AVERAGE('20250815_ETF_Options_Exhibits'!E2479:E2483)),AVERAGE('20250815_ETF_Options_Exhibits'!E2479:E2483),"")</f>
        <v/>
      </c>
      <c r="F2483" s="3">
        <f>IF(ISNUMBER(AVERAGE('20250815_ETF_Options_Exhibits'!F2479:F2483)),AVERAGE('20250815_ETF_Options_Exhibits'!F2479:F2483),"")</f>
        <v/>
      </c>
      <c r="G2483" s="3">
        <f>IF(ISNUMBER(AVERAGE('20250815_ETF_Options_Exhibits'!G2479:G2483)),AVERAGE('20250815_ETF_Options_Exhibits'!G2479:G2483),"")</f>
        <v/>
      </c>
      <c r="H2483" s="3">
        <f>IF(ISNUMBER(AVERAGE('20250815_ETF_Options_Exhibits'!H2479:H2483)),AVERAGE('20250815_ETF_Options_Exhibits'!H2479:H2483),"")</f>
        <v/>
      </c>
      <c r="I2483" s="3">
        <f>IF(ISNUMBER(AVERAGE('20250815_ETF_Options_Exhibits'!I2479:I2483)),AVERAGE('20250815_ETF_Options_Exhibits'!I2479:I2483),"")</f>
        <v/>
      </c>
      <c r="J2483" s="3">
        <f>IF(ISNUMBER(AVERAGE('20250815_ETF_Options_Exhibits'!J2479:J2483)),AVERAGE('20250815_ETF_Options_Exhibits'!J2479:J2483),"")</f>
        <v/>
      </c>
      <c r="K2483" s="3">
        <f>IF(ISNUMBER(AVERAGE('20250815_ETF_Options_Exhibits'!K2479:K2483)),AVERAGE('20250815_ETF_Options_Exhibits'!K2479:K2483),"")</f>
        <v/>
      </c>
      <c r="L2483" s="3">
        <f>IF(ISNUMBER(AVERAGE('20250815_ETF_Options_Exhibits'!L2479:L2483)),AVERAGE('20250815_ETF_Options_Exhibits'!L2479:L2483),"")</f>
        <v/>
      </c>
      <c r="M2483" s="3">
        <f>IF(ISNUMBER(AVERAGE('20250815_ETF_Options_Exhibits'!M2479:M2483)),AVERAGE('20250815_ETF_Options_Exhibits'!M2479:M2483),"")</f>
        <v/>
      </c>
      <c r="N2483" s="3">
        <f>IF(ISNUMBER(AVERAGE('20250815_ETF_Options_Exhibits'!N2479:N2483)),AVERAGE('20250815_ETF_Options_Exhibits'!N2479:N2483),"")</f>
        <v/>
      </c>
      <c r="O2483" s="3">
        <f>IF(ISNUMBER(AVERAGE('20250815_ETF_Options_Exhibits'!O2479:O2483)),AVERAGE('20250815_ETF_Options_Exhibits'!O2479:O2483),"")</f>
        <v/>
      </c>
      <c r="P2483" s="3">
        <f>IF(ISNUMBER(AVERAGE('20250815_ETF_Options_Exhibits'!P2479:P2483)),AVERAGE('20250815_ETF_Options_Exhibits'!P2479:P2483),"")</f>
        <v/>
      </c>
      <c r="Q2483" s="3">
        <f>IF(ISNUMBER(AVERAGE('20250815_ETF_Options_Exhibits'!Q2479:Q2483)),AVERAGE('20250815_ETF_Options_Exhibits'!Q2479:Q2483),"")</f>
        <v/>
      </c>
      <c r="R2483" s="3">
        <f>IF(ISNUMBER(AVERAGE('20250815_ETF_Options_Exhibits'!R2479:R2483)),AVERAGE('20250815_ETF_Options_Exhibits'!R2479:R2483),"")</f>
        <v/>
      </c>
      <c r="S2483" s="3">
        <f>IF(ISNUMBER(AVERAGE('20250815_ETF_Options_Exhibits'!S2479:S2483)),AVERAGE('20250815_ETF_Options_Exhibits'!S2479:S2483),"")</f>
        <v/>
      </c>
      <c r="T2483" s="3">
        <f>IF(ISNUMBER(AVERAGE('20250815_ETF_Options_Exhibits'!T2479:T2483)),AVERAGE('20250815_ETF_Options_Exhibits'!T2479:T2483),"")</f>
        <v/>
      </c>
      <c r="U2483" s="3">
        <f>IF(ISNUMBER(AVERAGE('20250815_ETF_Options_Exhibits'!U2479:U2483)),AVERAGE('20250815_ETF_Options_Exhibits'!U2479:U2483),"")</f>
        <v/>
      </c>
      <c r="V2483" s="3">
        <f>IF(ISNUMBER(AVERAGE('20250815_ETF_Options_Exhibits'!V2479:V2483)),AVERAGE('20250815_ETF_Options_Exhibits'!V2479:V2483),"")</f>
        <v/>
      </c>
      <c r="W2483" s="3">
        <f>IF(ISNUMBER(AVERAGE('20250815_ETF_Options_Exhibits'!W2479:W2483)),AVERAGE('20250815_ETF_Options_Exhibits'!W2479:W2483),"")</f>
        <v/>
      </c>
      <c r="X2483" s="3">
        <f>IF(ISNUMBER(AVERAGE('20250815_ETF_Options_Exhibits'!X2479:X2483)),AVERAGE('20250815_ETF_Options_Exhibits'!X2479:X2483),"")</f>
        <v/>
      </c>
      <c r="Y2483" s="3">
        <f>IF(ISNUMBER(AVERAGE('20250815_ETF_Options_Exhibits'!Y2479:Y2483)),AVERAGE('20250815_ETF_Options_Exhibits'!Y2479:Y2483),"")</f>
        <v/>
      </c>
      <c r="Z2483" s="3">
        <f>IF(ISNUMBER(AVERAGE('20250815_ETF_Options_Exhibits'!Z2479:Z2483)),AVERAGE('20250815_ETF_Options_Exhibits'!Z2479:Z2483),"")</f>
        <v/>
      </c>
      <c r="AA2483" s="3">
        <f>IF(ISNUMBER(AVERAGE('20250815_ETF_Options_Exhibits'!AA2479:AA2483)),AVERAGE('20250815_ETF_Options_Exhibits'!AA2479:AA2483),"")</f>
        <v/>
      </c>
    </row>
    <row r="2484">
      <c r="A2484" s="1" t="n">
        <v>45607</v>
      </c>
      <c r="B2484" s="3">
        <f>IF(ISNUMBER(AVERAGE('20250815_ETF_Options_Exhibits'!B2480:B2484)),AVERAGE('20250815_ETF_Options_Exhibits'!B2480:B2484),"")</f>
        <v/>
      </c>
      <c r="C2484" s="3">
        <f>IF(ISNUMBER(AVERAGE('20250815_ETF_Options_Exhibits'!C2480:C2484)),AVERAGE('20250815_ETF_Options_Exhibits'!C2480:C2484),"")</f>
        <v/>
      </c>
      <c r="D2484" s="3">
        <f>IF(ISNUMBER(AVERAGE('20250815_ETF_Options_Exhibits'!D2480:D2484)),AVERAGE('20250815_ETF_Options_Exhibits'!D2480:D2484),"")</f>
        <v/>
      </c>
      <c r="E2484" s="3">
        <f>IF(ISNUMBER(AVERAGE('20250815_ETF_Options_Exhibits'!E2480:E2484)),AVERAGE('20250815_ETF_Options_Exhibits'!E2480:E2484),"")</f>
        <v/>
      </c>
      <c r="F2484" s="3">
        <f>IF(ISNUMBER(AVERAGE('20250815_ETF_Options_Exhibits'!F2480:F2484)),AVERAGE('20250815_ETF_Options_Exhibits'!F2480:F2484),"")</f>
        <v/>
      </c>
      <c r="G2484" s="3">
        <f>IF(ISNUMBER(AVERAGE('20250815_ETF_Options_Exhibits'!G2480:G2484)),AVERAGE('20250815_ETF_Options_Exhibits'!G2480:G2484),"")</f>
        <v/>
      </c>
      <c r="H2484" s="3">
        <f>IF(ISNUMBER(AVERAGE('20250815_ETF_Options_Exhibits'!H2480:H2484)),AVERAGE('20250815_ETF_Options_Exhibits'!H2480:H2484),"")</f>
        <v/>
      </c>
      <c r="I2484" s="3">
        <f>IF(ISNUMBER(AVERAGE('20250815_ETF_Options_Exhibits'!I2480:I2484)),AVERAGE('20250815_ETF_Options_Exhibits'!I2480:I2484),"")</f>
        <v/>
      </c>
      <c r="J2484" s="3">
        <f>IF(ISNUMBER(AVERAGE('20250815_ETF_Options_Exhibits'!J2480:J2484)),AVERAGE('20250815_ETF_Options_Exhibits'!J2480:J2484),"")</f>
        <v/>
      </c>
      <c r="K2484" s="3">
        <f>IF(ISNUMBER(AVERAGE('20250815_ETF_Options_Exhibits'!K2480:K2484)),AVERAGE('20250815_ETF_Options_Exhibits'!K2480:K2484),"")</f>
        <v/>
      </c>
      <c r="L2484" s="3">
        <f>IF(ISNUMBER(AVERAGE('20250815_ETF_Options_Exhibits'!L2480:L2484)),AVERAGE('20250815_ETF_Options_Exhibits'!L2480:L2484),"")</f>
        <v/>
      </c>
      <c r="M2484" s="3">
        <f>IF(ISNUMBER(AVERAGE('20250815_ETF_Options_Exhibits'!M2480:M2484)),AVERAGE('20250815_ETF_Options_Exhibits'!M2480:M2484),"")</f>
        <v/>
      </c>
      <c r="N2484" s="3">
        <f>IF(ISNUMBER(AVERAGE('20250815_ETF_Options_Exhibits'!N2480:N2484)),AVERAGE('20250815_ETF_Options_Exhibits'!N2480:N2484),"")</f>
        <v/>
      </c>
      <c r="O2484" s="3">
        <f>IF(ISNUMBER(AVERAGE('20250815_ETF_Options_Exhibits'!O2480:O2484)),AVERAGE('20250815_ETF_Options_Exhibits'!O2480:O2484),"")</f>
        <v/>
      </c>
      <c r="P2484" s="3">
        <f>IF(ISNUMBER(AVERAGE('20250815_ETF_Options_Exhibits'!P2480:P2484)),AVERAGE('20250815_ETF_Options_Exhibits'!P2480:P2484),"")</f>
        <v/>
      </c>
      <c r="Q2484" s="3">
        <f>IF(ISNUMBER(AVERAGE('20250815_ETF_Options_Exhibits'!Q2480:Q2484)),AVERAGE('20250815_ETF_Options_Exhibits'!Q2480:Q2484),"")</f>
        <v/>
      </c>
      <c r="R2484" s="3">
        <f>IF(ISNUMBER(AVERAGE('20250815_ETF_Options_Exhibits'!R2480:R2484)),AVERAGE('20250815_ETF_Options_Exhibits'!R2480:R2484),"")</f>
        <v/>
      </c>
      <c r="S2484" s="3">
        <f>IF(ISNUMBER(AVERAGE('20250815_ETF_Options_Exhibits'!S2480:S2484)),AVERAGE('20250815_ETF_Options_Exhibits'!S2480:S2484),"")</f>
        <v/>
      </c>
      <c r="T2484" s="3">
        <f>IF(ISNUMBER(AVERAGE('20250815_ETF_Options_Exhibits'!T2480:T2484)),AVERAGE('20250815_ETF_Options_Exhibits'!T2480:T2484),"")</f>
        <v/>
      </c>
      <c r="U2484" s="3">
        <f>IF(ISNUMBER(AVERAGE('20250815_ETF_Options_Exhibits'!U2480:U2484)),AVERAGE('20250815_ETF_Options_Exhibits'!U2480:U2484),"")</f>
        <v/>
      </c>
      <c r="V2484" s="3">
        <f>IF(ISNUMBER(AVERAGE('20250815_ETF_Options_Exhibits'!V2480:V2484)),AVERAGE('20250815_ETF_Options_Exhibits'!V2480:V2484),"")</f>
        <v/>
      </c>
      <c r="W2484" s="3">
        <f>IF(ISNUMBER(AVERAGE('20250815_ETF_Options_Exhibits'!W2480:W2484)),AVERAGE('20250815_ETF_Options_Exhibits'!W2480:W2484),"")</f>
        <v/>
      </c>
      <c r="X2484" s="3">
        <f>IF(ISNUMBER(AVERAGE('20250815_ETF_Options_Exhibits'!X2480:X2484)),AVERAGE('20250815_ETF_Options_Exhibits'!X2480:X2484),"")</f>
        <v/>
      </c>
      <c r="Y2484" s="3">
        <f>IF(ISNUMBER(AVERAGE('20250815_ETF_Options_Exhibits'!Y2480:Y2484)),AVERAGE('20250815_ETF_Options_Exhibits'!Y2480:Y2484),"")</f>
        <v/>
      </c>
      <c r="Z2484" s="3">
        <f>IF(ISNUMBER(AVERAGE('20250815_ETF_Options_Exhibits'!Z2480:Z2484)),AVERAGE('20250815_ETF_Options_Exhibits'!Z2480:Z2484),"")</f>
        <v/>
      </c>
      <c r="AA2484" s="3">
        <f>IF(ISNUMBER(AVERAGE('20250815_ETF_Options_Exhibits'!AA2480:AA2484)),AVERAGE('20250815_ETF_Options_Exhibits'!AA2480:AA2484),"")</f>
        <v/>
      </c>
    </row>
    <row r="2485">
      <c r="A2485" s="1" t="n">
        <v>45608</v>
      </c>
      <c r="B2485" s="3">
        <f>IF(ISNUMBER(AVERAGE('20250815_ETF_Options_Exhibits'!B2481:B2485)),AVERAGE('20250815_ETF_Options_Exhibits'!B2481:B2485),"")</f>
        <v/>
      </c>
      <c r="C2485" s="3">
        <f>IF(ISNUMBER(AVERAGE('20250815_ETF_Options_Exhibits'!C2481:C2485)),AVERAGE('20250815_ETF_Options_Exhibits'!C2481:C2485),"")</f>
        <v/>
      </c>
      <c r="D2485" s="3">
        <f>IF(ISNUMBER(AVERAGE('20250815_ETF_Options_Exhibits'!D2481:D2485)),AVERAGE('20250815_ETF_Options_Exhibits'!D2481:D2485),"")</f>
        <v/>
      </c>
      <c r="E2485" s="3">
        <f>IF(ISNUMBER(AVERAGE('20250815_ETF_Options_Exhibits'!E2481:E2485)),AVERAGE('20250815_ETF_Options_Exhibits'!E2481:E2485),"")</f>
        <v/>
      </c>
      <c r="F2485" s="3">
        <f>IF(ISNUMBER(AVERAGE('20250815_ETF_Options_Exhibits'!F2481:F2485)),AVERAGE('20250815_ETF_Options_Exhibits'!F2481:F2485),"")</f>
        <v/>
      </c>
      <c r="G2485" s="3">
        <f>IF(ISNUMBER(AVERAGE('20250815_ETF_Options_Exhibits'!G2481:G2485)),AVERAGE('20250815_ETF_Options_Exhibits'!G2481:G2485),"")</f>
        <v/>
      </c>
      <c r="H2485" s="3">
        <f>IF(ISNUMBER(AVERAGE('20250815_ETF_Options_Exhibits'!H2481:H2485)),AVERAGE('20250815_ETF_Options_Exhibits'!H2481:H2485),"")</f>
        <v/>
      </c>
      <c r="I2485" s="3">
        <f>IF(ISNUMBER(AVERAGE('20250815_ETF_Options_Exhibits'!I2481:I2485)),AVERAGE('20250815_ETF_Options_Exhibits'!I2481:I2485),"")</f>
        <v/>
      </c>
      <c r="J2485" s="3">
        <f>IF(ISNUMBER(AVERAGE('20250815_ETF_Options_Exhibits'!J2481:J2485)),AVERAGE('20250815_ETF_Options_Exhibits'!J2481:J2485),"")</f>
        <v/>
      </c>
      <c r="K2485" s="3">
        <f>IF(ISNUMBER(AVERAGE('20250815_ETF_Options_Exhibits'!K2481:K2485)),AVERAGE('20250815_ETF_Options_Exhibits'!K2481:K2485),"")</f>
        <v/>
      </c>
      <c r="L2485" s="3">
        <f>IF(ISNUMBER(AVERAGE('20250815_ETF_Options_Exhibits'!L2481:L2485)),AVERAGE('20250815_ETF_Options_Exhibits'!L2481:L2485),"")</f>
        <v/>
      </c>
      <c r="M2485" s="3">
        <f>IF(ISNUMBER(AVERAGE('20250815_ETF_Options_Exhibits'!M2481:M2485)),AVERAGE('20250815_ETF_Options_Exhibits'!M2481:M2485),"")</f>
        <v/>
      </c>
      <c r="N2485" s="3">
        <f>IF(ISNUMBER(AVERAGE('20250815_ETF_Options_Exhibits'!N2481:N2485)),AVERAGE('20250815_ETF_Options_Exhibits'!N2481:N2485),"")</f>
        <v/>
      </c>
      <c r="O2485" s="3">
        <f>IF(ISNUMBER(AVERAGE('20250815_ETF_Options_Exhibits'!O2481:O2485)),AVERAGE('20250815_ETF_Options_Exhibits'!O2481:O2485),"")</f>
        <v/>
      </c>
      <c r="P2485" s="3">
        <f>IF(ISNUMBER(AVERAGE('20250815_ETF_Options_Exhibits'!P2481:P2485)),AVERAGE('20250815_ETF_Options_Exhibits'!P2481:P2485),"")</f>
        <v/>
      </c>
      <c r="Q2485" s="3">
        <f>IF(ISNUMBER(AVERAGE('20250815_ETF_Options_Exhibits'!Q2481:Q2485)),AVERAGE('20250815_ETF_Options_Exhibits'!Q2481:Q2485),"")</f>
        <v/>
      </c>
      <c r="R2485" s="3">
        <f>IF(ISNUMBER(AVERAGE('20250815_ETF_Options_Exhibits'!R2481:R2485)),AVERAGE('20250815_ETF_Options_Exhibits'!R2481:R2485),"")</f>
        <v/>
      </c>
      <c r="S2485" s="3">
        <f>IF(ISNUMBER(AVERAGE('20250815_ETF_Options_Exhibits'!S2481:S2485)),AVERAGE('20250815_ETF_Options_Exhibits'!S2481:S2485),"")</f>
        <v/>
      </c>
      <c r="T2485" s="3">
        <f>IF(ISNUMBER(AVERAGE('20250815_ETF_Options_Exhibits'!T2481:T2485)),AVERAGE('20250815_ETF_Options_Exhibits'!T2481:T2485),"")</f>
        <v/>
      </c>
      <c r="U2485" s="3">
        <f>IF(ISNUMBER(AVERAGE('20250815_ETF_Options_Exhibits'!U2481:U2485)),AVERAGE('20250815_ETF_Options_Exhibits'!U2481:U2485),"")</f>
        <v/>
      </c>
      <c r="V2485" s="3">
        <f>IF(ISNUMBER(AVERAGE('20250815_ETF_Options_Exhibits'!V2481:V2485)),AVERAGE('20250815_ETF_Options_Exhibits'!V2481:V2485),"")</f>
        <v/>
      </c>
      <c r="W2485" s="3">
        <f>IF(ISNUMBER(AVERAGE('20250815_ETF_Options_Exhibits'!W2481:W2485)),AVERAGE('20250815_ETF_Options_Exhibits'!W2481:W2485),"")</f>
        <v/>
      </c>
      <c r="X2485" s="3">
        <f>IF(ISNUMBER(AVERAGE('20250815_ETF_Options_Exhibits'!X2481:X2485)),AVERAGE('20250815_ETF_Options_Exhibits'!X2481:X2485),"")</f>
        <v/>
      </c>
      <c r="Y2485" s="3">
        <f>IF(ISNUMBER(AVERAGE('20250815_ETF_Options_Exhibits'!Y2481:Y2485)),AVERAGE('20250815_ETF_Options_Exhibits'!Y2481:Y2485),"")</f>
        <v/>
      </c>
      <c r="Z2485" s="3">
        <f>IF(ISNUMBER(AVERAGE('20250815_ETF_Options_Exhibits'!Z2481:Z2485)),AVERAGE('20250815_ETF_Options_Exhibits'!Z2481:Z2485),"")</f>
        <v/>
      </c>
      <c r="AA2485" s="3">
        <f>IF(ISNUMBER(AVERAGE('20250815_ETF_Options_Exhibits'!AA2481:AA2485)),AVERAGE('20250815_ETF_Options_Exhibits'!AA2481:AA2485),"")</f>
        <v/>
      </c>
    </row>
    <row r="2486">
      <c r="A2486" s="1" t="n">
        <v>45609</v>
      </c>
      <c r="B2486" s="3">
        <f>IF(ISNUMBER(AVERAGE('20250815_ETF_Options_Exhibits'!B2482:B2486)),AVERAGE('20250815_ETF_Options_Exhibits'!B2482:B2486),"")</f>
        <v/>
      </c>
      <c r="C2486" s="3">
        <f>IF(ISNUMBER(AVERAGE('20250815_ETF_Options_Exhibits'!C2482:C2486)),AVERAGE('20250815_ETF_Options_Exhibits'!C2482:C2486),"")</f>
        <v/>
      </c>
      <c r="D2486" s="3">
        <f>IF(ISNUMBER(AVERAGE('20250815_ETF_Options_Exhibits'!D2482:D2486)),AVERAGE('20250815_ETF_Options_Exhibits'!D2482:D2486),"")</f>
        <v/>
      </c>
      <c r="E2486" s="3">
        <f>IF(ISNUMBER(AVERAGE('20250815_ETF_Options_Exhibits'!E2482:E2486)),AVERAGE('20250815_ETF_Options_Exhibits'!E2482:E2486),"")</f>
        <v/>
      </c>
      <c r="F2486" s="3">
        <f>IF(ISNUMBER(AVERAGE('20250815_ETF_Options_Exhibits'!F2482:F2486)),AVERAGE('20250815_ETF_Options_Exhibits'!F2482:F2486),"")</f>
        <v/>
      </c>
      <c r="G2486" s="3">
        <f>IF(ISNUMBER(AVERAGE('20250815_ETF_Options_Exhibits'!G2482:G2486)),AVERAGE('20250815_ETF_Options_Exhibits'!G2482:G2486),"")</f>
        <v/>
      </c>
      <c r="H2486" s="3">
        <f>IF(ISNUMBER(AVERAGE('20250815_ETF_Options_Exhibits'!H2482:H2486)),AVERAGE('20250815_ETF_Options_Exhibits'!H2482:H2486),"")</f>
        <v/>
      </c>
      <c r="I2486" s="3">
        <f>IF(ISNUMBER(AVERAGE('20250815_ETF_Options_Exhibits'!I2482:I2486)),AVERAGE('20250815_ETF_Options_Exhibits'!I2482:I2486),"")</f>
        <v/>
      </c>
      <c r="J2486" s="3">
        <f>IF(ISNUMBER(AVERAGE('20250815_ETF_Options_Exhibits'!J2482:J2486)),AVERAGE('20250815_ETF_Options_Exhibits'!J2482:J2486),"")</f>
        <v/>
      </c>
      <c r="K2486" s="3">
        <f>IF(ISNUMBER(AVERAGE('20250815_ETF_Options_Exhibits'!K2482:K2486)),AVERAGE('20250815_ETF_Options_Exhibits'!K2482:K2486),"")</f>
        <v/>
      </c>
      <c r="L2486" s="3">
        <f>IF(ISNUMBER(AVERAGE('20250815_ETF_Options_Exhibits'!L2482:L2486)),AVERAGE('20250815_ETF_Options_Exhibits'!L2482:L2486),"")</f>
        <v/>
      </c>
      <c r="M2486" s="3">
        <f>IF(ISNUMBER(AVERAGE('20250815_ETF_Options_Exhibits'!M2482:M2486)),AVERAGE('20250815_ETF_Options_Exhibits'!M2482:M2486),"")</f>
        <v/>
      </c>
      <c r="N2486" s="3">
        <f>IF(ISNUMBER(AVERAGE('20250815_ETF_Options_Exhibits'!N2482:N2486)),AVERAGE('20250815_ETF_Options_Exhibits'!N2482:N2486),"")</f>
        <v/>
      </c>
      <c r="O2486" s="3">
        <f>IF(ISNUMBER(AVERAGE('20250815_ETF_Options_Exhibits'!O2482:O2486)),AVERAGE('20250815_ETF_Options_Exhibits'!O2482:O2486),"")</f>
        <v/>
      </c>
      <c r="P2486" s="3">
        <f>IF(ISNUMBER(AVERAGE('20250815_ETF_Options_Exhibits'!P2482:P2486)),AVERAGE('20250815_ETF_Options_Exhibits'!P2482:P2486),"")</f>
        <v/>
      </c>
      <c r="Q2486" s="3">
        <f>IF(ISNUMBER(AVERAGE('20250815_ETF_Options_Exhibits'!Q2482:Q2486)),AVERAGE('20250815_ETF_Options_Exhibits'!Q2482:Q2486),"")</f>
        <v/>
      </c>
      <c r="R2486" s="3">
        <f>IF(ISNUMBER(AVERAGE('20250815_ETF_Options_Exhibits'!R2482:R2486)),AVERAGE('20250815_ETF_Options_Exhibits'!R2482:R2486),"")</f>
        <v/>
      </c>
      <c r="S2486" s="3">
        <f>IF(ISNUMBER(AVERAGE('20250815_ETF_Options_Exhibits'!S2482:S2486)),AVERAGE('20250815_ETF_Options_Exhibits'!S2482:S2486),"")</f>
        <v/>
      </c>
      <c r="T2486" s="3">
        <f>IF(ISNUMBER(AVERAGE('20250815_ETF_Options_Exhibits'!T2482:T2486)),AVERAGE('20250815_ETF_Options_Exhibits'!T2482:T2486),"")</f>
        <v/>
      </c>
      <c r="U2486" s="3">
        <f>IF(ISNUMBER(AVERAGE('20250815_ETF_Options_Exhibits'!U2482:U2486)),AVERAGE('20250815_ETF_Options_Exhibits'!U2482:U2486),"")</f>
        <v/>
      </c>
      <c r="V2486" s="3">
        <f>IF(ISNUMBER(AVERAGE('20250815_ETF_Options_Exhibits'!V2482:V2486)),AVERAGE('20250815_ETF_Options_Exhibits'!V2482:V2486),"")</f>
        <v/>
      </c>
      <c r="W2486" s="3">
        <f>IF(ISNUMBER(AVERAGE('20250815_ETF_Options_Exhibits'!W2482:W2486)),AVERAGE('20250815_ETF_Options_Exhibits'!W2482:W2486),"")</f>
        <v/>
      </c>
      <c r="X2486" s="3">
        <f>IF(ISNUMBER(AVERAGE('20250815_ETF_Options_Exhibits'!X2482:X2486)),AVERAGE('20250815_ETF_Options_Exhibits'!X2482:X2486),"")</f>
        <v/>
      </c>
      <c r="Y2486" s="3">
        <f>IF(ISNUMBER(AVERAGE('20250815_ETF_Options_Exhibits'!Y2482:Y2486)),AVERAGE('20250815_ETF_Options_Exhibits'!Y2482:Y2486),"")</f>
        <v/>
      </c>
      <c r="Z2486" s="3">
        <f>IF(ISNUMBER(AVERAGE('20250815_ETF_Options_Exhibits'!Z2482:Z2486)),AVERAGE('20250815_ETF_Options_Exhibits'!Z2482:Z2486),"")</f>
        <v/>
      </c>
      <c r="AA2486" s="3">
        <f>IF(ISNUMBER(AVERAGE('20250815_ETF_Options_Exhibits'!AA2482:AA2486)),AVERAGE('20250815_ETF_Options_Exhibits'!AA2482:AA2486),"")</f>
        <v/>
      </c>
    </row>
    <row r="2487">
      <c r="A2487" s="1" t="n">
        <v>45610</v>
      </c>
      <c r="B2487" s="3">
        <f>IF(ISNUMBER(AVERAGE('20250815_ETF_Options_Exhibits'!B2483:B2487)),AVERAGE('20250815_ETF_Options_Exhibits'!B2483:B2487),"")</f>
        <v/>
      </c>
      <c r="C2487" s="3">
        <f>IF(ISNUMBER(AVERAGE('20250815_ETF_Options_Exhibits'!C2483:C2487)),AVERAGE('20250815_ETF_Options_Exhibits'!C2483:C2487),"")</f>
        <v/>
      </c>
      <c r="D2487" s="3">
        <f>IF(ISNUMBER(AVERAGE('20250815_ETF_Options_Exhibits'!D2483:D2487)),AVERAGE('20250815_ETF_Options_Exhibits'!D2483:D2487),"")</f>
        <v/>
      </c>
      <c r="E2487" s="3">
        <f>IF(ISNUMBER(AVERAGE('20250815_ETF_Options_Exhibits'!E2483:E2487)),AVERAGE('20250815_ETF_Options_Exhibits'!E2483:E2487),"")</f>
        <v/>
      </c>
      <c r="F2487" s="3">
        <f>IF(ISNUMBER(AVERAGE('20250815_ETF_Options_Exhibits'!F2483:F2487)),AVERAGE('20250815_ETF_Options_Exhibits'!F2483:F2487),"")</f>
        <v/>
      </c>
      <c r="G2487" s="3">
        <f>IF(ISNUMBER(AVERAGE('20250815_ETF_Options_Exhibits'!G2483:G2487)),AVERAGE('20250815_ETF_Options_Exhibits'!G2483:G2487),"")</f>
        <v/>
      </c>
      <c r="H2487" s="3">
        <f>IF(ISNUMBER(AVERAGE('20250815_ETF_Options_Exhibits'!H2483:H2487)),AVERAGE('20250815_ETF_Options_Exhibits'!H2483:H2487),"")</f>
        <v/>
      </c>
      <c r="I2487" s="3">
        <f>IF(ISNUMBER(AVERAGE('20250815_ETF_Options_Exhibits'!I2483:I2487)),AVERAGE('20250815_ETF_Options_Exhibits'!I2483:I2487),"")</f>
        <v/>
      </c>
      <c r="J2487" s="3">
        <f>IF(ISNUMBER(AVERAGE('20250815_ETF_Options_Exhibits'!J2483:J2487)),AVERAGE('20250815_ETF_Options_Exhibits'!J2483:J2487),"")</f>
        <v/>
      </c>
      <c r="K2487" s="3">
        <f>IF(ISNUMBER(AVERAGE('20250815_ETF_Options_Exhibits'!K2483:K2487)),AVERAGE('20250815_ETF_Options_Exhibits'!K2483:K2487),"")</f>
        <v/>
      </c>
      <c r="L2487" s="3">
        <f>IF(ISNUMBER(AVERAGE('20250815_ETF_Options_Exhibits'!L2483:L2487)),AVERAGE('20250815_ETF_Options_Exhibits'!L2483:L2487),"")</f>
        <v/>
      </c>
      <c r="M2487" s="3">
        <f>IF(ISNUMBER(AVERAGE('20250815_ETF_Options_Exhibits'!M2483:M2487)),AVERAGE('20250815_ETF_Options_Exhibits'!M2483:M2487),"")</f>
        <v/>
      </c>
      <c r="N2487" s="3">
        <f>IF(ISNUMBER(AVERAGE('20250815_ETF_Options_Exhibits'!N2483:N2487)),AVERAGE('20250815_ETF_Options_Exhibits'!N2483:N2487),"")</f>
        <v/>
      </c>
      <c r="O2487" s="3">
        <f>IF(ISNUMBER(AVERAGE('20250815_ETF_Options_Exhibits'!O2483:O2487)),AVERAGE('20250815_ETF_Options_Exhibits'!O2483:O2487),"")</f>
        <v/>
      </c>
      <c r="P2487" s="3">
        <f>IF(ISNUMBER(AVERAGE('20250815_ETF_Options_Exhibits'!P2483:P2487)),AVERAGE('20250815_ETF_Options_Exhibits'!P2483:P2487),"")</f>
        <v/>
      </c>
      <c r="Q2487" s="3">
        <f>IF(ISNUMBER(AVERAGE('20250815_ETF_Options_Exhibits'!Q2483:Q2487)),AVERAGE('20250815_ETF_Options_Exhibits'!Q2483:Q2487),"")</f>
        <v/>
      </c>
      <c r="R2487" s="3">
        <f>IF(ISNUMBER(AVERAGE('20250815_ETF_Options_Exhibits'!R2483:R2487)),AVERAGE('20250815_ETF_Options_Exhibits'!R2483:R2487),"")</f>
        <v/>
      </c>
      <c r="S2487" s="3">
        <f>IF(ISNUMBER(AVERAGE('20250815_ETF_Options_Exhibits'!S2483:S2487)),AVERAGE('20250815_ETF_Options_Exhibits'!S2483:S2487),"")</f>
        <v/>
      </c>
      <c r="T2487" s="3">
        <f>IF(ISNUMBER(AVERAGE('20250815_ETF_Options_Exhibits'!T2483:T2487)),AVERAGE('20250815_ETF_Options_Exhibits'!T2483:T2487),"")</f>
        <v/>
      </c>
      <c r="U2487" s="3">
        <f>IF(ISNUMBER(AVERAGE('20250815_ETF_Options_Exhibits'!U2483:U2487)),AVERAGE('20250815_ETF_Options_Exhibits'!U2483:U2487),"")</f>
        <v/>
      </c>
      <c r="V2487" s="3">
        <f>IF(ISNUMBER(AVERAGE('20250815_ETF_Options_Exhibits'!V2483:V2487)),AVERAGE('20250815_ETF_Options_Exhibits'!V2483:V2487),"")</f>
        <v/>
      </c>
      <c r="W2487" s="3">
        <f>IF(ISNUMBER(AVERAGE('20250815_ETF_Options_Exhibits'!W2483:W2487)),AVERAGE('20250815_ETF_Options_Exhibits'!W2483:W2487),"")</f>
        <v/>
      </c>
      <c r="X2487" s="3">
        <f>IF(ISNUMBER(AVERAGE('20250815_ETF_Options_Exhibits'!X2483:X2487)),AVERAGE('20250815_ETF_Options_Exhibits'!X2483:X2487),"")</f>
        <v/>
      </c>
      <c r="Y2487" s="3">
        <f>IF(ISNUMBER(AVERAGE('20250815_ETF_Options_Exhibits'!Y2483:Y2487)),AVERAGE('20250815_ETF_Options_Exhibits'!Y2483:Y2487),"")</f>
        <v/>
      </c>
      <c r="Z2487" s="3">
        <f>IF(ISNUMBER(AVERAGE('20250815_ETF_Options_Exhibits'!Z2483:Z2487)),AVERAGE('20250815_ETF_Options_Exhibits'!Z2483:Z2487),"")</f>
        <v/>
      </c>
      <c r="AA2487" s="3">
        <f>IF(ISNUMBER(AVERAGE('20250815_ETF_Options_Exhibits'!AA2483:AA2487)),AVERAGE('20250815_ETF_Options_Exhibits'!AA2483:AA2487),"")</f>
        <v/>
      </c>
    </row>
    <row r="2488">
      <c r="A2488" s="1" t="n">
        <v>45611</v>
      </c>
      <c r="B2488" s="3">
        <f>IF(ISNUMBER(AVERAGE('20250815_ETF_Options_Exhibits'!B2484:B2488)),AVERAGE('20250815_ETF_Options_Exhibits'!B2484:B2488),"")</f>
        <v/>
      </c>
      <c r="C2488" s="3">
        <f>IF(ISNUMBER(AVERAGE('20250815_ETF_Options_Exhibits'!C2484:C2488)),AVERAGE('20250815_ETF_Options_Exhibits'!C2484:C2488),"")</f>
        <v/>
      </c>
      <c r="D2488" s="3">
        <f>IF(ISNUMBER(AVERAGE('20250815_ETF_Options_Exhibits'!D2484:D2488)),AVERAGE('20250815_ETF_Options_Exhibits'!D2484:D2488),"")</f>
        <v/>
      </c>
      <c r="E2488" s="3">
        <f>IF(ISNUMBER(AVERAGE('20250815_ETF_Options_Exhibits'!E2484:E2488)),AVERAGE('20250815_ETF_Options_Exhibits'!E2484:E2488),"")</f>
        <v/>
      </c>
      <c r="F2488" s="3">
        <f>IF(ISNUMBER(AVERAGE('20250815_ETF_Options_Exhibits'!F2484:F2488)),AVERAGE('20250815_ETF_Options_Exhibits'!F2484:F2488),"")</f>
        <v/>
      </c>
      <c r="G2488" s="3">
        <f>IF(ISNUMBER(AVERAGE('20250815_ETF_Options_Exhibits'!G2484:G2488)),AVERAGE('20250815_ETF_Options_Exhibits'!G2484:G2488),"")</f>
        <v/>
      </c>
      <c r="H2488" s="3">
        <f>IF(ISNUMBER(AVERAGE('20250815_ETF_Options_Exhibits'!H2484:H2488)),AVERAGE('20250815_ETF_Options_Exhibits'!H2484:H2488),"")</f>
        <v/>
      </c>
      <c r="I2488" s="3">
        <f>IF(ISNUMBER(AVERAGE('20250815_ETF_Options_Exhibits'!I2484:I2488)),AVERAGE('20250815_ETF_Options_Exhibits'!I2484:I2488),"")</f>
        <v/>
      </c>
      <c r="J2488" s="3">
        <f>IF(ISNUMBER(AVERAGE('20250815_ETF_Options_Exhibits'!J2484:J2488)),AVERAGE('20250815_ETF_Options_Exhibits'!J2484:J2488),"")</f>
        <v/>
      </c>
      <c r="K2488" s="3">
        <f>IF(ISNUMBER(AVERAGE('20250815_ETF_Options_Exhibits'!K2484:K2488)),AVERAGE('20250815_ETF_Options_Exhibits'!K2484:K2488),"")</f>
        <v/>
      </c>
      <c r="L2488" s="3">
        <f>IF(ISNUMBER(AVERAGE('20250815_ETF_Options_Exhibits'!L2484:L2488)),AVERAGE('20250815_ETF_Options_Exhibits'!L2484:L2488),"")</f>
        <v/>
      </c>
      <c r="M2488" s="3">
        <f>IF(ISNUMBER(AVERAGE('20250815_ETF_Options_Exhibits'!M2484:M2488)),AVERAGE('20250815_ETF_Options_Exhibits'!M2484:M2488),"")</f>
        <v/>
      </c>
      <c r="N2488" s="3">
        <f>IF(ISNUMBER(AVERAGE('20250815_ETF_Options_Exhibits'!N2484:N2488)),AVERAGE('20250815_ETF_Options_Exhibits'!N2484:N2488),"")</f>
        <v/>
      </c>
      <c r="O2488" s="3">
        <f>IF(ISNUMBER(AVERAGE('20250815_ETF_Options_Exhibits'!O2484:O2488)),AVERAGE('20250815_ETF_Options_Exhibits'!O2484:O2488),"")</f>
        <v/>
      </c>
      <c r="P2488" s="3">
        <f>IF(ISNUMBER(AVERAGE('20250815_ETF_Options_Exhibits'!P2484:P2488)),AVERAGE('20250815_ETF_Options_Exhibits'!P2484:P2488),"")</f>
        <v/>
      </c>
      <c r="Q2488" s="3">
        <f>IF(ISNUMBER(AVERAGE('20250815_ETF_Options_Exhibits'!Q2484:Q2488)),AVERAGE('20250815_ETF_Options_Exhibits'!Q2484:Q2488),"")</f>
        <v/>
      </c>
      <c r="R2488" s="3">
        <f>IF(ISNUMBER(AVERAGE('20250815_ETF_Options_Exhibits'!R2484:R2488)),AVERAGE('20250815_ETF_Options_Exhibits'!R2484:R2488),"")</f>
        <v/>
      </c>
      <c r="S2488" s="3">
        <f>IF(ISNUMBER(AVERAGE('20250815_ETF_Options_Exhibits'!S2484:S2488)),AVERAGE('20250815_ETF_Options_Exhibits'!S2484:S2488),"")</f>
        <v/>
      </c>
      <c r="T2488" s="3">
        <f>IF(ISNUMBER(AVERAGE('20250815_ETF_Options_Exhibits'!T2484:T2488)),AVERAGE('20250815_ETF_Options_Exhibits'!T2484:T2488),"")</f>
        <v/>
      </c>
      <c r="U2488" s="3">
        <f>IF(ISNUMBER(AVERAGE('20250815_ETF_Options_Exhibits'!U2484:U2488)),AVERAGE('20250815_ETF_Options_Exhibits'!U2484:U2488),"")</f>
        <v/>
      </c>
      <c r="V2488" s="3">
        <f>IF(ISNUMBER(AVERAGE('20250815_ETF_Options_Exhibits'!V2484:V2488)),AVERAGE('20250815_ETF_Options_Exhibits'!V2484:V2488),"")</f>
        <v/>
      </c>
      <c r="W2488" s="3">
        <f>IF(ISNUMBER(AVERAGE('20250815_ETF_Options_Exhibits'!W2484:W2488)),AVERAGE('20250815_ETF_Options_Exhibits'!W2484:W2488),"")</f>
        <v/>
      </c>
      <c r="X2488" s="3">
        <f>IF(ISNUMBER(AVERAGE('20250815_ETF_Options_Exhibits'!X2484:X2488)),AVERAGE('20250815_ETF_Options_Exhibits'!X2484:X2488),"")</f>
        <v/>
      </c>
      <c r="Y2488" s="3">
        <f>IF(ISNUMBER(AVERAGE('20250815_ETF_Options_Exhibits'!Y2484:Y2488)),AVERAGE('20250815_ETF_Options_Exhibits'!Y2484:Y2488),"")</f>
        <v/>
      </c>
      <c r="Z2488" s="3">
        <f>IF(ISNUMBER(AVERAGE('20250815_ETF_Options_Exhibits'!Z2484:Z2488)),AVERAGE('20250815_ETF_Options_Exhibits'!Z2484:Z2488),"")</f>
        <v/>
      </c>
      <c r="AA2488" s="3">
        <f>IF(ISNUMBER(AVERAGE('20250815_ETF_Options_Exhibits'!AA2484:AA2488)),AVERAGE('20250815_ETF_Options_Exhibits'!AA2484:AA2488),"")</f>
        <v/>
      </c>
    </row>
    <row r="2489">
      <c r="A2489" s="1" t="n">
        <v>45614</v>
      </c>
      <c r="B2489" s="3">
        <f>IF(ISNUMBER(AVERAGE('20250815_ETF_Options_Exhibits'!B2485:B2489)),AVERAGE('20250815_ETF_Options_Exhibits'!B2485:B2489),"")</f>
        <v/>
      </c>
      <c r="C2489" s="3">
        <f>IF(ISNUMBER(AVERAGE('20250815_ETF_Options_Exhibits'!C2485:C2489)),AVERAGE('20250815_ETF_Options_Exhibits'!C2485:C2489),"")</f>
        <v/>
      </c>
      <c r="D2489" s="3">
        <f>IF(ISNUMBER(AVERAGE('20250815_ETF_Options_Exhibits'!D2485:D2489)),AVERAGE('20250815_ETF_Options_Exhibits'!D2485:D2489),"")</f>
        <v/>
      </c>
      <c r="E2489" s="3">
        <f>IF(ISNUMBER(AVERAGE('20250815_ETF_Options_Exhibits'!E2485:E2489)),AVERAGE('20250815_ETF_Options_Exhibits'!E2485:E2489),"")</f>
        <v/>
      </c>
      <c r="F2489" s="3">
        <f>IF(ISNUMBER(AVERAGE('20250815_ETF_Options_Exhibits'!F2485:F2489)),AVERAGE('20250815_ETF_Options_Exhibits'!F2485:F2489),"")</f>
        <v/>
      </c>
      <c r="G2489" s="3">
        <f>IF(ISNUMBER(AVERAGE('20250815_ETF_Options_Exhibits'!G2485:G2489)),AVERAGE('20250815_ETF_Options_Exhibits'!G2485:G2489),"")</f>
        <v/>
      </c>
      <c r="H2489" s="3">
        <f>IF(ISNUMBER(AVERAGE('20250815_ETF_Options_Exhibits'!H2485:H2489)),AVERAGE('20250815_ETF_Options_Exhibits'!H2485:H2489),"")</f>
        <v/>
      </c>
      <c r="I2489" s="3">
        <f>IF(ISNUMBER(AVERAGE('20250815_ETF_Options_Exhibits'!I2485:I2489)),AVERAGE('20250815_ETF_Options_Exhibits'!I2485:I2489),"")</f>
        <v/>
      </c>
      <c r="J2489" s="3">
        <f>IF(ISNUMBER(AVERAGE('20250815_ETF_Options_Exhibits'!J2485:J2489)),AVERAGE('20250815_ETF_Options_Exhibits'!J2485:J2489),"")</f>
        <v/>
      </c>
      <c r="K2489" s="3">
        <f>IF(ISNUMBER(AVERAGE('20250815_ETF_Options_Exhibits'!K2485:K2489)),AVERAGE('20250815_ETF_Options_Exhibits'!K2485:K2489),"")</f>
        <v/>
      </c>
      <c r="L2489" s="3">
        <f>IF(ISNUMBER(AVERAGE('20250815_ETF_Options_Exhibits'!L2485:L2489)),AVERAGE('20250815_ETF_Options_Exhibits'!L2485:L2489),"")</f>
        <v/>
      </c>
      <c r="M2489" s="3">
        <f>IF(ISNUMBER(AVERAGE('20250815_ETF_Options_Exhibits'!M2485:M2489)),AVERAGE('20250815_ETF_Options_Exhibits'!M2485:M2489),"")</f>
        <v/>
      </c>
      <c r="N2489" s="3">
        <f>IF(ISNUMBER(AVERAGE('20250815_ETF_Options_Exhibits'!N2485:N2489)),AVERAGE('20250815_ETF_Options_Exhibits'!N2485:N2489),"")</f>
        <v/>
      </c>
      <c r="O2489" s="3">
        <f>IF(ISNUMBER(AVERAGE('20250815_ETF_Options_Exhibits'!O2485:O2489)),AVERAGE('20250815_ETF_Options_Exhibits'!O2485:O2489),"")</f>
        <v/>
      </c>
      <c r="P2489" s="3">
        <f>IF(ISNUMBER(AVERAGE('20250815_ETF_Options_Exhibits'!P2485:P2489)),AVERAGE('20250815_ETF_Options_Exhibits'!P2485:P2489),"")</f>
        <v/>
      </c>
      <c r="Q2489" s="3">
        <f>IF(ISNUMBER(AVERAGE('20250815_ETF_Options_Exhibits'!Q2485:Q2489)),AVERAGE('20250815_ETF_Options_Exhibits'!Q2485:Q2489),"")</f>
        <v/>
      </c>
      <c r="R2489" s="3">
        <f>IF(ISNUMBER(AVERAGE('20250815_ETF_Options_Exhibits'!R2485:R2489)),AVERAGE('20250815_ETF_Options_Exhibits'!R2485:R2489),"")</f>
        <v/>
      </c>
      <c r="S2489" s="3">
        <f>IF(ISNUMBER(AVERAGE('20250815_ETF_Options_Exhibits'!S2485:S2489)),AVERAGE('20250815_ETF_Options_Exhibits'!S2485:S2489),"")</f>
        <v/>
      </c>
      <c r="T2489" s="3">
        <f>IF(ISNUMBER(AVERAGE('20250815_ETF_Options_Exhibits'!T2485:T2489)),AVERAGE('20250815_ETF_Options_Exhibits'!T2485:T2489),"")</f>
        <v/>
      </c>
      <c r="U2489" s="3">
        <f>IF(ISNUMBER(AVERAGE('20250815_ETF_Options_Exhibits'!U2485:U2489)),AVERAGE('20250815_ETF_Options_Exhibits'!U2485:U2489),"")</f>
        <v/>
      </c>
      <c r="V2489" s="3">
        <f>IF(ISNUMBER(AVERAGE('20250815_ETF_Options_Exhibits'!V2485:V2489)),AVERAGE('20250815_ETF_Options_Exhibits'!V2485:V2489),"")</f>
        <v/>
      </c>
      <c r="W2489" s="3">
        <f>IF(ISNUMBER(AVERAGE('20250815_ETF_Options_Exhibits'!W2485:W2489)),AVERAGE('20250815_ETF_Options_Exhibits'!W2485:W2489),"")</f>
        <v/>
      </c>
      <c r="X2489" s="3">
        <f>IF(ISNUMBER(AVERAGE('20250815_ETF_Options_Exhibits'!X2485:X2489)),AVERAGE('20250815_ETF_Options_Exhibits'!X2485:X2489),"")</f>
        <v/>
      </c>
      <c r="Y2489" s="3">
        <f>IF(ISNUMBER(AVERAGE('20250815_ETF_Options_Exhibits'!Y2485:Y2489)),AVERAGE('20250815_ETF_Options_Exhibits'!Y2485:Y2489),"")</f>
        <v/>
      </c>
      <c r="Z2489" s="3">
        <f>IF(ISNUMBER(AVERAGE('20250815_ETF_Options_Exhibits'!Z2485:Z2489)),AVERAGE('20250815_ETF_Options_Exhibits'!Z2485:Z2489),"")</f>
        <v/>
      </c>
      <c r="AA2489" s="3">
        <f>IF(ISNUMBER(AVERAGE('20250815_ETF_Options_Exhibits'!AA2485:AA2489)),AVERAGE('20250815_ETF_Options_Exhibits'!AA2485:AA2489),"")</f>
        <v/>
      </c>
    </row>
    <row r="2490">
      <c r="A2490" s="1" t="n">
        <v>45615</v>
      </c>
      <c r="B2490" s="3">
        <f>IF(ISNUMBER(AVERAGE('20250815_ETF_Options_Exhibits'!B2486:B2490)),AVERAGE('20250815_ETF_Options_Exhibits'!B2486:B2490),"")</f>
        <v/>
      </c>
      <c r="C2490" s="3">
        <f>IF(ISNUMBER(AVERAGE('20250815_ETF_Options_Exhibits'!C2486:C2490)),AVERAGE('20250815_ETF_Options_Exhibits'!C2486:C2490),"")</f>
        <v/>
      </c>
      <c r="D2490" s="3">
        <f>IF(ISNUMBER(AVERAGE('20250815_ETF_Options_Exhibits'!D2486:D2490)),AVERAGE('20250815_ETF_Options_Exhibits'!D2486:D2490),"")</f>
        <v/>
      </c>
      <c r="E2490" s="3">
        <f>IF(ISNUMBER(AVERAGE('20250815_ETF_Options_Exhibits'!E2486:E2490)),AVERAGE('20250815_ETF_Options_Exhibits'!E2486:E2490),"")</f>
        <v/>
      </c>
      <c r="F2490" s="3">
        <f>IF(ISNUMBER(AVERAGE('20250815_ETF_Options_Exhibits'!F2486:F2490)),AVERAGE('20250815_ETF_Options_Exhibits'!F2486:F2490),"")</f>
        <v/>
      </c>
      <c r="G2490" s="3">
        <f>IF(ISNUMBER(AVERAGE('20250815_ETF_Options_Exhibits'!G2486:G2490)),AVERAGE('20250815_ETF_Options_Exhibits'!G2486:G2490),"")</f>
        <v/>
      </c>
      <c r="H2490" s="3">
        <f>IF(ISNUMBER(AVERAGE('20250815_ETF_Options_Exhibits'!H2486:H2490)),AVERAGE('20250815_ETF_Options_Exhibits'!H2486:H2490),"")</f>
        <v/>
      </c>
      <c r="I2490" s="3">
        <f>IF(ISNUMBER(AVERAGE('20250815_ETF_Options_Exhibits'!I2486:I2490)),AVERAGE('20250815_ETF_Options_Exhibits'!I2486:I2490),"")</f>
        <v/>
      </c>
      <c r="J2490" s="3">
        <f>IF(ISNUMBER(AVERAGE('20250815_ETF_Options_Exhibits'!J2486:J2490)),AVERAGE('20250815_ETF_Options_Exhibits'!J2486:J2490),"")</f>
        <v/>
      </c>
      <c r="K2490" s="3">
        <f>IF(ISNUMBER(AVERAGE('20250815_ETF_Options_Exhibits'!K2486:K2490)),AVERAGE('20250815_ETF_Options_Exhibits'!K2486:K2490),"")</f>
        <v/>
      </c>
      <c r="L2490" s="3">
        <f>IF(ISNUMBER(AVERAGE('20250815_ETF_Options_Exhibits'!L2486:L2490)),AVERAGE('20250815_ETF_Options_Exhibits'!L2486:L2490),"")</f>
        <v/>
      </c>
      <c r="M2490" s="3">
        <f>IF(ISNUMBER(AVERAGE('20250815_ETF_Options_Exhibits'!M2486:M2490)),AVERAGE('20250815_ETF_Options_Exhibits'!M2486:M2490),"")</f>
        <v/>
      </c>
      <c r="N2490" s="3">
        <f>IF(ISNUMBER(AVERAGE('20250815_ETF_Options_Exhibits'!N2486:N2490)),AVERAGE('20250815_ETF_Options_Exhibits'!N2486:N2490),"")</f>
        <v/>
      </c>
      <c r="O2490" s="3">
        <f>IF(ISNUMBER(AVERAGE('20250815_ETF_Options_Exhibits'!O2486:O2490)),AVERAGE('20250815_ETF_Options_Exhibits'!O2486:O2490),"")</f>
        <v/>
      </c>
      <c r="P2490" s="3">
        <f>IF(ISNUMBER(AVERAGE('20250815_ETF_Options_Exhibits'!P2486:P2490)),AVERAGE('20250815_ETF_Options_Exhibits'!P2486:P2490),"")</f>
        <v/>
      </c>
      <c r="Q2490" s="3">
        <f>IF(ISNUMBER(AVERAGE('20250815_ETF_Options_Exhibits'!Q2486:Q2490)),AVERAGE('20250815_ETF_Options_Exhibits'!Q2486:Q2490),"")</f>
        <v/>
      </c>
      <c r="R2490" s="3">
        <f>IF(ISNUMBER(AVERAGE('20250815_ETF_Options_Exhibits'!R2486:R2490)),AVERAGE('20250815_ETF_Options_Exhibits'!R2486:R2490),"")</f>
        <v/>
      </c>
      <c r="S2490" s="3">
        <f>IF(ISNUMBER(AVERAGE('20250815_ETF_Options_Exhibits'!S2486:S2490)),AVERAGE('20250815_ETF_Options_Exhibits'!S2486:S2490),"")</f>
        <v/>
      </c>
      <c r="T2490" s="3">
        <f>IF(ISNUMBER(AVERAGE('20250815_ETF_Options_Exhibits'!T2486:T2490)),AVERAGE('20250815_ETF_Options_Exhibits'!T2486:T2490),"")</f>
        <v/>
      </c>
      <c r="U2490" s="3">
        <f>IF(ISNUMBER(AVERAGE('20250815_ETF_Options_Exhibits'!U2486:U2490)),AVERAGE('20250815_ETF_Options_Exhibits'!U2486:U2490),"")</f>
        <v/>
      </c>
      <c r="V2490" s="3">
        <f>IF(ISNUMBER(AVERAGE('20250815_ETF_Options_Exhibits'!V2486:V2490)),AVERAGE('20250815_ETF_Options_Exhibits'!V2486:V2490),"")</f>
        <v/>
      </c>
      <c r="W2490" s="3">
        <f>IF(ISNUMBER(AVERAGE('20250815_ETF_Options_Exhibits'!W2486:W2490)),AVERAGE('20250815_ETF_Options_Exhibits'!W2486:W2490),"")</f>
        <v/>
      </c>
      <c r="X2490" s="3">
        <f>IF(ISNUMBER(AVERAGE('20250815_ETF_Options_Exhibits'!X2486:X2490)),AVERAGE('20250815_ETF_Options_Exhibits'!X2486:X2490),"")</f>
        <v/>
      </c>
      <c r="Y2490" s="3">
        <f>IF(ISNUMBER(AVERAGE('20250815_ETF_Options_Exhibits'!Y2486:Y2490)),AVERAGE('20250815_ETF_Options_Exhibits'!Y2486:Y2490),"")</f>
        <v/>
      </c>
      <c r="Z2490" s="3">
        <f>IF(ISNUMBER(AVERAGE('20250815_ETF_Options_Exhibits'!Z2486:Z2490)),AVERAGE('20250815_ETF_Options_Exhibits'!Z2486:Z2490),"")</f>
        <v/>
      </c>
      <c r="AA2490" s="3">
        <f>IF(ISNUMBER(AVERAGE('20250815_ETF_Options_Exhibits'!AA2486:AA2490)),AVERAGE('20250815_ETF_Options_Exhibits'!AA2486:AA2490),"")</f>
        <v/>
      </c>
    </row>
    <row r="2491">
      <c r="A2491" s="1" t="n">
        <v>45616</v>
      </c>
      <c r="B2491" s="3">
        <f>IF(ISNUMBER(AVERAGE('20250815_ETF_Options_Exhibits'!B2487:B2491)),AVERAGE('20250815_ETF_Options_Exhibits'!B2487:B2491),"")</f>
        <v/>
      </c>
      <c r="C2491" s="3">
        <f>IF(ISNUMBER(AVERAGE('20250815_ETF_Options_Exhibits'!C2487:C2491)),AVERAGE('20250815_ETF_Options_Exhibits'!C2487:C2491),"")</f>
        <v/>
      </c>
      <c r="D2491" s="3">
        <f>IF(ISNUMBER(AVERAGE('20250815_ETF_Options_Exhibits'!D2487:D2491)),AVERAGE('20250815_ETF_Options_Exhibits'!D2487:D2491),"")</f>
        <v/>
      </c>
      <c r="E2491" s="3">
        <f>IF(ISNUMBER(AVERAGE('20250815_ETF_Options_Exhibits'!E2487:E2491)),AVERAGE('20250815_ETF_Options_Exhibits'!E2487:E2491),"")</f>
        <v/>
      </c>
      <c r="F2491" s="3">
        <f>IF(ISNUMBER(AVERAGE('20250815_ETF_Options_Exhibits'!F2487:F2491)),AVERAGE('20250815_ETF_Options_Exhibits'!F2487:F2491),"")</f>
        <v/>
      </c>
      <c r="G2491" s="3">
        <f>IF(ISNUMBER(AVERAGE('20250815_ETF_Options_Exhibits'!G2487:G2491)),AVERAGE('20250815_ETF_Options_Exhibits'!G2487:G2491),"")</f>
        <v/>
      </c>
      <c r="H2491" s="3">
        <f>IF(ISNUMBER(AVERAGE('20250815_ETF_Options_Exhibits'!H2487:H2491)),AVERAGE('20250815_ETF_Options_Exhibits'!H2487:H2491),"")</f>
        <v/>
      </c>
      <c r="I2491" s="3">
        <f>IF(ISNUMBER(AVERAGE('20250815_ETF_Options_Exhibits'!I2487:I2491)),AVERAGE('20250815_ETF_Options_Exhibits'!I2487:I2491),"")</f>
        <v/>
      </c>
      <c r="J2491" s="3">
        <f>IF(ISNUMBER(AVERAGE('20250815_ETF_Options_Exhibits'!J2487:J2491)),AVERAGE('20250815_ETF_Options_Exhibits'!J2487:J2491),"")</f>
        <v/>
      </c>
      <c r="K2491" s="3">
        <f>IF(ISNUMBER(AVERAGE('20250815_ETF_Options_Exhibits'!K2487:K2491)),AVERAGE('20250815_ETF_Options_Exhibits'!K2487:K2491),"")</f>
        <v/>
      </c>
      <c r="L2491" s="3">
        <f>IF(ISNUMBER(AVERAGE('20250815_ETF_Options_Exhibits'!L2487:L2491)),AVERAGE('20250815_ETF_Options_Exhibits'!L2487:L2491),"")</f>
        <v/>
      </c>
      <c r="M2491" s="3">
        <f>IF(ISNUMBER(AVERAGE('20250815_ETF_Options_Exhibits'!M2487:M2491)),AVERAGE('20250815_ETF_Options_Exhibits'!M2487:M2491),"")</f>
        <v/>
      </c>
      <c r="N2491" s="3">
        <f>IF(ISNUMBER(AVERAGE('20250815_ETF_Options_Exhibits'!N2487:N2491)),AVERAGE('20250815_ETF_Options_Exhibits'!N2487:N2491),"")</f>
        <v/>
      </c>
      <c r="O2491" s="3">
        <f>IF(ISNUMBER(AVERAGE('20250815_ETF_Options_Exhibits'!O2487:O2491)),AVERAGE('20250815_ETF_Options_Exhibits'!O2487:O2491),"")</f>
        <v/>
      </c>
      <c r="P2491" s="3">
        <f>IF(ISNUMBER(AVERAGE('20250815_ETF_Options_Exhibits'!P2487:P2491)),AVERAGE('20250815_ETF_Options_Exhibits'!P2487:P2491),"")</f>
        <v/>
      </c>
      <c r="Q2491" s="3">
        <f>IF(ISNUMBER(AVERAGE('20250815_ETF_Options_Exhibits'!Q2487:Q2491)),AVERAGE('20250815_ETF_Options_Exhibits'!Q2487:Q2491),"")</f>
        <v/>
      </c>
      <c r="R2491" s="3">
        <f>IF(ISNUMBER(AVERAGE('20250815_ETF_Options_Exhibits'!R2487:R2491)),AVERAGE('20250815_ETF_Options_Exhibits'!R2487:R2491),"")</f>
        <v/>
      </c>
      <c r="S2491" s="3">
        <f>IF(ISNUMBER(AVERAGE('20250815_ETF_Options_Exhibits'!S2487:S2491)),AVERAGE('20250815_ETF_Options_Exhibits'!S2487:S2491),"")</f>
        <v/>
      </c>
      <c r="T2491" s="3">
        <f>IF(ISNUMBER(AVERAGE('20250815_ETF_Options_Exhibits'!T2487:T2491)),AVERAGE('20250815_ETF_Options_Exhibits'!T2487:T2491),"")</f>
        <v/>
      </c>
      <c r="U2491" s="3">
        <f>IF(ISNUMBER(AVERAGE('20250815_ETF_Options_Exhibits'!U2487:U2491)),AVERAGE('20250815_ETF_Options_Exhibits'!U2487:U2491),"")</f>
        <v/>
      </c>
      <c r="V2491" s="3">
        <f>IF(ISNUMBER(AVERAGE('20250815_ETF_Options_Exhibits'!V2487:V2491)),AVERAGE('20250815_ETF_Options_Exhibits'!V2487:V2491),"")</f>
        <v/>
      </c>
      <c r="W2491" s="3">
        <f>IF(ISNUMBER(AVERAGE('20250815_ETF_Options_Exhibits'!W2487:W2491)),AVERAGE('20250815_ETF_Options_Exhibits'!W2487:W2491),"")</f>
        <v/>
      </c>
      <c r="X2491" s="3">
        <f>IF(ISNUMBER(AVERAGE('20250815_ETF_Options_Exhibits'!X2487:X2491)),AVERAGE('20250815_ETF_Options_Exhibits'!X2487:X2491),"")</f>
        <v/>
      </c>
      <c r="Y2491" s="3">
        <f>IF(ISNUMBER(AVERAGE('20250815_ETF_Options_Exhibits'!Y2487:Y2491)),AVERAGE('20250815_ETF_Options_Exhibits'!Y2487:Y2491),"")</f>
        <v/>
      </c>
      <c r="Z2491" s="3">
        <f>IF(ISNUMBER(AVERAGE('20250815_ETF_Options_Exhibits'!Z2487:Z2491)),AVERAGE('20250815_ETF_Options_Exhibits'!Z2487:Z2491),"")</f>
        <v/>
      </c>
      <c r="AA2491" s="3">
        <f>IF(ISNUMBER(AVERAGE('20250815_ETF_Options_Exhibits'!AA2487:AA2491)),AVERAGE('20250815_ETF_Options_Exhibits'!AA2487:AA2491),"")</f>
        <v/>
      </c>
    </row>
    <row r="2492">
      <c r="A2492" s="1" t="n">
        <v>45617</v>
      </c>
      <c r="B2492" s="3">
        <f>IF(ISNUMBER(AVERAGE('20250815_ETF_Options_Exhibits'!B2488:B2492)),AVERAGE('20250815_ETF_Options_Exhibits'!B2488:B2492),"")</f>
        <v/>
      </c>
      <c r="C2492" s="3">
        <f>IF(ISNUMBER(AVERAGE('20250815_ETF_Options_Exhibits'!C2488:C2492)),AVERAGE('20250815_ETF_Options_Exhibits'!C2488:C2492),"")</f>
        <v/>
      </c>
      <c r="D2492" s="3">
        <f>IF(ISNUMBER(AVERAGE('20250815_ETF_Options_Exhibits'!D2488:D2492)),AVERAGE('20250815_ETF_Options_Exhibits'!D2488:D2492),"")</f>
        <v/>
      </c>
      <c r="E2492" s="3">
        <f>IF(ISNUMBER(AVERAGE('20250815_ETF_Options_Exhibits'!E2488:E2492)),AVERAGE('20250815_ETF_Options_Exhibits'!E2488:E2492),"")</f>
        <v/>
      </c>
      <c r="F2492" s="3">
        <f>IF(ISNUMBER(AVERAGE('20250815_ETF_Options_Exhibits'!F2488:F2492)),AVERAGE('20250815_ETF_Options_Exhibits'!F2488:F2492),"")</f>
        <v/>
      </c>
      <c r="G2492" s="3">
        <f>IF(ISNUMBER(AVERAGE('20250815_ETF_Options_Exhibits'!G2488:G2492)),AVERAGE('20250815_ETF_Options_Exhibits'!G2488:G2492),"")</f>
        <v/>
      </c>
      <c r="H2492" s="3">
        <f>IF(ISNUMBER(AVERAGE('20250815_ETF_Options_Exhibits'!H2488:H2492)),AVERAGE('20250815_ETF_Options_Exhibits'!H2488:H2492),"")</f>
        <v/>
      </c>
      <c r="I2492" s="3">
        <f>IF(ISNUMBER(AVERAGE('20250815_ETF_Options_Exhibits'!I2488:I2492)),AVERAGE('20250815_ETF_Options_Exhibits'!I2488:I2492),"")</f>
        <v/>
      </c>
      <c r="J2492" s="3">
        <f>IF(ISNUMBER(AVERAGE('20250815_ETF_Options_Exhibits'!J2488:J2492)),AVERAGE('20250815_ETF_Options_Exhibits'!J2488:J2492),"")</f>
        <v/>
      </c>
      <c r="K2492" s="3">
        <f>IF(ISNUMBER(AVERAGE('20250815_ETF_Options_Exhibits'!K2488:K2492)),AVERAGE('20250815_ETF_Options_Exhibits'!K2488:K2492),"")</f>
        <v/>
      </c>
      <c r="L2492" s="3">
        <f>IF(ISNUMBER(AVERAGE('20250815_ETF_Options_Exhibits'!L2488:L2492)),AVERAGE('20250815_ETF_Options_Exhibits'!L2488:L2492),"")</f>
        <v/>
      </c>
      <c r="M2492" s="3">
        <f>IF(ISNUMBER(AVERAGE('20250815_ETF_Options_Exhibits'!M2488:M2492)),AVERAGE('20250815_ETF_Options_Exhibits'!M2488:M2492),"")</f>
        <v/>
      </c>
      <c r="N2492" s="3">
        <f>IF(ISNUMBER(AVERAGE('20250815_ETF_Options_Exhibits'!N2488:N2492)),AVERAGE('20250815_ETF_Options_Exhibits'!N2488:N2492),"")</f>
        <v/>
      </c>
      <c r="O2492" s="3">
        <f>IF(ISNUMBER(AVERAGE('20250815_ETF_Options_Exhibits'!O2488:O2492)),AVERAGE('20250815_ETF_Options_Exhibits'!O2488:O2492),"")</f>
        <v/>
      </c>
      <c r="P2492" s="3">
        <f>IF(ISNUMBER(AVERAGE('20250815_ETF_Options_Exhibits'!P2488:P2492)),AVERAGE('20250815_ETF_Options_Exhibits'!P2488:P2492),"")</f>
        <v/>
      </c>
      <c r="Q2492" s="3">
        <f>IF(ISNUMBER(AVERAGE('20250815_ETF_Options_Exhibits'!Q2488:Q2492)),AVERAGE('20250815_ETF_Options_Exhibits'!Q2488:Q2492),"")</f>
        <v/>
      </c>
      <c r="R2492" s="3">
        <f>IF(ISNUMBER(AVERAGE('20250815_ETF_Options_Exhibits'!R2488:R2492)),AVERAGE('20250815_ETF_Options_Exhibits'!R2488:R2492),"")</f>
        <v/>
      </c>
      <c r="S2492" s="3">
        <f>IF(ISNUMBER(AVERAGE('20250815_ETF_Options_Exhibits'!S2488:S2492)),AVERAGE('20250815_ETF_Options_Exhibits'!S2488:S2492),"")</f>
        <v/>
      </c>
      <c r="T2492" s="3">
        <f>IF(ISNUMBER(AVERAGE('20250815_ETF_Options_Exhibits'!T2488:T2492)),AVERAGE('20250815_ETF_Options_Exhibits'!T2488:T2492),"")</f>
        <v/>
      </c>
      <c r="U2492" s="3">
        <f>IF(ISNUMBER(AVERAGE('20250815_ETF_Options_Exhibits'!U2488:U2492)),AVERAGE('20250815_ETF_Options_Exhibits'!U2488:U2492),"")</f>
        <v/>
      </c>
      <c r="V2492" s="3">
        <f>IF(ISNUMBER(AVERAGE('20250815_ETF_Options_Exhibits'!V2488:V2492)),AVERAGE('20250815_ETF_Options_Exhibits'!V2488:V2492),"")</f>
        <v/>
      </c>
      <c r="W2492" s="3">
        <f>IF(ISNUMBER(AVERAGE('20250815_ETF_Options_Exhibits'!W2488:W2492)),AVERAGE('20250815_ETF_Options_Exhibits'!W2488:W2492),"")</f>
        <v/>
      </c>
      <c r="X2492" s="3">
        <f>IF(ISNUMBER(AVERAGE('20250815_ETF_Options_Exhibits'!X2488:X2492)),AVERAGE('20250815_ETF_Options_Exhibits'!X2488:X2492),"")</f>
        <v/>
      </c>
      <c r="Y2492" s="3">
        <f>IF(ISNUMBER(AVERAGE('20250815_ETF_Options_Exhibits'!Y2488:Y2492)),AVERAGE('20250815_ETF_Options_Exhibits'!Y2488:Y2492),"")</f>
        <v/>
      </c>
      <c r="Z2492" s="3">
        <f>IF(ISNUMBER(AVERAGE('20250815_ETF_Options_Exhibits'!Z2488:Z2492)),AVERAGE('20250815_ETF_Options_Exhibits'!Z2488:Z2492),"")</f>
        <v/>
      </c>
      <c r="AA2492" s="3">
        <f>IF(ISNUMBER(AVERAGE('20250815_ETF_Options_Exhibits'!AA2488:AA2492)),AVERAGE('20250815_ETF_Options_Exhibits'!AA2488:AA2492),"")</f>
        <v/>
      </c>
    </row>
    <row r="2493">
      <c r="A2493" s="1" t="n">
        <v>45618</v>
      </c>
      <c r="B2493" s="3">
        <f>IF(ISNUMBER(AVERAGE('20250815_ETF_Options_Exhibits'!B2489:B2493)),AVERAGE('20250815_ETF_Options_Exhibits'!B2489:B2493),"")</f>
        <v/>
      </c>
      <c r="C2493" s="3">
        <f>IF(ISNUMBER(AVERAGE('20250815_ETF_Options_Exhibits'!C2489:C2493)),AVERAGE('20250815_ETF_Options_Exhibits'!C2489:C2493),"")</f>
        <v/>
      </c>
      <c r="D2493" s="3">
        <f>IF(ISNUMBER(AVERAGE('20250815_ETF_Options_Exhibits'!D2489:D2493)),AVERAGE('20250815_ETF_Options_Exhibits'!D2489:D2493),"")</f>
        <v/>
      </c>
      <c r="E2493" s="3">
        <f>IF(ISNUMBER(AVERAGE('20250815_ETF_Options_Exhibits'!E2489:E2493)),AVERAGE('20250815_ETF_Options_Exhibits'!E2489:E2493),"")</f>
        <v/>
      </c>
      <c r="F2493" s="3">
        <f>IF(ISNUMBER(AVERAGE('20250815_ETF_Options_Exhibits'!F2489:F2493)),AVERAGE('20250815_ETF_Options_Exhibits'!F2489:F2493),"")</f>
        <v/>
      </c>
      <c r="G2493" s="3">
        <f>IF(ISNUMBER(AVERAGE('20250815_ETF_Options_Exhibits'!G2489:G2493)),AVERAGE('20250815_ETF_Options_Exhibits'!G2489:G2493),"")</f>
        <v/>
      </c>
      <c r="H2493" s="3">
        <f>IF(ISNUMBER(AVERAGE('20250815_ETF_Options_Exhibits'!H2489:H2493)),AVERAGE('20250815_ETF_Options_Exhibits'!H2489:H2493),"")</f>
        <v/>
      </c>
      <c r="I2493" s="3">
        <f>IF(ISNUMBER(AVERAGE('20250815_ETF_Options_Exhibits'!I2489:I2493)),AVERAGE('20250815_ETF_Options_Exhibits'!I2489:I2493),"")</f>
        <v/>
      </c>
      <c r="J2493" s="3">
        <f>IF(ISNUMBER(AVERAGE('20250815_ETF_Options_Exhibits'!J2489:J2493)),AVERAGE('20250815_ETF_Options_Exhibits'!J2489:J2493),"")</f>
        <v/>
      </c>
      <c r="K2493" s="3">
        <f>IF(ISNUMBER(AVERAGE('20250815_ETF_Options_Exhibits'!K2489:K2493)),AVERAGE('20250815_ETF_Options_Exhibits'!K2489:K2493),"")</f>
        <v/>
      </c>
      <c r="L2493" s="3">
        <f>IF(ISNUMBER(AVERAGE('20250815_ETF_Options_Exhibits'!L2489:L2493)),AVERAGE('20250815_ETF_Options_Exhibits'!L2489:L2493),"")</f>
        <v/>
      </c>
      <c r="M2493" s="3">
        <f>IF(ISNUMBER(AVERAGE('20250815_ETF_Options_Exhibits'!M2489:M2493)),AVERAGE('20250815_ETF_Options_Exhibits'!M2489:M2493),"")</f>
        <v/>
      </c>
      <c r="N2493" s="3">
        <f>IF(ISNUMBER(AVERAGE('20250815_ETF_Options_Exhibits'!N2489:N2493)),AVERAGE('20250815_ETF_Options_Exhibits'!N2489:N2493),"")</f>
        <v/>
      </c>
      <c r="O2493" s="3">
        <f>IF(ISNUMBER(AVERAGE('20250815_ETF_Options_Exhibits'!O2489:O2493)),AVERAGE('20250815_ETF_Options_Exhibits'!O2489:O2493),"")</f>
        <v/>
      </c>
      <c r="P2493" s="3">
        <f>IF(ISNUMBER(AVERAGE('20250815_ETF_Options_Exhibits'!P2489:P2493)),AVERAGE('20250815_ETF_Options_Exhibits'!P2489:P2493),"")</f>
        <v/>
      </c>
      <c r="Q2493" s="3">
        <f>IF(ISNUMBER(AVERAGE('20250815_ETF_Options_Exhibits'!Q2489:Q2493)),AVERAGE('20250815_ETF_Options_Exhibits'!Q2489:Q2493),"")</f>
        <v/>
      </c>
      <c r="R2493" s="3">
        <f>IF(ISNUMBER(AVERAGE('20250815_ETF_Options_Exhibits'!R2489:R2493)),AVERAGE('20250815_ETF_Options_Exhibits'!R2489:R2493),"")</f>
        <v/>
      </c>
      <c r="S2493" s="3">
        <f>IF(ISNUMBER(AVERAGE('20250815_ETF_Options_Exhibits'!S2489:S2493)),AVERAGE('20250815_ETF_Options_Exhibits'!S2489:S2493),"")</f>
        <v/>
      </c>
      <c r="T2493" s="3">
        <f>IF(ISNUMBER(AVERAGE('20250815_ETF_Options_Exhibits'!T2489:T2493)),AVERAGE('20250815_ETF_Options_Exhibits'!T2489:T2493),"")</f>
        <v/>
      </c>
      <c r="U2493" s="3">
        <f>IF(ISNUMBER(AVERAGE('20250815_ETF_Options_Exhibits'!U2489:U2493)),AVERAGE('20250815_ETF_Options_Exhibits'!U2489:U2493),"")</f>
        <v/>
      </c>
      <c r="V2493" s="3">
        <f>IF(ISNUMBER(AVERAGE('20250815_ETF_Options_Exhibits'!V2489:V2493)),AVERAGE('20250815_ETF_Options_Exhibits'!V2489:V2493),"")</f>
        <v/>
      </c>
      <c r="W2493" s="3">
        <f>IF(ISNUMBER(AVERAGE('20250815_ETF_Options_Exhibits'!W2489:W2493)),AVERAGE('20250815_ETF_Options_Exhibits'!W2489:W2493),"")</f>
        <v/>
      </c>
      <c r="X2493" s="3">
        <f>IF(ISNUMBER(AVERAGE('20250815_ETF_Options_Exhibits'!X2489:X2493)),AVERAGE('20250815_ETF_Options_Exhibits'!X2489:X2493),"")</f>
        <v/>
      </c>
      <c r="Y2493" s="3">
        <f>IF(ISNUMBER(AVERAGE('20250815_ETF_Options_Exhibits'!Y2489:Y2493)),AVERAGE('20250815_ETF_Options_Exhibits'!Y2489:Y2493),"")</f>
        <v/>
      </c>
      <c r="Z2493" s="3">
        <f>IF(ISNUMBER(AVERAGE('20250815_ETF_Options_Exhibits'!Z2489:Z2493)),AVERAGE('20250815_ETF_Options_Exhibits'!Z2489:Z2493),"")</f>
        <v/>
      </c>
      <c r="AA2493" s="3">
        <f>IF(ISNUMBER(AVERAGE('20250815_ETF_Options_Exhibits'!AA2489:AA2493)),AVERAGE('20250815_ETF_Options_Exhibits'!AA2489:AA2493),"")</f>
        <v/>
      </c>
    </row>
    <row r="2494">
      <c r="A2494" s="1" t="n">
        <v>45621</v>
      </c>
      <c r="B2494" s="3">
        <f>IF(ISNUMBER(AVERAGE('20250815_ETF_Options_Exhibits'!B2490:B2494)),AVERAGE('20250815_ETF_Options_Exhibits'!B2490:B2494),"")</f>
        <v/>
      </c>
      <c r="C2494" s="3">
        <f>IF(ISNUMBER(AVERAGE('20250815_ETF_Options_Exhibits'!C2490:C2494)),AVERAGE('20250815_ETF_Options_Exhibits'!C2490:C2494),"")</f>
        <v/>
      </c>
      <c r="D2494" s="3">
        <f>IF(ISNUMBER(AVERAGE('20250815_ETF_Options_Exhibits'!D2490:D2494)),AVERAGE('20250815_ETF_Options_Exhibits'!D2490:D2494),"")</f>
        <v/>
      </c>
      <c r="E2494" s="3">
        <f>IF(ISNUMBER(AVERAGE('20250815_ETF_Options_Exhibits'!E2490:E2494)),AVERAGE('20250815_ETF_Options_Exhibits'!E2490:E2494),"")</f>
        <v/>
      </c>
      <c r="F2494" s="3">
        <f>IF(ISNUMBER(AVERAGE('20250815_ETF_Options_Exhibits'!F2490:F2494)),AVERAGE('20250815_ETF_Options_Exhibits'!F2490:F2494),"")</f>
        <v/>
      </c>
      <c r="G2494" s="3">
        <f>IF(ISNUMBER(AVERAGE('20250815_ETF_Options_Exhibits'!G2490:G2494)),AVERAGE('20250815_ETF_Options_Exhibits'!G2490:G2494),"")</f>
        <v/>
      </c>
      <c r="H2494" s="3">
        <f>IF(ISNUMBER(AVERAGE('20250815_ETF_Options_Exhibits'!H2490:H2494)),AVERAGE('20250815_ETF_Options_Exhibits'!H2490:H2494),"")</f>
        <v/>
      </c>
      <c r="I2494" s="3">
        <f>IF(ISNUMBER(AVERAGE('20250815_ETF_Options_Exhibits'!I2490:I2494)),AVERAGE('20250815_ETF_Options_Exhibits'!I2490:I2494),"")</f>
        <v/>
      </c>
      <c r="J2494" s="3">
        <f>IF(ISNUMBER(AVERAGE('20250815_ETF_Options_Exhibits'!J2490:J2494)),AVERAGE('20250815_ETF_Options_Exhibits'!J2490:J2494),"")</f>
        <v/>
      </c>
      <c r="K2494" s="3">
        <f>IF(ISNUMBER(AVERAGE('20250815_ETF_Options_Exhibits'!K2490:K2494)),AVERAGE('20250815_ETF_Options_Exhibits'!K2490:K2494),"")</f>
        <v/>
      </c>
      <c r="L2494" s="3">
        <f>IF(ISNUMBER(AVERAGE('20250815_ETF_Options_Exhibits'!L2490:L2494)),AVERAGE('20250815_ETF_Options_Exhibits'!L2490:L2494),"")</f>
        <v/>
      </c>
      <c r="M2494" s="3">
        <f>IF(ISNUMBER(AVERAGE('20250815_ETF_Options_Exhibits'!M2490:M2494)),AVERAGE('20250815_ETF_Options_Exhibits'!M2490:M2494),"")</f>
        <v/>
      </c>
      <c r="N2494" s="3">
        <f>IF(ISNUMBER(AVERAGE('20250815_ETF_Options_Exhibits'!N2490:N2494)),AVERAGE('20250815_ETF_Options_Exhibits'!N2490:N2494),"")</f>
        <v/>
      </c>
      <c r="O2494" s="3">
        <f>IF(ISNUMBER(AVERAGE('20250815_ETF_Options_Exhibits'!O2490:O2494)),AVERAGE('20250815_ETF_Options_Exhibits'!O2490:O2494),"")</f>
        <v/>
      </c>
      <c r="P2494" s="3">
        <f>IF(ISNUMBER(AVERAGE('20250815_ETF_Options_Exhibits'!P2490:P2494)),AVERAGE('20250815_ETF_Options_Exhibits'!P2490:P2494),"")</f>
        <v/>
      </c>
      <c r="Q2494" s="3">
        <f>IF(ISNUMBER(AVERAGE('20250815_ETF_Options_Exhibits'!Q2490:Q2494)),AVERAGE('20250815_ETF_Options_Exhibits'!Q2490:Q2494),"")</f>
        <v/>
      </c>
      <c r="R2494" s="3">
        <f>IF(ISNUMBER(AVERAGE('20250815_ETF_Options_Exhibits'!R2490:R2494)),AVERAGE('20250815_ETF_Options_Exhibits'!R2490:R2494),"")</f>
        <v/>
      </c>
      <c r="S2494" s="3">
        <f>IF(ISNUMBER(AVERAGE('20250815_ETF_Options_Exhibits'!S2490:S2494)),AVERAGE('20250815_ETF_Options_Exhibits'!S2490:S2494),"")</f>
        <v/>
      </c>
      <c r="T2494" s="3">
        <f>IF(ISNUMBER(AVERAGE('20250815_ETF_Options_Exhibits'!T2490:T2494)),AVERAGE('20250815_ETF_Options_Exhibits'!T2490:T2494),"")</f>
        <v/>
      </c>
      <c r="U2494" s="3">
        <f>IF(ISNUMBER(AVERAGE('20250815_ETF_Options_Exhibits'!U2490:U2494)),AVERAGE('20250815_ETF_Options_Exhibits'!U2490:U2494),"")</f>
        <v/>
      </c>
      <c r="V2494" s="3">
        <f>IF(ISNUMBER(AVERAGE('20250815_ETF_Options_Exhibits'!V2490:V2494)),AVERAGE('20250815_ETF_Options_Exhibits'!V2490:V2494),"")</f>
        <v/>
      </c>
      <c r="W2494" s="3">
        <f>IF(ISNUMBER(AVERAGE('20250815_ETF_Options_Exhibits'!W2490:W2494)),AVERAGE('20250815_ETF_Options_Exhibits'!W2490:W2494),"")</f>
        <v/>
      </c>
      <c r="X2494" s="3">
        <f>IF(ISNUMBER(AVERAGE('20250815_ETF_Options_Exhibits'!X2490:X2494)),AVERAGE('20250815_ETF_Options_Exhibits'!X2490:X2494),"")</f>
        <v/>
      </c>
      <c r="Y2494" s="3">
        <f>IF(ISNUMBER(AVERAGE('20250815_ETF_Options_Exhibits'!Y2490:Y2494)),AVERAGE('20250815_ETF_Options_Exhibits'!Y2490:Y2494),"")</f>
        <v/>
      </c>
      <c r="Z2494" s="3">
        <f>IF(ISNUMBER(AVERAGE('20250815_ETF_Options_Exhibits'!Z2490:Z2494)),AVERAGE('20250815_ETF_Options_Exhibits'!Z2490:Z2494),"")</f>
        <v/>
      </c>
      <c r="AA2494" s="3">
        <f>IF(ISNUMBER(AVERAGE('20250815_ETF_Options_Exhibits'!AA2490:AA2494)),AVERAGE('20250815_ETF_Options_Exhibits'!AA2490:AA2494),"")</f>
        <v/>
      </c>
    </row>
    <row r="2495">
      <c r="A2495" s="1" t="n">
        <v>45622</v>
      </c>
      <c r="B2495" s="3">
        <f>IF(ISNUMBER(AVERAGE('20250815_ETF_Options_Exhibits'!B2491:B2495)),AVERAGE('20250815_ETF_Options_Exhibits'!B2491:B2495),"")</f>
        <v/>
      </c>
      <c r="C2495" s="3">
        <f>IF(ISNUMBER(AVERAGE('20250815_ETF_Options_Exhibits'!C2491:C2495)),AVERAGE('20250815_ETF_Options_Exhibits'!C2491:C2495),"")</f>
        <v/>
      </c>
      <c r="D2495" s="3">
        <f>IF(ISNUMBER(AVERAGE('20250815_ETF_Options_Exhibits'!D2491:D2495)),AVERAGE('20250815_ETF_Options_Exhibits'!D2491:D2495),"")</f>
        <v/>
      </c>
      <c r="E2495" s="3">
        <f>IF(ISNUMBER(AVERAGE('20250815_ETF_Options_Exhibits'!E2491:E2495)),AVERAGE('20250815_ETF_Options_Exhibits'!E2491:E2495),"")</f>
        <v/>
      </c>
      <c r="F2495" s="3">
        <f>IF(ISNUMBER(AVERAGE('20250815_ETF_Options_Exhibits'!F2491:F2495)),AVERAGE('20250815_ETF_Options_Exhibits'!F2491:F2495),"")</f>
        <v/>
      </c>
      <c r="G2495" s="3">
        <f>IF(ISNUMBER(AVERAGE('20250815_ETF_Options_Exhibits'!G2491:G2495)),AVERAGE('20250815_ETF_Options_Exhibits'!G2491:G2495),"")</f>
        <v/>
      </c>
      <c r="H2495" s="3">
        <f>IF(ISNUMBER(AVERAGE('20250815_ETF_Options_Exhibits'!H2491:H2495)),AVERAGE('20250815_ETF_Options_Exhibits'!H2491:H2495),"")</f>
        <v/>
      </c>
      <c r="I2495" s="3">
        <f>IF(ISNUMBER(AVERAGE('20250815_ETF_Options_Exhibits'!I2491:I2495)),AVERAGE('20250815_ETF_Options_Exhibits'!I2491:I2495),"")</f>
        <v/>
      </c>
      <c r="J2495" s="3">
        <f>IF(ISNUMBER(AVERAGE('20250815_ETF_Options_Exhibits'!J2491:J2495)),AVERAGE('20250815_ETF_Options_Exhibits'!J2491:J2495),"")</f>
        <v/>
      </c>
      <c r="K2495" s="3">
        <f>IF(ISNUMBER(AVERAGE('20250815_ETF_Options_Exhibits'!K2491:K2495)),AVERAGE('20250815_ETF_Options_Exhibits'!K2491:K2495),"")</f>
        <v/>
      </c>
      <c r="L2495" s="3">
        <f>IF(ISNUMBER(AVERAGE('20250815_ETF_Options_Exhibits'!L2491:L2495)),AVERAGE('20250815_ETF_Options_Exhibits'!L2491:L2495),"")</f>
        <v/>
      </c>
      <c r="M2495" s="3">
        <f>IF(ISNUMBER(AVERAGE('20250815_ETF_Options_Exhibits'!M2491:M2495)),AVERAGE('20250815_ETF_Options_Exhibits'!M2491:M2495),"")</f>
        <v/>
      </c>
      <c r="N2495" s="3">
        <f>IF(ISNUMBER(AVERAGE('20250815_ETF_Options_Exhibits'!N2491:N2495)),AVERAGE('20250815_ETF_Options_Exhibits'!N2491:N2495),"")</f>
        <v/>
      </c>
      <c r="O2495" s="3">
        <f>IF(ISNUMBER(AVERAGE('20250815_ETF_Options_Exhibits'!O2491:O2495)),AVERAGE('20250815_ETF_Options_Exhibits'!O2491:O2495),"")</f>
        <v/>
      </c>
      <c r="P2495" s="3">
        <f>IF(ISNUMBER(AVERAGE('20250815_ETF_Options_Exhibits'!P2491:P2495)),AVERAGE('20250815_ETF_Options_Exhibits'!P2491:P2495),"")</f>
        <v/>
      </c>
      <c r="Q2495" s="3">
        <f>IF(ISNUMBER(AVERAGE('20250815_ETF_Options_Exhibits'!Q2491:Q2495)),AVERAGE('20250815_ETF_Options_Exhibits'!Q2491:Q2495),"")</f>
        <v/>
      </c>
      <c r="R2495" s="3">
        <f>IF(ISNUMBER(AVERAGE('20250815_ETF_Options_Exhibits'!R2491:R2495)),AVERAGE('20250815_ETF_Options_Exhibits'!R2491:R2495),"")</f>
        <v/>
      </c>
      <c r="S2495" s="3">
        <f>IF(ISNUMBER(AVERAGE('20250815_ETF_Options_Exhibits'!S2491:S2495)),AVERAGE('20250815_ETF_Options_Exhibits'!S2491:S2495),"")</f>
        <v/>
      </c>
      <c r="T2495" s="3">
        <f>IF(ISNUMBER(AVERAGE('20250815_ETF_Options_Exhibits'!T2491:T2495)),AVERAGE('20250815_ETF_Options_Exhibits'!T2491:T2495),"")</f>
        <v/>
      </c>
      <c r="U2495" s="3">
        <f>IF(ISNUMBER(AVERAGE('20250815_ETF_Options_Exhibits'!U2491:U2495)),AVERAGE('20250815_ETF_Options_Exhibits'!U2491:U2495),"")</f>
        <v/>
      </c>
      <c r="V2495" s="3">
        <f>IF(ISNUMBER(AVERAGE('20250815_ETF_Options_Exhibits'!V2491:V2495)),AVERAGE('20250815_ETF_Options_Exhibits'!V2491:V2495),"")</f>
        <v/>
      </c>
      <c r="W2495" s="3">
        <f>IF(ISNUMBER(AVERAGE('20250815_ETF_Options_Exhibits'!W2491:W2495)),AVERAGE('20250815_ETF_Options_Exhibits'!W2491:W2495),"")</f>
        <v/>
      </c>
      <c r="X2495" s="3">
        <f>IF(ISNUMBER(AVERAGE('20250815_ETF_Options_Exhibits'!X2491:X2495)),AVERAGE('20250815_ETF_Options_Exhibits'!X2491:X2495),"")</f>
        <v/>
      </c>
      <c r="Y2495" s="3">
        <f>IF(ISNUMBER(AVERAGE('20250815_ETF_Options_Exhibits'!Y2491:Y2495)),AVERAGE('20250815_ETF_Options_Exhibits'!Y2491:Y2495),"")</f>
        <v/>
      </c>
      <c r="Z2495" s="3">
        <f>IF(ISNUMBER(AVERAGE('20250815_ETF_Options_Exhibits'!Z2491:Z2495)),AVERAGE('20250815_ETF_Options_Exhibits'!Z2491:Z2495),"")</f>
        <v/>
      </c>
      <c r="AA2495" s="3">
        <f>IF(ISNUMBER(AVERAGE('20250815_ETF_Options_Exhibits'!AA2491:AA2495)),AVERAGE('20250815_ETF_Options_Exhibits'!AA2491:AA2495),"")</f>
        <v/>
      </c>
    </row>
    <row r="2496">
      <c r="A2496" s="1" t="n">
        <v>45623</v>
      </c>
      <c r="B2496" s="3">
        <f>IF(ISNUMBER(AVERAGE('20250815_ETF_Options_Exhibits'!B2492:B2496)),AVERAGE('20250815_ETF_Options_Exhibits'!B2492:B2496),"")</f>
        <v/>
      </c>
      <c r="C2496" s="3">
        <f>IF(ISNUMBER(AVERAGE('20250815_ETF_Options_Exhibits'!C2492:C2496)),AVERAGE('20250815_ETF_Options_Exhibits'!C2492:C2496),"")</f>
        <v/>
      </c>
      <c r="D2496" s="3">
        <f>IF(ISNUMBER(AVERAGE('20250815_ETF_Options_Exhibits'!D2492:D2496)),AVERAGE('20250815_ETF_Options_Exhibits'!D2492:D2496),"")</f>
        <v/>
      </c>
      <c r="E2496" s="3">
        <f>IF(ISNUMBER(AVERAGE('20250815_ETF_Options_Exhibits'!E2492:E2496)),AVERAGE('20250815_ETF_Options_Exhibits'!E2492:E2496),"")</f>
        <v/>
      </c>
      <c r="F2496" s="3">
        <f>IF(ISNUMBER(AVERAGE('20250815_ETF_Options_Exhibits'!F2492:F2496)),AVERAGE('20250815_ETF_Options_Exhibits'!F2492:F2496),"")</f>
        <v/>
      </c>
      <c r="G2496" s="3">
        <f>IF(ISNUMBER(AVERAGE('20250815_ETF_Options_Exhibits'!G2492:G2496)),AVERAGE('20250815_ETF_Options_Exhibits'!G2492:G2496),"")</f>
        <v/>
      </c>
      <c r="H2496" s="3">
        <f>IF(ISNUMBER(AVERAGE('20250815_ETF_Options_Exhibits'!H2492:H2496)),AVERAGE('20250815_ETF_Options_Exhibits'!H2492:H2496),"")</f>
        <v/>
      </c>
      <c r="I2496" s="3">
        <f>IF(ISNUMBER(AVERAGE('20250815_ETF_Options_Exhibits'!I2492:I2496)),AVERAGE('20250815_ETF_Options_Exhibits'!I2492:I2496),"")</f>
        <v/>
      </c>
      <c r="J2496" s="3">
        <f>IF(ISNUMBER(AVERAGE('20250815_ETF_Options_Exhibits'!J2492:J2496)),AVERAGE('20250815_ETF_Options_Exhibits'!J2492:J2496),"")</f>
        <v/>
      </c>
      <c r="K2496" s="3">
        <f>IF(ISNUMBER(AVERAGE('20250815_ETF_Options_Exhibits'!K2492:K2496)),AVERAGE('20250815_ETF_Options_Exhibits'!K2492:K2496),"")</f>
        <v/>
      </c>
      <c r="L2496" s="3">
        <f>IF(ISNUMBER(AVERAGE('20250815_ETF_Options_Exhibits'!L2492:L2496)),AVERAGE('20250815_ETF_Options_Exhibits'!L2492:L2496),"")</f>
        <v/>
      </c>
      <c r="M2496" s="3">
        <f>IF(ISNUMBER(AVERAGE('20250815_ETF_Options_Exhibits'!M2492:M2496)),AVERAGE('20250815_ETF_Options_Exhibits'!M2492:M2496),"")</f>
        <v/>
      </c>
      <c r="N2496" s="3">
        <f>IF(ISNUMBER(AVERAGE('20250815_ETF_Options_Exhibits'!N2492:N2496)),AVERAGE('20250815_ETF_Options_Exhibits'!N2492:N2496),"")</f>
        <v/>
      </c>
      <c r="O2496" s="3">
        <f>IF(ISNUMBER(AVERAGE('20250815_ETF_Options_Exhibits'!O2492:O2496)),AVERAGE('20250815_ETF_Options_Exhibits'!O2492:O2496),"")</f>
        <v/>
      </c>
      <c r="P2496" s="3">
        <f>IF(ISNUMBER(AVERAGE('20250815_ETF_Options_Exhibits'!P2492:P2496)),AVERAGE('20250815_ETF_Options_Exhibits'!P2492:P2496),"")</f>
        <v/>
      </c>
      <c r="Q2496" s="3">
        <f>IF(ISNUMBER(AVERAGE('20250815_ETF_Options_Exhibits'!Q2492:Q2496)),AVERAGE('20250815_ETF_Options_Exhibits'!Q2492:Q2496),"")</f>
        <v/>
      </c>
      <c r="R2496" s="3">
        <f>IF(ISNUMBER(AVERAGE('20250815_ETF_Options_Exhibits'!R2492:R2496)),AVERAGE('20250815_ETF_Options_Exhibits'!R2492:R2496),"")</f>
        <v/>
      </c>
      <c r="S2496" s="3">
        <f>IF(ISNUMBER(AVERAGE('20250815_ETF_Options_Exhibits'!S2492:S2496)),AVERAGE('20250815_ETF_Options_Exhibits'!S2492:S2496),"")</f>
        <v/>
      </c>
      <c r="T2496" s="3">
        <f>IF(ISNUMBER(AVERAGE('20250815_ETF_Options_Exhibits'!T2492:T2496)),AVERAGE('20250815_ETF_Options_Exhibits'!T2492:T2496),"")</f>
        <v/>
      </c>
      <c r="U2496" s="3">
        <f>IF(ISNUMBER(AVERAGE('20250815_ETF_Options_Exhibits'!U2492:U2496)),AVERAGE('20250815_ETF_Options_Exhibits'!U2492:U2496),"")</f>
        <v/>
      </c>
      <c r="V2496" s="3">
        <f>IF(ISNUMBER(AVERAGE('20250815_ETF_Options_Exhibits'!V2492:V2496)),AVERAGE('20250815_ETF_Options_Exhibits'!V2492:V2496),"")</f>
        <v/>
      </c>
      <c r="W2496" s="3">
        <f>IF(ISNUMBER(AVERAGE('20250815_ETF_Options_Exhibits'!W2492:W2496)),AVERAGE('20250815_ETF_Options_Exhibits'!W2492:W2496),"")</f>
        <v/>
      </c>
      <c r="X2496" s="3">
        <f>IF(ISNUMBER(AVERAGE('20250815_ETF_Options_Exhibits'!X2492:X2496)),AVERAGE('20250815_ETF_Options_Exhibits'!X2492:X2496),"")</f>
        <v/>
      </c>
      <c r="Y2496" s="3">
        <f>IF(ISNUMBER(AVERAGE('20250815_ETF_Options_Exhibits'!Y2492:Y2496)),AVERAGE('20250815_ETF_Options_Exhibits'!Y2492:Y2496),"")</f>
        <v/>
      </c>
      <c r="Z2496" s="3">
        <f>IF(ISNUMBER(AVERAGE('20250815_ETF_Options_Exhibits'!Z2492:Z2496)),AVERAGE('20250815_ETF_Options_Exhibits'!Z2492:Z2496),"")</f>
        <v/>
      </c>
      <c r="AA2496" s="3">
        <f>IF(ISNUMBER(AVERAGE('20250815_ETF_Options_Exhibits'!AA2492:AA2496)),AVERAGE('20250815_ETF_Options_Exhibits'!AA2492:AA2496),"")</f>
        <v/>
      </c>
    </row>
    <row r="2497">
      <c r="A2497" s="1" t="n">
        <v>45625</v>
      </c>
      <c r="B2497" s="3">
        <f>IF(ISNUMBER(AVERAGE('20250815_ETF_Options_Exhibits'!B2493:B2497)),AVERAGE('20250815_ETF_Options_Exhibits'!B2493:B2497),"")</f>
        <v/>
      </c>
      <c r="C2497" s="3">
        <f>IF(ISNUMBER(AVERAGE('20250815_ETF_Options_Exhibits'!C2493:C2497)),AVERAGE('20250815_ETF_Options_Exhibits'!C2493:C2497),"")</f>
        <v/>
      </c>
      <c r="D2497" s="3">
        <f>IF(ISNUMBER(AVERAGE('20250815_ETF_Options_Exhibits'!D2493:D2497)),AVERAGE('20250815_ETF_Options_Exhibits'!D2493:D2497),"")</f>
        <v/>
      </c>
      <c r="E2497" s="3">
        <f>IF(ISNUMBER(AVERAGE('20250815_ETF_Options_Exhibits'!E2493:E2497)),AVERAGE('20250815_ETF_Options_Exhibits'!E2493:E2497),"")</f>
        <v/>
      </c>
      <c r="F2497" s="3">
        <f>IF(ISNUMBER(AVERAGE('20250815_ETF_Options_Exhibits'!F2493:F2497)),AVERAGE('20250815_ETF_Options_Exhibits'!F2493:F2497),"")</f>
        <v/>
      </c>
      <c r="G2497" s="3">
        <f>IF(ISNUMBER(AVERAGE('20250815_ETF_Options_Exhibits'!G2493:G2497)),AVERAGE('20250815_ETF_Options_Exhibits'!G2493:G2497),"")</f>
        <v/>
      </c>
      <c r="H2497" s="3">
        <f>IF(ISNUMBER(AVERAGE('20250815_ETF_Options_Exhibits'!H2493:H2497)),AVERAGE('20250815_ETF_Options_Exhibits'!H2493:H2497),"")</f>
        <v/>
      </c>
      <c r="I2497" s="3">
        <f>IF(ISNUMBER(AVERAGE('20250815_ETF_Options_Exhibits'!I2493:I2497)),AVERAGE('20250815_ETF_Options_Exhibits'!I2493:I2497),"")</f>
        <v/>
      </c>
      <c r="J2497" s="3">
        <f>IF(ISNUMBER(AVERAGE('20250815_ETF_Options_Exhibits'!J2493:J2497)),AVERAGE('20250815_ETF_Options_Exhibits'!J2493:J2497),"")</f>
        <v/>
      </c>
      <c r="K2497" s="3">
        <f>IF(ISNUMBER(AVERAGE('20250815_ETF_Options_Exhibits'!K2493:K2497)),AVERAGE('20250815_ETF_Options_Exhibits'!K2493:K2497),"")</f>
        <v/>
      </c>
      <c r="L2497" s="3">
        <f>IF(ISNUMBER(AVERAGE('20250815_ETF_Options_Exhibits'!L2493:L2497)),AVERAGE('20250815_ETF_Options_Exhibits'!L2493:L2497),"")</f>
        <v/>
      </c>
      <c r="M2497" s="3">
        <f>IF(ISNUMBER(AVERAGE('20250815_ETF_Options_Exhibits'!M2493:M2497)),AVERAGE('20250815_ETF_Options_Exhibits'!M2493:M2497),"")</f>
        <v/>
      </c>
      <c r="N2497" s="3">
        <f>IF(ISNUMBER(AVERAGE('20250815_ETF_Options_Exhibits'!N2493:N2497)),AVERAGE('20250815_ETF_Options_Exhibits'!N2493:N2497),"")</f>
        <v/>
      </c>
      <c r="O2497" s="3">
        <f>IF(ISNUMBER(AVERAGE('20250815_ETF_Options_Exhibits'!O2493:O2497)),AVERAGE('20250815_ETF_Options_Exhibits'!O2493:O2497),"")</f>
        <v/>
      </c>
      <c r="P2497" s="3">
        <f>IF(ISNUMBER(AVERAGE('20250815_ETF_Options_Exhibits'!P2493:P2497)),AVERAGE('20250815_ETF_Options_Exhibits'!P2493:P2497),"")</f>
        <v/>
      </c>
      <c r="Q2497" s="3">
        <f>IF(ISNUMBER(AVERAGE('20250815_ETF_Options_Exhibits'!Q2493:Q2497)),AVERAGE('20250815_ETF_Options_Exhibits'!Q2493:Q2497),"")</f>
        <v/>
      </c>
      <c r="R2497" s="3">
        <f>IF(ISNUMBER(AVERAGE('20250815_ETF_Options_Exhibits'!R2493:R2497)),AVERAGE('20250815_ETF_Options_Exhibits'!R2493:R2497),"")</f>
        <v/>
      </c>
      <c r="S2497" s="3">
        <f>IF(ISNUMBER(AVERAGE('20250815_ETF_Options_Exhibits'!S2493:S2497)),AVERAGE('20250815_ETF_Options_Exhibits'!S2493:S2497),"")</f>
        <v/>
      </c>
      <c r="T2497" s="3">
        <f>IF(ISNUMBER(AVERAGE('20250815_ETF_Options_Exhibits'!T2493:T2497)),AVERAGE('20250815_ETF_Options_Exhibits'!T2493:T2497),"")</f>
        <v/>
      </c>
      <c r="U2497" s="3">
        <f>IF(ISNUMBER(AVERAGE('20250815_ETF_Options_Exhibits'!U2493:U2497)),AVERAGE('20250815_ETF_Options_Exhibits'!U2493:U2497),"")</f>
        <v/>
      </c>
      <c r="V2497" s="3">
        <f>IF(ISNUMBER(AVERAGE('20250815_ETF_Options_Exhibits'!V2493:V2497)),AVERAGE('20250815_ETF_Options_Exhibits'!V2493:V2497),"")</f>
        <v/>
      </c>
      <c r="W2497" s="3">
        <f>IF(ISNUMBER(AVERAGE('20250815_ETF_Options_Exhibits'!W2493:W2497)),AVERAGE('20250815_ETF_Options_Exhibits'!W2493:W2497),"")</f>
        <v/>
      </c>
      <c r="X2497" s="3">
        <f>IF(ISNUMBER(AVERAGE('20250815_ETF_Options_Exhibits'!X2493:X2497)),AVERAGE('20250815_ETF_Options_Exhibits'!X2493:X2497),"")</f>
        <v/>
      </c>
      <c r="Y2497" s="3">
        <f>IF(ISNUMBER(AVERAGE('20250815_ETF_Options_Exhibits'!Y2493:Y2497)),AVERAGE('20250815_ETF_Options_Exhibits'!Y2493:Y2497),"")</f>
        <v/>
      </c>
      <c r="Z2497" s="3">
        <f>IF(ISNUMBER(AVERAGE('20250815_ETF_Options_Exhibits'!Z2493:Z2497)),AVERAGE('20250815_ETF_Options_Exhibits'!Z2493:Z2497),"")</f>
        <v/>
      </c>
      <c r="AA2497" s="3">
        <f>IF(ISNUMBER(AVERAGE('20250815_ETF_Options_Exhibits'!AA2493:AA2497)),AVERAGE('20250815_ETF_Options_Exhibits'!AA2493:AA2497),"")</f>
        <v/>
      </c>
    </row>
    <row r="2498">
      <c r="A2498" s="1" t="n">
        <v>45628</v>
      </c>
      <c r="B2498" s="3">
        <f>IF(ISNUMBER(AVERAGE('20250815_ETF_Options_Exhibits'!B2494:B2498)),AVERAGE('20250815_ETF_Options_Exhibits'!B2494:B2498),"")</f>
        <v/>
      </c>
      <c r="C2498" s="3">
        <f>IF(ISNUMBER(AVERAGE('20250815_ETF_Options_Exhibits'!C2494:C2498)),AVERAGE('20250815_ETF_Options_Exhibits'!C2494:C2498),"")</f>
        <v/>
      </c>
      <c r="D2498" s="3">
        <f>IF(ISNUMBER(AVERAGE('20250815_ETF_Options_Exhibits'!D2494:D2498)),AVERAGE('20250815_ETF_Options_Exhibits'!D2494:D2498),"")</f>
        <v/>
      </c>
      <c r="E2498" s="3">
        <f>IF(ISNUMBER(AVERAGE('20250815_ETF_Options_Exhibits'!E2494:E2498)),AVERAGE('20250815_ETF_Options_Exhibits'!E2494:E2498),"")</f>
        <v/>
      </c>
      <c r="F2498" s="3">
        <f>IF(ISNUMBER(AVERAGE('20250815_ETF_Options_Exhibits'!F2494:F2498)),AVERAGE('20250815_ETF_Options_Exhibits'!F2494:F2498),"")</f>
        <v/>
      </c>
      <c r="G2498" s="3">
        <f>IF(ISNUMBER(AVERAGE('20250815_ETF_Options_Exhibits'!G2494:G2498)),AVERAGE('20250815_ETF_Options_Exhibits'!G2494:G2498),"")</f>
        <v/>
      </c>
      <c r="H2498" s="3">
        <f>IF(ISNUMBER(AVERAGE('20250815_ETF_Options_Exhibits'!H2494:H2498)),AVERAGE('20250815_ETF_Options_Exhibits'!H2494:H2498),"")</f>
        <v/>
      </c>
      <c r="I2498" s="3">
        <f>IF(ISNUMBER(AVERAGE('20250815_ETF_Options_Exhibits'!I2494:I2498)),AVERAGE('20250815_ETF_Options_Exhibits'!I2494:I2498),"")</f>
        <v/>
      </c>
      <c r="J2498" s="3">
        <f>IF(ISNUMBER(AVERAGE('20250815_ETF_Options_Exhibits'!J2494:J2498)),AVERAGE('20250815_ETF_Options_Exhibits'!J2494:J2498),"")</f>
        <v/>
      </c>
      <c r="K2498" s="3">
        <f>IF(ISNUMBER(AVERAGE('20250815_ETF_Options_Exhibits'!K2494:K2498)),AVERAGE('20250815_ETF_Options_Exhibits'!K2494:K2498),"")</f>
        <v/>
      </c>
      <c r="L2498" s="3">
        <f>IF(ISNUMBER(AVERAGE('20250815_ETF_Options_Exhibits'!L2494:L2498)),AVERAGE('20250815_ETF_Options_Exhibits'!L2494:L2498),"")</f>
        <v/>
      </c>
      <c r="M2498" s="3">
        <f>IF(ISNUMBER(AVERAGE('20250815_ETF_Options_Exhibits'!M2494:M2498)),AVERAGE('20250815_ETF_Options_Exhibits'!M2494:M2498),"")</f>
        <v/>
      </c>
      <c r="N2498" s="3">
        <f>IF(ISNUMBER(AVERAGE('20250815_ETF_Options_Exhibits'!N2494:N2498)),AVERAGE('20250815_ETF_Options_Exhibits'!N2494:N2498),"")</f>
        <v/>
      </c>
      <c r="O2498" s="3">
        <f>IF(ISNUMBER(AVERAGE('20250815_ETF_Options_Exhibits'!O2494:O2498)),AVERAGE('20250815_ETF_Options_Exhibits'!O2494:O2498),"")</f>
        <v/>
      </c>
      <c r="P2498" s="3">
        <f>IF(ISNUMBER(AVERAGE('20250815_ETF_Options_Exhibits'!P2494:P2498)),AVERAGE('20250815_ETF_Options_Exhibits'!P2494:P2498),"")</f>
        <v/>
      </c>
      <c r="Q2498" s="3">
        <f>IF(ISNUMBER(AVERAGE('20250815_ETF_Options_Exhibits'!Q2494:Q2498)),AVERAGE('20250815_ETF_Options_Exhibits'!Q2494:Q2498),"")</f>
        <v/>
      </c>
      <c r="R2498" s="3">
        <f>IF(ISNUMBER(AVERAGE('20250815_ETF_Options_Exhibits'!R2494:R2498)),AVERAGE('20250815_ETF_Options_Exhibits'!R2494:R2498),"")</f>
        <v/>
      </c>
      <c r="S2498" s="3">
        <f>IF(ISNUMBER(AVERAGE('20250815_ETF_Options_Exhibits'!S2494:S2498)),AVERAGE('20250815_ETF_Options_Exhibits'!S2494:S2498),"")</f>
        <v/>
      </c>
      <c r="T2498" s="3">
        <f>IF(ISNUMBER(AVERAGE('20250815_ETF_Options_Exhibits'!T2494:T2498)),AVERAGE('20250815_ETF_Options_Exhibits'!T2494:T2498),"")</f>
        <v/>
      </c>
      <c r="U2498" s="3">
        <f>IF(ISNUMBER(AVERAGE('20250815_ETF_Options_Exhibits'!U2494:U2498)),AVERAGE('20250815_ETF_Options_Exhibits'!U2494:U2498),"")</f>
        <v/>
      </c>
      <c r="V2498" s="3">
        <f>IF(ISNUMBER(AVERAGE('20250815_ETF_Options_Exhibits'!V2494:V2498)),AVERAGE('20250815_ETF_Options_Exhibits'!V2494:V2498),"")</f>
        <v/>
      </c>
      <c r="W2498" s="3">
        <f>IF(ISNUMBER(AVERAGE('20250815_ETF_Options_Exhibits'!W2494:W2498)),AVERAGE('20250815_ETF_Options_Exhibits'!W2494:W2498),"")</f>
        <v/>
      </c>
      <c r="X2498" s="3">
        <f>IF(ISNUMBER(AVERAGE('20250815_ETF_Options_Exhibits'!X2494:X2498)),AVERAGE('20250815_ETF_Options_Exhibits'!X2494:X2498),"")</f>
        <v/>
      </c>
      <c r="Y2498" s="3">
        <f>IF(ISNUMBER(AVERAGE('20250815_ETF_Options_Exhibits'!Y2494:Y2498)),AVERAGE('20250815_ETF_Options_Exhibits'!Y2494:Y2498),"")</f>
        <v/>
      </c>
      <c r="Z2498" s="3">
        <f>IF(ISNUMBER(AVERAGE('20250815_ETF_Options_Exhibits'!Z2494:Z2498)),AVERAGE('20250815_ETF_Options_Exhibits'!Z2494:Z2498),"")</f>
        <v/>
      </c>
      <c r="AA2498" s="3">
        <f>IF(ISNUMBER(AVERAGE('20250815_ETF_Options_Exhibits'!AA2494:AA2498)),AVERAGE('20250815_ETF_Options_Exhibits'!AA2494:AA2498),"")</f>
        <v/>
      </c>
    </row>
    <row r="2499">
      <c r="A2499" s="1" t="n">
        <v>45629</v>
      </c>
      <c r="B2499" s="3">
        <f>IF(ISNUMBER(AVERAGE('20250815_ETF_Options_Exhibits'!B2495:B2499)),AVERAGE('20250815_ETF_Options_Exhibits'!B2495:B2499),"")</f>
        <v/>
      </c>
      <c r="C2499" s="3">
        <f>IF(ISNUMBER(AVERAGE('20250815_ETF_Options_Exhibits'!C2495:C2499)),AVERAGE('20250815_ETF_Options_Exhibits'!C2495:C2499),"")</f>
        <v/>
      </c>
      <c r="D2499" s="3">
        <f>IF(ISNUMBER(AVERAGE('20250815_ETF_Options_Exhibits'!D2495:D2499)),AVERAGE('20250815_ETF_Options_Exhibits'!D2495:D2499),"")</f>
        <v/>
      </c>
      <c r="E2499" s="3">
        <f>IF(ISNUMBER(AVERAGE('20250815_ETF_Options_Exhibits'!E2495:E2499)),AVERAGE('20250815_ETF_Options_Exhibits'!E2495:E2499),"")</f>
        <v/>
      </c>
      <c r="F2499" s="3">
        <f>IF(ISNUMBER(AVERAGE('20250815_ETF_Options_Exhibits'!F2495:F2499)),AVERAGE('20250815_ETF_Options_Exhibits'!F2495:F2499),"")</f>
        <v/>
      </c>
      <c r="G2499" s="3">
        <f>IF(ISNUMBER(AVERAGE('20250815_ETF_Options_Exhibits'!G2495:G2499)),AVERAGE('20250815_ETF_Options_Exhibits'!G2495:G2499),"")</f>
        <v/>
      </c>
      <c r="H2499" s="3">
        <f>IF(ISNUMBER(AVERAGE('20250815_ETF_Options_Exhibits'!H2495:H2499)),AVERAGE('20250815_ETF_Options_Exhibits'!H2495:H2499),"")</f>
        <v/>
      </c>
      <c r="I2499" s="3">
        <f>IF(ISNUMBER(AVERAGE('20250815_ETF_Options_Exhibits'!I2495:I2499)),AVERAGE('20250815_ETF_Options_Exhibits'!I2495:I2499),"")</f>
        <v/>
      </c>
      <c r="J2499" s="3">
        <f>IF(ISNUMBER(AVERAGE('20250815_ETF_Options_Exhibits'!J2495:J2499)),AVERAGE('20250815_ETF_Options_Exhibits'!J2495:J2499),"")</f>
        <v/>
      </c>
      <c r="K2499" s="3">
        <f>IF(ISNUMBER(AVERAGE('20250815_ETF_Options_Exhibits'!K2495:K2499)),AVERAGE('20250815_ETF_Options_Exhibits'!K2495:K2499),"")</f>
        <v/>
      </c>
      <c r="L2499" s="3">
        <f>IF(ISNUMBER(AVERAGE('20250815_ETF_Options_Exhibits'!L2495:L2499)),AVERAGE('20250815_ETF_Options_Exhibits'!L2495:L2499),"")</f>
        <v/>
      </c>
      <c r="M2499" s="3">
        <f>IF(ISNUMBER(AVERAGE('20250815_ETF_Options_Exhibits'!M2495:M2499)),AVERAGE('20250815_ETF_Options_Exhibits'!M2495:M2499),"")</f>
        <v/>
      </c>
      <c r="N2499" s="3">
        <f>IF(ISNUMBER(AVERAGE('20250815_ETF_Options_Exhibits'!N2495:N2499)),AVERAGE('20250815_ETF_Options_Exhibits'!N2495:N2499),"")</f>
        <v/>
      </c>
      <c r="O2499" s="3">
        <f>IF(ISNUMBER(AVERAGE('20250815_ETF_Options_Exhibits'!O2495:O2499)),AVERAGE('20250815_ETF_Options_Exhibits'!O2495:O2499),"")</f>
        <v/>
      </c>
      <c r="P2499" s="3">
        <f>IF(ISNUMBER(AVERAGE('20250815_ETF_Options_Exhibits'!P2495:P2499)),AVERAGE('20250815_ETF_Options_Exhibits'!P2495:P2499),"")</f>
        <v/>
      </c>
      <c r="Q2499" s="3">
        <f>IF(ISNUMBER(AVERAGE('20250815_ETF_Options_Exhibits'!Q2495:Q2499)),AVERAGE('20250815_ETF_Options_Exhibits'!Q2495:Q2499),"")</f>
        <v/>
      </c>
      <c r="R2499" s="3">
        <f>IF(ISNUMBER(AVERAGE('20250815_ETF_Options_Exhibits'!R2495:R2499)),AVERAGE('20250815_ETF_Options_Exhibits'!R2495:R2499),"")</f>
        <v/>
      </c>
      <c r="S2499" s="3">
        <f>IF(ISNUMBER(AVERAGE('20250815_ETF_Options_Exhibits'!S2495:S2499)),AVERAGE('20250815_ETF_Options_Exhibits'!S2495:S2499),"")</f>
        <v/>
      </c>
      <c r="T2499" s="3">
        <f>IF(ISNUMBER(AVERAGE('20250815_ETF_Options_Exhibits'!T2495:T2499)),AVERAGE('20250815_ETF_Options_Exhibits'!T2495:T2499),"")</f>
        <v/>
      </c>
      <c r="U2499" s="3">
        <f>IF(ISNUMBER(AVERAGE('20250815_ETF_Options_Exhibits'!U2495:U2499)),AVERAGE('20250815_ETF_Options_Exhibits'!U2495:U2499),"")</f>
        <v/>
      </c>
      <c r="V2499" s="3">
        <f>IF(ISNUMBER(AVERAGE('20250815_ETF_Options_Exhibits'!V2495:V2499)),AVERAGE('20250815_ETF_Options_Exhibits'!V2495:V2499),"")</f>
        <v/>
      </c>
      <c r="W2499" s="3">
        <f>IF(ISNUMBER(AVERAGE('20250815_ETF_Options_Exhibits'!W2495:W2499)),AVERAGE('20250815_ETF_Options_Exhibits'!W2495:W2499),"")</f>
        <v/>
      </c>
      <c r="X2499" s="3">
        <f>IF(ISNUMBER(AVERAGE('20250815_ETF_Options_Exhibits'!X2495:X2499)),AVERAGE('20250815_ETF_Options_Exhibits'!X2495:X2499),"")</f>
        <v/>
      </c>
      <c r="Y2499" s="3">
        <f>IF(ISNUMBER(AVERAGE('20250815_ETF_Options_Exhibits'!Y2495:Y2499)),AVERAGE('20250815_ETF_Options_Exhibits'!Y2495:Y2499),"")</f>
        <v/>
      </c>
      <c r="Z2499" s="3">
        <f>IF(ISNUMBER(AVERAGE('20250815_ETF_Options_Exhibits'!Z2495:Z2499)),AVERAGE('20250815_ETF_Options_Exhibits'!Z2495:Z2499),"")</f>
        <v/>
      </c>
      <c r="AA2499" s="3">
        <f>IF(ISNUMBER(AVERAGE('20250815_ETF_Options_Exhibits'!AA2495:AA2499)),AVERAGE('20250815_ETF_Options_Exhibits'!AA2495:AA2499),"")</f>
        <v/>
      </c>
    </row>
    <row r="2500">
      <c r="A2500" s="1" t="n">
        <v>45630</v>
      </c>
      <c r="B2500" s="3">
        <f>IF(ISNUMBER(AVERAGE('20250815_ETF_Options_Exhibits'!B2496:B2500)),AVERAGE('20250815_ETF_Options_Exhibits'!B2496:B2500),"")</f>
        <v/>
      </c>
      <c r="C2500" s="3">
        <f>IF(ISNUMBER(AVERAGE('20250815_ETF_Options_Exhibits'!C2496:C2500)),AVERAGE('20250815_ETF_Options_Exhibits'!C2496:C2500),"")</f>
        <v/>
      </c>
      <c r="D2500" s="3">
        <f>IF(ISNUMBER(AVERAGE('20250815_ETF_Options_Exhibits'!D2496:D2500)),AVERAGE('20250815_ETF_Options_Exhibits'!D2496:D2500),"")</f>
        <v/>
      </c>
      <c r="E2500" s="3">
        <f>IF(ISNUMBER(AVERAGE('20250815_ETF_Options_Exhibits'!E2496:E2500)),AVERAGE('20250815_ETF_Options_Exhibits'!E2496:E2500),"")</f>
        <v/>
      </c>
      <c r="F2500" s="3">
        <f>IF(ISNUMBER(AVERAGE('20250815_ETF_Options_Exhibits'!F2496:F2500)),AVERAGE('20250815_ETF_Options_Exhibits'!F2496:F2500),"")</f>
        <v/>
      </c>
      <c r="G2500" s="3">
        <f>IF(ISNUMBER(AVERAGE('20250815_ETF_Options_Exhibits'!G2496:G2500)),AVERAGE('20250815_ETF_Options_Exhibits'!G2496:G2500),"")</f>
        <v/>
      </c>
      <c r="H2500" s="3">
        <f>IF(ISNUMBER(AVERAGE('20250815_ETF_Options_Exhibits'!H2496:H2500)),AVERAGE('20250815_ETF_Options_Exhibits'!H2496:H2500),"")</f>
        <v/>
      </c>
      <c r="I2500" s="3">
        <f>IF(ISNUMBER(AVERAGE('20250815_ETF_Options_Exhibits'!I2496:I2500)),AVERAGE('20250815_ETF_Options_Exhibits'!I2496:I2500),"")</f>
        <v/>
      </c>
      <c r="J2500" s="3">
        <f>IF(ISNUMBER(AVERAGE('20250815_ETF_Options_Exhibits'!J2496:J2500)),AVERAGE('20250815_ETF_Options_Exhibits'!J2496:J2500),"")</f>
        <v/>
      </c>
      <c r="K2500" s="3">
        <f>IF(ISNUMBER(AVERAGE('20250815_ETF_Options_Exhibits'!K2496:K2500)),AVERAGE('20250815_ETF_Options_Exhibits'!K2496:K2500),"")</f>
        <v/>
      </c>
      <c r="L2500" s="3">
        <f>IF(ISNUMBER(AVERAGE('20250815_ETF_Options_Exhibits'!L2496:L2500)),AVERAGE('20250815_ETF_Options_Exhibits'!L2496:L2500),"")</f>
        <v/>
      </c>
      <c r="M2500" s="3">
        <f>IF(ISNUMBER(AVERAGE('20250815_ETF_Options_Exhibits'!M2496:M2500)),AVERAGE('20250815_ETF_Options_Exhibits'!M2496:M2500),"")</f>
        <v/>
      </c>
      <c r="N2500" s="3">
        <f>IF(ISNUMBER(AVERAGE('20250815_ETF_Options_Exhibits'!N2496:N2500)),AVERAGE('20250815_ETF_Options_Exhibits'!N2496:N2500),"")</f>
        <v/>
      </c>
      <c r="O2500" s="3">
        <f>IF(ISNUMBER(AVERAGE('20250815_ETF_Options_Exhibits'!O2496:O2500)),AVERAGE('20250815_ETF_Options_Exhibits'!O2496:O2500),"")</f>
        <v/>
      </c>
      <c r="P2500" s="3">
        <f>IF(ISNUMBER(AVERAGE('20250815_ETF_Options_Exhibits'!P2496:P2500)),AVERAGE('20250815_ETF_Options_Exhibits'!P2496:P2500),"")</f>
        <v/>
      </c>
      <c r="Q2500" s="3">
        <f>IF(ISNUMBER(AVERAGE('20250815_ETF_Options_Exhibits'!Q2496:Q2500)),AVERAGE('20250815_ETF_Options_Exhibits'!Q2496:Q2500),"")</f>
        <v/>
      </c>
      <c r="R2500" s="3">
        <f>IF(ISNUMBER(AVERAGE('20250815_ETF_Options_Exhibits'!R2496:R2500)),AVERAGE('20250815_ETF_Options_Exhibits'!R2496:R2500),"")</f>
        <v/>
      </c>
      <c r="S2500" s="3">
        <f>IF(ISNUMBER(AVERAGE('20250815_ETF_Options_Exhibits'!S2496:S2500)),AVERAGE('20250815_ETF_Options_Exhibits'!S2496:S2500),"")</f>
        <v/>
      </c>
      <c r="T2500" s="3">
        <f>IF(ISNUMBER(AVERAGE('20250815_ETF_Options_Exhibits'!T2496:T2500)),AVERAGE('20250815_ETF_Options_Exhibits'!T2496:T2500),"")</f>
        <v/>
      </c>
      <c r="U2500" s="3">
        <f>IF(ISNUMBER(AVERAGE('20250815_ETF_Options_Exhibits'!U2496:U2500)),AVERAGE('20250815_ETF_Options_Exhibits'!U2496:U2500),"")</f>
        <v/>
      </c>
      <c r="V2500" s="3">
        <f>IF(ISNUMBER(AVERAGE('20250815_ETF_Options_Exhibits'!V2496:V2500)),AVERAGE('20250815_ETF_Options_Exhibits'!V2496:V2500),"")</f>
        <v/>
      </c>
      <c r="W2500" s="3">
        <f>IF(ISNUMBER(AVERAGE('20250815_ETF_Options_Exhibits'!W2496:W2500)),AVERAGE('20250815_ETF_Options_Exhibits'!W2496:W2500),"")</f>
        <v/>
      </c>
      <c r="X2500" s="3">
        <f>IF(ISNUMBER(AVERAGE('20250815_ETF_Options_Exhibits'!X2496:X2500)),AVERAGE('20250815_ETF_Options_Exhibits'!X2496:X2500),"")</f>
        <v/>
      </c>
      <c r="Y2500" s="3">
        <f>IF(ISNUMBER(AVERAGE('20250815_ETF_Options_Exhibits'!Y2496:Y2500)),AVERAGE('20250815_ETF_Options_Exhibits'!Y2496:Y2500),"")</f>
        <v/>
      </c>
      <c r="Z2500" s="3">
        <f>IF(ISNUMBER(AVERAGE('20250815_ETF_Options_Exhibits'!Z2496:Z2500)),AVERAGE('20250815_ETF_Options_Exhibits'!Z2496:Z2500),"")</f>
        <v/>
      </c>
      <c r="AA2500" s="3">
        <f>IF(ISNUMBER(AVERAGE('20250815_ETF_Options_Exhibits'!AA2496:AA2500)),AVERAGE('20250815_ETF_Options_Exhibits'!AA2496:AA2500),"")</f>
        <v/>
      </c>
    </row>
    <row r="2501">
      <c r="A2501" s="1" t="n">
        <v>45631</v>
      </c>
      <c r="B2501" s="3">
        <f>IF(ISNUMBER(AVERAGE('20250815_ETF_Options_Exhibits'!B2497:B2501)),AVERAGE('20250815_ETF_Options_Exhibits'!B2497:B2501),"")</f>
        <v/>
      </c>
      <c r="C2501" s="3">
        <f>IF(ISNUMBER(AVERAGE('20250815_ETF_Options_Exhibits'!C2497:C2501)),AVERAGE('20250815_ETF_Options_Exhibits'!C2497:C2501),"")</f>
        <v/>
      </c>
      <c r="D2501" s="3">
        <f>IF(ISNUMBER(AVERAGE('20250815_ETF_Options_Exhibits'!D2497:D2501)),AVERAGE('20250815_ETF_Options_Exhibits'!D2497:D2501),"")</f>
        <v/>
      </c>
      <c r="E2501" s="3">
        <f>IF(ISNUMBER(AVERAGE('20250815_ETF_Options_Exhibits'!E2497:E2501)),AVERAGE('20250815_ETF_Options_Exhibits'!E2497:E2501),"")</f>
        <v/>
      </c>
      <c r="F2501" s="3">
        <f>IF(ISNUMBER(AVERAGE('20250815_ETF_Options_Exhibits'!F2497:F2501)),AVERAGE('20250815_ETF_Options_Exhibits'!F2497:F2501),"")</f>
        <v/>
      </c>
      <c r="G2501" s="3">
        <f>IF(ISNUMBER(AVERAGE('20250815_ETF_Options_Exhibits'!G2497:G2501)),AVERAGE('20250815_ETF_Options_Exhibits'!G2497:G2501),"")</f>
        <v/>
      </c>
      <c r="H2501" s="3">
        <f>IF(ISNUMBER(AVERAGE('20250815_ETF_Options_Exhibits'!H2497:H2501)),AVERAGE('20250815_ETF_Options_Exhibits'!H2497:H2501),"")</f>
        <v/>
      </c>
      <c r="I2501" s="3">
        <f>IF(ISNUMBER(AVERAGE('20250815_ETF_Options_Exhibits'!I2497:I2501)),AVERAGE('20250815_ETF_Options_Exhibits'!I2497:I2501),"")</f>
        <v/>
      </c>
      <c r="J2501" s="3">
        <f>IF(ISNUMBER(AVERAGE('20250815_ETF_Options_Exhibits'!J2497:J2501)),AVERAGE('20250815_ETF_Options_Exhibits'!J2497:J2501),"")</f>
        <v/>
      </c>
      <c r="K2501" s="3">
        <f>IF(ISNUMBER(AVERAGE('20250815_ETF_Options_Exhibits'!K2497:K2501)),AVERAGE('20250815_ETF_Options_Exhibits'!K2497:K2501),"")</f>
        <v/>
      </c>
      <c r="L2501" s="3">
        <f>IF(ISNUMBER(AVERAGE('20250815_ETF_Options_Exhibits'!L2497:L2501)),AVERAGE('20250815_ETF_Options_Exhibits'!L2497:L2501),"")</f>
        <v/>
      </c>
      <c r="M2501" s="3">
        <f>IF(ISNUMBER(AVERAGE('20250815_ETF_Options_Exhibits'!M2497:M2501)),AVERAGE('20250815_ETF_Options_Exhibits'!M2497:M2501),"")</f>
        <v/>
      </c>
      <c r="N2501" s="3">
        <f>IF(ISNUMBER(AVERAGE('20250815_ETF_Options_Exhibits'!N2497:N2501)),AVERAGE('20250815_ETF_Options_Exhibits'!N2497:N2501),"")</f>
        <v/>
      </c>
      <c r="O2501" s="3">
        <f>IF(ISNUMBER(AVERAGE('20250815_ETF_Options_Exhibits'!O2497:O2501)),AVERAGE('20250815_ETF_Options_Exhibits'!O2497:O2501),"")</f>
        <v/>
      </c>
      <c r="P2501" s="3">
        <f>IF(ISNUMBER(AVERAGE('20250815_ETF_Options_Exhibits'!P2497:P2501)),AVERAGE('20250815_ETF_Options_Exhibits'!P2497:P2501),"")</f>
        <v/>
      </c>
      <c r="Q2501" s="3">
        <f>IF(ISNUMBER(AVERAGE('20250815_ETF_Options_Exhibits'!Q2497:Q2501)),AVERAGE('20250815_ETF_Options_Exhibits'!Q2497:Q2501),"")</f>
        <v/>
      </c>
      <c r="R2501" s="3">
        <f>IF(ISNUMBER(AVERAGE('20250815_ETF_Options_Exhibits'!R2497:R2501)),AVERAGE('20250815_ETF_Options_Exhibits'!R2497:R2501),"")</f>
        <v/>
      </c>
      <c r="S2501" s="3">
        <f>IF(ISNUMBER(AVERAGE('20250815_ETF_Options_Exhibits'!S2497:S2501)),AVERAGE('20250815_ETF_Options_Exhibits'!S2497:S2501),"")</f>
        <v/>
      </c>
      <c r="T2501" s="3">
        <f>IF(ISNUMBER(AVERAGE('20250815_ETF_Options_Exhibits'!T2497:T2501)),AVERAGE('20250815_ETF_Options_Exhibits'!T2497:T2501),"")</f>
        <v/>
      </c>
      <c r="U2501" s="3">
        <f>IF(ISNUMBER(AVERAGE('20250815_ETF_Options_Exhibits'!U2497:U2501)),AVERAGE('20250815_ETF_Options_Exhibits'!U2497:U2501),"")</f>
        <v/>
      </c>
      <c r="V2501" s="3">
        <f>IF(ISNUMBER(AVERAGE('20250815_ETF_Options_Exhibits'!V2497:V2501)),AVERAGE('20250815_ETF_Options_Exhibits'!V2497:V2501),"")</f>
        <v/>
      </c>
      <c r="W2501" s="3">
        <f>IF(ISNUMBER(AVERAGE('20250815_ETF_Options_Exhibits'!W2497:W2501)),AVERAGE('20250815_ETF_Options_Exhibits'!W2497:W2501),"")</f>
        <v/>
      </c>
      <c r="X2501" s="3">
        <f>IF(ISNUMBER(AVERAGE('20250815_ETF_Options_Exhibits'!X2497:X2501)),AVERAGE('20250815_ETF_Options_Exhibits'!X2497:X2501),"")</f>
        <v/>
      </c>
      <c r="Y2501" s="3">
        <f>IF(ISNUMBER(AVERAGE('20250815_ETF_Options_Exhibits'!Y2497:Y2501)),AVERAGE('20250815_ETF_Options_Exhibits'!Y2497:Y2501),"")</f>
        <v/>
      </c>
      <c r="Z2501" s="3">
        <f>IF(ISNUMBER(AVERAGE('20250815_ETF_Options_Exhibits'!Z2497:Z2501)),AVERAGE('20250815_ETF_Options_Exhibits'!Z2497:Z2501),"")</f>
        <v/>
      </c>
      <c r="AA2501" s="3">
        <f>IF(ISNUMBER(AVERAGE('20250815_ETF_Options_Exhibits'!AA2497:AA2501)),AVERAGE('20250815_ETF_Options_Exhibits'!AA2497:AA2501),"")</f>
        <v/>
      </c>
    </row>
    <row r="2502">
      <c r="A2502" s="1" t="n">
        <v>45632</v>
      </c>
      <c r="B2502" s="3">
        <f>IF(ISNUMBER(AVERAGE('20250815_ETF_Options_Exhibits'!B2498:B2502)),AVERAGE('20250815_ETF_Options_Exhibits'!B2498:B2502),"")</f>
        <v/>
      </c>
      <c r="C2502" s="3">
        <f>IF(ISNUMBER(AVERAGE('20250815_ETF_Options_Exhibits'!C2498:C2502)),AVERAGE('20250815_ETF_Options_Exhibits'!C2498:C2502),"")</f>
        <v/>
      </c>
      <c r="D2502" s="3">
        <f>IF(ISNUMBER(AVERAGE('20250815_ETF_Options_Exhibits'!D2498:D2502)),AVERAGE('20250815_ETF_Options_Exhibits'!D2498:D2502),"")</f>
        <v/>
      </c>
      <c r="E2502" s="3">
        <f>IF(ISNUMBER(AVERAGE('20250815_ETF_Options_Exhibits'!E2498:E2502)),AVERAGE('20250815_ETF_Options_Exhibits'!E2498:E2502),"")</f>
        <v/>
      </c>
      <c r="F2502" s="3">
        <f>IF(ISNUMBER(AVERAGE('20250815_ETF_Options_Exhibits'!F2498:F2502)),AVERAGE('20250815_ETF_Options_Exhibits'!F2498:F2502),"")</f>
        <v/>
      </c>
      <c r="G2502" s="3">
        <f>IF(ISNUMBER(AVERAGE('20250815_ETF_Options_Exhibits'!G2498:G2502)),AVERAGE('20250815_ETF_Options_Exhibits'!G2498:G2502),"")</f>
        <v/>
      </c>
      <c r="H2502" s="3">
        <f>IF(ISNUMBER(AVERAGE('20250815_ETF_Options_Exhibits'!H2498:H2502)),AVERAGE('20250815_ETF_Options_Exhibits'!H2498:H2502),"")</f>
        <v/>
      </c>
      <c r="I2502" s="3">
        <f>IF(ISNUMBER(AVERAGE('20250815_ETF_Options_Exhibits'!I2498:I2502)),AVERAGE('20250815_ETF_Options_Exhibits'!I2498:I2502),"")</f>
        <v/>
      </c>
      <c r="J2502" s="3">
        <f>IF(ISNUMBER(AVERAGE('20250815_ETF_Options_Exhibits'!J2498:J2502)),AVERAGE('20250815_ETF_Options_Exhibits'!J2498:J2502),"")</f>
        <v/>
      </c>
      <c r="K2502" s="3">
        <f>IF(ISNUMBER(AVERAGE('20250815_ETF_Options_Exhibits'!K2498:K2502)),AVERAGE('20250815_ETF_Options_Exhibits'!K2498:K2502),"")</f>
        <v/>
      </c>
      <c r="L2502" s="3">
        <f>IF(ISNUMBER(AVERAGE('20250815_ETF_Options_Exhibits'!L2498:L2502)),AVERAGE('20250815_ETF_Options_Exhibits'!L2498:L2502),"")</f>
        <v/>
      </c>
      <c r="M2502" s="3">
        <f>IF(ISNUMBER(AVERAGE('20250815_ETF_Options_Exhibits'!M2498:M2502)),AVERAGE('20250815_ETF_Options_Exhibits'!M2498:M2502),"")</f>
        <v/>
      </c>
      <c r="N2502" s="3">
        <f>IF(ISNUMBER(AVERAGE('20250815_ETF_Options_Exhibits'!N2498:N2502)),AVERAGE('20250815_ETF_Options_Exhibits'!N2498:N2502),"")</f>
        <v/>
      </c>
      <c r="O2502" s="3">
        <f>IF(ISNUMBER(AVERAGE('20250815_ETF_Options_Exhibits'!O2498:O2502)),AVERAGE('20250815_ETF_Options_Exhibits'!O2498:O2502),"")</f>
        <v/>
      </c>
      <c r="P2502" s="3">
        <f>IF(ISNUMBER(AVERAGE('20250815_ETF_Options_Exhibits'!P2498:P2502)),AVERAGE('20250815_ETF_Options_Exhibits'!P2498:P2502),"")</f>
        <v/>
      </c>
      <c r="Q2502" s="3">
        <f>IF(ISNUMBER(AVERAGE('20250815_ETF_Options_Exhibits'!Q2498:Q2502)),AVERAGE('20250815_ETF_Options_Exhibits'!Q2498:Q2502),"")</f>
        <v/>
      </c>
      <c r="R2502" s="3">
        <f>IF(ISNUMBER(AVERAGE('20250815_ETF_Options_Exhibits'!R2498:R2502)),AVERAGE('20250815_ETF_Options_Exhibits'!R2498:R2502),"")</f>
        <v/>
      </c>
      <c r="S2502" s="3">
        <f>IF(ISNUMBER(AVERAGE('20250815_ETF_Options_Exhibits'!S2498:S2502)),AVERAGE('20250815_ETF_Options_Exhibits'!S2498:S2502),"")</f>
        <v/>
      </c>
      <c r="T2502" s="3">
        <f>IF(ISNUMBER(AVERAGE('20250815_ETF_Options_Exhibits'!T2498:T2502)),AVERAGE('20250815_ETF_Options_Exhibits'!T2498:T2502),"")</f>
        <v/>
      </c>
      <c r="U2502" s="3">
        <f>IF(ISNUMBER(AVERAGE('20250815_ETF_Options_Exhibits'!U2498:U2502)),AVERAGE('20250815_ETF_Options_Exhibits'!U2498:U2502),"")</f>
        <v/>
      </c>
      <c r="V2502" s="3">
        <f>IF(ISNUMBER(AVERAGE('20250815_ETF_Options_Exhibits'!V2498:V2502)),AVERAGE('20250815_ETF_Options_Exhibits'!V2498:V2502),"")</f>
        <v/>
      </c>
      <c r="W2502" s="3">
        <f>IF(ISNUMBER(AVERAGE('20250815_ETF_Options_Exhibits'!W2498:W2502)),AVERAGE('20250815_ETF_Options_Exhibits'!W2498:W2502),"")</f>
        <v/>
      </c>
      <c r="X2502" s="3">
        <f>IF(ISNUMBER(AVERAGE('20250815_ETF_Options_Exhibits'!X2498:X2502)),AVERAGE('20250815_ETF_Options_Exhibits'!X2498:X2502),"")</f>
        <v/>
      </c>
      <c r="Y2502" s="3">
        <f>IF(ISNUMBER(AVERAGE('20250815_ETF_Options_Exhibits'!Y2498:Y2502)),AVERAGE('20250815_ETF_Options_Exhibits'!Y2498:Y2502),"")</f>
        <v/>
      </c>
      <c r="Z2502" s="3">
        <f>IF(ISNUMBER(AVERAGE('20250815_ETF_Options_Exhibits'!Z2498:Z2502)),AVERAGE('20250815_ETF_Options_Exhibits'!Z2498:Z2502),"")</f>
        <v/>
      </c>
      <c r="AA2502" s="3">
        <f>IF(ISNUMBER(AVERAGE('20250815_ETF_Options_Exhibits'!AA2498:AA2502)),AVERAGE('20250815_ETF_Options_Exhibits'!AA2498:AA2502),"")</f>
        <v/>
      </c>
    </row>
    <row r="2503">
      <c r="A2503" s="1" t="n">
        <v>45635</v>
      </c>
      <c r="B2503" s="3">
        <f>IF(ISNUMBER(AVERAGE('20250815_ETF_Options_Exhibits'!B2499:B2503)),AVERAGE('20250815_ETF_Options_Exhibits'!B2499:B2503),"")</f>
        <v/>
      </c>
      <c r="C2503" s="3">
        <f>IF(ISNUMBER(AVERAGE('20250815_ETF_Options_Exhibits'!C2499:C2503)),AVERAGE('20250815_ETF_Options_Exhibits'!C2499:C2503),"")</f>
        <v/>
      </c>
      <c r="D2503" s="3">
        <f>IF(ISNUMBER(AVERAGE('20250815_ETF_Options_Exhibits'!D2499:D2503)),AVERAGE('20250815_ETF_Options_Exhibits'!D2499:D2503),"")</f>
        <v/>
      </c>
      <c r="E2503" s="3">
        <f>IF(ISNUMBER(AVERAGE('20250815_ETF_Options_Exhibits'!E2499:E2503)),AVERAGE('20250815_ETF_Options_Exhibits'!E2499:E2503),"")</f>
        <v/>
      </c>
      <c r="F2503" s="3">
        <f>IF(ISNUMBER(AVERAGE('20250815_ETF_Options_Exhibits'!F2499:F2503)),AVERAGE('20250815_ETF_Options_Exhibits'!F2499:F2503),"")</f>
        <v/>
      </c>
      <c r="G2503" s="3">
        <f>IF(ISNUMBER(AVERAGE('20250815_ETF_Options_Exhibits'!G2499:G2503)),AVERAGE('20250815_ETF_Options_Exhibits'!G2499:G2503),"")</f>
        <v/>
      </c>
      <c r="H2503" s="3">
        <f>IF(ISNUMBER(AVERAGE('20250815_ETF_Options_Exhibits'!H2499:H2503)),AVERAGE('20250815_ETF_Options_Exhibits'!H2499:H2503),"")</f>
        <v/>
      </c>
      <c r="I2503" s="3">
        <f>IF(ISNUMBER(AVERAGE('20250815_ETF_Options_Exhibits'!I2499:I2503)),AVERAGE('20250815_ETF_Options_Exhibits'!I2499:I2503),"")</f>
        <v/>
      </c>
      <c r="J2503" s="3">
        <f>IF(ISNUMBER(AVERAGE('20250815_ETF_Options_Exhibits'!J2499:J2503)),AVERAGE('20250815_ETF_Options_Exhibits'!J2499:J2503),"")</f>
        <v/>
      </c>
      <c r="K2503" s="3">
        <f>IF(ISNUMBER(AVERAGE('20250815_ETF_Options_Exhibits'!K2499:K2503)),AVERAGE('20250815_ETF_Options_Exhibits'!K2499:K2503),"")</f>
        <v/>
      </c>
      <c r="L2503" s="3">
        <f>IF(ISNUMBER(AVERAGE('20250815_ETF_Options_Exhibits'!L2499:L2503)),AVERAGE('20250815_ETF_Options_Exhibits'!L2499:L2503),"")</f>
        <v/>
      </c>
      <c r="M2503" s="3">
        <f>IF(ISNUMBER(AVERAGE('20250815_ETF_Options_Exhibits'!M2499:M2503)),AVERAGE('20250815_ETF_Options_Exhibits'!M2499:M2503),"")</f>
        <v/>
      </c>
      <c r="N2503" s="3">
        <f>IF(ISNUMBER(AVERAGE('20250815_ETF_Options_Exhibits'!N2499:N2503)),AVERAGE('20250815_ETF_Options_Exhibits'!N2499:N2503),"")</f>
        <v/>
      </c>
      <c r="O2503" s="3">
        <f>IF(ISNUMBER(AVERAGE('20250815_ETF_Options_Exhibits'!O2499:O2503)),AVERAGE('20250815_ETF_Options_Exhibits'!O2499:O2503),"")</f>
        <v/>
      </c>
      <c r="P2503" s="3">
        <f>IF(ISNUMBER(AVERAGE('20250815_ETF_Options_Exhibits'!P2499:P2503)),AVERAGE('20250815_ETF_Options_Exhibits'!P2499:P2503),"")</f>
        <v/>
      </c>
      <c r="Q2503" s="3">
        <f>IF(ISNUMBER(AVERAGE('20250815_ETF_Options_Exhibits'!Q2499:Q2503)),AVERAGE('20250815_ETF_Options_Exhibits'!Q2499:Q2503),"")</f>
        <v/>
      </c>
      <c r="R2503" s="3">
        <f>IF(ISNUMBER(AVERAGE('20250815_ETF_Options_Exhibits'!R2499:R2503)),AVERAGE('20250815_ETF_Options_Exhibits'!R2499:R2503),"")</f>
        <v/>
      </c>
      <c r="S2503" s="3">
        <f>IF(ISNUMBER(AVERAGE('20250815_ETF_Options_Exhibits'!S2499:S2503)),AVERAGE('20250815_ETF_Options_Exhibits'!S2499:S2503),"")</f>
        <v/>
      </c>
      <c r="T2503" s="3">
        <f>IF(ISNUMBER(AVERAGE('20250815_ETF_Options_Exhibits'!T2499:T2503)),AVERAGE('20250815_ETF_Options_Exhibits'!T2499:T2503),"")</f>
        <v/>
      </c>
      <c r="U2503" s="3">
        <f>IF(ISNUMBER(AVERAGE('20250815_ETF_Options_Exhibits'!U2499:U2503)),AVERAGE('20250815_ETF_Options_Exhibits'!U2499:U2503),"")</f>
        <v/>
      </c>
      <c r="V2503" s="3">
        <f>IF(ISNUMBER(AVERAGE('20250815_ETF_Options_Exhibits'!V2499:V2503)),AVERAGE('20250815_ETF_Options_Exhibits'!V2499:V2503),"")</f>
        <v/>
      </c>
      <c r="W2503" s="3">
        <f>IF(ISNUMBER(AVERAGE('20250815_ETF_Options_Exhibits'!W2499:W2503)),AVERAGE('20250815_ETF_Options_Exhibits'!W2499:W2503),"")</f>
        <v/>
      </c>
      <c r="X2503" s="3">
        <f>IF(ISNUMBER(AVERAGE('20250815_ETF_Options_Exhibits'!X2499:X2503)),AVERAGE('20250815_ETF_Options_Exhibits'!X2499:X2503),"")</f>
        <v/>
      </c>
      <c r="Y2503" s="3">
        <f>IF(ISNUMBER(AVERAGE('20250815_ETF_Options_Exhibits'!Y2499:Y2503)),AVERAGE('20250815_ETF_Options_Exhibits'!Y2499:Y2503),"")</f>
        <v/>
      </c>
      <c r="Z2503" s="3">
        <f>IF(ISNUMBER(AVERAGE('20250815_ETF_Options_Exhibits'!Z2499:Z2503)),AVERAGE('20250815_ETF_Options_Exhibits'!Z2499:Z2503),"")</f>
        <v/>
      </c>
      <c r="AA2503" s="3">
        <f>IF(ISNUMBER(AVERAGE('20250815_ETF_Options_Exhibits'!AA2499:AA2503)),AVERAGE('20250815_ETF_Options_Exhibits'!AA2499:AA2503),"")</f>
        <v/>
      </c>
    </row>
    <row r="2504">
      <c r="A2504" s="1" t="n">
        <v>45636</v>
      </c>
      <c r="B2504" s="3">
        <f>IF(ISNUMBER(AVERAGE('20250815_ETF_Options_Exhibits'!B2500:B2504)),AVERAGE('20250815_ETF_Options_Exhibits'!B2500:B2504),"")</f>
        <v/>
      </c>
      <c r="C2504" s="3">
        <f>IF(ISNUMBER(AVERAGE('20250815_ETF_Options_Exhibits'!C2500:C2504)),AVERAGE('20250815_ETF_Options_Exhibits'!C2500:C2504),"")</f>
        <v/>
      </c>
      <c r="D2504" s="3">
        <f>IF(ISNUMBER(AVERAGE('20250815_ETF_Options_Exhibits'!D2500:D2504)),AVERAGE('20250815_ETF_Options_Exhibits'!D2500:D2504),"")</f>
        <v/>
      </c>
      <c r="E2504" s="3">
        <f>IF(ISNUMBER(AVERAGE('20250815_ETF_Options_Exhibits'!E2500:E2504)),AVERAGE('20250815_ETF_Options_Exhibits'!E2500:E2504),"")</f>
        <v/>
      </c>
      <c r="F2504" s="3">
        <f>IF(ISNUMBER(AVERAGE('20250815_ETF_Options_Exhibits'!F2500:F2504)),AVERAGE('20250815_ETF_Options_Exhibits'!F2500:F2504),"")</f>
        <v/>
      </c>
      <c r="G2504" s="3">
        <f>IF(ISNUMBER(AVERAGE('20250815_ETF_Options_Exhibits'!G2500:G2504)),AVERAGE('20250815_ETF_Options_Exhibits'!G2500:G2504),"")</f>
        <v/>
      </c>
      <c r="H2504" s="3">
        <f>IF(ISNUMBER(AVERAGE('20250815_ETF_Options_Exhibits'!H2500:H2504)),AVERAGE('20250815_ETF_Options_Exhibits'!H2500:H2504),"")</f>
        <v/>
      </c>
      <c r="I2504" s="3">
        <f>IF(ISNUMBER(AVERAGE('20250815_ETF_Options_Exhibits'!I2500:I2504)),AVERAGE('20250815_ETF_Options_Exhibits'!I2500:I2504),"")</f>
        <v/>
      </c>
      <c r="J2504" s="3">
        <f>IF(ISNUMBER(AVERAGE('20250815_ETF_Options_Exhibits'!J2500:J2504)),AVERAGE('20250815_ETF_Options_Exhibits'!J2500:J2504),"")</f>
        <v/>
      </c>
      <c r="K2504" s="3">
        <f>IF(ISNUMBER(AVERAGE('20250815_ETF_Options_Exhibits'!K2500:K2504)),AVERAGE('20250815_ETF_Options_Exhibits'!K2500:K2504),"")</f>
        <v/>
      </c>
      <c r="L2504" s="3">
        <f>IF(ISNUMBER(AVERAGE('20250815_ETF_Options_Exhibits'!L2500:L2504)),AVERAGE('20250815_ETF_Options_Exhibits'!L2500:L2504),"")</f>
        <v/>
      </c>
      <c r="M2504" s="3">
        <f>IF(ISNUMBER(AVERAGE('20250815_ETF_Options_Exhibits'!M2500:M2504)),AVERAGE('20250815_ETF_Options_Exhibits'!M2500:M2504),"")</f>
        <v/>
      </c>
      <c r="N2504" s="3">
        <f>IF(ISNUMBER(AVERAGE('20250815_ETF_Options_Exhibits'!N2500:N2504)),AVERAGE('20250815_ETF_Options_Exhibits'!N2500:N2504),"")</f>
        <v/>
      </c>
      <c r="O2504" s="3">
        <f>IF(ISNUMBER(AVERAGE('20250815_ETF_Options_Exhibits'!O2500:O2504)),AVERAGE('20250815_ETF_Options_Exhibits'!O2500:O2504),"")</f>
        <v/>
      </c>
      <c r="P2504" s="3">
        <f>IF(ISNUMBER(AVERAGE('20250815_ETF_Options_Exhibits'!P2500:P2504)),AVERAGE('20250815_ETF_Options_Exhibits'!P2500:P2504),"")</f>
        <v/>
      </c>
      <c r="Q2504" s="3">
        <f>IF(ISNUMBER(AVERAGE('20250815_ETF_Options_Exhibits'!Q2500:Q2504)),AVERAGE('20250815_ETF_Options_Exhibits'!Q2500:Q2504),"")</f>
        <v/>
      </c>
      <c r="R2504" s="3">
        <f>IF(ISNUMBER(AVERAGE('20250815_ETF_Options_Exhibits'!R2500:R2504)),AVERAGE('20250815_ETF_Options_Exhibits'!R2500:R2504),"")</f>
        <v/>
      </c>
      <c r="S2504" s="3">
        <f>IF(ISNUMBER(AVERAGE('20250815_ETF_Options_Exhibits'!S2500:S2504)),AVERAGE('20250815_ETF_Options_Exhibits'!S2500:S2504),"")</f>
        <v/>
      </c>
      <c r="T2504" s="3">
        <f>IF(ISNUMBER(AVERAGE('20250815_ETF_Options_Exhibits'!T2500:T2504)),AVERAGE('20250815_ETF_Options_Exhibits'!T2500:T2504),"")</f>
        <v/>
      </c>
      <c r="U2504" s="3">
        <f>IF(ISNUMBER(AVERAGE('20250815_ETF_Options_Exhibits'!U2500:U2504)),AVERAGE('20250815_ETF_Options_Exhibits'!U2500:U2504),"")</f>
        <v/>
      </c>
      <c r="V2504" s="3">
        <f>IF(ISNUMBER(AVERAGE('20250815_ETF_Options_Exhibits'!V2500:V2504)),AVERAGE('20250815_ETF_Options_Exhibits'!V2500:V2504),"")</f>
        <v/>
      </c>
      <c r="W2504" s="3">
        <f>IF(ISNUMBER(AVERAGE('20250815_ETF_Options_Exhibits'!W2500:W2504)),AVERAGE('20250815_ETF_Options_Exhibits'!W2500:W2504),"")</f>
        <v/>
      </c>
      <c r="X2504" s="3">
        <f>IF(ISNUMBER(AVERAGE('20250815_ETF_Options_Exhibits'!X2500:X2504)),AVERAGE('20250815_ETF_Options_Exhibits'!X2500:X2504),"")</f>
        <v/>
      </c>
      <c r="Y2504" s="3">
        <f>IF(ISNUMBER(AVERAGE('20250815_ETF_Options_Exhibits'!Y2500:Y2504)),AVERAGE('20250815_ETF_Options_Exhibits'!Y2500:Y2504),"")</f>
        <v/>
      </c>
      <c r="Z2504" s="3">
        <f>IF(ISNUMBER(AVERAGE('20250815_ETF_Options_Exhibits'!Z2500:Z2504)),AVERAGE('20250815_ETF_Options_Exhibits'!Z2500:Z2504),"")</f>
        <v/>
      </c>
      <c r="AA2504" s="3">
        <f>IF(ISNUMBER(AVERAGE('20250815_ETF_Options_Exhibits'!AA2500:AA2504)),AVERAGE('20250815_ETF_Options_Exhibits'!AA2500:AA2504),"")</f>
        <v/>
      </c>
    </row>
    <row r="2505">
      <c r="A2505" s="1" t="n">
        <v>45637</v>
      </c>
      <c r="B2505" s="3">
        <f>IF(ISNUMBER(AVERAGE('20250815_ETF_Options_Exhibits'!B2501:B2505)),AVERAGE('20250815_ETF_Options_Exhibits'!B2501:B2505),"")</f>
        <v/>
      </c>
      <c r="C2505" s="3">
        <f>IF(ISNUMBER(AVERAGE('20250815_ETF_Options_Exhibits'!C2501:C2505)),AVERAGE('20250815_ETF_Options_Exhibits'!C2501:C2505),"")</f>
        <v/>
      </c>
      <c r="D2505" s="3">
        <f>IF(ISNUMBER(AVERAGE('20250815_ETF_Options_Exhibits'!D2501:D2505)),AVERAGE('20250815_ETF_Options_Exhibits'!D2501:D2505),"")</f>
        <v/>
      </c>
      <c r="E2505" s="3">
        <f>IF(ISNUMBER(AVERAGE('20250815_ETF_Options_Exhibits'!E2501:E2505)),AVERAGE('20250815_ETF_Options_Exhibits'!E2501:E2505),"")</f>
        <v/>
      </c>
      <c r="F2505" s="3">
        <f>IF(ISNUMBER(AVERAGE('20250815_ETF_Options_Exhibits'!F2501:F2505)),AVERAGE('20250815_ETF_Options_Exhibits'!F2501:F2505),"")</f>
        <v/>
      </c>
      <c r="G2505" s="3">
        <f>IF(ISNUMBER(AVERAGE('20250815_ETF_Options_Exhibits'!G2501:G2505)),AVERAGE('20250815_ETF_Options_Exhibits'!G2501:G2505),"")</f>
        <v/>
      </c>
      <c r="H2505" s="3">
        <f>IF(ISNUMBER(AVERAGE('20250815_ETF_Options_Exhibits'!H2501:H2505)),AVERAGE('20250815_ETF_Options_Exhibits'!H2501:H2505),"")</f>
        <v/>
      </c>
      <c r="I2505" s="3">
        <f>IF(ISNUMBER(AVERAGE('20250815_ETF_Options_Exhibits'!I2501:I2505)),AVERAGE('20250815_ETF_Options_Exhibits'!I2501:I2505),"")</f>
        <v/>
      </c>
      <c r="J2505" s="3">
        <f>IF(ISNUMBER(AVERAGE('20250815_ETF_Options_Exhibits'!J2501:J2505)),AVERAGE('20250815_ETF_Options_Exhibits'!J2501:J2505),"")</f>
        <v/>
      </c>
      <c r="K2505" s="3">
        <f>IF(ISNUMBER(AVERAGE('20250815_ETF_Options_Exhibits'!K2501:K2505)),AVERAGE('20250815_ETF_Options_Exhibits'!K2501:K2505),"")</f>
        <v/>
      </c>
      <c r="L2505" s="3">
        <f>IF(ISNUMBER(AVERAGE('20250815_ETF_Options_Exhibits'!L2501:L2505)),AVERAGE('20250815_ETF_Options_Exhibits'!L2501:L2505),"")</f>
        <v/>
      </c>
      <c r="M2505" s="3">
        <f>IF(ISNUMBER(AVERAGE('20250815_ETF_Options_Exhibits'!M2501:M2505)),AVERAGE('20250815_ETF_Options_Exhibits'!M2501:M2505),"")</f>
        <v/>
      </c>
      <c r="N2505" s="3">
        <f>IF(ISNUMBER(AVERAGE('20250815_ETF_Options_Exhibits'!N2501:N2505)),AVERAGE('20250815_ETF_Options_Exhibits'!N2501:N2505),"")</f>
        <v/>
      </c>
      <c r="O2505" s="3">
        <f>IF(ISNUMBER(AVERAGE('20250815_ETF_Options_Exhibits'!O2501:O2505)),AVERAGE('20250815_ETF_Options_Exhibits'!O2501:O2505),"")</f>
        <v/>
      </c>
      <c r="P2505" s="3">
        <f>IF(ISNUMBER(AVERAGE('20250815_ETF_Options_Exhibits'!P2501:P2505)),AVERAGE('20250815_ETF_Options_Exhibits'!P2501:P2505),"")</f>
        <v/>
      </c>
      <c r="Q2505" s="3">
        <f>IF(ISNUMBER(AVERAGE('20250815_ETF_Options_Exhibits'!Q2501:Q2505)),AVERAGE('20250815_ETF_Options_Exhibits'!Q2501:Q2505),"")</f>
        <v/>
      </c>
      <c r="R2505" s="3">
        <f>IF(ISNUMBER(AVERAGE('20250815_ETF_Options_Exhibits'!R2501:R2505)),AVERAGE('20250815_ETF_Options_Exhibits'!R2501:R2505),"")</f>
        <v/>
      </c>
      <c r="S2505" s="3">
        <f>IF(ISNUMBER(AVERAGE('20250815_ETF_Options_Exhibits'!S2501:S2505)),AVERAGE('20250815_ETF_Options_Exhibits'!S2501:S2505),"")</f>
        <v/>
      </c>
      <c r="T2505" s="3">
        <f>IF(ISNUMBER(AVERAGE('20250815_ETF_Options_Exhibits'!T2501:T2505)),AVERAGE('20250815_ETF_Options_Exhibits'!T2501:T2505),"")</f>
        <v/>
      </c>
      <c r="U2505" s="3">
        <f>IF(ISNUMBER(AVERAGE('20250815_ETF_Options_Exhibits'!U2501:U2505)),AVERAGE('20250815_ETF_Options_Exhibits'!U2501:U2505),"")</f>
        <v/>
      </c>
      <c r="V2505" s="3">
        <f>IF(ISNUMBER(AVERAGE('20250815_ETF_Options_Exhibits'!V2501:V2505)),AVERAGE('20250815_ETF_Options_Exhibits'!V2501:V2505),"")</f>
        <v/>
      </c>
      <c r="W2505" s="3">
        <f>IF(ISNUMBER(AVERAGE('20250815_ETF_Options_Exhibits'!W2501:W2505)),AVERAGE('20250815_ETF_Options_Exhibits'!W2501:W2505),"")</f>
        <v/>
      </c>
      <c r="X2505" s="3">
        <f>IF(ISNUMBER(AVERAGE('20250815_ETF_Options_Exhibits'!X2501:X2505)),AVERAGE('20250815_ETF_Options_Exhibits'!X2501:X2505),"")</f>
        <v/>
      </c>
      <c r="Y2505" s="3">
        <f>IF(ISNUMBER(AVERAGE('20250815_ETF_Options_Exhibits'!Y2501:Y2505)),AVERAGE('20250815_ETF_Options_Exhibits'!Y2501:Y2505),"")</f>
        <v/>
      </c>
      <c r="Z2505" s="3">
        <f>IF(ISNUMBER(AVERAGE('20250815_ETF_Options_Exhibits'!Z2501:Z2505)),AVERAGE('20250815_ETF_Options_Exhibits'!Z2501:Z2505),"")</f>
        <v/>
      </c>
      <c r="AA2505" s="3">
        <f>IF(ISNUMBER(AVERAGE('20250815_ETF_Options_Exhibits'!AA2501:AA2505)),AVERAGE('20250815_ETF_Options_Exhibits'!AA2501:AA2505),"")</f>
        <v/>
      </c>
    </row>
    <row r="2506">
      <c r="A2506" s="1" t="n">
        <v>45638</v>
      </c>
      <c r="B2506" s="3">
        <f>IF(ISNUMBER(AVERAGE('20250815_ETF_Options_Exhibits'!B2502:B2506)),AVERAGE('20250815_ETF_Options_Exhibits'!B2502:B2506),"")</f>
        <v/>
      </c>
      <c r="C2506" s="3">
        <f>IF(ISNUMBER(AVERAGE('20250815_ETF_Options_Exhibits'!C2502:C2506)),AVERAGE('20250815_ETF_Options_Exhibits'!C2502:C2506),"")</f>
        <v/>
      </c>
      <c r="D2506" s="3">
        <f>IF(ISNUMBER(AVERAGE('20250815_ETF_Options_Exhibits'!D2502:D2506)),AVERAGE('20250815_ETF_Options_Exhibits'!D2502:D2506),"")</f>
        <v/>
      </c>
      <c r="E2506" s="3">
        <f>IF(ISNUMBER(AVERAGE('20250815_ETF_Options_Exhibits'!E2502:E2506)),AVERAGE('20250815_ETF_Options_Exhibits'!E2502:E2506),"")</f>
        <v/>
      </c>
      <c r="F2506" s="3">
        <f>IF(ISNUMBER(AVERAGE('20250815_ETF_Options_Exhibits'!F2502:F2506)),AVERAGE('20250815_ETF_Options_Exhibits'!F2502:F2506),"")</f>
        <v/>
      </c>
      <c r="G2506" s="3">
        <f>IF(ISNUMBER(AVERAGE('20250815_ETF_Options_Exhibits'!G2502:G2506)),AVERAGE('20250815_ETF_Options_Exhibits'!G2502:G2506),"")</f>
        <v/>
      </c>
      <c r="H2506" s="3">
        <f>IF(ISNUMBER(AVERAGE('20250815_ETF_Options_Exhibits'!H2502:H2506)),AVERAGE('20250815_ETF_Options_Exhibits'!H2502:H2506),"")</f>
        <v/>
      </c>
      <c r="I2506" s="3">
        <f>IF(ISNUMBER(AVERAGE('20250815_ETF_Options_Exhibits'!I2502:I2506)),AVERAGE('20250815_ETF_Options_Exhibits'!I2502:I2506),"")</f>
        <v/>
      </c>
      <c r="J2506" s="3">
        <f>IF(ISNUMBER(AVERAGE('20250815_ETF_Options_Exhibits'!J2502:J2506)),AVERAGE('20250815_ETF_Options_Exhibits'!J2502:J2506),"")</f>
        <v/>
      </c>
      <c r="K2506" s="3">
        <f>IF(ISNUMBER(AVERAGE('20250815_ETF_Options_Exhibits'!K2502:K2506)),AVERAGE('20250815_ETF_Options_Exhibits'!K2502:K2506),"")</f>
        <v/>
      </c>
      <c r="L2506" s="3">
        <f>IF(ISNUMBER(AVERAGE('20250815_ETF_Options_Exhibits'!L2502:L2506)),AVERAGE('20250815_ETF_Options_Exhibits'!L2502:L2506),"")</f>
        <v/>
      </c>
      <c r="M2506" s="3">
        <f>IF(ISNUMBER(AVERAGE('20250815_ETF_Options_Exhibits'!M2502:M2506)),AVERAGE('20250815_ETF_Options_Exhibits'!M2502:M2506),"")</f>
        <v/>
      </c>
      <c r="N2506" s="3">
        <f>IF(ISNUMBER(AVERAGE('20250815_ETF_Options_Exhibits'!N2502:N2506)),AVERAGE('20250815_ETF_Options_Exhibits'!N2502:N2506),"")</f>
        <v/>
      </c>
      <c r="O2506" s="3">
        <f>IF(ISNUMBER(AVERAGE('20250815_ETF_Options_Exhibits'!O2502:O2506)),AVERAGE('20250815_ETF_Options_Exhibits'!O2502:O2506),"")</f>
        <v/>
      </c>
      <c r="P2506" s="3">
        <f>IF(ISNUMBER(AVERAGE('20250815_ETF_Options_Exhibits'!P2502:P2506)),AVERAGE('20250815_ETF_Options_Exhibits'!P2502:P2506),"")</f>
        <v/>
      </c>
      <c r="Q2506" s="3">
        <f>IF(ISNUMBER(AVERAGE('20250815_ETF_Options_Exhibits'!Q2502:Q2506)),AVERAGE('20250815_ETF_Options_Exhibits'!Q2502:Q2506),"")</f>
        <v/>
      </c>
      <c r="R2506" s="3">
        <f>IF(ISNUMBER(AVERAGE('20250815_ETF_Options_Exhibits'!R2502:R2506)),AVERAGE('20250815_ETF_Options_Exhibits'!R2502:R2506),"")</f>
        <v/>
      </c>
      <c r="S2506" s="3">
        <f>IF(ISNUMBER(AVERAGE('20250815_ETF_Options_Exhibits'!S2502:S2506)),AVERAGE('20250815_ETF_Options_Exhibits'!S2502:S2506),"")</f>
        <v/>
      </c>
      <c r="T2506" s="3">
        <f>IF(ISNUMBER(AVERAGE('20250815_ETF_Options_Exhibits'!T2502:T2506)),AVERAGE('20250815_ETF_Options_Exhibits'!T2502:T2506),"")</f>
        <v/>
      </c>
      <c r="U2506" s="3">
        <f>IF(ISNUMBER(AVERAGE('20250815_ETF_Options_Exhibits'!U2502:U2506)),AVERAGE('20250815_ETF_Options_Exhibits'!U2502:U2506),"")</f>
        <v/>
      </c>
      <c r="V2506" s="3">
        <f>IF(ISNUMBER(AVERAGE('20250815_ETF_Options_Exhibits'!V2502:V2506)),AVERAGE('20250815_ETF_Options_Exhibits'!V2502:V2506),"")</f>
        <v/>
      </c>
      <c r="W2506" s="3">
        <f>IF(ISNUMBER(AVERAGE('20250815_ETF_Options_Exhibits'!W2502:W2506)),AVERAGE('20250815_ETF_Options_Exhibits'!W2502:W2506),"")</f>
        <v/>
      </c>
      <c r="X2506" s="3">
        <f>IF(ISNUMBER(AVERAGE('20250815_ETF_Options_Exhibits'!X2502:X2506)),AVERAGE('20250815_ETF_Options_Exhibits'!X2502:X2506),"")</f>
        <v/>
      </c>
      <c r="Y2506" s="3">
        <f>IF(ISNUMBER(AVERAGE('20250815_ETF_Options_Exhibits'!Y2502:Y2506)),AVERAGE('20250815_ETF_Options_Exhibits'!Y2502:Y2506),"")</f>
        <v/>
      </c>
      <c r="Z2506" s="3">
        <f>IF(ISNUMBER(AVERAGE('20250815_ETF_Options_Exhibits'!Z2502:Z2506)),AVERAGE('20250815_ETF_Options_Exhibits'!Z2502:Z2506),"")</f>
        <v/>
      </c>
      <c r="AA2506" s="3">
        <f>IF(ISNUMBER(AVERAGE('20250815_ETF_Options_Exhibits'!AA2502:AA2506)),AVERAGE('20250815_ETF_Options_Exhibits'!AA2502:AA2506),"")</f>
        <v/>
      </c>
    </row>
    <row r="2507">
      <c r="A2507" s="1" t="n">
        <v>45639</v>
      </c>
      <c r="B2507" s="3">
        <f>IF(ISNUMBER(AVERAGE('20250815_ETF_Options_Exhibits'!B2503:B2507)),AVERAGE('20250815_ETF_Options_Exhibits'!B2503:B2507),"")</f>
        <v/>
      </c>
      <c r="C2507" s="3">
        <f>IF(ISNUMBER(AVERAGE('20250815_ETF_Options_Exhibits'!C2503:C2507)),AVERAGE('20250815_ETF_Options_Exhibits'!C2503:C2507),"")</f>
        <v/>
      </c>
      <c r="D2507" s="3">
        <f>IF(ISNUMBER(AVERAGE('20250815_ETF_Options_Exhibits'!D2503:D2507)),AVERAGE('20250815_ETF_Options_Exhibits'!D2503:D2507),"")</f>
        <v/>
      </c>
      <c r="E2507" s="3">
        <f>IF(ISNUMBER(AVERAGE('20250815_ETF_Options_Exhibits'!E2503:E2507)),AVERAGE('20250815_ETF_Options_Exhibits'!E2503:E2507),"")</f>
        <v/>
      </c>
      <c r="F2507" s="3">
        <f>IF(ISNUMBER(AVERAGE('20250815_ETF_Options_Exhibits'!F2503:F2507)),AVERAGE('20250815_ETF_Options_Exhibits'!F2503:F2507),"")</f>
        <v/>
      </c>
      <c r="G2507" s="3">
        <f>IF(ISNUMBER(AVERAGE('20250815_ETF_Options_Exhibits'!G2503:G2507)),AVERAGE('20250815_ETF_Options_Exhibits'!G2503:G2507),"")</f>
        <v/>
      </c>
      <c r="H2507" s="3">
        <f>IF(ISNUMBER(AVERAGE('20250815_ETF_Options_Exhibits'!H2503:H2507)),AVERAGE('20250815_ETF_Options_Exhibits'!H2503:H2507),"")</f>
        <v/>
      </c>
      <c r="I2507" s="3">
        <f>IF(ISNUMBER(AVERAGE('20250815_ETF_Options_Exhibits'!I2503:I2507)),AVERAGE('20250815_ETF_Options_Exhibits'!I2503:I2507),"")</f>
        <v/>
      </c>
      <c r="J2507" s="3">
        <f>IF(ISNUMBER(AVERAGE('20250815_ETF_Options_Exhibits'!J2503:J2507)),AVERAGE('20250815_ETF_Options_Exhibits'!J2503:J2507),"")</f>
        <v/>
      </c>
      <c r="K2507" s="3">
        <f>IF(ISNUMBER(AVERAGE('20250815_ETF_Options_Exhibits'!K2503:K2507)),AVERAGE('20250815_ETF_Options_Exhibits'!K2503:K2507),"")</f>
        <v/>
      </c>
      <c r="L2507" s="3">
        <f>IF(ISNUMBER(AVERAGE('20250815_ETF_Options_Exhibits'!L2503:L2507)),AVERAGE('20250815_ETF_Options_Exhibits'!L2503:L2507),"")</f>
        <v/>
      </c>
      <c r="M2507" s="3">
        <f>IF(ISNUMBER(AVERAGE('20250815_ETF_Options_Exhibits'!M2503:M2507)),AVERAGE('20250815_ETF_Options_Exhibits'!M2503:M2507),"")</f>
        <v/>
      </c>
      <c r="N2507" s="3">
        <f>IF(ISNUMBER(AVERAGE('20250815_ETF_Options_Exhibits'!N2503:N2507)),AVERAGE('20250815_ETF_Options_Exhibits'!N2503:N2507),"")</f>
        <v/>
      </c>
      <c r="O2507" s="3">
        <f>IF(ISNUMBER(AVERAGE('20250815_ETF_Options_Exhibits'!O2503:O2507)),AVERAGE('20250815_ETF_Options_Exhibits'!O2503:O2507),"")</f>
        <v/>
      </c>
      <c r="P2507" s="3">
        <f>IF(ISNUMBER(AVERAGE('20250815_ETF_Options_Exhibits'!P2503:P2507)),AVERAGE('20250815_ETF_Options_Exhibits'!P2503:P2507),"")</f>
        <v/>
      </c>
      <c r="Q2507" s="3">
        <f>IF(ISNUMBER(AVERAGE('20250815_ETF_Options_Exhibits'!Q2503:Q2507)),AVERAGE('20250815_ETF_Options_Exhibits'!Q2503:Q2507),"")</f>
        <v/>
      </c>
      <c r="R2507" s="3">
        <f>IF(ISNUMBER(AVERAGE('20250815_ETF_Options_Exhibits'!R2503:R2507)),AVERAGE('20250815_ETF_Options_Exhibits'!R2503:R2507),"")</f>
        <v/>
      </c>
      <c r="S2507" s="3">
        <f>IF(ISNUMBER(AVERAGE('20250815_ETF_Options_Exhibits'!S2503:S2507)),AVERAGE('20250815_ETF_Options_Exhibits'!S2503:S2507),"")</f>
        <v/>
      </c>
      <c r="T2507" s="3">
        <f>IF(ISNUMBER(AVERAGE('20250815_ETF_Options_Exhibits'!T2503:T2507)),AVERAGE('20250815_ETF_Options_Exhibits'!T2503:T2507),"")</f>
        <v/>
      </c>
      <c r="U2507" s="3">
        <f>IF(ISNUMBER(AVERAGE('20250815_ETF_Options_Exhibits'!U2503:U2507)),AVERAGE('20250815_ETF_Options_Exhibits'!U2503:U2507),"")</f>
        <v/>
      </c>
      <c r="V2507" s="3">
        <f>IF(ISNUMBER(AVERAGE('20250815_ETF_Options_Exhibits'!V2503:V2507)),AVERAGE('20250815_ETF_Options_Exhibits'!V2503:V2507),"")</f>
        <v/>
      </c>
      <c r="W2507" s="3">
        <f>IF(ISNUMBER(AVERAGE('20250815_ETF_Options_Exhibits'!W2503:W2507)),AVERAGE('20250815_ETF_Options_Exhibits'!W2503:W2507),"")</f>
        <v/>
      </c>
      <c r="X2507" s="3">
        <f>IF(ISNUMBER(AVERAGE('20250815_ETF_Options_Exhibits'!X2503:X2507)),AVERAGE('20250815_ETF_Options_Exhibits'!X2503:X2507),"")</f>
        <v/>
      </c>
      <c r="Y2507" s="3">
        <f>IF(ISNUMBER(AVERAGE('20250815_ETF_Options_Exhibits'!Y2503:Y2507)),AVERAGE('20250815_ETF_Options_Exhibits'!Y2503:Y2507),"")</f>
        <v/>
      </c>
      <c r="Z2507" s="3">
        <f>IF(ISNUMBER(AVERAGE('20250815_ETF_Options_Exhibits'!Z2503:Z2507)),AVERAGE('20250815_ETF_Options_Exhibits'!Z2503:Z2507),"")</f>
        <v/>
      </c>
      <c r="AA2507" s="3">
        <f>IF(ISNUMBER(AVERAGE('20250815_ETF_Options_Exhibits'!AA2503:AA2507)),AVERAGE('20250815_ETF_Options_Exhibits'!AA2503:AA2507),"")</f>
        <v/>
      </c>
    </row>
    <row r="2508">
      <c r="A2508" s="1" t="n">
        <v>45642</v>
      </c>
      <c r="B2508" s="3">
        <f>IF(ISNUMBER(AVERAGE('20250815_ETF_Options_Exhibits'!B2504:B2508)),AVERAGE('20250815_ETF_Options_Exhibits'!B2504:B2508),"")</f>
        <v/>
      </c>
      <c r="C2508" s="3">
        <f>IF(ISNUMBER(AVERAGE('20250815_ETF_Options_Exhibits'!C2504:C2508)),AVERAGE('20250815_ETF_Options_Exhibits'!C2504:C2508),"")</f>
        <v/>
      </c>
      <c r="D2508" s="3">
        <f>IF(ISNUMBER(AVERAGE('20250815_ETF_Options_Exhibits'!D2504:D2508)),AVERAGE('20250815_ETF_Options_Exhibits'!D2504:D2508),"")</f>
        <v/>
      </c>
      <c r="E2508" s="3">
        <f>IF(ISNUMBER(AVERAGE('20250815_ETF_Options_Exhibits'!E2504:E2508)),AVERAGE('20250815_ETF_Options_Exhibits'!E2504:E2508),"")</f>
        <v/>
      </c>
      <c r="F2508" s="3">
        <f>IF(ISNUMBER(AVERAGE('20250815_ETF_Options_Exhibits'!F2504:F2508)),AVERAGE('20250815_ETF_Options_Exhibits'!F2504:F2508),"")</f>
        <v/>
      </c>
      <c r="G2508" s="3">
        <f>IF(ISNUMBER(AVERAGE('20250815_ETF_Options_Exhibits'!G2504:G2508)),AVERAGE('20250815_ETF_Options_Exhibits'!G2504:G2508),"")</f>
        <v/>
      </c>
      <c r="H2508" s="3">
        <f>IF(ISNUMBER(AVERAGE('20250815_ETF_Options_Exhibits'!H2504:H2508)),AVERAGE('20250815_ETF_Options_Exhibits'!H2504:H2508),"")</f>
        <v/>
      </c>
      <c r="I2508" s="3">
        <f>IF(ISNUMBER(AVERAGE('20250815_ETF_Options_Exhibits'!I2504:I2508)),AVERAGE('20250815_ETF_Options_Exhibits'!I2504:I2508),"")</f>
        <v/>
      </c>
      <c r="J2508" s="3">
        <f>IF(ISNUMBER(AVERAGE('20250815_ETF_Options_Exhibits'!J2504:J2508)),AVERAGE('20250815_ETF_Options_Exhibits'!J2504:J2508),"")</f>
        <v/>
      </c>
      <c r="K2508" s="3">
        <f>IF(ISNUMBER(AVERAGE('20250815_ETF_Options_Exhibits'!K2504:K2508)),AVERAGE('20250815_ETF_Options_Exhibits'!K2504:K2508),"")</f>
        <v/>
      </c>
      <c r="L2508" s="3">
        <f>IF(ISNUMBER(AVERAGE('20250815_ETF_Options_Exhibits'!L2504:L2508)),AVERAGE('20250815_ETF_Options_Exhibits'!L2504:L2508),"")</f>
        <v/>
      </c>
      <c r="M2508" s="3">
        <f>IF(ISNUMBER(AVERAGE('20250815_ETF_Options_Exhibits'!M2504:M2508)),AVERAGE('20250815_ETF_Options_Exhibits'!M2504:M2508),"")</f>
        <v/>
      </c>
      <c r="N2508" s="3">
        <f>IF(ISNUMBER(AVERAGE('20250815_ETF_Options_Exhibits'!N2504:N2508)),AVERAGE('20250815_ETF_Options_Exhibits'!N2504:N2508),"")</f>
        <v/>
      </c>
      <c r="O2508" s="3">
        <f>IF(ISNUMBER(AVERAGE('20250815_ETF_Options_Exhibits'!O2504:O2508)),AVERAGE('20250815_ETF_Options_Exhibits'!O2504:O2508),"")</f>
        <v/>
      </c>
      <c r="P2508" s="3">
        <f>IF(ISNUMBER(AVERAGE('20250815_ETF_Options_Exhibits'!P2504:P2508)),AVERAGE('20250815_ETF_Options_Exhibits'!P2504:P2508),"")</f>
        <v/>
      </c>
      <c r="Q2508" s="3">
        <f>IF(ISNUMBER(AVERAGE('20250815_ETF_Options_Exhibits'!Q2504:Q2508)),AVERAGE('20250815_ETF_Options_Exhibits'!Q2504:Q2508),"")</f>
        <v/>
      </c>
      <c r="R2508" s="3">
        <f>IF(ISNUMBER(AVERAGE('20250815_ETF_Options_Exhibits'!R2504:R2508)),AVERAGE('20250815_ETF_Options_Exhibits'!R2504:R2508),"")</f>
        <v/>
      </c>
      <c r="S2508" s="3">
        <f>IF(ISNUMBER(AVERAGE('20250815_ETF_Options_Exhibits'!S2504:S2508)),AVERAGE('20250815_ETF_Options_Exhibits'!S2504:S2508),"")</f>
        <v/>
      </c>
      <c r="T2508" s="3">
        <f>IF(ISNUMBER(AVERAGE('20250815_ETF_Options_Exhibits'!T2504:T2508)),AVERAGE('20250815_ETF_Options_Exhibits'!T2504:T2508),"")</f>
        <v/>
      </c>
      <c r="U2508" s="3">
        <f>IF(ISNUMBER(AVERAGE('20250815_ETF_Options_Exhibits'!U2504:U2508)),AVERAGE('20250815_ETF_Options_Exhibits'!U2504:U2508),"")</f>
        <v/>
      </c>
      <c r="V2508" s="3">
        <f>IF(ISNUMBER(AVERAGE('20250815_ETF_Options_Exhibits'!V2504:V2508)),AVERAGE('20250815_ETF_Options_Exhibits'!V2504:V2508),"")</f>
        <v/>
      </c>
      <c r="W2508" s="3">
        <f>IF(ISNUMBER(AVERAGE('20250815_ETF_Options_Exhibits'!W2504:W2508)),AVERAGE('20250815_ETF_Options_Exhibits'!W2504:W2508),"")</f>
        <v/>
      </c>
      <c r="X2508" s="3">
        <f>IF(ISNUMBER(AVERAGE('20250815_ETF_Options_Exhibits'!X2504:X2508)),AVERAGE('20250815_ETF_Options_Exhibits'!X2504:X2508),"")</f>
        <v/>
      </c>
      <c r="Y2508" s="3">
        <f>IF(ISNUMBER(AVERAGE('20250815_ETF_Options_Exhibits'!Y2504:Y2508)),AVERAGE('20250815_ETF_Options_Exhibits'!Y2504:Y2508),"")</f>
        <v/>
      </c>
      <c r="Z2508" s="3">
        <f>IF(ISNUMBER(AVERAGE('20250815_ETF_Options_Exhibits'!Z2504:Z2508)),AVERAGE('20250815_ETF_Options_Exhibits'!Z2504:Z2508),"")</f>
        <v/>
      </c>
      <c r="AA2508" s="3">
        <f>IF(ISNUMBER(AVERAGE('20250815_ETF_Options_Exhibits'!AA2504:AA2508)),AVERAGE('20250815_ETF_Options_Exhibits'!AA2504:AA2508),"")</f>
        <v/>
      </c>
    </row>
    <row r="2509">
      <c r="A2509" s="1" t="n">
        <v>45643</v>
      </c>
      <c r="B2509" s="3">
        <f>IF(ISNUMBER(AVERAGE('20250815_ETF_Options_Exhibits'!B2505:B2509)),AVERAGE('20250815_ETF_Options_Exhibits'!B2505:B2509),"")</f>
        <v/>
      </c>
      <c r="C2509" s="3">
        <f>IF(ISNUMBER(AVERAGE('20250815_ETF_Options_Exhibits'!C2505:C2509)),AVERAGE('20250815_ETF_Options_Exhibits'!C2505:C2509),"")</f>
        <v/>
      </c>
      <c r="D2509" s="3">
        <f>IF(ISNUMBER(AVERAGE('20250815_ETF_Options_Exhibits'!D2505:D2509)),AVERAGE('20250815_ETF_Options_Exhibits'!D2505:D2509),"")</f>
        <v/>
      </c>
      <c r="E2509" s="3">
        <f>IF(ISNUMBER(AVERAGE('20250815_ETF_Options_Exhibits'!E2505:E2509)),AVERAGE('20250815_ETF_Options_Exhibits'!E2505:E2509),"")</f>
        <v/>
      </c>
      <c r="F2509" s="3">
        <f>IF(ISNUMBER(AVERAGE('20250815_ETF_Options_Exhibits'!F2505:F2509)),AVERAGE('20250815_ETF_Options_Exhibits'!F2505:F2509),"")</f>
        <v/>
      </c>
      <c r="G2509" s="3">
        <f>IF(ISNUMBER(AVERAGE('20250815_ETF_Options_Exhibits'!G2505:G2509)),AVERAGE('20250815_ETF_Options_Exhibits'!G2505:G2509),"")</f>
        <v/>
      </c>
      <c r="H2509" s="3">
        <f>IF(ISNUMBER(AVERAGE('20250815_ETF_Options_Exhibits'!H2505:H2509)),AVERAGE('20250815_ETF_Options_Exhibits'!H2505:H2509),"")</f>
        <v/>
      </c>
      <c r="I2509" s="3">
        <f>IF(ISNUMBER(AVERAGE('20250815_ETF_Options_Exhibits'!I2505:I2509)),AVERAGE('20250815_ETF_Options_Exhibits'!I2505:I2509),"")</f>
        <v/>
      </c>
      <c r="J2509" s="3">
        <f>IF(ISNUMBER(AVERAGE('20250815_ETF_Options_Exhibits'!J2505:J2509)),AVERAGE('20250815_ETF_Options_Exhibits'!J2505:J2509),"")</f>
        <v/>
      </c>
      <c r="K2509" s="3">
        <f>IF(ISNUMBER(AVERAGE('20250815_ETF_Options_Exhibits'!K2505:K2509)),AVERAGE('20250815_ETF_Options_Exhibits'!K2505:K2509),"")</f>
        <v/>
      </c>
      <c r="L2509" s="3">
        <f>IF(ISNUMBER(AVERAGE('20250815_ETF_Options_Exhibits'!L2505:L2509)),AVERAGE('20250815_ETF_Options_Exhibits'!L2505:L2509),"")</f>
        <v/>
      </c>
      <c r="M2509" s="3">
        <f>IF(ISNUMBER(AVERAGE('20250815_ETF_Options_Exhibits'!M2505:M2509)),AVERAGE('20250815_ETF_Options_Exhibits'!M2505:M2509),"")</f>
        <v/>
      </c>
      <c r="N2509" s="3">
        <f>IF(ISNUMBER(AVERAGE('20250815_ETF_Options_Exhibits'!N2505:N2509)),AVERAGE('20250815_ETF_Options_Exhibits'!N2505:N2509),"")</f>
        <v/>
      </c>
      <c r="O2509" s="3">
        <f>IF(ISNUMBER(AVERAGE('20250815_ETF_Options_Exhibits'!O2505:O2509)),AVERAGE('20250815_ETF_Options_Exhibits'!O2505:O2509),"")</f>
        <v/>
      </c>
      <c r="P2509" s="3">
        <f>IF(ISNUMBER(AVERAGE('20250815_ETF_Options_Exhibits'!P2505:P2509)),AVERAGE('20250815_ETF_Options_Exhibits'!P2505:P2509),"")</f>
        <v/>
      </c>
      <c r="Q2509" s="3">
        <f>IF(ISNUMBER(AVERAGE('20250815_ETF_Options_Exhibits'!Q2505:Q2509)),AVERAGE('20250815_ETF_Options_Exhibits'!Q2505:Q2509),"")</f>
        <v/>
      </c>
      <c r="R2509" s="3">
        <f>IF(ISNUMBER(AVERAGE('20250815_ETF_Options_Exhibits'!R2505:R2509)),AVERAGE('20250815_ETF_Options_Exhibits'!R2505:R2509),"")</f>
        <v/>
      </c>
      <c r="S2509" s="3">
        <f>IF(ISNUMBER(AVERAGE('20250815_ETF_Options_Exhibits'!S2505:S2509)),AVERAGE('20250815_ETF_Options_Exhibits'!S2505:S2509),"")</f>
        <v/>
      </c>
      <c r="T2509" s="3">
        <f>IF(ISNUMBER(AVERAGE('20250815_ETF_Options_Exhibits'!T2505:T2509)),AVERAGE('20250815_ETF_Options_Exhibits'!T2505:T2509),"")</f>
        <v/>
      </c>
      <c r="U2509" s="3">
        <f>IF(ISNUMBER(AVERAGE('20250815_ETF_Options_Exhibits'!U2505:U2509)),AVERAGE('20250815_ETF_Options_Exhibits'!U2505:U2509),"")</f>
        <v/>
      </c>
      <c r="V2509" s="3">
        <f>IF(ISNUMBER(AVERAGE('20250815_ETF_Options_Exhibits'!V2505:V2509)),AVERAGE('20250815_ETF_Options_Exhibits'!V2505:V2509),"")</f>
        <v/>
      </c>
      <c r="W2509" s="3">
        <f>IF(ISNUMBER(AVERAGE('20250815_ETF_Options_Exhibits'!W2505:W2509)),AVERAGE('20250815_ETF_Options_Exhibits'!W2505:W2509),"")</f>
        <v/>
      </c>
      <c r="X2509" s="3">
        <f>IF(ISNUMBER(AVERAGE('20250815_ETF_Options_Exhibits'!X2505:X2509)),AVERAGE('20250815_ETF_Options_Exhibits'!X2505:X2509),"")</f>
        <v/>
      </c>
      <c r="Y2509" s="3">
        <f>IF(ISNUMBER(AVERAGE('20250815_ETF_Options_Exhibits'!Y2505:Y2509)),AVERAGE('20250815_ETF_Options_Exhibits'!Y2505:Y2509),"")</f>
        <v/>
      </c>
      <c r="Z2509" s="3">
        <f>IF(ISNUMBER(AVERAGE('20250815_ETF_Options_Exhibits'!Z2505:Z2509)),AVERAGE('20250815_ETF_Options_Exhibits'!Z2505:Z2509),"")</f>
        <v/>
      </c>
      <c r="AA2509" s="3">
        <f>IF(ISNUMBER(AVERAGE('20250815_ETF_Options_Exhibits'!AA2505:AA2509)),AVERAGE('20250815_ETF_Options_Exhibits'!AA2505:AA2509),"")</f>
        <v/>
      </c>
    </row>
    <row r="2510">
      <c r="A2510" s="1" t="n">
        <v>45644</v>
      </c>
      <c r="B2510" s="3">
        <f>IF(ISNUMBER(AVERAGE('20250815_ETF_Options_Exhibits'!B2506:B2510)),AVERAGE('20250815_ETF_Options_Exhibits'!B2506:B2510),"")</f>
        <v/>
      </c>
      <c r="C2510" s="3">
        <f>IF(ISNUMBER(AVERAGE('20250815_ETF_Options_Exhibits'!C2506:C2510)),AVERAGE('20250815_ETF_Options_Exhibits'!C2506:C2510),"")</f>
        <v/>
      </c>
      <c r="D2510" s="3">
        <f>IF(ISNUMBER(AVERAGE('20250815_ETF_Options_Exhibits'!D2506:D2510)),AVERAGE('20250815_ETF_Options_Exhibits'!D2506:D2510),"")</f>
        <v/>
      </c>
      <c r="E2510" s="3">
        <f>IF(ISNUMBER(AVERAGE('20250815_ETF_Options_Exhibits'!E2506:E2510)),AVERAGE('20250815_ETF_Options_Exhibits'!E2506:E2510),"")</f>
        <v/>
      </c>
      <c r="F2510" s="3">
        <f>IF(ISNUMBER(AVERAGE('20250815_ETF_Options_Exhibits'!F2506:F2510)),AVERAGE('20250815_ETF_Options_Exhibits'!F2506:F2510),"")</f>
        <v/>
      </c>
      <c r="G2510" s="3">
        <f>IF(ISNUMBER(AVERAGE('20250815_ETF_Options_Exhibits'!G2506:G2510)),AVERAGE('20250815_ETF_Options_Exhibits'!G2506:G2510),"")</f>
        <v/>
      </c>
      <c r="H2510" s="3">
        <f>IF(ISNUMBER(AVERAGE('20250815_ETF_Options_Exhibits'!H2506:H2510)),AVERAGE('20250815_ETF_Options_Exhibits'!H2506:H2510),"")</f>
        <v/>
      </c>
      <c r="I2510" s="3">
        <f>IF(ISNUMBER(AVERAGE('20250815_ETF_Options_Exhibits'!I2506:I2510)),AVERAGE('20250815_ETF_Options_Exhibits'!I2506:I2510),"")</f>
        <v/>
      </c>
      <c r="J2510" s="3">
        <f>IF(ISNUMBER(AVERAGE('20250815_ETF_Options_Exhibits'!J2506:J2510)),AVERAGE('20250815_ETF_Options_Exhibits'!J2506:J2510),"")</f>
        <v/>
      </c>
      <c r="K2510" s="3">
        <f>IF(ISNUMBER(AVERAGE('20250815_ETF_Options_Exhibits'!K2506:K2510)),AVERAGE('20250815_ETF_Options_Exhibits'!K2506:K2510),"")</f>
        <v/>
      </c>
      <c r="L2510" s="3">
        <f>IF(ISNUMBER(AVERAGE('20250815_ETF_Options_Exhibits'!L2506:L2510)),AVERAGE('20250815_ETF_Options_Exhibits'!L2506:L2510),"")</f>
        <v/>
      </c>
      <c r="M2510" s="3">
        <f>IF(ISNUMBER(AVERAGE('20250815_ETF_Options_Exhibits'!M2506:M2510)),AVERAGE('20250815_ETF_Options_Exhibits'!M2506:M2510),"")</f>
        <v/>
      </c>
      <c r="N2510" s="3">
        <f>IF(ISNUMBER(AVERAGE('20250815_ETF_Options_Exhibits'!N2506:N2510)),AVERAGE('20250815_ETF_Options_Exhibits'!N2506:N2510),"")</f>
        <v/>
      </c>
      <c r="O2510" s="3">
        <f>IF(ISNUMBER(AVERAGE('20250815_ETF_Options_Exhibits'!O2506:O2510)),AVERAGE('20250815_ETF_Options_Exhibits'!O2506:O2510),"")</f>
        <v/>
      </c>
      <c r="P2510" s="3">
        <f>IF(ISNUMBER(AVERAGE('20250815_ETF_Options_Exhibits'!P2506:P2510)),AVERAGE('20250815_ETF_Options_Exhibits'!P2506:P2510),"")</f>
        <v/>
      </c>
      <c r="Q2510" s="3">
        <f>IF(ISNUMBER(AVERAGE('20250815_ETF_Options_Exhibits'!Q2506:Q2510)),AVERAGE('20250815_ETF_Options_Exhibits'!Q2506:Q2510),"")</f>
        <v/>
      </c>
      <c r="R2510" s="3">
        <f>IF(ISNUMBER(AVERAGE('20250815_ETF_Options_Exhibits'!R2506:R2510)),AVERAGE('20250815_ETF_Options_Exhibits'!R2506:R2510),"")</f>
        <v/>
      </c>
      <c r="S2510" s="3">
        <f>IF(ISNUMBER(AVERAGE('20250815_ETF_Options_Exhibits'!S2506:S2510)),AVERAGE('20250815_ETF_Options_Exhibits'!S2506:S2510),"")</f>
        <v/>
      </c>
      <c r="T2510" s="3">
        <f>IF(ISNUMBER(AVERAGE('20250815_ETF_Options_Exhibits'!T2506:T2510)),AVERAGE('20250815_ETF_Options_Exhibits'!T2506:T2510),"")</f>
        <v/>
      </c>
      <c r="U2510" s="3">
        <f>IF(ISNUMBER(AVERAGE('20250815_ETF_Options_Exhibits'!U2506:U2510)),AVERAGE('20250815_ETF_Options_Exhibits'!U2506:U2510),"")</f>
        <v/>
      </c>
      <c r="V2510" s="3">
        <f>IF(ISNUMBER(AVERAGE('20250815_ETF_Options_Exhibits'!V2506:V2510)),AVERAGE('20250815_ETF_Options_Exhibits'!V2506:V2510),"")</f>
        <v/>
      </c>
      <c r="W2510" s="3">
        <f>IF(ISNUMBER(AVERAGE('20250815_ETF_Options_Exhibits'!W2506:W2510)),AVERAGE('20250815_ETF_Options_Exhibits'!W2506:W2510),"")</f>
        <v/>
      </c>
      <c r="X2510" s="3">
        <f>IF(ISNUMBER(AVERAGE('20250815_ETF_Options_Exhibits'!X2506:X2510)),AVERAGE('20250815_ETF_Options_Exhibits'!X2506:X2510),"")</f>
        <v/>
      </c>
      <c r="Y2510" s="3">
        <f>IF(ISNUMBER(AVERAGE('20250815_ETF_Options_Exhibits'!Y2506:Y2510)),AVERAGE('20250815_ETF_Options_Exhibits'!Y2506:Y2510),"")</f>
        <v/>
      </c>
      <c r="Z2510" s="3">
        <f>IF(ISNUMBER(AVERAGE('20250815_ETF_Options_Exhibits'!Z2506:Z2510)),AVERAGE('20250815_ETF_Options_Exhibits'!Z2506:Z2510),"")</f>
        <v/>
      </c>
      <c r="AA2510" s="3">
        <f>IF(ISNUMBER(AVERAGE('20250815_ETF_Options_Exhibits'!AA2506:AA2510)),AVERAGE('20250815_ETF_Options_Exhibits'!AA2506:AA2510),"")</f>
        <v/>
      </c>
    </row>
    <row r="2511">
      <c r="A2511" s="1" t="n">
        <v>45645</v>
      </c>
      <c r="B2511" s="3">
        <f>IF(ISNUMBER(AVERAGE('20250815_ETF_Options_Exhibits'!B2507:B2511)),AVERAGE('20250815_ETF_Options_Exhibits'!B2507:B2511),"")</f>
        <v/>
      </c>
      <c r="C2511" s="3">
        <f>IF(ISNUMBER(AVERAGE('20250815_ETF_Options_Exhibits'!C2507:C2511)),AVERAGE('20250815_ETF_Options_Exhibits'!C2507:C2511),"")</f>
        <v/>
      </c>
      <c r="D2511" s="3">
        <f>IF(ISNUMBER(AVERAGE('20250815_ETF_Options_Exhibits'!D2507:D2511)),AVERAGE('20250815_ETF_Options_Exhibits'!D2507:D2511),"")</f>
        <v/>
      </c>
      <c r="E2511" s="3">
        <f>IF(ISNUMBER(AVERAGE('20250815_ETF_Options_Exhibits'!E2507:E2511)),AVERAGE('20250815_ETF_Options_Exhibits'!E2507:E2511),"")</f>
        <v/>
      </c>
      <c r="F2511" s="3">
        <f>IF(ISNUMBER(AVERAGE('20250815_ETF_Options_Exhibits'!F2507:F2511)),AVERAGE('20250815_ETF_Options_Exhibits'!F2507:F2511),"")</f>
        <v/>
      </c>
      <c r="G2511" s="3">
        <f>IF(ISNUMBER(AVERAGE('20250815_ETF_Options_Exhibits'!G2507:G2511)),AVERAGE('20250815_ETF_Options_Exhibits'!G2507:G2511),"")</f>
        <v/>
      </c>
      <c r="H2511" s="3">
        <f>IF(ISNUMBER(AVERAGE('20250815_ETF_Options_Exhibits'!H2507:H2511)),AVERAGE('20250815_ETF_Options_Exhibits'!H2507:H2511),"")</f>
        <v/>
      </c>
      <c r="I2511" s="3">
        <f>IF(ISNUMBER(AVERAGE('20250815_ETF_Options_Exhibits'!I2507:I2511)),AVERAGE('20250815_ETF_Options_Exhibits'!I2507:I2511),"")</f>
        <v/>
      </c>
      <c r="J2511" s="3">
        <f>IF(ISNUMBER(AVERAGE('20250815_ETF_Options_Exhibits'!J2507:J2511)),AVERAGE('20250815_ETF_Options_Exhibits'!J2507:J2511),"")</f>
        <v/>
      </c>
      <c r="K2511" s="3">
        <f>IF(ISNUMBER(AVERAGE('20250815_ETF_Options_Exhibits'!K2507:K2511)),AVERAGE('20250815_ETF_Options_Exhibits'!K2507:K2511),"")</f>
        <v/>
      </c>
      <c r="L2511" s="3">
        <f>IF(ISNUMBER(AVERAGE('20250815_ETF_Options_Exhibits'!L2507:L2511)),AVERAGE('20250815_ETF_Options_Exhibits'!L2507:L2511),"")</f>
        <v/>
      </c>
      <c r="M2511" s="3">
        <f>IF(ISNUMBER(AVERAGE('20250815_ETF_Options_Exhibits'!M2507:M2511)),AVERAGE('20250815_ETF_Options_Exhibits'!M2507:M2511),"")</f>
        <v/>
      </c>
      <c r="N2511" s="3">
        <f>IF(ISNUMBER(AVERAGE('20250815_ETF_Options_Exhibits'!N2507:N2511)),AVERAGE('20250815_ETF_Options_Exhibits'!N2507:N2511),"")</f>
        <v/>
      </c>
      <c r="O2511" s="3">
        <f>IF(ISNUMBER(AVERAGE('20250815_ETF_Options_Exhibits'!O2507:O2511)),AVERAGE('20250815_ETF_Options_Exhibits'!O2507:O2511),"")</f>
        <v/>
      </c>
      <c r="P2511" s="3">
        <f>IF(ISNUMBER(AVERAGE('20250815_ETF_Options_Exhibits'!P2507:P2511)),AVERAGE('20250815_ETF_Options_Exhibits'!P2507:P2511),"")</f>
        <v/>
      </c>
      <c r="Q2511" s="3">
        <f>IF(ISNUMBER(AVERAGE('20250815_ETF_Options_Exhibits'!Q2507:Q2511)),AVERAGE('20250815_ETF_Options_Exhibits'!Q2507:Q2511),"")</f>
        <v/>
      </c>
      <c r="R2511" s="3">
        <f>IF(ISNUMBER(AVERAGE('20250815_ETF_Options_Exhibits'!R2507:R2511)),AVERAGE('20250815_ETF_Options_Exhibits'!R2507:R2511),"")</f>
        <v/>
      </c>
      <c r="S2511" s="3">
        <f>IF(ISNUMBER(AVERAGE('20250815_ETF_Options_Exhibits'!S2507:S2511)),AVERAGE('20250815_ETF_Options_Exhibits'!S2507:S2511),"")</f>
        <v/>
      </c>
      <c r="T2511" s="3">
        <f>IF(ISNUMBER(AVERAGE('20250815_ETF_Options_Exhibits'!T2507:T2511)),AVERAGE('20250815_ETF_Options_Exhibits'!T2507:T2511),"")</f>
        <v/>
      </c>
      <c r="U2511" s="3">
        <f>IF(ISNUMBER(AVERAGE('20250815_ETF_Options_Exhibits'!U2507:U2511)),AVERAGE('20250815_ETF_Options_Exhibits'!U2507:U2511),"")</f>
        <v/>
      </c>
      <c r="V2511" s="3">
        <f>IF(ISNUMBER(AVERAGE('20250815_ETF_Options_Exhibits'!V2507:V2511)),AVERAGE('20250815_ETF_Options_Exhibits'!V2507:V2511),"")</f>
        <v/>
      </c>
      <c r="W2511" s="3">
        <f>IF(ISNUMBER(AVERAGE('20250815_ETF_Options_Exhibits'!W2507:W2511)),AVERAGE('20250815_ETF_Options_Exhibits'!W2507:W2511),"")</f>
        <v/>
      </c>
      <c r="X2511" s="3">
        <f>IF(ISNUMBER(AVERAGE('20250815_ETF_Options_Exhibits'!X2507:X2511)),AVERAGE('20250815_ETF_Options_Exhibits'!X2507:X2511),"")</f>
        <v/>
      </c>
      <c r="Y2511" s="3">
        <f>IF(ISNUMBER(AVERAGE('20250815_ETF_Options_Exhibits'!Y2507:Y2511)),AVERAGE('20250815_ETF_Options_Exhibits'!Y2507:Y2511),"")</f>
        <v/>
      </c>
      <c r="Z2511" s="3">
        <f>IF(ISNUMBER(AVERAGE('20250815_ETF_Options_Exhibits'!Z2507:Z2511)),AVERAGE('20250815_ETF_Options_Exhibits'!Z2507:Z2511),"")</f>
        <v/>
      </c>
      <c r="AA2511" s="3">
        <f>IF(ISNUMBER(AVERAGE('20250815_ETF_Options_Exhibits'!AA2507:AA2511)),AVERAGE('20250815_ETF_Options_Exhibits'!AA2507:AA2511),"")</f>
        <v/>
      </c>
    </row>
    <row r="2512">
      <c r="A2512" s="1" t="n">
        <v>45646</v>
      </c>
      <c r="B2512" s="3">
        <f>IF(ISNUMBER(AVERAGE('20250815_ETF_Options_Exhibits'!B2508:B2512)),AVERAGE('20250815_ETF_Options_Exhibits'!B2508:B2512),"")</f>
        <v/>
      </c>
      <c r="C2512" s="3">
        <f>IF(ISNUMBER(AVERAGE('20250815_ETF_Options_Exhibits'!C2508:C2512)),AVERAGE('20250815_ETF_Options_Exhibits'!C2508:C2512),"")</f>
        <v/>
      </c>
      <c r="D2512" s="3">
        <f>IF(ISNUMBER(AVERAGE('20250815_ETF_Options_Exhibits'!D2508:D2512)),AVERAGE('20250815_ETF_Options_Exhibits'!D2508:D2512),"")</f>
        <v/>
      </c>
      <c r="E2512" s="3">
        <f>IF(ISNUMBER(AVERAGE('20250815_ETF_Options_Exhibits'!E2508:E2512)),AVERAGE('20250815_ETF_Options_Exhibits'!E2508:E2512),"")</f>
        <v/>
      </c>
      <c r="F2512" s="3">
        <f>IF(ISNUMBER(AVERAGE('20250815_ETF_Options_Exhibits'!F2508:F2512)),AVERAGE('20250815_ETF_Options_Exhibits'!F2508:F2512),"")</f>
        <v/>
      </c>
      <c r="G2512" s="3">
        <f>IF(ISNUMBER(AVERAGE('20250815_ETF_Options_Exhibits'!G2508:G2512)),AVERAGE('20250815_ETF_Options_Exhibits'!G2508:G2512),"")</f>
        <v/>
      </c>
      <c r="H2512" s="3">
        <f>IF(ISNUMBER(AVERAGE('20250815_ETF_Options_Exhibits'!H2508:H2512)),AVERAGE('20250815_ETF_Options_Exhibits'!H2508:H2512),"")</f>
        <v/>
      </c>
      <c r="I2512" s="3">
        <f>IF(ISNUMBER(AVERAGE('20250815_ETF_Options_Exhibits'!I2508:I2512)),AVERAGE('20250815_ETF_Options_Exhibits'!I2508:I2512),"")</f>
        <v/>
      </c>
      <c r="J2512" s="3">
        <f>IF(ISNUMBER(AVERAGE('20250815_ETF_Options_Exhibits'!J2508:J2512)),AVERAGE('20250815_ETF_Options_Exhibits'!J2508:J2512),"")</f>
        <v/>
      </c>
      <c r="K2512" s="3">
        <f>IF(ISNUMBER(AVERAGE('20250815_ETF_Options_Exhibits'!K2508:K2512)),AVERAGE('20250815_ETF_Options_Exhibits'!K2508:K2512),"")</f>
        <v/>
      </c>
      <c r="L2512" s="3">
        <f>IF(ISNUMBER(AVERAGE('20250815_ETF_Options_Exhibits'!L2508:L2512)),AVERAGE('20250815_ETF_Options_Exhibits'!L2508:L2512),"")</f>
        <v/>
      </c>
      <c r="M2512" s="3">
        <f>IF(ISNUMBER(AVERAGE('20250815_ETF_Options_Exhibits'!M2508:M2512)),AVERAGE('20250815_ETF_Options_Exhibits'!M2508:M2512),"")</f>
        <v/>
      </c>
      <c r="N2512" s="3">
        <f>IF(ISNUMBER(AVERAGE('20250815_ETF_Options_Exhibits'!N2508:N2512)),AVERAGE('20250815_ETF_Options_Exhibits'!N2508:N2512),"")</f>
        <v/>
      </c>
      <c r="O2512" s="3">
        <f>IF(ISNUMBER(AVERAGE('20250815_ETF_Options_Exhibits'!O2508:O2512)),AVERAGE('20250815_ETF_Options_Exhibits'!O2508:O2512),"")</f>
        <v/>
      </c>
      <c r="P2512" s="3">
        <f>IF(ISNUMBER(AVERAGE('20250815_ETF_Options_Exhibits'!P2508:P2512)),AVERAGE('20250815_ETF_Options_Exhibits'!P2508:P2512),"")</f>
        <v/>
      </c>
      <c r="Q2512" s="3">
        <f>IF(ISNUMBER(AVERAGE('20250815_ETF_Options_Exhibits'!Q2508:Q2512)),AVERAGE('20250815_ETF_Options_Exhibits'!Q2508:Q2512),"")</f>
        <v/>
      </c>
      <c r="R2512" s="3">
        <f>IF(ISNUMBER(AVERAGE('20250815_ETF_Options_Exhibits'!R2508:R2512)),AVERAGE('20250815_ETF_Options_Exhibits'!R2508:R2512),"")</f>
        <v/>
      </c>
      <c r="S2512" s="3">
        <f>IF(ISNUMBER(AVERAGE('20250815_ETF_Options_Exhibits'!S2508:S2512)),AVERAGE('20250815_ETF_Options_Exhibits'!S2508:S2512),"")</f>
        <v/>
      </c>
      <c r="T2512" s="3">
        <f>IF(ISNUMBER(AVERAGE('20250815_ETF_Options_Exhibits'!T2508:T2512)),AVERAGE('20250815_ETF_Options_Exhibits'!T2508:T2512),"")</f>
        <v/>
      </c>
      <c r="U2512" s="3">
        <f>IF(ISNUMBER(AVERAGE('20250815_ETF_Options_Exhibits'!U2508:U2512)),AVERAGE('20250815_ETF_Options_Exhibits'!U2508:U2512),"")</f>
        <v/>
      </c>
      <c r="V2512" s="3">
        <f>IF(ISNUMBER(AVERAGE('20250815_ETF_Options_Exhibits'!V2508:V2512)),AVERAGE('20250815_ETF_Options_Exhibits'!V2508:V2512),"")</f>
        <v/>
      </c>
      <c r="W2512" s="3">
        <f>IF(ISNUMBER(AVERAGE('20250815_ETF_Options_Exhibits'!W2508:W2512)),AVERAGE('20250815_ETF_Options_Exhibits'!W2508:W2512),"")</f>
        <v/>
      </c>
      <c r="X2512" s="3">
        <f>IF(ISNUMBER(AVERAGE('20250815_ETF_Options_Exhibits'!X2508:X2512)),AVERAGE('20250815_ETF_Options_Exhibits'!X2508:X2512),"")</f>
        <v/>
      </c>
      <c r="Y2512" s="3">
        <f>IF(ISNUMBER(AVERAGE('20250815_ETF_Options_Exhibits'!Y2508:Y2512)),AVERAGE('20250815_ETF_Options_Exhibits'!Y2508:Y2512),"")</f>
        <v/>
      </c>
      <c r="Z2512" s="3">
        <f>IF(ISNUMBER(AVERAGE('20250815_ETF_Options_Exhibits'!Z2508:Z2512)),AVERAGE('20250815_ETF_Options_Exhibits'!Z2508:Z2512),"")</f>
        <v/>
      </c>
      <c r="AA2512" s="3">
        <f>IF(ISNUMBER(AVERAGE('20250815_ETF_Options_Exhibits'!AA2508:AA2512)),AVERAGE('20250815_ETF_Options_Exhibits'!AA2508:AA2512),"")</f>
        <v/>
      </c>
    </row>
    <row r="2513">
      <c r="A2513" s="1" t="n">
        <v>45649</v>
      </c>
      <c r="B2513" s="3">
        <f>IF(ISNUMBER(AVERAGE('20250815_ETF_Options_Exhibits'!B2509:B2513)),AVERAGE('20250815_ETF_Options_Exhibits'!B2509:B2513),"")</f>
        <v/>
      </c>
      <c r="C2513" s="3">
        <f>IF(ISNUMBER(AVERAGE('20250815_ETF_Options_Exhibits'!C2509:C2513)),AVERAGE('20250815_ETF_Options_Exhibits'!C2509:C2513),"")</f>
        <v/>
      </c>
      <c r="D2513" s="3">
        <f>IF(ISNUMBER(AVERAGE('20250815_ETF_Options_Exhibits'!D2509:D2513)),AVERAGE('20250815_ETF_Options_Exhibits'!D2509:D2513),"")</f>
        <v/>
      </c>
      <c r="E2513" s="3">
        <f>IF(ISNUMBER(AVERAGE('20250815_ETF_Options_Exhibits'!E2509:E2513)),AVERAGE('20250815_ETF_Options_Exhibits'!E2509:E2513),"")</f>
        <v/>
      </c>
      <c r="F2513" s="3">
        <f>IF(ISNUMBER(AVERAGE('20250815_ETF_Options_Exhibits'!F2509:F2513)),AVERAGE('20250815_ETF_Options_Exhibits'!F2509:F2513),"")</f>
        <v/>
      </c>
      <c r="G2513" s="3">
        <f>IF(ISNUMBER(AVERAGE('20250815_ETF_Options_Exhibits'!G2509:G2513)),AVERAGE('20250815_ETF_Options_Exhibits'!G2509:G2513),"")</f>
        <v/>
      </c>
      <c r="H2513" s="3">
        <f>IF(ISNUMBER(AVERAGE('20250815_ETF_Options_Exhibits'!H2509:H2513)),AVERAGE('20250815_ETF_Options_Exhibits'!H2509:H2513),"")</f>
        <v/>
      </c>
      <c r="I2513" s="3">
        <f>IF(ISNUMBER(AVERAGE('20250815_ETF_Options_Exhibits'!I2509:I2513)),AVERAGE('20250815_ETF_Options_Exhibits'!I2509:I2513),"")</f>
        <v/>
      </c>
      <c r="J2513" s="3">
        <f>IF(ISNUMBER(AVERAGE('20250815_ETF_Options_Exhibits'!J2509:J2513)),AVERAGE('20250815_ETF_Options_Exhibits'!J2509:J2513),"")</f>
        <v/>
      </c>
      <c r="K2513" s="3">
        <f>IF(ISNUMBER(AVERAGE('20250815_ETF_Options_Exhibits'!K2509:K2513)),AVERAGE('20250815_ETF_Options_Exhibits'!K2509:K2513),"")</f>
        <v/>
      </c>
      <c r="L2513" s="3">
        <f>IF(ISNUMBER(AVERAGE('20250815_ETF_Options_Exhibits'!L2509:L2513)),AVERAGE('20250815_ETF_Options_Exhibits'!L2509:L2513),"")</f>
        <v/>
      </c>
      <c r="M2513" s="3">
        <f>IF(ISNUMBER(AVERAGE('20250815_ETF_Options_Exhibits'!M2509:M2513)),AVERAGE('20250815_ETF_Options_Exhibits'!M2509:M2513),"")</f>
        <v/>
      </c>
      <c r="N2513" s="3">
        <f>IF(ISNUMBER(AVERAGE('20250815_ETF_Options_Exhibits'!N2509:N2513)),AVERAGE('20250815_ETF_Options_Exhibits'!N2509:N2513),"")</f>
        <v/>
      </c>
      <c r="O2513" s="3">
        <f>IF(ISNUMBER(AVERAGE('20250815_ETF_Options_Exhibits'!O2509:O2513)),AVERAGE('20250815_ETF_Options_Exhibits'!O2509:O2513),"")</f>
        <v/>
      </c>
      <c r="P2513" s="3">
        <f>IF(ISNUMBER(AVERAGE('20250815_ETF_Options_Exhibits'!P2509:P2513)),AVERAGE('20250815_ETF_Options_Exhibits'!P2509:P2513),"")</f>
        <v/>
      </c>
      <c r="Q2513" s="3">
        <f>IF(ISNUMBER(AVERAGE('20250815_ETF_Options_Exhibits'!Q2509:Q2513)),AVERAGE('20250815_ETF_Options_Exhibits'!Q2509:Q2513),"")</f>
        <v/>
      </c>
      <c r="R2513" s="3">
        <f>IF(ISNUMBER(AVERAGE('20250815_ETF_Options_Exhibits'!R2509:R2513)),AVERAGE('20250815_ETF_Options_Exhibits'!R2509:R2513),"")</f>
        <v/>
      </c>
      <c r="S2513" s="3">
        <f>IF(ISNUMBER(AVERAGE('20250815_ETF_Options_Exhibits'!S2509:S2513)),AVERAGE('20250815_ETF_Options_Exhibits'!S2509:S2513),"")</f>
        <v/>
      </c>
      <c r="T2513" s="3">
        <f>IF(ISNUMBER(AVERAGE('20250815_ETF_Options_Exhibits'!T2509:T2513)),AVERAGE('20250815_ETF_Options_Exhibits'!T2509:T2513),"")</f>
        <v/>
      </c>
      <c r="U2513" s="3">
        <f>IF(ISNUMBER(AVERAGE('20250815_ETF_Options_Exhibits'!U2509:U2513)),AVERAGE('20250815_ETF_Options_Exhibits'!U2509:U2513),"")</f>
        <v/>
      </c>
      <c r="V2513" s="3">
        <f>IF(ISNUMBER(AVERAGE('20250815_ETF_Options_Exhibits'!V2509:V2513)),AVERAGE('20250815_ETF_Options_Exhibits'!V2509:V2513),"")</f>
        <v/>
      </c>
      <c r="W2513" s="3">
        <f>IF(ISNUMBER(AVERAGE('20250815_ETF_Options_Exhibits'!W2509:W2513)),AVERAGE('20250815_ETF_Options_Exhibits'!W2509:W2513),"")</f>
        <v/>
      </c>
      <c r="X2513" s="3">
        <f>IF(ISNUMBER(AVERAGE('20250815_ETF_Options_Exhibits'!X2509:X2513)),AVERAGE('20250815_ETF_Options_Exhibits'!X2509:X2513),"")</f>
        <v/>
      </c>
      <c r="Y2513" s="3">
        <f>IF(ISNUMBER(AVERAGE('20250815_ETF_Options_Exhibits'!Y2509:Y2513)),AVERAGE('20250815_ETF_Options_Exhibits'!Y2509:Y2513),"")</f>
        <v/>
      </c>
      <c r="Z2513" s="3">
        <f>IF(ISNUMBER(AVERAGE('20250815_ETF_Options_Exhibits'!Z2509:Z2513)),AVERAGE('20250815_ETF_Options_Exhibits'!Z2509:Z2513),"")</f>
        <v/>
      </c>
      <c r="AA2513" s="3">
        <f>IF(ISNUMBER(AVERAGE('20250815_ETF_Options_Exhibits'!AA2509:AA2513)),AVERAGE('20250815_ETF_Options_Exhibits'!AA2509:AA2513),"")</f>
        <v/>
      </c>
    </row>
    <row r="2514">
      <c r="A2514" s="1" t="n">
        <v>45650</v>
      </c>
      <c r="B2514" s="3">
        <f>IF(ISNUMBER(AVERAGE('20250815_ETF_Options_Exhibits'!B2510:B2514)),AVERAGE('20250815_ETF_Options_Exhibits'!B2510:B2514),"")</f>
        <v/>
      </c>
      <c r="C2514" s="3">
        <f>IF(ISNUMBER(AVERAGE('20250815_ETF_Options_Exhibits'!C2510:C2514)),AVERAGE('20250815_ETF_Options_Exhibits'!C2510:C2514),"")</f>
        <v/>
      </c>
      <c r="D2514" s="3">
        <f>IF(ISNUMBER(AVERAGE('20250815_ETF_Options_Exhibits'!D2510:D2514)),AVERAGE('20250815_ETF_Options_Exhibits'!D2510:D2514),"")</f>
        <v/>
      </c>
      <c r="E2514" s="3">
        <f>IF(ISNUMBER(AVERAGE('20250815_ETF_Options_Exhibits'!E2510:E2514)),AVERAGE('20250815_ETF_Options_Exhibits'!E2510:E2514),"")</f>
        <v/>
      </c>
      <c r="F2514" s="3">
        <f>IF(ISNUMBER(AVERAGE('20250815_ETF_Options_Exhibits'!F2510:F2514)),AVERAGE('20250815_ETF_Options_Exhibits'!F2510:F2514),"")</f>
        <v/>
      </c>
      <c r="G2514" s="3">
        <f>IF(ISNUMBER(AVERAGE('20250815_ETF_Options_Exhibits'!G2510:G2514)),AVERAGE('20250815_ETF_Options_Exhibits'!G2510:G2514),"")</f>
        <v/>
      </c>
      <c r="H2514" s="3">
        <f>IF(ISNUMBER(AVERAGE('20250815_ETF_Options_Exhibits'!H2510:H2514)),AVERAGE('20250815_ETF_Options_Exhibits'!H2510:H2514),"")</f>
        <v/>
      </c>
      <c r="I2514" s="3">
        <f>IF(ISNUMBER(AVERAGE('20250815_ETF_Options_Exhibits'!I2510:I2514)),AVERAGE('20250815_ETF_Options_Exhibits'!I2510:I2514),"")</f>
        <v/>
      </c>
      <c r="J2514" s="3">
        <f>IF(ISNUMBER(AVERAGE('20250815_ETF_Options_Exhibits'!J2510:J2514)),AVERAGE('20250815_ETF_Options_Exhibits'!J2510:J2514),"")</f>
        <v/>
      </c>
      <c r="K2514" s="3">
        <f>IF(ISNUMBER(AVERAGE('20250815_ETF_Options_Exhibits'!K2510:K2514)),AVERAGE('20250815_ETF_Options_Exhibits'!K2510:K2514),"")</f>
        <v/>
      </c>
      <c r="L2514" s="3">
        <f>IF(ISNUMBER(AVERAGE('20250815_ETF_Options_Exhibits'!L2510:L2514)),AVERAGE('20250815_ETF_Options_Exhibits'!L2510:L2514),"")</f>
        <v/>
      </c>
      <c r="M2514" s="3">
        <f>IF(ISNUMBER(AVERAGE('20250815_ETF_Options_Exhibits'!M2510:M2514)),AVERAGE('20250815_ETF_Options_Exhibits'!M2510:M2514),"")</f>
        <v/>
      </c>
      <c r="N2514" s="3">
        <f>IF(ISNUMBER(AVERAGE('20250815_ETF_Options_Exhibits'!N2510:N2514)),AVERAGE('20250815_ETF_Options_Exhibits'!N2510:N2514),"")</f>
        <v/>
      </c>
      <c r="O2514" s="3">
        <f>IF(ISNUMBER(AVERAGE('20250815_ETF_Options_Exhibits'!O2510:O2514)),AVERAGE('20250815_ETF_Options_Exhibits'!O2510:O2514),"")</f>
        <v/>
      </c>
      <c r="P2514" s="3">
        <f>IF(ISNUMBER(AVERAGE('20250815_ETF_Options_Exhibits'!P2510:P2514)),AVERAGE('20250815_ETF_Options_Exhibits'!P2510:P2514),"")</f>
        <v/>
      </c>
      <c r="Q2514" s="3">
        <f>IF(ISNUMBER(AVERAGE('20250815_ETF_Options_Exhibits'!Q2510:Q2514)),AVERAGE('20250815_ETF_Options_Exhibits'!Q2510:Q2514),"")</f>
        <v/>
      </c>
      <c r="R2514" s="3">
        <f>IF(ISNUMBER(AVERAGE('20250815_ETF_Options_Exhibits'!R2510:R2514)),AVERAGE('20250815_ETF_Options_Exhibits'!R2510:R2514),"")</f>
        <v/>
      </c>
      <c r="S2514" s="3">
        <f>IF(ISNUMBER(AVERAGE('20250815_ETF_Options_Exhibits'!S2510:S2514)),AVERAGE('20250815_ETF_Options_Exhibits'!S2510:S2514),"")</f>
        <v/>
      </c>
      <c r="T2514" s="3">
        <f>IF(ISNUMBER(AVERAGE('20250815_ETF_Options_Exhibits'!T2510:T2514)),AVERAGE('20250815_ETF_Options_Exhibits'!T2510:T2514),"")</f>
        <v/>
      </c>
      <c r="U2514" s="3">
        <f>IF(ISNUMBER(AVERAGE('20250815_ETF_Options_Exhibits'!U2510:U2514)),AVERAGE('20250815_ETF_Options_Exhibits'!U2510:U2514),"")</f>
        <v/>
      </c>
      <c r="V2514" s="3">
        <f>IF(ISNUMBER(AVERAGE('20250815_ETF_Options_Exhibits'!V2510:V2514)),AVERAGE('20250815_ETF_Options_Exhibits'!V2510:V2514),"")</f>
        <v/>
      </c>
      <c r="W2514" s="3">
        <f>IF(ISNUMBER(AVERAGE('20250815_ETF_Options_Exhibits'!W2510:W2514)),AVERAGE('20250815_ETF_Options_Exhibits'!W2510:W2514),"")</f>
        <v/>
      </c>
      <c r="X2514" s="3">
        <f>IF(ISNUMBER(AVERAGE('20250815_ETF_Options_Exhibits'!X2510:X2514)),AVERAGE('20250815_ETF_Options_Exhibits'!X2510:X2514),"")</f>
        <v/>
      </c>
      <c r="Y2514" s="3">
        <f>IF(ISNUMBER(AVERAGE('20250815_ETF_Options_Exhibits'!Y2510:Y2514)),AVERAGE('20250815_ETF_Options_Exhibits'!Y2510:Y2514),"")</f>
        <v/>
      </c>
      <c r="Z2514" s="3">
        <f>IF(ISNUMBER(AVERAGE('20250815_ETF_Options_Exhibits'!Z2510:Z2514)),AVERAGE('20250815_ETF_Options_Exhibits'!Z2510:Z2514),"")</f>
        <v/>
      </c>
      <c r="AA2514" s="3">
        <f>IF(ISNUMBER(AVERAGE('20250815_ETF_Options_Exhibits'!AA2510:AA2514)),AVERAGE('20250815_ETF_Options_Exhibits'!AA2510:AA2514),"")</f>
        <v/>
      </c>
    </row>
    <row r="2515">
      <c r="A2515" s="1" t="n">
        <v>45652</v>
      </c>
      <c r="B2515" s="3">
        <f>IF(ISNUMBER(AVERAGE('20250815_ETF_Options_Exhibits'!B2511:B2515)),AVERAGE('20250815_ETF_Options_Exhibits'!B2511:B2515),"")</f>
        <v/>
      </c>
      <c r="C2515" s="3">
        <f>IF(ISNUMBER(AVERAGE('20250815_ETF_Options_Exhibits'!C2511:C2515)),AVERAGE('20250815_ETF_Options_Exhibits'!C2511:C2515),"")</f>
        <v/>
      </c>
      <c r="D2515" s="3">
        <f>IF(ISNUMBER(AVERAGE('20250815_ETF_Options_Exhibits'!D2511:D2515)),AVERAGE('20250815_ETF_Options_Exhibits'!D2511:D2515),"")</f>
        <v/>
      </c>
      <c r="E2515" s="3">
        <f>IF(ISNUMBER(AVERAGE('20250815_ETF_Options_Exhibits'!E2511:E2515)),AVERAGE('20250815_ETF_Options_Exhibits'!E2511:E2515),"")</f>
        <v/>
      </c>
      <c r="F2515" s="3">
        <f>IF(ISNUMBER(AVERAGE('20250815_ETF_Options_Exhibits'!F2511:F2515)),AVERAGE('20250815_ETF_Options_Exhibits'!F2511:F2515),"")</f>
        <v/>
      </c>
      <c r="G2515" s="3">
        <f>IF(ISNUMBER(AVERAGE('20250815_ETF_Options_Exhibits'!G2511:G2515)),AVERAGE('20250815_ETF_Options_Exhibits'!G2511:G2515),"")</f>
        <v/>
      </c>
      <c r="H2515" s="3">
        <f>IF(ISNUMBER(AVERAGE('20250815_ETF_Options_Exhibits'!H2511:H2515)),AVERAGE('20250815_ETF_Options_Exhibits'!H2511:H2515),"")</f>
        <v/>
      </c>
      <c r="I2515" s="3">
        <f>IF(ISNUMBER(AVERAGE('20250815_ETF_Options_Exhibits'!I2511:I2515)),AVERAGE('20250815_ETF_Options_Exhibits'!I2511:I2515),"")</f>
        <v/>
      </c>
      <c r="J2515" s="3">
        <f>IF(ISNUMBER(AVERAGE('20250815_ETF_Options_Exhibits'!J2511:J2515)),AVERAGE('20250815_ETF_Options_Exhibits'!J2511:J2515),"")</f>
        <v/>
      </c>
      <c r="K2515" s="3">
        <f>IF(ISNUMBER(AVERAGE('20250815_ETF_Options_Exhibits'!K2511:K2515)),AVERAGE('20250815_ETF_Options_Exhibits'!K2511:K2515),"")</f>
        <v/>
      </c>
      <c r="L2515" s="3">
        <f>IF(ISNUMBER(AVERAGE('20250815_ETF_Options_Exhibits'!L2511:L2515)),AVERAGE('20250815_ETF_Options_Exhibits'!L2511:L2515),"")</f>
        <v/>
      </c>
      <c r="M2515" s="3">
        <f>IF(ISNUMBER(AVERAGE('20250815_ETF_Options_Exhibits'!M2511:M2515)),AVERAGE('20250815_ETF_Options_Exhibits'!M2511:M2515),"")</f>
        <v/>
      </c>
      <c r="N2515" s="3">
        <f>IF(ISNUMBER(AVERAGE('20250815_ETF_Options_Exhibits'!N2511:N2515)),AVERAGE('20250815_ETF_Options_Exhibits'!N2511:N2515),"")</f>
        <v/>
      </c>
      <c r="O2515" s="3">
        <f>IF(ISNUMBER(AVERAGE('20250815_ETF_Options_Exhibits'!O2511:O2515)),AVERAGE('20250815_ETF_Options_Exhibits'!O2511:O2515),"")</f>
        <v/>
      </c>
      <c r="P2515" s="3">
        <f>IF(ISNUMBER(AVERAGE('20250815_ETF_Options_Exhibits'!P2511:P2515)),AVERAGE('20250815_ETF_Options_Exhibits'!P2511:P2515),"")</f>
        <v/>
      </c>
      <c r="Q2515" s="3">
        <f>IF(ISNUMBER(AVERAGE('20250815_ETF_Options_Exhibits'!Q2511:Q2515)),AVERAGE('20250815_ETF_Options_Exhibits'!Q2511:Q2515),"")</f>
        <v/>
      </c>
      <c r="R2515" s="3">
        <f>IF(ISNUMBER(AVERAGE('20250815_ETF_Options_Exhibits'!R2511:R2515)),AVERAGE('20250815_ETF_Options_Exhibits'!R2511:R2515),"")</f>
        <v/>
      </c>
      <c r="S2515" s="3">
        <f>IF(ISNUMBER(AVERAGE('20250815_ETF_Options_Exhibits'!S2511:S2515)),AVERAGE('20250815_ETF_Options_Exhibits'!S2511:S2515),"")</f>
        <v/>
      </c>
      <c r="T2515" s="3">
        <f>IF(ISNUMBER(AVERAGE('20250815_ETF_Options_Exhibits'!T2511:T2515)),AVERAGE('20250815_ETF_Options_Exhibits'!T2511:T2515),"")</f>
        <v/>
      </c>
      <c r="U2515" s="3">
        <f>IF(ISNUMBER(AVERAGE('20250815_ETF_Options_Exhibits'!U2511:U2515)),AVERAGE('20250815_ETF_Options_Exhibits'!U2511:U2515),"")</f>
        <v/>
      </c>
      <c r="V2515" s="3">
        <f>IF(ISNUMBER(AVERAGE('20250815_ETF_Options_Exhibits'!V2511:V2515)),AVERAGE('20250815_ETF_Options_Exhibits'!V2511:V2515),"")</f>
        <v/>
      </c>
      <c r="W2515" s="3">
        <f>IF(ISNUMBER(AVERAGE('20250815_ETF_Options_Exhibits'!W2511:W2515)),AVERAGE('20250815_ETF_Options_Exhibits'!W2511:W2515),"")</f>
        <v/>
      </c>
      <c r="X2515" s="3">
        <f>IF(ISNUMBER(AVERAGE('20250815_ETF_Options_Exhibits'!X2511:X2515)),AVERAGE('20250815_ETF_Options_Exhibits'!X2511:X2515),"")</f>
        <v/>
      </c>
      <c r="Y2515" s="3">
        <f>IF(ISNUMBER(AVERAGE('20250815_ETF_Options_Exhibits'!Y2511:Y2515)),AVERAGE('20250815_ETF_Options_Exhibits'!Y2511:Y2515),"")</f>
        <v/>
      </c>
      <c r="Z2515" s="3">
        <f>IF(ISNUMBER(AVERAGE('20250815_ETF_Options_Exhibits'!Z2511:Z2515)),AVERAGE('20250815_ETF_Options_Exhibits'!Z2511:Z2515),"")</f>
        <v/>
      </c>
      <c r="AA2515" s="3">
        <f>IF(ISNUMBER(AVERAGE('20250815_ETF_Options_Exhibits'!AA2511:AA2515)),AVERAGE('20250815_ETF_Options_Exhibits'!AA2511:AA2515),"")</f>
        <v/>
      </c>
    </row>
    <row r="2516">
      <c r="A2516" s="1" t="n">
        <v>45653</v>
      </c>
      <c r="B2516" s="3">
        <f>IF(ISNUMBER(AVERAGE('20250815_ETF_Options_Exhibits'!B2512:B2516)),AVERAGE('20250815_ETF_Options_Exhibits'!B2512:B2516),"")</f>
        <v/>
      </c>
      <c r="C2516" s="3">
        <f>IF(ISNUMBER(AVERAGE('20250815_ETF_Options_Exhibits'!C2512:C2516)),AVERAGE('20250815_ETF_Options_Exhibits'!C2512:C2516),"")</f>
        <v/>
      </c>
      <c r="D2516" s="3">
        <f>IF(ISNUMBER(AVERAGE('20250815_ETF_Options_Exhibits'!D2512:D2516)),AVERAGE('20250815_ETF_Options_Exhibits'!D2512:D2516),"")</f>
        <v/>
      </c>
      <c r="E2516" s="3">
        <f>IF(ISNUMBER(AVERAGE('20250815_ETF_Options_Exhibits'!E2512:E2516)),AVERAGE('20250815_ETF_Options_Exhibits'!E2512:E2516),"")</f>
        <v/>
      </c>
      <c r="F2516" s="3">
        <f>IF(ISNUMBER(AVERAGE('20250815_ETF_Options_Exhibits'!F2512:F2516)),AVERAGE('20250815_ETF_Options_Exhibits'!F2512:F2516),"")</f>
        <v/>
      </c>
      <c r="G2516" s="3">
        <f>IF(ISNUMBER(AVERAGE('20250815_ETF_Options_Exhibits'!G2512:G2516)),AVERAGE('20250815_ETF_Options_Exhibits'!G2512:G2516),"")</f>
        <v/>
      </c>
      <c r="H2516" s="3">
        <f>IF(ISNUMBER(AVERAGE('20250815_ETF_Options_Exhibits'!H2512:H2516)),AVERAGE('20250815_ETF_Options_Exhibits'!H2512:H2516),"")</f>
        <v/>
      </c>
      <c r="I2516" s="3">
        <f>IF(ISNUMBER(AVERAGE('20250815_ETF_Options_Exhibits'!I2512:I2516)),AVERAGE('20250815_ETF_Options_Exhibits'!I2512:I2516),"")</f>
        <v/>
      </c>
      <c r="J2516" s="3">
        <f>IF(ISNUMBER(AVERAGE('20250815_ETF_Options_Exhibits'!J2512:J2516)),AVERAGE('20250815_ETF_Options_Exhibits'!J2512:J2516),"")</f>
        <v/>
      </c>
      <c r="K2516" s="3">
        <f>IF(ISNUMBER(AVERAGE('20250815_ETF_Options_Exhibits'!K2512:K2516)),AVERAGE('20250815_ETF_Options_Exhibits'!K2512:K2516),"")</f>
        <v/>
      </c>
      <c r="L2516" s="3">
        <f>IF(ISNUMBER(AVERAGE('20250815_ETF_Options_Exhibits'!L2512:L2516)),AVERAGE('20250815_ETF_Options_Exhibits'!L2512:L2516),"")</f>
        <v/>
      </c>
      <c r="M2516" s="3">
        <f>IF(ISNUMBER(AVERAGE('20250815_ETF_Options_Exhibits'!M2512:M2516)),AVERAGE('20250815_ETF_Options_Exhibits'!M2512:M2516),"")</f>
        <v/>
      </c>
      <c r="N2516" s="3">
        <f>IF(ISNUMBER(AVERAGE('20250815_ETF_Options_Exhibits'!N2512:N2516)),AVERAGE('20250815_ETF_Options_Exhibits'!N2512:N2516),"")</f>
        <v/>
      </c>
      <c r="O2516" s="3">
        <f>IF(ISNUMBER(AVERAGE('20250815_ETF_Options_Exhibits'!O2512:O2516)),AVERAGE('20250815_ETF_Options_Exhibits'!O2512:O2516),"")</f>
        <v/>
      </c>
      <c r="P2516" s="3">
        <f>IF(ISNUMBER(AVERAGE('20250815_ETF_Options_Exhibits'!P2512:P2516)),AVERAGE('20250815_ETF_Options_Exhibits'!P2512:P2516),"")</f>
        <v/>
      </c>
      <c r="Q2516" s="3">
        <f>IF(ISNUMBER(AVERAGE('20250815_ETF_Options_Exhibits'!Q2512:Q2516)),AVERAGE('20250815_ETF_Options_Exhibits'!Q2512:Q2516),"")</f>
        <v/>
      </c>
      <c r="R2516" s="3">
        <f>IF(ISNUMBER(AVERAGE('20250815_ETF_Options_Exhibits'!R2512:R2516)),AVERAGE('20250815_ETF_Options_Exhibits'!R2512:R2516),"")</f>
        <v/>
      </c>
      <c r="S2516" s="3">
        <f>IF(ISNUMBER(AVERAGE('20250815_ETF_Options_Exhibits'!S2512:S2516)),AVERAGE('20250815_ETF_Options_Exhibits'!S2512:S2516),"")</f>
        <v/>
      </c>
      <c r="T2516" s="3">
        <f>IF(ISNUMBER(AVERAGE('20250815_ETF_Options_Exhibits'!T2512:T2516)),AVERAGE('20250815_ETF_Options_Exhibits'!T2512:T2516),"")</f>
        <v/>
      </c>
      <c r="U2516" s="3">
        <f>IF(ISNUMBER(AVERAGE('20250815_ETF_Options_Exhibits'!U2512:U2516)),AVERAGE('20250815_ETF_Options_Exhibits'!U2512:U2516),"")</f>
        <v/>
      </c>
      <c r="V2516" s="3">
        <f>IF(ISNUMBER(AVERAGE('20250815_ETF_Options_Exhibits'!V2512:V2516)),AVERAGE('20250815_ETF_Options_Exhibits'!V2512:V2516),"")</f>
        <v/>
      </c>
      <c r="W2516" s="3">
        <f>IF(ISNUMBER(AVERAGE('20250815_ETF_Options_Exhibits'!W2512:W2516)),AVERAGE('20250815_ETF_Options_Exhibits'!W2512:W2516),"")</f>
        <v/>
      </c>
      <c r="X2516" s="3">
        <f>IF(ISNUMBER(AVERAGE('20250815_ETF_Options_Exhibits'!X2512:X2516)),AVERAGE('20250815_ETF_Options_Exhibits'!X2512:X2516),"")</f>
        <v/>
      </c>
      <c r="Y2516" s="3">
        <f>IF(ISNUMBER(AVERAGE('20250815_ETF_Options_Exhibits'!Y2512:Y2516)),AVERAGE('20250815_ETF_Options_Exhibits'!Y2512:Y2516),"")</f>
        <v/>
      </c>
      <c r="Z2516" s="3">
        <f>IF(ISNUMBER(AVERAGE('20250815_ETF_Options_Exhibits'!Z2512:Z2516)),AVERAGE('20250815_ETF_Options_Exhibits'!Z2512:Z2516),"")</f>
        <v/>
      </c>
      <c r="AA2516" s="3">
        <f>IF(ISNUMBER(AVERAGE('20250815_ETF_Options_Exhibits'!AA2512:AA2516)),AVERAGE('20250815_ETF_Options_Exhibits'!AA2512:AA2516),"")</f>
        <v/>
      </c>
    </row>
    <row r="2517">
      <c r="A2517" s="1" t="n">
        <v>45656</v>
      </c>
      <c r="B2517" s="3">
        <f>IF(ISNUMBER(AVERAGE('20250815_ETF_Options_Exhibits'!B2513:B2517)),AVERAGE('20250815_ETF_Options_Exhibits'!B2513:B2517),"")</f>
        <v/>
      </c>
      <c r="C2517" s="3">
        <f>IF(ISNUMBER(AVERAGE('20250815_ETF_Options_Exhibits'!C2513:C2517)),AVERAGE('20250815_ETF_Options_Exhibits'!C2513:C2517),"")</f>
        <v/>
      </c>
      <c r="D2517" s="3">
        <f>IF(ISNUMBER(AVERAGE('20250815_ETF_Options_Exhibits'!D2513:D2517)),AVERAGE('20250815_ETF_Options_Exhibits'!D2513:D2517),"")</f>
        <v/>
      </c>
      <c r="E2517" s="3">
        <f>IF(ISNUMBER(AVERAGE('20250815_ETF_Options_Exhibits'!E2513:E2517)),AVERAGE('20250815_ETF_Options_Exhibits'!E2513:E2517),"")</f>
        <v/>
      </c>
      <c r="F2517" s="3">
        <f>IF(ISNUMBER(AVERAGE('20250815_ETF_Options_Exhibits'!F2513:F2517)),AVERAGE('20250815_ETF_Options_Exhibits'!F2513:F2517),"")</f>
        <v/>
      </c>
      <c r="G2517" s="3">
        <f>IF(ISNUMBER(AVERAGE('20250815_ETF_Options_Exhibits'!G2513:G2517)),AVERAGE('20250815_ETF_Options_Exhibits'!G2513:G2517),"")</f>
        <v/>
      </c>
      <c r="H2517" s="3">
        <f>IF(ISNUMBER(AVERAGE('20250815_ETF_Options_Exhibits'!H2513:H2517)),AVERAGE('20250815_ETF_Options_Exhibits'!H2513:H2517),"")</f>
        <v/>
      </c>
      <c r="I2517" s="3">
        <f>IF(ISNUMBER(AVERAGE('20250815_ETF_Options_Exhibits'!I2513:I2517)),AVERAGE('20250815_ETF_Options_Exhibits'!I2513:I2517),"")</f>
        <v/>
      </c>
      <c r="J2517" s="3">
        <f>IF(ISNUMBER(AVERAGE('20250815_ETF_Options_Exhibits'!J2513:J2517)),AVERAGE('20250815_ETF_Options_Exhibits'!J2513:J2517),"")</f>
        <v/>
      </c>
      <c r="K2517" s="3">
        <f>IF(ISNUMBER(AVERAGE('20250815_ETF_Options_Exhibits'!K2513:K2517)),AVERAGE('20250815_ETF_Options_Exhibits'!K2513:K2517),"")</f>
        <v/>
      </c>
      <c r="L2517" s="3">
        <f>IF(ISNUMBER(AVERAGE('20250815_ETF_Options_Exhibits'!L2513:L2517)),AVERAGE('20250815_ETF_Options_Exhibits'!L2513:L2517),"")</f>
        <v/>
      </c>
      <c r="M2517" s="3">
        <f>IF(ISNUMBER(AVERAGE('20250815_ETF_Options_Exhibits'!M2513:M2517)),AVERAGE('20250815_ETF_Options_Exhibits'!M2513:M2517),"")</f>
        <v/>
      </c>
      <c r="N2517" s="3">
        <f>IF(ISNUMBER(AVERAGE('20250815_ETF_Options_Exhibits'!N2513:N2517)),AVERAGE('20250815_ETF_Options_Exhibits'!N2513:N2517),"")</f>
        <v/>
      </c>
      <c r="O2517" s="3">
        <f>IF(ISNUMBER(AVERAGE('20250815_ETF_Options_Exhibits'!O2513:O2517)),AVERAGE('20250815_ETF_Options_Exhibits'!O2513:O2517),"")</f>
        <v/>
      </c>
      <c r="P2517" s="3">
        <f>IF(ISNUMBER(AVERAGE('20250815_ETF_Options_Exhibits'!P2513:P2517)),AVERAGE('20250815_ETF_Options_Exhibits'!P2513:P2517),"")</f>
        <v/>
      </c>
      <c r="Q2517" s="3">
        <f>IF(ISNUMBER(AVERAGE('20250815_ETF_Options_Exhibits'!Q2513:Q2517)),AVERAGE('20250815_ETF_Options_Exhibits'!Q2513:Q2517),"")</f>
        <v/>
      </c>
      <c r="R2517" s="3">
        <f>IF(ISNUMBER(AVERAGE('20250815_ETF_Options_Exhibits'!R2513:R2517)),AVERAGE('20250815_ETF_Options_Exhibits'!R2513:R2517),"")</f>
        <v/>
      </c>
      <c r="S2517" s="3">
        <f>IF(ISNUMBER(AVERAGE('20250815_ETF_Options_Exhibits'!S2513:S2517)),AVERAGE('20250815_ETF_Options_Exhibits'!S2513:S2517),"")</f>
        <v/>
      </c>
      <c r="T2517" s="3">
        <f>IF(ISNUMBER(AVERAGE('20250815_ETF_Options_Exhibits'!T2513:T2517)),AVERAGE('20250815_ETF_Options_Exhibits'!T2513:T2517),"")</f>
        <v/>
      </c>
      <c r="U2517" s="3">
        <f>IF(ISNUMBER(AVERAGE('20250815_ETF_Options_Exhibits'!U2513:U2517)),AVERAGE('20250815_ETF_Options_Exhibits'!U2513:U2517),"")</f>
        <v/>
      </c>
      <c r="V2517" s="3">
        <f>IF(ISNUMBER(AVERAGE('20250815_ETF_Options_Exhibits'!V2513:V2517)),AVERAGE('20250815_ETF_Options_Exhibits'!V2513:V2517),"")</f>
        <v/>
      </c>
      <c r="W2517" s="3">
        <f>IF(ISNUMBER(AVERAGE('20250815_ETF_Options_Exhibits'!W2513:W2517)),AVERAGE('20250815_ETF_Options_Exhibits'!W2513:W2517),"")</f>
        <v/>
      </c>
      <c r="X2517" s="3">
        <f>IF(ISNUMBER(AVERAGE('20250815_ETF_Options_Exhibits'!X2513:X2517)),AVERAGE('20250815_ETF_Options_Exhibits'!X2513:X2517),"")</f>
        <v/>
      </c>
      <c r="Y2517" s="3">
        <f>IF(ISNUMBER(AVERAGE('20250815_ETF_Options_Exhibits'!Y2513:Y2517)),AVERAGE('20250815_ETF_Options_Exhibits'!Y2513:Y2517),"")</f>
        <v/>
      </c>
      <c r="Z2517" s="3">
        <f>IF(ISNUMBER(AVERAGE('20250815_ETF_Options_Exhibits'!Z2513:Z2517)),AVERAGE('20250815_ETF_Options_Exhibits'!Z2513:Z2517),"")</f>
        <v/>
      </c>
      <c r="AA2517" s="3">
        <f>IF(ISNUMBER(AVERAGE('20250815_ETF_Options_Exhibits'!AA2513:AA2517)),AVERAGE('20250815_ETF_Options_Exhibits'!AA2513:AA2517),"")</f>
        <v/>
      </c>
    </row>
    <row r="2518">
      <c r="A2518" s="1" t="n">
        <v>45657</v>
      </c>
      <c r="B2518" s="3">
        <f>IF(ISNUMBER(AVERAGE('20250815_ETF_Options_Exhibits'!B2514:B2518)),AVERAGE('20250815_ETF_Options_Exhibits'!B2514:B2518),"")</f>
        <v/>
      </c>
      <c r="C2518" s="3">
        <f>IF(ISNUMBER(AVERAGE('20250815_ETF_Options_Exhibits'!C2514:C2518)),AVERAGE('20250815_ETF_Options_Exhibits'!C2514:C2518),"")</f>
        <v/>
      </c>
      <c r="D2518" s="3">
        <f>IF(ISNUMBER(AVERAGE('20250815_ETF_Options_Exhibits'!D2514:D2518)),AVERAGE('20250815_ETF_Options_Exhibits'!D2514:D2518),"")</f>
        <v/>
      </c>
      <c r="E2518" s="3">
        <f>IF(ISNUMBER(AVERAGE('20250815_ETF_Options_Exhibits'!E2514:E2518)),AVERAGE('20250815_ETF_Options_Exhibits'!E2514:E2518),"")</f>
        <v/>
      </c>
      <c r="F2518" s="3">
        <f>IF(ISNUMBER(AVERAGE('20250815_ETF_Options_Exhibits'!F2514:F2518)),AVERAGE('20250815_ETF_Options_Exhibits'!F2514:F2518),"")</f>
        <v/>
      </c>
      <c r="G2518" s="3">
        <f>IF(ISNUMBER(AVERAGE('20250815_ETF_Options_Exhibits'!G2514:G2518)),AVERAGE('20250815_ETF_Options_Exhibits'!G2514:G2518),"")</f>
        <v/>
      </c>
      <c r="H2518" s="3">
        <f>IF(ISNUMBER(AVERAGE('20250815_ETF_Options_Exhibits'!H2514:H2518)),AVERAGE('20250815_ETF_Options_Exhibits'!H2514:H2518),"")</f>
        <v/>
      </c>
      <c r="I2518" s="3">
        <f>IF(ISNUMBER(AVERAGE('20250815_ETF_Options_Exhibits'!I2514:I2518)),AVERAGE('20250815_ETF_Options_Exhibits'!I2514:I2518),"")</f>
        <v/>
      </c>
      <c r="J2518" s="3">
        <f>IF(ISNUMBER(AVERAGE('20250815_ETF_Options_Exhibits'!J2514:J2518)),AVERAGE('20250815_ETF_Options_Exhibits'!J2514:J2518),"")</f>
        <v/>
      </c>
      <c r="K2518" s="3">
        <f>IF(ISNUMBER(AVERAGE('20250815_ETF_Options_Exhibits'!K2514:K2518)),AVERAGE('20250815_ETF_Options_Exhibits'!K2514:K2518),"")</f>
        <v/>
      </c>
      <c r="L2518" s="3">
        <f>IF(ISNUMBER(AVERAGE('20250815_ETF_Options_Exhibits'!L2514:L2518)),AVERAGE('20250815_ETF_Options_Exhibits'!L2514:L2518),"")</f>
        <v/>
      </c>
      <c r="M2518" s="3">
        <f>IF(ISNUMBER(AVERAGE('20250815_ETF_Options_Exhibits'!M2514:M2518)),AVERAGE('20250815_ETF_Options_Exhibits'!M2514:M2518),"")</f>
        <v/>
      </c>
      <c r="N2518" s="3">
        <f>IF(ISNUMBER(AVERAGE('20250815_ETF_Options_Exhibits'!N2514:N2518)),AVERAGE('20250815_ETF_Options_Exhibits'!N2514:N2518),"")</f>
        <v/>
      </c>
      <c r="O2518" s="3">
        <f>IF(ISNUMBER(AVERAGE('20250815_ETF_Options_Exhibits'!O2514:O2518)),AVERAGE('20250815_ETF_Options_Exhibits'!O2514:O2518),"")</f>
        <v/>
      </c>
      <c r="P2518" s="3">
        <f>IF(ISNUMBER(AVERAGE('20250815_ETF_Options_Exhibits'!P2514:P2518)),AVERAGE('20250815_ETF_Options_Exhibits'!P2514:P2518),"")</f>
        <v/>
      </c>
      <c r="Q2518" s="3">
        <f>IF(ISNUMBER(AVERAGE('20250815_ETF_Options_Exhibits'!Q2514:Q2518)),AVERAGE('20250815_ETF_Options_Exhibits'!Q2514:Q2518),"")</f>
        <v/>
      </c>
      <c r="R2518" s="3">
        <f>IF(ISNUMBER(AVERAGE('20250815_ETF_Options_Exhibits'!R2514:R2518)),AVERAGE('20250815_ETF_Options_Exhibits'!R2514:R2518),"")</f>
        <v/>
      </c>
      <c r="S2518" s="3">
        <f>IF(ISNUMBER(AVERAGE('20250815_ETF_Options_Exhibits'!S2514:S2518)),AVERAGE('20250815_ETF_Options_Exhibits'!S2514:S2518),"")</f>
        <v/>
      </c>
      <c r="T2518" s="3">
        <f>IF(ISNUMBER(AVERAGE('20250815_ETF_Options_Exhibits'!T2514:T2518)),AVERAGE('20250815_ETF_Options_Exhibits'!T2514:T2518),"")</f>
        <v/>
      </c>
      <c r="U2518" s="3">
        <f>IF(ISNUMBER(AVERAGE('20250815_ETF_Options_Exhibits'!U2514:U2518)),AVERAGE('20250815_ETF_Options_Exhibits'!U2514:U2518),"")</f>
        <v/>
      </c>
      <c r="V2518" s="3">
        <f>IF(ISNUMBER(AVERAGE('20250815_ETF_Options_Exhibits'!V2514:V2518)),AVERAGE('20250815_ETF_Options_Exhibits'!V2514:V2518),"")</f>
        <v/>
      </c>
      <c r="W2518" s="3">
        <f>IF(ISNUMBER(AVERAGE('20250815_ETF_Options_Exhibits'!W2514:W2518)),AVERAGE('20250815_ETF_Options_Exhibits'!W2514:W2518),"")</f>
        <v/>
      </c>
      <c r="X2518" s="3">
        <f>IF(ISNUMBER(AVERAGE('20250815_ETF_Options_Exhibits'!X2514:X2518)),AVERAGE('20250815_ETF_Options_Exhibits'!X2514:X2518),"")</f>
        <v/>
      </c>
      <c r="Y2518" s="3">
        <f>IF(ISNUMBER(AVERAGE('20250815_ETF_Options_Exhibits'!Y2514:Y2518)),AVERAGE('20250815_ETF_Options_Exhibits'!Y2514:Y2518),"")</f>
        <v/>
      </c>
      <c r="Z2518" s="3">
        <f>IF(ISNUMBER(AVERAGE('20250815_ETF_Options_Exhibits'!Z2514:Z2518)),AVERAGE('20250815_ETF_Options_Exhibits'!Z2514:Z2518),"")</f>
        <v/>
      </c>
      <c r="AA2518" s="3">
        <f>IF(ISNUMBER(AVERAGE('20250815_ETF_Options_Exhibits'!AA2514:AA2518)),AVERAGE('20250815_ETF_Options_Exhibits'!AA2514:AA2518),"")</f>
        <v/>
      </c>
    </row>
    <row r="2519">
      <c r="A2519" s="1" t="n">
        <v>45659</v>
      </c>
      <c r="B2519" s="3">
        <f>IF(ISNUMBER(AVERAGE('20250815_ETF_Options_Exhibits'!B2515:B2519)),AVERAGE('20250815_ETF_Options_Exhibits'!B2515:B2519),"")</f>
        <v/>
      </c>
      <c r="C2519" s="3">
        <f>IF(ISNUMBER(AVERAGE('20250815_ETF_Options_Exhibits'!C2515:C2519)),AVERAGE('20250815_ETF_Options_Exhibits'!C2515:C2519),"")</f>
        <v/>
      </c>
      <c r="D2519" s="3">
        <f>IF(ISNUMBER(AVERAGE('20250815_ETF_Options_Exhibits'!D2515:D2519)),AVERAGE('20250815_ETF_Options_Exhibits'!D2515:D2519),"")</f>
        <v/>
      </c>
      <c r="E2519" s="3">
        <f>IF(ISNUMBER(AVERAGE('20250815_ETF_Options_Exhibits'!E2515:E2519)),AVERAGE('20250815_ETF_Options_Exhibits'!E2515:E2519),"")</f>
        <v/>
      </c>
      <c r="F2519" s="3">
        <f>IF(ISNUMBER(AVERAGE('20250815_ETF_Options_Exhibits'!F2515:F2519)),AVERAGE('20250815_ETF_Options_Exhibits'!F2515:F2519),"")</f>
        <v/>
      </c>
      <c r="G2519" s="3">
        <f>IF(ISNUMBER(AVERAGE('20250815_ETF_Options_Exhibits'!G2515:G2519)),AVERAGE('20250815_ETF_Options_Exhibits'!G2515:G2519),"")</f>
        <v/>
      </c>
      <c r="H2519" s="3">
        <f>IF(ISNUMBER(AVERAGE('20250815_ETF_Options_Exhibits'!H2515:H2519)),AVERAGE('20250815_ETF_Options_Exhibits'!H2515:H2519),"")</f>
        <v/>
      </c>
      <c r="I2519" s="3">
        <f>IF(ISNUMBER(AVERAGE('20250815_ETF_Options_Exhibits'!I2515:I2519)),AVERAGE('20250815_ETF_Options_Exhibits'!I2515:I2519),"")</f>
        <v/>
      </c>
      <c r="J2519" s="3">
        <f>IF(ISNUMBER(AVERAGE('20250815_ETF_Options_Exhibits'!J2515:J2519)),AVERAGE('20250815_ETF_Options_Exhibits'!J2515:J2519),"")</f>
        <v/>
      </c>
      <c r="K2519" s="3">
        <f>IF(ISNUMBER(AVERAGE('20250815_ETF_Options_Exhibits'!K2515:K2519)),AVERAGE('20250815_ETF_Options_Exhibits'!K2515:K2519),"")</f>
        <v/>
      </c>
      <c r="L2519" s="3">
        <f>IF(ISNUMBER(AVERAGE('20250815_ETF_Options_Exhibits'!L2515:L2519)),AVERAGE('20250815_ETF_Options_Exhibits'!L2515:L2519),"")</f>
        <v/>
      </c>
      <c r="M2519" s="3">
        <f>IF(ISNUMBER(AVERAGE('20250815_ETF_Options_Exhibits'!M2515:M2519)),AVERAGE('20250815_ETF_Options_Exhibits'!M2515:M2519),"")</f>
        <v/>
      </c>
      <c r="N2519" s="3">
        <f>IF(ISNUMBER(AVERAGE('20250815_ETF_Options_Exhibits'!N2515:N2519)),AVERAGE('20250815_ETF_Options_Exhibits'!N2515:N2519),"")</f>
        <v/>
      </c>
      <c r="O2519" s="3">
        <f>IF(ISNUMBER(AVERAGE('20250815_ETF_Options_Exhibits'!O2515:O2519)),AVERAGE('20250815_ETF_Options_Exhibits'!O2515:O2519),"")</f>
        <v/>
      </c>
      <c r="P2519" s="3">
        <f>IF(ISNUMBER(AVERAGE('20250815_ETF_Options_Exhibits'!P2515:P2519)),AVERAGE('20250815_ETF_Options_Exhibits'!P2515:P2519),"")</f>
        <v/>
      </c>
      <c r="Q2519" s="3">
        <f>IF(ISNUMBER(AVERAGE('20250815_ETF_Options_Exhibits'!Q2515:Q2519)),AVERAGE('20250815_ETF_Options_Exhibits'!Q2515:Q2519),"")</f>
        <v/>
      </c>
      <c r="R2519" s="3">
        <f>IF(ISNUMBER(AVERAGE('20250815_ETF_Options_Exhibits'!R2515:R2519)),AVERAGE('20250815_ETF_Options_Exhibits'!R2515:R2519),"")</f>
        <v/>
      </c>
      <c r="S2519" s="3">
        <f>IF(ISNUMBER(AVERAGE('20250815_ETF_Options_Exhibits'!S2515:S2519)),AVERAGE('20250815_ETF_Options_Exhibits'!S2515:S2519),"")</f>
        <v/>
      </c>
      <c r="T2519" s="3">
        <f>IF(ISNUMBER(AVERAGE('20250815_ETF_Options_Exhibits'!T2515:T2519)),AVERAGE('20250815_ETF_Options_Exhibits'!T2515:T2519),"")</f>
        <v/>
      </c>
      <c r="U2519" s="3">
        <f>IF(ISNUMBER(AVERAGE('20250815_ETF_Options_Exhibits'!U2515:U2519)),AVERAGE('20250815_ETF_Options_Exhibits'!U2515:U2519),"")</f>
        <v/>
      </c>
      <c r="V2519" s="3">
        <f>IF(ISNUMBER(AVERAGE('20250815_ETF_Options_Exhibits'!V2515:V2519)),AVERAGE('20250815_ETF_Options_Exhibits'!V2515:V2519),"")</f>
        <v/>
      </c>
      <c r="W2519" s="3">
        <f>IF(ISNUMBER(AVERAGE('20250815_ETF_Options_Exhibits'!W2515:W2519)),AVERAGE('20250815_ETF_Options_Exhibits'!W2515:W2519),"")</f>
        <v/>
      </c>
      <c r="X2519" s="3">
        <f>IF(ISNUMBER(AVERAGE('20250815_ETF_Options_Exhibits'!X2515:X2519)),AVERAGE('20250815_ETF_Options_Exhibits'!X2515:X2519),"")</f>
        <v/>
      </c>
      <c r="Y2519" s="3">
        <f>IF(ISNUMBER(AVERAGE('20250815_ETF_Options_Exhibits'!Y2515:Y2519)),AVERAGE('20250815_ETF_Options_Exhibits'!Y2515:Y2519),"")</f>
        <v/>
      </c>
      <c r="Z2519" s="3">
        <f>IF(ISNUMBER(AVERAGE('20250815_ETF_Options_Exhibits'!Z2515:Z2519)),AVERAGE('20250815_ETF_Options_Exhibits'!Z2515:Z2519),"")</f>
        <v/>
      </c>
      <c r="AA2519" s="3">
        <f>IF(ISNUMBER(AVERAGE('20250815_ETF_Options_Exhibits'!AA2515:AA2519)),AVERAGE('20250815_ETF_Options_Exhibits'!AA2515:AA2519),"")</f>
        <v/>
      </c>
    </row>
    <row r="2520">
      <c r="A2520" s="1" t="n">
        <v>45660</v>
      </c>
      <c r="B2520" s="3">
        <f>IF(ISNUMBER(AVERAGE('20250815_ETF_Options_Exhibits'!B2516:B2520)),AVERAGE('20250815_ETF_Options_Exhibits'!B2516:B2520),"")</f>
        <v/>
      </c>
      <c r="C2520" s="3">
        <f>IF(ISNUMBER(AVERAGE('20250815_ETF_Options_Exhibits'!C2516:C2520)),AVERAGE('20250815_ETF_Options_Exhibits'!C2516:C2520),"")</f>
        <v/>
      </c>
      <c r="D2520" s="3">
        <f>IF(ISNUMBER(AVERAGE('20250815_ETF_Options_Exhibits'!D2516:D2520)),AVERAGE('20250815_ETF_Options_Exhibits'!D2516:D2520),"")</f>
        <v/>
      </c>
      <c r="E2520" s="3">
        <f>IF(ISNUMBER(AVERAGE('20250815_ETF_Options_Exhibits'!E2516:E2520)),AVERAGE('20250815_ETF_Options_Exhibits'!E2516:E2520),"")</f>
        <v/>
      </c>
      <c r="F2520" s="3">
        <f>IF(ISNUMBER(AVERAGE('20250815_ETF_Options_Exhibits'!F2516:F2520)),AVERAGE('20250815_ETF_Options_Exhibits'!F2516:F2520),"")</f>
        <v/>
      </c>
      <c r="G2520" s="3">
        <f>IF(ISNUMBER(AVERAGE('20250815_ETF_Options_Exhibits'!G2516:G2520)),AVERAGE('20250815_ETF_Options_Exhibits'!G2516:G2520),"")</f>
        <v/>
      </c>
      <c r="H2520" s="3">
        <f>IF(ISNUMBER(AVERAGE('20250815_ETF_Options_Exhibits'!H2516:H2520)),AVERAGE('20250815_ETF_Options_Exhibits'!H2516:H2520),"")</f>
        <v/>
      </c>
      <c r="I2520" s="3">
        <f>IF(ISNUMBER(AVERAGE('20250815_ETF_Options_Exhibits'!I2516:I2520)),AVERAGE('20250815_ETF_Options_Exhibits'!I2516:I2520),"")</f>
        <v/>
      </c>
      <c r="J2520" s="3">
        <f>IF(ISNUMBER(AVERAGE('20250815_ETF_Options_Exhibits'!J2516:J2520)),AVERAGE('20250815_ETF_Options_Exhibits'!J2516:J2520),"")</f>
        <v/>
      </c>
      <c r="K2520" s="3">
        <f>IF(ISNUMBER(AVERAGE('20250815_ETF_Options_Exhibits'!K2516:K2520)),AVERAGE('20250815_ETF_Options_Exhibits'!K2516:K2520),"")</f>
        <v/>
      </c>
      <c r="L2520" s="3">
        <f>IF(ISNUMBER(AVERAGE('20250815_ETF_Options_Exhibits'!L2516:L2520)),AVERAGE('20250815_ETF_Options_Exhibits'!L2516:L2520),"")</f>
        <v/>
      </c>
      <c r="M2520" s="3">
        <f>IF(ISNUMBER(AVERAGE('20250815_ETF_Options_Exhibits'!M2516:M2520)),AVERAGE('20250815_ETF_Options_Exhibits'!M2516:M2520),"")</f>
        <v/>
      </c>
      <c r="N2520" s="3">
        <f>IF(ISNUMBER(AVERAGE('20250815_ETF_Options_Exhibits'!N2516:N2520)),AVERAGE('20250815_ETF_Options_Exhibits'!N2516:N2520),"")</f>
        <v/>
      </c>
      <c r="O2520" s="3">
        <f>IF(ISNUMBER(AVERAGE('20250815_ETF_Options_Exhibits'!O2516:O2520)),AVERAGE('20250815_ETF_Options_Exhibits'!O2516:O2520),"")</f>
        <v/>
      </c>
      <c r="P2520" s="3">
        <f>IF(ISNUMBER(AVERAGE('20250815_ETF_Options_Exhibits'!P2516:P2520)),AVERAGE('20250815_ETF_Options_Exhibits'!P2516:P2520),"")</f>
        <v/>
      </c>
      <c r="Q2520" s="3">
        <f>IF(ISNUMBER(AVERAGE('20250815_ETF_Options_Exhibits'!Q2516:Q2520)),AVERAGE('20250815_ETF_Options_Exhibits'!Q2516:Q2520),"")</f>
        <v/>
      </c>
      <c r="R2520" s="3">
        <f>IF(ISNUMBER(AVERAGE('20250815_ETF_Options_Exhibits'!R2516:R2520)),AVERAGE('20250815_ETF_Options_Exhibits'!R2516:R2520),"")</f>
        <v/>
      </c>
      <c r="S2520" s="3">
        <f>IF(ISNUMBER(AVERAGE('20250815_ETF_Options_Exhibits'!S2516:S2520)),AVERAGE('20250815_ETF_Options_Exhibits'!S2516:S2520),"")</f>
        <v/>
      </c>
      <c r="T2520" s="3">
        <f>IF(ISNUMBER(AVERAGE('20250815_ETF_Options_Exhibits'!T2516:T2520)),AVERAGE('20250815_ETF_Options_Exhibits'!T2516:T2520),"")</f>
        <v/>
      </c>
      <c r="U2520" s="3">
        <f>IF(ISNUMBER(AVERAGE('20250815_ETF_Options_Exhibits'!U2516:U2520)),AVERAGE('20250815_ETF_Options_Exhibits'!U2516:U2520),"")</f>
        <v/>
      </c>
      <c r="V2520" s="3">
        <f>IF(ISNUMBER(AVERAGE('20250815_ETF_Options_Exhibits'!V2516:V2520)),AVERAGE('20250815_ETF_Options_Exhibits'!V2516:V2520),"")</f>
        <v/>
      </c>
      <c r="W2520" s="3">
        <f>IF(ISNUMBER(AVERAGE('20250815_ETF_Options_Exhibits'!W2516:W2520)),AVERAGE('20250815_ETF_Options_Exhibits'!W2516:W2520),"")</f>
        <v/>
      </c>
      <c r="X2520" s="3">
        <f>IF(ISNUMBER(AVERAGE('20250815_ETF_Options_Exhibits'!X2516:X2520)),AVERAGE('20250815_ETF_Options_Exhibits'!X2516:X2520),"")</f>
        <v/>
      </c>
      <c r="Y2520" s="3">
        <f>IF(ISNUMBER(AVERAGE('20250815_ETF_Options_Exhibits'!Y2516:Y2520)),AVERAGE('20250815_ETF_Options_Exhibits'!Y2516:Y2520),"")</f>
        <v/>
      </c>
      <c r="Z2520" s="3">
        <f>IF(ISNUMBER(AVERAGE('20250815_ETF_Options_Exhibits'!Z2516:Z2520)),AVERAGE('20250815_ETF_Options_Exhibits'!Z2516:Z2520),"")</f>
        <v/>
      </c>
      <c r="AA2520" s="3">
        <f>IF(ISNUMBER(AVERAGE('20250815_ETF_Options_Exhibits'!AA2516:AA2520)),AVERAGE('20250815_ETF_Options_Exhibits'!AA2516:AA2520),"")</f>
        <v/>
      </c>
    </row>
    <row r="2521">
      <c r="A2521" s="1" t="n">
        <v>45663</v>
      </c>
      <c r="B2521" s="3">
        <f>IF(ISNUMBER(AVERAGE('20250815_ETF_Options_Exhibits'!B2517:B2521)),AVERAGE('20250815_ETF_Options_Exhibits'!B2517:B2521),"")</f>
        <v/>
      </c>
      <c r="C2521" s="3">
        <f>IF(ISNUMBER(AVERAGE('20250815_ETF_Options_Exhibits'!C2517:C2521)),AVERAGE('20250815_ETF_Options_Exhibits'!C2517:C2521),"")</f>
        <v/>
      </c>
      <c r="D2521" s="3">
        <f>IF(ISNUMBER(AVERAGE('20250815_ETF_Options_Exhibits'!D2517:D2521)),AVERAGE('20250815_ETF_Options_Exhibits'!D2517:D2521),"")</f>
        <v/>
      </c>
      <c r="E2521" s="3">
        <f>IF(ISNUMBER(AVERAGE('20250815_ETF_Options_Exhibits'!E2517:E2521)),AVERAGE('20250815_ETF_Options_Exhibits'!E2517:E2521),"")</f>
        <v/>
      </c>
      <c r="F2521" s="3">
        <f>IF(ISNUMBER(AVERAGE('20250815_ETF_Options_Exhibits'!F2517:F2521)),AVERAGE('20250815_ETF_Options_Exhibits'!F2517:F2521),"")</f>
        <v/>
      </c>
      <c r="G2521" s="3">
        <f>IF(ISNUMBER(AVERAGE('20250815_ETF_Options_Exhibits'!G2517:G2521)),AVERAGE('20250815_ETF_Options_Exhibits'!G2517:G2521),"")</f>
        <v/>
      </c>
      <c r="H2521" s="3">
        <f>IF(ISNUMBER(AVERAGE('20250815_ETF_Options_Exhibits'!H2517:H2521)),AVERAGE('20250815_ETF_Options_Exhibits'!H2517:H2521),"")</f>
        <v/>
      </c>
      <c r="I2521" s="3">
        <f>IF(ISNUMBER(AVERAGE('20250815_ETF_Options_Exhibits'!I2517:I2521)),AVERAGE('20250815_ETF_Options_Exhibits'!I2517:I2521),"")</f>
        <v/>
      </c>
      <c r="J2521" s="3">
        <f>IF(ISNUMBER(AVERAGE('20250815_ETF_Options_Exhibits'!J2517:J2521)),AVERAGE('20250815_ETF_Options_Exhibits'!J2517:J2521),"")</f>
        <v/>
      </c>
      <c r="K2521" s="3">
        <f>IF(ISNUMBER(AVERAGE('20250815_ETF_Options_Exhibits'!K2517:K2521)),AVERAGE('20250815_ETF_Options_Exhibits'!K2517:K2521),"")</f>
        <v/>
      </c>
      <c r="L2521" s="3">
        <f>IF(ISNUMBER(AVERAGE('20250815_ETF_Options_Exhibits'!L2517:L2521)),AVERAGE('20250815_ETF_Options_Exhibits'!L2517:L2521),"")</f>
        <v/>
      </c>
      <c r="M2521" s="3">
        <f>IF(ISNUMBER(AVERAGE('20250815_ETF_Options_Exhibits'!M2517:M2521)),AVERAGE('20250815_ETF_Options_Exhibits'!M2517:M2521),"")</f>
        <v/>
      </c>
      <c r="N2521" s="3">
        <f>IF(ISNUMBER(AVERAGE('20250815_ETF_Options_Exhibits'!N2517:N2521)),AVERAGE('20250815_ETF_Options_Exhibits'!N2517:N2521),"")</f>
        <v/>
      </c>
      <c r="O2521" s="3">
        <f>IF(ISNUMBER(AVERAGE('20250815_ETF_Options_Exhibits'!O2517:O2521)),AVERAGE('20250815_ETF_Options_Exhibits'!O2517:O2521),"")</f>
        <v/>
      </c>
      <c r="P2521" s="3">
        <f>IF(ISNUMBER(AVERAGE('20250815_ETF_Options_Exhibits'!P2517:P2521)),AVERAGE('20250815_ETF_Options_Exhibits'!P2517:P2521),"")</f>
        <v/>
      </c>
      <c r="Q2521" s="3">
        <f>IF(ISNUMBER(AVERAGE('20250815_ETF_Options_Exhibits'!Q2517:Q2521)),AVERAGE('20250815_ETF_Options_Exhibits'!Q2517:Q2521),"")</f>
        <v/>
      </c>
      <c r="R2521" s="3">
        <f>IF(ISNUMBER(AVERAGE('20250815_ETF_Options_Exhibits'!R2517:R2521)),AVERAGE('20250815_ETF_Options_Exhibits'!R2517:R2521),"")</f>
        <v/>
      </c>
      <c r="S2521" s="3">
        <f>IF(ISNUMBER(AVERAGE('20250815_ETF_Options_Exhibits'!S2517:S2521)),AVERAGE('20250815_ETF_Options_Exhibits'!S2517:S2521),"")</f>
        <v/>
      </c>
      <c r="T2521" s="3">
        <f>IF(ISNUMBER(AVERAGE('20250815_ETF_Options_Exhibits'!T2517:T2521)),AVERAGE('20250815_ETF_Options_Exhibits'!T2517:T2521),"")</f>
        <v/>
      </c>
      <c r="U2521" s="3">
        <f>IF(ISNUMBER(AVERAGE('20250815_ETF_Options_Exhibits'!U2517:U2521)),AVERAGE('20250815_ETF_Options_Exhibits'!U2517:U2521),"")</f>
        <v/>
      </c>
      <c r="V2521" s="3">
        <f>IF(ISNUMBER(AVERAGE('20250815_ETF_Options_Exhibits'!V2517:V2521)),AVERAGE('20250815_ETF_Options_Exhibits'!V2517:V2521),"")</f>
        <v/>
      </c>
      <c r="W2521" s="3">
        <f>IF(ISNUMBER(AVERAGE('20250815_ETF_Options_Exhibits'!W2517:W2521)),AVERAGE('20250815_ETF_Options_Exhibits'!W2517:W2521),"")</f>
        <v/>
      </c>
      <c r="X2521" s="3">
        <f>IF(ISNUMBER(AVERAGE('20250815_ETF_Options_Exhibits'!X2517:X2521)),AVERAGE('20250815_ETF_Options_Exhibits'!X2517:X2521),"")</f>
        <v/>
      </c>
      <c r="Y2521" s="3">
        <f>IF(ISNUMBER(AVERAGE('20250815_ETF_Options_Exhibits'!Y2517:Y2521)),AVERAGE('20250815_ETF_Options_Exhibits'!Y2517:Y2521),"")</f>
        <v/>
      </c>
      <c r="Z2521" s="3">
        <f>IF(ISNUMBER(AVERAGE('20250815_ETF_Options_Exhibits'!Z2517:Z2521)),AVERAGE('20250815_ETF_Options_Exhibits'!Z2517:Z2521),"")</f>
        <v/>
      </c>
      <c r="AA2521" s="3">
        <f>IF(ISNUMBER(AVERAGE('20250815_ETF_Options_Exhibits'!AA2517:AA2521)),AVERAGE('20250815_ETF_Options_Exhibits'!AA2517:AA2521),"")</f>
        <v/>
      </c>
    </row>
    <row r="2522">
      <c r="A2522" s="1" t="n">
        <v>45664</v>
      </c>
      <c r="B2522" s="3">
        <f>IF(ISNUMBER(AVERAGE('20250815_ETF_Options_Exhibits'!B2518:B2522)),AVERAGE('20250815_ETF_Options_Exhibits'!B2518:B2522),"")</f>
        <v/>
      </c>
      <c r="C2522" s="3">
        <f>IF(ISNUMBER(AVERAGE('20250815_ETF_Options_Exhibits'!C2518:C2522)),AVERAGE('20250815_ETF_Options_Exhibits'!C2518:C2522),"")</f>
        <v/>
      </c>
      <c r="D2522" s="3">
        <f>IF(ISNUMBER(AVERAGE('20250815_ETF_Options_Exhibits'!D2518:D2522)),AVERAGE('20250815_ETF_Options_Exhibits'!D2518:D2522),"")</f>
        <v/>
      </c>
      <c r="E2522" s="3">
        <f>IF(ISNUMBER(AVERAGE('20250815_ETF_Options_Exhibits'!E2518:E2522)),AVERAGE('20250815_ETF_Options_Exhibits'!E2518:E2522),"")</f>
        <v/>
      </c>
      <c r="F2522" s="3">
        <f>IF(ISNUMBER(AVERAGE('20250815_ETF_Options_Exhibits'!F2518:F2522)),AVERAGE('20250815_ETF_Options_Exhibits'!F2518:F2522),"")</f>
        <v/>
      </c>
      <c r="G2522" s="3">
        <f>IF(ISNUMBER(AVERAGE('20250815_ETF_Options_Exhibits'!G2518:G2522)),AVERAGE('20250815_ETF_Options_Exhibits'!G2518:G2522),"")</f>
        <v/>
      </c>
      <c r="H2522" s="3">
        <f>IF(ISNUMBER(AVERAGE('20250815_ETF_Options_Exhibits'!H2518:H2522)),AVERAGE('20250815_ETF_Options_Exhibits'!H2518:H2522),"")</f>
        <v/>
      </c>
      <c r="I2522" s="3">
        <f>IF(ISNUMBER(AVERAGE('20250815_ETF_Options_Exhibits'!I2518:I2522)),AVERAGE('20250815_ETF_Options_Exhibits'!I2518:I2522),"")</f>
        <v/>
      </c>
      <c r="J2522" s="3">
        <f>IF(ISNUMBER(AVERAGE('20250815_ETF_Options_Exhibits'!J2518:J2522)),AVERAGE('20250815_ETF_Options_Exhibits'!J2518:J2522),"")</f>
        <v/>
      </c>
      <c r="K2522" s="3">
        <f>IF(ISNUMBER(AVERAGE('20250815_ETF_Options_Exhibits'!K2518:K2522)),AVERAGE('20250815_ETF_Options_Exhibits'!K2518:K2522),"")</f>
        <v/>
      </c>
      <c r="L2522" s="3">
        <f>IF(ISNUMBER(AVERAGE('20250815_ETF_Options_Exhibits'!L2518:L2522)),AVERAGE('20250815_ETF_Options_Exhibits'!L2518:L2522),"")</f>
        <v/>
      </c>
      <c r="M2522" s="3">
        <f>IF(ISNUMBER(AVERAGE('20250815_ETF_Options_Exhibits'!M2518:M2522)),AVERAGE('20250815_ETF_Options_Exhibits'!M2518:M2522),"")</f>
        <v/>
      </c>
      <c r="N2522" s="3">
        <f>IF(ISNUMBER(AVERAGE('20250815_ETF_Options_Exhibits'!N2518:N2522)),AVERAGE('20250815_ETF_Options_Exhibits'!N2518:N2522),"")</f>
        <v/>
      </c>
      <c r="O2522" s="3">
        <f>IF(ISNUMBER(AVERAGE('20250815_ETF_Options_Exhibits'!O2518:O2522)),AVERAGE('20250815_ETF_Options_Exhibits'!O2518:O2522),"")</f>
        <v/>
      </c>
      <c r="P2522" s="3">
        <f>IF(ISNUMBER(AVERAGE('20250815_ETF_Options_Exhibits'!P2518:P2522)),AVERAGE('20250815_ETF_Options_Exhibits'!P2518:P2522),"")</f>
        <v/>
      </c>
      <c r="Q2522" s="3">
        <f>IF(ISNUMBER(AVERAGE('20250815_ETF_Options_Exhibits'!Q2518:Q2522)),AVERAGE('20250815_ETF_Options_Exhibits'!Q2518:Q2522),"")</f>
        <v/>
      </c>
      <c r="R2522" s="3">
        <f>IF(ISNUMBER(AVERAGE('20250815_ETF_Options_Exhibits'!R2518:R2522)),AVERAGE('20250815_ETF_Options_Exhibits'!R2518:R2522),"")</f>
        <v/>
      </c>
      <c r="S2522" s="3">
        <f>IF(ISNUMBER(AVERAGE('20250815_ETF_Options_Exhibits'!S2518:S2522)),AVERAGE('20250815_ETF_Options_Exhibits'!S2518:S2522),"")</f>
        <v/>
      </c>
      <c r="T2522" s="3">
        <f>IF(ISNUMBER(AVERAGE('20250815_ETF_Options_Exhibits'!T2518:T2522)),AVERAGE('20250815_ETF_Options_Exhibits'!T2518:T2522),"")</f>
        <v/>
      </c>
      <c r="U2522" s="3">
        <f>IF(ISNUMBER(AVERAGE('20250815_ETF_Options_Exhibits'!U2518:U2522)),AVERAGE('20250815_ETF_Options_Exhibits'!U2518:U2522),"")</f>
        <v/>
      </c>
      <c r="V2522" s="3">
        <f>IF(ISNUMBER(AVERAGE('20250815_ETF_Options_Exhibits'!V2518:V2522)),AVERAGE('20250815_ETF_Options_Exhibits'!V2518:V2522),"")</f>
        <v/>
      </c>
      <c r="W2522" s="3">
        <f>IF(ISNUMBER(AVERAGE('20250815_ETF_Options_Exhibits'!W2518:W2522)),AVERAGE('20250815_ETF_Options_Exhibits'!W2518:W2522),"")</f>
        <v/>
      </c>
      <c r="X2522" s="3">
        <f>IF(ISNUMBER(AVERAGE('20250815_ETF_Options_Exhibits'!X2518:X2522)),AVERAGE('20250815_ETF_Options_Exhibits'!X2518:X2522),"")</f>
        <v/>
      </c>
      <c r="Y2522" s="3">
        <f>IF(ISNUMBER(AVERAGE('20250815_ETF_Options_Exhibits'!Y2518:Y2522)),AVERAGE('20250815_ETF_Options_Exhibits'!Y2518:Y2522),"")</f>
        <v/>
      </c>
      <c r="Z2522" s="3">
        <f>IF(ISNUMBER(AVERAGE('20250815_ETF_Options_Exhibits'!Z2518:Z2522)),AVERAGE('20250815_ETF_Options_Exhibits'!Z2518:Z2522),"")</f>
        <v/>
      </c>
      <c r="AA2522" s="3">
        <f>IF(ISNUMBER(AVERAGE('20250815_ETF_Options_Exhibits'!AA2518:AA2522)),AVERAGE('20250815_ETF_Options_Exhibits'!AA2518:AA2522),"")</f>
        <v/>
      </c>
    </row>
    <row r="2523">
      <c r="A2523" s="1" t="n">
        <v>45665</v>
      </c>
      <c r="B2523" s="3">
        <f>IF(ISNUMBER(AVERAGE('20250815_ETF_Options_Exhibits'!B2519:B2523)),AVERAGE('20250815_ETF_Options_Exhibits'!B2519:B2523),"")</f>
        <v/>
      </c>
      <c r="C2523" s="3">
        <f>IF(ISNUMBER(AVERAGE('20250815_ETF_Options_Exhibits'!C2519:C2523)),AVERAGE('20250815_ETF_Options_Exhibits'!C2519:C2523),"")</f>
        <v/>
      </c>
      <c r="D2523" s="3">
        <f>IF(ISNUMBER(AVERAGE('20250815_ETF_Options_Exhibits'!D2519:D2523)),AVERAGE('20250815_ETF_Options_Exhibits'!D2519:D2523),"")</f>
        <v/>
      </c>
      <c r="E2523" s="3">
        <f>IF(ISNUMBER(AVERAGE('20250815_ETF_Options_Exhibits'!E2519:E2523)),AVERAGE('20250815_ETF_Options_Exhibits'!E2519:E2523),"")</f>
        <v/>
      </c>
      <c r="F2523" s="3">
        <f>IF(ISNUMBER(AVERAGE('20250815_ETF_Options_Exhibits'!F2519:F2523)),AVERAGE('20250815_ETF_Options_Exhibits'!F2519:F2523),"")</f>
        <v/>
      </c>
      <c r="G2523" s="3">
        <f>IF(ISNUMBER(AVERAGE('20250815_ETF_Options_Exhibits'!G2519:G2523)),AVERAGE('20250815_ETF_Options_Exhibits'!G2519:G2523),"")</f>
        <v/>
      </c>
      <c r="H2523" s="3">
        <f>IF(ISNUMBER(AVERAGE('20250815_ETF_Options_Exhibits'!H2519:H2523)),AVERAGE('20250815_ETF_Options_Exhibits'!H2519:H2523),"")</f>
        <v/>
      </c>
      <c r="I2523" s="3">
        <f>IF(ISNUMBER(AVERAGE('20250815_ETF_Options_Exhibits'!I2519:I2523)),AVERAGE('20250815_ETF_Options_Exhibits'!I2519:I2523),"")</f>
        <v/>
      </c>
      <c r="J2523" s="3">
        <f>IF(ISNUMBER(AVERAGE('20250815_ETF_Options_Exhibits'!J2519:J2523)),AVERAGE('20250815_ETF_Options_Exhibits'!J2519:J2523),"")</f>
        <v/>
      </c>
      <c r="K2523" s="3">
        <f>IF(ISNUMBER(AVERAGE('20250815_ETF_Options_Exhibits'!K2519:K2523)),AVERAGE('20250815_ETF_Options_Exhibits'!K2519:K2523),"")</f>
        <v/>
      </c>
      <c r="L2523" s="3">
        <f>IF(ISNUMBER(AVERAGE('20250815_ETF_Options_Exhibits'!L2519:L2523)),AVERAGE('20250815_ETF_Options_Exhibits'!L2519:L2523),"")</f>
        <v/>
      </c>
      <c r="M2523" s="3">
        <f>IF(ISNUMBER(AVERAGE('20250815_ETF_Options_Exhibits'!M2519:M2523)),AVERAGE('20250815_ETF_Options_Exhibits'!M2519:M2523),"")</f>
        <v/>
      </c>
      <c r="N2523" s="3">
        <f>IF(ISNUMBER(AVERAGE('20250815_ETF_Options_Exhibits'!N2519:N2523)),AVERAGE('20250815_ETF_Options_Exhibits'!N2519:N2523),"")</f>
        <v/>
      </c>
      <c r="O2523" s="3">
        <f>IF(ISNUMBER(AVERAGE('20250815_ETF_Options_Exhibits'!O2519:O2523)),AVERAGE('20250815_ETF_Options_Exhibits'!O2519:O2523),"")</f>
        <v/>
      </c>
      <c r="P2523" s="3">
        <f>IF(ISNUMBER(AVERAGE('20250815_ETF_Options_Exhibits'!P2519:P2523)),AVERAGE('20250815_ETF_Options_Exhibits'!P2519:P2523),"")</f>
        <v/>
      </c>
      <c r="Q2523" s="3">
        <f>IF(ISNUMBER(AVERAGE('20250815_ETF_Options_Exhibits'!Q2519:Q2523)),AVERAGE('20250815_ETF_Options_Exhibits'!Q2519:Q2523),"")</f>
        <v/>
      </c>
      <c r="R2523" s="3">
        <f>IF(ISNUMBER(AVERAGE('20250815_ETF_Options_Exhibits'!R2519:R2523)),AVERAGE('20250815_ETF_Options_Exhibits'!R2519:R2523),"")</f>
        <v/>
      </c>
      <c r="S2523" s="3">
        <f>IF(ISNUMBER(AVERAGE('20250815_ETF_Options_Exhibits'!S2519:S2523)),AVERAGE('20250815_ETF_Options_Exhibits'!S2519:S2523),"")</f>
        <v/>
      </c>
      <c r="T2523" s="3">
        <f>IF(ISNUMBER(AVERAGE('20250815_ETF_Options_Exhibits'!T2519:T2523)),AVERAGE('20250815_ETF_Options_Exhibits'!T2519:T2523),"")</f>
        <v/>
      </c>
      <c r="U2523" s="3">
        <f>IF(ISNUMBER(AVERAGE('20250815_ETF_Options_Exhibits'!U2519:U2523)),AVERAGE('20250815_ETF_Options_Exhibits'!U2519:U2523),"")</f>
        <v/>
      </c>
      <c r="V2523" s="3">
        <f>IF(ISNUMBER(AVERAGE('20250815_ETF_Options_Exhibits'!V2519:V2523)),AVERAGE('20250815_ETF_Options_Exhibits'!V2519:V2523),"")</f>
        <v/>
      </c>
      <c r="W2523" s="3">
        <f>IF(ISNUMBER(AVERAGE('20250815_ETF_Options_Exhibits'!W2519:W2523)),AVERAGE('20250815_ETF_Options_Exhibits'!W2519:W2523),"")</f>
        <v/>
      </c>
      <c r="X2523" s="3">
        <f>IF(ISNUMBER(AVERAGE('20250815_ETF_Options_Exhibits'!X2519:X2523)),AVERAGE('20250815_ETF_Options_Exhibits'!X2519:X2523),"")</f>
        <v/>
      </c>
      <c r="Y2523" s="3">
        <f>IF(ISNUMBER(AVERAGE('20250815_ETF_Options_Exhibits'!Y2519:Y2523)),AVERAGE('20250815_ETF_Options_Exhibits'!Y2519:Y2523),"")</f>
        <v/>
      </c>
      <c r="Z2523" s="3">
        <f>IF(ISNUMBER(AVERAGE('20250815_ETF_Options_Exhibits'!Z2519:Z2523)),AVERAGE('20250815_ETF_Options_Exhibits'!Z2519:Z2523),"")</f>
        <v/>
      </c>
      <c r="AA2523" s="3">
        <f>IF(ISNUMBER(AVERAGE('20250815_ETF_Options_Exhibits'!AA2519:AA2523)),AVERAGE('20250815_ETF_Options_Exhibits'!AA2519:AA2523),"")</f>
        <v/>
      </c>
    </row>
    <row r="2524">
      <c r="A2524" s="1" t="n">
        <v>45667</v>
      </c>
      <c r="B2524" s="3">
        <f>IF(ISNUMBER(AVERAGE('20250815_ETF_Options_Exhibits'!B2520:B2524)),AVERAGE('20250815_ETF_Options_Exhibits'!B2520:B2524),"")</f>
        <v/>
      </c>
      <c r="C2524" s="3">
        <f>IF(ISNUMBER(AVERAGE('20250815_ETF_Options_Exhibits'!C2520:C2524)),AVERAGE('20250815_ETF_Options_Exhibits'!C2520:C2524),"")</f>
        <v/>
      </c>
      <c r="D2524" s="3">
        <f>IF(ISNUMBER(AVERAGE('20250815_ETF_Options_Exhibits'!D2520:D2524)),AVERAGE('20250815_ETF_Options_Exhibits'!D2520:D2524),"")</f>
        <v/>
      </c>
      <c r="E2524" s="3">
        <f>IF(ISNUMBER(AVERAGE('20250815_ETF_Options_Exhibits'!E2520:E2524)),AVERAGE('20250815_ETF_Options_Exhibits'!E2520:E2524),"")</f>
        <v/>
      </c>
      <c r="F2524" s="3">
        <f>IF(ISNUMBER(AVERAGE('20250815_ETF_Options_Exhibits'!F2520:F2524)),AVERAGE('20250815_ETF_Options_Exhibits'!F2520:F2524),"")</f>
        <v/>
      </c>
      <c r="G2524" s="3">
        <f>IF(ISNUMBER(AVERAGE('20250815_ETF_Options_Exhibits'!G2520:G2524)),AVERAGE('20250815_ETF_Options_Exhibits'!G2520:G2524),"")</f>
        <v/>
      </c>
      <c r="H2524" s="3">
        <f>IF(ISNUMBER(AVERAGE('20250815_ETF_Options_Exhibits'!H2520:H2524)),AVERAGE('20250815_ETF_Options_Exhibits'!H2520:H2524),"")</f>
        <v/>
      </c>
      <c r="I2524" s="3">
        <f>IF(ISNUMBER(AVERAGE('20250815_ETF_Options_Exhibits'!I2520:I2524)),AVERAGE('20250815_ETF_Options_Exhibits'!I2520:I2524),"")</f>
        <v/>
      </c>
      <c r="J2524" s="3">
        <f>IF(ISNUMBER(AVERAGE('20250815_ETF_Options_Exhibits'!J2520:J2524)),AVERAGE('20250815_ETF_Options_Exhibits'!J2520:J2524),"")</f>
        <v/>
      </c>
      <c r="K2524" s="3">
        <f>IF(ISNUMBER(AVERAGE('20250815_ETF_Options_Exhibits'!K2520:K2524)),AVERAGE('20250815_ETF_Options_Exhibits'!K2520:K2524),"")</f>
        <v/>
      </c>
      <c r="L2524" s="3">
        <f>IF(ISNUMBER(AVERAGE('20250815_ETF_Options_Exhibits'!L2520:L2524)),AVERAGE('20250815_ETF_Options_Exhibits'!L2520:L2524),"")</f>
        <v/>
      </c>
      <c r="M2524" s="3">
        <f>IF(ISNUMBER(AVERAGE('20250815_ETF_Options_Exhibits'!M2520:M2524)),AVERAGE('20250815_ETF_Options_Exhibits'!M2520:M2524),"")</f>
        <v/>
      </c>
      <c r="N2524" s="3">
        <f>IF(ISNUMBER(AVERAGE('20250815_ETF_Options_Exhibits'!N2520:N2524)),AVERAGE('20250815_ETF_Options_Exhibits'!N2520:N2524),"")</f>
        <v/>
      </c>
      <c r="O2524" s="3">
        <f>IF(ISNUMBER(AVERAGE('20250815_ETF_Options_Exhibits'!O2520:O2524)),AVERAGE('20250815_ETF_Options_Exhibits'!O2520:O2524),"")</f>
        <v/>
      </c>
      <c r="P2524" s="3">
        <f>IF(ISNUMBER(AVERAGE('20250815_ETF_Options_Exhibits'!P2520:P2524)),AVERAGE('20250815_ETF_Options_Exhibits'!P2520:P2524),"")</f>
        <v/>
      </c>
      <c r="Q2524" s="3">
        <f>IF(ISNUMBER(AVERAGE('20250815_ETF_Options_Exhibits'!Q2520:Q2524)),AVERAGE('20250815_ETF_Options_Exhibits'!Q2520:Q2524),"")</f>
        <v/>
      </c>
      <c r="R2524" s="3">
        <f>IF(ISNUMBER(AVERAGE('20250815_ETF_Options_Exhibits'!R2520:R2524)),AVERAGE('20250815_ETF_Options_Exhibits'!R2520:R2524),"")</f>
        <v/>
      </c>
      <c r="S2524" s="3">
        <f>IF(ISNUMBER(AVERAGE('20250815_ETF_Options_Exhibits'!S2520:S2524)),AVERAGE('20250815_ETF_Options_Exhibits'!S2520:S2524),"")</f>
        <v/>
      </c>
      <c r="T2524" s="3">
        <f>IF(ISNUMBER(AVERAGE('20250815_ETF_Options_Exhibits'!T2520:T2524)),AVERAGE('20250815_ETF_Options_Exhibits'!T2520:T2524),"")</f>
        <v/>
      </c>
      <c r="U2524" s="3">
        <f>IF(ISNUMBER(AVERAGE('20250815_ETF_Options_Exhibits'!U2520:U2524)),AVERAGE('20250815_ETF_Options_Exhibits'!U2520:U2524),"")</f>
        <v/>
      </c>
      <c r="V2524" s="3">
        <f>IF(ISNUMBER(AVERAGE('20250815_ETF_Options_Exhibits'!V2520:V2524)),AVERAGE('20250815_ETF_Options_Exhibits'!V2520:V2524),"")</f>
        <v/>
      </c>
      <c r="W2524" s="3">
        <f>IF(ISNUMBER(AVERAGE('20250815_ETF_Options_Exhibits'!W2520:W2524)),AVERAGE('20250815_ETF_Options_Exhibits'!W2520:W2524),"")</f>
        <v/>
      </c>
      <c r="X2524" s="3">
        <f>IF(ISNUMBER(AVERAGE('20250815_ETF_Options_Exhibits'!X2520:X2524)),AVERAGE('20250815_ETF_Options_Exhibits'!X2520:X2524),"")</f>
        <v/>
      </c>
      <c r="Y2524" s="3">
        <f>IF(ISNUMBER(AVERAGE('20250815_ETF_Options_Exhibits'!Y2520:Y2524)),AVERAGE('20250815_ETF_Options_Exhibits'!Y2520:Y2524),"")</f>
        <v/>
      </c>
      <c r="Z2524" s="3">
        <f>IF(ISNUMBER(AVERAGE('20250815_ETF_Options_Exhibits'!Z2520:Z2524)),AVERAGE('20250815_ETF_Options_Exhibits'!Z2520:Z2524),"")</f>
        <v/>
      </c>
      <c r="AA2524" s="3">
        <f>IF(ISNUMBER(AVERAGE('20250815_ETF_Options_Exhibits'!AA2520:AA2524)),AVERAGE('20250815_ETF_Options_Exhibits'!AA2520:AA2524),"")</f>
        <v/>
      </c>
    </row>
    <row r="2525">
      <c r="A2525" s="1" t="n">
        <v>45670</v>
      </c>
      <c r="B2525" s="3">
        <f>IF(ISNUMBER(AVERAGE('20250815_ETF_Options_Exhibits'!B2521:B2525)),AVERAGE('20250815_ETF_Options_Exhibits'!B2521:B2525),"")</f>
        <v/>
      </c>
      <c r="C2525" s="3">
        <f>IF(ISNUMBER(AVERAGE('20250815_ETF_Options_Exhibits'!C2521:C2525)),AVERAGE('20250815_ETF_Options_Exhibits'!C2521:C2525),"")</f>
        <v/>
      </c>
      <c r="D2525" s="3">
        <f>IF(ISNUMBER(AVERAGE('20250815_ETF_Options_Exhibits'!D2521:D2525)),AVERAGE('20250815_ETF_Options_Exhibits'!D2521:D2525),"")</f>
        <v/>
      </c>
      <c r="E2525" s="3">
        <f>IF(ISNUMBER(AVERAGE('20250815_ETF_Options_Exhibits'!E2521:E2525)),AVERAGE('20250815_ETF_Options_Exhibits'!E2521:E2525),"")</f>
        <v/>
      </c>
      <c r="F2525" s="3">
        <f>IF(ISNUMBER(AVERAGE('20250815_ETF_Options_Exhibits'!F2521:F2525)),AVERAGE('20250815_ETF_Options_Exhibits'!F2521:F2525),"")</f>
        <v/>
      </c>
      <c r="G2525" s="3">
        <f>IF(ISNUMBER(AVERAGE('20250815_ETF_Options_Exhibits'!G2521:G2525)),AVERAGE('20250815_ETF_Options_Exhibits'!G2521:G2525),"")</f>
        <v/>
      </c>
      <c r="H2525" s="3">
        <f>IF(ISNUMBER(AVERAGE('20250815_ETF_Options_Exhibits'!H2521:H2525)),AVERAGE('20250815_ETF_Options_Exhibits'!H2521:H2525),"")</f>
        <v/>
      </c>
      <c r="I2525" s="3">
        <f>IF(ISNUMBER(AVERAGE('20250815_ETF_Options_Exhibits'!I2521:I2525)),AVERAGE('20250815_ETF_Options_Exhibits'!I2521:I2525),"")</f>
        <v/>
      </c>
      <c r="J2525" s="3">
        <f>IF(ISNUMBER(AVERAGE('20250815_ETF_Options_Exhibits'!J2521:J2525)),AVERAGE('20250815_ETF_Options_Exhibits'!J2521:J2525),"")</f>
        <v/>
      </c>
      <c r="K2525" s="3">
        <f>IF(ISNUMBER(AVERAGE('20250815_ETF_Options_Exhibits'!K2521:K2525)),AVERAGE('20250815_ETF_Options_Exhibits'!K2521:K2525),"")</f>
        <v/>
      </c>
      <c r="L2525" s="3">
        <f>IF(ISNUMBER(AVERAGE('20250815_ETF_Options_Exhibits'!L2521:L2525)),AVERAGE('20250815_ETF_Options_Exhibits'!L2521:L2525),"")</f>
        <v/>
      </c>
      <c r="M2525" s="3">
        <f>IF(ISNUMBER(AVERAGE('20250815_ETF_Options_Exhibits'!M2521:M2525)),AVERAGE('20250815_ETF_Options_Exhibits'!M2521:M2525),"")</f>
        <v/>
      </c>
      <c r="N2525" s="3">
        <f>IF(ISNUMBER(AVERAGE('20250815_ETF_Options_Exhibits'!N2521:N2525)),AVERAGE('20250815_ETF_Options_Exhibits'!N2521:N2525),"")</f>
        <v/>
      </c>
      <c r="O2525" s="3">
        <f>IF(ISNUMBER(AVERAGE('20250815_ETF_Options_Exhibits'!O2521:O2525)),AVERAGE('20250815_ETF_Options_Exhibits'!O2521:O2525),"")</f>
        <v/>
      </c>
      <c r="P2525" s="3">
        <f>IF(ISNUMBER(AVERAGE('20250815_ETF_Options_Exhibits'!P2521:P2525)),AVERAGE('20250815_ETF_Options_Exhibits'!P2521:P2525),"")</f>
        <v/>
      </c>
      <c r="Q2525" s="3">
        <f>IF(ISNUMBER(AVERAGE('20250815_ETF_Options_Exhibits'!Q2521:Q2525)),AVERAGE('20250815_ETF_Options_Exhibits'!Q2521:Q2525),"")</f>
        <v/>
      </c>
      <c r="R2525" s="3">
        <f>IF(ISNUMBER(AVERAGE('20250815_ETF_Options_Exhibits'!R2521:R2525)),AVERAGE('20250815_ETF_Options_Exhibits'!R2521:R2525),"")</f>
        <v/>
      </c>
      <c r="S2525" s="3">
        <f>IF(ISNUMBER(AVERAGE('20250815_ETF_Options_Exhibits'!S2521:S2525)),AVERAGE('20250815_ETF_Options_Exhibits'!S2521:S2525),"")</f>
        <v/>
      </c>
      <c r="T2525" s="3">
        <f>IF(ISNUMBER(AVERAGE('20250815_ETF_Options_Exhibits'!T2521:T2525)),AVERAGE('20250815_ETF_Options_Exhibits'!T2521:T2525),"")</f>
        <v/>
      </c>
      <c r="U2525" s="3">
        <f>IF(ISNUMBER(AVERAGE('20250815_ETF_Options_Exhibits'!U2521:U2525)),AVERAGE('20250815_ETF_Options_Exhibits'!U2521:U2525),"")</f>
        <v/>
      </c>
      <c r="V2525" s="3">
        <f>IF(ISNUMBER(AVERAGE('20250815_ETF_Options_Exhibits'!V2521:V2525)),AVERAGE('20250815_ETF_Options_Exhibits'!V2521:V2525),"")</f>
        <v/>
      </c>
      <c r="W2525" s="3">
        <f>IF(ISNUMBER(AVERAGE('20250815_ETF_Options_Exhibits'!W2521:W2525)),AVERAGE('20250815_ETF_Options_Exhibits'!W2521:W2525),"")</f>
        <v/>
      </c>
      <c r="X2525" s="3">
        <f>IF(ISNUMBER(AVERAGE('20250815_ETF_Options_Exhibits'!X2521:X2525)),AVERAGE('20250815_ETF_Options_Exhibits'!X2521:X2525),"")</f>
        <v/>
      </c>
      <c r="Y2525" s="3">
        <f>IF(ISNUMBER(AVERAGE('20250815_ETF_Options_Exhibits'!Y2521:Y2525)),AVERAGE('20250815_ETF_Options_Exhibits'!Y2521:Y2525),"")</f>
        <v/>
      </c>
      <c r="Z2525" s="3">
        <f>IF(ISNUMBER(AVERAGE('20250815_ETF_Options_Exhibits'!Z2521:Z2525)),AVERAGE('20250815_ETF_Options_Exhibits'!Z2521:Z2525),"")</f>
        <v/>
      </c>
      <c r="AA2525" s="3">
        <f>IF(ISNUMBER(AVERAGE('20250815_ETF_Options_Exhibits'!AA2521:AA2525)),AVERAGE('20250815_ETF_Options_Exhibits'!AA2521:AA2525),"")</f>
        <v/>
      </c>
    </row>
    <row r="2526">
      <c r="A2526" s="1" t="n">
        <v>45671</v>
      </c>
      <c r="B2526" s="3">
        <f>IF(ISNUMBER(AVERAGE('20250815_ETF_Options_Exhibits'!B2522:B2526)),AVERAGE('20250815_ETF_Options_Exhibits'!B2522:B2526),"")</f>
        <v/>
      </c>
      <c r="C2526" s="3">
        <f>IF(ISNUMBER(AVERAGE('20250815_ETF_Options_Exhibits'!C2522:C2526)),AVERAGE('20250815_ETF_Options_Exhibits'!C2522:C2526),"")</f>
        <v/>
      </c>
      <c r="D2526" s="3">
        <f>IF(ISNUMBER(AVERAGE('20250815_ETF_Options_Exhibits'!D2522:D2526)),AVERAGE('20250815_ETF_Options_Exhibits'!D2522:D2526),"")</f>
        <v/>
      </c>
      <c r="E2526" s="3">
        <f>IF(ISNUMBER(AVERAGE('20250815_ETF_Options_Exhibits'!E2522:E2526)),AVERAGE('20250815_ETF_Options_Exhibits'!E2522:E2526),"")</f>
        <v/>
      </c>
      <c r="F2526" s="3">
        <f>IF(ISNUMBER(AVERAGE('20250815_ETF_Options_Exhibits'!F2522:F2526)),AVERAGE('20250815_ETF_Options_Exhibits'!F2522:F2526),"")</f>
        <v/>
      </c>
      <c r="G2526" s="3">
        <f>IF(ISNUMBER(AVERAGE('20250815_ETF_Options_Exhibits'!G2522:G2526)),AVERAGE('20250815_ETF_Options_Exhibits'!G2522:G2526),"")</f>
        <v/>
      </c>
      <c r="H2526" s="3">
        <f>IF(ISNUMBER(AVERAGE('20250815_ETF_Options_Exhibits'!H2522:H2526)),AVERAGE('20250815_ETF_Options_Exhibits'!H2522:H2526),"")</f>
        <v/>
      </c>
      <c r="I2526" s="3">
        <f>IF(ISNUMBER(AVERAGE('20250815_ETF_Options_Exhibits'!I2522:I2526)),AVERAGE('20250815_ETF_Options_Exhibits'!I2522:I2526),"")</f>
        <v/>
      </c>
      <c r="J2526" s="3">
        <f>IF(ISNUMBER(AVERAGE('20250815_ETF_Options_Exhibits'!J2522:J2526)),AVERAGE('20250815_ETF_Options_Exhibits'!J2522:J2526),"")</f>
        <v/>
      </c>
      <c r="K2526" s="3">
        <f>IF(ISNUMBER(AVERAGE('20250815_ETF_Options_Exhibits'!K2522:K2526)),AVERAGE('20250815_ETF_Options_Exhibits'!K2522:K2526),"")</f>
        <v/>
      </c>
      <c r="L2526" s="3">
        <f>IF(ISNUMBER(AVERAGE('20250815_ETF_Options_Exhibits'!L2522:L2526)),AVERAGE('20250815_ETF_Options_Exhibits'!L2522:L2526),"")</f>
        <v/>
      </c>
      <c r="M2526" s="3">
        <f>IF(ISNUMBER(AVERAGE('20250815_ETF_Options_Exhibits'!M2522:M2526)),AVERAGE('20250815_ETF_Options_Exhibits'!M2522:M2526),"")</f>
        <v/>
      </c>
      <c r="N2526" s="3">
        <f>IF(ISNUMBER(AVERAGE('20250815_ETF_Options_Exhibits'!N2522:N2526)),AVERAGE('20250815_ETF_Options_Exhibits'!N2522:N2526),"")</f>
        <v/>
      </c>
      <c r="O2526" s="3">
        <f>IF(ISNUMBER(AVERAGE('20250815_ETF_Options_Exhibits'!O2522:O2526)),AVERAGE('20250815_ETF_Options_Exhibits'!O2522:O2526),"")</f>
        <v/>
      </c>
      <c r="P2526" s="3">
        <f>IF(ISNUMBER(AVERAGE('20250815_ETF_Options_Exhibits'!P2522:P2526)),AVERAGE('20250815_ETF_Options_Exhibits'!P2522:P2526),"")</f>
        <v/>
      </c>
      <c r="Q2526" s="3">
        <f>IF(ISNUMBER(AVERAGE('20250815_ETF_Options_Exhibits'!Q2522:Q2526)),AVERAGE('20250815_ETF_Options_Exhibits'!Q2522:Q2526),"")</f>
        <v/>
      </c>
      <c r="R2526" s="3">
        <f>IF(ISNUMBER(AVERAGE('20250815_ETF_Options_Exhibits'!R2522:R2526)),AVERAGE('20250815_ETF_Options_Exhibits'!R2522:R2526),"")</f>
        <v/>
      </c>
      <c r="S2526" s="3">
        <f>IF(ISNUMBER(AVERAGE('20250815_ETF_Options_Exhibits'!S2522:S2526)),AVERAGE('20250815_ETF_Options_Exhibits'!S2522:S2526),"")</f>
        <v/>
      </c>
      <c r="T2526" s="3">
        <f>IF(ISNUMBER(AVERAGE('20250815_ETF_Options_Exhibits'!T2522:T2526)),AVERAGE('20250815_ETF_Options_Exhibits'!T2522:T2526),"")</f>
        <v/>
      </c>
      <c r="U2526" s="3">
        <f>IF(ISNUMBER(AVERAGE('20250815_ETF_Options_Exhibits'!U2522:U2526)),AVERAGE('20250815_ETF_Options_Exhibits'!U2522:U2526),"")</f>
        <v/>
      </c>
      <c r="V2526" s="3">
        <f>IF(ISNUMBER(AVERAGE('20250815_ETF_Options_Exhibits'!V2522:V2526)),AVERAGE('20250815_ETF_Options_Exhibits'!V2522:V2526),"")</f>
        <v/>
      </c>
      <c r="W2526" s="3">
        <f>IF(ISNUMBER(AVERAGE('20250815_ETF_Options_Exhibits'!W2522:W2526)),AVERAGE('20250815_ETF_Options_Exhibits'!W2522:W2526),"")</f>
        <v/>
      </c>
      <c r="X2526" s="3">
        <f>IF(ISNUMBER(AVERAGE('20250815_ETF_Options_Exhibits'!X2522:X2526)),AVERAGE('20250815_ETF_Options_Exhibits'!X2522:X2526),"")</f>
        <v/>
      </c>
      <c r="Y2526" s="3">
        <f>IF(ISNUMBER(AVERAGE('20250815_ETF_Options_Exhibits'!Y2522:Y2526)),AVERAGE('20250815_ETF_Options_Exhibits'!Y2522:Y2526),"")</f>
        <v/>
      </c>
      <c r="Z2526" s="3">
        <f>IF(ISNUMBER(AVERAGE('20250815_ETF_Options_Exhibits'!Z2522:Z2526)),AVERAGE('20250815_ETF_Options_Exhibits'!Z2522:Z2526),"")</f>
        <v/>
      </c>
      <c r="AA2526" s="3">
        <f>IF(ISNUMBER(AVERAGE('20250815_ETF_Options_Exhibits'!AA2522:AA2526)),AVERAGE('20250815_ETF_Options_Exhibits'!AA2522:AA2526),"")</f>
        <v/>
      </c>
    </row>
    <row r="2527">
      <c r="A2527" s="1" t="n">
        <v>45672</v>
      </c>
      <c r="B2527" s="3">
        <f>IF(ISNUMBER(AVERAGE('20250815_ETF_Options_Exhibits'!B2523:B2527)),AVERAGE('20250815_ETF_Options_Exhibits'!B2523:B2527),"")</f>
        <v/>
      </c>
      <c r="C2527" s="3">
        <f>IF(ISNUMBER(AVERAGE('20250815_ETF_Options_Exhibits'!C2523:C2527)),AVERAGE('20250815_ETF_Options_Exhibits'!C2523:C2527),"")</f>
        <v/>
      </c>
      <c r="D2527" s="3">
        <f>IF(ISNUMBER(AVERAGE('20250815_ETF_Options_Exhibits'!D2523:D2527)),AVERAGE('20250815_ETF_Options_Exhibits'!D2523:D2527),"")</f>
        <v/>
      </c>
      <c r="E2527" s="3">
        <f>IF(ISNUMBER(AVERAGE('20250815_ETF_Options_Exhibits'!E2523:E2527)),AVERAGE('20250815_ETF_Options_Exhibits'!E2523:E2527),"")</f>
        <v/>
      </c>
      <c r="F2527" s="3">
        <f>IF(ISNUMBER(AVERAGE('20250815_ETF_Options_Exhibits'!F2523:F2527)),AVERAGE('20250815_ETF_Options_Exhibits'!F2523:F2527),"")</f>
        <v/>
      </c>
      <c r="G2527" s="3">
        <f>IF(ISNUMBER(AVERAGE('20250815_ETF_Options_Exhibits'!G2523:G2527)),AVERAGE('20250815_ETF_Options_Exhibits'!G2523:G2527),"")</f>
        <v/>
      </c>
      <c r="H2527" s="3">
        <f>IF(ISNUMBER(AVERAGE('20250815_ETF_Options_Exhibits'!H2523:H2527)),AVERAGE('20250815_ETF_Options_Exhibits'!H2523:H2527),"")</f>
        <v/>
      </c>
      <c r="I2527" s="3">
        <f>IF(ISNUMBER(AVERAGE('20250815_ETF_Options_Exhibits'!I2523:I2527)),AVERAGE('20250815_ETF_Options_Exhibits'!I2523:I2527),"")</f>
        <v/>
      </c>
      <c r="J2527" s="3">
        <f>IF(ISNUMBER(AVERAGE('20250815_ETF_Options_Exhibits'!J2523:J2527)),AVERAGE('20250815_ETF_Options_Exhibits'!J2523:J2527),"")</f>
        <v/>
      </c>
      <c r="K2527" s="3">
        <f>IF(ISNUMBER(AVERAGE('20250815_ETF_Options_Exhibits'!K2523:K2527)),AVERAGE('20250815_ETF_Options_Exhibits'!K2523:K2527),"")</f>
        <v/>
      </c>
      <c r="L2527" s="3">
        <f>IF(ISNUMBER(AVERAGE('20250815_ETF_Options_Exhibits'!L2523:L2527)),AVERAGE('20250815_ETF_Options_Exhibits'!L2523:L2527),"")</f>
        <v/>
      </c>
      <c r="M2527" s="3">
        <f>IF(ISNUMBER(AVERAGE('20250815_ETF_Options_Exhibits'!M2523:M2527)),AVERAGE('20250815_ETF_Options_Exhibits'!M2523:M2527),"")</f>
        <v/>
      </c>
      <c r="N2527" s="3">
        <f>IF(ISNUMBER(AVERAGE('20250815_ETF_Options_Exhibits'!N2523:N2527)),AVERAGE('20250815_ETF_Options_Exhibits'!N2523:N2527),"")</f>
        <v/>
      </c>
      <c r="O2527" s="3">
        <f>IF(ISNUMBER(AVERAGE('20250815_ETF_Options_Exhibits'!O2523:O2527)),AVERAGE('20250815_ETF_Options_Exhibits'!O2523:O2527),"")</f>
        <v/>
      </c>
      <c r="P2527" s="3">
        <f>IF(ISNUMBER(AVERAGE('20250815_ETF_Options_Exhibits'!P2523:P2527)),AVERAGE('20250815_ETF_Options_Exhibits'!P2523:P2527),"")</f>
        <v/>
      </c>
      <c r="Q2527" s="3">
        <f>IF(ISNUMBER(AVERAGE('20250815_ETF_Options_Exhibits'!Q2523:Q2527)),AVERAGE('20250815_ETF_Options_Exhibits'!Q2523:Q2527),"")</f>
        <v/>
      </c>
      <c r="R2527" s="3">
        <f>IF(ISNUMBER(AVERAGE('20250815_ETF_Options_Exhibits'!R2523:R2527)),AVERAGE('20250815_ETF_Options_Exhibits'!R2523:R2527),"")</f>
        <v/>
      </c>
      <c r="S2527" s="3">
        <f>IF(ISNUMBER(AVERAGE('20250815_ETF_Options_Exhibits'!S2523:S2527)),AVERAGE('20250815_ETF_Options_Exhibits'!S2523:S2527),"")</f>
        <v/>
      </c>
      <c r="T2527" s="3">
        <f>IF(ISNUMBER(AVERAGE('20250815_ETF_Options_Exhibits'!T2523:T2527)),AVERAGE('20250815_ETF_Options_Exhibits'!T2523:T2527),"")</f>
        <v/>
      </c>
      <c r="U2527" s="3">
        <f>IF(ISNUMBER(AVERAGE('20250815_ETF_Options_Exhibits'!U2523:U2527)),AVERAGE('20250815_ETF_Options_Exhibits'!U2523:U2527),"")</f>
        <v/>
      </c>
      <c r="V2527" s="3">
        <f>IF(ISNUMBER(AVERAGE('20250815_ETF_Options_Exhibits'!V2523:V2527)),AVERAGE('20250815_ETF_Options_Exhibits'!V2523:V2527),"")</f>
        <v/>
      </c>
      <c r="W2527" s="3">
        <f>IF(ISNUMBER(AVERAGE('20250815_ETF_Options_Exhibits'!W2523:W2527)),AVERAGE('20250815_ETF_Options_Exhibits'!W2523:W2527),"")</f>
        <v/>
      </c>
      <c r="X2527" s="3">
        <f>IF(ISNUMBER(AVERAGE('20250815_ETF_Options_Exhibits'!X2523:X2527)),AVERAGE('20250815_ETF_Options_Exhibits'!X2523:X2527),"")</f>
        <v/>
      </c>
      <c r="Y2527" s="3">
        <f>IF(ISNUMBER(AVERAGE('20250815_ETF_Options_Exhibits'!Y2523:Y2527)),AVERAGE('20250815_ETF_Options_Exhibits'!Y2523:Y2527),"")</f>
        <v/>
      </c>
      <c r="Z2527" s="3">
        <f>IF(ISNUMBER(AVERAGE('20250815_ETF_Options_Exhibits'!Z2523:Z2527)),AVERAGE('20250815_ETF_Options_Exhibits'!Z2523:Z2527),"")</f>
        <v/>
      </c>
      <c r="AA2527" s="3">
        <f>IF(ISNUMBER(AVERAGE('20250815_ETF_Options_Exhibits'!AA2523:AA2527)),AVERAGE('20250815_ETF_Options_Exhibits'!AA2523:AA2527),"")</f>
        <v/>
      </c>
    </row>
    <row r="2528">
      <c r="A2528" s="1" t="n">
        <v>45673</v>
      </c>
      <c r="B2528" s="3">
        <f>IF(ISNUMBER(AVERAGE('20250815_ETF_Options_Exhibits'!B2524:B2528)),AVERAGE('20250815_ETF_Options_Exhibits'!B2524:B2528),"")</f>
        <v/>
      </c>
      <c r="C2528" s="3">
        <f>IF(ISNUMBER(AVERAGE('20250815_ETF_Options_Exhibits'!C2524:C2528)),AVERAGE('20250815_ETF_Options_Exhibits'!C2524:C2528),"")</f>
        <v/>
      </c>
      <c r="D2528" s="3">
        <f>IF(ISNUMBER(AVERAGE('20250815_ETF_Options_Exhibits'!D2524:D2528)),AVERAGE('20250815_ETF_Options_Exhibits'!D2524:D2528),"")</f>
        <v/>
      </c>
      <c r="E2528" s="3">
        <f>IF(ISNUMBER(AVERAGE('20250815_ETF_Options_Exhibits'!E2524:E2528)),AVERAGE('20250815_ETF_Options_Exhibits'!E2524:E2528),"")</f>
        <v/>
      </c>
      <c r="F2528" s="3">
        <f>IF(ISNUMBER(AVERAGE('20250815_ETF_Options_Exhibits'!F2524:F2528)),AVERAGE('20250815_ETF_Options_Exhibits'!F2524:F2528),"")</f>
        <v/>
      </c>
      <c r="G2528" s="3">
        <f>IF(ISNUMBER(AVERAGE('20250815_ETF_Options_Exhibits'!G2524:G2528)),AVERAGE('20250815_ETF_Options_Exhibits'!G2524:G2528),"")</f>
        <v/>
      </c>
      <c r="H2528" s="3">
        <f>IF(ISNUMBER(AVERAGE('20250815_ETF_Options_Exhibits'!H2524:H2528)),AVERAGE('20250815_ETF_Options_Exhibits'!H2524:H2528),"")</f>
        <v/>
      </c>
      <c r="I2528" s="3">
        <f>IF(ISNUMBER(AVERAGE('20250815_ETF_Options_Exhibits'!I2524:I2528)),AVERAGE('20250815_ETF_Options_Exhibits'!I2524:I2528),"")</f>
        <v/>
      </c>
      <c r="J2528" s="3">
        <f>IF(ISNUMBER(AVERAGE('20250815_ETF_Options_Exhibits'!J2524:J2528)),AVERAGE('20250815_ETF_Options_Exhibits'!J2524:J2528),"")</f>
        <v/>
      </c>
      <c r="K2528" s="3">
        <f>IF(ISNUMBER(AVERAGE('20250815_ETF_Options_Exhibits'!K2524:K2528)),AVERAGE('20250815_ETF_Options_Exhibits'!K2524:K2528),"")</f>
        <v/>
      </c>
      <c r="L2528" s="3">
        <f>IF(ISNUMBER(AVERAGE('20250815_ETF_Options_Exhibits'!L2524:L2528)),AVERAGE('20250815_ETF_Options_Exhibits'!L2524:L2528),"")</f>
        <v/>
      </c>
      <c r="M2528" s="3">
        <f>IF(ISNUMBER(AVERAGE('20250815_ETF_Options_Exhibits'!M2524:M2528)),AVERAGE('20250815_ETF_Options_Exhibits'!M2524:M2528),"")</f>
        <v/>
      </c>
      <c r="N2528" s="3">
        <f>IF(ISNUMBER(AVERAGE('20250815_ETF_Options_Exhibits'!N2524:N2528)),AVERAGE('20250815_ETF_Options_Exhibits'!N2524:N2528),"")</f>
        <v/>
      </c>
      <c r="O2528" s="3">
        <f>IF(ISNUMBER(AVERAGE('20250815_ETF_Options_Exhibits'!O2524:O2528)),AVERAGE('20250815_ETF_Options_Exhibits'!O2524:O2528),"")</f>
        <v/>
      </c>
      <c r="P2528" s="3">
        <f>IF(ISNUMBER(AVERAGE('20250815_ETF_Options_Exhibits'!P2524:P2528)),AVERAGE('20250815_ETF_Options_Exhibits'!P2524:P2528),"")</f>
        <v/>
      </c>
      <c r="Q2528" s="3">
        <f>IF(ISNUMBER(AVERAGE('20250815_ETF_Options_Exhibits'!Q2524:Q2528)),AVERAGE('20250815_ETF_Options_Exhibits'!Q2524:Q2528),"")</f>
        <v/>
      </c>
      <c r="R2528" s="3">
        <f>IF(ISNUMBER(AVERAGE('20250815_ETF_Options_Exhibits'!R2524:R2528)),AVERAGE('20250815_ETF_Options_Exhibits'!R2524:R2528),"")</f>
        <v/>
      </c>
      <c r="S2528" s="3">
        <f>IF(ISNUMBER(AVERAGE('20250815_ETF_Options_Exhibits'!S2524:S2528)),AVERAGE('20250815_ETF_Options_Exhibits'!S2524:S2528),"")</f>
        <v/>
      </c>
      <c r="T2528" s="3">
        <f>IF(ISNUMBER(AVERAGE('20250815_ETF_Options_Exhibits'!T2524:T2528)),AVERAGE('20250815_ETF_Options_Exhibits'!T2524:T2528),"")</f>
        <v/>
      </c>
      <c r="U2528" s="3">
        <f>IF(ISNUMBER(AVERAGE('20250815_ETF_Options_Exhibits'!U2524:U2528)),AVERAGE('20250815_ETF_Options_Exhibits'!U2524:U2528),"")</f>
        <v/>
      </c>
      <c r="V2528" s="3">
        <f>IF(ISNUMBER(AVERAGE('20250815_ETF_Options_Exhibits'!V2524:V2528)),AVERAGE('20250815_ETF_Options_Exhibits'!V2524:V2528),"")</f>
        <v/>
      </c>
      <c r="W2528" s="3">
        <f>IF(ISNUMBER(AVERAGE('20250815_ETF_Options_Exhibits'!W2524:W2528)),AVERAGE('20250815_ETF_Options_Exhibits'!W2524:W2528),"")</f>
        <v/>
      </c>
      <c r="X2528" s="3">
        <f>IF(ISNUMBER(AVERAGE('20250815_ETF_Options_Exhibits'!X2524:X2528)),AVERAGE('20250815_ETF_Options_Exhibits'!X2524:X2528),"")</f>
        <v/>
      </c>
      <c r="Y2528" s="3">
        <f>IF(ISNUMBER(AVERAGE('20250815_ETF_Options_Exhibits'!Y2524:Y2528)),AVERAGE('20250815_ETF_Options_Exhibits'!Y2524:Y2528),"")</f>
        <v/>
      </c>
      <c r="Z2528" s="3">
        <f>IF(ISNUMBER(AVERAGE('20250815_ETF_Options_Exhibits'!Z2524:Z2528)),AVERAGE('20250815_ETF_Options_Exhibits'!Z2524:Z2528),"")</f>
        <v/>
      </c>
      <c r="AA2528" s="3">
        <f>IF(ISNUMBER(AVERAGE('20250815_ETF_Options_Exhibits'!AA2524:AA2528)),AVERAGE('20250815_ETF_Options_Exhibits'!AA2524:AA2528),"")</f>
        <v/>
      </c>
    </row>
    <row r="2529">
      <c r="A2529" s="1" t="n">
        <v>45674</v>
      </c>
      <c r="B2529" s="3">
        <f>IF(ISNUMBER(AVERAGE('20250815_ETF_Options_Exhibits'!B2525:B2529)),AVERAGE('20250815_ETF_Options_Exhibits'!B2525:B2529),"")</f>
        <v/>
      </c>
      <c r="C2529" s="3">
        <f>IF(ISNUMBER(AVERAGE('20250815_ETF_Options_Exhibits'!C2525:C2529)),AVERAGE('20250815_ETF_Options_Exhibits'!C2525:C2529),"")</f>
        <v/>
      </c>
      <c r="D2529" s="3">
        <f>IF(ISNUMBER(AVERAGE('20250815_ETF_Options_Exhibits'!D2525:D2529)),AVERAGE('20250815_ETF_Options_Exhibits'!D2525:D2529),"")</f>
        <v/>
      </c>
      <c r="E2529" s="3">
        <f>IF(ISNUMBER(AVERAGE('20250815_ETF_Options_Exhibits'!E2525:E2529)),AVERAGE('20250815_ETF_Options_Exhibits'!E2525:E2529),"")</f>
        <v/>
      </c>
      <c r="F2529" s="3">
        <f>IF(ISNUMBER(AVERAGE('20250815_ETF_Options_Exhibits'!F2525:F2529)),AVERAGE('20250815_ETF_Options_Exhibits'!F2525:F2529),"")</f>
        <v/>
      </c>
      <c r="G2529" s="3">
        <f>IF(ISNUMBER(AVERAGE('20250815_ETF_Options_Exhibits'!G2525:G2529)),AVERAGE('20250815_ETF_Options_Exhibits'!G2525:G2529),"")</f>
        <v/>
      </c>
      <c r="H2529" s="3">
        <f>IF(ISNUMBER(AVERAGE('20250815_ETF_Options_Exhibits'!H2525:H2529)),AVERAGE('20250815_ETF_Options_Exhibits'!H2525:H2529),"")</f>
        <v/>
      </c>
      <c r="I2529" s="3">
        <f>IF(ISNUMBER(AVERAGE('20250815_ETF_Options_Exhibits'!I2525:I2529)),AVERAGE('20250815_ETF_Options_Exhibits'!I2525:I2529),"")</f>
        <v/>
      </c>
      <c r="J2529" s="3">
        <f>IF(ISNUMBER(AVERAGE('20250815_ETF_Options_Exhibits'!J2525:J2529)),AVERAGE('20250815_ETF_Options_Exhibits'!J2525:J2529),"")</f>
        <v/>
      </c>
      <c r="K2529" s="3">
        <f>IF(ISNUMBER(AVERAGE('20250815_ETF_Options_Exhibits'!K2525:K2529)),AVERAGE('20250815_ETF_Options_Exhibits'!K2525:K2529),"")</f>
        <v/>
      </c>
      <c r="L2529" s="3">
        <f>IF(ISNUMBER(AVERAGE('20250815_ETF_Options_Exhibits'!L2525:L2529)),AVERAGE('20250815_ETF_Options_Exhibits'!L2525:L2529),"")</f>
        <v/>
      </c>
      <c r="M2529" s="3">
        <f>IF(ISNUMBER(AVERAGE('20250815_ETF_Options_Exhibits'!M2525:M2529)),AVERAGE('20250815_ETF_Options_Exhibits'!M2525:M2529),"")</f>
        <v/>
      </c>
      <c r="N2529" s="3">
        <f>IF(ISNUMBER(AVERAGE('20250815_ETF_Options_Exhibits'!N2525:N2529)),AVERAGE('20250815_ETF_Options_Exhibits'!N2525:N2529),"")</f>
        <v/>
      </c>
      <c r="O2529" s="3">
        <f>IF(ISNUMBER(AVERAGE('20250815_ETF_Options_Exhibits'!O2525:O2529)),AVERAGE('20250815_ETF_Options_Exhibits'!O2525:O2529),"")</f>
        <v/>
      </c>
      <c r="P2529" s="3">
        <f>IF(ISNUMBER(AVERAGE('20250815_ETF_Options_Exhibits'!P2525:P2529)),AVERAGE('20250815_ETF_Options_Exhibits'!P2525:P2529),"")</f>
        <v/>
      </c>
      <c r="Q2529" s="3">
        <f>IF(ISNUMBER(AVERAGE('20250815_ETF_Options_Exhibits'!Q2525:Q2529)),AVERAGE('20250815_ETF_Options_Exhibits'!Q2525:Q2529),"")</f>
        <v/>
      </c>
      <c r="R2529" s="3">
        <f>IF(ISNUMBER(AVERAGE('20250815_ETF_Options_Exhibits'!R2525:R2529)),AVERAGE('20250815_ETF_Options_Exhibits'!R2525:R2529),"")</f>
        <v/>
      </c>
      <c r="S2529" s="3">
        <f>IF(ISNUMBER(AVERAGE('20250815_ETF_Options_Exhibits'!S2525:S2529)),AVERAGE('20250815_ETF_Options_Exhibits'!S2525:S2529),"")</f>
        <v/>
      </c>
      <c r="T2529" s="3">
        <f>IF(ISNUMBER(AVERAGE('20250815_ETF_Options_Exhibits'!T2525:T2529)),AVERAGE('20250815_ETF_Options_Exhibits'!T2525:T2529),"")</f>
        <v/>
      </c>
      <c r="U2529" s="3">
        <f>IF(ISNUMBER(AVERAGE('20250815_ETF_Options_Exhibits'!U2525:U2529)),AVERAGE('20250815_ETF_Options_Exhibits'!U2525:U2529),"")</f>
        <v/>
      </c>
      <c r="V2529" s="3">
        <f>IF(ISNUMBER(AVERAGE('20250815_ETF_Options_Exhibits'!V2525:V2529)),AVERAGE('20250815_ETF_Options_Exhibits'!V2525:V2529),"")</f>
        <v/>
      </c>
      <c r="W2529" s="3">
        <f>IF(ISNUMBER(AVERAGE('20250815_ETF_Options_Exhibits'!W2525:W2529)),AVERAGE('20250815_ETF_Options_Exhibits'!W2525:W2529),"")</f>
        <v/>
      </c>
      <c r="X2529" s="3">
        <f>IF(ISNUMBER(AVERAGE('20250815_ETF_Options_Exhibits'!X2525:X2529)),AVERAGE('20250815_ETF_Options_Exhibits'!X2525:X2529),"")</f>
        <v/>
      </c>
      <c r="Y2529" s="3">
        <f>IF(ISNUMBER(AVERAGE('20250815_ETF_Options_Exhibits'!Y2525:Y2529)),AVERAGE('20250815_ETF_Options_Exhibits'!Y2525:Y2529),"")</f>
        <v/>
      </c>
      <c r="Z2529" s="3">
        <f>IF(ISNUMBER(AVERAGE('20250815_ETF_Options_Exhibits'!Z2525:Z2529)),AVERAGE('20250815_ETF_Options_Exhibits'!Z2525:Z2529),"")</f>
        <v/>
      </c>
      <c r="AA2529" s="3">
        <f>IF(ISNUMBER(AVERAGE('20250815_ETF_Options_Exhibits'!AA2525:AA2529)),AVERAGE('20250815_ETF_Options_Exhibits'!AA2525:AA2529),"")</f>
        <v/>
      </c>
    </row>
    <row r="2530">
      <c r="A2530" s="1" t="n">
        <v>45678</v>
      </c>
      <c r="B2530" s="3">
        <f>IF(ISNUMBER(AVERAGE('20250815_ETF_Options_Exhibits'!B2526:B2530)),AVERAGE('20250815_ETF_Options_Exhibits'!B2526:B2530),"")</f>
        <v/>
      </c>
      <c r="C2530" s="3">
        <f>IF(ISNUMBER(AVERAGE('20250815_ETF_Options_Exhibits'!C2526:C2530)),AVERAGE('20250815_ETF_Options_Exhibits'!C2526:C2530),"")</f>
        <v/>
      </c>
      <c r="D2530" s="3">
        <f>IF(ISNUMBER(AVERAGE('20250815_ETF_Options_Exhibits'!D2526:D2530)),AVERAGE('20250815_ETF_Options_Exhibits'!D2526:D2530),"")</f>
        <v/>
      </c>
      <c r="E2530" s="3">
        <f>IF(ISNUMBER(AVERAGE('20250815_ETF_Options_Exhibits'!E2526:E2530)),AVERAGE('20250815_ETF_Options_Exhibits'!E2526:E2530),"")</f>
        <v/>
      </c>
      <c r="F2530" s="3">
        <f>IF(ISNUMBER(AVERAGE('20250815_ETF_Options_Exhibits'!F2526:F2530)),AVERAGE('20250815_ETF_Options_Exhibits'!F2526:F2530),"")</f>
        <v/>
      </c>
      <c r="G2530" s="3">
        <f>IF(ISNUMBER(AVERAGE('20250815_ETF_Options_Exhibits'!G2526:G2530)),AVERAGE('20250815_ETF_Options_Exhibits'!G2526:G2530),"")</f>
        <v/>
      </c>
      <c r="H2530" s="3">
        <f>IF(ISNUMBER(AVERAGE('20250815_ETF_Options_Exhibits'!H2526:H2530)),AVERAGE('20250815_ETF_Options_Exhibits'!H2526:H2530),"")</f>
        <v/>
      </c>
      <c r="I2530" s="3">
        <f>IF(ISNUMBER(AVERAGE('20250815_ETF_Options_Exhibits'!I2526:I2530)),AVERAGE('20250815_ETF_Options_Exhibits'!I2526:I2530),"")</f>
        <v/>
      </c>
      <c r="J2530" s="3">
        <f>IF(ISNUMBER(AVERAGE('20250815_ETF_Options_Exhibits'!J2526:J2530)),AVERAGE('20250815_ETF_Options_Exhibits'!J2526:J2530),"")</f>
        <v/>
      </c>
      <c r="K2530" s="3">
        <f>IF(ISNUMBER(AVERAGE('20250815_ETF_Options_Exhibits'!K2526:K2530)),AVERAGE('20250815_ETF_Options_Exhibits'!K2526:K2530),"")</f>
        <v/>
      </c>
      <c r="L2530" s="3">
        <f>IF(ISNUMBER(AVERAGE('20250815_ETF_Options_Exhibits'!L2526:L2530)),AVERAGE('20250815_ETF_Options_Exhibits'!L2526:L2530),"")</f>
        <v/>
      </c>
      <c r="M2530" s="3">
        <f>IF(ISNUMBER(AVERAGE('20250815_ETF_Options_Exhibits'!M2526:M2530)),AVERAGE('20250815_ETF_Options_Exhibits'!M2526:M2530),"")</f>
        <v/>
      </c>
      <c r="N2530" s="3">
        <f>IF(ISNUMBER(AVERAGE('20250815_ETF_Options_Exhibits'!N2526:N2530)),AVERAGE('20250815_ETF_Options_Exhibits'!N2526:N2530),"")</f>
        <v/>
      </c>
      <c r="O2530" s="3">
        <f>IF(ISNUMBER(AVERAGE('20250815_ETF_Options_Exhibits'!O2526:O2530)),AVERAGE('20250815_ETF_Options_Exhibits'!O2526:O2530),"")</f>
        <v/>
      </c>
      <c r="P2530" s="3">
        <f>IF(ISNUMBER(AVERAGE('20250815_ETF_Options_Exhibits'!P2526:P2530)),AVERAGE('20250815_ETF_Options_Exhibits'!P2526:P2530),"")</f>
        <v/>
      </c>
      <c r="Q2530" s="3">
        <f>IF(ISNUMBER(AVERAGE('20250815_ETF_Options_Exhibits'!Q2526:Q2530)),AVERAGE('20250815_ETF_Options_Exhibits'!Q2526:Q2530),"")</f>
        <v/>
      </c>
      <c r="R2530" s="3">
        <f>IF(ISNUMBER(AVERAGE('20250815_ETF_Options_Exhibits'!R2526:R2530)),AVERAGE('20250815_ETF_Options_Exhibits'!R2526:R2530),"")</f>
        <v/>
      </c>
      <c r="S2530" s="3">
        <f>IF(ISNUMBER(AVERAGE('20250815_ETF_Options_Exhibits'!S2526:S2530)),AVERAGE('20250815_ETF_Options_Exhibits'!S2526:S2530),"")</f>
        <v/>
      </c>
      <c r="T2530" s="3">
        <f>IF(ISNUMBER(AVERAGE('20250815_ETF_Options_Exhibits'!T2526:T2530)),AVERAGE('20250815_ETF_Options_Exhibits'!T2526:T2530),"")</f>
        <v/>
      </c>
      <c r="U2530" s="3">
        <f>IF(ISNUMBER(AVERAGE('20250815_ETF_Options_Exhibits'!U2526:U2530)),AVERAGE('20250815_ETF_Options_Exhibits'!U2526:U2530),"")</f>
        <v/>
      </c>
      <c r="V2530" s="3">
        <f>IF(ISNUMBER(AVERAGE('20250815_ETF_Options_Exhibits'!V2526:V2530)),AVERAGE('20250815_ETF_Options_Exhibits'!V2526:V2530),"")</f>
        <v/>
      </c>
      <c r="W2530" s="3">
        <f>IF(ISNUMBER(AVERAGE('20250815_ETF_Options_Exhibits'!W2526:W2530)),AVERAGE('20250815_ETF_Options_Exhibits'!W2526:W2530),"")</f>
        <v/>
      </c>
      <c r="X2530" s="3">
        <f>IF(ISNUMBER(AVERAGE('20250815_ETF_Options_Exhibits'!X2526:X2530)),AVERAGE('20250815_ETF_Options_Exhibits'!X2526:X2530),"")</f>
        <v/>
      </c>
      <c r="Y2530" s="3">
        <f>IF(ISNUMBER(AVERAGE('20250815_ETF_Options_Exhibits'!Y2526:Y2530)),AVERAGE('20250815_ETF_Options_Exhibits'!Y2526:Y2530),"")</f>
        <v/>
      </c>
      <c r="Z2530" s="3">
        <f>IF(ISNUMBER(AVERAGE('20250815_ETF_Options_Exhibits'!Z2526:Z2530)),AVERAGE('20250815_ETF_Options_Exhibits'!Z2526:Z2530),"")</f>
        <v/>
      </c>
      <c r="AA2530" s="3">
        <f>IF(ISNUMBER(AVERAGE('20250815_ETF_Options_Exhibits'!AA2526:AA2530)),AVERAGE('20250815_ETF_Options_Exhibits'!AA2526:AA2530),"")</f>
        <v/>
      </c>
    </row>
    <row r="2531">
      <c r="A2531" s="1" t="n">
        <v>45679</v>
      </c>
      <c r="B2531" s="3">
        <f>IF(ISNUMBER(AVERAGE('20250815_ETF_Options_Exhibits'!B2527:B2531)),AVERAGE('20250815_ETF_Options_Exhibits'!B2527:B2531),"")</f>
        <v/>
      </c>
      <c r="C2531" s="3">
        <f>IF(ISNUMBER(AVERAGE('20250815_ETF_Options_Exhibits'!C2527:C2531)),AVERAGE('20250815_ETF_Options_Exhibits'!C2527:C2531),"")</f>
        <v/>
      </c>
      <c r="D2531" s="3">
        <f>IF(ISNUMBER(AVERAGE('20250815_ETF_Options_Exhibits'!D2527:D2531)),AVERAGE('20250815_ETF_Options_Exhibits'!D2527:D2531),"")</f>
        <v/>
      </c>
      <c r="E2531" s="3">
        <f>IF(ISNUMBER(AVERAGE('20250815_ETF_Options_Exhibits'!E2527:E2531)),AVERAGE('20250815_ETF_Options_Exhibits'!E2527:E2531),"")</f>
        <v/>
      </c>
      <c r="F2531" s="3">
        <f>IF(ISNUMBER(AVERAGE('20250815_ETF_Options_Exhibits'!F2527:F2531)),AVERAGE('20250815_ETF_Options_Exhibits'!F2527:F2531),"")</f>
        <v/>
      </c>
      <c r="G2531" s="3">
        <f>IF(ISNUMBER(AVERAGE('20250815_ETF_Options_Exhibits'!G2527:G2531)),AVERAGE('20250815_ETF_Options_Exhibits'!G2527:G2531),"")</f>
        <v/>
      </c>
      <c r="H2531" s="3">
        <f>IF(ISNUMBER(AVERAGE('20250815_ETF_Options_Exhibits'!H2527:H2531)),AVERAGE('20250815_ETF_Options_Exhibits'!H2527:H2531),"")</f>
        <v/>
      </c>
      <c r="I2531" s="3">
        <f>IF(ISNUMBER(AVERAGE('20250815_ETF_Options_Exhibits'!I2527:I2531)),AVERAGE('20250815_ETF_Options_Exhibits'!I2527:I2531),"")</f>
        <v/>
      </c>
      <c r="J2531" s="3">
        <f>IF(ISNUMBER(AVERAGE('20250815_ETF_Options_Exhibits'!J2527:J2531)),AVERAGE('20250815_ETF_Options_Exhibits'!J2527:J2531),"")</f>
        <v/>
      </c>
      <c r="K2531" s="3">
        <f>IF(ISNUMBER(AVERAGE('20250815_ETF_Options_Exhibits'!K2527:K2531)),AVERAGE('20250815_ETF_Options_Exhibits'!K2527:K2531),"")</f>
        <v/>
      </c>
      <c r="L2531" s="3">
        <f>IF(ISNUMBER(AVERAGE('20250815_ETF_Options_Exhibits'!L2527:L2531)),AVERAGE('20250815_ETF_Options_Exhibits'!L2527:L2531),"")</f>
        <v/>
      </c>
      <c r="M2531" s="3">
        <f>IF(ISNUMBER(AVERAGE('20250815_ETF_Options_Exhibits'!M2527:M2531)),AVERAGE('20250815_ETF_Options_Exhibits'!M2527:M2531),"")</f>
        <v/>
      </c>
      <c r="N2531" s="3">
        <f>IF(ISNUMBER(AVERAGE('20250815_ETF_Options_Exhibits'!N2527:N2531)),AVERAGE('20250815_ETF_Options_Exhibits'!N2527:N2531),"")</f>
        <v/>
      </c>
      <c r="O2531" s="3">
        <f>IF(ISNUMBER(AVERAGE('20250815_ETF_Options_Exhibits'!O2527:O2531)),AVERAGE('20250815_ETF_Options_Exhibits'!O2527:O2531),"")</f>
        <v/>
      </c>
      <c r="P2531" s="3">
        <f>IF(ISNUMBER(AVERAGE('20250815_ETF_Options_Exhibits'!P2527:P2531)),AVERAGE('20250815_ETF_Options_Exhibits'!P2527:P2531),"")</f>
        <v/>
      </c>
      <c r="Q2531" s="3">
        <f>IF(ISNUMBER(AVERAGE('20250815_ETF_Options_Exhibits'!Q2527:Q2531)),AVERAGE('20250815_ETF_Options_Exhibits'!Q2527:Q2531),"")</f>
        <v/>
      </c>
      <c r="R2531" s="3">
        <f>IF(ISNUMBER(AVERAGE('20250815_ETF_Options_Exhibits'!R2527:R2531)),AVERAGE('20250815_ETF_Options_Exhibits'!R2527:R2531),"")</f>
        <v/>
      </c>
      <c r="S2531" s="3">
        <f>IF(ISNUMBER(AVERAGE('20250815_ETF_Options_Exhibits'!S2527:S2531)),AVERAGE('20250815_ETF_Options_Exhibits'!S2527:S2531),"")</f>
        <v/>
      </c>
      <c r="T2531" s="3">
        <f>IF(ISNUMBER(AVERAGE('20250815_ETF_Options_Exhibits'!T2527:T2531)),AVERAGE('20250815_ETF_Options_Exhibits'!T2527:T2531),"")</f>
        <v/>
      </c>
      <c r="U2531" s="3">
        <f>IF(ISNUMBER(AVERAGE('20250815_ETF_Options_Exhibits'!U2527:U2531)),AVERAGE('20250815_ETF_Options_Exhibits'!U2527:U2531),"")</f>
        <v/>
      </c>
      <c r="V2531" s="3">
        <f>IF(ISNUMBER(AVERAGE('20250815_ETF_Options_Exhibits'!V2527:V2531)),AVERAGE('20250815_ETF_Options_Exhibits'!V2527:V2531),"")</f>
        <v/>
      </c>
      <c r="W2531" s="3">
        <f>IF(ISNUMBER(AVERAGE('20250815_ETF_Options_Exhibits'!W2527:W2531)),AVERAGE('20250815_ETF_Options_Exhibits'!W2527:W2531),"")</f>
        <v/>
      </c>
      <c r="X2531" s="3">
        <f>IF(ISNUMBER(AVERAGE('20250815_ETF_Options_Exhibits'!X2527:X2531)),AVERAGE('20250815_ETF_Options_Exhibits'!X2527:X2531),"")</f>
        <v/>
      </c>
      <c r="Y2531" s="3">
        <f>IF(ISNUMBER(AVERAGE('20250815_ETF_Options_Exhibits'!Y2527:Y2531)),AVERAGE('20250815_ETF_Options_Exhibits'!Y2527:Y2531),"")</f>
        <v/>
      </c>
      <c r="Z2531" s="3">
        <f>IF(ISNUMBER(AVERAGE('20250815_ETF_Options_Exhibits'!Z2527:Z2531)),AVERAGE('20250815_ETF_Options_Exhibits'!Z2527:Z2531),"")</f>
        <v/>
      </c>
      <c r="AA2531" s="3">
        <f>IF(ISNUMBER(AVERAGE('20250815_ETF_Options_Exhibits'!AA2527:AA2531)),AVERAGE('20250815_ETF_Options_Exhibits'!AA2527:AA2531),"")</f>
        <v/>
      </c>
    </row>
    <row r="2532">
      <c r="A2532" s="1" t="n">
        <v>45680</v>
      </c>
      <c r="B2532" s="3">
        <f>IF(ISNUMBER(AVERAGE('20250815_ETF_Options_Exhibits'!B2528:B2532)),AVERAGE('20250815_ETF_Options_Exhibits'!B2528:B2532),"")</f>
        <v/>
      </c>
      <c r="C2532" s="3">
        <f>IF(ISNUMBER(AVERAGE('20250815_ETF_Options_Exhibits'!C2528:C2532)),AVERAGE('20250815_ETF_Options_Exhibits'!C2528:C2532),"")</f>
        <v/>
      </c>
      <c r="D2532" s="3">
        <f>IF(ISNUMBER(AVERAGE('20250815_ETF_Options_Exhibits'!D2528:D2532)),AVERAGE('20250815_ETF_Options_Exhibits'!D2528:D2532),"")</f>
        <v/>
      </c>
      <c r="E2532" s="3">
        <f>IF(ISNUMBER(AVERAGE('20250815_ETF_Options_Exhibits'!E2528:E2532)),AVERAGE('20250815_ETF_Options_Exhibits'!E2528:E2532),"")</f>
        <v/>
      </c>
      <c r="F2532" s="3">
        <f>IF(ISNUMBER(AVERAGE('20250815_ETF_Options_Exhibits'!F2528:F2532)),AVERAGE('20250815_ETF_Options_Exhibits'!F2528:F2532),"")</f>
        <v/>
      </c>
      <c r="G2532" s="3">
        <f>IF(ISNUMBER(AVERAGE('20250815_ETF_Options_Exhibits'!G2528:G2532)),AVERAGE('20250815_ETF_Options_Exhibits'!G2528:G2532),"")</f>
        <v/>
      </c>
      <c r="H2532" s="3">
        <f>IF(ISNUMBER(AVERAGE('20250815_ETF_Options_Exhibits'!H2528:H2532)),AVERAGE('20250815_ETF_Options_Exhibits'!H2528:H2532),"")</f>
        <v/>
      </c>
      <c r="I2532" s="3">
        <f>IF(ISNUMBER(AVERAGE('20250815_ETF_Options_Exhibits'!I2528:I2532)),AVERAGE('20250815_ETF_Options_Exhibits'!I2528:I2532),"")</f>
        <v/>
      </c>
      <c r="J2532" s="3">
        <f>IF(ISNUMBER(AVERAGE('20250815_ETF_Options_Exhibits'!J2528:J2532)),AVERAGE('20250815_ETF_Options_Exhibits'!J2528:J2532),"")</f>
        <v/>
      </c>
      <c r="K2532" s="3">
        <f>IF(ISNUMBER(AVERAGE('20250815_ETF_Options_Exhibits'!K2528:K2532)),AVERAGE('20250815_ETF_Options_Exhibits'!K2528:K2532),"")</f>
        <v/>
      </c>
      <c r="L2532" s="3">
        <f>IF(ISNUMBER(AVERAGE('20250815_ETF_Options_Exhibits'!L2528:L2532)),AVERAGE('20250815_ETF_Options_Exhibits'!L2528:L2532),"")</f>
        <v/>
      </c>
      <c r="M2532" s="3">
        <f>IF(ISNUMBER(AVERAGE('20250815_ETF_Options_Exhibits'!M2528:M2532)),AVERAGE('20250815_ETF_Options_Exhibits'!M2528:M2532),"")</f>
        <v/>
      </c>
      <c r="N2532" s="3">
        <f>IF(ISNUMBER(AVERAGE('20250815_ETF_Options_Exhibits'!N2528:N2532)),AVERAGE('20250815_ETF_Options_Exhibits'!N2528:N2532),"")</f>
        <v/>
      </c>
      <c r="O2532" s="3">
        <f>IF(ISNUMBER(AVERAGE('20250815_ETF_Options_Exhibits'!O2528:O2532)),AVERAGE('20250815_ETF_Options_Exhibits'!O2528:O2532),"")</f>
        <v/>
      </c>
      <c r="P2532" s="3">
        <f>IF(ISNUMBER(AVERAGE('20250815_ETF_Options_Exhibits'!P2528:P2532)),AVERAGE('20250815_ETF_Options_Exhibits'!P2528:P2532),"")</f>
        <v/>
      </c>
      <c r="Q2532" s="3">
        <f>IF(ISNUMBER(AVERAGE('20250815_ETF_Options_Exhibits'!Q2528:Q2532)),AVERAGE('20250815_ETF_Options_Exhibits'!Q2528:Q2532),"")</f>
        <v/>
      </c>
      <c r="R2532" s="3">
        <f>IF(ISNUMBER(AVERAGE('20250815_ETF_Options_Exhibits'!R2528:R2532)),AVERAGE('20250815_ETF_Options_Exhibits'!R2528:R2532),"")</f>
        <v/>
      </c>
      <c r="S2532" s="3">
        <f>IF(ISNUMBER(AVERAGE('20250815_ETF_Options_Exhibits'!S2528:S2532)),AVERAGE('20250815_ETF_Options_Exhibits'!S2528:S2532),"")</f>
        <v/>
      </c>
      <c r="T2532" s="3">
        <f>IF(ISNUMBER(AVERAGE('20250815_ETF_Options_Exhibits'!T2528:T2532)),AVERAGE('20250815_ETF_Options_Exhibits'!T2528:T2532),"")</f>
        <v/>
      </c>
      <c r="U2532" s="3">
        <f>IF(ISNUMBER(AVERAGE('20250815_ETF_Options_Exhibits'!U2528:U2532)),AVERAGE('20250815_ETF_Options_Exhibits'!U2528:U2532),"")</f>
        <v/>
      </c>
      <c r="V2532" s="3">
        <f>IF(ISNUMBER(AVERAGE('20250815_ETF_Options_Exhibits'!V2528:V2532)),AVERAGE('20250815_ETF_Options_Exhibits'!V2528:V2532),"")</f>
        <v/>
      </c>
      <c r="W2532" s="3">
        <f>IF(ISNUMBER(AVERAGE('20250815_ETF_Options_Exhibits'!W2528:W2532)),AVERAGE('20250815_ETF_Options_Exhibits'!W2528:W2532),"")</f>
        <v/>
      </c>
      <c r="X2532" s="3">
        <f>IF(ISNUMBER(AVERAGE('20250815_ETF_Options_Exhibits'!X2528:X2532)),AVERAGE('20250815_ETF_Options_Exhibits'!X2528:X2532),"")</f>
        <v/>
      </c>
      <c r="Y2532" s="3">
        <f>IF(ISNUMBER(AVERAGE('20250815_ETF_Options_Exhibits'!Y2528:Y2532)),AVERAGE('20250815_ETF_Options_Exhibits'!Y2528:Y2532),"")</f>
        <v/>
      </c>
      <c r="Z2532" s="3">
        <f>IF(ISNUMBER(AVERAGE('20250815_ETF_Options_Exhibits'!Z2528:Z2532)),AVERAGE('20250815_ETF_Options_Exhibits'!Z2528:Z2532),"")</f>
        <v/>
      </c>
      <c r="AA2532" s="3">
        <f>IF(ISNUMBER(AVERAGE('20250815_ETF_Options_Exhibits'!AA2528:AA2532)),AVERAGE('20250815_ETF_Options_Exhibits'!AA2528:AA2532),"")</f>
        <v/>
      </c>
    </row>
    <row r="2533">
      <c r="A2533" s="1" t="n">
        <v>45681</v>
      </c>
      <c r="B2533" s="3">
        <f>IF(ISNUMBER(AVERAGE('20250815_ETF_Options_Exhibits'!B2529:B2533)),AVERAGE('20250815_ETF_Options_Exhibits'!B2529:B2533),"")</f>
        <v/>
      </c>
      <c r="C2533" s="3">
        <f>IF(ISNUMBER(AVERAGE('20250815_ETF_Options_Exhibits'!C2529:C2533)),AVERAGE('20250815_ETF_Options_Exhibits'!C2529:C2533),"")</f>
        <v/>
      </c>
      <c r="D2533" s="3">
        <f>IF(ISNUMBER(AVERAGE('20250815_ETF_Options_Exhibits'!D2529:D2533)),AVERAGE('20250815_ETF_Options_Exhibits'!D2529:D2533),"")</f>
        <v/>
      </c>
      <c r="E2533" s="3">
        <f>IF(ISNUMBER(AVERAGE('20250815_ETF_Options_Exhibits'!E2529:E2533)),AVERAGE('20250815_ETF_Options_Exhibits'!E2529:E2533),"")</f>
        <v/>
      </c>
      <c r="F2533" s="3">
        <f>IF(ISNUMBER(AVERAGE('20250815_ETF_Options_Exhibits'!F2529:F2533)),AVERAGE('20250815_ETF_Options_Exhibits'!F2529:F2533),"")</f>
        <v/>
      </c>
      <c r="G2533" s="3">
        <f>IF(ISNUMBER(AVERAGE('20250815_ETF_Options_Exhibits'!G2529:G2533)),AVERAGE('20250815_ETF_Options_Exhibits'!G2529:G2533),"")</f>
        <v/>
      </c>
      <c r="H2533" s="3">
        <f>IF(ISNUMBER(AVERAGE('20250815_ETF_Options_Exhibits'!H2529:H2533)),AVERAGE('20250815_ETF_Options_Exhibits'!H2529:H2533),"")</f>
        <v/>
      </c>
      <c r="I2533" s="3">
        <f>IF(ISNUMBER(AVERAGE('20250815_ETF_Options_Exhibits'!I2529:I2533)),AVERAGE('20250815_ETF_Options_Exhibits'!I2529:I2533),"")</f>
        <v/>
      </c>
      <c r="J2533" s="3">
        <f>IF(ISNUMBER(AVERAGE('20250815_ETF_Options_Exhibits'!J2529:J2533)),AVERAGE('20250815_ETF_Options_Exhibits'!J2529:J2533),"")</f>
        <v/>
      </c>
      <c r="K2533" s="3">
        <f>IF(ISNUMBER(AVERAGE('20250815_ETF_Options_Exhibits'!K2529:K2533)),AVERAGE('20250815_ETF_Options_Exhibits'!K2529:K2533),"")</f>
        <v/>
      </c>
      <c r="L2533" s="3">
        <f>IF(ISNUMBER(AVERAGE('20250815_ETF_Options_Exhibits'!L2529:L2533)),AVERAGE('20250815_ETF_Options_Exhibits'!L2529:L2533),"")</f>
        <v/>
      </c>
      <c r="M2533" s="3">
        <f>IF(ISNUMBER(AVERAGE('20250815_ETF_Options_Exhibits'!M2529:M2533)),AVERAGE('20250815_ETF_Options_Exhibits'!M2529:M2533),"")</f>
        <v/>
      </c>
      <c r="N2533" s="3">
        <f>IF(ISNUMBER(AVERAGE('20250815_ETF_Options_Exhibits'!N2529:N2533)),AVERAGE('20250815_ETF_Options_Exhibits'!N2529:N2533),"")</f>
        <v/>
      </c>
      <c r="O2533" s="3">
        <f>IF(ISNUMBER(AVERAGE('20250815_ETF_Options_Exhibits'!O2529:O2533)),AVERAGE('20250815_ETF_Options_Exhibits'!O2529:O2533),"")</f>
        <v/>
      </c>
      <c r="P2533" s="3">
        <f>IF(ISNUMBER(AVERAGE('20250815_ETF_Options_Exhibits'!P2529:P2533)),AVERAGE('20250815_ETF_Options_Exhibits'!P2529:P2533),"")</f>
        <v/>
      </c>
      <c r="Q2533" s="3">
        <f>IF(ISNUMBER(AVERAGE('20250815_ETF_Options_Exhibits'!Q2529:Q2533)),AVERAGE('20250815_ETF_Options_Exhibits'!Q2529:Q2533),"")</f>
        <v/>
      </c>
      <c r="R2533" s="3">
        <f>IF(ISNUMBER(AVERAGE('20250815_ETF_Options_Exhibits'!R2529:R2533)),AVERAGE('20250815_ETF_Options_Exhibits'!R2529:R2533),"")</f>
        <v/>
      </c>
      <c r="S2533" s="3">
        <f>IF(ISNUMBER(AVERAGE('20250815_ETF_Options_Exhibits'!S2529:S2533)),AVERAGE('20250815_ETF_Options_Exhibits'!S2529:S2533),"")</f>
        <v/>
      </c>
      <c r="T2533" s="3">
        <f>IF(ISNUMBER(AVERAGE('20250815_ETF_Options_Exhibits'!T2529:T2533)),AVERAGE('20250815_ETF_Options_Exhibits'!T2529:T2533),"")</f>
        <v/>
      </c>
      <c r="U2533" s="3">
        <f>IF(ISNUMBER(AVERAGE('20250815_ETF_Options_Exhibits'!U2529:U2533)),AVERAGE('20250815_ETF_Options_Exhibits'!U2529:U2533),"")</f>
        <v/>
      </c>
      <c r="V2533" s="3">
        <f>IF(ISNUMBER(AVERAGE('20250815_ETF_Options_Exhibits'!V2529:V2533)),AVERAGE('20250815_ETF_Options_Exhibits'!V2529:V2533),"")</f>
        <v/>
      </c>
      <c r="W2533" s="3">
        <f>IF(ISNUMBER(AVERAGE('20250815_ETF_Options_Exhibits'!W2529:W2533)),AVERAGE('20250815_ETF_Options_Exhibits'!W2529:W2533),"")</f>
        <v/>
      </c>
      <c r="X2533" s="3">
        <f>IF(ISNUMBER(AVERAGE('20250815_ETF_Options_Exhibits'!X2529:X2533)),AVERAGE('20250815_ETF_Options_Exhibits'!X2529:X2533),"")</f>
        <v/>
      </c>
      <c r="Y2533" s="3">
        <f>IF(ISNUMBER(AVERAGE('20250815_ETF_Options_Exhibits'!Y2529:Y2533)),AVERAGE('20250815_ETF_Options_Exhibits'!Y2529:Y2533),"")</f>
        <v/>
      </c>
      <c r="Z2533" s="3">
        <f>IF(ISNUMBER(AVERAGE('20250815_ETF_Options_Exhibits'!Z2529:Z2533)),AVERAGE('20250815_ETF_Options_Exhibits'!Z2529:Z2533),"")</f>
        <v/>
      </c>
      <c r="AA2533" s="3">
        <f>IF(ISNUMBER(AVERAGE('20250815_ETF_Options_Exhibits'!AA2529:AA2533)),AVERAGE('20250815_ETF_Options_Exhibits'!AA2529:AA2533),"")</f>
        <v/>
      </c>
    </row>
    <row r="2534">
      <c r="A2534" s="1" t="n">
        <v>45684</v>
      </c>
      <c r="B2534" s="3">
        <f>IF(ISNUMBER(AVERAGE('20250815_ETF_Options_Exhibits'!B2530:B2534)),AVERAGE('20250815_ETF_Options_Exhibits'!B2530:B2534),"")</f>
        <v/>
      </c>
      <c r="C2534" s="3">
        <f>IF(ISNUMBER(AVERAGE('20250815_ETF_Options_Exhibits'!C2530:C2534)),AVERAGE('20250815_ETF_Options_Exhibits'!C2530:C2534),"")</f>
        <v/>
      </c>
      <c r="D2534" s="3">
        <f>IF(ISNUMBER(AVERAGE('20250815_ETF_Options_Exhibits'!D2530:D2534)),AVERAGE('20250815_ETF_Options_Exhibits'!D2530:D2534),"")</f>
        <v/>
      </c>
      <c r="E2534" s="3">
        <f>IF(ISNUMBER(AVERAGE('20250815_ETF_Options_Exhibits'!E2530:E2534)),AVERAGE('20250815_ETF_Options_Exhibits'!E2530:E2534),"")</f>
        <v/>
      </c>
      <c r="F2534" s="3">
        <f>IF(ISNUMBER(AVERAGE('20250815_ETF_Options_Exhibits'!F2530:F2534)),AVERAGE('20250815_ETF_Options_Exhibits'!F2530:F2534),"")</f>
        <v/>
      </c>
      <c r="G2534" s="3">
        <f>IF(ISNUMBER(AVERAGE('20250815_ETF_Options_Exhibits'!G2530:G2534)),AVERAGE('20250815_ETF_Options_Exhibits'!G2530:G2534),"")</f>
        <v/>
      </c>
      <c r="H2534" s="3">
        <f>IF(ISNUMBER(AVERAGE('20250815_ETF_Options_Exhibits'!H2530:H2534)),AVERAGE('20250815_ETF_Options_Exhibits'!H2530:H2534),"")</f>
        <v/>
      </c>
      <c r="I2534" s="3">
        <f>IF(ISNUMBER(AVERAGE('20250815_ETF_Options_Exhibits'!I2530:I2534)),AVERAGE('20250815_ETF_Options_Exhibits'!I2530:I2534),"")</f>
        <v/>
      </c>
      <c r="J2534" s="3">
        <f>IF(ISNUMBER(AVERAGE('20250815_ETF_Options_Exhibits'!J2530:J2534)),AVERAGE('20250815_ETF_Options_Exhibits'!J2530:J2534),"")</f>
        <v/>
      </c>
      <c r="K2534" s="3">
        <f>IF(ISNUMBER(AVERAGE('20250815_ETF_Options_Exhibits'!K2530:K2534)),AVERAGE('20250815_ETF_Options_Exhibits'!K2530:K2534),"")</f>
        <v/>
      </c>
      <c r="L2534" s="3">
        <f>IF(ISNUMBER(AVERAGE('20250815_ETF_Options_Exhibits'!L2530:L2534)),AVERAGE('20250815_ETF_Options_Exhibits'!L2530:L2534),"")</f>
        <v/>
      </c>
      <c r="M2534" s="3">
        <f>IF(ISNUMBER(AVERAGE('20250815_ETF_Options_Exhibits'!M2530:M2534)),AVERAGE('20250815_ETF_Options_Exhibits'!M2530:M2534),"")</f>
        <v/>
      </c>
      <c r="N2534" s="3">
        <f>IF(ISNUMBER(AVERAGE('20250815_ETF_Options_Exhibits'!N2530:N2534)),AVERAGE('20250815_ETF_Options_Exhibits'!N2530:N2534),"")</f>
        <v/>
      </c>
      <c r="O2534" s="3">
        <f>IF(ISNUMBER(AVERAGE('20250815_ETF_Options_Exhibits'!O2530:O2534)),AVERAGE('20250815_ETF_Options_Exhibits'!O2530:O2534),"")</f>
        <v/>
      </c>
      <c r="P2534" s="3">
        <f>IF(ISNUMBER(AVERAGE('20250815_ETF_Options_Exhibits'!P2530:P2534)),AVERAGE('20250815_ETF_Options_Exhibits'!P2530:P2534),"")</f>
        <v/>
      </c>
      <c r="Q2534" s="3">
        <f>IF(ISNUMBER(AVERAGE('20250815_ETF_Options_Exhibits'!Q2530:Q2534)),AVERAGE('20250815_ETF_Options_Exhibits'!Q2530:Q2534),"")</f>
        <v/>
      </c>
      <c r="R2534" s="3">
        <f>IF(ISNUMBER(AVERAGE('20250815_ETF_Options_Exhibits'!R2530:R2534)),AVERAGE('20250815_ETF_Options_Exhibits'!R2530:R2534),"")</f>
        <v/>
      </c>
      <c r="S2534" s="3">
        <f>IF(ISNUMBER(AVERAGE('20250815_ETF_Options_Exhibits'!S2530:S2534)),AVERAGE('20250815_ETF_Options_Exhibits'!S2530:S2534),"")</f>
        <v/>
      </c>
      <c r="T2534" s="3">
        <f>IF(ISNUMBER(AVERAGE('20250815_ETF_Options_Exhibits'!T2530:T2534)),AVERAGE('20250815_ETF_Options_Exhibits'!T2530:T2534),"")</f>
        <v/>
      </c>
      <c r="U2534" s="3">
        <f>IF(ISNUMBER(AVERAGE('20250815_ETF_Options_Exhibits'!U2530:U2534)),AVERAGE('20250815_ETF_Options_Exhibits'!U2530:U2534),"")</f>
        <v/>
      </c>
      <c r="V2534" s="3">
        <f>IF(ISNUMBER(AVERAGE('20250815_ETF_Options_Exhibits'!V2530:V2534)),AVERAGE('20250815_ETF_Options_Exhibits'!V2530:V2534),"")</f>
        <v/>
      </c>
      <c r="W2534" s="3">
        <f>IF(ISNUMBER(AVERAGE('20250815_ETF_Options_Exhibits'!W2530:W2534)),AVERAGE('20250815_ETF_Options_Exhibits'!W2530:W2534),"")</f>
        <v/>
      </c>
      <c r="X2534" s="3">
        <f>IF(ISNUMBER(AVERAGE('20250815_ETF_Options_Exhibits'!X2530:X2534)),AVERAGE('20250815_ETF_Options_Exhibits'!X2530:X2534),"")</f>
        <v/>
      </c>
      <c r="Y2534" s="3">
        <f>IF(ISNUMBER(AVERAGE('20250815_ETF_Options_Exhibits'!Y2530:Y2534)),AVERAGE('20250815_ETF_Options_Exhibits'!Y2530:Y2534),"")</f>
        <v/>
      </c>
      <c r="Z2534" s="3">
        <f>IF(ISNUMBER(AVERAGE('20250815_ETF_Options_Exhibits'!Z2530:Z2534)),AVERAGE('20250815_ETF_Options_Exhibits'!Z2530:Z2534),"")</f>
        <v/>
      </c>
      <c r="AA2534" s="3">
        <f>IF(ISNUMBER(AVERAGE('20250815_ETF_Options_Exhibits'!AA2530:AA2534)),AVERAGE('20250815_ETF_Options_Exhibits'!AA2530:AA2534),"")</f>
        <v/>
      </c>
    </row>
    <row r="2535">
      <c r="A2535" s="1" t="n">
        <v>45685</v>
      </c>
      <c r="B2535" s="3">
        <f>IF(ISNUMBER(AVERAGE('20250815_ETF_Options_Exhibits'!B2531:B2535)),AVERAGE('20250815_ETF_Options_Exhibits'!B2531:B2535),"")</f>
        <v/>
      </c>
      <c r="C2535" s="3">
        <f>IF(ISNUMBER(AVERAGE('20250815_ETF_Options_Exhibits'!C2531:C2535)),AVERAGE('20250815_ETF_Options_Exhibits'!C2531:C2535),"")</f>
        <v/>
      </c>
      <c r="D2535" s="3">
        <f>IF(ISNUMBER(AVERAGE('20250815_ETF_Options_Exhibits'!D2531:D2535)),AVERAGE('20250815_ETF_Options_Exhibits'!D2531:D2535),"")</f>
        <v/>
      </c>
      <c r="E2535" s="3">
        <f>IF(ISNUMBER(AVERAGE('20250815_ETF_Options_Exhibits'!E2531:E2535)),AVERAGE('20250815_ETF_Options_Exhibits'!E2531:E2535),"")</f>
        <v/>
      </c>
      <c r="F2535" s="3">
        <f>IF(ISNUMBER(AVERAGE('20250815_ETF_Options_Exhibits'!F2531:F2535)),AVERAGE('20250815_ETF_Options_Exhibits'!F2531:F2535),"")</f>
        <v/>
      </c>
      <c r="G2535" s="3">
        <f>IF(ISNUMBER(AVERAGE('20250815_ETF_Options_Exhibits'!G2531:G2535)),AVERAGE('20250815_ETF_Options_Exhibits'!G2531:G2535),"")</f>
        <v/>
      </c>
      <c r="H2535" s="3">
        <f>IF(ISNUMBER(AVERAGE('20250815_ETF_Options_Exhibits'!H2531:H2535)),AVERAGE('20250815_ETF_Options_Exhibits'!H2531:H2535),"")</f>
        <v/>
      </c>
      <c r="I2535" s="3">
        <f>IF(ISNUMBER(AVERAGE('20250815_ETF_Options_Exhibits'!I2531:I2535)),AVERAGE('20250815_ETF_Options_Exhibits'!I2531:I2535),"")</f>
        <v/>
      </c>
      <c r="J2535" s="3">
        <f>IF(ISNUMBER(AVERAGE('20250815_ETF_Options_Exhibits'!J2531:J2535)),AVERAGE('20250815_ETF_Options_Exhibits'!J2531:J2535),"")</f>
        <v/>
      </c>
      <c r="K2535" s="3">
        <f>IF(ISNUMBER(AVERAGE('20250815_ETF_Options_Exhibits'!K2531:K2535)),AVERAGE('20250815_ETF_Options_Exhibits'!K2531:K2535),"")</f>
        <v/>
      </c>
      <c r="L2535" s="3">
        <f>IF(ISNUMBER(AVERAGE('20250815_ETF_Options_Exhibits'!L2531:L2535)),AVERAGE('20250815_ETF_Options_Exhibits'!L2531:L2535),"")</f>
        <v/>
      </c>
      <c r="M2535" s="3">
        <f>IF(ISNUMBER(AVERAGE('20250815_ETF_Options_Exhibits'!M2531:M2535)),AVERAGE('20250815_ETF_Options_Exhibits'!M2531:M2535),"")</f>
        <v/>
      </c>
      <c r="N2535" s="3">
        <f>IF(ISNUMBER(AVERAGE('20250815_ETF_Options_Exhibits'!N2531:N2535)),AVERAGE('20250815_ETF_Options_Exhibits'!N2531:N2535),"")</f>
        <v/>
      </c>
      <c r="O2535" s="3">
        <f>IF(ISNUMBER(AVERAGE('20250815_ETF_Options_Exhibits'!O2531:O2535)),AVERAGE('20250815_ETF_Options_Exhibits'!O2531:O2535),"")</f>
        <v/>
      </c>
      <c r="P2535" s="3">
        <f>IF(ISNUMBER(AVERAGE('20250815_ETF_Options_Exhibits'!P2531:P2535)),AVERAGE('20250815_ETF_Options_Exhibits'!P2531:P2535),"")</f>
        <v/>
      </c>
      <c r="Q2535" s="3">
        <f>IF(ISNUMBER(AVERAGE('20250815_ETF_Options_Exhibits'!Q2531:Q2535)),AVERAGE('20250815_ETF_Options_Exhibits'!Q2531:Q2535),"")</f>
        <v/>
      </c>
      <c r="R2535" s="3">
        <f>IF(ISNUMBER(AVERAGE('20250815_ETF_Options_Exhibits'!R2531:R2535)),AVERAGE('20250815_ETF_Options_Exhibits'!R2531:R2535),"")</f>
        <v/>
      </c>
      <c r="S2535" s="3">
        <f>IF(ISNUMBER(AVERAGE('20250815_ETF_Options_Exhibits'!S2531:S2535)),AVERAGE('20250815_ETF_Options_Exhibits'!S2531:S2535),"")</f>
        <v/>
      </c>
      <c r="T2535" s="3">
        <f>IF(ISNUMBER(AVERAGE('20250815_ETF_Options_Exhibits'!T2531:T2535)),AVERAGE('20250815_ETF_Options_Exhibits'!T2531:T2535),"")</f>
        <v/>
      </c>
      <c r="U2535" s="3">
        <f>IF(ISNUMBER(AVERAGE('20250815_ETF_Options_Exhibits'!U2531:U2535)),AVERAGE('20250815_ETF_Options_Exhibits'!U2531:U2535),"")</f>
        <v/>
      </c>
      <c r="V2535" s="3">
        <f>IF(ISNUMBER(AVERAGE('20250815_ETF_Options_Exhibits'!V2531:V2535)),AVERAGE('20250815_ETF_Options_Exhibits'!V2531:V2535),"")</f>
        <v/>
      </c>
      <c r="W2535" s="3">
        <f>IF(ISNUMBER(AVERAGE('20250815_ETF_Options_Exhibits'!W2531:W2535)),AVERAGE('20250815_ETF_Options_Exhibits'!W2531:W2535),"")</f>
        <v/>
      </c>
      <c r="X2535" s="3">
        <f>IF(ISNUMBER(AVERAGE('20250815_ETF_Options_Exhibits'!X2531:X2535)),AVERAGE('20250815_ETF_Options_Exhibits'!X2531:X2535),"")</f>
        <v/>
      </c>
      <c r="Y2535" s="3">
        <f>IF(ISNUMBER(AVERAGE('20250815_ETF_Options_Exhibits'!Y2531:Y2535)),AVERAGE('20250815_ETF_Options_Exhibits'!Y2531:Y2535),"")</f>
        <v/>
      </c>
      <c r="Z2535" s="3">
        <f>IF(ISNUMBER(AVERAGE('20250815_ETF_Options_Exhibits'!Z2531:Z2535)),AVERAGE('20250815_ETF_Options_Exhibits'!Z2531:Z2535),"")</f>
        <v/>
      </c>
      <c r="AA2535" s="3">
        <f>IF(ISNUMBER(AVERAGE('20250815_ETF_Options_Exhibits'!AA2531:AA2535)),AVERAGE('20250815_ETF_Options_Exhibits'!AA2531:AA2535),"")</f>
        <v/>
      </c>
    </row>
    <row r="2536">
      <c r="A2536" s="1" t="n">
        <v>45686</v>
      </c>
      <c r="B2536" s="3">
        <f>IF(ISNUMBER(AVERAGE('20250815_ETF_Options_Exhibits'!B2532:B2536)),AVERAGE('20250815_ETF_Options_Exhibits'!B2532:B2536),"")</f>
        <v/>
      </c>
      <c r="C2536" s="3">
        <f>IF(ISNUMBER(AVERAGE('20250815_ETF_Options_Exhibits'!C2532:C2536)),AVERAGE('20250815_ETF_Options_Exhibits'!C2532:C2536),"")</f>
        <v/>
      </c>
      <c r="D2536" s="3">
        <f>IF(ISNUMBER(AVERAGE('20250815_ETF_Options_Exhibits'!D2532:D2536)),AVERAGE('20250815_ETF_Options_Exhibits'!D2532:D2536),"")</f>
        <v/>
      </c>
      <c r="E2536" s="3">
        <f>IF(ISNUMBER(AVERAGE('20250815_ETF_Options_Exhibits'!E2532:E2536)),AVERAGE('20250815_ETF_Options_Exhibits'!E2532:E2536),"")</f>
        <v/>
      </c>
      <c r="F2536" s="3">
        <f>IF(ISNUMBER(AVERAGE('20250815_ETF_Options_Exhibits'!F2532:F2536)),AVERAGE('20250815_ETF_Options_Exhibits'!F2532:F2536),"")</f>
        <v/>
      </c>
      <c r="G2536" s="3">
        <f>IF(ISNUMBER(AVERAGE('20250815_ETF_Options_Exhibits'!G2532:G2536)),AVERAGE('20250815_ETF_Options_Exhibits'!G2532:G2536),"")</f>
        <v/>
      </c>
      <c r="H2536" s="3">
        <f>IF(ISNUMBER(AVERAGE('20250815_ETF_Options_Exhibits'!H2532:H2536)),AVERAGE('20250815_ETF_Options_Exhibits'!H2532:H2536),"")</f>
        <v/>
      </c>
      <c r="I2536" s="3">
        <f>IF(ISNUMBER(AVERAGE('20250815_ETF_Options_Exhibits'!I2532:I2536)),AVERAGE('20250815_ETF_Options_Exhibits'!I2532:I2536),"")</f>
        <v/>
      </c>
      <c r="J2536" s="3">
        <f>IF(ISNUMBER(AVERAGE('20250815_ETF_Options_Exhibits'!J2532:J2536)),AVERAGE('20250815_ETF_Options_Exhibits'!J2532:J2536),"")</f>
        <v/>
      </c>
      <c r="K2536" s="3">
        <f>IF(ISNUMBER(AVERAGE('20250815_ETF_Options_Exhibits'!K2532:K2536)),AVERAGE('20250815_ETF_Options_Exhibits'!K2532:K2536),"")</f>
        <v/>
      </c>
      <c r="L2536" s="3">
        <f>IF(ISNUMBER(AVERAGE('20250815_ETF_Options_Exhibits'!L2532:L2536)),AVERAGE('20250815_ETF_Options_Exhibits'!L2532:L2536),"")</f>
        <v/>
      </c>
      <c r="M2536" s="3">
        <f>IF(ISNUMBER(AVERAGE('20250815_ETF_Options_Exhibits'!M2532:M2536)),AVERAGE('20250815_ETF_Options_Exhibits'!M2532:M2536),"")</f>
        <v/>
      </c>
      <c r="N2536" s="3">
        <f>IF(ISNUMBER(AVERAGE('20250815_ETF_Options_Exhibits'!N2532:N2536)),AVERAGE('20250815_ETF_Options_Exhibits'!N2532:N2536),"")</f>
        <v/>
      </c>
      <c r="O2536" s="3">
        <f>IF(ISNUMBER(AVERAGE('20250815_ETF_Options_Exhibits'!O2532:O2536)),AVERAGE('20250815_ETF_Options_Exhibits'!O2532:O2536),"")</f>
        <v/>
      </c>
      <c r="P2536" s="3">
        <f>IF(ISNUMBER(AVERAGE('20250815_ETF_Options_Exhibits'!P2532:P2536)),AVERAGE('20250815_ETF_Options_Exhibits'!P2532:P2536),"")</f>
        <v/>
      </c>
      <c r="Q2536" s="3">
        <f>IF(ISNUMBER(AVERAGE('20250815_ETF_Options_Exhibits'!Q2532:Q2536)),AVERAGE('20250815_ETF_Options_Exhibits'!Q2532:Q2536),"")</f>
        <v/>
      </c>
      <c r="R2536" s="3">
        <f>IF(ISNUMBER(AVERAGE('20250815_ETF_Options_Exhibits'!R2532:R2536)),AVERAGE('20250815_ETF_Options_Exhibits'!R2532:R2536),"")</f>
        <v/>
      </c>
      <c r="S2536" s="3">
        <f>IF(ISNUMBER(AVERAGE('20250815_ETF_Options_Exhibits'!S2532:S2536)),AVERAGE('20250815_ETF_Options_Exhibits'!S2532:S2536),"")</f>
        <v/>
      </c>
      <c r="T2536" s="3">
        <f>IF(ISNUMBER(AVERAGE('20250815_ETF_Options_Exhibits'!T2532:T2536)),AVERAGE('20250815_ETF_Options_Exhibits'!T2532:T2536),"")</f>
        <v/>
      </c>
      <c r="U2536" s="3">
        <f>IF(ISNUMBER(AVERAGE('20250815_ETF_Options_Exhibits'!U2532:U2536)),AVERAGE('20250815_ETF_Options_Exhibits'!U2532:U2536),"")</f>
        <v/>
      </c>
      <c r="V2536" s="3">
        <f>IF(ISNUMBER(AVERAGE('20250815_ETF_Options_Exhibits'!V2532:V2536)),AVERAGE('20250815_ETF_Options_Exhibits'!V2532:V2536),"")</f>
        <v/>
      </c>
      <c r="W2536" s="3">
        <f>IF(ISNUMBER(AVERAGE('20250815_ETF_Options_Exhibits'!W2532:W2536)),AVERAGE('20250815_ETF_Options_Exhibits'!W2532:W2536),"")</f>
        <v/>
      </c>
      <c r="X2536" s="3">
        <f>IF(ISNUMBER(AVERAGE('20250815_ETF_Options_Exhibits'!X2532:X2536)),AVERAGE('20250815_ETF_Options_Exhibits'!X2532:X2536),"")</f>
        <v/>
      </c>
      <c r="Y2536" s="3">
        <f>IF(ISNUMBER(AVERAGE('20250815_ETF_Options_Exhibits'!Y2532:Y2536)),AVERAGE('20250815_ETF_Options_Exhibits'!Y2532:Y2536),"")</f>
        <v/>
      </c>
      <c r="Z2536" s="3">
        <f>IF(ISNUMBER(AVERAGE('20250815_ETF_Options_Exhibits'!Z2532:Z2536)),AVERAGE('20250815_ETF_Options_Exhibits'!Z2532:Z2536),"")</f>
        <v/>
      </c>
      <c r="AA2536" s="3">
        <f>IF(ISNUMBER(AVERAGE('20250815_ETF_Options_Exhibits'!AA2532:AA2536)),AVERAGE('20250815_ETF_Options_Exhibits'!AA2532:AA2536),"")</f>
        <v/>
      </c>
    </row>
    <row r="2537">
      <c r="A2537" s="1" t="n">
        <v>45687</v>
      </c>
      <c r="B2537" s="3">
        <f>IF(ISNUMBER(AVERAGE('20250815_ETF_Options_Exhibits'!B2533:B2537)),AVERAGE('20250815_ETF_Options_Exhibits'!B2533:B2537),"")</f>
        <v/>
      </c>
      <c r="C2537" s="3">
        <f>IF(ISNUMBER(AVERAGE('20250815_ETF_Options_Exhibits'!C2533:C2537)),AVERAGE('20250815_ETF_Options_Exhibits'!C2533:C2537),"")</f>
        <v/>
      </c>
      <c r="D2537" s="3">
        <f>IF(ISNUMBER(AVERAGE('20250815_ETF_Options_Exhibits'!D2533:D2537)),AVERAGE('20250815_ETF_Options_Exhibits'!D2533:D2537),"")</f>
        <v/>
      </c>
      <c r="E2537" s="3">
        <f>IF(ISNUMBER(AVERAGE('20250815_ETF_Options_Exhibits'!E2533:E2537)),AVERAGE('20250815_ETF_Options_Exhibits'!E2533:E2537),"")</f>
        <v/>
      </c>
      <c r="F2537" s="3">
        <f>IF(ISNUMBER(AVERAGE('20250815_ETF_Options_Exhibits'!F2533:F2537)),AVERAGE('20250815_ETF_Options_Exhibits'!F2533:F2537),"")</f>
        <v/>
      </c>
      <c r="G2537" s="3">
        <f>IF(ISNUMBER(AVERAGE('20250815_ETF_Options_Exhibits'!G2533:G2537)),AVERAGE('20250815_ETF_Options_Exhibits'!G2533:G2537),"")</f>
        <v/>
      </c>
      <c r="H2537" s="3">
        <f>IF(ISNUMBER(AVERAGE('20250815_ETF_Options_Exhibits'!H2533:H2537)),AVERAGE('20250815_ETF_Options_Exhibits'!H2533:H2537),"")</f>
        <v/>
      </c>
      <c r="I2537" s="3">
        <f>IF(ISNUMBER(AVERAGE('20250815_ETF_Options_Exhibits'!I2533:I2537)),AVERAGE('20250815_ETF_Options_Exhibits'!I2533:I2537),"")</f>
        <v/>
      </c>
      <c r="J2537" s="3">
        <f>IF(ISNUMBER(AVERAGE('20250815_ETF_Options_Exhibits'!J2533:J2537)),AVERAGE('20250815_ETF_Options_Exhibits'!J2533:J2537),"")</f>
        <v/>
      </c>
      <c r="K2537" s="3">
        <f>IF(ISNUMBER(AVERAGE('20250815_ETF_Options_Exhibits'!K2533:K2537)),AVERAGE('20250815_ETF_Options_Exhibits'!K2533:K2537),"")</f>
        <v/>
      </c>
      <c r="L2537" s="3">
        <f>IF(ISNUMBER(AVERAGE('20250815_ETF_Options_Exhibits'!L2533:L2537)),AVERAGE('20250815_ETF_Options_Exhibits'!L2533:L2537),"")</f>
        <v/>
      </c>
      <c r="M2537" s="3">
        <f>IF(ISNUMBER(AVERAGE('20250815_ETF_Options_Exhibits'!M2533:M2537)),AVERAGE('20250815_ETF_Options_Exhibits'!M2533:M2537),"")</f>
        <v/>
      </c>
      <c r="N2537" s="3">
        <f>IF(ISNUMBER(AVERAGE('20250815_ETF_Options_Exhibits'!N2533:N2537)),AVERAGE('20250815_ETF_Options_Exhibits'!N2533:N2537),"")</f>
        <v/>
      </c>
      <c r="O2537" s="3">
        <f>IF(ISNUMBER(AVERAGE('20250815_ETF_Options_Exhibits'!O2533:O2537)),AVERAGE('20250815_ETF_Options_Exhibits'!O2533:O2537),"")</f>
        <v/>
      </c>
      <c r="P2537" s="3">
        <f>IF(ISNUMBER(AVERAGE('20250815_ETF_Options_Exhibits'!P2533:P2537)),AVERAGE('20250815_ETF_Options_Exhibits'!P2533:P2537),"")</f>
        <v/>
      </c>
      <c r="Q2537" s="3">
        <f>IF(ISNUMBER(AVERAGE('20250815_ETF_Options_Exhibits'!Q2533:Q2537)),AVERAGE('20250815_ETF_Options_Exhibits'!Q2533:Q2537),"")</f>
        <v/>
      </c>
      <c r="R2537" s="3">
        <f>IF(ISNUMBER(AVERAGE('20250815_ETF_Options_Exhibits'!R2533:R2537)),AVERAGE('20250815_ETF_Options_Exhibits'!R2533:R2537),"")</f>
        <v/>
      </c>
      <c r="S2537" s="3">
        <f>IF(ISNUMBER(AVERAGE('20250815_ETF_Options_Exhibits'!S2533:S2537)),AVERAGE('20250815_ETF_Options_Exhibits'!S2533:S2537),"")</f>
        <v/>
      </c>
      <c r="T2537" s="3">
        <f>IF(ISNUMBER(AVERAGE('20250815_ETF_Options_Exhibits'!T2533:T2537)),AVERAGE('20250815_ETF_Options_Exhibits'!T2533:T2537),"")</f>
        <v/>
      </c>
      <c r="U2537" s="3">
        <f>IF(ISNUMBER(AVERAGE('20250815_ETF_Options_Exhibits'!U2533:U2537)),AVERAGE('20250815_ETF_Options_Exhibits'!U2533:U2537),"")</f>
        <v/>
      </c>
      <c r="V2537" s="3">
        <f>IF(ISNUMBER(AVERAGE('20250815_ETF_Options_Exhibits'!V2533:V2537)),AVERAGE('20250815_ETF_Options_Exhibits'!V2533:V2537),"")</f>
        <v/>
      </c>
      <c r="W2537" s="3">
        <f>IF(ISNUMBER(AVERAGE('20250815_ETF_Options_Exhibits'!W2533:W2537)),AVERAGE('20250815_ETF_Options_Exhibits'!W2533:W2537),"")</f>
        <v/>
      </c>
      <c r="X2537" s="3">
        <f>IF(ISNUMBER(AVERAGE('20250815_ETF_Options_Exhibits'!X2533:X2537)),AVERAGE('20250815_ETF_Options_Exhibits'!X2533:X2537),"")</f>
        <v/>
      </c>
      <c r="Y2537" s="3">
        <f>IF(ISNUMBER(AVERAGE('20250815_ETF_Options_Exhibits'!Y2533:Y2537)),AVERAGE('20250815_ETF_Options_Exhibits'!Y2533:Y2537),"")</f>
        <v/>
      </c>
      <c r="Z2537" s="3">
        <f>IF(ISNUMBER(AVERAGE('20250815_ETF_Options_Exhibits'!Z2533:Z2537)),AVERAGE('20250815_ETF_Options_Exhibits'!Z2533:Z2537),"")</f>
        <v/>
      </c>
      <c r="AA2537" s="3">
        <f>IF(ISNUMBER(AVERAGE('20250815_ETF_Options_Exhibits'!AA2533:AA2537)),AVERAGE('20250815_ETF_Options_Exhibits'!AA2533:AA2537),"")</f>
        <v/>
      </c>
    </row>
    <row r="2538">
      <c r="A2538" s="1" t="n">
        <v>45688</v>
      </c>
      <c r="B2538" s="3">
        <f>IF(ISNUMBER(AVERAGE('20250815_ETF_Options_Exhibits'!B2534:B2538)),AVERAGE('20250815_ETF_Options_Exhibits'!B2534:B2538),"")</f>
        <v/>
      </c>
      <c r="C2538" s="3">
        <f>IF(ISNUMBER(AVERAGE('20250815_ETF_Options_Exhibits'!C2534:C2538)),AVERAGE('20250815_ETF_Options_Exhibits'!C2534:C2538),"")</f>
        <v/>
      </c>
      <c r="D2538" s="3">
        <f>IF(ISNUMBER(AVERAGE('20250815_ETF_Options_Exhibits'!D2534:D2538)),AVERAGE('20250815_ETF_Options_Exhibits'!D2534:D2538),"")</f>
        <v/>
      </c>
      <c r="E2538" s="3">
        <f>IF(ISNUMBER(AVERAGE('20250815_ETF_Options_Exhibits'!E2534:E2538)),AVERAGE('20250815_ETF_Options_Exhibits'!E2534:E2538),"")</f>
        <v/>
      </c>
      <c r="F2538" s="3">
        <f>IF(ISNUMBER(AVERAGE('20250815_ETF_Options_Exhibits'!F2534:F2538)),AVERAGE('20250815_ETF_Options_Exhibits'!F2534:F2538),"")</f>
        <v/>
      </c>
      <c r="G2538" s="3">
        <f>IF(ISNUMBER(AVERAGE('20250815_ETF_Options_Exhibits'!G2534:G2538)),AVERAGE('20250815_ETF_Options_Exhibits'!G2534:G2538),"")</f>
        <v/>
      </c>
      <c r="H2538" s="3">
        <f>IF(ISNUMBER(AVERAGE('20250815_ETF_Options_Exhibits'!H2534:H2538)),AVERAGE('20250815_ETF_Options_Exhibits'!H2534:H2538),"")</f>
        <v/>
      </c>
      <c r="I2538" s="3">
        <f>IF(ISNUMBER(AVERAGE('20250815_ETF_Options_Exhibits'!I2534:I2538)),AVERAGE('20250815_ETF_Options_Exhibits'!I2534:I2538),"")</f>
        <v/>
      </c>
      <c r="J2538" s="3">
        <f>IF(ISNUMBER(AVERAGE('20250815_ETF_Options_Exhibits'!J2534:J2538)),AVERAGE('20250815_ETF_Options_Exhibits'!J2534:J2538),"")</f>
        <v/>
      </c>
      <c r="K2538" s="3">
        <f>IF(ISNUMBER(AVERAGE('20250815_ETF_Options_Exhibits'!K2534:K2538)),AVERAGE('20250815_ETF_Options_Exhibits'!K2534:K2538),"")</f>
        <v/>
      </c>
      <c r="L2538" s="3">
        <f>IF(ISNUMBER(AVERAGE('20250815_ETF_Options_Exhibits'!L2534:L2538)),AVERAGE('20250815_ETF_Options_Exhibits'!L2534:L2538),"")</f>
        <v/>
      </c>
      <c r="M2538" s="3">
        <f>IF(ISNUMBER(AVERAGE('20250815_ETF_Options_Exhibits'!M2534:M2538)),AVERAGE('20250815_ETF_Options_Exhibits'!M2534:M2538),"")</f>
        <v/>
      </c>
      <c r="N2538" s="3">
        <f>IF(ISNUMBER(AVERAGE('20250815_ETF_Options_Exhibits'!N2534:N2538)),AVERAGE('20250815_ETF_Options_Exhibits'!N2534:N2538),"")</f>
        <v/>
      </c>
      <c r="O2538" s="3">
        <f>IF(ISNUMBER(AVERAGE('20250815_ETF_Options_Exhibits'!O2534:O2538)),AVERAGE('20250815_ETF_Options_Exhibits'!O2534:O2538),"")</f>
        <v/>
      </c>
      <c r="P2538" s="3">
        <f>IF(ISNUMBER(AVERAGE('20250815_ETF_Options_Exhibits'!P2534:P2538)),AVERAGE('20250815_ETF_Options_Exhibits'!P2534:P2538),"")</f>
        <v/>
      </c>
      <c r="Q2538" s="3">
        <f>IF(ISNUMBER(AVERAGE('20250815_ETF_Options_Exhibits'!Q2534:Q2538)),AVERAGE('20250815_ETF_Options_Exhibits'!Q2534:Q2538),"")</f>
        <v/>
      </c>
      <c r="R2538" s="3">
        <f>IF(ISNUMBER(AVERAGE('20250815_ETF_Options_Exhibits'!R2534:R2538)),AVERAGE('20250815_ETF_Options_Exhibits'!R2534:R2538),"")</f>
        <v/>
      </c>
      <c r="S2538" s="3">
        <f>IF(ISNUMBER(AVERAGE('20250815_ETF_Options_Exhibits'!S2534:S2538)),AVERAGE('20250815_ETF_Options_Exhibits'!S2534:S2538),"")</f>
        <v/>
      </c>
      <c r="T2538" s="3">
        <f>IF(ISNUMBER(AVERAGE('20250815_ETF_Options_Exhibits'!T2534:T2538)),AVERAGE('20250815_ETF_Options_Exhibits'!T2534:T2538),"")</f>
        <v/>
      </c>
      <c r="U2538" s="3">
        <f>IF(ISNUMBER(AVERAGE('20250815_ETF_Options_Exhibits'!U2534:U2538)),AVERAGE('20250815_ETF_Options_Exhibits'!U2534:U2538),"")</f>
        <v/>
      </c>
      <c r="V2538" s="3">
        <f>IF(ISNUMBER(AVERAGE('20250815_ETF_Options_Exhibits'!V2534:V2538)),AVERAGE('20250815_ETF_Options_Exhibits'!V2534:V2538),"")</f>
        <v/>
      </c>
      <c r="W2538" s="3">
        <f>IF(ISNUMBER(AVERAGE('20250815_ETF_Options_Exhibits'!W2534:W2538)),AVERAGE('20250815_ETF_Options_Exhibits'!W2534:W2538),"")</f>
        <v/>
      </c>
      <c r="X2538" s="3">
        <f>IF(ISNUMBER(AVERAGE('20250815_ETF_Options_Exhibits'!X2534:X2538)),AVERAGE('20250815_ETF_Options_Exhibits'!X2534:X2538),"")</f>
        <v/>
      </c>
      <c r="Y2538" s="3">
        <f>IF(ISNUMBER(AVERAGE('20250815_ETF_Options_Exhibits'!Y2534:Y2538)),AVERAGE('20250815_ETF_Options_Exhibits'!Y2534:Y2538),"")</f>
        <v/>
      </c>
      <c r="Z2538" s="3">
        <f>IF(ISNUMBER(AVERAGE('20250815_ETF_Options_Exhibits'!Z2534:Z2538)),AVERAGE('20250815_ETF_Options_Exhibits'!Z2534:Z2538),"")</f>
        <v/>
      </c>
      <c r="AA2538" s="3">
        <f>IF(ISNUMBER(AVERAGE('20250815_ETF_Options_Exhibits'!AA2534:AA2538)),AVERAGE('20250815_ETF_Options_Exhibits'!AA2534:AA2538),"")</f>
        <v/>
      </c>
    </row>
    <row r="2539">
      <c r="A2539" s="1" t="n">
        <v>45691</v>
      </c>
      <c r="B2539" s="3">
        <f>IF(ISNUMBER(AVERAGE('20250815_ETF_Options_Exhibits'!B2535:B2539)),AVERAGE('20250815_ETF_Options_Exhibits'!B2535:B2539),"")</f>
        <v/>
      </c>
      <c r="C2539" s="3">
        <f>IF(ISNUMBER(AVERAGE('20250815_ETF_Options_Exhibits'!C2535:C2539)),AVERAGE('20250815_ETF_Options_Exhibits'!C2535:C2539),"")</f>
        <v/>
      </c>
      <c r="D2539" s="3">
        <f>IF(ISNUMBER(AVERAGE('20250815_ETF_Options_Exhibits'!D2535:D2539)),AVERAGE('20250815_ETF_Options_Exhibits'!D2535:D2539),"")</f>
        <v/>
      </c>
      <c r="E2539" s="3">
        <f>IF(ISNUMBER(AVERAGE('20250815_ETF_Options_Exhibits'!E2535:E2539)),AVERAGE('20250815_ETF_Options_Exhibits'!E2535:E2539),"")</f>
        <v/>
      </c>
      <c r="F2539" s="3">
        <f>IF(ISNUMBER(AVERAGE('20250815_ETF_Options_Exhibits'!F2535:F2539)),AVERAGE('20250815_ETF_Options_Exhibits'!F2535:F2539),"")</f>
        <v/>
      </c>
      <c r="G2539" s="3">
        <f>IF(ISNUMBER(AVERAGE('20250815_ETF_Options_Exhibits'!G2535:G2539)),AVERAGE('20250815_ETF_Options_Exhibits'!G2535:G2539),"")</f>
        <v/>
      </c>
      <c r="H2539" s="3">
        <f>IF(ISNUMBER(AVERAGE('20250815_ETF_Options_Exhibits'!H2535:H2539)),AVERAGE('20250815_ETF_Options_Exhibits'!H2535:H2539),"")</f>
        <v/>
      </c>
      <c r="I2539" s="3">
        <f>IF(ISNUMBER(AVERAGE('20250815_ETF_Options_Exhibits'!I2535:I2539)),AVERAGE('20250815_ETF_Options_Exhibits'!I2535:I2539),"")</f>
        <v/>
      </c>
      <c r="J2539" s="3">
        <f>IF(ISNUMBER(AVERAGE('20250815_ETF_Options_Exhibits'!J2535:J2539)),AVERAGE('20250815_ETF_Options_Exhibits'!J2535:J2539),"")</f>
        <v/>
      </c>
      <c r="K2539" s="3">
        <f>IF(ISNUMBER(AVERAGE('20250815_ETF_Options_Exhibits'!K2535:K2539)),AVERAGE('20250815_ETF_Options_Exhibits'!K2535:K2539),"")</f>
        <v/>
      </c>
      <c r="L2539" s="3">
        <f>IF(ISNUMBER(AVERAGE('20250815_ETF_Options_Exhibits'!L2535:L2539)),AVERAGE('20250815_ETF_Options_Exhibits'!L2535:L2539),"")</f>
        <v/>
      </c>
      <c r="M2539" s="3">
        <f>IF(ISNUMBER(AVERAGE('20250815_ETF_Options_Exhibits'!M2535:M2539)),AVERAGE('20250815_ETF_Options_Exhibits'!M2535:M2539),"")</f>
        <v/>
      </c>
      <c r="N2539" s="3">
        <f>IF(ISNUMBER(AVERAGE('20250815_ETF_Options_Exhibits'!N2535:N2539)),AVERAGE('20250815_ETF_Options_Exhibits'!N2535:N2539),"")</f>
        <v/>
      </c>
      <c r="O2539" s="3">
        <f>IF(ISNUMBER(AVERAGE('20250815_ETF_Options_Exhibits'!O2535:O2539)),AVERAGE('20250815_ETF_Options_Exhibits'!O2535:O2539),"")</f>
        <v/>
      </c>
      <c r="P2539" s="3">
        <f>IF(ISNUMBER(AVERAGE('20250815_ETF_Options_Exhibits'!P2535:P2539)),AVERAGE('20250815_ETF_Options_Exhibits'!P2535:P2539),"")</f>
        <v/>
      </c>
      <c r="Q2539" s="3">
        <f>IF(ISNUMBER(AVERAGE('20250815_ETF_Options_Exhibits'!Q2535:Q2539)),AVERAGE('20250815_ETF_Options_Exhibits'!Q2535:Q2539),"")</f>
        <v/>
      </c>
      <c r="R2539" s="3">
        <f>IF(ISNUMBER(AVERAGE('20250815_ETF_Options_Exhibits'!R2535:R2539)),AVERAGE('20250815_ETF_Options_Exhibits'!R2535:R2539),"")</f>
        <v/>
      </c>
      <c r="S2539" s="3">
        <f>IF(ISNUMBER(AVERAGE('20250815_ETF_Options_Exhibits'!S2535:S2539)),AVERAGE('20250815_ETF_Options_Exhibits'!S2535:S2539),"")</f>
        <v/>
      </c>
      <c r="T2539" s="3">
        <f>IF(ISNUMBER(AVERAGE('20250815_ETF_Options_Exhibits'!T2535:T2539)),AVERAGE('20250815_ETF_Options_Exhibits'!T2535:T2539),"")</f>
        <v/>
      </c>
      <c r="U2539" s="3">
        <f>IF(ISNUMBER(AVERAGE('20250815_ETF_Options_Exhibits'!U2535:U2539)),AVERAGE('20250815_ETF_Options_Exhibits'!U2535:U2539),"")</f>
        <v/>
      </c>
      <c r="V2539" s="3">
        <f>IF(ISNUMBER(AVERAGE('20250815_ETF_Options_Exhibits'!V2535:V2539)),AVERAGE('20250815_ETF_Options_Exhibits'!V2535:V2539),"")</f>
        <v/>
      </c>
      <c r="W2539" s="3">
        <f>IF(ISNUMBER(AVERAGE('20250815_ETF_Options_Exhibits'!W2535:W2539)),AVERAGE('20250815_ETF_Options_Exhibits'!W2535:W2539),"")</f>
        <v/>
      </c>
      <c r="X2539" s="3">
        <f>IF(ISNUMBER(AVERAGE('20250815_ETF_Options_Exhibits'!X2535:X2539)),AVERAGE('20250815_ETF_Options_Exhibits'!X2535:X2539),"")</f>
        <v/>
      </c>
      <c r="Y2539" s="3">
        <f>IF(ISNUMBER(AVERAGE('20250815_ETF_Options_Exhibits'!Y2535:Y2539)),AVERAGE('20250815_ETF_Options_Exhibits'!Y2535:Y2539),"")</f>
        <v/>
      </c>
      <c r="Z2539" s="3">
        <f>IF(ISNUMBER(AVERAGE('20250815_ETF_Options_Exhibits'!Z2535:Z2539)),AVERAGE('20250815_ETF_Options_Exhibits'!Z2535:Z2539),"")</f>
        <v/>
      </c>
      <c r="AA2539" s="3">
        <f>IF(ISNUMBER(AVERAGE('20250815_ETF_Options_Exhibits'!AA2535:AA2539)),AVERAGE('20250815_ETF_Options_Exhibits'!AA2535:AA2539),"")</f>
        <v/>
      </c>
    </row>
    <row r="2540">
      <c r="A2540" s="1" t="n">
        <v>45692</v>
      </c>
      <c r="B2540" s="3">
        <f>IF(ISNUMBER(AVERAGE('20250815_ETF_Options_Exhibits'!B2536:B2540)),AVERAGE('20250815_ETF_Options_Exhibits'!B2536:B2540),"")</f>
        <v/>
      </c>
      <c r="C2540" s="3">
        <f>IF(ISNUMBER(AVERAGE('20250815_ETF_Options_Exhibits'!C2536:C2540)),AVERAGE('20250815_ETF_Options_Exhibits'!C2536:C2540),"")</f>
        <v/>
      </c>
      <c r="D2540" s="3">
        <f>IF(ISNUMBER(AVERAGE('20250815_ETF_Options_Exhibits'!D2536:D2540)),AVERAGE('20250815_ETF_Options_Exhibits'!D2536:D2540),"")</f>
        <v/>
      </c>
      <c r="E2540" s="3">
        <f>IF(ISNUMBER(AVERAGE('20250815_ETF_Options_Exhibits'!E2536:E2540)),AVERAGE('20250815_ETF_Options_Exhibits'!E2536:E2540),"")</f>
        <v/>
      </c>
      <c r="F2540" s="3">
        <f>IF(ISNUMBER(AVERAGE('20250815_ETF_Options_Exhibits'!F2536:F2540)),AVERAGE('20250815_ETF_Options_Exhibits'!F2536:F2540),"")</f>
        <v/>
      </c>
      <c r="G2540" s="3">
        <f>IF(ISNUMBER(AVERAGE('20250815_ETF_Options_Exhibits'!G2536:G2540)),AVERAGE('20250815_ETF_Options_Exhibits'!G2536:G2540),"")</f>
        <v/>
      </c>
      <c r="H2540" s="3">
        <f>IF(ISNUMBER(AVERAGE('20250815_ETF_Options_Exhibits'!H2536:H2540)),AVERAGE('20250815_ETF_Options_Exhibits'!H2536:H2540),"")</f>
        <v/>
      </c>
      <c r="I2540" s="3">
        <f>IF(ISNUMBER(AVERAGE('20250815_ETF_Options_Exhibits'!I2536:I2540)),AVERAGE('20250815_ETF_Options_Exhibits'!I2536:I2540),"")</f>
        <v/>
      </c>
      <c r="J2540" s="3">
        <f>IF(ISNUMBER(AVERAGE('20250815_ETF_Options_Exhibits'!J2536:J2540)),AVERAGE('20250815_ETF_Options_Exhibits'!J2536:J2540),"")</f>
        <v/>
      </c>
      <c r="K2540" s="3">
        <f>IF(ISNUMBER(AVERAGE('20250815_ETF_Options_Exhibits'!K2536:K2540)),AVERAGE('20250815_ETF_Options_Exhibits'!K2536:K2540),"")</f>
        <v/>
      </c>
      <c r="L2540" s="3">
        <f>IF(ISNUMBER(AVERAGE('20250815_ETF_Options_Exhibits'!L2536:L2540)),AVERAGE('20250815_ETF_Options_Exhibits'!L2536:L2540),"")</f>
        <v/>
      </c>
      <c r="M2540" s="3">
        <f>IF(ISNUMBER(AVERAGE('20250815_ETF_Options_Exhibits'!M2536:M2540)),AVERAGE('20250815_ETF_Options_Exhibits'!M2536:M2540),"")</f>
        <v/>
      </c>
      <c r="N2540" s="3">
        <f>IF(ISNUMBER(AVERAGE('20250815_ETF_Options_Exhibits'!N2536:N2540)),AVERAGE('20250815_ETF_Options_Exhibits'!N2536:N2540),"")</f>
        <v/>
      </c>
      <c r="O2540" s="3">
        <f>IF(ISNUMBER(AVERAGE('20250815_ETF_Options_Exhibits'!O2536:O2540)),AVERAGE('20250815_ETF_Options_Exhibits'!O2536:O2540),"")</f>
        <v/>
      </c>
      <c r="P2540" s="3">
        <f>IF(ISNUMBER(AVERAGE('20250815_ETF_Options_Exhibits'!P2536:P2540)),AVERAGE('20250815_ETF_Options_Exhibits'!P2536:P2540),"")</f>
        <v/>
      </c>
      <c r="Q2540" s="3">
        <f>IF(ISNUMBER(AVERAGE('20250815_ETF_Options_Exhibits'!Q2536:Q2540)),AVERAGE('20250815_ETF_Options_Exhibits'!Q2536:Q2540),"")</f>
        <v/>
      </c>
      <c r="R2540" s="3">
        <f>IF(ISNUMBER(AVERAGE('20250815_ETF_Options_Exhibits'!R2536:R2540)),AVERAGE('20250815_ETF_Options_Exhibits'!R2536:R2540),"")</f>
        <v/>
      </c>
      <c r="S2540" s="3">
        <f>IF(ISNUMBER(AVERAGE('20250815_ETF_Options_Exhibits'!S2536:S2540)),AVERAGE('20250815_ETF_Options_Exhibits'!S2536:S2540),"")</f>
        <v/>
      </c>
      <c r="T2540" s="3">
        <f>IF(ISNUMBER(AVERAGE('20250815_ETF_Options_Exhibits'!T2536:T2540)),AVERAGE('20250815_ETF_Options_Exhibits'!T2536:T2540),"")</f>
        <v/>
      </c>
      <c r="U2540" s="3">
        <f>IF(ISNUMBER(AVERAGE('20250815_ETF_Options_Exhibits'!U2536:U2540)),AVERAGE('20250815_ETF_Options_Exhibits'!U2536:U2540),"")</f>
        <v/>
      </c>
      <c r="V2540" s="3">
        <f>IF(ISNUMBER(AVERAGE('20250815_ETF_Options_Exhibits'!V2536:V2540)),AVERAGE('20250815_ETF_Options_Exhibits'!V2536:V2540),"")</f>
        <v/>
      </c>
      <c r="W2540" s="3">
        <f>IF(ISNUMBER(AVERAGE('20250815_ETF_Options_Exhibits'!W2536:W2540)),AVERAGE('20250815_ETF_Options_Exhibits'!W2536:W2540),"")</f>
        <v/>
      </c>
      <c r="X2540" s="3">
        <f>IF(ISNUMBER(AVERAGE('20250815_ETF_Options_Exhibits'!X2536:X2540)),AVERAGE('20250815_ETF_Options_Exhibits'!X2536:X2540),"")</f>
        <v/>
      </c>
      <c r="Y2540" s="3">
        <f>IF(ISNUMBER(AVERAGE('20250815_ETF_Options_Exhibits'!Y2536:Y2540)),AVERAGE('20250815_ETF_Options_Exhibits'!Y2536:Y2540),"")</f>
        <v/>
      </c>
      <c r="Z2540" s="3">
        <f>IF(ISNUMBER(AVERAGE('20250815_ETF_Options_Exhibits'!Z2536:Z2540)),AVERAGE('20250815_ETF_Options_Exhibits'!Z2536:Z2540),"")</f>
        <v/>
      </c>
      <c r="AA2540" s="3">
        <f>IF(ISNUMBER(AVERAGE('20250815_ETF_Options_Exhibits'!AA2536:AA2540)),AVERAGE('20250815_ETF_Options_Exhibits'!AA2536:AA2540),"")</f>
        <v/>
      </c>
    </row>
    <row r="2541">
      <c r="A2541" s="1" t="n">
        <v>45693</v>
      </c>
      <c r="B2541" s="3">
        <f>IF(ISNUMBER(AVERAGE('20250815_ETF_Options_Exhibits'!B2537:B2541)),AVERAGE('20250815_ETF_Options_Exhibits'!B2537:B2541),"")</f>
        <v/>
      </c>
      <c r="C2541" s="3">
        <f>IF(ISNUMBER(AVERAGE('20250815_ETF_Options_Exhibits'!C2537:C2541)),AVERAGE('20250815_ETF_Options_Exhibits'!C2537:C2541),"")</f>
        <v/>
      </c>
      <c r="D2541" s="3">
        <f>IF(ISNUMBER(AVERAGE('20250815_ETF_Options_Exhibits'!D2537:D2541)),AVERAGE('20250815_ETF_Options_Exhibits'!D2537:D2541),"")</f>
        <v/>
      </c>
      <c r="E2541" s="3">
        <f>IF(ISNUMBER(AVERAGE('20250815_ETF_Options_Exhibits'!E2537:E2541)),AVERAGE('20250815_ETF_Options_Exhibits'!E2537:E2541),"")</f>
        <v/>
      </c>
      <c r="F2541" s="3">
        <f>IF(ISNUMBER(AVERAGE('20250815_ETF_Options_Exhibits'!F2537:F2541)),AVERAGE('20250815_ETF_Options_Exhibits'!F2537:F2541),"")</f>
        <v/>
      </c>
      <c r="G2541" s="3">
        <f>IF(ISNUMBER(AVERAGE('20250815_ETF_Options_Exhibits'!G2537:G2541)),AVERAGE('20250815_ETF_Options_Exhibits'!G2537:G2541),"")</f>
        <v/>
      </c>
      <c r="H2541" s="3">
        <f>IF(ISNUMBER(AVERAGE('20250815_ETF_Options_Exhibits'!H2537:H2541)),AVERAGE('20250815_ETF_Options_Exhibits'!H2537:H2541),"")</f>
        <v/>
      </c>
      <c r="I2541" s="3">
        <f>IF(ISNUMBER(AVERAGE('20250815_ETF_Options_Exhibits'!I2537:I2541)),AVERAGE('20250815_ETF_Options_Exhibits'!I2537:I2541),"")</f>
        <v/>
      </c>
      <c r="J2541" s="3">
        <f>IF(ISNUMBER(AVERAGE('20250815_ETF_Options_Exhibits'!J2537:J2541)),AVERAGE('20250815_ETF_Options_Exhibits'!J2537:J2541),"")</f>
        <v/>
      </c>
      <c r="K2541" s="3">
        <f>IF(ISNUMBER(AVERAGE('20250815_ETF_Options_Exhibits'!K2537:K2541)),AVERAGE('20250815_ETF_Options_Exhibits'!K2537:K2541),"")</f>
        <v/>
      </c>
      <c r="L2541" s="3">
        <f>IF(ISNUMBER(AVERAGE('20250815_ETF_Options_Exhibits'!L2537:L2541)),AVERAGE('20250815_ETF_Options_Exhibits'!L2537:L2541),"")</f>
        <v/>
      </c>
      <c r="M2541" s="3">
        <f>IF(ISNUMBER(AVERAGE('20250815_ETF_Options_Exhibits'!M2537:M2541)),AVERAGE('20250815_ETF_Options_Exhibits'!M2537:M2541),"")</f>
        <v/>
      </c>
      <c r="N2541" s="3">
        <f>IF(ISNUMBER(AVERAGE('20250815_ETF_Options_Exhibits'!N2537:N2541)),AVERAGE('20250815_ETF_Options_Exhibits'!N2537:N2541),"")</f>
        <v/>
      </c>
      <c r="O2541" s="3">
        <f>IF(ISNUMBER(AVERAGE('20250815_ETF_Options_Exhibits'!O2537:O2541)),AVERAGE('20250815_ETF_Options_Exhibits'!O2537:O2541),"")</f>
        <v/>
      </c>
      <c r="P2541" s="3">
        <f>IF(ISNUMBER(AVERAGE('20250815_ETF_Options_Exhibits'!P2537:P2541)),AVERAGE('20250815_ETF_Options_Exhibits'!P2537:P2541),"")</f>
        <v/>
      </c>
      <c r="Q2541" s="3">
        <f>IF(ISNUMBER(AVERAGE('20250815_ETF_Options_Exhibits'!Q2537:Q2541)),AVERAGE('20250815_ETF_Options_Exhibits'!Q2537:Q2541),"")</f>
        <v/>
      </c>
      <c r="R2541" s="3">
        <f>IF(ISNUMBER(AVERAGE('20250815_ETF_Options_Exhibits'!R2537:R2541)),AVERAGE('20250815_ETF_Options_Exhibits'!R2537:R2541),"")</f>
        <v/>
      </c>
      <c r="S2541" s="3">
        <f>IF(ISNUMBER(AVERAGE('20250815_ETF_Options_Exhibits'!S2537:S2541)),AVERAGE('20250815_ETF_Options_Exhibits'!S2537:S2541),"")</f>
        <v/>
      </c>
      <c r="T2541" s="3">
        <f>IF(ISNUMBER(AVERAGE('20250815_ETF_Options_Exhibits'!T2537:T2541)),AVERAGE('20250815_ETF_Options_Exhibits'!T2537:T2541),"")</f>
        <v/>
      </c>
      <c r="U2541" s="3">
        <f>IF(ISNUMBER(AVERAGE('20250815_ETF_Options_Exhibits'!U2537:U2541)),AVERAGE('20250815_ETF_Options_Exhibits'!U2537:U2541),"")</f>
        <v/>
      </c>
      <c r="V2541" s="3">
        <f>IF(ISNUMBER(AVERAGE('20250815_ETF_Options_Exhibits'!V2537:V2541)),AVERAGE('20250815_ETF_Options_Exhibits'!V2537:V2541),"")</f>
        <v/>
      </c>
      <c r="W2541" s="3">
        <f>IF(ISNUMBER(AVERAGE('20250815_ETF_Options_Exhibits'!W2537:W2541)),AVERAGE('20250815_ETF_Options_Exhibits'!W2537:W2541),"")</f>
        <v/>
      </c>
      <c r="X2541" s="3">
        <f>IF(ISNUMBER(AVERAGE('20250815_ETF_Options_Exhibits'!X2537:X2541)),AVERAGE('20250815_ETF_Options_Exhibits'!X2537:X2541),"")</f>
        <v/>
      </c>
      <c r="Y2541" s="3">
        <f>IF(ISNUMBER(AVERAGE('20250815_ETF_Options_Exhibits'!Y2537:Y2541)),AVERAGE('20250815_ETF_Options_Exhibits'!Y2537:Y2541),"")</f>
        <v/>
      </c>
      <c r="Z2541" s="3">
        <f>IF(ISNUMBER(AVERAGE('20250815_ETF_Options_Exhibits'!Z2537:Z2541)),AVERAGE('20250815_ETF_Options_Exhibits'!Z2537:Z2541),"")</f>
        <v/>
      </c>
      <c r="AA2541" s="3">
        <f>IF(ISNUMBER(AVERAGE('20250815_ETF_Options_Exhibits'!AA2537:AA2541)),AVERAGE('20250815_ETF_Options_Exhibits'!AA2537:AA2541),"")</f>
        <v/>
      </c>
    </row>
    <row r="2542">
      <c r="A2542" s="1" t="n">
        <v>45694</v>
      </c>
      <c r="B2542" s="3">
        <f>IF(ISNUMBER(AVERAGE('20250815_ETF_Options_Exhibits'!B2538:B2542)),AVERAGE('20250815_ETF_Options_Exhibits'!B2538:B2542),"")</f>
        <v/>
      </c>
      <c r="C2542" s="3">
        <f>IF(ISNUMBER(AVERAGE('20250815_ETF_Options_Exhibits'!C2538:C2542)),AVERAGE('20250815_ETF_Options_Exhibits'!C2538:C2542),"")</f>
        <v/>
      </c>
      <c r="D2542" s="3">
        <f>IF(ISNUMBER(AVERAGE('20250815_ETF_Options_Exhibits'!D2538:D2542)),AVERAGE('20250815_ETF_Options_Exhibits'!D2538:D2542),"")</f>
        <v/>
      </c>
      <c r="E2542" s="3">
        <f>IF(ISNUMBER(AVERAGE('20250815_ETF_Options_Exhibits'!E2538:E2542)),AVERAGE('20250815_ETF_Options_Exhibits'!E2538:E2542),"")</f>
        <v/>
      </c>
      <c r="F2542" s="3">
        <f>IF(ISNUMBER(AVERAGE('20250815_ETF_Options_Exhibits'!F2538:F2542)),AVERAGE('20250815_ETF_Options_Exhibits'!F2538:F2542),"")</f>
        <v/>
      </c>
      <c r="G2542" s="3">
        <f>IF(ISNUMBER(AVERAGE('20250815_ETF_Options_Exhibits'!G2538:G2542)),AVERAGE('20250815_ETF_Options_Exhibits'!G2538:G2542),"")</f>
        <v/>
      </c>
      <c r="H2542" s="3">
        <f>IF(ISNUMBER(AVERAGE('20250815_ETF_Options_Exhibits'!H2538:H2542)),AVERAGE('20250815_ETF_Options_Exhibits'!H2538:H2542),"")</f>
        <v/>
      </c>
      <c r="I2542" s="3">
        <f>IF(ISNUMBER(AVERAGE('20250815_ETF_Options_Exhibits'!I2538:I2542)),AVERAGE('20250815_ETF_Options_Exhibits'!I2538:I2542),"")</f>
        <v/>
      </c>
      <c r="J2542" s="3">
        <f>IF(ISNUMBER(AVERAGE('20250815_ETF_Options_Exhibits'!J2538:J2542)),AVERAGE('20250815_ETF_Options_Exhibits'!J2538:J2542),"")</f>
        <v/>
      </c>
      <c r="K2542" s="3">
        <f>IF(ISNUMBER(AVERAGE('20250815_ETF_Options_Exhibits'!K2538:K2542)),AVERAGE('20250815_ETF_Options_Exhibits'!K2538:K2542),"")</f>
        <v/>
      </c>
      <c r="L2542" s="3">
        <f>IF(ISNUMBER(AVERAGE('20250815_ETF_Options_Exhibits'!L2538:L2542)),AVERAGE('20250815_ETF_Options_Exhibits'!L2538:L2542),"")</f>
        <v/>
      </c>
      <c r="M2542" s="3">
        <f>IF(ISNUMBER(AVERAGE('20250815_ETF_Options_Exhibits'!M2538:M2542)),AVERAGE('20250815_ETF_Options_Exhibits'!M2538:M2542),"")</f>
        <v/>
      </c>
      <c r="N2542" s="3">
        <f>IF(ISNUMBER(AVERAGE('20250815_ETF_Options_Exhibits'!N2538:N2542)),AVERAGE('20250815_ETF_Options_Exhibits'!N2538:N2542),"")</f>
        <v/>
      </c>
      <c r="O2542" s="3">
        <f>IF(ISNUMBER(AVERAGE('20250815_ETF_Options_Exhibits'!O2538:O2542)),AVERAGE('20250815_ETF_Options_Exhibits'!O2538:O2542),"")</f>
        <v/>
      </c>
      <c r="P2542" s="3">
        <f>IF(ISNUMBER(AVERAGE('20250815_ETF_Options_Exhibits'!P2538:P2542)),AVERAGE('20250815_ETF_Options_Exhibits'!P2538:P2542),"")</f>
        <v/>
      </c>
      <c r="Q2542" s="3">
        <f>IF(ISNUMBER(AVERAGE('20250815_ETF_Options_Exhibits'!Q2538:Q2542)),AVERAGE('20250815_ETF_Options_Exhibits'!Q2538:Q2542),"")</f>
        <v/>
      </c>
      <c r="R2542" s="3">
        <f>IF(ISNUMBER(AVERAGE('20250815_ETF_Options_Exhibits'!R2538:R2542)),AVERAGE('20250815_ETF_Options_Exhibits'!R2538:R2542),"")</f>
        <v/>
      </c>
      <c r="S2542" s="3">
        <f>IF(ISNUMBER(AVERAGE('20250815_ETF_Options_Exhibits'!S2538:S2542)),AVERAGE('20250815_ETF_Options_Exhibits'!S2538:S2542),"")</f>
        <v/>
      </c>
      <c r="T2542" s="3">
        <f>IF(ISNUMBER(AVERAGE('20250815_ETF_Options_Exhibits'!T2538:T2542)),AVERAGE('20250815_ETF_Options_Exhibits'!T2538:T2542),"")</f>
        <v/>
      </c>
      <c r="U2542" s="3">
        <f>IF(ISNUMBER(AVERAGE('20250815_ETF_Options_Exhibits'!U2538:U2542)),AVERAGE('20250815_ETF_Options_Exhibits'!U2538:U2542),"")</f>
        <v/>
      </c>
      <c r="V2542" s="3">
        <f>IF(ISNUMBER(AVERAGE('20250815_ETF_Options_Exhibits'!V2538:V2542)),AVERAGE('20250815_ETF_Options_Exhibits'!V2538:V2542),"")</f>
        <v/>
      </c>
      <c r="W2542" s="3">
        <f>IF(ISNUMBER(AVERAGE('20250815_ETF_Options_Exhibits'!W2538:W2542)),AVERAGE('20250815_ETF_Options_Exhibits'!W2538:W2542),"")</f>
        <v/>
      </c>
      <c r="X2542" s="3">
        <f>IF(ISNUMBER(AVERAGE('20250815_ETF_Options_Exhibits'!X2538:X2542)),AVERAGE('20250815_ETF_Options_Exhibits'!X2538:X2542),"")</f>
        <v/>
      </c>
      <c r="Y2542" s="3">
        <f>IF(ISNUMBER(AVERAGE('20250815_ETF_Options_Exhibits'!Y2538:Y2542)),AVERAGE('20250815_ETF_Options_Exhibits'!Y2538:Y2542),"")</f>
        <v/>
      </c>
      <c r="Z2542" s="3">
        <f>IF(ISNUMBER(AVERAGE('20250815_ETF_Options_Exhibits'!Z2538:Z2542)),AVERAGE('20250815_ETF_Options_Exhibits'!Z2538:Z2542),"")</f>
        <v/>
      </c>
      <c r="AA2542" s="3">
        <f>IF(ISNUMBER(AVERAGE('20250815_ETF_Options_Exhibits'!AA2538:AA2542)),AVERAGE('20250815_ETF_Options_Exhibits'!AA2538:AA2542),"")</f>
        <v/>
      </c>
    </row>
    <row r="2543">
      <c r="A2543" s="1" t="n">
        <v>45695</v>
      </c>
      <c r="B2543" s="3">
        <f>IF(ISNUMBER(AVERAGE('20250815_ETF_Options_Exhibits'!B2539:B2543)),AVERAGE('20250815_ETF_Options_Exhibits'!B2539:B2543),"")</f>
        <v/>
      </c>
      <c r="C2543" s="3">
        <f>IF(ISNUMBER(AVERAGE('20250815_ETF_Options_Exhibits'!C2539:C2543)),AVERAGE('20250815_ETF_Options_Exhibits'!C2539:C2543),"")</f>
        <v/>
      </c>
      <c r="D2543" s="3">
        <f>IF(ISNUMBER(AVERAGE('20250815_ETF_Options_Exhibits'!D2539:D2543)),AVERAGE('20250815_ETF_Options_Exhibits'!D2539:D2543),"")</f>
        <v/>
      </c>
      <c r="E2543" s="3">
        <f>IF(ISNUMBER(AVERAGE('20250815_ETF_Options_Exhibits'!E2539:E2543)),AVERAGE('20250815_ETF_Options_Exhibits'!E2539:E2543),"")</f>
        <v/>
      </c>
      <c r="F2543" s="3">
        <f>IF(ISNUMBER(AVERAGE('20250815_ETF_Options_Exhibits'!F2539:F2543)),AVERAGE('20250815_ETF_Options_Exhibits'!F2539:F2543),"")</f>
        <v/>
      </c>
      <c r="G2543" s="3">
        <f>IF(ISNUMBER(AVERAGE('20250815_ETF_Options_Exhibits'!G2539:G2543)),AVERAGE('20250815_ETF_Options_Exhibits'!G2539:G2543),"")</f>
        <v/>
      </c>
      <c r="H2543" s="3">
        <f>IF(ISNUMBER(AVERAGE('20250815_ETF_Options_Exhibits'!H2539:H2543)),AVERAGE('20250815_ETF_Options_Exhibits'!H2539:H2543),"")</f>
        <v/>
      </c>
      <c r="I2543" s="3">
        <f>IF(ISNUMBER(AVERAGE('20250815_ETF_Options_Exhibits'!I2539:I2543)),AVERAGE('20250815_ETF_Options_Exhibits'!I2539:I2543),"")</f>
        <v/>
      </c>
      <c r="J2543" s="3">
        <f>IF(ISNUMBER(AVERAGE('20250815_ETF_Options_Exhibits'!J2539:J2543)),AVERAGE('20250815_ETF_Options_Exhibits'!J2539:J2543),"")</f>
        <v/>
      </c>
      <c r="K2543" s="3">
        <f>IF(ISNUMBER(AVERAGE('20250815_ETF_Options_Exhibits'!K2539:K2543)),AVERAGE('20250815_ETF_Options_Exhibits'!K2539:K2543),"")</f>
        <v/>
      </c>
      <c r="L2543" s="3">
        <f>IF(ISNUMBER(AVERAGE('20250815_ETF_Options_Exhibits'!L2539:L2543)),AVERAGE('20250815_ETF_Options_Exhibits'!L2539:L2543),"")</f>
        <v/>
      </c>
      <c r="M2543" s="3">
        <f>IF(ISNUMBER(AVERAGE('20250815_ETF_Options_Exhibits'!M2539:M2543)),AVERAGE('20250815_ETF_Options_Exhibits'!M2539:M2543),"")</f>
        <v/>
      </c>
      <c r="N2543" s="3">
        <f>IF(ISNUMBER(AVERAGE('20250815_ETF_Options_Exhibits'!N2539:N2543)),AVERAGE('20250815_ETF_Options_Exhibits'!N2539:N2543),"")</f>
        <v/>
      </c>
      <c r="O2543" s="3">
        <f>IF(ISNUMBER(AVERAGE('20250815_ETF_Options_Exhibits'!O2539:O2543)),AVERAGE('20250815_ETF_Options_Exhibits'!O2539:O2543),"")</f>
        <v/>
      </c>
      <c r="P2543" s="3">
        <f>IF(ISNUMBER(AVERAGE('20250815_ETF_Options_Exhibits'!P2539:P2543)),AVERAGE('20250815_ETF_Options_Exhibits'!P2539:P2543),"")</f>
        <v/>
      </c>
      <c r="Q2543" s="3">
        <f>IF(ISNUMBER(AVERAGE('20250815_ETF_Options_Exhibits'!Q2539:Q2543)),AVERAGE('20250815_ETF_Options_Exhibits'!Q2539:Q2543),"")</f>
        <v/>
      </c>
      <c r="R2543" s="3">
        <f>IF(ISNUMBER(AVERAGE('20250815_ETF_Options_Exhibits'!R2539:R2543)),AVERAGE('20250815_ETF_Options_Exhibits'!R2539:R2543),"")</f>
        <v/>
      </c>
      <c r="S2543" s="3">
        <f>IF(ISNUMBER(AVERAGE('20250815_ETF_Options_Exhibits'!S2539:S2543)),AVERAGE('20250815_ETF_Options_Exhibits'!S2539:S2543),"")</f>
        <v/>
      </c>
      <c r="T2543" s="3">
        <f>IF(ISNUMBER(AVERAGE('20250815_ETF_Options_Exhibits'!T2539:T2543)),AVERAGE('20250815_ETF_Options_Exhibits'!T2539:T2543),"")</f>
        <v/>
      </c>
      <c r="U2543" s="3">
        <f>IF(ISNUMBER(AVERAGE('20250815_ETF_Options_Exhibits'!U2539:U2543)),AVERAGE('20250815_ETF_Options_Exhibits'!U2539:U2543),"")</f>
        <v/>
      </c>
      <c r="V2543" s="3">
        <f>IF(ISNUMBER(AVERAGE('20250815_ETF_Options_Exhibits'!V2539:V2543)),AVERAGE('20250815_ETF_Options_Exhibits'!V2539:V2543),"")</f>
        <v/>
      </c>
      <c r="W2543" s="3">
        <f>IF(ISNUMBER(AVERAGE('20250815_ETF_Options_Exhibits'!W2539:W2543)),AVERAGE('20250815_ETF_Options_Exhibits'!W2539:W2543),"")</f>
        <v/>
      </c>
      <c r="X2543" s="3">
        <f>IF(ISNUMBER(AVERAGE('20250815_ETF_Options_Exhibits'!X2539:X2543)),AVERAGE('20250815_ETF_Options_Exhibits'!X2539:X2543),"")</f>
        <v/>
      </c>
      <c r="Y2543" s="3">
        <f>IF(ISNUMBER(AVERAGE('20250815_ETF_Options_Exhibits'!Y2539:Y2543)),AVERAGE('20250815_ETF_Options_Exhibits'!Y2539:Y2543),"")</f>
        <v/>
      </c>
      <c r="Z2543" s="3">
        <f>IF(ISNUMBER(AVERAGE('20250815_ETF_Options_Exhibits'!Z2539:Z2543)),AVERAGE('20250815_ETF_Options_Exhibits'!Z2539:Z2543),"")</f>
        <v/>
      </c>
      <c r="AA2543" s="3">
        <f>IF(ISNUMBER(AVERAGE('20250815_ETF_Options_Exhibits'!AA2539:AA2543)),AVERAGE('20250815_ETF_Options_Exhibits'!AA2539:AA2543),"")</f>
        <v/>
      </c>
    </row>
    <row r="2544">
      <c r="A2544" s="1" t="n">
        <v>45698</v>
      </c>
      <c r="B2544" s="3">
        <f>IF(ISNUMBER(AVERAGE('20250815_ETF_Options_Exhibits'!B2540:B2544)),AVERAGE('20250815_ETF_Options_Exhibits'!B2540:B2544),"")</f>
        <v/>
      </c>
      <c r="C2544" s="3">
        <f>IF(ISNUMBER(AVERAGE('20250815_ETF_Options_Exhibits'!C2540:C2544)),AVERAGE('20250815_ETF_Options_Exhibits'!C2540:C2544),"")</f>
        <v/>
      </c>
      <c r="D2544" s="3">
        <f>IF(ISNUMBER(AVERAGE('20250815_ETF_Options_Exhibits'!D2540:D2544)),AVERAGE('20250815_ETF_Options_Exhibits'!D2540:D2544),"")</f>
        <v/>
      </c>
      <c r="E2544" s="3">
        <f>IF(ISNUMBER(AVERAGE('20250815_ETF_Options_Exhibits'!E2540:E2544)),AVERAGE('20250815_ETF_Options_Exhibits'!E2540:E2544),"")</f>
        <v/>
      </c>
      <c r="F2544" s="3">
        <f>IF(ISNUMBER(AVERAGE('20250815_ETF_Options_Exhibits'!F2540:F2544)),AVERAGE('20250815_ETF_Options_Exhibits'!F2540:F2544),"")</f>
        <v/>
      </c>
      <c r="G2544" s="3">
        <f>IF(ISNUMBER(AVERAGE('20250815_ETF_Options_Exhibits'!G2540:G2544)),AVERAGE('20250815_ETF_Options_Exhibits'!G2540:G2544),"")</f>
        <v/>
      </c>
      <c r="H2544" s="3">
        <f>IF(ISNUMBER(AVERAGE('20250815_ETF_Options_Exhibits'!H2540:H2544)),AVERAGE('20250815_ETF_Options_Exhibits'!H2540:H2544),"")</f>
        <v/>
      </c>
      <c r="I2544" s="3">
        <f>IF(ISNUMBER(AVERAGE('20250815_ETF_Options_Exhibits'!I2540:I2544)),AVERAGE('20250815_ETF_Options_Exhibits'!I2540:I2544),"")</f>
        <v/>
      </c>
      <c r="J2544" s="3">
        <f>IF(ISNUMBER(AVERAGE('20250815_ETF_Options_Exhibits'!J2540:J2544)),AVERAGE('20250815_ETF_Options_Exhibits'!J2540:J2544),"")</f>
        <v/>
      </c>
      <c r="K2544" s="3">
        <f>IF(ISNUMBER(AVERAGE('20250815_ETF_Options_Exhibits'!K2540:K2544)),AVERAGE('20250815_ETF_Options_Exhibits'!K2540:K2544),"")</f>
        <v/>
      </c>
      <c r="L2544" s="3">
        <f>IF(ISNUMBER(AVERAGE('20250815_ETF_Options_Exhibits'!L2540:L2544)),AVERAGE('20250815_ETF_Options_Exhibits'!L2540:L2544),"")</f>
        <v/>
      </c>
      <c r="M2544" s="3">
        <f>IF(ISNUMBER(AVERAGE('20250815_ETF_Options_Exhibits'!M2540:M2544)),AVERAGE('20250815_ETF_Options_Exhibits'!M2540:M2544),"")</f>
        <v/>
      </c>
      <c r="N2544" s="3">
        <f>IF(ISNUMBER(AVERAGE('20250815_ETF_Options_Exhibits'!N2540:N2544)),AVERAGE('20250815_ETF_Options_Exhibits'!N2540:N2544),"")</f>
        <v/>
      </c>
      <c r="O2544" s="3">
        <f>IF(ISNUMBER(AVERAGE('20250815_ETF_Options_Exhibits'!O2540:O2544)),AVERAGE('20250815_ETF_Options_Exhibits'!O2540:O2544),"")</f>
        <v/>
      </c>
      <c r="P2544" s="3">
        <f>IF(ISNUMBER(AVERAGE('20250815_ETF_Options_Exhibits'!P2540:P2544)),AVERAGE('20250815_ETF_Options_Exhibits'!P2540:P2544),"")</f>
        <v/>
      </c>
      <c r="Q2544" s="3">
        <f>IF(ISNUMBER(AVERAGE('20250815_ETF_Options_Exhibits'!Q2540:Q2544)),AVERAGE('20250815_ETF_Options_Exhibits'!Q2540:Q2544),"")</f>
        <v/>
      </c>
      <c r="R2544" s="3">
        <f>IF(ISNUMBER(AVERAGE('20250815_ETF_Options_Exhibits'!R2540:R2544)),AVERAGE('20250815_ETF_Options_Exhibits'!R2540:R2544),"")</f>
        <v/>
      </c>
      <c r="S2544" s="3">
        <f>IF(ISNUMBER(AVERAGE('20250815_ETF_Options_Exhibits'!S2540:S2544)),AVERAGE('20250815_ETF_Options_Exhibits'!S2540:S2544),"")</f>
        <v/>
      </c>
      <c r="T2544" s="3">
        <f>IF(ISNUMBER(AVERAGE('20250815_ETF_Options_Exhibits'!T2540:T2544)),AVERAGE('20250815_ETF_Options_Exhibits'!T2540:T2544),"")</f>
        <v/>
      </c>
      <c r="U2544" s="3">
        <f>IF(ISNUMBER(AVERAGE('20250815_ETF_Options_Exhibits'!U2540:U2544)),AVERAGE('20250815_ETF_Options_Exhibits'!U2540:U2544),"")</f>
        <v/>
      </c>
      <c r="V2544" s="3">
        <f>IF(ISNUMBER(AVERAGE('20250815_ETF_Options_Exhibits'!V2540:V2544)),AVERAGE('20250815_ETF_Options_Exhibits'!V2540:V2544),"")</f>
        <v/>
      </c>
      <c r="W2544" s="3">
        <f>IF(ISNUMBER(AVERAGE('20250815_ETF_Options_Exhibits'!W2540:W2544)),AVERAGE('20250815_ETF_Options_Exhibits'!W2540:W2544),"")</f>
        <v/>
      </c>
      <c r="X2544" s="3">
        <f>IF(ISNUMBER(AVERAGE('20250815_ETF_Options_Exhibits'!X2540:X2544)),AVERAGE('20250815_ETF_Options_Exhibits'!X2540:X2544),"")</f>
        <v/>
      </c>
      <c r="Y2544" s="3">
        <f>IF(ISNUMBER(AVERAGE('20250815_ETF_Options_Exhibits'!Y2540:Y2544)),AVERAGE('20250815_ETF_Options_Exhibits'!Y2540:Y2544),"")</f>
        <v/>
      </c>
      <c r="Z2544" s="3">
        <f>IF(ISNUMBER(AVERAGE('20250815_ETF_Options_Exhibits'!Z2540:Z2544)),AVERAGE('20250815_ETF_Options_Exhibits'!Z2540:Z2544),"")</f>
        <v/>
      </c>
      <c r="AA2544" s="3">
        <f>IF(ISNUMBER(AVERAGE('20250815_ETF_Options_Exhibits'!AA2540:AA2544)),AVERAGE('20250815_ETF_Options_Exhibits'!AA2540:AA2544),"")</f>
        <v/>
      </c>
    </row>
    <row r="2545">
      <c r="A2545" s="1" t="n">
        <v>45699</v>
      </c>
      <c r="B2545" s="3">
        <f>IF(ISNUMBER(AVERAGE('20250815_ETF_Options_Exhibits'!B2541:B2545)),AVERAGE('20250815_ETF_Options_Exhibits'!B2541:B2545),"")</f>
        <v/>
      </c>
      <c r="C2545" s="3">
        <f>IF(ISNUMBER(AVERAGE('20250815_ETF_Options_Exhibits'!C2541:C2545)),AVERAGE('20250815_ETF_Options_Exhibits'!C2541:C2545),"")</f>
        <v/>
      </c>
      <c r="D2545" s="3">
        <f>IF(ISNUMBER(AVERAGE('20250815_ETF_Options_Exhibits'!D2541:D2545)),AVERAGE('20250815_ETF_Options_Exhibits'!D2541:D2545),"")</f>
        <v/>
      </c>
      <c r="E2545" s="3">
        <f>IF(ISNUMBER(AVERAGE('20250815_ETF_Options_Exhibits'!E2541:E2545)),AVERAGE('20250815_ETF_Options_Exhibits'!E2541:E2545),"")</f>
        <v/>
      </c>
      <c r="F2545" s="3">
        <f>IF(ISNUMBER(AVERAGE('20250815_ETF_Options_Exhibits'!F2541:F2545)),AVERAGE('20250815_ETF_Options_Exhibits'!F2541:F2545),"")</f>
        <v/>
      </c>
      <c r="G2545" s="3">
        <f>IF(ISNUMBER(AVERAGE('20250815_ETF_Options_Exhibits'!G2541:G2545)),AVERAGE('20250815_ETF_Options_Exhibits'!G2541:G2545),"")</f>
        <v/>
      </c>
      <c r="H2545" s="3">
        <f>IF(ISNUMBER(AVERAGE('20250815_ETF_Options_Exhibits'!H2541:H2545)),AVERAGE('20250815_ETF_Options_Exhibits'!H2541:H2545),"")</f>
        <v/>
      </c>
      <c r="I2545" s="3">
        <f>IF(ISNUMBER(AVERAGE('20250815_ETF_Options_Exhibits'!I2541:I2545)),AVERAGE('20250815_ETF_Options_Exhibits'!I2541:I2545),"")</f>
        <v/>
      </c>
      <c r="J2545" s="3">
        <f>IF(ISNUMBER(AVERAGE('20250815_ETF_Options_Exhibits'!J2541:J2545)),AVERAGE('20250815_ETF_Options_Exhibits'!J2541:J2545),"")</f>
        <v/>
      </c>
      <c r="K2545" s="3">
        <f>IF(ISNUMBER(AVERAGE('20250815_ETF_Options_Exhibits'!K2541:K2545)),AVERAGE('20250815_ETF_Options_Exhibits'!K2541:K2545),"")</f>
        <v/>
      </c>
      <c r="L2545" s="3">
        <f>IF(ISNUMBER(AVERAGE('20250815_ETF_Options_Exhibits'!L2541:L2545)),AVERAGE('20250815_ETF_Options_Exhibits'!L2541:L2545),"")</f>
        <v/>
      </c>
      <c r="M2545" s="3">
        <f>IF(ISNUMBER(AVERAGE('20250815_ETF_Options_Exhibits'!M2541:M2545)),AVERAGE('20250815_ETF_Options_Exhibits'!M2541:M2545),"")</f>
        <v/>
      </c>
      <c r="N2545" s="3">
        <f>IF(ISNUMBER(AVERAGE('20250815_ETF_Options_Exhibits'!N2541:N2545)),AVERAGE('20250815_ETF_Options_Exhibits'!N2541:N2545),"")</f>
        <v/>
      </c>
      <c r="O2545" s="3">
        <f>IF(ISNUMBER(AVERAGE('20250815_ETF_Options_Exhibits'!O2541:O2545)),AVERAGE('20250815_ETF_Options_Exhibits'!O2541:O2545),"")</f>
        <v/>
      </c>
      <c r="P2545" s="3">
        <f>IF(ISNUMBER(AVERAGE('20250815_ETF_Options_Exhibits'!P2541:P2545)),AVERAGE('20250815_ETF_Options_Exhibits'!P2541:P2545),"")</f>
        <v/>
      </c>
      <c r="Q2545" s="3">
        <f>IF(ISNUMBER(AVERAGE('20250815_ETF_Options_Exhibits'!Q2541:Q2545)),AVERAGE('20250815_ETF_Options_Exhibits'!Q2541:Q2545),"")</f>
        <v/>
      </c>
      <c r="R2545" s="3">
        <f>IF(ISNUMBER(AVERAGE('20250815_ETF_Options_Exhibits'!R2541:R2545)),AVERAGE('20250815_ETF_Options_Exhibits'!R2541:R2545),"")</f>
        <v/>
      </c>
      <c r="S2545" s="3">
        <f>IF(ISNUMBER(AVERAGE('20250815_ETF_Options_Exhibits'!S2541:S2545)),AVERAGE('20250815_ETF_Options_Exhibits'!S2541:S2545),"")</f>
        <v/>
      </c>
      <c r="T2545" s="3">
        <f>IF(ISNUMBER(AVERAGE('20250815_ETF_Options_Exhibits'!T2541:T2545)),AVERAGE('20250815_ETF_Options_Exhibits'!T2541:T2545),"")</f>
        <v/>
      </c>
      <c r="U2545" s="3">
        <f>IF(ISNUMBER(AVERAGE('20250815_ETF_Options_Exhibits'!U2541:U2545)),AVERAGE('20250815_ETF_Options_Exhibits'!U2541:U2545),"")</f>
        <v/>
      </c>
      <c r="V2545" s="3">
        <f>IF(ISNUMBER(AVERAGE('20250815_ETF_Options_Exhibits'!V2541:V2545)),AVERAGE('20250815_ETF_Options_Exhibits'!V2541:V2545),"")</f>
        <v/>
      </c>
      <c r="W2545" s="3">
        <f>IF(ISNUMBER(AVERAGE('20250815_ETF_Options_Exhibits'!W2541:W2545)),AVERAGE('20250815_ETF_Options_Exhibits'!W2541:W2545),"")</f>
        <v/>
      </c>
      <c r="X2545" s="3">
        <f>IF(ISNUMBER(AVERAGE('20250815_ETF_Options_Exhibits'!X2541:X2545)),AVERAGE('20250815_ETF_Options_Exhibits'!X2541:X2545),"")</f>
        <v/>
      </c>
      <c r="Y2545" s="3">
        <f>IF(ISNUMBER(AVERAGE('20250815_ETF_Options_Exhibits'!Y2541:Y2545)),AVERAGE('20250815_ETF_Options_Exhibits'!Y2541:Y2545),"")</f>
        <v/>
      </c>
      <c r="Z2545" s="3">
        <f>IF(ISNUMBER(AVERAGE('20250815_ETF_Options_Exhibits'!Z2541:Z2545)),AVERAGE('20250815_ETF_Options_Exhibits'!Z2541:Z2545),"")</f>
        <v/>
      </c>
      <c r="AA2545" s="3">
        <f>IF(ISNUMBER(AVERAGE('20250815_ETF_Options_Exhibits'!AA2541:AA2545)),AVERAGE('20250815_ETF_Options_Exhibits'!AA2541:AA2545),"")</f>
        <v/>
      </c>
    </row>
    <row r="2546">
      <c r="A2546" s="1" t="n">
        <v>45700</v>
      </c>
      <c r="B2546" s="3">
        <f>IF(ISNUMBER(AVERAGE('20250815_ETF_Options_Exhibits'!B2542:B2546)),AVERAGE('20250815_ETF_Options_Exhibits'!B2542:B2546),"")</f>
        <v/>
      </c>
      <c r="C2546" s="3">
        <f>IF(ISNUMBER(AVERAGE('20250815_ETF_Options_Exhibits'!C2542:C2546)),AVERAGE('20250815_ETF_Options_Exhibits'!C2542:C2546),"")</f>
        <v/>
      </c>
      <c r="D2546" s="3">
        <f>IF(ISNUMBER(AVERAGE('20250815_ETF_Options_Exhibits'!D2542:D2546)),AVERAGE('20250815_ETF_Options_Exhibits'!D2542:D2546),"")</f>
        <v/>
      </c>
      <c r="E2546" s="3">
        <f>IF(ISNUMBER(AVERAGE('20250815_ETF_Options_Exhibits'!E2542:E2546)),AVERAGE('20250815_ETF_Options_Exhibits'!E2542:E2546),"")</f>
        <v/>
      </c>
      <c r="F2546" s="3">
        <f>IF(ISNUMBER(AVERAGE('20250815_ETF_Options_Exhibits'!F2542:F2546)),AVERAGE('20250815_ETF_Options_Exhibits'!F2542:F2546),"")</f>
        <v/>
      </c>
      <c r="G2546" s="3">
        <f>IF(ISNUMBER(AVERAGE('20250815_ETF_Options_Exhibits'!G2542:G2546)),AVERAGE('20250815_ETF_Options_Exhibits'!G2542:G2546),"")</f>
        <v/>
      </c>
      <c r="H2546" s="3">
        <f>IF(ISNUMBER(AVERAGE('20250815_ETF_Options_Exhibits'!H2542:H2546)),AVERAGE('20250815_ETF_Options_Exhibits'!H2542:H2546),"")</f>
        <v/>
      </c>
      <c r="I2546" s="3">
        <f>IF(ISNUMBER(AVERAGE('20250815_ETF_Options_Exhibits'!I2542:I2546)),AVERAGE('20250815_ETF_Options_Exhibits'!I2542:I2546),"")</f>
        <v/>
      </c>
      <c r="J2546" s="3">
        <f>IF(ISNUMBER(AVERAGE('20250815_ETF_Options_Exhibits'!J2542:J2546)),AVERAGE('20250815_ETF_Options_Exhibits'!J2542:J2546),"")</f>
        <v/>
      </c>
      <c r="K2546" s="3">
        <f>IF(ISNUMBER(AVERAGE('20250815_ETF_Options_Exhibits'!K2542:K2546)),AVERAGE('20250815_ETF_Options_Exhibits'!K2542:K2546),"")</f>
        <v/>
      </c>
      <c r="L2546" s="3">
        <f>IF(ISNUMBER(AVERAGE('20250815_ETF_Options_Exhibits'!L2542:L2546)),AVERAGE('20250815_ETF_Options_Exhibits'!L2542:L2546),"")</f>
        <v/>
      </c>
      <c r="M2546" s="3">
        <f>IF(ISNUMBER(AVERAGE('20250815_ETF_Options_Exhibits'!M2542:M2546)),AVERAGE('20250815_ETF_Options_Exhibits'!M2542:M2546),"")</f>
        <v/>
      </c>
      <c r="N2546" s="3">
        <f>IF(ISNUMBER(AVERAGE('20250815_ETF_Options_Exhibits'!N2542:N2546)),AVERAGE('20250815_ETF_Options_Exhibits'!N2542:N2546),"")</f>
        <v/>
      </c>
      <c r="O2546" s="3">
        <f>IF(ISNUMBER(AVERAGE('20250815_ETF_Options_Exhibits'!O2542:O2546)),AVERAGE('20250815_ETF_Options_Exhibits'!O2542:O2546),"")</f>
        <v/>
      </c>
      <c r="P2546" s="3">
        <f>IF(ISNUMBER(AVERAGE('20250815_ETF_Options_Exhibits'!P2542:P2546)),AVERAGE('20250815_ETF_Options_Exhibits'!P2542:P2546),"")</f>
        <v/>
      </c>
      <c r="Q2546" s="3">
        <f>IF(ISNUMBER(AVERAGE('20250815_ETF_Options_Exhibits'!Q2542:Q2546)),AVERAGE('20250815_ETF_Options_Exhibits'!Q2542:Q2546),"")</f>
        <v/>
      </c>
      <c r="R2546" s="3">
        <f>IF(ISNUMBER(AVERAGE('20250815_ETF_Options_Exhibits'!R2542:R2546)),AVERAGE('20250815_ETF_Options_Exhibits'!R2542:R2546),"")</f>
        <v/>
      </c>
      <c r="S2546" s="3">
        <f>IF(ISNUMBER(AVERAGE('20250815_ETF_Options_Exhibits'!S2542:S2546)),AVERAGE('20250815_ETF_Options_Exhibits'!S2542:S2546),"")</f>
        <v/>
      </c>
      <c r="T2546" s="3">
        <f>IF(ISNUMBER(AVERAGE('20250815_ETF_Options_Exhibits'!T2542:T2546)),AVERAGE('20250815_ETF_Options_Exhibits'!T2542:T2546),"")</f>
        <v/>
      </c>
      <c r="U2546" s="3">
        <f>IF(ISNUMBER(AVERAGE('20250815_ETF_Options_Exhibits'!U2542:U2546)),AVERAGE('20250815_ETF_Options_Exhibits'!U2542:U2546),"")</f>
        <v/>
      </c>
      <c r="V2546" s="3">
        <f>IF(ISNUMBER(AVERAGE('20250815_ETF_Options_Exhibits'!V2542:V2546)),AVERAGE('20250815_ETF_Options_Exhibits'!V2542:V2546),"")</f>
        <v/>
      </c>
      <c r="W2546" s="3">
        <f>IF(ISNUMBER(AVERAGE('20250815_ETF_Options_Exhibits'!W2542:W2546)),AVERAGE('20250815_ETF_Options_Exhibits'!W2542:W2546),"")</f>
        <v/>
      </c>
      <c r="X2546" s="3">
        <f>IF(ISNUMBER(AVERAGE('20250815_ETF_Options_Exhibits'!X2542:X2546)),AVERAGE('20250815_ETF_Options_Exhibits'!X2542:X2546),"")</f>
        <v/>
      </c>
      <c r="Y2546" s="3">
        <f>IF(ISNUMBER(AVERAGE('20250815_ETF_Options_Exhibits'!Y2542:Y2546)),AVERAGE('20250815_ETF_Options_Exhibits'!Y2542:Y2546),"")</f>
        <v/>
      </c>
      <c r="Z2546" s="3">
        <f>IF(ISNUMBER(AVERAGE('20250815_ETF_Options_Exhibits'!Z2542:Z2546)),AVERAGE('20250815_ETF_Options_Exhibits'!Z2542:Z2546),"")</f>
        <v/>
      </c>
      <c r="AA2546" s="3">
        <f>IF(ISNUMBER(AVERAGE('20250815_ETF_Options_Exhibits'!AA2542:AA2546)),AVERAGE('20250815_ETF_Options_Exhibits'!AA2542:AA2546),"")</f>
        <v/>
      </c>
    </row>
    <row r="2547">
      <c r="A2547" s="1" t="n">
        <v>45701</v>
      </c>
      <c r="B2547" s="3">
        <f>IF(ISNUMBER(AVERAGE('20250815_ETF_Options_Exhibits'!B2543:B2547)),AVERAGE('20250815_ETF_Options_Exhibits'!B2543:B2547),"")</f>
        <v/>
      </c>
      <c r="C2547" s="3">
        <f>IF(ISNUMBER(AVERAGE('20250815_ETF_Options_Exhibits'!C2543:C2547)),AVERAGE('20250815_ETF_Options_Exhibits'!C2543:C2547),"")</f>
        <v/>
      </c>
      <c r="D2547" s="3">
        <f>IF(ISNUMBER(AVERAGE('20250815_ETF_Options_Exhibits'!D2543:D2547)),AVERAGE('20250815_ETF_Options_Exhibits'!D2543:D2547),"")</f>
        <v/>
      </c>
      <c r="E2547" s="3">
        <f>IF(ISNUMBER(AVERAGE('20250815_ETF_Options_Exhibits'!E2543:E2547)),AVERAGE('20250815_ETF_Options_Exhibits'!E2543:E2547),"")</f>
        <v/>
      </c>
      <c r="F2547" s="3">
        <f>IF(ISNUMBER(AVERAGE('20250815_ETF_Options_Exhibits'!F2543:F2547)),AVERAGE('20250815_ETF_Options_Exhibits'!F2543:F2547),"")</f>
        <v/>
      </c>
      <c r="G2547" s="3">
        <f>IF(ISNUMBER(AVERAGE('20250815_ETF_Options_Exhibits'!G2543:G2547)),AVERAGE('20250815_ETF_Options_Exhibits'!G2543:G2547),"")</f>
        <v/>
      </c>
      <c r="H2547" s="3">
        <f>IF(ISNUMBER(AVERAGE('20250815_ETF_Options_Exhibits'!H2543:H2547)),AVERAGE('20250815_ETF_Options_Exhibits'!H2543:H2547),"")</f>
        <v/>
      </c>
      <c r="I2547" s="3">
        <f>IF(ISNUMBER(AVERAGE('20250815_ETF_Options_Exhibits'!I2543:I2547)),AVERAGE('20250815_ETF_Options_Exhibits'!I2543:I2547),"")</f>
        <v/>
      </c>
      <c r="J2547" s="3">
        <f>IF(ISNUMBER(AVERAGE('20250815_ETF_Options_Exhibits'!J2543:J2547)),AVERAGE('20250815_ETF_Options_Exhibits'!J2543:J2547),"")</f>
        <v/>
      </c>
      <c r="K2547" s="3">
        <f>IF(ISNUMBER(AVERAGE('20250815_ETF_Options_Exhibits'!K2543:K2547)),AVERAGE('20250815_ETF_Options_Exhibits'!K2543:K2547),"")</f>
        <v/>
      </c>
      <c r="L2547" s="3">
        <f>IF(ISNUMBER(AVERAGE('20250815_ETF_Options_Exhibits'!L2543:L2547)),AVERAGE('20250815_ETF_Options_Exhibits'!L2543:L2547),"")</f>
        <v/>
      </c>
      <c r="M2547" s="3">
        <f>IF(ISNUMBER(AVERAGE('20250815_ETF_Options_Exhibits'!M2543:M2547)),AVERAGE('20250815_ETF_Options_Exhibits'!M2543:M2547),"")</f>
        <v/>
      </c>
      <c r="N2547" s="3">
        <f>IF(ISNUMBER(AVERAGE('20250815_ETF_Options_Exhibits'!N2543:N2547)),AVERAGE('20250815_ETF_Options_Exhibits'!N2543:N2547),"")</f>
        <v/>
      </c>
      <c r="O2547" s="3">
        <f>IF(ISNUMBER(AVERAGE('20250815_ETF_Options_Exhibits'!O2543:O2547)),AVERAGE('20250815_ETF_Options_Exhibits'!O2543:O2547),"")</f>
        <v/>
      </c>
      <c r="P2547" s="3">
        <f>IF(ISNUMBER(AVERAGE('20250815_ETF_Options_Exhibits'!P2543:P2547)),AVERAGE('20250815_ETF_Options_Exhibits'!P2543:P2547),"")</f>
        <v/>
      </c>
      <c r="Q2547" s="3">
        <f>IF(ISNUMBER(AVERAGE('20250815_ETF_Options_Exhibits'!Q2543:Q2547)),AVERAGE('20250815_ETF_Options_Exhibits'!Q2543:Q2547),"")</f>
        <v/>
      </c>
      <c r="R2547" s="3">
        <f>IF(ISNUMBER(AVERAGE('20250815_ETF_Options_Exhibits'!R2543:R2547)),AVERAGE('20250815_ETF_Options_Exhibits'!R2543:R2547),"")</f>
        <v/>
      </c>
      <c r="S2547" s="3">
        <f>IF(ISNUMBER(AVERAGE('20250815_ETF_Options_Exhibits'!S2543:S2547)),AVERAGE('20250815_ETF_Options_Exhibits'!S2543:S2547),"")</f>
        <v/>
      </c>
      <c r="T2547" s="3">
        <f>IF(ISNUMBER(AVERAGE('20250815_ETF_Options_Exhibits'!T2543:T2547)),AVERAGE('20250815_ETF_Options_Exhibits'!T2543:T2547),"")</f>
        <v/>
      </c>
      <c r="U2547" s="3">
        <f>IF(ISNUMBER(AVERAGE('20250815_ETF_Options_Exhibits'!U2543:U2547)),AVERAGE('20250815_ETF_Options_Exhibits'!U2543:U2547),"")</f>
        <v/>
      </c>
      <c r="V2547" s="3">
        <f>IF(ISNUMBER(AVERAGE('20250815_ETF_Options_Exhibits'!V2543:V2547)),AVERAGE('20250815_ETF_Options_Exhibits'!V2543:V2547),"")</f>
        <v/>
      </c>
      <c r="W2547" s="3">
        <f>IF(ISNUMBER(AVERAGE('20250815_ETF_Options_Exhibits'!W2543:W2547)),AVERAGE('20250815_ETF_Options_Exhibits'!W2543:W2547),"")</f>
        <v/>
      </c>
      <c r="X2547" s="3">
        <f>IF(ISNUMBER(AVERAGE('20250815_ETF_Options_Exhibits'!X2543:X2547)),AVERAGE('20250815_ETF_Options_Exhibits'!X2543:X2547),"")</f>
        <v/>
      </c>
      <c r="Y2547" s="3">
        <f>IF(ISNUMBER(AVERAGE('20250815_ETF_Options_Exhibits'!Y2543:Y2547)),AVERAGE('20250815_ETF_Options_Exhibits'!Y2543:Y2547),"")</f>
        <v/>
      </c>
      <c r="Z2547" s="3">
        <f>IF(ISNUMBER(AVERAGE('20250815_ETF_Options_Exhibits'!Z2543:Z2547)),AVERAGE('20250815_ETF_Options_Exhibits'!Z2543:Z2547),"")</f>
        <v/>
      </c>
      <c r="AA2547" s="3">
        <f>IF(ISNUMBER(AVERAGE('20250815_ETF_Options_Exhibits'!AA2543:AA2547)),AVERAGE('20250815_ETF_Options_Exhibits'!AA2543:AA2547),"")</f>
        <v/>
      </c>
    </row>
    <row r="2548">
      <c r="A2548" s="1" t="n">
        <v>45702</v>
      </c>
      <c r="B2548" s="3">
        <f>IF(ISNUMBER(AVERAGE('20250815_ETF_Options_Exhibits'!B2544:B2548)),AVERAGE('20250815_ETF_Options_Exhibits'!B2544:B2548),"")</f>
        <v/>
      </c>
      <c r="C2548" s="3">
        <f>IF(ISNUMBER(AVERAGE('20250815_ETF_Options_Exhibits'!C2544:C2548)),AVERAGE('20250815_ETF_Options_Exhibits'!C2544:C2548),"")</f>
        <v/>
      </c>
      <c r="D2548" s="3">
        <f>IF(ISNUMBER(AVERAGE('20250815_ETF_Options_Exhibits'!D2544:D2548)),AVERAGE('20250815_ETF_Options_Exhibits'!D2544:D2548),"")</f>
        <v/>
      </c>
      <c r="E2548" s="3">
        <f>IF(ISNUMBER(AVERAGE('20250815_ETF_Options_Exhibits'!E2544:E2548)),AVERAGE('20250815_ETF_Options_Exhibits'!E2544:E2548),"")</f>
        <v/>
      </c>
      <c r="F2548" s="3">
        <f>IF(ISNUMBER(AVERAGE('20250815_ETF_Options_Exhibits'!F2544:F2548)),AVERAGE('20250815_ETF_Options_Exhibits'!F2544:F2548),"")</f>
        <v/>
      </c>
      <c r="G2548" s="3">
        <f>IF(ISNUMBER(AVERAGE('20250815_ETF_Options_Exhibits'!G2544:G2548)),AVERAGE('20250815_ETF_Options_Exhibits'!G2544:G2548),"")</f>
        <v/>
      </c>
      <c r="H2548" s="3">
        <f>IF(ISNUMBER(AVERAGE('20250815_ETF_Options_Exhibits'!H2544:H2548)),AVERAGE('20250815_ETF_Options_Exhibits'!H2544:H2548),"")</f>
        <v/>
      </c>
      <c r="I2548" s="3">
        <f>IF(ISNUMBER(AVERAGE('20250815_ETF_Options_Exhibits'!I2544:I2548)),AVERAGE('20250815_ETF_Options_Exhibits'!I2544:I2548),"")</f>
        <v/>
      </c>
      <c r="J2548" s="3">
        <f>IF(ISNUMBER(AVERAGE('20250815_ETF_Options_Exhibits'!J2544:J2548)),AVERAGE('20250815_ETF_Options_Exhibits'!J2544:J2548),"")</f>
        <v/>
      </c>
      <c r="K2548" s="3">
        <f>IF(ISNUMBER(AVERAGE('20250815_ETF_Options_Exhibits'!K2544:K2548)),AVERAGE('20250815_ETF_Options_Exhibits'!K2544:K2548),"")</f>
        <v/>
      </c>
      <c r="L2548" s="3">
        <f>IF(ISNUMBER(AVERAGE('20250815_ETF_Options_Exhibits'!L2544:L2548)),AVERAGE('20250815_ETF_Options_Exhibits'!L2544:L2548),"")</f>
        <v/>
      </c>
      <c r="M2548" s="3">
        <f>IF(ISNUMBER(AVERAGE('20250815_ETF_Options_Exhibits'!M2544:M2548)),AVERAGE('20250815_ETF_Options_Exhibits'!M2544:M2548),"")</f>
        <v/>
      </c>
      <c r="N2548" s="3">
        <f>IF(ISNUMBER(AVERAGE('20250815_ETF_Options_Exhibits'!N2544:N2548)),AVERAGE('20250815_ETF_Options_Exhibits'!N2544:N2548),"")</f>
        <v/>
      </c>
      <c r="O2548" s="3">
        <f>IF(ISNUMBER(AVERAGE('20250815_ETF_Options_Exhibits'!O2544:O2548)),AVERAGE('20250815_ETF_Options_Exhibits'!O2544:O2548),"")</f>
        <v/>
      </c>
      <c r="P2548" s="3">
        <f>IF(ISNUMBER(AVERAGE('20250815_ETF_Options_Exhibits'!P2544:P2548)),AVERAGE('20250815_ETF_Options_Exhibits'!P2544:P2548),"")</f>
        <v/>
      </c>
      <c r="Q2548" s="3">
        <f>IF(ISNUMBER(AVERAGE('20250815_ETF_Options_Exhibits'!Q2544:Q2548)),AVERAGE('20250815_ETF_Options_Exhibits'!Q2544:Q2548),"")</f>
        <v/>
      </c>
      <c r="R2548" s="3">
        <f>IF(ISNUMBER(AVERAGE('20250815_ETF_Options_Exhibits'!R2544:R2548)),AVERAGE('20250815_ETF_Options_Exhibits'!R2544:R2548),"")</f>
        <v/>
      </c>
      <c r="S2548" s="3">
        <f>IF(ISNUMBER(AVERAGE('20250815_ETF_Options_Exhibits'!S2544:S2548)),AVERAGE('20250815_ETF_Options_Exhibits'!S2544:S2548),"")</f>
        <v/>
      </c>
      <c r="T2548" s="3">
        <f>IF(ISNUMBER(AVERAGE('20250815_ETF_Options_Exhibits'!T2544:T2548)),AVERAGE('20250815_ETF_Options_Exhibits'!T2544:T2548),"")</f>
        <v/>
      </c>
      <c r="U2548" s="3">
        <f>IF(ISNUMBER(AVERAGE('20250815_ETF_Options_Exhibits'!U2544:U2548)),AVERAGE('20250815_ETF_Options_Exhibits'!U2544:U2548),"")</f>
        <v/>
      </c>
      <c r="V2548" s="3">
        <f>IF(ISNUMBER(AVERAGE('20250815_ETF_Options_Exhibits'!V2544:V2548)),AVERAGE('20250815_ETF_Options_Exhibits'!V2544:V2548),"")</f>
        <v/>
      </c>
      <c r="W2548" s="3">
        <f>IF(ISNUMBER(AVERAGE('20250815_ETF_Options_Exhibits'!W2544:W2548)),AVERAGE('20250815_ETF_Options_Exhibits'!W2544:W2548),"")</f>
        <v/>
      </c>
      <c r="X2548" s="3">
        <f>IF(ISNUMBER(AVERAGE('20250815_ETF_Options_Exhibits'!X2544:X2548)),AVERAGE('20250815_ETF_Options_Exhibits'!X2544:X2548),"")</f>
        <v/>
      </c>
      <c r="Y2548" s="3">
        <f>IF(ISNUMBER(AVERAGE('20250815_ETF_Options_Exhibits'!Y2544:Y2548)),AVERAGE('20250815_ETF_Options_Exhibits'!Y2544:Y2548),"")</f>
        <v/>
      </c>
      <c r="Z2548" s="3">
        <f>IF(ISNUMBER(AVERAGE('20250815_ETF_Options_Exhibits'!Z2544:Z2548)),AVERAGE('20250815_ETF_Options_Exhibits'!Z2544:Z2548),"")</f>
        <v/>
      </c>
      <c r="AA2548" s="3">
        <f>IF(ISNUMBER(AVERAGE('20250815_ETF_Options_Exhibits'!AA2544:AA2548)),AVERAGE('20250815_ETF_Options_Exhibits'!AA2544:AA2548),"")</f>
        <v/>
      </c>
    </row>
    <row r="2549">
      <c r="A2549" s="1" t="n">
        <v>45706</v>
      </c>
      <c r="B2549" s="3">
        <f>IF(ISNUMBER(AVERAGE('20250815_ETF_Options_Exhibits'!B2545:B2549)),AVERAGE('20250815_ETF_Options_Exhibits'!B2545:B2549),"")</f>
        <v/>
      </c>
      <c r="C2549" s="3">
        <f>IF(ISNUMBER(AVERAGE('20250815_ETF_Options_Exhibits'!C2545:C2549)),AVERAGE('20250815_ETF_Options_Exhibits'!C2545:C2549),"")</f>
        <v/>
      </c>
      <c r="D2549" s="3">
        <f>IF(ISNUMBER(AVERAGE('20250815_ETF_Options_Exhibits'!D2545:D2549)),AVERAGE('20250815_ETF_Options_Exhibits'!D2545:D2549),"")</f>
        <v/>
      </c>
      <c r="E2549" s="3">
        <f>IF(ISNUMBER(AVERAGE('20250815_ETF_Options_Exhibits'!E2545:E2549)),AVERAGE('20250815_ETF_Options_Exhibits'!E2545:E2549),"")</f>
        <v/>
      </c>
      <c r="F2549" s="3">
        <f>IF(ISNUMBER(AVERAGE('20250815_ETF_Options_Exhibits'!F2545:F2549)),AVERAGE('20250815_ETF_Options_Exhibits'!F2545:F2549),"")</f>
        <v/>
      </c>
      <c r="G2549" s="3">
        <f>IF(ISNUMBER(AVERAGE('20250815_ETF_Options_Exhibits'!G2545:G2549)),AVERAGE('20250815_ETF_Options_Exhibits'!G2545:G2549),"")</f>
        <v/>
      </c>
      <c r="H2549" s="3">
        <f>IF(ISNUMBER(AVERAGE('20250815_ETF_Options_Exhibits'!H2545:H2549)),AVERAGE('20250815_ETF_Options_Exhibits'!H2545:H2549),"")</f>
        <v/>
      </c>
      <c r="I2549" s="3">
        <f>IF(ISNUMBER(AVERAGE('20250815_ETF_Options_Exhibits'!I2545:I2549)),AVERAGE('20250815_ETF_Options_Exhibits'!I2545:I2549),"")</f>
        <v/>
      </c>
      <c r="J2549" s="3">
        <f>IF(ISNUMBER(AVERAGE('20250815_ETF_Options_Exhibits'!J2545:J2549)),AVERAGE('20250815_ETF_Options_Exhibits'!J2545:J2549),"")</f>
        <v/>
      </c>
      <c r="K2549" s="3">
        <f>IF(ISNUMBER(AVERAGE('20250815_ETF_Options_Exhibits'!K2545:K2549)),AVERAGE('20250815_ETF_Options_Exhibits'!K2545:K2549),"")</f>
        <v/>
      </c>
      <c r="L2549" s="3">
        <f>IF(ISNUMBER(AVERAGE('20250815_ETF_Options_Exhibits'!L2545:L2549)),AVERAGE('20250815_ETF_Options_Exhibits'!L2545:L2549),"")</f>
        <v/>
      </c>
      <c r="M2549" s="3">
        <f>IF(ISNUMBER(AVERAGE('20250815_ETF_Options_Exhibits'!M2545:M2549)),AVERAGE('20250815_ETF_Options_Exhibits'!M2545:M2549),"")</f>
        <v/>
      </c>
      <c r="N2549" s="3">
        <f>IF(ISNUMBER(AVERAGE('20250815_ETF_Options_Exhibits'!N2545:N2549)),AVERAGE('20250815_ETF_Options_Exhibits'!N2545:N2549),"")</f>
        <v/>
      </c>
      <c r="O2549" s="3">
        <f>IF(ISNUMBER(AVERAGE('20250815_ETF_Options_Exhibits'!O2545:O2549)),AVERAGE('20250815_ETF_Options_Exhibits'!O2545:O2549),"")</f>
        <v/>
      </c>
      <c r="P2549" s="3">
        <f>IF(ISNUMBER(AVERAGE('20250815_ETF_Options_Exhibits'!P2545:P2549)),AVERAGE('20250815_ETF_Options_Exhibits'!P2545:P2549),"")</f>
        <v/>
      </c>
      <c r="Q2549" s="3">
        <f>IF(ISNUMBER(AVERAGE('20250815_ETF_Options_Exhibits'!Q2545:Q2549)),AVERAGE('20250815_ETF_Options_Exhibits'!Q2545:Q2549),"")</f>
        <v/>
      </c>
      <c r="R2549" s="3">
        <f>IF(ISNUMBER(AVERAGE('20250815_ETF_Options_Exhibits'!R2545:R2549)),AVERAGE('20250815_ETF_Options_Exhibits'!R2545:R2549),"")</f>
        <v/>
      </c>
      <c r="S2549" s="3">
        <f>IF(ISNUMBER(AVERAGE('20250815_ETF_Options_Exhibits'!S2545:S2549)),AVERAGE('20250815_ETF_Options_Exhibits'!S2545:S2549),"")</f>
        <v/>
      </c>
      <c r="T2549" s="3">
        <f>IF(ISNUMBER(AVERAGE('20250815_ETF_Options_Exhibits'!T2545:T2549)),AVERAGE('20250815_ETF_Options_Exhibits'!T2545:T2549),"")</f>
        <v/>
      </c>
      <c r="U2549" s="3">
        <f>IF(ISNUMBER(AVERAGE('20250815_ETF_Options_Exhibits'!U2545:U2549)),AVERAGE('20250815_ETF_Options_Exhibits'!U2545:U2549),"")</f>
        <v/>
      </c>
      <c r="V2549" s="3">
        <f>IF(ISNUMBER(AVERAGE('20250815_ETF_Options_Exhibits'!V2545:V2549)),AVERAGE('20250815_ETF_Options_Exhibits'!V2545:V2549),"")</f>
        <v/>
      </c>
      <c r="W2549" s="3">
        <f>IF(ISNUMBER(AVERAGE('20250815_ETF_Options_Exhibits'!W2545:W2549)),AVERAGE('20250815_ETF_Options_Exhibits'!W2545:W2549),"")</f>
        <v/>
      </c>
      <c r="X2549" s="3">
        <f>IF(ISNUMBER(AVERAGE('20250815_ETF_Options_Exhibits'!X2545:X2549)),AVERAGE('20250815_ETF_Options_Exhibits'!X2545:X2549),"")</f>
        <v/>
      </c>
      <c r="Y2549" s="3">
        <f>IF(ISNUMBER(AVERAGE('20250815_ETF_Options_Exhibits'!Y2545:Y2549)),AVERAGE('20250815_ETF_Options_Exhibits'!Y2545:Y2549),"")</f>
        <v/>
      </c>
      <c r="Z2549" s="3">
        <f>IF(ISNUMBER(AVERAGE('20250815_ETF_Options_Exhibits'!Z2545:Z2549)),AVERAGE('20250815_ETF_Options_Exhibits'!Z2545:Z2549),"")</f>
        <v/>
      </c>
      <c r="AA2549" s="3">
        <f>IF(ISNUMBER(AVERAGE('20250815_ETF_Options_Exhibits'!AA2545:AA2549)),AVERAGE('20250815_ETF_Options_Exhibits'!AA2545:AA2549),"")</f>
        <v/>
      </c>
    </row>
    <row r="2550">
      <c r="A2550" s="1" t="n">
        <v>45707</v>
      </c>
      <c r="B2550" s="3">
        <f>IF(ISNUMBER(AVERAGE('20250815_ETF_Options_Exhibits'!B2546:B2550)),AVERAGE('20250815_ETF_Options_Exhibits'!B2546:B2550),"")</f>
        <v/>
      </c>
      <c r="C2550" s="3">
        <f>IF(ISNUMBER(AVERAGE('20250815_ETF_Options_Exhibits'!C2546:C2550)),AVERAGE('20250815_ETF_Options_Exhibits'!C2546:C2550),"")</f>
        <v/>
      </c>
      <c r="D2550" s="3">
        <f>IF(ISNUMBER(AVERAGE('20250815_ETF_Options_Exhibits'!D2546:D2550)),AVERAGE('20250815_ETF_Options_Exhibits'!D2546:D2550),"")</f>
        <v/>
      </c>
      <c r="E2550" s="3">
        <f>IF(ISNUMBER(AVERAGE('20250815_ETF_Options_Exhibits'!E2546:E2550)),AVERAGE('20250815_ETF_Options_Exhibits'!E2546:E2550),"")</f>
        <v/>
      </c>
      <c r="F2550" s="3">
        <f>IF(ISNUMBER(AVERAGE('20250815_ETF_Options_Exhibits'!F2546:F2550)),AVERAGE('20250815_ETF_Options_Exhibits'!F2546:F2550),"")</f>
        <v/>
      </c>
      <c r="G2550" s="3">
        <f>IF(ISNUMBER(AVERAGE('20250815_ETF_Options_Exhibits'!G2546:G2550)),AVERAGE('20250815_ETF_Options_Exhibits'!G2546:G2550),"")</f>
        <v/>
      </c>
      <c r="H2550" s="3">
        <f>IF(ISNUMBER(AVERAGE('20250815_ETF_Options_Exhibits'!H2546:H2550)),AVERAGE('20250815_ETF_Options_Exhibits'!H2546:H2550),"")</f>
        <v/>
      </c>
      <c r="I2550" s="3">
        <f>IF(ISNUMBER(AVERAGE('20250815_ETF_Options_Exhibits'!I2546:I2550)),AVERAGE('20250815_ETF_Options_Exhibits'!I2546:I2550),"")</f>
        <v/>
      </c>
      <c r="J2550" s="3">
        <f>IF(ISNUMBER(AVERAGE('20250815_ETF_Options_Exhibits'!J2546:J2550)),AVERAGE('20250815_ETF_Options_Exhibits'!J2546:J2550),"")</f>
        <v/>
      </c>
      <c r="K2550" s="3">
        <f>IF(ISNUMBER(AVERAGE('20250815_ETF_Options_Exhibits'!K2546:K2550)),AVERAGE('20250815_ETF_Options_Exhibits'!K2546:K2550),"")</f>
        <v/>
      </c>
      <c r="L2550" s="3">
        <f>IF(ISNUMBER(AVERAGE('20250815_ETF_Options_Exhibits'!L2546:L2550)),AVERAGE('20250815_ETF_Options_Exhibits'!L2546:L2550),"")</f>
        <v/>
      </c>
      <c r="M2550" s="3">
        <f>IF(ISNUMBER(AVERAGE('20250815_ETF_Options_Exhibits'!M2546:M2550)),AVERAGE('20250815_ETF_Options_Exhibits'!M2546:M2550),"")</f>
        <v/>
      </c>
      <c r="N2550" s="3">
        <f>IF(ISNUMBER(AVERAGE('20250815_ETF_Options_Exhibits'!N2546:N2550)),AVERAGE('20250815_ETF_Options_Exhibits'!N2546:N2550),"")</f>
        <v/>
      </c>
      <c r="O2550" s="3">
        <f>IF(ISNUMBER(AVERAGE('20250815_ETF_Options_Exhibits'!O2546:O2550)),AVERAGE('20250815_ETF_Options_Exhibits'!O2546:O2550),"")</f>
        <v/>
      </c>
      <c r="P2550" s="3">
        <f>IF(ISNUMBER(AVERAGE('20250815_ETF_Options_Exhibits'!P2546:P2550)),AVERAGE('20250815_ETF_Options_Exhibits'!P2546:P2550),"")</f>
        <v/>
      </c>
      <c r="Q2550" s="3">
        <f>IF(ISNUMBER(AVERAGE('20250815_ETF_Options_Exhibits'!Q2546:Q2550)),AVERAGE('20250815_ETF_Options_Exhibits'!Q2546:Q2550),"")</f>
        <v/>
      </c>
      <c r="R2550" s="3">
        <f>IF(ISNUMBER(AVERAGE('20250815_ETF_Options_Exhibits'!R2546:R2550)),AVERAGE('20250815_ETF_Options_Exhibits'!R2546:R2550),"")</f>
        <v/>
      </c>
      <c r="S2550" s="3">
        <f>IF(ISNUMBER(AVERAGE('20250815_ETF_Options_Exhibits'!S2546:S2550)),AVERAGE('20250815_ETF_Options_Exhibits'!S2546:S2550),"")</f>
        <v/>
      </c>
      <c r="T2550" s="3">
        <f>IF(ISNUMBER(AVERAGE('20250815_ETF_Options_Exhibits'!T2546:T2550)),AVERAGE('20250815_ETF_Options_Exhibits'!T2546:T2550),"")</f>
        <v/>
      </c>
      <c r="U2550" s="3">
        <f>IF(ISNUMBER(AVERAGE('20250815_ETF_Options_Exhibits'!U2546:U2550)),AVERAGE('20250815_ETF_Options_Exhibits'!U2546:U2550),"")</f>
        <v/>
      </c>
      <c r="V2550" s="3">
        <f>IF(ISNUMBER(AVERAGE('20250815_ETF_Options_Exhibits'!V2546:V2550)),AVERAGE('20250815_ETF_Options_Exhibits'!V2546:V2550),"")</f>
        <v/>
      </c>
      <c r="W2550" s="3">
        <f>IF(ISNUMBER(AVERAGE('20250815_ETF_Options_Exhibits'!W2546:W2550)),AVERAGE('20250815_ETF_Options_Exhibits'!W2546:W2550),"")</f>
        <v/>
      </c>
      <c r="X2550" s="3">
        <f>IF(ISNUMBER(AVERAGE('20250815_ETF_Options_Exhibits'!X2546:X2550)),AVERAGE('20250815_ETF_Options_Exhibits'!X2546:X2550),"")</f>
        <v/>
      </c>
      <c r="Y2550" s="3">
        <f>IF(ISNUMBER(AVERAGE('20250815_ETF_Options_Exhibits'!Y2546:Y2550)),AVERAGE('20250815_ETF_Options_Exhibits'!Y2546:Y2550),"")</f>
        <v/>
      </c>
      <c r="Z2550" s="3">
        <f>IF(ISNUMBER(AVERAGE('20250815_ETF_Options_Exhibits'!Z2546:Z2550)),AVERAGE('20250815_ETF_Options_Exhibits'!Z2546:Z2550),"")</f>
        <v/>
      </c>
      <c r="AA2550" s="3">
        <f>IF(ISNUMBER(AVERAGE('20250815_ETF_Options_Exhibits'!AA2546:AA2550)),AVERAGE('20250815_ETF_Options_Exhibits'!AA2546:AA2550),"")</f>
        <v/>
      </c>
    </row>
    <row r="2551">
      <c r="A2551" s="1" t="n">
        <v>45708</v>
      </c>
      <c r="B2551" s="3">
        <f>IF(ISNUMBER(AVERAGE('20250815_ETF_Options_Exhibits'!B2547:B2551)),AVERAGE('20250815_ETF_Options_Exhibits'!B2547:B2551),"")</f>
        <v/>
      </c>
      <c r="C2551" s="3">
        <f>IF(ISNUMBER(AVERAGE('20250815_ETF_Options_Exhibits'!C2547:C2551)),AVERAGE('20250815_ETF_Options_Exhibits'!C2547:C2551),"")</f>
        <v/>
      </c>
      <c r="D2551" s="3">
        <f>IF(ISNUMBER(AVERAGE('20250815_ETF_Options_Exhibits'!D2547:D2551)),AVERAGE('20250815_ETF_Options_Exhibits'!D2547:D2551),"")</f>
        <v/>
      </c>
      <c r="E2551" s="3">
        <f>IF(ISNUMBER(AVERAGE('20250815_ETF_Options_Exhibits'!E2547:E2551)),AVERAGE('20250815_ETF_Options_Exhibits'!E2547:E2551),"")</f>
        <v/>
      </c>
      <c r="F2551" s="3">
        <f>IF(ISNUMBER(AVERAGE('20250815_ETF_Options_Exhibits'!F2547:F2551)),AVERAGE('20250815_ETF_Options_Exhibits'!F2547:F2551),"")</f>
        <v/>
      </c>
      <c r="G2551" s="3">
        <f>IF(ISNUMBER(AVERAGE('20250815_ETF_Options_Exhibits'!G2547:G2551)),AVERAGE('20250815_ETF_Options_Exhibits'!G2547:G2551),"")</f>
        <v/>
      </c>
      <c r="H2551" s="3">
        <f>IF(ISNUMBER(AVERAGE('20250815_ETF_Options_Exhibits'!H2547:H2551)),AVERAGE('20250815_ETF_Options_Exhibits'!H2547:H2551),"")</f>
        <v/>
      </c>
      <c r="I2551" s="3">
        <f>IF(ISNUMBER(AVERAGE('20250815_ETF_Options_Exhibits'!I2547:I2551)),AVERAGE('20250815_ETF_Options_Exhibits'!I2547:I2551),"")</f>
        <v/>
      </c>
      <c r="J2551" s="3">
        <f>IF(ISNUMBER(AVERAGE('20250815_ETF_Options_Exhibits'!J2547:J2551)),AVERAGE('20250815_ETF_Options_Exhibits'!J2547:J2551),"")</f>
        <v/>
      </c>
      <c r="K2551" s="3">
        <f>IF(ISNUMBER(AVERAGE('20250815_ETF_Options_Exhibits'!K2547:K2551)),AVERAGE('20250815_ETF_Options_Exhibits'!K2547:K2551),"")</f>
        <v/>
      </c>
      <c r="L2551" s="3">
        <f>IF(ISNUMBER(AVERAGE('20250815_ETF_Options_Exhibits'!L2547:L2551)),AVERAGE('20250815_ETF_Options_Exhibits'!L2547:L2551),"")</f>
        <v/>
      </c>
      <c r="M2551" s="3">
        <f>IF(ISNUMBER(AVERAGE('20250815_ETF_Options_Exhibits'!M2547:M2551)),AVERAGE('20250815_ETF_Options_Exhibits'!M2547:M2551),"")</f>
        <v/>
      </c>
      <c r="N2551" s="3">
        <f>IF(ISNUMBER(AVERAGE('20250815_ETF_Options_Exhibits'!N2547:N2551)),AVERAGE('20250815_ETF_Options_Exhibits'!N2547:N2551),"")</f>
        <v/>
      </c>
      <c r="O2551" s="3">
        <f>IF(ISNUMBER(AVERAGE('20250815_ETF_Options_Exhibits'!O2547:O2551)),AVERAGE('20250815_ETF_Options_Exhibits'!O2547:O2551),"")</f>
        <v/>
      </c>
      <c r="P2551" s="3">
        <f>IF(ISNUMBER(AVERAGE('20250815_ETF_Options_Exhibits'!P2547:P2551)),AVERAGE('20250815_ETF_Options_Exhibits'!P2547:P2551),"")</f>
        <v/>
      </c>
      <c r="Q2551" s="3">
        <f>IF(ISNUMBER(AVERAGE('20250815_ETF_Options_Exhibits'!Q2547:Q2551)),AVERAGE('20250815_ETF_Options_Exhibits'!Q2547:Q2551),"")</f>
        <v/>
      </c>
      <c r="R2551" s="3">
        <f>IF(ISNUMBER(AVERAGE('20250815_ETF_Options_Exhibits'!R2547:R2551)),AVERAGE('20250815_ETF_Options_Exhibits'!R2547:R2551),"")</f>
        <v/>
      </c>
      <c r="S2551" s="3">
        <f>IF(ISNUMBER(AVERAGE('20250815_ETF_Options_Exhibits'!S2547:S2551)),AVERAGE('20250815_ETF_Options_Exhibits'!S2547:S2551),"")</f>
        <v/>
      </c>
      <c r="T2551" s="3">
        <f>IF(ISNUMBER(AVERAGE('20250815_ETF_Options_Exhibits'!T2547:T2551)),AVERAGE('20250815_ETF_Options_Exhibits'!T2547:T2551),"")</f>
        <v/>
      </c>
      <c r="U2551" s="3">
        <f>IF(ISNUMBER(AVERAGE('20250815_ETF_Options_Exhibits'!U2547:U2551)),AVERAGE('20250815_ETF_Options_Exhibits'!U2547:U2551),"")</f>
        <v/>
      </c>
      <c r="V2551" s="3">
        <f>IF(ISNUMBER(AVERAGE('20250815_ETF_Options_Exhibits'!V2547:V2551)),AVERAGE('20250815_ETF_Options_Exhibits'!V2547:V2551),"")</f>
        <v/>
      </c>
      <c r="W2551" s="3">
        <f>IF(ISNUMBER(AVERAGE('20250815_ETF_Options_Exhibits'!W2547:W2551)),AVERAGE('20250815_ETF_Options_Exhibits'!W2547:W2551),"")</f>
        <v/>
      </c>
      <c r="X2551" s="3">
        <f>IF(ISNUMBER(AVERAGE('20250815_ETF_Options_Exhibits'!X2547:X2551)),AVERAGE('20250815_ETF_Options_Exhibits'!X2547:X2551),"")</f>
        <v/>
      </c>
      <c r="Y2551" s="3">
        <f>IF(ISNUMBER(AVERAGE('20250815_ETF_Options_Exhibits'!Y2547:Y2551)),AVERAGE('20250815_ETF_Options_Exhibits'!Y2547:Y2551),"")</f>
        <v/>
      </c>
      <c r="Z2551" s="3">
        <f>IF(ISNUMBER(AVERAGE('20250815_ETF_Options_Exhibits'!Z2547:Z2551)),AVERAGE('20250815_ETF_Options_Exhibits'!Z2547:Z2551),"")</f>
        <v/>
      </c>
      <c r="AA2551" s="3">
        <f>IF(ISNUMBER(AVERAGE('20250815_ETF_Options_Exhibits'!AA2547:AA2551)),AVERAGE('20250815_ETF_Options_Exhibits'!AA2547:AA2551),"")</f>
        <v/>
      </c>
    </row>
    <row r="2552">
      <c r="A2552" s="1" t="n">
        <v>45709</v>
      </c>
      <c r="B2552" s="3">
        <f>IF(ISNUMBER(AVERAGE('20250815_ETF_Options_Exhibits'!B2548:B2552)),AVERAGE('20250815_ETF_Options_Exhibits'!B2548:B2552),"")</f>
        <v/>
      </c>
      <c r="C2552" s="3">
        <f>IF(ISNUMBER(AVERAGE('20250815_ETF_Options_Exhibits'!C2548:C2552)),AVERAGE('20250815_ETF_Options_Exhibits'!C2548:C2552),"")</f>
        <v/>
      </c>
      <c r="D2552" s="3">
        <f>IF(ISNUMBER(AVERAGE('20250815_ETF_Options_Exhibits'!D2548:D2552)),AVERAGE('20250815_ETF_Options_Exhibits'!D2548:D2552),"")</f>
        <v/>
      </c>
      <c r="E2552" s="3">
        <f>IF(ISNUMBER(AVERAGE('20250815_ETF_Options_Exhibits'!E2548:E2552)),AVERAGE('20250815_ETF_Options_Exhibits'!E2548:E2552),"")</f>
        <v/>
      </c>
      <c r="F2552" s="3">
        <f>IF(ISNUMBER(AVERAGE('20250815_ETF_Options_Exhibits'!F2548:F2552)),AVERAGE('20250815_ETF_Options_Exhibits'!F2548:F2552),"")</f>
        <v/>
      </c>
      <c r="G2552" s="3">
        <f>IF(ISNUMBER(AVERAGE('20250815_ETF_Options_Exhibits'!G2548:G2552)),AVERAGE('20250815_ETF_Options_Exhibits'!G2548:G2552),"")</f>
        <v/>
      </c>
      <c r="H2552" s="3">
        <f>IF(ISNUMBER(AVERAGE('20250815_ETF_Options_Exhibits'!H2548:H2552)),AVERAGE('20250815_ETF_Options_Exhibits'!H2548:H2552),"")</f>
        <v/>
      </c>
      <c r="I2552" s="3">
        <f>IF(ISNUMBER(AVERAGE('20250815_ETF_Options_Exhibits'!I2548:I2552)),AVERAGE('20250815_ETF_Options_Exhibits'!I2548:I2552),"")</f>
        <v/>
      </c>
      <c r="J2552" s="3">
        <f>IF(ISNUMBER(AVERAGE('20250815_ETF_Options_Exhibits'!J2548:J2552)),AVERAGE('20250815_ETF_Options_Exhibits'!J2548:J2552),"")</f>
        <v/>
      </c>
      <c r="K2552" s="3">
        <f>IF(ISNUMBER(AVERAGE('20250815_ETF_Options_Exhibits'!K2548:K2552)),AVERAGE('20250815_ETF_Options_Exhibits'!K2548:K2552),"")</f>
        <v/>
      </c>
      <c r="L2552" s="3">
        <f>IF(ISNUMBER(AVERAGE('20250815_ETF_Options_Exhibits'!L2548:L2552)),AVERAGE('20250815_ETF_Options_Exhibits'!L2548:L2552),"")</f>
        <v/>
      </c>
      <c r="M2552" s="3">
        <f>IF(ISNUMBER(AVERAGE('20250815_ETF_Options_Exhibits'!M2548:M2552)),AVERAGE('20250815_ETF_Options_Exhibits'!M2548:M2552),"")</f>
        <v/>
      </c>
      <c r="N2552" s="3">
        <f>IF(ISNUMBER(AVERAGE('20250815_ETF_Options_Exhibits'!N2548:N2552)),AVERAGE('20250815_ETF_Options_Exhibits'!N2548:N2552),"")</f>
        <v/>
      </c>
      <c r="O2552" s="3">
        <f>IF(ISNUMBER(AVERAGE('20250815_ETF_Options_Exhibits'!O2548:O2552)),AVERAGE('20250815_ETF_Options_Exhibits'!O2548:O2552),"")</f>
        <v/>
      </c>
      <c r="P2552" s="3">
        <f>IF(ISNUMBER(AVERAGE('20250815_ETF_Options_Exhibits'!P2548:P2552)),AVERAGE('20250815_ETF_Options_Exhibits'!P2548:P2552),"")</f>
        <v/>
      </c>
      <c r="Q2552" s="3">
        <f>IF(ISNUMBER(AVERAGE('20250815_ETF_Options_Exhibits'!Q2548:Q2552)),AVERAGE('20250815_ETF_Options_Exhibits'!Q2548:Q2552),"")</f>
        <v/>
      </c>
      <c r="R2552" s="3">
        <f>IF(ISNUMBER(AVERAGE('20250815_ETF_Options_Exhibits'!R2548:R2552)),AVERAGE('20250815_ETF_Options_Exhibits'!R2548:R2552),"")</f>
        <v/>
      </c>
      <c r="S2552" s="3">
        <f>IF(ISNUMBER(AVERAGE('20250815_ETF_Options_Exhibits'!S2548:S2552)),AVERAGE('20250815_ETF_Options_Exhibits'!S2548:S2552),"")</f>
        <v/>
      </c>
      <c r="T2552" s="3">
        <f>IF(ISNUMBER(AVERAGE('20250815_ETF_Options_Exhibits'!T2548:T2552)),AVERAGE('20250815_ETF_Options_Exhibits'!T2548:T2552),"")</f>
        <v/>
      </c>
      <c r="U2552" s="3">
        <f>IF(ISNUMBER(AVERAGE('20250815_ETF_Options_Exhibits'!U2548:U2552)),AVERAGE('20250815_ETF_Options_Exhibits'!U2548:U2552),"")</f>
        <v/>
      </c>
      <c r="V2552" s="3">
        <f>IF(ISNUMBER(AVERAGE('20250815_ETF_Options_Exhibits'!V2548:V2552)),AVERAGE('20250815_ETF_Options_Exhibits'!V2548:V2552),"")</f>
        <v/>
      </c>
      <c r="W2552" s="3">
        <f>IF(ISNUMBER(AVERAGE('20250815_ETF_Options_Exhibits'!W2548:W2552)),AVERAGE('20250815_ETF_Options_Exhibits'!W2548:W2552),"")</f>
        <v/>
      </c>
      <c r="X2552" s="3">
        <f>IF(ISNUMBER(AVERAGE('20250815_ETF_Options_Exhibits'!X2548:X2552)),AVERAGE('20250815_ETF_Options_Exhibits'!X2548:X2552),"")</f>
        <v/>
      </c>
      <c r="Y2552" s="3">
        <f>IF(ISNUMBER(AVERAGE('20250815_ETF_Options_Exhibits'!Y2548:Y2552)),AVERAGE('20250815_ETF_Options_Exhibits'!Y2548:Y2552),"")</f>
        <v/>
      </c>
      <c r="Z2552" s="3">
        <f>IF(ISNUMBER(AVERAGE('20250815_ETF_Options_Exhibits'!Z2548:Z2552)),AVERAGE('20250815_ETF_Options_Exhibits'!Z2548:Z2552),"")</f>
        <v/>
      </c>
      <c r="AA2552" s="3">
        <f>IF(ISNUMBER(AVERAGE('20250815_ETF_Options_Exhibits'!AA2548:AA2552)),AVERAGE('20250815_ETF_Options_Exhibits'!AA2548:AA2552),"")</f>
        <v/>
      </c>
    </row>
    <row r="2553">
      <c r="A2553" s="1" t="n">
        <v>45712</v>
      </c>
      <c r="B2553" s="3">
        <f>IF(ISNUMBER(AVERAGE('20250815_ETF_Options_Exhibits'!B2549:B2553)),AVERAGE('20250815_ETF_Options_Exhibits'!B2549:B2553),"")</f>
        <v/>
      </c>
      <c r="C2553" s="3">
        <f>IF(ISNUMBER(AVERAGE('20250815_ETF_Options_Exhibits'!C2549:C2553)),AVERAGE('20250815_ETF_Options_Exhibits'!C2549:C2553),"")</f>
        <v/>
      </c>
      <c r="D2553" s="3">
        <f>IF(ISNUMBER(AVERAGE('20250815_ETF_Options_Exhibits'!D2549:D2553)),AVERAGE('20250815_ETF_Options_Exhibits'!D2549:D2553),"")</f>
        <v/>
      </c>
      <c r="E2553" s="3">
        <f>IF(ISNUMBER(AVERAGE('20250815_ETF_Options_Exhibits'!E2549:E2553)),AVERAGE('20250815_ETF_Options_Exhibits'!E2549:E2553),"")</f>
        <v/>
      </c>
      <c r="F2553" s="3">
        <f>IF(ISNUMBER(AVERAGE('20250815_ETF_Options_Exhibits'!F2549:F2553)),AVERAGE('20250815_ETF_Options_Exhibits'!F2549:F2553),"")</f>
        <v/>
      </c>
      <c r="G2553" s="3">
        <f>IF(ISNUMBER(AVERAGE('20250815_ETF_Options_Exhibits'!G2549:G2553)),AVERAGE('20250815_ETF_Options_Exhibits'!G2549:G2553),"")</f>
        <v/>
      </c>
      <c r="H2553" s="3">
        <f>IF(ISNUMBER(AVERAGE('20250815_ETF_Options_Exhibits'!H2549:H2553)),AVERAGE('20250815_ETF_Options_Exhibits'!H2549:H2553),"")</f>
        <v/>
      </c>
      <c r="I2553" s="3">
        <f>IF(ISNUMBER(AVERAGE('20250815_ETF_Options_Exhibits'!I2549:I2553)),AVERAGE('20250815_ETF_Options_Exhibits'!I2549:I2553),"")</f>
        <v/>
      </c>
      <c r="J2553" s="3">
        <f>IF(ISNUMBER(AVERAGE('20250815_ETF_Options_Exhibits'!J2549:J2553)),AVERAGE('20250815_ETF_Options_Exhibits'!J2549:J2553),"")</f>
        <v/>
      </c>
      <c r="K2553" s="3">
        <f>IF(ISNUMBER(AVERAGE('20250815_ETF_Options_Exhibits'!K2549:K2553)),AVERAGE('20250815_ETF_Options_Exhibits'!K2549:K2553),"")</f>
        <v/>
      </c>
      <c r="L2553" s="3">
        <f>IF(ISNUMBER(AVERAGE('20250815_ETF_Options_Exhibits'!L2549:L2553)),AVERAGE('20250815_ETF_Options_Exhibits'!L2549:L2553),"")</f>
        <v/>
      </c>
      <c r="M2553" s="3">
        <f>IF(ISNUMBER(AVERAGE('20250815_ETF_Options_Exhibits'!M2549:M2553)),AVERAGE('20250815_ETF_Options_Exhibits'!M2549:M2553),"")</f>
        <v/>
      </c>
      <c r="N2553" s="3">
        <f>IF(ISNUMBER(AVERAGE('20250815_ETF_Options_Exhibits'!N2549:N2553)),AVERAGE('20250815_ETF_Options_Exhibits'!N2549:N2553),"")</f>
        <v/>
      </c>
      <c r="O2553" s="3">
        <f>IF(ISNUMBER(AVERAGE('20250815_ETF_Options_Exhibits'!O2549:O2553)),AVERAGE('20250815_ETF_Options_Exhibits'!O2549:O2553),"")</f>
        <v/>
      </c>
      <c r="P2553" s="3">
        <f>IF(ISNUMBER(AVERAGE('20250815_ETF_Options_Exhibits'!P2549:P2553)),AVERAGE('20250815_ETF_Options_Exhibits'!P2549:P2553),"")</f>
        <v/>
      </c>
      <c r="Q2553" s="3">
        <f>IF(ISNUMBER(AVERAGE('20250815_ETF_Options_Exhibits'!Q2549:Q2553)),AVERAGE('20250815_ETF_Options_Exhibits'!Q2549:Q2553),"")</f>
        <v/>
      </c>
      <c r="R2553" s="3">
        <f>IF(ISNUMBER(AVERAGE('20250815_ETF_Options_Exhibits'!R2549:R2553)),AVERAGE('20250815_ETF_Options_Exhibits'!R2549:R2553),"")</f>
        <v/>
      </c>
      <c r="S2553" s="3">
        <f>IF(ISNUMBER(AVERAGE('20250815_ETF_Options_Exhibits'!S2549:S2553)),AVERAGE('20250815_ETF_Options_Exhibits'!S2549:S2553),"")</f>
        <v/>
      </c>
      <c r="T2553" s="3">
        <f>IF(ISNUMBER(AVERAGE('20250815_ETF_Options_Exhibits'!T2549:T2553)),AVERAGE('20250815_ETF_Options_Exhibits'!T2549:T2553),"")</f>
        <v/>
      </c>
      <c r="U2553" s="3">
        <f>IF(ISNUMBER(AVERAGE('20250815_ETF_Options_Exhibits'!U2549:U2553)),AVERAGE('20250815_ETF_Options_Exhibits'!U2549:U2553),"")</f>
        <v/>
      </c>
      <c r="V2553" s="3">
        <f>IF(ISNUMBER(AVERAGE('20250815_ETF_Options_Exhibits'!V2549:V2553)),AVERAGE('20250815_ETF_Options_Exhibits'!V2549:V2553),"")</f>
        <v/>
      </c>
      <c r="W2553" s="3">
        <f>IF(ISNUMBER(AVERAGE('20250815_ETF_Options_Exhibits'!W2549:W2553)),AVERAGE('20250815_ETF_Options_Exhibits'!W2549:W2553),"")</f>
        <v/>
      </c>
      <c r="X2553" s="3">
        <f>IF(ISNUMBER(AVERAGE('20250815_ETF_Options_Exhibits'!X2549:X2553)),AVERAGE('20250815_ETF_Options_Exhibits'!X2549:X2553),"")</f>
        <v/>
      </c>
      <c r="Y2553" s="3">
        <f>IF(ISNUMBER(AVERAGE('20250815_ETF_Options_Exhibits'!Y2549:Y2553)),AVERAGE('20250815_ETF_Options_Exhibits'!Y2549:Y2553),"")</f>
        <v/>
      </c>
      <c r="Z2553" s="3">
        <f>IF(ISNUMBER(AVERAGE('20250815_ETF_Options_Exhibits'!Z2549:Z2553)),AVERAGE('20250815_ETF_Options_Exhibits'!Z2549:Z2553),"")</f>
        <v/>
      </c>
      <c r="AA2553" s="3">
        <f>IF(ISNUMBER(AVERAGE('20250815_ETF_Options_Exhibits'!AA2549:AA2553)),AVERAGE('20250815_ETF_Options_Exhibits'!AA2549:AA2553),"")</f>
        <v/>
      </c>
    </row>
    <row r="2554">
      <c r="A2554" s="1" t="n">
        <v>45713</v>
      </c>
      <c r="B2554" s="3">
        <f>IF(ISNUMBER(AVERAGE('20250815_ETF_Options_Exhibits'!B2550:B2554)),AVERAGE('20250815_ETF_Options_Exhibits'!B2550:B2554),"")</f>
        <v/>
      </c>
      <c r="C2554" s="3">
        <f>IF(ISNUMBER(AVERAGE('20250815_ETF_Options_Exhibits'!C2550:C2554)),AVERAGE('20250815_ETF_Options_Exhibits'!C2550:C2554),"")</f>
        <v/>
      </c>
      <c r="D2554" s="3">
        <f>IF(ISNUMBER(AVERAGE('20250815_ETF_Options_Exhibits'!D2550:D2554)),AVERAGE('20250815_ETF_Options_Exhibits'!D2550:D2554),"")</f>
        <v/>
      </c>
      <c r="E2554" s="3">
        <f>IF(ISNUMBER(AVERAGE('20250815_ETF_Options_Exhibits'!E2550:E2554)),AVERAGE('20250815_ETF_Options_Exhibits'!E2550:E2554),"")</f>
        <v/>
      </c>
      <c r="F2554" s="3">
        <f>IF(ISNUMBER(AVERAGE('20250815_ETF_Options_Exhibits'!F2550:F2554)),AVERAGE('20250815_ETF_Options_Exhibits'!F2550:F2554),"")</f>
        <v/>
      </c>
      <c r="G2554" s="3">
        <f>IF(ISNUMBER(AVERAGE('20250815_ETF_Options_Exhibits'!G2550:G2554)),AVERAGE('20250815_ETF_Options_Exhibits'!G2550:G2554),"")</f>
        <v/>
      </c>
      <c r="H2554" s="3">
        <f>IF(ISNUMBER(AVERAGE('20250815_ETF_Options_Exhibits'!H2550:H2554)),AVERAGE('20250815_ETF_Options_Exhibits'!H2550:H2554),"")</f>
        <v/>
      </c>
      <c r="I2554" s="3">
        <f>IF(ISNUMBER(AVERAGE('20250815_ETF_Options_Exhibits'!I2550:I2554)),AVERAGE('20250815_ETF_Options_Exhibits'!I2550:I2554),"")</f>
        <v/>
      </c>
      <c r="J2554" s="3">
        <f>IF(ISNUMBER(AVERAGE('20250815_ETF_Options_Exhibits'!J2550:J2554)),AVERAGE('20250815_ETF_Options_Exhibits'!J2550:J2554),"")</f>
        <v/>
      </c>
      <c r="K2554" s="3">
        <f>IF(ISNUMBER(AVERAGE('20250815_ETF_Options_Exhibits'!K2550:K2554)),AVERAGE('20250815_ETF_Options_Exhibits'!K2550:K2554),"")</f>
        <v/>
      </c>
      <c r="L2554" s="3">
        <f>IF(ISNUMBER(AVERAGE('20250815_ETF_Options_Exhibits'!L2550:L2554)),AVERAGE('20250815_ETF_Options_Exhibits'!L2550:L2554),"")</f>
        <v/>
      </c>
      <c r="M2554" s="3">
        <f>IF(ISNUMBER(AVERAGE('20250815_ETF_Options_Exhibits'!M2550:M2554)),AVERAGE('20250815_ETF_Options_Exhibits'!M2550:M2554),"")</f>
        <v/>
      </c>
      <c r="N2554" s="3">
        <f>IF(ISNUMBER(AVERAGE('20250815_ETF_Options_Exhibits'!N2550:N2554)),AVERAGE('20250815_ETF_Options_Exhibits'!N2550:N2554),"")</f>
        <v/>
      </c>
      <c r="O2554" s="3">
        <f>IF(ISNUMBER(AVERAGE('20250815_ETF_Options_Exhibits'!O2550:O2554)),AVERAGE('20250815_ETF_Options_Exhibits'!O2550:O2554),"")</f>
        <v/>
      </c>
      <c r="P2554" s="3">
        <f>IF(ISNUMBER(AVERAGE('20250815_ETF_Options_Exhibits'!P2550:P2554)),AVERAGE('20250815_ETF_Options_Exhibits'!P2550:P2554),"")</f>
        <v/>
      </c>
      <c r="Q2554" s="3">
        <f>IF(ISNUMBER(AVERAGE('20250815_ETF_Options_Exhibits'!Q2550:Q2554)),AVERAGE('20250815_ETF_Options_Exhibits'!Q2550:Q2554),"")</f>
        <v/>
      </c>
      <c r="R2554" s="3">
        <f>IF(ISNUMBER(AVERAGE('20250815_ETF_Options_Exhibits'!R2550:R2554)),AVERAGE('20250815_ETF_Options_Exhibits'!R2550:R2554),"")</f>
        <v/>
      </c>
      <c r="S2554" s="3">
        <f>IF(ISNUMBER(AVERAGE('20250815_ETF_Options_Exhibits'!S2550:S2554)),AVERAGE('20250815_ETF_Options_Exhibits'!S2550:S2554),"")</f>
        <v/>
      </c>
      <c r="T2554" s="3">
        <f>IF(ISNUMBER(AVERAGE('20250815_ETF_Options_Exhibits'!T2550:T2554)),AVERAGE('20250815_ETF_Options_Exhibits'!T2550:T2554),"")</f>
        <v/>
      </c>
      <c r="U2554" s="3">
        <f>IF(ISNUMBER(AVERAGE('20250815_ETF_Options_Exhibits'!U2550:U2554)),AVERAGE('20250815_ETF_Options_Exhibits'!U2550:U2554),"")</f>
        <v/>
      </c>
      <c r="V2554" s="3">
        <f>IF(ISNUMBER(AVERAGE('20250815_ETF_Options_Exhibits'!V2550:V2554)),AVERAGE('20250815_ETF_Options_Exhibits'!V2550:V2554),"")</f>
        <v/>
      </c>
      <c r="W2554" s="3">
        <f>IF(ISNUMBER(AVERAGE('20250815_ETF_Options_Exhibits'!W2550:W2554)),AVERAGE('20250815_ETF_Options_Exhibits'!W2550:W2554),"")</f>
        <v/>
      </c>
      <c r="X2554" s="3">
        <f>IF(ISNUMBER(AVERAGE('20250815_ETF_Options_Exhibits'!X2550:X2554)),AVERAGE('20250815_ETF_Options_Exhibits'!X2550:X2554),"")</f>
        <v/>
      </c>
      <c r="Y2554" s="3">
        <f>IF(ISNUMBER(AVERAGE('20250815_ETF_Options_Exhibits'!Y2550:Y2554)),AVERAGE('20250815_ETF_Options_Exhibits'!Y2550:Y2554),"")</f>
        <v/>
      </c>
      <c r="Z2554" s="3">
        <f>IF(ISNUMBER(AVERAGE('20250815_ETF_Options_Exhibits'!Z2550:Z2554)),AVERAGE('20250815_ETF_Options_Exhibits'!Z2550:Z2554),"")</f>
        <v/>
      </c>
      <c r="AA2554" s="3">
        <f>IF(ISNUMBER(AVERAGE('20250815_ETF_Options_Exhibits'!AA2550:AA2554)),AVERAGE('20250815_ETF_Options_Exhibits'!AA2550:AA2554),"")</f>
        <v/>
      </c>
    </row>
    <row r="2555">
      <c r="A2555" s="1" t="n">
        <v>45714</v>
      </c>
      <c r="B2555" s="3">
        <f>IF(ISNUMBER(AVERAGE('20250815_ETF_Options_Exhibits'!B2551:B2555)),AVERAGE('20250815_ETF_Options_Exhibits'!B2551:B2555),"")</f>
        <v/>
      </c>
      <c r="C2555" s="3">
        <f>IF(ISNUMBER(AVERAGE('20250815_ETF_Options_Exhibits'!C2551:C2555)),AVERAGE('20250815_ETF_Options_Exhibits'!C2551:C2555),"")</f>
        <v/>
      </c>
      <c r="D2555" s="3">
        <f>IF(ISNUMBER(AVERAGE('20250815_ETF_Options_Exhibits'!D2551:D2555)),AVERAGE('20250815_ETF_Options_Exhibits'!D2551:D2555),"")</f>
        <v/>
      </c>
      <c r="E2555" s="3">
        <f>IF(ISNUMBER(AVERAGE('20250815_ETF_Options_Exhibits'!E2551:E2555)),AVERAGE('20250815_ETF_Options_Exhibits'!E2551:E2555),"")</f>
        <v/>
      </c>
      <c r="F2555" s="3">
        <f>IF(ISNUMBER(AVERAGE('20250815_ETF_Options_Exhibits'!F2551:F2555)),AVERAGE('20250815_ETF_Options_Exhibits'!F2551:F2555),"")</f>
        <v/>
      </c>
      <c r="G2555" s="3">
        <f>IF(ISNUMBER(AVERAGE('20250815_ETF_Options_Exhibits'!G2551:G2555)),AVERAGE('20250815_ETF_Options_Exhibits'!G2551:G2555),"")</f>
        <v/>
      </c>
      <c r="H2555" s="3">
        <f>IF(ISNUMBER(AVERAGE('20250815_ETF_Options_Exhibits'!H2551:H2555)),AVERAGE('20250815_ETF_Options_Exhibits'!H2551:H2555),"")</f>
        <v/>
      </c>
      <c r="I2555" s="3">
        <f>IF(ISNUMBER(AVERAGE('20250815_ETF_Options_Exhibits'!I2551:I2555)),AVERAGE('20250815_ETF_Options_Exhibits'!I2551:I2555),"")</f>
        <v/>
      </c>
      <c r="J2555" s="3">
        <f>IF(ISNUMBER(AVERAGE('20250815_ETF_Options_Exhibits'!J2551:J2555)),AVERAGE('20250815_ETF_Options_Exhibits'!J2551:J2555),"")</f>
        <v/>
      </c>
      <c r="K2555" s="3">
        <f>IF(ISNUMBER(AVERAGE('20250815_ETF_Options_Exhibits'!K2551:K2555)),AVERAGE('20250815_ETF_Options_Exhibits'!K2551:K2555),"")</f>
        <v/>
      </c>
      <c r="L2555" s="3">
        <f>IF(ISNUMBER(AVERAGE('20250815_ETF_Options_Exhibits'!L2551:L2555)),AVERAGE('20250815_ETF_Options_Exhibits'!L2551:L2555),"")</f>
        <v/>
      </c>
      <c r="M2555" s="3">
        <f>IF(ISNUMBER(AVERAGE('20250815_ETF_Options_Exhibits'!M2551:M2555)),AVERAGE('20250815_ETF_Options_Exhibits'!M2551:M2555),"")</f>
        <v/>
      </c>
      <c r="N2555" s="3">
        <f>IF(ISNUMBER(AVERAGE('20250815_ETF_Options_Exhibits'!N2551:N2555)),AVERAGE('20250815_ETF_Options_Exhibits'!N2551:N2555),"")</f>
        <v/>
      </c>
      <c r="O2555" s="3">
        <f>IF(ISNUMBER(AVERAGE('20250815_ETF_Options_Exhibits'!O2551:O2555)),AVERAGE('20250815_ETF_Options_Exhibits'!O2551:O2555),"")</f>
        <v/>
      </c>
      <c r="P2555" s="3">
        <f>IF(ISNUMBER(AVERAGE('20250815_ETF_Options_Exhibits'!P2551:P2555)),AVERAGE('20250815_ETF_Options_Exhibits'!P2551:P2555),"")</f>
        <v/>
      </c>
      <c r="Q2555" s="3">
        <f>IF(ISNUMBER(AVERAGE('20250815_ETF_Options_Exhibits'!Q2551:Q2555)),AVERAGE('20250815_ETF_Options_Exhibits'!Q2551:Q2555),"")</f>
        <v/>
      </c>
      <c r="R2555" s="3">
        <f>IF(ISNUMBER(AVERAGE('20250815_ETF_Options_Exhibits'!R2551:R2555)),AVERAGE('20250815_ETF_Options_Exhibits'!R2551:R2555),"")</f>
        <v/>
      </c>
      <c r="S2555" s="3">
        <f>IF(ISNUMBER(AVERAGE('20250815_ETF_Options_Exhibits'!S2551:S2555)),AVERAGE('20250815_ETF_Options_Exhibits'!S2551:S2555),"")</f>
        <v/>
      </c>
      <c r="T2555" s="3">
        <f>IF(ISNUMBER(AVERAGE('20250815_ETF_Options_Exhibits'!T2551:T2555)),AVERAGE('20250815_ETF_Options_Exhibits'!T2551:T2555),"")</f>
        <v/>
      </c>
      <c r="U2555" s="3">
        <f>IF(ISNUMBER(AVERAGE('20250815_ETF_Options_Exhibits'!U2551:U2555)),AVERAGE('20250815_ETF_Options_Exhibits'!U2551:U2555),"")</f>
        <v/>
      </c>
      <c r="V2555" s="3">
        <f>IF(ISNUMBER(AVERAGE('20250815_ETF_Options_Exhibits'!V2551:V2555)),AVERAGE('20250815_ETF_Options_Exhibits'!V2551:V2555),"")</f>
        <v/>
      </c>
      <c r="W2555" s="3">
        <f>IF(ISNUMBER(AVERAGE('20250815_ETF_Options_Exhibits'!W2551:W2555)),AVERAGE('20250815_ETF_Options_Exhibits'!W2551:W2555),"")</f>
        <v/>
      </c>
      <c r="X2555" s="3">
        <f>IF(ISNUMBER(AVERAGE('20250815_ETF_Options_Exhibits'!X2551:X2555)),AVERAGE('20250815_ETF_Options_Exhibits'!X2551:X2555),"")</f>
        <v/>
      </c>
      <c r="Y2555" s="3">
        <f>IF(ISNUMBER(AVERAGE('20250815_ETF_Options_Exhibits'!Y2551:Y2555)),AVERAGE('20250815_ETF_Options_Exhibits'!Y2551:Y2555),"")</f>
        <v/>
      </c>
      <c r="Z2555" s="3">
        <f>IF(ISNUMBER(AVERAGE('20250815_ETF_Options_Exhibits'!Z2551:Z2555)),AVERAGE('20250815_ETF_Options_Exhibits'!Z2551:Z2555),"")</f>
        <v/>
      </c>
      <c r="AA2555" s="3">
        <f>IF(ISNUMBER(AVERAGE('20250815_ETF_Options_Exhibits'!AA2551:AA2555)),AVERAGE('20250815_ETF_Options_Exhibits'!AA2551:AA2555),"")</f>
        <v/>
      </c>
    </row>
    <row r="2556">
      <c r="A2556" s="1" t="n">
        <v>45715</v>
      </c>
      <c r="B2556" s="3">
        <f>IF(ISNUMBER(AVERAGE('20250815_ETF_Options_Exhibits'!B2552:B2556)),AVERAGE('20250815_ETF_Options_Exhibits'!B2552:B2556),"")</f>
        <v/>
      </c>
      <c r="C2556" s="3">
        <f>IF(ISNUMBER(AVERAGE('20250815_ETF_Options_Exhibits'!C2552:C2556)),AVERAGE('20250815_ETF_Options_Exhibits'!C2552:C2556),"")</f>
        <v/>
      </c>
      <c r="D2556" s="3">
        <f>IF(ISNUMBER(AVERAGE('20250815_ETF_Options_Exhibits'!D2552:D2556)),AVERAGE('20250815_ETF_Options_Exhibits'!D2552:D2556),"")</f>
        <v/>
      </c>
      <c r="E2556" s="3">
        <f>IF(ISNUMBER(AVERAGE('20250815_ETF_Options_Exhibits'!E2552:E2556)),AVERAGE('20250815_ETF_Options_Exhibits'!E2552:E2556),"")</f>
        <v/>
      </c>
      <c r="F2556" s="3">
        <f>IF(ISNUMBER(AVERAGE('20250815_ETF_Options_Exhibits'!F2552:F2556)),AVERAGE('20250815_ETF_Options_Exhibits'!F2552:F2556),"")</f>
        <v/>
      </c>
      <c r="G2556" s="3">
        <f>IF(ISNUMBER(AVERAGE('20250815_ETF_Options_Exhibits'!G2552:G2556)),AVERAGE('20250815_ETF_Options_Exhibits'!G2552:G2556),"")</f>
        <v/>
      </c>
      <c r="H2556" s="3">
        <f>IF(ISNUMBER(AVERAGE('20250815_ETF_Options_Exhibits'!H2552:H2556)),AVERAGE('20250815_ETF_Options_Exhibits'!H2552:H2556),"")</f>
        <v/>
      </c>
      <c r="I2556" s="3">
        <f>IF(ISNUMBER(AVERAGE('20250815_ETF_Options_Exhibits'!I2552:I2556)),AVERAGE('20250815_ETF_Options_Exhibits'!I2552:I2556),"")</f>
        <v/>
      </c>
      <c r="J2556" s="3">
        <f>IF(ISNUMBER(AVERAGE('20250815_ETF_Options_Exhibits'!J2552:J2556)),AVERAGE('20250815_ETF_Options_Exhibits'!J2552:J2556),"")</f>
        <v/>
      </c>
      <c r="K2556" s="3">
        <f>IF(ISNUMBER(AVERAGE('20250815_ETF_Options_Exhibits'!K2552:K2556)),AVERAGE('20250815_ETF_Options_Exhibits'!K2552:K2556),"")</f>
        <v/>
      </c>
      <c r="L2556" s="3">
        <f>IF(ISNUMBER(AVERAGE('20250815_ETF_Options_Exhibits'!L2552:L2556)),AVERAGE('20250815_ETF_Options_Exhibits'!L2552:L2556),"")</f>
        <v/>
      </c>
      <c r="M2556" s="3">
        <f>IF(ISNUMBER(AVERAGE('20250815_ETF_Options_Exhibits'!M2552:M2556)),AVERAGE('20250815_ETF_Options_Exhibits'!M2552:M2556),"")</f>
        <v/>
      </c>
      <c r="N2556" s="3">
        <f>IF(ISNUMBER(AVERAGE('20250815_ETF_Options_Exhibits'!N2552:N2556)),AVERAGE('20250815_ETF_Options_Exhibits'!N2552:N2556),"")</f>
        <v/>
      </c>
      <c r="O2556" s="3">
        <f>IF(ISNUMBER(AVERAGE('20250815_ETF_Options_Exhibits'!O2552:O2556)),AVERAGE('20250815_ETF_Options_Exhibits'!O2552:O2556),"")</f>
        <v/>
      </c>
      <c r="P2556" s="3">
        <f>IF(ISNUMBER(AVERAGE('20250815_ETF_Options_Exhibits'!P2552:P2556)),AVERAGE('20250815_ETF_Options_Exhibits'!P2552:P2556),"")</f>
        <v/>
      </c>
      <c r="Q2556" s="3">
        <f>IF(ISNUMBER(AVERAGE('20250815_ETF_Options_Exhibits'!Q2552:Q2556)),AVERAGE('20250815_ETF_Options_Exhibits'!Q2552:Q2556),"")</f>
        <v/>
      </c>
      <c r="R2556" s="3">
        <f>IF(ISNUMBER(AVERAGE('20250815_ETF_Options_Exhibits'!R2552:R2556)),AVERAGE('20250815_ETF_Options_Exhibits'!R2552:R2556),"")</f>
        <v/>
      </c>
      <c r="S2556" s="3">
        <f>IF(ISNUMBER(AVERAGE('20250815_ETF_Options_Exhibits'!S2552:S2556)),AVERAGE('20250815_ETF_Options_Exhibits'!S2552:S2556),"")</f>
        <v/>
      </c>
      <c r="T2556" s="3">
        <f>IF(ISNUMBER(AVERAGE('20250815_ETF_Options_Exhibits'!T2552:T2556)),AVERAGE('20250815_ETF_Options_Exhibits'!T2552:T2556),"")</f>
        <v/>
      </c>
      <c r="U2556" s="3">
        <f>IF(ISNUMBER(AVERAGE('20250815_ETF_Options_Exhibits'!U2552:U2556)),AVERAGE('20250815_ETF_Options_Exhibits'!U2552:U2556),"")</f>
        <v/>
      </c>
      <c r="V2556" s="3">
        <f>IF(ISNUMBER(AVERAGE('20250815_ETF_Options_Exhibits'!V2552:V2556)),AVERAGE('20250815_ETF_Options_Exhibits'!V2552:V2556),"")</f>
        <v/>
      </c>
      <c r="W2556" s="3">
        <f>IF(ISNUMBER(AVERAGE('20250815_ETF_Options_Exhibits'!W2552:W2556)),AVERAGE('20250815_ETF_Options_Exhibits'!W2552:W2556),"")</f>
        <v/>
      </c>
      <c r="X2556" s="3">
        <f>IF(ISNUMBER(AVERAGE('20250815_ETF_Options_Exhibits'!X2552:X2556)),AVERAGE('20250815_ETF_Options_Exhibits'!X2552:X2556),"")</f>
        <v/>
      </c>
      <c r="Y2556" s="3">
        <f>IF(ISNUMBER(AVERAGE('20250815_ETF_Options_Exhibits'!Y2552:Y2556)),AVERAGE('20250815_ETF_Options_Exhibits'!Y2552:Y2556),"")</f>
        <v/>
      </c>
      <c r="Z2556" s="3">
        <f>IF(ISNUMBER(AVERAGE('20250815_ETF_Options_Exhibits'!Z2552:Z2556)),AVERAGE('20250815_ETF_Options_Exhibits'!Z2552:Z2556),"")</f>
        <v/>
      </c>
      <c r="AA2556" s="3">
        <f>IF(ISNUMBER(AVERAGE('20250815_ETF_Options_Exhibits'!AA2552:AA2556)),AVERAGE('20250815_ETF_Options_Exhibits'!AA2552:AA2556),"")</f>
        <v/>
      </c>
    </row>
    <row r="2557">
      <c r="A2557" s="1" t="n">
        <v>45716</v>
      </c>
      <c r="B2557" s="3">
        <f>IF(ISNUMBER(AVERAGE('20250815_ETF_Options_Exhibits'!B2553:B2557)),AVERAGE('20250815_ETF_Options_Exhibits'!B2553:B2557),"")</f>
        <v/>
      </c>
      <c r="C2557" s="3">
        <f>IF(ISNUMBER(AVERAGE('20250815_ETF_Options_Exhibits'!C2553:C2557)),AVERAGE('20250815_ETF_Options_Exhibits'!C2553:C2557),"")</f>
        <v/>
      </c>
      <c r="D2557" s="3">
        <f>IF(ISNUMBER(AVERAGE('20250815_ETF_Options_Exhibits'!D2553:D2557)),AVERAGE('20250815_ETF_Options_Exhibits'!D2553:D2557),"")</f>
        <v/>
      </c>
      <c r="E2557" s="3">
        <f>IF(ISNUMBER(AVERAGE('20250815_ETF_Options_Exhibits'!E2553:E2557)),AVERAGE('20250815_ETF_Options_Exhibits'!E2553:E2557),"")</f>
        <v/>
      </c>
      <c r="F2557" s="3">
        <f>IF(ISNUMBER(AVERAGE('20250815_ETF_Options_Exhibits'!F2553:F2557)),AVERAGE('20250815_ETF_Options_Exhibits'!F2553:F2557),"")</f>
        <v/>
      </c>
      <c r="G2557" s="3">
        <f>IF(ISNUMBER(AVERAGE('20250815_ETF_Options_Exhibits'!G2553:G2557)),AVERAGE('20250815_ETF_Options_Exhibits'!G2553:G2557),"")</f>
        <v/>
      </c>
      <c r="H2557" s="3">
        <f>IF(ISNUMBER(AVERAGE('20250815_ETF_Options_Exhibits'!H2553:H2557)),AVERAGE('20250815_ETF_Options_Exhibits'!H2553:H2557),"")</f>
        <v/>
      </c>
      <c r="I2557" s="3">
        <f>IF(ISNUMBER(AVERAGE('20250815_ETF_Options_Exhibits'!I2553:I2557)),AVERAGE('20250815_ETF_Options_Exhibits'!I2553:I2557),"")</f>
        <v/>
      </c>
      <c r="J2557" s="3">
        <f>IF(ISNUMBER(AVERAGE('20250815_ETF_Options_Exhibits'!J2553:J2557)),AVERAGE('20250815_ETF_Options_Exhibits'!J2553:J2557),"")</f>
        <v/>
      </c>
      <c r="K2557" s="3">
        <f>IF(ISNUMBER(AVERAGE('20250815_ETF_Options_Exhibits'!K2553:K2557)),AVERAGE('20250815_ETF_Options_Exhibits'!K2553:K2557),"")</f>
        <v/>
      </c>
      <c r="L2557" s="3">
        <f>IF(ISNUMBER(AVERAGE('20250815_ETF_Options_Exhibits'!L2553:L2557)),AVERAGE('20250815_ETF_Options_Exhibits'!L2553:L2557),"")</f>
        <v/>
      </c>
      <c r="M2557" s="3">
        <f>IF(ISNUMBER(AVERAGE('20250815_ETF_Options_Exhibits'!M2553:M2557)),AVERAGE('20250815_ETF_Options_Exhibits'!M2553:M2557),"")</f>
        <v/>
      </c>
      <c r="N2557" s="3">
        <f>IF(ISNUMBER(AVERAGE('20250815_ETF_Options_Exhibits'!N2553:N2557)),AVERAGE('20250815_ETF_Options_Exhibits'!N2553:N2557),"")</f>
        <v/>
      </c>
      <c r="O2557" s="3">
        <f>IF(ISNUMBER(AVERAGE('20250815_ETF_Options_Exhibits'!O2553:O2557)),AVERAGE('20250815_ETF_Options_Exhibits'!O2553:O2557),"")</f>
        <v/>
      </c>
      <c r="P2557" s="3">
        <f>IF(ISNUMBER(AVERAGE('20250815_ETF_Options_Exhibits'!P2553:P2557)),AVERAGE('20250815_ETF_Options_Exhibits'!P2553:P2557),"")</f>
        <v/>
      </c>
      <c r="Q2557" s="3">
        <f>IF(ISNUMBER(AVERAGE('20250815_ETF_Options_Exhibits'!Q2553:Q2557)),AVERAGE('20250815_ETF_Options_Exhibits'!Q2553:Q2557),"")</f>
        <v/>
      </c>
      <c r="R2557" s="3">
        <f>IF(ISNUMBER(AVERAGE('20250815_ETF_Options_Exhibits'!R2553:R2557)),AVERAGE('20250815_ETF_Options_Exhibits'!R2553:R2557),"")</f>
        <v/>
      </c>
      <c r="S2557" s="3">
        <f>IF(ISNUMBER(AVERAGE('20250815_ETF_Options_Exhibits'!S2553:S2557)),AVERAGE('20250815_ETF_Options_Exhibits'!S2553:S2557),"")</f>
        <v/>
      </c>
      <c r="T2557" s="3">
        <f>IF(ISNUMBER(AVERAGE('20250815_ETF_Options_Exhibits'!T2553:T2557)),AVERAGE('20250815_ETF_Options_Exhibits'!T2553:T2557),"")</f>
        <v/>
      </c>
      <c r="U2557" s="3">
        <f>IF(ISNUMBER(AVERAGE('20250815_ETF_Options_Exhibits'!U2553:U2557)),AVERAGE('20250815_ETF_Options_Exhibits'!U2553:U2557),"")</f>
        <v/>
      </c>
      <c r="V2557" s="3">
        <f>IF(ISNUMBER(AVERAGE('20250815_ETF_Options_Exhibits'!V2553:V2557)),AVERAGE('20250815_ETF_Options_Exhibits'!V2553:V2557),"")</f>
        <v/>
      </c>
      <c r="W2557" s="3">
        <f>IF(ISNUMBER(AVERAGE('20250815_ETF_Options_Exhibits'!W2553:W2557)),AVERAGE('20250815_ETF_Options_Exhibits'!W2553:W2557),"")</f>
        <v/>
      </c>
      <c r="X2557" s="3">
        <f>IF(ISNUMBER(AVERAGE('20250815_ETF_Options_Exhibits'!X2553:X2557)),AVERAGE('20250815_ETF_Options_Exhibits'!X2553:X2557),"")</f>
        <v/>
      </c>
      <c r="Y2557" s="3">
        <f>IF(ISNUMBER(AVERAGE('20250815_ETF_Options_Exhibits'!Y2553:Y2557)),AVERAGE('20250815_ETF_Options_Exhibits'!Y2553:Y2557),"")</f>
        <v/>
      </c>
      <c r="Z2557" s="3">
        <f>IF(ISNUMBER(AVERAGE('20250815_ETF_Options_Exhibits'!Z2553:Z2557)),AVERAGE('20250815_ETF_Options_Exhibits'!Z2553:Z2557),"")</f>
        <v/>
      </c>
      <c r="AA2557" s="3">
        <f>IF(ISNUMBER(AVERAGE('20250815_ETF_Options_Exhibits'!AA2553:AA2557)),AVERAGE('20250815_ETF_Options_Exhibits'!AA2553:AA2557),"")</f>
        <v/>
      </c>
    </row>
    <row r="2558">
      <c r="A2558" s="1" t="n">
        <v>45719</v>
      </c>
      <c r="B2558" s="3">
        <f>IF(ISNUMBER(AVERAGE('20250815_ETF_Options_Exhibits'!B2554:B2558)),AVERAGE('20250815_ETF_Options_Exhibits'!B2554:B2558),"")</f>
        <v/>
      </c>
      <c r="C2558" s="3">
        <f>IF(ISNUMBER(AVERAGE('20250815_ETF_Options_Exhibits'!C2554:C2558)),AVERAGE('20250815_ETF_Options_Exhibits'!C2554:C2558),"")</f>
        <v/>
      </c>
      <c r="D2558" s="3">
        <f>IF(ISNUMBER(AVERAGE('20250815_ETF_Options_Exhibits'!D2554:D2558)),AVERAGE('20250815_ETF_Options_Exhibits'!D2554:D2558),"")</f>
        <v/>
      </c>
      <c r="E2558" s="3">
        <f>IF(ISNUMBER(AVERAGE('20250815_ETF_Options_Exhibits'!E2554:E2558)),AVERAGE('20250815_ETF_Options_Exhibits'!E2554:E2558),"")</f>
        <v/>
      </c>
      <c r="F2558" s="3">
        <f>IF(ISNUMBER(AVERAGE('20250815_ETF_Options_Exhibits'!F2554:F2558)),AVERAGE('20250815_ETF_Options_Exhibits'!F2554:F2558),"")</f>
        <v/>
      </c>
      <c r="G2558" s="3">
        <f>IF(ISNUMBER(AVERAGE('20250815_ETF_Options_Exhibits'!G2554:G2558)),AVERAGE('20250815_ETF_Options_Exhibits'!G2554:G2558),"")</f>
        <v/>
      </c>
      <c r="H2558" s="3">
        <f>IF(ISNUMBER(AVERAGE('20250815_ETF_Options_Exhibits'!H2554:H2558)),AVERAGE('20250815_ETF_Options_Exhibits'!H2554:H2558),"")</f>
        <v/>
      </c>
      <c r="I2558" s="3">
        <f>IF(ISNUMBER(AVERAGE('20250815_ETF_Options_Exhibits'!I2554:I2558)),AVERAGE('20250815_ETF_Options_Exhibits'!I2554:I2558),"")</f>
        <v/>
      </c>
      <c r="J2558" s="3">
        <f>IF(ISNUMBER(AVERAGE('20250815_ETF_Options_Exhibits'!J2554:J2558)),AVERAGE('20250815_ETF_Options_Exhibits'!J2554:J2558),"")</f>
        <v/>
      </c>
      <c r="K2558" s="3">
        <f>IF(ISNUMBER(AVERAGE('20250815_ETF_Options_Exhibits'!K2554:K2558)),AVERAGE('20250815_ETF_Options_Exhibits'!K2554:K2558),"")</f>
        <v/>
      </c>
      <c r="L2558" s="3">
        <f>IF(ISNUMBER(AVERAGE('20250815_ETF_Options_Exhibits'!L2554:L2558)),AVERAGE('20250815_ETF_Options_Exhibits'!L2554:L2558),"")</f>
        <v/>
      </c>
      <c r="M2558" s="3">
        <f>IF(ISNUMBER(AVERAGE('20250815_ETF_Options_Exhibits'!M2554:M2558)),AVERAGE('20250815_ETF_Options_Exhibits'!M2554:M2558),"")</f>
        <v/>
      </c>
      <c r="N2558" s="3">
        <f>IF(ISNUMBER(AVERAGE('20250815_ETF_Options_Exhibits'!N2554:N2558)),AVERAGE('20250815_ETF_Options_Exhibits'!N2554:N2558),"")</f>
        <v/>
      </c>
      <c r="O2558" s="3">
        <f>IF(ISNUMBER(AVERAGE('20250815_ETF_Options_Exhibits'!O2554:O2558)),AVERAGE('20250815_ETF_Options_Exhibits'!O2554:O2558),"")</f>
        <v/>
      </c>
      <c r="P2558" s="3">
        <f>IF(ISNUMBER(AVERAGE('20250815_ETF_Options_Exhibits'!P2554:P2558)),AVERAGE('20250815_ETF_Options_Exhibits'!P2554:P2558),"")</f>
        <v/>
      </c>
      <c r="Q2558" s="3">
        <f>IF(ISNUMBER(AVERAGE('20250815_ETF_Options_Exhibits'!Q2554:Q2558)),AVERAGE('20250815_ETF_Options_Exhibits'!Q2554:Q2558),"")</f>
        <v/>
      </c>
      <c r="R2558" s="3">
        <f>IF(ISNUMBER(AVERAGE('20250815_ETF_Options_Exhibits'!R2554:R2558)),AVERAGE('20250815_ETF_Options_Exhibits'!R2554:R2558),"")</f>
        <v/>
      </c>
      <c r="S2558" s="3">
        <f>IF(ISNUMBER(AVERAGE('20250815_ETF_Options_Exhibits'!S2554:S2558)),AVERAGE('20250815_ETF_Options_Exhibits'!S2554:S2558),"")</f>
        <v/>
      </c>
      <c r="T2558" s="3">
        <f>IF(ISNUMBER(AVERAGE('20250815_ETF_Options_Exhibits'!T2554:T2558)),AVERAGE('20250815_ETF_Options_Exhibits'!T2554:T2558),"")</f>
        <v/>
      </c>
      <c r="U2558" s="3">
        <f>IF(ISNUMBER(AVERAGE('20250815_ETF_Options_Exhibits'!U2554:U2558)),AVERAGE('20250815_ETF_Options_Exhibits'!U2554:U2558),"")</f>
        <v/>
      </c>
      <c r="V2558" s="3">
        <f>IF(ISNUMBER(AVERAGE('20250815_ETF_Options_Exhibits'!V2554:V2558)),AVERAGE('20250815_ETF_Options_Exhibits'!V2554:V2558),"")</f>
        <v/>
      </c>
      <c r="W2558" s="3">
        <f>IF(ISNUMBER(AVERAGE('20250815_ETF_Options_Exhibits'!W2554:W2558)),AVERAGE('20250815_ETF_Options_Exhibits'!W2554:W2558),"")</f>
        <v/>
      </c>
      <c r="X2558" s="3">
        <f>IF(ISNUMBER(AVERAGE('20250815_ETF_Options_Exhibits'!X2554:X2558)),AVERAGE('20250815_ETF_Options_Exhibits'!X2554:X2558),"")</f>
        <v/>
      </c>
      <c r="Y2558" s="3">
        <f>IF(ISNUMBER(AVERAGE('20250815_ETF_Options_Exhibits'!Y2554:Y2558)),AVERAGE('20250815_ETF_Options_Exhibits'!Y2554:Y2558),"")</f>
        <v/>
      </c>
      <c r="Z2558" s="3">
        <f>IF(ISNUMBER(AVERAGE('20250815_ETF_Options_Exhibits'!Z2554:Z2558)),AVERAGE('20250815_ETF_Options_Exhibits'!Z2554:Z2558),"")</f>
        <v/>
      </c>
      <c r="AA2558" s="3">
        <f>IF(ISNUMBER(AVERAGE('20250815_ETF_Options_Exhibits'!AA2554:AA2558)),AVERAGE('20250815_ETF_Options_Exhibits'!AA2554:AA2558),"")</f>
        <v/>
      </c>
    </row>
    <row r="2559">
      <c r="A2559" s="1" t="n">
        <v>45720</v>
      </c>
      <c r="B2559" s="3">
        <f>IF(ISNUMBER(AVERAGE('20250815_ETF_Options_Exhibits'!B2555:B2559)),AVERAGE('20250815_ETF_Options_Exhibits'!B2555:B2559),"")</f>
        <v/>
      </c>
      <c r="C2559" s="3">
        <f>IF(ISNUMBER(AVERAGE('20250815_ETF_Options_Exhibits'!C2555:C2559)),AVERAGE('20250815_ETF_Options_Exhibits'!C2555:C2559),"")</f>
        <v/>
      </c>
      <c r="D2559" s="3">
        <f>IF(ISNUMBER(AVERAGE('20250815_ETF_Options_Exhibits'!D2555:D2559)),AVERAGE('20250815_ETF_Options_Exhibits'!D2555:D2559),"")</f>
        <v/>
      </c>
      <c r="E2559" s="3">
        <f>IF(ISNUMBER(AVERAGE('20250815_ETF_Options_Exhibits'!E2555:E2559)),AVERAGE('20250815_ETF_Options_Exhibits'!E2555:E2559),"")</f>
        <v/>
      </c>
      <c r="F2559" s="3">
        <f>IF(ISNUMBER(AVERAGE('20250815_ETF_Options_Exhibits'!F2555:F2559)),AVERAGE('20250815_ETF_Options_Exhibits'!F2555:F2559),"")</f>
        <v/>
      </c>
      <c r="G2559" s="3">
        <f>IF(ISNUMBER(AVERAGE('20250815_ETF_Options_Exhibits'!G2555:G2559)),AVERAGE('20250815_ETF_Options_Exhibits'!G2555:G2559),"")</f>
        <v/>
      </c>
      <c r="H2559" s="3">
        <f>IF(ISNUMBER(AVERAGE('20250815_ETF_Options_Exhibits'!H2555:H2559)),AVERAGE('20250815_ETF_Options_Exhibits'!H2555:H2559),"")</f>
        <v/>
      </c>
      <c r="I2559" s="3">
        <f>IF(ISNUMBER(AVERAGE('20250815_ETF_Options_Exhibits'!I2555:I2559)),AVERAGE('20250815_ETF_Options_Exhibits'!I2555:I2559),"")</f>
        <v/>
      </c>
      <c r="J2559" s="3">
        <f>IF(ISNUMBER(AVERAGE('20250815_ETF_Options_Exhibits'!J2555:J2559)),AVERAGE('20250815_ETF_Options_Exhibits'!J2555:J2559),"")</f>
        <v/>
      </c>
      <c r="K2559" s="3">
        <f>IF(ISNUMBER(AVERAGE('20250815_ETF_Options_Exhibits'!K2555:K2559)),AVERAGE('20250815_ETF_Options_Exhibits'!K2555:K2559),"")</f>
        <v/>
      </c>
      <c r="L2559" s="3">
        <f>IF(ISNUMBER(AVERAGE('20250815_ETF_Options_Exhibits'!L2555:L2559)),AVERAGE('20250815_ETF_Options_Exhibits'!L2555:L2559),"")</f>
        <v/>
      </c>
      <c r="M2559" s="3">
        <f>IF(ISNUMBER(AVERAGE('20250815_ETF_Options_Exhibits'!M2555:M2559)),AVERAGE('20250815_ETF_Options_Exhibits'!M2555:M2559),"")</f>
        <v/>
      </c>
      <c r="N2559" s="3">
        <f>IF(ISNUMBER(AVERAGE('20250815_ETF_Options_Exhibits'!N2555:N2559)),AVERAGE('20250815_ETF_Options_Exhibits'!N2555:N2559),"")</f>
        <v/>
      </c>
      <c r="O2559" s="3">
        <f>IF(ISNUMBER(AVERAGE('20250815_ETF_Options_Exhibits'!O2555:O2559)),AVERAGE('20250815_ETF_Options_Exhibits'!O2555:O2559),"")</f>
        <v/>
      </c>
      <c r="P2559" s="3">
        <f>IF(ISNUMBER(AVERAGE('20250815_ETF_Options_Exhibits'!P2555:P2559)),AVERAGE('20250815_ETF_Options_Exhibits'!P2555:P2559),"")</f>
        <v/>
      </c>
      <c r="Q2559" s="3">
        <f>IF(ISNUMBER(AVERAGE('20250815_ETF_Options_Exhibits'!Q2555:Q2559)),AVERAGE('20250815_ETF_Options_Exhibits'!Q2555:Q2559),"")</f>
        <v/>
      </c>
      <c r="R2559" s="3">
        <f>IF(ISNUMBER(AVERAGE('20250815_ETF_Options_Exhibits'!R2555:R2559)),AVERAGE('20250815_ETF_Options_Exhibits'!R2555:R2559),"")</f>
        <v/>
      </c>
      <c r="S2559" s="3">
        <f>IF(ISNUMBER(AVERAGE('20250815_ETF_Options_Exhibits'!S2555:S2559)),AVERAGE('20250815_ETF_Options_Exhibits'!S2555:S2559),"")</f>
        <v/>
      </c>
      <c r="T2559" s="3">
        <f>IF(ISNUMBER(AVERAGE('20250815_ETF_Options_Exhibits'!T2555:T2559)),AVERAGE('20250815_ETF_Options_Exhibits'!T2555:T2559),"")</f>
        <v/>
      </c>
      <c r="U2559" s="3">
        <f>IF(ISNUMBER(AVERAGE('20250815_ETF_Options_Exhibits'!U2555:U2559)),AVERAGE('20250815_ETF_Options_Exhibits'!U2555:U2559),"")</f>
        <v/>
      </c>
      <c r="V2559" s="3">
        <f>IF(ISNUMBER(AVERAGE('20250815_ETF_Options_Exhibits'!V2555:V2559)),AVERAGE('20250815_ETF_Options_Exhibits'!V2555:V2559),"")</f>
        <v/>
      </c>
      <c r="W2559" s="3">
        <f>IF(ISNUMBER(AVERAGE('20250815_ETF_Options_Exhibits'!W2555:W2559)),AVERAGE('20250815_ETF_Options_Exhibits'!W2555:W2559),"")</f>
        <v/>
      </c>
      <c r="X2559" s="3">
        <f>IF(ISNUMBER(AVERAGE('20250815_ETF_Options_Exhibits'!X2555:X2559)),AVERAGE('20250815_ETF_Options_Exhibits'!X2555:X2559),"")</f>
        <v/>
      </c>
      <c r="Y2559" s="3">
        <f>IF(ISNUMBER(AVERAGE('20250815_ETF_Options_Exhibits'!Y2555:Y2559)),AVERAGE('20250815_ETF_Options_Exhibits'!Y2555:Y2559),"")</f>
        <v/>
      </c>
      <c r="Z2559" s="3">
        <f>IF(ISNUMBER(AVERAGE('20250815_ETF_Options_Exhibits'!Z2555:Z2559)),AVERAGE('20250815_ETF_Options_Exhibits'!Z2555:Z2559),"")</f>
        <v/>
      </c>
      <c r="AA2559" s="3">
        <f>IF(ISNUMBER(AVERAGE('20250815_ETF_Options_Exhibits'!AA2555:AA2559)),AVERAGE('20250815_ETF_Options_Exhibits'!AA2555:AA2559),"")</f>
        <v/>
      </c>
    </row>
    <row r="2560">
      <c r="A2560" s="1" t="n">
        <v>45721</v>
      </c>
      <c r="B2560" s="3">
        <f>IF(ISNUMBER(AVERAGE('20250815_ETF_Options_Exhibits'!B2556:B2560)),AVERAGE('20250815_ETF_Options_Exhibits'!B2556:B2560),"")</f>
        <v/>
      </c>
      <c r="C2560" s="3">
        <f>IF(ISNUMBER(AVERAGE('20250815_ETF_Options_Exhibits'!C2556:C2560)),AVERAGE('20250815_ETF_Options_Exhibits'!C2556:C2560),"")</f>
        <v/>
      </c>
      <c r="D2560" s="3">
        <f>IF(ISNUMBER(AVERAGE('20250815_ETF_Options_Exhibits'!D2556:D2560)),AVERAGE('20250815_ETF_Options_Exhibits'!D2556:D2560),"")</f>
        <v/>
      </c>
      <c r="E2560" s="3">
        <f>IF(ISNUMBER(AVERAGE('20250815_ETF_Options_Exhibits'!E2556:E2560)),AVERAGE('20250815_ETF_Options_Exhibits'!E2556:E2560),"")</f>
        <v/>
      </c>
      <c r="F2560" s="3">
        <f>IF(ISNUMBER(AVERAGE('20250815_ETF_Options_Exhibits'!F2556:F2560)),AVERAGE('20250815_ETF_Options_Exhibits'!F2556:F2560),"")</f>
        <v/>
      </c>
      <c r="G2560" s="3">
        <f>IF(ISNUMBER(AVERAGE('20250815_ETF_Options_Exhibits'!G2556:G2560)),AVERAGE('20250815_ETF_Options_Exhibits'!G2556:G2560),"")</f>
        <v/>
      </c>
      <c r="H2560" s="3">
        <f>IF(ISNUMBER(AVERAGE('20250815_ETF_Options_Exhibits'!H2556:H2560)),AVERAGE('20250815_ETF_Options_Exhibits'!H2556:H2560),"")</f>
        <v/>
      </c>
      <c r="I2560" s="3">
        <f>IF(ISNUMBER(AVERAGE('20250815_ETF_Options_Exhibits'!I2556:I2560)),AVERAGE('20250815_ETF_Options_Exhibits'!I2556:I2560),"")</f>
        <v/>
      </c>
      <c r="J2560" s="3">
        <f>IF(ISNUMBER(AVERAGE('20250815_ETF_Options_Exhibits'!J2556:J2560)),AVERAGE('20250815_ETF_Options_Exhibits'!J2556:J2560),"")</f>
        <v/>
      </c>
      <c r="K2560" s="3">
        <f>IF(ISNUMBER(AVERAGE('20250815_ETF_Options_Exhibits'!K2556:K2560)),AVERAGE('20250815_ETF_Options_Exhibits'!K2556:K2560),"")</f>
        <v/>
      </c>
      <c r="L2560" s="3">
        <f>IF(ISNUMBER(AVERAGE('20250815_ETF_Options_Exhibits'!L2556:L2560)),AVERAGE('20250815_ETF_Options_Exhibits'!L2556:L2560),"")</f>
        <v/>
      </c>
      <c r="M2560" s="3">
        <f>IF(ISNUMBER(AVERAGE('20250815_ETF_Options_Exhibits'!M2556:M2560)),AVERAGE('20250815_ETF_Options_Exhibits'!M2556:M2560),"")</f>
        <v/>
      </c>
      <c r="N2560" s="3">
        <f>IF(ISNUMBER(AVERAGE('20250815_ETF_Options_Exhibits'!N2556:N2560)),AVERAGE('20250815_ETF_Options_Exhibits'!N2556:N2560),"")</f>
        <v/>
      </c>
      <c r="O2560" s="3">
        <f>IF(ISNUMBER(AVERAGE('20250815_ETF_Options_Exhibits'!O2556:O2560)),AVERAGE('20250815_ETF_Options_Exhibits'!O2556:O2560),"")</f>
        <v/>
      </c>
      <c r="P2560" s="3">
        <f>IF(ISNUMBER(AVERAGE('20250815_ETF_Options_Exhibits'!P2556:P2560)),AVERAGE('20250815_ETF_Options_Exhibits'!P2556:P2560),"")</f>
        <v/>
      </c>
      <c r="Q2560" s="3">
        <f>IF(ISNUMBER(AVERAGE('20250815_ETF_Options_Exhibits'!Q2556:Q2560)),AVERAGE('20250815_ETF_Options_Exhibits'!Q2556:Q2560),"")</f>
        <v/>
      </c>
      <c r="R2560" s="3">
        <f>IF(ISNUMBER(AVERAGE('20250815_ETF_Options_Exhibits'!R2556:R2560)),AVERAGE('20250815_ETF_Options_Exhibits'!R2556:R2560),"")</f>
        <v/>
      </c>
      <c r="S2560" s="3">
        <f>IF(ISNUMBER(AVERAGE('20250815_ETF_Options_Exhibits'!S2556:S2560)),AVERAGE('20250815_ETF_Options_Exhibits'!S2556:S2560),"")</f>
        <v/>
      </c>
      <c r="T2560" s="3">
        <f>IF(ISNUMBER(AVERAGE('20250815_ETF_Options_Exhibits'!T2556:T2560)),AVERAGE('20250815_ETF_Options_Exhibits'!T2556:T2560),"")</f>
        <v/>
      </c>
      <c r="U2560" s="3">
        <f>IF(ISNUMBER(AVERAGE('20250815_ETF_Options_Exhibits'!U2556:U2560)),AVERAGE('20250815_ETF_Options_Exhibits'!U2556:U2560),"")</f>
        <v/>
      </c>
      <c r="V2560" s="3">
        <f>IF(ISNUMBER(AVERAGE('20250815_ETF_Options_Exhibits'!V2556:V2560)),AVERAGE('20250815_ETF_Options_Exhibits'!V2556:V2560),"")</f>
        <v/>
      </c>
      <c r="W2560" s="3">
        <f>IF(ISNUMBER(AVERAGE('20250815_ETF_Options_Exhibits'!W2556:W2560)),AVERAGE('20250815_ETF_Options_Exhibits'!W2556:W2560),"")</f>
        <v/>
      </c>
      <c r="X2560" s="3">
        <f>IF(ISNUMBER(AVERAGE('20250815_ETF_Options_Exhibits'!X2556:X2560)),AVERAGE('20250815_ETF_Options_Exhibits'!X2556:X2560),"")</f>
        <v/>
      </c>
      <c r="Y2560" s="3">
        <f>IF(ISNUMBER(AVERAGE('20250815_ETF_Options_Exhibits'!Y2556:Y2560)),AVERAGE('20250815_ETF_Options_Exhibits'!Y2556:Y2560),"")</f>
        <v/>
      </c>
      <c r="Z2560" s="3">
        <f>IF(ISNUMBER(AVERAGE('20250815_ETF_Options_Exhibits'!Z2556:Z2560)),AVERAGE('20250815_ETF_Options_Exhibits'!Z2556:Z2560),"")</f>
        <v/>
      </c>
      <c r="AA2560" s="3">
        <f>IF(ISNUMBER(AVERAGE('20250815_ETF_Options_Exhibits'!AA2556:AA2560)),AVERAGE('20250815_ETF_Options_Exhibits'!AA2556:AA2560),"")</f>
        <v/>
      </c>
    </row>
    <row r="2561">
      <c r="A2561" s="1" t="n">
        <v>45722</v>
      </c>
      <c r="B2561" s="3">
        <f>IF(ISNUMBER(AVERAGE('20250815_ETF_Options_Exhibits'!B2557:B2561)),AVERAGE('20250815_ETF_Options_Exhibits'!B2557:B2561),"")</f>
        <v/>
      </c>
      <c r="C2561" s="3">
        <f>IF(ISNUMBER(AVERAGE('20250815_ETF_Options_Exhibits'!C2557:C2561)),AVERAGE('20250815_ETF_Options_Exhibits'!C2557:C2561),"")</f>
        <v/>
      </c>
      <c r="D2561" s="3">
        <f>IF(ISNUMBER(AVERAGE('20250815_ETF_Options_Exhibits'!D2557:D2561)),AVERAGE('20250815_ETF_Options_Exhibits'!D2557:D2561),"")</f>
        <v/>
      </c>
      <c r="E2561" s="3">
        <f>IF(ISNUMBER(AVERAGE('20250815_ETF_Options_Exhibits'!E2557:E2561)),AVERAGE('20250815_ETF_Options_Exhibits'!E2557:E2561),"")</f>
        <v/>
      </c>
      <c r="F2561" s="3">
        <f>IF(ISNUMBER(AVERAGE('20250815_ETF_Options_Exhibits'!F2557:F2561)),AVERAGE('20250815_ETF_Options_Exhibits'!F2557:F2561),"")</f>
        <v/>
      </c>
      <c r="G2561" s="3">
        <f>IF(ISNUMBER(AVERAGE('20250815_ETF_Options_Exhibits'!G2557:G2561)),AVERAGE('20250815_ETF_Options_Exhibits'!G2557:G2561),"")</f>
        <v/>
      </c>
      <c r="H2561" s="3">
        <f>IF(ISNUMBER(AVERAGE('20250815_ETF_Options_Exhibits'!H2557:H2561)),AVERAGE('20250815_ETF_Options_Exhibits'!H2557:H2561),"")</f>
        <v/>
      </c>
      <c r="I2561" s="3">
        <f>IF(ISNUMBER(AVERAGE('20250815_ETF_Options_Exhibits'!I2557:I2561)),AVERAGE('20250815_ETF_Options_Exhibits'!I2557:I2561),"")</f>
        <v/>
      </c>
      <c r="J2561" s="3">
        <f>IF(ISNUMBER(AVERAGE('20250815_ETF_Options_Exhibits'!J2557:J2561)),AVERAGE('20250815_ETF_Options_Exhibits'!J2557:J2561),"")</f>
        <v/>
      </c>
      <c r="K2561" s="3">
        <f>IF(ISNUMBER(AVERAGE('20250815_ETF_Options_Exhibits'!K2557:K2561)),AVERAGE('20250815_ETF_Options_Exhibits'!K2557:K2561),"")</f>
        <v/>
      </c>
      <c r="L2561" s="3">
        <f>IF(ISNUMBER(AVERAGE('20250815_ETF_Options_Exhibits'!L2557:L2561)),AVERAGE('20250815_ETF_Options_Exhibits'!L2557:L2561),"")</f>
        <v/>
      </c>
      <c r="M2561" s="3">
        <f>IF(ISNUMBER(AVERAGE('20250815_ETF_Options_Exhibits'!M2557:M2561)),AVERAGE('20250815_ETF_Options_Exhibits'!M2557:M2561),"")</f>
        <v/>
      </c>
      <c r="N2561" s="3">
        <f>IF(ISNUMBER(AVERAGE('20250815_ETF_Options_Exhibits'!N2557:N2561)),AVERAGE('20250815_ETF_Options_Exhibits'!N2557:N2561),"")</f>
        <v/>
      </c>
      <c r="O2561" s="3">
        <f>IF(ISNUMBER(AVERAGE('20250815_ETF_Options_Exhibits'!O2557:O2561)),AVERAGE('20250815_ETF_Options_Exhibits'!O2557:O2561),"")</f>
        <v/>
      </c>
      <c r="P2561" s="3">
        <f>IF(ISNUMBER(AVERAGE('20250815_ETF_Options_Exhibits'!P2557:P2561)),AVERAGE('20250815_ETF_Options_Exhibits'!P2557:P2561),"")</f>
        <v/>
      </c>
      <c r="Q2561" s="3">
        <f>IF(ISNUMBER(AVERAGE('20250815_ETF_Options_Exhibits'!Q2557:Q2561)),AVERAGE('20250815_ETF_Options_Exhibits'!Q2557:Q2561),"")</f>
        <v/>
      </c>
      <c r="R2561" s="3">
        <f>IF(ISNUMBER(AVERAGE('20250815_ETF_Options_Exhibits'!R2557:R2561)),AVERAGE('20250815_ETF_Options_Exhibits'!R2557:R2561),"")</f>
        <v/>
      </c>
      <c r="S2561" s="3">
        <f>IF(ISNUMBER(AVERAGE('20250815_ETF_Options_Exhibits'!S2557:S2561)),AVERAGE('20250815_ETF_Options_Exhibits'!S2557:S2561),"")</f>
        <v/>
      </c>
      <c r="T2561" s="3">
        <f>IF(ISNUMBER(AVERAGE('20250815_ETF_Options_Exhibits'!T2557:T2561)),AVERAGE('20250815_ETF_Options_Exhibits'!T2557:T2561),"")</f>
        <v/>
      </c>
      <c r="U2561" s="3">
        <f>IF(ISNUMBER(AVERAGE('20250815_ETF_Options_Exhibits'!U2557:U2561)),AVERAGE('20250815_ETF_Options_Exhibits'!U2557:U2561),"")</f>
        <v/>
      </c>
      <c r="V2561" s="3">
        <f>IF(ISNUMBER(AVERAGE('20250815_ETF_Options_Exhibits'!V2557:V2561)),AVERAGE('20250815_ETF_Options_Exhibits'!V2557:V2561),"")</f>
        <v/>
      </c>
      <c r="W2561" s="3">
        <f>IF(ISNUMBER(AVERAGE('20250815_ETF_Options_Exhibits'!W2557:W2561)),AVERAGE('20250815_ETF_Options_Exhibits'!W2557:W2561),"")</f>
        <v/>
      </c>
      <c r="X2561" s="3">
        <f>IF(ISNUMBER(AVERAGE('20250815_ETF_Options_Exhibits'!X2557:X2561)),AVERAGE('20250815_ETF_Options_Exhibits'!X2557:X2561),"")</f>
        <v/>
      </c>
      <c r="Y2561" s="3">
        <f>IF(ISNUMBER(AVERAGE('20250815_ETF_Options_Exhibits'!Y2557:Y2561)),AVERAGE('20250815_ETF_Options_Exhibits'!Y2557:Y2561),"")</f>
        <v/>
      </c>
      <c r="Z2561" s="3">
        <f>IF(ISNUMBER(AVERAGE('20250815_ETF_Options_Exhibits'!Z2557:Z2561)),AVERAGE('20250815_ETF_Options_Exhibits'!Z2557:Z2561),"")</f>
        <v/>
      </c>
      <c r="AA2561" s="3">
        <f>IF(ISNUMBER(AVERAGE('20250815_ETF_Options_Exhibits'!AA2557:AA2561)),AVERAGE('20250815_ETF_Options_Exhibits'!AA2557:AA2561),"")</f>
        <v/>
      </c>
    </row>
    <row r="2562">
      <c r="A2562" s="1" t="n">
        <v>45723</v>
      </c>
      <c r="B2562" s="3">
        <f>IF(ISNUMBER(AVERAGE('20250815_ETF_Options_Exhibits'!B2558:B2562)),AVERAGE('20250815_ETF_Options_Exhibits'!B2558:B2562),"")</f>
        <v/>
      </c>
      <c r="C2562" s="3">
        <f>IF(ISNUMBER(AVERAGE('20250815_ETF_Options_Exhibits'!C2558:C2562)),AVERAGE('20250815_ETF_Options_Exhibits'!C2558:C2562),"")</f>
        <v/>
      </c>
      <c r="D2562" s="3">
        <f>IF(ISNUMBER(AVERAGE('20250815_ETF_Options_Exhibits'!D2558:D2562)),AVERAGE('20250815_ETF_Options_Exhibits'!D2558:D2562),"")</f>
        <v/>
      </c>
      <c r="E2562" s="3">
        <f>IF(ISNUMBER(AVERAGE('20250815_ETF_Options_Exhibits'!E2558:E2562)),AVERAGE('20250815_ETF_Options_Exhibits'!E2558:E2562),"")</f>
        <v/>
      </c>
      <c r="F2562" s="3">
        <f>IF(ISNUMBER(AVERAGE('20250815_ETF_Options_Exhibits'!F2558:F2562)),AVERAGE('20250815_ETF_Options_Exhibits'!F2558:F2562),"")</f>
        <v/>
      </c>
      <c r="G2562" s="3">
        <f>IF(ISNUMBER(AVERAGE('20250815_ETF_Options_Exhibits'!G2558:G2562)),AVERAGE('20250815_ETF_Options_Exhibits'!G2558:G2562),"")</f>
        <v/>
      </c>
      <c r="H2562" s="3">
        <f>IF(ISNUMBER(AVERAGE('20250815_ETF_Options_Exhibits'!H2558:H2562)),AVERAGE('20250815_ETF_Options_Exhibits'!H2558:H2562),"")</f>
        <v/>
      </c>
      <c r="I2562" s="3">
        <f>IF(ISNUMBER(AVERAGE('20250815_ETF_Options_Exhibits'!I2558:I2562)),AVERAGE('20250815_ETF_Options_Exhibits'!I2558:I2562),"")</f>
        <v/>
      </c>
      <c r="J2562" s="3">
        <f>IF(ISNUMBER(AVERAGE('20250815_ETF_Options_Exhibits'!J2558:J2562)),AVERAGE('20250815_ETF_Options_Exhibits'!J2558:J2562),"")</f>
        <v/>
      </c>
      <c r="K2562" s="3">
        <f>IF(ISNUMBER(AVERAGE('20250815_ETF_Options_Exhibits'!K2558:K2562)),AVERAGE('20250815_ETF_Options_Exhibits'!K2558:K2562),"")</f>
        <v/>
      </c>
      <c r="L2562" s="3">
        <f>IF(ISNUMBER(AVERAGE('20250815_ETF_Options_Exhibits'!L2558:L2562)),AVERAGE('20250815_ETF_Options_Exhibits'!L2558:L2562),"")</f>
        <v/>
      </c>
      <c r="M2562" s="3">
        <f>IF(ISNUMBER(AVERAGE('20250815_ETF_Options_Exhibits'!M2558:M2562)),AVERAGE('20250815_ETF_Options_Exhibits'!M2558:M2562),"")</f>
        <v/>
      </c>
      <c r="N2562" s="3">
        <f>IF(ISNUMBER(AVERAGE('20250815_ETF_Options_Exhibits'!N2558:N2562)),AVERAGE('20250815_ETF_Options_Exhibits'!N2558:N2562),"")</f>
        <v/>
      </c>
      <c r="O2562" s="3">
        <f>IF(ISNUMBER(AVERAGE('20250815_ETF_Options_Exhibits'!O2558:O2562)),AVERAGE('20250815_ETF_Options_Exhibits'!O2558:O2562),"")</f>
        <v/>
      </c>
      <c r="P2562" s="3">
        <f>IF(ISNUMBER(AVERAGE('20250815_ETF_Options_Exhibits'!P2558:P2562)),AVERAGE('20250815_ETF_Options_Exhibits'!P2558:P2562),"")</f>
        <v/>
      </c>
      <c r="Q2562" s="3">
        <f>IF(ISNUMBER(AVERAGE('20250815_ETF_Options_Exhibits'!Q2558:Q2562)),AVERAGE('20250815_ETF_Options_Exhibits'!Q2558:Q2562),"")</f>
        <v/>
      </c>
      <c r="R2562" s="3">
        <f>IF(ISNUMBER(AVERAGE('20250815_ETF_Options_Exhibits'!R2558:R2562)),AVERAGE('20250815_ETF_Options_Exhibits'!R2558:R2562),"")</f>
        <v/>
      </c>
      <c r="S2562" s="3">
        <f>IF(ISNUMBER(AVERAGE('20250815_ETF_Options_Exhibits'!S2558:S2562)),AVERAGE('20250815_ETF_Options_Exhibits'!S2558:S2562),"")</f>
        <v/>
      </c>
      <c r="T2562" s="3">
        <f>IF(ISNUMBER(AVERAGE('20250815_ETF_Options_Exhibits'!T2558:T2562)),AVERAGE('20250815_ETF_Options_Exhibits'!T2558:T2562),"")</f>
        <v/>
      </c>
      <c r="U2562" s="3">
        <f>IF(ISNUMBER(AVERAGE('20250815_ETF_Options_Exhibits'!U2558:U2562)),AVERAGE('20250815_ETF_Options_Exhibits'!U2558:U2562),"")</f>
        <v/>
      </c>
      <c r="V2562" s="3">
        <f>IF(ISNUMBER(AVERAGE('20250815_ETF_Options_Exhibits'!V2558:V2562)),AVERAGE('20250815_ETF_Options_Exhibits'!V2558:V2562),"")</f>
        <v/>
      </c>
      <c r="W2562" s="3">
        <f>IF(ISNUMBER(AVERAGE('20250815_ETF_Options_Exhibits'!W2558:W2562)),AVERAGE('20250815_ETF_Options_Exhibits'!W2558:W2562),"")</f>
        <v/>
      </c>
      <c r="X2562" s="3">
        <f>IF(ISNUMBER(AVERAGE('20250815_ETF_Options_Exhibits'!X2558:X2562)),AVERAGE('20250815_ETF_Options_Exhibits'!X2558:X2562),"")</f>
        <v/>
      </c>
      <c r="Y2562" s="3">
        <f>IF(ISNUMBER(AVERAGE('20250815_ETF_Options_Exhibits'!Y2558:Y2562)),AVERAGE('20250815_ETF_Options_Exhibits'!Y2558:Y2562),"")</f>
        <v/>
      </c>
      <c r="Z2562" s="3">
        <f>IF(ISNUMBER(AVERAGE('20250815_ETF_Options_Exhibits'!Z2558:Z2562)),AVERAGE('20250815_ETF_Options_Exhibits'!Z2558:Z2562),"")</f>
        <v/>
      </c>
      <c r="AA2562" s="3">
        <f>IF(ISNUMBER(AVERAGE('20250815_ETF_Options_Exhibits'!AA2558:AA2562)),AVERAGE('20250815_ETF_Options_Exhibits'!AA2558:AA2562),"")</f>
        <v/>
      </c>
    </row>
    <row r="2563">
      <c r="A2563" s="1" t="n">
        <v>45726</v>
      </c>
      <c r="B2563" s="3">
        <f>IF(ISNUMBER(AVERAGE('20250815_ETF_Options_Exhibits'!B2559:B2563)),AVERAGE('20250815_ETF_Options_Exhibits'!B2559:B2563),"")</f>
        <v/>
      </c>
      <c r="C2563" s="3">
        <f>IF(ISNUMBER(AVERAGE('20250815_ETF_Options_Exhibits'!C2559:C2563)),AVERAGE('20250815_ETF_Options_Exhibits'!C2559:C2563),"")</f>
        <v/>
      </c>
      <c r="D2563" s="3">
        <f>IF(ISNUMBER(AVERAGE('20250815_ETF_Options_Exhibits'!D2559:D2563)),AVERAGE('20250815_ETF_Options_Exhibits'!D2559:D2563),"")</f>
        <v/>
      </c>
      <c r="E2563" s="3">
        <f>IF(ISNUMBER(AVERAGE('20250815_ETF_Options_Exhibits'!E2559:E2563)),AVERAGE('20250815_ETF_Options_Exhibits'!E2559:E2563),"")</f>
        <v/>
      </c>
      <c r="F2563" s="3">
        <f>IF(ISNUMBER(AVERAGE('20250815_ETF_Options_Exhibits'!F2559:F2563)),AVERAGE('20250815_ETF_Options_Exhibits'!F2559:F2563),"")</f>
        <v/>
      </c>
      <c r="G2563" s="3">
        <f>IF(ISNUMBER(AVERAGE('20250815_ETF_Options_Exhibits'!G2559:G2563)),AVERAGE('20250815_ETF_Options_Exhibits'!G2559:G2563),"")</f>
        <v/>
      </c>
      <c r="H2563" s="3">
        <f>IF(ISNUMBER(AVERAGE('20250815_ETF_Options_Exhibits'!H2559:H2563)),AVERAGE('20250815_ETF_Options_Exhibits'!H2559:H2563),"")</f>
        <v/>
      </c>
      <c r="I2563" s="3">
        <f>IF(ISNUMBER(AVERAGE('20250815_ETF_Options_Exhibits'!I2559:I2563)),AVERAGE('20250815_ETF_Options_Exhibits'!I2559:I2563),"")</f>
        <v/>
      </c>
      <c r="J2563" s="3">
        <f>IF(ISNUMBER(AVERAGE('20250815_ETF_Options_Exhibits'!J2559:J2563)),AVERAGE('20250815_ETF_Options_Exhibits'!J2559:J2563),"")</f>
        <v/>
      </c>
      <c r="K2563" s="3">
        <f>IF(ISNUMBER(AVERAGE('20250815_ETF_Options_Exhibits'!K2559:K2563)),AVERAGE('20250815_ETF_Options_Exhibits'!K2559:K2563),"")</f>
        <v/>
      </c>
      <c r="L2563" s="3">
        <f>IF(ISNUMBER(AVERAGE('20250815_ETF_Options_Exhibits'!L2559:L2563)),AVERAGE('20250815_ETF_Options_Exhibits'!L2559:L2563),"")</f>
        <v/>
      </c>
      <c r="M2563" s="3">
        <f>IF(ISNUMBER(AVERAGE('20250815_ETF_Options_Exhibits'!M2559:M2563)),AVERAGE('20250815_ETF_Options_Exhibits'!M2559:M2563),"")</f>
        <v/>
      </c>
      <c r="N2563" s="3">
        <f>IF(ISNUMBER(AVERAGE('20250815_ETF_Options_Exhibits'!N2559:N2563)),AVERAGE('20250815_ETF_Options_Exhibits'!N2559:N2563),"")</f>
        <v/>
      </c>
      <c r="O2563" s="3">
        <f>IF(ISNUMBER(AVERAGE('20250815_ETF_Options_Exhibits'!O2559:O2563)),AVERAGE('20250815_ETF_Options_Exhibits'!O2559:O2563),"")</f>
        <v/>
      </c>
      <c r="P2563" s="3">
        <f>IF(ISNUMBER(AVERAGE('20250815_ETF_Options_Exhibits'!P2559:P2563)),AVERAGE('20250815_ETF_Options_Exhibits'!P2559:P2563),"")</f>
        <v/>
      </c>
      <c r="Q2563" s="3">
        <f>IF(ISNUMBER(AVERAGE('20250815_ETF_Options_Exhibits'!Q2559:Q2563)),AVERAGE('20250815_ETF_Options_Exhibits'!Q2559:Q2563),"")</f>
        <v/>
      </c>
      <c r="R2563" s="3">
        <f>IF(ISNUMBER(AVERAGE('20250815_ETF_Options_Exhibits'!R2559:R2563)),AVERAGE('20250815_ETF_Options_Exhibits'!R2559:R2563),"")</f>
        <v/>
      </c>
      <c r="S2563" s="3">
        <f>IF(ISNUMBER(AVERAGE('20250815_ETF_Options_Exhibits'!S2559:S2563)),AVERAGE('20250815_ETF_Options_Exhibits'!S2559:S2563),"")</f>
        <v/>
      </c>
      <c r="T2563" s="3">
        <f>IF(ISNUMBER(AVERAGE('20250815_ETF_Options_Exhibits'!T2559:T2563)),AVERAGE('20250815_ETF_Options_Exhibits'!T2559:T2563),"")</f>
        <v/>
      </c>
      <c r="U2563" s="3">
        <f>IF(ISNUMBER(AVERAGE('20250815_ETF_Options_Exhibits'!U2559:U2563)),AVERAGE('20250815_ETF_Options_Exhibits'!U2559:U2563),"")</f>
        <v/>
      </c>
      <c r="V2563" s="3">
        <f>IF(ISNUMBER(AVERAGE('20250815_ETF_Options_Exhibits'!V2559:V2563)),AVERAGE('20250815_ETF_Options_Exhibits'!V2559:V2563),"")</f>
        <v/>
      </c>
      <c r="W2563" s="3">
        <f>IF(ISNUMBER(AVERAGE('20250815_ETF_Options_Exhibits'!W2559:W2563)),AVERAGE('20250815_ETF_Options_Exhibits'!W2559:W2563),"")</f>
        <v/>
      </c>
      <c r="X2563" s="3">
        <f>IF(ISNUMBER(AVERAGE('20250815_ETF_Options_Exhibits'!X2559:X2563)),AVERAGE('20250815_ETF_Options_Exhibits'!X2559:X2563),"")</f>
        <v/>
      </c>
      <c r="Y2563" s="3">
        <f>IF(ISNUMBER(AVERAGE('20250815_ETF_Options_Exhibits'!Y2559:Y2563)),AVERAGE('20250815_ETF_Options_Exhibits'!Y2559:Y2563),"")</f>
        <v/>
      </c>
      <c r="Z2563" s="3">
        <f>IF(ISNUMBER(AVERAGE('20250815_ETF_Options_Exhibits'!Z2559:Z2563)),AVERAGE('20250815_ETF_Options_Exhibits'!Z2559:Z2563),"")</f>
        <v/>
      </c>
      <c r="AA2563" s="3">
        <f>IF(ISNUMBER(AVERAGE('20250815_ETF_Options_Exhibits'!AA2559:AA2563)),AVERAGE('20250815_ETF_Options_Exhibits'!AA2559:AA2563),"")</f>
        <v/>
      </c>
    </row>
    <row r="2564">
      <c r="A2564" s="1" t="n">
        <v>45727</v>
      </c>
      <c r="B2564" s="3">
        <f>IF(ISNUMBER(AVERAGE('20250815_ETF_Options_Exhibits'!B2560:B2564)),AVERAGE('20250815_ETF_Options_Exhibits'!B2560:B2564),"")</f>
        <v/>
      </c>
      <c r="C2564" s="3">
        <f>IF(ISNUMBER(AVERAGE('20250815_ETF_Options_Exhibits'!C2560:C2564)),AVERAGE('20250815_ETF_Options_Exhibits'!C2560:C2564),"")</f>
        <v/>
      </c>
      <c r="D2564" s="3">
        <f>IF(ISNUMBER(AVERAGE('20250815_ETF_Options_Exhibits'!D2560:D2564)),AVERAGE('20250815_ETF_Options_Exhibits'!D2560:D2564),"")</f>
        <v/>
      </c>
      <c r="E2564" s="3">
        <f>IF(ISNUMBER(AVERAGE('20250815_ETF_Options_Exhibits'!E2560:E2564)),AVERAGE('20250815_ETF_Options_Exhibits'!E2560:E2564),"")</f>
        <v/>
      </c>
      <c r="F2564" s="3">
        <f>IF(ISNUMBER(AVERAGE('20250815_ETF_Options_Exhibits'!F2560:F2564)),AVERAGE('20250815_ETF_Options_Exhibits'!F2560:F2564),"")</f>
        <v/>
      </c>
      <c r="G2564" s="3">
        <f>IF(ISNUMBER(AVERAGE('20250815_ETF_Options_Exhibits'!G2560:G2564)),AVERAGE('20250815_ETF_Options_Exhibits'!G2560:G2564),"")</f>
        <v/>
      </c>
      <c r="H2564" s="3">
        <f>IF(ISNUMBER(AVERAGE('20250815_ETF_Options_Exhibits'!H2560:H2564)),AVERAGE('20250815_ETF_Options_Exhibits'!H2560:H2564),"")</f>
        <v/>
      </c>
      <c r="I2564" s="3">
        <f>IF(ISNUMBER(AVERAGE('20250815_ETF_Options_Exhibits'!I2560:I2564)),AVERAGE('20250815_ETF_Options_Exhibits'!I2560:I2564),"")</f>
        <v/>
      </c>
      <c r="J2564" s="3">
        <f>IF(ISNUMBER(AVERAGE('20250815_ETF_Options_Exhibits'!J2560:J2564)),AVERAGE('20250815_ETF_Options_Exhibits'!J2560:J2564),"")</f>
        <v/>
      </c>
      <c r="K2564" s="3">
        <f>IF(ISNUMBER(AVERAGE('20250815_ETF_Options_Exhibits'!K2560:K2564)),AVERAGE('20250815_ETF_Options_Exhibits'!K2560:K2564),"")</f>
        <v/>
      </c>
      <c r="L2564" s="3">
        <f>IF(ISNUMBER(AVERAGE('20250815_ETF_Options_Exhibits'!L2560:L2564)),AVERAGE('20250815_ETF_Options_Exhibits'!L2560:L2564),"")</f>
        <v/>
      </c>
      <c r="M2564" s="3">
        <f>IF(ISNUMBER(AVERAGE('20250815_ETF_Options_Exhibits'!M2560:M2564)),AVERAGE('20250815_ETF_Options_Exhibits'!M2560:M2564),"")</f>
        <v/>
      </c>
      <c r="N2564" s="3">
        <f>IF(ISNUMBER(AVERAGE('20250815_ETF_Options_Exhibits'!N2560:N2564)),AVERAGE('20250815_ETF_Options_Exhibits'!N2560:N2564),"")</f>
        <v/>
      </c>
      <c r="O2564" s="3">
        <f>IF(ISNUMBER(AVERAGE('20250815_ETF_Options_Exhibits'!O2560:O2564)),AVERAGE('20250815_ETF_Options_Exhibits'!O2560:O2564),"")</f>
        <v/>
      </c>
      <c r="P2564" s="3">
        <f>IF(ISNUMBER(AVERAGE('20250815_ETF_Options_Exhibits'!P2560:P2564)),AVERAGE('20250815_ETF_Options_Exhibits'!P2560:P2564),"")</f>
        <v/>
      </c>
      <c r="Q2564" s="3">
        <f>IF(ISNUMBER(AVERAGE('20250815_ETF_Options_Exhibits'!Q2560:Q2564)),AVERAGE('20250815_ETF_Options_Exhibits'!Q2560:Q2564),"")</f>
        <v/>
      </c>
      <c r="R2564" s="3">
        <f>IF(ISNUMBER(AVERAGE('20250815_ETF_Options_Exhibits'!R2560:R2564)),AVERAGE('20250815_ETF_Options_Exhibits'!R2560:R2564),"")</f>
        <v/>
      </c>
      <c r="S2564" s="3">
        <f>IF(ISNUMBER(AVERAGE('20250815_ETF_Options_Exhibits'!S2560:S2564)),AVERAGE('20250815_ETF_Options_Exhibits'!S2560:S2564),"")</f>
        <v/>
      </c>
      <c r="T2564" s="3">
        <f>IF(ISNUMBER(AVERAGE('20250815_ETF_Options_Exhibits'!T2560:T2564)),AVERAGE('20250815_ETF_Options_Exhibits'!T2560:T2564),"")</f>
        <v/>
      </c>
      <c r="U2564" s="3">
        <f>IF(ISNUMBER(AVERAGE('20250815_ETF_Options_Exhibits'!U2560:U2564)),AVERAGE('20250815_ETF_Options_Exhibits'!U2560:U2564),"")</f>
        <v/>
      </c>
      <c r="V2564" s="3">
        <f>IF(ISNUMBER(AVERAGE('20250815_ETF_Options_Exhibits'!V2560:V2564)),AVERAGE('20250815_ETF_Options_Exhibits'!V2560:V2564),"")</f>
        <v/>
      </c>
      <c r="W2564" s="3">
        <f>IF(ISNUMBER(AVERAGE('20250815_ETF_Options_Exhibits'!W2560:W2564)),AVERAGE('20250815_ETF_Options_Exhibits'!W2560:W2564),"")</f>
        <v/>
      </c>
      <c r="X2564" s="3">
        <f>IF(ISNUMBER(AVERAGE('20250815_ETF_Options_Exhibits'!X2560:X2564)),AVERAGE('20250815_ETF_Options_Exhibits'!X2560:X2564),"")</f>
        <v/>
      </c>
      <c r="Y2564" s="3">
        <f>IF(ISNUMBER(AVERAGE('20250815_ETF_Options_Exhibits'!Y2560:Y2564)),AVERAGE('20250815_ETF_Options_Exhibits'!Y2560:Y2564),"")</f>
        <v/>
      </c>
      <c r="Z2564" s="3">
        <f>IF(ISNUMBER(AVERAGE('20250815_ETF_Options_Exhibits'!Z2560:Z2564)),AVERAGE('20250815_ETF_Options_Exhibits'!Z2560:Z2564),"")</f>
        <v/>
      </c>
      <c r="AA2564" s="3">
        <f>IF(ISNUMBER(AVERAGE('20250815_ETF_Options_Exhibits'!AA2560:AA2564)),AVERAGE('20250815_ETF_Options_Exhibits'!AA2560:AA2564),"")</f>
        <v/>
      </c>
    </row>
    <row r="2565">
      <c r="A2565" s="1" t="n">
        <v>45728</v>
      </c>
      <c r="B2565" s="3">
        <f>IF(ISNUMBER(AVERAGE('20250815_ETF_Options_Exhibits'!B2561:B2565)),AVERAGE('20250815_ETF_Options_Exhibits'!B2561:B2565),"")</f>
        <v/>
      </c>
      <c r="C2565" s="3">
        <f>IF(ISNUMBER(AVERAGE('20250815_ETF_Options_Exhibits'!C2561:C2565)),AVERAGE('20250815_ETF_Options_Exhibits'!C2561:C2565),"")</f>
        <v/>
      </c>
      <c r="D2565" s="3">
        <f>IF(ISNUMBER(AVERAGE('20250815_ETF_Options_Exhibits'!D2561:D2565)),AVERAGE('20250815_ETF_Options_Exhibits'!D2561:D2565),"")</f>
        <v/>
      </c>
      <c r="E2565" s="3">
        <f>IF(ISNUMBER(AVERAGE('20250815_ETF_Options_Exhibits'!E2561:E2565)),AVERAGE('20250815_ETF_Options_Exhibits'!E2561:E2565),"")</f>
        <v/>
      </c>
      <c r="F2565" s="3">
        <f>IF(ISNUMBER(AVERAGE('20250815_ETF_Options_Exhibits'!F2561:F2565)),AVERAGE('20250815_ETF_Options_Exhibits'!F2561:F2565),"")</f>
        <v/>
      </c>
      <c r="G2565" s="3">
        <f>IF(ISNUMBER(AVERAGE('20250815_ETF_Options_Exhibits'!G2561:G2565)),AVERAGE('20250815_ETF_Options_Exhibits'!G2561:G2565),"")</f>
        <v/>
      </c>
      <c r="H2565" s="3">
        <f>IF(ISNUMBER(AVERAGE('20250815_ETF_Options_Exhibits'!H2561:H2565)),AVERAGE('20250815_ETF_Options_Exhibits'!H2561:H2565),"")</f>
        <v/>
      </c>
      <c r="I2565" s="3">
        <f>IF(ISNUMBER(AVERAGE('20250815_ETF_Options_Exhibits'!I2561:I2565)),AVERAGE('20250815_ETF_Options_Exhibits'!I2561:I2565),"")</f>
        <v/>
      </c>
      <c r="J2565" s="3">
        <f>IF(ISNUMBER(AVERAGE('20250815_ETF_Options_Exhibits'!J2561:J2565)),AVERAGE('20250815_ETF_Options_Exhibits'!J2561:J2565),"")</f>
        <v/>
      </c>
      <c r="K2565" s="3">
        <f>IF(ISNUMBER(AVERAGE('20250815_ETF_Options_Exhibits'!K2561:K2565)),AVERAGE('20250815_ETF_Options_Exhibits'!K2561:K2565),"")</f>
        <v/>
      </c>
      <c r="L2565" s="3">
        <f>IF(ISNUMBER(AVERAGE('20250815_ETF_Options_Exhibits'!L2561:L2565)),AVERAGE('20250815_ETF_Options_Exhibits'!L2561:L2565),"")</f>
        <v/>
      </c>
      <c r="M2565" s="3">
        <f>IF(ISNUMBER(AVERAGE('20250815_ETF_Options_Exhibits'!M2561:M2565)),AVERAGE('20250815_ETF_Options_Exhibits'!M2561:M2565),"")</f>
        <v/>
      </c>
      <c r="N2565" s="3">
        <f>IF(ISNUMBER(AVERAGE('20250815_ETF_Options_Exhibits'!N2561:N2565)),AVERAGE('20250815_ETF_Options_Exhibits'!N2561:N2565),"")</f>
        <v/>
      </c>
      <c r="O2565" s="3">
        <f>IF(ISNUMBER(AVERAGE('20250815_ETF_Options_Exhibits'!O2561:O2565)),AVERAGE('20250815_ETF_Options_Exhibits'!O2561:O2565),"")</f>
        <v/>
      </c>
      <c r="P2565" s="3">
        <f>IF(ISNUMBER(AVERAGE('20250815_ETF_Options_Exhibits'!P2561:P2565)),AVERAGE('20250815_ETF_Options_Exhibits'!P2561:P2565),"")</f>
        <v/>
      </c>
      <c r="Q2565" s="3">
        <f>IF(ISNUMBER(AVERAGE('20250815_ETF_Options_Exhibits'!Q2561:Q2565)),AVERAGE('20250815_ETF_Options_Exhibits'!Q2561:Q2565),"")</f>
        <v/>
      </c>
      <c r="R2565" s="3">
        <f>IF(ISNUMBER(AVERAGE('20250815_ETF_Options_Exhibits'!R2561:R2565)),AVERAGE('20250815_ETF_Options_Exhibits'!R2561:R2565),"")</f>
        <v/>
      </c>
      <c r="S2565" s="3">
        <f>IF(ISNUMBER(AVERAGE('20250815_ETF_Options_Exhibits'!S2561:S2565)),AVERAGE('20250815_ETF_Options_Exhibits'!S2561:S2565),"")</f>
        <v/>
      </c>
      <c r="T2565" s="3">
        <f>IF(ISNUMBER(AVERAGE('20250815_ETF_Options_Exhibits'!T2561:T2565)),AVERAGE('20250815_ETF_Options_Exhibits'!T2561:T2565),"")</f>
        <v/>
      </c>
      <c r="U2565" s="3">
        <f>IF(ISNUMBER(AVERAGE('20250815_ETF_Options_Exhibits'!U2561:U2565)),AVERAGE('20250815_ETF_Options_Exhibits'!U2561:U2565),"")</f>
        <v/>
      </c>
      <c r="V2565" s="3">
        <f>IF(ISNUMBER(AVERAGE('20250815_ETF_Options_Exhibits'!V2561:V2565)),AVERAGE('20250815_ETF_Options_Exhibits'!V2561:V2565),"")</f>
        <v/>
      </c>
      <c r="W2565" s="3">
        <f>IF(ISNUMBER(AVERAGE('20250815_ETF_Options_Exhibits'!W2561:W2565)),AVERAGE('20250815_ETF_Options_Exhibits'!W2561:W2565),"")</f>
        <v/>
      </c>
      <c r="X2565" s="3">
        <f>IF(ISNUMBER(AVERAGE('20250815_ETF_Options_Exhibits'!X2561:X2565)),AVERAGE('20250815_ETF_Options_Exhibits'!X2561:X2565),"")</f>
        <v/>
      </c>
      <c r="Y2565" s="3">
        <f>IF(ISNUMBER(AVERAGE('20250815_ETF_Options_Exhibits'!Y2561:Y2565)),AVERAGE('20250815_ETF_Options_Exhibits'!Y2561:Y2565),"")</f>
        <v/>
      </c>
      <c r="Z2565" s="3">
        <f>IF(ISNUMBER(AVERAGE('20250815_ETF_Options_Exhibits'!Z2561:Z2565)),AVERAGE('20250815_ETF_Options_Exhibits'!Z2561:Z2565),"")</f>
        <v/>
      </c>
      <c r="AA2565" s="3">
        <f>IF(ISNUMBER(AVERAGE('20250815_ETF_Options_Exhibits'!AA2561:AA2565)),AVERAGE('20250815_ETF_Options_Exhibits'!AA2561:AA2565),"")</f>
        <v/>
      </c>
    </row>
    <row r="2566">
      <c r="A2566" s="1" t="n">
        <v>45729</v>
      </c>
      <c r="B2566" s="3">
        <f>IF(ISNUMBER(AVERAGE('20250815_ETF_Options_Exhibits'!B2562:B2566)),AVERAGE('20250815_ETF_Options_Exhibits'!B2562:B2566),"")</f>
        <v/>
      </c>
      <c r="C2566" s="3">
        <f>IF(ISNUMBER(AVERAGE('20250815_ETF_Options_Exhibits'!C2562:C2566)),AVERAGE('20250815_ETF_Options_Exhibits'!C2562:C2566),"")</f>
        <v/>
      </c>
      <c r="D2566" s="3">
        <f>IF(ISNUMBER(AVERAGE('20250815_ETF_Options_Exhibits'!D2562:D2566)),AVERAGE('20250815_ETF_Options_Exhibits'!D2562:D2566),"")</f>
        <v/>
      </c>
      <c r="E2566" s="3">
        <f>IF(ISNUMBER(AVERAGE('20250815_ETF_Options_Exhibits'!E2562:E2566)),AVERAGE('20250815_ETF_Options_Exhibits'!E2562:E2566),"")</f>
        <v/>
      </c>
      <c r="F2566" s="3">
        <f>IF(ISNUMBER(AVERAGE('20250815_ETF_Options_Exhibits'!F2562:F2566)),AVERAGE('20250815_ETF_Options_Exhibits'!F2562:F2566),"")</f>
        <v/>
      </c>
      <c r="G2566" s="3">
        <f>IF(ISNUMBER(AVERAGE('20250815_ETF_Options_Exhibits'!G2562:G2566)),AVERAGE('20250815_ETF_Options_Exhibits'!G2562:G2566),"")</f>
        <v/>
      </c>
      <c r="H2566" s="3">
        <f>IF(ISNUMBER(AVERAGE('20250815_ETF_Options_Exhibits'!H2562:H2566)),AVERAGE('20250815_ETF_Options_Exhibits'!H2562:H2566),"")</f>
        <v/>
      </c>
      <c r="I2566" s="3">
        <f>IF(ISNUMBER(AVERAGE('20250815_ETF_Options_Exhibits'!I2562:I2566)),AVERAGE('20250815_ETF_Options_Exhibits'!I2562:I2566),"")</f>
        <v/>
      </c>
      <c r="J2566" s="3">
        <f>IF(ISNUMBER(AVERAGE('20250815_ETF_Options_Exhibits'!J2562:J2566)),AVERAGE('20250815_ETF_Options_Exhibits'!J2562:J2566),"")</f>
        <v/>
      </c>
      <c r="K2566" s="3">
        <f>IF(ISNUMBER(AVERAGE('20250815_ETF_Options_Exhibits'!K2562:K2566)),AVERAGE('20250815_ETF_Options_Exhibits'!K2562:K2566),"")</f>
        <v/>
      </c>
      <c r="L2566" s="3">
        <f>IF(ISNUMBER(AVERAGE('20250815_ETF_Options_Exhibits'!L2562:L2566)),AVERAGE('20250815_ETF_Options_Exhibits'!L2562:L2566),"")</f>
        <v/>
      </c>
      <c r="M2566" s="3">
        <f>IF(ISNUMBER(AVERAGE('20250815_ETF_Options_Exhibits'!M2562:M2566)),AVERAGE('20250815_ETF_Options_Exhibits'!M2562:M2566),"")</f>
        <v/>
      </c>
      <c r="N2566" s="3">
        <f>IF(ISNUMBER(AVERAGE('20250815_ETF_Options_Exhibits'!N2562:N2566)),AVERAGE('20250815_ETF_Options_Exhibits'!N2562:N2566),"")</f>
        <v/>
      </c>
      <c r="O2566" s="3">
        <f>IF(ISNUMBER(AVERAGE('20250815_ETF_Options_Exhibits'!O2562:O2566)),AVERAGE('20250815_ETF_Options_Exhibits'!O2562:O2566),"")</f>
        <v/>
      </c>
      <c r="P2566" s="3">
        <f>IF(ISNUMBER(AVERAGE('20250815_ETF_Options_Exhibits'!P2562:P2566)),AVERAGE('20250815_ETF_Options_Exhibits'!P2562:P2566),"")</f>
        <v/>
      </c>
      <c r="Q2566" s="3">
        <f>IF(ISNUMBER(AVERAGE('20250815_ETF_Options_Exhibits'!Q2562:Q2566)),AVERAGE('20250815_ETF_Options_Exhibits'!Q2562:Q2566),"")</f>
        <v/>
      </c>
      <c r="R2566" s="3">
        <f>IF(ISNUMBER(AVERAGE('20250815_ETF_Options_Exhibits'!R2562:R2566)),AVERAGE('20250815_ETF_Options_Exhibits'!R2562:R2566),"")</f>
        <v/>
      </c>
      <c r="S2566" s="3">
        <f>IF(ISNUMBER(AVERAGE('20250815_ETF_Options_Exhibits'!S2562:S2566)),AVERAGE('20250815_ETF_Options_Exhibits'!S2562:S2566),"")</f>
        <v/>
      </c>
      <c r="T2566" s="3">
        <f>IF(ISNUMBER(AVERAGE('20250815_ETF_Options_Exhibits'!T2562:T2566)),AVERAGE('20250815_ETF_Options_Exhibits'!T2562:T2566),"")</f>
        <v/>
      </c>
      <c r="U2566" s="3">
        <f>IF(ISNUMBER(AVERAGE('20250815_ETF_Options_Exhibits'!U2562:U2566)),AVERAGE('20250815_ETF_Options_Exhibits'!U2562:U2566),"")</f>
        <v/>
      </c>
      <c r="V2566" s="3">
        <f>IF(ISNUMBER(AVERAGE('20250815_ETF_Options_Exhibits'!V2562:V2566)),AVERAGE('20250815_ETF_Options_Exhibits'!V2562:V2566),"")</f>
        <v/>
      </c>
      <c r="W2566" s="3">
        <f>IF(ISNUMBER(AVERAGE('20250815_ETF_Options_Exhibits'!W2562:W2566)),AVERAGE('20250815_ETF_Options_Exhibits'!W2562:W2566),"")</f>
        <v/>
      </c>
      <c r="X2566" s="3">
        <f>IF(ISNUMBER(AVERAGE('20250815_ETF_Options_Exhibits'!X2562:X2566)),AVERAGE('20250815_ETF_Options_Exhibits'!X2562:X2566),"")</f>
        <v/>
      </c>
      <c r="Y2566" s="3">
        <f>IF(ISNUMBER(AVERAGE('20250815_ETF_Options_Exhibits'!Y2562:Y2566)),AVERAGE('20250815_ETF_Options_Exhibits'!Y2562:Y2566),"")</f>
        <v/>
      </c>
      <c r="Z2566" s="3">
        <f>IF(ISNUMBER(AVERAGE('20250815_ETF_Options_Exhibits'!Z2562:Z2566)),AVERAGE('20250815_ETF_Options_Exhibits'!Z2562:Z2566),"")</f>
        <v/>
      </c>
      <c r="AA2566" s="3">
        <f>IF(ISNUMBER(AVERAGE('20250815_ETF_Options_Exhibits'!AA2562:AA2566)),AVERAGE('20250815_ETF_Options_Exhibits'!AA2562:AA2566),"")</f>
        <v/>
      </c>
    </row>
    <row r="2567">
      <c r="A2567" s="1" t="n">
        <v>45730</v>
      </c>
      <c r="B2567" s="3">
        <f>IF(ISNUMBER(AVERAGE('20250815_ETF_Options_Exhibits'!B2563:B2567)),AVERAGE('20250815_ETF_Options_Exhibits'!B2563:B2567),"")</f>
        <v/>
      </c>
      <c r="C2567" s="3">
        <f>IF(ISNUMBER(AVERAGE('20250815_ETF_Options_Exhibits'!C2563:C2567)),AVERAGE('20250815_ETF_Options_Exhibits'!C2563:C2567),"")</f>
        <v/>
      </c>
      <c r="D2567" s="3">
        <f>IF(ISNUMBER(AVERAGE('20250815_ETF_Options_Exhibits'!D2563:D2567)),AVERAGE('20250815_ETF_Options_Exhibits'!D2563:D2567),"")</f>
        <v/>
      </c>
      <c r="E2567" s="3">
        <f>IF(ISNUMBER(AVERAGE('20250815_ETF_Options_Exhibits'!E2563:E2567)),AVERAGE('20250815_ETF_Options_Exhibits'!E2563:E2567),"")</f>
        <v/>
      </c>
      <c r="F2567" s="3">
        <f>IF(ISNUMBER(AVERAGE('20250815_ETF_Options_Exhibits'!F2563:F2567)),AVERAGE('20250815_ETF_Options_Exhibits'!F2563:F2567),"")</f>
        <v/>
      </c>
      <c r="G2567" s="3">
        <f>IF(ISNUMBER(AVERAGE('20250815_ETF_Options_Exhibits'!G2563:G2567)),AVERAGE('20250815_ETF_Options_Exhibits'!G2563:G2567),"")</f>
        <v/>
      </c>
      <c r="H2567" s="3">
        <f>IF(ISNUMBER(AVERAGE('20250815_ETF_Options_Exhibits'!H2563:H2567)),AVERAGE('20250815_ETF_Options_Exhibits'!H2563:H2567),"")</f>
        <v/>
      </c>
      <c r="I2567" s="3">
        <f>IF(ISNUMBER(AVERAGE('20250815_ETF_Options_Exhibits'!I2563:I2567)),AVERAGE('20250815_ETF_Options_Exhibits'!I2563:I2567),"")</f>
        <v/>
      </c>
      <c r="J2567" s="3">
        <f>IF(ISNUMBER(AVERAGE('20250815_ETF_Options_Exhibits'!J2563:J2567)),AVERAGE('20250815_ETF_Options_Exhibits'!J2563:J2567),"")</f>
        <v/>
      </c>
      <c r="K2567" s="3">
        <f>IF(ISNUMBER(AVERAGE('20250815_ETF_Options_Exhibits'!K2563:K2567)),AVERAGE('20250815_ETF_Options_Exhibits'!K2563:K2567),"")</f>
        <v/>
      </c>
      <c r="L2567" s="3">
        <f>IF(ISNUMBER(AVERAGE('20250815_ETF_Options_Exhibits'!L2563:L2567)),AVERAGE('20250815_ETF_Options_Exhibits'!L2563:L2567),"")</f>
        <v/>
      </c>
      <c r="M2567" s="3">
        <f>IF(ISNUMBER(AVERAGE('20250815_ETF_Options_Exhibits'!M2563:M2567)),AVERAGE('20250815_ETF_Options_Exhibits'!M2563:M2567),"")</f>
        <v/>
      </c>
      <c r="N2567" s="3">
        <f>IF(ISNUMBER(AVERAGE('20250815_ETF_Options_Exhibits'!N2563:N2567)),AVERAGE('20250815_ETF_Options_Exhibits'!N2563:N2567),"")</f>
        <v/>
      </c>
      <c r="O2567" s="3">
        <f>IF(ISNUMBER(AVERAGE('20250815_ETF_Options_Exhibits'!O2563:O2567)),AVERAGE('20250815_ETF_Options_Exhibits'!O2563:O2567),"")</f>
        <v/>
      </c>
      <c r="P2567" s="3">
        <f>IF(ISNUMBER(AVERAGE('20250815_ETF_Options_Exhibits'!P2563:P2567)),AVERAGE('20250815_ETF_Options_Exhibits'!P2563:P2567),"")</f>
        <v/>
      </c>
      <c r="Q2567" s="3">
        <f>IF(ISNUMBER(AVERAGE('20250815_ETF_Options_Exhibits'!Q2563:Q2567)),AVERAGE('20250815_ETF_Options_Exhibits'!Q2563:Q2567),"")</f>
        <v/>
      </c>
      <c r="R2567" s="3">
        <f>IF(ISNUMBER(AVERAGE('20250815_ETF_Options_Exhibits'!R2563:R2567)),AVERAGE('20250815_ETF_Options_Exhibits'!R2563:R2567),"")</f>
        <v/>
      </c>
      <c r="S2567" s="3">
        <f>IF(ISNUMBER(AVERAGE('20250815_ETF_Options_Exhibits'!S2563:S2567)),AVERAGE('20250815_ETF_Options_Exhibits'!S2563:S2567),"")</f>
        <v/>
      </c>
      <c r="T2567" s="3">
        <f>IF(ISNUMBER(AVERAGE('20250815_ETF_Options_Exhibits'!T2563:T2567)),AVERAGE('20250815_ETF_Options_Exhibits'!T2563:T2567),"")</f>
        <v/>
      </c>
      <c r="U2567" s="3">
        <f>IF(ISNUMBER(AVERAGE('20250815_ETF_Options_Exhibits'!U2563:U2567)),AVERAGE('20250815_ETF_Options_Exhibits'!U2563:U2567),"")</f>
        <v/>
      </c>
      <c r="V2567" s="3">
        <f>IF(ISNUMBER(AVERAGE('20250815_ETF_Options_Exhibits'!V2563:V2567)),AVERAGE('20250815_ETF_Options_Exhibits'!V2563:V2567),"")</f>
        <v/>
      </c>
      <c r="W2567" s="3">
        <f>IF(ISNUMBER(AVERAGE('20250815_ETF_Options_Exhibits'!W2563:W2567)),AVERAGE('20250815_ETF_Options_Exhibits'!W2563:W2567),"")</f>
        <v/>
      </c>
      <c r="X2567" s="3">
        <f>IF(ISNUMBER(AVERAGE('20250815_ETF_Options_Exhibits'!X2563:X2567)),AVERAGE('20250815_ETF_Options_Exhibits'!X2563:X2567),"")</f>
        <v/>
      </c>
      <c r="Y2567" s="3">
        <f>IF(ISNUMBER(AVERAGE('20250815_ETF_Options_Exhibits'!Y2563:Y2567)),AVERAGE('20250815_ETF_Options_Exhibits'!Y2563:Y2567),"")</f>
        <v/>
      </c>
      <c r="Z2567" s="3">
        <f>IF(ISNUMBER(AVERAGE('20250815_ETF_Options_Exhibits'!Z2563:Z2567)),AVERAGE('20250815_ETF_Options_Exhibits'!Z2563:Z2567),"")</f>
        <v/>
      </c>
      <c r="AA2567" s="3">
        <f>IF(ISNUMBER(AVERAGE('20250815_ETF_Options_Exhibits'!AA2563:AA2567)),AVERAGE('20250815_ETF_Options_Exhibits'!AA2563:AA2567),"")</f>
        <v/>
      </c>
    </row>
    <row r="2568">
      <c r="A2568" s="1" t="n">
        <v>45733</v>
      </c>
      <c r="B2568" s="3">
        <f>IF(ISNUMBER(AVERAGE('20250815_ETF_Options_Exhibits'!B2564:B2568)),AVERAGE('20250815_ETF_Options_Exhibits'!B2564:B2568),"")</f>
        <v/>
      </c>
      <c r="C2568" s="3">
        <f>IF(ISNUMBER(AVERAGE('20250815_ETF_Options_Exhibits'!C2564:C2568)),AVERAGE('20250815_ETF_Options_Exhibits'!C2564:C2568),"")</f>
        <v/>
      </c>
      <c r="D2568" s="3">
        <f>IF(ISNUMBER(AVERAGE('20250815_ETF_Options_Exhibits'!D2564:D2568)),AVERAGE('20250815_ETF_Options_Exhibits'!D2564:D2568),"")</f>
        <v/>
      </c>
      <c r="E2568" s="3">
        <f>IF(ISNUMBER(AVERAGE('20250815_ETF_Options_Exhibits'!E2564:E2568)),AVERAGE('20250815_ETF_Options_Exhibits'!E2564:E2568),"")</f>
        <v/>
      </c>
      <c r="F2568" s="3">
        <f>IF(ISNUMBER(AVERAGE('20250815_ETF_Options_Exhibits'!F2564:F2568)),AVERAGE('20250815_ETF_Options_Exhibits'!F2564:F2568),"")</f>
        <v/>
      </c>
      <c r="G2568" s="3">
        <f>IF(ISNUMBER(AVERAGE('20250815_ETF_Options_Exhibits'!G2564:G2568)),AVERAGE('20250815_ETF_Options_Exhibits'!G2564:G2568),"")</f>
        <v/>
      </c>
      <c r="H2568" s="3">
        <f>IF(ISNUMBER(AVERAGE('20250815_ETF_Options_Exhibits'!H2564:H2568)),AVERAGE('20250815_ETF_Options_Exhibits'!H2564:H2568),"")</f>
        <v/>
      </c>
      <c r="I2568" s="3">
        <f>IF(ISNUMBER(AVERAGE('20250815_ETF_Options_Exhibits'!I2564:I2568)),AVERAGE('20250815_ETF_Options_Exhibits'!I2564:I2568),"")</f>
        <v/>
      </c>
      <c r="J2568" s="3">
        <f>IF(ISNUMBER(AVERAGE('20250815_ETF_Options_Exhibits'!J2564:J2568)),AVERAGE('20250815_ETF_Options_Exhibits'!J2564:J2568),"")</f>
        <v/>
      </c>
      <c r="K2568" s="3">
        <f>IF(ISNUMBER(AVERAGE('20250815_ETF_Options_Exhibits'!K2564:K2568)),AVERAGE('20250815_ETF_Options_Exhibits'!K2564:K2568),"")</f>
        <v/>
      </c>
      <c r="L2568" s="3">
        <f>IF(ISNUMBER(AVERAGE('20250815_ETF_Options_Exhibits'!L2564:L2568)),AVERAGE('20250815_ETF_Options_Exhibits'!L2564:L2568),"")</f>
        <v/>
      </c>
      <c r="M2568" s="3">
        <f>IF(ISNUMBER(AVERAGE('20250815_ETF_Options_Exhibits'!M2564:M2568)),AVERAGE('20250815_ETF_Options_Exhibits'!M2564:M2568),"")</f>
        <v/>
      </c>
      <c r="N2568" s="3">
        <f>IF(ISNUMBER(AVERAGE('20250815_ETF_Options_Exhibits'!N2564:N2568)),AVERAGE('20250815_ETF_Options_Exhibits'!N2564:N2568),"")</f>
        <v/>
      </c>
      <c r="O2568" s="3">
        <f>IF(ISNUMBER(AVERAGE('20250815_ETF_Options_Exhibits'!O2564:O2568)),AVERAGE('20250815_ETF_Options_Exhibits'!O2564:O2568),"")</f>
        <v/>
      </c>
      <c r="P2568" s="3">
        <f>IF(ISNUMBER(AVERAGE('20250815_ETF_Options_Exhibits'!P2564:P2568)),AVERAGE('20250815_ETF_Options_Exhibits'!P2564:P2568),"")</f>
        <v/>
      </c>
      <c r="Q2568" s="3">
        <f>IF(ISNUMBER(AVERAGE('20250815_ETF_Options_Exhibits'!Q2564:Q2568)),AVERAGE('20250815_ETF_Options_Exhibits'!Q2564:Q2568),"")</f>
        <v/>
      </c>
      <c r="R2568" s="3">
        <f>IF(ISNUMBER(AVERAGE('20250815_ETF_Options_Exhibits'!R2564:R2568)),AVERAGE('20250815_ETF_Options_Exhibits'!R2564:R2568),"")</f>
        <v/>
      </c>
      <c r="S2568" s="3">
        <f>IF(ISNUMBER(AVERAGE('20250815_ETF_Options_Exhibits'!S2564:S2568)),AVERAGE('20250815_ETF_Options_Exhibits'!S2564:S2568),"")</f>
        <v/>
      </c>
      <c r="T2568" s="3">
        <f>IF(ISNUMBER(AVERAGE('20250815_ETF_Options_Exhibits'!T2564:T2568)),AVERAGE('20250815_ETF_Options_Exhibits'!T2564:T2568),"")</f>
        <v/>
      </c>
      <c r="U2568" s="3">
        <f>IF(ISNUMBER(AVERAGE('20250815_ETF_Options_Exhibits'!U2564:U2568)),AVERAGE('20250815_ETF_Options_Exhibits'!U2564:U2568),"")</f>
        <v/>
      </c>
      <c r="V2568" s="3">
        <f>IF(ISNUMBER(AVERAGE('20250815_ETF_Options_Exhibits'!V2564:V2568)),AVERAGE('20250815_ETF_Options_Exhibits'!V2564:V2568),"")</f>
        <v/>
      </c>
      <c r="W2568" s="3">
        <f>IF(ISNUMBER(AVERAGE('20250815_ETF_Options_Exhibits'!W2564:W2568)),AVERAGE('20250815_ETF_Options_Exhibits'!W2564:W2568),"")</f>
        <v/>
      </c>
      <c r="X2568" s="3">
        <f>IF(ISNUMBER(AVERAGE('20250815_ETF_Options_Exhibits'!X2564:X2568)),AVERAGE('20250815_ETF_Options_Exhibits'!X2564:X2568),"")</f>
        <v/>
      </c>
      <c r="Y2568" s="3">
        <f>IF(ISNUMBER(AVERAGE('20250815_ETF_Options_Exhibits'!Y2564:Y2568)),AVERAGE('20250815_ETF_Options_Exhibits'!Y2564:Y2568),"")</f>
        <v/>
      </c>
      <c r="Z2568" s="3">
        <f>IF(ISNUMBER(AVERAGE('20250815_ETF_Options_Exhibits'!Z2564:Z2568)),AVERAGE('20250815_ETF_Options_Exhibits'!Z2564:Z2568),"")</f>
        <v/>
      </c>
      <c r="AA2568" s="3">
        <f>IF(ISNUMBER(AVERAGE('20250815_ETF_Options_Exhibits'!AA2564:AA2568)),AVERAGE('20250815_ETF_Options_Exhibits'!AA2564:AA2568),"")</f>
        <v/>
      </c>
    </row>
    <row r="2569">
      <c r="A2569" s="1" t="n">
        <v>45734</v>
      </c>
      <c r="B2569" s="3">
        <f>IF(ISNUMBER(AVERAGE('20250815_ETF_Options_Exhibits'!B2565:B2569)),AVERAGE('20250815_ETF_Options_Exhibits'!B2565:B2569),"")</f>
        <v/>
      </c>
      <c r="C2569" s="3">
        <f>IF(ISNUMBER(AVERAGE('20250815_ETF_Options_Exhibits'!C2565:C2569)),AVERAGE('20250815_ETF_Options_Exhibits'!C2565:C2569),"")</f>
        <v/>
      </c>
      <c r="D2569" s="3">
        <f>IF(ISNUMBER(AVERAGE('20250815_ETF_Options_Exhibits'!D2565:D2569)),AVERAGE('20250815_ETF_Options_Exhibits'!D2565:D2569),"")</f>
        <v/>
      </c>
      <c r="E2569" s="3">
        <f>IF(ISNUMBER(AVERAGE('20250815_ETF_Options_Exhibits'!E2565:E2569)),AVERAGE('20250815_ETF_Options_Exhibits'!E2565:E2569),"")</f>
        <v/>
      </c>
      <c r="F2569" s="3">
        <f>IF(ISNUMBER(AVERAGE('20250815_ETF_Options_Exhibits'!F2565:F2569)),AVERAGE('20250815_ETF_Options_Exhibits'!F2565:F2569),"")</f>
        <v/>
      </c>
      <c r="G2569" s="3">
        <f>IF(ISNUMBER(AVERAGE('20250815_ETF_Options_Exhibits'!G2565:G2569)),AVERAGE('20250815_ETF_Options_Exhibits'!G2565:G2569),"")</f>
        <v/>
      </c>
      <c r="H2569" s="3">
        <f>IF(ISNUMBER(AVERAGE('20250815_ETF_Options_Exhibits'!H2565:H2569)),AVERAGE('20250815_ETF_Options_Exhibits'!H2565:H2569),"")</f>
        <v/>
      </c>
      <c r="I2569" s="3">
        <f>IF(ISNUMBER(AVERAGE('20250815_ETF_Options_Exhibits'!I2565:I2569)),AVERAGE('20250815_ETF_Options_Exhibits'!I2565:I2569),"")</f>
        <v/>
      </c>
      <c r="J2569" s="3">
        <f>IF(ISNUMBER(AVERAGE('20250815_ETF_Options_Exhibits'!J2565:J2569)),AVERAGE('20250815_ETF_Options_Exhibits'!J2565:J2569),"")</f>
        <v/>
      </c>
      <c r="K2569" s="3">
        <f>IF(ISNUMBER(AVERAGE('20250815_ETF_Options_Exhibits'!K2565:K2569)),AVERAGE('20250815_ETF_Options_Exhibits'!K2565:K2569),"")</f>
        <v/>
      </c>
      <c r="L2569" s="3">
        <f>IF(ISNUMBER(AVERAGE('20250815_ETF_Options_Exhibits'!L2565:L2569)),AVERAGE('20250815_ETF_Options_Exhibits'!L2565:L2569),"")</f>
        <v/>
      </c>
      <c r="M2569" s="3">
        <f>IF(ISNUMBER(AVERAGE('20250815_ETF_Options_Exhibits'!M2565:M2569)),AVERAGE('20250815_ETF_Options_Exhibits'!M2565:M2569),"")</f>
        <v/>
      </c>
      <c r="N2569" s="3">
        <f>IF(ISNUMBER(AVERAGE('20250815_ETF_Options_Exhibits'!N2565:N2569)),AVERAGE('20250815_ETF_Options_Exhibits'!N2565:N2569),"")</f>
        <v/>
      </c>
      <c r="O2569" s="3">
        <f>IF(ISNUMBER(AVERAGE('20250815_ETF_Options_Exhibits'!O2565:O2569)),AVERAGE('20250815_ETF_Options_Exhibits'!O2565:O2569),"")</f>
        <v/>
      </c>
      <c r="P2569" s="3">
        <f>IF(ISNUMBER(AVERAGE('20250815_ETF_Options_Exhibits'!P2565:P2569)),AVERAGE('20250815_ETF_Options_Exhibits'!P2565:P2569),"")</f>
        <v/>
      </c>
      <c r="Q2569" s="3">
        <f>IF(ISNUMBER(AVERAGE('20250815_ETF_Options_Exhibits'!Q2565:Q2569)),AVERAGE('20250815_ETF_Options_Exhibits'!Q2565:Q2569),"")</f>
        <v/>
      </c>
      <c r="R2569" s="3">
        <f>IF(ISNUMBER(AVERAGE('20250815_ETF_Options_Exhibits'!R2565:R2569)),AVERAGE('20250815_ETF_Options_Exhibits'!R2565:R2569),"")</f>
        <v/>
      </c>
      <c r="S2569" s="3">
        <f>IF(ISNUMBER(AVERAGE('20250815_ETF_Options_Exhibits'!S2565:S2569)),AVERAGE('20250815_ETF_Options_Exhibits'!S2565:S2569),"")</f>
        <v/>
      </c>
      <c r="T2569" s="3">
        <f>IF(ISNUMBER(AVERAGE('20250815_ETF_Options_Exhibits'!T2565:T2569)),AVERAGE('20250815_ETF_Options_Exhibits'!T2565:T2569),"")</f>
        <v/>
      </c>
      <c r="U2569" s="3">
        <f>IF(ISNUMBER(AVERAGE('20250815_ETF_Options_Exhibits'!U2565:U2569)),AVERAGE('20250815_ETF_Options_Exhibits'!U2565:U2569),"")</f>
        <v/>
      </c>
      <c r="V2569" s="3">
        <f>IF(ISNUMBER(AVERAGE('20250815_ETF_Options_Exhibits'!V2565:V2569)),AVERAGE('20250815_ETF_Options_Exhibits'!V2565:V2569),"")</f>
        <v/>
      </c>
      <c r="W2569" s="3">
        <f>IF(ISNUMBER(AVERAGE('20250815_ETF_Options_Exhibits'!W2565:W2569)),AVERAGE('20250815_ETF_Options_Exhibits'!W2565:W2569),"")</f>
        <v/>
      </c>
      <c r="X2569" s="3">
        <f>IF(ISNUMBER(AVERAGE('20250815_ETF_Options_Exhibits'!X2565:X2569)),AVERAGE('20250815_ETF_Options_Exhibits'!X2565:X2569),"")</f>
        <v/>
      </c>
      <c r="Y2569" s="3">
        <f>IF(ISNUMBER(AVERAGE('20250815_ETF_Options_Exhibits'!Y2565:Y2569)),AVERAGE('20250815_ETF_Options_Exhibits'!Y2565:Y2569),"")</f>
        <v/>
      </c>
      <c r="Z2569" s="3">
        <f>IF(ISNUMBER(AVERAGE('20250815_ETF_Options_Exhibits'!Z2565:Z2569)),AVERAGE('20250815_ETF_Options_Exhibits'!Z2565:Z2569),"")</f>
        <v/>
      </c>
      <c r="AA2569" s="3">
        <f>IF(ISNUMBER(AVERAGE('20250815_ETF_Options_Exhibits'!AA2565:AA2569)),AVERAGE('20250815_ETF_Options_Exhibits'!AA2565:AA2569),"")</f>
        <v/>
      </c>
    </row>
    <row r="2570">
      <c r="A2570" s="1" t="n">
        <v>45735</v>
      </c>
      <c r="B2570" s="3">
        <f>IF(ISNUMBER(AVERAGE('20250815_ETF_Options_Exhibits'!B2566:B2570)),AVERAGE('20250815_ETF_Options_Exhibits'!B2566:B2570),"")</f>
        <v/>
      </c>
      <c r="C2570" s="3">
        <f>IF(ISNUMBER(AVERAGE('20250815_ETF_Options_Exhibits'!C2566:C2570)),AVERAGE('20250815_ETF_Options_Exhibits'!C2566:C2570),"")</f>
        <v/>
      </c>
      <c r="D2570" s="3">
        <f>IF(ISNUMBER(AVERAGE('20250815_ETF_Options_Exhibits'!D2566:D2570)),AVERAGE('20250815_ETF_Options_Exhibits'!D2566:D2570),"")</f>
        <v/>
      </c>
      <c r="E2570" s="3">
        <f>IF(ISNUMBER(AVERAGE('20250815_ETF_Options_Exhibits'!E2566:E2570)),AVERAGE('20250815_ETF_Options_Exhibits'!E2566:E2570),"")</f>
        <v/>
      </c>
      <c r="F2570" s="3">
        <f>IF(ISNUMBER(AVERAGE('20250815_ETF_Options_Exhibits'!F2566:F2570)),AVERAGE('20250815_ETF_Options_Exhibits'!F2566:F2570),"")</f>
        <v/>
      </c>
      <c r="G2570" s="3">
        <f>IF(ISNUMBER(AVERAGE('20250815_ETF_Options_Exhibits'!G2566:G2570)),AVERAGE('20250815_ETF_Options_Exhibits'!G2566:G2570),"")</f>
        <v/>
      </c>
      <c r="H2570" s="3">
        <f>IF(ISNUMBER(AVERAGE('20250815_ETF_Options_Exhibits'!H2566:H2570)),AVERAGE('20250815_ETF_Options_Exhibits'!H2566:H2570),"")</f>
        <v/>
      </c>
      <c r="I2570" s="3">
        <f>IF(ISNUMBER(AVERAGE('20250815_ETF_Options_Exhibits'!I2566:I2570)),AVERAGE('20250815_ETF_Options_Exhibits'!I2566:I2570),"")</f>
        <v/>
      </c>
      <c r="J2570" s="3">
        <f>IF(ISNUMBER(AVERAGE('20250815_ETF_Options_Exhibits'!J2566:J2570)),AVERAGE('20250815_ETF_Options_Exhibits'!J2566:J2570),"")</f>
        <v/>
      </c>
      <c r="K2570" s="3">
        <f>IF(ISNUMBER(AVERAGE('20250815_ETF_Options_Exhibits'!K2566:K2570)),AVERAGE('20250815_ETF_Options_Exhibits'!K2566:K2570),"")</f>
        <v/>
      </c>
      <c r="L2570" s="3">
        <f>IF(ISNUMBER(AVERAGE('20250815_ETF_Options_Exhibits'!L2566:L2570)),AVERAGE('20250815_ETF_Options_Exhibits'!L2566:L2570),"")</f>
        <v/>
      </c>
      <c r="M2570" s="3">
        <f>IF(ISNUMBER(AVERAGE('20250815_ETF_Options_Exhibits'!M2566:M2570)),AVERAGE('20250815_ETF_Options_Exhibits'!M2566:M2570),"")</f>
        <v/>
      </c>
      <c r="N2570" s="3">
        <f>IF(ISNUMBER(AVERAGE('20250815_ETF_Options_Exhibits'!N2566:N2570)),AVERAGE('20250815_ETF_Options_Exhibits'!N2566:N2570),"")</f>
        <v/>
      </c>
      <c r="O2570" s="3">
        <f>IF(ISNUMBER(AVERAGE('20250815_ETF_Options_Exhibits'!O2566:O2570)),AVERAGE('20250815_ETF_Options_Exhibits'!O2566:O2570),"")</f>
        <v/>
      </c>
      <c r="P2570" s="3">
        <f>IF(ISNUMBER(AVERAGE('20250815_ETF_Options_Exhibits'!P2566:P2570)),AVERAGE('20250815_ETF_Options_Exhibits'!P2566:P2570),"")</f>
        <v/>
      </c>
      <c r="Q2570" s="3">
        <f>IF(ISNUMBER(AVERAGE('20250815_ETF_Options_Exhibits'!Q2566:Q2570)),AVERAGE('20250815_ETF_Options_Exhibits'!Q2566:Q2570),"")</f>
        <v/>
      </c>
      <c r="R2570" s="3">
        <f>IF(ISNUMBER(AVERAGE('20250815_ETF_Options_Exhibits'!R2566:R2570)),AVERAGE('20250815_ETF_Options_Exhibits'!R2566:R2570),"")</f>
        <v/>
      </c>
      <c r="S2570" s="3">
        <f>IF(ISNUMBER(AVERAGE('20250815_ETF_Options_Exhibits'!S2566:S2570)),AVERAGE('20250815_ETF_Options_Exhibits'!S2566:S2570),"")</f>
        <v/>
      </c>
      <c r="T2570" s="3">
        <f>IF(ISNUMBER(AVERAGE('20250815_ETF_Options_Exhibits'!T2566:T2570)),AVERAGE('20250815_ETF_Options_Exhibits'!T2566:T2570),"")</f>
        <v/>
      </c>
      <c r="U2570" s="3">
        <f>IF(ISNUMBER(AVERAGE('20250815_ETF_Options_Exhibits'!U2566:U2570)),AVERAGE('20250815_ETF_Options_Exhibits'!U2566:U2570),"")</f>
        <v/>
      </c>
      <c r="V2570" s="3">
        <f>IF(ISNUMBER(AVERAGE('20250815_ETF_Options_Exhibits'!V2566:V2570)),AVERAGE('20250815_ETF_Options_Exhibits'!V2566:V2570),"")</f>
        <v/>
      </c>
      <c r="W2570" s="3">
        <f>IF(ISNUMBER(AVERAGE('20250815_ETF_Options_Exhibits'!W2566:W2570)),AVERAGE('20250815_ETF_Options_Exhibits'!W2566:W2570),"")</f>
        <v/>
      </c>
      <c r="X2570" s="3">
        <f>IF(ISNUMBER(AVERAGE('20250815_ETF_Options_Exhibits'!X2566:X2570)),AVERAGE('20250815_ETF_Options_Exhibits'!X2566:X2570),"")</f>
        <v/>
      </c>
      <c r="Y2570" s="3">
        <f>IF(ISNUMBER(AVERAGE('20250815_ETF_Options_Exhibits'!Y2566:Y2570)),AVERAGE('20250815_ETF_Options_Exhibits'!Y2566:Y2570),"")</f>
        <v/>
      </c>
      <c r="Z2570" s="3">
        <f>IF(ISNUMBER(AVERAGE('20250815_ETF_Options_Exhibits'!Z2566:Z2570)),AVERAGE('20250815_ETF_Options_Exhibits'!Z2566:Z2570),"")</f>
        <v/>
      </c>
      <c r="AA2570" s="3">
        <f>IF(ISNUMBER(AVERAGE('20250815_ETF_Options_Exhibits'!AA2566:AA2570)),AVERAGE('20250815_ETF_Options_Exhibits'!AA2566:AA2570),"")</f>
        <v/>
      </c>
    </row>
    <row r="2571">
      <c r="A2571" s="1" t="n">
        <v>45736</v>
      </c>
      <c r="B2571" s="3">
        <f>IF(ISNUMBER(AVERAGE('20250815_ETF_Options_Exhibits'!B2567:B2571)),AVERAGE('20250815_ETF_Options_Exhibits'!B2567:B2571),"")</f>
        <v/>
      </c>
      <c r="C2571" s="3">
        <f>IF(ISNUMBER(AVERAGE('20250815_ETF_Options_Exhibits'!C2567:C2571)),AVERAGE('20250815_ETF_Options_Exhibits'!C2567:C2571),"")</f>
        <v/>
      </c>
      <c r="D2571" s="3">
        <f>IF(ISNUMBER(AVERAGE('20250815_ETF_Options_Exhibits'!D2567:D2571)),AVERAGE('20250815_ETF_Options_Exhibits'!D2567:D2571),"")</f>
        <v/>
      </c>
      <c r="E2571" s="3">
        <f>IF(ISNUMBER(AVERAGE('20250815_ETF_Options_Exhibits'!E2567:E2571)),AVERAGE('20250815_ETF_Options_Exhibits'!E2567:E2571),"")</f>
        <v/>
      </c>
      <c r="F2571" s="3">
        <f>IF(ISNUMBER(AVERAGE('20250815_ETF_Options_Exhibits'!F2567:F2571)),AVERAGE('20250815_ETF_Options_Exhibits'!F2567:F2571),"")</f>
        <v/>
      </c>
      <c r="G2571" s="3">
        <f>IF(ISNUMBER(AVERAGE('20250815_ETF_Options_Exhibits'!G2567:G2571)),AVERAGE('20250815_ETF_Options_Exhibits'!G2567:G2571),"")</f>
        <v/>
      </c>
      <c r="H2571" s="3">
        <f>IF(ISNUMBER(AVERAGE('20250815_ETF_Options_Exhibits'!H2567:H2571)),AVERAGE('20250815_ETF_Options_Exhibits'!H2567:H2571),"")</f>
        <v/>
      </c>
      <c r="I2571" s="3">
        <f>IF(ISNUMBER(AVERAGE('20250815_ETF_Options_Exhibits'!I2567:I2571)),AVERAGE('20250815_ETF_Options_Exhibits'!I2567:I2571),"")</f>
        <v/>
      </c>
      <c r="J2571" s="3">
        <f>IF(ISNUMBER(AVERAGE('20250815_ETF_Options_Exhibits'!J2567:J2571)),AVERAGE('20250815_ETF_Options_Exhibits'!J2567:J2571),"")</f>
        <v/>
      </c>
      <c r="K2571" s="3">
        <f>IF(ISNUMBER(AVERAGE('20250815_ETF_Options_Exhibits'!K2567:K2571)),AVERAGE('20250815_ETF_Options_Exhibits'!K2567:K2571),"")</f>
        <v/>
      </c>
      <c r="L2571" s="3">
        <f>IF(ISNUMBER(AVERAGE('20250815_ETF_Options_Exhibits'!L2567:L2571)),AVERAGE('20250815_ETF_Options_Exhibits'!L2567:L2571),"")</f>
        <v/>
      </c>
      <c r="M2571" s="3">
        <f>IF(ISNUMBER(AVERAGE('20250815_ETF_Options_Exhibits'!M2567:M2571)),AVERAGE('20250815_ETF_Options_Exhibits'!M2567:M2571),"")</f>
        <v/>
      </c>
      <c r="N2571" s="3">
        <f>IF(ISNUMBER(AVERAGE('20250815_ETF_Options_Exhibits'!N2567:N2571)),AVERAGE('20250815_ETF_Options_Exhibits'!N2567:N2571),"")</f>
        <v/>
      </c>
      <c r="O2571" s="3">
        <f>IF(ISNUMBER(AVERAGE('20250815_ETF_Options_Exhibits'!O2567:O2571)),AVERAGE('20250815_ETF_Options_Exhibits'!O2567:O2571),"")</f>
        <v/>
      </c>
      <c r="P2571" s="3">
        <f>IF(ISNUMBER(AVERAGE('20250815_ETF_Options_Exhibits'!P2567:P2571)),AVERAGE('20250815_ETF_Options_Exhibits'!P2567:P2571),"")</f>
        <v/>
      </c>
      <c r="Q2571" s="3">
        <f>IF(ISNUMBER(AVERAGE('20250815_ETF_Options_Exhibits'!Q2567:Q2571)),AVERAGE('20250815_ETF_Options_Exhibits'!Q2567:Q2571),"")</f>
        <v/>
      </c>
      <c r="R2571" s="3">
        <f>IF(ISNUMBER(AVERAGE('20250815_ETF_Options_Exhibits'!R2567:R2571)),AVERAGE('20250815_ETF_Options_Exhibits'!R2567:R2571),"")</f>
        <v/>
      </c>
      <c r="S2571" s="3">
        <f>IF(ISNUMBER(AVERAGE('20250815_ETF_Options_Exhibits'!S2567:S2571)),AVERAGE('20250815_ETF_Options_Exhibits'!S2567:S2571),"")</f>
        <v/>
      </c>
      <c r="T2571" s="3">
        <f>IF(ISNUMBER(AVERAGE('20250815_ETF_Options_Exhibits'!T2567:T2571)),AVERAGE('20250815_ETF_Options_Exhibits'!T2567:T2571),"")</f>
        <v/>
      </c>
      <c r="U2571" s="3">
        <f>IF(ISNUMBER(AVERAGE('20250815_ETF_Options_Exhibits'!U2567:U2571)),AVERAGE('20250815_ETF_Options_Exhibits'!U2567:U2571),"")</f>
        <v/>
      </c>
      <c r="V2571" s="3">
        <f>IF(ISNUMBER(AVERAGE('20250815_ETF_Options_Exhibits'!V2567:V2571)),AVERAGE('20250815_ETF_Options_Exhibits'!V2567:V2571),"")</f>
        <v/>
      </c>
      <c r="W2571" s="3">
        <f>IF(ISNUMBER(AVERAGE('20250815_ETF_Options_Exhibits'!W2567:W2571)),AVERAGE('20250815_ETF_Options_Exhibits'!W2567:W2571),"")</f>
        <v/>
      </c>
      <c r="X2571" s="3">
        <f>IF(ISNUMBER(AVERAGE('20250815_ETF_Options_Exhibits'!X2567:X2571)),AVERAGE('20250815_ETF_Options_Exhibits'!X2567:X2571),"")</f>
        <v/>
      </c>
      <c r="Y2571" s="3">
        <f>IF(ISNUMBER(AVERAGE('20250815_ETF_Options_Exhibits'!Y2567:Y2571)),AVERAGE('20250815_ETF_Options_Exhibits'!Y2567:Y2571),"")</f>
        <v/>
      </c>
      <c r="Z2571" s="3">
        <f>IF(ISNUMBER(AVERAGE('20250815_ETF_Options_Exhibits'!Z2567:Z2571)),AVERAGE('20250815_ETF_Options_Exhibits'!Z2567:Z2571),"")</f>
        <v/>
      </c>
      <c r="AA2571" s="3">
        <f>IF(ISNUMBER(AVERAGE('20250815_ETF_Options_Exhibits'!AA2567:AA2571)),AVERAGE('20250815_ETF_Options_Exhibits'!AA2567:AA2571),"")</f>
        <v/>
      </c>
    </row>
    <row r="2572">
      <c r="A2572" s="1" t="n">
        <v>45737</v>
      </c>
      <c r="B2572" s="3">
        <f>IF(ISNUMBER(AVERAGE('20250815_ETF_Options_Exhibits'!B2568:B2572)),AVERAGE('20250815_ETF_Options_Exhibits'!B2568:B2572),"")</f>
        <v/>
      </c>
      <c r="C2572" s="3">
        <f>IF(ISNUMBER(AVERAGE('20250815_ETF_Options_Exhibits'!C2568:C2572)),AVERAGE('20250815_ETF_Options_Exhibits'!C2568:C2572),"")</f>
        <v/>
      </c>
      <c r="D2572" s="3">
        <f>IF(ISNUMBER(AVERAGE('20250815_ETF_Options_Exhibits'!D2568:D2572)),AVERAGE('20250815_ETF_Options_Exhibits'!D2568:D2572),"")</f>
        <v/>
      </c>
      <c r="E2572" s="3">
        <f>IF(ISNUMBER(AVERAGE('20250815_ETF_Options_Exhibits'!E2568:E2572)),AVERAGE('20250815_ETF_Options_Exhibits'!E2568:E2572),"")</f>
        <v/>
      </c>
      <c r="F2572" s="3">
        <f>IF(ISNUMBER(AVERAGE('20250815_ETF_Options_Exhibits'!F2568:F2572)),AVERAGE('20250815_ETF_Options_Exhibits'!F2568:F2572),"")</f>
        <v/>
      </c>
      <c r="G2572" s="3">
        <f>IF(ISNUMBER(AVERAGE('20250815_ETF_Options_Exhibits'!G2568:G2572)),AVERAGE('20250815_ETF_Options_Exhibits'!G2568:G2572),"")</f>
        <v/>
      </c>
      <c r="H2572" s="3">
        <f>IF(ISNUMBER(AVERAGE('20250815_ETF_Options_Exhibits'!H2568:H2572)),AVERAGE('20250815_ETF_Options_Exhibits'!H2568:H2572),"")</f>
        <v/>
      </c>
      <c r="I2572" s="3">
        <f>IF(ISNUMBER(AVERAGE('20250815_ETF_Options_Exhibits'!I2568:I2572)),AVERAGE('20250815_ETF_Options_Exhibits'!I2568:I2572),"")</f>
        <v/>
      </c>
      <c r="J2572" s="3">
        <f>IF(ISNUMBER(AVERAGE('20250815_ETF_Options_Exhibits'!J2568:J2572)),AVERAGE('20250815_ETF_Options_Exhibits'!J2568:J2572),"")</f>
        <v/>
      </c>
      <c r="K2572" s="3">
        <f>IF(ISNUMBER(AVERAGE('20250815_ETF_Options_Exhibits'!K2568:K2572)),AVERAGE('20250815_ETF_Options_Exhibits'!K2568:K2572),"")</f>
        <v/>
      </c>
      <c r="L2572" s="3">
        <f>IF(ISNUMBER(AVERAGE('20250815_ETF_Options_Exhibits'!L2568:L2572)),AVERAGE('20250815_ETF_Options_Exhibits'!L2568:L2572),"")</f>
        <v/>
      </c>
      <c r="M2572" s="3">
        <f>IF(ISNUMBER(AVERAGE('20250815_ETF_Options_Exhibits'!M2568:M2572)),AVERAGE('20250815_ETF_Options_Exhibits'!M2568:M2572),"")</f>
        <v/>
      </c>
      <c r="N2572" s="3">
        <f>IF(ISNUMBER(AVERAGE('20250815_ETF_Options_Exhibits'!N2568:N2572)),AVERAGE('20250815_ETF_Options_Exhibits'!N2568:N2572),"")</f>
        <v/>
      </c>
      <c r="O2572" s="3">
        <f>IF(ISNUMBER(AVERAGE('20250815_ETF_Options_Exhibits'!O2568:O2572)),AVERAGE('20250815_ETF_Options_Exhibits'!O2568:O2572),"")</f>
        <v/>
      </c>
      <c r="P2572" s="3">
        <f>IF(ISNUMBER(AVERAGE('20250815_ETF_Options_Exhibits'!P2568:P2572)),AVERAGE('20250815_ETF_Options_Exhibits'!P2568:P2572),"")</f>
        <v/>
      </c>
      <c r="Q2572" s="3">
        <f>IF(ISNUMBER(AVERAGE('20250815_ETF_Options_Exhibits'!Q2568:Q2572)),AVERAGE('20250815_ETF_Options_Exhibits'!Q2568:Q2572),"")</f>
        <v/>
      </c>
      <c r="R2572" s="3">
        <f>IF(ISNUMBER(AVERAGE('20250815_ETF_Options_Exhibits'!R2568:R2572)),AVERAGE('20250815_ETF_Options_Exhibits'!R2568:R2572),"")</f>
        <v/>
      </c>
      <c r="S2572" s="3">
        <f>IF(ISNUMBER(AVERAGE('20250815_ETF_Options_Exhibits'!S2568:S2572)),AVERAGE('20250815_ETF_Options_Exhibits'!S2568:S2572),"")</f>
        <v/>
      </c>
      <c r="T2572" s="3">
        <f>IF(ISNUMBER(AVERAGE('20250815_ETF_Options_Exhibits'!T2568:T2572)),AVERAGE('20250815_ETF_Options_Exhibits'!T2568:T2572),"")</f>
        <v/>
      </c>
      <c r="U2572" s="3">
        <f>IF(ISNUMBER(AVERAGE('20250815_ETF_Options_Exhibits'!U2568:U2572)),AVERAGE('20250815_ETF_Options_Exhibits'!U2568:U2572),"")</f>
        <v/>
      </c>
      <c r="V2572" s="3">
        <f>IF(ISNUMBER(AVERAGE('20250815_ETF_Options_Exhibits'!V2568:V2572)),AVERAGE('20250815_ETF_Options_Exhibits'!V2568:V2572),"")</f>
        <v/>
      </c>
      <c r="W2572" s="3">
        <f>IF(ISNUMBER(AVERAGE('20250815_ETF_Options_Exhibits'!W2568:W2572)),AVERAGE('20250815_ETF_Options_Exhibits'!W2568:W2572),"")</f>
        <v/>
      </c>
      <c r="X2572" s="3">
        <f>IF(ISNUMBER(AVERAGE('20250815_ETF_Options_Exhibits'!X2568:X2572)),AVERAGE('20250815_ETF_Options_Exhibits'!X2568:X2572),"")</f>
        <v/>
      </c>
      <c r="Y2572" s="3">
        <f>IF(ISNUMBER(AVERAGE('20250815_ETF_Options_Exhibits'!Y2568:Y2572)),AVERAGE('20250815_ETF_Options_Exhibits'!Y2568:Y2572),"")</f>
        <v/>
      </c>
      <c r="Z2572" s="3">
        <f>IF(ISNUMBER(AVERAGE('20250815_ETF_Options_Exhibits'!Z2568:Z2572)),AVERAGE('20250815_ETF_Options_Exhibits'!Z2568:Z2572),"")</f>
        <v/>
      </c>
      <c r="AA2572" s="3">
        <f>IF(ISNUMBER(AVERAGE('20250815_ETF_Options_Exhibits'!AA2568:AA2572)),AVERAGE('20250815_ETF_Options_Exhibits'!AA2568:AA2572),"")</f>
        <v/>
      </c>
    </row>
    <row r="2573">
      <c r="A2573" s="1" t="n">
        <v>45740</v>
      </c>
      <c r="B2573" s="3">
        <f>IF(ISNUMBER(AVERAGE('20250815_ETF_Options_Exhibits'!B2569:B2573)),AVERAGE('20250815_ETF_Options_Exhibits'!B2569:B2573),"")</f>
        <v/>
      </c>
      <c r="C2573" s="3">
        <f>IF(ISNUMBER(AVERAGE('20250815_ETF_Options_Exhibits'!C2569:C2573)),AVERAGE('20250815_ETF_Options_Exhibits'!C2569:C2573),"")</f>
        <v/>
      </c>
      <c r="D2573" s="3">
        <f>IF(ISNUMBER(AVERAGE('20250815_ETF_Options_Exhibits'!D2569:D2573)),AVERAGE('20250815_ETF_Options_Exhibits'!D2569:D2573),"")</f>
        <v/>
      </c>
      <c r="E2573" s="3">
        <f>IF(ISNUMBER(AVERAGE('20250815_ETF_Options_Exhibits'!E2569:E2573)),AVERAGE('20250815_ETF_Options_Exhibits'!E2569:E2573),"")</f>
        <v/>
      </c>
      <c r="F2573" s="3">
        <f>IF(ISNUMBER(AVERAGE('20250815_ETF_Options_Exhibits'!F2569:F2573)),AVERAGE('20250815_ETF_Options_Exhibits'!F2569:F2573),"")</f>
        <v/>
      </c>
      <c r="G2573" s="3">
        <f>IF(ISNUMBER(AVERAGE('20250815_ETF_Options_Exhibits'!G2569:G2573)),AVERAGE('20250815_ETF_Options_Exhibits'!G2569:G2573),"")</f>
        <v/>
      </c>
      <c r="H2573" s="3">
        <f>IF(ISNUMBER(AVERAGE('20250815_ETF_Options_Exhibits'!H2569:H2573)),AVERAGE('20250815_ETF_Options_Exhibits'!H2569:H2573),"")</f>
        <v/>
      </c>
      <c r="I2573" s="3">
        <f>IF(ISNUMBER(AVERAGE('20250815_ETF_Options_Exhibits'!I2569:I2573)),AVERAGE('20250815_ETF_Options_Exhibits'!I2569:I2573),"")</f>
        <v/>
      </c>
      <c r="J2573" s="3">
        <f>IF(ISNUMBER(AVERAGE('20250815_ETF_Options_Exhibits'!J2569:J2573)),AVERAGE('20250815_ETF_Options_Exhibits'!J2569:J2573),"")</f>
        <v/>
      </c>
      <c r="K2573" s="3">
        <f>IF(ISNUMBER(AVERAGE('20250815_ETF_Options_Exhibits'!K2569:K2573)),AVERAGE('20250815_ETF_Options_Exhibits'!K2569:K2573),"")</f>
        <v/>
      </c>
      <c r="L2573" s="3">
        <f>IF(ISNUMBER(AVERAGE('20250815_ETF_Options_Exhibits'!L2569:L2573)),AVERAGE('20250815_ETF_Options_Exhibits'!L2569:L2573),"")</f>
        <v/>
      </c>
      <c r="M2573" s="3">
        <f>IF(ISNUMBER(AVERAGE('20250815_ETF_Options_Exhibits'!M2569:M2573)),AVERAGE('20250815_ETF_Options_Exhibits'!M2569:M2573),"")</f>
        <v/>
      </c>
      <c r="N2573" s="3">
        <f>IF(ISNUMBER(AVERAGE('20250815_ETF_Options_Exhibits'!N2569:N2573)),AVERAGE('20250815_ETF_Options_Exhibits'!N2569:N2573),"")</f>
        <v/>
      </c>
      <c r="O2573" s="3">
        <f>IF(ISNUMBER(AVERAGE('20250815_ETF_Options_Exhibits'!O2569:O2573)),AVERAGE('20250815_ETF_Options_Exhibits'!O2569:O2573),"")</f>
        <v/>
      </c>
      <c r="P2573" s="3">
        <f>IF(ISNUMBER(AVERAGE('20250815_ETF_Options_Exhibits'!P2569:P2573)),AVERAGE('20250815_ETF_Options_Exhibits'!P2569:P2573),"")</f>
        <v/>
      </c>
      <c r="Q2573" s="3">
        <f>IF(ISNUMBER(AVERAGE('20250815_ETF_Options_Exhibits'!Q2569:Q2573)),AVERAGE('20250815_ETF_Options_Exhibits'!Q2569:Q2573),"")</f>
        <v/>
      </c>
      <c r="R2573" s="3">
        <f>IF(ISNUMBER(AVERAGE('20250815_ETF_Options_Exhibits'!R2569:R2573)),AVERAGE('20250815_ETF_Options_Exhibits'!R2569:R2573),"")</f>
        <v/>
      </c>
      <c r="S2573" s="3">
        <f>IF(ISNUMBER(AVERAGE('20250815_ETF_Options_Exhibits'!S2569:S2573)),AVERAGE('20250815_ETF_Options_Exhibits'!S2569:S2573),"")</f>
        <v/>
      </c>
      <c r="T2573" s="3">
        <f>IF(ISNUMBER(AVERAGE('20250815_ETF_Options_Exhibits'!T2569:T2573)),AVERAGE('20250815_ETF_Options_Exhibits'!T2569:T2573),"")</f>
        <v/>
      </c>
      <c r="U2573" s="3">
        <f>IF(ISNUMBER(AVERAGE('20250815_ETF_Options_Exhibits'!U2569:U2573)),AVERAGE('20250815_ETF_Options_Exhibits'!U2569:U2573),"")</f>
        <v/>
      </c>
      <c r="V2573" s="3">
        <f>IF(ISNUMBER(AVERAGE('20250815_ETF_Options_Exhibits'!V2569:V2573)),AVERAGE('20250815_ETF_Options_Exhibits'!V2569:V2573),"")</f>
        <v/>
      </c>
      <c r="W2573" s="3">
        <f>IF(ISNUMBER(AVERAGE('20250815_ETF_Options_Exhibits'!W2569:W2573)),AVERAGE('20250815_ETF_Options_Exhibits'!W2569:W2573),"")</f>
        <v/>
      </c>
      <c r="X2573" s="3">
        <f>IF(ISNUMBER(AVERAGE('20250815_ETF_Options_Exhibits'!X2569:X2573)),AVERAGE('20250815_ETF_Options_Exhibits'!X2569:X2573),"")</f>
        <v/>
      </c>
      <c r="Y2573" s="3">
        <f>IF(ISNUMBER(AVERAGE('20250815_ETF_Options_Exhibits'!Y2569:Y2573)),AVERAGE('20250815_ETF_Options_Exhibits'!Y2569:Y2573),"")</f>
        <v/>
      </c>
      <c r="Z2573" s="3">
        <f>IF(ISNUMBER(AVERAGE('20250815_ETF_Options_Exhibits'!Z2569:Z2573)),AVERAGE('20250815_ETF_Options_Exhibits'!Z2569:Z2573),"")</f>
        <v/>
      </c>
      <c r="AA2573" s="3">
        <f>IF(ISNUMBER(AVERAGE('20250815_ETF_Options_Exhibits'!AA2569:AA2573)),AVERAGE('20250815_ETF_Options_Exhibits'!AA2569:AA2573),"")</f>
        <v/>
      </c>
    </row>
    <row r="2574">
      <c r="A2574" s="1" t="n">
        <v>45741</v>
      </c>
      <c r="B2574" s="3">
        <f>IF(ISNUMBER(AVERAGE('20250815_ETF_Options_Exhibits'!B2570:B2574)),AVERAGE('20250815_ETF_Options_Exhibits'!B2570:B2574),"")</f>
        <v/>
      </c>
      <c r="C2574" s="3">
        <f>IF(ISNUMBER(AVERAGE('20250815_ETF_Options_Exhibits'!C2570:C2574)),AVERAGE('20250815_ETF_Options_Exhibits'!C2570:C2574),"")</f>
        <v/>
      </c>
      <c r="D2574" s="3">
        <f>IF(ISNUMBER(AVERAGE('20250815_ETF_Options_Exhibits'!D2570:D2574)),AVERAGE('20250815_ETF_Options_Exhibits'!D2570:D2574),"")</f>
        <v/>
      </c>
      <c r="E2574" s="3">
        <f>IF(ISNUMBER(AVERAGE('20250815_ETF_Options_Exhibits'!E2570:E2574)),AVERAGE('20250815_ETF_Options_Exhibits'!E2570:E2574),"")</f>
        <v/>
      </c>
      <c r="F2574" s="3">
        <f>IF(ISNUMBER(AVERAGE('20250815_ETF_Options_Exhibits'!F2570:F2574)),AVERAGE('20250815_ETF_Options_Exhibits'!F2570:F2574),"")</f>
        <v/>
      </c>
      <c r="G2574" s="3">
        <f>IF(ISNUMBER(AVERAGE('20250815_ETF_Options_Exhibits'!G2570:G2574)),AVERAGE('20250815_ETF_Options_Exhibits'!G2570:G2574),"")</f>
        <v/>
      </c>
      <c r="H2574" s="3">
        <f>IF(ISNUMBER(AVERAGE('20250815_ETF_Options_Exhibits'!H2570:H2574)),AVERAGE('20250815_ETF_Options_Exhibits'!H2570:H2574),"")</f>
        <v/>
      </c>
      <c r="I2574" s="3">
        <f>IF(ISNUMBER(AVERAGE('20250815_ETF_Options_Exhibits'!I2570:I2574)),AVERAGE('20250815_ETF_Options_Exhibits'!I2570:I2574),"")</f>
        <v/>
      </c>
      <c r="J2574" s="3">
        <f>IF(ISNUMBER(AVERAGE('20250815_ETF_Options_Exhibits'!J2570:J2574)),AVERAGE('20250815_ETF_Options_Exhibits'!J2570:J2574),"")</f>
        <v/>
      </c>
      <c r="K2574" s="3">
        <f>IF(ISNUMBER(AVERAGE('20250815_ETF_Options_Exhibits'!K2570:K2574)),AVERAGE('20250815_ETF_Options_Exhibits'!K2570:K2574),"")</f>
        <v/>
      </c>
      <c r="L2574" s="3">
        <f>IF(ISNUMBER(AVERAGE('20250815_ETF_Options_Exhibits'!L2570:L2574)),AVERAGE('20250815_ETF_Options_Exhibits'!L2570:L2574),"")</f>
        <v/>
      </c>
      <c r="M2574" s="3">
        <f>IF(ISNUMBER(AVERAGE('20250815_ETF_Options_Exhibits'!M2570:M2574)),AVERAGE('20250815_ETF_Options_Exhibits'!M2570:M2574),"")</f>
        <v/>
      </c>
      <c r="N2574" s="3">
        <f>IF(ISNUMBER(AVERAGE('20250815_ETF_Options_Exhibits'!N2570:N2574)),AVERAGE('20250815_ETF_Options_Exhibits'!N2570:N2574),"")</f>
        <v/>
      </c>
      <c r="O2574" s="3">
        <f>IF(ISNUMBER(AVERAGE('20250815_ETF_Options_Exhibits'!O2570:O2574)),AVERAGE('20250815_ETF_Options_Exhibits'!O2570:O2574),"")</f>
        <v/>
      </c>
      <c r="P2574" s="3">
        <f>IF(ISNUMBER(AVERAGE('20250815_ETF_Options_Exhibits'!P2570:P2574)),AVERAGE('20250815_ETF_Options_Exhibits'!P2570:P2574),"")</f>
        <v/>
      </c>
      <c r="Q2574" s="3">
        <f>IF(ISNUMBER(AVERAGE('20250815_ETF_Options_Exhibits'!Q2570:Q2574)),AVERAGE('20250815_ETF_Options_Exhibits'!Q2570:Q2574),"")</f>
        <v/>
      </c>
      <c r="R2574" s="3">
        <f>IF(ISNUMBER(AVERAGE('20250815_ETF_Options_Exhibits'!R2570:R2574)),AVERAGE('20250815_ETF_Options_Exhibits'!R2570:R2574),"")</f>
        <v/>
      </c>
      <c r="S2574" s="3">
        <f>IF(ISNUMBER(AVERAGE('20250815_ETF_Options_Exhibits'!S2570:S2574)),AVERAGE('20250815_ETF_Options_Exhibits'!S2570:S2574),"")</f>
        <v/>
      </c>
      <c r="T2574" s="3">
        <f>IF(ISNUMBER(AVERAGE('20250815_ETF_Options_Exhibits'!T2570:T2574)),AVERAGE('20250815_ETF_Options_Exhibits'!T2570:T2574),"")</f>
        <v/>
      </c>
      <c r="U2574" s="3">
        <f>IF(ISNUMBER(AVERAGE('20250815_ETF_Options_Exhibits'!U2570:U2574)),AVERAGE('20250815_ETF_Options_Exhibits'!U2570:U2574),"")</f>
        <v/>
      </c>
      <c r="V2574" s="3">
        <f>IF(ISNUMBER(AVERAGE('20250815_ETF_Options_Exhibits'!V2570:V2574)),AVERAGE('20250815_ETF_Options_Exhibits'!V2570:V2574),"")</f>
        <v/>
      </c>
      <c r="W2574" s="3">
        <f>IF(ISNUMBER(AVERAGE('20250815_ETF_Options_Exhibits'!W2570:W2574)),AVERAGE('20250815_ETF_Options_Exhibits'!W2570:W2574),"")</f>
        <v/>
      </c>
      <c r="X2574" s="3">
        <f>IF(ISNUMBER(AVERAGE('20250815_ETF_Options_Exhibits'!X2570:X2574)),AVERAGE('20250815_ETF_Options_Exhibits'!X2570:X2574),"")</f>
        <v/>
      </c>
      <c r="Y2574" s="3">
        <f>IF(ISNUMBER(AVERAGE('20250815_ETF_Options_Exhibits'!Y2570:Y2574)),AVERAGE('20250815_ETF_Options_Exhibits'!Y2570:Y2574),"")</f>
        <v/>
      </c>
      <c r="Z2574" s="3">
        <f>IF(ISNUMBER(AVERAGE('20250815_ETF_Options_Exhibits'!Z2570:Z2574)),AVERAGE('20250815_ETF_Options_Exhibits'!Z2570:Z2574),"")</f>
        <v/>
      </c>
      <c r="AA2574" s="3">
        <f>IF(ISNUMBER(AVERAGE('20250815_ETF_Options_Exhibits'!AA2570:AA2574)),AVERAGE('20250815_ETF_Options_Exhibits'!AA2570:AA2574),"")</f>
        <v/>
      </c>
    </row>
    <row r="2575">
      <c r="A2575" s="1" t="n">
        <v>45742</v>
      </c>
      <c r="B2575" s="3">
        <f>IF(ISNUMBER(AVERAGE('20250815_ETF_Options_Exhibits'!B2571:B2575)),AVERAGE('20250815_ETF_Options_Exhibits'!B2571:B2575),"")</f>
        <v/>
      </c>
      <c r="C2575" s="3">
        <f>IF(ISNUMBER(AVERAGE('20250815_ETF_Options_Exhibits'!C2571:C2575)),AVERAGE('20250815_ETF_Options_Exhibits'!C2571:C2575),"")</f>
        <v/>
      </c>
      <c r="D2575" s="3">
        <f>IF(ISNUMBER(AVERAGE('20250815_ETF_Options_Exhibits'!D2571:D2575)),AVERAGE('20250815_ETF_Options_Exhibits'!D2571:D2575),"")</f>
        <v/>
      </c>
      <c r="E2575" s="3">
        <f>IF(ISNUMBER(AVERAGE('20250815_ETF_Options_Exhibits'!E2571:E2575)),AVERAGE('20250815_ETF_Options_Exhibits'!E2571:E2575),"")</f>
        <v/>
      </c>
      <c r="F2575" s="3">
        <f>IF(ISNUMBER(AVERAGE('20250815_ETF_Options_Exhibits'!F2571:F2575)),AVERAGE('20250815_ETF_Options_Exhibits'!F2571:F2575),"")</f>
        <v/>
      </c>
      <c r="G2575" s="3">
        <f>IF(ISNUMBER(AVERAGE('20250815_ETF_Options_Exhibits'!G2571:G2575)),AVERAGE('20250815_ETF_Options_Exhibits'!G2571:G2575),"")</f>
        <v/>
      </c>
      <c r="H2575" s="3">
        <f>IF(ISNUMBER(AVERAGE('20250815_ETF_Options_Exhibits'!H2571:H2575)),AVERAGE('20250815_ETF_Options_Exhibits'!H2571:H2575),"")</f>
        <v/>
      </c>
      <c r="I2575" s="3">
        <f>IF(ISNUMBER(AVERAGE('20250815_ETF_Options_Exhibits'!I2571:I2575)),AVERAGE('20250815_ETF_Options_Exhibits'!I2571:I2575),"")</f>
        <v/>
      </c>
      <c r="J2575" s="3">
        <f>IF(ISNUMBER(AVERAGE('20250815_ETF_Options_Exhibits'!J2571:J2575)),AVERAGE('20250815_ETF_Options_Exhibits'!J2571:J2575),"")</f>
        <v/>
      </c>
      <c r="K2575" s="3">
        <f>IF(ISNUMBER(AVERAGE('20250815_ETF_Options_Exhibits'!K2571:K2575)),AVERAGE('20250815_ETF_Options_Exhibits'!K2571:K2575),"")</f>
        <v/>
      </c>
      <c r="L2575" s="3">
        <f>IF(ISNUMBER(AVERAGE('20250815_ETF_Options_Exhibits'!L2571:L2575)),AVERAGE('20250815_ETF_Options_Exhibits'!L2571:L2575),"")</f>
        <v/>
      </c>
      <c r="M2575" s="3">
        <f>IF(ISNUMBER(AVERAGE('20250815_ETF_Options_Exhibits'!M2571:M2575)),AVERAGE('20250815_ETF_Options_Exhibits'!M2571:M2575),"")</f>
        <v/>
      </c>
      <c r="N2575" s="3">
        <f>IF(ISNUMBER(AVERAGE('20250815_ETF_Options_Exhibits'!N2571:N2575)),AVERAGE('20250815_ETF_Options_Exhibits'!N2571:N2575),"")</f>
        <v/>
      </c>
      <c r="O2575" s="3">
        <f>IF(ISNUMBER(AVERAGE('20250815_ETF_Options_Exhibits'!O2571:O2575)),AVERAGE('20250815_ETF_Options_Exhibits'!O2571:O2575),"")</f>
        <v/>
      </c>
      <c r="P2575" s="3">
        <f>IF(ISNUMBER(AVERAGE('20250815_ETF_Options_Exhibits'!P2571:P2575)),AVERAGE('20250815_ETF_Options_Exhibits'!P2571:P2575),"")</f>
        <v/>
      </c>
      <c r="Q2575" s="3">
        <f>IF(ISNUMBER(AVERAGE('20250815_ETF_Options_Exhibits'!Q2571:Q2575)),AVERAGE('20250815_ETF_Options_Exhibits'!Q2571:Q2575),"")</f>
        <v/>
      </c>
      <c r="R2575" s="3">
        <f>IF(ISNUMBER(AVERAGE('20250815_ETF_Options_Exhibits'!R2571:R2575)),AVERAGE('20250815_ETF_Options_Exhibits'!R2571:R2575),"")</f>
        <v/>
      </c>
      <c r="S2575" s="3">
        <f>IF(ISNUMBER(AVERAGE('20250815_ETF_Options_Exhibits'!S2571:S2575)),AVERAGE('20250815_ETF_Options_Exhibits'!S2571:S2575),"")</f>
        <v/>
      </c>
      <c r="T2575" s="3">
        <f>IF(ISNUMBER(AVERAGE('20250815_ETF_Options_Exhibits'!T2571:T2575)),AVERAGE('20250815_ETF_Options_Exhibits'!T2571:T2575),"")</f>
        <v/>
      </c>
      <c r="U2575" s="3">
        <f>IF(ISNUMBER(AVERAGE('20250815_ETF_Options_Exhibits'!U2571:U2575)),AVERAGE('20250815_ETF_Options_Exhibits'!U2571:U2575),"")</f>
        <v/>
      </c>
      <c r="V2575" s="3">
        <f>IF(ISNUMBER(AVERAGE('20250815_ETF_Options_Exhibits'!V2571:V2575)),AVERAGE('20250815_ETF_Options_Exhibits'!V2571:V2575),"")</f>
        <v/>
      </c>
      <c r="W2575" s="3">
        <f>IF(ISNUMBER(AVERAGE('20250815_ETF_Options_Exhibits'!W2571:W2575)),AVERAGE('20250815_ETF_Options_Exhibits'!W2571:W2575),"")</f>
        <v/>
      </c>
      <c r="X2575" s="3">
        <f>IF(ISNUMBER(AVERAGE('20250815_ETF_Options_Exhibits'!X2571:X2575)),AVERAGE('20250815_ETF_Options_Exhibits'!X2571:X2575),"")</f>
        <v/>
      </c>
      <c r="Y2575" s="3">
        <f>IF(ISNUMBER(AVERAGE('20250815_ETF_Options_Exhibits'!Y2571:Y2575)),AVERAGE('20250815_ETF_Options_Exhibits'!Y2571:Y2575),"")</f>
        <v/>
      </c>
      <c r="Z2575" s="3">
        <f>IF(ISNUMBER(AVERAGE('20250815_ETF_Options_Exhibits'!Z2571:Z2575)),AVERAGE('20250815_ETF_Options_Exhibits'!Z2571:Z2575),"")</f>
        <v/>
      </c>
      <c r="AA2575" s="3">
        <f>IF(ISNUMBER(AVERAGE('20250815_ETF_Options_Exhibits'!AA2571:AA2575)),AVERAGE('20250815_ETF_Options_Exhibits'!AA2571:AA2575),"")</f>
        <v/>
      </c>
    </row>
    <row r="2576">
      <c r="A2576" s="1" t="n">
        <v>45743</v>
      </c>
      <c r="B2576" s="3">
        <f>IF(ISNUMBER(AVERAGE('20250815_ETF_Options_Exhibits'!B2572:B2576)),AVERAGE('20250815_ETF_Options_Exhibits'!B2572:B2576),"")</f>
        <v/>
      </c>
      <c r="C2576" s="3">
        <f>IF(ISNUMBER(AVERAGE('20250815_ETF_Options_Exhibits'!C2572:C2576)),AVERAGE('20250815_ETF_Options_Exhibits'!C2572:C2576),"")</f>
        <v/>
      </c>
      <c r="D2576" s="3">
        <f>IF(ISNUMBER(AVERAGE('20250815_ETF_Options_Exhibits'!D2572:D2576)),AVERAGE('20250815_ETF_Options_Exhibits'!D2572:D2576),"")</f>
        <v/>
      </c>
      <c r="E2576" s="3">
        <f>IF(ISNUMBER(AVERAGE('20250815_ETF_Options_Exhibits'!E2572:E2576)),AVERAGE('20250815_ETF_Options_Exhibits'!E2572:E2576),"")</f>
        <v/>
      </c>
      <c r="F2576" s="3">
        <f>IF(ISNUMBER(AVERAGE('20250815_ETF_Options_Exhibits'!F2572:F2576)),AVERAGE('20250815_ETF_Options_Exhibits'!F2572:F2576),"")</f>
        <v/>
      </c>
      <c r="G2576" s="3">
        <f>IF(ISNUMBER(AVERAGE('20250815_ETF_Options_Exhibits'!G2572:G2576)),AVERAGE('20250815_ETF_Options_Exhibits'!G2572:G2576),"")</f>
        <v/>
      </c>
      <c r="H2576" s="3">
        <f>IF(ISNUMBER(AVERAGE('20250815_ETF_Options_Exhibits'!H2572:H2576)),AVERAGE('20250815_ETF_Options_Exhibits'!H2572:H2576),"")</f>
        <v/>
      </c>
      <c r="I2576" s="3">
        <f>IF(ISNUMBER(AVERAGE('20250815_ETF_Options_Exhibits'!I2572:I2576)),AVERAGE('20250815_ETF_Options_Exhibits'!I2572:I2576),"")</f>
        <v/>
      </c>
      <c r="J2576" s="3">
        <f>IF(ISNUMBER(AVERAGE('20250815_ETF_Options_Exhibits'!J2572:J2576)),AVERAGE('20250815_ETF_Options_Exhibits'!J2572:J2576),"")</f>
        <v/>
      </c>
      <c r="K2576" s="3">
        <f>IF(ISNUMBER(AVERAGE('20250815_ETF_Options_Exhibits'!K2572:K2576)),AVERAGE('20250815_ETF_Options_Exhibits'!K2572:K2576),"")</f>
        <v/>
      </c>
      <c r="L2576" s="3">
        <f>IF(ISNUMBER(AVERAGE('20250815_ETF_Options_Exhibits'!L2572:L2576)),AVERAGE('20250815_ETF_Options_Exhibits'!L2572:L2576),"")</f>
        <v/>
      </c>
      <c r="M2576" s="3">
        <f>IF(ISNUMBER(AVERAGE('20250815_ETF_Options_Exhibits'!M2572:M2576)),AVERAGE('20250815_ETF_Options_Exhibits'!M2572:M2576),"")</f>
        <v/>
      </c>
      <c r="N2576" s="3">
        <f>IF(ISNUMBER(AVERAGE('20250815_ETF_Options_Exhibits'!N2572:N2576)),AVERAGE('20250815_ETF_Options_Exhibits'!N2572:N2576),"")</f>
        <v/>
      </c>
      <c r="O2576" s="3">
        <f>IF(ISNUMBER(AVERAGE('20250815_ETF_Options_Exhibits'!O2572:O2576)),AVERAGE('20250815_ETF_Options_Exhibits'!O2572:O2576),"")</f>
        <v/>
      </c>
      <c r="P2576" s="3">
        <f>IF(ISNUMBER(AVERAGE('20250815_ETF_Options_Exhibits'!P2572:P2576)),AVERAGE('20250815_ETF_Options_Exhibits'!P2572:P2576),"")</f>
        <v/>
      </c>
      <c r="Q2576" s="3">
        <f>IF(ISNUMBER(AVERAGE('20250815_ETF_Options_Exhibits'!Q2572:Q2576)),AVERAGE('20250815_ETF_Options_Exhibits'!Q2572:Q2576),"")</f>
        <v/>
      </c>
      <c r="R2576" s="3">
        <f>IF(ISNUMBER(AVERAGE('20250815_ETF_Options_Exhibits'!R2572:R2576)),AVERAGE('20250815_ETF_Options_Exhibits'!R2572:R2576),"")</f>
        <v/>
      </c>
      <c r="S2576" s="3">
        <f>IF(ISNUMBER(AVERAGE('20250815_ETF_Options_Exhibits'!S2572:S2576)),AVERAGE('20250815_ETF_Options_Exhibits'!S2572:S2576),"")</f>
        <v/>
      </c>
      <c r="T2576" s="3">
        <f>IF(ISNUMBER(AVERAGE('20250815_ETF_Options_Exhibits'!T2572:T2576)),AVERAGE('20250815_ETF_Options_Exhibits'!T2572:T2576),"")</f>
        <v/>
      </c>
      <c r="U2576" s="3">
        <f>IF(ISNUMBER(AVERAGE('20250815_ETF_Options_Exhibits'!U2572:U2576)),AVERAGE('20250815_ETF_Options_Exhibits'!U2572:U2576),"")</f>
        <v/>
      </c>
      <c r="V2576" s="3">
        <f>IF(ISNUMBER(AVERAGE('20250815_ETF_Options_Exhibits'!V2572:V2576)),AVERAGE('20250815_ETF_Options_Exhibits'!V2572:V2576),"")</f>
        <v/>
      </c>
      <c r="W2576" s="3">
        <f>IF(ISNUMBER(AVERAGE('20250815_ETF_Options_Exhibits'!W2572:W2576)),AVERAGE('20250815_ETF_Options_Exhibits'!W2572:W2576),"")</f>
        <v/>
      </c>
      <c r="X2576" s="3">
        <f>IF(ISNUMBER(AVERAGE('20250815_ETF_Options_Exhibits'!X2572:X2576)),AVERAGE('20250815_ETF_Options_Exhibits'!X2572:X2576),"")</f>
        <v/>
      </c>
      <c r="Y2576" s="3">
        <f>IF(ISNUMBER(AVERAGE('20250815_ETF_Options_Exhibits'!Y2572:Y2576)),AVERAGE('20250815_ETF_Options_Exhibits'!Y2572:Y2576),"")</f>
        <v/>
      </c>
      <c r="Z2576" s="3">
        <f>IF(ISNUMBER(AVERAGE('20250815_ETF_Options_Exhibits'!Z2572:Z2576)),AVERAGE('20250815_ETF_Options_Exhibits'!Z2572:Z2576),"")</f>
        <v/>
      </c>
      <c r="AA2576" s="3">
        <f>IF(ISNUMBER(AVERAGE('20250815_ETF_Options_Exhibits'!AA2572:AA2576)),AVERAGE('20250815_ETF_Options_Exhibits'!AA2572:AA2576),"")</f>
        <v/>
      </c>
    </row>
    <row r="2577">
      <c r="A2577" s="1" t="n">
        <v>45744</v>
      </c>
      <c r="B2577" s="3">
        <f>IF(ISNUMBER(AVERAGE('20250815_ETF_Options_Exhibits'!B2573:B2577)),AVERAGE('20250815_ETF_Options_Exhibits'!B2573:B2577),"")</f>
        <v/>
      </c>
      <c r="C2577" s="3">
        <f>IF(ISNUMBER(AVERAGE('20250815_ETF_Options_Exhibits'!C2573:C2577)),AVERAGE('20250815_ETF_Options_Exhibits'!C2573:C2577),"")</f>
        <v/>
      </c>
      <c r="D2577" s="3">
        <f>IF(ISNUMBER(AVERAGE('20250815_ETF_Options_Exhibits'!D2573:D2577)),AVERAGE('20250815_ETF_Options_Exhibits'!D2573:D2577),"")</f>
        <v/>
      </c>
      <c r="E2577" s="3">
        <f>IF(ISNUMBER(AVERAGE('20250815_ETF_Options_Exhibits'!E2573:E2577)),AVERAGE('20250815_ETF_Options_Exhibits'!E2573:E2577),"")</f>
        <v/>
      </c>
      <c r="F2577" s="3">
        <f>IF(ISNUMBER(AVERAGE('20250815_ETF_Options_Exhibits'!F2573:F2577)),AVERAGE('20250815_ETF_Options_Exhibits'!F2573:F2577),"")</f>
        <v/>
      </c>
      <c r="G2577" s="3">
        <f>IF(ISNUMBER(AVERAGE('20250815_ETF_Options_Exhibits'!G2573:G2577)),AVERAGE('20250815_ETF_Options_Exhibits'!G2573:G2577),"")</f>
        <v/>
      </c>
      <c r="H2577" s="3">
        <f>IF(ISNUMBER(AVERAGE('20250815_ETF_Options_Exhibits'!H2573:H2577)),AVERAGE('20250815_ETF_Options_Exhibits'!H2573:H2577),"")</f>
        <v/>
      </c>
      <c r="I2577" s="3">
        <f>IF(ISNUMBER(AVERAGE('20250815_ETF_Options_Exhibits'!I2573:I2577)),AVERAGE('20250815_ETF_Options_Exhibits'!I2573:I2577),"")</f>
        <v/>
      </c>
      <c r="J2577" s="3">
        <f>IF(ISNUMBER(AVERAGE('20250815_ETF_Options_Exhibits'!J2573:J2577)),AVERAGE('20250815_ETF_Options_Exhibits'!J2573:J2577),"")</f>
        <v/>
      </c>
      <c r="K2577" s="3">
        <f>IF(ISNUMBER(AVERAGE('20250815_ETF_Options_Exhibits'!K2573:K2577)),AVERAGE('20250815_ETF_Options_Exhibits'!K2573:K2577),"")</f>
        <v/>
      </c>
      <c r="L2577" s="3">
        <f>IF(ISNUMBER(AVERAGE('20250815_ETF_Options_Exhibits'!L2573:L2577)),AVERAGE('20250815_ETF_Options_Exhibits'!L2573:L2577),"")</f>
        <v/>
      </c>
      <c r="M2577" s="3">
        <f>IF(ISNUMBER(AVERAGE('20250815_ETF_Options_Exhibits'!M2573:M2577)),AVERAGE('20250815_ETF_Options_Exhibits'!M2573:M2577),"")</f>
        <v/>
      </c>
      <c r="N2577" s="3">
        <f>IF(ISNUMBER(AVERAGE('20250815_ETF_Options_Exhibits'!N2573:N2577)),AVERAGE('20250815_ETF_Options_Exhibits'!N2573:N2577),"")</f>
        <v/>
      </c>
      <c r="O2577" s="3">
        <f>IF(ISNUMBER(AVERAGE('20250815_ETF_Options_Exhibits'!O2573:O2577)),AVERAGE('20250815_ETF_Options_Exhibits'!O2573:O2577),"")</f>
        <v/>
      </c>
      <c r="P2577" s="3">
        <f>IF(ISNUMBER(AVERAGE('20250815_ETF_Options_Exhibits'!P2573:P2577)),AVERAGE('20250815_ETF_Options_Exhibits'!P2573:P2577),"")</f>
        <v/>
      </c>
      <c r="Q2577" s="3">
        <f>IF(ISNUMBER(AVERAGE('20250815_ETF_Options_Exhibits'!Q2573:Q2577)),AVERAGE('20250815_ETF_Options_Exhibits'!Q2573:Q2577),"")</f>
        <v/>
      </c>
      <c r="R2577" s="3">
        <f>IF(ISNUMBER(AVERAGE('20250815_ETF_Options_Exhibits'!R2573:R2577)),AVERAGE('20250815_ETF_Options_Exhibits'!R2573:R2577),"")</f>
        <v/>
      </c>
      <c r="S2577" s="3">
        <f>IF(ISNUMBER(AVERAGE('20250815_ETF_Options_Exhibits'!S2573:S2577)),AVERAGE('20250815_ETF_Options_Exhibits'!S2573:S2577),"")</f>
        <v/>
      </c>
      <c r="T2577" s="3">
        <f>IF(ISNUMBER(AVERAGE('20250815_ETF_Options_Exhibits'!T2573:T2577)),AVERAGE('20250815_ETF_Options_Exhibits'!T2573:T2577),"")</f>
        <v/>
      </c>
      <c r="U2577" s="3">
        <f>IF(ISNUMBER(AVERAGE('20250815_ETF_Options_Exhibits'!U2573:U2577)),AVERAGE('20250815_ETF_Options_Exhibits'!U2573:U2577),"")</f>
        <v/>
      </c>
      <c r="V2577" s="3">
        <f>IF(ISNUMBER(AVERAGE('20250815_ETF_Options_Exhibits'!V2573:V2577)),AVERAGE('20250815_ETF_Options_Exhibits'!V2573:V2577),"")</f>
        <v/>
      </c>
      <c r="W2577" s="3">
        <f>IF(ISNUMBER(AVERAGE('20250815_ETF_Options_Exhibits'!W2573:W2577)),AVERAGE('20250815_ETF_Options_Exhibits'!W2573:W2577),"")</f>
        <v/>
      </c>
      <c r="X2577" s="3">
        <f>IF(ISNUMBER(AVERAGE('20250815_ETF_Options_Exhibits'!X2573:X2577)),AVERAGE('20250815_ETF_Options_Exhibits'!X2573:X2577),"")</f>
        <v/>
      </c>
      <c r="Y2577" s="3">
        <f>IF(ISNUMBER(AVERAGE('20250815_ETF_Options_Exhibits'!Y2573:Y2577)),AVERAGE('20250815_ETF_Options_Exhibits'!Y2573:Y2577),"")</f>
        <v/>
      </c>
      <c r="Z2577" s="3">
        <f>IF(ISNUMBER(AVERAGE('20250815_ETF_Options_Exhibits'!Z2573:Z2577)),AVERAGE('20250815_ETF_Options_Exhibits'!Z2573:Z2577),"")</f>
        <v/>
      </c>
      <c r="AA2577" s="3">
        <f>IF(ISNUMBER(AVERAGE('20250815_ETF_Options_Exhibits'!AA2573:AA2577)),AVERAGE('20250815_ETF_Options_Exhibits'!AA2573:AA2577),"")</f>
        <v/>
      </c>
    </row>
    <row r="2578">
      <c r="A2578" s="1" t="n">
        <v>45747</v>
      </c>
      <c r="B2578" s="3">
        <f>IF(ISNUMBER(AVERAGE('20250815_ETF_Options_Exhibits'!B2574:B2578)),AVERAGE('20250815_ETF_Options_Exhibits'!B2574:B2578),"")</f>
        <v/>
      </c>
      <c r="C2578" s="3">
        <f>IF(ISNUMBER(AVERAGE('20250815_ETF_Options_Exhibits'!C2574:C2578)),AVERAGE('20250815_ETF_Options_Exhibits'!C2574:C2578),"")</f>
        <v/>
      </c>
      <c r="D2578" s="3">
        <f>IF(ISNUMBER(AVERAGE('20250815_ETF_Options_Exhibits'!D2574:D2578)),AVERAGE('20250815_ETF_Options_Exhibits'!D2574:D2578),"")</f>
        <v/>
      </c>
      <c r="E2578" s="3">
        <f>IF(ISNUMBER(AVERAGE('20250815_ETF_Options_Exhibits'!E2574:E2578)),AVERAGE('20250815_ETF_Options_Exhibits'!E2574:E2578),"")</f>
        <v/>
      </c>
      <c r="F2578" s="3">
        <f>IF(ISNUMBER(AVERAGE('20250815_ETF_Options_Exhibits'!F2574:F2578)),AVERAGE('20250815_ETF_Options_Exhibits'!F2574:F2578),"")</f>
        <v/>
      </c>
      <c r="G2578" s="3">
        <f>IF(ISNUMBER(AVERAGE('20250815_ETF_Options_Exhibits'!G2574:G2578)),AVERAGE('20250815_ETF_Options_Exhibits'!G2574:G2578),"")</f>
        <v/>
      </c>
      <c r="H2578" s="3">
        <f>IF(ISNUMBER(AVERAGE('20250815_ETF_Options_Exhibits'!H2574:H2578)),AVERAGE('20250815_ETF_Options_Exhibits'!H2574:H2578),"")</f>
        <v/>
      </c>
      <c r="I2578" s="3">
        <f>IF(ISNUMBER(AVERAGE('20250815_ETF_Options_Exhibits'!I2574:I2578)),AVERAGE('20250815_ETF_Options_Exhibits'!I2574:I2578),"")</f>
        <v/>
      </c>
      <c r="J2578" s="3">
        <f>IF(ISNUMBER(AVERAGE('20250815_ETF_Options_Exhibits'!J2574:J2578)),AVERAGE('20250815_ETF_Options_Exhibits'!J2574:J2578),"")</f>
        <v/>
      </c>
      <c r="K2578" s="3">
        <f>IF(ISNUMBER(AVERAGE('20250815_ETF_Options_Exhibits'!K2574:K2578)),AVERAGE('20250815_ETF_Options_Exhibits'!K2574:K2578),"")</f>
        <v/>
      </c>
      <c r="L2578" s="3">
        <f>IF(ISNUMBER(AVERAGE('20250815_ETF_Options_Exhibits'!L2574:L2578)),AVERAGE('20250815_ETF_Options_Exhibits'!L2574:L2578),"")</f>
        <v/>
      </c>
      <c r="M2578" s="3">
        <f>IF(ISNUMBER(AVERAGE('20250815_ETF_Options_Exhibits'!M2574:M2578)),AVERAGE('20250815_ETF_Options_Exhibits'!M2574:M2578),"")</f>
        <v/>
      </c>
      <c r="N2578" s="3">
        <f>IF(ISNUMBER(AVERAGE('20250815_ETF_Options_Exhibits'!N2574:N2578)),AVERAGE('20250815_ETF_Options_Exhibits'!N2574:N2578),"")</f>
        <v/>
      </c>
      <c r="O2578" s="3">
        <f>IF(ISNUMBER(AVERAGE('20250815_ETF_Options_Exhibits'!O2574:O2578)),AVERAGE('20250815_ETF_Options_Exhibits'!O2574:O2578),"")</f>
        <v/>
      </c>
      <c r="P2578" s="3">
        <f>IF(ISNUMBER(AVERAGE('20250815_ETF_Options_Exhibits'!P2574:P2578)),AVERAGE('20250815_ETF_Options_Exhibits'!P2574:P2578),"")</f>
        <v/>
      </c>
      <c r="Q2578" s="3">
        <f>IF(ISNUMBER(AVERAGE('20250815_ETF_Options_Exhibits'!Q2574:Q2578)),AVERAGE('20250815_ETF_Options_Exhibits'!Q2574:Q2578),"")</f>
        <v/>
      </c>
      <c r="R2578" s="3">
        <f>IF(ISNUMBER(AVERAGE('20250815_ETF_Options_Exhibits'!R2574:R2578)),AVERAGE('20250815_ETF_Options_Exhibits'!R2574:R2578),"")</f>
        <v/>
      </c>
      <c r="S2578" s="3">
        <f>IF(ISNUMBER(AVERAGE('20250815_ETF_Options_Exhibits'!S2574:S2578)),AVERAGE('20250815_ETF_Options_Exhibits'!S2574:S2578),"")</f>
        <v/>
      </c>
      <c r="T2578" s="3">
        <f>IF(ISNUMBER(AVERAGE('20250815_ETF_Options_Exhibits'!T2574:T2578)),AVERAGE('20250815_ETF_Options_Exhibits'!T2574:T2578),"")</f>
        <v/>
      </c>
      <c r="U2578" s="3">
        <f>IF(ISNUMBER(AVERAGE('20250815_ETF_Options_Exhibits'!U2574:U2578)),AVERAGE('20250815_ETF_Options_Exhibits'!U2574:U2578),"")</f>
        <v/>
      </c>
      <c r="V2578" s="3">
        <f>IF(ISNUMBER(AVERAGE('20250815_ETF_Options_Exhibits'!V2574:V2578)),AVERAGE('20250815_ETF_Options_Exhibits'!V2574:V2578),"")</f>
        <v/>
      </c>
      <c r="W2578" s="3">
        <f>IF(ISNUMBER(AVERAGE('20250815_ETF_Options_Exhibits'!W2574:W2578)),AVERAGE('20250815_ETF_Options_Exhibits'!W2574:W2578),"")</f>
        <v/>
      </c>
      <c r="X2578" s="3">
        <f>IF(ISNUMBER(AVERAGE('20250815_ETF_Options_Exhibits'!X2574:X2578)),AVERAGE('20250815_ETF_Options_Exhibits'!X2574:X2578),"")</f>
        <v/>
      </c>
      <c r="Y2578" s="3">
        <f>IF(ISNUMBER(AVERAGE('20250815_ETF_Options_Exhibits'!Y2574:Y2578)),AVERAGE('20250815_ETF_Options_Exhibits'!Y2574:Y2578),"")</f>
        <v/>
      </c>
      <c r="Z2578" s="3">
        <f>IF(ISNUMBER(AVERAGE('20250815_ETF_Options_Exhibits'!Z2574:Z2578)),AVERAGE('20250815_ETF_Options_Exhibits'!Z2574:Z2578),"")</f>
        <v/>
      </c>
      <c r="AA2578" s="3">
        <f>IF(ISNUMBER(AVERAGE('20250815_ETF_Options_Exhibits'!AA2574:AA2578)),AVERAGE('20250815_ETF_Options_Exhibits'!AA2574:AA2578),"")</f>
        <v/>
      </c>
    </row>
    <row r="2579">
      <c r="A2579" s="1" t="n">
        <v>45748</v>
      </c>
      <c r="B2579" s="3">
        <f>IF(ISNUMBER(AVERAGE('20250815_ETF_Options_Exhibits'!B2575:B2579)),AVERAGE('20250815_ETF_Options_Exhibits'!B2575:B2579),"")</f>
        <v/>
      </c>
      <c r="C2579" s="3">
        <f>IF(ISNUMBER(AVERAGE('20250815_ETF_Options_Exhibits'!C2575:C2579)),AVERAGE('20250815_ETF_Options_Exhibits'!C2575:C2579),"")</f>
        <v/>
      </c>
      <c r="D2579" s="3">
        <f>IF(ISNUMBER(AVERAGE('20250815_ETF_Options_Exhibits'!D2575:D2579)),AVERAGE('20250815_ETF_Options_Exhibits'!D2575:D2579),"")</f>
        <v/>
      </c>
      <c r="E2579" s="3">
        <f>IF(ISNUMBER(AVERAGE('20250815_ETF_Options_Exhibits'!E2575:E2579)),AVERAGE('20250815_ETF_Options_Exhibits'!E2575:E2579),"")</f>
        <v/>
      </c>
      <c r="F2579" s="3">
        <f>IF(ISNUMBER(AVERAGE('20250815_ETF_Options_Exhibits'!F2575:F2579)),AVERAGE('20250815_ETF_Options_Exhibits'!F2575:F2579),"")</f>
        <v/>
      </c>
      <c r="G2579" s="3">
        <f>IF(ISNUMBER(AVERAGE('20250815_ETF_Options_Exhibits'!G2575:G2579)),AVERAGE('20250815_ETF_Options_Exhibits'!G2575:G2579),"")</f>
        <v/>
      </c>
      <c r="H2579" s="3">
        <f>IF(ISNUMBER(AVERAGE('20250815_ETF_Options_Exhibits'!H2575:H2579)),AVERAGE('20250815_ETF_Options_Exhibits'!H2575:H2579),"")</f>
        <v/>
      </c>
      <c r="I2579" s="3">
        <f>IF(ISNUMBER(AVERAGE('20250815_ETF_Options_Exhibits'!I2575:I2579)),AVERAGE('20250815_ETF_Options_Exhibits'!I2575:I2579),"")</f>
        <v/>
      </c>
      <c r="J2579" s="3">
        <f>IF(ISNUMBER(AVERAGE('20250815_ETF_Options_Exhibits'!J2575:J2579)),AVERAGE('20250815_ETF_Options_Exhibits'!J2575:J2579),"")</f>
        <v/>
      </c>
      <c r="K2579" s="3">
        <f>IF(ISNUMBER(AVERAGE('20250815_ETF_Options_Exhibits'!K2575:K2579)),AVERAGE('20250815_ETF_Options_Exhibits'!K2575:K2579),"")</f>
        <v/>
      </c>
      <c r="L2579" s="3">
        <f>IF(ISNUMBER(AVERAGE('20250815_ETF_Options_Exhibits'!L2575:L2579)),AVERAGE('20250815_ETF_Options_Exhibits'!L2575:L2579),"")</f>
        <v/>
      </c>
      <c r="M2579" s="3">
        <f>IF(ISNUMBER(AVERAGE('20250815_ETF_Options_Exhibits'!M2575:M2579)),AVERAGE('20250815_ETF_Options_Exhibits'!M2575:M2579),"")</f>
        <v/>
      </c>
      <c r="N2579" s="3">
        <f>IF(ISNUMBER(AVERAGE('20250815_ETF_Options_Exhibits'!N2575:N2579)),AVERAGE('20250815_ETF_Options_Exhibits'!N2575:N2579),"")</f>
        <v/>
      </c>
      <c r="O2579" s="3">
        <f>IF(ISNUMBER(AVERAGE('20250815_ETF_Options_Exhibits'!O2575:O2579)),AVERAGE('20250815_ETF_Options_Exhibits'!O2575:O2579),"")</f>
        <v/>
      </c>
      <c r="P2579" s="3">
        <f>IF(ISNUMBER(AVERAGE('20250815_ETF_Options_Exhibits'!P2575:P2579)),AVERAGE('20250815_ETF_Options_Exhibits'!P2575:P2579),"")</f>
        <v/>
      </c>
      <c r="Q2579" s="3">
        <f>IF(ISNUMBER(AVERAGE('20250815_ETF_Options_Exhibits'!Q2575:Q2579)),AVERAGE('20250815_ETF_Options_Exhibits'!Q2575:Q2579),"")</f>
        <v/>
      </c>
      <c r="R2579" s="3">
        <f>IF(ISNUMBER(AVERAGE('20250815_ETF_Options_Exhibits'!R2575:R2579)),AVERAGE('20250815_ETF_Options_Exhibits'!R2575:R2579),"")</f>
        <v/>
      </c>
      <c r="S2579" s="3">
        <f>IF(ISNUMBER(AVERAGE('20250815_ETF_Options_Exhibits'!S2575:S2579)),AVERAGE('20250815_ETF_Options_Exhibits'!S2575:S2579),"")</f>
        <v/>
      </c>
      <c r="T2579" s="3">
        <f>IF(ISNUMBER(AVERAGE('20250815_ETF_Options_Exhibits'!T2575:T2579)),AVERAGE('20250815_ETF_Options_Exhibits'!T2575:T2579),"")</f>
        <v/>
      </c>
      <c r="U2579" s="3">
        <f>IF(ISNUMBER(AVERAGE('20250815_ETF_Options_Exhibits'!U2575:U2579)),AVERAGE('20250815_ETF_Options_Exhibits'!U2575:U2579),"")</f>
        <v/>
      </c>
      <c r="V2579" s="3">
        <f>IF(ISNUMBER(AVERAGE('20250815_ETF_Options_Exhibits'!V2575:V2579)),AVERAGE('20250815_ETF_Options_Exhibits'!V2575:V2579),"")</f>
        <v/>
      </c>
      <c r="W2579" s="3">
        <f>IF(ISNUMBER(AVERAGE('20250815_ETF_Options_Exhibits'!W2575:W2579)),AVERAGE('20250815_ETF_Options_Exhibits'!W2575:W2579),"")</f>
        <v/>
      </c>
      <c r="X2579" s="3">
        <f>IF(ISNUMBER(AVERAGE('20250815_ETF_Options_Exhibits'!X2575:X2579)),AVERAGE('20250815_ETF_Options_Exhibits'!X2575:X2579),"")</f>
        <v/>
      </c>
      <c r="Y2579" s="3">
        <f>IF(ISNUMBER(AVERAGE('20250815_ETF_Options_Exhibits'!Y2575:Y2579)),AVERAGE('20250815_ETF_Options_Exhibits'!Y2575:Y2579),"")</f>
        <v/>
      </c>
      <c r="Z2579" s="3">
        <f>IF(ISNUMBER(AVERAGE('20250815_ETF_Options_Exhibits'!Z2575:Z2579)),AVERAGE('20250815_ETF_Options_Exhibits'!Z2575:Z2579),"")</f>
        <v/>
      </c>
      <c r="AA2579" s="3">
        <f>IF(ISNUMBER(AVERAGE('20250815_ETF_Options_Exhibits'!AA2575:AA2579)),AVERAGE('20250815_ETF_Options_Exhibits'!AA2575:AA2579),"")</f>
        <v/>
      </c>
    </row>
    <row r="2580">
      <c r="A2580" s="1" t="n">
        <v>45749</v>
      </c>
      <c r="B2580" s="3">
        <f>IF(ISNUMBER(AVERAGE('20250815_ETF_Options_Exhibits'!B2576:B2580)),AVERAGE('20250815_ETF_Options_Exhibits'!B2576:B2580),"")</f>
        <v/>
      </c>
      <c r="C2580" s="3">
        <f>IF(ISNUMBER(AVERAGE('20250815_ETF_Options_Exhibits'!C2576:C2580)),AVERAGE('20250815_ETF_Options_Exhibits'!C2576:C2580),"")</f>
        <v/>
      </c>
      <c r="D2580" s="3">
        <f>IF(ISNUMBER(AVERAGE('20250815_ETF_Options_Exhibits'!D2576:D2580)),AVERAGE('20250815_ETF_Options_Exhibits'!D2576:D2580),"")</f>
        <v/>
      </c>
      <c r="E2580" s="3">
        <f>IF(ISNUMBER(AVERAGE('20250815_ETF_Options_Exhibits'!E2576:E2580)),AVERAGE('20250815_ETF_Options_Exhibits'!E2576:E2580),"")</f>
        <v/>
      </c>
      <c r="F2580" s="3">
        <f>IF(ISNUMBER(AVERAGE('20250815_ETF_Options_Exhibits'!F2576:F2580)),AVERAGE('20250815_ETF_Options_Exhibits'!F2576:F2580),"")</f>
        <v/>
      </c>
      <c r="G2580" s="3">
        <f>IF(ISNUMBER(AVERAGE('20250815_ETF_Options_Exhibits'!G2576:G2580)),AVERAGE('20250815_ETF_Options_Exhibits'!G2576:G2580),"")</f>
        <v/>
      </c>
      <c r="H2580" s="3">
        <f>IF(ISNUMBER(AVERAGE('20250815_ETF_Options_Exhibits'!H2576:H2580)),AVERAGE('20250815_ETF_Options_Exhibits'!H2576:H2580),"")</f>
        <v/>
      </c>
      <c r="I2580" s="3">
        <f>IF(ISNUMBER(AVERAGE('20250815_ETF_Options_Exhibits'!I2576:I2580)),AVERAGE('20250815_ETF_Options_Exhibits'!I2576:I2580),"")</f>
        <v/>
      </c>
      <c r="J2580" s="3">
        <f>IF(ISNUMBER(AVERAGE('20250815_ETF_Options_Exhibits'!J2576:J2580)),AVERAGE('20250815_ETF_Options_Exhibits'!J2576:J2580),"")</f>
        <v/>
      </c>
      <c r="K2580" s="3">
        <f>IF(ISNUMBER(AVERAGE('20250815_ETF_Options_Exhibits'!K2576:K2580)),AVERAGE('20250815_ETF_Options_Exhibits'!K2576:K2580),"")</f>
        <v/>
      </c>
      <c r="L2580" s="3">
        <f>IF(ISNUMBER(AVERAGE('20250815_ETF_Options_Exhibits'!L2576:L2580)),AVERAGE('20250815_ETF_Options_Exhibits'!L2576:L2580),"")</f>
        <v/>
      </c>
      <c r="M2580" s="3">
        <f>IF(ISNUMBER(AVERAGE('20250815_ETF_Options_Exhibits'!M2576:M2580)),AVERAGE('20250815_ETF_Options_Exhibits'!M2576:M2580),"")</f>
        <v/>
      </c>
      <c r="N2580" s="3">
        <f>IF(ISNUMBER(AVERAGE('20250815_ETF_Options_Exhibits'!N2576:N2580)),AVERAGE('20250815_ETF_Options_Exhibits'!N2576:N2580),"")</f>
        <v/>
      </c>
      <c r="O2580" s="3">
        <f>IF(ISNUMBER(AVERAGE('20250815_ETF_Options_Exhibits'!O2576:O2580)),AVERAGE('20250815_ETF_Options_Exhibits'!O2576:O2580),"")</f>
        <v/>
      </c>
      <c r="P2580" s="3">
        <f>IF(ISNUMBER(AVERAGE('20250815_ETF_Options_Exhibits'!P2576:P2580)),AVERAGE('20250815_ETF_Options_Exhibits'!P2576:P2580),"")</f>
        <v/>
      </c>
      <c r="Q2580" s="3">
        <f>IF(ISNUMBER(AVERAGE('20250815_ETF_Options_Exhibits'!Q2576:Q2580)),AVERAGE('20250815_ETF_Options_Exhibits'!Q2576:Q2580),"")</f>
        <v/>
      </c>
      <c r="R2580" s="3">
        <f>IF(ISNUMBER(AVERAGE('20250815_ETF_Options_Exhibits'!R2576:R2580)),AVERAGE('20250815_ETF_Options_Exhibits'!R2576:R2580),"")</f>
        <v/>
      </c>
      <c r="S2580" s="3">
        <f>IF(ISNUMBER(AVERAGE('20250815_ETF_Options_Exhibits'!S2576:S2580)),AVERAGE('20250815_ETF_Options_Exhibits'!S2576:S2580),"")</f>
        <v/>
      </c>
      <c r="T2580" s="3">
        <f>IF(ISNUMBER(AVERAGE('20250815_ETF_Options_Exhibits'!T2576:T2580)),AVERAGE('20250815_ETF_Options_Exhibits'!T2576:T2580),"")</f>
        <v/>
      </c>
      <c r="U2580" s="3">
        <f>IF(ISNUMBER(AVERAGE('20250815_ETF_Options_Exhibits'!U2576:U2580)),AVERAGE('20250815_ETF_Options_Exhibits'!U2576:U2580),"")</f>
        <v/>
      </c>
      <c r="V2580" s="3">
        <f>IF(ISNUMBER(AVERAGE('20250815_ETF_Options_Exhibits'!V2576:V2580)),AVERAGE('20250815_ETF_Options_Exhibits'!V2576:V2580),"")</f>
        <v/>
      </c>
      <c r="W2580" s="3">
        <f>IF(ISNUMBER(AVERAGE('20250815_ETF_Options_Exhibits'!W2576:W2580)),AVERAGE('20250815_ETF_Options_Exhibits'!W2576:W2580),"")</f>
        <v/>
      </c>
      <c r="X2580" s="3">
        <f>IF(ISNUMBER(AVERAGE('20250815_ETF_Options_Exhibits'!X2576:X2580)),AVERAGE('20250815_ETF_Options_Exhibits'!X2576:X2580),"")</f>
        <v/>
      </c>
      <c r="Y2580" s="3">
        <f>IF(ISNUMBER(AVERAGE('20250815_ETF_Options_Exhibits'!Y2576:Y2580)),AVERAGE('20250815_ETF_Options_Exhibits'!Y2576:Y2580),"")</f>
        <v/>
      </c>
      <c r="Z2580" s="3">
        <f>IF(ISNUMBER(AVERAGE('20250815_ETF_Options_Exhibits'!Z2576:Z2580)),AVERAGE('20250815_ETF_Options_Exhibits'!Z2576:Z2580),"")</f>
        <v/>
      </c>
      <c r="AA2580" s="3">
        <f>IF(ISNUMBER(AVERAGE('20250815_ETF_Options_Exhibits'!AA2576:AA2580)),AVERAGE('20250815_ETF_Options_Exhibits'!AA2576:AA2580),"")</f>
        <v/>
      </c>
    </row>
    <row r="2581">
      <c r="A2581" s="1" t="n">
        <v>45750</v>
      </c>
      <c r="B2581" s="3">
        <f>IF(ISNUMBER(AVERAGE('20250815_ETF_Options_Exhibits'!B2577:B2581)),AVERAGE('20250815_ETF_Options_Exhibits'!B2577:B2581),"")</f>
        <v/>
      </c>
      <c r="C2581" s="3">
        <f>IF(ISNUMBER(AVERAGE('20250815_ETF_Options_Exhibits'!C2577:C2581)),AVERAGE('20250815_ETF_Options_Exhibits'!C2577:C2581),"")</f>
        <v/>
      </c>
      <c r="D2581" s="3">
        <f>IF(ISNUMBER(AVERAGE('20250815_ETF_Options_Exhibits'!D2577:D2581)),AVERAGE('20250815_ETF_Options_Exhibits'!D2577:D2581),"")</f>
        <v/>
      </c>
      <c r="E2581" s="3">
        <f>IF(ISNUMBER(AVERAGE('20250815_ETF_Options_Exhibits'!E2577:E2581)),AVERAGE('20250815_ETF_Options_Exhibits'!E2577:E2581),"")</f>
        <v/>
      </c>
      <c r="F2581" s="3">
        <f>IF(ISNUMBER(AVERAGE('20250815_ETF_Options_Exhibits'!F2577:F2581)),AVERAGE('20250815_ETF_Options_Exhibits'!F2577:F2581),"")</f>
        <v/>
      </c>
      <c r="G2581" s="3">
        <f>IF(ISNUMBER(AVERAGE('20250815_ETF_Options_Exhibits'!G2577:G2581)),AVERAGE('20250815_ETF_Options_Exhibits'!G2577:G2581),"")</f>
        <v/>
      </c>
      <c r="H2581" s="3">
        <f>IF(ISNUMBER(AVERAGE('20250815_ETF_Options_Exhibits'!H2577:H2581)),AVERAGE('20250815_ETF_Options_Exhibits'!H2577:H2581),"")</f>
        <v/>
      </c>
      <c r="I2581" s="3">
        <f>IF(ISNUMBER(AVERAGE('20250815_ETF_Options_Exhibits'!I2577:I2581)),AVERAGE('20250815_ETF_Options_Exhibits'!I2577:I2581),"")</f>
        <v/>
      </c>
      <c r="J2581" s="3">
        <f>IF(ISNUMBER(AVERAGE('20250815_ETF_Options_Exhibits'!J2577:J2581)),AVERAGE('20250815_ETF_Options_Exhibits'!J2577:J2581),"")</f>
        <v/>
      </c>
      <c r="K2581" s="3">
        <f>IF(ISNUMBER(AVERAGE('20250815_ETF_Options_Exhibits'!K2577:K2581)),AVERAGE('20250815_ETF_Options_Exhibits'!K2577:K2581),"")</f>
        <v/>
      </c>
      <c r="L2581" s="3">
        <f>IF(ISNUMBER(AVERAGE('20250815_ETF_Options_Exhibits'!L2577:L2581)),AVERAGE('20250815_ETF_Options_Exhibits'!L2577:L2581),"")</f>
        <v/>
      </c>
      <c r="M2581" s="3">
        <f>IF(ISNUMBER(AVERAGE('20250815_ETF_Options_Exhibits'!M2577:M2581)),AVERAGE('20250815_ETF_Options_Exhibits'!M2577:M2581),"")</f>
        <v/>
      </c>
      <c r="N2581" s="3">
        <f>IF(ISNUMBER(AVERAGE('20250815_ETF_Options_Exhibits'!N2577:N2581)),AVERAGE('20250815_ETF_Options_Exhibits'!N2577:N2581),"")</f>
        <v/>
      </c>
      <c r="O2581" s="3">
        <f>IF(ISNUMBER(AVERAGE('20250815_ETF_Options_Exhibits'!O2577:O2581)),AVERAGE('20250815_ETF_Options_Exhibits'!O2577:O2581),"")</f>
        <v/>
      </c>
      <c r="P2581" s="3">
        <f>IF(ISNUMBER(AVERAGE('20250815_ETF_Options_Exhibits'!P2577:P2581)),AVERAGE('20250815_ETF_Options_Exhibits'!P2577:P2581),"")</f>
        <v/>
      </c>
      <c r="Q2581" s="3">
        <f>IF(ISNUMBER(AVERAGE('20250815_ETF_Options_Exhibits'!Q2577:Q2581)),AVERAGE('20250815_ETF_Options_Exhibits'!Q2577:Q2581),"")</f>
        <v/>
      </c>
      <c r="R2581" s="3">
        <f>IF(ISNUMBER(AVERAGE('20250815_ETF_Options_Exhibits'!R2577:R2581)),AVERAGE('20250815_ETF_Options_Exhibits'!R2577:R2581),"")</f>
        <v/>
      </c>
      <c r="S2581" s="3">
        <f>IF(ISNUMBER(AVERAGE('20250815_ETF_Options_Exhibits'!S2577:S2581)),AVERAGE('20250815_ETF_Options_Exhibits'!S2577:S2581),"")</f>
        <v/>
      </c>
      <c r="T2581" s="3">
        <f>IF(ISNUMBER(AVERAGE('20250815_ETF_Options_Exhibits'!T2577:T2581)),AVERAGE('20250815_ETF_Options_Exhibits'!T2577:T2581),"")</f>
        <v/>
      </c>
      <c r="U2581" s="3">
        <f>IF(ISNUMBER(AVERAGE('20250815_ETF_Options_Exhibits'!U2577:U2581)),AVERAGE('20250815_ETF_Options_Exhibits'!U2577:U2581),"")</f>
        <v/>
      </c>
      <c r="V2581" s="3">
        <f>IF(ISNUMBER(AVERAGE('20250815_ETF_Options_Exhibits'!V2577:V2581)),AVERAGE('20250815_ETF_Options_Exhibits'!V2577:V2581),"")</f>
        <v/>
      </c>
      <c r="W2581" s="3">
        <f>IF(ISNUMBER(AVERAGE('20250815_ETF_Options_Exhibits'!W2577:W2581)),AVERAGE('20250815_ETF_Options_Exhibits'!W2577:W2581),"")</f>
        <v/>
      </c>
      <c r="X2581" s="3">
        <f>IF(ISNUMBER(AVERAGE('20250815_ETF_Options_Exhibits'!X2577:X2581)),AVERAGE('20250815_ETF_Options_Exhibits'!X2577:X2581),"")</f>
        <v/>
      </c>
      <c r="Y2581" s="3">
        <f>IF(ISNUMBER(AVERAGE('20250815_ETF_Options_Exhibits'!Y2577:Y2581)),AVERAGE('20250815_ETF_Options_Exhibits'!Y2577:Y2581),"")</f>
        <v/>
      </c>
      <c r="Z2581" s="3">
        <f>IF(ISNUMBER(AVERAGE('20250815_ETF_Options_Exhibits'!Z2577:Z2581)),AVERAGE('20250815_ETF_Options_Exhibits'!Z2577:Z2581),"")</f>
        <v/>
      </c>
      <c r="AA2581" s="3">
        <f>IF(ISNUMBER(AVERAGE('20250815_ETF_Options_Exhibits'!AA2577:AA2581)),AVERAGE('20250815_ETF_Options_Exhibits'!AA2577:AA2581),"")</f>
        <v/>
      </c>
    </row>
    <row r="2582">
      <c r="A2582" s="1" t="n">
        <v>45751</v>
      </c>
      <c r="B2582" s="3">
        <f>IF(ISNUMBER(AVERAGE('20250815_ETF_Options_Exhibits'!B2578:B2582)),AVERAGE('20250815_ETF_Options_Exhibits'!B2578:B2582),"")</f>
        <v/>
      </c>
      <c r="C2582" s="3">
        <f>IF(ISNUMBER(AVERAGE('20250815_ETF_Options_Exhibits'!C2578:C2582)),AVERAGE('20250815_ETF_Options_Exhibits'!C2578:C2582),"")</f>
        <v/>
      </c>
      <c r="D2582" s="3">
        <f>IF(ISNUMBER(AVERAGE('20250815_ETF_Options_Exhibits'!D2578:D2582)),AVERAGE('20250815_ETF_Options_Exhibits'!D2578:D2582),"")</f>
        <v/>
      </c>
      <c r="E2582" s="3">
        <f>IF(ISNUMBER(AVERAGE('20250815_ETF_Options_Exhibits'!E2578:E2582)),AVERAGE('20250815_ETF_Options_Exhibits'!E2578:E2582),"")</f>
        <v/>
      </c>
      <c r="F2582" s="3">
        <f>IF(ISNUMBER(AVERAGE('20250815_ETF_Options_Exhibits'!F2578:F2582)),AVERAGE('20250815_ETF_Options_Exhibits'!F2578:F2582),"")</f>
        <v/>
      </c>
      <c r="G2582" s="3">
        <f>IF(ISNUMBER(AVERAGE('20250815_ETF_Options_Exhibits'!G2578:G2582)),AVERAGE('20250815_ETF_Options_Exhibits'!G2578:G2582),"")</f>
        <v/>
      </c>
      <c r="H2582" s="3">
        <f>IF(ISNUMBER(AVERAGE('20250815_ETF_Options_Exhibits'!H2578:H2582)),AVERAGE('20250815_ETF_Options_Exhibits'!H2578:H2582),"")</f>
        <v/>
      </c>
      <c r="I2582" s="3">
        <f>IF(ISNUMBER(AVERAGE('20250815_ETF_Options_Exhibits'!I2578:I2582)),AVERAGE('20250815_ETF_Options_Exhibits'!I2578:I2582),"")</f>
        <v/>
      </c>
      <c r="J2582" s="3">
        <f>IF(ISNUMBER(AVERAGE('20250815_ETF_Options_Exhibits'!J2578:J2582)),AVERAGE('20250815_ETF_Options_Exhibits'!J2578:J2582),"")</f>
        <v/>
      </c>
      <c r="K2582" s="3">
        <f>IF(ISNUMBER(AVERAGE('20250815_ETF_Options_Exhibits'!K2578:K2582)),AVERAGE('20250815_ETF_Options_Exhibits'!K2578:K2582),"")</f>
        <v/>
      </c>
      <c r="L2582" s="3">
        <f>IF(ISNUMBER(AVERAGE('20250815_ETF_Options_Exhibits'!L2578:L2582)),AVERAGE('20250815_ETF_Options_Exhibits'!L2578:L2582),"")</f>
        <v/>
      </c>
      <c r="M2582" s="3">
        <f>IF(ISNUMBER(AVERAGE('20250815_ETF_Options_Exhibits'!M2578:M2582)),AVERAGE('20250815_ETF_Options_Exhibits'!M2578:M2582),"")</f>
        <v/>
      </c>
      <c r="N2582" s="3">
        <f>IF(ISNUMBER(AVERAGE('20250815_ETF_Options_Exhibits'!N2578:N2582)),AVERAGE('20250815_ETF_Options_Exhibits'!N2578:N2582),"")</f>
        <v/>
      </c>
      <c r="O2582" s="3">
        <f>IF(ISNUMBER(AVERAGE('20250815_ETF_Options_Exhibits'!O2578:O2582)),AVERAGE('20250815_ETF_Options_Exhibits'!O2578:O2582),"")</f>
        <v/>
      </c>
      <c r="P2582" s="3">
        <f>IF(ISNUMBER(AVERAGE('20250815_ETF_Options_Exhibits'!P2578:P2582)),AVERAGE('20250815_ETF_Options_Exhibits'!P2578:P2582),"")</f>
        <v/>
      </c>
      <c r="Q2582" s="3">
        <f>IF(ISNUMBER(AVERAGE('20250815_ETF_Options_Exhibits'!Q2578:Q2582)),AVERAGE('20250815_ETF_Options_Exhibits'!Q2578:Q2582),"")</f>
        <v/>
      </c>
      <c r="R2582" s="3">
        <f>IF(ISNUMBER(AVERAGE('20250815_ETF_Options_Exhibits'!R2578:R2582)),AVERAGE('20250815_ETF_Options_Exhibits'!R2578:R2582),"")</f>
        <v/>
      </c>
      <c r="S2582" s="3">
        <f>IF(ISNUMBER(AVERAGE('20250815_ETF_Options_Exhibits'!S2578:S2582)),AVERAGE('20250815_ETF_Options_Exhibits'!S2578:S2582),"")</f>
        <v/>
      </c>
      <c r="T2582" s="3">
        <f>IF(ISNUMBER(AVERAGE('20250815_ETF_Options_Exhibits'!T2578:T2582)),AVERAGE('20250815_ETF_Options_Exhibits'!T2578:T2582),"")</f>
        <v/>
      </c>
      <c r="U2582" s="3">
        <f>IF(ISNUMBER(AVERAGE('20250815_ETF_Options_Exhibits'!U2578:U2582)),AVERAGE('20250815_ETF_Options_Exhibits'!U2578:U2582),"")</f>
        <v/>
      </c>
      <c r="V2582" s="3">
        <f>IF(ISNUMBER(AVERAGE('20250815_ETF_Options_Exhibits'!V2578:V2582)),AVERAGE('20250815_ETF_Options_Exhibits'!V2578:V2582),"")</f>
        <v/>
      </c>
      <c r="W2582" s="3">
        <f>IF(ISNUMBER(AVERAGE('20250815_ETF_Options_Exhibits'!W2578:W2582)),AVERAGE('20250815_ETF_Options_Exhibits'!W2578:W2582),"")</f>
        <v/>
      </c>
      <c r="X2582" s="3">
        <f>IF(ISNUMBER(AVERAGE('20250815_ETF_Options_Exhibits'!X2578:X2582)),AVERAGE('20250815_ETF_Options_Exhibits'!X2578:X2582),"")</f>
        <v/>
      </c>
      <c r="Y2582" s="3">
        <f>IF(ISNUMBER(AVERAGE('20250815_ETF_Options_Exhibits'!Y2578:Y2582)),AVERAGE('20250815_ETF_Options_Exhibits'!Y2578:Y2582),"")</f>
        <v/>
      </c>
      <c r="Z2582" s="3">
        <f>IF(ISNUMBER(AVERAGE('20250815_ETF_Options_Exhibits'!Z2578:Z2582)),AVERAGE('20250815_ETF_Options_Exhibits'!Z2578:Z2582),"")</f>
        <v/>
      </c>
      <c r="AA2582" s="3">
        <f>IF(ISNUMBER(AVERAGE('20250815_ETF_Options_Exhibits'!AA2578:AA2582)),AVERAGE('20250815_ETF_Options_Exhibits'!AA2578:AA2582),"")</f>
        <v/>
      </c>
    </row>
    <row r="2583">
      <c r="A2583" s="1" t="n">
        <v>45754</v>
      </c>
      <c r="B2583" s="3">
        <f>IF(ISNUMBER(AVERAGE('20250815_ETF_Options_Exhibits'!B2579:B2583)),AVERAGE('20250815_ETF_Options_Exhibits'!B2579:B2583),"")</f>
        <v/>
      </c>
      <c r="C2583" s="3">
        <f>IF(ISNUMBER(AVERAGE('20250815_ETF_Options_Exhibits'!C2579:C2583)),AVERAGE('20250815_ETF_Options_Exhibits'!C2579:C2583),"")</f>
        <v/>
      </c>
      <c r="D2583" s="3">
        <f>IF(ISNUMBER(AVERAGE('20250815_ETF_Options_Exhibits'!D2579:D2583)),AVERAGE('20250815_ETF_Options_Exhibits'!D2579:D2583),"")</f>
        <v/>
      </c>
      <c r="E2583" s="3">
        <f>IF(ISNUMBER(AVERAGE('20250815_ETF_Options_Exhibits'!E2579:E2583)),AVERAGE('20250815_ETF_Options_Exhibits'!E2579:E2583),"")</f>
        <v/>
      </c>
      <c r="F2583" s="3">
        <f>IF(ISNUMBER(AVERAGE('20250815_ETF_Options_Exhibits'!F2579:F2583)),AVERAGE('20250815_ETF_Options_Exhibits'!F2579:F2583),"")</f>
        <v/>
      </c>
      <c r="G2583" s="3">
        <f>IF(ISNUMBER(AVERAGE('20250815_ETF_Options_Exhibits'!G2579:G2583)),AVERAGE('20250815_ETF_Options_Exhibits'!G2579:G2583),"")</f>
        <v/>
      </c>
      <c r="H2583" s="3">
        <f>IF(ISNUMBER(AVERAGE('20250815_ETF_Options_Exhibits'!H2579:H2583)),AVERAGE('20250815_ETF_Options_Exhibits'!H2579:H2583),"")</f>
        <v/>
      </c>
      <c r="I2583" s="3">
        <f>IF(ISNUMBER(AVERAGE('20250815_ETF_Options_Exhibits'!I2579:I2583)),AVERAGE('20250815_ETF_Options_Exhibits'!I2579:I2583),"")</f>
        <v/>
      </c>
      <c r="J2583" s="3">
        <f>IF(ISNUMBER(AVERAGE('20250815_ETF_Options_Exhibits'!J2579:J2583)),AVERAGE('20250815_ETF_Options_Exhibits'!J2579:J2583),"")</f>
        <v/>
      </c>
      <c r="K2583" s="3">
        <f>IF(ISNUMBER(AVERAGE('20250815_ETF_Options_Exhibits'!K2579:K2583)),AVERAGE('20250815_ETF_Options_Exhibits'!K2579:K2583),"")</f>
        <v/>
      </c>
      <c r="L2583" s="3">
        <f>IF(ISNUMBER(AVERAGE('20250815_ETF_Options_Exhibits'!L2579:L2583)),AVERAGE('20250815_ETF_Options_Exhibits'!L2579:L2583),"")</f>
        <v/>
      </c>
      <c r="M2583" s="3">
        <f>IF(ISNUMBER(AVERAGE('20250815_ETF_Options_Exhibits'!M2579:M2583)),AVERAGE('20250815_ETF_Options_Exhibits'!M2579:M2583),"")</f>
        <v/>
      </c>
      <c r="N2583" s="3">
        <f>IF(ISNUMBER(AVERAGE('20250815_ETF_Options_Exhibits'!N2579:N2583)),AVERAGE('20250815_ETF_Options_Exhibits'!N2579:N2583),"")</f>
        <v/>
      </c>
      <c r="O2583" s="3">
        <f>IF(ISNUMBER(AVERAGE('20250815_ETF_Options_Exhibits'!O2579:O2583)),AVERAGE('20250815_ETF_Options_Exhibits'!O2579:O2583),"")</f>
        <v/>
      </c>
      <c r="P2583" s="3">
        <f>IF(ISNUMBER(AVERAGE('20250815_ETF_Options_Exhibits'!P2579:P2583)),AVERAGE('20250815_ETF_Options_Exhibits'!P2579:P2583),"")</f>
        <v/>
      </c>
      <c r="Q2583" s="3">
        <f>IF(ISNUMBER(AVERAGE('20250815_ETF_Options_Exhibits'!Q2579:Q2583)),AVERAGE('20250815_ETF_Options_Exhibits'!Q2579:Q2583),"")</f>
        <v/>
      </c>
      <c r="R2583" s="3">
        <f>IF(ISNUMBER(AVERAGE('20250815_ETF_Options_Exhibits'!R2579:R2583)),AVERAGE('20250815_ETF_Options_Exhibits'!R2579:R2583),"")</f>
        <v/>
      </c>
      <c r="S2583" s="3">
        <f>IF(ISNUMBER(AVERAGE('20250815_ETF_Options_Exhibits'!S2579:S2583)),AVERAGE('20250815_ETF_Options_Exhibits'!S2579:S2583),"")</f>
        <v/>
      </c>
      <c r="T2583" s="3">
        <f>IF(ISNUMBER(AVERAGE('20250815_ETF_Options_Exhibits'!T2579:T2583)),AVERAGE('20250815_ETF_Options_Exhibits'!T2579:T2583),"")</f>
        <v/>
      </c>
      <c r="U2583" s="3">
        <f>IF(ISNUMBER(AVERAGE('20250815_ETF_Options_Exhibits'!U2579:U2583)),AVERAGE('20250815_ETF_Options_Exhibits'!U2579:U2583),"")</f>
        <v/>
      </c>
      <c r="V2583" s="3">
        <f>IF(ISNUMBER(AVERAGE('20250815_ETF_Options_Exhibits'!V2579:V2583)),AVERAGE('20250815_ETF_Options_Exhibits'!V2579:V2583),"")</f>
        <v/>
      </c>
      <c r="W2583" s="3">
        <f>IF(ISNUMBER(AVERAGE('20250815_ETF_Options_Exhibits'!W2579:W2583)),AVERAGE('20250815_ETF_Options_Exhibits'!W2579:W2583),"")</f>
        <v/>
      </c>
      <c r="X2583" s="3">
        <f>IF(ISNUMBER(AVERAGE('20250815_ETF_Options_Exhibits'!X2579:X2583)),AVERAGE('20250815_ETF_Options_Exhibits'!X2579:X2583),"")</f>
        <v/>
      </c>
      <c r="Y2583" s="3">
        <f>IF(ISNUMBER(AVERAGE('20250815_ETF_Options_Exhibits'!Y2579:Y2583)),AVERAGE('20250815_ETF_Options_Exhibits'!Y2579:Y2583),"")</f>
        <v/>
      </c>
      <c r="Z2583" s="3">
        <f>IF(ISNUMBER(AVERAGE('20250815_ETF_Options_Exhibits'!Z2579:Z2583)),AVERAGE('20250815_ETF_Options_Exhibits'!Z2579:Z2583),"")</f>
        <v/>
      </c>
      <c r="AA2583" s="3">
        <f>IF(ISNUMBER(AVERAGE('20250815_ETF_Options_Exhibits'!AA2579:AA2583)),AVERAGE('20250815_ETF_Options_Exhibits'!AA2579:AA2583),"")</f>
        <v/>
      </c>
    </row>
    <row r="2584">
      <c r="A2584" s="1" t="n">
        <v>45755</v>
      </c>
      <c r="B2584" s="3">
        <f>IF(ISNUMBER(AVERAGE('20250815_ETF_Options_Exhibits'!B2580:B2584)),AVERAGE('20250815_ETF_Options_Exhibits'!B2580:B2584),"")</f>
        <v/>
      </c>
      <c r="C2584" s="3">
        <f>IF(ISNUMBER(AVERAGE('20250815_ETF_Options_Exhibits'!C2580:C2584)),AVERAGE('20250815_ETF_Options_Exhibits'!C2580:C2584),"")</f>
        <v/>
      </c>
      <c r="D2584" s="3">
        <f>IF(ISNUMBER(AVERAGE('20250815_ETF_Options_Exhibits'!D2580:D2584)),AVERAGE('20250815_ETF_Options_Exhibits'!D2580:D2584),"")</f>
        <v/>
      </c>
      <c r="E2584" s="3">
        <f>IF(ISNUMBER(AVERAGE('20250815_ETF_Options_Exhibits'!E2580:E2584)),AVERAGE('20250815_ETF_Options_Exhibits'!E2580:E2584),"")</f>
        <v/>
      </c>
      <c r="F2584" s="3">
        <f>IF(ISNUMBER(AVERAGE('20250815_ETF_Options_Exhibits'!F2580:F2584)),AVERAGE('20250815_ETF_Options_Exhibits'!F2580:F2584),"")</f>
        <v/>
      </c>
      <c r="G2584" s="3">
        <f>IF(ISNUMBER(AVERAGE('20250815_ETF_Options_Exhibits'!G2580:G2584)),AVERAGE('20250815_ETF_Options_Exhibits'!G2580:G2584),"")</f>
        <v/>
      </c>
      <c r="H2584" s="3">
        <f>IF(ISNUMBER(AVERAGE('20250815_ETF_Options_Exhibits'!H2580:H2584)),AVERAGE('20250815_ETF_Options_Exhibits'!H2580:H2584),"")</f>
        <v/>
      </c>
      <c r="I2584" s="3">
        <f>IF(ISNUMBER(AVERAGE('20250815_ETF_Options_Exhibits'!I2580:I2584)),AVERAGE('20250815_ETF_Options_Exhibits'!I2580:I2584),"")</f>
        <v/>
      </c>
      <c r="J2584" s="3">
        <f>IF(ISNUMBER(AVERAGE('20250815_ETF_Options_Exhibits'!J2580:J2584)),AVERAGE('20250815_ETF_Options_Exhibits'!J2580:J2584),"")</f>
        <v/>
      </c>
      <c r="K2584" s="3">
        <f>IF(ISNUMBER(AVERAGE('20250815_ETF_Options_Exhibits'!K2580:K2584)),AVERAGE('20250815_ETF_Options_Exhibits'!K2580:K2584),"")</f>
        <v/>
      </c>
      <c r="L2584" s="3">
        <f>IF(ISNUMBER(AVERAGE('20250815_ETF_Options_Exhibits'!L2580:L2584)),AVERAGE('20250815_ETF_Options_Exhibits'!L2580:L2584),"")</f>
        <v/>
      </c>
      <c r="M2584" s="3">
        <f>IF(ISNUMBER(AVERAGE('20250815_ETF_Options_Exhibits'!M2580:M2584)),AVERAGE('20250815_ETF_Options_Exhibits'!M2580:M2584),"")</f>
        <v/>
      </c>
      <c r="N2584" s="3">
        <f>IF(ISNUMBER(AVERAGE('20250815_ETF_Options_Exhibits'!N2580:N2584)),AVERAGE('20250815_ETF_Options_Exhibits'!N2580:N2584),"")</f>
        <v/>
      </c>
      <c r="O2584" s="3">
        <f>IF(ISNUMBER(AVERAGE('20250815_ETF_Options_Exhibits'!O2580:O2584)),AVERAGE('20250815_ETF_Options_Exhibits'!O2580:O2584),"")</f>
        <v/>
      </c>
      <c r="P2584" s="3">
        <f>IF(ISNUMBER(AVERAGE('20250815_ETF_Options_Exhibits'!P2580:P2584)),AVERAGE('20250815_ETF_Options_Exhibits'!P2580:P2584),"")</f>
        <v/>
      </c>
      <c r="Q2584" s="3">
        <f>IF(ISNUMBER(AVERAGE('20250815_ETF_Options_Exhibits'!Q2580:Q2584)),AVERAGE('20250815_ETF_Options_Exhibits'!Q2580:Q2584),"")</f>
        <v/>
      </c>
      <c r="R2584" s="3">
        <f>IF(ISNUMBER(AVERAGE('20250815_ETF_Options_Exhibits'!R2580:R2584)),AVERAGE('20250815_ETF_Options_Exhibits'!R2580:R2584),"")</f>
        <v/>
      </c>
      <c r="S2584" s="3">
        <f>IF(ISNUMBER(AVERAGE('20250815_ETF_Options_Exhibits'!S2580:S2584)),AVERAGE('20250815_ETF_Options_Exhibits'!S2580:S2584),"")</f>
        <v/>
      </c>
      <c r="T2584" s="3">
        <f>IF(ISNUMBER(AVERAGE('20250815_ETF_Options_Exhibits'!T2580:T2584)),AVERAGE('20250815_ETF_Options_Exhibits'!T2580:T2584),"")</f>
        <v/>
      </c>
      <c r="U2584" s="3">
        <f>IF(ISNUMBER(AVERAGE('20250815_ETF_Options_Exhibits'!U2580:U2584)),AVERAGE('20250815_ETF_Options_Exhibits'!U2580:U2584),"")</f>
        <v/>
      </c>
      <c r="V2584" s="3">
        <f>IF(ISNUMBER(AVERAGE('20250815_ETF_Options_Exhibits'!V2580:V2584)),AVERAGE('20250815_ETF_Options_Exhibits'!V2580:V2584),"")</f>
        <v/>
      </c>
      <c r="W2584" s="3">
        <f>IF(ISNUMBER(AVERAGE('20250815_ETF_Options_Exhibits'!W2580:W2584)),AVERAGE('20250815_ETF_Options_Exhibits'!W2580:W2584),"")</f>
        <v/>
      </c>
      <c r="X2584" s="3">
        <f>IF(ISNUMBER(AVERAGE('20250815_ETF_Options_Exhibits'!X2580:X2584)),AVERAGE('20250815_ETF_Options_Exhibits'!X2580:X2584),"")</f>
        <v/>
      </c>
      <c r="Y2584" s="3">
        <f>IF(ISNUMBER(AVERAGE('20250815_ETF_Options_Exhibits'!Y2580:Y2584)),AVERAGE('20250815_ETF_Options_Exhibits'!Y2580:Y2584),"")</f>
        <v/>
      </c>
      <c r="Z2584" s="3">
        <f>IF(ISNUMBER(AVERAGE('20250815_ETF_Options_Exhibits'!Z2580:Z2584)),AVERAGE('20250815_ETF_Options_Exhibits'!Z2580:Z2584),"")</f>
        <v/>
      </c>
      <c r="AA2584" s="3">
        <f>IF(ISNUMBER(AVERAGE('20250815_ETF_Options_Exhibits'!AA2580:AA2584)),AVERAGE('20250815_ETF_Options_Exhibits'!AA2580:AA2584),"")</f>
        <v/>
      </c>
    </row>
    <row r="2585">
      <c r="A2585" s="1" t="n">
        <v>45756</v>
      </c>
      <c r="B2585" s="3">
        <f>IF(ISNUMBER(AVERAGE('20250815_ETF_Options_Exhibits'!B2581:B2585)),AVERAGE('20250815_ETF_Options_Exhibits'!B2581:B2585),"")</f>
        <v/>
      </c>
      <c r="C2585" s="3">
        <f>IF(ISNUMBER(AVERAGE('20250815_ETF_Options_Exhibits'!C2581:C2585)),AVERAGE('20250815_ETF_Options_Exhibits'!C2581:C2585),"")</f>
        <v/>
      </c>
      <c r="D2585" s="3">
        <f>IF(ISNUMBER(AVERAGE('20250815_ETF_Options_Exhibits'!D2581:D2585)),AVERAGE('20250815_ETF_Options_Exhibits'!D2581:D2585),"")</f>
        <v/>
      </c>
      <c r="E2585" s="3">
        <f>IF(ISNUMBER(AVERAGE('20250815_ETF_Options_Exhibits'!E2581:E2585)),AVERAGE('20250815_ETF_Options_Exhibits'!E2581:E2585),"")</f>
        <v/>
      </c>
      <c r="F2585" s="3">
        <f>IF(ISNUMBER(AVERAGE('20250815_ETF_Options_Exhibits'!F2581:F2585)),AVERAGE('20250815_ETF_Options_Exhibits'!F2581:F2585),"")</f>
        <v/>
      </c>
      <c r="G2585" s="3">
        <f>IF(ISNUMBER(AVERAGE('20250815_ETF_Options_Exhibits'!G2581:G2585)),AVERAGE('20250815_ETF_Options_Exhibits'!G2581:G2585),"")</f>
        <v/>
      </c>
      <c r="H2585" s="3">
        <f>IF(ISNUMBER(AVERAGE('20250815_ETF_Options_Exhibits'!H2581:H2585)),AVERAGE('20250815_ETF_Options_Exhibits'!H2581:H2585),"")</f>
        <v/>
      </c>
      <c r="I2585" s="3">
        <f>IF(ISNUMBER(AVERAGE('20250815_ETF_Options_Exhibits'!I2581:I2585)),AVERAGE('20250815_ETF_Options_Exhibits'!I2581:I2585),"")</f>
        <v/>
      </c>
      <c r="J2585" s="3">
        <f>IF(ISNUMBER(AVERAGE('20250815_ETF_Options_Exhibits'!J2581:J2585)),AVERAGE('20250815_ETF_Options_Exhibits'!J2581:J2585),"")</f>
        <v/>
      </c>
      <c r="K2585" s="3">
        <f>IF(ISNUMBER(AVERAGE('20250815_ETF_Options_Exhibits'!K2581:K2585)),AVERAGE('20250815_ETF_Options_Exhibits'!K2581:K2585),"")</f>
        <v/>
      </c>
      <c r="L2585" s="3">
        <f>IF(ISNUMBER(AVERAGE('20250815_ETF_Options_Exhibits'!L2581:L2585)),AVERAGE('20250815_ETF_Options_Exhibits'!L2581:L2585),"")</f>
        <v/>
      </c>
      <c r="M2585" s="3">
        <f>IF(ISNUMBER(AVERAGE('20250815_ETF_Options_Exhibits'!M2581:M2585)),AVERAGE('20250815_ETF_Options_Exhibits'!M2581:M2585),"")</f>
        <v/>
      </c>
      <c r="N2585" s="3">
        <f>IF(ISNUMBER(AVERAGE('20250815_ETF_Options_Exhibits'!N2581:N2585)),AVERAGE('20250815_ETF_Options_Exhibits'!N2581:N2585),"")</f>
        <v/>
      </c>
      <c r="O2585" s="3">
        <f>IF(ISNUMBER(AVERAGE('20250815_ETF_Options_Exhibits'!O2581:O2585)),AVERAGE('20250815_ETF_Options_Exhibits'!O2581:O2585),"")</f>
        <v/>
      </c>
      <c r="P2585" s="3">
        <f>IF(ISNUMBER(AVERAGE('20250815_ETF_Options_Exhibits'!P2581:P2585)),AVERAGE('20250815_ETF_Options_Exhibits'!P2581:P2585),"")</f>
        <v/>
      </c>
      <c r="Q2585" s="3">
        <f>IF(ISNUMBER(AVERAGE('20250815_ETF_Options_Exhibits'!Q2581:Q2585)),AVERAGE('20250815_ETF_Options_Exhibits'!Q2581:Q2585),"")</f>
        <v/>
      </c>
      <c r="R2585" s="3">
        <f>IF(ISNUMBER(AVERAGE('20250815_ETF_Options_Exhibits'!R2581:R2585)),AVERAGE('20250815_ETF_Options_Exhibits'!R2581:R2585),"")</f>
        <v/>
      </c>
      <c r="S2585" s="3">
        <f>IF(ISNUMBER(AVERAGE('20250815_ETF_Options_Exhibits'!S2581:S2585)),AVERAGE('20250815_ETF_Options_Exhibits'!S2581:S2585),"")</f>
        <v/>
      </c>
      <c r="T2585" s="3">
        <f>IF(ISNUMBER(AVERAGE('20250815_ETF_Options_Exhibits'!T2581:T2585)),AVERAGE('20250815_ETF_Options_Exhibits'!T2581:T2585),"")</f>
        <v/>
      </c>
      <c r="U2585" s="3">
        <f>IF(ISNUMBER(AVERAGE('20250815_ETF_Options_Exhibits'!U2581:U2585)),AVERAGE('20250815_ETF_Options_Exhibits'!U2581:U2585),"")</f>
        <v/>
      </c>
      <c r="V2585" s="3">
        <f>IF(ISNUMBER(AVERAGE('20250815_ETF_Options_Exhibits'!V2581:V2585)),AVERAGE('20250815_ETF_Options_Exhibits'!V2581:V2585),"")</f>
        <v/>
      </c>
      <c r="W2585" s="3">
        <f>IF(ISNUMBER(AVERAGE('20250815_ETF_Options_Exhibits'!W2581:W2585)),AVERAGE('20250815_ETF_Options_Exhibits'!W2581:W2585),"")</f>
        <v/>
      </c>
      <c r="X2585" s="3">
        <f>IF(ISNUMBER(AVERAGE('20250815_ETF_Options_Exhibits'!X2581:X2585)),AVERAGE('20250815_ETF_Options_Exhibits'!X2581:X2585),"")</f>
        <v/>
      </c>
      <c r="Y2585" s="3">
        <f>IF(ISNUMBER(AVERAGE('20250815_ETF_Options_Exhibits'!Y2581:Y2585)),AVERAGE('20250815_ETF_Options_Exhibits'!Y2581:Y2585),"")</f>
        <v/>
      </c>
      <c r="Z2585" s="3">
        <f>IF(ISNUMBER(AVERAGE('20250815_ETF_Options_Exhibits'!Z2581:Z2585)),AVERAGE('20250815_ETF_Options_Exhibits'!Z2581:Z2585),"")</f>
        <v/>
      </c>
      <c r="AA2585" s="3">
        <f>IF(ISNUMBER(AVERAGE('20250815_ETF_Options_Exhibits'!AA2581:AA2585)),AVERAGE('20250815_ETF_Options_Exhibits'!AA2581:AA2585),"")</f>
        <v/>
      </c>
    </row>
    <row r="2586">
      <c r="A2586" s="1" t="n">
        <v>45757</v>
      </c>
      <c r="B2586" s="3">
        <f>IF(ISNUMBER(AVERAGE('20250815_ETF_Options_Exhibits'!B2582:B2586)),AVERAGE('20250815_ETF_Options_Exhibits'!B2582:B2586),"")</f>
        <v/>
      </c>
      <c r="C2586" s="3">
        <f>IF(ISNUMBER(AVERAGE('20250815_ETF_Options_Exhibits'!C2582:C2586)),AVERAGE('20250815_ETF_Options_Exhibits'!C2582:C2586),"")</f>
        <v/>
      </c>
      <c r="D2586" s="3">
        <f>IF(ISNUMBER(AVERAGE('20250815_ETF_Options_Exhibits'!D2582:D2586)),AVERAGE('20250815_ETF_Options_Exhibits'!D2582:D2586),"")</f>
        <v/>
      </c>
      <c r="E2586" s="3">
        <f>IF(ISNUMBER(AVERAGE('20250815_ETF_Options_Exhibits'!E2582:E2586)),AVERAGE('20250815_ETF_Options_Exhibits'!E2582:E2586),"")</f>
        <v/>
      </c>
      <c r="F2586" s="3">
        <f>IF(ISNUMBER(AVERAGE('20250815_ETF_Options_Exhibits'!F2582:F2586)),AVERAGE('20250815_ETF_Options_Exhibits'!F2582:F2586),"")</f>
        <v/>
      </c>
      <c r="G2586" s="3">
        <f>IF(ISNUMBER(AVERAGE('20250815_ETF_Options_Exhibits'!G2582:G2586)),AVERAGE('20250815_ETF_Options_Exhibits'!G2582:G2586),"")</f>
        <v/>
      </c>
      <c r="H2586" s="3">
        <f>IF(ISNUMBER(AVERAGE('20250815_ETF_Options_Exhibits'!H2582:H2586)),AVERAGE('20250815_ETF_Options_Exhibits'!H2582:H2586),"")</f>
        <v/>
      </c>
      <c r="I2586" s="3">
        <f>IF(ISNUMBER(AVERAGE('20250815_ETF_Options_Exhibits'!I2582:I2586)),AVERAGE('20250815_ETF_Options_Exhibits'!I2582:I2586),"")</f>
        <v/>
      </c>
      <c r="J2586" s="3">
        <f>IF(ISNUMBER(AVERAGE('20250815_ETF_Options_Exhibits'!J2582:J2586)),AVERAGE('20250815_ETF_Options_Exhibits'!J2582:J2586),"")</f>
        <v/>
      </c>
      <c r="K2586" s="3">
        <f>IF(ISNUMBER(AVERAGE('20250815_ETF_Options_Exhibits'!K2582:K2586)),AVERAGE('20250815_ETF_Options_Exhibits'!K2582:K2586),"")</f>
        <v/>
      </c>
      <c r="L2586" s="3">
        <f>IF(ISNUMBER(AVERAGE('20250815_ETF_Options_Exhibits'!L2582:L2586)),AVERAGE('20250815_ETF_Options_Exhibits'!L2582:L2586),"")</f>
        <v/>
      </c>
      <c r="M2586" s="3">
        <f>IF(ISNUMBER(AVERAGE('20250815_ETF_Options_Exhibits'!M2582:M2586)),AVERAGE('20250815_ETF_Options_Exhibits'!M2582:M2586),"")</f>
        <v/>
      </c>
      <c r="N2586" s="3">
        <f>IF(ISNUMBER(AVERAGE('20250815_ETF_Options_Exhibits'!N2582:N2586)),AVERAGE('20250815_ETF_Options_Exhibits'!N2582:N2586),"")</f>
        <v/>
      </c>
      <c r="O2586" s="3">
        <f>IF(ISNUMBER(AVERAGE('20250815_ETF_Options_Exhibits'!O2582:O2586)),AVERAGE('20250815_ETF_Options_Exhibits'!O2582:O2586),"")</f>
        <v/>
      </c>
      <c r="P2586" s="3">
        <f>IF(ISNUMBER(AVERAGE('20250815_ETF_Options_Exhibits'!P2582:P2586)),AVERAGE('20250815_ETF_Options_Exhibits'!P2582:P2586),"")</f>
        <v/>
      </c>
      <c r="Q2586" s="3">
        <f>IF(ISNUMBER(AVERAGE('20250815_ETF_Options_Exhibits'!Q2582:Q2586)),AVERAGE('20250815_ETF_Options_Exhibits'!Q2582:Q2586),"")</f>
        <v/>
      </c>
      <c r="R2586" s="3">
        <f>IF(ISNUMBER(AVERAGE('20250815_ETF_Options_Exhibits'!R2582:R2586)),AVERAGE('20250815_ETF_Options_Exhibits'!R2582:R2586),"")</f>
        <v/>
      </c>
      <c r="S2586" s="3">
        <f>IF(ISNUMBER(AVERAGE('20250815_ETF_Options_Exhibits'!S2582:S2586)),AVERAGE('20250815_ETF_Options_Exhibits'!S2582:S2586),"")</f>
        <v/>
      </c>
      <c r="T2586" s="3">
        <f>IF(ISNUMBER(AVERAGE('20250815_ETF_Options_Exhibits'!T2582:T2586)),AVERAGE('20250815_ETF_Options_Exhibits'!T2582:T2586),"")</f>
        <v/>
      </c>
      <c r="U2586" s="3">
        <f>IF(ISNUMBER(AVERAGE('20250815_ETF_Options_Exhibits'!U2582:U2586)),AVERAGE('20250815_ETF_Options_Exhibits'!U2582:U2586),"")</f>
        <v/>
      </c>
      <c r="V2586" s="3">
        <f>IF(ISNUMBER(AVERAGE('20250815_ETF_Options_Exhibits'!V2582:V2586)),AVERAGE('20250815_ETF_Options_Exhibits'!V2582:V2586),"")</f>
        <v/>
      </c>
      <c r="W2586" s="3">
        <f>IF(ISNUMBER(AVERAGE('20250815_ETF_Options_Exhibits'!W2582:W2586)),AVERAGE('20250815_ETF_Options_Exhibits'!W2582:W2586),"")</f>
        <v/>
      </c>
      <c r="X2586" s="3">
        <f>IF(ISNUMBER(AVERAGE('20250815_ETF_Options_Exhibits'!X2582:X2586)),AVERAGE('20250815_ETF_Options_Exhibits'!X2582:X2586),"")</f>
        <v/>
      </c>
      <c r="Y2586" s="3">
        <f>IF(ISNUMBER(AVERAGE('20250815_ETF_Options_Exhibits'!Y2582:Y2586)),AVERAGE('20250815_ETF_Options_Exhibits'!Y2582:Y2586),"")</f>
        <v/>
      </c>
      <c r="Z2586" s="3">
        <f>IF(ISNUMBER(AVERAGE('20250815_ETF_Options_Exhibits'!Z2582:Z2586)),AVERAGE('20250815_ETF_Options_Exhibits'!Z2582:Z2586),"")</f>
        <v/>
      </c>
      <c r="AA2586" s="3">
        <f>IF(ISNUMBER(AVERAGE('20250815_ETF_Options_Exhibits'!AA2582:AA2586)),AVERAGE('20250815_ETF_Options_Exhibits'!AA2582:AA2586),"")</f>
        <v/>
      </c>
    </row>
    <row r="2587">
      <c r="A2587" s="1" t="n">
        <v>45758</v>
      </c>
      <c r="B2587" s="3">
        <f>IF(ISNUMBER(AVERAGE('20250815_ETF_Options_Exhibits'!B2583:B2587)),AVERAGE('20250815_ETF_Options_Exhibits'!B2583:B2587),"")</f>
        <v/>
      </c>
      <c r="C2587" s="3">
        <f>IF(ISNUMBER(AVERAGE('20250815_ETF_Options_Exhibits'!C2583:C2587)),AVERAGE('20250815_ETF_Options_Exhibits'!C2583:C2587),"")</f>
        <v/>
      </c>
      <c r="D2587" s="3">
        <f>IF(ISNUMBER(AVERAGE('20250815_ETF_Options_Exhibits'!D2583:D2587)),AVERAGE('20250815_ETF_Options_Exhibits'!D2583:D2587),"")</f>
        <v/>
      </c>
      <c r="E2587" s="3">
        <f>IF(ISNUMBER(AVERAGE('20250815_ETF_Options_Exhibits'!E2583:E2587)),AVERAGE('20250815_ETF_Options_Exhibits'!E2583:E2587),"")</f>
        <v/>
      </c>
      <c r="F2587" s="3">
        <f>IF(ISNUMBER(AVERAGE('20250815_ETF_Options_Exhibits'!F2583:F2587)),AVERAGE('20250815_ETF_Options_Exhibits'!F2583:F2587),"")</f>
        <v/>
      </c>
      <c r="G2587" s="3">
        <f>IF(ISNUMBER(AVERAGE('20250815_ETF_Options_Exhibits'!G2583:G2587)),AVERAGE('20250815_ETF_Options_Exhibits'!G2583:G2587),"")</f>
        <v/>
      </c>
      <c r="H2587" s="3">
        <f>IF(ISNUMBER(AVERAGE('20250815_ETF_Options_Exhibits'!H2583:H2587)),AVERAGE('20250815_ETF_Options_Exhibits'!H2583:H2587),"")</f>
        <v/>
      </c>
      <c r="I2587" s="3">
        <f>IF(ISNUMBER(AVERAGE('20250815_ETF_Options_Exhibits'!I2583:I2587)),AVERAGE('20250815_ETF_Options_Exhibits'!I2583:I2587),"")</f>
        <v/>
      </c>
      <c r="J2587" s="3">
        <f>IF(ISNUMBER(AVERAGE('20250815_ETF_Options_Exhibits'!J2583:J2587)),AVERAGE('20250815_ETF_Options_Exhibits'!J2583:J2587),"")</f>
        <v/>
      </c>
      <c r="K2587" s="3">
        <f>IF(ISNUMBER(AVERAGE('20250815_ETF_Options_Exhibits'!K2583:K2587)),AVERAGE('20250815_ETF_Options_Exhibits'!K2583:K2587),"")</f>
        <v/>
      </c>
      <c r="L2587" s="3">
        <f>IF(ISNUMBER(AVERAGE('20250815_ETF_Options_Exhibits'!L2583:L2587)),AVERAGE('20250815_ETF_Options_Exhibits'!L2583:L2587),"")</f>
        <v/>
      </c>
      <c r="M2587" s="3">
        <f>IF(ISNUMBER(AVERAGE('20250815_ETF_Options_Exhibits'!M2583:M2587)),AVERAGE('20250815_ETF_Options_Exhibits'!M2583:M2587),"")</f>
        <v/>
      </c>
      <c r="N2587" s="3">
        <f>IF(ISNUMBER(AVERAGE('20250815_ETF_Options_Exhibits'!N2583:N2587)),AVERAGE('20250815_ETF_Options_Exhibits'!N2583:N2587),"")</f>
        <v/>
      </c>
      <c r="O2587" s="3">
        <f>IF(ISNUMBER(AVERAGE('20250815_ETF_Options_Exhibits'!O2583:O2587)),AVERAGE('20250815_ETF_Options_Exhibits'!O2583:O2587),"")</f>
        <v/>
      </c>
      <c r="P2587" s="3">
        <f>IF(ISNUMBER(AVERAGE('20250815_ETF_Options_Exhibits'!P2583:P2587)),AVERAGE('20250815_ETF_Options_Exhibits'!P2583:P2587),"")</f>
        <v/>
      </c>
      <c r="Q2587" s="3">
        <f>IF(ISNUMBER(AVERAGE('20250815_ETF_Options_Exhibits'!Q2583:Q2587)),AVERAGE('20250815_ETF_Options_Exhibits'!Q2583:Q2587),"")</f>
        <v/>
      </c>
      <c r="R2587" s="3">
        <f>IF(ISNUMBER(AVERAGE('20250815_ETF_Options_Exhibits'!R2583:R2587)),AVERAGE('20250815_ETF_Options_Exhibits'!R2583:R2587),"")</f>
        <v/>
      </c>
      <c r="S2587" s="3">
        <f>IF(ISNUMBER(AVERAGE('20250815_ETF_Options_Exhibits'!S2583:S2587)),AVERAGE('20250815_ETF_Options_Exhibits'!S2583:S2587),"")</f>
        <v/>
      </c>
      <c r="T2587" s="3">
        <f>IF(ISNUMBER(AVERAGE('20250815_ETF_Options_Exhibits'!T2583:T2587)),AVERAGE('20250815_ETF_Options_Exhibits'!T2583:T2587),"")</f>
        <v/>
      </c>
      <c r="U2587" s="3">
        <f>IF(ISNUMBER(AVERAGE('20250815_ETF_Options_Exhibits'!U2583:U2587)),AVERAGE('20250815_ETF_Options_Exhibits'!U2583:U2587),"")</f>
        <v/>
      </c>
      <c r="V2587" s="3">
        <f>IF(ISNUMBER(AVERAGE('20250815_ETF_Options_Exhibits'!V2583:V2587)),AVERAGE('20250815_ETF_Options_Exhibits'!V2583:V2587),"")</f>
        <v/>
      </c>
      <c r="W2587" s="3">
        <f>IF(ISNUMBER(AVERAGE('20250815_ETF_Options_Exhibits'!W2583:W2587)),AVERAGE('20250815_ETF_Options_Exhibits'!W2583:W2587),"")</f>
        <v/>
      </c>
      <c r="X2587" s="3">
        <f>IF(ISNUMBER(AVERAGE('20250815_ETF_Options_Exhibits'!X2583:X2587)),AVERAGE('20250815_ETF_Options_Exhibits'!X2583:X2587),"")</f>
        <v/>
      </c>
      <c r="Y2587" s="3">
        <f>IF(ISNUMBER(AVERAGE('20250815_ETF_Options_Exhibits'!Y2583:Y2587)),AVERAGE('20250815_ETF_Options_Exhibits'!Y2583:Y2587),"")</f>
        <v/>
      </c>
      <c r="Z2587" s="3">
        <f>IF(ISNUMBER(AVERAGE('20250815_ETF_Options_Exhibits'!Z2583:Z2587)),AVERAGE('20250815_ETF_Options_Exhibits'!Z2583:Z2587),"")</f>
        <v/>
      </c>
      <c r="AA2587" s="3">
        <f>IF(ISNUMBER(AVERAGE('20250815_ETF_Options_Exhibits'!AA2583:AA2587)),AVERAGE('20250815_ETF_Options_Exhibits'!AA2583:AA2587),"")</f>
        <v/>
      </c>
    </row>
    <row r="2588">
      <c r="A2588" s="1" t="n">
        <v>45761</v>
      </c>
      <c r="B2588" s="3">
        <f>IF(ISNUMBER(AVERAGE('20250815_ETF_Options_Exhibits'!B2584:B2588)),AVERAGE('20250815_ETF_Options_Exhibits'!B2584:B2588),"")</f>
        <v/>
      </c>
      <c r="C2588" s="3">
        <f>IF(ISNUMBER(AVERAGE('20250815_ETF_Options_Exhibits'!C2584:C2588)),AVERAGE('20250815_ETF_Options_Exhibits'!C2584:C2588),"")</f>
        <v/>
      </c>
      <c r="D2588" s="3">
        <f>IF(ISNUMBER(AVERAGE('20250815_ETF_Options_Exhibits'!D2584:D2588)),AVERAGE('20250815_ETF_Options_Exhibits'!D2584:D2588),"")</f>
        <v/>
      </c>
      <c r="E2588" s="3">
        <f>IF(ISNUMBER(AVERAGE('20250815_ETF_Options_Exhibits'!E2584:E2588)),AVERAGE('20250815_ETF_Options_Exhibits'!E2584:E2588),"")</f>
        <v/>
      </c>
      <c r="F2588" s="3">
        <f>IF(ISNUMBER(AVERAGE('20250815_ETF_Options_Exhibits'!F2584:F2588)),AVERAGE('20250815_ETF_Options_Exhibits'!F2584:F2588),"")</f>
        <v/>
      </c>
      <c r="G2588" s="3">
        <f>IF(ISNUMBER(AVERAGE('20250815_ETF_Options_Exhibits'!G2584:G2588)),AVERAGE('20250815_ETF_Options_Exhibits'!G2584:G2588),"")</f>
        <v/>
      </c>
      <c r="H2588" s="3">
        <f>IF(ISNUMBER(AVERAGE('20250815_ETF_Options_Exhibits'!H2584:H2588)),AVERAGE('20250815_ETF_Options_Exhibits'!H2584:H2588),"")</f>
        <v/>
      </c>
      <c r="I2588" s="3">
        <f>IF(ISNUMBER(AVERAGE('20250815_ETF_Options_Exhibits'!I2584:I2588)),AVERAGE('20250815_ETF_Options_Exhibits'!I2584:I2588),"")</f>
        <v/>
      </c>
      <c r="J2588" s="3">
        <f>IF(ISNUMBER(AVERAGE('20250815_ETF_Options_Exhibits'!J2584:J2588)),AVERAGE('20250815_ETF_Options_Exhibits'!J2584:J2588),"")</f>
        <v/>
      </c>
      <c r="K2588" s="3">
        <f>IF(ISNUMBER(AVERAGE('20250815_ETF_Options_Exhibits'!K2584:K2588)),AVERAGE('20250815_ETF_Options_Exhibits'!K2584:K2588),"")</f>
        <v/>
      </c>
      <c r="L2588" s="3">
        <f>IF(ISNUMBER(AVERAGE('20250815_ETF_Options_Exhibits'!L2584:L2588)),AVERAGE('20250815_ETF_Options_Exhibits'!L2584:L2588),"")</f>
        <v/>
      </c>
      <c r="M2588" s="3">
        <f>IF(ISNUMBER(AVERAGE('20250815_ETF_Options_Exhibits'!M2584:M2588)),AVERAGE('20250815_ETF_Options_Exhibits'!M2584:M2588),"")</f>
        <v/>
      </c>
      <c r="N2588" s="3">
        <f>IF(ISNUMBER(AVERAGE('20250815_ETF_Options_Exhibits'!N2584:N2588)),AVERAGE('20250815_ETF_Options_Exhibits'!N2584:N2588),"")</f>
        <v/>
      </c>
      <c r="O2588" s="3">
        <f>IF(ISNUMBER(AVERAGE('20250815_ETF_Options_Exhibits'!O2584:O2588)),AVERAGE('20250815_ETF_Options_Exhibits'!O2584:O2588),"")</f>
        <v/>
      </c>
      <c r="P2588" s="3">
        <f>IF(ISNUMBER(AVERAGE('20250815_ETF_Options_Exhibits'!P2584:P2588)),AVERAGE('20250815_ETF_Options_Exhibits'!P2584:P2588),"")</f>
        <v/>
      </c>
      <c r="Q2588" s="3">
        <f>IF(ISNUMBER(AVERAGE('20250815_ETF_Options_Exhibits'!Q2584:Q2588)),AVERAGE('20250815_ETF_Options_Exhibits'!Q2584:Q2588),"")</f>
        <v/>
      </c>
      <c r="R2588" s="3">
        <f>IF(ISNUMBER(AVERAGE('20250815_ETF_Options_Exhibits'!R2584:R2588)),AVERAGE('20250815_ETF_Options_Exhibits'!R2584:R2588),"")</f>
        <v/>
      </c>
      <c r="S2588" s="3">
        <f>IF(ISNUMBER(AVERAGE('20250815_ETF_Options_Exhibits'!S2584:S2588)),AVERAGE('20250815_ETF_Options_Exhibits'!S2584:S2588),"")</f>
        <v/>
      </c>
      <c r="T2588" s="3">
        <f>IF(ISNUMBER(AVERAGE('20250815_ETF_Options_Exhibits'!T2584:T2588)),AVERAGE('20250815_ETF_Options_Exhibits'!T2584:T2588),"")</f>
        <v/>
      </c>
      <c r="U2588" s="3">
        <f>IF(ISNUMBER(AVERAGE('20250815_ETF_Options_Exhibits'!U2584:U2588)),AVERAGE('20250815_ETF_Options_Exhibits'!U2584:U2588),"")</f>
        <v/>
      </c>
      <c r="V2588" s="3">
        <f>IF(ISNUMBER(AVERAGE('20250815_ETF_Options_Exhibits'!V2584:V2588)),AVERAGE('20250815_ETF_Options_Exhibits'!V2584:V2588),"")</f>
        <v/>
      </c>
      <c r="W2588" s="3">
        <f>IF(ISNUMBER(AVERAGE('20250815_ETF_Options_Exhibits'!W2584:W2588)),AVERAGE('20250815_ETF_Options_Exhibits'!W2584:W2588),"")</f>
        <v/>
      </c>
      <c r="X2588" s="3">
        <f>IF(ISNUMBER(AVERAGE('20250815_ETF_Options_Exhibits'!X2584:X2588)),AVERAGE('20250815_ETF_Options_Exhibits'!X2584:X2588),"")</f>
        <v/>
      </c>
      <c r="Y2588" s="3">
        <f>IF(ISNUMBER(AVERAGE('20250815_ETF_Options_Exhibits'!Y2584:Y2588)),AVERAGE('20250815_ETF_Options_Exhibits'!Y2584:Y2588),"")</f>
        <v/>
      </c>
      <c r="Z2588" s="3">
        <f>IF(ISNUMBER(AVERAGE('20250815_ETF_Options_Exhibits'!Z2584:Z2588)),AVERAGE('20250815_ETF_Options_Exhibits'!Z2584:Z2588),"")</f>
        <v/>
      </c>
      <c r="AA2588" s="3">
        <f>IF(ISNUMBER(AVERAGE('20250815_ETF_Options_Exhibits'!AA2584:AA2588)),AVERAGE('20250815_ETF_Options_Exhibits'!AA2584:AA2588),"")</f>
        <v/>
      </c>
    </row>
    <row r="2589">
      <c r="A2589" s="1" t="n">
        <v>45762</v>
      </c>
      <c r="B2589" s="3">
        <f>IF(ISNUMBER(AVERAGE('20250815_ETF_Options_Exhibits'!B2585:B2589)),AVERAGE('20250815_ETF_Options_Exhibits'!B2585:B2589),"")</f>
        <v/>
      </c>
      <c r="C2589" s="3">
        <f>IF(ISNUMBER(AVERAGE('20250815_ETF_Options_Exhibits'!C2585:C2589)),AVERAGE('20250815_ETF_Options_Exhibits'!C2585:C2589),"")</f>
        <v/>
      </c>
      <c r="D2589" s="3">
        <f>IF(ISNUMBER(AVERAGE('20250815_ETF_Options_Exhibits'!D2585:D2589)),AVERAGE('20250815_ETF_Options_Exhibits'!D2585:D2589),"")</f>
        <v/>
      </c>
      <c r="E2589" s="3">
        <f>IF(ISNUMBER(AVERAGE('20250815_ETF_Options_Exhibits'!E2585:E2589)),AVERAGE('20250815_ETF_Options_Exhibits'!E2585:E2589),"")</f>
        <v/>
      </c>
      <c r="F2589" s="3">
        <f>IF(ISNUMBER(AVERAGE('20250815_ETF_Options_Exhibits'!F2585:F2589)),AVERAGE('20250815_ETF_Options_Exhibits'!F2585:F2589),"")</f>
        <v/>
      </c>
      <c r="G2589" s="3">
        <f>IF(ISNUMBER(AVERAGE('20250815_ETF_Options_Exhibits'!G2585:G2589)),AVERAGE('20250815_ETF_Options_Exhibits'!G2585:G2589),"")</f>
        <v/>
      </c>
      <c r="H2589" s="3">
        <f>IF(ISNUMBER(AVERAGE('20250815_ETF_Options_Exhibits'!H2585:H2589)),AVERAGE('20250815_ETF_Options_Exhibits'!H2585:H2589),"")</f>
        <v/>
      </c>
      <c r="I2589" s="3">
        <f>IF(ISNUMBER(AVERAGE('20250815_ETF_Options_Exhibits'!I2585:I2589)),AVERAGE('20250815_ETF_Options_Exhibits'!I2585:I2589),"")</f>
        <v/>
      </c>
      <c r="J2589" s="3">
        <f>IF(ISNUMBER(AVERAGE('20250815_ETF_Options_Exhibits'!J2585:J2589)),AVERAGE('20250815_ETF_Options_Exhibits'!J2585:J2589),"")</f>
        <v/>
      </c>
      <c r="K2589" s="3">
        <f>IF(ISNUMBER(AVERAGE('20250815_ETF_Options_Exhibits'!K2585:K2589)),AVERAGE('20250815_ETF_Options_Exhibits'!K2585:K2589),"")</f>
        <v/>
      </c>
      <c r="L2589" s="3">
        <f>IF(ISNUMBER(AVERAGE('20250815_ETF_Options_Exhibits'!L2585:L2589)),AVERAGE('20250815_ETF_Options_Exhibits'!L2585:L2589),"")</f>
        <v/>
      </c>
      <c r="M2589" s="3">
        <f>IF(ISNUMBER(AVERAGE('20250815_ETF_Options_Exhibits'!M2585:M2589)),AVERAGE('20250815_ETF_Options_Exhibits'!M2585:M2589),"")</f>
        <v/>
      </c>
      <c r="N2589" s="3">
        <f>IF(ISNUMBER(AVERAGE('20250815_ETF_Options_Exhibits'!N2585:N2589)),AVERAGE('20250815_ETF_Options_Exhibits'!N2585:N2589),"")</f>
        <v/>
      </c>
      <c r="O2589" s="3">
        <f>IF(ISNUMBER(AVERAGE('20250815_ETF_Options_Exhibits'!O2585:O2589)),AVERAGE('20250815_ETF_Options_Exhibits'!O2585:O2589),"")</f>
        <v/>
      </c>
      <c r="P2589" s="3">
        <f>IF(ISNUMBER(AVERAGE('20250815_ETF_Options_Exhibits'!P2585:P2589)),AVERAGE('20250815_ETF_Options_Exhibits'!P2585:P2589),"")</f>
        <v/>
      </c>
      <c r="Q2589" s="3">
        <f>IF(ISNUMBER(AVERAGE('20250815_ETF_Options_Exhibits'!Q2585:Q2589)),AVERAGE('20250815_ETF_Options_Exhibits'!Q2585:Q2589),"")</f>
        <v/>
      </c>
      <c r="R2589" s="3">
        <f>IF(ISNUMBER(AVERAGE('20250815_ETF_Options_Exhibits'!R2585:R2589)),AVERAGE('20250815_ETF_Options_Exhibits'!R2585:R2589),"")</f>
        <v/>
      </c>
      <c r="S2589" s="3">
        <f>IF(ISNUMBER(AVERAGE('20250815_ETF_Options_Exhibits'!S2585:S2589)),AVERAGE('20250815_ETF_Options_Exhibits'!S2585:S2589),"")</f>
        <v/>
      </c>
      <c r="T2589" s="3">
        <f>IF(ISNUMBER(AVERAGE('20250815_ETF_Options_Exhibits'!T2585:T2589)),AVERAGE('20250815_ETF_Options_Exhibits'!T2585:T2589),"")</f>
        <v/>
      </c>
      <c r="U2589" s="3">
        <f>IF(ISNUMBER(AVERAGE('20250815_ETF_Options_Exhibits'!U2585:U2589)),AVERAGE('20250815_ETF_Options_Exhibits'!U2585:U2589),"")</f>
        <v/>
      </c>
      <c r="V2589" s="3">
        <f>IF(ISNUMBER(AVERAGE('20250815_ETF_Options_Exhibits'!V2585:V2589)),AVERAGE('20250815_ETF_Options_Exhibits'!V2585:V2589),"")</f>
        <v/>
      </c>
      <c r="W2589" s="3">
        <f>IF(ISNUMBER(AVERAGE('20250815_ETF_Options_Exhibits'!W2585:W2589)),AVERAGE('20250815_ETF_Options_Exhibits'!W2585:W2589),"")</f>
        <v/>
      </c>
      <c r="X2589" s="3">
        <f>IF(ISNUMBER(AVERAGE('20250815_ETF_Options_Exhibits'!X2585:X2589)),AVERAGE('20250815_ETF_Options_Exhibits'!X2585:X2589),"")</f>
        <v/>
      </c>
      <c r="Y2589" s="3">
        <f>IF(ISNUMBER(AVERAGE('20250815_ETF_Options_Exhibits'!Y2585:Y2589)),AVERAGE('20250815_ETF_Options_Exhibits'!Y2585:Y2589),"")</f>
        <v/>
      </c>
      <c r="Z2589" s="3">
        <f>IF(ISNUMBER(AVERAGE('20250815_ETF_Options_Exhibits'!Z2585:Z2589)),AVERAGE('20250815_ETF_Options_Exhibits'!Z2585:Z2589),"")</f>
        <v/>
      </c>
      <c r="AA2589" s="3">
        <f>IF(ISNUMBER(AVERAGE('20250815_ETF_Options_Exhibits'!AA2585:AA2589)),AVERAGE('20250815_ETF_Options_Exhibits'!AA2585:AA2589),"")</f>
        <v/>
      </c>
    </row>
    <row r="2590">
      <c r="A2590" s="1" t="n">
        <v>45763</v>
      </c>
      <c r="B2590" s="3">
        <f>IF(ISNUMBER(AVERAGE('20250815_ETF_Options_Exhibits'!B2586:B2590)),AVERAGE('20250815_ETF_Options_Exhibits'!B2586:B2590),"")</f>
        <v/>
      </c>
      <c r="C2590" s="3">
        <f>IF(ISNUMBER(AVERAGE('20250815_ETF_Options_Exhibits'!C2586:C2590)),AVERAGE('20250815_ETF_Options_Exhibits'!C2586:C2590),"")</f>
        <v/>
      </c>
      <c r="D2590" s="3">
        <f>IF(ISNUMBER(AVERAGE('20250815_ETF_Options_Exhibits'!D2586:D2590)),AVERAGE('20250815_ETF_Options_Exhibits'!D2586:D2590),"")</f>
        <v/>
      </c>
      <c r="E2590" s="3">
        <f>IF(ISNUMBER(AVERAGE('20250815_ETF_Options_Exhibits'!E2586:E2590)),AVERAGE('20250815_ETF_Options_Exhibits'!E2586:E2590),"")</f>
        <v/>
      </c>
      <c r="F2590" s="3">
        <f>IF(ISNUMBER(AVERAGE('20250815_ETF_Options_Exhibits'!F2586:F2590)),AVERAGE('20250815_ETF_Options_Exhibits'!F2586:F2590),"")</f>
        <v/>
      </c>
      <c r="G2590" s="3">
        <f>IF(ISNUMBER(AVERAGE('20250815_ETF_Options_Exhibits'!G2586:G2590)),AVERAGE('20250815_ETF_Options_Exhibits'!G2586:G2590),"")</f>
        <v/>
      </c>
      <c r="H2590" s="3">
        <f>IF(ISNUMBER(AVERAGE('20250815_ETF_Options_Exhibits'!H2586:H2590)),AVERAGE('20250815_ETF_Options_Exhibits'!H2586:H2590),"")</f>
        <v/>
      </c>
      <c r="I2590" s="3">
        <f>IF(ISNUMBER(AVERAGE('20250815_ETF_Options_Exhibits'!I2586:I2590)),AVERAGE('20250815_ETF_Options_Exhibits'!I2586:I2590),"")</f>
        <v/>
      </c>
      <c r="J2590" s="3">
        <f>IF(ISNUMBER(AVERAGE('20250815_ETF_Options_Exhibits'!J2586:J2590)),AVERAGE('20250815_ETF_Options_Exhibits'!J2586:J2590),"")</f>
        <v/>
      </c>
      <c r="K2590" s="3">
        <f>IF(ISNUMBER(AVERAGE('20250815_ETF_Options_Exhibits'!K2586:K2590)),AVERAGE('20250815_ETF_Options_Exhibits'!K2586:K2590),"")</f>
        <v/>
      </c>
      <c r="L2590" s="3">
        <f>IF(ISNUMBER(AVERAGE('20250815_ETF_Options_Exhibits'!L2586:L2590)),AVERAGE('20250815_ETF_Options_Exhibits'!L2586:L2590),"")</f>
        <v/>
      </c>
      <c r="M2590" s="3">
        <f>IF(ISNUMBER(AVERAGE('20250815_ETF_Options_Exhibits'!M2586:M2590)),AVERAGE('20250815_ETF_Options_Exhibits'!M2586:M2590),"")</f>
        <v/>
      </c>
      <c r="N2590" s="3">
        <f>IF(ISNUMBER(AVERAGE('20250815_ETF_Options_Exhibits'!N2586:N2590)),AVERAGE('20250815_ETF_Options_Exhibits'!N2586:N2590),"")</f>
        <v/>
      </c>
      <c r="O2590" s="3">
        <f>IF(ISNUMBER(AVERAGE('20250815_ETF_Options_Exhibits'!O2586:O2590)),AVERAGE('20250815_ETF_Options_Exhibits'!O2586:O2590),"")</f>
        <v/>
      </c>
      <c r="P2590" s="3">
        <f>IF(ISNUMBER(AVERAGE('20250815_ETF_Options_Exhibits'!P2586:P2590)),AVERAGE('20250815_ETF_Options_Exhibits'!P2586:P2590),"")</f>
        <v/>
      </c>
      <c r="Q2590" s="3">
        <f>IF(ISNUMBER(AVERAGE('20250815_ETF_Options_Exhibits'!Q2586:Q2590)),AVERAGE('20250815_ETF_Options_Exhibits'!Q2586:Q2590),"")</f>
        <v/>
      </c>
      <c r="R2590" s="3">
        <f>IF(ISNUMBER(AVERAGE('20250815_ETF_Options_Exhibits'!R2586:R2590)),AVERAGE('20250815_ETF_Options_Exhibits'!R2586:R2590),"")</f>
        <v/>
      </c>
      <c r="S2590" s="3">
        <f>IF(ISNUMBER(AVERAGE('20250815_ETF_Options_Exhibits'!S2586:S2590)),AVERAGE('20250815_ETF_Options_Exhibits'!S2586:S2590),"")</f>
        <v/>
      </c>
      <c r="T2590" s="3">
        <f>IF(ISNUMBER(AVERAGE('20250815_ETF_Options_Exhibits'!T2586:T2590)),AVERAGE('20250815_ETF_Options_Exhibits'!T2586:T2590),"")</f>
        <v/>
      </c>
      <c r="U2590" s="3">
        <f>IF(ISNUMBER(AVERAGE('20250815_ETF_Options_Exhibits'!U2586:U2590)),AVERAGE('20250815_ETF_Options_Exhibits'!U2586:U2590),"")</f>
        <v/>
      </c>
      <c r="V2590" s="3">
        <f>IF(ISNUMBER(AVERAGE('20250815_ETF_Options_Exhibits'!V2586:V2590)),AVERAGE('20250815_ETF_Options_Exhibits'!V2586:V2590),"")</f>
        <v/>
      </c>
      <c r="W2590" s="3">
        <f>IF(ISNUMBER(AVERAGE('20250815_ETF_Options_Exhibits'!W2586:W2590)),AVERAGE('20250815_ETF_Options_Exhibits'!W2586:W2590),"")</f>
        <v/>
      </c>
      <c r="X2590" s="3">
        <f>IF(ISNUMBER(AVERAGE('20250815_ETF_Options_Exhibits'!X2586:X2590)),AVERAGE('20250815_ETF_Options_Exhibits'!X2586:X2590),"")</f>
        <v/>
      </c>
      <c r="Y2590" s="3">
        <f>IF(ISNUMBER(AVERAGE('20250815_ETF_Options_Exhibits'!Y2586:Y2590)),AVERAGE('20250815_ETF_Options_Exhibits'!Y2586:Y2590),"")</f>
        <v/>
      </c>
      <c r="Z2590" s="3">
        <f>IF(ISNUMBER(AVERAGE('20250815_ETF_Options_Exhibits'!Z2586:Z2590)),AVERAGE('20250815_ETF_Options_Exhibits'!Z2586:Z2590),"")</f>
        <v/>
      </c>
      <c r="AA2590" s="3">
        <f>IF(ISNUMBER(AVERAGE('20250815_ETF_Options_Exhibits'!AA2586:AA2590)),AVERAGE('20250815_ETF_Options_Exhibits'!AA2586:AA2590),"")</f>
        <v/>
      </c>
    </row>
    <row r="2591">
      <c r="A2591" s="1" t="n">
        <v>45764</v>
      </c>
      <c r="B2591" s="3">
        <f>IF(ISNUMBER(AVERAGE('20250815_ETF_Options_Exhibits'!B2587:B2591)),AVERAGE('20250815_ETF_Options_Exhibits'!B2587:B2591),"")</f>
        <v/>
      </c>
      <c r="C2591" s="3">
        <f>IF(ISNUMBER(AVERAGE('20250815_ETF_Options_Exhibits'!C2587:C2591)),AVERAGE('20250815_ETF_Options_Exhibits'!C2587:C2591),"")</f>
        <v/>
      </c>
      <c r="D2591" s="3">
        <f>IF(ISNUMBER(AVERAGE('20250815_ETF_Options_Exhibits'!D2587:D2591)),AVERAGE('20250815_ETF_Options_Exhibits'!D2587:D2591),"")</f>
        <v/>
      </c>
      <c r="E2591" s="3">
        <f>IF(ISNUMBER(AVERAGE('20250815_ETF_Options_Exhibits'!E2587:E2591)),AVERAGE('20250815_ETF_Options_Exhibits'!E2587:E2591),"")</f>
        <v/>
      </c>
      <c r="F2591" s="3">
        <f>IF(ISNUMBER(AVERAGE('20250815_ETF_Options_Exhibits'!F2587:F2591)),AVERAGE('20250815_ETF_Options_Exhibits'!F2587:F2591),"")</f>
        <v/>
      </c>
      <c r="G2591" s="3">
        <f>IF(ISNUMBER(AVERAGE('20250815_ETF_Options_Exhibits'!G2587:G2591)),AVERAGE('20250815_ETF_Options_Exhibits'!G2587:G2591),"")</f>
        <v/>
      </c>
      <c r="H2591" s="3">
        <f>IF(ISNUMBER(AVERAGE('20250815_ETF_Options_Exhibits'!H2587:H2591)),AVERAGE('20250815_ETF_Options_Exhibits'!H2587:H2591),"")</f>
        <v/>
      </c>
      <c r="I2591" s="3">
        <f>IF(ISNUMBER(AVERAGE('20250815_ETF_Options_Exhibits'!I2587:I2591)),AVERAGE('20250815_ETF_Options_Exhibits'!I2587:I2591),"")</f>
        <v/>
      </c>
      <c r="J2591" s="3">
        <f>IF(ISNUMBER(AVERAGE('20250815_ETF_Options_Exhibits'!J2587:J2591)),AVERAGE('20250815_ETF_Options_Exhibits'!J2587:J2591),"")</f>
        <v/>
      </c>
      <c r="K2591" s="3">
        <f>IF(ISNUMBER(AVERAGE('20250815_ETF_Options_Exhibits'!K2587:K2591)),AVERAGE('20250815_ETF_Options_Exhibits'!K2587:K2591),"")</f>
        <v/>
      </c>
      <c r="L2591" s="3">
        <f>IF(ISNUMBER(AVERAGE('20250815_ETF_Options_Exhibits'!L2587:L2591)),AVERAGE('20250815_ETF_Options_Exhibits'!L2587:L2591),"")</f>
        <v/>
      </c>
      <c r="M2591" s="3">
        <f>IF(ISNUMBER(AVERAGE('20250815_ETF_Options_Exhibits'!M2587:M2591)),AVERAGE('20250815_ETF_Options_Exhibits'!M2587:M2591),"")</f>
        <v/>
      </c>
      <c r="N2591" s="3">
        <f>IF(ISNUMBER(AVERAGE('20250815_ETF_Options_Exhibits'!N2587:N2591)),AVERAGE('20250815_ETF_Options_Exhibits'!N2587:N2591),"")</f>
        <v/>
      </c>
      <c r="O2591" s="3">
        <f>IF(ISNUMBER(AVERAGE('20250815_ETF_Options_Exhibits'!O2587:O2591)),AVERAGE('20250815_ETF_Options_Exhibits'!O2587:O2591),"")</f>
        <v/>
      </c>
      <c r="P2591" s="3">
        <f>IF(ISNUMBER(AVERAGE('20250815_ETF_Options_Exhibits'!P2587:P2591)),AVERAGE('20250815_ETF_Options_Exhibits'!P2587:P2591),"")</f>
        <v/>
      </c>
      <c r="Q2591" s="3">
        <f>IF(ISNUMBER(AVERAGE('20250815_ETF_Options_Exhibits'!Q2587:Q2591)),AVERAGE('20250815_ETF_Options_Exhibits'!Q2587:Q2591),"")</f>
        <v/>
      </c>
      <c r="R2591" s="3">
        <f>IF(ISNUMBER(AVERAGE('20250815_ETF_Options_Exhibits'!R2587:R2591)),AVERAGE('20250815_ETF_Options_Exhibits'!R2587:R2591),"")</f>
        <v/>
      </c>
      <c r="S2591" s="3">
        <f>IF(ISNUMBER(AVERAGE('20250815_ETF_Options_Exhibits'!S2587:S2591)),AVERAGE('20250815_ETF_Options_Exhibits'!S2587:S2591),"")</f>
        <v/>
      </c>
      <c r="T2591" s="3">
        <f>IF(ISNUMBER(AVERAGE('20250815_ETF_Options_Exhibits'!T2587:T2591)),AVERAGE('20250815_ETF_Options_Exhibits'!T2587:T2591),"")</f>
        <v/>
      </c>
      <c r="U2591" s="3">
        <f>IF(ISNUMBER(AVERAGE('20250815_ETF_Options_Exhibits'!U2587:U2591)),AVERAGE('20250815_ETF_Options_Exhibits'!U2587:U2591),"")</f>
        <v/>
      </c>
      <c r="V2591" s="3">
        <f>IF(ISNUMBER(AVERAGE('20250815_ETF_Options_Exhibits'!V2587:V2591)),AVERAGE('20250815_ETF_Options_Exhibits'!V2587:V2591),"")</f>
        <v/>
      </c>
      <c r="W2591" s="3">
        <f>IF(ISNUMBER(AVERAGE('20250815_ETF_Options_Exhibits'!W2587:W2591)),AVERAGE('20250815_ETF_Options_Exhibits'!W2587:W2591),"")</f>
        <v/>
      </c>
      <c r="X2591" s="3">
        <f>IF(ISNUMBER(AVERAGE('20250815_ETF_Options_Exhibits'!X2587:X2591)),AVERAGE('20250815_ETF_Options_Exhibits'!X2587:X2591),"")</f>
        <v/>
      </c>
      <c r="Y2591" s="3">
        <f>IF(ISNUMBER(AVERAGE('20250815_ETF_Options_Exhibits'!Y2587:Y2591)),AVERAGE('20250815_ETF_Options_Exhibits'!Y2587:Y2591),"")</f>
        <v/>
      </c>
      <c r="Z2591" s="3">
        <f>IF(ISNUMBER(AVERAGE('20250815_ETF_Options_Exhibits'!Z2587:Z2591)),AVERAGE('20250815_ETF_Options_Exhibits'!Z2587:Z2591),"")</f>
        <v/>
      </c>
      <c r="AA2591" s="3">
        <f>IF(ISNUMBER(AVERAGE('20250815_ETF_Options_Exhibits'!AA2587:AA2591)),AVERAGE('20250815_ETF_Options_Exhibits'!AA2587:AA2591),"")</f>
        <v/>
      </c>
    </row>
    <row r="2592">
      <c r="A2592" s="1" t="n">
        <v>45768</v>
      </c>
      <c r="B2592" s="3">
        <f>IF(ISNUMBER(AVERAGE('20250815_ETF_Options_Exhibits'!B2588:B2592)),AVERAGE('20250815_ETF_Options_Exhibits'!B2588:B2592),"")</f>
        <v/>
      </c>
      <c r="C2592" s="3">
        <f>IF(ISNUMBER(AVERAGE('20250815_ETF_Options_Exhibits'!C2588:C2592)),AVERAGE('20250815_ETF_Options_Exhibits'!C2588:C2592),"")</f>
        <v/>
      </c>
      <c r="D2592" s="3">
        <f>IF(ISNUMBER(AVERAGE('20250815_ETF_Options_Exhibits'!D2588:D2592)),AVERAGE('20250815_ETF_Options_Exhibits'!D2588:D2592),"")</f>
        <v/>
      </c>
      <c r="E2592" s="3">
        <f>IF(ISNUMBER(AVERAGE('20250815_ETF_Options_Exhibits'!E2588:E2592)),AVERAGE('20250815_ETF_Options_Exhibits'!E2588:E2592),"")</f>
        <v/>
      </c>
      <c r="F2592" s="3">
        <f>IF(ISNUMBER(AVERAGE('20250815_ETF_Options_Exhibits'!F2588:F2592)),AVERAGE('20250815_ETF_Options_Exhibits'!F2588:F2592),"")</f>
        <v/>
      </c>
      <c r="G2592" s="3">
        <f>IF(ISNUMBER(AVERAGE('20250815_ETF_Options_Exhibits'!G2588:G2592)),AVERAGE('20250815_ETF_Options_Exhibits'!G2588:G2592),"")</f>
        <v/>
      </c>
      <c r="H2592" s="3">
        <f>IF(ISNUMBER(AVERAGE('20250815_ETF_Options_Exhibits'!H2588:H2592)),AVERAGE('20250815_ETF_Options_Exhibits'!H2588:H2592),"")</f>
        <v/>
      </c>
      <c r="I2592" s="3">
        <f>IF(ISNUMBER(AVERAGE('20250815_ETF_Options_Exhibits'!I2588:I2592)),AVERAGE('20250815_ETF_Options_Exhibits'!I2588:I2592),"")</f>
        <v/>
      </c>
      <c r="J2592" s="3">
        <f>IF(ISNUMBER(AVERAGE('20250815_ETF_Options_Exhibits'!J2588:J2592)),AVERAGE('20250815_ETF_Options_Exhibits'!J2588:J2592),"")</f>
        <v/>
      </c>
      <c r="K2592" s="3">
        <f>IF(ISNUMBER(AVERAGE('20250815_ETF_Options_Exhibits'!K2588:K2592)),AVERAGE('20250815_ETF_Options_Exhibits'!K2588:K2592),"")</f>
        <v/>
      </c>
      <c r="L2592" s="3">
        <f>IF(ISNUMBER(AVERAGE('20250815_ETF_Options_Exhibits'!L2588:L2592)),AVERAGE('20250815_ETF_Options_Exhibits'!L2588:L2592),"")</f>
        <v/>
      </c>
      <c r="M2592" s="3">
        <f>IF(ISNUMBER(AVERAGE('20250815_ETF_Options_Exhibits'!M2588:M2592)),AVERAGE('20250815_ETF_Options_Exhibits'!M2588:M2592),"")</f>
        <v/>
      </c>
      <c r="N2592" s="3">
        <f>IF(ISNUMBER(AVERAGE('20250815_ETF_Options_Exhibits'!N2588:N2592)),AVERAGE('20250815_ETF_Options_Exhibits'!N2588:N2592),"")</f>
        <v/>
      </c>
      <c r="O2592" s="3">
        <f>IF(ISNUMBER(AVERAGE('20250815_ETF_Options_Exhibits'!O2588:O2592)),AVERAGE('20250815_ETF_Options_Exhibits'!O2588:O2592),"")</f>
        <v/>
      </c>
      <c r="P2592" s="3">
        <f>IF(ISNUMBER(AVERAGE('20250815_ETF_Options_Exhibits'!P2588:P2592)),AVERAGE('20250815_ETF_Options_Exhibits'!P2588:P2592),"")</f>
        <v/>
      </c>
      <c r="Q2592" s="3">
        <f>IF(ISNUMBER(AVERAGE('20250815_ETF_Options_Exhibits'!Q2588:Q2592)),AVERAGE('20250815_ETF_Options_Exhibits'!Q2588:Q2592),"")</f>
        <v/>
      </c>
      <c r="R2592" s="3">
        <f>IF(ISNUMBER(AVERAGE('20250815_ETF_Options_Exhibits'!R2588:R2592)),AVERAGE('20250815_ETF_Options_Exhibits'!R2588:R2592),"")</f>
        <v/>
      </c>
      <c r="S2592" s="3">
        <f>IF(ISNUMBER(AVERAGE('20250815_ETF_Options_Exhibits'!S2588:S2592)),AVERAGE('20250815_ETF_Options_Exhibits'!S2588:S2592),"")</f>
        <v/>
      </c>
      <c r="T2592" s="3">
        <f>IF(ISNUMBER(AVERAGE('20250815_ETF_Options_Exhibits'!T2588:T2592)),AVERAGE('20250815_ETF_Options_Exhibits'!T2588:T2592),"")</f>
        <v/>
      </c>
      <c r="U2592" s="3">
        <f>IF(ISNUMBER(AVERAGE('20250815_ETF_Options_Exhibits'!U2588:U2592)),AVERAGE('20250815_ETF_Options_Exhibits'!U2588:U2592),"")</f>
        <v/>
      </c>
      <c r="V2592" s="3">
        <f>IF(ISNUMBER(AVERAGE('20250815_ETF_Options_Exhibits'!V2588:V2592)),AVERAGE('20250815_ETF_Options_Exhibits'!V2588:V2592),"")</f>
        <v/>
      </c>
      <c r="W2592" s="3">
        <f>IF(ISNUMBER(AVERAGE('20250815_ETF_Options_Exhibits'!W2588:W2592)),AVERAGE('20250815_ETF_Options_Exhibits'!W2588:W2592),"")</f>
        <v/>
      </c>
      <c r="X2592" s="3">
        <f>IF(ISNUMBER(AVERAGE('20250815_ETF_Options_Exhibits'!X2588:X2592)),AVERAGE('20250815_ETF_Options_Exhibits'!X2588:X2592),"")</f>
        <v/>
      </c>
      <c r="Y2592" s="3">
        <f>IF(ISNUMBER(AVERAGE('20250815_ETF_Options_Exhibits'!Y2588:Y2592)),AVERAGE('20250815_ETF_Options_Exhibits'!Y2588:Y2592),"")</f>
        <v/>
      </c>
      <c r="Z2592" s="3">
        <f>IF(ISNUMBER(AVERAGE('20250815_ETF_Options_Exhibits'!Z2588:Z2592)),AVERAGE('20250815_ETF_Options_Exhibits'!Z2588:Z2592),"")</f>
        <v/>
      </c>
      <c r="AA2592" s="3">
        <f>IF(ISNUMBER(AVERAGE('20250815_ETF_Options_Exhibits'!AA2588:AA2592)),AVERAGE('20250815_ETF_Options_Exhibits'!AA2588:AA2592),"")</f>
        <v/>
      </c>
    </row>
    <row r="2593">
      <c r="A2593" s="1" t="n">
        <v>45769</v>
      </c>
      <c r="B2593" s="3">
        <f>IF(ISNUMBER(AVERAGE('20250815_ETF_Options_Exhibits'!B2589:B2593)),AVERAGE('20250815_ETF_Options_Exhibits'!B2589:B2593),"")</f>
        <v/>
      </c>
      <c r="C2593" s="3">
        <f>IF(ISNUMBER(AVERAGE('20250815_ETF_Options_Exhibits'!C2589:C2593)),AVERAGE('20250815_ETF_Options_Exhibits'!C2589:C2593),"")</f>
        <v/>
      </c>
      <c r="D2593" s="3">
        <f>IF(ISNUMBER(AVERAGE('20250815_ETF_Options_Exhibits'!D2589:D2593)),AVERAGE('20250815_ETF_Options_Exhibits'!D2589:D2593),"")</f>
        <v/>
      </c>
      <c r="E2593" s="3">
        <f>IF(ISNUMBER(AVERAGE('20250815_ETF_Options_Exhibits'!E2589:E2593)),AVERAGE('20250815_ETF_Options_Exhibits'!E2589:E2593),"")</f>
        <v/>
      </c>
      <c r="F2593" s="3">
        <f>IF(ISNUMBER(AVERAGE('20250815_ETF_Options_Exhibits'!F2589:F2593)),AVERAGE('20250815_ETF_Options_Exhibits'!F2589:F2593),"")</f>
        <v/>
      </c>
      <c r="G2593" s="3">
        <f>IF(ISNUMBER(AVERAGE('20250815_ETF_Options_Exhibits'!G2589:G2593)),AVERAGE('20250815_ETF_Options_Exhibits'!G2589:G2593),"")</f>
        <v/>
      </c>
      <c r="H2593" s="3">
        <f>IF(ISNUMBER(AVERAGE('20250815_ETF_Options_Exhibits'!H2589:H2593)),AVERAGE('20250815_ETF_Options_Exhibits'!H2589:H2593),"")</f>
        <v/>
      </c>
      <c r="I2593" s="3">
        <f>IF(ISNUMBER(AVERAGE('20250815_ETF_Options_Exhibits'!I2589:I2593)),AVERAGE('20250815_ETF_Options_Exhibits'!I2589:I2593),"")</f>
        <v/>
      </c>
      <c r="J2593" s="3">
        <f>IF(ISNUMBER(AVERAGE('20250815_ETF_Options_Exhibits'!J2589:J2593)),AVERAGE('20250815_ETF_Options_Exhibits'!J2589:J2593),"")</f>
        <v/>
      </c>
      <c r="K2593" s="3">
        <f>IF(ISNUMBER(AVERAGE('20250815_ETF_Options_Exhibits'!K2589:K2593)),AVERAGE('20250815_ETF_Options_Exhibits'!K2589:K2593),"")</f>
        <v/>
      </c>
      <c r="L2593" s="3">
        <f>IF(ISNUMBER(AVERAGE('20250815_ETF_Options_Exhibits'!L2589:L2593)),AVERAGE('20250815_ETF_Options_Exhibits'!L2589:L2593),"")</f>
        <v/>
      </c>
      <c r="M2593" s="3">
        <f>IF(ISNUMBER(AVERAGE('20250815_ETF_Options_Exhibits'!M2589:M2593)),AVERAGE('20250815_ETF_Options_Exhibits'!M2589:M2593),"")</f>
        <v/>
      </c>
      <c r="N2593" s="3">
        <f>IF(ISNUMBER(AVERAGE('20250815_ETF_Options_Exhibits'!N2589:N2593)),AVERAGE('20250815_ETF_Options_Exhibits'!N2589:N2593),"")</f>
        <v/>
      </c>
      <c r="O2593" s="3">
        <f>IF(ISNUMBER(AVERAGE('20250815_ETF_Options_Exhibits'!O2589:O2593)),AVERAGE('20250815_ETF_Options_Exhibits'!O2589:O2593),"")</f>
        <v/>
      </c>
      <c r="P2593" s="3">
        <f>IF(ISNUMBER(AVERAGE('20250815_ETF_Options_Exhibits'!P2589:P2593)),AVERAGE('20250815_ETF_Options_Exhibits'!P2589:P2593),"")</f>
        <v/>
      </c>
      <c r="Q2593" s="3">
        <f>IF(ISNUMBER(AVERAGE('20250815_ETF_Options_Exhibits'!Q2589:Q2593)),AVERAGE('20250815_ETF_Options_Exhibits'!Q2589:Q2593),"")</f>
        <v/>
      </c>
      <c r="R2593" s="3">
        <f>IF(ISNUMBER(AVERAGE('20250815_ETF_Options_Exhibits'!R2589:R2593)),AVERAGE('20250815_ETF_Options_Exhibits'!R2589:R2593),"")</f>
        <v/>
      </c>
      <c r="S2593" s="3">
        <f>IF(ISNUMBER(AVERAGE('20250815_ETF_Options_Exhibits'!S2589:S2593)),AVERAGE('20250815_ETF_Options_Exhibits'!S2589:S2593),"")</f>
        <v/>
      </c>
      <c r="T2593" s="3">
        <f>IF(ISNUMBER(AVERAGE('20250815_ETF_Options_Exhibits'!T2589:T2593)),AVERAGE('20250815_ETF_Options_Exhibits'!T2589:T2593),"")</f>
        <v/>
      </c>
      <c r="U2593" s="3">
        <f>IF(ISNUMBER(AVERAGE('20250815_ETF_Options_Exhibits'!U2589:U2593)),AVERAGE('20250815_ETF_Options_Exhibits'!U2589:U2593),"")</f>
        <v/>
      </c>
      <c r="V2593" s="3">
        <f>IF(ISNUMBER(AVERAGE('20250815_ETF_Options_Exhibits'!V2589:V2593)),AVERAGE('20250815_ETF_Options_Exhibits'!V2589:V2593),"")</f>
        <v/>
      </c>
      <c r="W2593" s="3">
        <f>IF(ISNUMBER(AVERAGE('20250815_ETF_Options_Exhibits'!W2589:W2593)),AVERAGE('20250815_ETF_Options_Exhibits'!W2589:W2593),"")</f>
        <v/>
      </c>
      <c r="X2593" s="3">
        <f>IF(ISNUMBER(AVERAGE('20250815_ETF_Options_Exhibits'!X2589:X2593)),AVERAGE('20250815_ETF_Options_Exhibits'!X2589:X2593),"")</f>
        <v/>
      </c>
      <c r="Y2593" s="3">
        <f>IF(ISNUMBER(AVERAGE('20250815_ETF_Options_Exhibits'!Y2589:Y2593)),AVERAGE('20250815_ETF_Options_Exhibits'!Y2589:Y2593),"")</f>
        <v/>
      </c>
      <c r="Z2593" s="3">
        <f>IF(ISNUMBER(AVERAGE('20250815_ETF_Options_Exhibits'!Z2589:Z2593)),AVERAGE('20250815_ETF_Options_Exhibits'!Z2589:Z2593),"")</f>
        <v/>
      </c>
      <c r="AA2593" s="3">
        <f>IF(ISNUMBER(AVERAGE('20250815_ETF_Options_Exhibits'!AA2589:AA2593)),AVERAGE('20250815_ETF_Options_Exhibits'!AA2589:AA2593),"")</f>
        <v/>
      </c>
    </row>
    <row r="2594">
      <c r="A2594" s="1" t="n">
        <v>45770</v>
      </c>
      <c r="B2594" s="3">
        <f>IF(ISNUMBER(AVERAGE('20250815_ETF_Options_Exhibits'!B2590:B2594)),AVERAGE('20250815_ETF_Options_Exhibits'!B2590:B2594),"")</f>
        <v/>
      </c>
      <c r="C2594" s="3">
        <f>IF(ISNUMBER(AVERAGE('20250815_ETF_Options_Exhibits'!C2590:C2594)),AVERAGE('20250815_ETF_Options_Exhibits'!C2590:C2594),"")</f>
        <v/>
      </c>
      <c r="D2594" s="3">
        <f>IF(ISNUMBER(AVERAGE('20250815_ETF_Options_Exhibits'!D2590:D2594)),AVERAGE('20250815_ETF_Options_Exhibits'!D2590:D2594),"")</f>
        <v/>
      </c>
      <c r="E2594" s="3">
        <f>IF(ISNUMBER(AVERAGE('20250815_ETF_Options_Exhibits'!E2590:E2594)),AVERAGE('20250815_ETF_Options_Exhibits'!E2590:E2594),"")</f>
        <v/>
      </c>
      <c r="F2594" s="3">
        <f>IF(ISNUMBER(AVERAGE('20250815_ETF_Options_Exhibits'!F2590:F2594)),AVERAGE('20250815_ETF_Options_Exhibits'!F2590:F2594),"")</f>
        <v/>
      </c>
      <c r="G2594" s="3">
        <f>IF(ISNUMBER(AVERAGE('20250815_ETF_Options_Exhibits'!G2590:G2594)),AVERAGE('20250815_ETF_Options_Exhibits'!G2590:G2594),"")</f>
        <v/>
      </c>
      <c r="H2594" s="3">
        <f>IF(ISNUMBER(AVERAGE('20250815_ETF_Options_Exhibits'!H2590:H2594)),AVERAGE('20250815_ETF_Options_Exhibits'!H2590:H2594),"")</f>
        <v/>
      </c>
      <c r="I2594" s="3">
        <f>IF(ISNUMBER(AVERAGE('20250815_ETF_Options_Exhibits'!I2590:I2594)),AVERAGE('20250815_ETF_Options_Exhibits'!I2590:I2594),"")</f>
        <v/>
      </c>
      <c r="J2594" s="3">
        <f>IF(ISNUMBER(AVERAGE('20250815_ETF_Options_Exhibits'!J2590:J2594)),AVERAGE('20250815_ETF_Options_Exhibits'!J2590:J2594),"")</f>
        <v/>
      </c>
      <c r="K2594" s="3">
        <f>IF(ISNUMBER(AVERAGE('20250815_ETF_Options_Exhibits'!K2590:K2594)),AVERAGE('20250815_ETF_Options_Exhibits'!K2590:K2594),"")</f>
        <v/>
      </c>
      <c r="L2594" s="3">
        <f>IF(ISNUMBER(AVERAGE('20250815_ETF_Options_Exhibits'!L2590:L2594)),AVERAGE('20250815_ETF_Options_Exhibits'!L2590:L2594),"")</f>
        <v/>
      </c>
      <c r="M2594" s="3">
        <f>IF(ISNUMBER(AVERAGE('20250815_ETF_Options_Exhibits'!M2590:M2594)),AVERAGE('20250815_ETF_Options_Exhibits'!M2590:M2594),"")</f>
        <v/>
      </c>
      <c r="N2594" s="3">
        <f>IF(ISNUMBER(AVERAGE('20250815_ETF_Options_Exhibits'!N2590:N2594)),AVERAGE('20250815_ETF_Options_Exhibits'!N2590:N2594),"")</f>
        <v/>
      </c>
      <c r="O2594" s="3">
        <f>IF(ISNUMBER(AVERAGE('20250815_ETF_Options_Exhibits'!O2590:O2594)),AVERAGE('20250815_ETF_Options_Exhibits'!O2590:O2594),"")</f>
        <v/>
      </c>
      <c r="P2594" s="3">
        <f>IF(ISNUMBER(AVERAGE('20250815_ETF_Options_Exhibits'!P2590:P2594)),AVERAGE('20250815_ETF_Options_Exhibits'!P2590:P2594),"")</f>
        <v/>
      </c>
      <c r="Q2594" s="3">
        <f>IF(ISNUMBER(AVERAGE('20250815_ETF_Options_Exhibits'!Q2590:Q2594)),AVERAGE('20250815_ETF_Options_Exhibits'!Q2590:Q2594),"")</f>
        <v/>
      </c>
      <c r="R2594" s="3">
        <f>IF(ISNUMBER(AVERAGE('20250815_ETF_Options_Exhibits'!R2590:R2594)),AVERAGE('20250815_ETF_Options_Exhibits'!R2590:R2594),"")</f>
        <v/>
      </c>
      <c r="S2594" s="3">
        <f>IF(ISNUMBER(AVERAGE('20250815_ETF_Options_Exhibits'!S2590:S2594)),AVERAGE('20250815_ETF_Options_Exhibits'!S2590:S2594),"")</f>
        <v/>
      </c>
      <c r="T2594" s="3">
        <f>IF(ISNUMBER(AVERAGE('20250815_ETF_Options_Exhibits'!T2590:T2594)),AVERAGE('20250815_ETF_Options_Exhibits'!T2590:T2594),"")</f>
        <v/>
      </c>
      <c r="U2594" s="3">
        <f>IF(ISNUMBER(AVERAGE('20250815_ETF_Options_Exhibits'!U2590:U2594)),AVERAGE('20250815_ETF_Options_Exhibits'!U2590:U2594),"")</f>
        <v/>
      </c>
      <c r="V2594" s="3">
        <f>IF(ISNUMBER(AVERAGE('20250815_ETF_Options_Exhibits'!V2590:V2594)),AVERAGE('20250815_ETF_Options_Exhibits'!V2590:V2594),"")</f>
        <v/>
      </c>
      <c r="W2594" s="3">
        <f>IF(ISNUMBER(AVERAGE('20250815_ETF_Options_Exhibits'!W2590:W2594)),AVERAGE('20250815_ETF_Options_Exhibits'!W2590:W2594),"")</f>
        <v/>
      </c>
      <c r="X2594" s="3">
        <f>IF(ISNUMBER(AVERAGE('20250815_ETF_Options_Exhibits'!X2590:X2594)),AVERAGE('20250815_ETF_Options_Exhibits'!X2590:X2594),"")</f>
        <v/>
      </c>
      <c r="Y2594" s="3">
        <f>IF(ISNUMBER(AVERAGE('20250815_ETF_Options_Exhibits'!Y2590:Y2594)),AVERAGE('20250815_ETF_Options_Exhibits'!Y2590:Y2594),"")</f>
        <v/>
      </c>
      <c r="Z2594" s="3">
        <f>IF(ISNUMBER(AVERAGE('20250815_ETF_Options_Exhibits'!Z2590:Z2594)),AVERAGE('20250815_ETF_Options_Exhibits'!Z2590:Z2594),"")</f>
        <v/>
      </c>
      <c r="AA2594" s="3">
        <f>IF(ISNUMBER(AVERAGE('20250815_ETF_Options_Exhibits'!AA2590:AA2594)),AVERAGE('20250815_ETF_Options_Exhibits'!AA2590:AA2594),"")</f>
        <v/>
      </c>
    </row>
    <row r="2595">
      <c r="A2595" s="1" t="n">
        <v>45771</v>
      </c>
      <c r="B2595" s="3">
        <f>IF(ISNUMBER(AVERAGE('20250815_ETF_Options_Exhibits'!B2591:B2595)),AVERAGE('20250815_ETF_Options_Exhibits'!B2591:B2595),"")</f>
        <v/>
      </c>
      <c r="C2595" s="3">
        <f>IF(ISNUMBER(AVERAGE('20250815_ETF_Options_Exhibits'!C2591:C2595)),AVERAGE('20250815_ETF_Options_Exhibits'!C2591:C2595),"")</f>
        <v/>
      </c>
      <c r="D2595" s="3">
        <f>IF(ISNUMBER(AVERAGE('20250815_ETF_Options_Exhibits'!D2591:D2595)),AVERAGE('20250815_ETF_Options_Exhibits'!D2591:D2595),"")</f>
        <v/>
      </c>
      <c r="E2595" s="3">
        <f>IF(ISNUMBER(AVERAGE('20250815_ETF_Options_Exhibits'!E2591:E2595)),AVERAGE('20250815_ETF_Options_Exhibits'!E2591:E2595),"")</f>
        <v/>
      </c>
      <c r="F2595" s="3">
        <f>IF(ISNUMBER(AVERAGE('20250815_ETF_Options_Exhibits'!F2591:F2595)),AVERAGE('20250815_ETF_Options_Exhibits'!F2591:F2595),"")</f>
        <v/>
      </c>
      <c r="G2595" s="3">
        <f>IF(ISNUMBER(AVERAGE('20250815_ETF_Options_Exhibits'!G2591:G2595)),AVERAGE('20250815_ETF_Options_Exhibits'!G2591:G2595),"")</f>
        <v/>
      </c>
      <c r="H2595" s="3">
        <f>IF(ISNUMBER(AVERAGE('20250815_ETF_Options_Exhibits'!H2591:H2595)),AVERAGE('20250815_ETF_Options_Exhibits'!H2591:H2595),"")</f>
        <v/>
      </c>
      <c r="I2595" s="3">
        <f>IF(ISNUMBER(AVERAGE('20250815_ETF_Options_Exhibits'!I2591:I2595)),AVERAGE('20250815_ETF_Options_Exhibits'!I2591:I2595),"")</f>
        <v/>
      </c>
      <c r="J2595" s="3">
        <f>IF(ISNUMBER(AVERAGE('20250815_ETF_Options_Exhibits'!J2591:J2595)),AVERAGE('20250815_ETF_Options_Exhibits'!J2591:J2595),"")</f>
        <v/>
      </c>
      <c r="K2595" s="3">
        <f>IF(ISNUMBER(AVERAGE('20250815_ETF_Options_Exhibits'!K2591:K2595)),AVERAGE('20250815_ETF_Options_Exhibits'!K2591:K2595),"")</f>
        <v/>
      </c>
      <c r="L2595" s="3">
        <f>IF(ISNUMBER(AVERAGE('20250815_ETF_Options_Exhibits'!L2591:L2595)),AVERAGE('20250815_ETF_Options_Exhibits'!L2591:L2595),"")</f>
        <v/>
      </c>
      <c r="M2595" s="3">
        <f>IF(ISNUMBER(AVERAGE('20250815_ETF_Options_Exhibits'!M2591:M2595)),AVERAGE('20250815_ETF_Options_Exhibits'!M2591:M2595),"")</f>
        <v/>
      </c>
      <c r="N2595" s="3">
        <f>IF(ISNUMBER(AVERAGE('20250815_ETF_Options_Exhibits'!N2591:N2595)),AVERAGE('20250815_ETF_Options_Exhibits'!N2591:N2595),"")</f>
        <v/>
      </c>
      <c r="O2595" s="3">
        <f>IF(ISNUMBER(AVERAGE('20250815_ETF_Options_Exhibits'!O2591:O2595)),AVERAGE('20250815_ETF_Options_Exhibits'!O2591:O2595),"")</f>
        <v/>
      </c>
      <c r="P2595" s="3">
        <f>IF(ISNUMBER(AVERAGE('20250815_ETF_Options_Exhibits'!P2591:P2595)),AVERAGE('20250815_ETF_Options_Exhibits'!P2591:P2595),"")</f>
        <v/>
      </c>
      <c r="Q2595" s="3">
        <f>IF(ISNUMBER(AVERAGE('20250815_ETF_Options_Exhibits'!Q2591:Q2595)),AVERAGE('20250815_ETF_Options_Exhibits'!Q2591:Q2595),"")</f>
        <v/>
      </c>
      <c r="R2595" s="3">
        <f>IF(ISNUMBER(AVERAGE('20250815_ETF_Options_Exhibits'!R2591:R2595)),AVERAGE('20250815_ETF_Options_Exhibits'!R2591:R2595),"")</f>
        <v/>
      </c>
      <c r="S2595" s="3">
        <f>IF(ISNUMBER(AVERAGE('20250815_ETF_Options_Exhibits'!S2591:S2595)),AVERAGE('20250815_ETF_Options_Exhibits'!S2591:S2595),"")</f>
        <v/>
      </c>
      <c r="T2595" s="3">
        <f>IF(ISNUMBER(AVERAGE('20250815_ETF_Options_Exhibits'!T2591:T2595)),AVERAGE('20250815_ETF_Options_Exhibits'!T2591:T2595),"")</f>
        <v/>
      </c>
      <c r="U2595" s="3">
        <f>IF(ISNUMBER(AVERAGE('20250815_ETF_Options_Exhibits'!U2591:U2595)),AVERAGE('20250815_ETF_Options_Exhibits'!U2591:U2595),"")</f>
        <v/>
      </c>
      <c r="V2595" s="3">
        <f>IF(ISNUMBER(AVERAGE('20250815_ETF_Options_Exhibits'!V2591:V2595)),AVERAGE('20250815_ETF_Options_Exhibits'!V2591:V2595),"")</f>
        <v/>
      </c>
      <c r="W2595" s="3">
        <f>IF(ISNUMBER(AVERAGE('20250815_ETF_Options_Exhibits'!W2591:W2595)),AVERAGE('20250815_ETF_Options_Exhibits'!W2591:W2595),"")</f>
        <v/>
      </c>
      <c r="X2595" s="3">
        <f>IF(ISNUMBER(AVERAGE('20250815_ETF_Options_Exhibits'!X2591:X2595)),AVERAGE('20250815_ETF_Options_Exhibits'!X2591:X2595),"")</f>
        <v/>
      </c>
      <c r="Y2595" s="3">
        <f>IF(ISNUMBER(AVERAGE('20250815_ETF_Options_Exhibits'!Y2591:Y2595)),AVERAGE('20250815_ETF_Options_Exhibits'!Y2591:Y2595),"")</f>
        <v/>
      </c>
      <c r="Z2595" s="3">
        <f>IF(ISNUMBER(AVERAGE('20250815_ETF_Options_Exhibits'!Z2591:Z2595)),AVERAGE('20250815_ETF_Options_Exhibits'!Z2591:Z2595),"")</f>
        <v/>
      </c>
      <c r="AA2595" s="3">
        <f>IF(ISNUMBER(AVERAGE('20250815_ETF_Options_Exhibits'!AA2591:AA2595)),AVERAGE('20250815_ETF_Options_Exhibits'!AA2591:AA2595),"")</f>
        <v/>
      </c>
    </row>
    <row r="2596">
      <c r="A2596" s="1" t="n">
        <v>45772</v>
      </c>
      <c r="B2596" s="3">
        <f>IF(ISNUMBER(AVERAGE('20250815_ETF_Options_Exhibits'!B2592:B2596)),AVERAGE('20250815_ETF_Options_Exhibits'!B2592:B2596),"")</f>
        <v/>
      </c>
      <c r="C2596" s="3">
        <f>IF(ISNUMBER(AVERAGE('20250815_ETF_Options_Exhibits'!C2592:C2596)),AVERAGE('20250815_ETF_Options_Exhibits'!C2592:C2596),"")</f>
        <v/>
      </c>
      <c r="D2596" s="3">
        <f>IF(ISNUMBER(AVERAGE('20250815_ETF_Options_Exhibits'!D2592:D2596)),AVERAGE('20250815_ETF_Options_Exhibits'!D2592:D2596),"")</f>
        <v/>
      </c>
      <c r="E2596" s="3">
        <f>IF(ISNUMBER(AVERAGE('20250815_ETF_Options_Exhibits'!E2592:E2596)),AVERAGE('20250815_ETF_Options_Exhibits'!E2592:E2596),"")</f>
        <v/>
      </c>
      <c r="F2596" s="3">
        <f>IF(ISNUMBER(AVERAGE('20250815_ETF_Options_Exhibits'!F2592:F2596)),AVERAGE('20250815_ETF_Options_Exhibits'!F2592:F2596),"")</f>
        <v/>
      </c>
      <c r="G2596" s="3">
        <f>IF(ISNUMBER(AVERAGE('20250815_ETF_Options_Exhibits'!G2592:G2596)),AVERAGE('20250815_ETF_Options_Exhibits'!G2592:G2596),"")</f>
        <v/>
      </c>
      <c r="H2596" s="3">
        <f>IF(ISNUMBER(AVERAGE('20250815_ETF_Options_Exhibits'!H2592:H2596)),AVERAGE('20250815_ETF_Options_Exhibits'!H2592:H2596),"")</f>
        <v/>
      </c>
      <c r="I2596" s="3">
        <f>IF(ISNUMBER(AVERAGE('20250815_ETF_Options_Exhibits'!I2592:I2596)),AVERAGE('20250815_ETF_Options_Exhibits'!I2592:I2596),"")</f>
        <v/>
      </c>
      <c r="J2596" s="3">
        <f>IF(ISNUMBER(AVERAGE('20250815_ETF_Options_Exhibits'!J2592:J2596)),AVERAGE('20250815_ETF_Options_Exhibits'!J2592:J2596),"")</f>
        <v/>
      </c>
      <c r="K2596" s="3">
        <f>IF(ISNUMBER(AVERAGE('20250815_ETF_Options_Exhibits'!K2592:K2596)),AVERAGE('20250815_ETF_Options_Exhibits'!K2592:K2596),"")</f>
        <v/>
      </c>
      <c r="L2596" s="3">
        <f>IF(ISNUMBER(AVERAGE('20250815_ETF_Options_Exhibits'!L2592:L2596)),AVERAGE('20250815_ETF_Options_Exhibits'!L2592:L2596),"")</f>
        <v/>
      </c>
      <c r="M2596" s="3">
        <f>IF(ISNUMBER(AVERAGE('20250815_ETF_Options_Exhibits'!M2592:M2596)),AVERAGE('20250815_ETF_Options_Exhibits'!M2592:M2596),"")</f>
        <v/>
      </c>
      <c r="N2596" s="3">
        <f>IF(ISNUMBER(AVERAGE('20250815_ETF_Options_Exhibits'!N2592:N2596)),AVERAGE('20250815_ETF_Options_Exhibits'!N2592:N2596),"")</f>
        <v/>
      </c>
      <c r="O2596" s="3">
        <f>IF(ISNUMBER(AVERAGE('20250815_ETF_Options_Exhibits'!O2592:O2596)),AVERAGE('20250815_ETF_Options_Exhibits'!O2592:O2596),"")</f>
        <v/>
      </c>
      <c r="P2596" s="3">
        <f>IF(ISNUMBER(AVERAGE('20250815_ETF_Options_Exhibits'!P2592:P2596)),AVERAGE('20250815_ETF_Options_Exhibits'!P2592:P2596),"")</f>
        <v/>
      </c>
      <c r="Q2596" s="3">
        <f>IF(ISNUMBER(AVERAGE('20250815_ETF_Options_Exhibits'!Q2592:Q2596)),AVERAGE('20250815_ETF_Options_Exhibits'!Q2592:Q2596),"")</f>
        <v/>
      </c>
      <c r="R2596" s="3">
        <f>IF(ISNUMBER(AVERAGE('20250815_ETF_Options_Exhibits'!R2592:R2596)),AVERAGE('20250815_ETF_Options_Exhibits'!R2592:R2596),"")</f>
        <v/>
      </c>
      <c r="S2596" s="3">
        <f>IF(ISNUMBER(AVERAGE('20250815_ETF_Options_Exhibits'!S2592:S2596)),AVERAGE('20250815_ETF_Options_Exhibits'!S2592:S2596),"")</f>
        <v/>
      </c>
      <c r="T2596" s="3">
        <f>IF(ISNUMBER(AVERAGE('20250815_ETF_Options_Exhibits'!T2592:T2596)),AVERAGE('20250815_ETF_Options_Exhibits'!T2592:T2596),"")</f>
        <v/>
      </c>
      <c r="U2596" s="3">
        <f>IF(ISNUMBER(AVERAGE('20250815_ETF_Options_Exhibits'!U2592:U2596)),AVERAGE('20250815_ETF_Options_Exhibits'!U2592:U2596),"")</f>
        <v/>
      </c>
      <c r="V2596" s="3">
        <f>IF(ISNUMBER(AVERAGE('20250815_ETF_Options_Exhibits'!V2592:V2596)),AVERAGE('20250815_ETF_Options_Exhibits'!V2592:V2596),"")</f>
        <v/>
      </c>
      <c r="W2596" s="3">
        <f>IF(ISNUMBER(AVERAGE('20250815_ETF_Options_Exhibits'!W2592:W2596)),AVERAGE('20250815_ETF_Options_Exhibits'!W2592:W2596),"")</f>
        <v/>
      </c>
      <c r="X2596" s="3">
        <f>IF(ISNUMBER(AVERAGE('20250815_ETF_Options_Exhibits'!X2592:X2596)),AVERAGE('20250815_ETF_Options_Exhibits'!X2592:X2596),"")</f>
        <v/>
      </c>
      <c r="Y2596" s="3">
        <f>IF(ISNUMBER(AVERAGE('20250815_ETF_Options_Exhibits'!Y2592:Y2596)),AVERAGE('20250815_ETF_Options_Exhibits'!Y2592:Y2596),"")</f>
        <v/>
      </c>
      <c r="Z2596" s="3">
        <f>IF(ISNUMBER(AVERAGE('20250815_ETF_Options_Exhibits'!Z2592:Z2596)),AVERAGE('20250815_ETF_Options_Exhibits'!Z2592:Z2596),"")</f>
        <v/>
      </c>
      <c r="AA2596" s="3">
        <f>IF(ISNUMBER(AVERAGE('20250815_ETF_Options_Exhibits'!AA2592:AA2596)),AVERAGE('20250815_ETF_Options_Exhibits'!AA2592:AA2596),"")</f>
        <v/>
      </c>
    </row>
    <row r="2597">
      <c r="A2597" s="1" t="n">
        <v>45775</v>
      </c>
      <c r="B2597" s="3">
        <f>IF(ISNUMBER(AVERAGE('20250815_ETF_Options_Exhibits'!B2593:B2597)),AVERAGE('20250815_ETF_Options_Exhibits'!B2593:B2597),"")</f>
        <v/>
      </c>
      <c r="C2597" s="3">
        <f>IF(ISNUMBER(AVERAGE('20250815_ETF_Options_Exhibits'!C2593:C2597)),AVERAGE('20250815_ETF_Options_Exhibits'!C2593:C2597),"")</f>
        <v/>
      </c>
      <c r="D2597" s="3">
        <f>IF(ISNUMBER(AVERAGE('20250815_ETF_Options_Exhibits'!D2593:D2597)),AVERAGE('20250815_ETF_Options_Exhibits'!D2593:D2597),"")</f>
        <v/>
      </c>
      <c r="E2597" s="3">
        <f>IF(ISNUMBER(AVERAGE('20250815_ETF_Options_Exhibits'!E2593:E2597)),AVERAGE('20250815_ETF_Options_Exhibits'!E2593:E2597),"")</f>
        <v/>
      </c>
      <c r="F2597" s="3">
        <f>IF(ISNUMBER(AVERAGE('20250815_ETF_Options_Exhibits'!F2593:F2597)),AVERAGE('20250815_ETF_Options_Exhibits'!F2593:F2597),"")</f>
        <v/>
      </c>
      <c r="G2597" s="3">
        <f>IF(ISNUMBER(AVERAGE('20250815_ETF_Options_Exhibits'!G2593:G2597)),AVERAGE('20250815_ETF_Options_Exhibits'!G2593:G2597),"")</f>
        <v/>
      </c>
      <c r="H2597" s="3">
        <f>IF(ISNUMBER(AVERAGE('20250815_ETF_Options_Exhibits'!H2593:H2597)),AVERAGE('20250815_ETF_Options_Exhibits'!H2593:H2597),"")</f>
        <v/>
      </c>
      <c r="I2597" s="3">
        <f>IF(ISNUMBER(AVERAGE('20250815_ETF_Options_Exhibits'!I2593:I2597)),AVERAGE('20250815_ETF_Options_Exhibits'!I2593:I2597),"")</f>
        <v/>
      </c>
      <c r="J2597" s="3">
        <f>IF(ISNUMBER(AVERAGE('20250815_ETF_Options_Exhibits'!J2593:J2597)),AVERAGE('20250815_ETF_Options_Exhibits'!J2593:J2597),"")</f>
        <v/>
      </c>
      <c r="K2597" s="3">
        <f>IF(ISNUMBER(AVERAGE('20250815_ETF_Options_Exhibits'!K2593:K2597)),AVERAGE('20250815_ETF_Options_Exhibits'!K2593:K2597),"")</f>
        <v/>
      </c>
      <c r="L2597" s="3">
        <f>IF(ISNUMBER(AVERAGE('20250815_ETF_Options_Exhibits'!L2593:L2597)),AVERAGE('20250815_ETF_Options_Exhibits'!L2593:L2597),"")</f>
        <v/>
      </c>
      <c r="M2597" s="3">
        <f>IF(ISNUMBER(AVERAGE('20250815_ETF_Options_Exhibits'!M2593:M2597)),AVERAGE('20250815_ETF_Options_Exhibits'!M2593:M2597),"")</f>
        <v/>
      </c>
      <c r="N2597" s="3">
        <f>IF(ISNUMBER(AVERAGE('20250815_ETF_Options_Exhibits'!N2593:N2597)),AVERAGE('20250815_ETF_Options_Exhibits'!N2593:N2597),"")</f>
        <v/>
      </c>
      <c r="O2597" s="3">
        <f>IF(ISNUMBER(AVERAGE('20250815_ETF_Options_Exhibits'!O2593:O2597)),AVERAGE('20250815_ETF_Options_Exhibits'!O2593:O2597),"")</f>
        <v/>
      </c>
      <c r="P2597" s="3">
        <f>IF(ISNUMBER(AVERAGE('20250815_ETF_Options_Exhibits'!P2593:P2597)),AVERAGE('20250815_ETF_Options_Exhibits'!P2593:P2597),"")</f>
        <v/>
      </c>
      <c r="Q2597" s="3">
        <f>IF(ISNUMBER(AVERAGE('20250815_ETF_Options_Exhibits'!Q2593:Q2597)),AVERAGE('20250815_ETF_Options_Exhibits'!Q2593:Q2597),"")</f>
        <v/>
      </c>
      <c r="R2597" s="3">
        <f>IF(ISNUMBER(AVERAGE('20250815_ETF_Options_Exhibits'!R2593:R2597)),AVERAGE('20250815_ETF_Options_Exhibits'!R2593:R2597),"")</f>
        <v/>
      </c>
      <c r="S2597" s="3">
        <f>IF(ISNUMBER(AVERAGE('20250815_ETF_Options_Exhibits'!S2593:S2597)),AVERAGE('20250815_ETF_Options_Exhibits'!S2593:S2597),"")</f>
        <v/>
      </c>
      <c r="T2597" s="3">
        <f>IF(ISNUMBER(AVERAGE('20250815_ETF_Options_Exhibits'!T2593:T2597)),AVERAGE('20250815_ETF_Options_Exhibits'!T2593:T2597),"")</f>
        <v/>
      </c>
      <c r="U2597" s="3">
        <f>IF(ISNUMBER(AVERAGE('20250815_ETF_Options_Exhibits'!U2593:U2597)),AVERAGE('20250815_ETF_Options_Exhibits'!U2593:U2597),"")</f>
        <v/>
      </c>
      <c r="V2597" s="3">
        <f>IF(ISNUMBER(AVERAGE('20250815_ETF_Options_Exhibits'!V2593:V2597)),AVERAGE('20250815_ETF_Options_Exhibits'!V2593:V2597),"")</f>
        <v/>
      </c>
      <c r="W2597" s="3">
        <f>IF(ISNUMBER(AVERAGE('20250815_ETF_Options_Exhibits'!W2593:W2597)),AVERAGE('20250815_ETF_Options_Exhibits'!W2593:W2597),"")</f>
        <v/>
      </c>
      <c r="X2597" s="3">
        <f>IF(ISNUMBER(AVERAGE('20250815_ETF_Options_Exhibits'!X2593:X2597)),AVERAGE('20250815_ETF_Options_Exhibits'!X2593:X2597),"")</f>
        <v/>
      </c>
      <c r="Y2597" s="3">
        <f>IF(ISNUMBER(AVERAGE('20250815_ETF_Options_Exhibits'!Y2593:Y2597)),AVERAGE('20250815_ETF_Options_Exhibits'!Y2593:Y2597),"")</f>
        <v/>
      </c>
      <c r="Z2597" s="3">
        <f>IF(ISNUMBER(AVERAGE('20250815_ETF_Options_Exhibits'!Z2593:Z2597)),AVERAGE('20250815_ETF_Options_Exhibits'!Z2593:Z2597),"")</f>
        <v/>
      </c>
      <c r="AA2597" s="3">
        <f>IF(ISNUMBER(AVERAGE('20250815_ETF_Options_Exhibits'!AA2593:AA2597)),AVERAGE('20250815_ETF_Options_Exhibits'!AA2593:AA2597),"")</f>
        <v/>
      </c>
    </row>
    <row r="2598">
      <c r="A2598" s="1" t="n">
        <v>45776</v>
      </c>
      <c r="B2598" s="3">
        <f>IF(ISNUMBER(AVERAGE('20250815_ETF_Options_Exhibits'!B2594:B2598)),AVERAGE('20250815_ETF_Options_Exhibits'!B2594:B2598),"")</f>
        <v/>
      </c>
      <c r="C2598" s="3">
        <f>IF(ISNUMBER(AVERAGE('20250815_ETF_Options_Exhibits'!C2594:C2598)),AVERAGE('20250815_ETF_Options_Exhibits'!C2594:C2598),"")</f>
        <v/>
      </c>
      <c r="D2598" s="3">
        <f>IF(ISNUMBER(AVERAGE('20250815_ETF_Options_Exhibits'!D2594:D2598)),AVERAGE('20250815_ETF_Options_Exhibits'!D2594:D2598),"")</f>
        <v/>
      </c>
      <c r="E2598" s="3">
        <f>IF(ISNUMBER(AVERAGE('20250815_ETF_Options_Exhibits'!E2594:E2598)),AVERAGE('20250815_ETF_Options_Exhibits'!E2594:E2598),"")</f>
        <v/>
      </c>
      <c r="F2598" s="3">
        <f>IF(ISNUMBER(AVERAGE('20250815_ETF_Options_Exhibits'!F2594:F2598)),AVERAGE('20250815_ETF_Options_Exhibits'!F2594:F2598),"")</f>
        <v/>
      </c>
      <c r="G2598" s="3">
        <f>IF(ISNUMBER(AVERAGE('20250815_ETF_Options_Exhibits'!G2594:G2598)),AVERAGE('20250815_ETF_Options_Exhibits'!G2594:G2598),"")</f>
        <v/>
      </c>
      <c r="H2598" s="3">
        <f>IF(ISNUMBER(AVERAGE('20250815_ETF_Options_Exhibits'!H2594:H2598)),AVERAGE('20250815_ETF_Options_Exhibits'!H2594:H2598),"")</f>
        <v/>
      </c>
      <c r="I2598" s="3">
        <f>IF(ISNUMBER(AVERAGE('20250815_ETF_Options_Exhibits'!I2594:I2598)),AVERAGE('20250815_ETF_Options_Exhibits'!I2594:I2598),"")</f>
        <v/>
      </c>
      <c r="J2598" s="3">
        <f>IF(ISNUMBER(AVERAGE('20250815_ETF_Options_Exhibits'!J2594:J2598)),AVERAGE('20250815_ETF_Options_Exhibits'!J2594:J2598),"")</f>
        <v/>
      </c>
      <c r="K2598" s="3">
        <f>IF(ISNUMBER(AVERAGE('20250815_ETF_Options_Exhibits'!K2594:K2598)),AVERAGE('20250815_ETF_Options_Exhibits'!K2594:K2598),"")</f>
        <v/>
      </c>
      <c r="L2598" s="3">
        <f>IF(ISNUMBER(AVERAGE('20250815_ETF_Options_Exhibits'!L2594:L2598)),AVERAGE('20250815_ETF_Options_Exhibits'!L2594:L2598),"")</f>
        <v/>
      </c>
      <c r="M2598" s="3">
        <f>IF(ISNUMBER(AVERAGE('20250815_ETF_Options_Exhibits'!M2594:M2598)),AVERAGE('20250815_ETF_Options_Exhibits'!M2594:M2598),"")</f>
        <v/>
      </c>
      <c r="N2598" s="3">
        <f>IF(ISNUMBER(AVERAGE('20250815_ETF_Options_Exhibits'!N2594:N2598)),AVERAGE('20250815_ETF_Options_Exhibits'!N2594:N2598),"")</f>
        <v/>
      </c>
      <c r="O2598" s="3">
        <f>IF(ISNUMBER(AVERAGE('20250815_ETF_Options_Exhibits'!O2594:O2598)),AVERAGE('20250815_ETF_Options_Exhibits'!O2594:O2598),"")</f>
        <v/>
      </c>
      <c r="P2598" s="3">
        <f>IF(ISNUMBER(AVERAGE('20250815_ETF_Options_Exhibits'!P2594:P2598)),AVERAGE('20250815_ETF_Options_Exhibits'!P2594:P2598),"")</f>
        <v/>
      </c>
      <c r="Q2598" s="3">
        <f>IF(ISNUMBER(AVERAGE('20250815_ETF_Options_Exhibits'!Q2594:Q2598)),AVERAGE('20250815_ETF_Options_Exhibits'!Q2594:Q2598),"")</f>
        <v/>
      </c>
      <c r="R2598" s="3">
        <f>IF(ISNUMBER(AVERAGE('20250815_ETF_Options_Exhibits'!R2594:R2598)),AVERAGE('20250815_ETF_Options_Exhibits'!R2594:R2598),"")</f>
        <v/>
      </c>
      <c r="S2598" s="3">
        <f>IF(ISNUMBER(AVERAGE('20250815_ETF_Options_Exhibits'!S2594:S2598)),AVERAGE('20250815_ETF_Options_Exhibits'!S2594:S2598),"")</f>
        <v/>
      </c>
      <c r="T2598" s="3">
        <f>IF(ISNUMBER(AVERAGE('20250815_ETF_Options_Exhibits'!T2594:T2598)),AVERAGE('20250815_ETF_Options_Exhibits'!T2594:T2598),"")</f>
        <v/>
      </c>
      <c r="U2598" s="3">
        <f>IF(ISNUMBER(AVERAGE('20250815_ETF_Options_Exhibits'!U2594:U2598)),AVERAGE('20250815_ETF_Options_Exhibits'!U2594:U2598),"")</f>
        <v/>
      </c>
      <c r="V2598" s="3">
        <f>IF(ISNUMBER(AVERAGE('20250815_ETF_Options_Exhibits'!V2594:V2598)),AVERAGE('20250815_ETF_Options_Exhibits'!V2594:V2598),"")</f>
        <v/>
      </c>
      <c r="W2598" s="3">
        <f>IF(ISNUMBER(AVERAGE('20250815_ETF_Options_Exhibits'!W2594:W2598)),AVERAGE('20250815_ETF_Options_Exhibits'!W2594:W2598),"")</f>
        <v/>
      </c>
      <c r="X2598" s="3">
        <f>IF(ISNUMBER(AVERAGE('20250815_ETF_Options_Exhibits'!X2594:X2598)),AVERAGE('20250815_ETF_Options_Exhibits'!X2594:X2598),"")</f>
        <v/>
      </c>
      <c r="Y2598" s="3">
        <f>IF(ISNUMBER(AVERAGE('20250815_ETF_Options_Exhibits'!Y2594:Y2598)),AVERAGE('20250815_ETF_Options_Exhibits'!Y2594:Y2598),"")</f>
        <v/>
      </c>
      <c r="Z2598" s="3">
        <f>IF(ISNUMBER(AVERAGE('20250815_ETF_Options_Exhibits'!Z2594:Z2598)),AVERAGE('20250815_ETF_Options_Exhibits'!Z2594:Z2598),"")</f>
        <v/>
      </c>
      <c r="AA2598" s="3">
        <f>IF(ISNUMBER(AVERAGE('20250815_ETF_Options_Exhibits'!AA2594:AA2598)),AVERAGE('20250815_ETF_Options_Exhibits'!AA2594:AA2598),"")</f>
        <v/>
      </c>
    </row>
    <row r="2599">
      <c r="A2599" s="1" t="n">
        <v>45777</v>
      </c>
      <c r="B2599" s="3">
        <f>IF(ISNUMBER(AVERAGE('20250815_ETF_Options_Exhibits'!B2595:B2599)),AVERAGE('20250815_ETF_Options_Exhibits'!B2595:B2599),"")</f>
        <v/>
      </c>
      <c r="C2599" s="3">
        <f>IF(ISNUMBER(AVERAGE('20250815_ETF_Options_Exhibits'!C2595:C2599)),AVERAGE('20250815_ETF_Options_Exhibits'!C2595:C2599),"")</f>
        <v/>
      </c>
      <c r="D2599" s="3">
        <f>IF(ISNUMBER(AVERAGE('20250815_ETF_Options_Exhibits'!D2595:D2599)),AVERAGE('20250815_ETF_Options_Exhibits'!D2595:D2599),"")</f>
        <v/>
      </c>
      <c r="E2599" s="3">
        <f>IF(ISNUMBER(AVERAGE('20250815_ETF_Options_Exhibits'!E2595:E2599)),AVERAGE('20250815_ETF_Options_Exhibits'!E2595:E2599),"")</f>
        <v/>
      </c>
      <c r="F2599" s="3">
        <f>IF(ISNUMBER(AVERAGE('20250815_ETF_Options_Exhibits'!F2595:F2599)),AVERAGE('20250815_ETF_Options_Exhibits'!F2595:F2599),"")</f>
        <v/>
      </c>
      <c r="G2599" s="3">
        <f>IF(ISNUMBER(AVERAGE('20250815_ETF_Options_Exhibits'!G2595:G2599)),AVERAGE('20250815_ETF_Options_Exhibits'!G2595:G2599),"")</f>
        <v/>
      </c>
      <c r="H2599" s="3">
        <f>IF(ISNUMBER(AVERAGE('20250815_ETF_Options_Exhibits'!H2595:H2599)),AVERAGE('20250815_ETF_Options_Exhibits'!H2595:H2599),"")</f>
        <v/>
      </c>
      <c r="I2599" s="3">
        <f>IF(ISNUMBER(AVERAGE('20250815_ETF_Options_Exhibits'!I2595:I2599)),AVERAGE('20250815_ETF_Options_Exhibits'!I2595:I2599),"")</f>
        <v/>
      </c>
      <c r="J2599" s="3">
        <f>IF(ISNUMBER(AVERAGE('20250815_ETF_Options_Exhibits'!J2595:J2599)),AVERAGE('20250815_ETF_Options_Exhibits'!J2595:J2599),"")</f>
        <v/>
      </c>
      <c r="K2599" s="3">
        <f>IF(ISNUMBER(AVERAGE('20250815_ETF_Options_Exhibits'!K2595:K2599)),AVERAGE('20250815_ETF_Options_Exhibits'!K2595:K2599),"")</f>
        <v/>
      </c>
      <c r="L2599" s="3">
        <f>IF(ISNUMBER(AVERAGE('20250815_ETF_Options_Exhibits'!L2595:L2599)),AVERAGE('20250815_ETF_Options_Exhibits'!L2595:L2599),"")</f>
        <v/>
      </c>
      <c r="M2599" s="3">
        <f>IF(ISNUMBER(AVERAGE('20250815_ETF_Options_Exhibits'!M2595:M2599)),AVERAGE('20250815_ETF_Options_Exhibits'!M2595:M2599),"")</f>
        <v/>
      </c>
      <c r="N2599" s="3">
        <f>IF(ISNUMBER(AVERAGE('20250815_ETF_Options_Exhibits'!N2595:N2599)),AVERAGE('20250815_ETF_Options_Exhibits'!N2595:N2599),"")</f>
        <v/>
      </c>
      <c r="O2599" s="3">
        <f>IF(ISNUMBER(AVERAGE('20250815_ETF_Options_Exhibits'!O2595:O2599)),AVERAGE('20250815_ETF_Options_Exhibits'!O2595:O2599),"")</f>
        <v/>
      </c>
      <c r="P2599" s="3">
        <f>IF(ISNUMBER(AVERAGE('20250815_ETF_Options_Exhibits'!P2595:P2599)),AVERAGE('20250815_ETF_Options_Exhibits'!P2595:P2599),"")</f>
        <v/>
      </c>
      <c r="Q2599" s="3">
        <f>IF(ISNUMBER(AVERAGE('20250815_ETF_Options_Exhibits'!Q2595:Q2599)),AVERAGE('20250815_ETF_Options_Exhibits'!Q2595:Q2599),"")</f>
        <v/>
      </c>
      <c r="R2599" s="3">
        <f>IF(ISNUMBER(AVERAGE('20250815_ETF_Options_Exhibits'!R2595:R2599)),AVERAGE('20250815_ETF_Options_Exhibits'!R2595:R2599),"")</f>
        <v/>
      </c>
      <c r="S2599" s="3">
        <f>IF(ISNUMBER(AVERAGE('20250815_ETF_Options_Exhibits'!S2595:S2599)),AVERAGE('20250815_ETF_Options_Exhibits'!S2595:S2599),"")</f>
        <v/>
      </c>
      <c r="T2599" s="3">
        <f>IF(ISNUMBER(AVERAGE('20250815_ETF_Options_Exhibits'!T2595:T2599)),AVERAGE('20250815_ETF_Options_Exhibits'!T2595:T2599),"")</f>
        <v/>
      </c>
      <c r="U2599" s="3">
        <f>IF(ISNUMBER(AVERAGE('20250815_ETF_Options_Exhibits'!U2595:U2599)),AVERAGE('20250815_ETF_Options_Exhibits'!U2595:U2599),"")</f>
        <v/>
      </c>
      <c r="V2599" s="3">
        <f>IF(ISNUMBER(AVERAGE('20250815_ETF_Options_Exhibits'!V2595:V2599)),AVERAGE('20250815_ETF_Options_Exhibits'!V2595:V2599),"")</f>
        <v/>
      </c>
      <c r="W2599" s="3">
        <f>IF(ISNUMBER(AVERAGE('20250815_ETF_Options_Exhibits'!W2595:W2599)),AVERAGE('20250815_ETF_Options_Exhibits'!W2595:W2599),"")</f>
        <v/>
      </c>
      <c r="X2599" s="3">
        <f>IF(ISNUMBER(AVERAGE('20250815_ETF_Options_Exhibits'!X2595:X2599)),AVERAGE('20250815_ETF_Options_Exhibits'!X2595:X2599),"")</f>
        <v/>
      </c>
      <c r="Y2599" s="3">
        <f>IF(ISNUMBER(AVERAGE('20250815_ETF_Options_Exhibits'!Y2595:Y2599)),AVERAGE('20250815_ETF_Options_Exhibits'!Y2595:Y2599),"")</f>
        <v/>
      </c>
      <c r="Z2599" s="3">
        <f>IF(ISNUMBER(AVERAGE('20250815_ETF_Options_Exhibits'!Z2595:Z2599)),AVERAGE('20250815_ETF_Options_Exhibits'!Z2595:Z2599),"")</f>
        <v/>
      </c>
      <c r="AA2599" s="3">
        <f>IF(ISNUMBER(AVERAGE('20250815_ETF_Options_Exhibits'!AA2595:AA2599)),AVERAGE('20250815_ETF_Options_Exhibits'!AA2595:AA2599),"")</f>
        <v/>
      </c>
    </row>
    <row r="2600">
      <c r="A2600" s="1" t="n">
        <v>45778</v>
      </c>
      <c r="B2600" s="3">
        <f>IF(ISNUMBER(AVERAGE('20250815_ETF_Options_Exhibits'!B2596:B2600)),AVERAGE('20250815_ETF_Options_Exhibits'!B2596:B2600),"")</f>
        <v/>
      </c>
      <c r="C2600" s="3">
        <f>IF(ISNUMBER(AVERAGE('20250815_ETF_Options_Exhibits'!C2596:C2600)),AVERAGE('20250815_ETF_Options_Exhibits'!C2596:C2600),"")</f>
        <v/>
      </c>
      <c r="D2600" s="3">
        <f>IF(ISNUMBER(AVERAGE('20250815_ETF_Options_Exhibits'!D2596:D2600)),AVERAGE('20250815_ETF_Options_Exhibits'!D2596:D2600),"")</f>
        <v/>
      </c>
      <c r="E2600" s="3">
        <f>IF(ISNUMBER(AVERAGE('20250815_ETF_Options_Exhibits'!E2596:E2600)),AVERAGE('20250815_ETF_Options_Exhibits'!E2596:E2600),"")</f>
        <v/>
      </c>
      <c r="F2600" s="3">
        <f>IF(ISNUMBER(AVERAGE('20250815_ETF_Options_Exhibits'!F2596:F2600)),AVERAGE('20250815_ETF_Options_Exhibits'!F2596:F2600),"")</f>
        <v/>
      </c>
      <c r="G2600" s="3">
        <f>IF(ISNUMBER(AVERAGE('20250815_ETF_Options_Exhibits'!G2596:G2600)),AVERAGE('20250815_ETF_Options_Exhibits'!G2596:G2600),"")</f>
        <v/>
      </c>
      <c r="H2600" s="3">
        <f>IF(ISNUMBER(AVERAGE('20250815_ETF_Options_Exhibits'!H2596:H2600)),AVERAGE('20250815_ETF_Options_Exhibits'!H2596:H2600),"")</f>
        <v/>
      </c>
      <c r="I2600" s="3">
        <f>IF(ISNUMBER(AVERAGE('20250815_ETF_Options_Exhibits'!I2596:I2600)),AVERAGE('20250815_ETF_Options_Exhibits'!I2596:I2600),"")</f>
        <v/>
      </c>
      <c r="J2600" s="3">
        <f>IF(ISNUMBER(AVERAGE('20250815_ETF_Options_Exhibits'!J2596:J2600)),AVERAGE('20250815_ETF_Options_Exhibits'!J2596:J2600),"")</f>
        <v/>
      </c>
      <c r="K2600" s="3">
        <f>IF(ISNUMBER(AVERAGE('20250815_ETF_Options_Exhibits'!K2596:K2600)),AVERAGE('20250815_ETF_Options_Exhibits'!K2596:K2600),"")</f>
        <v/>
      </c>
      <c r="L2600" s="3">
        <f>IF(ISNUMBER(AVERAGE('20250815_ETF_Options_Exhibits'!L2596:L2600)),AVERAGE('20250815_ETF_Options_Exhibits'!L2596:L2600),"")</f>
        <v/>
      </c>
      <c r="M2600" s="3">
        <f>IF(ISNUMBER(AVERAGE('20250815_ETF_Options_Exhibits'!M2596:M2600)),AVERAGE('20250815_ETF_Options_Exhibits'!M2596:M2600),"")</f>
        <v/>
      </c>
      <c r="N2600" s="3">
        <f>IF(ISNUMBER(AVERAGE('20250815_ETF_Options_Exhibits'!N2596:N2600)),AVERAGE('20250815_ETF_Options_Exhibits'!N2596:N2600),"")</f>
        <v/>
      </c>
      <c r="O2600" s="3">
        <f>IF(ISNUMBER(AVERAGE('20250815_ETF_Options_Exhibits'!O2596:O2600)),AVERAGE('20250815_ETF_Options_Exhibits'!O2596:O2600),"")</f>
        <v/>
      </c>
      <c r="P2600" s="3">
        <f>IF(ISNUMBER(AVERAGE('20250815_ETF_Options_Exhibits'!P2596:P2600)),AVERAGE('20250815_ETF_Options_Exhibits'!P2596:P2600),"")</f>
        <v/>
      </c>
      <c r="Q2600" s="3">
        <f>IF(ISNUMBER(AVERAGE('20250815_ETF_Options_Exhibits'!Q2596:Q2600)),AVERAGE('20250815_ETF_Options_Exhibits'!Q2596:Q2600),"")</f>
        <v/>
      </c>
      <c r="R2600" s="3">
        <f>IF(ISNUMBER(AVERAGE('20250815_ETF_Options_Exhibits'!R2596:R2600)),AVERAGE('20250815_ETF_Options_Exhibits'!R2596:R2600),"")</f>
        <v/>
      </c>
      <c r="S2600" s="3">
        <f>IF(ISNUMBER(AVERAGE('20250815_ETF_Options_Exhibits'!S2596:S2600)),AVERAGE('20250815_ETF_Options_Exhibits'!S2596:S2600),"")</f>
        <v/>
      </c>
      <c r="T2600" s="3">
        <f>IF(ISNUMBER(AVERAGE('20250815_ETF_Options_Exhibits'!T2596:T2600)),AVERAGE('20250815_ETF_Options_Exhibits'!T2596:T2600),"")</f>
        <v/>
      </c>
      <c r="U2600" s="3">
        <f>IF(ISNUMBER(AVERAGE('20250815_ETF_Options_Exhibits'!U2596:U2600)),AVERAGE('20250815_ETF_Options_Exhibits'!U2596:U2600),"")</f>
        <v/>
      </c>
      <c r="V2600" s="3">
        <f>IF(ISNUMBER(AVERAGE('20250815_ETF_Options_Exhibits'!V2596:V2600)),AVERAGE('20250815_ETF_Options_Exhibits'!V2596:V2600),"")</f>
        <v/>
      </c>
      <c r="W2600" s="3">
        <f>IF(ISNUMBER(AVERAGE('20250815_ETF_Options_Exhibits'!W2596:W2600)),AVERAGE('20250815_ETF_Options_Exhibits'!W2596:W2600),"")</f>
        <v/>
      </c>
      <c r="X2600" s="3">
        <f>IF(ISNUMBER(AVERAGE('20250815_ETF_Options_Exhibits'!X2596:X2600)),AVERAGE('20250815_ETF_Options_Exhibits'!X2596:X2600),"")</f>
        <v/>
      </c>
      <c r="Y2600" s="3">
        <f>IF(ISNUMBER(AVERAGE('20250815_ETF_Options_Exhibits'!Y2596:Y2600)),AVERAGE('20250815_ETF_Options_Exhibits'!Y2596:Y2600),"")</f>
        <v/>
      </c>
      <c r="Z2600" s="3">
        <f>IF(ISNUMBER(AVERAGE('20250815_ETF_Options_Exhibits'!Z2596:Z2600)),AVERAGE('20250815_ETF_Options_Exhibits'!Z2596:Z2600),"")</f>
        <v/>
      </c>
      <c r="AA2600" s="3">
        <f>IF(ISNUMBER(AVERAGE('20250815_ETF_Options_Exhibits'!AA2596:AA2600)),AVERAGE('20250815_ETF_Options_Exhibits'!AA2596:AA2600),"")</f>
        <v/>
      </c>
    </row>
    <row r="2601">
      <c r="A2601" s="1" t="n">
        <v>45779</v>
      </c>
      <c r="B2601" s="3">
        <f>IF(ISNUMBER(AVERAGE('20250815_ETF_Options_Exhibits'!B2597:B2601)),AVERAGE('20250815_ETF_Options_Exhibits'!B2597:B2601),"")</f>
        <v/>
      </c>
      <c r="C2601" s="3">
        <f>IF(ISNUMBER(AVERAGE('20250815_ETF_Options_Exhibits'!C2597:C2601)),AVERAGE('20250815_ETF_Options_Exhibits'!C2597:C2601),"")</f>
        <v/>
      </c>
      <c r="D2601" s="3">
        <f>IF(ISNUMBER(AVERAGE('20250815_ETF_Options_Exhibits'!D2597:D2601)),AVERAGE('20250815_ETF_Options_Exhibits'!D2597:D2601),"")</f>
        <v/>
      </c>
      <c r="E2601" s="3">
        <f>IF(ISNUMBER(AVERAGE('20250815_ETF_Options_Exhibits'!E2597:E2601)),AVERAGE('20250815_ETF_Options_Exhibits'!E2597:E2601),"")</f>
        <v/>
      </c>
      <c r="F2601" s="3">
        <f>IF(ISNUMBER(AVERAGE('20250815_ETF_Options_Exhibits'!F2597:F2601)),AVERAGE('20250815_ETF_Options_Exhibits'!F2597:F2601),"")</f>
        <v/>
      </c>
      <c r="G2601" s="3">
        <f>IF(ISNUMBER(AVERAGE('20250815_ETF_Options_Exhibits'!G2597:G2601)),AVERAGE('20250815_ETF_Options_Exhibits'!G2597:G2601),"")</f>
        <v/>
      </c>
      <c r="H2601" s="3">
        <f>IF(ISNUMBER(AVERAGE('20250815_ETF_Options_Exhibits'!H2597:H2601)),AVERAGE('20250815_ETF_Options_Exhibits'!H2597:H2601),"")</f>
        <v/>
      </c>
      <c r="I2601" s="3">
        <f>IF(ISNUMBER(AVERAGE('20250815_ETF_Options_Exhibits'!I2597:I2601)),AVERAGE('20250815_ETF_Options_Exhibits'!I2597:I2601),"")</f>
        <v/>
      </c>
      <c r="J2601" s="3">
        <f>IF(ISNUMBER(AVERAGE('20250815_ETF_Options_Exhibits'!J2597:J2601)),AVERAGE('20250815_ETF_Options_Exhibits'!J2597:J2601),"")</f>
        <v/>
      </c>
      <c r="K2601" s="3">
        <f>IF(ISNUMBER(AVERAGE('20250815_ETF_Options_Exhibits'!K2597:K2601)),AVERAGE('20250815_ETF_Options_Exhibits'!K2597:K2601),"")</f>
        <v/>
      </c>
      <c r="L2601" s="3">
        <f>IF(ISNUMBER(AVERAGE('20250815_ETF_Options_Exhibits'!L2597:L2601)),AVERAGE('20250815_ETF_Options_Exhibits'!L2597:L2601),"")</f>
        <v/>
      </c>
      <c r="M2601" s="3">
        <f>IF(ISNUMBER(AVERAGE('20250815_ETF_Options_Exhibits'!M2597:M2601)),AVERAGE('20250815_ETF_Options_Exhibits'!M2597:M2601),"")</f>
        <v/>
      </c>
      <c r="N2601" s="3">
        <f>IF(ISNUMBER(AVERAGE('20250815_ETF_Options_Exhibits'!N2597:N2601)),AVERAGE('20250815_ETF_Options_Exhibits'!N2597:N2601),"")</f>
        <v/>
      </c>
      <c r="O2601" s="3">
        <f>IF(ISNUMBER(AVERAGE('20250815_ETF_Options_Exhibits'!O2597:O2601)),AVERAGE('20250815_ETF_Options_Exhibits'!O2597:O2601),"")</f>
        <v/>
      </c>
      <c r="P2601" s="3">
        <f>IF(ISNUMBER(AVERAGE('20250815_ETF_Options_Exhibits'!P2597:P2601)),AVERAGE('20250815_ETF_Options_Exhibits'!P2597:P2601),"")</f>
        <v/>
      </c>
      <c r="Q2601" s="3">
        <f>IF(ISNUMBER(AVERAGE('20250815_ETF_Options_Exhibits'!Q2597:Q2601)),AVERAGE('20250815_ETF_Options_Exhibits'!Q2597:Q2601),"")</f>
        <v/>
      </c>
      <c r="R2601" s="3">
        <f>IF(ISNUMBER(AVERAGE('20250815_ETF_Options_Exhibits'!R2597:R2601)),AVERAGE('20250815_ETF_Options_Exhibits'!R2597:R2601),"")</f>
        <v/>
      </c>
      <c r="S2601" s="3">
        <f>IF(ISNUMBER(AVERAGE('20250815_ETF_Options_Exhibits'!S2597:S2601)),AVERAGE('20250815_ETF_Options_Exhibits'!S2597:S2601),"")</f>
        <v/>
      </c>
      <c r="T2601" s="3">
        <f>IF(ISNUMBER(AVERAGE('20250815_ETF_Options_Exhibits'!T2597:T2601)),AVERAGE('20250815_ETF_Options_Exhibits'!T2597:T2601),"")</f>
        <v/>
      </c>
      <c r="U2601" s="3">
        <f>IF(ISNUMBER(AVERAGE('20250815_ETF_Options_Exhibits'!U2597:U2601)),AVERAGE('20250815_ETF_Options_Exhibits'!U2597:U2601),"")</f>
        <v/>
      </c>
      <c r="V2601" s="3">
        <f>IF(ISNUMBER(AVERAGE('20250815_ETF_Options_Exhibits'!V2597:V2601)),AVERAGE('20250815_ETF_Options_Exhibits'!V2597:V2601),"")</f>
        <v/>
      </c>
      <c r="W2601" s="3">
        <f>IF(ISNUMBER(AVERAGE('20250815_ETF_Options_Exhibits'!W2597:W2601)),AVERAGE('20250815_ETF_Options_Exhibits'!W2597:W2601),"")</f>
        <v/>
      </c>
      <c r="X2601" s="3">
        <f>IF(ISNUMBER(AVERAGE('20250815_ETF_Options_Exhibits'!X2597:X2601)),AVERAGE('20250815_ETF_Options_Exhibits'!X2597:X2601),"")</f>
        <v/>
      </c>
      <c r="Y2601" s="3">
        <f>IF(ISNUMBER(AVERAGE('20250815_ETF_Options_Exhibits'!Y2597:Y2601)),AVERAGE('20250815_ETF_Options_Exhibits'!Y2597:Y2601),"")</f>
        <v/>
      </c>
      <c r="Z2601" s="3">
        <f>IF(ISNUMBER(AVERAGE('20250815_ETF_Options_Exhibits'!Z2597:Z2601)),AVERAGE('20250815_ETF_Options_Exhibits'!Z2597:Z2601),"")</f>
        <v/>
      </c>
      <c r="AA2601" s="3">
        <f>IF(ISNUMBER(AVERAGE('20250815_ETF_Options_Exhibits'!AA2597:AA2601)),AVERAGE('20250815_ETF_Options_Exhibits'!AA2597:AA2601),"")</f>
        <v/>
      </c>
    </row>
    <row r="2602">
      <c r="A2602" s="1" t="n">
        <v>45782</v>
      </c>
      <c r="B2602" s="3">
        <f>IF(ISNUMBER(AVERAGE('20250815_ETF_Options_Exhibits'!B2598:B2602)),AVERAGE('20250815_ETF_Options_Exhibits'!B2598:B2602),"")</f>
        <v/>
      </c>
      <c r="C2602" s="3">
        <f>IF(ISNUMBER(AVERAGE('20250815_ETF_Options_Exhibits'!C2598:C2602)),AVERAGE('20250815_ETF_Options_Exhibits'!C2598:C2602),"")</f>
        <v/>
      </c>
      <c r="D2602" s="3">
        <f>IF(ISNUMBER(AVERAGE('20250815_ETF_Options_Exhibits'!D2598:D2602)),AVERAGE('20250815_ETF_Options_Exhibits'!D2598:D2602),"")</f>
        <v/>
      </c>
      <c r="E2602" s="3">
        <f>IF(ISNUMBER(AVERAGE('20250815_ETF_Options_Exhibits'!E2598:E2602)),AVERAGE('20250815_ETF_Options_Exhibits'!E2598:E2602),"")</f>
        <v/>
      </c>
      <c r="F2602" s="3">
        <f>IF(ISNUMBER(AVERAGE('20250815_ETF_Options_Exhibits'!F2598:F2602)),AVERAGE('20250815_ETF_Options_Exhibits'!F2598:F2602),"")</f>
        <v/>
      </c>
      <c r="G2602" s="3">
        <f>IF(ISNUMBER(AVERAGE('20250815_ETF_Options_Exhibits'!G2598:G2602)),AVERAGE('20250815_ETF_Options_Exhibits'!G2598:G2602),"")</f>
        <v/>
      </c>
      <c r="H2602" s="3">
        <f>IF(ISNUMBER(AVERAGE('20250815_ETF_Options_Exhibits'!H2598:H2602)),AVERAGE('20250815_ETF_Options_Exhibits'!H2598:H2602),"")</f>
        <v/>
      </c>
      <c r="I2602" s="3">
        <f>IF(ISNUMBER(AVERAGE('20250815_ETF_Options_Exhibits'!I2598:I2602)),AVERAGE('20250815_ETF_Options_Exhibits'!I2598:I2602),"")</f>
        <v/>
      </c>
      <c r="J2602" s="3">
        <f>IF(ISNUMBER(AVERAGE('20250815_ETF_Options_Exhibits'!J2598:J2602)),AVERAGE('20250815_ETF_Options_Exhibits'!J2598:J2602),"")</f>
        <v/>
      </c>
      <c r="K2602" s="3">
        <f>IF(ISNUMBER(AVERAGE('20250815_ETF_Options_Exhibits'!K2598:K2602)),AVERAGE('20250815_ETF_Options_Exhibits'!K2598:K2602),"")</f>
        <v/>
      </c>
      <c r="L2602" s="3">
        <f>IF(ISNUMBER(AVERAGE('20250815_ETF_Options_Exhibits'!L2598:L2602)),AVERAGE('20250815_ETF_Options_Exhibits'!L2598:L2602),"")</f>
        <v/>
      </c>
      <c r="M2602" s="3">
        <f>IF(ISNUMBER(AVERAGE('20250815_ETF_Options_Exhibits'!M2598:M2602)),AVERAGE('20250815_ETF_Options_Exhibits'!M2598:M2602),"")</f>
        <v/>
      </c>
      <c r="N2602" s="3">
        <f>IF(ISNUMBER(AVERAGE('20250815_ETF_Options_Exhibits'!N2598:N2602)),AVERAGE('20250815_ETF_Options_Exhibits'!N2598:N2602),"")</f>
        <v/>
      </c>
      <c r="O2602" s="3">
        <f>IF(ISNUMBER(AVERAGE('20250815_ETF_Options_Exhibits'!O2598:O2602)),AVERAGE('20250815_ETF_Options_Exhibits'!O2598:O2602),"")</f>
        <v/>
      </c>
      <c r="P2602" s="3">
        <f>IF(ISNUMBER(AVERAGE('20250815_ETF_Options_Exhibits'!P2598:P2602)),AVERAGE('20250815_ETF_Options_Exhibits'!P2598:P2602),"")</f>
        <v/>
      </c>
      <c r="Q2602" s="3">
        <f>IF(ISNUMBER(AVERAGE('20250815_ETF_Options_Exhibits'!Q2598:Q2602)),AVERAGE('20250815_ETF_Options_Exhibits'!Q2598:Q2602),"")</f>
        <v/>
      </c>
      <c r="R2602" s="3">
        <f>IF(ISNUMBER(AVERAGE('20250815_ETF_Options_Exhibits'!R2598:R2602)),AVERAGE('20250815_ETF_Options_Exhibits'!R2598:R2602),"")</f>
        <v/>
      </c>
      <c r="S2602" s="3">
        <f>IF(ISNUMBER(AVERAGE('20250815_ETF_Options_Exhibits'!S2598:S2602)),AVERAGE('20250815_ETF_Options_Exhibits'!S2598:S2602),"")</f>
        <v/>
      </c>
      <c r="T2602" s="3">
        <f>IF(ISNUMBER(AVERAGE('20250815_ETF_Options_Exhibits'!T2598:T2602)),AVERAGE('20250815_ETF_Options_Exhibits'!T2598:T2602),"")</f>
        <v/>
      </c>
      <c r="U2602" s="3">
        <f>IF(ISNUMBER(AVERAGE('20250815_ETF_Options_Exhibits'!U2598:U2602)),AVERAGE('20250815_ETF_Options_Exhibits'!U2598:U2602),"")</f>
        <v/>
      </c>
      <c r="V2602" s="3">
        <f>IF(ISNUMBER(AVERAGE('20250815_ETF_Options_Exhibits'!V2598:V2602)),AVERAGE('20250815_ETF_Options_Exhibits'!V2598:V2602),"")</f>
        <v/>
      </c>
      <c r="W2602" s="3">
        <f>IF(ISNUMBER(AVERAGE('20250815_ETF_Options_Exhibits'!W2598:W2602)),AVERAGE('20250815_ETF_Options_Exhibits'!W2598:W2602),"")</f>
        <v/>
      </c>
      <c r="X2602" s="3">
        <f>IF(ISNUMBER(AVERAGE('20250815_ETF_Options_Exhibits'!X2598:X2602)),AVERAGE('20250815_ETF_Options_Exhibits'!X2598:X2602),"")</f>
        <v/>
      </c>
      <c r="Y2602" s="3">
        <f>IF(ISNUMBER(AVERAGE('20250815_ETF_Options_Exhibits'!Y2598:Y2602)),AVERAGE('20250815_ETF_Options_Exhibits'!Y2598:Y2602),"")</f>
        <v/>
      </c>
      <c r="Z2602" s="3">
        <f>IF(ISNUMBER(AVERAGE('20250815_ETF_Options_Exhibits'!Z2598:Z2602)),AVERAGE('20250815_ETF_Options_Exhibits'!Z2598:Z2602),"")</f>
        <v/>
      </c>
      <c r="AA2602" s="3">
        <f>IF(ISNUMBER(AVERAGE('20250815_ETF_Options_Exhibits'!AA2598:AA2602)),AVERAGE('20250815_ETF_Options_Exhibits'!AA2598:AA2602),"")</f>
        <v/>
      </c>
    </row>
    <row r="2603">
      <c r="A2603" s="1" t="n">
        <v>45783</v>
      </c>
      <c r="B2603" s="3">
        <f>IF(ISNUMBER(AVERAGE('20250815_ETF_Options_Exhibits'!B2599:B2603)),AVERAGE('20250815_ETF_Options_Exhibits'!B2599:B2603),"")</f>
        <v/>
      </c>
      <c r="C2603" s="3">
        <f>IF(ISNUMBER(AVERAGE('20250815_ETF_Options_Exhibits'!C2599:C2603)),AVERAGE('20250815_ETF_Options_Exhibits'!C2599:C2603),"")</f>
        <v/>
      </c>
      <c r="D2603" s="3">
        <f>IF(ISNUMBER(AVERAGE('20250815_ETF_Options_Exhibits'!D2599:D2603)),AVERAGE('20250815_ETF_Options_Exhibits'!D2599:D2603),"")</f>
        <v/>
      </c>
      <c r="E2603" s="3">
        <f>IF(ISNUMBER(AVERAGE('20250815_ETF_Options_Exhibits'!E2599:E2603)),AVERAGE('20250815_ETF_Options_Exhibits'!E2599:E2603),"")</f>
        <v/>
      </c>
      <c r="F2603" s="3">
        <f>IF(ISNUMBER(AVERAGE('20250815_ETF_Options_Exhibits'!F2599:F2603)),AVERAGE('20250815_ETF_Options_Exhibits'!F2599:F2603),"")</f>
        <v/>
      </c>
      <c r="G2603" s="3">
        <f>IF(ISNUMBER(AVERAGE('20250815_ETF_Options_Exhibits'!G2599:G2603)),AVERAGE('20250815_ETF_Options_Exhibits'!G2599:G2603),"")</f>
        <v/>
      </c>
      <c r="H2603" s="3">
        <f>IF(ISNUMBER(AVERAGE('20250815_ETF_Options_Exhibits'!H2599:H2603)),AVERAGE('20250815_ETF_Options_Exhibits'!H2599:H2603),"")</f>
        <v/>
      </c>
      <c r="I2603" s="3">
        <f>IF(ISNUMBER(AVERAGE('20250815_ETF_Options_Exhibits'!I2599:I2603)),AVERAGE('20250815_ETF_Options_Exhibits'!I2599:I2603),"")</f>
        <v/>
      </c>
      <c r="J2603" s="3">
        <f>IF(ISNUMBER(AVERAGE('20250815_ETF_Options_Exhibits'!J2599:J2603)),AVERAGE('20250815_ETF_Options_Exhibits'!J2599:J2603),"")</f>
        <v/>
      </c>
      <c r="K2603" s="3">
        <f>IF(ISNUMBER(AVERAGE('20250815_ETF_Options_Exhibits'!K2599:K2603)),AVERAGE('20250815_ETF_Options_Exhibits'!K2599:K2603),"")</f>
        <v/>
      </c>
      <c r="L2603" s="3">
        <f>IF(ISNUMBER(AVERAGE('20250815_ETF_Options_Exhibits'!L2599:L2603)),AVERAGE('20250815_ETF_Options_Exhibits'!L2599:L2603),"")</f>
        <v/>
      </c>
      <c r="M2603" s="3">
        <f>IF(ISNUMBER(AVERAGE('20250815_ETF_Options_Exhibits'!M2599:M2603)),AVERAGE('20250815_ETF_Options_Exhibits'!M2599:M2603),"")</f>
        <v/>
      </c>
      <c r="N2603" s="3">
        <f>IF(ISNUMBER(AVERAGE('20250815_ETF_Options_Exhibits'!N2599:N2603)),AVERAGE('20250815_ETF_Options_Exhibits'!N2599:N2603),"")</f>
        <v/>
      </c>
      <c r="O2603" s="3">
        <f>IF(ISNUMBER(AVERAGE('20250815_ETF_Options_Exhibits'!O2599:O2603)),AVERAGE('20250815_ETF_Options_Exhibits'!O2599:O2603),"")</f>
        <v/>
      </c>
      <c r="P2603" s="3">
        <f>IF(ISNUMBER(AVERAGE('20250815_ETF_Options_Exhibits'!P2599:P2603)),AVERAGE('20250815_ETF_Options_Exhibits'!P2599:P2603),"")</f>
        <v/>
      </c>
      <c r="Q2603" s="3">
        <f>IF(ISNUMBER(AVERAGE('20250815_ETF_Options_Exhibits'!Q2599:Q2603)),AVERAGE('20250815_ETF_Options_Exhibits'!Q2599:Q2603),"")</f>
        <v/>
      </c>
      <c r="R2603" s="3">
        <f>IF(ISNUMBER(AVERAGE('20250815_ETF_Options_Exhibits'!R2599:R2603)),AVERAGE('20250815_ETF_Options_Exhibits'!R2599:R2603),"")</f>
        <v/>
      </c>
      <c r="S2603" s="3">
        <f>IF(ISNUMBER(AVERAGE('20250815_ETF_Options_Exhibits'!S2599:S2603)),AVERAGE('20250815_ETF_Options_Exhibits'!S2599:S2603),"")</f>
        <v/>
      </c>
      <c r="T2603" s="3">
        <f>IF(ISNUMBER(AVERAGE('20250815_ETF_Options_Exhibits'!T2599:T2603)),AVERAGE('20250815_ETF_Options_Exhibits'!T2599:T2603),"")</f>
        <v/>
      </c>
      <c r="U2603" s="3">
        <f>IF(ISNUMBER(AVERAGE('20250815_ETF_Options_Exhibits'!U2599:U2603)),AVERAGE('20250815_ETF_Options_Exhibits'!U2599:U2603),"")</f>
        <v/>
      </c>
      <c r="V2603" s="3">
        <f>IF(ISNUMBER(AVERAGE('20250815_ETF_Options_Exhibits'!V2599:V2603)),AVERAGE('20250815_ETF_Options_Exhibits'!V2599:V2603),"")</f>
        <v/>
      </c>
      <c r="W2603" s="3">
        <f>IF(ISNUMBER(AVERAGE('20250815_ETF_Options_Exhibits'!W2599:W2603)),AVERAGE('20250815_ETF_Options_Exhibits'!W2599:W2603),"")</f>
        <v/>
      </c>
      <c r="X2603" s="3">
        <f>IF(ISNUMBER(AVERAGE('20250815_ETF_Options_Exhibits'!X2599:X2603)),AVERAGE('20250815_ETF_Options_Exhibits'!X2599:X2603),"")</f>
        <v/>
      </c>
      <c r="Y2603" s="3">
        <f>IF(ISNUMBER(AVERAGE('20250815_ETF_Options_Exhibits'!Y2599:Y2603)),AVERAGE('20250815_ETF_Options_Exhibits'!Y2599:Y2603),"")</f>
        <v/>
      </c>
      <c r="Z2603" s="3">
        <f>IF(ISNUMBER(AVERAGE('20250815_ETF_Options_Exhibits'!Z2599:Z2603)),AVERAGE('20250815_ETF_Options_Exhibits'!Z2599:Z2603),"")</f>
        <v/>
      </c>
      <c r="AA2603" s="3">
        <f>IF(ISNUMBER(AVERAGE('20250815_ETF_Options_Exhibits'!AA2599:AA2603)),AVERAGE('20250815_ETF_Options_Exhibits'!AA2599:AA2603),"")</f>
        <v/>
      </c>
    </row>
    <row r="2604">
      <c r="A2604" s="1" t="n">
        <v>45784</v>
      </c>
      <c r="B2604" s="3">
        <f>IF(ISNUMBER(AVERAGE('20250815_ETF_Options_Exhibits'!B2600:B2604)),AVERAGE('20250815_ETF_Options_Exhibits'!B2600:B2604),"")</f>
        <v/>
      </c>
      <c r="C2604" s="3">
        <f>IF(ISNUMBER(AVERAGE('20250815_ETF_Options_Exhibits'!C2600:C2604)),AVERAGE('20250815_ETF_Options_Exhibits'!C2600:C2604),"")</f>
        <v/>
      </c>
      <c r="D2604" s="3">
        <f>IF(ISNUMBER(AVERAGE('20250815_ETF_Options_Exhibits'!D2600:D2604)),AVERAGE('20250815_ETF_Options_Exhibits'!D2600:D2604),"")</f>
        <v/>
      </c>
      <c r="E2604" s="3">
        <f>IF(ISNUMBER(AVERAGE('20250815_ETF_Options_Exhibits'!E2600:E2604)),AVERAGE('20250815_ETF_Options_Exhibits'!E2600:E2604),"")</f>
        <v/>
      </c>
      <c r="F2604" s="3">
        <f>IF(ISNUMBER(AVERAGE('20250815_ETF_Options_Exhibits'!F2600:F2604)),AVERAGE('20250815_ETF_Options_Exhibits'!F2600:F2604),"")</f>
        <v/>
      </c>
      <c r="G2604" s="3">
        <f>IF(ISNUMBER(AVERAGE('20250815_ETF_Options_Exhibits'!G2600:G2604)),AVERAGE('20250815_ETF_Options_Exhibits'!G2600:G2604),"")</f>
        <v/>
      </c>
      <c r="H2604" s="3">
        <f>IF(ISNUMBER(AVERAGE('20250815_ETF_Options_Exhibits'!H2600:H2604)),AVERAGE('20250815_ETF_Options_Exhibits'!H2600:H2604),"")</f>
        <v/>
      </c>
      <c r="I2604" s="3">
        <f>IF(ISNUMBER(AVERAGE('20250815_ETF_Options_Exhibits'!I2600:I2604)),AVERAGE('20250815_ETF_Options_Exhibits'!I2600:I2604),"")</f>
        <v/>
      </c>
      <c r="J2604" s="3">
        <f>IF(ISNUMBER(AVERAGE('20250815_ETF_Options_Exhibits'!J2600:J2604)),AVERAGE('20250815_ETF_Options_Exhibits'!J2600:J2604),"")</f>
        <v/>
      </c>
      <c r="K2604" s="3">
        <f>IF(ISNUMBER(AVERAGE('20250815_ETF_Options_Exhibits'!K2600:K2604)),AVERAGE('20250815_ETF_Options_Exhibits'!K2600:K2604),"")</f>
        <v/>
      </c>
      <c r="L2604" s="3">
        <f>IF(ISNUMBER(AVERAGE('20250815_ETF_Options_Exhibits'!L2600:L2604)),AVERAGE('20250815_ETF_Options_Exhibits'!L2600:L2604),"")</f>
        <v/>
      </c>
      <c r="M2604" s="3">
        <f>IF(ISNUMBER(AVERAGE('20250815_ETF_Options_Exhibits'!M2600:M2604)),AVERAGE('20250815_ETF_Options_Exhibits'!M2600:M2604),"")</f>
        <v/>
      </c>
      <c r="N2604" s="3">
        <f>IF(ISNUMBER(AVERAGE('20250815_ETF_Options_Exhibits'!N2600:N2604)),AVERAGE('20250815_ETF_Options_Exhibits'!N2600:N2604),"")</f>
        <v/>
      </c>
      <c r="O2604" s="3">
        <f>IF(ISNUMBER(AVERAGE('20250815_ETF_Options_Exhibits'!O2600:O2604)),AVERAGE('20250815_ETF_Options_Exhibits'!O2600:O2604),"")</f>
        <v/>
      </c>
      <c r="P2604" s="3">
        <f>IF(ISNUMBER(AVERAGE('20250815_ETF_Options_Exhibits'!P2600:P2604)),AVERAGE('20250815_ETF_Options_Exhibits'!P2600:P2604),"")</f>
        <v/>
      </c>
      <c r="Q2604" s="3">
        <f>IF(ISNUMBER(AVERAGE('20250815_ETF_Options_Exhibits'!Q2600:Q2604)),AVERAGE('20250815_ETF_Options_Exhibits'!Q2600:Q2604),"")</f>
        <v/>
      </c>
      <c r="R2604" s="3">
        <f>IF(ISNUMBER(AVERAGE('20250815_ETF_Options_Exhibits'!R2600:R2604)),AVERAGE('20250815_ETF_Options_Exhibits'!R2600:R2604),"")</f>
        <v/>
      </c>
      <c r="S2604" s="3">
        <f>IF(ISNUMBER(AVERAGE('20250815_ETF_Options_Exhibits'!S2600:S2604)),AVERAGE('20250815_ETF_Options_Exhibits'!S2600:S2604),"")</f>
        <v/>
      </c>
      <c r="T2604" s="3">
        <f>IF(ISNUMBER(AVERAGE('20250815_ETF_Options_Exhibits'!T2600:T2604)),AVERAGE('20250815_ETF_Options_Exhibits'!T2600:T2604),"")</f>
        <v/>
      </c>
      <c r="U2604" s="3">
        <f>IF(ISNUMBER(AVERAGE('20250815_ETF_Options_Exhibits'!U2600:U2604)),AVERAGE('20250815_ETF_Options_Exhibits'!U2600:U2604),"")</f>
        <v/>
      </c>
      <c r="V2604" s="3">
        <f>IF(ISNUMBER(AVERAGE('20250815_ETF_Options_Exhibits'!V2600:V2604)),AVERAGE('20250815_ETF_Options_Exhibits'!V2600:V2604),"")</f>
        <v/>
      </c>
      <c r="W2604" s="3">
        <f>IF(ISNUMBER(AVERAGE('20250815_ETF_Options_Exhibits'!W2600:W2604)),AVERAGE('20250815_ETF_Options_Exhibits'!W2600:W2604),"")</f>
        <v/>
      </c>
      <c r="X2604" s="3">
        <f>IF(ISNUMBER(AVERAGE('20250815_ETF_Options_Exhibits'!X2600:X2604)),AVERAGE('20250815_ETF_Options_Exhibits'!X2600:X2604),"")</f>
        <v/>
      </c>
      <c r="Y2604" s="3">
        <f>IF(ISNUMBER(AVERAGE('20250815_ETF_Options_Exhibits'!Y2600:Y2604)),AVERAGE('20250815_ETF_Options_Exhibits'!Y2600:Y2604),"")</f>
        <v/>
      </c>
      <c r="Z2604" s="3">
        <f>IF(ISNUMBER(AVERAGE('20250815_ETF_Options_Exhibits'!Z2600:Z2604)),AVERAGE('20250815_ETF_Options_Exhibits'!Z2600:Z2604),"")</f>
        <v/>
      </c>
      <c r="AA2604" s="3">
        <f>IF(ISNUMBER(AVERAGE('20250815_ETF_Options_Exhibits'!AA2600:AA2604)),AVERAGE('20250815_ETF_Options_Exhibits'!AA2600:AA2604),"")</f>
        <v/>
      </c>
    </row>
    <row r="2605">
      <c r="A2605" s="1" t="n">
        <v>45785</v>
      </c>
      <c r="B2605" s="3">
        <f>IF(ISNUMBER(AVERAGE('20250815_ETF_Options_Exhibits'!B2601:B2605)),AVERAGE('20250815_ETF_Options_Exhibits'!B2601:B2605),"")</f>
        <v/>
      </c>
      <c r="C2605" s="3">
        <f>IF(ISNUMBER(AVERAGE('20250815_ETF_Options_Exhibits'!C2601:C2605)),AVERAGE('20250815_ETF_Options_Exhibits'!C2601:C2605),"")</f>
        <v/>
      </c>
      <c r="D2605" s="3">
        <f>IF(ISNUMBER(AVERAGE('20250815_ETF_Options_Exhibits'!D2601:D2605)),AVERAGE('20250815_ETF_Options_Exhibits'!D2601:D2605),"")</f>
        <v/>
      </c>
      <c r="E2605" s="3">
        <f>IF(ISNUMBER(AVERAGE('20250815_ETF_Options_Exhibits'!E2601:E2605)),AVERAGE('20250815_ETF_Options_Exhibits'!E2601:E2605),"")</f>
        <v/>
      </c>
      <c r="F2605" s="3">
        <f>IF(ISNUMBER(AVERAGE('20250815_ETF_Options_Exhibits'!F2601:F2605)),AVERAGE('20250815_ETF_Options_Exhibits'!F2601:F2605),"")</f>
        <v/>
      </c>
      <c r="G2605" s="3">
        <f>IF(ISNUMBER(AVERAGE('20250815_ETF_Options_Exhibits'!G2601:G2605)),AVERAGE('20250815_ETF_Options_Exhibits'!G2601:G2605),"")</f>
        <v/>
      </c>
      <c r="H2605" s="3">
        <f>IF(ISNUMBER(AVERAGE('20250815_ETF_Options_Exhibits'!H2601:H2605)),AVERAGE('20250815_ETF_Options_Exhibits'!H2601:H2605),"")</f>
        <v/>
      </c>
      <c r="I2605" s="3">
        <f>IF(ISNUMBER(AVERAGE('20250815_ETF_Options_Exhibits'!I2601:I2605)),AVERAGE('20250815_ETF_Options_Exhibits'!I2601:I2605),"")</f>
        <v/>
      </c>
      <c r="J2605" s="3">
        <f>IF(ISNUMBER(AVERAGE('20250815_ETF_Options_Exhibits'!J2601:J2605)),AVERAGE('20250815_ETF_Options_Exhibits'!J2601:J2605),"")</f>
        <v/>
      </c>
      <c r="K2605" s="3">
        <f>IF(ISNUMBER(AVERAGE('20250815_ETF_Options_Exhibits'!K2601:K2605)),AVERAGE('20250815_ETF_Options_Exhibits'!K2601:K2605),"")</f>
        <v/>
      </c>
      <c r="L2605" s="3">
        <f>IF(ISNUMBER(AVERAGE('20250815_ETF_Options_Exhibits'!L2601:L2605)),AVERAGE('20250815_ETF_Options_Exhibits'!L2601:L2605),"")</f>
        <v/>
      </c>
      <c r="M2605" s="3">
        <f>IF(ISNUMBER(AVERAGE('20250815_ETF_Options_Exhibits'!M2601:M2605)),AVERAGE('20250815_ETF_Options_Exhibits'!M2601:M2605),"")</f>
        <v/>
      </c>
      <c r="N2605" s="3">
        <f>IF(ISNUMBER(AVERAGE('20250815_ETF_Options_Exhibits'!N2601:N2605)),AVERAGE('20250815_ETF_Options_Exhibits'!N2601:N2605),"")</f>
        <v/>
      </c>
      <c r="O2605" s="3">
        <f>IF(ISNUMBER(AVERAGE('20250815_ETF_Options_Exhibits'!O2601:O2605)),AVERAGE('20250815_ETF_Options_Exhibits'!O2601:O2605),"")</f>
        <v/>
      </c>
      <c r="P2605" s="3">
        <f>IF(ISNUMBER(AVERAGE('20250815_ETF_Options_Exhibits'!P2601:P2605)),AVERAGE('20250815_ETF_Options_Exhibits'!P2601:P2605),"")</f>
        <v/>
      </c>
      <c r="Q2605" s="3">
        <f>IF(ISNUMBER(AVERAGE('20250815_ETF_Options_Exhibits'!Q2601:Q2605)),AVERAGE('20250815_ETF_Options_Exhibits'!Q2601:Q2605),"")</f>
        <v/>
      </c>
      <c r="R2605" s="3">
        <f>IF(ISNUMBER(AVERAGE('20250815_ETF_Options_Exhibits'!R2601:R2605)),AVERAGE('20250815_ETF_Options_Exhibits'!R2601:R2605),"")</f>
        <v/>
      </c>
      <c r="S2605" s="3">
        <f>IF(ISNUMBER(AVERAGE('20250815_ETF_Options_Exhibits'!S2601:S2605)),AVERAGE('20250815_ETF_Options_Exhibits'!S2601:S2605),"")</f>
        <v/>
      </c>
      <c r="T2605" s="3">
        <f>IF(ISNUMBER(AVERAGE('20250815_ETF_Options_Exhibits'!T2601:T2605)),AVERAGE('20250815_ETF_Options_Exhibits'!T2601:T2605),"")</f>
        <v/>
      </c>
      <c r="U2605" s="3">
        <f>IF(ISNUMBER(AVERAGE('20250815_ETF_Options_Exhibits'!U2601:U2605)),AVERAGE('20250815_ETF_Options_Exhibits'!U2601:U2605),"")</f>
        <v/>
      </c>
      <c r="V2605" s="3">
        <f>IF(ISNUMBER(AVERAGE('20250815_ETF_Options_Exhibits'!V2601:V2605)),AVERAGE('20250815_ETF_Options_Exhibits'!V2601:V2605),"")</f>
        <v/>
      </c>
      <c r="W2605" s="3">
        <f>IF(ISNUMBER(AVERAGE('20250815_ETF_Options_Exhibits'!W2601:W2605)),AVERAGE('20250815_ETF_Options_Exhibits'!W2601:W2605),"")</f>
        <v/>
      </c>
      <c r="X2605" s="3">
        <f>IF(ISNUMBER(AVERAGE('20250815_ETF_Options_Exhibits'!X2601:X2605)),AVERAGE('20250815_ETF_Options_Exhibits'!X2601:X2605),"")</f>
        <v/>
      </c>
      <c r="Y2605" s="3">
        <f>IF(ISNUMBER(AVERAGE('20250815_ETF_Options_Exhibits'!Y2601:Y2605)),AVERAGE('20250815_ETF_Options_Exhibits'!Y2601:Y2605),"")</f>
        <v/>
      </c>
      <c r="Z2605" s="3">
        <f>IF(ISNUMBER(AVERAGE('20250815_ETF_Options_Exhibits'!Z2601:Z2605)),AVERAGE('20250815_ETF_Options_Exhibits'!Z2601:Z2605),"")</f>
        <v/>
      </c>
      <c r="AA2605" s="3">
        <f>IF(ISNUMBER(AVERAGE('20250815_ETF_Options_Exhibits'!AA2601:AA2605)),AVERAGE('20250815_ETF_Options_Exhibits'!AA2601:AA2605),"")</f>
        <v/>
      </c>
    </row>
    <row r="2606">
      <c r="A2606" s="1" t="n">
        <v>45786</v>
      </c>
      <c r="B2606" s="3">
        <f>IF(ISNUMBER(AVERAGE('20250815_ETF_Options_Exhibits'!B2602:B2606)),AVERAGE('20250815_ETF_Options_Exhibits'!B2602:B2606),"")</f>
        <v/>
      </c>
      <c r="C2606" s="3">
        <f>IF(ISNUMBER(AVERAGE('20250815_ETF_Options_Exhibits'!C2602:C2606)),AVERAGE('20250815_ETF_Options_Exhibits'!C2602:C2606),"")</f>
        <v/>
      </c>
      <c r="D2606" s="3">
        <f>IF(ISNUMBER(AVERAGE('20250815_ETF_Options_Exhibits'!D2602:D2606)),AVERAGE('20250815_ETF_Options_Exhibits'!D2602:D2606),"")</f>
        <v/>
      </c>
      <c r="E2606" s="3">
        <f>IF(ISNUMBER(AVERAGE('20250815_ETF_Options_Exhibits'!E2602:E2606)),AVERAGE('20250815_ETF_Options_Exhibits'!E2602:E2606),"")</f>
        <v/>
      </c>
      <c r="F2606" s="3">
        <f>IF(ISNUMBER(AVERAGE('20250815_ETF_Options_Exhibits'!F2602:F2606)),AVERAGE('20250815_ETF_Options_Exhibits'!F2602:F2606),"")</f>
        <v/>
      </c>
      <c r="G2606" s="3">
        <f>IF(ISNUMBER(AVERAGE('20250815_ETF_Options_Exhibits'!G2602:G2606)),AVERAGE('20250815_ETF_Options_Exhibits'!G2602:G2606),"")</f>
        <v/>
      </c>
      <c r="H2606" s="3">
        <f>IF(ISNUMBER(AVERAGE('20250815_ETF_Options_Exhibits'!H2602:H2606)),AVERAGE('20250815_ETF_Options_Exhibits'!H2602:H2606),"")</f>
        <v/>
      </c>
      <c r="I2606" s="3">
        <f>IF(ISNUMBER(AVERAGE('20250815_ETF_Options_Exhibits'!I2602:I2606)),AVERAGE('20250815_ETF_Options_Exhibits'!I2602:I2606),"")</f>
        <v/>
      </c>
      <c r="J2606" s="3">
        <f>IF(ISNUMBER(AVERAGE('20250815_ETF_Options_Exhibits'!J2602:J2606)),AVERAGE('20250815_ETF_Options_Exhibits'!J2602:J2606),"")</f>
        <v/>
      </c>
      <c r="K2606" s="3">
        <f>IF(ISNUMBER(AVERAGE('20250815_ETF_Options_Exhibits'!K2602:K2606)),AVERAGE('20250815_ETF_Options_Exhibits'!K2602:K2606),"")</f>
        <v/>
      </c>
      <c r="L2606" s="3">
        <f>IF(ISNUMBER(AVERAGE('20250815_ETF_Options_Exhibits'!L2602:L2606)),AVERAGE('20250815_ETF_Options_Exhibits'!L2602:L2606),"")</f>
        <v/>
      </c>
      <c r="M2606" s="3">
        <f>IF(ISNUMBER(AVERAGE('20250815_ETF_Options_Exhibits'!M2602:M2606)),AVERAGE('20250815_ETF_Options_Exhibits'!M2602:M2606),"")</f>
        <v/>
      </c>
      <c r="N2606" s="3">
        <f>IF(ISNUMBER(AVERAGE('20250815_ETF_Options_Exhibits'!N2602:N2606)),AVERAGE('20250815_ETF_Options_Exhibits'!N2602:N2606),"")</f>
        <v/>
      </c>
      <c r="O2606" s="3">
        <f>IF(ISNUMBER(AVERAGE('20250815_ETF_Options_Exhibits'!O2602:O2606)),AVERAGE('20250815_ETF_Options_Exhibits'!O2602:O2606),"")</f>
        <v/>
      </c>
      <c r="P2606" s="3">
        <f>IF(ISNUMBER(AVERAGE('20250815_ETF_Options_Exhibits'!P2602:P2606)),AVERAGE('20250815_ETF_Options_Exhibits'!P2602:P2606),"")</f>
        <v/>
      </c>
      <c r="Q2606" s="3">
        <f>IF(ISNUMBER(AVERAGE('20250815_ETF_Options_Exhibits'!Q2602:Q2606)),AVERAGE('20250815_ETF_Options_Exhibits'!Q2602:Q2606),"")</f>
        <v/>
      </c>
      <c r="R2606" s="3">
        <f>IF(ISNUMBER(AVERAGE('20250815_ETF_Options_Exhibits'!R2602:R2606)),AVERAGE('20250815_ETF_Options_Exhibits'!R2602:R2606),"")</f>
        <v/>
      </c>
      <c r="S2606" s="3">
        <f>IF(ISNUMBER(AVERAGE('20250815_ETF_Options_Exhibits'!S2602:S2606)),AVERAGE('20250815_ETF_Options_Exhibits'!S2602:S2606),"")</f>
        <v/>
      </c>
      <c r="T2606" s="3">
        <f>IF(ISNUMBER(AVERAGE('20250815_ETF_Options_Exhibits'!T2602:T2606)),AVERAGE('20250815_ETF_Options_Exhibits'!T2602:T2606),"")</f>
        <v/>
      </c>
      <c r="U2606" s="3">
        <f>IF(ISNUMBER(AVERAGE('20250815_ETF_Options_Exhibits'!U2602:U2606)),AVERAGE('20250815_ETF_Options_Exhibits'!U2602:U2606),"")</f>
        <v/>
      </c>
      <c r="V2606" s="3">
        <f>IF(ISNUMBER(AVERAGE('20250815_ETF_Options_Exhibits'!V2602:V2606)),AVERAGE('20250815_ETF_Options_Exhibits'!V2602:V2606),"")</f>
        <v/>
      </c>
      <c r="W2606" s="3">
        <f>IF(ISNUMBER(AVERAGE('20250815_ETF_Options_Exhibits'!W2602:W2606)),AVERAGE('20250815_ETF_Options_Exhibits'!W2602:W2606),"")</f>
        <v/>
      </c>
      <c r="X2606" s="3">
        <f>IF(ISNUMBER(AVERAGE('20250815_ETF_Options_Exhibits'!X2602:X2606)),AVERAGE('20250815_ETF_Options_Exhibits'!X2602:X2606),"")</f>
        <v/>
      </c>
      <c r="Y2606" s="3">
        <f>IF(ISNUMBER(AVERAGE('20250815_ETF_Options_Exhibits'!Y2602:Y2606)),AVERAGE('20250815_ETF_Options_Exhibits'!Y2602:Y2606),"")</f>
        <v/>
      </c>
      <c r="Z2606" s="3">
        <f>IF(ISNUMBER(AVERAGE('20250815_ETF_Options_Exhibits'!Z2602:Z2606)),AVERAGE('20250815_ETF_Options_Exhibits'!Z2602:Z2606),"")</f>
        <v/>
      </c>
      <c r="AA2606" s="3">
        <f>IF(ISNUMBER(AVERAGE('20250815_ETF_Options_Exhibits'!AA2602:AA2606)),AVERAGE('20250815_ETF_Options_Exhibits'!AA2602:AA2606),"")</f>
        <v/>
      </c>
    </row>
    <row r="2607">
      <c r="A2607" s="1" t="n">
        <v>45789</v>
      </c>
      <c r="B2607" s="3">
        <f>IF(ISNUMBER(AVERAGE('20250815_ETF_Options_Exhibits'!B2603:B2607)),AVERAGE('20250815_ETF_Options_Exhibits'!B2603:B2607),"")</f>
        <v/>
      </c>
      <c r="C2607" s="3">
        <f>IF(ISNUMBER(AVERAGE('20250815_ETF_Options_Exhibits'!C2603:C2607)),AVERAGE('20250815_ETF_Options_Exhibits'!C2603:C2607),"")</f>
        <v/>
      </c>
      <c r="D2607" s="3">
        <f>IF(ISNUMBER(AVERAGE('20250815_ETF_Options_Exhibits'!D2603:D2607)),AVERAGE('20250815_ETF_Options_Exhibits'!D2603:D2607),"")</f>
        <v/>
      </c>
      <c r="E2607" s="3">
        <f>IF(ISNUMBER(AVERAGE('20250815_ETF_Options_Exhibits'!E2603:E2607)),AVERAGE('20250815_ETF_Options_Exhibits'!E2603:E2607),"")</f>
        <v/>
      </c>
      <c r="F2607" s="3">
        <f>IF(ISNUMBER(AVERAGE('20250815_ETF_Options_Exhibits'!F2603:F2607)),AVERAGE('20250815_ETF_Options_Exhibits'!F2603:F2607),"")</f>
        <v/>
      </c>
      <c r="G2607" s="3">
        <f>IF(ISNUMBER(AVERAGE('20250815_ETF_Options_Exhibits'!G2603:G2607)),AVERAGE('20250815_ETF_Options_Exhibits'!G2603:G2607),"")</f>
        <v/>
      </c>
      <c r="H2607" s="3">
        <f>IF(ISNUMBER(AVERAGE('20250815_ETF_Options_Exhibits'!H2603:H2607)),AVERAGE('20250815_ETF_Options_Exhibits'!H2603:H2607),"")</f>
        <v/>
      </c>
      <c r="I2607" s="3">
        <f>IF(ISNUMBER(AVERAGE('20250815_ETF_Options_Exhibits'!I2603:I2607)),AVERAGE('20250815_ETF_Options_Exhibits'!I2603:I2607),"")</f>
        <v/>
      </c>
      <c r="J2607" s="3">
        <f>IF(ISNUMBER(AVERAGE('20250815_ETF_Options_Exhibits'!J2603:J2607)),AVERAGE('20250815_ETF_Options_Exhibits'!J2603:J2607),"")</f>
        <v/>
      </c>
      <c r="K2607" s="3">
        <f>IF(ISNUMBER(AVERAGE('20250815_ETF_Options_Exhibits'!K2603:K2607)),AVERAGE('20250815_ETF_Options_Exhibits'!K2603:K2607),"")</f>
        <v/>
      </c>
      <c r="L2607" s="3">
        <f>IF(ISNUMBER(AVERAGE('20250815_ETF_Options_Exhibits'!L2603:L2607)),AVERAGE('20250815_ETF_Options_Exhibits'!L2603:L2607),"")</f>
        <v/>
      </c>
      <c r="M2607" s="3">
        <f>IF(ISNUMBER(AVERAGE('20250815_ETF_Options_Exhibits'!M2603:M2607)),AVERAGE('20250815_ETF_Options_Exhibits'!M2603:M2607),"")</f>
        <v/>
      </c>
      <c r="N2607" s="3">
        <f>IF(ISNUMBER(AVERAGE('20250815_ETF_Options_Exhibits'!N2603:N2607)),AVERAGE('20250815_ETF_Options_Exhibits'!N2603:N2607),"")</f>
        <v/>
      </c>
      <c r="O2607" s="3">
        <f>IF(ISNUMBER(AVERAGE('20250815_ETF_Options_Exhibits'!O2603:O2607)),AVERAGE('20250815_ETF_Options_Exhibits'!O2603:O2607),"")</f>
        <v/>
      </c>
      <c r="P2607" s="3">
        <f>IF(ISNUMBER(AVERAGE('20250815_ETF_Options_Exhibits'!P2603:P2607)),AVERAGE('20250815_ETF_Options_Exhibits'!P2603:P2607),"")</f>
        <v/>
      </c>
      <c r="Q2607" s="3">
        <f>IF(ISNUMBER(AVERAGE('20250815_ETF_Options_Exhibits'!Q2603:Q2607)),AVERAGE('20250815_ETF_Options_Exhibits'!Q2603:Q2607),"")</f>
        <v/>
      </c>
      <c r="R2607" s="3">
        <f>IF(ISNUMBER(AVERAGE('20250815_ETF_Options_Exhibits'!R2603:R2607)),AVERAGE('20250815_ETF_Options_Exhibits'!R2603:R2607),"")</f>
        <v/>
      </c>
      <c r="S2607" s="3">
        <f>IF(ISNUMBER(AVERAGE('20250815_ETF_Options_Exhibits'!S2603:S2607)),AVERAGE('20250815_ETF_Options_Exhibits'!S2603:S2607),"")</f>
        <v/>
      </c>
      <c r="T2607" s="3">
        <f>IF(ISNUMBER(AVERAGE('20250815_ETF_Options_Exhibits'!T2603:T2607)),AVERAGE('20250815_ETF_Options_Exhibits'!T2603:T2607),"")</f>
        <v/>
      </c>
      <c r="U2607" s="3">
        <f>IF(ISNUMBER(AVERAGE('20250815_ETF_Options_Exhibits'!U2603:U2607)),AVERAGE('20250815_ETF_Options_Exhibits'!U2603:U2607),"")</f>
        <v/>
      </c>
      <c r="V2607" s="3">
        <f>IF(ISNUMBER(AVERAGE('20250815_ETF_Options_Exhibits'!V2603:V2607)),AVERAGE('20250815_ETF_Options_Exhibits'!V2603:V2607),"")</f>
        <v/>
      </c>
      <c r="W2607" s="3">
        <f>IF(ISNUMBER(AVERAGE('20250815_ETF_Options_Exhibits'!W2603:W2607)),AVERAGE('20250815_ETF_Options_Exhibits'!W2603:W2607),"")</f>
        <v/>
      </c>
      <c r="X2607" s="3">
        <f>IF(ISNUMBER(AVERAGE('20250815_ETF_Options_Exhibits'!X2603:X2607)),AVERAGE('20250815_ETF_Options_Exhibits'!X2603:X2607),"")</f>
        <v/>
      </c>
      <c r="Y2607" s="3">
        <f>IF(ISNUMBER(AVERAGE('20250815_ETF_Options_Exhibits'!Y2603:Y2607)),AVERAGE('20250815_ETF_Options_Exhibits'!Y2603:Y2607),"")</f>
        <v/>
      </c>
      <c r="Z2607" s="3">
        <f>IF(ISNUMBER(AVERAGE('20250815_ETF_Options_Exhibits'!Z2603:Z2607)),AVERAGE('20250815_ETF_Options_Exhibits'!Z2603:Z2607),"")</f>
        <v/>
      </c>
      <c r="AA2607" s="3">
        <f>IF(ISNUMBER(AVERAGE('20250815_ETF_Options_Exhibits'!AA2603:AA2607)),AVERAGE('20250815_ETF_Options_Exhibits'!AA2603:AA2607),"")</f>
        <v/>
      </c>
    </row>
    <row r="2608">
      <c r="A2608" s="1" t="n">
        <v>45790</v>
      </c>
      <c r="B2608" s="3">
        <f>IF(ISNUMBER(AVERAGE('20250815_ETF_Options_Exhibits'!B2604:B2608)),AVERAGE('20250815_ETF_Options_Exhibits'!B2604:B2608),"")</f>
        <v/>
      </c>
      <c r="C2608" s="3">
        <f>IF(ISNUMBER(AVERAGE('20250815_ETF_Options_Exhibits'!C2604:C2608)),AVERAGE('20250815_ETF_Options_Exhibits'!C2604:C2608),"")</f>
        <v/>
      </c>
      <c r="D2608" s="3">
        <f>IF(ISNUMBER(AVERAGE('20250815_ETF_Options_Exhibits'!D2604:D2608)),AVERAGE('20250815_ETF_Options_Exhibits'!D2604:D2608),"")</f>
        <v/>
      </c>
      <c r="E2608" s="3">
        <f>IF(ISNUMBER(AVERAGE('20250815_ETF_Options_Exhibits'!E2604:E2608)),AVERAGE('20250815_ETF_Options_Exhibits'!E2604:E2608),"")</f>
        <v/>
      </c>
      <c r="F2608" s="3">
        <f>IF(ISNUMBER(AVERAGE('20250815_ETF_Options_Exhibits'!F2604:F2608)),AVERAGE('20250815_ETF_Options_Exhibits'!F2604:F2608),"")</f>
        <v/>
      </c>
      <c r="G2608" s="3">
        <f>IF(ISNUMBER(AVERAGE('20250815_ETF_Options_Exhibits'!G2604:G2608)),AVERAGE('20250815_ETF_Options_Exhibits'!G2604:G2608),"")</f>
        <v/>
      </c>
      <c r="H2608" s="3">
        <f>IF(ISNUMBER(AVERAGE('20250815_ETF_Options_Exhibits'!H2604:H2608)),AVERAGE('20250815_ETF_Options_Exhibits'!H2604:H2608),"")</f>
        <v/>
      </c>
      <c r="I2608" s="3">
        <f>IF(ISNUMBER(AVERAGE('20250815_ETF_Options_Exhibits'!I2604:I2608)),AVERAGE('20250815_ETF_Options_Exhibits'!I2604:I2608),"")</f>
        <v/>
      </c>
      <c r="J2608" s="3">
        <f>IF(ISNUMBER(AVERAGE('20250815_ETF_Options_Exhibits'!J2604:J2608)),AVERAGE('20250815_ETF_Options_Exhibits'!J2604:J2608),"")</f>
        <v/>
      </c>
      <c r="K2608" s="3">
        <f>IF(ISNUMBER(AVERAGE('20250815_ETF_Options_Exhibits'!K2604:K2608)),AVERAGE('20250815_ETF_Options_Exhibits'!K2604:K2608),"")</f>
        <v/>
      </c>
      <c r="L2608" s="3">
        <f>IF(ISNUMBER(AVERAGE('20250815_ETF_Options_Exhibits'!L2604:L2608)),AVERAGE('20250815_ETF_Options_Exhibits'!L2604:L2608),"")</f>
        <v/>
      </c>
      <c r="M2608" s="3">
        <f>IF(ISNUMBER(AVERAGE('20250815_ETF_Options_Exhibits'!M2604:M2608)),AVERAGE('20250815_ETF_Options_Exhibits'!M2604:M2608),"")</f>
        <v/>
      </c>
      <c r="N2608" s="3">
        <f>IF(ISNUMBER(AVERAGE('20250815_ETF_Options_Exhibits'!N2604:N2608)),AVERAGE('20250815_ETF_Options_Exhibits'!N2604:N2608),"")</f>
        <v/>
      </c>
      <c r="O2608" s="3">
        <f>IF(ISNUMBER(AVERAGE('20250815_ETF_Options_Exhibits'!O2604:O2608)),AVERAGE('20250815_ETF_Options_Exhibits'!O2604:O2608),"")</f>
        <v/>
      </c>
      <c r="P2608" s="3">
        <f>IF(ISNUMBER(AVERAGE('20250815_ETF_Options_Exhibits'!P2604:P2608)),AVERAGE('20250815_ETF_Options_Exhibits'!P2604:P2608),"")</f>
        <v/>
      </c>
      <c r="Q2608" s="3">
        <f>IF(ISNUMBER(AVERAGE('20250815_ETF_Options_Exhibits'!Q2604:Q2608)),AVERAGE('20250815_ETF_Options_Exhibits'!Q2604:Q2608),"")</f>
        <v/>
      </c>
      <c r="R2608" s="3">
        <f>IF(ISNUMBER(AVERAGE('20250815_ETF_Options_Exhibits'!R2604:R2608)),AVERAGE('20250815_ETF_Options_Exhibits'!R2604:R2608),"")</f>
        <v/>
      </c>
      <c r="S2608" s="3">
        <f>IF(ISNUMBER(AVERAGE('20250815_ETF_Options_Exhibits'!S2604:S2608)),AVERAGE('20250815_ETF_Options_Exhibits'!S2604:S2608),"")</f>
        <v/>
      </c>
      <c r="T2608" s="3">
        <f>IF(ISNUMBER(AVERAGE('20250815_ETF_Options_Exhibits'!T2604:T2608)),AVERAGE('20250815_ETF_Options_Exhibits'!T2604:T2608),"")</f>
        <v/>
      </c>
      <c r="U2608" s="3">
        <f>IF(ISNUMBER(AVERAGE('20250815_ETF_Options_Exhibits'!U2604:U2608)),AVERAGE('20250815_ETF_Options_Exhibits'!U2604:U2608),"")</f>
        <v/>
      </c>
      <c r="V2608" s="3">
        <f>IF(ISNUMBER(AVERAGE('20250815_ETF_Options_Exhibits'!V2604:V2608)),AVERAGE('20250815_ETF_Options_Exhibits'!V2604:V2608),"")</f>
        <v/>
      </c>
      <c r="W2608" s="3">
        <f>IF(ISNUMBER(AVERAGE('20250815_ETF_Options_Exhibits'!W2604:W2608)),AVERAGE('20250815_ETF_Options_Exhibits'!W2604:W2608),"")</f>
        <v/>
      </c>
      <c r="X2608" s="3">
        <f>IF(ISNUMBER(AVERAGE('20250815_ETF_Options_Exhibits'!X2604:X2608)),AVERAGE('20250815_ETF_Options_Exhibits'!X2604:X2608),"")</f>
        <v/>
      </c>
      <c r="Y2608" s="3">
        <f>IF(ISNUMBER(AVERAGE('20250815_ETF_Options_Exhibits'!Y2604:Y2608)),AVERAGE('20250815_ETF_Options_Exhibits'!Y2604:Y2608),"")</f>
        <v/>
      </c>
      <c r="Z2608" s="3">
        <f>IF(ISNUMBER(AVERAGE('20250815_ETF_Options_Exhibits'!Z2604:Z2608)),AVERAGE('20250815_ETF_Options_Exhibits'!Z2604:Z2608),"")</f>
        <v/>
      </c>
      <c r="AA2608" s="3">
        <f>IF(ISNUMBER(AVERAGE('20250815_ETF_Options_Exhibits'!AA2604:AA2608)),AVERAGE('20250815_ETF_Options_Exhibits'!AA2604:AA2608),"")</f>
        <v/>
      </c>
    </row>
    <row r="2609">
      <c r="A2609" s="1" t="n">
        <v>45791</v>
      </c>
      <c r="B2609" s="3">
        <f>IF(ISNUMBER(AVERAGE('20250815_ETF_Options_Exhibits'!B2605:B2609)),AVERAGE('20250815_ETF_Options_Exhibits'!B2605:B2609),"")</f>
        <v/>
      </c>
      <c r="C2609" s="3">
        <f>IF(ISNUMBER(AVERAGE('20250815_ETF_Options_Exhibits'!C2605:C2609)),AVERAGE('20250815_ETF_Options_Exhibits'!C2605:C2609),"")</f>
        <v/>
      </c>
      <c r="D2609" s="3">
        <f>IF(ISNUMBER(AVERAGE('20250815_ETF_Options_Exhibits'!D2605:D2609)),AVERAGE('20250815_ETF_Options_Exhibits'!D2605:D2609),"")</f>
        <v/>
      </c>
      <c r="E2609" s="3">
        <f>IF(ISNUMBER(AVERAGE('20250815_ETF_Options_Exhibits'!E2605:E2609)),AVERAGE('20250815_ETF_Options_Exhibits'!E2605:E2609),"")</f>
        <v/>
      </c>
      <c r="F2609" s="3">
        <f>IF(ISNUMBER(AVERAGE('20250815_ETF_Options_Exhibits'!F2605:F2609)),AVERAGE('20250815_ETF_Options_Exhibits'!F2605:F2609),"")</f>
        <v/>
      </c>
      <c r="G2609" s="3">
        <f>IF(ISNUMBER(AVERAGE('20250815_ETF_Options_Exhibits'!G2605:G2609)),AVERAGE('20250815_ETF_Options_Exhibits'!G2605:G2609),"")</f>
        <v/>
      </c>
      <c r="H2609" s="3">
        <f>IF(ISNUMBER(AVERAGE('20250815_ETF_Options_Exhibits'!H2605:H2609)),AVERAGE('20250815_ETF_Options_Exhibits'!H2605:H2609),"")</f>
        <v/>
      </c>
      <c r="I2609" s="3">
        <f>IF(ISNUMBER(AVERAGE('20250815_ETF_Options_Exhibits'!I2605:I2609)),AVERAGE('20250815_ETF_Options_Exhibits'!I2605:I2609),"")</f>
        <v/>
      </c>
      <c r="J2609" s="3">
        <f>IF(ISNUMBER(AVERAGE('20250815_ETF_Options_Exhibits'!J2605:J2609)),AVERAGE('20250815_ETF_Options_Exhibits'!J2605:J2609),"")</f>
        <v/>
      </c>
      <c r="K2609" s="3">
        <f>IF(ISNUMBER(AVERAGE('20250815_ETF_Options_Exhibits'!K2605:K2609)),AVERAGE('20250815_ETF_Options_Exhibits'!K2605:K2609),"")</f>
        <v/>
      </c>
      <c r="L2609" s="3">
        <f>IF(ISNUMBER(AVERAGE('20250815_ETF_Options_Exhibits'!L2605:L2609)),AVERAGE('20250815_ETF_Options_Exhibits'!L2605:L2609),"")</f>
        <v/>
      </c>
      <c r="M2609" s="3">
        <f>IF(ISNUMBER(AVERAGE('20250815_ETF_Options_Exhibits'!M2605:M2609)),AVERAGE('20250815_ETF_Options_Exhibits'!M2605:M2609),"")</f>
        <v/>
      </c>
      <c r="N2609" s="3">
        <f>IF(ISNUMBER(AVERAGE('20250815_ETF_Options_Exhibits'!N2605:N2609)),AVERAGE('20250815_ETF_Options_Exhibits'!N2605:N2609),"")</f>
        <v/>
      </c>
      <c r="O2609" s="3">
        <f>IF(ISNUMBER(AVERAGE('20250815_ETF_Options_Exhibits'!O2605:O2609)),AVERAGE('20250815_ETF_Options_Exhibits'!O2605:O2609),"")</f>
        <v/>
      </c>
      <c r="P2609" s="3">
        <f>IF(ISNUMBER(AVERAGE('20250815_ETF_Options_Exhibits'!P2605:P2609)),AVERAGE('20250815_ETF_Options_Exhibits'!P2605:P2609),"")</f>
        <v/>
      </c>
      <c r="Q2609" s="3">
        <f>IF(ISNUMBER(AVERAGE('20250815_ETF_Options_Exhibits'!Q2605:Q2609)),AVERAGE('20250815_ETF_Options_Exhibits'!Q2605:Q2609),"")</f>
        <v/>
      </c>
      <c r="R2609" s="3">
        <f>IF(ISNUMBER(AVERAGE('20250815_ETF_Options_Exhibits'!R2605:R2609)),AVERAGE('20250815_ETF_Options_Exhibits'!R2605:R2609),"")</f>
        <v/>
      </c>
      <c r="S2609" s="3">
        <f>IF(ISNUMBER(AVERAGE('20250815_ETF_Options_Exhibits'!S2605:S2609)),AVERAGE('20250815_ETF_Options_Exhibits'!S2605:S2609),"")</f>
        <v/>
      </c>
      <c r="T2609" s="3">
        <f>IF(ISNUMBER(AVERAGE('20250815_ETF_Options_Exhibits'!T2605:T2609)),AVERAGE('20250815_ETF_Options_Exhibits'!T2605:T2609),"")</f>
        <v/>
      </c>
      <c r="U2609" s="3">
        <f>IF(ISNUMBER(AVERAGE('20250815_ETF_Options_Exhibits'!U2605:U2609)),AVERAGE('20250815_ETF_Options_Exhibits'!U2605:U2609),"")</f>
        <v/>
      </c>
      <c r="V2609" s="3">
        <f>IF(ISNUMBER(AVERAGE('20250815_ETF_Options_Exhibits'!V2605:V2609)),AVERAGE('20250815_ETF_Options_Exhibits'!V2605:V2609),"")</f>
        <v/>
      </c>
      <c r="W2609" s="3">
        <f>IF(ISNUMBER(AVERAGE('20250815_ETF_Options_Exhibits'!W2605:W2609)),AVERAGE('20250815_ETF_Options_Exhibits'!W2605:W2609),"")</f>
        <v/>
      </c>
      <c r="X2609" s="3">
        <f>IF(ISNUMBER(AVERAGE('20250815_ETF_Options_Exhibits'!X2605:X2609)),AVERAGE('20250815_ETF_Options_Exhibits'!X2605:X2609),"")</f>
        <v/>
      </c>
      <c r="Y2609" s="3">
        <f>IF(ISNUMBER(AVERAGE('20250815_ETF_Options_Exhibits'!Y2605:Y2609)),AVERAGE('20250815_ETF_Options_Exhibits'!Y2605:Y2609),"")</f>
        <v/>
      </c>
      <c r="Z2609" s="3">
        <f>IF(ISNUMBER(AVERAGE('20250815_ETF_Options_Exhibits'!Z2605:Z2609)),AVERAGE('20250815_ETF_Options_Exhibits'!Z2605:Z2609),"")</f>
        <v/>
      </c>
      <c r="AA2609" s="3">
        <f>IF(ISNUMBER(AVERAGE('20250815_ETF_Options_Exhibits'!AA2605:AA2609)),AVERAGE('20250815_ETF_Options_Exhibits'!AA2605:AA2609),"")</f>
        <v/>
      </c>
    </row>
    <row r="2610">
      <c r="A2610" s="1" t="n">
        <v>45792</v>
      </c>
      <c r="B2610" s="3">
        <f>IF(ISNUMBER(AVERAGE('20250815_ETF_Options_Exhibits'!B2606:B2610)),AVERAGE('20250815_ETF_Options_Exhibits'!B2606:B2610),"")</f>
        <v/>
      </c>
      <c r="C2610" s="3">
        <f>IF(ISNUMBER(AVERAGE('20250815_ETF_Options_Exhibits'!C2606:C2610)),AVERAGE('20250815_ETF_Options_Exhibits'!C2606:C2610),"")</f>
        <v/>
      </c>
      <c r="D2610" s="3">
        <f>IF(ISNUMBER(AVERAGE('20250815_ETF_Options_Exhibits'!D2606:D2610)),AVERAGE('20250815_ETF_Options_Exhibits'!D2606:D2610),"")</f>
        <v/>
      </c>
      <c r="E2610" s="3">
        <f>IF(ISNUMBER(AVERAGE('20250815_ETF_Options_Exhibits'!E2606:E2610)),AVERAGE('20250815_ETF_Options_Exhibits'!E2606:E2610),"")</f>
        <v/>
      </c>
      <c r="F2610" s="3">
        <f>IF(ISNUMBER(AVERAGE('20250815_ETF_Options_Exhibits'!F2606:F2610)),AVERAGE('20250815_ETF_Options_Exhibits'!F2606:F2610),"")</f>
        <v/>
      </c>
      <c r="G2610" s="3">
        <f>IF(ISNUMBER(AVERAGE('20250815_ETF_Options_Exhibits'!G2606:G2610)),AVERAGE('20250815_ETF_Options_Exhibits'!G2606:G2610),"")</f>
        <v/>
      </c>
      <c r="H2610" s="3">
        <f>IF(ISNUMBER(AVERAGE('20250815_ETF_Options_Exhibits'!H2606:H2610)),AVERAGE('20250815_ETF_Options_Exhibits'!H2606:H2610),"")</f>
        <v/>
      </c>
      <c r="I2610" s="3">
        <f>IF(ISNUMBER(AVERAGE('20250815_ETF_Options_Exhibits'!I2606:I2610)),AVERAGE('20250815_ETF_Options_Exhibits'!I2606:I2610),"")</f>
        <v/>
      </c>
      <c r="J2610" s="3">
        <f>IF(ISNUMBER(AVERAGE('20250815_ETF_Options_Exhibits'!J2606:J2610)),AVERAGE('20250815_ETF_Options_Exhibits'!J2606:J2610),"")</f>
        <v/>
      </c>
      <c r="K2610" s="3">
        <f>IF(ISNUMBER(AVERAGE('20250815_ETF_Options_Exhibits'!K2606:K2610)),AVERAGE('20250815_ETF_Options_Exhibits'!K2606:K2610),"")</f>
        <v/>
      </c>
      <c r="L2610" s="3">
        <f>IF(ISNUMBER(AVERAGE('20250815_ETF_Options_Exhibits'!L2606:L2610)),AVERAGE('20250815_ETF_Options_Exhibits'!L2606:L2610),"")</f>
        <v/>
      </c>
      <c r="M2610" s="3">
        <f>IF(ISNUMBER(AVERAGE('20250815_ETF_Options_Exhibits'!M2606:M2610)),AVERAGE('20250815_ETF_Options_Exhibits'!M2606:M2610),"")</f>
        <v/>
      </c>
      <c r="N2610" s="3">
        <f>IF(ISNUMBER(AVERAGE('20250815_ETF_Options_Exhibits'!N2606:N2610)),AVERAGE('20250815_ETF_Options_Exhibits'!N2606:N2610),"")</f>
        <v/>
      </c>
      <c r="O2610" s="3">
        <f>IF(ISNUMBER(AVERAGE('20250815_ETF_Options_Exhibits'!O2606:O2610)),AVERAGE('20250815_ETF_Options_Exhibits'!O2606:O2610),"")</f>
        <v/>
      </c>
      <c r="P2610" s="3">
        <f>IF(ISNUMBER(AVERAGE('20250815_ETF_Options_Exhibits'!P2606:P2610)),AVERAGE('20250815_ETF_Options_Exhibits'!P2606:P2610),"")</f>
        <v/>
      </c>
      <c r="Q2610" s="3">
        <f>IF(ISNUMBER(AVERAGE('20250815_ETF_Options_Exhibits'!Q2606:Q2610)),AVERAGE('20250815_ETF_Options_Exhibits'!Q2606:Q2610),"")</f>
        <v/>
      </c>
      <c r="R2610" s="3">
        <f>IF(ISNUMBER(AVERAGE('20250815_ETF_Options_Exhibits'!R2606:R2610)),AVERAGE('20250815_ETF_Options_Exhibits'!R2606:R2610),"")</f>
        <v/>
      </c>
      <c r="S2610" s="3">
        <f>IF(ISNUMBER(AVERAGE('20250815_ETF_Options_Exhibits'!S2606:S2610)),AVERAGE('20250815_ETF_Options_Exhibits'!S2606:S2610),"")</f>
        <v/>
      </c>
      <c r="T2610" s="3">
        <f>IF(ISNUMBER(AVERAGE('20250815_ETF_Options_Exhibits'!T2606:T2610)),AVERAGE('20250815_ETF_Options_Exhibits'!T2606:T2610),"")</f>
        <v/>
      </c>
      <c r="U2610" s="3">
        <f>IF(ISNUMBER(AVERAGE('20250815_ETF_Options_Exhibits'!U2606:U2610)),AVERAGE('20250815_ETF_Options_Exhibits'!U2606:U2610),"")</f>
        <v/>
      </c>
      <c r="V2610" s="3">
        <f>IF(ISNUMBER(AVERAGE('20250815_ETF_Options_Exhibits'!V2606:V2610)),AVERAGE('20250815_ETF_Options_Exhibits'!V2606:V2610),"")</f>
        <v/>
      </c>
      <c r="W2610" s="3">
        <f>IF(ISNUMBER(AVERAGE('20250815_ETF_Options_Exhibits'!W2606:W2610)),AVERAGE('20250815_ETF_Options_Exhibits'!W2606:W2610),"")</f>
        <v/>
      </c>
      <c r="X2610" s="3">
        <f>IF(ISNUMBER(AVERAGE('20250815_ETF_Options_Exhibits'!X2606:X2610)),AVERAGE('20250815_ETF_Options_Exhibits'!X2606:X2610),"")</f>
        <v/>
      </c>
      <c r="Y2610" s="3">
        <f>IF(ISNUMBER(AVERAGE('20250815_ETF_Options_Exhibits'!Y2606:Y2610)),AVERAGE('20250815_ETF_Options_Exhibits'!Y2606:Y2610),"")</f>
        <v/>
      </c>
      <c r="Z2610" s="3">
        <f>IF(ISNUMBER(AVERAGE('20250815_ETF_Options_Exhibits'!Z2606:Z2610)),AVERAGE('20250815_ETF_Options_Exhibits'!Z2606:Z2610),"")</f>
        <v/>
      </c>
      <c r="AA2610" s="3">
        <f>IF(ISNUMBER(AVERAGE('20250815_ETF_Options_Exhibits'!AA2606:AA2610)),AVERAGE('20250815_ETF_Options_Exhibits'!AA2606:AA2610),"")</f>
        <v/>
      </c>
    </row>
    <row r="2611">
      <c r="A2611" s="1" t="n">
        <v>45793</v>
      </c>
      <c r="B2611" s="3">
        <f>IF(ISNUMBER(AVERAGE('20250815_ETF_Options_Exhibits'!B2607:B2611)),AVERAGE('20250815_ETF_Options_Exhibits'!B2607:B2611),"")</f>
        <v/>
      </c>
      <c r="C2611" s="3">
        <f>IF(ISNUMBER(AVERAGE('20250815_ETF_Options_Exhibits'!C2607:C2611)),AVERAGE('20250815_ETF_Options_Exhibits'!C2607:C2611),"")</f>
        <v/>
      </c>
      <c r="D2611" s="3">
        <f>IF(ISNUMBER(AVERAGE('20250815_ETF_Options_Exhibits'!D2607:D2611)),AVERAGE('20250815_ETF_Options_Exhibits'!D2607:D2611),"")</f>
        <v/>
      </c>
      <c r="E2611" s="3">
        <f>IF(ISNUMBER(AVERAGE('20250815_ETF_Options_Exhibits'!E2607:E2611)),AVERAGE('20250815_ETF_Options_Exhibits'!E2607:E2611),"")</f>
        <v/>
      </c>
      <c r="F2611" s="3">
        <f>IF(ISNUMBER(AVERAGE('20250815_ETF_Options_Exhibits'!F2607:F2611)),AVERAGE('20250815_ETF_Options_Exhibits'!F2607:F2611),"")</f>
        <v/>
      </c>
      <c r="G2611" s="3">
        <f>IF(ISNUMBER(AVERAGE('20250815_ETF_Options_Exhibits'!G2607:G2611)),AVERAGE('20250815_ETF_Options_Exhibits'!G2607:G2611),"")</f>
        <v/>
      </c>
      <c r="H2611" s="3">
        <f>IF(ISNUMBER(AVERAGE('20250815_ETF_Options_Exhibits'!H2607:H2611)),AVERAGE('20250815_ETF_Options_Exhibits'!H2607:H2611),"")</f>
        <v/>
      </c>
      <c r="I2611" s="3">
        <f>IF(ISNUMBER(AVERAGE('20250815_ETF_Options_Exhibits'!I2607:I2611)),AVERAGE('20250815_ETF_Options_Exhibits'!I2607:I2611),"")</f>
        <v/>
      </c>
      <c r="J2611" s="3">
        <f>IF(ISNUMBER(AVERAGE('20250815_ETF_Options_Exhibits'!J2607:J2611)),AVERAGE('20250815_ETF_Options_Exhibits'!J2607:J2611),"")</f>
        <v/>
      </c>
      <c r="K2611" s="3">
        <f>IF(ISNUMBER(AVERAGE('20250815_ETF_Options_Exhibits'!K2607:K2611)),AVERAGE('20250815_ETF_Options_Exhibits'!K2607:K2611),"")</f>
        <v/>
      </c>
      <c r="L2611" s="3">
        <f>IF(ISNUMBER(AVERAGE('20250815_ETF_Options_Exhibits'!L2607:L2611)),AVERAGE('20250815_ETF_Options_Exhibits'!L2607:L2611),"")</f>
        <v/>
      </c>
      <c r="M2611" s="3">
        <f>IF(ISNUMBER(AVERAGE('20250815_ETF_Options_Exhibits'!M2607:M2611)),AVERAGE('20250815_ETF_Options_Exhibits'!M2607:M2611),"")</f>
        <v/>
      </c>
      <c r="N2611" s="3">
        <f>IF(ISNUMBER(AVERAGE('20250815_ETF_Options_Exhibits'!N2607:N2611)),AVERAGE('20250815_ETF_Options_Exhibits'!N2607:N2611),"")</f>
        <v/>
      </c>
      <c r="O2611" s="3">
        <f>IF(ISNUMBER(AVERAGE('20250815_ETF_Options_Exhibits'!O2607:O2611)),AVERAGE('20250815_ETF_Options_Exhibits'!O2607:O2611),"")</f>
        <v/>
      </c>
      <c r="P2611" s="3">
        <f>IF(ISNUMBER(AVERAGE('20250815_ETF_Options_Exhibits'!P2607:P2611)),AVERAGE('20250815_ETF_Options_Exhibits'!P2607:P2611),"")</f>
        <v/>
      </c>
      <c r="Q2611" s="3">
        <f>IF(ISNUMBER(AVERAGE('20250815_ETF_Options_Exhibits'!Q2607:Q2611)),AVERAGE('20250815_ETF_Options_Exhibits'!Q2607:Q2611),"")</f>
        <v/>
      </c>
      <c r="R2611" s="3">
        <f>IF(ISNUMBER(AVERAGE('20250815_ETF_Options_Exhibits'!R2607:R2611)),AVERAGE('20250815_ETF_Options_Exhibits'!R2607:R2611),"")</f>
        <v/>
      </c>
      <c r="S2611" s="3">
        <f>IF(ISNUMBER(AVERAGE('20250815_ETF_Options_Exhibits'!S2607:S2611)),AVERAGE('20250815_ETF_Options_Exhibits'!S2607:S2611),"")</f>
        <v/>
      </c>
      <c r="T2611" s="3">
        <f>IF(ISNUMBER(AVERAGE('20250815_ETF_Options_Exhibits'!T2607:T2611)),AVERAGE('20250815_ETF_Options_Exhibits'!T2607:T2611),"")</f>
        <v/>
      </c>
      <c r="U2611" s="3">
        <f>IF(ISNUMBER(AVERAGE('20250815_ETF_Options_Exhibits'!U2607:U2611)),AVERAGE('20250815_ETF_Options_Exhibits'!U2607:U2611),"")</f>
        <v/>
      </c>
      <c r="V2611" s="3">
        <f>IF(ISNUMBER(AVERAGE('20250815_ETF_Options_Exhibits'!V2607:V2611)),AVERAGE('20250815_ETF_Options_Exhibits'!V2607:V2611),"")</f>
        <v/>
      </c>
      <c r="W2611" s="3">
        <f>IF(ISNUMBER(AVERAGE('20250815_ETF_Options_Exhibits'!W2607:W2611)),AVERAGE('20250815_ETF_Options_Exhibits'!W2607:W2611),"")</f>
        <v/>
      </c>
      <c r="X2611" s="3">
        <f>IF(ISNUMBER(AVERAGE('20250815_ETF_Options_Exhibits'!X2607:X2611)),AVERAGE('20250815_ETF_Options_Exhibits'!X2607:X2611),"")</f>
        <v/>
      </c>
      <c r="Y2611" s="3">
        <f>IF(ISNUMBER(AVERAGE('20250815_ETF_Options_Exhibits'!Y2607:Y2611)),AVERAGE('20250815_ETF_Options_Exhibits'!Y2607:Y2611),"")</f>
        <v/>
      </c>
      <c r="Z2611" s="3">
        <f>IF(ISNUMBER(AVERAGE('20250815_ETF_Options_Exhibits'!Z2607:Z2611)),AVERAGE('20250815_ETF_Options_Exhibits'!Z2607:Z2611),"")</f>
        <v/>
      </c>
      <c r="AA2611" s="3">
        <f>IF(ISNUMBER(AVERAGE('20250815_ETF_Options_Exhibits'!AA2607:AA2611)),AVERAGE('20250815_ETF_Options_Exhibits'!AA2607:AA2611),"")</f>
        <v/>
      </c>
    </row>
    <row r="2612">
      <c r="A2612" s="1" t="n">
        <v>45796</v>
      </c>
      <c r="B2612" s="3">
        <f>IF(ISNUMBER(AVERAGE('20250815_ETF_Options_Exhibits'!B2608:B2612)),AVERAGE('20250815_ETF_Options_Exhibits'!B2608:B2612),"")</f>
        <v/>
      </c>
      <c r="C2612" s="3">
        <f>IF(ISNUMBER(AVERAGE('20250815_ETF_Options_Exhibits'!C2608:C2612)),AVERAGE('20250815_ETF_Options_Exhibits'!C2608:C2612),"")</f>
        <v/>
      </c>
      <c r="D2612" s="3">
        <f>IF(ISNUMBER(AVERAGE('20250815_ETF_Options_Exhibits'!D2608:D2612)),AVERAGE('20250815_ETF_Options_Exhibits'!D2608:D2612),"")</f>
        <v/>
      </c>
      <c r="E2612" s="3">
        <f>IF(ISNUMBER(AVERAGE('20250815_ETF_Options_Exhibits'!E2608:E2612)),AVERAGE('20250815_ETF_Options_Exhibits'!E2608:E2612),"")</f>
        <v/>
      </c>
      <c r="F2612" s="3">
        <f>IF(ISNUMBER(AVERAGE('20250815_ETF_Options_Exhibits'!F2608:F2612)),AVERAGE('20250815_ETF_Options_Exhibits'!F2608:F2612),"")</f>
        <v/>
      </c>
      <c r="G2612" s="3">
        <f>IF(ISNUMBER(AVERAGE('20250815_ETF_Options_Exhibits'!G2608:G2612)),AVERAGE('20250815_ETF_Options_Exhibits'!G2608:G2612),"")</f>
        <v/>
      </c>
      <c r="H2612" s="3">
        <f>IF(ISNUMBER(AVERAGE('20250815_ETF_Options_Exhibits'!H2608:H2612)),AVERAGE('20250815_ETF_Options_Exhibits'!H2608:H2612),"")</f>
        <v/>
      </c>
      <c r="I2612" s="3">
        <f>IF(ISNUMBER(AVERAGE('20250815_ETF_Options_Exhibits'!I2608:I2612)),AVERAGE('20250815_ETF_Options_Exhibits'!I2608:I2612),"")</f>
        <v/>
      </c>
      <c r="J2612" s="3">
        <f>IF(ISNUMBER(AVERAGE('20250815_ETF_Options_Exhibits'!J2608:J2612)),AVERAGE('20250815_ETF_Options_Exhibits'!J2608:J2612),"")</f>
        <v/>
      </c>
      <c r="K2612" s="3">
        <f>IF(ISNUMBER(AVERAGE('20250815_ETF_Options_Exhibits'!K2608:K2612)),AVERAGE('20250815_ETF_Options_Exhibits'!K2608:K2612),"")</f>
        <v/>
      </c>
      <c r="L2612" s="3">
        <f>IF(ISNUMBER(AVERAGE('20250815_ETF_Options_Exhibits'!L2608:L2612)),AVERAGE('20250815_ETF_Options_Exhibits'!L2608:L2612),"")</f>
        <v/>
      </c>
      <c r="M2612" s="3">
        <f>IF(ISNUMBER(AVERAGE('20250815_ETF_Options_Exhibits'!M2608:M2612)),AVERAGE('20250815_ETF_Options_Exhibits'!M2608:M2612),"")</f>
        <v/>
      </c>
      <c r="N2612" s="3">
        <f>IF(ISNUMBER(AVERAGE('20250815_ETF_Options_Exhibits'!N2608:N2612)),AVERAGE('20250815_ETF_Options_Exhibits'!N2608:N2612),"")</f>
        <v/>
      </c>
      <c r="O2612" s="3">
        <f>IF(ISNUMBER(AVERAGE('20250815_ETF_Options_Exhibits'!O2608:O2612)),AVERAGE('20250815_ETF_Options_Exhibits'!O2608:O2612),"")</f>
        <v/>
      </c>
      <c r="P2612" s="3">
        <f>IF(ISNUMBER(AVERAGE('20250815_ETF_Options_Exhibits'!P2608:P2612)),AVERAGE('20250815_ETF_Options_Exhibits'!P2608:P2612),"")</f>
        <v/>
      </c>
      <c r="Q2612" s="3">
        <f>IF(ISNUMBER(AVERAGE('20250815_ETF_Options_Exhibits'!Q2608:Q2612)),AVERAGE('20250815_ETF_Options_Exhibits'!Q2608:Q2612),"")</f>
        <v/>
      </c>
      <c r="R2612" s="3">
        <f>IF(ISNUMBER(AVERAGE('20250815_ETF_Options_Exhibits'!R2608:R2612)),AVERAGE('20250815_ETF_Options_Exhibits'!R2608:R2612),"")</f>
        <v/>
      </c>
      <c r="S2612" s="3">
        <f>IF(ISNUMBER(AVERAGE('20250815_ETF_Options_Exhibits'!S2608:S2612)),AVERAGE('20250815_ETF_Options_Exhibits'!S2608:S2612),"")</f>
        <v/>
      </c>
      <c r="T2612" s="3">
        <f>IF(ISNUMBER(AVERAGE('20250815_ETF_Options_Exhibits'!T2608:T2612)),AVERAGE('20250815_ETF_Options_Exhibits'!T2608:T2612),"")</f>
        <v/>
      </c>
      <c r="U2612" s="3">
        <f>IF(ISNUMBER(AVERAGE('20250815_ETF_Options_Exhibits'!U2608:U2612)),AVERAGE('20250815_ETF_Options_Exhibits'!U2608:U2612),"")</f>
        <v/>
      </c>
      <c r="V2612" s="3">
        <f>IF(ISNUMBER(AVERAGE('20250815_ETF_Options_Exhibits'!V2608:V2612)),AVERAGE('20250815_ETF_Options_Exhibits'!V2608:V2612),"")</f>
        <v/>
      </c>
      <c r="W2612" s="3">
        <f>IF(ISNUMBER(AVERAGE('20250815_ETF_Options_Exhibits'!W2608:W2612)),AVERAGE('20250815_ETF_Options_Exhibits'!W2608:W2612),"")</f>
        <v/>
      </c>
      <c r="X2612" s="3">
        <f>IF(ISNUMBER(AVERAGE('20250815_ETF_Options_Exhibits'!X2608:X2612)),AVERAGE('20250815_ETF_Options_Exhibits'!X2608:X2612),"")</f>
        <v/>
      </c>
      <c r="Y2612" s="3">
        <f>IF(ISNUMBER(AVERAGE('20250815_ETF_Options_Exhibits'!Y2608:Y2612)),AVERAGE('20250815_ETF_Options_Exhibits'!Y2608:Y2612),"")</f>
        <v/>
      </c>
      <c r="Z2612" s="3">
        <f>IF(ISNUMBER(AVERAGE('20250815_ETF_Options_Exhibits'!Z2608:Z2612)),AVERAGE('20250815_ETF_Options_Exhibits'!Z2608:Z2612),"")</f>
        <v/>
      </c>
      <c r="AA2612" s="3">
        <f>IF(ISNUMBER(AVERAGE('20250815_ETF_Options_Exhibits'!AA2608:AA2612)),AVERAGE('20250815_ETF_Options_Exhibits'!AA2608:AA2612),"")</f>
        <v/>
      </c>
    </row>
    <row r="2613">
      <c r="A2613" s="1" t="n">
        <v>45797</v>
      </c>
      <c r="B2613" s="3">
        <f>IF(ISNUMBER(AVERAGE('20250815_ETF_Options_Exhibits'!B2609:B2613)),AVERAGE('20250815_ETF_Options_Exhibits'!B2609:B2613),"")</f>
        <v/>
      </c>
      <c r="C2613" s="3">
        <f>IF(ISNUMBER(AVERAGE('20250815_ETF_Options_Exhibits'!C2609:C2613)),AVERAGE('20250815_ETF_Options_Exhibits'!C2609:C2613),"")</f>
        <v/>
      </c>
      <c r="D2613" s="3">
        <f>IF(ISNUMBER(AVERAGE('20250815_ETF_Options_Exhibits'!D2609:D2613)),AVERAGE('20250815_ETF_Options_Exhibits'!D2609:D2613),"")</f>
        <v/>
      </c>
      <c r="E2613" s="3">
        <f>IF(ISNUMBER(AVERAGE('20250815_ETF_Options_Exhibits'!E2609:E2613)),AVERAGE('20250815_ETF_Options_Exhibits'!E2609:E2613),"")</f>
        <v/>
      </c>
      <c r="F2613" s="3">
        <f>IF(ISNUMBER(AVERAGE('20250815_ETF_Options_Exhibits'!F2609:F2613)),AVERAGE('20250815_ETF_Options_Exhibits'!F2609:F2613),"")</f>
        <v/>
      </c>
      <c r="G2613" s="3">
        <f>IF(ISNUMBER(AVERAGE('20250815_ETF_Options_Exhibits'!G2609:G2613)),AVERAGE('20250815_ETF_Options_Exhibits'!G2609:G2613),"")</f>
        <v/>
      </c>
      <c r="H2613" s="3">
        <f>IF(ISNUMBER(AVERAGE('20250815_ETF_Options_Exhibits'!H2609:H2613)),AVERAGE('20250815_ETF_Options_Exhibits'!H2609:H2613),"")</f>
        <v/>
      </c>
      <c r="I2613" s="3">
        <f>IF(ISNUMBER(AVERAGE('20250815_ETF_Options_Exhibits'!I2609:I2613)),AVERAGE('20250815_ETF_Options_Exhibits'!I2609:I2613),"")</f>
        <v/>
      </c>
      <c r="J2613" s="3">
        <f>IF(ISNUMBER(AVERAGE('20250815_ETF_Options_Exhibits'!J2609:J2613)),AVERAGE('20250815_ETF_Options_Exhibits'!J2609:J2613),"")</f>
        <v/>
      </c>
      <c r="K2613" s="3">
        <f>IF(ISNUMBER(AVERAGE('20250815_ETF_Options_Exhibits'!K2609:K2613)),AVERAGE('20250815_ETF_Options_Exhibits'!K2609:K2613),"")</f>
        <v/>
      </c>
      <c r="L2613" s="3">
        <f>IF(ISNUMBER(AVERAGE('20250815_ETF_Options_Exhibits'!L2609:L2613)),AVERAGE('20250815_ETF_Options_Exhibits'!L2609:L2613),"")</f>
        <v/>
      </c>
      <c r="M2613" s="3">
        <f>IF(ISNUMBER(AVERAGE('20250815_ETF_Options_Exhibits'!M2609:M2613)),AVERAGE('20250815_ETF_Options_Exhibits'!M2609:M2613),"")</f>
        <v/>
      </c>
      <c r="N2613" s="3">
        <f>IF(ISNUMBER(AVERAGE('20250815_ETF_Options_Exhibits'!N2609:N2613)),AVERAGE('20250815_ETF_Options_Exhibits'!N2609:N2613),"")</f>
        <v/>
      </c>
      <c r="O2613" s="3">
        <f>IF(ISNUMBER(AVERAGE('20250815_ETF_Options_Exhibits'!O2609:O2613)),AVERAGE('20250815_ETF_Options_Exhibits'!O2609:O2613),"")</f>
        <v/>
      </c>
      <c r="P2613" s="3">
        <f>IF(ISNUMBER(AVERAGE('20250815_ETF_Options_Exhibits'!P2609:P2613)),AVERAGE('20250815_ETF_Options_Exhibits'!P2609:P2613),"")</f>
        <v/>
      </c>
      <c r="Q2613" s="3">
        <f>IF(ISNUMBER(AVERAGE('20250815_ETF_Options_Exhibits'!Q2609:Q2613)),AVERAGE('20250815_ETF_Options_Exhibits'!Q2609:Q2613),"")</f>
        <v/>
      </c>
      <c r="R2613" s="3">
        <f>IF(ISNUMBER(AVERAGE('20250815_ETF_Options_Exhibits'!R2609:R2613)),AVERAGE('20250815_ETF_Options_Exhibits'!R2609:R2613),"")</f>
        <v/>
      </c>
      <c r="S2613" s="3">
        <f>IF(ISNUMBER(AVERAGE('20250815_ETF_Options_Exhibits'!S2609:S2613)),AVERAGE('20250815_ETF_Options_Exhibits'!S2609:S2613),"")</f>
        <v/>
      </c>
      <c r="T2613" s="3">
        <f>IF(ISNUMBER(AVERAGE('20250815_ETF_Options_Exhibits'!T2609:T2613)),AVERAGE('20250815_ETF_Options_Exhibits'!T2609:T2613),"")</f>
        <v/>
      </c>
      <c r="U2613" s="3">
        <f>IF(ISNUMBER(AVERAGE('20250815_ETF_Options_Exhibits'!U2609:U2613)),AVERAGE('20250815_ETF_Options_Exhibits'!U2609:U2613),"")</f>
        <v/>
      </c>
      <c r="V2613" s="3">
        <f>IF(ISNUMBER(AVERAGE('20250815_ETF_Options_Exhibits'!V2609:V2613)),AVERAGE('20250815_ETF_Options_Exhibits'!V2609:V2613),"")</f>
        <v/>
      </c>
      <c r="W2613" s="3">
        <f>IF(ISNUMBER(AVERAGE('20250815_ETF_Options_Exhibits'!W2609:W2613)),AVERAGE('20250815_ETF_Options_Exhibits'!W2609:W2613),"")</f>
        <v/>
      </c>
      <c r="X2613" s="3">
        <f>IF(ISNUMBER(AVERAGE('20250815_ETF_Options_Exhibits'!X2609:X2613)),AVERAGE('20250815_ETF_Options_Exhibits'!X2609:X2613),"")</f>
        <v/>
      </c>
      <c r="Y2613" s="3">
        <f>IF(ISNUMBER(AVERAGE('20250815_ETF_Options_Exhibits'!Y2609:Y2613)),AVERAGE('20250815_ETF_Options_Exhibits'!Y2609:Y2613),"")</f>
        <v/>
      </c>
      <c r="Z2613" s="3">
        <f>IF(ISNUMBER(AVERAGE('20250815_ETF_Options_Exhibits'!Z2609:Z2613)),AVERAGE('20250815_ETF_Options_Exhibits'!Z2609:Z2613),"")</f>
        <v/>
      </c>
      <c r="AA2613" s="3">
        <f>IF(ISNUMBER(AVERAGE('20250815_ETF_Options_Exhibits'!AA2609:AA2613)),AVERAGE('20250815_ETF_Options_Exhibits'!AA2609:AA2613),"")</f>
        <v/>
      </c>
    </row>
    <row r="2614">
      <c r="A2614" s="1" t="n">
        <v>45798</v>
      </c>
      <c r="B2614" s="3">
        <f>IF(ISNUMBER(AVERAGE('20250815_ETF_Options_Exhibits'!B2610:B2614)),AVERAGE('20250815_ETF_Options_Exhibits'!B2610:B2614),"")</f>
        <v/>
      </c>
      <c r="C2614" s="3">
        <f>IF(ISNUMBER(AVERAGE('20250815_ETF_Options_Exhibits'!C2610:C2614)),AVERAGE('20250815_ETF_Options_Exhibits'!C2610:C2614),"")</f>
        <v/>
      </c>
      <c r="D2614" s="3">
        <f>IF(ISNUMBER(AVERAGE('20250815_ETF_Options_Exhibits'!D2610:D2614)),AVERAGE('20250815_ETF_Options_Exhibits'!D2610:D2614),"")</f>
        <v/>
      </c>
      <c r="E2614" s="3">
        <f>IF(ISNUMBER(AVERAGE('20250815_ETF_Options_Exhibits'!E2610:E2614)),AVERAGE('20250815_ETF_Options_Exhibits'!E2610:E2614),"")</f>
        <v/>
      </c>
      <c r="F2614" s="3">
        <f>IF(ISNUMBER(AVERAGE('20250815_ETF_Options_Exhibits'!F2610:F2614)),AVERAGE('20250815_ETF_Options_Exhibits'!F2610:F2614),"")</f>
        <v/>
      </c>
      <c r="G2614" s="3">
        <f>IF(ISNUMBER(AVERAGE('20250815_ETF_Options_Exhibits'!G2610:G2614)),AVERAGE('20250815_ETF_Options_Exhibits'!G2610:G2614),"")</f>
        <v/>
      </c>
      <c r="H2614" s="3">
        <f>IF(ISNUMBER(AVERAGE('20250815_ETF_Options_Exhibits'!H2610:H2614)),AVERAGE('20250815_ETF_Options_Exhibits'!H2610:H2614),"")</f>
        <v/>
      </c>
      <c r="I2614" s="3">
        <f>IF(ISNUMBER(AVERAGE('20250815_ETF_Options_Exhibits'!I2610:I2614)),AVERAGE('20250815_ETF_Options_Exhibits'!I2610:I2614),"")</f>
        <v/>
      </c>
      <c r="J2614" s="3">
        <f>IF(ISNUMBER(AVERAGE('20250815_ETF_Options_Exhibits'!J2610:J2614)),AVERAGE('20250815_ETF_Options_Exhibits'!J2610:J2614),"")</f>
        <v/>
      </c>
      <c r="K2614" s="3">
        <f>IF(ISNUMBER(AVERAGE('20250815_ETF_Options_Exhibits'!K2610:K2614)),AVERAGE('20250815_ETF_Options_Exhibits'!K2610:K2614),"")</f>
        <v/>
      </c>
      <c r="L2614" s="3">
        <f>IF(ISNUMBER(AVERAGE('20250815_ETF_Options_Exhibits'!L2610:L2614)),AVERAGE('20250815_ETF_Options_Exhibits'!L2610:L2614),"")</f>
        <v/>
      </c>
      <c r="M2614" s="3">
        <f>IF(ISNUMBER(AVERAGE('20250815_ETF_Options_Exhibits'!M2610:M2614)),AVERAGE('20250815_ETF_Options_Exhibits'!M2610:M2614),"")</f>
        <v/>
      </c>
      <c r="N2614" s="3">
        <f>IF(ISNUMBER(AVERAGE('20250815_ETF_Options_Exhibits'!N2610:N2614)),AVERAGE('20250815_ETF_Options_Exhibits'!N2610:N2614),"")</f>
        <v/>
      </c>
      <c r="O2614" s="3">
        <f>IF(ISNUMBER(AVERAGE('20250815_ETF_Options_Exhibits'!O2610:O2614)),AVERAGE('20250815_ETF_Options_Exhibits'!O2610:O2614),"")</f>
        <v/>
      </c>
      <c r="P2614" s="3">
        <f>IF(ISNUMBER(AVERAGE('20250815_ETF_Options_Exhibits'!P2610:P2614)),AVERAGE('20250815_ETF_Options_Exhibits'!P2610:P2614),"")</f>
        <v/>
      </c>
      <c r="Q2614" s="3">
        <f>IF(ISNUMBER(AVERAGE('20250815_ETF_Options_Exhibits'!Q2610:Q2614)),AVERAGE('20250815_ETF_Options_Exhibits'!Q2610:Q2614),"")</f>
        <v/>
      </c>
      <c r="R2614" s="3">
        <f>IF(ISNUMBER(AVERAGE('20250815_ETF_Options_Exhibits'!R2610:R2614)),AVERAGE('20250815_ETF_Options_Exhibits'!R2610:R2614),"")</f>
        <v/>
      </c>
      <c r="S2614" s="3">
        <f>IF(ISNUMBER(AVERAGE('20250815_ETF_Options_Exhibits'!S2610:S2614)),AVERAGE('20250815_ETF_Options_Exhibits'!S2610:S2614),"")</f>
        <v/>
      </c>
      <c r="T2614" s="3">
        <f>IF(ISNUMBER(AVERAGE('20250815_ETF_Options_Exhibits'!T2610:T2614)),AVERAGE('20250815_ETF_Options_Exhibits'!T2610:T2614),"")</f>
        <v/>
      </c>
      <c r="U2614" s="3">
        <f>IF(ISNUMBER(AVERAGE('20250815_ETF_Options_Exhibits'!U2610:U2614)),AVERAGE('20250815_ETF_Options_Exhibits'!U2610:U2614),"")</f>
        <v/>
      </c>
      <c r="V2614" s="3">
        <f>IF(ISNUMBER(AVERAGE('20250815_ETF_Options_Exhibits'!V2610:V2614)),AVERAGE('20250815_ETF_Options_Exhibits'!V2610:V2614),"")</f>
        <v/>
      </c>
      <c r="W2614" s="3">
        <f>IF(ISNUMBER(AVERAGE('20250815_ETF_Options_Exhibits'!W2610:W2614)),AVERAGE('20250815_ETF_Options_Exhibits'!W2610:W2614),"")</f>
        <v/>
      </c>
      <c r="X2614" s="3">
        <f>IF(ISNUMBER(AVERAGE('20250815_ETF_Options_Exhibits'!X2610:X2614)),AVERAGE('20250815_ETF_Options_Exhibits'!X2610:X2614),"")</f>
        <v/>
      </c>
      <c r="Y2614" s="3">
        <f>IF(ISNUMBER(AVERAGE('20250815_ETF_Options_Exhibits'!Y2610:Y2614)),AVERAGE('20250815_ETF_Options_Exhibits'!Y2610:Y2614),"")</f>
        <v/>
      </c>
      <c r="Z2614" s="3">
        <f>IF(ISNUMBER(AVERAGE('20250815_ETF_Options_Exhibits'!Z2610:Z2614)),AVERAGE('20250815_ETF_Options_Exhibits'!Z2610:Z2614),"")</f>
        <v/>
      </c>
      <c r="AA2614" s="3">
        <f>IF(ISNUMBER(AVERAGE('20250815_ETF_Options_Exhibits'!AA2610:AA2614)),AVERAGE('20250815_ETF_Options_Exhibits'!AA2610:AA2614),"")</f>
        <v/>
      </c>
    </row>
    <row r="2615">
      <c r="A2615" s="1" t="n">
        <v>45799</v>
      </c>
      <c r="B2615" s="3">
        <f>IF(ISNUMBER(AVERAGE('20250815_ETF_Options_Exhibits'!B2611:B2615)),AVERAGE('20250815_ETF_Options_Exhibits'!B2611:B2615),"")</f>
        <v/>
      </c>
      <c r="C2615" s="3">
        <f>IF(ISNUMBER(AVERAGE('20250815_ETF_Options_Exhibits'!C2611:C2615)),AVERAGE('20250815_ETF_Options_Exhibits'!C2611:C2615),"")</f>
        <v/>
      </c>
      <c r="D2615" s="3">
        <f>IF(ISNUMBER(AVERAGE('20250815_ETF_Options_Exhibits'!D2611:D2615)),AVERAGE('20250815_ETF_Options_Exhibits'!D2611:D2615),"")</f>
        <v/>
      </c>
      <c r="E2615" s="3">
        <f>IF(ISNUMBER(AVERAGE('20250815_ETF_Options_Exhibits'!E2611:E2615)),AVERAGE('20250815_ETF_Options_Exhibits'!E2611:E2615),"")</f>
        <v/>
      </c>
      <c r="F2615" s="3">
        <f>IF(ISNUMBER(AVERAGE('20250815_ETF_Options_Exhibits'!F2611:F2615)),AVERAGE('20250815_ETF_Options_Exhibits'!F2611:F2615),"")</f>
        <v/>
      </c>
      <c r="G2615" s="3">
        <f>IF(ISNUMBER(AVERAGE('20250815_ETF_Options_Exhibits'!G2611:G2615)),AVERAGE('20250815_ETF_Options_Exhibits'!G2611:G2615),"")</f>
        <v/>
      </c>
      <c r="H2615" s="3">
        <f>IF(ISNUMBER(AVERAGE('20250815_ETF_Options_Exhibits'!H2611:H2615)),AVERAGE('20250815_ETF_Options_Exhibits'!H2611:H2615),"")</f>
        <v/>
      </c>
      <c r="I2615" s="3">
        <f>IF(ISNUMBER(AVERAGE('20250815_ETF_Options_Exhibits'!I2611:I2615)),AVERAGE('20250815_ETF_Options_Exhibits'!I2611:I2615),"")</f>
        <v/>
      </c>
      <c r="J2615" s="3">
        <f>IF(ISNUMBER(AVERAGE('20250815_ETF_Options_Exhibits'!J2611:J2615)),AVERAGE('20250815_ETF_Options_Exhibits'!J2611:J2615),"")</f>
        <v/>
      </c>
      <c r="K2615" s="3">
        <f>IF(ISNUMBER(AVERAGE('20250815_ETF_Options_Exhibits'!K2611:K2615)),AVERAGE('20250815_ETF_Options_Exhibits'!K2611:K2615),"")</f>
        <v/>
      </c>
      <c r="L2615" s="3">
        <f>IF(ISNUMBER(AVERAGE('20250815_ETF_Options_Exhibits'!L2611:L2615)),AVERAGE('20250815_ETF_Options_Exhibits'!L2611:L2615),"")</f>
        <v/>
      </c>
      <c r="M2615" s="3">
        <f>IF(ISNUMBER(AVERAGE('20250815_ETF_Options_Exhibits'!M2611:M2615)),AVERAGE('20250815_ETF_Options_Exhibits'!M2611:M2615),"")</f>
        <v/>
      </c>
      <c r="N2615" s="3">
        <f>IF(ISNUMBER(AVERAGE('20250815_ETF_Options_Exhibits'!N2611:N2615)),AVERAGE('20250815_ETF_Options_Exhibits'!N2611:N2615),"")</f>
        <v/>
      </c>
      <c r="O2615" s="3">
        <f>IF(ISNUMBER(AVERAGE('20250815_ETF_Options_Exhibits'!O2611:O2615)),AVERAGE('20250815_ETF_Options_Exhibits'!O2611:O2615),"")</f>
        <v/>
      </c>
      <c r="P2615" s="3">
        <f>IF(ISNUMBER(AVERAGE('20250815_ETF_Options_Exhibits'!P2611:P2615)),AVERAGE('20250815_ETF_Options_Exhibits'!P2611:P2615),"")</f>
        <v/>
      </c>
      <c r="Q2615" s="3">
        <f>IF(ISNUMBER(AVERAGE('20250815_ETF_Options_Exhibits'!Q2611:Q2615)),AVERAGE('20250815_ETF_Options_Exhibits'!Q2611:Q2615),"")</f>
        <v/>
      </c>
      <c r="R2615" s="3">
        <f>IF(ISNUMBER(AVERAGE('20250815_ETF_Options_Exhibits'!R2611:R2615)),AVERAGE('20250815_ETF_Options_Exhibits'!R2611:R2615),"")</f>
        <v/>
      </c>
      <c r="S2615" s="3">
        <f>IF(ISNUMBER(AVERAGE('20250815_ETF_Options_Exhibits'!S2611:S2615)),AVERAGE('20250815_ETF_Options_Exhibits'!S2611:S2615),"")</f>
        <v/>
      </c>
      <c r="T2615" s="3">
        <f>IF(ISNUMBER(AVERAGE('20250815_ETF_Options_Exhibits'!T2611:T2615)),AVERAGE('20250815_ETF_Options_Exhibits'!T2611:T2615),"")</f>
        <v/>
      </c>
      <c r="U2615" s="3">
        <f>IF(ISNUMBER(AVERAGE('20250815_ETF_Options_Exhibits'!U2611:U2615)),AVERAGE('20250815_ETF_Options_Exhibits'!U2611:U2615),"")</f>
        <v/>
      </c>
      <c r="V2615" s="3">
        <f>IF(ISNUMBER(AVERAGE('20250815_ETF_Options_Exhibits'!V2611:V2615)),AVERAGE('20250815_ETF_Options_Exhibits'!V2611:V2615),"")</f>
        <v/>
      </c>
      <c r="W2615" s="3">
        <f>IF(ISNUMBER(AVERAGE('20250815_ETF_Options_Exhibits'!W2611:W2615)),AVERAGE('20250815_ETF_Options_Exhibits'!W2611:W2615),"")</f>
        <v/>
      </c>
      <c r="X2615" s="3">
        <f>IF(ISNUMBER(AVERAGE('20250815_ETF_Options_Exhibits'!X2611:X2615)),AVERAGE('20250815_ETF_Options_Exhibits'!X2611:X2615),"")</f>
        <v/>
      </c>
      <c r="Y2615" s="3">
        <f>IF(ISNUMBER(AVERAGE('20250815_ETF_Options_Exhibits'!Y2611:Y2615)),AVERAGE('20250815_ETF_Options_Exhibits'!Y2611:Y2615),"")</f>
        <v/>
      </c>
      <c r="Z2615" s="3">
        <f>IF(ISNUMBER(AVERAGE('20250815_ETF_Options_Exhibits'!Z2611:Z2615)),AVERAGE('20250815_ETF_Options_Exhibits'!Z2611:Z2615),"")</f>
        <v/>
      </c>
      <c r="AA2615" s="3">
        <f>IF(ISNUMBER(AVERAGE('20250815_ETF_Options_Exhibits'!AA2611:AA2615)),AVERAGE('20250815_ETF_Options_Exhibits'!AA2611:AA2615),"")</f>
        <v/>
      </c>
    </row>
    <row r="2616">
      <c r="A2616" s="1" t="n">
        <v>45800</v>
      </c>
      <c r="B2616" s="3">
        <f>IF(ISNUMBER(AVERAGE('20250815_ETF_Options_Exhibits'!B2612:B2616)),AVERAGE('20250815_ETF_Options_Exhibits'!B2612:B2616),"")</f>
        <v/>
      </c>
      <c r="C2616" s="3">
        <f>IF(ISNUMBER(AVERAGE('20250815_ETF_Options_Exhibits'!C2612:C2616)),AVERAGE('20250815_ETF_Options_Exhibits'!C2612:C2616),"")</f>
        <v/>
      </c>
      <c r="D2616" s="3">
        <f>IF(ISNUMBER(AVERAGE('20250815_ETF_Options_Exhibits'!D2612:D2616)),AVERAGE('20250815_ETF_Options_Exhibits'!D2612:D2616),"")</f>
        <v/>
      </c>
      <c r="E2616" s="3">
        <f>IF(ISNUMBER(AVERAGE('20250815_ETF_Options_Exhibits'!E2612:E2616)),AVERAGE('20250815_ETF_Options_Exhibits'!E2612:E2616),"")</f>
        <v/>
      </c>
      <c r="F2616" s="3">
        <f>IF(ISNUMBER(AVERAGE('20250815_ETF_Options_Exhibits'!F2612:F2616)),AVERAGE('20250815_ETF_Options_Exhibits'!F2612:F2616),"")</f>
        <v/>
      </c>
      <c r="G2616" s="3">
        <f>IF(ISNUMBER(AVERAGE('20250815_ETF_Options_Exhibits'!G2612:G2616)),AVERAGE('20250815_ETF_Options_Exhibits'!G2612:G2616),"")</f>
        <v/>
      </c>
      <c r="H2616" s="3">
        <f>IF(ISNUMBER(AVERAGE('20250815_ETF_Options_Exhibits'!H2612:H2616)),AVERAGE('20250815_ETF_Options_Exhibits'!H2612:H2616),"")</f>
        <v/>
      </c>
      <c r="I2616" s="3">
        <f>IF(ISNUMBER(AVERAGE('20250815_ETF_Options_Exhibits'!I2612:I2616)),AVERAGE('20250815_ETF_Options_Exhibits'!I2612:I2616),"")</f>
        <v/>
      </c>
      <c r="J2616" s="3">
        <f>IF(ISNUMBER(AVERAGE('20250815_ETF_Options_Exhibits'!J2612:J2616)),AVERAGE('20250815_ETF_Options_Exhibits'!J2612:J2616),"")</f>
        <v/>
      </c>
      <c r="K2616" s="3">
        <f>IF(ISNUMBER(AVERAGE('20250815_ETF_Options_Exhibits'!K2612:K2616)),AVERAGE('20250815_ETF_Options_Exhibits'!K2612:K2616),"")</f>
        <v/>
      </c>
      <c r="L2616" s="3">
        <f>IF(ISNUMBER(AVERAGE('20250815_ETF_Options_Exhibits'!L2612:L2616)),AVERAGE('20250815_ETF_Options_Exhibits'!L2612:L2616),"")</f>
        <v/>
      </c>
      <c r="M2616" s="3">
        <f>IF(ISNUMBER(AVERAGE('20250815_ETF_Options_Exhibits'!M2612:M2616)),AVERAGE('20250815_ETF_Options_Exhibits'!M2612:M2616),"")</f>
        <v/>
      </c>
      <c r="N2616" s="3">
        <f>IF(ISNUMBER(AVERAGE('20250815_ETF_Options_Exhibits'!N2612:N2616)),AVERAGE('20250815_ETF_Options_Exhibits'!N2612:N2616),"")</f>
        <v/>
      </c>
      <c r="O2616" s="3">
        <f>IF(ISNUMBER(AVERAGE('20250815_ETF_Options_Exhibits'!O2612:O2616)),AVERAGE('20250815_ETF_Options_Exhibits'!O2612:O2616),"")</f>
        <v/>
      </c>
      <c r="P2616" s="3">
        <f>IF(ISNUMBER(AVERAGE('20250815_ETF_Options_Exhibits'!P2612:P2616)),AVERAGE('20250815_ETF_Options_Exhibits'!P2612:P2616),"")</f>
        <v/>
      </c>
      <c r="Q2616" s="3">
        <f>IF(ISNUMBER(AVERAGE('20250815_ETF_Options_Exhibits'!Q2612:Q2616)),AVERAGE('20250815_ETF_Options_Exhibits'!Q2612:Q2616),"")</f>
        <v/>
      </c>
      <c r="R2616" s="3">
        <f>IF(ISNUMBER(AVERAGE('20250815_ETF_Options_Exhibits'!R2612:R2616)),AVERAGE('20250815_ETF_Options_Exhibits'!R2612:R2616),"")</f>
        <v/>
      </c>
      <c r="S2616" s="3">
        <f>IF(ISNUMBER(AVERAGE('20250815_ETF_Options_Exhibits'!S2612:S2616)),AVERAGE('20250815_ETF_Options_Exhibits'!S2612:S2616),"")</f>
        <v/>
      </c>
      <c r="T2616" s="3">
        <f>IF(ISNUMBER(AVERAGE('20250815_ETF_Options_Exhibits'!T2612:T2616)),AVERAGE('20250815_ETF_Options_Exhibits'!T2612:T2616),"")</f>
        <v/>
      </c>
      <c r="U2616" s="3">
        <f>IF(ISNUMBER(AVERAGE('20250815_ETF_Options_Exhibits'!U2612:U2616)),AVERAGE('20250815_ETF_Options_Exhibits'!U2612:U2616),"")</f>
        <v/>
      </c>
      <c r="V2616" s="3">
        <f>IF(ISNUMBER(AVERAGE('20250815_ETF_Options_Exhibits'!V2612:V2616)),AVERAGE('20250815_ETF_Options_Exhibits'!V2612:V2616),"")</f>
        <v/>
      </c>
      <c r="W2616" s="3">
        <f>IF(ISNUMBER(AVERAGE('20250815_ETF_Options_Exhibits'!W2612:W2616)),AVERAGE('20250815_ETF_Options_Exhibits'!W2612:W2616),"")</f>
        <v/>
      </c>
      <c r="X2616" s="3">
        <f>IF(ISNUMBER(AVERAGE('20250815_ETF_Options_Exhibits'!X2612:X2616)),AVERAGE('20250815_ETF_Options_Exhibits'!X2612:X2616),"")</f>
        <v/>
      </c>
      <c r="Y2616" s="3">
        <f>IF(ISNUMBER(AVERAGE('20250815_ETF_Options_Exhibits'!Y2612:Y2616)),AVERAGE('20250815_ETF_Options_Exhibits'!Y2612:Y2616),"")</f>
        <v/>
      </c>
      <c r="Z2616" s="3">
        <f>IF(ISNUMBER(AVERAGE('20250815_ETF_Options_Exhibits'!Z2612:Z2616)),AVERAGE('20250815_ETF_Options_Exhibits'!Z2612:Z2616),"")</f>
        <v/>
      </c>
      <c r="AA2616" s="3">
        <f>IF(ISNUMBER(AVERAGE('20250815_ETF_Options_Exhibits'!AA2612:AA2616)),AVERAGE('20250815_ETF_Options_Exhibits'!AA2612:AA2616),"")</f>
        <v/>
      </c>
    </row>
    <row r="2617">
      <c r="A2617" s="1" t="n">
        <v>45804</v>
      </c>
      <c r="B2617" s="3">
        <f>IF(ISNUMBER(AVERAGE('20250815_ETF_Options_Exhibits'!B2613:B2617)),AVERAGE('20250815_ETF_Options_Exhibits'!B2613:B2617),"")</f>
        <v/>
      </c>
      <c r="C2617" s="3">
        <f>IF(ISNUMBER(AVERAGE('20250815_ETF_Options_Exhibits'!C2613:C2617)),AVERAGE('20250815_ETF_Options_Exhibits'!C2613:C2617),"")</f>
        <v/>
      </c>
      <c r="D2617" s="3">
        <f>IF(ISNUMBER(AVERAGE('20250815_ETF_Options_Exhibits'!D2613:D2617)),AVERAGE('20250815_ETF_Options_Exhibits'!D2613:D2617),"")</f>
        <v/>
      </c>
      <c r="E2617" s="3">
        <f>IF(ISNUMBER(AVERAGE('20250815_ETF_Options_Exhibits'!E2613:E2617)),AVERAGE('20250815_ETF_Options_Exhibits'!E2613:E2617),"")</f>
        <v/>
      </c>
      <c r="F2617" s="3">
        <f>IF(ISNUMBER(AVERAGE('20250815_ETF_Options_Exhibits'!F2613:F2617)),AVERAGE('20250815_ETF_Options_Exhibits'!F2613:F2617),"")</f>
        <v/>
      </c>
      <c r="G2617" s="3">
        <f>IF(ISNUMBER(AVERAGE('20250815_ETF_Options_Exhibits'!G2613:G2617)),AVERAGE('20250815_ETF_Options_Exhibits'!G2613:G2617),"")</f>
        <v/>
      </c>
      <c r="H2617" s="3">
        <f>IF(ISNUMBER(AVERAGE('20250815_ETF_Options_Exhibits'!H2613:H2617)),AVERAGE('20250815_ETF_Options_Exhibits'!H2613:H2617),"")</f>
        <v/>
      </c>
      <c r="I2617" s="3">
        <f>IF(ISNUMBER(AVERAGE('20250815_ETF_Options_Exhibits'!I2613:I2617)),AVERAGE('20250815_ETF_Options_Exhibits'!I2613:I2617),"")</f>
        <v/>
      </c>
      <c r="J2617" s="3">
        <f>IF(ISNUMBER(AVERAGE('20250815_ETF_Options_Exhibits'!J2613:J2617)),AVERAGE('20250815_ETF_Options_Exhibits'!J2613:J2617),"")</f>
        <v/>
      </c>
      <c r="K2617" s="3">
        <f>IF(ISNUMBER(AVERAGE('20250815_ETF_Options_Exhibits'!K2613:K2617)),AVERAGE('20250815_ETF_Options_Exhibits'!K2613:K2617),"")</f>
        <v/>
      </c>
      <c r="L2617" s="3">
        <f>IF(ISNUMBER(AVERAGE('20250815_ETF_Options_Exhibits'!L2613:L2617)),AVERAGE('20250815_ETF_Options_Exhibits'!L2613:L2617),"")</f>
        <v/>
      </c>
      <c r="M2617" s="3">
        <f>IF(ISNUMBER(AVERAGE('20250815_ETF_Options_Exhibits'!M2613:M2617)),AVERAGE('20250815_ETF_Options_Exhibits'!M2613:M2617),"")</f>
        <v/>
      </c>
      <c r="N2617" s="3">
        <f>IF(ISNUMBER(AVERAGE('20250815_ETF_Options_Exhibits'!N2613:N2617)),AVERAGE('20250815_ETF_Options_Exhibits'!N2613:N2617),"")</f>
        <v/>
      </c>
      <c r="O2617" s="3">
        <f>IF(ISNUMBER(AVERAGE('20250815_ETF_Options_Exhibits'!O2613:O2617)),AVERAGE('20250815_ETF_Options_Exhibits'!O2613:O2617),"")</f>
        <v/>
      </c>
      <c r="P2617" s="3">
        <f>IF(ISNUMBER(AVERAGE('20250815_ETF_Options_Exhibits'!P2613:P2617)),AVERAGE('20250815_ETF_Options_Exhibits'!P2613:P2617),"")</f>
        <v/>
      </c>
      <c r="Q2617" s="3">
        <f>IF(ISNUMBER(AVERAGE('20250815_ETF_Options_Exhibits'!Q2613:Q2617)),AVERAGE('20250815_ETF_Options_Exhibits'!Q2613:Q2617),"")</f>
        <v/>
      </c>
      <c r="R2617" s="3">
        <f>IF(ISNUMBER(AVERAGE('20250815_ETF_Options_Exhibits'!R2613:R2617)),AVERAGE('20250815_ETF_Options_Exhibits'!R2613:R2617),"")</f>
        <v/>
      </c>
      <c r="S2617" s="3">
        <f>IF(ISNUMBER(AVERAGE('20250815_ETF_Options_Exhibits'!S2613:S2617)),AVERAGE('20250815_ETF_Options_Exhibits'!S2613:S2617),"")</f>
        <v/>
      </c>
      <c r="T2617" s="3">
        <f>IF(ISNUMBER(AVERAGE('20250815_ETF_Options_Exhibits'!T2613:T2617)),AVERAGE('20250815_ETF_Options_Exhibits'!T2613:T2617),"")</f>
        <v/>
      </c>
      <c r="U2617" s="3">
        <f>IF(ISNUMBER(AVERAGE('20250815_ETF_Options_Exhibits'!U2613:U2617)),AVERAGE('20250815_ETF_Options_Exhibits'!U2613:U2617),"")</f>
        <v/>
      </c>
      <c r="V2617" s="3">
        <f>IF(ISNUMBER(AVERAGE('20250815_ETF_Options_Exhibits'!V2613:V2617)),AVERAGE('20250815_ETF_Options_Exhibits'!V2613:V2617),"")</f>
        <v/>
      </c>
      <c r="W2617" s="3">
        <f>IF(ISNUMBER(AVERAGE('20250815_ETF_Options_Exhibits'!W2613:W2617)),AVERAGE('20250815_ETF_Options_Exhibits'!W2613:W2617),"")</f>
        <v/>
      </c>
      <c r="X2617" s="3">
        <f>IF(ISNUMBER(AVERAGE('20250815_ETF_Options_Exhibits'!X2613:X2617)),AVERAGE('20250815_ETF_Options_Exhibits'!X2613:X2617),"")</f>
        <v/>
      </c>
      <c r="Y2617" s="3">
        <f>IF(ISNUMBER(AVERAGE('20250815_ETF_Options_Exhibits'!Y2613:Y2617)),AVERAGE('20250815_ETF_Options_Exhibits'!Y2613:Y2617),"")</f>
        <v/>
      </c>
      <c r="Z2617" s="3">
        <f>IF(ISNUMBER(AVERAGE('20250815_ETF_Options_Exhibits'!Z2613:Z2617)),AVERAGE('20250815_ETF_Options_Exhibits'!Z2613:Z2617),"")</f>
        <v/>
      </c>
      <c r="AA2617" s="3">
        <f>IF(ISNUMBER(AVERAGE('20250815_ETF_Options_Exhibits'!AA2613:AA2617)),AVERAGE('20250815_ETF_Options_Exhibits'!AA2613:AA2617),"")</f>
        <v/>
      </c>
    </row>
    <row r="2618">
      <c r="A2618" s="1" t="n">
        <v>45805</v>
      </c>
      <c r="B2618" s="3">
        <f>IF(ISNUMBER(AVERAGE('20250815_ETF_Options_Exhibits'!B2614:B2618)),AVERAGE('20250815_ETF_Options_Exhibits'!B2614:B2618),"")</f>
        <v/>
      </c>
      <c r="C2618" s="3">
        <f>IF(ISNUMBER(AVERAGE('20250815_ETF_Options_Exhibits'!C2614:C2618)),AVERAGE('20250815_ETF_Options_Exhibits'!C2614:C2618),"")</f>
        <v/>
      </c>
      <c r="D2618" s="3">
        <f>IF(ISNUMBER(AVERAGE('20250815_ETF_Options_Exhibits'!D2614:D2618)),AVERAGE('20250815_ETF_Options_Exhibits'!D2614:D2618),"")</f>
        <v/>
      </c>
      <c r="E2618" s="3">
        <f>IF(ISNUMBER(AVERAGE('20250815_ETF_Options_Exhibits'!E2614:E2618)),AVERAGE('20250815_ETF_Options_Exhibits'!E2614:E2618),"")</f>
        <v/>
      </c>
      <c r="F2618" s="3">
        <f>IF(ISNUMBER(AVERAGE('20250815_ETF_Options_Exhibits'!F2614:F2618)),AVERAGE('20250815_ETF_Options_Exhibits'!F2614:F2618),"")</f>
        <v/>
      </c>
      <c r="G2618" s="3">
        <f>IF(ISNUMBER(AVERAGE('20250815_ETF_Options_Exhibits'!G2614:G2618)),AVERAGE('20250815_ETF_Options_Exhibits'!G2614:G2618),"")</f>
        <v/>
      </c>
      <c r="H2618" s="3">
        <f>IF(ISNUMBER(AVERAGE('20250815_ETF_Options_Exhibits'!H2614:H2618)),AVERAGE('20250815_ETF_Options_Exhibits'!H2614:H2618),"")</f>
        <v/>
      </c>
      <c r="I2618" s="3">
        <f>IF(ISNUMBER(AVERAGE('20250815_ETF_Options_Exhibits'!I2614:I2618)),AVERAGE('20250815_ETF_Options_Exhibits'!I2614:I2618),"")</f>
        <v/>
      </c>
      <c r="J2618" s="3">
        <f>IF(ISNUMBER(AVERAGE('20250815_ETF_Options_Exhibits'!J2614:J2618)),AVERAGE('20250815_ETF_Options_Exhibits'!J2614:J2618),"")</f>
        <v/>
      </c>
      <c r="K2618" s="3">
        <f>IF(ISNUMBER(AVERAGE('20250815_ETF_Options_Exhibits'!K2614:K2618)),AVERAGE('20250815_ETF_Options_Exhibits'!K2614:K2618),"")</f>
        <v/>
      </c>
      <c r="L2618" s="3">
        <f>IF(ISNUMBER(AVERAGE('20250815_ETF_Options_Exhibits'!L2614:L2618)),AVERAGE('20250815_ETF_Options_Exhibits'!L2614:L2618),"")</f>
        <v/>
      </c>
      <c r="M2618" s="3">
        <f>IF(ISNUMBER(AVERAGE('20250815_ETF_Options_Exhibits'!M2614:M2618)),AVERAGE('20250815_ETF_Options_Exhibits'!M2614:M2618),"")</f>
        <v/>
      </c>
      <c r="N2618" s="3">
        <f>IF(ISNUMBER(AVERAGE('20250815_ETF_Options_Exhibits'!N2614:N2618)),AVERAGE('20250815_ETF_Options_Exhibits'!N2614:N2618),"")</f>
        <v/>
      </c>
      <c r="O2618" s="3">
        <f>IF(ISNUMBER(AVERAGE('20250815_ETF_Options_Exhibits'!O2614:O2618)),AVERAGE('20250815_ETF_Options_Exhibits'!O2614:O2618),"")</f>
        <v/>
      </c>
      <c r="P2618" s="3">
        <f>IF(ISNUMBER(AVERAGE('20250815_ETF_Options_Exhibits'!P2614:P2618)),AVERAGE('20250815_ETF_Options_Exhibits'!P2614:P2618),"")</f>
        <v/>
      </c>
      <c r="Q2618" s="3">
        <f>IF(ISNUMBER(AVERAGE('20250815_ETF_Options_Exhibits'!Q2614:Q2618)),AVERAGE('20250815_ETF_Options_Exhibits'!Q2614:Q2618),"")</f>
        <v/>
      </c>
      <c r="R2618" s="3">
        <f>IF(ISNUMBER(AVERAGE('20250815_ETF_Options_Exhibits'!R2614:R2618)),AVERAGE('20250815_ETF_Options_Exhibits'!R2614:R2618),"")</f>
        <v/>
      </c>
      <c r="S2618" s="3">
        <f>IF(ISNUMBER(AVERAGE('20250815_ETF_Options_Exhibits'!S2614:S2618)),AVERAGE('20250815_ETF_Options_Exhibits'!S2614:S2618),"")</f>
        <v/>
      </c>
      <c r="T2618" s="3">
        <f>IF(ISNUMBER(AVERAGE('20250815_ETF_Options_Exhibits'!T2614:T2618)),AVERAGE('20250815_ETF_Options_Exhibits'!T2614:T2618),"")</f>
        <v/>
      </c>
      <c r="U2618" s="3">
        <f>IF(ISNUMBER(AVERAGE('20250815_ETF_Options_Exhibits'!U2614:U2618)),AVERAGE('20250815_ETF_Options_Exhibits'!U2614:U2618),"")</f>
        <v/>
      </c>
      <c r="V2618" s="3">
        <f>IF(ISNUMBER(AVERAGE('20250815_ETF_Options_Exhibits'!V2614:V2618)),AVERAGE('20250815_ETF_Options_Exhibits'!V2614:V2618),"")</f>
        <v/>
      </c>
      <c r="W2618" s="3">
        <f>IF(ISNUMBER(AVERAGE('20250815_ETF_Options_Exhibits'!W2614:W2618)),AVERAGE('20250815_ETF_Options_Exhibits'!W2614:W2618),"")</f>
        <v/>
      </c>
      <c r="X2618" s="3">
        <f>IF(ISNUMBER(AVERAGE('20250815_ETF_Options_Exhibits'!X2614:X2618)),AVERAGE('20250815_ETF_Options_Exhibits'!X2614:X2618),"")</f>
        <v/>
      </c>
      <c r="Y2618" s="3">
        <f>IF(ISNUMBER(AVERAGE('20250815_ETF_Options_Exhibits'!Y2614:Y2618)),AVERAGE('20250815_ETF_Options_Exhibits'!Y2614:Y2618),"")</f>
        <v/>
      </c>
      <c r="Z2618" s="3">
        <f>IF(ISNUMBER(AVERAGE('20250815_ETF_Options_Exhibits'!Z2614:Z2618)),AVERAGE('20250815_ETF_Options_Exhibits'!Z2614:Z2618),"")</f>
        <v/>
      </c>
      <c r="AA2618" s="3">
        <f>IF(ISNUMBER(AVERAGE('20250815_ETF_Options_Exhibits'!AA2614:AA2618)),AVERAGE('20250815_ETF_Options_Exhibits'!AA2614:AA2618),"")</f>
        <v/>
      </c>
    </row>
    <row r="2619">
      <c r="A2619" s="1" t="n">
        <v>45806</v>
      </c>
      <c r="B2619" s="3">
        <f>IF(ISNUMBER(AVERAGE('20250815_ETF_Options_Exhibits'!B2615:B2619)),AVERAGE('20250815_ETF_Options_Exhibits'!B2615:B2619),"")</f>
        <v/>
      </c>
      <c r="C2619" s="3">
        <f>IF(ISNUMBER(AVERAGE('20250815_ETF_Options_Exhibits'!C2615:C2619)),AVERAGE('20250815_ETF_Options_Exhibits'!C2615:C2619),"")</f>
        <v/>
      </c>
      <c r="D2619" s="3">
        <f>IF(ISNUMBER(AVERAGE('20250815_ETF_Options_Exhibits'!D2615:D2619)),AVERAGE('20250815_ETF_Options_Exhibits'!D2615:D2619),"")</f>
        <v/>
      </c>
      <c r="E2619" s="3">
        <f>IF(ISNUMBER(AVERAGE('20250815_ETF_Options_Exhibits'!E2615:E2619)),AVERAGE('20250815_ETF_Options_Exhibits'!E2615:E2619),"")</f>
        <v/>
      </c>
      <c r="F2619" s="3">
        <f>IF(ISNUMBER(AVERAGE('20250815_ETF_Options_Exhibits'!F2615:F2619)),AVERAGE('20250815_ETF_Options_Exhibits'!F2615:F2619),"")</f>
        <v/>
      </c>
      <c r="G2619" s="3">
        <f>IF(ISNUMBER(AVERAGE('20250815_ETF_Options_Exhibits'!G2615:G2619)),AVERAGE('20250815_ETF_Options_Exhibits'!G2615:G2619),"")</f>
        <v/>
      </c>
      <c r="H2619" s="3">
        <f>IF(ISNUMBER(AVERAGE('20250815_ETF_Options_Exhibits'!H2615:H2619)),AVERAGE('20250815_ETF_Options_Exhibits'!H2615:H2619),"")</f>
        <v/>
      </c>
      <c r="I2619" s="3">
        <f>IF(ISNUMBER(AVERAGE('20250815_ETF_Options_Exhibits'!I2615:I2619)),AVERAGE('20250815_ETF_Options_Exhibits'!I2615:I2619),"")</f>
        <v/>
      </c>
      <c r="J2619" s="3">
        <f>IF(ISNUMBER(AVERAGE('20250815_ETF_Options_Exhibits'!J2615:J2619)),AVERAGE('20250815_ETF_Options_Exhibits'!J2615:J2619),"")</f>
        <v/>
      </c>
      <c r="K2619" s="3">
        <f>IF(ISNUMBER(AVERAGE('20250815_ETF_Options_Exhibits'!K2615:K2619)),AVERAGE('20250815_ETF_Options_Exhibits'!K2615:K2619),"")</f>
        <v/>
      </c>
      <c r="L2619" s="3">
        <f>IF(ISNUMBER(AVERAGE('20250815_ETF_Options_Exhibits'!L2615:L2619)),AVERAGE('20250815_ETF_Options_Exhibits'!L2615:L2619),"")</f>
        <v/>
      </c>
      <c r="M2619" s="3">
        <f>IF(ISNUMBER(AVERAGE('20250815_ETF_Options_Exhibits'!M2615:M2619)),AVERAGE('20250815_ETF_Options_Exhibits'!M2615:M2619),"")</f>
        <v/>
      </c>
      <c r="N2619" s="3">
        <f>IF(ISNUMBER(AVERAGE('20250815_ETF_Options_Exhibits'!N2615:N2619)),AVERAGE('20250815_ETF_Options_Exhibits'!N2615:N2619),"")</f>
        <v/>
      </c>
      <c r="O2619" s="3">
        <f>IF(ISNUMBER(AVERAGE('20250815_ETF_Options_Exhibits'!O2615:O2619)),AVERAGE('20250815_ETF_Options_Exhibits'!O2615:O2619),"")</f>
        <v/>
      </c>
      <c r="P2619" s="3">
        <f>IF(ISNUMBER(AVERAGE('20250815_ETF_Options_Exhibits'!P2615:P2619)),AVERAGE('20250815_ETF_Options_Exhibits'!P2615:P2619),"")</f>
        <v/>
      </c>
      <c r="Q2619" s="3">
        <f>IF(ISNUMBER(AVERAGE('20250815_ETF_Options_Exhibits'!Q2615:Q2619)),AVERAGE('20250815_ETF_Options_Exhibits'!Q2615:Q2619),"")</f>
        <v/>
      </c>
      <c r="R2619" s="3">
        <f>IF(ISNUMBER(AVERAGE('20250815_ETF_Options_Exhibits'!R2615:R2619)),AVERAGE('20250815_ETF_Options_Exhibits'!R2615:R2619),"")</f>
        <v/>
      </c>
      <c r="S2619" s="3">
        <f>IF(ISNUMBER(AVERAGE('20250815_ETF_Options_Exhibits'!S2615:S2619)),AVERAGE('20250815_ETF_Options_Exhibits'!S2615:S2619),"")</f>
        <v/>
      </c>
      <c r="T2619" s="3">
        <f>IF(ISNUMBER(AVERAGE('20250815_ETF_Options_Exhibits'!T2615:T2619)),AVERAGE('20250815_ETF_Options_Exhibits'!T2615:T2619),"")</f>
        <v/>
      </c>
      <c r="U2619" s="3">
        <f>IF(ISNUMBER(AVERAGE('20250815_ETF_Options_Exhibits'!U2615:U2619)),AVERAGE('20250815_ETF_Options_Exhibits'!U2615:U2619),"")</f>
        <v/>
      </c>
      <c r="V2619" s="3">
        <f>IF(ISNUMBER(AVERAGE('20250815_ETF_Options_Exhibits'!V2615:V2619)),AVERAGE('20250815_ETF_Options_Exhibits'!V2615:V2619),"")</f>
        <v/>
      </c>
      <c r="W2619" s="3">
        <f>IF(ISNUMBER(AVERAGE('20250815_ETF_Options_Exhibits'!W2615:W2619)),AVERAGE('20250815_ETF_Options_Exhibits'!W2615:W2619),"")</f>
        <v/>
      </c>
      <c r="X2619" s="3">
        <f>IF(ISNUMBER(AVERAGE('20250815_ETF_Options_Exhibits'!X2615:X2619)),AVERAGE('20250815_ETF_Options_Exhibits'!X2615:X2619),"")</f>
        <v/>
      </c>
      <c r="Y2619" s="3">
        <f>IF(ISNUMBER(AVERAGE('20250815_ETF_Options_Exhibits'!Y2615:Y2619)),AVERAGE('20250815_ETF_Options_Exhibits'!Y2615:Y2619),"")</f>
        <v/>
      </c>
      <c r="Z2619" s="3">
        <f>IF(ISNUMBER(AVERAGE('20250815_ETF_Options_Exhibits'!Z2615:Z2619)),AVERAGE('20250815_ETF_Options_Exhibits'!Z2615:Z2619),"")</f>
        <v/>
      </c>
      <c r="AA2619" s="3">
        <f>IF(ISNUMBER(AVERAGE('20250815_ETF_Options_Exhibits'!AA2615:AA2619)),AVERAGE('20250815_ETF_Options_Exhibits'!AA2615:AA2619),"")</f>
        <v/>
      </c>
    </row>
    <row r="2620">
      <c r="A2620" s="1" t="n">
        <v>45807</v>
      </c>
      <c r="B2620" s="3">
        <f>IF(ISNUMBER(AVERAGE('20250815_ETF_Options_Exhibits'!B2616:B2620)),AVERAGE('20250815_ETF_Options_Exhibits'!B2616:B2620),"")</f>
        <v/>
      </c>
      <c r="C2620" s="3">
        <f>IF(ISNUMBER(AVERAGE('20250815_ETF_Options_Exhibits'!C2616:C2620)),AVERAGE('20250815_ETF_Options_Exhibits'!C2616:C2620),"")</f>
        <v/>
      </c>
      <c r="D2620" s="3">
        <f>IF(ISNUMBER(AVERAGE('20250815_ETF_Options_Exhibits'!D2616:D2620)),AVERAGE('20250815_ETF_Options_Exhibits'!D2616:D2620),"")</f>
        <v/>
      </c>
      <c r="E2620" s="3">
        <f>IF(ISNUMBER(AVERAGE('20250815_ETF_Options_Exhibits'!E2616:E2620)),AVERAGE('20250815_ETF_Options_Exhibits'!E2616:E2620),"")</f>
        <v/>
      </c>
      <c r="F2620" s="3">
        <f>IF(ISNUMBER(AVERAGE('20250815_ETF_Options_Exhibits'!F2616:F2620)),AVERAGE('20250815_ETF_Options_Exhibits'!F2616:F2620),"")</f>
        <v/>
      </c>
      <c r="G2620" s="3">
        <f>IF(ISNUMBER(AVERAGE('20250815_ETF_Options_Exhibits'!G2616:G2620)),AVERAGE('20250815_ETF_Options_Exhibits'!G2616:G2620),"")</f>
        <v/>
      </c>
      <c r="H2620" s="3">
        <f>IF(ISNUMBER(AVERAGE('20250815_ETF_Options_Exhibits'!H2616:H2620)),AVERAGE('20250815_ETF_Options_Exhibits'!H2616:H2620),"")</f>
        <v/>
      </c>
      <c r="I2620" s="3">
        <f>IF(ISNUMBER(AVERAGE('20250815_ETF_Options_Exhibits'!I2616:I2620)),AVERAGE('20250815_ETF_Options_Exhibits'!I2616:I2620),"")</f>
        <v/>
      </c>
      <c r="J2620" s="3">
        <f>IF(ISNUMBER(AVERAGE('20250815_ETF_Options_Exhibits'!J2616:J2620)),AVERAGE('20250815_ETF_Options_Exhibits'!J2616:J2620),"")</f>
        <v/>
      </c>
      <c r="K2620" s="3">
        <f>IF(ISNUMBER(AVERAGE('20250815_ETF_Options_Exhibits'!K2616:K2620)),AVERAGE('20250815_ETF_Options_Exhibits'!K2616:K2620),"")</f>
        <v/>
      </c>
      <c r="L2620" s="3">
        <f>IF(ISNUMBER(AVERAGE('20250815_ETF_Options_Exhibits'!L2616:L2620)),AVERAGE('20250815_ETF_Options_Exhibits'!L2616:L2620),"")</f>
        <v/>
      </c>
      <c r="M2620" s="3">
        <f>IF(ISNUMBER(AVERAGE('20250815_ETF_Options_Exhibits'!M2616:M2620)),AVERAGE('20250815_ETF_Options_Exhibits'!M2616:M2620),"")</f>
        <v/>
      </c>
      <c r="N2620" s="3">
        <f>IF(ISNUMBER(AVERAGE('20250815_ETF_Options_Exhibits'!N2616:N2620)),AVERAGE('20250815_ETF_Options_Exhibits'!N2616:N2620),"")</f>
        <v/>
      </c>
      <c r="O2620" s="3">
        <f>IF(ISNUMBER(AVERAGE('20250815_ETF_Options_Exhibits'!O2616:O2620)),AVERAGE('20250815_ETF_Options_Exhibits'!O2616:O2620),"")</f>
        <v/>
      </c>
      <c r="P2620" s="3">
        <f>IF(ISNUMBER(AVERAGE('20250815_ETF_Options_Exhibits'!P2616:P2620)),AVERAGE('20250815_ETF_Options_Exhibits'!P2616:P2620),"")</f>
        <v/>
      </c>
      <c r="Q2620" s="3">
        <f>IF(ISNUMBER(AVERAGE('20250815_ETF_Options_Exhibits'!Q2616:Q2620)),AVERAGE('20250815_ETF_Options_Exhibits'!Q2616:Q2620),"")</f>
        <v/>
      </c>
      <c r="R2620" s="3">
        <f>IF(ISNUMBER(AVERAGE('20250815_ETF_Options_Exhibits'!R2616:R2620)),AVERAGE('20250815_ETF_Options_Exhibits'!R2616:R2620),"")</f>
        <v/>
      </c>
      <c r="S2620" s="3">
        <f>IF(ISNUMBER(AVERAGE('20250815_ETF_Options_Exhibits'!S2616:S2620)),AVERAGE('20250815_ETF_Options_Exhibits'!S2616:S2620),"")</f>
        <v/>
      </c>
      <c r="T2620" s="3">
        <f>IF(ISNUMBER(AVERAGE('20250815_ETF_Options_Exhibits'!T2616:T2620)),AVERAGE('20250815_ETF_Options_Exhibits'!T2616:T2620),"")</f>
        <v/>
      </c>
      <c r="U2620" s="3">
        <f>IF(ISNUMBER(AVERAGE('20250815_ETF_Options_Exhibits'!U2616:U2620)),AVERAGE('20250815_ETF_Options_Exhibits'!U2616:U2620),"")</f>
        <v/>
      </c>
      <c r="V2620" s="3">
        <f>IF(ISNUMBER(AVERAGE('20250815_ETF_Options_Exhibits'!V2616:V2620)),AVERAGE('20250815_ETF_Options_Exhibits'!V2616:V2620),"")</f>
        <v/>
      </c>
      <c r="W2620" s="3">
        <f>IF(ISNUMBER(AVERAGE('20250815_ETF_Options_Exhibits'!W2616:W2620)),AVERAGE('20250815_ETF_Options_Exhibits'!W2616:W2620),"")</f>
        <v/>
      </c>
      <c r="X2620" s="3">
        <f>IF(ISNUMBER(AVERAGE('20250815_ETF_Options_Exhibits'!X2616:X2620)),AVERAGE('20250815_ETF_Options_Exhibits'!X2616:X2620),"")</f>
        <v/>
      </c>
      <c r="Y2620" s="3">
        <f>IF(ISNUMBER(AVERAGE('20250815_ETF_Options_Exhibits'!Y2616:Y2620)),AVERAGE('20250815_ETF_Options_Exhibits'!Y2616:Y2620),"")</f>
        <v/>
      </c>
      <c r="Z2620" s="3">
        <f>IF(ISNUMBER(AVERAGE('20250815_ETF_Options_Exhibits'!Z2616:Z2620)),AVERAGE('20250815_ETF_Options_Exhibits'!Z2616:Z2620),"")</f>
        <v/>
      </c>
      <c r="AA2620" s="3">
        <f>IF(ISNUMBER(AVERAGE('20250815_ETF_Options_Exhibits'!AA2616:AA2620)),AVERAGE('20250815_ETF_Options_Exhibits'!AA2616:AA2620),"")</f>
        <v/>
      </c>
    </row>
    <row r="2621">
      <c r="A2621" s="1" t="n">
        <v>45810</v>
      </c>
      <c r="B2621" s="3">
        <f>IF(ISNUMBER(AVERAGE('20250815_ETF_Options_Exhibits'!B2617:B2621)),AVERAGE('20250815_ETF_Options_Exhibits'!B2617:B2621),"")</f>
        <v/>
      </c>
      <c r="C2621" s="3">
        <f>IF(ISNUMBER(AVERAGE('20250815_ETF_Options_Exhibits'!C2617:C2621)),AVERAGE('20250815_ETF_Options_Exhibits'!C2617:C2621),"")</f>
        <v/>
      </c>
      <c r="D2621" s="3">
        <f>IF(ISNUMBER(AVERAGE('20250815_ETF_Options_Exhibits'!D2617:D2621)),AVERAGE('20250815_ETF_Options_Exhibits'!D2617:D2621),"")</f>
        <v/>
      </c>
      <c r="E2621" s="3">
        <f>IF(ISNUMBER(AVERAGE('20250815_ETF_Options_Exhibits'!E2617:E2621)),AVERAGE('20250815_ETF_Options_Exhibits'!E2617:E2621),"")</f>
        <v/>
      </c>
      <c r="F2621" s="3">
        <f>IF(ISNUMBER(AVERAGE('20250815_ETF_Options_Exhibits'!F2617:F2621)),AVERAGE('20250815_ETF_Options_Exhibits'!F2617:F2621),"")</f>
        <v/>
      </c>
      <c r="G2621" s="3">
        <f>IF(ISNUMBER(AVERAGE('20250815_ETF_Options_Exhibits'!G2617:G2621)),AVERAGE('20250815_ETF_Options_Exhibits'!G2617:G2621),"")</f>
        <v/>
      </c>
      <c r="H2621" s="3">
        <f>IF(ISNUMBER(AVERAGE('20250815_ETF_Options_Exhibits'!H2617:H2621)),AVERAGE('20250815_ETF_Options_Exhibits'!H2617:H2621),"")</f>
        <v/>
      </c>
      <c r="I2621" s="3">
        <f>IF(ISNUMBER(AVERAGE('20250815_ETF_Options_Exhibits'!I2617:I2621)),AVERAGE('20250815_ETF_Options_Exhibits'!I2617:I2621),"")</f>
        <v/>
      </c>
      <c r="J2621" s="3">
        <f>IF(ISNUMBER(AVERAGE('20250815_ETF_Options_Exhibits'!J2617:J2621)),AVERAGE('20250815_ETF_Options_Exhibits'!J2617:J2621),"")</f>
        <v/>
      </c>
      <c r="K2621" s="3">
        <f>IF(ISNUMBER(AVERAGE('20250815_ETF_Options_Exhibits'!K2617:K2621)),AVERAGE('20250815_ETF_Options_Exhibits'!K2617:K2621),"")</f>
        <v/>
      </c>
      <c r="L2621" s="3">
        <f>IF(ISNUMBER(AVERAGE('20250815_ETF_Options_Exhibits'!L2617:L2621)),AVERAGE('20250815_ETF_Options_Exhibits'!L2617:L2621),"")</f>
        <v/>
      </c>
      <c r="M2621" s="3">
        <f>IF(ISNUMBER(AVERAGE('20250815_ETF_Options_Exhibits'!M2617:M2621)),AVERAGE('20250815_ETF_Options_Exhibits'!M2617:M2621),"")</f>
        <v/>
      </c>
      <c r="N2621" s="3">
        <f>IF(ISNUMBER(AVERAGE('20250815_ETF_Options_Exhibits'!N2617:N2621)),AVERAGE('20250815_ETF_Options_Exhibits'!N2617:N2621),"")</f>
        <v/>
      </c>
      <c r="O2621" s="3">
        <f>IF(ISNUMBER(AVERAGE('20250815_ETF_Options_Exhibits'!O2617:O2621)),AVERAGE('20250815_ETF_Options_Exhibits'!O2617:O2621),"")</f>
        <v/>
      </c>
      <c r="P2621" s="3">
        <f>IF(ISNUMBER(AVERAGE('20250815_ETF_Options_Exhibits'!P2617:P2621)),AVERAGE('20250815_ETF_Options_Exhibits'!P2617:P2621),"")</f>
        <v/>
      </c>
      <c r="Q2621" s="3">
        <f>IF(ISNUMBER(AVERAGE('20250815_ETF_Options_Exhibits'!Q2617:Q2621)),AVERAGE('20250815_ETF_Options_Exhibits'!Q2617:Q2621),"")</f>
        <v/>
      </c>
      <c r="R2621" s="3">
        <f>IF(ISNUMBER(AVERAGE('20250815_ETF_Options_Exhibits'!R2617:R2621)),AVERAGE('20250815_ETF_Options_Exhibits'!R2617:R2621),"")</f>
        <v/>
      </c>
      <c r="S2621" s="3">
        <f>IF(ISNUMBER(AVERAGE('20250815_ETF_Options_Exhibits'!S2617:S2621)),AVERAGE('20250815_ETF_Options_Exhibits'!S2617:S2621),"")</f>
        <v/>
      </c>
      <c r="T2621" s="3">
        <f>IF(ISNUMBER(AVERAGE('20250815_ETF_Options_Exhibits'!T2617:T2621)),AVERAGE('20250815_ETF_Options_Exhibits'!T2617:T2621),"")</f>
        <v/>
      </c>
      <c r="U2621" s="3">
        <f>IF(ISNUMBER(AVERAGE('20250815_ETF_Options_Exhibits'!U2617:U2621)),AVERAGE('20250815_ETF_Options_Exhibits'!U2617:U2621),"")</f>
        <v/>
      </c>
      <c r="V2621" s="3">
        <f>IF(ISNUMBER(AVERAGE('20250815_ETF_Options_Exhibits'!V2617:V2621)),AVERAGE('20250815_ETF_Options_Exhibits'!V2617:V2621),"")</f>
        <v/>
      </c>
      <c r="W2621" s="3">
        <f>IF(ISNUMBER(AVERAGE('20250815_ETF_Options_Exhibits'!W2617:W2621)),AVERAGE('20250815_ETF_Options_Exhibits'!W2617:W2621),"")</f>
        <v/>
      </c>
      <c r="X2621" s="3">
        <f>IF(ISNUMBER(AVERAGE('20250815_ETF_Options_Exhibits'!X2617:X2621)),AVERAGE('20250815_ETF_Options_Exhibits'!X2617:X2621),"")</f>
        <v/>
      </c>
      <c r="Y2621" s="3">
        <f>IF(ISNUMBER(AVERAGE('20250815_ETF_Options_Exhibits'!Y2617:Y2621)),AVERAGE('20250815_ETF_Options_Exhibits'!Y2617:Y2621),"")</f>
        <v/>
      </c>
      <c r="Z2621" s="3">
        <f>IF(ISNUMBER(AVERAGE('20250815_ETF_Options_Exhibits'!Z2617:Z2621)),AVERAGE('20250815_ETF_Options_Exhibits'!Z2617:Z2621),"")</f>
        <v/>
      </c>
      <c r="AA2621" s="3">
        <f>IF(ISNUMBER(AVERAGE('20250815_ETF_Options_Exhibits'!AA2617:AA2621)),AVERAGE('20250815_ETF_Options_Exhibits'!AA2617:AA2621),"")</f>
        <v/>
      </c>
    </row>
    <row r="2622">
      <c r="A2622" s="1" t="n">
        <v>45811</v>
      </c>
      <c r="B2622" s="3">
        <f>IF(ISNUMBER(AVERAGE('20250815_ETF_Options_Exhibits'!B2618:B2622)),AVERAGE('20250815_ETF_Options_Exhibits'!B2618:B2622),"")</f>
        <v/>
      </c>
      <c r="C2622" s="3">
        <f>IF(ISNUMBER(AVERAGE('20250815_ETF_Options_Exhibits'!C2618:C2622)),AVERAGE('20250815_ETF_Options_Exhibits'!C2618:C2622),"")</f>
        <v/>
      </c>
      <c r="D2622" s="3">
        <f>IF(ISNUMBER(AVERAGE('20250815_ETF_Options_Exhibits'!D2618:D2622)),AVERAGE('20250815_ETF_Options_Exhibits'!D2618:D2622),"")</f>
        <v/>
      </c>
      <c r="E2622" s="3">
        <f>IF(ISNUMBER(AVERAGE('20250815_ETF_Options_Exhibits'!E2618:E2622)),AVERAGE('20250815_ETF_Options_Exhibits'!E2618:E2622),"")</f>
        <v/>
      </c>
      <c r="F2622" s="3">
        <f>IF(ISNUMBER(AVERAGE('20250815_ETF_Options_Exhibits'!F2618:F2622)),AVERAGE('20250815_ETF_Options_Exhibits'!F2618:F2622),"")</f>
        <v/>
      </c>
      <c r="G2622" s="3">
        <f>IF(ISNUMBER(AVERAGE('20250815_ETF_Options_Exhibits'!G2618:G2622)),AVERAGE('20250815_ETF_Options_Exhibits'!G2618:G2622),"")</f>
        <v/>
      </c>
      <c r="H2622" s="3">
        <f>IF(ISNUMBER(AVERAGE('20250815_ETF_Options_Exhibits'!H2618:H2622)),AVERAGE('20250815_ETF_Options_Exhibits'!H2618:H2622),"")</f>
        <v/>
      </c>
      <c r="I2622" s="3">
        <f>IF(ISNUMBER(AVERAGE('20250815_ETF_Options_Exhibits'!I2618:I2622)),AVERAGE('20250815_ETF_Options_Exhibits'!I2618:I2622),"")</f>
        <v/>
      </c>
      <c r="J2622" s="3">
        <f>IF(ISNUMBER(AVERAGE('20250815_ETF_Options_Exhibits'!J2618:J2622)),AVERAGE('20250815_ETF_Options_Exhibits'!J2618:J2622),"")</f>
        <v/>
      </c>
      <c r="K2622" s="3">
        <f>IF(ISNUMBER(AVERAGE('20250815_ETF_Options_Exhibits'!K2618:K2622)),AVERAGE('20250815_ETF_Options_Exhibits'!K2618:K2622),"")</f>
        <v/>
      </c>
      <c r="L2622" s="3">
        <f>IF(ISNUMBER(AVERAGE('20250815_ETF_Options_Exhibits'!L2618:L2622)),AVERAGE('20250815_ETF_Options_Exhibits'!L2618:L2622),"")</f>
        <v/>
      </c>
      <c r="M2622" s="3">
        <f>IF(ISNUMBER(AVERAGE('20250815_ETF_Options_Exhibits'!M2618:M2622)),AVERAGE('20250815_ETF_Options_Exhibits'!M2618:M2622),"")</f>
        <v/>
      </c>
      <c r="N2622" s="3">
        <f>IF(ISNUMBER(AVERAGE('20250815_ETF_Options_Exhibits'!N2618:N2622)),AVERAGE('20250815_ETF_Options_Exhibits'!N2618:N2622),"")</f>
        <v/>
      </c>
      <c r="O2622" s="3">
        <f>IF(ISNUMBER(AVERAGE('20250815_ETF_Options_Exhibits'!O2618:O2622)),AVERAGE('20250815_ETF_Options_Exhibits'!O2618:O2622),"")</f>
        <v/>
      </c>
      <c r="P2622" s="3">
        <f>IF(ISNUMBER(AVERAGE('20250815_ETF_Options_Exhibits'!P2618:P2622)),AVERAGE('20250815_ETF_Options_Exhibits'!P2618:P2622),"")</f>
        <v/>
      </c>
      <c r="Q2622" s="3">
        <f>IF(ISNUMBER(AVERAGE('20250815_ETF_Options_Exhibits'!Q2618:Q2622)),AVERAGE('20250815_ETF_Options_Exhibits'!Q2618:Q2622),"")</f>
        <v/>
      </c>
      <c r="R2622" s="3">
        <f>IF(ISNUMBER(AVERAGE('20250815_ETF_Options_Exhibits'!R2618:R2622)),AVERAGE('20250815_ETF_Options_Exhibits'!R2618:R2622),"")</f>
        <v/>
      </c>
      <c r="S2622" s="3">
        <f>IF(ISNUMBER(AVERAGE('20250815_ETF_Options_Exhibits'!S2618:S2622)),AVERAGE('20250815_ETF_Options_Exhibits'!S2618:S2622),"")</f>
        <v/>
      </c>
      <c r="T2622" s="3">
        <f>IF(ISNUMBER(AVERAGE('20250815_ETF_Options_Exhibits'!T2618:T2622)),AVERAGE('20250815_ETF_Options_Exhibits'!T2618:T2622),"")</f>
        <v/>
      </c>
      <c r="U2622" s="3">
        <f>IF(ISNUMBER(AVERAGE('20250815_ETF_Options_Exhibits'!U2618:U2622)),AVERAGE('20250815_ETF_Options_Exhibits'!U2618:U2622),"")</f>
        <v/>
      </c>
      <c r="V2622" s="3">
        <f>IF(ISNUMBER(AVERAGE('20250815_ETF_Options_Exhibits'!V2618:V2622)),AVERAGE('20250815_ETF_Options_Exhibits'!V2618:V2622),"")</f>
        <v/>
      </c>
      <c r="W2622" s="3">
        <f>IF(ISNUMBER(AVERAGE('20250815_ETF_Options_Exhibits'!W2618:W2622)),AVERAGE('20250815_ETF_Options_Exhibits'!W2618:W2622),"")</f>
        <v/>
      </c>
      <c r="X2622" s="3">
        <f>IF(ISNUMBER(AVERAGE('20250815_ETF_Options_Exhibits'!X2618:X2622)),AVERAGE('20250815_ETF_Options_Exhibits'!X2618:X2622),"")</f>
        <v/>
      </c>
      <c r="Y2622" s="3">
        <f>IF(ISNUMBER(AVERAGE('20250815_ETF_Options_Exhibits'!Y2618:Y2622)),AVERAGE('20250815_ETF_Options_Exhibits'!Y2618:Y2622),"")</f>
        <v/>
      </c>
      <c r="Z2622" s="3">
        <f>IF(ISNUMBER(AVERAGE('20250815_ETF_Options_Exhibits'!Z2618:Z2622)),AVERAGE('20250815_ETF_Options_Exhibits'!Z2618:Z2622),"")</f>
        <v/>
      </c>
      <c r="AA2622" s="3">
        <f>IF(ISNUMBER(AVERAGE('20250815_ETF_Options_Exhibits'!AA2618:AA2622)),AVERAGE('20250815_ETF_Options_Exhibits'!AA2618:AA2622),"")</f>
        <v/>
      </c>
    </row>
    <row r="2623">
      <c r="A2623" s="1" t="n">
        <v>45812</v>
      </c>
      <c r="B2623" s="3">
        <f>IF(ISNUMBER(AVERAGE('20250815_ETF_Options_Exhibits'!B2619:B2623)),AVERAGE('20250815_ETF_Options_Exhibits'!B2619:B2623),"")</f>
        <v/>
      </c>
      <c r="C2623" s="3">
        <f>IF(ISNUMBER(AVERAGE('20250815_ETF_Options_Exhibits'!C2619:C2623)),AVERAGE('20250815_ETF_Options_Exhibits'!C2619:C2623),"")</f>
        <v/>
      </c>
      <c r="D2623" s="3">
        <f>IF(ISNUMBER(AVERAGE('20250815_ETF_Options_Exhibits'!D2619:D2623)),AVERAGE('20250815_ETF_Options_Exhibits'!D2619:D2623),"")</f>
        <v/>
      </c>
      <c r="E2623" s="3">
        <f>IF(ISNUMBER(AVERAGE('20250815_ETF_Options_Exhibits'!E2619:E2623)),AVERAGE('20250815_ETF_Options_Exhibits'!E2619:E2623),"")</f>
        <v/>
      </c>
      <c r="F2623" s="3">
        <f>IF(ISNUMBER(AVERAGE('20250815_ETF_Options_Exhibits'!F2619:F2623)),AVERAGE('20250815_ETF_Options_Exhibits'!F2619:F2623),"")</f>
        <v/>
      </c>
      <c r="G2623" s="3">
        <f>IF(ISNUMBER(AVERAGE('20250815_ETF_Options_Exhibits'!G2619:G2623)),AVERAGE('20250815_ETF_Options_Exhibits'!G2619:G2623),"")</f>
        <v/>
      </c>
      <c r="H2623" s="3">
        <f>IF(ISNUMBER(AVERAGE('20250815_ETF_Options_Exhibits'!H2619:H2623)),AVERAGE('20250815_ETF_Options_Exhibits'!H2619:H2623),"")</f>
        <v/>
      </c>
      <c r="I2623" s="3">
        <f>IF(ISNUMBER(AVERAGE('20250815_ETF_Options_Exhibits'!I2619:I2623)),AVERAGE('20250815_ETF_Options_Exhibits'!I2619:I2623),"")</f>
        <v/>
      </c>
      <c r="J2623" s="3">
        <f>IF(ISNUMBER(AVERAGE('20250815_ETF_Options_Exhibits'!J2619:J2623)),AVERAGE('20250815_ETF_Options_Exhibits'!J2619:J2623),"")</f>
        <v/>
      </c>
      <c r="K2623" s="3">
        <f>IF(ISNUMBER(AVERAGE('20250815_ETF_Options_Exhibits'!K2619:K2623)),AVERAGE('20250815_ETF_Options_Exhibits'!K2619:K2623),"")</f>
        <v/>
      </c>
      <c r="L2623" s="3">
        <f>IF(ISNUMBER(AVERAGE('20250815_ETF_Options_Exhibits'!L2619:L2623)),AVERAGE('20250815_ETF_Options_Exhibits'!L2619:L2623),"")</f>
        <v/>
      </c>
      <c r="M2623" s="3">
        <f>IF(ISNUMBER(AVERAGE('20250815_ETF_Options_Exhibits'!M2619:M2623)),AVERAGE('20250815_ETF_Options_Exhibits'!M2619:M2623),"")</f>
        <v/>
      </c>
      <c r="N2623" s="3">
        <f>IF(ISNUMBER(AVERAGE('20250815_ETF_Options_Exhibits'!N2619:N2623)),AVERAGE('20250815_ETF_Options_Exhibits'!N2619:N2623),"")</f>
        <v/>
      </c>
      <c r="O2623" s="3">
        <f>IF(ISNUMBER(AVERAGE('20250815_ETF_Options_Exhibits'!O2619:O2623)),AVERAGE('20250815_ETF_Options_Exhibits'!O2619:O2623),"")</f>
        <v/>
      </c>
      <c r="P2623" s="3">
        <f>IF(ISNUMBER(AVERAGE('20250815_ETF_Options_Exhibits'!P2619:P2623)),AVERAGE('20250815_ETF_Options_Exhibits'!P2619:P2623),"")</f>
        <v/>
      </c>
      <c r="Q2623" s="3">
        <f>IF(ISNUMBER(AVERAGE('20250815_ETF_Options_Exhibits'!Q2619:Q2623)),AVERAGE('20250815_ETF_Options_Exhibits'!Q2619:Q2623),"")</f>
        <v/>
      </c>
      <c r="R2623" s="3">
        <f>IF(ISNUMBER(AVERAGE('20250815_ETF_Options_Exhibits'!R2619:R2623)),AVERAGE('20250815_ETF_Options_Exhibits'!R2619:R2623),"")</f>
        <v/>
      </c>
      <c r="S2623" s="3">
        <f>IF(ISNUMBER(AVERAGE('20250815_ETF_Options_Exhibits'!S2619:S2623)),AVERAGE('20250815_ETF_Options_Exhibits'!S2619:S2623),"")</f>
        <v/>
      </c>
      <c r="T2623" s="3">
        <f>IF(ISNUMBER(AVERAGE('20250815_ETF_Options_Exhibits'!T2619:T2623)),AVERAGE('20250815_ETF_Options_Exhibits'!T2619:T2623),"")</f>
        <v/>
      </c>
      <c r="U2623" s="3">
        <f>IF(ISNUMBER(AVERAGE('20250815_ETF_Options_Exhibits'!U2619:U2623)),AVERAGE('20250815_ETF_Options_Exhibits'!U2619:U2623),"")</f>
        <v/>
      </c>
      <c r="V2623" s="3">
        <f>IF(ISNUMBER(AVERAGE('20250815_ETF_Options_Exhibits'!V2619:V2623)),AVERAGE('20250815_ETF_Options_Exhibits'!V2619:V2623),"")</f>
        <v/>
      </c>
      <c r="W2623" s="3">
        <f>IF(ISNUMBER(AVERAGE('20250815_ETF_Options_Exhibits'!W2619:W2623)),AVERAGE('20250815_ETF_Options_Exhibits'!W2619:W2623),"")</f>
        <v/>
      </c>
      <c r="X2623" s="3">
        <f>IF(ISNUMBER(AVERAGE('20250815_ETF_Options_Exhibits'!X2619:X2623)),AVERAGE('20250815_ETF_Options_Exhibits'!X2619:X2623),"")</f>
        <v/>
      </c>
      <c r="Y2623" s="3">
        <f>IF(ISNUMBER(AVERAGE('20250815_ETF_Options_Exhibits'!Y2619:Y2623)),AVERAGE('20250815_ETF_Options_Exhibits'!Y2619:Y2623),"")</f>
        <v/>
      </c>
      <c r="Z2623" s="3">
        <f>IF(ISNUMBER(AVERAGE('20250815_ETF_Options_Exhibits'!Z2619:Z2623)),AVERAGE('20250815_ETF_Options_Exhibits'!Z2619:Z2623),"")</f>
        <v/>
      </c>
      <c r="AA2623" s="3">
        <f>IF(ISNUMBER(AVERAGE('20250815_ETF_Options_Exhibits'!AA2619:AA2623)),AVERAGE('20250815_ETF_Options_Exhibits'!AA2619:AA2623),"")</f>
        <v/>
      </c>
    </row>
    <row r="2624">
      <c r="A2624" s="1" t="n">
        <v>45813</v>
      </c>
      <c r="B2624" s="3">
        <f>IF(ISNUMBER(AVERAGE('20250815_ETF_Options_Exhibits'!B2620:B2624)),AVERAGE('20250815_ETF_Options_Exhibits'!B2620:B2624),"")</f>
        <v/>
      </c>
      <c r="C2624" s="3">
        <f>IF(ISNUMBER(AVERAGE('20250815_ETF_Options_Exhibits'!C2620:C2624)),AVERAGE('20250815_ETF_Options_Exhibits'!C2620:C2624),"")</f>
        <v/>
      </c>
      <c r="D2624" s="3">
        <f>IF(ISNUMBER(AVERAGE('20250815_ETF_Options_Exhibits'!D2620:D2624)),AVERAGE('20250815_ETF_Options_Exhibits'!D2620:D2624),"")</f>
        <v/>
      </c>
      <c r="E2624" s="3">
        <f>IF(ISNUMBER(AVERAGE('20250815_ETF_Options_Exhibits'!E2620:E2624)),AVERAGE('20250815_ETF_Options_Exhibits'!E2620:E2624),"")</f>
        <v/>
      </c>
      <c r="F2624" s="3">
        <f>IF(ISNUMBER(AVERAGE('20250815_ETF_Options_Exhibits'!F2620:F2624)),AVERAGE('20250815_ETF_Options_Exhibits'!F2620:F2624),"")</f>
        <v/>
      </c>
      <c r="G2624" s="3">
        <f>IF(ISNUMBER(AVERAGE('20250815_ETF_Options_Exhibits'!G2620:G2624)),AVERAGE('20250815_ETF_Options_Exhibits'!G2620:G2624),"")</f>
        <v/>
      </c>
      <c r="H2624" s="3">
        <f>IF(ISNUMBER(AVERAGE('20250815_ETF_Options_Exhibits'!H2620:H2624)),AVERAGE('20250815_ETF_Options_Exhibits'!H2620:H2624),"")</f>
        <v/>
      </c>
      <c r="I2624" s="3">
        <f>IF(ISNUMBER(AVERAGE('20250815_ETF_Options_Exhibits'!I2620:I2624)),AVERAGE('20250815_ETF_Options_Exhibits'!I2620:I2624),"")</f>
        <v/>
      </c>
      <c r="J2624" s="3">
        <f>IF(ISNUMBER(AVERAGE('20250815_ETF_Options_Exhibits'!J2620:J2624)),AVERAGE('20250815_ETF_Options_Exhibits'!J2620:J2624),"")</f>
        <v/>
      </c>
      <c r="K2624" s="3">
        <f>IF(ISNUMBER(AVERAGE('20250815_ETF_Options_Exhibits'!K2620:K2624)),AVERAGE('20250815_ETF_Options_Exhibits'!K2620:K2624),"")</f>
        <v/>
      </c>
      <c r="L2624" s="3">
        <f>IF(ISNUMBER(AVERAGE('20250815_ETF_Options_Exhibits'!L2620:L2624)),AVERAGE('20250815_ETF_Options_Exhibits'!L2620:L2624),"")</f>
        <v/>
      </c>
      <c r="M2624" s="3">
        <f>IF(ISNUMBER(AVERAGE('20250815_ETF_Options_Exhibits'!M2620:M2624)),AVERAGE('20250815_ETF_Options_Exhibits'!M2620:M2624),"")</f>
        <v/>
      </c>
      <c r="N2624" s="3">
        <f>IF(ISNUMBER(AVERAGE('20250815_ETF_Options_Exhibits'!N2620:N2624)),AVERAGE('20250815_ETF_Options_Exhibits'!N2620:N2624),"")</f>
        <v/>
      </c>
      <c r="O2624" s="3">
        <f>IF(ISNUMBER(AVERAGE('20250815_ETF_Options_Exhibits'!O2620:O2624)),AVERAGE('20250815_ETF_Options_Exhibits'!O2620:O2624),"")</f>
        <v/>
      </c>
      <c r="P2624" s="3">
        <f>IF(ISNUMBER(AVERAGE('20250815_ETF_Options_Exhibits'!P2620:P2624)),AVERAGE('20250815_ETF_Options_Exhibits'!P2620:P2624),"")</f>
        <v/>
      </c>
      <c r="Q2624" s="3">
        <f>IF(ISNUMBER(AVERAGE('20250815_ETF_Options_Exhibits'!Q2620:Q2624)),AVERAGE('20250815_ETF_Options_Exhibits'!Q2620:Q2624),"")</f>
        <v/>
      </c>
      <c r="R2624" s="3">
        <f>IF(ISNUMBER(AVERAGE('20250815_ETF_Options_Exhibits'!R2620:R2624)),AVERAGE('20250815_ETF_Options_Exhibits'!R2620:R2624),"")</f>
        <v/>
      </c>
      <c r="S2624" s="3">
        <f>IF(ISNUMBER(AVERAGE('20250815_ETF_Options_Exhibits'!S2620:S2624)),AVERAGE('20250815_ETF_Options_Exhibits'!S2620:S2624),"")</f>
        <v/>
      </c>
      <c r="T2624" s="3">
        <f>IF(ISNUMBER(AVERAGE('20250815_ETF_Options_Exhibits'!T2620:T2624)),AVERAGE('20250815_ETF_Options_Exhibits'!T2620:T2624),"")</f>
        <v/>
      </c>
      <c r="U2624" s="3">
        <f>IF(ISNUMBER(AVERAGE('20250815_ETF_Options_Exhibits'!U2620:U2624)),AVERAGE('20250815_ETF_Options_Exhibits'!U2620:U2624),"")</f>
        <v/>
      </c>
      <c r="V2624" s="3">
        <f>IF(ISNUMBER(AVERAGE('20250815_ETF_Options_Exhibits'!V2620:V2624)),AVERAGE('20250815_ETF_Options_Exhibits'!V2620:V2624),"")</f>
        <v/>
      </c>
      <c r="W2624" s="3">
        <f>IF(ISNUMBER(AVERAGE('20250815_ETF_Options_Exhibits'!W2620:W2624)),AVERAGE('20250815_ETF_Options_Exhibits'!W2620:W2624),"")</f>
        <v/>
      </c>
      <c r="X2624" s="3">
        <f>IF(ISNUMBER(AVERAGE('20250815_ETF_Options_Exhibits'!X2620:X2624)),AVERAGE('20250815_ETF_Options_Exhibits'!X2620:X2624),"")</f>
        <v/>
      </c>
      <c r="Y2624" s="3">
        <f>IF(ISNUMBER(AVERAGE('20250815_ETF_Options_Exhibits'!Y2620:Y2624)),AVERAGE('20250815_ETF_Options_Exhibits'!Y2620:Y2624),"")</f>
        <v/>
      </c>
      <c r="Z2624" s="3">
        <f>IF(ISNUMBER(AVERAGE('20250815_ETF_Options_Exhibits'!Z2620:Z2624)),AVERAGE('20250815_ETF_Options_Exhibits'!Z2620:Z2624),"")</f>
        <v/>
      </c>
      <c r="AA2624" s="3">
        <f>IF(ISNUMBER(AVERAGE('20250815_ETF_Options_Exhibits'!AA2620:AA2624)),AVERAGE('20250815_ETF_Options_Exhibits'!AA2620:AA2624),"")</f>
        <v/>
      </c>
    </row>
    <row r="2625">
      <c r="A2625" s="1" t="n">
        <v>45814</v>
      </c>
      <c r="B2625" s="3">
        <f>IF(ISNUMBER(AVERAGE('20250815_ETF_Options_Exhibits'!B2621:B2625)),AVERAGE('20250815_ETF_Options_Exhibits'!B2621:B2625),"")</f>
        <v/>
      </c>
      <c r="C2625" s="3">
        <f>IF(ISNUMBER(AVERAGE('20250815_ETF_Options_Exhibits'!C2621:C2625)),AVERAGE('20250815_ETF_Options_Exhibits'!C2621:C2625),"")</f>
        <v/>
      </c>
      <c r="D2625" s="3">
        <f>IF(ISNUMBER(AVERAGE('20250815_ETF_Options_Exhibits'!D2621:D2625)),AVERAGE('20250815_ETF_Options_Exhibits'!D2621:D2625),"")</f>
        <v/>
      </c>
      <c r="E2625" s="3">
        <f>IF(ISNUMBER(AVERAGE('20250815_ETF_Options_Exhibits'!E2621:E2625)),AVERAGE('20250815_ETF_Options_Exhibits'!E2621:E2625),"")</f>
        <v/>
      </c>
      <c r="F2625" s="3">
        <f>IF(ISNUMBER(AVERAGE('20250815_ETF_Options_Exhibits'!F2621:F2625)),AVERAGE('20250815_ETF_Options_Exhibits'!F2621:F2625),"")</f>
        <v/>
      </c>
      <c r="G2625" s="3">
        <f>IF(ISNUMBER(AVERAGE('20250815_ETF_Options_Exhibits'!G2621:G2625)),AVERAGE('20250815_ETF_Options_Exhibits'!G2621:G2625),"")</f>
        <v/>
      </c>
      <c r="H2625" s="3">
        <f>IF(ISNUMBER(AVERAGE('20250815_ETF_Options_Exhibits'!H2621:H2625)),AVERAGE('20250815_ETF_Options_Exhibits'!H2621:H2625),"")</f>
        <v/>
      </c>
      <c r="I2625" s="3">
        <f>IF(ISNUMBER(AVERAGE('20250815_ETF_Options_Exhibits'!I2621:I2625)),AVERAGE('20250815_ETF_Options_Exhibits'!I2621:I2625),"")</f>
        <v/>
      </c>
      <c r="J2625" s="3">
        <f>IF(ISNUMBER(AVERAGE('20250815_ETF_Options_Exhibits'!J2621:J2625)),AVERAGE('20250815_ETF_Options_Exhibits'!J2621:J2625),"")</f>
        <v/>
      </c>
      <c r="K2625" s="3">
        <f>IF(ISNUMBER(AVERAGE('20250815_ETF_Options_Exhibits'!K2621:K2625)),AVERAGE('20250815_ETF_Options_Exhibits'!K2621:K2625),"")</f>
        <v/>
      </c>
      <c r="L2625" s="3">
        <f>IF(ISNUMBER(AVERAGE('20250815_ETF_Options_Exhibits'!L2621:L2625)),AVERAGE('20250815_ETF_Options_Exhibits'!L2621:L2625),"")</f>
        <v/>
      </c>
      <c r="M2625" s="3">
        <f>IF(ISNUMBER(AVERAGE('20250815_ETF_Options_Exhibits'!M2621:M2625)),AVERAGE('20250815_ETF_Options_Exhibits'!M2621:M2625),"")</f>
        <v/>
      </c>
      <c r="N2625" s="3">
        <f>IF(ISNUMBER(AVERAGE('20250815_ETF_Options_Exhibits'!N2621:N2625)),AVERAGE('20250815_ETF_Options_Exhibits'!N2621:N2625),"")</f>
        <v/>
      </c>
      <c r="O2625" s="3">
        <f>IF(ISNUMBER(AVERAGE('20250815_ETF_Options_Exhibits'!O2621:O2625)),AVERAGE('20250815_ETF_Options_Exhibits'!O2621:O2625),"")</f>
        <v/>
      </c>
      <c r="P2625" s="3">
        <f>IF(ISNUMBER(AVERAGE('20250815_ETF_Options_Exhibits'!P2621:P2625)),AVERAGE('20250815_ETF_Options_Exhibits'!P2621:P2625),"")</f>
        <v/>
      </c>
      <c r="Q2625" s="3">
        <f>IF(ISNUMBER(AVERAGE('20250815_ETF_Options_Exhibits'!Q2621:Q2625)),AVERAGE('20250815_ETF_Options_Exhibits'!Q2621:Q2625),"")</f>
        <v/>
      </c>
      <c r="R2625" s="3">
        <f>IF(ISNUMBER(AVERAGE('20250815_ETF_Options_Exhibits'!R2621:R2625)),AVERAGE('20250815_ETF_Options_Exhibits'!R2621:R2625),"")</f>
        <v/>
      </c>
      <c r="S2625" s="3">
        <f>IF(ISNUMBER(AVERAGE('20250815_ETF_Options_Exhibits'!S2621:S2625)),AVERAGE('20250815_ETF_Options_Exhibits'!S2621:S2625),"")</f>
        <v/>
      </c>
      <c r="T2625" s="3">
        <f>IF(ISNUMBER(AVERAGE('20250815_ETF_Options_Exhibits'!T2621:T2625)),AVERAGE('20250815_ETF_Options_Exhibits'!T2621:T2625),"")</f>
        <v/>
      </c>
      <c r="U2625" s="3">
        <f>IF(ISNUMBER(AVERAGE('20250815_ETF_Options_Exhibits'!U2621:U2625)),AVERAGE('20250815_ETF_Options_Exhibits'!U2621:U2625),"")</f>
        <v/>
      </c>
      <c r="V2625" s="3">
        <f>IF(ISNUMBER(AVERAGE('20250815_ETF_Options_Exhibits'!V2621:V2625)),AVERAGE('20250815_ETF_Options_Exhibits'!V2621:V2625),"")</f>
        <v/>
      </c>
      <c r="W2625" s="3">
        <f>IF(ISNUMBER(AVERAGE('20250815_ETF_Options_Exhibits'!W2621:W2625)),AVERAGE('20250815_ETF_Options_Exhibits'!W2621:W2625),"")</f>
        <v/>
      </c>
      <c r="X2625" s="3">
        <f>IF(ISNUMBER(AVERAGE('20250815_ETF_Options_Exhibits'!X2621:X2625)),AVERAGE('20250815_ETF_Options_Exhibits'!X2621:X2625),"")</f>
        <v/>
      </c>
      <c r="Y2625" s="3">
        <f>IF(ISNUMBER(AVERAGE('20250815_ETF_Options_Exhibits'!Y2621:Y2625)),AVERAGE('20250815_ETF_Options_Exhibits'!Y2621:Y2625),"")</f>
        <v/>
      </c>
      <c r="Z2625" s="3">
        <f>IF(ISNUMBER(AVERAGE('20250815_ETF_Options_Exhibits'!Z2621:Z2625)),AVERAGE('20250815_ETF_Options_Exhibits'!Z2621:Z2625),"")</f>
        <v/>
      </c>
      <c r="AA2625" s="3">
        <f>IF(ISNUMBER(AVERAGE('20250815_ETF_Options_Exhibits'!AA2621:AA2625)),AVERAGE('20250815_ETF_Options_Exhibits'!AA2621:AA2625),"")</f>
        <v/>
      </c>
    </row>
    <row r="2626">
      <c r="A2626" s="1" t="n">
        <v>45817</v>
      </c>
      <c r="B2626" s="3">
        <f>IF(ISNUMBER(AVERAGE('20250815_ETF_Options_Exhibits'!B2622:B2626)),AVERAGE('20250815_ETF_Options_Exhibits'!B2622:B2626),"")</f>
        <v/>
      </c>
      <c r="C2626" s="3">
        <f>IF(ISNUMBER(AVERAGE('20250815_ETF_Options_Exhibits'!C2622:C2626)),AVERAGE('20250815_ETF_Options_Exhibits'!C2622:C2626),"")</f>
        <v/>
      </c>
      <c r="D2626" s="3">
        <f>IF(ISNUMBER(AVERAGE('20250815_ETF_Options_Exhibits'!D2622:D2626)),AVERAGE('20250815_ETF_Options_Exhibits'!D2622:D2626),"")</f>
        <v/>
      </c>
      <c r="E2626" s="3">
        <f>IF(ISNUMBER(AVERAGE('20250815_ETF_Options_Exhibits'!E2622:E2626)),AVERAGE('20250815_ETF_Options_Exhibits'!E2622:E2626),"")</f>
        <v/>
      </c>
      <c r="F2626" s="3">
        <f>IF(ISNUMBER(AVERAGE('20250815_ETF_Options_Exhibits'!F2622:F2626)),AVERAGE('20250815_ETF_Options_Exhibits'!F2622:F2626),"")</f>
        <v/>
      </c>
      <c r="G2626" s="3">
        <f>IF(ISNUMBER(AVERAGE('20250815_ETF_Options_Exhibits'!G2622:G2626)),AVERAGE('20250815_ETF_Options_Exhibits'!G2622:G2626),"")</f>
        <v/>
      </c>
      <c r="H2626" s="3">
        <f>IF(ISNUMBER(AVERAGE('20250815_ETF_Options_Exhibits'!H2622:H2626)),AVERAGE('20250815_ETF_Options_Exhibits'!H2622:H2626),"")</f>
        <v/>
      </c>
      <c r="I2626" s="3">
        <f>IF(ISNUMBER(AVERAGE('20250815_ETF_Options_Exhibits'!I2622:I2626)),AVERAGE('20250815_ETF_Options_Exhibits'!I2622:I2626),"")</f>
        <v/>
      </c>
      <c r="J2626" s="3">
        <f>IF(ISNUMBER(AVERAGE('20250815_ETF_Options_Exhibits'!J2622:J2626)),AVERAGE('20250815_ETF_Options_Exhibits'!J2622:J2626),"")</f>
        <v/>
      </c>
      <c r="K2626" s="3">
        <f>IF(ISNUMBER(AVERAGE('20250815_ETF_Options_Exhibits'!K2622:K2626)),AVERAGE('20250815_ETF_Options_Exhibits'!K2622:K2626),"")</f>
        <v/>
      </c>
      <c r="L2626" s="3">
        <f>IF(ISNUMBER(AVERAGE('20250815_ETF_Options_Exhibits'!L2622:L2626)),AVERAGE('20250815_ETF_Options_Exhibits'!L2622:L2626),"")</f>
        <v/>
      </c>
      <c r="M2626" s="3">
        <f>IF(ISNUMBER(AVERAGE('20250815_ETF_Options_Exhibits'!M2622:M2626)),AVERAGE('20250815_ETF_Options_Exhibits'!M2622:M2626),"")</f>
        <v/>
      </c>
      <c r="N2626" s="3">
        <f>IF(ISNUMBER(AVERAGE('20250815_ETF_Options_Exhibits'!N2622:N2626)),AVERAGE('20250815_ETF_Options_Exhibits'!N2622:N2626),"")</f>
        <v/>
      </c>
      <c r="O2626" s="3">
        <f>IF(ISNUMBER(AVERAGE('20250815_ETF_Options_Exhibits'!O2622:O2626)),AVERAGE('20250815_ETF_Options_Exhibits'!O2622:O2626),"")</f>
        <v/>
      </c>
      <c r="P2626" s="3">
        <f>IF(ISNUMBER(AVERAGE('20250815_ETF_Options_Exhibits'!P2622:P2626)),AVERAGE('20250815_ETF_Options_Exhibits'!P2622:P2626),"")</f>
        <v/>
      </c>
      <c r="Q2626" s="3">
        <f>IF(ISNUMBER(AVERAGE('20250815_ETF_Options_Exhibits'!Q2622:Q2626)),AVERAGE('20250815_ETF_Options_Exhibits'!Q2622:Q2626),"")</f>
        <v/>
      </c>
      <c r="R2626" s="3">
        <f>IF(ISNUMBER(AVERAGE('20250815_ETF_Options_Exhibits'!R2622:R2626)),AVERAGE('20250815_ETF_Options_Exhibits'!R2622:R2626),"")</f>
        <v/>
      </c>
      <c r="S2626" s="3">
        <f>IF(ISNUMBER(AVERAGE('20250815_ETF_Options_Exhibits'!S2622:S2626)),AVERAGE('20250815_ETF_Options_Exhibits'!S2622:S2626),"")</f>
        <v/>
      </c>
      <c r="T2626" s="3">
        <f>IF(ISNUMBER(AVERAGE('20250815_ETF_Options_Exhibits'!T2622:T2626)),AVERAGE('20250815_ETF_Options_Exhibits'!T2622:T2626),"")</f>
        <v/>
      </c>
      <c r="U2626" s="3">
        <f>IF(ISNUMBER(AVERAGE('20250815_ETF_Options_Exhibits'!U2622:U2626)),AVERAGE('20250815_ETF_Options_Exhibits'!U2622:U2626),"")</f>
        <v/>
      </c>
      <c r="V2626" s="3">
        <f>IF(ISNUMBER(AVERAGE('20250815_ETF_Options_Exhibits'!V2622:V2626)),AVERAGE('20250815_ETF_Options_Exhibits'!V2622:V2626),"")</f>
        <v/>
      </c>
      <c r="W2626" s="3">
        <f>IF(ISNUMBER(AVERAGE('20250815_ETF_Options_Exhibits'!W2622:W2626)),AVERAGE('20250815_ETF_Options_Exhibits'!W2622:W2626),"")</f>
        <v/>
      </c>
      <c r="X2626" s="3">
        <f>IF(ISNUMBER(AVERAGE('20250815_ETF_Options_Exhibits'!X2622:X2626)),AVERAGE('20250815_ETF_Options_Exhibits'!X2622:X2626),"")</f>
        <v/>
      </c>
      <c r="Y2626" s="3">
        <f>IF(ISNUMBER(AVERAGE('20250815_ETF_Options_Exhibits'!Y2622:Y2626)),AVERAGE('20250815_ETF_Options_Exhibits'!Y2622:Y2626),"")</f>
        <v/>
      </c>
      <c r="Z2626" s="3">
        <f>IF(ISNUMBER(AVERAGE('20250815_ETF_Options_Exhibits'!Z2622:Z2626)),AVERAGE('20250815_ETF_Options_Exhibits'!Z2622:Z2626),"")</f>
        <v/>
      </c>
      <c r="AA2626" s="3">
        <f>IF(ISNUMBER(AVERAGE('20250815_ETF_Options_Exhibits'!AA2622:AA2626)),AVERAGE('20250815_ETF_Options_Exhibits'!AA2622:AA2626),"")</f>
        <v/>
      </c>
    </row>
    <row r="2627" ht="28" customHeight="1">
      <c r="A2627" s="1" t="n">
        <v>45818</v>
      </c>
      <c r="B2627" s="3">
        <f>IF(ISNUMBER(AVERAGE('20250815_ETF_Options_Exhibits'!B2623:B2627)),AVERAGE('20250815_ETF_Options_Exhibits'!B2623:B2627),"")</f>
        <v/>
      </c>
      <c r="C2627" s="3">
        <f>IF(ISNUMBER(AVERAGE('20250815_ETF_Options_Exhibits'!C2623:C2627)),AVERAGE('20250815_ETF_Options_Exhibits'!C2623:C2627),"")</f>
        <v/>
      </c>
      <c r="D2627" s="3">
        <f>IF(ISNUMBER(AVERAGE('20250815_ETF_Options_Exhibits'!D2623:D2627)),AVERAGE('20250815_ETF_Options_Exhibits'!D2623:D2627),"")</f>
        <v/>
      </c>
      <c r="E2627" s="3">
        <f>IF(ISNUMBER(AVERAGE('20250815_ETF_Options_Exhibits'!E2623:E2627)),AVERAGE('20250815_ETF_Options_Exhibits'!E2623:E2627),"")</f>
        <v/>
      </c>
      <c r="F2627" s="3">
        <f>IF(ISNUMBER(AVERAGE('20250815_ETF_Options_Exhibits'!F2623:F2627)),AVERAGE('20250815_ETF_Options_Exhibits'!F2623:F2627),"")</f>
        <v/>
      </c>
      <c r="G2627" s="3">
        <f>IF(ISNUMBER(AVERAGE('20250815_ETF_Options_Exhibits'!G2623:G2627)),AVERAGE('20250815_ETF_Options_Exhibits'!G2623:G2627),"")</f>
        <v/>
      </c>
      <c r="H2627" s="3">
        <f>IF(ISNUMBER(AVERAGE('20250815_ETF_Options_Exhibits'!H2623:H2627)),AVERAGE('20250815_ETF_Options_Exhibits'!H2623:H2627),"")</f>
        <v/>
      </c>
      <c r="I2627" s="3">
        <f>IF(ISNUMBER(AVERAGE('20250815_ETF_Options_Exhibits'!I2623:I2627)),AVERAGE('20250815_ETF_Options_Exhibits'!I2623:I2627),"")</f>
        <v/>
      </c>
      <c r="J2627" s="3">
        <f>IF(ISNUMBER(AVERAGE('20250815_ETF_Options_Exhibits'!J2623:J2627)),AVERAGE('20250815_ETF_Options_Exhibits'!J2623:J2627),"")</f>
        <v/>
      </c>
      <c r="K2627" s="3">
        <f>IF(ISNUMBER(AVERAGE('20250815_ETF_Options_Exhibits'!K2623:K2627)),AVERAGE('20250815_ETF_Options_Exhibits'!K2623:K2627),"")</f>
        <v/>
      </c>
      <c r="L2627" s="3">
        <f>IF(ISNUMBER(AVERAGE('20250815_ETF_Options_Exhibits'!L2623:L2627)),AVERAGE('20250815_ETF_Options_Exhibits'!L2623:L2627),"")</f>
        <v/>
      </c>
      <c r="M2627" s="3">
        <f>IF(ISNUMBER(AVERAGE('20250815_ETF_Options_Exhibits'!M2623:M2627)),AVERAGE('20250815_ETF_Options_Exhibits'!M2623:M2627),"")</f>
        <v/>
      </c>
      <c r="N2627" s="3">
        <f>IF(ISNUMBER(AVERAGE('20250815_ETF_Options_Exhibits'!N2623:N2627)),AVERAGE('20250815_ETF_Options_Exhibits'!N2623:N2627),"")</f>
        <v/>
      </c>
      <c r="O2627" s="3">
        <f>IF(ISNUMBER(AVERAGE('20250815_ETF_Options_Exhibits'!O2623:O2627)),AVERAGE('20250815_ETF_Options_Exhibits'!O2623:O2627),"")</f>
        <v/>
      </c>
      <c r="P2627" s="3">
        <f>IF(ISNUMBER(AVERAGE('20250815_ETF_Options_Exhibits'!P2623:P2627)),AVERAGE('20250815_ETF_Options_Exhibits'!P2623:P2627),"")</f>
        <v/>
      </c>
      <c r="Q2627" s="3">
        <f>IF(ISNUMBER(AVERAGE('20250815_ETF_Options_Exhibits'!Q2623:Q2627)),AVERAGE('20250815_ETF_Options_Exhibits'!Q2623:Q2627),"")</f>
        <v/>
      </c>
      <c r="R2627" s="3">
        <f>IF(ISNUMBER(AVERAGE('20250815_ETF_Options_Exhibits'!R2623:R2627)),AVERAGE('20250815_ETF_Options_Exhibits'!R2623:R2627),"")</f>
        <v/>
      </c>
      <c r="S2627" s="3">
        <f>IF(ISNUMBER(AVERAGE('20250815_ETF_Options_Exhibits'!S2623:S2627)),AVERAGE('20250815_ETF_Options_Exhibits'!S2623:S2627),"")</f>
        <v/>
      </c>
      <c r="T2627" s="3">
        <f>IF(ISNUMBER(AVERAGE('20250815_ETF_Options_Exhibits'!T2623:T2627)),AVERAGE('20250815_ETF_Options_Exhibits'!T2623:T2627),"")</f>
        <v/>
      </c>
      <c r="U2627" s="3">
        <f>IF(ISNUMBER(AVERAGE('20250815_ETF_Options_Exhibits'!U2623:U2627)),AVERAGE('20250815_ETF_Options_Exhibits'!U2623:U2627),"")</f>
        <v/>
      </c>
      <c r="V2627" s="3">
        <f>IF(ISNUMBER(AVERAGE('20250815_ETF_Options_Exhibits'!V2623:V2627)),AVERAGE('20250815_ETF_Options_Exhibits'!V2623:V2627),"")</f>
        <v/>
      </c>
      <c r="W2627" s="3">
        <f>IF(ISNUMBER(AVERAGE('20250815_ETF_Options_Exhibits'!W2623:W2627)),AVERAGE('20250815_ETF_Options_Exhibits'!W2623:W2627),"")</f>
        <v/>
      </c>
      <c r="X2627" s="3">
        <f>IF(ISNUMBER(AVERAGE('20250815_ETF_Options_Exhibits'!X2623:X2627)),AVERAGE('20250815_ETF_Options_Exhibits'!X2623:X2627),"")</f>
        <v/>
      </c>
      <c r="Y2627" s="3">
        <f>IF(ISNUMBER(AVERAGE('20250815_ETF_Options_Exhibits'!Y2623:Y2627)),AVERAGE('20250815_ETF_Options_Exhibits'!Y2623:Y2627),"")</f>
        <v/>
      </c>
      <c r="Z2627" s="3">
        <f>IF(ISNUMBER(AVERAGE('20250815_ETF_Options_Exhibits'!Z2623:Z2627)),AVERAGE('20250815_ETF_Options_Exhibits'!Z2623:Z2627),"")</f>
        <v/>
      </c>
      <c r="AA2627" s="3">
        <f>IF(ISNUMBER(AVERAGE('20250815_ETF_Options_Exhibits'!AA2623:AA2627)),AVERAGE('20250815_ETF_Options_Exhibits'!AA2623:AA2627),"")</f>
        <v/>
      </c>
    </row>
    <row r="2628" ht="28" customHeight="1">
      <c r="A2628" s="1" t="n"/>
      <c r="B2628" s="3" t="n"/>
      <c r="C2628" s="3" t="n"/>
      <c r="D2628" s="3" t="n"/>
      <c r="E2628" s="3" t="n"/>
      <c r="F2628" s="3" t="n"/>
      <c r="G2628" s="3" t="n"/>
      <c r="H2628" s="3" t="n"/>
      <c r="I2628" s="3" t="n"/>
      <c r="J2628" s="3" t="n"/>
      <c r="K2628" s="3" t="n"/>
      <c r="L2628" s="3" t="n"/>
      <c r="M2628" s="3" t="n"/>
      <c r="N2628" s="3" t="n"/>
      <c r="O2628" s="3" t="n"/>
      <c r="P2628" s="3" t="n"/>
      <c r="Q2628" s="3" t="n"/>
      <c r="R2628" s="3" t="n"/>
      <c r="S2628" s="3" t="n"/>
      <c r="T2628" s="3" t="n"/>
      <c r="U2628" s="3" t="n"/>
      <c r="V2628" s="9" t="n"/>
      <c r="W2628" s="9" t="n"/>
      <c r="X2628" s="9" t="n"/>
      <c r="Y2628" s="9" t="n"/>
      <c r="Z2628" s="3" t="n"/>
      <c r="AA2628" s="3" t="n"/>
    </row>
    <row r="2629" ht="28" customHeight="1">
      <c r="A2629" s="1" t="n"/>
      <c r="B2629" s="3" t="n"/>
      <c r="C2629" s="3" t="n"/>
      <c r="D2629" s="3" t="n"/>
      <c r="E2629" s="3" t="n"/>
      <c r="F2629" s="3" t="n"/>
      <c r="G2629" s="3" t="n"/>
      <c r="H2629" s="3" t="n"/>
      <c r="I2629" s="3" t="n"/>
      <c r="J2629" s="3" t="n"/>
      <c r="K2629" s="3" t="n"/>
      <c r="L2629" s="3" t="n"/>
      <c r="M2629" s="3" t="n"/>
      <c r="N2629" s="3" t="n"/>
      <c r="O2629" s="3" t="n"/>
      <c r="P2629" s="3" t="n"/>
      <c r="Q2629" s="3" t="n"/>
      <c r="R2629" s="3" t="n"/>
      <c r="S2629" s="3" t="n"/>
      <c r="T2629" s="3" t="n"/>
      <c r="U2629" s="3" t="n"/>
      <c r="V2629" s="9" t="n"/>
      <c r="W2629" s="9" t="n"/>
      <c r="X2629" s="9" t="n"/>
      <c r="Y2629" s="9" t="n"/>
      <c r="Z2629" s="3" t="n"/>
      <c r="AA2629" s="3" t="n"/>
    </row>
    <row r="2630" ht="28" customHeight="1">
      <c r="A2630" s="1" t="n"/>
      <c r="B2630" s="3" t="n"/>
      <c r="C2630" s="3" t="n"/>
      <c r="D2630" s="3" t="n"/>
      <c r="E2630" s="3" t="n"/>
      <c r="F2630" s="3" t="n"/>
      <c r="G2630" s="3" t="n"/>
      <c r="H2630" s="3" t="n"/>
      <c r="I2630" s="3" t="n"/>
      <c r="J2630" s="3" t="n"/>
      <c r="K2630" s="3" t="n"/>
      <c r="L2630" s="3" t="n"/>
      <c r="M2630" s="3" t="n"/>
      <c r="N2630" s="3" t="n"/>
      <c r="O2630" s="3" t="n"/>
      <c r="P2630" s="3" t="n"/>
      <c r="Q2630" s="3" t="n"/>
      <c r="R2630" s="3" t="n"/>
      <c r="S2630" s="3" t="n"/>
      <c r="T2630" s="3" t="n"/>
      <c r="U2630" s="3" t="n"/>
      <c r="V2630" s="9" t="n"/>
      <c r="W2630" s="9" t="n"/>
      <c r="X2630" s="9" t="n"/>
      <c r="Y2630" s="9" t="n"/>
      <c r="Z2630" s="3" t="n"/>
      <c r="AA2630" s="3" t="n"/>
    </row>
    <row r="2631">
      <c r="C2631" s="2">
        <f>C1</f>
        <v/>
      </c>
      <c r="D2631" s="2">
        <f>D1</f>
        <v/>
      </c>
      <c r="E2631" s="2">
        <f>E1</f>
        <v/>
      </c>
      <c r="F2631" s="2">
        <f>F1</f>
        <v/>
      </c>
      <c r="G2631" s="2">
        <f>G1</f>
        <v/>
      </c>
      <c r="H2631" s="2">
        <f>H1</f>
        <v/>
      </c>
      <c r="I2631" s="2">
        <f>I1</f>
        <v/>
      </c>
      <c r="J2631" s="2">
        <f>J1</f>
        <v/>
      </c>
      <c r="K2631" s="2">
        <f>K1</f>
        <v/>
      </c>
      <c r="L2631" s="2">
        <f>L1</f>
        <v/>
      </c>
      <c r="M2631" s="2">
        <f>M1</f>
        <v/>
      </c>
      <c r="N2631" s="2">
        <f>N1</f>
        <v/>
      </c>
      <c r="O2631" s="2">
        <f>O1</f>
        <v/>
      </c>
      <c r="P2631" s="2">
        <f>P1</f>
        <v/>
      </c>
      <c r="Q2631" s="2">
        <f>Q1</f>
        <v/>
      </c>
      <c r="R2631" s="2">
        <f>R1</f>
        <v/>
      </c>
      <c r="S2631" s="2">
        <f>S1</f>
        <v/>
      </c>
      <c r="T2631" s="2">
        <f>T1</f>
        <v/>
      </c>
      <c r="U2631" s="2">
        <f>U1</f>
        <v/>
      </c>
      <c r="V2631" s="2">
        <f>V1</f>
        <v/>
      </c>
      <c r="W2631" s="2">
        <f>W1</f>
        <v/>
      </c>
      <c r="X2631" s="2">
        <f>X1</f>
        <v/>
      </c>
      <c r="Y2631" s="2">
        <f>Y1</f>
        <v/>
      </c>
      <c r="Z2631" s="2">
        <f>Z1</f>
        <v/>
      </c>
      <c r="AA2631" s="2">
        <f>AA1</f>
        <v/>
      </c>
    </row>
    <row r="2632">
      <c r="A2632" t="inlineStr">
        <is>
          <t>MU</t>
        </is>
      </c>
      <c r="B2632" s="4">
        <f>AVERAGE(B2:B2627)</f>
        <v/>
      </c>
      <c r="C2632" s="4">
        <f>AVERAGE(C2:C2627)</f>
        <v/>
      </c>
      <c r="D2632" s="4">
        <f>AVERAGE(D2:D2627)</f>
        <v/>
      </c>
      <c r="E2632" s="4">
        <f>AVERAGE(E2:E2627)</f>
        <v/>
      </c>
      <c r="F2632" s="4">
        <f>AVERAGE(F2:F2627)</f>
        <v/>
      </c>
      <c r="G2632" s="4">
        <f>AVERAGE(G2:G2627)</f>
        <v/>
      </c>
      <c r="H2632" s="4">
        <f>AVERAGE(H2:H2627)</f>
        <v/>
      </c>
      <c r="I2632" s="4">
        <f>AVERAGE(I2:I2627)</f>
        <v/>
      </c>
      <c r="J2632" s="4">
        <f>AVERAGE(J2:J2627)</f>
        <v/>
      </c>
      <c r="K2632" s="4">
        <f>AVERAGE(K2:K2627)</f>
        <v/>
      </c>
      <c r="L2632" s="4">
        <f>AVERAGE(L2:L2627)</f>
        <v/>
      </c>
      <c r="M2632" s="4">
        <f>AVERAGE(M2:M2627)</f>
        <v/>
      </c>
      <c r="N2632" s="4">
        <f>AVERAGE(N2:N2627)</f>
        <v/>
      </c>
      <c r="O2632" s="4">
        <f>AVERAGE(O2:O2627)</f>
        <v/>
      </c>
      <c r="P2632" s="4">
        <f>AVERAGE(P2:P2627)</f>
        <v/>
      </c>
      <c r="Q2632" s="4">
        <f>AVERAGE(Q2:Q2627)</f>
        <v/>
      </c>
      <c r="R2632" s="4">
        <f>AVERAGE(R2:R2627)</f>
        <v/>
      </c>
      <c r="S2632" s="4">
        <f>AVERAGE(S2:S2627)</f>
        <v/>
      </c>
      <c r="T2632" s="4">
        <f>AVERAGE(T2:T2627)</f>
        <v/>
      </c>
      <c r="U2632" s="4">
        <f>AVERAGE(U2:U2627)</f>
        <v/>
      </c>
      <c r="V2632" s="10">
        <f>AVERAGE(V2:V2627)</f>
        <v/>
      </c>
      <c r="W2632" s="10">
        <f>AVERAGE(W2:W2627)</f>
        <v/>
      </c>
      <c r="X2632" s="10">
        <f>AVERAGE(X2:X2627)</f>
        <v/>
      </c>
      <c r="Y2632" s="10">
        <f>AVERAGE(Y2:Y2627)</f>
        <v/>
      </c>
      <c r="Z2632" s="4">
        <f>AVERAGE(Z2:Z2627)</f>
        <v/>
      </c>
      <c r="AA2632" s="4">
        <f>AVERAGE(AA2:AA2627)</f>
        <v/>
      </c>
    </row>
    <row r="2633">
      <c r="A2633" t="inlineStr">
        <is>
          <t>SD</t>
        </is>
      </c>
      <c r="B2633" s="4">
        <f>STDEV(B2:B2627)</f>
        <v/>
      </c>
      <c r="C2633" s="4">
        <f>STDEV(C2:C2627)</f>
        <v/>
      </c>
      <c r="D2633" s="4">
        <f>STDEV(D2:D2627)</f>
        <v/>
      </c>
      <c r="E2633" s="4">
        <f>STDEV(E2:E2627)</f>
        <v/>
      </c>
      <c r="F2633" s="4">
        <f>STDEV(F2:F2627)</f>
        <v/>
      </c>
      <c r="G2633" s="4">
        <f>STDEV(G2:G2627)</f>
        <v/>
      </c>
      <c r="H2633" s="4">
        <f>STDEV(H2:H2627)</f>
        <v/>
      </c>
      <c r="I2633" s="4">
        <f>STDEV(I2:I2627)</f>
        <v/>
      </c>
      <c r="J2633" s="4">
        <f>STDEV(J2:J2627)</f>
        <v/>
      </c>
      <c r="K2633" s="4">
        <f>STDEV(K2:K2627)</f>
        <v/>
      </c>
      <c r="L2633" s="4">
        <f>STDEV(L2:L2627)</f>
        <v/>
      </c>
      <c r="M2633" s="4">
        <f>STDEV(M2:M2627)</f>
        <v/>
      </c>
      <c r="N2633" s="4">
        <f>STDEV(N2:N2627)</f>
        <v/>
      </c>
      <c r="O2633" s="4">
        <f>STDEV(O2:O2627)</f>
        <v/>
      </c>
      <c r="P2633" s="4">
        <f>STDEV(P2:P2627)</f>
        <v/>
      </c>
      <c r="Q2633" s="4">
        <f>STDEV(Q2:Q2627)</f>
        <v/>
      </c>
      <c r="R2633" s="4">
        <f>STDEV(R2:R2627)</f>
        <v/>
      </c>
      <c r="S2633" s="4">
        <f>STDEV(S2:S2627)</f>
        <v/>
      </c>
      <c r="T2633" s="4">
        <f>STDEV(T2:T2627)</f>
        <v/>
      </c>
      <c r="U2633" s="4">
        <f>STDEV(U2:U2627)</f>
        <v/>
      </c>
      <c r="V2633" s="10">
        <f>STDEV(V2:V2627)</f>
        <v/>
      </c>
      <c r="W2633" s="10">
        <f>STDEV(W2:W2627)</f>
        <v/>
      </c>
      <c r="X2633" s="10">
        <f>STDEV(X2:X2627)</f>
        <v/>
      </c>
      <c r="Y2633" s="10">
        <f>STDEV(Y2:Y2627)</f>
        <v/>
      </c>
      <c r="Z2633" s="4">
        <f>STDEV(Z2:Z2627)</f>
        <v/>
      </c>
      <c r="AA2633" s="4">
        <f>STDEV(AA2:AA2627)</f>
        <v/>
      </c>
    </row>
    <row r="2634">
      <c r="A2634" t="inlineStr">
        <is>
          <t>ANN MU</t>
        </is>
      </c>
      <c r="B2634" s="3">
        <f>252*B2632</f>
        <v/>
      </c>
      <c r="C2634" s="3">
        <f>252*C2632</f>
        <v/>
      </c>
      <c r="D2634" s="3">
        <f>252*D2632</f>
        <v/>
      </c>
      <c r="E2634" s="3">
        <f>252*E2632</f>
        <v/>
      </c>
      <c r="F2634" s="3">
        <f>252*F2632</f>
        <v/>
      </c>
      <c r="G2634" s="3">
        <f>252*G2632</f>
        <v/>
      </c>
      <c r="H2634" s="3">
        <f>252*H2632</f>
        <v/>
      </c>
      <c r="I2634" s="3">
        <f>252*I2632</f>
        <v/>
      </c>
      <c r="J2634" s="3">
        <f>252*J2632</f>
        <v/>
      </c>
      <c r="K2634" s="3">
        <f>252*K2632</f>
        <v/>
      </c>
      <c r="L2634" s="3">
        <f>252*L2632</f>
        <v/>
      </c>
      <c r="M2634" s="3">
        <f>252*M2632</f>
        <v/>
      </c>
      <c r="N2634" s="3">
        <f>252*N2632</f>
        <v/>
      </c>
      <c r="O2634" s="3">
        <f>252*O2632</f>
        <v/>
      </c>
      <c r="P2634" s="3">
        <f>252*P2632</f>
        <v/>
      </c>
      <c r="Q2634" s="3">
        <f>252*Q2632</f>
        <v/>
      </c>
      <c r="R2634" s="3">
        <f>252*R2632</f>
        <v/>
      </c>
      <c r="S2634" s="3">
        <f>252*S2632</f>
        <v/>
      </c>
      <c r="T2634" s="3">
        <f>252*T2632</f>
        <v/>
      </c>
      <c r="U2634" s="3">
        <f>252*U2632</f>
        <v/>
      </c>
      <c r="V2634" s="9">
        <f>252*V2632</f>
        <v/>
      </c>
      <c r="W2634" s="9">
        <f>252*W2632</f>
        <v/>
      </c>
      <c r="X2634" s="9">
        <f>252*X2632</f>
        <v/>
      </c>
      <c r="Y2634" s="9">
        <f>252*Y2632</f>
        <v/>
      </c>
      <c r="Z2634" s="3">
        <f>252*Z2632</f>
        <v/>
      </c>
      <c r="AA2634" s="3">
        <f>252*AA2632</f>
        <v/>
      </c>
    </row>
    <row r="2635">
      <c r="A2635" t="inlineStr">
        <is>
          <t>ANN SD</t>
        </is>
      </c>
      <c r="B2635" s="3">
        <f>SQRT(252)*B2633</f>
        <v/>
      </c>
      <c r="C2635" s="3">
        <f>SQRT(252)*C2633</f>
        <v/>
      </c>
      <c r="D2635" s="3">
        <f>SQRT(252)*D2633</f>
        <v/>
      </c>
      <c r="E2635" s="3">
        <f>SQRT(252)*E2633</f>
        <v/>
      </c>
      <c r="F2635" s="3">
        <f>SQRT(252)*F2633</f>
        <v/>
      </c>
      <c r="G2635" s="3">
        <f>SQRT(252)*G2633</f>
        <v/>
      </c>
      <c r="H2635" s="3">
        <f>SQRT(252)*H2633</f>
        <v/>
      </c>
      <c r="I2635" s="3">
        <f>SQRT(252)*I2633</f>
        <v/>
      </c>
      <c r="J2635" s="3">
        <f>SQRT(252)*J2633</f>
        <v/>
      </c>
      <c r="K2635" s="3">
        <f>SQRT(252)*K2633</f>
        <v/>
      </c>
      <c r="L2635" s="3">
        <f>SQRT(252)*L2633</f>
        <v/>
      </c>
      <c r="M2635" s="3">
        <f>SQRT(252)*M2633</f>
        <v/>
      </c>
      <c r="N2635" s="3">
        <f>SQRT(252)*N2633</f>
        <v/>
      </c>
      <c r="O2635" s="3">
        <f>SQRT(252)*O2633</f>
        <v/>
      </c>
      <c r="P2635" s="3">
        <f>SQRT(252)*P2633</f>
        <v/>
      </c>
      <c r="Q2635" s="3">
        <f>SQRT(252)*Q2633</f>
        <v/>
      </c>
      <c r="R2635" s="3">
        <f>SQRT(252)*R2633</f>
        <v/>
      </c>
      <c r="S2635" s="3">
        <f>SQRT(252)*S2633</f>
        <v/>
      </c>
      <c r="T2635" s="3">
        <f>SQRT(252)*T2633</f>
        <v/>
      </c>
      <c r="U2635" s="3">
        <f>SQRT(252)*U2633</f>
        <v/>
      </c>
      <c r="V2635" s="9">
        <f>SQRT(252)*V2633</f>
        <v/>
      </c>
      <c r="W2635" s="9">
        <f>SQRT(252)*W2633</f>
        <v/>
      </c>
      <c r="X2635" s="9">
        <f>SQRT(252)*X2633</f>
        <v/>
      </c>
      <c r="Y2635" s="9">
        <f>SQRT(252)*Y2633</f>
        <v/>
      </c>
      <c r="Z2635" s="3">
        <f>SQRT(252)*Z2633</f>
        <v/>
      </c>
      <c r="AA2635" s="3">
        <f>SQRT(252)*AA2633</f>
        <v/>
      </c>
    </row>
    <row r="2636">
      <c r="A2636" t="inlineStr">
        <is>
          <t>ANN SR</t>
        </is>
      </c>
      <c r="B2636" s="5">
        <f>B2634/B2635</f>
        <v/>
      </c>
      <c r="C2636" s="6">
        <f>C2634/C2635</f>
        <v/>
      </c>
      <c r="D2636" s="6">
        <f>D2634/D2635</f>
        <v/>
      </c>
      <c r="E2636" s="6">
        <f>E2634/E2635</f>
        <v/>
      </c>
      <c r="F2636" s="6">
        <f>F2634/F2635</f>
        <v/>
      </c>
      <c r="G2636" s="6">
        <f>G2634/G2635</f>
        <v/>
      </c>
      <c r="H2636" s="6">
        <f>H2634/H2635</f>
        <v/>
      </c>
      <c r="I2636" s="6">
        <f>I2634/I2635</f>
        <v/>
      </c>
      <c r="J2636" s="6">
        <f>J2634/J2635</f>
        <v/>
      </c>
      <c r="K2636" s="6">
        <f>K2634/K2635</f>
        <v/>
      </c>
      <c r="L2636" s="6">
        <f>L2634/L2635</f>
        <v/>
      </c>
      <c r="M2636" s="6">
        <f>M2634/M2635</f>
        <v/>
      </c>
      <c r="N2636" s="6">
        <f>N2634/N2635</f>
        <v/>
      </c>
      <c r="O2636" s="6">
        <f>O2634/O2635</f>
        <v/>
      </c>
      <c r="P2636" s="6">
        <f>P2634/P2635</f>
        <v/>
      </c>
      <c r="Q2636" s="6">
        <f>Q2634/Q2635</f>
        <v/>
      </c>
      <c r="R2636" s="6">
        <f>R2634/R2635</f>
        <v/>
      </c>
      <c r="S2636" s="6">
        <f>S2634/S2635</f>
        <v/>
      </c>
      <c r="T2636" s="6">
        <f>T2634/T2635</f>
        <v/>
      </c>
      <c r="U2636" s="6">
        <f>U2634/U2635</f>
        <v/>
      </c>
      <c r="V2636" s="11">
        <f>V2634/V2635</f>
        <v/>
      </c>
      <c r="W2636" s="12">
        <f>W2634/W2635</f>
        <v/>
      </c>
      <c r="X2636" s="12">
        <f>X2634/X2635</f>
        <v/>
      </c>
      <c r="Y2636" s="12">
        <f>Y2634/Y2635</f>
        <v/>
      </c>
      <c r="Z2636" s="6">
        <f>Z2634/Z2635</f>
        <v/>
      </c>
      <c r="AA2636" s="6">
        <f>AA2634/AA2635</f>
        <v/>
      </c>
    </row>
    <row r="2637">
      <c r="A2637" t="inlineStr">
        <is>
          <t>SKEW</t>
        </is>
      </c>
      <c r="B2637" s="18">
        <f>SKEW(B2:B2627)</f>
        <v/>
      </c>
      <c r="C2637" s="19">
        <f>SKEW(C2:C2627)</f>
        <v/>
      </c>
      <c r="D2637" s="19">
        <f>SKEW(D2:D2627)</f>
        <v/>
      </c>
      <c r="E2637" s="19">
        <f>SKEW(E2:E2627)</f>
        <v/>
      </c>
      <c r="F2637" s="19">
        <f>SKEW(F2:F2627)</f>
        <v/>
      </c>
      <c r="G2637" s="19">
        <f>SKEW(G2:G2627)</f>
        <v/>
      </c>
      <c r="H2637" s="19">
        <f>SKEW(H2:H2627)</f>
        <v/>
      </c>
      <c r="I2637" s="19">
        <f>SKEW(I2:I2627)</f>
        <v/>
      </c>
      <c r="J2637" s="19">
        <f>SKEW(J2:J2627)</f>
        <v/>
      </c>
      <c r="K2637" s="19">
        <f>SKEW(K2:K2627)</f>
        <v/>
      </c>
      <c r="L2637" s="19">
        <f>SKEW(L2:L2627)</f>
        <v/>
      </c>
      <c r="M2637" s="19">
        <f>SKEW(M2:M2627)</f>
        <v/>
      </c>
      <c r="N2637" s="19">
        <f>SKEW(N2:N2627)</f>
        <v/>
      </c>
      <c r="O2637" s="19">
        <f>SKEW(O2:O2627)</f>
        <v/>
      </c>
      <c r="P2637" s="19">
        <f>SKEW(P2:P2627)</f>
        <v/>
      </c>
      <c r="Q2637" s="19">
        <f>SKEW(Q2:Q2627)</f>
        <v/>
      </c>
      <c r="R2637" s="19">
        <f>SKEW(R2:R2627)</f>
        <v/>
      </c>
      <c r="S2637" s="19">
        <f>SKEW(S2:S2627)</f>
        <v/>
      </c>
      <c r="T2637" s="19">
        <f>SKEW(T2:T2627)</f>
        <v/>
      </c>
      <c r="U2637" s="19">
        <f>SKEW(U2:U2627)</f>
        <v/>
      </c>
      <c r="V2637" s="20">
        <f>SKEW(V2:V2627)</f>
        <v/>
      </c>
      <c r="W2637" s="21">
        <f>SKEW(W2:W2627)</f>
        <v/>
      </c>
      <c r="X2637" s="21">
        <f>SKEW(X2:X2627)</f>
        <v/>
      </c>
      <c r="Y2637" s="21">
        <f>SKEW(Y2:Y2627)</f>
        <v/>
      </c>
      <c r="Z2637" s="19">
        <f>SKEW(Z2:Z2627)</f>
        <v/>
      </c>
      <c r="AA2637" s="19">
        <f>SKEW(AA2:AA2627)</f>
        <v/>
      </c>
    </row>
    <row r="2638">
      <c r="A2638" t="inlineStr">
        <is>
          <t>KURTOSIS</t>
        </is>
      </c>
      <c r="B2638" s="18">
        <f>KURT(B2:B2627)</f>
        <v/>
      </c>
      <c r="C2638" s="19">
        <f>KURT(C2:C2627)</f>
        <v/>
      </c>
      <c r="D2638" s="19">
        <f>KURT(D2:D2627)</f>
        <v/>
      </c>
      <c r="E2638" s="19">
        <f>KURT(E2:E2627)</f>
        <v/>
      </c>
      <c r="F2638" s="19">
        <f>KURT(F2:F2627)</f>
        <v/>
      </c>
      <c r="G2638" s="19">
        <f>KURT(G2:G2627)</f>
        <v/>
      </c>
      <c r="H2638" s="19">
        <f>KURT(H2:H2627)</f>
        <v/>
      </c>
      <c r="I2638" s="19">
        <f>KURT(I2:I2627)</f>
        <v/>
      </c>
      <c r="J2638" s="19">
        <f>KURT(J2:J2627)</f>
        <v/>
      </c>
      <c r="K2638" s="19">
        <f>KURT(K2:K2627)</f>
        <v/>
      </c>
      <c r="L2638" s="19">
        <f>KURT(L2:L2627)</f>
        <v/>
      </c>
      <c r="M2638" s="19">
        <f>KURT(M2:M2627)</f>
        <v/>
      </c>
      <c r="N2638" s="19">
        <f>KURT(N2:N2627)</f>
        <v/>
      </c>
      <c r="O2638" s="19">
        <f>KURT(O2:O2627)</f>
        <v/>
      </c>
      <c r="P2638" s="19">
        <f>KURT(P2:P2627)</f>
        <v/>
      </c>
      <c r="Q2638" s="19">
        <f>KURT(Q2:Q2627)</f>
        <v/>
      </c>
      <c r="R2638" s="19">
        <f>KURT(R2:R2627)</f>
        <v/>
      </c>
      <c r="S2638" s="19">
        <f>KURT(S2:S2627)</f>
        <v/>
      </c>
      <c r="T2638" s="19">
        <f>KURT(T2:T2627)</f>
        <v/>
      </c>
      <c r="U2638" s="19">
        <f>KURT(U2:U2627)</f>
        <v/>
      </c>
      <c r="V2638" s="20">
        <f>KURT(V2:V2627)</f>
        <v/>
      </c>
      <c r="W2638" s="21">
        <f>KURT(W2:W2627)</f>
        <v/>
      </c>
      <c r="X2638" s="21">
        <f>KURT(X2:X2627)</f>
        <v/>
      </c>
      <c r="Y2638" s="21">
        <f>KURT(Y2:Y2627)</f>
        <v/>
      </c>
      <c r="Z2638" s="19">
        <f>KURT(Z2:Z2627)</f>
        <v/>
      </c>
      <c r="AA2638" s="19">
        <f>KURT(AA2:AA2627)</f>
        <v/>
      </c>
    </row>
    <row r="2639">
      <c r="B2639" s="5" t="n"/>
      <c r="C2639" s="6" t="n"/>
      <c r="D2639" s="6" t="n"/>
      <c r="E2639" s="6" t="n"/>
      <c r="F2639" s="6" t="n"/>
      <c r="G2639" s="6" t="n"/>
      <c r="H2639" s="6" t="n"/>
      <c r="I2639" s="6" t="n"/>
      <c r="J2639" s="6" t="n"/>
      <c r="K2639" s="6" t="n"/>
      <c r="L2639" s="6" t="n"/>
      <c r="M2639" s="6" t="n"/>
      <c r="N2639" s="6" t="n"/>
      <c r="O2639" s="6" t="n"/>
      <c r="P2639" s="6" t="n"/>
      <c r="Q2639" s="6" t="n"/>
      <c r="R2639" s="6" t="n"/>
      <c r="S2639" s="6" t="n"/>
      <c r="T2639" s="6" t="n"/>
      <c r="U2639" s="6" t="n"/>
      <c r="V2639" s="11" t="n"/>
      <c r="W2639" s="12" t="n"/>
      <c r="X2639" s="12" t="n"/>
      <c r="Y2639" s="12" t="n"/>
      <c r="Z2639" s="6" t="n"/>
      <c r="AA2639" s="6" t="n"/>
    </row>
    <row r="2640">
      <c r="C2640" s="2">
        <f>C1</f>
        <v/>
      </c>
      <c r="D2640" s="2">
        <f>D1</f>
        <v/>
      </c>
      <c r="E2640" s="2">
        <f>E1</f>
        <v/>
      </c>
      <c r="F2640" s="2">
        <f>F1</f>
        <v/>
      </c>
      <c r="G2640" s="2">
        <f>G1</f>
        <v/>
      </c>
      <c r="H2640" s="2">
        <f>H1</f>
        <v/>
      </c>
      <c r="I2640" s="2">
        <f>I1</f>
        <v/>
      </c>
      <c r="J2640" s="2">
        <f>J1</f>
        <v/>
      </c>
      <c r="K2640" s="2">
        <f>K1</f>
        <v/>
      </c>
      <c r="L2640" s="2">
        <f>L1</f>
        <v/>
      </c>
      <c r="M2640" s="2">
        <f>M1</f>
        <v/>
      </c>
      <c r="N2640" s="2">
        <f>N1</f>
        <v/>
      </c>
      <c r="O2640" s="2">
        <f>O1</f>
        <v/>
      </c>
      <c r="P2640" s="2">
        <f>P1</f>
        <v/>
      </c>
      <c r="Q2640" s="2">
        <f>Q1</f>
        <v/>
      </c>
      <c r="R2640" s="2">
        <f>R1</f>
        <v/>
      </c>
      <c r="S2640" s="2">
        <f>S1</f>
        <v/>
      </c>
      <c r="T2640" s="2">
        <f>T1</f>
        <v/>
      </c>
      <c r="U2640" s="2">
        <f>U1</f>
        <v/>
      </c>
      <c r="V2640" s="2">
        <f>V1</f>
        <v/>
      </c>
      <c r="W2640" s="2">
        <f>W1</f>
        <v/>
      </c>
      <c r="X2640" s="2">
        <f>X1</f>
        <v/>
      </c>
      <c r="Y2640" s="2">
        <f>Y1</f>
        <v/>
      </c>
      <c r="Z2640" s="2">
        <f>Z1</f>
        <v/>
      </c>
      <c r="AA2640" s="2">
        <f>AA1</f>
        <v/>
      </c>
    </row>
    <row r="2641">
      <c r="A2641" t="inlineStr">
        <is>
          <t>COUNT</t>
        </is>
      </c>
      <c r="B2641">
        <f>COUNT(B2:B2627)</f>
        <v/>
      </c>
      <c r="C2641">
        <f>COUNT(C2:C2627)</f>
        <v/>
      </c>
      <c r="D2641">
        <f>COUNT(D2:D2627)</f>
        <v/>
      </c>
      <c r="E2641">
        <f>COUNT(E2:E2627)</f>
        <v/>
      </c>
      <c r="F2641">
        <f>COUNT(F2:F2627)</f>
        <v/>
      </c>
      <c r="G2641">
        <f>COUNT(G2:G2627)</f>
        <v/>
      </c>
      <c r="H2641">
        <f>COUNT(H2:H2627)</f>
        <v/>
      </c>
      <c r="I2641">
        <f>COUNT(I2:I2627)</f>
        <v/>
      </c>
      <c r="J2641">
        <f>COUNT(J2:J2627)</f>
        <v/>
      </c>
      <c r="K2641">
        <f>COUNT(K2:K2627)</f>
        <v/>
      </c>
      <c r="L2641">
        <f>COUNT(L2:L2627)</f>
        <v/>
      </c>
      <c r="M2641">
        <f>COUNT(M2:M2627)</f>
        <v/>
      </c>
      <c r="N2641">
        <f>COUNT(N2:N2627)</f>
        <v/>
      </c>
      <c r="O2641">
        <f>COUNT(O2:O2627)</f>
        <v/>
      </c>
      <c r="P2641">
        <f>COUNT(P2:P2627)</f>
        <v/>
      </c>
      <c r="Q2641">
        <f>COUNT(Q2:Q2627)</f>
        <v/>
      </c>
      <c r="R2641">
        <f>COUNT(R2:R2627)</f>
        <v/>
      </c>
      <c r="S2641">
        <f>COUNT(S2:S2627)</f>
        <v/>
      </c>
      <c r="T2641">
        <f>COUNT(T2:T2627)</f>
        <v/>
      </c>
      <c r="U2641">
        <f>COUNT(U2:U2627)</f>
        <v/>
      </c>
      <c r="V2641" s="2">
        <f>COUNT(V2:V2627)</f>
        <v/>
      </c>
      <c r="W2641" s="2">
        <f>COUNT(W2:W2627)</f>
        <v/>
      </c>
      <c r="X2641" s="2">
        <f>COUNT(X2:X2627)</f>
        <v/>
      </c>
      <c r="Y2641" s="2">
        <f>COUNT(Y2:Y2627)</f>
        <v/>
      </c>
      <c r="Z2641">
        <f>COUNT(Z2:Z2627)</f>
        <v/>
      </c>
      <c r="AA2641">
        <f>COUNT(AA2:AA2627)</f>
        <v/>
      </c>
    </row>
    <row r="2642">
      <c r="A2642" t="inlineStr">
        <is>
          <t>CORR(SPY_STRATEGY)</t>
        </is>
      </c>
      <c r="B2642" s="5">
        <f>CORREL(B$2:B$2627,$V$2:$V$2627)</f>
        <v/>
      </c>
      <c r="C2642" s="5">
        <f>CORREL(C$2:C$2627,$V$2:$V$2627)</f>
        <v/>
      </c>
      <c r="D2642" s="5">
        <f>CORREL(D$2:D$2627,$V$2:$V$2627)</f>
        <v/>
      </c>
      <c r="E2642" s="5">
        <f>CORREL(E$2:E$2627,$V$2:$V$2627)</f>
        <v/>
      </c>
      <c r="F2642" s="5">
        <f>CORREL(F$2:F$2627,$V$2:$V$2627)</f>
        <v/>
      </c>
      <c r="G2642" s="5">
        <f>CORREL(G$2:G$2627,$V$2:$V$2627)</f>
        <v/>
      </c>
      <c r="H2642" s="5">
        <f>CORREL(H$2:H$2627,$V$2:$V$2627)</f>
        <v/>
      </c>
      <c r="I2642" s="5">
        <f>CORREL(I$2:I$2627,$V$2:$V$2627)</f>
        <v/>
      </c>
      <c r="J2642" s="5">
        <f>CORREL(J$2:J$2627,$V$2:$V$2627)</f>
        <v/>
      </c>
      <c r="K2642" s="5">
        <f>CORREL(K$2:K$2627,$V$2:$V$2627)</f>
        <v/>
      </c>
      <c r="L2642" s="5">
        <f>CORREL(L$2:L$2627,$V$2:$V$2627)</f>
        <v/>
      </c>
      <c r="M2642" s="5">
        <f>CORREL(M$2:M$2627,$V$2:$V$2627)</f>
        <v/>
      </c>
      <c r="N2642" s="5">
        <f>CORREL(N$2:N$2627,$V$2:$V$2627)</f>
        <v/>
      </c>
      <c r="O2642" s="5">
        <f>CORREL(O$2:O$2627,$V$2:$V$2627)</f>
        <v/>
      </c>
      <c r="P2642" s="5">
        <f>CORREL(P$2:P$2627,$V$2:$V$2627)</f>
        <v/>
      </c>
      <c r="Q2642" s="5">
        <f>CORREL(Q$2:Q$2627,$V$2:$V$2627)</f>
        <v/>
      </c>
      <c r="R2642" s="5">
        <f>CORREL(R$2:R$2627,$V$2:$V$2627)</f>
        <v/>
      </c>
      <c r="S2642" s="5">
        <f>CORREL(S$2:S$2627,$V$2:$V$2627)</f>
        <v/>
      </c>
      <c r="T2642" s="5">
        <f>CORREL(T$2:T$2627,$V$2:$V$2627)</f>
        <v/>
      </c>
      <c r="U2642" s="5">
        <f>CORREL(U$2:U$2627,$V$2:$V$2627)</f>
        <v/>
      </c>
      <c r="V2642" s="11">
        <f>CORREL(V$2:V$2627,$V$2:$V$2627)</f>
        <v/>
      </c>
      <c r="W2642" s="12">
        <f>CORREL(W$2:W$2627,$V$2:$V$2627)</f>
        <v/>
      </c>
      <c r="X2642" s="12">
        <f>CORREL(X$2:X$2627,$V$2:$V$2627)</f>
        <v/>
      </c>
      <c r="Y2642" s="12">
        <f>CORREL(Y$2:Y$2627,$V$2:$V$2627)</f>
        <v/>
      </c>
      <c r="Z2642" s="5">
        <f>CORREL(Z$2:Z$2627,$V$2:$V$2627)</f>
        <v/>
      </c>
      <c r="AA2642" s="5">
        <f>CORREL(AA$2:AA$2627,$V$2:$V$2627)</f>
        <v/>
      </c>
    </row>
    <row r="2643">
      <c r="A2643" t="inlineStr">
        <is>
          <t>CORR(SPY_UND)</t>
        </is>
      </c>
      <c r="B2643" s="5">
        <f>CORREL(B$2:B$2627,$W$2:$W$2627)</f>
        <v/>
      </c>
      <c r="C2643" s="5">
        <f>CORREL(C$2:C$2627,$W$2:$W$2627)</f>
        <v/>
      </c>
      <c r="D2643" s="5">
        <f>CORREL(D$2:D$2627,$W$2:$W$2627)</f>
        <v/>
      </c>
      <c r="E2643" s="5">
        <f>CORREL(E$2:E$2627,$W$2:$W$2627)</f>
        <v/>
      </c>
      <c r="F2643" s="5">
        <f>CORREL(F$2:F$2627,$W$2:$W$2627)</f>
        <v/>
      </c>
      <c r="G2643" s="5">
        <f>CORREL(G$2:G$2627,$W$2:$W$2627)</f>
        <v/>
      </c>
      <c r="H2643" s="5">
        <f>CORREL(H$2:H$2627,$W$2:$W$2627)</f>
        <v/>
      </c>
      <c r="I2643" s="5">
        <f>CORREL(I$2:I$2627,$W$2:$W$2627)</f>
        <v/>
      </c>
      <c r="J2643" s="5">
        <f>CORREL(J$2:J$2627,$W$2:$W$2627)</f>
        <v/>
      </c>
      <c r="K2643" s="5">
        <f>CORREL(K$2:K$2627,$W$2:$W$2627)</f>
        <v/>
      </c>
      <c r="L2643" s="5">
        <f>CORREL(L$2:L$2627,$W$2:$W$2627)</f>
        <v/>
      </c>
      <c r="M2643" s="5">
        <f>CORREL(M$2:M$2627,$W$2:$W$2627)</f>
        <v/>
      </c>
      <c r="N2643" s="5">
        <f>CORREL(N$2:N$2627,$W$2:$W$2627)</f>
        <v/>
      </c>
      <c r="O2643" s="5">
        <f>CORREL(O$2:O$2627,$W$2:$W$2627)</f>
        <v/>
      </c>
      <c r="P2643" s="5">
        <f>CORREL(P$2:P$2627,$W$2:$W$2627)</f>
        <v/>
      </c>
      <c r="Q2643" s="5">
        <f>CORREL(Q$2:Q$2627,$W$2:$W$2627)</f>
        <v/>
      </c>
      <c r="R2643" s="5">
        <f>CORREL(R$2:R$2627,$W$2:$W$2627)</f>
        <v/>
      </c>
      <c r="S2643" s="5">
        <f>CORREL(S$2:S$2627,$W$2:$W$2627)</f>
        <v/>
      </c>
      <c r="T2643" s="5">
        <f>CORREL(T$2:T$2627,$W$2:$W$2627)</f>
        <v/>
      </c>
      <c r="U2643" s="5">
        <f>CORREL(U$2:U$2627,$W$2:$W$2627)</f>
        <v/>
      </c>
      <c r="V2643" s="12">
        <f>CORREL(V$2:V$2627,$W$2:$W$2627)</f>
        <v/>
      </c>
      <c r="W2643" s="11">
        <f>CORREL(W$2:W$2627,$W$2:$W$2627)</f>
        <v/>
      </c>
      <c r="X2643" s="12">
        <f>CORREL(X$2:X$2627,$W$2:$W$2627)</f>
        <v/>
      </c>
      <c r="Y2643" s="12">
        <f>CORREL(Y$2:Y$2627,$W$2:$W$2627)</f>
        <v/>
      </c>
      <c r="Z2643" s="6">
        <f>CORREL(Z$2:Z$2627,$W$2:$W$2627)</f>
        <v/>
      </c>
      <c r="AA2643" s="6">
        <f>CORREL(AA$2:AA$2627,$W$2:$W$2627)</f>
        <v/>
      </c>
    </row>
    <row r="2644">
      <c r="A2644" t="inlineStr">
        <is>
          <t>CORR(VIX_CHG)</t>
        </is>
      </c>
      <c r="B2644" s="5">
        <f>CORREL(B$2:B$2627,$X$2:$X$2627)</f>
        <v/>
      </c>
      <c r="C2644" s="5">
        <f>CORREL(C$2:C$2627,$X$2:$X$2627)</f>
        <v/>
      </c>
      <c r="D2644" s="5">
        <f>CORREL(D$2:D$2627,$X$2:$X$2627)</f>
        <v/>
      </c>
      <c r="E2644" s="5">
        <f>CORREL(E$2:E$2627,$X$2:$X$2627)</f>
        <v/>
      </c>
      <c r="F2644" s="5">
        <f>CORREL(F$2:F$2627,$X$2:$X$2627)</f>
        <v/>
      </c>
      <c r="G2644" s="5">
        <f>CORREL(G$2:G$2627,$X$2:$X$2627)</f>
        <v/>
      </c>
      <c r="H2644" s="5">
        <f>CORREL(H$2:H$2627,$X$2:$X$2627)</f>
        <v/>
      </c>
      <c r="I2644" s="5">
        <f>CORREL(I$2:I$2627,$X$2:$X$2627)</f>
        <v/>
      </c>
      <c r="J2644" s="5">
        <f>CORREL(J$2:J$2627,$X$2:$X$2627)</f>
        <v/>
      </c>
      <c r="K2644" s="5">
        <f>CORREL(K$2:K$2627,$X$2:$X$2627)</f>
        <v/>
      </c>
      <c r="L2644" s="5">
        <f>CORREL(L$2:L$2627,$X$2:$X$2627)</f>
        <v/>
      </c>
      <c r="M2644" s="5">
        <f>CORREL(M$2:M$2627,$X$2:$X$2627)</f>
        <v/>
      </c>
      <c r="N2644" s="5">
        <f>CORREL(N$2:N$2627,$X$2:$X$2627)</f>
        <v/>
      </c>
      <c r="O2644" s="5">
        <f>CORREL(O$2:O$2627,$X$2:$X$2627)</f>
        <v/>
      </c>
      <c r="P2644" s="5">
        <f>CORREL(P$2:P$2627,$X$2:$X$2627)</f>
        <v/>
      </c>
      <c r="Q2644" s="5">
        <f>CORREL(Q$2:Q$2627,$X$2:$X$2627)</f>
        <v/>
      </c>
      <c r="R2644" s="5">
        <f>CORREL(R$2:R$2627,$X$2:$X$2627)</f>
        <v/>
      </c>
      <c r="S2644" s="5">
        <f>CORREL(S$2:S$2627,$X$2:$X$2627)</f>
        <v/>
      </c>
      <c r="T2644" s="5">
        <f>CORREL(T$2:T$2627,$X$2:$X$2627)</f>
        <v/>
      </c>
      <c r="U2644" s="5">
        <f>CORREL(U$2:U$2627,$X$2:$X$2627)</f>
        <v/>
      </c>
      <c r="V2644" s="12">
        <f>CORREL(V$2:V$2627,$X$2:$X$2627)</f>
        <v/>
      </c>
      <c r="W2644" s="12">
        <f>CORREL(W$2:W$2627,$X$2:$X$2627)</f>
        <v/>
      </c>
      <c r="X2644" s="11">
        <f>CORREL(X$2:X$2627,$X$2:$X$2627)</f>
        <v/>
      </c>
      <c r="Y2644" s="12">
        <f>CORREL(Y$2:Y$2627,$X$2:$X$2627)</f>
        <v/>
      </c>
      <c r="Z2644" s="5">
        <f>CORREL(Z$2:Z$2627,$X$2:$X$2627)</f>
        <v/>
      </c>
      <c r="AA2644" s="5">
        <f>CORREL(AA$2:AA$2627,$X$2:$X$2627)</f>
        <v/>
      </c>
    </row>
    <row r="2645">
      <c r="A2645" t="inlineStr">
        <is>
          <t>CORR(VIX_LEV)</t>
        </is>
      </c>
      <c r="B2645" s="5">
        <f>CORREL(B$2:B$2627,$Y$2:$Y$2627)</f>
        <v/>
      </c>
      <c r="C2645" s="5">
        <f>CORREL(C$2:C$2627,$Y$2:$Y$2627)</f>
        <v/>
      </c>
      <c r="D2645" s="5">
        <f>CORREL(D$2:D$2627,$Y$2:$Y$2627)</f>
        <v/>
      </c>
      <c r="E2645" s="5">
        <f>CORREL(E$2:E$2627,$Y$2:$Y$2627)</f>
        <v/>
      </c>
      <c r="F2645" s="5">
        <f>CORREL(F$2:F$2627,$Y$2:$Y$2627)</f>
        <v/>
      </c>
      <c r="G2645" s="5">
        <f>CORREL(G$2:G$2627,$Y$2:$Y$2627)</f>
        <v/>
      </c>
      <c r="H2645" s="5">
        <f>CORREL(H$2:H$2627,$Y$2:$Y$2627)</f>
        <v/>
      </c>
      <c r="I2645" s="5">
        <f>CORREL(I$2:I$2627,$Y$2:$Y$2627)</f>
        <v/>
      </c>
      <c r="J2645" s="5">
        <f>CORREL(J$2:J$2627,$Y$2:$Y$2627)</f>
        <v/>
      </c>
      <c r="K2645" s="5">
        <f>CORREL(K$2:K$2627,$Y$2:$Y$2627)</f>
        <v/>
      </c>
      <c r="L2645" s="5">
        <f>CORREL(L$2:L$2627,$Y$2:$Y$2627)</f>
        <v/>
      </c>
      <c r="M2645" s="5">
        <f>CORREL(M$2:M$2627,$Y$2:$Y$2627)</f>
        <v/>
      </c>
      <c r="N2645" s="5">
        <f>CORREL(N$2:N$2627,$Y$2:$Y$2627)</f>
        <v/>
      </c>
      <c r="O2645" s="5">
        <f>CORREL(O$2:O$2627,$Y$2:$Y$2627)</f>
        <v/>
      </c>
      <c r="P2645" s="5">
        <f>CORREL(P$2:P$2627,$Y$2:$Y$2627)</f>
        <v/>
      </c>
      <c r="Q2645" s="5">
        <f>CORREL(Q$2:Q$2627,$Y$2:$Y$2627)</f>
        <v/>
      </c>
      <c r="R2645" s="5">
        <f>CORREL(R$2:R$2627,$Y$2:$Y$2627)</f>
        <v/>
      </c>
      <c r="S2645" s="5">
        <f>CORREL(S$2:S$2627,$Y$2:$Y$2627)</f>
        <v/>
      </c>
      <c r="T2645" s="5">
        <f>CORREL(T$2:T$2627,$Y$2:$Y$2627)</f>
        <v/>
      </c>
      <c r="U2645" s="5">
        <f>CORREL(U$2:U$2627,$Y$2:$Y$2627)</f>
        <v/>
      </c>
      <c r="V2645" s="12">
        <f>CORREL(V$2:V$2627,$Y$2:$Y$2627)</f>
        <v/>
      </c>
      <c r="W2645" s="12">
        <f>CORREL(W$2:W$2627,$Y$2:$Y$2627)</f>
        <v/>
      </c>
      <c r="X2645" s="12">
        <f>CORREL(X$2:X$2627,$Y$2:$Y$2627)</f>
        <v/>
      </c>
      <c r="Y2645" s="11">
        <f>CORREL(Y$2:Y$2627,$Y$2:$Y$2627)</f>
        <v/>
      </c>
      <c r="Z2645" s="5">
        <f>CORREL(Z$2:Z$2627,$Y$2:$Y$2627)</f>
        <v/>
      </c>
      <c r="AA2645" s="5">
        <f>CORREL(AA$2:AA$2627,$Y$2:$Y$2627)</f>
        <v/>
      </c>
    </row>
    <row r="2646"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5" t="n"/>
      <c r="M2646" s="5" t="n"/>
      <c r="N2646" s="5" t="n"/>
      <c r="O2646" s="5" t="n"/>
      <c r="P2646" s="5" t="n"/>
      <c r="Q2646" s="5" t="n"/>
      <c r="R2646" s="5" t="n"/>
      <c r="S2646" s="5" t="n"/>
      <c r="T2646" s="5" t="n"/>
      <c r="U2646" s="5" t="n"/>
      <c r="V2646" s="12" t="n"/>
      <c r="W2646" s="12" t="n"/>
      <c r="X2646" s="12" t="n"/>
      <c r="Y2646" s="11" t="n"/>
      <c r="Z2646" s="5" t="n"/>
    </row>
    <row r="2647">
      <c r="A2647" s="8" t="inlineStr">
        <is>
          <t>EQ</t>
        </is>
      </c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5" t="n"/>
      <c r="M2647" s="5" t="n"/>
      <c r="N2647" s="5" t="n"/>
      <c r="O2647" s="5" t="n"/>
      <c r="P2647" s="5" t="n"/>
      <c r="Q2647" s="5" t="n"/>
      <c r="R2647" s="5" t="n"/>
      <c r="S2647" s="5" t="n"/>
      <c r="T2647" s="5" t="n"/>
      <c r="U2647" s="5" t="n"/>
      <c r="V2647" s="12" t="n"/>
      <c r="W2647" s="12" t="n"/>
      <c r="X2647" s="12" t="n"/>
      <c r="Y2647" s="11" t="n"/>
      <c r="Z2647" s="5" t="n"/>
    </row>
    <row r="2648">
      <c r="A2648" t="inlineStr">
        <is>
          <t>PRE_WGTS</t>
        </is>
      </c>
      <c r="B2648" s="7" t="n"/>
      <c r="C2648" s="7" t="n">
        <v>1</v>
      </c>
      <c r="D2648" s="7" t="n">
        <v>1</v>
      </c>
      <c r="E2648" s="7" t="n">
        <v>1</v>
      </c>
      <c r="F2648" s="7" t="n">
        <v>1</v>
      </c>
      <c r="G2648" s="7" t="n">
        <v>1</v>
      </c>
      <c r="H2648" s="7" t="n">
        <v>1</v>
      </c>
      <c r="I2648" s="7" t="n">
        <v>1</v>
      </c>
      <c r="J2648" s="7" t="n">
        <v>1</v>
      </c>
      <c r="K2648" s="7" t="n">
        <v>1</v>
      </c>
      <c r="L2648" s="7" t="n">
        <v>1</v>
      </c>
      <c r="M2648" s="7" t="n">
        <v>1</v>
      </c>
      <c r="N2648" s="7" t="n"/>
      <c r="O2648" s="7" t="n">
        <v>1</v>
      </c>
      <c r="P2648" s="7" t="n">
        <v>1</v>
      </c>
      <c r="Q2648" s="7" t="n">
        <v>1</v>
      </c>
      <c r="R2648" s="7" t="n">
        <v>1</v>
      </c>
      <c r="S2648" s="7" t="n">
        <v>1</v>
      </c>
      <c r="T2648" s="7" t="n">
        <v>1</v>
      </c>
      <c r="U2648" s="7" t="n">
        <v>1</v>
      </c>
    </row>
    <row r="2649">
      <c r="A2649" t="inlineStr">
        <is>
          <t>EQ_WGT</t>
        </is>
      </c>
      <c r="B2649" s="5">
        <f>B2648/SUM($B$2648:$U$2648)</f>
        <v/>
      </c>
      <c r="C2649" s="5">
        <f>C2648/SUM($B$2648:$U$2648)</f>
        <v/>
      </c>
      <c r="D2649" s="5">
        <f>D2648/SUM($B$2648:$U$2648)</f>
        <v/>
      </c>
      <c r="E2649" s="5">
        <f>E2648/SUM($B$2648:$U$2648)</f>
        <v/>
      </c>
      <c r="F2649" s="5">
        <f>F2648/SUM($B$2648:$U$2648)</f>
        <v/>
      </c>
      <c r="G2649" s="5">
        <f>G2648/SUM($B$2648:$U$2648)</f>
        <v/>
      </c>
      <c r="H2649" s="5">
        <f>H2648/SUM($B$2648:$U$2648)</f>
        <v/>
      </c>
      <c r="I2649" s="5">
        <f>I2648/SUM($B$2648:$U$2648)</f>
        <v/>
      </c>
      <c r="J2649" s="5">
        <f>J2648/SUM($B$2648:$U$2648)</f>
        <v/>
      </c>
      <c r="K2649" s="5">
        <f>K2648/SUM($B$2648:$U$2648)</f>
        <v/>
      </c>
      <c r="L2649" s="5">
        <f>L2648/SUM($B$2648:$U$2648)</f>
        <v/>
      </c>
      <c r="M2649" s="5">
        <f>M2648/SUM($B$2648:$U$2648)</f>
        <v/>
      </c>
      <c r="N2649" s="5">
        <f>N2648/SUM($B$2648:$U$2648)</f>
        <v/>
      </c>
      <c r="O2649" s="5">
        <f>O2648/SUM($B$2648:$U$2648)</f>
        <v/>
      </c>
      <c r="P2649" s="5">
        <f>P2648/SUM($B$2648:$U$2648)</f>
        <v/>
      </c>
      <c r="Q2649" s="5">
        <f>Q2648/SUM($B$2648:$U$2648)</f>
        <v/>
      </c>
      <c r="R2649" s="5">
        <f>R2648/SUM($B$2648:$U$2648)</f>
        <v/>
      </c>
      <c r="S2649" s="5">
        <f>S2648/SUM($B$2648:$U$2648)</f>
        <v/>
      </c>
      <c r="T2649" s="5">
        <f>T2648/SUM($B$2648:$U$2648)</f>
        <v/>
      </c>
      <c r="U2649" s="5">
        <f>U2648/SUM($B$2648:$U$2648)</f>
        <v/>
      </c>
    </row>
    <row r="2651">
      <c r="A2651" s="8" t="inlineStr">
        <is>
          <t>CORR</t>
        </is>
      </c>
    </row>
    <row r="2652">
      <c r="A2652" t="inlineStr">
        <is>
          <t>PRE_WGTS(LIN</t>
        </is>
      </c>
      <c r="B2652" s="5" t="n"/>
      <c r="C2652" s="5">
        <f>1-(C2642)</f>
        <v/>
      </c>
      <c r="D2652" s="5">
        <f>1-(D2642)</f>
        <v/>
      </c>
      <c r="E2652" s="5">
        <f>1-(E2642)</f>
        <v/>
      </c>
      <c r="F2652" s="5">
        <f>1-(F2642)</f>
        <v/>
      </c>
      <c r="G2652" s="5">
        <f>1-(G2642)</f>
        <v/>
      </c>
      <c r="H2652" s="5">
        <f>1-(H2642)</f>
        <v/>
      </c>
      <c r="I2652" s="5">
        <f>1-(I2642)</f>
        <v/>
      </c>
      <c r="J2652" s="5">
        <f>1-(J2642)</f>
        <v/>
      </c>
      <c r="K2652" s="5">
        <f>1-(K2642)</f>
        <v/>
      </c>
      <c r="L2652" s="5">
        <f>1-(L2642)</f>
        <v/>
      </c>
      <c r="M2652" s="5">
        <f>1-(M2642)</f>
        <v/>
      </c>
      <c r="N2652" s="5">
        <f>1-(N2642)</f>
        <v/>
      </c>
      <c r="O2652" s="5">
        <f>1-(O2642)</f>
        <v/>
      </c>
      <c r="P2652" s="5">
        <f>1-(P2642)</f>
        <v/>
      </c>
      <c r="Q2652" s="5">
        <f>1-(Q2642)</f>
        <v/>
      </c>
      <c r="R2652" s="5">
        <f>1-(R2642)</f>
        <v/>
      </c>
      <c r="S2652" s="5">
        <f>1-(S2642)</f>
        <v/>
      </c>
      <c r="T2652" s="5">
        <f>1-(T2642)</f>
        <v/>
      </c>
      <c r="U2652" s="5">
        <f>1-(U2642)</f>
        <v/>
      </c>
    </row>
    <row r="2653">
      <c r="A2653" t="inlineStr">
        <is>
          <t>PRE_WGTS(SQRT)</t>
        </is>
      </c>
      <c r="B2653" s="5" t="n"/>
      <c r="C2653" s="5">
        <f>1-SQRT(C2642)</f>
        <v/>
      </c>
      <c r="D2653" s="5">
        <f>1-SQRT(D2642)</f>
        <v/>
      </c>
      <c r="E2653" s="5">
        <f>1-SQRT(E2642)</f>
        <v/>
      </c>
      <c r="F2653" s="5">
        <f>1-SQRT(F2642)</f>
        <v/>
      </c>
      <c r="G2653" s="5">
        <f>1-SQRT(G2642)</f>
        <v/>
      </c>
      <c r="H2653" s="5">
        <f>1-SQRT(H2642)</f>
        <v/>
      </c>
      <c r="I2653" s="5">
        <f>1-SQRT(I2642)</f>
        <v/>
      </c>
      <c r="J2653" s="5">
        <f>1-SQRT(J2642)</f>
        <v/>
      </c>
      <c r="K2653" s="5">
        <f>1-SQRT(K2642)</f>
        <v/>
      </c>
      <c r="L2653" s="5">
        <f>1-SQRT(L2642)</f>
        <v/>
      </c>
      <c r="M2653" s="5">
        <f>1-SQRT(M2642)</f>
        <v/>
      </c>
      <c r="N2653" s="5">
        <f>1-SQRT(N2642)</f>
        <v/>
      </c>
      <c r="O2653" s="5">
        <f>1-SQRT(O2642)</f>
        <v/>
      </c>
      <c r="P2653" s="5">
        <f>1-SQRT(P2642)</f>
        <v/>
      </c>
      <c r="Q2653" s="5">
        <f>1-SQRT(Q2642)</f>
        <v/>
      </c>
      <c r="R2653" s="5">
        <f>1-SQRT(R2642)</f>
        <v/>
      </c>
      <c r="S2653" s="5">
        <f>1-SQRT(S2642)</f>
        <v/>
      </c>
      <c r="T2653" s="5">
        <f>1-SQRT(T2642)</f>
        <v/>
      </c>
      <c r="U2653" s="5">
        <f>1-SQRT(U2642)</f>
        <v/>
      </c>
    </row>
    <row r="2654">
      <c r="A2654" t="inlineStr">
        <is>
          <t>PRE_WGTS</t>
        </is>
      </c>
      <c r="B2654" s="7" t="n"/>
      <c r="C2654" s="7">
        <f>C2652</f>
        <v/>
      </c>
      <c r="D2654" s="7">
        <f>D2652</f>
        <v/>
      </c>
      <c r="E2654" s="7">
        <f>E2652</f>
        <v/>
      </c>
      <c r="F2654" s="7">
        <f>F2652</f>
        <v/>
      </c>
      <c r="G2654" s="7">
        <f>G2652</f>
        <v/>
      </c>
      <c r="H2654" s="7">
        <f>H2652</f>
        <v/>
      </c>
      <c r="I2654" s="7">
        <f>I2652</f>
        <v/>
      </c>
      <c r="J2654" s="7">
        <f>J2652</f>
        <v/>
      </c>
      <c r="K2654" s="7">
        <f>K2652</f>
        <v/>
      </c>
      <c r="L2654" s="7">
        <f>L2652</f>
        <v/>
      </c>
      <c r="M2654" s="7">
        <f>M2652</f>
        <v/>
      </c>
      <c r="N2654" s="7">
        <f>N2652</f>
        <v/>
      </c>
      <c r="O2654" s="7">
        <f>O2652</f>
        <v/>
      </c>
      <c r="P2654" s="7">
        <f>P2652</f>
        <v/>
      </c>
      <c r="Q2654" s="7">
        <f>Q2652</f>
        <v/>
      </c>
      <c r="R2654" s="7">
        <f>R2652</f>
        <v/>
      </c>
      <c r="S2654" s="7">
        <f>S2652</f>
        <v/>
      </c>
      <c r="T2654" s="7">
        <f>T2652</f>
        <v/>
      </c>
      <c r="U2654" s="7">
        <f>U2652</f>
        <v/>
      </c>
    </row>
    <row r="2655">
      <c r="A2655" t="inlineStr">
        <is>
          <t>CORR_WGT</t>
        </is>
      </c>
      <c r="B2655" s="5">
        <f>B2654/SUM($B$2648:$U$2648)</f>
        <v/>
      </c>
      <c r="C2655" s="5">
        <f>C2654/SUM($B$2648:$U$2648)</f>
        <v/>
      </c>
      <c r="D2655" s="5">
        <f>D2654/SUM($B$2648:$U$2648)</f>
        <v/>
      </c>
      <c r="E2655" s="5">
        <f>E2654/SUM($B$2648:$U$2648)</f>
        <v/>
      </c>
      <c r="F2655" s="5">
        <f>F2654/SUM($B$2648:$U$2648)</f>
        <v/>
      </c>
      <c r="G2655" s="5">
        <f>G2654/SUM($B$2648:$U$2648)</f>
        <v/>
      </c>
      <c r="H2655" s="5">
        <f>H2654/SUM($B$2648:$U$2648)</f>
        <v/>
      </c>
      <c r="I2655" s="5">
        <f>I2654/SUM($B$2648:$U$2648)</f>
        <v/>
      </c>
      <c r="J2655" s="5">
        <f>J2654/SUM($B$2648:$U$2648)</f>
        <v/>
      </c>
      <c r="K2655" s="5">
        <f>K2654/SUM($B$2648:$U$2648)</f>
        <v/>
      </c>
      <c r="L2655" s="5">
        <f>L2654/SUM($B$2648:$U$2648)</f>
        <v/>
      </c>
      <c r="M2655" s="5">
        <f>M2654/SUM($B$2648:$U$2648)</f>
        <v/>
      </c>
      <c r="N2655" s="5">
        <f>N2654/SUM($B$2648:$U$2648)</f>
        <v/>
      </c>
      <c r="O2655" s="5">
        <f>O2654/SUM($B$2648:$U$2648)</f>
        <v/>
      </c>
      <c r="P2655" s="5">
        <f>P2654/SUM($B$2648:$U$2648)</f>
        <v/>
      </c>
      <c r="Q2655" s="5">
        <f>Q2654/SUM($B$2648:$U$2648)</f>
        <v/>
      </c>
      <c r="R2655" s="5">
        <f>R2654/SUM($B$2648:$U$2648)</f>
        <v/>
      </c>
      <c r="S2655" s="5">
        <f>S2654/SUM($B$2648:$U$2648)</f>
        <v/>
      </c>
      <c r="T2655" s="5">
        <f>T2654/SUM($B$2648:$U$2648)</f>
        <v/>
      </c>
      <c r="U2655" s="5">
        <f>U2654/SUM($B$2648:$U$2648)</f>
        <v/>
      </c>
    </row>
    <row r="2657">
      <c r="E2657" s="13" t="n">
        <v>4</v>
      </c>
      <c r="F2657" s="13" t="n">
        <v>5</v>
      </c>
      <c r="G2657" s="13" t="n">
        <v>6</v>
      </c>
      <c r="H2657" s="13" t="n">
        <v>12</v>
      </c>
      <c r="I2657" s="13" t="n">
        <v>13</v>
      </c>
      <c r="J2657" s="13" t="n">
        <v>7</v>
      </c>
      <c r="K2657" s="13" t="n">
        <v>8</v>
      </c>
    </row>
    <row r="2658" ht="68" customFormat="1" customHeight="1" s="15">
      <c r="E2658" s="17" t="inlineStr">
        <is>
          <t>Mean</t>
        </is>
      </c>
      <c r="F2658" s="17" t="inlineStr">
        <is>
          <t>Std Dev</t>
        </is>
      </c>
      <c r="G2658" s="17" t="inlineStr">
        <is>
          <t>SR</t>
        </is>
      </c>
      <c r="H2658" s="17" t="inlineStr">
        <is>
          <t>Corr with SPY (Strategy)</t>
        </is>
      </c>
      <c r="I2658" s="17" t="inlineStr">
        <is>
          <t>Corr with SPY (Underlying)</t>
        </is>
      </c>
      <c r="J2658" s="17" t="inlineStr">
        <is>
          <t>Skew</t>
        </is>
      </c>
      <c r="K2658" s="17" t="inlineStr">
        <is>
          <t>Kurtosis</t>
        </is>
      </c>
      <c r="V2658" s="16" t="n"/>
      <c r="W2658" s="16" t="n"/>
      <c r="X2658" s="16" t="n"/>
      <c r="Y2658" s="16" t="n"/>
    </row>
    <row r="2659">
      <c r="C2659" s="2">
        <f>D2659&amp;"_hedged"</f>
        <v/>
      </c>
      <c r="D2659" t="inlineStr">
        <is>
          <t>GLD</t>
        </is>
      </c>
      <c r="E2659" s="14">
        <f>HLOOKUP($C2659,$C$2631:$AA$2655,E$2657,FALSE)</f>
        <v/>
      </c>
      <c r="F2659" s="14">
        <f>HLOOKUP($C2659,$C$2631:$AA$2655,F$2657,FALSE)</f>
        <v/>
      </c>
      <c r="G2659" s="14">
        <f>HLOOKUP($C2659,$C$2631:$AA$2655,G$2657,FALSE)</f>
        <v/>
      </c>
      <c r="H2659" s="14">
        <f>HLOOKUP($C2659,$C$2631:$AA$2655,H$2657,FALSE)</f>
        <v/>
      </c>
      <c r="I2659" s="14">
        <f>HLOOKUP($C2659,$C$2631:$AA$2655,I$2657,FALSE)</f>
        <v/>
      </c>
      <c r="J2659" s="22">
        <f>HLOOKUP($C2659,$C$2631:$AA$2655,J$2657,FALSE)</f>
        <v/>
      </c>
      <c r="K2659" s="22">
        <f>HLOOKUP($C2659,$C$2631:$AA$2655,K$2657,FALSE)</f>
        <v/>
      </c>
    </row>
    <row r="2660">
      <c r="C2660" s="2">
        <f>D2660&amp;"_hedged"</f>
        <v/>
      </c>
      <c r="D2660" t="inlineStr">
        <is>
          <t>XLK</t>
        </is>
      </c>
      <c r="E2660" s="14">
        <f>HLOOKUP($C2660,$C$2631:$AA$2655,E$2657,FALSE)</f>
        <v/>
      </c>
      <c r="F2660" s="14">
        <f>HLOOKUP($C2660,$C$2631:$AA$2655,F$2657,FALSE)</f>
        <v/>
      </c>
      <c r="G2660" s="14">
        <f>HLOOKUP($C2660,$C$2631:$AA$2655,G$2657,FALSE)</f>
        <v/>
      </c>
      <c r="H2660" s="14">
        <f>HLOOKUP($C2660,$C$2631:$AA$2655,H$2657,FALSE)</f>
        <v/>
      </c>
      <c r="I2660" s="14">
        <f>HLOOKUP($C2660,$C$2631:$AA$2655,I$2657,FALSE)</f>
        <v/>
      </c>
      <c r="J2660" s="22">
        <f>HLOOKUP($C2660,$C$2631:$AA$2655,J$2657,FALSE)</f>
        <v/>
      </c>
      <c r="K2660" s="22">
        <f>HLOOKUP($C2660,$C$2631:$AA$2655,K$2657,FALSE)</f>
        <v/>
      </c>
    </row>
    <row r="2661">
      <c r="C2661" s="2">
        <f>D2661&amp;"_hedged"</f>
        <v/>
      </c>
      <c r="D2661" t="inlineStr">
        <is>
          <t>IWM</t>
        </is>
      </c>
      <c r="E2661" s="14">
        <f>HLOOKUP($C2661,$C$2631:$AA$2655,E$2657,FALSE)</f>
        <v/>
      </c>
      <c r="F2661" s="14">
        <f>HLOOKUP($C2661,$C$2631:$AA$2655,F$2657,FALSE)</f>
        <v/>
      </c>
      <c r="G2661" s="14">
        <f>HLOOKUP($C2661,$C$2631:$AA$2655,G$2657,FALSE)</f>
        <v/>
      </c>
      <c r="H2661" s="14">
        <f>HLOOKUP($C2661,$C$2631:$AA$2655,H$2657,FALSE)</f>
        <v/>
      </c>
      <c r="I2661" s="14">
        <f>HLOOKUP($C2661,$C$2631:$AA$2655,I$2657,FALSE)</f>
        <v/>
      </c>
      <c r="J2661" s="22">
        <f>HLOOKUP($C2661,$C$2631:$AA$2655,J$2657,FALSE)</f>
        <v/>
      </c>
      <c r="K2661" s="22">
        <f>HLOOKUP($C2661,$C$2631:$AA$2655,K$2657,FALSE)</f>
        <v/>
      </c>
    </row>
    <row r="2662">
      <c r="C2662" s="2">
        <f>D2662&amp;"_hedged"</f>
        <v/>
      </c>
      <c r="D2662" t="inlineStr">
        <is>
          <t>EFA</t>
        </is>
      </c>
      <c r="E2662" s="14">
        <f>HLOOKUP($C2662,$C$2631:$AA$2655,E$2657,FALSE)</f>
        <v/>
      </c>
      <c r="F2662" s="14">
        <f>HLOOKUP($C2662,$C$2631:$AA$2655,F$2657,FALSE)</f>
        <v/>
      </c>
      <c r="G2662" s="14">
        <f>HLOOKUP($C2662,$C$2631:$AA$2655,G$2657,FALSE)</f>
        <v/>
      </c>
      <c r="H2662" s="14">
        <f>HLOOKUP($C2662,$C$2631:$AA$2655,H$2657,FALSE)</f>
        <v/>
      </c>
      <c r="I2662" s="14">
        <f>HLOOKUP($C2662,$C$2631:$AA$2655,I$2657,FALSE)</f>
        <v/>
      </c>
      <c r="J2662" s="22">
        <f>HLOOKUP($C2662,$C$2631:$AA$2655,J$2657,FALSE)</f>
        <v/>
      </c>
      <c r="K2662" s="22">
        <f>HLOOKUP($C2662,$C$2631:$AA$2655,K$2657,FALSE)</f>
        <v/>
      </c>
    </row>
    <row r="2663">
      <c r="C2663" s="2">
        <f>D2663&amp;"_hedged"</f>
        <v/>
      </c>
      <c r="D2663" t="inlineStr">
        <is>
          <t>XLF</t>
        </is>
      </c>
      <c r="E2663" s="14">
        <f>HLOOKUP($C2663,$C$2631:$AA$2655,E$2657,FALSE)</f>
        <v/>
      </c>
      <c r="F2663" s="14">
        <f>HLOOKUP($C2663,$C$2631:$AA$2655,F$2657,FALSE)</f>
        <v/>
      </c>
      <c r="G2663" s="14">
        <f>HLOOKUP($C2663,$C$2631:$AA$2655,G$2657,FALSE)</f>
        <v/>
      </c>
      <c r="H2663" s="14">
        <f>HLOOKUP($C2663,$C$2631:$AA$2655,H$2657,FALSE)</f>
        <v/>
      </c>
      <c r="I2663" s="14">
        <f>HLOOKUP($C2663,$C$2631:$AA$2655,I$2657,FALSE)</f>
        <v/>
      </c>
      <c r="J2663" s="22">
        <f>HLOOKUP($C2663,$C$2631:$AA$2655,J$2657,FALSE)</f>
        <v/>
      </c>
      <c r="K2663" s="22">
        <f>HLOOKUP($C2663,$C$2631:$AA$2655,K$2657,FALSE)</f>
        <v/>
      </c>
    </row>
    <row r="2664">
      <c r="C2664" s="2">
        <f>D2664&amp;"_hedged"</f>
        <v/>
      </c>
      <c r="D2664" t="inlineStr">
        <is>
          <t>TLT</t>
        </is>
      </c>
      <c r="E2664" s="14">
        <f>HLOOKUP($C2664,$C$2631:$AA$2655,E$2657,FALSE)</f>
        <v/>
      </c>
      <c r="F2664" s="14">
        <f>HLOOKUP($C2664,$C$2631:$AA$2655,F$2657,FALSE)</f>
        <v/>
      </c>
      <c r="G2664" s="14">
        <f>HLOOKUP($C2664,$C$2631:$AA$2655,G$2657,FALSE)</f>
        <v/>
      </c>
      <c r="H2664" s="14">
        <f>HLOOKUP($C2664,$C$2631:$AA$2655,H$2657,FALSE)</f>
        <v/>
      </c>
      <c r="I2664" s="14">
        <f>HLOOKUP($C2664,$C$2631:$AA$2655,I$2657,FALSE)</f>
        <v/>
      </c>
      <c r="J2664" s="22">
        <f>HLOOKUP($C2664,$C$2631:$AA$2655,J$2657,FALSE)</f>
        <v/>
      </c>
      <c r="K2664" s="22">
        <f>HLOOKUP($C2664,$C$2631:$AA$2655,K$2657,FALSE)</f>
        <v/>
      </c>
    </row>
    <row r="2665">
      <c r="C2665" s="2">
        <f>D2665&amp;"_hedged"</f>
        <v/>
      </c>
      <c r="D2665" t="inlineStr">
        <is>
          <t>DIA</t>
        </is>
      </c>
      <c r="E2665" s="14">
        <f>HLOOKUP($C2665,$C$2631:$AA$2655,E$2657,FALSE)</f>
        <v/>
      </c>
      <c r="F2665" s="14">
        <f>HLOOKUP($C2665,$C$2631:$AA$2655,F$2657,FALSE)</f>
        <v/>
      </c>
      <c r="G2665" s="14">
        <f>HLOOKUP($C2665,$C$2631:$AA$2655,G$2657,FALSE)</f>
        <v/>
      </c>
      <c r="H2665" s="14">
        <f>HLOOKUP($C2665,$C$2631:$AA$2655,H$2657,FALSE)</f>
        <v/>
      </c>
      <c r="I2665" s="14">
        <f>HLOOKUP($C2665,$C$2631:$AA$2655,I$2657,FALSE)</f>
        <v/>
      </c>
      <c r="J2665" s="22">
        <f>HLOOKUP($C2665,$C$2631:$AA$2655,J$2657,FALSE)</f>
        <v/>
      </c>
      <c r="K2665" s="22">
        <f>HLOOKUP($C2665,$C$2631:$AA$2655,K$2657,FALSE)</f>
        <v/>
      </c>
    </row>
    <row r="2666">
      <c r="C2666" s="2">
        <f>D2666&amp;"_hedged"</f>
        <v/>
      </c>
      <c r="D2666" t="inlineStr">
        <is>
          <t>IEF</t>
        </is>
      </c>
      <c r="E2666" s="14">
        <f>HLOOKUP($C2666,$C$2631:$AA$2655,E$2657,FALSE)</f>
        <v/>
      </c>
      <c r="F2666" s="14">
        <f>HLOOKUP($C2666,$C$2631:$AA$2655,F$2657,FALSE)</f>
        <v/>
      </c>
      <c r="G2666" s="14">
        <f>HLOOKUP($C2666,$C$2631:$AA$2655,G$2657,FALSE)</f>
        <v/>
      </c>
      <c r="H2666" s="14">
        <f>HLOOKUP($C2666,$C$2631:$AA$2655,H$2657,FALSE)</f>
        <v/>
      </c>
      <c r="I2666" s="14">
        <f>HLOOKUP($C2666,$C$2631:$AA$2655,I$2657,FALSE)</f>
        <v/>
      </c>
      <c r="J2666" s="22">
        <f>HLOOKUP($C2666,$C$2631:$AA$2655,J$2657,FALSE)</f>
        <v/>
      </c>
      <c r="K2666" s="22">
        <f>HLOOKUP($C2666,$C$2631:$AA$2655,K$2657,FALSE)</f>
        <v/>
      </c>
    </row>
    <row r="2667">
      <c r="C2667" s="2">
        <f>D2667&amp;"_hedged"</f>
        <v/>
      </c>
      <c r="D2667" t="inlineStr">
        <is>
          <t>LQD</t>
        </is>
      </c>
      <c r="E2667" s="14">
        <f>HLOOKUP($C2667,$C$2631:$AA$2655,E$2657,FALSE)</f>
        <v/>
      </c>
      <c r="F2667" s="14">
        <f>HLOOKUP($C2667,$C$2631:$AA$2655,F$2657,FALSE)</f>
        <v/>
      </c>
      <c r="G2667" s="14">
        <f>HLOOKUP($C2667,$C$2631:$AA$2655,G$2657,FALSE)</f>
        <v/>
      </c>
      <c r="H2667" s="14">
        <f>HLOOKUP($C2667,$C$2631:$AA$2655,H$2657,FALSE)</f>
        <v/>
      </c>
      <c r="I2667" s="14">
        <f>HLOOKUP($C2667,$C$2631:$AA$2655,I$2657,FALSE)</f>
        <v/>
      </c>
      <c r="J2667" s="22">
        <f>HLOOKUP($C2667,$C$2631:$AA$2655,J$2657,FALSE)</f>
        <v/>
      </c>
      <c r="K2667" s="22">
        <f>HLOOKUP($C2667,$C$2631:$AA$2655,K$2657,FALSE)</f>
        <v/>
      </c>
    </row>
    <row r="2668">
      <c r="C2668" s="2">
        <f>D2668&amp;"_hedged"</f>
        <v/>
      </c>
      <c r="D2668" t="inlineStr">
        <is>
          <t>XLE</t>
        </is>
      </c>
      <c r="E2668" s="14">
        <f>HLOOKUP($C2668,$C$2631:$AA$2655,E$2657,FALSE)</f>
        <v/>
      </c>
      <c r="F2668" s="14">
        <f>HLOOKUP($C2668,$C$2631:$AA$2655,F$2657,FALSE)</f>
        <v/>
      </c>
      <c r="G2668" s="14">
        <f>HLOOKUP($C2668,$C$2631:$AA$2655,G$2657,FALSE)</f>
        <v/>
      </c>
      <c r="H2668" s="14">
        <f>HLOOKUP($C2668,$C$2631:$AA$2655,H$2657,FALSE)</f>
        <v/>
      </c>
      <c r="I2668" s="14">
        <f>HLOOKUP($C2668,$C$2631:$AA$2655,I$2657,FALSE)</f>
        <v/>
      </c>
      <c r="J2668" s="22">
        <f>HLOOKUP($C2668,$C$2631:$AA$2655,J$2657,FALSE)</f>
        <v/>
      </c>
      <c r="K2668" s="22">
        <f>HLOOKUP($C2668,$C$2631:$AA$2655,K$2657,FALSE)</f>
        <v/>
      </c>
    </row>
    <row r="2669">
      <c r="C2669" s="2">
        <f>D2669&amp;"_hedged"</f>
        <v/>
      </c>
      <c r="D2669" t="inlineStr">
        <is>
          <t>XLY</t>
        </is>
      </c>
      <c r="E2669" s="14">
        <f>HLOOKUP($C2669,$C$2631:$AA$2655,E$2657,FALSE)</f>
        <v/>
      </c>
      <c r="F2669" s="14">
        <f>HLOOKUP($C2669,$C$2631:$AA$2655,F$2657,FALSE)</f>
        <v/>
      </c>
      <c r="G2669" s="14">
        <f>HLOOKUP($C2669,$C$2631:$AA$2655,G$2657,FALSE)</f>
        <v/>
      </c>
      <c r="H2669" s="14">
        <f>HLOOKUP($C2669,$C$2631:$AA$2655,H$2657,FALSE)</f>
        <v/>
      </c>
      <c r="I2669" s="14">
        <f>HLOOKUP($C2669,$C$2631:$AA$2655,I$2657,FALSE)</f>
        <v/>
      </c>
      <c r="J2669" s="22">
        <f>HLOOKUP($C2669,$C$2631:$AA$2655,J$2657,FALSE)</f>
        <v/>
      </c>
      <c r="K2669" s="22">
        <f>HLOOKUP($C2669,$C$2631:$AA$2655,K$2657,FALSE)</f>
        <v/>
      </c>
    </row>
    <row r="2670">
      <c r="C2670" s="2">
        <f>D2670&amp;"_hedged"</f>
        <v/>
      </c>
      <c r="D2670" t="inlineStr">
        <is>
          <t>XLI</t>
        </is>
      </c>
      <c r="E2670" s="14">
        <f>HLOOKUP($C2670,$C$2631:$AA$2655,E$2657,FALSE)</f>
        <v/>
      </c>
      <c r="F2670" s="14">
        <f>HLOOKUP($C2670,$C$2631:$AA$2655,F$2657,FALSE)</f>
        <v/>
      </c>
      <c r="G2670" s="14">
        <f>HLOOKUP($C2670,$C$2631:$AA$2655,G$2657,FALSE)</f>
        <v/>
      </c>
      <c r="H2670" s="14">
        <f>HLOOKUP($C2670,$C$2631:$AA$2655,H$2657,FALSE)</f>
        <v/>
      </c>
      <c r="I2670" s="14">
        <f>HLOOKUP($C2670,$C$2631:$AA$2655,I$2657,FALSE)</f>
        <v/>
      </c>
      <c r="J2670" s="22">
        <f>HLOOKUP($C2670,$C$2631:$AA$2655,J$2657,FALSE)</f>
        <v/>
      </c>
      <c r="K2670" s="22">
        <f>HLOOKUP($C2670,$C$2631:$AA$2655,K$2657,FALSE)</f>
        <v/>
      </c>
    </row>
    <row r="2671">
      <c r="C2671" s="2">
        <f>D2671&amp;"_hedged"</f>
        <v/>
      </c>
      <c r="D2671" t="inlineStr">
        <is>
          <t>XLU</t>
        </is>
      </c>
      <c r="E2671" s="14">
        <f>HLOOKUP($C2671,$C$2631:$AA$2655,E$2657,FALSE)</f>
        <v/>
      </c>
      <c r="F2671" s="14">
        <f>HLOOKUP($C2671,$C$2631:$AA$2655,F$2657,FALSE)</f>
        <v/>
      </c>
      <c r="G2671" s="14">
        <f>HLOOKUP($C2671,$C$2631:$AA$2655,G$2657,FALSE)</f>
        <v/>
      </c>
      <c r="H2671" s="14">
        <f>HLOOKUP($C2671,$C$2631:$AA$2655,H$2657,FALSE)</f>
        <v/>
      </c>
      <c r="I2671" s="14">
        <f>HLOOKUP($C2671,$C$2631:$AA$2655,I$2657,FALSE)</f>
        <v/>
      </c>
      <c r="J2671" s="22">
        <f>HLOOKUP($C2671,$C$2631:$AA$2655,J$2657,FALSE)</f>
        <v/>
      </c>
      <c r="K2671" s="22">
        <f>HLOOKUP($C2671,$C$2631:$AA$2655,K$2657,FALSE)</f>
        <v/>
      </c>
    </row>
    <row r="2672">
      <c r="C2672" s="2">
        <f>D2672&amp;"_hedged"</f>
        <v/>
      </c>
      <c r="D2672" t="inlineStr">
        <is>
          <t>EEM</t>
        </is>
      </c>
      <c r="E2672" s="14">
        <f>HLOOKUP($C2672,$C$2631:$AA$2655,E$2657,FALSE)</f>
        <v/>
      </c>
      <c r="F2672" s="14">
        <f>HLOOKUP($C2672,$C$2631:$AA$2655,F$2657,FALSE)</f>
        <v/>
      </c>
      <c r="G2672" s="14">
        <f>HLOOKUP($C2672,$C$2631:$AA$2655,G$2657,FALSE)</f>
        <v/>
      </c>
      <c r="H2672" s="14">
        <f>HLOOKUP($C2672,$C$2631:$AA$2655,H$2657,FALSE)</f>
        <v/>
      </c>
      <c r="I2672" s="14">
        <f>HLOOKUP($C2672,$C$2631:$AA$2655,I$2657,FALSE)</f>
        <v/>
      </c>
      <c r="J2672" s="22">
        <f>HLOOKUP($C2672,$C$2631:$AA$2655,J$2657,FALSE)</f>
        <v/>
      </c>
      <c r="K2672" s="22">
        <f>HLOOKUP($C2672,$C$2631:$AA$2655,K$2657,FALSE)</f>
        <v/>
      </c>
    </row>
    <row r="2673">
      <c r="C2673" s="2">
        <f>D2673&amp;"_hedged"</f>
        <v/>
      </c>
      <c r="D2673" t="inlineStr">
        <is>
          <t>SLV</t>
        </is>
      </c>
      <c r="E2673" s="14">
        <f>HLOOKUP($C2673,$C$2631:$AA$2655,E$2657,FALSE)</f>
        <v/>
      </c>
      <c r="F2673" s="14">
        <f>HLOOKUP($C2673,$C$2631:$AA$2655,F$2657,FALSE)</f>
        <v/>
      </c>
      <c r="G2673" s="14">
        <f>HLOOKUP($C2673,$C$2631:$AA$2655,G$2657,FALSE)</f>
        <v/>
      </c>
      <c r="H2673" s="14">
        <f>HLOOKUP($C2673,$C$2631:$AA$2655,H$2657,FALSE)</f>
        <v/>
      </c>
      <c r="I2673" s="14">
        <f>HLOOKUP($C2673,$C$2631:$AA$2655,I$2657,FALSE)</f>
        <v/>
      </c>
      <c r="J2673" s="22">
        <f>HLOOKUP($C2673,$C$2631:$AA$2655,J$2657,FALSE)</f>
        <v/>
      </c>
      <c r="K2673" s="22">
        <f>HLOOKUP($C2673,$C$2631:$AA$2655,K$2657,FALSE)</f>
        <v/>
      </c>
    </row>
    <row r="2674">
      <c r="C2674" s="2">
        <f>D2674&amp;"_hedged"</f>
        <v/>
      </c>
      <c r="D2674" t="inlineStr">
        <is>
          <t>HYG</t>
        </is>
      </c>
      <c r="E2674" s="14">
        <f>HLOOKUP($C2674,$C$2631:$AA$2655,E$2657,FALSE)</f>
        <v/>
      </c>
      <c r="F2674" s="14">
        <f>HLOOKUP($C2674,$C$2631:$AA$2655,F$2657,FALSE)</f>
        <v/>
      </c>
      <c r="G2674" s="14">
        <f>HLOOKUP($C2674,$C$2631:$AA$2655,G$2657,FALSE)</f>
        <v/>
      </c>
      <c r="H2674" s="14">
        <f>HLOOKUP($C2674,$C$2631:$AA$2655,H$2657,FALSE)</f>
        <v/>
      </c>
      <c r="I2674" s="14">
        <f>HLOOKUP($C2674,$C$2631:$AA$2655,I$2657,FALSE)</f>
        <v/>
      </c>
      <c r="J2674" s="22">
        <f>HLOOKUP($C2674,$C$2631:$AA$2655,J$2657,FALSE)</f>
        <v/>
      </c>
      <c r="K2674" s="22">
        <f>HLOOKUP($C2674,$C$2631:$AA$2655,K$2657,FALSE)</f>
        <v/>
      </c>
    </row>
    <row r="2675">
      <c r="C2675" s="2">
        <f>D2675&amp;"_hedged"</f>
        <v/>
      </c>
      <c r="D2675" t="inlineStr">
        <is>
          <t>XLP</t>
        </is>
      </c>
      <c r="E2675" s="14">
        <f>HLOOKUP($C2675,$C$2631:$AA$2655,E$2657,FALSE)</f>
        <v/>
      </c>
      <c r="F2675" s="14">
        <f>HLOOKUP($C2675,$C$2631:$AA$2655,F$2657,FALSE)</f>
        <v/>
      </c>
      <c r="G2675" s="14">
        <f>HLOOKUP($C2675,$C$2631:$AA$2655,G$2657,FALSE)</f>
        <v/>
      </c>
      <c r="H2675" s="14">
        <f>HLOOKUP($C2675,$C$2631:$AA$2655,H$2657,FALSE)</f>
        <v/>
      </c>
      <c r="I2675" s="14">
        <f>HLOOKUP($C2675,$C$2631:$AA$2655,I$2657,FALSE)</f>
        <v/>
      </c>
      <c r="J2675" s="22">
        <f>HLOOKUP($C2675,$C$2631:$AA$2655,J$2657,FALSE)</f>
        <v/>
      </c>
      <c r="K2675" s="22">
        <f>HLOOKUP($C2675,$C$2631:$AA$2655,K$2657,FALSE)</f>
        <v/>
      </c>
    </row>
    <row r="2676">
      <c r="C2676" s="2">
        <f>D2676&amp;"_hedged"</f>
        <v/>
      </c>
      <c r="D2676" t="inlineStr">
        <is>
          <t>XLB</t>
        </is>
      </c>
      <c r="E2676" s="14">
        <f>HLOOKUP($C2676,$C$2631:$AA$2655,E$2657,FALSE)</f>
        <v/>
      </c>
      <c r="F2676" s="14">
        <f>HLOOKUP($C2676,$C$2631:$AA$2655,F$2657,FALSE)</f>
        <v/>
      </c>
      <c r="G2676" s="14">
        <f>HLOOKUP($C2676,$C$2631:$AA$2655,G$2657,FALSE)</f>
        <v/>
      </c>
      <c r="H2676" s="14">
        <f>HLOOKUP($C2676,$C$2631:$AA$2655,H$2657,FALSE)</f>
        <v/>
      </c>
      <c r="I2676" s="14">
        <f>HLOOKUP($C2676,$C$2631:$AA$2655,I$2657,FALSE)</f>
        <v/>
      </c>
      <c r="J2676" s="22">
        <f>HLOOKUP($C2676,$C$2631:$AA$2655,J$2657,FALSE)</f>
        <v/>
      </c>
      <c r="K2676" s="22">
        <f>HLOOKUP($C2676,$C$2631:$AA$2655,K$2657,FALSE)</f>
        <v/>
      </c>
    </row>
    <row r="2677">
      <c r="C2677" s="2" t="inlineStr">
        <is>
          <t>EQ_WGT</t>
        </is>
      </c>
      <c r="D2677" t="inlineStr">
        <is>
          <t>EqualWeight</t>
        </is>
      </c>
      <c r="E2677" s="14">
        <f>HLOOKUP($C2677,$C$2631:$AA$2655,E$2657,FALSE)</f>
        <v/>
      </c>
      <c r="F2677" s="14">
        <f>HLOOKUP($C2677,$C$2631:$AA$2655,F$2657,FALSE)</f>
        <v/>
      </c>
      <c r="G2677" s="14">
        <f>HLOOKUP($C2677,$C$2631:$AA$2655,G$2657,FALSE)</f>
        <v/>
      </c>
      <c r="H2677" s="14">
        <f>HLOOKUP($C2677,$C$2631:$AA$2655,H$2657,FALSE)</f>
        <v/>
      </c>
      <c r="I2677" s="14">
        <f>HLOOKUP($C2677,$C$2631:$AA$2655,I$2657,FALSE)</f>
        <v/>
      </c>
      <c r="J2677" s="22">
        <f>HLOOKUP($C2677,$C$2631:$AA$2655,J$2657,FALSE)</f>
        <v/>
      </c>
      <c r="K2677" s="22">
        <f>HLOOKUP($C2677,$C$2631:$AA$2655,K$2657,FALSE)</f>
        <v/>
      </c>
    </row>
    <row r="2678">
      <c r="C2678" s="2" t="inlineStr">
        <is>
          <t>SPY_hedged</t>
        </is>
      </c>
      <c r="D2678" t="inlineStr">
        <is>
          <t>SPY (Strategy)</t>
        </is>
      </c>
      <c r="E2678" s="14">
        <f>HLOOKUP($C2678,$C$2631:$AA$2655,E$2657,FALSE)</f>
        <v/>
      </c>
      <c r="F2678" s="14">
        <f>HLOOKUP($C2678,$C$2631:$AA$2655,F$2657,FALSE)</f>
        <v/>
      </c>
      <c r="G2678" s="14">
        <f>HLOOKUP($C2678,$C$2631:$AA$2655,G$2657,FALSE)</f>
        <v/>
      </c>
      <c r="H2678" s="14">
        <f>HLOOKUP($C2678,$C$2631:$AA$2655,H$2657,FALSE)</f>
        <v/>
      </c>
      <c r="I2678" s="14">
        <f>HLOOKUP($C2678,$C$2631:$AA$2655,I$2657,FALSE)</f>
        <v/>
      </c>
      <c r="J2678" s="22">
        <f>HLOOKUP($C2678,$C$2631:$AA$2655,J$2657,FALSE)</f>
        <v/>
      </c>
      <c r="K2678" s="22">
        <f>HLOOKUP($C2678,$C$2631:$AA$2655,K$2657,FALSE)</f>
        <v/>
      </c>
    </row>
    <row r="2679">
      <c r="C2679" s="2" t="inlineStr">
        <is>
          <t>SPY_underlying</t>
        </is>
      </c>
      <c r="D2679" t="inlineStr">
        <is>
          <t>SPY (Underlying)</t>
        </is>
      </c>
      <c r="E2679" s="14">
        <f>HLOOKUP($C2679,$C$2631:$AA$2655,E$2657,FALSE)</f>
        <v/>
      </c>
      <c r="F2679" s="14">
        <f>HLOOKUP($C2679,$C$2631:$AA$2655,F$2657,FALSE)</f>
        <v/>
      </c>
      <c r="G2679" s="14">
        <f>HLOOKUP($C2679,$C$2631:$AA$2655,G$2657,FALSE)</f>
        <v/>
      </c>
      <c r="H2679" s="14">
        <f>HLOOKUP($C2679,$C$2631:$AA$2655,H$2657,FALSE)</f>
        <v/>
      </c>
      <c r="I2679" s="14">
        <f>HLOOKUP($C2679,$C$2631:$AA$2655,I$2657,FALSE)</f>
        <v/>
      </c>
      <c r="J2679" s="22">
        <f>HLOOKUP($C2679,$C$2631:$AA$2655,J$2657,FALSE)</f>
        <v/>
      </c>
      <c r="K2679" s="22">
        <f>HLOOKUP($C2679,$C$2631:$AA$2655,K$2657,FALSE)</f>
        <v/>
      </c>
    </row>
    <row r="2682">
      <c r="J2682">
        <f>CORREL(K2659:K2676,G2659:G2676)</f>
        <v/>
      </c>
    </row>
  </sheetData>
  <pageMargins left="0.75" right="0.75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2627"/>
  <sheetViews>
    <sheetView topLeftCell="A514" workbookViewId="0">
      <selection activeCell="L524" sqref="L524"/>
    </sheetView>
  </sheetViews>
  <sheetFormatPr baseColWidth="10" defaultRowHeight="16"/>
  <cols>
    <col width="10.83203125" customWidth="1" style="2" min="3" max="3"/>
  </cols>
  <sheetData>
    <row r="1">
      <c r="A1" t="inlineStr">
        <is>
          <t>obsdt</t>
        </is>
      </c>
      <c r="B1" t="inlineStr">
        <is>
          <t>ARKK_hedged</t>
        </is>
      </c>
      <c r="C1" s="2" t="inlineStr">
        <is>
          <t>DIA_hedged</t>
        </is>
      </c>
      <c r="D1" t="inlineStr">
        <is>
          <t>EEM_hedged</t>
        </is>
      </c>
      <c r="E1" t="inlineStr">
        <is>
          <t>EFA_hedged</t>
        </is>
      </c>
      <c r="F1" t="inlineStr">
        <is>
          <t>GLD_hedged</t>
        </is>
      </c>
      <c r="G1" t="inlineStr">
        <is>
          <t>HYG_hedged</t>
        </is>
      </c>
      <c r="H1" t="inlineStr">
        <is>
          <t>IEF_hedged</t>
        </is>
      </c>
      <c r="I1" t="inlineStr">
        <is>
          <t>IWM_hedged</t>
        </is>
      </c>
      <c r="J1" t="inlineStr">
        <is>
          <t>LQD_hedged</t>
        </is>
      </c>
      <c r="K1" t="inlineStr">
        <is>
          <t>SLV_hedged</t>
        </is>
      </c>
      <c r="L1" t="inlineStr">
        <is>
          <t>TLT_hedged</t>
        </is>
      </c>
      <c r="M1" t="inlineStr">
        <is>
          <t>XLB_hedged</t>
        </is>
      </c>
      <c r="N1" t="inlineStr">
        <is>
          <t>XLC_hedged</t>
        </is>
      </c>
      <c r="O1" t="inlineStr">
        <is>
          <t>XLE_hedged</t>
        </is>
      </c>
      <c r="P1" t="inlineStr">
        <is>
          <t>XLF_hedged</t>
        </is>
      </c>
      <c r="Q1" t="inlineStr">
        <is>
          <t>XLI_hedged</t>
        </is>
      </c>
      <c r="R1" t="inlineStr">
        <is>
          <t>XLK_hedged</t>
        </is>
      </c>
      <c r="S1" t="inlineStr">
        <is>
          <t>XLP_hedged</t>
        </is>
      </c>
      <c r="T1" t="inlineStr">
        <is>
          <t>XLU_hedged</t>
        </is>
      </c>
      <c r="U1" t="inlineStr">
        <is>
          <t>XLY_hedged</t>
        </is>
      </c>
      <c r="V1" t="inlineStr">
        <is>
          <t>SPY_hedged</t>
        </is>
      </c>
      <c r="W1" t="inlineStr">
        <is>
          <t>SPY_underlying</t>
        </is>
      </c>
      <c r="X1" t="inlineStr">
        <is>
          <t>VIX_chg</t>
        </is>
      </c>
      <c r="Y1" t="inlineStr">
        <is>
          <t>VIX_underlying</t>
        </is>
      </c>
    </row>
    <row r="2">
      <c r="A2" s="1" t="n">
        <v>42004</v>
      </c>
      <c r="B2">
        <f>_xlfn.NUMBERVALUE("0.000000")</f>
        <v/>
      </c>
      <c r="C2" s="2">
        <f>_xlfn.NUMBERVALUE("0.000000")</f>
        <v/>
      </c>
      <c r="D2">
        <f>_xlfn.NUMBERVALUE("0.000000")</f>
        <v/>
      </c>
      <c r="E2">
        <f>_xlfn.NUMBERVALUE("0.000000")</f>
        <v/>
      </c>
      <c r="F2">
        <f>_xlfn.NUMBERVALUE("0.000000")</f>
        <v/>
      </c>
      <c r="G2">
        <f>_xlfn.NUMBERVALUE("0.000000")</f>
        <v/>
      </c>
      <c r="H2">
        <f>_xlfn.NUMBERVALUE("0.000000")</f>
        <v/>
      </c>
      <c r="I2">
        <f>_xlfn.NUMBERVALUE("0.000000")</f>
        <v/>
      </c>
      <c r="J2">
        <f>_xlfn.NUMBERVALUE("0.000000")</f>
        <v/>
      </c>
      <c r="K2">
        <f>_xlfn.NUMBERVALUE("0.000000")</f>
        <v/>
      </c>
      <c r="L2">
        <f>_xlfn.NUMBERVALUE("0.000000")</f>
        <v/>
      </c>
      <c r="M2">
        <f>_xlfn.NUMBERVALUE("0.000000")</f>
        <v/>
      </c>
      <c r="N2">
        <f>_xlfn.NUMBERVALUE("0.000000")</f>
        <v/>
      </c>
      <c r="O2">
        <f>_xlfn.NUMBERVALUE("0.000000")</f>
        <v/>
      </c>
      <c r="P2">
        <f>_xlfn.NUMBERVALUE("0.000000")</f>
        <v/>
      </c>
      <c r="Q2">
        <f>_xlfn.NUMBERVALUE("0.000000")</f>
        <v/>
      </c>
      <c r="R2">
        <f>_xlfn.NUMBERVALUE("0.000000")</f>
        <v/>
      </c>
      <c r="S2">
        <f>_xlfn.NUMBERVALUE("0.000000")</f>
        <v/>
      </c>
      <c r="T2">
        <f>_xlfn.NUMBERVALUE("0.000000")</f>
        <v/>
      </c>
      <c r="U2">
        <f>_xlfn.NUMBERVALUE("0.000000")</f>
        <v/>
      </c>
      <c r="V2">
        <f>_xlfn.NUMBERVALUE("0.000000")</f>
        <v/>
      </c>
      <c r="W2">
        <f>_xlfn.NUMBERVALUE("0.000000")</f>
        <v/>
      </c>
      <c r="X2">
        <f>_xlfn.NUMBERVALUE("0.000000")</f>
        <v/>
      </c>
      <c r="Y2">
        <f>_xlfn.NUMBERVALUE("19.200000")</f>
        <v/>
      </c>
    </row>
    <row r="3">
      <c r="A3" s="1" t="n">
        <v>42006</v>
      </c>
      <c r="B3">
        <f>_xlfn.NUMBERVALUE("0.000000")</f>
        <v/>
      </c>
      <c r="C3" s="2">
        <f>_xlfn.NUMBERVALUE("0.002472")</f>
        <v/>
      </c>
      <c r="D3">
        <f>_xlfn.NUMBERVALUE("0.001260")</f>
        <v/>
      </c>
      <c r="E3">
        <f>_xlfn.NUMBERVALUE("0.000882")</f>
        <v/>
      </c>
      <c r="F3">
        <f>_xlfn.NUMBERVALUE("0.000390")</f>
        <v/>
      </c>
      <c r="G3">
        <f>_xlfn.NUMBERVALUE("0.000772")</f>
        <v/>
      </c>
      <c r="H3">
        <f>_xlfn.NUMBERVALUE("-0.000089")</f>
        <v/>
      </c>
      <c r="I3">
        <f>_xlfn.NUMBERVALUE("0.002795")</f>
        <v/>
      </c>
      <c r="J3">
        <f>_xlfn.NUMBERVALUE("-0.000937")</f>
        <v/>
      </c>
      <c r="K3">
        <f>_xlfn.NUMBERVALUE("0.003723")</f>
        <v/>
      </c>
      <c r="L3">
        <f>_xlfn.NUMBERVALUE("-0.000858")</f>
        <v/>
      </c>
      <c r="M3">
        <f>_xlfn.NUMBERVALUE("0.002176")</f>
        <v/>
      </c>
      <c r="N3">
        <f>_xlfn.NUMBERVALUE("0.000000")</f>
        <v/>
      </c>
      <c r="O3">
        <f>_xlfn.NUMBERVALUE("0.002145")</f>
        <v/>
      </c>
      <c r="P3">
        <f>_xlfn.NUMBERVALUE("0.000709")</f>
        <v/>
      </c>
      <c r="Q3">
        <f>_xlfn.NUMBERVALUE("0.002738")</f>
        <v/>
      </c>
      <c r="R3">
        <f>_xlfn.NUMBERVALUE("0.003046")</f>
        <v/>
      </c>
      <c r="S3">
        <f>_xlfn.NUMBERVALUE("0.000120")</f>
        <v/>
      </c>
      <c r="T3">
        <f>_xlfn.NUMBERVALUE("0.001267")</f>
        <v/>
      </c>
      <c r="U3">
        <f>_xlfn.NUMBERVALUE("0.002637")</f>
        <v/>
      </c>
      <c r="V3">
        <f>_xlfn.NUMBERVALUE("0.003179")</f>
        <v/>
      </c>
      <c r="W3">
        <f>_xlfn.NUMBERVALUE("0.000316")</f>
        <v/>
      </c>
      <c r="X3">
        <f>_xlfn.NUMBERVALUE("-1.410000")</f>
        <v/>
      </c>
      <c r="Y3">
        <f>_xlfn.NUMBERVALUE("17.790000")</f>
        <v/>
      </c>
    </row>
    <row r="4">
      <c r="A4" s="1" t="n">
        <v>42009</v>
      </c>
      <c r="B4">
        <f>_xlfn.NUMBERVALUE("0.000000")</f>
        <v/>
      </c>
      <c r="C4" s="2">
        <f>_xlfn.NUMBERVALUE("-0.003336")</f>
        <v/>
      </c>
      <c r="D4">
        <f>_xlfn.NUMBERVALUE("-0.003072")</f>
        <v/>
      </c>
      <c r="E4">
        <f>_xlfn.NUMBERVALUE("-0.004841")</f>
        <v/>
      </c>
      <c r="F4">
        <f>_xlfn.NUMBERVALUE("-0.002960")</f>
        <v/>
      </c>
      <c r="G4">
        <f>_xlfn.NUMBERVALUE("0.000098")</f>
        <v/>
      </c>
      <c r="H4">
        <f>_xlfn.NUMBERVALUE("-0.000358")</f>
        <v/>
      </c>
      <c r="I4">
        <f>_xlfn.NUMBERVALUE("-0.002016")</f>
        <v/>
      </c>
      <c r="J4">
        <f>_xlfn.NUMBERVALUE("-0.000780")</f>
        <v/>
      </c>
      <c r="K4">
        <f>_xlfn.NUMBERVALUE("0.001199")</f>
        <v/>
      </c>
      <c r="L4">
        <f>_xlfn.NUMBERVALUE("-0.003694")</f>
        <v/>
      </c>
      <c r="M4">
        <f>_xlfn.NUMBERVALUE("-0.005529")</f>
        <v/>
      </c>
      <c r="N4">
        <f>_xlfn.NUMBERVALUE("0.000000")</f>
        <v/>
      </c>
      <c r="O4">
        <f>_xlfn.NUMBERVALUE("-0.010012")</f>
        <v/>
      </c>
      <c r="P4">
        <f>_xlfn.NUMBERVALUE("-0.003527")</f>
        <v/>
      </c>
      <c r="Q4">
        <f>_xlfn.NUMBERVALUE("-0.004589")</f>
        <v/>
      </c>
      <c r="R4">
        <f>_xlfn.NUMBERVALUE("-0.002573")</f>
        <v/>
      </c>
      <c r="S4">
        <f>_xlfn.NUMBERVALUE("0.000497")</f>
        <v/>
      </c>
      <c r="T4">
        <f>_xlfn.NUMBERVALUE("-0.000440")</f>
        <v/>
      </c>
      <c r="U4">
        <f>_xlfn.NUMBERVALUE("-0.003589")</f>
        <v/>
      </c>
      <c r="V4">
        <f>_xlfn.NUMBERVALUE("-0.002685")</f>
        <v/>
      </c>
      <c r="W4">
        <f>_xlfn.NUMBERVALUE("-0.018159")</f>
        <v/>
      </c>
      <c r="X4">
        <f>_xlfn.NUMBERVALUE("2.130000")</f>
        <v/>
      </c>
      <c r="Y4">
        <f>_xlfn.NUMBERVALUE("19.920000")</f>
        <v/>
      </c>
    </row>
    <row r="5">
      <c r="A5" s="1" t="n">
        <v>42010</v>
      </c>
      <c r="B5">
        <f>_xlfn.NUMBERVALUE("0.000000")</f>
        <v/>
      </c>
      <c r="C5" s="2">
        <f>_xlfn.NUMBERVALUE("-0.000755")</f>
        <v/>
      </c>
      <c r="D5">
        <f>_xlfn.NUMBERVALUE("0.000180")</f>
        <v/>
      </c>
      <c r="E5">
        <f>_xlfn.NUMBERVALUE("-0.000131")</f>
        <v/>
      </c>
      <c r="F5">
        <f>_xlfn.NUMBERVALUE("-0.000228")</f>
        <v/>
      </c>
      <c r="G5">
        <f>_xlfn.NUMBERVALUE("0.001018")</f>
        <v/>
      </c>
      <c r="H5">
        <f>_xlfn.NUMBERVALUE("-0.000461")</f>
        <v/>
      </c>
      <c r="I5">
        <f>_xlfn.NUMBERVALUE("-0.001170")</f>
        <v/>
      </c>
      <c r="J5">
        <f>_xlfn.NUMBERVALUE("-0.000987")</f>
        <v/>
      </c>
      <c r="K5">
        <f>_xlfn.NUMBERVALUE("0.002345")</f>
        <v/>
      </c>
      <c r="L5">
        <f>_xlfn.NUMBERVALUE("-0.003724")</f>
        <v/>
      </c>
      <c r="M5">
        <f>_xlfn.NUMBERVALUE("-0.001002")</f>
        <v/>
      </c>
      <c r="N5">
        <f>_xlfn.NUMBERVALUE("0.000000")</f>
        <v/>
      </c>
      <c r="O5">
        <f>_xlfn.NUMBERVALUE("-0.000650")</f>
        <v/>
      </c>
      <c r="P5">
        <f>_xlfn.NUMBERVALUE("-0.005858")</f>
        <v/>
      </c>
      <c r="Q5">
        <f>_xlfn.NUMBERVALUE("0.000301")</f>
        <v/>
      </c>
      <c r="R5">
        <f>_xlfn.NUMBERVALUE("-0.004382")</f>
        <v/>
      </c>
      <c r="S5">
        <f>_xlfn.NUMBERVALUE("-0.000583")</f>
        <v/>
      </c>
      <c r="T5">
        <f>_xlfn.NUMBERVALUE("-0.000806")</f>
        <v/>
      </c>
      <c r="U5">
        <f>_xlfn.NUMBERVALUE("-0.001314")</f>
        <v/>
      </c>
      <c r="V5">
        <f>_xlfn.NUMBERVALUE("-0.000937")</f>
        <v/>
      </c>
      <c r="W5">
        <f>_xlfn.NUMBERVALUE("-0.010250")</f>
        <v/>
      </c>
      <c r="X5">
        <f>_xlfn.NUMBERVALUE("1.200000")</f>
        <v/>
      </c>
      <c r="Y5">
        <f>_xlfn.NUMBERVALUE("21.120000")</f>
        <v/>
      </c>
    </row>
    <row r="6">
      <c r="A6" s="1" t="n">
        <v>42011</v>
      </c>
      <c r="B6">
        <f>_xlfn.NUMBERVALUE("0.000000")</f>
        <v/>
      </c>
      <c r="C6" s="2">
        <f>_xlfn.NUMBERVALUE("0.000079")</f>
        <v/>
      </c>
      <c r="D6">
        <f>_xlfn.NUMBERVALUE("-0.000023")</f>
        <v/>
      </c>
      <c r="E6">
        <f>_xlfn.NUMBERVALUE("0.001337")</f>
        <v/>
      </c>
      <c r="F6">
        <f>_xlfn.NUMBERVALUE("0.001401")</f>
        <v/>
      </c>
      <c r="G6">
        <f>_xlfn.NUMBERVALUE("0.000817")</f>
        <v/>
      </c>
      <c r="H6">
        <f>_xlfn.NUMBERVALUE("-0.000742")</f>
        <v/>
      </c>
      <c r="I6">
        <f>_xlfn.NUMBERVALUE("0.001619")</f>
        <v/>
      </c>
      <c r="J6">
        <f>_xlfn.NUMBERVALUE("-0.000272")</f>
        <v/>
      </c>
      <c r="K6">
        <f>_xlfn.NUMBERVALUE("-0.001830")</f>
        <v/>
      </c>
      <c r="L6">
        <f>_xlfn.NUMBERVALUE("0.001355")</f>
        <v/>
      </c>
      <c r="M6">
        <f>_xlfn.NUMBERVALUE("0.001955")</f>
        <v/>
      </c>
      <c r="N6">
        <f>_xlfn.NUMBERVALUE("0.000000")</f>
        <v/>
      </c>
      <c r="O6">
        <f>_xlfn.NUMBERVALUE("0.003099")</f>
        <v/>
      </c>
      <c r="P6">
        <f>_xlfn.NUMBERVALUE("0.005059")</f>
        <v/>
      </c>
      <c r="Q6">
        <f>_xlfn.NUMBERVALUE("0.001520")</f>
        <v/>
      </c>
      <c r="R6">
        <f>_xlfn.NUMBERVALUE("0.003641")</f>
        <v/>
      </c>
      <c r="S6">
        <f>_xlfn.NUMBERVALUE("-0.001819")</f>
        <v/>
      </c>
      <c r="T6">
        <f>_xlfn.NUMBERVALUE("0.001238")</f>
        <v/>
      </c>
      <c r="U6">
        <f>_xlfn.NUMBERVALUE("-0.000034")</f>
        <v/>
      </c>
      <c r="V6">
        <f>_xlfn.NUMBERVALUE("0.000030")</f>
        <v/>
      </c>
      <c r="W6">
        <f>_xlfn.NUMBERVALUE("0.012457")</f>
        <v/>
      </c>
      <c r="X6">
        <f>_xlfn.NUMBERVALUE("-1.810000")</f>
        <v/>
      </c>
      <c r="Y6">
        <f>_xlfn.NUMBERVALUE("19.310000")</f>
        <v/>
      </c>
    </row>
    <row r="7">
      <c r="A7" s="1" t="n">
        <v>42012</v>
      </c>
      <c r="B7">
        <f>_xlfn.NUMBERVALUE("0.000000")</f>
        <v/>
      </c>
      <c r="C7" s="2">
        <f>_xlfn.NUMBERVALUE("-0.002719")</f>
        <v/>
      </c>
      <c r="D7">
        <f>_xlfn.NUMBERVALUE("-0.001249")</f>
        <v/>
      </c>
      <c r="E7">
        <f>_xlfn.NUMBERVALUE("-0.000635")</f>
        <v/>
      </c>
      <c r="F7">
        <f>_xlfn.NUMBERVALUE("0.002583")</f>
        <v/>
      </c>
      <c r="G7">
        <f>_xlfn.NUMBERVALUE("0.000712")</f>
        <v/>
      </c>
      <c r="H7">
        <f>_xlfn.NUMBERVALUE("-0.000708")</f>
        <v/>
      </c>
      <c r="I7">
        <f>_xlfn.NUMBERVALUE("0.000640")</f>
        <v/>
      </c>
      <c r="J7">
        <f>_xlfn.NUMBERVALUE("0.000154")</f>
        <v/>
      </c>
      <c r="K7">
        <f>_xlfn.NUMBERVALUE("0.002011")</f>
        <v/>
      </c>
      <c r="L7">
        <f>_xlfn.NUMBERVALUE("0.000404")</f>
        <v/>
      </c>
      <c r="M7">
        <f>_xlfn.NUMBERVALUE("-0.002836")</f>
        <v/>
      </c>
      <c r="N7">
        <f>_xlfn.NUMBERVALUE("0.000000")</f>
        <v/>
      </c>
      <c r="O7">
        <f>_xlfn.NUMBERVALUE("0.002040")</f>
        <v/>
      </c>
      <c r="P7">
        <f>_xlfn.NUMBERVALUE("0.000650")</f>
        <v/>
      </c>
      <c r="Q7">
        <f>_xlfn.NUMBERVALUE("0.000618")</f>
        <v/>
      </c>
      <c r="R7">
        <f>_xlfn.NUMBERVALUE("-0.001698")</f>
        <v/>
      </c>
      <c r="S7">
        <f>_xlfn.NUMBERVALUE("0.003402")</f>
        <v/>
      </c>
      <c r="T7">
        <f>_xlfn.NUMBERVALUE("0.002326")</f>
        <v/>
      </c>
      <c r="U7">
        <f>_xlfn.NUMBERVALUE("0.000150")</f>
        <v/>
      </c>
      <c r="V7">
        <f>_xlfn.NUMBERVALUE("-0.001896")</f>
        <v/>
      </c>
      <c r="W7">
        <f>_xlfn.NUMBERVALUE("0.016801")</f>
        <v/>
      </c>
      <c r="X7">
        <f>_xlfn.NUMBERVALUE("-2.300000")</f>
        <v/>
      </c>
      <c r="Y7">
        <f>_xlfn.NUMBERVALUE("17.010000")</f>
        <v/>
      </c>
    </row>
    <row r="8">
      <c r="A8" s="1" t="n">
        <v>42013</v>
      </c>
      <c r="B8">
        <f>_xlfn.NUMBERVALUE("0.000000")</f>
        <v/>
      </c>
      <c r="C8" s="2">
        <f>_xlfn.NUMBERVALUE("0.000539")</f>
        <v/>
      </c>
      <c r="D8">
        <f>_xlfn.NUMBERVALUE("0.002399")</f>
        <v/>
      </c>
      <c r="E8">
        <f>_xlfn.NUMBERVALUE("0.000246")</f>
        <v/>
      </c>
      <c r="F8">
        <f>_xlfn.NUMBERVALUE("0.000457")</f>
        <v/>
      </c>
      <c r="G8">
        <f>_xlfn.NUMBERVALUE("-0.000340")</f>
        <v/>
      </c>
      <c r="H8">
        <f>_xlfn.NUMBERVALUE("0.000742")</f>
        <v/>
      </c>
      <c r="I8">
        <f>_xlfn.NUMBERVALUE("0.001126")</f>
        <v/>
      </c>
      <c r="J8">
        <f>_xlfn.NUMBERVALUE("0.001318")</f>
        <v/>
      </c>
      <c r="K8">
        <f>_xlfn.NUMBERVALUE("0.000148")</f>
        <v/>
      </c>
      <c r="L8">
        <f>_xlfn.NUMBERVALUE("0.000116")</f>
        <v/>
      </c>
      <c r="M8">
        <f>_xlfn.NUMBERVALUE("0.001519")</f>
        <v/>
      </c>
      <c r="N8">
        <f>_xlfn.NUMBERVALUE("0.000000")</f>
        <v/>
      </c>
      <c r="O8">
        <f>_xlfn.NUMBERVALUE("0.001512")</f>
        <v/>
      </c>
      <c r="P8">
        <f>_xlfn.NUMBERVALUE("-0.001628")</f>
        <v/>
      </c>
      <c r="Q8">
        <f>_xlfn.NUMBERVALUE("-0.000501")</f>
        <v/>
      </c>
      <c r="R8">
        <f>_xlfn.NUMBERVALUE("0.000628")</f>
        <v/>
      </c>
      <c r="S8">
        <f>_xlfn.NUMBERVALUE("-0.002796")</f>
        <v/>
      </c>
      <c r="T8">
        <f>_xlfn.NUMBERVALUE("0.002189")</f>
        <v/>
      </c>
      <c r="U8">
        <f>_xlfn.NUMBERVALUE("0.000521")</f>
        <v/>
      </c>
      <c r="V8">
        <f>_xlfn.NUMBERVALUE("0.001033")</f>
        <v/>
      </c>
      <c r="W8">
        <f>_xlfn.NUMBERVALUE("-0.006901")</f>
        <v/>
      </c>
      <c r="X8">
        <f>_xlfn.NUMBERVALUE("0.540000")</f>
        <v/>
      </c>
      <c r="Y8">
        <f>_xlfn.NUMBERVALUE("17.550000")</f>
        <v/>
      </c>
    </row>
    <row r="9">
      <c r="A9" s="1" t="n">
        <v>42016</v>
      </c>
      <c r="B9">
        <f>_xlfn.NUMBERVALUE("0.000000")</f>
        <v/>
      </c>
      <c r="C9" s="2">
        <f>_xlfn.NUMBERVALUE("-0.000702")</f>
        <v/>
      </c>
      <c r="D9">
        <f>_xlfn.NUMBERVALUE("-0.002362")</f>
        <v/>
      </c>
      <c r="E9">
        <f>_xlfn.NUMBERVALUE("0.000630")</f>
        <v/>
      </c>
      <c r="F9">
        <f>_xlfn.NUMBERVALUE("0.000607")</f>
        <v/>
      </c>
      <c r="G9">
        <f>_xlfn.NUMBERVALUE("-0.000794")</f>
        <v/>
      </c>
      <c r="H9">
        <f>_xlfn.NUMBERVALUE("-0.000434")</f>
        <v/>
      </c>
      <c r="I9">
        <f>_xlfn.NUMBERVALUE("-0.000637")</f>
        <v/>
      </c>
      <c r="J9">
        <f>_xlfn.NUMBERVALUE("0.000106")</f>
        <v/>
      </c>
      <c r="K9">
        <f>_xlfn.NUMBERVALUE("0.006092")</f>
        <v/>
      </c>
      <c r="L9">
        <f>_xlfn.NUMBERVALUE("-0.000775")</f>
        <v/>
      </c>
      <c r="M9">
        <f>_xlfn.NUMBERVALUE("-0.000712")</f>
        <v/>
      </c>
      <c r="N9">
        <f>_xlfn.NUMBERVALUE("0.000000")</f>
        <v/>
      </c>
      <c r="O9">
        <f>_xlfn.NUMBERVALUE("-0.004797")</f>
        <v/>
      </c>
      <c r="P9">
        <f>_xlfn.NUMBERVALUE("-0.006565")</f>
        <v/>
      </c>
      <c r="Q9">
        <f>_xlfn.NUMBERVALUE("-0.000572")</f>
        <v/>
      </c>
      <c r="R9">
        <f>_xlfn.NUMBERVALUE("-0.000851")</f>
        <v/>
      </c>
      <c r="S9">
        <f>_xlfn.NUMBERVALUE("0.003697")</f>
        <v/>
      </c>
      <c r="T9">
        <f>_xlfn.NUMBERVALUE("0.000152")</f>
        <v/>
      </c>
      <c r="U9">
        <f>_xlfn.NUMBERVALUE("-0.000235")</f>
        <v/>
      </c>
      <c r="V9">
        <f>_xlfn.NUMBERVALUE("-0.000823")</f>
        <v/>
      </c>
      <c r="W9">
        <f>_xlfn.NUMBERVALUE("-0.007781")</f>
        <v/>
      </c>
      <c r="X9">
        <f>_xlfn.NUMBERVALUE("2.050000")</f>
        <v/>
      </c>
      <c r="Y9">
        <f>_xlfn.NUMBERVALUE("19.600000")</f>
        <v/>
      </c>
    </row>
    <row r="10">
      <c r="A10" s="1" t="n">
        <v>42017</v>
      </c>
      <c r="B10">
        <f>_xlfn.NUMBERVALUE("0.000000")</f>
        <v/>
      </c>
      <c r="C10" s="2">
        <f>_xlfn.NUMBERVALUE("-0.000869")</f>
        <v/>
      </c>
      <c r="D10">
        <f>_xlfn.NUMBERVALUE("0.000205")</f>
        <v/>
      </c>
      <c r="E10">
        <f>_xlfn.NUMBERVALUE("-0.000362")</f>
        <v/>
      </c>
      <c r="F10">
        <f>_xlfn.NUMBERVALUE("0.000634")</f>
        <v/>
      </c>
      <c r="G10">
        <f>_xlfn.NUMBERVALUE("0.001389")</f>
        <v/>
      </c>
      <c r="H10">
        <f>_xlfn.NUMBERVALUE("-0.000141")</f>
        <v/>
      </c>
      <c r="I10">
        <f>_xlfn.NUMBERVALUE("-0.001057")</f>
        <v/>
      </c>
      <c r="J10">
        <f>_xlfn.NUMBERVALUE("-0.000282")</f>
        <v/>
      </c>
      <c r="K10">
        <f>_xlfn.NUMBERVALUE("-0.009358")</f>
        <v/>
      </c>
      <c r="L10">
        <f>_xlfn.NUMBERVALUE("-0.000044")</f>
        <v/>
      </c>
      <c r="M10">
        <f>_xlfn.NUMBERVALUE("-0.001049")</f>
        <v/>
      </c>
      <c r="N10">
        <f>_xlfn.NUMBERVALUE("0.000000")</f>
        <v/>
      </c>
      <c r="O10">
        <f>_xlfn.NUMBERVALUE("-0.001378")</f>
        <v/>
      </c>
      <c r="P10">
        <f>_xlfn.NUMBERVALUE("0.005239")</f>
        <v/>
      </c>
      <c r="Q10">
        <f>_xlfn.NUMBERVALUE("0.000116")</f>
        <v/>
      </c>
      <c r="R10">
        <f>_xlfn.NUMBERVALUE("-0.000583")</f>
        <v/>
      </c>
      <c r="S10">
        <f>_xlfn.NUMBERVALUE("-0.002756")</f>
        <v/>
      </c>
      <c r="T10">
        <f>_xlfn.NUMBERVALUE("0.000132")</f>
        <v/>
      </c>
      <c r="U10">
        <f>_xlfn.NUMBERVALUE("0.000242")</f>
        <v/>
      </c>
      <c r="V10">
        <f>_xlfn.NUMBERVALUE("-0.000674")</f>
        <v/>
      </c>
      <c r="W10">
        <f>_xlfn.NUMBERVALUE("-0.004636")</f>
        <v/>
      </c>
      <c r="X10">
        <f>_xlfn.NUMBERVALUE("0.960000")</f>
        <v/>
      </c>
      <c r="Y10">
        <f>_xlfn.NUMBERVALUE("20.560000")</f>
        <v/>
      </c>
    </row>
    <row r="11">
      <c r="A11" s="1" t="n">
        <v>42018</v>
      </c>
      <c r="B11">
        <f>_xlfn.NUMBERVALUE("0.000000")</f>
        <v/>
      </c>
      <c r="C11" s="2">
        <f>_xlfn.NUMBERVALUE("-0.001177")</f>
        <v/>
      </c>
      <c r="D11">
        <f>_xlfn.NUMBERVALUE("-0.001431")</f>
        <v/>
      </c>
      <c r="E11">
        <f>_xlfn.NUMBERVALUE("-0.000163")</f>
        <v/>
      </c>
      <c r="F11">
        <f>_xlfn.NUMBERVALUE("0.000213")</f>
        <v/>
      </c>
      <c r="G11">
        <f>_xlfn.NUMBERVALUE("0.000206")</f>
        <v/>
      </c>
      <c r="H11">
        <f>_xlfn.NUMBERVALUE("-0.001110")</f>
        <v/>
      </c>
      <c r="I11">
        <f>_xlfn.NUMBERVALUE("-0.000090")</f>
        <v/>
      </c>
      <c r="J11">
        <f>_xlfn.NUMBERVALUE("-0.000296")</f>
        <v/>
      </c>
      <c r="K11">
        <f>_xlfn.NUMBERVALUE("0.004384")</f>
        <v/>
      </c>
      <c r="L11">
        <f>_xlfn.NUMBERVALUE("-0.000680")</f>
        <v/>
      </c>
      <c r="M11">
        <f>_xlfn.NUMBERVALUE("-0.002894")</f>
        <v/>
      </c>
      <c r="N11">
        <f>_xlfn.NUMBERVALUE("0.000000")</f>
        <v/>
      </c>
      <c r="O11">
        <f>_xlfn.NUMBERVALUE("0.000610")</f>
        <v/>
      </c>
      <c r="P11">
        <f>_xlfn.NUMBERVALUE("-0.002336")</f>
        <v/>
      </c>
      <c r="Q11">
        <f>_xlfn.NUMBERVALUE("-0.000808")</f>
        <v/>
      </c>
      <c r="R11">
        <f>_xlfn.NUMBERVALUE("-0.001420")</f>
        <v/>
      </c>
      <c r="S11">
        <f>_xlfn.NUMBERVALUE("-0.000465")</f>
        <v/>
      </c>
      <c r="T11">
        <f>_xlfn.NUMBERVALUE("-0.001643")</f>
        <v/>
      </c>
      <c r="U11">
        <f>_xlfn.NUMBERVALUE("-0.002803")</f>
        <v/>
      </c>
      <c r="V11">
        <f>_xlfn.NUMBERVALUE("-0.001414")</f>
        <v/>
      </c>
      <c r="W11">
        <f>_xlfn.NUMBERVALUE("-0.004658")</f>
        <v/>
      </c>
      <c r="X11">
        <f>_xlfn.NUMBERVALUE("0.920000")</f>
        <v/>
      </c>
      <c r="Y11">
        <f>_xlfn.NUMBERVALUE("21.480000")</f>
        <v/>
      </c>
    </row>
    <row r="12">
      <c r="A12" s="1" t="n">
        <v>42019</v>
      </c>
      <c r="B12">
        <f>_xlfn.NUMBERVALUE("0.000000")</f>
        <v/>
      </c>
      <c r="C12" s="2">
        <f>_xlfn.NUMBERVALUE("-0.000794")</f>
        <v/>
      </c>
      <c r="D12">
        <f>_xlfn.NUMBERVALUE("-0.000235")</f>
        <v/>
      </c>
      <c r="E12">
        <f>_xlfn.NUMBERVALUE("-0.002823")</f>
        <v/>
      </c>
      <c r="F12">
        <f>_xlfn.NUMBERVALUE("-0.006251")</f>
        <v/>
      </c>
      <c r="G12">
        <f>_xlfn.NUMBERVALUE("0.001582")</f>
        <v/>
      </c>
      <c r="H12">
        <f>_xlfn.NUMBERVALUE("0.000033")</f>
        <v/>
      </c>
      <c r="I12">
        <f>_xlfn.NUMBERVALUE("-0.003196")</f>
        <v/>
      </c>
      <c r="J12">
        <f>_xlfn.NUMBERVALUE("0.001398")</f>
        <v/>
      </c>
      <c r="K12">
        <f>_xlfn.NUMBERVALUE("-0.006812")</f>
        <v/>
      </c>
      <c r="L12">
        <f>_xlfn.NUMBERVALUE("-0.001641")</f>
        <v/>
      </c>
      <c r="M12">
        <f>_xlfn.NUMBERVALUE("0.000671")</f>
        <v/>
      </c>
      <c r="N12">
        <f>_xlfn.NUMBERVALUE("0.000000")</f>
        <v/>
      </c>
      <c r="O12">
        <f>_xlfn.NUMBERVALUE("-0.001874")</f>
        <v/>
      </c>
      <c r="P12">
        <f>_xlfn.NUMBERVALUE("-0.004183")</f>
        <v/>
      </c>
      <c r="Q12">
        <f>_xlfn.NUMBERVALUE("-0.002390")</f>
        <v/>
      </c>
      <c r="R12">
        <f>_xlfn.NUMBERVALUE("-0.002585")</f>
        <v/>
      </c>
      <c r="S12">
        <f>_xlfn.NUMBERVALUE("0.000244")</f>
        <v/>
      </c>
      <c r="T12">
        <f>_xlfn.NUMBERVALUE("-0.001277")</f>
        <v/>
      </c>
      <c r="U12">
        <f>_xlfn.NUMBERVALUE("-0.001511")</f>
        <v/>
      </c>
      <c r="V12">
        <f>_xlfn.NUMBERVALUE("-0.001306")</f>
        <v/>
      </c>
      <c r="W12">
        <f>_xlfn.NUMBERVALUE("-0.009110")</f>
        <v/>
      </c>
      <c r="X12">
        <f>_xlfn.NUMBERVALUE("0.910000")</f>
        <v/>
      </c>
      <c r="Y12">
        <f>_xlfn.NUMBERVALUE("22.390000")</f>
        <v/>
      </c>
    </row>
    <row r="13">
      <c r="A13" s="1" t="n">
        <v>42020</v>
      </c>
      <c r="B13">
        <f>_xlfn.NUMBERVALUE("0.000000")</f>
        <v/>
      </c>
      <c r="C13" s="2">
        <f>_xlfn.NUMBERVALUE("0.000992")</f>
        <v/>
      </c>
      <c r="D13">
        <f>_xlfn.NUMBERVALUE("0.002702")</f>
        <v/>
      </c>
      <c r="E13">
        <f>_xlfn.NUMBERVALUE("0.001013")</f>
        <v/>
      </c>
      <c r="F13">
        <f>_xlfn.NUMBERVALUE("-0.000268")</f>
        <v/>
      </c>
      <c r="G13">
        <f>_xlfn.NUMBERVALUE("-0.000100")</f>
        <v/>
      </c>
      <c r="H13">
        <f>_xlfn.NUMBERVALUE("-0.000309")</f>
        <v/>
      </c>
      <c r="I13">
        <f>_xlfn.NUMBERVALUE("0.000312")</f>
        <v/>
      </c>
      <c r="J13">
        <f>_xlfn.NUMBERVALUE("-0.001444")</f>
        <v/>
      </c>
      <c r="K13">
        <f>_xlfn.NUMBERVALUE("-0.006666")</f>
        <v/>
      </c>
      <c r="L13">
        <f>_xlfn.NUMBERVALUE("0.000854")</f>
        <v/>
      </c>
      <c r="M13">
        <f>_xlfn.NUMBERVALUE("-0.001852")</f>
        <v/>
      </c>
      <c r="N13">
        <f>_xlfn.NUMBERVALUE("0.000000")</f>
        <v/>
      </c>
      <c r="O13">
        <f>_xlfn.NUMBERVALUE("0.004100")</f>
        <v/>
      </c>
      <c r="P13">
        <f>_xlfn.NUMBERVALUE("0.004642")</f>
        <v/>
      </c>
      <c r="Q13">
        <f>_xlfn.NUMBERVALUE("0.000446")</f>
        <v/>
      </c>
      <c r="R13">
        <f>_xlfn.NUMBERVALUE("0.002378")</f>
        <v/>
      </c>
      <c r="S13">
        <f>_xlfn.NUMBERVALUE("0.000766")</f>
        <v/>
      </c>
      <c r="T13">
        <f>_xlfn.NUMBERVALUE("0.002766")</f>
        <v/>
      </c>
      <c r="U13">
        <f>_xlfn.NUMBERVALUE("0.002705")</f>
        <v/>
      </c>
      <c r="V13">
        <f>_xlfn.NUMBERVALUE("0.000058")</f>
        <v/>
      </c>
      <c r="W13">
        <f>_xlfn.NUMBERVALUE("0.013263")</f>
        <v/>
      </c>
      <c r="X13">
        <f>_xlfn.NUMBERVALUE("-1.440000")</f>
        <v/>
      </c>
      <c r="Y13">
        <f>_xlfn.NUMBERVALUE("20.950000")</f>
        <v/>
      </c>
    </row>
    <row r="14">
      <c r="A14" s="1" t="n">
        <v>42024</v>
      </c>
      <c r="B14">
        <f>_xlfn.NUMBERVALUE("0.000000")</f>
        <v/>
      </c>
      <c r="C14" s="2">
        <f>_xlfn.NUMBERVALUE("0.002509")</f>
        <v/>
      </c>
      <c r="D14">
        <f>_xlfn.NUMBERVALUE("0.002894")</f>
        <v/>
      </c>
      <c r="E14">
        <f>_xlfn.NUMBERVALUE("0.001562")</f>
        <v/>
      </c>
      <c r="F14">
        <f>_xlfn.NUMBERVALUE("-0.000584")</f>
        <v/>
      </c>
      <c r="G14">
        <f>_xlfn.NUMBERVALUE("0.002026")</f>
        <v/>
      </c>
      <c r="H14">
        <f>_xlfn.NUMBERVALUE("0.000872")</f>
        <v/>
      </c>
      <c r="I14">
        <f>_xlfn.NUMBERVALUE("0.002755")</f>
        <v/>
      </c>
      <c r="J14">
        <f>_xlfn.NUMBERVALUE("0.000217")</f>
        <v/>
      </c>
      <c r="K14">
        <f>_xlfn.NUMBERVALUE("-0.000795")</f>
        <v/>
      </c>
      <c r="L14">
        <f>_xlfn.NUMBERVALUE("-0.000553")</f>
        <v/>
      </c>
      <c r="M14">
        <f>_xlfn.NUMBERVALUE("0.005974")</f>
        <v/>
      </c>
      <c r="N14">
        <f>_xlfn.NUMBERVALUE("0.000000")</f>
        <v/>
      </c>
      <c r="O14">
        <f>_xlfn.NUMBERVALUE("0.003702")</f>
        <v/>
      </c>
      <c r="P14">
        <f>_xlfn.NUMBERVALUE("0.000873")</f>
        <v/>
      </c>
      <c r="Q14">
        <f>_xlfn.NUMBERVALUE("0.003526")</f>
        <v/>
      </c>
      <c r="R14">
        <f>_xlfn.NUMBERVALUE("0.003017")</f>
        <v/>
      </c>
      <c r="S14">
        <f>_xlfn.NUMBERVALUE("-0.000359")</f>
        <v/>
      </c>
      <c r="T14">
        <f>_xlfn.NUMBERVALUE("0.000136")</f>
        <v/>
      </c>
      <c r="U14">
        <f>_xlfn.NUMBERVALUE("0.000900")</f>
        <v/>
      </c>
      <c r="V14">
        <f>_xlfn.NUMBERVALUE("0.002808")</f>
        <v/>
      </c>
      <c r="W14">
        <f>_xlfn.NUMBERVALUE("0.001636")</f>
        <v/>
      </c>
      <c r="X14">
        <f>_xlfn.NUMBERVALUE("-1.060000")</f>
        <v/>
      </c>
      <c r="Y14">
        <f>_xlfn.NUMBERVALUE("19.890000")</f>
        <v/>
      </c>
    </row>
    <row r="15">
      <c r="A15" s="1" t="n">
        <v>42025</v>
      </c>
      <c r="B15">
        <f>_xlfn.NUMBERVALUE("0.000000")</f>
        <v/>
      </c>
      <c r="C15" s="2">
        <f>_xlfn.NUMBERVALUE("0.001866")</f>
        <v/>
      </c>
      <c r="D15">
        <f>_xlfn.NUMBERVALUE("-0.002237")</f>
        <v/>
      </c>
      <c r="E15">
        <f>_xlfn.NUMBERVALUE("0.001464")</f>
        <v/>
      </c>
      <c r="F15">
        <f>_xlfn.NUMBERVALUE("0.002633")</f>
        <v/>
      </c>
      <c r="G15">
        <f>_xlfn.NUMBERVALUE("0.000224")</f>
        <v/>
      </c>
      <c r="H15">
        <f>_xlfn.NUMBERVALUE("-0.000485")</f>
        <v/>
      </c>
      <c r="I15">
        <f>_xlfn.NUMBERVALUE("0.001256")</f>
        <v/>
      </c>
      <c r="J15">
        <f>_xlfn.NUMBERVALUE("0.000806")</f>
        <v/>
      </c>
      <c r="K15">
        <f>_xlfn.NUMBERVALUE("0.008774")</f>
        <v/>
      </c>
      <c r="L15">
        <f>_xlfn.NUMBERVALUE("0.000485")</f>
        <v/>
      </c>
      <c r="M15">
        <f>_xlfn.NUMBERVALUE("0.002475")</f>
        <v/>
      </c>
      <c r="N15">
        <f>_xlfn.NUMBERVALUE("0.000000")</f>
        <v/>
      </c>
      <c r="O15">
        <f>_xlfn.NUMBERVALUE("0.001699")</f>
        <v/>
      </c>
      <c r="P15">
        <f>_xlfn.NUMBERVALUE("0.000638")</f>
        <v/>
      </c>
      <c r="Q15">
        <f>_xlfn.NUMBERVALUE("0.002359")</f>
        <v/>
      </c>
      <c r="R15">
        <f>_xlfn.NUMBERVALUE("0.001110")</f>
        <v/>
      </c>
      <c r="S15">
        <f>_xlfn.NUMBERVALUE("0.001427")</f>
        <v/>
      </c>
      <c r="T15">
        <f>_xlfn.NUMBERVALUE("-0.000574")</f>
        <v/>
      </c>
      <c r="U15">
        <f>_xlfn.NUMBERVALUE("0.001193")</f>
        <v/>
      </c>
      <c r="V15">
        <f>_xlfn.NUMBERVALUE("0.001878")</f>
        <v/>
      </c>
      <c r="W15">
        <f>_xlfn.NUMBERVALUE("0.005396")</f>
        <v/>
      </c>
      <c r="X15">
        <f>_xlfn.NUMBERVALUE("-1.040000")</f>
        <v/>
      </c>
      <c r="Y15">
        <f>_xlfn.NUMBERVALUE("18.850000")</f>
        <v/>
      </c>
    </row>
    <row r="16">
      <c r="A16" s="1" t="n">
        <v>42026</v>
      </c>
      <c r="B16">
        <f>_xlfn.NUMBERVALUE("0.000000")</f>
        <v/>
      </c>
      <c r="C16" s="2">
        <f>_xlfn.NUMBERVALUE("0.001255")</f>
        <v/>
      </c>
      <c r="D16">
        <f>_xlfn.NUMBERVALUE("-0.003179")</f>
        <v/>
      </c>
      <c r="E16">
        <f>_xlfn.NUMBERVALUE("0.002623")</f>
        <v/>
      </c>
      <c r="F16">
        <f>_xlfn.NUMBERVALUE("-0.001458")</f>
        <v/>
      </c>
      <c r="G16">
        <f>_xlfn.NUMBERVALUE("0.001052")</f>
        <v/>
      </c>
      <c r="H16">
        <f>_xlfn.NUMBERVALUE("0.000146")</f>
        <v/>
      </c>
      <c r="I16">
        <f>_xlfn.NUMBERVALUE("0.002119")</f>
        <v/>
      </c>
      <c r="J16">
        <f>_xlfn.NUMBERVALUE("0.001417")</f>
        <v/>
      </c>
      <c r="K16">
        <f>_xlfn.NUMBERVALUE("-0.005685")</f>
        <v/>
      </c>
      <c r="L16">
        <f>_xlfn.NUMBERVALUE("0.000267")</f>
        <v/>
      </c>
      <c r="M16">
        <f>_xlfn.NUMBERVALUE("0.001985")</f>
        <v/>
      </c>
      <c r="N16">
        <f>_xlfn.NUMBERVALUE("0.000000")</f>
        <v/>
      </c>
      <c r="O16">
        <f>_xlfn.NUMBERVALUE("0.002738")</f>
        <v/>
      </c>
      <c r="P16">
        <f>_xlfn.NUMBERVALUE("-0.001102")</f>
        <v/>
      </c>
      <c r="Q16">
        <f>_xlfn.NUMBERVALUE("0.001097")</f>
        <v/>
      </c>
      <c r="R16">
        <f>_xlfn.NUMBERVALUE("0.001441")</f>
        <v/>
      </c>
      <c r="S16">
        <f>_xlfn.NUMBERVALUE("-0.000118")</f>
        <v/>
      </c>
      <c r="T16">
        <f>_xlfn.NUMBERVALUE("0.003071")</f>
        <v/>
      </c>
      <c r="U16">
        <f>_xlfn.NUMBERVALUE("0.000214")</f>
        <v/>
      </c>
      <c r="V16">
        <f>_xlfn.NUMBERVALUE("0.001571")</f>
        <v/>
      </c>
      <c r="W16">
        <f>_xlfn.NUMBERVALUE("0.014229")</f>
        <v/>
      </c>
      <c r="X16">
        <f>_xlfn.NUMBERVALUE("-2.450000")</f>
        <v/>
      </c>
      <c r="Y16">
        <f>_xlfn.NUMBERVALUE("16.400000")</f>
        <v/>
      </c>
    </row>
    <row r="17">
      <c r="A17" s="1" t="n">
        <v>42027</v>
      </c>
      <c r="B17">
        <f>_xlfn.NUMBERVALUE("0.000000")</f>
        <v/>
      </c>
      <c r="C17" s="2">
        <f>_xlfn.NUMBERVALUE("0.000293")</f>
        <v/>
      </c>
      <c r="D17">
        <f>_xlfn.NUMBERVALUE("0.001774")</f>
        <v/>
      </c>
      <c r="E17">
        <f>_xlfn.NUMBERVALUE("0.001557")</f>
        <v/>
      </c>
      <c r="F17">
        <f>_xlfn.NUMBERVALUE("-0.000089")</f>
        <v/>
      </c>
      <c r="G17">
        <f>_xlfn.NUMBERVALUE("0.000481")</f>
        <v/>
      </c>
      <c r="H17">
        <f>_xlfn.NUMBERVALUE("0.000137")</f>
        <v/>
      </c>
      <c r="I17">
        <f>_xlfn.NUMBERVALUE("0.000969")</f>
        <v/>
      </c>
      <c r="J17">
        <f>_xlfn.NUMBERVALUE("-0.001390")</f>
        <v/>
      </c>
      <c r="K17">
        <f>_xlfn.NUMBERVALUE("-0.001725")</f>
        <v/>
      </c>
      <c r="L17">
        <f>_xlfn.NUMBERVALUE("-0.000547")</f>
        <v/>
      </c>
      <c r="M17">
        <f>_xlfn.NUMBERVALUE("0.000568")</f>
        <v/>
      </c>
      <c r="N17">
        <f>_xlfn.NUMBERVALUE("0.000000")</f>
        <v/>
      </c>
      <c r="O17">
        <f>_xlfn.NUMBERVALUE("0.001468")</f>
        <v/>
      </c>
      <c r="P17">
        <f>_xlfn.NUMBERVALUE("0.002414")</f>
        <v/>
      </c>
      <c r="Q17">
        <f>_xlfn.NUMBERVALUE("0.000799")</f>
        <v/>
      </c>
      <c r="R17">
        <f>_xlfn.NUMBERVALUE("0.001808")</f>
        <v/>
      </c>
      <c r="S17">
        <f>_xlfn.NUMBERVALUE("0.000621")</f>
        <v/>
      </c>
      <c r="T17">
        <f>_xlfn.NUMBERVALUE("0.002639")</f>
        <v/>
      </c>
      <c r="U17">
        <f>_xlfn.NUMBERVALUE("0.001062")</f>
        <v/>
      </c>
      <c r="V17">
        <f>_xlfn.NUMBERVALUE("0.000711")</f>
        <v/>
      </c>
      <c r="W17">
        <f>_xlfn.NUMBERVALUE("-0.004806")</f>
        <v/>
      </c>
      <c r="X17">
        <f>_xlfn.NUMBERVALUE("0.260000")</f>
        <v/>
      </c>
      <c r="Y17">
        <f>_xlfn.NUMBERVALUE("16.660000")</f>
        <v/>
      </c>
    </row>
    <row r="18">
      <c r="A18" s="1" t="n">
        <v>42030</v>
      </c>
      <c r="B18">
        <f>_xlfn.NUMBERVALUE("0.000000")</f>
        <v/>
      </c>
      <c r="C18" s="2">
        <f>_xlfn.NUMBERVALUE("0.002232")</f>
        <v/>
      </c>
      <c r="D18">
        <f>_xlfn.NUMBERVALUE("0.004052")</f>
        <v/>
      </c>
      <c r="E18">
        <f>_xlfn.NUMBERVALUE("0.000288")</f>
        <v/>
      </c>
      <c r="F18">
        <f>_xlfn.NUMBERVALUE("0.000416")</f>
        <v/>
      </c>
      <c r="G18">
        <f>_xlfn.NUMBERVALUE("0.000978")</f>
        <v/>
      </c>
      <c r="H18">
        <f>_xlfn.NUMBERVALUE("-0.000318")</f>
        <v/>
      </c>
      <c r="I18">
        <f>_xlfn.NUMBERVALUE("0.001983")</f>
        <v/>
      </c>
      <c r="J18">
        <f>_xlfn.NUMBERVALUE("-0.000710")</f>
        <v/>
      </c>
      <c r="K18">
        <f>_xlfn.NUMBERVALUE("-0.000323")</f>
        <v/>
      </c>
      <c r="L18">
        <f>_xlfn.NUMBERVALUE("0.000544")</f>
        <v/>
      </c>
      <c r="M18">
        <f>_xlfn.NUMBERVALUE("0.000938")</f>
        <v/>
      </c>
      <c r="N18">
        <f>_xlfn.NUMBERVALUE("0.000000")</f>
        <v/>
      </c>
      <c r="O18">
        <f>_xlfn.NUMBERVALUE("0.002466")</f>
        <v/>
      </c>
      <c r="P18">
        <f>_xlfn.NUMBERVALUE("-0.000338")</f>
        <v/>
      </c>
      <c r="Q18">
        <f>_xlfn.NUMBERVALUE("0.002148")</f>
        <v/>
      </c>
      <c r="R18">
        <f>_xlfn.NUMBERVALUE("0.000935")</f>
        <v/>
      </c>
      <c r="S18">
        <f>_xlfn.NUMBERVALUE("0.004838")</f>
        <v/>
      </c>
      <c r="T18">
        <f>_xlfn.NUMBERVALUE("-0.001281")</f>
        <v/>
      </c>
      <c r="U18">
        <f>_xlfn.NUMBERVALUE("0.001839")</f>
        <v/>
      </c>
      <c r="V18">
        <f>_xlfn.NUMBERVALUE("0.003458")</f>
        <v/>
      </c>
      <c r="W18">
        <f>_xlfn.NUMBERVALUE("0.003512")</f>
        <v/>
      </c>
      <c r="X18">
        <f>_xlfn.NUMBERVALUE("-1.140000")</f>
        <v/>
      </c>
      <c r="Y18">
        <f>_xlfn.NUMBERVALUE("15.520000")</f>
        <v/>
      </c>
    </row>
    <row r="19">
      <c r="A19" s="1" t="n">
        <v>42031</v>
      </c>
      <c r="B19">
        <f>_xlfn.NUMBERVALUE("0.000000")</f>
        <v/>
      </c>
      <c r="C19" s="2">
        <f>_xlfn.NUMBERVALUE("-0.000746")</f>
        <v/>
      </c>
      <c r="D19">
        <f>_xlfn.NUMBERVALUE("0.001677")</f>
        <v/>
      </c>
      <c r="E19">
        <f>_xlfn.NUMBERVALUE("-0.000508")</f>
        <v/>
      </c>
      <c r="F19">
        <f>_xlfn.NUMBERVALUE("-0.000157")</f>
        <v/>
      </c>
      <c r="G19">
        <f>_xlfn.NUMBERVALUE("-0.000765")</f>
        <v/>
      </c>
      <c r="H19">
        <f>_xlfn.NUMBERVALUE("-0.000840")</f>
        <v/>
      </c>
      <c r="I19">
        <f>_xlfn.NUMBERVALUE("-0.001487")</f>
        <v/>
      </c>
      <c r="J19">
        <f>_xlfn.NUMBERVALUE("0.001537")</f>
        <v/>
      </c>
      <c r="K19">
        <f>_xlfn.NUMBERVALUE("0.000043")</f>
        <v/>
      </c>
      <c r="L19">
        <f>_xlfn.NUMBERVALUE("0.000214")</f>
        <v/>
      </c>
      <c r="M19">
        <f>_xlfn.NUMBERVALUE("-0.001402")</f>
        <v/>
      </c>
      <c r="N19">
        <f>_xlfn.NUMBERVALUE("0.000000")</f>
        <v/>
      </c>
      <c r="O19">
        <f>_xlfn.NUMBERVALUE("0.001436")</f>
        <v/>
      </c>
      <c r="P19">
        <f>_xlfn.NUMBERVALUE("0.000380")</f>
        <v/>
      </c>
      <c r="Q19">
        <f>_xlfn.NUMBERVALUE("-0.000293")</f>
        <v/>
      </c>
      <c r="R19">
        <f>_xlfn.NUMBERVALUE("-0.013534")</f>
        <v/>
      </c>
      <c r="S19">
        <f>_xlfn.NUMBERVALUE("-0.001304")</f>
        <v/>
      </c>
      <c r="T19">
        <f>_xlfn.NUMBERVALUE("0.000677")</f>
        <v/>
      </c>
      <c r="U19">
        <f>_xlfn.NUMBERVALUE("-0.002524")</f>
        <v/>
      </c>
      <c r="V19">
        <f>_xlfn.NUMBERVALUE("-0.003682")</f>
        <v/>
      </c>
      <c r="W19">
        <f>_xlfn.NUMBERVALUE("-0.011082")</f>
        <v/>
      </c>
      <c r="X19">
        <f>_xlfn.NUMBERVALUE("1.700000")</f>
        <v/>
      </c>
      <c r="Y19">
        <f>_xlfn.NUMBERVALUE("17.220000")</f>
        <v/>
      </c>
    </row>
    <row r="20">
      <c r="A20" s="1" t="n">
        <v>42032</v>
      </c>
      <c r="B20">
        <f>_xlfn.NUMBERVALUE("0.000000")</f>
        <v/>
      </c>
      <c r="C20" s="2">
        <f>_xlfn.NUMBERVALUE("-0.001131")</f>
        <v/>
      </c>
      <c r="D20">
        <f>_xlfn.NUMBERVALUE("-0.004504")</f>
        <v/>
      </c>
      <c r="E20">
        <f>_xlfn.NUMBERVALUE("-0.002322")</f>
        <v/>
      </c>
      <c r="F20">
        <f>_xlfn.NUMBERVALUE("-0.000078")</f>
        <v/>
      </c>
      <c r="G20">
        <f>_xlfn.NUMBERVALUE("0.001246")</f>
        <v/>
      </c>
      <c r="H20">
        <f>_xlfn.NUMBERVALUE("0.000668")</f>
        <v/>
      </c>
      <c r="I20">
        <f>_xlfn.NUMBERVALUE("-0.005184")</f>
        <v/>
      </c>
      <c r="J20">
        <f>_xlfn.NUMBERVALUE("-0.000118")</f>
        <v/>
      </c>
      <c r="K20">
        <f>_xlfn.NUMBERVALUE("0.000025")</f>
        <v/>
      </c>
      <c r="L20">
        <f>_xlfn.NUMBERVALUE("-0.000655")</f>
        <v/>
      </c>
      <c r="M20">
        <f>_xlfn.NUMBERVALUE("-0.004337")</f>
        <v/>
      </c>
      <c r="N20">
        <f>_xlfn.NUMBERVALUE("0.000000")</f>
        <v/>
      </c>
      <c r="O20">
        <f>_xlfn.NUMBERVALUE("-0.013183")</f>
        <v/>
      </c>
      <c r="P20">
        <f>_xlfn.NUMBERVALUE("-0.001749")</f>
        <v/>
      </c>
      <c r="Q20">
        <f>_xlfn.NUMBERVALUE("-0.002847")</f>
        <v/>
      </c>
      <c r="R20">
        <f>_xlfn.NUMBERVALUE("0.000997")</f>
        <v/>
      </c>
      <c r="S20">
        <f>_xlfn.NUMBERVALUE("-0.002869")</f>
        <v/>
      </c>
      <c r="T20">
        <f>_xlfn.NUMBERVALUE("0.002500")</f>
        <v/>
      </c>
      <c r="U20">
        <f>_xlfn.NUMBERVALUE("-0.002544")</f>
        <v/>
      </c>
      <c r="V20">
        <f>_xlfn.NUMBERVALUE("-0.003499")</f>
        <v/>
      </c>
      <c r="W20">
        <f>_xlfn.NUMBERVALUE("-0.015876")</f>
        <v/>
      </c>
      <c r="X20">
        <f>_xlfn.NUMBERVALUE("3.220000")</f>
        <v/>
      </c>
      <c r="Y20">
        <f>_xlfn.NUMBERVALUE("20.440000")</f>
        <v/>
      </c>
    </row>
    <row r="21">
      <c r="A21" s="1" t="n">
        <v>42033</v>
      </c>
      <c r="B21">
        <f>_xlfn.NUMBERVALUE("0.000000")</f>
        <v/>
      </c>
      <c r="C21" s="2">
        <f>_xlfn.NUMBERVALUE("0.000589")</f>
        <v/>
      </c>
      <c r="D21">
        <f>_xlfn.NUMBERVALUE("0.003676")</f>
        <v/>
      </c>
      <c r="E21">
        <f>_xlfn.NUMBERVALUE("0.000489")</f>
        <v/>
      </c>
      <c r="F21">
        <f>_xlfn.NUMBERVALUE("0.000031")</f>
        <v/>
      </c>
      <c r="G21">
        <f>_xlfn.NUMBERVALUE("-0.000079")</f>
        <v/>
      </c>
      <c r="H21">
        <f>_xlfn.NUMBERVALUE("0.000055")</f>
        <v/>
      </c>
      <c r="I21">
        <f>_xlfn.NUMBERVALUE("0.001599")</f>
        <v/>
      </c>
      <c r="J21">
        <f>_xlfn.NUMBERVALUE("-0.000879")</f>
        <v/>
      </c>
      <c r="K21">
        <f>_xlfn.NUMBERVALUE("-0.001328")</f>
        <v/>
      </c>
      <c r="L21">
        <f>_xlfn.NUMBERVALUE("0.000391")</f>
        <v/>
      </c>
      <c r="M21">
        <f>_xlfn.NUMBERVALUE("0.003305")</f>
        <v/>
      </c>
      <c r="N21">
        <f>_xlfn.NUMBERVALUE("0.000000")</f>
        <v/>
      </c>
      <c r="O21">
        <f>_xlfn.NUMBERVALUE("0.001494")</f>
        <v/>
      </c>
      <c r="P21">
        <f>_xlfn.NUMBERVALUE("0.001109")</f>
        <v/>
      </c>
      <c r="Q21">
        <f>_xlfn.NUMBERVALUE("-0.000331")</f>
        <v/>
      </c>
      <c r="R21">
        <f>_xlfn.NUMBERVALUE("0.002872")</f>
        <v/>
      </c>
      <c r="S21">
        <f>_xlfn.NUMBERVALUE("0.002073")</f>
        <v/>
      </c>
      <c r="T21">
        <f>_xlfn.NUMBERVALUE("-0.001737")</f>
        <v/>
      </c>
      <c r="U21">
        <f>_xlfn.NUMBERVALUE("0.002718")</f>
        <v/>
      </c>
      <c r="V21">
        <f>_xlfn.NUMBERVALUE("0.001421")</f>
        <v/>
      </c>
      <c r="W21">
        <f>_xlfn.NUMBERVALUE("0.008491")</f>
        <v/>
      </c>
      <c r="X21">
        <f>_xlfn.NUMBERVALUE("-1.680000")</f>
        <v/>
      </c>
      <c r="Y21">
        <f>_xlfn.NUMBERVALUE("18.760000")</f>
        <v/>
      </c>
    </row>
    <row r="22">
      <c r="A22" s="1" t="n">
        <v>42034</v>
      </c>
      <c r="B22">
        <f>_xlfn.NUMBERVALUE("0.000000")</f>
        <v/>
      </c>
      <c r="C22" s="2">
        <f>_xlfn.NUMBERVALUE("-0.001146")</f>
        <v/>
      </c>
      <c r="D22">
        <f>_xlfn.NUMBERVALUE("-0.010102")</f>
        <v/>
      </c>
      <c r="E22">
        <f>_xlfn.NUMBERVALUE("-0.000311")</f>
        <v/>
      </c>
      <c r="F22">
        <f>_xlfn.NUMBERVALUE("-0.000473")</f>
        <v/>
      </c>
      <c r="G22">
        <f>_xlfn.NUMBERVALUE("0.001233")</f>
        <v/>
      </c>
      <c r="H22">
        <f>_xlfn.NUMBERVALUE("-0.000001")</f>
        <v/>
      </c>
      <c r="I22">
        <f>_xlfn.NUMBERVALUE("-0.004222")</f>
        <v/>
      </c>
      <c r="J22">
        <f>_xlfn.NUMBERVALUE("0.001033")</f>
        <v/>
      </c>
      <c r="K22">
        <f>_xlfn.NUMBERVALUE("0.000324")</f>
        <v/>
      </c>
      <c r="L22">
        <f>_xlfn.NUMBERVALUE("0.000167")</f>
        <v/>
      </c>
      <c r="M22">
        <f>_xlfn.NUMBERVALUE("-0.000394")</f>
        <v/>
      </c>
      <c r="N22">
        <f>_xlfn.NUMBERVALUE("0.000000")</f>
        <v/>
      </c>
      <c r="O22">
        <f>_xlfn.NUMBERVALUE("0.000679")</f>
        <v/>
      </c>
      <c r="P22">
        <f>_xlfn.NUMBERVALUE("0.000616")</f>
        <v/>
      </c>
      <c r="Q22">
        <f>_xlfn.NUMBERVALUE("0.000705")</f>
        <v/>
      </c>
      <c r="R22">
        <f>_xlfn.NUMBERVALUE("-0.000665")</f>
        <v/>
      </c>
      <c r="S22">
        <f>_xlfn.NUMBERVALUE("-0.008437")</f>
        <v/>
      </c>
      <c r="T22">
        <f>_xlfn.NUMBERVALUE("-0.000793")</f>
        <v/>
      </c>
      <c r="U22">
        <f>_xlfn.NUMBERVALUE("-0.001067")</f>
        <v/>
      </c>
      <c r="V22">
        <f>_xlfn.NUMBERVALUE("-0.001176")</f>
        <v/>
      </c>
      <c r="W22">
        <f>_xlfn.NUMBERVALUE("-0.012579")</f>
        <v/>
      </c>
      <c r="X22">
        <f>_xlfn.NUMBERVALUE("2.210000")</f>
        <v/>
      </c>
      <c r="Y22">
        <f>_xlfn.NUMBERVALUE("20.970000")</f>
        <v/>
      </c>
    </row>
    <row r="23">
      <c r="A23" s="1" t="n">
        <v>42037</v>
      </c>
      <c r="B23">
        <f>_xlfn.NUMBERVALUE("0.000000")</f>
        <v/>
      </c>
      <c r="C23" s="2">
        <f>_xlfn.NUMBERVALUE("0.000288")</f>
        <v/>
      </c>
      <c r="D23">
        <f>_xlfn.NUMBERVALUE("0.003052")</f>
        <v/>
      </c>
      <c r="E23">
        <f>_xlfn.NUMBERVALUE("-0.002484")</f>
        <v/>
      </c>
      <c r="F23">
        <f>_xlfn.NUMBERVALUE("-0.000041")</f>
        <v/>
      </c>
      <c r="G23">
        <f>_xlfn.NUMBERVALUE("0.001728")</f>
        <v/>
      </c>
      <c r="H23">
        <f>_xlfn.NUMBERVALUE("-0.000446")</f>
        <v/>
      </c>
      <c r="I23">
        <f>_xlfn.NUMBERVALUE("0.001681")</f>
        <v/>
      </c>
      <c r="J23">
        <f>_xlfn.NUMBERVALUE("-0.000787")</f>
        <v/>
      </c>
      <c r="K23">
        <f>_xlfn.NUMBERVALUE("-0.000495")</f>
        <v/>
      </c>
      <c r="L23">
        <f>_xlfn.NUMBERVALUE("-0.000930")</f>
        <v/>
      </c>
      <c r="M23">
        <f>_xlfn.NUMBERVALUE("0.007766")</f>
        <v/>
      </c>
      <c r="N23">
        <f>_xlfn.NUMBERVALUE("0.000000")</f>
        <v/>
      </c>
      <c r="O23">
        <f>_xlfn.NUMBERVALUE("0.002312")</f>
        <v/>
      </c>
      <c r="P23">
        <f>_xlfn.NUMBERVALUE("0.000001")</f>
        <v/>
      </c>
      <c r="Q23">
        <f>_xlfn.NUMBERVALUE("0.000969")</f>
        <v/>
      </c>
      <c r="R23">
        <f>_xlfn.NUMBERVALUE("0.000367")</f>
        <v/>
      </c>
      <c r="S23">
        <f>_xlfn.NUMBERVALUE("0.005878")</f>
        <v/>
      </c>
      <c r="T23">
        <f>_xlfn.NUMBERVALUE("0.001356")</f>
        <v/>
      </c>
      <c r="U23">
        <f>_xlfn.NUMBERVALUE("0.002758")</f>
        <v/>
      </c>
      <c r="V23">
        <f>_xlfn.NUMBERVALUE("0.000760")</f>
        <v/>
      </c>
      <c r="W23">
        <f>_xlfn.NUMBERVALUE("0.006921")</f>
        <v/>
      </c>
      <c r="X23">
        <f>_xlfn.NUMBERVALUE("-1.540000")</f>
        <v/>
      </c>
      <c r="Y23">
        <f>_xlfn.NUMBERVALUE("19.430000")</f>
        <v/>
      </c>
    </row>
    <row r="24">
      <c r="A24" s="1" t="n">
        <v>42038</v>
      </c>
      <c r="B24">
        <f>_xlfn.NUMBERVALUE("0.000000")</f>
        <v/>
      </c>
      <c r="C24" s="2">
        <f>_xlfn.NUMBERVALUE("-0.001267")</f>
        <v/>
      </c>
      <c r="D24">
        <f>_xlfn.NUMBERVALUE("-0.000023")</f>
        <v/>
      </c>
      <c r="E24">
        <f>_xlfn.NUMBERVALUE("-0.002242")</f>
        <v/>
      </c>
      <c r="F24">
        <f>_xlfn.NUMBERVALUE("-0.000747")</f>
        <v/>
      </c>
      <c r="G24">
        <f>_xlfn.NUMBERVALUE("-0.000899")</f>
        <v/>
      </c>
      <c r="H24">
        <f>_xlfn.NUMBERVALUE("-0.001924")</f>
        <v/>
      </c>
      <c r="I24">
        <f>_xlfn.NUMBERVALUE("0.000753")</f>
        <v/>
      </c>
      <c r="J24">
        <f>_xlfn.NUMBERVALUE("-0.001164")</f>
        <v/>
      </c>
      <c r="K24">
        <f>_xlfn.NUMBERVALUE("0.001725")</f>
        <v/>
      </c>
      <c r="L24">
        <f>_xlfn.NUMBERVALUE("-0.006125")</f>
        <v/>
      </c>
      <c r="M24">
        <f>_xlfn.NUMBERVALUE("-0.000603")</f>
        <v/>
      </c>
      <c r="N24">
        <f>_xlfn.NUMBERVALUE("0.000000")</f>
        <v/>
      </c>
      <c r="O24">
        <f>_xlfn.NUMBERVALUE("-0.004091")</f>
        <v/>
      </c>
      <c r="P24">
        <f>_xlfn.NUMBERVALUE("0.000565")</f>
        <v/>
      </c>
      <c r="Q24">
        <f>_xlfn.NUMBERVALUE("-0.001681")</f>
        <v/>
      </c>
      <c r="R24">
        <f>_xlfn.NUMBERVALUE("0.001485")</f>
        <v/>
      </c>
      <c r="S24">
        <f>_xlfn.NUMBERVALUE("0.001711")</f>
        <v/>
      </c>
      <c r="T24">
        <f>_xlfn.NUMBERVALUE("0.002349")</f>
        <v/>
      </c>
      <c r="U24">
        <f>_xlfn.NUMBERVALUE("-0.000302")</f>
        <v/>
      </c>
      <c r="V24">
        <f>_xlfn.NUMBERVALUE("0.000749")</f>
        <v/>
      </c>
      <c r="W24">
        <f>_xlfn.NUMBERVALUE("0.012664")</f>
        <v/>
      </c>
      <c r="X24">
        <f>_xlfn.NUMBERVALUE("-2.100000")</f>
        <v/>
      </c>
      <c r="Y24">
        <f>_xlfn.NUMBERVALUE("17.330000")</f>
        <v/>
      </c>
    </row>
    <row r="25">
      <c r="A25" s="1" t="n">
        <v>42039</v>
      </c>
      <c r="B25">
        <f>_xlfn.NUMBERVALUE("0.000000")</f>
        <v/>
      </c>
      <c r="C25" s="2">
        <f>_xlfn.NUMBERVALUE("-0.000297")</f>
        <v/>
      </c>
      <c r="D25">
        <f>_xlfn.NUMBERVALUE("-0.000889")</f>
        <v/>
      </c>
      <c r="E25">
        <f>_xlfn.NUMBERVALUE("-0.000606")</f>
        <v/>
      </c>
      <c r="F25">
        <f>_xlfn.NUMBERVALUE("0.000817")</f>
        <v/>
      </c>
      <c r="G25">
        <f>_xlfn.NUMBERVALUE("0.000140")</f>
        <v/>
      </c>
      <c r="H25">
        <f>_xlfn.NUMBERVALUE("0.000685")</f>
        <v/>
      </c>
      <c r="I25">
        <f>_xlfn.NUMBERVALUE("-0.000035")</f>
        <v/>
      </c>
      <c r="J25">
        <f>_xlfn.NUMBERVALUE("0.000895")</f>
        <v/>
      </c>
      <c r="K25">
        <f>_xlfn.NUMBERVALUE("0.003316")</f>
        <v/>
      </c>
      <c r="L25">
        <f>_xlfn.NUMBERVALUE("0.000245")</f>
        <v/>
      </c>
      <c r="M25">
        <f>_xlfn.NUMBERVALUE("-0.000303")</f>
        <v/>
      </c>
      <c r="N25">
        <f>_xlfn.NUMBERVALUE("0.000000")</f>
        <v/>
      </c>
      <c r="O25">
        <f>_xlfn.NUMBERVALUE("-0.001936")</f>
        <v/>
      </c>
      <c r="P25">
        <f>_xlfn.NUMBERVALUE("-0.001342")</f>
        <v/>
      </c>
      <c r="Q25">
        <f>_xlfn.NUMBERVALUE("-0.000516")</f>
        <v/>
      </c>
      <c r="R25">
        <f>_xlfn.NUMBERVALUE("0.000304")</f>
        <v/>
      </c>
      <c r="S25">
        <f>_xlfn.NUMBERVALUE("-0.000760")</f>
        <v/>
      </c>
      <c r="T25">
        <f>_xlfn.NUMBERVALUE("-0.001599")</f>
        <v/>
      </c>
      <c r="U25">
        <f>_xlfn.NUMBERVALUE("-0.001268")</f>
        <v/>
      </c>
      <c r="V25">
        <f>_xlfn.NUMBERVALUE("-0.000133")</f>
        <v/>
      </c>
      <c r="W25">
        <f>_xlfn.NUMBERVALUE("-0.004201")</f>
        <v/>
      </c>
      <c r="X25">
        <f>_xlfn.NUMBERVALUE("1.000000")</f>
        <v/>
      </c>
      <c r="Y25">
        <f>_xlfn.NUMBERVALUE("18.330000")</f>
        <v/>
      </c>
    </row>
    <row r="26">
      <c r="A26" s="1" t="n">
        <v>42040</v>
      </c>
      <c r="B26">
        <f>_xlfn.NUMBERVALUE("0.000000")</f>
        <v/>
      </c>
      <c r="C26" s="2">
        <f>_xlfn.NUMBERVALUE("-0.001321")</f>
        <v/>
      </c>
      <c r="D26">
        <f>_xlfn.NUMBERVALUE("0.001448")</f>
        <v/>
      </c>
      <c r="E26">
        <f>_xlfn.NUMBERVALUE("-0.001095")</f>
        <v/>
      </c>
      <c r="F26">
        <f>_xlfn.NUMBERVALUE("0.001592")</f>
        <v/>
      </c>
      <c r="G26">
        <f>_xlfn.NUMBERVALUE("0.001833")</f>
        <v/>
      </c>
      <c r="H26">
        <f>_xlfn.NUMBERVALUE("-0.000188")</f>
        <v/>
      </c>
      <c r="I26">
        <f>_xlfn.NUMBERVALUE("-0.001116")</f>
        <v/>
      </c>
      <c r="J26">
        <f>_xlfn.NUMBERVALUE("0.000206")</f>
        <v/>
      </c>
      <c r="K26">
        <f>_xlfn.NUMBERVALUE("-0.000304")</f>
        <v/>
      </c>
      <c r="L26">
        <f>_xlfn.NUMBERVALUE("-0.000929")</f>
        <v/>
      </c>
      <c r="M26">
        <f>_xlfn.NUMBERVALUE("-0.005294")</f>
        <v/>
      </c>
      <c r="N26">
        <f>_xlfn.NUMBERVALUE("0.000000")</f>
        <v/>
      </c>
      <c r="O26">
        <f>_xlfn.NUMBERVALUE("0.001188")</f>
        <v/>
      </c>
      <c r="P26">
        <f>_xlfn.NUMBERVALUE("-0.000111")</f>
        <v/>
      </c>
      <c r="Q26">
        <f>_xlfn.NUMBERVALUE("0.000162")</f>
        <v/>
      </c>
      <c r="R26">
        <f>_xlfn.NUMBERVALUE("-0.000941")</f>
        <v/>
      </c>
      <c r="S26">
        <f>_xlfn.NUMBERVALUE("0.000685")</f>
        <v/>
      </c>
      <c r="T26">
        <f>_xlfn.NUMBERVALUE("0.002054")</f>
        <v/>
      </c>
      <c r="U26">
        <f>_xlfn.NUMBERVALUE("0.000314")</f>
        <v/>
      </c>
      <c r="V26">
        <f>_xlfn.NUMBERVALUE("-0.000502")</f>
        <v/>
      </c>
      <c r="W26">
        <f>_xlfn.NUMBERVALUE("0.010940")</f>
        <v/>
      </c>
      <c r="X26">
        <f>_xlfn.NUMBERVALUE("-1.480000")</f>
        <v/>
      </c>
      <c r="Y26">
        <f>_xlfn.NUMBERVALUE("16.850000")</f>
        <v/>
      </c>
    </row>
    <row r="27">
      <c r="A27" s="1" t="n">
        <v>42041</v>
      </c>
      <c r="B27">
        <f>_xlfn.NUMBERVALUE("0.000000")</f>
        <v/>
      </c>
      <c r="C27" s="2">
        <f>_xlfn.NUMBERVALUE("-0.000705")</f>
        <v/>
      </c>
      <c r="D27">
        <f>_xlfn.NUMBERVALUE("0.001341")</f>
        <v/>
      </c>
      <c r="E27">
        <f>_xlfn.NUMBERVALUE("-0.001343")</f>
        <v/>
      </c>
      <c r="F27">
        <f>_xlfn.NUMBERVALUE("-0.005368")</f>
        <v/>
      </c>
      <c r="G27">
        <f>_xlfn.NUMBERVALUE("-0.001956")</f>
        <v/>
      </c>
      <c r="H27">
        <f>_xlfn.NUMBERVALUE("-0.001588")</f>
        <v/>
      </c>
      <c r="I27">
        <f>_xlfn.NUMBERVALUE("-0.000127")</f>
        <v/>
      </c>
      <c r="J27">
        <f>_xlfn.NUMBERVALUE("-0.001563")</f>
        <v/>
      </c>
      <c r="K27">
        <f>_xlfn.NUMBERVALUE("-0.004700")</f>
        <v/>
      </c>
      <c r="L27">
        <f>_xlfn.NUMBERVALUE("-0.000711")</f>
        <v/>
      </c>
      <c r="M27">
        <f>_xlfn.NUMBERVALUE("-0.001138")</f>
        <v/>
      </c>
      <c r="N27">
        <f>_xlfn.NUMBERVALUE("0.000000")</f>
        <v/>
      </c>
      <c r="O27">
        <f>_xlfn.NUMBERVALUE("0.001446")</f>
        <v/>
      </c>
      <c r="P27">
        <f>_xlfn.NUMBERVALUE("-0.005037")</f>
        <v/>
      </c>
      <c r="Q27">
        <f>_xlfn.NUMBERVALUE("0.000833")</f>
        <v/>
      </c>
      <c r="R27">
        <f>_xlfn.NUMBERVALUE("-0.000048")</f>
        <v/>
      </c>
      <c r="S27">
        <f>_xlfn.NUMBERVALUE("-0.000890")</f>
        <v/>
      </c>
      <c r="T27">
        <f>_xlfn.NUMBERVALUE("-0.016534")</f>
        <v/>
      </c>
      <c r="U27">
        <f>_xlfn.NUMBERVALUE("-0.000360")</f>
        <v/>
      </c>
      <c r="V27">
        <f>_xlfn.NUMBERVALUE("-0.001410")</f>
        <v/>
      </c>
      <c r="W27">
        <f>_xlfn.NUMBERVALUE("-0.003445")</f>
        <v/>
      </c>
      <c r="X27">
        <f>_xlfn.NUMBERVALUE("0.440000")</f>
        <v/>
      </c>
      <c r="Y27">
        <f>_xlfn.NUMBERVALUE("17.290000")</f>
        <v/>
      </c>
    </row>
    <row r="28">
      <c r="A28" s="1" t="n">
        <v>42044</v>
      </c>
      <c r="B28">
        <f>_xlfn.NUMBERVALUE("0.000000")</f>
        <v/>
      </c>
      <c r="C28" s="2">
        <f>_xlfn.NUMBERVALUE("0.001702")</f>
        <v/>
      </c>
      <c r="D28">
        <f>_xlfn.NUMBERVALUE("0.001650")</f>
        <v/>
      </c>
      <c r="E28">
        <f>_xlfn.NUMBERVALUE("0.000234")</f>
        <v/>
      </c>
      <c r="F28">
        <f>_xlfn.NUMBERVALUE("0.002312")</f>
        <v/>
      </c>
      <c r="G28">
        <f>_xlfn.NUMBERVALUE("0.001084")</f>
        <v/>
      </c>
      <c r="H28">
        <f>_xlfn.NUMBERVALUE("0.000120")</f>
        <v/>
      </c>
      <c r="I28">
        <f>_xlfn.NUMBERVALUE("0.001936")</f>
        <v/>
      </c>
      <c r="J28">
        <f>_xlfn.NUMBERVALUE("-0.000409")</f>
        <v/>
      </c>
      <c r="K28">
        <f>_xlfn.NUMBERVALUE("0.000800")</f>
        <v/>
      </c>
      <c r="L28">
        <f>_xlfn.NUMBERVALUE("0.000238")</f>
        <v/>
      </c>
      <c r="M28">
        <f>_xlfn.NUMBERVALUE("0.002457")</f>
        <v/>
      </c>
      <c r="N28">
        <f>_xlfn.NUMBERVALUE("0.000000")</f>
        <v/>
      </c>
      <c r="O28">
        <f>_xlfn.NUMBERVALUE("0.003004")</f>
        <v/>
      </c>
      <c r="P28">
        <f>_xlfn.NUMBERVALUE("0.002525")</f>
        <v/>
      </c>
      <c r="Q28">
        <f>_xlfn.NUMBERVALUE("0.000268")</f>
        <v/>
      </c>
      <c r="R28">
        <f>_xlfn.NUMBERVALUE("0.001833")</f>
        <v/>
      </c>
      <c r="S28">
        <f>_xlfn.NUMBERVALUE("0.001439")</f>
        <v/>
      </c>
      <c r="T28">
        <f>_xlfn.NUMBERVALUE("0.001204")</f>
        <v/>
      </c>
      <c r="U28">
        <f>_xlfn.NUMBERVALUE("0.001880")</f>
        <v/>
      </c>
      <c r="V28">
        <f>_xlfn.NUMBERVALUE("0.002131")</f>
        <v/>
      </c>
      <c r="W28">
        <f>_xlfn.NUMBERVALUE("-0.003165")</f>
        <v/>
      </c>
      <c r="X28">
        <f>_xlfn.NUMBERVALUE("1.260000")</f>
        <v/>
      </c>
      <c r="Y28">
        <f>_xlfn.NUMBERVALUE("18.550000")</f>
        <v/>
      </c>
    </row>
    <row r="29">
      <c r="A29" s="1" t="n">
        <v>42045</v>
      </c>
      <c r="B29">
        <f>_xlfn.NUMBERVALUE("0.000000")</f>
        <v/>
      </c>
      <c r="C29" s="2">
        <f>_xlfn.NUMBERVALUE("0.000737")</f>
        <v/>
      </c>
      <c r="D29">
        <f>_xlfn.NUMBERVALUE("0.002700")</f>
        <v/>
      </c>
      <c r="E29">
        <f>_xlfn.NUMBERVALUE("0.000379")</f>
        <v/>
      </c>
      <c r="F29">
        <f>_xlfn.NUMBERVALUE("0.001071")</f>
        <v/>
      </c>
      <c r="G29">
        <f>_xlfn.NUMBERVALUE("0.000834")</f>
        <v/>
      </c>
      <c r="H29">
        <f>_xlfn.NUMBERVALUE("-0.000686")</f>
        <v/>
      </c>
      <c r="I29">
        <f>_xlfn.NUMBERVALUE("0.002598")</f>
        <v/>
      </c>
      <c r="J29">
        <f>_xlfn.NUMBERVALUE("0.000201")</f>
        <v/>
      </c>
      <c r="K29">
        <f>_xlfn.NUMBERVALUE("0.005798")</f>
        <v/>
      </c>
      <c r="L29">
        <f>_xlfn.NUMBERVALUE("-0.000325")</f>
        <v/>
      </c>
      <c r="M29">
        <f>_xlfn.NUMBERVALUE("0.000110")</f>
        <v/>
      </c>
      <c r="N29">
        <f>_xlfn.NUMBERVALUE("0.000000")</f>
        <v/>
      </c>
      <c r="O29">
        <f>_xlfn.NUMBERVALUE("0.001761")</f>
        <v/>
      </c>
      <c r="P29">
        <f>_xlfn.NUMBERVALUE("0.001112")</f>
        <v/>
      </c>
      <c r="Q29">
        <f>_xlfn.NUMBERVALUE("0.001662")</f>
        <v/>
      </c>
      <c r="R29">
        <f>_xlfn.NUMBERVALUE("-0.001901")</f>
        <v/>
      </c>
      <c r="S29">
        <f>_xlfn.NUMBERVALUE("0.000546")</f>
        <v/>
      </c>
      <c r="T29">
        <f>_xlfn.NUMBERVALUE("0.000912")</f>
        <v/>
      </c>
      <c r="U29">
        <f>_xlfn.NUMBERVALUE("-0.000349")</f>
        <v/>
      </c>
      <c r="V29">
        <f>_xlfn.NUMBERVALUE("0.000468")</f>
        <v/>
      </c>
      <c r="W29">
        <f>_xlfn.NUMBERVALUE("0.010698")</f>
        <v/>
      </c>
      <c r="X29">
        <f>_xlfn.NUMBERVALUE("-1.320000")</f>
        <v/>
      </c>
      <c r="Y29">
        <f>_xlfn.NUMBERVALUE("17.230000")</f>
        <v/>
      </c>
    </row>
    <row r="30">
      <c r="A30" s="1" t="n">
        <v>42046</v>
      </c>
      <c r="B30">
        <f>_xlfn.NUMBERVALUE("0.000000")</f>
        <v/>
      </c>
      <c r="C30" s="2">
        <f>_xlfn.NUMBERVALUE("0.001116")</f>
        <v/>
      </c>
      <c r="D30">
        <f>_xlfn.NUMBERVALUE("0.000870")</f>
        <v/>
      </c>
      <c r="E30">
        <f>_xlfn.NUMBERVALUE("-0.001018")</f>
        <v/>
      </c>
      <c r="F30">
        <f>_xlfn.NUMBERVALUE("-0.000782")</f>
        <v/>
      </c>
      <c r="G30">
        <f>_xlfn.NUMBERVALUE("0.000091")</f>
        <v/>
      </c>
      <c r="H30">
        <f>_xlfn.NUMBERVALUE("0.000738")</f>
        <v/>
      </c>
      <c r="I30">
        <f>_xlfn.NUMBERVALUE("0.001218")</f>
        <v/>
      </c>
      <c r="J30">
        <f>_xlfn.NUMBERVALUE("0.000716")</f>
        <v/>
      </c>
      <c r="K30">
        <f>_xlfn.NUMBERVALUE("0.000791")</f>
        <v/>
      </c>
      <c r="L30">
        <f>_xlfn.NUMBERVALUE("0.000495")</f>
        <v/>
      </c>
      <c r="M30">
        <f>_xlfn.NUMBERVALUE("-0.000511")</f>
        <v/>
      </c>
      <c r="N30">
        <f>_xlfn.NUMBERVALUE("0.000000")</f>
        <v/>
      </c>
      <c r="O30">
        <f>_xlfn.NUMBERVALUE("0.002123")</f>
        <v/>
      </c>
      <c r="P30">
        <f>_xlfn.NUMBERVALUE("0.001406")</f>
        <v/>
      </c>
      <c r="Q30">
        <f>_xlfn.NUMBERVALUE("0.000653")</f>
        <v/>
      </c>
      <c r="R30">
        <f>_xlfn.NUMBERVALUE("0.000635")</f>
        <v/>
      </c>
      <c r="S30">
        <f>_xlfn.NUMBERVALUE("0.000301")</f>
        <v/>
      </c>
      <c r="T30">
        <f>_xlfn.NUMBERVALUE("-0.004570")</f>
        <v/>
      </c>
      <c r="U30">
        <f>_xlfn.NUMBERVALUE("0.001067")</f>
        <v/>
      </c>
      <c r="V30">
        <f>_xlfn.NUMBERVALUE("0.000410")</f>
        <v/>
      </c>
      <c r="W30">
        <f>_xlfn.NUMBERVALUE("-0.000483")</f>
        <v/>
      </c>
      <c r="X30">
        <f>_xlfn.NUMBERVALUE("-0.270000")</f>
        <v/>
      </c>
      <c r="Y30">
        <f>_xlfn.NUMBERVALUE("16.960000")</f>
        <v/>
      </c>
    </row>
    <row r="31">
      <c r="A31" s="1" t="n">
        <v>42047</v>
      </c>
      <c r="B31">
        <f>_xlfn.NUMBERVALUE("0.000000")</f>
        <v/>
      </c>
      <c r="C31" s="2">
        <f>_xlfn.NUMBERVALUE("0.000648")</f>
        <v/>
      </c>
      <c r="D31">
        <f>_xlfn.NUMBERVALUE("-0.001762")</f>
        <v/>
      </c>
      <c r="E31">
        <f>_xlfn.NUMBERVALUE("-0.000822")</f>
        <v/>
      </c>
      <c r="F31">
        <f>_xlfn.NUMBERVALUE("0.001272")</f>
        <v/>
      </c>
      <c r="G31">
        <f>_xlfn.NUMBERVALUE("0.000088")</f>
        <v/>
      </c>
      <c r="H31">
        <f>_xlfn.NUMBERVALUE("0.000235")</f>
        <v/>
      </c>
      <c r="I31">
        <f>_xlfn.NUMBERVALUE("0.001214")</f>
        <v/>
      </c>
      <c r="J31">
        <f>_xlfn.NUMBERVALUE("0.000525")</f>
        <v/>
      </c>
      <c r="K31">
        <f>_xlfn.NUMBERVALUE("-0.000115")</f>
        <v/>
      </c>
      <c r="L31">
        <f>_xlfn.NUMBERVALUE("0.000475")</f>
        <v/>
      </c>
      <c r="M31">
        <f>_xlfn.NUMBERVALUE("0.002502")</f>
        <v/>
      </c>
      <c r="N31">
        <f>_xlfn.NUMBERVALUE("0.000000")</f>
        <v/>
      </c>
      <c r="O31">
        <f>_xlfn.NUMBERVALUE("0.002898")</f>
        <v/>
      </c>
      <c r="P31">
        <f>_xlfn.NUMBERVALUE("-0.001178")</f>
        <v/>
      </c>
      <c r="Q31">
        <f>_xlfn.NUMBERVALUE("0.000536")</f>
        <v/>
      </c>
      <c r="R31">
        <f>_xlfn.NUMBERVALUE("0.000646")</f>
        <v/>
      </c>
      <c r="S31">
        <f>_xlfn.NUMBERVALUE("0.000772")</f>
        <v/>
      </c>
      <c r="T31">
        <f>_xlfn.NUMBERVALUE("0.000396")</f>
        <v/>
      </c>
      <c r="U31">
        <f>_xlfn.NUMBERVALUE("-0.000041")</f>
        <v/>
      </c>
      <c r="V31">
        <f>_xlfn.NUMBERVALUE("0.001043")</f>
        <v/>
      </c>
      <c r="W31">
        <f>_xlfn.NUMBERVALUE("0.010082")</f>
        <v/>
      </c>
      <c r="X31">
        <f>_xlfn.NUMBERVALUE("-1.620000")</f>
        <v/>
      </c>
      <c r="Y31">
        <f>_xlfn.NUMBERVALUE("15.340000")</f>
        <v/>
      </c>
    </row>
    <row r="32">
      <c r="A32" s="1" t="n">
        <v>42048</v>
      </c>
      <c r="B32">
        <f>_xlfn.NUMBERVALUE("0.000000")</f>
        <v/>
      </c>
      <c r="C32" s="2">
        <f>_xlfn.NUMBERVALUE("0.001083")</f>
        <v/>
      </c>
      <c r="D32">
        <f>_xlfn.NUMBERVALUE("0.003286")</f>
        <v/>
      </c>
      <c r="E32">
        <f>_xlfn.NUMBERVALUE("0.000005")</f>
        <v/>
      </c>
      <c r="F32">
        <f>_xlfn.NUMBERVALUE("0.001354")</f>
        <v/>
      </c>
      <c r="G32">
        <f>_xlfn.NUMBERVALUE("0.000991")</f>
        <v/>
      </c>
      <c r="H32">
        <f>_xlfn.NUMBERVALUE("-0.000115")</f>
        <v/>
      </c>
      <c r="I32">
        <f>_xlfn.NUMBERVALUE("0.001157")</f>
        <v/>
      </c>
      <c r="J32">
        <f>_xlfn.NUMBERVALUE("-0.000126")</f>
        <v/>
      </c>
      <c r="K32">
        <f>_xlfn.NUMBERVALUE("0.000043")</f>
        <v/>
      </c>
      <c r="L32">
        <f>_xlfn.NUMBERVALUE("-0.000459")</f>
        <v/>
      </c>
      <c r="M32">
        <f>_xlfn.NUMBERVALUE("-0.001270")</f>
        <v/>
      </c>
      <c r="N32">
        <f>_xlfn.NUMBERVALUE("0.000000")</f>
        <v/>
      </c>
      <c r="O32">
        <f>_xlfn.NUMBERVALUE("-0.001790")</f>
        <v/>
      </c>
      <c r="P32">
        <f>_xlfn.NUMBERVALUE("0.000098")</f>
        <v/>
      </c>
      <c r="Q32">
        <f>_xlfn.NUMBERVALUE("0.001234")</f>
        <v/>
      </c>
      <c r="R32">
        <f>_xlfn.NUMBERVALUE("0.000318")</f>
        <v/>
      </c>
      <c r="S32">
        <f>_xlfn.NUMBERVALUE("0.001105")</f>
        <v/>
      </c>
      <c r="T32">
        <f>_xlfn.NUMBERVALUE("-0.000884")</f>
        <v/>
      </c>
      <c r="U32">
        <f>_xlfn.NUMBERVALUE("0.001805")</f>
        <v/>
      </c>
      <c r="V32">
        <f>_xlfn.NUMBERVALUE("0.000137")</f>
        <v/>
      </c>
      <c r="W32">
        <f>_xlfn.NUMBERVALUE("0.004237")</f>
        <v/>
      </c>
      <c r="X32">
        <f>_xlfn.NUMBERVALUE("-0.650000")</f>
        <v/>
      </c>
      <c r="Y32">
        <f>_xlfn.NUMBERVALUE("14.690000")</f>
        <v/>
      </c>
    </row>
    <row r="33">
      <c r="A33" s="1" t="n">
        <v>42052</v>
      </c>
      <c r="B33">
        <f>_xlfn.NUMBERVALUE("0.000000")</f>
        <v/>
      </c>
      <c r="C33" s="2">
        <f>_xlfn.NUMBERVALUE("0.000739")</f>
        <v/>
      </c>
      <c r="D33">
        <f>_xlfn.NUMBERVALUE("-0.001991")</f>
        <v/>
      </c>
      <c r="E33">
        <f>_xlfn.NUMBERVALUE("0.000603")</f>
        <v/>
      </c>
      <c r="F33">
        <f>_xlfn.NUMBERVALUE("-0.001696")</f>
        <v/>
      </c>
      <c r="G33">
        <f>_xlfn.NUMBERVALUE("0.000214")</f>
        <v/>
      </c>
      <c r="H33">
        <f>_xlfn.NUMBERVALUE("-0.000072")</f>
        <v/>
      </c>
      <c r="I33">
        <f>_xlfn.NUMBERVALUE("0.001111")</f>
        <v/>
      </c>
      <c r="J33">
        <f>_xlfn.NUMBERVALUE("-0.002426")</f>
        <v/>
      </c>
      <c r="K33">
        <f>_xlfn.NUMBERVALUE("-0.012090")</f>
        <v/>
      </c>
      <c r="L33">
        <f>_xlfn.NUMBERVALUE("0.000000")</f>
        <v/>
      </c>
      <c r="M33">
        <f>_xlfn.NUMBERVALUE("0.000386")</f>
        <v/>
      </c>
      <c r="N33">
        <f>_xlfn.NUMBERVALUE("0.000000")</f>
        <v/>
      </c>
      <c r="O33">
        <f>_xlfn.NUMBERVALUE("-0.000392")</f>
        <v/>
      </c>
      <c r="P33">
        <f>_xlfn.NUMBERVALUE("0.001086")</f>
        <v/>
      </c>
      <c r="Q33">
        <f>_xlfn.NUMBERVALUE("0.000158")</f>
        <v/>
      </c>
      <c r="R33">
        <f>_xlfn.NUMBERVALUE("0.000219")</f>
        <v/>
      </c>
      <c r="S33">
        <f>_xlfn.NUMBERVALUE("0.001772")</f>
        <v/>
      </c>
      <c r="T33">
        <f>_xlfn.NUMBERVALUE("0.000120")</f>
        <v/>
      </c>
      <c r="U33">
        <f>_xlfn.NUMBERVALUE("-0.001246")</f>
        <v/>
      </c>
      <c r="V33">
        <f>_xlfn.NUMBERVALUE("0.000784")</f>
        <v/>
      </c>
      <c r="W33">
        <f>_xlfn.NUMBERVALUE("0.000810")</f>
        <v/>
      </c>
      <c r="X33">
        <f>_xlfn.NUMBERVALUE("1.110000")</f>
        <v/>
      </c>
      <c r="Y33">
        <f>_xlfn.NUMBERVALUE("15.800000")</f>
        <v/>
      </c>
    </row>
    <row r="34">
      <c r="A34" s="1" t="n">
        <v>42053</v>
      </c>
      <c r="B34">
        <f>_xlfn.NUMBERVALUE("0.000000")</f>
        <v/>
      </c>
      <c r="C34" s="2">
        <f>_xlfn.NUMBERVALUE("0.001015")</f>
        <v/>
      </c>
      <c r="D34">
        <f>_xlfn.NUMBERVALUE("0.001445")</f>
        <v/>
      </c>
      <c r="E34">
        <f>_xlfn.NUMBERVALUE("0.002335")</f>
        <v/>
      </c>
      <c r="F34">
        <f>_xlfn.NUMBERVALUE("0.000420")</f>
        <v/>
      </c>
      <c r="G34">
        <f>_xlfn.NUMBERVALUE("0.001469")</f>
        <v/>
      </c>
      <c r="H34">
        <f>_xlfn.NUMBERVALUE("-0.000027")</f>
        <v/>
      </c>
      <c r="I34">
        <f>_xlfn.NUMBERVALUE("0.000754")</f>
        <v/>
      </c>
      <c r="J34">
        <f>_xlfn.NUMBERVALUE("0.002061")</f>
        <v/>
      </c>
      <c r="K34">
        <f>_xlfn.NUMBERVALUE("0.002676")</f>
        <v/>
      </c>
      <c r="L34">
        <f>_xlfn.NUMBERVALUE("-0.000817")</f>
        <v/>
      </c>
      <c r="M34">
        <f>_xlfn.NUMBERVALUE("0.000352")</f>
        <v/>
      </c>
      <c r="N34">
        <f>_xlfn.NUMBERVALUE("0.000000")</f>
        <v/>
      </c>
      <c r="O34">
        <f>_xlfn.NUMBERVALUE("0.002750")</f>
        <v/>
      </c>
      <c r="P34">
        <f>_xlfn.NUMBERVALUE("0.001803")</f>
        <v/>
      </c>
      <c r="Q34">
        <f>_xlfn.NUMBERVALUE("-0.000735")</f>
        <v/>
      </c>
      <c r="R34">
        <f>_xlfn.NUMBERVALUE("0.000014")</f>
        <v/>
      </c>
      <c r="S34">
        <f>_xlfn.NUMBERVALUE("0.000485")</f>
        <v/>
      </c>
      <c r="T34">
        <f>_xlfn.NUMBERVALUE("-0.000034")</f>
        <v/>
      </c>
      <c r="U34">
        <f>_xlfn.NUMBERVALUE("0.001746")</f>
        <v/>
      </c>
      <c r="V34">
        <f>_xlfn.NUMBERVALUE("0.000974")</f>
        <v/>
      </c>
      <c r="W34">
        <f>_xlfn.NUMBERVALUE("0.000286")</f>
        <v/>
      </c>
      <c r="X34">
        <f>_xlfn.NUMBERVALUE("-0.350000")</f>
        <v/>
      </c>
      <c r="Y34">
        <f>_xlfn.NUMBERVALUE("15.450000")</f>
        <v/>
      </c>
    </row>
    <row r="35">
      <c r="A35" s="1" t="n">
        <v>42054</v>
      </c>
      <c r="B35">
        <f>_xlfn.NUMBERVALUE("0.000000")</f>
        <v/>
      </c>
      <c r="C35" s="2">
        <f>_xlfn.NUMBERVALUE("0.001309")</f>
        <v/>
      </c>
      <c r="D35">
        <f>_xlfn.NUMBERVALUE("0.002074")</f>
        <v/>
      </c>
      <c r="E35">
        <f>_xlfn.NUMBERVALUE("-0.000808")</f>
        <v/>
      </c>
      <c r="F35">
        <f>_xlfn.NUMBERVALUE("0.000632")</f>
        <v/>
      </c>
      <c r="G35">
        <f>_xlfn.NUMBERVALUE("0.000386")</f>
        <v/>
      </c>
      <c r="H35">
        <f>_xlfn.NUMBERVALUE("-0.000132")</f>
        <v/>
      </c>
      <c r="I35">
        <f>_xlfn.NUMBERVALUE("0.001445")</f>
        <v/>
      </c>
      <c r="J35">
        <f>_xlfn.NUMBERVALUE("0.000156")</f>
        <v/>
      </c>
      <c r="K35">
        <f>_xlfn.NUMBERVALUE("0.004001")</f>
        <v/>
      </c>
      <c r="L35">
        <f>_xlfn.NUMBERVALUE("0.000696")</f>
        <v/>
      </c>
      <c r="M35">
        <f>_xlfn.NUMBERVALUE("0.000194")</f>
        <v/>
      </c>
      <c r="N35">
        <f>_xlfn.NUMBERVALUE("0.000000")</f>
        <v/>
      </c>
      <c r="O35">
        <f>_xlfn.NUMBERVALUE("0.003630")</f>
        <v/>
      </c>
      <c r="P35">
        <f>_xlfn.NUMBERVALUE("0.001851")</f>
        <v/>
      </c>
      <c r="Q35">
        <f>_xlfn.NUMBERVALUE("0.001472")</f>
        <v/>
      </c>
      <c r="R35">
        <f>_xlfn.NUMBERVALUE("0.000783")</f>
        <v/>
      </c>
      <c r="S35">
        <f>_xlfn.NUMBERVALUE("0.000637")</f>
        <v/>
      </c>
      <c r="T35">
        <f>_xlfn.NUMBERVALUE("-0.002073")</f>
        <v/>
      </c>
      <c r="U35">
        <f>_xlfn.NUMBERVALUE("0.003125")</f>
        <v/>
      </c>
      <c r="V35">
        <f>_xlfn.NUMBERVALUE("0.000637")</f>
        <v/>
      </c>
      <c r="W35">
        <f>_xlfn.NUMBERVALUE("0.000238")</f>
        <v/>
      </c>
      <c r="X35">
        <f>_xlfn.NUMBERVALUE("-0.160000")</f>
        <v/>
      </c>
      <c r="Y35">
        <f>_xlfn.NUMBERVALUE("15.290000")</f>
        <v/>
      </c>
    </row>
    <row r="36">
      <c r="A36" s="1" t="n">
        <v>42055</v>
      </c>
      <c r="B36">
        <f>_xlfn.NUMBERVALUE("0.000000")</f>
        <v/>
      </c>
      <c r="C36" s="2">
        <f>_xlfn.NUMBERVALUE("-0.001202")</f>
        <v/>
      </c>
      <c r="D36">
        <f>_xlfn.NUMBERVALUE("0.000994")</f>
        <v/>
      </c>
      <c r="E36">
        <f>_xlfn.NUMBERVALUE("-0.001202")</f>
        <v/>
      </c>
      <c r="F36">
        <f>_xlfn.NUMBERVALUE("-0.000451")</f>
        <v/>
      </c>
      <c r="G36">
        <f>_xlfn.NUMBERVALUE("0.000679")</f>
        <v/>
      </c>
      <c r="H36">
        <f>_xlfn.NUMBERVALUE("-0.000484")</f>
        <v/>
      </c>
      <c r="I36">
        <f>_xlfn.NUMBERVALUE("0.000198")</f>
        <v/>
      </c>
      <c r="J36">
        <f>_xlfn.NUMBERVALUE("-0.000865")</f>
        <v/>
      </c>
      <c r="K36">
        <f>_xlfn.NUMBERVALUE("-0.003054")</f>
        <v/>
      </c>
      <c r="L36">
        <f>_xlfn.NUMBERVALUE("-0.000732")</f>
        <v/>
      </c>
      <c r="M36">
        <f>_xlfn.NUMBERVALUE("0.008413")</f>
        <v/>
      </c>
      <c r="N36">
        <f>_xlfn.NUMBERVALUE("0.000000")</f>
        <v/>
      </c>
      <c r="O36">
        <f>_xlfn.NUMBERVALUE("0.001673")</f>
        <v/>
      </c>
      <c r="P36">
        <f>_xlfn.NUMBERVALUE("-0.002189")</f>
        <v/>
      </c>
      <c r="Q36">
        <f>_xlfn.NUMBERVALUE("0.000277")</f>
        <v/>
      </c>
      <c r="R36">
        <f>_xlfn.NUMBERVALUE("0.000879")</f>
        <v/>
      </c>
      <c r="S36">
        <f>_xlfn.NUMBERVALUE("0.001095")</f>
        <v/>
      </c>
      <c r="T36">
        <f>_xlfn.NUMBERVALUE("-0.003701")</f>
        <v/>
      </c>
      <c r="U36">
        <f>_xlfn.NUMBERVALUE("0.004126")</f>
        <v/>
      </c>
      <c r="V36">
        <f>_xlfn.NUMBERVALUE("0.000192")</f>
        <v/>
      </c>
      <c r="W36">
        <f>_xlfn.NUMBERVALUE("0.005522")</f>
        <v/>
      </c>
      <c r="X36">
        <f>_xlfn.NUMBERVALUE("-0.990000")</f>
        <v/>
      </c>
      <c r="Y36">
        <f>_xlfn.NUMBERVALUE("14.300000")</f>
        <v/>
      </c>
    </row>
    <row r="37">
      <c r="A37" s="1" t="n">
        <v>42058</v>
      </c>
      <c r="B37">
        <f>_xlfn.NUMBERVALUE("0.000000")</f>
        <v/>
      </c>
      <c r="C37" s="2">
        <f>_xlfn.NUMBERVALUE("-0.000145")</f>
        <v/>
      </c>
      <c r="D37">
        <f>_xlfn.NUMBERVALUE("0.001582")</f>
        <v/>
      </c>
      <c r="E37">
        <f>_xlfn.NUMBERVALUE("0.000689")</f>
        <v/>
      </c>
      <c r="F37">
        <f>_xlfn.NUMBERVALUE("0.000505")</f>
        <v/>
      </c>
      <c r="G37">
        <f>_xlfn.NUMBERVALUE("-0.000252")</f>
        <v/>
      </c>
      <c r="H37">
        <f>_xlfn.NUMBERVALUE("0.000570")</f>
        <v/>
      </c>
      <c r="I37">
        <f>_xlfn.NUMBERVALUE("0.000965")</f>
        <v/>
      </c>
      <c r="J37">
        <f>_xlfn.NUMBERVALUE("0.000994")</f>
        <v/>
      </c>
      <c r="K37">
        <f>_xlfn.NUMBERVALUE("0.006301")</f>
        <v/>
      </c>
      <c r="L37">
        <f>_xlfn.NUMBERVALUE("0.000810")</f>
        <v/>
      </c>
      <c r="M37">
        <f>_xlfn.NUMBERVALUE("-0.007878")</f>
        <v/>
      </c>
      <c r="N37">
        <f>_xlfn.NUMBERVALUE("0.000000")</f>
        <v/>
      </c>
      <c r="O37">
        <f>_xlfn.NUMBERVALUE("0.002366")</f>
        <v/>
      </c>
      <c r="P37">
        <f>_xlfn.NUMBERVALUE("0.003757")</f>
        <v/>
      </c>
      <c r="Q37">
        <f>_xlfn.NUMBERVALUE("0.000040")</f>
        <v/>
      </c>
      <c r="R37">
        <f>_xlfn.NUMBERVALUE("-0.000372")</f>
        <v/>
      </c>
      <c r="S37">
        <f>_xlfn.NUMBERVALUE("0.000396")</f>
        <v/>
      </c>
      <c r="T37">
        <f>_xlfn.NUMBERVALUE("0.003329")</f>
        <v/>
      </c>
      <c r="U37">
        <f>_xlfn.NUMBERVALUE("-0.006625")</f>
        <v/>
      </c>
      <c r="V37">
        <f>_xlfn.NUMBERVALUE("0.000600")</f>
        <v/>
      </c>
      <c r="W37">
        <f>_xlfn.NUMBERVALUE("-0.000758")</f>
        <v/>
      </c>
      <c r="X37">
        <f>_xlfn.NUMBERVALUE("0.260000")</f>
        <v/>
      </c>
      <c r="Y37">
        <f>_xlfn.NUMBERVALUE("14.560000")</f>
        <v/>
      </c>
    </row>
    <row r="38">
      <c r="A38" s="1" t="n">
        <v>42059</v>
      </c>
      <c r="B38">
        <f>_xlfn.NUMBERVALUE("0.000000")</f>
        <v/>
      </c>
      <c r="C38" s="2">
        <f>_xlfn.NUMBERVALUE("0.000186")</f>
        <v/>
      </c>
      <c r="D38">
        <f>_xlfn.NUMBERVALUE("-0.002062")</f>
        <v/>
      </c>
      <c r="E38">
        <f>_xlfn.NUMBERVALUE("0.000646")</f>
        <v/>
      </c>
      <c r="F38">
        <f>_xlfn.NUMBERVALUE("0.000472")</f>
        <v/>
      </c>
      <c r="G38">
        <f>_xlfn.NUMBERVALUE("0.000351")</f>
        <v/>
      </c>
      <c r="H38">
        <f>_xlfn.NUMBERVALUE("-0.000168")</f>
        <v/>
      </c>
      <c r="I38">
        <f>_xlfn.NUMBERVALUE("0.000543")</f>
        <v/>
      </c>
      <c r="J38">
        <f>_xlfn.NUMBERVALUE("-0.000526")</f>
        <v/>
      </c>
      <c r="K38">
        <f>_xlfn.NUMBERVALUE("0.001869")</f>
        <v/>
      </c>
      <c r="L38">
        <f>_xlfn.NUMBERVALUE("0.000216")</f>
        <v/>
      </c>
      <c r="M38">
        <f>_xlfn.NUMBERVALUE("0.000000")</f>
        <v/>
      </c>
      <c r="N38">
        <f>_xlfn.NUMBERVALUE("0.000000")</f>
        <v/>
      </c>
      <c r="O38">
        <f>_xlfn.NUMBERVALUE("0.000000")</f>
        <v/>
      </c>
      <c r="P38">
        <f>_xlfn.NUMBERVALUE("0.000000")</f>
        <v/>
      </c>
      <c r="Q38">
        <f>_xlfn.NUMBERVALUE("0.000000")</f>
        <v/>
      </c>
      <c r="R38">
        <f>_xlfn.NUMBERVALUE("0.000000")</f>
        <v/>
      </c>
      <c r="S38">
        <f>_xlfn.NUMBERVALUE("0.000000")</f>
        <v/>
      </c>
      <c r="T38">
        <f>_xlfn.NUMBERVALUE("0.000000")</f>
        <v/>
      </c>
      <c r="U38">
        <f>_xlfn.NUMBERVALUE("0.000000")</f>
        <v/>
      </c>
      <c r="V38">
        <f>_xlfn.NUMBERVALUE("0.000549")</f>
        <v/>
      </c>
      <c r="W38">
        <f>_xlfn.NUMBERVALUE("0.003459")</f>
        <v/>
      </c>
      <c r="X38">
        <f>_xlfn.NUMBERVALUE("-0.870000")</f>
        <v/>
      </c>
      <c r="Y38">
        <f>_xlfn.NUMBERVALUE("13.690000")</f>
        <v/>
      </c>
    </row>
    <row r="39">
      <c r="A39" s="1" t="n">
        <v>42060</v>
      </c>
      <c r="B39">
        <f>_xlfn.NUMBERVALUE("0.000000")</f>
        <v/>
      </c>
      <c r="C39" s="2">
        <f>_xlfn.NUMBERVALUE("0.000137")</f>
        <v/>
      </c>
      <c r="D39">
        <f>_xlfn.NUMBERVALUE("0.001359")</f>
        <v/>
      </c>
      <c r="E39">
        <f>_xlfn.NUMBERVALUE("0.000504")</f>
        <v/>
      </c>
      <c r="F39">
        <f>_xlfn.NUMBERVALUE("0.000431")</f>
        <v/>
      </c>
      <c r="G39">
        <f>_xlfn.NUMBERVALUE("0.000792")</f>
        <v/>
      </c>
      <c r="H39">
        <f>_xlfn.NUMBERVALUE("0.000420")</f>
        <v/>
      </c>
      <c r="I39">
        <f>_xlfn.NUMBERVALUE("0.000447")</f>
        <v/>
      </c>
      <c r="J39">
        <f>_xlfn.NUMBERVALUE("0.000925")</f>
        <v/>
      </c>
      <c r="K39">
        <f>_xlfn.NUMBERVALUE("0.001253")</f>
        <v/>
      </c>
      <c r="L39">
        <f>_xlfn.NUMBERVALUE("0.000383")</f>
        <v/>
      </c>
      <c r="M39">
        <f>_xlfn.NUMBERVALUE("0.000321")</f>
        <v/>
      </c>
      <c r="N39">
        <f>_xlfn.NUMBERVALUE("0.000000")</f>
        <v/>
      </c>
      <c r="O39">
        <f>_xlfn.NUMBERVALUE("0.003727")</f>
        <v/>
      </c>
      <c r="P39">
        <f>_xlfn.NUMBERVALUE("-0.000289")</f>
        <v/>
      </c>
      <c r="Q39">
        <f>_xlfn.NUMBERVALUE("0.001038")</f>
        <v/>
      </c>
      <c r="R39">
        <f>_xlfn.NUMBERVALUE("0.000947")</f>
        <v/>
      </c>
      <c r="S39">
        <f>_xlfn.NUMBERVALUE("0.001611")</f>
        <v/>
      </c>
      <c r="T39">
        <f>_xlfn.NUMBERVALUE("0.001498")</f>
        <v/>
      </c>
      <c r="U39">
        <f>_xlfn.NUMBERVALUE("0.000272")</f>
        <v/>
      </c>
      <c r="V39">
        <f>_xlfn.NUMBERVALUE("0.000137")</f>
        <v/>
      </c>
      <c r="W39">
        <f>_xlfn.NUMBERVALUE("-0.000425")</f>
        <v/>
      </c>
      <c r="X39">
        <f>_xlfn.NUMBERVALUE("0.150000")</f>
        <v/>
      </c>
      <c r="Y39">
        <f>_xlfn.NUMBERVALUE("13.840000")</f>
        <v/>
      </c>
    </row>
    <row r="40">
      <c r="A40" s="1" t="n">
        <v>42061</v>
      </c>
      <c r="B40">
        <f>_xlfn.NUMBERVALUE("0.000000")</f>
        <v/>
      </c>
      <c r="C40" s="2">
        <f>_xlfn.NUMBERVALUE("0.000737")</f>
        <v/>
      </c>
      <c r="D40">
        <f>_xlfn.NUMBERVALUE("0.000481")</f>
        <v/>
      </c>
      <c r="E40">
        <f>_xlfn.NUMBERVALUE("0.000504")</f>
        <v/>
      </c>
      <c r="F40">
        <f>_xlfn.NUMBERVALUE("-0.000959")</f>
        <v/>
      </c>
      <c r="G40">
        <f>_xlfn.NUMBERVALUE("-0.000864")</f>
        <v/>
      </c>
      <c r="H40">
        <f>_xlfn.NUMBERVALUE("0.000107")</f>
        <v/>
      </c>
      <c r="I40">
        <f>_xlfn.NUMBERVALUE("0.000305")</f>
        <v/>
      </c>
      <c r="J40">
        <f>_xlfn.NUMBERVALUE("-0.000416")</f>
        <v/>
      </c>
      <c r="K40">
        <f>_xlfn.NUMBERVALUE("0.002192")</f>
        <v/>
      </c>
      <c r="L40">
        <f>_xlfn.NUMBERVALUE("-0.000502")</f>
        <v/>
      </c>
      <c r="M40">
        <f>_xlfn.NUMBERVALUE("-0.000305")</f>
        <v/>
      </c>
      <c r="N40">
        <f>_xlfn.NUMBERVALUE("0.000000")</f>
        <v/>
      </c>
      <c r="O40">
        <f>_xlfn.NUMBERVALUE("-0.000615")</f>
        <v/>
      </c>
      <c r="P40">
        <f>_xlfn.NUMBERVALUE("0.002070")</f>
        <v/>
      </c>
      <c r="Q40">
        <f>_xlfn.NUMBERVALUE("0.001674")</f>
        <v/>
      </c>
      <c r="R40">
        <f>_xlfn.NUMBERVALUE("0.000643")</f>
        <v/>
      </c>
      <c r="S40">
        <f>_xlfn.NUMBERVALUE("0.000163")</f>
        <v/>
      </c>
      <c r="T40">
        <f>_xlfn.NUMBERVALUE("-0.000074")</f>
        <v/>
      </c>
      <c r="U40">
        <f>_xlfn.NUMBERVALUE("0.000026")</f>
        <v/>
      </c>
      <c r="V40">
        <f>_xlfn.NUMBERVALUE("0.000086")</f>
        <v/>
      </c>
      <c r="W40">
        <f>_xlfn.NUMBERVALUE("-0.001086")</f>
        <v/>
      </c>
      <c r="X40">
        <f>_xlfn.NUMBERVALUE("0.070000")</f>
        <v/>
      </c>
      <c r="Y40">
        <f>_xlfn.NUMBERVALUE("13.910000")</f>
        <v/>
      </c>
    </row>
    <row r="41">
      <c r="A41" s="1" t="n">
        <v>42062</v>
      </c>
      <c r="B41">
        <f>_xlfn.NUMBERVALUE("0.000000")</f>
        <v/>
      </c>
      <c r="C41" s="2">
        <f>_xlfn.NUMBERVALUE("-0.000682")</f>
        <v/>
      </c>
      <c r="D41">
        <f>_xlfn.NUMBERVALUE("0.002082")</f>
        <v/>
      </c>
      <c r="E41">
        <f>_xlfn.NUMBERVALUE("0.000731")</f>
        <v/>
      </c>
      <c r="F41">
        <f>_xlfn.NUMBERVALUE("0.001440")</f>
        <v/>
      </c>
      <c r="G41">
        <f>_xlfn.NUMBERVALUE("0.000890")</f>
        <v/>
      </c>
      <c r="H41">
        <f>_xlfn.NUMBERVALUE("-0.000084")</f>
        <v/>
      </c>
      <c r="I41">
        <f>_xlfn.NUMBERVALUE("-0.000112")</f>
        <v/>
      </c>
      <c r="J41">
        <f>_xlfn.NUMBERVALUE("0.000539")</f>
        <v/>
      </c>
      <c r="K41">
        <f>_xlfn.NUMBERVALUE("0.001358")</f>
        <v/>
      </c>
      <c r="L41">
        <f>_xlfn.NUMBERVALUE("-0.000530")</f>
        <v/>
      </c>
      <c r="M41">
        <f>_xlfn.NUMBERVALUE("0.004879")</f>
        <v/>
      </c>
      <c r="N41">
        <f>_xlfn.NUMBERVALUE("0.000000")</f>
        <v/>
      </c>
      <c r="O41">
        <f>_xlfn.NUMBERVALUE("0.003969")</f>
        <v/>
      </c>
      <c r="P41">
        <f>_xlfn.NUMBERVALUE("-0.001589")</f>
        <v/>
      </c>
      <c r="Q41">
        <f>_xlfn.NUMBERVALUE("-0.000688")</f>
        <v/>
      </c>
      <c r="R41">
        <f>_xlfn.NUMBERVALUE("-0.001702")</f>
        <v/>
      </c>
      <c r="S41">
        <f>_xlfn.NUMBERVALUE("-0.000349")</f>
        <v/>
      </c>
      <c r="T41">
        <f>_xlfn.NUMBERVALUE("0.001078")</f>
        <v/>
      </c>
      <c r="U41">
        <f>_xlfn.NUMBERVALUE("-0.000677")</f>
        <v/>
      </c>
      <c r="V41">
        <f>_xlfn.NUMBERVALUE("0.000225")</f>
        <v/>
      </c>
      <c r="W41">
        <f>_xlfn.NUMBERVALUE("-0.003121")</f>
        <v/>
      </c>
      <c r="X41">
        <f>_xlfn.NUMBERVALUE("-0.570000")</f>
        <v/>
      </c>
      <c r="Y41">
        <f>_xlfn.NUMBERVALUE("13.340000")</f>
        <v/>
      </c>
    </row>
    <row r="42">
      <c r="A42" s="1" t="n">
        <v>42065</v>
      </c>
      <c r="B42">
        <f>_xlfn.NUMBERVALUE("0.000000")</f>
        <v/>
      </c>
      <c r="C42" s="2">
        <f>_xlfn.NUMBERVALUE("-0.000135")</f>
        <v/>
      </c>
      <c r="D42">
        <f>_xlfn.NUMBERVALUE("0.001614")</f>
        <v/>
      </c>
      <c r="E42">
        <f>_xlfn.NUMBERVALUE("-0.001143")</f>
        <v/>
      </c>
      <c r="F42">
        <f>_xlfn.NUMBERVALUE("0.000143")</f>
        <v/>
      </c>
      <c r="G42">
        <f>_xlfn.NUMBERVALUE("-0.001611")</f>
        <v/>
      </c>
      <c r="H42">
        <f>_xlfn.NUMBERVALUE("0.000371")</f>
        <v/>
      </c>
      <c r="I42">
        <f>_xlfn.NUMBERVALUE("0.000037")</f>
        <v/>
      </c>
      <c r="J42">
        <f>_xlfn.NUMBERVALUE("0.000271")</f>
        <v/>
      </c>
      <c r="K42">
        <f>_xlfn.NUMBERVALUE("0.000871")</f>
        <v/>
      </c>
      <c r="L42">
        <f>_xlfn.NUMBERVALUE("0.001681")</f>
        <v/>
      </c>
      <c r="M42">
        <f>_xlfn.NUMBERVALUE("-0.004811")</f>
        <v/>
      </c>
      <c r="N42">
        <f>_xlfn.NUMBERVALUE("0.000000")</f>
        <v/>
      </c>
      <c r="O42">
        <f>_xlfn.NUMBERVALUE("0.003768")</f>
        <v/>
      </c>
      <c r="P42">
        <f>_xlfn.NUMBERVALUE("0.001021")</f>
        <v/>
      </c>
      <c r="Q42">
        <f>_xlfn.NUMBERVALUE("0.000564")</f>
        <v/>
      </c>
      <c r="R42">
        <f>_xlfn.NUMBERVALUE("0.000816")</f>
        <v/>
      </c>
      <c r="S42">
        <f>_xlfn.NUMBERVALUE("0.000616")</f>
        <v/>
      </c>
      <c r="T42">
        <f>_xlfn.NUMBERVALUE("0.000598")</f>
        <v/>
      </c>
      <c r="U42">
        <f>_xlfn.NUMBERVALUE("0.000195")</f>
        <v/>
      </c>
      <c r="V42">
        <f>_xlfn.NUMBERVALUE("0.000024")</f>
        <v/>
      </c>
      <c r="W42">
        <f>_xlfn.NUMBERVALUE("0.005716")</f>
        <v/>
      </c>
      <c r="X42">
        <f>_xlfn.NUMBERVALUE("-0.300000")</f>
        <v/>
      </c>
      <c r="Y42">
        <f>_xlfn.NUMBERVALUE("13.040000")</f>
        <v/>
      </c>
    </row>
    <row r="43">
      <c r="A43" s="1" t="n">
        <v>42066</v>
      </c>
      <c r="B43">
        <f>_xlfn.NUMBERVALUE("0.000000")</f>
        <v/>
      </c>
      <c r="C43" s="2">
        <f>_xlfn.NUMBERVALUE("-0.000010")</f>
        <v/>
      </c>
      <c r="D43">
        <f>_xlfn.NUMBERVALUE("0.001934")</f>
        <v/>
      </c>
      <c r="E43">
        <f>_xlfn.NUMBERVALUE("0.000107")</f>
        <v/>
      </c>
      <c r="F43">
        <f>_xlfn.NUMBERVALUE("-0.000017")</f>
        <v/>
      </c>
      <c r="G43">
        <f>_xlfn.NUMBERVALUE("0.000028")</f>
        <v/>
      </c>
      <c r="H43">
        <f>_xlfn.NUMBERVALUE("0.000135")</f>
        <v/>
      </c>
      <c r="I43">
        <f>_xlfn.NUMBERVALUE("-0.000041")</f>
        <v/>
      </c>
      <c r="J43">
        <f>_xlfn.NUMBERVALUE("-0.000353")</f>
        <v/>
      </c>
      <c r="K43">
        <f>_xlfn.NUMBERVALUE("0.000184")</f>
        <v/>
      </c>
      <c r="L43">
        <f>_xlfn.NUMBERVALUE("0.000006")</f>
        <v/>
      </c>
      <c r="M43">
        <f>_xlfn.NUMBERVALUE("-0.000022")</f>
        <v/>
      </c>
      <c r="N43">
        <f>_xlfn.NUMBERVALUE("0.000000")</f>
        <v/>
      </c>
      <c r="O43">
        <f>_xlfn.NUMBERVALUE("0.002758")</f>
        <v/>
      </c>
      <c r="P43">
        <f>_xlfn.NUMBERVALUE("0.000064")</f>
        <v/>
      </c>
      <c r="Q43">
        <f>_xlfn.NUMBERVALUE("0.000001")</f>
        <v/>
      </c>
      <c r="R43">
        <f>_xlfn.NUMBERVALUE("-0.000640")</f>
        <v/>
      </c>
      <c r="S43">
        <f>_xlfn.NUMBERVALUE("-0.000241")</f>
        <v/>
      </c>
      <c r="T43">
        <f>_xlfn.NUMBERVALUE("-0.000231")</f>
        <v/>
      </c>
      <c r="U43">
        <f>_xlfn.NUMBERVALUE("0.000073")</f>
        <v/>
      </c>
      <c r="V43">
        <f>_xlfn.NUMBERVALUE("-0.000016")</f>
        <v/>
      </c>
      <c r="W43">
        <f>_xlfn.NUMBERVALUE("-0.004222")</f>
        <v/>
      </c>
      <c r="X43">
        <f>_xlfn.NUMBERVALUE("0.820000")</f>
        <v/>
      </c>
      <c r="Y43">
        <f>_xlfn.NUMBERVALUE("13.860000")</f>
        <v/>
      </c>
    </row>
    <row r="44">
      <c r="A44" s="1" t="n">
        <v>42067</v>
      </c>
      <c r="B44">
        <f>_xlfn.NUMBERVALUE("0.000000")</f>
        <v/>
      </c>
      <c r="C44" s="2">
        <f>_xlfn.NUMBERVALUE("-0.000044")</f>
        <v/>
      </c>
      <c r="D44">
        <f>_xlfn.NUMBERVALUE("0.003256")</f>
        <v/>
      </c>
      <c r="E44">
        <f>_xlfn.NUMBERVALUE("-0.000092")</f>
        <v/>
      </c>
      <c r="F44">
        <f>_xlfn.NUMBERVALUE("0.000012")</f>
        <v/>
      </c>
      <c r="G44">
        <f>_xlfn.NUMBERVALUE("0.000001")</f>
        <v/>
      </c>
      <c r="H44">
        <f>_xlfn.NUMBERVALUE("-0.000003")</f>
        <v/>
      </c>
      <c r="I44">
        <f>_xlfn.NUMBERVALUE("-0.000018")</f>
        <v/>
      </c>
      <c r="J44">
        <f>_xlfn.NUMBERVALUE("0.000309")</f>
        <v/>
      </c>
      <c r="K44">
        <f>_xlfn.NUMBERVALUE("0.000000")</f>
        <v/>
      </c>
      <c r="L44">
        <f>_xlfn.NUMBERVALUE("0.000028")</f>
        <v/>
      </c>
      <c r="M44">
        <f>_xlfn.NUMBERVALUE("-0.000027")</f>
        <v/>
      </c>
      <c r="N44">
        <f>_xlfn.NUMBERVALUE("0.000000")</f>
        <v/>
      </c>
      <c r="O44">
        <f>_xlfn.NUMBERVALUE("0.003739")</f>
        <v/>
      </c>
      <c r="P44">
        <f>_xlfn.NUMBERVALUE("-0.000172")</f>
        <v/>
      </c>
      <c r="Q44">
        <f>_xlfn.NUMBERVALUE("-0.000124")</f>
        <v/>
      </c>
      <c r="R44">
        <f>_xlfn.NUMBERVALUE("-0.000174")</f>
        <v/>
      </c>
      <c r="S44">
        <f>_xlfn.NUMBERVALUE("0.000069")</f>
        <v/>
      </c>
      <c r="T44">
        <f>_xlfn.NUMBERVALUE("0.000150")</f>
        <v/>
      </c>
      <c r="U44">
        <f>_xlfn.NUMBERVALUE("-0.000439")</f>
        <v/>
      </c>
      <c r="V44">
        <f>_xlfn.NUMBERVALUE("0.000001")</f>
        <v/>
      </c>
      <c r="W44">
        <f>_xlfn.NUMBERVALUE("-0.002155")</f>
        <v/>
      </c>
      <c r="X44">
        <f>_xlfn.NUMBERVALUE("0.370000")</f>
        <v/>
      </c>
      <c r="Y44">
        <f>_xlfn.NUMBERVALUE("14.230000")</f>
        <v/>
      </c>
    </row>
    <row r="45">
      <c r="A45" s="1" t="n">
        <v>42068</v>
      </c>
      <c r="B45">
        <f>_xlfn.NUMBERVALUE("0.000000")</f>
        <v/>
      </c>
      <c r="C45" s="2">
        <f>_xlfn.NUMBERVALUE("0.000608")</f>
        <v/>
      </c>
      <c r="D45">
        <f>_xlfn.NUMBERVALUE("0.000619")</f>
        <v/>
      </c>
      <c r="E45">
        <f>_xlfn.NUMBERVALUE("0.000660")</f>
        <v/>
      </c>
      <c r="F45">
        <f>_xlfn.NUMBERVALUE("0.000068")</f>
        <v/>
      </c>
      <c r="G45">
        <f>_xlfn.NUMBERVALUE("0.001295")</f>
        <v/>
      </c>
      <c r="H45">
        <f>_xlfn.NUMBERVALUE("0.000333")</f>
        <v/>
      </c>
      <c r="I45">
        <f>_xlfn.NUMBERVALUE("0.001203")</f>
        <v/>
      </c>
      <c r="J45">
        <f>_xlfn.NUMBERVALUE("0.000289")</f>
        <v/>
      </c>
      <c r="K45">
        <f>_xlfn.NUMBERVALUE("0.000967")</f>
        <v/>
      </c>
      <c r="L45">
        <f>_xlfn.NUMBERVALUE("0.001301")</f>
        <v/>
      </c>
      <c r="M45">
        <f>_xlfn.NUMBERVALUE("-0.000118")</f>
        <v/>
      </c>
      <c r="N45">
        <f>_xlfn.NUMBERVALUE("0.000000")</f>
        <v/>
      </c>
      <c r="O45">
        <f>_xlfn.NUMBERVALUE("0.006396")</f>
        <v/>
      </c>
      <c r="P45">
        <f>_xlfn.NUMBERVALUE("-0.000120")</f>
        <v/>
      </c>
      <c r="Q45">
        <f>_xlfn.NUMBERVALUE("-0.000140")</f>
        <v/>
      </c>
      <c r="R45">
        <f>_xlfn.NUMBERVALUE("-0.000000")</f>
        <v/>
      </c>
      <c r="S45">
        <f>_xlfn.NUMBERVALUE("-0.000013")</f>
        <v/>
      </c>
      <c r="T45">
        <f>_xlfn.NUMBERVALUE("-0.000000")</f>
        <v/>
      </c>
      <c r="U45">
        <f>_xlfn.NUMBERVALUE("0.000022")</f>
        <v/>
      </c>
      <c r="V45">
        <f>_xlfn.NUMBERVALUE("0.000446")</f>
        <v/>
      </c>
      <c r="W45">
        <f>_xlfn.NUMBERVALUE("0.001855")</f>
        <v/>
      </c>
      <c r="X45">
        <f>_xlfn.NUMBERVALUE("-0.190000")</f>
        <v/>
      </c>
      <c r="Y45">
        <f>_xlfn.NUMBERVALUE("14.040000")</f>
        <v/>
      </c>
    </row>
    <row r="46">
      <c r="A46" s="1" t="n">
        <v>42069</v>
      </c>
      <c r="B46">
        <f>_xlfn.NUMBERVALUE("0.000000")</f>
        <v/>
      </c>
      <c r="C46" s="2">
        <f>_xlfn.NUMBERVALUE("-0.003480")</f>
        <v/>
      </c>
      <c r="D46">
        <f>_xlfn.NUMBERVALUE("-0.001446")</f>
        <v/>
      </c>
      <c r="E46">
        <f>_xlfn.NUMBERVALUE("-0.001800")</f>
        <v/>
      </c>
      <c r="F46">
        <f>_xlfn.NUMBERVALUE("-0.008631")</f>
        <v/>
      </c>
      <c r="G46">
        <f>_xlfn.NUMBERVALUE("-0.000434")</f>
        <v/>
      </c>
      <c r="H46">
        <f>_xlfn.NUMBERVALUE("-0.002458")</f>
        <v/>
      </c>
      <c r="I46">
        <f>_xlfn.NUMBERVALUE("-0.002815")</f>
        <v/>
      </c>
      <c r="J46">
        <f>_xlfn.NUMBERVALUE("-0.004841")</f>
        <v/>
      </c>
      <c r="K46">
        <f>_xlfn.NUMBERVALUE("0.000039")</f>
        <v/>
      </c>
      <c r="L46">
        <f>_xlfn.NUMBERVALUE("-0.003728")</f>
        <v/>
      </c>
      <c r="M46">
        <f>_xlfn.NUMBERVALUE("-0.001881")</f>
        <v/>
      </c>
      <c r="N46">
        <f>_xlfn.NUMBERVALUE("0.000000")</f>
        <v/>
      </c>
      <c r="O46">
        <f>_xlfn.NUMBERVALUE("-0.002212")</f>
        <v/>
      </c>
      <c r="P46">
        <f>_xlfn.NUMBERVALUE("-0.000113")</f>
        <v/>
      </c>
      <c r="Q46">
        <f>_xlfn.NUMBERVALUE("-0.002510")</f>
        <v/>
      </c>
      <c r="R46">
        <f>_xlfn.NUMBERVALUE("-0.002238")</f>
        <v/>
      </c>
      <c r="S46">
        <f>_xlfn.NUMBERVALUE("-0.005678")</f>
        <v/>
      </c>
      <c r="T46">
        <f>_xlfn.NUMBERVALUE("-0.007408")</f>
        <v/>
      </c>
      <c r="U46">
        <f>_xlfn.NUMBERVALUE("-0.003031")</f>
        <v/>
      </c>
      <c r="V46">
        <f>_xlfn.NUMBERVALUE("-0.002877")</f>
        <v/>
      </c>
      <c r="W46">
        <f>_xlfn.NUMBERVALUE("-0.015385")</f>
        <v/>
      </c>
      <c r="X46">
        <f>_xlfn.NUMBERVALUE("1.160000")</f>
        <v/>
      </c>
      <c r="Y46">
        <f>_xlfn.NUMBERVALUE("15.200000")</f>
        <v/>
      </c>
    </row>
    <row r="47">
      <c r="A47" s="1" t="n">
        <v>42072</v>
      </c>
      <c r="B47">
        <f>_xlfn.NUMBERVALUE("0.000000")</f>
        <v/>
      </c>
      <c r="C47" s="2">
        <f>_xlfn.NUMBERVALUE("0.000573")</f>
        <v/>
      </c>
      <c r="D47">
        <f>_xlfn.NUMBERVALUE("0.000349")</f>
        <v/>
      </c>
      <c r="E47">
        <f>_xlfn.NUMBERVALUE("0.001404")</f>
        <v/>
      </c>
      <c r="F47">
        <f>_xlfn.NUMBERVALUE("0.003029")</f>
        <v/>
      </c>
      <c r="G47">
        <f>_xlfn.NUMBERVALUE("0.001095")</f>
        <v/>
      </c>
      <c r="H47">
        <f>_xlfn.NUMBERVALUE("0.000168")</f>
        <v/>
      </c>
      <c r="I47">
        <f>_xlfn.NUMBERVALUE("0.002191")</f>
        <v/>
      </c>
      <c r="J47">
        <f>_xlfn.NUMBERVALUE("0.003829")</f>
        <v/>
      </c>
      <c r="K47">
        <f>_xlfn.NUMBERVALUE("0.001955")</f>
        <v/>
      </c>
      <c r="L47">
        <f>_xlfn.NUMBERVALUE("0.000620")</f>
        <v/>
      </c>
      <c r="M47">
        <f>_xlfn.NUMBERVALUE("0.002319")</f>
        <v/>
      </c>
      <c r="N47">
        <f>_xlfn.NUMBERVALUE("0.000000")</f>
        <v/>
      </c>
      <c r="O47">
        <f>_xlfn.NUMBERVALUE("0.001773")</f>
        <v/>
      </c>
      <c r="P47">
        <f>_xlfn.NUMBERVALUE("0.001654")</f>
        <v/>
      </c>
      <c r="Q47">
        <f>_xlfn.NUMBERVALUE("0.001581")</f>
        <v/>
      </c>
      <c r="R47">
        <f>_xlfn.NUMBERVALUE("0.001467")</f>
        <v/>
      </c>
      <c r="S47">
        <f>_xlfn.NUMBERVALUE("0.000569")</f>
        <v/>
      </c>
      <c r="T47">
        <f>_xlfn.NUMBERVALUE("0.001394")</f>
        <v/>
      </c>
      <c r="U47">
        <f>_xlfn.NUMBERVALUE("0.001627")</f>
        <v/>
      </c>
      <c r="V47">
        <f>_xlfn.NUMBERVALUE("0.001788")</f>
        <v/>
      </c>
      <c r="W47">
        <f>_xlfn.NUMBERVALUE("0.004775")</f>
        <v/>
      </c>
      <c r="X47">
        <f>_xlfn.NUMBERVALUE("-0.140000")</f>
        <v/>
      </c>
      <c r="Y47">
        <f>_xlfn.NUMBERVALUE("15.060000")</f>
        <v/>
      </c>
    </row>
    <row r="48">
      <c r="A48" s="1" t="n">
        <v>42073</v>
      </c>
      <c r="B48">
        <f>_xlfn.NUMBERVALUE("0.000000")</f>
        <v/>
      </c>
      <c r="C48" s="2">
        <f>_xlfn.NUMBERVALUE("-0.003658")</f>
        <v/>
      </c>
      <c r="D48">
        <f>_xlfn.NUMBERVALUE("-0.006218")</f>
        <v/>
      </c>
      <c r="E48">
        <f>_xlfn.NUMBERVALUE("-0.005560")</f>
        <v/>
      </c>
      <c r="F48">
        <f>_xlfn.NUMBERVALUE("-0.001607")</f>
        <v/>
      </c>
      <c r="G48">
        <f>_xlfn.NUMBERVALUE("-0.001113")</f>
        <v/>
      </c>
      <c r="H48">
        <f>_xlfn.NUMBERVALUE("0.000122")</f>
        <v/>
      </c>
      <c r="I48">
        <f>_xlfn.NUMBERVALUE("-0.001819")</f>
        <v/>
      </c>
      <c r="J48">
        <f>_xlfn.NUMBERVALUE("0.000195")</f>
        <v/>
      </c>
      <c r="K48">
        <f>_xlfn.NUMBERVALUE("0.002495")</f>
        <v/>
      </c>
      <c r="L48">
        <f>_xlfn.NUMBERVALUE("-0.001785")</f>
        <v/>
      </c>
      <c r="M48">
        <f>_xlfn.NUMBERVALUE("-0.002443")</f>
        <v/>
      </c>
      <c r="N48">
        <f>_xlfn.NUMBERVALUE("0.000000")</f>
        <v/>
      </c>
      <c r="O48">
        <f>_xlfn.NUMBERVALUE("-0.002622")</f>
        <v/>
      </c>
      <c r="P48">
        <f>_xlfn.NUMBERVALUE("-0.002768")</f>
        <v/>
      </c>
      <c r="Q48">
        <f>_xlfn.NUMBERVALUE("-0.002120")</f>
        <v/>
      </c>
      <c r="R48">
        <f>_xlfn.NUMBERVALUE("-0.003529")</f>
        <v/>
      </c>
      <c r="S48">
        <f>_xlfn.NUMBERVALUE("-0.002573")</f>
        <v/>
      </c>
      <c r="T48">
        <f>_xlfn.NUMBERVALUE("0.000724")</f>
        <v/>
      </c>
      <c r="U48">
        <f>_xlfn.NUMBERVALUE("-0.002620")</f>
        <v/>
      </c>
      <c r="V48">
        <f>_xlfn.NUMBERVALUE("-0.004150")</f>
        <v/>
      </c>
      <c r="W48">
        <f>_xlfn.NUMBERVALUE("-0.017087")</f>
        <v/>
      </c>
      <c r="X48">
        <f>_xlfn.NUMBERVALUE("1.630000")</f>
        <v/>
      </c>
      <c r="Y48">
        <f>_xlfn.NUMBERVALUE("16.690000")</f>
        <v/>
      </c>
    </row>
    <row r="49">
      <c r="A49" s="1" t="n">
        <v>42074</v>
      </c>
      <c r="B49">
        <f>_xlfn.NUMBERVALUE("0.000000")</f>
        <v/>
      </c>
      <c r="C49" s="2">
        <f>_xlfn.NUMBERVALUE("-0.000031")</f>
        <v/>
      </c>
      <c r="D49">
        <f>_xlfn.NUMBERVALUE("0.005165")</f>
        <v/>
      </c>
      <c r="E49">
        <f>_xlfn.NUMBERVALUE("0.002755")</f>
        <v/>
      </c>
      <c r="F49">
        <f>_xlfn.NUMBERVALUE("-0.000660")</f>
        <v/>
      </c>
      <c r="G49">
        <f>_xlfn.NUMBERVALUE("0.000125")</f>
        <v/>
      </c>
      <c r="H49">
        <f>_xlfn.NUMBERVALUE("0.001269")</f>
        <v/>
      </c>
      <c r="I49">
        <f>_xlfn.NUMBERVALUE("0.000215")</f>
        <v/>
      </c>
      <c r="J49">
        <f>_xlfn.NUMBERVALUE("-0.000362")</f>
        <v/>
      </c>
      <c r="K49">
        <f>_xlfn.NUMBERVALUE("-0.002670")</f>
        <v/>
      </c>
      <c r="L49">
        <f>_xlfn.NUMBERVALUE("-0.000434")</f>
        <v/>
      </c>
      <c r="M49">
        <f>_xlfn.NUMBERVALUE("0.002212")</f>
        <v/>
      </c>
      <c r="N49">
        <f>_xlfn.NUMBERVALUE("0.000000")</f>
        <v/>
      </c>
      <c r="O49">
        <f>_xlfn.NUMBERVALUE("0.003242")</f>
        <v/>
      </c>
      <c r="P49">
        <f>_xlfn.NUMBERVALUE("-0.004679")</f>
        <v/>
      </c>
      <c r="Q49">
        <f>_xlfn.NUMBERVALUE("-0.000085")</f>
        <v/>
      </c>
      <c r="R49">
        <f>_xlfn.NUMBERVALUE("-0.003066")</f>
        <v/>
      </c>
      <c r="S49">
        <f>_xlfn.NUMBERVALUE("-0.001033")</f>
        <v/>
      </c>
      <c r="T49">
        <f>_xlfn.NUMBERVALUE("-0.001756")</f>
        <v/>
      </c>
      <c r="U49">
        <f>_xlfn.NUMBERVALUE("0.000034")</f>
        <v/>
      </c>
      <c r="V49">
        <f>_xlfn.NUMBERVALUE("-0.000284")</f>
        <v/>
      </c>
      <c r="W49">
        <f>_xlfn.NUMBERVALUE("-0.001123")</f>
        <v/>
      </c>
      <c r="X49">
        <f>_xlfn.NUMBERVALUE("0.180000")</f>
        <v/>
      </c>
      <c r="Y49">
        <f>_xlfn.NUMBERVALUE("16.870000")</f>
        <v/>
      </c>
    </row>
    <row r="50">
      <c r="A50" s="1" t="n">
        <v>42075</v>
      </c>
      <c r="B50">
        <f>_xlfn.NUMBERVALUE("0.000000")</f>
        <v/>
      </c>
      <c r="C50" s="2">
        <f>_xlfn.NUMBERVALUE("-0.001939")</f>
        <v/>
      </c>
      <c r="D50">
        <f>_xlfn.NUMBERVALUE("-0.000016")</f>
        <v/>
      </c>
      <c r="E50">
        <f>_xlfn.NUMBERVALUE("-0.000582")</f>
        <v/>
      </c>
      <c r="F50">
        <f>_xlfn.NUMBERVALUE("0.002148")</f>
        <v/>
      </c>
      <c r="G50">
        <f>_xlfn.NUMBERVALUE("0.000784")</f>
        <v/>
      </c>
      <c r="H50">
        <f>_xlfn.NUMBERVALUE("0.000760")</f>
        <v/>
      </c>
      <c r="I50">
        <f>_xlfn.NUMBERVALUE("-0.002425")</f>
        <v/>
      </c>
      <c r="J50">
        <f>_xlfn.NUMBERVALUE("0.000677")</f>
        <v/>
      </c>
      <c r="K50">
        <f>_xlfn.NUMBERVALUE("0.002333")</f>
        <v/>
      </c>
      <c r="L50">
        <f>_xlfn.NUMBERVALUE("0.000861")</f>
        <v/>
      </c>
      <c r="M50">
        <f>_xlfn.NUMBERVALUE("0.001901")</f>
        <v/>
      </c>
      <c r="N50">
        <f>_xlfn.NUMBERVALUE("0.000000")</f>
        <v/>
      </c>
      <c r="O50">
        <f>_xlfn.NUMBERVALUE("0.000811")</f>
        <v/>
      </c>
      <c r="P50">
        <f>_xlfn.NUMBERVALUE("-0.000185")</f>
        <v/>
      </c>
      <c r="Q50">
        <f>_xlfn.NUMBERVALUE("0.000463")</f>
        <v/>
      </c>
      <c r="R50">
        <f>_xlfn.NUMBERVALUE("0.005571")</f>
        <v/>
      </c>
      <c r="S50">
        <f>_xlfn.NUMBERVALUE("0.001601")</f>
        <v/>
      </c>
      <c r="T50">
        <f>_xlfn.NUMBERVALUE("-0.001252")</f>
        <v/>
      </c>
      <c r="U50">
        <f>_xlfn.NUMBERVALUE("-0.002404")</f>
        <v/>
      </c>
      <c r="V50">
        <f>_xlfn.NUMBERVALUE("0.000151")</f>
        <v/>
      </c>
      <c r="W50">
        <f>_xlfn.NUMBERVALUE("0.011831")</f>
        <v/>
      </c>
      <c r="X50">
        <f>_xlfn.NUMBERVALUE("-1.450000")</f>
        <v/>
      </c>
      <c r="Y50">
        <f>_xlfn.NUMBERVALUE("15.420000")</f>
        <v/>
      </c>
    </row>
    <row r="51">
      <c r="A51" s="1" t="n">
        <v>42076</v>
      </c>
      <c r="B51">
        <f>_xlfn.NUMBERVALUE("0.000000")</f>
        <v/>
      </c>
      <c r="C51" s="2">
        <f>_xlfn.NUMBERVALUE("-0.000057")</f>
        <v/>
      </c>
      <c r="D51">
        <f>_xlfn.NUMBERVALUE("-0.000971")</f>
        <v/>
      </c>
      <c r="E51">
        <f>_xlfn.NUMBERVALUE("0.000511")</f>
        <v/>
      </c>
      <c r="F51">
        <f>_xlfn.NUMBERVALUE("0.000759")</f>
        <v/>
      </c>
      <c r="G51">
        <f>_xlfn.NUMBERVALUE("0.000632")</f>
        <v/>
      </c>
      <c r="H51">
        <f>_xlfn.NUMBERVALUE("-0.000292")</f>
        <v/>
      </c>
      <c r="I51">
        <f>_xlfn.NUMBERVALUE("0.000288")</f>
        <v/>
      </c>
      <c r="J51">
        <f>_xlfn.NUMBERVALUE("-0.000065")</f>
        <v/>
      </c>
      <c r="K51">
        <f>_xlfn.NUMBERVALUE("0.002086")</f>
        <v/>
      </c>
      <c r="L51">
        <f>_xlfn.NUMBERVALUE("0.000778")</f>
        <v/>
      </c>
      <c r="M51">
        <f>_xlfn.NUMBERVALUE("-0.001521")</f>
        <v/>
      </c>
      <c r="N51">
        <f>_xlfn.NUMBERVALUE("0.000000")</f>
        <v/>
      </c>
      <c r="O51">
        <f>_xlfn.NUMBERVALUE("-0.043593")</f>
        <v/>
      </c>
      <c r="P51">
        <f>_xlfn.NUMBERVALUE("-0.000159")</f>
        <v/>
      </c>
      <c r="Q51">
        <f>_xlfn.NUMBERVALUE("-0.000983")</f>
        <v/>
      </c>
      <c r="R51">
        <f>_xlfn.NUMBERVALUE("-0.001364")</f>
        <v/>
      </c>
      <c r="S51">
        <f>_xlfn.NUMBERVALUE("-0.000963")</f>
        <v/>
      </c>
      <c r="T51">
        <f>_xlfn.NUMBERVALUE("-0.000105")</f>
        <v/>
      </c>
      <c r="U51">
        <f>_xlfn.NUMBERVALUE("-0.000425")</f>
        <v/>
      </c>
      <c r="V51">
        <f>_xlfn.NUMBERVALUE("-0.000987")</f>
        <v/>
      </c>
      <c r="W51">
        <f>_xlfn.NUMBERVALUE("-0.006909")</f>
        <v/>
      </c>
      <c r="X51">
        <f>_xlfn.NUMBERVALUE("0.580000")</f>
        <v/>
      </c>
      <c r="Y51">
        <f>_xlfn.NUMBERVALUE("16.000000")</f>
        <v/>
      </c>
    </row>
    <row r="52">
      <c r="A52" s="1" t="n">
        <v>42079</v>
      </c>
      <c r="B52">
        <f>_xlfn.NUMBERVALUE("0.000000")</f>
        <v/>
      </c>
      <c r="C52" s="2">
        <f>_xlfn.NUMBERVALUE("-0.000918")</f>
        <v/>
      </c>
      <c r="D52">
        <f>_xlfn.NUMBERVALUE("0.000582")</f>
        <v/>
      </c>
      <c r="E52">
        <f>_xlfn.NUMBERVALUE("0.000137")</f>
        <v/>
      </c>
      <c r="F52">
        <f>_xlfn.NUMBERVALUE("0.000655")</f>
        <v/>
      </c>
      <c r="G52">
        <f>_xlfn.NUMBERVALUE("0.000860")</f>
        <v/>
      </c>
      <c r="H52">
        <f>_xlfn.NUMBERVALUE("0.001028")</f>
        <v/>
      </c>
      <c r="I52">
        <f>_xlfn.NUMBERVALUE("0.001484")</f>
        <v/>
      </c>
      <c r="J52">
        <f>_xlfn.NUMBERVALUE("0.001167")</f>
        <v/>
      </c>
      <c r="K52">
        <f>_xlfn.NUMBERVALUE("0.003069")</f>
        <v/>
      </c>
      <c r="L52">
        <f>_xlfn.NUMBERVALUE("0.000315")</f>
        <v/>
      </c>
      <c r="M52">
        <f>_xlfn.NUMBERVALUE("0.001649")</f>
        <v/>
      </c>
      <c r="N52">
        <f>_xlfn.NUMBERVALUE("0.000000")</f>
        <v/>
      </c>
      <c r="O52">
        <f>_xlfn.NUMBERVALUE("0.049189")</f>
        <v/>
      </c>
      <c r="P52">
        <f>_xlfn.NUMBERVALUE("-0.000102")</f>
        <v/>
      </c>
      <c r="Q52">
        <f>_xlfn.NUMBERVALUE("-0.000003")</f>
        <v/>
      </c>
      <c r="R52">
        <f>_xlfn.NUMBERVALUE("-0.001030")</f>
        <v/>
      </c>
      <c r="S52">
        <f>_xlfn.NUMBERVALUE("-0.000145")</f>
        <v/>
      </c>
      <c r="T52">
        <f>_xlfn.NUMBERVALUE("-0.000207")</f>
        <v/>
      </c>
      <c r="U52">
        <f>_xlfn.NUMBERVALUE("-0.000077")</f>
        <v/>
      </c>
      <c r="V52">
        <f>_xlfn.NUMBERVALUE("-0.001283")</f>
        <v/>
      </c>
      <c r="W52">
        <f>_xlfn.NUMBERVALUE("0.012796")</f>
        <v/>
      </c>
      <c r="X52">
        <f>_xlfn.NUMBERVALUE("-0.390000")</f>
        <v/>
      </c>
      <c r="Y52">
        <f>_xlfn.NUMBERVALUE("15.610000")</f>
        <v/>
      </c>
    </row>
    <row r="53">
      <c r="A53" s="1" t="n">
        <v>42080</v>
      </c>
      <c r="B53">
        <f>_xlfn.NUMBERVALUE("0.000000")</f>
        <v/>
      </c>
      <c r="C53" s="2">
        <f>_xlfn.NUMBERVALUE("0.000002")</f>
        <v/>
      </c>
      <c r="D53">
        <f>_xlfn.NUMBERVALUE("-0.000518")</f>
        <v/>
      </c>
      <c r="E53">
        <f>_xlfn.NUMBERVALUE("0.000867")</f>
        <v/>
      </c>
      <c r="F53">
        <f>_xlfn.NUMBERVALUE("-0.001360")</f>
        <v/>
      </c>
      <c r="G53">
        <f>_xlfn.NUMBERVALUE("-0.001469")</f>
        <v/>
      </c>
      <c r="H53">
        <f>_xlfn.NUMBERVALUE("0.000282")</f>
        <v/>
      </c>
      <c r="I53">
        <f>_xlfn.NUMBERVALUE("0.000838")</f>
        <v/>
      </c>
      <c r="J53">
        <f>_xlfn.NUMBERVALUE("0.000156")</f>
        <v/>
      </c>
      <c r="K53">
        <f>_xlfn.NUMBERVALUE("0.001679")</f>
        <v/>
      </c>
      <c r="L53">
        <f>_xlfn.NUMBERVALUE("-0.000755")</f>
        <v/>
      </c>
      <c r="M53">
        <f>_xlfn.NUMBERVALUE("-0.001381")</f>
        <v/>
      </c>
      <c r="N53">
        <f>_xlfn.NUMBERVALUE("0.000000")</f>
        <v/>
      </c>
      <c r="O53">
        <f>_xlfn.NUMBERVALUE("0.000090")</f>
        <v/>
      </c>
      <c r="P53">
        <f>_xlfn.NUMBERVALUE("0.001001")</f>
        <v/>
      </c>
      <c r="Q53">
        <f>_xlfn.NUMBERVALUE("-0.000412")</f>
        <v/>
      </c>
      <c r="R53">
        <f>_xlfn.NUMBERVALUE("0.001446")</f>
        <v/>
      </c>
      <c r="S53">
        <f>_xlfn.NUMBERVALUE("0.000023")</f>
        <v/>
      </c>
      <c r="T53">
        <f>_xlfn.NUMBERVALUE("0.001026")</f>
        <v/>
      </c>
      <c r="U53">
        <f>_xlfn.NUMBERVALUE("0.000521")</f>
        <v/>
      </c>
      <c r="V53">
        <f>_xlfn.NUMBERVALUE("0.000349")</f>
        <v/>
      </c>
      <c r="W53">
        <f>_xlfn.NUMBERVALUE("-0.000721")</f>
        <v/>
      </c>
      <c r="X53">
        <f>_xlfn.NUMBERVALUE("0.050000")</f>
        <v/>
      </c>
      <c r="Y53">
        <f>_xlfn.NUMBERVALUE("15.660000")</f>
        <v/>
      </c>
    </row>
    <row r="54">
      <c r="A54" s="1" t="n">
        <v>42081</v>
      </c>
      <c r="B54">
        <f>_xlfn.NUMBERVALUE("0.000000")</f>
        <v/>
      </c>
      <c r="C54" s="2">
        <f>_xlfn.NUMBERVALUE("0.000704")</f>
        <v/>
      </c>
      <c r="D54">
        <f>_xlfn.NUMBERVALUE("-0.001354")</f>
        <v/>
      </c>
      <c r="E54">
        <f>_xlfn.NUMBERVALUE("-0.000295")</f>
        <v/>
      </c>
      <c r="F54">
        <f>_xlfn.NUMBERVALUE("0.001538")</f>
        <v/>
      </c>
      <c r="G54">
        <f>_xlfn.NUMBERVALUE("0.002977")</f>
        <v/>
      </c>
      <c r="H54">
        <f>_xlfn.NUMBERVALUE("-0.002599")</f>
        <v/>
      </c>
      <c r="I54">
        <f>_xlfn.NUMBERVALUE("0.001184")</f>
        <v/>
      </c>
      <c r="J54">
        <f>_xlfn.NUMBERVALUE("-0.005026")</f>
        <v/>
      </c>
      <c r="K54">
        <f>_xlfn.NUMBERVALUE("-0.004224")</f>
        <v/>
      </c>
      <c r="L54">
        <f>_xlfn.NUMBERVALUE("-0.001999")</f>
        <v/>
      </c>
      <c r="M54">
        <f>_xlfn.NUMBERVALUE("0.002387")</f>
        <v/>
      </c>
      <c r="N54">
        <f>_xlfn.NUMBERVALUE("0.000000")</f>
        <v/>
      </c>
      <c r="O54">
        <f>_xlfn.NUMBERVALUE("0.000420")</f>
        <v/>
      </c>
      <c r="P54">
        <f>_xlfn.NUMBERVALUE("0.001473")</f>
        <v/>
      </c>
      <c r="Q54">
        <f>_xlfn.NUMBERVALUE("0.002233")</f>
        <v/>
      </c>
      <c r="R54">
        <f>_xlfn.NUMBERVALUE("0.002780")</f>
        <v/>
      </c>
      <c r="S54">
        <f>_xlfn.NUMBERVALUE("0.003318")</f>
        <v/>
      </c>
      <c r="T54">
        <f>_xlfn.NUMBERVALUE("-0.001571")</f>
        <v/>
      </c>
      <c r="U54">
        <f>_xlfn.NUMBERVALUE("0.004611")</f>
        <v/>
      </c>
      <c r="V54">
        <f>_xlfn.NUMBERVALUE("0.000745")</f>
        <v/>
      </c>
      <c r="W54">
        <f>_xlfn.NUMBERVALUE("0.012451")</f>
        <v/>
      </c>
      <c r="X54">
        <f>_xlfn.NUMBERVALUE("-1.690000")</f>
        <v/>
      </c>
      <c r="Y54">
        <f>_xlfn.NUMBERVALUE("13.970000")</f>
        <v/>
      </c>
    </row>
    <row r="55">
      <c r="A55" s="1" t="n">
        <v>42082</v>
      </c>
      <c r="B55">
        <f>_xlfn.NUMBERVALUE("0.000000")</f>
        <v/>
      </c>
      <c r="C55" s="2">
        <f>_xlfn.NUMBERVALUE("0.001539")</f>
        <v/>
      </c>
      <c r="D55">
        <f>_xlfn.NUMBERVALUE("-0.001290")</f>
        <v/>
      </c>
      <c r="E55">
        <f>_xlfn.NUMBERVALUE("0.002044")</f>
        <v/>
      </c>
      <c r="F55">
        <f>_xlfn.NUMBERVALUE("0.002872")</f>
        <v/>
      </c>
      <c r="G55">
        <f>_xlfn.NUMBERVALUE("0.001380")</f>
        <v/>
      </c>
      <c r="H55">
        <f>_xlfn.NUMBERVALUE("0.001006")</f>
        <v/>
      </c>
      <c r="I55">
        <f>_xlfn.NUMBERVALUE("0.001775")</f>
        <v/>
      </c>
      <c r="J55">
        <f>_xlfn.NUMBERVALUE("0.000494")</f>
        <v/>
      </c>
      <c r="K55">
        <f>_xlfn.NUMBERVALUE("0.008471")</f>
        <v/>
      </c>
      <c r="L55">
        <f>_xlfn.NUMBERVALUE("0.000309")</f>
        <v/>
      </c>
      <c r="M55">
        <f>_xlfn.NUMBERVALUE("-0.000965")</f>
        <v/>
      </c>
      <c r="N55">
        <f>_xlfn.NUMBERVALUE("0.000000")</f>
        <v/>
      </c>
      <c r="O55">
        <f>_xlfn.NUMBERVALUE("-0.002101")</f>
        <v/>
      </c>
      <c r="P55">
        <f>_xlfn.NUMBERVALUE("0.000924")</f>
        <v/>
      </c>
      <c r="Q55">
        <f>_xlfn.NUMBERVALUE("0.001619")</f>
        <v/>
      </c>
      <c r="R55">
        <f>_xlfn.NUMBERVALUE("0.001049")</f>
        <v/>
      </c>
      <c r="S55">
        <f>_xlfn.NUMBERVALUE("-0.001954")</f>
        <v/>
      </c>
      <c r="T55">
        <f>_xlfn.NUMBERVALUE("0.002639")</f>
        <v/>
      </c>
      <c r="U55">
        <f>_xlfn.NUMBERVALUE("-0.007188")</f>
        <v/>
      </c>
      <c r="V55">
        <f>_xlfn.NUMBERVALUE("0.001700")</f>
        <v/>
      </c>
      <c r="W55">
        <f>_xlfn.NUMBERVALUE("-0.004986")</f>
        <v/>
      </c>
      <c r="X55">
        <f>_xlfn.NUMBERVALUE("0.100000")</f>
        <v/>
      </c>
      <c r="Y55">
        <f>_xlfn.NUMBERVALUE("14.070000")</f>
        <v/>
      </c>
    </row>
    <row r="56">
      <c r="A56" s="1" t="n">
        <v>42083</v>
      </c>
      <c r="B56">
        <f>_xlfn.NUMBERVALUE("0.000000")</f>
        <v/>
      </c>
      <c r="C56" s="2">
        <f>_xlfn.NUMBERVALUE("0.000792")</f>
        <v/>
      </c>
      <c r="D56">
        <f>_xlfn.NUMBERVALUE("0.001651")</f>
        <v/>
      </c>
      <c r="E56">
        <f>_xlfn.NUMBERVALUE("-0.008268")</f>
        <v/>
      </c>
      <c r="F56">
        <f>_xlfn.NUMBERVALUE("0.000463")</f>
        <v/>
      </c>
      <c r="G56">
        <f>_xlfn.NUMBERVALUE("-0.000593")</f>
        <v/>
      </c>
      <c r="H56">
        <f>_xlfn.NUMBERVALUE("-0.001419")</f>
        <v/>
      </c>
      <c r="I56">
        <f>_xlfn.NUMBERVALUE("0.000819")</f>
        <v/>
      </c>
      <c r="J56">
        <f>_xlfn.NUMBERVALUE("0.000206")</f>
        <v/>
      </c>
      <c r="K56">
        <f>_xlfn.NUMBERVALUE("-0.011243")</f>
        <v/>
      </c>
      <c r="L56">
        <f>_xlfn.NUMBERVALUE("0.000696")</f>
        <v/>
      </c>
      <c r="M56">
        <f>_xlfn.NUMBERVALUE("0.003384")</f>
        <v/>
      </c>
      <c r="N56">
        <f>_xlfn.NUMBERVALUE("0.000000")</f>
        <v/>
      </c>
      <c r="O56">
        <f>_xlfn.NUMBERVALUE("0.005649")</f>
        <v/>
      </c>
      <c r="P56">
        <f>_xlfn.NUMBERVALUE("-0.000599")</f>
        <v/>
      </c>
      <c r="Q56">
        <f>_xlfn.NUMBERVALUE("0.004971")</f>
        <v/>
      </c>
      <c r="R56">
        <f>_xlfn.NUMBERVALUE("0.000871")</f>
        <v/>
      </c>
      <c r="S56">
        <f>_xlfn.NUMBERVALUE("0.004149")</f>
        <v/>
      </c>
      <c r="T56">
        <f>_xlfn.NUMBERVALUE("-0.000212")</f>
        <v/>
      </c>
      <c r="U56">
        <f>_xlfn.NUMBERVALUE("-0.000229")</f>
        <v/>
      </c>
      <c r="V56">
        <f>_xlfn.NUMBERVALUE("0.000599")</f>
        <v/>
      </c>
      <c r="W56">
        <f>_xlfn.NUMBERVALUE("0.003818")</f>
        <v/>
      </c>
      <c r="X56">
        <f>_xlfn.NUMBERVALUE("-1.050000")</f>
        <v/>
      </c>
      <c r="Y56">
        <f>_xlfn.NUMBERVALUE("13.020000")</f>
        <v/>
      </c>
    </row>
    <row r="57">
      <c r="A57" s="1" t="n">
        <v>42086</v>
      </c>
      <c r="B57">
        <f>_xlfn.NUMBERVALUE("0.000000")</f>
        <v/>
      </c>
      <c r="C57" s="2">
        <f>_xlfn.NUMBERVALUE("0.000898")</f>
        <v/>
      </c>
      <c r="D57">
        <f>_xlfn.NUMBERVALUE("0.002018")</f>
        <v/>
      </c>
      <c r="E57">
        <f>_xlfn.NUMBERVALUE("-0.001135")</f>
        <v/>
      </c>
      <c r="F57">
        <f>_xlfn.NUMBERVALUE("0.001172")</f>
        <v/>
      </c>
      <c r="G57">
        <f>_xlfn.NUMBERVALUE("-0.000557")</f>
        <v/>
      </c>
      <c r="H57">
        <f>_xlfn.NUMBERVALUE("-0.000429")</f>
        <v/>
      </c>
      <c r="I57">
        <f>_xlfn.NUMBERVALUE("0.001112")</f>
        <v/>
      </c>
      <c r="J57">
        <f>_xlfn.NUMBERVALUE("0.000986")</f>
        <v/>
      </c>
      <c r="K57">
        <f>_xlfn.NUMBERVALUE("-0.001604")</f>
        <v/>
      </c>
      <c r="L57">
        <f>_xlfn.NUMBERVALUE("0.001112")</f>
        <v/>
      </c>
      <c r="M57">
        <f>_xlfn.NUMBERVALUE("-0.000233")</f>
        <v/>
      </c>
      <c r="N57">
        <f>_xlfn.NUMBERVALUE("0.000000")</f>
        <v/>
      </c>
      <c r="O57">
        <f>_xlfn.NUMBERVALUE("0.002830")</f>
        <v/>
      </c>
      <c r="P57">
        <f>_xlfn.NUMBERVALUE("0.001252")</f>
        <v/>
      </c>
      <c r="Q57">
        <f>_xlfn.NUMBERVALUE("-0.003544")</f>
        <v/>
      </c>
      <c r="R57">
        <f>_xlfn.NUMBERVALUE("0.002221")</f>
        <v/>
      </c>
      <c r="S57">
        <f>_xlfn.NUMBERVALUE("0.001940")</f>
        <v/>
      </c>
      <c r="T57">
        <f>_xlfn.NUMBERVALUE("0.001768")</f>
        <v/>
      </c>
      <c r="U57">
        <f>_xlfn.NUMBERVALUE("0.001450")</f>
        <v/>
      </c>
      <c r="V57">
        <f>_xlfn.NUMBERVALUE("0.001214")</f>
        <v/>
      </c>
      <c r="W57">
        <f>_xlfn.NUMBERVALUE("-0.002187")</f>
        <v/>
      </c>
      <c r="X57">
        <f>_xlfn.NUMBERVALUE("0.390000")</f>
        <v/>
      </c>
      <c r="Y57">
        <f>_xlfn.NUMBERVALUE("13.410000")</f>
        <v/>
      </c>
    </row>
    <row r="58">
      <c r="A58" s="1" t="n">
        <v>42087</v>
      </c>
      <c r="B58">
        <f>_xlfn.NUMBERVALUE("0.000000")</f>
        <v/>
      </c>
      <c r="C58" s="2">
        <f>_xlfn.NUMBERVALUE("0.000408")</f>
        <v/>
      </c>
      <c r="D58">
        <f>_xlfn.NUMBERVALUE("0.000910")</f>
        <v/>
      </c>
      <c r="E58">
        <f>_xlfn.NUMBERVALUE("0.001720")</f>
        <v/>
      </c>
      <c r="F58">
        <f>_xlfn.NUMBERVALUE("0.001613")</f>
        <v/>
      </c>
      <c r="G58">
        <f>_xlfn.NUMBERVALUE("-0.000284")</f>
        <v/>
      </c>
      <c r="H58">
        <f>_xlfn.NUMBERVALUE("0.000496")</f>
        <v/>
      </c>
      <c r="I58">
        <f>_xlfn.NUMBERVALUE("-0.000292")</f>
        <v/>
      </c>
      <c r="J58">
        <f>_xlfn.NUMBERVALUE("-0.000020")</f>
        <v/>
      </c>
      <c r="K58">
        <f>_xlfn.NUMBERVALUE("0.001853")</f>
        <v/>
      </c>
      <c r="L58">
        <f>_xlfn.NUMBERVALUE("-0.000711")</f>
        <v/>
      </c>
      <c r="M58">
        <f>_xlfn.NUMBERVALUE("0.000452")</f>
        <v/>
      </c>
      <c r="N58">
        <f>_xlfn.NUMBERVALUE("0.000000")</f>
        <v/>
      </c>
      <c r="O58">
        <f>_xlfn.NUMBERVALUE("0.000707")</f>
        <v/>
      </c>
      <c r="P58">
        <f>_xlfn.NUMBERVALUE("0.000247")</f>
        <v/>
      </c>
      <c r="Q58">
        <f>_xlfn.NUMBERVALUE("0.001475")</f>
        <v/>
      </c>
      <c r="R58">
        <f>_xlfn.NUMBERVALUE("0.001124")</f>
        <v/>
      </c>
      <c r="S58">
        <f>_xlfn.NUMBERVALUE("-0.001714")</f>
        <v/>
      </c>
      <c r="T58">
        <f>_xlfn.NUMBERVALUE("0.000197")</f>
        <v/>
      </c>
      <c r="U58">
        <f>_xlfn.NUMBERVALUE("0.000369")</f>
        <v/>
      </c>
      <c r="V58">
        <f>_xlfn.NUMBERVALUE("0.000208")</f>
        <v/>
      </c>
      <c r="W58">
        <f>_xlfn.NUMBERVALUE("-0.004812")</f>
        <v/>
      </c>
      <c r="X58">
        <f>_xlfn.NUMBERVALUE("0.210000")</f>
        <v/>
      </c>
      <c r="Y58">
        <f>_xlfn.NUMBERVALUE("13.620000")</f>
        <v/>
      </c>
    </row>
    <row r="59">
      <c r="A59" s="1" t="n">
        <v>42088</v>
      </c>
      <c r="B59">
        <f>_xlfn.NUMBERVALUE("0.000000")</f>
        <v/>
      </c>
      <c r="C59" s="2">
        <f>_xlfn.NUMBERVALUE("-0.005349")</f>
        <v/>
      </c>
      <c r="D59">
        <f>_xlfn.NUMBERVALUE("-0.005411")</f>
        <v/>
      </c>
      <c r="E59">
        <f>_xlfn.NUMBERVALUE("-0.000911")</f>
        <v/>
      </c>
      <c r="F59">
        <f>_xlfn.NUMBERVALUE("0.001937")</f>
        <v/>
      </c>
      <c r="G59">
        <f>_xlfn.NUMBERVALUE("0.001680")</f>
        <v/>
      </c>
      <c r="H59">
        <f>_xlfn.NUMBERVALUE("-0.000783")</f>
        <v/>
      </c>
      <c r="I59">
        <f>_xlfn.NUMBERVALUE("-0.009283")</f>
        <v/>
      </c>
      <c r="J59">
        <f>_xlfn.NUMBERVALUE("-0.000043")</f>
        <v/>
      </c>
      <c r="K59">
        <f>_xlfn.NUMBERVALUE("0.001974")</f>
        <v/>
      </c>
      <c r="L59">
        <f>_xlfn.NUMBERVALUE("0.000049")</f>
        <v/>
      </c>
      <c r="M59">
        <f>_xlfn.NUMBERVALUE("-0.001233")</f>
        <v/>
      </c>
      <c r="N59">
        <f>_xlfn.NUMBERVALUE("0.000000")</f>
        <v/>
      </c>
      <c r="O59">
        <f>_xlfn.NUMBERVALUE("-0.003479")</f>
        <v/>
      </c>
      <c r="P59">
        <f>_xlfn.NUMBERVALUE("-0.003248")</f>
        <v/>
      </c>
      <c r="Q59">
        <f>_xlfn.NUMBERVALUE("-0.007428")</f>
        <v/>
      </c>
      <c r="R59">
        <f>_xlfn.NUMBERVALUE("-0.007751")</f>
        <v/>
      </c>
      <c r="S59">
        <f>_xlfn.NUMBERVALUE("0.000030")</f>
        <v/>
      </c>
      <c r="T59">
        <f>_xlfn.NUMBERVALUE("-0.005334")</f>
        <v/>
      </c>
      <c r="U59">
        <f>_xlfn.NUMBERVALUE("-0.005716")</f>
        <v/>
      </c>
      <c r="V59">
        <f>_xlfn.NUMBERVALUE("-0.004803")</f>
        <v/>
      </c>
      <c r="W59">
        <f>_xlfn.NUMBERVALUE("-0.014553")</f>
        <v/>
      </c>
      <c r="X59">
        <f>_xlfn.NUMBERVALUE("1.820000")</f>
        <v/>
      </c>
      <c r="Y59">
        <f>_xlfn.NUMBERVALUE("15.440000")</f>
        <v/>
      </c>
    </row>
    <row r="60">
      <c r="A60" s="1" t="n">
        <v>42089</v>
      </c>
      <c r="B60">
        <f>_xlfn.NUMBERVALUE("0.000000")</f>
        <v/>
      </c>
      <c r="C60" s="2">
        <f>_xlfn.NUMBERVALUE("-0.000061")</f>
        <v/>
      </c>
      <c r="D60">
        <f>_xlfn.NUMBERVALUE("0.000414")</f>
        <v/>
      </c>
      <c r="E60">
        <f>_xlfn.NUMBERVALUE("-0.000351")</f>
        <v/>
      </c>
      <c r="F60">
        <f>_xlfn.NUMBERVALUE("-0.000015")</f>
        <v/>
      </c>
      <c r="G60">
        <f>_xlfn.NUMBERVALUE("-0.002043")</f>
        <v/>
      </c>
      <c r="H60">
        <f>_xlfn.NUMBERVALUE("0.000285")</f>
        <v/>
      </c>
      <c r="I60">
        <f>_xlfn.NUMBERVALUE("0.001163")</f>
        <v/>
      </c>
      <c r="J60">
        <f>_xlfn.NUMBERVALUE("-0.000127")</f>
        <v/>
      </c>
      <c r="K60">
        <f>_xlfn.NUMBERVALUE("-0.000167")</f>
        <v/>
      </c>
      <c r="L60">
        <f>_xlfn.NUMBERVALUE("0.000142")</f>
        <v/>
      </c>
      <c r="M60">
        <f>_xlfn.NUMBERVALUE("0.001416")</f>
        <v/>
      </c>
      <c r="N60">
        <f>_xlfn.NUMBERVALUE("0.000000")</f>
        <v/>
      </c>
      <c r="O60">
        <f>_xlfn.NUMBERVALUE("0.000009")</f>
        <v/>
      </c>
      <c r="P60">
        <f>_xlfn.NUMBERVALUE("-0.001285")</f>
        <v/>
      </c>
      <c r="Q60">
        <f>_xlfn.NUMBERVALUE("0.002344")</f>
        <v/>
      </c>
      <c r="R60">
        <f>_xlfn.NUMBERVALUE("0.000468")</f>
        <v/>
      </c>
      <c r="S60">
        <f>_xlfn.NUMBERVALUE("-0.000173")</f>
        <v/>
      </c>
      <c r="T60">
        <f>_xlfn.NUMBERVALUE("0.003471")</f>
        <v/>
      </c>
      <c r="U60">
        <f>_xlfn.NUMBERVALUE("-0.000950")</f>
        <v/>
      </c>
      <c r="V60">
        <f>_xlfn.NUMBERVALUE("0.000159")</f>
        <v/>
      </c>
      <c r="W60">
        <f>_xlfn.NUMBERVALUE("-0.002356")</f>
        <v/>
      </c>
      <c r="X60">
        <f>_xlfn.NUMBERVALUE("0.360000")</f>
        <v/>
      </c>
      <c r="Y60">
        <f>_xlfn.NUMBERVALUE("15.800000")</f>
        <v/>
      </c>
    </row>
    <row r="61">
      <c r="A61" s="1" t="n">
        <v>42090</v>
      </c>
      <c r="B61">
        <f>_xlfn.NUMBERVALUE("0.000000")</f>
        <v/>
      </c>
      <c r="C61" s="2">
        <f>_xlfn.NUMBERVALUE("0.001165")</f>
        <v/>
      </c>
      <c r="D61">
        <f>_xlfn.NUMBERVALUE("0.001880")</f>
        <v/>
      </c>
      <c r="E61">
        <f>_xlfn.NUMBERVALUE("0.001758")</f>
        <v/>
      </c>
      <c r="F61">
        <f>_xlfn.NUMBERVALUE("0.001065")</f>
        <v/>
      </c>
      <c r="G61">
        <f>_xlfn.NUMBERVALUE("0.002181")</f>
        <v/>
      </c>
      <c r="H61">
        <f>_xlfn.NUMBERVALUE("0.000041")</f>
        <v/>
      </c>
      <c r="I61">
        <f>_xlfn.NUMBERVALUE("0.001435")</f>
        <v/>
      </c>
      <c r="J61">
        <f>_xlfn.NUMBERVALUE("-0.000810")</f>
        <v/>
      </c>
      <c r="K61">
        <f>_xlfn.NUMBERVALUE("0.001771")</f>
        <v/>
      </c>
      <c r="L61">
        <f>_xlfn.NUMBERVALUE("-0.000951")</f>
        <v/>
      </c>
      <c r="M61">
        <f>_xlfn.NUMBERVALUE("-0.000288")</f>
        <v/>
      </c>
      <c r="N61">
        <f>_xlfn.NUMBERVALUE("0.000000")</f>
        <v/>
      </c>
      <c r="O61">
        <f>_xlfn.NUMBERVALUE("0.000591")</f>
        <v/>
      </c>
      <c r="P61">
        <f>_xlfn.NUMBERVALUE("0.000571")</f>
        <v/>
      </c>
      <c r="Q61">
        <f>_xlfn.NUMBERVALUE("0.000407")</f>
        <v/>
      </c>
      <c r="R61">
        <f>_xlfn.NUMBERVALUE("0.000922")</f>
        <v/>
      </c>
      <c r="S61">
        <f>_xlfn.NUMBERVALUE("-0.000115")</f>
        <v/>
      </c>
      <c r="T61">
        <f>_xlfn.NUMBERVALUE("0.001247")</f>
        <v/>
      </c>
      <c r="U61">
        <f>_xlfn.NUMBERVALUE("0.002426")</f>
        <v/>
      </c>
      <c r="V61">
        <f>_xlfn.NUMBERVALUE("0.001227")</f>
        <v/>
      </c>
      <c r="W61">
        <f>_xlfn.NUMBERVALUE("0.002021")</f>
        <v/>
      </c>
      <c r="X61">
        <f>_xlfn.NUMBERVALUE("-0.730000")</f>
        <v/>
      </c>
      <c r="Y61">
        <f>_xlfn.NUMBERVALUE("15.070000")</f>
        <v/>
      </c>
    </row>
    <row r="62">
      <c r="A62" s="1" t="n">
        <v>42093</v>
      </c>
      <c r="B62">
        <f>_xlfn.NUMBERVALUE("0.000000")</f>
        <v/>
      </c>
      <c r="C62" s="2">
        <f>_xlfn.NUMBERVALUE("-0.001116")</f>
        <v/>
      </c>
      <c r="D62">
        <f>_xlfn.NUMBERVALUE("-0.003537")</f>
        <v/>
      </c>
      <c r="E62">
        <f>_xlfn.NUMBERVALUE("0.002455")</f>
        <v/>
      </c>
      <c r="F62">
        <f>_xlfn.NUMBERVALUE("-0.000994")</f>
        <v/>
      </c>
      <c r="G62">
        <f>_xlfn.NUMBERVALUE("0.000746")</f>
        <v/>
      </c>
      <c r="H62">
        <f>_xlfn.NUMBERVALUE("-0.000204")</f>
        <v/>
      </c>
      <c r="I62">
        <f>_xlfn.NUMBERVALUE("-0.002205")</f>
        <v/>
      </c>
      <c r="J62">
        <f>_xlfn.NUMBERVALUE("0.001085")</f>
        <v/>
      </c>
      <c r="K62">
        <f>_xlfn.NUMBERVALUE("0.004128")</f>
        <v/>
      </c>
      <c r="L62">
        <f>_xlfn.NUMBERVALUE("0.000623")</f>
        <v/>
      </c>
      <c r="M62">
        <f>_xlfn.NUMBERVALUE("-0.001081")</f>
        <v/>
      </c>
      <c r="N62">
        <f>_xlfn.NUMBERVALUE("0.000000")</f>
        <v/>
      </c>
      <c r="O62">
        <f>_xlfn.NUMBERVALUE("-0.001075")</f>
        <v/>
      </c>
      <c r="P62">
        <f>_xlfn.NUMBERVALUE("0.002553")</f>
        <v/>
      </c>
      <c r="Q62">
        <f>_xlfn.NUMBERVALUE("0.002269")</f>
        <v/>
      </c>
      <c r="R62">
        <f>_xlfn.NUMBERVALUE("-0.000017")</f>
        <v/>
      </c>
      <c r="S62">
        <f>_xlfn.NUMBERVALUE("0.001577")</f>
        <v/>
      </c>
      <c r="T62">
        <f>_xlfn.NUMBERVALUE("-0.000032")</f>
        <v/>
      </c>
      <c r="U62">
        <f>_xlfn.NUMBERVALUE("0.001635")</f>
        <v/>
      </c>
      <c r="V62">
        <f>_xlfn.NUMBERVALUE("-0.000031")</f>
        <v/>
      </c>
      <c r="W62">
        <f>_xlfn.NUMBERVALUE("0.012173")</f>
        <v/>
      </c>
      <c r="X62">
        <f>_xlfn.NUMBERVALUE("-0.560000")</f>
        <v/>
      </c>
      <c r="Y62">
        <f>_xlfn.NUMBERVALUE("14.510000")</f>
        <v/>
      </c>
    </row>
    <row r="63">
      <c r="A63" s="1" t="n">
        <v>42094</v>
      </c>
      <c r="B63">
        <f>_xlfn.NUMBERVALUE("0.000000")</f>
        <v/>
      </c>
      <c r="C63" s="2">
        <f>_xlfn.NUMBERVALUE("-0.001881")</f>
        <v/>
      </c>
      <c r="D63">
        <f>_xlfn.NUMBERVALUE("0.001890")</f>
        <v/>
      </c>
      <c r="E63">
        <f>_xlfn.NUMBERVALUE("-0.004073")</f>
        <v/>
      </c>
      <c r="F63">
        <f>_xlfn.NUMBERVALUE("0.001017")</f>
        <v/>
      </c>
      <c r="G63">
        <f>_xlfn.NUMBERVALUE("0.001349")</f>
        <v/>
      </c>
      <c r="H63">
        <f>_xlfn.NUMBERVALUE("-0.000015")</f>
        <v/>
      </c>
      <c r="I63">
        <f>_xlfn.NUMBERVALUE("0.000432")</f>
        <v/>
      </c>
      <c r="J63">
        <f>_xlfn.NUMBERVALUE("0.000316")</f>
        <v/>
      </c>
      <c r="K63">
        <f>_xlfn.NUMBERVALUE("0.001737")</f>
        <v/>
      </c>
      <c r="L63">
        <f>_xlfn.NUMBERVALUE("-0.000473")</f>
        <v/>
      </c>
      <c r="M63">
        <f>_xlfn.NUMBERVALUE("0.000046")</f>
        <v/>
      </c>
      <c r="N63">
        <f>_xlfn.NUMBERVALUE("0.000000")</f>
        <v/>
      </c>
      <c r="O63">
        <f>_xlfn.NUMBERVALUE("0.000804")</f>
        <v/>
      </c>
      <c r="P63">
        <f>_xlfn.NUMBERVALUE("-0.001182")</f>
        <v/>
      </c>
      <c r="Q63">
        <f>_xlfn.NUMBERVALUE("-0.002248")</f>
        <v/>
      </c>
      <c r="R63">
        <f>_xlfn.NUMBERVALUE("-0.000346")</f>
        <v/>
      </c>
      <c r="S63">
        <f>_xlfn.NUMBERVALUE("0.000127")</f>
        <v/>
      </c>
      <c r="T63">
        <f>_xlfn.NUMBERVALUE("0.000315")</f>
        <v/>
      </c>
      <c r="U63">
        <f>_xlfn.NUMBERVALUE("-0.000452")</f>
        <v/>
      </c>
      <c r="V63">
        <f>_xlfn.NUMBERVALUE("-0.001259")</f>
        <v/>
      </c>
      <c r="W63">
        <f>_xlfn.NUMBERVALUE("-0.007514")</f>
        <v/>
      </c>
      <c r="X63">
        <f>_xlfn.NUMBERVALUE("0.780000")</f>
        <v/>
      </c>
      <c r="Y63">
        <f>_xlfn.NUMBERVALUE("15.290000")</f>
        <v/>
      </c>
    </row>
    <row r="64">
      <c r="A64" s="1" t="n">
        <v>42095</v>
      </c>
      <c r="B64">
        <f>_xlfn.NUMBERVALUE("0.000000")</f>
        <v/>
      </c>
      <c r="C64" s="2">
        <f>_xlfn.NUMBERVALUE("-0.000213")</f>
        <v/>
      </c>
      <c r="D64">
        <f>_xlfn.NUMBERVALUE("-0.003718")</f>
        <v/>
      </c>
      <c r="E64">
        <f>_xlfn.NUMBERVALUE("0.002737")</f>
        <v/>
      </c>
      <c r="F64">
        <f>_xlfn.NUMBERVALUE("-0.007038")</f>
        <v/>
      </c>
      <c r="G64">
        <f>_xlfn.NUMBERVALUE("0.000253")</f>
        <v/>
      </c>
      <c r="H64">
        <f>_xlfn.NUMBERVALUE("-0.000351")</f>
        <v/>
      </c>
      <c r="I64">
        <f>_xlfn.NUMBERVALUE("0.001570")</f>
        <v/>
      </c>
      <c r="J64">
        <f>_xlfn.NUMBERVALUE("-0.000443")</f>
        <v/>
      </c>
      <c r="K64">
        <f>_xlfn.NUMBERVALUE("-0.001674")</f>
        <v/>
      </c>
      <c r="L64">
        <f>_xlfn.NUMBERVALUE("-0.001461")</f>
        <v/>
      </c>
      <c r="M64">
        <f>_xlfn.NUMBERVALUE("0.001411")</f>
        <v/>
      </c>
      <c r="N64">
        <f>_xlfn.NUMBERVALUE("0.000000")</f>
        <v/>
      </c>
      <c r="O64">
        <f>_xlfn.NUMBERVALUE("0.001513")</f>
        <v/>
      </c>
      <c r="P64">
        <f>_xlfn.NUMBERVALUE("0.000271")</f>
        <v/>
      </c>
      <c r="Q64">
        <f>_xlfn.NUMBERVALUE("-0.001001")</f>
        <v/>
      </c>
      <c r="R64">
        <f>_xlfn.NUMBERVALUE("-0.000299")</f>
        <v/>
      </c>
      <c r="S64">
        <f>_xlfn.NUMBERVALUE("0.000273")</f>
        <v/>
      </c>
      <c r="T64">
        <f>_xlfn.NUMBERVALUE("0.003570")</f>
        <v/>
      </c>
      <c r="U64">
        <f>_xlfn.NUMBERVALUE("-0.000973")</f>
        <v/>
      </c>
      <c r="V64">
        <f>_xlfn.NUMBERVALUE("-0.000207")</f>
        <v/>
      </c>
      <c r="W64">
        <f>_xlfn.NUMBERVALUE("-0.005611")</f>
        <v/>
      </c>
      <c r="X64">
        <f>_xlfn.NUMBERVALUE("-0.180000")</f>
        <v/>
      </c>
      <c r="Y64">
        <f>_xlfn.NUMBERVALUE("15.110000")</f>
        <v/>
      </c>
    </row>
    <row r="65">
      <c r="A65" s="1" t="n">
        <v>42096</v>
      </c>
      <c r="B65">
        <f>_xlfn.NUMBERVALUE("0.000000")</f>
        <v/>
      </c>
      <c r="C65" s="2">
        <f>_xlfn.NUMBERVALUE("0.000196")</f>
        <v/>
      </c>
      <c r="D65">
        <f>_xlfn.NUMBERVALUE("-0.002215")</f>
        <v/>
      </c>
      <c r="E65">
        <f>_xlfn.NUMBERVALUE("-0.002827")</f>
        <v/>
      </c>
      <c r="F65">
        <f>_xlfn.NUMBERVALUE("0.004411")</f>
        <v/>
      </c>
      <c r="G65">
        <f>_xlfn.NUMBERVALUE("0.000617")</f>
        <v/>
      </c>
      <c r="H65">
        <f>_xlfn.NUMBERVALUE("-0.000022")</f>
        <v/>
      </c>
      <c r="I65">
        <f>_xlfn.NUMBERVALUE("0.000022")</f>
        <v/>
      </c>
      <c r="J65">
        <f>_xlfn.NUMBERVALUE("0.000089")</f>
        <v/>
      </c>
      <c r="K65">
        <f>_xlfn.NUMBERVALUE("-0.000269")</f>
        <v/>
      </c>
      <c r="L65">
        <f>_xlfn.NUMBERVALUE("-0.000000")</f>
        <v/>
      </c>
      <c r="M65">
        <f>_xlfn.NUMBERVALUE("0.001423")</f>
        <v/>
      </c>
      <c r="N65">
        <f>_xlfn.NUMBERVALUE("0.000000")</f>
        <v/>
      </c>
      <c r="O65">
        <f>_xlfn.NUMBERVALUE("0.004497")</f>
        <v/>
      </c>
      <c r="P65">
        <f>_xlfn.NUMBERVALUE("0.001935")</f>
        <v/>
      </c>
      <c r="Q65">
        <f>_xlfn.NUMBERVALUE("0.001043")</f>
        <v/>
      </c>
      <c r="R65">
        <f>_xlfn.NUMBERVALUE("0.000659")</f>
        <v/>
      </c>
      <c r="S65">
        <f>_xlfn.NUMBERVALUE("0.000225")</f>
        <v/>
      </c>
      <c r="T65">
        <f>_xlfn.NUMBERVALUE("0.001642")</f>
        <v/>
      </c>
      <c r="U65">
        <f>_xlfn.NUMBERVALUE("0.002414")</f>
        <v/>
      </c>
      <c r="V65">
        <f>_xlfn.NUMBERVALUE("0.000120")</f>
        <v/>
      </c>
      <c r="W65">
        <f>_xlfn.NUMBERVALUE("0.002627")</f>
        <v/>
      </c>
      <c r="X65">
        <f>_xlfn.NUMBERVALUE("-0.440000")</f>
        <v/>
      </c>
      <c r="Y65">
        <f>_xlfn.NUMBERVALUE("14.670000")</f>
        <v/>
      </c>
    </row>
    <row r="66">
      <c r="A66" s="1" t="n">
        <v>42100</v>
      </c>
      <c r="B66">
        <f>_xlfn.NUMBERVALUE("0.000000")</f>
        <v/>
      </c>
      <c r="C66" s="2">
        <f>_xlfn.NUMBERVALUE("0.000367")</f>
        <v/>
      </c>
      <c r="D66">
        <f>_xlfn.NUMBERVALUE("-0.001247")</f>
        <v/>
      </c>
      <c r="E66">
        <f>_xlfn.NUMBERVALUE("-0.000215")</f>
        <v/>
      </c>
      <c r="F66">
        <f>_xlfn.NUMBERVALUE("0.000654")</f>
        <v/>
      </c>
      <c r="G66">
        <f>_xlfn.NUMBERVALUE("0.000994")</f>
        <v/>
      </c>
      <c r="H66">
        <f>_xlfn.NUMBERVALUE("0.001094")</f>
        <v/>
      </c>
      <c r="I66">
        <f>_xlfn.NUMBERVALUE("0.001751")</f>
        <v/>
      </c>
      <c r="J66">
        <f>_xlfn.NUMBERVALUE("0.001276")</f>
        <v/>
      </c>
      <c r="K66">
        <f>_xlfn.NUMBERVALUE("0.002880")</f>
        <v/>
      </c>
      <c r="L66">
        <f>_xlfn.NUMBERVALUE("0.003154")</f>
        <v/>
      </c>
      <c r="M66">
        <f>_xlfn.NUMBERVALUE("0.000124")</f>
        <v/>
      </c>
      <c r="N66">
        <f>_xlfn.NUMBERVALUE("0.000000")</f>
        <v/>
      </c>
      <c r="O66">
        <f>_xlfn.NUMBERVALUE("-0.002360")</f>
        <v/>
      </c>
      <c r="P66">
        <f>_xlfn.NUMBERVALUE("0.003201")</f>
        <v/>
      </c>
      <c r="Q66">
        <f>_xlfn.NUMBERVALUE("0.000479")</f>
        <v/>
      </c>
      <c r="R66">
        <f>_xlfn.NUMBERVALUE("0.000026")</f>
        <v/>
      </c>
      <c r="S66">
        <f>_xlfn.NUMBERVALUE("0.006567")</f>
        <v/>
      </c>
      <c r="T66">
        <f>_xlfn.NUMBERVALUE("0.001659")</f>
        <v/>
      </c>
      <c r="U66">
        <f>_xlfn.NUMBERVALUE("0.009219")</f>
        <v/>
      </c>
      <c r="V66">
        <f>_xlfn.NUMBERVALUE("0.000330")</f>
        <v/>
      </c>
      <c r="W66">
        <f>_xlfn.NUMBERVALUE("0.006194")</f>
        <v/>
      </c>
      <c r="X66">
        <f>_xlfn.NUMBERVALUE("0.070000")</f>
        <v/>
      </c>
      <c r="Y66">
        <f>_xlfn.NUMBERVALUE("14.740000")</f>
        <v/>
      </c>
    </row>
    <row r="67">
      <c r="A67" s="1" t="n">
        <v>42101</v>
      </c>
      <c r="B67">
        <f>_xlfn.NUMBERVALUE("0.000000")</f>
        <v/>
      </c>
      <c r="C67" s="2">
        <f>_xlfn.NUMBERVALUE("0.000922")</f>
        <v/>
      </c>
      <c r="D67">
        <f>_xlfn.NUMBERVALUE("0.001790")</f>
        <v/>
      </c>
      <c r="E67">
        <f>_xlfn.NUMBERVALUE("0.000605")</f>
        <v/>
      </c>
      <c r="F67">
        <f>_xlfn.NUMBERVALUE("0.002066")</f>
        <v/>
      </c>
      <c r="G67">
        <f>_xlfn.NUMBERVALUE("0.000388")</f>
        <v/>
      </c>
      <c r="H67">
        <f>_xlfn.NUMBERVALUE("0.000506")</f>
        <v/>
      </c>
      <c r="I67">
        <f>_xlfn.NUMBERVALUE("0.001794")</f>
        <v/>
      </c>
      <c r="J67">
        <f>_xlfn.NUMBERVALUE("0.000637")</f>
        <v/>
      </c>
      <c r="K67">
        <f>_xlfn.NUMBERVALUE("0.002123")</f>
        <v/>
      </c>
      <c r="L67">
        <f>_xlfn.NUMBERVALUE("-0.000098")</f>
        <v/>
      </c>
      <c r="M67">
        <f>_xlfn.NUMBERVALUE("0.001015")</f>
        <v/>
      </c>
      <c r="N67">
        <f>_xlfn.NUMBERVALUE("0.000000")</f>
        <v/>
      </c>
      <c r="O67">
        <f>_xlfn.NUMBERVALUE("0.001438")</f>
        <v/>
      </c>
      <c r="P67">
        <f>_xlfn.NUMBERVALUE("0.000894")</f>
        <v/>
      </c>
      <c r="Q67">
        <f>_xlfn.NUMBERVALUE("0.000913")</f>
        <v/>
      </c>
      <c r="R67">
        <f>_xlfn.NUMBERVALUE("0.001023")</f>
        <v/>
      </c>
      <c r="S67">
        <f>_xlfn.NUMBERVALUE("0.001071")</f>
        <v/>
      </c>
      <c r="T67">
        <f>_xlfn.NUMBERVALUE("0.000261")</f>
        <v/>
      </c>
      <c r="U67">
        <f>_xlfn.NUMBERVALUE("0.000845")</f>
        <v/>
      </c>
      <c r="V67">
        <f>_xlfn.NUMBERVALUE("0.000832")</f>
        <v/>
      </c>
      <c r="W67">
        <f>_xlfn.NUMBERVALUE("-0.002549")</f>
        <v/>
      </c>
      <c r="X67">
        <f>_xlfn.NUMBERVALUE("0.040000")</f>
        <v/>
      </c>
      <c r="Y67">
        <f>_xlfn.NUMBERVALUE("14.780000")</f>
        <v/>
      </c>
    </row>
    <row r="68">
      <c r="A68" s="1" t="n">
        <v>42102</v>
      </c>
      <c r="B68">
        <f>_xlfn.NUMBERVALUE("0.000000")</f>
        <v/>
      </c>
      <c r="C68" s="2">
        <f>_xlfn.NUMBERVALUE("0.002160")</f>
        <v/>
      </c>
      <c r="D68">
        <f>_xlfn.NUMBERVALUE("-0.007127")</f>
        <v/>
      </c>
      <c r="E68">
        <f>_xlfn.NUMBERVALUE("0.001611")</f>
        <v/>
      </c>
      <c r="F68">
        <f>_xlfn.NUMBERVALUE("0.001219")</f>
        <v/>
      </c>
      <c r="G68">
        <f>_xlfn.NUMBERVALUE("-0.000233")</f>
        <v/>
      </c>
      <c r="H68">
        <f>_xlfn.NUMBERVALUE("0.000263")</f>
        <v/>
      </c>
      <c r="I68">
        <f>_xlfn.NUMBERVALUE("0.001317")</f>
        <v/>
      </c>
      <c r="J68">
        <f>_xlfn.NUMBERVALUE("0.000735")</f>
        <v/>
      </c>
      <c r="K68">
        <f>_xlfn.NUMBERVALUE("-0.001725")</f>
        <v/>
      </c>
      <c r="L68">
        <f>_xlfn.NUMBERVALUE("0.001792")</f>
        <v/>
      </c>
      <c r="M68">
        <f>_xlfn.NUMBERVALUE("0.000576")</f>
        <v/>
      </c>
      <c r="N68">
        <f>_xlfn.NUMBERVALUE("0.000000")</f>
        <v/>
      </c>
      <c r="O68">
        <f>_xlfn.NUMBERVALUE("0.000692")</f>
        <v/>
      </c>
      <c r="P68">
        <f>_xlfn.NUMBERVALUE("0.000781")</f>
        <v/>
      </c>
      <c r="Q68">
        <f>_xlfn.NUMBERVALUE("0.001613")</f>
        <v/>
      </c>
      <c r="R68">
        <f>_xlfn.NUMBERVALUE("0.000744")</f>
        <v/>
      </c>
      <c r="S68">
        <f>_xlfn.NUMBERVALUE("0.000547")</f>
        <v/>
      </c>
      <c r="T68">
        <f>_xlfn.NUMBERVALUE("-0.004325")</f>
        <v/>
      </c>
      <c r="U68">
        <f>_xlfn.NUMBERVALUE("0.000686")</f>
        <v/>
      </c>
      <c r="V68">
        <f>_xlfn.NUMBERVALUE("0.001697")</f>
        <v/>
      </c>
      <c r="W68">
        <f>_xlfn.NUMBERVALUE("0.003472")</f>
        <v/>
      </c>
      <c r="X68">
        <f>_xlfn.NUMBERVALUE("-0.800000")</f>
        <v/>
      </c>
      <c r="Y68">
        <f>_xlfn.NUMBERVALUE("13.980000")</f>
        <v/>
      </c>
    </row>
    <row r="69">
      <c r="A69" s="1" t="n">
        <v>42103</v>
      </c>
      <c r="B69">
        <f>_xlfn.NUMBERVALUE("0.000000")</f>
        <v/>
      </c>
      <c r="C69" s="2">
        <f>_xlfn.NUMBERVALUE("0.000291")</f>
        <v/>
      </c>
      <c r="D69">
        <f>_xlfn.NUMBERVALUE("-0.001365")</f>
        <v/>
      </c>
      <c r="E69">
        <f>_xlfn.NUMBERVALUE("-0.000805")</f>
        <v/>
      </c>
      <c r="F69">
        <f>_xlfn.NUMBERVALUE("-0.000103")</f>
        <v/>
      </c>
      <c r="G69">
        <f>_xlfn.NUMBERVALUE("0.000705")</f>
        <v/>
      </c>
      <c r="H69">
        <f>_xlfn.NUMBERVALUE("0.000323")</f>
        <v/>
      </c>
      <c r="I69">
        <f>_xlfn.NUMBERVALUE("0.001496")</f>
        <v/>
      </c>
      <c r="J69">
        <f>_xlfn.NUMBERVALUE("-0.000514")</f>
        <v/>
      </c>
      <c r="K69">
        <f>_xlfn.NUMBERVALUE("-0.005124")</f>
        <v/>
      </c>
      <c r="L69">
        <f>_xlfn.NUMBERVALUE("-0.001061")</f>
        <v/>
      </c>
      <c r="M69">
        <f>_xlfn.NUMBERVALUE("0.002160")</f>
        <v/>
      </c>
      <c r="N69">
        <f>_xlfn.NUMBERVALUE("0.000000")</f>
        <v/>
      </c>
      <c r="O69">
        <f>_xlfn.NUMBERVALUE("-0.000027")</f>
        <v/>
      </c>
      <c r="P69">
        <f>_xlfn.NUMBERVALUE("0.001820")</f>
        <v/>
      </c>
      <c r="Q69">
        <f>_xlfn.NUMBERVALUE("-0.000488")</f>
        <v/>
      </c>
      <c r="R69">
        <f>_xlfn.NUMBERVALUE("0.001132")</f>
        <v/>
      </c>
      <c r="S69">
        <f>_xlfn.NUMBERVALUE("0.001571")</f>
        <v/>
      </c>
      <c r="T69">
        <f>_xlfn.NUMBERVALUE("0.008189")</f>
        <v/>
      </c>
      <c r="U69">
        <f>_xlfn.NUMBERVALUE("0.000634")</f>
        <v/>
      </c>
      <c r="V69">
        <f>_xlfn.NUMBERVALUE("0.001109")</f>
        <v/>
      </c>
      <c r="W69">
        <f>_xlfn.NUMBERVALUE("0.003796")</f>
        <v/>
      </c>
      <c r="X69">
        <f>_xlfn.NUMBERVALUE("-0.890000")</f>
        <v/>
      </c>
      <c r="Y69">
        <f>_xlfn.NUMBERVALUE("13.090000")</f>
        <v/>
      </c>
    </row>
    <row r="70">
      <c r="A70" s="1" t="n">
        <v>42104</v>
      </c>
      <c r="B70">
        <f>_xlfn.NUMBERVALUE("0.000000")</f>
        <v/>
      </c>
      <c r="C70" s="2">
        <f>_xlfn.NUMBERVALUE("0.000638")</f>
        <v/>
      </c>
      <c r="D70">
        <f>_xlfn.NUMBERVALUE("0.003012")</f>
        <v/>
      </c>
      <c r="E70">
        <f>_xlfn.NUMBERVALUE("0.001666")</f>
        <v/>
      </c>
      <c r="F70">
        <f>_xlfn.NUMBERVALUE("0.000319")</f>
        <v/>
      </c>
      <c r="G70">
        <f>_xlfn.NUMBERVALUE("0.000904")</f>
        <v/>
      </c>
      <c r="H70">
        <f>_xlfn.NUMBERVALUE("0.000724")</f>
        <v/>
      </c>
      <c r="I70">
        <f>_xlfn.NUMBERVALUE("0.001422")</f>
        <v/>
      </c>
      <c r="J70">
        <f>_xlfn.NUMBERVALUE("0.000452")</f>
        <v/>
      </c>
      <c r="K70">
        <f>_xlfn.NUMBERVALUE("0.001900")</f>
        <v/>
      </c>
      <c r="L70">
        <f>_xlfn.NUMBERVALUE("0.001342")</f>
        <v/>
      </c>
      <c r="M70">
        <f>_xlfn.NUMBERVALUE("0.000032")</f>
        <v/>
      </c>
      <c r="N70">
        <f>_xlfn.NUMBERVALUE("0.000000")</f>
        <v/>
      </c>
      <c r="O70">
        <f>_xlfn.NUMBERVALUE("0.001429")</f>
        <v/>
      </c>
      <c r="P70">
        <f>_xlfn.NUMBERVALUE("0.000942")</f>
        <v/>
      </c>
      <c r="Q70">
        <f>_xlfn.NUMBERVALUE("-0.001987")</f>
        <v/>
      </c>
      <c r="R70">
        <f>_xlfn.NUMBERVALUE("0.001392")</f>
        <v/>
      </c>
      <c r="S70">
        <f>_xlfn.NUMBERVALUE("0.000773")</f>
        <v/>
      </c>
      <c r="T70">
        <f>_xlfn.NUMBERVALUE("0.000440")</f>
        <v/>
      </c>
      <c r="U70">
        <f>_xlfn.NUMBERVALUE("0.001137")</f>
        <v/>
      </c>
      <c r="V70">
        <f>_xlfn.NUMBERVALUE("0.000766")</f>
        <v/>
      </c>
      <c r="W70">
        <f>_xlfn.NUMBERVALUE("0.005122")</f>
        <v/>
      </c>
      <c r="X70">
        <f>_xlfn.NUMBERVALUE("-0.510000")</f>
        <v/>
      </c>
      <c r="Y70">
        <f>_xlfn.NUMBERVALUE("12.580000")</f>
        <v/>
      </c>
    </row>
    <row r="71">
      <c r="A71" s="1" t="n">
        <v>42107</v>
      </c>
      <c r="B71">
        <f>_xlfn.NUMBERVALUE("0.000000")</f>
        <v/>
      </c>
      <c r="C71" s="2">
        <f>_xlfn.NUMBERVALUE("-0.000365")</f>
        <v/>
      </c>
      <c r="D71">
        <f>_xlfn.NUMBERVALUE("0.000824")</f>
        <v/>
      </c>
      <c r="E71">
        <f>_xlfn.NUMBERVALUE("0.000241")</f>
        <v/>
      </c>
      <c r="F71">
        <f>_xlfn.NUMBERVALUE("0.000202")</f>
        <v/>
      </c>
      <c r="G71">
        <f>_xlfn.NUMBERVALUE("0.000658")</f>
        <v/>
      </c>
      <c r="H71">
        <f>_xlfn.NUMBERVALUE("0.000659")</f>
        <v/>
      </c>
      <c r="I71">
        <f>_xlfn.NUMBERVALUE("-0.001036")</f>
        <v/>
      </c>
      <c r="J71">
        <f>_xlfn.NUMBERVALUE("0.000317")</f>
        <v/>
      </c>
      <c r="K71">
        <f>_xlfn.NUMBERVALUE("0.002510")</f>
        <v/>
      </c>
      <c r="L71">
        <f>_xlfn.NUMBERVALUE("0.000878")</f>
        <v/>
      </c>
      <c r="M71">
        <f>_xlfn.NUMBERVALUE("0.001460")</f>
        <v/>
      </c>
      <c r="N71">
        <f>_xlfn.NUMBERVALUE("0.000000")</f>
        <v/>
      </c>
      <c r="O71">
        <f>_xlfn.NUMBERVALUE("0.001456")</f>
        <v/>
      </c>
      <c r="P71">
        <f>_xlfn.NUMBERVALUE("-0.000168")</f>
        <v/>
      </c>
      <c r="Q71">
        <f>_xlfn.NUMBERVALUE("-0.000126")</f>
        <v/>
      </c>
      <c r="R71">
        <f>_xlfn.NUMBERVALUE("-0.000677")</f>
        <v/>
      </c>
      <c r="S71">
        <f>_xlfn.NUMBERVALUE("0.000639")</f>
        <v/>
      </c>
      <c r="T71">
        <f>_xlfn.NUMBERVALUE("0.000737")</f>
        <v/>
      </c>
      <c r="U71">
        <f>_xlfn.NUMBERVALUE("0.000734")</f>
        <v/>
      </c>
      <c r="V71">
        <f>_xlfn.NUMBERVALUE("-0.000714")</f>
        <v/>
      </c>
      <c r="W71">
        <f>_xlfn.NUMBERVALUE("-0.003858")</f>
        <v/>
      </c>
      <c r="X71">
        <f>_xlfn.NUMBERVALUE("1.360000")</f>
        <v/>
      </c>
      <c r="Y71">
        <f>_xlfn.NUMBERVALUE("13.940000")</f>
        <v/>
      </c>
    </row>
    <row r="72">
      <c r="A72" s="1" t="n">
        <v>42108</v>
      </c>
      <c r="B72">
        <f>_xlfn.NUMBERVALUE("0.000000")</f>
        <v/>
      </c>
      <c r="C72" s="2">
        <f>_xlfn.NUMBERVALUE("0.000552")</f>
        <v/>
      </c>
      <c r="D72">
        <f>_xlfn.NUMBERVALUE("0.001344")</f>
        <v/>
      </c>
      <c r="E72">
        <f>_xlfn.NUMBERVALUE("0.000895")</f>
        <v/>
      </c>
      <c r="F72">
        <f>_xlfn.NUMBERVALUE("-0.000122")</f>
        <v/>
      </c>
      <c r="G72">
        <f>_xlfn.NUMBERVALUE("0.000377")</f>
        <v/>
      </c>
      <c r="H72">
        <f>_xlfn.NUMBERVALUE("0.000133")</f>
        <v/>
      </c>
      <c r="I72">
        <f>_xlfn.NUMBERVALUE("0.001850")</f>
        <v/>
      </c>
      <c r="J72">
        <f>_xlfn.NUMBERVALUE("0.000378")</f>
        <v/>
      </c>
      <c r="K72">
        <f>_xlfn.NUMBERVALUE("0.002497")</f>
        <v/>
      </c>
      <c r="L72">
        <f>_xlfn.NUMBERVALUE("0.000873")</f>
        <v/>
      </c>
      <c r="M72">
        <f>_xlfn.NUMBERVALUE("0.000757")</f>
        <v/>
      </c>
      <c r="N72">
        <f>_xlfn.NUMBERVALUE("0.000000")</f>
        <v/>
      </c>
      <c r="O72">
        <f>_xlfn.NUMBERVALUE("-0.001937")</f>
        <v/>
      </c>
      <c r="P72">
        <f>_xlfn.NUMBERVALUE("0.002048")</f>
        <v/>
      </c>
      <c r="Q72">
        <f>_xlfn.NUMBERVALUE("0.000339")</f>
        <v/>
      </c>
      <c r="R72">
        <f>_xlfn.NUMBERVALUE("0.000430")</f>
        <v/>
      </c>
      <c r="S72">
        <f>_xlfn.NUMBERVALUE("0.001249")</f>
        <v/>
      </c>
      <c r="T72">
        <f>_xlfn.NUMBERVALUE("0.000586")</f>
        <v/>
      </c>
      <c r="U72">
        <f>_xlfn.NUMBERVALUE("0.001288")</f>
        <v/>
      </c>
      <c r="V72">
        <f>_xlfn.NUMBERVALUE("0.000971")</f>
        <v/>
      </c>
      <c r="W72">
        <f>_xlfn.NUMBERVALUE("0.000430")</f>
        <v/>
      </c>
      <c r="X72">
        <f>_xlfn.NUMBERVALUE("-0.270000")</f>
        <v/>
      </c>
      <c r="Y72">
        <f>_xlfn.NUMBERVALUE("13.670000")</f>
        <v/>
      </c>
    </row>
    <row r="73">
      <c r="A73" s="1" t="n">
        <v>42109</v>
      </c>
      <c r="B73">
        <f>_xlfn.NUMBERVALUE("0.000000")</f>
        <v/>
      </c>
      <c r="C73" s="2">
        <f>_xlfn.NUMBERVALUE("0.001059")</f>
        <v/>
      </c>
      <c r="D73">
        <f>_xlfn.NUMBERVALUE("0.001899")</f>
        <v/>
      </c>
      <c r="E73">
        <f>_xlfn.NUMBERVALUE("0.000181")</f>
        <v/>
      </c>
      <c r="F73">
        <f>_xlfn.NUMBERVALUE("0.000194")</f>
        <v/>
      </c>
      <c r="G73">
        <f>_xlfn.NUMBERVALUE("0.000626")</f>
        <v/>
      </c>
      <c r="H73">
        <f>_xlfn.NUMBERVALUE("0.000270")</f>
        <v/>
      </c>
      <c r="I73">
        <f>_xlfn.NUMBERVALUE("0.000338")</f>
        <v/>
      </c>
      <c r="J73">
        <f>_xlfn.NUMBERVALUE("-0.000017")</f>
        <v/>
      </c>
      <c r="K73">
        <f>_xlfn.NUMBERVALUE("0.003299")</f>
        <v/>
      </c>
      <c r="L73">
        <f>_xlfn.NUMBERVALUE("0.001362")</f>
        <v/>
      </c>
      <c r="M73">
        <f>_xlfn.NUMBERVALUE("0.002233")</f>
        <v/>
      </c>
      <c r="N73">
        <f>_xlfn.NUMBERVALUE("0.000000")</f>
        <v/>
      </c>
      <c r="O73">
        <f>_xlfn.NUMBERVALUE("-0.006031")</f>
        <v/>
      </c>
      <c r="P73">
        <f>_xlfn.NUMBERVALUE("0.001960")</f>
        <v/>
      </c>
      <c r="Q73">
        <f>_xlfn.NUMBERVALUE("0.002083")</f>
        <v/>
      </c>
      <c r="R73">
        <f>_xlfn.NUMBERVALUE("0.001293")</f>
        <v/>
      </c>
      <c r="S73">
        <f>_xlfn.NUMBERVALUE("0.001544")</f>
        <v/>
      </c>
      <c r="T73">
        <f>_xlfn.NUMBERVALUE("0.001273")</f>
        <v/>
      </c>
      <c r="U73">
        <f>_xlfn.NUMBERVALUE("0.001266")</f>
        <v/>
      </c>
      <c r="V73">
        <f>_xlfn.NUMBERVALUE("0.000846")</f>
        <v/>
      </c>
      <c r="W73">
        <f>_xlfn.NUMBERVALUE("0.005639")</f>
        <v/>
      </c>
      <c r="X73">
        <f>_xlfn.NUMBERVALUE("-0.830000")</f>
        <v/>
      </c>
      <c r="Y73">
        <f>_xlfn.NUMBERVALUE("12.840000")</f>
        <v/>
      </c>
    </row>
    <row r="74">
      <c r="A74" s="1" t="n">
        <v>42110</v>
      </c>
      <c r="B74">
        <f>_xlfn.NUMBERVALUE("0.000000")</f>
        <v/>
      </c>
      <c r="C74" s="2">
        <f>_xlfn.NUMBERVALUE("0.000758")</f>
        <v/>
      </c>
      <c r="D74">
        <f>_xlfn.NUMBERVALUE("-0.001595")</f>
        <v/>
      </c>
      <c r="E74">
        <f>_xlfn.NUMBERVALUE("-0.000468")</f>
        <v/>
      </c>
      <c r="F74">
        <f>_xlfn.NUMBERVALUE("0.000834")</f>
        <v/>
      </c>
      <c r="G74">
        <f>_xlfn.NUMBERVALUE("-0.000195")</f>
        <v/>
      </c>
      <c r="H74">
        <f>_xlfn.NUMBERVALUE("0.000332")</f>
        <v/>
      </c>
      <c r="I74">
        <f>_xlfn.NUMBERVALUE("0.000742")</f>
        <v/>
      </c>
      <c r="J74">
        <f>_xlfn.NUMBERVALUE("0.000571")</f>
        <v/>
      </c>
      <c r="K74">
        <f>_xlfn.NUMBERVALUE("-0.000120")</f>
        <v/>
      </c>
      <c r="L74">
        <f>_xlfn.NUMBERVALUE("0.000515")</f>
        <v/>
      </c>
      <c r="M74">
        <f>_xlfn.NUMBERVALUE("-0.001725")</f>
        <v/>
      </c>
      <c r="N74">
        <f>_xlfn.NUMBERVALUE("0.000000")</f>
        <v/>
      </c>
      <c r="O74">
        <f>_xlfn.NUMBERVALUE("0.001346")</f>
        <v/>
      </c>
      <c r="P74">
        <f>_xlfn.NUMBERVALUE("0.000306")</f>
        <v/>
      </c>
      <c r="Q74">
        <f>_xlfn.NUMBERVALUE("0.000856")</f>
        <v/>
      </c>
      <c r="R74">
        <f>_xlfn.NUMBERVALUE("0.000111")</f>
        <v/>
      </c>
      <c r="S74">
        <f>_xlfn.NUMBERVALUE("-0.000113")</f>
        <v/>
      </c>
      <c r="T74">
        <f>_xlfn.NUMBERVALUE("-0.000051")</f>
        <v/>
      </c>
      <c r="U74">
        <f>_xlfn.NUMBERVALUE("0.000377")</f>
        <v/>
      </c>
      <c r="V74">
        <f>_xlfn.NUMBERVALUE("0.000468")</f>
        <v/>
      </c>
      <c r="W74">
        <f>_xlfn.NUMBERVALUE("0.000048")</f>
        <v/>
      </c>
      <c r="X74">
        <f>_xlfn.NUMBERVALUE("-0.240000")</f>
        <v/>
      </c>
      <c r="Y74">
        <f>_xlfn.NUMBERVALUE("12.600000")</f>
        <v/>
      </c>
    </row>
    <row r="75">
      <c r="A75" s="1" t="n">
        <v>42111</v>
      </c>
      <c r="B75">
        <f>_xlfn.NUMBERVALUE("0.000000")</f>
        <v/>
      </c>
      <c r="C75" s="2">
        <f>_xlfn.NUMBERVALUE("-0.003531")</f>
        <v/>
      </c>
      <c r="D75">
        <f>_xlfn.NUMBERVALUE("-0.002426")</f>
        <v/>
      </c>
      <c r="E75">
        <f>_xlfn.NUMBERVALUE("-0.001832")</f>
        <v/>
      </c>
      <c r="F75">
        <f>_xlfn.NUMBERVALUE("0.000323")</f>
        <v/>
      </c>
      <c r="G75">
        <f>_xlfn.NUMBERVALUE("-0.000740")</f>
        <v/>
      </c>
      <c r="H75">
        <f>_xlfn.NUMBERVALUE("0.000056")</f>
        <v/>
      </c>
      <c r="I75">
        <f>_xlfn.NUMBERVALUE("-0.003833")</f>
        <v/>
      </c>
      <c r="J75">
        <f>_xlfn.NUMBERVALUE("0.000119")</f>
        <v/>
      </c>
      <c r="K75">
        <f>_xlfn.NUMBERVALUE("0.001347")</f>
        <v/>
      </c>
      <c r="L75">
        <f>_xlfn.NUMBERVALUE("-0.001494")</f>
        <v/>
      </c>
      <c r="M75">
        <f>_xlfn.NUMBERVALUE("-0.001702")</f>
        <v/>
      </c>
      <c r="N75">
        <f>_xlfn.NUMBERVALUE("0.000000")</f>
        <v/>
      </c>
      <c r="O75">
        <f>_xlfn.NUMBERVALUE("-0.000951")</f>
        <v/>
      </c>
      <c r="P75">
        <f>_xlfn.NUMBERVALUE("-0.002894")</f>
        <v/>
      </c>
      <c r="Q75">
        <f>_xlfn.NUMBERVALUE("-0.002381")</f>
        <v/>
      </c>
      <c r="R75">
        <f>_xlfn.NUMBERVALUE("-0.004004")</f>
        <v/>
      </c>
      <c r="S75">
        <f>_xlfn.NUMBERVALUE("-0.003431")</f>
        <v/>
      </c>
      <c r="T75">
        <f>_xlfn.NUMBERVALUE("-0.000502")</f>
        <v/>
      </c>
      <c r="U75">
        <f>_xlfn.NUMBERVALUE("-0.004590")</f>
        <v/>
      </c>
      <c r="V75">
        <f>_xlfn.NUMBERVALUE("-0.002065")</f>
        <v/>
      </c>
      <c r="W75">
        <f>_xlfn.NUMBERVALUE("-0.012260")</f>
        <v/>
      </c>
      <c r="X75">
        <f>_xlfn.NUMBERVALUE("1.290000")</f>
        <v/>
      </c>
      <c r="Y75">
        <f>_xlfn.NUMBERVALUE("13.890000")</f>
        <v/>
      </c>
    </row>
    <row r="76">
      <c r="A76" s="1" t="n">
        <v>42114</v>
      </c>
      <c r="B76">
        <f>_xlfn.NUMBERVALUE("0.000000")</f>
        <v/>
      </c>
      <c r="C76" s="2">
        <f>_xlfn.NUMBERVALUE("-0.000129")</f>
        <v/>
      </c>
      <c r="D76">
        <f>_xlfn.NUMBERVALUE("0.002231")</f>
        <v/>
      </c>
      <c r="E76">
        <f>_xlfn.NUMBERVALUE("0.001617")</f>
        <v/>
      </c>
      <c r="F76">
        <f>_xlfn.NUMBERVALUE("0.000298")</f>
        <v/>
      </c>
      <c r="G76">
        <f>_xlfn.NUMBERVALUE("0.002344")</f>
        <v/>
      </c>
      <c r="H76">
        <f>_xlfn.NUMBERVALUE("0.001266")</f>
        <v/>
      </c>
      <c r="I76">
        <f>_xlfn.NUMBERVALUE("0.001223")</f>
        <v/>
      </c>
      <c r="J76">
        <f>_xlfn.NUMBERVALUE("0.000906")</f>
        <v/>
      </c>
      <c r="K76">
        <f>_xlfn.NUMBERVALUE("-0.001552")</f>
        <v/>
      </c>
      <c r="L76">
        <f>_xlfn.NUMBERVALUE("0.000871")</f>
        <v/>
      </c>
      <c r="M76">
        <f>_xlfn.NUMBERVALUE("0.001746")</f>
        <v/>
      </c>
      <c r="N76">
        <f>_xlfn.NUMBERVALUE("0.000000")</f>
        <v/>
      </c>
      <c r="O76">
        <f>_xlfn.NUMBERVALUE("0.006731")</f>
        <v/>
      </c>
      <c r="P76">
        <f>_xlfn.NUMBERVALUE("0.003159")</f>
        <v/>
      </c>
      <c r="Q76">
        <f>_xlfn.NUMBERVALUE("0.000058")</f>
        <v/>
      </c>
      <c r="R76">
        <f>_xlfn.NUMBERVALUE("-0.001036")</f>
        <v/>
      </c>
      <c r="S76">
        <f>_xlfn.NUMBERVALUE("0.002438")</f>
        <v/>
      </c>
      <c r="T76">
        <f>_xlfn.NUMBERVALUE("0.000461")</f>
        <v/>
      </c>
      <c r="U76">
        <f>_xlfn.NUMBERVALUE("0.001220")</f>
        <v/>
      </c>
      <c r="V76">
        <f>_xlfn.NUMBERVALUE("0.000330")</f>
        <v/>
      </c>
      <c r="W76">
        <f>_xlfn.NUMBERVALUE("0.009718")</f>
        <v/>
      </c>
      <c r="X76">
        <f>_xlfn.NUMBERVALUE("-0.590000")</f>
        <v/>
      </c>
      <c r="Y76">
        <f>_xlfn.NUMBERVALUE("13.300000")</f>
        <v/>
      </c>
    </row>
    <row r="77">
      <c r="A77" s="1" t="n">
        <v>42115</v>
      </c>
      <c r="B77">
        <f>_xlfn.NUMBERVALUE("0.000000")</f>
        <v/>
      </c>
      <c r="C77" s="2">
        <f>_xlfn.NUMBERVALUE("0.000257")</f>
        <v/>
      </c>
      <c r="D77">
        <f>_xlfn.NUMBERVALUE("-0.000302")</f>
        <v/>
      </c>
      <c r="E77">
        <f>_xlfn.NUMBERVALUE("-0.001295")</f>
        <v/>
      </c>
      <c r="F77">
        <f>_xlfn.NUMBERVALUE("0.000648")</f>
        <v/>
      </c>
      <c r="G77">
        <f>_xlfn.NUMBERVALUE("-0.000956")</f>
        <v/>
      </c>
      <c r="H77">
        <f>_xlfn.NUMBERVALUE("0.000374")</f>
        <v/>
      </c>
      <c r="I77">
        <f>_xlfn.NUMBERVALUE("0.000532")</f>
        <v/>
      </c>
      <c r="J77">
        <f>_xlfn.NUMBERVALUE("0.000645")</f>
        <v/>
      </c>
      <c r="K77">
        <f>_xlfn.NUMBERVALUE("0.001668")</f>
        <v/>
      </c>
      <c r="L77">
        <f>_xlfn.NUMBERVALUE("0.000651")</f>
        <v/>
      </c>
      <c r="M77">
        <f>_xlfn.NUMBERVALUE("0.000359")</f>
        <v/>
      </c>
      <c r="N77">
        <f>_xlfn.NUMBERVALUE("0.000000")</f>
        <v/>
      </c>
      <c r="O77">
        <f>_xlfn.NUMBERVALUE("-0.003197")</f>
        <v/>
      </c>
      <c r="P77">
        <f>_xlfn.NUMBERVALUE("0.000552")</f>
        <v/>
      </c>
      <c r="Q77">
        <f>_xlfn.NUMBERVALUE("0.001056")</f>
        <v/>
      </c>
      <c r="R77">
        <f>_xlfn.NUMBERVALUE("0.000420")</f>
        <v/>
      </c>
      <c r="S77">
        <f>_xlfn.NUMBERVALUE("0.001200")</f>
        <v/>
      </c>
      <c r="T77">
        <f>_xlfn.NUMBERVALUE("-0.000265")</f>
        <v/>
      </c>
      <c r="U77">
        <f>_xlfn.NUMBERVALUE("0.000549")</f>
        <v/>
      </c>
      <c r="V77">
        <f>_xlfn.NUMBERVALUE("0.000486")</f>
        <v/>
      </c>
      <c r="W77">
        <f>_xlfn.NUMBERVALUE("-0.001191")</f>
        <v/>
      </c>
      <c r="X77">
        <f>_xlfn.NUMBERVALUE("-0.050000")</f>
        <v/>
      </c>
      <c r="Y77">
        <f>_xlfn.NUMBERVALUE("13.250000")</f>
        <v/>
      </c>
    </row>
    <row r="78">
      <c r="A78" s="1" t="n">
        <v>42116</v>
      </c>
      <c r="B78">
        <f>_xlfn.NUMBERVALUE("0.000000")</f>
        <v/>
      </c>
      <c r="C78" s="2">
        <f>_xlfn.NUMBERVALUE("0.000349")</f>
        <v/>
      </c>
      <c r="D78">
        <f>_xlfn.NUMBERVALUE("-0.000181")</f>
        <v/>
      </c>
      <c r="E78">
        <f>_xlfn.NUMBERVALUE("0.000558")</f>
        <v/>
      </c>
      <c r="F78">
        <f>_xlfn.NUMBERVALUE("-0.002365")</f>
        <v/>
      </c>
      <c r="G78">
        <f>_xlfn.NUMBERVALUE("0.000737")</f>
        <v/>
      </c>
      <c r="H78">
        <f>_xlfn.NUMBERVALUE("-0.000843")</f>
        <v/>
      </c>
      <c r="I78">
        <f>_xlfn.NUMBERVALUE("0.001205")</f>
        <v/>
      </c>
      <c r="J78">
        <f>_xlfn.NUMBERVALUE("-0.000791")</f>
        <v/>
      </c>
      <c r="K78">
        <f>_xlfn.NUMBERVALUE("-0.000718")</f>
        <v/>
      </c>
      <c r="L78">
        <f>_xlfn.NUMBERVALUE("-0.003891")</f>
        <v/>
      </c>
      <c r="M78">
        <f>_xlfn.NUMBERVALUE("0.000957")</f>
        <v/>
      </c>
      <c r="N78">
        <f>_xlfn.NUMBERVALUE("0.000000")</f>
        <v/>
      </c>
      <c r="O78">
        <f>_xlfn.NUMBERVALUE("0.000063")</f>
        <v/>
      </c>
      <c r="P78">
        <f>_xlfn.NUMBERVALUE("-0.000305")</f>
        <v/>
      </c>
      <c r="Q78">
        <f>_xlfn.NUMBERVALUE("0.001108")</f>
        <v/>
      </c>
      <c r="R78">
        <f>_xlfn.NUMBERVALUE("-0.001352")</f>
        <v/>
      </c>
      <c r="S78">
        <f>_xlfn.NUMBERVALUE("0.000657")</f>
        <v/>
      </c>
      <c r="T78">
        <f>_xlfn.NUMBERVALUE("0.001098")</f>
        <v/>
      </c>
      <c r="U78">
        <f>_xlfn.NUMBERVALUE("0.001054")</f>
        <v/>
      </c>
      <c r="V78">
        <f>_xlfn.NUMBERVALUE("0.000256")</f>
        <v/>
      </c>
      <c r="W78">
        <f>_xlfn.NUMBERVALUE("0.004818")</f>
        <v/>
      </c>
      <c r="X78">
        <f>_xlfn.NUMBERVALUE("-0.540000")</f>
        <v/>
      </c>
      <c r="Y78">
        <f>_xlfn.NUMBERVALUE("12.710000")</f>
        <v/>
      </c>
    </row>
    <row r="79">
      <c r="A79" s="1" t="n">
        <v>42117</v>
      </c>
      <c r="B79">
        <f>_xlfn.NUMBERVALUE("0.000000")</f>
        <v/>
      </c>
      <c r="C79" s="2">
        <f>_xlfn.NUMBERVALUE("0.000477")</f>
        <v/>
      </c>
      <c r="D79">
        <f>_xlfn.NUMBERVALUE("0.000387")</f>
        <v/>
      </c>
      <c r="E79">
        <f>_xlfn.NUMBERVALUE("0.000441")</f>
        <v/>
      </c>
      <c r="F79">
        <f>_xlfn.NUMBERVALUE("0.000252")</f>
        <v/>
      </c>
      <c r="G79">
        <f>_xlfn.NUMBERVALUE("0.001589")</f>
        <v/>
      </c>
      <c r="H79">
        <f>_xlfn.NUMBERVALUE("0.000203")</f>
        <v/>
      </c>
      <c r="I79">
        <f>_xlfn.NUMBERVALUE("0.000508")</f>
        <v/>
      </c>
      <c r="J79">
        <f>_xlfn.NUMBERVALUE("0.000268")</f>
        <v/>
      </c>
      <c r="K79">
        <f>_xlfn.NUMBERVALUE("0.000820")</f>
        <v/>
      </c>
      <c r="L79">
        <f>_xlfn.NUMBERVALUE("0.001008")</f>
        <v/>
      </c>
      <c r="M79">
        <f>_xlfn.NUMBERVALUE("0.001136")</f>
        <v/>
      </c>
      <c r="N79">
        <f>_xlfn.NUMBERVALUE("0.000000")</f>
        <v/>
      </c>
      <c r="O79">
        <f>_xlfn.NUMBERVALUE("0.001213")</f>
        <v/>
      </c>
      <c r="P79">
        <f>_xlfn.NUMBERVALUE("0.000823")</f>
        <v/>
      </c>
      <c r="Q79">
        <f>_xlfn.NUMBERVALUE("0.000981")</f>
        <v/>
      </c>
      <c r="R79">
        <f>_xlfn.NUMBERVALUE("-0.000464")</f>
        <v/>
      </c>
      <c r="S79">
        <f>_xlfn.NUMBERVALUE("0.001101")</f>
        <v/>
      </c>
      <c r="T79">
        <f>_xlfn.NUMBERVALUE("0.000287")</f>
        <v/>
      </c>
      <c r="U79">
        <f>_xlfn.NUMBERVALUE("0.000027")</f>
        <v/>
      </c>
      <c r="V79">
        <f>_xlfn.NUMBERVALUE("-0.000034")</f>
        <v/>
      </c>
      <c r="W79">
        <f>_xlfn.NUMBERVALUE("0.002896")</f>
        <v/>
      </c>
      <c r="X79">
        <f>_xlfn.NUMBERVALUE("-0.230000")</f>
        <v/>
      </c>
      <c r="Y79">
        <f>_xlfn.NUMBERVALUE("12.480000")</f>
        <v/>
      </c>
    </row>
    <row r="80">
      <c r="A80" s="1" t="n">
        <v>42118</v>
      </c>
      <c r="B80">
        <f>_xlfn.NUMBERVALUE("0.000000")</f>
        <v/>
      </c>
      <c r="C80" s="2">
        <f>_xlfn.NUMBERVALUE("0.001069")</f>
        <v/>
      </c>
      <c r="D80">
        <f>_xlfn.NUMBERVALUE("0.000291")</f>
        <v/>
      </c>
      <c r="E80">
        <f>_xlfn.NUMBERVALUE("-0.000082")</f>
        <v/>
      </c>
      <c r="F80">
        <f>_xlfn.NUMBERVALUE("-0.002299")</f>
        <v/>
      </c>
      <c r="G80">
        <f>_xlfn.NUMBERVALUE("-0.000022")</f>
        <v/>
      </c>
      <c r="H80">
        <f>_xlfn.NUMBERVALUE("0.000055")</f>
        <v/>
      </c>
      <c r="I80">
        <f>_xlfn.NUMBERVALUE("0.001850")</f>
        <v/>
      </c>
      <c r="J80">
        <f>_xlfn.NUMBERVALUE("0.000150")</f>
        <v/>
      </c>
      <c r="K80">
        <f>_xlfn.NUMBERVALUE("-0.000546")</f>
        <v/>
      </c>
      <c r="L80">
        <f>_xlfn.NUMBERVALUE("0.001605")</f>
        <v/>
      </c>
      <c r="M80">
        <f>_xlfn.NUMBERVALUE("-0.000201")</f>
        <v/>
      </c>
      <c r="N80">
        <f>_xlfn.NUMBERVALUE("0.000000")</f>
        <v/>
      </c>
      <c r="O80">
        <f>_xlfn.NUMBERVALUE("-0.000161")</f>
        <v/>
      </c>
      <c r="P80">
        <f>_xlfn.NUMBERVALUE("-0.000412")</f>
        <v/>
      </c>
      <c r="Q80">
        <f>_xlfn.NUMBERVALUE("0.001074")</f>
        <v/>
      </c>
      <c r="R80">
        <f>_xlfn.NUMBERVALUE("-0.000610")</f>
        <v/>
      </c>
      <c r="S80">
        <f>_xlfn.NUMBERVALUE("0.000766")</f>
        <v/>
      </c>
      <c r="T80">
        <f>_xlfn.NUMBERVALUE("-0.000643")</f>
        <v/>
      </c>
      <c r="U80">
        <f>_xlfn.NUMBERVALUE("-0.001753")</f>
        <v/>
      </c>
      <c r="V80">
        <f>_xlfn.NUMBERVALUE("0.001048")</f>
        <v/>
      </c>
      <c r="W80">
        <f>_xlfn.NUMBERVALUE("0.001846")</f>
        <v/>
      </c>
      <c r="X80">
        <f>_xlfn.NUMBERVALUE("-0.190000")</f>
        <v/>
      </c>
      <c r="Y80">
        <f>_xlfn.NUMBERVALUE("12.290000")</f>
        <v/>
      </c>
    </row>
    <row r="81">
      <c r="A81" s="1" t="n">
        <v>42121</v>
      </c>
      <c r="B81">
        <f>_xlfn.NUMBERVALUE("0.000000")</f>
        <v/>
      </c>
      <c r="C81" s="2">
        <f>_xlfn.NUMBERVALUE("0.000607")</f>
        <v/>
      </c>
      <c r="D81">
        <f>_xlfn.NUMBERVALUE("0.000595")</f>
        <v/>
      </c>
      <c r="E81">
        <f>_xlfn.NUMBERVALUE("-0.000485")</f>
        <v/>
      </c>
      <c r="F81">
        <f>_xlfn.NUMBERVALUE("-0.004816")</f>
        <v/>
      </c>
      <c r="G81">
        <f>_xlfn.NUMBERVALUE("0.000032")</f>
        <v/>
      </c>
      <c r="H81">
        <f>_xlfn.NUMBERVALUE("0.000816")</f>
        <v/>
      </c>
      <c r="I81">
        <f>_xlfn.NUMBERVALUE("-0.002649")</f>
        <v/>
      </c>
      <c r="J81">
        <f>_xlfn.NUMBERVALUE("0.000736")</f>
        <v/>
      </c>
      <c r="K81">
        <f>_xlfn.NUMBERVALUE("-0.002340")</f>
        <v/>
      </c>
      <c r="L81">
        <f>_xlfn.NUMBERVALUE("0.000060")</f>
        <v/>
      </c>
      <c r="M81">
        <f>_xlfn.NUMBERVALUE("-0.001883")</f>
        <v/>
      </c>
      <c r="N81">
        <f>_xlfn.NUMBERVALUE("0.000000")</f>
        <v/>
      </c>
      <c r="O81">
        <f>_xlfn.NUMBERVALUE("0.002481")</f>
        <v/>
      </c>
      <c r="P81">
        <f>_xlfn.NUMBERVALUE("0.002407")</f>
        <v/>
      </c>
      <c r="Q81">
        <f>_xlfn.NUMBERVALUE("0.000664")</f>
        <v/>
      </c>
      <c r="R81">
        <f>_xlfn.NUMBERVALUE("0.000211")</f>
        <v/>
      </c>
      <c r="S81">
        <f>_xlfn.NUMBERVALUE("0.000902")</f>
        <v/>
      </c>
      <c r="T81">
        <f>_xlfn.NUMBERVALUE("-0.001138")</f>
        <v/>
      </c>
      <c r="U81">
        <f>_xlfn.NUMBERVALUE("0.001043")</f>
        <v/>
      </c>
      <c r="V81">
        <f>_xlfn.NUMBERVALUE("0.000316")</f>
        <v/>
      </c>
      <c r="W81">
        <f>_xlfn.NUMBERVALUE("-0.004914")</f>
        <v/>
      </c>
      <c r="X81">
        <f>_xlfn.NUMBERVALUE("0.830000")</f>
        <v/>
      </c>
      <c r="Y81">
        <f>_xlfn.NUMBERVALUE("13.120000")</f>
        <v/>
      </c>
    </row>
    <row r="82">
      <c r="A82" s="1" t="n">
        <v>42122</v>
      </c>
      <c r="B82">
        <f>_xlfn.NUMBERVALUE("0.000000")</f>
        <v/>
      </c>
      <c r="C82" s="2">
        <f>_xlfn.NUMBERVALUE("0.000702")</f>
        <v/>
      </c>
      <c r="D82">
        <f>_xlfn.NUMBERVALUE("0.002006")</f>
        <v/>
      </c>
      <c r="E82">
        <f>_xlfn.NUMBERVALUE("0.001448")</f>
        <v/>
      </c>
      <c r="F82">
        <f>_xlfn.NUMBERVALUE("0.000390")</f>
        <v/>
      </c>
      <c r="G82">
        <f>_xlfn.NUMBERVALUE("0.001117")</f>
        <v/>
      </c>
      <c r="H82">
        <f>_xlfn.NUMBERVALUE("-0.000729")</f>
        <v/>
      </c>
      <c r="I82">
        <f>_xlfn.NUMBERVALUE("0.000851")</f>
        <v/>
      </c>
      <c r="J82">
        <f>_xlfn.NUMBERVALUE("-0.000705")</f>
        <v/>
      </c>
      <c r="K82">
        <f>_xlfn.NUMBERVALUE("0.000591")</f>
        <v/>
      </c>
      <c r="L82">
        <f>_xlfn.NUMBERVALUE("-0.003039")</f>
        <v/>
      </c>
      <c r="M82">
        <f>_xlfn.NUMBERVALUE("0.000288")</f>
        <v/>
      </c>
      <c r="N82">
        <f>_xlfn.NUMBERVALUE("0.000000")</f>
        <v/>
      </c>
      <c r="O82">
        <f>_xlfn.NUMBERVALUE("-0.001380")</f>
        <v/>
      </c>
      <c r="P82">
        <f>_xlfn.NUMBERVALUE("-0.000480")</f>
        <v/>
      </c>
      <c r="Q82">
        <f>_xlfn.NUMBERVALUE("0.001889")</f>
        <v/>
      </c>
      <c r="R82">
        <f>_xlfn.NUMBERVALUE("0.002447")</f>
        <v/>
      </c>
      <c r="S82">
        <f>_xlfn.NUMBERVALUE("0.000273")</f>
        <v/>
      </c>
      <c r="T82">
        <f>_xlfn.NUMBERVALUE("0.000336")</f>
        <v/>
      </c>
      <c r="U82">
        <f>_xlfn.NUMBERVALUE("0.000580")</f>
        <v/>
      </c>
      <c r="V82">
        <f>_xlfn.NUMBERVALUE("0.000431")</f>
        <v/>
      </c>
      <c r="W82">
        <f>_xlfn.NUMBERVALUE("0.002754")</f>
        <v/>
      </c>
      <c r="X82">
        <f>_xlfn.NUMBERVALUE("-0.710000")</f>
        <v/>
      </c>
      <c r="Y82">
        <f>_xlfn.NUMBERVALUE("12.410000")</f>
        <v/>
      </c>
    </row>
    <row r="83">
      <c r="A83" s="1" t="n">
        <v>42123</v>
      </c>
      <c r="B83">
        <f>_xlfn.NUMBERVALUE("0.000000")</f>
        <v/>
      </c>
      <c r="C83" s="2">
        <f>_xlfn.NUMBERVALUE("0.000395")</f>
        <v/>
      </c>
      <c r="D83">
        <f>_xlfn.NUMBERVALUE("0.000100")</f>
        <v/>
      </c>
      <c r="E83">
        <f>_xlfn.NUMBERVALUE("-0.000657")</f>
        <v/>
      </c>
      <c r="F83">
        <f>_xlfn.NUMBERVALUE("0.002364")</f>
        <v/>
      </c>
      <c r="G83">
        <f>_xlfn.NUMBERVALUE("-0.000667")</f>
        <v/>
      </c>
      <c r="H83">
        <f>_xlfn.NUMBERVALUE("-0.000110")</f>
        <v/>
      </c>
      <c r="I83">
        <f>_xlfn.NUMBERVALUE("-0.000815")</f>
        <v/>
      </c>
      <c r="J83">
        <f>_xlfn.NUMBERVALUE("-0.001588")</f>
        <v/>
      </c>
      <c r="K83">
        <f>_xlfn.NUMBERVALUE("0.000358")</f>
        <v/>
      </c>
      <c r="L83">
        <f>_xlfn.NUMBERVALUE("-0.000817")</f>
        <v/>
      </c>
      <c r="M83">
        <f>_xlfn.NUMBERVALUE("0.001871")</f>
        <v/>
      </c>
      <c r="N83">
        <f>_xlfn.NUMBERVALUE("0.000000")</f>
        <v/>
      </c>
      <c r="O83">
        <f>_xlfn.NUMBERVALUE("0.000360")</f>
        <v/>
      </c>
      <c r="P83">
        <f>_xlfn.NUMBERVALUE("0.000076")</f>
        <v/>
      </c>
      <c r="Q83">
        <f>_xlfn.NUMBERVALUE("0.000067")</f>
        <v/>
      </c>
      <c r="R83">
        <f>_xlfn.NUMBERVALUE("-0.000538")</f>
        <v/>
      </c>
      <c r="S83">
        <f>_xlfn.NUMBERVALUE("-0.000236")</f>
        <v/>
      </c>
      <c r="T83">
        <f>_xlfn.NUMBERVALUE("0.000149")</f>
        <v/>
      </c>
      <c r="U83">
        <f>_xlfn.NUMBERVALUE("0.000431")</f>
        <v/>
      </c>
      <c r="V83">
        <f>_xlfn.NUMBERVALUE("0.000609")</f>
        <v/>
      </c>
      <c r="W83">
        <f>_xlfn.NUMBERVALUE("-0.003031")</f>
        <v/>
      </c>
      <c r="X83">
        <f>_xlfn.NUMBERVALUE("0.980000")</f>
        <v/>
      </c>
      <c r="Y83">
        <f>_xlfn.NUMBERVALUE("13.390000")</f>
        <v/>
      </c>
    </row>
    <row r="84">
      <c r="A84" s="1" t="n">
        <v>42124</v>
      </c>
      <c r="B84">
        <f>_xlfn.NUMBERVALUE("0.000000")</f>
        <v/>
      </c>
      <c r="C84" s="2">
        <f>_xlfn.NUMBERVALUE("-0.002129")</f>
        <v/>
      </c>
      <c r="D84">
        <f>_xlfn.NUMBERVALUE("-0.001630")</f>
        <v/>
      </c>
      <c r="E84">
        <f>_xlfn.NUMBERVALUE("0.000457")</f>
        <v/>
      </c>
      <c r="F84">
        <f>_xlfn.NUMBERVALUE("-0.005791")</f>
        <v/>
      </c>
      <c r="G84">
        <f>_xlfn.NUMBERVALUE("0.003346")</f>
        <v/>
      </c>
      <c r="H84">
        <f>_xlfn.NUMBERVALUE("0.000046")</f>
        <v/>
      </c>
      <c r="I84">
        <f>_xlfn.NUMBERVALUE("-0.006638")</f>
        <v/>
      </c>
      <c r="J84">
        <f>_xlfn.NUMBERVALUE("-0.000000")</f>
        <v/>
      </c>
      <c r="K84">
        <f>_xlfn.NUMBERVALUE("-0.002572")</f>
        <v/>
      </c>
      <c r="L84">
        <f>_xlfn.NUMBERVALUE("0.000452")</f>
        <v/>
      </c>
      <c r="M84">
        <f>_xlfn.NUMBERVALUE("0.000712")</f>
        <v/>
      </c>
      <c r="N84">
        <f>_xlfn.NUMBERVALUE("0.000000")</f>
        <v/>
      </c>
      <c r="O84">
        <f>_xlfn.NUMBERVALUE("0.000385")</f>
        <v/>
      </c>
      <c r="P84">
        <f>_xlfn.NUMBERVALUE("0.000687")</f>
        <v/>
      </c>
      <c r="Q84">
        <f>_xlfn.NUMBERVALUE("0.000149")</f>
        <v/>
      </c>
      <c r="R84">
        <f>_xlfn.NUMBERVALUE("-0.001119")</f>
        <v/>
      </c>
      <c r="S84">
        <f>_xlfn.NUMBERVALUE("-0.000203")</f>
        <v/>
      </c>
      <c r="T84">
        <f>_xlfn.NUMBERVALUE("0.000089")</f>
        <v/>
      </c>
      <c r="U84">
        <f>_xlfn.NUMBERVALUE("-0.003526")</f>
        <v/>
      </c>
      <c r="V84">
        <f>_xlfn.NUMBERVALUE("-0.002049")</f>
        <v/>
      </c>
      <c r="W84">
        <f>_xlfn.NUMBERVALUE("-0.010497")</f>
        <v/>
      </c>
      <c r="X84">
        <f>_xlfn.NUMBERVALUE("1.160000")</f>
        <v/>
      </c>
      <c r="Y84">
        <f>_xlfn.NUMBERVALUE("14.550000")</f>
        <v/>
      </c>
    </row>
    <row r="85">
      <c r="A85" s="1" t="n">
        <v>42125</v>
      </c>
      <c r="B85">
        <f>_xlfn.NUMBERVALUE("0.000000")</f>
        <v/>
      </c>
      <c r="C85" s="2">
        <f>_xlfn.NUMBERVALUE("0.000416")</f>
        <v/>
      </c>
      <c r="D85">
        <f>_xlfn.NUMBERVALUE("0.000307")</f>
        <v/>
      </c>
      <c r="E85">
        <f>_xlfn.NUMBERVALUE("0.000297")</f>
        <v/>
      </c>
      <c r="F85">
        <f>_xlfn.NUMBERVALUE("0.001314")</f>
        <v/>
      </c>
      <c r="G85">
        <f>_xlfn.NUMBERVALUE("-0.000487")</f>
        <v/>
      </c>
      <c r="H85">
        <f>_xlfn.NUMBERVALUE("0.000039")</f>
        <v/>
      </c>
      <c r="I85">
        <f>_xlfn.NUMBERVALUE("0.001631")</f>
        <v/>
      </c>
      <c r="J85">
        <f>_xlfn.NUMBERVALUE("0.000746")</f>
        <v/>
      </c>
      <c r="K85">
        <f>_xlfn.NUMBERVALUE("0.003221")</f>
        <v/>
      </c>
      <c r="L85">
        <f>_xlfn.NUMBERVALUE("0.000934")</f>
        <v/>
      </c>
      <c r="M85">
        <f>_xlfn.NUMBERVALUE("-0.004897")</f>
        <v/>
      </c>
      <c r="N85">
        <f>_xlfn.NUMBERVALUE("0.000000")</f>
        <v/>
      </c>
      <c r="O85">
        <f>_xlfn.NUMBERVALUE("0.000623")</f>
        <v/>
      </c>
      <c r="P85">
        <f>_xlfn.NUMBERVALUE("-0.000776")</f>
        <v/>
      </c>
      <c r="Q85">
        <f>_xlfn.NUMBERVALUE("-0.000457")</f>
        <v/>
      </c>
      <c r="R85">
        <f>_xlfn.NUMBERVALUE("-0.000903")</f>
        <v/>
      </c>
      <c r="S85">
        <f>_xlfn.NUMBERVALUE("0.000872")</f>
        <v/>
      </c>
      <c r="T85">
        <f>_xlfn.NUMBERVALUE("0.002595")</f>
        <v/>
      </c>
      <c r="U85">
        <f>_xlfn.NUMBERVALUE("0.000460")</f>
        <v/>
      </c>
      <c r="V85">
        <f>_xlfn.NUMBERVALUE("-0.000073")</f>
        <v/>
      </c>
      <c r="W85">
        <f>_xlfn.NUMBERVALUE("0.010872")</f>
        <v/>
      </c>
      <c r="X85">
        <f>_xlfn.NUMBERVALUE("-1.850000")</f>
        <v/>
      </c>
      <c r="Y85">
        <f>_xlfn.NUMBERVALUE("12.700000")</f>
        <v/>
      </c>
    </row>
    <row r="86">
      <c r="A86" s="1" t="n">
        <v>42128</v>
      </c>
      <c r="B86">
        <f>_xlfn.NUMBERVALUE("0.000000")</f>
        <v/>
      </c>
      <c r="C86" s="2">
        <f>_xlfn.NUMBERVALUE("0.001232")</f>
        <v/>
      </c>
      <c r="D86">
        <f>_xlfn.NUMBERVALUE("-0.000009")</f>
        <v/>
      </c>
      <c r="E86">
        <f>_xlfn.NUMBERVALUE("0.000364")</f>
        <v/>
      </c>
      <c r="F86">
        <f>_xlfn.NUMBERVALUE("0.002421")</f>
        <v/>
      </c>
      <c r="G86">
        <f>_xlfn.NUMBERVALUE("0.001801")</f>
        <v/>
      </c>
      <c r="H86">
        <f>_xlfn.NUMBERVALUE("0.000042")</f>
        <v/>
      </c>
      <c r="I86">
        <f>_xlfn.NUMBERVALUE("0.000427")</f>
        <v/>
      </c>
      <c r="J86">
        <f>_xlfn.NUMBERVALUE("-0.000051")</f>
        <v/>
      </c>
      <c r="K86">
        <f>_xlfn.NUMBERVALUE("0.004655")</f>
        <v/>
      </c>
      <c r="L86">
        <f>_xlfn.NUMBERVALUE("0.000052")</f>
        <v/>
      </c>
      <c r="M86">
        <f>_xlfn.NUMBERVALUE("-0.000088")</f>
        <v/>
      </c>
      <c r="N86">
        <f>_xlfn.NUMBERVALUE("0.000000")</f>
        <v/>
      </c>
      <c r="O86">
        <f>_xlfn.NUMBERVALUE("0.000213")</f>
        <v/>
      </c>
      <c r="P86">
        <f>_xlfn.NUMBERVALUE("-0.000496")</f>
        <v/>
      </c>
      <c r="Q86">
        <f>_xlfn.NUMBERVALUE("0.002639")</f>
        <v/>
      </c>
      <c r="R86">
        <f>_xlfn.NUMBERVALUE("0.000572")</f>
        <v/>
      </c>
      <c r="S86">
        <f>_xlfn.NUMBERVALUE("0.001487")</f>
        <v/>
      </c>
      <c r="T86">
        <f>_xlfn.NUMBERVALUE("0.003111")</f>
        <v/>
      </c>
      <c r="U86">
        <f>_xlfn.NUMBERVALUE("0.004323")</f>
        <v/>
      </c>
      <c r="V86">
        <f>_xlfn.NUMBERVALUE("0.000532")</f>
        <v/>
      </c>
      <c r="W86">
        <f>_xlfn.NUMBERVALUE("0.001721")</f>
        <v/>
      </c>
      <c r="X86">
        <f>_xlfn.NUMBERVALUE("0.150000")</f>
        <v/>
      </c>
      <c r="Y86">
        <f>_xlfn.NUMBERVALUE("12.850000")</f>
        <v/>
      </c>
    </row>
    <row r="87">
      <c r="A87" s="1" t="n">
        <v>42129</v>
      </c>
      <c r="B87">
        <f>_xlfn.NUMBERVALUE("0.000000")</f>
        <v/>
      </c>
      <c r="C87" s="2">
        <f>_xlfn.NUMBERVALUE("-0.001153")</f>
        <v/>
      </c>
      <c r="D87">
        <f>_xlfn.NUMBERVALUE("-0.002783")</f>
        <v/>
      </c>
      <c r="E87">
        <f>_xlfn.NUMBERVALUE("-0.001743")</f>
        <v/>
      </c>
      <c r="F87">
        <f>_xlfn.NUMBERVALUE("0.001157")</f>
        <v/>
      </c>
      <c r="G87">
        <f>_xlfn.NUMBERVALUE("0.000077")</f>
        <v/>
      </c>
      <c r="H87">
        <f>_xlfn.NUMBERVALUE("-0.001687")</f>
        <v/>
      </c>
      <c r="I87">
        <f>_xlfn.NUMBERVALUE("-0.002488")</f>
        <v/>
      </c>
      <c r="J87">
        <f>_xlfn.NUMBERVALUE("-0.000149")</f>
        <v/>
      </c>
      <c r="K87">
        <f>_xlfn.NUMBERVALUE("-0.000458")</f>
        <v/>
      </c>
      <c r="L87">
        <f>_xlfn.NUMBERVALUE("0.000178")</f>
        <v/>
      </c>
      <c r="M87">
        <f>_xlfn.NUMBERVALUE("0.000014")</f>
        <v/>
      </c>
      <c r="N87">
        <f>_xlfn.NUMBERVALUE("0.000000")</f>
        <v/>
      </c>
      <c r="O87">
        <f>_xlfn.NUMBERVALUE("0.000009")</f>
        <v/>
      </c>
      <c r="P87">
        <f>_xlfn.NUMBERVALUE("0.000073")</f>
        <v/>
      </c>
      <c r="Q87">
        <f>_xlfn.NUMBERVALUE("-0.004377")</f>
        <v/>
      </c>
      <c r="R87">
        <f>_xlfn.NUMBERVALUE("0.000108")</f>
        <v/>
      </c>
      <c r="S87">
        <f>_xlfn.NUMBERVALUE("-0.000106")</f>
        <v/>
      </c>
      <c r="T87">
        <f>_xlfn.NUMBERVALUE("-0.010768")</f>
        <v/>
      </c>
      <c r="U87">
        <f>_xlfn.NUMBERVALUE("-0.000775")</f>
        <v/>
      </c>
      <c r="V87">
        <f>_xlfn.NUMBERVALUE("-0.002037")</f>
        <v/>
      </c>
      <c r="W87">
        <f>_xlfn.NUMBERVALUE("-0.011310")</f>
        <v/>
      </c>
      <c r="X87">
        <f>_xlfn.NUMBERVALUE("1.460000")</f>
        <v/>
      </c>
      <c r="Y87">
        <f>_xlfn.NUMBERVALUE("14.310000")</f>
        <v/>
      </c>
    </row>
    <row r="88">
      <c r="A88" s="1" t="n">
        <v>42130</v>
      </c>
      <c r="B88">
        <f>_xlfn.NUMBERVALUE("0.000000")</f>
        <v/>
      </c>
      <c r="C88" s="2">
        <f>_xlfn.NUMBERVALUE("-0.000565")</f>
        <v/>
      </c>
      <c r="D88">
        <f>_xlfn.NUMBERVALUE("-0.002432")</f>
        <v/>
      </c>
      <c r="E88">
        <f>_xlfn.NUMBERVALUE("0.000468")</f>
        <v/>
      </c>
      <c r="F88">
        <f>_xlfn.NUMBERVALUE("-0.000201")</f>
        <v/>
      </c>
      <c r="G88">
        <f>_xlfn.NUMBERVALUE("0.000301")</f>
        <v/>
      </c>
      <c r="H88">
        <f>_xlfn.NUMBERVALUE("-0.001262")</f>
        <v/>
      </c>
      <c r="I88">
        <f>_xlfn.NUMBERVALUE("-0.000273")</f>
        <v/>
      </c>
      <c r="J88">
        <f>_xlfn.NUMBERVALUE("-0.000243")</f>
        <v/>
      </c>
      <c r="K88">
        <f>_xlfn.NUMBERVALUE("0.003376")</f>
        <v/>
      </c>
      <c r="L88">
        <f>_xlfn.NUMBERVALUE("-0.002098")</f>
        <v/>
      </c>
      <c r="M88">
        <f>_xlfn.NUMBERVALUE("-0.000212")</f>
        <v/>
      </c>
      <c r="N88">
        <f>_xlfn.NUMBERVALUE("0.000000")</f>
        <v/>
      </c>
      <c r="O88">
        <f>_xlfn.NUMBERVALUE("-0.000347")</f>
        <v/>
      </c>
      <c r="P88">
        <f>_xlfn.NUMBERVALUE("-0.001933")</f>
        <v/>
      </c>
      <c r="Q88">
        <f>_xlfn.NUMBERVALUE("0.000077")</f>
        <v/>
      </c>
      <c r="R88">
        <f>_xlfn.NUMBERVALUE("-0.001577")</f>
        <v/>
      </c>
      <c r="S88">
        <f>_xlfn.NUMBERVALUE("-0.000210")</f>
        <v/>
      </c>
      <c r="T88">
        <f>_xlfn.NUMBERVALUE("0.001864")</f>
        <v/>
      </c>
      <c r="U88">
        <f>_xlfn.NUMBERVALUE("-0.000343")</f>
        <v/>
      </c>
      <c r="V88">
        <f>_xlfn.NUMBERVALUE("-0.000517")</f>
        <v/>
      </c>
      <c r="W88">
        <f>_xlfn.NUMBERVALUE("-0.005791")</f>
        <v/>
      </c>
      <c r="X88">
        <f>_xlfn.NUMBERVALUE("0.840000")</f>
        <v/>
      </c>
      <c r="Y88">
        <f>_xlfn.NUMBERVALUE("15.150000")</f>
        <v/>
      </c>
    </row>
    <row r="89">
      <c r="A89" s="1" t="n">
        <v>42131</v>
      </c>
      <c r="B89">
        <f>_xlfn.NUMBERVALUE("0.000000")</f>
        <v/>
      </c>
      <c r="C89" s="2">
        <f>_xlfn.NUMBERVALUE("-0.000559")</f>
        <v/>
      </c>
      <c r="D89">
        <f>_xlfn.NUMBERVALUE("0.001369")</f>
        <v/>
      </c>
      <c r="E89">
        <f>_xlfn.NUMBERVALUE("0.001009")</f>
        <v/>
      </c>
      <c r="F89">
        <f>_xlfn.NUMBERVALUE("-0.000464")</f>
        <v/>
      </c>
      <c r="G89">
        <f>_xlfn.NUMBERVALUE("-0.001173")</f>
        <v/>
      </c>
      <c r="H89">
        <f>_xlfn.NUMBERVALUE("0.001282")</f>
        <v/>
      </c>
      <c r="I89">
        <f>_xlfn.NUMBERVALUE("0.000070")</f>
        <v/>
      </c>
      <c r="J89">
        <f>_xlfn.NUMBERVALUE("0.000174")</f>
        <v/>
      </c>
      <c r="K89">
        <f>_xlfn.NUMBERVALUE("-0.000310")</f>
        <v/>
      </c>
      <c r="L89">
        <f>_xlfn.NUMBERVALUE("0.001209")</f>
        <v/>
      </c>
      <c r="M89">
        <f>_xlfn.NUMBERVALUE("0.000245")</f>
        <v/>
      </c>
      <c r="N89">
        <f>_xlfn.NUMBERVALUE("0.000000")</f>
        <v/>
      </c>
      <c r="O89">
        <f>_xlfn.NUMBERVALUE("0.000058")</f>
        <v/>
      </c>
      <c r="P89">
        <f>_xlfn.NUMBERVALUE("0.000023")</f>
        <v/>
      </c>
      <c r="Q89">
        <f>_xlfn.NUMBERVALUE("-0.000374")</f>
        <v/>
      </c>
      <c r="R89">
        <f>_xlfn.NUMBERVALUE("0.000074")</f>
        <v/>
      </c>
      <c r="S89">
        <f>_xlfn.NUMBERVALUE("-0.000245")</f>
        <v/>
      </c>
      <c r="T89">
        <f>_xlfn.NUMBERVALUE("-0.001610")</f>
        <v/>
      </c>
      <c r="U89">
        <f>_xlfn.NUMBERVALUE("0.000084")</f>
        <v/>
      </c>
      <c r="V89">
        <f>_xlfn.NUMBERVALUE("-0.000458")</f>
        <v/>
      </c>
      <c r="W89">
        <f>_xlfn.NUMBERVALUE("0.005584")</f>
        <v/>
      </c>
      <c r="X89">
        <f>_xlfn.NUMBERVALUE("-0.020000")</f>
        <v/>
      </c>
      <c r="Y89">
        <f>_xlfn.NUMBERVALUE("15.130000")</f>
        <v/>
      </c>
    </row>
    <row r="90">
      <c r="A90" s="1" t="n">
        <v>42132</v>
      </c>
      <c r="B90">
        <f>_xlfn.NUMBERVALUE("0.000000")</f>
        <v/>
      </c>
      <c r="C90" s="2">
        <f>_xlfn.NUMBERVALUE("0.000567")</f>
        <v/>
      </c>
      <c r="D90">
        <f>_xlfn.NUMBERVALUE("0.004148")</f>
        <v/>
      </c>
      <c r="E90">
        <f>_xlfn.NUMBERVALUE("-0.002290")</f>
        <v/>
      </c>
      <c r="F90">
        <f>_xlfn.NUMBERVALUE("0.004851")</f>
        <v/>
      </c>
      <c r="G90">
        <f>_xlfn.NUMBERVALUE("0.001222")</f>
        <v/>
      </c>
      <c r="H90">
        <f>_xlfn.NUMBERVALUE("0.002806")</f>
        <v/>
      </c>
      <c r="I90">
        <f>_xlfn.NUMBERVALUE("0.003206")</f>
        <v/>
      </c>
      <c r="J90">
        <f>_xlfn.NUMBERVALUE("0.001567")</f>
        <v/>
      </c>
      <c r="K90">
        <f>_xlfn.NUMBERVALUE("0.001874")</f>
        <v/>
      </c>
      <c r="L90">
        <f>_xlfn.NUMBERVALUE("0.003684")</f>
        <v/>
      </c>
      <c r="M90">
        <f>_xlfn.NUMBERVALUE("-0.002270")</f>
        <v/>
      </c>
      <c r="N90">
        <f>_xlfn.NUMBERVALUE("0.000000")</f>
        <v/>
      </c>
      <c r="O90">
        <f>_xlfn.NUMBERVALUE("0.001516")</f>
        <v/>
      </c>
      <c r="P90">
        <f>_xlfn.NUMBERVALUE("0.001512")</f>
        <v/>
      </c>
      <c r="Q90">
        <f>_xlfn.NUMBERVALUE("0.002604")</f>
        <v/>
      </c>
      <c r="R90">
        <f>_xlfn.NUMBERVALUE("0.001731")</f>
        <v/>
      </c>
      <c r="S90">
        <f>_xlfn.NUMBERVALUE("0.001070")</f>
        <v/>
      </c>
      <c r="T90">
        <f>_xlfn.NUMBERVALUE("0.002237")</f>
        <v/>
      </c>
      <c r="U90">
        <f>_xlfn.NUMBERVALUE("0.002653")</f>
        <v/>
      </c>
      <c r="V90">
        <f>_xlfn.NUMBERVALUE("0.002119")</f>
        <v/>
      </c>
      <c r="W90">
        <f>_xlfn.NUMBERVALUE("0.011825")</f>
        <v/>
      </c>
      <c r="X90">
        <f>_xlfn.NUMBERVALUE("-2.270000")</f>
        <v/>
      </c>
      <c r="Y90">
        <f>_xlfn.NUMBERVALUE("12.860000")</f>
        <v/>
      </c>
    </row>
    <row r="91">
      <c r="A91" s="1" t="n">
        <v>42135</v>
      </c>
      <c r="B91">
        <f>_xlfn.NUMBERVALUE("0.000000")</f>
        <v/>
      </c>
      <c r="C91" s="2">
        <f>_xlfn.NUMBERVALUE("0.000570")</f>
        <v/>
      </c>
      <c r="D91">
        <f>_xlfn.NUMBERVALUE("0.000545")</f>
        <v/>
      </c>
      <c r="E91">
        <f>_xlfn.NUMBERVALUE("0.000843")</f>
        <v/>
      </c>
      <c r="F91">
        <f>_xlfn.NUMBERVALUE("0.000414")</f>
        <v/>
      </c>
      <c r="G91">
        <f>_xlfn.NUMBERVALUE("-0.000715")</f>
        <v/>
      </c>
      <c r="H91">
        <f>_xlfn.NUMBERVALUE("-0.002528")</f>
        <v/>
      </c>
      <c r="I91">
        <f>_xlfn.NUMBERVALUE("0.001200")</f>
        <v/>
      </c>
      <c r="J91">
        <f>_xlfn.NUMBERVALUE("-0.002707")</f>
        <v/>
      </c>
      <c r="K91">
        <f>_xlfn.NUMBERVALUE("0.002359")</f>
        <v/>
      </c>
      <c r="L91">
        <f>_xlfn.NUMBERVALUE("-0.008152")</f>
        <v/>
      </c>
      <c r="M91">
        <f>_xlfn.NUMBERVALUE("0.003218")</f>
        <v/>
      </c>
      <c r="N91">
        <f>_xlfn.NUMBERVALUE("0.000000")</f>
        <v/>
      </c>
      <c r="O91">
        <f>_xlfn.NUMBERVALUE("-0.000772")</f>
        <v/>
      </c>
      <c r="P91">
        <f>_xlfn.NUMBERVALUE("-0.000645")</f>
        <v/>
      </c>
      <c r="Q91">
        <f>_xlfn.NUMBERVALUE("-0.000328")</f>
        <v/>
      </c>
      <c r="R91">
        <f>_xlfn.NUMBERVALUE("0.000436")</f>
        <v/>
      </c>
      <c r="S91">
        <f>_xlfn.NUMBERVALUE("0.001180")</f>
        <v/>
      </c>
      <c r="T91">
        <f>_xlfn.NUMBERVALUE("0.001330")</f>
        <v/>
      </c>
      <c r="U91">
        <f>_xlfn.NUMBERVALUE("0.000884")</f>
        <v/>
      </c>
      <c r="V91">
        <f>_xlfn.NUMBERVALUE("0.000183")</f>
        <v/>
      </c>
      <c r="W91">
        <f>_xlfn.NUMBERVALUE("-0.004542")</f>
        <v/>
      </c>
      <c r="X91">
        <f>_xlfn.NUMBERVALUE("0.990000")</f>
        <v/>
      </c>
      <c r="Y91">
        <f>_xlfn.NUMBERVALUE("13.850000")</f>
        <v/>
      </c>
    </row>
    <row r="92">
      <c r="A92" s="1" t="n">
        <v>42136</v>
      </c>
      <c r="B92">
        <f>_xlfn.NUMBERVALUE("0.000000")</f>
        <v/>
      </c>
      <c r="C92" s="2">
        <f>_xlfn.NUMBERVALUE("0.000181")</f>
        <v/>
      </c>
      <c r="D92">
        <f>_xlfn.NUMBERVALUE("-0.000172")</f>
        <v/>
      </c>
      <c r="E92">
        <f>_xlfn.NUMBERVALUE("0.000164")</f>
        <v/>
      </c>
      <c r="F92">
        <f>_xlfn.NUMBERVALUE("0.000371")</f>
        <v/>
      </c>
      <c r="G92">
        <f>_xlfn.NUMBERVALUE("-0.000310")</f>
        <v/>
      </c>
      <c r="H92">
        <f>_xlfn.NUMBERVALUE("-0.000376")</f>
        <v/>
      </c>
      <c r="I92">
        <f>_xlfn.NUMBERVALUE("0.000289")</f>
        <v/>
      </c>
      <c r="J92">
        <f>_xlfn.NUMBERVALUE("-0.000335")</f>
        <v/>
      </c>
      <c r="K92">
        <f>_xlfn.NUMBERVALUE("0.000031")</f>
        <v/>
      </c>
      <c r="L92">
        <f>_xlfn.NUMBERVALUE("0.000854")</f>
        <v/>
      </c>
      <c r="M92">
        <f>_xlfn.NUMBERVALUE("0.000026")</f>
        <v/>
      </c>
      <c r="N92">
        <f>_xlfn.NUMBERVALUE("0.000000")</f>
        <v/>
      </c>
      <c r="O92">
        <f>_xlfn.NUMBERVALUE("0.000933")</f>
        <v/>
      </c>
      <c r="P92">
        <f>_xlfn.NUMBERVALUE("0.001018")</f>
        <v/>
      </c>
      <c r="Q92">
        <f>_xlfn.NUMBERVALUE("-0.000156")</f>
        <v/>
      </c>
      <c r="R92">
        <f>_xlfn.NUMBERVALUE("0.000658")</f>
        <v/>
      </c>
      <c r="S92">
        <f>_xlfn.NUMBERVALUE("0.001723")</f>
        <v/>
      </c>
      <c r="T92">
        <f>_xlfn.NUMBERVALUE("0.001225")</f>
        <v/>
      </c>
      <c r="U92">
        <f>_xlfn.NUMBERVALUE("0.000628")</f>
        <v/>
      </c>
      <c r="V92">
        <f>_xlfn.NUMBERVALUE("0.000446")</f>
        <v/>
      </c>
      <c r="W92">
        <f>_xlfn.NUMBERVALUE("-0.001046")</f>
        <v/>
      </c>
      <c r="X92">
        <f>_xlfn.NUMBERVALUE("0.010000")</f>
        <v/>
      </c>
      <c r="Y92">
        <f>_xlfn.NUMBERVALUE("13.860000")</f>
        <v/>
      </c>
    </row>
    <row r="93">
      <c r="A93" s="1" t="n">
        <v>42137</v>
      </c>
      <c r="B93">
        <f>_xlfn.NUMBERVALUE("0.000000")</f>
        <v/>
      </c>
      <c r="C93" s="2">
        <f>_xlfn.NUMBERVALUE("0.001011")</f>
        <v/>
      </c>
      <c r="D93">
        <f>_xlfn.NUMBERVALUE("0.000946")</f>
        <v/>
      </c>
      <c r="E93">
        <f>_xlfn.NUMBERVALUE("-0.000604")</f>
        <v/>
      </c>
      <c r="F93">
        <f>_xlfn.NUMBERVALUE("-0.004467")</f>
        <v/>
      </c>
      <c r="G93">
        <f>_xlfn.NUMBERVALUE("0.001057")</f>
        <v/>
      </c>
      <c r="H93">
        <f>_xlfn.NUMBERVALUE("0.001024")</f>
        <v/>
      </c>
      <c r="I93">
        <f>_xlfn.NUMBERVALUE("0.001248")</f>
        <v/>
      </c>
      <c r="J93">
        <f>_xlfn.NUMBERVALUE("0.000807")</f>
        <v/>
      </c>
      <c r="K93">
        <f>_xlfn.NUMBERVALUE("-0.011126")</f>
        <v/>
      </c>
      <c r="L93">
        <f>_xlfn.NUMBERVALUE("-0.001091")</f>
        <v/>
      </c>
      <c r="M93">
        <f>_xlfn.NUMBERVALUE("0.000978")</f>
        <v/>
      </c>
      <c r="N93">
        <f>_xlfn.NUMBERVALUE("0.000000")</f>
        <v/>
      </c>
      <c r="O93">
        <f>_xlfn.NUMBERVALUE("0.001053")</f>
        <v/>
      </c>
      <c r="P93">
        <f>_xlfn.NUMBERVALUE("0.001267")</f>
        <v/>
      </c>
      <c r="Q93">
        <f>_xlfn.NUMBERVALUE("0.001440")</f>
        <v/>
      </c>
      <c r="R93">
        <f>_xlfn.NUMBERVALUE("-0.001295")</f>
        <v/>
      </c>
      <c r="S93">
        <f>_xlfn.NUMBERVALUE("0.000634")</f>
        <v/>
      </c>
      <c r="T93">
        <f>_xlfn.NUMBERVALUE("0.000662")</f>
        <v/>
      </c>
      <c r="U93">
        <f>_xlfn.NUMBERVALUE("0.000795")</f>
        <v/>
      </c>
      <c r="V93">
        <f>_xlfn.NUMBERVALUE("0.000695")</f>
        <v/>
      </c>
      <c r="W93">
        <f>_xlfn.NUMBERVALUE("-0.000761")</f>
        <v/>
      </c>
      <c r="X93">
        <f>_xlfn.NUMBERVALUE("-0.100000")</f>
        <v/>
      </c>
      <c r="Y93">
        <f>_xlfn.NUMBERVALUE("13.760000")</f>
        <v/>
      </c>
    </row>
    <row r="94">
      <c r="A94" s="1" t="n">
        <v>42138</v>
      </c>
      <c r="B94">
        <f>_xlfn.NUMBERVALUE("0.000000")</f>
        <v/>
      </c>
      <c r="C94" s="2">
        <f>_xlfn.NUMBERVALUE("-0.001363")</f>
        <v/>
      </c>
      <c r="D94">
        <f>_xlfn.NUMBERVALUE("0.000164")</f>
        <v/>
      </c>
      <c r="E94">
        <f>_xlfn.NUMBERVALUE("-0.000538")</f>
        <v/>
      </c>
      <c r="F94">
        <f>_xlfn.NUMBERVALUE("-0.000609")</f>
        <v/>
      </c>
      <c r="G94">
        <f>_xlfn.NUMBERVALUE("0.000297")</f>
        <v/>
      </c>
      <c r="H94">
        <f>_xlfn.NUMBERVALUE("0.000491")</f>
        <v/>
      </c>
      <c r="I94">
        <f>_xlfn.NUMBERVALUE("0.000268")</f>
        <v/>
      </c>
      <c r="J94">
        <f>_xlfn.NUMBERVALUE("0.000028")</f>
        <v/>
      </c>
      <c r="K94">
        <f>_xlfn.NUMBERVALUE("-0.001596")</f>
        <v/>
      </c>
      <c r="L94">
        <f>_xlfn.NUMBERVALUE("0.001289")</f>
        <v/>
      </c>
      <c r="M94">
        <f>_xlfn.NUMBERVALUE("-0.000671")</f>
        <v/>
      </c>
      <c r="N94">
        <f>_xlfn.NUMBERVALUE("0.000000")</f>
        <v/>
      </c>
      <c r="O94">
        <f>_xlfn.NUMBERVALUE("0.002367")</f>
        <v/>
      </c>
      <c r="P94">
        <f>_xlfn.NUMBERVALUE("-0.000113")</f>
        <v/>
      </c>
      <c r="Q94">
        <f>_xlfn.NUMBERVALUE("-0.001362")</f>
        <v/>
      </c>
      <c r="R94">
        <f>_xlfn.NUMBERVALUE("-0.001586")</f>
        <v/>
      </c>
      <c r="S94">
        <f>_xlfn.NUMBERVALUE("-0.004977")</f>
        <v/>
      </c>
      <c r="T94">
        <f>_xlfn.NUMBERVALUE("0.000092")</f>
        <v/>
      </c>
      <c r="U94">
        <f>_xlfn.NUMBERVALUE("0.001131")</f>
        <v/>
      </c>
      <c r="V94">
        <f>_xlfn.NUMBERVALUE("-0.000917")</f>
        <v/>
      </c>
      <c r="W94">
        <f>_xlfn.NUMBERVALUE("0.010476")</f>
        <v/>
      </c>
      <c r="X94">
        <f>_xlfn.NUMBERVALUE("-1.020000")</f>
        <v/>
      </c>
      <c r="Y94">
        <f>_xlfn.NUMBERVALUE("12.740000")</f>
        <v/>
      </c>
    </row>
    <row r="95">
      <c r="A95" s="1" t="n">
        <v>42139</v>
      </c>
      <c r="B95">
        <f>_xlfn.NUMBERVALUE("0.000000")</f>
        <v/>
      </c>
      <c r="C95" s="2">
        <f>_xlfn.NUMBERVALUE("0.000709")</f>
        <v/>
      </c>
      <c r="D95">
        <f>_xlfn.NUMBERVALUE("0.002051")</f>
        <v/>
      </c>
      <c r="E95">
        <f>_xlfn.NUMBERVALUE("0.001052")</f>
        <v/>
      </c>
      <c r="F95">
        <f>_xlfn.NUMBERVALUE("0.001160")</f>
        <v/>
      </c>
      <c r="G95">
        <f>_xlfn.NUMBERVALUE("-0.000334")</f>
        <v/>
      </c>
      <c r="H95">
        <f>_xlfn.NUMBERVALUE("-0.000912")</f>
        <v/>
      </c>
      <c r="I95">
        <f>_xlfn.NUMBERVALUE("0.001858")</f>
        <v/>
      </c>
      <c r="J95">
        <f>_xlfn.NUMBERVALUE("-0.001988")</f>
        <v/>
      </c>
      <c r="K95">
        <f>_xlfn.NUMBERVALUE("-0.000095")</f>
        <v/>
      </c>
      <c r="L95">
        <f>_xlfn.NUMBERVALUE("-0.002105")</f>
        <v/>
      </c>
      <c r="M95">
        <f>_xlfn.NUMBERVALUE("-0.000339")</f>
        <v/>
      </c>
      <c r="N95">
        <f>_xlfn.NUMBERVALUE("0.000000")</f>
        <v/>
      </c>
      <c r="O95">
        <f>_xlfn.NUMBERVALUE("0.001924")</f>
        <v/>
      </c>
      <c r="P95">
        <f>_xlfn.NUMBERVALUE("0.000674")</f>
        <v/>
      </c>
      <c r="Q95">
        <f>_xlfn.NUMBERVALUE("0.001229")</f>
        <v/>
      </c>
      <c r="R95">
        <f>_xlfn.NUMBERVALUE("0.000233")</f>
        <v/>
      </c>
      <c r="S95">
        <f>_xlfn.NUMBERVALUE("0.000631")</f>
        <v/>
      </c>
      <c r="T95">
        <f>_xlfn.NUMBERVALUE("-0.000393")</f>
        <v/>
      </c>
      <c r="U95">
        <f>_xlfn.NUMBERVALUE("0.000839")</f>
        <v/>
      </c>
      <c r="V95">
        <f>_xlfn.NUMBERVALUE("0.001489")</f>
        <v/>
      </c>
      <c r="W95">
        <f>_xlfn.NUMBERVALUE("0.001037")</f>
        <v/>
      </c>
      <c r="X95">
        <f>_xlfn.NUMBERVALUE("-0.360000")</f>
        <v/>
      </c>
      <c r="Y95">
        <f>_xlfn.NUMBERVALUE("12.380000")</f>
        <v/>
      </c>
    </row>
    <row r="96">
      <c r="A96" s="1" t="n">
        <v>42142</v>
      </c>
      <c r="B96">
        <f>_xlfn.NUMBERVALUE("0.000000")</f>
        <v/>
      </c>
      <c r="C96" s="2">
        <f>_xlfn.NUMBERVALUE("0.000559")</f>
        <v/>
      </c>
      <c r="D96">
        <f>_xlfn.NUMBERVALUE("-0.000521")</f>
        <v/>
      </c>
      <c r="E96">
        <f>_xlfn.NUMBERVALUE("0.001831")</f>
        <v/>
      </c>
      <c r="F96">
        <f>_xlfn.NUMBERVALUE("0.000845")</f>
        <v/>
      </c>
      <c r="G96">
        <f>_xlfn.NUMBERVALUE("0.000807")</f>
        <v/>
      </c>
      <c r="H96">
        <f>_xlfn.NUMBERVALUE("-0.001187")</f>
        <v/>
      </c>
      <c r="I96">
        <f>_xlfn.NUMBERVALUE("-0.001132")</f>
        <v/>
      </c>
      <c r="J96">
        <f>_xlfn.NUMBERVALUE("0.000159")</f>
        <v/>
      </c>
      <c r="K96">
        <f>_xlfn.NUMBERVALUE("0.001031")</f>
        <v/>
      </c>
      <c r="L96">
        <f>_xlfn.NUMBERVALUE("-0.002641")</f>
        <v/>
      </c>
      <c r="M96">
        <f>_xlfn.NUMBERVALUE("0.002665")</f>
        <v/>
      </c>
      <c r="N96">
        <f>_xlfn.NUMBERVALUE("0.000000")</f>
        <v/>
      </c>
      <c r="O96">
        <f>_xlfn.NUMBERVALUE("0.001126")</f>
        <v/>
      </c>
      <c r="P96">
        <f>_xlfn.NUMBERVALUE("0.000553")</f>
        <v/>
      </c>
      <c r="Q96">
        <f>_xlfn.NUMBERVALUE("0.001146")</f>
        <v/>
      </c>
      <c r="R96">
        <f>_xlfn.NUMBERVALUE("0.001086")</f>
        <v/>
      </c>
      <c r="S96">
        <f>_xlfn.NUMBERVALUE("0.004748")</f>
        <v/>
      </c>
      <c r="T96">
        <f>_xlfn.NUMBERVALUE("0.002389")</f>
        <v/>
      </c>
      <c r="U96">
        <f>_xlfn.NUMBERVALUE("0.001290")</f>
        <v/>
      </c>
      <c r="V96">
        <f>_xlfn.NUMBERVALUE("0.000427")</f>
        <v/>
      </c>
      <c r="W96">
        <f>_xlfn.NUMBERVALUE("0.003484")</f>
        <v/>
      </c>
      <c r="X96">
        <f>_xlfn.NUMBERVALUE("0.350000")</f>
        <v/>
      </c>
      <c r="Y96">
        <f>_xlfn.NUMBERVALUE("12.730000")</f>
        <v/>
      </c>
    </row>
    <row r="97">
      <c r="A97" s="1" t="n">
        <v>42143</v>
      </c>
      <c r="B97">
        <f>_xlfn.NUMBERVALUE("0.000000")</f>
        <v/>
      </c>
      <c r="C97" s="2">
        <f>_xlfn.NUMBERVALUE("0.000401")</f>
        <v/>
      </c>
      <c r="D97">
        <f>_xlfn.NUMBERVALUE("-0.000276")</f>
        <v/>
      </c>
      <c r="E97">
        <f>_xlfn.NUMBERVALUE("0.000447")</f>
        <v/>
      </c>
      <c r="F97">
        <f>_xlfn.NUMBERVALUE("-0.000792")</f>
        <v/>
      </c>
      <c r="G97">
        <f>_xlfn.NUMBERVALUE("0.000143")</f>
        <v/>
      </c>
      <c r="H97">
        <f>_xlfn.NUMBERVALUE("-0.000458")</f>
        <v/>
      </c>
      <c r="I97">
        <f>_xlfn.NUMBERVALUE("0.000541")</f>
        <v/>
      </c>
      <c r="J97">
        <f>_xlfn.NUMBERVALUE("-0.000201")</f>
        <v/>
      </c>
      <c r="K97">
        <f>_xlfn.NUMBERVALUE("-0.003154")</f>
        <v/>
      </c>
      <c r="L97">
        <f>_xlfn.NUMBERVALUE("-0.000282")</f>
        <v/>
      </c>
      <c r="M97">
        <f>_xlfn.NUMBERVALUE("0.003822")</f>
        <v/>
      </c>
      <c r="N97">
        <f>_xlfn.NUMBERVALUE("0.000000")</f>
        <v/>
      </c>
      <c r="O97">
        <f>_xlfn.NUMBERVALUE("-0.001364")</f>
        <v/>
      </c>
      <c r="P97">
        <f>_xlfn.NUMBERVALUE("-0.000097")</f>
        <v/>
      </c>
      <c r="Q97">
        <f>_xlfn.NUMBERVALUE("0.001728")</f>
        <v/>
      </c>
      <c r="R97">
        <f>_xlfn.NUMBERVALUE("0.001939")</f>
        <v/>
      </c>
      <c r="S97">
        <f>_xlfn.NUMBERVALUE("-0.001527")</f>
        <v/>
      </c>
      <c r="T97">
        <f>_xlfn.NUMBERVALUE("0.002264")</f>
        <v/>
      </c>
      <c r="U97">
        <f>_xlfn.NUMBERVALUE("0.000404")</f>
        <v/>
      </c>
      <c r="V97">
        <f>_xlfn.NUMBERVALUE("-0.000025")</f>
        <v/>
      </c>
      <c r="W97">
        <f>_xlfn.NUMBERVALUE("-0.000938")</f>
        <v/>
      </c>
      <c r="X97">
        <f>_xlfn.NUMBERVALUE("0.120000")</f>
        <v/>
      </c>
      <c r="Y97">
        <f>_xlfn.NUMBERVALUE("12.850000")</f>
        <v/>
      </c>
    </row>
    <row r="98">
      <c r="A98" s="1" t="n">
        <v>42144</v>
      </c>
      <c r="B98">
        <f>_xlfn.NUMBERVALUE("0.000000")</f>
        <v/>
      </c>
      <c r="C98" s="2">
        <f>_xlfn.NUMBERVALUE("0.000904")</f>
        <v/>
      </c>
      <c r="D98">
        <f>_xlfn.NUMBERVALUE("0.002015")</f>
        <v/>
      </c>
      <c r="E98">
        <f>_xlfn.NUMBERVALUE("0.000875")</f>
        <v/>
      </c>
      <c r="F98">
        <f>_xlfn.NUMBERVALUE("0.001334")</f>
        <v/>
      </c>
      <c r="G98">
        <f>_xlfn.NUMBERVALUE("0.000180")</f>
        <v/>
      </c>
      <c r="H98">
        <f>_xlfn.NUMBERVALUE("0.000402")</f>
        <v/>
      </c>
      <c r="I98">
        <f>_xlfn.NUMBERVALUE("0.000979")</f>
        <v/>
      </c>
      <c r="J98">
        <f>_xlfn.NUMBERVALUE("-0.000077")</f>
        <v/>
      </c>
      <c r="K98">
        <f>_xlfn.NUMBERVALUE("0.003594")</f>
        <v/>
      </c>
      <c r="L98">
        <f>_xlfn.NUMBERVALUE("0.000477")</f>
        <v/>
      </c>
      <c r="M98">
        <f>_xlfn.NUMBERVALUE("-0.001952")</f>
        <v/>
      </c>
      <c r="N98">
        <f>_xlfn.NUMBERVALUE("0.000000")</f>
        <v/>
      </c>
      <c r="O98">
        <f>_xlfn.NUMBERVALUE("0.002750")</f>
        <v/>
      </c>
      <c r="P98">
        <f>_xlfn.NUMBERVALUE("0.000628")</f>
        <v/>
      </c>
      <c r="Q98">
        <f>_xlfn.NUMBERVALUE("-0.000540")</f>
        <v/>
      </c>
      <c r="R98">
        <f>_xlfn.NUMBERVALUE("-0.000948")</f>
        <v/>
      </c>
      <c r="S98">
        <f>_xlfn.NUMBERVALUE("-0.001043")</f>
        <v/>
      </c>
      <c r="T98">
        <f>_xlfn.NUMBERVALUE("-0.002900")</f>
        <v/>
      </c>
      <c r="U98">
        <f>_xlfn.NUMBERVALUE("0.001107")</f>
        <v/>
      </c>
      <c r="V98">
        <f>_xlfn.NUMBERVALUE("0.001536")</f>
        <v/>
      </c>
      <c r="W98">
        <f>_xlfn.NUMBERVALUE("0.000164")</f>
        <v/>
      </c>
      <c r="X98">
        <f>_xlfn.NUMBERVALUE("0.030000")</f>
        <v/>
      </c>
      <c r="Y98">
        <f>_xlfn.NUMBERVALUE("12.880000")</f>
        <v/>
      </c>
    </row>
    <row r="99">
      <c r="A99" s="1" t="n">
        <v>42145</v>
      </c>
      <c r="B99">
        <f>_xlfn.NUMBERVALUE("0.000000")</f>
        <v/>
      </c>
      <c r="C99" s="2">
        <f>_xlfn.NUMBERVALUE("0.001003")</f>
        <v/>
      </c>
      <c r="D99">
        <f>_xlfn.NUMBERVALUE("0.000969")</f>
        <v/>
      </c>
      <c r="E99">
        <f>_xlfn.NUMBERVALUE("0.000236")</f>
        <v/>
      </c>
      <c r="F99">
        <f>_xlfn.NUMBERVALUE("0.001894")</f>
        <v/>
      </c>
      <c r="G99">
        <f>_xlfn.NUMBERVALUE("0.000735")</f>
        <v/>
      </c>
      <c r="H99">
        <f>_xlfn.NUMBERVALUE("0.000031")</f>
        <v/>
      </c>
      <c r="I99">
        <f>_xlfn.NUMBERVALUE("0.001371")</f>
        <v/>
      </c>
      <c r="J99">
        <f>_xlfn.NUMBERVALUE("-0.000223")</f>
        <v/>
      </c>
      <c r="K99">
        <f>_xlfn.NUMBERVALUE("-0.000321")</f>
        <v/>
      </c>
      <c r="L99">
        <f>_xlfn.NUMBERVALUE("0.000278")</f>
        <v/>
      </c>
      <c r="M99">
        <f>_xlfn.NUMBERVALUE("0.002837")</f>
        <v/>
      </c>
      <c r="N99">
        <f>_xlfn.NUMBERVALUE("0.000000")</f>
        <v/>
      </c>
      <c r="O99">
        <f>_xlfn.NUMBERVALUE("0.001012")</f>
        <v/>
      </c>
      <c r="P99">
        <f>_xlfn.NUMBERVALUE("0.000446")</f>
        <v/>
      </c>
      <c r="Q99">
        <f>_xlfn.NUMBERVALUE("0.000669")</f>
        <v/>
      </c>
      <c r="R99">
        <f>_xlfn.NUMBERVALUE("0.000619")</f>
        <v/>
      </c>
      <c r="S99">
        <f>_xlfn.NUMBERVALUE("0.000668")</f>
        <v/>
      </c>
      <c r="T99">
        <f>_xlfn.NUMBERVALUE("0.001237")</f>
        <v/>
      </c>
      <c r="U99">
        <f>_xlfn.NUMBERVALUE("0.001716")</f>
        <v/>
      </c>
      <c r="V99">
        <f>_xlfn.NUMBERVALUE("0.001233")</f>
        <v/>
      </c>
      <c r="W99">
        <f>_xlfn.NUMBERVALUE("0.002089")</f>
        <v/>
      </c>
      <c r="X99">
        <f>_xlfn.NUMBERVALUE("-0.770000")</f>
        <v/>
      </c>
      <c r="Y99">
        <f>_xlfn.NUMBERVALUE("12.110000")</f>
        <v/>
      </c>
    </row>
    <row r="100">
      <c r="A100" s="1" t="n">
        <v>42146</v>
      </c>
      <c r="B100">
        <f>_xlfn.NUMBERVALUE("0.000000")</f>
        <v/>
      </c>
      <c r="C100" s="2">
        <f>_xlfn.NUMBERVALUE("0.002120")</f>
        <v/>
      </c>
      <c r="D100">
        <f>_xlfn.NUMBERVALUE("0.000815")</f>
        <v/>
      </c>
      <c r="E100">
        <f>_xlfn.NUMBERVALUE("0.000840")</f>
        <v/>
      </c>
      <c r="F100">
        <f>_xlfn.NUMBERVALUE("0.000802")</f>
        <v/>
      </c>
      <c r="G100">
        <f>_xlfn.NUMBERVALUE("0.000820")</f>
        <v/>
      </c>
      <c r="H100">
        <f>_xlfn.NUMBERVALUE("0.000302")</f>
        <v/>
      </c>
      <c r="I100">
        <f>_xlfn.NUMBERVALUE("0.001434")</f>
        <v/>
      </c>
      <c r="J100">
        <f>_xlfn.NUMBERVALUE("0.000634")</f>
        <v/>
      </c>
      <c r="K100">
        <f>_xlfn.NUMBERVALUE("0.002260")</f>
        <v/>
      </c>
      <c r="L100">
        <f>_xlfn.NUMBERVALUE("0.001737")</f>
        <v/>
      </c>
      <c r="M100">
        <f>_xlfn.NUMBERVALUE("-0.000080")</f>
        <v/>
      </c>
      <c r="N100">
        <f>_xlfn.NUMBERVALUE("0.000000")</f>
        <v/>
      </c>
      <c r="O100">
        <f>_xlfn.NUMBERVALUE("0.000142")</f>
        <v/>
      </c>
      <c r="P100">
        <f>_xlfn.NUMBERVALUE("0.001600")</f>
        <v/>
      </c>
      <c r="Q100">
        <f>_xlfn.NUMBERVALUE("0.001068")</f>
        <v/>
      </c>
      <c r="R100">
        <f>_xlfn.NUMBERVALUE("0.000940")</f>
        <v/>
      </c>
      <c r="S100">
        <f>_xlfn.NUMBERVALUE("0.002608")</f>
        <v/>
      </c>
      <c r="T100">
        <f>_xlfn.NUMBERVALUE("0.004607")</f>
        <v/>
      </c>
      <c r="U100">
        <f>_xlfn.NUMBERVALUE("0.001842")</f>
        <v/>
      </c>
      <c r="V100">
        <f>_xlfn.NUMBERVALUE("0.000995")</f>
        <v/>
      </c>
      <c r="W100">
        <f>_xlfn.NUMBERVALUE("-0.002061")</f>
        <v/>
      </c>
      <c r="X100">
        <f>_xlfn.NUMBERVALUE("0.020000")</f>
        <v/>
      </c>
      <c r="Y100">
        <f>_xlfn.NUMBERVALUE("12.130000")</f>
        <v/>
      </c>
    </row>
    <row r="101">
      <c r="A101" s="1" t="n">
        <v>42150</v>
      </c>
      <c r="B101">
        <f>_xlfn.NUMBERVALUE("0.000000")</f>
        <v/>
      </c>
      <c r="C101" s="2">
        <f>_xlfn.NUMBERVALUE("-0.001712")</f>
        <v/>
      </c>
      <c r="D101">
        <f>_xlfn.NUMBERVALUE("-0.003101")</f>
        <v/>
      </c>
      <c r="E101">
        <f>_xlfn.NUMBERVALUE("-0.004477")</f>
        <v/>
      </c>
      <c r="F101">
        <f>_xlfn.NUMBERVALUE("-0.002098")</f>
        <v/>
      </c>
      <c r="G101">
        <f>_xlfn.NUMBERVALUE("0.000786")</f>
        <v/>
      </c>
      <c r="H101">
        <f>_xlfn.NUMBERVALUE("0.000988")</f>
        <v/>
      </c>
      <c r="I101">
        <f>_xlfn.NUMBERVALUE("-0.001376")</f>
        <v/>
      </c>
      <c r="J101">
        <f>_xlfn.NUMBERVALUE("-0.000273")</f>
        <v/>
      </c>
      <c r="K101">
        <f>_xlfn.NUMBERVALUE("0.001700")</f>
        <v/>
      </c>
      <c r="L101">
        <f>_xlfn.NUMBERVALUE("-0.001176")</f>
        <v/>
      </c>
      <c r="M101">
        <f>_xlfn.NUMBERVALUE("-0.002145")</f>
        <v/>
      </c>
      <c r="N101">
        <f>_xlfn.NUMBERVALUE("0.000000")</f>
        <v/>
      </c>
      <c r="O101">
        <f>_xlfn.NUMBERVALUE("-0.000289")</f>
        <v/>
      </c>
      <c r="P101">
        <f>_xlfn.NUMBERVALUE("0.000530")</f>
        <v/>
      </c>
      <c r="Q101">
        <f>_xlfn.NUMBERVALUE("-0.000416")</f>
        <v/>
      </c>
      <c r="R101">
        <f>_xlfn.NUMBERVALUE("-0.001701")</f>
        <v/>
      </c>
      <c r="S101">
        <f>_xlfn.NUMBERVALUE("0.000185")</f>
        <v/>
      </c>
      <c r="T101">
        <f>_xlfn.NUMBERVALUE("-0.001269")</f>
        <v/>
      </c>
      <c r="U101">
        <f>_xlfn.NUMBERVALUE("-0.001748")</f>
        <v/>
      </c>
      <c r="V101">
        <f>_xlfn.NUMBERVALUE("-0.002353")</f>
        <v/>
      </c>
      <c r="W101">
        <f>_xlfn.NUMBERVALUE("-0.010281")</f>
        <v/>
      </c>
      <c r="X101">
        <f>_xlfn.NUMBERVALUE("1.930000")</f>
        <v/>
      </c>
      <c r="Y101">
        <f>_xlfn.NUMBERVALUE("14.060000")</f>
        <v/>
      </c>
    </row>
    <row r="102">
      <c r="A102" s="1" t="n">
        <v>42151</v>
      </c>
      <c r="B102">
        <f>_xlfn.NUMBERVALUE("0.000000")</f>
        <v/>
      </c>
      <c r="C102" s="2">
        <f>_xlfn.NUMBERVALUE("0.002464")</f>
        <v/>
      </c>
      <c r="D102">
        <f>_xlfn.NUMBERVALUE("-0.000960")</f>
        <v/>
      </c>
      <c r="E102">
        <f>_xlfn.NUMBERVALUE("-0.000644")</f>
        <v/>
      </c>
      <c r="F102">
        <f>_xlfn.NUMBERVALUE("0.002279")</f>
        <v/>
      </c>
      <c r="G102">
        <f>_xlfn.NUMBERVALUE("0.001363")</f>
        <v/>
      </c>
      <c r="H102">
        <f>_xlfn.NUMBERVALUE("0.000754")</f>
        <v/>
      </c>
      <c r="I102">
        <f>_xlfn.NUMBERVALUE("-0.000518")</f>
        <v/>
      </c>
      <c r="J102">
        <f>_xlfn.NUMBERVALUE("0.001094")</f>
        <v/>
      </c>
      <c r="K102">
        <f>_xlfn.NUMBERVALUE("0.002900")</f>
        <v/>
      </c>
      <c r="L102">
        <f>_xlfn.NUMBERVALUE("0.002231")</f>
        <v/>
      </c>
      <c r="M102">
        <f>_xlfn.NUMBERVALUE("0.000164")</f>
        <v/>
      </c>
      <c r="N102">
        <f>_xlfn.NUMBERVALUE("0.000000")</f>
        <v/>
      </c>
      <c r="O102">
        <f>_xlfn.NUMBERVALUE("0.000106")</f>
        <v/>
      </c>
      <c r="P102">
        <f>_xlfn.NUMBERVALUE("-0.000978")</f>
        <v/>
      </c>
      <c r="Q102">
        <f>_xlfn.NUMBERVALUE("0.000349")</f>
        <v/>
      </c>
      <c r="R102">
        <f>_xlfn.NUMBERVALUE("-0.004495")</f>
        <v/>
      </c>
      <c r="S102">
        <f>_xlfn.NUMBERVALUE("-0.002927")</f>
        <v/>
      </c>
      <c r="T102">
        <f>_xlfn.NUMBERVALUE("0.001608")</f>
        <v/>
      </c>
      <c r="U102">
        <f>_xlfn.NUMBERVALUE("0.000849")</f>
        <v/>
      </c>
      <c r="V102">
        <f>_xlfn.NUMBERVALUE("-0.000541")</f>
        <v/>
      </c>
      <c r="W102">
        <f>_xlfn.NUMBERVALUE("0.009677")</f>
        <v/>
      </c>
      <c r="X102">
        <f>_xlfn.NUMBERVALUE("-0.790000")</f>
        <v/>
      </c>
      <c r="Y102">
        <f>_xlfn.NUMBERVALUE("13.270000")</f>
        <v/>
      </c>
    </row>
    <row r="103">
      <c r="A103" s="1" t="n">
        <v>42152</v>
      </c>
      <c r="B103">
        <f>_xlfn.NUMBERVALUE("0.000000")</f>
        <v/>
      </c>
      <c r="C103" s="2">
        <f>_xlfn.NUMBERVALUE("-0.001068")</f>
        <v/>
      </c>
      <c r="D103">
        <f>_xlfn.NUMBERVALUE("0.001070")</f>
        <v/>
      </c>
      <c r="E103">
        <f>_xlfn.NUMBERVALUE("0.001114")</f>
        <v/>
      </c>
      <c r="F103">
        <f>_xlfn.NUMBERVALUE("0.001288")</f>
        <v/>
      </c>
      <c r="G103">
        <f>_xlfn.NUMBERVALUE("0.000413")</f>
        <v/>
      </c>
      <c r="H103">
        <f>_xlfn.NUMBERVALUE("0.000359")</f>
        <v/>
      </c>
      <c r="I103">
        <f>_xlfn.NUMBERVALUE("0.000552")</f>
        <v/>
      </c>
      <c r="J103">
        <f>_xlfn.NUMBERVALUE("0.000333")</f>
        <v/>
      </c>
      <c r="K103">
        <f>_xlfn.NUMBERVALUE("0.000740")</f>
        <v/>
      </c>
      <c r="L103">
        <f>_xlfn.NUMBERVALUE("0.000450")</f>
        <v/>
      </c>
      <c r="M103">
        <f>_xlfn.NUMBERVALUE("0.001095")</f>
        <v/>
      </c>
      <c r="N103">
        <f>_xlfn.NUMBERVALUE("0.000000")</f>
        <v/>
      </c>
      <c r="O103">
        <f>_xlfn.NUMBERVALUE("0.000448")</f>
        <v/>
      </c>
      <c r="P103">
        <f>_xlfn.NUMBERVALUE("0.000876")</f>
        <v/>
      </c>
      <c r="Q103">
        <f>_xlfn.NUMBERVALUE("0.001022")</f>
        <v/>
      </c>
      <c r="R103">
        <f>_xlfn.NUMBERVALUE("0.000547")</f>
        <v/>
      </c>
      <c r="S103">
        <f>_xlfn.NUMBERVALUE("0.001082")</f>
        <v/>
      </c>
      <c r="T103">
        <f>_xlfn.NUMBERVALUE("0.000732")</f>
        <v/>
      </c>
      <c r="U103">
        <f>_xlfn.NUMBERVALUE("0.000385")</f>
        <v/>
      </c>
      <c r="V103">
        <f>_xlfn.NUMBERVALUE("0.000279")</f>
        <v/>
      </c>
      <c r="W103">
        <f>_xlfn.NUMBERVALUE("-0.001456")</f>
        <v/>
      </c>
      <c r="X103">
        <f>_xlfn.NUMBERVALUE("0.040000")</f>
        <v/>
      </c>
      <c r="Y103">
        <f>_xlfn.NUMBERVALUE("13.310000")</f>
        <v/>
      </c>
    </row>
    <row r="104">
      <c r="A104" s="1" t="n">
        <v>42153</v>
      </c>
      <c r="B104">
        <f>_xlfn.NUMBERVALUE("0.000000")</f>
        <v/>
      </c>
      <c r="C104" s="2">
        <f>_xlfn.NUMBERVALUE("0.000168")</f>
        <v/>
      </c>
      <c r="D104">
        <f>_xlfn.NUMBERVALUE("0.000011")</f>
        <v/>
      </c>
      <c r="E104">
        <f>_xlfn.NUMBERVALUE("-0.000451")</f>
        <v/>
      </c>
      <c r="F104">
        <f>_xlfn.NUMBERVALUE("0.001744")</f>
        <v/>
      </c>
      <c r="G104">
        <f>_xlfn.NUMBERVALUE("0.000619")</f>
        <v/>
      </c>
      <c r="H104">
        <f>_xlfn.NUMBERVALUE("0.000895")</f>
        <v/>
      </c>
      <c r="I104">
        <f>_xlfn.NUMBERVALUE("0.000091")</f>
        <v/>
      </c>
      <c r="J104">
        <f>_xlfn.NUMBERVALUE("0.000487")</f>
        <v/>
      </c>
      <c r="K104">
        <f>_xlfn.NUMBERVALUE("0.001985")</f>
        <v/>
      </c>
      <c r="L104">
        <f>_xlfn.NUMBERVALUE("0.001790")</f>
        <v/>
      </c>
      <c r="M104">
        <f>_xlfn.NUMBERVALUE("0.000200")</f>
        <v/>
      </c>
      <c r="N104">
        <f>_xlfn.NUMBERVALUE("0.000000")</f>
        <v/>
      </c>
      <c r="O104">
        <f>_xlfn.NUMBERVALUE("0.000261")</f>
        <v/>
      </c>
      <c r="P104">
        <f>_xlfn.NUMBERVALUE("0.000102")</f>
        <v/>
      </c>
      <c r="Q104">
        <f>_xlfn.NUMBERVALUE("-0.001506")</f>
        <v/>
      </c>
      <c r="R104">
        <f>_xlfn.NUMBERVALUE("0.000803")</f>
        <v/>
      </c>
      <c r="S104">
        <f>_xlfn.NUMBERVALUE("0.000224")</f>
        <v/>
      </c>
      <c r="T104">
        <f>_xlfn.NUMBERVALUE("0.001069")</f>
        <v/>
      </c>
      <c r="U104">
        <f>_xlfn.NUMBERVALUE("0.000447")</f>
        <v/>
      </c>
      <c r="V104">
        <f>_xlfn.NUMBERVALUE("-0.000005")</f>
        <v/>
      </c>
      <c r="W104">
        <f>_xlfn.NUMBERVALUE("-0.005410")</f>
        <v/>
      </c>
      <c r="X104">
        <f>_xlfn.NUMBERVALUE("0.530000")</f>
        <v/>
      </c>
      <c r="Y104">
        <f>_xlfn.NUMBERVALUE("13.840000")</f>
        <v/>
      </c>
    </row>
    <row r="105">
      <c r="A105" s="1" t="n">
        <v>42156</v>
      </c>
      <c r="B105">
        <f>_xlfn.NUMBERVALUE("0.000000")</f>
        <v/>
      </c>
      <c r="C105" s="2">
        <f>_xlfn.NUMBERVALUE("0.003132")</f>
        <v/>
      </c>
      <c r="D105">
        <f>_xlfn.NUMBERVALUE("0.000011")</f>
        <v/>
      </c>
      <c r="E105">
        <f>_xlfn.NUMBERVALUE("0.002764")</f>
        <v/>
      </c>
      <c r="F105">
        <f>_xlfn.NUMBERVALUE("0.002355")</f>
        <v/>
      </c>
      <c r="G105">
        <f>_xlfn.NUMBERVALUE("0.001943")</f>
        <v/>
      </c>
      <c r="H105">
        <f>_xlfn.NUMBERVALUE("0.000222")</f>
        <v/>
      </c>
      <c r="I105">
        <f>_xlfn.NUMBERVALUE("0.002651")</f>
        <v/>
      </c>
      <c r="J105">
        <f>_xlfn.NUMBERVALUE("-0.000822")</f>
        <v/>
      </c>
      <c r="K105">
        <f>_xlfn.NUMBERVALUE("0.002879")</f>
        <v/>
      </c>
      <c r="L105">
        <f>_xlfn.NUMBERVALUE("-0.000020")</f>
        <v/>
      </c>
      <c r="M105">
        <f>_xlfn.NUMBERVALUE("0.002406")</f>
        <v/>
      </c>
      <c r="N105">
        <f>_xlfn.NUMBERVALUE("0.000000")</f>
        <v/>
      </c>
      <c r="O105">
        <f>_xlfn.NUMBERVALUE("0.000925")</f>
        <v/>
      </c>
      <c r="P105">
        <f>_xlfn.NUMBERVALUE("0.002705")</f>
        <v/>
      </c>
      <c r="Q105">
        <f>_xlfn.NUMBERVALUE("0.002915")</f>
        <v/>
      </c>
      <c r="R105">
        <f>_xlfn.NUMBERVALUE("0.001738")</f>
        <v/>
      </c>
      <c r="S105">
        <f>_xlfn.NUMBERVALUE("0.002044")</f>
        <v/>
      </c>
      <c r="T105">
        <f>_xlfn.NUMBERVALUE("0.002121")</f>
        <v/>
      </c>
      <c r="U105">
        <f>_xlfn.NUMBERVALUE("0.002145")</f>
        <v/>
      </c>
      <c r="V105">
        <f>_xlfn.NUMBERVALUE("0.003057")</f>
        <v/>
      </c>
      <c r="W105">
        <f>_xlfn.NUMBERVALUE("0.000473")</f>
        <v/>
      </c>
      <c r="X105">
        <f>_xlfn.NUMBERVALUE("0.130000")</f>
        <v/>
      </c>
      <c r="Y105">
        <f>_xlfn.NUMBERVALUE("13.970000")</f>
        <v/>
      </c>
    </row>
    <row r="106">
      <c r="A106" s="1" t="n">
        <v>42157</v>
      </c>
      <c r="B106">
        <f>_xlfn.NUMBERVALUE("0.000000")</f>
        <v/>
      </c>
      <c r="C106" s="2">
        <f>_xlfn.NUMBERVALUE("0.002438")</f>
        <v/>
      </c>
      <c r="D106">
        <f>_xlfn.NUMBERVALUE("0.000331")</f>
        <v/>
      </c>
      <c r="E106">
        <f>_xlfn.NUMBERVALUE("0.001631")</f>
        <v/>
      </c>
      <c r="F106">
        <f>_xlfn.NUMBERVALUE("0.002229")</f>
        <v/>
      </c>
      <c r="G106">
        <f>_xlfn.NUMBERVALUE("0.000845")</f>
        <v/>
      </c>
      <c r="H106">
        <f>_xlfn.NUMBERVALUE("-0.002343")</f>
        <v/>
      </c>
      <c r="I106">
        <f>_xlfn.NUMBERVALUE("0.001388")</f>
        <v/>
      </c>
      <c r="J106">
        <f>_xlfn.NUMBERVALUE("-0.000347")</f>
        <v/>
      </c>
      <c r="K106">
        <f>_xlfn.NUMBERVALUE("0.000889")</f>
        <v/>
      </c>
      <c r="L106">
        <f>_xlfn.NUMBERVALUE("-0.002066")</f>
        <v/>
      </c>
      <c r="M106">
        <f>_xlfn.NUMBERVALUE("0.001476")</f>
        <v/>
      </c>
      <c r="N106">
        <f>_xlfn.NUMBERVALUE("0.000000")</f>
        <v/>
      </c>
      <c r="O106">
        <f>_xlfn.NUMBERVALUE("-0.000007")</f>
        <v/>
      </c>
      <c r="P106">
        <f>_xlfn.NUMBERVALUE("0.001337")</f>
        <v/>
      </c>
      <c r="Q106">
        <f>_xlfn.NUMBERVALUE("0.001179")</f>
        <v/>
      </c>
      <c r="R106">
        <f>_xlfn.NUMBERVALUE("0.000948")</f>
        <v/>
      </c>
      <c r="S106">
        <f>_xlfn.NUMBERVALUE("0.002237")</f>
        <v/>
      </c>
      <c r="T106">
        <f>_xlfn.NUMBERVALUE("-0.001993")</f>
        <v/>
      </c>
      <c r="U106">
        <f>_xlfn.NUMBERVALUE("0.001558")</f>
        <v/>
      </c>
      <c r="V106">
        <f>_xlfn.NUMBERVALUE("0.002361")</f>
        <v/>
      </c>
      <c r="W106">
        <f>_xlfn.NUMBERVALUE("-0.001135")</f>
        <v/>
      </c>
      <c r="X106">
        <f>_xlfn.NUMBERVALUE("0.270000")</f>
        <v/>
      </c>
      <c r="Y106">
        <f>_xlfn.NUMBERVALUE("14.240000")</f>
        <v/>
      </c>
    </row>
    <row r="107">
      <c r="A107" s="1" t="n">
        <v>42158</v>
      </c>
      <c r="B107">
        <f>_xlfn.NUMBERVALUE("0.000000")</f>
        <v/>
      </c>
      <c r="C107" s="2">
        <f>_xlfn.NUMBERVALUE("0.002261")</f>
        <v/>
      </c>
      <c r="D107">
        <f>_xlfn.NUMBERVALUE("-0.000282")</f>
        <v/>
      </c>
      <c r="E107">
        <f>_xlfn.NUMBERVALUE("0.002491")</f>
        <v/>
      </c>
      <c r="F107">
        <f>_xlfn.NUMBERVALUE("0.002298")</f>
        <v/>
      </c>
      <c r="G107">
        <f>_xlfn.NUMBERVALUE("-0.003106")</f>
        <v/>
      </c>
      <c r="H107">
        <f>_xlfn.NUMBERVALUE("-0.000206")</f>
        <v/>
      </c>
      <c r="I107">
        <f>_xlfn.NUMBERVALUE("-0.000780")</f>
        <v/>
      </c>
      <c r="J107">
        <f>_xlfn.NUMBERVALUE("-0.000025")</f>
        <v/>
      </c>
      <c r="K107">
        <f>_xlfn.NUMBERVALUE("0.000208")</f>
        <v/>
      </c>
      <c r="L107">
        <f>_xlfn.NUMBERVALUE("-0.000117")</f>
        <v/>
      </c>
      <c r="M107">
        <f>_xlfn.NUMBERVALUE("0.002271")</f>
        <v/>
      </c>
      <c r="N107">
        <f>_xlfn.NUMBERVALUE("0.000000")</f>
        <v/>
      </c>
      <c r="O107">
        <f>_xlfn.NUMBERVALUE("-0.000415")</f>
        <v/>
      </c>
      <c r="P107">
        <f>_xlfn.NUMBERVALUE("-0.001782")</f>
        <v/>
      </c>
      <c r="Q107">
        <f>_xlfn.NUMBERVALUE("0.000042")</f>
        <v/>
      </c>
      <c r="R107">
        <f>_xlfn.NUMBERVALUE("0.000562")</f>
        <v/>
      </c>
      <c r="S107">
        <f>_xlfn.NUMBERVALUE("0.001857")</f>
        <v/>
      </c>
      <c r="T107">
        <f>_xlfn.NUMBERVALUE("-0.002592")</f>
        <v/>
      </c>
      <c r="U107">
        <f>_xlfn.NUMBERVALUE("-0.000844")</f>
        <v/>
      </c>
      <c r="V107">
        <f>_xlfn.NUMBERVALUE("0.004079")</f>
        <v/>
      </c>
      <c r="W107">
        <f>_xlfn.NUMBERVALUE("0.001420")</f>
        <v/>
      </c>
      <c r="X107">
        <f>_xlfn.NUMBERVALUE("-0.580000")</f>
        <v/>
      </c>
      <c r="Y107">
        <f>_xlfn.NUMBERVALUE("13.660000")</f>
        <v/>
      </c>
    </row>
    <row r="108">
      <c r="A108" s="1" t="n">
        <v>42159</v>
      </c>
      <c r="B108">
        <f>_xlfn.NUMBERVALUE("0.000000")</f>
        <v/>
      </c>
      <c r="C108" s="2">
        <f>_xlfn.NUMBERVALUE("-0.002302")</f>
        <v/>
      </c>
      <c r="D108">
        <f>_xlfn.NUMBERVALUE("-0.001795")</f>
        <v/>
      </c>
      <c r="E108">
        <f>_xlfn.NUMBERVALUE("-0.001102")</f>
        <v/>
      </c>
      <c r="F108">
        <f>_xlfn.NUMBERVALUE("-0.001295")</f>
        <v/>
      </c>
      <c r="G108">
        <f>_xlfn.NUMBERVALUE("0.001003")</f>
        <v/>
      </c>
      <c r="H108">
        <f>_xlfn.NUMBERVALUE("-0.000390")</f>
        <v/>
      </c>
      <c r="I108">
        <f>_xlfn.NUMBERVALUE("-0.001703")</f>
        <v/>
      </c>
      <c r="J108">
        <f>_xlfn.NUMBERVALUE("-0.001128")</f>
        <v/>
      </c>
      <c r="K108">
        <f>_xlfn.NUMBERVALUE("-0.006138")</f>
        <v/>
      </c>
      <c r="L108">
        <f>_xlfn.NUMBERVALUE("-0.001074")</f>
        <v/>
      </c>
      <c r="M108">
        <f>_xlfn.NUMBERVALUE("-0.005740")</f>
        <v/>
      </c>
      <c r="N108">
        <f>_xlfn.NUMBERVALUE("0.000000")</f>
        <v/>
      </c>
      <c r="O108">
        <f>_xlfn.NUMBERVALUE("0.000707")</f>
        <v/>
      </c>
      <c r="P108">
        <f>_xlfn.NUMBERVALUE("0.000869")</f>
        <v/>
      </c>
      <c r="Q108">
        <f>_xlfn.NUMBERVALUE("0.002221")</f>
        <v/>
      </c>
      <c r="R108">
        <f>_xlfn.NUMBERVALUE("0.000110")</f>
        <v/>
      </c>
      <c r="S108">
        <f>_xlfn.NUMBERVALUE("-0.003103")</f>
        <v/>
      </c>
      <c r="T108">
        <f>_xlfn.NUMBERVALUE("0.000078")</f>
        <v/>
      </c>
      <c r="U108">
        <f>_xlfn.NUMBERVALUE("0.001482")</f>
        <v/>
      </c>
      <c r="V108">
        <f>_xlfn.NUMBERVALUE("-0.001543")</f>
        <v/>
      </c>
      <c r="W108">
        <f>_xlfn.NUMBERVALUE("-0.009393")</f>
        <v/>
      </c>
      <c r="X108">
        <f>_xlfn.NUMBERVALUE("1.050000")</f>
        <v/>
      </c>
      <c r="Y108">
        <f>_xlfn.NUMBERVALUE("14.710000")</f>
        <v/>
      </c>
    </row>
    <row r="109">
      <c r="A109" s="1" t="n">
        <v>42160</v>
      </c>
      <c r="B109">
        <f>_xlfn.NUMBERVALUE("0.000000")</f>
        <v/>
      </c>
      <c r="C109" s="2">
        <f>_xlfn.NUMBERVALUE("0.001833")</f>
        <v/>
      </c>
      <c r="D109">
        <f>_xlfn.NUMBERVALUE("0.001686")</f>
        <v/>
      </c>
      <c r="E109">
        <f>_xlfn.NUMBERVALUE("0.001456")</f>
        <v/>
      </c>
      <c r="F109">
        <f>_xlfn.NUMBERVALUE("0.002260")</f>
        <v/>
      </c>
      <c r="G109">
        <f>_xlfn.NUMBERVALUE("0.000316")</f>
        <v/>
      </c>
      <c r="H109">
        <f>_xlfn.NUMBERVALUE("0.001127")</f>
        <v/>
      </c>
      <c r="I109">
        <f>_xlfn.NUMBERVALUE("0.000155")</f>
        <v/>
      </c>
      <c r="J109">
        <f>_xlfn.NUMBERVALUE("0.002105")</f>
        <v/>
      </c>
      <c r="K109">
        <f>_xlfn.NUMBERVALUE("0.003442")</f>
        <v/>
      </c>
      <c r="L109">
        <f>_xlfn.NUMBERVALUE("0.001815")</f>
        <v/>
      </c>
      <c r="M109">
        <f>_xlfn.NUMBERVALUE("0.001347")</f>
        <v/>
      </c>
      <c r="N109">
        <f>_xlfn.NUMBERVALUE("0.000000")</f>
        <v/>
      </c>
      <c r="O109">
        <f>_xlfn.NUMBERVALUE("0.004840")</f>
        <v/>
      </c>
      <c r="P109">
        <f>_xlfn.NUMBERVALUE("0.000843")</f>
        <v/>
      </c>
      <c r="Q109">
        <f>_xlfn.NUMBERVALUE("0.001620")</f>
        <v/>
      </c>
      <c r="R109">
        <f>_xlfn.NUMBERVALUE("0.001643")</f>
        <v/>
      </c>
      <c r="S109">
        <f>_xlfn.NUMBERVALUE("0.000754")</f>
        <v/>
      </c>
      <c r="T109">
        <f>_xlfn.NUMBERVALUE("0.000489")</f>
        <v/>
      </c>
      <c r="U109">
        <f>_xlfn.NUMBERVALUE("0.001742")</f>
        <v/>
      </c>
      <c r="V109">
        <f>_xlfn.NUMBERVALUE("0.001867")</f>
        <v/>
      </c>
      <c r="W109">
        <f>_xlfn.NUMBERVALUE("-0.000191")</f>
        <v/>
      </c>
      <c r="X109">
        <f>_xlfn.NUMBERVALUE("-0.500000")</f>
        <v/>
      </c>
      <c r="Y109">
        <f>_xlfn.NUMBERVALUE("14.210000")</f>
        <v/>
      </c>
    </row>
    <row r="110">
      <c r="A110" s="1" t="n">
        <v>42163</v>
      </c>
      <c r="B110">
        <f>_xlfn.NUMBERVALUE("0.000000")</f>
        <v/>
      </c>
      <c r="C110" s="2">
        <f>_xlfn.NUMBERVALUE("0.000784")</f>
        <v/>
      </c>
      <c r="D110">
        <f>_xlfn.NUMBERVALUE("-0.000155")</f>
        <v/>
      </c>
      <c r="E110">
        <f>_xlfn.NUMBERVALUE("0.001027")</f>
        <v/>
      </c>
      <c r="F110">
        <f>_xlfn.NUMBERVALUE("0.001287")</f>
        <v/>
      </c>
      <c r="G110">
        <f>_xlfn.NUMBERVALUE("0.000231")</f>
        <v/>
      </c>
      <c r="H110">
        <f>_xlfn.NUMBERVALUE("0.000441")</f>
        <v/>
      </c>
      <c r="I110">
        <f>_xlfn.NUMBERVALUE("0.000101")</f>
        <v/>
      </c>
      <c r="J110">
        <f>_xlfn.NUMBERVALUE("0.000026")</f>
        <v/>
      </c>
      <c r="K110">
        <f>_xlfn.NUMBERVALUE("0.002068")</f>
        <v/>
      </c>
      <c r="L110">
        <f>_xlfn.NUMBERVALUE("0.001063")</f>
        <v/>
      </c>
      <c r="M110">
        <f>_xlfn.NUMBERVALUE("0.000561")</f>
        <v/>
      </c>
      <c r="N110">
        <f>_xlfn.NUMBERVALUE("0.000000")</f>
        <v/>
      </c>
      <c r="O110">
        <f>_xlfn.NUMBERVALUE("0.000845")</f>
        <v/>
      </c>
      <c r="P110">
        <f>_xlfn.NUMBERVALUE("0.002098")</f>
        <v/>
      </c>
      <c r="Q110">
        <f>_xlfn.NUMBERVALUE("0.001800")</f>
        <v/>
      </c>
      <c r="R110">
        <f>_xlfn.NUMBERVALUE("0.000372")</f>
        <v/>
      </c>
      <c r="S110">
        <f>_xlfn.NUMBERVALUE("0.001341")</f>
        <v/>
      </c>
      <c r="T110">
        <f>_xlfn.NUMBERVALUE("0.000451")</f>
        <v/>
      </c>
      <c r="U110">
        <f>_xlfn.NUMBERVALUE("-0.000911")</f>
        <v/>
      </c>
      <c r="V110">
        <f>_xlfn.NUMBERVALUE("0.000099")</f>
        <v/>
      </c>
      <c r="W110">
        <f>_xlfn.NUMBERVALUE("-0.005910")</f>
        <v/>
      </c>
      <c r="X110">
        <f>_xlfn.NUMBERVALUE("1.080000")</f>
        <v/>
      </c>
      <c r="Y110">
        <f>_xlfn.NUMBERVALUE("15.290000")</f>
        <v/>
      </c>
    </row>
    <row r="111">
      <c r="A111" s="1" t="n">
        <v>42164</v>
      </c>
      <c r="B111">
        <f>_xlfn.NUMBERVALUE("0.000000")</f>
        <v/>
      </c>
      <c r="C111" s="2">
        <f>_xlfn.NUMBERVALUE("0.000921")</f>
        <v/>
      </c>
      <c r="D111">
        <f>_xlfn.NUMBERVALUE("0.001462")</f>
        <v/>
      </c>
      <c r="E111">
        <f>_xlfn.NUMBERVALUE("0.000614")</f>
        <v/>
      </c>
      <c r="F111">
        <f>_xlfn.NUMBERVALUE("0.000734")</f>
        <v/>
      </c>
      <c r="G111">
        <f>_xlfn.NUMBERVALUE("-0.000096")</f>
        <v/>
      </c>
      <c r="H111">
        <f>_xlfn.NUMBERVALUE("-0.000967")</f>
        <v/>
      </c>
      <c r="I111">
        <f>_xlfn.NUMBERVALUE("0.001202")</f>
        <v/>
      </c>
      <c r="J111">
        <f>_xlfn.NUMBERVALUE("0.000748")</f>
        <v/>
      </c>
      <c r="K111">
        <f>_xlfn.NUMBERVALUE("0.002408")</f>
        <v/>
      </c>
      <c r="L111">
        <f>_xlfn.NUMBERVALUE("0.000049")</f>
        <v/>
      </c>
      <c r="M111">
        <f>_xlfn.NUMBERVALUE("0.001059")</f>
        <v/>
      </c>
      <c r="N111">
        <f>_xlfn.NUMBERVALUE("0.000000")</f>
        <v/>
      </c>
      <c r="O111">
        <f>_xlfn.NUMBERVALUE("0.000907")</f>
        <v/>
      </c>
      <c r="P111">
        <f>_xlfn.NUMBERVALUE("0.000490")</f>
        <v/>
      </c>
      <c r="Q111">
        <f>_xlfn.NUMBERVALUE("0.000958")</f>
        <v/>
      </c>
      <c r="R111">
        <f>_xlfn.NUMBERVALUE("0.001005")</f>
        <v/>
      </c>
      <c r="S111">
        <f>_xlfn.NUMBERVALUE("0.000514")</f>
        <v/>
      </c>
      <c r="T111">
        <f>_xlfn.NUMBERVALUE("0.001680")</f>
        <v/>
      </c>
      <c r="U111">
        <f>_xlfn.NUMBERVALUE("0.002619")</f>
        <v/>
      </c>
      <c r="V111">
        <f>_xlfn.NUMBERVALUE("0.001315")</f>
        <v/>
      </c>
      <c r="W111">
        <f>_xlfn.NUMBERVALUE("-0.000240")</f>
        <v/>
      </c>
      <c r="X111">
        <f>_xlfn.NUMBERVALUE("-0.820000")</f>
        <v/>
      </c>
      <c r="Y111">
        <f>_xlfn.NUMBERVALUE("14.470000")</f>
        <v/>
      </c>
    </row>
    <row r="112">
      <c r="A112" s="1" t="n">
        <v>42165</v>
      </c>
      <c r="B112">
        <f>_xlfn.NUMBERVALUE("0.000000")</f>
        <v/>
      </c>
      <c r="C112" s="2">
        <f>_xlfn.NUMBERVALUE("-0.001158")</f>
        <v/>
      </c>
      <c r="D112">
        <f>_xlfn.NUMBERVALUE("0.002584")</f>
        <v/>
      </c>
      <c r="E112">
        <f>_xlfn.NUMBERVALUE("-0.005172")</f>
        <v/>
      </c>
      <c r="F112">
        <f>_xlfn.NUMBERVALUE("0.000333")</f>
        <v/>
      </c>
      <c r="G112">
        <f>_xlfn.NUMBERVALUE("0.002248")</f>
        <v/>
      </c>
      <c r="H112">
        <f>_xlfn.NUMBERVALUE("0.000563")</f>
        <v/>
      </c>
      <c r="I112">
        <f>_xlfn.NUMBERVALUE("-0.000755")</f>
        <v/>
      </c>
      <c r="J112">
        <f>_xlfn.NUMBERVALUE("-0.000051")</f>
        <v/>
      </c>
      <c r="K112">
        <f>_xlfn.NUMBERVALUE("-0.000025")</f>
        <v/>
      </c>
      <c r="L112">
        <f>_xlfn.NUMBERVALUE("-0.000849")</f>
        <v/>
      </c>
      <c r="M112">
        <f>_xlfn.NUMBERVALUE("0.000104")</f>
        <v/>
      </c>
      <c r="N112">
        <f>_xlfn.NUMBERVALUE("0.000000")</f>
        <v/>
      </c>
      <c r="O112">
        <f>_xlfn.NUMBERVALUE("0.001267")</f>
        <v/>
      </c>
      <c r="P112">
        <f>_xlfn.NUMBERVALUE("-0.001365")</f>
        <v/>
      </c>
      <c r="Q112">
        <f>_xlfn.NUMBERVALUE("0.001270")</f>
        <v/>
      </c>
      <c r="R112">
        <f>_xlfn.NUMBERVALUE("0.000101")</f>
        <v/>
      </c>
      <c r="S112">
        <f>_xlfn.NUMBERVALUE("0.000491")</f>
        <v/>
      </c>
      <c r="T112">
        <f>_xlfn.NUMBERVALUE("0.002076")</f>
        <v/>
      </c>
      <c r="U112">
        <f>_xlfn.NUMBERVALUE("0.000608")</f>
        <v/>
      </c>
      <c r="V112">
        <f>_xlfn.NUMBERVALUE("-0.000862")</f>
        <v/>
      </c>
      <c r="W112">
        <f>_xlfn.NUMBERVALUE("0.012276")</f>
        <v/>
      </c>
      <c r="X112">
        <f>_xlfn.NUMBERVALUE("-1.250000")</f>
        <v/>
      </c>
      <c r="Y112">
        <f>_xlfn.NUMBERVALUE("13.220000")</f>
        <v/>
      </c>
    </row>
    <row r="113">
      <c r="A113" s="1" t="n">
        <v>42166</v>
      </c>
      <c r="B113">
        <f>_xlfn.NUMBERVALUE("0.000000")</f>
        <v/>
      </c>
      <c r="C113" s="2">
        <f>_xlfn.NUMBERVALUE("0.001251")</f>
        <v/>
      </c>
      <c r="D113">
        <f>_xlfn.NUMBERVALUE("0.001136")</f>
        <v/>
      </c>
      <c r="E113">
        <f>_xlfn.NUMBERVALUE("0.001463")</f>
        <v/>
      </c>
      <c r="F113">
        <f>_xlfn.NUMBERVALUE("0.000813")</f>
        <v/>
      </c>
      <c r="G113">
        <f>_xlfn.NUMBERVALUE("0.000521")</f>
        <v/>
      </c>
      <c r="H113">
        <f>_xlfn.NUMBERVALUE("0.000774")</f>
        <v/>
      </c>
      <c r="I113">
        <f>_xlfn.NUMBERVALUE("0.001543")</f>
        <v/>
      </c>
      <c r="J113">
        <f>_xlfn.NUMBERVALUE("-0.000945")</f>
        <v/>
      </c>
      <c r="K113">
        <f>_xlfn.NUMBERVALUE("0.001561")</f>
        <v/>
      </c>
      <c r="L113">
        <f>_xlfn.NUMBERVALUE("-0.002145")</f>
        <v/>
      </c>
      <c r="M113">
        <f>_xlfn.NUMBERVALUE("0.001385")</f>
        <v/>
      </c>
      <c r="N113">
        <f>_xlfn.NUMBERVALUE("0.000000")</f>
        <v/>
      </c>
      <c r="O113">
        <f>_xlfn.NUMBERVALUE("0.001506")</f>
        <v/>
      </c>
      <c r="P113">
        <f>_xlfn.NUMBERVALUE("0.000637")</f>
        <v/>
      </c>
      <c r="Q113">
        <f>_xlfn.NUMBERVALUE("0.001825")</f>
        <v/>
      </c>
      <c r="R113">
        <f>_xlfn.NUMBERVALUE("0.000281")</f>
        <v/>
      </c>
      <c r="S113">
        <f>_xlfn.NUMBERVALUE("0.000799")</f>
        <v/>
      </c>
      <c r="T113">
        <f>_xlfn.NUMBERVALUE("0.000914")</f>
        <v/>
      </c>
      <c r="U113">
        <f>_xlfn.NUMBERVALUE("0.001549")</f>
        <v/>
      </c>
      <c r="V113">
        <f>_xlfn.NUMBERVALUE("0.001493")</f>
        <v/>
      </c>
      <c r="W113">
        <f>_xlfn.NUMBERVALUE("0.000995")</f>
        <v/>
      </c>
      <c r="X113">
        <f>_xlfn.NUMBERVALUE("-0.370000")</f>
        <v/>
      </c>
      <c r="Y113">
        <f>_xlfn.NUMBERVALUE("12.850000")</f>
        <v/>
      </c>
    </row>
    <row r="114">
      <c r="A114" s="1" t="n">
        <v>42167</v>
      </c>
      <c r="B114">
        <f>_xlfn.NUMBERVALUE("0.000000")</f>
        <v/>
      </c>
      <c r="C114" s="2">
        <f>_xlfn.NUMBERVALUE("-0.000562")</f>
        <v/>
      </c>
      <c r="D114">
        <f>_xlfn.NUMBERVALUE("-0.001312")</f>
        <v/>
      </c>
      <c r="E114">
        <f>_xlfn.NUMBERVALUE("-0.001594")</f>
        <v/>
      </c>
      <c r="F114">
        <f>_xlfn.NUMBERVALUE("0.001169")</f>
        <v/>
      </c>
      <c r="G114">
        <f>_xlfn.NUMBERVALUE("0.000333")</f>
        <v/>
      </c>
      <c r="H114">
        <f>_xlfn.NUMBERVALUE("0.000099")</f>
        <v/>
      </c>
      <c r="I114">
        <f>_xlfn.NUMBERVALUE("-0.000252")</f>
        <v/>
      </c>
      <c r="J114">
        <f>_xlfn.NUMBERVALUE("-0.001299")</f>
        <v/>
      </c>
      <c r="K114">
        <f>_xlfn.NUMBERVALUE("0.001452")</f>
        <v/>
      </c>
      <c r="L114">
        <f>_xlfn.NUMBERVALUE("0.000062")</f>
        <v/>
      </c>
      <c r="M114">
        <f>_xlfn.NUMBERVALUE("-0.000523")</f>
        <v/>
      </c>
      <c r="N114">
        <f>_xlfn.NUMBERVALUE("0.000000")</f>
        <v/>
      </c>
      <c r="O114">
        <f>_xlfn.NUMBERVALUE("-0.000057")</f>
        <v/>
      </c>
      <c r="P114">
        <f>_xlfn.NUMBERVALUE("0.000544")</f>
        <v/>
      </c>
      <c r="Q114">
        <f>_xlfn.NUMBERVALUE("-0.001159")</f>
        <v/>
      </c>
      <c r="R114">
        <f>_xlfn.NUMBERVALUE("0.000238")</f>
        <v/>
      </c>
      <c r="S114">
        <f>_xlfn.NUMBERVALUE("-0.000051")</f>
        <v/>
      </c>
      <c r="T114">
        <f>_xlfn.NUMBERVALUE("-0.000132")</f>
        <v/>
      </c>
      <c r="U114">
        <f>_xlfn.NUMBERVALUE("0.000217")</f>
        <v/>
      </c>
      <c r="V114">
        <f>_xlfn.NUMBERVALUE("-0.001025")</f>
        <v/>
      </c>
      <c r="W114">
        <f>_xlfn.NUMBERVALUE("-0.005679")</f>
        <v/>
      </c>
      <c r="X114">
        <f>_xlfn.NUMBERVALUE("0.930000")</f>
        <v/>
      </c>
      <c r="Y114">
        <f>_xlfn.NUMBERVALUE("13.780000")</f>
        <v/>
      </c>
    </row>
    <row r="115">
      <c r="A115" s="1" t="n">
        <v>42170</v>
      </c>
      <c r="B115">
        <f>_xlfn.NUMBERVALUE("0.000000")</f>
        <v/>
      </c>
      <c r="C115" s="2">
        <f>_xlfn.NUMBERVALUE("-0.000765")</f>
        <v/>
      </c>
      <c r="D115">
        <f>_xlfn.NUMBERVALUE("-0.001273")</f>
        <v/>
      </c>
      <c r="E115">
        <f>_xlfn.NUMBERVALUE("0.000686")</f>
        <v/>
      </c>
      <c r="F115">
        <f>_xlfn.NUMBERVALUE("0.000369")</f>
        <v/>
      </c>
      <c r="G115">
        <f>_xlfn.NUMBERVALUE("-0.000921")</f>
        <v/>
      </c>
      <c r="H115">
        <f>_xlfn.NUMBERVALUE("0.001002")</f>
        <v/>
      </c>
      <c r="I115">
        <f>_xlfn.NUMBERVALUE("-0.000330")</f>
        <v/>
      </c>
      <c r="J115">
        <f>_xlfn.NUMBERVALUE("-0.000173")</f>
        <v/>
      </c>
      <c r="K115">
        <f>_xlfn.NUMBERVALUE("-0.002902")</f>
        <v/>
      </c>
      <c r="L115">
        <f>_xlfn.NUMBERVALUE("0.001144")</f>
        <v/>
      </c>
      <c r="M115">
        <f>_xlfn.NUMBERVALUE("-0.000485")</f>
        <v/>
      </c>
      <c r="N115">
        <f>_xlfn.NUMBERVALUE("0.000000")</f>
        <v/>
      </c>
      <c r="O115">
        <f>_xlfn.NUMBERVALUE("0.000862")</f>
        <v/>
      </c>
      <c r="P115">
        <f>_xlfn.NUMBERVALUE("-0.000586")</f>
        <v/>
      </c>
      <c r="Q115">
        <f>_xlfn.NUMBERVALUE("-0.001415")</f>
        <v/>
      </c>
      <c r="R115">
        <f>_xlfn.NUMBERVALUE("-0.000545")</f>
        <v/>
      </c>
      <c r="S115">
        <f>_xlfn.NUMBERVALUE("-0.000627")</f>
        <v/>
      </c>
      <c r="T115">
        <f>_xlfn.NUMBERVALUE("0.000701")</f>
        <v/>
      </c>
      <c r="U115">
        <f>_xlfn.NUMBERVALUE("-0.000266")</f>
        <v/>
      </c>
      <c r="V115">
        <f>_xlfn.NUMBERVALUE("-0.000190")</f>
        <v/>
      </c>
      <c r="W115">
        <f>_xlfn.NUMBERVALUE("-0.004902")</f>
        <v/>
      </c>
      <c r="X115">
        <f>_xlfn.NUMBERVALUE("1.610000")</f>
        <v/>
      </c>
      <c r="Y115">
        <f>_xlfn.NUMBERVALUE("15.390000")</f>
        <v/>
      </c>
    </row>
    <row r="116">
      <c r="A116" s="1" t="n">
        <v>42171</v>
      </c>
      <c r="B116">
        <f>_xlfn.NUMBERVALUE("0.000000")</f>
        <v/>
      </c>
      <c r="C116" s="2">
        <f>_xlfn.NUMBERVALUE("-0.000452")</f>
        <v/>
      </c>
      <c r="D116">
        <f>_xlfn.NUMBERVALUE("0.000458")</f>
        <v/>
      </c>
      <c r="E116">
        <f>_xlfn.NUMBERVALUE("0.000235")</f>
        <v/>
      </c>
      <c r="F116">
        <f>_xlfn.NUMBERVALUE("0.000314")</f>
        <v/>
      </c>
      <c r="G116">
        <f>_xlfn.NUMBERVALUE("0.002099")</f>
        <v/>
      </c>
      <c r="H116">
        <f>_xlfn.NUMBERVALUE("-0.000462")</f>
        <v/>
      </c>
      <c r="I116">
        <f>_xlfn.NUMBERVALUE("-0.000410")</f>
        <v/>
      </c>
      <c r="J116">
        <f>_xlfn.NUMBERVALUE("0.003400")</f>
        <v/>
      </c>
      <c r="K116">
        <f>_xlfn.NUMBERVALUE("0.003522")</f>
        <v/>
      </c>
      <c r="L116">
        <f>_xlfn.NUMBERVALUE("0.000323")</f>
        <v/>
      </c>
      <c r="M116">
        <f>_xlfn.NUMBERVALUE("0.000894")</f>
        <v/>
      </c>
      <c r="N116">
        <f>_xlfn.NUMBERVALUE("0.000000")</f>
        <v/>
      </c>
      <c r="O116">
        <f>_xlfn.NUMBERVALUE("-0.000013")</f>
        <v/>
      </c>
      <c r="P116">
        <f>_xlfn.NUMBERVALUE("0.000594")</f>
        <v/>
      </c>
      <c r="Q116">
        <f>_xlfn.NUMBERVALUE("0.001131")</f>
        <v/>
      </c>
      <c r="R116">
        <f>_xlfn.NUMBERVALUE("-0.000104")</f>
        <v/>
      </c>
      <c r="S116">
        <f>_xlfn.NUMBERVALUE("-0.000671")</f>
        <v/>
      </c>
      <c r="T116">
        <f>_xlfn.NUMBERVALUE("0.000900")</f>
        <v/>
      </c>
      <c r="U116">
        <f>_xlfn.NUMBERVALUE("0.000284")</f>
        <v/>
      </c>
      <c r="V116">
        <f>_xlfn.NUMBERVALUE("-0.000290")</f>
        <v/>
      </c>
      <c r="W116">
        <f>_xlfn.NUMBERVALUE("0.005118")</f>
        <v/>
      </c>
      <c r="X116">
        <f>_xlfn.NUMBERVALUE("-0.580000")</f>
        <v/>
      </c>
      <c r="Y116">
        <f>_xlfn.NUMBERVALUE("14.810000")</f>
        <v/>
      </c>
    </row>
    <row r="117">
      <c r="A117" s="1" t="n">
        <v>42172</v>
      </c>
      <c r="B117">
        <f>_xlfn.NUMBERVALUE("0.000000")</f>
        <v/>
      </c>
      <c r="C117" s="2">
        <f>_xlfn.NUMBERVALUE("0.001160")</f>
        <v/>
      </c>
      <c r="D117">
        <f>_xlfn.NUMBERVALUE("0.001524")</f>
        <v/>
      </c>
      <c r="E117">
        <f>_xlfn.NUMBERVALUE("0.001964")</f>
        <v/>
      </c>
      <c r="F117">
        <f>_xlfn.NUMBERVALUE("0.001801")</f>
        <v/>
      </c>
      <c r="G117">
        <f>_xlfn.NUMBERVALUE("0.000009")</f>
        <v/>
      </c>
      <c r="H117">
        <f>_xlfn.NUMBERVALUE("0.000568")</f>
        <v/>
      </c>
      <c r="I117">
        <f>_xlfn.NUMBERVALUE("0.001532")</f>
        <v/>
      </c>
      <c r="J117">
        <f>_xlfn.NUMBERVALUE("0.000642")</f>
        <v/>
      </c>
      <c r="K117">
        <f>_xlfn.NUMBERVALUE("-0.005119")</f>
        <v/>
      </c>
      <c r="L117">
        <f>_xlfn.NUMBERVALUE("0.001087")</f>
        <v/>
      </c>
      <c r="M117">
        <f>_xlfn.NUMBERVALUE("0.001638")</f>
        <v/>
      </c>
      <c r="N117">
        <f>_xlfn.NUMBERVALUE("0.000000")</f>
        <v/>
      </c>
      <c r="O117">
        <f>_xlfn.NUMBERVALUE("0.000829")</f>
        <v/>
      </c>
      <c r="P117">
        <f>_xlfn.NUMBERVALUE("-0.000588")</f>
        <v/>
      </c>
      <c r="Q117">
        <f>_xlfn.NUMBERVALUE("0.002146")</f>
        <v/>
      </c>
      <c r="R117">
        <f>_xlfn.NUMBERVALUE("0.001401")</f>
        <v/>
      </c>
      <c r="S117">
        <f>_xlfn.NUMBERVALUE("0.001791")</f>
        <v/>
      </c>
      <c r="T117">
        <f>_xlfn.NUMBERVALUE("0.000331")</f>
        <v/>
      </c>
      <c r="U117">
        <f>_xlfn.NUMBERVALUE("0.000965")</f>
        <v/>
      </c>
      <c r="V117">
        <f>_xlfn.NUMBERVALUE("0.000686")</f>
        <v/>
      </c>
      <c r="W117">
        <f>_xlfn.NUMBERVALUE("0.002570")</f>
        <v/>
      </c>
      <c r="X117">
        <f>_xlfn.NUMBERVALUE("-0.310000")</f>
        <v/>
      </c>
      <c r="Y117">
        <f>_xlfn.NUMBERVALUE("14.500000")</f>
        <v/>
      </c>
    </row>
    <row r="118">
      <c r="A118" s="1" t="n">
        <v>42173</v>
      </c>
      <c r="B118">
        <f>_xlfn.NUMBERVALUE("0.000000")</f>
        <v/>
      </c>
      <c r="C118" s="2">
        <f>_xlfn.NUMBERVALUE("-0.000300")</f>
        <v/>
      </c>
      <c r="D118">
        <f>_xlfn.NUMBERVALUE("0.000682")</f>
        <v/>
      </c>
      <c r="E118">
        <f>_xlfn.NUMBERVALUE("0.000558")</f>
        <v/>
      </c>
      <c r="F118">
        <f>_xlfn.NUMBERVALUE("-0.002118")</f>
        <v/>
      </c>
      <c r="G118">
        <f>_xlfn.NUMBERVALUE("-0.000073")</f>
        <v/>
      </c>
      <c r="H118">
        <f>_xlfn.NUMBERVALUE("0.001065")</f>
        <v/>
      </c>
      <c r="I118">
        <f>_xlfn.NUMBERVALUE("-0.000745")</f>
        <v/>
      </c>
      <c r="J118">
        <f>_xlfn.NUMBERVALUE("0.000146")</f>
        <v/>
      </c>
      <c r="K118">
        <f>_xlfn.NUMBERVALUE("0.003268")</f>
        <v/>
      </c>
      <c r="L118">
        <f>_xlfn.NUMBERVALUE("0.000828")</f>
        <v/>
      </c>
      <c r="M118">
        <f>_xlfn.NUMBERVALUE("0.001463")</f>
        <v/>
      </c>
      <c r="N118">
        <f>_xlfn.NUMBERVALUE("0.000000")</f>
        <v/>
      </c>
      <c r="O118">
        <f>_xlfn.NUMBERVALUE("0.002199")</f>
        <v/>
      </c>
      <c r="P118">
        <f>_xlfn.NUMBERVALUE("0.002667")</f>
        <v/>
      </c>
      <c r="Q118">
        <f>_xlfn.NUMBERVALUE("0.000648")</f>
        <v/>
      </c>
      <c r="R118">
        <f>_xlfn.NUMBERVALUE("0.001351")</f>
        <v/>
      </c>
      <c r="S118">
        <f>_xlfn.NUMBERVALUE("-0.001807")</f>
        <v/>
      </c>
      <c r="T118">
        <f>_xlfn.NUMBERVALUE("0.001128")</f>
        <v/>
      </c>
      <c r="U118">
        <f>_xlfn.NUMBERVALUE("-0.001242")</f>
        <v/>
      </c>
      <c r="V118">
        <f>_xlfn.NUMBERVALUE("0.000094")</f>
        <v/>
      </c>
      <c r="W118">
        <f>_xlfn.NUMBERVALUE("0.009350")</f>
        <v/>
      </c>
      <c r="X118">
        <f>_xlfn.NUMBERVALUE("-1.310000")</f>
        <v/>
      </c>
      <c r="Y118">
        <f>_xlfn.NUMBERVALUE("13.190000")</f>
        <v/>
      </c>
    </row>
    <row r="119">
      <c r="A119" s="1" t="n">
        <v>42174</v>
      </c>
      <c r="B119">
        <f>_xlfn.NUMBERVALUE("0.000000")</f>
        <v/>
      </c>
      <c r="C119" s="2">
        <f>_xlfn.NUMBERVALUE("0.000038")</f>
        <v/>
      </c>
      <c r="D119">
        <f>_xlfn.NUMBERVALUE("0.001088")</f>
        <v/>
      </c>
      <c r="E119">
        <f>_xlfn.NUMBERVALUE("0.000593")</f>
        <v/>
      </c>
      <c r="F119">
        <f>_xlfn.NUMBERVALUE("0.001908")</f>
        <v/>
      </c>
      <c r="G119">
        <f>_xlfn.NUMBERVALUE("0.000610")</f>
        <v/>
      </c>
      <c r="H119">
        <f>_xlfn.NUMBERVALUE("-0.002472")</f>
        <v/>
      </c>
      <c r="I119">
        <f>_xlfn.NUMBERVALUE("0.000098")</f>
        <v/>
      </c>
      <c r="J119">
        <f>_xlfn.NUMBERVALUE("-0.002125")</f>
        <v/>
      </c>
      <c r="K119">
        <f>_xlfn.NUMBERVALUE("0.005417")</f>
        <v/>
      </c>
      <c r="L119">
        <f>_xlfn.NUMBERVALUE("-0.002209")</f>
        <v/>
      </c>
      <c r="M119">
        <f>_xlfn.NUMBERVALUE("-0.002305")</f>
        <v/>
      </c>
      <c r="N119">
        <f>_xlfn.NUMBERVALUE("0.000000")</f>
        <v/>
      </c>
      <c r="O119">
        <f>_xlfn.NUMBERVALUE("0.000933")</f>
        <v/>
      </c>
      <c r="P119">
        <f>_xlfn.NUMBERVALUE("0.002019")</f>
        <v/>
      </c>
      <c r="Q119">
        <f>_xlfn.NUMBERVALUE("-0.002281")</f>
        <v/>
      </c>
      <c r="R119">
        <f>_xlfn.NUMBERVALUE("-0.000072")</f>
        <v/>
      </c>
      <c r="S119">
        <f>_xlfn.NUMBERVALUE("-0.002912")</f>
        <v/>
      </c>
      <c r="T119">
        <f>_xlfn.NUMBERVALUE("-0.004167")</f>
        <v/>
      </c>
      <c r="U119">
        <f>_xlfn.NUMBERVALUE("0.000011")</f>
        <v/>
      </c>
      <c r="V119">
        <f>_xlfn.NUMBERVALUE("-0.001285")</f>
        <v/>
      </c>
      <c r="W119">
        <f>_xlfn.NUMBERVALUE("-0.008417")</f>
        <v/>
      </c>
      <c r="X119">
        <f>_xlfn.NUMBERVALUE("0.770000")</f>
        <v/>
      </c>
      <c r="Y119">
        <f>_xlfn.NUMBERVALUE("13.960000")</f>
        <v/>
      </c>
    </row>
    <row r="120">
      <c r="A120" s="1" t="n">
        <v>42177</v>
      </c>
      <c r="B120">
        <f>_xlfn.NUMBERVALUE("0.000000")</f>
        <v/>
      </c>
      <c r="C120" s="2">
        <f>_xlfn.NUMBERVALUE("0.002420")</f>
        <v/>
      </c>
      <c r="D120">
        <f>_xlfn.NUMBERVALUE("0.000314")</f>
        <v/>
      </c>
      <c r="E120">
        <f>_xlfn.NUMBERVALUE("-0.002205")</f>
        <v/>
      </c>
      <c r="F120">
        <f>_xlfn.NUMBERVALUE("-0.001646")</f>
        <v/>
      </c>
      <c r="G120">
        <f>_xlfn.NUMBERVALUE("0.000981")</f>
        <v/>
      </c>
      <c r="H120">
        <f>_xlfn.NUMBERVALUE("-0.000606")</f>
        <v/>
      </c>
      <c r="I120">
        <f>_xlfn.NUMBERVALUE("0.002206")</f>
        <v/>
      </c>
      <c r="J120">
        <f>_xlfn.NUMBERVALUE("0.001025")</f>
        <v/>
      </c>
      <c r="K120">
        <f>_xlfn.NUMBERVALUE("0.001367")</f>
        <v/>
      </c>
      <c r="L120">
        <f>_xlfn.NUMBERVALUE("-0.002028")</f>
        <v/>
      </c>
      <c r="M120">
        <f>_xlfn.NUMBERVALUE("0.004466")</f>
        <v/>
      </c>
      <c r="N120">
        <f>_xlfn.NUMBERVALUE("0.000000")</f>
        <v/>
      </c>
      <c r="O120">
        <f>_xlfn.NUMBERVALUE("0.002469")</f>
        <v/>
      </c>
      <c r="P120">
        <f>_xlfn.NUMBERVALUE("-0.000628")</f>
        <v/>
      </c>
      <c r="Q120">
        <f>_xlfn.NUMBERVALUE("0.001993")</f>
        <v/>
      </c>
      <c r="R120">
        <f>_xlfn.NUMBERVALUE("0.002331")</f>
        <v/>
      </c>
      <c r="S120">
        <f>_xlfn.NUMBERVALUE("0.002562")</f>
        <v/>
      </c>
      <c r="T120">
        <f>_xlfn.NUMBERVALUE("0.003023")</f>
        <v/>
      </c>
      <c r="U120">
        <f>_xlfn.NUMBERVALUE("0.000914")</f>
        <v/>
      </c>
      <c r="V120">
        <f>_xlfn.NUMBERVALUE("0.002435")</f>
        <v/>
      </c>
      <c r="W120">
        <f>_xlfn.NUMBERVALUE("0.005548")</f>
        <v/>
      </c>
      <c r="X120">
        <f>_xlfn.NUMBERVALUE("-1.220000")</f>
        <v/>
      </c>
      <c r="Y120">
        <f>_xlfn.NUMBERVALUE("12.740000")</f>
        <v/>
      </c>
    </row>
    <row r="121">
      <c r="A121" s="1" t="n">
        <v>42178</v>
      </c>
      <c r="B121">
        <f>_xlfn.NUMBERVALUE("0.000000")</f>
        <v/>
      </c>
      <c r="C121" s="2">
        <f>_xlfn.NUMBERVALUE("0.001164")</f>
        <v/>
      </c>
      <c r="D121">
        <f>_xlfn.NUMBERVALUE("0.000170")</f>
        <v/>
      </c>
      <c r="E121">
        <f>_xlfn.NUMBERVALUE("0.002000")</f>
        <v/>
      </c>
      <c r="F121">
        <f>_xlfn.NUMBERVALUE("0.000442")</f>
        <v/>
      </c>
      <c r="G121">
        <f>_xlfn.NUMBERVALUE("0.001456")</f>
        <v/>
      </c>
      <c r="H121">
        <f>_xlfn.NUMBERVALUE("-0.000037")</f>
        <v/>
      </c>
      <c r="I121">
        <f>_xlfn.NUMBERVALUE("0.000482")</f>
        <v/>
      </c>
      <c r="J121">
        <f>_xlfn.NUMBERVALUE("-0.000089")</f>
        <v/>
      </c>
      <c r="K121">
        <f>_xlfn.NUMBERVALUE("0.001909")</f>
        <v/>
      </c>
      <c r="L121">
        <f>_xlfn.NUMBERVALUE("0.000437")</f>
        <v/>
      </c>
      <c r="M121">
        <f>_xlfn.NUMBERVALUE("0.000419")</f>
        <v/>
      </c>
      <c r="N121">
        <f>_xlfn.NUMBERVALUE("0.000000")</f>
        <v/>
      </c>
      <c r="O121">
        <f>_xlfn.NUMBERVALUE("0.000319")</f>
        <v/>
      </c>
      <c r="P121">
        <f>_xlfn.NUMBERVALUE("-0.004093")</f>
        <v/>
      </c>
      <c r="Q121">
        <f>_xlfn.NUMBERVALUE("0.000975")</f>
        <v/>
      </c>
      <c r="R121">
        <f>_xlfn.NUMBERVALUE("0.001423")</f>
        <v/>
      </c>
      <c r="S121">
        <f>_xlfn.NUMBERVALUE("-0.000546")</f>
        <v/>
      </c>
      <c r="T121">
        <f>_xlfn.NUMBERVALUE("-0.001898")</f>
        <v/>
      </c>
      <c r="U121">
        <f>_xlfn.NUMBERVALUE("0.003959")</f>
        <v/>
      </c>
      <c r="V121">
        <f>_xlfn.NUMBERVALUE("0.001171")</f>
        <v/>
      </c>
      <c r="W121">
        <f>_xlfn.NUMBERVALUE("0.000118")</f>
        <v/>
      </c>
      <c r="X121">
        <f>_xlfn.NUMBERVALUE("-0.630000")</f>
        <v/>
      </c>
      <c r="Y121">
        <f>_xlfn.NUMBERVALUE("12.110000")</f>
        <v/>
      </c>
    </row>
    <row r="122">
      <c r="A122" s="1" t="n">
        <v>42179</v>
      </c>
      <c r="B122">
        <f>_xlfn.NUMBERVALUE("0.000000")</f>
        <v/>
      </c>
      <c r="C122" s="2">
        <f>_xlfn.NUMBERVALUE("-0.001543")</f>
        <v/>
      </c>
      <c r="D122">
        <f>_xlfn.NUMBERVALUE("-0.003301")</f>
        <v/>
      </c>
      <c r="E122">
        <f>_xlfn.NUMBERVALUE("0.000777")</f>
        <v/>
      </c>
      <c r="F122">
        <f>_xlfn.NUMBERVALUE("0.000844")</f>
        <v/>
      </c>
      <c r="G122">
        <f>_xlfn.NUMBERVALUE("0.000008")</f>
        <v/>
      </c>
      <c r="H122">
        <f>_xlfn.NUMBERVALUE("0.000050")</f>
        <v/>
      </c>
      <c r="I122">
        <f>_xlfn.NUMBERVALUE("-0.000037")</f>
        <v/>
      </c>
      <c r="J122">
        <f>_xlfn.NUMBERVALUE("0.000184")</f>
        <v/>
      </c>
      <c r="K122">
        <f>_xlfn.NUMBERVALUE("-0.005794")</f>
        <v/>
      </c>
      <c r="L122">
        <f>_xlfn.NUMBERVALUE("-0.000225")</f>
        <v/>
      </c>
      <c r="M122">
        <f>_xlfn.NUMBERVALUE("-0.002328")</f>
        <v/>
      </c>
      <c r="N122">
        <f>_xlfn.NUMBERVALUE("0.000000")</f>
        <v/>
      </c>
      <c r="O122">
        <f>_xlfn.NUMBERVALUE("0.001532")</f>
        <v/>
      </c>
      <c r="P122">
        <f>_xlfn.NUMBERVALUE("0.000393")</f>
        <v/>
      </c>
      <c r="Q122">
        <f>_xlfn.NUMBERVALUE("0.000259")</f>
        <v/>
      </c>
      <c r="R122">
        <f>_xlfn.NUMBERVALUE("-0.000275")</f>
        <v/>
      </c>
      <c r="S122">
        <f>_xlfn.NUMBERVALUE("0.000264")</f>
        <v/>
      </c>
      <c r="T122">
        <f>_xlfn.NUMBERVALUE("-0.000960")</f>
        <v/>
      </c>
      <c r="U122">
        <f>_xlfn.NUMBERVALUE("-0.001513")</f>
        <v/>
      </c>
      <c r="V122">
        <f>_xlfn.NUMBERVALUE("-0.001464")</f>
        <v/>
      </c>
      <c r="W122">
        <f>_xlfn.NUMBERVALUE("-0.006578")</f>
        <v/>
      </c>
      <c r="X122">
        <f>_xlfn.NUMBERVALUE("1.150000")</f>
        <v/>
      </c>
      <c r="Y122">
        <f>_xlfn.NUMBERVALUE("13.260000")</f>
        <v/>
      </c>
    </row>
    <row r="123">
      <c r="A123" s="1" t="n">
        <v>42180</v>
      </c>
      <c r="B123">
        <f>_xlfn.NUMBERVALUE("0.000000")</f>
        <v/>
      </c>
      <c r="C123" s="2">
        <f>_xlfn.NUMBERVALUE("-0.000733")</f>
        <v/>
      </c>
      <c r="D123">
        <f>_xlfn.NUMBERVALUE("0.000906")</f>
        <v/>
      </c>
      <c r="E123">
        <f>_xlfn.NUMBERVALUE("-0.005513")</f>
        <v/>
      </c>
      <c r="F123">
        <f>_xlfn.NUMBERVALUE("0.001440")</f>
        <v/>
      </c>
      <c r="G123">
        <f>_xlfn.NUMBERVALUE("-0.000303")</f>
        <v/>
      </c>
      <c r="H123">
        <f>_xlfn.NUMBERVALUE("0.000211")</f>
        <v/>
      </c>
      <c r="I123">
        <f>_xlfn.NUMBERVALUE("0.000176")</f>
        <v/>
      </c>
      <c r="J123">
        <f>_xlfn.NUMBERVALUE("0.000442")</f>
        <v/>
      </c>
      <c r="K123">
        <f>_xlfn.NUMBERVALUE("0.007035")</f>
        <v/>
      </c>
      <c r="L123">
        <f>_xlfn.NUMBERVALUE("-0.000601")</f>
        <v/>
      </c>
      <c r="M123">
        <f>_xlfn.NUMBERVALUE("0.000512")</f>
        <v/>
      </c>
      <c r="N123">
        <f>_xlfn.NUMBERVALUE("0.000000")</f>
        <v/>
      </c>
      <c r="O123">
        <f>_xlfn.NUMBERVALUE("-0.002056")</f>
        <v/>
      </c>
      <c r="P123">
        <f>_xlfn.NUMBERVALUE("0.002026")</f>
        <v/>
      </c>
      <c r="Q123">
        <f>_xlfn.NUMBERVALUE("-0.003092")</f>
        <v/>
      </c>
      <c r="R123">
        <f>_xlfn.NUMBERVALUE("-0.004680")</f>
        <v/>
      </c>
      <c r="S123">
        <f>_xlfn.NUMBERVALUE("-0.000413")</f>
        <v/>
      </c>
      <c r="T123">
        <f>_xlfn.NUMBERVALUE("0.001201")</f>
        <v/>
      </c>
      <c r="U123">
        <f>_xlfn.NUMBERVALUE("-0.000977")</f>
        <v/>
      </c>
      <c r="V123">
        <f>_xlfn.NUMBERVALUE("-0.000384")</f>
        <v/>
      </c>
      <c r="W123">
        <f>_xlfn.NUMBERVALUE("-0.003180")</f>
        <v/>
      </c>
      <c r="X123">
        <f>_xlfn.NUMBERVALUE("0.750000")</f>
        <v/>
      </c>
      <c r="Y123">
        <f>_xlfn.NUMBERVALUE("14.010000")</f>
        <v/>
      </c>
    </row>
    <row r="124">
      <c r="A124" s="1" t="n">
        <v>42181</v>
      </c>
      <c r="B124">
        <f>_xlfn.NUMBERVALUE("0.000000")</f>
        <v/>
      </c>
      <c r="C124" s="2">
        <f>_xlfn.NUMBERVALUE("0.000696")</f>
        <v/>
      </c>
      <c r="D124">
        <f>_xlfn.NUMBERVALUE("-0.001647")</f>
        <v/>
      </c>
      <c r="E124">
        <f>_xlfn.NUMBERVALUE("-0.000181")</f>
        <v/>
      </c>
      <c r="F124">
        <f>_xlfn.NUMBERVALUE("0.000002")</f>
        <v/>
      </c>
      <c r="G124">
        <f>_xlfn.NUMBERVALUE("0.000158")</f>
        <v/>
      </c>
      <c r="H124">
        <f>_xlfn.NUMBERVALUE("-0.000434")</f>
        <v/>
      </c>
      <c r="I124">
        <f>_xlfn.NUMBERVALUE("0.000165")</f>
        <v/>
      </c>
      <c r="J124">
        <f>_xlfn.NUMBERVALUE("-0.000634")</f>
        <v/>
      </c>
      <c r="K124">
        <f>_xlfn.NUMBERVALUE("0.000103")</f>
        <v/>
      </c>
      <c r="L124">
        <f>_xlfn.NUMBERVALUE("-0.001748")</f>
        <v/>
      </c>
      <c r="M124">
        <f>_xlfn.NUMBERVALUE("0.000216")</f>
        <v/>
      </c>
      <c r="N124">
        <f>_xlfn.NUMBERVALUE("0.000000")</f>
        <v/>
      </c>
      <c r="O124">
        <f>_xlfn.NUMBERVALUE("0.000044")</f>
        <v/>
      </c>
      <c r="P124">
        <f>_xlfn.NUMBERVALUE("-0.004058")</f>
        <v/>
      </c>
      <c r="Q124">
        <f>_xlfn.NUMBERVALUE("0.001210")</f>
        <v/>
      </c>
      <c r="R124">
        <f>_xlfn.NUMBERVALUE("0.004003")</f>
        <v/>
      </c>
      <c r="S124">
        <f>_xlfn.NUMBERVALUE("0.000790")</f>
        <v/>
      </c>
      <c r="T124">
        <f>_xlfn.NUMBERVALUE("-0.001769")</f>
        <v/>
      </c>
      <c r="U124">
        <f>_xlfn.NUMBERVALUE("-0.002049")</f>
        <v/>
      </c>
      <c r="V124">
        <f>_xlfn.NUMBERVALUE("0.000413")</f>
        <v/>
      </c>
      <c r="W124">
        <f>_xlfn.NUMBERVALUE("-0.000810")</f>
        <v/>
      </c>
      <c r="X124">
        <f>_xlfn.NUMBERVALUE("0.010000")</f>
        <v/>
      </c>
      <c r="Y124">
        <f>_xlfn.NUMBERVALUE("14.020000")</f>
        <v/>
      </c>
    </row>
    <row r="125">
      <c r="A125" s="1" t="n">
        <v>42184</v>
      </c>
      <c r="B125">
        <f>_xlfn.NUMBERVALUE("0.000000")</f>
        <v/>
      </c>
      <c r="C125" s="2">
        <f>_xlfn.NUMBERVALUE("-0.005366")</f>
        <v/>
      </c>
      <c r="D125">
        <f>_xlfn.NUMBERVALUE("-0.001658")</f>
        <v/>
      </c>
      <c r="E125">
        <f>_xlfn.NUMBERVALUE("-0.009946")</f>
        <v/>
      </c>
      <c r="F125">
        <f>_xlfn.NUMBERVALUE("0.001363")</f>
        <v/>
      </c>
      <c r="G125">
        <f>_xlfn.NUMBERVALUE("-0.000641")</f>
        <v/>
      </c>
      <c r="H125">
        <f>_xlfn.NUMBERVALUE("-0.005170")</f>
        <v/>
      </c>
      <c r="I125">
        <f>_xlfn.NUMBERVALUE("-0.007571")</f>
        <v/>
      </c>
      <c r="J125">
        <f>_xlfn.NUMBERVALUE("-0.000553")</f>
        <v/>
      </c>
      <c r="K125">
        <f>_xlfn.NUMBERVALUE("-0.001421")</f>
        <v/>
      </c>
      <c r="L125">
        <f>_xlfn.NUMBERVALUE("-0.007927")</f>
        <v/>
      </c>
      <c r="M125">
        <f>_xlfn.NUMBERVALUE("-0.010765")</f>
        <v/>
      </c>
      <c r="N125">
        <f>_xlfn.NUMBERVALUE("0.000000")</f>
        <v/>
      </c>
      <c r="O125">
        <f>_xlfn.NUMBERVALUE("-0.003966")</f>
        <v/>
      </c>
      <c r="P125">
        <f>_xlfn.NUMBERVALUE("-0.007189")</f>
        <v/>
      </c>
      <c r="Q125">
        <f>_xlfn.NUMBERVALUE("-0.008125")</f>
        <v/>
      </c>
      <c r="R125">
        <f>_xlfn.NUMBERVALUE("-0.002211")</f>
        <v/>
      </c>
      <c r="S125">
        <f>_xlfn.NUMBERVALUE("-0.004724")</f>
        <v/>
      </c>
      <c r="T125">
        <f>_xlfn.NUMBERVALUE("0.000093")</f>
        <v/>
      </c>
      <c r="U125">
        <f>_xlfn.NUMBERVALUE("-0.008321")</f>
        <v/>
      </c>
      <c r="V125">
        <f>_xlfn.NUMBERVALUE("-0.008340")</f>
        <v/>
      </c>
      <c r="W125">
        <f>_xlfn.NUMBERVALUE("-0.019892")</f>
        <v/>
      </c>
      <c r="X125">
        <f>_xlfn.NUMBERVALUE("4.830000")</f>
        <v/>
      </c>
      <c r="Y125">
        <f>_xlfn.NUMBERVALUE("18.850000")</f>
        <v/>
      </c>
    </row>
    <row r="126">
      <c r="A126" s="1" t="n">
        <v>42185</v>
      </c>
      <c r="B126">
        <f>_xlfn.NUMBERVALUE("0.000000")</f>
        <v/>
      </c>
      <c r="C126" s="2">
        <f>_xlfn.NUMBERVALUE("0.000801")</f>
        <v/>
      </c>
      <c r="D126">
        <f>_xlfn.NUMBERVALUE("0.000634")</f>
        <v/>
      </c>
      <c r="E126">
        <f>_xlfn.NUMBERVALUE("0.001207")</f>
        <v/>
      </c>
      <c r="F126">
        <f>_xlfn.NUMBERVALUE("0.000494")</f>
        <v/>
      </c>
      <c r="G126">
        <f>_xlfn.NUMBERVALUE("0.002759")</f>
        <v/>
      </c>
      <c r="H126">
        <f>_xlfn.NUMBERVALUE("0.001270")</f>
        <v/>
      </c>
      <c r="I126">
        <f>_xlfn.NUMBERVALUE("0.003671")</f>
        <v/>
      </c>
      <c r="J126">
        <f>_xlfn.NUMBERVALUE("0.000913")</f>
        <v/>
      </c>
      <c r="K126">
        <f>_xlfn.NUMBERVALUE("0.002840")</f>
        <v/>
      </c>
      <c r="L126">
        <f>_xlfn.NUMBERVALUE("0.003962")</f>
        <v/>
      </c>
      <c r="M126">
        <f>_xlfn.NUMBERVALUE("0.002567")</f>
        <v/>
      </c>
      <c r="N126">
        <f>_xlfn.NUMBERVALUE("0.000000")</f>
        <v/>
      </c>
      <c r="O126">
        <f>_xlfn.NUMBERVALUE("0.001412")</f>
        <v/>
      </c>
      <c r="P126">
        <f>_xlfn.NUMBERVALUE("0.002622")</f>
        <v/>
      </c>
      <c r="Q126">
        <f>_xlfn.NUMBERVALUE("0.004320")</f>
        <v/>
      </c>
      <c r="R126">
        <f>_xlfn.NUMBERVALUE("0.001363")</f>
        <v/>
      </c>
      <c r="S126">
        <f>_xlfn.NUMBERVALUE("0.003478")</f>
        <v/>
      </c>
      <c r="T126">
        <f>_xlfn.NUMBERVALUE("0.002752")</f>
        <v/>
      </c>
      <c r="U126">
        <f>_xlfn.NUMBERVALUE("0.002247")</f>
        <v/>
      </c>
      <c r="V126">
        <f>_xlfn.NUMBERVALUE("0.003427")</f>
        <v/>
      </c>
      <c r="W126">
        <f>_xlfn.NUMBERVALUE("0.003812")</f>
        <v/>
      </c>
      <c r="X126">
        <f>_xlfn.NUMBERVALUE("-0.620000")</f>
        <v/>
      </c>
      <c r="Y126">
        <f>_xlfn.NUMBERVALUE("18.230000")</f>
        <v/>
      </c>
    </row>
    <row r="127">
      <c r="A127" s="1" t="n">
        <v>42186</v>
      </c>
      <c r="B127">
        <f>_xlfn.NUMBERVALUE("0.000000")</f>
        <v/>
      </c>
      <c r="C127" s="2">
        <f>_xlfn.NUMBERVALUE("0.000408")</f>
        <v/>
      </c>
      <c r="D127">
        <f>_xlfn.NUMBERVALUE("0.000098")</f>
        <v/>
      </c>
      <c r="E127">
        <f>_xlfn.NUMBERVALUE("-0.000215")</f>
        <v/>
      </c>
      <c r="F127">
        <f>_xlfn.NUMBERVALUE("0.000135")</f>
        <v/>
      </c>
      <c r="G127">
        <f>_xlfn.NUMBERVALUE("-0.000459")</f>
        <v/>
      </c>
      <c r="H127">
        <f>_xlfn.NUMBERVALUE("-0.001077")</f>
        <v/>
      </c>
      <c r="I127">
        <f>_xlfn.NUMBERVALUE("0.004941")</f>
        <v/>
      </c>
      <c r="J127">
        <f>_xlfn.NUMBERVALUE("-0.000884")</f>
        <v/>
      </c>
      <c r="K127">
        <f>_xlfn.NUMBERVALUE("-0.000319")</f>
        <v/>
      </c>
      <c r="L127">
        <f>_xlfn.NUMBERVALUE("-0.001323")</f>
        <v/>
      </c>
      <c r="M127">
        <f>_xlfn.NUMBERVALUE("0.002557")</f>
        <v/>
      </c>
      <c r="N127">
        <f>_xlfn.NUMBERVALUE("0.000000")</f>
        <v/>
      </c>
      <c r="O127">
        <f>_xlfn.NUMBERVALUE("-0.001896")</f>
        <v/>
      </c>
      <c r="P127">
        <f>_xlfn.NUMBERVALUE("-0.001055")</f>
        <v/>
      </c>
      <c r="Q127">
        <f>_xlfn.NUMBERVALUE("0.001768")</f>
        <v/>
      </c>
      <c r="R127">
        <f>_xlfn.NUMBERVALUE("0.000020")</f>
        <v/>
      </c>
      <c r="S127">
        <f>_xlfn.NUMBERVALUE("-0.000238")</f>
        <v/>
      </c>
      <c r="T127">
        <f>_xlfn.NUMBERVALUE("-0.000087")</f>
        <v/>
      </c>
      <c r="U127">
        <f>_xlfn.NUMBERVALUE("0.000785")</f>
        <v/>
      </c>
      <c r="V127">
        <f>_xlfn.NUMBERVALUE("0.000405")</f>
        <v/>
      </c>
      <c r="W127">
        <f>_xlfn.NUMBERVALUE("0.004989")</f>
        <v/>
      </c>
      <c r="X127">
        <f>_xlfn.NUMBERVALUE("-2.140000")</f>
        <v/>
      </c>
      <c r="Y127">
        <f>_xlfn.NUMBERVALUE("16.090000")</f>
        <v/>
      </c>
    </row>
    <row r="128">
      <c r="A128" s="1" t="n">
        <v>42187</v>
      </c>
      <c r="B128">
        <f>_xlfn.NUMBERVALUE("0.000000")</f>
        <v/>
      </c>
      <c r="C128" s="2">
        <f>_xlfn.NUMBERVALUE("0.000214")</f>
        <v/>
      </c>
      <c r="D128">
        <f>_xlfn.NUMBERVALUE("0.000192")</f>
        <v/>
      </c>
      <c r="E128">
        <f>_xlfn.NUMBERVALUE("0.000443")</f>
        <v/>
      </c>
      <c r="F128">
        <f>_xlfn.NUMBERVALUE("0.000831")</f>
        <v/>
      </c>
      <c r="G128">
        <f>_xlfn.NUMBERVALUE("0.000376")</f>
        <v/>
      </c>
      <c r="H128">
        <f>_xlfn.NUMBERVALUE("0.000899")</f>
        <v/>
      </c>
      <c r="I128">
        <f>_xlfn.NUMBERVALUE("-0.001588")</f>
        <v/>
      </c>
      <c r="J128">
        <f>_xlfn.NUMBERVALUE("0.000202")</f>
        <v/>
      </c>
      <c r="K128">
        <f>_xlfn.NUMBERVALUE("0.000317")</f>
        <v/>
      </c>
      <c r="L128">
        <f>_xlfn.NUMBERVALUE("0.003740")</f>
        <v/>
      </c>
      <c r="M128">
        <f>_xlfn.NUMBERVALUE("0.001282")</f>
        <v/>
      </c>
      <c r="N128">
        <f>_xlfn.NUMBERVALUE("0.000000")</f>
        <v/>
      </c>
      <c r="O128">
        <f>_xlfn.NUMBERVALUE("0.001268")</f>
        <v/>
      </c>
      <c r="P128">
        <f>_xlfn.NUMBERVALUE("0.001272")</f>
        <v/>
      </c>
      <c r="Q128">
        <f>_xlfn.NUMBERVALUE("0.000541")</f>
        <v/>
      </c>
      <c r="R128">
        <f>_xlfn.NUMBERVALUE("0.001110")</f>
        <v/>
      </c>
      <c r="S128">
        <f>_xlfn.NUMBERVALUE("0.001349")</f>
        <v/>
      </c>
      <c r="T128">
        <f>_xlfn.NUMBERVALUE("0.000349")</f>
        <v/>
      </c>
      <c r="U128">
        <f>_xlfn.NUMBERVALUE("0.001320")</f>
        <v/>
      </c>
      <c r="V128">
        <f>_xlfn.NUMBERVALUE("0.000087")</f>
        <v/>
      </c>
      <c r="W128">
        <f>_xlfn.NUMBERVALUE("0.000217")</f>
        <v/>
      </c>
      <c r="X128">
        <f>_xlfn.NUMBERVALUE("0.700000")</f>
        <v/>
      </c>
      <c r="Y128">
        <f>_xlfn.NUMBERVALUE("16.790000")</f>
        <v/>
      </c>
    </row>
    <row r="129">
      <c r="A129" s="1" t="n">
        <v>42191</v>
      </c>
      <c r="B129">
        <f>_xlfn.NUMBERVALUE("0.000000")</f>
        <v/>
      </c>
      <c r="C129" s="2">
        <f>_xlfn.NUMBERVALUE("0.001722")</f>
        <v/>
      </c>
      <c r="D129">
        <f>_xlfn.NUMBERVALUE("-0.005356")</f>
        <v/>
      </c>
      <c r="E129">
        <f>_xlfn.NUMBERVALUE("-0.000647")</f>
        <v/>
      </c>
      <c r="F129">
        <f>_xlfn.NUMBERVALUE("0.001768")</f>
        <v/>
      </c>
      <c r="G129">
        <f>_xlfn.NUMBERVALUE("-0.000038")</f>
        <v/>
      </c>
      <c r="H129">
        <f>_xlfn.NUMBERVALUE("-0.000388")</f>
        <v/>
      </c>
      <c r="I129">
        <f>_xlfn.NUMBERVALUE("0.002686")</f>
        <v/>
      </c>
      <c r="J129">
        <f>_xlfn.NUMBERVALUE("-0.000470")</f>
        <v/>
      </c>
      <c r="K129">
        <f>_xlfn.NUMBERVALUE("0.002935")</f>
        <v/>
      </c>
      <c r="L129">
        <f>_xlfn.NUMBERVALUE("0.000035")</f>
        <v/>
      </c>
      <c r="M129">
        <f>_xlfn.NUMBERVALUE("0.000025")</f>
        <v/>
      </c>
      <c r="N129">
        <f>_xlfn.NUMBERVALUE("0.000000")</f>
        <v/>
      </c>
      <c r="O129">
        <f>_xlfn.NUMBERVALUE("-0.000347")</f>
        <v/>
      </c>
      <c r="P129">
        <f>_xlfn.NUMBERVALUE("0.012973")</f>
        <v/>
      </c>
      <c r="Q129">
        <f>_xlfn.NUMBERVALUE("0.000814")</f>
        <v/>
      </c>
      <c r="R129">
        <f>_xlfn.NUMBERVALUE("0.000581")</f>
        <v/>
      </c>
      <c r="S129">
        <f>_xlfn.NUMBERVALUE("0.007887")</f>
        <v/>
      </c>
      <c r="T129">
        <f>_xlfn.NUMBERVALUE("0.002880")</f>
        <v/>
      </c>
      <c r="U129">
        <f>_xlfn.NUMBERVALUE("0.008302")</f>
        <v/>
      </c>
      <c r="V129">
        <f>_xlfn.NUMBERVALUE("0.001910")</f>
        <v/>
      </c>
      <c r="W129">
        <f>_xlfn.NUMBERVALUE("-0.004818")</f>
        <v/>
      </c>
      <c r="X129">
        <f>_xlfn.NUMBERVALUE("0.220000")</f>
        <v/>
      </c>
      <c r="Y129">
        <f>_xlfn.NUMBERVALUE("17.010000")</f>
        <v/>
      </c>
    </row>
    <row r="130">
      <c r="A130" s="1" t="n">
        <v>42192</v>
      </c>
      <c r="B130">
        <f>_xlfn.NUMBERVALUE("0.000000")</f>
        <v/>
      </c>
      <c r="C130" s="2">
        <f>_xlfn.NUMBERVALUE("0.001179")</f>
        <v/>
      </c>
      <c r="D130">
        <f>_xlfn.NUMBERVALUE("-0.000534")</f>
        <v/>
      </c>
      <c r="E130">
        <f>_xlfn.NUMBERVALUE("0.003297")</f>
        <v/>
      </c>
      <c r="F130">
        <f>_xlfn.NUMBERVALUE("-0.002330")</f>
        <v/>
      </c>
      <c r="G130">
        <f>_xlfn.NUMBERVALUE("0.001704")</f>
        <v/>
      </c>
      <c r="H130">
        <f>_xlfn.NUMBERVALUE("0.000396")</f>
        <v/>
      </c>
      <c r="I130">
        <f>_xlfn.NUMBERVALUE("0.001080")</f>
        <v/>
      </c>
      <c r="J130">
        <f>_xlfn.NUMBERVALUE("-0.000275")</f>
        <v/>
      </c>
      <c r="K130">
        <f>_xlfn.NUMBERVALUE("-0.015191")</f>
        <v/>
      </c>
      <c r="L130">
        <f>_xlfn.NUMBERVALUE("0.000013")</f>
        <v/>
      </c>
      <c r="M130">
        <f>_xlfn.NUMBERVALUE("0.000617")</f>
        <v/>
      </c>
      <c r="N130">
        <f>_xlfn.NUMBERVALUE("0.000000")</f>
        <v/>
      </c>
      <c r="O130">
        <f>_xlfn.NUMBERVALUE("0.000205")</f>
        <v/>
      </c>
      <c r="P130">
        <f>_xlfn.NUMBERVALUE("0.001174")</f>
        <v/>
      </c>
      <c r="Q130">
        <f>_xlfn.NUMBERVALUE("0.001089")</f>
        <v/>
      </c>
      <c r="R130">
        <f>_xlfn.NUMBERVALUE("0.000929")</f>
        <v/>
      </c>
      <c r="S130">
        <f>_xlfn.NUMBERVALUE("-0.004412")</f>
        <v/>
      </c>
      <c r="T130">
        <f>_xlfn.NUMBERVALUE("-0.005865")</f>
        <v/>
      </c>
      <c r="U130">
        <f>_xlfn.NUMBERVALUE("0.001003")</f>
        <v/>
      </c>
      <c r="V130">
        <f>_xlfn.NUMBERVALUE("0.001260")</f>
        <v/>
      </c>
      <c r="W130">
        <f>_xlfn.NUMBERVALUE("0.006052")</f>
        <v/>
      </c>
      <c r="X130">
        <f>_xlfn.NUMBERVALUE("-0.920000")</f>
        <v/>
      </c>
      <c r="Y130">
        <f>_xlfn.NUMBERVALUE("16.090000")</f>
        <v/>
      </c>
    </row>
    <row r="131">
      <c r="A131" s="1" t="n">
        <v>42193</v>
      </c>
      <c r="B131">
        <f>_xlfn.NUMBERVALUE("0.000000")</f>
        <v/>
      </c>
      <c r="C131" s="2">
        <f>_xlfn.NUMBERVALUE("-0.003641")</f>
        <v/>
      </c>
      <c r="D131">
        <f>_xlfn.NUMBERVALUE("-0.008413")</f>
        <v/>
      </c>
      <c r="E131">
        <f>_xlfn.NUMBERVALUE("-0.006307")</f>
        <v/>
      </c>
      <c r="F131">
        <f>_xlfn.NUMBERVALUE("-0.000517")</f>
        <v/>
      </c>
      <c r="G131">
        <f>_xlfn.NUMBERVALUE("-0.002337")</f>
        <v/>
      </c>
      <c r="H131">
        <f>_xlfn.NUMBERVALUE("-0.000862")</f>
        <v/>
      </c>
      <c r="I131">
        <f>_xlfn.NUMBERVALUE("-0.003172")</f>
        <v/>
      </c>
      <c r="J131">
        <f>_xlfn.NUMBERVALUE("-0.000953")</f>
        <v/>
      </c>
      <c r="K131">
        <f>_xlfn.NUMBERVALUE("-0.001677")</f>
        <v/>
      </c>
      <c r="L131">
        <f>_xlfn.NUMBERVALUE("-0.000975")</f>
        <v/>
      </c>
      <c r="M131">
        <f>_xlfn.NUMBERVALUE("-0.005336")</f>
        <v/>
      </c>
      <c r="N131">
        <f>_xlfn.NUMBERVALUE("0.000000")</f>
        <v/>
      </c>
      <c r="O131">
        <f>_xlfn.NUMBERVALUE("-0.004297")</f>
        <v/>
      </c>
      <c r="P131">
        <f>_xlfn.NUMBERVALUE("-0.005188")</f>
        <v/>
      </c>
      <c r="Q131">
        <f>_xlfn.NUMBERVALUE("-0.002961")</f>
        <v/>
      </c>
      <c r="R131">
        <f>_xlfn.NUMBERVALUE("-0.003174")</f>
        <v/>
      </c>
      <c r="S131">
        <f>_xlfn.NUMBERVALUE("-0.002723")</f>
        <v/>
      </c>
      <c r="T131">
        <f>_xlfn.NUMBERVALUE("-0.001944")</f>
        <v/>
      </c>
      <c r="U131">
        <f>_xlfn.NUMBERVALUE("-0.005022")</f>
        <v/>
      </c>
      <c r="V131">
        <f>_xlfn.NUMBERVALUE("-0.004402")</f>
        <v/>
      </c>
      <c r="W131">
        <f>_xlfn.NUMBERVALUE("-0.014581")</f>
        <v/>
      </c>
      <c r="X131">
        <f>_xlfn.NUMBERVALUE("3.570000")</f>
        <v/>
      </c>
      <c r="Y131">
        <f>_xlfn.NUMBERVALUE("19.660000")</f>
        <v/>
      </c>
    </row>
    <row r="132">
      <c r="A132" s="1" t="n">
        <v>42194</v>
      </c>
      <c r="B132">
        <f>_xlfn.NUMBERVALUE("0.000000")</f>
        <v/>
      </c>
      <c r="C132" s="2">
        <f>_xlfn.NUMBERVALUE("0.000766")</f>
        <v/>
      </c>
      <c r="D132">
        <f>_xlfn.NUMBERVALUE("0.000339")</f>
        <v/>
      </c>
      <c r="E132">
        <f>_xlfn.NUMBERVALUE("-0.001520")</f>
        <v/>
      </c>
      <c r="F132">
        <f>_xlfn.NUMBERVALUE("0.000852")</f>
        <v/>
      </c>
      <c r="G132">
        <f>_xlfn.NUMBERVALUE("0.001914")</f>
        <v/>
      </c>
      <c r="H132">
        <f>_xlfn.NUMBERVALUE("0.000982")</f>
        <v/>
      </c>
      <c r="I132">
        <f>_xlfn.NUMBERVALUE("0.000422")</f>
        <v/>
      </c>
      <c r="J132">
        <f>_xlfn.NUMBERVALUE("0.000411")</f>
        <v/>
      </c>
      <c r="K132">
        <f>_xlfn.NUMBERVALUE("0.001549")</f>
        <v/>
      </c>
      <c r="L132">
        <f>_xlfn.NUMBERVALUE("-0.001118")</f>
        <v/>
      </c>
      <c r="M132">
        <f>_xlfn.NUMBERVALUE("0.001348")</f>
        <v/>
      </c>
      <c r="N132">
        <f>_xlfn.NUMBERVALUE("0.000000")</f>
        <v/>
      </c>
      <c r="O132">
        <f>_xlfn.NUMBERVALUE("0.000853")</f>
        <v/>
      </c>
      <c r="P132">
        <f>_xlfn.NUMBERVALUE("0.001813")</f>
        <v/>
      </c>
      <c r="Q132">
        <f>_xlfn.NUMBERVALUE("0.001104")</f>
        <v/>
      </c>
      <c r="R132">
        <f>_xlfn.NUMBERVALUE("0.001075")</f>
        <v/>
      </c>
      <c r="S132">
        <f>_xlfn.NUMBERVALUE("0.000122")</f>
        <v/>
      </c>
      <c r="T132">
        <f>_xlfn.NUMBERVALUE("0.000169")</f>
        <v/>
      </c>
      <c r="U132">
        <f>_xlfn.NUMBERVALUE("0.000796")</f>
        <v/>
      </c>
      <c r="V132">
        <f>_xlfn.NUMBERVALUE("0.000403")</f>
        <v/>
      </c>
      <c r="W132">
        <f>_xlfn.NUMBERVALUE("0.002930")</f>
        <v/>
      </c>
      <c r="X132">
        <f>_xlfn.NUMBERVALUE("0.310000")</f>
        <v/>
      </c>
      <c r="Y132">
        <f>_xlfn.NUMBERVALUE("19.970000")</f>
        <v/>
      </c>
    </row>
    <row r="133">
      <c r="A133" s="1" t="n">
        <v>42195</v>
      </c>
      <c r="B133">
        <f>_xlfn.NUMBERVALUE("0.000000")</f>
        <v/>
      </c>
      <c r="C133" s="2">
        <f>_xlfn.NUMBERVALUE("0.001398")</f>
        <v/>
      </c>
      <c r="D133">
        <f>_xlfn.NUMBERVALUE("0.003665")</f>
        <v/>
      </c>
      <c r="E133">
        <f>_xlfn.NUMBERVALUE("-0.006010")</f>
        <v/>
      </c>
      <c r="F133">
        <f>_xlfn.NUMBERVALUE("0.002412")</f>
        <v/>
      </c>
      <c r="G133">
        <f>_xlfn.NUMBERVALUE("0.001305")</f>
        <v/>
      </c>
      <c r="H133">
        <f>_xlfn.NUMBERVALUE("-0.000134")</f>
        <v/>
      </c>
      <c r="I133">
        <f>_xlfn.NUMBERVALUE("0.002134")</f>
        <v/>
      </c>
      <c r="J133">
        <f>_xlfn.NUMBERVALUE("0.000828")</f>
        <v/>
      </c>
      <c r="K133">
        <f>_xlfn.NUMBERVALUE("0.004011")</f>
        <v/>
      </c>
      <c r="L133">
        <f>_xlfn.NUMBERVALUE("-0.002324")</f>
        <v/>
      </c>
      <c r="M133">
        <f>_xlfn.NUMBERVALUE("0.002183")</f>
        <v/>
      </c>
      <c r="N133">
        <f>_xlfn.NUMBERVALUE("0.000000")</f>
        <v/>
      </c>
      <c r="O133">
        <f>_xlfn.NUMBERVALUE("0.003287")</f>
        <v/>
      </c>
      <c r="P133">
        <f>_xlfn.NUMBERVALUE("0.001106")</f>
        <v/>
      </c>
      <c r="Q133">
        <f>_xlfn.NUMBERVALUE("0.000300")</f>
        <v/>
      </c>
      <c r="R133">
        <f>_xlfn.NUMBERVALUE("0.002288")</f>
        <v/>
      </c>
      <c r="S133">
        <f>_xlfn.NUMBERVALUE("0.005126")</f>
        <v/>
      </c>
      <c r="T133">
        <f>_xlfn.NUMBERVALUE("0.001903")</f>
        <v/>
      </c>
      <c r="U133">
        <f>_xlfn.NUMBERVALUE("0.001398")</f>
        <v/>
      </c>
      <c r="V133">
        <f>_xlfn.NUMBERVALUE("0.001940")</f>
        <v/>
      </c>
      <c r="W133">
        <f>_xlfn.NUMBERVALUE("0.011199")</f>
        <v/>
      </c>
      <c r="X133">
        <f>_xlfn.NUMBERVALUE("-3.140000")</f>
        <v/>
      </c>
      <c r="Y133">
        <f>_xlfn.NUMBERVALUE("16.830000")</f>
        <v/>
      </c>
    </row>
    <row r="134">
      <c r="A134" s="1" t="n">
        <v>42198</v>
      </c>
      <c r="B134">
        <f>_xlfn.NUMBERVALUE("0.000000")</f>
        <v/>
      </c>
      <c r="C134" s="2">
        <f>_xlfn.NUMBERVALUE("0.003026")</f>
        <v/>
      </c>
      <c r="D134">
        <f>_xlfn.NUMBERVALUE("0.006075")</f>
        <v/>
      </c>
      <c r="E134">
        <f>_xlfn.NUMBERVALUE("0.006461")</f>
        <v/>
      </c>
      <c r="F134">
        <f>_xlfn.NUMBERVALUE("0.001434")</f>
        <v/>
      </c>
      <c r="G134">
        <f>_xlfn.NUMBERVALUE("0.001315")</f>
        <v/>
      </c>
      <c r="H134">
        <f>_xlfn.NUMBERVALUE("0.001385")</f>
        <v/>
      </c>
      <c r="I134">
        <f>_xlfn.NUMBERVALUE("0.004342")</f>
        <v/>
      </c>
      <c r="J134">
        <f>_xlfn.NUMBERVALUE("0.002852")</f>
        <v/>
      </c>
      <c r="K134">
        <f>_xlfn.NUMBERVALUE("0.004626")</f>
        <v/>
      </c>
      <c r="L134">
        <f>_xlfn.NUMBERVALUE("0.003573")</f>
        <v/>
      </c>
      <c r="M134">
        <f>_xlfn.NUMBERVALUE("0.004968")</f>
        <v/>
      </c>
      <c r="N134">
        <f>_xlfn.NUMBERVALUE("0.000000")</f>
        <v/>
      </c>
      <c r="O134">
        <f>_xlfn.NUMBERVALUE("0.005654")</f>
        <v/>
      </c>
      <c r="P134">
        <f>_xlfn.NUMBERVALUE("0.002969")</f>
        <v/>
      </c>
      <c r="Q134">
        <f>_xlfn.NUMBERVALUE("0.004156")</f>
        <v/>
      </c>
      <c r="R134">
        <f>_xlfn.NUMBERVALUE("0.000770")</f>
        <v/>
      </c>
      <c r="S134">
        <f>_xlfn.NUMBERVALUE("-0.004652")</f>
        <v/>
      </c>
      <c r="T134">
        <f>_xlfn.NUMBERVALUE("0.003896")</f>
        <v/>
      </c>
      <c r="U134">
        <f>_xlfn.NUMBERVALUE("0.001172")</f>
        <v/>
      </c>
      <c r="V134">
        <f>_xlfn.NUMBERVALUE("0.003575")</f>
        <v/>
      </c>
      <c r="W134">
        <f>_xlfn.NUMBERVALUE("0.010569")</f>
        <v/>
      </c>
      <c r="X134">
        <f>_xlfn.NUMBERVALUE("-2.930000")</f>
        <v/>
      </c>
      <c r="Y134">
        <f>_xlfn.NUMBERVALUE("13.900000")</f>
        <v/>
      </c>
    </row>
    <row r="135">
      <c r="A135" s="1" t="n">
        <v>42199</v>
      </c>
      <c r="B135">
        <f>_xlfn.NUMBERVALUE("0.000000")</f>
        <v/>
      </c>
      <c r="C135" s="2">
        <f>_xlfn.NUMBERVALUE("0.000678")</f>
        <v/>
      </c>
      <c r="D135">
        <f>_xlfn.NUMBERVALUE("0.002832")</f>
        <v/>
      </c>
      <c r="E135">
        <f>_xlfn.NUMBERVALUE("0.002366")</f>
        <v/>
      </c>
      <c r="F135">
        <f>_xlfn.NUMBERVALUE("0.001502")</f>
        <v/>
      </c>
      <c r="G135">
        <f>_xlfn.NUMBERVALUE("0.001601")</f>
        <v/>
      </c>
      <c r="H135">
        <f>_xlfn.NUMBERVALUE("0.000233")</f>
        <v/>
      </c>
      <c r="I135">
        <f>_xlfn.NUMBERVALUE("0.000551")</f>
        <v/>
      </c>
      <c r="J135">
        <f>_xlfn.NUMBERVALUE("0.000197")</f>
        <v/>
      </c>
      <c r="K135">
        <f>_xlfn.NUMBERVALUE("-0.000002")</f>
        <v/>
      </c>
      <c r="L135">
        <f>_xlfn.NUMBERVALUE("0.001914")</f>
        <v/>
      </c>
      <c r="M135">
        <f>_xlfn.NUMBERVALUE("0.002479")</f>
        <v/>
      </c>
      <c r="N135">
        <f>_xlfn.NUMBERVALUE("0.000000")</f>
        <v/>
      </c>
      <c r="O135">
        <f>_xlfn.NUMBERVALUE("0.001541")</f>
        <v/>
      </c>
      <c r="P135">
        <f>_xlfn.NUMBERVALUE("0.002091")</f>
        <v/>
      </c>
      <c r="Q135">
        <f>_xlfn.NUMBERVALUE("0.003428")</f>
        <v/>
      </c>
      <c r="R135">
        <f>_xlfn.NUMBERVALUE("0.001149")</f>
        <v/>
      </c>
      <c r="S135">
        <f>_xlfn.NUMBERVALUE("0.001554")</f>
        <v/>
      </c>
      <c r="T135">
        <f>_xlfn.NUMBERVALUE("0.002141")</f>
        <v/>
      </c>
      <c r="U135">
        <f>_xlfn.NUMBERVALUE("0.001196")</f>
        <v/>
      </c>
      <c r="V135">
        <f>_xlfn.NUMBERVALUE("0.001257")</f>
        <v/>
      </c>
      <c r="W135">
        <f>_xlfn.NUMBERVALUE("0.004074")</f>
        <v/>
      </c>
      <c r="X135">
        <f>_xlfn.NUMBERVALUE("-0.530000")</f>
        <v/>
      </c>
      <c r="Y135">
        <f>_xlfn.NUMBERVALUE("13.370000")</f>
        <v/>
      </c>
    </row>
    <row r="136">
      <c r="A136" s="1" t="n">
        <v>42200</v>
      </c>
      <c r="B136">
        <f>_xlfn.NUMBERVALUE("0.000000")</f>
        <v/>
      </c>
      <c r="C136" s="2">
        <f>_xlfn.NUMBERVALUE("0.000140")</f>
        <v/>
      </c>
      <c r="D136">
        <f>_xlfn.NUMBERVALUE("-0.001218")</f>
        <v/>
      </c>
      <c r="E136">
        <f>_xlfn.NUMBERVALUE("0.001325")</f>
        <v/>
      </c>
      <c r="F136">
        <f>_xlfn.NUMBERVALUE("-0.001136")</f>
        <v/>
      </c>
      <c r="G136">
        <f>_xlfn.NUMBERVALUE("0.001513")</f>
        <v/>
      </c>
      <c r="H136">
        <f>_xlfn.NUMBERVALUE("0.000247")</f>
        <v/>
      </c>
      <c r="I136">
        <f>_xlfn.NUMBERVALUE("0.000329")</f>
        <v/>
      </c>
      <c r="J136">
        <f>_xlfn.NUMBERVALUE("0.000561")</f>
        <v/>
      </c>
      <c r="K136">
        <f>_xlfn.NUMBERVALUE("-0.002457")</f>
        <v/>
      </c>
      <c r="L136">
        <f>_xlfn.NUMBERVALUE("0.000069")</f>
        <v/>
      </c>
      <c r="M136">
        <f>_xlfn.NUMBERVALUE("-0.000375")</f>
        <v/>
      </c>
      <c r="N136">
        <f>_xlfn.NUMBERVALUE("0.000000")</f>
        <v/>
      </c>
      <c r="O136">
        <f>_xlfn.NUMBERVALUE("-0.003642")</f>
        <v/>
      </c>
      <c r="P136">
        <f>_xlfn.NUMBERVALUE("-0.000695")</f>
        <v/>
      </c>
      <c r="Q136">
        <f>_xlfn.NUMBERVALUE("0.000920")</f>
        <v/>
      </c>
      <c r="R136">
        <f>_xlfn.NUMBERVALUE("-0.000051")</f>
        <v/>
      </c>
      <c r="S136">
        <f>_xlfn.NUMBERVALUE("-0.000312")</f>
        <v/>
      </c>
      <c r="T136">
        <f>_xlfn.NUMBERVALUE("0.000300")</f>
        <v/>
      </c>
      <c r="U136">
        <f>_xlfn.NUMBERVALUE("0.000107")</f>
        <v/>
      </c>
      <c r="V136">
        <f>_xlfn.NUMBERVALUE("-0.000143")</f>
        <v/>
      </c>
      <c r="W136">
        <f>_xlfn.NUMBERVALUE("-0.000997")</f>
        <v/>
      </c>
      <c r="X136">
        <f>_xlfn.NUMBERVALUE("-0.140000")</f>
        <v/>
      </c>
      <c r="Y136">
        <f>_xlfn.NUMBERVALUE("13.230000")</f>
        <v/>
      </c>
    </row>
    <row r="137">
      <c r="A137" s="1" t="n">
        <v>42201</v>
      </c>
      <c r="B137">
        <f>_xlfn.NUMBERVALUE("0.000000")</f>
        <v/>
      </c>
      <c r="C137" s="2">
        <f>_xlfn.NUMBERVALUE("0.001683")</f>
        <v/>
      </c>
      <c r="D137">
        <f>_xlfn.NUMBERVALUE("0.001884")</f>
        <v/>
      </c>
      <c r="E137">
        <f>_xlfn.NUMBERVALUE("0.002535")</f>
        <v/>
      </c>
      <c r="F137">
        <f>_xlfn.NUMBERVALUE("0.000782")</f>
        <v/>
      </c>
      <c r="G137">
        <f>_xlfn.NUMBERVALUE("0.000330")</f>
        <v/>
      </c>
      <c r="H137">
        <f>_xlfn.NUMBERVALUE("0.000484")</f>
        <v/>
      </c>
      <c r="I137">
        <f>_xlfn.NUMBERVALUE("0.002301")</f>
        <v/>
      </c>
      <c r="J137">
        <f>_xlfn.NUMBERVALUE("-0.000019")</f>
        <v/>
      </c>
      <c r="K137">
        <f>_xlfn.NUMBERVALUE("0.000552")</f>
        <v/>
      </c>
      <c r="L137">
        <f>_xlfn.NUMBERVALUE("0.001030")</f>
        <v/>
      </c>
      <c r="M137">
        <f>_xlfn.NUMBERVALUE("0.001366")</f>
        <v/>
      </c>
      <c r="N137">
        <f>_xlfn.NUMBERVALUE("0.000000")</f>
        <v/>
      </c>
      <c r="O137">
        <f>_xlfn.NUMBERVALUE("0.003352")</f>
        <v/>
      </c>
      <c r="P137">
        <f>_xlfn.NUMBERVALUE("-0.000016")</f>
        <v/>
      </c>
      <c r="Q137">
        <f>_xlfn.NUMBERVALUE("-0.001524")</f>
        <v/>
      </c>
      <c r="R137">
        <f>_xlfn.NUMBERVALUE("-0.000530")</f>
        <v/>
      </c>
      <c r="S137">
        <f>_xlfn.NUMBERVALUE("0.000829")</f>
        <v/>
      </c>
      <c r="T137">
        <f>_xlfn.NUMBERVALUE("-0.002179")</f>
        <v/>
      </c>
      <c r="U137">
        <f>_xlfn.NUMBERVALUE("0.000797")</f>
        <v/>
      </c>
      <c r="V137">
        <f>_xlfn.NUMBERVALUE("0.000682")</f>
        <v/>
      </c>
      <c r="W137">
        <f>_xlfn.NUMBERVALUE("0.008289")</f>
        <v/>
      </c>
      <c r="X137">
        <f>_xlfn.NUMBERVALUE("-1.120000")</f>
        <v/>
      </c>
      <c r="Y137">
        <f>_xlfn.NUMBERVALUE("12.110000")</f>
        <v/>
      </c>
    </row>
    <row r="138">
      <c r="A138" s="1" t="n">
        <v>42202</v>
      </c>
      <c r="B138">
        <f>_xlfn.NUMBERVALUE("0.000000")</f>
        <v/>
      </c>
      <c r="C138" s="2">
        <f>_xlfn.NUMBERVALUE("0.000486")</f>
        <v/>
      </c>
      <c r="D138">
        <f>_xlfn.NUMBERVALUE("-0.000337")</f>
        <v/>
      </c>
      <c r="E138">
        <f>_xlfn.NUMBERVALUE("0.001712")</f>
        <v/>
      </c>
      <c r="F138">
        <f>_xlfn.NUMBERVALUE("-0.002915")</f>
        <v/>
      </c>
      <c r="G138">
        <f>_xlfn.NUMBERVALUE("-0.000091")</f>
        <v/>
      </c>
      <c r="H138">
        <f>_xlfn.NUMBERVALUE("0.001021")</f>
        <v/>
      </c>
      <c r="I138">
        <f>_xlfn.NUMBERVALUE("0.001586")</f>
        <v/>
      </c>
      <c r="J138">
        <f>_xlfn.NUMBERVALUE("0.000805")</f>
        <v/>
      </c>
      <c r="K138">
        <f>_xlfn.NUMBERVALUE("-0.000671")</f>
        <v/>
      </c>
      <c r="L138">
        <f>_xlfn.NUMBERVALUE("0.000758")</f>
        <v/>
      </c>
      <c r="M138">
        <f>_xlfn.NUMBERVALUE("0.000368")</f>
        <v/>
      </c>
      <c r="N138">
        <f>_xlfn.NUMBERVALUE("0.000000")</f>
        <v/>
      </c>
      <c r="O138">
        <f>_xlfn.NUMBERVALUE("-0.001270")</f>
        <v/>
      </c>
      <c r="P138">
        <f>_xlfn.NUMBERVALUE("0.000336")</f>
        <v/>
      </c>
      <c r="Q138">
        <f>_xlfn.NUMBERVALUE("0.004521")</f>
        <v/>
      </c>
      <c r="R138">
        <f>_xlfn.NUMBERVALUE("-0.003056")</f>
        <v/>
      </c>
      <c r="S138">
        <f>_xlfn.NUMBERVALUE("-0.000524")</f>
        <v/>
      </c>
      <c r="T138">
        <f>_xlfn.NUMBERVALUE("-0.000759")</f>
        <v/>
      </c>
      <c r="U138">
        <f>_xlfn.NUMBERVALUE("0.000376")</f>
        <v/>
      </c>
      <c r="V138">
        <f>_xlfn.NUMBERVALUE("0.000736")</f>
        <v/>
      </c>
      <c r="W138">
        <f>_xlfn.NUMBERVALUE("0.001154")</f>
        <v/>
      </c>
      <c r="X138">
        <f>_xlfn.NUMBERVALUE("-0.160000")</f>
        <v/>
      </c>
      <c r="Y138">
        <f>_xlfn.NUMBERVALUE("11.950000")</f>
        <v/>
      </c>
    </row>
    <row r="139">
      <c r="A139" s="1" t="n">
        <v>42205</v>
      </c>
      <c r="B139">
        <f>_xlfn.NUMBERVALUE("0.000000")</f>
        <v/>
      </c>
      <c r="C139" s="2">
        <f>_xlfn.NUMBERVALUE("0.000305")</f>
        <v/>
      </c>
      <c r="D139">
        <f>_xlfn.NUMBERVALUE("-0.001932")</f>
        <v/>
      </c>
      <c r="E139">
        <f>_xlfn.NUMBERVALUE("0.001687")</f>
        <v/>
      </c>
      <c r="F139">
        <f>_xlfn.NUMBERVALUE("-0.006051")</f>
        <v/>
      </c>
      <c r="G139">
        <f>_xlfn.NUMBERVALUE("0.000477")</f>
        <v/>
      </c>
      <c r="H139">
        <f>_xlfn.NUMBERVALUE("0.001005")</f>
        <v/>
      </c>
      <c r="I139">
        <f>_xlfn.NUMBERVALUE("0.000682")</f>
        <v/>
      </c>
      <c r="J139">
        <f>_xlfn.NUMBERVALUE("0.001080")</f>
        <v/>
      </c>
      <c r="K139">
        <f>_xlfn.NUMBERVALUE("-0.000770")</f>
        <v/>
      </c>
      <c r="L139">
        <f>_xlfn.NUMBERVALUE("0.000730")</f>
        <v/>
      </c>
      <c r="M139">
        <f>_xlfn.NUMBERVALUE("-0.001304")</f>
        <v/>
      </c>
      <c r="N139">
        <f>_xlfn.NUMBERVALUE("0.000000")</f>
        <v/>
      </c>
      <c r="O139">
        <f>_xlfn.NUMBERVALUE("-0.000529")</f>
        <v/>
      </c>
      <c r="P139">
        <f>_xlfn.NUMBERVALUE("-0.000146")</f>
        <v/>
      </c>
      <c r="Q139">
        <f>_xlfn.NUMBERVALUE("-0.001436")</f>
        <v/>
      </c>
      <c r="R139">
        <f>_xlfn.NUMBERVALUE("0.000793")</f>
        <v/>
      </c>
      <c r="S139">
        <f>_xlfn.NUMBERVALUE("0.000484")</f>
        <v/>
      </c>
      <c r="T139">
        <f>_xlfn.NUMBERVALUE("0.001267")</f>
        <v/>
      </c>
      <c r="U139">
        <f>_xlfn.NUMBERVALUE("0.000791")</f>
        <v/>
      </c>
      <c r="V139">
        <f>_xlfn.NUMBERVALUE("0.000260")</f>
        <v/>
      </c>
      <c r="W139">
        <f>_xlfn.NUMBERVALUE("0.000659")</f>
        <v/>
      </c>
      <c r="X139">
        <f>_xlfn.NUMBERVALUE("0.300000")</f>
        <v/>
      </c>
      <c r="Y139">
        <f>_xlfn.NUMBERVALUE("12.250000")</f>
        <v/>
      </c>
    </row>
    <row r="140">
      <c r="A140" s="1" t="n">
        <v>42206</v>
      </c>
      <c r="B140">
        <f>_xlfn.NUMBERVALUE("0.000000")</f>
        <v/>
      </c>
      <c r="C140" s="2">
        <f>_xlfn.NUMBERVALUE("0.000815")</f>
        <v/>
      </c>
      <c r="D140">
        <f>_xlfn.NUMBERVALUE("0.002132")</f>
        <v/>
      </c>
      <c r="E140">
        <f>_xlfn.NUMBERVALUE("0.000091")</f>
        <v/>
      </c>
      <c r="F140">
        <f>_xlfn.NUMBERVALUE("0.000623")</f>
        <v/>
      </c>
      <c r="G140">
        <f>_xlfn.NUMBERVALUE("0.000213")</f>
        <v/>
      </c>
      <c r="H140">
        <f>_xlfn.NUMBERVALUE("-0.000135")</f>
        <v/>
      </c>
      <c r="I140">
        <f>_xlfn.NUMBERVALUE("0.001023")</f>
        <v/>
      </c>
      <c r="J140">
        <f>_xlfn.NUMBERVALUE("0.000374")</f>
        <v/>
      </c>
      <c r="K140">
        <f>_xlfn.NUMBERVALUE("0.001843")</f>
        <v/>
      </c>
      <c r="L140">
        <f>_xlfn.NUMBERVALUE("0.000720")</f>
        <v/>
      </c>
      <c r="M140">
        <f>_xlfn.NUMBERVALUE("-0.003927")</f>
        <v/>
      </c>
      <c r="N140">
        <f>_xlfn.NUMBERVALUE("0.000000")</f>
        <v/>
      </c>
      <c r="O140">
        <f>_xlfn.NUMBERVALUE("-0.000075")</f>
        <v/>
      </c>
      <c r="P140">
        <f>_xlfn.NUMBERVALUE("0.000548")</f>
        <v/>
      </c>
      <c r="Q140">
        <f>_xlfn.NUMBERVALUE("-0.000357")</f>
        <v/>
      </c>
      <c r="R140">
        <f>_xlfn.NUMBERVALUE("0.000700")</f>
        <v/>
      </c>
      <c r="S140">
        <f>_xlfn.NUMBERVALUE("-0.000184")</f>
        <v/>
      </c>
      <c r="T140">
        <f>_xlfn.NUMBERVALUE("-0.000123")</f>
        <v/>
      </c>
      <c r="U140">
        <f>_xlfn.NUMBERVALUE("0.003929")</f>
        <v/>
      </c>
      <c r="V140">
        <f>_xlfn.NUMBERVALUE("0.000771")</f>
        <v/>
      </c>
      <c r="W140">
        <f>_xlfn.NUMBERVALUE("-0.003668")</f>
        <v/>
      </c>
      <c r="X140">
        <f>_xlfn.NUMBERVALUE("-0.030000")</f>
        <v/>
      </c>
      <c r="Y140">
        <f>_xlfn.NUMBERVALUE("12.220000")</f>
        <v/>
      </c>
    </row>
    <row r="141">
      <c r="A141" s="1" t="n">
        <v>42207</v>
      </c>
      <c r="B141">
        <f>_xlfn.NUMBERVALUE("0.000000")</f>
        <v/>
      </c>
      <c r="C141" s="2">
        <f>_xlfn.NUMBERVALUE("0.000895")</f>
        <v/>
      </c>
      <c r="D141">
        <f>_xlfn.NUMBERVALUE("-0.000211")</f>
        <v/>
      </c>
      <c r="E141">
        <f>_xlfn.NUMBERVALUE("0.001013")</f>
        <v/>
      </c>
      <c r="F141">
        <f>_xlfn.NUMBERVALUE("0.000164")</f>
        <v/>
      </c>
      <c r="G141">
        <f>_xlfn.NUMBERVALUE("-0.001827")</f>
        <v/>
      </c>
      <c r="H141">
        <f>_xlfn.NUMBERVALUE("0.000325")</f>
        <v/>
      </c>
      <c r="I141">
        <f>_xlfn.NUMBERVALUE("0.000845")</f>
        <v/>
      </c>
      <c r="J141">
        <f>_xlfn.NUMBERVALUE("-0.000466")</f>
        <v/>
      </c>
      <c r="K141">
        <f>_xlfn.NUMBERVALUE("0.001667")</f>
        <v/>
      </c>
      <c r="L141">
        <f>_xlfn.NUMBERVALUE("0.000099")</f>
        <v/>
      </c>
      <c r="M141">
        <f>_xlfn.NUMBERVALUE("0.004940")</f>
        <v/>
      </c>
      <c r="N141">
        <f>_xlfn.NUMBERVALUE("0.000000")</f>
        <v/>
      </c>
      <c r="O141">
        <f>_xlfn.NUMBERVALUE("-0.000294")</f>
        <v/>
      </c>
      <c r="P141">
        <f>_xlfn.NUMBERVALUE("-0.000164")</f>
        <v/>
      </c>
      <c r="Q141">
        <f>_xlfn.NUMBERVALUE("0.000800")</f>
        <v/>
      </c>
      <c r="R141">
        <f>_xlfn.NUMBERVALUE("-0.001791")</f>
        <v/>
      </c>
      <c r="S141">
        <f>_xlfn.NUMBERVALUE("0.000291")</f>
        <v/>
      </c>
      <c r="T141">
        <f>_xlfn.NUMBERVALUE("0.001450")</f>
        <v/>
      </c>
      <c r="U141">
        <f>_xlfn.NUMBERVALUE("-0.003396")</f>
        <v/>
      </c>
      <c r="V141">
        <f>_xlfn.NUMBERVALUE("0.000967")</f>
        <v/>
      </c>
      <c r="W141">
        <f>_xlfn.NUMBERVALUE("-0.003068")</f>
        <v/>
      </c>
      <c r="X141">
        <f>_xlfn.NUMBERVALUE("-0.100000")</f>
        <v/>
      </c>
      <c r="Y141">
        <f>_xlfn.NUMBERVALUE("12.120000")</f>
        <v/>
      </c>
    </row>
    <row r="142">
      <c r="A142" s="1" t="n">
        <v>42208</v>
      </c>
      <c r="B142">
        <f>_xlfn.NUMBERVALUE("0.000000")</f>
        <v/>
      </c>
      <c r="C142" s="2">
        <f>_xlfn.NUMBERVALUE("-0.000085")</f>
        <v/>
      </c>
      <c r="D142">
        <f>_xlfn.NUMBERVALUE("-0.003488")</f>
        <v/>
      </c>
      <c r="E142">
        <f>_xlfn.NUMBERVALUE("0.001060")</f>
        <v/>
      </c>
      <c r="F142">
        <f>_xlfn.NUMBERVALUE("-0.000125")</f>
        <v/>
      </c>
      <c r="G142">
        <f>_xlfn.NUMBERVALUE("0.000553")</f>
        <v/>
      </c>
      <c r="H142">
        <f>_xlfn.NUMBERVALUE("-0.000638")</f>
        <v/>
      </c>
      <c r="I142">
        <f>_xlfn.NUMBERVALUE("-0.001482")</f>
        <v/>
      </c>
      <c r="J142">
        <f>_xlfn.NUMBERVALUE("0.000567")</f>
        <v/>
      </c>
      <c r="K142">
        <f>_xlfn.NUMBERVALUE("-0.000694")</f>
        <v/>
      </c>
      <c r="L142">
        <f>_xlfn.NUMBERVALUE("-0.001410")</f>
        <v/>
      </c>
      <c r="M142">
        <f>_xlfn.NUMBERVALUE("-0.002919")</f>
        <v/>
      </c>
      <c r="N142">
        <f>_xlfn.NUMBERVALUE("0.000000")</f>
        <v/>
      </c>
      <c r="O142">
        <f>_xlfn.NUMBERVALUE("0.000040")</f>
        <v/>
      </c>
      <c r="P142">
        <f>_xlfn.NUMBERVALUE("0.001251")</f>
        <v/>
      </c>
      <c r="Q142">
        <f>_xlfn.NUMBERVALUE("-0.000185")</f>
        <v/>
      </c>
      <c r="R142">
        <f>_xlfn.NUMBERVALUE("0.000708")</f>
        <v/>
      </c>
      <c r="S142">
        <f>_xlfn.NUMBERVALUE("-0.000388")</f>
        <v/>
      </c>
      <c r="T142">
        <f>_xlfn.NUMBERVALUE("-0.002286")</f>
        <v/>
      </c>
      <c r="U142">
        <f>_xlfn.NUMBERVALUE("0.001631")</f>
        <v/>
      </c>
      <c r="V142">
        <f>_xlfn.NUMBERVALUE("-0.000374")</f>
        <v/>
      </c>
      <c r="W142">
        <f>_xlfn.NUMBERVALUE("-0.005776")</f>
        <v/>
      </c>
      <c r="X142">
        <f>_xlfn.NUMBERVALUE("0.520000")</f>
        <v/>
      </c>
      <c r="Y142">
        <f>_xlfn.NUMBERVALUE("12.640000")</f>
        <v/>
      </c>
    </row>
    <row r="143">
      <c r="A143" s="1" t="n">
        <v>42209</v>
      </c>
      <c r="B143">
        <f>_xlfn.NUMBERVALUE("0.000000")</f>
        <v/>
      </c>
      <c r="C143" s="2">
        <f>_xlfn.NUMBERVALUE("-0.000407")</f>
        <v/>
      </c>
      <c r="D143">
        <f>_xlfn.NUMBERVALUE("0.002852")</f>
        <v/>
      </c>
      <c r="E143">
        <f>_xlfn.NUMBERVALUE("-0.001650")</f>
        <v/>
      </c>
      <c r="F143">
        <f>_xlfn.NUMBERVALUE("-0.000416")</f>
        <v/>
      </c>
      <c r="G143">
        <f>_xlfn.NUMBERVALUE("-0.000854")</f>
        <v/>
      </c>
      <c r="H143">
        <f>_xlfn.NUMBERVALUE("0.000359")</f>
        <v/>
      </c>
      <c r="I143">
        <f>_xlfn.NUMBERVALUE("-0.002084")</f>
        <v/>
      </c>
      <c r="J143">
        <f>_xlfn.NUMBERVALUE("0.000112")</f>
        <v/>
      </c>
      <c r="K143">
        <f>_xlfn.NUMBERVALUE("0.000768")</f>
        <v/>
      </c>
      <c r="L143">
        <f>_xlfn.NUMBERVALUE("0.000248")</f>
        <v/>
      </c>
      <c r="M143">
        <f>_xlfn.NUMBERVALUE("-0.004440")</f>
        <v/>
      </c>
      <c r="N143">
        <f>_xlfn.NUMBERVALUE("0.000000")</f>
        <v/>
      </c>
      <c r="O143">
        <f>_xlfn.NUMBERVALUE("-0.002122")</f>
        <v/>
      </c>
      <c r="P143">
        <f>_xlfn.NUMBERVALUE("0.005137")</f>
        <v/>
      </c>
      <c r="Q143">
        <f>_xlfn.NUMBERVALUE("-0.002481")</f>
        <v/>
      </c>
      <c r="R143">
        <f>_xlfn.NUMBERVALUE("0.000027")</f>
        <v/>
      </c>
      <c r="S143">
        <f>_xlfn.NUMBERVALUE("0.000181")</f>
        <v/>
      </c>
      <c r="T143">
        <f>_xlfn.NUMBERVALUE("0.001055")</f>
        <v/>
      </c>
      <c r="U143">
        <f>_xlfn.NUMBERVALUE("-0.002365")</f>
        <v/>
      </c>
      <c r="V143">
        <f>_xlfn.NUMBERVALUE("-0.000683")</f>
        <v/>
      </c>
      <c r="W143">
        <f>_xlfn.NUMBERVALUE("-0.009333")</f>
        <v/>
      </c>
      <c r="X143">
        <f>_xlfn.NUMBERVALUE("1.100000")</f>
        <v/>
      </c>
      <c r="Y143">
        <f>_xlfn.NUMBERVALUE("13.740000")</f>
        <v/>
      </c>
    </row>
    <row r="144">
      <c r="A144" s="1" t="n">
        <v>42212</v>
      </c>
      <c r="B144">
        <f>_xlfn.NUMBERVALUE("0.000000")</f>
        <v/>
      </c>
      <c r="C144" s="2">
        <f>_xlfn.NUMBERVALUE("-0.001451")</f>
        <v/>
      </c>
      <c r="D144">
        <f>_xlfn.NUMBERVALUE("-0.000726")</f>
        <v/>
      </c>
      <c r="E144">
        <f>_xlfn.NUMBERVALUE("-0.001461")</f>
        <v/>
      </c>
      <c r="F144">
        <f>_xlfn.NUMBERVALUE("0.000003")</f>
        <v/>
      </c>
      <c r="G144">
        <f>_xlfn.NUMBERVALUE("-0.000406")</f>
        <v/>
      </c>
      <c r="H144">
        <f>_xlfn.NUMBERVALUE("0.000390")</f>
        <v/>
      </c>
      <c r="I144">
        <f>_xlfn.NUMBERVALUE("-0.001277")</f>
        <v/>
      </c>
      <c r="J144">
        <f>_xlfn.NUMBERVALUE("0.001425")</f>
        <v/>
      </c>
      <c r="K144">
        <f>_xlfn.NUMBERVALUE("0.000676")</f>
        <v/>
      </c>
      <c r="L144">
        <f>_xlfn.NUMBERVALUE("0.000046")</f>
        <v/>
      </c>
      <c r="M144">
        <f>_xlfn.NUMBERVALUE("0.001106")</f>
        <v/>
      </c>
      <c r="N144">
        <f>_xlfn.NUMBERVALUE("0.000000")</f>
        <v/>
      </c>
      <c r="O144">
        <f>_xlfn.NUMBERVALUE("-0.001063")</f>
        <v/>
      </c>
      <c r="P144">
        <f>_xlfn.NUMBERVALUE("-0.004035")</f>
        <v/>
      </c>
      <c r="Q144">
        <f>_xlfn.NUMBERVALUE("-0.000921")</f>
        <v/>
      </c>
      <c r="R144">
        <f>_xlfn.NUMBERVALUE("0.000374")</f>
        <v/>
      </c>
      <c r="S144">
        <f>_xlfn.NUMBERVALUE("-0.000512")</f>
        <v/>
      </c>
      <c r="T144">
        <f>_xlfn.NUMBERVALUE("-0.002053")</f>
        <v/>
      </c>
      <c r="U144">
        <f>_xlfn.NUMBERVALUE("-0.000625")</f>
        <v/>
      </c>
      <c r="V144">
        <f>_xlfn.NUMBERVALUE("-0.001575")</f>
        <v/>
      </c>
      <c r="W144">
        <f>_xlfn.NUMBERVALUE("-0.007210")</f>
        <v/>
      </c>
      <c r="X144">
        <f>_xlfn.NUMBERVALUE("1.860000")</f>
        <v/>
      </c>
      <c r="Y144">
        <f>_xlfn.NUMBERVALUE("15.600000")</f>
        <v/>
      </c>
    </row>
    <row r="145">
      <c r="A145" s="1" t="n">
        <v>42213</v>
      </c>
      <c r="B145">
        <f>_xlfn.NUMBERVALUE("0.000000")</f>
        <v/>
      </c>
      <c r="C145" s="2">
        <f>_xlfn.NUMBERVALUE("0.001091")</f>
        <v/>
      </c>
      <c r="D145">
        <f>_xlfn.NUMBERVALUE("0.000534")</f>
        <v/>
      </c>
      <c r="E145">
        <f>_xlfn.NUMBERVALUE("0.001231")</f>
        <v/>
      </c>
      <c r="F145">
        <f>_xlfn.NUMBERVALUE("0.000727")</f>
        <v/>
      </c>
      <c r="G145">
        <f>_xlfn.NUMBERVALUE("0.002216")</f>
        <v/>
      </c>
      <c r="H145">
        <f>_xlfn.NUMBERVALUE("-0.000486")</f>
        <v/>
      </c>
      <c r="I145">
        <f>_xlfn.NUMBERVALUE("0.001323")</f>
        <v/>
      </c>
      <c r="J145">
        <f>_xlfn.NUMBERVALUE("0.000456")</f>
        <v/>
      </c>
      <c r="K145">
        <f>_xlfn.NUMBERVALUE("0.001009")</f>
        <v/>
      </c>
      <c r="L145">
        <f>_xlfn.NUMBERVALUE("0.000102")</f>
        <v/>
      </c>
      <c r="M145">
        <f>_xlfn.NUMBERVALUE("-0.000729")</f>
        <v/>
      </c>
      <c r="N145">
        <f>_xlfn.NUMBERVALUE("0.000000")</f>
        <v/>
      </c>
      <c r="O145">
        <f>_xlfn.NUMBERVALUE("0.001761")</f>
        <v/>
      </c>
      <c r="P145">
        <f>_xlfn.NUMBERVALUE("0.000744")</f>
        <v/>
      </c>
      <c r="Q145">
        <f>_xlfn.NUMBERVALUE("0.000297")</f>
        <v/>
      </c>
      <c r="R145">
        <f>_xlfn.NUMBERVALUE("0.000864")</f>
        <v/>
      </c>
      <c r="S145">
        <f>_xlfn.NUMBERVALUE("-0.000143")</f>
        <v/>
      </c>
      <c r="T145">
        <f>_xlfn.NUMBERVALUE("0.001804")</f>
        <v/>
      </c>
      <c r="U145">
        <f>_xlfn.NUMBERVALUE("0.001155")</f>
        <v/>
      </c>
      <c r="V145">
        <f>_xlfn.NUMBERVALUE("-0.000053")</f>
        <v/>
      </c>
      <c r="W145">
        <f>_xlfn.NUMBERVALUE("0.013121")</f>
        <v/>
      </c>
      <c r="X145">
        <f>_xlfn.NUMBERVALUE("-2.160000")</f>
        <v/>
      </c>
      <c r="Y145">
        <f>_xlfn.NUMBERVALUE("13.440000")</f>
        <v/>
      </c>
    </row>
    <row r="146">
      <c r="A146" s="1" t="n">
        <v>42214</v>
      </c>
      <c r="B146">
        <f>_xlfn.NUMBERVALUE("0.000000")</f>
        <v/>
      </c>
      <c r="C146" s="2">
        <f>_xlfn.NUMBERVALUE("-0.000041")</f>
        <v/>
      </c>
      <c r="D146">
        <f>_xlfn.NUMBERVALUE("0.000091")</f>
        <v/>
      </c>
      <c r="E146">
        <f>_xlfn.NUMBERVALUE("0.000755")</f>
        <v/>
      </c>
      <c r="F146">
        <f>_xlfn.NUMBERVALUE("0.000147")</f>
        <v/>
      </c>
      <c r="G146">
        <f>_xlfn.NUMBERVALUE("-0.000120")</f>
        <v/>
      </c>
      <c r="H146">
        <f>_xlfn.NUMBERVALUE("0.000618")</f>
        <v/>
      </c>
      <c r="I146">
        <f>_xlfn.NUMBERVALUE("0.001532")</f>
        <v/>
      </c>
      <c r="J146">
        <f>_xlfn.NUMBERVALUE("0.001110")</f>
        <v/>
      </c>
      <c r="K146">
        <f>_xlfn.NUMBERVALUE("0.000708")</f>
        <v/>
      </c>
      <c r="L146">
        <f>_xlfn.NUMBERVALUE("0.000462")</f>
        <v/>
      </c>
      <c r="M146">
        <f>_xlfn.NUMBERVALUE("0.001757")</f>
        <v/>
      </c>
      <c r="N146">
        <f>_xlfn.NUMBERVALUE("0.000000")</f>
        <v/>
      </c>
      <c r="O146">
        <f>_xlfn.NUMBERVALUE("0.000946")</f>
        <v/>
      </c>
      <c r="P146">
        <f>_xlfn.NUMBERVALUE("-0.001064")</f>
        <v/>
      </c>
      <c r="Q146">
        <f>_xlfn.NUMBERVALUE("-0.002702")</f>
        <v/>
      </c>
      <c r="R146">
        <f>_xlfn.NUMBERVALUE("-0.000225")</f>
        <v/>
      </c>
      <c r="S146">
        <f>_xlfn.NUMBERVALUE("0.000137")</f>
        <v/>
      </c>
      <c r="T146">
        <f>_xlfn.NUMBERVALUE("0.001341")</f>
        <v/>
      </c>
      <c r="U146">
        <f>_xlfn.NUMBERVALUE("-0.000346")</f>
        <v/>
      </c>
      <c r="V146">
        <f>_xlfn.NUMBERVALUE("-0.000375")</f>
        <v/>
      </c>
      <c r="W146">
        <f>_xlfn.NUMBERVALUE("0.007790")</f>
        <v/>
      </c>
      <c r="X146">
        <f>_xlfn.NUMBERVALUE("-0.940000")</f>
        <v/>
      </c>
      <c r="Y146">
        <f>_xlfn.NUMBERVALUE("12.500000")</f>
        <v/>
      </c>
    </row>
    <row r="147">
      <c r="A147" s="1" t="n">
        <v>42215</v>
      </c>
      <c r="B147">
        <f>_xlfn.NUMBERVALUE("0.000000")</f>
        <v/>
      </c>
      <c r="C147" s="2">
        <f>_xlfn.NUMBERVALUE("0.002282")</f>
        <v/>
      </c>
      <c r="D147">
        <f>_xlfn.NUMBERVALUE("-0.000682")</f>
        <v/>
      </c>
      <c r="E147">
        <f>_xlfn.NUMBERVALUE("0.003060")</f>
        <v/>
      </c>
      <c r="F147">
        <f>_xlfn.NUMBERVALUE("0.000133")</f>
        <v/>
      </c>
      <c r="G147">
        <f>_xlfn.NUMBERVALUE("-0.000204")</f>
        <v/>
      </c>
      <c r="H147">
        <f>_xlfn.NUMBERVALUE("0.000060")</f>
        <v/>
      </c>
      <c r="I147">
        <f>_xlfn.NUMBERVALUE("0.000956")</f>
        <v/>
      </c>
      <c r="J147">
        <f>_xlfn.NUMBERVALUE("0.000698")</f>
        <v/>
      </c>
      <c r="K147">
        <f>_xlfn.NUMBERVALUE("0.000633")</f>
        <v/>
      </c>
      <c r="L147">
        <f>_xlfn.NUMBERVALUE("-0.000105")</f>
        <v/>
      </c>
      <c r="M147">
        <f>_xlfn.NUMBERVALUE("0.000400")</f>
        <v/>
      </c>
      <c r="N147">
        <f>_xlfn.NUMBERVALUE("0.000000")</f>
        <v/>
      </c>
      <c r="O147">
        <f>_xlfn.NUMBERVALUE("-0.000385")</f>
        <v/>
      </c>
      <c r="P147">
        <f>_xlfn.NUMBERVALUE("0.000942")</f>
        <v/>
      </c>
      <c r="Q147">
        <f>_xlfn.NUMBERVALUE("0.002514")</f>
        <v/>
      </c>
      <c r="R147">
        <f>_xlfn.NUMBERVALUE("0.001552")</f>
        <v/>
      </c>
      <c r="S147">
        <f>_xlfn.NUMBERVALUE("-0.000059")</f>
        <v/>
      </c>
      <c r="T147">
        <f>_xlfn.NUMBERVALUE("-0.000328")</f>
        <v/>
      </c>
      <c r="U147">
        <f>_xlfn.NUMBERVALUE("-0.000314")</f>
        <v/>
      </c>
      <c r="V147">
        <f>_xlfn.NUMBERVALUE("0.001209")</f>
        <v/>
      </c>
      <c r="W147">
        <f>_xlfn.NUMBERVALUE("0.000379")</f>
        <v/>
      </c>
      <c r="X147">
        <f>_xlfn.NUMBERVALUE("-0.370000")</f>
        <v/>
      </c>
      <c r="Y147">
        <f>_xlfn.NUMBERVALUE("12.130000")</f>
        <v/>
      </c>
    </row>
    <row r="148">
      <c r="A148" s="1" t="n">
        <v>42216</v>
      </c>
      <c r="B148">
        <f>_xlfn.NUMBERVALUE("0.000000")</f>
        <v/>
      </c>
      <c r="C148" s="2">
        <f>_xlfn.NUMBERVALUE("0.001478")</f>
        <v/>
      </c>
      <c r="D148">
        <f>_xlfn.NUMBERVALUE("0.000857")</f>
        <v/>
      </c>
      <c r="E148">
        <f>_xlfn.NUMBERVALUE("0.000001")</f>
        <v/>
      </c>
      <c r="F148">
        <f>_xlfn.NUMBERVALUE("-0.000025")</f>
        <v/>
      </c>
      <c r="G148">
        <f>_xlfn.NUMBERVALUE("0.000995")</f>
        <v/>
      </c>
      <c r="H148">
        <f>_xlfn.NUMBERVALUE("-0.000391")</f>
        <v/>
      </c>
      <c r="I148">
        <f>_xlfn.NUMBERVALUE("0.001178")</f>
        <v/>
      </c>
      <c r="J148">
        <f>_xlfn.NUMBERVALUE("-0.001446")</f>
        <v/>
      </c>
      <c r="K148">
        <f>_xlfn.NUMBERVALUE("0.000268")</f>
        <v/>
      </c>
      <c r="L148">
        <f>_xlfn.NUMBERVALUE("0.000977")</f>
        <v/>
      </c>
      <c r="M148">
        <f>_xlfn.NUMBERVALUE("0.000521")</f>
        <v/>
      </c>
      <c r="N148">
        <f>_xlfn.NUMBERVALUE("0.000000")</f>
        <v/>
      </c>
      <c r="O148">
        <f>_xlfn.NUMBERVALUE("-0.002828")</f>
        <v/>
      </c>
      <c r="P148">
        <f>_xlfn.NUMBERVALUE("0.001197")</f>
        <v/>
      </c>
      <c r="Q148">
        <f>_xlfn.NUMBERVALUE("0.000646")</f>
        <v/>
      </c>
      <c r="R148">
        <f>_xlfn.NUMBERVALUE("0.000699")</f>
        <v/>
      </c>
      <c r="S148">
        <f>_xlfn.NUMBERVALUE("0.000014")</f>
        <v/>
      </c>
      <c r="T148">
        <f>_xlfn.NUMBERVALUE("-0.000439")</f>
        <v/>
      </c>
      <c r="U148">
        <f>_xlfn.NUMBERVALUE("0.000378")</f>
        <v/>
      </c>
      <c r="V148">
        <f>_xlfn.NUMBERVALUE("0.000923")</f>
        <v/>
      </c>
      <c r="W148">
        <f>_xlfn.NUMBERVALUE("-0.002792")</f>
        <v/>
      </c>
      <c r="X148">
        <f>_xlfn.NUMBERVALUE("-0.010000")</f>
        <v/>
      </c>
      <c r="Y148">
        <f>_xlfn.NUMBERVALUE("12.120000")</f>
        <v/>
      </c>
    </row>
    <row r="149">
      <c r="A149" s="1" t="n">
        <v>42219</v>
      </c>
      <c r="B149">
        <f>_xlfn.NUMBERVALUE("0.000000")</f>
        <v/>
      </c>
      <c r="C149" s="2">
        <f>_xlfn.NUMBERVALUE("0.000923")</f>
        <v/>
      </c>
      <c r="D149">
        <f>_xlfn.NUMBERVALUE("0.000039")</f>
        <v/>
      </c>
      <c r="E149">
        <f>_xlfn.NUMBERVALUE("0.003024")</f>
        <v/>
      </c>
      <c r="F149">
        <f>_xlfn.NUMBERVALUE("0.000036")</f>
        <v/>
      </c>
      <c r="G149">
        <f>_xlfn.NUMBERVALUE("0.001003")</f>
        <v/>
      </c>
      <c r="H149">
        <f>_xlfn.NUMBERVALUE("-0.000372")</f>
        <v/>
      </c>
      <c r="I149">
        <f>_xlfn.NUMBERVALUE("0.000655")</f>
        <v/>
      </c>
      <c r="J149">
        <f>_xlfn.NUMBERVALUE("0.000907")</f>
        <v/>
      </c>
      <c r="K149">
        <f>_xlfn.NUMBERVALUE("-0.000003")</f>
        <v/>
      </c>
      <c r="L149">
        <f>_xlfn.NUMBERVALUE("-0.001485")</f>
        <v/>
      </c>
      <c r="M149">
        <f>_xlfn.NUMBERVALUE("0.000236")</f>
        <v/>
      </c>
      <c r="N149">
        <f>_xlfn.NUMBERVALUE("0.000000")</f>
        <v/>
      </c>
      <c r="O149">
        <f>_xlfn.NUMBERVALUE("0.001000")</f>
        <v/>
      </c>
      <c r="P149">
        <f>_xlfn.NUMBERVALUE("0.002502")</f>
        <v/>
      </c>
      <c r="Q149">
        <f>_xlfn.NUMBERVALUE("0.003316")</f>
        <v/>
      </c>
      <c r="R149">
        <f>_xlfn.NUMBERVALUE("0.000736")</f>
        <v/>
      </c>
      <c r="S149">
        <f>_xlfn.NUMBERVALUE("-0.000021")</f>
        <v/>
      </c>
      <c r="T149">
        <f>_xlfn.NUMBERVALUE("0.000027")</f>
        <v/>
      </c>
      <c r="U149">
        <f>_xlfn.NUMBERVALUE("0.000127")</f>
        <v/>
      </c>
      <c r="V149">
        <f>_xlfn.NUMBERVALUE("0.002821")</f>
        <v/>
      </c>
      <c r="W149">
        <f>_xlfn.NUMBERVALUE("-0.001595")</f>
        <v/>
      </c>
      <c r="X149">
        <f>_xlfn.NUMBERVALUE("0.440000")</f>
        <v/>
      </c>
      <c r="Y149">
        <f>_xlfn.NUMBERVALUE("12.560000")</f>
        <v/>
      </c>
    </row>
    <row r="150">
      <c r="A150" s="1" t="n">
        <v>42220</v>
      </c>
      <c r="B150">
        <f>_xlfn.NUMBERVALUE("0.000000")</f>
        <v/>
      </c>
      <c r="C150" s="2">
        <f>_xlfn.NUMBERVALUE("0.000428")</f>
        <v/>
      </c>
      <c r="D150">
        <f>_xlfn.NUMBERVALUE("0.001176")</f>
        <v/>
      </c>
      <c r="E150">
        <f>_xlfn.NUMBERVALUE("0.000434")</f>
        <v/>
      </c>
      <c r="F150">
        <f>_xlfn.NUMBERVALUE("0.001050")</f>
        <v/>
      </c>
      <c r="G150">
        <f>_xlfn.NUMBERVALUE("0.000430")</f>
        <v/>
      </c>
      <c r="H150">
        <f>_xlfn.NUMBERVALUE("-0.001481")</f>
        <v/>
      </c>
      <c r="I150">
        <f>_xlfn.NUMBERVALUE("0.000934")</f>
        <v/>
      </c>
      <c r="J150">
        <f>_xlfn.NUMBERVALUE("0.000822")</f>
        <v/>
      </c>
      <c r="K150">
        <f>_xlfn.NUMBERVALUE("0.000990")</f>
        <v/>
      </c>
      <c r="L150">
        <f>_xlfn.NUMBERVALUE("0.000729")</f>
        <v/>
      </c>
      <c r="M150">
        <f>_xlfn.NUMBERVALUE("0.000001")</f>
        <v/>
      </c>
      <c r="N150">
        <f>_xlfn.NUMBERVALUE("0.000000")</f>
        <v/>
      </c>
      <c r="O150">
        <f>_xlfn.NUMBERVALUE("0.000021")</f>
        <v/>
      </c>
      <c r="P150">
        <f>_xlfn.NUMBERVALUE("-0.000794")</f>
        <v/>
      </c>
      <c r="Q150">
        <f>_xlfn.NUMBERVALUE("0.003487")</f>
        <v/>
      </c>
      <c r="R150">
        <f>_xlfn.NUMBERVALUE("0.000922")</f>
        <v/>
      </c>
      <c r="S150">
        <f>_xlfn.NUMBERVALUE("-0.000051")</f>
        <v/>
      </c>
      <c r="T150">
        <f>_xlfn.NUMBERVALUE("-0.000105")</f>
        <v/>
      </c>
      <c r="U150">
        <f>_xlfn.NUMBERVALUE("-0.000151")</f>
        <v/>
      </c>
      <c r="V150">
        <f>_xlfn.NUMBERVALUE("0.000216")</f>
        <v/>
      </c>
      <c r="W150">
        <f>_xlfn.NUMBERVALUE("-0.002623")</f>
        <v/>
      </c>
      <c r="X150">
        <f>_xlfn.NUMBERVALUE("0.440000")</f>
        <v/>
      </c>
      <c r="Y150">
        <f>_xlfn.NUMBERVALUE("13.000000")</f>
        <v/>
      </c>
    </row>
    <row r="151">
      <c r="A151" s="1" t="n">
        <v>42221</v>
      </c>
      <c r="B151">
        <f>_xlfn.NUMBERVALUE("0.000000")</f>
        <v/>
      </c>
      <c r="C151" s="2">
        <f>_xlfn.NUMBERVALUE("0.001075")</f>
        <v/>
      </c>
      <c r="D151">
        <f>_xlfn.NUMBERVALUE("0.001734")</f>
        <v/>
      </c>
      <c r="E151">
        <f>_xlfn.NUMBERVALUE("0.000386")</f>
        <v/>
      </c>
      <c r="F151">
        <f>_xlfn.NUMBERVALUE("0.000166")</f>
        <v/>
      </c>
      <c r="G151">
        <f>_xlfn.NUMBERVALUE("0.000679")</f>
        <v/>
      </c>
      <c r="H151">
        <f>_xlfn.NUMBERVALUE("0.000990")</f>
        <v/>
      </c>
      <c r="I151">
        <f>_xlfn.NUMBERVALUE("0.000678")</f>
        <v/>
      </c>
      <c r="J151">
        <f>_xlfn.NUMBERVALUE("0.000855")</f>
        <v/>
      </c>
      <c r="K151">
        <f>_xlfn.NUMBERVALUE("-0.000710")</f>
        <v/>
      </c>
      <c r="L151">
        <f>_xlfn.NUMBERVALUE("-0.000000")</f>
        <v/>
      </c>
      <c r="M151">
        <f>_xlfn.NUMBERVALUE("0.000139")</f>
        <v/>
      </c>
      <c r="N151">
        <f>_xlfn.NUMBERVALUE("0.000000")</f>
        <v/>
      </c>
      <c r="O151">
        <f>_xlfn.NUMBERVALUE("0.000131")</f>
        <v/>
      </c>
      <c r="P151">
        <f>_xlfn.NUMBERVALUE("0.001520")</f>
        <v/>
      </c>
      <c r="Q151">
        <f>_xlfn.NUMBERVALUE("-0.000644")</f>
        <v/>
      </c>
      <c r="R151">
        <f>_xlfn.NUMBERVALUE("-0.000093")</f>
        <v/>
      </c>
      <c r="S151">
        <f>_xlfn.NUMBERVALUE("-0.001470")</f>
        <v/>
      </c>
      <c r="T151">
        <f>_xlfn.NUMBERVALUE("-0.000330")</f>
        <v/>
      </c>
      <c r="U151">
        <f>_xlfn.NUMBERVALUE("-0.000173")</f>
        <v/>
      </c>
      <c r="V151">
        <f>_xlfn.NUMBERVALUE("0.000452")</f>
        <v/>
      </c>
      <c r="W151">
        <f>_xlfn.NUMBERVALUE("0.004303")</f>
        <v/>
      </c>
      <c r="X151">
        <f>_xlfn.NUMBERVALUE("-0.490000")</f>
        <v/>
      </c>
      <c r="Y151">
        <f>_xlfn.NUMBERVALUE("12.510000")</f>
        <v/>
      </c>
    </row>
    <row r="152">
      <c r="A152" s="1" t="n">
        <v>42222</v>
      </c>
      <c r="B152">
        <f>_xlfn.NUMBERVALUE("0.000000")</f>
        <v/>
      </c>
      <c r="C152" s="2">
        <f>_xlfn.NUMBERVALUE("-0.000947")</f>
        <v/>
      </c>
      <c r="D152">
        <f>_xlfn.NUMBERVALUE("-0.001610")</f>
        <v/>
      </c>
      <c r="E152">
        <f>_xlfn.NUMBERVALUE("-0.000200")</f>
        <v/>
      </c>
      <c r="F152">
        <f>_xlfn.NUMBERVALUE("0.000687")</f>
        <v/>
      </c>
      <c r="G152">
        <f>_xlfn.NUMBERVALUE("-0.000459")</f>
        <v/>
      </c>
      <c r="H152">
        <f>_xlfn.NUMBERVALUE("0.000258")</f>
        <v/>
      </c>
      <c r="I152">
        <f>_xlfn.NUMBERVALUE("-0.001953")</f>
        <v/>
      </c>
      <c r="J152">
        <f>_xlfn.NUMBERVALUE("-0.000311")</f>
        <v/>
      </c>
      <c r="K152">
        <f>_xlfn.NUMBERVALUE("-0.000202")</f>
        <v/>
      </c>
      <c r="L152">
        <f>_xlfn.NUMBERVALUE("-0.000583")</f>
        <v/>
      </c>
      <c r="M152">
        <f>_xlfn.NUMBERVALUE("-0.002141")</f>
        <v/>
      </c>
      <c r="N152">
        <f>_xlfn.NUMBERVALUE("0.000000")</f>
        <v/>
      </c>
      <c r="O152">
        <f>_xlfn.NUMBERVALUE("-0.005668")</f>
        <v/>
      </c>
      <c r="P152">
        <f>_xlfn.NUMBERVALUE("-0.001087")</f>
        <v/>
      </c>
      <c r="Q152">
        <f>_xlfn.NUMBERVALUE("-0.003277")</f>
        <v/>
      </c>
      <c r="R152">
        <f>_xlfn.NUMBERVALUE("-0.001582")</f>
        <v/>
      </c>
      <c r="S152">
        <f>_xlfn.NUMBERVALUE("-0.001412")</f>
        <v/>
      </c>
      <c r="T152">
        <f>_xlfn.NUMBERVALUE("-0.000181")</f>
        <v/>
      </c>
      <c r="U152">
        <f>_xlfn.NUMBERVALUE("-0.003036")</f>
        <v/>
      </c>
      <c r="V152">
        <f>_xlfn.NUMBERVALUE("-0.001548")</f>
        <v/>
      </c>
      <c r="W152">
        <f>_xlfn.NUMBERVALUE("-0.006665")</f>
        <v/>
      </c>
      <c r="X152">
        <f>_xlfn.NUMBERVALUE("1.260000")</f>
        <v/>
      </c>
      <c r="Y152">
        <f>_xlfn.NUMBERVALUE("13.770000")</f>
        <v/>
      </c>
    </row>
    <row r="153">
      <c r="A153" s="1" t="n">
        <v>42223</v>
      </c>
      <c r="B153">
        <f>_xlfn.NUMBERVALUE("0.000000")</f>
        <v/>
      </c>
      <c r="C153" s="2">
        <f>_xlfn.NUMBERVALUE("0.000984")</f>
        <v/>
      </c>
      <c r="D153">
        <f>_xlfn.NUMBERVALUE("0.003357")</f>
        <v/>
      </c>
      <c r="E153">
        <f>_xlfn.NUMBERVALUE("0.000375")</f>
        <v/>
      </c>
      <c r="F153">
        <f>_xlfn.NUMBERVALUE("0.001980")</f>
        <v/>
      </c>
      <c r="G153">
        <f>_xlfn.NUMBERVALUE("0.000854")</f>
        <v/>
      </c>
      <c r="H153">
        <f>_xlfn.NUMBERVALUE("0.001251")</f>
        <v/>
      </c>
      <c r="I153">
        <f>_xlfn.NUMBERVALUE("0.000036")</f>
        <v/>
      </c>
      <c r="J153">
        <f>_xlfn.NUMBERVALUE("0.001237")</f>
        <v/>
      </c>
      <c r="K153">
        <f>_xlfn.NUMBERVALUE("0.003855")</f>
        <v/>
      </c>
      <c r="L153">
        <f>_xlfn.NUMBERVALUE("-0.000688")</f>
        <v/>
      </c>
      <c r="M153">
        <f>_xlfn.NUMBERVALUE("-0.001558")</f>
        <v/>
      </c>
      <c r="N153">
        <f>_xlfn.NUMBERVALUE("0.000000")</f>
        <v/>
      </c>
      <c r="O153">
        <f>_xlfn.NUMBERVALUE("-0.002851")</f>
        <v/>
      </c>
      <c r="P153">
        <f>_xlfn.NUMBERVALUE("0.002173")</f>
        <v/>
      </c>
      <c r="Q153">
        <f>_xlfn.NUMBERVALUE("0.000681")</f>
        <v/>
      </c>
      <c r="R153">
        <f>_xlfn.NUMBERVALUE("0.001250")</f>
        <v/>
      </c>
      <c r="S153">
        <f>_xlfn.NUMBERVALUE("0.000044")</f>
        <v/>
      </c>
      <c r="T153">
        <f>_xlfn.NUMBERVALUE("-0.002213")</f>
        <v/>
      </c>
      <c r="U153">
        <f>_xlfn.NUMBERVALUE("0.000485")</f>
        <v/>
      </c>
      <c r="V153">
        <f>_xlfn.NUMBERVALUE("0.000779")</f>
        <v/>
      </c>
      <c r="W153">
        <f>_xlfn.NUMBERVALUE("-0.003834")</f>
        <v/>
      </c>
      <c r="X153">
        <f>_xlfn.NUMBERVALUE("-0.380000")</f>
        <v/>
      </c>
      <c r="Y153">
        <f>_xlfn.NUMBERVALUE("13.390000")</f>
        <v/>
      </c>
    </row>
    <row r="154">
      <c r="A154" s="1" t="n">
        <v>42226</v>
      </c>
      <c r="B154">
        <f>_xlfn.NUMBERVALUE("0.000000")</f>
        <v/>
      </c>
      <c r="C154" s="2">
        <f>_xlfn.NUMBERVALUE("-0.000270")</f>
        <v/>
      </c>
      <c r="D154">
        <f>_xlfn.NUMBERVALUE("-0.000761")</f>
        <v/>
      </c>
      <c r="E154">
        <f>_xlfn.NUMBERVALUE("0.000322")</f>
        <v/>
      </c>
      <c r="F154">
        <f>_xlfn.NUMBERVALUE("-0.000051")</f>
        <v/>
      </c>
      <c r="G154">
        <f>_xlfn.NUMBERVALUE("0.002145")</f>
        <v/>
      </c>
      <c r="H154">
        <f>_xlfn.NUMBERVALUE("-0.001056")</f>
        <v/>
      </c>
      <c r="I154">
        <f>_xlfn.NUMBERVALUE("0.000897")</f>
        <v/>
      </c>
      <c r="J154">
        <f>_xlfn.NUMBERVALUE("-0.000391")</f>
        <v/>
      </c>
      <c r="K154">
        <f>_xlfn.NUMBERVALUE("-0.008211")</f>
        <v/>
      </c>
      <c r="L154">
        <f>_xlfn.NUMBERVALUE("0.000242")</f>
        <v/>
      </c>
      <c r="M154">
        <f>_xlfn.NUMBERVALUE("-0.000407")</f>
        <v/>
      </c>
      <c r="N154">
        <f>_xlfn.NUMBERVALUE("0.000000")</f>
        <v/>
      </c>
      <c r="O154">
        <f>_xlfn.NUMBERVALUE("-0.001845")</f>
        <v/>
      </c>
      <c r="P154">
        <f>_xlfn.NUMBERVALUE("0.000637")</f>
        <v/>
      </c>
      <c r="Q154">
        <f>_xlfn.NUMBERVALUE("-0.000954")</f>
        <v/>
      </c>
      <c r="R154">
        <f>_xlfn.NUMBERVALUE("-0.001185")</f>
        <v/>
      </c>
      <c r="S154">
        <f>_xlfn.NUMBERVALUE("0.002223")</f>
        <v/>
      </c>
      <c r="T154">
        <f>_xlfn.NUMBERVALUE("0.003950")</f>
        <v/>
      </c>
      <c r="U154">
        <f>_xlfn.NUMBERVALUE("0.002172")</f>
        <v/>
      </c>
      <c r="V154">
        <f>_xlfn.NUMBERVALUE("0.000373")</f>
        <v/>
      </c>
      <c r="W154">
        <f>_xlfn.NUMBERVALUE("0.012317")</f>
        <v/>
      </c>
      <c r="X154">
        <f>_xlfn.NUMBERVALUE("-1.160000")</f>
        <v/>
      </c>
      <c r="Y154">
        <f>_xlfn.NUMBERVALUE("12.230000")</f>
        <v/>
      </c>
    </row>
    <row r="155">
      <c r="A155" s="1" t="n">
        <v>42227</v>
      </c>
      <c r="B155">
        <f>_xlfn.NUMBERVALUE("0.000000")</f>
        <v/>
      </c>
      <c r="C155" s="2">
        <f>_xlfn.NUMBERVALUE("-0.002224")</f>
        <v/>
      </c>
      <c r="D155">
        <f>_xlfn.NUMBERVALUE("-0.007384")</f>
        <v/>
      </c>
      <c r="E155">
        <f>_xlfn.NUMBERVALUE("-0.003225")</f>
        <v/>
      </c>
      <c r="F155">
        <f>_xlfn.NUMBERVALUE("-0.000359")</f>
        <v/>
      </c>
      <c r="G155">
        <f>_xlfn.NUMBERVALUE("-0.000475")</f>
        <v/>
      </c>
      <c r="H155">
        <f>_xlfn.NUMBERVALUE("-0.002121")</f>
        <v/>
      </c>
      <c r="I155">
        <f>_xlfn.NUMBERVALUE("-0.001338")</f>
        <v/>
      </c>
      <c r="J155">
        <f>_xlfn.NUMBERVALUE("0.000370")</f>
        <v/>
      </c>
      <c r="K155">
        <f>_xlfn.NUMBERVALUE("-0.000956")</f>
        <v/>
      </c>
      <c r="L155">
        <f>_xlfn.NUMBERVALUE("-0.003563")</f>
        <v/>
      </c>
      <c r="M155">
        <f>_xlfn.NUMBERVALUE("-0.005992")</f>
        <v/>
      </c>
      <c r="N155">
        <f>_xlfn.NUMBERVALUE("0.000000")</f>
        <v/>
      </c>
      <c r="O155">
        <f>_xlfn.NUMBERVALUE("-0.001383")</f>
        <v/>
      </c>
      <c r="P155">
        <f>_xlfn.NUMBERVALUE("-0.000479")</f>
        <v/>
      </c>
      <c r="Q155">
        <f>_xlfn.NUMBERVALUE("-0.001964")</f>
        <v/>
      </c>
      <c r="R155">
        <f>_xlfn.NUMBERVALUE("-0.000999")</f>
        <v/>
      </c>
      <c r="S155">
        <f>_xlfn.NUMBERVALUE("-0.000482")</f>
        <v/>
      </c>
      <c r="T155">
        <f>_xlfn.NUMBERVALUE("-0.002380")</f>
        <v/>
      </c>
      <c r="U155">
        <f>_xlfn.NUMBERVALUE("-0.001025")</f>
        <v/>
      </c>
      <c r="V155">
        <f>_xlfn.NUMBERVALUE("-0.001911")</f>
        <v/>
      </c>
      <c r="W155">
        <f>_xlfn.NUMBERVALUE("-0.008317")</f>
        <v/>
      </c>
      <c r="X155">
        <f>_xlfn.NUMBERVALUE("1.480000")</f>
        <v/>
      </c>
      <c r="Y155">
        <f>_xlfn.NUMBERVALUE("13.710000")</f>
        <v/>
      </c>
    </row>
    <row r="156">
      <c r="A156" s="1" t="n">
        <v>42228</v>
      </c>
      <c r="B156">
        <f>_xlfn.NUMBERVALUE("0.000000")</f>
        <v/>
      </c>
      <c r="C156" s="2">
        <f>_xlfn.NUMBERVALUE("-0.000013")</f>
        <v/>
      </c>
      <c r="D156">
        <f>_xlfn.NUMBERVALUE("-0.001355")</f>
        <v/>
      </c>
      <c r="E156">
        <f>_xlfn.NUMBERVALUE("-0.003320")</f>
        <v/>
      </c>
      <c r="F156">
        <f>_xlfn.NUMBERVALUE("-0.002627")</f>
        <v/>
      </c>
      <c r="G156">
        <f>_xlfn.NUMBERVALUE("0.000598")</f>
        <v/>
      </c>
      <c r="H156">
        <f>_xlfn.NUMBERVALUE("0.000286")</f>
        <v/>
      </c>
      <c r="I156">
        <f>_xlfn.NUMBERVALUE("0.000819")</f>
        <v/>
      </c>
      <c r="J156">
        <f>_xlfn.NUMBERVALUE("-0.001225")</f>
        <v/>
      </c>
      <c r="K156">
        <f>_xlfn.NUMBERVALUE("-0.001115")</f>
        <v/>
      </c>
      <c r="L156">
        <f>_xlfn.NUMBERVALUE("-0.000627")</f>
        <v/>
      </c>
      <c r="M156">
        <f>_xlfn.NUMBERVALUE("-0.001089")</f>
        <v/>
      </c>
      <c r="N156">
        <f>_xlfn.NUMBERVALUE("0.000000")</f>
        <v/>
      </c>
      <c r="O156">
        <f>_xlfn.NUMBERVALUE("-0.003191")</f>
        <v/>
      </c>
      <c r="P156">
        <f>_xlfn.NUMBERVALUE("-0.002216")</f>
        <v/>
      </c>
      <c r="Q156">
        <f>_xlfn.NUMBERVALUE("-0.000682")</f>
        <v/>
      </c>
      <c r="R156">
        <f>_xlfn.NUMBERVALUE("-0.001262")</f>
        <v/>
      </c>
      <c r="S156">
        <f>_xlfn.NUMBERVALUE("-0.000124")</f>
        <v/>
      </c>
      <c r="T156">
        <f>_xlfn.NUMBERVALUE("-0.005610")</f>
        <v/>
      </c>
      <c r="U156">
        <f>_xlfn.NUMBERVALUE("-0.000539")</f>
        <v/>
      </c>
      <c r="V156">
        <f>_xlfn.NUMBERVALUE("0.000015")</f>
        <v/>
      </c>
      <c r="W156">
        <f>_xlfn.NUMBERVALUE("0.000623")</f>
        <v/>
      </c>
      <c r="X156">
        <f>_xlfn.NUMBERVALUE("-0.100000")</f>
        <v/>
      </c>
      <c r="Y156">
        <f>_xlfn.NUMBERVALUE("13.610000")</f>
        <v/>
      </c>
    </row>
    <row r="157">
      <c r="A157" s="1" t="n">
        <v>42229</v>
      </c>
      <c r="B157">
        <f>_xlfn.NUMBERVALUE("0.000000")</f>
        <v/>
      </c>
      <c r="C157" s="2">
        <f>_xlfn.NUMBERVALUE("0.001721")</f>
        <v/>
      </c>
      <c r="D157">
        <f>_xlfn.NUMBERVALUE("0.002657")</f>
        <v/>
      </c>
      <c r="E157">
        <f>_xlfn.NUMBERVALUE("0.001927")</f>
        <v/>
      </c>
      <c r="F157">
        <f>_xlfn.NUMBERVALUE("0.002748")</f>
        <v/>
      </c>
      <c r="G157">
        <f>_xlfn.NUMBERVALUE("0.000600")</f>
        <v/>
      </c>
      <c r="H157">
        <f>_xlfn.NUMBERVALUE("0.000184")</f>
        <v/>
      </c>
      <c r="I157">
        <f>_xlfn.NUMBERVALUE("0.001267")</f>
        <v/>
      </c>
      <c r="J157">
        <f>_xlfn.NUMBERVALUE("0.000946")</f>
        <v/>
      </c>
      <c r="K157">
        <f>_xlfn.NUMBERVALUE("0.001829")</f>
        <v/>
      </c>
      <c r="L157">
        <f>_xlfn.NUMBERVALUE("0.000897")</f>
        <v/>
      </c>
      <c r="M157">
        <f>_xlfn.NUMBERVALUE("0.001991")</f>
        <v/>
      </c>
      <c r="N157">
        <f>_xlfn.NUMBERVALUE("0.000000")</f>
        <v/>
      </c>
      <c r="O157">
        <f>_xlfn.NUMBERVALUE("0.001426")</f>
        <v/>
      </c>
      <c r="P157">
        <f>_xlfn.NUMBERVALUE("0.002198")</f>
        <v/>
      </c>
      <c r="Q157">
        <f>_xlfn.NUMBERVALUE("0.001874")</f>
        <v/>
      </c>
      <c r="R157">
        <f>_xlfn.NUMBERVALUE("0.001796")</f>
        <v/>
      </c>
      <c r="S157">
        <f>_xlfn.NUMBERVALUE("0.000363")</f>
        <v/>
      </c>
      <c r="T157">
        <f>_xlfn.NUMBERVALUE("0.000437")</f>
        <v/>
      </c>
      <c r="U157">
        <f>_xlfn.NUMBERVALUE("0.000662")</f>
        <v/>
      </c>
      <c r="V157">
        <f>_xlfn.NUMBERVALUE("0.001155")</f>
        <v/>
      </c>
      <c r="W157">
        <f>_xlfn.NUMBERVALUE("-0.000239")</f>
        <v/>
      </c>
      <c r="X157">
        <f>_xlfn.NUMBERVALUE("-0.120000")</f>
        <v/>
      </c>
      <c r="Y157">
        <f>_xlfn.NUMBERVALUE("13.490000")</f>
        <v/>
      </c>
    </row>
    <row r="158">
      <c r="A158" s="1" t="n">
        <v>42230</v>
      </c>
      <c r="B158">
        <f>_xlfn.NUMBERVALUE("0.000000")</f>
        <v/>
      </c>
      <c r="C158" s="2">
        <f>_xlfn.NUMBERVALUE("0.001089")</f>
        <v/>
      </c>
      <c r="D158">
        <f>_xlfn.NUMBERVALUE("0.002142")</f>
        <v/>
      </c>
      <c r="E158">
        <f>_xlfn.NUMBERVALUE("0.001723")</f>
        <v/>
      </c>
      <c r="F158">
        <f>_xlfn.NUMBERVALUE("0.001037")</f>
        <v/>
      </c>
      <c r="G158">
        <f>_xlfn.NUMBERVALUE("0.001695")</f>
        <v/>
      </c>
      <c r="H158">
        <f>_xlfn.NUMBERVALUE("-0.000744")</f>
        <v/>
      </c>
      <c r="I158">
        <f>_xlfn.NUMBERVALUE("0.000930")</f>
        <v/>
      </c>
      <c r="J158">
        <f>_xlfn.NUMBERVALUE("0.000453")</f>
        <v/>
      </c>
      <c r="K158">
        <f>_xlfn.NUMBERVALUE("0.001711")</f>
        <v/>
      </c>
      <c r="L158">
        <f>_xlfn.NUMBERVALUE("0.001681")</f>
        <v/>
      </c>
      <c r="M158">
        <f>_xlfn.NUMBERVALUE("0.001729")</f>
        <v/>
      </c>
      <c r="N158">
        <f>_xlfn.NUMBERVALUE("0.000000")</f>
        <v/>
      </c>
      <c r="O158">
        <f>_xlfn.NUMBERVALUE("0.001604")</f>
        <v/>
      </c>
      <c r="P158">
        <f>_xlfn.NUMBERVALUE("0.001134")</f>
        <v/>
      </c>
      <c r="Q158">
        <f>_xlfn.NUMBERVALUE("0.001456")</f>
        <v/>
      </c>
      <c r="R158">
        <f>_xlfn.NUMBERVALUE("0.001417")</f>
        <v/>
      </c>
      <c r="S158">
        <f>_xlfn.NUMBERVALUE("-0.001223")</f>
        <v/>
      </c>
      <c r="T158">
        <f>_xlfn.NUMBERVALUE("0.001015")</f>
        <v/>
      </c>
      <c r="U158">
        <f>_xlfn.NUMBERVALUE("0.000598")</f>
        <v/>
      </c>
      <c r="V158">
        <f>_xlfn.NUMBERVALUE("0.001402")</f>
        <v/>
      </c>
      <c r="W158">
        <f>_xlfn.NUMBERVALUE("0.002874")</f>
        <v/>
      </c>
      <c r="X158">
        <f>_xlfn.NUMBERVALUE("-0.660000")</f>
        <v/>
      </c>
      <c r="Y158">
        <f>_xlfn.NUMBERVALUE("12.830000")</f>
        <v/>
      </c>
    </row>
    <row r="159">
      <c r="A159" s="1" t="n">
        <v>42233</v>
      </c>
      <c r="B159">
        <f>_xlfn.NUMBERVALUE("0.000000")</f>
        <v/>
      </c>
      <c r="C159" s="2">
        <f>_xlfn.NUMBERVALUE("0.001636")</f>
        <v/>
      </c>
      <c r="D159">
        <f>_xlfn.NUMBERVALUE("0.001122")</f>
        <v/>
      </c>
      <c r="E159">
        <f>_xlfn.NUMBERVALUE("0.002539")</f>
        <v/>
      </c>
      <c r="F159">
        <f>_xlfn.NUMBERVALUE("0.001149")</f>
        <v/>
      </c>
      <c r="G159">
        <f>_xlfn.NUMBERVALUE("0.000270")</f>
        <v/>
      </c>
      <c r="H159">
        <f>_xlfn.NUMBERVALUE("0.001568")</f>
        <v/>
      </c>
      <c r="I159">
        <f>_xlfn.NUMBERVALUE("0.000762")</f>
        <v/>
      </c>
      <c r="J159">
        <f>_xlfn.NUMBERVALUE("0.000163")</f>
        <v/>
      </c>
      <c r="K159">
        <f>_xlfn.NUMBERVALUE("0.002925")</f>
        <v/>
      </c>
      <c r="L159">
        <f>_xlfn.NUMBERVALUE("0.001325")</f>
        <v/>
      </c>
      <c r="M159">
        <f>_xlfn.NUMBERVALUE("0.002705")</f>
        <v/>
      </c>
      <c r="N159">
        <f>_xlfn.NUMBERVALUE("0.000000")</f>
        <v/>
      </c>
      <c r="O159">
        <f>_xlfn.NUMBERVALUE("0.004659")</f>
        <v/>
      </c>
      <c r="P159">
        <f>_xlfn.NUMBERVALUE("0.001702")</f>
        <v/>
      </c>
      <c r="Q159">
        <f>_xlfn.NUMBERVALUE("0.001115")</f>
        <v/>
      </c>
      <c r="R159">
        <f>_xlfn.NUMBERVALUE("0.001818")</f>
        <v/>
      </c>
      <c r="S159">
        <f>_xlfn.NUMBERVALUE("0.004359")</f>
        <v/>
      </c>
      <c r="T159">
        <f>_xlfn.NUMBERVALUE("0.000231")</f>
        <v/>
      </c>
      <c r="U159">
        <f>_xlfn.NUMBERVALUE("0.001029")</f>
        <v/>
      </c>
      <c r="V159">
        <f>_xlfn.NUMBERVALUE("0.001394")</f>
        <v/>
      </c>
      <c r="W159">
        <f>_xlfn.NUMBERVALUE("0.005422")</f>
        <v/>
      </c>
      <c r="X159">
        <f>_xlfn.NUMBERVALUE("0.190000")</f>
        <v/>
      </c>
      <c r="Y159">
        <f>_xlfn.NUMBERVALUE("13.020000")</f>
        <v/>
      </c>
    </row>
    <row r="160">
      <c r="A160" s="1" t="n">
        <v>42234</v>
      </c>
      <c r="B160">
        <f>_xlfn.NUMBERVALUE("0.000000")</f>
        <v/>
      </c>
      <c r="C160" s="2">
        <f>_xlfn.NUMBERVALUE("0.000383")</f>
        <v/>
      </c>
      <c r="D160">
        <f>_xlfn.NUMBERVALUE("-0.000721")</f>
        <v/>
      </c>
      <c r="E160">
        <f>_xlfn.NUMBERVALUE("-0.000321")</f>
        <v/>
      </c>
      <c r="F160">
        <f>_xlfn.NUMBERVALUE("-0.000236")</f>
        <v/>
      </c>
      <c r="G160">
        <f>_xlfn.NUMBERVALUE("0.001207")</f>
        <v/>
      </c>
      <c r="H160">
        <f>_xlfn.NUMBERVALUE("0.000345")</f>
        <v/>
      </c>
      <c r="I160">
        <f>_xlfn.NUMBERVALUE("-0.000458")</f>
        <v/>
      </c>
      <c r="J160">
        <f>_xlfn.NUMBERVALUE("0.000318")</f>
        <v/>
      </c>
      <c r="K160">
        <f>_xlfn.NUMBERVALUE("-0.002694")</f>
        <v/>
      </c>
      <c r="L160">
        <f>_xlfn.NUMBERVALUE("0.000208")</f>
        <v/>
      </c>
      <c r="M160">
        <f>_xlfn.NUMBERVALUE("0.000037")</f>
        <v/>
      </c>
      <c r="N160">
        <f>_xlfn.NUMBERVALUE("0.000000")</f>
        <v/>
      </c>
      <c r="O160">
        <f>_xlfn.NUMBERVALUE("0.001542")</f>
        <v/>
      </c>
      <c r="P160">
        <f>_xlfn.NUMBERVALUE("-0.000566")</f>
        <v/>
      </c>
      <c r="Q160">
        <f>_xlfn.NUMBERVALUE("-0.000138")</f>
        <v/>
      </c>
      <c r="R160">
        <f>_xlfn.NUMBERVALUE("0.000172")</f>
        <v/>
      </c>
      <c r="S160">
        <f>_xlfn.NUMBERVALUE("-0.000289")</f>
        <v/>
      </c>
      <c r="T160">
        <f>_xlfn.NUMBERVALUE("0.000694")</f>
        <v/>
      </c>
      <c r="U160">
        <f>_xlfn.NUMBERVALUE("0.000108")</f>
        <v/>
      </c>
      <c r="V160">
        <f>_xlfn.NUMBERVALUE("0.000235")</f>
        <v/>
      </c>
      <c r="W160">
        <f>_xlfn.NUMBERVALUE("-0.002304")</f>
        <v/>
      </c>
      <c r="X160">
        <f>_xlfn.NUMBERVALUE("0.770000")</f>
        <v/>
      </c>
      <c r="Y160">
        <f>_xlfn.NUMBERVALUE("13.790000")</f>
        <v/>
      </c>
    </row>
    <row r="161">
      <c r="A161" s="1" t="n">
        <v>42235</v>
      </c>
      <c r="B161">
        <f>_xlfn.NUMBERVALUE("0.000000")</f>
        <v/>
      </c>
      <c r="C161" s="2">
        <f>_xlfn.NUMBERVALUE("-0.002404")</f>
        <v/>
      </c>
      <c r="D161">
        <f>_xlfn.NUMBERVALUE("-0.000876")</f>
        <v/>
      </c>
      <c r="E161">
        <f>_xlfn.NUMBERVALUE("-0.002176")</f>
        <v/>
      </c>
      <c r="F161">
        <f>_xlfn.NUMBERVALUE("-0.001954")</f>
        <v/>
      </c>
      <c r="G161">
        <f>_xlfn.NUMBERVALUE("-0.000472")</f>
        <v/>
      </c>
      <c r="H161">
        <f>_xlfn.NUMBERVALUE("-0.000672")</f>
        <v/>
      </c>
      <c r="I161">
        <f>_xlfn.NUMBERVALUE("-0.001771")</f>
        <v/>
      </c>
      <c r="J161">
        <f>_xlfn.NUMBERVALUE("-0.000684")</f>
        <v/>
      </c>
      <c r="K161">
        <f>_xlfn.NUMBERVALUE("-0.004111")</f>
        <v/>
      </c>
      <c r="L161">
        <f>_xlfn.NUMBERVALUE("-0.000511")</f>
        <v/>
      </c>
      <c r="M161">
        <f>_xlfn.NUMBERVALUE("-0.002724")</f>
        <v/>
      </c>
      <c r="N161">
        <f>_xlfn.NUMBERVALUE("0.000000")</f>
        <v/>
      </c>
      <c r="O161">
        <f>_xlfn.NUMBERVALUE("-0.006817")</f>
        <v/>
      </c>
      <c r="P161">
        <f>_xlfn.NUMBERVALUE("-0.001875")</f>
        <v/>
      </c>
      <c r="Q161">
        <f>_xlfn.NUMBERVALUE("-0.002267")</f>
        <v/>
      </c>
      <c r="R161">
        <f>_xlfn.NUMBERVALUE("0.000111")</f>
        <v/>
      </c>
      <c r="S161">
        <f>_xlfn.NUMBERVALUE("-0.001313")</f>
        <v/>
      </c>
      <c r="T161">
        <f>_xlfn.NUMBERVALUE("-0.001318")</f>
        <v/>
      </c>
      <c r="U161">
        <f>_xlfn.NUMBERVALUE("0.000601")</f>
        <v/>
      </c>
      <c r="V161">
        <f>_xlfn.NUMBERVALUE("-0.001687")</f>
        <v/>
      </c>
      <c r="W161">
        <f>_xlfn.NUMBERVALUE("-0.007572")</f>
        <v/>
      </c>
      <c r="X161">
        <f>_xlfn.NUMBERVALUE("1.460000")</f>
        <v/>
      </c>
      <c r="Y161">
        <f>_xlfn.NUMBERVALUE("15.250000")</f>
        <v/>
      </c>
    </row>
    <row r="162">
      <c r="A162" s="1" t="n">
        <v>42236</v>
      </c>
      <c r="B162">
        <f>_xlfn.NUMBERVALUE("0.000000")</f>
        <v/>
      </c>
      <c r="C162" s="2">
        <f>_xlfn.NUMBERVALUE("-0.004193")</f>
        <v/>
      </c>
      <c r="D162">
        <f>_xlfn.NUMBERVALUE("-0.004719")</f>
        <v/>
      </c>
      <c r="E162">
        <f>_xlfn.NUMBERVALUE("-0.002294")</f>
        <v/>
      </c>
      <c r="F162">
        <f>_xlfn.NUMBERVALUE("-0.001280")</f>
        <v/>
      </c>
      <c r="G162">
        <f>_xlfn.NUMBERVALUE("-0.001951")</f>
        <v/>
      </c>
      <c r="H162">
        <f>_xlfn.NUMBERVALUE("0.000751")</f>
        <v/>
      </c>
      <c r="I162">
        <f>_xlfn.NUMBERVALUE("-0.003121")</f>
        <v/>
      </c>
      <c r="J162">
        <f>_xlfn.NUMBERVALUE("0.000296")</f>
        <v/>
      </c>
      <c r="K162">
        <f>_xlfn.NUMBERVALUE("-0.002083")</f>
        <v/>
      </c>
      <c r="L162">
        <f>_xlfn.NUMBERVALUE("-0.003380")</f>
        <v/>
      </c>
      <c r="M162">
        <f>_xlfn.NUMBERVALUE("-0.003965")</f>
        <v/>
      </c>
      <c r="N162">
        <f>_xlfn.NUMBERVALUE("0.000000")</f>
        <v/>
      </c>
      <c r="O162">
        <f>_xlfn.NUMBERVALUE("-0.007700")</f>
        <v/>
      </c>
      <c r="P162">
        <f>_xlfn.NUMBERVALUE("-0.007888")</f>
        <v/>
      </c>
      <c r="Q162">
        <f>_xlfn.NUMBERVALUE("-0.006153")</f>
        <v/>
      </c>
      <c r="R162">
        <f>_xlfn.NUMBERVALUE("-0.008860")</f>
        <v/>
      </c>
      <c r="S162">
        <f>_xlfn.NUMBERVALUE("-0.003896")</f>
        <v/>
      </c>
      <c r="T162">
        <f>_xlfn.NUMBERVALUE("0.000738")</f>
        <v/>
      </c>
      <c r="U162">
        <f>_xlfn.NUMBERVALUE("-0.009305")</f>
        <v/>
      </c>
      <c r="V162">
        <f>_xlfn.NUMBERVALUE("-0.005980")</f>
        <v/>
      </c>
      <c r="W162">
        <f>_xlfn.NUMBERVALUE("-0.020154")</f>
        <v/>
      </c>
      <c r="X162">
        <f>_xlfn.NUMBERVALUE("3.890000")</f>
        <v/>
      </c>
      <c r="Y162">
        <f>_xlfn.NUMBERVALUE("19.140000")</f>
        <v/>
      </c>
    </row>
    <row r="163">
      <c r="A163" s="1" t="n">
        <v>42237</v>
      </c>
      <c r="B163">
        <f>_xlfn.NUMBERVALUE("0.000000")</f>
        <v/>
      </c>
      <c r="C163" s="2">
        <f>_xlfn.NUMBERVALUE("-0.003547")</f>
        <v/>
      </c>
      <c r="D163">
        <f>_xlfn.NUMBERVALUE("0.001010")</f>
        <v/>
      </c>
      <c r="E163">
        <f>_xlfn.NUMBERVALUE("-0.002330")</f>
        <v/>
      </c>
      <c r="F163">
        <f>_xlfn.NUMBERVALUE("-0.000370")</f>
        <v/>
      </c>
      <c r="G163">
        <f>_xlfn.NUMBERVALUE("0.000996")</f>
        <v/>
      </c>
      <c r="H163">
        <f>_xlfn.NUMBERVALUE("-0.001598")</f>
        <v/>
      </c>
      <c r="I163">
        <f>_xlfn.NUMBERVALUE("-0.001152")</f>
        <v/>
      </c>
      <c r="J163">
        <f>_xlfn.NUMBERVALUE("-0.000357")</f>
        <v/>
      </c>
      <c r="K163">
        <f>_xlfn.NUMBERVALUE("-0.001165")</f>
        <v/>
      </c>
      <c r="L163">
        <f>_xlfn.NUMBERVALUE("-0.000188")</f>
        <v/>
      </c>
      <c r="M163">
        <f>_xlfn.NUMBERVALUE("-0.007152")</f>
        <v/>
      </c>
      <c r="N163">
        <f>_xlfn.NUMBERVALUE("0.000000")</f>
        <v/>
      </c>
      <c r="O163">
        <f>_xlfn.NUMBERVALUE("-0.006412")</f>
        <v/>
      </c>
      <c r="P163">
        <f>_xlfn.NUMBERVALUE("-0.013965")</f>
        <v/>
      </c>
      <c r="Q163">
        <f>_xlfn.NUMBERVALUE("-0.010257")</f>
        <v/>
      </c>
      <c r="R163">
        <f>_xlfn.NUMBERVALUE("-0.017434")</f>
        <v/>
      </c>
      <c r="S163">
        <f>_xlfn.NUMBERVALUE("-0.002007")</f>
        <v/>
      </c>
      <c r="T163">
        <f>_xlfn.NUMBERVALUE("-0.002735")</f>
        <v/>
      </c>
      <c r="U163">
        <f>_xlfn.NUMBERVALUE("-0.004086")</f>
        <v/>
      </c>
      <c r="V163">
        <f>_xlfn.NUMBERVALUE("-0.005948")</f>
        <v/>
      </c>
      <c r="W163">
        <f>_xlfn.NUMBERVALUE("-0.030754")</f>
        <v/>
      </c>
      <c r="X163">
        <f>_xlfn.NUMBERVALUE("8.890000")</f>
        <v/>
      </c>
      <c r="Y163">
        <f>_xlfn.NUMBERVALUE("28.030000")</f>
        <v/>
      </c>
    </row>
    <row r="164">
      <c r="A164" s="1" t="n">
        <v>42240</v>
      </c>
      <c r="B164">
        <f>_xlfn.NUMBERVALUE("0.000000")</f>
        <v/>
      </c>
      <c r="C164" s="2">
        <f>_xlfn.NUMBERVALUE("-0.001843")</f>
        <v/>
      </c>
      <c r="D164">
        <f>_xlfn.NUMBERVALUE("-0.001179")</f>
        <v/>
      </c>
      <c r="E164">
        <f>_xlfn.NUMBERVALUE("-0.001353")</f>
        <v/>
      </c>
      <c r="F164">
        <f>_xlfn.NUMBERVALUE("-0.000604")</f>
        <v/>
      </c>
      <c r="G164">
        <f>_xlfn.NUMBERVALUE("-0.002146")</f>
        <v/>
      </c>
      <c r="H164">
        <f>_xlfn.NUMBERVALUE("0.000147")</f>
        <v/>
      </c>
      <c r="I164">
        <f>_xlfn.NUMBERVALUE("-0.002476")</f>
        <v/>
      </c>
      <c r="J164">
        <f>_xlfn.NUMBERVALUE("0.000082")</f>
        <v/>
      </c>
      <c r="K164">
        <f>_xlfn.NUMBERVALUE("-0.008986")</f>
        <v/>
      </c>
      <c r="L164">
        <f>_xlfn.NUMBERVALUE("-0.000954")</f>
        <v/>
      </c>
      <c r="M164">
        <f>_xlfn.NUMBERVALUE("-0.003942")</f>
        <v/>
      </c>
      <c r="N164">
        <f>_xlfn.NUMBERVALUE("0.000000")</f>
        <v/>
      </c>
      <c r="O164">
        <f>_xlfn.NUMBERVALUE("-0.007854")</f>
        <v/>
      </c>
      <c r="P164">
        <f>_xlfn.NUMBERVALUE("-0.004552")</f>
        <v/>
      </c>
      <c r="Q164">
        <f>_xlfn.NUMBERVALUE("-0.007719")</f>
        <v/>
      </c>
      <c r="R164">
        <f>_xlfn.NUMBERVALUE("-0.002777")</f>
        <v/>
      </c>
      <c r="S164">
        <f>_xlfn.NUMBERVALUE("-0.001302")</f>
        <v/>
      </c>
      <c r="T164">
        <f>_xlfn.NUMBERVALUE("-0.007039")</f>
        <v/>
      </c>
      <c r="U164">
        <f>_xlfn.NUMBERVALUE("-0.003954")</f>
        <v/>
      </c>
      <c r="V164">
        <f>_xlfn.NUMBERVALUE("-0.002427")</f>
        <v/>
      </c>
      <c r="W164">
        <f>_xlfn.NUMBERVALUE("-0.032690")</f>
        <v/>
      </c>
      <c r="X164">
        <f>_xlfn.NUMBERVALUE("12.710000")</f>
        <v/>
      </c>
      <c r="Y164">
        <f>_xlfn.NUMBERVALUE("40.740000")</f>
        <v/>
      </c>
    </row>
    <row r="165">
      <c r="A165" s="1" t="n">
        <v>42241</v>
      </c>
      <c r="B165">
        <f>_xlfn.NUMBERVALUE("0.000000")</f>
        <v/>
      </c>
      <c r="C165" s="2">
        <f>_xlfn.NUMBERVALUE("0.000028")</f>
        <v/>
      </c>
      <c r="D165">
        <f>_xlfn.NUMBERVALUE("-0.001983")</f>
        <v/>
      </c>
      <c r="E165">
        <f>_xlfn.NUMBERVALUE("0.001083")</f>
        <v/>
      </c>
      <c r="F165">
        <f>_xlfn.NUMBERVALUE("0.000732")</f>
        <v/>
      </c>
      <c r="G165">
        <f>_xlfn.NUMBERVALUE("-0.000086")</f>
        <v/>
      </c>
      <c r="H165">
        <f>_xlfn.NUMBERVALUE("0.000041")</f>
        <v/>
      </c>
      <c r="I165">
        <f>_xlfn.NUMBERVALUE("0.000473")</f>
        <v/>
      </c>
      <c r="J165">
        <f>_xlfn.NUMBERVALUE("0.001159")</f>
        <v/>
      </c>
      <c r="K165">
        <f>_xlfn.NUMBERVALUE("0.002777")</f>
        <v/>
      </c>
      <c r="L165">
        <f>_xlfn.NUMBERVALUE("-0.002183")</f>
        <v/>
      </c>
      <c r="M165">
        <f>_xlfn.NUMBERVALUE("0.000551")</f>
        <v/>
      </c>
      <c r="N165">
        <f>_xlfn.NUMBERVALUE("0.000000")</f>
        <v/>
      </c>
      <c r="O165">
        <f>_xlfn.NUMBERVALUE("0.003029")</f>
        <v/>
      </c>
      <c r="P165">
        <f>_xlfn.NUMBERVALUE("-0.003025")</f>
        <v/>
      </c>
      <c r="Q165">
        <f>_xlfn.NUMBERVALUE("0.000111")</f>
        <v/>
      </c>
      <c r="R165">
        <f>_xlfn.NUMBERVALUE("0.001795")</f>
        <v/>
      </c>
      <c r="S165">
        <f>_xlfn.NUMBERVALUE("-0.004748")</f>
        <v/>
      </c>
      <c r="T165">
        <f>_xlfn.NUMBERVALUE("-0.003131")</f>
        <v/>
      </c>
      <c r="U165">
        <f>_xlfn.NUMBERVALUE("0.001784")</f>
        <v/>
      </c>
      <c r="V165">
        <f>_xlfn.NUMBERVALUE("0.000176")</f>
        <v/>
      </c>
      <c r="W165">
        <f>_xlfn.NUMBERVALUE("-0.011335")</f>
        <v/>
      </c>
      <c r="X165">
        <f>_xlfn.NUMBERVALUE("-4.720000")</f>
        <v/>
      </c>
      <c r="Y165">
        <f>_xlfn.NUMBERVALUE("36.020000")</f>
        <v/>
      </c>
    </row>
    <row r="166">
      <c r="A166" s="1" t="n">
        <v>42242</v>
      </c>
      <c r="B166">
        <f>_xlfn.NUMBERVALUE("0.000000")</f>
        <v/>
      </c>
      <c r="C166" s="2">
        <f>_xlfn.NUMBERVALUE("0.000575")</f>
        <v/>
      </c>
      <c r="D166">
        <f>_xlfn.NUMBERVALUE("0.002949")</f>
        <v/>
      </c>
      <c r="E166">
        <f>_xlfn.NUMBERVALUE("0.000477")</f>
        <v/>
      </c>
      <c r="F166">
        <f>_xlfn.NUMBERVALUE("-0.000260")</f>
        <v/>
      </c>
      <c r="G166">
        <f>_xlfn.NUMBERVALUE("0.001173")</f>
        <v/>
      </c>
      <c r="H166">
        <f>_xlfn.NUMBERVALUE("-0.000657")</f>
        <v/>
      </c>
      <c r="I166">
        <f>_xlfn.NUMBERVALUE("-0.000137")</f>
        <v/>
      </c>
      <c r="J166">
        <f>_xlfn.NUMBERVALUE("-0.000355")</f>
        <v/>
      </c>
      <c r="K166">
        <f>_xlfn.NUMBERVALUE("-0.005852")</f>
        <v/>
      </c>
      <c r="L166">
        <f>_xlfn.NUMBERVALUE("-0.004123")</f>
        <v/>
      </c>
      <c r="M166">
        <f>_xlfn.NUMBERVALUE("0.000667")</f>
        <v/>
      </c>
      <c r="N166">
        <f>_xlfn.NUMBERVALUE("0.000000")</f>
        <v/>
      </c>
      <c r="O166">
        <f>_xlfn.NUMBERVALUE("0.000051")</f>
        <v/>
      </c>
      <c r="P166">
        <f>_xlfn.NUMBERVALUE("0.003390")</f>
        <v/>
      </c>
      <c r="Q166">
        <f>_xlfn.NUMBERVALUE("0.004274")</f>
        <v/>
      </c>
      <c r="R166">
        <f>_xlfn.NUMBERVALUE("0.000509")</f>
        <v/>
      </c>
      <c r="S166">
        <f>_xlfn.NUMBERVALUE("0.003465")</f>
        <v/>
      </c>
      <c r="T166">
        <f>_xlfn.NUMBERVALUE("0.001704")</f>
        <v/>
      </c>
      <c r="U166">
        <f>_xlfn.NUMBERVALUE("0.000146")</f>
        <v/>
      </c>
      <c r="V166">
        <f>_xlfn.NUMBERVALUE("0.000171")</f>
        <v/>
      </c>
      <c r="W166">
        <f>_xlfn.NUMBERVALUE("0.026152")</f>
        <v/>
      </c>
      <c r="X166">
        <f>_xlfn.NUMBERVALUE("-5.700000")</f>
        <v/>
      </c>
      <c r="Y166">
        <f>_xlfn.NUMBERVALUE("30.320000")</f>
        <v/>
      </c>
    </row>
    <row r="167">
      <c r="A167" s="1" t="n">
        <v>42243</v>
      </c>
      <c r="B167">
        <f>_xlfn.NUMBERVALUE("0.000000")</f>
        <v/>
      </c>
      <c r="C167" s="2">
        <f>_xlfn.NUMBERVALUE("0.000175")</f>
        <v/>
      </c>
      <c r="D167">
        <f>_xlfn.NUMBERVALUE("0.000154")</f>
        <v/>
      </c>
      <c r="E167">
        <f>_xlfn.NUMBERVALUE("-0.001363")</f>
        <v/>
      </c>
      <c r="F167">
        <f>_xlfn.NUMBERVALUE("0.002485")</f>
        <v/>
      </c>
      <c r="G167">
        <f>_xlfn.NUMBERVALUE("0.000282")</f>
        <v/>
      </c>
      <c r="H167">
        <f>_xlfn.NUMBERVALUE("0.000620")</f>
        <v/>
      </c>
      <c r="I167">
        <f>_xlfn.NUMBERVALUE("0.000212")</f>
        <v/>
      </c>
      <c r="J167">
        <f>_xlfn.NUMBERVALUE("0.000879")</f>
        <v/>
      </c>
      <c r="K167">
        <f>_xlfn.NUMBERVALUE("0.006396")</f>
        <v/>
      </c>
      <c r="L167">
        <f>_xlfn.NUMBERVALUE("0.002664")</f>
        <v/>
      </c>
      <c r="M167">
        <f>_xlfn.NUMBERVALUE("-0.000050")</f>
        <v/>
      </c>
      <c r="N167">
        <f>_xlfn.NUMBERVALUE("0.000000")</f>
        <v/>
      </c>
      <c r="O167">
        <f>_xlfn.NUMBERVALUE("-0.003955")</f>
        <v/>
      </c>
      <c r="P167">
        <f>_xlfn.NUMBERVALUE("-0.001292")</f>
        <v/>
      </c>
      <c r="Q167">
        <f>_xlfn.NUMBERVALUE("0.001469")</f>
        <v/>
      </c>
      <c r="R167">
        <f>_xlfn.NUMBERVALUE("0.003035")</f>
        <v/>
      </c>
      <c r="S167">
        <f>_xlfn.NUMBERVALUE("0.001126")</f>
        <v/>
      </c>
      <c r="T167">
        <f>_xlfn.NUMBERVALUE("0.004337")</f>
        <v/>
      </c>
      <c r="U167">
        <f>_xlfn.NUMBERVALUE("0.000946")</f>
        <v/>
      </c>
      <c r="V167">
        <f>_xlfn.NUMBERVALUE("0.000276")</f>
        <v/>
      </c>
      <c r="W167">
        <f>_xlfn.NUMBERVALUE("0.022859")</f>
        <v/>
      </c>
      <c r="X167">
        <f>_xlfn.NUMBERVALUE("-4.220000")</f>
        <v/>
      </c>
      <c r="Y167">
        <f>_xlfn.NUMBERVALUE("26.100000")</f>
        <v/>
      </c>
    </row>
    <row r="168">
      <c r="A168" s="1" t="n">
        <v>42244</v>
      </c>
      <c r="B168">
        <f>_xlfn.NUMBERVALUE("0.000000")</f>
        <v/>
      </c>
      <c r="C168" s="2">
        <f>_xlfn.NUMBERVALUE("0.000630")</f>
        <v/>
      </c>
      <c r="D168">
        <f>_xlfn.NUMBERVALUE("-0.000122")</f>
        <v/>
      </c>
      <c r="E168">
        <f>_xlfn.NUMBERVALUE("0.001376")</f>
        <v/>
      </c>
      <c r="F168">
        <f>_xlfn.NUMBERVALUE("0.000130")</f>
        <v/>
      </c>
      <c r="G168">
        <f>_xlfn.NUMBERVALUE("0.003577")</f>
        <v/>
      </c>
      <c r="H168">
        <f>_xlfn.NUMBERVALUE("0.000834")</f>
        <v/>
      </c>
      <c r="I168">
        <f>_xlfn.NUMBERVALUE("0.000349")</f>
        <v/>
      </c>
      <c r="J168">
        <f>_xlfn.NUMBERVALUE("0.000068")</f>
        <v/>
      </c>
      <c r="K168">
        <f>_xlfn.NUMBERVALUE("0.002943")</f>
        <v/>
      </c>
      <c r="L168">
        <f>_xlfn.NUMBERVALUE("0.002417")</f>
        <v/>
      </c>
      <c r="M168">
        <f>_xlfn.NUMBERVALUE("0.000962")</f>
        <v/>
      </c>
      <c r="N168">
        <f>_xlfn.NUMBERVALUE("0.000000")</f>
        <v/>
      </c>
      <c r="O168">
        <f>_xlfn.NUMBERVALUE("0.002794")</f>
        <v/>
      </c>
      <c r="P168">
        <f>_xlfn.NUMBERVALUE("0.002145")</f>
        <v/>
      </c>
      <c r="Q168">
        <f>_xlfn.NUMBERVALUE("-0.000969")</f>
        <v/>
      </c>
      <c r="R168">
        <f>_xlfn.NUMBERVALUE("0.001779")</f>
        <v/>
      </c>
      <c r="S168">
        <f>_xlfn.NUMBERVALUE("0.000527")</f>
        <v/>
      </c>
      <c r="T168">
        <f>_xlfn.NUMBERVALUE("0.001444")</f>
        <v/>
      </c>
      <c r="U168">
        <f>_xlfn.NUMBERVALUE("0.000811")</f>
        <v/>
      </c>
      <c r="V168">
        <f>_xlfn.NUMBERVALUE("0.000635")</f>
        <v/>
      </c>
      <c r="W168">
        <f>_xlfn.NUMBERVALUE("0.001812")</f>
        <v/>
      </c>
      <c r="X168">
        <f>_xlfn.NUMBERVALUE("-0.050000")</f>
        <v/>
      </c>
      <c r="Y168">
        <f>_xlfn.NUMBERVALUE("26.050000")</f>
        <v/>
      </c>
    </row>
    <row r="169">
      <c r="A169" s="1" t="n">
        <v>42247</v>
      </c>
      <c r="B169">
        <f>_xlfn.NUMBERVALUE("0.000000")</f>
        <v/>
      </c>
      <c r="C169" s="2">
        <f>_xlfn.NUMBERVALUE("0.000040")</f>
        <v/>
      </c>
      <c r="D169">
        <f>_xlfn.NUMBERVALUE("0.000969")</f>
        <v/>
      </c>
      <c r="E169">
        <f>_xlfn.NUMBERVALUE("0.000187")</f>
        <v/>
      </c>
      <c r="F169">
        <f>_xlfn.NUMBERVALUE("0.000362")</f>
        <v/>
      </c>
      <c r="G169">
        <f>_xlfn.NUMBERVALUE("0.001128")</f>
        <v/>
      </c>
      <c r="H169">
        <f>_xlfn.NUMBERVALUE("0.002818")</f>
        <v/>
      </c>
      <c r="I169">
        <f>_xlfn.NUMBERVALUE("0.000272")</f>
        <v/>
      </c>
      <c r="J169">
        <f>_xlfn.NUMBERVALUE("0.001531")</f>
        <v/>
      </c>
      <c r="K169">
        <f>_xlfn.NUMBERVALUE("0.013665")</f>
        <v/>
      </c>
      <c r="L169">
        <f>_xlfn.NUMBERVALUE("0.002300")</f>
        <v/>
      </c>
      <c r="M169">
        <f>_xlfn.NUMBERVALUE("0.001312")</f>
        <v/>
      </c>
      <c r="N169">
        <f>_xlfn.NUMBERVALUE("0.000000")</f>
        <v/>
      </c>
      <c r="O169">
        <f>_xlfn.NUMBERVALUE("0.008559")</f>
        <v/>
      </c>
      <c r="P169">
        <f>_xlfn.NUMBERVALUE("0.000275")</f>
        <v/>
      </c>
      <c r="Q169">
        <f>_xlfn.NUMBERVALUE("0.002363")</f>
        <v/>
      </c>
      <c r="R169">
        <f>_xlfn.NUMBERVALUE("0.001315")</f>
        <v/>
      </c>
      <c r="S169">
        <f>_xlfn.NUMBERVALUE("0.000351")</f>
        <v/>
      </c>
      <c r="T169">
        <f>_xlfn.NUMBERVALUE("0.002059")</f>
        <v/>
      </c>
      <c r="U169">
        <f>_xlfn.NUMBERVALUE("0.000409")</f>
        <v/>
      </c>
      <c r="V169">
        <f>_xlfn.NUMBERVALUE("0.000102")</f>
        <v/>
      </c>
      <c r="W169">
        <f>_xlfn.NUMBERVALUE("-0.005024")</f>
        <v/>
      </c>
      <c r="X169">
        <f>_xlfn.NUMBERVALUE("2.380000")</f>
        <v/>
      </c>
      <c r="Y169">
        <f>_xlfn.NUMBERVALUE("28.430000")</f>
        <v/>
      </c>
    </row>
    <row r="170">
      <c r="A170" s="1" t="n">
        <v>42248</v>
      </c>
      <c r="B170">
        <f>_xlfn.NUMBERVALUE("0.000000")</f>
        <v/>
      </c>
      <c r="C170" s="2">
        <f>_xlfn.NUMBERVALUE("-0.000011")</f>
        <v/>
      </c>
      <c r="D170">
        <f>_xlfn.NUMBERVALUE("0.000083")</f>
        <v/>
      </c>
      <c r="E170">
        <f>_xlfn.NUMBERVALUE("0.000212")</f>
        <v/>
      </c>
      <c r="F170">
        <f>_xlfn.NUMBERVALUE("-0.000062")</f>
        <v/>
      </c>
      <c r="G170">
        <f>_xlfn.NUMBERVALUE("0.000976")</f>
        <v/>
      </c>
      <c r="H170">
        <f>_xlfn.NUMBERVALUE("0.001482")</f>
        <v/>
      </c>
      <c r="I170">
        <f>_xlfn.NUMBERVALUE("0.000042")</f>
        <v/>
      </c>
      <c r="J170">
        <f>_xlfn.NUMBERVALUE("0.000524")</f>
        <v/>
      </c>
      <c r="K170">
        <f>_xlfn.NUMBERVALUE("0.008680")</f>
        <v/>
      </c>
      <c r="L170">
        <f>_xlfn.NUMBERVALUE("0.002082")</f>
        <v/>
      </c>
      <c r="M170">
        <f>_xlfn.NUMBERVALUE("-0.001167")</f>
        <v/>
      </c>
      <c r="N170">
        <f>_xlfn.NUMBERVALUE("0.000000")</f>
        <v/>
      </c>
      <c r="O170">
        <f>_xlfn.NUMBERVALUE("-0.013318")</f>
        <v/>
      </c>
      <c r="P170">
        <f>_xlfn.NUMBERVALUE("-0.000063")</f>
        <v/>
      </c>
      <c r="Q170">
        <f>_xlfn.NUMBERVALUE("-0.001106")</f>
        <v/>
      </c>
      <c r="R170">
        <f>_xlfn.NUMBERVALUE("-0.000347")</f>
        <v/>
      </c>
      <c r="S170">
        <f>_xlfn.NUMBERVALUE("-0.000067")</f>
        <v/>
      </c>
      <c r="T170">
        <f>_xlfn.NUMBERVALUE("-0.004336")</f>
        <v/>
      </c>
      <c r="U170">
        <f>_xlfn.NUMBERVALUE("-0.000149")</f>
        <v/>
      </c>
      <c r="V170">
        <f>_xlfn.NUMBERVALUE("0.000013")</f>
        <v/>
      </c>
      <c r="W170">
        <f>_xlfn.NUMBERVALUE("-0.015654")</f>
        <v/>
      </c>
      <c r="X170">
        <f>_xlfn.NUMBERVALUE("2.970000")</f>
        <v/>
      </c>
      <c r="Y170">
        <f>_xlfn.NUMBERVALUE("31.400000")</f>
        <v/>
      </c>
    </row>
    <row r="171">
      <c r="A171" s="1" t="n">
        <v>42249</v>
      </c>
      <c r="B171">
        <f>_xlfn.NUMBERVALUE("0.000000")</f>
        <v/>
      </c>
      <c r="C171" s="2">
        <f>_xlfn.NUMBERVALUE("0.006558")</f>
        <v/>
      </c>
      <c r="D171">
        <f>_xlfn.NUMBERVALUE("0.008836")</f>
        <v/>
      </c>
      <c r="E171">
        <f>_xlfn.NUMBERVALUE("0.004726")</f>
        <v/>
      </c>
      <c r="F171">
        <f>_xlfn.NUMBERVALUE("0.001942")</f>
        <v/>
      </c>
      <c r="G171">
        <f>_xlfn.NUMBERVALUE("0.001421")</f>
        <v/>
      </c>
      <c r="H171">
        <f>_xlfn.NUMBERVALUE("0.001054")</f>
        <v/>
      </c>
      <c r="I171">
        <f>_xlfn.NUMBERVALUE("0.006176")</f>
        <v/>
      </c>
      <c r="J171">
        <f>_xlfn.NUMBERVALUE("-0.000783")</f>
        <v/>
      </c>
      <c r="K171">
        <f>_xlfn.NUMBERVALUE("0.001118")</f>
        <v/>
      </c>
      <c r="L171">
        <f>_xlfn.NUMBERVALUE("0.000818")</f>
        <v/>
      </c>
      <c r="M171">
        <f>_xlfn.NUMBERVALUE("0.000157")</f>
        <v/>
      </c>
      <c r="N171">
        <f>_xlfn.NUMBERVALUE("0.000000")</f>
        <v/>
      </c>
      <c r="O171">
        <f>_xlfn.NUMBERVALUE("0.000264")</f>
        <v/>
      </c>
      <c r="P171">
        <f>_xlfn.NUMBERVALUE("0.000000")</f>
        <v/>
      </c>
      <c r="Q171">
        <f>_xlfn.NUMBERVALUE("0.000083")</f>
        <v/>
      </c>
      <c r="R171">
        <f>_xlfn.NUMBERVALUE("0.000098")</f>
        <v/>
      </c>
      <c r="S171">
        <f>_xlfn.NUMBERVALUE("0.000161")</f>
        <v/>
      </c>
      <c r="T171">
        <f>_xlfn.NUMBERVALUE("0.000032")</f>
        <v/>
      </c>
      <c r="U171">
        <f>_xlfn.NUMBERVALUE("0.000109")</f>
        <v/>
      </c>
      <c r="V171">
        <f>_xlfn.NUMBERVALUE("0.006681")</f>
        <v/>
      </c>
      <c r="W171">
        <f>_xlfn.NUMBERVALUE("0.016108")</f>
        <v/>
      </c>
      <c r="X171">
        <f>_xlfn.NUMBERVALUE("-5.310000")</f>
        <v/>
      </c>
      <c r="Y171">
        <f>_xlfn.NUMBERVALUE("26.090000")</f>
        <v/>
      </c>
    </row>
    <row r="172">
      <c r="A172" s="1" t="n">
        <v>42250</v>
      </c>
      <c r="B172">
        <f>_xlfn.NUMBERVALUE("0.000000")</f>
        <v/>
      </c>
      <c r="C172" s="2">
        <f>_xlfn.NUMBERVALUE("0.001237")</f>
        <v/>
      </c>
      <c r="D172">
        <f>_xlfn.NUMBERVALUE("-0.000439")</f>
        <v/>
      </c>
      <c r="E172">
        <f>_xlfn.NUMBERVALUE("0.001044")</f>
        <v/>
      </c>
      <c r="F172">
        <f>_xlfn.NUMBERVALUE("0.000393")</f>
        <v/>
      </c>
      <c r="G172">
        <f>_xlfn.NUMBERVALUE("0.001512")</f>
        <v/>
      </c>
      <c r="H172">
        <f>_xlfn.NUMBERVALUE("0.000368")</f>
        <v/>
      </c>
      <c r="I172">
        <f>_xlfn.NUMBERVALUE("0.001206")</f>
        <v/>
      </c>
      <c r="J172">
        <f>_xlfn.NUMBERVALUE("0.001372")</f>
        <v/>
      </c>
      <c r="K172">
        <f>_xlfn.NUMBERVALUE("0.001749")</f>
        <v/>
      </c>
      <c r="L172">
        <f>_xlfn.NUMBERVALUE("0.001841")</f>
        <v/>
      </c>
      <c r="M172">
        <f>_xlfn.NUMBERVALUE("0.002580")</f>
        <v/>
      </c>
      <c r="N172">
        <f>_xlfn.NUMBERVALUE("0.000000")</f>
        <v/>
      </c>
      <c r="O172">
        <f>_xlfn.NUMBERVALUE("0.005588")</f>
        <v/>
      </c>
      <c r="P172">
        <f>_xlfn.NUMBERVALUE("0.004624")</f>
        <v/>
      </c>
      <c r="Q172">
        <f>_xlfn.NUMBERVALUE("-0.001106")</f>
        <v/>
      </c>
      <c r="R172">
        <f>_xlfn.NUMBERVALUE("0.002159")</f>
        <v/>
      </c>
      <c r="S172">
        <f>_xlfn.NUMBERVALUE("-0.000197")</f>
        <v/>
      </c>
      <c r="T172">
        <f>_xlfn.NUMBERVALUE("0.003792")</f>
        <v/>
      </c>
      <c r="U172">
        <f>_xlfn.NUMBERVALUE("0.002017")</f>
        <v/>
      </c>
      <c r="V172">
        <f>_xlfn.NUMBERVALUE("0.001776")</f>
        <v/>
      </c>
      <c r="W172">
        <f>_xlfn.NUMBERVALUE("0.004874")</f>
        <v/>
      </c>
      <c r="X172">
        <f>_xlfn.NUMBERVALUE("-0.480000")</f>
        <v/>
      </c>
      <c r="Y172">
        <f>_xlfn.NUMBERVALUE("25.610000")</f>
        <v/>
      </c>
    </row>
    <row r="173">
      <c r="A173" s="1" t="n">
        <v>42251</v>
      </c>
      <c r="B173">
        <f>_xlfn.NUMBERVALUE("0.000000")</f>
        <v/>
      </c>
      <c r="C173" s="2">
        <f>_xlfn.NUMBERVALUE("-0.000924")</f>
        <v/>
      </c>
      <c r="D173">
        <f>_xlfn.NUMBERVALUE("-0.006403")</f>
        <v/>
      </c>
      <c r="E173">
        <f>_xlfn.NUMBERVALUE("-0.002969")</f>
        <v/>
      </c>
      <c r="F173">
        <f>_xlfn.NUMBERVALUE("0.000582")</f>
        <v/>
      </c>
      <c r="G173">
        <f>_xlfn.NUMBERVALUE("0.000385")</f>
        <v/>
      </c>
      <c r="H173">
        <f>_xlfn.NUMBERVALUE("0.000667")</f>
        <v/>
      </c>
      <c r="I173">
        <f>_xlfn.NUMBERVALUE("0.000389")</f>
        <v/>
      </c>
      <c r="J173">
        <f>_xlfn.NUMBERVALUE("-0.000693")</f>
        <v/>
      </c>
      <c r="K173">
        <f>_xlfn.NUMBERVALUE("-0.000735")</f>
        <v/>
      </c>
      <c r="L173">
        <f>_xlfn.NUMBERVALUE("0.000914")</f>
        <v/>
      </c>
      <c r="M173">
        <f>_xlfn.NUMBERVALUE("-0.003933")</f>
        <v/>
      </c>
      <c r="N173">
        <f>_xlfn.NUMBERVALUE("0.000000")</f>
        <v/>
      </c>
      <c r="O173">
        <f>_xlfn.NUMBERVALUE("-0.000748")</f>
        <v/>
      </c>
      <c r="P173">
        <f>_xlfn.NUMBERVALUE("-0.004673")</f>
        <v/>
      </c>
      <c r="Q173">
        <f>_xlfn.NUMBERVALUE("-0.000017")</f>
        <v/>
      </c>
      <c r="R173">
        <f>_xlfn.NUMBERVALUE("-0.000943")</f>
        <v/>
      </c>
      <c r="S173">
        <f>_xlfn.NUMBERVALUE("-0.002675")</f>
        <v/>
      </c>
      <c r="T173">
        <f>_xlfn.NUMBERVALUE("-0.002459")</f>
        <v/>
      </c>
      <c r="U173">
        <f>_xlfn.NUMBERVALUE("-0.001344")</f>
        <v/>
      </c>
      <c r="V173">
        <f>_xlfn.NUMBERVALUE("-0.000857")</f>
        <v/>
      </c>
      <c r="W173">
        <f>_xlfn.NUMBERVALUE("-0.013427")</f>
        <v/>
      </c>
      <c r="X173">
        <f>_xlfn.NUMBERVALUE("2.190000")</f>
        <v/>
      </c>
      <c r="Y173">
        <f>_xlfn.NUMBERVALUE("27.800000")</f>
        <v/>
      </c>
    </row>
    <row r="174">
      <c r="A174" s="1" t="n">
        <v>42255</v>
      </c>
      <c r="B174">
        <f>_xlfn.NUMBERVALUE("0.000000")</f>
        <v/>
      </c>
      <c r="C174" s="2">
        <f>_xlfn.NUMBERVALUE("0.001829")</f>
        <v/>
      </c>
      <c r="D174">
        <f>_xlfn.NUMBERVALUE("0.006109")</f>
        <v/>
      </c>
      <c r="E174">
        <f>_xlfn.NUMBERVALUE("0.000802")</f>
        <v/>
      </c>
      <c r="F174">
        <f>_xlfn.NUMBERVALUE("0.002740")</f>
        <v/>
      </c>
      <c r="G174">
        <f>_xlfn.NUMBERVALUE("0.000775")</f>
        <v/>
      </c>
      <c r="H174">
        <f>_xlfn.NUMBERVALUE("0.000923")</f>
        <v/>
      </c>
      <c r="I174">
        <f>_xlfn.NUMBERVALUE("0.002744")</f>
        <v/>
      </c>
      <c r="J174">
        <f>_xlfn.NUMBERVALUE("0.001372")</f>
        <v/>
      </c>
      <c r="K174">
        <f>_xlfn.NUMBERVALUE("0.005934")</f>
        <v/>
      </c>
      <c r="L174">
        <f>_xlfn.NUMBERVALUE("-0.000442")</f>
        <v/>
      </c>
      <c r="M174">
        <f>_xlfn.NUMBERVALUE("0.007842")</f>
        <v/>
      </c>
      <c r="N174">
        <f>_xlfn.NUMBERVALUE("0.000000")</f>
        <v/>
      </c>
      <c r="O174">
        <f>_xlfn.NUMBERVALUE("0.005821")</f>
        <v/>
      </c>
      <c r="P174">
        <f>_xlfn.NUMBERVALUE("0.005778")</f>
        <v/>
      </c>
      <c r="Q174">
        <f>_xlfn.NUMBERVALUE("0.002033")</f>
        <v/>
      </c>
      <c r="R174">
        <f>_xlfn.NUMBERVALUE("0.002982")</f>
        <v/>
      </c>
      <c r="S174">
        <f>_xlfn.NUMBERVALUE("0.001207")</f>
        <v/>
      </c>
      <c r="T174">
        <f>_xlfn.NUMBERVALUE("0.004577")</f>
        <v/>
      </c>
      <c r="U174">
        <f>_xlfn.NUMBERVALUE("0.004434")</f>
        <v/>
      </c>
      <c r="V174">
        <f>_xlfn.NUMBERVALUE("0.001012")</f>
        <v/>
      </c>
      <c r="W174">
        <f>_xlfn.NUMBERVALUE("0.021114")</f>
        <v/>
      </c>
      <c r="X174">
        <f>_xlfn.NUMBERVALUE("-2.900000")</f>
        <v/>
      </c>
      <c r="Y174">
        <f>_xlfn.NUMBERVALUE("24.900000")</f>
        <v/>
      </c>
    </row>
    <row r="175">
      <c r="A175" s="1" t="n">
        <v>42256</v>
      </c>
      <c r="B175">
        <f>_xlfn.NUMBERVALUE("0.000000")</f>
        <v/>
      </c>
      <c r="C175" s="2">
        <f>_xlfn.NUMBERVALUE("-0.000881")</f>
        <v/>
      </c>
      <c r="D175">
        <f>_xlfn.NUMBERVALUE("0.004212")</f>
        <v/>
      </c>
      <c r="E175">
        <f>_xlfn.NUMBERVALUE("-0.000140")</f>
        <v/>
      </c>
      <c r="F175">
        <f>_xlfn.NUMBERVALUE("-0.000794")</f>
        <v/>
      </c>
      <c r="G175">
        <f>_xlfn.NUMBERVALUE("0.001039")</f>
        <v/>
      </c>
      <c r="H175">
        <f>_xlfn.NUMBERVALUE("-0.000565")</f>
        <v/>
      </c>
      <c r="I175">
        <f>_xlfn.NUMBERVALUE("-0.000636")</f>
        <v/>
      </c>
      <c r="J175">
        <f>_xlfn.NUMBERVALUE("0.000690")</f>
        <v/>
      </c>
      <c r="K175">
        <f>_xlfn.NUMBERVALUE("0.000075")</f>
        <v/>
      </c>
      <c r="L175">
        <f>_xlfn.NUMBERVALUE("0.000279")</f>
        <v/>
      </c>
      <c r="M175">
        <f>_xlfn.NUMBERVALUE("-0.001666")</f>
        <v/>
      </c>
      <c r="N175">
        <f>_xlfn.NUMBERVALUE("0.000000")</f>
        <v/>
      </c>
      <c r="O175">
        <f>_xlfn.NUMBERVALUE("0.001083")</f>
        <v/>
      </c>
      <c r="P175">
        <f>_xlfn.NUMBERVALUE("-0.001402")</f>
        <v/>
      </c>
      <c r="Q175">
        <f>_xlfn.NUMBERVALUE("-0.000268")</f>
        <v/>
      </c>
      <c r="R175">
        <f>_xlfn.NUMBERVALUE("-0.000325")</f>
        <v/>
      </c>
      <c r="S175">
        <f>_xlfn.NUMBERVALUE("-0.000308")</f>
        <v/>
      </c>
      <c r="T175">
        <f>_xlfn.NUMBERVALUE("-0.002148")</f>
        <v/>
      </c>
      <c r="U175">
        <f>_xlfn.NUMBERVALUE("-0.002275")</f>
        <v/>
      </c>
      <c r="V175">
        <f>_xlfn.NUMBERVALUE("-0.001259")</f>
        <v/>
      </c>
      <c r="W175">
        <f>_xlfn.NUMBERVALUE("-0.014089")</f>
        <v/>
      </c>
      <c r="X175">
        <f>_xlfn.NUMBERVALUE("1.330000")</f>
        <v/>
      </c>
      <c r="Y175">
        <f>_xlfn.NUMBERVALUE("26.230000")</f>
        <v/>
      </c>
    </row>
    <row r="176">
      <c r="A176" s="1" t="n">
        <v>42257</v>
      </c>
      <c r="B176">
        <f>_xlfn.NUMBERVALUE("0.000000")</f>
        <v/>
      </c>
      <c r="C176" s="2">
        <f>_xlfn.NUMBERVALUE("0.002379")</f>
        <v/>
      </c>
      <c r="D176">
        <f>_xlfn.NUMBERVALUE("0.000117")</f>
        <v/>
      </c>
      <c r="E176">
        <f>_xlfn.NUMBERVALUE("0.000591")</f>
        <v/>
      </c>
      <c r="F176">
        <f>_xlfn.NUMBERVALUE("0.001706")</f>
        <v/>
      </c>
      <c r="G176">
        <f>_xlfn.NUMBERVALUE("0.000814")</f>
        <v/>
      </c>
      <c r="H176">
        <f>_xlfn.NUMBERVALUE("0.001475")</f>
        <v/>
      </c>
      <c r="I176">
        <f>_xlfn.NUMBERVALUE("0.002139")</f>
        <v/>
      </c>
      <c r="J176">
        <f>_xlfn.NUMBERVALUE("0.001542")</f>
        <v/>
      </c>
      <c r="K176">
        <f>_xlfn.NUMBERVALUE("0.004507")</f>
        <v/>
      </c>
      <c r="L176">
        <f>_xlfn.NUMBERVALUE("0.000834")</f>
        <v/>
      </c>
      <c r="M176">
        <f>_xlfn.NUMBERVALUE("0.002604")</f>
        <v/>
      </c>
      <c r="N176">
        <f>_xlfn.NUMBERVALUE("0.000000")</f>
        <v/>
      </c>
      <c r="O176">
        <f>_xlfn.NUMBERVALUE("0.002239")</f>
        <v/>
      </c>
      <c r="P176">
        <f>_xlfn.NUMBERVALUE("0.001536")</f>
        <v/>
      </c>
      <c r="Q176">
        <f>_xlfn.NUMBERVALUE("0.002008")</f>
        <v/>
      </c>
      <c r="R176">
        <f>_xlfn.NUMBERVALUE("0.000971")</f>
        <v/>
      </c>
      <c r="S176">
        <f>_xlfn.NUMBERVALUE("0.000164")</f>
        <v/>
      </c>
      <c r="T176">
        <f>_xlfn.NUMBERVALUE("0.001432")</f>
        <v/>
      </c>
      <c r="U176">
        <f>_xlfn.NUMBERVALUE("0.001481")</f>
        <v/>
      </c>
      <c r="V176">
        <f>_xlfn.NUMBERVALUE("0.002063")</f>
        <v/>
      </c>
      <c r="W176">
        <f>_xlfn.NUMBERVALUE("0.005603")</f>
        <v/>
      </c>
      <c r="X176">
        <f>_xlfn.NUMBERVALUE("-1.860000")</f>
        <v/>
      </c>
      <c r="Y176">
        <f>_xlfn.NUMBERVALUE("24.370000")</f>
        <v/>
      </c>
    </row>
    <row r="177">
      <c r="A177" s="1" t="n">
        <v>42258</v>
      </c>
      <c r="B177">
        <f>_xlfn.NUMBERVALUE("0.000000")</f>
        <v/>
      </c>
      <c r="C177" s="2">
        <f>_xlfn.NUMBERVALUE("0.001559")</f>
        <v/>
      </c>
      <c r="D177">
        <f>_xlfn.NUMBERVALUE("-0.000616")</f>
        <v/>
      </c>
      <c r="E177">
        <f>_xlfn.NUMBERVALUE("0.002657")</f>
        <v/>
      </c>
      <c r="F177">
        <f>_xlfn.NUMBERVALUE("-0.000436")</f>
        <v/>
      </c>
      <c r="G177">
        <f>_xlfn.NUMBERVALUE("0.001720")</f>
        <v/>
      </c>
      <c r="H177">
        <f>_xlfn.NUMBERVALUE("-0.000083")</f>
        <v/>
      </c>
      <c r="I177">
        <f>_xlfn.NUMBERVALUE("0.002077")</f>
        <v/>
      </c>
      <c r="J177">
        <f>_xlfn.NUMBERVALUE("0.000001")</f>
        <v/>
      </c>
      <c r="K177">
        <f>_xlfn.NUMBERVALUE("-0.000705")</f>
        <v/>
      </c>
      <c r="L177">
        <f>_xlfn.NUMBERVALUE("0.000666")</f>
        <v/>
      </c>
      <c r="M177">
        <f>_xlfn.NUMBERVALUE("0.002575")</f>
        <v/>
      </c>
      <c r="N177">
        <f>_xlfn.NUMBERVALUE("0.000000")</f>
        <v/>
      </c>
      <c r="O177">
        <f>_xlfn.NUMBERVALUE("0.002389")</f>
        <v/>
      </c>
      <c r="P177">
        <f>_xlfn.NUMBERVALUE("0.002417")</f>
        <v/>
      </c>
      <c r="Q177">
        <f>_xlfn.NUMBERVALUE("0.002373")</f>
        <v/>
      </c>
      <c r="R177">
        <f>_xlfn.NUMBERVALUE("0.002481")</f>
        <v/>
      </c>
      <c r="S177">
        <f>_xlfn.NUMBERVALUE("0.003076")</f>
        <v/>
      </c>
      <c r="T177">
        <f>_xlfn.NUMBERVALUE("0.002636")</f>
        <v/>
      </c>
      <c r="U177">
        <f>_xlfn.NUMBERVALUE("0.001594")</f>
        <v/>
      </c>
      <c r="V177">
        <f>_xlfn.NUMBERVALUE("0.001787")</f>
        <v/>
      </c>
      <c r="W177">
        <f>_xlfn.NUMBERVALUE("0.003834")</f>
        <v/>
      </c>
      <c r="X177">
        <f>_xlfn.NUMBERVALUE("-1.170000")</f>
        <v/>
      </c>
      <c r="Y177">
        <f>_xlfn.NUMBERVALUE("23.200000")</f>
        <v/>
      </c>
    </row>
    <row r="178">
      <c r="A178" s="1" t="n">
        <v>42261</v>
      </c>
      <c r="B178">
        <f>_xlfn.NUMBERVALUE("0.000000")</f>
        <v/>
      </c>
      <c r="C178" s="2">
        <f>_xlfn.NUMBERVALUE("0.001851")</f>
        <v/>
      </c>
      <c r="D178">
        <f>_xlfn.NUMBERVALUE("0.005027")</f>
        <v/>
      </c>
      <c r="E178">
        <f>_xlfn.NUMBERVALUE("0.001288")</f>
        <v/>
      </c>
      <c r="F178">
        <f>_xlfn.NUMBERVALUE("0.000724")</f>
        <v/>
      </c>
      <c r="G178">
        <f>_xlfn.NUMBERVALUE("0.001181")</f>
        <v/>
      </c>
      <c r="H178">
        <f>_xlfn.NUMBERVALUE("0.000741")</f>
        <v/>
      </c>
      <c r="I178">
        <f>_xlfn.NUMBERVALUE("0.000585")</f>
        <v/>
      </c>
      <c r="J178">
        <f>_xlfn.NUMBERVALUE("0.001339")</f>
        <v/>
      </c>
      <c r="K178">
        <f>_xlfn.NUMBERVALUE("0.002004")</f>
        <v/>
      </c>
      <c r="L178">
        <f>_xlfn.NUMBERVALUE("0.001238")</f>
        <v/>
      </c>
      <c r="M178">
        <f>_xlfn.NUMBERVALUE("0.000564")</f>
        <v/>
      </c>
      <c r="N178">
        <f>_xlfn.NUMBERVALUE("0.000000")</f>
        <v/>
      </c>
      <c r="O178">
        <f>_xlfn.NUMBERVALUE("0.002350")</f>
        <v/>
      </c>
      <c r="P178">
        <f>_xlfn.NUMBERVALUE("0.001984")</f>
        <v/>
      </c>
      <c r="Q178">
        <f>_xlfn.NUMBERVALUE("0.001793")</f>
        <v/>
      </c>
      <c r="R178">
        <f>_xlfn.NUMBERVALUE("0.001983")</f>
        <v/>
      </c>
      <c r="S178">
        <f>_xlfn.NUMBERVALUE("0.000055")</f>
        <v/>
      </c>
      <c r="T178">
        <f>_xlfn.NUMBERVALUE("0.001875")</f>
        <v/>
      </c>
      <c r="U178">
        <f>_xlfn.NUMBERVALUE("0.002543")</f>
        <v/>
      </c>
      <c r="V178">
        <f>_xlfn.NUMBERVALUE("0.001922")</f>
        <v/>
      </c>
      <c r="W178">
        <f>_xlfn.NUMBERVALUE("-0.003055")</f>
        <v/>
      </c>
      <c r="X178">
        <f>_xlfn.NUMBERVALUE("1.050000")</f>
        <v/>
      </c>
      <c r="Y178">
        <f>_xlfn.NUMBERVALUE("24.250000")</f>
        <v/>
      </c>
    </row>
    <row r="179">
      <c r="A179" s="1" t="n">
        <v>42262</v>
      </c>
      <c r="B179">
        <f>_xlfn.NUMBERVALUE("0.000000")</f>
        <v/>
      </c>
      <c r="C179" s="2">
        <f>_xlfn.NUMBERVALUE("-0.001770")</f>
        <v/>
      </c>
      <c r="D179">
        <f>_xlfn.NUMBERVALUE("0.001115")</f>
        <v/>
      </c>
      <c r="E179">
        <f>_xlfn.NUMBERVALUE("0.001679")</f>
        <v/>
      </c>
      <c r="F179">
        <f>_xlfn.NUMBERVALUE("0.000268")</f>
        <v/>
      </c>
      <c r="G179">
        <f>_xlfn.NUMBERVALUE("0.001386")</f>
        <v/>
      </c>
      <c r="H179">
        <f>_xlfn.NUMBERVALUE("-0.002201")</f>
        <v/>
      </c>
      <c r="I179">
        <f>_xlfn.NUMBERVALUE("0.000397")</f>
        <v/>
      </c>
      <c r="J179">
        <f>_xlfn.NUMBERVALUE("0.001070")</f>
        <v/>
      </c>
      <c r="K179">
        <f>_xlfn.NUMBERVALUE("0.001504")</f>
        <v/>
      </c>
      <c r="L179">
        <f>_xlfn.NUMBERVALUE("-0.004580")</f>
        <v/>
      </c>
      <c r="M179">
        <f>_xlfn.NUMBERVALUE("0.003679")</f>
        <v/>
      </c>
      <c r="N179">
        <f>_xlfn.NUMBERVALUE("0.000000")</f>
        <v/>
      </c>
      <c r="O179">
        <f>_xlfn.NUMBERVALUE("0.004423")</f>
        <v/>
      </c>
      <c r="P179">
        <f>_xlfn.NUMBERVALUE("0.000102")</f>
        <v/>
      </c>
      <c r="Q179">
        <f>_xlfn.NUMBERVALUE("-0.000114")</f>
        <v/>
      </c>
      <c r="R179">
        <f>_xlfn.NUMBERVALUE("0.000817")</f>
        <v/>
      </c>
      <c r="S179">
        <f>_xlfn.NUMBERVALUE("0.003258")</f>
        <v/>
      </c>
      <c r="T179">
        <f>_xlfn.NUMBERVALUE("0.002280")</f>
        <v/>
      </c>
      <c r="U179">
        <f>_xlfn.NUMBERVALUE("0.000899")</f>
        <v/>
      </c>
      <c r="V179">
        <f>_xlfn.NUMBERVALUE("-0.000792")</f>
        <v/>
      </c>
      <c r="W179">
        <f>_xlfn.NUMBERVALUE("0.014659")</f>
        <v/>
      </c>
      <c r="X179">
        <f>_xlfn.NUMBERVALUE("-1.710000")</f>
        <v/>
      </c>
      <c r="Y179">
        <f>_xlfn.NUMBERVALUE("22.540000")</f>
        <v/>
      </c>
    </row>
    <row r="180">
      <c r="A180" s="1" t="n">
        <v>42263</v>
      </c>
      <c r="B180">
        <f>_xlfn.NUMBERVALUE("0.000000")</f>
        <v/>
      </c>
      <c r="C180" s="2">
        <f>_xlfn.NUMBERVALUE("0.000681")</f>
        <v/>
      </c>
      <c r="D180">
        <f>_xlfn.NUMBERVALUE("-0.002623")</f>
        <v/>
      </c>
      <c r="E180">
        <f>_xlfn.NUMBERVALUE("-0.002180")</f>
        <v/>
      </c>
      <c r="F180">
        <f>_xlfn.NUMBERVALUE("-0.001429")</f>
        <v/>
      </c>
      <c r="G180">
        <f>_xlfn.NUMBERVALUE("-0.000124")</f>
        <v/>
      </c>
      <c r="H180">
        <f>_xlfn.NUMBERVALUE("0.000150")</f>
        <v/>
      </c>
      <c r="I180">
        <f>_xlfn.NUMBERVALUE("-0.000130")</f>
        <v/>
      </c>
      <c r="J180">
        <f>_xlfn.NUMBERVALUE("-0.000154")</f>
        <v/>
      </c>
      <c r="K180">
        <f>_xlfn.NUMBERVALUE("-0.006138")</f>
        <v/>
      </c>
      <c r="L180">
        <f>_xlfn.NUMBERVALUE("0.000230")</f>
        <v/>
      </c>
      <c r="M180">
        <f>_xlfn.NUMBERVALUE("0.001539")</f>
        <v/>
      </c>
      <c r="N180">
        <f>_xlfn.NUMBERVALUE("0.000000")</f>
        <v/>
      </c>
      <c r="O180">
        <f>_xlfn.NUMBERVALUE("-0.002148")</f>
        <v/>
      </c>
      <c r="P180">
        <f>_xlfn.NUMBERVALUE("0.002118")</f>
        <v/>
      </c>
      <c r="Q180">
        <f>_xlfn.NUMBERVALUE("0.000612")</f>
        <v/>
      </c>
      <c r="R180">
        <f>_xlfn.NUMBERVALUE("0.002225")</f>
        <v/>
      </c>
      <c r="S180">
        <f>_xlfn.NUMBERVALUE("0.001252")</f>
        <v/>
      </c>
      <c r="T180">
        <f>_xlfn.NUMBERVALUE("0.001243")</f>
        <v/>
      </c>
      <c r="U180">
        <f>_xlfn.NUMBERVALUE("0.000130")</f>
        <v/>
      </c>
      <c r="V180">
        <f>_xlfn.NUMBERVALUE("-0.000615")</f>
        <v/>
      </c>
      <c r="W180">
        <f>_xlfn.NUMBERVALUE("0.007903")</f>
        <v/>
      </c>
      <c r="X180">
        <f>_xlfn.NUMBERVALUE("-1.190000")</f>
        <v/>
      </c>
      <c r="Y180">
        <f>_xlfn.NUMBERVALUE("21.350000")</f>
        <v/>
      </c>
    </row>
    <row r="181">
      <c r="A181" s="1" t="n">
        <v>42264</v>
      </c>
      <c r="B181">
        <f>_xlfn.NUMBERVALUE("0.000000")</f>
        <v/>
      </c>
      <c r="C181" s="2">
        <f>_xlfn.NUMBERVALUE("0.002505")</f>
        <v/>
      </c>
      <c r="D181">
        <f>_xlfn.NUMBERVALUE("0.006147")</f>
        <v/>
      </c>
      <c r="E181">
        <f>_xlfn.NUMBERVALUE("0.004256")</f>
        <v/>
      </c>
      <c r="F181">
        <f>_xlfn.NUMBERVALUE("0.002453")</f>
        <v/>
      </c>
      <c r="G181">
        <f>_xlfn.NUMBERVALUE("0.003330")</f>
        <v/>
      </c>
      <c r="H181">
        <f>_xlfn.NUMBERVALUE("-0.000051")</f>
        <v/>
      </c>
      <c r="I181">
        <f>_xlfn.NUMBERVALUE("0.001700")</f>
        <v/>
      </c>
      <c r="J181">
        <f>_xlfn.NUMBERVALUE("-0.009438")</f>
        <v/>
      </c>
      <c r="K181">
        <f>_xlfn.NUMBERVALUE("0.002541")</f>
        <v/>
      </c>
      <c r="L181">
        <f>_xlfn.NUMBERVALUE("0.001582")</f>
        <v/>
      </c>
      <c r="M181">
        <f>_xlfn.NUMBERVALUE("0.004828")</f>
        <v/>
      </c>
      <c r="N181">
        <f>_xlfn.NUMBERVALUE("0.000000")</f>
        <v/>
      </c>
      <c r="O181">
        <f>_xlfn.NUMBERVALUE("0.000948")</f>
        <v/>
      </c>
      <c r="P181">
        <f>_xlfn.NUMBERVALUE("0.001831")</f>
        <v/>
      </c>
      <c r="Q181">
        <f>_xlfn.NUMBERVALUE("0.000897")</f>
        <v/>
      </c>
      <c r="R181">
        <f>_xlfn.NUMBERVALUE("0.001978")</f>
        <v/>
      </c>
      <c r="S181">
        <f>_xlfn.NUMBERVALUE("0.000473")</f>
        <v/>
      </c>
      <c r="T181">
        <f>_xlfn.NUMBERVALUE("-0.001539")</f>
        <v/>
      </c>
      <c r="U181">
        <f>_xlfn.NUMBERVALUE("0.000251")</f>
        <v/>
      </c>
      <c r="V181">
        <f>_xlfn.NUMBERVALUE("0.002608")</f>
        <v/>
      </c>
      <c r="W181">
        <f>_xlfn.NUMBERVALUE("-0.003346")</f>
        <v/>
      </c>
      <c r="X181">
        <f>_xlfn.NUMBERVALUE("-0.210000")</f>
        <v/>
      </c>
      <c r="Y181">
        <f>_xlfn.NUMBERVALUE("21.140000")</f>
        <v/>
      </c>
    </row>
    <row r="182">
      <c r="A182" s="1" t="n">
        <v>42265</v>
      </c>
      <c r="B182">
        <f>_xlfn.NUMBERVALUE("0.000000")</f>
        <v/>
      </c>
      <c r="C182" s="2">
        <f>_xlfn.NUMBERVALUE("-0.001672")</f>
        <v/>
      </c>
      <c r="D182">
        <f>_xlfn.NUMBERVALUE("0.000117")</f>
        <v/>
      </c>
      <c r="E182">
        <f>_xlfn.NUMBERVALUE("-0.002121")</f>
        <v/>
      </c>
      <c r="F182">
        <f>_xlfn.NUMBERVALUE("0.002208")</f>
        <v/>
      </c>
      <c r="G182">
        <f>_xlfn.NUMBERVALUE("0.000665")</f>
        <v/>
      </c>
      <c r="H182">
        <f>_xlfn.NUMBERVALUE("-0.001679")</f>
        <v/>
      </c>
      <c r="I182">
        <f>_xlfn.NUMBERVALUE("0.000433")</f>
        <v/>
      </c>
      <c r="J182">
        <f>_xlfn.NUMBERVALUE("0.004833")</f>
        <v/>
      </c>
      <c r="K182">
        <f>_xlfn.NUMBERVALUE("0.003360")</f>
        <v/>
      </c>
      <c r="L182">
        <f>_xlfn.NUMBERVALUE("-0.001089")</f>
        <v/>
      </c>
      <c r="M182">
        <f>_xlfn.NUMBERVALUE("-0.004109")</f>
        <v/>
      </c>
      <c r="N182">
        <f>_xlfn.NUMBERVALUE("0.000000")</f>
        <v/>
      </c>
      <c r="O182">
        <f>_xlfn.NUMBERVALUE("-0.003304")</f>
        <v/>
      </c>
      <c r="P182">
        <f>_xlfn.NUMBERVALUE("-0.003494")</f>
        <v/>
      </c>
      <c r="Q182">
        <f>_xlfn.NUMBERVALUE("-0.003139")</f>
        <v/>
      </c>
      <c r="R182">
        <f>_xlfn.NUMBERVALUE("-0.001918")</f>
        <v/>
      </c>
      <c r="S182">
        <f>_xlfn.NUMBERVALUE("-0.002411")</f>
        <v/>
      </c>
      <c r="T182">
        <f>_xlfn.NUMBERVALUE("-0.003328")</f>
        <v/>
      </c>
      <c r="U182">
        <f>_xlfn.NUMBERVALUE("-0.001019")</f>
        <v/>
      </c>
      <c r="V182">
        <f>_xlfn.NUMBERVALUE("-0.003675")</f>
        <v/>
      </c>
      <c r="W182">
        <f>_xlfn.NUMBERVALUE("-0.020596")</f>
        <v/>
      </c>
      <c r="X182">
        <f>_xlfn.NUMBERVALUE("1.140000")</f>
        <v/>
      </c>
      <c r="Y182">
        <f>_xlfn.NUMBERVALUE("22.280000")</f>
        <v/>
      </c>
    </row>
    <row r="183">
      <c r="A183" s="1" t="n">
        <v>42268</v>
      </c>
      <c r="B183">
        <f>_xlfn.NUMBERVALUE("0.000000")</f>
        <v/>
      </c>
      <c r="C183" s="2">
        <f>_xlfn.NUMBERVALUE("0.004275")</f>
        <v/>
      </c>
      <c r="D183">
        <f>_xlfn.NUMBERVALUE("0.005497")</f>
        <v/>
      </c>
      <c r="E183">
        <f>_xlfn.NUMBERVALUE("0.005178")</f>
        <v/>
      </c>
      <c r="F183">
        <f>_xlfn.NUMBERVALUE("0.000646")</f>
        <v/>
      </c>
      <c r="G183">
        <f>_xlfn.NUMBERVALUE("0.003590")</f>
        <v/>
      </c>
      <c r="H183">
        <f>_xlfn.NUMBERVALUE("0.001193")</f>
        <v/>
      </c>
      <c r="I183">
        <f>_xlfn.NUMBERVALUE("0.005078")</f>
        <v/>
      </c>
      <c r="J183">
        <f>_xlfn.NUMBERVALUE("0.001762")</f>
        <v/>
      </c>
      <c r="K183">
        <f>_xlfn.NUMBERVALUE("0.007169")</f>
        <v/>
      </c>
      <c r="L183">
        <f>_xlfn.NUMBERVALUE("-0.001460")</f>
        <v/>
      </c>
      <c r="M183">
        <f>_xlfn.NUMBERVALUE("0.003874")</f>
        <v/>
      </c>
      <c r="N183">
        <f>_xlfn.NUMBERVALUE("0.000000")</f>
        <v/>
      </c>
      <c r="O183">
        <f>_xlfn.NUMBERVALUE("0.005826")</f>
        <v/>
      </c>
      <c r="P183">
        <f>_xlfn.NUMBERVALUE("0.003706")</f>
        <v/>
      </c>
      <c r="Q183">
        <f>_xlfn.NUMBERVALUE("0.003890")</f>
        <v/>
      </c>
      <c r="R183">
        <f>_xlfn.NUMBERVALUE("0.003679")</f>
        <v/>
      </c>
      <c r="S183">
        <f>_xlfn.NUMBERVALUE("0.002658")</f>
        <v/>
      </c>
      <c r="T183">
        <f>_xlfn.NUMBERVALUE("0.002652")</f>
        <v/>
      </c>
      <c r="U183">
        <f>_xlfn.NUMBERVALUE("0.003374")</f>
        <v/>
      </c>
      <c r="V183">
        <f>_xlfn.NUMBERVALUE("0.005164")</f>
        <v/>
      </c>
      <c r="W183">
        <f>_xlfn.NUMBERVALUE("0.004349")</f>
        <v/>
      </c>
      <c r="X183">
        <f>_xlfn.NUMBERVALUE("-2.140000")</f>
        <v/>
      </c>
      <c r="Y183">
        <f>_xlfn.NUMBERVALUE("20.140000")</f>
        <v/>
      </c>
    </row>
    <row r="184">
      <c r="A184" s="1" t="n">
        <v>42269</v>
      </c>
      <c r="B184">
        <f>_xlfn.NUMBERVALUE("0.000000")</f>
        <v/>
      </c>
      <c r="C184" s="2">
        <f>_xlfn.NUMBERVALUE("-0.003232")</f>
        <v/>
      </c>
      <c r="D184">
        <f>_xlfn.NUMBERVALUE("-0.003404")</f>
        <v/>
      </c>
      <c r="E184">
        <f>_xlfn.NUMBERVALUE("-0.009663")</f>
        <v/>
      </c>
      <c r="F184">
        <f>_xlfn.NUMBERVALUE("0.000528")</f>
        <v/>
      </c>
      <c r="G184">
        <f>_xlfn.NUMBERVALUE("-0.000953")</f>
        <v/>
      </c>
      <c r="H184">
        <f>_xlfn.NUMBERVALUE("-0.001738")</f>
        <v/>
      </c>
      <c r="I184">
        <f>_xlfn.NUMBERVALUE("-0.002597")</f>
        <v/>
      </c>
      <c r="J184">
        <f>_xlfn.NUMBERVALUE("-0.002031")</f>
        <v/>
      </c>
      <c r="K184">
        <f>_xlfn.NUMBERVALUE("-0.004709")</f>
        <v/>
      </c>
      <c r="L184">
        <f>_xlfn.NUMBERVALUE("-0.003365")</f>
        <v/>
      </c>
      <c r="M184">
        <f>_xlfn.NUMBERVALUE("0.000000")</f>
        <v/>
      </c>
      <c r="N184">
        <f>_xlfn.NUMBERVALUE("0.000000")</f>
        <v/>
      </c>
      <c r="O184">
        <f>_xlfn.NUMBERVALUE("0.000000")</f>
        <v/>
      </c>
      <c r="P184">
        <f>_xlfn.NUMBERVALUE("0.000000")</f>
        <v/>
      </c>
      <c r="Q184">
        <f>_xlfn.NUMBERVALUE("0.000000")</f>
        <v/>
      </c>
      <c r="R184">
        <f>_xlfn.NUMBERVALUE("0.000000")</f>
        <v/>
      </c>
      <c r="S184">
        <f>_xlfn.NUMBERVALUE("0.000000")</f>
        <v/>
      </c>
      <c r="T184">
        <f>_xlfn.NUMBERVALUE("0.000000")</f>
        <v/>
      </c>
      <c r="U184">
        <f>_xlfn.NUMBERVALUE("0.000000")</f>
        <v/>
      </c>
      <c r="V184">
        <f>_xlfn.NUMBERVALUE("-0.004102")</f>
        <v/>
      </c>
      <c r="W184">
        <f>_xlfn.NUMBERVALUE("-0.017984")</f>
        <v/>
      </c>
      <c r="X184">
        <f>_xlfn.NUMBERVALUE("2.300000")</f>
        <v/>
      </c>
      <c r="Y184">
        <f>_xlfn.NUMBERVALUE("22.440000")</f>
        <v/>
      </c>
    </row>
    <row r="185">
      <c r="A185" s="1" t="n">
        <v>42270</v>
      </c>
      <c r="B185">
        <f>_xlfn.NUMBERVALUE("0.000000")</f>
        <v/>
      </c>
      <c r="C185" s="2">
        <f>_xlfn.NUMBERVALUE("0.003461")</f>
        <v/>
      </c>
      <c r="D185">
        <f>_xlfn.NUMBERVALUE("0.003510")</f>
        <v/>
      </c>
      <c r="E185">
        <f>_xlfn.NUMBERVALUE("0.002647")</f>
        <v/>
      </c>
      <c r="F185">
        <f>_xlfn.NUMBERVALUE("0.001191")</f>
        <v/>
      </c>
      <c r="G185">
        <f>_xlfn.NUMBERVALUE("-0.000019")</f>
        <v/>
      </c>
      <c r="H185">
        <f>_xlfn.NUMBERVALUE("0.000210")</f>
        <v/>
      </c>
      <c r="I185">
        <f>_xlfn.NUMBERVALUE("0.003576")</f>
        <v/>
      </c>
      <c r="J185">
        <f>_xlfn.NUMBERVALUE("0.000452")</f>
        <v/>
      </c>
      <c r="K185">
        <f>_xlfn.NUMBERVALUE("0.004094")</f>
        <v/>
      </c>
      <c r="L185">
        <f>_xlfn.NUMBERVALUE("0.001128")</f>
        <v/>
      </c>
      <c r="M185">
        <f>_xlfn.NUMBERVALUE("-0.015570")</f>
        <v/>
      </c>
      <c r="N185">
        <f>_xlfn.NUMBERVALUE("0.000000")</f>
        <v/>
      </c>
      <c r="O185">
        <f>_xlfn.NUMBERVALUE("-0.002686")</f>
        <v/>
      </c>
      <c r="P185">
        <f>_xlfn.NUMBERVALUE("-0.000945")</f>
        <v/>
      </c>
      <c r="Q185">
        <f>_xlfn.NUMBERVALUE("-0.002719")</f>
        <v/>
      </c>
      <c r="R185">
        <f>_xlfn.NUMBERVALUE("0.001500")</f>
        <v/>
      </c>
      <c r="S185">
        <f>_xlfn.NUMBERVALUE("0.000434")</f>
        <v/>
      </c>
      <c r="T185">
        <f>_xlfn.NUMBERVALUE("0.001860")</f>
        <v/>
      </c>
      <c r="U185">
        <f>_xlfn.NUMBERVALUE("0.001502")</f>
        <v/>
      </c>
      <c r="V185">
        <f>_xlfn.NUMBERVALUE("0.003015")</f>
        <v/>
      </c>
      <c r="W185">
        <f>_xlfn.NUMBERVALUE("0.004825")</f>
        <v/>
      </c>
      <c r="X185">
        <f>_xlfn.NUMBERVALUE("-0.310000")</f>
        <v/>
      </c>
      <c r="Y185">
        <f>_xlfn.NUMBERVALUE("22.130000")</f>
        <v/>
      </c>
    </row>
    <row r="186">
      <c r="A186" s="1" t="n">
        <v>42271</v>
      </c>
      <c r="B186">
        <f>_xlfn.NUMBERVALUE("0.000000")</f>
        <v/>
      </c>
      <c r="C186" s="2">
        <f>_xlfn.NUMBERVALUE("-0.000627")</f>
        <v/>
      </c>
      <c r="D186">
        <f>_xlfn.NUMBERVALUE("0.001254")</f>
        <v/>
      </c>
      <c r="E186">
        <f>_xlfn.NUMBERVALUE("0.000325")</f>
        <v/>
      </c>
      <c r="F186">
        <f>_xlfn.NUMBERVALUE("-0.007762")</f>
        <v/>
      </c>
      <c r="G186">
        <f>_xlfn.NUMBERVALUE("0.000958")</f>
        <v/>
      </c>
      <c r="H186">
        <f>_xlfn.NUMBERVALUE("0.000544")</f>
        <v/>
      </c>
      <c r="I186">
        <f>_xlfn.NUMBERVALUE("0.001325")</f>
        <v/>
      </c>
      <c r="J186">
        <f>_xlfn.NUMBERVALUE("-0.000104")</f>
        <v/>
      </c>
      <c r="K186">
        <f>_xlfn.NUMBERVALUE("-0.005617")</f>
        <v/>
      </c>
      <c r="L186">
        <f>_xlfn.NUMBERVALUE("-0.000406")</f>
        <v/>
      </c>
      <c r="M186">
        <f>_xlfn.NUMBERVALUE("0.002972")</f>
        <v/>
      </c>
      <c r="N186">
        <f>_xlfn.NUMBERVALUE("0.000000")</f>
        <v/>
      </c>
      <c r="O186">
        <f>_xlfn.NUMBERVALUE("-0.000438")</f>
        <v/>
      </c>
      <c r="P186">
        <f>_xlfn.NUMBERVALUE("-0.001741")</f>
        <v/>
      </c>
      <c r="Q186">
        <f>_xlfn.NUMBERVALUE("0.000098")</f>
        <v/>
      </c>
      <c r="R186">
        <f>_xlfn.NUMBERVALUE("-0.000882")</f>
        <v/>
      </c>
      <c r="S186">
        <f>_xlfn.NUMBERVALUE("-0.000128")</f>
        <v/>
      </c>
      <c r="T186">
        <f>_xlfn.NUMBERVALUE("-0.000154")</f>
        <v/>
      </c>
      <c r="U186">
        <f>_xlfn.NUMBERVALUE("-0.001319")</f>
        <v/>
      </c>
      <c r="V186">
        <f>_xlfn.NUMBERVALUE("-0.000320")</f>
        <v/>
      </c>
      <c r="W186">
        <f>_xlfn.NUMBERVALUE("-0.003821")</f>
        <v/>
      </c>
      <c r="X186">
        <f>_xlfn.NUMBERVALUE("1.340000")</f>
        <v/>
      </c>
      <c r="Y186">
        <f>_xlfn.NUMBERVALUE("23.470000")</f>
        <v/>
      </c>
    </row>
    <row r="187">
      <c r="A187" s="1" t="n">
        <v>42272</v>
      </c>
      <c r="B187">
        <f>_xlfn.NUMBERVALUE("0.000000")</f>
        <v/>
      </c>
      <c r="C187" s="2">
        <f>_xlfn.NUMBERVALUE("0.001670")</f>
        <v/>
      </c>
      <c r="D187">
        <f>_xlfn.NUMBERVALUE("0.005076")</f>
        <v/>
      </c>
      <c r="E187">
        <f>_xlfn.NUMBERVALUE("0.003182")</f>
        <v/>
      </c>
      <c r="F187">
        <f>_xlfn.NUMBERVALUE("0.002847")</f>
        <v/>
      </c>
      <c r="G187">
        <f>_xlfn.NUMBERVALUE("-0.000796")</f>
        <v/>
      </c>
      <c r="H187">
        <f>_xlfn.NUMBERVALUE("0.000078")</f>
        <v/>
      </c>
      <c r="I187">
        <f>_xlfn.NUMBERVALUE("0.000268")</f>
        <v/>
      </c>
      <c r="J187">
        <f>_xlfn.NUMBERVALUE("0.000679")</f>
        <v/>
      </c>
      <c r="K187">
        <f>_xlfn.NUMBERVALUE("0.003799")</f>
        <v/>
      </c>
      <c r="L187">
        <f>_xlfn.NUMBERVALUE("0.000984")</f>
        <v/>
      </c>
      <c r="M187">
        <f>_xlfn.NUMBERVALUE("0.000164")</f>
        <v/>
      </c>
      <c r="N187">
        <f>_xlfn.NUMBERVALUE("0.000000")</f>
        <v/>
      </c>
      <c r="O187">
        <f>_xlfn.NUMBERVALUE("0.003853")</f>
        <v/>
      </c>
      <c r="P187">
        <f>_xlfn.NUMBERVALUE("-0.000266")</f>
        <v/>
      </c>
      <c r="Q187">
        <f>_xlfn.NUMBERVALUE("0.001514")</f>
        <v/>
      </c>
      <c r="R187">
        <f>_xlfn.NUMBERVALUE("0.001143")</f>
        <v/>
      </c>
      <c r="S187">
        <f>_xlfn.NUMBERVALUE("0.000564")</f>
        <v/>
      </c>
      <c r="T187">
        <f>_xlfn.NUMBERVALUE("0.002930")</f>
        <v/>
      </c>
      <c r="U187">
        <f>_xlfn.NUMBERVALUE("0.002253")</f>
        <v/>
      </c>
      <c r="V187">
        <f>_xlfn.NUMBERVALUE("0.003429")</f>
        <v/>
      </c>
      <c r="W187">
        <f>_xlfn.NUMBERVALUE("-0.000052")</f>
        <v/>
      </c>
      <c r="X187">
        <f>_xlfn.NUMBERVALUE("0.150000")</f>
        <v/>
      </c>
      <c r="Y187">
        <f>_xlfn.NUMBERVALUE("23.620000")</f>
        <v/>
      </c>
    </row>
    <row r="188">
      <c r="A188" s="1" t="n">
        <v>42275</v>
      </c>
      <c r="B188">
        <f>_xlfn.NUMBERVALUE("0.000000")</f>
        <v/>
      </c>
      <c r="C188" s="2">
        <f>_xlfn.NUMBERVALUE("-0.002628")</f>
        <v/>
      </c>
      <c r="D188">
        <f>_xlfn.NUMBERVALUE("-0.002121")</f>
        <v/>
      </c>
      <c r="E188">
        <f>_xlfn.NUMBERVALUE("-0.003451")</f>
        <v/>
      </c>
      <c r="F188">
        <f>_xlfn.NUMBERVALUE("-0.001157")</f>
        <v/>
      </c>
      <c r="G188">
        <f>_xlfn.NUMBERVALUE("0.000097")</f>
        <v/>
      </c>
      <c r="H188">
        <f>_xlfn.NUMBERVALUE("-0.000664")</f>
        <v/>
      </c>
      <c r="I188">
        <f>_xlfn.NUMBERVALUE("-0.008415")</f>
        <v/>
      </c>
      <c r="J188">
        <f>_xlfn.NUMBERVALUE("0.001050")</f>
        <v/>
      </c>
      <c r="K188">
        <f>_xlfn.NUMBERVALUE("-0.002964")</f>
        <v/>
      </c>
      <c r="L188">
        <f>_xlfn.NUMBERVALUE("-0.003514")</f>
        <v/>
      </c>
      <c r="M188">
        <f>_xlfn.NUMBERVALUE("-0.002772")</f>
        <v/>
      </c>
      <c r="N188">
        <f>_xlfn.NUMBERVALUE("0.000000")</f>
        <v/>
      </c>
      <c r="O188">
        <f>_xlfn.NUMBERVALUE("-0.009019")</f>
        <v/>
      </c>
      <c r="P188">
        <f>_xlfn.NUMBERVALUE("-0.005657")</f>
        <v/>
      </c>
      <c r="Q188">
        <f>_xlfn.NUMBERVALUE("-0.006573")</f>
        <v/>
      </c>
      <c r="R188">
        <f>_xlfn.NUMBERVALUE("-0.007613")</f>
        <v/>
      </c>
      <c r="S188">
        <f>_xlfn.NUMBERVALUE("-0.004156")</f>
        <v/>
      </c>
      <c r="T188">
        <f>_xlfn.NUMBERVALUE("-0.002067")</f>
        <v/>
      </c>
      <c r="U188">
        <f>_xlfn.NUMBERVALUE("-0.009828")</f>
        <v/>
      </c>
      <c r="V188">
        <f>_xlfn.NUMBERVALUE("-0.007228")</f>
        <v/>
      </c>
      <c r="W188">
        <f>_xlfn.NUMBERVALUE("-0.024101")</f>
        <v/>
      </c>
      <c r="X188">
        <f>_xlfn.NUMBERVALUE("4.010000")</f>
        <v/>
      </c>
      <c r="Y188">
        <f>_xlfn.NUMBERVALUE("27.630000")</f>
        <v/>
      </c>
    </row>
    <row r="189">
      <c r="A189" s="1" t="n">
        <v>42276</v>
      </c>
      <c r="B189">
        <f>_xlfn.NUMBERVALUE("0.000000")</f>
        <v/>
      </c>
      <c r="C189" s="2">
        <f>_xlfn.NUMBERVALUE("0.005141")</f>
        <v/>
      </c>
      <c r="D189">
        <f>_xlfn.NUMBERVALUE("0.004432")</f>
        <v/>
      </c>
      <c r="E189">
        <f>_xlfn.NUMBERVALUE("0.001127")</f>
        <v/>
      </c>
      <c r="F189">
        <f>_xlfn.NUMBERVALUE("0.000817")</f>
        <v/>
      </c>
      <c r="G189">
        <f>_xlfn.NUMBERVALUE("-0.000786")</f>
        <v/>
      </c>
      <c r="H189">
        <f>_xlfn.NUMBERVALUE("-0.000154")</f>
        <v/>
      </c>
      <c r="I189">
        <f>_xlfn.NUMBERVALUE("0.000487")</f>
        <v/>
      </c>
      <c r="J189">
        <f>_xlfn.NUMBERVALUE("0.000250")</f>
        <v/>
      </c>
      <c r="K189">
        <f>_xlfn.NUMBERVALUE("0.003767")</f>
        <v/>
      </c>
      <c r="L189">
        <f>_xlfn.NUMBERVALUE("0.001013")</f>
        <v/>
      </c>
      <c r="M189">
        <f>_xlfn.NUMBERVALUE("0.000016")</f>
        <v/>
      </c>
      <c r="N189">
        <f>_xlfn.NUMBERVALUE("0.000000")</f>
        <v/>
      </c>
      <c r="O189">
        <f>_xlfn.NUMBERVALUE("0.001595")</f>
        <v/>
      </c>
      <c r="P189">
        <f>_xlfn.NUMBERVALUE("0.003024")</f>
        <v/>
      </c>
      <c r="Q189">
        <f>_xlfn.NUMBERVALUE("0.004065")</f>
        <v/>
      </c>
      <c r="R189">
        <f>_xlfn.NUMBERVALUE("0.004912")</f>
        <v/>
      </c>
      <c r="S189">
        <f>_xlfn.NUMBERVALUE("0.002738")</f>
        <v/>
      </c>
      <c r="T189">
        <f>_xlfn.NUMBERVALUE("-0.000154")</f>
        <v/>
      </c>
      <c r="U189">
        <f>_xlfn.NUMBERVALUE("0.001942")</f>
        <v/>
      </c>
      <c r="V189">
        <f>_xlfn.NUMBERVALUE("0.003812")</f>
        <v/>
      </c>
      <c r="W189">
        <f>_xlfn.NUMBERVALUE("-0.000797")</f>
        <v/>
      </c>
      <c r="X189">
        <f>_xlfn.NUMBERVALUE("-0.800000")</f>
        <v/>
      </c>
      <c r="Y189">
        <f>_xlfn.NUMBERVALUE("26.830000")</f>
        <v/>
      </c>
    </row>
    <row r="190">
      <c r="A190" s="1" t="n">
        <v>42277</v>
      </c>
      <c r="B190">
        <f>_xlfn.NUMBERVALUE("0.000000")</f>
        <v/>
      </c>
      <c r="C190" s="2">
        <f>_xlfn.NUMBERVALUE("-0.001751")</f>
        <v/>
      </c>
      <c r="D190">
        <f>_xlfn.NUMBERVALUE("-0.007241")</f>
        <v/>
      </c>
      <c r="E190">
        <f>_xlfn.NUMBERVALUE("0.001049")</f>
        <v/>
      </c>
      <c r="F190">
        <f>_xlfn.NUMBERVALUE("-0.000809")</f>
        <v/>
      </c>
      <c r="G190">
        <f>_xlfn.NUMBERVALUE("0.002067")</f>
        <v/>
      </c>
      <c r="H190">
        <f>_xlfn.NUMBERVALUE("-0.000027")</f>
        <v/>
      </c>
      <c r="I190">
        <f>_xlfn.NUMBERVALUE("0.000763")</f>
        <v/>
      </c>
      <c r="J190">
        <f>_xlfn.NUMBERVALUE("0.000219")</f>
        <v/>
      </c>
      <c r="K190">
        <f>_xlfn.NUMBERVALUE("0.003823")</f>
        <v/>
      </c>
      <c r="L190">
        <f>_xlfn.NUMBERVALUE("0.002080")</f>
        <v/>
      </c>
      <c r="M190">
        <f>_xlfn.NUMBERVALUE("0.000982")</f>
        <v/>
      </c>
      <c r="N190">
        <f>_xlfn.NUMBERVALUE("0.000000")</f>
        <v/>
      </c>
      <c r="O190">
        <f>_xlfn.NUMBERVALUE("0.000139")</f>
        <v/>
      </c>
      <c r="P190">
        <f>_xlfn.NUMBERVALUE("0.003131")</f>
        <v/>
      </c>
      <c r="Q190">
        <f>_xlfn.NUMBERVALUE("0.000229")</f>
        <v/>
      </c>
      <c r="R190">
        <f>_xlfn.NUMBERVALUE("0.000290")</f>
        <v/>
      </c>
      <c r="S190">
        <f>_xlfn.NUMBERVALUE("0.000738")</f>
        <v/>
      </c>
      <c r="T190">
        <f>_xlfn.NUMBERVALUE("-0.001382")</f>
        <v/>
      </c>
      <c r="U190">
        <f>_xlfn.NUMBERVALUE("-0.004615")</f>
        <v/>
      </c>
      <c r="V190">
        <f>_xlfn.NUMBERVALUE("-0.002544")</f>
        <v/>
      </c>
      <c r="W190">
        <f>_xlfn.NUMBERVALUE("0.019268")</f>
        <v/>
      </c>
      <c r="X190">
        <f>_xlfn.NUMBERVALUE("-2.330000")</f>
        <v/>
      </c>
      <c r="Y190">
        <f>_xlfn.NUMBERVALUE("24.500000")</f>
        <v/>
      </c>
    </row>
    <row r="191">
      <c r="A191" s="1" t="n">
        <v>42278</v>
      </c>
      <c r="B191">
        <f>_xlfn.NUMBERVALUE("0.000000")</f>
        <v/>
      </c>
      <c r="C191" s="2">
        <f>_xlfn.NUMBERVALUE("0.007431")</f>
        <v/>
      </c>
      <c r="D191">
        <f>_xlfn.NUMBERVALUE("0.007905")</f>
        <v/>
      </c>
      <c r="E191">
        <f>_xlfn.NUMBERVALUE("0.001130")</f>
        <v/>
      </c>
      <c r="F191">
        <f>_xlfn.NUMBERVALUE("0.000433")</f>
        <v/>
      </c>
      <c r="G191">
        <f>_xlfn.NUMBERVALUE("0.000939")</f>
        <v/>
      </c>
      <c r="H191">
        <f>_xlfn.NUMBERVALUE("-0.000205")</f>
        <v/>
      </c>
      <c r="I191">
        <f>_xlfn.NUMBERVALUE("-0.000261")</f>
        <v/>
      </c>
      <c r="J191">
        <f>_xlfn.NUMBERVALUE("0.000360")</f>
        <v/>
      </c>
      <c r="K191">
        <f>_xlfn.NUMBERVALUE("0.006913")</f>
        <v/>
      </c>
      <c r="L191">
        <f>_xlfn.NUMBERVALUE("-0.000586")</f>
        <v/>
      </c>
      <c r="M191">
        <f>_xlfn.NUMBERVALUE("0.000000")</f>
        <v/>
      </c>
      <c r="N191">
        <f>_xlfn.NUMBERVALUE("0.000000")</f>
        <v/>
      </c>
      <c r="O191">
        <f>_xlfn.NUMBERVALUE("-0.000626")</f>
        <v/>
      </c>
      <c r="P191">
        <f>_xlfn.NUMBERVALUE("-0.000857")</f>
        <v/>
      </c>
      <c r="Q191">
        <f>_xlfn.NUMBERVALUE("0.000716")</f>
        <v/>
      </c>
      <c r="R191">
        <f>_xlfn.NUMBERVALUE("0.002455")</f>
        <v/>
      </c>
      <c r="S191">
        <f>_xlfn.NUMBERVALUE("0.002540")</f>
        <v/>
      </c>
      <c r="T191">
        <f>_xlfn.NUMBERVALUE("0.001167")</f>
        <v/>
      </c>
      <c r="U191">
        <f>_xlfn.NUMBERVALUE("0.002804")</f>
        <v/>
      </c>
      <c r="V191">
        <f>_xlfn.NUMBERVALUE("0.006154")</f>
        <v/>
      </c>
      <c r="W191">
        <f>_xlfn.NUMBERVALUE("-0.003298")</f>
        <v/>
      </c>
      <c r="X191">
        <f>_xlfn.NUMBERVALUE("-1.950000")</f>
        <v/>
      </c>
      <c r="Y191">
        <f>_xlfn.NUMBERVALUE("22.550000")</f>
        <v/>
      </c>
    </row>
    <row r="192">
      <c r="A192" s="1" t="n">
        <v>42279</v>
      </c>
      <c r="B192">
        <f>_xlfn.NUMBERVALUE("0.000000")</f>
        <v/>
      </c>
      <c r="C192" s="2">
        <f>_xlfn.NUMBERVALUE("-0.000078")</f>
        <v/>
      </c>
      <c r="D192">
        <f>_xlfn.NUMBERVALUE("-0.001916")</f>
        <v/>
      </c>
      <c r="E192">
        <f>_xlfn.NUMBERVALUE("-0.000699")</f>
        <v/>
      </c>
      <c r="F192">
        <f>_xlfn.NUMBERVALUE("-0.002539")</f>
        <v/>
      </c>
      <c r="G192">
        <f>_xlfn.NUMBERVALUE("0.001162")</f>
        <v/>
      </c>
      <c r="H192">
        <f>_xlfn.NUMBERVALUE("-0.000200")</f>
        <v/>
      </c>
      <c r="I192">
        <f>_xlfn.NUMBERVALUE("-0.000467")</f>
        <v/>
      </c>
      <c r="J192">
        <f>_xlfn.NUMBERVALUE("-0.000769")</f>
        <v/>
      </c>
      <c r="K192">
        <f>_xlfn.NUMBERVALUE("-0.007090")</f>
        <v/>
      </c>
      <c r="L192">
        <f>_xlfn.NUMBERVALUE("0.001838")</f>
        <v/>
      </c>
      <c r="M192">
        <f>_xlfn.NUMBERVALUE("0.001222")</f>
        <v/>
      </c>
      <c r="N192">
        <f>_xlfn.NUMBERVALUE("0.000000")</f>
        <v/>
      </c>
      <c r="O192">
        <f>_xlfn.NUMBERVALUE("-0.001290")</f>
        <v/>
      </c>
      <c r="P192">
        <f>_xlfn.NUMBERVALUE("0.004905")</f>
        <v/>
      </c>
      <c r="Q192">
        <f>_xlfn.NUMBERVALUE("0.004486")</f>
        <v/>
      </c>
      <c r="R192">
        <f>_xlfn.NUMBERVALUE("-0.003710")</f>
        <v/>
      </c>
      <c r="S192">
        <f>_xlfn.NUMBERVALUE("-0.003685")</f>
        <v/>
      </c>
      <c r="T192">
        <f>_xlfn.NUMBERVALUE("-0.002314")</f>
        <v/>
      </c>
      <c r="U192">
        <f>_xlfn.NUMBERVALUE("-0.004263")</f>
        <v/>
      </c>
      <c r="V192">
        <f>_xlfn.NUMBERVALUE("-0.000291")</f>
        <v/>
      </c>
      <c r="W192">
        <f>_xlfn.NUMBERVALUE("0.020892")</f>
        <v/>
      </c>
      <c r="X192">
        <f>_xlfn.NUMBERVALUE("-1.610000")</f>
        <v/>
      </c>
      <c r="Y192">
        <f>_xlfn.NUMBERVALUE("20.940000")</f>
        <v/>
      </c>
    </row>
    <row r="193">
      <c r="A193" s="1" t="n">
        <v>42282</v>
      </c>
      <c r="B193">
        <f>_xlfn.NUMBERVALUE("0.000000")</f>
        <v/>
      </c>
      <c r="C193" s="2">
        <f>_xlfn.NUMBERVALUE("-0.000444")</f>
        <v/>
      </c>
      <c r="D193">
        <f>_xlfn.NUMBERVALUE("0.000315")</f>
        <v/>
      </c>
      <c r="E193">
        <f>_xlfn.NUMBERVALUE("-0.000805")</f>
        <v/>
      </c>
      <c r="F193">
        <f>_xlfn.NUMBERVALUE("0.001105")</f>
        <v/>
      </c>
      <c r="G193">
        <f>_xlfn.NUMBERVALUE("0.000050")</f>
        <v/>
      </c>
      <c r="H193">
        <f>_xlfn.NUMBERVALUE("-0.001382")</f>
        <v/>
      </c>
      <c r="I193">
        <f>_xlfn.NUMBERVALUE("-0.002154")</f>
        <v/>
      </c>
      <c r="J193">
        <f>_xlfn.NUMBERVALUE("0.001401")</f>
        <v/>
      </c>
      <c r="K193">
        <f>_xlfn.NUMBERVALUE("-0.004553")</f>
        <v/>
      </c>
      <c r="L193">
        <f>_xlfn.NUMBERVALUE("-0.001187")</f>
        <v/>
      </c>
      <c r="M193">
        <f>_xlfn.NUMBERVALUE("0.004285")</f>
        <v/>
      </c>
      <c r="N193">
        <f>_xlfn.NUMBERVALUE("0.000000")</f>
        <v/>
      </c>
      <c r="O193">
        <f>_xlfn.NUMBERVALUE("-0.006415")</f>
        <v/>
      </c>
      <c r="P193">
        <f>_xlfn.NUMBERVALUE("-0.004130")</f>
        <v/>
      </c>
      <c r="Q193">
        <f>_xlfn.NUMBERVALUE("-0.019751")</f>
        <v/>
      </c>
      <c r="R193">
        <f>_xlfn.NUMBERVALUE("-0.006160")</f>
        <v/>
      </c>
      <c r="S193">
        <f>_xlfn.NUMBERVALUE("-0.001327")</f>
        <v/>
      </c>
      <c r="T193">
        <f>_xlfn.NUMBERVALUE("-0.000635")</f>
        <v/>
      </c>
      <c r="U193">
        <f>_xlfn.NUMBERVALUE("-0.001716")</f>
        <v/>
      </c>
      <c r="V193">
        <f>_xlfn.NUMBERVALUE("-0.000456")</f>
        <v/>
      </c>
      <c r="W193">
        <f>_xlfn.NUMBERVALUE("0.020516")</f>
        <v/>
      </c>
      <c r="X193">
        <f>_xlfn.NUMBERVALUE("-1.400000")</f>
        <v/>
      </c>
      <c r="Y193">
        <f>_xlfn.NUMBERVALUE("19.540000")</f>
        <v/>
      </c>
    </row>
    <row r="194">
      <c r="A194" s="1" t="n">
        <v>42283</v>
      </c>
      <c r="B194">
        <f>_xlfn.NUMBERVALUE("0.000000")</f>
        <v/>
      </c>
      <c r="C194" s="2">
        <f>_xlfn.NUMBERVALUE("0.000903")</f>
        <v/>
      </c>
      <c r="D194">
        <f>_xlfn.NUMBERVALUE("0.001601")</f>
        <v/>
      </c>
      <c r="E194">
        <f>_xlfn.NUMBERVALUE("0.000361")</f>
        <v/>
      </c>
      <c r="F194">
        <f>_xlfn.NUMBERVALUE("-0.001617")</f>
        <v/>
      </c>
      <c r="G194">
        <f>_xlfn.NUMBERVALUE("-0.000362")</f>
        <v/>
      </c>
      <c r="H194">
        <f>_xlfn.NUMBERVALUE("0.001739")</f>
        <v/>
      </c>
      <c r="I194">
        <f>_xlfn.NUMBERVALUE("0.000639")</f>
        <v/>
      </c>
      <c r="J194">
        <f>_xlfn.NUMBERVALUE("0.000875")</f>
        <v/>
      </c>
      <c r="K194">
        <f>_xlfn.NUMBERVALUE("-0.002093")</f>
        <v/>
      </c>
      <c r="L194">
        <f>_xlfn.NUMBERVALUE("0.000909")</f>
        <v/>
      </c>
      <c r="M194">
        <f>_xlfn.NUMBERVALUE("-0.002908")</f>
        <v/>
      </c>
      <c r="N194">
        <f>_xlfn.NUMBERVALUE("0.000000")</f>
        <v/>
      </c>
      <c r="O194">
        <f>_xlfn.NUMBERVALUE("-0.004191")</f>
        <v/>
      </c>
      <c r="P194">
        <f>_xlfn.NUMBERVALUE("0.002179")</f>
        <v/>
      </c>
      <c r="Q194">
        <f>_xlfn.NUMBERVALUE("-0.001484")</f>
        <v/>
      </c>
      <c r="R194">
        <f>_xlfn.NUMBERVALUE("0.000274")</f>
        <v/>
      </c>
      <c r="S194">
        <f>_xlfn.NUMBERVALUE("0.000397")</f>
        <v/>
      </c>
      <c r="T194">
        <f>_xlfn.NUMBERVALUE("0.001555")</f>
        <v/>
      </c>
      <c r="U194">
        <f>_xlfn.NUMBERVALUE("0.001195")</f>
        <v/>
      </c>
      <c r="V194">
        <f>_xlfn.NUMBERVALUE("0.000973")</f>
        <v/>
      </c>
      <c r="W194">
        <f>_xlfn.NUMBERVALUE("-0.003074")</f>
        <v/>
      </c>
      <c r="X194">
        <f>_xlfn.NUMBERVALUE("-0.140000")</f>
        <v/>
      </c>
      <c r="Y194">
        <f>_xlfn.NUMBERVALUE("19.400000")</f>
        <v/>
      </c>
    </row>
    <row r="195">
      <c r="A195" s="1" t="n">
        <v>42284</v>
      </c>
      <c r="B195">
        <f>_xlfn.NUMBERVALUE("0.000000")</f>
        <v/>
      </c>
      <c r="C195" s="2">
        <f>_xlfn.NUMBERVALUE("0.000396")</f>
        <v/>
      </c>
      <c r="D195">
        <f>_xlfn.NUMBERVALUE("-0.005232")</f>
        <v/>
      </c>
      <c r="E195">
        <f>_xlfn.NUMBERVALUE("-0.000238")</f>
        <v/>
      </c>
      <c r="F195">
        <f>_xlfn.NUMBERVALUE("0.000477")</f>
        <v/>
      </c>
      <c r="G195">
        <f>_xlfn.NUMBERVALUE("0.000265")</f>
        <v/>
      </c>
      <c r="H195">
        <f>_xlfn.NUMBERVALUE("-0.000977")</f>
        <v/>
      </c>
      <c r="I195">
        <f>_xlfn.NUMBERVALUE("-0.000765")</f>
        <v/>
      </c>
      <c r="J195">
        <f>_xlfn.NUMBERVALUE("-0.000056")</f>
        <v/>
      </c>
      <c r="K195">
        <f>_xlfn.NUMBERVALUE("-0.002313")</f>
        <v/>
      </c>
      <c r="L195">
        <f>_xlfn.NUMBERVALUE("0.000737")</f>
        <v/>
      </c>
      <c r="M195">
        <f>_xlfn.NUMBERVALUE("-0.000450")</f>
        <v/>
      </c>
      <c r="N195">
        <f>_xlfn.NUMBERVALUE("0.000000")</f>
        <v/>
      </c>
      <c r="O195">
        <f>_xlfn.NUMBERVALUE("-0.000472")</f>
        <v/>
      </c>
      <c r="P195">
        <f>_xlfn.NUMBERVALUE("-0.002390")</f>
        <v/>
      </c>
      <c r="Q195">
        <f>_xlfn.NUMBERVALUE("0.000253")</f>
        <v/>
      </c>
      <c r="R195">
        <f>_xlfn.NUMBERVALUE("0.001171")</f>
        <v/>
      </c>
      <c r="S195">
        <f>_xlfn.NUMBERVALUE("0.000565")</f>
        <v/>
      </c>
      <c r="T195">
        <f>_xlfn.NUMBERVALUE("0.001620")</f>
        <v/>
      </c>
      <c r="U195">
        <f>_xlfn.NUMBERVALUE("0.002314")</f>
        <v/>
      </c>
      <c r="V195">
        <f>_xlfn.NUMBERVALUE("0.000604")</f>
        <v/>
      </c>
      <c r="W195">
        <f>_xlfn.NUMBERVALUE("0.006520")</f>
        <v/>
      </c>
      <c r="X195">
        <f>_xlfn.NUMBERVALUE("-1.000000")</f>
        <v/>
      </c>
      <c r="Y195">
        <f>_xlfn.NUMBERVALUE("18.400000")</f>
        <v/>
      </c>
    </row>
    <row r="196">
      <c r="A196" s="1" t="n">
        <v>42285</v>
      </c>
      <c r="B196">
        <f>_xlfn.NUMBERVALUE("0.000000")</f>
        <v/>
      </c>
      <c r="C196" s="2">
        <f>_xlfn.NUMBERVALUE("-0.000092")</f>
        <v/>
      </c>
      <c r="D196">
        <f>_xlfn.NUMBERVALUE("0.000841")</f>
        <v/>
      </c>
      <c r="E196">
        <f>_xlfn.NUMBERVALUE("0.001647")</f>
        <v/>
      </c>
      <c r="F196">
        <f>_xlfn.NUMBERVALUE("0.000405")</f>
        <v/>
      </c>
      <c r="G196">
        <f>_xlfn.NUMBERVALUE("0.002363")</f>
        <v/>
      </c>
      <c r="H196">
        <f>_xlfn.NUMBERVALUE("0.001385")</f>
        <v/>
      </c>
      <c r="I196">
        <f>_xlfn.NUMBERVALUE("-0.000011")</f>
        <v/>
      </c>
      <c r="J196">
        <f>_xlfn.NUMBERVALUE("-0.000695")</f>
        <v/>
      </c>
      <c r="K196">
        <f>_xlfn.NUMBERVALUE("-0.001975")</f>
        <v/>
      </c>
      <c r="L196">
        <f>_xlfn.NUMBERVALUE("-0.000114")</f>
        <v/>
      </c>
      <c r="M196">
        <f>_xlfn.NUMBERVALUE("-0.001438")</f>
        <v/>
      </c>
      <c r="N196">
        <f>_xlfn.NUMBERVALUE("0.000000")</f>
        <v/>
      </c>
      <c r="O196">
        <f>_xlfn.NUMBERVALUE("-0.001004")</f>
        <v/>
      </c>
      <c r="P196">
        <f>_xlfn.NUMBERVALUE("0.000326")</f>
        <v/>
      </c>
      <c r="Q196">
        <f>_xlfn.NUMBERVALUE("-0.000397")</f>
        <v/>
      </c>
      <c r="R196">
        <f>_xlfn.NUMBERVALUE("0.001324")</f>
        <v/>
      </c>
      <c r="S196">
        <f>_xlfn.NUMBERVALUE("-0.000883")</f>
        <v/>
      </c>
      <c r="T196">
        <f>_xlfn.NUMBERVALUE("-0.000629")</f>
        <v/>
      </c>
      <c r="U196">
        <f>_xlfn.NUMBERVALUE("-0.000502")</f>
        <v/>
      </c>
      <c r="V196">
        <f>_xlfn.NUMBERVALUE("-0.000078")</f>
        <v/>
      </c>
      <c r="W196">
        <f>_xlfn.NUMBERVALUE("0.009842")</f>
        <v/>
      </c>
      <c r="X196">
        <f>_xlfn.NUMBERVALUE("-0.980000")</f>
        <v/>
      </c>
      <c r="Y196">
        <f>_xlfn.NUMBERVALUE("17.420000")</f>
        <v/>
      </c>
    </row>
    <row r="197">
      <c r="A197" s="1" t="n">
        <v>42286</v>
      </c>
      <c r="B197">
        <f>_xlfn.NUMBERVALUE("0.000000")</f>
        <v/>
      </c>
      <c r="C197" s="2">
        <f>_xlfn.NUMBERVALUE("0.000503")</f>
        <v/>
      </c>
      <c r="D197">
        <f>_xlfn.NUMBERVALUE("0.000438")</f>
        <v/>
      </c>
      <c r="E197">
        <f>_xlfn.NUMBERVALUE("-0.000010")</f>
        <v/>
      </c>
      <c r="F197">
        <f>_xlfn.NUMBERVALUE("-0.001765")</f>
        <v/>
      </c>
      <c r="G197">
        <f>_xlfn.NUMBERVALUE("0.000436")</f>
        <v/>
      </c>
      <c r="H197">
        <f>_xlfn.NUMBERVALUE("0.000993")</f>
        <v/>
      </c>
      <c r="I197">
        <f>_xlfn.NUMBERVALUE("0.000272")</f>
        <v/>
      </c>
      <c r="J197">
        <f>_xlfn.NUMBERVALUE("0.001940")</f>
        <v/>
      </c>
      <c r="K197">
        <f>_xlfn.NUMBERVALUE("-0.000461")</f>
        <v/>
      </c>
      <c r="L197">
        <f>_xlfn.NUMBERVALUE("0.001142")</f>
        <v/>
      </c>
      <c r="M197">
        <f>_xlfn.NUMBERVALUE("0.001374")</f>
        <v/>
      </c>
      <c r="N197">
        <f>_xlfn.NUMBERVALUE("0.000000")</f>
        <v/>
      </c>
      <c r="O197">
        <f>_xlfn.NUMBERVALUE("0.002161")</f>
        <v/>
      </c>
      <c r="P197">
        <f>_xlfn.NUMBERVALUE("0.001437")</f>
        <v/>
      </c>
      <c r="Q197">
        <f>_xlfn.NUMBERVALUE("-0.002676")</f>
        <v/>
      </c>
      <c r="R197">
        <f>_xlfn.NUMBERVALUE("0.001048")</f>
        <v/>
      </c>
      <c r="S197">
        <f>_xlfn.NUMBERVALUE("-0.000020")</f>
        <v/>
      </c>
      <c r="T197">
        <f>_xlfn.NUMBERVALUE("0.001617")</f>
        <v/>
      </c>
      <c r="U197">
        <f>_xlfn.NUMBERVALUE("0.001405")</f>
        <v/>
      </c>
      <c r="V197">
        <f>_xlfn.NUMBERVALUE("0.000699")</f>
        <v/>
      </c>
      <c r="W197">
        <f>_xlfn.NUMBERVALUE("0.000348")</f>
        <v/>
      </c>
      <c r="X197">
        <f>_xlfn.NUMBERVALUE("-0.340000")</f>
        <v/>
      </c>
      <c r="Y197">
        <f>_xlfn.NUMBERVALUE("17.080000")</f>
        <v/>
      </c>
    </row>
    <row r="198">
      <c r="A198" s="1" t="n">
        <v>42289</v>
      </c>
      <c r="B198">
        <f>_xlfn.NUMBERVALUE("0.000000")</f>
        <v/>
      </c>
      <c r="C198" s="2">
        <f>_xlfn.NUMBERVALUE("0.001157")</f>
        <v/>
      </c>
      <c r="D198">
        <f>_xlfn.NUMBERVALUE("0.001997")</f>
        <v/>
      </c>
      <c r="E198">
        <f>_xlfn.NUMBERVALUE("0.002014")</f>
        <v/>
      </c>
      <c r="F198">
        <f>_xlfn.NUMBERVALUE("0.000489")</f>
        <v/>
      </c>
      <c r="G198">
        <f>_xlfn.NUMBERVALUE("0.000506")</f>
        <v/>
      </c>
      <c r="H198">
        <f>_xlfn.NUMBERVALUE("0.000219")</f>
        <v/>
      </c>
      <c r="I198">
        <f>_xlfn.NUMBERVALUE("0.002513")</f>
        <v/>
      </c>
      <c r="J198">
        <f>_xlfn.NUMBERVALUE("-0.000328")</f>
        <v/>
      </c>
      <c r="K198">
        <f>_xlfn.NUMBERVALUE("0.002524")</f>
        <v/>
      </c>
      <c r="L198">
        <f>_xlfn.NUMBERVALUE("0.000608")</f>
        <v/>
      </c>
      <c r="M198">
        <f>_xlfn.NUMBERVALUE("0.005073")</f>
        <v/>
      </c>
      <c r="N198">
        <f>_xlfn.NUMBERVALUE("0.000000")</f>
        <v/>
      </c>
      <c r="O198">
        <f>_xlfn.NUMBERVALUE("0.002415")</f>
        <v/>
      </c>
      <c r="P198">
        <f>_xlfn.NUMBERVALUE("0.003752")</f>
        <v/>
      </c>
      <c r="Q198">
        <f>_xlfn.NUMBERVALUE("0.002834")</f>
        <v/>
      </c>
      <c r="R198">
        <f>_xlfn.NUMBERVALUE("0.003116")</f>
        <v/>
      </c>
      <c r="S198">
        <f>_xlfn.NUMBERVALUE("0.002177")</f>
        <v/>
      </c>
      <c r="T198">
        <f>_xlfn.NUMBERVALUE("0.000026")</f>
        <v/>
      </c>
      <c r="U198">
        <f>_xlfn.NUMBERVALUE("0.004680")</f>
        <v/>
      </c>
      <c r="V198">
        <f>_xlfn.NUMBERVALUE("0.001738")</f>
        <v/>
      </c>
      <c r="W198">
        <f>_xlfn.NUMBERVALUE("0.001372")</f>
        <v/>
      </c>
      <c r="X198">
        <f>_xlfn.NUMBERVALUE("-0.910000")</f>
        <v/>
      </c>
      <c r="Y198">
        <f>_xlfn.NUMBERVALUE("16.170000")</f>
        <v/>
      </c>
    </row>
    <row r="199">
      <c r="A199" s="1" t="n">
        <v>42290</v>
      </c>
      <c r="B199">
        <f>_xlfn.NUMBERVALUE("0.000000")</f>
        <v/>
      </c>
      <c r="C199" s="2">
        <f>_xlfn.NUMBERVALUE("-0.000224")</f>
        <v/>
      </c>
      <c r="D199">
        <f>_xlfn.NUMBERVALUE("0.000403")</f>
        <v/>
      </c>
      <c r="E199">
        <f>_xlfn.NUMBERVALUE("-0.001552")</f>
        <v/>
      </c>
      <c r="F199">
        <f>_xlfn.NUMBERVALUE("-0.000344")</f>
        <v/>
      </c>
      <c r="G199">
        <f>_xlfn.NUMBERVALUE("-0.000614")</f>
        <v/>
      </c>
      <c r="H199">
        <f>_xlfn.NUMBERVALUE("0.000314")</f>
        <v/>
      </c>
      <c r="I199">
        <f>_xlfn.NUMBERVALUE("-0.000682")</f>
        <v/>
      </c>
      <c r="J199">
        <f>_xlfn.NUMBERVALUE("0.000349")</f>
        <v/>
      </c>
      <c r="K199">
        <f>_xlfn.NUMBERVALUE("0.003696")</f>
        <v/>
      </c>
      <c r="L199">
        <f>_xlfn.NUMBERVALUE("0.001133")</f>
        <v/>
      </c>
      <c r="M199">
        <f>_xlfn.NUMBERVALUE("-0.001200")</f>
        <v/>
      </c>
      <c r="N199">
        <f>_xlfn.NUMBERVALUE("0.000000")</f>
        <v/>
      </c>
      <c r="O199">
        <f>_xlfn.NUMBERVALUE("0.001843")</f>
        <v/>
      </c>
      <c r="P199">
        <f>_xlfn.NUMBERVALUE("0.000189")</f>
        <v/>
      </c>
      <c r="Q199">
        <f>_xlfn.NUMBERVALUE("0.001048")</f>
        <v/>
      </c>
      <c r="R199">
        <f>_xlfn.NUMBERVALUE("-0.000150")</f>
        <v/>
      </c>
      <c r="S199">
        <f>_xlfn.NUMBERVALUE("0.000336")</f>
        <v/>
      </c>
      <c r="T199">
        <f>_xlfn.NUMBERVALUE("0.000709")</f>
        <v/>
      </c>
      <c r="U199">
        <f>_xlfn.NUMBERVALUE("-0.001216")</f>
        <v/>
      </c>
      <c r="V199">
        <f>_xlfn.NUMBERVALUE("-0.000364")</f>
        <v/>
      </c>
      <c r="W199">
        <f>_xlfn.NUMBERVALUE("-0.006036")</f>
        <v/>
      </c>
      <c r="X199">
        <f>_xlfn.NUMBERVALUE("1.500000")</f>
        <v/>
      </c>
      <c r="Y199">
        <f>_xlfn.NUMBERVALUE("17.670000")</f>
        <v/>
      </c>
    </row>
    <row r="200">
      <c r="A200" s="1" t="n">
        <v>42291</v>
      </c>
      <c r="B200">
        <f>_xlfn.NUMBERVALUE("0.000000")</f>
        <v/>
      </c>
      <c r="C200" s="2">
        <f>_xlfn.NUMBERVALUE("0.000361")</f>
        <v/>
      </c>
      <c r="D200">
        <f>_xlfn.NUMBERVALUE("0.000557")</f>
        <v/>
      </c>
      <c r="E200">
        <f>_xlfn.NUMBERVALUE("0.002450")</f>
        <v/>
      </c>
      <c r="F200">
        <f>_xlfn.NUMBERVALUE("-0.002291")</f>
        <v/>
      </c>
      <c r="G200">
        <f>_xlfn.NUMBERVALUE("0.002537")</f>
        <v/>
      </c>
      <c r="H200">
        <f>_xlfn.NUMBERVALUE("-0.000138")</f>
        <v/>
      </c>
      <c r="I200">
        <f>_xlfn.NUMBERVALUE("0.000588")</f>
        <v/>
      </c>
      <c r="J200">
        <f>_xlfn.NUMBERVALUE("0.001885")</f>
        <v/>
      </c>
      <c r="K200">
        <f>_xlfn.NUMBERVALUE("-0.003051")</f>
        <v/>
      </c>
      <c r="L200">
        <f>_xlfn.NUMBERVALUE("0.000078")</f>
        <v/>
      </c>
      <c r="M200">
        <f>_xlfn.NUMBERVALUE("0.000980")</f>
        <v/>
      </c>
      <c r="N200">
        <f>_xlfn.NUMBERVALUE("0.000000")</f>
        <v/>
      </c>
      <c r="O200">
        <f>_xlfn.NUMBERVALUE("0.000863")</f>
        <v/>
      </c>
      <c r="P200">
        <f>_xlfn.NUMBERVALUE("0.001959")</f>
        <v/>
      </c>
      <c r="Q200">
        <f>_xlfn.NUMBERVALUE("0.000409")</f>
        <v/>
      </c>
      <c r="R200">
        <f>_xlfn.NUMBERVALUE("0.000486")</f>
        <v/>
      </c>
      <c r="S200">
        <f>_xlfn.NUMBERVALUE("-0.001068")</f>
        <v/>
      </c>
      <c r="T200">
        <f>_xlfn.NUMBERVALUE("0.001040")</f>
        <v/>
      </c>
      <c r="U200">
        <f>_xlfn.NUMBERVALUE("-0.001144")</f>
        <v/>
      </c>
      <c r="V200">
        <f>_xlfn.NUMBERVALUE("0.000667")</f>
        <v/>
      </c>
      <c r="W200">
        <f>_xlfn.NUMBERVALUE("-0.005643")</f>
        <v/>
      </c>
      <c r="X200">
        <f>_xlfn.NUMBERVALUE("0.360000")</f>
        <v/>
      </c>
      <c r="Y200">
        <f>_xlfn.NUMBERVALUE("18.030000")</f>
        <v/>
      </c>
    </row>
    <row r="201">
      <c r="A201" s="1" t="n">
        <v>42292</v>
      </c>
      <c r="B201">
        <f>_xlfn.NUMBERVALUE("0.000000")</f>
        <v/>
      </c>
      <c r="C201" s="2">
        <f>_xlfn.NUMBERVALUE("0.000684")</f>
        <v/>
      </c>
      <c r="D201">
        <f>_xlfn.NUMBERVALUE("0.000002")</f>
        <v/>
      </c>
      <c r="E201">
        <f>_xlfn.NUMBERVALUE("-0.001058")</f>
        <v/>
      </c>
      <c r="F201">
        <f>_xlfn.NUMBERVALUE("0.000364")</f>
        <v/>
      </c>
      <c r="G201">
        <f>_xlfn.NUMBERVALUE("0.000178")</f>
        <v/>
      </c>
      <c r="H201">
        <f>_xlfn.NUMBERVALUE("-0.000114")</f>
        <v/>
      </c>
      <c r="I201">
        <f>_xlfn.NUMBERVALUE("-0.001760")</f>
        <v/>
      </c>
      <c r="J201">
        <f>_xlfn.NUMBERVALUE("0.000586")</f>
        <v/>
      </c>
      <c r="K201">
        <f>_xlfn.NUMBERVALUE("0.000279")</f>
        <v/>
      </c>
      <c r="L201">
        <f>_xlfn.NUMBERVALUE("0.000669")</f>
        <v/>
      </c>
      <c r="M201">
        <f>_xlfn.NUMBERVALUE("0.002029")</f>
        <v/>
      </c>
      <c r="N201">
        <f>_xlfn.NUMBERVALUE("0.000000")</f>
        <v/>
      </c>
      <c r="O201">
        <f>_xlfn.NUMBERVALUE("-0.000892")</f>
        <v/>
      </c>
      <c r="P201">
        <f>_xlfn.NUMBERVALUE("-0.003898")</f>
        <v/>
      </c>
      <c r="Q201">
        <f>_xlfn.NUMBERVALUE("-0.000475")</f>
        <v/>
      </c>
      <c r="R201">
        <f>_xlfn.NUMBERVALUE("0.000211")</f>
        <v/>
      </c>
      <c r="S201">
        <f>_xlfn.NUMBERVALUE("-0.000219")</f>
        <v/>
      </c>
      <c r="T201">
        <f>_xlfn.NUMBERVALUE("-0.002912")</f>
        <v/>
      </c>
      <c r="U201">
        <f>_xlfn.NUMBERVALUE("-0.000050")</f>
        <v/>
      </c>
      <c r="V201">
        <f>_xlfn.NUMBERVALUE("-0.000928")</f>
        <v/>
      </c>
      <c r="W201">
        <f>_xlfn.NUMBERVALUE("0.016021")</f>
        <v/>
      </c>
      <c r="X201">
        <f>_xlfn.NUMBERVALUE("-1.980000")</f>
        <v/>
      </c>
      <c r="Y201">
        <f>_xlfn.NUMBERVALUE("16.050000")</f>
        <v/>
      </c>
    </row>
    <row r="202">
      <c r="A202" s="1" t="n">
        <v>42293</v>
      </c>
      <c r="B202">
        <f>_xlfn.NUMBERVALUE("0.000000")</f>
        <v/>
      </c>
      <c r="C202" s="2">
        <f>_xlfn.NUMBERVALUE("0.000177")</f>
        <v/>
      </c>
      <c r="D202">
        <f>_xlfn.NUMBERVALUE("0.000631")</f>
        <v/>
      </c>
      <c r="E202">
        <f>_xlfn.NUMBERVALUE("0.000252")</f>
        <v/>
      </c>
      <c r="F202">
        <f>_xlfn.NUMBERVALUE("0.000865")</f>
        <v/>
      </c>
      <c r="G202">
        <f>_xlfn.NUMBERVALUE("0.000693")</f>
        <v/>
      </c>
      <c r="H202">
        <f>_xlfn.NUMBERVALUE("0.000694")</f>
        <v/>
      </c>
      <c r="I202">
        <f>_xlfn.NUMBERVALUE("0.000305")</f>
        <v/>
      </c>
      <c r="J202">
        <f>_xlfn.NUMBERVALUE("-0.002037")</f>
        <v/>
      </c>
      <c r="K202">
        <f>_xlfn.NUMBERVALUE("-0.000001")</f>
        <v/>
      </c>
      <c r="L202">
        <f>_xlfn.NUMBERVALUE("0.001500")</f>
        <v/>
      </c>
      <c r="M202">
        <f>_xlfn.NUMBERVALUE("0.001807")</f>
        <v/>
      </c>
      <c r="N202">
        <f>_xlfn.NUMBERVALUE("0.000000")</f>
        <v/>
      </c>
      <c r="O202">
        <f>_xlfn.NUMBERVALUE("0.002460")</f>
        <v/>
      </c>
      <c r="P202">
        <f>_xlfn.NUMBERVALUE("-0.001645")</f>
        <v/>
      </c>
      <c r="Q202">
        <f>_xlfn.NUMBERVALUE("0.001606")</f>
        <v/>
      </c>
      <c r="R202">
        <f>_xlfn.NUMBERVALUE("0.001731")</f>
        <v/>
      </c>
      <c r="S202">
        <f>_xlfn.NUMBERVALUE("0.000237")</f>
        <v/>
      </c>
      <c r="T202">
        <f>_xlfn.NUMBERVALUE("0.001955")</f>
        <v/>
      </c>
      <c r="U202">
        <f>_xlfn.NUMBERVALUE("0.002069")</f>
        <v/>
      </c>
      <c r="V202">
        <f>_xlfn.NUMBERVALUE("0.000692")</f>
        <v/>
      </c>
      <c r="W202">
        <f>_xlfn.NUMBERVALUE("0.004202")</f>
        <v/>
      </c>
      <c r="X202">
        <f>_xlfn.NUMBERVALUE("-1.000000")</f>
        <v/>
      </c>
      <c r="Y202">
        <f>_xlfn.NUMBERVALUE("15.050000")</f>
        <v/>
      </c>
    </row>
    <row r="203">
      <c r="A203" s="1" t="n">
        <v>42296</v>
      </c>
      <c r="B203">
        <f>_xlfn.NUMBERVALUE("0.000000")</f>
        <v/>
      </c>
      <c r="C203" s="2">
        <f>_xlfn.NUMBERVALUE("0.000473")</f>
        <v/>
      </c>
      <c r="D203">
        <f>_xlfn.NUMBERVALUE("0.000544")</f>
        <v/>
      </c>
      <c r="E203">
        <f>_xlfn.NUMBERVALUE("0.000156")</f>
        <v/>
      </c>
      <c r="F203">
        <f>_xlfn.NUMBERVALUE("0.001055")</f>
        <v/>
      </c>
      <c r="G203">
        <f>_xlfn.NUMBERVALUE("0.000380")</f>
        <v/>
      </c>
      <c r="H203">
        <f>_xlfn.NUMBERVALUE("0.000966")</f>
        <v/>
      </c>
      <c r="I203">
        <f>_xlfn.NUMBERVALUE("0.001305")</f>
        <v/>
      </c>
      <c r="J203">
        <f>_xlfn.NUMBERVALUE("0.000484")</f>
        <v/>
      </c>
      <c r="K203">
        <f>_xlfn.NUMBERVALUE("0.002786")</f>
        <v/>
      </c>
      <c r="L203">
        <f>_xlfn.NUMBERVALUE("0.001316")</f>
        <v/>
      </c>
      <c r="M203">
        <f>_xlfn.NUMBERVALUE("0.001826")</f>
        <v/>
      </c>
      <c r="N203">
        <f>_xlfn.NUMBERVALUE("0.000000")</f>
        <v/>
      </c>
      <c r="O203">
        <f>_xlfn.NUMBERVALUE("0.000413")</f>
        <v/>
      </c>
      <c r="P203">
        <f>_xlfn.NUMBERVALUE("0.002228")</f>
        <v/>
      </c>
      <c r="Q203">
        <f>_xlfn.NUMBERVALUE("0.001866")</f>
        <v/>
      </c>
      <c r="R203">
        <f>_xlfn.NUMBERVALUE("0.001266")</f>
        <v/>
      </c>
      <c r="S203">
        <f>_xlfn.NUMBERVALUE("0.000728")</f>
        <v/>
      </c>
      <c r="T203">
        <f>_xlfn.NUMBERVALUE("0.000914")</f>
        <v/>
      </c>
      <c r="U203">
        <f>_xlfn.NUMBERVALUE("0.000067")</f>
        <v/>
      </c>
      <c r="V203">
        <f>_xlfn.NUMBERVALUE("0.000890")</f>
        <v/>
      </c>
      <c r="W203">
        <f>_xlfn.NUMBERVALUE("0.000000")</f>
        <v/>
      </c>
      <c r="X203">
        <f>_xlfn.NUMBERVALUE("-0.070000")</f>
        <v/>
      </c>
      <c r="Y203">
        <f>_xlfn.NUMBERVALUE("14.980000")</f>
        <v/>
      </c>
    </row>
    <row r="204">
      <c r="A204" s="1" t="n">
        <v>42297</v>
      </c>
      <c r="B204">
        <f>_xlfn.NUMBERVALUE("0.000000")</f>
        <v/>
      </c>
      <c r="C204" s="2">
        <f>_xlfn.NUMBERVALUE("-0.000254")</f>
        <v/>
      </c>
      <c r="D204">
        <f>_xlfn.NUMBERVALUE("0.000518")</f>
        <v/>
      </c>
      <c r="E204">
        <f>_xlfn.NUMBERVALUE("0.000061")</f>
        <v/>
      </c>
      <c r="F204">
        <f>_xlfn.NUMBERVALUE("-0.000245")</f>
        <v/>
      </c>
      <c r="G204">
        <f>_xlfn.NUMBERVALUE("-0.000921")</f>
        <v/>
      </c>
      <c r="H204">
        <f>_xlfn.NUMBERVALUE("-0.000218")</f>
        <v/>
      </c>
      <c r="I204">
        <f>_xlfn.NUMBERVALUE("-0.000323")</f>
        <v/>
      </c>
      <c r="J204">
        <f>_xlfn.NUMBERVALUE("0.000100")</f>
        <v/>
      </c>
      <c r="K204">
        <f>_xlfn.NUMBERVALUE("0.000410")</f>
        <v/>
      </c>
      <c r="L204">
        <f>_xlfn.NUMBERVALUE("-0.000047")</f>
        <v/>
      </c>
      <c r="M204">
        <f>_xlfn.NUMBERVALUE("0.002047")</f>
        <v/>
      </c>
      <c r="N204">
        <f>_xlfn.NUMBERVALUE("0.000000")</f>
        <v/>
      </c>
      <c r="O204">
        <f>_xlfn.NUMBERVALUE("0.000967")</f>
        <v/>
      </c>
      <c r="P204">
        <f>_xlfn.NUMBERVALUE("0.000305")</f>
        <v/>
      </c>
      <c r="Q204">
        <f>_xlfn.NUMBERVALUE("-0.001392")</f>
        <v/>
      </c>
      <c r="R204">
        <f>_xlfn.NUMBERVALUE("-0.000964")</f>
        <v/>
      </c>
      <c r="S204">
        <f>_xlfn.NUMBERVALUE("-0.000347")</f>
        <v/>
      </c>
      <c r="T204">
        <f>_xlfn.NUMBERVALUE("-0.000273")</f>
        <v/>
      </c>
      <c r="U204">
        <f>_xlfn.NUMBERVALUE("0.000296")</f>
        <v/>
      </c>
      <c r="V204">
        <f>_xlfn.NUMBERVALUE("-0.000197")</f>
        <v/>
      </c>
      <c r="W204">
        <f>_xlfn.NUMBERVALUE("-0.002117")</f>
        <v/>
      </c>
      <c r="X204">
        <f>_xlfn.NUMBERVALUE("0.770000")</f>
        <v/>
      </c>
      <c r="Y204">
        <f>_xlfn.NUMBERVALUE("15.750000")</f>
        <v/>
      </c>
    </row>
    <row r="205">
      <c r="A205" s="1" t="n">
        <v>42298</v>
      </c>
      <c r="B205">
        <f>_xlfn.NUMBERVALUE("0.000000")</f>
        <v/>
      </c>
      <c r="C205" s="2">
        <f>_xlfn.NUMBERVALUE("0.000105")</f>
        <v/>
      </c>
      <c r="D205">
        <f>_xlfn.NUMBERVALUE("0.003320")</f>
        <v/>
      </c>
      <c r="E205">
        <f>_xlfn.NUMBERVALUE("0.000715")</f>
        <v/>
      </c>
      <c r="F205">
        <f>_xlfn.NUMBERVALUE("0.001162")</f>
        <v/>
      </c>
      <c r="G205">
        <f>_xlfn.NUMBERVALUE("0.000562")</f>
        <v/>
      </c>
      <c r="H205">
        <f>_xlfn.NUMBERVALUE("0.000644")</f>
        <v/>
      </c>
      <c r="I205">
        <f>_xlfn.NUMBERVALUE("0.000233")</f>
        <v/>
      </c>
      <c r="J205">
        <f>_xlfn.NUMBERVALUE("-0.000819")</f>
        <v/>
      </c>
      <c r="K205">
        <f>_xlfn.NUMBERVALUE("0.001286")</f>
        <v/>
      </c>
      <c r="L205">
        <f>_xlfn.NUMBERVALUE("0.000325")</f>
        <v/>
      </c>
      <c r="M205">
        <f>_xlfn.NUMBERVALUE("0.000967")</f>
        <v/>
      </c>
      <c r="N205">
        <f>_xlfn.NUMBERVALUE("0.000000")</f>
        <v/>
      </c>
      <c r="O205">
        <f>_xlfn.NUMBERVALUE("0.003052")</f>
        <v/>
      </c>
      <c r="P205">
        <f>_xlfn.NUMBERVALUE("0.000941")</f>
        <v/>
      </c>
      <c r="Q205">
        <f>_xlfn.NUMBERVALUE("0.002063")</f>
        <v/>
      </c>
      <c r="R205">
        <f>_xlfn.NUMBERVALUE("0.001149")</f>
        <v/>
      </c>
      <c r="S205">
        <f>_xlfn.NUMBERVALUE("-0.000443")</f>
        <v/>
      </c>
      <c r="T205">
        <f>_xlfn.NUMBERVALUE("0.000751")</f>
        <v/>
      </c>
      <c r="U205">
        <f>_xlfn.NUMBERVALUE("0.000442")</f>
        <v/>
      </c>
      <c r="V205">
        <f>_xlfn.NUMBERVALUE("-0.000107")</f>
        <v/>
      </c>
      <c r="W205">
        <f>_xlfn.NUMBERVALUE("-0.005007")</f>
        <v/>
      </c>
      <c r="X205">
        <f>_xlfn.NUMBERVALUE("0.950000")</f>
        <v/>
      </c>
      <c r="Y205">
        <f>_xlfn.NUMBERVALUE("16.700000")</f>
        <v/>
      </c>
    </row>
    <row r="206">
      <c r="A206" s="1" t="n">
        <v>42299</v>
      </c>
      <c r="B206">
        <f>_xlfn.NUMBERVALUE("0.000000")</f>
        <v/>
      </c>
      <c r="C206" s="2">
        <f>_xlfn.NUMBERVALUE("-0.000233")</f>
        <v/>
      </c>
      <c r="D206">
        <f>_xlfn.NUMBERVALUE("-0.002859")</f>
        <v/>
      </c>
      <c r="E206">
        <f>_xlfn.NUMBERVALUE("-0.000899")</f>
        <v/>
      </c>
      <c r="F206">
        <f>_xlfn.NUMBERVALUE("0.000244")</f>
        <v/>
      </c>
      <c r="G206">
        <f>_xlfn.NUMBERVALUE("-0.000408")</f>
        <v/>
      </c>
      <c r="H206">
        <f>_xlfn.NUMBERVALUE("0.000815")</f>
        <v/>
      </c>
      <c r="I206">
        <f>_xlfn.NUMBERVALUE("0.000807")</f>
        <v/>
      </c>
      <c r="J206">
        <f>_xlfn.NUMBERVALUE("-0.000071")</f>
        <v/>
      </c>
      <c r="K206">
        <f>_xlfn.NUMBERVALUE("0.000777")</f>
        <v/>
      </c>
      <c r="L206">
        <f>_xlfn.NUMBERVALUE("0.000996")</f>
        <v/>
      </c>
      <c r="M206">
        <f>_xlfn.NUMBERVALUE("-0.011163")</f>
        <v/>
      </c>
      <c r="N206">
        <f>_xlfn.NUMBERVALUE("0.000000")</f>
        <v/>
      </c>
      <c r="O206">
        <f>_xlfn.NUMBERVALUE("-0.004121")</f>
        <v/>
      </c>
      <c r="P206">
        <f>_xlfn.NUMBERVALUE("-0.005320")</f>
        <v/>
      </c>
      <c r="Q206">
        <f>_xlfn.NUMBERVALUE("-0.009665")</f>
        <v/>
      </c>
      <c r="R206">
        <f>_xlfn.NUMBERVALUE("-0.005593")</f>
        <v/>
      </c>
      <c r="S206">
        <f>_xlfn.NUMBERVALUE("-0.003267")</f>
        <v/>
      </c>
      <c r="T206">
        <f>_xlfn.NUMBERVALUE("-0.002901")</f>
        <v/>
      </c>
      <c r="U206">
        <f>_xlfn.NUMBERVALUE("-0.002683")</f>
        <v/>
      </c>
      <c r="V206">
        <f>_xlfn.NUMBERVALUE("-0.000279")</f>
        <v/>
      </c>
      <c r="W206">
        <f>_xlfn.NUMBERVALUE("0.016584")</f>
        <v/>
      </c>
      <c r="X206">
        <f>_xlfn.NUMBERVALUE("-2.250000")</f>
        <v/>
      </c>
      <c r="Y206">
        <f>_xlfn.NUMBERVALUE("14.450000")</f>
        <v/>
      </c>
    </row>
    <row r="207">
      <c r="A207" s="1" t="n">
        <v>42300</v>
      </c>
      <c r="B207">
        <f>_xlfn.NUMBERVALUE("0.000000")</f>
        <v/>
      </c>
      <c r="C207" s="2">
        <f>_xlfn.NUMBERVALUE("-0.000023")</f>
        <v/>
      </c>
      <c r="D207">
        <f>_xlfn.NUMBERVALUE("-0.001488")</f>
        <v/>
      </c>
      <c r="E207">
        <f>_xlfn.NUMBERVALUE("-0.000005")</f>
        <v/>
      </c>
      <c r="F207">
        <f>_xlfn.NUMBERVALUE("0.000717")</f>
        <v/>
      </c>
      <c r="G207">
        <f>_xlfn.NUMBERVALUE("0.000068")</f>
        <v/>
      </c>
      <c r="H207">
        <f>_xlfn.NUMBERVALUE("-0.000915")</f>
        <v/>
      </c>
      <c r="I207">
        <f>_xlfn.NUMBERVALUE("0.000160")</f>
        <v/>
      </c>
      <c r="J207">
        <f>_xlfn.NUMBERVALUE("0.000362")</f>
        <v/>
      </c>
      <c r="K207">
        <f>_xlfn.NUMBERVALUE("0.000364")</f>
        <v/>
      </c>
      <c r="L207">
        <f>_xlfn.NUMBERVALUE("-0.000197")</f>
        <v/>
      </c>
      <c r="M207">
        <f>_xlfn.NUMBERVALUE("0.004797")</f>
        <v/>
      </c>
      <c r="N207">
        <f>_xlfn.NUMBERVALUE("0.000000")</f>
        <v/>
      </c>
      <c r="O207">
        <f>_xlfn.NUMBERVALUE("0.001349")</f>
        <v/>
      </c>
      <c r="P207">
        <f>_xlfn.NUMBERVALUE("-0.000014")</f>
        <v/>
      </c>
      <c r="Q207">
        <f>_xlfn.NUMBERVALUE("0.002012")</f>
        <v/>
      </c>
      <c r="R207">
        <f>_xlfn.NUMBERVALUE("-0.003729")</f>
        <v/>
      </c>
      <c r="S207">
        <f>_xlfn.NUMBERVALUE("0.000882")</f>
        <v/>
      </c>
      <c r="T207">
        <f>_xlfn.NUMBERVALUE("-0.000006")</f>
        <v/>
      </c>
      <c r="U207">
        <f>_xlfn.NUMBERVALUE("0.000143")</f>
        <v/>
      </c>
      <c r="V207">
        <f>_xlfn.NUMBERVALUE("-0.000147")</f>
        <v/>
      </c>
      <c r="W207">
        <f>_xlfn.NUMBERVALUE("0.012046")</f>
        <v/>
      </c>
      <c r="X207">
        <f>_xlfn.NUMBERVALUE("0.010000")</f>
        <v/>
      </c>
      <c r="Y207">
        <f>_xlfn.NUMBERVALUE("14.460000")</f>
        <v/>
      </c>
    </row>
    <row r="208">
      <c r="A208" s="1" t="n">
        <v>42303</v>
      </c>
      <c r="B208">
        <f>_xlfn.NUMBERVALUE("0.000000")</f>
        <v/>
      </c>
      <c r="C208" s="2">
        <f>_xlfn.NUMBERVALUE("0.000047")</f>
        <v/>
      </c>
      <c r="D208">
        <f>_xlfn.NUMBERVALUE("0.000309")</f>
        <v/>
      </c>
      <c r="E208">
        <f>_xlfn.NUMBERVALUE("0.000001")</f>
        <v/>
      </c>
      <c r="F208">
        <f>_xlfn.NUMBERVALUE("0.000328")</f>
        <v/>
      </c>
      <c r="G208">
        <f>_xlfn.NUMBERVALUE("0.000550")</f>
        <v/>
      </c>
      <c r="H208">
        <f>_xlfn.NUMBERVALUE("0.001387")</f>
        <v/>
      </c>
      <c r="I208">
        <f>_xlfn.NUMBERVALUE("0.000256")</f>
        <v/>
      </c>
      <c r="J208">
        <f>_xlfn.NUMBERVALUE("0.000017")</f>
        <v/>
      </c>
      <c r="K208">
        <f>_xlfn.NUMBERVALUE("0.000763")</f>
        <v/>
      </c>
      <c r="L208">
        <f>_xlfn.NUMBERVALUE("0.000267")</f>
        <v/>
      </c>
      <c r="M208">
        <f>_xlfn.NUMBERVALUE("-0.004565")</f>
        <v/>
      </c>
      <c r="N208">
        <f>_xlfn.NUMBERVALUE("0.000000")</f>
        <v/>
      </c>
      <c r="O208">
        <f>_xlfn.NUMBERVALUE("-0.001619")</f>
        <v/>
      </c>
      <c r="P208">
        <f>_xlfn.NUMBERVALUE("0.002080")</f>
        <v/>
      </c>
      <c r="Q208">
        <f>_xlfn.NUMBERVALUE("-0.000129")</f>
        <v/>
      </c>
      <c r="R208">
        <f>_xlfn.NUMBERVALUE("0.000317")</f>
        <v/>
      </c>
      <c r="S208">
        <f>_xlfn.NUMBERVALUE("0.000522")</f>
        <v/>
      </c>
      <c r="T208">
        <f>_xlfn.NUMBERVALUE("-0.001039")</f>
        <v/>
      </c>
      <c r="U208">
        <f>_xlfn.NUMBERVALUE("0.001074")</f>
        <v/>
      </c>
      <c r="V208">
        <f>_xlfn.NUMBERVALUE("0.000093")</f>
        <v/>
      </c>
      <c r="W208">
        <f>_xlfn.NUMBERVALUE("-0.001928")</f>
        <v/>
      </c>
      <c r="X208">
        <f>_xlfn.NUMBERVALUE("0.830000")</f>
        <v/>
      </c>
      <c r="Y208">
        <f>_xlfn.NUMBERVALUE("15.290000")</f>
        <v/>
      </c>
    </row>
    <row r="209">
      <c r="A209" s="1" t="n">
        <v>42304</v>
      </c>
      <c r="B209">
        <f>_xlfn.NUMBERVALUE("0.000000")</f>
        <v/>
      </c>
      <c r="C209" s="2">
        <f>_xlfn.NUMBERVALUE("-0.000018")</f>
        <v/>
      </c>
      <c r="D209">
        <f>_xlfn.NUMBERVALUE("0.000010")</f>
        <v/>
      </c>
      <c r="E209">
        <f>_xlfn.NUMBERVALUE("0.000124")</f>
        <v/>
      </c>
      <c r="F209">
        <f>_xlfn.NUMBERVALUE("0.000162")</f>
        <v/>
      </c>
      <c r="G209">
        <f>_xlfn.NUMBERVALUE("-0.000285")</f>
        <v/>
      </c>
      <c r="H209">
        <f>_xlfn.NUMBERVALUE("-0.000176")</f>
        <v/>
      </c>
      <c r="I209">
        <f>_xlfn.NUMBERVALUE("0.000032")</f>
        <v/>
      </c>
      <c r="J209">
        <f>_xlfn.NUMBERVALUE("-0.000085")</f>
        <v/>
      </c>
      <c r="K209">
        <f>_xlfn.NUMBERVALUE("-0.000488")</f>
        <v/>
      </c>
      <c r="L209">
        <f>_xlfn.NUMBERVALUE("0.001191")</f>
        <v/>
      </c>
      <c r="M209">
        <f>_xlfn.NUMBERVALUE("-0.000144")</f>
        <v/>
      </c>
      <c r="N209">
        <f>_xlfn.NUMBERVALUE("0.000000")</f>
        <v/>
      </c>
      <c r="O209">
        <f>_xlfn.NUMBERVALUE("-0.000401")</f>
        <v/>
      </c>
      <c r="P209">
        <f>_xlfn.NUMBERVALUE("0.000897")</f>
        <v/>
      </c>
      <c r="Q209">
        <f>_xlfn.NUMBERVALUE("-0.000065")</f>
        <v/>
      </c>
      <c r="R209">
        <f>_xlfn.NUMBERVALUE("-0.000796")</f>
        <v/>
      </c>
      <c r="S209">
        <f>_xlfn.NUMBERVALUE("0.000211")</f>
        <v/>
      </c>
      <c r="T209">
        <f>_xlfn.NUMBERVALUE("0.002347")</f>
        <v/>
      </c>
      <c r="U209">
        <f>_xlfn.NUMBERVALUE("-0.001256")</f>
        <v/>
      </c>
      <c r="V209">
        <f>_xlfn.NUMBERVALUE("0.000015")</f>
        <v/>
      </c>
      <c r="W209">
        <f>_xlfn.NUMBERVALUE("-0.002945")</f>
        <v/>
      </c>
      <c r="X209">
        <f>_xlfn.NUMBERVALUE("0.140000")</f>
        <v/>
      </c>
      <c r="Y209">
        <f>_xlfn.NUMBERVALUE("15.430000")</f>
        <v/>
      </c>
    </row>
    <row r="210">
      <c r="A210" s="1" t="n">
        <v>42305</v>
      </c>
      <c r="B210">
        <f>_xlfn.NUMBERVALUE("0.000000")</f>
        <v/>
      </c>
      <c r="C210" s="2">
        <f>_xlfn.NUMBERVALUE("-0.000002")</f>
        <v/>
      </c>
      <c r="D210">
        <f>_xlfn.NUMBERVALUE("0.000148")</f>
        <v/>
      </c>
      <c r="E210">
        <f>_xlfn.NUMBERVALUE("-0.000037")</f>
        <v/>
      </c>
      <c r="F210">
        <f>_xlfn.NUMBERVALUE("0.000151")</f>
        <v/>
      </c>
      <c r="G210">
        <f>_xlfn.NUMBERVALUE("-0.000072")</f>
        <v/>
      </c>
      <c r="H210">
        <f>_xlfn.NUMBERVALUE("-0.001237")</f>
        <v/>
      </c>
      <c r="I210">
        <f>_xlfn.NUMBERVALUE("-0.000859")</f>
        <v/>
      </c>
      <c r="J210">
        <f>_xlfn.NUMBERVALUE("0.000326")</f>
        <v/>
      </c>
      <c r="K210">
        <f>_xlfn.NUMBERVALUE("0.000732")</f>
        <v/>
      </c>
      <c r="L210">
        <f>_xlfn.NUMBERVALUE("0.001949")</f>
        <v/>
      </c>
      <c r="M210">
        <f>_xlfn.NUMBERVALUE("0.000765")</f>
        <v/>
      </c>
      <c r="N210">
        <f>_xlfn.NUMBERVALUE("0.000000")</f>
        <v/>
      </c>
      <c r="O210">
        <f>_xlfn.NUMBERVALUE("-0.002672")</f>
        <v/>
      </c>
      <c r="P210">
        <f>_xlfn.NUMBERVALUE("-0.001896")</f>
        <v/>
      </c>
      <c r="Q210">
        <f>_xlfn.NUMBERVALUE("0.001409")</f>
        <v/>
      </c>
      <c r="R210">
        <f>_xlfn.NUMBERVALUE("0.000368")</f>
        <v/>
      </c>
      <c r="S210">
        <f>_xlfn.NUMBERVALUE("-0.000359")</f>
        <v/>
      </c>
      <c r="T210">
        <f>_xlfn.NUMBERVALUE("0.001041")</f>
        <v/>
      </c>
      <c r="U210">
        <f>_xlfn.NUMBERVALUE("0.001193")</f>
        <v/>
      </c>
      <c r="V210">
        <f>_xlfn.NUMBERVALUE("0.000061")</f>
        <v/>
      </c>
      <c r="W210">
        <f>_xlfn.NUMBERVALUE("0.011234")</f>
        <v/>
      </c>
      <c r="X210">
        <f>_xlfn.NUMBERVALUE("-1.100000")</f>
        <v/>
      </c>
      <c r="Y210">
        <f>_xlfn.NUMBERVALUE("14.330000")</f>
        <v/>
      </c>
    </row>
    <row r="211">
      <c r="A211" s="1" t="n">
        <v>42306</v>
      </c>
      <c r="B211">
        <f>_xlfn.NUMBERVALUE("0.000000")</f>
        <v/>
      </c>
      <c r="C211" s="2">
        <f>_xlfn.NUMBERVALUE("-0.000124")</f>
        <v/>
      </c>
      <c r="D211">
        <f>_xlfn.NUMBERVALUE("0.000393")</f>
        <v/>
      </c>
      <c r="E211">
        <f>_xlfn.NUMBERVALUE("-0.000087")</f>
        <v/>
      </c>
      <c r="F211">
        <f>_xlfn.NUMBERVALUE("0.000075")</f>
        <v/>
      </c>
      <c r="G211">
        <f>_xlfn.NUMBERVALUE("-0.000242")</f>
        <v/>
      </c>
      <c r="H211">
        <f>_xlfn.NUMBERVALUE("-0.000715")</f>
        <v/>
      </c>
      <c r="I211">
        <f>_xlfn.NUMBERVALUE("-0.000100")</f>
        <v/>
      </c>
      <c r="J211">
        <f>_xlfn.NUMBERVALUE("-0.000653")</f>
        <v/>
      </c>
      <c r="K211">
        <f>_xlfn.NUMBERVALUE("-0.000695")</f>
        <v/>
      </c>
      <c r="L211">
        <f>_xlfn.NUMBERVALUE("-0.005716")</f>
        <v/>
      </c>
      <c r="M211">
        <f>_xlfn.NUMBERVALUE("0.000287")</f>
        <v/>
      </c>
      <c r="N211">
        <f>_xlfn.NUMBERVALUE("0.000000")</f>
        <v/>
      </c>
      <c r="O211">
        <f>_xlfn.NUMBERVALUE("0.001663")</f>
        <v/>
      </c>
      <c r="P211">
        <f>_xlfn.NUMBERVALUE("-0.000589")</f>
        <v/>
      </c>
      <c r="Q211">
        <f>_xlfn.NUMBERVALUE("-0.000822")</f>
        <v/>
      </c>
      <c r="R211">
        <f>_xlfn.NUMBERVALUE("-0.000286")</f>
        <v/>
      </c>
      <c r="S211">
        <f>_xlfn.NUMBERVALUE("0.000210")</f>
        <v/>
      </c>
      <c r="T211">
        <f>_xlfn.NUMBERVALUE("0.000329")</f>
        <v/>
      </c>
      <c r="U211">
        <f>_xlfn.NUMBERVALUE("-0.000058")</f>
        <v/>
      </c>
      <c r="V211">
        <f>_xlfn.NUMBERVALUE("-0.000152")</f>
        <v/>
      </c>
      <c r="W211">
        <f>_xlfn.NUMBERVALUE("0.000431")</f>
        <v/>
      </c>
      <c r="X211">
        <f>_xlfn.NUMBERVALUE("0.280000")</f>
        <v/>
      </c>
      <c r="Y211">
        <f>_xlfn.NUMBERVALUE("14.610000")</f>
        <v/>
      </c>
    </row>
    <row r="212">
      <c r="A212" s="1" t="n">
        <v>42307</v>
      </c>
      <c r="B212">
        <f>_xlfn.NUMBERVALUE("0.000000")</f>
        <v/>
      </c>
      <c r="C212" s="2">
        <f>_xlfn.NUMBERVALUE("-0.000001")</f>
        <v/>
      </c>
      <c r="D212">
        <f>_xlfn.NUMBERVALUE("-0.000153")</f>
        <v/>
      </c>
      <c r="E212">
        <f>_xlfn.NUMBERVALUE("-0.000001")</f>
        <v/>
      </c>
      <c r="F212">
        <f>_xlfn.NUMBERVALUE("0.000012")</f>
        <v/>
      </c>
      <c r="G212">
        <f>_xlfn.NUMBERVALUE("-0.000001")</f>
        <v/>
      </c>
      <c r="H212">
        <f>_xlfn.NUMBERVALUE("0.000023")</f>
        <v/>
      </c>
      <c r="I212">
        <f>_xlfn.NUMBERVALUE("-0.000070")</f>
        <v/>
      </c>
      <c r="J212">
        <f>_xlfn.NUMBERVALUE("-0.000361")</f>
        <v/>
      </c>
      <c r="K212">
        <f>_xlfn.NUMBERVALUE("-0.000000")</f>
        <v/>
      </c>
      <c r="L212">
        <f>_xlfn.NUMBERVALUE("0.000282")</f>
        <v/>
      </c>
      <c r="M212">
        <f>_xlfn.NUMBERVALUE("-0.001368")</f>
        <v/>
      </c>
      <c r="N212">
        <f>_xlfn.NUMBERVALUE("0.000000")</f>
        <v/>
      </c>
      <c r="O212">
        <f>_xlfn.NUMBERVALUE("0.000102")</f>
        <v/>
      </c>
      <c r="P212">
        <f>_xlfn.NUMBERVALUE("0.000304")</f>
        <v/>
      </c>
      <c r="Q212">
        <f>_xlfn.NUMBERVALUE("0.003531")</f>
        <v/>
      </c>
      <c r="R212">
        <f>_xlfn.NUMBERVALUE("0.000066")</f>
        <v/>
      </c>
      <c r="S212">
        <f>_xlfn.NUMBERVALUE("0.000814")</f>
        <v/>
      </c>
      <c r="T212">
        <f>_xlfn.NUMBERVALUE("0.001082")</f>
        <v/>
      </c>
      <c r="U212">
        <f>_xlfn.NUMBERVALUE("0.001868")</f>
        <v/>
      </c>
      <c r="V212">
        <f>_xlfn.NUMBERVALUE("-0.000012")</f>
        <v/>
      </c>
      <c r="W212">
        <f>_xlfn.NUMBERVALUE("-0.001292")</f>
        <v/>
      </c>
      <c r="X212">
        <f>_xlfn.NUMBERVALUE("0.460000")</f>
        <v/>
      </c>
      <c r="Y212">
        <f>_xlfn.NUMBERVALUE("15.070000")</f>
        <v/>
      </c>
    </row>
    <row r="213">
      <c r="A213" s="1" t="n">
        <v>42310</v>
      </c>
      <c r="B213">
        <f>_xlfn.NUMBERVALUE("0.000000")</f>
        <v/>
      </c>
      <c r="C213" s="2">
        <f>_xlfn.NUMBERVALUE("0.001469")</f>
        <v/>
      </c>
      <c r="D213">
        <f>_xlfn.NUMBERVALUE("-0.000130")</f>
        <v/>
      </c>
      <c r="E213">
        <f>_xlfn.NUMBERVALUE("0.001395")</f>
        <v/>
      </c>
      <c r="F213">
        <f>_xlfn.NUMBERVALUE("0.002319")</f>
        <v/>
      </c>
      <c r="G213">
        <f>_xlfn.NUMBERVALUE("-0.000063")</f>
        <v/>
      </c>
      <c r="H213">
        <f>_xlfn.NUMBERVALUE("0.000433")</f>
        <v/>
      </c>
      <c r="I213">
        <f>_xlfn.NUMBERVALUE("-0.005212")</f>
        <v/>
      </c>
      <c r="J213">
        <f>_xlfn.NUMBERVALUE("0.000520")</f>
        <v/>
      </c>
      <c r="K213">
        <f>_xlfn.NUMBERVALUE("0.000562")</f>
        <v/>
      </c>
      <c r="L213">
        <f>_xlfn.NUMBERVALUE("0.001329")</f>
        <v/>
      </c>
      <c r="M213">
        <f>_xlfn.NUMBERVALUE("-0.000132")</f>
        <v/>
      </c>
      <c r="N213">
        <f>_xlfn.NUMBERVALUE("0.000000")</f>
        <v/>
      </c>
      <c r="O213">
        <f>_xlfn.NUMBERVALUE("-0.000177")</f>
        <v/>
      </c>
      <c r="P213">
        <f>_xlfn.NUMBERVALUE("-0.000196")</f>
        <v/>
      </c>
      <c r="Q213">
        <f>_xlfn.NUMBERVALUE("-0.003321")</f>
        <v/>
      </c>
      <c r="R213">
        <f>_xlfn.NUMBERVALUE("-0.000073")</f>
        <v/>
      </c>
      <c r="S213">
        <f>_xlfn.NUMBERVALUE("0.001134")</f>
        <v/>
      </c>
      <c r="T213">
        <f>_xlfn.NUMBERVALUE("0.003508")</f>
        <v/>
      </c>
      <c r="U213">
        <f>_xlfn.NUMBERVALUE("-0.002178")</f>
        <v/>
      </c>
      <c r="V213">
        <f>_xlfn.NUMBERVALUE("0.000686")</f>
        <v/>
      </c>
      <c r="W213">
        <f>_xlfn.NUMBERVALUE("0.008926")</f>
        <v/>
      </c>
      <c r="X213">
        <f>_xlfn.NUMBERVALUE("-0.920000")</f>
        <v/>
      </c>
      <c r="Y213">
        <f>_xlfn.NUMBERVALUE("14.150000")</f>
        <v/>
      </c>
    </row>
    <row r="214">
      <c r="A214" s="1" t="n">
        <v>42311</v>
      </c>
      <c r="B214">
        <f>_xlfn.NUMBERVALUE("0.000000")</f>
        <v/>
      </c>
      <c r="C214" s="2">
        <f>_xlfn.NUMBERVALUE("-0.001891")</f>
        <v/>
      </c>
      <c r="D214">
        <f>_xlfn.NUMBERVALUE("-0.002708")</f>
        <v/>
      </c>
      <c r="E214">
        <f>_xlfn.NUMBERVALUE("0.000447")</f>
        <v/>
      </c>
      <c r="F214">
        <f>_xlfn.NUMBERVALUE("-0.003958")</f>
        <v/>
      </c>
      <c r="G214">
        <f>_xlfn.NUMBERVALUE("0.000059")</f>
        <v/>
      </c>
      <c r="H214">
        <f>_xlfn.NUMBERVALUE("-0.000476")</f>
        <v/>
      </c>
      <c r="I214">
        <f>_xlfn.NUMBERVALUE("-0.000700")</f>
        <v/>
      </c>
      <c r="J214">
        <f>_xlfn.NUMBERVALUE("0.000228")</f>
        <v/>
      </c>
      <c r="K214">
        <f>_xlfn.NUMBERVALUE("0.002147")</f>
        <v/>
      </c>
      <c r="L214">
        <f>_xlfn.NUMBERVALUE("0.000160")</f>
        <v/>
      </c>
      <c r="M214">
        <f>_xlfn.NUMBERVALUE("0.000000")</f>
        <v/>
      </c>
      <c r="N214">
        <f>_xlfn.NUMBERVALUE("0.000000")</f>
        <v/>
      </c>
      <c r="O214">
        <f>_xlfn.NUMBERVALUE("0.000000")</f>
        <v/>
      </c>
      <c r="P214">
        <f>_xlfn.NUMBERVALUE("0.000000")</f>
        <v/>
      </c>
      <c r="Q214">
        <f>_xlfn.NUMBERVALUE("0.000000")</f>
        <v/>
      </c>
      <c r="R214">
        <f>_xlfn.NUMBERVALUE("0.000000")</f>
        <v/>
      </c>
      <c r="S214">
        <f>_xlfn.NUMBERVALUE("0.000000")</f>
        <v/>
      </c>
      <c r="T214">
        <f>_xlfn.NUMBERVALUE("0.000000")</f>
        <v/>
      </c>
      <c r="U214">
        <f>_xlfn.NUMBERVALUE("0.000000")</f>
        <v/>
      </c>
      <c r="V214">
        <f>_xlfn.NUMBERVALUE("-0.001169")</f>
        <v/>
      </c>
      <c r="W214">
        <f>_xlfn.NUMBERVALUE("0.005969")</f>
        <v/>
      </c>
      <c r="X214">
        <f>_xlfn.NUMBERVALUE("0.390000")</f>
        <v/>
      </c>
      <c r="Y214">
        <f>_xlfn.NUMBERVALUE("14.540000")</f>
        <v/>
      </c>
    </row>
    <row r="215">
      <c r="A215" s="1" t="n">
        <v>42312</v>
      </c>
      <c r="B215">
        <f>_xlfn.NUMBERVALUE("0.000000")</f>
        <v/>
      </c>
      <c r="C215" s="2">
        <f>_xlfn.NUMBERVALUE("-0.000584")</f>
        <v/>
      </c>
      <c r="D215">
        <f>_xlfn.NUMBERVALUE("-0.001509")</f>
        <v/>
      </c>
      <c r="E215">
        <f>_xlfn.NUMBERVALUE("-0.000765")</f>
        <v/>
      </c>
      <c r="F215">
        <f>_xlfn.NUMBERVALUE("-0.002128")</f>
        <v/>
      </c>
      <c r="G215">
        <f>_xlfn.NUMBERVALUE("-0.000805")</f>
        <v/>
      </c>
      <c r="H215">
        <f>_xlfn.NUMBERVALUE("0.000106")</f>
        <v/>
      </c>
      <c r="I215">
        <f>_xlfn.NUMBERVALUE("-0.000239")</f>
        <v/>
      </c>
      <c r="J215">
        <f>_xlfn.NUMBERVALUE("0.000726")</f>
        <v/>
      </c>
      <c r="K215">
        <f>_xlfn.NUMBERVALUE("-0.000965")</f>
        <v/>
      </c>
      <c r="L215">
        <f>_xlfn.NUMBERVALUE("0.000935")</f>
        <v/>
      </c>
      <c r="M215">
        <f>_xlfn.NUMBERVALUE("0.000626")</f>
        <v/>
      </c>
      <c r="N215">
        <f>_xlfn.NUMBERVALUE("0.000000")</f>
        <v/>
      </c>
      <c r="O215">
        <f>_xlfn.NUMBERVALUE("-0.000128")</f>
        <v/>
      </c>
      <c r="P215">
        <f>_xlfn.NUMBERVALUE("0.000000")</f>
        <v/>
      </c>
      <c r="Q215">
        <f>_xlfn.NUMBERVALUE("-0.000124")</f>
        <v/>
      </c>
      <c r="R215">
        <f>_xlfn.NUMBERVALUE("-0.000001")</f>
        <v/>
      </c>
      <c r="S215">
        <f>_xlfn.NUMBERVALUE("-0.000069")</f>
        <v/>
      </c>
      <c r="T215">
        <f>_xlfn.NUMBERVALUE("0.005261")</f>
        <v/>
      </c>
      <c r="U215">
        <f>_xlfn.NUMBERVALUE("0.000331")</f>
        <v/>
      </c>
      <c r="V215">
        <f>_xlfn.NUMBERVALUE("-0.000527")</f>
        <v/>
      </c>
      <c r="W215">
        <f>_xlfn.NUMBERVALUE("-0.006690")</f>
        <v/>
      </c>
      <c r="X215">
        <f>_xlfn.NUMBERVALUE("0.970000")</f>
        <v/>
      </c>
      <c r="Y215">
        <f>_xlfn.NUMBERVALUE("15.510000")</f>
        <v/>
      </c>
    </row>
    <row r="216">
      <c r="A216" s="1" t="n">
        <v>42313</v>
      </c>
      <c r="B216">
        <f>_xlfn.NUMBERVALUE("0.000000")</f>
        <v/>
      </c>
      <c r="C216" s="2">
        <f>_xlfn.NUMBERVALUE("0.000655")</f>
        <v/>
      </c>
      <c r="D216">
        <f>_xlfn.NUMBERVALUE("0.000644")</f>
        <v/>
      </c>
      <c r="E216">
        <f>_xlfn.NUMBERVALUE("0.001150")</f>
        <v/>
      </c>
      <c r="F216">
        <f>_xlfn.NUMBERVALUE("0.000147")</f>
        <v/>
      </c>
      <c r="G216">
        <f>_xlfn.NUMBERVALUE("0.001243")</f>
        <v/>
      </c>
      <c r="H216">
        <f>_xlfn.NUMBERVALUE("0.000851")</f>
        <v/>
      </c>
      <c r="I216">
        <f>_xlfn.NUMBERVALUE("0.002298")</f>
        <v/>
      </c>
      <c r="J216">
        <f>_xlfn.NUMBERVALUE("-0.000261")</f>
        <v/>
      </c>
      <c r="K216">
        <f>_xlfn.NUMBERVALUE("-0.000774")</f>
        <v/>
      </c>
      <c r="L216">
        <f>_xlfn.NUMBERVALUE("0.000592")</f>
        <v/>
      </c>
      <c r="M216">
        <f>_xlfn.NUMBERVALUE("0.001321")</f>
        <v/>
      </c>
      <c r="N216">
        <f>_xlfn.NUMBERVALUE("0.000000")</f>
        <v/>
      </c>
      <c r="O216">
        <f>_xlfn.NUMBERVALUE("-0.000383")</f>
        <v/>
      </c>
      <c r="P216">
        <f>_xlfn.NUMBERVALUE("-0.004348")</f>
        <v/>
      </c>
      <c r="Q216">
        <f>_xlfn.NUMBERVALUE("0.001224")</f>
        <v/>
      </c>
      <c r="R216">
        <f>_xlfn.NUMBERVALUE("-0.000706")</f>
        <v/>
      </c>
      <c r="S216">
        <f>_xlfn.NUMBERVALUE("-0.000362")</f>
        <v/>
      </c>
      <c r="T216">
        <f>_xlfn.NUMBERVALUE("0.000548")</f>
        <v/>
      </c>
      <c r="U216">
        <f>_xlfn.NUMBERVALUE("-0.000060")</f>
        <v/>
      </c>
      <c r="V216">
        <f>_xlfn.NUMBERVALUE("0.001212")</f>
        <v/>
      </c>
      <c r="W216">
        <f>_xlfn.NUMBERVALUE("0.000714")</f>
        <v/>
      </c>
      <c r="X216">
        <f>_xlfn.NUMBERVALUE("-0.460000")</f>
        <v/>
      </c>
      <c r="Y216">
        <f>_xlfn.NUMBERVALUE("15.050000")</f>
        <v/>
      </c>
    </row>
    <row r="217">
      <c r="A217" s="1" t="n">
        <v>42314</v>
      </c>
      <c r="B217">
        <f>_xlfn.NUMBERVALUE("0.000000")</f>
        <v/>
      </c>
      <c r="C217" s="2">
        <f>_xlfn.NUMBERVALUE("0.002217")</f>
        <v/>
      </c>
      <c r="D217">
        <f>_xlfn.NUMBERVALUE("-0.000231")</f>
        <v/>
      </c>
      <c r="E217">
        <f>_xlfn.NUMBERVALUE("0.001760")</f>
        <v/>
      </c>
      <c r="F217">
        <f>_xlfn.NUMBERVALUE("-0.000792")</f>
        <v/>
      </c>
      <c r="G217">
        <f>_xlfn.NUMBERVALUE("-0.000151")</f>
        <v/>
      </c>
      <c r="H217">
        <f>_xlfn.NUMBERVALUE("0.000056")</f>
        <v/>
      </c>
      <c r="I217">
        <f>_xlfn.NUMBERVALUE("0.000424")</f>
        <v/>
      </c>
      <c r="J217">
        <f>_xlfn.NUMBERVALUE("-0.000010")</f>
        <v/>
      </c>
      <c r="K217">
        <f>_xlfn.NUMBERVALUE("-0.001723")</f>
        <v/>
      </c>
      <c r="L217">
        <f>_xlfn.NUMBERVALUE("-0.000714")</f>
        <v/>
      </c>
      <c r="M217">
        <f>_xlfn.NUMBERVALUE("-0.000014")</f>
        <v/>
      </c>
      <c r="N217">
        <f>_xlfn.NUMBERVALUE("0.000000")</f>
        <v/>
      </c>
      <c r="O217">
        <f>_xlfn.NUMBERVALUE("0.001708")</f>
        <v/>
      </c>
      <c r="P217">
        <f>_xlfn.NUMBERVALUE("0.002729")</f>
        <v/>
      </c>
      <c r="Q217">
        <f>_xlfn.NUMBERVALUE("0.001331")</f>
        <v/>
      </c>
      <c r="R217">
        <f>_xlfn.NUMBERVALUE("0.002124")</f>
        <v/>
      </c>
      <c r="S217">
        <f>_xlfn.NUMBERVALUE("0.001205")</f>
        <v/>
      </c>
      <c r="T217">
        <f>_xlfn.NUMBERVALUE("-0.010669")</f>
        <v/>
      </c>
      <c r="U217">
        <f>_xlfn.NUMBERVALUE("0.002966")</f>
        <v/>
      </c>
      <c r="V217">
        <f>_xlfn.NUMBERVALUE("0.002649")</f>
        <v/>
      </c>
      <c r="W217">
        <f>_xlfn.NUMBERVALUE("-0.001046")</f>
        <v/>
      </c>
      <c r="X217">
        <f>_xlfn.NUMBERVALUE("-0.720000")</f>
        <v/>
      </c>
      <c r="Y217">
        <f>_xlfn.NUMBERVALUE("14.330000")</f>
        <v/>
      </c>
    </row>
    <row r="218">
      <c r="A218" s="1" t="n">
        <v>42317</v>
      </c>
      <c r="B218">
        <f>_xlfn.NUMBERVALUE("0.000000")</f>
        <v/>
      </c>
      <c r="C218" s="2">
        <f>_xlfn.NUMBERVALUE("-0.000030")</f>
        <v/>
      </c>
      <c r="D218">
        <f>_xlfn.NUMBERVALUE("0.000469")</f>
        <v/>
      </c>
      <c r="E218">
        <f>_xlfn.NUMBERVALUE("-0.000488")</f>
        <v/>
      </c>
      <c r="F218">
        <f>_xlfn.NUMBERVALUE("0.000496")</f>
        <v/>
      </c>
      <c r="G218">
        <f>_xlfn.NUMBERVALUE("0.000761")</f>
        <v/>
      </c>
      <c r="H218">
        <f>_xlfn.NUMBERVALUE("0.000076")</f>
        <v/>
      </c>
      <c r="I218">
        <f>_xlfn.NUMBERVALUE("-0.000247")</f>
        <v/>
      </c>
      <c r="J218">
        <f>_xlfn.NUMBERVALUE("0.000792")</f>
        <v/>
      </c>
      <c r="K218">
        <f>_xlfn.NUMBERVALUE("0.000521")</f>
        <v/>
      </c>
      <c r="L218">
        <f>_xlfn.NUMBERVALUE("-0.000372")</f>
        <v/>
      </c>
      <c r="M218">
        <f>_xlfn.NUMBERVALUE("0.001284")</f>
        <v/>
      </c>
      <c r="N218">
        <f>_xlfn.NUMBERVALUE("0.000000")</f>
        <v/>
      </c>
      <c r="O218">
        <f>_xlfn.NUMBERVALUE("-0.000972")</f>
        <v/>
      </c>
      <c r="P218">
        <f>_xlfn.NUMBERVALUE("-0.004190")</f>
        <v/>
      </c>
      <c r="Q218">
        <f>_xlfn.NUMBERVALUE("-0.001113")</f>
        <v/>
      </c>
      <c r="R218">
        <f>_xlfn.NUMBERVALUE("-0.000391")</f>
        <v/>
      </c>
      <c r="S218">
        <f>_xlfn.NUMBERVALUE("-0.000718")</f>
        <v/>
      </c>
      <c r="T218">
        <f>_xlfn.NUMBERVALUE("0.000293")</f>
        <v/>
      </c>
      <c r="U218">
        <f>_xlfn.NUMBERVALUE("-0.001635")</f>
        <v/>
      </c>
      <c r="V218">
        <f>_xlfn.NUMBERVALUE("-0.001743")</f>
        <v/>
      </c>
      <c r="W218">
        <f>_xlfn.NUMBERVALUE("-0.009476")</f>
        <v/>
      </c>
      <c r="X218">
        <f>_xlfn.NUMBERVALUE("2.190000")</f>
        <v/>
      </c>
      <c r="Y218">
        <f>_xlfn.NUMBERVALUE("16.520000")</f>
        <v/>
      </c>
    </row>
    <row r="219">
      <c r="A219" s="1" t="n">
        <v>42318</v>
      </c>
      <c r="B219">
        <f>_xlfn.NUMBERVALUE("0.000000")</f>
        <v/>
      </c>
      <c r="C219" s="2">
        <f>_xlfn.NUMBERVALUE("0.002194")</f>
        <v/>
      </c>
      <c r="D219">
        <f>_xlfn.NUMBERVALUE("0.003267")</f>
        <v/>
      </c>
      <c r="E219">
        <f>_xlfn.NUMBERVALUE("0.001267")</f>
        <v/>
      </c>
      <c r="F219">
        <f>_xlfn.NUMBERVALUE("0.000871")</f>
        <v/>
      </c>
      <c r="G219">
        <f>_xlfn.NUMBERVALUE("-0.000005")</f>
        <v/>
      </c>
      <c r="H219">
        <f>_xlfn.NUMBERVALUE("-0.009404")</f>
        <v/>
      </c>
      <c r="I219">
        <f>_xlfn.NUMBERVALUE("0.001758")</f>
        <v/>
      </c>
      <c r="J219">
        <f>_xlfn.NUMBERVALUE("0.000096")</f>
        <v/>
      </c>
      <c r="K219">
        <f>_xlfn.NUMBERVALUE("-0.001126")</f>
        <v/>
      </c>
      <c r="L219">
        <f>_xlfn.NUMBERVALUE("0.000161")</f>
        <v/>
      </c>
      <c r="M219">
        <f>_xlfn.NUMBERVALUE("0.001731")</f>
        <v/>
      </c>
      <c r="N219">
        <f>_xlfn.NUMBERVALUE("0.000000")</f>
        <v/>
      </c>
      <c r="O219">
        <f>_xlfn.NUMBERVALUE("0.002241")</f>
        <v/>
      </c>
      <c r="P219">
        <f>_xlfn.NUMBERVALUE("0.006484")</f>
        <v/>
      </c>
      <c r="Q219">
        <f>_xlfn.NUMBERVALUE("0.002069")</f>
        <v/>
      </c>
      <c r="R219">
        <f>_xlfn.NUMBERVALUE("0.001326")</f>
        <v/>
      </c>
      <c r="S219">
        <f>_xlfn.NUMBERVALUE("0.000660")</f>
        <v/>
      </c>
      <c r="T219">
        <f>_xlfn.NUMBERVALUE("0.000768")</f>
        <v/>
      </c>
      <c r="U219">
        <f>_xlfn.NUMBERVALUE("0.001035")</f>
        <v/>
      </c>
      <c r="V219">
        <f>_xlfn.NUMBERVALUE("0.002263")</f>
        <v/>
      </c>
      <c r="W219">
        <f>_xlfn.NUMBERVALUE("0.001106")</f>
        <v/>
      </c>
      <c r="X219">
        <f>_xlfn.NUMBERVALUE("-1.230000")</f>
        <v/>
      </c>
      <c r="Y219">
        <f>_xlfn.NUMBERVALUE("15.290000")</f>
        <v/>
      </c>
    </row>
    <row r="220">
      <c r="A220" s="1" t="n">
        <v>42319</v>
      </c>
      <c r="B220">
        <f>_xlfn.NUMBERVALUE("0.000000")</f>
        <v/>
      </c>
      <c r="C220" s="2">
        <f>_xlfn.NUMBERVALUE("0.000351")</f>
        <v/>
      </c>
      <c r="D220">
        <f>_xlfn.NUMBERVALUE("0.000772")</f>
        <v/>
      </c>
      <c r="E220">
        <f>_xlfn.NUMBERVALUE("0.000122")</f>
        <v/>
      </c>
      <c r="F220">
        <f>_xlfn.NUMBERVALUE("0.000119")</f>
        <v/>
      </c>
      <c r="G220">
        <f>_xlfn.NUMBERVALUE("0.001203")</f>
        <v/>
      </c>
      <c r="H220">
        <f>_xlfn.NUMBERVALUE("0.009030")</f>
        <v/>
      </c>
      <c r="I220">
        <f>_xlfn.NUMBERVALUE("0.000679")</f>
        <v/>
      </c>
      <c r="J220">
        <f>_xlfn.NUMBERVALUE("-0.000327")</f>
        <v/>
      </c>
      <c r="K220">
        <f>_xlfn.NUMBERVALUE("-0.001892")</f>
        <v/>
      </c>
      <c r="L220">
        <f>_xlfn.NUMBERVALUE("0.000400")</f>
        <v/>
      </c>
      <c r="M220">
        <f>_xlfn.NUMBERVALUE("0.000289")</f>
        <v/>
      </c>
      <c r="N220">
        <f>_xlfn.NUMBERVALUE("0.000000")</f>
        <v/>
      </c>
      <c r="O220">
        <f>_xlfn.NUMBERVALUE("0.000663")</f>
        <v/>
      </c>
      <c r="P220">
        <f>_xlfn.NUMBERVALUE("-0.004246")</f>
        <v/>
      </c>
      <c r="Q220">
        <f>_xlfn.NUMBERVALUE("0.000815")</f>
        <v/>
      </c>
      <c r="R220">
        <f>_xlfn.NUMBERVALUE("0.000707")</f>
        <v/>
      </c>
      <c r="S220">
        <f>_xlfn.NUMBERVALUE("0.000418")</f>
        <v/>
      </c>
      <c r="T220">
        <f>_xlfn.NUMBERVALUE("0.000479")</f>
        <v/>
      </c>
      <c r="U220">
        <f>_xlfn.NUMBERVALUE("0.000387")</f>
        <v/>
      </c>
      <c r="V220">
        <f>_xlfn.NUMBERVALUE("0.000476")</f>
        <v/>
      </c>
      <c r="W220">
        <f>_xlfn.NUMBERVALUE("0.002161")</f>
        <v/>
      </c>
      <c r="X220">
        <f>_xlfn.NUMBERVALUE("0.770000")</f>
        <v/>
      </c>
      <c r="Y220">
        <f>_xlfn.NUMBERVALUE("16.060000")</f>
        <v/>
      </c>
    </row>
    <row r="221">
      <c r="A221" s="1" t="n">
        <v>42320</v>
      </c>
      <c r="B221">
        <f>_xlfn.NUMBERVALUE("0.000000")</f>
        <v/>
      </c>
      <c r="C221" s="2">
        <f>_xlfn.NUMBERVALUE("-0.005039")</f>
        <v/>
      </c>
      <c r="D221">
        <f>_xlfn.NUMBERVALUE("-0.001393")</f>
        <v/>
      </c>
      <c r="E221">
        <f>_xlfn.NUMBERVALUE("-0.002888")</f>
        <v/>
      </c>
      <c r="F221">
        <f>_xlfn.NUMBERVALUE("-0.000196")</f>
        <v/>
      </c>
      <c r="G221">
        <f>_xlfn.NUMBERVALUE("-0.001551")</f>
        <v/>
      </c>
      <c r="H221">
        <f>_xlfn.NUMBERVALUE("0.000714")</f>
        <v/>
      </c>
      <c r="I221">
        <f>_xlfn.NUMBERVALUE("-0.005636")</f>
        <v/>
      </c>
      <c r="J221">
        <f>_xlfn.NUMBERVALUE("0.001235")</f>
        <v/>
      </c>
      <c r="K221">
        <f>_xlfn.NUMBERVALUE("0.001830")</f>
        <v/>
      </c>
      <c r="L221">
        <f>_xlfn.NUMBERVALUE("-0.000293")</f>
        <v/>
      </c>
      <c r="M221">
        <f>_xlfn.NUMBERVALUE("-0.004089")</f>
        <v/>
      </c>
      <c r="N221">
        <f>_xlfn.NUMBERVALUE("0.000000")</f>
        <v/>
      </c>
      <c r="O221">
        <f>_xlfn.NUMBERVALUE("-0.011061")</f>
        <v/>
      </c>
      <c r="P221">
        <f>_xlfn.NUMBERVALUE("-0.003304")</f>
        <v/>
      </c>
      <c r="Q221">
        <f>_xlfn.NUMBERVALUE("-0.003741")</f>
        <v/>
      </c>
      <c r="R221">
        <f>_xlfn.NUMBERVALUE("-0.001928")</f>
        <v/>
      </c>
      <c r="S221">
        <f>_xlfn.NUMBERVALUE("-0.005099")</f>
        <v/>
      </c>
      <c r="T221">
        <f>_xlfn.NUMBERVALUE("-0.000290")</f>
        <v/>
      </c>
      <c r="U221">
        <f>_xlfn.NUMBERVALUE("-0.002537")</f>
        <v/>
      </c>
      <c r="V221">
        <f>_xlfn.NUMBERVALUE("-0.004977")</f>
        <v/>
      </c>
      <c r="W221">
        <f>_xlfn.NUMBERVALUE("-0.018016")</f>
        <v/>
      </c>
      <c r="X221">
        <f>_xlfn.NUMBERVALUE("2.310000")</f>
        <v/>
      </c>
      <c r="Y221">
        <f>_xlfn.NUMBERVALUE("18.370000")</f>
        <v/>
      </c>
    </row>
    <row r="222">
      <c r="A222" s="1" t="n">
        <v>42321</v>
      </c>
      <c r="B222">
        <f>_xlfn.NUMBERVALUE("0.000000")</f>
        <v/>
      </c>
      <c r="C222" s="2">
        <f>_xlfn.NUMBERVALUE("-0.002121")</f>
        <v/>
      </c>
      <c r="D222">
        <f>_xlfn.NUMBERVALUE("-0.000293")</f>
        <v/>
      </c>
      <c r="E222">
        <f>_xlfn.NUMBERVALUE("-0.001356")</f>
        <v/>
      </c>
      <c r="F222">
        <f>_xlfn.NUMBERVALUE("0.000340")</f>
        <v/>
      </c>
      <c r="G222">
        <f>_xlfn.NUMBERVALUE("0.000257")</f>
        <v/>
      </c>
      <c r="H222">
        <f>_xlfn.NUMBERVALUE("-0.000098")</f>
        <v/>
      </c>
      <c r="I222">
        <f>_xlfn.NUMBERVALUE("-0.001747")</f>
        <v/>
      </c>
      <c r="J222">
        <f>_xlfn.NUMBERVALUE("-0.002036")</f>
        <v/>
      </c>
      <c r="K222">
        <f>_xlfn.NUMBERVALUE("-0.000100")</f>
        <v/>
      </c>
      <c r="L222">
        <f>_xlfn.NUMBERVALUE("0.000743")</f>
        <v/>
      </c>
      <c r="M222">
        <f>_xlfn.NUMBERVALUE("-0.002595")</f>
        <v/>
      </c>
      <c r="N222">
        <f>_xlfn.NUMBERVALUE("0.000000")</f>
        <v/>
      </c>
      <c r="O222">
        <f>_xlfn.NUMBERVALUE("-0.001103")</f>
        <v/>
      </c>
      <c r="P222">
        <f>_xlfn.NUMBERVALUE("-0.001064")</f>
        <v/>
      </c>
      <c r="Q222">
        <f>_xlfn.NUMBERVALUE("-0.000746")</f>
        <v/>
      </c>
      <c r="R222">
        <f>_xlfn.NUMBERVALUE("-0.003719")</f>
        <v/>
      </c>
      <c r="S222">
        <f>_xlfn.NUMBERVALUE("0.001749")</f>
        <v/>
      </c>
      <c r="T222">
        <f>_xlfn.NUMBERVALUE("-0.006317")</f>
        <v/>
      </c>
      <c r="U222">
        <f>_xlfn.NUMBERVALUE("-0.007097")</f>
        <v/>
      </c>
      <c r="V222">
        <f>_xlfn.NUMBERVALUE("-0.001907")</f>
        <v/>
      </c>
      <c r="W222">
        <f>_xlfn.NUMBERVALUE("-0.011028")</f>
        <v/>
      </c>
      <c r="X222">
        <f>_xlfn.NUMBERVALUE("1.710000")</f>
        <v/>
      </c>
      <c r="Y222">
        <f>_xlfn.NUMBERVALUE("20.080000")</f>
        <v/>
      </c>
    </row>
    <row r="223">
      <c r="A223" s="1" t="n">
        <v>42324</v>
      </c>
      <c r="B223">
        <f>_xlfn.NUMBERVALUE("0.000000")</f>
        <v/>
      </c>
      <c r="C223" s="2">
        <f>_xlfn.NUMBERVALUE("0.000837")</f>
        <v/>
      </c>
      <c r="D223">
        <f>_xlfn.NUMBERVALUE("0.002921")</f>
        <v/>
      </c>
      <c r="E223">
        <f>_xlfn.NUMBERVALUE("0.001317")</f>
        <v/>
      </c>
      <c r="F223">
        <f>_xlfn.NUMBERVALUE("0.000128")</f>
        <v/>
      </c>
      <c r="G223">
        <f>_xlfn.NUMBERVALUE("0.000803")</f>
        <v/>
      </c>
      <c r="H223">
        <f>_xlfn.NUMBERVALUE("0.001227")</f>
        <v/>
      </c>
      <c r="I223">
        <f>_xlfn.NUMBERVALUE("0.004421")</f>
        <v/>
      </c>
      <c r="J223">
        <f>_xlfn.NUMBERVALUE("0.000543")</f>
        <v/>
      </c>
      <c r="K223">
        <f>_xlfn.NUMBERVALUE("0.002082")</f>
        <v/>
      </c>
      <c r="L223">
        <f>_xlfn.NUMBERVALUE("0.000751")</f>
        <v/>
      </c>
      <c r="M223">
        <f>_xlfn.NUMBERVALUE("0.000435")</f>
        <v/>
      </c>
      <c r="N223">
        <f>_xlfn.NUMBERVALUE("0.000000")</f>
        <v/>
      </c>
      <c r="O223">
        <f>_xlfn.NUMBERVALUE("0.001463")</f>
        <v/>
      </c>
      <c r="P223">
        <f>_xlfn.NUMBERVALUE("0.001882")</f>
        <v/>
      </c>
      <c r="Q223">
        <f>_xlfn.NUMBERVALUE("0.001748")</f>
        <v/>
      </c>
      <c r="R223">
        <f>_xlfn.NUMBERVALUE("0.001766")</f>
        <v/>
      </c>
      <c r="S223">
        <f>_xlfn.NUMBERVALUE("-0.000008")</f>
        <v/>
      </c>
      <c r="T223">
        <f>_xlfn.NUMBERVALUE("0.003824")</f>
        <v/>
      </c>
      <c r="U223">
        <f>_xlfn.NUMBERVALUE("0.002151")</f>
        <v/>
      </c>
      <c r="V223">
        <f>_xlfn.NUMBERVALUE("0.001443")</f>
        <v/>
      </c>
      <c r="W223">
        <f>_xlfn.NUMBERVALUE("0.014012")</f>
        <v/>
      </c>
      <c r="X223">
        <f>_xlfn.NUMBERVALUE("-1.920000")</f>
        <v/>
      </c>
      <c r="Y223">
        <f>_xlfn.NUMBERVALUE("18.160000")</f>
        <v/>
      </c>
    </row>
    <row r="224">
      <c r="A224" s="1" t="n">
        <v>42325</v>
      </c>
      <c r="B224">
        <f>_xlfn.NUMBERVALUE("0.000000")</f>
        <v/>
      </c>
      <c r="C224" s="2">
        <f>_xlfn.NUMBERVALUE("0.000031")</f>
        <v/>
      </c>
      <c r="D224">
        <f>_xlfn.NUMBERVALUE("-0.000177")</f>
        <v/>
      </c>
      <c r="E224">
        <f>_xlfn.NUMBERVALUE("-0.000413")</f>
        <v/>
      </c>
      <c r="F224">
        <f>_xlfn.NUMBERVALUE("-0.000713")</f>
        <v/>
      </c>
      <c r="G224">
        <f>_xlfn.NUMBERVALUE("-0.000050")</f>
        <v/>
      </c>
      <c r="H224">
        <f>_xlfn.NUMBERVALUE("-0.000516")</f>
        <v/>
      </c>
      <c r="I224">
        <f>_xlfn.NUMBERVALUE("0.000720")</f>
        <v/>
      </c>
      <c r="J224">
        <f>_xlfn.NUMBERVALUE("0.000784")</f>
        <v/>
      </c>
      <c r="K224">
        <f>_xlfn.NUMBERVALUE("-0.000641")</f>
        <v/>
      </c>
      <c r="L224">
        <f>_xlfn.NUMBERVALUE("0.000537")</f>
        <v/>
      </c>
      <c r="M224">
        <f>_xlfn.NUMBERVALUE("0.001177")</f>
        <v/>
      </c>
      <c r="N224">
        <f>_xlfn.NUMBERVALUE("0.000000")</f>
        <v/>
      </c>
      <c r="O224">
        <f>_xlfn.NUMBERVALUE("-0.000064")</f>
        <v/>
      </c>
      <c r="P224">
        <f>_xlfn.NUMBERVALUE("0.000841")</f>
        <v/>
      </c>
      <c r="Q224">
        <f>_xlfn.NUMBERVALUE("0.000295")</f>
        <v/>
      </c>
      <c r="R224">
        <f>_xlfn.NUMBERVALUE("0.000296")</f>
        <v/>
      </c>
      <c r="S224">
        <f>_xlfn.NUMBERVALUE("0.000436")</f>
        <v/>
      </c>
      <c r="T224">
        <f>_xlfn.NUMBERVALUE("-0.002234")</f>
        <v/>
      </c>
      <c r="U224">
        <f>_xlfn.NUMBERVALUE("-0.000131")</f>
        <v/>
      </c>
      <c r="V224">
        <f>_xlfn.NUMBERVALUE("-0.000098")</f>
        <v/>
      </c>
      <c r="W224">
        <f>_xlfn.NUMBERVALUE("0.000681")</f>
        <v/>
      </c>
      <c r="X224">
        <f>_xlfn.NUMBERVALUE("0.680000")</f>
        <v/>
      </c>
      <c r="Y224">
        <f>_xlfn.NUMBERVALUE("18.840000")</f>
        <v/>
      </c>
    </row>
    <row r="225">
      <c r="A225" s="1" t="n">
        <v>42326</v>
      </c>
      <c r="B225">
        <f>_xlfn.NUMBERVALUE("0.000000")</f>
        <v/>
      </c>
      <c r="C225" s="2">
        <f>_xlfn.NUMBERVALUE("-0.001246")</f>
        <v/>
      </c>
      <c r="D225">
        <f>_xlfn.NUMBERVALUE("0.002394")</f>
        <v/>
      </c>
      <c r="E225">
        <f>_xlfn.NUMBERVALUE("0.001405")</f>
        <v/>
      </c>
      <c r="F225">
        <f>_xlfn.NUMBERVALUE("-0.000599")</f>
        <v/>
      </c>
      <c r="G225">
        <f>_xlfn.NUMBERVALUE("-0.000222")</f>
        <v/>
      </c>
      <c r="H225">
        <f>_xlfn.NUMBERVALUE("0.000770")</f>
        <v/>
      </c>
      <c r="I225">
        <f>_xlfn.NUMBERVALUE("0.000340")</f>
        <v/>
      </c>
      <c r="J225">
        <f>_xlfn.NUMBERVALUE("-0.000304")</f>
        <v/>
      </c>
      <c r="K225">
        <f>_xlfn.NUMBERVALUE("0.000616")</f>
        <v/>
      </c>
      <c r="L225">
        <f>_xlfn.NUMBERVALUE("0.000877")</f>
        <v/>
      </c>
      <c r="M225">
        <f>_xlfn.NUMBERVALUE("0.000186")</f>
        <v/>
      </c>
      <c r="N225">
        <f>_xlfn.NUMBERVALUE("0.000000")</f>
        <v/>
      </c>
      <c r="O225">
        <f>_xlfn.NUMBERVALUE("0.001565")</f>
        <v/>
      </c>
      <c r="P225">
        <f>_xlfn.NUMBERVALUE("-0.000879")</f>
        <v/>
      </c>
      <c r="Q225">
        <f>_xlfn.NUMBERVALUE("0.000825")</f>
        <v/>
      </c>
      <c r="R225">
        <f>_xlfn.NUMBERVALUE("-0.000684")</f>
        <v/>
      </c>
      <c r="S225">
        <f>_xlfn.NUMBERVALUE("-0.000847")</f>
        <v/>
      </c>
      <c r="T225">
        <f>_xlfn.NUMBERVALUE("0.001581")</f>
        <v/>
      </c>
      <c r="U225">
        <f>_xlfn.NUMBERVALUE("-0.001325")</f>
        <v/>
      </c>
      <c r="V225">
        <f>_xlfn.NUMBERVALUE("-0.001305")</f>
        <v/>
      </c>
      <c r="W225">
        <f>_xlfn.NUMBERVALUE("0.015565")</f>
        <v/>
      </c>
      <c r="X225">
        <f>_xlfn.NUMBERVALUE("-1.990000")</f>
        <v/>
      </c>
      <c r="Y225">
        <f>_xlfn.NUMBERVALUE("16.850000")</f>
        <v/>
      </c>
    </row>
    <row r="226">
      <c r="A226" s="1" t="n">
        <v>42327</v>
      </c>
      <c r="B226">
        <f>_xlfn.NUMBERVALUE("0.000000")</f>
        <v/>
      </c>
      <c r="C226" s="2">
        <f>_xlfn.NUMBERVALUE("0.001445")</f>
        <v/>
      </c>
      <c r="D226">
        <f>_xlfn.NUMBERVALUE("0.000102")</f>
        <v/>
      </c>
      <c r="E226">
        <f>_xlfn.NUMBERVALUE("0.000670")</f>
        <v/>
      </c>
      <c r="F226">
        <f>_xlfn.NUMBERVALUE("0.001331")</f>
        <v/>
      </c>
      <c r="G226">
        <f>_xlfn.NUMBERVALUE("0.000183")</f>
        <v/>
      </c>
      <c r="H226">
        <f>_xlfn.NUMBERVALUE("0.000183")</f>
        <v/>
      </c>
      <c r="I226">
        <f>_xlfn.NUMBERVALUE("0.001749")</f>
        <v/>
      </c>
      <c r="J226">
        <f>_xlfn.NUMBERVALUE("-0.000094")</f>
        <v/>
      </c>
      <c r="K226">
        <f>_xlfn.NUMBERVALUE("0.000303")</f>
        <v/>
      </c>
      <c r="L226">
        <f>_xlfn.NUMBERVALUE("0.000169")</f>
        <v/>
      </c>
      <c r="M226">
        <f>_xlfn.NUMBERVALUE("0.002688")</f>
        <v/>
      </c>
      <c r="N226">
        <f>_xlfn.NUMBERVALUE("0.000000")</f>
        <v/>
      </c>
      <c r="O226">
        <f>_xlfn.NUMBERVALUE("0.000165")</f>
        <v/>
      </c>
      <c r="P226">
        <f>_xlfn.NUMBERVALUE("0.000438")</f>
        <v/>
      </c>
      <c r="Q226">
        <f>_xlfn.NUMBERVALUE("0.000001")</f>
        <v/>
      </c>
      <c r="R226">
        <f>_xlfn.NUMBERVALUE("0.000146")</f>
        <v/>
      </c>
      <c r="S226">
        <f>_xlfn.NUMBERVALUE("0.000650")</f>
        <v/>
      </c>
      <c r="T226">
        <f>_xlfn.NUMBERVALUE("-0.002003")</f>
        <v/>
      </c>
      <c r="U226">
        <f>_xlfn.NUMBERVALUE("0.001266")</f>
        <v/>
      </c>
      <c r="V226">
        <f>_xlfn.NUMBERVALUE("0.001340")</f>
        <v/>
      </c>
      <c r="W226">
        <f>_xlfn.NUMBERVALUE("-0.001250")</f>
        <v/>
      </c>
      <c r="X226">
        <f>_xlfn.NUMBERVALUE("0.140000")</f>
        <v/>
      </c>
      <c r="Y226">
        <f>_xlfn.NUMBERVALUE("16.990000")</f>
        <v/>
      </c>
    </row>
    <row r="227">
      <c r="A227" s="1" t="n">
        <v>42328</v>
      </c>
      <c r="B227">
        <f>_xlfn.NUMBERVALUE("0.000000")</f>
        <v/>
      </c>
      <c r="C227" s="2">
        <f>_xlfn.NUMBERVALUE("-0.000269")</f>
        <v/>
      </c>
      <c r="D227">
        <f>_xlfn.NUMBERVALUE("0.001483")</f>
        <v/>
      </c>
      <c r="E227">
        <f>_xlfn.NUMBERVALUE("0.002594")</f>
        <v/>
      </c>
      <c r="F227">
        <f>_xlfn.NUMBERVALUE("0.000119")</f>
        <v/>
      </c>
      <c r="G227">
        <f>_xlfn.NUMBERVALUE("0.000163")</f>
        <v/>
      </c>
      <c r="H227">
        <f>_xlfn.NUMBERVALUE("0.000574")</f>
        <v/>
      </c>
      <c r="I227">
        <f>_xlfn.NUMBERVALUE("0.000841")</f>
        <v/>
      </c>
      <c r="J227">
        <f>_xlfn.NUMBERVALUE("0.001419")</f>
        <v/>
      </c>
      <c r="K227">
        <f>_xlfn.NUMBERVALUE("-0.000076")</f>
        <v/>
      </c>
      <c r="L227">
        <f>_xlfn.NUMBERVALUE("0.001182")</f>
        <v/>
      </c>
      <c r="M227">
        <f>_xlfn.NUMBERVALUE("0.001793")</f>
        <v/>
      </c>
      <c r="N227">
        <f>_xlfn.NUMBERVALUE("0.000000")</f>
        <v/>
      </c>
      <c r="O227">
        <f>_xlfn.NUMBERVALUE("0.001963")</f>
        <v/>
      </c>
      <c r="P227">
        <f>_xlfn.NUMBERVALUE("0.001474")</f>
        <v/>
      </c>
      <c r="Q227">
        <f>_xlfn.NUMBERVALUE("0.004850")</f>
        <v/>
      </c>
      <c r="R227">
        <f>_xlfn.NUMBERVALUE("0.000923")</f>
        <v/>
      </c>
      <c r="S227">
        <f>_xlfn.NUMBERVALUE("0.000346")</f>
        <v/>
      </c>
      <c r="T227">
        <f>_xlfn.NUMBERVALUE("0.001611")</f>
        <v/>
      </c>
      <c r="U227">
        <f>_xlfn.NUMBERVALUE("-0.001459")</f>
        <v/>
      </c>
      <c r="V227">
        <f>_xlfn.NUMBERVALUE("0.001187")</f>
        <v/>
      </c>
      <c r="W227">
        <f>_xlfn.NUMBERVALUE("0.002924")</f>
        <v/>
      </c>
      <c r="X227">
        <f>_xlfn.NUMBERVALUE("-1.520000")</f>
        <v/>
      </c>
      <c r="Y227">
        <f>_xlfn.NUMBERVALUE("15.470000")</f>
        <v/>
      </c>
    </row>
    <row r="228">
      <c r="A228" s="1" t="n">
        <v>42331</v>
      </c>
      <c r="B228">
        <f>_xlfn.NUMBERVALUE("0.000000")</f>
        <v/>
      </c>
      <c r="C228" s="2">
        <f>_xlfn.NUMBERVALUE("0.002817")</f>
        <v/>
      </c>
      <c r="D228">
        <f>_xlfn.NUMBERVALUE("0.002981")</f>
        <v/>
      </c>
      <c r="E228">
        <f>_xlfn.NUMBERVALUE("0.002812")</f>
        <v/>
      </c>
      <c r="F228">
        <f>_xlfn.NUMBERVALUE("0.000056")</f>
        <v/>
      </c>
      <c r="G228">
        <f>_xlfn.NUMBERVALUE("0.000284")</f>
        <v/>
      </c>
      <c r="H228">
        <f>_xlfn.NUMBERVALUE("0.000223")</f>
        <v/>
      </c>
      <c r="I228">
        <f>_xlfn.NUMBERVALUE("0.002765")</f>
        <v/>
      </c>
      <c r="J228">
        <f>_xlfn.NUMBERVALUE("0.000217")</f>
        <v/>
      </c>
      <c r="K228">
        <f>_xlfn.NUMBERVALUE("0.000484")</f>
        <v/>
      </c>
      <c r="L228">
        <f>_xlfn.NUMBERVALUE("0.000727")</f>
        <v/>
      </c>
      <c r="M228">
        <f>_xlfn.NUMBERVALUE("0.003442")</f>
        <v/>
      </c>
      <c r="N228">
        <f>_xlfn.NUMBERVALUE("0.000000")</f>
        <v/>
      </c>
      <c r="O228">
        <f>_xlfn.NUMBERVALUE("0.001060")</f>
        <v/>
      </c>
      <c r="P228">
        <f>_xlfn.NUMBERVALUE("0.001738")</f>
        <v/>
      </c>
      <c r="Q228">
        <f>_xlfn.NUMBERVALUE("-0.001458")</f>
        <v/>
      </c>
      <c r="R228">
        <f>_xlfn.NUMBERVALUE("0.002995")</f>
        <v/>
      </c>
      <c r="S228">
        <f>_xlfn.NUMBERVALUE("0.000723")</f>
        <v/>
      </c>
      <c r="T228">
        <f>_xlfn.NUMBERVALUE("0.000863")</f>
        <v/>
      </c>
      <c r="U228">
        <f>_xlfn.NUMBERVALUE("0.001707")</f>
        <v/>
      </c>
      <c r="V228">
        <f>_xlfn.NUMBERVALUE("0.003189")</f>
        <v/>
      </c>
      <c r="W228">
        <f>_xlfn.NUMBERVALUE("-0.000478")</f>
        <v/>
      </c>
      <c r="X228">
        <f>_xlfn.NUMBERVALUE("0.150000")</f>
        <v/>
      </c>
      <c r="Y228">
        <f>_xlfn.NUMBERVALUE("15.620000")</f>
        <v/>
      </c>
    </row>
    <row r="229">
      <c r="A229" s="1" t="n">
        <v>42332</v>
      </c>
      <c r="B229">
        <f>_xlfn.NUMBERVALUE("0.000000")</f>
        <v/>
      </c>
      <c r="C229" s="2">
        <f>_xlfn.NUMBERVALUE("0.000747")</f>
        <v/>
      </c>
      <c r="D229">
        <f>_xlfn.NUMBERVALUE("0.000552")</f>
        <v/>
      </c>
      <c r="E229">
        <f>_xlfn.NUMBERVALUE("0.000093")</f>
        <v/>
      </c>
      <c r="F229">
        <f>_xlfn.NUMBERVALUE("0.000220")</f>
        <v/>
      </c>
      <c r="G229">
        <f>_xlfn.NUMBERVALUE("-0.000073")</f>
        <v/>
      </c>
      <c r="H229">
        <f>_xlfn.NUMBERVALUE("0.000282")</f>
        <v/>
      </c>
      <c r="I229">
        <f>_xlfn.NUMBERVALUE("-0.001376")</f>
        <v/>
      </c>
      <c r="J229">
        <f>_xlfn.NUMBERVALUE("0.000603")</f>
        <v/>
      </c>
      <c r="K229">
        <f>_xlfn.NUMBERVALUE("0.000110")</f>
        <v/>
      </c>
      <c r="L229">
        <f>_xlfn.NUMBERVALUE("0.000772")</f>
        <v/>
      </c>
      <c r="M229">
        <f>_xlfn.NUMBERVALUE("-0.001156")</f>
        <v/>
      </c>
      <c r="N229">
        <f>_xlfn.NUMBERVALUE("0.000000")</f>
        <v/>
      </c>
      <c r="O229">
        <f>_xlfn.NUMBERVALUE("-0.001590")</f>
        <v/>
      </c>
      <c r="P229">
        <f>_xlfn.NUMBERVALUE("0.000654")</f>
        <v/>
      </c>
      <c r="Q229">
        <f>_xlfn.NUMBERVALUE("0.002104")</f>
        <v/>
      </c>
      <c r="R229">
        <f>_xlfn.NUMBERVALUE("0.000187")</f>
        <v/>
      </c>
      <c r="S229">
        <f>_xlfn.NUMBERVALUE("0.000324")</f>
        <v/>
      </c>
      <c r="T229">
        <f>_xlfn.NUMBERVALUE("-0.000769")</f>
        <v/>
      </c>
      <c r="U229">
        <f>_xlfn.NUMBERVALUE("0.000693")</f>
        <v/>
      </c>
      <c r="V229">
        <f>_xlfn.NUMBERVALUE("0.001036")</f>
        <v/>
      </c>
      <c r="W229">
        <f>_xlfn.NUMBERVALUE("0.001148")</f>
        <v/>
      </c>
      <c r="X229">
        <f>_xlfn.NUMBERVALUE("0.310000")</f>
        <v/>
      </c>
      <c r="Y229">
        <f>_xlfn.NUMBERVALUE("15.930000")</f>
        <v/>
      </c>
    </row>
    <row r="230">
      <c r="A230" s="1" t="n">
        <v>42333</v>
      </c>
      <c r="B230">
        <f>_xlfn.NUMBERVALUE("0.000000")</f>
        <v/>
      </c>
      <c r="C230" s="2">
        <f>_xlfn.NUMBERVALUE("0.001594")</f>
        <v/>
      </c>
      <c r="D230">
        <f>_xlfn.NUMBERVALUE("-0.000700")</f>
        <v/>
      </c>
      <c r="E230">
        <f>_xlfn.NUMBERVALUE("0.001430")</f>
        <v/>
      </c>
      <c r="F230">
        <f>_xlfn.NUMBERVALUE("-0.000212")</f>
        <v/>
      </c>
      <c r="G230">
        <f>_xlfn.NUMBERVALUE("-0.000164")</f>
        <v/>
      </c>
      <c r="H230">
        <f>_xlfn.NUMBERVALUE("0.000585")</f>
        <v/>
      </c>
      <c r="I230">
        <f>_xlfn.NUMBERVALUE("-0.000002")</f>
        <v/>
      </c>
      <c r="J230">
        <f>_xlfn.NUMBERVALUE("0.000429")</f>
        <v/>
      </c>
      <c r="K230">
        <f>_xlfn.NUMBERVALUE("0.000019")</f>
        <v/>
      </c>
      <c r="L230">
        <f>_xlfn.NUMBERVALUE("0.001038")</f>
        <v/>
      </c>
      <c r="M230">
        <f>_xlfn.NUMBERVALUE("0.002363")</f>
        <v/>
      </c>
      <c r="N230">
        <f>_xlfn.NUMBERVALUE("0.000000")</f>
        <v/>
      </c>
      <c r="O230">
        <f>_xlfn.NUMBERVALUE("0.001174")</f>
        <v/>
      </c>
      <c r="P230">
        <f>_xlfn.NUMBERVALUE("0.001552")</f>
        <v/>
      </c>
      <c r="Q230">
        <f>_xlfn.NUMBERVALUE("0.001071")</f>
        <v/>
      </c>
      <c r="R230">
        <f>_xlfn.NUMBERVALUE("0.001415")</f>
        <v/>
      </c>
      <c r="S230">
        <f>_xlfn.NUMBERVALUE("0.000571")</f>
        <v/>
      </c>
      <c r="T230">
        <f>_xlfn.NUMBERVALUE("0.000527")</f>
        <v/>
      </c>
      <c r="U230">
        <f>_xlfn.NUMBERVALUE("0.000692")</f>
        <v/>
      </c>
      <c r="V230">
        <f>_xlfn.NUMBERVALUE("0.001019")</f>
        <v/>
      </c>
      <c r="W230">
        <f>_xlfn.NUMBERVALUE("0.000048")</f>
        <v/>
      </c>
      <c r="X230">
        <f>_xlfn.NUMBERVALUE("-0.740000")</f>
        <v/>
      </c>
      <c r="Y230">
        <f>_xlfn.NUMBERVALUE("15.190000")</f>
        <v/>
      </c>
    </row>
    <row r="231">
      <c r="A231" s="1" t="n">
        <v>42335</v>
      </c>
      <c r="B231">
        <f>_xlfn.NUMBERVALUE("0.000000")</f>
        <v/>
      </c>
      <c r="C231" s="2">
        <f>_xlfn.NUMBERVALUE("-0.000256")</f>
        <v/>
      </c>
      <c r="D231">
        <f>_xlfn.NUMBERVALUE("-0.006510")</f>
        <v/>
      </c>
      <c r="E231">
        <f>_xlfn.NUMBERVALUE("0.000104")</f>
        <v/>
      </c>
      <c r="F231">
        <f>_xlfn.NUMBERVALUE("0.000202")</f>
        <v/>
      </c>
      <c r="G231">
        <f>_xlfn.NUMBERVALUE("-0.000795")</f>
        <v/>
      </c>
      <c r="H231">
        <f>_xlfn.NUMBERVALUE("0.000503")</f>
        <v/>
      </c>
      <c r="I231">
        <f>_xlfn.NUMBERVALUE("-0.000261")</f>
        <v/>
      </c>
      <c r="J231">
        <f>_xlfn.NUMBERVALUE("0.000597")</f>
        <v/>
      </c>
      <c r="K231">
        <f>_xlfn.NUMBERVALUE("-0.000452")</f>
        <v/>
      </c>
      <c r="L231">
        <f>_xlfn.NUMBERVALUE("-0.000217")</f>
        <v/>
      </c>
      <c r="M231">
        <f>_xlfn.NUMBERVALUE("0.001517")</f>
        <v/>
      </c>
      <c r="N231">
        <f>_xlfn.NUMBERVALUE("0.000000")</f>
        <v/>
      </c>
      <c r="O231">
        <f>_xlfn.NUMBERVALUE("0.000678")</f>
        <v/>
      </c>
      <c r="P231">
        <f>_xlfn.NUMBERVALUE("-0.000082")</f>
        <v/>
      </c>
      <c r="Q231">
        <f>_xlfn.NUMBERVALUE("0.001543")</f>
        <v/>
      </c>
      <c r="R231">
        <f>_xlfn.NUMBERVALUE("0.001728")</f>
        <v/>
      </c>
      <c r="S231">
        <f>_xlfn.NUMBERVALUE("0.000586")</f>
        <v/>
      </c>
      <c r="T231">
        <f>_xlfn.NUMBERVALUE("0.000968")</f>
        <v/>
      </c>
      <c r="U231">
        <f>_xlfn.NUMBERVALUE("0.001258")</f>
        <v/>
      </c>
      <c r="V231">
        <f>_xlfn.NUMBERVALUE("-0.000776")</f>
        <v/>
      </c>
      <c r="W231">
        <f>_xlfn.NUMBERVALUE("0.000955")</f>
        <v/>
      </c>
      <c r="X231">
        <f>_xlfn.NUMBERVALUE("-0.070000")</f>
        <v/>
      </c>
      <c r="Y231">
        <f>_xlfn.NUMBERVALUE("15.120000")</f>
        <v/>
      </c>
    </row>
    <row r="232">
      <c r="A232" s="1" t="n">
        <v>42338</v>
      </c>
      <c r="B232">
        <f>_xlfn.NUMBERVALUE("0.000000")</f>
        <v/>
      </c>
      <c r="C232" s="2">
        <f>_xlfn.NUMBERVALUE("0.003397")</f>
        <v/>
      </c>
      <c r="D232">
        <f>_xlfn.NUMBERVALUE("0.001802")</f>
        <v/>
      </c>
      <c r="E232">
        <f>_xlfn.NUMBERVALUE("0.004153")</f>
        <v/>
      </c>
      <c r="F232">
        <f>_xlfn.NUMBERVALUE("-0.000004")</f>
        <v/>
      </c>
      <c r="G232">
        <f>_xlfn.NUMBERVALUE("0.001193")</f>
        <v/>
      </c>
      <c r="H232">
        <f>_xlfn.NUMBERVALUE("0.002075")</f>
        <v/>
      </c>
      <c r="I232">
        <f>_xlfn.NUMBERVALUE("0.000918")</f>
        <v/>
      </c>
      <c r="J232">
        <f>_xlfn.NUMBERVALUE("0.002610")</f>
        <v/>
      </c>
      <c r="K232">
        <f>_xlfn.NUMBERVALUE("0.000469")</f>
        <v/>
      </c>
      <c r="L232">
        <f>_xlfn.NUMBERVALUE("0.002599")</f>
        <v/>
      </c>
      <c r="M232">
        <f>_xlfn.NUMBERVALUE("0.001081")</f>
        <v/>
      </c>
      <c r="N232">
        <f>_xlfn.NUMBERVALUE("0.000000")</f>
        <v/>
      </c>
      <c r="O232">
        <f>_xlfn.NUMBERVALUE("-0.001219")</f>
        <v/>
      </c>
      <c r="P232">
        <f>_xlfn.NUMBERVALUE("0.003690")</f>
        <v/>
      </c>
      <c r="Q232">
        <f>_xlfn.NUMBERVALUE("0.001250")</f>
        <v/>
      </c>
      <c r="R232">
        <f>_xlfn.NUMBERVALUE("0.001426")</f>
        <v/>
      </c>
      <c r="S232">
        <f>_xlfn.NUMBERVALUE("-0.000831")</f>
        <v/>
      </c>
      <c r="T232">
        <f>_xlfn.NUMBERVALUE("0.000641")</f>
        <v/>
      </c>
      <c r="U232">
        <f>_xlfn.NUMBERVALUE("-0.000082")</f>
        <v/>
      </c>
      <c r="V232">
        <f>_xlfn.NUMBERVALUE("0.004861")</f>
        <v/>
      </c>
      <c r="W232">
        <f>_xlfn.NUMBERVALUE("-0.000525")</f>
        <v/>
      </c>
      <c r="X232">
        <f>_xlfn.NUMBERVALUE("1.010000")</f>
        <v/>
      </c>
      <c r="Y232">
        <f>_xlfn.NUMBERVALUE("16.130000")</f>
        <v/>
      </c>
    </row>
    <row r="233">
      <c r="A233" s="1" t="n">
        <v>42339</v>
      </c>
      <c r="B233">
        <f>_xlfn.NUMBERVALUE("0.000000")</f>
        <v/>
      </c>
      <c r="C233" s="2">
        <f>_xlfn.NUMBERVALUE("-0.000475")</f>
        <v/>
      </c>
      <c r="D233">
        <f>_xlfn.NUMBERVALUE("0.000232")</f>
        <v/>
      </c>
      <c r="E233">
        <f>_xlfn.NUMBERVALUE("-0.003621")</f>
        <v/>
      </c>
      <c r="F233">
        <f>_xlfn.NUMBERVALUE("0.000008")</f>
        <v/>
      </c>
      <c r="G233">
        <f>_xlfn.NUMBERVALUE("0.000906")</f>
        <v/>
      </c>
      <c r="H233">
        <f>_xlfn.NUMBERVALUE("-0.000236")</f>
        <v/>
      </c>
      <c r="I233">
        <f>_xlfn.NUMBERVALUE("-0.000049")</f>
        <v/>
      </c>
      <c r="J233">
        <f>_xlfn.NUMBERVALUE("-0.002388")</f>
        <v/>
      </c>
      <c r="K233">
        <f>_xlfn.NUMBERVALUE("0.000001")</f>
        <v/>
      </c>
      <c r="L233">
        <f>_xlfn.NUMBERVALUE("-0.000752")</f>
        <v/>
      </c>
      <c r="M233">
        <f>_xlfn.NUMBERVALUE("0.001793")</f>
        <v/>
      </c>
      <c r="N233">
        <f>_xlfn.NUMBERVALUE("0.000000")</f>
        <v/>
      </c>
      <c r="O233">
        <f>_xlfn.NUMBERVALUE("0.002258")</f>
        <v/>
      </c>
      <c r="P233">
        <f>_xlfn.NUMBERVALUE("0.001442")</f>
        <v/>
      </c>
      <c r="Q233">
        <f>_xlfn.NUMBERVALUE("0.001111")</f>
        <v/>
      </c>
      <c r="R233">
        <f>_xlfn.NUMBERVALUE("-0.001279")</f>
        <v/>
      </c>
      <c r="S233">
        <f>_xlfn.NUMBERVALUE("-0.000973")</f>
        <v/>
      </c>
      <c r="T233">
        <f>_xlfn.NUMBERVALUE("-0.000350")</f>
        <v/>
      </c>
      <c r="U233">
        <f>_xlfn.NUMBERVALUE("0.000717")</f>
        <v/>
      </c>
      <c r="V233">
        <f>_xlfn.NUMBERVALUE("-0.000553")</f>
        <v/>
      </c>
      <c r="W233">
        <f>_xlfn.NUMBERVALUE("0.003120")</f>
        <v/>
      </c>
      <c r="X233">
        <f>_xlfn.NUMBERVALUE("-1.460000")</f>
        <v/>
      </c>
      <c r="Y233">
        <f>_xlfn.NUMBERVALUE("14.670000")</f>
        <v/>
      </c>
    </row>
    <row r="234">
      <c r="A234" s="1" t="n">
        <v>42340</v>
      </c>
      <c r="B234">
        <f>_xlfn.NUMBERVALUE("0.000000")</f>
        <v/>
      </c>
      <c r="C234" s="2">
        <f>_xlfn.NUMBERVALUE("-0.002587")</f>
        <v/>
      </c>
      <c r="D234">
        <f>_xlfn.NUMBERVALUE("0.001351")</f>
        <v/>
      </c>
      <c r="E234">
        <f>_xlfn.NUMBERVALUE("0.000095")</f>
        <v/>
      </c>
      <c r="F234">
        <f>_xlfn.NUMBERVALUE("-0.002945")</f>
        <v/>
      </c>
      <c r="G234">
        <f>_xlfn.NUMBERVALUE("0.000496")</f>
        <v/>
      </c>
      <c r="H234">
        <f>_xlfn.NUMBERVALUE("0.000403")</f>
        <v/>
      </c>
      <c r="I234">
        <f>_xlfn.NUMBERVALUE("-0.002616")</f>
        <v/>
      </c>
      <c r="J234">
        <f>_xlfn.NUMBERVALUE("-0.000075")</f>
        <v/>
      </c>
      <c r="K234">
        <f>_xlfn.NUMBERVALUE("-0.002601")</f>
        <v/>
      </c>
      <c r="L234">
        <f>_xlfn.NUMBERVALUE("0.000531")</f>
        <v/>
      </c>
      <c r="M234">
        <f>_xlfn.NUMBERVALUE("-0.003145")</f>
        <v/>
      </c>
      <c r="N234">
        <f>_xlfn.NUMBERVALUE("0.000000")</f>
        <v/>
      </c>
      <c r="O234">
        <f>_xlfn.NUMBERVALUE("-0.005117")</f>
        <v/>
      </c>
      <c r="P234">
        <f>_xlfn.NUMBERVALUE("-0.001857")</f>
        <v/>
      </c>
      <c r="Q234">
        <f>_xlfn.NUMBERVALUE("-0.002751")</f>
        <v/>
      </c>
      <c r="R234">
        <f>_xlfn.NUMBERVALUE("0.001240")</f>
        <v/>
      </c>
      <c r="S234">
        <f>_xlfn.NUMBERVALUE("0.003075")</f>
        <v/>
      </c>
      <c r="T234">
        <f>_xlfn.NUMBERVALUE("-0.002658")</f>
        <v/>
      </c>
      <c r="U234">
        <f>_xlfn.NUMBERVALUE("-0.000246")</f>
        <v/>
      </c>
      <c r="V234">
        <f>_xlfn.NUMBERVALUE("-0.004381")</f>
        <v/>
      </c>
      <c r="W234">
        <f>_xlfn.NUMBERVALUE("-0.011136")</f>
        <v/>
      </c>
      <c r="X234">
        <f>_xlfn.NUMBERVALUE("1.240000")</f>
        <v/>
      </c>
      <c r="Y234">
        <f>_xlfn.NUMBERVALUE("15.910000")</f>
        <v/>
      </c>
    </row>
    <row r="235">
      <c r="A235" s="1" t="n">
        <v>42341</v>
      </c>
      <c r="B235">
        <f>_xlfn.NUMBERVALUE("0.000000")</f>
        <v/>
      </c>
      <c r="C235" s="2">
        <f>_xlfn.NUMBERVALUE("-0.001989")</f>
        <v/>
      </c>
      <c r="D235">
        <f>_xlfn.NUMBERVALUE("0.000227")</f>
        <v/>
      </c>
      <c r="E235">
        <f>_xlfn.NUMBERVALUE("-0.000421")</f>
        <v/>
      </c>
      <c r="F235">
        <f>_xlfn.NUMBERVALUE("-0.001646")</f>
        <v/>
      </c>
      <c r="G235">
        <f>_xlfn.NUMBERVALUE("-0.000503")</f>
        <v/>
      </c>
      <c r="H235">
        <f>_xlfn.NUMBERVALUE("-0.003999")</f>
        <v/>
      </c>
      <c r="I235">
        <f>_xlfn.NUMBERVALUE("-0.003648")</f>
        <v/>
      </c>
      <c r="J235">
        <f>_xlfn.NUMBERVALUE("-0.004572")</f>
        <v/>
      </c>
      <c r="K235">
        <f>_xlfn.NUMBERVALUE("0.000756")</f>
        <v/>
      </c>
      <c r="L235">
        <f>_xlfn.NUMBERVALUE("-0.008697")</f>
        <v/>
      </c>
      <c r="M235">
        <f>_xlfn.NUMBERVALUE("0.002214")</f>
        <v/>
      </c>
      <c r="N235">
        <f>_xlfn.NUMBERVALUE("0.000000")</f>
        <v/>
      </c>
      <c r="O235">
        <f>_xlfn.NUMBERVALUE("-0.000316")</f>
        <v/>
      </c>
      <c r="P235">
        <f>_xlfn.NUMBERVALUE("0.000913")</f>
        <v/>
      </c>
      <c r="Q235">
        <f>_xlfn.NUMBERVALUE("-0.000414")</f>
        <v/>
      </c>
      <c r="R235">
        <f>_xlfn.NUMBERVALUE("-0.003135")</f>
        <v/>
      </c>
      <c r="S235">
        <f>_xlfn.NUMBERVALUE("-0.000198")</f>
        <v/>
      </c>
      <c r="T235">
        <f>_xlfn.NUMBERVALUE("-0.000115")</f>
        <v/>
      </c>
      <c r="U235">
        <f>_xlfn.NUMBERVALUE("-0.005362")</f>
        <v/>
      </c>
      <c r="V235">
        <f>_xlfn.NUMBERVALUE("-0.002582")</f>
        <v/>
      </c>
      <c r="W235">
        <f>_xlfn.NUMBERVALUE("-0.013819")</f>
        <v/>
      </c>
      <c r="X235">
        <f>_xlfn.NUMBERVALUE("2.200000")</f>
        <v/>
      </c>
      <c r="Y235">
        <f>_xlfn.NUMBERVALUE("18.110000")</f>
        <v/>
      </c>
    </row>
    <row r="236">
      <c r="A236" s="1" t="n">
        <v>42342</v>
      </c>
      <c r="B236">
        <f>_xlfn.NUMBERVALUE("0.000000")</f>
        <v/>
      </c>
      <c r="C236" s="2">
        <f>_xlfn.NUMBERVALUE("-0.002235")</f>
        <v/>
      </c>
      <c r="D236">
        <f>_xlfn.NUMBERVALUE("0.002906")</f>
        <v/>
      </c>
      <c r="E236">
        <f>_xlfn.NUMBERVALUE("0.002977")</f>
        <v/>
      </c>
      <c r="F236">
        <f>_xlfn.NUMBERVALUE("-0.003688")</f>
        <v/>
      </c>
      <c r="G236">
        <f>_xlfn.NUMBERVALUE("-0.001765")</f>
        <v/>
      </c>
      <c r="H236">
        <f>_xlfn.NUMBERVALUE("0.002357")</f>
        <v/>
      </c>
      <c r="I236">
        <f>_xlfn.NUMBERVALUE("0.001886")</f>
        <v/>
      </c>
      <c r="J236">
        <f>_xlfn.NUMBERVALUE("0.001179")</f>
        <v/>
      </c>
      <c r="K236">
        <f>_xlfn.NUMBERVALUE("-0.004611")</f>
        <v/>
      </c>
      <c r="L236">
        <f>_xlfn.NUMBERVALUE("0.001951")</f>
        <v/>
      </c>
      <c r="M236">
        <f>_xlfn.NUMBERVALUE("-0.008790")</f>
        <v/>
      </c>
      <c r="N236">
        <f>_xlfn.NUMBERVALUE("0.000000")</f>
        <v/>
      </c>
      <c r="O236">
        <f>_xlfn.NUMBERVALUE("0.000227")</f>
        <v/>
      </c>
      <c r="P236">
        <f>_xlfn.NUMBERVALUE("-0.010732")</f>
        <v/>
      </c>
      <c r="Q236">
        <f>_xlfn.NUMBERVALUE("0.000356")</f>
        <v/>
      </c>
      <c r="R236">
        <f>_xlfn.NUMBERVALUE("-0.020880")</f>
        <v/>
      </c>
      <c r="S236">
        <f>_xlfn.NUMBERVALUE("-0.022535")</f>
        <v/>
      </c>
      <c r="T236">
        <f>_xlfn.NUMBERVALUE("0.000115")</f>
        <v/>
      </c>
      <c r="U236">
        <f>_xlfn.NUMBERVALUE("0.000084")</f>
        <v/>
      </c>
      <c r="V236">
        <f>_xlfn.NUMBERVALUE("-0.003266")</f>
        <v/>
      </c>
      <c r="W236">
        <f>_xlfn.NUMBERVALUE("0.020046")</f>
        <v/>
      </c>
      <c r="X236">
        <f>_xlfn.NUMBERVALUE("-3.300000")</f>
        <v/>
      </c>
      <c r="Y236">
        <f>_xlfn.NUMBERVALUE("14.810000")</f>
        <v/>
      </c>
    </row>
    <row r="237">
      <c r="A237" s="1" t="n">
        <v>42345</v>
      </c>
      <c r="B237">
        <f>_xlfn.NUMBERVALUE("0.000000")</f>
        <v/>
      </c>
      <c r="C237" s="2">
        <f>_xlfn.NUMBERVALUE("0.002962")</f>
        <v/>
      </c>
      <c r="D237">
        <f>_xlfn.NUMBERVALUE("0.000604")</f>
        <v/>
      </c>
      <c r="E237">
        <f>_xlfn.NUMBERVALUE("0.001391")</f>
        <v/>
      </c>
      <c r="F237">
        <f>_xlfn.NUMBERVALUE("0.002998")</f>
        <v/>
      </c>
      <c r="G237">
        <f>_xlfn.NUMBERVALUE("0.000184")</f>
        <v/>
      </c>
      <c r="H237">
        <f>_xlfn.NUMBERVALUE("-0.000301")</f>
        <v/>
      </c>
      <c r="I237">
        <f>_xlfn.NUMBERVALUE("0.002463")</f>
        <v/>
      </c>
      <c r="J237">
        <f>_xlfn.NUMBERVALUE("-0.001265")</f>
        <v/>
      </c>
      <c r="K237">
        <f>_xlfn.NUMBERVALUE("0.000323")</f>
        <v/>
      </c>
      <c r="L237">
        <f>_xlfn.NUMBERVALUE("-0.000622")</f>
        <v/>
      </c>
      <c r="M237">
        <f>_xlfn.NUMBERVALUE("-0.003980")</f>
        <v/>
      </c>
      <c r="N237">
        <f>_xlfn.NUMBERVALUE("0.000000")</f>
        <v/>
      </c>
      <c r="O237">
        <f>_xlfn.NUMBERVALUE("-0.005783")</f>
        <v/>
      </c>
      <c r="P237">
        <f>_xlfn.NUMBERVALUE("0.001429")</f>
        <v/>
      </c>
      <c r="Q237">
        <f>_xlfn.NUMBERVALUE("0.000254")</f>
        <v/>
      </c>
      <c r="R237">
        <f>_xlfn.NUMBERVALUE("0.000418")</f>
        <v/>
      </c>
      <c r="S237">
        <f>_xlfn.NUMBERVALUE("-0.001315")</f>
        <v/>
      </c>
      <c r="T237">
        <f>_xlfn.NUMBERVALUE("0.000120")</f>
        <v/>
      </c>
      <c r="U237">
        <f>_xlfn.NUMBERVALUE("0.001100")</f>
        <v/>
      </c>
      <c r="V237">
        <f>_xlfn.NUMBERVALUE("0.007259")</f>
        <v/>
      </c>
      <c r="W237">
        <f>_xlfn.NUMBERVALUE("-0.003720")</f>
        <v/>
      </c>
      <c r="X237">
        <f>_xlfn.NUMBERVALUE("1.030000")</f>
        <v/>
      </c>
      <c r="Y237">
        <f>_xlfn.NUMBERVALUE("15.840000")</f>
        <v/>
      </c>
    </row>
    <row r="238">
      <c r="A238" s="1" t="n">
        <v>42346</v>
      </c>
      <c r="B238">
        <f>_xlfn.NUMBERVALUE("0.000000")</f>
        <v/>
      </c>
      <c r="C238" s="2">
        <f>_xlfn.NUMBERVALUE("-0.003428")</f>
        <v/>
      </c>
      <c r="D238">
        <f>_xlfn.NUMBERVALUE("-0.003533")</f>
        <v/>
      </c>
      <c r="E238">
        <f>_xlfn.NUMBERVALUE("-0.003467")</f>
        <v/>
      </c>
      <c r="F238">
        <f>_xlfn.NUMBERVALUE("0.000836")</f>
        <v/>
      </c>
      <c r="G238">
        <f>_xlfn.NUMBERVALUE("-0.001952")</f>
        <v/>
      </c>
      <c r="H238">
        <f>_xlfn.NUMBERVALUE("0.001053")</f>
        <v/>
      </c>
      <c r="I238">
        <f>_xlfn.NUMBERVALUE("-0.002540")</f>
        <v/>
      </c>
      <c r="J238">
        <f>_xlfn.NUMBERVALUE("-0.000092")</f>
        <v/>
      </c>
      <c r="K238">
        <f>_xlfn.NUMBERVALUE("0.000680")</f>
        <v/>
      </c>
      <c r="L238">
        <f>_xlfn.NUMBERVALUE("0.000066")</f>
        <v/>
      </c>
      <c r="M238">
        <f>_xlfn.NUMBERVALUE("-0.003252")</f>
        <v/>
      </c>
      <c r="N238">
        <f>_xlfn.NUMBERVALUE("0.000000")</f>
        <v/>
      </c>
      <c r="O238">
        <f>_xlfn.NUMBERVALUE("-0.003043")</f>
        <v/>
      </c>
      <c r="P238">
        <f>_xlfn.NUMBERVALUE("-0.003240")</f>
        <v/>
      </c>
      <c r="Q238">
        <f>_xlfn.NUMBERVALUE("-0.002529")</f>
        <v/>
      </c>
      <c r="R238">
        <f>_xlfn.NUMBERVALUE("-0.000764")</f>
        <v/>
      </c>
      <c r="S238">
        <f>_xlfn.NUMBERVALUE("-0.000927")</f>
        <v/>
      </c>
      <c r="T238">
        <f>_xlfn.NUMBERVALUE("0.000623")</f>
        <v/>
      </c>
      <c r="U238">
        <f>_xlfn.NUMBERVALUE("-0.000736")</f>
        <v/>
      </c>
      <c r="V238">
        <f>_xlfn.NUMBERVALUE("-0.005547")</f>
        <v/>
      </c>
      <c r="W238">
        <f>_xlfn.NUMBERVALUE("-0.008187")</f>
        <v/>
      </c>
      <c r="X238">
        <f>_xlfn.NUMBERVALUE("1.760000")</f>
        <v/>
      </c>
      <c r="Y238">
        <f>_xlfn.NUMBERVALUE("17.600000")</f>
        <v/>
      </c>
    </row>
    <row r="239">
      <c r="A239" s="1" t="n">
        <v>42347</v>
      </c>
      <c r="B239">
        <f>_xlfn.NUMBERVALUE("0.000000")</f>
        <v/>
      </c>
      <c r="C239" s="2">
        <f>_xlfn.NUMBERVALUE("-0.001054")</f>
        <v/>
      </c>
      <c r="D239">
        <f>_xlfn.NUMBERVALUE("-0.000162")</f>
        <v/>
      </c>
      <c r="E239">
        <f>_xlfn.NUMBERVALUE("-0.001756")</f>
        <v/>
      </c>
      <c r="F239">
        <f>_xlfn.NUMBERVALUE("-0.001751")</f>
        <v/>
      </c>
      <c r="G239">
        <f>_xlfn.NUMBERVALUE("0.000103")</f>
        <v/>
      </c>
      <c r="H239">
        <f>_xlfn.NUMBERVALUE("-0.000222")</f>
        <v/>
      </c>
      <c r="I239">
        <f>_xlfn.NUMBERVALUE("-0.001226")</f>
        <v/>
      </c>
      <c r="J239">
        <f>_xlfn.NUMBERVALUE("-0.000515")</f>
        <v/>
      </c>
      <c r="K239">
        <f>_xlfn.NUMBERVALUE("0.001498")</f>
        <v/>
      </c>
      <c r="L239">
        <f>_xlfn.NUMBERVALUE("-0.000687")</f>
        <v/>
      </c>
      <c r="M239">
        <f>_xlfn.NUMBERVALUE("-0.010217")</f>
        <v/>
      </c>
      <c r="N239">
        <f>_xlfn.NUMBERVALUE("0.000000")</f>
        <v/>
      </c>
      <c r="O239">
        <f>_xlfn.NUMBERVALUE("0.000051")</f>
        <v/>
      </c>
      <c r="P239">
        <f>_xlfn.NUMBERVALUE("-0.001784")</f>
        <v/>
      </c>
      <c r="Q239">
        <f>_xlfn.NUMBERVALUE("-0.001177")</f>
        <v/>
      </c>
      <c r="R239">
        <f>_xlfn.NUMBERVALUE("-0.003076")</f>
        <v/>
      </c>
      <c r="S239">
        <f>_xlfn.NUMBERVALUE("-0.002261")</f>
        <v/>
      </c>
      <c r="T239">
        <f>_xlfn.NUMBERVALUE("-0.000044")</f>
        <v/>
      </c>
      <c r="U239">
        <f>_xlfn.NUMBERVALUE("-0.002543")</f>
        <v/>
      </c>
      <c r="V239">
        <f>_xlfn.NUMBERVALUE("-0.002356")</f>
        <v/>
      </c>
      <c r="W239">
        <f>_xlfn.NUMBERVALUE("-0.009268")</f>
        <v/>
      </c>
      <c r="X239">
        <f>_xlfn.NUMBERVALUE("2.010000")</f>
        <v/>
      </c>
      <c r="Y239">
        <f>_xlfn.NUMBERVALUE("19.610000")</f>
        <v/>
      </c>
    </row>
    <row r="240">
      <c r="A240" s="1" t="n">
        <v>42348</v>
      </c>
      <c r="B240">
        <f>_xlfn.NUMBERVALUE("0.000000")</f>
        <v/>
      </c>
      <c r="C240" s="2">
        <f>_xlfn.NUMBERVALUE("0.000379")</f>
        <v/>
      </c>
      <c r="D240">
        <f>_xlfn.NUMBERVALUE("0.000360")</f>
        <v/>
      </c>
      <c r="E240">
        <f>_xlfn.NUMBERVALUE("0.001006")</f>
        <v/>
      </c>
      <c r="F240">
        <f>_xlfn.NUMBERVALUE("0.000380")</f>
        <v/>
      </c>
      <c r="G240">
        <f>_xlfn.NUMBERVALUE("-0.000905")</f>
        <v/>
      </c>
      <c r="H240">
        <f>_xlfn.NUMBERVALUE("0.000758")</f>
        <v/>
      </c>
      <c r="I240">
        <f>_xlfn.NUMBERVALUE("0.000809")</f>
        <v/>
      </c>
      <c r="J240">
        <f>_xlfn.NUMBERVALUE("0.000248")</f>
        <v/>
      </c>
      <c r="K240">
        <f>_xlfn.NUMBERVALUE("0.001530")</f>
        <v/>
      </c>
      <c r="L240">
        <f>_xlfn.NUMBERVALUE("0.000791")</f>
        <v/>
      </c>
      <c r="M240">
        <f>_xlfn.NUMBERVALUE("0.001407")</f>
        <v/>
      </c>
      <c r="N240">
        <f>_xlfn.NUMBERVALUE("0.000000")</f>
        <v/>
      </c>
      <c r="O240">
        <f>_xlfn.NUMBERVALUE("0.002375")</f>
        <v/>
      </c>
      <c r="P240">
        <f>_xlfn.NUMBERVALUE("0.002247")</f>
        <v/>
      </c>
      <c r="Q240">
        <f>_xlfn.NUMBERVALUE("0.000356")</f>
        <v/>
      </c>
      <c r="R240">
        <f>_xlfn.NUMBERVALUE("0.000556")</f>
        <v/>
      </c>
      <c r="S240">
        <f>_xlfn.NUMBERVALUE("0.000554")</f>
        <v/>
      </c>
      <c r="T240">
        <f>_xlfn.NUMBERVALUE("-0.001707")</f>
        <v/>
      </c>
      <c r="U240">
        <f>_xlfn.NUMBERVALUE("0.000536")</f>
        <v/>
      </c>
      <c r="V240">
        <f>_xlfn.NUMBERVALUE("0.001933")</f>
        <v/>
      </c>
      <c r="W240">
        <f>_xlfn.NUMBERVALUE("0.001803")</f>
        <v/>
      </c>
      <c r="X240">
        <f>_xlfn.NUMBERVALUE("-0.270000")</f>
        <v/>
      </c>
      <c r="Y240">
        <f>_xlfn.NUMBERVALUE("19.340000")</f>
        <v/>
      </c>
    </row>
    <row r="241">
      <c r="A241" s="1" t="n">
        <v>42349</v>
      </c>
      <c r="B241">
        <f>_xlfn.NUMBERVALUE("0.000000")</f>
        <v/>
      </c>
      <c r="C241" s="2">
        <f>_xlfn.NUMBERVALUE("-0.004557")</f>
        <v/>
      </c>
      <c r="D241">
        <f>_xlfn.NUMBERVALUE("-0.004397")</f>
        <v/>
      </c>
      <c r="E241">
        <f>_xlfn.NUMBERVALUE("-0.003942")</f>
        <v/>
      </c>
      <c r="F241">
        <f>_xlfn.NUMBERVALUE("-0.002352")</f>
        <v/>
      </c>
      <c r="G241">
        <f>_xlfn.NUMBERVALUE("-0.007579")</f>
        <v/>
      </c>
      <c r="H241">
        <f>_xlfn.NUMBERVALUE("-0.004527")</f>
        <v/>
      </c>
      <c r="I241">
        <f>_xlfn.NUMBERVALUE("-0.000944")</f>
        <v/>
      </c>
      <c r="J241">
        <f>_xlfn.NUMBERVALUE("-0.001237")</f>
        <v/>
      </c>
      <c r="K241">
        <f>_xlfn.NUMBERVALUE("-0.003259")</f>
        <v/>
      </c>
      <c r="L241">
        <f>_xlfn.NUMBERVALUE("-0.006210")</f>
        <v/>
      </c>
      <c r="M241">
        <f>_xlfn.NUMBERVALUE("-0.007075")</f>
        <v/>
      </c>
      <c r="N241">
        <f>_xlfn.NUMBERVALUE("0.000000")</f>
        <v/>
      </c>
      <c r="O241">
        <f>_xlfn.NUMBERVALUE("-0.009232")</f>
        <v/>
      </c>
      <c r="P241">
        <f>_xlfn.NUMBERVALUE("-0.009219")</f>
        <v/>
      </c>
      <c r="Q241">
        <f>_xlfn.NUMBERVALUE("-0.004827")</f>
        <v/>
      </c>
      <c r="R241">
        <f>_xlfn.NUMBERVALUE("-0.005862")</f>
        <v/>
      </c>
      <c r="S241">
        <f>_xlfn.NUMBERVALUE("-0.003661")</f>
        <v/>
      </c>
      <c r="T241">
        <f>_xlfn.NUMBERVALUE("-0.002775")</f>
        <v/>
      </c>
      <c r="U241">
        <f>_xlfn.NUMBERVALUE("-0.006312")</f>
        <v/>
      </c>
      <c r="V241">
        <f>_xlfn.NUMBERVALUE("-0.005587")</f>
        <v/>
      </c>
      <c r="W241">
        <f>_xlfn.NUMBERVALUE("-0.018871")</f>
        <v/>
      </c>
      <c r="X241">
        <f>_xlfn.NUMBERVALUE("5.050000")</f>
        <v/>
      </c>
      <c r="Y241">
        <f>_xlfn.NUMBERVALUE("24.390000")</f>
        <v/>
      </c>
    </row>
    <row r="242">
      <c r="A242" s="1" t="n">
        <v>42352</v>
      </c>
      <c r="B242">
        <f>_xlfn.NUMBERVALUE("0.000000")</f>
        <v/>
      </c>
      <c r="C242" s="2">
        <f>_xlfn.NUMBERVALUE("0.001355")</f>
        <v/>
      </c>
      <c r="D242">
        <f>_xlfn.NUMBERVALUE("0.000748")</f>
        <v/>
      </c>
      <c r="E242">
        <f>_xlfn.NUMBERVALUE("0.000794")</f>
        <v/>
      </c>
      <c r="F242">
        <f>_xlfn.NUMBERVALUE("-0.001805")</f>
        <v/>
      </c>
      <c r="G242">
        <f>_xlfn.NUMBERVALUE("-0.000316")</f>
        <v/>
      </c>
      <c r="H242">
        <f>_xlfn.NUMBERVALUE("0.000654")</f>
        <v/>
      </c>
      <c r="I242">
        <f>_xlfn.NUMBERVALUE("-0.000910")</f>
        <v/>
      </c>
      <c r="J242">
        <f>_xlfn.NUMBERVALUE("-0.006776")</f>
        <v/>
      </c>
      <c r="K242">
        <f>_xlfn.NUMBERVALUE("-0.000372")</f>
        <v/>
      </c>
      <c r="L242">
        <f>_xlfn.NUMBERVALUE("-0.001046")</f>
        <v/>
      </c>
      <c r="M242">
        <f>_xlfn.NUMBERVALUE("-0.000952")</f>
        <v/>
      </c>
      <c r="N242">
        <f>_xlfn.NUMBERVALUE("0.000000")</f>
        <v/>
      </c>
      <c r="O242">
        <f>_xlfn.NUMBERVALUE("0.002031")</f>
        <v/>
      </c>
      <c r="P242">
        <f>_xlfn.NUMBERVALUE("0.002096")</f>
        <v/>
      </c>
      <c r="Q242">
        <f>_xlfn.NUMBERVALUE("0.002153")</f>
        <v/>
      </c>
      <c r="R242">
        <f>_xlfn.NUMBERVALUE("0.002604")</f>
        <v/>
      </c>
      <c r="S242">
        <f>_xlfn.NUMBERVALUE("0.001026")</f>
        <v/>
      </c>
      <c r="T242">
        <f>_xlfn.NUMBERVALUE("0.002626")</f>
        <v/>
      </c>
      <c r="U242">
        <f>_xlfn.NUMBERVALUE("0.002098")</f>
        <v/>
      </c>
      <c r="V242">
        <f>_xlfn.NUMBERVALUE("0.001967")</f>
        <v/>
      </c>
      <c r="W242">
        <f>_xlfn.NUMBERVALUE("0.004610")</f>
        <v/>
      </c>
      <c r="X242">
        <f>_xlfn.NUMBERVALUE("-1.660000")</f>
        <v/>
      </c>
      <c r="Y242">
        <f>_xlfn.NUMBERVALUE("22.730000")</f>
        <v/>
      </c>
    </row>
    <row r="243">
      <c r="A243" s="1" t="n">
        <v>42353</v>
      </c>
      <c r="B243">
        <f>_xlfn.NUMBERVALUE("0.000000")</f>
        <v/>
      </c>
      <c r="C243" s="2">
        <f>_xlfn.NUMBERVALUE("0.000203")</f>
        <v/>
      </c>
      <c r="D243">
        <f>_xlfn.NUMBERVALUE("-0.000466")</f>
        <v/>
      </c>
      <c r="E243">
        <f>_xlfn.NUMBERVALUE("-0.000248")</f>
        <v/>
      </c>
      <c r="F243">
        <f>_xlfn.NUMBERVALUE("0.001948")</f>
        <v/>
      </c>
      <c r="G243">
        <f>_xlfn.NUMBERVALUE("0.002003")</f>
        <v/>
      </c>
      <c r="H243">
        <f>_xlfn.NUMBERVALUE("0.000210")</f>
        <v/>
      </c>
      <c r="I243">
        <f>_xlfn.NUMBERVALUE("0.000032")</f>
        <v/>
      </c>
      <c r="J243">
        <f>_xlfn.NUMBERVALUE("0.006986")</f>
        <v/>
      </c>
      <c r="K243">
        <f>_xlfn.NUMBERVALUE("0.002009")</f>
        <v/>
      </c>
      <c r="L243">
        <f>_xlfn.NUMBERVALUE("0.000932")</f>
        <v/>
      </c>
      <c r="M243">
        <f>_xlfn.NUMBERVALUE("0.002663")</f>
        <v/>
      </c>
      <c r="N243">
        <f>_xlfn.NUMBERVALUE("0.000000")</f>
        <v/>
      </c>
      <c r="O243">
        <f>_xlfn.NUMBERVALUE("0.002993")</f>
        <v/>
      </c>
      <c r="P243">
        <f>_xlfn.NUMBERVALUE("0.000371")</f>
        <v/>
      </c>
      <c r="Q243">
        <f>_xlfn.NUMBERVALUE("0.000907")</f>
        <v/>
      </c>
      <c r="R243">
        <f>_xlfn.NUMBERVALUE("0.001707")</f>
        <v/>
      </c>
      <c r="S243">
        <f>_xlfn.NUMBERVALUE("0.000803")</f>
        <v/>
      </c>
      <c r="T243">
        <f>_xlfn.NUMBERVALUE("0.000200")</f>
        <v/>
      </c>
      <c r="U243">
        <f>_xlfn.NUMBERVALUE("0.001317")</f>
        <v/>
      </c>
      <c r="V243">
        <f>_xlfn.NUMBERVALUE("0.000765")</f>
        <v/>
      </c>
      <c r="W243">
        <f>_xlfn.NUMBERVALUE("0.012237")</f>
        <v/>
      </c>
      <c r="X243">
        <f>_xlfn.NUMBERVALUE("-1.780000")</f>
        <v/>
      </c>
      <c r="Y243">
        <f>_xlfn.NUMBERVALUE("20.950000")</f>
        <v/>
      </c>
    </row>
    <row r="244">
      <c r="A244" s="1" t="n">
        <v>42354</v>
      </c>
      <c r="B244">
        <f>_xlfn.NUMBERVALUE("0.000000")</f>
        <v/>
      </c>
      <c r="C244" s="2">
        <f>_xlfn.NUMBERVALUE("0.000919")</f>
        <v/>
      </c>
      <c r="D244">
        <f>_xlfn.NUMBERVALUE("0.002851")</f>
        <v/>
      </c>
      <c r="E244">
        <f>_xlfn.NUMBERVALUE("0.002626")</f>
        <v/>
      </c>
      <c r="F244">
        <f>_xlfn.NUMBERVALUE("0.006574")</f>
        <v/>
      </c>
      <c r="G244">
        <f>_xlfn.NUMBERVALUE("0.002362")</f>
        <v/>
      </c>
      <c r="H244">
        <f>_xlfn.NUMBERVALUE("0.000620")</f>
        <v/>
      </c>
      <c r="I244">
        <f>_xlfn.NUMBERVALUE("0.000502")</f>
        <v/>
      </c>
      <c r="J244">
        <f>_xlfn.NUMBERVALUE("-0.000615")</f>
        <v/>
      </c>
      <c r="K244">
        <f>_xlfn.NUMBERVALUE("-0.001176")</f>
        <v/>
      </c>
      <c r="L244">
        <f>_xlfn.NUMBERVALUE("0.004633")</f>
        <v/>
      </c>
      <c r="M244">
        <f>_xlfn.NUMBERVALUE("0.003249")</f>
        <v/>
      </c>
      <c r="N244">
        <f>_xlfn.NUMBERVALUE("0.000000")</f>
        <v/>
      </c>
      <c r="O244">
        <f>_xlfn.NUMBERVALUE("0.003616")</f>
        <v/>
      </c>
      <c r="P244">
        <f>_xlfn.NUMBERVALUE("0.002759")</f>
        <v/>
      </c>
      <c r="Q244">
        <f>_xlfn.NUMBERVALUE("0.000501")</f>
        <v/>
      </c>
      <c r="R244">
        <f>_xlfn.NUMBERVALUE("0.002197")</f>
        <v/>
      </c>
      <c r="S244">
        <f>_xlfn.NUMBERVALUE("-0.001675")</f>
        <v/>
      </c>
      <c r="T244">
        <f>_xlfn.NUMBERVALUE("-0.002580")</f>
        <v/>
      </c>
      <c r="U244">
        <f>_xlfn.NUMBERVALUE("0.001690")</f>
        <v/>
      </c>
      <c r="V244">
        <f>_xlfn.NUMBERVALUE("0.000036")</f>
        <v/>
      </c>
      <c r="W244">
        <f>_xlfn.NUMBERVALUE("0.014697")</f>
        <v/>
      </c>
      <c r="X244">
        <f>_xlfn.NUMBERVALUE("-3.090000")</f>
        <v/>
      </c>
      <c r="Y244">
        <f>_xlfn.NUMBERVALUE("17.860000")</f>
        <v/>
      </c>
    </row>
    <row r="245">
      <c r="A245" s="1" t="n">
        <v>42355</v>
      </c>
      <c r="B245">
        <f>_xlfn.NUMBERVALUE("0.000000")</f>
        <v/>
      </c>
      <c r="C245" s="2">
        <f>_xlfn.NUMBERVALUE("0.000008")</f>
        <v/>
      </c>
      <c r="D245">
        <f>_xlfn.NUMBERVALUE("0.000290")</f>
        <v/>
      </c>
      <c r="E245">
        <f>_xlfn.NUMBERVALUE("-0.001132")</f>
        <v/>
      </c>
      <c r="F245">
        <f>_xlfn.NUMBERVALUE("-0.005669")</f>
        <v/>
      </c>
      <c r="G245">
        <f>_xlfn.NUMBERVALUE("0.001184")</f>
        <v/>
      </c>
      <c r="H245">
        <f>_xlfn.NUMBERVALUE("0.001034")</f>
        <v/>
      </c>
      <c r="I245">
        <f>_xlfn.NUMBERVALUE("-0.013633")</f>
        <v/>
      </c>
      <c r="J245">
        <f>_xlfn.NUMBERVALUE("0.002491")</f>
        <v/>
      </c>
      <c r="K245">
        <f>_xlfn.NUMBERVALUE("-0.006430")</f>
        <v/>
      </c>
      <c r="L245">
        <f>_xlfn.NUMBERVALUE("0.000011")</f>
        <v/>
      </c>
      <c r="M245">
        <f>_xlfn.NUMBERVALUE("-0.001604")</f>
        <v/>
      </c>
      <c r="N245">
        <f>_xlfn.NUMBERVALUE("0.000000")</f>
        <v/>
      </c>
      <c r="O245">
        <f>_xlfn.NUMBERVALUE("0.000311")</f>
        <v/>
      </c>
      <c r="P245">
        <f>_xlfn.NUMBERVALUE("-0.000532")</f>
        <v/>
      </c>
      <c r="Q245">
        <f>_xlfn.NUMBERVALUE("-0.001020")</f>
        <v/>
      </c>
      <c r="R245">
        <f>_xlfn.NUMBERVALUE("-0.001382")</f>
        <v/>
      </c>
      <c r="S245">
        <f>_xlfn.NUMBERVALUE("-0.001311")</f>
        <v/>
      </c>
      <c r="T245">
        <f>_xlfn.NUMBERVALUE("0.001676")</f>
        <v/>
      </c>
      <c r="U245">
        <f>_xlfn.NUMBERVALUE("-0.001417")</f>
        <v/>
      </c>
      <c r="V245">
        <f>_xlfn.NUMBERVALUE("-0.000553")</f>
        <v/>
      </c>
      <c r="W245">
        <f>_xlfn.NUMBERVALUE("-0.013764")</f>
        <v/>
      </c>
      <c r="X245">
        <f>_xlfn.NUMBERVALUE("1.080000")</f>
        <v/>
      </c>
      <c r="Y245">
        <f>_xlfn.NUMBERVALUE("18.940000")</f>
        <v/>
      </c>
    </row>
    <row r="246">
      <c r="A246" s="1" t="n">
        <v>42356</v>
      </c>
      <c r="B246">
        <f>_xlfn.NUMBERVALUE("0.000000")</f>
        <v/>
      </c>
      <c r="C246" s="2">
        <f>_xlfn.NUMBERVALUE("-0.003578")</f>
        <v/>
      </c>
      <c r="D246">
        <f>_xlfn.NUMBERVALUE("0.000404")</f>
        <v/>
      </c>
      <c r="E246">
        <f>_xlfn.NUMBERVALUE("-0.002188")</f>
        <v/>
      </c>
      <c r="F246">
        <f>_xlfn.NUMBERVALUE("0.000260")</f>
        <v/>
      </c>
      <c r="G246">
        <f>_xlfn.NUMBERVALUE("-0.000306")</f>
        <v/>
      </c>
      <c r="H246">
        <f>_xlfn.NUMBERVALUE("-0.000536")</f>
        <v/>
      </c>
      <c r="I246">
        <f>_xlfn.NUMBERVALUE("0.006747")</f>
        <v/>
      </c>
      <c r="J246">
        <f>_xlfn.NUMBERVALUE("-0.000238")</f>
        <v/>
      </c>
      <c r="K246">
        <f>_xlfn.NUMBERVALUE("0.000188")</f>
        <v/>
      </c>
      <c r="L246">
        <f>_xlfn.NUMBERVALUE("0.000860")</f>
        <v/>
      </c>
      <c r="M246">
        <f>_xlfn.NUMBERVALUE("0.001675")</f>
        <v/>
      </c>
      <c r="N246">
        <f>_xlfn.NUMBERVALUE("0.000000")</f>
        <v/>
      </c>
      <c r="O246">
        <f>_xlfn.NUMBERVALUE("0.000861")</f>
        <v/>
      </c>
      <c r="P246">
        <f>_xlfn.NUMBERVALUE("-0.008867")</f>
        <v/>
      </c>
      <c r="Q246">
        <f>_xlfn.NUMBERVALUE("-0.000976")</f>
        <v/>
      </c>
      <c r="R246">
        <f>_xlfn.NUMBERVALUE("-0.002130")</f>
        <v/>
      </c>
      <c r="S246">
        <f>_xlfn.NUMBERVALUE("-0.005848")</f>
        <v/>
      </c>
      <c r="T246">
        <f>_xlfn.NUMBERVALUE("-0.004725")</f>
        <v/>
      </c>
      <c r="U246">
        <f>_xlfn.NUMBERVALUE("-0.000482")</f>
        <v/>
      </c>
      <c r="V246">
        <f>_xlfn.NUMBERVALUE("-0.005045")</f>
        <v/>
      </c>
      <c r="W246">
        <f>_xlfn.NUMBERVALUE("-0.023138")</f>
        <v/>
      </c>
      <c r="X246">
        <f>_xlfn.NUMBERVALUE("1.760000")</f>
        <v/>
      </c>
      <c r="Y246">
        <f>_xlfn.NUMBERVALUE("20.700000")</f>
        <v/>
      </c>
    </row>
    <row r="247">
      <c r="A247" s="1" t="n">
        <v>42359</v>
      </c>
      <c r="B247">
        <f>_xlfn.NUMBERVALUE("0.000000")</f>
        <v/>
      </c>
      <c r="C247" s="2">
        <f>_xlfn.NUMBERVALUE("-0.002033")</f>
        <v/>
      </c>
      <c r="D247">
        <f>_xlfn.NUMBERVALUE("0.008273")</f>
        <v/>
      </c>
      <c r="E247">
        <f>_xlfn.NUMBERVALUE("0.004906")</f>
        <v/>
      </c>
      <c r="F247">
        <f>_xlfn.NUMBERVALUE("-0.001205")</f>
        <v/>
      </c>
      <c r="G247">
        <f>_xlfn.NUMBERVALUE("-0.001751")</f>
        <v/>
      </c>
      <c r="H247">
        <f>_xlfn.NUMBERVALUE("0.000972")</f>
        <v/>
      </c>
      <c r="I247">
        <f>_xlfn.NUMBERVALUE("-0.019455")</f>
        <v/>
      </c>
      <c r="J247">
        <f>_xlfn.NUMBERVALUE("0.000272")</f>
        <v/>
      </c>
      <c r="K247">
        <f>_xlfn.NUMBERVALUE("0.000508")</f>
        <v/>
      </c>
      <c r="L247">
        <f>_xlfn.NUMBERVALUE("0.001821")</f>
        <v/>
      </c>
      <c r="M247">
        <f>_xlfn.NUMBERVALUE("0.001011")</f>
        <v/>
      </c>
      <c r="N247">
        <f>_xlfn.NUMBERVALUE("0.000000")</f>
        <v/>
      </c>
      <c r="O247">
        <f>_xlfn.NUMBERVALUE("0.001241")</f>
        <v/>
      </c>
      <c r="P247">
        <f>_xlfn.NUMBERVALUE("0.004915")</f>
        <v/>
      </c>
      <c r="Q247">
        <f>_xlfn.NUMBERVALUE("0.001435")</f>
        <v/>
      </c>
      <c r="R247">
        <f>_xlfn.NUMBERVALUE("0.001404")</f>
        <v/>
      </c>
      <c r="S247">
        <f>_xlfn.NUMBERVALUE("0.001348")</f>
        <v/>
      </c>
      <c r="T247">
        <f>_xlfn.NUMBERVALUE("0.000789")</f>
        <v/>
      </c>
      <c r="U247">
        <f>_xlfn.NUMBERVALUE("0.000942")</f>
        <v/>
      </c>
      <c r="V247">
        <f>_xlfn.NUMBERVALUE("-0.013691")</f>
        <v/>
      </c>
      <c r="W247">
        <f>_xlfn.NUMBERVALUE("0.004538")</f>
        <v/>
      </c>
      <c r="X247">
        <f>_xlfn.NUMBERVALUE("-2.000000")</f>
        <v/>
      </c>
      <c r="Y247">
        <f>_xlfn.NUMBERVALUE("18.700000")</f>
        <v/>
      </c>
    </row>
    <row r="248">
      <c r="A248" s="1" t="n">
        <v>42360</v>
      </c>
      <c r="B248">
        <f>_xlfn.NUMBERVALUE("0.000000")</f>
        <v/>
      </c>
      <c r="C248" s="2">
        <f>_xlfn.NUMBERVALUE("0.003728")</f>
        <v/>
      </c>
      <c r="D248">
        <f>_xlfn.NUMBERVALUE("0.002509")</f>
        <v/>
      </c>
      <c r="E248">
        <f>_xlfn.NUMBERVALUE("0.000292")</f>
        <v/>
      </c>
      <c r="F248">
        <f>_xlfn.NUMBERVALUE("0.001587")</f>
        <v/>
      </c>
      <c r="G248">
        <f>_xlfn.NUMBERVALUE("-0.000173")</f>
        <v/>
      </c>
      <c r="H248">
        <f>_xlfn.NUMBERVALUE("-0.000043")</f>
        <v/>
      </c>
      <c r="I248">
        <f>_xlfn.NUMBERVALUE("0.024122")</f>
        <v/>
      </c>
      <c r="J248">
        <f>_xlfn.NUMBERVALUE("0.000265")</f>
        <v/>
      </c>
      <c r="K248">
        <f>_xlfn.NUMBERVALUE("0.003051")</f>
        <v/>
      </c>
      <c r="L248">
        <f>_xlfn.NUMBERVALUE("0.001135")</f>
        <v/>
      </c>
      <c r="M248">
        <f>_xlfn.NUMBERVALUE("0.001683")</f>
        <v/>
      </c>
      <c r="N248">
        <f>_xlfn.NUMBERVALUE("0.000000")</f>
        <v/>
      </c>
      <c r="O248">
        <f>_xlfn.NUMBERVALUE("0.002471")</f>
        <v/>
      </c>
      <c r="P248">
        <f>_xlfn.NUMBERVALUE("0.002363")</f>
        <v/>
      </c>
      <c r="Q248">
        <f>_xlfn.NUMBERVALUE("0.001654")</f>
        <v/>
      </c>
      <c r="R248">
        <f>_xlfn.NUMBERVALUE("-0.005106")</f>
        <v/>
      </c>
      <c r="S248">
        <f>_xlfn.NUMBERVALUE("-0.000111")</f>
        <v/>
      </c>
      <c r="T248">
        <f>_xlfn.NUMBERVALUE("0.000466")</f>
        <v/>
      </c>
      <c r="U248">
        <f>_xlfn.NUMBERVALUE("0.000257")</f>
        <v/>
      </c>
      <c r="V248">
        <f>_xlfn.NUMBERVALUE("0.021279")</f>
        <v/>
      </c>
      <c r="W248">
        <f>_xlfn.NUMBERVALUE("0.009233")</f>
        <v/>
      </c>
      <c r="X248">
        <f>_xlfn.NUMBERVALUE("-2.100000")</f>
        <v/>
      </c>
      <c r="Y248">
        <f>_xlfn.NUMBERVALUE("16.600000")</f>
        <v/>
      </c>
    </row>
    <row r="249">
      <c r="A249" s="1" t="n">
        <v>42361</v>
      </c>
      <c r="B249">
        <f>_xlfn.NUMBERVALUE("0.000000")</f>
        <v/>
      </c>
      <c r="C249" s="2">
        <f>_xlfn.NUMBERVALUE("-0.000531")</f>
        <v/>
      </c>
      <c r="D249">
        <f>_xlfn.NUMBERVALUE("0.000686")</f>
        <v/>
      </c>
      <c r="E249">
        <f>_xlfn.NUMBERVALUE("-0.000397")</f>
        <v/>
      </c>
      <c r="F249">
        <f>_xlfn.NUMBERVALUE("0.001893")</f>
        <v/>
      </c>
      <c r="G249">
        <f>_xlfn.NUMBERVALUE("0.000531")</f>
        <v/>
      </c>
      <c r="H249">
        <f>_xlfn.NUMBERVALUE("0.000305")</f>
        <v/>
      </c>
      <c r="I249">
        <f>_xlfn.NUMBERVALUE("-0.004459")</f>
        <v/>
      </c>
      <c r="J249">
        <f>_xlfn.NUMBERVALUE("-0.000175")</f>
        <v/>
      </c>
      <c r="K249">
        <f>_xlfn.NUMBERVALUE("0.000619")</f>
        <v/>
      </c>
      <c r="L249">
        <f>_xlfn.NUMBERVALUE("-0.000838")</f>
        <v/>
      </c>
      <c r="M249">
        <f>_xlfn.NUMBERVALUE("0.000024")</f>
        <v/>
      </c>
      <c r="N249">
        <f>_xlfn.NUMBERVALUE("0.000000")</f>
        <v/>
      </c>
      <c r="O249">
        <f>_xlfn.NUMBERVALUE("-0.004108")</f>
        <v/>
      </c>
      <c r="P249">
        <f>_xlfn.NUMBERVALUE("0.000994")</f>
        <v/>
      </c>
      <c r="Q249">
        <f>_xlfn.NUMBERVALUE("0.000358")</f>
        <v/>
      </c>
      <c r="R249">
        <f>_xlfn.NUMBERVALUE("0.006810")</f>
        <v/>
      </c>
      <c r="S249">
        <f>_xlfn.NUMBERVALUE("-0.000259")</f>
        <v/>
      </c>
      <c r="T249">
        <f>_xlfn.NUMBERVALUE("-0.001094")</f>
        <v/>
      </c>
      <c r="U249">
        <f>_xlfn.NUMBERVALUE("0.001698")</f>
        <v/>
      </c>
      <c r="V249">
        <f>_xlfn.NUMBERVALUE("-0.000899")</f>
        <v/>
      </c>
      <c r="W249">
        <f>_xlfn.NUMBERVALUE("0.013088")</f>
        <v/>
      </c>
      <c r="X249">
        <f>_xlfn.NUMBERVALUE("-1.030000")</f>
        <v/>
      </c>
      <c r="Y249">
        <f>_xlfn.NUMBERVALUE("15.570000")</f>
        <v/>
      </c>
    </row>
    <row r="250">
      <c r="A250" s="1" t="n">
        <v>42362</v>
      </c>
      <c r="B250">
        <f>_xlfn.NUMBERVALUE("0.000000")</f>
        <v/>
      </c>
      <c r="C250" s="2">
        <f>_xlfn.NUMBERVALUE("0.002239")</f>
        <v/>
      </c>
      <c r="D250">
        <f>_xlfn.NUMBERVALUE("0.001015")</f>
        <v/>
      </c>
      <c r="E250">
        <f>_xlfn.NUMBERVALUE("0.000688")</f>
        <v/>
      </c>
      <c r="F250">
        <f>_xlfn.NUMBERVALUE("-0.000374")</f>
        <v/>
      </c>
      <c r="G250">
        <f>_xlfn.NUMBERVALUE("0.004128")</f>
        <v/>
      </c>
      <c r="H250">
        <f>_xlfn.NUMBERVALUE("0.000779")</f>
        <v/>
      </c>
      <c r="I250">
        <f>_xlfn.NUMBERVALUE("0.007874")</f>
        <v/>
      </c>
      <c r="J250">
        <f>_xlfn.NUMBERVALUE("0.000857")</f>
        <v/>
      </c>
      <c r="K250">
        <f>_xlfn.NUMBERVALUE("0.000715")</f>
        <v/>
      </c>
      <c r="L250">
        <f>_xlfn.NUMBERVALUE("0.002238")</f>
        <v/>
      </c>
      <c r="M250">
        <f>_xlfn.NUMBERVALUE("-0.003356")</f>
        <v/>
      </c>
      <c r="N250">
        <f>_xlfn.NUMBERVALUE("0.000000")</f>
        <v/>
      </c>
      <c r="O250">
        <f>_xlfn.NUMBERVALUE("0.000717")</f>
        <v/>
      </c>
      <c r="P250">
        <f>_xlfn.NUMBERVALUE("0.001088")</f>
        <v/>
      </c>
      <c r="Q250">
        <f>_xlfn.NUMBERVALUE("0.000983")</f>
        <v/>
      </c>
      <c r="R250">
        <f>_xlfn.NUMBERVALUE("0.000152")</f>
        <v/>
      </c>
      <c r="S250">
        <f>_xlfn.NUMBERVALUE("0.000542")</f>
        <v/>
      </c>
      <c r="T250">
        <f>_xlfn.NUMBERVALUE("-0.000515")</f>
        <v/>
      </c>
      <c r="U250">
        <f>_xlfn.NUMBERVALUE("-0.002086")</f>
        <v/>
      </c>
      <c r="V250">
        <f>_xlfn.NUMBERVALUE("0.001905")</f>
        <v/>
      </c>
      <c r="W250">
        <f>_xlfn.NUMBERVALUE("-0.001413")</f>
        <v/>
      </c>
      <c r="X250">
        <f>_xlfn.NUMBERVALUE("0.170000")</f>
        <v/>
      </c>
      <c r="Y250">
        <f>_xlfn.NUMBERVALUE("15.740000")</f>
        <v/>
      </c>
    </row>
    <row r="251">
      <c r="A251" s="1" t="n">
        <v>42366</v>
      </c>
      <c r="B251">
        <f>_xlfn.NUMBERVALUE("0.000000")</f>
        <v/>
      </c>
      <c r="C251" s="2">
        <f>_xlfn.NUMBERVALUE("-0.000987")</f>
        <v/>
      </c>
      <c r="D251">
        <f>_xlfn.NUMBERVALUE("-0.000293")</f>
        <v/>
      </c>
      <c r="E251">
        <f>_xlfn.NUMBERVALUE("-0.000015")</f>
        <v/>
      </c>
      <c r="F251">
        <f>_xlfn.NUMBERVALUE("-0.001388")</f>
        <v/>
      </c>
      <c r="G251">
        <f>_xlfn.NUMBERVALUE("-0.002744")</f>
        <v/>
      </c>
      <c r="H251">
        <f>_xlfn.NUMBERVALUE("0.001451")</f>
        <v/>
      </c>
      <c r="I251">
        <f>_xlfn.NUMBERVALUE("-0.019979")</f>
        <v/>
      </c>
      <c r="J251">
        <f>_xlfn.NUMBERVALUE("0.000386")</f>
        <v/>
      </c>
      <c r="K251">
        <f>_xlfn.NUMBERVALUE("-0.008298")</f>
        <v/>
      </c>
      <c r="L251">
        <f>_xlfn.NUMBERVALUE("0.001500")</f>
        <v/>
      </c>
      <c r="M251">
        <f>_xlfn.NUMBERVALUE("0.002379")</f>
        <v/>
      </c>
      <c r="N251">
        <f>_xlfn.NUMBERVALUE("0.000000")</f>
        <v/>
      </c>
      <c r="O251">
        <f>_xlfn.NUMBERVALUE("-0.001031")</f>
        <v/>
      </c>
      <c r="P251">
        <f>_xlfn.NUMBERVALUE("0.000843")</f>
        <v/>
      </c>
      <c r="Q251">
        <f>_xlfn.NUMBERVALUE("0.000003")</f>
        <v/>
      </c>
      <c r="R251">
        <f>_xlfn.NUMBERVALUE("0.000015")</f>
        <v/>
      </c>
      <c r="S251">
        <f>_xlfn.NUMBERVALUE("0.000757")</f>
        <v/>
      </c>
      <c r="T251">
        <f>_xlfn.NUMBERVALUE("0.000779")</f>
        <v/>
      </c>
      <c r="U251">
        <f>_xlfn.NUMBERVALUE("0.002724")</f>
        <v/>
      </c>
      <c r="V251">
        <f>_xlfn.NUMBERVALUE("-0.000719")</f>
        <v/>
      </c>
      <c r="W251">
        <f>_xlfn.NUMBERVALUE("-0.002528")</f>
        <v/>
      </c>
      <c r="X251">
        <f>_xlfn.NUMBERVALUE("1.170000")</f>
        <v/>
      </c>
      <c r="Y251">
        <f>_xlfn.NUMBERVALUE("16.910000")</f>
        <v/>
      </c>
    </row>
    <row r="252">
      <c r="A252" s="1" t="n">
        <v>42367</v>
      </c>
      <c r="B252">
        <f>_xlfn.NUMBERVALUE("0.000000")</f>
        <v/>
      </c>
      <c r="C252" s="2">
        <f>_xlfn.NUMBERVALUE("0.005280")</f>
        <v/>
      </c>
      <c r="D252">
        <f>_xlfn.NUMBERVALUE("0.001044")</f>
        <v/>
      </c>
      <c r="E252">
        <f>_xlfn.NUMBERVALUE("0.000358")</f>
        <v/>
      </c>
      <c r="F252">
        <f>_xlfn.NUMBERVALUE("0.004240")</f>
        <v/>
      </c>
      <c r="G252">
        <f>_xlfn.NUMBERVALUE("0.002415")</f>
        <v/>
      </c>
      <c r="H252">
        <f>_xlfn.NUMBERVALUE("-0.000857")</f>
        <v/>
      </c>
      <c r="I252">
        <f>_xlfn.NUMBERVALUE("0.028674")</f>
        <v/>
      </c>
      <c r="J252">
        <f>_xlfn.NUMBERVALUE("0.000097")</f>
        <v/>
      </c>
      <c r="K252">
        <f>_xlfn.NUMBERVALUE("0.002825")</f>
        <v/>
      </c>
      <c r="L252">
        <f>_xlfn.NUMBERVALUE("-0.007564")</f>
        <v/>
      </c>
      <c r="M252">
        <f>_xlfn.NUMBERVALUE("0.002920")</f>
        <v/>
      </c>
      <c r="N252">
        <f>_xlfn.NUMBERVALUE("0.000000")</f>
        <v/>
      </c>
      <c r="O252">
        <f>_xlfn.NUMBERVALUE("-0.000151")</f>
        <v/>
      </c>
      <c r="P252">
        <f>_xlfn.NUMBERVALUE("0.001101")</f>
        <v/>
      </c>
      <c r="Q252">
        <f>_xlfn.NUMBERVALUE("0.000676")</f>
        <v/>
      </c>
      <c r="R252">
        <f>_xlfn.NUMBERVALUE("0.000474")</f>
        <v/>
      </c>
      <c r="S252">
        <f>_xlfn.NUMBERVALUE("-0.000533")</f>
        <v/>
      </c>
      <c r="T252">
        <f>_xlfn.NUMBERVALUE("0.000416")</f>
        <v/>
      </c>
      <c r="U252">
        <f>_xlfn.NUMBERVALUE("0.000615")</f>
        <v/>
      </c>
      <c r="V252">
        <f>_xlfn.NUMBERVALUE("0.008647")</f>
        <v/>
      </c>
      <c r="W252">
        <f>_xlfn.NUMBERVALUE("0.010918")</f>
        <v/>
      </c>
      <c r="X252">
        <f>_xlfn.NUMBERVALUE("-0.830000")</f>
        <v/>
      </c>
      <c r="Y252">
        <f>_xlfn.NUMBERVALUE("16.080000")</f>
        <v/>
      </c>
    </row>
    <row r="253">
      <c r="A253" s="1" t="n">
        <v>42368</v>
      </c>
      <c r="B253">
        <f>_xlfn.NUMBERVALUE("0.000000")</f>
        <v/>
      </c>
      <c r="C253" s="2">
        <f>_xlfn.NUMBERVALUE("-0.003819")</f>
        <v/>
      </c>
      <c r="D253">
        <f>_xlfn.NUMBERVALUE("-0.000289")</f>
        <v/>
      </c>
      <c r="E253">
        <f>_xlfn.NUMBERVALUE("-0.000146")</f>
        <v/>
      </c>
      <c r="F253">
        <f>_xlfn.NUMBERVALUE("0.000513")</f>
        <v/>
      </c>
      <c r="G253">
        <f>_xlfn.NUMBERVALUE("0.000591")</f>
        <v/>
      </c>
      <c r="H253">
        <f>_xlfn.NUMBERVALUE("0.000077")</f>
        <v/>
      </c>
      <c r="I253">
        <f>_xlfn.NUMBERVALUE("-0.002732")</f>
        <v/>
      </c>
      <c r="J253">
        <f>_xlfn.NUMBERVALUE("0.000018")</f>
        <v/>
      </c>
      <c r="K253">
        <f>_xlfn.NUMBERVALUE("0.000708")</f>
        <v/>
      </c>
      <c r="L253">
        <f>_xlfn.NUMBERVALUE("0.000114")</f>
        <v/>
      </c>
      <c r="M253">
        <f>_xlfn.NUMBERVALUE("-0.000731")</f>
        <v/>
      </c>
      <c r="N253">
        <f>_xlfn.NUMBERVALUE("0.000000")</f>
        <v/>
      </c>
      <c r="O253">
        <f>_xlfn.NUMBERVALUE("0.001474")</f>
        <v/>
      </c>
      <c r="P253">
        <f>_xlfn.NUMBERVALUE("-0.000342")</f>
        <v/>
      </c>
      <c r="Q253">
        <f>_xlfn.NUMBERVALUE("-0.001152")</f>
        <v/>
      </c>
      <c r="R253">
        <f>_xlfn.NUMBERVALUE("-0.001032")</f>
        <v/>
      </c>
      <c r="S253">
        <f>_xlfn.NUMBERVALUE("0.000699")</f>
        <v/>
      </c>
      <c r="T253">
        <f>_xlfn.NUMBERVALUE("0.000926")</f>
        <v/>
      </c>
      <c r="U253">
        <f>_xlfn.NUMBERVALUE("-0.000679")</f>
        <v/>
      </c>
      <c r="V253">
        <f>_xlfn.NUMBERVALUE("-0.018865")</f>
        <v/>
      </c>
      <c r="W253">
        <f>_xlfn.NUMBERVALUE("-0.006557")</f>
        <v/>
      </c>
      <c r="X253">
        <f>_xlfn.NUMBERVALUE("1.210000")</f>
        <v/>
      </c>
      <c r="Y253">
        <f>_xlfn.NUMBERVALUE("17.290000")</f>
        <v/>
      </c>
    </row>
    <row r="254">
      <c r="A254" s="1" t="n">
        <v>42369</v>
      </c>
      <c r="B254">
        <f>_xlfn.NUMBERVALUE("0.000000")</f>
        <v/>
      </c>
      <c r="C254" s="2">
        <f>_xlfn.NUMBERVALUE("0.000572")</f>
        <v/>
      </c>
      <c r="D254">
        <f>_xlfn.NUMBERVALUE("0.000002")</f>
        <v/>
      </c>
      <c r="E254">
        <f>_xlfn.NUMBERVALUE("0.000134")</f>
        <v/>
      </c>
      <c r="F254">
        <f>_xlfn.NUMBERVALUE("0.000921")</f>
        <v/>
      </c>
      <c r="G254">
        <f>_xlfn.NUMBERVALUE("0.000062")</f>
        <v/>
      </c>
      <c r="H254">
        <f>_xlfn.NUMBERVALUE("-0.000011")</f>
        <v/>
      </c>
      <c r="I254">
        <f>_xlfn.NUMBERVALUE("0.001307")</f>
        <v/>
      </c>
      <c r="J254">
        <f>_xlfn.NUMBERVALUE("-0.000005")</f>
        <v/>
      </c>
      <c r="K254">
        <f>_xlfn.NUMBERVALUE("0.000375")</f>
        <v/>
      </c>
      <c r="L254">
        <f>_xlfn.NUMBERVALUE("0.000021")</f>
        <v/>
      </c>
      <c r="M254">
        <f>_xlfn.NUMBERVALUE("-0.000396")</f>
        <v/>
      </c>
      <c r="N254">
        <f>_xlfn.NUMBERVALUE("0.000000")</f>
        <v/>
      </c>
      <c r="O254">
        <f>_xlfn.NUMBERVALUE("0.000599")</f>
        <v/>
      </c>
      <c r="P254">
        <f>_xlfn.NUMBERVALUE("0.000757")</f>
        <v/>
      </c>
      <c r="Q254">
        <f>_xlfn.NUMBERVALUE("0.000286")</f>
        <v/>
      </c>
      <c r="R254">
        <f>_xlfn.NUMBERVALUE("-0.000715")</f>
        <v/>
      </c>
      <c r="S254">
        <f>_xlfn.NUMBERVALUE("0.001100")</f>
        <v/>
      </c>
      <c r="T254">
        <f>_xlfn.NUMBERVALUE("-0.000681")</f>
        <v/>
      </c>
      <c r="U254">
        <f>_xlfn.NUMBERVALUE("-0.000662")</f>
        <v/>
      </c>
      <c r="V254">
        <f>_xlfn.NUMBERVALUE("0.013859")</f>
        <v/>
      </c>
      <c r="W254">
        <f>_xlfn.NUMBERVALUE("-0.003519")</f>
        <v/>
      </c>
      <c r="X254">
        <f>_xlfn.NUMBERVALUE("0.920000")</f>
        <v/>
      </c>
      <c r="Y254">
        <f>_xlfn.NUMBERVALUE("18.210000")</f>
        <v/>
      </c>
    </row>
    <row r="255">
      <c r="A255" s="1" t="n">
        <v>42373</v>
      </c>
      <c r="B255">
        <f>_xlfn.NUMBERVALUE("0.000000")</f>
        <v/>
      </c>
      <c r="C255" s="2">
        <f>_xlfn.NUMBERVALUE("-0.003236")</f>
        <v/>
      </c>
      <c r="D255">
        <f>_xlfn.NUMBERVALUE("-0.007485")</f>
        <v/>
      </c>
      <c r="E255">
        <f>_xlfn.NUMBERVALUE("-0.004388")</f>
        <v/>
      </c>
      <c r="F255">
        <f>_xlfn.NUMBERVALUE("-0.003118")</f>
        <v/>
      </c>
      <c r="G255">
        <f>_xlfn.NUMBERVALUE("0.000468")</f>
        <v/>
      </c>
      <c r="H255">
        <f>_xlfn.NUMBERVALUE("0.000347")</f>
        <v/>
      </c>
      <c r="I255">
        <f>_xlfn.NUMBERVALUE("-0.005459")</f>
        <v/>
      </c>
      <c r="J255">
        <f>_xlfn.NUMBERVALUE("-0.000295")</f>
        <v/>
      </c>
      <c r="K255">
        <f>_xlfn.NUMBERVALUE("-0.000872")</f>
        <v/>
      </c>
      <c r="L255">
        <f>_xlfn.NUMBERVALUE("0.000414")</f>
        <v/>
      </c>
      <c r="M255">
        <f>_xlfn.NUMBERVALUE("-0.001044")</f>
        <v/>
      </c>
      <c r="N255">
        <f>_xlfn.NUMBERVALUE("0.000000")</f>
        <v/>
      </c>
      <c r="O255">
        <f>_xlfn.NUMBERVALUE("-0.000347")</f>
        <v/>
      </c>
      <c r="P255">
        <f>_xlfn.NUMBERVALUE("-0.002812")</f>
        <v/>
      </c>
      <c r="Q255">
        <f>_xlfn.NUMBERVALUE("-0.002089")</f>
        <v/>
      </c>
      <c r="R255">
        <f>_xlfn.NUMBERVALUE("-0.000660")</f>
        <v/>
      </c>
      <c r="S255">
        <f>_xlfn.NUMBERVALUE("-0.002574")</f>
        <v/>
      </c>
      <c r="T255">
        <f>_xlfn.NUMBERVALUE("0.001952")</f>
        <v/>
      </c>
      <c r="U255">
        <f>_xlfn.NUMBERVALUE("-0.000041")</f>
        <v/>
      </c>
      <c r="V255">
        <f>_xlfn.NUMBERVALUE("-0.003393")</f>
        <v/>
      </c>
      <c r="W255">
        <f>_xlfn.NUMBERVALUE("-0.019014")</f>
        <v/>
      </c>
      <c r="X255">
        <f>_xlfn.NUMBERVALUE("2.490000")</f>
        <v/>
      </c>
      <c r="Y255">
        <f>_xlfn.NUMBERVALUE("20.700000")</f>
        <v/>
      </c>
    </row>
    <row r="256">
      <c r="A256" s="1" t="n">
        <v>42374</v>
      </c>
      <c r="B256">
        <f>_xlfn.NUMBERVALUE("0.000000")</f>
        <v/>
      </c>
      <c r="C256" s="2">
        <f>_xlfn.NUMBERVALUE("0.001369")</f>
        <v/>
      </c>
      <c r="D256">
        <f>_xlfn.NUMBERVALUE("0.002568")</f>
        <v/>
      </c>
      <c r="E256">
        <f>_xlfn.NUMBERVALUE("0.001593")</f>
        <v/>
      </c>
      <c r="F256">
        <f>_xlfn.NUMBERVALUE("0.001554")</f>
        <v/>
      </c>
      <c r="G256">
        <f>_xlfn.NUMBERVALUE("0.000431")</f>
        <v/>
      </c>
      <c r="H256">
        <f>_xlfn.NUMBERVALUE("-0.000404")</f>
        <v/>
      </c>
      <c r="I256">
        <f>_xlfn.NUMBERVALUE("0.002542")</f>
        <v/>
      </c>
      <c r="J256">
        <f>_xlfn.NUMBERVALUE("0.000316")</f>
        <v/>
      </c>
      <c r="K256">
        <f>_xlfn.NUMBERVALUE("0.002493")</f>
        <v/>
      </c>
      <c r="L256">
        <f>_xlfn.NUMBERVALUE("0.000098")</f>
        <v/>
      </c>
      <c r="M256">
        <f>_xlfn.NUMBERVALUE("-0.000084")</f>
        <v/>
      </c>
      <c r="N256">
        <f>_xlfn.NUMBERVALUE("0.000000")</f>
        <v/>
      </c>
      <c r="O256">
        <f>_xlfn.NUMBERVALUE("0.000746")</f>
        <v/>
      </c>
      <c r="P256">
        <f>_xlfn.NUMBERVALUE("-0.000052")</f>
        <v/>
      </c>
      <c r="Q256">
        <f>_xlfn.NUMBERVALUE("-0.000008")</f>
        <v/>
      </c>
      <c r="R256">
        <f>_xlfn.NUMBERVALUE("0.000003")</f>
        <v/>
      </c>
      <c r="S256">
        <f>_xlfn.NUMBERVALUE("0.001191")</f>
        <v/>
      </c>
      <c r="T256">
        <f>_xlfn.NUMBERVALUE("-0.000252")</f>
        <v/>
      </c>
      <c r="U256">
        <f>_xlfn.NUMBERVALUE("-0.000088")</f>
        <v/>
      </c>
      <c r="V256">
        <f>_xlfn.NUMBERVALUE("0.002160")</f>
        <v/>
      </c>
      <c r="W256">
        <f>_xlfn.NUMBERVALUE("0.003538")</f>
        <v/>
      </c>
      <c r="X256">
        <f>_xlfn.NUMBERVALUE("-1.360000")</f>
        <v/>
      </c>
      <c r="Y256">
        <f>_xlfn.NUMBERVALUE("19.340000")</f>
        <v/>
      </c>
    </row>
    <row r="257">
      <c r="A257" s="1" t="n">
        <v>42375</v>
      </c>
      <c r="B257">
        <f>_xlfn.NUMBERVALUE("0.000000")</f>
        <v/>
      </c>
      <c r="C257" s="2">
        <f>_xlfn.NUMBERVALUE("-0.001867")</f>
        <v/>
      </c>
      <c r="D257">
        <f>_xlfn.NUMBERVALUE("-0.002940")</f>
        <v/>
      </c>
      <c r="E257">
        <f>_xlfn.NUMBERVALUE("-0.002488")</f>
        <v/>
      </c>
      <c r="F257">
        <f>_xlfn.NUMBERVALUE("-0.003781")</f>
        <v/>
      </c>
      <c r="G257">
        <f>_xlfn.NUMBERVALUE("0.000760")</f>
        <v/>
      </c>
      <c r="H257">
        <f>_xlfn.NUMBERVALUE("0.000362")</f>
        <v/>
      </c>
      <c r="I257">
        <f>_xlfn.NUMBERVALUE("-0.000449")</f>
        <v/>
      </c>
      <c r="J257">
        <f>_xlfn.NUMBERVALUE("-0.000412")</f>
        <v/>
      </c>
      <c r="K257">
        <f>_xlfn.NUMBERVALUE("-0.001253")</f>
        <v/>
      </c>
      <c r="L257">
        <f>_xlfn.NUMBERVALUE("-0.001656")</f>
        <v/>
      </c>
      <c r="M257">
        <f>_xlfn.NUMBERVALUE("0.000085")</f>
        <v/>
      </c>
      <c r="N257">
        <f>_xlfn.NUMBERVALUE("0.000000")</f>
        <v/>
      </c>
      <c r="O257">
        <f>_xlfn.NUMBERVALUE("0.000052")</f>
        <v/>
      </c>
      <c r="P257">
        <f>_xlfn.NUMBERVALUE("0.000078")</f>
        <v/>
      </c>
      <c r="Q257">
        <f>_xlfn.NUMBERVALUE("0.000136")</f>
        <v/>
      </c>
      <c r="R257">
        <f>_xlfn.NUMBERVALUE("-0.000000")</f>
        <v/>
      </c>
      <c r="S257">
        <f>_xlfn.NUMBERVALUE("0.006456")</f>
        <v/>
      </c>
      <c r="T257">
        <f>_xlfn.NUMBERVALUE("0.000177")</f>
        <v/>
      </c>
      <c r="U257">
        <f>_xlfn.NUMBERVALUE("0.000362")</f>
        <v/>
      </c>
      <c r="V257">
        <f>_xlfn.NUMBERVALUE("-0.001719")</f>
        <v/>
      </c>
      <c r="W257">
        <f>_xlfn.NUMBERVALUE("-0.014299")</f>
        <v/>
      </c>
      <c r="X257">
        <f>_xlfn.NUMBERVALUE("1.250000")</f>
        <v/>
      </c>
      <c r="Y257">
        <f>_xlfn.NUMBERVALUE("20.590000")</f>
        <v/>
      </c>
    </row>
    <row r="258">
      <c r="A258" s="1" t="n">
        <v>42376</v>
      </c>
      <c r="B258">
        <f>_xlfn.NUMBERVALUE("0.000000")</f>
        <v/>
      </c>
      <c r="C258" s="2">
        <f>_xlfn.NUMBERVALUE("-0.003670")</f>
        <v/>
      </c>
      <c r="D258">
        <f>_xlfn.NUMBERVALUE("-0.006980")</f>
        <v/>
      </c>
      <c r="E258">
        <f>_xlfn.NUMBERVALUE("-0.003919")</f>
        <v/>
      </c>
      <c r="F258">
        <f>_xlfn.NUMBERVALUE("-0.002793")</f>
        <v/>
      </c>
      <c r="G258">
        <f>_xlfn.NUMBERVALUE("-0.000657")</f>
        <v/>
      </c>
      <c r="H258">
        <f>_xlfn.NUMBERVALUE("-0.000846")</f>
        <v/>
      </c>
      <c r="I258">
        <f>_xlfn.NUMBERVALUE("-0.004500")</f>
        <v/>
      </c>
      <c r="J258">
        <f>_xlfn.NUMBERVALUE("-0.000485")</f>
        <v/>
      </c>
      <c r="K258">
        <f>_xlfn.NUMBERVALUE("-0.002940")</f>
        <v/>
      </c>
      <c r="L258">
        <f>_xlfn.NUMBERVALUE("-0.000003")</f>
        <v/>
      </c>
      <c r="M258">
        <f>_xlfn.NUMBERVALUE("-0.006147")</f>
        <v/>
      </c>
      <c r="N258">
        <f>_xlfn.NUMBERVALUE("0.000000")</f>
        <v/>
      </c>
      <c r="O258">
        <f>_xlfn.NUMBERVALUE("-0.007129")</f>
        <v/>
      </c>
      <c r="P258">
        <f>_xlfn.NUMBERVALUE("-0.005373")</f>
        <v/>
      </c>
      <c r="Q258">
        <f>_xlfn.NUMBERVALUE("-0.005346")</f>
        <v/>
      </c>
      <c r="R258">
        <f>_xlfn.NUMBERVALUE("-0.006975")</f>
        <v/>
      </c>
      <c r="S258">
        <f>_xlfn.NUMBERVALUE("-0.002921")</f>
        <v/>
      </c>
      <c r="T258">
        <f>_xlfn.NUMBERVALUE("-0.001456")</f>
        <v/>
      </c>
      <c r="U258">
        <f>_xlfn.NUMBERVALUE("-0.004158")</f>
        <v/>
      </c>
      <c r="V258">
        <f>_xlfn.NUMBERVALUE("-0.003654")</f>
        <v/>
      </c>
      <c r="W258">
        <f>_xlfn.NUMBERVALUE("-0.018687")</f>
        <v/>
      </c>
      <c r="X258">
        <f>_xlfn.NUMBERVALUE("4.400000")</f>
        <v/>
      </c>
      <c r="Y258">
        <f>_xlfn.NUMBERVALUE("24.990000")</f>
        <v/>
      </c>
    </row>
    <row r="259">
      <c r="A259" s="1" t="n">
        <v>42377</v>
      </c>
      <c r="B259">
        <f>_xlfn.NUMBERVALUE("0.000000")</f>
        <v/>
      </c>
      <c r="C259" s="2">
        <f>_xlfn.NUMBERVALUE("-0.000858")</f>
        <v/>
      </c>
      <c r="D259">
        <f>_xlfn.NUMBERVALUE("-0.000438")</f>
        <v/>
      </c>
      <c r="E259">
        <f>_xlfn.NUMBERVALUE("-0.000094")</f>
        <v/>
      </c>
      <c r="F259">
        <f>_xlfn.NUMBERVALUE("0.001093")</f>
        <v/>
      </c>
      <c r="G259">
        <f>_xlfn.NUMBERVALUE("0.000691")</f>
        <v/>
      </c>
      <c r="H259">
        <f>_xlfn.NUMBERVALUE("0.000146")</f>
        <v/>
      </c>
      <c r="I259">
        <f>_xlfn.NUMBERVALUE("-0.001550")</f>
        <v/>
      </c>
      <c r="J259">
        <f>_xlfn.NUMBERVALUE("-0.000430")</f>
        <v/>
      </c>
      <c r="K259">
        <f>_xlfn.NUMBERVALUE("-0.000707")</f>
        <v/>
      </c>
      <c r="L259">
        <f>_xlfn.NUMBERVALUE("0.000171")</f>
        <v/>
      </c>
      <c r="M259">
        <f>_xlfn.NUMBERVALUE("0.000328")</f>
        <v/>
      </c>
      <c r="N259">
        <f>_xlfn.NUMBERVALUE("0.000000")</f>
        <v/>
      </c>
      <c r="O259">
        <f>_xlfn.NUMBERVALUE("0.002253")</f>
        <v/>
      </c>
      <c r="P259">
        <f>_xlfn.NUMBERVALUE("-0.000518")</f>
        <v/>
      </c>
      <c r="Q259">
        <f>_xlfn.NUMBERVALUE("-0.002147")</f>
        <v/>
      </c>
      <c r="R259">
        <f>_xlfn.NUMBERVALUE("-0.000750")</f>
        <v/>
      </c>
      <c r="S259">
        <f>_xlfn.NUMBERVALUE("-0.001197")</f>
        <v/>
      </c>
      <c r="T259">
        <f>_xlfn.NUMBERVALUE("0.000819")</f>
        <v/>
      </c>
      <c r="U259">
        <f>_xlfn.NUMBERVALUE("-0.001629")</f>
        <v/>
      </c>
      <c r="V259">
        <f>_xlfn.NUMBERVALUE("-0.001172")</f>
        <v/>
      </c>
      <c r="W259">
        <f>_xlfn.NUMBERVALUE("-0.015655")</f>
        <v/>
      </c>
      <c r="X259">
        <f>_xlfn.NUMBERVALUE("2.020000")</f>
        <v/>
      </c>
      <c r="Y259">
        <f>_xlfn.NUMBERVALUE("27.010000")</f>
        <v/>
      </c>
    </row>
    <row r="260">
      <c r="A260" s="1" t="n">
        <v>42380</v>
      </c>
      <c r="B260">
        <f>_xlfn.NUMBERVALUE("0.000000")</f>
        <v/>
      </c>
      <c r="C260" s="2">
        <f>_xlfn.NUMBERVALUE("0.002346")</f>
        <v/>
      </c>
      <c r="D260">
        <f>_xlfn.NUMBERVALUE("0.001888")</f>
        <v/>
      </c>
      <c r="E260">
        <f>_xlfn.NUMBERVALUE("0.001086")</f>
        <v/>
      </c>
      <c r="F260">
        <f>_xlfn.NUMBERVALUE("0.001809")</f>
        <v/>
      </c>
      <c r="G260">
        <f>_xlfn.NUMBERVALUE("0.001472")</f>
        <v/>
      </c>
      <c r="H260">
        <f>_xlfn.NUMBERVALUE("0.000061")</f>
        <v/>
      </c>
      <c r="I260">
        <f>_xlfn.NUMBERVALUE("0.000768")</f>
        <v/>
      </c>
      <c r="J260">
        <f>_xlfn.NUMBERVALUE("0.000923")</f>
        <v/>
      </c>
      <c r="K260">
        <f>_xlfn.NUMBERVALUE("0.002400")</f>
        <v/>
      </c>
      <c r="L260">
        <f>_xlfn.NUMBERVALUE("0.000213")</f>
        <v/>
      </c>
      <c r="M260">
        <f>_xlfn.NUMBERVALUE("0.004034")</f>
        <v/>
      </c>
      <c r="N260">
        <f>_xlfn.NUMBERVALUE("0.000000")</f>
        <v/>
      </c>
      <c r="O260">
        <f>_xlfn.NUMBERVALUE("0.002114")</f>
        <v/>
      </c>
      <c r="P260">
        <f>_xlfn.NUMBERVALUE("0.006289")</f>
        <v/>
      </c>
      <c r="Q260">
        <f>_xlfn.NUMBERVALUE("0.005840")</f>
        <v/>
      </c>
      <c r="R260">
        <f>_xlfn.NUMBERVALUE("0.004647")</f>
        <v/>
      </c>
      <c r="S260">
        <f>_xlfn.NUMBERVALUE("0.002523")</f>
        <v/>
      </c>
      <c r="T260">
        <f>_xlfn.NUMBERVALUE("0.001140")</f>
        <v/>
      </c>
      <c r="U260">
        <f>_xlfn.NUMBERVALUE("0.003904")</f>
        <v/>
      </c>
      <c r="V260">
        <f>_xlfn.NUMBERVALUE("0.002140")</f>
        <v/>
      </c>
      <c r="W260">
        <f>_xlfn.NUMBERVALUE("0.002868")</f>
        <v/>
      </c>
      <c r="X260">
        <f>_xlfn.NUMBERVALUE("-2.710000")</f>
        <v/>
      </c>
      <c r="Y260">
        <f>_xlfn.NUMBERVALUE("24.300000")</f>
        <v/>
      </c>
    </row>
    <row r="261">
      <c r="A261" s="1" t="n">
        <v>42381</v>
      </c>
      <c r="B261">
        <f>_xlfn.NUMBERVALUE("0.000000")</f>
        <v/>
      </c>
      <c r="C261" s="2">
        <f>_xlfn.NUMBERVALUE("0.000123")</f>
        <v/>
      </c>
      <c r="D261">
        <f>_xlfn.NUMBERVALUE("0.001371")</f>
        <v/>
      </c>
      <c r="E261">
        <f>_xlfn.NUMBERVALUE("0.001386")</f>
        <v/>
      </c>
      <c r="F261">
        <f>_xlfn.NUMBERVALUE("0.000777")</f>
        <v/>
      </c>
      <c r="G261">
        <f>_xlfn.NUMBERVALUE("0.001778")</f>
        <v/>
      </c>
      <c r="H261">
        <f>_xlfn.NUMBERVALUE("-0.000269")</f>
        <v/>
      </c>
      <c r="I261">
        <f>_xlfn.NUMBERVALUE("0.000658")</f>
        <v/>
      </c>
      <c r="J261">
        <f>_xlfn.NUMBERVALUE("0.000732")</f>
        <v/>
      </c>
      <c r="K261">
        <f>_xlfn.NUMBERVALUE("0.002065")</f>
        <v/>
      </c>
      <c r="L261">
        <f>_xlfn.NUMBERVALUE("-0.000836")</f>
        <v/>
      </c>
      <c r="M261">
        <f>_xlfn.NUMBERVALUE("0.001895")</f>
        <v/>
      </c>
      <c r="N261">
        <f>_xlfn.NUMBERVALUE("0.000000")</f>
        <v/>
      </c>
      <c r="O261">
        <f>_xlfn.NUMBERVALUE("0.000821")</f>
        <v/>
      </c>
      <c r="P261">
        <f>_xlfn.NUMBERVALUE("0.002611")</f>
        <v/>
      </c>
      <c r="Q261">
        <f>_xlfn.NUMBERVALUE("0.001108")</f>
        <v/>
      </c>
      <c r="R261">
        <f>_xlfn.NUMBERVALUE("0.001659")</f>
        <v/>
      </c>
      <c r="S261">
        <f>_xlfn.NUMBERVALUE("0.001425")</f>
        <v/>
      </c>
      <c r="T261">
        <f>_xlfn.NUMBERVALUE("0.001145")</f>
        <v/>
      </c>
      <c r="U261">
        <f>_xlfn.NUMBERVALUE("0.002121")</f>
        <v/>
      </c>
      <c r="V261">
        <f>_xlfn.NUMBERVALUE("0.000412")</f>
        <v/>
      </c>
      <c r="W261">
        <f>_xlfn.NUMBERVALUE("0.007436")</f>
        <v/>
      </c>
      <c r="X261">
        <f>_xlfn.NUMBERVALUE("-1.830000")</f>
        <v/>
      </c>
      <c r="Y261">
        <f>_xlfn.NUMBERVALUE("22.470000")</f>
        <v/>
      </c>
    </row>
    <row r="262">
      <c r="A262" s="1" t="n">
        <v>42382</v>
      </c>
      <c r="B262">
        <f>_xlfn.NUMBERVALUE("0.000000")</f>
        <v/>
      </c>
      <c r="C262" s="2">
        <f>_xlfn.NUMBERVALUE("-0.001101")</f>
        <v/>
      </c>
      <c r="D262">
        <f>_xlfn.NUMBERVALUE("-0.000516")</f>
        <v/>
      </c>
      <c r="E262">
        <f>_xlfn.NUMBERVALUE("-0.001087")</f>
        <v/>
      </c>
      <c r="F262">
        <f>_xlfn.NUMBERVALUE("-0.000315")</f>
        <v/>
      </c>
      <c r="G262">
        <f>_xlfn.NUMBERVALUE("-0.002481")</f>
        <v/>
      </c>
      <c r="H262">
        <f>_xlfn.NUMBERVALUE("0.000454")</f>
        <v/>
      </c>
      <c r="I262">
        <f>_xlfn.NUMBERVALUE("-0.001057")</f>
        <v/>
      </c>
      <c r="J262">
        <f>_xlfn.NUMBERVALUE("-0.000467")</f>
        <v/>
      </c>
      <c r="K262">
        <f>_xlfn.NUMBERVALUE("-0.004963")</f>
        <v/>
      </c>
      <c r="L262">
        <f>_xlfn.NUMBERVALUE("-0.001478")</f>
        <v/>
      </c>
      <c r="M262">
        <f>_xlfn.NUMBERVALUE("-0.002901")</f>
        <v/>
      </c>
      <c r="N262">
        <f>_xlfn.NUMBERVALUE("0.000000")</f>
        <v/>
      </c>
      <c r="O262">
        <f>_xlfn.NUMBERVALUE("-0.002860")</f>
        <v/>
      </c>
      <c r="P262">
        <f>_xlfn.NUMBERVALUE("-0.006747")</f>
        <v/>
      </c>
      <c r="Q262">
        <f>_xlfn.NUMBERVALUE("-0.004376")</f>
        <v/>
      </c>
      <c r="R262">
        <f>_xlfn.NUMBERVALUE("-0.005367")</f>
        <v/>
      </c>
      <c r="S262">
        <f>_xlfn.NUMBERVALUE("-0.002253")</f>
        <v/>
      </c>
      <c r="T262">
        <f>_xlfn.NUMBERVALUE("-0.000157")</f>
        <v/>
      </c>
      <c r="U262">
        <f>_xlfn.NUMBERVALUE("-0.008141")</f>
        <v/>
      </c>
      <c r="V262">
        <f>_xlfn.NUMBERVALUE("-0.001763")</f>
        <v/>
      </c>
      <c r="W262">
        <f>_xlfn.NUMBERVALUE("-0.024877")</f>
        <v/>
      </c>
      <c r="X262">
        <f>_xlfn.NUMBERVALUE("2.750000")</f>
        <v/>
      </c>
      <c r="Y262">
        <f>_xlfn.NUMBERVALUE("25.220000")</f>
        <v/>
      </c>
    </row>
    <row r="263">
      <c r="A263" s="1" t="n">
        <v>42383</v>
      </c>
      <c r="B263">
        <f>_xlfn.NUMBERVALUE("0.000000")</f>
        <v/>
      </c>
      <c r="C263" s="2">
        <f>_xlfn.NUMBERVALUE("-0.000076")</f>
        <v/>
      </c>
      <c r="D263">
        <f>_xlfn.NUMBERVALUE("0.001017")</f>
        <v/>
      </c>
      <c r="E263">
        <f>_xlfn.NUMBERVALUE("0.000369")</f>
        <v/>
      </c>
      <c r="F263">
        <f>_xlfn.NUMBERVALUE("0.000674")</f>
        <v/>
      </c>
      <c r="G263">
        <f>_xlfn.NUMBERVALUE("0.003137")</f>
        <v/>
      </c>
      <c r="H263">
        <f>_xlfn.NUMBERVALUE("-0.000320")</f>
        <v/>
      </c>
      <c r="I263">
        <f>_xlfn.NUMBERVALUE("0.000257")</f>
        <v/>
      </c>
      <c r="J263">
        <f>_xlfn.NUMBERVALUE("0.000839")</f>
        <v/>
      </c>
      <c r="K263">
        <f>_xlfn.NUMBERVALUE("-0.002477")</f>
        <v/>
      </c>
      <c r="L263">
        <f>_xlfn.NUMBERVALUE("0.000170")</f>
        <v/>
      </c>
      <c r="M263">
        <f>_xlfn.NUMBERVALUE("-0.000324")</f>
        <v/>
      </c>
      <c r="N263">
        <f>_xlfn.NUMBERVALUE("0.000000")</f>
        <v/>
      </c>
      <c r="O263">
        <f>_xlfn.NUMBERVALUE("-0.003679")</f>
        <v/>
      </c>
      <c r="P263">
        <f>_xlfn.NUMBERVALUE("0.002354")</f>
        <v/>
      </c>
      <c r="Q263">
        <f>_xlfn.NUMBERVALUE("0.000355")</f>
        <v/>
      </c>
      <c r="R263">
        <f>_xlfn.NUMBERVALUE("-0.001017")</f>
        <v/>
      </c>
      <c r="S263">
        <f>_xlfn.NUMBERVALUE("0.001060")</f>
        <v/>
      </c>
      <c r="T263">
        <f>_xlfn.NUMBERVALUE("-0.001317")</f>
        <v/>
      </c>
      <c r="U263">
        <f>_xlfn.NUMBERVALUE("-0.000159")</f>
        <v/>
      </c>
      <c r="V263">
        <f>_xlfn.NUMBERVALUE("0.000267")</f>
        <v/>
      </c>
      <c r="W263">
        <f>_xlfn.NUMBERVALUE("0.015561")</f>
        <v/>
      </c>
      <c r="X263">
        <f>_xlfn.NUMBERVALUE("-1.270000")</f>
        <v/>
      </c>
      <c r="Y263">
        <f>_xlfn.NUMBERVALUE("23.950000")</f>
        <v/>
      </c>
    </row>
    <row r="264">
      <c r="A264" s="1" t="n">
        <v>42384</v>
      </c>
      <c r="B264">
        <f>_xlfn.NUMBERVALUE("0.000000")</f>
        <v/>
      </c>
      <c r="C264" s="2">
        <f>_xlfn.NUMBERVALUE("-0.000964")</f>
        <v/>
      </c>
      <c r="D264">
        <f>_xlfn.NUMBERVALUE("-0.002882")</f>
        <v/>
      </c>
      <c r="E264">
        <f>_xlfn.NUMBERVALUE("-0.002216")</f>
        <v/>
      </c>
      <c r="F264">
        <f>_xlfn.NUMBERVALUE("-0.002102")</f>
        <v/>
      </c>
      <c r="G264">
        <f>_xlfn.NUMBERVALUE("-0.001990")</f>
        <v/>
      </c>
      <c r="H264">
        <f>_xlfn.NUMBERVALUE("-0.000493")</f>
        <v/>
      </c>
      <c r="I264">
        <f>_xlfn.NUMBERVALUE("-0.000497")</f>
        <v/>
      </c>
      <c r="J264">
        <f>_xlfn.NUMBERVALUE("-0.001319")</f>
        <v/>
      </c>
      <c r="K264">
        <f>_xlfn.NUMBERVALUE("-0.001892")</f>
        <v/>
      </c>
      <c r="L264">
        <f>_xlfn.NUMBERVALUE("-0.002412")</f>
        <v/>
      </c>
      <c r="M264">
        <f>_xlfn.NUMBERVALUE("-0.001583")</f>
        <v/>
      </c>
      <c r="N264">
        <f>_xlfn.NUMBERVALUE("0.000000")</f>
        <v/>
      </c>
      <c r="O264">
        <f>_xlfn.NUMBERVALUE("-0.005655")</f>
        <v/>
      </c>
      <c r="P264">
        <f>_xlfn.NUMBERVALUE("-0.004551")</f>
        <v/>
      </c>
      <c r="Q264">
        <f>_xlfn.NUMBERVALUE("-0.002075")</f>
        <v/>
      </c>
      <c r="R264">
        <f>_xlfn.NUMBERVALUE("-0.005488")</f>
        <v/>
      </c>
      <c r="S264">
        <f>_xlfn.NUMBERVALUE("-0.002404")</f>
        <v/>
      </c>
      <c r="T264">
        <f>_xlfn.NUMBERVALUE("-0.001310")</f>
        <v/>
      </c>
      <c r="U264">
        <f>_xlfn.NUMBERVALUE("-0.003677")</f>
        <v/>
      </c>
      <c r="V264">
        <f>_xlfn.NUMBERVALUE("-0.001085")</f>
        <v/>
      </c>
      <c r="W264">
        <f>_xlfn.NUMBERVALUE("-0.020743")</f>
        <v/>
      </c>
      <c r="X264">
        <f>_xlfn.NUMBERVALUE("3.070000")</f>
        <v/>
      </c>
      <c r="Y264">
        <f>_xlfn.NUMBERVALUE("27.020000")</f>
        <v/>
      </c>
    </row>
    <row r="265">
      <c r="A265" s="1" t="n">
        <v>42388</v>
      </c>
      <c r="B265">
        <f>_xlfn.NUMBERVALUE("0.000000")</f>
        <v/>
      </c>
      <c r="C265" s="2">
        <f>_xlfn.NUMBERVALUE("0.000617")</f>
        <v/>
      </c>
      <c r="D265">
        <f>_xlfn.NUMBERVALUE("0.001330")</f>
        <v/>
      </c>
      <c r="E265">
        <f>_xlfn.NUMBERVALUE("0.000969")</f>
        <v/>
      </c>
      <c r="F265">
        <f>_xlfn.NUMBERVALUE("0.004117")</f>
        <v/>
      </c>
      <c r="G265">
        <f>_xlfn.NUMBERVALUE("-0.001116")</f>
        <v/>
      </c>
      <c r="H265">
        <f>_xlfn.NUMBERVALUE("0.000481")</f>
        <v/>
      </c>
      <c r="I265">
        <f>_xlfn.NUMBERVALUE("0.000319")</f>
        <v/>
      </c>
      <c r="J265">
        <f>_xlfn.NUMBERVALUE("0.001691")</f>
        <v/>
      </c>
      <c r="K265">
        <f>_xlfn.NUMBERVALUE("0.008114")</f>
        <v/>
      </c>
      <c r="L265">
        <f>_xlfn.NUMBERVALUE("0.001003")</f>
        <v/>
      </c>
      <c r="M265">
        <f>_xlfn.NUMBERVALUE("0.000322")</f>
        <v/>
      </c>
      <c r="N265">
        <f>_xlfn.NUMBERVALUE("0.000000")</f>
        <v/>
      </c>
      <c r="O265">
        <f>_xlfn.NUMBERVALUE("0.003659")</f>
        <v/>
      </c>
      <c r="P265">
        <f>_xlfn.NUMBERVALUE("0.003940")</f>
        <v/>
      </c>
      <c r="Q265">
        <f>_xlfn.NUMBERVALUE("0.002380")</f>
        <v/>
      </c>
      <c r="R265">
        <f>_xlfn.NUMBERVALUE("0.003116")</f>
        <v/>
      </c>
      <c r="S265">
        <f>_xlfn.NUMBERVALUE("0.001377")</f>
        <v/>
      </c>
      <c r="T265">
        <f>_xlfn.NUMBERVALUE("-0.000688")</f>
        <v/>
      </c>
      <c r="U265">
        <f>_xlfn.NUMBERVALUE("0.003419")</f>
        <v/>
      </c>
      <c r="V265">
        <f>_xlfn.NUMBERVALUE("0.000487")</f>
        <v/>
      </c>
      <c r="W265">
        <f>_xlfn.NUMBERVALUE("0.002608")</f>
        <v/>
      </c>
      <c r="X265">
        <f>_xlfn.NUMBERVALUE("-0.970000")</f>
        <v/>
      </c>
      <c r="Y265">
        <f>_xlfn.NUMBERVALUE("26.050000")</f>
        <v/>
      </c>
    </row>
    <row r="266">
      <c r="A266" s="1" t="n">
        <v>42389</v>
      </c>
      <c r="B266">
        <f>_xlfn.NUMBERVALUE("0.000000")</f>
        <v/>
      </c>
      <c r="C266" s="2">
        <f>_xlfn.NUMBERVALUE("-0.000423")</f>
        <v/>
      </c>
      <c r="D266">
        <f>_xlfn.NUMBERVALUE("-0.000548")</f>
        <v/>
      </c>
      <c r="E266">
        <f>_xlfn.NUMBERVALUE("-0.000240")</f>
        <v/>
      </c>
      <c r="F266">
        <f>_xlfn.NUMBERVALUE("-0.001780")</f>
        <v/>
      </c>
      <c r="G266">
        <f>_xlfn.NUMBERVALUE("-0.002427")</f>
        <v/>
      </c>
      <c r="H266">
        <f>_xlfn.NUMBERVALUE("-0.000383")</f>
        <v/>
      </c>
      <c r="I266">
        <f>_xlfn.NUMBERVALUE("-0.000010")</f>
        <v/>
      </c>
      <c r="J266">
        <f>_xlfn.NUMBERVALUE("-0.000881")</f>
        <v/>
      </c>
      <c r="K266">
        <f>_xlfn.NUMBERVALUE("-0.002413")</f>
        <v/>
      </c>
      <c r="L266">
        <f>_xlfn.NUMBERVALUE("-0.000729")</f>
        <v/>
      </c>
      <c r="M266">
        <f>_xlfn.NUMBERVALUE("-0.002450")</f>
        <v/>
      </c>
      <c r="N266">
        <f>_xlfn.NUMBERVALUE("0.000000")</f>
        <v/>
      </c>
      <c r="O266">
        <f>_xlfn.NUMBERVALUE("-0.004466")</f>
        <v/>
      </c>
      <c r="P266">
        <f>_xlfn.NUMBERVALUE("-0.008629")</f>
        <v/>
      </c>
      <c r="Q266">
        <f>_xlfn.NUMBERVALUE("-0.001623")</f>
        <v/>
      </c>
      <c r="R266">
        <f>_xlfn.NUMBERVALUE("-0.001418")</f>
        <v/>
      </c>
      <c r="S266">
        <f>_xlfn.NUMBERVALUE("-0.002994")</f>
        <v/>
      </c>
      <c r="T266">
        <f>_xlfn.NUMBERVALUE("-0.007899")</f>
        <v/>
      </c>
      <c r="U266">
        <f>_xlfn.NUMBERVALUE("-0.001221")</f>
        <v/>
      </c>
      <c r="V266">
        <f>_xlfn.NUMBERVALUE("-0.000249")</f>
        <v/>
      </c>
      <c r="W266">
        <f>_xlfn.NUMBERVALUE("-0.013218")</f>
        <v/>
      </c>
      <c r="X266">
        <f>_xlfn.NUMBERVALUE("1.540000")</f>
        <v/>
      </c>
      <c r="Y266">
        <f>_xlfn.NUMBERVALUE("27.590000")</f>
        <v/>
      </c>
    </row>
    <row r="267">
      <c r="A267" s="1" t="n">
        <v>42390</v>
      </c>
      <c r="B267">
        <f>_xlfn.NUMBERVALUE("0.000000")</f>
        <v/>
      </c>
      <c r="C267" s="2">
        <f>_xlfn.NUMBERVALUE("-0.000093")</f>
        <v/>
      </c>
      <c r="D267">
        <f>_xlfn.NUMBERVALUE("0.000265")</f>
        <v/>
      </c>
      <c r="E267">
        <f>_xlfn.NUMBERVALUE("0.000206")</f>
        <v/>
      </c>
      <c r="F267">
        <f>_xlfn.NUMBERVALUE("0.000384")</f>
        <v/>
      </c>
      <c r="G267">
        <f>_xlfn.NUMBERVALUE("0.003724")</f>
        <v/>
      </c>
      <c r="H267">
        <f>_xlfn.NUMBERVALUE("0.000281")</f>
        <v/>
      </c>
      <c r="I267">
        <f>_xlfn.NUMBERVALUE("0.000013")</f>
        <v/>
      </c>
      <c r="J267">
        <f>_xlfn.NUMBERVALUE("0.001068")</f>
        <v/>
      </c>
      <c r="K267">
        <f>_xlfn.NUMBERVALUE("0.001696")</f>
        <v/>
      </c>
      <c r="L267">
        <f>_xlfn.NUMBERVALUE("0.000883")</f>
        <v/>
      </c>
      <c r="M267">
        <f>_xlfn.NUMBERVALUE("0.001005")</f>
        <v/>
      </c>
      <c r="N267">
        <f>_xlfn.NUMBERVALUE("0.000000")</f>
        <v/>
      </c>
      <c r="O267">
        <f>_xlfn.NUMBERVALUE("0.002214")</f>
        <v/>
      </c>
      <c r="P267">
        <f>_xlfn.NUMBERVALUE("0.006561")</f>
        <v/>
      </c>
      <c r="Q267">
        <f>_xlfn.NUMBERVALUE("0.000885")</f>
        <v/>
      </c>
      <c r="R267">
        <f>_xlfn.NUMBERVALUE("0.001510")</f>
        <v/>
      </c>
      <c r="S267">
        <f>_xlfn.NUMBERVALUE("0.001603")</f>
        <v/>
      </c>
      <c r="T267">
        <f>_xlfn.NUMBERVALUE("0.003090")</f>
        <v/>
      </c>
      <c r="U267">
        <f>_xlfn.NUMBERVALUE("0.000682")</f>
        <v/>
      </c>
      <c r="V267">
        <f>_xlfn.NUMBERVALUE("0.000207")</f>
        <v/>
      </c>
      <c r="W267">
        <f>_xlfn.NUMBERVALUE("0.006993")</f>
        <v/>
      </c>
      <c r="X267">
        <f>_xlfn.NUMBERVALUE("-0.900000")</f>
        <v/>
      </c>
      <c r="Y267">
        <f>_xlfn.NUMBERVALUE("26.690000")</f>
        <v/>
      </c>
    </row>
    <row r="268">
      <c r="A268" s="1" t="n">
        <v>42391</v>
      </c>
      <c r="B268">
        <f>_xlfn.NUMBERVALUE("0.000000")</f>
        <v/>
      </c>
      <c r="C268" s="2">
        <f>_xlfn.NUMBERVALUE("0.001403")</f>
        <v/>
      </c>
      <c r="D268">
        <f>_xlfn.NUMBERVALUE("0.000052")</f>
        <v/>
      </c>
      <c r="E268">
        <f>_xlfn.NUMBERVALUE("0.000315")</f>
        <v/>
      </c>
      <c r="F268">
        <f>_xlfn.NUMBERVALUE("0.000958")</f>
        <v/>
      </c>
      <c r="G268">
        <f>_xlfn.NUMBERVALUE("0.001438")</f>
        <v/>
      </c>
      <c r="H268">
        <f>_xlfn.NUMBERVALUE("0.000225")</f>
        <v/>
      </c>
      <c r="I268">
        <f>_xlfn.NUMBERVALUE("-0.000016")</f>
        <v/>
      </c>
      <c r="J268">
        <f>_xlfn.NUMBERVALUE("0.001384")</f>
        <v/>
      </c>
      <c r="K268">
        <f>_xlfn.NUMBERVALUE("0.002504")</f>
        <v/>
      </c>
      <c r="L268">
        <f>_xlfn.NUMBERVALUE("0.001027")</f>
        <v/>
      </c>
      <c r="M268">
        <f>_xlfn.NUMBERVALUE("0.000752")</f>
        <v/>
      </c>
      <c r="N268">
        <f>_xlfn.NUMBERVALUE("0.000000")</f>
        <v/>
      </c>
      <c r="O268">
        <f>_xlfn.NUMBERVALUE("0.001644")</f>
        <v/>
      </c>
      <c r="P268">
        <f>_xlfn.NUMBERVALUE("0.002165")</f>
        <v/>
      </c>
      <c r="Q268">
        <f>_xlfn.NUMBERVALUE("0.001228")</f>
        <v/>
      </c>
      <c r="R268">
        <f>_xlfn.NUMBERVALUE("0.000062")</f>
        <v/>
      </c>
      <c r="S268">
        <f>_xlfn.NUMBERVALUE("0.001525")</f>
        <v/>
      </c>
      <c r="T268">
        <f>_xlfn.NUMBERVALUE("0.000687")</f>
        <v/>
      </c>
      <c r="U268">
        <f>_xlfn.NUMBERVALUE("0.001929")</f>
        <v/>
      </c>
      <c r="V268">
        <f>_xlfn.NUMBERVALUE("0.000231")</f>
        <v/>
      </c>
      <c r="W268">
        <f>_xlfn.NUMBERVALUE("0.017309")</f>
        <v/>
      </c>
      <c r="X268">
        <f>_xlfn.NUMBERVALUE("-4.350000")</f>
        <v/>
      </c>
      <c r="Y268">
        <f>_xlfn.NUMBERVALUE("22.340000")</f>
        <v/>
      </c>
    </row>
    <row r="269">
      <c r="A269" s="1" t="n">
        <v>42394</v>
      </c>
      <c r="B269">
        <f>_xlfn.NUMBERVALUE("0.000000")</f>
        <v/>
      </c>
      <c r="C269" s="2">
        <f>_xlfn.NUMBERVALUE("-0.000925")</f>
        <v/>
      </c>
      <c r="D269">
        <f>_xlfn.NUMBERVALUE("0.000344")</f>
        <v/>
      </c>
      <c r="E269">
        <f>_xlfn.NUMBERVALUE("-0.000318")</f>
        <v/>
      </c>
      <c r="F269">
        <f>_xlfn.NUMBERVALUE("-0.000752")</f>
        <v/>
      </c>
      <c r="G269">
        <f>_xlfn.NUMBERVALUE("-0.002214")</f>
        <v/>
      </c>
      <c r="H269">
        <f>_xlfn.NUMBERVALUE("-0.000204")</f>
        <v/>
      </c>
      <c r="I269">
        <f>_xlfn.NUMBERVALUE("0.000183")</f>
        <v/>
      </c>
      <c r="J269">
        <f>_xlfn.NUMBERVALUE("0.001370")</f>
        <v/>
      </c>
      <c r="K269">
        <f>_xlfn.NUMBERVALUE("0.000098")</f>
        <v/>
      </c>
      <c r="L269">
        <f>_xlfn.NUMBERVALUE("-0.000113")</f>
        <v/>
      </c>
      <c r="M269">
        <f>_xlfn.NUMBERVALUE("-0.001639")</f>
        <v/>
      </c>
      <c r="N269">
        <f>_xlfn.NUMBERVALUE("0.000000")</f>
        <v/>
      </c>
      <c r="O269">
        <f>_xlfn.NUMBERVALUE("-0.007948")</f>
        <v/>
      </c>
      <c r="P269">
        <f>_xlfn.NUMBERVALUE("-0.001376")</f>
        <v/>
      </c>
      <c r="Q269">
        <f>_xlfn.NUMBERVALUE("-0.003288")</f>
        <v/>
      </c>
      <c r="R269">
        <f>_xlfn.NUMBERVALUE("-0.001683")</f>
        <v/>
      </c>
      <c r="S269">
        <f>_xlfn.NUMBERVALUE("-0.001105")</f>
        <v/>
      </c>
      <c r="T269">
        <f>_xlfn.NUMBERVALUE("0.000881")</f>
        <v/>
      </c>
      <c r="U269">
        <f>_xlfn.NUMBERVALUE("0.000420")</f>
        <v/>
      </c>
      <c r="V269">
        <f>_xlfn.NUMBERVALUE("-0.000049")</f>
        <v/>
      </c>
      <c r="W269">
        <f>_xlfn.NUMBERVALUE("-0.015202")</f>
        <v/>
      </c>
      <c r="X269">
        <f>_xlfn.NUMBERVALUE("1.810000")</f>
        <v/>
      </c>
      <c r="Y269">
        <f>_xlfn.NUMBERVALUE("24.150000")</f>
        <v/>
      </c>
    </row>
    <row r="270">
      <c r="A270" s="1" t="n">
        <v>42395</v>
      </c>
      <c r="B270">
        <f>_xlfn.NUMBERVALUE("0.000000")</f>
        <v/>
      </c>
      <c r="C270" s="2">
        <f>_xlfn.NUMBERVALUE("0.000007")</f>
        <v/>
      </c>
      <c r="D270">
        <f>_xlfn.NUMBERVALUE("0.000045")</f>
        <v/>
      </c>
      <c r="E270">
        <f>_xlfn.NUMBERVALUE("-0.000753")</f>
        <v/>
      </c>
      <c r="F270">
        <f>_xlfn.NUMBERVALUE("-0.000525")</f>
        <v/>
      </c>
      <c r="G270">
        <f>_xlfn.NUMBERVALUE("0.001503")</f>
        <v/>
      </c>
      <c r="H270">
        <f>_xlfn.NUMBERVALUE("0.000163")</f>
        <v/>
      </c>
      <c r="I270">
        <f>_xlfn.NUMBERVALUE("-0.000111")</f>
        <v/>
      </c>
      <c r="J270">
        <f>_xlfn.NUMBERVALUE("-0.000394")</f>
        <v/>
      </c>
      <c r="K270">
        <f>_xlfn.NUMBERVALUE("-0.001850")</f>
        <v/>
      </c>
      <c r="L270">
        <f>_xlfn.NUMBERVALUE("0.000015")</f>
        <v/>
      </c>
      <c r="M270">
        <f>_xlfn.NUMBERVALUE("0.001580")</f>
        <v/>
      </c>
      <c r="N270">
        <f>_xlfn.NUMBERVALUE("0.000000")</f>
        <v/>
      </c>
      <c r="O270">
        <f>_xlfn.NUMBERVALUE("0.000461")</f>
        <v/>
      </c>
      <c r="P270">
        <f>_xlfn.NUMBERVALUE("0.001448")</f>
        <v/>
      </c>
      <c r="Q270">
        <f>_xlfn.NUMBERVALUE("0.003022")</f>
        <v/>
      </c>
      <c r="R270">
        <f>_xlfn.NUMBERVALUE("0.001399")</f>
        <v/>
      </c>
      <c r="S270">
        <f>_xlfn.NUMBERVALUE("0.001630")</f>
        <v/>
      </c>
      <c r="T270">
        <f>_xlfn.NUMBERVALUE("-0.000500")</f>
        <v/>
      </c>
      <c r="U270">
        <f>_xlfn.NUMBERVALUE("-0.001650")</f>
        <v/>
      </c>
      <c r="V270">
        <f>_xlfn.NUMBERVALUE("0.000004")</f>
        <v/>
      </c>
      <c r="W270">
        <f>_xlfn.NUMBERVALUE("0.012558")</f>
        <v/>
      </c>
      <c r="X270">
        <f>_xlfn.NUMBERVALUE("-1.650000")</f>
        <v/>
      </c>
      <c r="Y270">
        <f>_xlfn.NUMBERVALUE("22.500000")</f>
        <v/>
      </c>
    </row>
    <row r="271">
      <c r="A271" s="1" t="n">
        <v>42396</v>
      </c>
      <c r="B271">
        <f>_xlfn.NUMBERVALUE("0.000000")</f>
        <v/>
      </c>
      <c r="C271" s="2">
        <f>_xlfn.NUMBERVALUE("-0.000097")</f>
        <v/>
      </c>
      <c r="D271">
        <f>_xlfn.NUMBERVALUE("0.000284")</f>
        <v/>
      </c>
      <c r="E271">
        <f>_xlfn.NUMBERVALUE("0.000597")</f>
        <v/>
      </c>
      <c r="F271">
        <f>_xlfn.NUMBERVALUE("0.000246")</f>
        <v/>
      </c>
      <c r="G271">
        <f>_xlfn.NUMBERVALUE("-0.000048")</f>
        <v/>
      </c>
      <c r="H271">
        <f>_xlfn.NUMBERVALUE("-0.000053")</f>
        <v/>
      </c>
      <c r="I271">
        <f>_xlfn.NUMBERVALUE("0.000093")</f>
        <v/>
      </c>
      <c r="J271">
        <f>_xlfn.NUMBERVALUE("0.000633")</f>
        <v/>
      </c>
      <c r="K271">
        <f>_xlfn.NUMBERVALUE("0.002062")</f>
        <v/>
      </c>
      <c r="L271">
        <f>_xlfn.NUMBERVALUE("0.001160")</f>
        <v/>
      </c>
      <c r="M271">
        <f>_xlfn.NUMBERVALUE("-0.001399")</f>
        <v/>
      </c>
      <c r="N271">
        <f>_xlfn.NUMBERVALUE("0.000000")</f>
        <v/>
      </c>
      <c r="O271">
        <f>_xlfn.NUMBERVALUE("0.001601")</f>
        <v/>
      </c>
      <c r="P271">
        <f>_xlfn.NUMBERVALUE("-0.000244")</f>
        <v/>
      </c>
      <c r="Q271">
        <f>_xlfn.NUMBERVALUE("-0.004652")</f>
        <v/>
      </c>
      <c r="R271">
        <f>_xlfn.NUMBERVALUE("-0.001386")</f>
        <v/>
      </c>
      <c r="S271">
        <f>_xlfn.NUMBERVALUE("0.000544")</f>
        <v/>
      </c>
      <c r="T271">
        <f>_xlfn.NUMBERVALUE("0.002018")</f>
        <v/>
      </c>
      <c r="U271">
        <f>_xlfn.NUMBERVALUE("0.001150")</f>
        <v/>
      </c>
      <c r="V271">
        <f>_xlfn.NUMBERVALUE("-0.000035")</f>
        <v/>
      </c>
      <c r="W271">
        <f>_xlfn.NUMBERVALUE("-0.010058")</f>
        <v/>
      </c>
      <c r="X271">
        <f>_xlfn.NUMBERVALUE("0.610000")</f>
        <v/>
      </c>
      <c r="Y271">
        <f>_xlfn.NUMBERVALUE("23.110000")</f>
        <v/>
      </c>
    </row>
    <row r="272">
      <c r="A272" s="1" t="n">
        <v>42397</v>
      </c>
      <c r="B272">
        <f>_xlfn.NUMBERVALUE("0.000000")</f>
        <v/>
      </c>
      <c r="C272" s="2">
        <f>_xlfn.NUMBERVALUE("-0.000072")</f>
        <v/>
      </c>
      <c r="D272">
        <f>_xlfn.NUMBERVALUE("-0.000233")</f>
        <v/>
      </c>
      <c r="E272">
        <f>_xlfn.NUMBERVALUE("-0.000421")</f>
        <v/>
      </c>
      <c r="F272">
        <f>_xlfn.NUMBERVALUE("0.002576")</f>
        <v/>
      </c>
      <c r="G272">
        <f>_xlfn.NUMBERVALUE("0.001579")</f>
        <v/>
      </c>
      <c r="H272">
        <f>_xlfn.NUMBERVALUE("-0.000030")</f>
        <v/>
      </c>
      <c r="I272">
        <f>_xlfn.NUMBERVALUE("-0.000050")</f>
        <v/>
      </c>
      <c r="J272">
        <f>_xlfn.NUMBERVALUE("0.000357")</f>
        <v/>
      </c>
      <c r="K272">
        <f>_xlfn.NUMBERVALUE("0.000049")</f>
        <v/>
      </c>
      <c r="L272">
        <f>_xlfn.NUMBERVALUE("-0.000904")</f>
        <v/>
      </c>
      <c r="M272">
        <f>_xlfn.NUMBERVALUE("0.001037")</f>
        <v/>
      </c>
      <c r="N272">
        <f>_xlfn.NUMBERVALUE("0.000000")</f>
        <v/>
      </c>
      <c r="O272">
        <f>_xlfn.NUMBERVALUE("-0.002595")</f>
        <v/>
      </c>
      <c r="P272">
        <f>_xlfn.NUMBERVALUE("0.000301")</f>
        <v/>
      </c>
      <c r="Q272">
        <f>_xlfn.NUMBERVALUE("0.004825")</f>
        <v/>
      </c>
      <c r="R272">
        <f>_xlfn.NUMBERVALUE("-0.000495")</f>
        <v/>
      </c>
      <c r="S272">
        <f>_xlfn.NUMBERVALUE("-0.000408")</f>
        <v/>
      </c>
      <c r="T272">
        <f>_xlfn.NUMBERVALUE("-0.004666")</f>
        <v/>
      </c>
      <c r="U272">
        <f>_xlfn.NUMBERVALUE("0.000125")</f>
        <v/>
      </c>
      <c r="V272">
        <f>_xlfn.NUMBERVALUE("-0.000102")</f>
        <v/>
      </c>
      <c r="W272">
        <f>_xlfn.NUMBERVALUE("0.007022")</f>
        <v/>
      </c>
      <c r="X272">
        <f>_xlfn.NUMBERVALUE("-0.690000")</f>
        <v/>
      </c>
      <c r="Y272">
        <f>_xlfn.NUMBERVALUE("22.420000")</f>
        <v/>
      </c>
    </row>
    <row r="273">
      <c r="A273" s="1" t="n">
        <v>42398</v>
      </c>
      <c r="B273">
        <f>_xlfn.NUMBERVALUE("0.000000")</f>
        <v/>
      </c>
      <c r="C273" s="2">
        <f>_xlfn.NUMBERVALUE("0.000079")</f>
        <v/>
      </c>
      <c r="D273">
        <f>_xlfn.NUMBERVALUE("0.000200")</f>
        <v/>
      </c>
      <c r="E273">
        <f>_xlfn.NUMBERVALUE("0.000807")</f>
        <v/>
      </c>
      <c r="F273">
        <f>_xlfn.NUMBERVALUE("-0.002389")</f>
        <v/>
      </c>
      <c r="G273">
        <f>_xlfn.NUMBERVALUE("-0.000106")</f>
        <v/>
      </c>
      <c r="H273">
        <f>_xlfn.NUMBERVALUE("0.000212")</f>
        <v/>
      </c>
      <c r="I273">
        <f>_xlfn.NUMBERVALUE("-0.000015")</f>
        <v/>
      </c>
      <c r="J273">
        <f>_xlfn.NUMBERVALUE("-0.000599")</f>
        <v/>
      </c>
      <c r="K273">
        <f>_xlfn.NUMBERVALUE("0.000978")</f>
        <v/>
      </c>
      <c r="L273">
        <f>_xlfn.NUMBERVALUE("0.000841")</f>
        <v/>
      </c>
      <c r="M273">
        <f>_xlfn.NUMBERVALUE("0.000372")</f>
        <v/>
      </c>
      <c r="N273">
        <f>_xlfn.NUMBERVALUE("0.000000")</f>
        <v/>
      </c>
      <c r="O273">
        <f>_xlfn.NUMBERVALUE("0.000437")</f>
        <v/>
      </c>
      <c r="P273">
        <f>_xlfn.NUMBERVALUE("-0.000452")</f>
        <v/>
      </c>
      <c r="Q273">
        <f>_xlfn.NUMBERVALUE("-0.000216")</f>
        <v/>
      </c>
      <c r="R273">
        <f>_xlfn.NUMBERVALUE("-0.000779")</f>
        <v/>
      </c>
      <c r="S273">
        <f>_xlfn.NUMBERVALUE("-0.003818")</f>
        <v/>
      </c>
      <c r="T273">
        <f>_xlfn.NUMBERVALUE("-0.000932")</f>
        <v/>
      </c>
      <c r="U273">
        <f>_xlfn.NUMBERVALUE("0.001910")</f>
        <v/>
      </c>
      <c r="V273">
        <f>_xlfn.NUMBERVALUE("0.000096")</f>
        <v/>
      </c>
      <c r="W273">
        <f>_xlfn.NUMBERVALUE("0.022029")</f>
        <v/>
      </c>
      <c r="X273">
        <f>_xlfn.NUMBERVALUE("-2.220000")</f>
        <v/>
      </c>
      <c r="Y273">
        <f>_xlfn.NUMBERVALUE("20.200000")</f>
        <v/>
      </c>
    </row>
    <row r="274">
      <c r="A274" s="1" t="n">
        <v>42401</v>
      </c>
      <c r="B274">
        <f>_xlfn.NUMBERVALUE("0.000000")</f>
        <v/>
      </c>
      <c r="C274" s="2">
        <f>_xlfn.NUMBERVALUE("0.000045")</f>
        <v/>
      </c>
      <c r="D274">
        <f>_xlfn.NUMBERVALUE("0.000297")</f>
        <v/>
      </c>
      <c r="E274">
        <f>_xlfn.NUMBERVALUE("0.000128")</f>
        <v/>
      </c>
      <c r="F274">
        <f>_xlfn.NUMBERVALUE("0.000016")</f>
        <v/>
      </c>
      <c r="G274">
        <f>_xlfn.NUMBERVALUE("0.002620")</f>
        <v/>
      </c>
      <c r="H274">
        <f>_xlfn.NUMBERVALUE("-0.000661")</f>
        <v/>
      </c>
      <c r="I274">
        <f>_xlfn.NUMBERVALUE("0.000067")</f>
        <v/>
      </c>
      <c r="J274">
        <f>_xlfn.NUMBERVALUE("0.000760")</f>
        <v/>
      </c>
      <c r="K274">
        <f>_xlfn.NUMBERVALUE("-0.000179")</f>
        <v/>
      </c>
      <c r="L274">
        <f>_xlfn.NUMBERVALUE("-0.001604")</f>
        <v/>
      </c>
      <c r="M274">
        <f>_xlfn.NUMBERVALUE("0.001931")</f>
        <v/>
      </c>
      <c r="N274">
        <f>_xlfn.NUMBERVALUE("0.000000")</f>
        <v/>
      </c>
      <c r="O274">
        <f>_xlfn.NUMBERVALUE("0.004069")</f>
        <v/>
      </c>
      <c r="P274">
        <f>_xlfn.NUMBERVALUE("-0.001214")</f>
        <v/>
      </c>
      <c r="Q274">
        <f>_xlfn.NUMBERVALUE("0.001265")</f>
        <v/>
      </c>
      <c r="R274">
        <f>_xlfn.NUMBERVALUE("0.002866")</f>
        <v/>
      </c>
      <c r="S274">
        <f>_xlfn.NUMBERVALUE("0.000183")</f>
        <v/>
      </c>
      <c r="T274">
        <f>_xlfn.NUMBERVALUE("-0.000995")</f>
        <v/>
      </c>
      <c r="U274">
        <f>_xlfn.NUMBERVALUE("0.000940")</f>
        <v/>
      </c>
      <c r="V274">
        <f>_xlfn.NUMBERVALUE("0.000116")</f>
        <v/>
      </c>
      <c r="W274">
        <f>_xlfn.NUMBERVALUE("0.002362")</f>
        <v/>
      </c>
      <c r="X274">
        <f>_xlfn.NUMBERVALUE("-0.220000")</f>
        <v/>
      </c>
      <c r="Y274">
        <f>_xlfn.NUMBERVALUE("19.980000")</f>
        <v/>
      </c>
    </row>
    <row r="275">
      <c r="A275" s="1" t="n">
        <v>42402</v>
      </c>
      <c r="B275">
        <f>_xlfn.NUMBERVALUE("0.000000")</f>
        <v/>
      </c>
      <c r="C275" s="2">
        <f>_xlfn.NUMBERVALUE("0.000045")</f>
        <v/>
      </c>
      <c r="D275">
        <f>_xlfn.NUMBERVALUE("0.000002")</f>
        <v/>
      </c>
      <c r="E275">
        <f>_xlfn.NUMBERVALUE("0.000002")</f>
        <v/>
      </c>
      <c r="F275">
        <f>_xlfn.NUMBERVALUE("-0.000035")</f>
        <v/>
      </c>
      <c r="G275">
        <f>_xlfn.NUMBERVALUE("-0.000270")</f>
        <v/>
      </c>
      <c r="H275">
        <f>_xlfn.NUMBERVALUE("0.000005")</f>
        <v/>
      </c>
      <c r="I275">
        <f>_xlfn.NUMBERVALUE("0.000017")</f>
        <v/>
      </c>
      <c r="J275">
        <f>_xlfn.NUMBERVALUE("0.000432")</f>
        <v/>
      </c>
      <c r="K275">
        <f>_xlfn.NUMBERVALUE("-0.000271")</f>
        <v/>
      </c>
      <c r="L275">
        <f>_xlfn.NUMBERVALUE("-0.000025")</f>
        <v/>
      </c>
      <c r="M275">
        <f>_xlfn.NUMBERVALUE("-0.000401")</f>
        <v/>
      </c>
      <c r="N275">
        <f>_xlfn.NUMBERVALUE("0.000000")</f>
        <v/>
      </c>
      <c r="O275">
        <f>_xlfn.NUMBERVALUE("-0.009764")</f>
        <v/>
      </c>
      <c r="P275">
        <f>_xlfn.NUMBERVALUE("0.001947")</f>
        <v/>
      </c>
      <c r="Q275">
        <f>_xlfn.NUMBERVALUE("-0.002231")</f>
        <v/>
      </c>
      <c r="R275">
        <f>_xlfn.NUMBERVALUE("-0.005233")</f>
        <v/>
      </c>
      <c r="S275">
        <f>_xlfn.NUMBERVALUE("-0.002363")</f>
        <v/>
      </c>
      <c r="T275">
        <f>_xlfn.NUMBERVALUE("0.000066")</f>
        <v/>
      </c>
      <c r="U275">
        <f>_xlfn.NUMBERVALUE("-0.001561")</f>
        <v/>
      </c>
      <c r="V275">
        <f>_xlfn.NUMBERVALUE("-0.000003")</f>
        <v/>
      </c>
      <c r="W275">
        <f>_xlfn.NUMBERVALUE("-0.009687")</f>
        <v/>
      </c>
      <c r="X275">
        <f>_xlfn.NUMBERVALUE("2.000000")</f>
        <v/>
      </c>
      <c r="Y275">
        <f>_xlfn.NUMBERVALUE("21.980000")</f>
        <v/>
      </c>
    </row>
    <row r="276">
      <c r="A276" s="1" t="n">
        <v>42403</v>
      </c>
      <c r="B276">
        <f>_xlfn.NUMBERVALUE("0.000000")</f>
        <v/>
      </c>
      <c r="C276" s="2">
        <f>_xlfn.NUMBERVALUE("-0.000840")</f>
        <v/>
      </c>
      <c r="D276">
        <f>_xlfn.NUMBERVALUE("-0.006001")</f>
        <v/>
      </c>
      <c r="E276">
        <f>_xlfn.NUMBERVALUE("-0.001020")</f>
        <v/>
      </c>
      <c r="F276">
        <f>_xlfn.NUMBERVALUE("-0.002927")</f>
        <v/>
      </c>
      <c r="G276">
        <f>_xlfn.NUMBERVALUE("0.000823")</f>
        <v/>
      </c>
      <c r="H276">
        <f>_xlfn.NUMBERVALUE("-0.000305")</f>
        <v/>
      </c>
      <c r="I276">
        <f>_xlfn.NUMBERVALUE("0.001448")</f>
        <v/>
      </c>
      <c r="J276">
        <f>_xlfn.NUMBERVALUE("0.000323")</f>
        <v/>
      </c>
      <c r="K276">
        <f>_xlfn.NUMBERVALUE("-0.006158")</f>
        <v/>
      </c>
      <c r="L276">
        <f>_xlfn.NUMBERVALUE("-0.001373")</f>
        <v/>
      </c>
      <c r="M276">
        <f>_xlfn.NUMBERVALUE("-0.001836")</f>
        <v/>
      </c>
      <c r="N276">
        <f>_xlfn.NUMBERVALUE("0.000000")</f>
        <v/>
      </c>
      <c r="O276">
        <f>_xlfn.NUMBERVALUE("-0.001751")</f>
        <v/>
      </c>
      <c r="P276">
        <f>_xlfn.NUMBERVALUE("-0.000215")</f>
        <v/>
      </c>
      <c r="Q276">
        <f>_xlfn.NUMBERVALUE("0.000693")</f>
        <v/>
      </c>
      <c r="R276">
        <f>_xlfn.NUMBERVALUE("0.001178")</f>
        <v/>
      </c>
      <c r="S276">
        <f>_xlfn.NUMBERVALUE("0.001478")</f>
        <v/>
      </c>
      <c r="T276">
        <f>_xlfn.NUMBERVALUE("-0.000035")</f>
        <v/>
      </c>
      <c r="U276">
        <f>_xlfn.NUMBERVALUE("-0.000098")</f>
        <v/>
      </c>
      <c r="V276">
        <f>_xlfn.NUMBERVALUE("0.000516")</f>
        <v/>
      </c>
      <c r="W276">
        <f>_xlfn.NUMBERVALUE("0.005101")</f>
        <v/>
      </c>
      <c r="X276">
        <f>_xlfn.NUMBERVALUE("-0.330000")</f>
        <v/>
      </c>
      <c r="Y276">
        <f>_xlfn.NUMBERVALUE("21.650000")</f>
        <v/>
      </c>
    </row>
    <row r="277">
      <c r="A277" s="1" t="n">
        <v>42404</v>
      </c>
      <c r="B277">
        <f>_xlfn.NUMBERVALUE("0.000000")</f>
        <v/>
      </c>
      <c r="C277" s="2">
        <f>_xlfn.NUMBERVALUE("-0.000360")</f>
        <v/>
      </c>
      <c r="D277">
        <f>_xlfn.NUMBERVALUE("-0.000837")</f>
        <v/>
      </c>
      <c r="E277">
        <f>_xlfn.NUMBERVALUE("0.000702")</f>
        <v/>
      </c>
      <c r="F277">
        <f>_xlfn.NUMBERVALUE("-0.000129")</f>
        <v/>
      </c>
      <c r="G277">
        <f>_xlfn.NUMBERVALUE("-0.000610")</f>
        <v/>
      </c>
      <c r="H277">
        <f>_xlfn.NUMBERVALUE("0.000347")</f>
        <v/>
      </c>
      <c r="I277">
        <f>_xlfn.NUMBERVALUE("-0.000140")</f>
        <v/>
      </c>
      <c r="J277">
        <f>_xlfn.NUMBERVALUE("0.000032")</f>
        <v/>
      </c>
      <c r="K277">
        <f>_xlfn.NUMBERVALUE("0.003261")</f>
        <v/>
      </c>
      <c r="L277">
        <f>_xlfn.NUMBERVALUE("0.000782")</f>
        <v/>
      </c>
      <c r="M277">
        <f>_xlfn.NUMBERVALUE("0.001171")</f>
        <v/>
      </c>
      <c r="N277">
        <f>_xlfn.NUMBERVALUE("0.000000")</f>
        <v/>
      </c>
      <c r="O277">
        <f>_xlfn.NUMBERVALUE("0.004716")</f>
        <v/>
      </c>
      <c r="P277">
        <f>_xlfn.NUMBERVALUE("-0.000149")</f>
        <v/>
      </c>
      <c r="Q277">
        <f>_xlfn.NUMBERVALUE("0.000551")</f>
        <v/>
      </c>
      <c r="R277">
        <f>_xlfn.NUMBERVALUE("0.002470")</f>
        <v/>
      </c>
      <c r="S277">
        <f>_xlfn.NUMBERVALUE("0.002969")</f>
        <v/>
      </c>
      <c r="T277">
        <f>_xlfn.NUMBERVALUE("-0.000007")</f>
        <v/>
      </c>
      <c r="U277">
        <f>_xlfn.NUMBERVALUE("0.000376")</f>
        <v/>
      </c>
      <c r="V277">
        <f>_xlfn.NUMBERVALUE("0.000269")</f>
        <v/>
      </c>
      <c r="W277">
        <f>_xlfn.NUMBERVALUE("0.001104")</f>
        <v/>
      </c>
      <c r="X277">
        <f>_xlfn.NUMBERVALUE("0.190000")</f>
        <v/>
      </c>
      <c r="Y277">
        <f>_xlfn.NUMBERVALUE("21.840000")</f>
        <v/>
      </c>
    </row>
    <row r="278">
      <c r="A278" s="1" t="n">
        <v>42405</v>
      </c>
      <c r="B278">
        <f>_xlfn.NUMBERVALUE("0.000000")</f>
        <v/>
      </c>
      <c r="C278" s="2">
        <f>_xlfn.NUMBERVALUE("-0.001909")</f>
        <v/>
      </c>
      <c r="D278">
        <f>_xlfn.NUMBERVALUE("0.000038")</f>
        <v/>
      </c>
      <c r="E278">
        <f>_xlfn.NUMBERVALUE("-0.001059")</f>
        <v/>
      </c>
      <c r="F278">
        <f>_xlfn.NUMBERVALUE("-0.004602")</f>
        <v/>
      </c>
      <c r="G278">
        <f>_xlfn.NUMBERVALUE("-0.000439")</f>
        <v/>
      </c>
      <c r="H278">
        <f>_xlfn.NUMBERVALUE("0.001203")</f>
        <v/>
      </c>
      <c r="I278">
        <f>_xlfn.NUMBERVALUE("-0.004683")</f>
        <v/>
      </c>
      <c r="J278">
        <f>_xlfn.NUMBERVALUE("0.000179")</f>
        <v/>
      </c>
      <c r="K278">
        <f>_xlfn.NUMBERVALUE("-0.004929")</f>
        <v/>
      </c>
      <c r="L278">
        <f>_xlfn.NUMBERVALUE("0.000447")</f>
        <v/>
      </c>
      <c r="M278">
        <f>_xlfn.NUMBERVALUE("0.000725")</f>
        <v/>
      </c>
      <c r="N278">
        <f>_xlfn.NUMBERVALUE("0.000000")</f>
        <v/>
      </c>
      <c r="O278">
        <f>_xlfn.NUMBERVALUE("-0.004295")</f>
        <v/>
      </c>
      <c r="P278">
        <f>_xlfn.NUMBERVALUE("0.000363")</f>
        <v/>
      </c>
      <c r="Q278">
        <f>_xlfn.NUMBERVALUE("-0.000519")</f>
        <v/>
      </c>
      <c r="R278">
        <f>_xlfn.NUMBERVALUE("-0.001370")</f>
        <v/>
      </c>
      <c r="S278">
        <f>_xlfn.NUMBERVALUE("0.000765")</f>
        <v/>
      </c>
      <c r="T278">
        <f>_xlfn.NUMBERVALUE("0.000003")</f>
        <v/>
      </c>
      <c r="U278">
        <f>_xlfn.NUMBERVALUE("-0.000020")</f>
        <v/>
      </c>
      <c r="V278">
        <f>_xlfn.NUMBERVALUE("-0.003011")</f>
        <v/>
      </c>
      <c r="W278">
        <f>_xlfn.NUMBERVALUE("-0.020021")</f>
        <v/>
      </c>
      <c r="X278">
        <f>_xlfn.NUMBERVALUE("1.540000")</f>
        <v/>
      </c>
      <c r="Y278">
        <f>_xlfn.NUMBERVALUE("23.380000")</f>
        <v/>
      </c>
    </row>
    <row r="279">
      <c r="A279" s="1" t="n">
        <v>42408</v>
      </c>
      <c r="B279">
        <f>_xlfn.NUMBERVALUE("0.000000")</f>
        <v/>
      </c>
      <c r="C279" s="2">
        <f>_xlfn.NUMBERVALUE("-0.000953")</f>
        <v/>
      </c>
      <c r="D279">
        <f>_xlfn.NUMBERVALUE("-0.001854")</f>
        <v/>
      </c>
      <c r="E279">
        <f>_xlfn.NUMBERVALUE("-0.002330")</f>
        <v/>
      </c>
      <c r="F279">
        <f>_xlfn.NUMBERVALUE("-0.001094")</f>
        <v/>
      </c>
      <c r="G279">
        <f>_xlfn.NUMBERVALUE("-0.001370")</f>
        <v/>
      </c>
      <c r="H279">
        <f>_xlfn.NUMBERVALUE("-0.002616")</f>
        <v/>
      </c>
      <c r="I279">
        <f>_xlfn.NUMBERVALUE("-0.000613")</f>
        <v/>
      </c>
      <c r="J279">
        <f>_xlfn.NUMBERVALUE("-0.001661")</f>
        <v/>
      </c>
      <c r="K279">
        <f>_xlfn.NUMBERVALUE("-0.001504")</f>
        <v/>
      </c>
      <c r="L279">
        <f>_xlfn.NUMBERVALUE("-0.005221")</f>
        <v/>
      </c>
      <c r="M279">
        <f>_xlfn.NUMBERVALUE("-0.002883")</f>
        <v/>
      </c>
      <c r="N279">
        <f>_xlfn.NUMBERVALUE("0.000000")</f>
        <v/>
      </c>
      <c r="O279">
        <f>_xlfn.NUMBERVALUE("-0.001841")</f>
        <v/>
      </c>
      <c r="P279">
        <f>_xlfn.NUMBERVALUE("-0.007639")</f>
        <v/>
      </c>
      <c r="Q279">
        <f>_xlfn.NUMBERVALUE("-0.003143")</f>
        <v/>
      </c>
      <c r="R279">
        <f>_xlfn.NUMBERVALUE("-0.002602")</f>
        <v/>
      </c>
      <c r="S279">
        <f>_xlfn.NUMBERVALUE("-0.000933")</f>
        <v/>
      </c>
      <c r="T279">
        <f>_xlfn.NUMBERVALUE("-0.004859")</f>
        <v/>
      </c>
      <c r="U279">
        <f>_xlfn.NUMBERVALUE("-0.001979")</f>
        <v/>
      </c>
      <c r="V279">
        <f>_xlfn.NUMBERVALUE("-0.001014")</f>
        <v/>
      </c>
      <c r="W279">
        <f>_xlfn.NUMBERVALUE("-0.011679")</f>
        <v/>
      </c>
      <c r="X279">
        <f>_xlfn.NUMBERVALUE("2.620000")</f>
        <v/>
      </c>
      <c r="Y279">
        <f>_xlfn.NUMBERVALUE("26.000000")</f>
        <v/>
      </c>
    </row>
    <row r="280">
      <c r="A280" s="1" t="n">
        <v>42409</v>
      </c>
      <c r="B280">
        <f>_xlfn.NUMBERVALUE("0.000000")</f>
        <v/>
      </c>
      <c r="C280" s="2">
        <f>_xlfn.NUMBERVALUE("-0.000467")</f>
        <v/>
      </c>
      <c r="D280">
        <f>_xlfn.NUMBERVALUE("-0.001253")</f>
        <v/>
      </c>
      <c r="E280">
        <f>_xlfn.NUMBERVALUE("-0.000709")</f>
        <v/>
      </c>
      <c r="F280">
        <f>_xlfn.NUMBERVALUE("-0.001054")</f>
        <v/>
      </c>
      <c r="G280">
        <f>_xlfn.NUMBERVALUE("0.002074")</f>
        <v/>
      </c>
      <c r="H280">
        <f>_xlfn.NUMBERVALUE("-0.000451")</f>
        <v/>
      </c>
      <c r="I280">
        <f>_xlfn.NUMBERVALUE("0.000197")</f>
        <v/>
      </c>
      <c r="J280">
        <f>_xlfn.NUMBERVALUE("-0.000309")</f>
        <v/>
      </c>
      <c r="K280">
        <f>_xlfn.NUMBERVALUE("-0.000571")</f>
        <v/>
      </c>
      <c r="L280">
        <f>_xlfn.NUMBERVALUE("0.000672")</f>
        <v/>
      </c>
      <c r="M280">
        <f>_xlfn.NUMBERVALUE("-0.001712")</f>
        <v/>
      </c>
      <c r="N280">
        <f>_xlfn.NUMBERVALUE("0.000000")</f>
        <v/>
      </c>
      <c r="O280">
        <f>_xlfn.NUMBERVALUE("-0.001486")</f>
        <v/>
      </c>
      <c r="P280">
        <f>_xlfn.NUMBERVALUE("-0.000887")</f>
        <v/>
      </c>
      <c r="Q280">
        <f>_xlfn.NUMBERVALUE("-0.000515")</f>
        <v/>
      </c>
      <c r="R280">
        <f>_xlfn.NUMBERVALUE("-0.000789")</f>
        <v/>
      </c>
      <c r="S280">
        <f>_xlfn.NUMBERVALUE("-0.001040")</f>
        <v/>
      </c>
      <c r="T280">
        <f>_xlfn.NUMBERVALUE("0.003005")</f>
        <v/>
      </c>
      <c r="U280">
        <f>_xlfn.NUMBERVALUE("-0.000742")</f>
        <v/>
      </c>
      <c r="V280">
        <f>_xlfn.NUMBERVALUE("-0.000213")</f>
        <v/>
      </c>
      <c r="W280">
        <f>_xlfn.NUMBERVALUE("0.000378")</f>
        <v/>
      </c>
      <c r="X280">
        <f>_xlfn.NUMBERVALUE("0.540000")</f>
        <v/>
      </c>
      <c r="Y280">
        <f>_xlfn.NUMBERVALUE("26.540000")</f>
        <v/>
      </c>
    </row>
    <row r="281">
      <c r="A281" s="1" t="n">
        <v>42410</v>
      </c>
      <c r="B281">
        <f>_xlfn.NUMBERVALUE("0.000000")</f>
        <v/>
      </c>
      <c r="C281" s="2">
        <f>_xlfn.NUMBERVALUE("0.001906")</f>
        <v/>
      </c>
      <c r="D281">
        <f>_xlfn.NUMBERVALUE("0.004096")</f>
        <v/>
      </c>
      <c r="E281">
        <f>_xlfn.NUMBERVALUE("0.002333")</f>
        <v/>
      </c>
      <c r="F281">
        <f>_xlfn.NUMBERVALUE("0.000126")</f>
        <v/>
      </c>
      <c r="G281">
        <f>_xlfn.NUMBERVALUE("0.000194")</f>
        <v/>
      </c>
      <c r="H281">
        <f>_xlfn.NUMBERVALUE("0.001534")</f>
        <v/>
      </c>
      <c r="I281">
        <f>_xlfn.NUMBERVALUE("0.001335")</f>
        <v/>
      </c>
      <c r="J281">
        <f>_xlfn.NUMBERVALUE("0.001433")</f>
        <v/>
      </c>
      <c r="K281">
        <f>_xlfn.NUMBERVALUE("0.000178")</f>
        <v/>
      </c>
      <c r="L281">
        <f>_xlfn.NUMBERVALUE("0.001189")</f>
        <v/>
      </c>
      <c r="M281">
        <f>_xlfn.NUMBERVALUE("0.001784")</f>
        <v/>
      </c>
      <c r="N281">
        <f>_xlfn.NUMBERVALUE("0.000000")</f>
        <v/>
      </c>
      <c r="O281">
        <f>_xlfn.NUMBERVALUE("0.001130")</f>
        <v/>
      </c>
      <c r="P281">
        <f>_xlfn.NUMBERVALUE("0.004265")</f>
        <v/>
      </c>
      <c r="Q281">
        <f>_xlfn.NUMBERVALUE("0.001721")</f>
        <v/>
      </c>
      <c r="R281">
        <f>_xlfn.NUMBERVALUE("0.002066")</f>
        <v/>
      </c>
      <c r="S281">
        <f>_xlfn.NUMBERVALUE("0.002082")</f>
        <v/>
      </c>
      <c r="T281">
        <f>_xlfn.NUMBERVALUE("0.002026")</f>
        <v/>
      </c>
      <c r="U281">
        <f>_xlfn.NUMBERVALUE("0.002624")</f>
        <v/>
      </c>
      <c r="V281">
        <f>_xlfn.NUMBERVALUE("0.001414")</f>
        <v/>
      </c>
      <c r="W281">
        <f>_xlfn.NUMBERVALUE("-0.000458")</f>
        <v/>
      </c>
      <c r="X281">
        <f>_xlfn.NUMBERVALUE("-0.250000")</f>
        <v/>
      </c>
      <c r="Y281">
        <f>_xlfn.NUMBERVALUE("26.290000")</f>
        <v/>
      </c>
    </row>
    <row r="282">
      <c r="A282" s="1" t="n">
        <v>42411</v>
      </c>
      <c r="B282">
        <f>_xlfn.NUMBERVALUE("0.000000")</f>
        <v/>
      </c>
      <c r="C282" s="2">
        <f>_xlfn.NUMBERVALUE("-0.001841")</f>
        <v/>
      </c>
      <c r="D282">
        <f>_xlfn.NUMBERVALUE("-0.003824")</f>
        <v/>
      </c>
      <c r="E282">
        <f>_xlfn.NUMBERVALUE("-0.002350")</f>
        <v/>
      </c>
      <c r="F282">
        <f>_xlfn.NUMBERVALUE("-0.006596")</f>
        <v/>
      </c>
      <c r="G282">
        <f>_xlfn.NUMBERVALUE("-0.001212")</f>
        <v/>
      </c>
      <c r="H282">
        <f>_xlfn.NUMBERVALUE("-0.001955")</f>
        <v/>
      </c>
      <c r="I282">
        <f>_xlfn.NUMBERVALUE("0.000136")</f>
        <v/>
      </c>
      <c r="J282">
        <f>_xlfn.NUMBERVALUE("-0.001668")</f>
        <v/>
      </c>
      <c r="K282">
        <f>_xlfn.NUMBERVALUE("-0.004482")</f>
        <v/>
      </c>
      <c r="L282">
        <f>_xlfn.NUMBERVALUE("-0.002564")</f>
        <v/>
      </c>
      <c r="M282">
        <f>_xlfn.NUMBERVALUE("-0.003309")</f>
        <v/>
      </c>
      <c r="N282">
        <f>_xlfn.NUMBERVALUE("0.000000")</f>
        <v/>
      </c>
      <c r="O282">
        <f>_xlfn.NUMBERVALUE("-0.002783")</f>
        <v/>
      </c>
      <c r="P282">
        <f>_xlfn.NUMBERVALUE("-0.006866")</f>
        <v/>
      </c>
      <c r="Q282">
        <f>_xlfn.NUMBERVALUE("-0.001842")</f>
        <v/>
      </c>
      <c r="R282">
        <f>_xlfn.NUMBERVALUE("-0.000332")</f>
        <v/>
      </c>
      <c r="S282">
        <f>_xlfn.NUMBERVALUE("-0.001363")</f>
        <v/>
      </c>
      <c r="T282">
        <f>_xlfn.NUMBERVALUE("-0.003602")</f>
        <v/>
      </c>
      <c r="U282">
        <f>_xlfn.NUMBERVALUE("-0.000308")</f>
        <v/>
      </c>
      <c r="V282">
        <f>_xlfn.NUMBERVALUE("-0.000781")</f>
        <v/>
      </c>
      <c r="W282">
        <f>_xlfn.NUMBERVALUE("-0.009632")</f>
        <v/>
      </c>
      <c r="X282">
        <f>_xlfn.NUMBERVALUE("1.850000")</f>
        <v/>
      </c>
      <c r="Y282">
        <f>_xlfn.NUMBERVALUE("28.140000")</f>
        <v/>
      </c>
    </row>
    <row r="283">
      <c r="A283" s="1" t="n">
        <v>42412</v>
      </c>
      <c r="B283">
        <f>_xlfn.NUMBERVALUE("0.000000")</f>
        <v/>
      </c>
      <c r="C283" s="2">
        <f>_xlfn.NUMBERVALUE("0.003488")</f>
        <v/>
      </c>
      <c r="D283">
        <f>_xlfn.NUMBERVALUE("0.004274")</f>
        <v/>
      </c>
      <c r="E283">
        <f>_xlfn.NUMBERVALUE("0.003838")</f>
        <v/>
      </c>
      <c r="F283">
        <f>_xlfn.NUMBERVALUE("0.002175")</f>
        <v/>
      </c>
      <c r="G283">
        <f>_xlfn.NUMBERVALUE("0.001865")</f>
        <v/>
      </c>
      <c r="H283">
        <f>_xlfn.NUMBERVALUE("0.001572")</f>
        <v/>
      </c>
      <c r="I283">
        <f>_xlfn.NUMBERVALUE("0.002347")</f>
        <v/>
      </c>
      <c r="J283">
        <f>_xlfn.NUMBERVALUE("-0.000186")</f>
        <v/>
      </c>
      <c r="K283">
        <f>_xlfn.NUMBERVALUE("0.008725")</f>
        <v/>
      </c>
      <c r="L283">
        <f>_xlfn.NUMBERVALUE("0.002272")</f>
        <v/>
      </c>
      <c r="M283">
        <f>_xlfn.NUMBERVALUE("0.003781")</f>
        <v/>
      </c>
      <c r="N283">
        <f>_xlfn.NUMBERVALUE("0.000000")</f>
        <v/>
      </c>
      <c r="O283">
        <f>_xlfn.NUMBERVALUE("0.008195")</f>
        <v/>
      </c>
      <c r="P283">
        <f>_xlfn.NUMBERVALUE("0.002003")</f>
        <v/>
      </c>
      <c r="Q283">
        <f>_xlfn.NUMBERVALUE("0.002906")</f>
        <v/>
      </c>
      <c r="R283">
        <f>_xlfn.NUMBERVALUE("0.005003")</f>
        <v/>
      </c>
      <c r="S283">
        <f>_xlfn.NUMBERVALUE("0.002487")</f>
        <v/>
      </c>
      <c r="T283">
        <f>_xlfn.NUMBERVALUE("0.003660")</f>
        <v/>
      </c>
      <c r="U283">
        <f>_xlfn.NUMBERVALUE("0.002775")</f>
        <v/>
      </c>
      <c r="V283">
        <f>_xlfn.NUMBERVALUE("0.002851")</f>
        <v/>
      </c>
      <c r="W283">
        <f>_xlfn.NUMBERVALUE("0.016319")</f>
        <v/>
      </c>
      <c r="X283">
        <f>_xlfn.NUMBERVALUE("-2.740000")</f>
        <v/>
      </c>
      <c r="Y283">
        <f>_xlfn.NUMBERVALUE("25.400000")</f>
        <v/>
      </c>
    </row>
    <row r="284">
      <c r="A284" s="1" t="n">
        <v>42416</v>
      </c>
      <c r="B284">
        <f>_xlfn.NUMBERVALUE("0.000000")</f>
        <v/>
      </c>
      <c r="C284" s="2">
        <f>_xlfn.NUMBERVALUE("0.003004")</f>
        <v/>
      </c>
      <c r="D284">
        <f>_xlfn.NUMBERVALUE("0.005019")</f>
        <v/>
      </c>
      <c r="E284">
        <f>_xlfn.NUMBERVALUE("0.002600")</f>
        <v/>
      </c>
      <c r="F284">
        <f>_xlfn.NUMBERVALUE("-0.000055")</f>
        <v/>
      </c>
      <c r="G284">
        <f>_xlfn.NUMBERVALUE("0.004035")</f>
        <v/>
      </c>
      <c r="H284">
        <f>_xlfn.NUMBERVALUE("0.000202")</f>
        <v/>
      </c>
      <c r="I284">
        <f>_xlfn.NUMBERVALUE("0.000742")</f>
        <v/>
      </c>
      <c r="J284">
        <f>_xlfn.NUMBERVALUE("0.000145")</f>
        <v/>
      </c>
      <c r="K284">
        <f>_xlfn.NUMBERVALUE("0.002489")</f>
        <v/>
      </c>
      <c r="L284">
        <f>_xlfn.NUMBERVALUE("0.002828")</f>
        <v/>
      </c>
      <c r="M284">
        <f>_xlfn.NUMBERVALUE("0.004538")</f>
        <v/>
      </c>
      <c r="N284">
        <f>_xlfn.NUMBERVALUE("0.000000")</f>
        <v/>
      </c>
      <c r="O284">
        <f>_xlfn.NUMBERVALUE("0.008537")</f>
        <v/>
      </c>
      <c r="P284">
        <f>_xlfn.NUMBERVALUE("0.007542")</f>
        <v/>
      </c>
      <c r="Q284">
        <f>_xlfn.NUMBERVALUE("0.002356")</f>
        <v/>
      </c>
      <c r="R284">
        <f>_xlfn.NUMBERVALUE("0.002873")</f>
        <v/>
      </c>
      <c r="S284">
        <f>_xlfn.NUMBERVALUE("0.003048")</f>
        <v/>
      </c>
      <c r="T284">
        <f>_xlfn.NUMBERVALUE("0.003692")</f>
        <v/>
      </c>
      <c r="U284">
        <f>_xlfn.NUMBERVALUE("0.002038")</f>
        <v/>
      </c>
      <c r="V284">
        <f>_xlfn.NUMBERVALUE("0.002905")</f>
        <v/>
      </c>
      <c r="W284">
        <f>_xlfn.NUMBERVALUE("0.015735")</f>
        <v/>
      </c>
      <c r="X284">
        <f>_xlfn.NUMBERVALUE("-1.290000")</f>
        <v/>
      </c>
      <c r="Y284">
        <f>_xlfn.NUMBERVALUE("24.110000")</f>
        <v/>
      </c>
    </row>
    <row r="285">
      <c r="A285" s="1" t="n">
        <v>42417</v>
      </c>
      <c r="B285">
        <f>_xlfn.NUMBERVALUE("0.000000")</f>
        <v/>
      </c>
      <c r="C285" s="2">
        <f>_xlfn.NUMBERVALUE("-0.001801")</f>
        <v/>
      </c>
      <c r="D285">
        <f>_xlfn.NUMBERVALUE("-0.000632")</f>
        <v/>
      </c>
      <c r="E285">
        <f>_xlfn.NUMBERVALUE("-0.001394")</f>
        <v/>
      </c>
      <c r="F285">
        <f>_xlfn.NUMBERVALUE("0.000557")</f>
        <v/>
      </c>
      <c r="G285">
        <f>_xlfn.NUMBERVALUE("0.000310")</f>
        <v/>
      </c>
      <c r="H285">
        <f>_xlfn.NUMBERVALUE("0.000827")</f>
        <v/>
      </c>
      <c r="I285">
        <f>_xlfn.NUMBERVALUE("-0.000343")</f>
        <v/>
      </c>
      <c r="J285">
        <f>_xlfn.NUMBERVALUE("0.002213")</f>
        <v/>
      </c>
      <c r="K285">
        <f>_xlfn.NUMBERVALUE("-0.005883")</f>
        <v/>
      </c>
      <c r="L285">
        <f>_xlfn.NUMBERVALUE("0.001454")</f>
        <v/>
      </c>
      <c r="M285">
        <f>_xlfn.NUMBERVALUE("0.000121")</f>
        <v/>
      </c>
      <c r="N285">
        <f>_xlfn.NUMBERVALUE("0.000000")</f>
        <v/>
      </c>
      <c r="O285">
        <f>_xlfn.NUMBERVALUE("-0.001740")</f>
        <v/>
      </c>
      <c r="P285">
        <f>_xlfn.NUMBERVALUE("0.004545")</f>
        <v/>
      </c>
      <c r="Q285">
        <f>_xlfn.NUMBERVALUE("0.000023")</f>
        <v/>
      </c>
      <c r="R285">
        <f>_xlfn.NUMBERVALUE("-0.002580")</f>
        <v/>
      </c>
      <c r="S285">
        <f>_xlfn.NUMBERVALUE("0.002656")</f>
        <v/>
      </c>
      <c r="T285">
        <f>_xlfn.NUMBERVALUE("0.002542")</f>
        <v/>
      </c>
      <c r="U285">
        <f>_xlfn.NUMBERVALUE("-0.002270")</f>
        <v/>
      </c>
      <c r="V285">
        <f>_xlfn.NUMBERVALUE("-0.002241")</f>
        <v/>
      </c>
      <c r="W285">
        <f>_xlfn.NUMBERVALUE("0.017999")</f>
        <v/>
      </c>
      <c r="X285">
        <f>_xlfn.NUMBERVALUE("-1.800000")</f>
        <v/>
      </c>
      <c r="Y285">
        <f>_xlfn.NUMBERVALUE("22.310000")</f>
        <v/>
      </c>
    </row>
    <row r="286">
      <c r="A286" s="1" t="n">
        <v>42418</v>
      </c>
      <c r="B286">
        <f>_xlfn.NUMBERVALUE("0.000000")</f>
        <v/>
      </c>
      <c r="C286" s="2">
        <f>_xlfn.NUMBERVALUE("0.002433")</f>
        <v/>
      </c>
      <c r="D286">
        <f>_xlfn.NUMBERVALUE("0.002485")</f>
        <v/>
      </c>
      <c r="E286">
        <f>_xlfn.NUMBERVALUE("0.002972")</f>
        <v/>
      </c>
      <c r="F286">
        <f>_xlfn.NUMBERVALUE("-0.002599")</f>
        <v/>
      </c>
      <c r="G286">
        <f>_xlfn.NUMBERVALUE("0.000789")</f>
        <v/>
      </c>
      <c r="H286">
        <f>_xlfn.NUMBERVALUE("0.000677")</f>
        <v/>
      </c>
      <c r="I286">
        <f>_xlfn.NUMBERVALUE("0.003480")</f>
        <v/>
      </c>
      <c r="J286">
        <f>_xlfn.NUMBERVALUE("-0.000902")</f>
        <v/>
      </c>
      <c r="K286">
        <f>_xlfn.NUMBERVALUE("-0.001264")</f>
        <v/>
      </c>
      <c r="L286">
        <f>_xlfn.NUMBERVALUE("-0.001650")</f>
        <v/>
      </c>
      <c r="M286">
        <f>_xlfn.NUMBERVALUE("0.004536")</f>
        <v/>
      </c>
      <c r="N286">
        <f>_xlfn.NUMBERVALUE("0.000000")</f>
        <v/>
      </c>
      <c r="O286">
        <f>_xlfn.NUMBERVALUE("0.004500")</f>
        <v/>
      </c>
      <c r="P286">
        <f>_xlfn.NUMBERVALUE("0.001247")</f>
        <v/>
      </c>
      <c r="Q286">
        <f>_xlfn.NUMBERVALUE("0.001155")</f>
        <v/>
      </c>
      <c r="R286">
        <f>_xlfn.NUMBERVALUE("0.002494")</f>
        <v/>
      </c>
      <c r="S286">
        <f>_xlfn.NUMBERVALUE("-0.001344")</f>
        <v/>
      </c>
      <c r="T286">
        <f>_xlfn.NUMBERVALUE("-0.001737")</f>
        <v/>
      </c>
      <c r="U286">
        <f>_xlfn.NUMBERVALUE("0.001790")</f>
        <v/>
      </c>
      <c r="V286">
        <f>_xlfn.NUMBERVALUE("0.002424")</f>
        <v/>
      </c>
      <c r="W286">
        <f>_xlfn.NUMBERVALUE("-0.004977")</f>
        <v/>
      </c>
      <c r="X286">
        <f>_xlfn.NUMBERVALUE("-0.670000")</f>
        <v/>
      </c>
      <c r="Y286">
        <f>_xlfn.NUMBERVALUE("21.640000")</f>
        <v/>
      </c>
    </row>
    <row r="287">
      <c r="A287" s="1" t="n">
        <v>42419</v>
      </c>
      <c r="B287">
        <f>_xlfn.NUMBERVALUE("0.000000")</f>
        <v/>
      </c>
      <c r="C287" s="2">
        <f>_xlfn.NUMBERVALUE("0.000855")</f>
        <v/>
      </c>
      <c r="D287">
        <f>_xlfn.NUMBERVALUE("0.004428")</f>
        <v/>
      </c>
      <c r="E287">
        <f>_xlfn.NUMBERVALUE("0.002556")</f>
        <v/>
      </c>
      <c r="F287">
        <f>_xlfn.NUMBERVALUE("0.000960")</f>
        <v/>
      </c>
      <c r="G287">
        <f>_xlfn.NUMBERVALUE("0.002005")</f>
        <v/>
      </c>
      <c r="H287">
        <f>_xlfn.NUMBERVALUE("0.000326")</f>
        <v/>
      </c>
      <c r="I287">
        <f>_xlfn.NUMBERVALUE("0.003798")</f>
        <v/>
      </c>
      <c r="J287">
        <f>_xlfn.NUMBERVALUE("0.000172")</f>
        <v/>
      </c>
      <c r="K287">
        <f>_xlfn.NUMBERVALUE("0.001056")</f>
        <v/>
      </c>
      <c r="L287">
        <f>_xlfn.NUMBERVALUE("0.001083")</f>
        <v/>
      </c>
      <c r="M287">
        <f>_xlfn.NUMBERVALUE("0.001406")</f>
        <v/>
      </c>
      <c r="N287">
        <f>_xlfn.NUMBERVALUE("0.000000")</f>
        <v/>
      </c>
      <c r="O287">
        <f>_xlfn.NUMBERVALUE("0.004410")</f>
        <v/>
      </c>
      <c r="P287">
        <f>_xlfn.NUMBERVALUE("0.001388")</f>
        <v/>
      </c>
      <c r="Q287">
        <f>_xlfn.NUMBERVALUE("0.002387")</f>
        <v/>
      </c>
      <c r="R287">
        <f>_xlfn.NUMBERVALUE("0.004137")</f>
        <v/>
      </c>
      <c r="S287">
        <f>_xlfn.NUMBERVALUE("0.002200")</f>
        <v/>
      </c>
      <c r="T287">
        <f>_xlfn.NUMBERVALUE("0.001437")</f>
        <v/>
      </c>
      <c r="U287">
        <f>_xlfn.NUMBERVALUE("0.002919")</f>
        <v/>
      </c>
      <c r="V287">
        <f>_xlfn.NUMBERVALUE("0.002885")</f>
        <v/>
      </c>
      <c r="W287">
        <f>_xlfn.NUMBERVALUE("0.000052")</f>
        <v/>
      </c>
      <c r="X287">
        <f>_xlfn.NUMBERVALUE("-1.110000")</f>
        <v/>
      </c>
      <c r="Y287">
        <f>_xlfn.NUMBERVALUE("20.530000")</f>
        <v/>
      </c>
    </row>
    <row r="288">
      <c r="A288" s="1" t="n">
        <v>42422</v>
      </c>
      <c r="B288">
        <f>_xlfn.NUMBERVALUE("0.000000")</f>
        <v/>
      </c>
      <c r="C288" s="2">
        <f>_xlfn.NUMBERVALUE("-0.000510")</f>
        <v/>
      </c>
      <c r="D288">
        <f>_xlfn.NUMBERVALUE("-0.002072")</f>
        <v/>
      </c>
      <c r="E288">
        <f>_xlfn.NUMBERVALUE("0.001199")</f>
        <v/>
      </c>
      <c r="F288">
        <f>_xlfn.NUMBERVALUE("0.000951")</f>
        <v/>
      </c>
      <c r="G288">
        <f>_xlfn.NUMBERVALUE("0.000467")</f>
        <v/>
      </c>
      <c r="H288">
        <f>_xlfn.NUMBERVALUE("0.001188")</f>
        <v/>
      </c>
      <c r="I288">
        <f>_xlfn.NUMBERVALUE("0.001774")</f>
        <v/>
      </c>
      <c r="J288">
        <f>_xlfn.NUMBERVALUE("0.002167")</f>
        <v/>
      </c>
      <c r="K288">
        <f>_xlfn.NUMBERVALUE("0.002269")</f>
        <v/>
      </c>
      <c r="L288">
        <f>_xlfn.NUMBERVALUE("0.001751")</f>
        <v/>
      </c>
      <c r="M288">
        <f>_xlfn.NUMBERVALUE("0.000638")</f>
        <v/>
      </c>
      <c r="N288">
        <f>_xlfn.NUMBERVALUE("0.000000")</f>
        <v/>
      </c>
      <c r="O288">
        <f>_xlfn.NUMBERVALUE("0.001052")</f>
        <v/>
      </c>
      <c r="P288">
        <f>_xlfn.NUMBERVALUE("0.001773")</f>
        <v/>
      </c>
      <c r="Q288">
        <f>_xlfn.NUMBERVALUE("-0.000631")</f>
        <v/>
      </c>
      <c r="R288">
        <f>_xlfn.NUMBERVALUE("-0.000632")</f>
        <v/>
      </c>
      <c r="S288">
        <f>_xlfn.NUMBERVALUE("0.001423")</f>
        <v/>
      </c>
      <c r="T288">
        <f>_xlfn.NUMBERVALUE("0.000599")</f>
        <v/>
      </c>
      <c r="U288">
        <f>_xlfn.NUMBERVALUE("-0.001111")</f>
        <v/>
      </c>
      <c r="V288">
        <f>_xlfn.NUMBERVALUE("-0.000524")</f>
        <v/>
      </c>
      <c r="W288">
        <f>_xlfn.NUMBERVALUE("0.014589")</f>
        <v/>
      </c>
      <c r="X288">
        <f>_xlfn.NUMBERVALUE("-1.150000")</f>
        <v/>
      </c>
      <c r="Y288">
        <f>_xlfn.NUMBERVALUE("19.380000")</f>
        <v/>
      </c>
    </row>
    <row r="289">
      <c r="A289" s="1" t="n">
        <v>42423</v>
      </c>
      <c r="B289">
        <f>_xlfn.NUMBERVALUE("0.000000")</f>
        <v/>
      </c>
      <c r="C289" s="2">
        <f>_xlfn.NUMBERVALUE("-0.001349")</f>
        <v/>
      </c>
      <c r="D289">
        <f>_xlfn.NUMBERVALUE("-0.001226")</f>
        <v/>
      </c>
      <c r="E289">
        <f>_xlfn.NUMBERVALUE("-0.002404")</f>
        <v/>
      </c>
      <c r="F289">
        <f>_xlfn.NUMBERVALUE("-0.000117")</f>
        <v/>
      </c>
      <c r="G289">
        <f>_xlfn.NUMBERVALUE("0.001001")</f>
        <v/>
      </c>
      <c r="H289">
        <f>_xlfn.NUMBERVALUE("0.000177")</f>
        <v/>
      </c>
      <c r="I289">
        <f>_xlfn.NUMBERVALUE("0.000291")</f>
        <v/>
      </c>
      <c r="J289">
        <f>_xlfn.NUMBERVALUE("-0.000234")</f>
        <v/>
      </c>
      <c r="K289">
        <f>_xlfn.NUMBERVALUE("0.000301")</f>
        <v/>
      </c>
      <c r="L289">
        <f>_xlfn.NUMBERVALUE("0.000444")</f>
        <v/>
      </c>
      <c r="M289">
        <f>_xlfn.NUMBERVALUE("-0.002841")</f>
        <v/>
      </c>
      <c r="N289">
        <f>_xlfn.NUMBERVALUE("0.000000")</f>
        <v/>
      </c>
      <c r="O289">
        <f>_xlfn.NUMBERVALUE("-0.004893")</f>
        <v/>
      </c>
      <c r="P289">
        <f>_xlfn.NUMBERVALUE("-0.002206")</f>
        <v/>
      </c>
      <c r="Q289">
        <f>_xlfn.NUMBERVALUE("-0.000912")</f>
        <v/>
      </c>
      <c r="R289">
        <f>_xlfn.NUMBERVALUE("-0.000573")</f>
        <v/>
      </c>
      <c r="S289">
        <f>_xlfn.NUMBERVALUE("0.001074")</f>
        <v/>
      </c>
      <c r="T289">
        <f>_xlfn.NUMBERVALUE("0.001291")</f>
        <v/>
      </c>
      <c r="U289">
        <f>_xlfn.NUMBERVALUE("0.000194")</f>
        <v/>
      </c>
      <c r="V289">
        <f>_xlfn.NUMBERVALUE("-0.001690")</f>
        <v/>
      </c>
      <c r="W289">
        <f>_xlfn.NUMBERVALUE("-0.011067")</f>
        <v/>
      </c>
      <c r="X289">
        <f>_xlfn.NUMBERVALUE("1.600000")</f>
        <v/>
      </c>
      <c r="Y289">
        <f>_xlfn.NUMBERVALUE("20.980000")</f>
        <v/>
      </c>
    </row>
    <row r="290">
      <c r="A290" s="1" t="n">
        <v>42424</v>
      </c>
      <c r="B290">
        <f>_xlfn.NUMBERVALUE("0.000000")</f>
        <v/>
      </c>
      <c r="C290" s="2">
        <f>_xlfn.NUMBERVALUE("0.000164")</f>
        <v/>
      </c>
      <c r="D290">
        <f>_xlfn.NUMBERVALUE("0.004136")</f>
        <v/>
      </c>
      <c r="E290">
        <f>_xlfn.NUMBERVALUE("0.000554")</f>
        <v/>
      </c>
      <c r="F290">
        <f>_xlfn.NUMBERVALUE("-0.000182")</f>
        <v/>
      </c>
      <c r="G290">
        <f>_xlfn.NUMBERVALUE("0.000661")</f>
        <v/>
      </c>
      <c r="H290">
        <f>_xlfn.NUMBERVALUE("0.000346")</f>
        <v/>
      </c>
      <c r="I290">
        <f>_xlfn.NUMBERVALUE("-0.000143")</f>
        <v/>
      </c>
      <c r="J290">
        <f>_xlfn.NUMBERVALUE("0.000483")</f>
        <v/>
      </c>
      <c r="K290">
        <f>_xlfn.NUMBERVALUE("0.000710")</f>
        <v/>
      </c>
      <c r="L290">
        <f>_xlfn.NUMBERVALUE("0.000938")</f>
        <v/>
      </c>
      <c r="M290">
        <f>_xlfn.NUMBERVALUE("0.000763")</f>
        <v/>
      </c>
      <c r="N290">
        <f>_xlfn.NUMBERVALUE("0.000000")</f>
        <v/>
      </c>
      <c r="O290">
        <f>_xlfn.NUMBERVALUE("0.001247")</f>
        <v/>
      </c>
      <c r="P290">
        <f>_xlfn.NUMBERVALUE("0.001658")</f>
        <v/>
      </c>
      <c r="Q290">
        <f>_xlfn.NUMBERVALUE("0.000125")</f>
        <v/>
      </c>
      <c r="R290">
        <f>_xlfn.NUMBERVALUE("-0.000666")</f>
        <v/>
      </c>
      <c r="S290">
        <f>_xlfn.NUMBERVALUE("-0.000211")</f>
        <v/>
      </c>
      <c r="T290">
        <f>_xlfn.NUMBERVALUE("-0.000869")</f>
        <v/>
      </c>
      <c r="U290">
        <f>_xlfn.NUMBERVALUE("-0.000583")</f>
        <v/>
      </c>
      <c r="V290">
        <f>_xlfn.NUMBERVALUE("0.000284")</f>
        <v/>
      </c>
      <c r="W290">
        <f>_xlfn.NUMBERVALUE("0.003246")</f>
        <v/>
      </c>
      <c r="X290">
        <f>_xlfn.NUMBERVALUE("-0.260000")</f>
        <v/>
      </c>
      <c r="Y290">
        <f>_xlfn.NUMBERVALUE("20.720000")</f>
        <v/>
      </c>
    </row>
    <row r="291">
      <c r="A291" s="1" t="n">
        <v>42425</v>
      </c>
      <c r="B291">
        <f>_xlfn.NUMBERVALUE("0.000000")</f>
        <v/>
      </c>
      <c r="C291" s="2">
        <f>_xlfn.NUMBERVALUE("-0.000102")</f>
        <v/>
      </c>
      <c r="D291">
        <f>_xlfn.NUMBERVALUE("-0.000730")</f>
        <v/>
      </c>
      <c r="E291">
        <f>_xlfn.NUMBERVALUE("0.000956")</f>
        <v/>
      </c>
      <c r="F291">
        <f>_xlfn.NUMBERVALUE("0.000132")</f>
        <v/>
      </c>
      <c r="G291">
        <f>_xlfn.NUMBERVALUE("0.000173")</f>
        <v/>
      </c>
      <c r="H291">
        <f>_xlfn.NUMBERVALUE("0.000085")</f>
        <v/>
      </c>
      <c r="I291">
        <f>_xlfn.NUMBERVALUE("0.001289")</f>
        <v/>
      </c>
      <c r="J291">
        <f>_xlfn.NUMBERVALUE("-0.001149")</f>
        <v/>
      </c>
      <c r="K291">
        <f>_xlfn.NUMBERVALUE("0.000024")</f>
        <v/>
      </c>
      <c r="L291">
        <f>_xlfn.NUMBERVALUE("0.000390")</f>
        <v/>
      </c>
      <c r="M291">
        <f>_xlfn.NUMBERVALUE("-0.000071")</f>
        <v/>
      </c>
      <c r="N291">
        <f>_xlfn.NUMBERVALUE("0.000000")</f>
        <v/>
      </c>
      <c r="O291">
        <f>_xlfn.NUMBERVALUE("0.001672")</f>
        <v/>
      </c>
      <c r="P291">
        <f>_xlfn.NUMBERVALUE("0.000237")</f>
        <v/>
      </c>
      <c r="Q291">
        <f>_xlfn.NUMBERVALUE("0.000584")</f>
        <v/>
      </c>
      <c r="R291">
        <f>_xlfn.NUMBERVALUE("0.001160")</f>
        <v/>
      </c>
      <c r="S291">
        <f>_xlfn.NUMBERVALUE("-0.000190")</f>
        <v/>
      </c>
      <c r="T291">
        <f>_xlfn.NUMBERVALUE("-0.000257")</f>
        <v/>
      </c>
      <c r="U291">
        <f>_xlfn.NUMBERVALUE("0.001098")</f>
        <v/>
      </c>
      <c r="V291">
        <f>_xlfn.NUMBERVALUE("0.000587")</f>
        <v/>
      </c>
      <c r="W291">
        <f>_xlfn.NUMBERVALUE("0.011025")</f>
        <v/>
      </c>
      <c r="X291">
        <f>_xlfn.NUMBERVALUE("-1.610000")</f>
        <v/>
      </c>
      <c r="Y291">
        <f>_xlfn.NUMBERVALUE("19.110000")</f>
        <v/>
      </c>
    </row>
    <row r="292">
      <c r="A292" s="1" t="n">
        <v>42426</v>
      </c>
      <c r="B292">
        <f>_xlfn.NUMBERVALUE("0.000000")</f>
        <v/>
      </c>
      <c r="C292" s="2">
        <f>_xlfn.NUMBERVALUE("0.001218")</f>
        <v/>
      </c>
      <c r="D292">
        <f>_xlfn.NUMBERVALUE("0.002595")</f>
        <v/>
      </c>
      <c r="E292">
        <f>_xlfn.NUMBERVALUE("0.002308")</f>
        <v/>
      </c>
      <c r="F292">
        <f>_xlfn.NUMBERVALUE("0.000207")</f>
        <v/>
      </c>
      <c r="G292">
        <f>_xlfn.NUMBERVALUE("-0.000766")</f>
        <v/>
      </c>
      <c r="H292">
        <f>_xlfn.NUMBERVALUE("0.000052")</f>
        <v/>
      </c>
      <c r="I292">
        <f>_xlfn.NUMBERVALUE("0.001518")</f>
        <v/>
      </c>
      <c r="J292">
        <f>_xlfn.NUMBERVALUE("0.000667")</f>
        <v/>
      </c>
      <c r="K292">
        <f>_xlfn.NUMBERVALUE("0.000461")</f>
        <v/>
      </c>
      <c r="L292">
        <f>_xlfn.NUMBERVALUE("0.001170")</f>
        <v/>
      </c>
      <c r="M292">
        <f>_xlfn.NUMBERVALUE("-0.000770")</f>
        <v/>
      </c>
      <c r="N292">
        <f>_xlfn.NUMBERVALUE("0.000000")</f>
        <v/>
      </c>
      <c r="O292">
        <f>_xlfn.NUMBERVALUE("0.004068")</f>
        <v/>
      </c>
      <c r="P292">
        <f>_xlfn.NUMBERVALUE("-0.001010")</f>
        <v/>
      </c>
      <c r="Q292">
        <f>_xlfn.NUMBERVALUE("-0.000341")</f>
        <v/>
      </c>
      <c r="R292">
        <f>_xlfn.NUMBERVALUE("0.000686")</f>
        <v/>
      </c>
      <c r="S292">
        <f>_xlfn.NUMBERVALUE("-0.000073")</f>
        <v/>
      </c>
      <c r="T292">
        <f>_xlfn.NUMBERVALUE("-0.006268")</f>
        <v/>
      </c>
      <c r="U292">
        <f>_xlfn.NUMBERVALUE("0.000877")</f>
        <v/>
      </c>
      <c r="V292">
        <f>_xlfn.NUMBERVALUE("0.001197")</f>
        <v/>
      </c>
      <c r="W292">
        <f>_xlfn.NUMBERVALUE("-0.000410")</f>
        <v/>
      </c>
      <c r="X292">
        <f>_xlfn.NUMBERVALUE("0.700000")</f>
        <v/>
      </c>
      <c r="Y292">
        <f>_xlfn.NUMBERVALUE("19.810000")</f>
        <v/>
      </c>
    </row>
    <row r="293">
      <c r="A293" s="1" t="n">
        <v>42429</v>
      </c>
      <c r="B293">
        <f>_xlfn.NUMBERVALUE("0.000000")</f>
        <v/>
      </c>
      <c r="C293" s="2">
        <f>_xlfn.NUMBERVALUE("0.001820")</f>
        <v/>
      </c>
      <c r="D293">
        <f>_xlfn.NUMBERVALUE("0.002359")</f>
        <v/>
      </c>
      <c r="E293">
        <f>_xlfn.NUMBERVALUE("0.003668")</f>
        <v/>
      </c>
      <c r="F293">
        <f>_xlfn.NUMBERVALUE("-0.000078")</f>
        <v/>
      </c>
      <c r="G293">
        <f>_xlfn.NUMBERVALUE("-0.002859")</f>
        <v/>
      </c>
      <c r="H293">
        <f>_xlfn.NUMBERVALUE("0.000662")</f>
        <v/>
      </c>
      <c r="I293">
        <f>_xlfn.NUMBERVALUE("0.002758")</f>
        <v/>
      </c>
      <c r="J293">
        <f>_xlfn.NUMBERVALUE("0.000495")</f>
        <v/>
      </c>
      <c r="K293">
        <f>_xlfn.NUMBERVALUE("0.001058")</f>
        <v/>
      </c>
      <c r="L293">
        <f>_xlfn.NUMBERVALUE("0.001347")</f>
        <v/>
      </c>
      <c r="M293">
        <f>_xlfn.NUMBERVALUE("0.002907")</f>
        <v/>
      </c>
      <c r="N293">
        <f>_xlfn.NUMBERVALUE("0.000000")</f>
        <v/>
      </c>
      <c r="O293">
        <f>_xlfn.NUMBERVALUE("0.002810")</f>
        <v/>
      </c>
      <c r="P293">
        <f>_xlfn.NUMBERVALUE("0.004398")</f>
        <v/>
      </c>
      <c r="Q293">
        <f>_xlfn.NUMBERVALUE("0.002534")</f>
        <v/>
      </c>
      <c r="R293">
        <f>_xlfn.NUMBERVALUE("0.003684")</f>
        <v/>
      </c>
      <c r="S293">
        <f>_xlfn.NUMBERVALUE("0.003060")</f>
        <v/>
      </c>
      <c r="T293">
        <f>_xlfn.NUMBERVALUE("0.001829")</f>
        <v/>
      </c>
      <c r="U293">
        <f>_xlfn.NUMBERVALUE("0.001233")</f>
        <v/>
      </c>
      <c r="V293">
        <f>_xlfn.NUMBERVALUE("0.002493")</f>
        <v/>
      </c>
      <c r="W293">
        <f>_xlfn.NUMBERVALUE("-0.006249")</f>
        <v/>
      </c>
      <c r="X293">
        <f>_xlfn.NUMBERVALUE("0.740000")</f>
        <v/>
      </c>
      <c r="Y293">
        <f>_xlfn.NUMBERVALUE("20.550000")</f>
        <v/>
      </c>
    </row>
    <row r="294">
      <c r="A294" s="1" t="n">
        <v>42430</v>
      </c>
      <c r="B294">
        <f>_xlfn.NUMBERVALUE("0.000000")</f>
        <v/>
      </c>
      <c r="C294" s="2">
        <f>_xlfn.NUMBERVALUE("-0.001700")</f>
        <v/>
      </c>
      <c r="D294">
        <f>_xlfn.NUMBERVALUE("-0.005213")</f>
        <v/>
      </c>
      <c r="E294">
        <f>_xlfn.NUMBERVALUE("-0.012181")</f>
        <v/>
      </c>
      <c r="F294">
        <f>_xlfn.NUMBERVALUE("-0.000046")</f>
        <v/>
      </c>
      <c r="G294">
        <f>_xlfn.NUMBERVALUE("-0.003618")</f>
        <v/>
      </c>
      <c r="H294">
        <f>_xlfn.NUMBERVALUE("-0.002311")</f>
        <v/>
      </c>
      <c r="I294">
        <f>_xlfn.NUMBERVALUE("-0.001858")</f>
        <v/>
      </c>
      <c r="J294">
        <f>_xlfn.NUMBERVALUE("-0.001198")</f>
        <v/>
      </c>
      <c r="K294">
        <f>_xlfn.NUMBERVALUE("-0.000278")</f>
        <v/>
      </c>
      <c r="L294">
        <f>_xlfn.NUMBERVALUE("-0.006414")</f>
        <v/>
      </c>
      <c r="M294">
        <f>_xlfn.NUMBERVALUE("-0.002805")</f>
        <v/>
      </c>
      <c r="N294">
        <f>_xlfn.NUMBERVALUE("0.000000")</f>
        <v/>
      </c>
      <c r="O294">
        <f>_xlfn.NUMBERVALUE("-0.000048")</f>
        <v/>
      </c>
      <c r="P294">
        <f>_xlfn.NUMBERVALUE("-0.005615")</f>
        <v/>
      </c>
      <c r="Q294">
        <f>_xlfn.NUMBERVALUE("-0.000419")</f>
        <v/>
      </c>
      <c r="R294">
        <f>_xlfn.NUMBERVALUE("-0.003574")</f>
        <v/>
      </c>
      <c r="S294">
        <f>_xlfn.NUMBERVALUE("-0.002381")</f>
        <v/>
      </c>
      <c r="T294">
        <f>_xlfn.NUMBERVALUE("0.001300")</f>
        <v/>
      </c>
      <c r="U294">
        <f>_xlfn.NUMBERVALUE("-0.001706")</f>
        <v/>
      </c>
      <c r="V294">
        <f>_xlfn.NUMBERVALUE("-0.003171")</f>
        <v/>
      </c>
      <c r="W294">
        <f>_xlfn.NUMBERVALUE("0.019766")</f>
        <v/>
      </c>
      <c r="X294">
        <f>_xlfn.NUMBERVALUE("-2.850000")</f>
        <v/>
      </c>
      <c r="Y294">
        <f>_xlfn.NUMBERVALUE("17.700000")</f>
        <v/>
      </c>
    </row>
    <row r="295">
      <c r="A295" s="1" t="n">
        <v>42431</v>
      </c>
      <c r="B295">
        <f>_xlfn.NUMBERVALUE("0.000000")</f>
        <v/>
      </c>
      <c r="C295" s="2">
        <f>_xlfn.NUMBERVALUE("0.000031")</f>
        <v/>
      </c>
      <c r="D295">
        <f>_xlfn.NUMBERVALUE("-0.000269")</f>
        <v/>
      </c>
      <c r="E295">
        <f>_xlfn.NUMBERVALUE("0.000230")</f>
        <v/>
      </c>
      <c r="F295">
        <f>_xlfn.NUMBERVALUE("0.000241")</f>
        <v/>
      </c>
      <c r="G295">
        <f>_xlfn.NUMBERVALUE("-0.000367")</f>
        <v/>
      </c>
      <c r="H295">
        <f>_xlfn.NUMBERVALUE("0.000811")</f>
        <v/>
      </c>
      <c r="I295">
        <f>_xlfn.NUMBERVALUE("-0.000078")</f>
        <v/>
      </c>
      <c r="J295">
        <f>_xlfn.NUMBERVALUE("0.000580")</f>
        <v/>
      </c>
      <c r="K295">
        <f>_xlfn.NUMBERVALUE("-0.000001")</f>
        <v/>
      </c>
      <c r="L295">
        <f>_xlfn.NUMBERVALUE("0.002076")</f>
        <v/>
      </c>
      <c r="M295">
        <f>_xlfn.NUMBERVALUE("0.001341")</f>
        <v/>
      </c>
      <c r="N295">
        <f>_xlfn.NUMBERVALUE("0.000000")</f>
        <v/>
      </c>
      <c r="O295">
        <f>_xlfn.NUMBERVALUE("-0.002525")</f>
        <v/>
      </c>
      <c r="P295">
        <f>_xlfn.NUMBERVALUE("0.000928")</f>
        <v/>
      </c>
      <c r="Q295">
        <f>_xlfn.NUMBERVALUE("0.001579")</f>
        <v/>
      </c>
      <c r="R295">
        <f>_xlfn.NUMBERVALUE("0.000833")</f>
        <v/>
      </c>
      <c r="S295">
        <f>_xlfn.NUMBERVALUE("0.002314")</f>
        <v/>
      </c>
      <c r="T295">
        <f>_xlfn.NUMBERVALUE("0.001332")</f>
        <v/>
      </c>
      <c r="U295">
        <f>_xlfn.NUMBERVALUE("0.001853")</f>
        <v/>
      </c>
      <c r="V295">
        <f>_xlfn.NUMBERVALUE("-0.000017")</f>
        <v/>
      </c>
      <c r="W295">
        <f>_xlfn.NUMBERVALUE("0.005029")</f>
        <v/>
      </c>
      <c r="X295">
        <f>_xlfn.NUMBERVALUE("-0.610000")</f>
        <v/>
      </c>
      <c r="Y295">
        <f>_xlfn.NUMBERVALUE("17.090000")</f>
        <v/>
      </c>
    </row>
    <row r="296">
      <c r="A296" s="1" t="n">
        <v>42432</v>
      </c>
      <c r="B296">
        <f>_xlfn.NUMBERVALUE("0.000000")</f>
        <v/>
      </c>
      <c r="C296" s="2">
        <f>_xlfn.NUMBERVALUE("-0.000090")</f>
        <v/>
      </c>
      <c r="D296">
        <f>_xlfn.NUMBERVALUE("-0.000188")</f>
        <v/>
      </c>
      <c r="E296">
        <f>_xlfn.NUMBERVALUE("-0.000527")</f>
        <v/>
      </c>
      <c r="F296">
        <f>_xlfn.NUMBERVALUE("-0.000249")</f>
        <v/>
      </c>
      <c r="G296">
        <f>_xlfn.NUMBERVALUE("-0.000141")</f>
        <v/>
      </c>
      <c r="H296">
        <f>_xlfn.NUMBERVALUE("0.002362")</f>
        <v/>
      </c>
      <c r="I296">
        <f>_xlfn.NUMBERVALUE("-0.000114")</f>
        <v/>
      </c>
      <c r="J296">
        <f>_xlfn.NUMBERVALUE("-0.000468")</f>
        <v/>
      </c>
      <c r="K296">
        <f>_xlfn.NUMBERVALUE("-0.000010")</f>
        <v/>
      </c>
      <c r="L296">
        <f>_xlfn.NUMBERVALUE("0.003242")</f>
        <v/>
      </c>
      <c r="M296">
        <f>_xlfn.NUMBERVALUE("0.002261")</f>
        <v/>
      </c>
      <c r="N296">
        <f>_xlfn.NUMBERVALUE("0.000000")</f>
        <v/>
      </c>
      <c r="O296">
        <f>_xlfn.NUMBERVALUE("-0.000168")</f>
        <v/>
      </c>
      <c r="P296">
        <f>_xlfn.NUMBERVALUE("-0.000304")</f>
        <v/>
      </c>
      <c r="Q296">
        <f>_xlfn.NUMBERVALUE("0.001043")</f>
        <v/>
      </c>
      <c r="R296">
        <f>_xlfn.NUMBERVALUE("-0.000476")</f>
        <v/>
      </c>
      <c r="S296">
        <f>_xlfn.NUMBERVALUE("-0.001119")</f>
        <v/>
      </c>
      <c r="T296">
        <f>_xlfn.NUMBERVALUE("0.001531")</f>
        <v/>
      </c>
      <c r="U296">
        <f>_xlfn.NUMBERVALUE("0.002066")</f>
        <v/>
      </c>
      <c r="V296">
        <f>_xlfn.NUMBERVALUE("-0.000030")</f>
        <v/>
      </c>
      <c r="W296">
        <f>_xlfn.NUMBERVALUE("0.002301")</f>
        <v/>
      </c>
      <c r="X296">
        <f>_xlfn.NUMBERVALUE("-0.390000")</f>
        <v/>
      </c>
      <c r="Y296">
        <f>_xlfn.NUMBERVALUE("16.700000")</f>
        <v/>
      </c>
    </row>
    <row r="297">
      <c r="A297" s="1" t="n">
        <v>42433</v>
      </c>
      <c r="B297">
        <f>_xlfn.NUMBERVALUE("0.000000")</f>
        <v/>
      </c>
      <c r="C297" s="2">
        <f>_xlfn.NUMBERVALUE("-0.000331")</f>
        <v/>
      </c>
      <c r="D297">
        <f>_xlfn.NUMBERVALUE("-0.005828")</f>
        <v/>
      </c>
      <c r="E297">
        <f>_xlfn.NUMBERVALUE("-0.000538")</f>
        <v/>
      </c>
      <c r="F297">
        <f>_xlfn.NUMBERVALUE("0.003619")</f>
        <v/>
      </c>
      <c r="G297">
        <f>_xlfn.NUMBERVALUE("0.000297")</f>
        <v/>
      </c>
      <c r="H297">
        <f>_xlfn.NUMBERVALUE("0.000528")</f>
        <v/>
      </c>
      <c r="I297">
        <f>_xlfn.NUMBERVALUE("-0.001607")</f>
        <v/>
      </c>
      <c r="J297">
        <f>_xlfn.NUMBERVALUE("0.000696")</f>
        <v/>
      </c>
      <c r="K297">
        <f>_xlfn.NUMBERVALUE("-0.002121")</f>
        <v/>
      </c>
      <c r="L297">
        <f>_xlfn.NUMBERVALUE("0.000843")</f>
        <v/>
      </c>
      <c r="M297">
        <f>_xlfn.NUMBERVALUE("-0.003190")</f>
        <v/>
      </c>
      <c r="N297">
        <f>_xlfn.NUMBERVALUE("0.000000")</f>
        <v/>
      </c>
      <c r="O297">
        <f>_xlfn.NUMBERVALUE("-0.000302")</f>
        <v/>
      </c>
      <c r="P297">
        <f>_xlfn.NUMBERVALUE("-0.000184")</f>
        <v/>
      </c>
      <c r="Q297">
        <f>_xlfn.NUMBERVALUE("-0.002849")</f>
        <v/>
      </c>
      <c r="R297">
        <f>_xlfn.NUMBERVALUE("-0.001291")</f>
        <v/>
      </c>
      <c r="S297">
        <f>_xlfn.NUMBERVALUE("-0.000282")</f>
        <v/>
      </c>
      <c r="T297">
        <f>_xlfn.NUMBERVALUE("-0.002835")</f>
        <v/>
      </c>
      <c r="U297">
        <f>_xlfn.NUMBERVALUE("-0.003929")</f>
        <v/>
      </c>
      <c r="V297">
        <f>_xlfn.NUMBERVALUE("-0.000161")</f>
        <v/>
      </c>
      <c r="W297">
        <f>_xlfn.NUMBERVALUE("0.003329")</f>
        <v/>
      </c>
      <c r="X297">
        <f>_xlfn.NUMBERVALUE("0.160000")</f>
        <v/>
      </c>
      <c r="Y297">
        <f>_xlfn.NUMBERVALUE("16.860000")</f>
        <v/>
      </c>
    </row>
    <row r="298">
      <c r="A298" s="1" t="n">
        <v>42436</v>
      </c>
      <c r="B298">
        <f>_xlfn.NUMBERVALUE("0.000000")</f>
        <v/>
      </c>
      <c r="C298" s="2">
        <f>_xlfn.NUMBERVALUE("0.000562")</f>
        <v/>
      </c>
      <c r="D298">
        <f>_xlfn.NUMBERVALUE("0.001495")</f>
        <v/>
      </c>
      <c r="E298">
        <f>_xlfn.NUMBERVALUE("0.000967")</f>
        <v/>
      </c>
      <c r="F298">
        <f>_xlfn.NUMBERVALUE("0.002758")</f>
        <v/>
      </c>
      <c r="G298">
        <f>_xlfn.NUMBERVALUE("0.000769")</f>
        <v/>
      </c>
      <c r="H298">
        <f>_xlfn.NUMBERVALUE("0.000769")</f>
        <v/>
      </c>
      <c r="I298">
        <f>_xlfn.NUMBERVALUE("-0.001424")</f>
        <v/>
      </c>
      <c r="J298">
        <f>_xlfn.NUMBERVALUE("0.000017")</f>
        <v/>
      </c>
      <c r="K298">
        <f>_xlfn.NUMBERVALUE("0.005271")</f>
        <v/>
      </c>
      <c r="L298">
        <f>_xlfn.NUMBERVALUE("0.000335")</f>
        <v/>
      </c>
      <c r="M298">
        <f>_xlfn.NUMBERVALUE("0.000427")</f>
        <v/>
      </c>
      <c r="N298">
        <f>_xlfn.NUMBERVALUE("0.000000")</f>
        <v/>
      </c>
      <c r="O298">
        <f>_xlfn.NUMBERVALUE("-0.000290")</f>
        <v/>
      </c>
      <c r="P298">
        <f>_xlfn.NUMBERVALUE("0.000215")</f>
        <v/>
      </c>
      <c r="Q298">
        <f>_xlfn.NUMBERVALUE("0.000351")</f>
        <v/>
      </c>
      <c r="R298">
        <f>_xlfn.NUMBERVALUE("-0.000129")</f>
        <v/>
      </c>
      <c r="S298">
        <f>_xlfn.NUMBERVALUE("0.000736")</f>
        <v/>
      </c>
      <c r="T298">
        <f>_xlfn.NUMBERVALUE("0.001362")</f>
        <v/>
      </c>
      <c r="U298">
        <f>_xlfn.NUMBERVALUE("0.000271")</f>
        <v/>
      </c>
      <c r="V298">
        <f>_xlfn.NUMBERVALUE("0.000805")</f>
        <v/>
      </c>
      <c r="W298">
        <f>_xlfn.NUMBERVALUE("-0.000698")</f>
        <v/>
      </c>
      <c r="X298">
        <f>_xlfn.NUMBERVALUE("0.490000")</f>
        <v/>
      </c>
      <c r="Y298">
        <f>_xlfn.NUMBERVALUE("17.350000")</f>
        <v/>
      </c>
    </row>
    <row r="299">
      <c r="A299" s="1" t="n">
        <v>42437</v>
      </c>
      <c r="B299">
        <f>_xlfn.NUMBERVALUE("0.000000")</f>
        <v/>
      </c>
      <c r="C299" s="2">
        <f>_xlfn.NUMBERVALUE("-0.000496")</f>
        <v/>
      </c>
      <c r="D299">
        <f>_xlfn.NUMBERVALUE("-0.001674")</f>
        <v/>
      </c>
      <c r="E299">
        <f>_xlfn.NUMBERVALUE("-0.001546")</f>
        <v/>
      </c>
      <c r="F299">
        <f>_xlfn.NUMBERVALUE("-0.001966")</f>
        <v/>
      </c>
      <c r="G299">
        <f>_xlfn.NUMBERVALUE("-0.001666")</f>
        <v/>
      </c>
      <c r="H299">
        <f>_xlfn.NUMBERVALUE("-0.001645")</f>
        <v/>
      </c>
      <c r="I299">
        <f>_xlfn.NUMBERVALUE("-0.004741")</f>
        <v/>
      </c>
      <c r="J299">
        <f>_xlfn.NUMBERVALUE("-0.004844")</f>
        <v/>
      </c>
      <c r="K299">
        <f>_xlfn.NUMBERVALUE("-0.002155")</f>
        <v/>
      </c>
      <c r="L299">
        <f>_xlfn.NUMBERVALUE("-0.001541")</f>
        <v/>
      </c>
      <c r="M299">
        <f>_xlfn.NUMBERVALUE("-0.000389")</f>
        <v/>
      </c>
      <c r="N299">
        <f>_xlfn.NUMBERVALUE("0.000000")</f>
        <v/>
      </c>
      <c r="O299">
        <f>_xlfn.NUMBERVALUE("-0.000008")</f>
        <v/>
      </c>
      <c r="P299">
        <f>_xlfn.NUMBERVALUE("0.000044")</f>
        <v/>
      </c>
      <c r="Q299">
        <f>_xlfn.NUMBERVALUE("-0.000365")</f>
        <v/>
      </c>
      <c r="R299">
        <f>_xlfn.NUMBERVALUE("0.000057")</f>
        <v/>
      </c>
      <c r="S299">
        <f>_xlfn.NUMBERVALUE("-0.000967")</f>
        <v/>
      </c>
      <c r="T299">
        <f>_xlfn.NUMBERVALUE("-0.000564")</f>
        <v/>
      </c>
      <c r="U299">
        <f>_xlfn.NUMBERVALUE("-0.000400")</f>
        <v/>
      </c>
      <c r="V299">
        <f>_xlfn.NUMBERVALUE("-0.001312")</f>
        <v/>
      </c>
      <c r="W299">
        <f>_xlfn.NUMBERVALUE("-0.009936")</f>
        <v/>
      </c>
      <c r="X299">
        <f>_xlfn.NUMBERVALUE("1.320000")</f>
        <v/>
      </c>
      <c r="Y299">
        <f>_xlfn.NUMBERVALUE("18.670000")</f>
        <v/>
      </c>
    </row>
    <row r="300">
      <c r="A300" s="1" t="n">
        <v>42438</v>
      </c>
      <c r="B300">
        <f>_xlfn.NUMBERVALUE("0.000000")</f>
        <v/>
      </c>
      <c r="C300" s="2">
        <f>_xlfn.NUMBERVALUE("0.000283")</f>
        <v/>
      </c>
      <c r="D300">
        <f>_xlfn.NUMBERVALUE("0.000811")</f>
        <v/>
      </c>
      <c r="E300">
        <f>_xlfn.NUMBERVALUE("0.000535")</f>
        <v/>
      </c>
      <c r="F300">
        <f>_xlfn.NUMBERVALUE("0.000631")</f>
        <v/>
      </c>
      <c r="G300">
        <f>_xlfn.NUMBERVALUE("0.000927")</f>
        <v/>
      </c>
      <c r="H300">
        <f>_xlfn.NUMBERVALUE("-0.000448")</f>
        <v/>
      </c>
      <c r="I300">
        <f>_xlfn.NUMBERVALUE("0.000577")</f>
        <v/>
      </c>
      <c r="J300">
        <f>_xlfn.NUMBERVALUE("0.001952")</f>
        <v/>
      </c>
      <c r="K300">
        <f>_xlfn.NUMBERVALUE("0.002687")</f>
        <v/>
      </c>
      <c r="L300">
        <f>_xlfn.NUMBERVALUE("0.000221")</f>
        <v/>
      </c>
      <c r="M300">
        <f>_xlfn.NUMBERVALUE("0.001302")</f>
        <v/>
      </c>
      <c r="N300">
        <f>_xlfn.NUMBERVALUE("0.000000")</f>
        <v/>
      </c>
      <c r="O300">
        <f>_xlfn.NUMBERVALUE("-0.000272")</f>
        <v/>
      </c>
      <c r="P300">
        <f>_xlfn.NUMBERVALUE("-0.000342")</f>
        <v/>
      </c>
      <c r="Q300">
        <f>_xlfn.NUMBERVALUE("0.000151")</f>
        <v/>
      </c>
      <c r="R300">
        <f>_xlfn.NUMBERVALUE("0.000705")</f>
        <v/>
      </c>
      <c r="S300">
        <f>_xlfn.NUMBERVALUE("-0.000850")</f>
        <v/>
      </c>
      <c r="T300">
        <f>_xlfn.NUMBERVALUE("-0.000411")</f>
        <v/>
      </c>
      <c r="U300">
        <f>_xlfn.NUMBERVALUE("0.000831")</f>
        <v/>
      </c>
      <c r="V300">
        <f>_xlfn.NUMBERVALUE("0.000299")</f>
        <v/>
      </c>
      <c r="W300">
        <f>_xlfn.NUMBERVALUE("0.003908")</f>
        <v/>
      </c>
      <c r="X300">
        <f>_xlfn.NUMBERVALUE("-0.330000")</f>
        <v/>
      </c>
      <c r="Y300">
        <f>_xlfn.NUMBERVALUE("18.340000")</f>
        <v/>
      </c>
    </row>
    <row r="301">
      <c r="A301" s="1" t="n">
        <v>42439</v>
      </c>
      <c r="B301">
        <f>_xlfn.NUMBERVALUE("0.000000")</f>
        <v/>
      </c>
      <c r="C301" s="2">
        <f>_xlfn.NUMBERVALUE("0.001326")</f>
        <v/>
      </c>
      <c r="D301">
        <f>_xlfn.NUMBERVALUE("0.003404")</f>
        <v/>
      </c>
      <c r="E301">
        <f>_xlfn.NUMBERVALUE("0.001730")</f>
        <v/>
      </c>
      <c r="F301">
        <f>_xlfn.NUMBERVALUE("-0.001616")</f>
        <v/>
      </c>
      <c r="G301">
        <f>_xlfn.NUMBERVALUE("0.000330")</f>
        <v/>
      </c>
      <c r="H301">
        <f>_xlfn.NUMBERVALUE("0.000253")</f>
        <v/>
      </c>
      <c r="I301">
        <f>_xlfn.NUMBERVALUE("0.002440")</f>
        <v/>
      </c>
      <c r="J301">
        <f>_xlfn.NUMBERVALUE("-0.000776")</f>
        <v/>
      </c>
      <c r="K301">
        <f>_xlfn.NUMBERVALUE("-0.004397")</f>
        <v/>
      </c>
      <c r="L301">
        <f>_xlfn.NUMBERVALUE("0.000765")</f>
        <v/>
      </c>
      <c r="M301">
        <f>_xlfn.NUMBERVALUE("0.000894")</f>
        <v/>
      </c>
      <c r="N301">
        <f>_xlfn.NUMBERVALUE("0.000000")</f>
        <v/>
      </c>
      <c r="O301">
        <f>_xlfn.NUMBERVALUE("0.002138")</f>
        <v/>
      </c>
      <c r="P301">
        <f>_xlfn.NUMBERVALUE("0.001151")</f>
        <v/>
      </c>
      <c r="Q301">
        <f>_xlfn.NUMBERVALUE("0.002093")</f>
        <v/>
      </c>
      <c r="R301">
        <f>_xlfn.NUMBERVALUE("0.000994")</f>
        <v/>
      </c>
      <c r="S301">
        <f>_xlfn.NUMBERVALUE("0.001385")</f>
        <v/>
      </c>
      <c r="T301">
        <f>_xlfn.NUMBERVALUE("-0.000632")</f>
        <v/>
      </c>
      <c r="U301">
        <f>_xlfn.NUMBERVALUE("0.001071")</f>
        <v/>
      </c>
      <c r="V301">
        <f>_xlfn.NUMBERVALUE("0.001649")</f>
        <v/>
      </c>
      <c r="W301">
        <f>_xlfn.NUMBERVALUE("0.000327")</f>
        <v/>
      </c>
      <c r="X301">
        <f>_xlfn.NUMBERVALUE("-0.290000")</f>
        <v/>
      </c>
      <c r="Y301">
        <f>_xlfn.NUMBERVALUE("18.050000")</f>
        <v/>
      </c>
    </row>
    <row r="302">
      <c r="A302" s="1" t="n">
        <v>42440</v>
      </c>
      <c r="B302">
        <f>_xlfn.NUMBERVALUE("0.000000")</f>
        <v/>
      </c>
      <c r="C302" s="2">
        <f>_xlfn.NUMBERVALUE("-0.000427")</f>
        <v/>
      </c>
      <c r="D302">
        <f>_xlfn.NUMBERVALUE("-0.001956")</f>
        <v/>
      </c>
      <c r="E302">
        <f>_xlfn.NUMBERVALUE("-0.005774")</f>
        <v/>
      </c>
      <c r="F302">
        <f>_xlfn.NUMBERVALUE("-0.000082")</f>
        <v/>
      </c>
      <c r="G302">
        <f>_xlfn.NUMBERVALUE("-0.003719")</f>
        <v/>
      </c>
      <c r="H302">
        <f>_xlfn.NUMBERVALUE("0.000377")</f>
        <v/>
      </c>
      <c r="I302">
        <f>_xlfn.NUMBERVALUE("-0.001856")</f>
        <v/>
      </c>
      <c r="J302">
        <f>_xlfn.NUMBERVALUE("-0.000486")</f>
        <v/>
      </c>
      <c r="K302">
        <f>_xlfn.NUMBERVALUE("0.005540")</f>
        <v/>
      </c>
      <c r="L302">
        <f>_xlfn.NUMBERVALUE("0.000313")</f>
        <v/>
      </c>
      <c r="M302">
        <f>_xlfn.NUMBERVALUE("0.001350")</f>
        <v/>
      </c>
      <c r="N302">
        <f>_xlfn.NUMBERVALUE("0.000000")</f>
        <v/>
      </c>
      <c r="O302">
        <f>_xlfn.NUMBERVALUE("-0.000969")</f>
        <v/>
      </c>
      <c r="P302">
        <f>_xlfn.NUMBERVALUE("0.000109")</f>
        <v/>
      </c>
      <c r="Q302">
        <f>_xlfn.NUMBERVALUE("0.000031")</f>
        <v/>
      </c>
      <c r="R302">
        <f>_xlfn.NUMBERVALUE("-0.000030")</f>
        <v/>
      </c>
      <c r="S302">
        <f>_xlfn.NUMBERVALUE("0.000740")</f>
        <v/>
      </c>
      <c r="T302">
        <f>_xlfn.NUMBERVALUE("0.001203")</f>
        <v/>
      </c>
      <c r="U302">
        <f>_xlfn.NUMBERVALUE("0.001194")</f>
        <v/>
      </c>
      <c r="V302">
        <f>_xlfn.NUMBERVALUE("-0.001864")</f>
        <v/>
      </c>
      <c r="W302">
        <f>_xlfn.NUMBERVALUE("0.017475")</f>
        <v/>
      </c>
      <c r="X302">
        <f>_xlfn.NUMBERVALUE("-1.550000")</f>
        <v/>
      </c>
      <c r="Y302">
        <f>_xlfn.NUMBERVALUE("16.500000")</f>
        <v/>
      </c>
    </row>
    <row r="303">
      <c r="A303" s="1" t="n">
        <v>42443</v>
      </c>
      <c r="B303">
        <f>_xlfn.NUMBERVALUE("0.000000")</f>
        <v/>
      </c>
      <c r="C303" s="2">
        <f>_xlfn.NUMBERVALUE("0.001184")</f>
        <v/>
      </c>
      <c r="D303">
        <f>_xlfn.NUMBERVALUE("0.001153")</f>
        <v/>
      </c>
      <c r="E303">
        <f>_xlfn.NUMBERVALUE("0.000931")</f>
        <v/>
      </c>
      <c r="F303">
        <f>_xlfn.NUMBERVALUE("0.002250")</f>
        <v/>
      </c>
      <c r="G303">
        <f>_xlfn.NUMBERVALUE("0.000430")</f>
        <v/>
      </c>
      <c r="H303">
        <f>_xlfn.NUMBERVALUE("0.000557")</f>
        <v/>
      </c>
      <c r="I303">
        <f>_xlfn.NUMBERVALUE("0.001902")</f>
        <v/>
      </c>
      <c r="J303">
        <f>_xlfn.NUMBERVALUE("-0.000298")</f>
        <v/>
      </c>
      <c r="K303">
        <f>_xlfn.NUMBERVALUE("0.003406")</f>
        <v/>
      </c>
      <c r="L303">
        <f>_xlfn.NUMBERVALUE("0.001227")</f>
        <v/>
      </c>
      <c r="M303">
        <f>_xlfn.NUMBERVALUE("0.000953")</f>
        <v/>
      </c>
      <c r="N303">
        <f>_xlfn.NUMBERVALUE("0.000000")</f>
        <v/>
      </c>
      <c r="O303">
        <f>_xlfn.NUMBERVALUE("0.003086")</f>
        <v/>
      </c>
      <c r="P303">
        <f>_xlfn.NUMBERVALUE("-0.001312")</f>
        <v/>
      </c>
      <c r="Q303">
        <f>_xlfn.NUMBERVALUE("0.001820")</f>
        <v/>
      </c>
      <c r="R303">
        <f>_xlfn.NUMBERVALUE("0.001310")</f>
        <v/>
      </c>
      <c r="S303">
        <f>_xlfn.NUMBERVALUE("0.001741")</f>
        <v/>
      </c>
      <c r="T303">
        <f>_xlfn.NUMBERVALUE("0.001951")</f>
        <v/>
      </c>
      <c r="U303">
        <f>_xlfn.NUMBERVALUE("0.000092")</f>
        <v/>
      </c>
      <c r="V303">
        <f>_xlfn.NUMBERVALUE("0.001495")</f>
        <v/>
      </c>
      <c r="W303">
        <f>_xlfn.NUMBERVALUE("-0.000123")</f>
        <v/>
      </c>
      <c r="X303">
        <f>_xlfn.NUMBERVALUE("0.420000")</f>
        <v/>
      </c>
      <c r="Y303">
        <f>_xlfn.NUMBERVALUE("16.920000")</f>
        <v/>
      </c>
    </row>
    <row r="304">
      <c r="A304" s="1" t="n">
        <v>42444</v>
      </c>
      <c r="B304">
        <f>_xlfn.NUMBERVALUE("0.000000")</f>
        <v/>
      </c>
      <c r="C304" s="2">
        <f>_xlfn.NUMBERVALUE("0.000411")</f>
        <v/>
      </c>
      <c r="D304">
        <f>_xlfn.NUMBERVALUE("-0.000576")</f>
        <v/>
      </c>
      <c r="E304">
        <f>_xlfn.NUMBERVALUE("0.000151")</f>
        <v/>
      </c>
      <c r="F304">
        <f>_xlfn.NUMBERVALUE("0.003514")</f>
        <v/>
      </c>
      <c r="G304">
        <f>_xlfn.NUMBERVALUE("-0.000416")</f>
        <v/>
      </c>
      <c r="H304">
        <f>_xlfn.NUMBERVALUE("0.000692")</f>
        <v/>
      </c>
      <c r="I304">
        <f>_xlfn.NUMBERVALUE("-0.000665")</f>
        <v/>
      </c>
      <c r="J304">
        <f>_xlfn.NUMBERVALUE("0.000657")</f>
        <v/>
      </c>
      <c r="K304">
        <f>_xlfn.NUMBERVALUE("0.000449")</f>
        <v/>
      </c>
      <c r="L304">
        <f>_xlfn.NUMBERVALUE("0.000702")</f>
        <v/>
      </c>
      <c r="M304">
        <f>_xlfn.NUMBERVALUE("0.001486")</f>
        <v/>
      </c>
      <c r="N304">
        <f>_xlfn.NUMBERVALUE("0.000000")</f>
        <v/>
      </c>
      <c r="O304">
        <f>_xlfn.NUMBERVALUE("0.003905")</f>
        <v/>
      </c>
      <c r="P304">
        <f>_xlfn.NUMBERVALUE("0.002937")</f>
        <v/>
      </c>
      <c r="Q304">
        <f>_xlfn.NUMBERVALUE("0.002616")</f>
        <v/>
      </c>
      <c r="R304">
        <f>_xlfn.NUMBERVALUE("0.000936")</f>
        <v/>
      </c>
      <c r="S304">
        <f>_xlfn.NUMBERVALUE("0.001326")</f>
        <v/>
      </c>
      <c r="T304">
        <f>_xlfn.NUMBERVALUE("0.002029")</f>
        <v/>
      </c>
      <c r="U304">
        <f>_xlfn.NUMBERVALUE("0.000699")</f>
        <v/>
      </c>
      <c r="V304">
        <f>_xlfn.NUMBERVALUE("0.000532")</f>
        <v/>
      </c>
      <c r="W304">
        <f>_xlfn.NUMBERVALUE("-0.002838")</f>
        <v/>
      </c>
      <c r="X304">
        <f>_xlfn.NUMBERVALUE("-0.080000")</f>
        <v/>
      </c>
      <c r="Y304">
        <f>_xlfn.NUMBERVALUE("16.840000")</f>
        <v/>
      </c>
    </row>
    <row r="305">
      <c r="A305" s="1" t="n">
        <v>42445</v>
      </c>
      <c r="B305">
        <f>_xlfn.NUMBERVALUE("0.000000")</f>
        <v/>
      </c>
      <c r="C305" s="2">
        <f>_xlfn.NUMBERVALUE("0.001385")</f>
        <v/>
      </c>
      <c r="D305">
        <f>_xlfn.NUMBERVALUE("-0.001600")</f>
        <v/>
      </c>
      <c r="E305">
        <f>_xlfn.NUMBERVALUE("0.000708")</f>
        <v/>
      </c>
      <c r="F305">
        <f>_xlfn.NUMBERVALUE("-0.001492")</f>
        <v/>
      </c>
      <c r="G305">
        <f>_xlfn.NUMBERVALUE("0.000743")</f>
        <v/>
      </c>
      <c r="H305">
        <f>_xlfn.NUMBERVALUE("0.000782")</f>
        <v/>
      </c>
      <c r="I305">
        <f>_xlfn.NUMBERVALUE("0.002958")</f>
        <v/>
      </c>
      <c r="J305">
        <f>_xlfn.NUMBERVALUE("0.002214")</f>
        <v/>
      </c>
      <c r="K305">
        <f>_xlfn.NUMBERVALUE("-0.002907")</f>
        <v/>
      </c>
      <c r="L305">
        <f>_xlfn.NUMBERVALUE("0.001686")</f>
        <v/>
      </c>
      <c r="M305">
        <f>_xlfn.NUMBERVALUE("0.000284")</f>
        <v/>
      </c>
      <c r="N305">
        <f>_xlfn.NUMBERVALUE("0.000000")</f>
        <v/>
      </c>
      <c r="O305">
        <f>_xlfn.NUMBERVALUE("0.000929")</f>
        <v/>
      </c>
      <c r="P305">
        <f>_xlfn.NUMBERVALUE("0.001537")</f>
        <v/>
      </c>
      <c r="Q305">
        <f>_xlfn.NUMBERVALUE("0.000052")</f>
        <v/>
      </c>
      <c r="R305">
        <f>_xlfn.NUMBERVALUE("-0.000650")</f>
        <v/>
      </c>
      <c r="S305">
        <f>_xlfn.NUMBERVALUE("0.000546")</f>
        <v/>
      </c>
      <c r="T305">
        <f>_xlfn.NUMBERVALUE("-0.001285")</f>
        <v/>
      </c>
      <c r="U305">
        <f>_xlfn.NUMBERVALUE("0.000870")</f>
        <v/>
      </c>
      <c r="V305">
        <f>_xlfn.NUMBERVALUE("0.001884")</f>
        <v/>
      </c>
      <c r="W305">
        <f>_xlfn.NUMBERVALUE("0.006287")</f>
        <v/>
      </c>
      <c r="X305">
        <f>_xlfn.NUMBERVALUE("-1.850000")</f>
        <v/>
      </c>
      <c r="Y305">
        <f>_xlfn.NUMBERVALUE("14.990000")</f>
        <v/>
      </c>
    </row>
    <row r="306">
      <c r="A306" s="1" t="n">
        <v>42446</v>
      </c>
      <c r="B306">
        <f>_xlfn.NUMBERVALUE("0.000000")</f>
        <v/>
      </c>
      <c r="C306" s="2">
        <f>_xlfn.NUMBERVALUE("0.000184")</f>
        <v/>
      </c>
      <c r="D306">
        <f>_xlfn.NUMBERVALUE("-0.003083")</f>
        <v/>
      </c>
      <c r="E306">
        <f>_xlfn.NUMBERVALUE("-0.000132")</f>
        <v/>
      </c>
      <c r="F306">
        <f>_xlfn.NUMBERVALUE("0.002537")</f>
        <v/>
      </c>
      <c r="G306">
        <f>_xlfn.NUMBERVALUE("-0.000520")</f>
        <v/>
      </c>
      <c r="H306">
        <f>_xlfn.NUMBERVALUE("-0.000137")</f>
        <v/>
      </c>
      <c r="I306">
        <f>_xlfn.NUMBERVALUE("0.000928")</f>
        <v/>
      </c>
      <c r="J306">
        <f>_xlfn.NUMBERVALUE("-0.002568")</f>
        <v/>
      </c>
      <c r="K306">
        <f>_xlfn.NUMBERVALUE("-0.004699")</f>
        <v/>
      </c>
      <c r="L306">
        <f>_xlfn.NUMBERVALUE("0.000050")</f>
        <v/>
      </c>
      <c r="M306">
        <f>_xlfn.NUMBERVALUE("-0.001047")</f>
        <v/>
      </c>
      <c r="N306">
        <f>_xlfn.NUMBERVALUE("0.000000")</f>
        <v/>
      </c>
      <c r="O306">
        <f>_xlfn.NUMBERVALUE("-0.000690")</f>
        <v/>
      </c>
      <c r="P306">
        <f>_xlfn.NUMBERVALUE("0.002823")</f>
        <v/>
      </c>
      <c r="Q306">
        <f>_xlfn.NUMBERVALUE("-0.003291")</f>
        <v/>
      </c>
      <c r="R306">
        <f>_xlfn.NUMBERVALUE("0.001697")</f>
        <v/>
      </c>
      <c r="S306">
        <f>_xlfn.NUMBERVALUE("0.001358")</f>
        <v/>
      </c>
      <c r="T306">
        <f>_xlfn.NUMBERVALUE("0.000821")</f>
        <v/>
      </c>
      <c r="U306">
        <f>_xlfn.NUMBERVALUE("0.002976")</f>
        <v/>
      </c>
      <c r="V306">
        <f>_xlfn.NUMBERVALUE("0.000091")</f>
        <v/>
      </c>
      <c r="W306">
        <f>_xlfn.NUMBERVALUE("0.005657")</f>
        <v/>
      </c>
      <c r="X306">
        <f>_xlfn.NUMBERVALUE("-0.550000")</f>
        <v/>
      </c>
      <c r="Y306">
        <f>_xlfn.NUMBERVALUE("14.440000")</f>
        <v/>
      </c>
    </row>
    <row r="307">
      <c r="A307" s="1" t="n">
        <v>42447</v>
      </c>
      <c r="B307">
        <f>_xlfn.NUMBERVALUE("0.000000")</f>
        <v/>
      </c>
      <c r="C307" s="2">
        <f>_xlfn.NUMBERVALUE("-0.001286")</f>
        <v/>
      </c>
      <c r="D307">
        <f>_xlfn.NUMBERVALUE("0.001298")</f>
        <v/>
      </c>
      <c r="E307">
        <f>_xlfn.NUMBERVALUE("0.001524")</f>
        <v/>
      </c>
      <c r="F307">
        <f>_xlfn.NUMBERVALUE("0.002131")</f>
        <v/>
      </c>
      <c r="G307">
        <f>_xlfn.NUMBERVALUE("-0.000197")</f>
        <v/>
      </c>
      <c r="H307">
        <f>_xlfn.NUMBERVALUE("0.000715")</f>
        <v/>
      </c>
      <c r="I307">
        <f>_xlfn.NUMBERVALUE("-0.003276")</f>
        <v/>
      </c>
      <c r="J307">
        <f>_xlfn.NUMBERVALUE("-0.000284")</f>
        <v/>
      </c>
      <c r="K307">
        <f>_xlfn.NUMBERVALUE("0.004715")</f>
        <v/>
      </c>
      <c r="L307">
        <f>_xlfn.NUMBERVALUE("0.001597")</f>
        <v/>
      </c>
      <c r="M307">
        <f>_xlfn.NUMBERVALUE("-0.001604")</f>
        <v/>
      </c>
      <c r="N307">
        <f>_xlfn.NUMBERVALUE("0.000000")</f>
        <v/>
      </c>
      <c r="O307">
        <f>_xlfn.NUMBERVALUE("-0.002397")</f>
        <v/>
      </c>
      <c r="P307">
        <f>_xlfn.NUMBERVALUE("-0.005531")</f>
        <v/>
      </c>
      <c r="Q307">
        <f>_xlfn.NUMBERVALUE("-0.002848")</f>
        <v/>
      </c>
      <c r="R307">
        <f>_xlfn.NUMBERVALUE("-0.002961")</f>
        <v/>
      </c>
      <c r="S307">
        <f>_xlfn.NUMBERVALUE("-0.004589")</f>
        <v/>
      </c>
      <c r="T307">
        <f>_xlfn.NUMBERVALUE("-0.004919")</f>
        <v/>
      </c>
      <c r="U307">
        <f>_xlfn.NUMBERVALUE("-0.001026")</f>
        <v/>
      </c>
      <c r="V307">
        <f>_xlfn.NUMBERVALUE("-0.002242")</f>
        <v/>
      </c>
      <c r="W307">
        <f>_xlfn.NUMBERVALUE("-0.000083")</f>
        <v/>
      </c>
      <c r="X307">
        <f>_xlfn.NUMBERVALUE("-0.420000")</f>
        <v/>
      </c>
      <c r="Y307">
        <f>_xlfn.NUMBERVALUE("14.020000")</f>
        <v/>
      </c>
    </row>
    <row r="308">
      <c r="A308" s="1" t="n">
        <v>42450</v>
      </c>
      <c r="B308">
        <f>_xlfn.NUMBERVALUE("0.000000")</f>
        <v/>
      </c>
      <c r="C308" s="2">
        <f>_xlfn.NUMBERVALUE("0.000001")</f>
        <v/>
      </c>
      <c r="D308">
        <f>_xlfn.NUMBERVALUE("0.000592")</f>
        <v/>
      </c>
      <c r="E308">
        <f>_xlfn.NUMBERVALUE("0.001272")</f>
        <v/>
      </c>
      <c r="F308">
        <f>_xlfn.NUMBERVALUE("0.001351")</f>
        <v/>
      </c>
      <c r="G308">
        <f>_xlfn.NUMBERVALUE("0.002623")</f>
        <v/>
      </c>
      <c r="H308">
        <f>_xlfn.NUMBERVALUE("0.000609")</f>
        <v/>
      </c>
      <c r="I308">
        <f>_xlfn.NUMBERVALUE("0.001458")</f>
        <v/>
      </c>
      <c r="J308">
        <f>_xlfn.NUMBERVALUE("0.000953")</f>
        <v/>
      </c>
      <c r="K308">
        <f>_xlfn.NUMBERVALUE("0.002364")</f>
        <v/>
      </c>
      <c r="L308">
        <f>_xlfn.NUMBERVALUE("-0.000661")</f>
        <v/>
      </c>
      <c r="M308">
        <f>_xlfn.NUMBERVALUE("-0.001217")</f>
        <v/>
      </c>
      <c r="N308">
        <f>_xlfn.NUMBERVALUE("0.000000")</f>
        <v/>
      </c>
      <c r="O308">
        <f>_xlfn.NUMBERVALUE("0.000618")</f>
        <v/>
      </c>
      <c r="P308">
        <f>_xlfn.NUMBERVALUE("0.002032")</f>
        <v/>
      </c>
      <c r="Q308">
        <f>_xlfn.NUMBERVALUE("-0.000150")</f>
        <v/>
      </c>
      <c r="R308">
        <f>_xlfn.NUMBERVALUE("0.001410")</f>
        <v/>
      </c>
      <c r="S308">
        <f>_xlfn.NUMBERVALUE("0.001713")</f>
        <v/>
      </c>
      <c r="T308">
        <f>_xlfn.NUMBERVALUE("0.000888")</f>
        <v/>
      </c>
      <c r="U308">
        <f>_xlfn.NUMBERVALUE("0.000035")</f>
        <v/>
      </c>
      <c r="V308">
        <f>_xlfn.NUMBERVALUE("0.000966")</f>
        <v/>
      </c>
      <c r="W308">
        <f>_xlfn.NUMBERVALUE("0.001795")</f>
        <v/>
      </c>
      <c r="X308">
        <f>_xlfn.NUMBERVALUE("-0.230000")</f>
        <v/>
      </c>
      <c r="Y308">
        <f>_xlfn.NUMBERVALUE("13.790000")</f>
        <v/>
      </c>
    </row>
    <row r="309">
      <c r="A309" s="1" t="n">
        <v>42451</v>
      </c>
      <c r="B309">
        <f>_xlfn.NUMBERVALUE("0.000000")</f>
        <v/>
      </c>
      <c r="C309" s="2">
        <f>_xlfn.NUMBERVALUE("0.000318")</f>
        <v/>
      </c>
      <c r="D309">
        <f>_xlfn.NUMBERVALUE("0.001513")</f>
        <v/>
      </c>
      <c r="E309">
        <f>_xlfn.NUMBERVALUE("0.000321")</f>
        <v/>
      </c>
      <c r="F309">
        <f>_xlfn.NUMBERVALUE("0.000997")</f>
        <v/>
      </c>
      <c r="G309">
        <f>_xlfn.NUMBERVALUE("-0.000529")</f>
        <v/>
      </c>
      <c r="H309">
        <f>_xlfn.NUMBERVALUE("0.000136")</f>
        <v/>
      </c>
      <c r="I309">
        <f>_xlfn.NUMBERVALUE("0.001716")</f>
        <v/>
      </c>
      <c r="J309">
        <f>_xlfn.NUMBERVALUE("0.000432")</f>
        <v/>
      </c>
      <c r="K309">
        <f>_xlfn.NUMBERVALUE("0.000213")</f>
        <v/>
      </c>
      <c r="L309">
        <f>_xlfn.NUMBERVALUE("0.000496")</f>
        <v/>
      </c>
      <c r="M309">
        <f>_xlfn.NUMBERVALUE("0.000337")</f>
        <v/>
      </c>
      <c r="N309">
        <f>_xlfn.NUMBERVALUE("0.000000")</f>
        <v/>
      </c>
      <c r="O309">
        <f>_xlfn.NUMBERVALUE("0.002269")</f>
        <v/>
      </c>
      <c r="P309">
        <f>_xlfn.NUMBERVALUE("0.001569")</f>
        <v/>
      </c>
      <c r="Q309">
        <f>_xlfn.NUMBERVALUE("0.005173")</f>
        <v/>
      </c>
      <c r="R309">
        <f>_xlfn.NUMBERVALUE("0.000541")</f>
        <v/>
      </c>
      <c r="S309">
        <f>_xlfn.NUMBERVALUE("-0.000732")</f>
        <v/>
      </c>
      <c r="T309">
        <f>_xlfn.NUMBERVALUE("0.000580")</f>
        <v/>
      </c>
      <c r="U309">
        <f>_xlfn.NUMBERVALUE("0.000398")</f>
        <v/>
      </c>
      <c r="V309">
        <f>_xlfn.NUMBERVALUE("0.000295")</f>
        <v/>
      </c>
      <c r="W309">
        <f>_xlfn.NUMBERVALUE("-0.001099")</f>
        <v/>
      </c>
      <c r="X309">
        <f>_xlfn.NUMBERVALUE("0.380000")</f>
        <v/>
      </c>
      <c r="Y309">
        <f>_xlfn.NUMBERVALUE("14.170000")</f>
        <v/>
      </c>
    </row>
    <row r="310">
      <c r="A310" s="1" t="n">
        <v>42452</v>
      </c>
      <c r="B310">
        <f>_xlfn.NUMBERVALUE("0.000000")</f>
        <v/>
      </c>
      <c r="C310" s="2">
        <f>_xlfn.NUMBERVALUE("0.000666")</f>
        <v/>
      </c>
      <c r="D310">
        <f>_xlfn.NUMBERVALUE("0.000810")</f>
        <v/>
      </c>
      <c r="E310">
        <f>_xlfn.NUMBERVALUE("0.002282")</f>
        <v/>
      </c>
      <c r="F310">
        <f>_xlfn.NUMBERVALUE("-0.006953")</f>
        <v/>
      </c>
      <c r="G310">
        <f>_xlfn.NUMBERVALUE("0.001567")</f>
        <v/>
      </c>
      <c r="H310">
        <f>_xlfn.NUMBERVALUE("-0.000322")</f>
        <v/>
      </c>
      <c r="I310">
        <f>_xlfn.NUMBERVALUE("-0.004222")</f>
        <v/>
      </c>
      <c r="J310">
        <f>_xlfn.NUMBERVALUE("-0.000056")</f>
        <v/>
      </c>
      <c r="K310">
        <f>_xlfn.NUMBERVALUE("-0.008539")</f>
        <v/>
      </c>
      <c r="L310">
        <f>_xlfn.NUMBERVALUE("-0.001940")</f>
        <v/>
      </c>
      <c r="M310">
        <f>_xlfn.NUMBERVALUE("0.000117")</f>
        <v/>
      </c>
      <c r="N310">
        <f>_xlfn.NUMBERVALUE("0.000000")</f>
        <v/>
      </c>
      <c r="O310">
        <f>_xlfn.NUMBERVALUE("-0.001041")</f>
        <v/>
      </c>
      <c r="P310">
        <f>_xlfn.NUMBERVALUE("-0.000201")</f>
        <v/>
      </c>
      <c r="Q310">
        <f>_xlfn.NUMBERVALUE("-0.002820")</f>
        <v/>
      </c>
      <c r="R310">
        <f>_xlfn.NUMBERVALUE("0.000972")</f>
        <v/>
      </c>
      <c r="S310">
        <f>_xlfn.NUMBERVALUE("0.000777")</f>
        <v/>
      </c>
      <c r="T310">
        <f>_xlfn.NUMBERVALUE("-0.000160")</f>
        <v/>
      </c>
      <c r="U310">
        <f>_xlfn.NUMBERVALUE("0.000826")</f>
        <v/>
      </c>
      <c r="V310">
        <f>_xlfn.NUMBERVALUE("0.000682")</f>
        <v/>
      </c>
      <c r="W310">
        <f>_xlfn.NUMBERVALUE("-0.005656")</f>
        <v/>
      </c>
      <c r="X310">
        <f>_xlfn.NUMBERVALUE("0.770000")</f>
        <v/>
      </c>
      <c r="Y310">
        <f>_xlfn.NUMBERVALUE("14.940000")</f>
        <v/>
      </c>
    </row>
    <row r="311">
      <c r="A311" s="1" t="n">
        <v>42453</v>
      </c>
      <c r="B311">
        <f>_xlfn.NUMBERVALUE("0.000000")</f>
        <v/>
      </c>
      <c r="C311" s="2">
        <f>_xlfn.NUMBERVALUE("0.000876")</f>
        <v/>
      </c>
      <c r="D311">
        <f>_xlfn.NUMBERVALUE("0.001223")</f>
        <v/>
      </c>
      <c r="E311">
        <f>_xlfn.NUMBERVALUE("0.000860")</f>
        <v/>
      </c>
      <c r="F311">
        <f>_xlfn.NUMBERVALUE("0.000443")</f>
        <v/>
      </c>
      <c r="G311">
        <f>_xlfn.NUMBERVALUE("0.001359")</f>
        <v/>
      </c>
      <c r="H311">
        <f>_xlfn.NUMBERVALUE("0.000417")</f>
        <v/>
      </c>
      <c r="I311">
        <f>_xlfn.NUMBERVALUE("0.002289")</f>
        <v/>
      </c>
      <c r="J311">
        <f>_xlfn.NUMBERVALUE("0.000054")</f>
        <v/>
      </c>
      <c r="K311">
        <f>_xlfn.NUMBERVALUE("0.001685")</f>
        <v/>
      </c>
      <c r="L311">
        <f>_xlfn.NUMBERVALUE("0.001516")</f>
        <v/>
      </c>
      <c r="M311">
        <f>_xlfn.NUMBERVALUE("0.001474")</f>
        <v/>
      </c>
      <c r="N311">
        <f>_xlfn.NUMBERVALUE("0.000000")</f>
        <v/>
      </c>
      <c r="O311">
        <f>_xlfn.NUMBERVALUE("0.001567")</f>
        <v/>
      </c>
      <c r="P311">
        <f>_xlfn.NUMBERVALUE("0.001343")</f>
        <v/>
      </c>
      <c r="Q311">
        <f>_xlfn.NUMBERVALUE("-0.002674")</f>
        <v/>
      </c>
      <c r="R311">
        <f>_xlfn.NUMBERVALUE("0.000226")</f>
        <v/>
      </c>
      <c r="S311">
        <f>_xlfn.NUMBERVALUE("0.001086")</f>
        <v/>
      </c>
      <c r="T311">
        <f>_xlfn.NUMBERVALUE("0.000108")</f>
        <v/>
      </c>
      <c r="U311">
        <f>_xlfn.NUMBERVALUE("0.000688")</f>
        <v/>
      </c>
      <c r="V311">
        <f>_xlfn.NUMBERVALUE("0.001515")</f>
        <v/>
      </c>
      <c r="W311">
        <f>_xlfn.NUMBERVALUE("-0.001711")</f>
        <v/>
      </c>
      <c r="X311">
        <f>_xlfn.NUMBERVALUE("-0.200000")</f>
        <v/>
      </c>
      <c r="Y311">
        <f>_xlfn.NUMBERVALUE("14.740000")</f>
        <v/>
      </c>
    </row>
    <row r="312">
      <c r="A312" s="1" t="n">
        <v>42457</v>
      </c>
      <c r="B312">
        <f>_xlfn.NUMBERVALUE("0.000000")</f>
        <v/>
      </c>
      <c r="C312" s="2">
        <f>_xlfn.NUMBERVALUE("0.000828")</f>
        <v/>
      </c>
      <c r="D312">
        <f>_xlfn.NUMBERVALUE("0.001317")</f>
        <v/>
      </c>
      <c r="E312">
        <f>_xlfn.NUMBERVALUE("0.000329")</f>
        <v/>
      </c>
      <c r="F312">
        <f>_xlfn.NUMBERVALUE("0.002168")</f>
        <v/>
      </c>
      <c r="G312">
        <f>_xlfn.NUMBERVALUE("0.002082")</f>
        <v/>
      </c>
      <c r="H312">
        <f>_xlfn.NUMBERVALUE("0.001415")</f>
        <v/>
      </c>
      <c r="I312">
        <f>_xlfn.NUMBERVALUE("0.002784")</f>
        <v/>
      </c>
      <c r="J312">
        <f>_xlfn.NUMBERVALUE("-0.000626")</f>
        <v/>
      </c>
      <c r="K312">
        <f>_xlfn.NUMBERVALUE("0.005504")</f>
        <v/>
      </c>
      <c r="L312">
        <f>_xlfn.NUMBERVALUE("0.001297")</f>
        <v/>
      </c>
      <c r="M312">
        <f>_xlfn.NUMBERVALUE("0.000544")</f>
        <v/>
      </c>
      <c r="N312">
        <f>_xlfn.NUMBERVALUE("0.000000")</f>
        <v/>
      </c>
      <c r="O312">
        <f>_xlfn.NUMBERVALUE("0.002310")</f>
        <v/>
      </c>
      <c r="P312">
        <f>_xlfn.NUMBERVALUE("0.002960")</f>
        <v/>
      </c>
      <c r="Q312">
        <f>_xlfn.NUMBERVALUE("0.007863")</f>
        <v/>
      </c>
      <c r="R312">
        <f>_xlfn.NUMBERVALUE("0.001608")</f>
        <v/>
      </c>
      <c r="S312">
        <f>_xlfn.NUMBERVALUE("0.000368")</f>
        <v/>
      </c>
      <c r="T312">
        <f>_xlfn.NUMBERVALUE("0.003477")</f>
        <v/>
      </c>
      <c r="U312">
        <f>_xlfn.NUMBERVALUE("0.002542")</f>
        <v/>
      </c>
      <c r="V312">
        <f>_xlfn.NUMBERVALUE("0.001128")</f>
        <v/>
      </c>
      <c r="W312">
        <f>_xlfn.NUMBERVALUE("0.000689")</f>
        <v/>
      </c>
      <c r="X312">
        <f>_xlfn.NUMBERVALUE("0.500000")</f>
        <v/>
      </c>
      <c r="Y312">
        <f>_xlfn.NUMBERVALUE("15.240000")</f>
        <v/>
      </c>
    </row>
    <row r="313">
      <c r="A313" s="1" t="n">
        <v>42458</v>
      </c>
      <c r="B313">
        <f>_xlfn.NUMBERVALUE("0.000000")</f>
        <v/>
      </c>
      <c r="C313" s="2">
        <f>_xlfn.NUMBERVALUE("0.001007")</f>
        <v/>
      </c>
      <c r="D313">
        <f>_xlfn.NUMBERVALUE("-0.000825")</f>
        <v/>
      </c>
      <c r="E313">
        <f>_xlfn.NUMBERVALUE("-0.001194")</f>
        <v/>
      </c>
      <c r="F313">
        <f>_xlfn.NUMBERVALUE("-0.001623")</f>
        <v/>
      </c>
      <c r="G313">
        <f>_xlfn.NUMBERVALUE("0.000074")</f>
        <v/>
      </c>
      <c r="H313">
        <f>_xlfn.NUMBERVALUE("-0.001720")</f>
        <v/>
      </c>
      <c r="I313">
        <f>_xlfn.NUMBERVALUE("-0.010153")</f>
        <v/>
      </c>
      <c r="J313">
        <f>_xlfn.NUMBERVALUE("0.000138")</f>
        <v/>
      </c>
      <c r="K313">
        <f>_xlfn.NUMBERVALUE("-0.000444")</f>
        <v/>
      </c>
      <c r="L313">
        <f>_xlfn.NUMBERVALUE("-0.001023")</f>
        <v/>
      </c>
      <c r="M313">
        <f>_xlfn.NUMBERVALUE("0.002761")</f>
        <v/>
      </c>
      <c r="N313">
        <f>_xlfn.NUMBERVALUE("0.000000")</f>
        <v/>
      </c>
      <c r="O313">
        <f>_xlfn.NUMBERVALUE("0.001989")</f>
        <v/>
      </c>
      <c r="P313">
        <f>_xlfn.NUMBERVALUE("0.002955")</f>
        <v/>
      </c>
      <c r="Q313">
        <f>_xlfn.NUMBERVALUE("-0.005612")</f>
        <v/>
      </c>
      <c r="R313">
        <f>_xlfn.NUMBERVALUE("-0.001253")</f>
        <v/>
      </c>
      <c r="S313">
        <f>_xlfn.NUMBERVALUE("0.000363")</f>
        <v/>
      </c>
      <c r="T313">
        <f>_xlfn.NUMBERVALUE("-0.003777")</f>
        <v/>
      </c>
      <c r="U313">
        <f>_xlfn.NUMBERVALUE("-0.000818")</f>
        <v/>
      </c>
      <c r="V313">
        <f>_xlfn.NUMBERVALUE("-0.000357")</f>
        <v/>
      </c>
      <c r="W313">
        <f>_xlfn.NUMBERVALUE("0.008858")</f>
        <v/>
      </c>
      <c r="X313">
        <f>_xlfn.NUMBERVALUE("-1.420000")</f>
        <v/>
      </c>
      <c r="Y313">
        <f>_xlfn.NUMBERVALUE("13.820000")</f>
        <v/>
      </c>
    </row>
    <row r="314">
      <c r="A314" s="1" t="n">
        <v>42459</v>
      </c>
      <c r="B314">
        <f>_xlfn.NUMBERVALUE("0.000000")</f>
        <v/>
      </c>
      <c r="C314" s="2">
        <f>_xlfn.NUMBERVALUE("-0.000840")</f>
        <v/>
      </c>
      <c r="D314">
        <f>_xlfn.NUMBERVALUE("0.000490")</f>
        <v/>
      </c>
      <c r="E314">
        <f>_xlfn.NUMBERVALUE("-0.000160")</f>
        <v/>
      </c>
      <c r="F314">
        <f>_xlfn.NUMBERVALUE("-0.001460")</f>
        <v/>
      </c>
      <c r="G314">
        <f>_xlfn.NUMBERVALUE("0.000058")</f>
        <v/>
      </c>
      <c r="H314">
        <f>_xlfn.NUMBERVALUE("0.000986")</f>
        <v/>
      </c>
      <c r="I314">
        <f>_xlfn.NUMBERVALUE("0.000378")</f>
        <v/>
      </c>
      <c r="J314">
        <f>_xlfn.NUMBERVALUE("0.000255")</f>
        <v/>
      </c>
      <c r="K314">
        <f>_xlfn.NUMBERVALUE("0.002445")</f>
        <v/>
      </c>
      <c r="L314">
        <f>_xlfn.NUMBERVALUE("-0.001226")</f>
        <v/>
      </c>
      <c r="M314">
        <f>_xlfn.NUMBERVALUE("0.002308")</f>
        <v/>
      </c>
      <c r="N314">
        <f>_xlfn.NUMBERVALUE("0.000000")</f>
        <v/>
      </c>
      <c r="O314">
        <f>_xlfn.NUMBERVALUE("0.004208")</f>
        <v/>
      </c>
      <c r="P314">
        <f>_xlfn.NUMBERVALUE("-0.000801")</f>
        <v/>
      </c>
      <c r="Q314">
        <f>_xlfn.NUMBERVALUE("0.000092")</f>
        <v/>
      </c>
      <c r="R314">
        <f>_xlfn.NUMBERVALUE("0.000485")</f>
        <v/>
      </c>
      <c r="S314">
        <f>_xlfn.NUMBERVALUE("0.000863")</f>
        <v/>
      </c>
      <c r="T314">
        <f>_xlfn.NUMBERVALUE("-0.000102")</f>
        <v/>
      </c>
      <c r="U314">
        <f>_xlfn.NUMBERVALUE("0.000900")</f>
        <v/>
      </c>
      <c r="V314">
        <f>_xlfn.NUMBERVALUE("0.000145")</f>
        <v/>
      </c>
      <c r="W314">
        <f>_xlfn.NUMBERVALUE("0.005151")</f>
        <v/>
      </c>
      <c r="X314">
        <f>_xlfn.NUMBERVALUE("-0.260000")</f>
        <v/>
      </c>
      <c r="Y314">
        <f>_xlfn.NUMBERVALUE("13.560000")</f>
        <v/>
      </c>
    </row>
    <row r="315">
      <c r="A315" s="1" t="n">
        <v>42460</v>
      </c>
      <c r="B315">
        <f>_xlfn.NUMBERVALUE("0.000000")</f>
        <v/>
      </c>
      <c r="C315" s="2">
        <f>_xlfn.NUMBERVALUE("0.002116")</f>
        <v/>
      </c>
      <c r="D315">
        <f>_xlfn.NUMBERVALUE("-0.000098")</f>
        <v/>
      </c>
      <c r="E315">
        <f>_xlfn.NUMBERVALUE("-0.000227")</f>
        <v/>
      </c>
      <c r="F315">
        <f>_xlfn.NUMBERVALUE("0.000660")</f>
        <v/>
      </c>
      <c r="G315">
        <f>_xlfn.NUMBERVALUE("0.000251")</f>
        <v/>
      </c>
      <c r="H315">
        <f>_xlfn.NUMBERVALUE("-0.000336")</f>
        <v/>
      </c>
      <c r="I315">
        <f>_xlfn.NUMBERVALUE("-0.000017")</f>
        <v/>
      </c>
      <c r="J315">
        <f>_xlfn.NUMBERVALUE("-0.000330")</f>
        <v/>
      </c>
      <c r="K315">
        <f>_xlfn.NUMBERVALUE("-0.000327")</f>
        <v/>
      </c>
      <c r="L315">
        <f>_xlfn.NUMBERVALUE("-0.001229")</f>
        <v/>
      </c>
      <c r="M315">
        <f>_xlfn.NUMBERVALUE("-0.001275")</f>
        <v/>
      </c>
      <c r="N315">
        <f>_xlfn.NUMBERVALUE("0.000000")</f>
        <v/>
      </c>
      <c r="O315">
        <f>_xlfn.NUMBERVALUE("-0.000374")</f>
        <v/>
      </c>
      <c r="P315">
        <f>_xlfn.NUMBERVALUE("0.003089")</f>
        <v/>
      </c>
      <c r="Q315">
        <f>_xlfn.NUMBERVALUE("0.000099")</f>
        <v/>
      </c>
      <c r="R315">
        <f>_xlfn.NUMBERVALUE("-0.000184")</f>
        <v/>
      </c>
      <c r="S315">
        <f>_xlfn.NUMBERVALUE("-0.000406")</f>
        <v/>
      </c>
      <c r="T315">
        <f>_xlfn.NUMBERVALUE("0.000464")</f>
        <v/>
      </c>
      <c r="U315">
        <f>_xlfn.NUMBERVALUE("0.000618")</f>
        <v/>
      </c>
      <c r="V315">
        <f>_xlfn.NUMBERVALUE("0.000087")</f>
        <v/>
      </c>
      <c r="W315">
        <f>_xlfn.NUMBERVALUE("-0.001534")</f>
        <v/>
      </c>
      <c r="X315">
        <f>_xlfn.NUMBERVALUE("0.390000")</f>
        <v/>
      </c>
      <c r="Y315">
        <f>_xlfn.NUMBERVALUE("13.950000")</f>
        <v/>
      </c>
    </row>
    <row r="316">
      <c r="A316" s="1" t="n">
        <v>42461</v>
      </c>
      <c r="B316">
        <f>_xlfn.NUMBERVALUE("0.000000")</f>
        <v/>
      </c>
      <c r="C316" s="2">
        <f>_xlfn.NUMBERVALUE("-0.001933")</f>
        <v/>
      </c>
      <c r="D316">
        <f>_xlfn.NUMBERVALUE("0.000180")</f>
        <v/>
      </c>
      <c r="E316">
        <f>_xlfn.NUMBERVALUE("0.000792")</f>
        <v/>
      </c>
      <c r="F316">
        <f>_xlfn.NUMBERVALUE("0.001238")</f>
        <v/>
      </c>
      <c r="G316">
        <f>_xlfn.NUMBERVALUE("0.000425")</f>
        <v/>
      </c>
      <c r="H316">
        <f>_xlfn.NUMBERVALUE("-0.000403")</f>
        <v/>
      </c>
      <c r="I316">
        <f>_xlfn.NUMBERVALUE("0.000885")</f>
        <v/>
      </c>
      <c r="J316">
        <f>_xlfn.NUMBERVALUE("-0.000800")</f>
        <v/>
      </c>
      <c r="K316">
        <f>_xlfn.NUMBERVALUE("-0.006464")</f>
        <v/>
      </c>
      <c r="L316">
        <f>_xlfn.NUMBERVALUE("0.004295")</f>
        <v/>
      </c>
      <c r="M316">
        <f>_xlfn.NUMBERVALUE("-0.000523")</f>
        <v/>
      </c>
      <c r="N316">
        <f>_xlfn.NUMBERVALUE("0.000000")</f>
        <v/>
      </c>
      <c r="O316">
        <f>_xlfn.NUMBERVALUE("0.000858")</f>
        <v/>
      </c>
      <c r="P316">
        <f>_xlfn.NUMBERVALUE("-0.003225")</f>
        <v/>
      </c>
      <c r="Q316">
        <f>_xlfn.NUMBERVALUE("0.000426")</f>
        <v/>
      </c>
      <c r="R316">
        <f>_xlfn.NUMBERVALUE("-0.000020")</f>
        <v/>
      </c>
      <c r="S316">
        <f>_xlfn.NUMBERVALUE("-0.000482")</f>
        <v/>
      </c>
      <c r="T316">
        <f>_xlfn.NUMBERVALUE("0.000057")</f>
        <v/>
      </c>
      <c r="U316">
        <f>_xlfn.NUMBERVALUE("-0.000775")</f>
        <v/>
      </c>
      <c r="V316">
        <f>_xlfn.NUMBERVALUE("0.000036")</f>
        <v/>
      </c>
      <c r="W316">
        <f>_xlfn.NUMBERVALUE("0.005711")</f>
        <v/>
      </c>
      <c r="X316">
        <f>_xlfn.NUMBERVALUE("-0.850000")</f>
        <v/>
      </c>
      <c r="Y316">
        <f>_xlfn.NUMBERVALUE("13.100000")</f>
        <v/>
      </c>
    </row>
    <row r="317">
      <c r="A317" s="1" t="n">
        <v>42464</v>
      </c>
      <c r="B317">
        <f>_xlfn.NUMBERVALUE("0.000000")</f>
        <v/>
      </c>
      <c r="C317" s="2">
        <f>_xlfn.NUMBERVALUE("-0.000163")</f>
        <v/>
      </c>
      <c r="D317">
        <f>_xlfn.NUMBERVALUE("0.000138")</f>
        <v/>
      </c>
      <c r="E317">
        <f>_xlfn.NUMBERVALUE("0.005120")</f>
        <v/>
      </c>
      <c r="F317">
        <f>_xlfn.NUMBERVALUE("0.000051")</f>
        <v/>
      </c>
      <c r="G317">
        <f>_xlfn.NUMBERVALUE("0.001453")</f>
        <v/>
      </c>
      <c r="H317">
        <f>_xlfn.NUMBERVALUE("0.000181")</f>
        <v/>
      </c>
      <c r="I317">
        <f>_xlfn.NUMBERVALUE("0.000488")</f>
        <v/>
      </c>
      <c r="J317">
        <f>_xlfn.NUMBERVALUE("-0.000027")</f>
        <v/>
      </c>
      <c r="K317">
        <f>_xlfn.NUMBERVALUE("0.002224")</f>
        <v/>
      </c>
      <c r="L317">
        <f>_xlfn.NUMBERVALUE("0.001821")</f>
        <v/>
      </c>
      <c r="M317">
        <f>_xlfn.NUMBERVALUE("-0.000524")</f>
        <v/>
      </c>
      <c r="N317">
        <f>_xlfn.NUMBERVALUE("0.000000")</f>
        <v/>
      </c>
      <c r="O317">
        <f>_xlfn.NUMBERVALUE("0.003444")</f>
        <v/>
      </c>
      <c r="P317">
        <f>_xlfn.NUMBERVALUE("0.002730")</f>
        <v/>
      </c>
      <c r="Q317">
        <f>_xlfn.NUMBERVALUE("-0.000114")</f>
        <v/>
      </c>
      <c r="R317">
        <f>_xlfn.NUMBERVALUE("0.000239")</f>
        <v/>
      </c>
      <c r="S317">
        <f>_xlfn.NUMBERVALUE("-0.000101")</f>
        <v/>
      </c>
      <c r="T317">
        <f>_xlfn.NUMBERVALUE("0.000385")</f>
        <v/>
      </c>
      <c r="U317">
        <f>_xlfn.NUMBERVALUE("-0.000521")</f>
        <v/>
      </c>
      <c r="V317">
        <f>_xlfn.NUMBERVALUE("0.000034")</f>
        <v/>
      </c>
      <c r="W317">
        <f>_xlfn.NUMBERVALUE("-0.001945")</f>
        <v/>
      </c>
      <c r="X317">
        <f>_xlfn.NUMBERVALUE("1.020000")</f>
        <v/>
      </c>
      <c r="Y317">
        <f>_xlfn.NUMBERVALUE("14.120000")</f>
        <v/>
      </c>
    </row>
    <row r="318">
      <c r="A318" s="1" t="n">
        <v>42465</v>
      </c>
      <c r="B318">
        <f>_xlfn.NUMBERVALUE("0.000000")</f>
        <v/>
      </c>
      <c r="C318" s="2">
        <f>_xlfn.NUMBERVALUE("-0.001510")</f>
        <v/>
      </c>
      <c r="D318">
        <f>_xlfn.NUMBERVALUE("-0.003401")</f>
        <v/>
      </c>
      <c r="E318">
        <f>_xlfn.NUMBERVALUE("-0.004333")</f>
        <v/>
      </c>
      <c r="F318">
        <f>_xlfn.NUMBERVALUE("-0.001469")</f>
        <v/>
      </c>
      <c r="G318">
        <f>_xlfn.NUMBERVALUE("0.001089")</f>
        <v/>
      </c>
      <c r="H318">
        <f>_xlfn.NUMBERVALUE("-0.000895")</f>
        <v/>
      </c>
      <c r="I318">
        <f>_xlfn.NUMBERVALUE("-0.000610")</f>
        <v/>
      </c>
      <c r="J318">
        <f>_xlfn.NUMBERVALUE("0.001077")</f>
        <v/>
      </c>
      <c r="K318">
        <f>_xlfn.NUMBERVALUE("-0.002245")</f>
        <v/>
      </c>
      <c r="L318">
        <f>_xlfn.NUMBERVALUE("-0.001523")</f>
        <v/>
      </c>
      <c r="M318">
        <f>_xlfn.NUMBERVALUE("0.001759")</f>
        <v/>
      </c>
      <c r="N318">
        <f>_xlfn.NUMBERVALUE("0.000000")</f>
        <v/>
      </c>
      <c r="O318">
        <f>_xlfn.NUMBERVALUE("0.001970")</f>
        <v/>
      </c>
      <c r="P318">
        <f>_xlfn.NUMBERVALUE("-0.000392")</f>
        <v/>
      </c>
      <c r="Q318">
        <f>_xlfn.NUMBERVALUE("0.000432")</f>
        <v/>
      </c>
      <c r="R318">
        <f>_xlfn.NUMBERVALUE("-0.000193")</f>
        <v/>
      </c>
      <c r="S318">
        <f>_xlfn.NUMBERVALUE("-0.000177")</f>
        <v/>
      </c>
      <c r="T318">
        <f>_xlfn.NUMBERVALUE("-0.001013")</f>
        <v/>
      </c>
      <c r="U318">
        <f>_xlfn.NUMBERVALUE("-0.000546")</f>
        <v/>
      </c>
      <c r="V318">
        <f>_xlfn.NUMBERVALUE("-0.001793")</f>
        <v/>
      </c>
      <c r="W318">
        <f>_xlfn.NUMBERVALUE("-0.009995")</f>
        <v/>
      </c>
      <c r="X318">
        <f>_xlfn.NUMBERVALUE("1.300000")</f>
        <v/>
      </c>
      <c r="Y318">
        <f>_xlfn.NUMBERVALUE("15.420000")</f>
        <v/>
      </c>
    </row>
    <row r="319">
      <c r="A319" s="1" t="n">
        <v>42466</v>
      </c>
      <c r="B319">
        <f>_xlfn.NUMBERVALUE("0.000000")</f>
        <v/>
      </c>
      <c r="C319" s="2">
        <f>_xlfn.NUMBERVALUE("0.001412")</f>
        <v/>
      </c>
      <c r="D319">
        <f>_xlfn.NUMBERVALUE("0.001713")</f>
        <v/>
      </c>
      <c r="E319">
        <f>_xlfn.NUMBERVALUE("-0.000644")</f>
        <v/>
      </c>
      <c r="F319">
        <f>_xlfn.NUMBERVALUE("0.000937")</f>
        <v/>
      </c>
      <c r="G319">
        <f>_xlfn.NUMBERVALUE("-0.000353")</f>
        <v/>
      </c>
      <c r="H319">
        <f>_xlfn.NUMBERVALUE("0.000250")</f>
        <v/>
      </c>
      <c r="I319">
        <f>_xlfn.NUMBERVALUE("-0.000130")</f>
        <v/>
      </c>
      <c r="J319">
        <f>_xlfn.NUMBERVALUE("0.000458")</f>
        <v/>
      </c>
      <c r="K319">
        <f>_xlfn.NUMBERVALUE("-0.000080")</f>
        <v/>
      </c>
      <c r="L319">
        <f>_xlfn.NUMBERVALUE("0.000203")</f>
        <v/>
      </c>
      <c r="M319">
        <f>_xlfn.NUMBERVALUE("-0.000169")</f>
        <v/>
      </c>
      <c r="N319">
        <f>_xlfn.NUMBERVALUE("0.000000")</f>
        <v/>
      </c>
      <c r="O319">
        <f>_xlfn.NUMBERVALUE("-0.004859")</f>
        <v/>
      </c>
      <c r="P319">
        <f>_xlfn.NUMBERVALUE("0.000925")</f>
        <v/>
      </c>
      <c r="Q319">
        <f>_xlfn.NUMBERVALUE("0.000183")</f>
        <v/>
      </c>
      <c r="R319">
        <f>_xlfn.NUMBERVALUE("0.000327")</f>
        <v/>
      </c>
      <c r="S319">
        <f>_xlfn.NUMBERVALUE("-0.000098")</f>
        <v/>
      </c>
      <c r="T319">
        <f>_xlfn.NUMBERVALUE("0.000991")</f>
        <v/>
      </c>
      <c r="U319">
        <f>_xlfn.NUMBERVALUE("0.000328")</f>
        <v/>
      </c>
      <c r="V319">
        <f>_xlfn.NUMBERVALUE("0.000332")</f>
        <v/>
      </c>
      <c r="W319">
        <f>_xlfn.NUMBERVALUE("0.011566")</f>
        <v/>
      </c>
      <c r="X319">
        <f>_xlfn.NUMBERVALUE("-1.330000")</f>
        <v/>
      </c>
      <c r="Y319">
        <f>_xlfn.NUMBERVALUE("14.090000")</f>
        <v/>
      </c>
    </row>
    <row r="320">
      <c r="A320" s="1" t="n">
        <v>42467</v>
      </c>
      <c r="B320">
        <f>_xlfn.NUMBERVALUE("0.000000")</f>
        <v/>
      </c>
      <c r="C320" s="2">
        <f>_xlfn.NUMBERVALUE("-0.002170")</f>
        <v/>
      </c>
      <c r="D320">
        <f>_xlfn.NUMBERVALUE("-0.002936")</f>
        <v/>
      </c>
      <c r="E320">
        <f>_xlfn.NUMBERVALUE("-0.002641")</f>
        <v/>
      </c>
      <c r="F320">
        <f>_xlfn.NUMBERVALUE("-0.002955")</f>
        <v/>
      </c>
      <c r="G320">
        <f>_xlfn.NUMBERVALUE("-0.000267")</f>
        <v/>
      </c>
      <c r="H320">
        <f>_xlfn.NUMBERVALUE("-0.000561")</f>
        <v/>
      </c>
      <c r="I320">
        <f>_xlfn.NUMBERVALUE("-0.002452")</f>
        <v/>
      </c>
      <c r="J320">
        <f>_xlfn.NUMBERVALUE("-0.002470")</f>
        <v/>
      </c>
      <c r="K320">
        <f>_xlfn.NUMBERVALUE("-0.001268")</f>
        <v/>
      </c>
      <c r="L320">
        <f>_xlfn.NUMBERVALUE("-0.002036")</f>
        <v/>
      </c>
      <c r="M320">
        <f>_xlfn.NUMBERVALUE("-0.000394")</f>
        <v/>
      </c>
      <c r="N320">
        <f>_xlfn.NUMBERVALUE("0.000000")</f>
        <v/>
      </c>
      <c r="O320">
        <f>_xlfn.NUMBERVALUE("0.000040")</f>
        <v/>
      </c>
      <c r="P320">
        <f>_xlfn.NUMBERVALUE("-0.001311")</f>
        <v/>
      </c>
      <c r="Q320">
        <f>_xlfn.NUMBERVALUE("-0.000104")</f>
        <v/>
      </c>
      <c r="R320">
        <f>_xlfn.NUMBERVALUE("-0.000328")</f>
        <v/>
      </c>
      <c r="S320">
        <f>_xlfn.NUMBERVALUE("-0.000054")</f>
        <v/>
      </c>
      <c r="T320">
        <f>_xlfn.NUMBERVALUE("0.000039")</f>
        <v/>
      </c>
      <c r="U320">
        <f>_xlfn.NUMBERVALUE("-0.000533")</f>
        <v/>
      </c>
      <c r="V320">
        <f>_xlfn.NUMBERVALUE("-0.003316")</f>
        <v/>
      </c>
      <c r="W320">
        <f>_xlfn.NUMBERVALUE("-0.012548")</f>
        <v/>
      </c>
      <c r="X320">
        <f>_xlfn.NUMBERVALUE("2.070000")</f>
        <v/>
      </c>
      <c r="Y320">
        <f>_xlfn.NUMBERVALUE("16.160000")</f>
        <v/>
      </c>
    </row>
    <row r="321">
      <c r="A321" s="1" t="n">
        <v>42468</v>
      </c>
      <c r="B321">
        <f>_xlfn.NUMBERVALUE("0.000000")</f>
        <v/>
      </c>
      <c r="C321" s="2">
        <f>_xlfn.NUMBERVALUE("0.001928")</f>
        <v/>
      </c>
      <c r="D321">
        <f>_xlfn.NUMBERVALUE("0.000435")</f>
        <v/>
      </c>
      <c r="E321">
        <f>_xlfn.NUMBERVALUE("-0.001414")</f>
        <v/>
      </c>
      <c r="F321">
        <f>_xlfn.NUMBERVALUE("0.001591")</f>
        <v/>
      </c>
      <c r="G321">
        <f>_xlfn.NUMBERVALUE("-0.000857")</f>
        <v/>
      </c>
      <c r="H321">
        <f>_xlfn.NUMBERVALUE("0.000151")</f>
        <v/>
      </c>
      <c r="I321">
        <f>_xlfn.NUMBERVALUE("0.001771")</f>
        <v/>
      </c>
      <c r="J321">
        <f>_xlfn.NUMBERVALUE("0.000020")</f>
        <v/>
      </c>
      <c r="K321">
        <f>_xlfn.NUMBERVALUE("0.003860")</f>
        <v/>
      </c>
      <c r="L321">
        <f>_xlfn.NUMBERVALUE("0.000558")</f>
        <v/>
      </c>
      <c r="M321">
        <f>_xlfn.NUMBERVALUE("0.001611")</f>
        <v/>
      </c>
      <c r="N321">
        <f>_xlfn.NUMBERVALUE("0.000000")</f>
        <v/>
      </c>
      <c r="O321">
        <f>_xlfn.NUMBERVALUE("0.001171")</f>
        <v/>
      </c>
      <c r="P321">
        <f>_xlfn.NUMBERVALUE("0.002398")</f>
        <v/>
      </c>
      <c r="Q321">
        <f>_xlfn.NUMBERVALUE("0.001576")</f>
        <v/>
      </c>
      <c r="R321">
        <f>_xlfn.NUMBERVALUE("0.001426")</f>
        <v/>
      </c>
      <c r="S321">
        <f>_xlfn.NUMBERVALUE("0.001017")</f>
        <v/>
      </c>
      <c r="T321">
        <f>_xlfn.NUMBERVALUE("0.000838")</f>
        <v/>
      </c>
      <c r="U321">
        <f>_xlfn.NUMBERVALUE("0.002241")</f>
        <v/>
      </c>
      <c r="V321">
        <f>_xlfn.NUMBERVALUE("0.001913")</f>
        <v/>
      </c>
      <c r="W321">
        <f>_xlfn.NUMBERVALUE("0.002306")</f>
        <v/>
      </c>
      <c r="X321">
        <f>_xlfn.NUMBERVALUE("-0.800000")</f>
        <v/>
      </c>
      <c r="Y321">
        <f>_xlfn.NUMBERVALUE("15.360000")</f>
        <v/>
      </c>
    </row>
    <row r="322">
      <c r="A322" s="1" t="n">
        <v>42471</v>
      </c>
      <c r="B322">
        <f>_xlfn.NUMBERVALUE("0.000000")</f>
        <v/>
      </c>
      <c r="C322" s="2">
        <f>_xlfn.NUMBERVALUE("0.000145")</f>
        <v/>
      </c>
      <c r="D322">
        <f>_xlfn.NUMBERVALUE("-0.000133")</f>
        <v/>
      </c>
      <c r="E322">
        <f>_xlfn.NUMBERVALUE("-0.000300")</f>
        <v/>
      </c>
      <c r="F322">
        <f>_xlfn.NUMBERVALUE("-0.000235")</f>
        <v/>
      </c>
      <c r="G322">
        <f>_xlfn.NUMBERVALUE("0.001118")</f>
        <v/>
      </c>
      <c r="H322">
        <f>_xlfn.NUMBERVALUE("0.000480")</f>
        <v/>
      </c>
      <c r="I322">
        <f>_xlfn.NUMBERVALUE("0.001744")</f>
        <v/>
      </c>
      <c r="J322">
        <f>_xlfn.NUMBERVALUE("0.002571")</f>
        <v/>
      </c>
      <c r="K322">
        <f>_xlfn.NUMBERVALUE("-0.013719")</f>
        <v/>
      </c>
      <c r="L322">
        <f>_xlfn.NUMBERVALUE("0.001165")</f>
        <v/>
      </c>
      <c r="M322">
        <f>_xlfn.NUMBERVALUE("0.000735")</f>
        <v/>
      </c>
      <c r="N322">
        <f>_xlfn.NUMBERVALUE("0.000000")</f>
        <v/>
      </c>
      <c r="O322">
        <f>_xlfn.NUMBERVALUE("0.002567")</f>
        <v/>
      </c>
      <c r="P322">
        <f>_xlfn.NUMBERVALUE("0.000719")</f>
        <v/>
      </c>
      <c r="Q322">
        <f>_xlfn.NUMBERVALUE("0.000596")</f>
        <v/>
      </c>
      <c r="R322">
        <f>_xlfn.NUMBERVALUE("0.000676")</f>
        <v/>
      </c>
      <c r="S322">
        <f>_xlfn.NUMBERVALUE("0.000330")</f>
        <v/>
      </c>
      <c r="T322">
        <f>_xlfn.NUMBERVALUE("0.001569")</f>
        <v/>
      </c>
      <c r="U322">
        <f>_xlfn.NUMBERVALUE("0.000818")</f>
        <v/>
      </c>
      <c r="V322">
        <f>_xlfn.NUMBERVALUE("0.000605")</f>
        <v/>
      </c>
      <c r="W322">
        <f>_xlfn.NUMBERVALUE("-0.000367")</f>
        <v/>
      </c>
      <c r="X322">
        <f>_xlfn.NUMBERVALUE("0.900000")</f>
        <v/>
      </c>
      <c r="Y322">
        <f>_xlfn.NUMBERVALUE("16.260000")</f>
        <v/>
      </c>
    </row>
    <row r="323">
      <c r="A323" s="1" t="n">
        <v>42472</v>
      </c>
      <c r="B323">
        <f>_xlfn.NUMBERVALUE("0.000000")</f>
        <v/>
      </c>
      <c r="C323" s="2">
        <f>_xlfn.NUMBERVALUE("0.000038")</f>
        <v/>
      </c>
      <c r="D323">
        <f>_xlfn.NUMBERVALUE("-0.001656")</f>
        <v/>
      </c>
      <c r="E323">
        <f>_xlfn.NUMBERVALUE("-0.001471")</f>
        <v/>
      </c>
      <c r="F323">
        <f>_xlfn.NUMBERVALUE("0.000499")</f>
        <v/>
      </c>
      <c r="G323">
        <f>_xlfn.NUMBERVALUE("0.001104")</f>
        <v/>
      </c>
      <c r="H323">
        <f>_xlfn.NUMBERVALUE("0.000163")</f>
        <v/>
      </c>
      <c r="I323">
        <f>_xlfn.NUMBERVALUE("0.000417")</f>
        <v/>
      </c>
      <c r="J323">
        <f>_xlfn.NUMBERVALUE("0.000537")</f>
        <v/>
      </c>
      <c r="K323">
        <f>_xlfn.NUMBERVALUE("0.001337")</f>
        <v/>
      </c>
      <c r="L323">
        <f>_xlfn.NUMBERVALUE("-0.000479")</f>
        <v/>
      </c>
      <c r="M323">
        <f>_xlfn.NUMBERVALUE("-0.000132")</f>
        <v/>
      </c>
      <c r="N323">
        <f>_xlfn.NUMBERVALUE("0.000000")</f>
        <v/>
      </c>
      <c r="O323">
        <f>_xlfn.NUMBERVALUE("-0.007188")</f>
        <v/>
      </c>
      <c r="P323">
        <f>_xlfn.NUMBERVALUE("-0.000507")</f>
        <v/>
      </c>
      <c r="Q323">
        <f>_xlfn.NUMBERVALUE("0.001227")</f>
        <v/>
      </c>
      <c r="R323">
        <f>_xlfn.NUMBERVALUE("0.001102")</f>
        <v/>
      </c>
      <c r="S323">
        <f>_xlfn.NUMBERVALUE("0.000565")</f>
        <v/>
      </c>
      <c r="T323">
        <f>_xlfn.NUMBERVALUE("0.000552")</f>
        <v/>
      </c>
      <c r="U323">
        <f>_xlfn.NUMBERVALUE("0.000780")</f>
        <v/>
      </c>
      <c r="V323">
        <f>_xlfn.NUMBERVALUE("0.000284")</f>
        <v/>
      </c>
      <c r="W323">
        <f>_xlfn.NUMBERVALUE("0.008055")</f>
        <v/>
      </c>
      <c r="X323">
        <f>_xlfn.NUMBERVALUE("-1.410000")</f>
        <v/>
      </c>
      <c r="Y323">
        <f>_xlfn.NUMBERVALUE("14.850000")</f>
        <v/>
      </c>
    </row>
    <row r="324">
      <c r="A324" s="1" t="n">
        <v>42473</v>
      </c>
      <c r="B324">
        <f>_xlfn.NUMBERVALUE("0.000000")</f>
        <v/>
      </c>
      <c r="C324" s="2">
        <f>_xlfn.NUMBERVALUE("-0.000423")</f>
        <v/>
      </c>
      <c r="D324">
        <f>_xlfn.NUMBERVALUE("-0.003758")</f>
        <v/>
      </c>
      <c r="E324">
        <f>_xlfn.NUMBERVALUE("-0.004118")</f>
        <v/>
      </c>
      <c r="F324">
        <f>_xlfn.NUMBERVALUE("0.001097")</f>
        <v/>
      </c>
      <c r="G324">
        <f>_xlfn.NUMBERVALUE("-0.001523")</f>
        <v/>
      </c>
      <c r="H324">
        <f>_xlfn.NUMBERVALUE("0.001045")</f>
        <v/>
      </c>
      <c r="I324">
        <f>_xlfn.NUMBERVALUE("-0.004678")</f>
        <v/>
      </c>
      <c r="J324">
        <f>_xlfn.NUMBERVALUE("0.000797")</f>
        <v/>
      </c>
      <c r="K324">
        <f>_xlfn.NUMBERVALUE("-0.000015")</f>
        <v/>
      </c>
      <c r="L324">
        <f>_xlfn.NUMBERVALUE("0.001459")</f>
        <v/>
      </c>
      <c r="M324">
        <f>_xlfn.NUMBERVALUE("-0.000003")</f>
        <v/>
      </c>
      <c r="N324">
        <f>_xlfn.NUMBERVALUE("0.000000")</f>
        <v/>
      </c>
      <c r="O324">
        <f>_xlfn.NUMBERVALUE("0.000568")</f>
        <v/>
      </c>
      <c r="P324">
        <f>_xlfn.NUMBERVALUE("-0.003464")</f>
        <v/>
      </c>
      <c r="Q324">
        <f>_xlfn.NUMBERVALUE("-0.001938")</f>
        <v/>
      </c>
      <c r="R324">
        <f>_xlfn.NUMBERVALUE("0.001195")</f>
        <v/>
      </c>
      <c r="S324">
        <f>_xlfn.NUMBERVALUE("0.000263")</f>
        <v/>
      </c>
      <c r="T324">
        <f>_xlfn.NUMBERVALUE("0.000898")</f>
        <v/>
      </c>
      <c r="U324">
        <f>_xlfn.NUMBERVALUE("-0.001897")</f>
        <v/>
      </c>
      <c r="V324">
        <f>_xlfn.NUMBERVALUE("-0.000540")</f>
        <v/>
      </c>
      <c r="W324">
        <f>_xlfn.NUMBERVALUE("0.010298")</f>
        <v/>
      </c>
      <c r="X324">
        <f>_xlfn.NUMBERVALUE("-1.010000")</f>
        <v/>
      </c>
      <c r="Y324">
        <f>_xlfn.NUMBERVALUE("13.840000")</f>
        <v/>
      </c>
    </row>
    <row r="325">
      <c r="A325" s="1" t="n">
        <v>42474</v>
      </c>
      <c r="B325">
        <f>_xlfn.NUMBERVALUE("0.000000")</f>
        <v/>
      </c>
      <c r="C325" s="2">
        <f>_xlfn.NUMBERVALUE("0.000494")</f>
        <v/>
      </c>
      <c r="D325">
        <f>_xlfn.NUMBERVALUE("0.001760")</f>
        <v/>
      </c>
      <c r="E325">
        <f>_xlfn.NUMBERVALUE("0.009450")</f>
        <v/>
      </c>
      <c r="F325">
        <f>_xlfn.NUMBERVALUE("-0.001218")</f>
        <v/>
      </c>
      <c r="G325">
        <f>_xlfn.NUMBERVALUE("0.000638")</f>
        <v/>
      </c>
      <c r="H325">
        <f>_xlfn.NUMBERVALUE("-0.000094")</f>
        <v/>
      </c>
      <c r="I325">
        <f>_xlfn.NUMBERVALUE("0.000620")</f>
        <v/>
      </c>
      <c r="J325">
        <f>_xlfn.NUMBERVALUE("-0.000424")</f>
        <v/>
      </c>
      <c r="K325">
        <f>_xlfn.NUMBERVALUE("0.002056")</f>
        <v/>
      </c>
      <c r="L325">
        <f>_xlfn.NUMBERVALUE("0.000887")</f>
        <v/>
      </c>
      <c r="M325">
        <f>_xlfn.NUMBERVALUE("0.001285")</f>
        <v/>
      </c>
      <c r="N325">
        <f>_xlfn.NUMBERVALUE("0.000000")</f>
        <v/>
      </c>
      <c r="O325">
        <f>_xlfn.NUMBERVALUE("0.001930")</f>
        <v/>
      </c>
      <c r="P325">
        <f>_xlfn.NUMBERVALUE("0.003140")</f>
        <v/>
      </c>
      <c r="Q325">
        <f>_xlfn.NUMBERVALUE("0.001342")</f>
        <v/>
      </c>
      <c r="R325">
        <f>_xlfn.NUMBERVALUE("0.000462")</f>
        <v/>
      </c>
      <c r="S325">
        <f>_xlfn.NUMBERVALUE("0.000906")</f>
        <v/>
      </c>
      <c r="T325">
        <f>_xlfn.NUMBERVALUE("0.001034")</f>
        <v/>
      </c>
      <c r="U325">
        <f>_xlfn.NUMBERVALUE("0.001277")</f>
        <v/>
      </c>
      <c r="V325">
        <f>_xlfn.NUMBERVALUE("0.000583")</f>
        <v/>
      </c>
      <c r="W325">
        <f>_xlfn.NUMBERVALUE("0.000096")</f>
        <v/>
      </c>
      <c r="X325">
        <f>_xlfn.NUMBERVALUE("-0.120000")</f>
        <v/>
      </c>
      <c r="Y325">
        <f>_xlfn.NUMBERVALUE("13.720000")</f>
        <v/>
      </c>
    </row>
    <row r="326">
      <c r="A326" s="1" t="n">
        <v>42475</v>
      </c>
      <c r="B326">
        <f>_xlfn.NUMBERVALUE("0.000000")</f>
        <v/>
      </c>
      <c r="C326" s="2">
        <f>_xlfn.NUMBERVALUE("0.000453")</f>
        <v/>
      </c>
      <c r="D326">
        <f>_xlfn.NUMBERVALUE("0.000944")</f>
        <v/>
      </c>
      <c r="E326">
        <f>_xlfn.NUMBERVALUE("-0.007754")</f>
        <v/>
      </c>
      <c r="F326">
        <f>_xlfn.NUMBERVALUE("0.000771")</f>
        <v/>
      </c>
      <c r="G326">
        <f>_xlfn.NUMBERVALUE("-0.000093")</f>
        <v/>
      </c>
      <c r="H326">
        <f>_xlfn.NUMBERVALUE("0.000170")</f>
        <v/>
      </c>
      <c r="I326">
        <f>_xlfn.NUMBERVALUE("0.000454")</f>
        <v/>
      </c>
      <c r="J326">
        <f>_xlfn.NUMBERVALUE("0.000592")</f>
        <v/>
      </c>
      <c r="K326">
        <f>_xlfn.NUMBERVALUE("-0.001537")</f>
        <v/>
      </c>
      <c r="L326">
        <f>_xlfn.NUMBERVALUE("0.000691")</f>
        <v/>
      </c>
      <c r="M326">
        <f>_xlfn.NUMBERVALUE("-0.000972")</f>
        <v/>
      </c>
      <c r="N326">
        <f>_xlfn.NUMBERVALUE("0.000000")</f>
        <v/>
      </c>
      <c r="O326">
        <f>_xlfn.NUMBERVALUE("-0.002188")</f>
        <v/>
      </c>
      <c r="P326">
        <f>_xlfn.NUMBERVALUE("-0.001431")</f>
        <v/>
      </c>
      <c r="Q326">
        <f>_xlfn.NUMBERVALUE("0.000414")</f>
        <v/>
      </c>
      <c r="R326">
        <f>_xlfn.NUMBERVALUE("0.000398")</f>
        <v/>
      </c>
      <c r="S326">
        <f>_xlfn.NUMBERVALUE("0.000319")</f>
        <v/>
      </c>
      <c r="T326">
        <f>_xlfn.NUMBERVALUE("0.000874")</f>
        <v/>
      </c>
      <c r="U326">
        <f>_xlfn.NUMBERVALUE("0.000565")</f>
        <v/>
      </c>
      <c r="V326">
        <f>_xlfn.NUMBERVALUE("0.000497")</f>
        <v/>
      </c>
      <c r="W326">
        <f>_xlfn.NUMBERVALUE("-0.000962")</f>
        <v/>
      </c>
      <c r="X326">
        <f>_xlfn.NUMBERVALUE("-0.100000")</f>
        <v/>
      </c>
      <c r="Y326">
        <f>_xlfn.NUMBERVALUE("13.620000")</f>
        <v/>
      </c>
    </row>
    <row r="327">
      <c r="A327" s="1" t="n">
        <v>42478</v>
      </c>
      <c r="B327">
        <f>_xlfn.NUMBERVALUE("0.000000")</f>
        <v/>
      </c>
      <c r="C327" s="2">
        <f>_xlfn.NUMBERVALUE("0.000780")</f>
        <v/>
      </c>
      <c r="D327">
        <f>_xlfn.NUMBERVALUE("0.002564")</f>
        <v/>
      </c>
      <c r="E327">
        <f>_xlfn.NUMBERVALUE("0.001584")</f>
        <v/>
      </c>
      <c r="F327">
        <f>_xlfn.NUMBERVALUE("0.002275")</f>
        <v/>
      </c>
      <c r="G327">
        <f>_xlfn.NUMBERVALUE("0.000589")</f>
        <v/>
      </c>
      <c r="H327">
        <f>_xlfn.NUMBERVALUE("0.001022")</f>
        <v/>
      </c>
      <c r="I327">
        <f>_xlfn.NUMBERVALUE("0.000936")</f>
        <v/>
      </c>
      <c r="J327">
        <f>_xlfn.NUMBERVALUE("0.000306")</f>
        <v/>
      </c>
      <c r="K327">
        <f>_xlfn.NUMBERVALUE("-0.001219")</f>
        <v/>
      </c>
      <c r="L327">
        <f>_xlfn.NUMBERVALUE("0.001163")</f>
        <v/>
      </c>
      <c r="M327">
        <f>_xlfn.NUMBERVALUE("0.001719")</f>
        <v/>
      </c>
      <c r="N327">
        <f>_xlfn.NUMBERVALUE("0.000000")</f>
        <v/>
      </c>
      <c r="O327">
        <f>_xlfn.NUMBERVALUE("0.002613")</f>
        <v/>
      </c>
      <c r="P327">
        <f>_xlfn.NUMBERVALUE("-0.000677")</f>
        <v/>
      </c>
      <c r="Q327">
        <f>_xlfn.NUMBERVALUE("0.002556")</f>
        <v/>
      </c>
      <c r="R327">
        <f>_xlfn.NUMBERVALUE("0.002125")</f>
        <v/>
      </c>
      <c r="S327">
        <f>_xlfn.NUMBERVALUE("0.000800")</f>
        <v/>
      </c>
      <c r="T327">
        <f>_xlfn.NUMBERVALUE("0.000956")</f>
        <v/>
      </c>
      <c r="U327">
        <f>_xlfn.NUMBERVALUE("-0.000045")</f>
        <v/>
      </c>
      <c r="V327">
        <f>_xlfn.NUMBERVALUE("0.000597")</f>
        <v/>
      </c>
      <c r="W327">
        <f>_xlfn.NUMBERVALUE("0.006545")</f>
        <v/>
      </c>
      <c r="X327">
        <f>_xlfn.NUMBERVALUE("-0.270000")</f>
        <v/>
      </c>
      <c r="Y327">
        <f>_xlfn.NUMBERVALUE("13.350000")</f>
        <v/>
      </c>
    </row>
    <row r="328">
      <c r="A328" s="1" t="n">
        <v>42479</v>
      </c>
      <c r="B328">
        <f>_xlfn.NUMBERVALUE("0.000000")</f>
        <v/>
      </c>
      <c r="C328" s="2">
        <f>_xlfn.NUMBERVALUE("0.000504")</f>
        <v/>
      </c>
      <c r="D328">
        <f>_xlfn.NUMBERVALUE("-0.001599")</f>
        <v/>
      </c>
      <c r="E328">
        <f>_xlfn.NUMBERVALUE("0.005072")</f>
        <v/>
      </c>
      <c r="F328">
        <f>_xlfn.NUMBERVALUE("-0.002295")</f>
        <v/>
      </c>
      <c r="G328">
        <f>_xlfn.NUMBERVALUE("-0.000327")</f>
        <v/>
      </c>
      <c r="H328">
        <f>_xlfn.NUMBERVALUE("-0.000026")</f>
        <v/>
      </c>
      <c r="I328">
        <f>_xlfn.NUMBERVALUE("0.000638")</f>
        <v/>
      </c>
      <c r="J328">
        <f>_xlfn.NUMBERVALUE("-0.000598")</f>
        <v/>
      </c>
      <c r="K328">
        <f>_xlfn.NUMBERVALUE("-0.000776")</f>
        <v/>
      </c>
      <c r="L328">
        <f>_xlfn.NUMBERVALUE("0.000215")</f>
        <v/>
      </c>
      <c r="M328">
        <f>_xlfn.NUMBERVALUE("-0.001370")</f>
        <v/>
      </c>
      <c r="N328">
        <f>_xlfn.NUMBERVALUE("0.000000")</f>
        <v/>
      </c>
      <c r="O328">
        <f>_xlfn.NUMBERVALUE("-0.000723")</f>
        <v/>
      </c>
      <c r="P328">
        <f>_xlfn.NUMBERVALUE("0.000117")</f>
        <v/>
      </c>
      <c r="Q328">
        <f>_xlfn.NUMBERVALUE("-0.001143")</f>
        <v/>
      </c>
      <c r="R328">
        <f>_xlfn.NUMBERVALUE("0.000254")</f>
        <v/>
      </c>
      <c r="S328">
        <f>_xlfn.NUMBERVALUE("0.000815")</f>
        <v/>
      </c>
      <c r="T328">
        <f>_xlfn.NUMBERVALUE("-0.000407")</f>
        <v/>
      </c>
      <c r="U328">
        <f>_xlfn.NUMBERVALUE("0.000400")</f>
        <v/>
      </c>
      <c r="V328">
        <f>_xlfn.NUMBERVALUE("-0.000044")</f>
        <v/>
      </c>
      <c r="W328">
        <f>_xlfn.NUMBERVALUE("0.002534")</f>
        <v/>
      </c>
      <c r="X328">
        <f>_xlfn.NUMBERVALUE("-0.110000")</f>
        <v/>
      </c>
      <c r="Y328">
        <f>_xlfn.NUMBERVALUE("13.240000")</f>
        <v/>
      </c>
    </row>
    <row r="329">
      <c r="A329" s="1" t="n">
        <v>42480</v>
      </c>
      <c r="B329">
        <f>_xlfn.NUMBERVALUE("0.000000")</f>
        <v/>
      </c>
      <c r="C329" s="2">
        <f>_xlfn.NUMBERVALUE("-0.000459")</f>
        <v/>
      </c>
      <c r="D329">
        <f>_xlfn.NUMBERVALUE("0.000905")</f>
        <v/>
      </c>
      <c r="E329">
        <f>_xlfn.NUMBERVALUE("-0.003340")</f>
        <v/>
      </c>
      <c r="F329">
        <f>_xlfn.NUMBERVALUE("0.001162")</f>
        <v/>
      </c>
      <c r="G329">
        <f>_xlfn.NUMBERVALUE("-0.000219")</f>
        <v/>
      </c>
      <c r="H329">
        <f>_xlfn.NUMBERVALUE("-0.000142")</f>
        <v/>
      </c>
      <c r="I329">
        <f>_xlfn.NUMBERVALUE("0.000663")</f>
        <v/>
      </c>
      <c r="J329">
        <f>_xlfn.NUMBERVALUE("0.000161")</f>
        <v/>
      </c>
      <c r="K329">
        <f>_xlfn.NUMBERVALUE("-0.001955")</f>
        <v/>
      </c>
      <c r="L329">
        <f>_xlfn.NUMBERVALUE("-0.002175")</f>
        <v/>
      </c>
      <c r="M329">
        <f>_xlfn.NUMBERVALUE("-0.000182")</f>
        <v/>
      </c>
      <c r="N329">
        <f>_xlfn.NUMBERVALUE("0.000000")</f>
        <v/>
      </c>
      <c r="O329">
        <f>_xlfn.NUMBERVALUE("0.000093")</f>
        <v/>
      </c>
      <c r="P329">
        <f>_xlfn.NUMBERVALUE("0.000290")</f>
        <v/>
      </c>
      <c r="Q329">
        <f>_xlfn.NUMBERVALUE("0.000666")</f>
        <v/>
      </c>
      <c r="R329">
        <f>_xlfn.NUMBERVALUE("0.000545")</f>
        <v/>
      </c>
      <c r="S329">
        <f>_xlfn.NUMBERVALUE("-0.003492")</f>
        <v/>
      </c>
      <c r="T329">
        <f>_xlfn.NUMBERVALUE("-0.007547")</f>
        <v/>
      </c>
      <c r="U329">
        <f>_xlfn.NUMBERVALUE("0.000257")</f>
        <v/>
      </c>
      <c r="V329">
        <f>_xlfn.NUMBERVALUE("0.000428")</f>
        <v/>
      </c>
      <c r="W329">
        <f>_xlfn.NUMBERVALUE("0.002289")</f>
        <v/>
      </c>
      <c r="X329">
        <f>_xlfn.NUMBERVALUE("0.040000")</f>
        <v/>
      </c>
      <c r="Y329">
        <f>_xlfn.NUMBERVALUE("13.280000")</f>
        <v/>
      </c>
    </row>
    <row r="330">
      <c r="A330" s="1" t="n">
        <v>42481</v>
      </c>
      <c r="B330">
        <f>_xlfn.NUMBERVALUE("0.000000")</f>
        <v/>
      </c>
      <c r="C330" s="2">
        <f>_xlfn.NUMBERVALUE("0.000424")</f>
        <v/>
      </c>
      <c r="D330">
        <f>_xlfn.NUMBERVALUE("0.000904")</f>
        <v/>
      </c>
      <c r="E330">
        <f>_xlfn.NUMBERVALUE("-0.004041")</f>
        <v/>
      </c>
      <c r="F330">
        <f>_xlfn.NUMBERVALUE("-0.001131")</f>
        <v/>
      </c>
      <c r="G330">
        <f>_xlfn.NUMBERVALUE("0.001642")</f>
        <v/>
      </c>
      <c r="H330">
        <f>_xlfn.NUMBERVALUE("0.000074")</f>
        <v/>
      </c>
      <c r="I330">
        <f>_xlfn.NUMBERVALUE("0.000761")</f>
        <v/>
      </c>
      <c r="J330">
        <f>_xlfn.NUMBERVALUE("0.000197")</f>
        <v/>
      </c>
      <c r="K330">
        <f>_xlfn.NUMBERVALUE("-0.000033")</f>
        <v/>
      </c>
      <c r="L330">
        <f>_xlfn.NUMBERVALUE("-0.000172")</f>
        <v/>
      </c>
      <c r="M330">
        <f>_xlfn.NUMBERVALUE("-0.001207")</f>
        <v/>
      </c>
      <c r="N330">
        <f>_xlfn.NUMBERVALUE("0.000000")</f>
        <v/>
      </c>
      <c r="O330">
        <f>_xlfn.NUMBERVALUE("-0.001021")</f>
        <v/>
      </c>
      <c r="P330">
        <f>_xlfn.NUMBERVALUE("-0.001085")</f>
        <v/>
      </c>
      <c r="Q330">
        <f>_xlfn.NUMBERVALUE("-0.001129")</f>
        <v/>
      </c>
      <c r="R330">
        <f>_xlfn.NUMBERVALUE("0.000707")</f>
        <v/>
      </c>
      <c r="S330">
        <f>_xlfn.NUMBERVALUE("-0.001986")</f>
        <v/>
      </c>
      <c r="T330">
        <f>_xlfn.NUMBERVALUE("-0.004264")</f>
        <v/>
      </c>
      <c r="U330">
        <f>_xlfn.NUMBERVALUE("0.000559")</f>
        <v/>
      </c>
      <c r="V330">
        <f>_xlfn.NUMBERVALUE("0.000390")</f>
        <v/>
      </c>
      <c r="W330">
        <f>_xlfn.NUMBERVALUE("-0.005805")</f>
        <v/>
      </c>
      <c r="X330">
        <f>_xlfn.NUMBERVALUE("0.670000")</f>
        <v/>
      </c>
      <c r="Y330">
        <f>_xlfn.NUMBERVALUE("13.950000")</f>
        <v/>
      </c>
    </row>
    <row r="331">
      <c r="A331" s="1" t="n">
        <v>42482</v>
      </c>
      <c r="B331">
        <f>_xlfn.NUMBERVALUE("0.000000")</f>
        <v/>
      </c>
      <c r="C331" s="2">
        <f>_xlfn.NUMBERVALUE("0.001639")</f>
        <v/>
      </c>
      <c r="D331">
        <f>_xlfn.NUMBERVALUE("0.002317")</f>
        <v/>
      </c>
      <c r="E331">
        <f>_xlfn.NUMBERVALUE("0.000969")</f>
        <v/>
      </c>
      <c r="F331">
        <f>_xlfn.NUMBERVALUE("0.000285")</f>
        <v/>
      </c>
      <c r="G331">
        <f>_xlfn.NUMBERVALUE("-0.001319")</f>
        <v/>
      </c>
      <c r="H331">
        <f>_xlfn.NUMBERVALUE("0.000046")</f>
        <v/>
      </c>
      <c r="I331">
        <f>_xlfn.NUMBERVALUE("0.000212")</f>
        <v/>
      </c>
      <c r="J331">
        <f>_xlfn.NUMBERVALUE("-0.000250")</f>
        <v/>
      </c>
      <c r="K331">
        <f>_xlfn.NUMBERVALUE("0.001143")</f>
        <v/>
      </c>
      <c r="L331">
        <f>_xlfn.NUMBERVALUE("0.001097")</f>
        <v/>
      </c>
      <c r="M331">
        <f>_xlfn.NUMBERVALUE("0.001000")</f>
        <v/>
      </c>
      <c r="N331">
        <f>_xlfn.NUMBERVALUE("0.000000")</f>
        <v/>
      </c>
      <c r="O331">
        <f>_xlfn.NUMBERVALUE("0.000264")</f>
        <v/>
      </c>
      <c r="P331">
        <f>_xlfn.NUMBERVALUE("0.000731")</f>
        <v/>
      </c>
      <c r="Q331">
        <f>_xlfn.NUMBERVALUE("0.001536")</f>
        <v/>
      </c>
      <c r="R331">
        <f>_xlfn.NUMBERVALUE("-0.000506")</f>
        <v/>
      </c>
      <c r="S331">
        <f>_xlfn.NUMBERVALUE("0.001644")</f>
        <v/>
      </c>
      <c r="T331">
        <f>_xlfn.NUMBERVALUE("0.000354")</f>
        <v/>
      </c>
      <c r="U331">
        <f>_xlfn.NUMBERVALUE("0.001143")</f>
        <v/>
      </c>
      <c r="V331">
        <f>_xlfn.NUMBERVALUE("0.001990")</f>
        <v/>
      </c>
      <c r="W331">
        <f>_xlfn.NUMBERVALUE("0.000239")</f>
        <v/>
      </c>
      <c r="X331">
        <f>_xlfn.NUMBERVALUE("-0.730000")</f>
        <v/>
      </c>
      <c r="Y331">
        <f>_xlfn.NUMBERVALUE("13.220000")</f>
        <v/>
      </c>
    </row>
    <row r="332">
      <c r="A332" s="1" t="n">
        <v>42485</v>
      </c>
      <c r="B332">
        <f>_xlfn.NUMBERVALUE("0.000000")</f>
        <v/>
      </c>
      <c r="C332" s="2">
        <f>_xlfn.NUMBERVALUE("0.000304")</f>
        <v/>
      </c>
      <c r="D332">
        <f>_xlfn.NUMBERVALUE("0.001924")</f>
        <v/>
      </c>
      <c r="E332">
        <f>_xlfn.NUMBERVALUE("0.000209")</f>
        <v/>
      </c>
      <c r="F332">
        <f>_xlfn.NUMBERVALUE("0.001236")</f>
        <v/>
      </c>
      <c r="G332">
        <f>_xlfn.NUMBERVALUE("0.001154")</f>
        <v/>
      </c>
      <c r="H332">
        <f>_xlfn.NUMBERVALUE("0.001141")</f>
        <v/>
      </c>
      <c r="I332">
        <f>_xlfn.NUMBERVALUE("0.000618")</f>
        <v/>
      </c>
      <c r="J332">
        <f>_xlfn.NUMBERVALUE("0.001122")</f>
        <v/>
      </c>
      <c r="K332">
        <f>_xlfn.NUMBERVALUE("-0.000695")</f>
        <v/>
      </c>
      <c r="L332">
        <f>_xlfn.NUMBERVALUE("0.000077")</f>
        <v/>
      </c>
      <c r="M332">
        <f>_xlfn.NUMBERVALUE("-0.000474")</f>
        <v/>
      </c>
      <c r="N332">
        <f>_xlfn.NUMBERVALUE("0.000000")</f>
        <v/>
      </c>
      <c r="O332">
        <f>_xlfn.NUMBERVALUE("0.000350")</f>
        <v/>
      </c>
      <c r="P332">
        <f>_xlfn.NUMBERVALUE("0.000845")</f>
        <v/>
      </c>
      <c r="Q332">
        <f>_xlfn.NUMBERVALUE("0.000061")</f>
        <v/>
      </c>
      <c r="R332">
        <f>_xlfn.NUMBERVALUE("0.000635")</f>
        <v/>
      </c>
      <c r="S332">
        <f>_xlfn.NUMBERVALUE("0.000639")</f>
        <v/>
      </c>
      <c r="T332">
        <f>_xlfn.NUMBERVALUE("0.001711")</f>
        <v/>
      </c>
      <c r="U332">
        <f>_xlfn.NUMBERVALUE("0.001074")</f>
        <v/>
      </c>
      <c r="V332">
        <f>_xlfn.NUMBERVALUE("0.000028")</f>
        <v/>
      </c>
      <c r="W332">
        <f>_xlfn.NUMBERVALUE("-0.003254")</f>
        <v/>
      </c>
      <c r="X332">
        <f>_xlfn.NUMBERVALUE("0.860000")</f>
        <v/>
      </c>
      <c r="Y332">
        <f>_xlfn.NUMBERVALUE("14.080000")</f>
        <v/>
      </c>
    </row>
    <row r="333">
      <c r="A333" s="1" t="n">
        <v>42486</v>
      </c>
      <c r="B333">
        <f>_xlfn.NUMBERVALUE("0.000000")</f>
        <v/>
      </c>
      <c r="C333" s="2">
        <f>_xlfn.NUMBERVALUE("0.000173")</f>
        <v/>
      </c>
      <c r="D333">
        <f>_xlfn.NUMBERVALUE("-0.000818")</f>
        <v/>
      </c>
      <c r="E333">
        <f>_xlfn.NUMBERVALUE("0.000839")</f>
        <v/>
      </c>
      <c r="F333">
        <f>_xlfn.NUMBERVALUE("0.000775")</f>
        <v/>
      </c>
      <c r="G333">
        <f>_xlfn.NUMBERVALUE("-0.000885")</f>
        <v/>
      </c>
      <c r="H333">
        <f>_xlfn.NUMBERVALUE("-0.000225")</f>
        <v/>
      </c>
      <c r="I333">
        <f>_xlfn.NUMBERVALUE("-0.001584")</f>
        <v/>
      </c>
      <c r="J333">
        <f>_xlfn.NUMBERVALUE("0.000539")</f>
        <v/>
      </c>
      <c r="K333">
        <f>_xlfn.NUMBERVALUE("0.000297")</f>
        <v/>
      </c>
      <c r="L333">
        <f>_xlfn.NUMBERVALUE("-0.000186")</f>
        <v/>
      </c>
      <c r="M333">
        <f>_xlfn.NUMBERVALUE("-0.000499")</f>
        <v/>
      </c>
      <c r="N333">
        <f>_xlfn.NUMBERVALUE("0.000000")</f>
        <v/>
      </c>
      <c r="O333">
        <f>_xlfn.NUMBERVALUE("-0.000118")</f>
        <v/>
      </c>
      <c r="P333">
        <f>_xlfn.NUMBERVALUE("0.000247")</f>
        <v/>
      </c>
      <c r="Q333">
        <f>_xlfn.NUMBERVALUE("-0.001221")</f>
        <v/>
      </c>
      <c r="R333">
        <f>_xlfn.NUMBERVALUE("0.000746")</f>
        <v/>
      </c>
      <c r="S333">
        <f>_xlfn.NUMBERVALUE("0.000646")</f>
        <v/>
      </c>
      <c r="T333">
        <f>_xlfn.NUMBERVALUE("0.000738")</f>
        <v/>
      </c>
      <c r="U333">
        <f>_xlfn.NUMBERVALUE("0.000277")</f>
        <v/>
      </c>
      <c r="V333">
        <f>_xlfn.NUMBERVALUE("0.000105")</f>
        <v/>
      </c>
      <c r="W333">
        <f>_xlfn.NUMBERVALUE("0.002568")</f>
        <v/>
      </c>
      <c r="X333">
        <f>_xlfn.NUMBERVALUE("-0.120000")</f>
        <v/>
      </c>
      <c r="Y333">
        <f>_xlfn.NUMBERVALUE("13.960000")</f>
        <v/>
      </c>
    </row>
    <row r="334">
      <c r="A334" s="1" t="n">
        <v>42487</v>
      </c>
      <c r="B334">
        <f>_xlfn.NUMBERVALUE("0.000000")</f>
        <v/>
      </c>
      <c r="C334" s="2">
        <f>_xlfn.NUMBERVALUE("0.002853")</f>
        <v/>
      </c>
      <c r="D334">
        <f>_xlfn.NUMBERVALUE("0.003443")</f>
        <v/>
      </c>
      <c r="E334">
        <f>_xlfn.NUMBERVALUE("0.000653")</f>
        <v/>
      </c>
      <c r="F334">
        <f>_xlfn.NUMBERVALUE("0.002586")</f>
        <v/>
      </c>
      <c r="G334">
        <f>_xlfn.NUMBERVALUE("0.000282")</f>
        <v/>
      </c>
      <c r="H334">
        <f>_xlfn.NUMBERVALUE("-0.000131")</f>
        <v/>
      </c>
      <c r="I334">
        <f>_xlfn.NUMBERVALUE("0.000491")</f>
        <v/>
      </c>
      <c r="J334">
        <f>_xlfn.NUMBERVALUE("-0.001229")</f>
        <v/>
      </c>
      <c r="K334">
        <f>_xlfn.NUMBERVALUE("-0.000235")</f>
        <v/>
      </c>
      <c r="L334">
        <f>_xlfn.NUMBERVALUE("0.000537")</f>
        <v/>
      </c>
      <c r="M334">
        <f>_xlfn.NUMBERVALUE("0.000410")</f>
        <v/>
      </c>
      <c r="N334">
        <f>_xlfn.NUMBERVALUE("0.000000")</f>
        <v/>
      </c>
      <c r="O334">
        <f>_xlfn.NUMBERVALUE("-0.000283")</f>
        <v/>
      </c>
      <c r="P334">
        <f>_xlfn.NUMBERVALUE("-0.000255")</f>
        <v/>
      </c>
      <c r="Q334">
        <f>_xlfn.NUMBERVALUE("0.000371")</f>
        <v/>
      </c>
      <c r="R334">
        <f>_xlfn.NUMBERVALUE("0.001209")</f>
        <v/>
      </c>
      <c r="S334">
        <f>_xlfn.NUMBERVALUE("0.001171")</f>
        <v/>
      </c>
      <c r="T334">
        <f>_xlfn.NUMBERVALUE("-0.000956")</f>
        <v/>
      </c>
      <c r="U334">
        <f>_xlfn.NUMBERVALUE("0.002299")</f>
        <v/>
      </c>
      <c r="V334">
        <f>_xlfn.NUMBERVALUE("0.001286")</f>
        <v/>
      </c>
      <c r="W334">
        <f>_xlfn.NUMBERVALUE("0.002514")</f>
        <v/>
      </c>
      <c r="X334">
        <f>_xlfn.NUMBERVALUE("-0.190000")</f>
        <v/>
      </c>
      <c r="Y334">
        <f>_xlfn.NUMBERVALUE("13.770000")</f>
        <v/>
      </c>
    </row>
    <row r="335">
      <c r="A335" s="1" t="n">
        <v>42488</v>
      </c>
      <c r="B335">
        <f>_xlfn.NUMBERVALUE("0.000000")</f>
        <v/>
      </c>
      <c r="C335" s="2">
        <f>_xlfn.NUMBERVALUE("-0.003517")</f>
        <v/>
      </c>
      <c r="D335">
        <f>_xlfn.NUMBERVALUE("0.000519")</f>
        <v/>
      </c>
      <c r="E335">
        <f>_xlfn.NUMBERVALUE("-0.000578")</f>
        <v/>
      </c>
      <c r="F335">
        <f>_xlfn.NUMBERVALUE("-0.003439")</f>
        <v/>
      </c>
      <c r="G335">
        <f>_xlfn.NUMBERVALUE("0.000022")</f>
        <v/>
      </c>
      <c r="H335">
        <f>_xlfn.NUMBERVALUE("-0.000161")</f>
        <v/>
      </c>
      <c r="I335">
        <f>_xlfn.NUMBERVALUE("-0.000776")</f>
        <v/>
      </c>
      <c r="J335">
        <f>_xlfn.NUMBERVALUE("0.000005")</f>
        <v/>
      </c>
      <c r="K335">
        <f>_xlfn.NUMBERVALUE("-0.000019")</f>
        <v/>
      </c>
      <c r="L335">
        <f>_xlfn.NUMBERVALUE("0.000636")</f>
        <v/>
      </c>
      <c r="M335">
        <f>_xlfn.NUMBERVALUE("0.002991")</f>
        <v/>
      </c>
      <c r="N335">
        <f>_xlfn.NUMBERVALUE("0.000000")</f>
        <v/>
      </c>
      <c r="O335">
        <f>_xlfn.NUMBERVALUE("-0.000071")</f>
        <v/>
      </c>
      <c r="P335">
        <f>_xlfn.NUMBERVALUE("0.000131")</f>
        <v/>
      </c>
      <c r="Q335">
        <f>_xlfn.NUMBERVALUE("-0.000915")</f>
        <v/>
      </c>
      <c r="R335">
        <f>_xlfn.NUMBERVALUE("-0.001786")</f>
        <v/>
      </c>
      <c r="S335">
        <f>_xlfn.NUMBERVALUE("0.000325")</f>
        <v/>
      </c>
      <c r="T335">
        <f>_xlfn.NUMBERVALUE("0.001193")</f>
        <v/>
      </c>
      <c r="U335">
        <f>_xlfn.NUMBERVALUE("-0.000550")</f>
        <v/>
      </c>
      <c r="V335">
        <f>_xlfn.NUMBERVALUE("-0.002528")</f>
        <v/>
      </c>
      <c r="W335">
        <f>_xlfn.NUMBERVALUE("-0.010937")</f>
        <v/>
      </c>
      <c r="X335">
        <f>_xlfn.NUMBERVALUE("1.450000")</f>
        <v/>
      </c>
      <c r="Y335">
        <f>_xlfn.NUMBERVALUE("15.220000")</f>
        <v/>
      </c>
    </row>
    <row r="336">
      <c r="A336" s="1" t="n">
        <v>42489</v>
      </c>
      <c r="B336">
        <f>_xlfn.NUMBERVALUE("0.000000")</f>
        <v/>
      </c>
      <c r="C336" s="2">
        <f>_xlfn.NUMBERVALUE("0.002927")</f>
        <v/>
      </c>
      <c r="D336">
        <f>_xlfn.NUMBERVALUE("0.001685")</f>
        <v/>
      </c>
      <c r="E336">
        <f>_xlfn.NUMBERVALUE("0.001616")</f>
        <v/>
      </c>
      <c r="F336">
        <f>_xlfn.NUMBERVALUE("-0.001020")</f>
        <v/>
      </c>
      <c r="G336">
        <f>_xlfn.NUMBERVALUE("0.001250")</f>
        <v/>
      </c>
      <c r="H336">
        <f>_xlfn.NUMBERVALUE("0.000357")</f>
        <v/>
      </c>
      <c r="I336">
        <f>_xlfn.NUMBERVALUE("0.002671")</f>
        <v/>
      </c>
      <c r="J336">
        <f>_xlfn.NUMBERVALUE("-0.000125")</f>
        <v/>
      </c>
      <c r="K336">
        <f>_xlfn.NUMBERVALUE("0.000243")</f>
        <v/>
      </c>
      <c r="L336">
        <f>_xlfn.NUMBERVALUE("0.001491")</f>
        <v/>
      </c>
      <c r="M336">
        <f>_xlfn.NUMBERVALUE("-0.003098")</f>
        <v/>
      </c>
      <c r="N336">
        <f>_xlfn.NUMBERVALUE("0.000000")</f>
        <v/>
      </c>
      <c r="O336">
        <f>_xlfn.NUMBERVALUE("0.000068")</f>
        <v/>
      </c>
      <c r="P336">
        <f>_xlfn.NUMBERVALUE("-0.000240")</f>
        <v/>
      </c>
      <c r="Q336">
        <f>_xlfn.NUMBERVALUE("0.000718")</f>
        <v/>
      </c>
      <c r="R336">
        <f>_xlfn.NUMBERVALUE("0.000105")</f>
        <v/>
      </c>
      <c r="S336">
        <f>_xlfn.NUMBERVALUE("0.000519")</f>
        <v/>
      </c>
      <c r="T336">
        <f>_xlfn.NUMBERVALUE("0.000128")</f>
        <v/>
      </c>
      <c r="U336">
        <f>_xlfn.NUMBERVALUE("-0.002799")</f>
        <v/>
      </c>
      <c r="V336">
        <f>_xlfn.NUMBERVALUE("0.003282")</f>
        <v/>
      </c>
      <c r="W336">
        <f>_xlfn.NUMBERVALUE("-0.003332")</f>
        <v/>
      </c>
      <c r="X336">
        <f>_xlfn.NUMBERVALUE("0.480000")</f>
        <v/>
      </c>
      <c r="Y336">
        <f>_xlfn.NUMBERVALUE("15.700000")</f>
        <v/>
      </c>
    </row>
    <row r="337">
      <c r="A337" s="1" t="n">
        <v>42492</v>
      </c>
      <c r="B337">
        <f>_xlfn.NUMBERVALUE("0.000000")</f>
        <v/>
      </c>
      <c r="C337" s="2">
        <f>_xlfn.NUMBERVALUE("0.002359")</f>
        <v/>
      </c>
      <c r="D337">
        <f>_xlfn.NUMBERVALUE("0.006431")</f>
        <v/>
      </c>
      <c r="E337">
        <f>_xlfn.NUMBERVALUE("-0.000953")</f>
        <v/>
      </c>
      <c r="F337">
        <f>_xlfn.NUMBERVALUE("0.000104")</f>
        <v/>
      </c>
      <c r="G337">
        <f>_xlfn.NUMBERVALUE("-0.002637")</f>
        <v/>
      </c>
      <c r="H337">
        <f>_xlfn.NUMBERVALUE("0.000499")</f>
        <v/>
      </c>
      <c r="I337">
        <f>_xlfn.NUMBERVALUE("0.001477")</f>
        <v/>
      </c>
      <c r="J337">
        <f>_xlfn.NUMBERVALUE("-0.000020")</f>
        <v/>
      </c>
      <c r="K337">
        <f>_xlfn.NUMBERVALUE("-0.000360")</f>
        <v/>
      </c>
      <c r="L337">
        <f>_xlfn.NUMBERVALUE("-0.000317")</f>
        <v/>
      </c>
      <c r="M337">
        <f>_xlfn.NUMBERVALUE("0.000021")</f>
        <v/>
      </c>
      <c r="N337">
        <f>_xlfn.NUMBERVALUE("0.000000")</f>
        <v/>
      </c>
      <c r="O337">
        <f>_xlfn.NUMBERVALUE("0.000512")</f>
        <v/>
      </c>
      <c r="P337">
        <f>_xlfn.NUMBERVALUE("0.000188")</f>
        <v/>
      </c>
      <c r="Q337">
        <f>_xlfn.NUMBERVALUE("0.001606")</f>
        <v/>
      </c>
      <c r="R337">
        <f>_xlfn.NUMBERVALUE("0.000459")</f>
        <v/>
      </c>
      <c r="S337">
        <f>_xlfn.NUMBERVALUE("0.000144")</f>
        <v/>
      </c>
      <c r="T337">
        <f>_xlfn.NUMBERVALUE("-0.000689")</f>
        <v/>
      </c>
      <c r="U337">
        <f>_xlfn.NUMBERVALUE("0.000310")</f>
        <v/>
      </c>
      <c r="V337">
        <f>_xlfn.NUMBERVALUE("0.002232")</f>
        <v/>
      </c>
      <c r="W337">
        <f>_xlfn.NUMBERVALUE("0.007171")</f>
        <v/>
      </c>
      <c r="X337">
        <f>_xlfn.NUMBERVALUE("-1.020000")</f>
        <v/>
      </c>
      <c r="Y337">
        <f>_xlfn.NUMBERVALUE("14.680000")</f>
        <v/>
      </c>
    </row>
    <row r="338">
      <c r="A338" s="1" t="n">
        <v>42493</v>
      </c>
      <c r="B338">
        <f>_xlfn.NUMBERVALUE("0.000000")</f>
        <v/>
      </c>
      <c r="C338" s="2">
        <f>_xlfn.NUMBERVALUE("0.003224")</f>
        <v/>
      </c>
      <c r="D338">
        <f>_xlfn.NUMBERVALUE("-0.021092")</f>
        <v/>
      </c>
      <c r="E338">
        <f>_xlfn.NUMBERVALUE("0.000254")</f>
        <v/>
      </c>
      <c r="F338">
        <f>_xlfn.NUMBERVALUE("-0.000008")</f>
        <v/>
      </c>
      <c r="G338">
        <f>_xlfn.NUMBERVALUE("-0.000060")</f>
        <v/>
      </c>
      <c r="H338">
        <f>_xlfn.NUMBERVALUE("-0.000310")</f>
        <v/>
      </c>
      <c r="I338">
        <f>_xlfn.NUMBERVALUE("0.000359")</f>
        <v/>
      </c>
      <c r="J338">
        <f>_xlfn.NUMBERVALUE("0.000030")</f>
        <v/>
      </c>
      <c r="K338">
        <f>_xlfn.NUMBERVALUE("0.000113")</f>
        <v/>
      </c>
      <c r="L338">
        <f>_xlfn.NUMBERVALUE("0.000261")</f>
        <v/>
      </c>
      <c r="M338">
        <f>_xlfn.NUMBERVALUE("-0.000147")</f>
        <v/>
      </c>
      <c r="N338">
        <f>_xlfn.NUMBERVALUE("0.000000")</f>
        <v/>
      </c>
      <c r="O338">
        <f>_xlfn.NUMBERVALUE("0.000005")</f>
        <v/>
      </c>
      <c r="P338">
        <f>_xlfn.NUMBERVALUE("0.000088")</f>
        <v/>
      </c>
      <c r="Q338">
        <f>_xlfn.NUMBERVALUE("0.000493")</f>
        <v/>
      </c>
      <c r="R338">
        <f>_xlfn.NUMBERVALUE("-0.000182")</f>
        <v/>
      </c>
      <c r="S338">
        <f>_xlfn.NUMBERVALUE("0.000940")</f>
        <v/>
      </c>
      <c r="T338">
        <f>_xlfn.NUMBERVALUE("0.001627")</f>
        <v/>
      </c>
      <c r="U338">
        <f>_xlfn.NUMBERVALUE("-0.000881")</f>
        <v/>
      </c>
      <c r="V338">
        <f>_xlfn.NUMBERVALUE("0.003629")</f>
        <v/>
      </c>
      <c r="W338">
        <f>_xlfn.NUMBERVALUE("-0.004086")</f>
        <v/>
      </c>
      <c r="X338">
        <f>_xlfn.NUMBERVALUE("0.920000")</f>
        <v/>
      </c>
      <c r="Y338">
        <f>_xlfn.NUMBERVALUE("15.600000")</f>
        <v/>
      </c>
    </row>
    <row r="339">
      <c r="A339" s="1" t="n">
        <v>42494</v>
      </c>
      <c r="B339">
        <f>_xlfn.NUMBERVALUE("0.000000")</f>
        <v/>
      </c>
      <c r="C339" s="2">
        <f>_xlfn.NUMBERVALUE("-0.000092")</f>
        <v/>
      </c>
      <c r="D339">
        <f>_xlfn.NUMBERVALUE("-0.000984")</f>
        <v/>
      </c>
      <c r="E339">
        <f>_xlfn.NUMBERVALUE("-0.001134")</f>
        <v/>
      </c>
      <c r="F339">
        <f>_xlfn.NUMBERVALUE("-0.002066")</f>
        <v/>
      </c>
      <c r="G339">
        <f>_xlfn.NUMBERVALUE("0.001078")</f>
        <v/>
      </c>
      <c r="H339">
        <f>_xlfn.NUMBERVALUE("0.000322")</f>
        <v/>
      </c>
      <c r="I339">
        <f>_xlfn.NUMBERVALUE("0.000709")</f>
        <v/>
      </c>
      <c r="J339">
        <f>_xlfn.NUMBERVALUE("-0.000131")</f>
        <v/>
      </c>
      <c r="K339">
        <f>_xlfn.NUMBERVALUE("0.003437")</f>
        <v/>
      </c>
      <c r="L339">
        <f>_xlfn.NUMBERVALUE("0.000593")</f>
        <v/>
      </c>
      <c r="M339">
        <f>_xlfn.NUMBERVALUE("0.000689")</f>
        <v/>
      </c>
      <c r="N339">
        <f>_xlfn.NUMBERVALUE("0.000000")</f>
        <v/>
      </c>
      <c r="O339">
        <f>_xlfn.NUMBERVALUE("0.000016")</f>
        <v/>
      </c>
      <c r="P339">
        <f>_xlfn.NUMBERVALUE("0.000062")</f>
        <v/>
      </c>
      <c r="Q339">
        <f>_xlfn.NUMBERVALUE("-0.000724")</f>
        <v/>
      </c>
      <c r="R339">
        <f>_xlfn.NUMBERVALUE("0.000111")</f>
        <v/>
      </c>
      <c r="S339">
        <f>_xlfn.NUMBERVALUE("0.000615")</f>
        <v/>
      </c>
      <c r="T339">
        <f>_xlfn.NUMBERVALUE("-0.001845")</f>
        <v/>
      </c>
      <c r="U339">
        <f>_xlfn.NUMBERVALUE("0.001063")</f>
        <v/>
      </c>
      <c r="V339">
        <f>_xlfn.NUMBERVALUE("-0.000205")</f>
        <v/>
      </c>
      <c r="W339">
        <f>_xlfn.NUMBERVALUE("-0.005461")</f>
        <v/>
      </c>
      <c r="X339">
        <f>_xlfn.NUMBERVALUE("0.450000")</f>
        <v/>
      </c>
      <c r="Y339">
        <f>_xlfn.NUMBERVALUE("16.050000")</f>
        <v/>
      </c>
    </row>
    <row r="340">
      <c r="A340" s="1" t="n">
        <v>42495</v>
      </c>
      <c r="B340">
        <f>_xlfn.NUMBERVALUE("0.000000")</f>
        <v/>
      </c>
      <c r="C340" s="2">
        <f>_xlfn.NUMBERVALUE("0.000878")</f>
        <v/>
      </c>
      <c r="D340">
        <f>_xlfn.NUMBERVALUE("0.003259")</f>
        <v/>
      </c>
      <c r="E340">
        <f>_xlfn.NUMBERVALUE("0.001316")</f>
        <v/>
      </c>
      <c r="F340">
        <f>_xlfn.NUMBERVALUE("0.002918")</f>
        <v/>
      </c>
      <c r="G340">
        <f>_xlfn.NUMBERVALUE("0.000622")</f>
        <v/>
      </c>
      <c r="H340">
        <f>_xlfn.NUMBERVALUE("0.000130")</f>
        <v/>
      </c>
      <c r="I340">
        <f>_xlfn.NUMBERVALUE("0.001199")</f>
        <v/>
      </c>
      <c r="J340">
        <f>_xlfn.NUMBERVALUE("0.000818")</f>
        <v/>
      </c>
      <c r="K340">
        <f>_xlfn.NUMBERVALUE("0.001770")</f>
        <v/>
      </c>
      <c r="L340">
        <f>_xlfn.NUMBERVALUE("0.000287")</f>
        <v/>
      </c>
      <c r="M340">
        <f>_xlfn.NUMBERVALUE("0.000531")</f>
        <v/>
      </c>
      <c r="N340">
        <f>_xlfn.NUMBERVALUE("0.000000")</f>
        <v/>
      </c>
      <c r="O340">
        <f>_xlfn.NUMBERVALUE("0.000075")</f>
        <v/>
      </c>
      <c r="P340">
        <f>_xlfn.NUMBERVALUE("0.000249")</f>
        <v/>
      </c>
      <c r="Q340">
        <f>_xlfn.NUMBERVALUE("0.002770")</f>
        <v/>
      </c>
      <c r="R340">
        <f>_xlfn.NUMBERVALUE("0.000002")</f>
        <v/>
      </c>
      <c r="S340">
        <f>_xlfn.NUMBERVALUE("0.003134")</f>
        <v/>
      </c>
      <c r="T340">
        <f>_xlfn.NUMBERVALUE("0.003588")</f>
        <v/>
      </c>
      <c r="U340">
        <f>_xlfn.NUMBERVALUE("0.001691")</f>
        <v/>
      </c>
      <c r="V340">
        <f>_xlfn.NUMBERVALUE("0.000933")</f>
        <v/>
      </c>
      <c r="W340">
        <f>_xlfn.NUMBERVALUE("-0.001487")</f>
        <v/>
      </c>
      <c r="X340">
        <f>_xlfn.NUMBERVALUE("-0.140000")</f>
        <v/>
      </c>
      <c r="Y340">
        <f>_xlfn.NUMBERVALUE("15.910000")</f>
        <v/>
      </c>
    </row>
    <row r="341">
      <c r="A341" s="1" t="n">
        <v>42496</v>
      </c>
      <c r="B341">
        <f>_xlfn.NUMBERVALUE("0.000000")</f>
        <v/>
      </c>
      <c r="C341" s="2">
        <f>_xlfn.NUMBERVALUE("0.001530")</f>
        <v/>
      </c>
      <c r="D341">
        <f>_xlfn.NUMBERVALUE("0.002832")</f>
        <v/>
      </c>
      <c r="E341">
        <f>_xlfn.NUMBERVALUE("0.002333")</f>
        <v/>
      </c>
      <c r="F341">
        <f>_xlfn.NUMBERVALUE("0.000406")</f>
        <v/>
      </c>
      <c r="G341">
        <f>_xlfn.NUMBERVALUE("0.001223")</f>
        <v/>
      </c>
      <c r="H341">
        <f>_xlfn.NUMBERVALUE("0.001115")</f>
        <v/>
      </c>
      <c r="I341">
        <f>_xlfn.NUMBERVALUE("0.002164")</f>
        <v/>
      </c>
      <c r="J341">
        <f>_xlfn.NUMBERVALUE("-0.000117")</f>
        <v/>
      </c>
      <c r="K341">
        <f>_xlfn.NUMBERVALUE("0.000004")</f>
        <v/>
      </c>
      <c r="L341">
        <f>_xlfn.NUMBERVALUE("0.001603")</f>
        <v/>
      </c>
      <c r="M341">
        <f>_xlfn.NUMBERVALUE("-0.000040")</f>
        <v/>
      </c>
      <c r="N341">
        <f>_xlfn.NUMBERVALUE("0.000000")</f>
        <v/>
      </c>
      <c r="O341">
        <f>_xlfn.NUMBERVALUE("0.000002")</f>
        <v/>
      </c>
      <c r="P341">
        <f>_xlfn.NUMBERVALUE("-0.000188")</f>
        <v/>
      </c>
      <c r="Q341">
        <f>_xlfn.NUMBERVALUE("-0.000295")</f>
        <v/>
      </c>
      <c r="R341">
        <f>_xlfn.NUMBERVALUE("0.000002")</f>
        <v/>
      </c>
      <c r="S341">
        <f>_xlfn.NUMBERVALUE("0.000477")</f>
        <v/>
      </c>
      <c r="T341">
        <f>_xlfn.NUMBERVALUE("0.003138")</f>
        <v/>
      </c>
      <c r="U341">
        <f>_xlfn.NUMBERVALUE("-0.000014")</f>
        <v/>
      </c>
      <c r="V341">
        <f>_xlfn.NUMBERVALUE("0.001894")</f>
        <v/>
      </c>
      <c r="W341">
        <f>_xlfn.NUMBERVALUE("0.003858")</f>
        <v/>
      </c>
      <c r="X341">
        <f>_xlfn.NUMBERVALUE("-1.190000")</f>
        <v/>
      </c>
      <c r="Y341">
        <f>_xlfn.NUMBERVALUE("14.720000")</f>
        <v/>
      </c>
    </row>
    <row r="342">
      <c r="A342" s="1" t="n">
        <v>42499</v>
      </c>
      <c r="B342">
        <f>_xlfn.NUMBERVALUE("0.000000")</f>
        <v/>
      </c>
      <c r="C342" s="2">
        <f>_xlfn.NUMBERVALUE("0.002090")</f>
        <v/>
      </c>
      <c r="D342">
        <f>_xlfn.NUMBERVALUE("-0.001319")</f>
        <v/>
      </c>
      <c r="E342">
        <f>_xlfn.NUMBERVALUE("0.001976")</f>
        <v/>
      </c>
      <c r="F342">
        <f>_xlfn.NUMBERVALUE("-0.002722")</f>
        <v/>
      </c>
      <c r="G342">
        <f>_xlfn.NUMBERVALUE("0.000142")</f>
        <v/>
      </c>
      <c r="H342">
        <f>_xlfn.NUMBERVALUE("-0.000163")</f>
        <v/>
      </c>
      <c r="I342">
        <f>_xlfn.NUMBERVALUE("0.000911")</f>
        <v/>
      </c>
      <c r="J342">
        <f>_xlfn.NUMBERVALUE("0.001342")</f>
        <v/>
      </c>
      <c r="K342">
        <f>_xlfn.NUMBERVALUE("-0.003539")</f>
        <v/>
      </c>
      <c r="L342">
        <f>_xlfn.NUMBERVALUE("0.000855")</f>
        <v/>
      </c>
      <c r="M342">
        <f>_xlfn.NUMBERVALUE("0.002202")</f>
        <v/>
      </c>
      <c r="N342">
        <f>_xlfn.NUMBERVALUE("0.000000")</f>
        <v/>
      </c>
      <c r="O342">
        <f>_xlfn.NUMBERVALUE("0.001810")</f>
        <v/>
      </c>
      <c r="P342">
        <f>_xlfn.NUMBERVALUE("0.001917")</f>
        <v/>
      </c>
      <c r="Q342">
        <f>_xlfn.NUMBERVALUE("0.003142")</f>
        <v/>
      </c>
      <c r="R342">
        <f>_xlfn.NUMBERVALUE("0.002339")</f>
        <v/>
      </c>
      <c r="S342">
        <f>_xlfn.NUMBERVALUE("0.000324")</f>
        <v/>
      </c>
      <c r="T342">
        <f>_xlfn.NUMBERVALUE("0.002114")</f>
        <v/>
      </c>
      <c r="U342">
        <f>_xlfn.NUMBERVALUE("0.002124")</f>
        <v/>
      </c>
      <c r="V342">
        <f>_xlfn.NUMBERVALUE("0.001997")</f>
        <v/>
      </c>
      <c r="W342">
        <f>_xlfn.NUMBERVALUE("0.001460")</f>
        <v/>
      </c>
      <c r="X342">
        <f>_xlfn.NUMBERVALUE("-0.150000")</f>
        <v/>
      </c>
      <c r="Y342">
        <f>_xlfn.NUMBERVALUE("14.570000")</f>
        <v/>
      </c>
    </row>
    <row r="343">
      <c r="A343" s="1" t="n">
        <v>42500</v>
      </c>
      <c r="B343">
        <f>_xlfn.NUMBERVALUE("0.000000")</f>
        <v/>
      </c>
      <c r="C343" s="2">
        <f>_xlfn.NUMBERVALUE("-0.001652")</f>
        <v/>
      </c>
      <c r="D343">
        <f>_xlfn.NUMBERVALUE("0.001638")</f>
        <v/>
      </c>
      <c r="E343">
        <f>_xlfn.NUMBERVALUE("-0.000865")</f>
        <v/>
      </c>
      <c r="F343">
        <f>_xlfn.NUMBERVALUE("0.002008")</f>
        <v/>
      </c>
      <c r="G343">
        <f>_xlfn.NUMBERVALUE("0.002219")</f>
        <v/>
      </c>
      <c r="H343">
        <f>_xlfn.NUMBERVALUE("0.000276")</f>
        <v/>
      </c>
      <c r="I343">
        <f>_xlfn.NUMBERVALUE("0.000924")</f>
        <v/>
      </c>
      <c r="J343">
        <f>_xlfn.NUMBERVALUE("0.000647")</f>
        <v/>
      </c>
      <c r="K343">
        <f>_xlfn.NUMBERVALUE("0.003674")</f>
        <v/>
      </c>
      <c r="L343">
        <f>_xlfn.NUMBERVALUE("0.000629")</f>
        <v/>
      </c>
      <c r="M343">
        <f>_xlfn.NUMBERVALUE("-0.001062")</f>
        <v/>
      </c>
      <c r="N343">
        <f>_xlfn.NUMBERVALUE("0.000000")</f>
        <v/>
      </c>
      <c r="O343">
        <f>_xlfn.NUMBERVALUE("0.000972")</f>
        <v/>
      </c>
      <c r="P343">
        <f>_xlfn.NUMBERVALUE("0.002543")</f>
        <v/>
      </c>
      <c r="Q343">
        <f>_xlfn.NUMBERVALUE("-0.003216")</f>
        <v/>
      </c>
      <c r="R343">
        <f>_xlfn.NUMBERVALUE("-0.000404")</f>
        <v/>
      </c>
      <c r="S343">
        <f>_xlfn.NUMBERVALUE("0.000123")</f>
        <v/>
      </c>
      <c r="T343">
        <f>_xlfn.NUMBERVALUE("0.001897")</f>
        <v/>
      </c>
      <c r="U343">
        <f>_xlfn.NUMBERVALUE("-0.001198")</f>
        <v/>
      </c>
      <c r="V343">
        <f>_xlfn.NUMBERVALUE("-0.001359")</f>
        <v/>
      </c>
      <c r="W343">
        <f>_xlfn.NUMBERVALUE("0.012170")</f>
        <v/>
      </c>
      <c r="X343">
        <f>_xlfn.NUMBERVALUE("-0.940000")</f>
        <v/>
      </c>
      <c r="Y343">
        <f>_xlfn.NUMBERVALUE("13.630000")</f>
        <v/>
      </c>
    </row>
    <row r="344">
      <c r="A344" s="1" t="n">
        <v>42501</v>
      </c>
      <c r="B344">
        <f>_xlfn.NUMBERVALUE("0.000000")</f>
        <v/>
      </c>
      <c r="C344" s="2">
        <f>_xlfn.NUMBERVALUE("-0.000810")</f>
        <v/>
      </c>
      <c r="D344">
        <f>_xlfn.NUMBERVALUE("0.001618")</f>
        <v/>
      </c>
      <c r="E344">
        <f>_xlfn.NUMBERVALUE("0.000632")</f>
        <v/>
      </c>
      <c r="F344">
        <f>_xlfn.NUMBERVALUE("-0.000412")</f>
        <v/>
      </c>
      <c r="G344">
        <f>_xlfn.NUMBERVALUE("0.000615")</f>
        <v/>
      </c>
      <c r="H344">
        <f>_xlfn.NUMBERVALUE("0.000293")</f>
        <v/>
      </c>
      <c r="I344">
        <f>_xlfn.NUMBERVALUE("0.000015")</f>
        <v/>
      </c>
      <c r="J344">
        <f>_xlfn.NUMBERVALUE("0.000467")</f>
        <v/>
      </c>
      <c r="K344">
        <f>_xlfn.NUMBERVALUE("-0.000976")</f>
        <v/>
      </c>
      <c r="L344">
        <f>_xlfn.NUMBERVALUE("-0.000058")</f>
        <v/>
      </c>
      <c r="M344">
        <f>_xlfn.NUMBERVALUE("0.000771")</f>
        <v/>
      </c>
      <c r="N344">
        <f>_xlfn.NUMBERVALUE("0.000000")</f>
        <v/>
      </c>
      <c r="O344">
        <f>_xlfn.NUMBERVALUE("0.001737")</f>
        <v/>
      </c>
      <c r="P344">
        <f>_xlfn.NUMBERVALUE("0.000468")</f>
        <v/>
      </c>
      <c r="Q344">
        <f>_xlfn.NUMBERVALUE("-0.000533")</f>
        <v/>
      </c>
      <c r="R344">
        <f>_xlfn.NUMBERVALUE("0.000629")</f>
        <v/>
      </c>
      <c r="S344">
        <f>_xlfn.NUMBERVALUE("0.002400")</f>
        <v/>
      </c>
      <c r="T344">
        <f>_xlfn.NUMBERVALUE("0.000144")</f>
        <v/>
      </c>
      <c r="U344">
        <f>_xlfn.NUMBERVALUE("-0.003442")</f>
        <v/>
      </c>
      <c r="V344">
        <f>_xlfn.NUMBERVALUE("-0.000614")</f>
        <v/>
      </c>
      <c r="W344">
        <f>_xlfn.NUMBERVALUE("-0.008520")</f>
        <v/>
      </c>
      <c r="X344">
        <f>_xlfn.NUMBERVALUE("1.060000")</f>
        <v/>
      </c>
      <c r="Y344">
        <f>_xlfn.NUMBERVALUE("14.690000")</f>
        <v/>
      </c>
    </row>
    <row r="345">
      <c r="A345" s="1" t="n">
        <v>42502</v>
      </c>
      <c r="B345">
        <f>_xlfn.NUMBERVALUE("0.000000")</f>
        <v/>
      </c>
      <c r="C345" s="2">
        <f>_xlfn.NUMBERVALUE("0.000972")</f>
        <v/>
      </c>
      <c r="D345">
        <f>_xlfn.NUMBERVALUE("0.001633")</f>
        <v/>
      </c>
      <c r="E345">
        <f>_xlfn.NUMBERVALUE("0.000503")</f>
        <v/>
      </c>
      <c r="F345">
        <f>_xlfn.NUMBERVALUE("0.000794")</f>
        <v/>
      </c>
      <c r="G345">
        <f>_xlfn.NUMBERVALUE("0.000374")</f>
        <v/>
      </c>
      <c r="H345">
        <f>_xlfn.NUMBERVALUE("0.000318")</f>
        <v/>
      </c>
      <c r="I345">
        <f>_xlfn.NUMBERVALUE("0.000792")</f>
        <v/>
      </c>
      <c r="J345">
        <f>_xlfn.NUMBERVALUE("-0.000055")</f>
        <v/>
      </c>
      <c r="K345">
        <f>_xlfn.NUMBERVALUE("-0.000647")</f>
        <v/>
      </c>
      <c r="L345">
        <f>_xlfn.NUMBERVALUE("0.000222")</f>
        <v/>
      </c>
      <c r="M345">
        <f>_xlfn.NUMBERVALUE("0.000899")</f>
        <v/>
      </c>
      <c r="N345">
        <f>_xlfn.NUMBERVALUE("0.000000")</f>
        <v/>
      </c>
      <c r="O345">
        <f>_xlfn.NUMBERVALUE("0.001474")</f>
        <v/>
      </c>
      <c r="P345">
        <f>_xlfn.NUMBERVALUE("-0.000195")</f>
        <v/>
      </c>
      <c r="Q345">
        <f>_xlfn.NUMBERVALUE("0.001289")</f>
        <v/>
      </c>
      <c r="R345">
        <f>_xlfn.NUMBERVALUE("0.000254")</f>
        <v/>
      </c>
      <c r="S345">
        <f>_xlfn.NUMBERVALUE("-0.003604")</f>
        <v/>
      </c>
      <c r="T345">
        <f>_xlfn.NUMBERVALUE("0.001733")</f>
        <v/>
      </c>
      <c r="U345">
        <f>_xlfn.NUMBERVALUE("0.000853")</f>
        <v/>
      </c>
      <c r="V345">
        <f>_xlfn.NUMBERVALUE("0.001113")</f>
        <v/>
      </c>
      <c r="W345">
        <f>_xlfn.NUMBERVALUE("-0.000484")</f>
        <v/>
      </c>
      <c r="X345">
        <f>_xlfn.NUMBERVALUE("-0.280000")</f>
        <v/>
      </c>
      <c r="Y345">
        <f>_xlfn.NUMBERVALUE("14.410000")</f>
        <v/>
      </c>
    </row>
    <row r="346">
      <c r="A346" s="1" t="n">
        <v>42503</v>
      </c>
      <c r="B346">
        <f>_xlfn.NUMBERVALUE("0.000000")</f>
        <v/>
      </c>
      <c r="C346" s="2">
        <f>_xlfn.NUMBERVALUE("-0.000566")</f>
        <v/>
      </c>
      <c r="D346">
        <f>_xlfn.NUMBERVALUE("-0.002031")</f>
        <v/>
      </c>
      <c r="E346">
        <f>_xlfn.NUMBERVALUE("0.000640")</f>
        <v/>
      </c>
      <c r="F346">
        <f>_xlfn.NUMBERVALUE("0.000517")</f>
        <v/>
      </c>
      <c r="G346">
        <f>_xlfn.NUMBERVALUE("-0.000234")</f>
        <v/>
      </c>
      <c r="H346">
        <f>_xlfn.NUMBERVALUE("0.000058")</f>
        <v/>
      </c>
      <c r="I346">
        <f>_xlfn.NUMBERVALUE("0.000734")</f>
        <v/>
      </c>
      <c r="J346">
        <f>_xlfn.NUMBERVALUE("-0.000865")</f>
        <v/>
      </c>
      <c r="K346">
        <f>_xlfn.NUMBERVALUE("0.002544")</f>
        <v/>
      </c>
      <c r="L346">
        <f>_xlfn.NUMBERVALUE("-0.000317")</f>
        <v/>
      </c>
      <c r="M346">
        <f>_xlfn.NUMBERVALUE("-0.000653")</f>
        <v/>
      </c>
      <c r="N346">
        <f>_xlfn.NUMBERVALUE("0.000000")</f>
        <v/>
      </c>
      <c r="O346">
        <f>_xlfn.NUMBERVALUE("0.000555")</f>
        <v/>
      </c>
      <c r="P346">
        <f>_xlfn.NUMBERVALUE("-0.001479")</f>
        <v/>
      </c>
      <c r="Q346">
        <f>_xlfn.NUMBERVALUE("-0.000737")</f>
        <v/>
      </c>
      <c r="R346">
        <f>_xlfn.NUMBERVALUE("0.000475")</f>
        <v/>
      </c>
      <c r="S346">
        <f>_xlfn.NUMBERVALUE("-0.000952")</f>
        <v/>
      </c>
      <c r="T346">
        <f>_xlfn.NUMBERVALUE("-0.000669")</f>
        <v/>
      </c>
      <c r="U346">
        <f>_xlfn.NUMBERVALUE("-0.000600")</f>
        <v/>
      </c>
      <c r="V346">
        <f>_xlfn.NUMBERVALUE("-0.000037")</f>
        <v/>
      </c>
      <c r="W346">
        <f>_xlfn.NUMBERVALUE("-0.008137")</f>
        <v/>
      </c>
      <c r="X346">
        <f>_xlfn.NUMBERVALUE("0.630000")</f>
        <v/>
      </c>
      <c r="Y346">
        <f>_xlfn.NUMBERVALUE("15.040000")</f>
        <v/>
      </c>
    </row>
    <row r="347">
      <c r="A347" s="1" t="n">
        <v>42506</v>
      </c>
      <c r="B347">
        <f>_xlfn.NUMBERVALUE("0.000000")</f>
        <v/>
      </c>
      <c r="C347" s="2">
        <f>_xlfn.NUMBERVALUE("0.000265")</f>
        <v/>
      </c>
      <c r="D347">
        <f>_xlfn.NUMBERVALUE("0.001390")</f>
        <v/>
      </c>
      <c r="E347">
        <f>_xlfn.NUMBERVALUE("-0.000113")</f>
        <v/>
      </c>
      <c r="F347">
        <f>_xlfn.NUMBERVALUE("0.001664")</f>
        <v/>
      </c>
      <c r="G347">
        <f>_xlfn.NUMBERVALUE("-0.000012")</f>
        <v/>
      </c>
      <c r="H347">
        <f>_xlfn.NUMBERVALUE("0.000132")</f>
        <v/>
      </c>
      <c r="I347">
        <f>_xlfn.NUMBERVALUE("0.000317")</f>
        <v/>
      </c>
      <c r="J347">
        <f>_xlfn.NUMBERVALUE("0.000872")</f>
        <v/>
      </c>
      <c r="K347">
        <f>_xlfn.NUMBERVALUE("0.002610")</f>
        <v/>
      </c>
      <c r="L347">
        <f>_xlfn.NUMBERVALUE("0.000556")</f>
        <v/>
      </c>
      <c r="M347">
        <f>_xlfn.NUMBERVALUE("0.000870")</f>
        <v/>
      </c>
      <c r="N347">
        <f>_xlfn.NUMBERVALUE("0.000000")</f>
        <v/>
      </c>
      <c r="O347">
        <f>_xlfn.NUMBERVALUE("0.001076")</f>
        <v/>
      </c>
      <c r="P347">
        <f>_xlfn.NUMBERVALUE("0.003036")</f>
        <v/>
      </c>
      <c r="Q347">
        <f>_xlfn.NUMBERVALUE("0.001133")</f>
        <v/>
      </c>
      <c r="R347">
        <f>_xlfn.NUMBERVALUE("-0.000050")</f>
        <v/>
      </c>
      <c r="S347">
        <f>_xlfn.NUMBERVALUE("0.000949")</f>
        <v/>
      </c>
      <c r="T347">
        <f>_xlfn.NUMBERVALUE("0.001368")</f>
        <v/>
      </c>
      <c r="U347">
        <f>_xlfn.NUMBERVALUE("0.002102")</f>
        <v/>
      </c>
      <c r="V347">
        <f>_xlfn.NUMBERVALUE("0.000369")</f>
        <v/>
      </c>
      <c r="W347">
        <f>_xlfn.NUMBERVALUE("0.009424")</f>
        <v/>
      </c>
      <c r="X347">
        <f>_xlfn.NUMBERVALUE("-0.360000")</f>
        <v/>
      </c>
      <c r="Y347">
        <f>_xlfn.NUMBERVALUE("14.680000")</f>
        <v/>
      </c>
    </row>
    <row r="348">
      <c r="A348" s="1" t="n">
        <v>42507</v>
      </c>
      <c r="B348">
        <f>_xlfn.NUMBERVALUE("0.000000")</f>
        <v/>
      </c>
      <c r="C348" s="2">
        <f>_xlfn.NUMBERVALUE("0.000403")</f>
        <v/>
      </c>
      <c r="D348">
        <f>_xlfn.NUMBERVALUE("0.001339")</f>
        <v/>
      </c>
      <c r="E348">
        <f>_xlfn.NUMBERVALUE("0.000589")</f>
        <v/>
      </c>
      <c r="F348">
        <f>_xlfn.NUMBERVALUE("0.001026")</f>
        <v/>
      </c>
      <c r="G348">
        <f>_xlfn.NUMBERVALUE("0.001132")</f>
        <v/>
      </c>
      <c r="H348">
        <f>_xlfn.NUMBERVALUE("0.000816")</f>
        <v/>
      </c>
      <c r="I348">
        <f>_xlfn.NUMBERVALUE("0.000785")</f>
        <v/>
      </c>
      <c r="J348">
        <f>_xlfn.NUMBERVALUE("-0.000074")</f>
        <v/>
      </c>
      <c r="K348">
        <f>_xlfn.NUMBERVALUE("0.001278")</f>
        <v/>
      </c>
      <c r="L348">
        <f>_xlfn.NUMBERVALUE("0.000374")</f>
        <v/>
      </c>
      <c r="M348">
        <f>_xlfn.NUMBERVALUE("0.000022")</f>
        <v/>
      </c>
      <c r="N348">
        <f>_xlfn.NUMBERVALUE("0.000000")</f>
        <v/>
      </c>
      <c r="O348">
        <f>_xlfn.NUMBERVALUE("0.000471")</f>
        <v/>
      </c>
      <c r="P348">
        <f>_xlfn.NUMBERVALUE("0.002043")</f>
        <v/>
      </c>
      <c r="Q348">
        <f>_xlfn.NUMBERVALUE("-0.000371")</f>
        <v/>
      </c>
      <c r="R348">
        <f>_xlfn.NUMBERVALUE("0.000223")</f>
        <v/>
      </c>
      <c r="S348">
        <f>_xlfn.NUMBERVALUE("-0.000561")</f>
        <v/>
      </c>
      <c r="T348">
        <f>_xlfn.NUMBERVALUE("0.000499")</f>
        <v/>
      </c>
      <c r="U348">
        <f>_xlfn.NUMBERVALUE("0.000331")</f>
        <v/>
      </c>
      <c r="V348">
        <f>_xlfn.NUMBERVALUE("0.000331")</f>
        <v/>
      </c>
      <c r="W348">
        <f>_xlfn.NUMBERVALUE("-0.002515")</f>
        <v/>
      </c>
      <c r="X348">
        <f>_xlfn.NUMBERVALUE("0.890000")</f>
        <v/>
      </c>
      <c r="Y348">
        <f>_xlfn.NUMBERVALUE("15.570000")</f>
        <v/>
      </c>
    </row>
    <row r="349">
      <c r="A349" s="1" t="n">
        <v>42508</v>
      </c>
      <c r="B349">
        <f>_xlfn.NUMBERVALUE("0.000000")</f>
        <v/>
      </c>
      <c r="C349" s="2">
        <f>_xlfn.NUMBERVALUE("-0.000524")</f>
        <v/>
      </c>
      <c r="D349">
        <f>_xlfn.NUMBERVALUE("-0.001324")</f>
        <v/>
      </c>
      <c r="E349">
        <f>_xlfn.NUMBERVALUE("0.000721")</f>
        <v/>
      </c>
      <c r="F349">
        <f>_xlfn.NUMBERVALUE("-0.002242")</f>
        <v/>
      </c>
      <c r="G349">
        <f>_xlfn.NUMBERVALUE("0.000037")</f>
        <v/>
      </c>
      <c r="H349">
        <f>_xlfn.NUMBERVALUE("-0.002813")</f>
        <v/>
      </c>
      <c r="I349">
        <f>_xlfn.NUMBERVALUE("-0.001740")</f>
        <v/>
      </c>
      <c r="J349">
        <f>_xlfn.NUMBERVALUE("-0.002827")</f>
        <v/>
      </c>
      <c r="K349">
        <f>_xlfn.NUMBERVALUE("-0.002621")</f>
        <v/>
      </c>
      <c r="L349">
        <f>_xlfn.NUMBERVALUE("-0.003743")</f>
        <v/>
      </c>
      <c r="M349">
        <f>_xlfn.NUMBERVALUE("-0.004049")</f>
        <v/>
      </c>
      <c r="N349">
        <f>_xlfn.NUMBERVALUE("0.000000")</f>
        <v/>
      </c>
      <c r="O349">
        <f>_xlfn.NUMBERVALUE("0.000026")</f>
        <v/>
      </c>
      <c r="P349">
        <f>_xlfn.NUMBERVALUE("-0.005946")</f>
        <v/>
      </c>
      <c r="Q349">
        <f>_xlfn.NUMBERVALUE("-0.001508")</f>
        <v/>
      </c>
      <c r="R349">
        <f>_xlfn.NUMBERVALUE("-0.000309")</f>
        <v/>
      </c>
      <c r="S349">
        <f>_xlfn.NUMBERVALUE("-0.006169")</f>
        <v/>
      </c>
      <c r="T349">
        <f>_xlfn.NUMBERVALUE("-0.008827")</f>
        <v/>
      </c>
      <c r="U349">
        <f>_xlfn.NUMBERVALUE("-0.000498")</f>
        <v/>
      </c>
      <c r="V349">
        <f>_xlfn.NUMBERVALUE("-0.000787")</f>
        <v/>
      </c>
      <c r="W349">
        <f>_xlfn.NUMBERVALUE("-0.007323")</f>
        <v/>
      </c>
      <c r="X349">
        <f>_xlfn.NUMBERVALUE("0.380000")</f>
        <v/>
      </c>
      <c r="Y349">
        <f>_xlfn.NUMBERVALUE("15.950000")</f>
        <v/>
      </c>
    </row>
    <row r="350">
      <c r="A350" s="1" t="n">
        <v>42509</v>
      </c>
      <c r="B350">
        <f>_xlfn.NUMBERVALUE("0.000000")</f>
        <v/>
      </c>
      <c r="C350" s="2">
        <f>_xlfn.NUMBERVALUE("0.000579")</f>
        <v/>
      </c>
      <c r="D350">
        <f>_xlfn.NUMBERVALUE("-0.001486")</f>
        <v/>
      </c>
      <c r="E350">
        <f>_xlfn.NUMBERVALUE("0.000150")</f>
        <v/>
      </c>
      <c r="F350">
        <f>_xlfn.NUMBERVALUE("0.001572")</f>
        <v/>
      </c>
      <c r="G350">
        <f>_xlfn.NUMBERVALUE("0.000341")</f>
        <v/>
      </c>
      <c r="H350">
        <f>_xlfn.NUMBERVALUE("0.000195")</f>
        <v/>
      </c>
      <c r="I350">
        <f>_xlfn.NUMBERVALUE("0.001299")</f>
        <v/>
      </c>
      <c r="J350">
        <f>_xlfn.NUMBERVALUE("0.000701")</f>
        <v/>
      </c>
      <c r="K350">
        <f>_xlfn.NUMBERVALUE("-0.006938")</f>
        <v/>
      </c>
      <c r="L350">
        <f>_xlfn.NUMBERVALUE("0.000153")</f>
        <v/>
      </c>
      <c r="M350">
        <f>_xlfn.NUMBERVALUE("0.000529")</f>
        <v/>
      </c>
      <c r="N350">
        <f>_xlfn.NUMBERVALUE("0.000000")</f>
        <v/>
      </c>
      <c r="O350">
        <f>_xlfn.NUMBERVALUE("0.001098")</f>
        <v/>
      </c>
      <c r="P350">
        <f>_xlfn.NUMBERVALUE("0.000108")</f>
        <v/>
      </c>
      <c r="Q350">
        <f>_xlfn.NUMBERVALUE("0.000443")</f>
        <v/>
      </c>
      <c r="R350">
        <f>_xlfn.NUMBERVALUE("0.000693")</f>
        <v/>
      </c>
      <c r="S350">
        <f>_xlfn.NUMBERVALUE("0.000163")</f>
        <v/>
      </c>
      <c r="T350">
        <f>_xlfn.NUMBERVALUE("0.000311")</f>
        <v/>
      </c>
      <c r="U350">
        <f>_xlfn.NUMBERVALUE("0.000643")</f>
        <v/>
      </c>
      <c r="V350">
        <f>_xlfn.NUMBERVALUE("0.000922")</f>
        <v/>
      </c>
      <c r="W350">
        <f>_xlfn.NUMBERVALUE("-0.001661")</f>
        <v/>
      </c>
      <c r="X350">
        <f>_xlfn.NUMBERVALUE("0.380000")</f>
        <v/>
      </c>
      <c r="Y350">
        <f>_xlfn.NUMBERVALUE("16.330000")</f>
        <v/>
      </c>
    </row>
    <row r="351">
      <c r="A351" s="1" t="n">
        <v>42510</v>
      </c>
      <c r="B351">
        <f>_xlfn.NUMBERVALUE("0.000000")</f>
        <v/>
      </c>
      <c r="C351" s="2">
        <f>_xlfn.NUMBERVALUE("0.003238")</f>
        <v/>
      </c>
      <c r="D351">
        <f>_xlfn.NUMBERVALUE("0.003130")</f>
        <v/>
      </c>
      <c r="E351">
        <f>_xlfn.NUMBERVALUE("0.002107")</f>
        <v/>
      </c>
      <c r="F351">
        <f>_xlfn.NUMBERVALUE("0.001339")</f>
        <v/>
      </c>
      <c r="G351">
        <f>_xlfn.NUMBERVALUE("0.001452")</f>
        <v/>
      </c>
      <c r="H351">
        <f>_xlfn.NUMBERVALUE("0.000572")</f>
        <v/>
      </c>
      <c r="I351">
        <f>_xlfn.NUMBERVALUE("0.000318")</f>
        <v/>
      </c>
      <c r="J351">
        <f>_xlfn.NUMBERVALUE("-0.000448")</f>
        <v/>
      </c>
      <c r="K351">
        <f>_xlfn.NUMBERVALUE("0.006748")</f>
        <v/>
      </c>
      <c r="L351">
        <f>_xlfn.NUMBERVALUE("0.002192")</f>
        <v/>
      </c>
      <c r="M351">
        <f>_xlfn.NUMBERVALUE("0.002959")</f>
        <v/>
      </c>
      <c r="N351">
        <f>_xlfn.NUMBERVALUE("0.000000")</f>
        <v/>
      </c>
      <c r="O351">
        <f>_xlfn.NUMBERVALUE("0.003770")</f>
        <v/>
      </c>
      <c r="P351">
        <f>_xlfn.NUMBERVALUE("0.001993")</f>
        <v/>
      </c>
      <c r="Q351">
        <f>_xlfn.NUMBERVALUE("0.002572")</f>
        <v/>
      </c>
      <c r="R351">
        <f>_xlfn.NUMBERVALUE("0.000755")</f>
        <v/>
      </c>
      <c r="S351">
        <f>_xlfn.NUMBERVALUE("0.001444")</f>
        <v/>
      </c>
      <c r="T351">
        <f>_xlfn.NUMBERVALUE("0.001619")</f>
        <v/>
      </c>
      <c r="U351">
        <f>_xlfn.NUMBERVALUE("0.001453")</f>
        <v/>
      </c>
      <c r="V351">
        <f>_xlfn.NUMBERVALUE("0.002071")</f>
        <v/>
      </c>
      <c r="W351">
        <f>_xlfn.NUMBERVALUE("0.005040")</f>
        <v/>
      </c>
      <c r="X351">
        <f>_xlfn.NUMBERVALUE("-1.130000")</f>
        <v/>
      </c>
      <c r="Y351">
        <f>_xlfn.NUMBERVALUE("15.200000")</f>
        <v/>
      </c>
    </row>
    <row r="352">
      <c r="A352" s="1" t="n">
        <v>42513</v>
      </c>
      <c r="B352">
        <f>_xlfn.NUMBERVALUE("0.000000")</f>
        <v/>
      </c>
      <c r="C352" s="2">
        <f>_xlfn.NUMBERVALUE("0.001060")</f>
        <v/>
      </c>
      <c r="D352">
        <f>_xlfn.NUMBERVALUE("0.001559")</f>
        <v/>
      </c>
      <c r="E352">
        <f>_xlfn.NUMBERVALUE("-0.000271")</f>
        <v/>
      </c>
      <c r="F352">
        <f>_xlfn.NUMBERVALUE("0.001348")</f>
        <v/>
      </c>
      <c r="G352">
        <f>_xlfn.NUMBERVALUE("0.000864")</f>
        <v/>
      </c>
      <c r="H352">
        <f>_xlfn.NUMBERVALUE("0.001918")</f>
        <v/>
      </c>
      <c r="I352">
        <f>_xlfn.NUMBERVALUE("0.001508")</f>
        <v/>
      </c>
      <c r="J352">
        <f>_xlfn.NUMBERVALUE("0.001264")</f>
        <v/>
      </c>
      <c r="K352">
        <f>_xlfn.NUMBERVALUE("0.001695")</f>
        <v/>
      </c>
      <c r="L352">
        <f>_xlfn.NUMBERVALUE("0.001412")</f>
        <v/>
      </c>
      <c r="M352">
        <f>_xlfn.NUMBERVALUE("0.001711")</f>
        <v/>
      </c>
      <c r="N352">
        <f>_xlfn.NUMBERVALUE("0.000000")</f>
        <v/>
      </c>
      <c r="O352">
        <f>_xlfn.NUMBERVALUE("0.003867")</f>
        <v/>
      </c>
      <c r="P352">
        <f>_xlfn.NUMBERVALUE("0.002591")</f>
        <v/>
      </c>
      <c r="Q352">
        <f>_xlfn.NUMBERVALUE("0.001915")</f>
        <v/>
      </c>
      <c r="R352">
        <f>_xlfn.NUMBERVALUE("0.002317")</f>
        <v/>
      </c>
      <c r="S352">
        <f>_xlfn.NUMBERVALUE("0.001985")</f>
        <v/>
      </c>
      <c r="T352">
        <f>_xlfn.NUMBERVALUE("0.000469")</f>
        <v/>
      </c>
      <c r="U352">
        <f>_xlfn.NUMBERVALUE("0.001492")</f>
        <v/>
      </c>
      <c r="V352">
        <f>_xlfn.NUMBERVALUE("0.001417")</f>
        <v/>
      </c>
      <c r="W352">
        <f>_xlfn.NUMBERVALUE("-0.001412")</f>
        <v/>
      </c>
      <c r="X352">
        <f>_xlfn.NUMBERVALUE("0.620000")</f>
        <v/>
      </c>
      <c r="Y352">
        <f>_xlfn.NUMBERVALUE("15.820000")</f>
        <v/>
      </c>
    </row>
    <row r="353">
      <c r="A353" s="1" t="n">
        <v>42514</v>
      </c>
      <c r="B353">
        <f>_xlfn.NUMBERVALUE("0.000000")</f>
        <v/>
      </c>
      <c r="C353" s="2">
        <f>_xlfn.NUMBERVALUE("-0.002012")</f>
        <v/>
      </c>
      <c r="D353">
        <f>_xlfn.NUMBERVALUE("0.001389")</f>
        <v/>
      </c>
      <c r="E353">
        <f>_xlfn.NUMBERVALUE("-0.001804")</f>
        <v/>
      </c>
      <c r="F353">
        <f>_xlfn.NUMBERVALUE("-0.003850")</f>
        <v/>
      </c>
      <c r="G353">
        <f>_xlfn.NUMBERVALUE("-0.000097")</f>
        <v/>
      </c>
      <c r="H353">
        <f>_xlfn.NUMBERVALUE("0.000108")</f>
        <v/>
      </c>
      <c r="I353">
        <f>_xlfn.NUMBERVALUE("-0.006396")</f>
        <v/>
      </c>
      <c r="J353">
        <f>_xlfn.NUMBERVALUE("0.000124")</f>
        <v/>
      </c>
      <c r="K353">
        <f>_xlfn.NUMBERVALUE("-0.000555")</f>
        <v/>
      </c>
      <c r="L353">
        <f>_xlfn.NUMBERVALUE("0.000670")</f>
        <v/>
      </c>
      <c r="M353">
        <f>_xlfn.NUMBERVALUE("-0.001004")</f>
        <v/>
      </c>
      <c r="N353">
        <f>_xlfn.NUMBERVALUE("0.000000")</f>
        <v/>
      </c>
      <c r="O353">
        <f>_xlfn.NUMBERVALUE("0.002019")</f>
        <v/>
      </c>
      <c r="P353">
        <f>_xlfn.NUMBERVALUE("-0.002604")</f>
        <v/>
      </c>
      <c r="Q353">
        <f>_xlfn.NUMBERVALUE("-0.001033")</f>
        <v/>
      </c>
      <c r="R353">
        <f>_xlfn.NUMBERVALUE("-0.003943")</f>
        <v/>
      </c>
      <c r="S353">
        <f>_xlfn.NUMBERVALUE("-0.000088")</f>
        <v/>
      </c>
      <c r="T353">
        <f>_xlfn.NUMBERVALUE("0.000719")</f>
        <v/>
      </c>
      <c r="U353">
        <f>_xlfn.NUMBERVALUE("0.000071")</f>
        <v/>
      </c>
      <c r="V353">
        <f>_xlfn.NUMBERVALUE("-0.003005")</f>
        <v/>
      </c>
      <c r="W353">
        <f>_xlfn.NUMBERVALUE("0.013921")</f>
        <v/>
      </c>
      <c r="X353">
        <f>_xlfn.NUMBERVALUE("-1.400000")</f>
        <v/>
      </c>
      <c r="Y353">
        <f>_xlfn.NUMBERVALUE("14.420000")</f>
        <v/>
      </c>
    </row>
    <row r="354">
      <c r="A354" s="1" t="n">
        <v>42515</v>
      </c>
      <c r="B354">
        <f>_xlfn.NUMBERVALUE("0.000000")</f>
        <v/>
      </c>
      <c r="C354" s="2">
        <f>_xlfn.NUMBERVALUE("-0.000778")</f>
        <v/>
      </c>
      <c r="D354">
        <f>_xlfn.NUMBERVALUE("0.000235")</f>
        <v/>
      </c>
      <c r="E354">
        <f>_xlfn.NUMBERVALUE("-0.002695")</f>
        <v/>
      </c>
      <c r="F354">
        <f>_xlfn.NUMBERVALUE("0.002337")</f>
        <v/>
      </c>
      <c r="G354">
        <f>_xlfn.NUMBERVALUE("-0.001548")</f>
        <v/>
      </c>
      <c r="H354">
        <f>_xlfn.NUMBERVALUE("0.000517")</f>
        <v/>
      </c>
      <c r="I354">
        <f>_xlfn.NUMBERVALUE("0.000355")</f>
        <v/>
      </c>
      <c r="J354">
        <f>_xlfn.NUMBERVALUE("0.000109")</f>
        <v/>
      </c>
      <c r="K354">
        <f>_xlfn.NUMBERVALUE("0.000491")</f>
        <v/>
      </c>
      <c r="L354">
        <f>_xlfn.NUMBERVALUE("0.001283")</f>
        <v/>
      </c>
      <c r="M354">
        <f>_xlfn.NUMBERVALUE("0.000633")</f>
        <v/>
      </c>
      <c r="N354">
        <f>_xlfn.NUMBERVALUE("0.000000")</f>
        <v/>
      </c>
      <c r="O354">
        <f>_xlfn.NUMBERVALUE("0.000008")</f>
        <v/>
      </c>
      <c r="P354">
        <f>_xlfn.NUMBERVALUE("-0.001536")</f>
        <v/>
      </c>
      <c r="Q354">
        <f>_xlfn.NUMBERVALUE("0.000379")</f>
        <v/>
      </c>
      <c r="R354">
        <f>_xlfn.NUMBERVALUE("-0.000047")</f>
        <v/>
      </c>
      <c r="S354">
        <f>_xlfn.NUMBERVALUE("0.001152")</f>
        <v/>
      </c>
      <c r="T354">
        <f>_xlfn.NUMBERVALUE("0.000913")</f>
        <v/>
      </c>
      <c r="U354">
        <f>_xlfn.NUMBERVALUE("0.000381")</f>
        <v/>
      </c>
      <c r="V354">
        <f>_xlfn.NUMBERVALUE("-0.000526")</f>
        <v/>
      </c>
      <c r="W354">
        <f>_xlfn.NUMBERVALUE("0.006853")</f>
        <v/>
      </c>
      <c r="X354">
        <f>_xlfn.NUMBERVALUE("-0.520000")</f>
        <v/>
      </c>
      <c r="Y354">
        <f>_xlfn.NUMBERVALUE("13.900000")</f>
        <v/>
      </c>
    </row>
    <row r="355">
      <c r="A355" s="1" t="n">
        <v>42516</v>
      </c>
      <c r="B355">
        <f>_xlfn.NUMBERVALUE("0.000000")</f>
        <v/>
      </c>
      <c r="C355" s="2">
        <f>_xlfn.NUMBERVALUE("0.001330")</f>
        <v/>
      </c>
      <c r="D355">
        <f>_xlfn.NUMBERVALUE("0.001246")</f>
        <v/>
      </c>
      <c r="E355">
        <f>_xlfn.NUMBERVALUE("0.001544")</f>
        <v/>
      </c>
      <c r="F355">
        <f>_xlfn.NUMBERVALUE("0.000086")</f>
        <v/>
      </c>
      <c r="G355">
        <f>_xlfn.NUMBERVALUE("0.003188")</f>
        <v/>
      </c>
      <c r="H355">
        <f>_xlfn.NUMBERVALUE("-0.000092")</f>
        <v/>
      </c>
      <c r="I355">
        <f>_xlfn.NUMBERVALUE("0.001735")</f>
        <v/>
      </c>
      <c r="J355">
        <f>_xlfn.NUMBERVALUE("-0.000214")</f>
        <v/>
      </c>
      <c r="K355">
        <f>_xlfn.NUMBERVALUE("0.002319")</f>
        <v/>
      </c>
      <c r="L355">
        <f>_xlfn.NUMBERVALUE("0.000099")</f>
        <v/>
      </c>
      <c r="M355">
        <f>_xlfn.NUMBERVALUE("0.000713")</f>
        <v/>
      </c>
      <c r="N355">
        <f>_xlfn.NUMBERVALUE("0.000000")</f>
        <v/>
      </c>
      <c r="O355">
        <f>_xlfn.NUMBERVALUE("0.001762")</f>
        <v/>
      </c>
      <c r="P355">
        <f>_xlfn.NUMBERVALUE("0.003191")</f>
        <v/>
      </c>
      <c r="Q355">
        <f>_xlfn.NUMBERVALUE("0.001203")</f>
        <v/>
      </c>
      <c r="R355">
        <f>_xlfn.NUMBERVALUE("0.000256")</f>
        <v/>
      </c>
      <c r="S355">
        <f>_xlfn.NUMBERVALUE("0.002025")</f>
        <v/>
      </c>
      <c r="T355">
        <f>_xlfn.NUMBERVALUE("0.000520")</f>
        <v/>
      </c>
      <c r="U355">
        <f>_xlfn.NUMBERVALUE("0.001874")</f>
        <v/>
      </c>
      <c r="V355">
        <f>_xlfn.NUMBERVALUE("0.001173")</f>
        <v/>
      </c>
      <c r="W355">
        <f>_xlfn.NUMBERVALUE("-0.000454")</f>
        <v/>
      </c>
      <c r="X355">
        <f>_xlfn.NUMBERVALUE("-0.470000")</f>
        <v/>
      </c>
      <c r="Y355">
        <f>_xlfn.NUMBERVALUE("13.430000")</f>
        <v/>
      </c>
    </row>
    <row r="356">
      <c r="A356" s="1" t="n">
        <v>42517</v>
      </c>
      <c r="B356">
        <f>_xlfn.NUMBERVALUE("0.000000")</f>
        <v/>
      </c>
      <c r="C356" s="2">
        <f>_xlfn.NUMBERVALUE("0.001496")</f>
        <v/>
      </c>
      <c r="D356">
        <f>_xlfn.NUMBERVALUE("0.002284")</f>
        <v/>
      </c>
      <c r="E356">
        <f>_xlfn.NUMBERVALUE("0.002004")</f>
        <v/>
      </c>
      <c r="F356">
        <f>_xlfn.NUMBERVALUE("0.000062")</f>
        <v/>
      </c>
      <c r="G356">
        <f>_xlfn.NUMBERVALUE("0.001382")</f>
        <v/>
      </c>
      <c r="H356">
        <f>_xlfn.NUMBERVALUE("0.000042")</f>
        <v/>
      </c>
      <c r="I356">
        <f>_xlfn.NUMBERVALUE("0.000242")</f>
        <v/>
      </c>
      <c r="J356">
        <f>_xlfn.NUMBERVALUE("0.000112")</f>
        <v/>
      </c>
      <c r="K356">
        <f>_xlfn.NUMBERVALUE("-0.000309")</f>
        <v/>
      </c>
      <c r="L356">
        <f>_xlfn.NUMBERVALUE("0.001985")</f>
        <v/>
      </c>
      <c r="M356">
        <f>_xlfn.NUMBERVALUE("0.000386")</f>
        <v/>
      </c>
      <c r="N356">
        <f>_xlfn.NUMBERVALUE("0.000000")</f>
        <v/>
      </c>
      <c r="O356">
        <f>_xlfn.NUMBERVALUE("0.001464")</f>
        <v/>
      </c>
      <c r="P356">
        <f>_xlfn.NUMBERVALUE("-0.001728")</f>
        <v/>
      </c>
      <c r="Q356">
        <f>_xlfn.NUMBERVALUE("0.001703")</f>
        <v/>
      </c>
      <c r="R356">
        <f>_xlfn.NUMBERVALUE("0.000709")</f>
        <v/>
      </c>
      <c r="S356">
        <f>_xlfn.NUMBERVALUE("0.001182")</f>
        <v/>
      </c>
      <c r="T356">
        <f>_xlfn.NUMBERVALUE("0.000876")</f>
        <v/>
      </c>
      <c r="U356">
        <f>_xlfn.NUMBERVALUE("0.000608")</f>
        <v/>
      </c>
      <c r="V356">
        <f>_xlfn.NUMBERVALUE("0.000480")</f>
        <v/>
      </c>
      <c r="W356">
        <f>_xlfn.NUMBERVALUE("0.004038")</f>
        <v/>
      </c>
      <c r="X356">
        <f>_xlfn.NUMBERVALUE("-0.310000")</f>
        <v/>
      </c>
      <c r="Y356">
        <f>_xlfn.NUMBERVALUE("13.120000")</f>
        <v/>
      </c>
    </row>
    <row r="357">
      <c r="A357" s="1" t="n">
        <v>42521</v>
      </c>
      <c r="B357">
        <f>_xlfn.NUMBERVALUE("0.000000")</f>
        <v/>
      </c>
      <c r="C357" s="2">
        <f>_xlfn.NUMBERVALUE("0.001573")</f>
        <v/>
      </c>
      <c r="D357">
        <f>_xlfn.NUMBERVALUE("0.002231")</f>
        <v/>
      </c>
      <c r="E357">
        <f>_xlfn.NUMBERVALUE("0.001522")</f>
        <v/>
      </c>
      <c r="F357">
        <f>_xlfn.NUMBERVALUE("-0.000298")</f>
        <v/>
      </c>
      <c r="G357">
        <f>_xlfn.NUMBERVALUE("0.000090")</f>
        <v/>
      </c>
      <c r="H357">
        <f>_xlfn.NUMBERVALUE("0.001671")</f>
        <v/>
      </c>
      <c r="I357">
        <f>_xlfn.NUMBERVALUE("0.000251")</f>
        <v/>
      </c>
      <c r="J357">
        <f>_xlfn.NUMBERVALUE("0.000389")</f>
        <v/>
      </c>
      <c r="K357">
        <f>_xlfn.NUMBERVALUE("0.000915")</f>
        <v/>
      </c>
      <c r="L357">
        <f>_xlfn.NUMBERVALUE("0.001437")</f>
        <v/>
      </c>
      <c r="M357">
        <f>_xlfn.NUMBERVALUE("0.001390")</f>
        <v/>
      </c>
      <c r="N357">
        <f>_xlfn.NUMBERVALUE("0.000000")</f>
        <v/>
      </c>
      <c r="O357">
        <f>_xlfn.NUMBERVALUE("0.001748")</f>
        <v/>
      </c>
      <c r="P357">
        <f>_xlfn.NUMBERVALUE("0.001993")</f>
        <v/>
      </c>
      <c r="Q357">
        <f>_xlfn.NUMBERVALUE("0.001052")</f>
        <v/>
      </c>
      <c r="R357">
        <f>_xlfn.NUMBERVALUE("0.000430")</f>
        <v/>
      </c>
      <c r="S357">
        <f>_xlfn.NUMBERVALUE("0.000020")</f>
        <v/>
      </c>
      <c r="T357">
        <f>_xlfn.NUMBERVALUE("0.000146")</f>
        <v/>
      </c>
      <c r="U357">
        <f>_xlfn.NUMBERVALUE("0.000559")</f>
        <v/>
      </c>
      <c r="V357">
        <f>_xlfn.NUMBERVALUE("0.000712")</f>
        <v/>
      </c>
      <c r="W357">
        <f>_xlfn.NUMBERVALUE("0.000476")</f>
        <v/>
      </c>
      <c r="X357">
        <f>_xlfn.NUMBERVALUE("1.070000")</f>
        <v/>
      </c>
      <c r="Y357">
        <f>_xlfn.NUMBERVALUE("14.190000")</f>
        <v/>
      </c>
    </row>
    <row r="358">
      <c r="A358" s="1" t="n">
        <v>42522</v>
      </c>
      <c r="B358">
        <f>_xlfn.NUMBERVALUE("0.000000")</f>
        <v/>
      </c>
      <c r="C358" s="2">
        <f>_xlfn.NUMBERVALUE("0.001584")</f>
        <v/>
      </c>
      <c r="D358">
        <f>_xlfn.NUMBERVALUE("0.002624")</f>
        <v/>
      </c>
      <c r="E358">
        <f>_xlfn.NUMBERVALUE("0.002182")</f>
        <v/>
      </c>
      <c r="F358">
        <f>_xlfn.NUMBERVALUE("0.000290")</f>
        <v/>
      </c>
      <c r="G358">
        <f>_xlfn.NUMBERVALUE("0.000766")</f>
        <v/>
      </c>
      <c r="H358">
        <f>_xlfn.NUMBERVALUE("0.000352")</f>
        <v/>
      </c>
      <c r="I358">
        <f>_xlfn.NUMBERVALUE("0.000035")</f>
        <v/>
      </c>
      <c r="J358">
        <f>_xlfn.NUMBERVALUE("0.000422")</f>
        <v/>
      </c>
      <c r="K358">
        <f>_xlfn.NUMBERVALUE("-0.000350")</f>
        <v/>
      </c>
      <c r="L358">
        <f>_xlfn.NUMBERVALUE("0.000970")</f>
        <v/>
      </c>
      <c r="M358">
        <f>_xlfn.NUMBERVALUE("0.001666")</f>
        <v/>
      </c>
      <c r="N358">
        <f>_xlfn.NUMBERVALUE("0.000000")</f>
        <v/>
      </c>
      <c r="O358">
        <f>_xlfn.NUMBERVALUE("0.000238")</f>
        <v/>
      </c>
      <c r="P358">
        <f>_xlfn.NUMBERVALUE("-0.000038")</f>
        <v/>
      </c>
      <c r="Q358">
        <f>_xlfn.NUMBERVALUE("0.000678")</f>
        <v/>
      </c>
      <c r="R358">
        <f>_xlfn.NUMBERVALUE("-0.000451")</f>
        <v/>
      </c>
      <c r="S358">
        <f>_xlfn.NUMBERVALUE("-0.000003")</f>
        <v/>
      </c>
      <c r="T358">
        <f>_xlfn.NUMBERVALUE("0.002156")</f>
        <v/>
      </c>
      <c r="U358">
        <f>_xlfn.NUMBERVALUE("0.000369")</f>
        <v/>
      </c>
      <c r="V358">
        <f>_xlfn.NUMBERVALUE("0.000531")</f>
        <v/>
      </c>
      <c r="W358">
        <f>_xlfn.NUMBERVALUE("-0.000333")</f>
        <v/>
      </c>
      <c r="X358">
        <f>_xlfn.NUMBERVALUE("0.010000")</f>
        <v/>
      </c>
      <c r="Y358">
        <f>_xlfn.NUMBERVALUE("14.200000")</f>
        <v/>
      </c>
    </row>
    <row r="359">
      <c r="A359" s="1" t="n">
        <v>42523</v>
      </c>
      <c r="B359">
        <f>_xlfn.NUMBERVALUE("0.000000")</f>
        <v/>
      </c>
      <c r="C359" s="2">
        <f>_xlfn.NUMBERVALUE("0.001119")</f>
        <v/>
      </c>
      <c r="D359">
        <f>_xlfn.NUMBERVALUE("0.001902")</f>
        <v/>
      </c>
      <c r="E359">
        <f>_xlfn.NUMBERVALUE("0.002682")</f>
        <v/>
      </c>
      <c r="F359">
        <f>_xlfn.NUMBERVALUE("0.000041")</f>
        <v/>
      </c>
      <c r="G359">
        <f>_xlfn.NUMBERVALUE("0.001421")</f>
        <v/>
      </c>
      <c r="H359">
        <f>_xlfn.NUMBERVALUE("0.000443")</f>
        <v/>
      </c>
      <c r="I359">
        <f>_xlfn.NUMBERVALUE("-0.000054")</f>
        <v/>
      </c>
      <c r="J359">
        <f>_xlfn.NUMBERVALUE("0.000224")</f>
        <v/>
      </c>
      <c r="K359">
        <f>_xlfn.NUMBERVALUE("0.000348")</f>
        <v/>
      </c>
      <c r="L359">
        <f>_xlfn.NUMBERVALUE("-0.001576")</f>
        <v/>
      </c>
      <c r="M359">
        <f>_xlfn.NUMBERVALUE("0.002301")</f>
        <v/>
      </c>
      <c r="N359">
        <f>_xlfn.NUMBERVALUE("0.000000")</f>
        <v/>
      </c>
      <c r="O359">
        <f>_xlfn.NUMBERVALUE("0.003327")</f>
        <v/>
      </c>
      <c r="P359">
        <f>_xlfn.NUMBERVALUE("0.001899")</f>
        <v/>
      </c>
      <c r="Q359">
        <f>_xlfn.NUMBERVALUE("0.002005")</f>
        <v/>
      </c>
      <c r="R359">
        <f>_xlfn.NUMBERVALUE("-0.000059")</f>
        <v/>
      </c>
      <c r="S359">
        <f>_xlfn.NUMBERVALUE("0.001639")</f>
        <v/>
      </c>
      <c r="T359">
        <f>_xlfn.NUMBERVALUE("0.000881")</f>
        <v/>
      </c>
      <c r="U359">
        <f>_xlfn.NUMBERVALUE("0.000748")</f>
        <v/>
      </c>
      <c r="V359">
        <f>_xlfn.NUMBERVALUE("0.000036")</f>
        <v/>
      </c>
      <c r="W359">
        <f>_xlfn.NUMBERVALUE("0.001404")</f>
        <v/>
      </c>
      <c r="X359">
        <f>_xlfn.NUMBERVALUE("-0.570000")</f>
        <v/>
      </c>
      <c r="Y359">
        <f>_xlfn.NUMBERVALUE("13.630000")</f>
        <v/>
      </c>
    </row>
    <row r="360">
      <c r="A360" s="1" t="n">
        <v>42524</v>
      </c>
      <c r="B360">
        <f>_xlfn.NUMBERVALUE("0.000000")</f>
        <v/>
      </c>
      <c r="C360" s="2">
        <f>_xlfn.NUMBERVALUE("0.001330")</f>
        <v/>
      </c>
      <c r="D360">
        <f>_xlfn.NUMBERVALUE("-0.001964")</f>
        <v/>
      </c>
      <c r="E360">
        <f>_xlfn.NUMBERVALUE("-0.001647")</f>
        <v/>
      </c>
      <c r="F360">
        <f>_xlfn.NUMBERVALUE("-0.007877")</f>
        <v/>
      </c>
      <c r="G360">
        <f>_xlfn.NUMBERVALUE("0.000753")</f>
        <v/>
      </c>
      <c r="H360">
        <f>_xlfn.NUMBERVALUE("-0.001992")</f>
        <v/>
      </c>
      <c r="I360">
        <f>_xlfn.NUMBERVALUE("0.001106")</f>
        <v/>
      </c>
      <c r="J360">
        <f>_xlfn.NUMBERVALUE("-0.001522")</f>
        <v/>
      </c>
      <c r="K360">
        <f>_xlfn.NUMBERVALUE("-0.003317")</f>
        <v/>
      </c>
      <c r="L360">
        <f>_xlfn.NUMBERVALUE("-0.001278")</f>
        <v/>
      </c>
      <c r="M360">
        <f>_xlfn.NUMBERVALUE("-0.002406")</f>
        <v/>
      </c>
      <c r="N360">
        <f>_xlfn.NUMBERVALUE("0.000000")</f>
        <v/>
      </c>
      <c r="O360">
        <f>_xlfn.NUMBERVALUE("0.002922")</f>
        <v/>
      </c>
      <c r="P360">
        <f>_xlfn.NUMBERVALUE("-0.000678")</f>
        <v/>
      </c>
      <c r="Q360">
        <f>_xlfn.NUMBERVALUE("0.001432")</f>
        <v/>
      </c>
      <c r="R360">
        <f>_xlfn.NUMBERVALUE("-0.000228")</f>
        <v/>
      </c>
      <c r="S360">
        <f>_xlfn.NUMBERVALUE("-0.001545")</f>
        <v/>
      </c>
      <c r="T360">
        <f>_xlfn.NUMBERVALUE("-0.006196")</f>
        <v/>
      </c>
      <c r="U360">
        <f>_xlfn.NUMBERVALUE("0.002248")</f>
        <v/>
      </c>
      <c r="V360">
        <f>_xlfn.NUMBERVALUE("0.001413")</f>
        <v/>
      </c>
      <c r="W360">
        <f>_xlfn.NUMBERVALUE("-0.001661")</f>
        <v/>
      </c>
      <c r="X360">
        <f>_xlfn.NUMBERVALUE("-0.160000")</f>
        <v/>
      </c>
      <c r="Y360">
        <f>_xlfn.NUMBERVALUE("13.470000")</f>
        <v/>
      </c>
    </row>
    <row r="361">
      <c r="A361" s="1" t="n">
        <v>42527</v>
      </c>
      <c r="B361">
        <f>_xlfn.NUMBERVALUE("0.000000")</f>
        <v/>
      </c>
      <c r="C361" s="2">
        <f>_xlfn.NUMBERVALUE("-0.000657")</f>
        <v/>
      </c>
      <c r="D361">
        <f>_xlfn.NUMBERVALUE("-0.002133")</f>
        <v/>
      </c>
      <c r="E361">
        <f>_xlfn.NUMBERVALUE("0.001577")</f>
        <v/>
      </c>
      <c r="F361">
        <f>_xlfn.NUMBERVALUE("0.000477")</f>
        <v/>
      </c>
      <c r="G361">
        <f>_xlfn.NUMBERVALUE("-0.000155")</f>
        <v/>
      </c>
      <c r="H361">
        <f>_xlfn.NUMBERVALUE("0.000841")</f>
        <v/>
      </c>
      <c r="I361">
        <f>_xlfn.NUMBERVALUE("-0.001194")</f>
        <v/>
      </c>
      <c r="J361">
        <f>_xlfn.NUMBERVALUE("-0.000101")</f>
        <v/>
      </c>
      <c r="K361">
        <f>_xlfn.NUMBERVALUE("-0.000069")</f>
        <v/>
      </c>
      <c r="L361">
        <f>_xlfn.NUMBERVALUE("0.001422")</f>
        <v/>
      </c>
      <c r="M361">
        <f>_xlfn.NUMBERVALUE("0.000145")</f>
        <v/>
      </c>
      <c r="N361">
        <f>_xlfn.NUMBERVALUE("0.000000")</f>
        <v/>
      </c>
      <c r="O361">
        <f>_xlfn.NUMBERVALUE("-0.003542")</f>
        <v/>
      </c>
      <c r="P361">
        <f>_xlfn.NUMBERVALUE("0.000952")</f>
        <v/>
      </c>
      <c r="Q361">
        <f>_xlfn.NUMBERVALUE("-0.000051")</f>
        <v/>
      </c>
      <c r="R361">
        <f>_xlfn.NUMBERVALUE("0.000117")</f>
        <v/>
      </c>
      <c r="S361">
        <f>_xlfn.NUMBERVALUE("0.002009")</f>
        <v/>
      </c>
      <c r="T361">
        <f>_xlfn.NUMBERVALUE("0.001693")</f>
        <v/>
      </c>
      <c r="U361">
        <f>_xlfn.NUMBERVALUE("0.003460")</f>
        <v/>
      </c>
      <c r="V361">
        <f>_xlfn.NUMBERVALUE("-0.000560")</f>
        <v/>
      </c>
      <c r="W361">
        <f>_xlfn.NUMBERVALUE("0.004991")</f>
        <v/>
      </c>
      <c r="X361">
        <f>_xlfn.NUMBERVALUE("0.180000")</f>
        <v/>
      </c>
      <c r="Y361">
        <f>_xlfn.NUMBERVALUE("13.650000")</f>
        <v/>
      </c>
    </row>
    <row r="362">
      <c r="A362" s="1" t="n">
        <v>42528</v>
      </c>
      <c r="B362">
        <f>_xlfn.NUMBERVALUE("0.000000")</f>
        <v/>
      </c>
      <c r="C362" s="2">
        <f>_xlfn.NUMBERVALUE("-0.000534")</f>
        <v/>
      </c>
      <c r="D362">
        <f>_xlfn.NUMBERVALUE("-0.000480")</f>
        <v/>
      </c>
      <c r="E362">
        <f>_xlfn.NUMBERVALUE("-0.004469")</f>
        <v/>
      </c>
      <c r="F362">
        <f>_xlfn.NUMBERVALUE("0.001343")</f>
        <v/>
      </c>
      <c r="G362">
        <f>_xlfn.NUMBERVALUE("0.000228")</f>
        <v/>
      </c>
      <c r="H362">
        <f>_xlfn.NUMBERVALUE("0.000078")</f>
        <v/>
      </c>
      <c r="I362">
        <f>_xlfn.NUMBERVALUE("-0.000213")</f>
        <v/>
      </c>
      <c r="J362">
        <f>_xlfn.NUMBERVALUE("0.000119")</f>
        <v/>
      </c>
      <c r="K362">
        <f>_xlfn.NUMBERVALUE("0.003001")</f>
        <v/>
      </c>
      <c r="L362">
        <f>_xlfn.NUMBERVALUE("0.000354")</f>
        <v/>
      </c>
      <c r="M362">
        <f>_xlfn.NUMBERVALUE("-0.000062")</f>
        <v/>
      </c>
      <c r="N362">
        <f>_xlfn.NUMBERVALUE("0.000000")</f>
        <v/>
      </c>
      <c r="O362">
        <f>_xlfn.NUMBERVALUE("0.000079")</f>
        <v/>
      </c>
      <c r="P362">
        <f>_xlfn.NUMBERVALUE("0.000104")</f>
        <v/>
      </c>
      <c r="Q362">
        <f>_xlfn.NUMBERVALUE("0.000077")</f>
        <v/>
      </c>
      <c r="R362">
        <f>_xlfn.NUMBERVALUE("0.000063")</f>
        <v/>
      </c>
      <c r="S362">
        <f>_xlfn.NUMBERVALUE("0.000748")</f>
        <v/>
      </c>
      <c r="T362">
        <f>_xlfn.NUMBERVALUE("0.000196")</f>
        <v/>
      </c>
      <c r="U362">
        <f>_xlfn.NUMBERVALUE("0.001827")</f>
        <v/>
      </c>
      <c r="V362">
        <f>_xlfn.NUMBERVALUE("-0.000424")</f>
        <v/>
      </c>
      <c r="W362">
        <f>_xlfn.NUMBERVALUE("0.000946")</f>
        <v/>
      </c>
      <c r="X362">
        <f>_xlfn.NUMBERVALUE("0.400000")</f>
        <v/>
      </c>
      <c r="Y362">
        <f>_xlfn.NUMBERVALUE("14.050000")</f>
        <v/>
      </c>
    </row>
    <row r="363">
      <c r="A363" s="1" t="n">
        <v>42529</v>
      </c>
      <c r="B363">
        <f>_xlfn.NUMBERVALUE("0.000000")</f>
        <v/>
      </c>
      <c r="C363" s="2">
        <f>_xlfn.NUMBERVALUE("0.000083")</f>
        <v/>
      </c>
      <c r="D363">
        <f>_xlfn.NUMBERVALUE("-0.000024")</f>
        <v/>
      </c>
      <c r="E363">
        <f>_xlfn.NUMBERVALUE("0.000268")</f>
        <v/>
      </c>
      <c r="F363">
        <f>_xlfn.NUMBERVALUE("-0.002910")</f>
        <v/>
      </c>
      <c r="G363">
        <f>_xlfn.NUMBERVALUE("-0.000183")</f>
        <v/>
      </c>
      <c r="H363">
        <f>_xlfn.NUMBERVALUE("0.000024")</f>
        <v/>
      </c>
      <c r="I363">
        <f>_xlfn.NUMBERVALUE("-0.001575")</f>
        <v/>
      </c>
      <c r="J363">
        <f>_xlfn.NUMBERVALUE("0.000660")</f>
        <v/>
      </c>
      <c r="K363">
        <f>_xlfn.NUMBERVALUE("-0.012338")</f>
        <v/>
      </c>
      <c r="L363">
        <f>_xlfn.NUMBERVALUE("-0.000392")</f>
        <v/>
      </c>
      <c r="M363">
        <f>_xlfn.NUMBERVALUE("0.000365")</f>
        <v/>
      </c>
      <c r="N363">
        <f>_xlfn.NUMBERVALUE("0.000000")</f>
        <v/>
      </c>
      <c r="O363">
        <f>_xlfn.NUMBERVALUE("-0.001945")</f>
        <v/>
      </c>
      <c r="P363">
        <f>_xlfn.NUMBERVALUE("0.001208")</f>
        <v/>
      </c>
      <c r="Q363">
        <f>_xlfn.NUMBERVALUE("-0.001021")</f>
        <v/>
      </c>
      <c r="R363">
        <f>_xlfn.NUMBERVALUE("0.000770")</f>
        <v/>
      </c>
      <c r="S363">
        <f>_xlfn.NUMBERVALUE("-0.000121")</f>
        <v/>
      </c>
      <c r="T363">
        <f>_xlfn.NUMBERVALUE("0.000083")</f>
        <v/>
      </c>
      <c r="U363">
        <f>_xlfn.NUMBERVALUE("0.000856")</f>
        <v/>
      </c>
      <c r="V363">
        <f>_xlfn.NUMBERVALUE("-0.000126")</f>
        <v/>
      </c>
      <c r="W363">
        <f>_xlfn.NUMBERVALUE("0.003166")</f>
        <v/>
      </c>
      <c r="X363">
        <f>_xlfn.NUMBERVALUE("0.030000")</f>
        <v/>
      </c>
      <c r="Y363">
        <f>_xlfn.NUMBERVALUE("14.080000")</f>
        <v/>
      </c>
    </row>
    <row r="364">
      <c r="A364" s="1" t="n">
        <v>42530</v>
      </c>
      <c r="B364">
        <f>_xlfn.NUMBERVALUE("0.000000")</f>
        <v/>
      </c>
      <c r="C364" s="2">
        <f>_xlfn.NUMBERVALUE("-0.000119")</f>
        <v/>
      </c>
      <c r="D364">
        <f>_xlfn.NUMBERVALUE("0.000923")</f>
        <v/>
      </c>
      <c r="E364">
        <f>_xlfn.NUMBERVALUE("-0.000898")</f>
        <v/>
      </c>
      <c r="F364">
        <f>_xlfn.NUMBERVALUE("-0.001062")</f>
        <v/>
      </c>
      <c r="G364">
        <f>_xlfn.NUMBERVALUE("-0.000647")</f>
        <v/>
      </c>
      <c r="H364">
        <f>_xlfn.NUMBERVALUE("0.000865")</f>
        <v/>
      </c>
      <c r="I364">
        <f>_xlfn.NUMBERVALUE("-0.000314")</f>
        <v/>
      </c>
      <c r="J364">
        <f>_xlfn.NUMBERVALUE("-0.001168")</f>
        <v/>
      </c>
      <c r="K364">
        <f>_xlfn.NUMBERVALUE("-0.003071")</f>
        <v/>
      </c>
      <c r="L364">
        <f>_xlfn.NUMBERVALUE("-0.001040")</f>
        <v/>
      </c>
      <c r="M364">
        <f>_xlfn.NUMBERVALUE("-0.000943")</f>
        <v/>
      </c>
      <c r="N364">
        <f>_xlfn.NUMBERVALUE("0.000000")</f>
        <v/>
      </c>
      <c r="O364">
        <f>_xlfn.NUMBERVALUE("0.000097")</f>
        <v/>
      </c>
      <c r="P364">
        <f>_xlfn.NUMBERVALUE("-0.002634")</f>
        <v/>
      </c>
      <c r="Q364">
        <f>_xlfn.NUMBERVALUE("-0.000162")</f>
        <v/>
      </c>
      <c r="R364">
        <f>_xlfn.NUMBERVALUE("0.000142")</f>
        <v/>
      </c>
      <c r="S364">
        <f>_xlfn.NUMBERVALUE("-0.001415")</f>
        <v/>
      </c>
      <c r="T364">
        <f>_xlfn.NUMBERVALUE("-0.001141")</f>
        <v/>
      </c>
      <c r="U364">
        <f>_xlfn.NUMBERVALUE("-0.000215")</f>
        <v/>
      </c>
      <c r="V364">
        <f>_xlfn.NUMBERVALUE("-0.000235")</f>
        <v/>
      </c>
      <c r="W364">
        <f>_xlfn.NUMBERVALUE("-0.000801")</f>
        <v/>
      </c>
      <c r="X364">
        <f>_xlfn.NUMBERVALUE("0.560000")</f>
        <v/>
      </c>
      <c r="Y364">
        <f>_xlfn.NUMBERVALUE("14.640000")</f>
        <v/>
      </c>
    </row>
    <row r="365">
      <c r="A365" s="1" t="n">
        <v>42531</v>
      </c>
      <c r="B365">
        <f>_xlfn.NUMBERVALUE("0.000000")</f>
        <v/>
      </c>
      <c r="C365" s="2">
        <f>_xlfn.NUMBERVALUE("-0.002314")</f>
        <v/>
      </c>
      <c r="D365">
        <f>_xlfn.NUMBERVALUE("-0.006892")</f>
        <v/>
      </c>
      <c r="E365">
        <f>_xlfn.NUMBERVALUE("-0.007371")</f>
        <v/>
      </c>
      <c r="F365">
        <f>_xlfn.NUMBERVALUE("-0.000382")</f>
        <v/>
      </c>
      <c r="G365">
        <f>_xlfn.NUMBERVALUE("0.000113")</f>
        <v/>
      </c>
      <c r="H365">
        <f>_xlfn.NUMBERVALUE("-0.001328")</f>
        <v/>
      </c>
      <c r="I365">
        <f>_xlfn.NUMBERVALUE("-0.003428")</f>
        <v/>
      </c>
      <c r="J365">
        <f>_xlfn.NUMBERVALUE("-0.000676")</f>
        <v/>
      </c>
      <c r="K365">
        <f>_xlfn.NUMBERVALUE("0.003991")</f>
        <v/>
      </c>
      <c r="L365">
        <f>_xlfn.NUMBERVALUE("-0.001039")</f>
        <v/>
      </c>
      <c r="M365">
        <f>_xlfn.NUMBERVALUE("-0.002707")</f>
        <v/>
      </c>
      <c r="N365">
        <f>_xlfn.NUMBERVALUE("0.000000")</f>
        <v/>
      </c>
      <c r="O365">
        <f>_xlfn.NUMBERVALUE("-0.005925")</f>
        <v/>
      </c>
      <c r="P365">
        <f>_xlfn.NUMBERVALUE("-0.003937")</f>
        <v/>
      </c>
      <c r="Q365">
        <f>_xlfn.NUMBERVALUE("-0.002878")</f>
        <v/>
      </c>
      <c r="R365">
        <f>_xlfn.NUMBERVALUE("-0.002697")</f>
        <v/>
      </c>
      <c r="S365">
        <f>_xlfn.NUMBERVALUE("-0.001146")</f>
        <v/>
      </c>
      <c r="T365">
        <f>_xlfn.NUMBERVALUE("-0.001570")</f>
        <v/>
      </c>
      <c r="U365">
        <f>_xlfn.NUMBERVALUE("-0.003116")</f>
        <v/>
      </c>
      <c r="V365">
        <f>_xlfn.NUMBERVALUE("-0.002531")</f>
        <v/>
      </c>
      <c r="W365">
        <f>_xlfn.NUMBERVALUE("-0.009993")</f>
        <v/>
      </c>
      <c r="X365">
        <f>_xlfn.NUMBERVALUE("2.390000")</f>
        <v/>
      </c>
      <c r="Y365">
        <f>_xlfn.NUMBERVALUE("17.030000")</f>
        <v/>
      </c>
    </row>
    <row r="366">
      <c r="A366" s="1" t="n">
        <v>42534</v>
      </c>
      <c r="B366">
        <f>_xlfn.NUMBERVALUE("0.000000")</f>
        <v/>
      </c>
      <c r="C366" s="2">
        <f>_xlfn.NUMBERVALUE("-0.001912")</f>
        <v/>
      </c>
      <c r="D366">
        <f>_xlfn.NUMBERVALUE("-0.003522")</f>
        <v/>
      </c>
      <c r="E366">
        <f>_xlfn.NUMBERVALUE("-0.001562")</f>
        <v/>
      </c>
      <c r="F366">
        <f>_xlfn.NUMBERVALUE("-0.000356")</f>
        <v/>
      </c>
      <c r="G366">
        <f>_xlfn.NUMBERVALUE("-0.003965")</f>
        <v/>
      </c>
      <c r="H366">
        <f>_xlfn.NUMBERVALUE("0.000925")</f>
        <v/>
      </c>
      <c r="I366">
        <f>_xlfn.NUMBERVALUE("-0.003036")</f>
        <v/>
      </c>
      <c r="J366">
        <f>_xlfn.NUMBERVALUE("-0.000686")</f>
        <v/>
      </c>
      <c r="K366">
        <f>_xlfn.NUMBERVALUE("-0.000435")</f>
        <v/>
      </c>
      <c r="L366">
        <f>_xlfn.NUMBERVALUE("-0.000601")</f>
        <v/>
      </c>
      <c r="M366">
        <f>_xlfn.NUMBERVALUE("-0.002918")</f>
        <v/>
      </c>
      <c r="N366">
        <f>_xlfn.NUMBERVALUE("0.000000")</f>
        <v/>
      </c>
      <c r="O366">
        <f>_xlfn.NUMBERVALUE("-0.000799")</f>
        <v/>
      </c>
      <c r="P366">
        <f>_xlfn.NUMBERVALUE("-0.002177")</f>
        <v/>
      </c>
      <c r="Q366">
        <f>_xlfn.NUMBERVALUE("-0.002304")</f>
        <v/>
      </c>
      <c r="R366">
        <f>_xlfn.NUMBERVALUE("-0.002483")</f>
        <v/>
      </c>
      <c r="S366">
        <f>_xlfn.NUMBERVALUE("-0.002897")</f>
        <v/>
      </c>
      <c r="T366">
        <f>_xlfn.NUMBERVALUE("-0.001650")</f>
        <v/>
      </c>
      <c r="U366">
        <f>_xlfn.NUMBERVALUE("-0.002091")</f>
        <v/>
      </c>
      <c r="V366">
        <f>_xlfn.NUMBERVALUE("-0.002599")</f>
        <v/>
      </c>
      <c r="W366">
        <f>_xlfn.NUMBERVALUE("-0.007809")</f>
        <v/>
      </c>
      <c r="X366">
        <f>_xlfn.NUMBERVALUE("3.940000")</f>
        <v/>
      </c>
      <c r="Y366">
        <f>_xlfn.NUMBERVALUE("20.970000")</f>
        <v/>
      </c>
    </row>
    <row r="367">
      <c r="A367" s="1" t="n">
        <v>42535</v>
      </c>
      <c r="B367">
        <f>_xlfn.NUMBERVALUE("0.000000")</f>
        <v/>
      </c>
      <c r="C367" s="2">
        <f>_xlfn.NUMBERVALUE("0.000504")</f>
        <v/>
      </c>
      <c r="D367">
        <f>_xlfn.NUMBERVALUE("0.001384")</f>
        <v/>
      </c>
      <c r="E367">
        <f>_xlfn.NUMBERVALUE("-0.005762")</f>
        <v/>
      </c>
      <c r="F367">
        <f>_xlfn.NUMBERVALUE("0.000586")</f>
        <v/>
      </c>
      <c r="G367">
        <f>_xlfn.NUMBERVALUE("-0.000810")</f>
        <v/>
      </c>
      <c r="H367">
        <f>_xlfn.NUMBERVALUE("-0.000965")</f>
        <v/>
      </c>
      <c r="I367">
        <f>_xlfn.NUMBERVALUE("0.001485")</f>
        <v/>
      </c>
      <c r="J367">
        <f>_xlfn.NUMBERVALUE("0.001188")</f>
        <v/>
      </c>
      <c r="K367">
        <f>_xlfn.NUMBERVALUE("-0.001646")</f>
        <v/>
      </c>
      <c r="L367">
        <f>_xlfn.NUMBERVALUE("0.000170")</f>
        <v/>
      </c>
      <c r="M367">
        <f>_xlfn.NUMBERVALUE("0.000917")</f>
        <v/>
      </c>
      <c r="N367">
        <f>_xlfn.NUMBERVALUE("0.000000")</f>
        <v/>
      </c>
      <c r="O367">
        <f>_xlfn.NUMBERVALUE("-0.001108")</f>
        <v/>
      </c>
      <c r="P367">
        <f>_xlfn.NUMBERVALUE("-0.003686")</f>
        <v/>
      </c>
      <c r="Q367">
        <f>_xlfn.NUMBERVALUE("0.000091")</f>
        <v/>
      </c>
      <c r="R367">
        <f>_xlfn.NUMBERVALUE("0.000108")</f>
        <v/>
      </c>
      <c r="S367">
        <f>_xlfn.NUMBERVALUE("0.000287")</f>
        <v/>
      </c>
      <c r="T367">
        <f>_xlfn.NUMBERVALUE("0.000665")</f>
        <v/>
      </c>
      <c r="U367">
        <f>_xlfn.NUMBERVALUE("0.000646")</f>
        <v/>
      </c>
      <c r="V367">
        <f>_xlfn.NUMBERVALUE("0.000460")</f>
        <v/>
      </c>
      <c r="W367">
        <f>_xlfn.NUMBERVALUE("-0.001824")</f>
        <v/>
      </c>
      <c r="X367">
        <f>_xlfn.NUMBERVALUE("-0.470000")</f>
        <v/>
      </c>
      <c r="Y367">
        <f>_xlfn.NUMBERVALUE("20.500000")</f>
        <v/>
      </c>
    </row>
    <row r="368">
      <c r="A368" s="1" t="n">
        <v>42536</v>
      </c>
      <c r="B368">
        <f>_xlfn.NUMBERVALUE("0.000000")</f>
        <v/>
      </c>
      <c r="C368" s="2">
        <f>_xlfn.NUMBERVALUE("0.001111")</f>
        <v/>
      </c>
      <c r="D368">
        <f>_xlfn.NUMBERVALUE("0.001144")</f>
        <v/>
      </c>
      <c r="E368">
        <f>_xlfn.NUMBERVALUE("0.001769")</f>
        <v/>
      </c>
      <c r="F368">
        <f>_xlfn.NUMBERVALUE("0.000049")</f>
        <v/>
      </c>
      <c r="G368">
        <f>_xlfn.NUMBERVALUE("0.001359")</f>
        <v/>
      </c>
      <c r="H368">
        <f>_xlfn.NUMBERVALUE("-0.000501")</f>
        <v/>
      </c>
      <c r="I368">
        <f>_xlfn.NUMBERVALUE("0.001246")</f>
        <v/>
      </c>
      <c r="J368">
        <f>_xlfn.NUMBERVALUE("-0.002235")</f>
        <v/>
      </c>
      <c r="K368">
        <f>_xlfn.NUMBERVALUE("0.004979")</f>
        <v/>
      </c>
      <c r="L368">
        <f>_xlfn.NUMBERVALUE("0.000042")</f>
        <v/>
      </c>
      <c r="M368">
        <f>_xlfn.NUMBERVALUE("0.001263")</f>
        <v/>
      </c>
      <c r="N368">
        <f>_xlfn.NUMBERVALUE("0.000000")</f>
        <v/>
      </c>
      <c r="O368">
        <f>_xlfn.NUMBERVALUE("0.001994")</f>
        <v/>
      </c>
      <c r="P368">
        <f>_xlfn.NUMBERVALUE("0.000989")</f>
        <v/>
      </c>
      <c r="Q368">
        <f>_xlfn.NUMBERVALUE("0.001602")</f>
        <v/>
      </c>
      <c r="R368">
        <f>_xlfn.NUMBERVALUE("0.001546")</f>
        <v/>
      </c>
      <c r="S368">
        <f>_xlfn.NUMBERVALUE("0.000554")</f>
        <v/>
      </c>
      <c r="T368">
        <f>_xlfn.NUMBERVALUE("0.000979")</f>
        <v/>
      </c>
      <c r="U368">
        <f>_xlfn.NUMBERVALUE("0.000471")</f>
        <v/>
      </c>
      <c r="V368">
        <f>_xlfn.NUMBERVALUE("0.001028")</f>
        <v/>
      </c>
      <c r="W368">
        <f>_xlfn.NUMBERVALUE("-0.001851")</f>
        <v/>
      </c>
      <c r="X368">
        <f>_xlfn.NUMBERVALUE("-0.360000")</f>
        <v/>
      </c>
      <c r="Y368">
        <f>_xlfn.NUMBERVALUE("20.140000")</f>
        <v/>
      </c>
    </row>
    <row r="369">
      <c r="A369" s="1" t="n">
        <v>42537</v>
      </c>
      <c r="B369">
        <f>_xlfn.NUMBERVALUE("0.000000")</f>
        <v/>
      </c>
      <c r="C369" s="2">
        <f>_xlfn.NUMBERVALUE("0.001022")</f>
        <v/>
      </c>
      <c r="D369">
        <f>_xlfn.NUMBERVALUE("0.002024")</f>
        <v/>
      </c>
      <c r="E369">
        <f>_xlfn.NUMBERVALUE("-0.009486")</f>
        <v/>
      </c>
      <c r="F369">
        <f>_xlfn.NUMBERVALUE("-0.001305")</f>
        <v/>
      </c>
      <c r="G369">
        <f>_xlfn.NUMBERVALUE("0.000947")</f>
        <v/>
      </c>
      <c r="H369">
        <f>_xlfn.NUMBERVALUE("0.000325")</f>
        <v/>
      </c>
      <c r="I369">
        <f>_xlfn.NUMBERVALUE("0.002368")</f>
        <v/>
      </c>
      <c r="J369">
        <f>_xlfn.NUMBERVALUE("0.000465")</f>
        <v/>
      </c>
      <c r="K369">
        <f>_xlfn.NUMBERVALUE("-0.006920")</f>
        <v/>
      </c>
      <c r="L369">
        <f>_xlfn.NUMBERVALUE("-0.001769")</f>
        <v/>
      </c>
      <c r="M369">
        <f>_xlfn.NUMBERVALUE("0.000853")</f>
        <v/>
      </c>
      <c r="N369">
        <f>_xlfn.NUMBERVALUE("0.000000")</f>
        <v/>
      </c>
      <c r="O369">
        <f>_xlfn.NUMBERVALUE("0.001024")</f>
        <v/>
      </c>
      <c r="P369">
        <f>_xlfn.NUMBERVALUE("0.003796")</f>
        <v/>
      </c>
      <c r="Q369">
        <f>_xlfn.NUMBERVALUE("0.000809")</f>
        <v/>
      </c>
      <c r="R369">
        <f>_xlfn.NUMBERVALUE("0.000770")</f>
        <v/>
      </c>
      <c r="S369">
        <f>_xlfn.NUMBERVALUE("0.001053")</f>
        <v/>
      </c>
      <c r="T369">
        <f>_xlfn.NUMBERVALUE("-0.000081")</f>
        <v/>
      </c>
      <c r="U369">
        <f>_xlfn.NUMBERVALUE("0.000654")</f>
        <v/>
      </c>
      <c r="V369">
        <f>_xlfn.NUMBERVALUE("0.001619")</f>
        <v/>
      </c>
      <c r="W369">
        <f>_xlfn.NUMBERVALUE("0.003709")</f>
        <v/>
      </c>
      <c r="X369">
        <f>_xlfn.NUMBERVALUE("-0.770000")</f>
        <v/>
      </c>
      <c r="Y369">
        <f>_xlfn.NUMBERVALUE("19.370000")</f>
        <v/>
      </c>
    </row>
    <row r="370">
      <c r="A370" s="1" t="n">
        <v>42538</v>
      </c>
      <c r="B370">
        <f>_xlfn.NUMBERVALUE("0.000000")</f>
        <v/>
      </c>
      <c r="C370" s="2">
        <f>_xlfn.NUMBERVALUE("0.000103")</f>
        <v/>
      </c>
      <c r="D370">
        <f>_xlfn.NUMBERVALUE("-0.000863")</f>
        <v/>
      </c>
      <c r="E370">
        <f>_xlfn.NUMBERVALUE("0.005469")</f>
        <v/>
      </c>
      <c r="F370">
        <f>_xlfn.NUMBERVALUE("-0.000938")</f>
        <v/>
      </c>
      <c r="G370">
        <f>_xlfn.NUMBERVALUE("0.000809")</f>
        <v/>
      </c>
      <c r="H370">
        <f>_xlfn.NUMBERVALUE("-0.000076")</f>
        <v/>
      </c>
      <c r="I370">
        <f>_xlfn.NUMBERVALUE("0.000912")</f>
        <v/>
      </c>
      <c r="J370">
        <f>_xlfn.NUMBERVALUE("0.000152")</f>
        <v/>
      </c>
      <c r="K370">
        <f>_xlfn.NUMBERVALUE("0.001420")</f>
        <v/>
      </c>
      <c r="L370">
        <f>_xlfn.NUMBERVALUE("0.001374")</f>
        <v/>
      </c>
      <c r="M370">
        <f>_xlfn.NUMBERVALUE("0.000637")</f>
        <v/>
      </c>
      <c r="N370">
        <f>_xlfn.NUMBERVALUE("0.000000")</f>
        <v/>
      </c>
      <c r="O370">
        <f>_xlfn.NUMBERVALUE("0.004691")</f>
        <v/>
      </c>
      <c r="P370">
        <f>_xlfn.NUMBERVALUE("0.002122")</f>
        <v/>
      </c>
      <c r="Q370">
        <f>_xlfn.NUMBERVALUE("0.000421")</f>
        <v/>
      </c>
      <c r="R370">
        <f>_xlfn.NUMBERVALUE("-0.000135")</f>
        <v/>
      </c>
      <c r="S370">
        <f>_xlfn.NUMBERVALUE("-0.001688")</f>
        <v/>
      </c>
      <c r="T370">
        <f>_xlfn.NUMBERVALUE("-0.003328")</f>
        <v/>
      </c>
      <c r="U370">
        <f>_xlfn.NUMBERVALUE("0.000961")</f>
        <v/>
      </c>
      <c r="V370">
        <f>_xlfn.NUMBERVALUE("0.000200")</f>
        <v/>
      </c>
      <c r="W370">
        <f>_xlfn.NUMBERVALUE("-0.008590")</f>
        <v/>
      </c>
      <c r="X370">
        <f>_xlfn.NUMBERVALUE("0.040000")</f>
        <v/>
      </c>
      <c r="Y370">
        <f>_xlfn.NUMBERVALUE("19.410000")</f>
        <v/>
      </c>
    </row>
    <row r="371">
      <c r="A371" s="1" t="n">
        <v>42541</v>
      </c>
      <c r="B371">
        <f>_xlfn.NUMBERVALUE("0.000000")</f>
        <v/>
      </c>
      <c r="C371" s="2">
        <f>_xlfn.NUMBERVALUE("0.000646")</f>
        <v/>
      </c>
      <c r="D371">
        <f>_xlfn.NUMBERVALUE("-0.001291")</f>
        <v/>
      </c>
      <c r="E371">
        <f>_xlfn.NUMBERVALUE("-0.001397")</f>
        <v/>
      </c>
      <c r="F371">
        <f>_xlfn.NUMBERVALUE("0.001299")</f>
        <v/>
      </c>
      <c r="G371">
        <f>_xlfn.NUMBERVALUE("0.002108")</f>
        <v/>
      </c>
      <c r="H371">
        <f>_xlfn.NUMBERVALUE("0.001738")</f>
        <v/>
      </c>
      <c r="I371">
        <f>_xlfn.NUMBERVALUE("0.000086")</f>
        <v/>
      </c>
      <c r="J371">
        <f>_xlfn.NUMBERVALUE("0.002286")</f>
        <v/>
      </c>
      <c r="K371">
        <f>_xlfn.NUMBERVALUE("0.000191")</f>
        <v/>
      </c>
      <c r="L371">
        <f>_xlfn.NUMBERVALUE("0.001961")</f>
        <v/>
      </c>
      <c r="M371">
        <f>_xlfn.NUMBERVALUE("0.002604")</f>
        <v/>
      </c>
      <c r="N371">
        <f>_xlfn.NUMBERVALUE("0.000000")</f>
        <v/>
      </c>
      <c r="O371">
        <f>_xlfn.NUMBERVALUE("0.004906")</f>
        <v/>
      </c>
      <c r="P371">
        <f>_xlfn.NUMBERVALUE("0.003372")</f>
        <v/>
      </c>
      <c r="Q371">
        <f>_xlfn.NUMBERVALUE("0.001769")</f>
        <v/>
      </c>
      <c r="R371">
        <f>_xlfn.NUMBERVALUE("0.003121")</f>
        <v/>
      </c>
      <c r="S371">
        <f>_xlfn.NUMBERVALUE("0.003016")</f>
        <v/>
      </c>
      <c r="T371">
        <f>_xlfn.NUMBERVALUE("0.001883")</f>
        <v/>
      </c>
      <c r="U371">
        <f>_xlfn.NUMBERVALUE("0.001496")</f>
        <v/>
      </c>
      <c r="V371">
        <f>_xlfn.NUMBERVALUE("0.001435")</f>
        <v/>
      </c>
      <c r="W371">
        <f>_xlfn.NUMBERVALUE("0.005736")</f>
        <v/>
      </c>
      <c r="X371">
        <f>_xlfn.NUMBERVALUE("-1.040000")</f>
        <v/>
      </c>
      <c r="Y371">
        <f>_xlfn.NUMBERVALUE("18.370000")</f>
        <v/>
      </c>
    </row>
    <row r="372">
      <c r="A372" s="1" t="n">
        <v>42542</v>
      </c>
      <c r="B372">
        <f>_xlfn.NUMBERVALUE("0.000000")</f>
        <v/>
      </c>
      <c r="C372" s="2">
        <f>_xlfn.NUMBERVALUE("0.000203")</f>
        <v/>
      </c>
      <c r="D372">
        <f>_xlfn.NUMBERVALUE("-0.000148")</f>
        <v/>
      </c>
      <c r="E372">
        <f>_xlfn.NUMBERVALUE("0.000608")</f>
        <v/>
      </c>
      <c r="F372">
        <f>_xlfn.NUMBERVALUE("-0.000792")</f>
        <v/>
      </c>
      <c r="G372">
        <f>_xlfn.NUMBERVALUE("0.000807")</f>
        <v/>
      </c>
      <c r="H372">
        <f>_xlfn.NUMBERVALUE("0.000487")</f>
        <v/>
      </c>
      <c r="I372">
        <f>_xlfn.NUMBERVALUE("0.000930")</f>
        <v/>
      </c>
      <c r="J372">
        <f>_xlfn.NUMBERVALUE("0.000258")</f>
        <v/>
      </c>
      <c r="K372">
        <f>_xlfn.NUMBERVALUE("-0.000689")</f>
        <v/>
      </c>
      <c r="L372">
        <f>_xlfn.NUMBERVALUE("0.000099")</f>
        <v/>
      </c>
      <c r="M372">
        <f>_xlfn.NUMBERVALUE("0.000457")</f>
        <v/>
      </c>
      <c r="N372">
        <f>_xlfn.NUMBERVALUE("0.000000")</f>
        <v/>
      </c>
      <c r="O372">
        <f>_xlfn.NUMBERVALUE("-0.000239")</f>
        <v/>
      </c>
      <c r="P372">
        <f>_xlfn.NUMBERVALUE("0.000051")</f>
        <v/>
      </c>
      <c r="Q372">
        <f>_xlfn.NUMBERVALUE("-0.000332")</f>
        <v/>
      </c>
      <c r="R372">
        <f>_xlfn.NUMBERVALUE("-0.001061")</f>
        <v/>
      </c>
      <c r="S372">
        <f>_xlfn.NUMBERVALUE("-0.001633")</f>
        <v/>
      </c>
      <c r="T372">
        <f>_xlfn.NUMBERVALUE("0.005645")</f>
        <v/>
      </c>
      <c r="U372">
        <f>_xlfn.NUMBERVALUE("0.000313")</f>
        <v/>
      </c>
      <c r="V372">
        <f>_xlfn.NUMBERVALUE("-0.000081")</f>
        <v/>
      </c>
      <c r="W372">
        <f>_xlfn.NUMBERVALUE("0.003465")</f>
        <v/>
      </c>
      <c r="X372">
        <f>_xlfn.NUMBERVALUE("0.110000")</f>
        <v/>
      </c>
      <c r="Y372">
        <f>_xlfn.NUMBERVALUE("18.480000")</f>
        <v/>
      </c>
    </row>
    <row r="373">
      <c r="A373" s="1" t="n">
        <v>42543</v>
      </c>
      <c r="B373">
        <f>_xlfn.NUMBERVALUE("0.000000")</f>
        <v/>
      </c>
      <c r="C373" s="2">
        <f>_xlfn.NUMBERVALUE("-0.003548")</f>
        <v/>
      </c>
      <c r="D373">
        <f>_xlfn.NUMBERVALUE("-0.011189")</f>
        <v/>
      </c>
      <c r="E373">
        <f>_xlfn.NUMBERVALUE("-0.010450")</f>
        <v/>
      </c>
      <c r="F373">
        <f>_xlfn.NUMBERVALUE("-0.000828")</f>
        <v/>
      </c>
      <c r="G373">
        <f>_xlfn.NUMBERVALUE("-0.001970")</f>
        <v/>
      </c>
      <c r="H373">
        <f>_xlfn.NUMBERVALUE("-0.000307")</f>
        <v/>
      </c>
      <c r="I373">
        <f>_xlfn.NUMBERVALUE("-0.002512")</f>
        <v/>
      </c>
      <c r="J373">
        <f>_xlfn.NUMBERVALUE("-0.000079")</f>
        <v/>
      </c>
      <c r="K373">
        <f>_xlfn.NUMBERVALUE("0.002703")</f>
        <v/>
      </c>
      <c r="L373">
        <f>_xlfn.NUMBERVALUE("-0.001471")</f>
        <v/>
      </c>
      <c r="M373">
        <f>_xlfn.NUMBERVALUE("-0.000549")</f>
        <v/>
      </c>
      <c r="N373">
        <f>_xlfn.NUMBERVALUE("0.000000")</f>
        <v/>
      </c>
      <c r="O373">
        <f>_xlfn.NUMBERVALUE("-0.002009")</f>
        <v/>
      </c>
      <c r="P373">
        <f>_xlfn.NUMBERVALUE("-0.004218")</f>
        <v/>
      </c>
      <c r="Q373">
        <f>_xlfn.NUMBERVALUE("-0.003026")</f>
        <v/>
      </c>
      <c r="R373">
        <f>_xlfn.NUMBERVALUE("-0.003560")</f>
        <v/>
      </c>
      <c r="S373">
        <f>_xlfn.NUMBERVALUE("-0.000536")</f>
        <v/>
      </c>
      <c r="T373">
        <f>_xlfn.NUMBERVALUE("-0.004427")</f>
        <v/>
      </c>
      <c r="U373">
        <f>_xlfn.NUMBERVALUE("-0.000713")</f>
        <v/>
      </c>
      <c r="V373">
        <f>_xlfn.NUMBERVALUE("-0.003914")</f>
        <v/>
      </c>
      <c r="W373">
        <f>_xlfn.NUMBERVALUE("-0.001343")</f>
        <v/>
      </c>
      <c r="X373">
        <f>_xlfn.NUMBERVALUE("2.690000")</f>
        <v/>
      </c>
      <c r="Y373">
        <f>_xlfn.NUMBERVALUE("21.170000")</f>
        <v/>
      </c>
    </row>
    <row r="374">
      <c r="A374" s="1" t="n">
        <v>42544</v>
      </c>
      <c r="B374">
        <f>_xlfn.NUMBERVALUE("0.000000")</f>
        <v/>
      </c>
      <c r="C374" s="2">
        <f>_xlfn.NUMBERVALUE("0.002738")</f>
        <v/>
      </c>
      <c r="D374">
        <f>_xlfn.NUMBERVALUE("0.002387")</f>
        <v/>
      </c>
      <c r="E374">
        <f>_xlfn.NUMBERVALUE("0.003917")</f>
        <v/>
      </c>
      <c r="F374">
        <f>_xlfn.NUMBERVALUE("0.004380")</f>
        <v/>
      </c>
      <c r="G374">
        <f>_xlfn.NUMBERVALUE("-0.000622")</f>
        <v/>
      </c>
      <c r="H374">
        <f>_xlfn.NUMBERVALUE("0.000739")</f>
        <v/>
      </c>
      <c r="I374">
        <f>_xlfn.NUMBERVALUE("0.000681")</f>
        <v/>
      </c>
      <c r="J374">
        <f>_xlfn.NUMBERVALUE("0.000517")</f>
        <v/>
      </c>
      <c r="K374">
        <f>_xlfn.NUMBERVALUE("-0.000107")</f>
        <v/>
      </c>
      <c r="L374">
        <f>_xlfn.NUMBERVALUE("0.000941")</f>
        <v/>
      </c>
      <c r="M374">
        <f>_xlfn.NUMBERVALUE("0.000825")</f>
        <v/>
      </c>
      <c r="N374">
        <f>_xlfn.NUMBERVALUE("0.000000")</f>
        <v/>
      </c>
      <c r="O374">
        <f>_xlfn.NUMBERVALUE("0.001241")</f>
        <v/>
      </c>
      <c r="P374">
        <f>_xlfn.NUMBERVALUE("0.003297")</f>
        <v/>
      </c>
      <c r="Q374">
        <f>_xlfn.NUMBERVALUE("0.001387")</f>
        <v/>
      </c>
      <c r="R374">
        <f>_xlfn.NUMBERVALUE("0.003606")</f>
        <v/>
      </c>
      <c r="S374">
        <f>_xlfn.NUMBERVALUE("0.001795")</f>
        <v/>
      </c>
      <c r="T374">
        <f>_xlfn.NUMBERVALUE("0.002700")</f>
        <v/>
      </c>
      <c r="U374">
        <f>_xlfn.NUMBERVALUE("0.002594")</f>
        <v/>
      </c>
      <c r="V374">
        <f>_xlfn.NUMBERVALUE("0.003506")</f>
        <v/>
      </c>
      <c r="W374">
        <f>_xlfn.NUMBERVALUE("0.011718")</f>
        <v/>
      </c>
      <c r="X374">
        <f>_xlfn.NUMBERVALUE("-3.920000")</f>
        <v/>
      </c>
      <c r="Y374">
        <f>_xlfn.NUMBERVALUE("17.250000")</f>
        <v/>
      </c>
    </row>
    <row r="375">
      <c r="A375" s="1" t="n">
        <v>42545</v>
      </c>
      <c r="B375">
        <f>_xlfn.NUMBERVALUE("0.000000")</f>
        <v/>
      </c>
      <c r="C375" s="2">
        <f>_xlfn.NUMBERVALUE("-0.012142")</f>
        <v/>
      </c>
      <c r="D375">
        <f>_xlfn.NUMBERVALUE("-0.011885")</f>
        <v/>
      </c>
      <c r="E375">
        <f>_xlfn.NUMBERVALUE("-0.044968")</f>
        <v/>
      </c>
      <c r="F375">
        <f>_xlfn.NUMBERVALUE("-0.009861")</f>
        <v/>
      </c>
      <c r="G375">
        <f>_xlfn.NUMBERVALUE("-0.002583")</f>
        <v/>
      </c>
      <c r="H375">
        <f>_xlfn.NUMBERVALUE("-0.004861")</f>
        <v/>
      </c>
      <c r="I375">
        <f>_xlfn.NUMBERVALUE("-0.012024")</f>
        <v/>
      </c>
      <c r="J375">
        <f>_xlfn.NUMBERVALUE("-0.000196")</f>
        <v/>
      </c>
      <c r="K375">
        <f>_xlfn.NUMBERVALUE("0.000256")</f>
        <v/>
      </c>
      <c r="L375">
        <f>_xlfn.NUMBERVALUE("-0.008609")</f>
        <v/>
      </c>
      <c r="M375">
        <f>_xlfn.NUMBERVALUE("-0.021203")</f>
        <v/>
      </c>
      <c r="N375">
        <f>_xlfn.NUMBERVALUE("0.000000")</f>
        <v/>
      </c>
      <c r="O375">
        <f>_xlfn.NUMBERVALUE("-0.011611")</f>
        <v/>
      </c>
      <c r="P375">
        <f>_xlfn.NUMBERVALUE("-0.024109")</f>
        <v/>
      </c>
      <c r="Q375">
        <f>_xlfn.NUMBERVALUE("-0.015482")</f>
        <v/>
      </c>
      <c r="R375">
        <f>_xlfn.NUMBERVALUE("-0.014856")</f>
        <v/>
      </c>
      <c r="S375">
        <f>_xlfn.NUMBERVALUE("-0.004492")</f>
        <v/>
      </c>
      <c r="T375">
        <f>_xlfn.NUMBERVALUE("-0.002265")</f>
        <v/>
      </c>
      <c r="U375">
        <f>_xlfn.NUMBERVALUE("-0.017291")</f>
        <v/>
      </c>
      <c r="V375">
        <f>_xlfn.NUMBERVALUE("-0.013131")</f>
        <v/>
      </c>
      <c r="W375">
        <f>_xlfn.NUMBERVALUE("-0.031615")</f>
        <v/>
      </c>
      <c r="X375">
        <f>_xlfn.NUMBERVALUE("8.510000")</f>
        <v/>
      </c>
      <c r="Y375">
        <f>_xlfn.NUMBERVALUE("25.760000")</f>
        <v/>
      </c>
    </row>
    <row r="376">
      <c r="A376" s="1" t="n">
        <v>42548</v>
      </c>
      <c r="B376">
        <f>_xlfn.NUMBERVALUE("0.000000")</f>
        <v/>
      </c>
      <c r="C376" s="2">
        <f>_xlfn.NUMBERVALUE("-0.001604")</f>
        <v/>
      </c>
      <c r="D376">
        <f>_xlfn.NUMBERVALUE("0.004852")</f>
        <v/>
      </c>
      <c r="E376">
        <f>_xlfn.NUMBERVALUE("-0.001751")</f>
        <v/>
      </c>
      <c r="F376">
        <f>_xlfn.NUMBERVALUE("0.000765")</f>
        <v/>
      </c>
      <c r="G376">
        <f>_xlfn.NUMBERVALUE("-0.000164")</f>
        <v/>
      </c>
      <c r="H376">
        <f>_xlfn.NUMBERVALUE("-0.000004")</f>
        <v/>
      </c>
      <c r="I376">
        <f>_xlfn.NUMBERVALUE("-0.006644")</f>
        <v/>
      </c>
      <c r="J376">
        <f>_xlfn.NUMBERVALUE("-0.000505")</f>
        <v/>
      </c>
      <c r="K376">
        <f>_xlfn.NUMBERVALUE("-0.000092")</f>
        <v/>
      </c>
      <c r="L376">
        <f>_xlfn.NUMBERVALUE("-0.003410")</f>
        <v/>
      </c>
      <c r="M376">
        <f>_xlfn.NUMBERVALUE("-0.006075")</f>
        <v/>
      </c>
      <c r="N376">
        <f>_xlfn.NUMBERVALUE("0.000000")</f>
        <v/>
      </c>
      <c r="O376">
        <f>_xlfn.NUMBERVALUE("-0.005231")</f>
        <v/>
      </c>
      <c r="P376">
        <f>_xlfn.NUMBERVALUE("-0.005203")</f>
        <v/>
      </c>
      <c r="Q376">
        <f>_xlfn.NUMBERVALUE("-0.002552")</f>
        <v/>
      </c>
      <c r="R376">
        <f>_xlfn.NUMBERVALUE("-0.002726")</f>
        <v/>
      </c>
      <c r="S376">
        <f>_xlfn.NUMBERVALUE("0.004866")</f>
        <v/>
      </c>
      <c r="T376">
        <f>_xlfn.NUMBERVALUE("0.006321")</f>
        <v/>
      </c>
      <c r="U376">
        <f>_xlfn.NUMBERVALUE("-0.000586")</f>
        <v/>
      </c>
      <c r="V376">
        <f>_xlfn.NUMBERVALUE("-0.002216")</f>
        <v/>
      </c>
      <c r="W376">
        <f>_xlfn.NUMBERVALUE("-0.021471")</f>
        <v/>
      </c>
      <c r="X376">
        <f>_xlfn.NUMBERVALUE("-1.910000")</f>
        <v/>
      </c>
      <c r="Y376">
        <f>_xlfn.NUMBERVALUE("23.850000")</f>
        <v/>
      </c>
    </row>
    <row r="377">
      <c r="A377" s="1" t="n">
        <v>42549</v>
      </c>
      <c r="B377">
        <f>_xlfn.NUMBERVALUE("0.000000")</f>
        <v/>
      </c>
      <c r="C377" s="2">
        <f>_xlfn.NUMBERVALUE("0.000536")</f>
        <v/>
      </c>
      <c r="D377">
        <f>_xlfn.NUMBERVALUE("-0.003333")</f>
        <v/>
      </c>
      <c r="E377">
        <f>_xlfn.NUMBERVALUE("0.001031")</f>
        <v/>
      </c>
      <c r="F377">
        <f>_xlfn.NUMBERVALUE("-0.000324")</f>
        <v/>
      </c>
      <c r="G377">
        <f>_xlfn.NUMBERVALUE("-0.000341")</f>
        <v/>
      </c>
      <c r="H377">
        <f>_xlfn.NUMBERVALUE("-0.000059")</f>
        <v/>
      </c>
      <c r="I377">
        <f>_xlfn.NUMBERVALUE("0.001586")</f>
        <v/>
      </c>
      <c r="J377">
        <f>_xlfn.NUMBERVALUE("0.000281")</f>
        <v/>
      </c>
      <c r="K377">
        <f>_xlfn.NUMBERVALUE("-0.000389")</f>
        <v/>
      </c>
      <c r="L377">
        <f>_xlfn.NUMBERVALUE("0.000084")</f>
        <v/>
      </c>
      <c r="M377">
        <f>_xlfn.NUMBERVALUE("0.001154")</f>
        <v/>
      </c>
      <c r="N377">
        <f>_xlfn.NUMBERVALUE("0.000000")</f>
        <v/>
      </c>
      <c r="O377">
        <f>_xlfn.NUMBERVALUE("0.002551")</f>
        <v/>
      </c>
      <c r="P377">
        <f>_xlfn.NUMBERVALUE("0.004444")</f>
        <v/>
      </c>
      <c r="Q377">
        <f>_xlfn.NUMBERVALUE("0.001150")</f>
        <v/>
      </c>
      <c r="R377">
        <f>_xlfn.NUMBERVALUE("0.001015")</f>
        <v/>
      </c>
      <c r="S377">
        <f>_xlfn.NUMBERVALUE("0.000679")</f>
        <v/>
      </c>
      <c r="T377">
        <f>_xlfn.NUMBERVALUE("-0.004092")</f>
        <v/>
      </c>
      <c r="U377">
        <f>_xlfn.NUMBERVALUE("0.001362")</f>
        <v/>
      </c>
      <c r="V377">
        <f>_xlfn.NUMBERVALUE("0.000252")</f>
        <v/>
      </c>
      <c r="W377">
        <f>_xlfn.NUMBERVALUE("0.017233")</f>
        <v/>
      </c>
      <c r="X377">
        <f>_xlfn.NUMBERVALUE("-5.100000")</f>
        <v/>
      </c>
      <c r="Y377">
        <f>_xlfn.NUMBERVALUE("18.750000")</f>
        <v/>
      </c>
    </row>
    <row r="378">
      <c r="A378" s="1" t="n">
        <v>42550</v>
      </c>
      <c r="B378">
        <f>_xlfn.NUMBERVALUE("0.000000")</f>
        <v/>
      </c>
      <c r="C378" s="2">
        <f>_xlfn.NUMBERVALUE("-0.000547")</f>
        <v/>
      </c>
      <c r="D378">
        <f>_xlfn.NUMBERVALUE("-0.008534")</f>
        <v/>
      </c>
      <c r="E378">
        <f>_xlfn.NUMBERVALUE("0.000561")</f>
        <v/>
      </c>
      <c r="F378">
        <f>_xlfn.NUMBERVALUE("-0.000055")</f>
        <v/>
      </c>
      <c r="G378">
        <f>_xlfn.NUMBERVALUE("-0.003363")</f>
        <v/>
      </c>
      <c r="H378">
        <f>_xlfn.NUMBERVALUE("-0.000300")</f>
        <v/>
      </c>
      <c r="I378">
        <f>_xlfn.NUMBERVALUE("-0.000073")</f>
        <v/>
      </c>
      <c r="J378">
        <f>_xlfn.NUMBERVALUE("-0.000465")</f>
        <v/>
      </c>
      <c r="K378">
        <f>_xlfn.NUMBERVALUE("0.000325")</f>
        <v/>
      </c>
      <c r="L378">
        <f>_xlfn.NUMBERVALUE("0.000126")</f>
        <v/>
      </c>
      <c r="M378">
        <f>_xlfn.NUMBERVALUE("0.000439")</f>
        <v/>
      </c>
      <c r="N378">
        <f>_xlfn.NUMBERVALUE("0.000000")</f>
        <v/>
      </c>
      <c r="O378">
        <f>_xlfn.NUMBERVALUE("0.000208")</f>
        <v/>
      </c>
      <c r="P378">
        <f>_xlfn.NUMBERVALUE("0.001561")</f>
        <v/>
      </c>
      <c r="Q378">
        <f>_xlfn.NUMBERVALUE("0.000646")</f>
        <v/>
      </c>
      <c r="R378">
        <f>_xlfn.NUMBERVALUE("0.000746")</f>
        <v/>
      </c>
      <c r="S378">
        <f>_xlfn.NUMBERVALUE("-0.001117")</f>
        <v/>
      </c>
      <c r="T378">
        <f>_xlfn.NUMBERVALUE("0.000302")</f>
        <v/>
      </c>
      <c r="U378">
        <f>_xlfn.NUMBERVALUE("-0.000768")</f>
        <v/>
      </c>
      <c r="V378">
        <f>_xlfn.NUMBERVALUE("0.000247")</f>
        <v/>
      </c>
      <c r="W378">
        <f>_xlfn.NUMBERVALUE("0.017335")</f>
        <v/>
      </c>
      <c r="X378">
        <f>_xlfn.NUMBERVALUE("-2.110000")</f>
        <v/>
      </c>
      <c r="Y378">
        <f>_xlfn.NUMBERVALUE("16.640000")</f>
        <v/>
      </c>
    </row>
    <row r="379">
      <c r="A379" s="1" t="n">
        <v>42551</v>
      </c>
      <c r="B379">
        <f>_xlfn.NUMBERVALUE("0.000000")</f>
        <v/>
      </c>
      <c r="C379" s="2">
        <f>_xlfn.NUMBERVALUE("-0.002420")</f>
        <v/>
      </c>
      <c r="D379">
        <f>_xlfn.NUMBERVALUE("0.000731")</f>
        <v/>
      </c>
      <c r="E379">
        <f>_xlfn.NUMBERVALUE("0.000425")</f>
        <v/>
      </c>
      <c r="F379">
        <f>_xlfn.NUMBERVALUE("0.000085")</f>
        <v/>
      </c>
      <c r="G379">
        <f>_xlfn.NUMBERVALUE("-0.002301")</f>
        <v/>
      </c>
      <c r="H379">
        <f>_xlfn.NUMBERVALUE("0.000025")</f>
        <v/>
      </c>
      <c r="I379">
        <f>_xlfn.NUMBERVALUE("0.001345")</f>
        <v/>
      </c>
      <c r="J379">
        <f>_xlfn.NUMBERVALUE("-0.000003")</f>
        <v/>
      </c>
      <c r="K379">
        <f>_xlfn.NUMBERVALUE("0.000317")</f>
        <v/>
      </c>
      <c r="L379">
        <f>_xlfn.NUMBERVALUE("0.000035")</f>
        <v/>
      </c>
      <c r="M379">
        <f>_xlfn.NUMBERVALUE("-0.001422")</f>
        <v/>
      </c>
      <c r="N379">
        <f>_xlfn.NUMBERVALUE("0.000000")</f>
        <v/>
      </c>
      <c r="O379">
        <f>_xlfn.NUMBERVALUE("0.001917")</f>
        <v/>
      </c>
      <c r="P379">
        <f>_xlfn.NUMBERVALUE("-0.000244")</f>
        <v/>
      </c>
      <c r="Q379">
        <f>_xlfn.NUMBERVALUE("-0.000716")</f>
        <v/>
      </c>
      <c r="R379">
        <f>_xlfn.NUMBERVALUE("0.000708")</f>
        <v/>
      </c>
      <c r="S379">
        <f>_xlfn.NUMBERVALUE("-0.006293")</f>
        <v/>
      </c>
      <c r="T379">
        <f>_xlfn.NUMBERVALUE("-0.000688")</f>
        <v/>
      </c>
      <c r="U379">
        <f>_xlfn.NUMBERVALUE("0.001661")</f>
        <v/>
      </c>
      <c r="V379">
        <f>_xlfn.NUMBERVALUE("0.000487")</f>
        <v/>
      </c>
      <c r="W379">
        <f>_xlfn.NUMBERVALUE("0.012199")</f>
        <v/>
      </c>
      <c r="X379">
        <f>_xlfn.NUMBERVALUE("-1.010000")</f>
        <v/>
      </c>
      <c r="Y379">
        <f>_xlfn.NUMBERVALUE("15.630000")</f>
        <v/>
      </c>
    </row>
    <row r="380">
      <c r="A380" s="1" t="n">
        <v>42552</v>
      </c>
      <c r="B380">
        <f>_xlfn.NUMBERVALUE("0.000000")</f>
        <v/>
      </c>
      <c r="C380" s="2">
        <f>_xlfn.NUMBERVALUE("0.000575")</f>
        <v/>
      </c>
      <c r="D380">
        <f>_xlfn.NUMBERVALUE("-0.000052")</f>
        <v/>
      </c>
      <c r="E380">
        <f>_xlfn.NUMBERVALUE("0.000346")</f>
        <v/>
      </c>
      <c r="F380">
        <f>_xlfn.NUMBERVALUE("-0.000089")</f>
        <v/>
      </c>
      <c r="G380">
        <f>_xlfn.NUMBERVALUE("-0.000096")</f>
        <v/>
      </c>
      <c r="H380">
        <f>_xlfn.NUMBERVALUE("-0.000121")</f>
        <v/>
      </c>
      <c r="I380">
        <f>_xlfn.NUMBERVALUE("0.001572")</f>
        <v/>
      </c>
      <c r="J380">
        <f>_xlfn.NUMBERVALUE("-0.000252")</f>
        <v/>
      </c>
      <c r="K380">
        <f>_xlfn.NUMBERVALUE("-0.000694")</f>
        <v/>
      </c>
      <c r="L380">
        <f>_xlfn.NUMBERVALUE("-0.001248")</f>
        <v/>
      </c>
      <c r="M380">
        <f>_xlfn.NUMBERVALUE("0.001803")</f>
        <v/>
      </c>
      <c r="N380">
        <f>_xlfn.NUMBERVALUE("0.000000")</f>
        <v/>
      </c>
      <c r="O380">
        <f>_xlfn.NUMBERVALUE("0.003226")</f>
        <v/>
      </c>
      <c r="P380">
        <f>_xlfn.NUMBERVALUE("-0.000572")</f>
        <v/>
      </c>
      <c r="Q380">
        <f>_xlfn.NUMBERVALUE("0.001906")</f>
        <v/>
      </c>
      <c r="R380">
        <f>_xlfn.NUMBERVALUE("0.000638")</f>
        <v/>
      </c>
      <c r="S380">
        <f>_xlfn.NUMBERVALUE("0.000249")</f>
        <v/>
      </c>
      <c r="T380">
        <f>_xlfn.NUMBERVALUE("-0.000769")</f>
        <v/>
      </c>
      <c r="U380">
        <f>_xlfn.NUMBERVALUE("0.000765")</f>
        <v/>
      </c>
      <c r="V380">
        <f>_xlfn.NUMBERVALUE("0.003641")</f>
        <v/>
      </c>
      <c r="W380">
        <f>_xlfn.NUMBERVALUE("0.002463")</f>
        <v/>
      </c>
      <c r="X380">
        <f>_xlfn.NUMBERVALUE("-0.860000")</f>
        <v/>
      </c>
      <c r="Y380">
        <f>_xlfn.NUMBERVALUE("14.770000")</f>
        <v/>
      </c>
    </row>
    <row r="381">
      <c r="A381" s="1" t="n">
        <v>42556</v>
      </c>
      <c r="B381">
        <f>_xlfn.NUMBERVALUE("0.000000")</f>
        <v/>
      </c>
      <c r="C381" s="2">
        <f>_xlfn.NUMBERVALUE("0.000363")</f>
        <v/>
      </c>
      <c r="D381">
        <f>_xlfn.NUMBERVALUE("-0.002038")</f>
        <v/>
      </c>
      <c r="E381">
        <f>_xlfn.NUMBERVALUE("-0.001797")</f>
        <v/>
      </c>
      <c r="F381">
        <f>_xlfn.NUMBERVALUE("-0.000960")</f>
        <v/>
      </c>
      <c r="G381">
        <f>_xlfn.NUMBERVALUE("-0.000408")</f>
        <v/>
      </c>
      <c r="H381">
        <f>_xlfn.NUMBERVALUE("-0.000958")</f>
        <v/>
      </c>
      <c r="I381">
        <f>_xlfn.NUMBERVALUE("-0.000647")</f>
        <v/>
      </c>
      <c r="J381">
        <f>_xlfn.NUMBERVALUE("-0.001579")</f>
        <v/>
      </c>
      <c r="K381">
        <f>_xlfn.NUMBERVALUE("-0.005259")</f>
        <v/>
      </c>
      <c r="L381">
        <f>_xlfn.NUMBERVALUE("-0.001341")</f>
        <v/>
      </c>
      <c r="M381">
        <f>_xlfn.NUMBERVALUE("-0.000498")</f>
        <v/>
      </c>
      <c r="N381">
        <f>_xlfn.NUMBERVALUE("0.000000")</f>
        <v/>
      </c>
      <c r="O381">
        <f>_xlfn.NUMBERVALUE("-0.006582")</f>
        <v/>
      </c>
      <c r="P381">
        <f>_xlfn.NUMBERVALUE("-0.000772")</f>
        <v/>
      </c>
      <c r="Q381">
        <f>_xlfn.NUMBERVALUE("-0.000234")</f>
        <v/>
      </c>
      <c r="R381">
        <f>_xlfn.NUMBERVALUE("-0.000248")</f>
        <v/>
      </c>
      <c r="S381">
        <f>_xlfn.NUMBERVALUE("-0.000069")</f>
        <v/>
      </c>
      <c r="T381">
        <f>_xlfn.NUMBERVALUE("-0.000409")</f>
        <v/>
      </c>
      <c r="U381">
        <f>_xlfn.NUMBERVALUE("-0.000803")</f>
        <v/>
      </c>
      <c r="V381">
        <f>_xlfn.NUMBERVALUE("0.000659")</f>
        <v/>
      </c>
      <c r="W381">
        <f>_xlfn.NUMBERVALUE("-0.007852")</f>
        <v/>
      </c>
      <c r="X381">
        <f>_xlfn.NUMBERVALUE("0.810000")</f>
        <v/>
      </c>
      <c r="Y381">
        <f>_xlfn.NUMBERVALUE("15.580000")</f>
        <v/>
      </c>
    </row>
    <row r="382">
      <c r="A382" s="1" t="n">
        <v>42557</v>
      </c>
      <c r="B382">
        <f>_xlfn.NUMBERVALUE("0.000000")</f>
        <v/>
      </c>
      <c r="C382" s="2">
        <f>_xlfn.NUMBERVALUE("0.000207")</f>
        <v/>
      </c>
      <c r="D382">
        <f>_xlfn.NUMBERVALUE("0.000974")</f>
        <v/>
      </c>
      <c r="E382">
        <f>_xlfn.NUMBERVALUE("0.000101")</f>
        <v/>
      </c>
      <c r="F382">
        <f>_xlfn.NUMBERVALUE("-0.001404")</f>
        <v/>
      </c>
      <c r="G382">
        <f>_xlfn.NUMBERVALUE("0.001114")</f>
        <v/>
      </c>
      <c r="H382">
        <f>_xlfn.NUMBERVALUE("0.000800")</f>
        <v/>
      </c>
      <c r="I382">
        <f>_xlfn.NUMBERVALUE("0.001191")</f>
        <v/>
      </c>
      <c r="J382">
        <f>_xlfn.NUMBERVALUE("0.000270")</f>
        <v/>
      </c>
      <c r="K382">
        <f>_xlfn.NUMBERVALUE("0.004367")</f>
        <v/>
      </c>
      <c r="L382">
        <f>_xlfn.NUMBERVALUE("0.001029")</f>
        <v/>
      </c>
      <c r="M382">
        <f>_xlfn.NUMBERVALUE("-0.000279")</f>
        <v/>
      </c>
      <c r="N382">
        <f>_xlfn.NUMBERVALUE("0.000000")</f>
        <v/>
      </c>
      <c r="O382">
        <f>_xlfn.NUMBERVALUE("0.000697")</f>
        <v/>
      </c>
      <c r="P382">
        <f>_xlfn.NUMBERVALUE("-0.000011")</f>
        <v/>
      </c>
      <c r="Q382">
        <f>_xlfn.NUMBERVALUE("0.000997")</f>
        <v/>
      </c>
      <c r="R382">
        <f>_xlfn.NUMBERVALUE("0.000318")</f>
        <v/>
      </c>
      <c r="S382">
        <f>_xlfn.NUMBERVALUE("0.000404")</f>
        <v/>
      </c>
      <c r="T382">
        <f>_xlfn.NUMBERVALUE("0.000243")</f>
        <v/>
      </c>
      <c r="U382">
        <f>_xlfn.NUMBERVALUE("0.001488")</f>
        <v/>
      </c>
      <c r="V382">
        <f>_xlfn.NUMBERVALUE("0.000103")</f>
        <v/>
      </c>
      <c r="W382">
        <f>_xlfn.NUMBERVALUE("0.006044")</f>
        <v/>
      </c>
      <c r="X382">
        <f>_xlfn.NUMBERVALUE("-0.620000")</f>
        <v/>
      </c>
      <c r="Y382">
        <f>_xlfn.NUMBERVALUE("14.960000")</f>
        <v/>
      </c>
    </row>
    <row r="383">
      <c r="A383" s="1" t="n">
        <v>42558</v>
      </c>
      <c r="B383">
        <f>_xlfn.NUMBERVALUE("0.000000")</f>
        <v/>
      </c>
      <c r="C383" s="2">
        <f>_xlfn.NUMBERVALUE("0.001051")</f>
        <v/>
      </c>
      <c r="D383">
        <f>_xlfn.NUMBERVALUE("0.002107")</f>
        <v/>
      </c>
      <c r="E383">
        <f>_xlfn.NUMBERVALUE("0.001501")</f>
        <v/>
      </c>
      <c r="F383">
        <f>_xlfn.NUMBERVALUE("0.001739")</f>
        <v/>
      </c>
      <c r="G383">
        <f>_xlfn.NUMBERVALUE("0.001808")</f>
        <v/>
      </c>
      <c r="H383">
        <f>_xlfn.NUMBERVALUE("0.000625")</f>
        <v/>
      </c>
      <c r="I383">
        <f>_xlfn.NUMBERVALUE("0.001280")</f>
        <v/>
      </c>
      <c r="J383">
        <f>_xlfn.NUMBERVALUE("-0.000494")</f>
        <v/>
      </c>
      <c r="K383">
        <f>_xlfn.NUMBERVALUE("0.004580")</f>
        <v/>
      </c>
      <c r="L383">
        <f>_xlfn.NUMBERVALUE("0.001095")</f>
        <v/>
      </c>
      <c r="M383">
        <f>_xlfn.NUMBERVALUE("0.000315")</f>
        <v/>
      </c>
      <c r="N383">
        <f>_xlfn.NUMBERVALUE("0.000000")</f>
        <v/>
      </c>
      <c r="O383">
        <f>_xlfn.NUMBERVALUE("-0.000216")</f>
        <v/>
      </c>
      <c r="P383">
        <f>_xlfn.NUMBERVALUE("0.000118")</f>
        <v/>
      </c>
      <c r="Q383">
        <f>_xlfn.NUMBERVALUE("0.002030")</f>
        <v/>
      </c>
      <c r="R383">
        <f>_xlfn.NUMBERVALUE("0.000439")</f>
        <v/>
      </c>
      <c r="S383">
        <f>_xlfn.NUMBERVALUE("-0.000314")</f>
        <v/>
      </c>
      <c r="T383">
        <f>_xlfn.NUMBERVALUE("-0.000223")</f>
        <v/>
      </c>
      <c r="U383">
        <f>_xlfn.NUMBERVALUE("0.001664")</f>
        <v/>
      </c>
      <c r="V383">
        <f>_xlfn.NUMBERVALUE("0.001108")</f>
        <v/>
      </c>
      <c r="W383">
        <f>_xlfn.NUMBERVALUE("-0.001383")</f>
        <v/>
      </c>
      <c r="X383">
        <f>_xlfn.NUMBERVALUE("-0.200000")</f>
        <v/>
      </c>
      <c r="Y383">
        <f>_xlfn.NUMBERVALUE("14.760000")</f>
        <v/>
      </c>
    </row>
    <row r="384">
      <c r="A384" s="1" t="n">
        <v>42559</v>
      </c>
      <c r="B384">
        <f>_xlfn.NUMBERVALUE("0.000000")</f>
        <v/>
      </c>
      <c r="C384" s="2">
        <f>_xlfn.NUMBERVALUE("-0.001314")</f>
        <v/>
      </c>
      <c r="D384">
        <f>_xlfn.NUMBERVALUE("0.000345")</f>
        <v/>
      </c>
      <c r="E384">
        <f>_xlfn.NUMBERVALUE("0.001611")</f>
        <v/>
      </c>
      <c r="F384">
        <f>_xlfn.NUMBERVALUE("0.004302")</f>
        <v/>
      </c>
      <c r="G384">
        <f>_xlfn.NUMBERVALUE("-0.002596")</f>
        <v/>
      </c>
      <c r="H384">
        <f>_xlfn.NUMBERVALUE("0.000675")</f>
        <v/>
      </c>
      <c r="I384">
        <f>_xlfn.NUMBERVALUE("-0.003982")</f>
        <v/>
      </c>
      <c r="J384">
        <f>_xlfn.NUMBERVALUE("0.001121")</f>
        <v/>
      </c>
      <c r="K384">
        <f>_xlfn.NUMBERVALUE("0.002943")</f>
        <v/>
      </c>
      <c r="L384">
        <f>_xlfn.NUMBERVALUE("0.003306")</f>
        <v/>
      </c>
      <c r="M384">
        <f>_xlfn.NUMBERVALUE("-0.003311")</f>
        <v/>
      </c>
      <c r="N384">
        <f>_xlfn.NUMBERVALUE("0.000000")</f>
        <v/>
      </c>
      <c r="O384">
        <f>_xlfn.NUMBERVALUE("0.003836")</f>
        <v/>
      </c>
      <c r="P384">
        <f>_xlfn.NUMBERVALUE("-0.001670")</f>
        <v/>
      </c>
      <c r="Q384">
        <f>_xlfn.NUMBERVALUE("-0.001709")</f>
        <v/>
      </c>
      <c r="R384">
        <f>_xlfn.NUMBERVALUE("-0.001128")</f>
        <v/>
      </c>
      <c r="S384">
        <f>_xlfn.NUMBERVALUE("0.000569")</f>
        <v/>
      </c>
      <c r="T384">
        <f>_xlfn.NUMBERVALUE("0.002765")</f>
        <v/>
      </c>
      <c r="U384">
        <f>_xlfn.NUMBERVALUE("-0.002832")</f>
        <v/>
      </c>
      <c r="V384">
        <f>_xlfn.NUMBERVALUE("-0.002025")</f>
        <v/>
      </c>
      <c r="W384">
        <f>_xlfn.NUMBERVALUE("0.015923")</f>
        <v/>
      </c>
      <c r="X384">
        <f>_xlfn.NUMBERVALUE("-1.560000")</f>
        <v/>
      </c>
      <c r="Y384">
        <f>_xlfn.NUMBERVALUE("13.200000")</f>
        <v/>
      </c>
    </row>
    <row r="385">
      <c r="A385" s="1" t="n">
        <v>42562</v>
      </c>
      <c r="B385">
        <f>_xlfn.NUMBERVALUE("0.000000")</f>
        <v/>
      </c>
      <c r="C385" s="2">
        <f>_xlfn.NUMBERVALUE("-0.000290")</f>
        <v/>
      </c>
      <c r="D385">
        <f>_xlfn.NUMBERVALUE("-0.000245")</f>
        <v/>
      </c>
      <c r="E385">
        <f>_xlfn.NUMBERVALUE("-0.002126")</f>
        <v/>
      </c>
      <c r="F385">
        <f>_xlfn.NUMBERVALUE("0.000537")</f>
        <v/>
      </c>
      <c r="G385">
        <f>_xlfn.NUMBERVALUE("-0.000396")</f>
        <v/>
      </c>
      <c r="H385">
        <f>_xlfn.NUMBERVALUE("0.001096")</f>
        <v/>
      </c>
      <c r="I385">
        <f>_xlfn.NUMBERVALUE("-0.000616")</f>
        <v/>
      </c>
      <c r="J385">
        <f>_xlfn.NUMBERVALUE("0.000731")</f>
        <v/>
      </c>
      <c r="K385">
        <f>_xlfn.NUMBERVALUE("0.000531")</f>
        <v/>
      </c>
      <c r="L385">
        <f>_xlfn.NUMBERVALUE("0.001083")</f>
        <v/>
      </c>
      <c r="M385">
        <f>_xlfn.NUMBERVALUE("0.001117")</f>
        <v/>
      </c>
      <c r="N385">
        <f>_xlfn.NUMBERVALUE("0.000000")</f>
        <v/>
      </c>
      <c r="O385">
        <f>_xlfn.NUMBERVALUE("0.002009")</f>
        <v/>
      </c>
      <c r="P385">
        <f>_xlfn.NUMBERVALUE("0.000775")</f>
        <v/>
      </c>
      <c r="Q385">
        <f>_xlfn.NUMBERVALUE("-0.001119")</f>
        <v/>
      </c>
      <c r="R385">
        <f>_xlfn.NUMBERVALUE("-0.000734")</f>
        <v/>
      </c>
      <c r="S385">
        <f>_xlfn.NUMBERVALUE("0.000627")</f>
        <v/>
      </c>
      <c r="T385">
        <f>_xlfn.NUMBERVALUE("0.000374")</f>
        <v/>
      </c>
      <c r="U385">
        <f>_xlfn.NUMBERVALUE("0.000840")</f>
        <v/>
      </c>
      <c r="V385">
        <f>_xlfn.NUMBERVALUE("-0.000223")</f>
        <v/>
      </c>
      <c r="W385">
        <f>_xlfn.NUMBERVALUE("0.003689")</f>
        <v/>
      </c>
      <c r="X385">
        <f>_xlfn.NUMBERVALUE("0.340000")</f>
        <v/>
      </c>
      <c r="Y385">
        <f>_xlfn.NUMBERVALUE("13.540000")</f>
        <v/>
      </c>
    </row>
    <row r="386">
      <c r="A386" s="1" t="n">
        <v>42563</v>
      </c>
      <c r="B386">
        <f>_xlfn.NUMBERVALUE("0.000000")</f>
        <v/>
      </c>
      <c r="C386" s="2">
        <f>_xlfn.NUMBERVALUE("-0.000505")</f>
        <v/>
      </c>
      <c r="D386">
        <f>_xlfn.NUMBERVALUE("-0.002101")</f>
        <v/>
      </c>
      <c r="E386">
        <f>_xlfn.NUMBERVALUE("-0.001556")</f>
        <v/>
      </c>
      <c r="F386">
        <f>_xlfn.NUMBERVALUE("-0.000662")</f>
        <v/>
      </c>
      <c r="G386">
        <f>_xlfn.NUMBERVALUE("-0.000468")</f>
        <v/>
      </c>
      <c r="H386">
        <f>_xlfn.NUMBERVALUE("-0.000852")</f>
        <v/>
      </c>
      <c r="I386">
        <f>_xlfn.NUMBERVALUE("-0.002274")</f>
        <v/>
      </c>
      <c r="J386">
        <f>_xlfn.NUMBERVALUE("0.000079")</f>
        <v/>
      </c>
      <c r="K386">
        <f>_xlfn.NUMBERVALUE("0.003133")</f>
        <v/>
      </c>
      <c r="L386">
        <f>_xlfn.NUMBERVALUE("-0.002977")</f>
        <v/>
      </c>
      <c r="M386">
        <f>_xlfn.NUMBERVALUE("-0.002555")</f>
        <v/>
      </c>
      <c r="N386">
        <f>_xlfn.NUMBERVALUE("0.000000")</f>
        <v/>
      </c>
      <c r="O386">
        <f>_xlfn.NUMBERVALUE("-0.003070")</f>
        <v/>
      </c>
      <c r="P386">
        <f>_xlfn.NUMBERVALUE("0.001659")</f>
        <v/>
      </c>
      <c r="Q386">
        <f>_xlfn.NUMBERVALUE("-0.001392")</f>
        <v/>
      </c>
      <c r="R386">
        <f>_xlfn.NUMBERVALUE("-0.000938")</f>
        <v/>
      </c>
      <c r="S386">
        <f>_xlfn.NUMBERVALUE("0.001175")</f>
        <v/>
      </c>
      <c r="T386">
        <f>_xlfn.NUMBERVALUE("-0.000670")</f>
        <v/>
      </c>
      <c r="U386">
        <f>_xlfn.NUMBERVALUE("-0.000347")</f>
        <v/>
      </c>
      <c r="V386">
        <f>_xlfn.NUMBERVALUE("-0.000771")</f>
        <v/>
      </c>
      <c r="W386">
        <f>_xlfn.NUMBERVALUE("0.006649")</f>
        <v/>
      </c>
      <c r="X386">
        <f>_xlfn.NUMBERVALUE("0.010000")</f>
        <v/>
      </c>
      <c r="Y386">
        <f>_xlfn.NUMBERVALUE("13.550000")</f>
        <v/>
      </c>
    </row>
    <row r="387">
      <c r="A387" s="1" t="n">
        <v>42564</v>
      </c>
      <c r="B387">
        <f>_xlfn.NUMBERVALUE("0.000000")</f>
        <v/>
      </c>
      <c r="C387" s="2">
        <f>_xlfn.NUMBERVALUE("0.000635")</f>
        <v/>
      </c>
      <c r="D387">
        <f>_xlfn.NUMBERVALUE("0.002355")</f>
        <v/>
      </c>
      <c r="E387">
        <f>_xlfn.NUMBERVALUE("0.002003")</f>
        <v/>
      </c>
      <c r="F387">
        <f>_xlfn.NUMBERVALUE("0.001330")</f>
        <v/>
      </c>
      <c r="G387">
        <f>_xlfn.NUMBERVALUE("0.001367")</f>
        <v/>
      </c>
      <c r="H387">
        <f>_xlfn.NUMBERVALUE("-0.000138")</f>
        <v/>
      </c>
      <c r="I387">
        <f>_xlfn.NUMBERVALUE("0.001002")</f>
        <v/>
      </c>
      <c r="J387">
        <f>_xlfn.NUMBERVALUE("-0.000427")</f>
        <v/>
      </c>
      <c r="K387">
        <f>_xlfn.NUMBERVALUE("0.001647")</f>
        <v/>
      </c>
      <c r="L387">
        <f>_xlfn.NUMBERVALUE("-0.001299")</f>
        <v/>
      </c>
      <c r="M387">
        <f>_xlfn.NUMBERVALUE("0.000033")</f>
        <v/>
      </c>
      <c r="N387">
        <f>_xlfn.NUMBERVALUE("0.000000")</f>
        <v/>
      </c>
      <c r="O387">
        <f>_xlfn.NUMBERVALUE("-0.000351")</f>
        <v/>
      </c>
      <c r="P387">
        <f>_xlfn.NUMBERVALUE("-0.001402")</f>
        <v/>
      </c>
      <c r="Q387">
        <f>_xlfn.NUMBERVALUE("-0.000144")</f>
        <v/>
      </c>
      <c r="R387">
        <f>_xlfn.NUMBERVALUE("0.000900")</f>
        <v/>
      </c>
      <c r="S387">
        <f>_xlfn.NUMBERVALUE("0.001061")</f>
        <v/>
      </c>
      <c r="T387">
        <f>_xlfn.NUMBERVALUE("0.001020")</f>
        <v/>
      </c>
      <c r="U387">
        <f>_xlfn.NUMBERVALUE("0.000128")</f>
        <v/>
      </c>
      <c r="V387">
        <f>_xlfn.NUMBERVALUE("0.000922")</f>
        <v/>
      </c>
      <c r="W387">
        <f>_xlfn.NUMBERVALUE("0.000186")</f>
        <v/>
      </c>
      <c r="X387">
        <f>_xlfn.NUMBERVALUE("-0.510000")</f>
        <v/>
      </c>
      <c r="Y387">
        <f>_xlfn.NUMBERVALUE("13.040000")</f>
        <v/>
      </c>
    </row>
    <row r="388">
      <c r="A388" s="1" t="n">
        <v>42565</v>
      </c>
      <c r="B388">
        <f>_xlfn.NUMBERVALUE("0.000000")</f>
        <v/>
      </c>
      <c r="C388" s="2">
        <f>_xlfn.NUMBERVALUE("-0.000924")</f>
        <v/>
      </c>
      <c r="D388">
        <f>_xlfn.NUMBERVALUE("-0.002956")</f>
        <v/>
      </c>
      <c r="E388">
        <f>_xlfn.NUMBERVALUE("0.000310")</f>
        <v/>
      </c>
      <c r="F388">
        <f>_xlfn.NUMBERVALUE("0.000307")</f>
        <v/>
      </c>
      <c r="G388">
        <f>_xlfn.NUMBERVALUE("0.000053")</f>
        <v/>
      </c>
      <c r="H388">
        <f>_xlfn.NUMBERVALUE("-0.003354")</f>
        <v/>
      </c>
      <c r="I388">
        <f>_xlfn.NUMBERVALUE("0.000938")</f>
        <v/>
      </c>
      <c r="J388">
        <f>_xlfn.NUMBERVALUE("0.000418")</f>
        <v/>
      </c>
      <c r="K388">
        <f>_xlfn.NUMBERVALUE("0.001045")</f>
        <v/>
      </c>
      <c r="L388">
        <f>_xlfn.NUMBERVALUE("-0.002112")</f>
        <v/>
      </c>
      <c r="M388">
        <f>_xlfn.NUMBERVALUE("0.001446")</f>
        <v/>
      </c>
      <c r="N388">
        <f>_xlfn.NUMBERVALUE("0.000000")</f>
        <v/>
      </c>
      <c r="O388">
        <f>_xlfn.NUMBERVALUE("0.001514")</f>
        <v/>
      </c>
      <c r="P388">
        <f>_xlfn.NUMBERVALUE("-0.001456")</f>
        <v/>
      </c>
      <c r="Q388">
        <f>_xlfn.NUMBERVALUE("-0.000297")</f>
        <v/>
      </c>
      <c r="R388">
        <f>_xlfn.NUMBERVALUE("0.002734")</f>
        <v/>
      </c>
      <c r="S388">
        <f>_xlfn.NUMBERVALUE("0.000111")</f>
        <v/>
      </c>
      <c r="T388">
        <f>_xlfn.NUMBERVALUE("0.000177")</f>
        <v/>
      </c>
      <c r="U388">
        <f>_xlfn.NUMBERVALUE("0.000429")</f>
        <v/>
      </c>
      <c r="V388">
        <f>_xlfn.NUMBERVALUE("-0.000090")</f>
        <v/>
      </c>
      <c r="W388">
        <f>_xlfn.NUMBERVALUE("0.005581")</f>
        <v/>
      </c>
      <c r="X388">
        <f>_xlfn.NUMBERVALUE("-0.220000")</f>
        <v/>
      </c>
      <c r="Y388">
        <f>_xlfn.NUMBERVALUE("12.820000")</f>
        <v/>
      </c>
    </row>
    <row r="389">
      <c r="A389" s="1" t="n">
        <v>42566</v>
      </c>
      <c r="B389">
        <f>_xlfn.NUMBERVALUE("0.000000")</f>
        <v/>
      </c>
      <c r="C389" s="2">
        <f>_xlfn.NUMBERVALUE("0.000159")</f>
        <v/>
      </c>
      <c r="D389">
        <f>_xlfn.NUMBERVALUE("0.001194")</f>
        <v/>
      </c>
      <c r="E389">
        <f>_xlfn.NUMBERVALUE("0.000689")</f>
        <v/>
      </c>
      <c r="F389">
        <f>_xlfn.NUMBERVALUE("0.001222")</f>
        <v/>
      </c>
      <c r="G389">
        <f>_xlfn.NUMBERVALUE("0.000238")</f>
        <v/>
      </c>
      <c r="H389">
        <f>_xlfn.NUMBERVALUE("0.003931")</f>
        <v/>
      </c>
      <c r="I389">
        <f>_xlfn.NUMBERVALUE("0.001451")</f>
        <v/>
      </c>
      <c r="J389">
        <f>_xlfn.NUMBERVALUE("0.000966")</f>
        <v/>
      </c>
      <c r="K389">
        <f>_xlfn.NUMBERVALUE("0.004030")</f>
        <v/>
      </c>
      <c r="L389">
        <f>_xlfn.NUMBERVALUE("-0.000083")</f>
        <v/>
      </c>
      <c r="M389">
        <f>_xlfn.NUMBERVALUE("-0.002731")</f>
        <v/>
      </c>
      <c r="N389">
        <f>_xlfn.NUMBERVALUE("0.000000")</f>
        <v/>
      </c>
      <c r="O389">
        <f>_xlfn.NUMBERVALUE("0.001361")</f>
        <v/>
      </c>
      <c r="P389">
        <f>_xlfn.NUMBERVALUE("0.004362")</f>
        <v/>
      </c>
      <c r="Q389">
        <f>_xlfn.NUMBERVALUE("0.002838")</f>
        <v/>
      </c>
      <c r="R389">
        <f>_xlfn.NUMBERVALUE("-0.002856")</f>
        <v/>
      </c>
      <c r="S389">
        <f>_xlfn.NUMBERVALUE("0.001139")</f>
        <v/>
      </c>
      <c r="T389">
        <f>_xlfn.NUMBERVALUE("0.001808")</f>
        <v/>
      </c>
      <c r="U389">
        <f>_xlfn.NUMBERVALUE("0.001187")</f>
        <v/>
      </c>
      <c r="V389">
        <f>_xlfn.NUMBERVALUE("0.001079")</f>
        <v/>
      </c>
      <c r="W389">
        <f>_xlfn.NUMBERVALUE("-0.001711")</f>
        <v/>
      </c>
      <c r="X389">
        <f>_xlfn.NUMBERVALUE("-0.150000")</f>
        <v/>
      </c>
      <c r="Y389">
        <f>_xlfn.NUMBERVALUE("12.670000")</f>
        <v/>
      </c>
    </row>
    <row r="390">
      <c r="A390" s="1" t="n">
        <v>42569</v>
      </c>
      <c r="B390">
        <f>_xlfn.NUMBERVALUE("0.000000")</f>
        <v/>
      </c>
      <c r="C390" s="2">
        <f>_xlfn.NUMBERVALUE("0.000109")</f>
        <v/>
      </c>
      <c r="D390">
        <f>_xlfn.NUMBERVALUE("0.000412")</f>
        <v/>
      </c>
      <c r="E390">
        <f>_xlfn.NUMBERVALUE("0.000948")</f>
        <v/>
      </c>
      <c r="F390">
        <f>_xlfn.NUMBERVALUE("0.001661")</f>
        <v/>
      </c>
      <c r="G390">
        <f>_xlfn.NUMBERVALUE("0.001392")</f>
        <v/>
      </c>
      <c r="H390">
        <f>_xlfn.NUMBERVALUE("0.000886")</f>
        <v/>
      </c>
      <c r="I390">
        <f>_xlfn.NUMBERVALUE("0.000229")</f>
        <v/>
      </c>
      <c r="J390">
        <f>_xlfn.NUMBERVALUE("0.001077")</f>
        <v/>
      </c>
      <c r="K390">
        <f>_xlfn.NUMBERVALUE("0.004486")</f>
        <v/>
      </c>
      <c r="L390">
        <f>_xlfn.NUMBERVALUE("0.002241")</f>
        <v/>
      </c>
      <c r="M390">
        <f>_xlfn.NUMBERVALUE("0.003267")</f>
        <v/>
      </c>
      <c r="N390">
        <f>_xlfn.NUMBERVALUE("0.000000")</f>
        <v/>
      </c>
      <c r="O390">
        <f>_xlfn.NUMBERVALUE("0.002022")</f>
        <v/>
      </c>
      <c r="P390">
        <f>_xlfn.NUMBERVALUE("-0.004353")</f>
        <v/>
      </c>
      <c r="Q390">
        <f>_xlfn.NUMBERVALUE("-0.000573")</f>
        <v/>
      </c>
      <c r="R390">
        <f>_xlfn.NUMBERVALUE("-0.000351")</f>
        <v/>
      </c>
      <c r="S390">
        <f>_xlfn.NUMBERVALUE("0.001144")</f>
        <v/>
      </c>
      <c r="T390">
        <f>_xlfn.NUMBERVALUE("0.001402")</f>
        <v/>
      </c>
      <c r="U390">
        <f>_xlfn.NUMBERVALUE("0.000743")</f>
        <v/>
      </c>
      <c r="V390">
        <f>_xlfn.NUMBERVALUE("0.000149")</f>
        <v/>
      </c>
      <c r="W390">
        <f>_xlfn.NUMBERVALUE("0.002919")</f>
        <v/>
      </c>
      <c r="X390">
        <f>_xlfn.NUMBERVALUE("-0.230000")</f>
        <v/>
      </c>
      <c r="Y390">
        <f>_xlfn.NUMBERVALUE("12.440000")</f>
        <v/>
      </c>
    </row>
    <row r="391">
      <c r="A391" s="1" t="n">
        <v>42570</v>
      </c>
      <c r="B391">
        <f>_xlfn.NUMBERVALUE("0.000000")</f>
        <v/>
      </c>
      <c r="C391" s="2">
        <f>_xlfn.NUMBERVALUE("0.000072")</f>
        <v/>
      </c>
      <c r="D391">
        <f>_xlfn.NUMBERVALUE("0.000839")</f>
        <v/>
      </c>
      <c r="E391">
        <f>_xlfn.NUMBERVALUE("0.000307")</f>
        <v/>
      </c>
      <c r="F391">
        <f>_xlfn.NUMBERVALUE("0.001201")</f>
        <v/>
      </c>
      <c r="G391">
        <f>_xlfn.NUMBERVALUE("-0.000027")</f>
        <v/>
      </c>
      <c r="H391">
        <f>_xlfn.NUMBERVALUE("-0.000002")</f>
        <v/>
      </c>
      <c r="I391">
        <f>_xlfn.NUMBERVALUE("0.000377")</f>
        <v/>
      </c>
      <c r="J391">
        <f>_xlfn.NUMBERVALUE("0.000114")</f>
        <v/>
      </c>
      <c r="K391">
        <f>_xlfn.NUMBERVALUE("0.003244")</f>
        <v/>
      </c>
      <c r="L391">
        <f>_xlfn.NUMBERVALUE("0.000083")</f>
        <v/>
      </c>
      <c r="M391">
        <f>_xlfn.NUMBERVALUE("-0.001463")</f>
        <v/>
      </c>
      <c r="N391">
        <f>_xlfn.NUMBERVALUE("0.000000")</f>
        <v/>
      </c>
      <c r="O391">
        <f>_xlfn.NUMBERVALUE("0.000344")</f>
        <v/>
      </c>
      <c r="P391">
        <f>_xlfn.NUMBERVALUE("0.003526")</f>
        <v/>
      </c>
      <c r="Q391">
        <f>_xlfn.NUMBERVALUE("0.001163")</f>
        <v/>
      </c>
      <c r="R391">
        <f>_xlfn.NUMBERVALUE("0.000442")</f>
        <v/>
      </c>
      <c r="S391">
        <f>_xlfn.NUMBERVALUE("0.000802")</f>
        <v/>
      </c>
      <c r="T391">
        <f>_xlfn.NUMBERVALUE("0.001482")</f>
        <v/>
      </c>
      <c r="U391">
        <f>_xlfn.NUMBERVALUE("0.000042")</f>
        <v/>
      </c>
      <c r="V391">
        <f>_xlfn.NUMBERVALUE("0.000280")</f>
        <v/>
      </c>
      <c r="W391">
        <f>_xlfn.NUMBERVALUE("-0.002333")</f>
        <v/>
      </c>
      <c r="X391">
        <f>_xlfn.NUMBERVALUE("-0.470000")</f>
        <v/>
      </c>
      <c r="Y391">
        <f>_xlfn.NUMBERVALUE("11.970000")</f>
        <v/>
      </c>
    </row>
    <row r="392">
      <c r="A392" s="1" t="n">
        <v>42571</v>
      </c>
      <c r="B392">
        <f>_xlfn.NUMBERVALUE("0.000000")</f>
        <v/>
      </c>
      <c r="C392" s="2">
        <f>_xlfn.NUMBERVALUE("0.000668")</f>
        <v/>
      </c>
      <c r="D392">
        <f>_xlfn.NUMBERVALUE("0.000448")</f>
        <v/>
      </c>
      <c r="E392">
        <f>_xlfn.NUMBERVALUE("-0.000489")</f>
        <v/>
      </c>
      <c r="F392">
        <f>_xlfn.NUMBERVALUE("-0.002853")</f>
        <v/>
      </c>
      <c r="G392">
        <f>_xlfn.NUMBERVALUE("0.000768")</f>
        <v/>
      </c>
      <c r="H392">
        <f>_xlfn.NUMBERVALUE("0.000080")</f>
        <v/>
      </c>
      <c r="I392">
        <f>_xlfn.NUMBERVALUE("0.000141")</f>
        <v/>
      </c>
      <c r="J392">
        <f>_xlfn.NUMBERVALUE("0.000674")</f>
        <v/>
      </c>
      <c r="K392">
        <f>_xlfn.NUMBERVALUE("-0.007666")</f>
        <v/>
      </c>
      <c r="L392">
        <f>_xlfn.NUMBERVALUE("0.000703")</f>
        <v/>
      </c>
      <c r="M392">
        <f>_xlfn.NUMBERVALUE("0.001517")</f>
        <v/>
      </c>
      <c r="N392">
        <f>_xlfn.NUMBERVALUE("0.000000")</f>
        <v/>
      </c>
      <c r="O392">
        <f>_xlfn.NUMBERVALUE("0.000810")</f>
        <v/>
      </c>
      <c r="P392">
        <f>_xlfn.NUMBERVALUE("-0.003984")</f>
        <v/>
      </c>
      <c r="Q392">
        <f>_xlfn.NUMBERVALUE("0.000199")</f>
        <v/>
      </c>
      <c r="R392">
        <f>_xlfn.NUMBERVALUE("-0.000626")</f>
        <v/>
      </c>
      <c r="S392">
        <f>_xlfn.NUMBERVALUE("0.001036")</f>
        <v/>
      </c>
      <c r="T392">
        <f>_xlfn.NUMBERVALUE("0.000662")</f>
        <v/>
      </c>
      <c r="U392">
        <f>_xlfn.NUMBERVALUE("0.000083")</f>
        <v/>
      </c>
      <c r="V392">
        <f>_xlfn.NUMBERVALUE("0.000073")</f>
        <v/>
      </c>
      <c r="W392">
        <f>_xlfn.NUMBERVALUE("0.005672")</f>
        <v/>
      </c>
      <c r="X392">
        <f>_xlfn.NUMBERVALUE("-0.200000")</f>
        <v/>
      </c>
      <c r="Y392">
        <f>_xlfn.NUMBERVALUE("11.770000")</f>
        <v/>
      </c>
    </row>
    <row r="393">
      <c r="A393" s="1" t="n">
        <v>42572</v>
      </c>
      <c r="B393">
        <f>_xlfn.NUMBERVALUE("0.000000")</f>
        <v/>
      </c>
      <c r="C393" s="2">
        <f>_xlfn.NUMBERVALUE("-0.000635")</f>
        <v/>
      </c>
      <c r="D393">
        <f>_xlfn.NUMBERVALUE("0.001170")</f>
        <v/>
      </c>
      <c r="E393">
        <f>_xlfn.NUMBERVALUE("0.000421")</f>
        <v/>
      </c>
      <c r="F393">
        <f>_xlfn.NUMBERVALUE("-0.001325")</f>
        <v/>
      </c>
      <c r="G393">
        <f>_xlfn.NUMBERVALUE("-0.001040")</f>
        <v/>
      </c>
      <c r="H393">
        <f>_xlfn.NUMBERVALUE("0.000510")</f>
        <v/>
      </c>
      <c r="I393">
        <f>_xlfn.NUMBERVALUE("-0.000110")</f>
        <v/>
      </c>
      <c r="J393">
        <f>_xlfn.NUMBERVALUE("0.000202")</f>
        <v/>
      </c>
      <c r="K393">
        <f>_xlfn.NUMBERVALUE("-0.002393")</f>
        <v/>
      </c>
      <c r="L393">
        <f>_xlfn.NUMBERVALUE("0.000768")</f>
        <v/>
      </c>
      <c r="M393">
        <f>_xlfn.NUMBERVALUE("-0.000637")</f>
        <v/>
      </c>
      <c r="N393">
        <f>_xlfn.NUMBERVALUE("0.000000")</f>
        <v/>
      </c>
      <c r="O393">
        <f>_xlfn.NUMBERVALUE("-0.000182")</f>
        <v/>
      </c>
      <c r="P393">
        <f>_xlfn.NUMBERVALUE("0.005146")</f>
        <v/>
      </c>
      <c r="Q393">
        <f>_xlfn.NUMBERVALUE("-0.001619")</f>
        <v/>
      </c>
      <c r="R393">
        <f>_xlfn.NUMBERVALUE("-0.001954")</f>
        <v/>
      </c>
      <c r="S393">
        <f>_xlfn.NUMBERVALUE("0.000191")</f>
        <v/>
      </c>
      <c r="T393">
        <f>_xlfn.NUMBERVALUE("0.000382")</f>
        <v/>
      </c>
      <c r="U393">
        <f>_xlfn.NUMBERVALUE("0.000447")</f>
        <v/>
      </c>
      <c r="V393">
        <f>_xlfn.NUMBERVALUE("-0.000260")</f>
        <v/>
      </c>
      <c r="W393">
        <f>_xlfn.NUMBERVALUE("-0.004328")</f>
        <v/>
      </c>
      <c r="X393">
        <f>_xlfn.NUMBERVALUE("0.970000")</f>
        <v/>
      </c>
      <c r="Y393">
        <f>_xlfn.NUMBERVALUE("12.740000")</f>
        <v/>
      </c>
    </row>
    <row r="394">
      <c r="A394" s="1" t="n">
        <v>42573</v>
      </c>
      <c r="B394">
        <f>_xlfn.NUMBERVALUE("0.000000")</f>
        <v/>
      </c>
      <c r="C394" s="2">
        <f>_xlfn.NUMBERVALUE("0.000792")</f>
        <v/>
      </c>
      <c r="D394">
        <f>_xlfn.NUMBERVALUE("0.001168")</f>
        <v/>
      </c>
      <c r="E394">
        <f>_xlfn.NUMBERVALUE("0.001500")</f>
        <v/>
      </c>
      <c r="F394">
        <f>_xlfn.NUMBERVALUE("-0.000439")</f>
        <v/>
      </c>
      <c r="G394">
        <f>_xlfn.NUMBERVALUE("0.000750")</f>
        <v/>
      </c>
      <c r="H394">
        <f>_xlfn.NUMBERVALUE("0.000664")</f>
        <v/>
      </c>
      <c r="I394">
        <f>_xlfn.NUMBERVALUE("0.000587")</f>
        <v/>
      </c>
      <c r="J394">
        <f>_xlfn.NUMBERVALUE("0.000339")</f>
        <v/>
      </c>
      <c r="K394">
        <f>_xlfn.NUMBERVALUE("0.001820")</f>
        <v/>
      </c>
      <c r="L394">
        <f>_xlfn.NUMBERVALUE("0.001444")</f>
        <v/>
      </c>
      <c r="M394">
        <f>_xlfn.NUMBERVALUE("0.000969")</f>
        <v/>
      </c>
      <c r="N394">
        <f>_xlfn.NUMBERVALUE("0.000000")</f>
        <v/>
      </c>
      <c r="O394">
        <f>_xlfn.NUMBERVALUE("0.002446")</f>
        <v/>
      </c>
      <c r="P394">
        <f>_xlfn.NUMBERVALUE("0.002375")</f>
        <v/>
      </c>
      <c r="Q394">
        <f>_xlfn.NUMBERVALUE("0.001480")</f>
        <v/>
      </c>
      <c r="R394">
        <f>_xlfn.NUMBERVALUE("0.002110")</f>
        <v/>
      </c>
      <c r="S394">
        <f>_xlfn.NUMBERVALUE("0.000082")</f>
        <v/>
      </c>
      <c r="T394">
        <f>_xlfn.NUMBERVALUE("0.002016")</f>
        <v/>
      </c>
      <c r="U394">
        <f>_xlfn.NUMBERVALUE("0.000799")</f>
        <v/>
      </c>
      <c r="V394">
        <f>_xlfn.NUMBERVALUE("0.000615")</f>
        <v/>
      </c>
      <c r="W394">
        <f>_xlfn.NUMBERVALUE("0.004115")</f>
        <v/>
      </c>
      <c r="X394">
        <f>_xlfn.NUMBERVALUE("-0.720000")</f>
        <v/>
      </c>
      <c r="Y394">
        <f>_xlfn.NUMBERVALUE("12.020000")</f>
        <v/>
      </c>
    </row>
    <row r="395">
      <c r="A395" s="1" t="n">
        <v>42576</v>
      </c>
      <c r="B395">
        <f>_xlfn.NUMBERVALUE("0.000000")</f>
        <v/>
      </c>
      <c r="C395" s="2">
        <f>_xlfn.NUMBERVALUE("0.000133")</f>
        <v/>
      </c>
      <c r="D395">
        <f>_xlfn.NUMBERVALUE("0.000621")</f>
        <v/>
      </c>
      <c r="E395">
        <f>_xlfn.NUMBERVALUE("0.000566")</f>
        <v/>
      </c>
      <c r="F395">
        <f>_xlfn.NUMBERVALUE("-0.000477")</f>
        <v/>
      </c>
      <c r="G395">
        <f>_xlfn.NUMBERVALUE("0.000637")</f>
        <v/>
      </c>
      <c r="H395">
        <f>_xlfn.NUMBERVALUE("0.000709")</f>
        <v/>
      </c>
      <c r="I395">
        <f>_xlfn.NUMBERVALUE("0.000206")</f>
        <v/>
      </c>
      <c r="J395">
        <f>_xlfn.NUMBERVALUE("0.000899")</f>
        <v/>
      </c>
      <c r="K395">
        <f>_xlfn.NUMBERVALUE("-0.001418")</f>
        <v/>
      </c>
      <c r="L395">
        <f>_xlfn.NUMBERVALUE("0.000618")</f>
        <v/>
      </c>
      <c r="M395">
        <f>_xlfn.NUMBERVALUE("0.000233")</f>
        <v/>
      </c>
      <c r="N395">
        <f>_xlfn.NUMBERVALUE("0.000000")</f>
        <v/>
      </c>
      <c r="O395">
        <f>_xlfn.NUMBERVALUE("-0.003762")</f>
        <v/>
      </c>
      <c r="P395">
        <f>_xlfn.NUMBERVALUE("-0.001861")</f>
        <v/>
      </c>
      <c r="Q395">
        <f>_xlfn.NUMBERVALUE("-0.000624")</f>
        <v/>
      </c>
      <c r="R395">
        <f>_xlfn.NUMBERVALUE("0.000267")</f>
        <v/>
      </c>
      <c r="S395">
        <f>_xlfn.NUMBERVALUE("0.001538")</f>
        <v/>
      </c>
      <c r="T395">
        <f>_xlfn.NUMBERVALUE("-0.001489")</f>
        <v/>
      </c>
      <c r="U395">
        <f>_xlfn.NUMBERVALUE("0.000392")</f>
        <v/>
      </c>
      <c r="V395">
        <f>_xlfn.NUMBERVALUE("0.000201")</f>
        <v/>
      </c>
      <c r="W395">
        <f>_xlfn.NUMBERVALUE("-0.003177")</f>
        <v/>
      </c>
      <c r="X395">
        <f>_xlfn.NUMBERVALUE("0.850000")</f>
        <v/>
      </c>
      <c r="Y395">
        <f>_xlfn.NUMBERVALUE("12.870000")</f>
        <v/>
      </c>
    </row>
    <row r="396">
      <c r="A396" s="1" t="n">
        <v>42577</v>
      </c>
      <c r="B396">
        <f>_xlfn.NUMBERVALUE("0.000000")</f>
        <v/>
      </c>
      <c r="C396" s="2">
        <f>_xlfn.NUMBERVALUE("0.000482")</f>
        <v/>
      </c>
      <c r="D396">
        <f>_xlfn.NUMBERVALUE("-0.002039")</f>
        <v/>
      </c>
      <c r="E396">
        <f>_xlfn.NUMBERVALUE("0.000276")</f>
        <v/>
      </c>
      <c r="F396">
        <f>_xlfn.NUMBERVALUE("0.001333")</f>
        <v/>
      </c>
      <c r="G396">
        <f>_xlfn.NUMBERVALUE("0.000210")</f>
        <v/>
      </c>
      <c r="H396">
        <f>_xlfn.NUMBERVALUE("0.000175")</f>
        <v/>
      </c>
      <c r="I396">
        <f>_xlfn.NUMBERVALUE("-0.000096")</f>
        <v/>
      </c>
      <c r="J396">
        <f>_xlfn.NUMBERVALUE("0.000849")</f>
        <v/>
      </c>
      <c r="K396">
        <f>_xlfn.NUMBERVALUE("0.005795")</f>
        <v/>
      </c>
      <c r="L396">
        <f>_xlfn.NUMBERVALUE("0.000269")</f>
        <v/>
      </c>
      <c r="M396">
        <f>_xlfn.NUMBERVALUE("0.000100")</f>
        <v/>
      </c>
      <c r="N396">
        <f>_xlfn.NUMBERVALUE("0.000000")</f>
        <v/>
      </c>
      <c r="O396">
        <f>_xlfn.NUMBERVALUE("0.001444")</f>
        <v/>
      </c>
      <c r="P396">
        <f>_xlfn.NUMBERVALUE("0.001032")</f>
        <v/>
      </c>
      <c r="Q396">
        <f>_xlfn.NUMBERVALUE("0.000855")</f>
        <v/>
      </c>
      <c r="R396">
        <f>_xlfn.NUMBERVALUE("0.000256")</f>
        <v/>
      </c>
      <c r="S396">
        <f>_xlfn.NUMBERVALUE("-0.001234")</f>
        <v/>
      </c>
      <c r="T396">
        <f>_xlfn.NUMBERVALUE("-0.000515")</f>
        <v/>
      </c>
      <c r="U396">
        <f>_xlfn.NUMBERVALUE("0.000533")</f>
        <v/>
      </c>
      <c r="V396">
        <f>_xlfn.NUMBERVALUE("0.000150")</f>
        <v/>
      </c>
      <c r="W396">
        <f>_xlfn.NUMBERVALUE("0.000832")</f>
        <v/>
      </c>
      <c r="X396">
        <f>_xlfn.NUMBERVALUE("0.180000")</f>
        <v/>
      </c>
      <c r="Y396">
        <f>_xlfn.NUMBERVALUE("13.050000")</f>
        <v/>
      </c>
    </row>
    <row r="397">
      <c r="A397" s="1" t="n">
        <v>42578</v>
      </c>
      <c r="B397">
        <f>_xlfn.NUMBERVALUE("0.000000")</f>
        <v/>
      </c>
      <c r="C397" s="2">
        <f>_xlfn.NUMBERVALUE("0.001017")</f>
        <v/>
      </c>
      <c r="D397">
        <f>_xlfn.NUMBERVALUE("0.002380")</f>
        <v/>
      </c>
      <c r="E397">
        <f>_xlfn.NUMBERVALUE("0.001376")</f>
        <v/>
      </c>
      <c r="F397">
        <f>_xlfn.NUMBERVALUE("0.001514")</f>
        <v/>
      </c>
      <c r="G397">
        <f>_xlfn.NUMBERVALUE("0.000448")</f>
        <v/>
      </c>
      <c r="H397">
        <f>_xlfn.NUMBERVALUE("0.000979")</f>
        <v/>
      </c>
      <c r="I397">
        <f>_xlfn.NUMBERVALUE("0.000674")</f>
        <v/>
      </c>
      <c r="J397">
        <f>_xlfn.NUMBERVALUE("-0.000147")</f>
        <v/>
      </c>
      <c r="K397">
        <f>_xlfn.NUMBERVALUE("-0.011410")</f>
        <v/>
      </c>
      <c r="L397">
        <f>_xlfn.NUMBERVALUE("0.000841")</f>
        <v/>
      </c>
      <c r="M397">
        <f>_xlfn.NUMBERVALUE("-0.000229")</f>
        <v/>
      </c>
      <c r="N397">
        <f>_xlfn.NUMBERVALUE("0.000000")</f>
        <v/>
      </c>
      <c r="O397">
        <f>_xlfn.NUMBERVALUE("0.000431")</f>
        <v/>
      </c>
      <c r="P397">
        <f>_xlfn.NUMBERVALUE("0.000914")</f>
        <v/>
      </c>
      <c r="Q397">
        <f>_xlfn.NUMBERVALUE("-0.000207")</f>
        <v/>
      </c>
      <c r="R397">
        <f>_xlfn.NUMBERVALUE("-0.000097")</f>
        <v/>
      </c>
      <c r="S397">
        <f>_xlfn.NUMBERVALUE("-0.003090")</f>
        <v/>
      </c>
      <c r="T397">
        <f>_xlfn.NUMBERVALUE("-0.001976")</f>
        <v/>
      </c>
      <c r="U397">
        <f>_xlfn.NUMBERVALUE("0.001191")</f>
        <v/>
      </c>
      <c r="V397">
        <f>_xlfn.NUMBERVALUE("0.000710")</f>
        <v/>
      </c>
      <c r="W397">
        <f>_xlfn.NUMBERVALUE("-0.000923")</f>
        <v/>
      </c>
      <c r="X397">
        <f>_xlfn.NUMBERVALUE("-0.220000")</f>
        <v/>
      </c>
      <c r="Y397">
        <f>_xlfn.NUMBERVALUE("12.830000")</f>
        <v/>
      </c>
    </row>
    <row r="398">
      <c r="A398" s="1" t="n">
        <v>42579</v>
      </c>
      <c r="B398">
        <f>_xlfn.NUMBERVALUE("0.000000")</f>
        <v/>
      </c>
      <c r="C398" s="2">
        <f>_xlfn.NUMBERVALUE("0.000276")</f>
        <v/>
      </c>
      <c r="D398">
        <f>_xlfn.NUMBERVALUE("0.002780")</f>
        <v/>
      </c>
      <c r="E398">
        <f>_xlfn.NUMBERVALUE("0.001772")</f>
        <v/>
      </c>
      <c r="F398">
        <f>_xlfn.NUMBERVALUE("0.001450")</f>
        <v/>
      </c>
      <c r="G398">
        <f>_xlfn.NUMBERVALUE("-0.000807")</f>
        <v/>
      </c>
      <c r="H398">
        <f>_xlfn.NUMBERVALUE("0.000371")</f>
        <v/>
      </c>
      <c r="I398">
        <f>_xlfn.NUMBERVALUE("0.000261")</f>
        <v/>
      </c>
      <c r="J398">
        <f>_xlfn.NUMBERVALUE("0.000086")</f>
        <v/>
      </c>
      <c r="K398">
        <f>_xlfn.NUMBERVALUE("0.005011")</f>
        <v/>
      </c>
      <c r="L398">
        <f>_xlfn.NUMBERVALUE("-0.000860")</f>
        <v/>
      </c>
      <c r="M398">
        <f>_xlfn.NUMBERVALUE("0.000292")</f>
        <v/>
      </c>
      <c r="N398">
        <f>_xlfn.NUMBERVALUE("0.000000")</f>
        <v/>
      </c>
      <c r="O398">
        <f>_xlfn.NUMBERVALUE("0.001144")</f>
        <v/>
      </c>
      <c r="P398">
        <f>_xlfn.NUMBERVALUE("-0.000124")</f>
        <v/>
      </c>
      <c r="Q398">
        <f>_xlfn.NUMBERVALUE("0.001383")</f>
        <v/>
      </c>
      <c r="R398">
        <f>_xlfn.NUMBERVALUE("0.000057")</f>
        <v/>
      </c>
      <c r="S398">
        <f>_xlfn.NUMBERVALUE("0.001151")</f>
        <v/>
      </c>
      <c r="T398">
        <f>_xlfn.NUMBERVALUE("0.001587")</f>
        <v/>
      </c>
      <c r="U398">
        <f>_xlfn.NUMBERVALUE("0.000239")</f>
        <v/>
      </c>
      <c r="V398">
        <f>_xlfn.NUMBERVALUE("0.000030")</f>
        <v/>
      </c>
      <c r="W398">
        <f>_xlfn.NUMBERVALUE("0.002356")</f>
        <v/>
      </c>
      <c r="X398">
        <f>_xlfn.NUMBERVALUE("-0.110000")</f>
        <v/>
      </c>
      <c r="Y398">
        <f>_xlfn.NUMBERVALUE("12.720000")</f>
        <v/>
      </c>
    </row>
    <row r="399">
      <c r="A399" s="1" t="n">
        <v>42580</v>
      </c>
      <c r="B399">
        <f>_xlfn.NUMBERVALUE("0.000000")</f>
        <v/>
      </c>
      <c r="C399" s="2">
        <f>_xlfn.NUMBERVALUE("0.001054")</f>
        <v/>
      </c>
      <c r="D399">
        <f>_xlfn.NUMBERVALUE("0.000363")</f>
        <v/>
      </c>
      <c r="E399">
        <f>_xlfn.NUMBERVALUE("-0.000716")</f>
        <v/>
      </c>
      <c r="F399">
        <f>_xlfn.NUMBERVALUE("0.001518")</f>
        <v/>
      </c>
      <c r="G399">
        <f>_xlfn.NUMBERVALUE("0.001782")</f>
        <v/>
      </c>
      <c r="H399">
        <f>_xlfn.NUMBERVALUE("-0.000305")</f>
        <v/>
      </c>
      <c r="I399">
        <f>_xlfn.NUMBERVALUE("0.000442")</f>
        <v/>
      </c>
      <c r="J399">
        <f>_xlfn.NUMBERVALUE("-0.000398")</f>
        <v/>
      </c>
      <c r="K399">
        <f>_xlfn.NUMBERVALUE("0.000555")</f>
        <v/>
      </c>
      <c r="L399">
        <f>_xlfn.NUMBERVALUE("0.004159")</f>
        <v/>
      </c>
      <c r="M399">
        <f>_xlfn.NUMBERVALUE("0.000003")</f>
        <v/>
      </c>
      <c r="N399">
        <f>_xlfn.NUMBERVALUE("0.000000")</f>
        <v/>
      </c>
      <c r="O399">
        <f>_xlfn.NUMBERVALUE("0.003312")</f>
        <v/>
      </c>
      <c r="P399">
        <f>_xlfn.NUMBERVALUE("-0.000361")</f>
        <v/>
      </c>
      <c r="Q399">
        <f>_xlfn.NUMBERVALUE("0.000643")</f>
        <v/>
      </c>
      <c r="R399">
        <f>_xlfn.NUMBERVALUE("0.000129")</f>
        <v/>
      </c>
      <c r="S399">
        <f>_xlfn.NUMBERVALUE("0.002268")</f>
        <v/>
      </c>
      <c r="T399">
        <f>_xlfn.NUMBERVALUE("0.001494")</f>
        <v/>
      </c>
      <c r="U399">
        <f>_xlfn.NUMBERVALUE("0.001291")</f>
        <v/>
      </c>
      <c r="V399">
        <f>_xlfn.NUMBERVALUE("0.000774")</f>
        <v/>
      </c>
      <c r="W399">
        <f>_xlfn.NUMBERVALUE("0.001636")</f>
        <v/>
      </c>
      <c r="X399">
        <f>_xlfn.NUMBERVALUE("-0.850000")</f>
        <v/>
      </c>
      <c r="Y399">
        <f>_xlfn.NUMBERVALUE("11.870000")</f>
        <v/>
      </c>
    </row>
    <row r="400">
      <c r="A400" s="1" t="n">
        <v>42583</v>
      </c>
      <c r="B400">
        <f>_xlfn.NUMBERVALUE("0.000000")</f>
        <v/>
      </c>
      <c r="C400" s="2">
        <f>_xlfn.NUMBERVALUE("0.000052")</f>
        <v/>
      </c>
      <c r="D400">
        <f>_xlfn.NUMBERVALUE("0.001014")</f>
        <v/>
      </c>
      <c r="E400">
        <f>_xlfn.NUMBERVALUE("0.000643")</f>
        <v/>
      </c>
      <c r="F400">
        <f>_xlfn.NUMBERVALUE("0.004888")</f>
        <v/>
      </c>
      <c r="G400">
        <f>_xlfn.NUMBERVALUE("-0.000396")</f>
        <v/>
      </c>
      <c r="H400">
        <f>_xlfn.NUMBERVALUE("-0.000157")</f>
        <v/>
      </c>
      <c r="I400">
        <f>_xlfn.NUMBERVALUE("-0.000121")</f>
        <v/>
      </c>
      <c r="J400">
        <f>_xlfn.NUMBERVALUE("0.001149")</f>
        <v/>
      </c>
      <c r="K400">
        <f>_xlfn.NUMBERVALUE("0.007296")</f>
        <v/>
      </c>
      <c r="L400">
        <f>_xlfn.NUMBERVALUE("-0.001070")</f>
        <v/>
      </c>
      <c r="M400">
        <f>_xlfn.NUMBERVALUE("0.000125")</f>
        <v/>
      </c>
      <c r="N400">
        <f>_xlfn.NUMBERVALUE("0.000000")</f>
        <v/>
      </c>
      <c r="O400">
        <f>_xlfn.NUMBERVALUE("-0.019002")</f>
        <v/>
      </c>
      <c r="P400">
        <f>_xlfn.NUMBERVALUE("0.002455")</f>
        <v/>
      </c>
      <c r="Q400">
        <f>_xlfn.NUMBERVALUE("0.000417")</f>
        <v/>
      </c>
      <c r="R400">
        <f>_xlfn.NUMBERVALUE("-0.000115")</f>
        <v/>
      </c>
      <c r="S400">
        <f>_xlfn.NUMBERVALUE("0.000402")</f>
        <v/>
      </c>
      <c r="T400">
        <f>_xlfn.NUMBERVALUE("0.001511")</f>
        <v/>
      </c>
      <c r="U400">
        <f>_xlfn.NUMBERVALUE("-0.000002")</f>
        <v/>
      </c>
      <c r="V400">
        <f>_xlfn.NUMBERVALUE("0.000304")</f>
        <v/>
      </c>
      <c r="W400">
        <f>_xlfn.NUMBERVALUE("-0.002784")</f>
        <v/>
      </c>
      <c r="X400">
        <f>_xlfn.NUMBERVALUE("0.570000")</f>
        <v/>
      </c>
      <c r="Y400">
        <f>_xlfn.NUMBERVALUE("12.440000")</f>
        <v/>
      </c>
    </row>
    <row r="401">
      <c r="A401" s="1" t="n">
        <v>42584</v>
      </c>
      <c r="B401">
        <f>_xlfn.NUMBERVALUE("0.000000")</f>
        <v/>
      </c>
      <c r="C401" s="2">
        <f>_xlfn.NUMBERVALUE("0.000017")</f>
        <v/>
      </c>
      <c r="D401">
        <f>_xlfn.NUMBERVALUE("0.000130")</f>
        <v/>
      </c>
      <c r="E401">
        <f>_xlfn.NUMBERVALUE("-0.000071")</f>
        <v/>
      </c>
      <c r="F401">
        <f>_xlfn.NUMBERVALUE("-0.001531")</f>
        <v/>
      </c>
      <c r="G401">
        <f>_xlfn.NUMBERVALUE("0.001095")</f>
        <v/>
      </c>
      <c r="H401">
        <f>_xlfn.NUMBERVALUE("-0.000172")</f>
        <v/>
      </c>
      <c r="I401">
        <f>_xlfn.NUMBERVALUE("-0.000033")</f>
        <v/>
      </c>
      <c r="J401">
        <f>_xlfn.NUMBERVALUE("-0.003127")</f>
        <v/>
      </c>
      <c r="K401">
        <f>_xlfn.NUMBERVALUE("-0.000175")</f>
        <v/>
      </c>
      <c r="L401">
        <f>_xlfn.NUMBERVALUE("-0.002273")</f>
        <v/>
      </c>
      <c r="M401">
        <f>_xlfn.NUMBERVALUE("0.000017")</f>
        <v/>
      </c>
      <c r="N401">
        <f>_xlfn.NUMBERVALUE("0.000000")</f>
        <v/>
      </c>
      <c r="O401">
        <f>_xlfn.NUMBERVALUE("0.000678")</f>
        <v/>
      </c>
      <c r="P401">
        <f>_xlfn.NUMBERVALUE("-0.000244")</f>
        <v/>
      </c>
      <c r="Q401">
        <f>_xlfn.NUMBERVALUE("0.000001")</f>
        <v/>
      </c>
      <c r="R401">
        <f>_xlfn.NUMBERVALUE("-0.000002")</f>
        <v/>
      </c>
      <c r="S401">
        <f>_xlfn.NUMBERVALUE("0.001012")</f>
        <v/>
      </c>
      <c r="T401">
        <f>_xlfn.NUMBERVALUE("0.000867")</f>
        <v/>
      </c>
      <c r="U401">
        <f>_xlfn.NUMBERVALUE("-0.002241")</f>
        <v/>
      </c>
      <c r="V401">
        <f>_xlfn.NUMBERVALUE("-0.000127")</f>
        <v/>
      </c>
      <c r="W401">
        <f>_xlfn.NUMBERVALUE("-0.002676")</f>
        <v/>
      </c>
      <c r="X401">
        <f>_xlfn.NUMBERVALUE("0.930000")</f>
        <v/>
      </c>
      <c r="Y401">
        <f>_xlfn.NUMBERVALUE("13.370000")</f>
        <v/>
      </c>
    </row>
    <row r="402">
      <c r="A402" s="1" t="n">
        <v>42585</v>
      </c>
      <c r="B402">
        <f>_xlfn.NUMBERVALUE("0.000000")</f>
        <v/>
      </c>
      <c r="C402" s="2">
        <f>_xlfn.NUMBERVALUE("0.001334")</f>
        <v/>
      </c>
      <c r="D402">
        <f>_xlfn.NUMBERVALUE("0.001152")</f>
        <v/>
      </c>
      <c r="E402">
        <f>_xlfn.NUMBERVALUE("0.001377")</f>
        <v/>
      </c>
      <c r="F402">
        <f>_xlfn.NUMBERVALUE("0.000983")</f>
        <v/>
      </c>
      <c r="G402">
        <f>_xlfn.NUMBERVALUE("-0.000036")</f>
        <v/>
      </c>
      <c r="H402">
        <f>_xlfn.NUMBERVALUE("0.001770")</f>
        <v/>
      </c>
      <c r="I402">
        <f>_xlfn.NUMBERVALUE("0.000260")</f>
        <v/>
      </c>
      <c r="J402">
        <f>_xlfn.NUMBERVALUE("0.000529")</f>
        <v/>
      </c>
      <c r="K402">
        <f>_xlfn.NUMBERVALUE("0.004521")</f>
        <v/>
      </c>
      <c r="L402">
        <f>_xlfn.NUMBERVALUE("0.000937")</f>
        <v/>
      </c>
      <c r="M402">
        <f>_xlfn.NUMBERVALUE("0.000156")</f>
        <v/>
      </c>
      <c r="N402">
        <f>_xlfn.NUMBERVALUE("0.000000")</f>
        <v/>
      </c>
      <c r="O402">
        <f>_xlfn.NUMBERVALUE("-0.001691")</f>
        <v/>
      </c>
      <c r="P402">
        <f>_xlfn.NUMBERVALUE("-0.000302")</f>
        <v/>
      </c>
      <c r="Q402">
        <f>_xlfn.NUMBERVALUE("0.000273")</f>
        <v/>
      </c>
      <c r="R402">
        <f>_xlfn.NUMBERVALUE("0.000254")</f>
        <v/>
      </c>
      <c r="S402">
        <f>_xlfn.NUMBERVALUE("-0.000268")</f>
        <v/>
      </c>
      <c r="T402">
        <f>_xlfn.NUMBERVALUE("-0.000375")</f>
        <v/>
      </c>
      <c r="U402">
        <f>_xlfn.NUMBERVALUE("0.002961")</f>
        <v/>
      </c>
      <c r="V402">
        <f>_xlfn.NUMBERVALUE("0.001043")</f>
        <v/>
      </c>
      <c r="W402">
        <f>_xlfn.NUMBERVALUE("0.002644")</f>
        <v/>
      </c>
      <c r="X402">
        <f>_xlfn.NUMBERVALUE("-0.510000")</f>
        <v/>
      </c>
      <c r="Y402">
        <f>_xlfn.NUMBERVALUE("12.860000")</f>
        <v/>
      </c>
    </row>
    <row r="403">
      <c r="A403" s="1" t="n">
        <v>42586</v>
      </c>
      <c r="B403">
        <f>_xlfn.NUMBERVALUE("0.000000")</f>
        <v/>
      </c>
      <c r="C403" s="2">
        <f>_xlfn.NUMBERVALUE("0.001148")</f>
        <v/>
      </c>
      <c r="D403">
        <f>_xlfn.NUMBERVALUE("0.001236")</f>
        <v/>
      </c>
      <c r="E403">
        <f>_xlfn.NUMBERVALUE("0.001427")</f>
        <v/>
      </c>
      <c r="F403">
        <f>_xlfn.NUMBERVALUE("0.000868")</f>
        <v/>
      </c>
      <c r="G403">
        <f>_xlfn.NUMBERVALUE("-0.000418")</f>
        <v/>
      </c>
      <c r="H403">
        <f>_xlfn.NUMBERVALUE("-0.001438")</f>
        <v/>
      </c>
      <c r="I403">
        <f>_xlfn.NUMBERVALUE("0.001335")</f>
        <v/>
      </c>
      <c r="J403">
        <f>_xlfn.NUMBERVALUE("-0.000245")</f>
        <v/>
      </c>
      <c r="K403">
        <f>_xlfn.NUMBERVALUE("0.001467")</f>
        <v/>
      </c>
      <c r="L403">
        <f>_xlfn.NUMBERVALUE("0.000957")</f>
        <v/>
      </c>
      <c r="M403">
        <f>_xlfn.NUMBERVALUE("0.000000")</f>
        <v/>
      </c>
      <c r="N403">
        <f>_xlfn.NUMBERVALUE("0.000000")</f>
        <v/>
      </c>
      <c r="O403">
        <f>_xlfn.NUMBERVALUE("0.003813")</f>
        <v/>
      </c>
      <c r="P403">
        <f>_xlfn.NUMBERVALUE("0.000331")</f>
        <v/>
      </c>
      <c r="Q403">
        <f>_xlfn.NUMBERVALUE("-0.000041")</f>
        <v/>
      </c>
      <c r="R403">
        <f>_xlfn.NUMBERVALUE("-0.000189")</f>
        <v/>
      </c>
      <c r="S403">
        <f>_xlfn.NUMBERVALUE("0.000983")</f>
        <v/>
      </c>
      <c r="T403">
        <f>_xlfn.NUMBERVALUE("0.001935")</f>
        <v/>
      </c>
      <c r="U403">
        <f>_xlfn.NUMBERVALUE("-0.000067")</f>
        <v/>
      </c>
      <c r="V403">
        <f>_xlfn.NUMBERVALUE("0.000864")</f>
        <v/>
      </c>
      <c r="W403">
        <f>_xlfn.NUMBERVALUE("0.001018")</f>
        <v/>
      </c>
      <c r="X403">
        <f>_xlfn.NUMBERVALUE("-0.440000")</f>
        <v/>
      </c>
      <c r="Y403">
        <f>_xlfn.NUMBERVALUE("12.420000")</f>
        <v/>
      </c>
    </row>
    <row r="404">
      <c r="A404" s="1" t="n">
        <v>42587</v>
      </c>
      <c r="B404">
        <f>_xlfn.NUMBERVALUE("0.000000")</f>
        <v/>
      </c>
      <c r="C404" s="2">
        <f>_xlfn.NUMBERVALUE("-0.000673")</f>
        <v/>
      </c>
      <c r="D404">
        <f>_xlfn.NUMBERVALUE("0.001238")</f>
        <v/>
      </c>
      <c r="E404">
        <f>_xlfn.NUMBERVALUE("0.002042")</f>
        <v/>
      </c>
      <c r="F404">
        <f>_xlfn.NUMBERVALUE("-0.002289")</f>
        <v/>
      </c>
      <c r="G404">
        <f>_xlfn.NUMBERVALUE("0.000510")</f>
        <v/>
      </c>
      <c r="H404">
        <f>_xlfn.NUMBERVALUE("-0.000343")</f>
        <v/>
      </c>
      <c r="I404">
        <f>_xlfn.NUMBERVALUE("-0.000853")</f>
        <v/>
      </c>
      <c r="J404">
        <f>_xlfn.NUMBERVALUE("0.000271")</f>
        <v/>
      </c>
      <c r="K404">
        <f>_xlfn.NUMBERVALUE("-0.003131")</f>
        <v/>
      </c>
      <c r="L404">
        <f>_xlfn.NUMBERVALUE("-0.000167")</f>
        <v/>
      </c>
      <c r="M404">
        <f>_xlfn.NUMBERVALUE("-0.000001")</f>
        <v/>
      </c>
      <c r="N404">
        <f>_xlfn.NUMBERVALUE("0.000000")</f>
        <v/>
      </c>
      <c r="O404">
        <f>_xlfn.NUMBERVALUE("-0.001491")</f>
        <v/>
      </c>
      <c r="P404">
        <f>_xlfn.NUMBERVALUE("-0.000330")</f>
        <v/>
      </c>
      <c r="Q404">
        <f>_xlfn.NUMBERVALUE("-0.000001")</f>
        <v/>
      </c>
      <c r="R404">
        <f>_xlfn.NUMBERVALUE("-0.000069")</f>
        <v/>
      </c>
      <c r="S404">
        <f>_xlfn.NUMBERVALUE("0.000445")</f>
        <v/>
      </c>
      <c r="T404">
        <f>_xlfn.NUMBERVALUE("-0.001259")</f>
        <v/>
      </c>
      <c r="U404">
        <f>_xlfn.NUMBERVALUE("-0.000064")</f>
        <v/>
      </c>
      <c r="V404">
        <f>_xlfn.NUMBERVALUE("0.000885")</f>
        <v/>
      </c>
      <c r="W404">
        <f>_xlfn.NUMBERVALUE("0.008182")</f>
        <v/>
      </c>
      <c r="X404">
        <f>_xlfn.NUMBERVALUE("-1.030000")</f>
        <v/>
      </c>
      <c r="Y404">
        <f>_xlfn.NUMBERVALUE("11.390000")</f>
        <v/>
      </c>
    </row>
    <row r="405">
      <c r="A405" s="1" t="n">
        <v>42590</v>
      </c>
      <c r="B405">
        <f>_xlfn.NUMBERVALUE("0.000000")</f>
        <v/>
      </c>
      <c r="C405" s="2">
        <f>_xlfn.NUMBERVALUE("0.001243")</f>
        <v/>
      </c>
      <c r="D405">
        <f>_xlfn.NUMBERVALUE("-0.000071")</f>
        <v/>
      </c>
      <c r="E405">
        <f>_xlfn.NUMBERVALUE("0.002377")</f>
        <v/>
      </c>
      <c r="F405">
        <f>_xlfn.NUMBERVALUE("0.001709")</f>
        <v/>
      </c>
      <c r="G405">
        <f>_xlfn.NUMBERVALUE("0.000962")</f>
        <v/>
      </c>
      <c r="H405">
        <f>_xlfn.NUMBERVALUE("0.000991")</f>
        <v/>
      </c>
      <c r="I405">
        <f>_xlfn.NUMBERVALUE("0.001337")</f>
        <v/>
      </c>
      <c r="J405">
        <f>_xlfn.NUMBERVALUE("0.000977")</f>
        <v/>
      </c>
      <c r="K405">
        <f>_xlfn.NUMBERVALUE("0.003531")</f>
        <v/>
      </c>
      <c r="L405">
        <f>_xlfn.NUMBERVALUE("0.001628")</f>
        <v/>
      </c>
      <c r="M405">
        <f>_xlfn.NUMBERVALUE("0.002403")</f>
        <v/>
      </c>
      <c r="N405">
        <f>_xlfn.NUMBERVALUE("0.000000")</f>
        <v/>
      </c>
      <c r="O405">
        <f>_xlfn.NUMBERVALUE("-0.000424")</f>
        <v/>
      </c>
      <c r="P405">
        <f>_xlfn.NUMBERVALUE("0.001352")</f>
        <v/>
      </c>
      <c r="Q405">
        <f>_xlfn.NUMBERVALUE("-0.000493")</f>
        <v/>
      </c>
      <c r="R405">
        <f>_xlfn.NUMBERVALUE("0.000943")</f>
        <v/>
      </c>
      <c r="S405">
        <f>_xlfn.NUMBERVALUE("0.001368")</f>
        <v/>
      </c>
      <c r="T405">
        <f>_xlfn.NUMBERVALUE("0.000743")</f>
        <v/>
      </c>
      <c r="U405">
        <f>_xlfn.NUMBERVALUE("0.001510")</f>
        <v/>
      </c>
      <c r="V405">
        <f>_xlfn.NUMBERVALUE("0.000544")</f>
        <v/>
      </c>
      <c r="W405">
        <f>_xlfn.NUMBERVALUE("-0.000688")</f>
        <v/>
      </c>
      <c r="X405">
        <f>_xlfn.NUMBERVALUE("0.110000")</f>
        <v/>
      </c>
      <c r="Y405">
        <f>_xlfn.NUMBERVALUE("11.500000")</f>
        <v/>
      </c>
    </row>
    <row r="406">
      <c r="A406" s="1" t="n">
        <v>42591</v>
      </c>
      <c r="B406">
        <f>_xlfn.NUMBERVALUE("0.000000")</f>
        <v/>
      </c>
      <c r="C406" s="2">
        <f>_xlfn.NUMBERVALUE("-0.000009")</f>
        <v/>
      </c>
      <c r="D406">
        <f>_xlfn.NUMBERVALUE("-0.000309")</f>
        <v/>
      </c>
      <c r="E406">
        <f>_xlfn.NUMBERVALUE("-0.000237")</f>
        <v/>
      </c>
      <c r="F406">
        <f>_xlfn.NUMBERVALUE("0.002524")</f>
        <v/>
      </c>
      <c r="G406">
        <f>_xlfn.NUMBERVALUE("-0.001383")</f>
        <v/>
      </c>
      <c r="H406">
        <f>_xlfn.NUMBERVALUE("0.000172")</f>
        <v/>
      </c>
      <c r="I406">
        <f>_xlfn.NUMBERVALUE("0.000228")</f>
        <v/>
      </c>
      <c r="J406">
        <f>_xlfn.NUMBERVALUE("-0.001041")</f>
        <v/>
      </c>
      <c r="K406">
        <f>_xlfn.NUMBERVALUE("0.002406")</f>
        <v/>
      </c>
      <c r="L406">
        <f>_xlfn.NUMBERVALUE("-0.000103")</f>
        <v/>
      </c>
      <c r="M406">
        <f>_xlfn.NUMBERVALUE("0.000811")</f>
        <v/>
      </c>
      <c r="N406">
        <f>_xlfn.NUMBERVALUE("0.000000")</f>
        <v/>
      </c>
      <c r="O406">
        <f>_xlfn.NUMBERVALUE("0.001334")</f>
        <v/>
      </c>
      <c r="P406">
        <f>_xlfn.NUMBERVALUE("0.001426")</f>
        <v/>
      </c>
      <c r="Q406">
        <f>_xlfn.NUMBERVALUE("0.000807")</f>
        <v/>
      </c>
      <c r="R406">
        <f>_xlfn.NUMBERVALUE("-0.000017")</f>
        <v/>
      </c>
      <c r="S406">
        <f>_xlfn.NUMBERVALUE("0.000859")</f>
        <v/>
      </c>
      <c r="T406">
        <f>_xlfn.NUMBERVALUE("0.001225")</f>
        <v/>
      </c>
      <c r="U406">
        <f>_xlfn.NUMBERVALUE("0.000434")</f>
        <v/>
      </c>
      <c r="V406">
        <f>_xlfn.NUMBERVALUE("0.000257")</f>
        <v/>
      </c>
      <c r="W406">
        <f>_xlfn.NUMBERVALUE("0.000780")</f>
        <v/>
      </c>
      <c r="X406">
        <f>_xlfn.NUMBERVALUE("0.160000")</f>
        <v/>
      </c>
      <c r="Y406">
        <f>_xlfn.NUMBERVALUE("11.660000")</f>
        <v/>
      </c>
    </row>
    <row r="407">
      <c r="A407" s="1" t="n">
        <v>42592</v>
      </c>
      <c r="B407">
        <f>_xlfn.NUMBERVALUE("0.000000")</f>
        <v/>
      </c>
      <c r="C407" s="2">
        <f>_xlfn.NUMBERVALUE("0.000093")</f>
        <v/>
      </c>
      <c r="D407">
        <f>_xlfn.NUMBERVALUE("-0.000339")</f>
        <v/>
      </c>
      <c r="E407">
        <f>_xlfn.NUMBERVALUE("-0.000457")</f>
        <v/>
      </c>
      <c r="F407">
        <f>_xlfn.NUMBERVALUE("-0.000422")</f>
        <v/>
      </c>
      <c r="G407">
        <f>_xlfn.NUMBERVALUE("0.000971")</f>
        <v/>
      </c>
      <c r="H407">
        <f>_xlfn.NUMBERVALUE("-0.000578")</f>
        <v/>
      </c>
      <c r="I407">
        <f>_xlfn.NUMBERVALUE("-0.000166")</f>
        <v/>
      </c>
      <c r="J407">
        <f>_xlfn.NUMBERVALUE("-0.000516")</f>
        <v/>
      </c>
      <c r="K407">
        <f>_xlfn.NUMBERVALUE("-0.000690")</f>
        <v/>
      </c>
      <c r="L407">
        <f>_xlfn.NUMBERVALUE("0.000070")</f>
        <v/>
      </c>
      <c r="M407">
        <f>_xlfn.NUMBERVALUE("0.000488")</f>
        <v/>
      </c>
      <c r="N407">
        <f>_xlfn.NUMBERVALUE("0.000000")</f>
        <v/>
      </c>
      <c r="O407">
        <f>_xlfn.NUMBERVALUE("-0.001094")</f>
        <v/>
      </c>
      <c r="P407">
        <f>_xlfn.NUMBERVALUE("-0.000543")</f>
        <v/>
      </c>
      <c r="Q407">
        <f>_xlfn.NUMBERVALUE("0.000471")</f>
        <v/>
      </c>
      <c r="R407">
        <f>_xlfn.NUMBERVALUE("-0.000136")</f>
        <v/>
      </c>
      <c r="S407">
        <f>_xlfn.NUMBERVALUE("0.000282")</f>
        <v/>
      </c>
      <c r="T407">
        <f>_xlfn.NUMBERVALUE("0.001526")</f>
        <v/>
      </c>
      <c r="U407">
        <f>_xlfn.NUMBERVALUE("-0.000146")</f>
        <v/>
      </c>
      <c r="V407">
        <f>_xlfn.NUMBERVALUE("-0.000136")</f>
        <v/>
      </c>
      <c r="W407">
        <f>_xlfn.NUMBERVALUE("-0.002796")</f>
        <v/>
      </c>
      <c r="X407">
        <f>_xlfn.NUMBERVALUE("0.390000")</f>
        <v/>
      </c>
      <c r="Y407">
        <f>_xlfn.NUMBERVALUE("12.050000")</f>
        <v/>
      </c>
    </row>
    <row r="408">
      <c r="A408" s="1" t="n">
        <v>42593</v>
      </c>
      <c r="B408">
        <f>_xlfn.NUMBERVALUE("0.000000")</f>
        <v/>
      </c>
      <c r="C408" s="2">
        <f>_xlfn.NUMBERVALUE("-0.000513")</f>
        <v/>
      </c>
      <c r="D408">
        <f>_xlfn.NUMBERVALUE("-0.001855")</f>
        <v/>
      </c>
      <c r="E408">
        <f>_xlfn.NUMBERVALUE("-0.000258")</f>
        <v/>
      </c>
      <c r="F408">
        <f>_xlfn.NUMBERVALUE("-0.000919")</f>
        <v/>
      </c>
      <c r="G408">
        <f>_xlfn.NUMBERVALUE("0.000641")</f>
        <v/>
      </c>
      <c r="H408">
        <f>_xlfn.NUMBERVALUE("-0.000736")</f>
        <v/>
      </c>
      <c r="I408">
        <f>_xlfn.NUMBERVALUE("0.001304")</f>
        <v/>
      </c>
      <c r="J408">
        <f>_xlfn.NUMBERVALUE("0.000448")</f>
        <v/>
      </c>
      <c r="K408">
        <f>_xlfn.NUMBERVALUE("-0.000722")</f>
        <v/>
      </c>
      <c r="L408">
        <f>_xlfn.NUMBERVALUE("-0.000882")</f>
        <v/>
      </c>
      <c r="M408">
        <f>_xlfn.NUMBERVALUE("0.000956")</f>
        <v/>
      </c>
      <c r="N408">
        <f>_xlfn.NUMBERVALUE("0.000000")</f>
        <v/>
      </c>
      <c r="O408">
        <f>_xlfn.NUMBERVALUE("-0.000112")</f>
        <v/>
      </c>
      <c r="P408">
        <f>_xlfn.NUMBERVALUE("0.001019")</f>
        <v/>
      </c>
      <c r="Q408">
        <f>_xlfn.NUMBERVALUE("0.000098")</f>
        <v/>
      </c>
      <c r="R408">
        <f>_xlfn.NUMBERVALUE("0.000009")</f>
        <v/>
      </c>
      <c r="S408">
        <f>_xlfn.NUMBERVALUE("0.000065")</f>
        <v/>
      </c>
      <c r="T408">
        <f>_xlfn.NUMBERVALUE("0.001669")</f>
        <v/>
      </c>
      <c r="U408">
        <f>_xlfn.NUMBERVALUE("-0.000958")</f>
        <v/>
      </c>
      <c r="V408">
        <f>_xlfn.NUMBERVALUE("0.000165")</f>
        <v/>
      </c>
      <c r="W408">
        <f>_xlfn.NUMBERVALUE("0.005747")</f>
        <v/>
      </c>
      <c r="X408">
        <f>_xlfn.NUMBERVALUE("-0.370000")</f>
        <v/>
      </c>
      <c r="Y408">
        <f>_xlfn.NUMBERVALUE("11.680000")</f>
        <v/>
      </c>
    </row>
    <row r="409">
      <c r="A409" s="1" t="n">
        <v>42594</v>
      </c>
      <c r="B409">
        <f>_xlfn.NUMBERVALUE("0.000000")</f>
        <v/>
      </c>
      <c r="C409" s="2">
        <f>_xlfn.NUMBERVALUE("0.000951")</f>
        <v/>
      </c>
      <c r="D409">
        <f>_xlfn.NUMBERVALUE("0.000585")</f>
        <v/>
      </c>
      <c r="E409">
        <f>_xlfn.NUMBERVALUE("0.000723")</f>
        <v/>
      </c>
      <c r="F409">
        <f>_xlfn.NUMBERVALUE("0.000597")</f>
        <v/>
      </c>
      <c r="G409">
        <f>_xlfn.NUMBERVALUE("-0.000189")</f>
        <v/>
      </c>
      <c r="H409">
        <f>_xlfn.NUMBERVALUE("0.000153")</f>
        <v/>
      </c>
      <c r="I409">
        <f>_xlfn.NUMBERVALUE("0.001411")</f>
        <v/>
      </c>
      <c r="J409">
        <f>_xlfn.NUMBERVALUE("0.000942")</f>
        <v/>
      </c>
      <c r="K409">
        <f>_xlfn.NUMBERVALUE("0.002260")</f>
        <v/>
      </c>
      <c r="L409">
        <f>_xlfn.NUMBERVALUE("0.000097")</f>
        <v/>
      </c>
      <c r="M409">
        <f>_xlfn.NUMBERVALUE("-0.000352")</f>
        <v/>
      </c>
      <c r="N409">
        <f>_xlfn.NUMBERVALUE("0.000000")</f>
        <v/>
      </c>
      <c r="O409">
        <f>_xlfn.NUMBERVALUE("0.001205")</f>
        <v/>
      </c>
      <c r="P409">
        <f>_xlfn.NUMBERVALUE("0.000780")</f>
        <v/>
      </c>
      <c r="Q409">
        <f>_xlfn.NUMBERVALUE("0.000702")</f>
        <v/>
      </c>
      <c r="R409">
        <f>_xlfn.NUMBERVALUE("0.001126")</f>
        <v/>
      </c>
      <c r="S409">
        <f>_xlfn.NUMBERVALUE("0.000365")</f>
        <v/>
      </c>
      <c r="T409">
        <f>_xlfn.NUMBERVALUE("0.000864")</f>
        <v/>
      </c>
      <c r="U409">
        <f>_xlfn.NUMBERVALUE("0.001211")</f>
        <v/>
      </c>
      <c r="V409">
        <f>_xlfn.NUMBERVALUE("0.000959")</f>
        <v/>
      </c>
      <c r="W409">
        <f>_xlfn.NUMBERVALUE("-0.001326")</f>
        <v/>
      </c>
      <c r="X409">
        <f>_xlfn.NUMBERVALUE("-0.130000")</f>
        <v/>
      </c>
      <c r="Y409">
        <f>_xlfn.NUMBERVALUE("11.550000")</f>
        <v/>
      </c>
    </row>
    <row r="410">
      <c r="A410" s="1" t="n">
        <v>42597</v>
      </c>
      <c r="B410">
        <f>_xlfn.NUMBERVALUE("0.000000")</f>
        <v/>
      </c>
      <c r="C410" s="2">
        <f>_xlfn.NUMBERVALUE("0.000013")</f>
        <v/>
      </c>
      <c r="D410">
        <f>_xlfn.NUMBERVALUE("0.000636")</f>
        <v/>
      </c>
      <c r="E410">
        <f>_xlfn.NUMBERVALUE("0.001406")</f>
        <v/>
      </c>
      <c r="F410">
        <f>_xlfn.NUMBERVALUE("0.002491")</f>
        <v/>
      </c>
      <c r="G410">
        <f>_xlfn.NUMBERVALUE("0.001159")</f>
        <v/>
      </c>
      <c r="H410">
        <f>_xlfn.NUMBERVALUE("0.000402")</f>
        <v/>
      </c>
      <c r="I410">
        <f>_xlfn.NUMBERVALUE("-0.000837")</f>
        <v/>
      </c>
      <c r="J410">
        <f>_xlfn.NUMBERVALUE("-0.001539")</f>
        <v/>
      </c>
      <c r="K410">
        <f>_xlfn.NUMBERVALUE("0.003474")</f>
        <v/>
      </c>
      <c r="L410">
        <f>_xlfn.NUMBERVALUE("-0.000342")</f>
        <v/>
      </c>
      <c r="M410">
        <f>_xlfn.NUMBERVALUE("-0.000076")</f>
        <v/>
      </c>
      <c r="N410">
        <f>_xlfn.NUMBERVALUE("0.000000")</f>
        <v/>
      </c>
      <c r="O410">
        <f>_xlfn.NUMBERVALUE("0.001165")</f>
        <v/>
      </c>
      <c r="P410">
        <f>_xlfn.NUMBERVALUE("0.001763")</f>
        <v/>
      </c>
      <c r="Q410">
        <f>_xlfn.NUMBERVALUE("0.000399")</f>
        <v/>
      </c>
      <c r="R410">
        <f>_xlfn.NUMBERVALUE("0.000383")</f>
        <v/>
      </c>
      <c r="S410">
        <f>_xlfn.NUMBERVALUE("0.000736")</f>
        <v/>
      </c>
      <c r="T410">
        <f>_xlfn.NUMBERVALUE("-0.002887")</f>
        <v/>
      </c>
      <c r="U410">
        <f>_xlfn.NUMBERVALUE("0.000883")</f>
        <v/>
      </c>
      <c r="V410">
        <f>_xlfn.NUMBERVALUE("0.000470")</f>
        <v/>
      </c>
      <c r="W410">
        <f>_xlfn.NUMBERVALUE("0.003067")</f>
        <v/>
      </c>
      <c r="X410">
        <f>_xlfn.NUMBERVALUE("0.260000")</f>
        <v/>
      </c>
      <c r="Y410">
        <f>_xlfn.NUMBERVALUE("11.810000")</f>
        <v/>
      </c>
    </row>
    <row r="411">
      <c r="A411" s="1" t="n">
        <v>42598</v>
      </c>
      <c r="B411">
        <f>_xlfn.NUMBERVALUE("0.000000")</f>
        <v/>
      </c>
      <c r="C411" s="2">
        <f>_xlfn.NUMBERVALUE("0.000116")</f>
        <v/>
      </c>
      <c r="D411">
        <f>_xlfn.NUMBERVALUE("-0.001090")</f>
        <v/>
      </c>
      <c r="E411">
        <f>_xlfn.NUMBERVALUE("-0.001097")</f>
        <v/>
      </c>
      <c r="F411">
        <f>_xlfn.NUMBERVALUE("-0.001780")</f>
        <v/>
      </c>
      <c r="G411">
        <f>_xlfn.NUMBERVALUE("-0.001141")</f>
        <v/>
      </c>
      <c r="H411">
        <f>_xlfn.NUMBERVALUE("0.000126")</f>
        <v/>
      </c>
      <c r="I411">
        <f>_xlfn.NUMBERVALUE("-0.000565")</f>
        <v/>
      </c>
      <c r="J411">
        <f>_xlfn.NUMBERVALUE("0.000081")</f>
        <v/>
      </c>
      <c r="K411">
        <f>_xlfn.NUMBERVALUE("-0.000661")</f>
        <v/>
      </c>
      <c r="L411">
        <f>_xlfn.NUMBERVALUE("0.000284")</f>
        <v/>
      </c>
      <c r="M411">
        <f>_xlfn.NUMBERVALUE("-0.000856")</f>
        <v/>
      </c>
      <c r="N411">
        <f>_xlfn.NUMBERVALUE("0.000000")</f>
        <v/>
      </c>
      <c r="O411">
        <f>_xlfn.NUMBERVALUE("-0.000238")</f>
        <v/>
      </c>
      <c r="P411">
        <f>_xlfn.NUMBERVALUE("-0.000191")</f>
        <v/>
      </c>
      <c r="Q411">
        <f>_xlfn.NUMBERVALUE("-0.000455")</f>
        <v/>
      </c>
      <c r="R411">
        <f>_xlfn.NUMBERVALUE("-0.000153")</f>
        <v/>
      </c>
      <c r="S411">
        <f>_xlfn.NUMBERVALUE("-0.000153")</f>
        <v/>
      </c>
      <c r="T411">
        <f>_xlfn.NUMBERVALUE("-0.001443")</f>
        <v/>
      </c>
      <c r="U411">
        <f>_xlfn.NUMBERVALUE("-0.000020")</f>
        <v/>
      </c>
      <c r="V411">
        <f>_xlfn.NUMBERVALUE("-0.000604")</f>
        <v/>
      </c>
      <c r="W411">
        <f>_xlfn.NUMBERVALUE("-0.004568")</f>
        <v/>
      </c>
      <c r="X411">
        <f>_xlfn.NUMBERVALUE("0.830000")</f>
        <v/>
      </c>
      <c r="Y411">
        <f>_xlfn.NUMBERVALUE("12.640000")</f>
        <v/>
      </c>
    </row>
    <row r="412">
      <c r="A412" s="1" t="n">
        <v>42599</v>
      </c>
      <c r="B412">
        <f>_xlfn.NUMBERVALUE("0.000000")</f>
        <v/>
      </c>
      <c r="C412" s="2">
        <f>_xlfn.NUMBERVALUE("0.000486")</f>
        <v/>
      </c>
      <c r="D412">
        <f>_xlfn.NUMBERVALUE("0.001231")</f>
        <v/>
      </c>
      <c r="E412">
        <f>_xlfn.NUMBERVALUE("-0.000052")</f>
        <v/>
      </c>
      <c r="F412">
        <f>_xlfn.NUMBERVALUE("0.001313")</f>
        <v/>
      </c>
      <c r="G412">
        <f>_xlfn.NUMBERVALUE("0.000663")</f>
        <v/>
      </c>
      <c r="H412">
        <f>_xlfn.NUMBERVALUE("0.000171")</f>
        <v/>
      </c>
      <c r="I412">
        <f>_xlfn.NUMBERVALUE("0.001201")</f>
        <v/>
      </c>
      <c r="J412">
        <f>_xlfn.NUMBERVALUE("0.000053")</f>
        <v/>
      </c>
      <c r="K412">
        <f>_xlfn.NUMBERVALUE("-0.000550")</f>
        <v/>
      </c>
      <c r="L412">
        <f>_xlfn.NUMBERVALUE("0.000378")</f>
        <v/>
      </c>
      <c r="M412">
        <f>_xlfn.NUMBERVALUE("0.001742")</f>
        <v/>
      </c>
      <c r="N412">
        <f>_xlfn.NUMBERVALUE("0.000000")</f>
        <v/>
      </c>
      <c r="O412">
        <f>_xlfn.NUMBERVALUE("0.000471")</f>
        <v/>
      </c>
      <c r="P412">
        <f>_xlfn.NUMBERVALUE("0.000001")</f>
        <v/>
      </c>
      <c r="Q412">
        <f>_xlfn.NUMBERVALUE("0.000089")</f>
        <v/>
      </c>
      <c r="R412">
        <f>_xlfn.NUMBERVALUE("0.001011")</f>
        <v/>
      </c>
      <c r="S412">
        <f>_xlfn.NUMBERVALUE("0.000836")</f>
        <v/>
      </c>
      <c r="T412">
        <f>_xlfn.NUMBERVALUE("-0.002376")</f>
        <v/>
      </c>
      <c r="U412">
        <f>_xlfn.NUMBERVALUE("0.001692")</f>
        <v/>
      </c>
      <c r="V412">
        <f>_xlfn.NUMBERVALUE("0.000475")</f>
        <v/>
      </c>
      <c r="W412">
        <f>_xlfn.NUMBERVALUE("0.001151")</f>
        <v/>
      </c>
      <c r="X412">
        <f>_xlfn.NUMBERVALUE("-0.450000")</f>
        <v/>
      </c>
      <c r="Y412">
        <f>_xlfn.NUMBERVALUE("12.190000")</f>
        <v/>
      </c>
    </row>
    <row r="413">
      <c r="A413" s="1" t="n">
        <v>42600</v>
      </c>
      <c r="B413">
        <f>_xlfn.NUMBERVALUE("0.000000")</f>
        <v/>
      </c>
      <c r="C413" s="2">
        <f>_xlfn.NUMBERVALUE("0.001288")</f>
        <v/>
      </c>
      <c r="D413">
        <f>_xlfn.NUMBERVALUE("0.000109")</f>
        <v/>
      </c>
      <c r="E413">
        <f>_xlfn.NUMBERVALUE("0.000161")</f>
        <v/>
      </c>
      <c r="F413">
        <f>_xlfn.NUMBERVALUE("0.002141")</f>
        <v/>
      </c>
      <c r="G413">
        <f>_xlfn.NUMBERVALUE("0.000849")</f>
        <v/>
      </c>
      <c r="H413">
        <f>_xlfn.NUMBERVALUE("0.000106")</f>
        <v/>
      </c>
      <c r="I413">
        <f>_xlfn.NUMBERVALUE("0.003311")</f>
        <v/>
      </c>
      <c r="J413">
        <f>_xlfn.NUMBERVALUE("-0.000284")</f>
        <v/>
      </c>
      <c r="K413">
        <f>_xlfn.NUMBERVALUE("0.002544")</f>
        <v/>
      </c>
      <c r="L413">
        <f>_xlfn.NUMBERVALUE("0.000985")</f>
        <v/>
      </c>
      <c r="M413">
        <f>_xlfn.NUMBERVALUE("0.000319")</f>
        <v/>
      </c>
      <c r="N413">
        <f>_xlfn.NUMBERVALUE("0.000000")</f>
        <v/>
      </c>
      <c r="O413">
        <f>_xlfn.NUMBERVALUE("-0.002072")</f>
        <v/>
      </c>
      <c r="P413">
        <f>_xlfn.NUMBERVALUE("0.001067")</f>
        <v/>
      </c>
      <c r="Q413">
        <f>_xlfn.NUMBERVALUE("0.001248")</f>
        <v/>
      </c>
      <c r="R413">
        <f>_xlfn.NUMBERVALUE("0.001109")</f>
        <v/>
      </c>
      <c r="S413">
        <f>_xlfn.NUMBERVALUE("0.000696")</f>
        <v/>
      </c>
      <c r="T413">
        <f>_xlfn.NUMBERVALUE("-0.000495")</f>
        <v/>
      </c>
      <c r="U413">
        <f>_xlfn.NUMBERVALUE("0.001367")</f>
        <v/>
      </c>
      <c r="V413">
        <f>_xlfn.NUMBERVALUE("0.001197")</f>
        <v/>
      </c>
      <c r="W413">
        <f>_xlfn.NUMBERVALUE("0.001694")</f>
        <v/>
      </c>
      <c r="X413">
        <f>_xlfn.NUMBERVALUE("-0.760000")</f>
        <v/>
      </c>
      <c r="Y413">
        <f>_xlfn.NUMBERVALUE("11.430000")</f>
        <v/>
      </c>
    </row>
    <row r="414">
      <c r="A414" s="1" t="n">
        <v>42601</v>
      </c>
      <c r="B414">
        <f>_xlfn.NUMBERVALUE("0.000000")</f>
        <v/>
      </c>
      <c r="C414" s="2">
        <f>_xlfn.NUMBERVALUE("-0.001987")</f>
        <v/>
      </c>
      <c r="D414">
        <f>_xlfn.NUMBERVALUE("0.000541")</f>
        <v/>
      </c>
      <c r="E414">
        <f>_xlfn.NUMBERVALUE("0.000765")</f>
        <v/>
      </c>
      <c r="F414">
        <f>_xlfn.NUMBERVALUE("-0.000744")</f>
        <v/>
      </c>
      <c r="G414">
        <f>_xlfn.NUMBERVALUE("-0.001699")</f>
        <v/>
      </c>
      <c r="H414">
        <f>_xlfn.NUMBERVALUE("-0.000071")</f>
        <v/>
      </c>
      <c r="I414">
        <f>_xlfn.NUMBERVALUE("-0.001789")</f>
        <v/>
      </c>
      <c r="J414">
        <f>_xlfn.NUMBERVALUE("0.001006")</f>
        <v/>
      </c>
      <c r="K414">
        <f>_xlfn.NUMBERVALUE("-0.002664")</f>
        <v/>
      </c>
      <c r="L414">
        <f>_xlfn.NUMBERVALUE("0.001265")</f>
        <v/>
      </c>
      <c r="M414">
        <f>_xlfn.NUMBERVALUE("0.000804")</f>
        <v/>
      </c>
      <c r="N414">
        <f>_xlfn.NUMBERVALUE("0.000000")</f>
        <v/>
      </c>
      <c r="O414">
        <f>_xlfn.NUMBERVALUE("-0.000056")</f>
        <v/>
      </c>
      <c r="P414">
        <f>_xlfn.NUMBERVALUE("0.001903")</f>
        <v/>
      </c>
      <c r="Q414">
        <f>_xlfn.NUMBERVALUE("0.000508")</f>
        <v/>
      </c>
      <c r="R414">
        <f>_xlfn.NUMBERVALUE("0.001712")</f>
        <v/>
      </c>
      <c r="S414">
        <f>_xlfn.NUMBERVALUE("0.001099")</f>
        <v/>
      </c>
      <c r="T414">
        <f>_xlfn.NUMBERVALUE("0.000150")</f>
        <v/>
      </c>
      <c r="U414">
        <f>_xlfn.NUMBERVALUE("0.001437")</f>
        <v/>
      </c>
      <c r="V414">
        <f>_xlfn.NUMBERVALUE("0.000878")</f>
        <v/>
      </c>
      <c r="W414">
        <f>_xlfn.NUMBERVALUE("-0.000686")</f>
        <v/>
      </c>
      <c r="X414">
        <f>_xlfn.NUMBERVALUE("-0.090000")</f>
        <v/>
      </c>
      <c r="Y414">
        <f>_xlfn.NUMBERVALUE("11.340000")</f>
        <v/>
      </c>
    </row>
    <row r="415">
      <c r="A415" s="1" t="n">
        <v>42604</v>
      </c>
      <c r="B415">
        <f>_xlfn.NUMBERVALUE("0.000000")</f>
        <v/>
      </c>
      <c r="C415" s="2">
        <f>_xlfn.NUMBERVALUE("0.000182")</f>
        <v/>
      </c>
      <c r="D415">
        <f>_xlfn.NUMBERVALUE("0.001061")</f>
        <v/>
      </c>
      <c r="E415">
        <f>_xlfn.NUMBERVALUE("0.000555")</f>
        <v/>
      </c>
      <c r="F415">
        <f>_xlfn.NUMBERVALUE("0.000949")</f>
        <v/>
      </c>
      <c r="G415">
        <f>_xlfn.NUMBERVALUE("0.001412")</f>
        <v/>
      </c>
      <c r="H415">
        <f>_xlfn.NUMBERVALUE("0.000644")</f>
        <v/>
      </c>
      <c r="I415">
        <f>_xlfn.NUMBERVALUE("0.000105")</f>
        <v/>
      </c>
      <c r="J415">
        <f>_xlfn.NUMBERVALUE("-0.000193")</f>
        <v/>
      </c>
      <c r="K415">
        <f>_xlfn.NUMBERVALUE("-0.000867")</f>
        <v/>
      </c>
      <c r="L415">
        <f>_xlfn.NUMBERVALUE("-0.001352")</f>
        <v/>
      </c>
      <c r="M415">
        <f>_xlfn.NUMBERVALUE("0.001328")</f>
        <v/>
      </c>
      <c r="N415">
        <f>_xlfn.NUMBERVALUE("0.000000")</f>
        <v/>
      </c>
      <c r="O415">
        <f>_xlfn.NUMBERVALUE("0.000969")</f>
        <v/>
      </c>
      <c r="P415">
        <f>_xlfn.NUMBERVALUE("0.001315")</f>
        <v/>
      </c>
      <c r="Q415">
        <f>_xlfn.NUMBERVALUE("0.000971")</f>
        <v/>
      </c>
      <c r="R415">
        <f>_xlfn.NUMBERVALUE("0.001090")</f>
        <v/>
      </c>
      <c r="S415">
        <f>_xlfn.NUMBERVALUE("0.000140")</f>
        <v/>
      </c>
      <c r="T415">
        <f>_xlfn.NUMBERVALUE("0.000677")</f>
        <v/>
      </c>
      <c r="U415">
        <f>_xlfn.NUMBERVALUE("0.000838")</f>
        <v/>
      </c>
      <c r="V415">
        <f>_xlfn.NUMBERVALUE("0.000357")</f>
        <v/>
      </c>
      <c r="W415">
        <f>_xlfn.NUMBERVALUE("-0.000526")</f>
        <v/>
      </c>
      <c r="X415">
        <f>_xlfn.NUMBERVALUE("0.930000")</f>
        <v/>
      </c>
      <c r="Y415">
        <f>_xlfn.NUMBERVALUE("12.270000")</f>
        <v/>
      </c>
    </row>
    <row r="416">
      <c r="A416" s="1" t="n">
        <v>42605</v>
      </c>
      <c r="B416">
        <f>_xlfn.NUMBERVALUE("0.000000")</f>
        <v/>
      </c>
      <c r="C416" s="2">
        <f>_xlfn.NUMBERVALUE("0.000093")</f>
        <v/>
      </c>
      <c r="D416">
        <f>_xlfn.NUMBERVALUE("0.000766")</f>
        <v/>
      </c>
      <c r="E416">
        <f>_xlfn.NUMBERVALUE("0.000239")</f>
        <v/>
      </c>
      <c r="F416">
        <f>_xlfn.NUMBERVALUE("0.000810")</f>
        <v/>
      </c>
      <c r="G416">
        <f>_xlfn.NUMBERVALUE("-0.000535")</f>
        <v/>
      </c>
      <c r="H416">
        <f>_xlfn.NUMBERVALUE("0.000818")</f>
        <v/>
      </c>
      <c r="I416">
        <f>_xlfn.NUMBERVALUE("-0.000981")</f>
        <v/>
      </c>
      <c r="J416">
        <f>_xlfn.NUMBERVALUE("0.000323")</f>
        <v/>
      </c>
      <c r="K416">
        <f>_xlfn.NUMBERVALUE("-0.000762")</f>
        <v/>
      </c>
      <c r="L416">
        <f>_xlfn.NUMBERVALUE("0.000769")</f>
        <v/>
      </c>
      <c r="M416">
        <f>_xlfn.NUMBERVALUE("-0.001521")</f>
        <v/>
      </c>
      <c r="N416">
        <f>_xlfn.NUMBERVALUE("0.000000")</f>
        <v/>
      </c>
      <c r="O416">
        <f>_xlfn.NUMBERVALUE("0.000769")</f>
        <v/>
      </c>
      <c r="P416">
        <f>_xlfn.NUMBERVALUE("0.000164")</f>
        <v/>
      </c>
      <c r="Q416">
        <f>_xlfn.NUMBERVALUE("0.000481")</f>
        <v/>
      </c>
      <c r="R416">
        <f>_xlfn.NUMBERVALUE("0.000149")</f>
        <v/>
      </c>
      <c r="S416">
        <f>_xlfn.NUMBERVALUE("0.001218")</f>
        <v/>
      </c>
      <c r="T416">
        <f>_xlfn.NUMBERVALUE("0.000944")</f>
        <v/>
      </c>
      <c r="U416">
        <f>_xlfn.NUMBERVALUE("-0.000072")</f>
        <v/>
      </c>
      <c r="V416">
        <f>_xlfn.NUMBERVALUE("-0.000320")</f>
        <v/>
      </c>
      <c r="W416">
        <f>_xlfn.NUMBERVALUE("0.002174")</f>
        <v/>
      </c>
      <c r="X416">
        <f>_xlfn.NUMBERVALUE("0.110000")</f>
        <v/>
      </c>
      <c r="Y416">
        <f>_xlfn.NUMBERVALUE("12.380000")</f>
        <v/>
      </c>
    </row>
    <row r="417">
      <c r="A417" s="1" t="n">
        <v>42606</v>
      </c>
      <c r="B417">
        <f>_xlfn.NUMBERVALUE("0.000000")</f>
        <v/>
      </c>
      <c r="C417" s="2">
        <f>_xlfn.NUMBERVALUE("0.000326")</f>
        <v/>
      </c>
      <c r="D417">
        <f>_xlfn.NUMBERVALUE("-0.000892")</f>
        <v/>
      </c>
      <c r="E417">
        <f>_xlfn.NUMBERVALUE("0.000197")</f>
        <v/>
      </c>
      <c r="F417">
        <f>_xlfn.NUMBERVALUE("-0.003039")</f>
        <v/>
      </c>
      <c r="G417">
        <f>_xlfn.NUMBERVALUE("-0.000223")</f>
        <v/>
      </c>
      <c r="H417">
        <f>_xlfn.NUMBERVALUE("0.000381")</f>
        <v/>
      </c>
      <c r="I417">
        <f>_xlfn.NUMBERVALUE("0.000031")</f>
        <v/>
      </c>
      <c r="J417">
        <f>_xlfn.NUMBERVALUE("-0.000734")</f>
        <v/>
      </c>
      <c r="K417">
        <f>_xlfn.NUMBERVALUE("0.000303")</f>
        <v/>
      </c>
      <c r="L417">
        <f>_xlfn.NUMBERVALUE("0.000081")</f>
        <v/>
      </c>
      <c r="M417">
        <f>_xlfn.NUMBERVALUE("-0.002741")</f>
        <v/>
      </c>
      <c r="N417">
        <f>_xlfn.NUMBERVALUE("0.000000")</f>
        <v/>
      </c>
      <c r="O417">
        <f>_xlfn.NUMBERVALUE("-0.000576")</f>
        <v/>
      </c>
      <c r="P417">
        <f>_xlfn.NUMBERVALUE("-0.002574")</f>
        <v/>
      </c>
      <c r="Q417">
        <f>_xlfn.NUMBERVALUE("0.001750")</f>
        <v/>
      </c>
      <c r="R417">
        <f>_xlfn.NUMBERVALUE("-0.000336")</f>
        <v/>
      </c>
      <c r="S417">
        <f>_xlfn.NUMBERVALUE("-0.001737")</f>
        <v/>
      </c>
      <c r="T417">
        <f>_xlfn.NUMBERVALUE("0.000283")</f>
        <v/>
      </c>
      <c r="U417">
        <f>_xlfn.NUMBERVALUE("-0.000429")</f>
        <v/>
      </c>
      <c r="V417">
        <f>_xlfn.NUMBERVALUE("-0.000487")</f>
        <v/>
      </c>
      <c r="W417">
        <f>_xlfn.NUMBERVALUE("-0.004749")</f>
        <v/>
      </c>
      <c r="X417">
        <f>_xlfn.NUMBERVALUE("1.070000")</f>
        <v/>
      </c>
      <c r="Y417">
        <f>_xlfn.NUMBERVALUE("13.450000")</f>
        <v/>
      </c>
    </row>
    <row r="418">
      <c r="A418" s="1" t="n">
        <v>42607</v>
      </c>
      <c r="B418">
        <f>_xlfn.NUMBERVALUE("0.000000")</f>
        <v/>
      </c>
      <c r="C418" s="2">
        <f>_xlfn.NUMBERVALUE("-0.000191")</f>
        <v/>
      </c>
      <c r="D418">
        <f>_xlfn.NUMBERVALUE("0.002471")</f>
        <v/>
      </c>
      <c r="E418">
        <f>_xlfn.NUMBERVALUE("0.000432")</f>
        <v/>
      </c>
      <c r="F418">
        <f>_xlfn.NUMBERVALUE("-0.001215")</f>
        <v/>
      </c>
      <c r="G418">
        <f>_xlfn.NUMBERVALUE("0.000931")</f>
        <v/>
      </c>
      <c r="H418">
        <f>_xlfn.NUMBERVALUE("0.000283")</f>
        <v/>
      </c>
      <c r="I418">
        <f>_xlfn.NUMBERVALUE("0.000219")</f>
        <v/>
      </c>
      <c r="J418">
        <f>_xlfn.NUMBERVALUE("0.000990")</f>
        <v/>
      </c>
      <c r="K418">
        <f>_xlfn.NUMBERVALUE("-0.000271")</f>
        <v/>
      </c>
      <c r="L418">
        <f>_xlfn.NUMBERVALUE("-0.001139")</f>
        <v/>
      </c>
      <c r="M418">
        <f>_xlfn.NUMBERVALUE("-0.000400")</f>
        <v/>
      </c>
      <c r="N418">
        <f>_xlfn.NUMBERVALUE("0.000000")</f>
        <v/>
      </c>
      <c r="O418">
        <f>_xlfn.NUMBERVALUE("0.000866")</f>
        <v/>
      </c>
      <c r="P418">
        <f>_xlfn.NUMBERVALUE("0.000374")</f>
        <v/>
      </c>
      <c r="Q418">
        <f>_xlfn.NUMBERVALUE("-0.001942")</f>
        <v/>
      </c>
      <c r="R418">
        <f>_xlfn.NUMBERVALUE("0.000020")</f>
        <v/>
      </c>
      <c r="S418">
        <f>_xlfn.NUMBERVALUE("-0.000946")</f>
        <v/>
      </c>
      <c r="T418">
        <f>_xlfn.NUMBERVALUE("0.000381")</f>
        <v/>
      </c>
      <c r="U418">
        <f>_xlfn.NUMBERVALUE("-0.000271")</f>
        <v/>
      </c>
      <c r="V418">
        <f>_xlfn.NUMBERVALUE("0.000437")</f>
        <v/>
      </c>
      <c r="W418">
        <f>_xlfn.NUMBERVALUE("-0.002042")</f>
        <v/>
      </c>
      <c r="X418">
        <f>_xlfn.NUMBERVALUE("0.180000")</f>
        <v/>
      </c>
      <c r="Y418">
        <f>_xlfn.NUMBERVALUE("13.630000")</f>
        <v/>
      </c>
    </row>
    <row r="419">
      <c r="A419" s="1" t="n">
        <v>42608</v>
      </c>
      <c r="B419">
        <f>_xlfn.NUMBERVALUE("0.000000")</f>
        <v/>
      </c>
      <c r="C419" s="2">
        <f>_xlfn.NUMBERVALUE("0.002666")</f>
        <v/>
      </c>
      <c r="D419">
        <f>_xlfn.NUMBERVALUE("0.002670")</f>
        <v/>
      </c>
      <c r="E419">
        <f>_xlfn.NUMBERVALUE("0.001315")</f>
        <v/>
      </c>
      <c r="F419">
        <f>_xlfn.NUMBERVALUE("0.002766")</f>
        <v/>
      </c>
      <c r="G419">
        <f>_xlfn.NUMBERVALUE("0.000641")</f>
        <v/>
      </c>
      <c r="H419">
        <f>_xlfn.NUMBERVALUE("-0.000404")</f>
        <v/>
      </c>
      <c r="I419">
        <f>_xlfn.NUMBERVALUE("0.001616")</f>
        <v/>
      </c>
      <c r="J419">
        <f>_xlfn.NUMBERVALUE("0.000806")</f>
        <v/>
      </c>
      <c r="K419">
        <f>_xlfn.NUMBERVALUE("-0.000180")</f>
        <v/>
      </c>
      <c r="L419">
        <f>_xlfn.NUMBERVALUE("0.003728")</f>
        <v/>
      </c>
      <c r="M419">
        <f>_xlfn.NUMBERVALUE("0.001301")</f>
        <v/>
      </c>
      <c r="N419">
        <f>_xlfn.NUMBERVALUE("0.000000")</f>
        <v/>
      </c>
      <c r="O419">
        <f>_xlfn.NUMBERVALUE("0.001688")</f>
        <v/>
      </c>
      <c r="P419">
        <f>_xlfn.NUMBERVALUE("0.002141")</f>
        <v/>
      </c>
      <c r="Q419">
        <f>_xlfn.NUMBERVALUE("0.001315")</f>
        <v/>
      </c>
      <c r="R419">
        <f>_xlfn.NUMBERVALUE("0.000513")</f>
        <v/>
      </c>
      <c r="S419">
        <f>_xlfn.NUMBERVALUE("0.002378")</f>
        <v/>
      </c>
      <c r="T419">
        <f>_xlfn.NUMBERVALUE("-0.005906")</f>
        <v/>
      </c>
      <c r="U419">
        <f>_xlfn.NUMBERVALUE("0.001477")</f>
        <v/>
      </c>
      <c r="V419">
        <f>_xlfn.NUMBERVALUE("0.002448")</f>
        <v/>
      </c>
      <c r="W419">
        <f>_xlfn.NUMBERVALUE("-0.000874")</f>
        <v/>
      </c>
      <c r="X419">
        <f>_xlfn.NUMBERVALUE("0.020000")</f>
        <v/>
      </c>
      <c r="Y419">
        <f>_xlfn.NUMBERVALUE("13.650000")</f>
        <v/>
      </c>
    </row>
    <row r="420">
      <c r="A420" s="1" t="n">
        <v>42611</v>
      </c>
      <c r="B420">
        <f>_xlfn.NUMBERVALUE("0.000000")</f>
        <v/>
      </c>
      <c r="C420" s="2">
        <f>_xlfn.NUMBERVALUE("0.001866")</f>
        <v/>
      </c>
      <c r="D420">
        <f>_xlfn.NUMBERVALUE("0.001635")</f>
        <v/>
      </c>
      <c r="E420">
        <f>_xlfn.NUMBERVALUE("0.002189")</f>
        <v/>
      </c>
      <c r="F420">
        <f>_xlfn.NUMBERVALUE("0.001604")</f>
        <v/>
      </c>
      <c r="G420">
        <f>_xlfn.NUMBERVALUE("-0.001071")</f>
        <v/>
      </c>
      <c r="H420">
        <f>_xlfn.NUMBERVALUE("0.001270")</f>
        <v/>
      </c>
      <c r="I420">
        <f>_xlfn.NUMBERVALUE("0.001258")</f>
        <v/>
      </c>
      <c r="J420">
        <f>_xlfn.NUMBERVALUE("-0.000725")</f>
        <v/>
      </c>
      <c r="K420">
        <f>_xlfn.NUMBERVALUE("0.000578")</f>
        <v/>
      </c>
      <c r="L420">
        <f>_xlfn.NUMBERVALUE("-0.000166")</f>
        <v/>
      </c>
      <c r="M420">
        <f>_xlfn.NUMBERVALUE("0.001294")</f>
        <v/>
      </c>
      <c r="N420">
        <f>_xlfn.NUMBERVALUE("0.000000")</f>
        <v/>
      </c>
      <c r="O420">
        <f>_xlfn.NUMBERVALUE("0.002578")</f>
        <v/>
      </c>
      <c r="P420">
        <f>_xlfn.NUMBERVALUE("0.000617")</f>
        <v/>
      </c>
      <c r="Q420">
        <f>_xlfn.NUMBERVALUE("0.002127")</f>
        <v/>
      </c>
      <c r="R420">
        <f>_xlfn.NUMBERVALUE("0.002114")</f>
        <v/>
      </c>
      <c r="S420">
        <f>_xlfn.NUMBERVALUE("0.002374")</f>
        <v/>
      </c>
      <c r="T420">
        <f>_xlfn.NUMBERVALUE("0.002435")</f>
        <v/>
      </c>
      <c r="U420">
        <f>_xlfn.NUMBERVALUE("0.002763")</f>
        <v/>
      </c>
      <c r="V420">
        <f>_xlfn.NUMBERVALUE("0.001362")</f>
        <v/>
      </c>
      <c r="W420">
        <f>_xlfn.NUMBERVALUE("0.004625")</f>
        <v/>
      </c>
      <c r="X420">
        <f>_xlfn.NUMBERVALUE("-0.710000")</f>
        <v/>
      </c>
      <c r="Y420">
        <f>_xlfn.NUMBERVALUE("12.940000")</f>
        <v/>
      </c>
    </row>
    <row r="421">
      <c r="A421" s="1" t="n">
        <v>42612</v>
      </c>
      <c r="B421">
        <f>_xlfn.NUMBERVALUE("0.000000")</f>
        <v/>
      </c>
      <c r="C421" s="2">
        <f>_xlfn.NUMBERVALUE("0.000998")</f>
        <v/>
      </c>
      <c r="D421">
        <f>_xlfn.NUMBERVALUE("0.000856")</f>
        <v/>
      </c>
      <c r="E421">
        <f>_xlfn.NUMBERVALUE("0.001267")</f>
        <v/>
      </c>
      <c r="F421">
        <f>_xlfn.NUMBERVALUE("-0.000126")</f>
        <v/>
      </c>
      <c r="G421">
        <f>_xlfn.NUMBERVALUE("-0.000088")</f>
        <v/>
      </c>
      <c r="H421">
        <f>_xlfn.NUMBERVALUE("0.000892")</f>
        <v/>
      </c>
      <c r="I421">
        <f>_xlfn.NUMBERVALUE("0.000094")</f>
        <v/>
      </c>
      <c r="J421">
        <f>_xlfn.NUMBERVALUE("0.000114")</f>
        <v/>
      </c>
      <c r="K421">
        <f>_xlfn.NUMBERVALUE("-0.000103")</f>
        <v/>
      </c>
      <c r="L421">
        <f>_xlfn.NUMBERVALUE("0.001180")</f>
        <v/>
      </c>
      <c r="M421">
        <f>_xlfn.NUMBERVALUE("-0.000038")</f>
        <v/>
      </c>
      <c r="N421">
        <f>_xlfn.NUMBERVALUE("0.000000")</f>
        <v/>
      </c>
      <c r="O421">
        <f>_xlfn.NUMBERVALUE("0.000650")</f>
        <v/>
      </c>
      <c r="P421">
        <f>_xlfn.NUMBERVALUE("-0.001554")</f>
        <v/>
      </c>
      <c r="Q421">
        <f>_xlfn.NUMBERVALUE("0.000565")</f>
        <v/>
      </c>
      <c r="R421">
        <f>_xlfn.NUMBERVALUE("0.000835")</f>
        <v/>
      </c>
      <c r="S421">
        <f>_xlfn.NUMBERVALUE("0.000084")</f>
        <v/>
      </c>
      <c r="T421">
        <f>_xlfn.NUMBERVALUE("-0.000602")</f>
        <v/>
      </c>
      <c r="U421">
        <f>_xlfn.NUMBERVALUE("-0.000095")</f>
        <v/>
      </c>
      <c r="V421">
        <f>_xlfn.NUMBERVALUE("0.001213")</f>
        <v/>
      </c>
      <c r="W421">
        <f>_xlfn.NUMBERVALUE("-0.001786")</f>
        <v/>
      </c>
      <c r="X421">
        <f>_xlfn.NUMBERVALUE("0.180000")</f>
        <v/>
      </c>
      <c r="Y421">
        <f>_xlfn.NUMBERVALUE("13.120000")</f>
        <v/>
      </c>
    </row>
    <row r="422">
      <c r="A422" s="1" t="n">
        <v>42613</v>
      </c>
      <c r="B422">
        <f>_xlfn.NUMBERVALUE("0.000000")</f>
        <v/>
      </c>
      <c r="C422" s="2">
        <f>_xlfn.NUMBERVALUE("0.000852")</f>
        <v/>
      </c>
      <c r="D422">
        <f>_xlfn.NUMBERVALUE("0.000702")</f>
        <v/>
      </c>
      <c r="E422">
        <f>_xlfn.NUMBERVALUE("0.000485")</f>
        <v/>
      </c>
      <c r="F422">
        <f>_xlfn.NUMBERVALUE("0.000030")</f>
        <v/>
      </c>
      <c r="G422">
        <f>_xlfn.NUMBERVALUE("-0.001129")</f>
        <v/>
      </c>
      <c r="H422">
        <f>_xlfn.NUMBERVALUE("0.000895")</f>
        <v/>
      </c>
      <c r="I422">
        <f>_xlfn.NUMBERVALUE("-0.000031")</f>
        <v/>
      </c>
      <c r="J422">
        <f>_xlfn.NUMBERVALUE("-0.000139")</f>
        <v/>
      </c>
      <c r="K422">
        <f>_xlfn.NUMBERVALUE("0.000104")</f>
        <v/>
      </c>
      <c r="L422">
        <f>_xlfn.NUMBERVALUE("0.000558")</f>
        <v/>
      </c>
      <c r="M422">
        <f>_xlfn.NUMBERVALUE("0.000333")</f>
        <v/>
      </c>
      <c r="N422">
        <f>_xlfn.NUMBERVALUE("0.000000")</f>
        <v/>
      </c>
      <c r="O422">
        <f>_xlfn.NUMBERVALUE("-0.000666")</f>
        <v/>
      </c>
      <c r="P422">
        <f>_xlfn.NUMBERVALUE("0.000123")</f>
        <v/>
      </c>
      <c r="Q422">
        <f>_xlfn.NUMBERVALUE("-0.000227")</f>
        <v/>
      </c>
      <c r="R422">
        <f>_xlfn.NUMBERVALUE("0.001651")</f>
        <v/>
      </c>
      <c r="S422">
        <f>_xlfn.NUMBERVALUE("0.001766")</f>
        <v/>
      </c>
      <c r="T422">
        <f>_xlfn.NUMBERVALUE("0.000838")</f>
        <v/>
      </c>
      <c r="U422">
        <f>_xlfn.NUMBERVALUE("0.000387")</f>
        <v/>
      </c>
      <c r="V422">
        <f>_xlfn.NUMBERVALUE("0.000853")</f>
        <v/>
      </c>
      <c r="W422">
        <f>_xlfn.NUMBERVALUE("-0.001168")</f>
        <v/>
      </c>
      <c r="X422">
        <f>_xlfn.NUMBERVALUE("0.300000")</f>
        <v/>
      </c>
      <c r="Y422">
        <f>_xlfn.NUMBERVALUE("13.420000")</f>
        <v/>
      </c>
    </row>
    <row r="423">
      <c r="A423" s="1" t="n">
        <v>42614</v>
      </c>
      <c r="B423">
        <f>_xlfn.NUMBERVALUE("0.000000")</f>
        <v/>
      </c>
      <c r="C423" s="2">
        <f>_xlfn.NUMBERVALUE("0.000114")</f>
        <v/>
      </c>
      <c r="D423">
        <f>_xlfn.NUMBERVALUE("0.001104")</f>
        <v/>
      </c>
      <c r="E423">
        <f>_xlfn.NUMBERVALUE("-0.001649")</f>
        <v/>
      </c>
      <c r="F423">
        <f>_xlfn.NUMBERVALUE("-0.000712")</f>
        <v/>
      </c>
      <c r="G423">
        <f>_xlfn.NUMBERVALUE("-0.000219")</f>
        <v/>
      </c>
      <c r="H423">
        <f>_xlfn.NUMBERVALUE("-0.000155")</f>
        <v/>
      </c>
      <c r="I423">
        <f>_xlfn.NUMBERVALUE("-0.000378")</f>
        <v/>
      </c>
      <c r="J423">
        <f>_xlfn.NUMBERVALUE("0.000084")</f>
        <v/>
      </c>
      <c r="K423">
        <f>_xlfn.NUMBERVALUE("-0.001025")</f>
        <v/>
      </c>
      <c r="L423">
        <f>_xlfn.NUMBERVALUE("0.000416")</f>
        <v/>
      </c>
      <c r="M423">
        <f>_xlfn.NUMBERVALUE("0.002102")</f>
        <v/>
      </c>
      <c r="N423">
        <f>_xlfn.NUMBERVALUE("0.000000")</f>
        <v/>
      </c>
      <c r="O423">
        <f>_xlfn.NUMBERVALUE("0.001054")</f>
        <v/>
      </c>
      <c r="P423">
        <f>_xlfn.NUMBERVALUE("0.000604")</f>
        <v/>
      </c>
      <c r="Q423">
        <f>_xlfn.NUMBERVALUE("0.001694")</f>
        <v/>
      </c>
      <c r="R423">
        <f>_xlfn.NUMBERVALUE("0.000245")</f>
        <v/>
      </c>
      <c r="S423">
        <f>_xlfn.NUMBERVALUE("0.000994")</f>
        <v/>
      </c>
      <c r="T423">
        <f>_xlfn.NUMBERVALUE("0.000066")</f>
        <v/>
      </c>
      <c r="U423">
        <f>_xlfn.NUMBERVALUE("-0.000578")</f>
        <v/>
      </c>
      <c r="V423">
        <f>_xlfn.NUMBERVALUE("0.000193")</f>
        <v/>
      </c>
      <c r="W423">
        <f>_xlfn.NUMBERVALUE("-0.000787")</f>
        <v/>
      </c>
      <c r="X423">
        <f>_xlfn.NUMBERVALUE("0.060000")</f>
        <v/>
      </c>
      <c r="Y423">
        <f>_xlfn.NUMBERVALUE("13.480000")</f>
        <v/>
      </c>
    </row>
    <row r="424">
      <c r="A424" s="1" t="n">
        <v>42615</v>
      </c>
      <c r="B424">
        <f>_xlfn.NUMBERVALUE("0.000000")</f>
        <v/>
      </c>
      <c r="C424" s="2">
        <f>_xlfn.NUMBERVALUE("0.001997")</f>
        <v/>
      </c>
      <c r="D424">
        <f>_xlfn.NUMBERVALUE("-0.000266")</f>
        <v/>
      </c>
      <c r="E424">
        <f>_xlfn.NUMBERVALUE("0.000533")</f>
        <v/>
      </c>
      <c r="F424">
        <f>_xlfn.NUMBERVALUE("0.004194")</f>
        <v/>
      </c>
      <c r="G424">
        <f>_xlfn.NUMBERVALUE("-0.000616")</f>
        <v/>
      </c>
      <c r="H424">
        <f>_xlfn.NUMBERVALUE("0.000316")</f>
        <v/>
      </c>
      <c r="I424">
        <f>_xlfn.NUMBERVALUE("0.001531")</f>
        <v/>
      </c>
      <c r="J424">
        <f>_xlfn.NUMBERVALUE("0.001074")</f>
        <v/>
      </c>
      <c r="K424">
        <f>_xlfn.NUMBERVALUE("0.001753")</f>
        <v/>
      </c>
      <c r="L424">
        <f>_xlfn.NUMBERVALUE("0.001125")</f>
        <v/>
      </c>
      <c r="M424">
        <f>_xlfn.NUMBERVALUE("0.001373")</f>
        <v/>
      </c>
      <c r="N424">
        <f>_xlfn.NUMBERVALUE("0.000000")</f>
        <v/>
      </c>
      <c r="O424">
        <f>_xlfn.NUMBERVALUE("0.001175")</f>
        <v/>
      </c>
      <c r="P424">
        <f>_xlfn.NUMBERVALUE("0.001202")</f>
        <v/>
      </c>
      <c r="Q424">
        <f>_xlfn.NUMBERVALUE("0.002212")</f>
        <v/>
      </c>
      <c r="R424">
        <f>_xlfn.NUMBERVALUE("0.000963")</f>
        <v/>
      </c>
      <c r="S424">
        <f>_xlfn.NUMBERVALUE("-0.001562")</f>
        <v/>
      </c>
      <c r="T424">
        <f>_xlfn.NUMBERVALUE("0.001379")</f>
        <v/>
      </c>
      <c r="U424">
        <f>_xlfn.NUMBERVALUE("0.004386")</f>
        <v/>
      </c>
      <c r="V424">
        <f>_xlfn.NUMBERVALUE("0.002211")</f>
        <v/>
      </c>
      <c r="W424">
        <f>_xlfn.NUMBERVALUE("0.004787")</f>
        <v/>
      </c>
      <c r="X424">
        <f>_xlfn.NUMBERVALUE("-1.500000")</f>
        <v/>
      </c>
      <c r="Y424">
        <f>_xlfn.NUMBERVALUE("11.980000")</f>
        <v/>
      </c>
    </row>
    <row r="425">
      <c r="A425" s="1" t="n">
        <v>42619</v>
      </c>
      <c r="B425">
        <f>_xlfn.NUMBERVALUE("0.000000")</f>
        <v/>
      </c>
      <c r="C425" s="2">
        <f>_xlfn.NUMBERVALUE("0.001235")</f>
        <v/>
      </c>
      <c r="D425">
        <f>_xlfn.NUMBERVALUE("-0.001621")</f>
        <v/>
      </c>
      <c r="E425">
        <f>_xlfn.NUMBERVALUE("0.000328")</f>
        <v/>
      </c>
      <c r="F425">
        <f>_xlfn.NUMBERVALUE("-0.002017")</f>
        <v/>
      </c>
      <c r="G425">
        <f>_xlfn.NUMBERVALUE("0.000950")</f>
        <v/>
      </c>
      <c r="H425">
        <f>_xlfn.NUMBERVALUE("0.000941")</f>
        <v/>
      </c>
      <c r="I425">
        <f>_xlfn.NUMBERVALUE("0.001141")</f>
        <v/>
      </c>
      <c r="J425">
        <f>_xlfn.NUMBERVALUE("0.000267")</f>
        <v/>
      </c>
      <c r="K425">
        <f>_xlfn.NUMBERVALUE("-0.004436")</f>
        <v/>
      </c>
      <c r="L425">
        <f>_xlfn.NUMBERVALUE("0.001072")</f>
        <v/>
      </c>
      <c r="M425">
        <f>_xlfn.NUMBERVALUE("0.007637")</f>
        <v/>
      </c>
      <c r="N425">
        <f>_xlfn.NUMBERVALUE("0.000000")</f>
        <v/>
      </c>
      <c r="O425">
        <f>_xlfn.NUMBERVALUE("-0.001170")</f>
        <v/>
      </c>
      <c r="P425">
        <f>_xlfn.NUMBERVALUE("0.002616")</f>
        <v/>
      </c>
      <c r="Q425">
        <f>_xlfn.NUMBERVALUE("0.006063")</f>
        <v/>
      </c>
      <c r="R425">
        <f>_xlfn.NUMBERVALUE("0.001380")</f>
        <v/>
      </c>
      <c r="S425">
        <f>_xlfn.NUMBERVALUE("0.002835")</f>
        <v/>
      </c>
      <c r="T425">
        <f>_xlfn.NUMBERVALUE("0.002134")</f>
        <v/>
      </c>
      <c r="U425">
        <f>_xlfn.NUMBERVALUE("0.001763")</f>
        <v/>
      </c>
      <c r="V425">
        <f>_xlfn.NUMBERVALUE("0.001078")</f>
        <v/>
      </c>
      <c r="W425">
        <f>_xlfn.NUMBERVALUE("0.002382")</f>
        <v/>
      </c>
      <c r="X425">
        <f>_xlfn.NUMBERVALUE("0.040000")</f>
        <v/>
      </c>
      <c r="Y425">
        <f>_xlfn.NUMBERVALUE("12.020000")</f>
        <v/>
      </c>
    </row>
    <row r="426">
      <c r="A426" s="1" t="n">
        <v>42620</v>
      </c>
      <c r="B426">
        <f>_xlfn.NUMBERVALUE("0.000000")</f>
        <v/>
      </c>
      <c r="C426" s="2">
        <f>_xlfn.NUMBERVALUE("0.000578")</f>
        <v/>
      </c>
      <c r="D426">
        <f>_xlfn.NUMBERVALUE("-0.001116")</f>
        <v/>
      </c>
      <c r="E426">
        <f>_xlfn.NUMBERVALUE("0.001365")</f>
        <v/>
      </c>
      <c r="F426">
        <f>_xlfn.NUMBERVALUE("0.001148")</f>
        <v/>
      </c>
      <c r="G426">
        <f>_xlfn.NUMBERVALUE("0.000097")</f>
        <v/>
      </c>
      <c r="H426">
        <f>_xlfn.NUMBERVALUE("0.000060")</f>
        <v/>
      </c>
      <c r="I426">
        <f>_xlfn.NUMBERVALUE("0.000377")</f>
        <v/>
      </c>
      <c r="J426">
        <f>_xlfn.NUMBERVALUE("-0.000179")</f>
        <v/>
      </c>
      <c r="K426">
        <f>_xlfn.NUMBERVALUE("0.000977")</f>
        <v/>
      </c>
      <c r="L426">
        <f>_xlfn.NUMBERVALUE("0.000367")</f>
        <v/>
      </c>
      <c r="M426">
        <f>_xlfn.NUMBERVALUE("0.000966")</f>
        <v/>
      </c>
      <c r="N426">
        <f>_xlfn.NUMBERVALUE("0.000000")</f>
        <v/>
      </c>
      <c r="O426">
        <f>_xlfn.NUMBERVALUE("0.000350")</f>
        <v/>
      </c>
      <c r="P426">
        <f>_xlfn.NUMBERVALUE("0.000085")</f>
        <v/>
      </c>
      <c r="Q426">
        <f>_xlfn.NUMBERVALUE("0.000863")</f>
        <v/>
      </c>
      <c r="R426">
        <f>_xlfn.NUMBERVALUE("0.000630")</f>
        <v/>
      </c>
      <c r="S426">
        <f>_xlfn.NUMBERVALUE("-0.001171")</f>
        <v/>
      </c>
      <c r="T426">
        <f>_xlfn.NUMBERVALUE("0.001032")</f>
        <v/>
      </c>
      <c r="U426">
        <f>_xlfn.NUMBERVALUE("0.000618")</f>
        <v/>
      </c>
      <c r="V426">
        <f>_xlfn.NUMBERVALUE("0.000821")</f>
        <v/>
      </c>
      <c r="W426">
        <f>_xlfn.NUMBERVALUE("0.000663")</f>
        <v/>
      </c>
      <c r="X426">
        <f>_xlfn.NUMBERVALUE("-0.080000")</f>
        <v/>
      </c>
      <c r="Y426">
        <f>_xlfn.NUMBERVALUE("11.940000")</f>
        <v/>
      </c>
    </row>
    <row r="427">
      <c r="A427" s="1" t="n">
        <v>42621</v>
      </c>
      <c r="B427">
        <f>_xlfn.NUMBERVALUE("0.000000")</f>
        <v/>
      </c>
      <c r="C427" s="2">
        <f>_xlfn.NUMBERVALUE("0.000531")</f>
        <v/>
      </c>
      <c r="D427">
        <f>_xlfn.NUMBERVALUE("0.001896")</f>
        <v/>
      </c>
      <c r="E427">
        <f>_xlfn.NUMBERVALUE("-0.000417")</f>
        <v/>
      </c>
      <c r="F427">
        <f>_xlfn.NUMBERVALUE("0.000040")</f>
        <v/>
      </c>
      <c r="G427">
        <f>_xlfn.NUMBERVALUE("0.000319")</f>
        <v/>
      </c>
      <c r="H427">
        <f>_xlfn.NUMBERVALUE("-0.000536")</f>
        <v/>
      </c>
      <c r="I427">
        <f>_xlfn.NUMBERVALUE("0.000648")</f>
        <v/>
      </c>
      <c r="J427">
        <f>_xlfn.NUMBERVALUE("-0.000675")</f>
        <v/>
      </c>
      <c r="K427">
        <f>_xlfn.NUMBERVALUE("0.000775")</f>
        <v/>
      </c>
      <c r="L427">
        <f>_xlfn.NUMBERVALUE("-0.003107")</f>
        <v/>
      </c>
      <c r="M427">
        <f>_xlfn.NUMBERVALUE("0.000478")</f>
        <v/>
      </c>
      <c r="N427">
        <f>_xlfn.NUMBERVALUE("0.000000")</f>
        <v/>
      </c>
      <c r="O427">
        <f>_xlfn.NUMBERVALUE("-0.003759")</f>
        <v/>
      </c>
      <c r="P427">
        <f>_xlfn.NUMBERVALUE("0.001205")</f>
        <v/>
      </c>
      <c r="Q427">
        <f>_xlfn.NUMBERVALUE("0.001090")</f>
        <v/>
      </c>
      <c r="R427">
        <f>_xlfn.NUMBERVALUE("-0.000094")</f>
        <v/>
      </c>
      <c r="S427">
        <f>_xlfn.NUMBERVALUE("-0.000529")</f>
        <v/>
      </c>
      <c r="T427">
        <f>_xlfn.NUMBERVALUE("0.000660")</f>
        <v/>
      </c>
      <c r="U427">
        <f>_xlfn.NUMBERVALUE("0.000317")</f>
        <v/>
      </c>
      <c r="V427">
        <f>_xlfn.NUMBERVALUE("-0.000020")</f>
        <v/>
      </c>
      <c r="W427">
        <f>_xlfn.NUMBERVALUE("-0.001530")</f>
        <v/>
      </c>
      <c r="X427">
        <f>_xlfn.NUMBERVALUE("0.570000")</f>
        <v/>
      </c>
      <c r="Y427">
        <f>_xlfn.NUMBERVALUE("12.510000")</f>
        <v/>
      </c>
    </row>
    <row r="428">
      <c r="A428" s="1" t="n">
        <v>42622</v>
      </c>
      <c r="B428">
        <f>_xlfn.NUMBERVALUE("0.000000")</f>
        <v/>
      </c>
      <c r="C428" s="2">
        <f>_xlfn.NUMBERVALUE("-0.008239")</f>
        <v/>
      </c>
      <c r="D428">
        <f>_xlfn.NUMBERVALUE("-0.010326")</f>
        <v/>
      </c>
      <c r="E428">
        <f>_xlfn.NUMBERVALUE("-0.007355")</f>
        <v/>
      </c>
      <c r="F428">
        <f>_xlfn.NUMBERVALUE("-0.001661")</f>
        <v/>
      </c>
      <c r="G428">
        <f>_xlfn.NUMBERVALUE("-0.004347")</f>
        <v/>
      </c>
      <c r="H428">
        <f>_xlfn.NUMBERVALUE("-0.000608")</f>
        <v/>
      </c>
      <c r="I428">
        <f>_xlfn.NUMBERVALUE("-0.009806")</f>
        <v/>
      </c>
      <c r="J428">
        <f>_xlfn.NUMBERVALUE("-0.001430")</f>
        <v/>
      </c>
      <c r="K428">
        <f>_xlfn.NUMBERVALUE("-0.007790")</f>
        <v/>
      </c>
      <c r="L428">
        <f>_xlfn.NUMBERVALUE("-0.003325")</f>
        <v/>
      </c>
      <c r="M428">
        <f>_xlfn.NUMBERVALUE("-0.009178")</f>
        <v/>
      </c>
      <c r="N428">
        <f>_xlfn.NUMBERVALUE("0.000000")</f>
        <v/>
      </c>
      <c r="O428">
        <f>_xlfn.NUMBERVALUE("-0.009667")</f>
        <v/>
      </c>
      <c r="P428">
        <f>_xlfn.NUMBERVALUE("-0.005489")</f>
        <v/>
      </c>
      <c r="Q428">
        <f>_xlfn.NUMBERVALUE("-0.009883")</f>
        <v/>
      </c>
      <c r="R428">
        <f>_xlfn.NUMBERVALUE("-0.008121")</f>
        <v/>
      </c>
      <c r="S428">
        <f>_xlfn.NUMBERVALUE("-0.008545")</f>
        <v/>
      </c>
      <c r="T428">
        <f>_xlfn.NUMBERVALUE("-0.016082")</f>
        <v/>
      </c>
      <c r="U428">
        <f>_xlfn.NUMBERVALUE("-0.008026")</f>
        <v/>
      </c>
      <c r="V428">
        <f>_xlfn.NUMBERVALUE("-0.010610")</f>
        <v/>
      </c>
      <c r="W428">
        <f>_xlfn.NUMBERVALUE("-0.021865")</f>
        <v/>
      </c>
      <c r="X428">
        <f>_xlfn.NUMBERVALUE("4.990000")</f>
        <v/>
      </c>
      <c r="Y428">
        <f>_xlfn.NUMBERVALUE("17.500000")</f>
        <v/>
      </c>
    </row>
    <row r="429">
      <c r="A429" s="1" t="n">
        <v>42625</v>
      </c>
      <c r="B429">
        <f>_xlfn.NUMBERVALUE("0.000000")</f>
        <v/>
      </c>
      <c r="C429" s="2">
        <f>_xlfn.NUMBERVALUE("0.000590")</f>
        <v/>
      </c>
      <c r="D429">
        <f>_xlfn.NUMBERVALUE("0.002153")</f>
        <v/>
      </c>
      <c r="E429">
        <f>_xlfn.NUMBERVALUE("0.002252")</f>
        <v/>
      </c>
      <c r="F429">
        <f>_xlfn.NUMBERVALUE("0.001193")</f>
        <v/>
      </c>
      <c r="G429">
        <f>_xlfn.NUMBERVALUE("0.000056")</f>
        <v/>
      </c>
      <c r="H429">
        <f>_xlfn.NUMBERVALUE("0.000889")</f>
        <v/>
      </c>
      <c r="I429">
        <f>_xlfn.NUMBERVALUE("0.003213")</f>
        <v/>
      </c>
      <c r="J429">
        <f>_xlfn.NUMBERVALUE("0.001645")</f>
        <v/>
      </c>
      <c r="K429">
        <f>_xlfn.NUMBERVALUE("0.000011")</f>
        <v/>
      </c>
      <c r="L429">
        <f>_xlfn.NUMBERVALUE("0.000909")</f>
        <v/>
      </c>
      <c r="M429">
        <f>_xlfn.NUMBERVALUE("0.001200")</f>
        <v/>
      </c>
      <c r="N429">
        <f>_xlfn.NUMBERVALUE("0.000000")</f>
        <v/>
      </c>
      <c r="O429">
        <f>_xlfn.NUMBERVALUE("0.002644")</f>
        <v/>
      </c>
      <c r="P429">
        <f>_xlfn.NUMBERVALUE("0.001119")</f>
        <v/>
      </c>
      <c r="Q429">
        <f>_xlfn.NUMBERVALUE("0.002147")</f>
        <v/>
      </c>
      <c r="R429">
        <f>_xlfn.NUMBERVALUE("0.002637")</f>
        <v/>
      </c>
      <c r="S429">
        <f>_xlfn.NUMBERVALUE("-0.000057")</f>
        <v/>
      </c>
      <c r="T429">
        <f>_xlfn.NUMBERVALUE("0.000601")</f>
        <v/>
      </c>
      <c r="U429">
        <f>_xlfn.NUMBERVALUE("0.000001")</f>
        <v/>
      </c>
      <c r="V429">
        <f>_xlfn.NUMBERVALUE("0.000263")</f>
        <v/>
      </c>
      <c r="W429">
        <f>_xlfn.NUMBERVALUE("0.012907")</f>
        <v/>
      </c>
      <c r="X429">
        <f>_xlfn.NUMBERVALUE("-2.340000")</f>
        <v/>
      </c>
      <c r="Y429">
        <f>_xlfn.NUMBERVALUE("15.160000")</f>
        <v/>
      </c>
    </row>
    <row r="430">
      <c r="A430" s="1" t="n">
        <v>42626</v>
      </c>
      <c r="B430">
        <f>_xlfn.NUMBERVALUE("0.000000")</f>
        <v/>
      </c>
      <c r="C430" s="2">
        <f>_xlfn.NUMBERVALUE("-0.005479")</f>
        <v/>
      </c>
      <c r="D430">
        <f>_xlfn.NUMBERVALUE("-0.008689")</f>
        <v/>
      </c>
      <c r="E430">
        <f>_xlfn.NUMBERVALUE("-0.007188")</f>
        <v/>
      </c>
      <c r="F430">
        <f>_xlfn.NUMBERVALUE("-0.001543")</f>
        <v/>
      </c>
      <c r="G430">
        <f>_xlfn.NUMBERVALUE("-0.003779")</f>
        <v/>
      </c>
      <c r="H430">
        <f>_xlfn.NUMBERVALUE("-0.001697")</f>
        <v/>
      </c>
      <c r="I430">
        <f>_xlfn.NUMBERVALUE("-0.005680")</f>
        <v/>
      </c>
      <c r="J430">
        <f>_xlfn.NUMBERVALUE("-0.001607")</f>
        <v/>
      </c>
      <c r="K430">
        <f>_xlfn.NUMBERVALUE("-0.000464")</f>
        <v/>
      </c>
      <c r="L430">
        <f>_xlfn.NUMBERVALUE("-0.001238")</f>
        <v/>
      </c>
      <c r="M430">
        <f>_xlfn.NUMBERVALUE("-0.005571")</f>
        <v/>
      </c>
      <c r="N430">
        <f>_xlfn.NUMBERVALUE("0.000000")</f>
        <v/>
      </c>
      <c r="O430">
        <f>_xlfn.NUMBERVALUE("-0.011333")</f>
        <v/>
      </c>
      <c r="P430">
        <f>_xlfn.NUMBERVALUE("-0.007742")</f>
        <v/>
      </c>
      <c r="Q430">
        <f>_xlfn.NUMBERVALUE("-0.006089")</f>
        <v/>
      </c>
      <c r="R430">
        <f>_xlfn.NUMBERVALUE("-0.003518")</f>
        <v/>
      </c>
      <c r="S430">
        <f>_xlfn.NUMBERVALUE("-0.003491")</f>
        <v/>
      </c>
      <c r="T430">
        <f>_xlfn.NUMBERVALUE("-0.003733")</f>
        <v/>
      </c>
      <c r="U430">
        <f>_xlfn.NUMBERVALUE("-0.004146")</f>
        <v/>
      </c>
      <c r="V430">
        <f>_xlfn.NUMBERVALUE("-0.006292")</f>
        <v/>
      </c>
      <c r="W430">
        <f>_xlfn.NUMBERVALUE("-0.016524")</f>
        <v/>
      </c>
      <c r="X430">
        <f>_xlfn.NUMBERVALUE("2.690000")</f>
        <v/>
      </c>
      <c r="Y430">
        <f>_xlfn.NUMBERVALUE("17.850000")</f>
        <v/>
      </c>
    </row>
    <row r="431">
      <c r="A431" s="1" t="n">
        <v>42627</v>
      </c>
      <c r="B431">
        <f>_xlfn.NUMBERVALUE("0.000000")</f>
        <v/>
      </c>
      <c r="C431" s="2">
        <f>_xlfn.NUMBERVALUE("0.001282")</f>
        <v/>
      </c>
      <c r="D431">
        <f>_xlfn.NUMBERVALUE("0.001109")</f>
        <v/>
      </c>
      <c r="E431">
        <f>_xlfn.NUMBERVALUE("0.002064")</f>
        <v/>
      </c>
      <c r="F431">
        <f>_xlfn.NUMBERVALUE("0.001733")</f>
        <v/>
      </c>
      <c r="G431">
        <f>_xlfn.NUMBERVALUE("0.000177")</f>
        <v/>
      </c>
      <c r="H431">
        <f>_xlfn.NUMBERVALUE("0.001075")</f>
        <v/>
      </c>
      <c r="I431">
        <f>_xlfn.NUMBERVALUE("0.001693")</f>
        <v/>
      </c>
      <c r="J431">
        <f>_xlfn.NUMBERVALUE("0.000809")</f>
        <v/>
      </c>
      <c r="K431">
        <f>_xlfn.NUMBERVALUE("0.000981")</f>
        <v/>
      </c>
      <c r="L431">
        <f>_xlfn.NUMBERVALUE("0.000306")</f>
        <v/>
      </c>
      <c r="M431">
        <f>_xlfn.NUMBERVALUE("0.000027")</f>
        <v/>
      </c>
      <c r="N431">
        <f>_xlfn.NUMBERVALUE("0.000000")</f>
        <v/>
      </c>
      <c r="O431">
        <f>_xlfn.NUMBERVALUE("0.000579")</f>
        <v/>
      </c>
      <c r="P431">
        <f>_xlfn.NUMBERVALUE("0.001202")</f>
        <v/>
      </c>
      <c r="Q431">
        <f>_xlfn.NUMBERVALUE("0.000639")</f>
        <v/>
      </c>
      <c r="R431">
        <f>_xlfn.NUMBERVALUE("-0.001665")</f>
        <v/>
      </c>
      <c r="S431">
        <f>_xlfn.NUMBERVALUE("-0.000199")</f>
        <v/>
      </c>
      <c r="T431">
        <f>_xlfn.NUMBERVALUE("0.001084")</f>
        <v/>
      </c>
      <c r="U431">
        <f>_xlfn.NUMBERVALUE("0.000794")</f>
        <v/>
      </c>
      <c r="V431">
        <f>_xlfn.NUMBERVALUE("0.001186")</f>
        <v/>
      </c>
      <c r="W431">
        <f>_xlfn.NUMBERVALUE("0.000606")</f>
        <v/>
      </c>
      <c r="X431">
        <f>_xlfn.NUMBERVALUE("0.290000")</f>
        <v/>
      </c>
      <c r="Y431">
        <f>_xlfn.NUMBERVALUE("18.140000")</f>
        <v/>
      </c>
    </row>
    <row r="432">
      <c r="A432" s="1" t="n">
        <v>42628</v>
      </c>
      <c r="B432">
        <f>_xlfn.NUMBERVALUE("0.000000")</f>
        <v/>
      </c>
      <c r="C432" s="2">
        <f>_xlfn.NUMBERVALUE("0.000612")</f>
        <v/>
      </c>
      <c r="D432">
        <f>_xlfn.NUMBERVALUE("0.000894")</f>
        <v/>
      </c>
      <c r="E432">
        <f>_xlfn.NUMBERVALUE("0.001987")</f>
        <v/>
      </c>
      <c r="F432">
        <f>_xlfn.NUMBERVALUE("0.001105")</f>
        <v/>
      </c>
      <c r="G432">
        <f>_xlfn.NUMBERVALUE("0.000237")</f>
        <v/>
      </c>
      <c r="H432">
        <f>_xlfn.NUMBERVALUE("0.000352")</f>
        <v/>
      </c>
      <c r="I432">
        <f>_xlfn.NUMBERVALUE("0.000414")</f>
        <v/>
      </c>
      <c r="J432">
        <f>_xlfn.NUMBERVALUE("-0.002894")</f>
        <v/>
      </c>
      <c r="K432">
        <f>_xlfn.NUMBERVALUE("0.003119")</f>
        <v/>
      </c>
      <c r="L432">
        <f>_xlfn.NUMBERVALUE("0.000000")</f>
        <v/>
      </c>
      <c r="M432">
        <f>_xlfn.NUMBERVALUE("0.002079")</f>
        <v/>
      </c>
      <c r="N432">
        <f>_xlfn.NUMBERVALUE("0.000000")</f>
        <v/>
      </c>
      <c r="O432">
        <f>_xlfn.NUMBERVALUE("0.002694")</f>
        <v/>
      </c>
      <c r="P432">
        <f>_xlfn.NUMBERVALUE("0.002460")</f>
        <v/>
      </c>
      <c r="Q432">
        <f>_xlfn.NUMBERVALUE("0.002715")</f>
        <v/>
      </c>
      <c r="R432">
        <f>_xlfn.NUMBERVALUE("-0.002291")</f>
        <v/>
      </c>
      <c r="S432">
        <f>_xlfn.NUMBERVALUE("0.002626")</f>
        <v/>
      </c>
      <c r="T432">
        <f>_xlfn.NUMBERVALUE("0.000302")</f>
        <v/>
      </c>
      <c r="U432">
        <f>_xlfn.NUMBERVALUE("0.001827")</f>
        <v/>
      </c>
      <c r="V432">
        <f>_xlfn.NUMBERVALUE("0.001067")</f>
        <v/>
      </c>
      <c r="W432">
        <f>_xlfn.NUMBERVALUE("0.010979")</f>
        <v/>
      </c>
      <c r="X432">
        <f>_xlfn.NUMBERVALUE("-1.840000")</f>
        <v/>
      </c>
      <c r="Y432">
        <f>_xlfn.NUMBERVALUE("16.300000")</f>
        <v/>
      </c>
    </row>
    <row r="433">
      <c r="A433" s="1" t="n">
        <v>42629</v>
      </c>
      <c r="B433">
        <f>_xlfn.NUMBERVALUE("0.000000")</f>
        <v/>
      </c>
      <c r="C433" s="2">
        <f>_xlfn.NUMBERVALUE("0.000788")</f>
        <v/>
      </c>
      <c r="D433">
        <f>_xlfn.NUMBERVALUE("0.002344")</f>
        <v/>
      </c>
      <c r="E433">
        <f>_xlfn.NUMBERVALUE("-0.000477")</f>
        <v/>
      </c>
      <c r="F433">
        <f>_xlfn.NUMBERVALUE("0.000982")</f>
        <v/>
      </c>
      <c r="G433">
        <f>_xlfn.NUMBERVALUE("0.000786")</f>
        <v/>
      </c>
      <c r="H433">
        <f>_xlfn.NUMBERVALUE("0.000103")</f>
        <v/>
      </c>
      <c r="I433">
        <f>_xlfn.NUMBERVALUE("0.002918")</f>
        <v/>
      </c>
      <c r="J433">
        <f>_xlfn.NUMBERVALUE("0.002651")</f>
        <v/>
      </c>
      <c r="K433">
        <f>_xlfn.NUMBERVALUE("0.002870")</f>
        <v/>
      </c>
      <c r="L433">
        <f>_xlfn.NUMBERVALUE("0.001439")</f>
        <v/>
      </c>
      <c r="M433">
        <f>_xlfn.NUMBERVALUE("0.002120")</f>
        <v/>
      </c>
      <c r="N433">
        <f>_xlfn.NUMBERVALUE("0.000000")</f>
        <v/>
      </c>
      <c r="O433">
        <f>_xlfn.NUMBERVALUE("0.002343")</f>
        <v/>
      </c>
      <c r="P433">
        <f>_xlfn.NUMBERVALUE("-0.001929")</f>
        <v/>
      </c>
      <c r="Q433">
        <f>_xlfn.NUMBERVALUE("-0.000370")</f>
        <v/>
      </c>
      <c r="R433">
        <f>_xlfn.NUMBERVALUE("0.000332")</f>
        <v/>
      </c>
      <c r="S433">
        <f>_xlfn.NUMBERVALUE("0.003766")</f>
        <v/>
      </c>
      <c r="T433">
        <f>_xlfn.NUMBERVALUE("0.003127")</f>
        <v/>
      </c>
      <c r="U433">
        <f>_xlfn.NUMBERVALUE("0.001939")</f>
        <v/>
      </c>
      <c r="V433">
        <f>_xlfn.NUMBERVALUE("0.001381")</f>
        <v/>
      </c>
      <c r="W433">
        <f>_xlfn.NUMBERVALUE("-0.008678")</f>
        <v/>
      </c>
      <c r="X433">
        <f>_xlfn.NUMBERVALUE("-0.930000")</f>
        <v/>
      </c>
      <c r="Y433">
        <f>_xlfn.NUMBERVALUE("15.370000")</f>
        <v/>
      </c>
    </row>
    <row r="434">
      <c r="A434" s="1" t="n">
        <v>42632</v>
      </c>
      <c r="B434">
        <f>_xlfn.NUMBERVALUE("0.000000")</f>
        <v/>
      </c>
      <c r="C434" s="2">
        <f>_xlfn.NUMBERVALUE("0.001134")</f>
        <v/>
      </c>
      <c r="D434">
        <f>_xlfn.NUMBERVALUE("0.002268")</f>
        <v/>
      </c>
      <c r="E434">
        <f>_xlfn.NUMBERVALUE("0.001062")</f>
        <v/>
      </c>
      <c r="F434">
        <f>_xlfn.NUMBERVALUE("0.000599")</f>
        <v/>
      </c>
      <c r="G434">
        <f>_xlfn.NUMBERVALUE("0.001520")</f>
        <v/>
      </c>
      <c r="H434">
        <f>_xlfn.NUMBERVALUE("0.001317")</f>
        <v/>
      </c>
      <c r="I434">
        <f>_xlfn.NUMBERVALUE("0.000247")</f>
        <v/>
      </c>
      <c r="J434">
        <f>_xlfn.NUMBERVALUE("0.000229")</f>
        <v/>
      </c>
      <c r="K434">
        <f>_xlfn.NUMBERVALUE("-0.001433")</f>
        <v/>
      </c>
      <c r="L434">
        <f>_xlfn.NUMBERVALUE("-0.000065")</f>
        <v/>
      </c>
      <c r="M434">
        <f>_xlfn.NUMBERVALUE("0.002249")</f>
        <v/>
      </c>
      <c r="N434">
        <f>_xlfn.NUMBERVALUE("0.000000")</f>
        <v/>
      </c>
      <c r="O434">
        <f>_xlfn.NUMBERVALUE("0.002147")</f>
        <v/>
      </c>
      <c r="P434">
        <f>_xlfn.NUMBERVALUE("-0.085306")</f>
        <v/>
      </c>
      <c r="Q434">
        <f>_xlfn.NUMBERVALUE("0.003151")</f>
        <v/>
      </c>
      <c r="R434">
        <f>_xlfn.NUMBERVALUE("0.000996")</f>
        <v/>
      </c>
      <c r="S434">
        <f>_xlfn.NUMBERVALUE("0.000584")</f>
        <v/>
      </c>
      <c r="T434">
        <f>_xlfn.NUMBERVALUE("-0.000591")</f>
        <v/>
      </c>
      <c r="U434">
        <f>_xlfn.NUMBERVALUE("0.000956")</f>
        <v/>
      </c>
      <c r="V434">
        <f>_xlfn.NUMBERVALUE("0.000851")</f>
        <v/>
      </c>
      <c r="W434">
        <f>_xlfn.NUMBERVALUE("-0.000094")</f>
        <v/>
      </c>
      <c r="X434">
        <f>_xlfn.NUMBERVALUE("0.160000")</f>
        <v/>
      </c>
      <c r="Y434">
        <f>_xlfn.NUMBERVALUE("15.530000")</f>
        <v/>
      </c>
    </row>
    <row r="435">
      <c r="A435" s="1" t="n">
        <v>42633</v>
      </c>
      <c r="B435">
        <f>_xlfn.NUMBERVALUE("0.000000")</f>
        <v/>
      </c>
      <c r="C435" s="2">
        <f>_xlfn.NUMBERVALUE("-0.000011")</f>
        <v/>
      </c>
      <c r="D435">
        <f>_xlfn.NUMBERVALUE("-0.000103")</f>
        <v/>
      </c>
      <c r="E435">
        <f>_xlfn.NUMBERVALUE("-0.000484")</f>
        <v/>
      </c>
      <c r="F435">
        <f>_xlfn.NUMBERVALUE("0.000690")</f>
        <v/>
      </c>
      <c r="G435">
        <f>_xlfn.NUMBERVALUE("-0.000485")</f>
        <v/>
      </c>
      <c r="H435">
        <f>_xlfn.NUMBERVALUE("-0.000596")</f>
        <v/>
      </c>
      <c r="I435">
        <f>_xlfn.NUMBERVALUE("-0.000141")</f>
        <v/>
      </c>
      <c r="J435">
        <f>_xlfn.NUMBERVALUE("0.000710")</f>
        <v/>
      </c>
      <c r="K435">
        <f>_xlfn.NUMBERVALUE("-0.000243")</f>
        <v/>
      </c>
      <c r="L435">
        <f>_xlfn.NUMBERVALUE("-0.000285")</f>
        <v/>
      </c>
      <c r="M435">
        <f>_xlfn.NUMBERVALUE("-0.001649")</f>
        <v/>
      </c>
      <c r="N435">
        <f>_xlfn.NUMBERVALUE("0.000000")</f>
        <v/>
      </c>
      <c r="O435">
        <f>_xlfn.NUMBERVALUE("-0.000459")</f>
        <v/>
      </c>
      <c r="P435">
        <f>_xlfn.NUMBERVALUE("-0.151633")</f>
        <v/>
      </c>
      <c r="Q435">
        <f>_xlfn.NUMBERVALUE("-0.000694")</f>
        <v/>
      </c>
      <c r="R435">
        <f>_xlfn.NUMBERVALUE("-0.000042")</f>
        <v/>
      </c>
      <c r="S435">
        <f>_xlfn.NUMBERVALUE("0.000800")</f>
        <v/>
      </c>
      <c r="T435">
        <f>_xlfn.NUMBERVALUE("-0.000414")</f>
        <v/>
      </c>
      <c r="U435">
        <f>_xlfn.NUMBERVALUE("0.000410")</f>
        <v/>
      </c>
      <c r="V435">
        <f>_xlfn.NUMBERVALUE("0.000037")</f>
        <v/>
      </c>
      <c r="W435">
        <f>_xlfn.NUMBERVALUE("0.001124")</f>
        <v/>
      </c>
      <c r="X435">
        <f>_xlfn.NUMBERVALUE("0.390000")</f>
        <v/>
      </c>
      <c r="Y435">
        <f>_xlfn.NUMBERVALUE("15.920000")</f>
        <v/>
      </c>
    </row>
    <row r="436">
      <c r="A436" s="1" t="n">
        <v>42634</v>
      </c>
      <c r="B436">
        <f>_xlfn.NUMBERVALUE("0.000000")</f>
        <v/>
      </c>
      <c r="C436" s="2">
        <f>_xlfn.NUMBERVALUE("0.002812")</f>
        <v/>
      </c>
      <c r="D436">
        <f>_xlfn.NUMBERVALUE("-0.003104")</f>
        <v/>
      </c>
      <c r="E436">
        <f>_xlfn.NUMBERVALUE("-0.002634")</f>
        <v/>
      </c>
      <c r="F436">
        <f>_xlfn.NUMBERVALUE("-0.000083")</f>
        <v/>
      </c>
      <c r="G436">
        <f>_xlfn.NUMBERVALUE("0.003472")</f>
        <v/>
      </c>
      <c r="H436">
        <f>_xlfn.NUMBERVALUE("0.001548")</f>
        <v/>
      </c>
      <c r="I436">
        <f>_xlfn.NUMBERVALUE("0.001891")</f>
        <v/>
      </c>
      <c r="J436">
        <f>_xlfn.NUMBERVALUE("0.000332")</f>
        <v/>
      </c>
      <c r="K436">
        <f>_xlfn.NUMBERVALUE("-0.007439")</f>
        <v/>
      </c>
      <c r="L436">
        <f>_xlfn.NUMBERVALUE("0.000593")</f>
        <v/>
      </c>
      <c r="M436">
        <f>_xlfn.NUMBERVALUE("0.003357")</f>
        <v/>
      </c>
      <c r="N436">
        <f>_xlfn.NUMBERVALUE("0.000000")</f>
        <v/>
      </c>
      <c r="O436">
        <f>_xlfn.NUMBERVALUE("0.000475")</f>
        <v/>
      </c>
      <c r="P436">
        <f>_xlfn.NUMBERVALUE("0.129147")</f>
        <v/>
      </c>
      <c r="Q436">
        <f>_xlfn.NUMBERVALUE("0.001904")</f>
        <v/>
      </c>
      <c r="R436">
        <f>_xlfn.NUMBERVALUE("0.001257")</f>
        <v/>
      </c>
      <c r="S436">
        <f>_xlfn.NUMBERVALUE("0.000835")</f>
        <v/>
      </c>
      <c r="T436">
        <f>_xlfn.NUMBERVALUE("0.000284")</f>
        <v/>
      </c>
      <c r="U436">
        <f>_xlfn.NUMBERVALUE("0.001783")</f>
        <v/>
      </c>
      <c r="V436">
        <f>_xlfn.NUMBERVALUE("0.002069")</f>
        <v/>
      </c>
      <c r="W436">
        <f>_xlfn.NUMBERVALUE("0.009868")</f>
        <v/>
      </c>
      <c r="X436">
        <f>_xlfn.NUMBERVALUE("-2.620000")</f>
        <v/>
      </c>
      <c r="Y436">
        <f>_xlfn.NUMBERVALUE("13.300000")</f>
        <v/>
      </c>
    </row>
    <row r="437">
      <c r="A437" s="1" t="n">
        <v>42635</v>
      </c>
      <c r="B437">
        <f>_xlfn.NUMBERVALUE("0.000000")</f>
        <v/>
      </c>
      <c r="C437" s="2">
        <f>_xlfn.NUMBERVALUE("0.001613")</f>
        <v/>
      </c>
      <c r="D437">
        <f>_xlfn.NUMBERVALUE("0.002060")</f>
        <v/>
      </c>
      <c r="E437">
        <f>_xlfn.NUMBERVALUE("-0.000828")</f>
        <v/>
      </c>
      <c r="F437">
        <f>_xlfn.NUMBERVALUE("0.003382")</f>
        <v/>
      </c>
      <c r="G437">
        <f>_xlfn.NUMBERVALUE("-0.000483")</f>
        <v/>
      </c>
      <c r="H437">
        <f>_xlfn.NUMBERVALUE("-0.000067")</f>
        <v/>
      </c>
      <c r="I437">
        <f>_xlfn.NUMBERVALUE("-0.001345")</f>
        <v/>
      </c>
      <c r="J437">
        <f>_xlfn.NUMBERVALUE("-0.000420")</f>
        <v/>
      </c>
      <c r="K437">
        <f>_xlfn.NUMBERVALUE("0.002864")</f>
        <v/>
      </c>
      <c r="L437">
        <f>_xlfn.NUMBERVALUE("0.002467")</f>
        <v/>
      </c>
      <c r="M437">
        <f>_xlfn.NUMBERVALUE("0.001979")</f>
        <v/>
      </c>
      <c r="N437">
        <f>_xlfn.NUMBERVALUE("0.000000")</f>
        <v/>
      </c>
      <c r="O437">
        <f>_xlfn.NUMBERVALUE("0.003576")</f>
        <v/>
      </c>
      <c r="P437">
        <f>_xlfn.NUMBERVALUE("0.028776")</f>
        <v/>
      </c>
      <c r="Q437">
        <f>_xlfn.NUMBERVALUE("0.000636")</f>
        <v/>
      </c>
      <c r="R437">
        <f>_xlfn.NUMBERVALUE("0.001648")</f>
        <v/>
      </c>
      <c r="S437">
        <f>_xlfn.NUMBERVALUE("0.000485")</f>
        <v/>
      </c>
      <c r="T437">
        <f>_xlfn.NUMBERVALUE("0.000583")</f>
        <v/>
      </c>
      <c r="U437">
        <f>_xlfn.NUMBERVALUE("0.001577")</f>
        <v/>
      </c>
      <c r="V437">
        <f>_xlfn.NUMBERVALUE("0.001466")</f>
        <v/>
      </c>
      <c r="W437">
        <f>_xlfn.NUMBERVALUE("0.006344")</f>
        <v/>
      </c>
      <c r="X437">
        <f>_xlfn.NUMBERVALUE("-1.280000")</f>
        <v/>
      </c>
      <c r="Y437">
        <f>_xlfn.NUMBERVALUE("12.020000")</f>
        <v/>
      </c>
    </row>
    <row r="438">
      <c r="A438" s="1" t="n">
        <v>42636</v>
      </c>
      <c r="B438">
        <f>_xlfn.NUMBERVALUE("0.000000")</f>
        <v/>
      </c>
      <c r="C438" s="2">
        <f>_xlfn.NUMBERVALUE("-0.000629")</f>
        <v/>
      </c>
      <c r="D438">
        <f>_xlfn.NUMBERVALUE("-0.001597")</f>
        <v/>
      </c>
      <c r="E438">
        <f>_xlfn.NUMBERVALUE("0.000185")</f>
        <v/>
      </c>
      <c r="F438">
        <f>_xlfn.NUMBERVALUE("0.001003")</f>
        <v/>
      </c>
      <c r="G438">
        <f>_xlfn.NUMBERVALUE("0.001863")</f>
        <v/>
      </c>
      <c r="H438">
        <f>_xlfn.NUMBERVALUE("0.000428")</f>
        <v/>
      </c>
      <c r="I438">
        <f>_xlfn.NUMBERVALUE("0.001020")</f>
        <v/>
      </c>
      <c r="J438">
        <f>_xlfn.NUMBERVALUE("0.000557")</f>
        <v/>
      </c>
      <c r="K438">
        <f>_xlfn.NUMBERVALUE("0.001716")</f>
        <v/>
      </c>
      <c r="L438">
        <f>_xlfn.NUMBERVALUE("0.001054")</f>
        <v/>
      </c>
      <c r="M438">
        <f>_xlfn.NUMBERVALUE("-0.000955")</f>
        <v/>
      </c>
      <c r="N438">
        <f>_xlfn.NUMBERVALUE("0.000000")</f>
        <v/>
      </c>
      <c r="O438">
        <f>_xlfn.NUMBERVALUE("-0.002972")</f>
        <v/>
      </c>
      <c r="P438">
        <f>_xlfn.NUMBERVALUE("0.014449")</f>
        <v/>
      </c>
      <c r="Q438">
        <f>_xlfn.NUMBERVALUE("-0.000149")</f>
        <v/>
      </c>
      <c r="R438">
        <f>_xlfn.NUMBERVALUE("0.000213")</f>
        <v/>
      </c>
      <c r="S438">
        <f>_xlfn.NUMBERVALUE("-0.000172")</f>
        <v/>
      </c>
      <c r="T438">
        <f>_xlfn.NUMBERVALUE("0.000879")</f>
        <v/>
      </c>
      <c r="U438">
        <f>_xlfn.NUMBERVALUE("-0.000712")</f>
        <v/>
      </c>
      <c r="V438">
        <f>_xlfn.NUMBERVALUE("-0.000111")</f>
        <v/>
      </c>
      <c r="W438">
        <f>_xlfn.NUMBERVALUE("-0.005729")</f>
        <v/>
      </c>
      <c r="X438">
        <f>_xlfn.NUMBERVALUE("0.270000")</f>
        <v/>
      </c>
      <c r="Y438">
        <f>_xlfn.NUMBERVALUE("12.290000")</f>
        <v/>
      </c>
    </row>
    <row r="439">
      <c r="A439" s="1" t="n">
        <v>42639</v>
      </c>
      <c r="B439">
        <f>_xlfn.NUMBERVALUE("0.000000")</f>
        <v/>
      </c>
      <c r="C439" s="2">
        <f>_xlfn.NUMBERVALUE("-0.002083")</f>
        <v/>
      </c>
      <c r="D439">
        <f>_xlfn.NUMBERVALUE("0.000412")</f>
        <v/>
      </c>
      <c r="E439">
        <f>_xlfn.NUMBERVALUE("-0.001863")</f>
        <v/>
      </c>
      <c r="F439">
        <f>_xlfn.NUMBERVALUE("-0.001396")</f>
        <v/>
      </c>
      <c r="G439">
        <f>_xlfn.NUMBERVALUE("-0.000011")</f>
        <v/>
      </c>
      <c r="H439">
        <f>_xlfn.NUMBERVALUE("0.000380")</f>
        <v/>
      </c>
      <c r="I439">
        <f>_xlfn.NUMBERVALUE("-0.004151")</f>
        <v/>
      </c>
      <c r="J439">
        <f>_xlfn.NUMBERVALUE("0.000854")</f>
        <v/>
      </c>
      <c r="K439">
        <f>_xlfn.NUMBERVALUE("0.002988")</f>
        <v/>
      </c>
      <c r="L439">
        <f>_xlfn.NUMBERVALUE("0.000412")</f>
        <v/>
      </c>
      <c r="M439">
        <f>_xlfn.NUMBERVALUE("-0.000866")</f>
        <v/>
      </c>
      <c r="N439">
        <f>_xlfn.NUMBERVALUE("0.000000")</f>
        <v/>
      </c>
      <c r="O439">
        <f>_xlfn.NUMBERVALUE("-0.000435")</f>
        <v/>
      </c>
      <c r="P439">
        <f>_xlfn.NUMBERVALUE("-0.000253")</f>
        <v/>
      </c>
      <c r="Q439">
        <f>_xlfn.NUMBERVALUE("-0.002637")</f>
        <v/>
      </c>
      <c r="R439">
        <f>_xlfn.NUMBERVALUE("-0.001311")</f>
        <v/>
      </c>
      <c r="S439">
        <f>_xlfn.NUMBERVALUE("-0.001104")</f>
        <v/>
      </c>
      <c r="T439">
        <f>_xlfn.NUMBERVALUE("0.000340")</f>
        <v/>
      </c>
      <c r="U439">
        <f>_xlfn.NUMBERVALUE("-0.000766")</f>
        <v/>
      </c>
      <c r="V439">
        <f>_xlfn.NUMBERVALUE("-0.002932")</f>
        <v/>
      </c>
      <c r="W439">
        <f>_xlfn.NUMBERVALUE("-0.008488")</f>
        <v/>
      </c>
      <c r="X439">
        <f>_xlfn.NUMBERVALUE("2.210000")</f>
        <v/>
      </c>
      <c r="Y439">
        <f>_xlfn.NUMBERVALUE("14.500000")</f>
        <v/>
      </c>
    </row>
    <row r="440">
      <c r="A440" s="1" t="n">
        <v>42640</v>
      </c>
      <c r="B440">
        <f>_xlfn.NUMBERVALUE("0.000000")</f>
        <v/>
      </c>
      <c r="C440" s="2">
        <f>_xlfn.NUMBERVALUE("0.001673")</f>
        <v/>
      </c>
      <c r="D440">
        <f>_xlfn.NUMBERVALUE("0.001186")</f>
        <v/>
      </c>
      <c r="E440">
        <f>_xlfn.NUMBERVALUE("0.003156")</f>
        <v/>
      </c>
      <c r="F440">
        <f>_xlfn.NUMBERVALUE("0.000348")</f>
        <v/>
      </c>
      <c r="G440">
        <f>_xlfn.NUMBERVALUE("0.001427")</f>
        <v/>
      </c>
      <c r="H440">
        <f>_xlfn.NUMBERVALUE("0.000277")</f>
        <v/>
      </c>
      <c r="I440">
        <f>_xlfn.NUMBERVALUE("0.004760")</f>
        <v/>
      </c>
      <c r="J440">
        <f>_xlfn.NUMBERVALUE("-0.000661")</f>
        <v/>
      </c>
      <c r="K440">
        <f>_xlfn.NUMBERVALUE("0.000586")</f>
        <v/>
      </c>
      <c r="L440">
        <f>_xlfn.NUMBERVALUE("0.000881")</f>
        <v/>
      </c>
      <c r="M440">
        <f>_xlfn.NUMBERVALUE("0.001941")</f>
        <v/>
      </c>
      <c r="N440">
        <f>_xlfn.NUMBERVALUE("0.000000")</f>
        <v/>
      </c>
      <c r="O440">
        <f>_xlfn.NUMBERVALUE("0.000956")</f>
        <v/>
      </c>
      <c r="P440">
        <f>_xlfn.NUMBERVALUE("0.000126")</f>
        <v/>
      </c>
      <c r="Q440">
        <f>_xlfn.NUMBERVALUE("0.004265")</f>
        <v/>
      </c>
      <c r="R440">
        <f>_xlfn.NUMBERVALUE("0.000614")</f>
        <v/>
      </c>
      <c r="S440">
        <f>_xlfn.NUMBERVALUE("0.000269")</f>
        <v/>
      </c>
      <c r="T440">
        <f>_xlfn.NUMBERVALUE("-0.000177")</f>
        <v/>
      </c>
      <c r="U440">
        <f>_xlfn.NUMBERVALUE("0.001220")</f>
        <v/>
      </c>
      <c r="V440">
        <f>_xlfn.NUMBERVALUE("0.002574")</f>
        <v/>
      </c>
      <c r="W440">
        <f>_xlfn.NUMBERVALUE("0.005690")</f>
        <v/>
      </c>
      <c r="X440">
        <f>_xlfn.NUMBERVALUE("-1.400000")</f>
        <v/>
      </c>
      <c r="Y440">
        <f>_xlfn.NUMBERVALUE("13.100000")</f>
        <v/>
      </c>
    </row>
    <row r="441">
      <c r="A441" s="1" t="n">
        <v>42641</v>
      </c>
      <c r="B441">
        <f>_xlfn.NUMBERVALUE("0.000000")</f>
        <v/>
      </c>
      <c r="C441" s="2">
        <f>_xlfn.NUMBERVALUE("0.000509")</f>
        <v/>
      </c>
      <c r="D441">
        <f>_xlfn.NUMBERVALUE("0.000052")</f>
        <v/>
      </c>
      <c r="E441">
        <f>_xlfn.NUMBERVALUE("-0.000764")</f>
        <v/>
      </c>
      <c r="F441">
        <f>_xlfn.NUMBERVALUE("0.001344")</f>
        <v/>
      </c>
      <c r="G441">
        <f>_xlfn.NUMBERVALUE("-0.002074")</f>
        <v/>
      </c>
      <c r="H441">
        <f>_xlfn.NUMBERVALUE("0.000228")</f>
        <v/>
      </c>
      <c r="I441">
        <f>_xlfn.NUMBERVALUE("-0.000240")</f>
        <v/>
      </c>
      <c r="J441">
        <f>_xlfn.NUMBERVALUE("0.000676")</f>
        <v/>
      </c>
      <c r="K441">
        <f>_xlfn.NUMBERVALUE("0.003197")</f>
        <v/>
      </c>
      <c r="L441">
        <f>_xlfn.NUMBERVALUE("0.000170")</f>
        <v/>
      </c>
      <c r="M441">
        <f>_xlfn.NUMBERVALUE("0.000496")</f>
        <v/>
      </c>
      <c r="N441">
        <f>_xlfn.NUMBERVALUE("0.000000")</f>
        <v/>
      </c>
      <c r="O441">
        <f>_xlfn.NUMBERVALUE("-0.013877")</f>
        <v/>
      </c>
      <c r="P441">
        <f>_xlfn.NUMBERVALUE("0.000130")</f>
        <v/>
      </c>
      <c r="Q441">
        <f>_xlfn.NUMBERVALUE("-0.001118")</f>
        <v/>
      </c>
      <c r="R441">
        <f>_xlfn.NUMBERVALUE("0.001173")</f>
        <v/>
      </c>
      <c r="S441">
        <f>_xlfn.NUMBERVALUE("0.000632")</f>
        <v/>
      </c>
      <c r="T441">
        <f>_xlfn.NUMBERVALUE("0.001415")</f>
        <v/>
      </c>
      <c r="U441">
        <f>_xlfn.NUMBERVALUE("0.001244")</f>
        <v/>
      </c>
      <c r="V441">
        <f>_xlfn.NUMBERVALUE("0.000748")</f>
        <v/>
      </c>
      <c r="W441">
        <f>_xlfn.NUMBERVALUE("0.005291")</f>
        <v/>
      </c>
      <c r="X441">
        <f>_xlfn.NUMBERVALUE("-0.710000")</f>
        <v/>
      </c>
      <c r="Y441">
        <f>_xlfn.NUMBERVALUE("12.390000")</f>
        <v/>
      </c>
    </row>
    <row r="442">
      <c r="A442" s="1" t="n">
        <v>42642</v>
      </c>
      <c r="B442">
        <f>_xlfn.NUMBERVALUE("0.000000")</f>
        <v/>
      </c>
      <c r="C442" s="2">
        <f>_xlfn.NUMBERVALUE("-0.002082")</f>
        <v/>
      </c>
      <c r="D442">
        <f>_xlfn.NUMBERVALUE("0.000605")</f>
        <v/>
      </c>
      <c r="E442">
        <f>_xlfn.NUMBERVALUE("0.001153")</f>
        <v/>
      </c>
      <c r="F442">
        <f>_xlfn.NUMBERVALUE("0.001551")</f>
        <v/>
      </c>
      <c r="G442">
        <f>_xlfn.NUMBERVALUE("0.000680")</f>
        <v/>
      </c>
      <c r="H442">
        <f>_xlfn.NUMBERVALUE("0.000210")</f>
        <v/>
      </c>
      <c r="I442">
        <f>_xlfn.NUMBERVALUE("-0.002417")</f>
        <v/>
      </c>
      <c r="J442">
        <f>_xlfn.NUMBERVALUE("0.000696")</f>
        <v/>
      </c>
      <c r="K442">
        <f>_xlfn.NUMBERVALUE("0.003297")</f>
        <v/>
      </c>
      <c r="L442">
        <f>_xlfn.NUMBERVALUE("-0.000123")</f>
        <v/>
      </c>
      <c r="M442">
        <f>_xlfn.NUMBERVALUE("0.000393")</f>
        <v/>
      </c>
      <c r="N442">
        <f>_xlfn.NUMBERVALUE("0.000000")</f>
        <v/>
      </c>
      <c r="O442">
        <f>_xlfn.NUMBERVALUE("-0.000757")</f>
        <v/>
      </c>
      <c r="P442">
        <f>_xlfn.NUMBERVALUE("-0.000002")</f>
        <v/>
      </c>
      <c r="Q442">
        <f>_xlfn.NUMBERVALUE("-0.001204")</f>
        <v/>
      </c>
      <c r="R442">
        <f>_xlfn.NUMBERVALUE("-0.000523")</f>
        <v/>
      </c>
      <c r="S442">
        <f>_xlfn.NUMBERVALUE("-0.000192")</f>
        <v/>
      </c>
      <c r="T442">
        <f>_xlfn.NUMBERVALUE("-0.000645")</f>
        <v/>
      </c>
      <c r="U442">
        <f>_xlfn.NUMBERVALUE("-0.001563")</f>
        <v/>
      </c>
      <c r="V442">
        <f>_xlfn.NUMBERVALUE("-0.001346")</f>
        <v/>
      </c>
      <c r="W442">
        <f>_xlfn.NUMBERVALUE("-0.006602")</f>
        <v/>
      </c>
      <c r="X442">
        <f>_xlfn.NUMBERVALUE("1.630000")</f>
        <v/>
      </c>
      <c r="Y442">
        <f>_xlfn.NUMBERVALUE("14.020000")</f>
        <v/>
      </c>
    </row>
    <row r="443">
      <c r="A443" s="1" t="n">
        <v>42643</v>
      </c>
      <c r="B443">
        <f>_xlfn.NUMBERVALUE("0.000000")</f>
        <v/>
      </c>
      <c r="C443" s="2">
        <f>_xlfn.NUMBERVALUE("0.001019")</f>
        <v/>
      </c>
      <c r="D443">
        <f>_xlfn.NUMBERVALUE("0.000177")</f>
        <v/>
      </c>
      <c r="E443">
        <f>_xlfn.NUMBERVALUE("-0.001635")</f>
        <v/>
      </c>
      <c r="F443">
        <f>_xlfn.NUMBERVALUE("0.000693")</f>
        <v/>
      </c>
      <c r="G443">
        <f>_xlfn.NUMBERVALUE("-0.000992")</f>
        <v/>
      </c>
      <c r="H443">
        <f>_xlfn.NUMBERVALUE("0.000250")</f>
        <v/>
      </c>
      <c r="I443">
        <f>_xlfn.NUMBERVALUE("-0.002702")</f>
        <v/>
      </c>
      <c r="J443">
        <f>_xlfn.NUMBERVALUE("-0.000149")</f>
        <v/>
      </c>
      <c r="K443">
        <f>_xlfn.NUMBERVALUE("0.001116")</f>
        <v/>
      </c>
      <c r="L443">
        <f>_xlfn.NUMBERVALUE("-0.000772")</f>
        <v/>
      </c>
      <c r="M443">
        <f>_xlfn.NUMBERVALUE("-0.000737")</f>
        <v/>
      </c>
      <c r="N443">
        <f>_xlfn.NUMBERVALUE("0.000000")</f>
        <v/>
      </c>
      <c r="O443">
        <f>_xlfn.NUMBERVALUE("0.004731")</f>
        <v/>
      </c>
      <c r="P443">
        <f>_xlfn.NUMBERVALUE("0.000131")</f>
        <v/>
      </c>
      <c r="Q443">
        <f>_xlfn.NUMBERVALUE("0.000797")</f>
        <v/>
      </c>
      <c r="R443">
        <f>_xlfn.NUMBERVALUE("0.001500")</f>
        <v/>
      </c>
      <c r="S443">
        <f>_xlfn.NUMBERVALUE("0.000225")</f>
        <v/>
      </c>
      <c r="T443">
        <f>_xlfn.NUMBERVALUE("0.001389")</f>
        <v/>
      </c>
      <c r="U443">
        <f>_xlfn.NUMBERVALUE("0.002417")</f>
        <v/>
      </c>
      <c r="V443">
        <f>_xlfn.NUMBERVALUE("0.002819")</f>
        <v/>
      </c>
      <c r="W443">
        <f>_xlfn.NUMBERVALUE("0.004044")</f>
        <v/>
      </c>
      <c r="X443">
        <f>_xlfn.NUMBERVALUE("-0.730000")</f>
        <v/>
      </c>
      <c r="Y443">
        <f>_xlfn.NUMBERVALUE("13.290000")</f>
        <v/>
      </c>
    </row>
    <row r="444">
      <c r="A444" s="1" t="n">
        <v>42646</v>
      </c>
      <c r="B444">
        <f>_xlfn.NUMBERVALUE("0.000000")</f>
        <v/>
      </c>
      <c r="C444" s="2">
        <f>_xlfn.NUMBERVALUE("0.000763")</f>
        <v/>
      </c>
      <c r="D444">
        <f>_xlfn.NUMBERVALUE("0.001078")</f>
        <v/>
      </c>
      <c r="E444">
        <f>_xlfn.NUMBERVALUE("0.001212")</f>
        <v/>
      </c>
      <c r="F444">
        <f>_xlfn.NUMBERVALUE("0.001839")</f>
        <v/>
      </c>
      <c r="G444">
        <f>_xlfn.NUMBERVALUE("-0.000394")</f>
        <v/>
      </c>
      <c r="H444">
        <f>_xlfn.NUMBERVALUE("-0.000605")</f>
        <v/>
      </c>
      <c r="I444">
        <f>_xlfn.NUMBERVALUE("0.000421")</f>
        <v/>
      </c>
      <c r="J444">
        <f>_xlfn.NUMBERVALUE("-0.000370")</f>
        <v/>
      </c>
      <c r="K444">
        <f>_xlfn.NUMBERVALUE("-0.002872")</f>
        <v/>
      </c>
      <c r="L444">
        <f>_xlfn.NUMBERVALUE("0.001302")</f>
        <v/>
      </c>
      <c r="M444">
        <f>_xlfn.NUMBERVALUE("0.001498")</f>
        <v/>
      </c>
      <c r="N444">
        <f>_xlfn.NUMBERVALUE("0.000000")</f>
        <v/>
      </c>
      <c r="O444">
        <f>_xlfn.NUMBERVALUE("0.004468")</f>
        <v/>
      </c>
      <c r="P444">
        <f>_xlfn.NUMBERVALUE("-0.000123")</f>
        <v/>
      </c>
      <c r="Q444">
        <f>_xlfn.NUMBERVALUE("0.002826")</f>
        <v/>
      </c>
      <c r="R444">
        <f>_xlfn.NUMBERVALUE("0.003239")</f>
        <v/>
      </c>
      <c r="S444">
        <f>_xlfn.NUMBERVALUE("-0.000166")</f>
        <v/>
      </c>
      <c r="T444">
        <f>_xlfn.NUMBERVALUE("-0.001567")</f>
        <v/>
      </c>
      <c r="U444">
        <f>_xlfn.NUMBERVALUE("0.002572")</f>
        <v/>
      </c>
      <c r="V444">
        <f>_xlfn.NUMBERVALUE("0.000652")</f>
        <v/>
      </c>
      <c r="W444">
        <f>_xlfn.NUMBERVALUE("-0.004772")</f>
        <v/>
      </c>
      <c r="X444">
        <f>_xlfn.NUMBERVALUE("0.280000")</f>
        <v/>
      </c>
      <c r="Y444">
        <f>_xlfn.NUMBERVALUE("13.570000")</f>
        <v/>
      </c>
    </row>
    <row r="445">
      <c r="A445" s="1" t="n">
        <v>42647</v>
      </c>
      <c r="B445">
        <f>_xlfn.NUMBERVALUE("0.000000")</f>
        <v/>
      </c>
      <c r="C445" s="2">
        <f>_xlfn.NUMBERVALUE("-0.000281")</f>
        <v/>
      </c>
      <c r="D445">
        <f>_xlfn.NUMBERVALUE("-0.000599")</f>
        <v/>
      </c>
      <c r="E445">
        <f>_xlfn.NUMBERVALUE("-0.000801")</f>
        <v/>
      </c>
      <c r="F445">
        <f>_xlfn.NUMBERVALUE("-0.013924")</f>
        <v/>
      </c>
      <c r="G445">
        <f>_xlfn.NUMBERVALUE("-0.000576")</f>
        <v/>
      </c>
      <c r="H445">
        <f>_xlfn.NUMBERVALUE("-0.000897")</f>
        <v/>
      </c>
      <c r="I445">
        <f>_xlfn.NUMBERVALUE("-0.000420")</f>
        <v/>
      </c>
      <c r="J445">
        <f>_xlfn.NUMBERVALUE("0.000084")</f>
        <v/>
      </c>
      <c r="K445">
        <f>_xlfn.NUMBERVALUE("-0.018172")</f>
        <v/>
      </c>
      <c r="L445">
        <f>_xlfn.NUMBERVALUE("-0.001397")</f>
        <v/>
      </c>
      <c r="M445">
        <f>_xlfn.NUMBERVALUE("-0.000030")</f>
        <v/>
      </c>
      <c r="N445">
        <f>_xlfn.NUMBERVALUE("0.000000")</f>
        <v/>
      </c>
      <c r="O445">
        <f>_xlfn.NUMBERVALUE("0.001294")</f>
        <v/>
      </c>
      <c r="P445">
        <f>_xlfn.NUMBERVALUE("-0.000080")</f>
        <v/>
      </c>
      <c r="Q445">
        <f>_xlfn.NUMBERVALUE("-0.001519")</f>
        <v/>
      </c>
      <c r="R445">
        <f>_xlfn.NUMBERVALUE("0.001648")</f>
        <v/>
      </c>
      <c r="S445">
        <f>_xlfn.NUMBERVALUE("-0.000050")</f>
        <v/>
      </c>
      <c r="T445">
        <f>_xlfn.NUMBERVALUE("-0.000500")</f>
        <v/>
      </c>
      <c r="U445">
        <f>_xlfn.NUMBERVALUE("0.000433")</f>
        <v/>
      </c>
      <c r="V445">
        <f>_xlfn.NUMBERVALUE("0.000267")</f>
        <v/>
      </c>
      <c r="W445">
        <f>_xlfn.NUMBERVALUE("-0.005420")</f>
        <v/>
      </c>
      <c r="X445">
        <f>_xlfn.NUMBERVALUE("0.060000")</f>
        <v/>
      </c>
      <c r="Y445">
        <f>_xlfn.NUMBERVALUE("13.630000")</f>
        <v/>
      </c>
    </row>
    <row r="446">
      <c r="A446" s="1" t="n">
        <v>42648</v>
      </c>
      <c r="B446">
        <f>_xlfn.NUMBERVALUE("0.000000")</f>
        <v/>
      </c>
      <c r="C446" s="2">
        <f>_xlfn.NUMBERVALUE("0.000366")</f>
        <v/>
      </c>
      <c r="D446">
        <f>_xlfn.NUMBERVALUE("0.000320")</f>
        <v/>
      </c>
      <c r="E446">
        <f>_xlfn.NUMBERVALUE("0.002171")</f>
        <v/>
      </c>
      <c r="F446">
        <f>_xlfn.NUMBERVALUE("0.000800")</f>
        <v/>
      </c>
      <c r="G446">
        <f>_xlfn.NUMBERVALUE("0.001856")</f>
        <v/>
      </c>
      <c r="H446">
        <f>_xlfn.NUMBERVALUE("-0.000110")</f>
        <v/>
      </c>
      <c r="I446">
        <f>_xlfn.NUMBERVALUE("0.000125")</f>
        <v/>
      </c>
      <c r="J446">
        <f>_xlfn.NUMBERVALUE("0.000956")</f>
        <v/>
      </c>
      <c r="K446">
        <f>_xlfn.NUMBERVALUE("-0.005257")</f>
        <v/>
      </c>
      <c r="L446">
        <f>_xlfn.NUMBERVALUE("0.000471")</f>
        <v/>
      </c>
      <c r="M446">
        <f>_xlfn.NUMBERVALUE("0.000120")</f>
        <v/>
      </c>
      <c r="N446">
        <f>_xlfn.NUMBERVALUE("0.000000")</f>
        <v/>
      </c>
      <c r="O446">
        <f>_xlfn.NUMBERVALUE("-0.005022")</f>
        <v/>
      </c>
      <c r="P446">
        <f>_xlfn.NUMBERVALUE("0.000081")</f>
        <v/>
      </c>
      <c r="Q446">
        <f>_xlfn.NUMBERVALUE("0.001930")</f>
        <v/>
      </c>
      <c r="R446">
        <f>_xlfn.NUMBERVALUE("0.002884")</f>
        <v/>
      </c>
      <c r="S446">
        <f>_xlfn.NUMBERVALUE("0.000037")</f>
        <v/>
      </c>
      <c r="T446">
        <f>_xlfn.NUMBERVALUE("0.000038")</f>
        <v/>
      </c>
      <c r="U446">
        <f>_xlfn.NUMBERVALUE("0.001223")</f>
        <v/>
      </c>
      <c r="V446">
        <f>_xlfn.NUMBERVALUE("0.001002")</f>
        <v/>
      </c>
      <c r="W446">
        <f>_xlfn.NUMBERVALUE("0.004634")</f>
        <v/>
      </c>
      <c r="X446">
        <f>_xlfn.NUMBERVALUE("-0.640000")</f>
        <v/>
      </c>
      <c r="Y446">
        <f>_xlfn.NUMBERVALUE("12.990000")</f>
        <v/>
      </c>
    </row>
    <row r="447">
      <c r="A447" s="1" t="n">
        <v>42649</v>
      </c>
      <c r="B447">
        <f>_xlfn.NUMBERVALUE("0.000000")</f>
        <v/>
      </c>
      <c r="C447" s="2">
        <f>_xlfn.NUMBERVALUE("0.001820")</f>
        <v/>
      </c>
      <c r="D447">
        <f>_xlfn.NUMBERVALUE("0.000321")</f>
        <v/>
      </c>
      <c r="E447">
        <f>_xlfn.NUMBERVALUE("0.000066")</f>
        <v/>
      </c>
      <c r="F447">
        <f>_xlfn.NUMBERVALUE("-0.002053")</f>
        <v/>
      </c>
      <c r="G447">
        <f>_xlfn.NUMBERVALUE("0.000436")</f>
        <v/>
      </c>
      <c r="H447">
        <f>_xlfn.NUMBERVALUE("-0.000208")</f>
        <v/>
      </c>
      <c r="I447">
        <f>_xlfn.NUMBERVALUE("0.001371")</f>
        <v/>
      </c>
      <c r="J447">
        <f>_xlfn.NUMBERVALUE("0.000592")</f>
        <v/>
      </c>
      <c r="K447">
        <f>_xlfn.NUMBERVALUE("-0.006417")</f>
        <v/>
      </c>
      <c r="L447">
        <f>_xlfn.NUMBERVALUE("0.000086")</f>
        <v/>
      </c>
      <c r="M447">
        <f>_xlfn.NUMBERVALUE("0.000816")</f>
        <v/>
      </c>
      <c r="N447">
        <f>_xlfn.NUMBERVALUE("0.000000")</f>
        <v/>
      </c>
      <c r="O447">
        <f>_xlfn.NUMBERVALUE("0.001626")</f>
        <v/>
      </c>
      <c r="P447">
        <f>_xlfn.NUMBERVALUE("-0.000790")</f>
        <v/>
      </c>
      <c r="Q447">
        <f>_xlfn.NUMBERVALUE("0.000698")</f>
        <v/>
      </c>
      <c r="R447">
        <f>_xlfn.NUMBERVALUE("0.000987")</f>
        <v/>
      </c>
      <c r="S447">
        <f>_xlfn.NUMBERVALUE("0.000963")</f>
        <v/>
      </c>
      <c r="T447">
        <f>_xlfn.NUMBERVALUE("0.001250")</f>
        <v/>
      </c>
      <c r="U447">
        <f>_xlfn.NUMBERVALUE("0.001055")</f>
        <v/>
      </c>
      <c r="V447">
        <f>_xlfn.NUMBERVALUE("0.001079")</f>
        <v/>
      </c>
      <c r="W447">
        <f>_xlfn.NUMBERVALUE("0.000603")</f>
        <v/>
      </c>
      <c r="X447">
        <f>_xlfn.NUMBERVALUE("-0.150000")</f>
        <v/>
      </c>
      <c r="Y447">
        <f>_xlfn.NUMBERVALUE("12.840000")</f>
        <v/>
      </c>
    </row>
    <row r="448">
      <c r="A448" s="1" t="n">
        <v>42650</v>
      </c>
      <c r="B448">
        <f>_xlfn.NUMBERVALUE("0.000000")</f>
        <v/>
      </c>
      <c r="C448" s="2">
        <f>_xlfn.NUMBERVALUE("0.001157")</f>
        <v/>
      </c>
      <c r="D448">
        <f>_xlfn.NUMBERVALUE("0.002224")</f>
        <v/>
      </c>
      <c r="E448">
        <f>_xlfn.NUMBERVALUE("0.000414")</f>
        <v/>
      </c>
      <c r="F448">
        <f>_xlfn.NUMBERVALUE("0.001075")</f>
        <v/>
      </c>
      <c r="G448">
        <f>_xlfn.NUMBERVALUE("0.000379")</f>
        <v/>
      </c>
      <c r="H448">
        <f>_xlfn.NUMBERVALUE("0.001326")</f>
        <v/>
      </c>
      <c r="I448">
        <f>_xlfn.NUMBERVALUE("0.001693")</f>
        <v/>
      </c>
      <c r="J448">
        <f>_xlfn.NUMBERVALUE("0.000347")</f>
        <v/>
      </c>
      <c r="K448">
        <f>_xlfn.NUMBERVALUE("0.009188")</f>
        <v/>
      </c>
      <c r="L448">
        <f>_xlfn.NUMBERVALUE("0.000719")</f>
        <v/>
      </c>
      <c r="M448">
        <f>_xlfn.NUMBERVALUE("-0.002773")</f>
        <v/>
      </c>
      <c r="N448">
        <f>_xlfn.NUMBERVALUE("0.000000")</f>
        <v/>
      </c>
      <c r="O448">
        <f>_xlfn.NUMBERVALUE("0.001218")</f>
        <v/>
      </c>
      <c r="P448">
        <f>_xlfn.NUMBERVALUE("0.002245")</f>
        <v/>
      </c>
      <c r="Q448">
        <f>_xlfn.NUMBERVALUE("-0.000631")</f>
        <v/>
      </c>
      <c r="R448">
        <f>_xlfn.NUMBERVALUE("0.001808")</f>
        <v/>
      </c>
      <c r="S448">
        <f>_xlfn.NUMBERVALUE("0.001181")</f>
        <v/>
      </c>
      <c r="T448">
        <f>_xlfn.NUMBERVALUE("0.002337")</f>
        <v/>
      </c>
      <c r="U448">
        <f>_xlfn.NUMBERVALUE("0.000490")</f>
        <v/>
      </c>
      <c r="V448">
        <f>_xlfn.NUMBERVALUE("0.000640")</f>
        <v/>
      </c>
      <c r="W448">
        <f>_xlfn.NUMBERVALUE("-0.002780")</f>
        <v/>
      </c>
      <c r="X448">
        <f>_xlfn.NUMBERVALUE("0.640000")</f>
        <v/>
      </c>
      <c r="Y448">
        <f>_xlfn.NUMBERVALUE("13.480000")</f>
        <v/>
      </c>
    </row>
    <row r="449">
      <c r="A449" s="1" t="n">
        <v>42653</v>
      </c>
      <c r="B449">
        <f>_xlfn.NUMBERVALUE("0.000000")</f>
        <v/>
      </c>
      <c r="C449" s="2">
        <f>_xlfn.NUMBERVALUE("0.000406")</f>
        <v/>
      </c>
      <c r="D449">
        <f>_xlfn.NUMBERVALUE("0.001294")</f>
        <v/>
      </c>
      <c r="E449">
        <f>_xlfn.NUMBERVALUE("0.001352")</f>
        <v/>
      </c>
      <c r="F449">
        <f>_xlfn.NUMBERVALUE("0.000856")</f>
        <v/>
      </c>
      <c r="G449">
        <f>_xlfn.NUMBERVALUE("-0.000288")</f>
        <v/>
      </c>
      <c r="H449">
        <f>_xlfn.NUMBERVALUE("-0.000930")</f>
        <v/>
      </c>
      <c r="I449">
        <f>_xlfn.NUMBERVALUE("-0.000417")</f>
        <v/>
      </c>
      <c r="J449">
        <f>_xlfn.NUMBERVALUE("-0.000354")</f>
        <v/>
      </c>
      <c r="K449">
        <f>_xlfn.NUMBERVALUE("-0.000301")</f>
        <v/>
      </c>
      <c r="L449">
        <f>_xlfn.NUMBERVALUE("-0.000099")</f>
        <v/>
      </c>
      <c r="M449">
        <f>_xlfn.NUMBERVALUE("0.002523")</f>
        <v/>
      </c>
      <c r="N449">
        <f>_xlfn.NUMBERVALUE("0.000000")</f>
        <v/>
      </c>
      <c r="O449">
        <f>_xlfn.NUMBERVALUE("0.001330")</f>
        <v/>
      </c>
      <c r="P449">
        <f>_xlfn.NUMBERVALUE("-0.000957")</f>
        <v/>
      </c>
      <c r="Q449">
        <f>_xlfn.NUMBERVALUE("0.002160")</f>
        <v/>
      </c>
      <c r="R449">
        <f>_xlfn.NUMBERVALUE("-0.000722")</f>
        <v/>
      </c>
      <c r="S449">
        <f>_xlfn.NUMBERVALUE("0.002420")</f>
        <v/>
      </c>
      <c r="T449">
        <f>_xlfn.NUMBERVALUE("0.003177")</f>
        <v/>
      </c>
      <c r="U449">
        <f>_xlfn.NUMBERVALUE("0.002749")</f>
        <v/>
      </c>
      <c r="V449">
        <f>_xlfn.NUMBERVALUE("0.001777")</f>
        <v/>
      </c>
      <c r="W449">
        <f>_xlfn.NUMBERVALUE("0.004112")</f>
        <v/>
      </c>
      <c r="X449">
        <f>_xlfn.NUMBERVALUE("-0.100000")</f>
        <v/>
      </c>
      <c r="Y449">
        <f>_xlfn.NUMBERVALUE("13.380000")</f>
        <v/>
      </c>
    </row>
    <row r="450">
      <c r="A450" s="1" t="n">
        <v>42654</v>
      </c>
      <c r="B450">
        <f>_xlfn.NUMBERVALUE("0.000000")</f>
        <v/>
      </c>
      <c r="C450" s="2">
        <f>_xlfn.NUMBERVALUE("-0.001901")</f>
        <v/>
      </c>
      <c r="D450">
        <f>_xlfn.NUMBERVALUE("-0.005734")</f>
        <v/>
      </c>
      <c r="E450">
        <f>_xlfn.NUMBERVALUE("-0.002208")</f>
        <v/>
      </c>
      <c r="F450">
        <f>_xlfn.NUMBERVALUE("0.000070")</f>
        <v/>
      </c>
      <c r="G450">
        <f>_xlfn.NUMBERVALUE("-0.000984")</f>
        <v/>
      </c>
      <c r="H450">
        <f>_xlfn.NUMBERVALUE("0.000782")</f>
        <v/>
      </c>
      <c r="I450">
        <f>_xlfn.NUMBERVALUE("-0.003780")</f>
        <v/>
      </c>
      <c r="J450">
        <f>_xlfn.NUMBERVALUE("0.000486")</f>
        <v/>
      </c>
      <c r="K450">
        <f>_xlfn.NUMBERVALUE("0.001304")</f>
        <v/>
      </c>
      <c r="L450">
        <f>_xlfn.NUMBERVALUE("0.000596")</f>
        <v/>
      </c>
      <c r="M450">
        <f>_xlfn.NUMBERVALUE("-0.001940")</f>
        <v/>
      </c>
      <c r="N450">
        <f>_xlfn.NUMBERVALUE("0.000000")</f>
        <v/>
      </c>
      <c r="O450">
        <f>_xlfn.NUMBERVALUE("-0.001927")</f>
        <v/>
      </c>
      <c r="P450">
        <f>_xlfn.NUMBERVALUE("0.000198")</f>
        <v/>
      </c>
      <c r="Q450">
        <f>_xlfn.NUMBERVALUE("-0.001448")</f>
        <v/>
      </c>
      <c r="R450">
        <f>_xlfn.NUMBERVALUE("-0.002409")</f>
        <v/>
      </c>
      <c r="S450">
        <f>_xlfn.NUMBERVALUE("-0.001137")</f>
        <v/>
      </c>
      <c r="T450">
        <f>_xlfn.NUMBERVALUE("-0.001101")</f>
        <v/>
      </c>
      <c r="U450">
        <f>_xlfn.NUMBERVALUE("-0.001910")</f>
        <v/>
      </c>
      <c r="V450">
        <f>_xlfn.NUMBERVALUE("-0.003677")</f>
        <v/>
      </c>
      <c r="W450">
        <f>_xlfn.NUMBERVALUE("-0.012517")</f>
        <v/>
      </c>
      <c r="X450">
        <f>_xlfn.NUMBERVALUE("1.980000")</f>
        <v/>
      </c>
      <c r="Y450">
        <f>_xlfn.NUMBERVALUE("15.360000")</f>
        <v/>
      </c>
    </row>
    <row r="451">
      <c r="A451" s="1" t="n">
        <v>42655</v>
      </c>
      <c r="B451">
        <f>_xlfn.NUMBERVALUE("0.000000")</f>
        <v/>
      </c>
      <c r="C451" s="2">
        <f>_xlfn.NUMBERVALUE("0.000573")</f>
        <v/>
      </c>
      <c r="D451">
        <f>_xlfn.NUMBERVALUE("0.001893")</f>
        <v/>
      </c>
      <c r="E451">
        <f>_xlfn.NUMBERVALUE("0.000349")</f>
        <v/>
      </c>
      <c r="F451">
        <f>_xlfn.NUMBERVALUE("0.000272")</f>
        <v/>
      </c>
      <c r="G451">
        <f>_xlfn.NUMBERVALUE("0.000566")</f>
        <v/>
      </c>
      <c r="H451">
        <f>_xlfn.NUMBERVALUE("0.000949")</f>
        <v/>
      </c>
      <c r="I451">
        <f>_xlfn.NUMBERVALUE("0.000609")</f>
        <v/>
      </c>
      <c r="J451">
        <f>_xlfn.NUMBERVALUE("0.001308")</f>
        <v/>
      </c>
      <c r="K451">
        <f>_xlfn.NUMBERVALUE("0.003776")</f>
        <v/>
      </c>
      <c r="L451">
        <f>_xlfn.NUMBERVALUE("0.000165")</f>
        <v/>
      </c>
      <c r="M451">
        <f>_xlfn.NUMBERVALUE("0.001041")</f>
        <v/>
      </c>
      <c r="N451">
        <f>_xlfn.NUMBERVALUE("0.000000")</f>
        <v/>
      </c>
      <c r="O451">
        <f>_xlfn.NUMBERVALUE("0.000886")</f>
        <v/>
      </c>
      <c r="P451">
        <f>_xlfn.NUMBERVALUE("0.001376")</f>
        <v/>
      </c>
      <c r="Q451">
        <f>_xlfn.NUMBERVALUE("-0.000506")</f>
        <v/>
      </c>
      <c r="R451">
        <f>_xlfn.NUMBERVALUE("0.001193")</f>
        <v/>
      </c>
      <c r="S451">
        <f>_xlfn.NUMBERVALUE("0.001237")</f>
        <v/>
      </c>
      <c r="T451">
        <f>_xlfn.NUMBERVALUE("0.000463")</f>
        <v/>
      </c>
      <c r="U451">
        <f>_xlfn.NUMBERVALUE("0.000427")</f>
        <v/>
      </c>
      <c r="V451">
        <f>_xlfn.NUMBERVALUE("0.000496")</f>
        <v/>
      </c>
      <c r="W451">
        <f>_xlfn.NUMBERVALUE("0.002015")</f>
        <v/>
      </c>
      <c r="X451">
        <f>_xlfn.NUMBERVALUE("0.550000")</f>
        <v/>
      </c>
      <c r="Y451">
        <f>_xlfn.NUMBERVALUE("15.910000")</f>
        <v/>
      </c>
    </row>
    <row r="452">
      <c r="A452" s="1" t="n">
        <v>42656</v>
      </c>
      <c r="B452">
        <f>_xlfn.NUMBERVALUE("0.000000")</f>
        <v/>
      </c>
      <c r="C452" s="2">
        <f>_xlfn.NUMBERVALUE("-0.000060")</f>
        <v/>
      </c>
      <c r="D452">
        <f>_xlfn.NUMBERVALUE("-0.000006")</f>
        <v/>
      </c>
      <c r="E452">
        <f>_xlfn.NUMBERVALUE("0.000010")</f>
        <v/>
      </c>
      <c r="F452">
        <f>_xlfn.NUMBERVALUE("-0.001095")</f>
        <v/>
      </c>
      <c r="G452">
        <f>_xlfn.NUMBERVALUE("0.000750")</f>
        <v/>
      </c>
      <c r="H452">
        <f>_xlfn.NUMBERVALUE("-0.001099")</f>
        <v/>
      </c>
      <c r="I452">
        <f>_xlfn.NUMBERVALUE("0.000089")</f>
        <v/>
      </c>
      <c r="J452">
        <f>_xlfn.NUMBERVALUE("-0.001179")</f>
        <v/>
      </c>
      <c r="K452">
        <f>_xlfn.NUMBERVALUE("0.001020")</f>
        <v/>
      </c>
      <c r="L452">
        <f>_xlfn.NUMBERVALUE("0.000684")</f>
        <v/>
      </c>
      <c r="M452">
        <f>_xlfn.NUMBERVALUE("0.000395")</f>
        <v/>
      </c>
      <c r="N452">
        <f>_xlfn.NUMBERVALUE("0.000000")</f>
        <v/>
      </c>
      <c r="O452">
        <f>_xlfn.NUMBERVALUE("0.000545")</f>
        <v/>
      </c>
      <c r="P452">
        <f>_xlfn.NUMBERVALUE("0.001927")</f>
        <v/>
      </c>
      <c r="Q452">
        <f>_xlfn.NUMBERVALUE("0.002501")</f>
        <v/>
      </c>
      <c r="R452">
        <f>_xlfn.NUMBERVALUE("-0.000494")</f>
        <v/>
      </c>
      <c r="S452">
        <f>_xlfn.NUMBERVALUE("-0.000510")</f>
        <v/>
      </c>
      <c r="T452">
        <f>_xlfn.NUMBERVALUE("-0.001882")</f>
        <v/>
      </c>
      <c r="U452">
        <f>_xlfn.NUMBERVALUE("-0.000243")</f>
        <v/>
      </c>
      <c r="V452">
        <f>_xlfn.NUMBERVALUE("-0.000341")</f>
        <v/>
      </c>
      <c r="W452">
        <f>_xlfn.NUMBERVALUE("-0.003180")</f>
        <v/>
      </c>
      <c r="X452">
        <f>_xlfn.NUMBERVALUE("0.780000")</f>
        <v/>
      </c>
      <c r="Y452">
        <f>_xlfn.NUMBERVALUE("16.690000")</f>
        <v/>
      </c>
    </row>
    <row r="453">
      <c r="A453" s="1" t="n">
        <v>42657</v>
      </c>
      <c r="B453">
        <f>_xlfn.NUMBERVALUE("0.000000")</f>
        <v/>
      </c>
      <c r="C453" s="2">
        <f>_xlfn.NUMBERVALUE("0.001319")</f>
        <v/>
      </c>
      <c r="D453">
        <f>_xlfn.NUMBERVALUE("0.002974")</f>
        <v/>
      </c>
      <c r="E453">
        <f>_xlfn.NUMBERVALUE("0.000980")</f>
        <v/>
      </c>
      <c r="F453">
        <f>_xlfn.NUMBERVALUE("0.001199")</f>
        <v/>
      </c>
      <c r="G453">
        <f>_xlfn.NUMBERVALUE("0.000485")</f>
        <v/>
      </c>
      <c r="H453">
        <f>_xlfn.NUMBERVALUE("0.000846")</f>
        <v/>
      </c>
      <c r="I453">
        <f>_xlfn.NUMBERVALUE("0.001611")</f>
        <v/>
      </c>
      <c r="J453">
        <f>_xlfn.NUMBERVALUE("-0.000499")</f>
        <v/>
      </c>
      <c r="K453">
        <f>_xlfn.NUMBERVALUE("0.000582")</f>
        <v/>
      </c>
      <c r="L453">
        <f>_xlfn.NUMBERVALUE("-0.001448")</f>
        <v/>
      </c>
      <c r="M453">
        <f>_xlfn.NUMBERVALUE("0.001093")</f>
        <v/>
      </c>
      <c r="N453">
        <f>_xlfn.NUMBERVALUE("0.000000")</f>
        <v/>
      </c>
      <c r="O453">
        <f>_xlfn.NUMBERVALUE("0.003502")</f>
        <v/>
      </c>
      <c r="P453">
        <f>_xlfn.NUMBERVALUE("-0.002432")</f>
        <v/>
      </c>
      <c r="Q453">
        <f>_xlfn.NUMBERVALUE("-0.001055")</f>
        <v/>
      </c>
      <c r="R453">
        <f>_xlfn.NUMBERVALUE("0.000980")</f>
        <v/>
      </c>
      <c r="S453">
        <f>_xlfn.NUMBERVALUE("0.001620")</f>
        <v/>
      </c>
      <c r="T453">
        <f>_xlfn.NUMBERVALUE("0.000492")</f>
        <v/>
      </c>
      <c r="U453">
        <f>_xlfn.NUMBERVALUE("0.001723")</f>
        <v/>
      </c>
      <c r="V453">
        <f>_xlfn.NUMBERVALUE("0.001445")</f>
        <v/>
      </c>
      <c r="W453">
        <f>_xlfn.NUMBERVALUE("0.001595")</f>
        <v/>
      </c>
      <c r="X453">
        <f>_xlfn.NUMBERVALUE("-0.570000")</f>
        <v/>
      </c>
      <c r="Y453">
        <f>_xlfn.NUMBERVALUE("16.120000")</f>
        <v/>
      </c>
    </row>
    <row r="454">
      <c r="A454" s="1" t="n">
        <v>42660</v>
      </c>
      <c r="B454">
        <f>_xlfn.NUMBERVALUE("0.000000")</f>
        <v/>
      </c>
      <c r="C454" s="2">
        <f>_xlfn.NUMBERVALUE("0.000555")</f>
        <v/>
      </c>
      <c r="D454">
        <f>_xlfn.NUMBERVALUE("0.002272")</f>
        <v/>
      </c>
      <c r="E454">
        <f>_xlfn.NUMBERVALUE("0.000091")</f>
        <v/>
      </c>
      <c r="F454">
        <f>_xlfn.NUMBERVALUE("0.000064")</f>
        <v/>
      </c>
      <c r="G454">
        <f>_xlfn.NUMBERVALUE("-0.000177")</f>
        <v/>
      </c>
      <c r="H454">
        <f>_xlfn.NUMBERVALUE("-0.000238")</f>
        <v/>
      </c>
      <c r="I454">
        <f>_xlfn.NUMBERVALUE("0.000157")</f>
        <v/>
      </c>
      <c r="J454">
        <f>_xlfn.NUMBERVALUE("0.001396")</f>
        <v/>
      </c>
      <c r="K454">
        <f>_xlfn.NUMBERVALUE("0.000645")</f>
        <v/>
      </c>
      <c r="L454">
        <f>_xlfn.NUMBERVALUE("0.000168")</f>
        <v/>
      </c>
      <c r="M454">
        <f>_xlfn.NUMBERVALUE("0.000611")</f>
        <v/>
      </c>
      <c r="N454">
        <f>_xlfn.NUMBERVALUE("0.000000")</f>
        <v/>
      </c>
      <c r="O454">
        <f>_xlfn.NUMBERVALUE("0.000490")</f>
        <v/>
      </c>
      <c r="P454">
        <f>_xlfn.NUMBERVALUE("0.003439")</f>
        <v/>
      </c>
      <c r="Q454">
        <f>_xlfn.NUMBERVALUE("0.000232")</f>
        <v/>
      </c>
      <c r="R454">
        <f>_xlfn.NUMBERVALUE("0.001096")</f>
        <v/>
      </c>
      <c r="S454">
        <f>_xlfn.NUMBERVALUE("0.001771")</f>
        <v/>
      </c>
      <c r="T454">
        <f>_xlfn.NUMBERVALUE("0.002162")</f>
        <v/>
      </c>
      <c r="U454">
        <f>_xlfn.NUMBERVALUE("-0.000277")</f>
        <v/>
      </c>
      <c r="V454">
        <f>_xlfn.NUMBERVALUE("0.000278")</f>
        <v/>
      </c>
      <c r="W454">
        <f>_xlfn.NUMBERVALUE("-0.004497")</f>
        <v/>
      </c>
      <c r="X454">
        <f>_xlfn.NUMBERVALUE("0.090000")</f>
        <v/>
      </c>
      <c r="Y454">
        <f>_xlfn.NUMBERVALUE("16.210000")</f>
        <v/>
      </c>
    </row>
    <row r="455">
      <c r="A455" s="1" t="n">
        <v>42661</v>
      </c>
      <c r="B455">
        <f>_xlfn.NUMBERVALUE("0.000000")</f>
        <v/>
      </c>
      <c r="C455" s="2">
        <f>_xlfn.NUMBERVALUE("0.001204")</f>
        <v/>
      </c>
      <c r="D455">
        <f>_xlfn.NUMBERVALUE("-0.002107")</f>
        <v/>
      </c>
      <c r="E455">
        <f>_xlfn.NUMBERVALUE("0.000522")</f>
        <v/>
      </c>
      <c r="F455">
        <f>_xlfn.NUMBERVALUE("0.000620")</f>
        <v/>
      </c>
      <c r="G455">
        <f>_xlfn.NUMBERVALUE("0.001335")</f>
        <v/>
      </c>
      <c r="H455">
        <f>_xlfn.NUMBERVALUE("0.000206")</f>
        <v/>
      </c>
      <c r="I455">
        <f>_xlfn.NUMBERVALUE("0.001228")</f>
        <v/>
      </c>
      <c r="J455">
        <f>_xlfn.NUMBERVALUE("-0.001163")</f>
        <v/>
      </c>
      <c r="K455">
        <f>_xlfn.NUMBERVALUE("-0.000170")</f>
        <v/>
      </c>
      <c r="L455">
        <f>_xlfn.NUMBERVALUE("0.000381")</f>
        <v/>
      </c>
      <c r="M455">
        <f>_xlfn.NUMBERVALUE("0.001570")</f>
        <v/>
      </c>
      <c r="N455">
        <f>_xlfn.NUMBERVALUE("0.000000")</f>
        <v/>
      </c>
      <c r="O455">
        <f>_xlfn.NUMBERVALUE("0.002326")</f>
        <v/>
      </c>
      <c r="P455">
        <f>_xlfn.NUMBERVALUE("0.002567")</f>
        <v/>
      </c>
      <c r="Q455">
        <f>_xlfn.NUMBERVALUE("0.002970")</f>
        <v/>
      </c>
      <c r="R455">
        <f>_xlfn.NUMBERVALUE("0.001006")</f>
        <v/>
      </c>
      <c r="S455">
        <f>_xlfn.NUMBERVALUE("0.001589")</f>
        <v/>
      </c>
      <c r="T455">
        <f>_xlfn.NUMBERVALUE("0.000391")</f>
        <v/>
      </c>
      <c r="U455">
        <f>_xlfn.NUMBERVALUE("0.002300")</f>
        <v/>
      </c>
      <c r="V455">
        <f>_xlfn.NUMBERVALUE("0.000997")</f>
        <v/>
      </c>
      <c r="W455">
        <f>_xlfn.NUMBERVALUE("0.005882")</f>
        <v/>
      </c>
      <c r="X455">
        <f>_xlfn.NUMBERVALUE("-0.930000")</f>
        <v/>
      </c>
      <c r="Y455">
        <f>_xlfn.NUMBERVALUE("15.280000")</f>
        <v/>
      </c>
    </row>
    <row r="456">
      <c r="A456" s="1" t="n">
        <v>42662</v>
      </c>
      <c r="B456">
        <f>_xlfn.NUMBERVALUE("0.000000")</f>
        <v/>
      </c>
      <c r="C456" s="2">
        <f>_xlfn.NUMBERVALUE("0.000854")</f>
        <v/>
      </c>
      <c r="D456">
        <f>_xlfn.NUMBERVALUE("0.001609")</f>
        <v/>
      </c>
      <c r="E456">
        <f>_xlfn.NUMBERVALUE("0.000603")</f>
        <v/>
      </c>
      <c r="F456">
        <f>_xlfn.NUMBERVALUE("0.000961")</f>
        <v/>
      </c>
      <c r="G456">
        <f>_xlfn.NUMBERVALUE("-0.000750")</f>
        <v/>
      </c>
      <c r="H456">
        <f>_xlfn.NUMBERVALUE("0.000515")</f>
        <v/>
      </c>
      <c r="I456">
        <f>_xlfn.NUMBERVALUE("0.000595")</f>
        <v/>
      </c>
      <c r="J456">
        <f>_xlfn.NUMBERVALUE("0.000110")</f>
        <v/>
      </c>
      <c r="K456">
        <f>_xlfn.NUMBERVALUE("0.001171")</f>
        <v/>
      </c>
      <c r="L456">
        <f>_xlfn.NUMBERVALUE("0.000551")</f>
        <v/>
      </c>
      <c r="M456">
        <f>_xlfn.NUMBERVALUE("0.000876")</f>
        <v/>
      </c>
      <c r="N456">
        <f>_xlfn.NUMBERVALUE("0.000000")</f>
        <v/>
      </c>
      <c r="O456">
        <f>_xlfn.NUMBERVALUE("-0.000644")</f>
        <v/>
      </c>
      <c r="P456">
        <f>_xlfn.NUMBERVALUE("0.000766")</f>
        <v/>
      </c>
      <c r="Q456">
        <f>_xlfn.NUMBERVALUE("0.001658")</f>
        <v/>
      </c>
      <c r="R456">
        <f>_xlfn.NUMBERVALUE("0.001444")</f>
        <v/>
      </c>
      <c r="S456">
        <f>_xlfn.NUMBERVALUE("-0.000518")</f>
        <v/>
      </c>
      <c r="T456">
        <f>_xlfn.NUMBERVALUE("0.001016")</f>
        <v/>
      </c>
      <c r="U456">
        <f>_xlfn.NUMBERVALUE("-0.000490")</f>
        <v/>
      </c>
      <c r="V456">
        <f>_xlfn.NUMBERVALUE("0.000722")</f>
        <v/>
      </c>
      <c r="W456">
        <f>_xlfn.NUMBERVALUE("0.003111")</f>
        <v/>
      </c>
      <c r="X456">
        <f>_xlfn.NUMBERVALUE("-0.870000")</f>
        <v/>
      </c>
      <c r="Y456">
        <f>_xlfn.NUMBERVALUE("14.410000")</f>
        <v/>
      </c>
    </row>
    <row r="457">
      <c r="A457" s="1" t="n">
        <v>42663</v>
      </c>
      <c r="B457">
        <f>_xlfn.NUMBERVALUE("0.000000")</f>
        <v/>
      </c>
      <c r="C457" s="2">
        <f>_xlfn.NUMBERVALUE("0.001524")</f>
        <v/>
      </c>
      <c r="D457">
        <f>_xlfn.NUMBERVALUE("0.001699")</f>
        <v/>
      </c>
      <c r="E457">
        <f>_xlfn.NUMBERVALUE("0.000876")</f>
        <v/>
      </c>
      <c r="F457">
        <f>_xlfn.NUMBERVALUE("-0.000021")</f>
        <v/>
      </c>
      <c r="G457">
        <f>_xlfn.NUMBERVALUE("0.000788")</f>
        <v/>
      </c>
      <c r="H457">
        <f>_xlfn.NUMBERVALUE("0.000455")</f>
        <v/>
      </c>
      <c r="I457">
        <f>_xlfn.NUMBERVALUE("0.000478")</f>
        <v/>
      </c>
      <c r="J457">
        <f>_xlfn.NUMBERVALUE("0.000267")</f>
        <v/>
      </c>
      <c r="K457">
        <f>_xlfn.NUMBERVALUE("0.000343")</f>
        <v/>
      </c>
      <c r="L457">
        <f>_xlfn.NUMBERVALUE("0.000744")</f>
        <v/>
      </c>
      <c r="M457">
        <f>_xlfn.NUMBERVALUE("0.000341")</f>
        <v/>
      </c>
      <c r="N457">
        <f>_xlfn.NUMBERVALUE("0.000000")</f>
        <v/>
      </c>
      <c r="O457">
        <f>_xlfn.NUMBERVALUE("0.001064")</f>
        <v/>
      </c>
      <c r="P457">
        <f>_xlfn.NUMBERVALUE("-0.002608")</f>
        <v/>
      </c>
      <c r="Q457">
        <f>_xlfn.NUMBERVALUE("-0.001400")</f>
        <v/>
      </c>
      <c r="R457">
        <f>_xlfn.NUMBERVALUE("0.000248")</f>
        <v/>
      </c>
      <c r="S457">
        <f>_xlfn.NUMBERVALUE("0.000698")</f>
        <v/>
      </c>
      <c r="T457">
        <f>_xlfn.NUMBERVALUE("0.001126")</f>
        <v/>
      </c>
      <c r="U457">
        <f>_xlfn.NUMBERVALUE("0.000914")</f>
        <v/>
      </c>
      <c r="V457">
        <f>_xlfn.NUMBERVALUE("0.000911")</f>
        <v/>
      </c>
      <c r="W457">
        <f>_xlfn.NUMBERVALUE("-0.002444")</f>
        <v/>
      </c>
      <c r="X457">
        <f>_xlfn.NUMBERVALUE("-0.660000")</f>
        <v/>
      </c>
      <c r="Y457">
        <f>_xlfn.NUMBERVALUE("13.750000")</f>
        <v/>
      </c>
    </row>
    <row r="458">
      <c r="A458" s="1" t="n">
        <v>42664</v>
      </c>
      <c r="B458">
        <f>_xlfn.NUMBERVALUE("0.000000")</f>
        <v/>
      </c>
      <c r="C458" s="2">
        <f>_xlfn.NUMBERVALUE("0.001224")</f>
        <v/>
      </c>
      <c r="D458">
        <f>_xlfn.NUMBERVALUE("0.002160")</f>
        <v/>
      </c>
      <c r="E458">
        <f>_xlfn.NUMBERVALUE("0.000159")</f>
        <v/>
      </c>
      <c r="F458">
        <f>_xlfn.NUMBERVALUE("0.000048")</f>
        <v/>
      </c>
      <c r="G458">
        <f>_xlfn.NUMBERVALUE("0.001408")</f>
        <v/>
      </c>
      <c r="H458">
        <f>_xlfn.NUMBERVALUE("0.000050")</f>
        <v/>
      </c>
      <c r="I458">
        <f>_xlfn.NUMBERVALUE("0.000479")</f>
        <v/>
      </c>
      <c r="J458">
        <f>_xlfn.NUMBERVALUE("0.001725")</f>
        <v/>
      </c>
      <c r="K458">
        <f>_xlfn.NUMBERVALUE("-0.000453")</f>
        <v/>
      </c>
      <c r="L458">
        <f>_xlfn.NUMBERVALUE("0.000970")</f>
        <v/>
      </c>
      <c r="M458">
        <f>_xlfn.NUMBERVALUE("0.001722")</f>
        <v/>
      </c>
      <c r="N458">
        <f>_xlfn.NUMBERVALUE("0.000000")</f>
        <v/>
      </c>
      <c r="O458">
        <f>_xlfn.NUMBERVALUE("0.002412")</f>
        <v/>
      </c>
      <c r="P458">
        <f>_xlfn.NUMBERVALUE("0.000480")</f>
        <v/>
      </c>
      <c r="Q458">
        <f>_xlfn.NUMBERVALUE("0.001051")</f>
        <v/>
      </c>
      <c r="R458">
        <f>_xlfn.NUMBERVALUE("0.001488")</f>
        <v/>
      </c>
      <c r="S458">
        <f>_xlfn.NUMBERVALUE("0.000740")</f>
        <v/>
      </c>
      <c r="T458">
        <f>_xlfn.NUMBERVALUE("0.001873")</f>
        <v/>
      </c>
      <c r="U458">
        <f>_xlfn.NUMBERVALUE("-0.000006")</f>
        <v/>
      </c>
      <c r="V458">
        <f>_xlfn.NUMBERVALUE("0.000775")</f>
        <v/>
      </c>
      <c r="W458">
        <f>_xlfn.NUMBERVALUE("-0.000098")</f>
        <v/>
      </c>
      <c r="X458">
        <f>_xlfn.NUMBERVALUE("-0.410000")</f>
        <v/>
      </c>
      <c r="Y458">
        <f>_xlfn.NUMBERVALUE("13.340000")</f>
        <v/>
      </c>
    </row>
    <row r="459">
      <c r="A459" s="1" t="n">
        <v>42667</v>
      </c>
      <c r="B459">
        <f>_xlfn.NUMBERVALUE("0.000000")</f>
        <v/>
      </c>
      <c r="C459" s="2">
        <f>_xlfn.NUMBERVALUE("0.000291")</f>
        <v/>
      </c>
      <c r="D459">
        <f>_xlfn.NUMBERVALUE("0.001332")</f>
        <v/>
      </c>
      <c r="E459">
        <f>_xlfn.NUMBERVALUE("0.000308")</f>
        <v/>
      </c>
      <c r="F459">
        <f>_xlfn.NUMBERVALUE("-0.000122")</f>
        <v/>
      </c>
      <c r="G459">
        <f>_xlfn.NUMBERVALUE("0.000565")</f>
        <v/>
      </c>
      <c r="H459">
        <f>_xlfn.NUMBERVALUE("0.000319")</f>
        <v/>
      </c>
      <c r="I459">
        <f>_xlfn.NUMBERVALUE("0.000165")</f>
        <v/>
      </c>
      <c r="J459">
        <f>_xlfn.NUMBERVALUE("0.000615")</f>
        <v/>
      </c>
      <c r="K459">
        <f>_xlfn.NUMBERVALUE("0.000907")</f>
        <v/>
      </c>
      <c r="L459">
        <f>_xlfn.NUMBERVALUE("-0.000798")</f>
        <v/>
      </c>
      <c r="M459">
        <f>_xlfn.NUMBERVALUE("0.001860")</f>
        <v/>
      </c>
      <c r="N459">
        <f>_xlfn.NUMBERVALUE("0.000000")</f>
        <v/>
      </c>
      <c r="O459">
        <f>_xlfn.NUMBERVALUE("0.001893")</f>
        <v/>
      </c>
      <c r="P459">
        <f>_xlfn.NUMBERVALUE("0.004381")</f>
        <v/>
      </c>
      <c r="Q459">
        <f>_xlfn.NUMBERVALUE("0.000817")</f>
        <v/>
      </c>
      <c r="R459">
        <f>_xlfn.NUMBERVALUE("-0.000768")</f>
        <v/>
      </c>
      <c r="S459">
        <f>_xlfn.NUMBERVALUE("0.000357")</f>
        <v/>
      </c>
      <c r="T459">
        <f>_xlfn.NUMBERVALUE("0.001524")</f>
        <v/>
      </c>
      <c r="U459">
        <f>_xlfn.NUMBERVALUE("0.000566")</f>
        <v/>
      </c>
      <c r="V459">
        <f>_xlfn.NUMBERVALUE("0.000641")</f>
        <v/>
      </c>
      <c r="W459">
        <f>_xlfn.NUMBERVALUE("0.004628")</f>
        <v/>
      </c>
      <c r="X459">
        <f>_xlfn.NUMBERVALUE("-0.320000")</f>
        <v/>
      </c>
      <c r="Y459">
        <f>_xlfn.NUMBERVALUE("13.020000")</f>
        <v/>
      </c>
    </row>
    <row r="460">
      <c r="A460" s="1" t="n">
        <v>42668</v>
      </c>
      <c r="B460">
        <f>_xlfn.NUMBERVALUE("0.000000")</f>
        <v/>
      </c>
      <c r="C460" s="2">
        <f>_xlfn.NUMBERVALUE("0.000606")</f>
        <v/>
      </c>
      <c r="D460">
        <f>_xlfn.NUMBERVALUE("0.001054")</f>
        <v/>
      </c>
      <c r="E460">
        <f>_xlfn.NUMBERVALUE("-0.000057")</f>
        <v/>
      </c>
      <c r="F460">
        <f>_xlfn.NUMBERVALUE("-0.000110")</f>
        <v/>
      </c>
      <c r="G460">
        <f>_xlfn.NUMBERVALUE("0.000573")</f>
        <v/>
      </c>
      <c r="H460">
        <f>_xlfn.NUMBERVALUE("-0.000503")</f>
        <v/>
      </c>
      <c r="I460">
        <f>_xlfn.NUMBERVALUE("-0.000563")</f>
        <v/>
      </c>
      <c r="J460">
        <f>_xlfn.NUMBERVALUE("0.000515")</f>
        <v/>
      </c>
      <c r="K460">
        <f>_xlfn.NUMBERVALUE("0.000037")</f>
        <v/>
      </c>
      <c r="L460">
        <f>_xlfn.NUMBERVALUE("0.000650")</f>
        <v/>
      </c>
      <c r="M460">
        <f>_xlfn.NUMBERVALUE("-0.002559")</f>
        <v/>
      </c>
      <c r="N460">
        <f>_xlfn.NUMBERVALUE("0.000000")</f>
        <v/>
      </c>
      <c r="O460">
        <f>_xlfn.NUMBERVALUE("0.000207")</f>
        <v/>
      </c>
      <c r="P460">
        <f>_xlfn.NUMBERVALUE("-0.002649")</f>
        <v/>
      </c>
      <c r="Q460">
        <f>_xlfn.NUMBERVALUE("-0.000058")</f>
        <v/>
      </c>
      <c r="R460">
        <f>_xlfn.NUMBERVALUE("0.000319")</f>
        <v/>
      </c>
      <c r="S460">
        <f>_xlfn.NUMBERVALUE("0.000603")</f>
        <v/>
      </c>
      <c r="T460">
        <f>_xlfn.NUMBERVALUE("0.000722")</f>
        <v/>
      </c>
      <c r="U460">
        <f>_xlfn.NUMBERVALUE("-0.002333")</f>
        <v/>
      </c>
      <c r="V460">
        <f>_xlfn.NUMBERVALUE("-0.000519")</f>
        <v/>
      </c>
      <c r="W460">
        <f>_xlfn.NUMBERVALUE("-0.003606")</f>
        <v/>
      </c>
      <c r="X460">
        <f>_xlfn.NUMBERVALUE("0.440000")</f>
        <v/>
      </c>
      <c r="Y460">
        <f>_xlfn.NUMBERVALUE("13.460000")</f>
        <v/>
      </c>
    </row>
    <row r="461">
      <c r="A461" s="1" t="n">
        <v>42669</v>
      </c>
      <c r="B461">
        <f>_xlfn.NUMBERVALUE("0.000000")</f>
        <v/>
      </c>
      <c r="C461" s="2">
        <f>_xlfn.NUMBERVALUE("0.000538")</f>
        <v/>
      </c>
      <c r="D461">
        <f>_xlfn.NUMBERVALUE("0.000403")</f>
        <v/>
      </c>
      <c r="E461">
        <f>_xlfn.NUMBERVALUE("0.000046")</f>
        <v/>
      </c>
      <c r="F461">
        <f>_xlfn.NUMBERVALUE("0.000944")</f>
        <v/>
      </c>
      <c r="G461">
        <f>_xlfn.NUMBERVALUE("0.000278")</f>
        <v/>
      </c>
      <c r="H461">
        <f>_xlfn.NUMBERVALUE("0.000245")</f>
        <v/>
      </c>
      <c r="I461">
        <f>_xlfn.NUMBERVALUE("-0.000261")</f>
        <v/>
      </c>
      <c r="J461">
        <f>_xlfn.NUMBERVALUE("-0.000470")</f>
        <v/>
      </c>
      <c r="K461">
        <f>_xlfn.NUMBERVALUE("0.000451")</f>
        <v/>
      </c>
      <c r="L461">
        <f>_xlfn.NUMBERVALUE("0.000028")</f>
        <v/>
      </c>
      <c r="M461">
        <f>_xlfn.NUMBERVALUE("0.002381")</f>
        <v/>
      </c>
      <c r="N461">
        <f>_xlfn.NUMBERVALUE("0.000000")</f>
        <v/>
      </c>
      <c r="O461">
        <f>_xlfn.NUMBERVALUE("0.000469")</f>
        <v/>
      </c>
      <c r="P461">
        <f>_xlfn.NUMBERVALUE("0.001796")</f>
        <v/>
      </c>
      <c r="Q461">
        <f>_xlfn.NUMBERVALUE("0.000150")</f>
        <v/>
      </c>
      <c r="R461">
        <f>_xlfn.NUMBERVALUE("0.001786")</f>
        <v/>
      </c>
      <c r="S461">
        <f>_xlfn.NUMBERVALUE("0.000315")</f>
        <v/>
      </c>
      <c r="T461">
        <f>_xlfn.NUMBERVALUE("0.000150")</f>
        <v/>
      </c>
      <c r="U461">
        <f>_xlfn.NUMBERVALUE("0.000486")</f>
        <v/>
      </c>
      <c r="V461">
        <f>_xlfn.NUMBERVALUE("0.000484")</f>
        <v/>
      </c>
      <c r="W461">
        <f>_xlfn.NUMBERVALUE("-0.000794")</f>
        <v/>
      </c>
      <c r="X461">
        <f>_xlfn.NUMBERVALUE("0.780000")</f>
        <v/>
      </c>
      <c r="Y461">
        <f>_xlfn.NUMBERVALUE("14.240000")</f>
        <v/>
      </c>
    </row>
    <row r="462">
      <c r="A462" s="1" t="n">
        <v>42670</v>
      </c>
      <c r="B462">
        <f>_xlfn.NUMBERVALUE("0.000000")</f>
        <v/>
      </c>
      <c r="C462" s="2">
        <f>_xlfn.NUMBERVALUE("0.000142")</f>
        <v/>
      </c>
      <c r="D462">
        <f>_xlfn.NUMBERVALUE("-0.000129")</f>
        <v/>
      </c>
      <c r="E462">
        <f>_xlfn.NUMBERVALUE("0.000155")</f>
        <v/>
      </c>
      <c r="F462">
        <f>_xlfn.NUMBERVALUE("-0.000044")</f>
        <v/>
      </c>
      <c r="G462">
        <f>_xlfn.NUMBERVALUE("-0.000248")</f>
        <v/>
      </c>
      <c r="H462">
        <f>_xlfn.NUMBERVALUE("-0.000330")</f>
        <v/>
      </c>
      <c r="I462">
        <f>_xlfn.NUMBERVALUE("-0.000232")</f>
        <v/>
      </c>
      <c r="J462">
        <f>_xlfn.NUMBERVALUE("-0.000750")</f>
        <v/>
      </c>
      <c r="K462">
        <f>_xlfn.NUMBERVALUE("0.000606")</f>
        <v/>
      </c>
      <c r="L462">
        <f>_xlfn.NUMBERVALUE("-0.000297")</f>
        <v/>
      </c>
      <c r="M462">
        <f>_xlfn.NUMBERVALUE("0.000236")</f>
        <v/>
      </c>
      <c r="N462">
        <f>_xlfn.NUMBERVALUE("0.000000")</f>
        <v/>
      </c>
      <c r="O462">
        <f>_xlfn.NUMBERVALUE("0.001660")</f>
        <v/>
      </c>
      <c r="P462">
        <f>_xlfn.NUMBERVALUE("-0.000952")</f>
        <v/>
      </c>
      <c r="Q462">
        <f>_xlfn.NUMBERVALUE("-0.000798")</f>
        <v/>
      </c>
      <c r="R462">
        <f>_xlfn.NUMBERVALUE("0.000748")</f>
        <v/>
      </c>
      <c r="S462">
        <f>_xlfn.NUMBERVALUE("-0.000361")</f>
        <v/>
      </c>
      <c r="T462">
        <f>_xlfn.NUMBERVALUE("-0.000156")</f>
        <v/>
      </c>
      <c r="U462">
        <f>_xlfn.NUMBERVALUE("-0.001412")</f>
        <v/>
      </c>
      <c r="V462">
        <f>_xlfn.NUMBERVALUE("-0.000160")</f>
        <v/>
      </c>
      <c r="W462">
        <f>_xlfn.NUMBERVALUE("-0.003482")</f>
        <v/>
      </c>
      <c r="X462">
        <f>_xlfn.NUMBERVALUE("1.120000")</f>
        <v/>
      </c>
      <c r="Y462">
        <f>_xlfn.NUMBERVALUE("15.360000")</f>
        <v/>
      </c>
    </row>
    <row r="463">
      <c r="A463" s="1" t="n">
        <v>42671</v>
      </c>
      <c r="B463">
        <f>_xlfn.NUMBERVALUE("0.000000")</f>
        <v/>
      </c>
      <c r="C463" s="2">
        <f>_xlfn.NUMBERVALUE("0.000826")</f>
        <v/>
      </c>
      <c r="D463">
        <f>_xlfn.NUMBERVALUE("0.000360")</f>
        <v/>
      </c>
      <c r="E463">
        <f>_xlfn.NUMBERVALUE("0.000035")</f>
        <v/>
      </c>
      <c r="F463">
        <f>_xlfn.NUMBERVALUE("0.000042")</f>
        <v/>
      </c>
      <c r="G463">
        <f>_xlfn.NUMBERVALUE("-0.000397")</f>
        <v/>
      </c>
      <c r="H463">
        <f>_xlfn.NUMBERVALUE("0.000362")</f>
        <v/>
      </c>
      <c r="I463">
        <f>_xlfn.NUMBERVALUE("-0.000001")</f>
        <v/>
      </c>
      <c r="J463">
        <f>_xlfn.NUMBERVALUE("0.000149")</f>
        <v/>
      </c>
      <c r="K463">
        <f>_xlfn.NUMBERVALUE("0.000132")</f>
        <v/>
      </c>
      <c r="L463">
        <f>_xlfn.NUMBERVALUE("-0.000604")</f>
        <v/>
      </c>
      <c r="M463">
        <f>_xlfn.NUMBERVALUE("0.000516")</f>
        <v/>
      </c>
      <c r="N463">
        <f>_xlfn.NUMBERVALUE("0.000000")</f>
        <v/>
      </c>
      <c r="O463">
        <f>_xlfn.NUMBERVALUE("0.000175")</f>
        <v/>
      </c>
      <c r="P463">
        <f>_xlfn.NUMBERVALUE("-0.001592")</f>
        <v/>
      </c>
      <c r="Q463">
        <f>_xlfn.NUMBERVALUE("0.000623")</f>
        <v/>
      </c>
      <c r="R463">
        <f>_xlfn.NUMBERVALUE("-0.000274")</f>
        <v/>
      </c>
      <c r="S463">
        <f>_xlfn.NUMBERVALUE("-0.001844")</f>
        <v/>
      </c>
      <c r="T463">
        <f>_xlfn.NUMBERVALUE("0.000533")</f>
        <v/>
      </c>
      <c r="U463">
        <f>_xlfn.NUMBERVALUE("0.000992")</f>
        <v/>
      </c>
      <c r="V463">
        <f>_xlfn.NUMBERVALUE("0.000086")</f>
        <v/>
      </c>
      <c r="W463">
        <f>_xlfn.NUMBERVALUE("-0.003049")</f>
        <v/>
      </c>
      <c r="X463">
        <f>_xlfn.NUMBERVALUE("0.830000")</f>
        <v/>
      </c>
      <c r="Y463">
        <f>_xlfn.NUMBERVALUE("16.190000")</f>
        <v/>
      </c>
    </row>
    <row r="464">
      <c r="A464" s="1" t="n">
        <v>42674</v>
      </c>
      <c r="B464">
        <f>_xlfn.NUMBERVALUE("0.000000")</f>
        <v/>
      </c>
      <c r="C464" s="2">
        <f>_xlfn.NUMBERVALUE("0.002112")</f>
        <v/>
      </c>
      <c r="D464">
        <f>_xlfn.NUMBERVALUE("0.006535")</f>
        <v/>
      </c>
      <c r="E464">
        <f>_xlfn.NUMBERVALUE("-0.000005")</f>
        <v/>
      </c>
      <c r="F464">
        <f>_xlfn.NUMBERVALUE("0.000808")</f>
        <v/>
      </c>
      <c r="G464">
        <f>_xlfn.NUMBERVALUE("0.001520")</f>
        <v/>
      </c>
      <c r="H464">
        <f>_xlfn.NUMBERVALUE("0.000346")</f>
        <v/>
      </c>
      <c r="I464">
        <f>_xlfn.NUMBERVALUE("0.000020")</f>
        <v/>
      </c>
      <c r="J464">
        <f>_xlfn.NUMBERVALUE("0.000473")</f>
        <v/>
      </c>
      <c r="K464">
        <f>_xlfn.NUMBERVALUE("0.000251")</f>
        <v/>
      </c>
      <c r="L464">
        <f>_xlfn.NUMBERVALUE("0.000730")</f>
        <v/>
      </c>
      <c r="M464">
        <f>_xlfn.NUMBERVALUE("0.001565")</f>
        <v/>
      </c>
      <c r="N464">
        <f>_xlfn.NUMBERVALUE("0.000000")</f>
        <v/>
      </c>
      <c r="O464">
        <f>_xlfn.NUMBERVALUE("-0.000042")</f>
        <v/>
      </c>
      <c r="P464">
        <f>_xlfn.NUMBERVALUE("0.004174")</f>
        <v/>
      </c>
      <c r="Q464">
        <f>_xlfn.NUMBERVALUE("0.000371")</f>
        <v/>
      </c>
      <c r="R464">
        <f>_xlfn.NUMBERVALUE("0.003069")</f>
        <v/>
      </c>
      <c r="S464">
        <f>_xlfn.NUMBERVALUE("0.002236")</f>
        <v/>
      </c>
      <c r="T464">
        <f>_xlfn.NUMBERVALUE("-0.003287")</f>
        <v/>
      </c>
      <c r="U464">
        <f>_xlfn.NUMBERVALUE("-0.001929")</f>
        <v/>
      </c>
      <c r="V464">
        <f>_xlfn.NUMBERVALUE("0.000111")</f>
        <v/>
      </c>
      <c r="W464">
        <f>_xlfn.NUMBERVALUE("0.000094")</f>
        <v/>
      </c>
      <c r="X464">
        <f>_xlfn.NUMBERVALUE("0.870000")</f>
        <v/>
      </c>
      <c r="Y464">
        <f>_xlfn.NUMBERVALUE("17.060000")</f>
        <v/>
      </c>
    </row>
    <row r="465">
      <c r="A465" s="1" t="n">
        <v>42675</v>
      </c>
      <c r="B465">
        <f>_xlfn.NUMBERVALUE("0.000000")</f>
        <v/>
      </c>
      <c r="C465" s="2">
        <f>_xlfn.NUMBERVALUE("-0.000989")</f>
        <v/>
      </c>
      <c r="D465">
        <f>_xlfn.NUMBERVALUE("-0.004530")</f>
        <v/>
      </c>
      <c r="E465">
        <f>_xlfn.NUMBERVALUE("-0.001275")</f>
        <v/>
      </c>
      <c r="F465">
        <f>_xlfn.NUMBERVALUE("-0.002271")</f>
        <v/>
      </c>
      <c r="G465">
        <f>_xlfn.NUMBERVALUE("-0.004736")</f>
        <v/>
      </c>
      <c r="H465">
        <f>_xlfn.NUMBERVALUE("-0.000331")</f>
        <v/>
      </c>
      <c r="I465">
        <f>_xlfn.NUMBERVALUE("-0.000545")</f>
        <v/>
      </c>
      <c r="J465">
        <f>_xlfn.NUMBERVALUE("-0.001089")</f>
        <v/>
      </c>
      <c r="K465">
        <f>_xlfn.NUMBERVALUE("-0.007514")</f>
        <v/>
      </c>
      <c r="L465">
        <f>_xlfn.NUMBERVALUE("0.000512")</f>
        <v/>
      </c>
      <c r="M465">
        <f>_xlfn.NUMBERVALUE("0.000075")</f>
        <v/>
      </c>
      <c r="N465">
        <f>_xlfn.NUMBERVALUE("0.000000")</f>
        <v/>
      </c>
      <c r="O465">
        <f>_xlfn.NUMBERVALUE("0.000563")</f>
        <v/>
      </c>
      <c r="P465">
        <f>_xlfn.NUMBERVALUE("0.001940")</f>
        <v/>
      </c>
      <c r="Q465">
        <f>_xlfn.NUMBERVALUE("-0.000557")</f>
        <v/>
      </c>
      <c r="R465">
        <f>_xlfn.NUMBERVALUE("-0.000644")</f>
        <v/>
      </c>
      <c r="S465">
        <f>_xlfn.NUMBERVALUE("0.000967")</f>
        <v/>
      </c>
      <c r="T465">
        <f>_xlfn.NUMBERVALUE("-0.001353")</f>
        <v/>
      </c>
      <c r="U465">
        <f>_xlfn.NUMBERVALUE("0.002091")</f>
        <v/>
      </c>
      <c r="V465">
        <f>_xlfn.NUMBERVALUE("-0.000818")</f>
        <v/>
      </c>
      <c r="W465">
        <f>_xlfn.NUMBERVALUE("-0.007197")</f>
        <v/>
      </c>
      <c r="X465">
        <f>_xlfn.NUMBERVALUE("1.500000")</f>
        <v/>
      </c>
      <c r="Y465">
        <f>_xlfn.NUMBERVALUE("18.560000")</f>
        <v/>
      </c>
    </row>
    <row r="466">
      <c r="A466" s="1" t="n">
        <v>42676</v>
      </c>
      <c r="B466">
        <f>_xlfn.NUMBERVALUE("0.000000")</f>
        <v/>
      </c>
      <c r="C466" s="2">
        <f>_xlfn.NUMBERVALUE("0.000684")</f>
        <v/>
      </c>
      <c r="D466">
        <f>_xlfn.NUMBERVALUE("0.002472")</f>
        <v/>
      </c>
      <c r="E466">
        <f>_xlfn.NUMBERVALUE("-0.000523")</f>
        <v/>
      </c>
      <c r="F466">
        <f>_xlfn.NUMBERVALUE("0.000225")</f>
        <v/>
      </c>
      <c r="G466">
        <f>_xlfn.NUMBERVALUE("0.000148")</f>
        <v/>
      </c>
      <c r="H466">
        <f>_xlfn.NUMBERVALUE("-0.000316")</f>
        <v/>
      </c>
      <c r="I466">
        <f>_xlfn.NUMBERVALUE("0.000569")</f>
        <v/>
      </c>
      <c r="J466">
        <f>_xlfn.NUMBERVALUE("-0.000836")</f>
        <v/>
      </c>
      <c r="K466">
        <f>_xlfn.NUMBERVALUE("0.001512")</f>
        <v/>
      </c>
      <c r="L466">
        <f>_xlfn.NUMBERVALUE("0.000380")</f>
        <v/>
      </c>
      <c r="M466">
        <f>_xlfn.NUMBERVALUE("0.001034")</f>
        <v/>
      </c>
      <c r="N466">
        <f>_xlfn.NUMBERVALUE("0.000000")</f>
        <v/>
      </c>
      <c r="O466">
        <f>_xlfn.NUMBERVALUE("-0.000058")</f>
        <v/>
      </c>
      <c r="P466">
        <f>_xlfn.NUMBERVALUE("0.003358")</f>
        <v/>
      </c>
      <c r="Q466">
        <f>_xlfn.NUMBERVALUE("0.000174")</f>
        <v/>
      </c>
      <c r="R466">
        <f>_xlfn.NUMBERVALUE("0.000223")</f>
        <v/>
      </c>
      <c r="S466">
        <f>_xlfn.NUMBERVALUE("0.003505")</f>
        <v/>
      </c>
      <c r="T466">
        <f>_xlfn.NUMBERVALUE("0.003144")</f>
        <v/>
      </c>
      <c r="U466">
        <f>_xlfn.NUMBERVALUE("0.000118")</f>
        <v/>
      </c>
      <c r="V466">
        <f>_xlfn.NUMBERVALUE("0.000385")</f>
        <v/>
      </c>
      <c r="W466">
        <f>_xlfn.NUMBERVALUE("-0.004406")</f>
        <v/>
      </c>
      <c r="X466">
        <f>_xlfn.NUMBERVALUE("0.760000")</f>
        <v/>
      </c>
      <c r="Y466">
        <f>_xlfn.NUMBERVALUE("19.320000")</f>
        <v/>
      </c>
    </row>
    <row r="467">
      <c r="A467" s="1" t="n">
        <v>42677</v>
      </c>
      <c r="B467">
        <f>_xlfn.NUMBERVALUE("0.000000")</f>
        <v/>
      </c>
      <c r="C467" s="2">
        <f>_xlfn.NUMBERVALUE("-0.003050")</f>
        <v/>
      </c>
      <c r="D467">
        <f>_xlfn.NUMBERVALUE("-0.003183")</f>
        <v/>
      </c>
      <c r="E467">
        <f>_xlfn.NUMBERVALUE("0.000666")</f>
        <v/>
      </c>
      <c r="F467">
        <f>_xlfn.NUMBERVALUE("-0.001321")</f>
        <v/>
      </c>
      <c r="G467">
        <f>_xlfn.NUMBERVALUE("0.000399")</f>
        <v/>
      </c>
      <c r="H467">
        <f>_xlfn.NUMBERVALUE("0.000235")</f>
        <v/>
      </c>
      <c r="I467">
        <f>_xlfn.NUMBERVALUE("-0.002509")</f>
        <v/>
      </c>
      <c r="J467">
        <f>_xlfn.NUMBERVALUE("0.000050")</f>
        <v/>
      </c>
      <c r="K467">
        <f>_xlfn.NUMBERVALUE("0.001434")</f>
        <v/>
      </c>
      <c r="L467">
        <f>_xlfn.NUMBERVALUE("0.000247")</f>
        <v/>
      </c>
      <c r="M467">
        <f>_xlfn.NUMBERVALUE("-0.000107")</f>
        <v/>
      </c>
      <c r="N467">
        <f>_xlfn.NUMBERVALUE("0.000000")</f>
        <v/>
      </c>
      <c r="O467">
        <f>_xlfn.NUMBERVALUE("0.000003")</f>
        <v/>
      </c>
      <c r="P467">
        <f>_xlfn.NUMBERVALUE("0.009397")</f>
        <v/>
      </c>
      <c r="Q467">
        <f>_xlfn.NUMBERVALUE("-0.000084")</f>
        <v/>
      </c>
      <c r="R467">
        <f>_xlfn.NUMBERVALUE("-0.000794")</f>
        <v/>
      </c>
      <c r="S467">
        <f>_xlfn.NUMBERVALUE("-0.004651")</f>
        <v/>
      </c>
      <c r="T467">
        <f>_xlfn.NUMBERVALUE("0.002336")</f>
        <v/>
      </c>
      <c r="U467">
        <f>_xlfn.NUMBERVALUE("-0.000001")</f>
        <v/>
      </c>
      <c r="V467">
        <f>_xlfn.NUMBERVALUE("-0.002657")</f>
        <v/>
      </c>
      <c r="W467">
        <f>_xlfn.NUMBERVALUE("-0.007257")</f>
        <v/>
      </c>
      <c r="X467">
        <f>_xlfn.NUMBERVALUE("2.760000")</f>
        <v/>
      </c>
      <c r="Y467">
        <f>_xlfn.NUMBERVALUE("22.080000")</f>
        <v/>
      </c>
    </row>
    <row r="468">
      <c r="A468" s="1" t="n">
        <v>42678</v>
      </c>
      <c r="B468">
        <f>_xlfn.NUMBERVALUE("0.000000")</f>
        <v/>
      </c>
      <c r="C468" s="2">
        <f>_xlfn.NUMBERVALUE("-0.000653")</f>
        <v/>
      </c>
      <c r="D468">
        <f>_xlfn.NUMBERVALUE("0.001485")</f>
        <v/>
      </c>
      <c r="E468">
        <f>_xlfn.NUMBERVALUE("-0.001261")</f>
        <v/>
      </c>
      <c r="F468">
        <f>_xlfn.NUMBERVALUE("-0.001111")</f>
        <v/>
      </c>
      <c r="G468">
        <f>_xlfn.NUMBERVALUE("0.000427")</f>
        <v/>
      </c>
      <c r="H468">
        <f>_xlfn.NUMBERVALUE("0.000047")</f>
        <v/>
      </c>
      <c r="I468">
        <f>_xlfn.NUMBERVALUE("-0.000726")</f>
        <v/>
      </c>
      <c r="J468">
        <f>_xlfn.NUMBERVALUE("0.000239")</f>
        <v/>
      </c>
      <c r="K468">
        <f>_xlfn.NUMBERVALUE("-0.003598")</f>
        <v/>
      </c>
      <c r="L468">
        <f>_xlfn.NUMBERVALUE("-0.000315")</f>
        <v/>
      </c>
      <c r="M468">
        <f>_xlfn.NUMBERVALUE("-0.000431")</f>
        <v/>
      </c>
      <c r="N468">
        <f>_xlfn.NUMBERVALUE("0.000000")</f>
        <v/>
      </c>
      <c r="O468">
        <f>_xlfn.NUMBERVALUE("-0.000020")</f>
        <v/>
      </c>
      <c r="P468">
        <f>_xlfn.NUMBERVALUE("0.001244")</f>
        <v/>
      </c>
      <c r="Q468">
        <f>_xlfn.NUMBERVALUE("-0.001229")</f>
        <v/>
      </c>
      <c r="R468">
        <f>_xlfn.NUMBERVALUE("-0.000667")</f>
        <v/>
      </c>
      <c r="S468">
        <f>_xlfn.NUMBERVALUE("-0.001560")</f>
        <v/>
      </c>
      <c r="T468">
        <f>_xlfn.NUMBERVALUE("0.000026")</f>
        <v/>
      </c>
      <c r="U468">
        <f>_xlfn.NUMBERVALUE("-0.000321")</f>
        <v/>
      </c>
      <c r="V468">
        <f>_xlfn.NUMBERVALUE("-0.000396")</f>
        <v/>
      </c>
      <c r="W468">
        <f>_xlfn.NUMBERVALUE("-0.000455")</f>
        <v/>
      </c>
      <c r="X468">
        <f>_xlfn.NUMBERVALUE("0.430000")</f>
        <v/>
      </c>
      <c r="Y468">
        <f>_xlfn.NUMBERVALUE("22.510000")</f>
        <v/>
      </c>
    </row>
    <row r="469">
      <c r="A469" s="1" t="n">
        <v>42681</v>
      </c>
      <c r="B469">
        <f>_xlfn.NUMBERVALUE("0.000000")</f>
        <v/>
      </c>
      <c r="C469" s="2">
        <f>_xlfn.NUMBERVALUE("0.001096")</f>
        <v/>
      </c>
      <c r="D469">
        <f>_xlfn.NUMBERVALUE("-0.004196")</f>
        <v/>
      </c>
      <c r="E469">
        <f>_xlfn.NUMBERVALUE("0.003174")</f>
        <v/>
      </c>
      <c r="F469">
        <f>_xlfn.NUMBERVALUE("0.001949")</f>
        <v/>
      </c>
      <c r="G469">
        <f>_xlfn.NUMBERVALUE("-0.000017")</f>
        <v/>
      </c>
      <c r="H469">
        <f>_xlfn.NUMBERVALUE("0.000186")</f>
        <v/>
      </c>
      <c r="I469">
        <f>_xlfn.NUMBERVALUE("0.001705")</f>
        <v/>
      </c>
      <c r="J469">
        <f>_xlfn.NUMBERVALUE("0.000584")</f>
        <v/>
      </c>
      <c r="K469">
        <f>_xlfn.NUMBERVALUE("0.005251")</f>
        <v/>
      </c>
      <c r="L469">
        <f>_xlfn.NUMBERVALUE("0.002074")</f>
        <v/>
      </c>
      <c r="M469">
        <f>_xlfn.NUMBERVALUE("0.003520")</f>
        <v/>
      </c>
      <c r="N469">
        <f>_xlfn.NUMBERVALUE("0.000000")</f>
        <v/>
      </c>
      <c r="O469">
        <f>_xlfn.NUMBERVALUE("0.008430")</f>
        <v/>
      </c>
      <c r="P469">
        <f>_xlfn.NUMBERVALUE("-0.000852")</f>
        <v/>
      </c>
      <c r="Q469">
        <f>_xlfn.NUMBERVALUE("0.000942")</f>
        <v/>
      </c>
      <c r="R469">
        <f>_xlfn.NUMBERVALUE("0.002915")</f>
        <v/>
      </c>
      <c r="S469">
        <f>_xlfn.NUMBERVALUE("0.000511")</f>
        <v/>
      </c>
      <c r="T469">
        <f>_xlfn.NUMBERVALUE("0.002081")</f>
        <v/>
      </c>
      <c r="U469">
        <f>_xlfn.NUMBERVALUE("0.001284")</f>
        <v/>
      </c>
      <c r="V469">
        <f>_xlfn.NUMBERVALUE("0.001047")</f>
        <v/>
      </c>
      <c r="W469">
        <f>_xlfn.NUMBERVALUE("0.020095")</f>
        <v/>
      </c>
      <c r="X469">
        <f>_xlfn.NUMBERVALUE("-3.800000")</f>
        <v/>
      </c>
      <c r="Y469">
        <f>_xlfn.NUMBERVALUE("18.710000")</f>
        <v/>
      </c>
    </row>
    <row r="470">
      <c r="A470" s="1" t="n">
        <v>42682</v>
      </c>
      <c r="B470">
        <f>_xlfn.NUMBERVALUE("0.000000")</f>
        <v/>
      </c>
      <c r="C470" s="2">
        <f>_xlfn.NUMBERVALUE("-0.000375")</f>
        <v/>
      </c>
      <c r="D470">
        <f>_xlfn.NUMBERVALUE("-0.001106")</f>
        <v/>
      </c>
      <c r="E470">
        <f>_xlfn.NUMBERVALUE("0.001009")</f>
        <v/>
      </c>
      <c r="F470">
        <f>_xlfn.NUMBERVALUE("0.000908")</f>
        <v/>
      </c>
      <c r="G470">
        <f>_xlfn.NUMBERVALUE("0.000474")</f>
        <v/>
      </c>
      <c r="H470">
        <f>_xlfn.NUMBERVALUE("-0.000271")</f>
        <v/>
      </c>
      <c r="I470">
        <f>_xlfn.NUMBERVALUE("0.000219")</f>
        <v/>
      </c>
      <c r="J470">
        <f>_xlfn.NUMBERVALUE("0.001491")</f>
        <v/>
      </c>
      <c r="K470">
        <f>_xlfn.NUMBERVALUE("-0.000385")</f>
        <v/>
      </c>
      <c r="L470">
        <f>_xlfn.NUMBERVALUE("0.001254")</f>
        <v/>
      </c>
      <c r="M470">
        <f>_xlfn.NUMBERVALUE("0.001387")</f>
        <v/>
      </c>
      <c r="N470">
        <f>_xlfn.NUMBERVALUE("0.000000")</f>
        <v/>
      </c>
      <c r="O470">
        <f>_xlfn.NUMBERVALUE("0.000198")</f>
        <v/>
      </c>
      <c r="P470">
        <f>_xlfn.NUMBERVALUE("0.000696")</f>
        <v/>
      </c>
      <c r="Q470">
        <f>_xlfn.NUMBERVALUE("-0.001974")</f>
        <v/>
      </c>
      <c r="R470">
        <f>_xlfn.NUMBERVALUE("-0.000235")</f>
        <v/>
      </c>
      <c r="S470">
        <f>_xlfn.NUMBERVALUE("-0.000864")</f>
        <v/>
      </c>
      <c r="T470">
        <f>_xlfn.NUMBERVALUE("-0.001903")</f>
        <v/>
      </c>
      <c r="U470">
        <f>_xlfn.NUMBERVALUE("-0.000485")</f>
        <v/>
      </c>
      <c r="V470">
        <f>_xlfn.NUMBERVALUE("0.000316")</f>
        <v/>
      </c>
      <c r="W470">
        <f>_xlfn.NUMBERVALUE("0.008275")</f>
        <v/>
      </c>
      <c r="X470">
        <f>_xlfn.NUMBERVALUE("0.030000")</f>
        <v/>
      </c>
      <c r="Y470">
        <f>_xlfn.NUMBERVALUE("18.740000")</f>
        <v/>
      </c>
    </row>
    <row r="471">
      <c r="A471" s="1" t="n">
        <v>42683</v>
      </c>
      <c r="B471">
        <f>_xlfn.NUMBERVALUE("0.000000")</f>
        <v/>
      </c>
      <c r="C471" s="2">
        <f>_xlfn.NUMBERVALUE("0.002291")</f>
        <v/>
      </c>
      <c r="D471">
        <f>_xlfn.NUMBERVALUE("0.002967")</f>
        <v/>
      </c>
      <c r="E471">
        <f>_xlfn.NUMBERVALUE("0.001854")</f>
        <v/>
      </c>
      <c r="F471">
        <f>_xlfn.NUMBERVALUE("0.004445")</f>
        <v/>
      </c>
      <c r="G471">
        <f>_xlfn.NUMBERVALUE("0.001350")</f>
        <v/>
      </c>
      <c r="H471">
        <f>_xlfn.NUMBERVALUE("-0.005762")</f>
        <v/>
      </c>
      <c r="I471">
        <f>_xlfn.NUMBERVALUE("-0.004337")</f>
        <v/>
      </c>
      <c r="J471">
        <f>_xlfn.NUMBERVALUE("-0.004552")</f>
        <v/>
      </c>
      <c r="K471">
        <f>_xlfn.NUMBERVALUE("0.006472")</f>
        <v/>
      </c>
      <c r="L471">
        <f>_xlfn.NUMBERVALUE("-0.016694")</f>
        <v/>
      </c>
      <c r="M471">
        <f>_xlfn.NUMBERVALUE("-0.000506")</f>
        <v/>
      </c>
      <c r="N471">
        <f>_xlfn.NUMBERVALUE("0.000000")</f>
        <v/>
      </c>
      <c r="O471">
        <f>_xlfn.NUMBERVALUE("0.000777")</f>
        <v/>
      </c>
      <c r="P471">
        <f>_xlfn.NUMBERVALUE("-0.009056")</f>
        <v/>
      </c>
      <c r="Q471">
        <f>_xlfn.NUMBERVALUE("-0.004104")</f>
        <v/>
      </c>
      <c r="R471">
        <f>_xlfn.NUMBERVALUE("0.001984")</f>
        <v/>
      </c>
      <c r="S471">
        <f>_xlfn.NUMBERVALUE("0.001601")</f>
        <v/>
      </c>
      <c r="T471">
        <f>_xlfn.NUMBERVALUE("-0.008458")</f>
        <v/>
      </c>
      <c r="U471">
        <f>_xlfn.NUMBERVALUE("0.002176")</f>
        <v/>
      </c>
      <c r="V471">
        <f>_xlfn.NUMBERVALUE("0.002599")</f>
        <v/>
      </c>
      <c r="W471">
        <f>_xlfn.NUMBERVALUE("0.009093")</f>
        <v/>
      </c>
      <c r="X471">
        <f>_xlfn.NUMBERVALUE("-4.360000")</f>
        <v/>
      </c>
      <c r="Y471">
        <f>_xlfn.NUMBERVALUE("14.380000")</f>
        <v/>
      </c>
    </row>
    <row r="472">
      <c r="A472" s="1" t="n">
        <v>42684</v>
      </c>
      <c r="B472">
        <f>_xlfn.NUMBERVALUE("0.000000")</f>
        <v/>
      </c>
      <c r="C472" s="2">
        <f>_xlfn.NUMBERVALUE("-0.000429")</f>
        <v/>
      </c>
      <c r="D472">
        <f>_xlfn.NUMBERVALUE("-0.009206")</f>
        <v/>
      </c>
      <c r="E472">
        <f>_xlfn.NUMBERVALUE("0.001908")</f>
        <v/>
      </c>
      <c r="F472">
        <f>_xlfn.NUMBERVALUE("-0.003782")</f>
        <v/>
      </c>
      <c r="G472">
        <f>_xlfn.NUMBERVALUE("-0.002151")</f>
        <v/>
      </c>
      <c r="H472">
        <f>_xlfn.NUMBERVALUE("-0.000472")</f>
        <v/>
      </c>
      <c r="I472">
        <f>_xlfn.NUMBERVALUE("-0.003289")</f>
        <v/>
      </c>
      <c r="J472">
        <f>_xlfn.NUMBERVALUE("0.001616")</f>
        <v/>
      </c>
      <c r="K472">
        <f>_xlfn.NUMBERVALUE("0.000277")</f>
        <v/>
      </c>
      <c r="L472">
        <f>_xlfn.NUMBERVALUE("-0.001058")</f>
        <v/>
      </c>
      <c r="M472">
        <f>_xlfn.NUMBERVALUE("-0.001669")</f>
        <v/>
      </c>
      <c r="N472">
        <f>_xlfn.NUMBERVALUE("0.000000")</f>
        <v/>
      </c>
      <c r="O472">
        <f>_xlfn.NUMBERVALUE("-0.000826")</f>
        <v/>
      </c>
      <c r="P472">
        <f>_xlfn.NUMBERVALUE("-0.003479")</f>
        <v/>
      </c>
      <c r="Q472">
        <f>_xlfn.NUMBERVALUE("-0.002506")</f>
        <v/>
      </c>
      <c r="R472">
        <f>_xlfn.NUMBERVALUE("-0.001469")</f>
        <v/>
      </c>
      <c r="S472">
        <f>_xlfn.NUMBERVALUE("-0.010505")</f>
        <v/>
      </c>
      <c r="T472">
        <f>_xlfn.NUMBERVALUE("-0.005603")</f>
        <v/>
      </c>
      <c r="U472">
        <f>_xlfn.NUMBERVALUE("-0.000982")</f>
        <v/>
      </c>
      <c r="V472">
        <f>_xlfn.NUMBERVALUE("0.000874")</f>
        <v/>
      </c>
      <c r="W472">
        <f>_xlfn.NUMBERVALUE("0.002033")</f>
        <v/>
      </c>
      <c r="X472">
        <f>_xlfn.NUMBERVALUE("0.360000")</f>
        <v/>
      </c>
      <c r="Y472">
        <f>_xlfn.NUMBERVALUE("14.740000")</f>
        <v/>
      </c>
    </row>
    <row r="473">
      <c r="A473" s="1" t="n">
        <v>42685</v>
      </c>
      <c r="B473">
        <f>_xlfn.NUMBERVALUE("0.000000")</f>
        <v/>
      </c>
      <c r="C473" s="2">
        <f>_xlfn.NUMBERVALUE("0.000535")</f>
        <v/>
      </c>
      <c r="D473">
        <f>_xlfn.NUMBERVALUE("-0.001364")</f>
        <v/>
      </c>
      <c r="E473">
        <f>_xlfn.NUMBERVALUE("0.000533")</f>
        <v/>
      </c>
      <c r="F473">
        <f>_xlfn.NUMBERVALUE("-0.009426")</f>
        <v/>
      </c>
      <c r="G473">
        <f>_xlfn.NUMBERVALUE("-0.001006")</f>
        <v/>
      </c>
      <c r="H473">
        <f>_xlfn.NUMBERVALUE("-0.000377")</f>
        <v/>
      </c>
      <c r="I473">
        <f>_xlfn.NUMBERVALUE("-0.003550")</f>
        <v/>
      </c>
      <c r="J473">
        <f>_xlfn.NUMBERVALUE("-0.000431")</f>
        <v/>
      </c>
      <c r="K473">
        <f>_xlfn.NUMBERVALUE("-0.037412")</f>
        <v/>
      </c>
      <c r="L473">
        <f>_xlfn.NUMBERVALUE("-0.000348")</f>
        <v/>
      </c>
      <c r="M473">
        <f>_xlfn.NUMBERVALUE("-0.002171")</f>
        <v/>
      </c>
      <c r="N473">
        <f>_xlfn.NUMBERVALUE("0.000000")</f>
        <v/>
      </c>
      <c r="O473">
        <f>_xlfn.NUMBERVALUE("-0.002096")</f>
        <v/>
      </c>
      <c r="P473">
        <f>_xlfn.NUMBERVALUE("-0.000642")</f>
        <v/>
      </c>
      <c r="Q473">
        <f>_xlfn.NUMBERVALUE("0.001026")</f>
        <v/>
      </c>
      <c r="R473">
        <f>_xlfn.NUMBERVALUE("0.000964")</f>
        <v/>
      </c>
      <c r="S473">
        <f>_xlfn.NUMBERVALUE("0.001474")</f>
        <v/>
      </c>
      <c r="T473">
        <f>_xlfn.NUMBERVALUE("0.001007")</f>
        <v/>
      </c>
      <c r="U473">
        <f>_xlfn.NUMBERVALUE("0.000496")</f>
        <v/>
      </c>
      <c r="V473">
        <f>_xlfn.NUMBERVALUE("0.001818")</f>
        <v/>
      </c>
      <c r="W473">
        <f>_xlfn.NUMBERVALUE("-0.001568")</f>
        <v/>
      </c>
      <c r="X473">
        <f>_xlfn.NUMBERVALUE("-0.570000")</f>
        <v/>
      </c>
      <c r="Y473">
        <f>_xlfn.NUMBERVALUE("14.170000")</f>
        <v/>
      </c>
    </row>
    <row r="474">
      <c r="A474" s="1" t="n">
        <v>42688</v>
      </c>
      <c r="B474">
        <f>_xlfn.NUMBERVALUE("0.000000")</f>
        <v/>
      </c>
      <c r="C474" s="2">
        <f>_xlfn.NUMBERVALUE("0.000926")</f>
        <v/>
      </c>
      <c r="D474">
        <f>_xlfn.NUMBERVALUE("0.000526")</f>
        <v/>
      </c>
      <c r="E474">
        <f>_xlfn.NUMBERVALUE("0.000467")</f>
        <v/>
      </c>
      <c r="F474">
        <f>_xlfn.NUMBERVALUE("0.001901")</f>
        <v/>
      </c>
      <c r="G474">
        <f>_xlfn.NUMBERVALUE("0.001006")</f>
        <v/>
      </c>
      <c r="H474">
        <f>_xlfn.NUMBERVALUE("0.000189")</f>
        <v/>
      </c>
      <c r="I474">
        <f>_xlfn.NUMBERVALUE("-0.000572")</f>
        <v/>
      </c>
      <c r="J474">
        <f>_xlfn.NUMBERVALUE("-0.000026")</f>
        <v/>
      </c>
      <c r="K474">
        <f>_xlfn.NUMBERVALUE("-0.000359")</f>
        <v/>
      </c>
      <c r="L474">
        <f>_xlfn.NUMBERVALUE("0.000083")</f>
        <v/>
      </c>
      <c r="M474">
        <f>_xlfn.NUMBERVALUE("0.001656")</f>
        <v/>
      </c>
      <c r="N474">
        <f>_xlfn.NUMBERVALUE("0.000000")</f>
        <v/>
      </c>
      <c r="O474">
        <f>_xlfn.NUMBERVALUE("0.002136")</f>
        <v/>
      </c>
      <c r="P474">
        <f>_xlfn.NUMBERVALUE("-0.001741")</f>
        <v/>
      </c>
      <c r="Q474">
        <f>_xlfn.NUMBERVALUE("0.001866")</f>
        <v/>
      </c>
      <c r="R474">
        <f>_xlfn.NUMBERVALUE("-0.000617")</f>
        <v/>
      </c>
      <c r="S474">
        <f>_xlfn.NUMBERVALUE("-0.000041")</f>
        <v/>
      </c>
      <c r="T474">
        <f>_xlfn.NUMBERVALUE("0.001625")</f>
        <v/>
      </c>
      <c r="U474">
        <f>_xlfn.NUMBERVALUE("0.001822")</f>
        <v/>
      </c>
      <c r="V474">
        <f>_xlfn.NUMBERVALUE("0.002183")</f>
        <v/>
      </c>
      <c r="W474">
        <f>_xlfn.NUMBERVALUE("-0.000924")</f>
        <v/>
      </c>
      <c r="X474">
        <f>_xlfn.NUMBERVALUE("0.310000")</f>
        <v/>
      </c>
      <c r="Y474">
        <f>_xlfn.NUMBERVALUE("14.480000")</f>
        <v/>
      </c>
    </row>
    <row r="475">
      <c r="A475" s="1" t="n">
        <v>42689</v>
      </c>
      <c r="B475">
        <f>_xlfn.NUMBERVALUE("0.000000")</f>
        <v/>
      </c>
      <c r="C475" s="2">
        <f>_xlfn.NUMBERVALUE("0.001154")</f>
        <v/>
      </c>
      <c r="D475">
        <f>_xlfn.NUMBERVALUE("0.002091")</f>
        <v/>
      </c>
      <c r="E475">
        <f>_xlfn.NUMBERVALUE("0.001637")</f>
        <v/>
      </c>
      <c r="F475">
        <f>_xlfn.NUMBERVALUE("0.004294")</f>
        <v/>
      </c>
      <c r="G475">
        <f>_xlfn.NUMBERVALUE("-0.002639")</f>
        <v/>
      </c>
      <c r="H475">
        <f>_xlfn.NUMBERVALUE("0.000032")</f>
        <v/>
      </c>
      <c r="I475">
        <f>_xlfn.NUMBERVALUE("0.001374")</f>
        <v/>
      </c>
      <c r="J475">
        <f>_xlfn.NUMBERVALUE("-0.000432")</f>
        <v/>
      </c>
      <c r="K475">
        <f>_xlfn.NUMBERVALUE("0.005940")</f>
        <v/>
      </c>
      <c r="L475">
        <f>_xlfn.NUMBERVALUE("0.000578")</f>
        <v/>
      </c>
      <c r="M475">
        <f>_xlfn.NUMBERVALUE("0.001177")</f>
        <v/>
      </c>
      <c r="N475">
        <f>_xlfn.NUMBERVALUE("0.000000")</f>
        <v/>
      </c>
      <c r="O475">
        <f>_xlfn.NUMBERVALUE("-0.005699")</f>
        <v/>
      </c>
      <c r="P475">
        <f>_xlfn.NUMBERVALUE("0.000560")</f>
        <v/>
      </c>
      <c r="Q475">
        <f>_xlfn.NUMBERVALUE("0.007071")</f>
        <v/>
      </c>
      <c r="R475">
        <f>_xlfn.NUMBERVALUE("-0.001851")</f>
        <v/>
      </c>
      <c r="S475">
        <f>_xlfn.NUMBERVALUE("0.003675")</f>
        <v/>
      </c>
      <c r="T475">
        <f>_xlfn.NUMBERVALUE("0.000036")</f>
        <v/>
      </c>
      <c r="U475">
        <f>_xlfn.NUMBERVALUE("0.001459")</f>
        <v/>
      </c>
      <c r="V475">
        <f>_xlfn.NUMBERVALUE("0.000291")</f>
        <v/>
      </c>
      <c r="W475">
        <f>_xlfn.NUMBERVALUE("0.008460")</f>
        <v/>
      </c>
      <c r="X475">
        <f>_xlfn.NUMBERVALUE("-1.110000")</f>
        <v/>
      </c>
      <c r="Y475">
        <f>_xlfn.NUMBERVALUE("13.370000")</f>
        <v/>
      </c>
    </row>
    <row r="476">
      <c r="A476" s="1" t="n">
        <v>42690</v>
      </c>
      <c r="B476">
        <f>_xlfn.NUMBERVALUE("0.000000")</f>
        <v/>
      </c>
      <c r="C476" s="2">
        <f>_xlfn.NUMBERVALUE("0.000851")</f>
        <v/>
      </c>
      <c r="D476">
        <f>_xlfn.NUMBERVALUE("-0.000230")</f>
        <v/>
      </c>
      <c r="E476">
        <f>_xlfn.NUMBERVALUE("-0.000248")</f>
        <v/>
      </c>
      <c r="F476">
        <f>_xlfn.NUMBERVALUE("0.000494")</f>
        <v/>
      </c>
      <c r="G476">
        <f>_xlfn.NUMBERVALUE("-0.000562")</f>
        <v/>
      </c>
      <c r="H476">
        <f>_xlfn.NUMBERVALUE("-0.000441")</f>
        <v/>
      </c>
      <c r="I476">
        <f>_xlfn.NUMBERVALUE("0.000089")</f>
        <v/>
      </c>
      <c r="J476">
        <f>_xlfn.NUMBERVALUE("-0.002558")</f>
        <v/>
      </c>
      <c r="K476">
        <f>_xlfn.NUMBERVALUE("0.001103")</f>
        <v/>
      </c>
      <c r="L476">
        <f>_xlfn.NUMBERVALUE("0.000257")</f>
        <v/>
      </c>
      <c r="M476">
        <f>_xlfn.NUMBERVALUE("0.000732")</f>
        <v/>
      </c>
      <c r="N476">
        <f>_xlfn.NUMBERVALUE("0.000000")</f>
        <v/>
      </c>
      <c r="O476">
        <f>_xlfn.NUMBERVALUE("-0.002744")</f>
        <v/>
      </c>
      <c r="P476">
        <f>_xlfn.NUMBERVALUE("0.000224")</f>
        <v/>
      </c>
      <c r="Q476">
        <f>_xlfn.NUMBERVALUE("-0.006989")</f>
        <v/>
      </c>
      <c r="R476">
        <f>_xlfn.NUMBERVALUE("-0.000077")</f>
        <v/>
      </c>
      <c r="S476">
        <f>_xlfn.NUMBERVALUE("-0.000341")</f>
        <v/>
      </c>
      <c r="T476">
        <f>_xlfn.NUMBERVALUE("0.001705")</f>
        <v/>
      </c>
      <c r="U476">
        <f>_xlfn.NUMBERVALUE("0.000993")</f>
        <v/>
      </c>
      <c r="V476">
        <f>_xlfn.NUMBERVALUE("0.001047")</f>
        <v/>
      </c>
      <c r="W476">
        <f>_xlfn.NUMBERVALUE("-0.001146")</f>
        <v/>
      </c>
      <c r="X476">
        <f>_xlfn.NUMBERVALUE("0.350000")</f>
        <v/>
      </c>
      <c r="Y476">
        <f>_xlfn.NUMBERVALUE("13.720000")</f>
        <v/>
      </c>
    </row>
    <row r="477">
      <c r="A477" s="1" t="n">
        <v>42691</v>
      </c>
      <c r="B477">
        <f>_xlfn.NUMBERVALUE("0.000000")</f>
        <v/>
      </c>
      <c r="C477" s="2">
        <f>_xlfn.NUMBERVALUE("0.000853")</f>
        <v/>
      </c>
      <c r="D477">
        <f>_xlfn.NUMBERVALUE("0.000893")</f>
        <v/>
      </c>
      <c r="E477">
        <f>_xlfn.NUMBERVALUE("0.001435")</f>
        <v/>
      </c>
      <c r="F477">
        <f>_xlfn.NUMBERVALUE("-0.000402")</f>
        <v/>
      </c>
      <c r="G477">
        <f>_xlfn.NUMBERVALUE("0.000816")</f>
        <v/>
      </c>
      <c r="H477">
        <f>_xlfn.NUMBERVALUE("0.000450")</f>
        <v/>
      </c>
      <c r="I477">
        <f>_xlfn.NUMBERVALUE("0.000331")</f>
        <v/>
      </c>
      <c r="J477">
        <f>_xlfn.NUMBERVALUE("0.002473")</f>
        <v/>
      </c>
      <c r="K477">
        <f>_xlfn.NUMBERVALUE("-0.001694")</f>
        <v/>
      </c>
      <c r="L477">
        <f>_xlfn.NUMBERVALUE("-0.000319")</f>
        <v/>
      </c>
      <c r="M477">
        <f>_xlfn.NUMBERVALUE("0.000230")</f>
        <v/>
      </c>
      <c r="N477">
        <f>_xlfn.NUMBERVALUE("0.000000")</f>
        <v/>
      </c>
      <c r="O477">
        <f>_xlfn.NUMBERVALUE("0.000996")</f>
        <v/>
      </c>
      <c r="P477">
        <f>_xlfn.NUMBERVALUE("-0.000239")</f>
        <v/>
      </c>
      <c r="Q477">
        <f>_xlfn.NUMBERVALUE("-0.000031")</f>
        <v/>
      </c>
      <c r="R477">
        <f>_xlfn.NUMBERVALUE("0.000676")</f>
        <v/>
      </c>
      <c r="S477">
        <f>_xlfn.NUMBERVALUE("0.001989")</f>
        <v/>
      </c>
      <c r="T477">
        <f>_xlfn.NUMBERVALUE("0.000954")</f>
        <v/>
      </c>
      <c r="U477">
        <f>_xlfn.NUMBERVALUE("0.000071")</f>
        <v/>
      </c>
      <c r="V477">
        <f>_xlfn.NUMBERVALUE("-0.000165")</f>
        <v/>
      </c>
      <c r="W477">
        <f>_xlfn.NUMBERVALUE("0.004773")</f>
        <v/>
      </c>
      <c r="X477">
        <f>_xlfn.NUMBERVALUE("-0.370000")</f>
        <v/>
      </c>
      <c r="Y477">
        <f>_xlfn.NUMBERVALUE("13.350000")</f>
        <v/>
      </c>
    </row>
    <row r="478">
      <c r="A478" s="1" t="n">
        <v>42692</v>
      </c>
      <c r="B478">
        <f>_xlfn.NUMBERVALUE("0.000000")</f>
        <v/>
      </c>
      <c r="C478" s="2">
        <f>_xlfn.NUMBERVALUE("-0.003361")</f>
        <v/>
      </c>
      <c r="D478">
        <f>_xlfn.NUMBERVALUE("-0.000634")</f>
        <v/>
      </c>
      <c r="E478">
        <f>_xlfn.NUMBERVALUE("-0.000600")</f>
        <v/>
      </c>
      <c r="F478">
        <f>_xlfn.NUMBERVALUE("-0.000323")</f>
        <v/>
      </c>
      <c r="G478">
        <f>_xlfn.NUMBERVALUE("0.001424")</f>
        <v/>
      </c>
      <c r="H478">
        <f>_xlfn.NUMBERVALUE("-0.000202")</f>
        <v/>
      </c>
      <c r="I478">
        <f>_xlfn.NUMBERVALUE("0.000088")</f>
        <v/>
      </c>
      <c r="J478">
        <f>_xlfn.NUMBERVALUE("-0.000240")</f>
        <v/>
      </c>
      <c r="K478">
        <f>_xlfn.NUMBERVALUE("0.000560")</f>
        <v/>
      </c>
      <c r="L478">
        <f>_xlfn.NUMBERVALUE("0.000151")</f>
        <v/>
      </c>
      <c r="M478">
        <f>_xlfn.NUMBERVALUE("-0.000196")</f>
        <v/>
      </c>
      <c r="N478">
        <f>_xlfn.NUMBERVALUE("0.000000")</f>
        <v/>
      </c>
      <c r="O478">
        <f>_xlfn.NUMBERVALUE("-0.000333")</f>
        <v/>
      </c>
      <c r="P478">
        <f>_xlfn.NUMBERVALUE("0.000225")</f>
        <v/>
      </c>
      <c r="Q478">
        <f>_xlfn.NUMBERVALUE("0.005961")</f>
        <v/>
      </c>
      <c r="R478">
        <f>_xlfn.NUMBERVALUE("0.001798")</f>
        <v/>
      </c>
      <c r="S478">
        <f>_xlfn.NUMBERVALUE("-0.000108")</f>
        <v/>
      </c>
      <c r="T478">
        <f>_xlfn.NUMBERVALUE("0.001470")</f>
        <v/>
      </c>
      <c r="U478">
        <f>_xlfn.NUMBERVALUE("0.000016")</f>
        <v/>
      </c>
      <c r="V478">
        <f>_xlfn.NUMBERVALUE("0.000718")</f>
        <v/>
      </c>
      <c r="W478">
        <f>_xlfn.NUMBERVALUE("-0.001188")</f>
        <v/>
      </c>
      <c r="X478">
        <f>_xlfn.NUMBERVALUE("-0.500000")</f>
        <v/>
      </c>
      <c r="Y478">
        <f>_xlfn.NUMBERVALUE("12.850000")</f>
        <v/>
      </c>
    </row>
    <row r="479">
      <c r="A479" s="1" t="n">
        <v>42695</v>
      </c>
      <c r="B479">
        <f>_xlfn.NUMBERVALUE("0.000000")</f>
        <v/>
      </c>
      <c r="C479" s="2">
        <f>_xlfn.NUMBERVALUE("0.001588")</f>
        <v/>
      </c>
      <c r="D479">
        <f>_xlfn.NUMBERVALUE("0.001460")</f>
        <v/>
      </c>
      <c r="E479">
        <f>_xlfn.NUMBERVALUE("0.000669")</f>
        <v/>
      </c>
      <c r="F479">
        <f>_xlfn.NUMBERVALUE("-0.000357")</f>
        <v/>
      </c>
      <c r="G479">
        <f>_xlfn.NUMBERVALUE("0.001079")</f>
        <v/>
      </c>
      <c r="H479">
        <f>_xlfn.NUMBERVALUE("-0.000106")</f>
        <v/>
      </c>
      <c r="I479">
        <f>_xlfn.NUMBERVALUE("0.000214")</f>
        <v/>
      </c>
      <c r="J479">
        <f>_xlfn.NUMBERVALUE("-0.000112")</f>
        <v/>
      </c>
      <c r="K479">
        <f>_xlfn.NUMBERVALUE("0.000983")</f>
        <v/>
      </c>
      <c r="L479">
        <f>_xlfn.NUMBERVALUE("-0.000017")</f>
        <v/>
      </c>
      <c r="M479">
        <f>_xlfn.NUMBERVALUE("0.002028")</f>
        <v/>
      </c>
      <c r="N479">
        <f>_xlfn.NUMBERVALUE("0.000000")</f>
        <v/>
      </c>
      <c r="O479">
        <f>_xlfn.NUMBERVALUE("-0.001382")</f>
        <v/>
      </c>
      <c r="P479">
        <f>_xlfn.NUMBERVALUE("-0.000105")</f>
        <v/>
      </c>
      <c r="Q479">
        <f>_xlfn.NUMBERVALUE("-0.005394")</f>
        <v/>
      </c>
      <c r="R479">
        <f>_xlfn.NUMBERVALUE("0.000965")</f>
        <v/>
      </c>
      <c r="S479">
        <f>_xlfn.NUMBERVALUE("0.001930")</f>
        <v/>
      </c>
      <c r="T479">
        <f>_xlfn.NUMBERVALUE("0.001898")</f>
        <v/>
      </c>
      <c r="U479">
        <f>_xlfn.NUMBERVALUE("0.000806")</f>
        <v/>
      </c>
      <c r="V479">
        <f>_xlfn.NUMBERVALUE("-0.000104")</f>
        <v/>
      </c>
      <c r="W479">
        <f>_xlfn.NUMBERVALUE("0.005625")</f>
        <v/>
      </c>
      <c r="X479">
        <f>_xlfn.NUMBERVALUE("-0.430000")</f>
        <v/>
      </c>
      <c r="Y479">
        <f>_xlfn.NUMBERVALUE("12.420000")</f>
        <v/>
      </c>
    </row>
    <row r="480">
      <c r="A480" s="1" t="n">
        <v>42696</v>
      </c>
      <c r="B480">
        <f>_xlfn.NUMBERVALUE("0.000000")</f>
        <v/>
      </c>
      <c r="C480" s="2">
        <f>_xlfn.NUMBERVALUE("0.000050")</f>
        <v/>
      </c>
      <c r="D480">
        <f>_xlfn.NUMBERVALUE("0.000383")</f>
        <v/>
      </c>
      <c r="E480">
        <f>_xlfn.NUMBERVALUE("0.000463")</f>
        <v/>
      </c>
      <c r="F480">
        <f>_xlfn.NUMBERVALUE("0.001262")</f>
        <v/>
      </c>
      <c r="G480">
        <f>_xlfn.NUMBERVALUE("-0.001672")</f>
        <v/>
      </c>
      <c r="H480">
        <f>_xlfn.NUMBERVALUE("-0.000678")</f>
        <v/>
      </c>
      <c r="I480">
        <f>_xlfn.NUMBERVALUE("-0.000046")</f>
        <v/>
      </c>
      <c r="J480">
        <f>_xlfn.NUMBERVALUE("-0.000321")</f>
        <v/>
      </c>
      <c r="K480">
        <f>_xlfn.NUMBERVALUE("0.000073")</f>
        <v/>
      </c>
      <c r="L480">
        <f>_xlfn.NUMBERVALUE("0.000000")</f>
        <v/>
      </c>
      <c r="M480">
        <f>_xlfn.NUMBERVALUE("0.000414")</f>
        <v/>
      </c>
      <c r="N480">
        <f>_xlfn.NUMBERVALUE("0.000000")</f>
        <v/>
      </c>
      <c r="O480">
        <f>_xlfn.NUMBERVALUE("-0.000205")</f>
        <v/>
      </c>
      <c r="P480">
        <f>_xlfn.NUMBERVALUE("0.000348")</f>
        <v/>
      </c>
      <c r="Q480">
        <f>_xlfn.NUMBERVALUE("0.000241")</f>
        <v/>
      </c>
      <c r="R480">
        <f>_xlfn.NUMBERVALUE("0.000375")</f>
        <v/>
      </c>
      <c r="S480">
        <f>_xlfn.NUMBERVALUE("-0.000812")</f>
        <v/>
      </c>
      <c r="T480">
        <f>_xlfn.NUMBERVALUE("0.001570")</f>
        <v/>
      </c>
      <c r="U480">
        <f>_xlfn.NUMBERVALUE("-0.000144")</f>
        <v/>
      </c>
      <c r="V480">
        <f>_xlfn.NUMBERVALUE("0.000184")</f>
        <v/>
      </c>
      <c r="W480">
        <f>_xlfn.NUMBERVALUE("0.003547")</f>
        <v/>
      </c>
      <c r="X480">
        <f>_xlfn.NUMBERVALUE("-0.010000")</f>
        <v/>
      </c>
      <c r="Y480">
        <f>_xlfn.NUMBERVALUE("12.410000")</f>
        <v/>
      </c>
    </row>
    <row r="481">
      <c r="A481" s="1" t="n">
        <v>42697</v>
      </c>
      <c r="B481">
        <f>_xlfn.NUMBERVALUE("0.000000")</f>
        <v/>
      </c>
      <c r="C481" s="2">
        <f>_xlfn.NUMBERVALUE("-0.000029")</f>
        <v/>
      </c>
      <c r="D481">
        <f>_xlfn.NUMBERVALUE("-0.001022")</f>
        <v/>
      </c>
      <c r="E481">
        <f>_xlfn.NUMBERVALUE("-0.000359")</f>
        <v/>
      </c>
      <c r="F481">
        <f>_xlfn.NUMBERVALUE("-0.000484")</f>
        <v/>
      </c>
      <c r="G481">
        <f>_xlfn.NUMBERVALUE("-0.000254")</f>
        <v/>
      </c>
      <c r="H481">
        <f>_xlfn.NUMBERVALUE("0.000592")</f>
        <v/>
      </c>
      <c r="I481">
        <f>_xlfn.NUMBERVALUE("-0.000114")</f>
        <v/>
      </c>
      <c r="J481">
        <f>_xlfn.NUMBERVALUE("0.000572")</f>
        <v/>
      </c>
      <c r="K481">
        <f>_xlfn.NUMBERVALUE("-0.000492")</f>
        <v/>
      </c>
      <c r="L481">
        <f>_xlfn.NUMBERVALUE("-0.001054")</f>
        <v/>
      </c>
      <c r="M481">
        <f>_xlfn.NUMBERVALUE("0.000560")</f>
        <v/>
      </c>
      <c r="N481">
        <f>_xlfn.NUMBERVALUE("0.000000")</f>
        <v/>
      </c>
      <c r="O481">
        <f>_xlfn.NUMBERVALUE("0.000506")</f>
        <v/>
      </c>
      <c r="P481">
        <f>_xlfn.NUMBERVALUE("-0.000369")</f>
        <v/>
      </c>
      <c r="Q481">
        <f>_xlfn.NUMBERVALUE("0.000005")</f>
        <v/>
      </c>
      <c r="R481">
        <f>_xlfn.NUMBERVALUE("0.000668")</f>
        <v/>
      </c>
      <c r="S481">
        <f>_xlfn.NUMBERVALUE("-0.000504")</f>
        <v/>
      </c>
      <c r="T481">
        <f>_xlfn.NUMBERVALUE("-0.001310")</f>
        <v/>
      </c>
      <c r="U481">
        <f>_xlfn.NUMBERVALUE("-0.000074")</f>
        <v/>
      </c>
      <c r="V481">
        <f>_xlfn.NUMBERVALUE("0.000070")</f>
        <v/>
      </c>
      <c r="W481">
        <f>_xlfn.NUMBERVALUE("0.000159")</f>
        <v/>
      </c>
      <c r="X481">
        <f>_xlfn.NUMBERVALUE("0.020000")</f>
        <v/>
      </c>
      <c r="Y481">
        <f>_xlfn.NUMBERVALUE("12.430000")</f>
        <v/>
      </c>
    </row>
    <row r="482">
      <c r="A482" s="1" t="n">
        <v>42699</v>
      </c>
      <c r="B482">
        <f>_xlfn.NUMBERVALUE("0.000000")</f>
        <v/>
      </c>
      <c r="C482" s="2">
        <f>_xlfn.NUMBERVALUE("0.000149")</f>
        <v/>
      </c>
      <c r="D482">
        <f>_xlfn.NUMBERVALUE("0.001268")</f>
        <v/>
      </c>
      <c r="E482">
        <f>_xlfn.NUMBERVALUE("0.000546")</f>
        <v/>
      </c>
      <c r="F482">
        <f>_xlfn.NUMBERVALUE("0.000243")</f>
        <v/>
      </c>
      <c r="G482">
        <f>_xlfn.NUMBERVALUE("0.000689")</f>
        <v/>
      </c>
      <c r="H482">
        <f>_xlfn.NUMBERVALUE("0.000003")</f>
        <v/>
      </c>
      <c r="I482">
        <f>_xlfn.NUMBERVALUE("-0.000002")</f>
        <v/>
      </c>
      <c r="J482">
        <f>_xlfn.NUMBERVALUE("-0.000066")</f>
        <v/>
      </c>
      <c r="K482">
        <f>_xlfn.NUMBERVALUE("0.000620")</f>
        <v/>
      </c>
      <c r="L482">
        <f>_xlfn.NUMBERVALUE("0.000716")</f>
        <v/>
      </c>
      <c r="M482">
        <f>_xlfn.NUMBERVALUE("-0.000389")</f>
        <v/>
      </c>
      <c r="N482">
        <f>_xlfn.NUMBERVALUE("0.000000")</f>
        <v/>
      </c>
      <c r="O482">
        <f>_xlfn.NUMBERVALUE("-0.000319")</f>
        <v/>
      </c>
      <c r="P482">
        <f>_xlfn.NUMBERVALUE("-0.000248")</f>
        <v/>
      </c>
      <c r="Q482">
        <f>_xlfn.NUMBERVALUE("0.000009")</f>
        <v/>
      </c>
      <c r="R482">
        <f>_xlfn.NUMBERVALUE("0.000766")</f>
        <v/>
      </c>
      <c r="S482">
        <f>_xlfn.NUMBERVALUE("0.000341")</f>
        <v/>
      </c>
      <c r="T482">
        <f>_xlfn.NUMBERVALUE("-0.000602")</f>
        <v/>
      </c>
      <c r="U482">
        <f>_xlfn.NUMBERVALUE("0.000050")</f>
        <v/>
      </c>
      <c r="V482">
        <f>_xlfn.NUMBERVALUE("-0.000032")</f>
        <v/>
      </c>
      <c r="W482">
        <f>_xlfn.NUMBERVALUE("0.003647")</f>
        <v/>
      </c>
      <c r="X482">
        <f>_xlfn.NUMBERVALUE("-0.090000")</f>
        <v/>
      </c>
      <c r="Y482">
        <f>_xlfn.NUMBERVALUE("12.340000")</f>
        <v/>
      </c>
    </row>
    <row r="483">
      <c r="A483" s="1" t="n">
        <v>42702</v>
      </c>
      <c r="B483">
        <f>_xlfn.NUMBERVALUE("0.000000")</f>
        <v/>
      </c>
      <c r="C483" s="2">
        <f>_xlfn.NUMBERVALUE("0.000166")</f>
        <v/>
      </c>
      <c r="D483">
        <f>_xlfn.NUMBERVALUE("-0.000115")</f>
        <v/>
      </c>
      <c r="E483">
        <f>_xlfn.NUMBERVALUE("0.000008")</f>
        <v/>
      </c>
      <c r="F483">
        <f>_xlfn.NUMBERVALUE("-0.000103")</f>
        <v/>
      </c>
      <c r="G483">
        <f>_xlfn.NUMBERVALUE("0.002255")</f>
        <v/>
      </c>
      <c r="H483">
        <f>_xlfn.NUMBERVALUE("0.000099")</f>
        <v/>
      </c>
      <c r="I483">
        <f>_xlfn.NUMBERVALUE("0.000016")</f>
        <v/>
      </c>
      <c r="J483">
        <f>_xlfn.NUMBERVALUE("0.000272")</f>
        <v/>
      </c>
      <c r="K483">
        <f>_xlfn.NUMBERVALUE("0.000254")</f>
        <v/>
      </c>
      <c r="L483">
        <f>_xlfn.NUMBERVALUE("0.000185")</f>
        <v/>
      </c>
      <c r="M483">
        <f>_xlfn.NUMBERVALUE("0.000687")</f>
        <v/>
      </c>
      <c r="N483">
        <f>_xlfn.NUMBERVALUE("0.000000")</f>
        <v/>
      </c>
      <c r="O483">
        <f>_xlfn.NUMBERVALUE("-0.002807")</f>
        <v/>
      </c>
      <c r="P483">
        <f>_xlfn.NUMBERVALUE("0.000005")</f>
        <v/>
      </c>
      <c r="Q483">
        <f>_xlfn.NUMBERVALUE("-0.000257")</f>
        <v/>
      </c>
      <c r="R483">
        <f>_xlfn.NUMBERVALUE("0.000090")</f>
        <v/>
      </c>
      <c r="S483">
        <f>_xlfn.NUMBERVALUE("0.000782")</f>
        <v/>
      </c>
      <c r="T483">
        <f>_xlfn.NUMBERVALUE("-0.005146")</f>
        <v/>
      </c>
      <c r="U483">
        <f>_xlfn.NUMBERVALUE("-0.000077")</f>
        <v/>
      </c>
      <c r="V483">
        <f>_xlfn.NUMBERVALUE("0.000216")</f>
        <v/>
      </c>
      <c r="W483">
        <f>_xlfn.NUMBERVALUE("-0.004605")</f>
        <v/>
      </c>
      <c r="X483">
        <f>_xlfn.NUMBERVALUE("0.810000")</f>
        <v/>
      </c>
      <c r="Y483">
        <f>_xlfn.NUMBERVALUE("13.150000")</f>
        <v/>
      </c>
    </row>
    <row r="484">
      <c r="A484" s="1" t="n">
        <v>42703</v>
      </c>
      <c r="B484">
        <f>_xlfn.NUMBERVALUE("0.000000")</f>
        <v/>
      </c>
      <c r="C484" s="2">
        <f>_xlfn.NUMBERVALUE("-0.000289")</f>
        <v/>
      </c>
      <c r="D484">
        <f>_xlfn.NUMBERVALUE("0.000361")</f>
        <v/>
      </c>
      <c r="E484">
        <f>_xlfn.NUMBERVALUE("-0.000039")</f>
        <v/>
      </c>
      <c r="F484">
        <f>_xlfn.NUMBERVALUE("-0.000069")</f>
        <v/>
      </c>
      <c r="G484">
        <f>_xlfn.NUMBERVALUE("0.001142")</f>
        <v/>
      </c>
      <c r="H484">
        <f>_xlfn.NUMBERVALUE("0.000106")</f>
        <v/>
      </c>
      <c r="I484">
        <f>_xlfn.NUMBERVALUE("0.000003")</f>
        <v/>
      </c>
      <c r="J484">
        <f>_xlfn.NUMBERVALUE("0.000126")</f>
        <v/>
      </c>
      <c r="K484">
        <f>_xlfn.NUMBERVALUE("-0.000115")</f>
        <v/>
      </c>
      <c r="L484">
        <f>_xlfn.NUMBERVALUE("0.000138")</f>
        <v/>
      </c>
      <c r="M484">
        <f>_xlfn.NUMBERVALUE("0.000425")</f>
        <v/>
      </c>
      <c r="N484">
        <f>_xlfn.NUMBERVALUE("0.000000")</f>
        <v/>
      </c>
      <c r="O484">
        <f>_xlfn.NUMBERVALUE("-0.000870")</f>
        <v/>
      </c>
      <c r="P484">
        <f>_xlfn.NUMBERVALUE("-0.000024")</f>
        <v/>
      </c>
      <c r="Q484">
        <f>_xlfn.NUMBERVALUE("-0.000003")</f>
        <v/>
      </c>
      <c r="R484">
        <f>_xlfn.NUMBERVALUE("0.000459")</f>
        <v/>
      </c>
      <c r="S484">
        <f>_xlfn.NUMBERVALUE("0.000965")</f>
        <v/>
      </c>
      <c r="T484">
        <f>_xlfn.NUMBERVALUE("0.000730")</f>
        <v/>
      </c>
      <c r="U484">
        <f>_xlfn.NUMBERVALUE("0.000029")</f>
        <v/>
      </c>
      <c r="V484">
        <f>_xlfn.NUMBERVALUE("-0.000091")</f>
        <v/>
      </c>
      <c r="W484">
        <f>_xlfn.NUMBERVALUE("0.000771")</f>
        <v/>
      </c>
      <c r="X484">
        <f>_xlfn.NUMBERVALUE("-0.250000")</f>
        <v/>
      </c>
      <c r="Y484">
        <f>_xlfn.NUMBERVALUE("12.900000")</f>
        <v/>
      </c>
    </row>
    <row r="485">
      <c r="A485" s="1" t="n">
        <v>42704</v>
      </c>
      <c r="B485">
        <f>_xlfn.NUMBERVALUE("0.000000")</f>
        <v/>
      </c>
      <c r="C485" s="2">
        <f>_xlfn.NUMBERVALUE("-0.000009")</f>
        <v/>
      </c>
      <c r="D485">
        <f>_xlfn.NUMBERVALUE("-0.000208")</f>
        <v/>
      </c>
      <c r="E485">
        <f>_xlfn.NUMBERVALUE("0.000053")</f>
        <v/>
      </c>
      <c r="F485">
        <f>_xlfn.NUMBERVALUE("0.000148")</f>
        <v/>
      </c>
      <c r="G485">
        <f>_xlfn.NUMBERVALUE("0.001675")</f>
        <v/>
      </c>
      <c r="H485">
        <f>_xlfn.NUMBERVALUE("0.000097")</f>
        <v/>
      </c>
      <c r="I485">
        <f>_xlfn.NUMBERVALUE("-0.000036")</f>
        <v/>
      </c>
      <c r="J485">
        <f>_xlfn.NUMBERVALUE("0.000208")</f>
        <v/>
      </c>
      <c r="K485">
        <f>_xlfn.NUMBERVALUE("0.000119")</f>
        <v/>
      </c>
      <c r="L485">
        <f>_xlfn.NUMBERVALUE("0.000261")</f>
        <v/>
      </c>
      <c r="M485">
        <f>_xlfn.NUMBERVALUE("-0.000669")</f>
        <v/>
      </c>
      <c r="N485">
        <f>_xlfn.NUMBERVALUE("0.000000")</f>
        <v/>
      </c>
      <c r="O485">
        <f>_xlfn.NUMBERVALUE("-0.008931")</f>
        <v/>
      </c>
      <c r="P485">
        <f>_xlfn.NUMBERVALUE("-0.000004")</f>
        <v/>
      </c>
      <c r="Q485">
        <f>_xlfn.NUMBERVALUE("0.000098")</f>
        <v/>
      </c>
      <c r="R485">
        <f>_xlfn.NUMBERVALUE("-0.000877")</f>
        <v/>
      </c>
      <c r="S485">
        <f>_xlfn.NUMBERVALUE("-0.003814")</f>
        <v/>
      </c>
      <c r="T485">
        <f>_xlfn.NUMBERVALUE("-0.012941")</f>
        <v/>
      </c>
      <c r="U485">
        <f>_xlfn.NUMBERVALUE("0.000176")</f>
        <v/>
      </c>
      <c r="V485">
        <f>_xlfn.NUMBERVALUE("-0.000002")</f>
        <v/>
      </c>
      <c r="W485">
        <f>_xlfn.NUMBERVALUE("0.000292")</f>
        <v/>
      </c>
      <c r="X485">
        <f>_xlfn.NUMBERVALUE("0.430000")</f>
        <v/>
      </c>
      <c r="Y485">
        <f>_xlfn.NUMBERVALUE("13.330000")</f>
        <v/>
      </c>
    </row>
    <row r="486">
      <c r="A486" s="1" t="n">
        <v>42705</v>
      </c>
      <c r="B486">
        <f>_xlfn.NUMBERVALUE("0.000000")</f>
        <v/>
      </c>
      <c r="C486" s="2">
        <f>_xlfn.NUMBERVALUE("-0.001094")</f>
        <v/>
      </c>
      <c r="D486">
        <f>_xlfn.NUMBERVALUE("-0.002641")</f>
        <v/>
      </c>
      <c r="E486">
        <f>_xlfn.NUMBERVALUE("-0.000521")</f>
        <v/>
      </c>
      <c r="F486">
        <f>_xlfn.NUMBERVALUE("-0.000245")</f>
        <v/>
      </c>
      <c r="G486">
        <f>_xlfn.NUMBERVALUE("-0.002502")</f>
        <v/>
      </c>
      <c r="H486">
        <f>_xlfn.NUMBERVALUE("-0.001856")</f>
        <v/>
      </c>
      <c r="I486">
        <f>_xlfn.NUMBERVALUE("0.000361")</f>
        <v/>
      </c>
      <c r="J486">
        <f>_xlfn.NUMBERVALUE("-0.001401")</f>
        <v/>
      </c>
      <c r="K486">
        <f>_xlfn.NUMBERVALUE("-0.001303")</f>
        <v/>
      </c>
      <c r="L486">
        <f>_xlfn.NUMBERVALUE("0.000761")</f>
        <v/>
      </c>
      <c r="M486">
        <f>_xlfn.NUMBERVALUE("-0.000276")</f>
        <v/>
      </c>
      <c r="N486">
        <f>_xlfn.NUMBERVALUE("0.000000")</f>
        <v/>
      </c>
      <c r="O486">
        <f>_xlfn.NUMBERVALUE("0.000103")</f>
        <v/>
      </c>
      <c r="P486">
        <f>_xlfn.NUMBERVALUE("0.000640")</f>
        <v/>
      </c>
      <c r="Q486">
        <f>_xlfn.NUMBERVALUE("0.000118")</f>
        <v/>
      </c>
      <c r="R486">
        <f>_xlfn.NUMBERVALUE("-0.006836")</f>
        <v/>
      </c>
      <c r="S486">
        <f>_xlfn.NUMBERVALUE("0.001085")</f>
        <v/>
      </c>
      <c r="T486">
        <f>_xlfn.NUMBERVALUE("-0.000263")</f>
        <v/>
      </c>
      <c r="U486">
        <f>_xlfn.NUMBERVALUE("-0.000167")</f>
        <v/>
      </c>
      <c r="V486">
        <f>_xlfn.NUMBERVALUE("-0.001214")</f>
        <v/>
      </c>
      <c r="W486">
        <f>_xlfn.NUMBERVALUE("-0.006812")</f>
        <v/>
      </c>
      <c r="X486">
        <f>_xlfn.NUMBERVALUE("0.740000")</f>
        <v/>
      </c>
      <c r="Y486">
        <f>_xlfn.NUMBERVALUE("14.070000")</f>
        <v/>
      </c>
    </row>
    <row r="487">
      <c r="A487" s="1" t="n">
        <v>42706</v>
      </c>
      <c r="B487">
        <f>_xlfn.NUMBERVALUE("0.000000")</f>
        <v/>
      </c>
      <c r="C487" s="2">
        <f>_xlfn.NUMBERVALUE("0.001339")</f>
        <v/>
      </c>
      <c r="D487">
        <f>_xlfn.NUMBERVALUE("0.000855")</f>
        <v/>
      </c>
      <c r="E487">
        <f>_xlfn.NUMBERVALUE("0.002202")</f>
        <v/>
      </c>
      <c r="F487">
        <f>_xlfn.NUMBERVALUE("0.001978")</f>
        <v/>
      </c>
      <c r="G487">
        <f>_xlfn.NUMBERVALUE("0.000454")</f>
        <v/>
      </c>
      <c r="H487">
        <f>_xlfn.NUMBERVALUE("0.000904")</f>
        <v/>
      </c>
      <c r="I487">
        <f>_xlfn.NUMBERVALUE("0.001548")</f>
        <v/>
      </c>
      <c r="J487">
        <f>_xlfn.NUMBERVALUE("0.000941")</f>
        <v/>
      </c>
      <c r="K487">
        <f>_xlfn.NUMBERVALUE("0.002768")</f>
        <v/>
      </c>
      <c r="L487">
        <f>_xlfn.NUMBERVALUE("0.001846")</f>
        <v/>
      </c>
      <c r="M487">
        <f>_xlfn.NUMBERVALUE("-0.000226")</f>
        <v/>
      </c>
      <c r="N487">
        <f>_xlfn.NUMBERVALUE("0.000000")</f>
        <v/>
      </c>
      <c r="O487">
        <f>_xlfn.NUMBERVALUE("-0.000303")</f>
        <v/>
      </c>
      <c r="P487">
        <f>_xlfn.NUMBERVALUE("-0.000721")</f>
        <v/>
      </c>
      <c r="Q487">
        <f>_xlfn.NUMBERVALUE("-0.000482")</f>
        <v/>
      </c>
      <c r="R487">
        <f>_xlfn.NUMBERVALUE("0.001507")</f>
        <v/>
      </c>
      <c r="S487">
        <f>_xlfn.NUMBERVALUE("0.000488")</f>
        <v/>
      </c>
      <c r="T487">
        <f>_xlfn.NUMBERVALUE("0.000377")</f>
        <v/>
      </c>
      <c r="U487">
        <f>_xlfn.NUMBERVALUE("-0.000030")</f>
        <v/>
      </c>
      <c r="V487">
        <f>_xlfn.NUMBERVALUE("0.001162")</f>
        <v/>
      </c>
      <c r="W487">
        <f>_xlfn.NUMBERVALUE("0.001391")</f>
        <v/>
      </c>
      <c r="X487">
        <f>_xlfn.NUMBERVALUE("0.050000")</f>
        <v/>
      </c>
      <c r="Y487">
        <f>_xlfn.NUMBERVALUE("14.120000")</f>
        <v/>
      </c>
    </row>
    <row r="488">
      <c r="A488" s="1" t="n">
        <v>42709</v>
      </c>
      <c r="B488">
        <f>_xlfn.NUMBERVALUE("0.000000")</f>
        <v/>
      </c>
      <c r="C488" s="2">
        <f>_xlfn.NUMBERVALUE("0.003103")</f>
        <v/>
      </c>
      <c r="D488">
        <f>_xlfn.NUMBERVALUE("0.005855")</f>
        <v/>
      </c>
      <c r="E488">
        <f>_xlfn.NUMBERVALUE("0.003275")</f>
        <v/>
      </c>
      <c r="F488">
        <f>_xlfn.NUMBERVALUE("0.003550")</f>
        <v/>
      </c>
      <c r="G488">
        <f>_xlfn.NUMBERVALUE("0.001446")</f>
        <v/>
      </c>
      <c r="H488">
        <f>_xlfn.NUMBERVALUE("0.000832")</f>
        <v/>
      </c>
      <c r="I488">
        <f>_xlfn.NUMBERVALUE("-0.000231")</f>
        <v/>
      </c>
      <c r="J488">
        <f>_xlfn.NUMBERVALUE("0.001770")</f>
        <v/>
      </c>
      <c r="K488">
        <f>_xlfn.NUMBERVALUE("0.001063")</f>
        <v/>
      </c>
      <c r="L488">
        <f>_xlfn.NUMBERVALUE("0.002453")</f>
        <v/>
      </c>
      <c r="M488">
        <f>_xlfn.NUMBERVALUE("0.000236")</f>
        <v/>
      </c>
      <c r="N488">
        <f>_xlfn.NUMBERVALUE("0.000000")</f>
        <v/>
      </c>
      <c r="O488">
        <f>_xlfn.NUMBERVALUE("0.000316")</f>
        <v/>
      </c>
      <c r="P488">
        <f>_xlfn.NUMBERVALUE("0.000072")</f>
        <v/>
      </c>
      <c r="Q488">
        <f>_xlfn.NUMBERVALUE("0.000248")</f>
        <v/>
      </c>
      <c r="R488">
        <f>_xlfn.NUMBERVALUE("0.001220")</f>
        <v/>
      </c>
      <c r="S488">
        <f>_xlfn.NUMBERVALUE("-0.000356")</f>
        <v/>
      </c>
      <c r="T488">
        <f>_xlfn.NUMBERVALUE("0.001165")</f>
        <v/>
      </c>
      <c r="U488">
        <f>_xlfn.NUMBERVALUE("0.000052")</f>
        <v/>
      </c>
      <c r="V488">
        <f>_xlfn.NUMBERVALUE("0.002912")</f>
        <v/>
      </c>
      <c r="W488">
        <f>_xlfn.NUMBERVALUE("0.005760")</f>
        <v/>
      </c>
      <c r="X488">
        <f>_xlfn.NUMBERVALUE("-1.980000")</f>
        <v/>
      </c>
      <c r="Y488">
        <f>_xlfn.NUMBERVALUE("12.140000")</f>
        <v/>
      </c>
    </row>
    <row r="489">
      <c r="A489" s="1" t="n">
        <v>42710</v>
      </c>
      <c r="B489">
        <f>_xlfn.NUMBERVALUE("0.000000")</f>
        <v/>
      </c>
      <c r="C489" s="2">
        <f>_xlfn.NUMBERVALUE("0.000724")</f>
        <v/>
      </c>
      <c r="D489">
        <f>_xlfn.NUMBERVALUE("0.000706")</f>
        <v/>
      </c>
      <c r="E489">
        <f>_xlfn.NUMBERVALUE("0.000097")</f>
        <v/>
      </c>
      <c r="F489">
        <f>_xlfn.NUMBERVALUE("0.001634")</f>
        <v/>
      </c>
      <c r="G489">
        <f>_xlfn.NUMBERVALUE("-0.000523")</f>
        <v/>
      </c>
      <c r="H489">
        <f>_xlfn.NUMBERVALUE("0.001710")</f>
        <v/>
      </c>
      <c r="I489">
        <f>_xlfn.NUMBERVALUE("-0.001135")</f>
        <v/>
      </c>
      <c r="J489">
        <f>_xlfn.NUMBERVALUE("0.000781")</f>
        <v/>
      </c>
      <c r="K489">
        <f>_xlfn.NUMBERVALUE("-0.000486")</f>
        <v/>
      </c>
      <c r="L489">
        <f>_xlfn.NUMBERVALUE("0.002259")</f>
        <v/>
      </c>
      <c r="M489">
        <f>_xlfn.NUMBERVALUE("0.001091")</f>
        <v/>
      </c>
      <c r="N489">
        <f>_xlfn.NUMBERVALUE("0.000000")</f>
        <v/>
      </c>
      <c r="O489">
        <f>_xlfn.NUMBERVALUE("0.000900")</f>
        <v/>
      </c>
      <c r="P489">
        <f>_xlfn.NUMBERVALUE("0.000635")</f>
        <v/>
      </c>
      <c r="Q489">
        <f>_xlfn.NUMBERVALUE("0.001113")</f>
        <v/>
      </c>
      <c r="R489">
        <f>_xlfn.NUMBERVALUE("0.001421")</f>
        <v/>
      </c>
      <c r="S489">
        <f>_xlfn.NUMBERVALUE("-0.000020")</f>
        <v/>
      </c>
      <c r="T489">
        <f>_xlfn.NUMBERVALUE("0.001612")</f>
        <v/>
      </c>
      <c r="U489">
        <f>_xlfn.NUMBERVALUE("0.000985")</f>
        <v/>
      </c>
      <c r="V489">
        <f>_xlfn.NUMBERVALUE("0.000615")</f>
        <v/>
      </c>
      <c r="W489">
        <f>_xlfn.NUMBERVALUE("0.002830")</f>
        <v/>
      </c>
      <c r="X489">
        <f>_xlfn.NUMBERVALUE("-0.350000")</f>
        <v/>
      </c>
      <c r="Y489">
        <f>_xlfn.NUMBERVALUE("11.790000")</f>
        <v/>
      </c>
    </row>
    <row r="490">
      <c r="A490" s="1" t="n">
        <v>42711</v>
      </c>
      <c r="B490">
        <f>_xlfn.NUMBERVALUE("0.000000")</f>
        <v/>
      </c>
      <c r="C490" s="2">
        <f>_xlfn.NUMBERVALUE("-0.006482")</f>
        <v/>
      </c>
      <c r="D490">
        <f>_xlfn.NUMBERVALUE("-0.003236")</f>
        <v/>
      </c>
      <c r="E490">
        <f>_xlfn.NUMBERVALUE("-0.003391")</f>
        <v/>
      </c>
      <c r="F490">
        <f>_xlfn.NUMBERVALUE("0.000582")</f>
        <v/>
      </c>
      <c r="G490">
        <f>_xlfn.NUMBERVALUE("-0.000316")</f>
        <v/>
      </c>
      <c r="H490">
        <f>_xlfn.NUMBERVALUE("0.001238")</f>
        <v/>
      </c>
      <c r="I490">
        <f>_xlfn.NUMBERVALUE("-0.001455")</f>
        <v/>
      </c>
      <c r="J490">
        <f>_xlfn.NUMBERVALUE("0.000294")</f>
        <v/>
      </c>
      <c r="K490">
        <f>_xlfn.NUMBERVALUE("-0.003226")</f>
        <v/>
      </c>
      <c r="L490">
        <f>_xlfn.NUMBERVALUE("0.000102")</f>
        <v/>
      </c>
      <c r="M490">
        <f>_xlfn.NUMBERVALUE("-0.004885")</f>
        <v/>
      </c>
      <c r="N490">
        <f>_xlfn.NUMBERVALUE("0.000000")</f>
        <v/>
      </c>
      <c r="O490">
        <f>_xlfn.NUMBERVALUE("0.000404")</f>
        <v/>
      </c>
      <c r="P490">
        <f>_xlfn.NUMBERVALUE("-0.003844")</f>
        <v/>
      </c>
      <c r="Q490">
        <f>_xlfn.NUMBERVALUE("-0.005648")</f>
        <v/>
      </c>
      <c r="R490">
        <f>_xlfn.NUMBERVALUE("-0.005252")</f>
        <v/>
      </c>
      <c r="S490">
        <f>_xlfn.NUMBERVALUE("-0.001889")</f>
        <v/>
      </c>
      <c r="T490">
        <f>_xlfn.NUMBERVALUE("-0.000622")</f>
        <v/>
      </c>
      <c r="U490">
        <f>_xlfn.NUMBERVALUE("-0.006228")</f>
        <v/>
      </c>
      <c r="V490">
        <f>_xlfn.NUMBERVALUE("-0.004539")</f>
        <v/>
      </c>
      <c r="W490">
        <f>_xlfn.NUMBERVALUE("0.013183")</f>
        <v/>
      </c>
      <c r="X490">
        <f>_xlfn.NUMBERVALUE("0.430000")</f>
        <v/>
      </c>
      <c r="Y490">
        <f>_xlfn.NUMBERVALUE("12.220000")</f>
        <v/>
      </c>
    </row>
    <row r="491">
      <c r="A491" s="1" t="n">
        <v>42712</v>
      </c>
      <c r="B491">
        <f>_xlfn.NUMBERVALUE("0.000000")</f>
        <v/>
      </c>
      <c r="C491" s="2">
        <f>_xlfn.NUMBERVALUE("-0.000832")</f>
        <v/>
      </c>
      <c r="D491">
        <f>_xlfn.NUMBERVALUE("-0.000557")</f>
        <v/>
      </c>
      <c r="E491">
        <f>_xlfn.NUMBERVALUE("-0.000581")</f>
        <v/>
      </c>
      <c r="F491">
        <f>_xlfn.NUMBERVALUE("0.001430")</f>
        <v/>
      </c>
      <c r="G491">
        <f>_xlfn.NUMBERVALUE("-0.000472")</f>
        <v/>
      </c>
      <c r="H491">
        <f>_xlfn.NUMBERVALUE("0.000170")</f>
        <v/>
      </c>
      <c r="I491">
        <f>_xlfn.NUMBERVALUE("-0.003023")</f>
        <v/>
      </c>
      <c r="J491">
        <f>_xlfn.NUMBERVALUE("-0.000388")</f>
        <v/>
      </c>
      <c r="K491">
        <f>_xlfn.NUMBERVALUE("0.002551")</f>
        <v/>
      </c>
      <c r="L491">
        <f>_xlfn.NUMBERVALUE("0.000142")</f>
        <v/>
      </c>
      <c r="M491">
        <f>_xlfn.NUMBERVALUE("-0.002457")</f>
        <v/>
      </c>
      <c r="N491">
        <f>_xlfn.NUMBERVALUE("0.000000")</f>
        <v/>
      </c>
      <c r="O491">
        <f>_xlfn.NUMBERVALUE("-0.000737")</f>
        <v/>
      </c>
      <c r="P491">
        <f>_xlfn.NUMBERVALUE("-0.007129")</f>
        <v/>
      </c>
      <c r="Q491">
        <f>_xlfn.NUMBERVALUE("-0.001473")</f>
        <v/>
      </c>
      <c r="R491">
        <f>_xlfn.NUMBERVALUE("-0.000401")</f>
        <v/>
      </c>
      <c r="S491">
        <f>_xlfn.NUMBERVALUE("-0.002314")</f>
        <v/>
      </c>
      <c r="T491">
        <f>_xlfn.NUMBERVALUE("-0.000986")</f>
        <v/>
      </c>
      <c r="U491">
        <f>_xlfn.NUMBERVALUE("-0.000787")</f>
        <v/>
      </c>
      <c r="V491">
        <f>_xlfn.NUMBERVALUE("-0.001051")</f>
        <v/>
      </c>
      <c r="W491">
        <f>_xlfn.NUMBERVALUE("0.003119")</f>
        <v/>
      </c>
      <c r="X491">
        <f>_xlfn.NUMBERVALUE("0.420000")</f>
        <v/>
      </c>
      <c r="Y491">
        <f>_xlfn.NUMBERVALUE("12.640000")</f>
        <v/>
      </c>
    </row>
    <row r="492">
      <c r="A492" s="1" t="n">
        <v>42713</v>
      </c>
      <c r="B492">
        <f>_xlfn.NUMBERVALUE("0.000000")</f>
        <v/>
      </c>
      <c r="C492" s="2">
        <f>_xlfn.NUMBERVALUE("0.000041")</f>
        <v/>
      </c>
      <c r="D492">
        <f>_xlfn.NUMBERVALUE("0.001180")</f>
        <v/>
      </c>
      <c r="E492">
        <f>_xlfn.NUMBERVALUE("0.002031")</f>
        <v/>
      </c>
      <c r="F492">
        <f>_xlfn.NUMBERVALUE("-0.004652")</f>
        <v/>
      </c>
      <c r="G492">
        <f>_xlfn.NUMBERVALUE("0.000471")</f>
        <v/>
      </c>
      <c r="H492">
        <f>_xlfn.NUMBERVALUE("-0.000505")</f>
        <v/>
      </c>
      <c r="I492">
        <f>_xlfn.NUMBERVALUE("0.000754")</f>
        <v/>
      </c>
      <c r="J492">
        <f>_xlfn.NUMBERVALUE("0.000855")</f>
        <v/>
      </c>
      <c r="K492">
        <f>_xlfn.NUMBERVALUE("0.000578")</f>
        <v/>
      </c>
      <c r="L492">
        <f>_xlfn.NUMBERVALUE("-0.000906")</f>
        <v/>
      </c>
      <c r="M492">
        <f>_xlfn.NUMBERVALUE("0.000771")</f>
        <v/>
      </c>
      <c r="N492">
        <f>_xlfn.NUMBERVALUE("0.000000")</f>
        <v/>
      </c>
      <c r="O492">
        <f>_xlfn.NUMBERVALUE("0.001507")</f>
        <v/>
      </c>
      <c r="P492">
        <f>_xlfn.NUMBERVALUE("0.004664")</f>
        <v/>
      </c>
      <c r="Q492">
        <f>_xlfn.NUMBERVALUE("0.001328")</f>
        <v/>
      </c>
      <c r="R492">
        <f>_xlfn.NUMBERVALUE("0.000398")</f>
        <v/>
      </c>
      <c r="S492">
        <f>_xlfn.NUMBERVALUE("-0.000464")</f>
        <v/>
      </c>
      <c r="T492">
        <f>_xlfn.NUMBERVALUE("0.000662")</f>
        <v/>
      </c>
      <c r="U492">
        <f>_xlfn.NUMBERVALUE("0.000660")</f>
        <v/>
      </c>
      <c r="V492">
        <f>_xlfn.NUMBERVALUE("0.000357")</f>
        <v/>
      </c>
      <c r="W492">
        <f>_xlfn.NUMBERVALUE("0.005464")</f>
        <v/>
      </c>
      <c r="X492">
        <f>_xlfn.NUMBERVALUE("-0.890000")</f>
        <v/>
      </c>
      <c r="Y492">
        <f>_xlfn.NUMBERVALUE("11.750000")</f>
        <v/>
      </c>
    </row>
    <row r="493">
      <c r="A493" s="1" t="n">
        <v>42716</v>
      </c>
      <c r="B493">
        <f>_xlfn.NUMBERVALUE("0.000000")</f>
        <v/>
      </c>
      <c r="C493" s="2">
        <f>_xlfn.NUMBERVALUE("-0.000328")</f>
        <v/>
      </c>
      <c r="D493">
        <f>_xlfn.NUMBERVALUE("0.001490")</f>
        <v/>
      </c>
      <c r="E493">
        <f>_xlfn.NUMBERVALUE("0.000773")</f>
        <v/>
      </c>
      <c r="F493">
        <f>_xlfn.NUMBERVALUE("0.004446")</f>
        <v/>
      </c>
      <c r="G493">
        <f>_xlfn.NUMBERVALUE("0.000655")</f>
        <v/>
      </c>
      <c r="H493">
        <f>_xlfn.NUMBERVALUE("0.000449")</f>
        <v/>
      </c>
      <c r="I493">
        <f>_xlfn.NUMBERVALUE("-0.000109")</f>
        <v/>
      </c>
      <c r="J493">
        <f>_xlfn.NUMBERVALUE("-0.000682")</f>
        <v/>
      </c>
      <c r="K493">
        <f>_xlfn.NUMBERVALUE("-0.000391")</f>
        <v/>
      </c>
      <c r="L493">
        <f>_xlfn.NUMBERVALUE("0.001059")</f>
        <v/>
      </c>
      <c r="M493">
        <f>_xlfn.NUMBERVALUE("0.001502")</f>
        <v/>
      </c>
      <c r="N493">
        <f>_xlfn.NUMBERVALUE("0.000000")</f>
        <v/>
      </c>
      <c r="O493">
        <f>_xlfn.NUMBERVALUE("0.002499")</f>
        <v/>
      </c>
      <c r="P493">
        <f>_xlfn.NUMBERVALUE("0.001302")</f>
        <v/>
      </c>
      <c r="Q493">
        <f>_xlfn.NUMBERVALUE("0.000241")</f>
        <v/>
      </c>
      <c r="R493">
        <f>_xlfn.NUMBERVALUE("0.001069")</f>
        <v/>
      </c>
      <c r="S493">
        <f>_xlfn.NUMBERVALUE("-0.000034")</f>
        <v/>
      </c>
      <c r="T493">
        <f>_xlfn.NUMBERVALUE("-0.000315")</f>
        <v/>
      </c>
      <c r="U493">
        <f>_xlfn.NUMBERVALUE("0.000298")</f>
        <v/>
      </c>
      <c r="V493">
        <f>_xlfn.NUMBERVALUE("0.000062")</f>
        <v/>
      </c>
      <c r="W493">
        <f>_xlfn.NUMBERVALUE("-0.000795")</f>
        <v/>
      </c>
      <c r="X493">
        <f>_xlfn.NUMBERVALUE("0.890000")</f>
        <v/>
      </c>
      <c r="Y493">
        <f>_xlfn.NUMBERVALUE("12.640000")</f>
        <v/>
      </c>
    </row>
    <row r="494">
      <c r="A494" s="1" t="n">
        <v>42717</v>
      </c>
      <c r="B494">
        <f>_xlfn.NUMBERVALUE("0.000000")</f>
        <v/>
      </c>
      <c r="C494" s="2">
        <f>_xlfn.NUMBERVALUE("-0.000132")</f>
        <v/>
      </c>
      <c r="D494">
        <f>_xlfn.NUMBERVALUE("-0.001696")</f>
        <v/>
      </c>
      <c r="E494">
        <f>_xlfn.NUMBERVALUE("-0.000449")</f>
        <v/>
      </c>
      <c r="F494">
        <f>_xlfn.NUMBERVALUE("0.000870")</f>
        <v/>
      </c>
      <c r="G494">
        <f>_xlfn.NUMBERVALUE("-0.000100")</f>
        <v/>
      </c>
      <c r="H494">
        <f>_xlfn.NUMBERVALUE("0.000522")</f>
        <v/>
      </c>
      <c r="I494">
        <f>_xlfn.NUMBERVALUE("0.000550")</f>
        <v/>
      </c>
      <c r="J494">
        <f>_xlfn.NUMBERVALUE("0.002582")</f>
        <v/>
      </c>
      <c r="K494">
        <f>_xlfn.NUMBERVALUE("0.005681")</f>
        <v/>
      </c>
      <c r="L494">
        <f>_xlfn.NUMBERVALUE("0.000205")</f>
        <v/>
      </c>
      <c r="M494">
        <f>_xlfn.NUMBERVALUE("0.001176")</f>
        <v/>
      </c>
      <c r="N494">
        <f>_xlfn.NUMBERVALUE("0.000000")</f>
        <v/>
      </c>
      <c r="O494">
        <f>_xlfn.NUMBERVALUE("-0.002452")</f>
        <v/>
      </c>
      <c r="P494">
        <f>_xlfn.NUMBERVALUE("0.002222")</f>
        <v/>
      </c>
      <c r="Q494">
        <f>_xlfn.NUMBERVALUE("0.000961")</f>
        <v/>
      </c>
      <c r="R494">
        <f>_xlfn.NUMBERVALUE("-0.003948")</f>
        <v/>
      </c>
      <c r="S494">
        <f>_xlfn.NUMBERVALUE("-0.001309")</f>
        <v/>
      </c>
      <c r="T494">
        <f>_xlfn.NUMBERVALUE("-0.000011")</f>
        <v/>
      </c>
      <c r="U494">
        <f>_xlfn.NUMBERVALUE("-0.000689")</f>
        <v/>
      </c>
      <c r="V494">
        <f>_xlfn.NUMBERVALUE("-0.000332")</f>
        <v/>
      </c>
      <c r="W494">
        <f>_xlfn.NUMBERVALUE("0.008136")</f>
        <v/>
      </c>
      <c r="X494">
        <f>_xlfn.NUMBERVALUE("0.080000")</f>
        <v/>
      </c>
      <c r="Y494">
        <f>_xlfn.NUMBERVALUE("12.720000")</f>
        <v/>
      </c>
    </row>
    <row r="495">
      <c r="A495" s="1" t="n">
        <v>42718</v>
      </c>
      <c r="B495">
        <f>_xlfn.NUMBERVALUE("0.000000")</f>
        <v/>
      </c>
      <c r="C495" s="2">
        <f>_xlfn.NUMBERVALUE("0.000823")</f>
        <v/>
      </c>
      <c r="D495">
        <f>_xlfn.NUMBERVALUE("-0.005787")</f>
        <v/>
      </c>
      <c r="E495">
        <f>_xlfn.NUMBERVALUE("-0.001583")</f>
        <v/>
      </c>
      <c r="F495">
        <f>_xlfn.NUMBERVALUE("-0.002815")</f>
        <v/>
      </c>
      <c r="G495">
        <f>_xlfn.NUMBERVALUE("-0.000345")</f>
        <v/>
      </c>
      <c r="H495">
        <f>_xlfn.NUMBERVALUE("-0.000326")</f>
        <v/>
      </c>
      <c r="I495">
        <f>_xlfn.NUMBERVALUE("0.001397")</f>
        <v/>
      </c>
      <c r="J495">
        <f>_xlfn.NUMBERVALUE("-0.000248")</f>
        <v/>
      </c>
      <c r="K495">
        <f>_xlfn.NUMBERVALUE("-0.003339")</f>
        <v/>
      </c>
      <c r="L495">
        <f>_xlfn.NUMBERVALUE("0.000815")</f>
        <v/>
      </c>
      <c r="M495">
        <f>_xlfn.NUMBERVALUE("0.000579")</f>
        <v/>
      </c>
      <c r="N495">
        <f>_xlfn.NUMBERVALUE("0.000000")</f>
        <v/>
      </c>
      <c r="O495">
        <f>_xlfn.NUMBERVALUE("-0.002100")</f>
        <v/>
      </c>
      <c r="P495">
        <f>_xlfn.NUMBERVALUE("-0.001777")</f>
        <v/>
      </c>
      <c r="Q495">
        <f>_xlfn.NUMBERVALUE("0.001797")</f>
        <v/>
      </c>
      <c r="R495">
        <f>_xlfn.NUMBERVALUE("0.001863")</f>
        <v/>
      </c>
      <c r="S495">
        <f>_xlfn.NUMBERVALUE("0.001361")</f>
        <v/>
      </c>
      <c r="T495">
        <f>_xlfn.NUMBERVALUE("-0.001105")</f>
        <v/>
      </c>
      <c r="U495">
        <f>_xlfn.NUMBERVALUE("0.000980")</f>
        <v/>
      </c>
      <c r="V495">
        <f>_xlfn.NUMBERVALUE("0.001113")</f>
        <v/>
      </c>
      <c r="W495">
        <f>_xlfn.NUMBERVALUE("-0.006667")</f>
        <v/>
      </c>
      <c r="X495">
        <f>_xlfn.NUMBERVALUE("0.470000")</f>
        <v/>
      </c>
      <c r="Y495">
        <f>_xlfn.NUMBERVALUE("13.190000")</f>
        <v/>
      </c>
    </row>
    <row r="496">
      <c r="A496" s="1" t="n">
        <v>42719</v>
      </c>
      <c r="B496">
        <f>_xlfn.NUMBERVALUE("0.000000")</f>
        <v/>
      </c>
      <c r="C496" s="2">
        <f>_xlfn.NUMBERVALUE("-0.000085")</f>
        <v/>
      </c>
      <c r="D496">
        <f>_xlfn.NUMBERVALUE("0.004242")</f>
        <v/>
      </c>
      <c r="E496">
        <f>_xlfn.NUMBERVALUE("0.001949")</f>
        <v/>
      </c>
      <c r="F496">
        <f>_xlfn.NUMBERVALUE("-0.000192")</f>
        <v/>
      </c>
      <c r="G496">
        <f>_xlfn.NUMBERVALUE("0.001118")</f>
        <v/>
      </c>
      <c r="H496">
        <f>_xlfn.NUMBERVALUE("-0.000419")</f>
        <v/>
      </c>
      <c r="I496">
        <f>_xlfn.NUMBERVALUE("0.001209")</f>
        <v/>
      </c>
      <c r="J496">
        <f>_xlfn.NUMBERVALUE("0.001080")</f>
        <v/>
      </c>
      <c r="K496">
        <f>_xlfn.NUMBERVALUE("-0.022123")</f>
        <v/>
      </c>
      <c r="L496">
        <f>_xlfn.NUMBERVALUE("0.003408")</f>
        <v/>
      </c>
      <c r="M496">
        <f>_xlfn.NUMBERVALUE("0.002156")</f>
        <v/>
      </c>
      <c r="N496">
        <f>_xlfn.NUMBERVALUE("0.000000")</f>
        <v/>
      </c>
      <c r="O496">
        <f>_xlfn.NUMBERVALUE("0.003087")</f>
        <v/>
      </c>
      <c r="P496">
        <f>_xlfn.NUMBERVALUE("0.000348")</f>
        <v/>
      </c>
      <c r="Q496">
        <f>_xlfn.NUMBERVALUE("0.002800")</f>
        <v/>
      </c>
      <c r="R496">
        <f>_xlfn.NUMBERVALUE("0.000554")</f>
        <v/>
      </c>
      <c r="S496">
        <f>_xlfn.NUMBERVALUE("-0.000550")</f>
        <v/>
      </c>
      <c r="T496">
        <f>_xlfn.NUMBERVALUE("0.002278")</f>
        <v/>
      </c>
      <c r="U496">
        <f>_xlfn.NUMBERVALUE("0.002180")</f>
        <v/>
      </c>
      <c r="V496">
        <f>_xlfn.NUMBERVALUE("0.000934")</f>
        <v/>
      </c>
      <c r="W496">
        <f>_xlfn.NUMBERVALUE("0.001722")</f>
        <v/>
      </c>
      <c r="X496">
        <f>_xlfn.NUMBERVALUE("-0.400000")</f>
        <v/>
      </c>
      <c r="Y496">
        <f>_xlfn.NUMBERVALUE("12.790000")</f>
        <v/>
      </c>
    </row>
    <row r="497">
      <c r="A497" s="1" t="n">
        <v>42720</v>
      </c>
      <c r="B497">
        <f>_xlfn.NUMBERVALUE("0.000000")</f>
        <v/>
      </c>
      <c r="C497" s="2">
        <f>_xlfn.NUMBERVALUE("-0.000648")</f>
        <v/>
      </c>
      <c r="D497">
        <f>_xlfn.NUMBERVALUE("0.000853")</f>
        <v/>
      </c>
      <c r="E497">
        <f>_xlfn.NUMBERVALUE("-0.000263")</f>
        <v/>
      </c>
      <c r="F497">
        <f>_xlfn.NUMBERVALUE("-0.000594")</f>
        <v/>
      </c>
      <c r="G497">
        <f>_xlfn.NUMBERVALUE("0.000617")</f>
        <v/>
      </c>
      <c r="H497">
        <f>_xlfn.NUMBERVALUE("0.000678")</f>
        <v/>
      </c>
      <c r="I497">
        <f>_xlfn.NUMBERVALUE("0.002542")</f>
        <v/>
      </c>
      <c r="J497">
        <f>_xlfn.NUMBERVALUE("0.000654")</f>
        <v/>
      </c>
      <c r="K497">
        <f>_xlfn.NUMBERVALUE("0.004032")</f>
        <v/>
      </c>
      <c r="L497">
        <f>_xlfn.NUMBERVALUE("0.000192")</f>
        <v/>
      </c>
      <c r="M497">
        <f>_xlfn.NUMBERVALUE("-0.000400")</f>
        <v/>
      </c>
      <c r="N497">
        <f>_xlfn.NUMBERVALUE("0.000000")</f>
        <v/>
      </c>
      <c r="O497">
        <f>_xlfn.NUMBERVALUE("0.001160")</f>
        <v/>
      </c>
      <c r="P497">
        <f>_xlfn.NUMBERVALUE("0.000765")</f>
        <v/>
      </c>
      <c r="Q497">
        <f>_xlfn.NUMBERVALUE("0.000610")</f>
        <v/>
      </c>
      <c r="R497">
        <f>_xlfn.NUMBERVALUE("-0.003051")</f>
        <v/>
      </c>
      <c r="S497">
        <f>_xlfn.NUMBERVALUE("-0.000920")</f>
        <v/>
      </c>
      <c r="T497">
        <f>_xlfn.NUMBERVALUE("-0.004536")</f>
        <v/>
      </c>
      <c r="U497">
        <f>_xlfn.NUMBERVALUE("-0.000873")</f>
        <v/>
      </c>
      <c r="V497">
        <f>_xlfn.NUMBERVALUE("-0.002873")</f>
        <v/>
      </c>
      <c r="W497">
        <f>_xlfn.NUMBERVALUE("-0.008573")</f>
        <v/>
      </c>
      <c r="X497">
        <f>_xlfn.NUMBERVALUE("-0.590000")</f>
        <v/>
      </c>
      <c r="Y497">
        <f>_xlfn.NUMBERVALUE("12.200000")</f>
        <v/>
      </c>
    </row>
    <row r="498">
      <c r="A498" s="1" t="n">
        <v>42723</v>
      </c>
      <c r="B498">
        <f>_xlfn.NUMBERVALUE("0.000000")</f>
        <v/>
      </c>
      <c r="C498" s="2">
        <f>_xlfn.NUMBERVALUE("0.001034")</f>
        <v/>
      </c>
      <c r="D498">
        <f>_xlfn.NUMBERVALUE("0.001798")</f>
        <v/>
      </c>
      <c r="E498">
        <f>_xlfn.NUMBERVALUE("0.002726")</f>
        <v/>
      </c>
      <c r="F498">
        <f>_xlfn.NUMBERVALUE("0.002725")</f>
        <v/>
      </c>
      <c r="G498">
        <f>_xlfn.NUMBERVALUE("0.000847")</f>
        <v/>
      </c>
      <c r="H498">
        <f>_xlfn.NUMBERVALUE("0.000732")</f>
        <v/>
      </c>
      <c r="I498">
        <f>_xlfn.NUMBERVALUE("0.001533")</f>
        <v/>
      </c>
      <c r="J498">
        <f>_xlfn.NUMBERVALUE("0.000544")</f>
        <v/>
      </c>
      <c r="K498">
        <f>_xlfn.NUMBERVALUE("0.004736")</f>
        <v/>
      </c>
      <c r="L498">
        <f>_xlfn.NUMBERVALUE("0.000285")</f>
        <v/>
      </c>
      <c r="M498">
        <f>_xlfn.NUMBERVALUE("0.003166")</f>
        <v/>
      </c>
      <c r="N498">
        <f>_xlfn.NUMBERVALUE("0.000000")</f>
        <v/>
      </c>
      <c r="O498">
        <f>_xlfn.NUMBERVALUE("0.003466")</f>
        <v/>
      </c>
      <c r="P498">
        <f>_xlfn.NUMBERVALUE("0.003649")</f>
        <v/>
      </c>
      <c r="Q498">
        <f>_xlfn.NUMBERVALUE("0.002445")</f>
        <v/>
      </c>
      <c r="R498">
        <f>_xlfn.NUMBERVALUE("0.001828")</f>
        <v/>
      </c>
      <c r="S498">
        <f>_xlfn.NUMBERVALUE("0.001047")</f>
        <v/>
      </c>
      <c r="T498">
        <f>_xlfn.NUMBERVALUE("0.001129")</f>
        <v/>
      </c>
      <c r="U498">
        <f>_xlfn.NUMBERVALUE("0.002644")</f>
        <v/>
      </c>
      <c r="V498">
        <f>_xlfn.NUMBERVALUE("0.001555")</f>
        <v/>
      </c>
      <c r="W498">
        <f>_xlfn.NUMBERVALUE("0.001756")</f>
        <v/>
      </c>
      <c r="X498">
        <f>_xlfn.NUMBERVALUE("-0.490000")</f>
        <v/>
      </c>
      <c r="Y498">
        <f>_xlfn.NUMBERVALUE("11.710000")</f>
        <v/>
      </c>
    </row>
    <row r="499">
      <c r="A499" s="1" t="n">
        <v>42724</v>
      </c>
      <c r="B499">
        <f>_xlfn.NUMBERVALUE("0.000000")</f>
        <v/>
      </c>
      <c r="C499" s="2">
        <f>_xlfn.NUMBERVALUE("0.000125")</f>
        <v/>
      </c>
      <c r="D499">
        <f>_xlfn.NUMBERVALUE("0.001851")</f>
        <v/>
      </c>
      <c r="E499">
        <f>_xlfn.NUMBERVALUE("-0.006048")</f>
        <v/>
      </c>
      <c r="F499">
        <f>_xlfn.NUMBERVALUE("-0.001800")</f>
        <v/>
      </c>
      <c r="G499">
        <f>_xlfn.NUMBERVALUE("0.001723")</f>
        <v/>
      </c>
      <c r="H499">
        <f>_xlfn.NUMBERVALUE("-0.000013")</f>
        <v/>
      </c>
      <c r="I499">
        <f>_xlfn.NUMBERVALUE("-0.000557")</f>
        <v/>
      </c>
      <c r="J499">
        <f>_xlfn.NUMBERVALUE("0.000713")</f>
        <v/>
      </c>
      <c r="K499">
        <f>_xlfn.NUMBERVALUE("-0.002276")</f>
        <v/>
      </c>
      <c r="L499">
        <f>_xlfn.NUMBERVALUE("0.000668")</f>
        <v/>
      </c>
      <c r="M499">
        <f>_xlfn.NUMBERVALUE("0.000219")</f>
        <v/>
      </c>
      <c r="N499">
        <f>_xlfn.NUMBERVALUE("0.000000")</f>
        <v/>
      </c>
      <c r="O499">
        <f>_xlfn.NUMBERVALUE("0.000217")</f>
        <v/>
      </c>
      <c r="P499">
        <f>_xlfn.NUMBERVALUE("-0.000584")</f>
        <v/>
      </c>
      <c r="Q499">
        <f>_xlfn.NUMBERVALUE("-0.000025")</f>
        <v/>
      </c>
      <c r="R499">
        <f>_xlfn.NUMBERVALUE("-0.000794")</f>
        <v/>
      </c>
      <c r="S499">
        <f>_xlfn.NUMBERVALUE("-0.000651")</f>
        <v/>
      </c>
      <c r="T499">
        <f>_xlfn.NUMBERVALUE("0.000422")</f>
        <v/>
      </c>
      <c r="U499">
        <f>_xlfn.NUMBERVALUE("-0.001131")</f>
        <v/>
      </c>
      <c r="V499">
        <f>_xlfn.NUMBERVALUE("-0.000056")</f>
        <v/>
      </c>
      <c r="W499">
        <f>_xlfn.NUMBERVALUE("0.003861")</f>
        <v/>
      </c>
      <c r="X499">
        <f>_xlfn.NUMBERVALUE("-0.260000")</f>
        <v/>
      </c>
      <c r="Y499">
        <f>_xlfn.NUMBERVALUE("11.450000")</f>
        <v/>
      </c>
    </row>
    <row r="500">
      <c r="A500" s="1" t="n">
        <v>42725</v>
      </c>
      <c r="B500">
        <f>_xlfn.NUMBERVALUE("0.000000")</f>
        <v/>
      </c>
      <c r="C500" s="2">
        <f>_xlfn.NUMBERVALUE("0.000193")</f>
        <v/>
      </c>
      <c r="D500">
        <f>_xlfn.NUMBERVALUE("0.003505")</f>
        <v/>
      </c>
      <c r="E500">
        <f>_xlfn.NUMBERVALUE("0.002883")</f>
        <v/>
      </c>
      <c r="F500">
        <f>_xlfn.NUMBERVALUE("0.001867")</f>
        <v/>
      </c>
      <c r="G500">
        <f>_xlfn.NUMBERVALUE("-0.002433")</f>
        <v/>
      </c>
      <c r="H500">
        <f>_xlfn.NUMBERVALUE("0.000630")</f>
        <v/>
      </c>
      <c r="I500">
        <f>_xlfn.NUMBERVALUE("0.000613")</f>
        <v/>
      </c>
      <c r="J500">
        <f>_xlfn.NUMBERVALUE("0.000528")</f>
        <v/>
      </c>
      <c r="K500">
        <f>_xlfn.NUMBERVALUE("0.003984")</f>
        <v/>
      </c>
      <c r="L500">
        <f>_xlfn.NUMBERVALUE("0.001323")</f>
        <v/>
      </c>
      <c r="M500">
        <f>_xlfn.NUMBERVALUE("0.000919")</f>
        <v/>
      </c>
      <c r="N500">
        <f>_xlfn.NUMBERVALUE("0.000000")</f>
        <v/>
      </c>
      <c r="O500">
        <f>_xlfn.NUMBERVALUE("-0.000029")</f>
        <v/>
      </c>
      <c r="P500">
        <f>_xlfn.NUMBERVALUE("-0.000415")</f>
        <v/>
      </c>
      <c r="Q500">
        <f>_xlfn.NUMBERVALUE("0.000561")</f>
        <v/>
      </c>
      <c r="R500">
        <f>_xlfn.NUMBERVALUE("0.001656")</f>
        <v/>
      </c>
      <c r="S500">
        <f>_xlfn.NUMBERVALUE("-0.000892")</f>
        <v/>
      </c>
      <c r="T500">
        <f>_xlfn.NUMBERVALUE("0.001014")</f>
        <v/>
      </c>
      <c r="U500">
        <f>_xlfn.NUMBERVALUE("0.001633")</f>
        <v/>
      </c>
      <c r="V500">
        <f>_xlfn.NUMBERVALUE("0.000409")</f>
        <v/>
      </c>
      <c r="W500">
        <f>_xlfn.NUMBERVALUE("-0.001105")</f>
        <v/>
      </c>
      <c r="X500">
        <f>_xlfn.NUMBERVALUE("-0.180000")</f>
        <v/>
      </c>
      <c r="Y500">
        <f>_xlfn.NUMBERVALUE("11.270000")</f>
        <v/>
      </c>
    </row>
    <row r="501">
      <c r="A501" s="1" t="n">
        <v>42726</v>
      </c>
      <c r="B501">
        <f>_xlfn.NUMBERVALUE("0.000000")</f>
        <v/>
      </c>
      <c r="C501" s="2">
        <f>_xlfn.NUMBERVALUE("0.000160")</f>
        <v/>
      </c>
      <c r="D501">
        <f>_xlfn.NUMBERVALUE("-0.004206")</f>
        <v/>
      </c>
      <c r="E501">
        <f>_xlfn.NUMBERVALUE("0.001250")</f>
        <v/>
      </c>
      <c r="F501">
        <f>_xlfn.NUMBERVALUE("-0.000116")</f>
        <v/>
      </c>
      <c r="G501">
        <f>_xlfn.NUMBERVALUE("-0.002089")</f>
        <v/>
      </c>
      <c r="H501">
        <f>_xlfn.NUMBERVALUE("0.000585")</f>
        <v/>
      </c>
      <c r="I501">
        <f>_xlfn.NUMBERVALUE("-0.002961")</f>
        <v/>
      </c>
      <c r="J501">
        <f>_xlfn.NUMBERVALUE("0.000086")</f>
        <v/>
      </c>
      <c r="K501">
        <f>_xlfn.NUMBERVALUE("0.001142")</f>
        <v/>
      </c>
      <c r="L501">
        <f>_xlfn.NUMBERVALUE("0.001151")</f>
        <v/>
      </c>
      <c r="M501">
        <f>_xlfn.NUMBERVALUE("0.001179")</f>
        <v/>
      </c>
      <c r="N501">
        <f>_xlfn.NUMBERVALUE("0.000000")</f>
        <v/>
      </c>
      <c r="O501">
        <f>_xlfn.NUMBERVALUE("0.001174")</f>
        <v/>
      </c>
      <c r="P501">
        <f>_xlfn.NUMBERVALUE("0.001354")</f>
        <v/>
      </c>
      <c r="Q501">
        <f>_xlfn.NUMBERVALUE("0.000949")</f>
        <v/>
      </c>
      <c r="R501">
        <f>_xlfn.NUMBERVALUE("0.000377")</f>
        <v/>
      </c>
      <c r="S501">
        <f>_xlfn.NUMBERVALUE("0.002538")</f>
        <v/>
      </c>
      <c r="T501">
        <f>_xlfn.NUMBERVALUE("0.003435")</f>
        <v/>
      </c>
      <c r="U501">
        <f>_xlfn.NUMBERVALUE("-0.000509")</f>
        <v/>
      </c>
      <c r="V501">
        <f>_xlfn.NUMBERVALUE("0.001260")</f>
        <v/>
      </c>
      <c r="W501">
        <f>_xlfn.NUMBERVALUE("-0.002678")</f>
        <v/>
      </c>
      <c r="X501">
        <f>_xlfn.NUMBERVALUE("0.160000")</f>
        <v/>
      </c>
      <c r="Y501">
        <f>_xlfn.NUMBERVALUE("11.430000")</f>
        <v/>
      </c>
    </row>
    <row r="502">
      <c r="A502" s="1" t="n">
        <v>42727</v>
      </c>
      <c r="B502">
        <f>_xlfn.NUMBERVALUE("0.000000")</f>
        <v/>
      </c>
      <c r="C502" s="2">
        <f>_xlfn.NUMBERVALUE("0.000028")</f>
        <v/>
      </c>
      <c r="D502">
        <f>_xlfn.NUMBERVALUE("0.004336")</f>
        <v/>
      </c>
      <c r="E502">
        <f>_xlfn.NUMBERVALUE("0.000373")</f>
        <v/>
      </c>
      <c r="F502">
        <f>_xlfn.NUMBERVALUE("-0.002963")</f>
        <v/>
      </c>
      <c r="G502">
        <f>_xlfn.NUMBERVALUE("0.001640")</f>
        <v/>
      </c>
      <c r="H502">
        <f>_xlfn.NUMBERVALUE("-0.000503")</f>
        <v/>
      </c>
      <c r="I502">
        <f>_xlfn.NUMBERVALUE("0.000291")</f>
        <v/>
      </c>
      <c r="J502">
        <f>_xlfn.NUMBERVALUE("0.000604")</f>
        <v/>
      </c>
      <c r="K502">
        <f>_xlfn.NUMBERVALUE("-0.000674")</f>
        <v/>
      </c>
      <c r="L502">
        <f>_xlfn.NUMBERVALUE("0.000915")</f>
        <v/>
      </c>
      <c r="M502">
        <f>_xlfn.NUMBERVALUE("0.000988")</f>
        <v/>
      </c>
      <c r="N502">
        <f>_xlfn.NUMBERVALUE("0.000000")</f>
        <v/>
      </c>
      <c r="O502">
        <f>_xlfn.NUMBERVALUE("0.001996")</f>
        <v/>
      </c>
      <c r="P502">
        <f>_xlfn.NUMBERVALUE("0.003780")</f>
        <v/>
      </c>
      <c r="Q502">
        <f>_xlfn.NUMBERVALUE("0.000531")</f>
        <v/>
      </c>
      <c r="R502">
        <f>_xlfn.NUMBERVALUE("0.000161")</f>
        <v/>
      </c>
      <c r="S502">
        <f>_xlfn.NUMBERVALUE("0.001038")</f>
        <v/>
      </c>
      <c r="T502">
        <f>_xlfn.NUMBERVALUE("-0.001988")</f>
        <v/>
      </c>
      <c r="U502">
        <f>_xlfn.NUMBERVALUE("0.000624")</f>
        <v/>
      </c>
      <c r="V502">
        <f>_xlfn.NUMBERVALUE("0.000147")</f>
        <v/>
      </c>
      <c r="W502">
        <f>_xlfn.NUMBERVALUE("0.001021")</f>
        <v/>
      </c>
      <c r="X502">
        <f>_xlfn.NUMBERVALUE("0.010000")</f>
        <v/>
      </c>
      <c r="Y502">
        <f>_xlfn.NUMBERVALUE("11.440000")</f>
        <v/>
      </c>
    </row>
    <row r="503">
      <c r="A503" s="1" t="n">
        <v>42731</v>
      </c>
      <c r="B503">
        <f>_xlfn.NUMBERVALUE("0.000000")</f>
        <v/>
      </c>
      <c r="C503" s="2">
        <f>_xlfn.NUMBERVALUE("0.000002")</f>
        <v/>
      </c>
      <c r="D503">
        <f>_xlfn.NUMBERVALUE("0.000914")</f>
        <v/>
      </c>
      <c r="E503">
        <f>_xlfn.NUMBERVALUE("0.002168")</f>
        <v/>
      </c>
      <c r="F503">
        <f>_xlfn.NUMBERVALUE("0.004098")</f>
        <v/>
      </c>
      <c r="G503">
        <f>_xlfn.NUMBERVALUE("-0.000931")</f>
        <v/>
      </c>
      <c r="H503">
        <f>_xlfn.NUMBERVALUE("0.000381")</f>
        <v/>
      </c>
      <c r="I503">
        <f>_xlfn.NUMBERVALUE("0.001220")</f>
        <v/>
      </c>
      <c r="J503">
        <f>_xlfn.NUMBERVALUE("0.001405")</f>
        <v/>
      </c>
      <c r="K503">
        <f>_xlfn.NUMBERVALUE("0.004259")</f>
        <v/>
      </c>
      <c r="L503">
        <f>_xlfn.NUMBERVALUE("0.000968")</f>
        <v/>
      </c>
      <c r="M503">
        <f>_xlfn.NUMBERVALUE("0.000785")</f>
        <v/>
      </c>
      <c r="N503">
        <f>_xlfn.NUMBERVALUE("0.000000")</f>
        <v/>
      </c>
      <c r="O503">
        <f>_xlfn.NUMBERVALUE("0.002692")</f>
        <v/>
      </c>
      <c r="P503">
        <f>_xlfn.NUMBERVALUE("0.000917")</f>
        <v/>
      </c>
      <c r="Q503">
        <f>_xlfn.NUMBERVALUE("0.003649")</f>
        <v/>
      </c>
      <c r="R503">
        <f>_xlfn.NUMBERVALUE("-0.002368")</f>
        <v/>
      </c>
      <c r="S503">
        <f>_xlfn.NUMBERVALUE("-0.001719")</f>
        <v/>
      </c>
      <c r="T503">
        <f>_xlfn.NUMBERVALUE("0.000837")</f>
        <v/>
      </c>
      <c r="U503">
        <f>_xlfn.NUMBERVALUE("0.002450")</f>
        <v/>
      </c>
      <c r="V503">
        <f>_xlfn.NUMBERVALUE("-0.000561")</f>
        <v/>
      </c>
      <c r="W503">
        <f>_xlfn.NUMBERVALUE("0.003436")</f>
        <v/>
      </c>
      <c r="X503">
        <f>_xlfn.NUMBERVALUE("0.550000")</f>
        <v/>
      </c>
      <c r="Y503">
        <f>_xlfn.NUMBERVALUE("11.990000")</f>
        <v/>
      </c>
    </row>
    <row r="504">
      <c r="A504" s="1" t="n">
        <v>42732</v>
      </c>
      <c r="B504">
        <f>_xlfn.NUMBERVALUE("0.000000")</f>
        <v/>
      </c>
      <c r="C504" s="2">
        <f>_xlfn.NUMBERVALUE("0.000039")</f>
        <v/>
      </c>
      <c r="D504">
        <f>_xlfn.NUMBERVALUE("0.001118")</f>
        <v/>
      </c>
      <c r="E504">
        <f>_xlfn.NUMBERVALUE("-0.001159")</f>
        <v/>
      </c>
      <c r="F504">
        <f>_xlfn.NUMBERVALUE("0.000112")</f>
        <v/>
      </c>
      <c r="G504">
        <f>_xlfn.NUMBERVALUE("0.000504")</f>
        <v/>
      </c>
      <c r="H504">
        <f>_xlfn.NUMBERVALUE("0.000371")</f>
        <v/>
      </c>
      <c r="I504">
        <f>_xlfn.NUMBERVALUE("-0.000798")</f>
        <v/>
      </c>
      <c r="J504">
        <f>_xlfn.NUMBERVALUE("-0.000382")</f>
        <v/>
      </c>
      <c r="K504">
        <f>_xlfn.NUMBERVALUE("0.002981")</f>
        <v/>
      </c>
      <c r="L504">
        <f>_xlfn.NUMBERVALUE("-0.001061")</f>
        <v/>
      </c>
      <c r="M504">
        <f>_xlfn.NUMBERVALUE("-0.000299")</f>
        <v/>
      </c>
      <c r="N504">
        <f>_xlfn.NUMBERVALUE("0.000000")</f>
        <v/>
      </c>
      <c r="O504">
        <f>_xlfn.NUMBERVALUE("-0.000540")</f>
        <v/>
      </c>
      <c r="P504">
        <f>_xlfn.NUMBERVALUE("-0.000648")</f>
        <v/>
      </c>
      <c r="Q504">
        <f>_xlfn.NUMBERVALUE("-0.002002")</f>
        <v/>
      </c>
      <c r="R504">
        <f>_xlfn.NUMBERVALUE("0.003397")</f>
        <v/>
      </c>
      <c r="S504">
        <f>_xlfn.NUMBERVALUE("0.001802")</f>
        <v/>
      </c>
      <c r="T504">
        <f>_xlfn.NUMBERVALUE("0.000012")</f>
        <v/>
      </c>
      <c r="U504">
        <f>_xlfn.NUMBERVALUE("-0.000625")</f>
        <v/>
      </c>
      <c r="V504">
        <f>_xlfn.NUMBERVALUE("-0.000095")</f>
        <v/>
      </c>
      <c r="W504">
        <f>_xlfn.NUMBERVALUE("-0.008660")</f>
        <v/>
      </c>
      <c r="X504">
        <f>_xlfn.NUMBERVALUE("0.960000")</f>
        <v/>
      </c>
      <c r="Y504">
        <f>_xlfn.NUMBERVALUE("12.950000")</f>
        <v/>
      </c>
    </row>
    <row r="505">
      <c r="A505" s="1" t="n">
        <v>42733</v>
      </c>
      <c r="B505">
        <f>_xlfn.NUMBERVALUE("0.000000")</f>
        <v/>
      </c>
      <c r="C505" s="2">
        <f>_xlfn.NUMBERVALUE("0.000000")</f>
        <v/>
      </c>
      <c r="D505">
        <f>_xlfn.NUMBERVALUE("-0.000626")</f>
        <v/>
      </c>
      <c r="E505">
        <f>_xlfn.NUMBERVALUE("0.000085")</f>
        <v/>
      </c>
      <c r="F505">
        <f>_xlfn.NUMBERVALUE("0.000511")</f>
        <v/>
      </c>
      <c r="G505">
        <f>_xlfn.NUMBERVALUE("-0.000059")</f>
        <v/>
      </c>
      <c r="H505">
        <f>_xlfn.NUMBERVALUE("0.000261")</f>
        <v/>
      </c>
      <c r="I505">
        <f>_xlfn.NUMBERVALUE("0.000387")</f>
        <v/>
      </c>
      <c r="J505">
        <f>_xlfn.NUMBERVALUE("-0.000555")</f>
        <v/>
      </c>
      <c r="K505">
        <f>_xlfn.NUMBERVALUE("0.002030")</f>
        <v/>
      </c>
      <c r="L505">
        <f>_xlfn.NUMBERVALUE("0.000267")</f>
        <v/>
      </c>
      <c r="M505">
        <f>_xlfn.NUMBERVALUE("0.000387")</f>
        <v/>
      </c>
      <c r="N505">
        <f>_xlfn.NUMBERVALUE("0.000000")</f>
        <v/>
      </c>
      <c r="O505">
        <f>_xlfn.NUMBERVALUE("0.001502")</f>
        <v/>
      </c>
      <c r="P505">
        <f>_xlfn.NUMBERVALUE("0.001325")</f>
        <v/>
      </c>
      <c r="Q505">
        <f>_xlfn.NUMBERVALUE("0.001265")</f>
        <v/>
      </c>
      <c r="R505">
        <f>_xlfn.NUMBERVALUE("0.000255")</f>
        <v/>
      </c>
      <c r="S505">
        <f>_xlfn.NUMBERVALUE("0.000539")</f>
        <v/>
      </c>
      <c r="T505">
        <f>_xlfn.NUMBERVALUE("-0.000570")</f>
        <v/>
      </c>
      <c r="U505">
        <f>_xlfn.NUMBERVALUE("0.001094")</f>
        <v/>
      </c>
      <c r="V505">
        <f>_xlfn.NUMBERVALUE("0.000414")</f>
        <v/>
      </c>
      <c r="W505">
        <f>_xlfn.NUMBERVALUE("-0.000423")</f>
        <v/>
      </c>
      <c r="X505">
        <f>_xlfn.NUMBERVALUE("0.420000")</f>
        <v/>
      </c>
      <c r="Y505">
        <f>_xlfn.NUMBERVALUE("13.370000")</f>
        <v/>
      </c>
    </row>
    <row r="506">
      <c r="A506" s="1" t="n">
        <v>42734</v>
      </c>
      <c r="B506">
        <f>_xlfn.NUMBERVALUE("0.000000")</f>
        <v/>
      </c>
      <c r="C506" s="2">
        <f>_xlfn.NUMBERVALUE("-0.000002")</f>
        <v/>
      </c>
      <c r="D506">
        <f>_xlfn.NUMBERVALUE("-0.000907")</f>
        <v/>
      </c>
      <c r="E506">
        <f>_xlfn.NUMBERVALUE("-0.000098")</f>
        <v/>
      </c>
      <c r="F506">
        <f>_xlfn.NUMBERVALUE("-0.000102")</f>
        <v/>
      </c>
      <c r="G506">
        <f>_xlfn.NUMBERVALUE("-0.000001")</f>
        <v/>
      </c>
      <c r="H506">
        <f>_xlfn.NUMBERVALUE("0.000171")</f>
        <v/>
      </c>
      <c r="I506">
        <f>_xlfn.NUMBERVALUE("0.000126")</f>
        <v/>
      </c>
      <c r="J506">
        <f>_xlfn.NUMBERVALUE("0.000009")</f>
        <v/>
      </c>
      <c r="K506">
        <f>_xlfn.NUMBERVALUE("-0.002100")</f>
        <v/>
      </c>
      <c r="L506">
        <f>_xlfn.NUMBERVALUE("0.001130")</f>
        <v/>
      </c>
      <c r="M506">
        <f>_xlfn.NUMBERVALUE("0.001458")</f>
        <v/>
      </c>
      <c r="N506">
        <f>_xlfn.NUMBERVALUE("0.000000")</f>
        <v/>
      </c>
      <c r="O506">
        <f>_xlfn.NUMBERVALUE("0.001136")</f>
        <v/>
      </c>
      <c r="P506">
        <f>_xlfn.NUMBERVALUE("-0.000734")</f>
        <v/>
      </c>
      <c r="Q506">
        <f>_xlfn.NUMBERVALUE("0.000104")</f>
        <v/>
      </c>
      <c r="R506">
        <f>_xlfn.NUMBERVALUE("-0.000965")</f>
        <v/>
      </c>
      <c r="S506">
        <f>_xlfn.NUMBERVALUE("-0.000959")</f>
        <v/>
      </c>
      <c r="T506">
        <f>_xlfn.NUMBERVALUE("0.000132")</f>
        <v/>
      </c>
      <c r="U506">
        <f>_xlfn.NUMBERVALUE("-0.001311")</f>
        <v/>
      </c>
      <c r="V506">
        <f>_xlfn.NUMBERVALUE("0.000046")</f>
        <v/>
      </c>
      <c r="W506">
        <f>_xlfn.NUMBERVALUE("-0.002798")</f>
        <v/>
      </c>
      <c r="X506">
        <f>_xlfn.NUMBERVALUE("0.670000")</f>
        <v/>
      </c>
      <c r="Y506">
        <f>_xlfn.NUMBERVALUE("14.040000")</f>
        <v/>
      </c>
    </row>
    <row r="507">
      <c r="A507" s="1" t="n">
        <v>42738</v>
      </c>
      <c r="B507">
        <f>_xlfn.NUMBERVALUE("0.000000")</f>
        <v/>
      </c>
      <c r="C507" s="2">
        <f>_xlfn.NUMBERVALUE("0.002418")</f>
        <v/>
      </c>
      <c r="D507">
        <f>_xlfn.NUMBERVALUE("0.002651")</f>
        <v/>
      </c>
      <c r="E507">
        <f>_xlfn.NUMBERVALUE("0.002256")</f>
        <v/>
      </c>
      <c r="F507">
        <f>_xlfn.NUMBERVALUE("0.001533")</f>
        <v/>
      </c>
      <c r="G507">
        <f>_xlfn.NUMBERVALUE("-0.000056")</f>
        <v/>
      </c>
      <c r="H507">
        <f>_xlfn.NUMBERVALUE("0.000246")</f>
        <v/>
      </c>
      <c r="I507">
        <f>_xlfn.NUMBERVALUE("0.002817")</f>
        <v/>
      </c>
      <c r="J507">
        <f>_xlfn.NUMBERVALUE("-0.000675")</f>
        <v/>
      </c>
      <c r="K507">
        <f>_xlfn.NUMBERVALUE("0.000567")</f>
        <v/>
      </c>
      <c r="L507">
        <f>_xlfn.NUMBERVALUE("0.003593")</f>
        <v/>
      </c>
      <c r="M507">
        <f>_xlfn.NUMBERVALUE("0.003203")</f>
        <v/>
      </c>
      <c r="N507">
        <f>_xlfn.NUMBERVALUE("0.000000")</f>
        <v/>
      </c>
      <c r="O507">
        <f>_xlfn.NUMBERVALUE("-0.000308")</f>
        <v/>
      </c>
      <c r="P507">
        <f>_xlfn.NUMBERVALUE("0.002722")</f>
        <v/>
      </c>
      <c r="Q507">
        <f>_xlfn.NUMBERVALUE("0.001830")</f>
        <v/>
      </c>
      <c r="R507">
        <f>_xlfn.NUMBERVALUE("0.000704")</f>
        <v/>
      </c>
      <c r="S507">
        <f>_xlfn.NUMBERVALUE("0.001150")</f>
        <v/>
      </c>
      <c r="T507">
        <f>_xlfn.NUMBERVALUE("0.000568")</f>
        <v/>
      </c>
      <c r="U507">
        <f>_xlfn.NUMBERVALUE("0.002873")</f>
        <v/>
      </c>
      <c r="V507">
        <f>_xlfn.NUMBERVALUE("0.001994")</f>
        <v/>
      </c>
      <c r="W507">
        <f>_xlfn.NUMBERVALUE("0.008116")</f>
        <v/>
      </c>
      <c r="X507">
        <f>_xlfn.NUMBERVALUE("-1.190000")</f>
        <v/>
      </c>
      <c r="Y507">
        <f>_xlfn.NUMBERVALUE("12.850000")</f>
        <v/>
      </c>
    </row>
    <row r="508">
      <c r="A508" s="1" t="n">
        <v>42739</v>
      </c>
      <c r="B508">
        <f>_xlfn.NUMBERVALUE("0.000000")</f>
        <v/>
      </c>
      <c r="C508" s="2">
        <f>_xlfn.NUMBERVALUE("0.001502")</f>
        <v/>
      </c>
      <c r="D508">
        <f>_xlfn.NUMBERVALUE("0.001557")</f>
        <v/>
      </c>
      <c r="E508">
        <f>_xlfn.NUMBERVALUE("-0.001040")</f>
        <v/>
      </c>
      <c r="F508">
        <f>_xlfn.NUMBERVALUE("0.002173")</f>
        <v/>
      </c>
      <c r="G508">
        <f>_xlfn.NUMBERVALUE("-0.000539")</f>
        <v/>
      </c>
      <c r="H508">
        <f>_xlfn.NUMBERVALUE("0.000400")</f>
        <v/>
      </c>
      <c r="I508">
        <f>_xlfn.NUMBERVALUE("-0.001900")</f>
        <v/>
      </c>
      <c r="J508">
        <f>_xlfn.NUMBERVALUE("0.000302")</f>
        <v/>
      </c>
      <c r="K508">
        <f>_xlfn.NUMBERVALUE("-0.001512")</f>
        <v/>
      </c>
      <c r="L508">
        <f>_xlfn.NUMBERVALUE("0.000940")</f>
        <v/>
      </c>
      <c r="M508">
        <f>_xlfn.NUMBERVALUE("-0.009034")</f>
        <v/>
      </c>
      <c r="N508">
        <f>_xlfn.NUMBERVALUE("0.000000")</f>
        <v/>
      </c>
      <c r="O508">
        <f>_xlfn.NUMBERVALUE("0.003117")</f>
        <v/>
      </c>
      <c r="P508">
        <f>_xlfn.NUMBERVALUE("-0.001018")</f>
        <v/>
      </c>
      <c r="Q508">
        <f>_xlfn.NUMBERVALUE("-0.000099")</f>
        <v/>
      </c>
      <c r="R508">
        <f>_xlfn.NUMBERVALUE("0.000042")</f>
        <v/>
      </c>
      <c r="S508">
        <f>_xlfn.NUMBERVALUE("-0.000115")</f>
        <v/>
      </c>
      <c r="T508">
        <f>_xlfn.NUMBERVALUE("0.000004")</f>
        <v/>
      </c>
      <c r="U508">
        <f>_xlfn.NUMBERVALUE("-0.007240")</f>
        <v/>
      </c>
      <c r="V508">
        <f>_xlfn.NUMBERVALUE("0.000999")</f>
        <v/>
      </c>
      <c r="W508">
        <f>_xlfn.NUMBERVALUE("0.008006")</f>
        <v/>
      </c>
      <c r="X508">
        <f>_xlfn.NUMBERVALUE("-1.000000")</f>
        <v/>
      </c>
      <c r="Y508">
        <f>_xlfn.NUMBERVALUE("11.850000")</f>
        <v/>
      </c>
    </row>
    <row r="509">
      <c r="A509" s="1" t="n">
        <v>42740</v>
      </c>
      <c r="B509">
        <f>_xlfn.NUMBERVALUE("0.000000")</f>
        <v/>
      </c>
      <c r="C509" s="2">
        <f>_xlfn.NUMBERVALUE("0.000814")</f>
        <v/>
      </c>
      <c r="D509">
        <f>_xlfn.NUMBERVALUE("-0.000974")</f>
        <v/>
      </c>
      <c r="E509">
        <f>_xlfn.NUMBERVALUE("-0.001834")</f>
        <v/>
      </c>
      <c r="F509">
        <f>_xlfn.NUMBERVALUE("-0.002214")</f>
        <v/>
      </c>
      <c r="G509">
        <f>_xlfn.NUMBERVALUE("0.000154")</f>
        <v/>
      </c>
      <c r="H509">
        <f>_xlfn.NUMBERVALUE("-0.001661")</f>
        <v/>
      </c>
      <c r="I509">
        <f>_xlfn.NUMBERVALUE("0.000885")</f>
        <v/>
      </c>
      <c r="J509">
        <f>_xlfn.NUMBERVALUE("-0.000626")</f>
        <v/>
      </c>
      <c r="K509">
        <f>_xlfn.NUMBERVALUE("0.000974")</f>
        <v/>
      </c>
      <c r="L509">
        <f>_xlfn.NUMBERVALUE("-0.003237")</f>
        <v/>
      </c>
      <c r="M509">
        <f>_xlfn.NUMBERVALUE("0.000979")</f>
        <v/>
      </c>
      <c r="N509">
        <f>_xlfn.NUMBERVALUE("0.000000")</f>
        <v/>
      </c>
      <c r="O509">
        <f>_xlfn.NUMBERVALUE("0.003776")</f>
        <v/>
      </c>
      <c r="P509">
        <f>_xlfn.NUMBERVALUE("0.000167")</f>
        <v/>
      </c>
      <c r="Q509">
        <f>_xlfn.NUMBERVALUE("0.002694")</f>
        <v/>
      </c>
      <c r="R509">
        <f>_xlfn.NUMBERVALUE("-0.000064")</f>
        <v/>
      </c>
      <c r="S509">
        <f>_xlfn.NUMBERVALUE("-0.000001")</f>
        <v/>
      </c>
      <c r="T509">
        <f>_xlfn.NUMBERVALUE("0.000001")</f>
        <v/>
      </c>
      <c r="U509">
        <f>_xlfn.NUMBERVALUE("0.000645")</f>
        <v/>
      </c>
      <c r="V509">
        <f>_xlfn.NUMBERVALUE("0.000800")</f>
        <v/>
      </c>
      <c r="W509">
        <f>_xlfn.NUMBERVALUE("-0.001500")</f>
        <v/>
      </c>
      <c r="X509">
        <f>_xlfn.NUMBERVALUE("-0.180000")</f>
        <v/>
      </c>
      <c r="Y509">
        <f>_xlfn.NUMBERVALUE("11.670000")</f>
        <v/>
      </c>
    </row>
    <row r="510">
      <c r="A510" s="1" t="n">
        <v>42741</v>
      </c>
      <c r="B510">
        <f>_xlfn.NUMBERVALUE("0.000000")</f>
        <v/>
      </c>
      <c r="C510" s="2">
        <f>_xlfn.NUMBERVALUE("0.000019")</f>
        <v/>
      </c>
      <c r="D510">
        <f>_xlfn.NUMBERVALUE("0.001706")</f>
        <v/>
      </c>
      <c r="E510">
        <f>_xlfn.NUMBERVALUE("0.000764")</f>
        <v/>
      </c>
      <c r="F510">
        <f>_xlfn.NUMBERVALUE("0.000925")</f>
        <v/>
      </c>
      <c r="G510">
        <f>_xlfn.NUMBERVALUE("0.001072")</f>
        <v/>
      </c>
      <c r="H510">
        <f>_xlfn.NUMBERVALUE("0.001045")</f>
        <v/>
      </c>
      <c r="I510">
        <f>_xlfn.NUMBERVALUE("0.003096")</f>
        <v/>
      </c>
      <c r="J510">
        <f>_xlfn.NUMBERVALUE("0.000330")</f>
        <v/>
      </c>
      <c r="K510">
        <f>_xlfn.NUMBERVALUE("0.002362")</f>
        <v/>
      </c>
      <c r="L510">
        <f>_xlfn.NUMBERVALUE("0.002064")</f>
        <v/>
      </c>
      <c r="M510">
        <f>_xlfn.NUMBERVALUE("0.001937")</f>
        <v/>
      </c>
      <c r="N510">
        <f>_xlfn.NUMBERVALUE("0.000000")</f>
        <v/>
      </c>
      <c r="O510">
        <f>_xlfn.NUMBERVALUE("0.003374")</f>
        <v/>
      </c>
      <c r="P510">
        <f>_xlfn.NUMBERVALUE("0.002017")</f>
        <v/>
      </c>
      <c r="Q510">
        <f>_xlfn.NUMBERVALUE("0.001398")</f>
        <v/>
      </c>
      <c r="R510">
        <f>_xlfn.NUMBERVALUE("0.000217")</f>
        <v/>
      </c>
      <c r="S510">
        <f>_xlfn.NUMBERVALUE("0.001141")</f>
        <v/>
      </c>
      <c r="T510">
        <f>_xlfn.NUMBERVALUE("0.001482")</f>
        <v/>
      </c>
      <c r="U510">
        <f>_xlfn.NUMBERVALUE("-0.000036")</f>
        <v/>
      </c>
      <c r="V510">
        <f>_xlfn.NUMBERVALUE("0.000012")</f>
        <v/>
      </c>
      <c r="W510">
        <f>_xlfn.NUMBERVALUE("0.005347")</f>
        <v/>
      </c>
      <c r="X510">
        <f>_xlfn.NUMBERVALUE("-0.350000")</f>
        <v/>
      </c>
      <c r="Y510">
        <f>_xlfn.NUMBERVALUE("11.320000")</f>
        <v/>
      </c>
    </row>
    <row r="511">
      <c r="A511" s="1" t="n">
        <v>42744</v>
      </c>
      <c r="B511">
        <f>_xlfn.NUMBERVALUE("0.000000")</f>
        <v/>
      </c>
      <c r="C511" s="2">
        <f>_xlfn.NUMBERVALUE("0.001662")</f>
        <v/>
      </c>
      <c r="D511">
        <f>_xlfn.NUMBERVALUE("0.001862")</f>
        <v/>
      </c>
      <c r="E511">
        <f>_xlfn.NUMBERVALUE("0.001548")</f>
        <v/>
      </c>
      <c r="F511">
        <f>_xlfn.NUMBERVALUE("0.000369")</f>
        <v/>
      </c>
      <c r="G511">
        <f>_xlfn.NUMBERVALUE("0.000875")</f>
        <v/>
      </c>
      <c r="H511">
        <f>_xlfn.NUMBERVALUE("0.000141")</f>
        <v/>
      </c>
      <c r="I511">
        <f>_xlfn.NUMBERVALUE("0.001582")</f>
        <v/>
      </c>
      <c r="J511">
        <f>_xlfn.NUMBERVALUE("0.000739")</f>
        <v/>
      </c>
      <c r="K511">
        <f>_xlfn.NUMBERVALUE("0.002262")</f>
        <v/>
      </c>
      <c r="L511">
        <f>_xlfn.NUMBERVALUE("0.000107")</f>
        <v/>
      </c>
      <c r="M511">
        <f>_xlfn.NUMBERVALUE("0.001363")</f>
        <v/>
      </c>
      <c r="N511">
        <f>_xlfn.NUMBERVALUE("0.000000")</f>
        <v/>
      </c>
      <c r="O511">
        <f>_xlfn.NUMBERVALUE("-0.002004")</f>
        <v/>
      </c>
      <c r="P511">
        <f>_xlfn.NUMBERVALUE("0.000810")</f>
        <v/>
      </c>
      <c r="Q511">
        <f>_xlfn.NUMBERVALUE("0.000856")</f>
        <v/>
      </c>
      <c r="R511">
        <f>_xlfn.NUMBERVALUE("0.001213")</f>
        <v/>
      </c>
      <c r="S511">
        <f>_xlfn.NUMBERVALUE("0.000775")</f>
        <v/>
      </c>
      <c r="T511">
        <f>_xlfn.NUMBERVALUE("0.000324")</f>
        <v/>
      </c>
      <c r="U511">
        <f>_xlfn.NUMBERVALUE("0.001621")</f>
        <v/>
      </c>
      <c r="V511">
        <f>_xlfn.NUMBERVALUE("0.001420")</f>
        <v/>
      </c>
      <c r="W511">
        <f>_xlfn.NUMBERVALUE("-0.003736")</f>
        <v/>
      </c>
      <c r="X511">
        <f>_xlfn.NUMBERVALUE("0.240000")</f>
        <v/>
      </c>
      <c r="Y511">
        <f>_xlfn.NUMBERVALUE("11.560000")</f>
        <v/>
      </c>
    </row>
    <row r="512">
      <c r="A512" s="1" t="n">
        <v>42745</v>
      </c>
      <c r="B512">
        <f>_xlfn.NUMBERVALUE("0.000000")</f>
        <v/>
      </c>
      <c r="C512" s="2">
        <f>_xlfn.NUMBERVALUE("0.000788")</f>
        <v/>
      </c>
      <c r="D512">
        <f>_xlfn.NUMBERVALUE("-0.000043")</f>
        <v/>
      </c>
      <c r="E512">
        <f>_xlfn.NUMBERVALUE("0.001258")</f>
        <v/>
      </c>
      <c r="F512">
        <f>_xlfn.NUMBERVALUE("0.000305")</f>
        <v/>
      </c>
      <c r="G512">
        <f>_xlfn.NUMBERVALUE("0.000727")</f>
        <v/>
      </c>
      <c r="H512">
        <f>_xlfn.NUMBERVALUE("0.000120")</f>
        <v/>
      </c>
      <c r="I512">
        <f>_xlfn.NUMBERVALUE("0.000798")</f>
        <v/>
      </c>
      <c r="J512">
        <f>_xlfn.NUMBERVALUE("0.000074")</f>
        <v/>
      </c>
      <c r="K512">
        <f>_xlfn.NUMBERVALUE("-0.000027")</f>
        <v/>
      </c>
      <c r="L512">
        <f>_xlfn.NUMBERVALUE("0.001706")</f>
        <v/>
      </c>
      <c r="M512">
        <f>_xlfn.NUMBERVALUE("0.001266")</f>
        <v/>
      </c>
      <c r="N512">
        <f>_xlfn.NUMBERVALUE("0.000000")</f>
        <v/>
      </c>
      <c r="O512">
        <f>_xlfn.NUMBERVALUE("0.000323")</f>
        <v/>
      </c>
      <c r="P512">
        <f>_xlfn.NUMBERVALUE("0.001094")</f>
        <v/>
      </c>
      <c r="Q512">
        <f>_xlfn.NUMBERVALUE("0.000838")</f>
        <v/>
      </c>
      <c r="R512">
        <f>_xlfn.NUMBERVALUE("0.000443")</f>
        <v/>
      </c>
      <c r="S512">
        <f>_xlfn.NUMBERVALUE("-0.000160")</f>
        <v/>
      </c>
      <c r="T512">
        <f>_xlfn.NUMBERVALUE("0.000656")</f>
        <v/>
      </c>
      <c r="U512">
        <f>_xlfn.NUMBERVALUE("0.001348")</f>
        <v/>
      </c>
      <c r="V512">
        <f>_xlfn.NUMBERVALUE("0.000763")</f>
        <v/>
      </c>
      <c r="W512">
        <f>_xlfn.NUMBERVALUE("0.000176")</f>
        <v/>
      </c>
      <c r="X512">
        <f>_xlfn.NUMBERVALUE("-0.070000")</f>
        <v/>
      </c>
      <c r="Y512">
        <f>_xlfn.NUMBERVALUE("11.490000")</f>
        <v/>
      </c>
    </row>
    <row r="513">
      <c r="A513" s="1" t="n">
        <v>42746</v>
      </c>
      <c r="B513">
        <f>_xlfn.NUMBERVALUE("0.000000")</f>
        <v/>
      </c>
      <c r="C513" s="2">
        <f>_xlfn.NUMBERVALUE("0.000608")</f>
        <v/>
      </c>
      <c r="D513">
        <f>_xlfn.NUMBERVALUE("-0.000912")</f>
        <v/>
      </c>
      <c r="E513">
        <f>_xlfn.NUMBERVALUE("-0.000199")</f>
        <v/>
      </c>
      <c r="F513">
        <f>_xlfn.NUMBERVALUE("-0.000981")</f>
        <v/>
      </c>
      <c r="G513">
        <f>_xlfn.NUMBERVALUE("0.001002")</f>
        <v/>
      </c>
      <c r="H513">
        <f>_xlfn.NUMBERVALUE("0.000119")</f>
        <v/>
      </c>
      <c r="I513">
        <f>_xlfn.NUMBERVALUE("0.000808")</f>
        <v/>
      </c>
      <c r="J513">
        <f>_xlfn.NUMBERVALUE("0.000486")</f>
        <v/>
      </c>
      <c r="K513">
        <f>_xlfn.NUMBERVALUE("0.001169")</f>
        <v/>
      </c>
      <c r="L513">
        <f>_xlfn.NUMBERVALUE("0.000570")</f>
        <v/>
      </c>
      <c r="M513">
        <f>_xlfn.NUMBERVALUE("0.000541")</f>
        <v/>
      </c>
      <c r="N513">
        <f>_xlfn.NUMBERVALUE("0.000000")</f>
        <v/>
      </c>
      <c r="O513">
        <f>_xlfn.NUMBERVALUE("0.001938")</f>
        <v/>
      </c>
      <c r="P513">
        <f>_xlfn.NUMBERVALUE("0.000641")</f>
        <v/>
      </c>
      <c r="Q513">
        <f>_xlfn.NUMBERVALUE("0.001657")</f>
        <v/>
      </c>
      <c r="R513">
        <f>_xlfn.NUMBERVALUE("0.000306")</f>
        <v/>
      </c>
      <c r="S513">
        <f>_xlfn.NUMBERVALUE("0.000954")</f>
        <v/>
      </c>
      <c r="T513">
        <f>_xlfn.NUMBERVALUE("0.000435")</f>
        <v/>
      </c>
      <c r="U513">
        <f>_xlfn.NUMBERVALUE("0.000505")</f>
        <v/>
      </c>
      <c r="V513">
        <f>_xlfn.NUMBERVALUE("0.000492")</f>
        <v/>
      </c>
      <c r="W513">
        <f>_xlfn.NUMBERVALUE("0.001103")</f>
        <v/>
      </c>
      <c r="X513">
        <f>_xlfn.NUMBERVALUE("-0.230000")</f>
        <v/>
      </c>
      <c r="Y513">
        <f>_xlfn.NUMBERVALUE("11.260000")</f>
        <v/>
      </c>
    </row>
    <row r="514">
      <c r="A514" s="1" t="n">
        <v>42747</v>
      </c>
      <c r="B514">
        <f>_xlfn.NUMBERVALUE("0.000000")</f>
        <v/>
      </c>
      <c r="C514" s="2">
        <f>_xlfn.NUMBERVALUE("0.000547")</f>
        <v/>
      </c>
      <c r="D514">
        <f>_xlfn.NUMBERVALUE("-0.000147")</f>
        <v/>
      </c>
      <c r="E514">
        <f>_xlfn.NUMBERVALUE("0.000247")</f>
        <v/>
      </c>
      <c r="F514">
        <f>_xlfn.NUMBERVALUE("0.000296")</f>
        <v/>
      </c>
      <c r="G514">
        <f>_xlfn.NUMBERVALUE("-0.000044")</f>
        <v/>
      </c>
      <c r="H514">
        <f>_xlfn.NUMBERVALUE("0.000387")</f>
        <v/>
      </c>
      <c r="I514">
        <f>_xlfn.NUMBERVALUE("-0.000331")</f>
        <v/>
      </c>
      <c r="J514">
        <f>_xlfn.NUMBERVALUE("0.000760")</f>
        <v/>
      </c>
      <c r="K514">
        <f>_xlfn.NUMBERVALUE("0.001689")</f>
        <v/>
      </c>
      <c r="L514">
        <f>_xlfn.NUMBERVALUE("-0.000023")</f>
        <v/>
      </c>
      <c r="M514">
        <f>_xlfn.NUMBERVALUE("0.000072")</f>
        <v/>
      </c>
      <c r="N514">
        <f>_xlfn.NUMBERVALUE("0.000000")</f>
        <v/>
      </c>
      <c r="O514">
        <f>_xlfn.NUMBERVALUE("0.002310")</f>
        <v/>
      </c>
      <c r="P514">
        <f>_xlfn.NUMBERVALUE("-0.001568")</f>
        <v/>
      </c>
      <c r="Q514">
        <f>_xlfn.NUMBERVALUE("-0.000095")</f>
        <v/>
      </c>
      <c r="R514">
        <f>_xlfn.NUMBERVALUE("0.000806")</f>
        <v/>
      </c>
      <c r="S514">
        <f>_xlfn.NUMBERVALUE("0.000269")</f>
        <v/>
      </c>
      <c r="T514">
        <f>_xlfn.NUMBERVALUE("0.001499")</f>
        <v/>
      </c>
      <c r="U514">
        <f>_xlfn.NUMBERVALUE("0.000242")</f>
        <v/>
      </c>
      <c r="V514">
        <f>_xlfn.NUMBERVALUE("0.000429")</f>
        <v/>
      </c>
      <c r="W514">
        <f>_xlfn.NUMBERVALUE("-0.001542")</f>
        <v/>
      </c>
      <c r="X514">
        <f>_xlfn.NUMBERVALUE("0.280000")</f>
        <v/>
      </c>
      <c r="Y514">
        <f>_xlfn.NUMBERVALUE("11.540000")</f>
        <v/>
      </c>
    </row>
    <row r="515">
      <c r="A515" s="1" t="n">
        <v>42748</v>
      </c>
      <c r="B515">
        <f>_xlfn.NUMBERVALUE("0.000000")</f>
        <v/>
      </c>
      <c r="C515" s="2">
        <f>_xlfn.NUMBERVALUE("0.001146")</f>
        <v/>
      </c>
      <c r="D515">
        <f>_xlfn.NUMBERVALUE("0.002227")</f>
        <v/>
      </c>
      <c r="E515">
        <f>_xlfn.NUMBERVALUE("0.000655")</f>
        <v/>
      </c>
      <c r="F515">
        <f>_xlfn.NUMBERVALUE("0.000160")</f>
        <v/>
      </c>
      <c r="G515">
        <f>_xlfn.NUMBERVALUE("0.001217")</f>
        <v/>
      </c>
      <c r="H515">
        <f>_xlfn.NUMBERVALUE("0.000440")</f>
        <v/>
      </c>
      <c r="I515">
        <f>_xlfn.NUMBERVALUE("0.000704")</f>
        <v/>
      </c>
      <c r="J515">
        <f>_xlfn.NUMBERVALUE("0.000805")</f>
        <v/>
      </c>
      <c r="K515">
        <f>_xlfn.NUMBERVALUE("0.000306")</f>
        <v/>
      </c>
      <c r="L515">
        <f>_xlfn.NUMBERVALUE("0.000945")</f>
        <v/>
      </c>
      <c r="M515">
        <f>_xlfn.NUMBERVALUE("0.001761")</f>
        <v/>
      </c>
      <c r="N515">
        <f>_xlfn.NUMBERVALUE("0.000000")</f>
        <v/>
      </c>
      <c r="O515">
        <f>_xlfn.NUMBERVALUE("0.001612")</f>
        <v/>
      </c>
      <c r="P515">
        <f>_xlfn.NUMBERVALUE("0.001476")</f>
        <v/>
      </c>
      <c r="Q515">
        <f>_xlfn.NUMBERVALUE("0.001662")</f>
        <v/>
      </c>
      <c r="R515">
        <f>_xlfn.NUMBERVALUE("0.001194")</f>
        <v/>
      </c>
      <c r="S515">
        <f>_xlfn.NUMBERVALUE("0.003534")</f>
        <v/>
      </c>
      <c r="T515">
        <f>_xlfn.NUMBERVALUE("0.001744")</f>
        <v/>
      </c>
      <c r="U515">
        <f>_xlfn.NUMBERVALUE("0.001189")</f>
        <v/>
      </c>
      <c r="V515">
        <f>_xlfn.NUMBERVALUE("0.000516")</f>
        <v/>
      </c>
      <c r="W515">
        <f>_xlfn.NUMBERVALUE("0.002560")</f>
        <v/>
      </c>
      <c r="X515">
        <f>_xlfn.NUMBERVALUE("-0.310000")</f>
        <v/>
      </c>
      <c r="Y515">
        <f>_xlfn.NUMBERVALUE("11.230000")</f>
        <v/>
      </c>
    </row>
    <row r="516">
      <c r="A516" s="1" t="n">
        <v>42752</v>
      </c>
      <c r="B516">
        <f>_xlfn.NUMBERVALUE("0.000000")</f>
        <v/>
      </c>
      <c r="C516" s="2">
        <f>_xlfn.NUMBERVALUE("0.000993")</f>
        <v/>
      </c>
      <c r="D516">
        <f>_xlfn.NUMBERVALUE("0.000702")</f>
        <v/>
      </c>
      <c r="E516">
        <f>_xlfn.NUMBERVALUE("0.000880")</f>
        <v/>
      </c>
      <c r="F516">
        <f>_xlfn.NUMBERVALUE("-0.000959")</f>
        <v/>
      </c>
      <c r="G516">
        <f>_xlfn.NUMBERVALUE("0.000456")</f>
        <v/>
      </c>
      <c r="H516">
        <f>_xlfn.NUMBERVALUE("0.000323")</f>
        <v/>
      </c>
      <c r="I516">
        <f>_xlfn.NUMBERVALUE("-0.001798")</f>
        <v/>
      </c>
      <c r="J516">
        <f>_xlfn.NUMBERVALUE("-0.001358")</f>
        <v/>
      </c>
      <c r="K516">
        <f>_xlfn.NUMBERVALUE("-0.001549")</f>
        <v/>
      </c>
      <c r="L516">
        <f>_xlfn.NUMBERVALUE("-0.001277")</f>
        <v/>
      </c>
      <c r="M516">
        <f>_xlfn.NUMBERVALUE("0.001982")</f>
        <v/>
      </c>
      <c r="N516">
        <f>_xlfn.NUMBERVALUE("0.000000")</f>
        <v/>
      </c>
      <c r="O516">
        <f>_xlfn.NUMBERVALUE("0.002102")</f>
        <v/>
      </c>
      <c r="P516">
        <f>_xlfn.NUMBERVALUE("-0.002666")</f>
        <v/>
      </c>
      <c r="Q516">
        <f>_xlfn.NUMBERVALUE("-0.000440")</f>
        <v/>
      </c>
      <c r="R516">
        <f>_xlfn.NUMBERVALUE("0.001628")</f>
        <v/>
      </c>
      <c r="S516">
        <f>_xlfn.NUMBERVALUE("-0.004326")</f>
        <v/>
      </c>
      <c r="T516">
        <f>_xlfn.NUMBERVALUE("-0.001191")</f>
        <v/>
      </c>
      <c r="U516">
        <f>_xlfn.NUMBERVALUE("0.000301")</f>
        <v/>
      </c>
      <c r="V516">
        <f>_xlfn.NUMBERVALUE("0.000630")</f>
        <v/>
      </c>
      <c r="W516">
        <f>_xlfn.NUMBERVALUE("-0.004556")</f>
        <v/>
      </c>
      <c r="X516">
        <f>_xlfn.NUMBERVALUE("0.640000")</f>
        <v/>
      </c>
      <c r="Y516">
        <f>_xlfn.NUMBERVALUE("11.870000")</f>
        <v/>
      </c>
    </row>
    <row r="517">
      <c r="A517" s="1" t="n">
        <v>42753</v>
      </c>
      <c r="B517">
        <f>_xlfn.NUMBERVALUE("0.000000")</f>
        <v/>
      </c>
      <c r="C517" s="2">
        <f>_xlfn.NUMBERVALUE("0.000930")</f>
        <v/>
      </c>
      <c r="D517">
        <f>_xlfn.NUMBERVALUE("0.000359")</f>
        <v/>
      </c>
      <c r="E517">
        <f>_xlfn.NUMBERVALUE("0.000588")</f>
        <v/>
      </c>
      <c r="F517">
        <f>_xlfn.NUMBERVALUE("0.000128")</f>
        <v/>
      </c>
      <c r="G517">
        <f>_xlfn.NUMBERVALUE("0.000953")</f>
        <v/>
      </c>
      <c r="H517">
        <f>_xlfn.NUMBERVALUE("-0.000646")</f>
        <v/>
      </c>
      <c r="I517">
        <f>_xlfn.NUMBERVALUE("0.001704")</f>
        <v/>
      </c>
      <c r="J517">
        <f>_xlfn.NUMBERVALUE("-0.000031")</f>
        <v/>
      </c>
      <c r="K517">
        <f>_xlfn.NUMBERVALUE("0.001452")</f>
        <v/>
      </c>
      <c r="L517">
        <f>_xlfn.NUMBERVALUE("-0.001400")</f>
        <v/>
      </c>
      <c r="M517">
        <f>_xlfn.NUMBERVALUE("-0.000046")</f>
        <v/>
      </c>
      <c r="N517">
        <f>_xlfn.NUMBERVALUE("0.000000")</f>
        <v/>
      </c>
      <c r="O517">
        <f>_xlfn.NUMBERVALUE("0.001668")</f>
        <v/>
      </c>
      <c r="P517">
        <f>_xlfn.NUMBERVALUE("0.001613")</f>
        <v/>
      </c>
      <c r="Q517">
        <f>_xlfn.NUMBERVALUE("0.000130")</f>
        <v/>
      </c>
      <c r="R517">
        <f>_xlfn.NUMBERVALUE("0.000702")</f>
        <v/>
      </c>
      <c r="S517">
        <f>_xlfn.NUMBERVALUE("0.000122")</f>
        <v/>
      </c>
      <c r="T517">
        <f>_xlfn.NUMBERVALUE("0.000666")</f>
        <v/>
      </c>
      <c r="U517">
        <f>_xlfn.NUMBERVALUE("0.000607")</f>
        <v/>
      </c>
      <c r="V517">
        <f>_xlfn.NUMBERVALUE("-0.000081")</f>
        <v/>
      </c>
      <c r="W517">
        <f>_xlfn.NUMBERVALUE("0.002675")</f>
        <v/>
      </c>
      <c r="X517">
        <f>_xlfn.NUMBERVALUE("0.610000")</f>
        <v/>
      </c>
      <c r="Y517">
        <f>_xlfn.NUMBERVALUE("12.480000")</f>
        <v/>
      </c>
    </row>
    <row r="518">
      <c r="A518" s="1" t="n">
        <v>42754</v>
      </c>
      <c r="B518">
        <f>_xlfn.NUMBERVALUE("0.000000")</f>
        <v/>
      </c>
      <c r="C518" s="2">
        <f>_xlfn.NUMBERVALUE("0.000051")</f>
        <v/>
      </c>
      <c r="D518">
        <f>_xlfn.NUMBERVALUE("0.000459")</f>
        <v/>
      </c>
      <c r="E518">
        <f>_xlfn.NUMBERVALUE("0.000013")</f>
        <v/>
      </c>
      <c r="F518">
        <f>_xlfn.NUMBERVALUE("0.000236")</f>
        <v/>
      </c>
      <c r="G518">
        <f>_xlfn.NUMBERVALUE("-0.000119")</f>
        <v/>
      </c>
      <c r="H518">
        <f>_xlfn.NUMBERVALUE("-0.000115")</f>
        <v/>
      </c>
      <c r="I518">
        <f>_xlfn.NUMBERVALUE("-0.000025")</f>
        <v/>
      </c>
      <c r="J518">
        <f>_xlfn.NUMBERVALUE("0.000516")</f>
        <v/>
      </c>
      <c r="K518">
        <f>_xlfn.NUMBERVALUE("-0.001178")</f>
        <v/>
      </c>
      <c r="L518">
        <f>_xlfn.NUMBERVALUE("0.000099")</f>
        <v/>
      </c>
      <c r="M518">
        <f>_xlfn.NUMBERVALUE("-0.000455")</f>
        <v/>
      </c>
      <c r="N518">
        <f>_xlfn.NUMBERVALUE("0.000000")</f>
        <v/>
      </c>
      <c r="O518">
        <f>_xlfn.NUMBERVALUE("0.000839")</f>
        <v/>
      </c>
      <c r="P518">
        <f>_xlfn.NUMBERVALUE("0.001042")</f>
        <v/>
      </c>
      <c r="Q518">
        <f>_xlfn.NUMBERVALUE("-0.001972")</f>
        <v/>
      </c>
      <c r="R518">
        <f>_xlfn.NUMBERVALUE("0.000373")</f>
        <v/>
      </c>
      <c r="S518">
        <f>_xlfn.NUMBERVALUE("-0.001063")</f>
        <v/>
      </c>
      <c r="T518">
        <f>_xlfn.NUMBERVALUE("-0.001160")</f>
        <v/>
      </c>
      <c r="U518">
        <f>_xlfn.NUMBERVALUE("0.000598")</f>
        <v/>
      </c>
      <c r="V518">
        <f>_xlfn.NUMBERVALUE("0.000281")</f>
        <v/>
      </c>
      <c r="W518">
        <f>_xlfn.NUMBERVALUE("-0.003749")</f>
        <v/>
      </c>
      <c r="X518">
        <f>_xlfn.NUMBERVALUE("0.300000")</f>
        <v/>
      </c>
      <c r="Y518">
        <f>_xlfn.NUMBERVALUE("12.780000")</f>
        <v/>
      </c>
    </row>
    <row r="519">
      <c r="A519" s="1" t="n">
        <v>42755</v>
      </c>
      <c r="B519">
        <f>_xlfn.NUMBERVALUE("0.000000")</f>
        <v/>
      </c>
      <c r="C519" s="2">
        <f>_xlfn.NUMBERVALUE("0.001894")</f>
        <v/>
      </c>
      <c r="D519">
        <f>_xlfn.NUMBERVALUE("0.002448")</f>
        <v/>
      </c>
      <c r="E519">
        <f>_xlfn.NUMBERVALUE("0.000937")</f>
        <v/>
      </c>
      <c r="F519">
        <f>_xlfn.NUMBERVALUE("0.000547")</f>
        <v/>
      </c>
      <c r="G519">
        <f>_xlfn.NUMBERVALUE("0.000363")</f>
        <v/>
      </c>
      <c r="H519">
        <f>_xlfn.NUMBERVALUE("0.000463")</f>
        <v/>
      </c>
      <c r="I519">
        <f>_xlfn.NUMBERVALUE("0.002900")</f>
        <v/>
      </c>
      <c r="J519">
        <f>_xlfn.NUMBERVALUE("0.000638")</f>
        <v/>
      </c>
      <c r="K519">
        <f>_xlfn.NUMBERVALUE("0.000144")</f>
        <v/>
      </c>
      <c r="L519">
        <f>_xlfn.NUMBERVALUE("0.001550")</f>
        <v/>
      </c>
      <c r="M519">
        <f>_xlfn.NUMBERVALUE("0.000260")</f>
        <v/>
      </c>
      <c r="N519">
        <f>_xlfn.NUMBERVALUE("0.000000")</f>
        <v/>
      </c>
      <c r="O519">
        <f>_xlfn.NUMBERVALUE("0.001585")</f>
        <v/>
      </c>
      <c r="P519">
        <f>_xlfn.NUMBERVALUE("0.001140")</f>
        <v/>
      </c>
      <c r="Q519">
        <f>_xlfn.NUMBERVALUE("0.002862")</f>
        <v/>
      </c>
      <c r="R519">
        <f>_xlfn.NUMBERVALUE("0.001486")</f>
        <v/>
      </c>
      <c r="S519">
        <f>_xlfn.NUMBERVALUE("0.000769")</f>
        <v/>
      </c>
      <c r="T519">
        <f>_xlfn.NUMBERVALUE("0.002160")</f>
        <v/>
      </c>
      <c r="U519">
        <f>_xlfn.NUMBERVALUE("0.002039")</f>
        <v/>
      </c>
      <c r="V519">
        <f>_xlfn.NUMBERVALUE("0.001336")</f>
        <v/>
      </c>
      <c r="W519">
        <f>_xlfn.NUMBERVALUE("0.002700")</f>
        <v/>
      </c>
      <c r="X519">
        <f>_xlfn.NUMBERVALUE("-1.240000")</f>
        <v/>
      </c>
      <c r="Y519">
        <f>_xlfn.NUMBERVALUE("11.540000")</f>
        <v/>
      </c>
    </row>
    <row r="520">
      <c r="A520" s="1" t="n">
        <v>42758</v>
      </c>
      <c r="B520">
        <f>_xlfn.NUMBERVALUE("0.000000")</f>
        <v/>
      </c>
      <c r="C520" s="2">
        <f>_xlfn.NUMBERVALUE("0.001024")</f>
        <v/>
      </c>
      <c r="D520">
        <f>_xlfn.NUMBERVALUE("-0.000780")</f>
        <v/>
      </c>
      <c r="E520">
        <f>_xlfn.NUMBERVALUE("0.000379")</f>
        <v/>
      </c>
      <c r="F520">
        <f>_xlfn.NUMBERVALUE("0.001004")</f>
        <v/>
      </c>
      <c r="G520">
        <f>_xlfn.NUMBERVALUE("0.000784")</f>
        <v/>
      </c>
      <c r="H520">
        <f>_xlfn.NUMBERVALUE("-0.000025")</f>
        <v/>
      </c>
      <c r="I520">
        <f>_xlfn.NUMBERVALUE("0.001781")</f>
        <v/>
      </c>
      <c r="J520">
        <f>_xlfn.NUMBERVALUE("-0.000706")</f>
        <v/>
      </c>
      <c r="K520">
        <f>_xlfn.NUMBERVALUE("0.001140")</f>
        <v/>
      </c>
      <c r="L520">
        <f>_xlfn.NUMBERVALUE("-0.001500")</f>
        <v/>
      </c>
      <c r="M520">
        <f>_xlfn.NUMBERVALUE("0.000436")</f>
        <v/>
      </c>
      <c r="N520">
        <f>_xlfn.NUMBERVALUE("0.000000")</f>
        <v/>
      </c>
      <c r="O520">
        <f>_xlfn.NUMBERVALUE("0.000304")</f>
        <v/>
      </c>
      <c r="P520">
        <f>_xlfn.NUMBERVALUE("0.003998")</f>
        <v/>
      </c>
      <c r="Q520">
        <f>_xlfn.NUMBERVALUE("0.000823")</f>
        <v/>
      </c>
      <c r="R520">
        <f>_xlfn.NUMBERVALUE("0.000253")</f>
        <v/>
      </c>
      <c r="S520">
        <f>_xlfn.NUMBERVALUE("0.001548")</f>
        <v/>
      </c>
      <c r="T520">
        <f>_xlfn.NUMBERVALUE("0.001923")</f>
        <v/>
      </c>
      <c r="U520">
        <f>_xlfn.NUMBERVALUE("0.000920")</f>
        <v/>
      </c>
      <c r="V520">
        <f>_xlfn.NUMBERVALUE("0.000809")</f>
        <v/>
      </c>
      <c r="W520">
        <f>_xlfn.NUMBERVALUE("-0.001015")</f>
        <v/>
      </c>
      <c r="X520">
        <f>_xlfn.NUMBERVALUE("0.230000")</f>
        <v/>
      </c>
      <c r="Y520">
        <f>_xlfn.NUMBERVALUE("11.770000")</f>
        <v/>
      </c>
    </row>
    <row r="521">
      <c r="A521" s="1" t="n">
        <v>42759</v>
      </c>
      <c r="B521">
        <f>_xlfn.NUMBERVALUE("0.000000")</f>
        <v/>
      </c>
      <c r="C521" s="2">
        <f>_xlfn.NUMBERVALUE("-0.000150")</f>
        <v/>
      </c>
      <c r="D521">
        <f>_xlfn.NUMBERVALUE("0.000328")</f>
        <v/>
      </c>
      <c r="E521">
        <f>_xlfn.NUMBERVALUE("0.000204")</f>
        <v/>
      </c>
      <c r="F521">
        <f>_xlfn.NUMBERVALUE("0.001135")</f>
        <v/>
      </c>
      <c r="G521">
        <f>_xlfn.NUMBERVALUE("0.000334")</f>
        <v/>
      </c>
      <c r="H521">
        <f>_xlfn.NUMBERVALUE("-0.000337")</f>
        <v/>
      </c>
      <c r="I521">
        <f>_xlfn.NUMBERVALUE("-0.003885")</f>
        <v/>
      </c>
      <c r="J521">
        <f>_xlfn.NUMBERVALUE("0.000648")</f>
        <v/>
      </c>
      <c r="K521">
        <f>_xlfn.NUMBERVALUE("0.000192")</f>
        <v/>
      </c>
      <c r="L521">
        <f>_xlfn.NUMBERVALUE("-0.000438")</f>
        <v/>
      </c>
      <c r="M521">
        <f>_xlfn.NUMBERVALUE("-0.008419")</f>
        <v/>
      </c>
      <c r="N521">
        <f>_xlfn.NUMBERVALUE("0.000000")</f>
        <v/>
      </c>
      <c r="O521">
        <f>_xlfn.NUMBERVALUE("-0.000275")</f>
        <v/>
      </c>
      <c r="P521">
        <f>_xlfn.NUMBERVALUE("0.000043")</f>
        <v/>
      </c>
      <c r="Q521">
        <f>_xlfn.NUMBERVALUE("-0.001400")</f>
        <v/>
      </c>
      <c r="R521">
        <f>_xlfn.NUMBERVALUE("-0.000251")</f>
        <v/>
      </c>
      <c r="S521">
        <f>_xlfn.NUMBERVALUE("-0.001010")</f>
        <v/>
      </c>
      <c r="T521">
        <f>_xlfn.NUMBERVALUE("0.001797")</f>
        <v/>
      </c>
      <c r="U521">
        <f>_xlfn.NUMBERVALUE("-0.000536")</f>
        <v/>
      </c>
      <c r="V521">
        <f>_xlfn.NUMBERVALUE("-0.000224")</f>
        <v/>
      </c>
      <c r="W521">
        <f>_xlfn.NUMBERVALUE("0.006496")</f>
        <v/>
      </c>
      <c r="X521">
        <f>_xlfn.NUMBERVALUE("-0.700000")</f>
        <v/>
      </c>
      <c r="Y521">
        <f>_xlfn.NUMBERVALUE("11.070000")</f>
        <v/>
      </c>
    </row>
    <row r="522">
      <c r="A522" s="1" t="n">
        <v>42760</v>
      </c>
      <c r="B522">
        <f>_xlfn.NUMBERVALUE("0.000000")</f>
        <v/>
      </c>
      <c r="C522" s="2">
        <f>_xlfn.NUMBERVALUE("-0.001200")</f>
        <v/>
      </c>
      <c r="D522">
        <f>_xlfn.NUMBERVALUE("-0.000136")</f>
        <v/>
      </c>
      <c r="E522">
        <f>_xlfn.NUMBERVALUE("-0.000568")</f>
        <v/>
      </c>
      <c r="F522">
        <f>_xlfn.NUMBERVALUE("-0.001591")</f>
        <v/>
      </c>
      <c r="G522">
        <f>_xlfn.NUMBERVALUE("0.000583")</f>
        <v/>
      </c>
      <c r="H522">
        <f>_xlfn.NUMBERVALUE("-0.000704")</f>
        <v/>
      </c>
      <c r="I522">
        <f>_xlfn.NUMBERVALUE("-0.000865")</f>
        <v/>
      </c>
      <c r="J522">
        <f>_xlfn.NUMBERVALUE("0.000886")</f>
        <v/>
      </c>
      <c r="K522">
        <f>_xlfn.NUMBERVALUE("0.000680")</f>
        <v/>
      </c>
      <c r="L522">
        <f>_xlfn.NUMBERVALUE("-0.001044")</f>
        <v/>
      </c>
      <c r="M522">
        <f>_xlfn.NUMBERVALUE("-0.000017")</f>
        <v/>
      </c>
      <c r="N522">
        <f>_xlfn.NUMBERVALUE("0.000000")</f>
        <v/>
      </c>
      <c r="O522">
        <f>_xlfn.NUMBERVALUE("0.001764")</f>
        <v/>
      </c>
      <c r="P522">
        <f>_xlfn.NUMBERVALUE("-0.004045")</f>
        <v/>
      </c>
      <c r="Q522">
        <f>_xlfn.NUMBERVALUE("-0.001520")</f>
        <v/>
      </c>
      <c r="R522">
        <f>_xlfn.NUMBERVALUE("-0.000880")</f>
        <v/>
      </c>
      <c r="S522">
        <f>_xlfn.NUMBERVALUE("0.001112")</f>
        <v/>
      </c>
      <c r="T522">
        <f>_xlfn.NUMBERVALUE("0.001099")</f>
        <v/>
      </c>
      <c r="U522">
        <f>_xlfn.NUMBERVALUE("0.000031")</f>
        <v/>
      </c>
      <c r="V522">
        <f>_xlfn.NUMBERVALUE("-0.000697")</f>
        <v/>
      </c>
      <c r="W522">
        <f>_xlfn.NUMBERVALUE("0.007552")</f>
        <v/>
      </c>
      <c r="X522">
        <f>_xlfn.NUMBERVALUE("-0.260000")</f>
        <v/>
      </c>
      <c r="Y522">
        <f>_xlfn.NUMBERVALUE("10.810000")</f>
        <v/>
      </c>
    </row>
    <row r="523">
      <c r="A523" s="1" t="n">
        <v>42761</v>
      </c>
      <c r="B523">
        <f>_xlfn.NUMBERVALUE("0.000000")</f>
        <v/>
      </c>
      <c r="C523" s="2">
        <f>_xlfn.NUMBERVALUE("0.000171")</f>
        <v/>
      </c>
      <c r="D523">
        <f>_xlfn.NUMBERVALUE("0.000054")</f>
        <v/>
      </c>
      <c r="E523">
        <f>_xlfn.NUMBERVALUE("0.000182")</f>
        <v/>
      </c>
      <c r="F523">
        <f>_xlfn.NUMBERVALUE("0.000154")</f>
        <v/>
      </c>
      <c r="G523">
        <f>_xlfn.NUMBERVALUE("-0.000340")</f>
        <v/>
      </c>
      <c r="H523">
        <f>_xlfn.NUMBERVALUE("0.000448")</f>
        <v/>
      </c>
      <c r="I523">
        <f>_xlfn.NUMBERVALUE("0.001561")</f>
        <v/>
      </c>
      <c r="J523">
        <f>_xlfn.NUMBERVALUE("0.000229")</f>
        <v/>
      </c>
      <c r="K523">
        <f>_xlfn.NUMBERVALUE("0.002002")</f>
        <v/>
      </c>
      <c r="L523">
        <f>_xlfn.NUMBERVALUE("0.001920")</f>
        <v/>
      </c>
      <c r="M523">
        <f>_xlfn.NUMBERVALUE("0.000284")</f>
        <v/>
      </c>
      <c r="N523">
        <f>_xlfn.NUMBERVALUE("0.000000")</f>
        <v/>
      </c>
      <c r="O523">
        <f>_xlfn.NUMBERVALUE("0.000387")</f>
        <v/>
      </c>
      <c r="P523">
        <f>_xlfn.NUMBERVALUE("0.000525")</f>
        <v/>
      </c>
      <c r="Q523">
        <f>_xlfn.NUMBERVALUE("-0.000044")</f>
        <v/>
      </c>
      <c r="R523">
        <f>_xlfn.NUMBERVALUE("0.000763")</f>
        <v/>
      </c>
      <c r="S523">
        <f>_xlfn.NUMBERVALUE("0.001070")</f>
        <v/>
      </c>
      <c r="T523">
        <f>_xlfn.NUMBERVALUE("0.002167")</f>
        <v/>
      </c>
      <c r="U523">
        <f>_xlfn.NUMBERVALUE("0.000442")</f>
        <v/>
      </c>
      <c r="V523">
        <f>_xlfn.NUMBERVALUE("0.000114")</f>
        <v/>
      </c>
      <c r="W523">
        <f>_xlfn.NUMBERVALUE("-0.001002")</f>
        <v/>
      </c>
      <c r="X523">
        <f>_xlfn.NUMBERVALUE("-0.180000")</f>
        <v/>
      </c>
      <c r="Y523">
        <f>_xlfn.NUMBERVALUE("10.630000")</f>
        <v/>
      </c>
    </row>
    <row r="524">
      <c r="A524" s="1" t="n">
        <v>42762</v>
      </c>
      <c r="B524">
        <f>_xlfn.NUMBERVALUE("0.000000")</f>
        <v/>
      </c>
      <c r="C524" s="2">
        <f>_xlfn.NUMBERVALUE("0.000577")</f>
        <v/>
      </c>
      <c r="D524">
        <f>_xlfn.NUMBERVALUE("0.000072")</f>
        <v/>
      </c>
      <c r="E524">
        <f>_xlfn.NUMBERVALUE("0.000149")</f>
        <v/>
      </c>
      <c r="F524">
        <f>_xlfn.NUMBERVALUE("0.000483")</f>
        <v/>
      </c>
      <c r="G524">
        <f>_xlfn.NUMBERVALUE("0.000317")</f>
        <v/>
      </c>
      <c r="H524">
        <f>_xlfn.NUMBERVALUE("0.000693")</f>
        <v/>
      </c>
      <c r="I524">
        <f>_xlfn.NUMBERVALUE("0.001680")</f>
        <v/>
      </c>
      <c r="J524">
        <f>_xlfn.NUMBERVALUE("0.000459")</f>
        <v/>
      </c>
      <c r="K524">
        <f>_xlfn.NUMBERVALUE("-0.002868")</f>
        <v/>
      </c>
      <c r="L524">
        <f>_xlfn.NUMBERVALUE("0.001335")</f>
        <v/>
      </c>
      <c r="M524">
        <f>_xlfn.NUMBERVALUE("0.000096")</f>
        <v/>
      </c>
      <c r="N524">
        <f>_xlfn.NUMBERVALUE("0.000000")</f>
        <v/>
      </c>
      <c r="O524">
        <f>_xlfn.NUMBERVALUE("-0.000229")</f>
        <v/>
      </c>
      <c r="P524">
        <f>_xlfn.NUMBERVALUE("0.001302")</f>
        <v/>
      </c>
      <c r="Q524">
        <f>_xlfn.NUMBERVALUE("0.000636")</f>
        <v/>
      </c>
      <c r="R524">
        <f>_xlfn.NUMBERVALUE("0.000963")</f>
        <v/>
      </c>
      <c r="S524">
        <f>_xlfn.NUMBERVALUE("0.000286")</f>
        <v/>
      </c>
      <c r="T524">
        <f>_xlfn.NUMBERVALUE("0.001516")</f>
        <v/>
      </c>
      <c r="U524">
        <f>_xlfn.NUMBERVALUE("0.000364")</f>
        <v/>
      </c>
      <c r="V524">
        <f>_xlfn.NUMBERVALUE("0.000268")</f>
        <v/>
      </c>
      <c r="W524">
        <f>_xlfn.NUMBERVALUE("-0.001570")</f>
        <v/>
      </c>
      <c r="X524">
        <f>_xlfn.NUMBERVALUE("-0.050000")</f>
        <v/>
      </c>
      <c r="Y524">
        <f>_xlfn.NUMBERVALUE("10.580000")</f>
        <v/>
      </c>
    </row>
    <row r="525">
      <c r="A525" s="1" t="n">
        <v>42765</v>
      </c>
      <c r="B525">
        <f>_xlfn.NUMBERVALUE("0.000000")</f>
        <v/>
      </c>
      <c r="C525" s="2">
        <f>_xlfn.NUMBERVALUE("0.000552")</f>
        <v/>
      </c>
      <c r="D525">
        <f>_xlfn.NUMBERVALUE("0.000201")</f>
        <v/>
      </c>
      <c r="E525">
        <f>_xlfn.NUMBERVALUE("0.000263")</f>
        <v/>
      </c>
      <c r="F525">
        <f>_xlfn.NUMBERVALUE("0.000099")</f>
        <v/>
      </c>
      <c r="G525">
        <f>_xlfn.NUMBERVALUE("0.000251")</f>
        <v/>
      </c>
      <c r="H525">
        <f>_xlfn.NUMBERVALUE("0.002473")</f>
        <v/>
      </c>
      <c r="I525">
        <f>_xlfn.NUMBERVALUE("-0.000866")</f>
        <v/>
      </c>
      <c r="J525">
        <f>_xlfn.NUMBERVALUE("0.001906")</f>
        <v/>
      </c>
      <c r="K525">
        <f>_xlfn.NUMBERVALUE("0.000045")</f>
        <v/>
      </c>
      <c r="L525">
        <f>_xlfn.NUMBERVALUE("0.001688")</f>
        <v/>
      </c>
      <c r="M525">
        <f>_xlfn.NUMBERVALUE("-0.000512")</f>
        <v/>
      </c>
      <c r="N525">
        <f>_xlfn.NUMBERVALUE("0.000000")</f>
        <v/>
      </c>
      <c r="O525">
        <f>_xlfn.NUMBERVALUE("-0.001844")</f>
        <v/>
      </c>
      <c r="P525">
        <f>_xlfn.NUMBERVALUE("0.000888")</f>
        <v/>
      </c>
      <c r="Q525">
        <f>_xlfn.NUMBERVALUE("0.000368")</f>
        <v/>
      </c>
      <c r="R525">
        <f>_xlfn.NUMBERVALUE("-0.001476")</f>
        <v/>
      </c>
      <c r="S525">
        <f>_xlfn.NUMBERVALUE("0.000284")</f>
        <v/>
      </c>
      <c r="T525">
        <f>_xlfn.NUMBERVALUE("0.000986")</f>
        <v/>
      </c>
      <c r="U525">
        <f>_xlfn.NUMBERVALUE("-0.000172")</f>
        <v/>
      </c>
      <c r="V525">
        <f>_xlfn.NUMBERVALUE("0.000566")</f>
        <v/>
      </c>
      <c r="W525">
        <f>_xlfn.NUMBERVALUE("-0.006248")</f>
        <v/>
      </c>
      <c r="X525">
        <f>_xlfn.NUMBERVALUE("1.300000")</f>
        <v/>
      </c>
      <c r="Y525">
        <f>_xlfn.NUMBERVALUE("11.880000")</f>
        <v/>
      </c>
    </row>
    <row r="526">
      <c r="A526" s="1" t="n">
        <v>42766</v>
      </c>
      <c r="B526">
        <f>_xlfn.NUMBERVALUE("0.000000")</f>
        <v/>
      </c>
      <c r="C526" s="2">
        <f>_xlfn.NUMBERVALUE("0.001269")</f>
        <v/>
      </c>
      <c r="D526">
        <f>_xlfn.NUMBERVALUE("-0.000119")</f>
        <v/>
      </c>
      <c r="E526">
        <f>_xlfn.NUMBERVALUE("0.000051")</f>
        <v/>
      </c>
      <c r="F526">
        <f>_xlfn.NUMBERVALUE("-0.000017")</f>
        <v/>
      </c>
      <c r="G526">
        <f>_xlfn.NUMBERVALUE("0.000474")</f>
        <v/>
      </c>
      <c r="H526">
        <f>_xlfn.NUMBERVALUE("-0.000145")</f>
        <v/>
      </c>
      <c r="I526">
        <f>_xlfn.NUMBERVALUE("0.000038")</f>
        <v/>
      </c>
      <c r="J526">
        <f>_xlfn.NUMBERVALUE("0.000443")</f>
        <v/>
      </c>
      <c r="K526">
        <f>_xlfn.NUMBERVALUE("0.000133")</f>
        <v/>
      </c>
      <c r="L526">
        <f>_xlfn.NUMBERVALUE("0.001023")</f>
        <v/>
      </c>
      <c r="M526">
        <f>_xlfn.NUMBERVALUE("0.001525")</f>
        <v/>
      </c>
      <c r="N526">
        <f>_xlfn.NUMBERVALUE("0.000000")</f>
        <v/>
      </c>
      <c r="O526">
        <f>_xlfn.NUMBERVALUE("0.000032")</f>
        <v/>
      </c>
      <c r="P526">
        <f>_xlfn.NUMBERVALUE("0.000674")</f>
        <v/>
      </c>
      <c r="Q526">
        <f>_xlfn.NUMBERVALUE("0.000830")</f>
        <v/>
      </c>
      <c r="R526">
        <f>_xlfn.NUMBERVALUE("0.000978")</f>
        <v/>
      </c>
      <c r="S526">
        <f>_xlfn.NUMBERVALUE("0.000219")</f>
        <v/>
      </c>
      <c r="T526">
        <f>_xlfn.NUMBERVALUE("-0.005889")</f>
        <v/>
      </c>
      <c r="U526">
        <f>_xlfn.NUMBERVALUE("0.000228")</f>
        <v/>
      </c>
      <c r="V526">
        <f>_xlfn.NUMBERVALUE("0.000278")</f>
        <v/>
      </c>
      <c r="W526">
        <f>_xlfn.NUMBERVALUE("0.000264")</f>
        <v/>
      </c>
      <c r="X526">
        <f>_xlfn.NUMBERVALUE("0.110000")</f>
        <v/>
      </c>
      <c r="Y526">
        <f>_xlfn.NUMBERVALUE("11.990000")</f>
        <v/>
      </c>
    </row>
    <row r="527">
      <c r="A527" s="1" t="n">
        <v>42767</v>
      </c>
      <c r="B527">
        <f>_xlfn.NUMBERVALUE("0.000000")</f>
        <v/>
      </c>
      <c r="C527" s="2">
        <f>_xlfn.NUMBERVALUE("0.000401")</f>
        <v/>
      </c>
      <c r="D527">
        <f>_xlfn.NUMBERVALUE("-0.000068")</f>
        <v/>
      </c>
      <c r="E527">
        <f>_xlfn.NUMBERVALUE("-0.000034")</f>
        <v/>
      </c>
      <c r="F527">
        <f>_xlfn.NUMBERVALUE("0.000007")</f>
        <v/>
      </c>
      <c r="G527">
        <f>_xlfn.NUMBERVALUE("-0.000328")</f>
        <v/>
      </c>
      <c r="H527">
        <f>_xlfn.NUMBERVALUE("-0.000857")</f>
        <v/>
      </c>
      <c r="I527">
        <f>_xlfn.NUMBERVALUE("0.006997")</f>
        <v/>
      </c>
      <c r="J527">
        <f>_xlfn.NUMBERVALUE("-0.000446")</f>
        <v/>
      </c>
      <c r="K527">
        <f>_xlfn.NUMBERVALUE("-0.000136")</f>
        <v/>
      </c>
      <c r="L527">
        <f>_xlfn.NUMBERVALUE("0.001424")</f>
        <v/>
      </c>
      <c r="M527">
        <f>_xlfn.NUMBERVALUE("-0.000517")</f>
        <v/>
      </c>
      <c r="N527">
        <f>_xlfn.NUMBERVALUE("0.000000")</f>
        <v/>
      </c>
      <c r="O527">
        <f>_xlfn.NUMBERVALUE("-0.000021")</f>
        <v/>
      </c>
      <c r="P527">
        <f>_xlfn.NUMBERVALUE("0.002400")</f>
        <v/>
      </c>
      <c r="Q527">
        <f>_xlfn.NUMBERVALUE("0.002402")</f>
        <v/>
      </c>
      <c r="R527">
        <f>_xlfn.NUMBERVALUE("-0.000250")</f>
        <v/>
      </c>
      <c r="S527">
        <f>_xlfn.NUMBERVALUE("0.000638")</f>
        <v/>
      </c>
      <c r="T527">
        <f>_xlfn.NUMBERVALUE("-0.003418")</f>
        <v/>
      </c>
      <c r="U527">
        <f>_xlfn.NUMBERVALUE("0.001079")</f>
        <v/>
      </c>
      <c r="V527">
        <f>_xlfn.NUMBERVALUE("0.000014")</f>
        <v/>
      </c>
      <c r="W527">
        <f>_xlfn.NUMBERVALUE("0.000549")</f>
        <v/>
      </c>
      <c r="X527">
        <f>_xlfn.NUMBERVALUE("-0.180000")</f>
        <v/>
      </c>
      <c r="Y527">
        <f>_xlfn.NUMBERVALUE("11.810000")</f>
        <v/>
      </c>
    </row>
    <row r="528">
      <c r="A528" s="1" t="n">
        <v>42768</v>
      </c>
      <c r="B528">
        <f>_xlfn.NUMBERVALUE("0.000000")</f>
        <v/>
      </c>
      <c r="C528" s="2">
        <f>_xlfn.NUMBERVALUE("0.000235")</f>
        <v/>
      </c>
      <c r="D528">
        <f>_xlfn.NUMBERVALUE("0.001721")</f>
        <v/>
      </c>
      <c r="E528">
        <f>_xlfn.NUMBERVALUE("0.000952")</f>
        <v/>
      </c>
      <c r="F528">
        <f>_xlfn.NUMBERVALUE("-0.000385")</f>
        <v/>
      </c>
      <c r="G528">
        <f>_xlfn.NUMBERVALUE("0.000649")</f>
        <v/>
      </c>
      <c r="H528">
        <f>_xlfn.NUMBERVALUE("0.001029")</f>
        <v/>
      </c>
      <c r="I528">
        <f>_xlfn.NUMBERVALUE("0.000871")</f>
        <v/>
      </c>
      <c r="J528">
        <f>_xlfn.NUMBERVALUE("0.000629")</f>
        <v/>
      </c>
      <c r="K528">
        <f>_xlfn.NUMBERVALUE("0.002811")</f>
        <v/>
      </c>
      <c r="L528">
        <f>_xlfn.NUMBERVALUE("0.003917")</f>
        <v/>
      </c>
      <c r="M528">
        <f>_xlfn.NUMBERVALUE("0.001355")</f>
        <v/>
      </c>
      <c r="N528">
        <f>_xlfn.NUMBERVALUE("0.000000")</f>
        <v/>
      </c>
      <c r="O528">
        <f>_xlfn.NUMBERVALUE("0.000145")</f>
        <v/>
      </c>
      <c r="P528">
        <f>_xlfn.NUMBERVALUE("0.001386")</f>
        <v/>
      </c>
      <c r="Q528">
        <f>_xlfn.NUMBERVALUE("0.001771")</f>
        <v/>
      </c>
      <c r="R528">
        <f>_xlfn.NUMBERVALUE("0.000579")</f>
        <v/>
      </c>
      <c r="S528">
        <f>_xlfn.NUMBERVALUE("-0.000942")</f>
        <v/>
      </c>
      <c r="T528">
        <f>_xlfn.NUMBERVALUE("-0.000870")</f>
        <v/>
      </c>
      <c r="U528">
        <f>_xlfn.NUMBERVALUE("0.001102")</f>
        <v/>
      </c>
      <c r="V528">
        <f>_xlfn.NUMBERVALUE("0.000186")</f>
        <v/>
      </c>
      <c r="W528">
        <f>_xlfn.NUMBERVALUE("-0.000088")</f>
        <v/>
      </c>
      <c r="X528">
        <f>_xlfn.NUMBERVALUE("0.120000")</f>
        <v/>
      </c>
      <c r="Y528">
        <f>_xlfn.NUMBERVALUE("11.930000")</f>
        <v/>
      </c>
    </row>
    <row r="529">
      <c r="A529" s="1" t="n">
        <v>42769</v>
      </c>
      <c r="B529">
        <f>_xlfn.NUMBERVALUE("0.000000")</f>
        <v/>
      </c>
      <c r="C529" s="2">
        <f>_xlfn.NUMBERVALUE("-0.000856")</f>
        <v/>
      </c>
      <c r="D529">
        <f>_xlfn.NUMBERVALUE("0.002004")</f>
        <v/>
      </c>
      <c r="E529">
        <f>_xlfn.NUMBERVALUE("0.001065")</f>
        <v/>
      </c>
      <c r="F529">
        <f>_xlfn.NUMBERVALUE("0.000803")</f>
        <v/>
      </c>
      <c r="G529">
        <f>_xlfn.NUMBERVALUE("-0.000523")</f>
        <v/>
      </c>
      <c r="H529">
        <f>_xlfn.NUMBERVALUE("0.000711")</f>
        <v/>
      </c>
      <c r="I529">
        <f>_xlfn.NUMBERVALUE("-0.000709")</f>
        <v/>
      </c>
      <c r="J529">
        <f>_xlfn.NUMBERVALUE("0.001338")</f>
        <v/>
      </c>
      <c r="K529">
        <f>_xlfn.NUMBERVALUE("0.000031")</f>
        <v/>
      </c>
      <c r="L529">
        <f>_xlfn.NUMBERVALUE("0.001054")</f>
        <v/>
      </c>
      <c r="M529">
        <f>_xlfn.NUMBERVALUE("0.000433")</f>
        <v/>
      </c>
      <c r="N529">
        <f>_xlfn.NUMBERVALUE("0.000000")</f>
        <v/>
      </c>
      <c r="O529">
        <f>_xlfn.NUMBERVALUE("0.000069")</f>
        <v/>
      </c>
      <c r="P529">
        <f>_xlfn.NUMBERVALUE("-0.011898")</f>
        <v/>
      </c>
      <c r="Q529">
        <f>_xlfn.NUMBERVALUE("-0.001323")</f>
        <v/>
      </c>
      <c r="R529">
        <f>_xlfn.NUMBERVALUE("-0.000054")</f>
        <v/>
      </c>
      <c r="S529">
        <f>_xlfn.NUMBERVALUE("-0.000309")</f>
        <v/>
      </c>
      <c r="T529">
        <f>_xlfn.NUMBERVALUE("0.001818")</f>
        <v/>
      </c>
      <c r="U529">
        <f>_xlfn.NUMBERVALUE("0.001715")</f>
        <v/>
      </c>
      <c r="V529">
        <f>_xlfn.NUMBERVALUE("0.000097")</f>
        <v/>
      </c>
      <c r="W529">
        <f>_xlfn.NUMBERVALUE("0.007794")</f>
        <v/>
      </c>
      <c r="X529">
        <f>_xlfn.NUMBERVALUE("-0.960000")</f>
        <v/>
      </c>
      <c r="Y529">
        <f>_xlfn.NUMBERVALUE("10.970000")</f>
        <v/>
      </c>
    </row>
    <row r="530">
      <c r="A530" s="1" t="n">
        <v>42772</v>
      </c>
      <c r="B530">
        <f>_xlfn.NUMBERVALUE("0.000000")</f>
        <v/>
      </c>
      <c r="C530" s="2">
        <f>_xlfn.NUMBERVALUE("0.000802")</f>
        <v/>
      </c>
      <c r="D530">
        <f>_xlfn.NUMBERVALUE("0.001547")</f>
        <v/>
      </c>
      <c r="E530">
        <f>_xlfn.NUMBERVALUE("0.000262")</f>
        <v/>
      </c>
      <c r="F530">
        <f>_xlfn.NUMBERVALUE("-0.001223")</f>
        <v/>
      </c>
      <c r="G530">
        <f>_xlfn.NUMBERVALUE("0.000499")</f>
        <v/>
      </c>
      <c r="H530">
        <f>_xlfn.NUMBERVALUE("-0.000743")</f>
        <v/>
      </c>
      <c r="I530">
        <f>_xlfn.NUMBERVALUE("-0.000038")</f>
        <v/>
      </c>
      <c r="J530">
        <f>_xlfn.NUMBERVALUE("0.000077")</f>
        <v/>
      </c>
      <c r="K530">
        <f>_xlfn.NUMBERVALUE("0.000602")</f>
        <v/>
      </c>
      <c r="L530">
        <f>_xlfn.NUMBERVALUE("-0.000830")</f>
        <v/>
      </c>
      <c r="M530">
        <f>_xlfn.NUMBERVALUE("0.000033")</f>
        <v/>
      </c>
      <c r="N530">
        <f>_xlfn.NUMBERVALUE("0.000000")</f>
        <v/>
      </c>
      <c r="O530">
        <f>_xlfn.NUMBERVALUE("0.000004")</f>
        <v/>
      </c>
      <c r="P530">
        <f>_xlfn.NUMBERVALUE("0.007327")</f>
        <v/>
      </c>
      <c r="Q530">
        <f>_xlfn.NUMBERVALUE("0.002178")</f>
        <v/>
      </c>
      <c r="R530">
        <f>_xlfn.NUMBERVALUE("-0.000081")</f>
        <v/>
      </c>
      <c r="S530">
        <f>_xlfn.NUMBERVALUE("0.001183")</f>
        <v/>
      </c>
      <c r="T530">
        <f>_xlfn.NUMBERVALUE("0.004833")</f>
        <v/>
      </c>
      <c r="U530">
        <f>_xlfn.NUMBERVALUE("0.000824")</f>
        <v/>
      </c>
      <c r="V530">
        <f>_xlfn.NUMBERVALUE("0.000973")</f>
        <v/>
      </c>
      <c r="W530">
        <f>_xlfn.NUMBERVALUE("-0.003050")</f>
        <v/>
      </c>
      <c r="X530">
        <f>_xlfn.NUMBERVALUE("0.400000")</f>
        <v/>
      </c>
      <c r="Y530">
        <f>_xlfn.NUMBERVALUE("11.370000")</f>
        <v/>
      </c>
    </row>
    <row r="531">
      <c r="A531" s="1" t="n">
        <v>42773</v>
      </c>
      <c r="B531">
        <f>_xlfn.NUMBERVALUE("0.000000")</f>
        <v/>
      </c>
      <c r="C531" s="2">
        <f>_xlfn.NUMBERVALUE("-0.000172")</f>
        <v/>
      </c>
      <c r="D531">
        <f>_xlfn.NUMBERVALUE("-0.000459")</f>
        <v/>
      </c>
      <c r="E531">
        <f>_xlfn.NUMBERVALUE("0.000831")</f>
        <v/>
      </c>
      <c r="F531">
        <f>_xlfn.NUMBERVALUE("0.000574")</f>
        <v/>
      </c>
      <c r="G531">
        <f>_xlfn.NUMBERVALUE("0.000724")</f>
        <v/>
      </c>
      <c r="H531">
        <f>_xlfn.NUMBERVALUE("0.000345")</f>
        <v/>
      </c>
      <c r="I531">
        <f>_xlfn.NUMBERVALUE("0.000418")</f>
        <v/>
      </c>
      <c r="J531">
        <f>_xlfn.NUMBERVALUE("-0.000869")</f>
        <v/>
      </c>
      <c r="K531">
        <f>_xlfn.NUMBERVALUE("0.000019")</f>
        <v/>
      </c>
      <c r="L531">
        <f>_xlfn.NUMBERVALUE("-0.000108")</f>
        <v/>
      </c>
      <c r="M531">
        <f>_xlfn.NUMBERVALUE("0.000113")</f>
        <v/>
      </c>
      <c r="N531">
        <f>_xlfn.NUMBERVALUE("0.000000")</f>
        <v/>
      </c>
      <c r="O531">
        <f>_xlfn.NUMBERVALUE("-0.002996")</f>
        <v/>
      </c>
      <c r="P531">
        <f>_xlfn.NUMBERVALUE("0.001503")</f>
        <v/>
      </c>
      <c r="Q531">
        <f>_xlfn.NUMBERVALUE("0.000252")</f>
        <v/>
      </c>
      <c r="R531">
        <f>_xlfn.NUMBERVALUE("-0.000025")</f>
        <v/>
      </c>
      <c r="S531">
        <f>_xlfn.NUMBERVALUE("-0.000720")</f>
        <v/>
      </c>
      <c r="T531">
        <f>_xlfn.NUMBERVALUE("0.001510")</f>
        <v/>
      </c>
      <c r="U531">
        <f>_xlfn.NUMBERVALUE("0.000602")</f>
        <v/>
      </c>
      <c r="V531">
        <f>_xlfn.NUMBERVALUE("-0.000041")</f>
        <v/>
      </c>
      <c r="W531">
        <f>_xlfn.NUMBERVALUE("0.000262")</f>
        <v/>
      </c>
      <c r="X531">
        <f>_xlfn.NUMBERVALUE("-0.080000")</f>
        <v/>
      </c>
      <c r="Y531">
        <f>_xlfn.NUMBERVALUE("11.290000")</f>
        <v/>
      </c>
    </row>
    <row r="532">
      <c r="A532" s="1" t="n">
        <v>42774</v>
      </c>
      <c r="B532">
        <f>_xlfn.NUMBERVALUE("0.000000")</f>
        <v/>
      </c>
      <c r="C532" s="2">
        <f>_xlfn.NUMBERVALUE("0.000697")</f>
        <v/>
      </c>
      <c r="D532">
        <f>_xlfn.NUMBERVALUE("0.001084")</f>
        <v/>
      </c>
      <c r="E532">
        <f>_xlfn.NUMBERVALUE("0.000662")</f>
        <v/>
      </c>
      <c r="F532">
        <f>_xlfn.NUMBERVALUE("0.000216")</f>
        <v/>
      </c>
      <c r="G532">
        <f>_xlfn.NUMBERVALUE("0.000449")</f>
        <v/>
      </c>
      <c r="H532">
        <f>_xlfn.NUMBERVALUE("0.000024")</f>
        <v/>
      </c>
      <c r="I532">
        <f>_xlfn.NUMBERVALUE("0.001535")</f>
        <v/>
      </c>
      <c r="J532">
        <f>_xlfn.NUMBERVALUE("-0.000697")</f>
        <v/>
      </c>
      <c r="K532">
        <f>_xlfn.NUMBERVALUE("0.000223")</f>
        <v/>
      </c>
      <c r="L532">
        <f>_xlfn.NUMBERVALUE("-0.001435")</f>
        <v/>
      </c>
      <c r="M532">
        <f>_xlfn.NUMBERVALUE("0.000951")</f>
        <v/>
      </c>
      <c r="N532">
        <f>_xlfn.NUMBERVALUE("0.000000")</f>
        <v/>
      </c>
      <c r="O532">
        <f>_xlfn.NUMBERVALUE("-0.000004")</f>
        <v/>
      </c>
      <c r="P532">
        <f>_xlfn.NUMBERVALUE("0.000216")</f>
        <v/>
      </c>
      <c r="Q532">
        <f>_xlfn.NUMBERVALUE("0.001558")</f>
        <v/>
      </c>
      <c r="R532">
        <f>_xlfn.NUMBERVALUE("-0.000141")</f>
        <v/>
      </c>
      <c r="S532">
        <f>_xlfn.NUMBERVALUE("0.000182")</f>
        <v/>
      </c>
      <c r="T532">
        <f>_xlfn.NUMBERVALUE("-0.001292")</f>
        <v/>
      </c>
      <c r="U532">
        <f>_xlfn.NUMBERVALUE("-0.001002")</f>
        <v/>
      </c>
      <c r="V532">
        <f>_xlfn.NUMBERVALUE("0.000224")</f>
        <v/>
      </c>
      <c r="W532">
        <f>_xlfn.NUMBERVALUE("0.002054")</f>
        <v/>
      </c>
      <c r="X532">
        <f>_xlfn.NUMBERVALUE("0.160000")</f>
        <v/>
      </c>
      <c r="Y532">
        <f>_xlfn.NUMBERVALUE("11.450000")</f>
        <v/>
      </c>
    </row>
    <row r="533">
      <c r="A533" s="1" t="n">
        <v>42775</v>
      </c>
      <c r="B533">
        <f>_xlfn.NUMBERVALUE("0.000000")</f>
        <v/>
      </c>
      <c r="C533" s="2">
        <f>_xlfn.NUMBERVALUE("-0.000627")</f>
        <v/>
      </c>
      <c r="D533">
        <f>_xlfn.NUMBERVALUE("-0.001975")</f>
        <v/>
      </c>
      <c r="E533">
        <f>_xlfn.NUMBERVALUE("0.000325")</f>
        <v/>
      </c>
      <c r="F533">
        <f>_xlfn.NUMBERVALUE("0.000551")</f>
        <v/>
      </c>
      <c r="G533">
        <f>_xlfn.NUMBERVALUE("0.000631")</f>
        <v/>
      </c>
      <c r="H533">
        <f>_xlfn.NUMBERVALUE("0.000392")</f>
        <v/>
      </c>
      <c r="I533">
        <f>_xlfn.NUMBERVALUE("-0.001224")</f>
        <v/>
      </c>
      <c r="J533">
        <f>_xlfn.NUMBERVALUE("0.000765")</f>
        <v/>
      </c>
      <c r="K533">
        <f>_xlfn.NUMBERVALUE("0.002585")</f>
        <v/>
      </c>
      <c r="L533">
        <f>_xlfn.NUMBERVALUE("0.000437")</f>
        <v/>
      </c>
      <c r="M533">
        <f>_xlfn.NUMBERVALUE("0.001730")</f>
        <v/>
      </c>
      <c r="N533">
        <f>_xlfn.NUMBERVALUE("0.000000")</f>
        <v/>
      </c>
      <c r="O533">
        <f>_xlfn.NUMBERVALUE("0.000900")</f>
        <v/>
      </c>
      <c r="P533">
        <f>_xlfn.NUMBERVALUE("-0.001491")</f>
        <v/>
      </c>
      <c r="Q533">
        <f>_xlfn.NUMBERVALUE("0.000079")</f>
        <v/>
      </c>
      <c r="R533">
        <f>_xlfn.NUMBERVALUE("0.005183")</f>
        <v/>
      </c>
      <c r="S533">
        <f>_xlfn.NUMBERVALUE("-0.000511")</f>
        <v/>
      </c>
      <c r="T533">
        <f>_xlfn.NUMBERVALUE("0.000190")</f>
        <v/>
      </c>
      <c r="U533">
        <f>_xlfn.NUMBERVALUE("0.000435")</f>
        <v/>
      </c>
      <c r="V533">
        <f>_xlfn.NUMBERVALUE("-0.000374")</f>
        <v/>
      </c>
      <c r="W533">
        <f>_xlfn.NUMBERVALUE("0.005603")</f>
        <v/>
      </c>
      <c r="X533">
        <f>_xlfn.NUMBERVALUE("-0.570000")</f>
        <v/>
      </c>
      <c r="Y533">
        <f>_xlfn.NUMBERVALUE("10.880000")</f>
        <v/>
      </c>
    </row>
    <row r="534">
      <c r="A534" s="1" t="n">
        <v>42776</v>
      </c>
      <c r="B534">
        <f>_xlfn.NUMBERVALUE("0.000000")</f>
        <v/>
      </c>
      <c r="C534" s="2">
        <f>_xlfn.NUMBERVALUE("-0.000431")</f>
        <v/>
      </c>
      <c r="D534">
        <f>_xlfn.NUMBERVALUE("0.000696")</f>
        <v/>
      </c>
      <c r="E534">
        <f>_xlfn.NUMBERVALUE("0.000965")</f>
        <v/>
      </c>
      <c r="F534">
        <f>_xlfn.NUMBERVALUE("0.000460")</f>
        <v/>
      </c>
      <c r="G534">
        <f>_xlfn.NUMBERVALUE("0.000685")</f>
        <v/>
      </c>
      <c r="H534">
        <f>_xlfn.NUMBERVALUE("-0.000154")</f>
        <v/>
      </c>
      <c r="I534">
        <f>_xlfn.NUMBERVALUE("-0.000299")</f>
        <v/>
      </c>
      <c r="J534">
        <f>_xlfn.NUMBERVALUE("0.000250")</f>
        <v/>
      </c>
      <c r="K534">
        <f>_xlfn.NUMBERVALUE("-0.001761")</f>
        <v/>
      </c>
      <c r="L534">
        <f>_xlfn.NUMBERVALUE("0.001022")</f>
        <v/>
      </c>
      <c r="M534">
        <f>_xlfn.NUMBERVALUE("-0.000309")</f>
        <v/>
      </c>
      <c r="N534">
        <f>_xlfn.NUMBERVALUE("0.000000")</f>
        <v/>
      </c>
      <c r="O534">
        <f>_xlfn.NUMBERVALUE("0.001450")</f>
        <v/>
      </c>
      <c r="P534">
        <f>_xlfn.NUMBERVALUE("0.001395")</f>
        <v/>
      </c>
      <c r="Q534">
        <f>_xlfn.NUMBERVALUE("-0.000219")</f>
        <v/>
      </c>
      <c r="R534">
        <f>_xlfn.NUMBERVALUE("-0.004532")</f>
        <v/>
      </c>
      <c r="S534">
        <f>_xlfn.NUMBERVALUE("0.000115")</f>
        <v/>
      </c>
      <c r="T534">
        <f>_xlfn.NUMBERVALUE("0.001041")</f>
        <v/>
      </c>
      <c r="U534">
        <f>_xlfn.NUMBERVALUE("0.002552")</f>
        <v/>
      </c>
      <c r="V534">
        <f>_xlfn.NUMBERVALUE("-0.000027")</f>
        <v/>
      </c>
      <c r="W534">
        <f>_xlfn.NUMBERVALUE("0.003772")</f>
        <v/>
      </c>
      <c r="X534">
        <f>_xlfn.NUMBERVALUE("-0.030000")</f>
        <v/>
      </c>
      <c r="Y534">
        <f>_xlfn.NUMBERVALUE("10.850000")</f>
        <v/>
      </c>
    </row>
    <row r="535">
      <c r="A535" s="1" t="n">
        <v>42779</v>
      </c>
      <c r="B535">
        <f>_xlfn.NUMBERVALUE("0.000000")</f>
        <v/>
      </c>
      <c r="C535" s="2">
        <f>_xlfn.NUMBERVALUE("-0.000602")</f>
        <v/>
      </c>
      <c r="D535">
        <f>_xlfn.NUMBERVALUE("0.000235")</f>
        <v/>
      </c>
      <c r="E535">
        <f>_xlfn.NUMBERVALUE("-0.000164")</f>
        <v/>
      </c>
      <c r="F535">
        <f>_xlfn.NUMBERVALUE("0.001294")</f>
        <v/>
      </c>
      <c r="G535">
        <f>_xlfn.NUMBERVALUE("-0.000149")</f>
        <v/>
      </c>
      <c r="H535">
        <f>_xlfn.NUMBERVALUE("0.000937")</f>
        <v/>
      </c>
      <c r="I535">
        <f>_xlfn.NUMBERVALUE("0.001122")</f>
        <v/>
      </c>
      <c r="J535">
        <f>_xlfn.NUMBERVALUE("0.001162")</f>
        <v/>
      </c>
      <c r="K535">
        <f>_xlfn.NUMBERVALUE("0.001152")</f>
        <v/>
      </c>
      <c r="L535">
        <f>_xlfn.NUMBERVALUE("0.001384")</f>
        <v/>
      </c>
      <c r="M535">
        <f>_xlfn.NUMBERVALUE("0.000525")</f>
        <v/>
      </c>
      <c r="N535">
        <f>_xlfn.NUMBERVALUE("0.000000")</f>
        <v/>
      </c>
      <c r="O535">
        <f>_xlfn.NUMBERVALUE("0.001873")</f>
        <v/>
      </c>
      <c r="P535">
        <f>_xlfn.NUMBERVALUE("-0.001568")</f>
        <v/>
      </c>
      <c r="Q535">
        <f>_xlfn.NUMBERVALUE("-0.001913")</f>
        <v/>
      </c>
      <c r="R535">
        <f>_xlfn.NUMBERVALUE("0.000198")</f>
        <v/>
      </c>
      <c r="S535">
        <f>_xlfn.NUMBERVALUE("0.002122")</f>
        <v/>
      </c>
      <c r="T535">
        <f>_xlfn.NUMBERVALUE("-0.000312")</f>
        <v/>
      </c>
      <c r="U535">
        <f>_xlfn.NUMBERVALUE("-0.000028")</f>
        <v/>
      </c>
      <c r="V535">
        <f>_xlfn.NUMBERVALUE("-0.000553")</f>
        <v/>
      </c>
      <c r="W535">
        <f>_xlfn.NUMBERVALUE("0.005745")</f>
        <v/>
      </c>
      <c r="X535">
        <f>_xlfn.NUMBERVALUE("0.220000")</f>
        <v/>
      </c>
      <c r="Y535">
        <f>_xlfn.NUMBERVALUE("11.070000")</f>
        <v/>
      </c>
    </row>
    <row r="536">
      <c r="A536" s="1" t="n">
        <v>42780</v>
      </c>
      <c r="B536">
        <f>_xlfn.NUMBERVALUE("0.000000")</f>
        <v/>
      </c>
      <c r="C536" s="2">
        <f>_xlfn.NUMBERVALUE("0.000203")</f>
        <v/>
      </c>
      <c r="D536">
        <f>_xlfn.NUMBERVALUE("0.000927")</f>
        <v/>
      </c>
      <c r="E536">
        <f>_xlfn.NUMBERVALUE("0.000828")</f>
        <v/>
      </c>
      <c r="F536">
        <f>_xlfn.NUMBERVALUE("0.001149")</f>
        <v/>
      </c>
      <c r="G536">
        <f>_xlfn.NUMBERVALUE("0.000527")</f>
        <v/>
      </c>
      <c r="H536">
        <f>_xlfn.NUMBERVALUE("0.000642")</f>
        <v/>
      </c>
      <c r="I536">
        <f>_xlfn.NUMBERVALUE("0.001205")</f>
        <v/>
      </c>
      <c r="J536">
        <f>_xlfn.NUMBERVALUE("0.000295")</f>
        <v/>
      </c>
      <c r="K536">
        <f>_xlfn.NUMBERVALUE("0.001669")</f>
        <v/>
      </c>
      <c r="L536">
        <f>_xlfn.NUMBERVALUE("0.000674")</f>
        <v/>
      </c>
      <c r="M536">
        <f>_xlfn.NUMBERVALUE("0.000559")</f>
        <v/>
      </c>
      <c r="N536">
        <f>_xlfn.NUMBERVALUE("0.000000")</f>
        <v/>
      </c>
      <c r="O536">
        <f>_xlfn.NUMBERVALUE("0.001046")</f>
        <v/>
      </c>
      <c r="P536">
        <f>_xlfn.NUMBERVALUE("-0.001890")</f>
        <v/>
      </c>
      <c r="Q536">
        <f>_xlfn.NUMBERVALUE("-0.000079")</f>
        <v/>
      </c>
      <c r="R536">
        <f>_xlfn.NUMBERVALUE("0.000217")</f>
        <v/>
      </c>
      <c r="S536">
        <f>_xlfn.NUMBERVALUE("0.000055")</f>
        <v/>
      </c>
      <c r="T536">
        <f>_xlfn.NUMBERVALUE("0.000495")</f>
        <v/>
      </c>
      <c r="U536">
        <f>_xlfn.NUMBERVALUE("-0.002289")</f>
        <v/>
      </c>
      <c r="V536">
        <f>_xlfn.NUMBERVALUE("0.000637")</f>
        <v/>
      </c>
      <c r="W536">
        <f>_xlfn.NUMBERVALUE("0.003264")</f>
        <v/>
      </c>
      <c r="X536">
        <f>_xlfn.NUMBERVALUE("-0.330000")</f>
        <v/>
      </c>
      <c r="Y536">
        <f>_xlfn.NUMBERVALUE("10.740000")</f>
        <v/>
      </c>
    </row>
    <row r="537">
      <c r="A537" s="1" t="n">
        <v>42781</v>
      </c>
      <c r="B537">
        <f>_xlfn.NUMBERVALUE("0.000000")</f>
        <v/>
      </c>
      <c r="C537" s="2">
        <f>_xlfn.NUMBERVALUE("-0.001049")</f>
        <v/>
      </c>
      <c r="D537">
        <f>_xlfn.NUMBERVALUE("-0.000856")</f>
        <v/>
      </c>
      <c r="E537">
        <f>_xlfn.NUMBERVALUE("-0.000437")</f>
        <v/>
      </c>
      <c r="F537">
        <f>_xlfn.NUMBERVALUE("0.000709")</f>
        <v/>
      </c>
      <c r="G537">
        <f>_xlfn.NUMBERVALUE("-0.000052")</f>
        <v/>
      </c>
      <c r="H537">
        <f>_xlfn.NUMBERVALUE("0.000226")</f>
        <v/>
      </c>
      <c r="I537">
        <f>_xlfn.NUMBERVALUE("-0.001038")</f>
        <v/>
      </c>
      <c r="J537">
        <f>_xlfn.NUMBERVALUE("0.001041")</f>
        <v/>
      </c>
      <c r="K537">
        <f>_xlfn.NUMBERVALUE("0.001587")</f>
        <v/>
      </c>
      <c r="L537">
        <f>_xlfn.NUMBERVALUE("0.000976")</f>
        <v/>
      </c>
      <c r="M537">
        <f>_xlfn.NUMBERVALUE("0.000407")</f>
        <v/>
      </c>
      <c r="N537">
        <f>_xlfn.NUMBERVALUE("0.000000")</f>
        <v/>
      </c>
      <c r="O537">
        <f>_xlfn.NUMBERVALUE("0.000183")</f>
        <v/>
      </c>
      <c r="P537">
        <f>_xlfn.NUMBERVALUE("-0.000506")</f>
        <v/>
      </c>
      <c r="Q537">
        <f>_xlfn.NUMBERVALUE("0.000373")</f>
        <v/>
      </c>
      <c r="R537">
        <f>_xlfn.NUMBERVALUE("-0.000521")</f>
        <v/>
      </c>
      <c r="S537">
        <f>_xlfn.NUMBERVALUE("-0.002770")</f>
        <v/>
      </c>
      <c r="T537">
        <f>_xlfn.NUMBERVALUE("0.000096")</f>
        <v/>
      </c>
      <c r="U537">
        <f>_xlfn.NUMBERVALUE("-0.000424")</f>
        <v/>
      </c>
      <c r="V537">
        <f>_xlfn.NUMBERVALUE("-0.002184")</f>
        <v/>
      </c>
      <c r="W537">
        <f>_xlfn.NUMBERVALUE("0.005779")</f>
        <v/>
      </c>
      <c r="X537">
        <f>_xlfn.NUMBERVALUE("1.230000")</f>
        <v/>
      </c>
      <c r="Y537">
        <f>_xlfn.NUMBERVALUE("11.970000")</f>
        <v/>
      </c>
    </row>
    <row r="538">
      <c r="A538" s="1" t="n">
        <v>42782</v>
      </c>
      <c r="B538">
        <f>_xlfn.NUMBERVALUE("0.000000")</f>
        <v/>
      </c>
      <c r="C538" s="2">
        <f>_xlfn.NUMBERVALUE("-0.000637")</f>
        <v/>
      </c>
      <c r="D538">
        <f>_xlfn.NUMBERVALUE("0.000729")</f>
        <v/>
      </c>
      <c r="E538">
        <f>_xlfn.NUMBERVALUE("0.000387")</f>
        <v/>
      </c>
      <c r="F538">
        <f>_xlfn.NUMBERVALUE("0.000067")</f>
        <v/>
      </c>
      <c r="G538">
        <f>_xlfn.NUMBERVALUE("0.000408")</f>
        <v/>
      </c>
      <c r="H538">
        <f>_xlfn.NUMBERVALUE("-0.000406")</f>
        <v/>
      </c>
      <c r="I538">
        <f>_xlfn.NUMBERVALUE("0.001096")</f>
        <v/>
      </c>
      <c r="J538">
        <f>_xlfn.NUMBERVALUE("-0.000211")</f>
        <v/>
      </c>
      <c r="K538">
        <f>_xlfn.NUMBERVALUE("-0.000223")</f>
        <v/>
      </c>
      <c r="L538">
        <f>_xlfn.NUMBERVALUE("0.000010")</f>
        <v/>
      </c>
      <c r="M538">
        <f>_xlfn.NUMBERVALUE("0.001642")</f>
        <v/>
      </c>
      <c r="N538">
        <f>_xlfn.NUMBERVALUE("0.000000")</f>
        <v/>
      </c>
      <c r="O538">
        <f>_xlfn.NUMBERVALUE("-0.001945")</f>
        <v/>
      </c>
      <c r="P538">
        <f>_xlfn.NUMBERVALUE("0.000544")</f>
        <v/>
      </c>
      <c r="Q538">
        <f>_xlfn.NUMBERVALUE("-0.000338")</f>
        <v/>
      </c>
      <c r="R538">
        <f>_xlfn.NUMBERVALUE("-0.000204")</f>
        <v/>
      </c>
      <c r="S538">
        <f>_xlfn.NUMBERVALUE("0.000850")</f>
        <v/>
      </c>
      <c r="T538">
        <f>_xlfn.NUMBERVALUE("-0.000545")</f>
        <v/>
      </c>
      <c r="U538">
        <f>_xlfn.NUMBERVALUE("0.000126")</f>
        <v/>
      </c>
      <c r="V538">
        <f>_xlfn.NUMBERVALUE("0.000677")</f>
        <v/>
      </c>
      <c r="W538">
        <f>_xlfn.NUMBERVALUE("-0.001703")</f>
        <v/>
      </c>
      <c r="X538">
        <f>_xlfn.NUMBERVALUE("-0.210000")</f>
        <v/>
      </c>
      <c r="Y538">
        <f>_xlfn.NUMBERVALUE("11.760000")</f>
        <v/>
      </c>
    </row>
    <row r="539">
      <c r="A539" s="1" t="n">
        <v>42783</v>
      </c>
      <c r="B539">
        <f>_xlfn.NUMBERVALUE("0.000000")</f>
        <v/>
      </c>
      <c r="C539" s="2">
        <f>_xlfn.NUMBERVALUE("-0.001301")</f>
        <v/>
      </c>
      <c r="D539">
        <f>_xlfn.NUMBERVALUE("0.001509")</f>
        <v/>
      </c>
      <c r="E539">
        <f>_xlfn.NUMBERVALUE("0.001151")</f>
        <v/>
      </c>
      <c r="F539">
        <f>_xlfn.NUMBERVALUE("0.000882")</f>
        <v/>
      </c>
      <c r="G539">
        <f>_xlfn.NUMBERVALUE("0.000795")</f>
        <v/>
      </c>
      <c r="H539">
        <f>_xlfn.NUMBERVALUE("-0.000013")</f>
        <v/>
      </c>
      <c r="I539">
        <f>_xlfn.NUMBERVALUE("0.001469")</f>
        <v/>
      </c>
      <c r="J539">
        <f>_xlfn.NUMBERVALUE("0.000225")</f>
        <v/>
      </c>
      <c r="K539">
        <f>_xlfn.NUMBERVALUE("0.002561")</f>
        <v/>
      </c>
      <c r="L539">
        <f>_xlfn.NUMBERVALUE("-0.000403")</f>
        <v/>
      </c>
      <c r="M539">
        <f>_xlfn.NUMBERVALUE("0.000403")</f>
        <v/>
      </c>
      <c r="N539">
        <f>_xlfn.NUMBERVALUE("0.000000")</f>
        <v/>
      </c>
      <c r="O539">
        <f>_xlfn.NUMBERVALUE("0.000411")</f>
        <v/>
      </c>
      <c r="P539">
        <f>_xlfn.NUMBERVALUE("0.000828")</f>
        <v/>
      </c>
      <c r="Q539">
        <f>_xlfn.NUMBERVALUE("0.000882")</f>
        <v/>
      </c>
      <c r="R539">
        <f>_xlfn.NUMBERVALUE("-0.000317")</f>
        <v/>
      </c>
      <c r="S539">
        <f>_xlfn.NUMBERVALUE("0.000062")</f>
        <v/>
      </c>
      <c r="T539">
        <f>_xlfn.NUMBERVALUE("0.001049")</f>
        <v/>
      </c>
      <c r="U539">
        <f>_xlfn.NUMBERVALUE("0.000482")</f>
        <v/>
      </c>
      <c r="V539">
        <f>_xlfn.NUMBERVALUE("0.000151")</f>
        <v/>
      </c>
      <c r="W539">
        <f>_xlfn.NUMBERVALUE("0.001194")</f>
        <v/>
      </c>
      <c r="X539">
        <f>_xlfn.NUMBERVALUE("-0.270000")</f>
        <v/>
      </c>
      <c r="Y539">
        <f>_xlfn.NUMBERVALUE("11.490000")</f>
        <v/>
      </c>
    </row>
    <row r="540">
      <c r="A540" s="1" t="n">
        <v>42787</v>
      </c>
      <c r="B540">
        <f>_xlfn.NUMBERVALUE("0.000000")</f>
        <v/>
      </c>
      <c r="C540" s="2">
        <f>_xlfn.NUMBERVALUE("0.000347")</f>
        <v/>
      </c>
      <c r="D540">
        <f>_xlfn.NUMBERVALUE("-0.001735")</f>
        <v/>
      </c>
      <c r="E540">
        <f>_xlfn.NUMBERVALUE("0.001132")</f>
        <v/>
      </c>
      <c r="F540">
        <f>_xlfn.NUMBERVALUE("0.001394")</f>
        <v/>
      </c>
      <c r="G540">
        <f>_xlfn.NUMBERVALUE("-0.000135")</f>
        <v/>
      </c>
      <c r="H540">
        <f>_xlfn.NUMBERVALUE("0.000918")</f>
        <v/>
      </c>
      <c r="I540">
        <f>_xlfn.NUMBERVALUE("0.000175")</f>
        <v/>
      </c>
      <c r="J540">
        <f>_xlfn.NUMBERVALUE("0.000678")</f>
        <v/>
      </c>
      <c r="K540">
        <f>_xlfn.NUMBERVALUE("0.004444")</f>
        <v/>
      </c>
      <c r="L540">
        <f>_xlfn.NUMBERVALUE("0.001419")</f>
        <v/>
      </c>
      <c r="M540">
        <f>_xlfn.NUMBERVALUE("0.001213")</f>
        <v/>
      </c>
      <c r="N540">
        <f>_xlfn.NUMBERVALUE("0.000000")</f>
        <v/>
      </c>
      <c r="O540">
        <f>_xlfn.NUMBERVALUE("0.002259")</f>
        <v/>
      </c>
      <c r="P540">
        <f>_xlfn.NUMBERVALUE("0.001038")</f>
        <v/>
      </c>
      <c r="Q540">
        <f>_xlfn.NUMBERVALUE("-0.000186")</f>
        <v/>
      </c>
      <c r="R540">
        <f>_xlfn.NUMBERVALUE("0.001076")</f>
        <v/>
      </c>
      <c r="S540">
        <f>_xlfn.NUMBERVALUE("-0.000321")</f>
        <v/>
      </c>
      <c r="T540">
        <f>_xlfn.NUMBERVALUE("-0.001247")</f>
        <v/>
      </c>
      <c r="U540">
        <f>_xlfn.NUMBERVALUE("-0.000651")</f>
        <v/>
      </c>
      <c r="V540">
        <f>_xlfn.NUMBERVALUE("-0.000175")</f>
        <v/>
      </c>
      <c r="W540">
        <f>_xlfn.NUMBERVALUE("0.007751")</f>
        <v/>
      </c>
      <c r="X540">
        <f>_xlfn.NUMBERVALUE("0.080000")</f>
        <v/>
      </c>
      <c r="Y540">
        <f>_xlfn.NUMBERVALUE("11.570000")</f>
        <v/>
      </c>
    </row>
    <row r="541">
      <c r="A541" s="1" t="n">
        <v>42788</v>
      </c>
      <c r="B541">
        <f>_xlfn.NUMBERVALUE("0.000000")</f>
        <v/>
      </c>
      <c r="C541" s="2">
        <f>_xlfn.NUMBERVALUE("0.000119")</f>
        <v/>
      </c>
      <c r="D541">
        <f>_xlfn.NUMBERVALUE("0.000793")</f>
        <v/>
      </c>
      <c r="E541">
        <f>_xlfn.NUMBERVALUE("-0.000187")</f>
        <v/>
      </c>
      <c r="F541">
        <f>_xlfn.NUMBERVALUE("-0.000377")</f>
        <v/>
      </c>
      <c r="G541">
        <f>_xlfn.NUMBERVALUE("0.000567")</f>
        <v/>
      </c>
      <c r="H541">
        <f>_xlfn.NUMBERVALUE("0.000361")</f>
        <v/>
      </c>
      <c r="I541">
        <f>_xlfn.NUMBERVALUE("0.001107")</f>
        <v/>
      </c>
      <c r="J541">
        <f>_xlfn.NUMBERVALUE("0.000370")</f>
        <v/>
      </c>
      <c r="K541">
        <f>_xlfn.NUMBERVALUE("-0.000813")</f>
        <v/>
      </c>
      <c r="L541">
        <f>_xlfn.NUMBERVALUE("0.000609")</f>
        <v/>
      </c>
      <c r="M541">
        <f>_xlfn.NUMBERVALUE("-0.000235")</f>
        <v/>
      </c>
      <c r="N541">
        <f>_xlfn.NUMBERVALUE("0.000000")</f>
        <v/>
      </c>
      <c r="O541">
        <f>_xlfn.NUMBERVALUE("-0.003743")</f>
        <v/>
      </c>
      <c r="P541">
        <f>_xlfn.NUMBERVALUE("-0.000776")</f>
        <v/>
      </c>
      <c r="Q541">
        <f>_xlfn.NUMBERVALUE("0.000841")</f>
        <v/>
      </c>
      <c r="R541">
        <f>_xlfn.NUMBERVALUE("0.000374")</f>
        <v/>
      </c>
      <c r="S541">
        <f>_xlfn.NUMBERVALUE("0.003078")</f>
        <v/>
      </c>
      <c r="T541">
        <f>_xlfn.NUMBERVALUE("0.000306")</f>
        <v/>
      </c>
      <c r="U541">
        <f>_xlfn.NUMBERVALUE("0.001081")</f>
        <v/>
      </c>
      <c r="V541">
        <f>_xlfn.NUMBERVALUE("0.000683")</f>
        <v/>
      </c>
      <c r="W541">
        <f>_xlfn.NUMBERVALUE("-0.001479")</f>
        <v/>
      </c>
      <c r="X541">
        <f>_xlfn.NUMBERVALUE("0.170000")</f>
        <v/>
      </c>
      <c r="Y541">
        <f>_xlfn.NUMBERVALUE("11.740000")</f>
        <v/>
      </c>
    </row>
    <row r="542">
      <c r="A542" s="1" t="n">
        <v>42789</v>
      </c>
      <c r="B542">
        <f>_xlfn.NUMBERVALUE("0.000000")</f>
        <v/>
      </c>
      <c r="C542" s="2">
        <f>_xlfn.NUMBERVALUE("0.000111")</f>
        <v/>
      </c>
      <c r="D542">
        <f>_xlfn.NUMBERVALUE("-0.000279")</f>
        <v/>
      </c>
      <c r="E542">
        <f>_xlfn.NUMBERVALUE("-0.000059")</f>
        <v/>
      </c>
      <c r="F542">
        <f>_xlfn.NUMBERVALUE("-0.000512")</f>
        <v/>
      </c>
      <c r="G542">
        <f>_xlfn.NUMBERVALUE("-0.000240")</f>
        <v/>
      </c>
      <c r="H542">
        <f>_xlfn.NUMBERVALUE("-0.000210")</f>
        <v/>
      </c>
      <c r="I542">
        <f>_xlfn.NUMBERVALUE("0.000256")</f>
        <v/>
      </c>
      <c r="J542">
        <f>_xlfn.NUMBERVALUE("-0.000412")</f>
        <v/>
      </c>
      <c r="K542">
        <f>_xlfn.NUMBERVALUE("-0.000437")</f>
        <v/>
      </c>
      <c r="L542">
        <f>_xlfn.NUMBERVALUE("0.000628")</f>
        <v/>
      </c>
      <c r="M542">
        <f>_xlfn.NUMBERVALUE("0.001570")</f>
        <v/>
      </c>
      <c r="N542">
        <f>_xlfn.NUMBERVALUE("0.000000")</f>
        <v/>
      </c>
      <c r="O542">
        <f>_xlfn.NUMBERVALUE("0.001324")</f>
        <v/>
      </c>
      <c r="P542">
        <f>_xlfn.NUMBERVALUE("0.000839")</f>
        <v/>
      </c>
      <c r="Q542">
        <f>_xlfn.NUMBERVALUE("0.002941")</f>
        <v/>
      </c>
      <c r="R542">
        <f>_xlfn.NUMBERVALUE("0.003263")</f>
        <v/>
      </c>
      <c r="S542">
        <f>_xlfn.NUMBERVALUE("-0.003328")</f>
        <v/>
      </c>
      <c r="T542">
        <f>_xlfn.NUMBERVALUE("-0.000023")</f>
        <v/>
      </c>
      <c r="U542">
        <f>_xlfn.NUMBERVALUE("-0.001108")</f>
        <v/>
      </c>
      <c r="V542">
        <f>_xlfn.NUMBERVALUE("-0.000200")</f>
        <v/>
      </c>
      <c r="W542">
        <f>_xlfn.NUMBERVALUE("0.000169")</f>
        <v/>
      </c>
      <c r="X542">
        <f>_xlfn.NUMBERVALUE("-0.030000")</f>
        <v/>
      </c>
      <c r="Y542">
        <f>_xlfn.NUMBERVALUE("11.710000")</f>
        <v/>
      </c>
    </row>
    <row r="543">
      <c r="A543" s="1" t="n">
        <v>42790</v>
      </c>
      <c r="B543">
        <f>_xlfn.NUMBERVALUE("0.000000")</f>
        <v/>
      </c>
      <c r="C543" s="2">
        <f>_xlfn.NUMBERVALUE("0.000060")</f>
        <v/>
      </c>
      <c r="D543">
        <f>_xlfn.NUMBERVALUE("0.000211")</f>
        <v/>
      </c>
      <c r="E543">
        <f>_xlfn.NUMBERVALUE("-0.000534")</f>
        <v/>
      </c>
      <c r="F543">
        <f>_xlfn.NUMBERVALUE("-0.000137")</f>
        <v/>
      </c>
      <c r="G543">
        <f>_xlfn.NUMBERVALUE("0.000672")</f>
        <v/>
      </c>
      <c r="H543">
        <f>_xlfn.NUMBERVALUE("-0.000459")</f>
        <v/>
      </c>
      <c r="I543">
        <f>_xlfn.NUMBERVALUE("0.001206")</f>
        <v/>
      </c>
      <c r="J543">
        <f>_xlfn.NUMBERVALUE("-0.000365")</f>
        <v/>
      </c>
      <c r="K543">
        <f>_xlfn.NUMBERVALUE("0.001069")</f>
        <v/>
      </c>
      <c r="L543">
        <f>_xlfn.NUMBERVALUE("-0.001831")</f>
        <v/>
      </c>
      <c r="M543">
        <f>_xlfn.NUMBERVALUE("-0.000568")</f>
        <v/>
      </c>
      <c r="N543">
        <f>_xlfn.NUMBERVALUE("0.000000")</f>
        <v/>
      </c>
      <c r="O543">
        <f>_xlfn.NUMBERVALUE("-0.000708")</f>
        <v/>
      </c>
      <c r="P543">
        <f>_xlfn.NUMBERVALUE("0.001212")</f>
        <v/>
      </c>
      <c r="Q543">
        <f>_xlfn.NUMBERVALUE("-0.003932")</f>
        <v/>
      </c>
      <c r="R543">
        <f>_xlfn.NUMBERVALUE("-0.003538")</f>
        <v/>
      </c>
      <c r="S543">
        <f>_xlfn.NUMBERVALUE("0.000131")</f>
        <v/>
      </c>
      <c r="T543">
        <f>_xlfn.NUMBERVALUE("-0.001588")</f>
        <v/>
      </c>
      <c r="U543">
        <f>_xlfn.NUMBERVALUE("0.000581")</f>
        <v/>
      </c>
      <c r="V543">
        <f>_xlfn.NUMBERVALUE("0.000370")</f>
        <v/>
      </c>
      <c r="W543">
        <f>_xlfn.NUMBERVALUE("0.001092")</f>
        <v/>
      </c>
      <c r="X543">
        <f>_xlfn.NUMBERVALUE("-0.240000")</f>
        <v/>
      </c>
      <c r="Y543">
        <f>_xlfn.NUMBERVALUE("11.470000")</f>
        <v/>
      </c>
    </row>
    <row r="544">
      <c r="A544" s="1" t="n">
        <v>42793</v>
      </c>
      <c r="B544">
        <f>_xlfn.NUMBERVALUE("0.000000")</f>
        <v/>
      </c>
      <c r="C544" s="2">
        <f>_xlfn.NUMBERVALUE("0.000069")</f>
        <v/>
      </c>
      <c r="D544">
        <f>_xlfn.NUMBERVALUE("0.001770")</f>
        <v/>
      </c>
      <c r="E544">
        <f>_xlfn.NUMBERVALUE("0.001647")</f>
        <v/>
      </c>
      <c r="F544">
        <f>_xlfn.NUMBERVALUE("0.000258")</f>
        <v/>
      </c>
      <c r="G544">
        <f>_xlfn.NUMBERVALUE("0.000200")</f>
        <v/>
      </c>
      <c r="H544">
        <f>_xlfn.NUMBERVALUE("0.000302")</f>
        <v/>
      </c>
      <c r="I544">
        <f>_xlfn.NUMBERVALUE("-0.000590")</f>
        <v/>
      </c>
      <c r="J544">
        <f>_xlfn.NUMBERVALUE("-0.000396")</f>
        <v/>
      </c>
      <c r="K544">
        <f>_xlfn.NUMBERVALUE("-0.000333")</f>
        <v/>
      </c>
      <c r="L544">
        <f>_xlfn.NUMBERVALUE("0.001123")</f>
        <v/>
      </c>
      <c r="M544">
        <f>_xlfn.NUMBERVALUE("0.001705")</f>
        <v/>
      </c>
      <c r="N544">
        <f>_xlfn.NUMBERVALUE("0.000000")</f>
        <v/>
      </c>
      <c r="O544">
        <f>_xlfn.NUMBERVALUE("0.000763")</f>
        <v/>
      </c>
      <c r="P544">
        <f>_xlfn.NUMBERVALUE("-0.000438")</f>
        <v/>
      </c>
      <c r="Q544">
        <f>_xlfn.NUMBERVALUE("0.000128")</f>
        <v/>
      </c>
      <c r="R544">
        <f>_xlfn.NUMBERVALUE("0.000427")</f>
        <v/>
      </c>
      <c r="S544">
        <f>_xlfn.NUMBERVALUE("-0.000007")</f>
        <v/>
      </c>
      <c r="T544">
        <f>_xlfn.NUMBERVALUE("-0.000557")</f>
        <v/>
      </c>
      <c r="U544">
        <f>_xlfn.NUMBERVALUE("-0.000158")</f>
        <v/>
      </c>
      <c r="V544">
        <f>_xlfn.NUMBERVALUE("-0.001784")</f>
        <v/>
      </c>
      <c r="W544">
        <f>_xlfn.NUMBERVALUE("0.002206")</f>
        <v/>
      </c>
      <c r="X544">
        <f>_xlfn.NUMBERVALUE("0.620000")</f>
        <v/>
      </c>
      <c r="Y544">
        <f>_xlfn.NUMBERVALUE("12.090000")</f>
        <v/>
      </c>
    </row>
    <row r="545">
      <c r="A545" s="1" t="n">
        <v>42794</v>
      </c>
      <c r="B545">
        <f>_xlfn.NUMBERVALUE("0.000000")</f>
        <v/>
      </c>
      <c r="C545" s="2">
        <f>_xlfn.NUMBERVALUE("0.000002")</f>
        <v/>
      </c>
      <c r="D545">
        <f>_xlfn.NUMBERVALUE("-0.000015")</f>
        <v/>
      </c>
      <c r="E545">
        <f>_xlfn.NUMBERVALUE("0.001687")</f>
        <v/>
      </c>
      <c r="F545">
        <f>_xlfn.NUMBERVALUE("0.000072")</f>
        <v/>
      </c>
      <c r="G545">
        <f>_xlfn.NUMBERVALUE("0.000389")</f>
        <v/>
      </c>
      <c r="H545">
        <f>_xlfn.NUMBERVALUE("-0.000166")</f>
        <v/>
      </c>
      <c r="I545">
        <f>_xlfn.NUMBERVALUE("-0.000997")</f>
        <v/>
      </c>
      <c r="J545">
        <f>_xlfn.NUMBERVALUE("0.000079")</f>
        <v/>
      </c>
      <c r="K545">
        <f>_xlfn.NUMBERVALUE("0.000176")</f>
        <v/>
      </c>
      <c r="L545">
        <f>_xlfn.NUMBERVALUE("0.000408")</f>
        <v/>
      </c>
      <c r="M545">
        <f>_xlfn.NUMBERVALUE("-0.001874")</f>
        <v/>
      </c>
      <c r="N545">
        <f>_xlfn.NUMBERVALUE("0.000000")</f>
        <v/>
      </c>
      <c r="O545">
        <f>_xlfn.NUMBERVALUE("-0.001214")</f>
        <v/>
      </c>
      <c r="P545">
        <f>_xlfn.NUMBERVALUE("-0.000545")</f>
        <v/>
      </c>
      <c r="Q545">
        <f>_xlfn.NUMBERVALUE("0.000045")</f>
        <v/>
      </c>
      <c r="R545">
        <f>_xlfn.NUMBERVALUE("-0.000446")</f>
        <v/>
      </c>
      <c r="S545">
        <f>_xlfn.NUMBERVALUE("-0.000292")</f>
        <v/>
      </c>
      <c r="T545">
        <f>_xlfn.NUMBERVALUE("-0.000080")</f>
        <v/>
      </c>
      <c r="U545">
        <f>_xlfn.NUMBERVALUE("-0.000226")</f>
        <v/>
      </c>
      <c r="V545">
        <f>_xlfn.NUMBERVALUE("0.001945")</f>
        <v/>
      </c>
      <c r="W545">
        <f>_xlfn.NUMBERVALUE("-0.003079")</f>
        <v/>
      </c>
      <c r="X545">
        <f>_xlfn.NUMBERVALUE("0.830000")</f>
        <v/>
      </c>
      <c r="Y545">
        <f>_xlfn.NUMBERVALUE("12.920000")</f>
        <v/>
      </c>
    </row>
    <row r="546">
      <c r="A546" s="1" t="n">
        <v>42795</v>
      </c>
      <c r="B546">
        <f>_xlfn.NUMBERVALUE("0.000000")</f>
        <v/>
      </c>
      <c r="C546" s="2">
        <f>_xlfn.NUMBERVALUE("-0.000015")</f>
        <v/>
      </c>
      <c r="D546">
        <f>_xlfn.NUMBERVALUE("-0.001451")</f>
        <v/>
      </c>
      <c r="E546">
        <f>_xlfn.NUMBERVALUE("-0.004683")</f>
        <v/>
      </c>
      <c r="F546">
        <f>_xlfn.NUMBERVALUE("0.000054")</f>
        <v/>
      </c>
      <c r="G546">
        <f>_xlfn.NUMBERVALUE("-0.002298")</f>
        <v/>
      </c>
      <c r="H546">
        <f>_xlfn.NUMBERVALUE("-0.000992")</f>
        <v/>
      </c>
      <c r="I546">
        <f>_xlfn.NUMBERVALUE("-0.003437")</f>
        <v/>
      </c>
      <c r="J546">
        <f>_xlfn.NUMBERVALUE("-0.000582")</f>
        <v/>
      </c>
      <c r="K546">
        <f>_xlfn.NUMBERVALUE("-0.000122")</f>
        <v/>
      </c>
      <c r="L546">
        <f>_xlfn.NUMBERVALUE("-0.003390")</f>
        <v/>
      </c>
      <c r="M546">
        <f>_xlfn.NUMBERVALUE("-0.005331")</f>
        <v/>
      </c>
      <c r="N546">
        <f>_xlfn.NUMBERVALUE("0.000000")</f>
        <v/>
      </c>
      <c r="O546">
        <f>_xlfn.NUMBERVALUE("-0.003032")</f>
        <v/>
      </c>
      <c r="P546">
        <f>_xlfn.NUMBERVALUE("-0.003702")</f>
        <v/>
      </c>
      <c r="Q546">
        <f>_xlfn.NUMBERVALUE("-0.001391")</f>
        <v/>
      </c>
      <c r="R546">
        <f>_xlfn.NUMBERVALUE("-0.000755")</f>
        <v/>
      </c>
      <c r="S546">
        <f>_xlfn.NUMBERVALUE("0.000107")</f>
        <v/>
      </c>
      <c r="T546">
        <f>_xlfn.NUMBERVALUE("0.000376")</f>
        <v/>
      </c>
      <c r="U546">
        <f>_xlfn.NUMBERVALUE("-0.000632")</f>
        <v/>
      </c>
      <c r="V546">
        <f>_xlfn.NUMBERVALUE("-0.000169")</f>
        <v/>
      </c>
      <c r="W546">
        <f>_xlfn.NUMBERVALUE("0.015949")</f>
        <v/>
      </c>
      <c r="X546">
        <f>_xlfn.NUMBERVALUE("-0.380000")</f>
        <v/>
      </c>
      <c r="Y546">
        <f>_xlfn.NUMBERVALUE("12.540000")</f>
        <v/>
      </c>
    </row>
    <row r="547">
      <c r="A547" s="1" t="n">
        <v>42796</v>
      </c>
      <c r="B547">
        <f>_xlfn.NUMBERVALUE("0.000000")</f>
        <v/>
      </c>
      <c r="C547" s="2">
        <f>_xlfn.NUMBERVALUE("0.000046")</f>
        <v/>
      </c>
      <c r="D547">
        <f>_xlfn.NUMBERVALUE("-0.000288")</f>
        <v/>
      </c>
      <c r="E547">
        <f>_xlfn.NUMBERVALUE("0.000033")</f>
        <v/>
      </c>
      <c r="F547">
        <f>_xlfn.NUMBERVALUE("0.000065")</f>
        <v/>
      </c>
      <c r="G547">
        <f>_xlfn.NUMBERVALUE("0.000219")</f>
        <v/>
      </c>
      <c r="H547">
        <f>_xlfn.NUMBERVALUE("0.000862")</f>
        <v/>
      </c>
      <c r="I547">
        <f>_xlfn.NUMBERVALUE("0.000293")</f>
        <v/>
      </c>
      <c r="J547">
        <f>_xlfn.NUMBERVALUE("0.000932")</f>
        <v/>
      </c>
      <c r="K547">
        <f>_xlfn.NUMBERVALUE("-0.000562")</f>
        <v/>
      </c>
      <c r="L547">
        <f>_xlfn.NUMBERVALUE("0.000629")</f>
        <v/>
      </c>
      <c r="M547">
        <f>_xlfn.NUMBERVALUE("-0.000159")</f>
        <v/>
      </c>
      <c r="N547">
        <f>_xlfn.NUMBERVALUE("0.000000")</f>
        <v/>
      </c>
      <c r="O547">
        <f>_xlfn.NUMBERVALUE("-0.000310")</f>
        <v/>
      </c>
      <c r="P547">
        <f>_xlfn.NUMBERVALUE("0.000239")</f>
        <v/>
      </c>
      <c r="Q547">
        <f>_xlfn.NUMBERVALUE("0.000169")</f>
        <v/>
      </c>
      <c r="R547">
        <f>_xlfn.NUMBERVALUE("0.000005")</f>
        <v/>
      </c>
      <c r="S547">
        <f>_xlfn.NUMBERVALUE("0.000093")</f>
        <v/>
      </c>
      <c r="T547">
        <f>_xlfn.NUMBERVALUE("-0.000049")</f>
        <v/>
      </c>
      <c r="U547">
        <f>_xlfn.NUMBERVALUE("0.000537")</f>
        <v/>
      </c>
      <c r="V547">
        <f>_xlfn.NUMBERVALUE("0.000008")</f>
        <v/>
      </c>
      <c r="W547">
        <f>_xlfn.NUMBERVALUE("-0.007245")</f>
        <v/>
      </c>
      <c r="X547">
        <f>_xlfn.NUMBERVALUE("-0.730000")</f>
        <v/>
      </c>
      <c r="Y547">
        <f>_xlfn.NUMBERVALUE("11.810000")</f>
        <v/>
      </c>
    </row>
    <row r="548">
      <c r="A548" s="1" t="n">
        <v>42797</v>
      </c>
      <c r="B548">
        <f>_xlfn.NUMBERVALUE("0.000000")</f>
        <v/>
      </c>
      <c r="C548" s="2">
        <f>_xlfn.NUMBERVALUE("-0.000053")</f>
        <v/>
      </c>
      <c r="D548">
        <f>_xlfn.NUMBERVALUE("-0.000447")</f>
        <v/>
      </c>
      <c r="E548">
        <f>_xlfn.NUMBERVALUE("-0.000565")</f>
        <v/>
      </c>
      <c r="F548">
        <f>_xlfn.NUMBERVALUE("0.000027")</f>
        <v/>
      </c>
      <c r="G548">
        <f>_xlfn.NUMBERVALUE("-0.000001")</f>
        <v/>
      </c>
      <c r="H548">
        <f>_xlfn.NUMBERVALUE("0.001955")</f>
        <v/>
      </c>
      <c r="I548">
        <f>_xlfn.NUMBERVALUE("0.000151")</f>
        <v/>
      </c>
      <c r="J548">
        <f>_xlfn.NUMBERVALUE("0.000491")</f>
        <v/>
      </c>
      <c r="K548">
        <f>_xlfn.NUMBERVALUE("-0.000626")</f>
        <v/>
      </c>
      <c r="L548">
        <f>_xlfn.NUMBERVALUE("0.002300")</f>
        <v/>
      </c>
      <c r="M548">
        <f>_xlfn.NUMBERVALUE("0.002442")</f>
        <v/>
      </c>
      <c r="N548">
        <f>_xlfn.NUMBERVALUE("0.000000")</f>
        <v/>
      </c>
      <c r="O548">
        <f>_xlfn.NUMBERVALUE("0.002198")</f>
        <v/>
      </c>
      <c r="P548">
        <f>_xlfn.NUMBERVALUE("0.000009")</f>
        <v/>
      </c>
      <c r="Q548">
        <f>_xlfn.NUMBERVALUE("-0.000065")</f>
        <v/>
      </c>
      <c r="R548">
        <f>_xlfn.NUMBERVALUE("-0.000088")</f>
        <v/>
      </c>
      <c r="S548">
        <f>_xlfn.NUMBERVALUE("-0.000394")</f>
        <v/>
      </c>
      <c r="T548">
        <f>_xlfn.NUMBERVALUE("-0.000123")</f>
        <v/>
      </c>
      <c r="U548">
        <f>_xlfn.NUMBERVALUE("-0.000102")</f>
        <v/>
      </c>
      <c r="V548">
        <f>_xlfn.NUMBERVALUE("-0.000003")</f>
        <v/>
      </c>
      <c r="W548">
        <f>_xlfn.NUMBERVALUE("-0.000105")</f>
        <v/>
      </c>
      <c r="X548">
        <f>_xlfn.NUMBERVALUE("-0.850000")</f>
        <v/>
      </c>
      <c r="Y548">
        <f>_xlfn.NUMBERVALUE("10.960000")</f>
        <v/>
      </c>
    </row>
    <row r="549">
      <c r="A549" s="1" t="n">
        <v>42800</v>
      </c>
      <c r="B549">
        <f>_xlfn.NUMBERVALUE("0.000000")</f>
        <v/>
      </c>
      <c r="C549" s="2">
        <f>_xlfn.NUMBERVALUE("0.001510")</f>
        <v/>
      </c>
      <c r="D549">
        <f>_xlfn.NUMBERVALUE("-0.001070")</f>
        <v/>
      </c>
      <c r="E549">
        <f>_xlfn.NUMBERVALUE("0.000919")</f>
        <v/>
      </c>
      <c r="F549">
        <f>_xlfn.NUMBERVALUE("0.001804")</f>
        <v/>
      </c>
      <c r="G549">
        <f>_xlfn.NUMBERVALUE("-0.000240")</f>
        <v/>
      </c>
      <c r="H549">
        <f>_xlfn.NUMBERVALUE("0.000856")</f>
        <v/>
      </c>
      <c r="I549">
        <f>_xlfn.NUMBERVALUE("0.001233")</f>
        <v/>
      </c>
      <c r="J549">
        <f>_xlfn.NUMBERVALUE("-0.000090")</f>
        <v/>
      </c>
      <c r="K549">
        <f>_xlfn.NUMBERVALUE("0.002357")</f>
        <v/>
      </c>
      <c r="L549">
        <f>_xlfn.NUMBERVALUE("0.006281")</f>
        <v/>
      </c>
      <c r="M549">
        <f>_xlfn.NUMBERVALUE("0.002526")</f>
        <v/>
      </c>
      <c r="N549">
        <f>_xlfn.NUMBERVALUE("0.000000")</f>
        <v/>
      </c>
      <c r="O549">
        <f>_xlfn.NUMBERVALUE("0.002226")</f>
        <v/>
      </c>
      <c r="P549">
        <f>_xlfn.NUMBERVALUE("0.000304")</f>
        <v/>
      </c>
      <c r="Q549">
        <f>_xlfn.NUMBERVALUE("0.000226")</f>
        <v/>
      </c>
      <c r="R549">
        <f>_xlfn.NUMBERVALUE("0.000031")</f>
        <v/>
      </c>
      <c r="S549">
        <f>_xlfn.NUMBERVALUE("0.000255")</f>
        <v/>
      </c>
      <c r="T549">
        <f>_xlfn.NUMBERVALUE("0.000272")</f>
        <v/>
      </c>
      <c r="U549">
        <f>_xlfn.NUMBERVALUE("0.000240")</f>
        <v/>
      </c>
      <c r="V549">
        <f>_xlfn.NUMBERVALUE("0.001471")</f>
        <v/>
      </c>
      <c r="W549">
        <f>_xlfn.NUMBERVALUE("-0.001280")</f>
        <v/>
      </c>
      <c r="X549">
        <f>_xlfn.NUMBERVALUE("0.280000")</f>
        <v/>
      </c>
      <c r="Y549">
        <f>_xlfn.NUMBERVALUE("11.240000")</f>
        <v/>
      </c>
    </row>
    <row r="550">
      <c r="A550" s="1" t="n">
        <v>42801</v>
      </c>
      <c r="B550">
        <f>_xlfn.NUMBERVALUE("0.000000")</f>
        <v/>
      </c>
      <c r="C550" s="2">
        <f>_xlfn.NUMBERVALUE("0.000701")</f>
        <v/>
      </c>
      <c r="D550">
        <f>_xlfn.NUMBERVALUE("0.001947")</f>
        <v/>
      </c>
      <c r="E550">
        <f>_xlfn.NUMBERVALUE("0.000991")</f>
        <v/>
      </c>
      <c r="F550">
        <f>_xlfn.NUMBERVALUE("-0.000562")</f>
        <v/>
      </c>
      <c r="G550">
        <f>_xlfn.NUMBERVALUE("-0.000559")</f>
        <v/>
      </c>
      <c r="H550">
        <f>_xlfn.NUMBERVALUE("-0.000228")</f>
        <v/>
      </c>
      <c r="I550">
        <f>_xlfn.NUMBERVALUE("0.001786")</f>
        <v/>
      </c>
      <c r="J550">
        <f>_xlfn.NUMBERVALUE("-0.000491")</f>
        <v/>
      </c>
      <c r="K550">
        <f>_xlfn.NUMBERVALUE("-0.000802")</f>
        <v/>
      </c>
      <c r="L550">
        <f>_xlfn.NUMBERVALUE("0.000502")</f>
        <v/>
      </c>
      <c r="M550">
        <f>_xlfn.NUMBERVALUE("0.001622")</f>
        <v/>
      </c>
      <c r="N550">
        <f>_xlfn.NUMBERVALUE("0.000000")</f>
        <v/>
      </c>
      <c r="O550">
        <f>_xlfn.NUMBERVALUE("-0.000456")</f>
        <v/>
      </c>
      <c r="P550">
        <f>_xlfn.NUMBERVALUE("-0.000081")</f>
        <v/>
      </c>
      <c r="Q550">
        <f>_xlfn.NUMBERVALUE("0.000385")</f>
        <v/>
      </c>
      <c r="R550">
        <f>_xlfn.NUMBERVALUE("0.000122")</f>
        <v/>
      </c>
      <c r="S550">
        <f>_xlfn.NUMBERVALUE("0.000172")</f>
        <v/>
      </c>
      <c r="T550">
        <f>_xlfn.NUMBERVALUE("0.000060")</f>
        <v/>
      </c>
      <c r="U550">
        <f>_xlfn.NUMBERVALUE("0.000059")</f>
        <v/>
      </c>
      <c r="V550">
        <f>_xlfn.NUMBERVALUE("0.000426")</f>
        <v/>
      </c>
      <c r="W550">
        <f>_xlfn.NUMBERVALUE("-0.004810")</f>
        <v/>
      </c>
      <c r="X550">
        <f>_xlfn.NUMBERVALUE("0.210000")</f>
        <v/>
      </c>
      <c r="Y550">
        <f>_xlfn.NUMBERVALUE("11.450000")</f>
        <v/>
      </c>
    </row>
    <row r="551">
      <c r="A551" s="1" t="n">
        <v>42802</v>
      </c>
      <c r="B551">
        <f>_xlfn.NUMBERVALUE("0.000000")</f>
        <v/>
      </c>
      <c r="C551" s="2">
        <f>_xlfn.NUMBERVALUE("0.000177")</f>
        <v/>
      </c>
      <c r="D551">
        <f>_xlfn.NUMBERVALUE("-0.000117")</f>
        <v/>
      </c>
      <c r="E551">
        <f>_xlfn.NUMBERVALUE("0.000080")</f>
        <v/>
      </c>
      <c r="F551">
        <f>_xlfn.NUMBERVALUE("-0.000848")</f>
        <v/>
      </c>
      <c r="G551">
        <f>_xlfn.NUMBERVALUE("-0.001339")</f>
        <v/>
      </c>
      <c r="H551">
        <f>_xlfn.NUMBERVALUE("0.000200")</f>
        <v/>
      </c>
      <c r="I551">
        <f>_xlfn.NUMBERVALUE("-0.000068")</f>
        <v/>
      </c>
      <c r="J551">
        <f>_xlfn.NUMBERVALUE("-0.000447")</f>
        <v/>
      </c>
      <c r="K551">
        <f>_xlfn.NUMBERVALUE("-0.003008")</f>
        <v/>
      </c>
      <c r="L551">
        <f>_xlfn.NUMBERVALUE("-0.000626")</f>
        <v/>
      </c>
      <c r="M551">
        <f>_xlfn.NUMBERVALUE("0.003378")</f>
        <v/>
      </c>
      <c r="N551">
        <f>_xlfn.NUMBERVALUE("0.000000")</f>
        <v/>
      </c>
      <c r="O551">
        <f>_xlfn.NUMBERVALUE("-0.000438")</f>
        <v/>
      </c>
      <c r="P551">
        <f>_xlfn.NUMBERVALUE("0.000057")</f>
        <v/>
      </c>
      <c r="Q551">
        <f>_xlfn.NUMBERVALUE("-0.000287")</f>
        <v/>
      </c>
      <c r="R551">
        <f>_xlfn.NUMBERVALUE("0.000006")</f>
        <v/>
      </c>
      <c r="S551">
        <f>_xlfn.NUMBERVALUE("0.000083")</f>
        <v/>
      </c>
      <c r="T551">
        <f>_xlfn.NUMBERVALUE("0.000075")</f>
        <v/>
      </c>
      <c r="U551">
        <f>_xlfn.NUMBERVALUE("0.000033")</f>
        <v/>
      </c>
      <c r="V551">
        <f>_xlfn.NUMBERVALUE("0.000056")</f>
        <v/>
      </c>
      <c r="W551">
        <f>_xlfn.NUMBERVALUE("-0.001097")</f>
        <v/>
      </c>
      <c r="X551">
        <f>_xlfn.NUMBERVALUE("0.410000")</f>
        <v/>
      </c>
      <c r="Y551">
        <f>_xlfn.NUMBERVALUE("11.860000")</f>
        <v/>
      </c>
    </row>
    <row r="552">
      <c r="A552" s="1" t="n">
        <v>42803</v>
      </c>
      <c r="B552">
        <f>_xlfn.NUMBERVALUE("0.000000")</f>
        <v/>
      </c>
      <c r="C552" s="2">
        <f>_xlfn.NUMBERVALUE("-0.000164")</f>
        <v/>
      </c>
      <c r="D552">
        <f>_xlfn.NUMBERVALUE("-0.001263")</f>
        <v/>
      </c>
      <c r="E552">
        <f>_xlfn.NUMBERVALUE("0.000049")</f>
        <v/>
      </c>
      <c r="F552">
        <f>_xlfn.NUMBERVALUE("-0.000349")</f>
        <v/>
      </c>
      <c r="G552">
        <f>_xlfn.NUMBERVALUE("-0.000676")</f>
        <v/>
      </c>
      <c r="H552">
        <f>_xlfn.NUMBERVALUE("-0.000054")</f>
        <v/>
      </c>
      <c r="I552">
        <f>_xlfn.NUMBERVALUE("-0.000132")</f>
        <v/>
      </c>
      <c r="J552">
        <f>_xlfn.NUMBERVALUE("-0.000704")</f>
        <v/>
      </c>
      <c r="K552">
        <f>_xlfn.NUMBERVALUE("-0.003570")</f>
        <v/>
      </c>
      <c r="L552">
        <f>_xlfn.NUMBERVALUE("-0.000415")</f>
        <v/>
      </c>
      <c r="M552">
        <f>_xlfn.NUMBERVALUE("0.000844")</f>
        <v/>
      </c>
      <c r="N552">
        <f>_xlfn.NUMBERVALUE("0.000000")</f>
        <v/>
      </c>
      <c r="O552">
        <f>_xlfn.NUMBERVALUE("0.000218")</f>
        <v/>
      </c>
      <c r="P552">
        <f>_xlfn.NUMBERVALUE("0.001023")</f>
        <v/>
      </c>
      <c r="Q552">
        <f>_xlfn.NUMBERVALUE("-0.000556")</f>
        <v/>
      </c>
      <c r="R552">
        <f>_xlfn.NUMBERVALUE("0.000447")</f>
        <v/>
      </c>
      <c r="S552">
        <f>_xlfn.NUMBERVALUE("-0.000446")</f>
        <v/>
      </c>
      <c r="T552">
        <f>_xlfn.NUMBERVALUE("0.000326")</f>
        <v/>
      </c>
      <c r="U552">
        <f>_xlfn.NUMBERVALUE("-0.000009")</f>
        <v/>
      </c>
      <c r="V552">
        <f>_xlfn.NUMBERVALUE("-0.000061")</f>
        <v/>
      </c>
      <c r="W552">
        <f>_xlfn.NUMBERVALUE("0.001183")</f>
        <v/>
      </c>
      <c r="X552">
        <f>_xlfn.NUMBERVALUE("0.440000")</f>
        <v/>
      </c>
      <c r="Y552">
        <f>_xlfn.NUMBERVALUE("12.300000")</f>
        <v/>
      </c>
    </row>
    <row r="553">
      <c r="A553" s="1" t="n">
        <v>42804</v>
      </c>
      <c r="B553">
        <f>_xlfn.NUMBERVALUE("0.000000")</f>
        <v/>
      </c>
      <c r="C553" s="2">
        <f>_xlfn.NUMBERVALUE("0.001236")</f>
        <v/>
      </c>
      <c r="D553">
        <f>_xlfn.NUMBERVALUE("0.001402")</f>
        <v/>
      </c>
      <c r="E553">
        <f>_xlfn.NUMBERVALUE("-0.001168")</f>
        <v/>
      </c>
      <c r="F553">
        <f>_xlfn.NUMBERVALUE("0.001407")</f>
        <v/>
      </c>
      <c r="G553">
        <f>_xlfn.NUMBERVALUE("0.000815")</f>
        <v/>
      </c>
      <c r="H553">
        <f>_xlfn.NUMBERVALUE("0.000662")</f>
        <v/>
      </c>
      <c r="I553">
        <f>_xlfn.NUMBERVALUE("0.002422")</f>
        <v/>
      </c>
      <c r="J553">
        <f>_xlfn.NUMBERVALUE("0.000608")</f>
        <v/>
      </c>
      <c r="K553">
        <f>_xlfn.NUMBERVALUE("0.002263")</f>
        <v/>
      </c>
      <c r="L553">
        <f>_xlfn.NUMBERVALUE("0.001626")</f>
        <v/>
      </c>
      <c r="M553">
        <f>_xlfn.NUMBERVALUE("0.000109")</f>
        <v/>
      </c>
      <c r="N553">
        <f>_xlfn.NUMBERVALUE("0.000000")</f>
        <v/>
      </c>
      <c r="O553">
        <f>_xlfn.NUMBERVALUE("0.003614")</f>
        <v/>
      </c>
      <c r="P553">
        <f>_xlfn.NUMBERVALUE("0.003644")</f>
        <v/>
      </c>
      <c r="Q553">
        <f>_xlfn.NUMBERVALUE("0.001389")</f>
        <v/>
      </c>
      <c r="R553">
        <f>_xlfn.NUMBERVALUE("-0.000116")</f>
        <v/>
      </c>
      <c r="S553">
        <f>_xlfn.NUMBERVALUE("0.000255")</f>
        <v/>
      </c>
      <c r="T553">
        <f>_xlfn.NUMBERVALUE("0.002290")</f>
        <v/>
      </c>
      <c r="U553">
        <f>_xlfn.NUMBERVALUE("0.001018")</f>
        <v/>
      </c>
      <c r="V553">
        <f>_xlfn.NUMBERVALUE("0.001358")</f>
        <v/>
      </c>
      <c r="W553">
        <f>_xlfn.NUMBERVALUE("0.002216")</f>
        <v/>
      </c>
      <c r="X553">
        <f>_xlfn.NUMBERVALUE("-0.640000")</f>
        <v/>
      </c>
      <c r="Y553">
        <f>_xlfn.NUMBERVALUE("11.660000")</f>
        <v/>
      </c>
    </row>
    <row r="554">
      <c r="A554" s="1" t="n">
        <v>42807</v>
      </c>
      <c r="B554">
        <f>_xlfn.NUMBERVALUE("0.000000")</f>
        <v/>
      </c>
      <c r="C554" s="2">
        <f>_xlfn.NUMBERVALUE("0.001373")</f>
        <v/>
      </c>
      <c r="D554">
        <f>_xlfn.NUMBERVALUE("-0.003006")</f>
        <v/>
      </c>
      <c r="E554">
        <f>_xlfn.NUMBERVALUE("-0.000905")</f>
        <v/>
      </c>
      <c r="F554">
        <f>_xlfn.NUMBERVALUE("0.001040")</f>
        <v/>
      </c>
      <c r="G554">
        <f>_xlfn.NUMBERVALUE("-0.000844")</f>
        <v/>
      </c>
      <c r="H554">
        <f>_xlfn.NUMBERVALUE("-0.000042")</f>
        <v/>
      </c>
      <c r="I554">
        <f>_xlfn.NUMBERVALUE("0.000764")</f>
        <v/>
      </c>
      <c r="J554">
        <f>_xlfn.NUMBERVALUE("0.000814")</f>
        <v/>
      </c>
      <c r="K554">
        <f>_xlfn.NUMBERVALUE("0.000473")</f>
        <v/>
      </c>
      <c r="L554">
        <f>_xlfn.NUMBERVALUE("-0.000068")</f>
        <v/>
      </c>
      <c r="M554">
        <f>_xlfn.NUMBERVALUE("0.001452")</f>
        <v/>
      </c>
      <c r="N554">
        <f>_xlfn.NUMBERVALUE("0.000000")</f>
        <v/>
      </c>
      <c r="O554">
        <f>_xlfn.NUMBERVALUE("0.002226")</f>
        <v/>
      </c>
      <c r="P554">
        <f>_xlfn.NUMBERVALUE("0.002314")</f>
        <v/>
      </c>
      <c r="Q554">
        <f>_xlfn.NUMBERVALUE("0.002071")</f>
        <v/>
      </c>
      <c r="R554">
        <f>_xlfn.NUMBERVALUE("0.000982")</f>
        <v/>
      </c>
      <c r="S554">
        <f>_xlfn.NUMBERVALUE("0.000407")</f>
        <v/>
      </c>
      <c r="T554">
        <f>_xlfn.NUMBERVALUE("0.001257")</f>
        <v/>
      </c>
      <c r="U554">
        <f>_xlfn.NUMBERVALUE("0.000624")</f>
        <v/>
      </c>
      <c r="V554">
        <f>_xlfn.NUMBERVALUE("0.001240")</f>
        <v/>
      </c>
      <c r="W554">
        <f>_xlfn.NUMBERVALUE("0.001432")</f>
        <v/>
      </c>
      <c r="X554">
        <f>_xlfn.NUMBERVALUE("-0.310000")</f>
        <v/>
      </c>
      <c r="Y554">
        <f>_xlfn.NUMBERVALUE("11.350000")</f>
        <v/>
      </c>
    </row>
    <row r="555">
      <c r="A555" s="1" t="n">
        <v>42808</v>
      </c>
      <c r="B555">
        <f>_xlfn.NUMBERVALUE("0.000000")</f>
        <v/>
      </c>
      <c r="C555" s="2">
        <f>_xlfn.NUMBERVALUE("-0.000476")</f>
        <v/>
      </c>
      <c r="D555">
        <f>_xlfn.NUMBERVALUE("0.000911")</f>
        <v/>
      </c>
      <c r="E555">
        <f>_xlfn.NUMBERVALUE("-0.000512")</f>
        <v/>
      </c>
      <c r="F555">
        <f>_xlfn.NUMBERVALUE("-0.000328")</f>
        <v/>
      </c>
      <c r="G555">
        <f>_xlfn.NUMBERVALUE("0.000697")</f>
        <v/>
      </c>
      <c r="H555">
        <f>_xlfn.NUMBERVALUE("0.000674")</f>
        <v/>
      </c>
      <c r="I555">
        <f>_xlfn.NUMBERVALUE("-0.000420")</f>
        <v/>
      </c>
      <c r="J555">
        <f>_xlfn.NUMBERVALUE("-0.000127")</f>
        <v/>
      </c>
      <c r="K555">
        <f>_xlfn.NUMBERVALUE("0.000899")</f>
        <v/>
      </c>
      <c r="L555">
        <f>_xlfn.NUMBERVALUE("0.000267")</f>
        <v/>
      </c>
      <c r="M555">
        <f>_xlfn.NUMBERVALUE("0.000893")</f>
        <v/>
      </c>
      <c r="N555">
        <f>_xlfn.NUMBERVALUE("0.000000")</f>
        <v/>
      </c>
      <c r="O555">
        <f>_xlfn.NUMBERVALUE("-0.002934")</f>
        <v/>
      </c>
      <c r="P555">
        <f>_xlfn.NUMBERVALUE("-0.000561")</f>
        <v/>
      </c>
      <c r="Q555">
        <f>_xlfn.NUMBERVALUE("-0.001419")</f>
        <v/>
      </c>
      <c r="R555">
        <f>_xlfn.NUMBERVALUE("-0.000059")</f>
        <v/>
      </c>
      <c r="S555">
        <f>_xlfn.NUMBERVALUE("0.001439")</f>
        <v/>
      </c>
      <c r="T555">
        <f>_xlfn.NUMBERVALUE("0.000716")</f>
        <v/>
      </c>
      <c r="U555">
        <f>_xlfn.NUMBERVALUE("0.000339")</f>
        <v/>
      </c>
      <c r="V555">
        <f>_xlfn.NUMBERVALUE("-0.000441")</f>
        <v/>
      </c>
      <c r="W555">
        <f>_xlfn.NUMBERVALUE("-0.003764")</f>
        <v/>
      </c>
      <c r="X555">
        <f>_xlfn.NUMBERVALUE("0.950000")</f>
        <v/>
      </c>
      <c r="Y555">
        <f>_xlfn.NUMBERVALUE("12.300000")</f>
        <v/>
      </c>
    </row>
    <row r="556">
      <c r="A556" s="1" t="n">
        <v>42809</v>
      </c>
      <c r="B556">
        <f>_xlfn.NUMBERVALUE("0.000000")</f>
        <v/>
      </c>
      <c r="C556" s="2">
        <f>_xlfn.NUMBERVALUE("0.000257")</f>
        <v/>
      </c>
      <c r="D556">
        <f>_xlfn.NUMBERVALUE("-0.006329")</f>
        <v/>
      </c>
      <c r="E556">
        <f>_xlfn.NUMBERVALUE("-0.003307")</f>
        <v/>
      </c>
      <c r="F556">
        <f>_xlfn.NUMBERVALUE("-0.000929")</f>
        <v/>
      </c>
      <c r="G556">
        <f>_xlfn.NUMBERVALUE("-0.002148")</f>
        <v/>
      </c>
      <c r="H556">
        <f>_xlfn.NUMBERVALUE("-0.001367")</f>
        <v/>
      </c>
      <c r="I556">
        <f>_xlfn.NUMBERVALUE("-0.001612")</f>
        <v/>
      </c>
      <c r="J556">
        <f>_xlfn.NUMBERVALUE("-0.002093")</f>
        <v/>
      </c>
      <c r="K556">
        <f>_xlfn.NUMBERVALUE("-0.001975")</f>
        <v/>
      </c>
      <c r="L556">
        <f>_xlfn.NUMBERVALUE("0.000461")</f>
        <v/>
      </c>
      <c r="M556">
        <f>_xlfn.NUMBERVALUE("-0.003483")</f>
        <v/>
      </c>
      <c r="N556">
        <f>_xlfn.NUMBERVALUE("0.000000")</f>
        <v/>
      </c>
      <c r="O556">
        <f>_xlfn.NUMBERVALUE("-0.000429")</f>
        <v/>
      </c>
      <c r="P556">
        <f>_xlfn.NUMBERVALUE("0.002831")</f>
        <v/>
      </c>
      <c r="Q556">
        <f>_xlfn.NUMBERVALUE("-0.000648")</f>
        <v/>
      </c>
      <c r="R556">
        <f>_xlfn.NUMBERVALUE("-0.000527")</f>
        <v/>
      </c>
      <c r="S556">
        <f>_xlfn.NUMBERVALUE("-0.000434")</f>
        <v/>
      </c>
      <c r="T556">
        <f>_xlfn.NUMBERVALUE("-0.004714")</f>
        <v/>
      </c>
      <c r="U556">
        <f>_xlfn.NUMBERVALUE("-0.000159")</f>
        <v/>
      </c>
      <c r="V556">
        <f>_xlfn.NUMBERVALUE("-0.002074")</f>
        <v/>
      </c>
      <c r="W556">
        <f>_xlfn.NUMBERVALUE("0.009561")</f>
        <v/>
      </c>
      <c r="X556">
        <f>_xlfn.NUMBERVALUE("-0.670000")</f>
        <v/>
      </c>
      <c r="Y556">
        <f>_xlfn.NUMBERVALUE("11.630000")</f>
        <v/>
      </c>
    </row>
    <row r="557">
      <c r="A557" s="1" t="n">
        <v>42810</v>
      </c>
      <c r="B557">
        <f>_xlfn.NUMBERVALUE("0.000000")</f>
        <v/>
      </c>
      <c r="C557" s="2">
        <f>_xlfn.NUMBERVALUE("0.001689")</f>
        <v/>
      </c>
      <c r="D557">
        <f>_xlfn.NUMBERVALUE("-0.000181")</f>
        <v/>
      </c>
      <c r="E557">
        <f>_xlfn.NUMBERVALUE("-0.000572")</f>
        <v/>
      </c>
      <c r="F557">
        <f>_xlfn.NUMBERVALUE("0.001724")</f>
        <v/>
      </c>
      <c r="G557">
        <f>_xlfn.NUMBERVALUE("0.000974")</f>
        <v/>
      </c>
      <c r="H557">
        <f>_xlfn.NUMBERVALUE("0.000576")</f>
        <v/>
      </c>
      <c r="I557">
        <f>_xlfn.NUMBERVALUE("0.002200")</f>
        <v/>
      </c>
      <c r="J557">
        <f>_xlfn.NUMBERVALUE("0.002265")</f>
        <v/>
      </c>
      <c r="K557">
        <f>_xlfn.NUMBERVALUE("0.003186")</f>
        <v/>
      </c>
      <c r="L557">
        <f>_xlfn.NUMBERVALUE("0.000612")</f>
        <v/>
      </c>
      <c r="M557">
        <f>_xlfn.NUMBERVALUE("0.000808")</f>
        <v/>
      </c>
      <c r="N557">
        <f>_xlfn.NUMBERVALUE("0.000000")</f>
        <v/>
      </c>
      <c r="O557">
        <f>_xlfn.NUMBERVALUE("0.002254")</f>
        <v/>
      </c>
      <c r="P557">
        <f>_xlfn.NUMBERVALUE("0.000349")</f>
        <v/>
      </c>
      <c r="Q557">
        <f>_xlfn.NUMBERVALUE("0.000645")</f>
        <v/>
      </c>
      <c r="R557">
        <f>_xlfn.NUMBERVALUE("0.000788")</f>
        <v/>
      </c>
      <c r="S557">
        <f>_xlfn.NUMBERVALUE("0.001167")</f>
        <v/>
      </c>
      <c r="T557">
        <f>_xlfn.NUMBERVALUE("0.001071")</f>
        <v/>
      </c>
      <c r="U557">
        <f>_xlfn.NUMBERVALUE("0.001493")</f>
        <v/>
      </c>
      <c r="V557">
        <f>_xlfn.NUMBERVALUE("0.002214")</f>
        <v/>
      </c>
      <c r="W557">
        <f>_xlfn.NUMBERVALUE("-0.003157")</f>
        <v/>
      </c>
      <c r="X557">
        <f>_xlfn.NUMBERVALUE("-0.420000")</f>
        <v/>
      </c>
      <c r="Y557">
        <f>_xlfn.NUMBERVALUE("11.210000")</f>
        <v/>
      </c>
    </row>
    <row r="558">
      <c r="A558" s="1" t="n">
        <v>42811</v>
      </c>
      <c r="B558">
        <f>_xlfn.NUMBERVALUE("0.000000")</f>
        <v/>
      </c>
      <c r="C558" s="2">
        <f>_xlfn.NUMBERVALUE("0.000994")</f>
        <v/>
      </c>
      <c r="D558">
        <f>_xlfn.NUMBERVALUE("0.001707")</f>
        <v/>
      </c>
      <c r="E558">
        <f>_xlfn.NUMBERVALUE("0.000775")</f>
        <v/>
      </c>
      <c r="F558">
        <f>_xlfn.NUMBERVALUE("0.001116")</f>
        <v/>
      </c>
      <c r="G558">
        <f>_xlfn.NUMBERVALUE("0.000895")</f>
        <v/>
      </c>
      <c r="H558">
        <f>_xlfn.NUMBERVALUE("-0.000423")</f>
        <v/>
      </c>
      <c r="I558">
        <f>_xlfn.NUMBERVALUE("0.000944")</f>
        <v/>
      </c>
      <c r="J558">
        <f>_xlfn.NUMBERVALUE("0.000343")</f>
        <v/>
      </c>
      <c r="K558">
        <f>_xlfn.NUMBERVALUE("0.001229")</f>
        <v/>
      </c>
      <c r="L558">
        <f>_xlfn.NUMBERVALUE("0.000411")</f>
        <v/>
      </c>
      <c r="M558">
        <f>_xlfn.NUMBERVALUE("-0.000396")</f>
        <v/>
      </c>
      <c r="N558">
        <f>_xlfn.NUMBERVALUE("0.000000")</f>
        <v/>
      </c>
      <c r="O558">
        <f>_xlfn.NUMBERVALUE("0.000733")</f>
        <v/>
      </c>
      <c r="P558">
        <f>_xlfn.NUMBERVALUE("0.000975")</f>
        <v/>
      </c>
      <c r="Q558">
        <f>_xlfn.NUMBERVALUE("0.001151")</f>
        <v/>
      </c>
      <c r="R558">
        <f>_xlfn.NUMBERVALUE("-0.000825")</f>
        <v/>
      </c>
      <c r="S558">
        <f>_xlfn.NUMBERVALUE("-0.001840")</f>
        <v/>
      </c>
      <c r="T558">
        <f>_xlfn.NUMBERVALUE("-0.003100")</f>
        <v/>
      </c>
      <c r="U558">
        <f>_xlfn.NUMBERVALUE("0.000151")</f>
        <v/>
      </c>
      <c r="V558">
        <f>_xlfn.NUMBERVALUE("0.000156")</f>
        <v/>
      </c>
      <c r="W558">
        <f>_xlfn.NUMBERVALUE("-0.004467")</f>
        <v/>
      </c>
      <c r="X558">
        <f>_xlfn.NUMBERVALUE("0.070000")</f>
        <v/>
      </c>
      <c r="Y558">
        <f>_xlfn.NUMBERVALUE("11.280000")</f>
        <v/>
      </c>
    </row>
    <row r="559">
      <c r="A559" s="1" t="n">
        <v>42814</v>
      </c>
      <c r="B559">
        <f>_xlfn.NUMBERVALUE("0.000000")</f>
        <v/>
      </c>
      <c r="C559" s="2">
        <f>_xlfn.NUMBERVALUE("0.001153")</f>
        <v/>
      </c>
      <c r="D559">
        <f>_xlfn.NUMBERVALUE("0.004819")</f>
        <v/>
      </c>
      <c r="E559">
        <f>_xlfn.NUMBERVALUE("0.000549")</f>
        <v/>
      </c>
      <c r="F559">
        <f>_xlfn.NUMBERVALUE("0.000911")</f>
        <v/>
      </c>
      <c r="G559">
        <f>_xlfn.NUMBERVALUE("0.000149")</f>
        <v/>
      </c>
      <c r="H559">
        <f>_xlfn.NUMBERVALUE("0.000819")</f>
        <v/>
      </c>
      <c r="I559">
        <f>_xlfn.NUMBERVALUE("0.001658")</f>
        <v/>
      </c>
      <c r="J559">
        <f>_xlfn.NUMBERVALUE("0.000291")</f>
        <v/>
      </c>
      <c r="K559">
        <f>_xlfn.NUMBERVALUE("0.001689")</f>
        <v/>
      </c>
      <c r="L559">
        <f>_xlfn.NUMBERVALUE("0.001145")</f>
        <v/>
      </c>
      <c r="M559">
        <f>_xlfn.NUMBERVALUE("0.001216")</f>
        <v/>
      </c>
      <c r="N559">
        <f>_xlfn.NUMBERVALUE("0.000000")</f>
        <v/>
      </c>
      <c r="O559">
        <f>_xlfn.NUMBERVALUE("0.000813")</f>
        <v/>
      </c>
      <c r="P559">
        <f>_xlfn.NUMBERVALUE("0.001381")</f>
        <v/>
      </c>
      <c r="Q559">
        <f>_xlfn.NUMBERVALUE("0.001464")</f>
        <v/>
      </c>
      <c r="R559">
        <f>_xlfn.NUMBERVALUE("0.000997")</f>
        <v/>
      </c>
      <c r="S559">
        <f>_xlfn.NUMBERVALUE("0.001185")</f>
        <v/>
      </c>
      <c r="T559">
        <f>_xlfn.NUMBERVALUE("0.002345")</f>
        <v/>
      </c>
      <c r="U559">
        <f>_xlfn.NUMBERVALUE("0.001200")</f>
        <v/>
      </c>
      <c r="V559">
        <f>_xlfn.NUMBERVALUE("0.001209")</f>
        <v/>
      </c>
      <c r="W559">
        <f>_xlfn.NUMBERVALUE("-0.002086")</f>
        <v/>
      </c>
      <c r="X559">
        <f>_xlfn.NUMBERVALUE("0.060000")</f>
        <v/>
      </c>
      <c r="Y559">
        <f>_xlfn.NUMBERVALUE("11.340000")</f>
        <v/>
      </c>
    </row>
    <row r="560">
      <c r="A560" s="1" t="n">
        <v>42815</v>
      </c>
      <c r="B560">
        <f>_xlfn.NUMBERVALUE("0.000000")</f>
        <v/>
      </c>
      <c r="C560" s="2">
        <f>_xlfn.NUMBERVALUE("-0.004448")</f>
        <v/>
      </c>
      <c r="D560">
        <f>_xlfn.NUMBERVALUE("-0.006752")</f>
        <v/>
      </c>
      <c r="E560">
        <f>_xlfn.NUMBERVALUE("-0.001825")</f>
        <v/>
      </c>
      <c r="F560">
        <f>_xlfn.NUMBERVALUE("-0.002351")</f>
        <v/>
      </c>
      <c r="G560">
        <f>_xlfn.NUMBERVALUE("-0.000776")</f>
        <v/>
      </c>
      <c r="H560">
        <f>_xlfn.NUMBERVALUE("0.000063")</f>
        <v/>
      </c>
      <c r="I560">
        <f>_xlfn.NUMBERVALUE("-0.010579")</f>
        <v/>
      </c>
      <c r="J560">
        <f>_xlfn.NUMBERVALUE("-0.000094")</f>
        <v/>
      </c>
      <c r="K560">
        <f>_xlfn.NUMBERVALUE("-0.000433")</f>
        <v/>
      </c>
      <c r="L560">
        <f>_xlfn.NUMBERVALUE("-0.001006")</f>
        <v/>
      </c>
      <c r="M560">
        <f>_xlfn.NUMBERVALUE("-0.003603")</f>
        <v/>
      </c>
      <c r="N560">
        <f>_xlfn.NUMBERVALUE("0.000000")</f>
        <v/>
      </c>
      <c r="O560">
        <f>_xlfn.NUMBERVALUE("-0.001807")</f>
        <v/>
      </c>
      <c r="P560">
        <f>_xlfn.NUMBERVALUE("-0.014973")</f>
        <v/>
      </c>
      <c r="Q560">
        <f>_xlfn.NUMBERVALUE("-0.006554")</f>
        <v/>
      </c>
      <c r="R560">
        <f>_xlfn.NUMBERVALUE("-0.004979")</f>
        <v/>
      </c>
      <c r="S560">
        <f>_xlfn.NUMBERVALUE("-0.001462")</f>
        <v/>
      </c>
      <c r="T560">
        <f>_xlfn.NUMBERVALUE("-0.009230")</f>
        <v/>
      </c>
      <c r="U560">
        <f>_xlfn.NUMBERVALUE("-0.004657")</f>
        <v/>
      </c>
      <c r="V560">
        <f>_xlfn.NUMBERVALUE("-0.004305")</f>
        <v/>
      </c>
      <c r="W560">
        <f>_xlfn.NUMBERVALUE("-0.012666")</f>
        <v/>
      </c>
      <c r="X560">
        <f>_xlfn.NUMBERVALUE("1.130000")</f>
        <v/>
      </c>
      <c r="Y560">
        <f>_xlfn.NUMBERVALUE("12.470000")</f>
        <v/>
      </c>
    </row>
    <row r="561">
      <c r="A561" s="1" t="n">
        <v>42816</v>
      </c>
      <c r="B561">
        <f>_xlfn.NUMBERVALUE("0.000000")</f>
        <v/>
      </c>
      <c r="C561" s="2">
        <f>_xlfn.NUMBERVALUE("-0.000023")</f>
        <v/>
      </c>
      <c r="D561">
        <f>_xlfn.NUMBERVALUE("-0.000009")</f>
        <v/>
      </c>
      <c r="E561">
        <f>_xlfn.NUMBERVALUE("0.000515")</f>
        <v/>
      </c>
      <c r="F561">
        <f>_xlfn.NUMBERVALUE("-0.007914")</f>
        <v/>
      </c>
      <c r="G561">
        <f>_xlfn.NUMBERVALUE("0.000270")</f>
        <v/>
      </c>
      <c r="H561">
        <f>_xlfn.NUMBERVALUE("-0.000448")</f>
        <v/>
      </c>
      <c r="I561">
        <f>_xlfn.NUMBERVALUE("-0.005218")</f>
        <v/>
      </c>
      <c r="J561">
        <f>_xlfn.NUMBERVALUE("-0.000018")</f>
        <v/>
      </c>
      <c r="K561">
        <f>_xlfn.NUMBERVALUE("0.001326")</f>
        <v/>
      </c>
      <c r="L561">
        <f>_xlfn.NUMBERVALUE("-0.000210")</f>
        <v/>
      </c>
      <c r="M561">
        <f>_xlfn.NUMBERVALUE("0.000196")</f>
        <v/>
      </c>
      <c r="N561">
        <f>_xlfn.NUMBERVALUE("0.000000")</f>
        <v/>
      </c>
      <c r="O561">
        <f>_xlfn.NUMBERVALUE("0.001359")</f>
        <v/>
      </c>
      <c r="P561">
        <f>_xlfn.NUMBERVALUE("-0.000141")</f>
        <v/>
      </c>
      <c r="Q561">
        <f>_xlfn.NUMBERVALUE("0.000449")</f>
        <v/>
      </c>
      <c r="R561">
        <f>_xlfn.NUMBERVALUE("-0.000419")</f>
        <v/>
      </c>
      <c r="S561">
        <f>_xlfn.NUMBERVALUE("0.001291")</f>
        <v/>
      </c>
      <c r="T561">
        <f>_xlfn.NUMBERVALUE("-0.000006")</f>
        <v/>
      </c>
      <c r="U561">
        <f>_xlfn.NUMBERVALUE("0.000765")</f>
        <v/>
      </c>
      <c r="V561">
        <f>_xlfn.NUMBERVALUE("-0.000506")</f>
        <v/>
      </c>
      <c r="W561">
        <f>_xlfn.NUMBERVALUE("0.002010")</f>
        <v/>
      </c>
      <c r="X561">
        <f>_xlfn.NUMBERVALUE("0.340000")</f>
        <v/>
      </c>
      <c r="Y561">
        <f>_xlfn.NUMBERVALUE("12.810000")</f>
        <v/>
      </c>
    </row>
    <row r="562">
      <c r="A562" s="1" t="n">
        <v>42817</v>
      </c>
      <c r="B562">
        <f>_xlfn.NUMBERVALUE("0.000000")</f>
        <v/>
      </c>
      <c r="C562" s="2">
        <f>_xlfn.NUMBERVALUE("-0.000763")</f>
        <v/>
      </c>
      <c r="D562">
        <f>_xlfn.NUMBERVALUE("0.000225")</f>
        <v/>
      </c>
      <c r="E562">
        <f>_xlfn.NUMBERVALUE("-0.000180")</f>
        <v/>
      </c>
      <c r="F562">
        <f>_xlfn.NUMBERVALUE("0.008681")</f>
        <v/>
      </c>
      <c r="G562">
        <f>_xlfn.NUMBERVALUE("0.000358")</f>
        <v/>
      </c>
      <c r="H562">
        <f>_xlfn.NUMBERVALUE("0.001027")</f>
        <v/>
      </c>
      <c r="I562">
        <f>_xlfn.NUMBERVALUE("0.005557")</f>
        <v/>
      </c>
      <c r="J562">
        <f>_xlfn.NUMBERVALUE("0.000408")</f>
        <v/>
      </c>
      <c r="K562">
        <f>_xlfn.NUMBERVALUE("0.002497")</f>
        <v/>
      </c>
      <c r="L562">
        <f>_xlfn.NUMBERVALUE("0.000544")</f>
        <v/>
      </c>
      <c r="M562">
        <f>_xlfn.NUMBERVALUE("-0.000705")</f>
        <v/>
      </c>
      <c r="N562">
        <f>_xlfn.NUMBERVALUE("0.000000")</f>
        <v/>
      </c>
      <c r="O562">
        <f>_xlfn.NUMBERVALUE("0.000572")</f>
        <v/>
      </c>
      <c r="P562">
        <f>_xlfn.NUMBERVALUE("0.000009")</f>
        <v/>
      </c>
      <c r="Q562">
        <f>_xlfn.NUMBERVALUE("-0.001044")</f>
        <v/>
      </c>
      <c r="R562">
        <f>_xlfn.NUMBERVALUE("-0.000471")</f>
        <v/>
      </c>
      <c r="S562">
        <f>_xlfn.NUMBERVALUE("-0.000248")</f>
        <v/>
      </c>
      <c r="T562">
        <f>_xlfn.NUMBERVALUE("0.000409")</f>
        <v/>
      </c>
      <c r="U562">
        <f>_xlfn.NUMBERVALUE("-0.001073")</f>
        <v/>
      </c>
      <c r="V562">
        <f>_xlfn.NUMBERVALUE("-0.000762")</f>
        <v/>
      </c>
      <c r="W562">
        <f>_xlfn.NUMBERVALUE("-0.001920")</f>
        <v/>
      </c>
      <c r="X562">
        <f>_xlfn.NUMBERVALUE("0.310000")</f>
        <v/>
      </c>
      <c r="Y562">
        <f>_xlfn.NUMBERVALUE("13.120000")</f>
        <v/>
      </c>
    </row>
    <row r="563">
      <c r="A563" s="1" t="n">
        <v>42818</v>
      </c>
      <c r="B563">
        <f>_xlfn.NUMBERVALUE("0.000000")</f>
        <v/>
      </c>
      <c r="C563" s="2">
        <f>_xlfn.NUMBERVALUE("0.000469")</f>
        <v/>
      </c>
      <c r="D563">
        <f>_xlfn.NUMBERVALUE("0.000529")</f>
        <v/>
      </c>
      <c r="E563">
        <f>_xlfn.NUMBERVALUE("-0.000011")</f>
        <v/>
      </c>
      <c r="F563">
        <f>_xlfn.NUMBERVALUE("0.001998")</f>
        <v/>
      </c>
      <c r="G563">
        <f>_xlfn.NUMBERVALUE("-0.000479")</f>
        <v/>
      </c>
      <c r="H563">
        <f>_xlfn.NUMBERVALUE("-0.000114")</f>
        <v/>
      </c>
      <c r="I563">
        <f>_xlfn.NUMBERVALUE("0.002513")</f>
        <v/>
      </c>
      <c r="J563">
        <f>_xlfn.NUMBERVALUE("-0.000132")</f>
        <v/>
      </c>
      <c r="K563">
        <f>_xlfn.NUMBERVALUE("0.000882")</f>
        <v/>
      </c>
      <c r="L563">
        <f>_xlfn.NUMBERVALUE("0.000562")</f>
        <v/>
      </c>
      <c r="M563">
        <f>_xlfn.NUMBERVALUE("0.000427")</f>
        <v/>
      </c>
      <c r="N563">
        <f>_xlfn.NUMBERVALUE("0.000000")</f>
        <v/>
      </c>
      <c r="O563">
        <f>_xlfn.NUMBERVALUE("-0.000673")</f>
        <v/>
      </c>
      <c r="P563">
        <f>_xlfn.NUMBERVALUE("-0.000683")</f>
        <v/>
      </c>
      <c r="Q563">
        <f>_xlfn.NUMBERVALUE("-0.000247")</f>
        <v/>
      </c>
      <c r="R563">
        <f>_xlfn.NUMBERVALUE("-0.000092")</f>
        <v/>
      </c>
      <c r="S563">
        <f>_xlfn.NUMBERVALUE("0.000598")</f>
        <v/>
      </c>
      <c r="T563">
        <f>_xlfn.NUMBERVALUE("0.000254")</f>
        <v/>
      </c>
      <c r="U563">
        <f>_xlfn.NUMBERVALUE("0.000642")</f>
        <v/>
      </c>
      <c r="V563">
        <f>_xlfn.NUMBERVALUE("0.001044")</f>
        <v/>
      </c>
      <c r="W563">
        <f>_xlfn.NUMBERVALUE("0.000449")</f>
        <v/>
      </c>
      <c r="X563">
        <f>_xlfn.NUMBERVALUE("-0.160000")</f>
        <v/>
      </c>
      <c r="Y563">
        <f>_xlfn.NUMBERVALUE("12.960000")</f>
        <v/>
      </c>
    </row>
    <row r="564">
      <c r="A564" s="1" t="n">
        <v>42821</v>
      </c>
      <c r="B564">
        <f>_xlfn.NUMBERVALUE("0.000000")</f>
        <v/>
      </c>
      <c r="C564" s="2">
        <f>_xlfn.NUMBERVALUE("0.001548")</f>
        <v/>
      </c>
      <c r="D564">
        <f>_xlfn.NUMBERVALUE("0.001521")</f>
        <v/>
      </c>
      <c r="E564">
        <f>_xlfn.NUMBERVALUE("0.000870")</f>
        <v/>
      </c>
      <c r="F564">
        <f>_xlfn.NUMBERVALUE("0.000241")</f>
        <v/>
      </c>
      <c r="G564">
        <f>_xlfn.NUMBERVALUE("0.000429")</f>
        <v/>
      </c>
      <c r="H564">
        <f>_xlfn.NUMBERVALUE("-0.000223")</f>
        <v/>
      </c>
      <c r="I564">
        <f>_xlfn.NUMBERVALUE("0.002585")</f>
        <v/>
      </c>
      <c r="J564">
        <f>_xlfn.NUMBERVALUE("0.000857")</f>
        <v/>
      </c>
      <c r="K564">
        <f>_xlfn.NUMBERVALUE("-0.002562")</f>
        <v/>
      </c>
      <c r="L564">
        <f>_xlfn.NUMBERVALUE("0.000496")</f>
        <v/>
      </c>
      <c r="M564">
        <f>_xlfn.NUMBERVALUE("0.001428")</f>
        <v/>
      </c>
      <c r="N564">
        <f>_xlfn.NUMBERVALUE("0.000000")</f>
        <v/>
      </c>
      <c r="O564">
        <f>_xlfn.NUMBERVALUE("0.002918")</f>
        <v/>
      </c>
      <c r="P564">
        <f>_xlfn.NUMBERVALUE("0.001428")</f>
        <v/>
      </c>
      <c r="Q564">
        <f>_xlfn.NUMBERVALUE("0.002988")</f>
        <v/>
      </c>
      <c r="R564">
        <f>_xlfn.NUMBERVALUE("0.003515")</f>
        <v/>
      </c>
      <c r="S564">
        <f>_xlfn.NUMBERVALUE("0.001572")</f>
        <v/>
      </c>
      <c r="T564">
        <f>_xlfn.NUMBERVALUE("0.000860")</f>
        <v/>
      </c>
      <c r="U564">
        <f>_xlfn.NUMBERVALUE("0.002748")</f>
        <v/>
      </c>
      <c r="V564">
        <f>_xlfn.NUMBERVALUE("0.001361")</f>
        <v/>
      </c>
      <c r="W564">
        <f>_xlfn.NUMBERVALUE("-0.000620")</f>
        <v/>
      </c>
      <c r="X564">
        <f>_xlfn.NUMBERVALUE("-0.460000")</f>
        <v/>
      </c>
      <c r="Y564">
        <f>_xlfn.NUMBERVALUE("12.500000")</f>
        <v/>
      </c>
    </row>
    <row r="565">
      <c r="A565" s="1" t="n">
        <v>42822</v>
      </c>
      <c r="B565">
        <f>_xlfn.NUMBERVALUE("0.000000")</f>
        <v/>
      </c>
      <c r="C565" s="2">
        <f>_xlfn.NUMBERVALUE("-0.000280")</f>
        <v/>
      </c>
      <c r="D565">
        <f>_xlfn.NUMBERVALUE("0.001153")</f>
        <v/>
      </c>
      <c r="E565">
        <f>_xlfn.NUMBERVALUE("-0.000115")</f>
        <v/>
      </c>
      <c r="F565">
        <f>_xlfn.NUMBERVALUE("0.001558")</f>
        <v/>
      </c>
      <c r="G565">
        <f>_xlfn.NUMBERVALUE("0.000822")</f>
        <v/>
      </c>
      <c r="H565">
        <f>_xlfn.NUMBERVALUE("0.000215")</f>
        <v/>
      </c>
      <c r="I565">
        <f>_xlfn.NUMBERVALUE("0.001776")</f>
        <v/>
      </c>
      <c r="J565">
        <f>_xlfn.NUMBERVALUE("0.000106")</f>
        <v/>
      </c>
      <c r="K565">
        <f>_xlfn.NUMBERVALUE("0.002190")</f>
        <v/>
      </c>
      <c r="L565">
        <f>_xlfn.NUMBERVALUE("0.000520")</f>
        <v/>
      </c>
      <c r="M565">
        <f>_xlfn.NUMBERVALUE("-0.000009")</f>
        <v/>
      </c>
      <c r="N565">
        <f>_xlfn.NUMBERVALUE("0.000000")</f>
        <v/>
      </c>
      <c r="O565">
        <f>_xlfn.NUMBERVALUE("0.000721")</f>
        <v/>
      </c>
      <c r="P565">
        <f>_xlfn.NUMBERVALUE("0.002939")</f>
        <v/>
      </c>
      <c r="Q565">
        <f>_xlfn.NUMBERVALUE("0.000751")</f>
        <v/>
      </c>
      <c r="R565">
        <f>_xlfn.NUMBERVALUE("0.000406")</f>
        <v/>
      </c>
      <c r="S565">
        <f>_xlfn.NUMBERVALUE("0.002253")</f>
        <v/>
      </c>
      <c r="T565">
        <f>_xlfn.NUMBERVALUE("0.001718")</f>
        <v/>
      </c>
      <c r="U565">
        <f>_xlfn.NUMBERVALUE("0.000410")</f>
        <v/>
      </c>
      <c r="V565">
        <f>_xlfn.NUMBERVALUE("0.000179")</f>
        <v/>
      </c>
      <c r="W565">
        <f>_xlfn.NUMBERVALUE("0.006821")</f>
        <v/>
      </c>
      <c r="X565">
        <f>_xlfn.NUMBERVALUE("-0.970000")</f>
        <v/>
      </c>
      <c r="Y565">
        <f>_xlfn.NUMBERVALUE("11.530000")</f>
        <v/>
      </c>
    </row>
    <row r="566">
      <c r="A566" s="1" t="n">
        <v>42823</v>
      </c>
      <c r="B566">
        <f>_xlfn.NUMBERVALUE("0.000000")</f>
        <v/>
      </c>
      <c r="C566" s="2">
        <f>_xlfn.NUMBERVALUE("0.000397")</f>
        <v/>
      </c>
      <c r="D566">
        <f>_xlfn.NUMBERVALUE("0.000376")</f>
        <v/>
      </c>
      <c r="E566">
        <f>_xlfn.NUMBERVALUE("0.003381")</f>
        <v/>
      </c>
      <c r="F566">
        <f>_xlfn.NUMBERVALUE("-0.000162")</f>
        <v/>
      </c>
      <c r="G566">
        <f>_xlfn.NUMBERVALUE("0.000207")</f>
        <v/>
      </c>
      <c r="H566">
        <f>_xlfn.NUMBERVALUE("0.000072")</f>
        <v/>
      </c>
      <c r="I566">
        <f>_xlfn.NUMBERVALUE("0.001216")</f>
        <v/>
      </c>
      <c r="J566">
        <f>_xlfn.NUMBERVALUE("-0.000089")</f>
        <v/>
      </c>
      <c r="K566">
        <f>_xlfn.NUMBERVALUE("0.001039")</f>
        <v/>
      </c>
      <c r="L566">
        <f>_xlfn.NUMBERVALUE("-0.000161")</f>
        <v/>
      </c>
      <c r="M566">
        <f>_xlfn.NUMBERVALUE("0.002257")</f>
        <v/>
      </c>
      <c r="N566">
        <f>_xlfn.NUMBERVALUE("0.000000")</f>
        <v/>
      </c>
      <c r="O566">
        <f>_xlfn.NUMBERVALUE("-0.000791")</f>
        <v/>
      </c>
      <c r="P566">
        <f>_xlfn.NUMBERVALUE("-0.000140")</f>
        <v/>
      </c>
      <c r="Q566">
        <f>_xlfn.NUMBERVALUE("0.000907")</f>
        <v/>
      </c>
      <c r="R566">
        <f>_xlfn.NUMBERVALUE("0.000840")</f>
        <v/>
      </c>
      <c r="S566">
        <f>_xlfn.NUMBERVALUE("0.001047")</f>
        <v/>
      </c>
      <c r="T566">
        <f>_xlfn.NUMBERVALUE("0.000573")</f>
        <v/>
      </c>
      <c r="U566">
        <f>_xlfn.NUMBERVALUE("-0.000374")</f>
        <v/>
      </c>
      <c r="V566">
        <f>_xlfn.NUMBERVALUE("0.000757")</f>
        <v/>
      </c>
      <c r="W566">
        <f>_xlfn.NUMBERVALUE("0.000701")</f>
        <v/>
      </c>
      <c r="X566">
        <f>_xlfn.NUMBERVALUE("-0.110000")</f>
        <v/>
      </c>
      <c r="Y566">
        <f>_xlfn.NUMBERVALUE("11.420000")</f>
        <v/>
      </c>
    </row>
    <row r="567">
      <c r="A567" s="1" t="n">
        <v>42824</v>
      </c>
      <c r="B567">
        <f>_xlfn.NUMBERVALUE("0.000000")</f>
        <v/>
      </c>
      <c r="C567" s="2">
        <f>_xlfn.NUMBERVALUE("0.000047")</f>
        <v/>
      </c>
      <c r="D567">
        <f>_xlfn.NUMBERVALUE("-0.000160")</f>
        <v/>
      </c>
      <c r="E567">
        <f>_xlfn.NUMBERVALUE("-0.001755")</f>
        <v/>
      </c>
      <c r="F567">
        <f>_xlfn.NUMBERVALUE("-0.000739")</f>
        <v/>
      </c>
      <c r="G567">
        <f>_xlfn.NUMBERVALUE("0.000377")</f>
        <v/>
      </c>
      <c r="H567">
        <f>_xlfn.NUMBERVALUE("0.000173")</f>
        <v/>
      </c>
      <c r="I567">
        <f>_xlfn.NUMBERVALUE("0.001023")</f>
        <v/>
      </c>
      <c r="J567">
        <f>_xlfn.NUMBERVALUE("0.000395")</f>
        <v/>
      </c>
      <c r="K567">
        <f>_xlfn.NUMBERVALUE("0.001233")</f>
        <v/>
      </c>
      <c r="L567">
        <f>_xlfn.NUMBERVALUE("0.000302")</f>
        <v/>
      </c>
      <c r="M567">
        <f>_xlfn.NUMBERVALUE("-0.000175")</f>
        <v/>
      </c>
      <c r="N567">
        <f>_xlfn.NUMBERVALUE("0.000000")</f>
        <v/>
      </c>
      <c r="O567">
        <f>_xlfn.NUMBERVALUE("0.002213")</f>
        <v/>
      </c>
      <c r="P567">
        <f>_xlfn.NUMBERVALUE("-0.002202")</f>
        <v/>
      </c>
      <c r="Q567">
        <f>_xlfn.NUMBERVALUE("0.001320")</f>
        <v/>
      </c>
      <c r="R567">
        <f>_xlfn.NUMBERVALUE("0.000778")</f>
        <v/>
      </c>
      <c r="S567">
        <f>_xlfn.NUMBERVALUE("0.000934")</f>
        <v/>
      </c>
      <c r="T567">
        <f>_xlfn.NUMBERVALUE("0.001312")</f>
        <v/>
      </c>
      <c r="U567">
        <f>_xlfn.NUMBERVALUE("0.000673")</f>
        <v/>
      </c>
      <c r="V567">
        <f>_xlfn.NUMBERVALUE("0.000536")</f>
        <v/>
      </c>
      <c r="W567">
        <f>_xlfn.NUMBERVALUE("0.002801")</f>
        <v/>
      </c>
      <c r="X567">
        <f>_xlfn.NUMBERVALUE("0.120000")</f>
        <v/>
      </c>
      <c r="Y567">
        <f>_xlfn.NUMBERVALUE("11.540000")</f>
        <v/>
      </c>
    </row>
    <row r="568">
      <c r="A568" s="1" t="n">
        <v>42825</v>
      </c>
      <c r="B568">
        <f>_xlfn.NUMBERVALUE("0.000000")</f>
        <v/>
      </c>
      <c r="C568" s="2">
        <f>_xlfn.NUMBERVALUE("0.000330")</f>
        <v/>
      </c>
      <c r="D568">
        <f>_xlfn.NUMBERVALUE("0.000037")</f>
        <v/>
      </c>
      <c r="E568">
        <f>_xlfn.NUMBERVALUE("0.000116")</f>
        <v/>
      </c>
      <c r="F568">
        <f>_xlfn.NUMBERVALUE("0.000958")</f>
        <v/>
      </c>
      <c r="G568">
        <f>_xlfn.NUMBERVALUE("0.000059")</f>
        <v/>
      </c>
      <c r="H568">
        <f>_xlfn.NUMBERVALUE("-0.000121")</f>
        <v/>
      </c>
      <c r="I568">
        <f>_xlfn.NUMBERVALUE("0.001547")</f>
        <v/>
      </c>
      <c r="J568">
        <f>_xlfn.NUMBERVALUE("0.000470")</f>
        <v/>
      </c>
      <c r="K568">
        <f>_xlfn.NUMBERVALUE("0.000745")</f>
        <v/>
      </c>
      <c r="L568">
        <f>_xlfn.NUMBERVALUE("0.001140")</f>
        <v/>
      </c>
      <c r="M568">
        <f>_xlfn.NUMBERVALUE("0.001263")</f>
        <v/>
      </c>
      <c r="N568">
        <f>_xlfn.NUMBERVALUE("0.000000")</f>
        <v/>
      </c>
      <c r="O568">
        <f>_xlfn.NUMBERVALUE("0.002419")</f>
        <v/>
      </c>
      <c r="P568">
        <f>_xlfn.NUMBERVALUE("0.001007")</f>
        <v/>
      </c>
      <c r="Q568">
        <f>_xlfn.NUMBERVALUE("0.001628")</f>
        <v/>
      </c>
      <c r="R568">
        <f>_xlfn.NUMBERVALUE("0.000362")</f>
        <v/>
      </c>
      <c r="S568">
        <f>_xlfn.NUMBERVALUE("0.000795")</f>
        <v/>
      </c>
      <c r="T568">
        <f>_xlfn.NUMBERVALUE("0.001029")</f>
        <v/>
      </c>
      <c r="U568">
        <f>_xlfn.NUMBERVALUE("0.000121")</f>
        <v/>
      </c>
      <c r="V568">
        <f>_xlfn.NUMBERVALUE("0.000786")</f>
        <v/>
      </c>
      <c r="W568">
        <f>_xlfn.NUMBERVALUE("-0.000085")</f>
        <v/>
      </c>
      <c r="X568">
        <f>_xlfn.NUMBERVALUE("0.830000")</f>
        <v/>
      </c>
      <c r="Y568">
        <f>_xlfn.NUMBERVALUE("12.370000")</f>
        <v/>
      </c>
    </row>
    <row r="569">
      <c r="A569" s="1" t="n">
        <v>42828</v>
      </c>
      <c r="B569">
        <f>_xlfn.NUMBERVALUE("0.000000")</f>
        <v/>
      </c>
      <c r="C569" s="2">
        <f>_xlfn.NUMBERVALUE("0.000055")</f>
        <v/>
      </c>
      <c r="D569">
        <f>_xlfn.NUMBERVALUE("-0.000036")</f>
        <v/>
      </c>
      <c r="E569">
        <f>_xlfn.NUMBERVALUE("0.000333")</f>
        <v/>
      </c>
      <c r="F569">
        <f>_xlfn.NUMBERVALUE("0.000513")</f>
        <v/>
      </c>
      <c r="G569">
        <f>_xlfn.NUMBERVALUE("0.000299")</f>
        <v/>
      </c>
      <c r="H569">
        <f>_xlfn.NUMBERVALUE("-0.000222")</f>
        <v/>
      </c>
      <c r="I569">
        <f>_xlfn.NUMBERVALUE("-0.004833")</f>
        <v/>
      </c>
      <c r="J569">
        <f>_xlfn.NUMBERVALUE("0.000188")</f>
        <v/>
      </c>
      <c r="K569">
        <f>_xlfn.NUMBERVALUE("0.003282")</f>
        <v/>
      </c>
      <c r="L569">
        <f>_xlfn.NUMBERVALUE("-0.001672")</f>
        <v/>
      </c>
      <c r="M569">
        <f>_xlfn.NUMBERVALUE("0.002616")</f>
        <v/>
      </c>
      <c r="N569">
        <f>_xlfn.NUMBERVALUE("0.000000")</f>
        <v/>
      </c>
      <c r="O569">
        <f>_xlfn.NUMBERVALUE("0.002762")</f>
        <v/>
      </c>
      <c r="P569">
        <f>_xlfn.NUMBERVALUE("0.000618")</f>
        <v/>
      </c>
      <c r="Q569">
        <f>_xlfn.NUMBERVALUE("0.000311")</f>
        <v/>
      </c>
      <c r="R569">
        <f>_xlfn.NUMBERVALUE("0.001163")</f>
        <v/>
      </c>
      <c r="S569">
        <f>_xlfn.NUMBERVALUE("0.001873")</f>
        <v/>
      </c>
      <c r="T569">
        <f>_xlfn.NUMBERVALUE("0.000721")</f>
        <v/>
      </c>
      <c r="U569">
        <f>_xlfn.NUMBERVALUE("0.001031")</f>
        <v/>
      </c>
      <c r="V569">
        <f>_xlfn.NUMBERVALUE("-0.000165")</f>
        <v/>
      </c>
      <c r="W569">
        <f>_xlfn.NUMBERVALUE("-0.001757")</f>
        <v/>
      </c>
      <c r="X569">
        <f>_xlfn.NUMBERVALUE("0.010000")</f>
        <v/>
      </c>
      <c r="Y569">
        <f>_xlfn.NUMBERVALUE("12.380000")</f>
        <v/>
      </c>
    </row>
    <row r="570">
      <c r="A570" s="1" t="n">
        <v>42829</v>
      </c>
      <c r="B570">
        <f>_xlfn.NUMBERVALUE("0.000000")</f>
        <v/>
      </c>
      <c r="C570" s="2">
        <f>_xlfn.NUMBERVALUE("0.001062")</f>
        <v/>
      </c>
      <c r="D570">
        <f>_xlfn.NUMBERVALUE("-0.000493")</f>
        <v/>
      </c>
      <c r="E570">
        <f>_xlfn.NUMBERVALUE("0.000092")</f>
        <v/>
      </c>
      <c r="F570">
        <f>_xlfn.NUMBERVALUE("0.000912")</f>
        <v/>
      </c>
      <c r="G570">
        <f>_xlfn.NUMBERVALUE("0.000590")</f>
        <v/>
      </c>
      <c r="H570">
        <f>_xlfn.NUMBERVALUE("-0.000578")</f>
        <v/>
      </c>
      <c r="I570">
        <f>_xlfn.NUMBERVALUE("0.000805")</f>
        <v/>
      </c>
      <c r="J570">
        <f>_xlfn.NUMBERVALUE("0.000620")</f>
        <v/>
      </c>
      <c r="K570">
        <f>_xlfn.NUMBERVALUE("0.000555")</f>
        <v/>
      </c>
      <c r="L570">
        <f>_xlfn.NUMBERVALUE("0.000013")</f>
        <v/>
      </c>
      <c r="M570">
        <f>_xlfn.NUMBERVALUE("0.001429")</f>
        <v/>
      </c>
      <c r="N570">
        <f>_xlfn.NUMBERVALUE("0.000000")</f>
        <v/>
      </c>
      <c r="O570">
        <f>_xlfn.NUMBERVALUE("-0.000144")</f>
        <v/>
      </c>
      <c r="P570">
        <f>_xlfn.NUMBERVALUE("-0.000091")</f>
        <v/>
      </c>
      <c r="Q570">
        <f>_xlfn.NUMBERVALUE("0.000949")</f>
        <v/>
      </c>
      <c r="R570">
        <f>_xlfn.NUMBERVALUE("0.000422")</f>
        <v/>
      </c>
      <c r="S570">
        <f>_xlfn.NUMBERVALUE("0.001018")</f>
        <v/>
      </c>
      <c r="T570">
        <f>_xlfn.NUMBERVALUE("0.000211")</f>
        <v/>
      </c>
      <c r="U570">
        <f>_xlfn.NUMBERVALUE("0.000478")</f>
        <v/>
      </c>
      <c r="V570">
        <f>_xlfn.NUMBERVALUE("0.001351")</f>
        <v/>
      </c>
      <c r="W570">
        <f>_xlfn.NUMBERVALUE("0.000259")</f>
        <v/>
      </c>
      <c r="X570">
        <f>_xlfn.NUMBERVALUE("-0.590000")</f>
        <v/>
      </c>
      <c r="Y570">
        <f>_xlfn.NUMBERVALUE("11.790000")</f>
        <v/>
      </c>
    </row>
    <row r="571">
      <c r="A571" s="1" t="n">
        <v>42830</v>
      </c>
      <c r="B571">
        <f>_xlfn.NUMBERVALUE("0.000000")</f>
        <v/>
      </c>
      <c r="C571" s="2">
        <f>_xlfn.NUMBERVALUE("-0.000553")</f>
        <v/>
      </c>
      <c r="D571">
        <f>_xlfn.NUMBERVALUE("0.001250")</f>
        <v/>
      </c>
      <c r="E571">
        <f>_xlfn.NUMBERVALUE("0.000465")</f>
        <v/>
      </c>
      <c r="F571">
        <f>_xlfn.NUMBERVALUE("-0.001422")</f>
        <v/>
      </c>
      <c r="G571">
        <f>_xlfn.NUMBERVALUE("-0.000129")</f>
        <v/>
      </c>
      <c r="H571">
        <f>_xlfn.NUMBERVALUE("0.000980")</f>
        <v/>
      </c>
      <c r="I571">
        <f>_xlfn.NUMBERVALUE("-0.000222")</f>
        <v/>
      </c>
      <c r="J571">
        <f>_xlfn.NUMBERVALUE("-0.000411")</f>
        <v/>
      </c>
      <c r="K571">
        <f>_xlfn.NUMBERVALUE("-0.000234")</f>
        <v/>
      </c>
      <c r="L571">
        <f>_xlfn.NUMBERVALUE("-0.000209")</f>
        <v/>
      </c>
      <c r="M571">
        <f>_xlfn.NUMBERVALUE("0.000574")</f>
        <v/>
      </c>
      <c r="N571">
        <f>_xlfn.NUMBERVALUE("0.000000")</f>
        <v/>
      </c>
      <c r="O571">
        <f>_xlfn.NUMBERVALUE("0.001706")</f>
        <v/>
      </c>
      <c r="P571">
        <f>_xlfn.NUMBERVALUE("0.000033")</f>
        <v/>
      </c>
      <c r="Q571">
        <f>_xlfn.NUMBERVALUE("0.000503")</f>
        <v/>
      </c>
      <c r="R571">
        <f>_xlfn.NUMBERVALUE("0.000545")</f>
        <v/>
      </c>
      <c r="S571">
        <f>_xlfn.NUMBERVALUE("0.001047")</f>
        <v/>
      </c>
      <c r="T571">
        <f>_xlfn.NUMBERVALUE("0.000041")</f>
        <v/>
      </c>
      <c r="U571">
        <f>_xlfn.NUMBERVALUE("0.000724")</f>
        <v/>
      </c>
      <c r="V571">
        <f>_xlfn.NUMBERVALUE("-0.000118")</f>
        <v/>
      </c>
      <c r="W571">
        <f>_xlfn.NUMBERVALUE("-0.001448")</f>
        <v/>
      </c>
      <c r="X571">
        <f>_xlfn.NUMBERVALUE("1.100000")</f>
        <v/>
      </c>
      <c r="Y571">
        <f>_xlfn.NUMBERVALUE("12.890000")</f>
        <v/>
      </c>
    </row>
    <row r="572">
      <c r="A572" s="1" t="n">
        <v>42831</v>
      </c>
      <c r="B572">
        <f>_xlfn.NUMBERVALUE("0.000000")</f>
        <v/>
      </c>
      <c r="C572" s="2">
        <f>_xlfn.NUMBERVALUE("-0.000014")</f>
        <v/>
      </c>
      <c r="D572">
        <f>_xlfn.NUMBERVALUE("-0.000054")</f>
        <v/>
      </c>
      <c r="E572">
        <f>_xlfn.NUMBERVALUE("-0.000166")</f>
        <v/>
      </c>
      <c r="F572">
        <f>_xlfn.NUMBERVALUE("-0.001045")</f>
        <v/>
      </c>
      <c r="G572">
        <f>_xlfn.NUMBERVALUE("0.001268")</f>
        <v/>
      </c>
      <c r="H572">
        <f>_xlfn.NUMBERVALUE("0.000030")</f>
        <v/>
      </c>
      <c r="I572">
        <f>_xlfn.NUMBERVALUE("0.000204")</f>
        <v/>
      </c>
      <c r="J572">
        <f>_xlfn.NUMBERVALUE("0.000240")</f>
        <v/>
      </c>
      <c r="K572">
        <f>_xlfn.NUMBERVALUE("0.001044")</f>
        <v/>
      </c>
      <c r="L572">
        <f>_xlfn.NUMBERVALUE("0.000618")</f>
        <v/>
      </c>
      <c r="M572">
        <f>_xlfn.NUMBERVALUE("-0.000040")</f>
        <v/>
      </c>
      <c r="N572">
        <f>_xlfn.NUMBERVALUE("0.000000")</f>
        <v/>
      </c>
      <c r="O572">
        <f>_xlfn.NUMBERVALUE("-0.000578")</f>
        <v/>
      </c>
      <c r="P572">
        <f>_xlfn.NUMBERVALUE("0.000114")</f>
        <v/>
      </c>
      <c r="Q572">
        <f>_xlfn.NUMBERVALUE("0.000861")</f>
        <v/>
      </c>
      <c r="R572">
        <f>_xlfn.NUMBERVALUE("-0.000019")</f>
        <v/>
      </c>
      <c r="S572">
        <f>_xlfn.NUMBERVALUE("0.002841")</f>
        <v/>
      </c>
      <c r="T572">
        <f>_xlfn.NUMBERVALUE("0.000013")</f>
        <v/>
      </c>
      <c r="U572">
        <f>_xlfn.NUMBERVALUE("0.000085")</f>
        <v/>
      </c>
      <c r="V572">
        <f>_xlfn.NUMBERVALUE("-0.000188")</f>
        <v/>
      </c>
      <c r="W572">
        <f>_xlfn.NUMBERVALUE("0.000766")</f>
        <v/>
      </c>
      <c r="X572">
        <f>_xlfn.NUMBERVALUE("-0.500000")</f>
        <v/>
      </c>
      <c r="Y572">
        <f>_xlfn.NUMBERVALUE("12.390000")</f>
        <v/>
      </c>
    </row>
    <row r="573">
      <c r="A573" s="1" t="n">
        <v>42832</v>
      </c>
      <c r="B573">
        <f>_xlfn.NUMBERVALUE("0.000000")</f>
        <v/>
      </c>
      <c r="C573" s="2">
        <f>_xlfn.NUMBERVALUE("-0.000059")</f>
        <v/>
      </c>
      <c r="D573">
        <f>_xlfn.NUMBERVALUE("0.000255")</f>
        <v/>
      </c>
      <c r="E573">
        <f>_xlfn.NUMBERVALUE("0.000379")</f>
        <v/>
      </c>
      <c r="F573">
        <f>_xlfn.NUMBERVALUE("0.000996")</f>
        <v/>
      </c>
      <c r="G573">
        <f>_xlfn.NUMBERVALUE("-0.000867")</f>
        <v/>
      </c>
      <c r="H573">
        <f>_xlfn.NUMBERVALUE("0.000251")</f>
        <v/>
      </c>
      <c r="I573">
        <f>_xlfn.NUMBERVALUE("0.000612")</f>
        <v/>
      </c>
      <c r="J573">
        <f>_xlfn.NUMBERVALUE("0.000591")</f>
        <v/>
      </c>
      <c r="K573">
        <f>_xlfn.NUMBERVALUE("-0.003425")</f>
        <v/>
      </c>
      <c r="L573">
        <f>_xlfn.NUMBERVALUE("0.000807")</f>
        <v/>
      </c>
      <c r="M573">
        <f>_xlfn.NUMBERVALUE("0.000235")</f>
        <v/>
      </c>
      <c r="N573">
        <f>_xlfn.NUMBERVALUE("0.000000")</f>
        <v/>
      </c>
      <c r="O573">
        <f>_xlfn.NUMBERVALUE("-0.001055")</f>
        <v/>
      </c>
      <c r="P573">
        <f>_xlfn.NUMBERVALUE("-0.001467")</f>
        <v/>
      </c>
      <c r="Q573">
        <f>_xlfn.NUMBERVALUE("0.000018")</f>
        <v/>
      </c>
      <c r="R573">
        <f>_xlfn.NUMBERVALUE("0.000164")</f>
        <v/>
      </c>
      <c r="S573">
        <f>_xlfn.NUMBERVALUE("-0.000125")</f>
        <v/>
      </c>
      <c r="T573">
        <f>_xlfn.NUMBERVALUE("0.001391")</f>
        <v/>
      </c>
      <c r="U573">
        <f>_xlfn.NUMBERVALUE("0.000846")</f>
        <v/>
      </c>
      <c r="V573">
        <f>_xlfn.NUMBERVALUE("0.000049")</f>
        <v/>
      </c>
      <c r="W573">
        <f>_xlfn.NUMBERVALUE("-0.000191")</f>
        <v/>
      </c>
      <c r="X573">
        <f>_xlfn.NUMBERVALUE("0.480000")</f>
        <v/>
      </c>
      <c r="Y573">
        <f>_xlfn.NUMBERVALUE("12.870000")</f>
        <v/>
      </c>
    </row>
    <row r="574">
      <c r="A574" s="1" t="n">
        <v>42835</v>
      </c>
      <c r="B574">
        <f>_xlfn.NUMBERVALUE("0.000000")</f>
        <v/>
      </c>
      <c r="C574" s="2">
        <f>_xlfn.NUMBERVALUE("0.000424")</f>
        <v/>
      </c>
      <c r="D574">
        <f>_xlfn.NUMBERVALUE("0.001550")</f>
        <v/>
      </c>
      <c r="E574">
        <f>_xlfn.NUMBERVALUE("-0.001919")</f>
        <v/>
      </c>
      <c r="F574">
        <f>_xlfn.NUMBERVALUE("0.001159")</f>
        <v/>
      </c>
      <c r="G574">
        <f>_xlfn.NUMBERVALUE("0.000832")</f>
        <v/>
      </c>
      <c r="H574">
        <f>_xlfn.NUMBERVALUE("0.000331")</f>
        <v/>
      </c>
      <c r="I574">
        <f>_xlfn.NUMBERVALUE("0.000053")</f>
        <v/>
      </c>
      <c r="J574">
        <f>_xlfn.NUMBERVALUE("-0.000184")</f>
        <v/>
      </c>
      <c r="K574">
        <f>_xlfn.NUMBERVALUE("-0.000145")</f>
        <v/>
      </c>
      <c r="L574">
        <f>_xlfn.NUMBERVALUE("0.000679")</f>
        <v/>
      </c>
      <c r="M574">
        <f>_xlfn.NUMBERVALUE("0.000837")</f>
        <v/>
      </c>
      <c r="N574">
        <f>_xlfn.NUMBERVALUE("0.000000")</f>
        <v/>
      </c>
      <c r="O574">
        <f>_xlfn.NUMBERVALUE("-0.001272")</f>
        <v/>
      </c>
      <c r="P574">
        <f>_xlfn.NUMBERVALUE("0.000792")</f>
        <v/>
      </c>
      <c r="Q574">
        <f>_xlfn.NUMBERVALUE("0.000223")</f>
        <v/>
      </c>
      <c r="R574">
        <f>_xlfn.NUMBERVALUE("0.001205")</f>
        <v/>
      </c>
      <c r="S574">
        <f>_xlfn.NUMBERVALUE("0.000643")</f>
        <v/>
      </c>
      <c r="T574">
        <f>_xlfn.NUMBERVALUE("0.001184")</f>
        <v/>
      </c>
      <c r="U574">
        <f>_xlfn.NUMBERVALUE("0.000188")</f>
        <v/>
      </c>
      <c r="V574">
        <f>_xlfn.NUMBERVALUE("0.000076")</f>
        <v/>
      </c>
      <c r="W574">
        <f>_xlfn.NUMBERVALUE("0.000383")</f>
        <v/>
      </c>
      <c r="X574">
        <f>_xlfn.NUMBERVALUE("1.180000")</f>
        <v/>
      </c>
      <c r="Y574">
        <f>_xlfn.NUMBERVALUE("14.050000")</f>
        <v/>
      </c>
    </row>
    <row r="575">
      <c r="A575" s="1" t="n">
        <v>42836</v>
      </c>
      <c r="B575">
        <f>_xlfn.NUMBERVALUE("0.000000")</f>
        <v/>
      </c>
      <c r="C575" s="2">
        <f>_xlfn.NUMBERVALUE("0.000133")</f>
        <v/>
      </c>
      <c r="D575">
        <f>_xlfn.NUMBERVALUE("-0.000407")</f>
        <v/>
      </c>
      <c r="E575">
        <f>_xlfn.NUMBERVALUE("-0.002824")</f>
        <v/>
      </c>
      <c r="F575">
        <f>_xlfn.NUMBERVALUE("-0.005435")</f>
        <v/>
      </c>
      <c r="G575">
        <f>_xlfn.NUMBERVALUE("-0.000256")</f>
        <v/>
      </c>
      <c r="H575">
        <f>_xlfn.NUMBERVALUE("-0.002219")</f>
        <v/>
      </c>
      <c r="I575">
        <f>_xlfn.NUMBERVALUE("-0.000017")</f>
        <v/>
      </c>
      <c r="J575">
        <f>_xlfn.NUMBERVALUE("-0.001138")</f>
        <v/>
      </c>
      <c r="K575">
        <f>_xlfn.NUMBERVALUE("-0.003455")</f>
        <v/>
      </c>
      <c r="L575">
        <f>_xlfn.NUMBERVALUE("-0.002255")</f>
        <v/>
      </c>
      <c r="M575">
        <f>_xlfn.NUMBERVALUE("-0.000758")</f>
        <v/>
      </c>
      <c r="N575">
        <f>_xlfn.NUMBERVALUE("0.000000")</f>
        <v/>
      </c>
      <c r="O575">
        <f>_xlfn.NUMBERVALUE("-0.001786")</f>
        <v/>
      </c>
      <c r="P575">
        <f>_xlfn.NUMBERVALUE("-0.001296")</f>
        <v/>
      </c>
      <c r="Q575">
        <f>_xlfn.NUMBERVALUE("-0.002729")</f>
        <v/>
      </c>
      <c r="R575">
        <f>_xlfn.NUMBERVALUE("-0.001197")</f>
        <v/>
      </c>
      <c r="S575">
        <f>_xlfn.NUMBERVALUE("-0.000504")</f>
        <v/>
      </c>
      <c r="T575">
        <f>_xlfn.NUMBERVALUE("-0.000508")</f>
        <v/>
      </c>
      <c r="U575">
        <f>_xlfn.NUMBERVALUE("-0.001532")</f>
        <v/>
      </c>
      <c r="V575">
        <f>_xlfn.NUMBERVALUE("-0.000399")</f>
        <v/>
      </c>
      <c r="W575">
        <f>_xlfn.NUMBERVALUE("-0.002911")</f>
        <v/>
      </c>
      <c r="X575">
        <f>_xlfn.NUMBERVALUE("1.020000")</f>
        <v/>
      </c>
      <c r="Y575">
        <f>_xlfn.NUMBERVALUE("15.070000")</f>
        <v/>
      </c>
    </row>
    <row r="576">
      <c r="A576" s="1" t="n">
        <v>42837</v>
      </c>
      <c r="B576">
        <f>_xlfn.NUMBERVALUE("0.000000")</f>
        <v/>
      </c>
      <c r="C576" s="2">
        <f>_xlfn.NUMBERVALUE("0.000147")</f>
        <v/>
      </c>
      <c r="D576">
        <f>_xlfn.NUMBERVALUE("0.001006")</f>
        <v/>
      </c>
      <c r="E576">
        <f>_xlfn.NUMBERVALUE("0.001444")</f>
        <v/>
      </c>
      <c r="F576">
        <f>_xlfn.NUMBERVALUE("-0.000951")</f>
        <v/>
      </c>
      <c r="G576">
        <f>_xlfn.NUMBERVALUE("0.000767")</f>
        <v/>
      </c>
      <c r="H576">
        <f>_xlfn.NUMBERVALUE("-0.000164")</f>
        <v/>
      </c>
      <c r="I576">
        <f>_xlfn.NUMBERVALUE("-0.001346")</f>
        <v/>
      </c>
      <c r="J576">
        <f>_xlfn.NUMBERVALUE("0.000276")</f>
        <v/>
      </c>
      <c r="K576">
        <f>_xlfn.NUMBERVALUE("0.001997")</f>
        <v/>
      </c>
      <c r="L576">
        <f>_xlfn.NUMBERVALUE("-0.000054")</f>
        <v/>
      </c>
      <c r="M576">
        <f>_xlfn.NUMBERVALUE("-0.002284")</f>
        <v/>
      </c>
      <c r="N576">
        <f>_xlfn.NUMBERVALUE("0.000000")</f>
        <v/>
      </c>
      <c r="O576">
        <f>_xlfn.NUMBERVALUE("0.001015")</f>
        <v/>
      </c>
      <c r="P576">
        <f>_xlfn.NUMBERVALUE("0.000605")</f>
        <v/>
      </c>
      <c r="Q576">
        <f>_xlfn.NUMBERVALUE("0.000191")</f>
        <v/>
      </c>
      <c r="R576">
        <f>_xlfn.NUMBERVALUE("0.000097")</f>
        <v/>
      </c>
      <c r="S576">
        <f>_xlfn.NUMBERVALUE("-0.001342")</f>
        <v/>
      </c>
      <c r="T576">
        <f>_xlfn.NUMBERVALUE("-0.000720")</f>
        <v/>
      </c>
      <c r="U576">
        <f>_xlfn.NUMBERVALUE("0.000153")</f>
        <v/>
      </c>
      <c r="V576">
        <f>_xlfn.NUMBERVALUE("0.000669")</f>
        <v/>
      </c>
      <c r="W576">
        <f>_xlfn.NUMBERVALUE("-0.003068")</f>
        <v/>
      </c>
      <c r="X576">
        <f>_xlfn.NUMBERVALUE("0.700000")</f>
        <v/>
      </c>
      <c r="Y576">
        <f>_xlfn.NUMBERVALUE("15.770000")</f>
        <v/>
      </c>
    </row>
    <row r="577">
      <c r="A577" s="1" t="n">
        <v>42838</v>
      </c>
      <c r="B577">
        <f>_xlfn.NUMBERVALUE("0.000000")</f>
        <v/>
      </c>
      <c r="C577" s="2">
        <f>_xlfn.NUMBERVALUE("0.000740")</f>
        <v/>
      </c>
      <c r="D577">
        <f>_xlfn.NUMBERVALUE("-0.001189")</f>
        <v/>
      </c>
      <c r="E577">
        <f>_xlfn.NUMBERVALUE("0.000848")</f>
        <v/>
      </c>
      <c r="F577">
        <f>_xlfn.NUMBERVALUE("-0.000394")</f>
        <v/>
      </c>
      <c r="G577">
        <f>_xlfn.NUMBERVALUE("-0.000210")</f>
        <v/>
      </c>
      <c r="H577">
        <f>_xlfn.NUMBERVALUE("0.000184")</f>
        <v/>
      </c>
      <c r="I577">
        <f>_xlfn.NUMBERVALUE("0.001153")</f>
        <v/>
      </c>
      <c r="J577">
        <f>_xlfn.NUMBERVALUE("-0.000647")</f>
        <v/>
      </c>
      <c r="K577">
        <f>_xlfn.NUMBERVALUE("0.001717")</f>
        <v/>
      </c>
      <c r="L577">
        <f>_xlfn.NUMBERVALUE("0.000838")</f>
        <v/>
      </c>
      <c r="M577">
        <f>_xlfn.NUMBERVALUE("-0.000180")</f>
        <v/>
      </c>
      <c r="N577">
        <f>_xlfn.NUMBERVALUE("0.000000")</f>
        <v/>
      </c>
      <c r="O577">
        <f>_xlfn.NUMBERVALUE("0.000766")</f>
        <v/>
      </c>
      <c r="P577">
        <f>_xlfn.NUMBERVALUE("0.002281")</f>
        <v/>
      </c>
      <c r="Q577">
        <f>_xlfn.NUMBERVALUE("0.000677")</f>
        <v/>
      </c>
      <c r="R577">
        <f>_xlfn.NUMBERVALUE("0.000607")</f>
        <v/>
      </c>
      <c r="S577">
        <f>_xlfn.NUMBERVALUE("-0.000080")</f>
        <v/>
      </c>
      <c r="T577">
        <f>_xlfn.NUMBERVALUE("-0.000003")</f>
        <v/>
      </c>
      <c r="U577">
        <f>_xlfn.NUMBERVALUE("0.000341")</f>
        <v/>
      </c>
      <c r="V577">
        <f>_xlfn.NUMBERVALUE("0.000838")</f>
        <v/>
      </c>
      <c r="W577">
        <f>_xlfn.NUMBERVALUE("-0.003591")</f>
        <v/>
      </c>
      <c r="X577">
        <f>_xlfn.NUMBERVALUE("0.190000")</f>
        <v/>
      </c>
      <c r="Y577">
        <f>_xlfn.NUMBERVALUE("15.960000")</f>
        <v/>
      </c>
    </row>
    <row r="578">
      <c r="A578" s="1" t="n">
        <v>42842</v>
      </c>
      <c r="B578">
        <f>_xlfn.NUMBERVALUE("0.000000")</f>
        <v/>
      </c>
      <c r="C578" s="2">
        <f>_xlfn.NUMBERVALUE("0.000955")</f>
        <v/>
      </c>
      <c r="D578">
        <f>_xlfn.NUMBERVALUE("0.001485")</f>
        <v/>
      </c>
      <c r="E578">
        <f>_xlfn.NUMBERVALUE("0.000270")</f>
        <v/>
      </c>
      <c r="F578">
        <f>_xlfn.NUMBERVALUE("0.001977")</f>
        <v/>
      </c>
      <c r="G578">
        <f>_xlfn.NUMBERVALUE("0.001340")</f>
        <v/>
      </c>
      <c r="H578">
        <f>_xlfn.NUMBERVALUE("0.001025")</f>
        <v/>
      </c>
      <c r="I578">
        <f>_xlfn.NUMBERVALUE("0.001706")</f>
        <v/>
      </c>
      <c r="J578">
        <f>_xlfn.NUMBERVALUE("-0.000079")</f>
        <v/>
      </c>
      <c r="K578">
        <f>_xlfn.NUMBERVALUE("0.002893")</f>
        <v/>
      </c>
      <c r="L578">
        <f>_xlfn.NUMBERVALUE("0.000942")</f>
        <v/>
      </c>
      <c r="M578">
        <f>_xlfn.NUMBERVALUE("0.000608")</f>
        <v/>
      </c>
      <c r="N578">
        <f>_xlfn.NUMBERVALUE("0.000000")</f>
        <v/>
      </c>
      <c r="O578">
        <f>_xlfn.NUMBERVALUE("-0.000200")</f>
        <v/>
      </c>
      <c r="P578">
        <f>_xlfn.NUMBERVALUE("-0.000865")</f>
        <v/>
      </c>
      <c r="Q578">
        <f>_xlfn.NUMBERVALUE("0.000513")</f>
        <v/>
      </c>
      <c r="R578">
        <f>_xlfn.NUMBERVALUE("0.000226")</f>
        <v/>
      </c>
      <c r="S578">
        <f>_xlfn.NUMBERVALUE("0.001212")</f>
        <v/>
      </c>
      <c r="T578">
        <f>_xlfn.NUMBERVALUE("0.000276")</f>
        <v/>
      </c>
      <c r="U578">
        <f>_xlfn.NUMBERVALUE("0.000061")</f>
        <v/>
      </c>
      <c r="V578">
        <f>_xlfn.NUMBERVALUE("0.001102")</f>
        <v/>
      </c>
      <c r="W578">
        <f>_xlfn.NUMBERVALUE("-0.000300")</f>
        <v/>
      </c>
      <c r="X578">
        <f>_xlfn.NUMBERVALUE("-1.300000")</f>
        <v/>
      </c>
      <c r="Y578">
        <f>_xlfn.NUMBERVALUE("14.660000")</f>
        <v/>
      </c>
    </row>
    <row r="579">
      <c r="A579" s="1" t="n">
        <v>42843</v>
      </c>
      <c r="B579">
        <f>_xlfn.NUMBERVALUE("0.000000")</f>
        <v/>
      </c>
      <c r="C579" s="2">
        <f>_xlfn.NUMBERVALUE("0.001627")</f>
        <v/>
      </c>
      <c r="D579">
        <f>_xlfn.NUMBERVALUE("0.001345")</f>
        <v/>
      </c>
      <c r="E579">
        <f>_xlfn.NUMBERVALUE("0.000322")</f>
        <v/>
      </c>
      <c r="F579">
        <f>_xlfn.NUMBERVALUE("0.001924")</f>
        <v/>
      </c>
      <c r="G579">
        <f>_xlfn.NUMBERVALUE("0.001145")</f>
        <v/>
      </c>
      <c r="H579">
        <f>_xlfn.NUMBERVALUE("0.000136")</f>
        <v/>
      </c>
      <c r="I579">
        <f>_xlfn.NUMBERVALUE("0.000867")</f>
        <v/>
      </c>
      <c r="J579">
        <f>_xlfn.NUMBERVALUE("0.000648")</f>
        <v/>
      </c>
      <c r="K579">
        <f>_xlfn.NUMBERVALUE("0.000671")</f>
        <v/>
      </c>
      <c r="L579">
        <f>_xlfn.NUMBERVALUE("-0.000736")</f>
        <v/>
      </c>
      <c r="M579">
        <f>_xlfn.NUMBERVALUE("0.001677")</f>
        <v/>
      </c>
      <c r="N579">
        <f>_xlfn.NUMBERVALUE("0.000000")</f>
        <v/>
      </c>
      <c r="O579">
        <f>_xlfn.NUMBERVALUE("0.003541")</f>
        <v/>
      </c>
      <c r="P579">
        <f>_xlfn.NUMBERVALUE("0.003265")</f>
        <v/>
      </c>
      <c r="Q579">
        <f>_xlfn.NUMBERVALUE("0.000965")</f>
        <v/>
      </c>
      <c r="R579">
        <f>_xlfn.NUMBERVALUE("0.001643")</f>
        <v/>
      </c>
      <c r="S579">
        <f>_xlfn.NUMBERVALUE("-0.003265")</f>
        <v/>
      </c>
      <c r="T579">
        <f>_xlfn.NUMBERVALUE("0.000651")</f>
        <v/>
      </c>
      <c r="U579">
        <f>_xlfn.NUMBERVALUE("-0.000452")</f>
        <v/>
      </c>
      <c r="V579">
        <f>_xlfn.NUMBERVALUE("0.000806")</f>
        <v/>
      </c>
      <c r="W579">
        <f>_xlfn.NUMBERVALUE("0.004205")</f>
        <v/>
      </c>
      <c r="X579">
        <f>_xlfn.NUMBERVALUE("-0.240000")</f>
        <v/>
      </c>
      <c r="Y579">
        <f>_xlfn.NUMBERVALUE("14.420000")</f>
        <v/>
      </c>
    </row>
    <row r="580">
      <c r="A580" s="1" t="n">
        <v>42844</v>
      </c>
      <c r="B580">
        <f>_xlfn.NUMBERVALUE("0.000000")</f>
        <v/>
      </c>
      <c r="C580" s="2">
        <f>_xlfn.NUMBERVALUE("-0.000735")</f>
        <v/>
      </c>
      <c r="D580">
        <f>_xlfn.NUMBERVALUE("0.000296")</f>
        <v/>
      </c>
      <c r="E580">
        <f>_xlfn.NUMBERVALUE("0.000594")</f>
        <v/>
      </c>
      <c r="F580">
        <f>_xlfn.NUMBERVALUE("0.000739")</f>
        <v/>
      </c>
      <c r="G580">
        <f>_xlfn.NUMBERVALUE("-0.000970")</f>
        <v/>
      </c>
      <c r="H580">
        <f>_xlfn.NUMBERVALUE("0.000002")</f>
        <v/>
      </c>
      <c r="I580">
        <f>_xlfn.NUMBERVALUE("-0.000513")</f>
        <v/>
      </c>
      <c r="J580">
        <f>_xlfn.NUMBERVALUE("-0.000513")</f>
        <v/>
      </c>
      <c r="K580">
        <f>_xlfn.NUMBERVALUE("0.000865")</f>
        <v/>
      </c>
      <c r="L580">
        <f>_xlfn.NUMBERVALUE("0.001454")</f>
        <v/>
      </c>
      <c r="M580">
        <f>_xlfn.NUMBERVALUE("0.001327")</f>
        <v/>
      </c>
      <c r="N580">
        <f>_xlfn.NUMBERVALUE("0.000000")</f>
        <v/>
      </c>
      <c r="O580">
        <f>_xlfn.NUMBERVALUE("-0.001188")</f>
        <v/>
      </c>
      <c r="P580">
        <f>_xlfn.NUMBERVALUE("0.000992")</f>
        <v/>
      </c>
      <c r="Q580">
        <f>_xlfn.NUMBERVALUE("0.000929")</f>
        <v/>
      </c>
      <c r="R580">
        <f>_xlfn.NUMBERVALUE("0.001321")</f>
        <v/>
      </c>
      <c r="S580">
        <f>_xlfn.NUMBERVALUE("0.001327")</f>
        <v/>
      </c>
      <c r="T580">
        <f>_xlfn.NUMBERVALUE("0.000822")</f>
        <v/>
      </c>
      <c r="U580">
        <f>_xlfn.NUMBERVALUE("0.001175")</f>
        <v/>
      </c>
      <c r="V580">
        <f>_xlfn.NUMBERVALUE("-0.000259")</f>
        <v/>
      </c>
      <c r="W580">
        <f>_xlfn.NUMBERVALUE("-0.003461")</f>
        <v/>
      </c>
      <c r="X580">
        <f>_xlfn.NUMBERVALUE("0.510000")</f>
        <v/>
      </c>
      <c r="Y580">
        <f>_xlfn.NUMBERVALUE("14.930000")</f>
        <v/>
      </c>
    </row>
    <row r="581">
      <c r="A581" s="1" t="n">
        <v>42845</v>
      </c>
      <c r="B581">
        <f>_xlfn.NUMBERVALUE("0.000000")</f>
        <v/>
      </c>
      <c r="C581" s="2">
        <f>_xlfn.NUMBERVALUE("-0.000890")</f>
        <v/>
      </c>
      <c r="D581">
        <f>_xlfn.NUMBERVALUE("-0.001721")</f>
        <v/>
      </c>
      <c r="E581">
        <f>_xlfn.NUMBERVALUE("-0.002483")</f>
        <v/>
      </c>
      <c r="F581">
        <f>_xlfn.NUMBERVALUE("0.000411")</f>
        <v/>
      </c>
      <c r="G581">
        <f>_xlfn.NUMBERVALUE("0.000368")</f>
        <v/>
      </c>
      <c r="H581">
        <f>_xlfn.NUMBERVALUE("0.000272")</f>
        <v/>
      </c>
      <c r="I581">
        <f>_xlfn.NUMBERVALUE("0.000251")</f>
        <v/>
      </c>
      <c r="J581">
        <f>_xlfn.NUMBERVALUE("-0.000072")</f>
        <v/>
      </c>
      <c r="K581">
        <f>_xlfn.NUMBERVALUE("-0.000465")</f>
        <v/>
      </c>
      <c r="L581">
        <f>_xlfn.NUMBERVALUE("0.000048")</f>
        <v/>
      </c>
      <c r="M581">
        <f>_xlfn.NUMBERVALUE("-0.001174")</f>
        <v/>
      </c>
      <c r="N581">
        <f>_xlfn.NUMBERVALUE("0.000000")</f>
        <v/>
      </c>
      <c r="O581">
        <f>_xlfn.NUMBERVALUE("-0.000567")</f>
        <v/>
      </c>
      <c r="P581">
        <f>_xlfn.NUMBERVALUE("-0.002413")</f>
        <v/>
      </c>
      <c r="Q581">
        <f>_xlfn.NUMBERVALUE("-0.002430")</f>
        <v/>
      </c>
      <c r="R581">
        <f>_xlfn.NUMBERVALUE("-0.002041")</f>
        <v/>
      </c>
      <c r="S581">
        <f>_xlfn.NUMBERVALUE("0.001249")</f>
        <v/>
      </c>
      <c r="T581">
        <f>_xlfn.NUMBERVALUE("0.002201")</f>
        <v/>
      </c>
      <c r="U581">
        <f>_xlfn.NUMBERVALUE("-0.002001")</f>
        <v/>
      </c>
      <c r="V581">
        <f>_xlfn.NUMBERVALUE("-0.000925")</f>
        <v/>
      </c>
      <c r="W581">
        <f>_xlfn.NUMBERVALUE("0.010442")</f>
        <v/>
      </c>
      <c r="X581">
        <f>_xlfn.NUMBERVALUE("-0.780000")</f>
        <v/>
      </c>
      <c r="Y581">
        <f>_xlfn.NUMBERVALUE("14.150000")</f>
        <v/>
      </c>
    </row>
    <row r="582">
      <c r="A582" s="1" t="n">
        <v>42846</v>
      </c>
      <c r="B582">
        <f>_xlfn.NUMBERVALUE("0.000000")</f>
        <v/>
      </c>
      <c r="C582" s="2">
        <f>_xlfn.NUMBERVALUE("-0.001273")</f>
        <v/>
      </c>
      <c r="D582">
        <f>_xlfn.NUMBERVALUE("0.000639")</f>
        <v/>
      </c>
      <c r="E582">
        <f>_xlfn.NUMBERVALUE("-0.002286")</f>
        <v/>
      </c>
      <c r="F582">
        <f>_xlfn.NUMBERVALUE("-0.000323")</f>
        <v/>
      </c>
      <c r="G582">
        <f>_xlfn.NUMBERVALUE("-0.000624")</f>
        <v/>
      </c>
      <c r="H582">
        <f>_xlfn.NUMBERVALUE("-0.000193")</f>
        <v/>
      </c>
      <c r="I582">
        <f>_xlfn.NUMBERVALUE("-0.000949")</f>
        <v/>
      </c>
      <c r="J582">
        <f>_xlfn.NUMBERVALUE("-0.000065")</f>
        <v/>
      </c>
      <c r="K582">
        <f>_xlfn.NUMBERVALUE("-0.000858")</f>
        <v/>
      </c>
      <c r="L582">
        <f>_xlfn.NUMBERVALUE("-0.001564")</f>
        <v/>
      </c>
      <c r="M582">
        <f>_xlfn.NUMBERVALUE("-0.000004")</f>
        <v/>
      </c>
      <c r="N582">
        <f>_xlfn.NUMBERVALUE("0.000000")</f>
        <v/>
      </c>
      <c r="O582">
        <f>_xlfn.NUMBERVALUE("0.000785")</f>
        <v/>
      </c>
      <c r="P582">
        <f>_xlfn.NUMBERVALUE("-0.002278")</f>
        <v/>
      </c>
      <c r="Q582">
        <f>_xlfn.NUMBERVALUE("0.000378")</f>
        <v/>
      </c>
      <c r="R582">
        <f>_xlfn.NUMBERVALUE("0.000194")</f>
        <v/>
      </c>
      <c r="S582">
        <f>_xlfn.NUMBERVALUE("0.000074")</f>
        <v/>
      </c>
      <c r="T582">
        <f>_xlfn.NUMBERVALUE("-0.000496")</f>
        <v/>
      </c>
      <c r="U582">
        <f>_xlfn.NUMBERVALUE("0.000093")</f>
        <v/>
      </c>
      <c r="V582">
        <f>_xlfn.NUMBERVALUE("-0.001343")</f>
        <v/>
      </c>
      <c r="W582">
        <f>_xlfn.NUMBERVALUE("-0.003289")</f>
        <v/>
      </c>
      <c r="X582">
        <f>_xlfn.NUMBERVALUE("0.480000")</f>
        <v/>
      </c>
      <c r="Y582">
        <f>_xlfn.NUMBERVALUE("14.630000")</f>
        <v/>
      </c>
    </row>
    <row r="583">
      <c r="A583" s="1" t="n">
        <v>42849</v>
      </c>
      <c r="B583">
        <f>_xlfn.NUMBERVALUE("0.000000")</f>
        <v/>
      </c>
      <c r="C583" s="2">
        <f>_xlfn.NUMBERVALUE("0.003803")</f>
        <v/>
      </c>
      <c r="D583">
        <f>_xlfn.NUMBERVALUE("0.007161")</f>
        <v/>
      </c>
      <c r="E583">
        <f>_xlfn.NUMBERVALUE("0.002124")</f>
        <v/>
      </c>
      <c r="F583">
        <f>_xlfn.NUMBERVALUE("0.005074")</f>
        <v/>
      </c>
      <c r="G583">
        <f>_xlfn.NUMBERVALUE("0.002384")</f>
        <v/>
      </c>
      <c r="H583">
        <f>_xlfn.NUMBERVALUE("0.002146")</f>
        <v/>
      </c>
      <c r="I583">
        <f>_xlfn.NUMBERVALUE("0.002592")</f>
        <v/>
      </c>
      <c r="J583">
        <f>_xlfn.NUMBERVALUE("0.003258")</f>
        <v/>
      </c>
      <c r="K583">
        <f>_xlfn.NUMBERVALUE("0.006083")</f>
        <v/>
      </c>
      <c r="L583">
        <f>_xlfn.NUMBERVALUE("0.006003")</f>
        <v/>
      </c>
      <c r="M583">
        <f>_xlfn.NUMBERVALUE("0.001967")</f>
        <v/>
      </c>
      <c r="N583">
        <f>_xlfn.NUMBERVALUE("0.000000")</f>
        <v/>
      </c>
      <c r="O583">
        <f>_xlfn.NUMBERVALUE("0.002966")</f>
        <v/>
      </c>
      <c r="P583">
        <f>_xlfn.NUMBERVALUE("0.003478")</f>
        <v/>
      </c>
      <c r="Q583">
        <f>_xlfn.NUMBERVALUE("0.001305")</f>
        <v/>
      </c>
      <c r="R583">
        <f>_xlfn.NUMBERVALUE("0.002225")</f>
        <v/>
      </c>
      <c r="S583">
        <f>_xlfn.NUMBERVALUE("0.001528")</f>
        <v/>
      </c>
      <c r="T583">
        <f>_xlfn.NUMBERVALUE("0.002452")</f>
        <v/>
      </c>
      <c r="U583">
        <f>_xlfn.NUMBERVALUE("0.003340")</f>
        <v/>
      </c>
      <c r="V583">
        <f>_xlfn.NUMBERVALUE("0.004782")</f>
        <v/>
      </c>
      <c r="W583">
        <f>_xlfn.NUMBERVALUE("0.010155")</f>
        <v/>
      </c>
      <c r="X583">
        <f>_xlfn.NUMBERVALUE("-3.790000")</f>
        <v/>
      </c>
      <c r="Y583">
        <f>_xlfn.NUMBERVALUE("10.840000")</f>
        <v/>
      </c>
    </row>
    <row r="584">
      <c r="A584" s="1" t="n">
        <v>42850</v>
      </c>
      <c r="B584">
        <f>_xlfn.NUMBERVALUE("0.000000")</f>
        <v/>
      </c>
      <c r="C584" s="2">
        <f>_xlfn.NUMBERVALUE("-0.003343")</f>
        <v/>
      </c>
      <c r="D584">
        <f>_xlfn.NUMBERVALUE("-0.001612")</f>
        <v/>
      </c>
      <c r="E584">
        <f>_xlfn.NUMBERVALUE("0.000170")</f>
        <v/>
      </c>
      <c r="F584">
        <f>_xlfn.NUMBERVALUE("-0.001508")</f>
        <v/>
      </c>
      <c r="G584">
        <f>_xlfn.NUMBERVALUE("-0.000075")</f>
        <v/>
      </c>
      <c r="H584">
        <f>_xlfn.NUMBERVALUE("-0.000241")</f>
        <v/>
      </c>
      <c r="I584">
        <f>_xlfn.NUMBERVALUE("-0.000958")</f>
        <v/>
      </c>
      <c r="J584">
        <f>_xlfn.NUMBERVALUE("-0.000087")</f>
        <v/>
      </c>
      <c r="K584">
        <f>_xlfn.NUMBERVALUE("-0.002298")</f>
        <v/>
      </c>
      <c r="L584">
        <f>_xlfn.NUMBERVALUE("-0.000699")</f>
        <v/>
      </c>
      <c r="M584">
        <f>_xlfn.NUMBERVALUE("-0.002898")</f>
        <v/>
      </c>
      <c r="N584">
        <f>_xlfn.NUMBERVALUE("0.000000")</f>
        <v/>
      </c>
      <c r="O584">
        <f>_xlfn.NUMBERVALUE("0.000844")</f>
        <v/>
      </c>
      <c r="P584">
        <f>_xlfn.NUMBERVALUE("0.000826")</f>
        <v/>
      </c>
      <c r="Q584">
        <f>_xlfn.NUMBERVALUE("0.001114")</f>
        <v/>
      </c>
      <c r="R584">
        <f>_xlfn.NUMBERVALUE("-0.000165")</f>
        <v/>
      </c>
      <c r="S584">
        <f>_xlfn.NUMBERVALUE("0.000582")</f>
        <v/>
      </c>
      <c r="T584">
        <f>_xlfn.NUMBERVALUE("0.001214")</f>
        <v/>
      </c>
      <c r="U584">
        <f>_xlfn.NUMBERVALUE("-0.000582")</f>
        <v/>
      </c>
      <c r="V584">
        <f>_xlfn.NUMBERVALUE("-0.000985")</f>
        <v/>
      </c>
      <c r="W584">
        <f>_xlfn.NUMBERVALUE("0.006238")</f>
        <v/>
      </c>
      <c r="X584">
        <f>_xlfn.NUMBERVALUE("-0.080000")</f>
        <v/>
      </c>
      <c r="Y584">
        <f>_xlfn.NUMBERVALUE("10.760000")</f>
        <v/>
      </c>
    </row>
    <row r="585">
      <c r="A585" s="1" t="n">
        <v>42851</v>
      </c>
      <c r="B585">
        <f>_xlfn.NUMBERVALUE("0.000000")</f>
        <v/>
      </c>
      <c r="C585" s="2">
        <f>_xlfn.NUMBERVALUE("0.000790")</f>
        <v/>
      </c>
      <c r="D585">
        <f>_xlfn.NUMBERVALUE("0.000094")</f>
        <v/>
      </c>
      <c r="E585">
        <f>_xlfn.NUMBERVALUE("-0.000085")</f>
        <v/>
      </c>
      <c r="F585">
        <f>_xlfn.NUMBERVALUE("0.000290")</f>
        <v/>
      </c>
      <c r="G585">
        <f>_xlfn.NUMBERVALUE("0.000119")</f>
        <v/>
      </c>
      <c r="H585">
        <f>_xlfn.NUMBERVALUE("-0.000205")</f>
        <v/>
      </c>
      <c r="I585">
        <f>_xlfn.NUMBERVALUE("-0.000377")</f>
        <v/>
      </c>
      <c r="J585">
        <f>_xlfn.NUMBERVALUE("-0.000052")</f>
        <v/>
      </c>
      <c r="K585">
        <f>_xlfn.NUMBERVALUE("0.000716")</f>
        <v/>
      </c>
      <c r="L585">
        <f>_xlfn.NUMBERVALUE("-0.000301")</f>
        <v/>
      </c>
      <c r="M585">
        <f>_xlfn.NUMBERVALUE("0.000840")</f>
        <v/>
      </c>
      <c r="N585">
        <f>_xlfn.NUMBERVALUE("0.000000")</f>
        <v/>
      </c>
      <c r="O585">
        <f>_xlfn.NUMBERVALUE("0.000038")</f>
        <v/>
      </c>
      <c r="P585">
        <f>_xlfn.NUMBERVALUE("0.001773")</f>
        <v/>
      </c>
      <c r="Q585">
        <f>_xlfn.NUMBERVALUE("0.000898")</f>
        <v/>
      </c>
      <c r="R585">
        <f>_xlfn.NUMBERVALUE("0.000768")</f>
        <v/>
      </c>
      <c r="S585">
        <f>_xlfn.NUMBERVALUE("0.000223")</f>
        <v/>
      </c>
      <c r="T585">
        <f>_xlfn.NUMBERVALUE("0.001119")</f>
        <v/>
      </c>
      <c r="U585">
        <f>_xlfn.NUMBERVALUE("0.000699")</f>
        <v/>
      </c>
      <c r="V585">
        <f>_xlfn.NUMBERVALUE("0.000288")</f>
        <v/>
      </c>
      <c r="W585">
        <f>_xlfn.NUMBERVALUE("-0.000586")</f>
        <v/>
      </c>
      <c r="X585">
        <f>_xlfn.NUMBERVALUE("0.090000")</f>
        <v/>
      </c>
      <c r="Y585">
        <f>_xlfn.NUMBERVALUE("10.850000")</f>
        <v/>
      </c>
    </row>
    <row r="586">
      <c r="A586" s="1" t="n">
        <v>42852</v>
      </c>
      <c r="B586">
        <f>_xlfn.NUMBERVALUE("0.000000")</f>
        <v/>
      </c>
      <c r="C586" s="2">
        <f>_xlfn.NUMBERVALUE("0.000311")</f>
        <v/>
      </c>
      <c r="D586">
        <f>_xlfn.NUMBERVALUE("0.002177")</f>
        <v/>
      </c>
      <c r="E586">
        <f>_xlfn.NUMBERVALUE("0.000158")</f>
        <v/>
      </c>
      <c r="F586">
        <f>_xlfn.NUMBERVALUE("0.001741")</f>
        <v/>
      </c>
      <c r="G586">
        <f>_xlfn.NUMBERVALUE("0.000322")</f>
        <v/>
      </c>
      <c r="H586">
        <f>_xlfn.NUMBERVALUE("0.000694")</f>
        <v/>
      </c>
      <c r="I586">
        <f>_xlfn.NUMBERVALUE("0.001220")</f>
        <v/>
      </c>
      <c r="J586">
        <f>_xlfn.NUMBERVALUE("0.000075")</f>
        <v/>
      </c>
      <c r="K586">
        <f>_xlfn.NUMBERVALUE("-0.001497")</f>
        <v/>
      </c>
      <c r="L586">
        <f>_xlfn.NUMBERVALUE("0.001160")</f>
        <v/>
      </c>
      <c r="M586">
        <f>_xlfn.NUMBERVALUE("0.001297")</f>
        <v/>
      </c>
      <c r="N586">
        <f>_xlfn.NUMBERVALUE("0.000000")</f>
        <v/>
      </c>
      <c r="O586">
        <f>_xlfn.NUMBERVALUE("-0.001811")</f>
        <v/>
      </c>
      <c r="P586">
        <f>_xlfn.NUMBERVALUE("0.001864")</f>
        <v/>
      </c>
      <c r="Q586">
        <f>_xlfn.NUMBERVALUE("0.000144")</f>
        <v/>
      </c>
      <c r="R586">
        <f>_xlfn.NUMBERVALUE("-0.000550")</f>
        <v/>
      </c>
      <c r="S586">
        <f>_xlfn.NUMBERVALUE("0.000973")</f>
        <v/>
      </c>
      <c r="T586">
        <f>_xlfn.NUMBERVALUE("0.000505")</f>
        <v/>
      </c>
      <c r="U586">
        <f>_xlfn.NUMBERVALUE("-0.001383")</f>
        <v/>
      </c>
      <c r="V586">
        <f>_xlfn.NUMBERVALUE("0.000893")</f>
        <v/>
      </c>
      <c r="W586">
        <f>_xlfn.NUMBERVALUE("0.000063")</f>
        <v/>
      </c>
      <c r="X586">
        <f>_xlfn.NUMBERVALUE("-0.490000")</f>
        <v/>
      </c>
      <c r="Y586">
        <f>_xlfn.NUMBERVALUE("10.360000")</f>
        <v/>
      </c>
    </row>
    <row r="587">
      <c r="A587" s="1" t="n">
        <v>42853</v>
      </c>
      <c r="B587">
        <f>_xlfn.NUMBERVALUE("0.000000")</f>
        <v/>
      </c>
      <c r="C587" s="2">
        <f>_xlfn.NUMBERVALUE("0.001038")</f>
        <v/>
      </c>
      <c r="D587">
        <f>_xlfn.NUMBERVALUE("0.000615")</f>
        <v/>
      </c>
      <c r="E587">
        <f>_xlfn.NUMBERVALUE("0.000122")</f>
        <v/>
      </c>
      <c r="F587">
        <f>_xlfn.NUMBERVALUE("0.000701")</f>
        <v/>
      </c>
      <c r="G587">
        <f>_xlfn.NUMBERVALUE("-0.001909")</f>
        <v/>
      </c>
      <c r="H587">
        <f>_xlfn.NUMBERVALUE("0.000423")</f>
        <v/>
      </c>
      <c r="I587">
        <f>_xlfn.NUMBERVALUE("0.001049")</f>
        <v/>
      </c>
      <c r="J587">
        <f>_xlfn.NUMBERVALUE("0.000694")</f>
        <v/>
      </c>
      <c r="K587">
        <f>_xlfn.NUMBERVALUE("0.001102")</f>
        <v/>
      </c>
      <c r="L587">
        <f>_xlfn.NUMBERVALUE("0.001418")</f>
        <v/>
      </c>
      <c r="M587">
        <f>_xlfn.NUMBERVALUE("0.000664")</f>
        <v/>
      </c>
      <c r="N587">
        <f>_xlfn.NUMBERVALUE("0.000000")</f>
        <v/>
      </c>
      <c r="O587">
        <f>_xlfn.NUMBERVALUE("0.000868")</f>
        <v/>
      </c>
      <c r="P587">
        <f>_xlfn.NUMBERVALUE("0.000377")</f>
        <v/>
      </c>
      <c r="Q587">
        <f>_xlfn.NUMBERVALUE("0.001251")</f>
        <v/>
      </c>
      <c r="R587">
        <f>_xlfn.NUMBERVALUE("0.001039")</f>
        <v/>
      </c>
      <c r="S587">
        <f>_xlfn.NUMBERVALUE("0.001006")</f>
        <v/>
      </c>
      <c r="T587">
        <f>_xlfn.NUMBERVALUE("0.001055")</f>
        <v/>
      </c>
      <c r="U587">
        <f>_xlfn.NUMBERVALUE("0.000409")</f>
        <v/>
      </c>
      <c r="V587">
        <f>_xlfn.NUMBERVALUE("0.000469")</f>
        <v/>
      </c>
      <c r="W587">
        <f>_xlfn.NUMBERVALUE("-0.002389")</f>
        <v/>
      </c>
      <c r="X587">
        <f>_xlfn.NUMBERVALUE("0.460000")</f>
        <v/>
      </c>
      <c r="Y587">
        <f>_xlfn.NUMBERVALUE("10.820000")</f>
        <v/>
      </c>
    </row>
    <row r="588">
      <c r="A588" s="1" t="n">
        <v>42856</v>
      </c>
      <c r="B588">
        <f>_xlfn.NUMBERVALUE("0.000000")</f>
        <v/>
      </c>
      <c r="C588" s="2">
        <f>_xlfn.NUMBERVALUE("0.000936")</f>
        <v/>
      </c>
      <c r="D588">
        <f>_xlfn.NUMBERVALUE("0.000148")</f>
        <v/>
      </c>
      <c r="E588">
        <f>_xlfn.NUMBERVALUE("-0.000042")</f>
        <v/>
      </c>
      <c r="F588">
        <f>_xlfn.NUMBERVALUE("0.000266")</f>
        <v/>
      </c>
      <c r="G588">
        <f>_xlfn.NUMBERVALUE("0.001929")</f>
        <v/>
      </c>
      <c r="H588">
        <f>_xlfn.NUMBERVALUE("0.000944")</f>
        <v/>
      </c>
      <c r="I588">
        <f>_xlfn.NUMBERVALUE("0.001080")</f>
        <v/>
      </c>
      <c r="J588">
        <f>_xlfn.NUMBERVALUE("0.000057")</f>
        <v/>
      </c>
      <c r="K588">
        <f>_xlfn.NUMBERVALUE("0.000182")</f>
        <v/>
      </c>
      <c r="L588">
        <f>_xlfn.NUMBERVALUE("-0.001335")</f>
        <v/>
      </c>
      <c r="M588">
        <f>_xlfn.NUMBERVALUE("0.001710")</f>
        <v/>
      </c>
      <c r="N588">
        <f>_xlfn.NUMBERVALUE("0.000000")</f>
        <v/>
      </c>
      <c r="O588">
        <f>_xlfn.NUMBERVALUE("0.000133")</f>
        <v/>
      </c>
      <c r="P588">
        <f>_xlfn.NUMBERVALUE("0.000550")</f>
        <v/>
      </c>
      <c r="Q588">
        <f>_xlfn.NUMBERVALUE("0.001258")</f>
        <v/>
      </c>
      <c r="R588">
        <f>_xlfn.NUMBERVALUE("-0.000287")</f>
        <v/>
      </c>
      <c r="S588">
        <f>_xlfn.NUMBERVALUE("0.000406")</f>
        <v/>
      </c>
      <c r="T588">
        <f>_xlfn.NUMBERVALUE("0.001464")</f>
        <v/>
      </c>
      <c r="U588">
        <f>_xlfn.NUMBERVALUE("0.001558")</f>
        <v/>
      </c>
      <c r="V588">
        <f>_xlfn.NUMBERVALUE("0.000157")</f>
        <v/>
      </c>
      <c r="W588">
        <f>_xlfn.NUMBERVALUE("0.004054")</f>
        <v/>
      </c>
      <c r="X588">
        <f>_xlfn.NUMBERVALUE("-0.710000")</f>
        <v/>
      </c>
      <c r="Y588">
        <f>_xlfn.NUMBERVALUE("10.110000")</f>
        <v/>
      </c>
    </row>
    <row r="589">
      <c r="A589" s="1" t="n">
        <v>42857</v>
      </c>
      <c r="B589">
        <f>_xlfn.NUMBERVALUE("0.000000")</f>
        <v/>
      </c>
      <c r="C589" s="2">
        <f>_xlfn.NUMBERVALUE("0.000342")</f>
        <v/>
      </c>
      <c r="D589">
        <f>_xlfn.NUMBERVALUE("-0.000190")</f>
        <v/>
      </c>
      <c r="E589">
        <f>_xlfn.NUMBERVALUE("-0.000008")</f>
        <v/>
      </c>
      <c r="F589">
        <f>_xlfn.NUMBERVALUE("0.002323")</f>
        <v/>
      </c>
      <c r="G589">
        <f>_xlfn.NUMBERVALUE("0.000192")</f>
        <v/>
      </c>
      <c r="H589">
        <f>_xlfn.NUMBERVALUE("0.000083")</f>
        <v/>
      </c>
      <c r="I589">
        <f>_xlfn.NUMBERVALUE("0.000751")</f>
        <v/>
      </c>
      <c r="J589">
        <f>_xlfn.NUMBERVALUE("-0.000037")</f>
        <v/>
      </c>
      <c r="K589">
        <f>_xlfn.NUMBERVALUE("0.000007")</f>
        <v/>
      </c>
      <c r="L589">
        <f>_xlfn.NUMBERVALUE("0.000492")</f>
        <v/>
      </c>
      <c r="M589">
        <f>_xlfn.NUMBERVALUE("0.000745")</f>
        <v/>
      </c>
      <c r="N589">
        <f>_xlfn.NUMBERVALUE("0.000000")</f>
        <v/>
      </c>
      <c r="O589">
        <f>_xlfn.NUMBERVALUE("0.000178")</f>
        <v/>
      </c>
      <c r="P589">
        <f>_xlfn.NUMBERVALUE("0.001419")</f>
        <v/>
      </c>
      <c r="Q589">
        <f>_xlfn.NUMBERVALUE("0.000511")</f>
        <v/>
      </c>
      <c r="R589">
        <f>_xlfn.NUMBERVALUE("0.000281")</f>
        <v/>
      </c>
      <c r="S589">
        <f>_xlfn.NUMBERVALUE("0.001935")</f>
        <v/>
      </c>
      <c r="T589">
        <f>_xlfn.NUMBERVALUE("0.001617")</f>
        <v/>
      </c>
      <c r="U589">
        <f>_xlfn.NUMBERVALUE("-0.000829")</f>
        <v/>
      </c>
      <c r="V589">
        <f>_xlfn.NUMBERVALUE("0.000228")</f>
        <v/>
      </c>
      <c r="W589">
        <f>_xlfn.NUMBERVALUE("-0.001736")</f>
        <v/>
      </c>
      <c r="X589">
        <f>_xlfn.NUMBERVALUE("0.480000")</f>
        <v/>
      </c>
      <c r="Y589">
        <f>_xlfn.NUMBERVALUE("10.590000")</f>
        <v/>
      </c>
    </row>
    <row r="590">
      <c r="A590" s="1" t="n">
        <v>42858</v>
      </c>
      <c r="B590">
        <f>_xlfn.NUMBERVALUE("0.000000")</f>
        <v/>
      </c>
      <c r="C590" s="2">
        <f>_xlfn.NUMBERVALUE("0.000043")</f>
        <v/>
      </c>
      <c r="D590">
        <f>_xlfn.NUMBERVALUE("0.000010")</f>
        <v/>
      </c>
      <c r="E590">
        <f>_xlfn.NUMBERVALUE("-0.000007")</f>
        <v/>
      </c>
      <c r="F590">
        <f>_xlfn.NUMBERVALUE("-0.005749")</f>
        <v/>
      </c>
      <c r="G590">
        <f>_xlfn.NUMBERVALUE("-0.000001")</f>
        <v/>
      </c>
      <c r="H590">
        <f>_xlfn.NUMBERVALUE("0.000699")</f>
        <v/>
      </c>
      <c r="I590">
        <f>_xlfn.NUMBERVALUE("0.000425")</f>
        <v/>
      </c>
      <c r="J590">
        <f>_xlfn.NUMBERVALUE("0.000171")</f>
        <v/>
      </c>
      <c r="K590">
        <f>_xlfn.NUMBERVALUE("0.000001")</f>
        <v/>
      </c>
      <c r="L590">
        <f>_xlfn.NUMBERVALUE("0.001815")</f>
        <v/>
      </c>
      <c r="M590">
        <f>_xlfn.NUMBERVALUE("-0.000056")</f>
        <v/>
      </c>
      <c r="N590">
        <f>_xlfn.NUMBERVALUE("0.000000")</f>
        <v/>
      </c>
      <c r="O590">
        <f>_xlfn.NUMBERVALUE("-0.000065")</f>
        <v/>
      </c>
      <c r="P590">
        <f>_xlfn.NUMBERVALUE("-0.001516")</f>
        <v/>
      </c>
      <c r="Q590">
        <f>_xlfn.NUMBERVALUE("0.000044")</f>
        <v/>
      </c>
      <c r="R590">
        <f>_xlfn.NUMBERVALUE("0.000139")</f>
        <v/>
      </c>
      <c r="S590">
        <f>_xlfn.NUMBERVALUE("-0.000111")</f>
        <v/>
      </c>
      <c r="T590">
        <f>_xlfn.NUMBERVALUE("0.001040")</f>
        <v/>
      </c>
      <c r="U590">
        <f>_xlfn.NUMBERVALUE("-0.000088")</f>
        <v/>
      </c>
      <c r="V590">
        <f>_xlfn.NUMBERVALUE("0.000090")</f>
        <v/>
      </c>
      <c r="W590">
        <f>_xlfn.NUMBERVALUE("-0.000094")</f>
        <v/>
      </c>
      <c r="X590">
        <f>_xlfn.NUMBERVALUE("0.090000")</f>
        <v/>
      </c>
      <c r="Y590">
        <f>_xlfn.NUMBERVALUE("10.680000")</f>
        <v/>
      </c>
    </row>
    <row r="591">
      <c r="A591" s="1" t="n">
        <v>42859</v>
      </c>
      <c r="B591">
        <f>_xlfn.NUMBERVALUE("0.000000")</f>
        <v/>
      </c>
      <c r="C591" s="2">
        <f>_xlfn.NUMBERVALUE("0.001030")</f>
        <v/>
      </c>
      <c r="D591">
        <f>_xlfn.NUMBERVALUE("-0.002635")</f>
        <v/>
      </c>
      <c r="E591">
        <f>_xlfn.NUMBERVALUE("-0.001894")</f>
        <v/>
      </c>
      <c r="F591">
        <f>_xlfn.NUMBERVALUE("-0.001287")</f>
        <v/>
      </c>
      <c r="G591">
        <f>_xlfn.NUMBERVALUE("-0.000811")</f>
        <v/>
      </c>
      <c r="H591">
        <f>_xlfn.NUMBERVALUE("-0.000073")</f>
        <v/>
      </c>
      <c r="I591">
        <f>_xlfn.NUMBERVALUE("0.000833")</f>
        <v/>
      </c>
      <c r="J591">
        <f>_xlfn.NUMBERVALUE("0.000381")</f>
        <v/>
      </c>
      <c r="K591">
        <f>_xlfn.NUMBERVALUE("-0.001530")</f>
        <v/>
      </c>
      <c r="L591">
        <f>_xlfn.NUMBERVALUE("0.002830")</f>
        <v/>
      </c>
      <c r="M591">
        <f>_xlfn.NUMBERVALUE("0.001239")</f>
        <v/>
      </c>
      <c r="N591">
        <f>_xlfn.NUMBERVALUE("0.000000")</f>
        <v/>
      </c>
      <c r="O591">
        <f>_xlfn.NUMBERVALUE("-0.000537")</f>
        <v/>
      </c>
      <c r="P591">
        <f>_xlfn.NUMBERVALUE("0.000253")</f>
        <v/>
      </c>
      <c r="Q591">
        <f>_xlfn.NUMBERVALUE("0.000352")</f>
        <v/>
      </c>
      <c r="R591">
        <f>_xlfn.NUMBERVALUE("0.000072")</f>
        <v/>
      </c>
      <c r="S591">
        <f>_xlfn.NUMBERVALUE("-0.001478")</f>
        <v/>
      </c>
      <c r="T591">
        <f>_xlfn.NUMBERVALUE("0.001118")</f>
        <v/>
      </c>
      <c r="U591">
        <f>_xlfn.NUMBERVALUE("0.000666")</f>
        <v/>
      </c>
      <c r="V591">
        <f>_xlfn.NUMBERVALUE("0.000913")</f>
        <v/>
      </c>
      <c r="W591">
        <f>_xlfn.NUMBERVALUE("0.000608")</f>
        <v/>
      </c>
      <c r="X591">
        <f>_xlfn.NUMBERVALUE("-0.220000")</f>
        <v/>
      </c>
      <c r="Y591">
        <f>_xlfn.NUMBERVALUE("10.460000")</f>
        <v/>
      </c>
    </row>
    <row r="592">
      <c r="A592" s="1" t="n">
        <v>42860</v>
      </c>
      <c r="B592">
        <f>_xlfn.NUMBERVALUE("0.000000")</f>
        <v/>
      </c>
      <c r="C592" s="2">
        <f>_xlfn.NUMBERVALUE("-0.000275")</f>
        <v/>
      </c>
      <c r="D592">
        <f>_xlfn.NUMBERVALUE("0.001240")</f>
        <v/>
      </c>
      <c r="E592">
        <f>_xlfn.NUMBERVALUE("-0.002875")</f>
        <v/>
      </c>
      <c r="F592">
        <f>_xlfn.NUMBERVALUE("0.001485")</f>
        <v/>
      </c>
      <c r="G592">
        <f>_xlfn.NUMBERVALUE("0.000561")</f>
        <v/>
      </c>
      <c r="H592">
        <f>_xlfn.NUMBERVALUE("0.000954")</f>
        <v/>
      </c>
      <c r="I592">
        <f>_xlfn.NUMBERVALUE("0.000060")</f>
        <v/>
      </c>
      <c r="J592">
        <f>_xlfn.NUMBERVALUE("0.000124")</f>
        <v/>
      </c>
      <c r="K592">
        <f>_xlfn.NUMBERVALUE("0.002510")</f>
        <v/>
      </c>
      <c r="L592">
        <f>_xlfn.NUMBERVALUE("0.000430")</f>
        <v/>
      </c>
      <c r="M592">
        <f>_xlfn.NUMBERVALUE("-0.004274")</f>
        <v/>
      </c>
      <c r="N592">
        <f>_xlfn.NUMBERVALUE("0.000000")</f>
        <v/>
      </c>
      <c r="O592">
        <f>_xlfn.NUMBERVALUE("-0.000054")</f>
        <v/>
      </c>
      <c r="P592">
        <f>_xlfn.NUMBERVALUE("0.001224")</f>
        <v/>
      </c>
      <c r="Q592">
        <f>_xlfn.NUMBERVALUE("0.000093")</f>
        <v/>
      </c>
      <c r="R592">
        <f>_xlfn.NUMBERVALUE("-0.000072")</f>
        <v/>
      </c>
      <c r="S592">
        <f>_xlfn.NUMBERVALUE("0.000609")</f>
        <v/>
      </c>
      <c r="T592">
        <f>_xlfn.NUMBERVALUE("-0.000210")</f>
        <v/>
      </c>
      <c r="U592">
        <f>_xlfn.NUMBERVALUE("-0.000295")</f>
        <v/>
      </c>
      <c r="V592">
        <f>_xlfn.NUMBERVALUE("-0.000968")</f>
        <v/>
      </c>
      <c r="W592">
        <f>_xlfn.NUMBERVALUE("0.003268")</f>
        <v/>
      </c>
      <c r="X592">
        <f>_xlfn.NUMBERVALUE("0.110000")</f>
        <v/>
      </c>
      <c r="Y592">
        <f>_xlfn.NUMBERVALUE("10.570000")</f>
        <v/>
      </c>
    </row>
    <row r="593">
      <c r="A593" s="1" t="n">
        <v>42863</v>
      </c>
      <c r="B593">
        <f>_xlfn.NUMBERVALUE("0.000000")</f>
        <v/>
      </c>
      <c r="C593" s="2">
        <f>_xlfn.NUMBERVALUE("0.002451")</f>
        <v/>
      </c>
      <c r="D593">
        <f>_xlfn.NUMBERVALUE("0.002314")</f>
        <v/>
      </c>
      <c r="E593">
        <f>_xlfn.NUMBERVALUE("0.004183")</f>
        <v/>
      </c>
      <c r="F593">
        <f>_xlfn.NUMBERVALUE("0.001659")</f>
        <v/>
      </c>
      <c r="G593">
        <f>_xlfn.NUMBERVALUE("0.001336")</f>
        <v/>
      </c>
      <c r="H593">
        <f>_xlfn.NUMBERVALUE("0.000483")</f>
        <v/>
      </c>
      <c r="I593">
        <f>_xlfn.NUMBERVALUE("0.002595")</f>
        <v/>
      </c>
      <c r="J593">
        <f>_xlfn.NUMBERVALUE("0.000667")</f>
        <v/>
      </c>
      <c r="K593">
        <f>_xlfn.NUMBERVALUE("0.004713")</f>
        <v/>
      </c>
      <c r="L593">
        <f>_xlfn.NUMBERVALUE("0.001521")</f>
        <v/>
      </c>
      <c r="M593">
        <f>_xlfn.NUMBERVALUE("0.002557")</f>
        <v/>
      </c>
      <c r="N593">
        <f>_xlfn.NUMBERVALUE("0.000000")</f>
        <v/>
      </c>
      <c r="O593">
        <f>_xlfn.NUMBERVALUE("0.000044")</f>
        <v/>
      </c>
      <c r="P593">
        <f>_xlfn.NUMBERVALUE("0.003209")</f>
        <v/>
      </c>
      <c r="Q593">
        <f>_xlfn.NUMBERVALUE("0.000169")</f>
        <v/>
      </c>
      <c r="R593">
        <f>_xlfn.NUMBERVALUE("0.000063")</f>
        <v/>
      </c>
      <c r="S593">
        <f>_xlfn.NUMBERVALUE("0.001034")</f>
        <v/>
      </c>
      <c r="T593">
        <f>_xlfn.NUMBERVALUE("0.004263")</f>
        <v/>
      </c>
      <c r="U593">
        <f>_xlfn.NUMBERVALUE("-0.000041")</f>
        <v/>
      </c>
      <c r="V593">
        <f>_xlfn.NUMBERVALUE("0.003016")</f>
        <v/>
      </c>
      <c r="W593">
        <f>_xlfn.NUMBERVALUE("-0.000230")</f>
        <v/>
      </c>
      <c r="X593">
        <f>_xlfn.NUMBERVALUE("-0.800000")</f>
        <v/>
      </c>
      <c r="Y593">
        <f>_xlfn.NUMBERVALUE("9.770000")</f>
        <v/>
      </c>
    </row>
    <row r="594">
      <c r="A594" s="1" t="n">
        <v>42864</v>
      </c>
      <c r="B594">
        <f>_xlfn.NUMBERVALUE("0.000000")</f>
        <v/>
      </c>
      <c r="C594" s="2">
        <f>_xlfn.NUMBERVALUE("0.000357")</f>
        <v/>
      </c>
      <c r="D594">
        <f>_xlfn.NUMBERVALUE("-0.002299")</f>
        <v/>
      </c>
      <c r="E594">
        <f>_xlfn.NUMBERVALUE("0.000894")</f>
        <v/>
      </c>
      <c r="F594">
        <f>_xlfn.NUMBERVALUE("-0.000268")</f>
        <v/>
      </c>
      <c r="G594">
        <f>_xlfn.NUMBERVALUE("0.000131")</f>
        <v/>
      </c>
      <c r="H594">
        <f>_xlfn.NUMBERVALUE("-0.000288")</f>
        <v/>
      </c>
      <c r="I594">
        <f>_xlfn.NUMBERVALUE("0.000487")</f>
        <v/>
      </c>
      <c r="J594">
        <f>_xlfn.NUMBERVALUE("-0.000030")</f>
        <v/>
      </c>
      <c r="K594">
        <f>_xlfn.NUMBERVALUE("0.002227")</f>
        <v/>
      </c>
      <c r="L594">
        <f>_xlfn.NUMBERVALUE("0.000660")</f>
        <v/>
      </c>
      <c r="M594">
        <f>_xlfn.NUMBERVALUE("-0.000280")</f>
        <v/>
      </c>
      <c r="N594">
        <f>_xlfn.NUMBERVALUE("0.000000")</f>
        <v/>
      </c>
      <c r="O594">
        <f>_xlfn.NUMBERVALUE("-0.001684")</f>
        <v/>
      </c>
      <c r="P594">
        <f>_xlfn.NUMBERVALUE("-0.000159")</f>
        <v/>
      </c>
      <c r="Q594">
        <f>_xlfn.NUMBERVALUE("-0.000017")</f>
        <v/>
      </c>
      <c r="R594">
        <f>_xlfn.NUMBERVALUE("-0.000492")</f>
        <v/>
      </c>
      <c r="S594">
        <f>_xlfn.NUMBERVALUE("-0.000384")</f>
        <v/>
      </c>
      <c r="T594">
        <f>_xlfn.NUMBERVALUE("-0.000807")</f>
        <v/>
      </c>
      <c r="U594">
        <f>_xlfn.NUMBERVALUE("-0.001167")</f>
        <v/>
      </c>
      <c r="V594">
        <f>_xlfn.NUMBERVALUE("-0.000085")</f>
        <v/>
      </c>
      <c r="W594">
        <f>_xlfn.NUMBERVALUE("-0.000606")</f>
        <v/>
      </c>
      <c r="X594">
        <f>_xlfn.NUMBERVALUE("0.190000")</f>
        <v/>
      </c>
      <c r="Y594">
        <f>_xlfn.NUMBERVALUE("9.960000")</f>
        <v/>
      </c>
    </row>
    <row r="595">
      <c r="A595" s="1" t="n">
        <v>42865</v>
      </c>
      <c r="B595">
        <f>_xlfn.NUMBERVALUE("0.000000")</f>
        <v/>
      </c>
      <c r="C595" s="2">
        <f>_xlfn.NUMBERVALUE("0.000450")</f>
        <v/>
      </c>
      <c r="D595">
        <f>_xlfn.NUMBERVALUE("0.000651")</f>
        <v/>
      </c>
      <c r="E595">
        <f>_xlfn.NUMBERVALUE("0.000095")</f>
        <v/>
      </c>
      <c r="F595">
        <f>_xlfn.NUMBERVALUE("0.001132")</f>
        <v/>
      </c>
      <c r="G595">
        <f>_xlfn.NUMBERVALUE("-0.000193")</f>
        <v/>
      </c>
      <c r="H595">
        <f>_xlfn.NUMBERVALUE("0.001275")</f>
        <v/>
      </c>
      <c r="I595">
        <f>_xlfn.NUMBERVALUE("-0.000477")</f>
        <v/>
      </c>
      <c r="J595">
        <f>_xlfn.NUMBERVALUE("0.000534")</f>
        <v/>
      </c>
      <c r="K595">
        <f>_xlfn.NUMBERVALUE("0.003927")</f>
        <v/>
      </c>
      <c r="L595">
        <f>_xlfn.NUMBERVALUE("0.001187")</f>
        <v/>
      </c>
      <c r="M595">
        <f>_xlfn.NUMBERVALUE("0.000007")</f>
        <v/>
      </c>
      <c r="N595">
        <f>_xlfn.NUMBERVALUE("0.000000")</f>
        <v/>
      </c>
      <c r="O595">
        <f>_xlfn.NUMBERVALUE("-0.002006")</f>
        <v/>
      </c>
      <c r="P595">
        <f>_xlfn.NUMBERVALUE("0.001206")</f>
        <v/>
      </c>
      <c r="Q595">
        <f>_xlfn.NUMBERVALUE("0.000890")</f>
        <v/>
      </c>
      <c r="R595">
        <f>_xlfn.NUMBERVALUE("0.000143")</f>
        <v/>
      </c>
      <c r="S595">
        <f>_xlfn.NUMBERVALUE("0.000540")</f>
        <v/>
      </c>
      <c r="T595">
        <f>_xlfn.NUMBERVALUE("0.000349")</f>
        <v/>
      </c>
      <c r="U595">
        <f>_xlfn.NUMBERVALUE("0.000921")</f>
        <v/>
      </c>
      <c r="V595">
        <f>_xlfn.NUMBERVALUE("-0.000076")</f>
        <v/>
      </c>
      <c r="W595">
        <f>_xlfn.NUMBERVALUE("0.002090")</f>
        <v/>
      </c>
      <c r="X595">
        <f>_xlfn.NUMBERVALUE("0.250000")</f>
        <v/>
      </c>
      <c r="Y595">
        <f>_xlfn.NUMBERVALUE("10.210000")</f>
        <v/>
      </c>
    </row>
    <row r="596">
      <c r="A596" s="1" t="n">
        <v>42866</v>
      </c>
      <c r="B596">
        <f>_xlfn.NUMBERVALUE("0.000000")</f>
        <v/>
      </c>
      <c r="C596" s="2">
        <f>_xlfn.NUMBERVALUE("0.000276")</f>
        <v/>
      </c>
      <c r="D596">
        <f>_xlfn.NUMBERVALUE("0.000004")</f>
        <v/>
      </c>
      <c r="E596">
        <f>_xlfn.NUMBERVALUE("0.000705")</f>
        <v/>
      </c>
      <c r="F596">
        <f>_xlfn.NUMBERVALUE("-0.000049")</f>
        <v/>
      </c>
      <c r="G596">
        <f>_xlfn.NUMBERVALUE("-0.000143")</f>
        <v/>
      </c>
      <c r="H596">
        <f>_xlfn.NUMBERVALUE("-0.000317")</f>
        <v/>
      </c>
      <c r="I596">
        <f>_xlfn.NUMBERVALUE("0.000100")</f>
        <v/>
      </c>
      <c r="J596">
        <f>_xlfn.NUMBERVALUE("0.000136")</f>
        <v/>
      </c>
      <c r="K596">
        <f>_xlfn.NUMBERVALUE("-0.000809")</f>
        <v/>
      </c>
      <c r="L596">
        <f>_xlfn.NUMBERVALUE("-0.000002")</f>
        <v/>
      </c>
      <c r="M596">
        <f>_xlfn.NUMBERVALUE("0.000571")</f>
        <v/>
      </c>
      <c r="N596">
        <f>_xlfn.NUMBERVALUE("0.000000")</f>
        <v/>
      </c>
      <c r="O596">
        <f>_xlfn.NUMBERVALUE("0.000188")</f>
        <v/>
      </c>
      <c r="P596">
        <f>_xlfn.NUMBERVALUE("-0.000669")</f>
        <v/>
      </c>
      <c r="Q596">
        <f>_xlfn.NUMBERVALUE("0.000264")</f>
        <v/>
      </c>
      <c r="R596">
        <f>_xlfn.NUMBERVALUE("0.000080")</f>
        <v/>
      </c>
      <c r="S596">
        <f>_xlfn.NUMBERVALUE("0.000505")</f>
        <v/>
      </c>
      <c r="T596">
        <f>_xlfn.NUMBERVALUE("0.000381")</f>
        <v/>
      </c>
      <c r="U596">
        <f>_xlfn.NUMBERVALUE("0.000513")</f>
        <v/>
      </c>
      <c r="V596">
        <f>_xlfn.NUMBERVALUE("0.000200")</f>
        <v/>
      </c>
      <c r="W596">
        <f>_xlfn.NUMBERVALUE("-0.001310")</f>
        <v/>
      </c>
      <c r="X596">
        <f>_xlfn.NUMBERVALUE("0.390000")</f>
        <v/>
      </c>
      <c r="Y596">
        <f>_xlfn.NUMBERVALUE("10.600000")</f>
        <v/>
      </c>
    </row>
    <row r="597">
      <c r="A597" s="1" t="n">
        <v>42867</v>
      </c>
      <c r="B597">
        <f>_xlfn.NUMBERVALUE("0.000000")</f>
        <v/>
      </c>
      <c r="C597" s="2">
        <f>_xlfn.NUMBERVALUE("0.000813")</f>
        <v/>
      </c>
      <c r="D597">
        <f>_xlfn.NUMBERVALUE("-0.000153")</f>
        <v/>
      </c>
      <c r="E597">
        <f>_xlfn.NUMBERVALUE("-0.000254")</f>
        <v/>
      </c>
      <c r="F597">
        <f>_xlfn.NUMBERVALUE("0.000593")</f>
        <v/>
      </c>
      <c r="G597">
        <f>_xlfn.NUMBERVALUE("0.000047")</f>
        <v/>
      </c>
      <c r="H597">
        <f>_xlfn.NUMBERVALUE("-0.000814")</f>
        <v/>
      </c>
      <c r="I597">
        <f>_xlfn.NUMBERVALUE("0.000070")</f>
        <v/>
      </c>
      <c r="J597">
        <f>_xlfn.NUMBERVALUE("-0.001048")</f>
        <v/>
      </c>
      <c r="K597">
        <f>_xlfn.NUMBERVALUE("0.001294")</f>
        <v/>
      </c>
      <c r="L597">
        <f>_xlfn.NUMBERVALUE("0.000098")</f>
        <v/>
      </c>
      <c r="M597">
        <f>_xlfn.NUMBERVALUE("0.000979")</f>
        <v/>
      </c>
      <c r="N597">
        <f>_xlfn.NUMBERVALUE("0.000000")</f>
        <v/>
      </c>
      <c r="O597">
        <f>_xlfn.NUMBERVALUE("0.001224")</f>
        <v/>
      </c>
      <c r="P597">
        <f>_xlfn.NUMBERVALUE("0.001448")</f>
        <v/>
      </c>
      <c r="Q597">
        <f>_xlfn.NUMBERVALUE("0.000062")</f>
        <v/>
      </c>
      <c r="R597">
        <f>_xlfn.NUMBERVALUE("0.000091")</f>
        <v/>
      </c>
      <c r="S597">
        <f>_xlfn.NUMBERVALUE("0.000696")</f>
        <v/>
      </c>
      <c r="T597">
        <f>_xlfn.NUMBERVALUE("0.000672")</f>
        <v/>
      </c>
      <c r="U597">
        <f>_xlfn.NUMBERVALUE("0.000608")</f>
        <v/>
      </c>
      <c r="V597">
        <f>_xlfn.NUMBERVALUE("0.000633")</f>
        <v/>
      </c>
      <c r="W597">
        <f>_xlfn.NUMBERVALUE("-0.002322")</f>
        <v/>
      </c>
      <c r="X597">
        <f>_xlfn.NUMBERVALUE("-0.200000")</f>
        <v/>
      </c>
      <c r="Y597">
        <f>_xlfn.NUMBERVALUE("10.400000")</f>
        <v/>
      </c>
    </row>
    <row r="598">
      <c r="A598" s="1" t="n">
        <v>42870</v>
      </c>
      <c r="B598">
        <f>_xlfn.NUMBERVALUE("0.000000")</f>
        <v/>
      </c>
      <c r="C598" s="2">
        <f>_xlfn.NUMBERVALUE("0.000556")</f>
        <v/>
      </c>
      <c r="D598">
        <f>_xlfn.NUMBERVALUE("-0.000728")</f>
        <v/>
      </c>
      <c r="E598">
        <f>_xlfn.NUMBERVALUE("0.000043")</f>
        <v/>
      </c>
      <c r="F598">
        <f>_xlfn.NUMBERVALUE("0.000564")</f>
        <v/>
      </c>
      <c r="G598">
        <f>_xlfn.NUMBERVALUE("0.001356")</f>
        <v/>
      </c>
      <c r="H598">
        <f>_xlfn.NUMBERVALUE("0.000478")</f>
        <v/>
      </c>
      <c r="I598">
        <f>_xlfn.NUMBERVALUE("0.000678")</f>
        <v/>
      </c>
      <c r="J598">
        <f>_xlfn.NUMBERVALUE("0.000585")</f>
        <v/>
      </c>
      <c r="K598">
        <f>_xlfn.NUMBERVALUE("-0.000811")</f>
        <v/>
      </c>
      <c r="L598">
        <f>_xlfn.NUMBERVALUE("0.001369")</f>
        <v/>
      </c>
      <c r="M598">
        <f>_xlfn.NUMBERVALUE("-0.002632")</f>
        <v/>
      </c>
      <c r="N598">
        <f>_xlfn.NUMBERVALUE("0.000000")</f>
        <v/>
      </c>
      <c r="O598">
        <f>_xlfn.NUMBERVALUE("0.001443")</f>
        <v/>
      </c>
      <c r="P598">
        <f>_xlfn.NUMBERVALUE("0.001200")</f>
        <v/>
      </c>
      <c r="Q598">
        <f>_xlfn.NUMBERVALUE("0.001401")</f>
        <v/>
      </c>
      <c r="R598">
        <f>_xlfn.NUMBERVALUE("0.000984")</f>
        <v/>
      </c>
      <c r="S598">
        <f>_xlfn.NUMBERVALUE("0.000912")</f>
        <v/>
      </c>
      <c r="T598">
        <f>_xlfn.NUMBERVALUE("0.001422")</f>
        <v/>
      </c>
      <c r="U598">
        <f>_xlfn.NUMBERVALUE("0.001616")</f>
        <v/>
      </c>
      <c r="V598">
        <f>_xlfn.NUMBERVALUE("0.000182")</f>
        <v/>
      </c>
      <c r="W598">
        <f>_xlfn.NUMBERVALUE("0.005358")</f>
        <v/>
      </c>
      <c r="X598">
        <f>_xlfn.NUMBERVALUE("0.020000")</f>
        <v/>
      </c>
      <c r="Y598">
        <f>_xlfn.NUMBERVALUE("10.420000")</f>
        <v/>
      </c>
    </row>
    <row r="599">
      <c r="A599" s="1" t="n">
        <v>42871</v>
      </c>
      <c r="B599">
        <f>_xlfn.NUMBERVALUE("0.000000")</f>
        <v/>
      </c>
      <c r="C599" s="2">
        <f>_xlfn.NUMBERVALUE("0.000519")</f>
        <v/>
      </c>
      <c r="D599">
        <f>_xlfn.NUMBERVALUE("-0.000071")</f>
        <v/>
      </c>
      <c r="E599">
        <f>_xlfn.NUMBERVALUE("0.000327")</f>
        <v/>
      </c>
      <c r="F599">
        <f>_xlfn.NUMBERVALUE("0.001273")</f>
        <v/>
      </c>
      <c r="G599">
        <f>_xlfn.NUMBERVALUE("-0.000469")</f>
        <v/>
      </c>
      <c r="H599">
        <f>_xlfn.NUMBERVALUE("0.000712")</f>
        <v/>
      </c>
      <c r="I599">
        <f>_xlfn.NUMBERVALUE("0.001026")</f>
        <v/>
      </c>
      <c r="J599">
        <f>_xlfn.NUMBERVALUE("-0.000051")</f>
        <v/>
      </c>
      <c r="K599">
        <f>_xlfn.NUMBERVALUE("-0.000057")</f>
        <v/>
      </c>
      <c r="L599">
        <f>_xlfn.NUMBERVALUE("0.000773")</f>
        <v/>
      </c>
      <c r="M599">
        <f>_xlfn.NUMBERVALUE("0.001478")</f>
        <v/>
      </c>
      <c r="N599">
        <f>_xlfn.NUMBERVALUE("0.000000")</f>
        <v/>
      </c>
      <c r="O599">
        <f>_xlfn.NUMBERVALUE("0.000381")</f>
        <v/>
      </c>
      <c r="P599">
        <f>_xlfn.NUMBERVALUE("0.000335")</f>
        <v/>
      </c>
      <c r="Q599">
        <f>_xlfn.NUMBERVALUE("0.000971")</f>
        <v/>
      </c>
      <c r="R599">
        <f>_xlfn.NUMBERVALUE("-0.000572")</f>
        <v/>
      </c>
      <c r="S599">
        <f>_xlfn.NUMBERVALUE("0.000766")</f>
        <v/>
      </c>
      <c r="T599">
        <f>_xlfn.NUMBERVALUE("0.000285")</f>
        <v/>
      </c>
      <c r="U599">
        <f>_xlfn.NUMBERVALUE("0.000543")</f>
        <v/>
      </c>
      <c r="V599">
        <f>_xlfn.NUMBERVALUE("0.000570")</f>
        <v/>
      </c>
      <c r="W599">
        <f>_xlfn.NUMBERVALUE("-0.000358")</f>
        <v/>
      </c>
      <c r="X599">
        <f>_xlfn.NUMBERVALUE("0.230000")</f>
        <v/>
      </c>
      <c r="Y599">
        <f>_xlfn.NUMBERVALUE("10.650000")</f>
        <v/>
      </c>
    </row>
    <row r="600">
      <c r="A600" s="1" t="n">
        <v>42872</v>
      </c>
      <c r="B600">
        <f>_xlfn.NUMBERVALUE("0.000000")</f>
        <v/>
      </c>
      <c r="C600" s="2">
        <f>_xlfn.NUMBERVALUE("-0.008180")</f>
        <v/>
      </c>
      <c r="D600">
        <f>_xlfn.NUMBERVALUE("-0.005313")</f>
        <v/>
      </c>
      <c r="E600">
        <f>_xlfn.NUMBERVALUE("-0.006747")</f>
        <v/>
      </c>
      <c r="F600">
        <f>_xlfn.NUMBERVALUE("-0.007948")</f>
        <v/>
      </c>
      <c r="G600">
        <f>_xlfn.NUMBERVALUE("-0.002422")</f>
        <v/>
      </c>
      <c r="H600">
        <f>_xlfn.NUMBERVALUE("-0.002485")</f>
        <v/>
      </c>
      <c r="I600">
        <f>_xlfn.NUMBERVALUE("-0.010194")</f>
        <v/>
      </c>
      <c r="J600">
        <f>_xlfn.NUMBERVALUE("-0.001570")</f>
        <v/>
      </c>
      <c r="K600">
        <f>_xlfn.NUMBERVALUE("-0.000107")</f>
        <v/>
      </c>
      <c r="L600">
        <f>_xlfn.NUMBERVALUE("-0.006587")</f>
        <v/>
      </c>
      <c r="M600">
        <f>_xlfn.NUMBERVALUE("-0.008080")</f>
        <v/>
      </c>
      <c r="N600">
        <f>_xlfn.NUMBERVALUE("0.000000")</f>
        <v/>
      </c>
      <c r="O600">
        <f>_xlfn.NUMBERVALUE("-0.003314")</f>
        <v/>
      </c>
      <c r="P600">
        <f>_xlfn.NUMBERVALUE("-0.013393")</f>
        <v/>
      </c>
      <c r="Q600">
        <f>_xlfn.NUMBERVALUE("-0.008424")</f>
        <v/>
      </c>
      <c r="R600">
        <f>_xlfn.NUMBERVALUE("-0.011149")</f>
        <v/>
      </c>
      <c r="S600">
        <f>_xlfn.NUMBERVALUE("-0.004434")</f>
        <v/>
      </c>
      <c r="T600">
        <f>_xlfn.NUMBERVALUE("-0.001808")</f>
        <v/>
      </c>
      <c r="U600">
        <f>_xlfn.NUMBERVALUE("-0.005714")</f>
        <v/>
      </c>
      <c r="V600">
        <f>_xlfn.NUMBERVALUE("-0.008655")</f>
        <v/>
      </c>
      <c r="W600">
        <f>_xlfn.NUMBERVALUE("-0.015844")</f>
        <v/>
      </c>
      <c r="X600">
        <f>_xlfn.NUMBERVALUE("4.940000")</f>
        <v/>
      </c>
      <c r="Y600">
        <f>_xlfn.NUMBERVALUE("15.590000")</f>
        <v/>
      </c>
    </row>
    <row r="601">
      <c r="A601" s="1" t="n">
        <v>42873</v>
      </c>
      <c r="B601">
        <f>_xlfn.NUMBERVALUE("0.000000")</f>
        <v/>
      </c>
      <c r="C601" s="2">
        <f>_xlfn.NUMBERVALUE("0.001304")</f>
        <v/>
      </c>
      <c r="D601">
        <f>_xlfn.NUMBERVALUE("0.001006")</f>
        <v/>
      </c>
      <c r="E601">
        <f>_xlfn.NUMBERVALUE("0.001254")</f>
        <v/>
      </c>
      <c r="F601">
        <f>_xlfn.NUMBERVALUE("-0.000775")</f>
        <v/>
      </c>
      <c r="G601">
        <f>_xlfn.NUMBERVALUE("0.000834")</f>
        <v/>
      </c>
      <c r="H601">
        <f>_xlfn.NUMBERVALUE("0.000754")</f>
        <v/>
      </c>
      <c r="I601">
        <f>_xlfn.NUMBERVALUE("0.001509")</f>
        <v/>
      </c>
      <c r="J601">
        <f>_xlfn.NUMBERVALUE("0.001432")</f>
        <v/>
      </c>
      <c r="K601">
        <f>_xlfn.NUMBERVALUE("-0.000961")</f>
        <v/>
      </c>
      <c r="L601">
        <f>_xlfn.NUMBERVALUE("0.001187")</f>
        <v/>
      </c>
      <c r="M601">
        <f>_xlfn.NUMBERVALUE("0.001482")</f>
        <v/>
      </c>
      <c r="N601">
        <f>_xlfn.NUMBERVALUE("0.000000")</f>
        <v/>
      </c>
      <c r="O601">
        <f>_xlfn.NUMBERVALUE("0.001657")</f>
        <v/>
      </c>
      <c r="P601">
        <f>_xlfn.NUMBERVALUE("0.001204")</f>
        <v/>
      </c>
      <c r="Q601">
        <f>_xlfn.NUMBERVALUE("0.000978")</f>
        <v/>
      </c>
      <c r="R601">
        <f>_xlfn.NUMBERVALUE("0.000903")</f>
        <v/>
      </c>
      <c r="S601">
        <f>_xlfn.NUMBERVALUE("0.001548")</f>
        <v/>
      </c>
      <c r="T601">
        <f>_xlfn.NUMBERVALUE("0.000326")</f>
        <v/>
      </c>
      <c r="U601">
        <f>_xlfn.NUMBERVALUE("0.001257")</f>
        <v/>
      </c>
      <c r="V601">
        <f>_xlfn.NUMBERVALUE("0.001442")</f>
        <v/>
      </c>
      <c r="W601">
        <f>_xlfn.NUMBERVALUE("0.003597")</f>
        <v/>
      </c>
      <c r="X601">
        <f>_xlfn.NUMBERVALUE("-0.930000")</f>
        <v/>
      </c>
      <c r="Y601">
        <f>_xlfn.NUMBERVALUE("14.660000")</f>
        <v/>
      </c>
    </row>
    <row r="602">
      <c r="A602" s="1" t="n">
        <v>42874</v>
      </c>
      <c r="B602">
        <f>_xlfn.NUMBERVALUE("0.000000")</f>
        <v/>
      </c>
      <c r="C602" s="2">
        <f>_xlfn.NUMBERVALUE("0.001786")</f>
        <v/>
      </c>
      <c r="D602">
        <f>_xlfn.NUMBERVALUE("-0.001554")</f>
        <v/>
      </c>
      <c r="E602">
        <f>_xlfn.NUMBERVALUE("-0.001101")</f>
        <v/>
      </c>
      <c r="F602">
        <f>_xlfn.NUMBERVALUE("0.001054")</f>
        <v/>
      </c>
      <c r="G602">
        <f>_xlfn.NUMBERVALUE("0.000791")</f>
        <v/>
      </c>
      <c r="H602">
        <f>_xlfn.NUMBERVALUE("-0.000161")</f>
        <v/>
      </c>
      <c r="I602">
        <f>_xlfn.NUMBERVALUE("0.002489")</f>
        <v/>
      </c>
      <c r="J602">
        <f>_xlfn.NUMBERVALUE("-0.000832")</f>
        <v/>
      </c>
      <c r="K602">
        <f>_xlfn.NUMBERVALUE("-0.000365")</f>
        <v/>
      </c>
      <c r="L602">
        <f>_xlfn.NUMBERVALUE("0.001080")</f>
        <v/>
      </c>
      <c r="M602">
        <f>_xlfn.NUMBERVALUE("0.001110")</f>
        <v/>
      </c>
      <c r="N602">
        <f>_xlfn.NUMBERVALUE("0.000000")</f>
        <v/>
      </c>
      <c r="O602">
        <f>_xlfn.NUMBERVALUE("0.001133")</f>
        <v/>
      </c>
      <c r="P602">
        <f>_xlfn.NUMBERVALUE("0.003512")</f>
        <v/>
      </c>
      <c r="Q602">
        <f>_xlfn.NUMBERVALUE("0.000337")</f>
        <v/>
      </c>
      <c r="R602">
        <f>_xlfn.NUMBERVALUE("0.002401")</f>
        <v/>
      </c>
      <c r="S602">
        <f>_xlfn.NUMBERVALUE("0.000793")</f>
        <v/>
      </c>
      <c r="T602">
        <f>_xlfn.NUMBERVALUE("0.001116")</f>
        <v/>
      </c>
      <c r="U602">
        <f>_xlfn.NUMBERVALUE("0.001367")</f>
        <v/>
      </c>
      <c r="V602">
        <f>_xlfn.NUMBERVALUE("-0.000585")</f>
        <v/>
      </c>
      <c r="W602">
        <f>_xlfn.NUMBERVALUE("0.004259")</f>
        <v/>
      </c>
      <c r="X602">
        <f>_xlfn.NUMBERVALUE("-2.620000")</f>
        <v/>
      </c>
      <c r="Y602">
        <f>_xlfn.NUMBERVALUE("12.040000")</f>
        <v/>
      </c>
    </row>
    <row r="603">
      <c r="A603" s="1" t="n">
        <v>42877</v>
      </c>
      <c r="B603">
        <f>_xlfn.NUMBERVALUE("0.000000")</f>
        <v/>
      </c>
      <c r="C603" s="2">
        <f>_xlfn.NUMBERVALUE("0.001690")</f>
        <v/>
      </c>
      <c r="D603">
        <f>_xlfn.NUMBERVALUE("0.002852")</f>
        <v/>
      </c>
      <c r="E603">
        <f>_xlfn.NUMBERVALUE("0.002253")</f>
        <v/>
      </c>
      <c r="F603">
        <f>_xlfn.NUMBERVALUE("0.000573")</f>
        <v/>
      </c>
      <c r="G603">
        <f>_xlfn.NUMBERVALUE("0.001378")</f>
        <v/>
      </c>
      <c r="H603">
        <f>_xlfn.NUMBERVALUE("0.000782")</f>
        <v/>
      </c>
      <c r="I603">
        <f>_xlfn.NUMBERVALUE("0.001804")</f>
        <v/>
      </c>
      <c r="J603">
        <f>_xlfn.NUMBERVALUE("-0.000029")</f>
        <v/>
      </c>
      <c r="K603">
        <f>_xlfn.NUMBERVALUE("-0.002319")</f>
        <v/>
      </c>
      <c r="L603">
        <f>_xlfn.NUMBERVALUE("0.001325")</f>
        <v/>
      </c>
      <c r="M603">
        <f>_xlfn.NUMBERVALUE("0.003432")</f>
        <v/>
      </c>
      <c r="N603">
        <f>_xlfn.NUMBERVALUE("0.000000")</f>
        <v/>
      </c>
      <c r="O603">
        <f>_xlfn.NUMBERVALUE("0.004188")</f>
        <v/>
      </c>
      <c r="P603">
        <f>_xlfn.NUMBERVALUE("0.001902")</f>
        <v/>
      </c>
      <c r="Q603">
        <f>_xlfn.NUMBERVALUE("0.002119")</f>
        <v/>
      </c>
      <c r="R603">
        <f>_xlfn.NUMBERVALUE("0.000309")</f>
        <v/>
      </c>
      <c r="S603">
        <f>_xlfn.NUMBERVALUE("0.000575")</f>
        <v/>
      </c>
      <c r="T603">
        <f>_xlfn.NUMBERVALUE("-0.000464")</f>
        <v/>
      </c>
      <c r="U603">
        <f>_xlfn.NUMBERVALUE("0.001611")</f>
        <v/>
      </c>
      <c r="V603">
        <f>_xlfn.NUMBERVALUE("0.004357")</f>
        <v/>
      </c>
      <c r="W603">
        <f>_xlfn.NUMBERVALUE("0.006110")</f>
        <v/>
      </c>
      <c r="X603">
        <f>_xlfn.NUMBERVALUE("-1.110000")</f>
        <v/>
      </c>
      <c r="Y603">
        <f>_xlfn.NUMBERVALUE("10.930000")</f>
        <v/>
      </c>
    </row>
    <row r="604">
      <c r="A604" s="1" t="n">
        <v>42878</v>
      </c>
      <c r="B604">
        <f>_xlfn.NUMBERVALUE("0.000000")</f>
        <v/>
      </c>
      <c r="C604" s="2">
        <f>_xlfn.NUMBERVALUE("0.000279")</f>
        <v/>
      </c>
      <c r="D604">
        <f>_xlfn.NUMBERVALUE("0.001466")</f>
        <v/>
      </c>
      <c r="E604">
        <f>_xlfn.NUMBERVALUE("0.000097")</f>
        <v/>
      </c>
      <c r="F604">
        <f>_xlfn.NUMBERVALUE("0.000518")</f>
        <v/>
      </c>
      <c r="G604">
        <f>_xlfn.NUMBERVALUE("0.000346")</f>
        <v/>
      </c>
      <c r="H604">
        <f>_xlfn.NUMBERVALUE("-0.000009")</f>
        <v/>
      </c>
      <c r="I604">
        <f>_xlfn.NUMBERVALUE("0.000690")</f>
        <v/>
      </c>
      <c r="J604">
        <f>_xlfn.NUMBERVALUE("0.000219")</f>
        <v/>
      </c>
      <c r="K604">
        <f>_xlfn.NUMBERVALUE("0.001112")</f>
        <v/>
      </c>
      <c r="L604">
        <f>_xlfn.NUMBERVALUE("0.000429")</f>
        <v/>
      </c>
      <c r="M604">
        <f>_xlfn.NUMBERVALUE("0.001236")</f>
        <v/>
      </c>
      <c r="N604">
        <f>_xlfn.NUMBERVALUE("0.000000")</f>
        <v/>
      </c>
      <c r="O604">
        <f>_xlfn.NUMBERVALUE("-0.000232")</f>
        <v/>
      </c>
      <c r="P604">
        <f>_xlfn.NUMBERVALUE("-0.000070")</f>
        <v/>
      </c>
      <c r="Q604">
        <f>_xlfn.NUMBERVALUE("0.000766")</f>
        <v/>
      </c>
      <c r="R604">
        <f>_xlfn.NUMBERVALUE("0.000694")</f>
        <v/>
      </c>
      <c r="S604">
        <f>_xlfn.NUMBERVALUE("0.000761")</f>
        <v/>
      </c>
      <c r="T604">
        <f>_xlfn.NUMBERVALUE("0.000374")</f>
        <v/>
      </c>
      <c r="U604">
        <f>_xlfn.NUMBERVALUE("0.001695")</f>
        <v/>
      </c>
      <c r="V604">
        <f>_xlfn.NUMBERVALUE("-0.000036")</f>
        <v/>
      </c>
      <c r="W604">
        <f>_xlfn.NUMBERVALUE("0.001190")</f>
        <v/>
      </c>
      <c r="X604">
        <f>_xlfn.NUMBERVALUE("-0.210000")</f>
        <v/>
      </c>
      <c r="Y604">
        <f>_xlfn.NUMBERVALUE("10.720000")</f>
        <v/>
      </c>
    </row>
    <row r="605">
      <c r="A605" s="1" t="n">
        <v>42879</v>
      </c>
      <c r="B605">
        <f>_xlfn.NUMBERVALUE("0.000000")</f>
        <v/>
      </c>
      <c r="C605" s="2">
        <f>_xlfn.NUMBERVALUE("-0.000227")</f>
        <v/>
      </c>
      <c r="D605">
        <f>_xlfn.NUMBERVALUE("-0.000031")</f>
        <v/>
      </c>
      <c r="E605">
        <f>_xlfn.NUMBERVALUE("0.000042")</f>
        <v/>
      </c>
      <c r="F605">
        <f>_xlfn.NUMBERVALUE("0.000450")</f>
        <v/>
      </c>
      <c r="G605">
        <f>_xlfn.NUMBERVALUE("0.000195")</f>
        <v/>
      </c>
      <c r="H605">
        <f>_xlfn.NUMBERVALUE("-0.000195")</f>
        <v/>
      </c>
      <c r="I605">
        <f>_xlfn.NUMBERVALUE("0.001377")</f>
        <v/>
      </c>
      <c r="J605">
        <f>_xlfn.NUMBERVALUE("0.000051")</f>
        <v/>
      </c>
      <c r="K605">
        <f>_xlfn.NUMBERVALUE("-0.000009")</f>
        <v/>
      </c>
      <c r="L605">
        <f>_xlfn.NUMBERVALUE("0.000107")</f>
        <v/>
      </c>
      <c r="M605">
        <f>_xlfn.NUMBERVALUE("-0.000295")</f>
        <v/>
      </c>
      <c r="N605">
        <f>_xlfn.NUMBERVALUE("0.000000")</f>
        <v/>
      </c>
      <c r="O605">
        <f>_xlfn.NUMBERVALUE("-0.000496")</f>
        <v/>
      </c>
      <c r="P605">
        <f>_xlfn.NUMBERVALUE("-0.000349")</f>
        <v/>
      </c>
      <c r="Q605">
        <f>_xlfn.NUMBERVALUE("0.000512")</f>
        <v/>
      </c>
      <c r="R605">
        <f>_xlfn.NUMBERVALUE("0.000351")</f>
        <v/>
      </c>
      <c r="S605">
        <f>_xlfn.NUMBERVALUE("-0.000208")</f>
        <v/>
      </c>
      <c r="T605">
        <f>_xlfn.NUMBERVALUE("0.000052")</f>
        <v/>
      </c>
      <c r="U605">
        <f>_xlfn.NUMBERVALUE("0.000748")</f>
        <v/>
      </c>
      <c r="V605">
        <f>_xlfn.NUMBERVALUE("0.000421")</f>
        <v/>
      </c>
      <c r="W605">
        <f>_xlfn.NUMBERVALUE("0.002939")</f>
        <v/>
      </c>
      <c r="X605">
        <f>_xlfn.NUMBERVALUE("-0.700000")</f>
        <v/>
      </c>
      <c r="Y605">
        <f>_xlfn.NUMBERVALUE("10.020000")</f>
        <v/>
      </c>
    </row>
    <row r="606">
      <c r="A606" s="1" t="n">
        <v>42880</v>
      </c>
      <c r="B606">
        <f>_xlfn.NUMBERVALUE("0.000000")</f>
        <v/>
      </c>
      <c r="C606" s="2">
        <f>_xlfn.NUMBERVALUE("-0.000354")</f>
        <v/>
      </c>
      <c r="D606">
        <f>_xlfn.NUMBERVALUE("0.000459")</f>
        <v/>
      </c>
      <c r="E606">
        <f>_xlfn.NUMBERVALUE("0.001152")</f>
        <v/>
      </c>
      <c r="F606">
        <f>_xlfn.NUMBERVALUE("0.001439")</f>
        <v/>
      </c>
      <c r="G606">
        <f>_xlfn.NUMBERVALUE("0.000633")</f>
        <v/>
      </c>
      <c r="H606">
        <f>_xlfn.NUMBERVALUE("0.000548")</f>
        <v/>
      </c>
      <c r="I606">
        <f>_xlfn.NUMBERVALUE("0.000871")</f>
        <v/>
      </c>
      <c r="J606">
        <f>_xlfn.NUMBERVALUE("0.000291")</f>
        <v/>
      </c>
      <c r="K606">
        <f>_xlfn.NUMBERVALUE("0.000375")</f>
        <v/>
      </c>
      <c r="L606">
        <f>_xlfn.NUMBERVALUE("0.000460")</f>
        <v/>
      </c>
      <c r="M606">
        <f>_xlfn.NUMBERVALUE("0.001240")</f>
        <v/>
      </c>
      <c r="N606">
        <f>_xlfn.NUMBERVALUE("0.000000")</f>
        <v/>
      </c>
      <c r="O606">
        <f>_xlfn.NUMBERVALUE("0.000222")</f>
        <v/>
      </c>
      <c r="P606">
        <f>_xlfn.NUMBERVALUE("0.001334")</f>
        <v/>
      </c>
      <c r="Q606">
        <f>_xlfn.NUMBERVALUE("-0.000303")</f>
        <v/>
      </c>
      <c r="R606">
        <f>_xlfn.NUMBERVALUE("-0.000737")</f>
        <v/>
      </c>
      <c r="S606">
        <f>_xlfn.NUMBERVALUE("-0.000641")</f>
        <v/>
      </c>
      <c r="T606">
        <f>_xlfn.NUMBERVALUE("-0.000533")</f>
        <v/>
      </c>
      <c r="U606">
        <f>_xlfn.NUMBERVALUE("-0.002798")</f>
        <v/>
      </c>
      <c r="V606">
        <f>_xlfn.NUMBERVALUE("-0.000636")</f>
        <v/>
      </c>
      <c r="W606">
        <f>_xlfn.NUMBERVALUE("0.005487")</f>
        <v/>
      </c>
      <c r="X606">
        <f>_xlfn.NUMBERVALUE("-0.030000")</f>
        <v/>
      </c>
      <c r="Y606">
        <f>_xlfn.NUMBERVALUE("9.990000")</f>
        <v/>
      </c>
    </row>
    <row r="607">
      <c r="A607" s="1" t="n">
        <v>42881</v>
      </c>
      <c r="B607">
        <f>_xlfn.NUMBERVALUE("0.000000")</f>
        <v/>
      </c>
      <c r="C607" s="2">
        <f>_xlfn.NUMBERVALUE("0.000924")</f>
        <v/>
      </c>
      <c r="D607">
        <f>_xlfn.NUMBERVALUE("0.000282")</f>
        <v/>
      </c>
      <c r="E607">
        <f>_xlfn.NUMBERVALUE("0.000096")</f>
        <v/>
      </c>
      <c r="F607">
        <f>_xlfn.NUMBERVALUE("-0.001804")</f>
        <v/>
      </c>
      <c r="G607">
        <f>_xlfn.NUMBERVALUE("-0.000115")</f>
        <v/>
      </c>
      <c r="H607">
        <f>_xlfn.NUMBERVALUE("-0.000116")</f>
        <v/>
      </c>
      <c r="I607">
        <f>_xlfn.NUMBERVALUE("0.001995")</f>
        <v/>
      </c>
      <c r="J607">
        <f>_xlfn.NUMBERVALUE("0.000383")</f>
        <v/>
      </c>
      <c r="K607">
        <f>_xlfn.NUMBERVALUE("-0.000526")</f>
        <v/>
      </c>
      <c r="L607">
        <f>_xlfn.NUMBERVALUE("0.000499")</f>
        <v/>
      </c>
      <c r="M607">
        <f>_xlfn.NUMBERVALUE("0.001080")</f>
        <v/>
      </c>
      <c r="N607">
        <f>_xlfn.NUMBERVALUE("0.000000")</f>
        <v/>
      </c>
      <c r="O607">
        <f>_xlfn.NUMBERVALUE("0.002474")</f>
        <v/>
      </c>
      <c r="P607">
        <f>_xlfn.NUMBERVALUE("0.000998")</f>
        <v/>
      </c>
      <c r="Q607">
        <f>_xlfn.NUMBERVALUE("0.000898")</f>
        <v/>
      </c>
      <c r="R607">
        <f>_xlfn.NUMBERVALUE("-0.000174")</f>
        <v/>
      </c>
      <c r="S607">
        <f>_xlfn.NUMBERVALUE("0.000841")</f>
        <v/>
      </c>
      <c r="T607">
        <f>_xlfn.NUMBERVALUE("0.000048")</f>
        <v/>
      </c>
      <c r="U607">
        <f>_xlfn.NUMBERVALUE("0.000751")</f>
        <v/>
      </c>
      <c r="V607">
        <f>_xlfn.NUMBERVALUE("0.000613")</f>
        <v/>
      </c>
      <c r="W607">
        <f>_xlfn.NUMBERVALUE("-0.000682")</f>
        <v/>
      </c>
      <c r="X607">
        <f>_xlfn.NUMBERVALUE("-0.180000")</f>
        <v/>
      </c>
      <c r="Y607">
        <f>_xlfn.NUMBERVALUE("9.810000")</f>
        <v/>
      </c>
    </row>
    <row r="608">
      <c r="A608" s="1" t="n">
        <v>42885</v>
      </c>
      <c r="B608">
        <f>_xlfn.NUMBERVALUE("0.000000")</f>
        <v/>
      </c>
      <c r="C608" s="2">
        <f>_xlfn.NUMBERVALUE("0.001182")</f>
        <v/>
      </c>
      <c r="D608">
        <f>_xlfn.NUMBERVALUE("0.000678")</f>
        <v/>
      </c>
      <c r="E608">
        <f>_xlfn.NUMBERVALUE("0.000318")</f>
        <v/>
      </c>
      <c r="F608">
        <f>_xlfn.NUMBERVALUE("0.001990")</f>
        <v/>
      </c>
      <c r="G608">
        <f>_xlfn.NUMBERVALUE("-0.000907")</f>
        <v/>
      </c>
      <c r="H608">
        <f>_xlfn.NUMBERVALUE("-0.000131")</f>
        <v/>
      </c>
      <c r="I608">
        <f>_xlfn.NUMBERVALUE("0.000426")</f>
        <v/>
      </c>
      <c r="J608">
        <f>_xlfn.NUMBERVALUE("-0.000090")</f>
        <v/>
      </c>
      <c r="K608">
        <f>_xlfn.NUMBERVALUE("0.000168")</f>
        <v/>
      </c>
      <c r="L608">
        <f>_xlfn.NUMBERVALUE("0.000255")</f>
        <v/>
      </c>
      <c r="M608">
        <f>_xlfn.NUMBERVALUE("0.000875")</f>
        <v/>
      </c>
      <c r="N608">
        <f>_xlfn.NUMBERVALUE("0.000000")</f>
        <v/>
      </c>
      <c r="O608">
        <f>_xlfn.NUMBERVALUE("-0.000238")</f>
        <v/>
      </c>
      <c r="P608">
        <f>_xlfn.NUMBERVALUE("0.000574")</f>
        <v/>
      </c>
      <c r="Q608">
        <f>_xlfn.NUMBERVALUE("0.001055")</f>
        <v/>
      </c>
      <c r="R608">
        <f>_xlfn.NUMBERVALUE("0.000159")</f>
        <v/>
      </c>
      <c r="S608">
        <f>_xlfn.NUMBERVALUE("-0.000046")</f>
        <v/>
      </c>
      <c r="T608">
        <f>_xlfn.NUMBERVALUE("-0.000022")</f>
        <v/>
      </c>
      <c r="U608">
        <f>_xlfn.NUMBERVALUE("0.000446")</f>
        <v/>
      </c>
      <c r="V608">
        <f>_xlfn.NUMBERVALUE("0.000914")</f>
        <v/>
      </c>
      <c r="W608">
        <f>_xlfn.NUMBERVALUE("0.000041")</f>
        <v/>
      </c>
      <c r="X608">
        <f>_xlfn.NUMBERVALUE("0.570000")</f>
        <v/>
      </c>
      <c r="Y608">
        <f>_xlfn.NUMBERVALUE("10.380000")</f>
        <v/>
      </c>
    </row>
    <row r="609">
      <c r="A609" s="1" t="n">
        <v>42886</v>
      </c>
      <c r="B609">
        <f>_xlfn.NUMBERVALUE("0.000000")</f>
        <v/>
      </c>
      <c r="C609" s="2">
        <f>_xlfn.NUMBERVALUE("0.000477")</f>
        <v/>
      </c>
      <c r="D609">
        <f>_xlfn.NUMBERVALUE("0.001345")</f>
        <v/>
      </c>
      <c r="E609">
        <f>_xlfn.NUMBERVALUE("-0.000078")</f>
        <v/>
      </c>
      <c r="F609">
        <f>_xlfn.NUMBERVALUE("-0.000088")</f>
        <v/>
      </c>
      <c r="G609">
        <f>_xlfn.NUMBERVALUE("-0.001071")</f>
        <v/>
      </c>
      <c r="H609">
        <f>_xlfn.NUMBERVALUE("0.000082")</f>
        <v/>
      </c>
      <c r="I609">
        <f>_xlfn.NUMBERVALUE("0.000279")</f>
        <v/>
      </c>
      <c r="J609">
        <f>_xlfn.NUMBERVALUE("-0.000147")</f>
        <v/>
      </c>
      <c r="K609">
        <f>_xlfn.NUMBERVALUE("-0.000003")</f>
        <v/>
      </c>
      <c r="L609">
        <f>_xlfn.NUMBERVALUE("0.000710")</f>
        <v/>
      </c>
      <c r="M609">
        <f>_xlfn.NUMBERVALUE("0.000723")</f>
        <v/>
      </c>
      <c r="N609">
        <f>_xlfn.NUMBERVALUE("0.000000")</f>
        <v/>
      </c>
      <c r="O609">
        <f>_xlfn.NUMBERVALUE("-0.000380")</f>
        <v/>
      </c>
      <c r="P609">
        <f>_xlfn.NUMBERVALUE("-0.001626")</f>
        <v/>
      </c>
      <c r="Q609">
        <f>_xlfn.NUMBERVALUE("0.000142")</f>
        <v/>
      </c>
      <c r="R609">
        <f>_xlfn.NUMBERVALUE("0.000514")</f>
        <v/>
      </c>
      <c r="S609">
        <f>_xlfn.NUMBERVALUE("0.000061")</f>
        <v/>
      </c>
      <c r="T609">
        <f>_xlfn.NUMBERVALUE("0.000285")</f>
        <v/>
      </c>
      <c r="U609">
        <f>_xlfn.NUMBERVALUE("0.000804")</f>
        <v/>
      </c>
      <c r="V609">
        <f>_xlfn.NUMBERVALUE("-0.000048")</f>
        <v/>
      </c>
      <c r="W609">
        <f>_xlfn.NUMBERVALUE("-0.001241")</f>
        <v/>
      </c>
      <c r="X609">
        <f>_xlfn.NUMBERVALUE("0.030000")</f>
        <v/>
      </c>
      <c r="Y609">
        <f>_xlfn.NUMBERVALUE("10.410000")</f>
        <v/>
      </c>
    </row>
    <row r="610">
      <c r="A610" s="1" t="n">
        <v>42887</v>
      </c>
      <c r="B610">
        <f>_xlfn.NUMBERVALUE("0.000000")</f>
        <v/>
      </c>
      <c r="C610" s="2">
        <f>_xlfn.NUMBERVALUE("-0.000955")</f>
        <v/>
      </c>
      <c r="D610">
        <f>_xlfn.NUMBERVALUE("-0.000264")</f>
        <v/>
      </c>
      <c r="E610">
        <f>_xlfn.NUMBERVALUE("-0.000049")</f>
        <v/>
      </c>
      <c r="F610">
        <f>_xlfn.NUMBERVALUE("-0.000682")</f>
        <v/>
      </c>
      <c r="G610">
        <f>_xlfn.NUMBERVALUE("0.000005")</f>
        <v/>
      </c>
      <c r="H610">
        <f>_xlfn.NUMBERVALUE("-0.000134")</f>
        <v/>
      </c>
      <c r="I610">
        <f>_xlfn.NUMBERVALUE("-0.004624")</f>
        <v/>
      </c>
      <c r="J610">
        <f>_xlfn.NUMBERVALUE("-0.000288")</f>
        <v/>
      </c>
      <c r="K610">
        <f>_xlfn.NUMBERVALUE("0.000000")</f>
        <v/>
      </c>
      <c r="L610">
        <f>_xlfn.NUMBERVALUE("-0.002611")</f>
        <v/>
      </c>
      <c r="M610">
        <f>_xlfn.NUMBERVALUE("-0.001158")</f>
        <v/>
      </c>
      <c r="N610">
        <f>_xlfn.NUMBERVALUE("0.000000")</f>
        <v/>
      </c>
      <c r="O610">
        <f>_xlfn.NUMBERVALUE("0.000870")</f>
        <v/>
      </c>
      <c r="P610">
        <f>_xlfn.NUMBERVALUE("0.000507")</f>
        <v/>
      </c>
      <c r="Q610">
        <f>_xlfn.NUMBERVALUE("-0.000731")</f>
        <v/>
      </c>
      <c r="R610">
        <f>_xlfn.NUMBERVALUE("0.000635")</f>
        <v/>
      </c>
      <c r="S610">
        <f>_xlfn.NUMBERVALUE("0.000457")</f>
        <v/>
      </c>
      <c r="T610">
        <f>_xlfn.NUMBERVALUE("0.001225")</f>
        <v/>
      </c>
      <c r="U610">
        <f>_xlfn.NUMBERVALUE("-0.002120")</f>
        <v/>
      </c>
      <c r="V610">
        <f>_xlfn.NUMBERVALUE("-0.000327")</f>
        <v/>
      </c>
      <c r="W610">
        <f>_xlfn.NUMBERVALUE("0.006337")</f>
        <v/>
      </c>
      <c r="X610">
        <f>_xlfn.NUMBERVALUE("-0.520000")</f>
        <v/>
      </c>
      <c r="Y610">
        <f>_xlfn.NUMBERVALUE("9.890000")</f>
        <v/>
      </c>
    </row>
    <row r="611">
      <c r="A611" s="1" t="n">
        <v>42888</v>
      </c>
      <c r="B611">
        <f>_xlfn.NUMBERVALUE("0.000000")</f>
        <v/>
      </c>
      <c r="C611" s="2">
        <f>_xlfn.NUMBERVALUE("-0.000104")</f>
        <v/>
      </c>
      <c r="D611">
        <f>_xlfn.NUMBERVALUE("-0.000139")</f>
        <v/>
      </c>
      <c r="E611">
        <f>_xlfn.NUMBERVALUE("-0.000079")</f>
        <v/>
      </c>
      <c r="F611">
        <f>_xlfn.NUMBERVALUE("-0.000195")</f>
        <v/>
      </c>
      <c r="G611">
        <f>_xlfn.NUMBERVALUE("-0.000003")</f>
        <v/>
      </c>
      <c r="H611">
        <f>_xlfn.NUMBERVALUE("0.000011")</f>
        <v/>
      </c>
      <c r="I611">
        <f>_xlfn.NUMBERVALUE("-0.003678")</f>
        <v/>
      </c>
      <c r="J611">
        <f>_xlfn.NUMBERVALUE("0.000008")</f>
        <v/>
      </c>
      <c r="K611">
        <f>_xlfn.NUMBERVALUE("-0.000006")</f>
        <v/>
      </c>
      <c r="L611">
        <f>_xlfn.NUMBERVALUE("-0.000536")</f>
        <v/>
      </c>
      <c r="M611">
        <f>_xlfn.NUMBERVALUE("-0.000458")</f>
        <v/>
      </c>
      <c r="N611">
        <f>_xlfn.NUMBERVALUE("0.000000")</f>
        <v/>
      </c>
      <c r="O611">
        <f>_xlfn.NUMBERVALUE("-0.001091")</f>
        <v/>
      </c>
      <c r="P611">
        <f>_xlfn.NUMBERVALUE("0.001648")</f>
        <v/>
      </c>
      <c r="Q611">
        <f>_xlfn.NUMBERVALUE("-0.000292")</f>
        <v/>
      </c>
      <c r="R611">
        <f>_xlfn.NUMBERVALUE("-0.000415")</f>
        <v/>
      </c>
      <c r="S611">
        <f>_xlfn.NUMBERVALUE("-0.000920")</f>
        <v/>
      </c>
      <c r="T611">
        <f>_xlfn.NUMBERVALUE("-0.001728")</f>
        <v/>
      </c>
      <c r="U611">
        <f>_xlfn.NUMBERVALUE("-0.000260")</f>
        <v/>
      </c>
      <c r="V611">
        <f>_xlfn.NUMBERVALUE("-0.000004")</f>
        <v/>
      </c>
      <c r="W611">
        <f>_xlfn.NUMBERVALUE("0.002284")</f>
        <v/>
      </c>
      <c r="X611">
        <f>_xlfn.NUMBERVALUE("-0.140000")</f>
        <v/>
      </c>
      <c r="Y611">
        <f>_xlfn.NUMBERVALUE("9.750000")</f>
        <v/>
      </c>
    </row>
    <row r="612">
      <c r="A612" s="1" t="n">
        <v>42891</v>
      </c>
      <c r="B612">
        <f>_xlfn.NUMBERVALUE("0.000000")</f>
        <v/>
      </c>
      <c r="C612" s="2">
        <f>_xlfn.NUMBERVALUE("0.000779")</f>
        <v/>
      </c>
      <c r="D612">
        <f>_xlfn.NUMBERVALUE("0.001102")</f>
        <v/>
      </c>
      <c r="E612">
        <f>_xlfn.NUMBERVALUE("-0.000988")</f>
        <v/>
      </c>
      <c r="F612">
        <f>_xlfn.NUMBERVALUE("0.000584")</f>
        <v/>
      </c>
      <c r="G612">
        <f>_xlfn.NUMBERVALUE("0.000470")</f>
        <v/>
      </c>
      <c r="H612">
        <f>_xlfn.NUMBERVALUE("0.000682")</f>
        <v/>
      </c>
      <c r="I612">
        <f>_xlfn.NUMBERVALUE("0.000982")</f>
        <v/>
      </c>
      <c r="J612">
        <f>_xlfn.NUMBERVALUE("0.000496")</f>
        <v/>
      </c>
      <c r="K612">
        <f>_xlfn.NUMBERVALUE("0.000609")</f>
        <v/>
      </c>
      <c r="L612">
        <f>_xlfn.NUMBERVALUE("0.000018")</f>
        <v/>
      </c>
      <c r="M612">
        <f>_xlfn.NUMBERVALUE("0.000430")</f>
        <v/>
      </c>
      <c r="N612">
        <f>_xlfn.NUMBERVALUE("0.000000")</f>
        <v/>
      </c>
      <c r="O612">
        <f>_xlfn.NUMBERVALUE("0.001033")</f>
        <v/>
      </c>
      <c r="P612">
        <f>_xlfn.NUMBERVALUE("0.000327")</f>
        <v/>
      </c>
      <c r="Q612">
        <f>_xlfn.NUMBERVALUE("0.001096")</f>
        <v/>
      </c>
      <c r="R612">
        <f>_xlfn.NUMBERVALUE("0.000025")</f>
        <v/>
      </c>
      <c r="S612">
        <f>_xlfn.NUMBERVALUE("0.000116")</f>
        <v/>
      </c>
      <c r="T612">
        <f>_xlfn.NUMBERVALUE("0.000300")</f>
        <v/>
      </c>
      <c r="U612">
        <f>_xlfn.NUMBERVALUE("0.000414")</f>
        <v/>
      </c>
      <c r="V612">
        <f>_xlfn.NUMBERVALUE("0.001035")</f>
        <v/>
      </c>
      <c r="W612">
        <f>_xlfn.NUMBERVALUE("-0.000004")</f>
        <v/>
      </c>
      <c r="X612">
        <f>_xlfn.NUMBERVALUE("0.320000")</f>
        <v/>
      </c>
      <c r="Y612">
        <f>_xlfn.NUMBERVALUE("10.070000")</f>
        <v/>
      </c>
    </row>
    <row r="613">
      <c r="A613" s="1" t="n">
        <v>42892</v>
      </c>
      <c r="B613">
        <f>_xlfn.NUMBERVALUE("0.000000")</f>
        <v/>
      </c>
      <c r="C613" s="2">
        <f>_xlfn.NUMBERVALUE("-0.000985")</f>
        <v/>
      </c>
      <c r="D613">
        <f>_xlfn.NUMBERVALUE("0.000145")</f>
        <v/>
      </c>
      <c r="E613">
        <f>_xlfn.NUMBERVALUE("-0.002237")</f>
        <v/>
      </c>
      <c r="F613">
        <f>_xlfn.NUMBERVALUE("-0.002320")</f>
        <v/>
      </c>
      <c r="G613">
        <f>_xlfn.NUMBERVALUE("-0.000696")</f>
        <v/>
      </c>
      <c r="H613">
        <f>_xlfn.NUMBERVALUE("0.000102")</f>
        <v/>
      </c>
      <c r="I613">
        <f>_xlfn.NUMBERVALUE("0.000152")</f>
        <v/>
      </c>
      <c r="J613">
        <f>_xlfn.NUMBERVALUE("-0.000532")</f>
        <v/>
      </c>
      <c r="K613">
        <f>_xlfn.NUMBERVALUE("-0.000341")</f>
        <v/>
      </c>
      <c r="L613">
        <f>_xlfn.NUMBERVALUE("-0.000115")</f>
        <v/>
      </c>
      <c r="M613">
        <f>_xlfn.NUMBERVALUE("0.000206")</f>
        <v/>
      </c>
      <c r="N613">
        <f>_xlfn.NUMBERVALUE("0.000000")</f>
        <v/>
      </c>
      <c r="O613">
        <f>_xlfn.NUMBERVALUE("0.000006")</f>
        <v/>
      </c>
      <c r="P613">
        <f>_xlfn.NUMBERVALUE("-0.000070")</f>
        <v/>
      </c>
      <c r="Q613">
        <f>_xlfn.NUMBERVALUE("0.000201")</f>
        <v/>
      </c>
      <c r="R613">
        <f>_xlfn.NUMBERVALUE("0.000088")</f>
        <v/>
      </c>
      <c r="S613">
        <f>_xlfn.NUMBERVALUE("0.000044")</f>
        <v/>
      </c>
      <c r="T613">
        <f>_xlfn.NUMBERVALUE("0.000004")</f>
        <v/>
      </c>
      <c r="U613">
        <f>_xlfn.NUMBERVALUE("-0.000081")</f>
        <v/>
      </c>
      <c r="V613">
        <f>_xlfn.NUMBERVALUE("-0.000951")</f>
        <v/>
      </c>
      <c r="W613">
        <f>_xlfn.NUMBERVALUE("-0.003069")</f>
        <v/>
      </c>
      <c r="X613">
        <f>_xlfn.NUMBERVALUE("0.380000")</f>
        <v/>
      </c>
      <c r="Y613">
        <f>_xlfn.NUMBERVALUE("10.450000")</f>
        <v/>
      </c>
    </row>
    <row r="614">
      <c r="A614" s="1" t="n">
        <v>42893</v>
      </c>
      <c r="B614">
        <f>_xlfn.NUMBERVALUE("0.000000")</f>
        <v/>
      </c>
      <c r="C614" s="2">
        <f>_xlfn.NUMBERVALUE("0.000536")</f>
        <v/>
      </c>
      <c r="D614">
        <f>_xlfn.NUMBERVALUE("0.000983")</f>
        <v/>
      </c>
      <c r="E614">
        <f>_xlfn.NUMBERVALUE("0.002774")</f>
        <v/>
      </c>
      <c r="F614">
        <f>_xlfn.NUMBERVALUE("-0.000184")</f>
        <v/>
      </c>
      <c r="G614">
        <f>_xlfn.NUMBERVALUE("-0.000672")</f>
        <v/>
      </c>
      <c r="H614">
        <f>_xlfn.NUMBERVALUE("-0.000507")</f>
        <v/>
      </c>
      <c r="I614">
        <f>_xlfn.NUMBERVALUE("0.000783")</f>
        <v/>
      </c>
      <c r="J614">
        <f>_xlfn.NUMBERVALUE("0.000412")</f>
        <v/>
      </c>
      <c r="K614">
        <f>_xlfn.NUMBERVALUE("0.001527")</f>
        <v/>
      </c>
      <c r="L614">
        <f>_xlfn.NUMBERVALUE("0.000305")</f>
        <v/>
      </c>
      <c r="M614">
        <f>_xlfn.NUMBERVALUE("-0.000022")</f>
        <v/>
      </c>
      <c r="N614">
        <f>_xlfn.NUMBERVALUE("0.000000")</f>
        <v/>
      </c>
      <c r="O614">
        <f>_xlfn.NUMBERVALUE("-0.000088")</f>
        <v/>
      </c>
      <c r="P614">
        <f>_xlfn.NUMBERVALUE("0.000043")</f>
        <v/>
      </c>
      <c r="Q614">
        <f>_xlfn.NUMBERVALUE("0.000210")</f>
        <v/>
      </c>
      <c r="R614">
        <f>_xlfn.NUMBERVALUE("0.000029")</f>
        <v/>
      </c>
      <c r="S614">
        <f>_xlfn.NUMBERVALUE("0.000096")</f>
        <v/>
      </c>
      <c r="T614">
        <f>_xlfn.NUMBERVALUE("0.000112")</f>
        <v/>
      </c>
      <c r="U614">
        <f>_xlfn.NUMBERVALUE("0.000256")</f>
        <v/>
      </c>
      <c r="V614">
        <f>_xlfn.NUMBERVALUE("0.000603")</f>
        <v/>
      </c>
      <c r="W614">
        <f>_xlfn.NUMBERVALUE("0.002260")</f>
        <v/>
      </c>
      <c r="X614">
        <f>_xlfn.NUMBERVALUE("-0.060000")</f>
        <v/>
      </c>
      <c r="Y614">
        <f>_xlfn.NUMBERVALUE("10.390000")</f>
        <v/>
      </c>
    </row>
    <row r="615">
      <c r="A615" s="1" t="n">
        <v>42894</v>
      </c>
      <c r="B615">
        <f>_xlfn.NUMBERVALUE("0.000000")</f>
        <v/>
      </c>
      <c r="C615" s="2">
        <f>_xlfn.NUMBERVALUE("0.000833")</f>
        <v/>
      </c>
      <c r="D615">
        <f>_xlfn.NUMBERVALUE("0.000777")</f>
        <v/>
      </c>
      <c r="E615">
        <f>_xlfn.NUMBERVALUE("0.000653")</f>
        <v/>
      </c>
      <c r="F615">
        <f>_xlfn.NUMBERVALUE("0.000881")</f>
        <v/>
      </c>
      <c r="G615">
        <f>_xlfn.NUMBERVALUE("0.000535")</f>
        <v/>
      </c>
      <c r="H615">
        <f>_xlfn.NUMBERVALUE("0.000686")</f>
        <v/>
      </c>
      <c r="I615">
        <f>_xlfn.NUMBERVALUE("-0.002481")</f>
        <v/>
      </c>
      <c r="J615">
        <f>_xlfn.NUMBERVALUE("0.000104")</f>
        <v/>
      </c>
      <c r="K615">
        <f>_xlfn.NUMBERVALUE("0.000933")</f>
        <v/>
      </c>
      <c r="L615">
        <f>_xlfn.NUMBERVALUE("0.000652")</f>
        <v/>
      </c>
      <c r="M615">
        <f>_xlfn.NUMBERVALUE("0.001265")</f>
        <v/>
      </c>
      <c r="N615">
        <f>_xlfn.NUMBERVALUE("0.000000")</f>
        <v/>
      </c>
      <c r="O615">
        <f>_xlfn.NUMBERVALUE("0.001064")</f>
        <v/>
      </c>
      <c r="P615">
        <f>_xlfn.NUMBERVALUE("-0.001545")</f>
        <v/>
      </c>
      <c r="Q615">
        <f>_xlfn.NUMBERVALUE("0.000402")</f>
        <v/>
      </c>
      <c r="R615">
        <f>_xlfn.NUMBERVALUE("0.000722")</f>
        <v/>
      </c>
      <c r="S615">
        <f>_xlfn.NUMBERVALUE("-0.000750")</f>
        <v/>
      </c>
      <c r="T615">
        <f>_xlfn.NUMBERVALUE("-0.001380")</f>
        <v/>
      </c>
      <c r="U615">
        <f>_xlfn.NUMBERVALUE("-0.000139")</f>
        <v/>
      </c>
      <c r="V615">
        <f>_xlfn.NUMBERVALUE("0.000902")</f>
        <v/>
      </c>
      <c r="W615">
        <f>_xlfn.NUMBERVALUE("-0.000841")</f>
        <v/>
      </c>
      <c r="X615">
        <f>_xlfn.NUMBERVALUE("-0.230000")</f>
        <v/>
      </c>
      <c r="Y615">
        <f>_xlfn.NUMBERVALUE("10.160000")</f>
        <v/>
      </c>
    </row>
    <row r="616">
      <c r="A616" s="1" t="n">
        <v>42895</v>
      </c>
      <c r="B616">
        <f>_xlfn.NUMBERVALUE("0.000000")</f>
        <v/>
      </c>
      <c r="C616" s="2">
        <f>_xlfn.NUMBERVALUE("-0.001440")</f>
        <v/>
      </c>
      <c r="D616">
        <f>_xlfn.NUMBERVALUE("-0.000627")</f>
        <v/>
      </c>
      <c r="E616">
        <f>_xlfn.NUMBERVALUE("-0.000242")</f>
        <v/>
      </c>
      <c r="F616">
        <f>_xlfn.NUMBERVALUE("-0.000701")</f>
        <v/>
      </c>
      <c r="G616">
        <f>_xlfn.NUMBERVALUE("0.000358")</f>
        <v/>
      </c>
      <c r="H616">
        <f>_xlfn.NUMBERVALUE("0.000543")</f>
        <v/>
      </c>
      <c r="I616">
        <f>_xlfn.NUMBERVALUE("-0.001385")</f>
        <v/>
      </c>
      <c r="J616">
        <f>_xlfn.NUMBERVALUE("0.000558")</f>
        <v/>
      </c>
      <c r="K616">
        <f>_xlfn.NUMBERVALUE("-0.000956")</f>
        <v/>
      </c>
      <c r="L616">
        <f>_xlfn.NUMBERVALUE("0.001523")</f>
        <v/>
      </c>
      <c r="M616">
        <f>_xlfn.NUMBERVALUE("-0.002529")</f>
        <v/>
      </c>
      <c r="N616">
        <f>_xlfn.NUMBERVALUE("0.000000")</f>
        <v/>
      </c>
      <c r="O616">
        <f>_xlfn.NUMBERVALUE("-0.004575")</f>
        <v/>
      </c>
      <c r="P616">
        <f>_xlfn.NUMBERVALUE("-0.003008")</f>
        <v/>
      </c>
      <c r="Q616">
        <f>_xlfn.NUMBERVALUE("0.000028")</f>
        <v/>
      </c>
      <c r="R616">
        <f>_xlfn.NUMBERVALUE("-0.013750")</f>
        <v/>
      </c>
      <c r="S616">
        <f>_xlfn.NUMBERVALUE("0.000729")</f>
        <v/>
      </c>
      <c r="T616">
        <f>_xlfn.NUMBERVALUE("0.000671")</f>
        <v/>
      </c>
      <c r="U616">
        <f>_xlfn.NUMBERVALUE("-0.000378")</f>
        <v/>
      </c>
      <c r="V616">
        <f>_xlfn.NUMBERVALUE("-0.000495")</f>
        <v/>
      </c>
      <c r="W616">
        <f>_xlfn.NUMBERVALUE("-0.002442")</f>
        <v/>
      </c>
      <c r="X616">
        <f>_xlfn.NUMBERVALUE("0.540000")</f>
        <v/>
      </c>
      <c r="Y616">
        <f>_xlfn.NUMBERVALUE("10.700000")</f>
        <v/>
      </c>
    </row>
    <row r="617">
      <c r="A617" s="1" t="n">
        <v>42898</v>
      </c>
      <c r="B617">
        <f>_xlfn.NUMBERVALUE("0.000000")</f>
        <v/>
      </c>
      <c r="C617" s="2">
        <f>_xlfn.NUMBERVALUE("0.000926")</f>
        <v/>
      </c>
      <c r="D617">
        <f>_xlfn.NUMBERVALUE("0.000825")</f>
        <v/>
      </c>
      <c r="E617">
        <f>_xlfn.NUMBERVALUE("0.000366")</f>
        <v/>
      </c>
      <c r="F617">
        <f>_xlfn.NUMBERVALUE("0.000887")</f>
        <v/>
      </c>
      <c r="G617">
        <f>_xlfn.NUMBERVALUE("0.000006")</f>
        <v/>
      </c>
      <c r="H617">
        <f>_xlfn.NUMBERVALUE("0.000213")</f>
        <v/>
      </c>
      <c r="I617">
        <f>_xlfn.NUMBERVALUE("0.001147")</f>
        <v/>
      </c>
      <c r="J617">
        <f>_xlfn.NUMBERVALUE("0.000676")</f>
        <v/>
      </c>
      <c r="K617">
        <f>_xlfn.NUMBERVALUE("-0.002022")</f>
        <v/>
      </c>
      <c r="L617">
        <f>_xlfn.NUMBERVALUE("0.000664")</f>
        <v/>
      </c>
      <c r="M617">
        <f>_xlfn.NUMBERVALUE("-0.000574")</f>
        <v/>
      </c>
      <c r="N617">
        <f>_xlfn.NUMBERVALUE("0.000000")</f>
        <v/>
      </c>
      <c r="O617">
        <f>_xlfn.NUMBERVALUE("-0.002144")</f>
        <v/>
      </c>
      <c r="P617">
        <f>_xlfn.NUMBERVALUE("-0.001280")</f>
        <v/>
      </c>
      <c r="Q617">
        <f>_xlfn.NUMBERVALUE("0.000154")</f>
        <v/>
      </c>
      <c r="R617">
        <f>_xlfn.NUMBERVALUE("0.002857")</f>
        <v/>
      </c>
      <c r="S617">
        <f>_xlfn.NUMBERVALUE("0.000472")</f>
        <v/>
      </c>
      <c r="T617">
        <f>_xlfn.NUMBERVALUE("0.000235")</f>
        <v/>
      </c>
      <c r="U617">
        <f>_xlfn.NUMBERVALUE("0.000942")</f>
        <v/>
      </c>
      <c r="V617">
        <f>_xlfn.NUMBERVALUE("0.001226")</f>
        <v/>
      </c>
      <c r="W617">
        <f>_xlfn.NUMBERVALUE("-0.000666")</f>
        <v/>
      </c>
      <c r="X617">
        <f>_xlfn.NUMBERVALUE("0.760000")</f>
        <v/>
      </c>
      <c r="Y617">
        <f>_xlfn.NUMBERVALUE("11.460000")</f>
        <v/>
      </c>
    </row>
    <row r="618">
      <c r="A618" s="1" t="n">
        <v>42899</v>
      </c>
      <c r="B618">
        <f>_xlfn.NUMBERVALUE("0.000000")</f>
        <v/>
      </c>
      <c r="C618" s="2">
        <f>_xlfn.NUMBERVALUE("0.000292")</f>
        <v/>
      </c>
      <c r="D618">
        <f>_xlfn.NUMBERVALUE("0.000004")</f>
        <v/>
      </c>
      <c r="E618">
        <f>_xlfn.NUMBERVALUE("0.001074")</f>
        <v/>
      </c>
      <c r="F618">
        <f>_xlfn.NUMBERVALUE("0.000923")</f>
        <v/>
      </c>
      <c r="G618">
        <f>_xlfn.NUMBERVALUE("0.000966")</f>
        <v/>
      </c>
      <c r="H618">
        <f>_xlfn.NUMBERVALUE("0.000714")</f>
        <v/>
      </c>
      <c r="I618">
        <f>_xlfn.NUMBERVALUE("0.002122")</f>
        <v/>
      </c>
      <c r="J618">
        <f>_xlfn.NUMBERVALUE("-0.000071")</f>
        <v/>
      </c>
      <c r="K618">
        <f>_xlfn.NUMBERVALUE("-0.000214")</f>
        <v/>
      </c>
      <c r="L618">
        <f>_xlfn.NUMBERVALUE("0.000752")</f>
        <v/>
      </c>
      <c r="M618">
        <f>_xlfn.NUMBERVALUE("-0.001358")</f>
        <v/>
      </c>
      <c r="N618">
        <f>_xlfn.NUMBERVALUE("0.000000")</f>
        <v/>
      </c>
      <c r="O618">
        <f>_xlfn.NUMBERVALUE("0.002430")</f>
        <v/>
      </c>
      <c r="P618">
        <f>_xlfn.NUMBERVALUE("0.000543")</f>
        <v/>
      </c>
      <c r="Q618">
        <f>_xlfn.NUMBERVALUE("0.001196")</f>
        <v/>
      </c>
      <c r="R618">
        <f>_xlfn.NUMBERVALUE("0.002855")</f>
        <v/>
      </c>
      <c r="S618">
        <f>_xlfn.NUMBERVALUE("0.001752")</f>
        <v/>
      </c>
      <c r="T618">
        <f>_xlfn.NUMBERVALUE("0.000968")</f>
        <v/>
      </c>
      <c r="U618">
        <f>_xlfn.NUMBERVALUE("0.001030")</f>
        <v/>
      </c>
      <c r="V618">
        <f>_xlfn.NUMBERVALUE("0.000095")</f>
        <v/>
      </c>
      <c r="W618">
        <f>_xlfn.NUMBERVALUE("0.006183")</f>
        <v/>
      </c>
      <c r="X618">
        <f>_xlfn.NUMBERVALUE("-1.040000")</f>
        <v/>
      </c>
      <c r="Y618">
        <f>_xlfn.NUMBERVALUE("10.420000")</f>
        <v/>
      </c>
    </row>
    <row r="619">
      <c r="A619" s="1" t="n">
        <v>42900</v>
      </c>
      <c r="B619">
        <f>_xlfn.NUMBERVALUE("0.000000")</f>
        <v/>
      </c>
      <c r="C619" s="2">
        <f>_xlfn.NUMBERVALUE("0.000037")</f>
        <v/>
      </c>
      <c r="D619">
        <f>_xlfn.NUMBERVALUE("0.000335")</f>
        <v/>
      </c>
      <c r="E619">
        <f>_xlfn.NUMBERVALUE("-0.000013")</f>
        <v/>
      </c>
      <c r="F619">
        <f>_xlfn.NUMBERVALUE("0.000949")</f>
        <v/>
      </c>
      <c r="G619">
        <f>_xlfn.NUMBERVALUE("-0.000585")</f>
        <v/>
      </c>
      <c r="H619">
        <f>_xlfn.NUMBERVALUE("-0.001279")</f>
        <v/>
      </c>
      <c r="I619">
        <f>_xlfn.NUMBERVALUE("0.001072")</f>
        <v/>
      </c>
      <c r="J619">
        <f>_xlfn.NUMBERVALUE("-0.001287")</f>
        <v/>
      </c>
      <c r="K619">
        <f>_xlfn.NUMBERVALUE("0.001848")</f>
        <v/>
      </c>
      <c r="L619">
        <f>_xlfn.NUMBERVALUE("-0.003449")</f>
        <v/>
      </c>
      <c r="M619">
        <f>_xlfn.NUMBERVALUE("0.000260")</f>
        <v/>
      </c>
      <c r="N619">
        <f>_xlfn.NUMBERVALUE("0.000000")</f>
        <v/>
      </c>
      <c r="O619">
        <f>_xlfn.NUMBERVALUE("-0.001330")</f>
        <v/>
      </c>
      <c r="P619">
        <f>_xlfn.NUMBERVALUE("-0.000254")</f>
        <v/>
      </c>
      <c r="Q619">
        <f>_xlfn.NUMBERVALUE("0.000968")</f>
        <v/>
      </c>
      <c r="R619">
        <f>_xlfn.NUMBERVALUE("-0.002196")</f>
        <v/>
      </c>
      <c r="S619">
        <f>_xlfn.NUMBERVALUE("-0.000887")</f>
        <v/>
      </c>
      <c r="T619">
        <f>_xlfn.NUMBERVALUE("-0.000628")</f>
        <v/>
      </c>
      <c r="U619">
        <f>_xlfn.NUMBERVALUE("0.000161")</f>
        <v/>
      </c>
      <c r="V619">
        <f>_xlfn.NUMBERVALUE("0.000709")</f>
        <v/>
      </c>
      <c r="W619">
        <f>_xlfn.NUMBERVALUE("-0.001677")</f>
        <v/>
      </c>
      <c r="X619">
        <f>_xlfn.NUMBERVALUE("0.220000")</f>
        <v/>
      </c>
      <c r="Y619">
        <f>_xlfn.NUMBERVALUE("10.640000")</f>
        <v/>
      </c>
    </row>
    <row r="620">
      <c r="A620" s="1" t="n">
        <v>42901</v>
      </c>
      <c r="B620">
        <f>_xlfn.NUMBERVALUE("0.000000")</f>
        <v/>
      </c>
      <c r="C620" s="2">
        <f>_xlfn.NUMBERVALUE("0.000085")</f>
        <v/>
      </c>
      <c r="D620">
        <f>_xlfn.NUMBERVALUE("0.001602")</f>
        <v/>
      </c>
      <c r="E620">
        <f>_xlfn.NUMBERVALUE("-0.000971")</f>
        <v/>
      </c>
      <c r="F620">
        <f>_xlfn.NUMBERVALUE("0.000751")</f>
        <v/>
      </c>
      <c r="G620">
        <f>_xlfn.NUMBERVALUE("0.000559")</f>
        <v/>
      </c>
      <c r="H620">
        <f>_xlfn.NUMBERVALUE("0.000254")</f>
        <v/>
      </c>
      <c r="I620">
        <f>_xlfn.NUMBERVALUE("-0.000022")</f>
        <v/>
      </c>
      <c r="J620">
        <f>_xlfn.NUMBERVALUE("0.000138")</f>
        <v/>
      </c>
      <c r="K620">
        <f>_xlfn.NUMBERVALUE("0.001172")</f>
        <v/>
      </c>
      <c r="L620">
        <f>_xlfn.NUMBERVALUE("0.000695")</f>
        <v/>
      </c>
      <c r="M620">
        <f>_xlfn.NUMBERVALUE("-0.001536")</f>
        <v/>
      </c>
      <c r="N620">
        <f>_xlfn.NUMBERVALUE("0.000000")</f>
        <v/>
      </c>
      <c r="O620">
        <f>_xlfn.NUMBERVALUE("-0.000903")</f>
        <v/>
      </c>
      <c r="P620">
        <f>_xlfn.NUMBERVALUE("0.001180")</f>
        <v/>
      </c>
      <c r="Q620">
        <f>_xlfn.NUMBERVALUE("-0.000838")</f>
        <v/>
      </c>
      <c r="R620">
        <f>_xlfn.NUMBERVALUE("0.000270")</f>
        <v/>
      </c>
      <c r="S620">
        <f>_xlfn.NUMBERVALUE("0.000802")</f>
        <v/>
      </c>
      <c r="T620">
        <f>_xlfn.NUMBERVALUE("0.000220")</f>
        <v/>
      </c>
      <c r="U620">
        <f>_xlfn.NUMBERVALUE("-0.000671")</f>
        <v/>
      </c>
      <c r="V620">
        <f>_xlfn.NUMBERVALUE("0.000364")</f>
        <v/>
      </c>
      <c r="W620">
        <f>_xlfn.NUMBERVALUE("-0.001885")</f>
        <v/>
      </c>
      <c r="X620">
        <f>_xlfn.NUMBERVALUE("0.260000")</f>
        <v/>
      </c>
      <c r="Y620">
        <f>_xlfn.NUMBERVALUE("10.900000")</f>
        <v/>
      </c>
    </row>
    <row r="621">
      <c r="A621" s="1" t="n">
        <v>42902</v>
      </c>
      <c r="B621">
        <f>_xlfn.NUMBERVALUE("0.000000")</f>
        <v/>
      </c>
      <c r="C621" s="2">
        <f>_xlfn.NUMBERVALUE("0.000725")</f>
        <v/>
      </c>
      <c r="D621">
        <f>_xlfn.NUMBERVALUE("0.001603")</f>
        <v/>
      </c>
      <c r="E621">
        <f>_xlfn.NUMBERVALUE("-0.000126")</f>
        <v/>
      </c>
      <c r="F621">
        <f>_xlfn.NUMBERVALUE("0.000836")</f>
        <v/>
      </c>
      <c r="G621">
        <f>_xlfn.NUMBERVALUE("0.000780")</f>
        <v/>
      </c>
      <c r="H621">
        <f>_xlfn.NUMBERVALUE("0.000699")</f>
        <v/>
      </c>
      <c r="I621">
        <f>_xlfn.NUMBERVALUE("0.002618")</f>
        <v/>
      </c>
      <c r="J621">
        <f>_xlfn.NUMBERVALUE("0.000148")</f>
        <v/>
      </c>
      <c r="K621">
        <f>_xlfn.NUMBERVALUE("-0.000033")</f>
        <v/>
      </c>
      <c r="L621">
        <f>_xlfn.NUMBERVALUE("0.001069")</f>
        <v/>
      </c>
      <c r="M621">
        <f>_xlfn.NUMBERVALUE("-0.000123")</f>
        <v/>
      </c>
      <c r="N621">
        <f>_xlfn.NUMBERVALUE("0.000000")</f>
        <v/>
      </c>
      <c r="O621">
        <f>_xlfn.NUMBERVALUE("-0.001592")</f>
        <v/>
      </c>
      <c r="P621">
        <f>_xlfn.NUMBERVALUE("0.000424")</f>
        <v/>
      </c>
      <c r="Q621">
        <f>_xlfn.NUMBERVALUE("-0.002722")</f>
        <v/>
      </c>
      <c r="R621">
        <f>_xlfn.NUMBERVALUE("0.003010")</f>
        <v/>
      </c>
      <c r="S621">
        <f>_xlfn.NUMBERVALUE("-0.003051")</f>
        <v/>
      </c>
      <c r="T621">
        <f>_xlfn.NUMBERVALUE("-0.001375")</f>
        <v/>
      </c>
      <c r="U621">
        <f>_xlfn.NUMBERVALUE("0.001544")</f>
        <v/>
      </c>
      <c r="V621">
        <f>_xlfn.NUMBERVALUE("0.000813")</f>
        <v/>
      </c>
      <c r="W621">
        <f>_xlfn.NUMBERVALUE("-0.004722")</f>
        <v/>
      </c>
      <c r="X621">
        <f>_xlfn.NUMBERVALUE("-0.520000")</f>
        <v/>
      </c>
      <c r="Y621">
        <f>_xlfn.NUMBERVALUE("10.380000")</f>
        <v/>
      </c>
    </row>
    <row r="622">
      <c r="A622" s="1" t="n">
        <v>42905</v>
      </c>
      <c r="B622">
        <f>_xlfn.NUMBERVALUE("0.000000")</f>
        <v/>
      </c>
      <c r="C622" s="2">
        <f>_xlfn.NUMBERVALUE("-0.000622")</f>
        <v/>
      </c>
      <c r="D622">
        <f>_xlfn.NUMBERVALUE("-0.000445")</f>
        <v/>
      </c>
      <c r="E622">
        <f>_xlfn.NUMBERVALUE("0.003243")</f>
        <v/>
      </c>
      <c r="F622">
        <f>_xlfn.NUMBERVALUE("-0.000853")</f>
        <v/>
      </c>
      <c r="G622">
        <f>_xlfn.NUMBERVALUE("0.000517")</f>
        <v/>
      </c>
      <c r="H622">
        <f>_xlfn.NUMBERVALUE("0.000347")</f>
        <v/>
      </c>
      <c r="I622">
        <f>_xlfn.NUMBERVALUE("0.000609")</f>
        <v/>
      </c>
      <c r="J622">
        <f>_xlfn.NUMBERVALUE("0.000560")</f>
        <v/>
      </c>
      <c r="K622">
        <f>_xlfn.NUMBERVALUE("0.000248")</f>
        <v/>
      </c>
      <c r="L622">
        <f>_xlfn.NUMBERVALUE("0.001040")</f>
        <v/>
      </c>
      <c r="M622">
        <f>_xlfn.NUMBERVALUE("0.001041")</f>
        <v/>
      </c>
      <c r="N622">
        <f>_xlfn.NUMBERVALUE("0.000000")</f>
        <v/>
      </c>
      <c r="O622">
        <f>_xlfn.NUMBERVALUE("0.002144")</f>
        <v/>
      </c>
      <c r="P622">
        <f>_xlfn.NUMBERVALUE("-0.000459")</f>
        <v/>
      </c>
      <c r="Q622">
        <f>_xlfn.NUMBERVALUE("-0.000135")</f>
        <v/>
      </c>
      <c r="R622">
        <f>_xlfn.NUMBERVALUE("-0.000451")</f>
        <v/>
      </c>
      <c r="S622">
        <f>_xlfn.NUMBERVALUE("-0.000100")</f>
        <v/>
      </c>
      <c r="T622">
        <f>_xlfn.NUMBERVALUE("0.001136")</f>
        <v/>
      </c>
      <c r="U622">
        <f>_xlfn.NUMBERVALUE("0.000442")</f>
        <v/>
      </c>
      <c r="V622">
        <f>_xlfn.NUMBERVALUE("-0.001832")</f>
        <v/>
      </c>
      <c r="W622">
        <f>_xlfn.NUMBERVALUE("0.008869")</f>
        <v/>
      </c>
      <c r="X622">
        <f>_xlfn.NUMBERVALUE("-0.010000")</f>
        <v/>
      </c>
      <c r="Y622">
        <f>_xlfn.NUMBERVALUE("10.370000")</f>
        <v/>
      </c>
    </row>
    <row r="623">
      <c r="A623" s="1" t="n">
        <v>42906</v>
      </c>
      <c r="B623">
        <f>_xlfn.NUMBERVALUE("0.000000")</f>
        <v/>
      </c>
      <c r="C623" s="2">
        <f>_xlfn.NUMBERVALUE("-0.000251")</f>
        <v/>
      </c>
      <c r="D623">
        <f>_xlfn.NUMBERVALUE("-0.002308")</f>
        <v/>
      </c>
      <c r="E623">
        <f>_xlfn.NUMBERVALUE("-0.003477")</f>
        <v/>
      </c>
      <c r="F623">
        <f>_xlfn.NUMBERVALUE("-0.000229")</f>
        <v/>
      </c>
      <c r="G623">
        <f>_xlfn.NUMBERVALUE("-0.000475")</f>
        <v/>
      </c>
      <c r="H623">
        <f>_xlfn.NUMBERVALUE("0.000124")</f>
        <v/>
      </c>
      <c r="I623">
        <f>_xlfn.NUMBERVALUE("-0.000954")</f>
        <v/>
      </c>
      <c r="J623">
        <f>_xlfn.NUMBERVALUE("-0.000290")</f>
        <v/>
      </c>
      <c r="K623">
        <f>_xlfn.NUMBERVALUE("0.000096")</f>
        <v/>
      </c>
      <c r="L623">
        <f>_xlfn.NUMBERVALUE("-0.001253")</f>
        <v/>
      </c>
      <c r="M623">
        <f>_xlfn.NUMBERVALUE("0.000354")</f>
        <v/>
      </c>
      <c r="N623">
        <f>_xlfn.NUMBERVALUE("0.000000")</f>
        <v/>
      </c>
      <c r="O623">
        <f>_xlfn.NUMBERVALUE("-0.000175")</f>
        <v/>
      </c>
      <c r="P623">
        <f>_xlfn.NUMBERVALUE("0.000284")</f>
        <v/>
      </c>
      <c r="Q623">
        <f>_xlfn.NUMBERVALUE("0.000612")</f>
        <v/>
      </c>
      <c r="R623">
        <f>_xlfn.NUMBERVALUE("-0.000190")</f>
        <v/>
      </c>
      <c r="S623">
        <f>_xlfn.NUMBERVALUE("0.000036")</f>
        <v/>
      </c>
      <c r="T623">
        <f>_xlfn.NUMBERVALUE("0.001322")</f>
        <v/>
      </c>
      <c r="U623">
        <f>_xlfn.NUMBERVALUE("-0.003344")</f>
        <v/>
      </c>
      <c r="V623">
        <f>_xlfn.NUMBERVALUE("-0.001074")</f>
        <v/>
      </c>
      <c r="W623">
        <f>_xlfn.NUMBERVALUE("-0.005765")</f>
        <v/>
      </c>
      <c r="X623">
        <f>_xlfn.NUMBERVALUE("0.490000")</f>
        <v/>
      </c>
      <c r="Y623">
        <f>_xlfn.NUMBERVALUE("10.860000")</f>
        <v/>
      </c>
    </row>
    <row r="624">
      <c r="A624" s="1" t="n">
        <v>42907</v>
      </c>
      <c r="B624">
        <f>_xlfn.NUMBERVALUE("0.000000")</f>
        <v/>
      </c>
      <c r="C624" s="2">
        <f>_xlfn.NUMBERVALUE("0.000470")</f>
        <v/>
      </c>
      <c r="D624">
        <f>_xlfn.NUMBERVALUE("0.000774")</f>
        <v/>
      </c>
      <c r="E624">
        <f>_xlfn.NUMBERVALUE("0.000427")</f>
        <v/>
      </c>
      <c r="F624">
        <f>_xlfn.NUMBERVALUE("0.000315")</f>
        <v/>
      </c>
      <c r="G624">
        <f>_xlfn.NUMBERVALUE("-0.001923")</f>
        <v/>
      </c>
      <c r="H624">
        <f>_xlfn.NUMBERVALUE("0.000262")</f>
        <v/>
      </c>
      <c r="I624">
        <f>_xlfn.NUMBERVALUE("0.000477")</f>
        <v/>
      </c>
      <c r="J624">
        <f>_xlfn.NUMBERVALUE("0.000445")</f>
        <v/>
      </c>
      <c r="K624">
        <f>_xlfn.NUMBERVALUE("0.000160")</f>
        <v/>
      </c>
      <c r="L624">
        <f>_xlfn.NUMBERVALUE("0.000211")</f>
        <v/>
      </c>
      <c r="M624">
        <f>_xlfn.NUMBERVALUE("-0.001347")</f>
        <v/>
      </c>
      <c r="N624">
        <f>_xlfn.NUMBERVALUE("0.000000")</f>
        <v/>
      </c>
      <c r="O624">
        <f>_xlfn.NUMBERVALUE("-0.002207")</f>
        <v/>
      </c>
      <c r="P624">
        <f>_xlfn.NUMBERVALUE("0.000543")</f>
        <v/>
      </c>
      <c r="Q624">
        <f>_xlfn.NUMBERVALUE("-0.000093")</f>
        <v/>
      </c>
      <c r="R624">
        <f>_xlfn.NUMBERVALUE("0.000435")</f>
        <v/>
      </c>
      <c r="S624">
        <f>_xlfn.NUMBERVALUE("0.000099")</f>
        <v/>
      </c>
      <c r="T624">
        <f>_xlfn.NUMBERVALUE("-0.000531")</f>
        <v/>
      </c>
      <c r="U624">
        <f>_xlfn.NUMBERVALUE("0.000497")</f>
        <v/>
      </c>
      <c r="V624">
        <f>_xlfn.NUMBERVALUE("0.000784")</f>
        <v/>
      </c>
      <c r="W624">
        <f>_xlfn.NUMBERVALUE("-0.000740")</f>
        <v/>
      </c>
      <c r="X624">
        <f>_xlfn.NUMBERVALUE("-0.110000")</f>
        <v/>
      </c>
      <c r="Y624">
        <f>_xlfn.NUMBERVALUE("10.750000")</f>
        <v/>
      </c>
    </row>
    <row r="625">
      <c r="A625" s="1" t="n">
        <v>42908</v>
      </c>
      <c r="B625">
        <f>_xlfn.NUMBERVALUE("0.000000")</f>
        <v/>
      </c>
      <c r="C625" s="2">
        <f>_xlfn.NUMBERVALUE("0.001004")</f>
        <v/>
      </c>
      <c r="D625">
        <f>_xlfn.NUMBERVALUE("0.001462")</f>
        <v/>
      </c>
      <c r="E625">
        <f>_xlfn.NUMBERVALUE("-0.000049")</f>
        <v/>
      </c>
      <c r="F625">
        <f>_xlfn.NUMBERVALUE("0.000542")</f>
        <v/>
      </c>
      <c r="G625">
        <f>_xlfn.NUMBERVALUE("0.000537")</f>
        <v/>
      </c>
      <c r="H625">
        <f>_xlfn.NUMBERVALUE("-0.000137")</f>
        <v/>
      </c>
      <c r="I625">
        <f>_xlfn.NUMBERVALUE("0.000887")</f>
        <v/>
      </c>
      <c r="J625">
        <f>_xlfn.NUMBERVALUE("0.000298")</f>
        <v/>
      </c>
      <c r="K625">
        <f>_xlfn.NUMBERVALUE("0.000369")</f>
        <v/>
      </c>
      <c r="L625">
        <f>_xlfn.NUMBERVALUE("0.000239")</f>
        <v/>
      </c>
      <c r="M625">
        <f>_xlfn.NUMBERVALUE("0.001356")</f>
        <v/>
      </c>
      <c r="N625">
        <f>_xlfn.NUMBERVALUE("0.000000")</f>
        <v/>
      </c>
      <c r="O625">
        <f>_xlfn.NUMBERVALUE("0.002481")</f>
        <v/>
      </c>
      <c r="P625">
        <f>_xlfn.NUMBERVALUE("0.001311")</f>
        <v/>
      </c>
      <c r="Q625">
        <f>_xlfn.NUMBERVALUE("0.001290")</f>
        <v/>
      </c>
      <c r="R625">
        <f>_xlfn.NUMBERVALUE("0.000549")</f>
        <v/>
      </c>
      <c r="S625">
        <f>_xlfn.NUMBERVALUE("-0.000188")</f>
        <v/>
      </c>
      <c r="T625">
        <f>_xlfn.NUMBERVALUE("0.001336")</f>
        <v/>
      </c>
      <c r="U625">
        <f>_xlfn.NUMBERVALUE("0.000364")</f>
        <v/>
      </c>
      <c r="V625">
        <f>_xlfn.NUMBERVALUE("0.001038")</f>
        <v/>
      </c>
      <c r="W625">
        <f>_xlfn.NUMBERVALUE("0.000082")</f>
        <v/>
      </c>
      <c r="X625">
        <f>_xlfn.NUMBERVALUE("-0.270000")</f>
        <v/>
      </c>
      <c r="Y625">
        <f>_xlfn.NUMBERVALUE("10.480000")</f>
        <v/>
      </c>
    </row>
    <row r="626">
      <c r="A626" s="1" t="n">
        <v>42909</v>
      </c>
      <c r="B626">
        <f>_xlfn.NUMBERVALUE("0.000000")</f>
        <v/>
      </c>
      <c r="C626" s="2">
        <f>_xlfn.NUMBERVALUE("0.000878")</f>
        <v/>
      </c>
      <c r="D626">
        <f>_xlfn.NUMBERVALUE("0.000683")</f>
        <v/>
      </c>
      <c r="E626">
        <f>_xlfn.NUMBERVALUE("0.000055")</f>
        <v/>
      </c>
      <c r="F626">
        <f>_xlfn.NUMBERVALUE("0.000709")</f>
        <v/>
      </c>
      <c r="G626">
        <f>_xlfn.NUMBERVALUE("0.000172")</f>
        <v/>
      </c>
      <c r="H626">
        <f>_xlfn.NUMBERVALUE("0.000429")</f>
        <v/>
      </c>
      <c r="I626">
        <f>_xlfn.NUMBERVALUE("0.000336")</f>
        <v/>
      </c>
      <c r="J626">
        <f>_xlfn.NUMBERVALUE("0.000115")</f>
        <v/>
      </c>
      <c r="K626">
        <f>_xlfn.NUMBERVALUE("-0.000598")</f>
        <v/>
      </c>
      <c r="L626">
        <f>_xlfn.NUMBERVALUE("0.000553")</f>
        <v/>
      </c>
      <c r="M626">
        <f>_xlfn.NUMBERVALUE("0.000866")</f>
        <v/>
      </c>
      <c r="N626">
        <f>_xlfn.NUMBERVALUE("0.000000")</f>
        <v/>
      </c>
      <c r="O626">
        <f>_xlfn.NUMBERVALUE("0.002119")</f>
        <v/>
      </c>
      <c r="P626">
        <f>_xlfn.NUMBERVALUE("0.000594")</f>
        <v/>
      </c>
      <c r="Q626">
        <f>_xlfn.NUMBERVALUE("0.000311")</f>
        <v/>
      </c>
      <c r="R626">
        <f>_xlfn.NUMBERVALUE("0.000842")</f>
        <v/>
      </c>
      <c r="S626">
        <f>_xlfn.NUMBERVALUE("0.000238")</f>
        <v/>
      </c>
      <c r="T626">
        <f>_xlfn.NUMBERVALUE("-0.000172")</f>
        <v/>
      </c>
      <c r="U626">
        <f>_xlfn.NUMBERVALUE("0.000070")</f>
        <v/>
      </c>
      <c r="V626">
        <f>_xlfn.NUMBERVALUE("0.001106")</f>
        <v/>
      </c>
      <c r="W626">
        <f>_xlfn.NUMBERVALUE("0.000206")</f>
        <v/>
      </c>
      <c r="X626">
        <f>_xlfn.NUMBERVALUE("-0.460000")</f>
        <v/>
      </c>
      <c r="Y626">
        <f>_xlfn.NUMBERVALUE("10.020000")</f>
        <v/>
      </c>
    </row>
    <row r="627">
      <c r="A627" s="1" t="n">
        <v>42912</v>
      </c>
      <c r="B627">
        <f>_xlfn.NUMBERVALUE("0.000000")</f>
        <v/>
      </c>
      <c r="C627" s="2">
        <f>_xlfn.NUMBERVALUE("0.000692")</f>
        <v/>
      </c>
      <c r="D627">
        <f>_xlfn.NUMBERVALUE("-0.002398")</f>
        <v/>
      </c>
      <c r="E627">
        <f>_xlfn.NUMBERVALUE("-0.000140")</f>
        <v/>
      </c>
      <c r="F627">
        <f>_xlfn.NUMBERVALUE("-0.000672")</f>
        <v/>
      </c>
      <c r="G627">
        <f>_xlfn.NUMBERVALUE("0.000750")</f>
        <v/>
      </c>
      <c r="H627">
        <f>_xlfn.NUMBERVALUE("0.001182")</f>
        <v/>
      </c>
      <c r="I627">
        <f>_xlfn.NUMBERVALUE("0.001275")</f>
        <v/>
      </c>
      <c r="J627">
        <f>_xlfn.NUMBERVALUE("0.000162")</f>
        <v/>
      </c>
      <c r="K627">
        <f>_xlfn.NUMBERVALUE("-0.000028")</f>
        <v/>
      </c>
      <c r="L627">
        <f>_xlfn.NUMBERVALUE("0.000661")</f>
        <v/>
      </c>
      <c r="M627">
        <f>_xlfn.NUMBERVALUE("0.001303")</f>
        <v/>
      </c>
      <c r="N627">
        <f>_xlfn.NUMBERVALUE("0.000000")</f>
        <v/>
      </c>
      <c r="O627">
        <f>_xlfn.NUMBERVALUE("0.002802")</f>
        <v/>
      </c>
      <c r="P627">
        <f>_xlfn.NUMBERVALUE("0.001249")</f>
        <v/>
      </c>
      <c r="Q627">
        <f>_xlfn.NUMBERVALUE("0.001495")</f>
        <v/>
      </c>
      <c r="R627">
        <f>_xlfn.NUMBERVALUE("0.000414")</f>
        <v/>
      </c>
      <c r="S627">
        <f>_xlfn.NUMBERVALUE("0.000156")</f>
        <v/>
      </c>
      <c r="T627">
        <f>_xlfn.NUMBERVALUE("0.000325")</f>
        <v/>
      </c>
      <c r="U627">
        <f>_xlfn.NUMBERVALUE("0.000710")</f>
        <v/>
      </c>
      <c r="V627">
        <f>_xlfn.NUMBERVALUE("0.000905")</f>
        <v/>
      </c>
      <c r="W627">
        <f>_xlfn.NUMBERVALUE("0.001687")</f>
        <v/>
      </c>
      <c r="X627">
        <f>_xlfn.NUMBERVALUE("-0.120000")</f>
        <v/>
      </c>
      <c r="Y627">
        <f>_xlfn.NUMBERVALUE("9.900000")</f>
        <v/>
      </c>
    </row>
    <row r="628">
      <c r="A628" s="1" t="n">
        <v>42913</v>
      </c>
      <c r="B628">
        <f>_xlfn.NUMBERVALUE("0.000000")</f>
        <v/>
      </c>
      <c r="C628" s="2">
        <f>_xlfn.NUMBERVALUE("-0.001055")</f>
        <v/>
      </c>
      <c r="D628">
        <f>_xlfn.NUMBERVALUE("-0.002240")</f>
        <v/>
      </c>
      <c r="E628">
        <f>_xlfn.NUMBERVALUE("0.000261")</f>
        <v/>
      </c>
      <c r="F628">
        <f>_xlfn.NUMBERVALUE("-0.000930")</f>
        <v/>
      </c>
      <c r="G628">
        <f>_xlfn.NUMBERVALUE("0.000045")</f>
        <v/>
      </c>
      <c r="H628">
        <f>_xlfn.NUMBERVALUE("-0.002143")</f>
        <v/>
      </c>
      <c r="I628">
        <f>_xlfn.NUMBERVALUE("-0.001348")</f>
        <v/>
      </c>
      <c r="J628">
        <f>_xlfn.NUMBERVALUE("-0.000419")</f>
        <v/>
      </c>
      <c r="K628">
        <f>_xlfn.NUMBERVALUE("0.000499")</f>
        <v/>
      </c>
      <c r="L628">
        <f>_xlfn.NUMBERVALUE("-0.000992")</f>
        <v/>
      </c>
      <c r="M628">
        <f>_xlfn.NUMBERVALUE("-0.000036")</f>
        <v/>
      </c>
      <c r="N628">
        <f>_xlfn.NUMBERVALUE("0.000000")</f>
        <v/>
      </c>
      <c r="O628">
        <f>_xlfn.NUMBERVALUE("0.000814")</f>
        <v/>
      </c>
      <c r="P628">
        <f>_xlfn.NUMBERVALUE("-0.001875")</f>
        <v/>
      </c>
      <c r="Q628">
        <f>_xlfn.NUMBERVALUE("-0.000381")</f>
        <v/>
      </c>
      <c r="R628">
        <f>_xlfn.NUMBERVALUE("-0.002549")</f>
        <v/>
      </c>
      <c r="S628">
        <f>_xlfn.NUMBERVALUE("-0.000570")</f>
        <v/>
      </c>
      <c r="T628">
        <f>_xlfn.NUMBERVALUE("-0.002389")</f>
        <v/>
      </c>
      <c r="U628">
        <f>_xlfn.NUMBERVALUE("-0.000682")</f>
        <v/>
      </c>
      <c r="V628">
        <f>_xlfn.NUMBERVALUE("-0.002323")</f>
        <v/>
      </c>
      <c r="W628">
        <f>_xlfn.NUMBERVALUE("-0.006531")</f>
        <v/>
      </c>
      <c r="X628">
        <f>_xlfn.NUMBERVALUE("1.160000")</f>
        <v/>
      </c>
      <c r="Y628">
        <f>_xlfn.NUMBERVALUE("11.060000")</f>
        <v/>
      </c>
    </row>
    <row r="629">
      <c r="A629" s="1" t="n">
        <v>42914</v>
      </c>
      <c r="B629">
        <f>_xlfn.NUMBERVALUE("0.000000")</f>
        <v/>
      </c>
      <c r="C629" s="2">
        <f>_xlfn.NUMBERVALUE("0.000400")</f>
        <v/>
      </c>
      <c r="D629">
        <f>_xlfn.NUMBERVALUE("0.002501")</f>
        <v/>
      </c>
      <c r="E629">
        <f>_xlfn.NUMBERVALUE("-0.000020")</f>
        <v/>
      </c>
      <c r="F629">
        <f>_xlfn.NUMBERVALUE("0.000908")</f>
        <v/>
      </c>
      <c r="G629">
        <f>_xlfn.NUMBERVALUE("-0.000275")</f>
        <v/>
      </c>
      <c r="H629">
        <f>_xlfn.NUMBERVALUE("0.000333")</f>
        <v/>
      </c>
      <c r="I629">
        <f>_xlfn.NUMBERVALUE("-0.002707")</f>
        <v/>
      </c>
      <c r="J629">
        <f>_xlfn.NUMBERVALUE("0.000392")</f>
        <v/>
      </c>
      <c r="K629">
        <f>_xlfn.NUMBERVALUE("0.001031")</f>
        <v/>
      </c>
      <c r="L629">
        <f>_xlfn.NUMBERVALUE("-0.000196")</f>
        <v/>
      </c>
      <c r="M629">
        <f>_xlfn.NUMBERVALUE("0.000134")</f>
        <v/>
      </c>
      <c r="N629">
        <f>_xlfn.NUMBERVALUE("0.000000")</f>
        <v/>
      </c>
      <c r="O629">
        <f>_xlfn.NUMBERVALUE("0.003053")</f>
        <v/>
      </c>
      <c r="P629">
        <f>_xlfn.NUMBERVALUE("-0.001897")</f>
        <v/>
      </c>
      <c r="Q629">
        <f>_xlfn.NUMBERVALUE("-0.000433")</f>
        <v/>
      </c>
      <c r="R629">
        <f>_xlfn.NUMBERVALUE("0.000985")</f>
        <v/>
      </c>
      <c r="S629">
        <f>_xlfn.NUMBERVALUE("0.000056")</f>
        <v/>
      </c>
      <c r="T629">
        <f>_xlfn.NUMBERVALUE("-0.000707")</f>
        <v/>
      </c>
      <c r="U629">
        <f>_xlfn.NUMBERVALUE("0.000216")</f>
        <v/>
      </c>
      <c r="V629">
        <f>_xlfn.NUMBERVALUE("0.000001")</f>
        <v/>
      </c>
      <c r="W629">
        <f>_xlfn.NUMBERVALUE("0.006719")</f>
        <v/>
      </c>
      <c r="X629">
        <f>_xlfn.NUMBERVALUE("-1.030000")</f>
        <v/>
      </c>
      <c r="Y629">
        <f>_xlfn.NUMBERVALUE("10.030000")</f>
        <v/>
      </c>
    </row>
    <row r="630">
      <c r="A630" s="1" t="n">
        <v>42915</v>
      </c>
      <c r="B630">
        <f>_xlfn.NUMBERVALUE("0.000000")</f>
        <v/>
      </c>
      <c r="C630" s="2">
        <f>_xlfn.NUMBERVALUE("-0.002477")</f>
        <v/>
      </c>
      <c r="D630">
        <f>_xlfn.NUMBERVALUE("-0.004982")</f>
        <v/>
      </c>
      <c r="E630">
        <f>_xlfn.NUMBERVALUE("0.000092")</f>
        <v/>
      </c>
      <c r="F630">
        <f>_xlfn.NUMBERVALUE("0.000090")</f>
        <v/>
      </c>
      <c r="G630">
        <f>_xlfn.NUMBERVALUE("0.000167")</f>
        <v/>
      </c>
      <c r="H630">
        <f>_xlfn.NUMBERVALUE("-0.001089")</f>
        <v/>
      </c>
      <c r="I630">
        <f>_xlfn.NUMBERVALUE("-0.000157")</f>
        <v/>
      </c>
      <c r="J630">
        <f>_xlfn.NUMBERVALUE("-0.000213")</f>
        <v/>
      </c>
      <c r="K630">
        <f>_xlfn.NUMBERVALUE("-0.001072")</f>
        <v/>
      </c>
      <c r="L630">
        <f>_xlfn.NUMBERVALUE("-0.001094")</f>
        <v/>
      </c>
      <c r="M630">
        <f>_xlfn.NUMBERVALUE("-0.000835")</f>
        <v/>
      </c>
      <c r="N630">
        <f>_xlfn.NUMBERVALUE("0.000000")</f>
        <v/>
      </c>
      <c r="O630">
        <f>_xlfn.NUMBERVALUE("-0.000629")</f>
        <v/>
      </c>
      <c r="P630">
        <f>_xlfn.NUMBERVALUE("0.000103")</f>
        <v/>
      </c>
      <c r="Q630">
        <f>_xlfn.NUMBERVALUE("-0.000434")</f>
        <v/>
      </c>
      <c r="R630">
        <f>_xlfn.NUMBERVALUE("-0.002047")</f>
        <v/>
      </c>
      <c r="S630">
        <f>_xlfn.NUMBERVALUE("-0.000195")</f>
        <v/>
      </c>
      <c r="T630">
        <f>_xlfn.NUMBERVALUE("-0.000608")</f>
        <v/>
      </c>
      <c r="U630">
        <f>_xlfn.NUMBERVALUE("-0.000917")</f>
        <v/>
      </c>
      <c r="V630">
        <f>_xlfn.NUMBERVALUE("-0.003070")</f>
        <v/>
      </c>
      <c r="W630">
        <f>_xlfn.NUMBERVALUE("-0.007577")</f>
        <v/>
      </c>
      <c r="X630">
        <f>_xlfn.NUMBERVALUE("1.410000")</f>
        <v/>
      </c>
      <c r="Y630">
        <f>_xlfn.NUMBERVALUE("11.440000")</f>
        <v/>
      </c>
    </row>
    <row r="631">
      <c r="A631" s="1" t="n">
        <v>42916</v>
      </c>
      <c r="B631">
        <f>_xlfn.NUMBERVALUE("0.000000")</f>
        <v/>
      </c>
      <c r="C631" s="2">
        <f>_xlfn.NUMBERVALUE("0.001789")</f>
        <v/>
      </c>
      <c r="D631">
        <f>_xlfn.NUMBERVALUE("0.001024")</f>
        <v/>
      </c>
      <c r="E631">
        <f>_xlfn.NUMBERVALUE("-0.000114")</f>
        <v/>
      </c>
      <c r="F631">
        <f>_xlfn.NUMBERVALUE("-0.001270")</f>
        <v/>
      </c>
      <c r="G631">
        <f>_xlfn.NUMBERVALUE("0.000576")</f>
        <v/>
      </c>
      <c r="H631">
        <f>_xlfn.NUMBERVALUE("0.000004")</f>
        <v/>
      </c>
      <c r="I631">
        <f>_xlfn.NUMBERVALUE("0.002734")</f>
        <v/>
      </c>
      <c r="J631">
        <f>_xlfn.NUMBERVALUE("0.001292")</f>
        <v/>
      </c>
      <c r="K631">
        <f>_xlfn.NUMBERVALUE("0.000893")</f>
        <v/>
      </c>
      <c r="L631">
        <f>_xlfn.NUMBERVALUE("0.001353")</f>
        <v/>
      </c>
      <c r="M631">
        <f>_xlfn.NUMBERVALUE("0.000121")</f>
        <v/>
      </c>
      <c r="N631">
        <f>_xlfn.NUMBERVALUE("0.000000")</f>
        <v/>
      </c>
      <c r="O631">
        <f>_xlfn.NUMBERVALUE("0.001985")</f>
        <v/>
      </c>
      <c r="P631">
        <f>_xlfn.NUMBERVALUE("0.000975")</f>
        <v/>
      </c>
      <c r="Q631">
        <f>_xlfn.NUMBERVALUE("-0.002507")</f>
        <v/>
      </c>
      <c r="R631">
        <f>_xlfn.NUMBERVALUE("0.000481")</f>
        <v/>
      </c>
      <c r="S631">
        <f>_xlfn.NUMBERVALUE("0.000032")</f>
        <v/>
      </c>
      <c r="T631">
        <f>_xlfn.NUMBERVALUE("-0.000086")</f>
        <v/>
      </c>
      <c r="U631">
        <f>_xlfn.NUMBERVALUE("0.000361")</f>
        <v/>
      </c>
      <c r="V631">
        <f>_xlfn.NUMBERVALUE("0.002199")</f>
        <v/>
      </c>
      <c r="W631">
        <f>_xlfn.NUMBERVALUE("0.003890")</f>
        <v/>
      </c>
      <c r="X631">
        <f>_xlfn.NUMBERVALUE("-0.260000")</f>
        <v/>
      </c>
      <c r="Y631">
        <f>_xlfn.NUMBERVALUE("11.180000")</f>
        <v/>
      </c>
    </row>
    <row r="632">
      <c r="A632" s="1" t="n">
        <v>42919</v>
      </c>
      <c r="B632">
        <f>_xlfn.NUMBERVALUE("0.000000")</f>
        <v/>
      </c>
      <c r="C632" s="2">
        <f>_xlfn.NUMBERVALUE("0.000506")</f>
        <v/>
      </c>
      <c r="D632">
        <f>_xlfn.NUMBERVALUE("0.006158")</f>
        <v/>
      </c>
      <c r="E632">
        <f>_xlfn.NUMBERVALUE("0.000122")</f>
        <v/>
      </c>
      <c r="F632">
        <f>_xlfn.NUMBERVALUE("0.001223")</f>
        <v/>
      </c>
      <c r="G632">
        <f>_xlfn.NUMBERVALUE("-0.001814")</f>
        <v/>
      </c>
      <c r="H632">
        <f>_xlfn.NUMBERVALUE("-0.000034")</f>
        <v/>
      </c>
      <c r="I632">
        <f>_xlfn.NUMBERVALUE("0.000187")</f>
        <v/>
      </c>
      <c r="J632">
        <f>_xlfn.NUMBERVALUE("-0.001308")</f>
        <v/>
      </c>
      <c r="K632">
        <f>_xlfn.NUMBERVALUE("-0.000034")</f>
        <v/>
      </c>
      <c r="L632">
        <f>_xlfn.NUMBERVALUE("0.001847")</f>
        <v/>
      </c>
      <c r="M632">
        <f>_xlfn.NUMBERVALUE("0.000607")</f>
        <v/>
      </c>
      <c r="N632">
        <f>_xlfn.NUMBERVALUE("0.000000")</f>
        <v/>
      </c>
      <c r="O632">
        <f>_xlfn.NUMBERVALUE("-0.004320")</f>
        <v/>
      </c>
      <c r="P632">
        <f>_xlfn.NUMBERVALUE("0.000393")</f>
        <v/>
      </c>
      <c r="Q632">
        <f>_xlfn.NUMBERVALUE("0.000831")</f>
        <v/>
      </c>
      <c r="R632">
        <f>_xlfn.NUMBERVALUE("-0.000255")</f>
        <v/>
      </c>
      <c r="S632">
        <f>_xlfn.NUMBERVALUE("0.000005")</f>
        <v/>
      </c>
      <c r="T632">
        <f>_xlfn.NUMBERVALUE("-0.000027")</f>
        <v/>
      </c>
      <c r="U632">
        <f>_xlfn.NUMBERVALUE("-0.000047")</f>
        <v/>
      </c>
      <c r="V632">
        <f>_xlfn.NUMBERVALUE("0.000489")</f>
        <v/>
      </c>
      <c r="W632">
        <f>_xlfn.NUMBERVALUE("-0.000763")</f>
        <v/>
      </c>
      <c r="X632">
        <f>_xlfn.NUMBERVALUE("0.040000")</f>
        <v/>
      </c>
      <c r="Y632">
        <f>_xlfn.NUMBERVALUE("11.220000")</f>
        <v/>
      </c>
    </row>
    <row r="633">
      <c r="A633" s="1" t="n">
        <v>42921</v>
      </c>
      <c r="B633">
        <f>_xlfn.NUMBERVALUE("0.000000")</f>
        <v/>
      </c>
      <c r="C633" s="2">
        <f>_xlfn.NUMBERVALUE("0.001137")</f>
        <v/>
      </c>
      <c r="D633">
        <f>_xlfn.NUMBERVALUE("0.000898")</f>
        <v/>
      </c>
      <c r="E633">
        <f>_xlfn.NUMBERVALUE("0.001199")</f>
        <v/>
      </c>
      <c r="F633">
        <f>_xlfn.NUMBERVALUE("0.000329")</f>
        <v/>
      </c>
      <c r="G633">
        <f>_xlfn.NUMBERVALUE("0.000411")</f>
        <v/>
      </c>
      <c r="H633">
        <f>_xlfn.NUMBERVALUE("0.000358")</f>
        <v/>
      </c>
      <c r="I633">
        <f>_xlfn.NUMBERVALUE("0.001754")</f>
        <v/>
      </c>
      <c r="J633">
        <f>_xlfn.NUMBERVALUE("0.000775")</f>
        <v/>
      </c>
      <c r="K633">
        <f>_xlfn.NUMBERVALUE("-0.001227")</f>
        <v/>
      </c>
      <c r="L633">
        <f>_xlfn.NUMBERVALUE("0.004169")</f>
        <v/>
      </c>
      <c r="M633">
        <f>_xlfn.NUMBERVALUE("0.001453")</f>
        <v/>
      </c>
      <c r="N633">
        <f>_xlfn.NUMBERVALUE("0.000000")</f>
        <v/>
      </c>
      <c r="O633">
        <f>_xlfn.NUMBERVALUE("-0.003780")</f>
        <v/>
      </c>
      <c r="P633">
        <f>_xlfn.NUMBERVALUE("-0.000637")</f>
        <v/>
      </c>
      <c r="Q633">
        <f>_xlfn.NUMBERVALUE("0.000431")</f>
        <v/>
      </c>
      <c r="R633">
        <f>_xlfn.NUMBERVALUE("0.000065")</f>
        <v/>
      </c>
      <c r="S633">
        <f>_xlfn.NUMBERVALUE("0.000002")</f>
        <v/>
      </c>
      <c r="T633">
        <f>_xlfn.NUMBERVALUE("0.000125")</f>
        <v/>
      </c>
      <c r="U633">
        <f>_xlfn.NUMBERVALUE("-0.000267")</f>
        <v/>
      </c>
      <c r="V633">
        <f>_xlfn.NUMBERVALUE("0.000975")</f>
        <v/>
      </c>
      <c r="W633">
        <f>_xlfn.NUMBERVALUE("0.002931")</f>
        <v/>
      </c>
      <c r="X633">
        <f>_xlfn.NUMBERVALUE("-0.150000")</f>
        <v/>
      </c>
      <c r="Y633">
        <f>_xlfn.NUMBERVALUE("11.070000")</f>
        <v/>
      </c>
    </row>
    <row r="634">
      <c r="A634" s="1" t="n">
        <v>42922</v>
      </c>
      <c r="B634">
        <f>_xlfn.NUMBERVALUE("0.000000")</f>
        <v/>
      </c>
      <c r="C634" s="2">
        <f>_xlfn.NUMBERVALUE("-0.001942")</f>
        <v/>
      </c>
      <c r="D634">
        <f>_xlfn.NUMBERVALUE("-0.002311")</f>
        <v/>
      </c>
      <c r="E634">
        <f>_xlfn.NUMBERVALUE("-0.000432")</f>
        <v/>
      </c>
      <c r="F634">
        <f>_xlfn.NUMBERVALUE("0.000882")</f>
        <v/>
      </c>
      <c r="G634">
        <f>_xlfn.NUMBERVALUE("-0.001068")</f>
        <v/>
      </c>
      <c r="H634">
        <f>_xlfn.NUMBERVALUE("0.000181")</f>
        <v/>
      </c>
      <c r="I634">
        <f>_xlfn.NUMBERVALUE("-0.004099")</f>
        <v/>
      </c>
      <c r="J634">
        <f>_xlfn.NUMBERVALUE("0.000031")</f>
        <v/>
      </c>
      <c r="K634">
        <f>_xlfn.NUMBERVALUE("0.001660")</f>
        <v/>
      </c>
      <c r="L634">
        <f>_xlfn.NUMBERVALUE("-0.000663")</f>
        <v/>
      </c>
      <c r="M634">
        <f>_xlfn.NUMBERVALUE("0.001545")</f>
        <v/>
      </c>
      <c r="N634">
        <f>_xlfn.NUMBERVALUE("0.000000")</f>
        <v/>
      </c>
      <c r="O634">
        <f>_xlfn.NUMBERVALUE("-0.001276")</f>
        <v/>
      </c>
      <c r="P634">
        <f>_xlfn.NUMBERVALUE("-0.000165")</f>
        <v/>
      </c>
      <c r="Q634">
        <f>_xlfn.NUMBERVALUE("-0.000146")</f>
        <v/>
      </c>
      <c r="R634">
        <f>_xlfn.NUMBERVALUE("-0.000060")</f>
        <v/>
      </c>
      <c r="S634">
        <f>_xlfn.NUMBERVALUE("-0.000087")</f>
        <v/>
      </c>
      <c r="T634">
        <f>_xlfn.NUMBERVALUE("-0.000024")</f>
        <v/>
      </c>
      <c r="U634">
        <f>_xlfn.NUMBERVALUE("0.000295")</f>
        <v/>
      </c>
      <c r="V634">
        <f>_xlfn.NUMBERVALUE("-0.002337")</f>
        <v/>
      </c>
      <c r="W634">
        <f>_xlfn.NUMBERVALUE("-0.009839")</f>
        <v/>
      </c>
      <c r="X634">
        <f>_xlfn.NUMBERVALUE("1.470000")</f>
        <v/>
      </c>
      <c r="Y634">
        <f>_xlfn.NUMBERVALUE("12.540000")</f>
        <v/>
      </c>
    </row>
    <row r="635">
      <c r="A635" s="1" t="n">
        <v>42923</v>
      </c>
      <c r="B635">
        <f>_xlfn.NUMBERVALUE("0.000000")</f>
        <v/>
      </c>
      <c r="C635" s="2">
        <f>_xlfn.NUMBERVALUE("0.001972")</f>
        <v/>
      </c>
      <c r="D635">
        <f>_xlfn.NUMBERVALUE("0.002183")</f>
        <v/>
      </c>
      <c r="E635">
        <f>_xlfn.NUMBERVALUE("0.001673")</f>
        <v/>
      </c>
      <c r="F635">
        <f>_xlfn.NUMBERVALUE("-0.003521")</f>
        <v/>
      </c>
      <c r="G635">
        <f>_xlfn.NUMBERVALUE("0.001037")</f>
        <v/>
      </c>
      <c r="H635">
        <f>_xlfn.NUMBERVALUE("0.001048")</f>
        <v/>
      </c>
      <c r="I635">
        <f>_xlfn.NUMBERVALUE("0.001224")</f>
        <v/>
      </c>
      <c r="J635">
        <f>_xlfn.NUMBERVALUE("0.001882")</f>
        <v/>
      </c>
      <c r="K635">
        <f>_xlfn.NUMBERVALUE("-0.010010")</f>
        <v/>
      </c>
      <c r="L635">
        <f>_xlfn.NUMBERVALUE("0.000457")</f>
        <v/>
      </c>
      <c r="M635">
        <f>_xlfn.NUMBERVALUE("-0.000654")</f>
        <v/>
      </c>
      <c r="N635">
        <f>_xlfn.NUMBERVALUE("0.000000")</f>
        <v/>
      </c>
      <c r="O635">
        <f>_xlfn.NUMBERVALUE("0.004003")</f>
        <v/>
      </c>
      <c r="P635">
        <f>_xlfn.NUMBERVALUE("-0.000051")</f>
        <v/>
      </c>
      <c r="Q635">
        <f>_xlfn.NUMBERVALUE("-0.001397")</f>
        <v/>
      </c>
      <c r="R635">
        <f>_xlfn.NUMBERVALUE("0.000049")</f>
        <v/>
      </c>
      <c r="S635">
        <f>_xlfn.NUMBERVALUE("0.000088")</f>
        <v/>
      </c>
      <c r="T635">
        <f>_xlfn.NUMBERVALUE("0.000025")</f>
        <v/>
      </c>
      <c r="U635">
        <f>_xlfn.NUMBERVALUE("0.000001")</f>
        <v/>
      </c>
      <c r="V635">
        <f>_xlfn.NUMBERVALUE("0.001448")</f>
        <v/>
      </c>
      <c r="W635">
        <f>_xlfn.NUMBERVALUE("0.007068")</f>
        <v/>
      </c>
      <c r="X635">
        <f>_xlfn.NUMBERVALUE("-1.350000")</f>
        <v/>
      </c>
      <c r="Y635">
        <f>_xlfn.NUMBERVALUE("11.190000")</f>
        <v/>
      </c>
    </row>
    <row r="636">
      <c r="A636" s="1" t="n">
        <v>42926</v>
      </c>
      <c r="B636">
        <f>_xlfn.NUMBERVALUE("0.000000")</f>
        <v/>
      </c>
      <c r="C636" s="2">
        <f>_xlfn.NUMBERVALUE("0.001472")</f>
        <v/>
      </c>
      <c r="D636">
        <f>_xlfn.NUMBERVALUE("0.002351")</f>
        <v/>
      </c>
      <c r="E636">
        <f>_xlfn.NUMBERVALUE("0.001786")</f>
        <v/>
      </c>
      <c r="F636">
        <f>_xlfn.NUMBERVALUE("0.002061")</f>
        <v/>
      </c>
      <c r="G636">
        <f>_xlfn.NUMBERVALUE("0.001680")</f>
        <v/>
      </c>
      <c r="H636">
        <f>_xlfn.NUMBERVALUE("0.000270")</f>
        <v/>
      </c>
      <c r="I636">
        <f>_xlfn.NUMBERVALUE("0.001313")</f>
        <v/>
      </c>
      <c r="J636">
        <f>_xlfn.NUMBERVALUE("0.000011")</f>
        <v/>
      </c>
      <c r="K636">
        <f>_xlfn.NUMBERVALUE("-0.000425")</f>
        <v/>
      </c>
      <c r="L636">
        <f>_xlfn.NUMBERVALUE("0.001372")</f>
        <v/>
      </c>
      <c r="M636">
        <f>_xlfn.NUMBERVALUE("0.000623")</f>
        <v/>
      </c>
      <c r="N636">
        <f>_xlfn.NUMBERVALUE("0.000000")</f>
        <v/>
      </c>
      <c r="O636">
        <f>_xlfn.NUMBERVALUE("0.003136")</f>
        <v/>
      </c>
      <c r="P636">
        <f>_xlfn.NUMBERVALUE("0.002272")</f>
        <v/>
      </c>
      <c r="Q636">
        <f>_xlfn.NUMBERVALUE("0.000445")</f>
        <v/>
      </c>
      <c r="R636">
        <f>_xlfn.NUMBERVALUE("0.000502")</f>
        <v/>
      </c>
      <c r="S636">
        <f>_xlfn.NUMBERVALUE("0.001081")</f>
        <v/>
      </c>
      <c r="T636">
        <f>_xlfn.NUMBERVALUE("0.001337")</f>
        <v/>
      </c>
      <c r="U636">
        <f>_xlfn.NUMBERVALUE("0.000904")</f>
        <v/>
      </c>
      <c r="V636">
        <f>_xlfn.NUMBERVALUE("0.000978")</f>
        <v/>
      </c>
      <c r="W636">
        <f>_xlfn.NUMBERVALUE("0.001858")</f>
        <v/>
      </c>
      <c r="X636">
        <f>_xlfn.NUMBERVALUE("-0.080000")</f>
        <v/>
      </c>
      <c r="Y636">
        <f>_xlfn.NUMBERVALUE("11.110000")</f>
        <v/>
      </c>
    </row>
    <row r="637">
      <c r="A637" s="1" t="n">
        <v>42927</v>
      </c>
      <c r="B637">
        <f>_xlfn.NUMBERVALUE("0.000000")</f>
        <v/>
      </c>
      <c r="C637" s="2">
        <f>_xlfn.NUMBERVALUE("-0.000128")</f>
        <v/>
      </c>
      <c r="D637">
        <f>_xlfn.NUMBERVALUE("-0.001737")</f>
        <v/>
      </c>
      <c r="E637">
        <f>_xlfn.NUMBERVALUE("0.000412")</f>
        <v/>
      </c>
      <c r="F637">
        <f>_xlfn.NUMBERVALUE("-0.000062")</f>
        <v/>
      </c>
      <c r="G637">
        <f>_xlfn.NUMBERVALUE("0.000203")</f>
        <v/>
      </c>
      <c r="H637">
        <f>_xlfn.NUMBERVALUE("-0.000159")</f>
        <v/>
      </c>
      <c r="I637">
        <f>_xlfn.NUMBERVALUE("0.000211")</f>
        <v/>
      </c>
      <c r="J637">
        <f>_xlfn.NUMBERVALUE("-0.000299")</f>
        <v/>
      </c>
      <c r="K637">
        <f>_xlfn.NUMBERVALUE("0.002676")</f>
        <v/>
      </c>
      <c r="L637">
        <f>_xlfn.NUMBERVALUE("0.000348")</f>
        <v/>
      </c>
      <c r="M637">
        <f>_xlfn.NUMBERVALUE("0.000326")</f>
        <v/>
      </c>
      <c r="N637">
        <f>_xlfn.NUMBERVALUE("0.000000")</f>
        <v/>
      </c>
      <c r="O637">
        <f>_xlfn.NUMBERVALUE("0.000187")</f>
        <v/>
      </c>
      <c r="P637">
        <f>_xlfn.NUMBERVALUE("-0.001350")</f>
        <v/>
      </c>
      <c r="Q637">
        <f>_xlfn.NUMBERVALUE("-0.000075")</f>
        <v/>
      </c>
      <c r="R637">
        <f>_xlfn.NUMBERVALUE("0.000082")</f>
        <v/>
      </c>
      <c r="S637">
        <f>_xlfn.NUMBERVALUE("0.000613")</f>
        <v/>
      </c>
      <c r="T637">
        <f>_xlfn.NUMBERVALUE("0.001177")</f>
        <v/>
      </c>
      <c r="U637">
        <f>_xlfn.NUMBERVALUE("-0.000044")</f>
        <v/>
      </c>
      <c r="V637">
        <f>_xlfn.NUMBERVALUE("0.000453")</f>
        <v/>
      </c>
      <c r="W637">
        <f>_xlfn.NUMBERVALUE("-0.001957")</f>
        <v/>
      </c>
      <c r="X637">
        <f>_xlfn.NUMBERVALUE("-0.220000")</f>
        <v/>
      </c>
      <c r="Y637">
        <f>_xlfn.NUMBERVALUE("10.890000")</f>
        <v/>
      </c>
    </row>
    <row r="638">
      <c r="A638" s="1" t="n">
        <v>42928</v>
      </c>
      <c r="B638">
        <f>_xlfn.NUMBERVALUE("0.000000")</f>
        <v/>
      </c>
      <c r="C638" s="2">
        <f>_xlfn.NUMBERVALUE("0.000220")</f>
        <v/>
      </c>
      <c r="D638">
        <f>_xlfn.NUMBERVALUE("-0.004904")</f>
        <v/>
      </c>
      <c r="E638">
        <f>_xlfn.NUMBERVALUE("-0.001318")</f>
        <v/>
      </c>
      <c r="F638">
        <f>_xlfn.NUMBERVALUE("0.001663")</f>
        <v/>
      </c>
      <c r="G638">
        <f>_xlfn.NUMBERVALUE("-0.000554")</f>
        <v/>
      </c>
      <c r="H638">
        <f>_xlfn.NUMBERVALUE("0.000051")</f>
        <v/>
      </c>
      <c r="I638">
        <f>_xlfn.NUMBERVALUE("0.000462")</f>
        <v/>
      </c>
      <c r="J638">
        <f>_xlfn.NUMBERVALUE("-0.000318")</f>
        <v/>
      </c>
      <c r="K638">
        <f>_xlfn.NUMBERVALUE("0.003476")</f>
        <v/>
      </c>
      <c r="L638">
        <f>_xlfn.NUMBERVALUE("0.000463")</f>
        <v/>
      </c>
      <c r="M638">
        <f>_xlfn.NUMBERVALUE("-0.000660")</f>
        <v/>
      </c>
      <c r="N638">
        <f>_xlfn.NUMBERVALUE("0.000000")</f>
        <v/>
      </c>
      <c r="O638">
        <f>_xlfn.NUMBERVALUE("0.001750")</f>
        <v/>
      </c>
      <c r="P638">
        <f>_xlfn.NUMBERVALUE("0.000821")</f>
        <v/>
      </c>
      <c r="Q638">
        <f>_xlfn.NUMBERVALUE("0.000066")</f>
        <v/>
      </c>
      <c r="R638">
        <f>_xlfn.NUMBERVALUE("-0.001344")</f>
        <v/>
      </c>
      <c r="S638">
        <f>_xlfn.NUMBERVALUE("0.000319")</f>
        <v/>
      </c>
      <c r="T638">
        <f>_xlfn.NUMBERVALUE("-0.001314")</f>
        <v/>
      </c>
      <c r="U638">
        <f>_xlfn.NUMBERVALUE("0.000319")</f>
        <v/>
      </c>
      <c r="V638">
        <f>_xlfn.NUMBERVALUE("-0.000789")</f>
        <v/>
      </c>
      <c r="W638">
        <f>_xlfn.NUMBERVALUE("0.007803")</f>
        <v/>
      </c>
      <c r="X638">
        <f>_xlfn.NUMBERVALUE("-0.590000")</f>
        <v/>
      </c>
      <c r="Y638">
        <f>_xlfn.NUMBERVALUE("10.300000")</f>
        <v/>
      </c>
    </row>
    <row r="639">
      <c r="A639" s="1" t="n">
        <v>42929</v>
      </c>
      <c r="B639">
        <f>_xlfn.NUMBERVALUE("0.000000")</f>
        <v/>
      </c>
      <c r="C639" s="2">
        <f>_xlfn.NUMBERVALUE("0.000657")</f>
        <v/>
      </c>
      <c r="D639">
        <f>_xlfn.NUMBERVALUE("0.001087")</f>
        <v/>
      </c>
      <c r="E639">
        <f>_xlfn.NUMBERVALUE("0.000615")</f>
        <v/>
      </c>
      <c r="F639">
        <f>_xlfn.NUMBERVALUE("0.000499")</f>
        <v/>
      </c>
      <c r="G639">
        <f>_xlfn.NUMBERVALUE("0.000841")</f>
        <v/>
      </c>
      <c r="H639">
        <f>_xlfn.NUMBERVALUE("0.000376")</f>
        <v/>
      </c>
      <c r="I639">
        <f>_xlfn.NUMBERVALUE("0.001125")</f>
        <v/>
      </c>
      <c r="J639">
        <f>_xlfn.NUMBERVALUE("0.000223")</f>
        <v/>
      </c>
      <c r="K639">
        <f>_xlfn.NUMBERVALUE("-0.000268")</f>
        <v/>
      </c>
      <c r="L639">
        <f>_xlfn.NUMBERVALUE("-0.000285")</f>
        <v/>
      </c>
      <c r="M639">
        <f>_xlfn.NUMBERVALUE("0.000550")</f>
        <v/>
      </c>
      <c r="N639">
        <f>_xlfn.NUMBERVALUE("0.000000")</f>
        <v/>
      </c>
      <c r="O639">
        <f>_xlfn.NUMBERVALUE("0.001461")</f>
        <v/>
      </c>
      <c r="P639">
        <f>_xlfn.NUMBERVALUE("0.000641")</f>
        <v/>
      </c>
      <c r="Q639">
        <f>_xlfn.NUMBERVALUE("0.002141")</f>
        <v/>
      </c>
      <c r="R639">
        <f>_xlfn.NUMBERVALUE("0.001721")</f>
        <v/>
      </c>
      <c r="S639">
        <f>_xlfn.NUMBERVALUE("0.001458")</f>
        <v/>
      </c>
      <c r="T639">
        <f>_xlfn.NUMBERVALUE("0.000966")</f>
        <v/>
      </c>
      <c r="U639">
        <f>_xlfn.NUMBERVALUE("0.001333")</f>
        <v/>
      </c>
      <c r="V639">
        <f>_xlfn.NUMBERVALUE("0.000613")</f>
        <v/>
      </c>
      <c r="W639">
        <f>_xlfn.NUMBERVALUE("0.001495")</f>
        <v/>
      </c>
      <c r="X639">
        <f>_xlfn.NUMBERVALUE("-0.400000")</f>
        <v/>
      </c>
      <c r="Y639">
        <f>_xlfn.NUMBERVALUE("9.900000")</f>
        <v/>
      </c>
    </row>
    <row r="640">
      <c r="A640" s="1" t="n">
        <v>42930</v>
      </c>
      <c r="B640">
        <f>_xlfn.NUMBERVALUE("0.000000")</f>
        <v/>
      </c>
      <c r="C640" s="2">
        <f>_xlfn.NUMBERVALUE("-0.000816")</f>
        <v/>
      </c>
      <c r="D640">
        <f>_xlfn.NUMBERVALUE("-0.002369")</f>
        <v/>
      </c>
      <c r="E640">
        <f>_xlfn.NUMBERVALUE("-0.000516")</f>
        <v/>
      </c>
      <c r="F640">
        <f>_xlfn.NUMBERVALUE("-0.000313")</f>
        <v/>
      </c>
      <c r="G640">
        <f>_xlfn.NUMBERVALUE("-0.001091")</f>
        <v/>
      </c>
      <c r="H640">
        <f>_xlfn.NUMBERVALUE("0.000130")</f>
        <v/>
      </c>
      <c r="I640">
        <f>_xlfn.NUMBERVALUE("0.000865")</f>
        <v/>
      </c>
      <c r="J640">
        <f>_xlfn.NUMBERVALUE("0.000315")</f>
        <v/>
      </c>
      <c r="K640">
        <f>_xlfn.NUMBERVALUE("0.000347")</f>
        <v/>
      </c>
      <c r="L640">
        <f>_xlfn.NUMBERVALUE("0.001372")</f>
        <v/>
      </c>
      <c r="M640">
        <f>_xlfn.NUMBERVALUE("0.000135")</f>
        <v/>
      </c>
      <c r="N640">
        <f>_xlfn.NUMBERVALUE("0.000000")</f>
        <v/>
      </c>
      <c r="O640">
        <f>_xlfn.NUMBERVALUE("0.000706")</f>
        <v/>
      </c>
      <c r="P640">
        <f>_xlfn.NUMBERVALUE("0.002881")</f>
        <v/>
      </c>
      <c r="Q640">
        <f>_xlfn.NUMBERVALUE("0.000468")</f>
        <v/>
      </c>
      <c r="R640">
        <f>_xlfn.NUMBERVALUE("-0.000054")</f>
        <v/>
      </c>
      <c r="S640">
        <f>_xlfn.NUMBERVALUE("-0.000536")</f>
        <v/>
      </c>
      <c r="T640">
        <f>_xlfn.NUMBERVALUE("-0.000534")</f>
        <v/>
      </c>
      <c r="U640">
        <f>_xlfn.NUMBERVALUE("0.001202")</f>
        <v/>
      </c>
      <c r="V640">
        <f>_xlfn.NUMBERVALUE("-0.000646")</f>
        <v/>
      </c>
      <c r="W640">
        <f>_xlfn.NUMBERVALUE("0.005543")</f>
        <v/>
      </c>
      <c r="X640">
        <f>_xlfn.NUMBERVALUE("-0.390000")</f>
        <v/>
      </c>
      <c r="Y640">
        <f>_xlfn.NUMBERVALUE("9.510000")</f>
        <v/>
      </c>
    </row>
    <row r="641">
      <c r="A641" s="1" t="n">
        <v>42933</v>
      </c>
      <c r="B641">
        <f>_xlfn.NUMBERVALUE("0.000000")</f>
        <v/>
      </c>
      <c r="C641" s="2">
        <f>_xlfn.NUMBERVALUE("0.001109")</f>
        <v/>
      </c>
      <c r="D641">
        <f>_xlfn.NUMBERVALUE("0.001903")</f>
        <v/>
      </c>
      <c r="E641">
        <f>_xlfn.NUMBERVALUE("0.000826")</f>
        <v/>
      </c>
      <c r="F641">
        <f>_xlfn.NUMBERVALUE("0.000765")</f>
        <v/>
      </c>
      <c r="G641">
        <f>_xlfn.NUMBERVALUE("0.000606")</f>
        <v/>
      </c>
      <c r="H641">
        <f>_xlfn.NUMBERVALUE("0.000379")</f>
        <v/>
      </c>
      <c r="I641">
        <f>_xlfn.NUMBERVALUE("0.001380")</f>
        <v/>
      </c>
      <c r="J641">
        <f>_xlfn.NUMBERVALUE("0.000143")</f>
        <v/>
      </c>
      <c r="K641">
        <f>_xlfn.NUMBERVALUE("0.001704")</f>
        <v/>
      </c>
      <c r="L641">
        <f>_xlfn.NUMBERVALUE("0.001425")</f>
        <v/>
      </c>
      <c r="M641">
        <f>_xlfn.NUMBERVALUE("0.001371")</f>
        <v/>
      </c>
      <c r="N641">
        <f>_xlfn.NUMBERVALUE("0.000000")</f>
        <v/>
      </c>
      <c r="O641">
        <f>_xlfn.NUMBERVALUE("0.001864")</f>
        <v/>
      </c>
      <c r="P641">
        <f>_xlfn.NUMBERVALUE("0.002504")</f>
        <v/>
      </c>
      <c r="Q641">
        <f>_xlfn.NUMBERVALUE("0.001547")</f>
        <v/>
      </c>
      <c r="R641">
        <f>_xlfn.NUMBERVALUE("0.000655")</f>
        <v/>
      </c>
      <c r="S641">
        <f>_xlfn.NUMBERVALUE("0.001353")</f>
        <v/>
      </c>
      <c r="T641">
        <f>_xlfn.NUMBERVALUE("0.000980")</f>
        <v/>
      </c>
      <c r="U641">
        <f>_xlfn.NUMBERVALUE("0.001094")</f>
        <v/>
      </c>
      <c r="V641">
        <f>_xlfn.NUMBERVALUE("0.000707")</f>
        <v/>
      </c>
      <c r="W641">
        <f>_xlfn.NUMBERVALUE("-0.001220")</f>
        <v/>
      </c>
      <c r="X641">
        <f>_xlfn.NUMBERVALUE("0.310000")</f>
        <v/>
      </c>
      <c r="Y641">
        <f>_xlfn.NUMBERVALUE("9.820000")</f>
        <v/>
      </c>
    </row>
    <row r="642">
      <c r="A642" s="1" t="n">
        <v>42934</v>
      </c>
      <c r="B642">
        <f>_xlfn.NUMBERVALUE("0.000000")</f>
        <v/>
      </c>
      <c r="C642" s="2">
        <f>_xlfn.NUMBERVALUE("0.000634")</f>
        <v/>
      </c>
      <c r="D642">
        <f>_xlfn.NUMBERVALUE("-0.000362")</f>
        <v/>
      </c>
      <c r="E642">
        <f>_xlfn.NUMBERVALUE("0.000224")</f>
        <v/>
      </c>
      <c r="F642">
        <f>_xlfn.NUMBERVALUE("0.001466")</f>
        <v/>
      </c>
      <c r="G642">
        <f>_xlfn.NUMBERVALUE("-0.000013")</f>
        <v/>
      </c>
      <c r="H642">
        <f>_xlfn.NUMBERVALUE("-0.000053")</f>
        <v/>
      </c>
      <c r="I642">
        <f>_xlfn.NUMBERVALUE("0.001096")</f>
        <v/>
      </c>
      <c r="J642">
        <f>_xlfn.NUMBERVALUE("-0.000828")</f>
        <v/>
      </c>
      <c r="K642">
        <f>_xlfn.NUMBERVALUE("0.001166")</f>
        <v/>
      </c>
      <c r="L642">
        <f>_xlfn.NUMBERVALUE("-0.000356")</f>
        <v/>
      </c>
      <c r="M642">
        <f>_xlfn.NUMBERVALUE("0.000911")</f>
        <v/>
      </c>
      <c r="N642">
        <f>_xlfn.NUMBERVALUE("0.000000")</f>
        <v/>
      </c>
      <c r="O642">
        <f>_xlfn.NUMBERVALUE("0.001920")</f>
        <v/>
      </c>
      <c r="P642">
        <f>_xlfn.NUMBERVALUE("0.001571")</f>
        <v/>
      </c>
      <c r="Q642">
        <f>_xlfn.NUMBERVALUE("0.000363")</f>
        <v/>
      </c>
      <c r="R642">
        <f>_xlfn.NUMBERVALUE("0.000549")</f>
        <v/>
      </c>
      <c r="S642">
        <f>_xlfn.NUMBERVALUE("0.000502")</f>
        <v/>
      </c>
      <c r="T642">
        <f>_xlfn.NUMBERVALUE("0.000430")</f>
        <v/>
      </c>
      <c r="U642">
        <f>_xlfn.NUMBERVALUE("-0.000040")</f>
        <v/>
      </c>
      <c r="V642">
        <f>_xlfn.NUMBERVALUE("0.000304")</f>
        <v/>
      </c>
      <c r="W642">
        <f>_xlfn.NUMBERVALUE("0.000428")</f>
        <v/>
      </c>
      <c r="X642">
        <f>_xlfn.NUMBERVALUE("0.070000")</f>
        <v/>
      </c>
      <c r="Y642">
        <f>_xlfn.NUMBERVALUE("9.890000")</f>
        <v/>
      </c>
    </row>
    <row r="643">
      <c r="A643" s="1" t="n">
        <v>42935</v>
      </c>
      <c r="B643">
        <f>_xlfn.NUMBERVALUE("0.000000")</f>
        <v/>
      </c>
      <c r="C643" s="2">
        <f>_xlfn.NUMBERVALUE("0.000593")</f>
        <v/>
      </c>
      <c r="D643">
        <f>_xlfn.NUMBERVALUE("-0.000321")</f>
        <v/>
      </c>
      <c r="E643">
        <f>_xlfn.NUMBERVALUE("0.000062")</f>
        <v/>
      </c>
      <c r="F643">
        <f>_xlfn.NUMBERVALUE("-0.001571")</f>
        <v/>
      </c>
      <c r="G643">
        <f>_xlfn.NUMBERVALUE("0.000207")</f>
        <v/>
      </c>
      <c r="H643">
        <f>_xlfn.NUMBERVALUE("-0.000099")</f>
        <v/>
      </c>
      <c r="I643">
        <f>_xlfn.NUMBERVALUE("-0.001047")</f>
        <v/>
      </c>
      <c r="J643">
        <f>_xlfn.NUMBERVALUE("0.000590")</f>
        <v/>
      </c>
      <c r="K643">
        <f>_xlfn.NUMBERVALUE("0.001353")</f>
        <v/>
      </c>
      <c r="L643">
        <f>_xlfn.NUMBERVALUE("0.001057")</f>
        <v/>
      </c>
      <c r="M643">
        <f>_xlfn.NUMBERVALUE("-0.000345")</f>
        <v/>
      </c>
      <c r="N643">
        <f>_xlfn.NUMBERVALUE("0.000000")</f>
        <v/>
      </c>
      <c r="O643">
        <f>_xlfn.NUMBERVALUE("-0.002170")</f>
        <v/>
      </c>
      <c r="P643">
        <f>_xlfn.NUMBERVALUE("0.001945")</f>
        <v/>
      </c>
      <c r="Q643">
        <f>_xlfn.NUMBERVALUE("0.001092")</f>
        <v/>
      </c>
      <c r="R643">
        <f>_xlfn.NUMBERVALUE("0.000075")</f>
        <v/>
      </c>
      <c r="S643">
        <f>_xlfn.NUMBERVALUE("0.000559")</f>
        <v/>
      </c>
      <c r="T643">
        <f>_xlfn.NUMBERVALUE("0.000827")</f>
        <v/>
      </c>
      <c r="U643">
        <f>_xlfn.NUMBERVALUE("-0.000643")</f>
        <v/>
      </c>
      <c r="V643">
        <f>_xlfn.NUMBERVALUE("-0.000603")</f>
        <v/>
      </c>
      <c r="W643">
        <f>_xlfn.NUMBERVALUE("0.005252")</f>
        <v/>
      </c>
      <c r="X643">
        <f>_xlfn.NUMBERVALUE("-0.100000")</f>
        <v/>
      </c>
      <c r="Y643">
        <f>_xlfn.NUMBERVALUE("9.790000")</f>
        <v/>
      </c>
    </row>
    <row r="644">
      <c r="A644" s="1" t="n">
        <v>42936</v>
      </c>
      <c r="B644">
        <f>_xlfn.NUMBERVALUE("0.000000")</f>
        <v/>
      </c>
      <c r="C644" s="2">
        <f>_xlfn.NUMBERVALUE("0.000349")</f>
        <v/>
      </c>
      <c r="D644">
        <f>_xlfn.NUMBERVALUE("0.000723")</f>
        <v/>
      </c>
      <c r="E644">
        <f>_xlfn.NUMBERVALUE("-0.000022")</f>
        <v/>
      </c>
      <c r="F644">
        <f>_xlfn.NUMBERVALUE("0.000393")</f>
        <v/>
      </c>
      <c r="G644">
        <f>_xlfn.NUMBERVALUE("0.000257")</f>
        <v/>
      </c>
      <c r="H644">
        <f>_xlfn.NUMBERVALUE("0.000512")</f>
        <v/>
      </c>
      <c r="I644">
        <f>_xlfn.NUMBERVALUE("0.000076")</f>
        <v/>
      </c>
      <c r="J644">
        <f>_xlfn.NUMBERVALUE("0.001377")</f>
        <v/>
      </c>
      <c r="K644">
        <f>_xlfn.NUMBERVALUE("0.001635")</f>
        <v/>
      </c>
      <c r="L644">
        <f>_xlfn.NUMBERVALUE("0.000518")</f>
        <v/>
      </c>
      <c r="M644">
        <f>_xlfn.NUMBERVALUE("-0.000042")</f>
        <v/>
      </c>
      <c r="N644">
        <f>_xlfn.NUMBERVALUE("0.000000")</f>
        <v/>
      </c>
      <c r="O644">
        <f>_xlfn.NUMBERVALUE("0.000583")</f>
        <v/>
      </c>
      <c r="P644">
        <f>_xlfn.NUMBERVALUE("0.000980")</f>
        <v/>
      </c>
      <c r="Q644">
        <f>_xlfn.NUMBERVALUE("0.000357")</f>
        <v/>
      </c>
      <c r="R644">
        <f>_xlfn.NUMBERVALUE("-0.000054")</f>
        <v/>
      </c>
      <c r="S644">
        <f>_xlfn.NUMBERVALUE("0.000373")</f>
        <v/>
      </c>
      <c r="T644">
        <f>_xlfn.NUMBERVALUE("-0.000568")</f>
        <v/>
      </c>
      <c r="U644">
        <f>_xlfn.NUMBERVALUE("0.000218")</f>
        <v/>
      </c>
      <c r="V644">
        <f>_xlfn.NUMBERVALUE("0.000464")</f>
        <v/>
      </c>
      <c r="W644">
        <f>_xlfn.NUMBERVALUE("0.000851")</f>
        <v/>
      </c>
      <c r="X644">
        <f>_xlfn.NUMBERVALUE("-0.210000")</f>
        <v/>
      </c>
      <c r="Y644">
        <f>_xlfn.NUMBERVALUE("9.580000")</f>
        <v/>
      </c>
    </row>
    <row r="645">
      <c r="A645" s="1" t="n">
        <v>42937</v>
      </c>
      <c r="B645">
        <f>_xlfn.NUMBERVALUE("0.000000")</f>
        <v/>
      </c>
      <c r="C645" s="2">
        <f>_xlfn.NUMBERVALUE("0.000825")</f>
        <v/>
      </c>
      <c r="D645">
        <f>_xlfn.NUMBERVALUE("0.000367")</f>
        <v/>
      </c>
      <c r="E645">
        <f>_xlfn.NUMBERVALUE("0.000082")</f>
        <v/>
      </c>
      <c r="F645">
        <f>_xlfn.NUMBERVALUE("-0.001359")</f>
        <v/>
      </c>
      <c r="G645">
        <f>_xlfn.NUMBERVALUE("0.000873")</f>
        <v/>
      </c>
      <c r="H645">
        <f>_xlfn.NUMBERVALUE("0.000563")</f>
        <v/>
      </c>
      <c r="I645">
        <f>_xlfn.NUMBERVALUE("0.001339")</f>
        <v/>
      </c>
      <c r="J645">
        <f>_xlfn.NUMBERVALUE("-0.001304")</f>
        <v/>
      </c>
      <c r="K645">
        <f>_xlfn.NUMBERVALUE("-0.000449")</f>
        <v/>
      </c>
      <c r="L645">
        <f>_xlfn.NUMBERVALUE("-0.000229")</f>
        <v/>
      </c>
      <c r="M645">
        <f>_xlfn.NUMBERVALUE("0.000031")</f>
        <v/>
      </c>
      <c r="N645">
        <f>_xlfn.NUMBERVALUE("0.000000")</f>
        <v/>
      </c>
      <c r="O645">
        <f>_xlfn.NUMBERVALUE("0.000701")</f>
        <v/>
      </c>
      <c r="P645">
        <f>_xlfn.NUMBERVALUE("0.001211")</f>
        <v/>
      </c>
      <c r="Q645">
        <f>_xlfn.NUMBERVALUE("0.001060")</f>
        <v/>
      </c>
      <c r="R645">
        <f>_xlfn.NUMBERVALUE("0.000423")</f>
        <v/>
      </c>
      <c r="S645">
        <f>_xlfn.NUMBERVALUE("0.000736")</f>
        <v/>
      </c>
      <c r="T645">
        <f>_xlfn.NUMBERVALUE("0.000491")</f>
        <v/>
      </c>
      <c r="U645">
        <f>_xlfn.NUMBERVALUE("0.001015")</f>
        <v/>
      </c>
      <c r="V645">
        <f>_xlfn.NUMBERVALUE("0.000526")</f>
        <v/>
      </c>
      <c r="W645">
        <f>_xlfn.NUMBERVALUE("-0.001861")</f>
        <v/>
      </c>
      <c r="X645">
        <f>_xlfn.NUMBERVALUE("-0.220000")</f>
        <v/>
      </c>
      <c r="Y645">
        <f>_xlfn.NUMBERVALUE("9.360000")</f>
        <v/>
      </c>
    </row>
    <row r="646">
      <c r="A646" s="1" t="n">
        <v>42940</v>
      </c>
      <c r="B646">
        <f>_xlfn.NUMBERVALUE("0.000000")</f>
        <v/>
      </c>
      <c r="C646" s="2">
        <f>_xlfn.NUMBERVALUE("0.001312")</f>
        <v/>
      </c>
      <c r="D646">
        <f>_xlfn.NUMBERVALUE("0.000671")</f>
        <v/>
      </c>
      <c r="E646">
        <f>_xlfn.NUMBERVALUE("0.000556")</f>
        <v/>
      </c>
      <c r="F646">
        <f>_xlfn.NUMBERVALUE("0.000426")</f>
        <v/>
      </c>
      <c r="G646">
        <f>_xlfn.NUMBERVALUE("-0.000409")</f>
        <v/>
      </c>
      <c r="H646">
        <f>_xlfn.NUMBERVALUE("0.000064")</f>
        <v/>
      </c>
      <c r="I646">
        <f>_xlfn.NUMBERVALUE("0.001580")</f>
        <v/>
      </c>
      <c r="J646">
        <f>_xlfn.NUMBERVALUE("0.000452")</f>
        <v/>
      </c>
      <c r="K646">
        <f>_xlfn.NUMBERVALUE("0.003309")</f>
        <v/>
      </c>
      <c r="L646">
        <f>_xlfn.NUMBERVALUE("0.000692")</f>
        <v/>
      </c>
      <c r="M646">
        <f>_xlfn.NUMBERVALUE("0.001279")</f>
        <v/>
      </c>
      <c r="N646">
        <f>_xlfn.NUMBERVALUE("0.000000")</f>
        <v/>
      </c>
      <c r="O646">
        <f>_xlfn.NUMBERVALUE("0.001896")</f>
        <v/>
      </c>
      <c r="P646">
        <f>_xlfn.NUMBERVALUE("-0.000031")</f>
        <v/>
      </c>
      <c r="Q646">
        <f>_xlfn.NUMBERVALUE("0.001441")</f>
        <v/>
      </c>
      <c r="R646">
        <f>_xlfn.NUMBERVALUE("0.001147")</f>
        <v/>
      </c>
      <c r="S646">
        <f>_xlfn.NUMBERVALUE("0.001259")</f>
        <v/>
      </c>
      <c r="T646">
        <f>_xlfn.NUMBERVALUE("-0.000607")</f>
        <v/>
      </c>
      <c r="U646">
        <f>_xlfn.NUMBERVALUE("0.000908")</f>
        <v/>
      </c>
      <c r="V646">
        <f>_xlfn.NUMBERVALUE("0.000521")</f>
        <v/>
      </c>
      <c r="W646">
        <f>_xlfn.NUMBERVALUE("0.001095")</f>
        <v/>
      </c>
      <c r="X646">
        <f>_xlfn.NUMBERVALUE("0.070000")</f>
        <v/>
      </c>
      <c r="Y646">
        <f>_xlfn.NUMBERVALUE("9.430000")</f>
        <v/>
      </c>
    </row>
    <row r="647">
      <c r="A647" s="1" t="n">
        <v>42941</v>
      </c>
      <c r="B647">
        <f>_xlfn.NUMBERVALUE("0.000000")</f>
        <v/>
      </c>
      <c r="C647" s="2">
        <f>_xlfn.NUMBERVALUE("-0.000573")</f>
        <v/>
      </c>
      <c r="D647">
        <f>_xlfn.NUMBERVALUE("0.000079")</f>
        <v/>
      </c>
      <c r="E647">
        <f>_xlfn.NUMBERVALUE("-0.000049")</f>
        <v/>
      </c>
      <c r="F647">
        <f>_xlfn.NUMBERVALUE("-0.000451")</f>
        <v/>
      </c>
      <c r="G647">
        <f>_xlfn.NUMBERVALUE("0.000209")</f>
        <v/>
      </c>
      <c r="H647">
        <f>_xlfn.NUMBERVALUE("-0.000387")</f>
        <v/>
      </c>
      <c r="I647">
        <f>_xlfn.NUMBERVALUE("-0.001659")</f>
        <v/>
      </c>
      <c r="J647">
        <f>_xlfn.NUMBERVALUE("-0.000288")</f>
        <v/>
      </c>
      <c r="K647">
        <f>_xlfn.NUMBERVALUE("0.001104")</f>
        <v/>
      </c>
      <c r="L647">
        <f>_xlfn.NUMBERVALUE("-0.004756")</f>
        <v/>
      </c>
      <c r="M647">
        <f>_xlfn.NUMBERVALUE("-0.000020")</f>
        <v/>
      </c>
      <c r="N647">
        <f>_xlfn.NUMBERVALUE("0.000000")</f>
        <v/>
      </c>
      <c r="O647">
        <f>_xlfn.NUMBERVALUE("-0.003502")</f>
        <v/>
      </c>
      <c r="P647">
        <f>_xlfn.NUMBERVALUE("-0.005236")</f>
        <v/>
      </c>
      <c r="Q647">
        <f>_xlfn.NUMBERVALUE("0.000738")</f>
        <v/>
      </c>
      <c r="R647">
        <f>_xlfn.NUMBERVALUE("0.000574")</f>
        <v/>
      </c>
      <c r="S647">
        <f>_xlfn.NUMBERVALUE("-0.000367")</f>
        <v/>
      </c>
      <c r="T647">
        <f>_xlfn.NUMBERVALUE("0.000359")</f>
        <v/>
      </c>
      <c r="U647">
        <f>_xlfn.NUMBERVALUE("-0.000791")</f>
        <v/>
      </c>
      <c r="V647">
        <f>_xlfn.NUMBERVALUE("-0.000251")</f>
        <v/>
      </c>
      <c r="W647">
        <f>_xlfn.NUMBERVALUE("0.001660")</f>
        <v/>
      </c>
      <c r="X647">
        <f>_xlfn.NUMBERVALUE("0.000000")</f>
        <v/>
      </c>
      <c r="Y647">
        <f>_xlfn.NUMBERVALUE("9.430000")</f>
        <v/>
      </c>
    </row>
    <row r="648">
      <c r="A648" s="1" t="n">
        <v>42942</v>
      </c>
      <c r="B648">
        <f>_xlfn.NUMBERVALUE("0.000000")</f>
        <v/>
      </c>
      <c r="C648" s="2">
        <f>_xlfn.NUMBERVALUE("-0.000254")</f>
        <v/>
      </c>
      <c r="D648">
        <f>_xlfn.NUMBERVALUE("-0.000113")</f>
        <v/>
      </c>
      <c r="E648">
        <f>_xlfn.NUMBERVALUE("0.000005")</f>
        <v/>
      </c>
      <c r="F648">
        <f>_xlfn.NUMBERVALUE("-0.000463")</f>
        <v/>
      </c>
      <c r="G648">
        <f>_xlfn.NUMBERVALUE("-0.000150")</f>
        <v/>
      </c>
      <c r="H648">
        <f>_xlfn.NUMBERVALUE("-0.000297")</f>
        <v/>
      </c>
      <c r="I648">
        <f>_xlfn.NUMBERVALUE("0.001165")</f>
        <v/>
      </c>
      <c r="J648">
        <f>_xlfn.NUMBERVALUE("-0.000242")</f>
        <v/>
      </c>
      <c r="K648">
        <f>_xlfn.NUMBERVALUE("-0.001130")</f>
        <v/>
      </c>
      <c r="L648">
        <f>_xlfn.NUMBERVALUE("0.000880")</f>
        <v/>
      </c>
      <c r="M648">
        <f>_xlfn.NUMBERVALUE("-0.000287")</f>
        <v/>
      </c>
      <c r="N648">
        <f>_xlfn.NUMBERVALUE("0.000000")</f>
        <v/>
      </c>
      <c r="O648">
        <f>_xlfn.NUMBERVALUE("0.000663")</f>
        <v/>
      </c>
      <c r="P648">
        <f>_xlfn.NUMBERVALUE("0.002053")</f>
        <v/>
      </c>
      <c r="Q648">
        <f>_xlfn.NUMBERVALUE("0.000886")</f>
        <v/>
      </c>
      <c r="R648">
        <f>_xlfn.NUMBERVALUE("0.000455")</f>
        <v/>
      </c>
      <c r="S648">
        <f>_xlfn.NUMBERVALUE("0.000316")</f>
        <v/>
      </c>
      <c r="T648">
        <f>_xlfn.NUMBERVALUE("-0.000707")</f>
        <v/>
      </c>
      <c r="U648">
        <f>_xlfn.NUMBERVALUE("0.000582")</f>
        <v/>
      </c>
      <c r="V648">
        <f>_xlfn.NUMBERVALUE("0.000293")</f>
        <v/>
      </c>
      <c r="W648">
        <f>_xlfn.NUMBERVALUE("-0.000425")</f>
        <v/>
      </c>
      <c r="X648">
        <f>_xlfn.NUMBERVALUE("0.170000")</f>
        <v/>
      </c>
      <c r="Y648">
        <f>_xlfn.NUMBERVALUE("9.600000")</f>
        <v/>
      </c>
    </row>
    <row r="649">
      <c r="A649" s="1" t="n">
        <v>42943</v>
      </c>
      <c r="B649">
        <f>_xlfn.NUMBERVALUE("0.000000")</f>
        <v/>
      </c>
      <c r="C649" s="2">
        <f>_xlfn.NUMBERVALUE("-0.001009")</f>
        <v/>
      </c>
      <c r="D649">
        <f>_xlfn.NUMBERVALUE("0.000243")</f>
        <v/>
      </c>
      <c r="E649">
        <f>_xlfn.NUMBERVALUE("-0.000120")</f>
        <v/>
      </c>
      <c r="F649">
        <f>_xlfn.NUMBERVALUE("0.000599")</f>
        <v/>
      </c>
      <c r="G649">
        <f>_xlfn.NUMBERVALUE("0.000272")</f>
        <v/>
      </c>
      <c r="H649">
        <f>_xlfn.NUMBERVALUE("0.000291")</f>
        <v/>
      </c>
      <c r="I649">
        <f>_xlfn.NUMBERVALUE("-0.000747")</f>
        <v/>
      </c>
      <c r="J649">
        <f>_xlfn.NUMBERVALUE("0.000125")</f>
        <v/>
      </c>
      <c r="K649">
        <f>_xlfn.NUMBERVALUE("0.002665")</f>
        <v/>
      </c>
      <c r="L649">
        <f>_xlfn.NUMBERVALUE("-0.000754")</f>
        <v/>
      </c>
      <c r="M649">
        <f>_xlfn.NUMBERVALUE("-0.000053")</f>
        <v/>
      </c>
      <c r="N649">
        <f>_xlfn.NUMBERVALUE("0.000000")</f>
        <v/>
      </c>
      <c r="O649">
        <f>_xlfn.NUMBERVALUE("-0.000129")</f>
        <v/>
      </c>
      <c r="P649">
        <f>_xlfn.NUMBERVALUE("-0.000486")</f>
        <v/>
      </c>
      <c r="Q649">
        <f>_xlfn.NUMBERVALUE("-0.001099")</f>
        <v/>
      </c>
      <c r="R649">
        <f>_xlfn.NUMBERVALUE("-0.002106")</f>
        <v/>
      </c>
      <c r="S649">
        <f>_xlfn.NUMBERVALUE("-0.001682")</f>
        <v/>
      </c>
      <c r="T649">
        <f>_xlfn.NUMBERVALUE("0.000240")</f>
        <v/>
      </c>
      <c r="U649">
        <f>_xlfn.NUMBERVALUE("-0.001903")</f>
        <v/>
      </c>
      <c r="V649">
        <f>_xlfn.NUMBERVALUE("-0.000064")</f>
        <v/>
      </c>
      <c r="W649">
        <f>_xlfn.NUMBERVALUE("-0.001598")</f>
        <v/>
      </c>
      <c r="X649">
        <f>_xlfn.NUMBERVALUE("0.510000")</f>
        <v/>
      </c>
      <c r="Y649">
        <f>_xlfn.NUMBERVALUE("10.110000")</f>
        <v/>
      </c>
    </row>
    <row r="650">
      <c r="A650" s="1" t="n">
        <v>42944</v>
      </c>
      <c r="B650">
        <f>_xlfn.NUMBERVALUE("0.000000")</f>
        <v/>
      </c>
      <c r="C650" s="2">
        <f>_xlfn.NUMBERVALUE("-0.000243")</f>
        <v/>
      </c>
      <c r="D650">
        <f>_xlfn.NUMBERVALUE("-0.000084")</f>
        <v/>
      </c>
      <c r="E650">
        <f>_xlfn.NUMBERVALUE("0.000204")</f>
        <v/>
      </c>
      <c r="F650">
        <f>_xlfn.NUMBERVALUE("0.000136")</f>
        <v/>
      </c>
      <c r="G650">
        <f>_xlfn.NUMBERVALUE("0.000408")</f>
        <v/>
      </c>
      <c r="H650">
        <f>_xlfn.NUMBERVALUE("-0.000229")</f>
        <v/>
      </c>
      <c r="I650">
        <f>_xlfn.NUMBERVALUE("0.002661")</f>
        <v/>
      </c>
      <c r="J650">
        <f>_xlfn.NUMBERVALUE("0.000062")</f>
        <v/>
      </c>
      <c r="K650">
        <f>_xlfn.NUMBERVALUE("-0.000176")</f>
        <v/>
      </c>
      <c r="L650">
        <f>_xlfn.NUMBERVALUE("0.000611")</f>
        <v/>
      </c>
      <c r="M650">
        <f>_xlfn.NUMBERVALUE("0.000742")</f>
        <v/>
      </c>
      <c r="N650">
        <f>_xlfn.NUMBERVALUE("0.000000")</f>
        <v/>
      </c>
      <c r="O650">
        <f>_xlfn.NUMBERVALUE("0.000583")</f>
        <v/>
      </c>
      <c r="P650">
        <f>_xlfn.NUMBERVALUE("0.000821")</f>
        <v/>
      </c>
      <c r="Q650">
        <f>_xlfn.NUMBERVALUE("0.001136")</f>
        <v/>
      </c>
      <c r="R650">
        <f>_xlfn.NUMBERVALUE("0.000730")</f>
        <v/>
      </c>
      <c r="S650">
        <f>_xlfn.NUMBERVALUE("-0.000225")</f>
        <v/>
      </c>
      <c r="T650">
        <f>_xlfn.NUMBERVALUE("0.000090")</f>
        <v/>
      </c>
      <c r="U650">
        <f>_xlfn.NUMBERVALUE("0.002298")</f>
        <v/>
      </c>
      <c r="V650">
        <f>_xlfn.NUMBERVALUE("0.000331")</f>
        <v/>
      </c>
      <c r="W650">
        <f>_xlfn.NUMBERVALUE("0.000547")</f>
        <v/>
      </c>
      <c r="X650">
        <f>_xlfn.NUMBERVALUE("0.180000")</f>
        <v/>
      </c>
      <c r="Y650">
        <f>_xlfn.NUMBERVALUE("10.290000")</f>
        <v/>
      </c>
    </row>
    <row r="651">
      <c r="A651" s="1" t="n">
        <v>42947</v>
      </c>
      <c r="B651">
        <f>_xlfn.NUMBERVALUE("0.000000")</f>
        <v/>
      </c>
      <c r="C651" s="2">
        <f>_xlfn.NUMBERVALUE("0.000306")</f>
        <v/>
      </c>
      <c r="D651">
        <f>_xlfn.NUMBERVALUE("0.000092")</f>
        <v/>
      </c>
      <c r="E651">
        <f>_xlfn.NUMBERVALUE("0.000081")</f>
        <v/>
      </c>
      <c r="F651">
        <f>_xlfn.NUMBERVALUE("-0.000007")</f>
        <v/>
      </c>
      <c r="G651">
        <f>_xlfn.NUMBERVALUE("-0.000001")</f>
        <v/>
      </c>
      <c r="H651">
        <f>_xlfn.NUMBERVALUE("0.000483")</f>
        <v/>
      </c>
      <c r="I651">
        <f>_xlfn.NUMBERVALUE("0.003064")</f>
        <v/>
      </c>
      <c r="J651">
        <f>_xlfn.NUMBERVALUE("0.000233")</f>
        <v/>
      </c>
      <c r="K651">
        <f>_xlfn.NUMBERVALUE("0.000916")</f>
        <v/>
      </c>
      <c r="L651">
        <f>_xlfn.NUMBERVALUE("0.001583")</f>
        <v/>
      </c>
      <c r="M651">
        <f>_xlfn.NUMBERVALUE("0.001376")</f>
        <v/>
      </c>
      <c r="N651">
        <f>_xlfn.NUMBERVALUE("0.000000")</f>
        <v/>
      </c>
      <c r="O651">
        <f>_xlfn.NUMBERVALUE("0.001172")</f>
        <v/>
      </c>
      <c r="P651">
        <f>_xlfn.NUMBERVALUE("0.001956")</f>
        <v/>
      </c>
      <c r="Q651">
        <f>_xlfn.NUMBERVALUE("0.001368")</f>
        <v/>
      </c>
      <c r="R651">
        <f>_xlfn.NUMBERVALUE("0.001025")</f>
        <v/>
      </c>
      <c r="S651">
        <f>_xlfn.NUMBERVALUE("0.001220")</f>
        <v/>
      </c>
      <c r="T651">
        <f>_xlfn.NUMBERVALUE("0.000068")</f>
        <v/>
      </c>
      <c r="U651">
        <f>_xlfn.NUMBERVALUE("0.000397")</f>
        <v/>
      </c>
      <c r="V651">
        <f>_xlfn.NUMBERVALUE("0.000737")</f>
        <v/>
      </c>
      <c r="W651">
        <f>_xlfn.NUMBERVALUE("0.000810")</f>
        <v/>
      </c>
      <c r="X651">
        <f>_xlfn.NUMBERVALUE("-0.030000")</f>
        <v/>
      </c>
      <c r="Y651">
        <f>_xlfn.NUMBERVALUE("10.260000")</f>
        <v/>
      </c>
    </row>
    <row r="652">
      <c r="A652" s="1" t="n">
        <v>42948</v>
      </c>
      <c r="B652">
        <f>_xlfn.NUMBERVALUE("0.000000")</f>
        <v/>
      </c>
      <c r="C652" s="2">
        <f>_xlfn.NUMBERVALUE("0.000098")</f>
        <v/>
      </c>
      <c r="D652">
        <f>_xlfn.NUMBERVALUE("0.000046")</f>
        <v/>
      </c>
      <c r="E652">
        <f>_xlfn.NUMBERVALUE("-0.000005")</f>
        <v/>
      </c>
      <c r="F652">
        <f>_xlfn.NUMBERVALUE("-0.000085")</f>
        <v/>
      </c>
      <c r="G652">
        <f>_xlfn.NUMBERVALUE("-0.000456")</f>
        <v/>
      </c>
      <c r="H652">
        <f>_xlfn.NUMBERVALUE("-0.000192")</f>
        <v/>
      </c>
      <c r="I652">
        <f>_xlfn.NUMBERVALUE("0.002217")</f>
        <v/>
      </c>
      <c r="J652">
        <f>_xlfn.NUMBERVALUE("-0.000187")</f>
        <v/>
      </c>
      <c r="K652">
        <f>_xlfn.NUMBERVALUE("0.000827")</f>
        <v/>
      </c>
      <c r="L652">
        <f>_xlfn.NUMBERVALUE("0.000211")</f>
        <v/>
      </c>
      <c r="M652">
        <f>_xlfn.NUMBERVALUE("0.002032")</f>
        <v/>
      </c>
      <c r="N652">
        <f>_xlfn.NUMBERVALUE("0.000000")</f>
        <v/>
      </c>
      <c r="O652">
        <f>_xlfn.NUMBERVALUE("0.000406")</f>
        <v/>
      </c>
      <c r="P652">
        <f>_xlfn.NUMBERVALUE("0.000313")</f>
        <v/>
      </c>
      <c r="Q652">
        <f>_xlfn.NUMBERVALUE("-0.000250")</f>
        <v/>
      </c>
      <c r="R652">
        <f>_xlfn.NUMBERVALUE("0.001190")</f>
        <v/>
      </c>
      <c r="S652">
        <f>_xlfn.NUMBERVALUE("0.000493")</f>
        <v/>
      </c>
      <c r="T652">
        <f>_xlfn.NUMBERVALUE("0.000216")</f>
        <v/>
      </c>
      <c r="U652">
        <f>_xlfn.NUMBERVALUE("0.001311")</f>
        <v/>
      </c>
      <c r="V652">
        <f>_xlfn.NUMBERVALUE("0.000006")</f>
        <v/>
      </c>
      <c r="W652">
        <f>_xlfn.NUMBERVALUE("0.000303")</f>
        <v/>
      </c>
      <c r="X652">
        <f>_xlfn.NUMBERVALUE("-0.170000")</f>
        <v/>
      </c>
      <c r="Y652">
        <f>_xlfn.NUMBERVALUE("10.090000")</f>
        <v/>
      </c>
    </row>
    <row r="653">
      <c r="A653" s="1" t="n">
        <v>42949</v>
      </c>
      <c r="B653">
        <f>_xlfn.NUMBERVALUE("0.000000")</f>
        <v/>
      </c>
      <c r="C653" s="2">
        <f>_xlfn.NUMBERVALUE("-0.000003")</f>
        <v/>
      </c>
      <c r="D653">
        <f>_xlfn.NUMBERVALUE("-0.000051")</f>
        <v/>
      </c>
      <c r="E653">
        <f>_xlfn.NUMBERVALUE("-0.000003")</f>
        <v/>
      </c>
      <c r="F653">
        <f>_xlfn.NUMBERVALUE("-0.000092")</f>
        <v/>
      </c>
      <c r="G653">
        <f>_xlfn.NUMBERVALUE("-0.000014")</f>
        <v/>
      </c>
      <c r="H653">
        <f>_xlfn.NUMBERVALUE("0.000024")</f>
        <v/>
      </c>
      <c r="I653">
        <f>_xlfn.NUMBERVALUE("-0.006225")</f>
        <v/>
      </c>
      <c r="J653">
        <f>_xlfn.NUMBERVALUE("0.000023")</f>
        <v/>
      </c>
      <c r="K653">
        <f>_xlfn.NUMBERVALUE("0.000287")</f>
        <v/>
      </c>
      <c r="L653">
        <f>_xlfn.NUMBERVALUE("0.002231")</f>
        <v/>
      </c>
      <c r="M653">
        <f>_xlfn.NUMBERVALUE("0.000871")</f>
        <v/>
      </c>
      <c r="N653">
        <f>_xlfn.NUMBERVALUE("0.000000")</f>
        <v/>
      </c>
      <c r="O653">
        <f>_xlfn.NUMBERVALUE("0.000253")</f>
        <v/>
      </c>
      <c r="P653">
        <f>_xlfn.NUMBERVALUE("0.000541")</f>
        <v/>
      </c>
      <c r="Q653">
        <f>_xlfn.NUMBERVALUE("0.000127")</f>
        <v/>
      </c>
      <c r="R653">
        <f>_xlfn.NUMBERVALUE("0.000240")</f>
        <v/>
      </c>
      <c r="S653">
        <f>_xlfn.NUMBERVALUE("0.000530")</f>
        <v/>
      </c>
      <c r="T653">
        <f>_xlfn.NUMBERVALUE("0.000100")</f>
        <v/>
      </c>
      <c r="U653">
        <f>_xlfn.NUMBERVALUE("-0.000093")</f>
        <v/>
      </c>
      <c r="V653">
        <f>_xlfn.NUMBERVALUE("-0.000002")</f>
        <v/>
      </c>
      <c r="W653">
        <f>_xlfn.NUMBERVALUE("0.000040")</f>
        <v/>
      </c>
      <c r="X653">
        <f>_xlfn.NUMBERVALUE("0.190000")</f>
        <v/>
      </c>
      <c r="Y653">
        <f>_xlfn.NUMBERVALUE("10.280000")</f>
        <v/>
      </c>
    </row>
    <row r="654">
      <c r="A654" s="1" t="n">
        <v>42950</v>
      </c>
      <c r="B654">
        <f>_xlfn.NUMBERVALUE("0.000000")</f>
        <v/>
      </c>
      <c r="C654" s="2">
        <f>_xlfn.NUMBERVALUE("-0.000037")</f>
        <v/>
      </c>
      <c r="D654">
        <f>_xlfn.NUMBERVALUE("-0.000196")</f>
        <v/>
      </c>
      <c r="E654">
        <f>_xlfn.NUMBERVALUE("0.000104")</f>
        <v/>
      </c>
      <c r="F654">
        <f>_xlfn.NUMBERVALUE("0.000173")</f>
        <v/>
      </c>
      <c r="G654">
        <f>_xlfn.NUMBERVALUE("0.001073")</f>
        <v/>
      </c>
      <c r="H654">
        <f>_xlfn.NUMBERVALUE("-0.000351")</f>
        <v/>
      </c>
      <c r="I654">
        <f>_xlfn.NUMBERVALUE("0.000150")</f>
        <v/>
      </c>
      <c r="J654">
        <f>_xlfn.NUMBERVALUE("0.000528")</f>
        <v/>
      </c>
      <c r="K654">
        <f>_xlfn.NUMBERVALUE("0.001192")</f>
        <v/>
      </c>
      <c r="L654">
        <f>_xlfn.NUMBERVALUE("-0.003960")</f>
        <v/>
      </c>
      <c r="M654">
        <f>_xlfn.NUMBERVALUE("0.000502")</f>
        <v/>
      </c>
      <c r="N654">
        <f>_xlfn.NUMBERVALUE("0.000000")</f>
        <v/>
      </c>
      <c r="O654">
        <f>_xlfn.NUMBERVALUE("-0.000486")</f>
        <v/>
      </c>
      <c r="P654">
        <f>_xlfn.NUMBERVALUE("0.000425")</f>
        <v/>
      </c>
      <c r="Q654">
        <f>_xlfn.NUMBERVALUE("0.001160")</f>
        <v/>
      </c>
      <c r="R654">
        <f>_xlfn.NUMBERVALUE("0.000346")</f>
        <v/>
      </c>
      <c r="S654">
        <f>_xlfn.NUMBERVALUE("0.000765")</f>
        <v/>
      </c>
      <c r="T654">
        <f>_xlfn.NUMBERVALUE("-0.000202")</f>
        <v/>
      </c>
      <c r="U654">
        <f>_xlfn.NUMBERVALUE("0.000801")</f>
        <v/>
      </c>
      <c r="V654">
        <f>_xlfn.NUMBERVALUE("-0.000013")</f>
        <v/>
      </c>
      <c r="W654">
        <f>_xlfn.NUMBERVALUE("-0.001436")</f>
        <v/>
      </c>
      <c r="X654">
        <f>_xlfn.NUMBERVALUE("0.160000")</f>
        <v/>
      </c>
      <c r="Y654">
        <f>_xlfn.NUMBERVALUE("10.440000")</f>
        <v/>
      </c>
    </row>
    <row r="655">
      <c r="A655" s="1" t="n">
        <v>42951</v>
      </c>
      <c r="B655">
        <f>_xlfn.NUMBERVALUE("0.000000")</f>
        <v/>
      </c>
      <c r="C655" s="2">
        <f>_xlfn.NUMBERVALUE("0.000155")</f>
        <v/>
      </c>
      <c r="D655">
        <f>_xlfn.NUMBERVALUE("0.001043")</f>
        <v/>
      </c>
      <c r="E655">
        <f>_xlfn.NUMBERVALUE("0.001025")</f>
        <v/>
      </c>
      <c r="F655">
        <f>_xlfn.NUMBERVALUE("0.000030")</f>
        <v/>
      </c>
      <c r="G655">
        <f>_xlfn.NUMBERVALUE("0.000304")</f>
        <v/>
      </c>
      <c r="H655">
        <f>_xlfn.NUMBERVALUE("0.000399")</f>
        <v/>
      </c>
      <c r="I655">
        <f>_xlfn.NUMBERVALUE("0.000904")</f>
        <v/>
      </c>
      <c r="J655">
        <f>_xlfn.NUMBERVALUE("0.000155")</f>
        <v/>
      </c>
      <c r="K655">
        <f>_xlfn.NUMBERVALUE("-0.003144")</f>
        <v/>
      </c>
      <c r="L655">
        <f>_xlfn.NUMBERVALUE("0.000158")</f>
        <v/>
      </c>
      <c r="M655">
        <f>_xlfn.NUMBERVALUE("-0.000242")</f>
        <v/>
      </c>
      <c r="N655">
        <f>_xlfn.NUMBERVALUE("0.000000")</f>
        <v/>
      </c>
      <c r="O655">
        <f>_xlfn.NUMBERVALUE("0.001068")</f>
        <v/>
      </c>
      <c r="P655">
        <f>_xlfn.NUMBERVALUE("-0.001342")</f>
        <v/>
      </c>
      <c r="Q655">
        <f>_xlfn.NUMBERVALUE("0.000061")</f>
        <v/>
      </c>
      <c r="R655">
        <f>_xlfn.NUMBERVALUE("-0.000462")</f>
        <v/>
      </c>
      <c r="S655">
        <f>_xlfn.NUMBERVALUE("0.000741")</f>
        <v/>
      </c>
      <c r="T655">
        <f>_xlfn.NUMBERVALUE("0.000040")</f>
        <v/>
      </c>
      <c r="U655">
        <f>_xlfn.NUMBERVALUE("0.000823")</f>
        <v/>
      </c>
      <c r="V655">
        <f>_xlfn.NUMBERVALUE("0.000789")</f>
        <v/>
      </c>
      <c r="W655">
        <f>_xlfn.NUMBERVALUE("0.001276")</f>
        <v/>
      </c>
      <c r="X655">
        <f>_xlfn.NUMBERVALUE("-0.410000")</f>
        <v/>
      </c>
      <c r="Y655">
        <f>_xlfn.NUMBERVALUE("10.030000")</f>
        <v/>
      </c>
    </row>
    <row r="656">
      <c r="A656" s="1" t="n">
        <v>42954</v>
      </c>
      <c r="B656">
        <f>_xlfn.NUMBERVALUE("0.000000")</f>
        <v/>
      </c>
      <c r="C656" s="2">
        <f>_xlfn.NUMBERVALUE("0.000541")</f>
        <v/>
      </c>
      <c r="D656">
        <f>_xlfn.NUMBERVALUE("-0.000123")</f>
        <v/>
      </c>
      <c r="E656">
        <f>_xlfn.NUMBERVALUE("0.001097")</f>
        <v/>
      </c>
      <c r="F656">
        <f>_xlfn.NUMBERVALUE("0.001310")</f>
        <v/>
      </c>
      <c r="G656">
        <f>_xlfn.NUMBERVALUE("0.000798")</f>
        <v/>
      </c>
      <c r="H656">
        <f>_xlfn.NUMBERVALUE("0.000863")</f>
        <v/>
      </c>
      <c r="I656">
        <f>_xlfn.NUMBERVALUE("0.001185")</f>
        <v/>
      </c>
      <c r="J656">
        <f>_xlfn.NUMBERVALUE("0.001083")</f>
        <v/>
      </c>
      <c r="K656">
        <f>_xlfn.NUMBERVALUE("0.001821")</f>
        <v/>
      </c>
      <c r="L656">
        <f>_xlfn.NUMBERVALUE("0.000921")</f>
        <v/>
      </c>
      <c r="M656">
        <f>_xlfn.NUMBERVALUE("0.001227")</f>
        <v/>
      </c>
      <c r="N656">
        <f>_xlfn.NUMBERVALUE("0.000000")</f>
        <v/>
      </c>
      <c r="O656">
        <f>_xlfn.NUMBERVALUE("0.001667")</f>
        <v/>
      </c>
      <c r="P656">
        <f>_xlfn.NUMBERVALUE("0.002106")</f>
        <v/>
      </c>
      <c r="Q656">
        <f>_xlfn.NUMBERVALUE("0.003242")</f>
        <v/>
      </c>
      <c r="R656">
        <f>_xlfn.NUMBERVALUE("0.000051")</f>
        <v/>
      </c>
      <c r="S656">
        <f>_xlfn.NUMBERVALUE("-0.000835")</f>
        <v/>
      </c>
      <c r="T656">
        <f>_xlfn.NUMBERVALUE("-0.000008")</f>
        <v/>
      </c>
      <c r="U656">
        <f>_xlfn.NUMBERVALUE("0.000258")</f>
        <v/>
      </c>
      <c r="V656">
        <f>_xlfn.NUMBERVALUE("0.000318")</f>
        <v/>
      </c>
      <c r="W656">
        <f>_xlfn.NUMBERVALUE("0.002338")</f>
        <v/>
      </c>
      <c r="X656">
        <f>_xlfn.NUMBERVALUE("-0.100000")</f>
        <v/>
      </c>
      <c r="Y656">
        <f>_xlfn.NUMBERVALUE("9.930000")</f>
        <v/>
      </c>
    </row>
    <row r="657">
      <c r="A657" s="1" t="n">
        <v>42955</v>
      </c>
      <c r="B657">
        <f>_xlfn.NUMBERVALUE("0.000000")</f>
        <v/>
      </c>
      <c r="C657" s="2">
        <f>_xlfn.NUMBERVALUE("-0.001132")</f>
        <v/>
      </c>
      <c r="D657">
        <f>_xlfn.NUMBERVALUE("-0.000758")</f>
        <v/>
      </c>
      <c r="E657">
        <f>_xlfn.NUMBERVALUE("-0.000539")</f>
        <v/>
      </c>
      <c r="F657">
        <f>_xlfn.NUMBERVALUE("-0.000051")</f>
        <v/>
      </c>
      <c r="G657">
        <f>_xlfn.NUMBERVALUE("-0.000182")</f>
        <v/>
      </c>
      <c r="H657">
        <f>_xlfn.NUMBERVALUE("-0.000124")</f>
        <v/>
      </c>
      <c r="I657">
        <f>_xlfn.NUMBERVALUE("-0.000675")</f>
        <v/>
      </c>
      <c r="J657">
        <f>_xlfn.NUMBERVALUE("-0.000940")</f>
        <v/>
      </c>
      <c r="K657">
        <f>_xlfn.NUMBERVALUE("0.000648")</f>
        <v/>
      </c>
      <c r="L657">
        <f>_xlfn.NUMBERVALUE("0.000027")</f>
        <v/>
      </c>
      <c r="M657">
        <f>_xlfn.NUMBERVALUE("-0.000659")</f>
        <v/>
      </c>
      <c r="N657">
        <f>_xlfn.NUMBERVALUE("0.000000")</f>
        <v/>
      </c>
      <c r="O657">
        <f>_xlfn.NUMBERVALUE("-0.000093")</f>
        <v/>
      </c>
      <c r="P657">
        <f>_xlfn.NUMBERVALUE("0.000275")</f>
        <v/>
      </c>
      <c r="Q657">
        <f>_xlfn.NUMBERVALUE("-0.000370")</f>
        <v/>
      </c>
      <c r="R657">
        <f>_xlfn.NUMBERVALUE("0.000112")</f>
        <v/>
      </c>
      <c r="S657">
        <f>_xlfn.NUMBERVALUE("-0.000373")</f>
        <v/>
      </c>
      <c r="T657">
        <f>_xlfn.NUMBERVALUE("0.000324")</f>
        <v/>
      </c>
      <c r="U657">
        <f>_xlfn.NUMBERVALUE("-0.001085")</f>
        <v/>
      </c>
      <c r="V657">
        <f>_xlfn.NUMBERVALUE("-0.001013")</f>
        <v/>
      </c>
      <c r="W657">
        <f>_xlfn.NUMBERVALUE("-0.002211")</f>
        <v/>
      </c>
      <c r="X657">
        <f>_xlfn.NUMBERVALUE("1.030000")</f>
        <v/>
      </c>
      <c r="Y657">
        <f>_xlfn.NUMBERVALUE("10.960000")</f>
        <v/>
      </c>
    </row>
    <row r="658">
      <c r="A658" s="1" t="n">
        <v>42956</v>
      </c>
      <c r="B658">
        <f>_xlfn.NUMBERVALUE("0.000000")</f>
        <v/>
      </c>
      <c r="C658" s="2">
        <f>_xlfn.NUMBERVALUE("-0.000074")</f>
        <v/>
      </c>
      <c r="D658">
        <f>_xlfn.NUMBERVALUE("-0.001931")</f>
        <v/>
      </c>
      <c r="E658">
        <f>_xlfn.NUMBERVALUE("-0.000801")</f>
        <v/>
      </c>
      <c r="F658">
        <f>_xlfn.NUMBERVALUE("-0.004405")</f>
        <v/>
      </c>
      <c r="G658">
        <f>_xlfn.NUMBERVALUE("-0.002233")</f>
        <v/>
      </c>
      <c r="H658">
        <f>_xlfn.NUMBERVALUE("-0.000985")</f>
        <v/>
      </c>
      <c r="I658">
        <f>_xlfn.NUMBERVALUE("-0.001261")</f>
        <v/>
      </c>
      <c r="J658">
        <f>_xlfn.NUMBERVALUE("0.000070")</f>
        <v/>
      </c>
      <c r="K658">
        <f>_xlfn.NUMBERVALUE("-0.008683")</f>
        <v/>
      </c>
      <c r="L658">
        <f>_xlfn.NUMBERVALUE("-0.000886")</f>
        <v/>
      </c>
      <c r="M658">
        <f>_xlfn.NUMBERVALUE("-0.002324")</f>
        <v/>
      </c>
      <c r="N658">
        <f>_xlfn.NUMBERVALUE("0.000000")</f>
        <v/>
      </c>
      <c r="O658">
        <f>_xlfn.NUMBERVALUE("-0.000462")</f>
        <v/>
      </c>
      <c r="P658">
        <f>_xlfn.NUMBERVALUE("-0.000216")</f>
        <v/>
      </c>
      <c r="Q658">
        <f>_xlfn.NUMBERVALUE("-0.001321")</f>
        <v/>
      </c>
      <c r="R658">
        <f>_xlfn.NUMBERVALUE("-0.000845")</f>
        <v/>
      </c>
      <c r="S658">
        <f>_xlfn.NUMBERVALUE("0.000187")</f>
        <v/>
      </c>
      <c r="T658">
        <f>_xlfn.NUMBERVALUE("-0.000552")</f>
        <v/>
      </c>
      <c r="U658">
        <f>_xlfn.NUMBERVALUE("-0.000455")</f>
        <v/>
      </c>
      <c r="V658">
        <f>_xlfn.NUMBERVALUE("-0.000318")</f>
        <v/>
      </c>
      <c r="W658">
        <f>_xlfn.NUMBERVALUE("-0.000485")</f>
        <v/>
      </c>
      <c r="X658">
        <f>_xlfn.NUMBERVALUE("0.150000")</f>
        <v/>
      </c>
      <c r="Y658">
        <f>_xlfn.NUMBERVALUE("11.110000")</f>
        <v/>
      </c>
    </row>
    <row r="659">
      <c r="A659" s="1" t="n">
        <v>42957</v>
      </c>
      <c r="B659">
        <f>_xlfn.NUMBERVALUE("0.000000")</f>
        <v/>
      </c>
      <c r="C659" s="2">
        <f>_xlfn.NUMBERVALUE("-0.003283")</f>
        <v/>
      </c>
      <c r="D659">
        <f>_xlfn.NUMBERVALUE("-0.010432")</f>
        <v/>
      </c>
      <c r="E659">
        <f>_xlfn.NUMBERVALUE("-0.005101")</f>
        <v/>
      </c>
      <c r="F659">
        <f>_xlfn.NUMBERVALUE("-0.001561")</f>
        <v/>
      </c>
      <c r="G659">
        <f>_xlfn.NUMBERVALUE("-0.000260")</f>
        <v/>
      </c>
      <c r="H659">
        <f>_xlfn.NUMBERVALUE("-0.000254")</f>
        <v/>
      </c>
      <c r="I659">
        <f>_xlfn.NUMBERVALUE("-0.003153")</f>
        <v/>
      </c>
      <c r="J659">
        <f>_xlfn.NUMBERVALUE("-0.000955")</f>
        <v/>
      </c>
      <c r="K659">
        <f>_xlfn.NUMBERVALUE("-0.002144")</f>
        <v/>
      </c>
      <c r="L659">
        <f>_xlfn.NUMBERVALUE("-0.001108")</f>
        <v/>
      </c>
      <c r="M659">
        <f>_xlfn.NUMBERVALUE("-0.004907")</f>
        <v/>
      </c>
      <c r="N659">
        <f>_xlfn.NUMBERVALUE("0.000000")</f>
        <v/>
      </c>
      <c r="O659">
        <f>_xlfn.NUMBERVALUE("-0.003140")</f>
        <v/>
      </c>
      <c r="P659">
        <f>_xlfn.NUMBERVALUE("-0.003493")</f>
        <v/>
      </c>
      <c r="Q659">
        <f>_xlfn.NUMBERVALUE("-0.005529")</f>
        <v/>
      </c>
      <c r="R659">
        <f>_xlfn.NUMBERVALUE("-0.005996")</f>
        <v/>
      </c>
      <c r="S659">
        <f>_xlfn.NUMBERVALUE("-0.001929")</f>
        <v/>
      </c>
      <c r="T659">
        <f>_xlfn.NUMBERVALUE("-0.001677")</f>
        <v/>
      </c>
      <c r="U659">
        <f>_xlfn.NUMBERVALUE("-0.005299")</f>
        <v/>
      </c>
      <c r="V659">
        <f>_xlfn.NUMBERVALUE("-0.004879")</f>
        <v/>
      </c>
      <c r="W659">
        <f>_xlfn.NUMBERVALUE("-0.012916")</f>
        <v/>
      </c>
      <c r="X659">
        <f>_xlfn.NUMBERVALUE("4.930000")</f>
        <v/>
      </c>
      <c r="Y659">
        <f>_xlfn.NUMBERVALUE("16.040000")</f>
        <v/>
      </c>
    </row>
    <row r="660">
      <c r="A660" s="1" t="n">
        <v>42958</v>
      </c>
      <c r="B660">
        <f>_xlfn.NUMBERVALUE("0.000000")</f>
        <v/>
      </c>
      <c r="C660" s="2">
        <f>_xlfn.NUMBERVALUE("0.001099")</f>
        <v/>
      </c>
      <c r="D660">
        <f>_xlfn.NUMBERVALUE("0.001363")</f>
        <v/>
      </c>
      <c r="E660">
        <f>_xlfn.NUMBERVALUE("-0.000427")</f>
        <v/>
      </c>
      <c r="F660">
        <f>_xlfn.NUMBERVALUE("0.000377")</f>
        <v/>
      </c>
      <c r="G660">
        <f>_xlfn.NUMBERVALUE("-0.000149")</f>
        <v/>
      </c>
      <c r="H660">
        <f>_xlfn.NUMBERVALUE("0.000170")</f>
        <v/>
      </c>
      <c r="I660">
        <f>_xlfn.NUMBERVALUE("0.000710")</f>
        <v/>
      </c>
      <c r="J660">
        <f>_xlfn.NUMBERVALUE("0.000927")</f>
        <v/>
      </c>
      <c r="K660">
        <f>_xlfn.NUMBERVALUE("0.001269")</f>
        <v/>
      </c>
      <c r="L660">
        <f>_xlfn.NUMBERVALUE("0.000548")</f>
        <v/>
      </c>
      <c r="M660">
        <f>_xlfn.NUMBERVALUE("-0.000308")</f>
        <v/>
      </c>
      <c r="N660">
        <f>_xlfn.NUMBERVALUE("0.000000")</f>
        <v/>
      </c>
      <c r="O660">
        <f>_xlfn.NUMBERVALUE("0.001616")</f>
        <v/>
      </c>
      <c r="P660">
        <f>_xlfn.NUMBERVALUE("-0.000015")</f>
        <v/>
      </c>
      <c r="Q660">
        <f>_xlfn.NUMBERVALUE("0.000761")</f>
        <v/>
      </c>
      <c r="R660">
        <f>_xlfn.NUMBERVALUE("0.000044")</f>
        <v/>
      </c>
      <c r="S660">
        <f>_xlfn.NUMBERVALUE("-0.000200")</f>
        <v/>
      </c>
      <c r="T660">
        <f>_xlfn.NUMBERVALUE("0.000909")</f>
        <v/>
      </c>
      <c r="U660">
        <f>_xlfn.NUMBERVALUE("-0.000047")</f>
        <v/>
      </c>
      <c r="V660">
        <f>_xlfn.NUMBERVALUE("0.000423")</f>
        <v/>
      </c>
      <c r="W660">
        <f>_xlfn.NUMBERVALUE("0.001361")</f>
        <v/>
      </c>
      <c r="X660">
        <f>_xlfn.NUMBERVALUE("-0.530000")</f>
        <v/>
      </c>
      <c r="Y660">
        <f>_xlfn.NUMBERVALUE("15.510000")</f>
        <v/>
      </c>
    </row>
    <row r="661">
      <c r="A661" s="1" t="n">
        <v>42961</v>
      </c>
      <c r="B661">
        <f>_xlfn.NUMBERVALUE("0.000000")</f>
        <v/>
      </c>
      <c r="C661" s="2">
        <f>_xlfn.NUMBERVALUE("0.002959")</f>
        <v/>
      </c>
      <c r="D661">
        <f>_xlfn.NUMBERVALUE("0.006719")</f>
        <v/>
      </c>
      <c r="E661">
        <f>_xlfn.NUMBERVALUE("0.003092")</f>
        <v/>
      </c>
      <c r="F661">
        <f>_xlfn.NUMBERVALUE("0.002389")</f>
        <v/>
      </c>
      <c r="G661">
        <f>_xlfn.NUMBERVALUE("0.000910")</f>
        <v/>
      </c>
      <c r="H661">
        <f>_xlfn.NUMBERVALUE("0.001295")</f>
        <v/>
      </c>
      <c r="I661">
        <f>_xlfn.NUMBERVALUE("0.001921")</f>
        <v/>
      </c>
      <c r="J661">
        <f>_xlfn.NUMBERVALUE("0.001100")</f>
        <v/>
      </c>
      <c r="K661">
        <f>_xlfn.NUMBERVALUE("0.002246")</f>
        <v/>
      </c>
      <c r="L661">
        <f>_xlfn.NUMBERVALUE("0.001913")</f>
        <v/>
      </c>
      <c r="M661">
        <f>_xlfn.NUMBERVALUE("0.003811")</f>
        <v/>
      </c>
      <c r="N661">
        <f>_xlfn.NUMBERVALUE("0.000000")</f>
        <v/>
      </c>
      <c r="O661">
        <f>_xlfn.NUMBERVALUE("0.004196")</f>
        <v/>
      </c>
      <c r="P661">
        <f>_xlfn.NUMBERVALUE("0.003252")</f>
        <v/>
      </c>
      <c r="Q661">
        <f>_xlfn.NUMBERVALUE("0.004267")</f>
        <v/>
      </c>
      <c r="R661">
        <f>_xlfn.NUMBERVALUE("0.002208")</f>
        <v/>
      </c>
      <c r="S661">
        <f>_xlfn.NUMBERVALUE("0.003027")</f>
        <v/>
      </c>
      <c r="T661">
        <f>_xlfn.NUMBERVALUE("0.001450")</f>
        <v/>
      </c>
      <c r="U661">
        <f>_xlfn.NUMBERVALUE("0.002590")</f>
        <v/>
      </c>
      <c r="V661">
        <f>_xlfn.NUMBERVALUE("0.002317")</f>
        <v/>
      </c>
      <c r="W661">
        <f>_xlfn.NUMBERVALUE("0.009170")</f>
        <v/>
      </c>
      <c r="X661">
        <f>_xlfn.NUMBERVALUE("-3.180000")</f>
        <v/>
      </c>
      <c r="Y661">
        <f>_xlfn.NUMBERVALUE("12.330000")</f>
        <v/>
      </c>
    </row>
    <row r="662">
      <c r="A662" s="1" t="n">
        <v>42962</v>
      </c>
      <c r="B662">
        <f>_xlfn.NUMBERVALUE("0.000000")</f>
        <v/>
      </c>
      <c r="C662" s="2">
        <f>_xlfn.NUMBERVALUE("0.001384")</f>
        <v/>
      </c>
      <c r="D662">
        <f>_xlfn.NUMBERVALUE("0.002179")</f>
        <v/>
      </c>
      <c r="E662">
        <f>_xlfn.NUMBERVALUE("0.001907")</f>
        <v/>
      </c>
      <c r="F662">
        <f>_xlfn.NUMBERVALUE("-0.000597")</f>
        <v/>
      </c>
      <c r="G662">
        <f>_xlfn.NUMBERVALUE("0.000242")</f>
        <v/>
      </c>
      <c r="H662">
        <f>_xlfn.NUMBERVALUE("-0.000139")</f>
        <v/>
      </c>
      <c r="I662">
        <f>_xlfn.NUMBERVALUE("0.001586")</f>
        <v/>
      </c>
      <c r="J662">
        <f>_xlfn.NUMBERVALUE("-0.000164")</f>
        <v/>
      </c>
      <c r="K662">
        <f>_xlfn.NUMBERVALUE("-0.004158")</f>
        <v/>
      </c>
      <c r="L662">
        <f>_xlfn.NUMBERVALUE("0.000631")</f>
        <v/>
      </c>
      <c r="M662">
        <f>_xlfn.NUMBERVALUE("0.001772")</f>
        <v/>
      </c>
      <c r="N662">
        <f>_xlfn.NUMBERVALUE("0.000000")</f>
        <v/>
      </c>
      <c r="O662">
        <f>_xlfn.NUMBERVALUE("0.001307")</f>
        <v/>
      </c>
      <c r="P662">
        <f>_xlfn.NUMBERVALUE("0.000188")</f>
        <v/>
      </c>
      <c r="Q662">
        <f>_xlfn.NUMBERVALUE("0.000529")</f>
        <v/>
      </c>
      <c r="R662">
        <f>_xlfn.NUMBERVALUE("0.000558")</f>
        <v/>
      </c>
      <c r="S662">
        <f>_xlfn.NUMBERVALUE("-0.000226")</f>
        <v/>
      </c>
      <c r="T662">
        <f>_xlfn.NUMBERVALUE("-0.000164")</f>
        <v/>
      </c>
      <c r="U662">
        <f>_xlfn.NUMBERVALUE("0.001905")</f>
        <v/>
      </c>
      <c r="V662">
        <f>_xlfn.NUMBERVALUE("0.001228")</f>
        <v/>
      </c>
      <c r="W662">
        <f>_xlfn.NUMBERVALUE("0.001237")</f>
        <v/>
      </c>
      <c r="X662">
        <f>_xlfn.NUMBERVALUE("-0.290000")</f>
        <v/>
      </c>
      <c r="Y662">
        <f>_xlfn.NUMBERVALUE("12.040000")</f>
        <v/>
      </c>
    </row>
    <row r="663">
      <c r="A663" s="1" t="n">
        <v>42963</v>
      </c>
      <c r="B663">
        <f>_xlfn.NUMBERVALUE("0.000000")</f>
        <v/>
      </c>
      <c r="C663" s="2">
        <f>_xlfn.NUMBERVALUE("0.000619")</f>
        <v/>
      </c>
      <c r="D663">
        <f>_xlfn.NUMBERVALUE("0.000433")</f>
        <v/>
      </c>
      <c r="E663">
        <f>_xlfn.NUMBERVALUE("0.000091")</f>
        <v/>
      </c>
      <c r="F663">
        <f>_xlfn.NUMBERVALUE("-0.000738")</f>
        <v/>
      </c>
      <c r="G663">
        <f>_xlfn.NUMBERVALUE("0.000400")</f>
        <v/>
      </c>
      <c r="H663">
        <f>_xlfn.NUMBERVALUE("0.000250")</f>
        <v/>
      </c>
      <c r="I663">
        <f>_xlfn.NUMBERVALUE("0.000753")</f>
        <v/>
      </c>
      <c r="J663">
        <f>_xlfn.NUMBERVALUE("0.000266")</f>
        <v/>
      </c>
      <c r="K663">
        <f>_xlfn.NUMBERVALUE("-0.006226")</f>
        <v/>
      </c>
      <c r="L663">
        <f>_xlfn.NUMBERVALUE("0.000520")</f>
        <v/>
      </c>
      <c r="M663">
        <f>_xlfn.NUMBERVALUE("0.001352")</f>
        <v/>
      </c>
      <c r="N663">
        <f>_xlfn.NUMBERVALUE("0.000000")</f>
        <v/>
      </c>
      <c r="O663">
        <f>_xlfn.NUMBERVALUE("0.000941")</f>
        <v/>
      </c>
      <c r="P663">
        <f>_xlfn.NUMBERVALUE("0.000059")</f>
        <v/>
      </c>
      <c r="Q663">
        <f>_xlfn.NUMBERVALUE("0.002380")</f>
        <v/>
      </c>
      <c r="R663">
        <f>_xlfn.NUMBERVALUE("0.001126")</f>
        <v/>
      </c>
      <c r="S663">
        <f>_xlfn.NUMBERVALUE("0.000602")</f>
        <v/>
      </c>
      <c r="T663">
        <f>_xlfn.NUMBERVALUE("0.000052")</f>
        <v/>
      </c>
      <c r="U663">
        <f>_xlfn.NUMBERVALUE("0.000799")</f>
        <v/>
      </c>
      <c r="V663">
        <f>_xlfn.NUMBERVALUE("0.000594")</f>
        <v/>
      </c>
      <c r="W663">
        <f>_xlfn.NUMBERVALUE("0.000020")</f>
        <v/>
      </c>
      <c r="X663">
        <f>_xlfn.NUMBERVALUE("-0.300000")</f>
        <v/>
      </c>
      <c r="Y663">
        <f>_xlfn.NUMBERVALUE("11.740000")</f>
        <v/>
      </c>
    </row>
    <row r="664">
      <c r="A664" s="1" t="n">
        <v>42964</v>
      </c>
      <c r="B664">
        <f>_xlfn.NUMBERVALUE("0.000000")</f>
        <v/>
      </c>
      <c r="C664" s="2">
        <f>_xlfn.NUMBERVALUE("-0.004132")</f>
        <v/>
      </c>
      <c r="D664">
        <f>_xlfn.NUMBERVALUE("-0.006903")</f>
        <v/>
      </c>
      <c r="E664">
        <f>_xlfn.NUMBERVALUE("-0.002223")</f>
        <v/>
      </c>
      <c r="F664">
        <f>_xlfn.NUMBERVALUE("-0.000458")</f>
        <v/>
      </c>
      <c r="G664">
        <f>_xlfn.NUMBERVALUE("-0.001107")</f>
        <v/>
      </c>
      <c r="H664">
        <f>_xlfn.NUMBERVALUE("-0.000758")</f>
        <v/>
      </c>
      <c r="I664">
        <f>_xlfn.NUMBERVALUE("-0.002334")</f>
        <v/>
      </c>
      <c r="J664">
        <f>_xlfn.NUMBERVALUE("-0.000146")</f>
        <v/>
      </c>
      <c r="K664">
        <f>_xlfn.NUMBERVALUE("0.001164")</f>
        <v/>
      </c>
      <c r="L664">
        <f>_xlfn.NUMBERVALUE("-0.000754")</f>
        <v/>
      </c>
      <c r="M664">
        <f>_xlfn.NUMBERVALUE("-0.003665")</f>
        <v/>
      </c>
      <c r="N664">
        <f>_xlfn.NUMBERVALUE("0.000000")</f>
        <v/>
      </c>
      <c r="O664">
        <f>_xlfn.NUMBERVALUE("-0.001750")</f>
        <v/>
      </c>
      <c r="P664">
        <f>_xlfn.NUMBERVALUE("-0.004445")</f>
        <v/>
      </c>
      <c r="Q664">
        <f>_xlfn.NUMBERVALUE("-0.005900")</f>
        <v/>
      </c>
      <c r="R664">
        <f>_xlfn.NUMBERVALUE("-0.005588")</f>
        <v/>
      </c>
      <c r="S664">
        <f>_xlfn.NUMBERVALUE("-0.002781")</f>
        <v/>
      </c>
      <c r="T664">
        <f>_xlfn.NUMBERVALUE("-0.001023")</f>
        <v/>
      </c>
      <c r="U664">
        <f>_xlfn.NUMBERVALUE("-0.003675")</f>
        <v/>
      </c>
      <c r="V664">
        <f>_xlfn.NUMBERVALUE("-0.005349")</f>
        <v/>
      </c>
      <c r="W664">
        <f>_xlfn.NUMBERVALUE("-0.013613")</f>
        <v/>
      </c>
      <c r="X664">
        <f>_xlfn.NUMBERVALUE("3.810000")</f>
        <v/>
      </c>
      <c r="Y664">
        <f>_xlfn.NUMBERVALUE("15.550000")</f>
        <v/>
      </c>
    </row>
    <row r="665">
      <c r="A665" s="1" t="n">
        <v>42965</v>
      </c>
      <c r="B665">
        <f>_xlfn.NUMBERVALUE("0.000000")</f>
        <v/>
      </c>
      <c r="C665" s="2">
        <f>_xlfn.NUMBERVALUE("0.000565")</f>
        <v/>
      </c>
      <c r="D665">
        <f>_xlfn.NUMBERVALUE("0.001316")</f>
        <v/>
      </c>
      <c r="E665">
        <f>_xlfn.NUMBERVALUE("0.000465")</f>
        <v/>
      </c>
      <c r="F665">
        <f>_xlfn.NUMBERVALUE("0.000205")</f>
        <v/>
      </c>
      <c r="G665">
        <f>_xlfn.NUMBERVALUE("-0.000230")</f>
        <v/>
      </c>
      <c r="H665">
        <f>_xlfn.NUMBERVALUE("0.000021")</f>
        <v/>
      </c>
      <c r="I665">
        <f>_xlfn.NUMBERVALUE("0.000244")</f>
        <v/>
      </c>
      <c r="J665">
        <f>_xlfn.NUMBERVALUE("0.000494")</f>
        <v/>
      </c>
      <c r="K665">
        <f>_xlfn.NUMBERVALUE("0.000278")</f>
        <v/>
      </c>
      <c r="L665">
        <f>_xlfn.NUMBERVALUE("0.000618")</f>
        <v/>
      </c>
      <c r="M665">
        <f>_xlfn.NUMBERVALUE("0.000091")</f>
        <v/>
      </c>
      <c r="N665">
        <f>_xlfn.NUMBERVALUE("0.000000")</f>
        <v/>
      </c>
      <c r="O665">
        <f>_xlfn.NUMBERVALUE("0.000830")</f>
        <v/>
      </c>
      <c r="P665">
        <f>_xlfn.NUMBERVALUE("0.002081")</f>
        <v/>
      </c>
      <c r="Q665">
        <f>_xlfn.NUMBERVALUE("0.000376")</f>
        <v/>
      </c>
      <c r="R665">
        <f>_xlfn.NUMBERVALUE("0.001122")</f>
        <v/>
      </c>
      <c r="S665">
        <f>_xlfn.NUMBERVALUE("0.000634")</f>
        <v/>
      </c>
      <c r="T665">
        <f>_xlfn.NUMBERVALUE("-0.002320")</f>
        <v/>
      </c>
      <c r="U665">
        <f>_xlfn.NUMBERVALUE("0.000309")</f>
        <v/>
      </c>
      <c r="V665">
        <f>_xlfn.NUMBERVALUE("0.000608")</f>
        <v/>
      </c>
      <c r="W665">
        <f>_xlfn.NUMBERVALUE("-0.000863")</f>
        <v/>
      </c>
      <c r="X665">
        <f>_xlfn.NUMBERVALUE("-1.290000")</f>
        <v/>
      </c>
      <c r="Y665">
        <f>_xlfn.NUMBERVALUE("14.260000")</f>
        <v/>
      </c>
    </row>
    <row r="666">
      <c r="A666" s="1" t="n">
        <v>42968</v>
      </c>
      <c r="B666">
        <f>_xlfn.NUMBERVALUE("0.000000")</f>
        <v/>
      </c>
      <c r="C666" s="2">
        <f>_xlfn.NUMBERVALUE("0.001768")</f>
        <v/>
      </c>
      <c r="D666">
        <f>_xlfn.NUMBERVALUE("0.002529")</f>
        <v/>
      </c>
      <c r="E666">
        <f>_xlfn.NUMBERVALUE("0.000557")</f>
        <v/>
      </c>
      <c r="F666">
        <f>_xlfn.NUMBERVALUE("0.000398")</f>
        <v/>
      </c>
      <c r="G666">
        <f>_xlfn.NUMBERVALUE("-0.000102")</f>
        <v/>
      </c>
      <c r="H666">
        <f>_xlfn.NUMBERVALUE("0.000206")</f>
        <v/>
      </c>
      <c r="I666">
        <f>_xlfn.NUMBERVALUE("0.000313")</f>
        <v/>
      </c>
      <c r="J666">
        <f>_xlfn.NUMBERVALUE("0.000301")</f>
        <v/>
      </c>
      <c r="K666">
        <f>_xlfn.NUMBERVALUE("0.003010")</f>
        <v/>
      </c>
      <c r="L666">
        <f>_xlfn.NUMBERVALUE("0.000801")</f>
        <v/>
      </c>
      <c r="M666">
        <f>_xlfn.NUMBERVALUE("0.002056")</f>
        <v/>
      </c>
      <c r="N666">
        <f>_xlfn.NUMBERVALUE("0.000000")</f>
        <v/>
      </c>
      <c r="O666">
        <f>_xlfn.NUMBERVALUE("0.000642")</f>
        <v/>
      </c>
      <c r="P666">
        <f>_xlfn.NUMBERVALUE("-0.000087")</f>
        <v/>
      </c>
      <c r="Q666">
        <f>_xlfn.NUMBERVALUE("0.001087")</f>
        <v/>
      </c>
      <c r="R666">
        <f>_xlfn.NUMBERVALUE("0.001863")</f>
        <v/>
      </c>
      <c r="S666">
        <f>_xlfn.NUMBERVALUE("0.000980")</f>
        <v/>
      </c>
      <c r="T666">
        <f>_xlfn.NUMBERVALUE("0.001043")</f>
        <v/>
      </c>
      <c r="U666">
        <f>_xlfn.NUMBERVALUE("0.000434")</f>
        <v/>
      </c>
      <c r="V666">
        <f>_xlfn.NUMBERVALUE("0.000999")</f>
        <v/>
      </c>
      <c r="W666">
        <f>_xlfn.NUMBERVALUE("-0.000826")</f>
        <v/>
      </c>
      <c r="X666">
        <f>_xlfn.NUMBERVALUE("-1.070000")</f>
        <v/>
      </c>
      <c r="Y666">
        <f>_xlfn.NUMBERVALUE("13.190000")</f>
        <v/>
      </c>
    </row>
    <row r="667">
      <c r="A667" s="1" t="n">
        <v>42969</v>
      </c>
      <c r="B667">
        <f>_xlfn.NUMBERVALUE("0.000000")</f>
        <v/>
      </c>
      <c r="C667" s="2">
        <f>_xlfn.NUMBERVALUE("-0.000258")</f>
        <v/>
      </c>
      <c r="D667">
        <f>_xlfn.NUMBERVALUE("-0.000564")</f>
        <v/>
      </c>
      <c r="E667">
        <f>_xlfn.NUMBERVALUE("0.000324")</f>
        <v/>
      </c>
      <c r="F667">
        <f>_xlfn.NUMBERVALUE("0.000763")</f>
        <v/>
      </c>
      <c r="G667">
        <f>_xlfn.NUMBERVALUE("0.000791")</f>
        <v/>
      </c>
      <c r="H667">
        <f>_xlfn.NUMBERVALUE("0.000689")</f>
        <v/>
      </c>
      <c r="I667">
        <f>_xlfn.NUMBERVALUE("0.000365")</f>
        <v/>
      </c>
      <c r="J667">
        <f>_xlfn.NUMBERVALUE("0.000225")</f>
        <v/>
      </c>
      <c r="K667">
        <f>_xlfn.NUMBERVALUE("0.001046")</f>
        <v/>
      </c>
      <c r="L667">
        <f>_xlfn.NUMBERVALUE("0.000661")</f>
        <v/>
      </c>
      <c r="M667">
        <f>_xlfn.NUMBERVALUE("0.000768")</f>
        <v/>
      </c>
      <c r="N667">
        <f>_xlfn.NUMBERVALUE("0.000000")</f>
        <v/>
      </c>
      <c r="O667">
        <f>_xlfn.NUMBERVALUE("0.000037")</f>
        <v/>
      </c>
      <c r="P667">
        <f>_xlfn.NUMBERVALUE("0.002178")</f>
        <v/>
      </c>
      <c r="Q667">
        <f>_xlfn.NUMBERVALUE("0.000520")</f>
        <v/>
      </c>
      <c r="R667">
        <f>_xlfn.NUMBERVALUE("-0.001352")</f>
        <v/>
      </c>
      <c r="S667">
        <f>_xlfn.NUMBERVALUE("0.001443")</f>
        <v/>
      </c>
      <c r="T667">
        <f>_xlfn.NUMBERVALUE("0.001107")</f>
        <v/>
      </c>
      <c r="U667">
        <f>_xlfn.NUMBERVALUE("0.000911")</f>
        <v/>
      </c>
      <c r="V667">
        <f>_xlfn.NUMBERVALUE("-0.000228")</f>
        <v/>
      </c>
      <c r="W667">
        <f>_xlfn.NUMBERVALUE("0.010043")</f>
        <v/>
      </c>
      <c r="X667">
        <f>_xlfn.NUMBERVALUE("-1.840000")</f>
        <v/>
      </c>
      <c r="Y667">
        <f>_xlfn.NUMBERVALUE("11.350000")</f>
        <v/>
      </c>
    </row>
    <row r="668">
      <c r="A668" s="1" t="n">
        <v>42970</v>
      </c>
      <c r="B668">
        <f>_xlfn.NUMBERVALUE("0.000000")</f>
        <v/>
      </c>
      <c r="C668" s="2">
        <f>_xlfn.NUMBERVALUE("0.000308")</f>
        <v/>
      </c>
      <c r="D668">
        <f>_xlfn.NUMBERVALUE("-0.000000")</f>
        <v/>
      </c>
      <c r="E668">
        <f>_xlfn.NUMBERVALUE("0.000031")</f>
        <v/>
      </c>
      <c r="F668">
        <f>_xlfn.NUMBERVALUE("-0.000578")</f>
        <v/>
      </c>
      <c r="G668">
        <f>_xlfn.NUMBERVALUE("0.000806")</f>
        <v/>
      </c>
      <c r="H668">
        <f>_xlfn.NUMBERVALUE("-0.000851")</f>
        <v/>
      </c>
      <c r="I668">
        <f>_xlfn.NUMBERVALUE("0.000052")</f>
        <v/>
      </c>
      <c r="J668">
        <f>_xlfn.NUMBERVALUE("-0.000443")</f>
        <v/>
      </c>
      <c r="K668">
        <f>_xlfn.NUMBERVALUE("0.000195")</f>
        <v/>
      </c>
      <c r="L668">
        <f>_xlfn.NUMBERVALUE("-0.000902")</f>
        <v/>
      </c>
      <c r="M668">
        <f>_xlfn.NUMBERVALUE("0.001009")</f>
        <v/>
      </c>
      <c r="N668">
        <f>_xlfn.NUMBERVALUE("0.000000")</f>
        <v/>
      </c>
      <c r="O668">
        <f>_xlfn.NUMBERVALUE("0.000860")</f>
        <v/>
      </c>
      <c r="P668">
        <f>_xlfn.NUMBERVALUE("0.000205")</f>
        <v/>
      </c>
      <c r="Q668">
        <f>_xlfn.NUMBERVALUE("-0.000853")</f>
        <v/>
      </c>
      <c r="R668">
        <f>_xlfn.NUMBERVALUE("0.000983")</f>
        <v/>
      </c>
      <c r="S668">
        <f>_xlfn.NUMBERVALUE("0.000674")</f>
        <v/>
      </c>
      <c r="T668">
        <f>_xlfn.NUMBERVALUE("0.000374")</f>
        <v/>
      </c>
      <c r="U668">
        <f>_xlfn.NUMBERVALUE("-0.001158")</f>
        <v/>
      </c>
      <c r="V668">
        <f>_xlfn.NUMBERVALUE("0.000301")</f>
        <v/>
      </c>
      <c r="W668">
        <f>_xlfn.NUMBERVALUE("-0.002794")</f>
        <v/>
      </c>
      <c r="X668">
        <f>_xlfn.NUMBERVALUE("0.900000")</f>
        <v/>
      </c>
      <c r="Y668">
        <f>_xlfn.NUMBERVALUE("12.250000")</f>
        <v/>
      </c>
    </row>
    <row r="669">
      <c r="A669" s="1" t="n">
        <v>42971</v>
      </c>
      <c r="B669">
        <f>_xlfn.NUMBERVALUE("0.000000")</f>
        <v/>
      </c>
      <c r="C669" s="2">
        <f>_xlfn.NUMBERVALUE("0.000334")</f>
        <v/>
      </c>
      <c r="D669">
        <f>_xlfn.NUMBERVALUE("0.000227")</f>
        <v/>
      </c>
      <c r="E669">
        <f>_xlfn.NUMBERVALUE("0.000149")</f>
        <v/>
      </c>
      <c r="F669">
        <f>_xlfn.NUMBERVALUE("0.000811")</f>
        <v/>
      </c>
      <c r="G669">
        <f>_xlfn.NUMBERVALUE("-0.000885")</f>
        <v/>
      </c>
      <c r="H669">
        <f>_xlfn.NUMBERVALUE("0.000785")</f>
        <v/>
      </c>
      <c r="I669">
        <f>_xlfn.NUMBERVALUE("0.000071")</f>
        <v/>
      </c>
      <c r="J669">
        <f>_xlfn.NUMBERVALUE("0.000104")</f>
        <v/>
      </c>
      <c r="K669">
        <f>_xlfn.NUMBERVALUE("0.000284")</f>
        <v/>
      </c>
      <c r="L669">
        <f>_xlfn.NUMBERVALUE("0.000996")</f>
        <v/>
      </c>
      <c r="M669">
        <f>_xlfn.NUMBERVALUE("0.000807")</f>
        <v/>
      </c>
      <c r="N669">
        <f>_xlfn.NUMBERVALUE("0.000000")</f>
        <v/>
      </c>
      <c r="O669">
        <f>_xlfn.NUMBERVALUE("0.000556")</f>
        <v/>
      </c>
      <c r="P669">
        <f>_xlfn.NUMBERVALUE("0.000197")</f>
        <v/>
      </c>
      <c r="Q669">
        <f>_xlfn.NUMBERVALUE("-0.000291")</f>
        <v/>
      </c>
      <c r="R669">
        <f>_xlfn.NUMBERVALUE("0.000524")</f>
        <v/>
      </c>
      <c r="S669">
        <f>_xlfn.NUMBERVALUE("-0.004111")</f>
        <v/>
      </c>
      <c r="T669">
        <f>_xlfn.NUMBERVALUE("0.000825")</f>
        <v/>
      </c>
      <c r="U669">
        <f>_xlfn.NUMBERVALUE("0.000464")</f>
        <v/>
      </c>
      <c r="V669">
        <f>_xlfn.NUMBERVALUE("-0.000084")</f>
        <v/>
      </c>
      <c r="W669">
        <f>_xlfn.NUMBERVALUE("-0.002957")</f>
        <v/>
      </c>
      <c r="X669">
        <f>_xlfn.NUMBERVALUE("-0.020000")</f>
        <v/>
      </c>
      <c r="Y669">
        <f>_xlfn.NUMBERVALUE("12.230000")</f>
        <v/>
      </c>
    </row>
    <row r="670">
      <c r="A670" s="1" t="n">
        <v>42972</v>
      </c>
      <c r="B670">
        <f>_xlfn.NUMBERVALUE("0.000000")</f>
        <v/>
      </c>
      <c r="C670" s="2">
        <f>_xlfn.NUMBERVALUE("0.001269")</f>
        <v/>
      </c>
      <c r="D670">
        <f>_xlfn.NUMBERVALUE("-0.000007")</f>
        <v/>
      </c>
      <c r="E670">
        <f>_xlfn.NUMBERVALUE("0.000515")</f>
        <v/>
      </c>
      <c r="F670">
        <f>_xlfn.NUMBERVALUE("0.000047")</f>
        <v/>
      </c>
      <c r="G670">
        <f>_xlfn.NUMBERVALUE("0.000118")</f>
        <v/>
      </c>
      <c r="H670">
        <f>_xlfn.NUMBERVALUE("-0.000192")</f>
        <v/>
      </c>
      <c r="I670">
        <f>_xlfn.NUMBERVALUE("0.000710")</f>
        <v/>
      </c>
      <c r="J670">
        <f>_xlfn.NUMBERVALUE("0.000121")</f>
        <v/>
      </c>
      <c r="K670">
        <f>_xlfn.NUMBERVALUE("0.000172")</f>
        <v/>
      </c>
      <c r="L670">
        <f>_xlfn.NUMBERVALUE("0.000872")</f>
        <v/>
      </c>
      <c r="M670">
        <f>_xlfn.NUMBERVALUE("0.001992")</f>
        <v/>
      </c>
      <c r="N670">
        <f>_xlfn.NUMBERVALUE("0.000000")</f>
        <v/>
      </c>
      <c r="O670">
        <f>_xlfn.NUMBERVALUE("0.000709")</f>
        <v/>
      </c>
      <c r="P670">
        <f>_xlfn.NUMBERVALUE("0.000231")</f>
        <v/>
      </c>
      <c r="Q670">
        <f>_xlfn.NUMBERVALUE("0.000338")</f>
        <v/>
      </c>
      <c r="R670">
        <f>_xlfn.NUMBERVALUE("0.001865")</f>
        <v/>
      </c>
      <c r="S670">
        <f>_xlfn.NUMBERVALUE("0.000720")</f>
        <v/>
      </c>
      <c r="T670">
        <f>_xlfn.NUMBERVALUE("0.000672")</f>
        <v/>
      </c>
      <c r="U670">
        <f>_xlfn.NUMBERVALUE("0.000219")</f>
        <v/>
      </c>
      <c r="V670">
        <f>_xlfn.NUMBERVALUE("0.000632")</f>
        <v/>
      </c>
      <c r="W670">
        <f>_xlfn.NUMBERVALUE("0.002909")</f>
        <v/>
      </c>
      <c r="X670">
        <f>_xlfn.NUMBERVALUE("-0.950000")</f>
        <v/>
      </c>
      <c r="Y670">
        <f>_xlfn.NUMBERVALUE("11.280000")</f>
        <v/>
      </c>
    </row>
    <row r="671">
      <c r="A671" s="1" t="n">
        <v>42975</v>
      </c>
      <c r="B671">
        <f>_xlfn.NUMBERVALUE("0.000000")</f>
        <v/>
      </c>
      <c r="C671" s="2">
        <f>_xlfn.NUMBERVALUE("0.000922")</f>
        <v/>
      </c>
      <c r="D671">
        <f>_xlfn.NUMBERVALUE("0.002012")</f>
        <v/>
      </c>
      <c r="E671">
        <f>_xlfn.NUMBERVALUE("0.000254")</f>
        <v/>
      </c>
      <c r="F671">
        <f>_xlfn.NUMBERVALUE("-0.001976")</f>
        <v/>
      </c>
      <c r="G671">
        <f>_xlfn.NUMBERVALUE("0.001520")</f>
        <v/>
      </c>
      <c r="H671">
        <f>_xlfn.NUMBERVALUE("0.000313")</f>
        <v/>
      </c>
      <c r="I671">
        <f>_xlfn.NUMBERVALUE("0.000397")</f>
        <v/>
      </c>
      <c r="J671">
        <f>_xlfn.NUMBERVALUE("0.001217")</f>
        <v/>
      </c>
      <c r="K671">
        <f>_xlfn.NUMBERVALUE("-0.001566")</f>
        <v/>
      </c>
      <c r="L671">
        <f>_xlfn.NUMBERVALUE("0.001602")</f>
        <v/>
      </c>
      <c r="M671">
        <f>_xlfn.NUMBERVALUE("0.001823")</f>
        <v/>
      </c>
      <c r="N671">
        <f>_xlfn.NUMBERVALUE("0.000000")</f>
        <v/>
      </c>
      <c r="O671">
        <f>_xlfn.NUMBERVALUE("-0.000266")</f>
        <v/>
      </c>
      <c r="P671">
        <f>_xlfn.NUMBERVALUE("-0.000648")</f>
        <v/>
      </c>
      <c r="Q671">
        <f>_xlfn.NUMBERVALUE("0.000287")</f>
        <v/>
      </c>
      <c r="R671">
        <f>_xlfn.NUMBERVALUE("0.002209")</f>
        <v/>
      </c>
      <c r="S671">
        <f>_xlfn.NUMBERVALUE("0.000314")</f>
        <v/>
      </c>
      <c r="T671">
        <f>_xlfn.NUMBERVALUE("0.000463")</f>
        <v/>
      </c>
      <c r="U671">
        <f>_xlfn.NUMBERVALUE("0.000598")</f>
        <v/>
      </c>
      <c r="V671">
        <f>_xlfn.NUMBERVALUE("-0.000783")</f>
        <v/>
      </c>
      <c r="W671">
        <f>_xlfn.NUMBERVALUE("-0.001275")</f>
        <v/>
      </c>
      <c r="X671">
        <f>_xlfn.NUMBERVALUE("0.040000")</f>
        <v/>
      </c>
      <c r="Y671">
        <f>_xlfn.NUMBERVALUE("11.320000")</f>
        <v/>
      </c>
    </row>
    <row r="672">
      <c r="A672" s="1" t="n">
        <v>42976</v>
      </c>
      <c r="B672">
        <f>_xlfn.NUMBERVALUE("0.000000")</f>
        <v/>
      </c>
      <c r="C672" s="2">
        <f>_xlfn.NUMBERVALUE("-0.000522")</f>
        <v/>
      </c>
      <c r="D672">
        <f>_xlfn.NUMBERVALUE("0.000873")</f>
        <v/>
      </c>
      <c r="E672">
        <f>_xlfn.NUMBERVALUE("-0.000147")</f>
        <v/>
      </c>
      <c r="F672">
        <f>_xlfn.NUMBERVALUE("0.000297")</f>
        <v/>
      </c>
      <c r="G672">
        <f>_xlfn.NUMBERVALUE("0.000398")</f>
        <v/>
      </c>
      <c r="H672">
        <f>_xlfn.NUMBERVALUE("-0.000023")</f>
        <v/>
      </c>
      <c r="I672">
        <f>_xlfn.NUMBERVALUE("-0.000086")</f>
        <v/>
      </c>
      <c r="J672">
        <f>_xlfn.NUMBERVALUE("0.000039")</f>
        <v/>
      </c>
      <c r="K672">
        <f>_xlfn.NUMBERVALUE("0.002832")</f>
        <v/>
      </c>
      <c r="L672">
        <f>_xlfn.NUMBERVALUE("-0.000084")</f>
        <v/>
      </c>
      <c r="M672">
        <f>_xlfn.NUMBERVALUE("-0.000017")</f>
        <v/>
      </c>
      <c r="N672">
        <f>_xlfn.NUMBERVALUE("0.000000")</f>
        <v/>
      </c>
      <c r="O672">
        <f>_xlfn.NUMBERVALUE("0.000135")</f>
        <v/>
      </c>
      <c r="P672">
        <f>_xlfn.NUMBERVALUE("0.000182")</f>
        <v/>
      </c>
      <c r="Q672">
        <f>_xlfn.NUMBERVALUE("-0.000159")</f>
        <v/>
      </c>
      <c r="R672">
        <f>_xlfn.NUMBERVALUE("-0.000506")</f>
        <v/>
      </c>
      <c r="S672">
        <f>_xlfn.NUMBERVALUE("0.000507")</f>
        <v/>
      </c>
      <c r="T672">
        <f>_xlfn.NUMBERVALUE("0.000452")</f>
        <v/>
      </c>
      <c r="U672">
        <f>_xlfn.NUMBERVALUE("0.000083")</f>
        <v/>
      </c>
      <c r="V672">
        <f>_xlfn.NUMBERVALUE("-0.000390")</f>
        <v/>
      </c>
      <c r="W672">
        <f>_xlfn.NUMBERVALUE("0.001808")</f>
        <v/>
      </c>
      <c r="X672">
        <f>_xlfn.NUMBERVALUE("0.380000")</f>
        <v/>
      </c>
      <c r="Y672">
        <f>_xlfn.NUMBERVALUE("11.700000")</f>
        <v/>
      </c>
    </row>
    <row r="673">
      <c r="A673" s="1" t="n">
        <v>42977</v>
      </c>
      <c r="B673">
        <f>_xlfn.NUMBERVALUE("0.000000")</f>
        <v/>
      </c>
      <c r="C673" s="2">
        <f>_xlfn.NUMBERVALUE("0.001110")</f>
        <v/>
      </c>
      <c r="D673">
        <f>_xlfn.NUMBERVALUE("0.001573")</f>
        <v/>
      </c>
      <c r="E673">
        <f>_xlfn.NUMBERVALUE("-0.000047")</f>
        <v/>
      </c>
      <c r="F673">
        <f>_xlfn.NUMBERVALUE("-0.000148")</f>
        <v/>
      </c>
      <c r="G673">
        <f>_xlfn.NUMBERVALUE("0.000743")</f>
        <v/>
      </c>
      <c r="H673">
        <f>_xlfn.NUMBERVALUE("-0.000092")</f>
        <v/>
      </c>
      <c r="I673">
        <f>_xlfn.NUMBERVALUE("0.000449")</f>
        <v/>
      </c>
      <c r="J673">
        <f>_xlfn.NUMBERVALUE("0.000720")</f>
        <v/>
      </c>
      <c r="K673">
        <f>_xlfn.NUMBERVALUE("-0.002979")</f>
        <v/>
      </c>
      <c r="L673">
        <f>_xlfn.NUMBERVALUE("0.000548")</f>
        <v/>
      </c>
      <c r="M673">
        <f>_xlfn.NUMBERVALUE("0.000346")</f>
        <v/>
      </c>
      <c r="N673">
        <f>_xlfn.NUMBERVALUE("0.000000")</f>
        <v/>
      </c>
      <c r="O673">
        <f>_xlfn.NUMBERVALUE("-0.000104")</f>
        <v/>
      </c>
      <c r="P673">
        <f>_xlfn.NUMBERVALUE("-0.000423")</f>
        <v/>
      </c>
      <c r="Q673">
        <f>_xlfn.NUMBERVALUE("0.000620")</f>
        <v/>
      </c>
      <c r="R673">
        <f>_xlfn.NUMBERVALUE("-0.000249")</f>
        <v/>
      </c>
      <c r="S673">
        <f>_xlfn.NUMBERVALUE("-0.000155")</f>
        <v/>
      </c>
      <c r="T673">
        <f>_xlfn.NUMBERVALUE("0.000374")</f>
        <v/>
      </c>
      <c r="U673">
        <f>_xlfn.NUMBERVALUE("-0.000247")</f>
        <v/>
      </c>
      <c r="V673">
        <f>_xlfn.NUMBERVALUE("0.001548")</f>
        <v/>
      </c>
      <c r="W673">
        <f>_xlfn.NUMBERVALUE("0.003756")</f>
        <v/>
      </c>
      <c r="X673">
        <f>_xlfn.NUMBERVALUE("-0.480000")</f>
        <v/>
      </c>
      <c r="Y673">
        <f>_xlfn.NUMBERVALUE("11.220000")</f>
        <v/>
      </c>
    </row>
    <row r="674">
      <c r="A674" s="1" t="n">
        <v>42978</v>
      </c>
      <c r="B674">
        <f>_xlfn.NUMBERVALUE("0.000000")</f>
        <v/>
      </c>
      <c r="C674" s="2">
        <f>_xlfn.NUMBERVALUE("0.001022")</f>
        <v/>
      </c>
      <c r="D674">
        <f>_xlfn.NUMBERVALUE("0.000020")</f>
        <v/>
      </c>
      <c r="E674">
        <f>_xlfn.NUMBERVALUE("0.000001")</f>
        <v/>
      </c>
      <c r="F674">
        <f>_xlfn.NUMBERVALUE("0.000023")</f>
        <v/>
      </c>
      <c r="G674">
        <f>_xlfn.NUMBERVALUE("-0.000220")</f>
        <v/>
      </c>
      <c r="H674">
        <f>_xlfn.NUMBERVALUE("-0.000095")</f>
        <v/>
      </c>
      <c r="I674">
        <f>_xlfn.NUMBERVALUE("0.000303")</f>
        <v/>
      </c>
      <c r="J674">
        <f>_xlfn.NUMBERVALUE("-0.000351")</f>
        <v/>
      </c>
      <c r="K674">
        <f>_xlfn.NUMBERVALUE("-0.000004")</f>
        <v/>
      </c>
      <c r="L674">
        <f>_xlfn.NUMBERVALUE("0.000020")</f>
        <v/>
      </c>
      <c r="M674">
        <f>_xlfn.NUMBERVALUE("-0.001000")</f>
        <v/>
      </c>
      <c r="N674">
        <f>_xlfn.NUMBERVALUE("0.000000")</f>
        <v/>
      </c>
      <c r="O674">
        <f>_xlfn.NUMBERVALUE("0.000636")</f>
        <v/>
      </c>
      <c r="P674">
        <f>_xlfn.NUMBERVALUE("0.000773")</f>
        <v/>
      </c>
      <c r="Q674">
        <f>_xlfn.NUMBERVALUE("0.001107")</f>
        <v/>
      </c>
      <c r="R674">
        <f>_xlfn.NUMBERVALUE("-0.000387")</f>
        <v/>
      </c>
      <c r="S674">
        <f>_xlfn.NUMBERVALUE("0.000426")</f>
        <v/>
      </c>
      <c r="T674">
        <f>_xlfn.NUMBERVALUE("0.000769")</f>
        <v/>
      </c>
      <c r="U674">
        <f>_xlfn.NUMBERVALUE("0.000580")</f>
        <v/>
      </c>
      <c r="V674">
        <f>_xlfn.NUMBERVALUE("0.000898")</f>
        <v/>
      </c>
      <c r="W674">
        <f>_xlfn.NUMBERVALUE("0.003254")</f>
        <v/>
      </c>
      <c r="X674">
        <f>_xlfn.NUMBERVALUE("-0.630000")</f>
        <v/>
      </c>
      <c r="Y674">
        <f>_xlfn.NUMBERVALUE("10.590000")</f>
        <v/>
      </c>
    </row>
    <row r="675">
      <c r="A675" s="1" t="n">
        <v>42979</v>
      </c>
      <c r="B675">
        <f>_xlfn.NUMBERVALUE("0.000000")</f>
        <v/>
      </c>
      <c r="C675" s="2">
        <f>_xlfn.NUMBERVALUE("0.001435")</f>
        <v/>
      </c>
      <c r="D675">
        <f>_xlfn.NUMBERVALUE("0.001651")</f>
        <v/>
      </c>
      <c r="E675">
        <f>_xlfn.NUMBERVALUE("0.000245")</f>
        <v/>
      </c>
      <c r="F675">
        <f>_xlfn.NUMBERVALUE("0.001654")</f>
        <v/>
      </c>
      <c r="G675">
        <f>_xlfn.NUMBERVALUE("-0.001415")</f>
        <v/>
      </c>
      <c r="H675">
        <f>_xlfn.NUMBERVALUE("0.000539")</f>
        <v/>
      </c>
      <c r="I675">
        <f>_xlfn.NUMBERVALUE("0.000669")</f>
        <v/>
      </c>
      <c r="J675">
        <f>_xlfn.NUMBERVALUE("0.000926")</f>
        <v/>
      </c>
      <c r="K675">
        <f>_xlfn.NUMBERVALUE("0.003088")</f>
        <v/>
      </c>
      <c r="L675">
        <f>_xlfn.NUMBERVALUE("-0.000624")</f>
        <v/>
      </c>
      <c r="M675">
        <f>_xlfn.NUMBERVALUE("-0.000965")</f>
        <v/>
      </c>
      <c r="N675">
        <f>_xlfn.NUMBERVALUE("0.000000")</f>
        <v/>
      </c>
      <c r="O675">
        <f>_xlfn.NUMBERVALUE("0.000464")</f>
        <v/>
      </c>
      <c r="P675">
        <f>_xlfn.NUMBERVALUE("-0.000090")</f>
        <v/>
      </c>
      <c r="Q675">
        <f>_xlfn.NUMBERVALUE("0.001689")</f>
        <v/>
      </c>
      <c r="R675">
        <f>_xlfn.NUMBERVALUE("0.001240")</f>
        <v/>
      </c>
      <c r="S675">
        <f>_xlfn.NUMBERVALUE("0.000476")</f>
        <v/>
      </c>
      <c r="T675">
        <f>_xlfn.NUMBERVALUE("0.000688")</f>
        <v/>
      </c>
      <c r="U675">
        <f>_xlfn.NUMBERVALUE("0.000318")</f>
        <v/>
      </c>
      <c r="V675">
        <f>_xlfn.NUMBERVALUE("0.000932")</f>
        <v/>
      </c>
      <c r="W675">
        <f>_xlfn.NUMBERVALUE("0.002425")</f>
        <v/>
      </c>
      <c r="X675">
        <f>_xlfn.NUMBERVALUE("-0.460000")</f>
        <v/>
      </c>
      <c r="Y675">
        <f>_xlfn.NUMBERVALUE("10.130000")</f>
        <v/>
      </c>
    </row>
    <row r="676">
      <c r="A676" s="1" t="n">
        <v>42983</v>
      </c>
      <c r="B676">
        <f>_xlfn.NUMBERVALUE("0.000000")</f>
        <v/>
      </c>
      <c r="C676" s="2">
        <f>_xlfn.NUMBERVALUE("-0.001771")</f>
        <v/>
      </c>
      <c r="D676">
        <f>_xlfn.NUMBERVALUE("-0.002731")</f>
        <v/>
      </c>
      <c r="E676">
        <f>_xlfn.NUMBERVALUE("-0.001851")</f>
        <v/>
      </c>
      <c r="F676">
        <f>_xlfn.NUMBERVALUE("-0.002065")</f>
        <v/>
      </c>
      <c r="G676">
        <f>_xlfn.NUMBERVALUE("-0.000252")</f>
        <v/>
      </c>
      <c r="H676">
        <f>_xlfn.NUMBERVALUE("-0.001513")</f>
        <v/>
      </c>
      <c r="I676">
        <f>_xlfn.NUMBERVALUE("-0.000947")</f>
        <v/>
      </c>
      <c r="J676">
        <f>_xlfn.NUMBERVALUE("-0.001745")</f>
        <v/>
      </c>
      <c r="K676">
        <f>_xlfn.NUMBERVALUE("0.000594")</f>
        <v/>
      </c>
      <c r="L676">
        <f>_xlfn.NUMBERVALUE("-0.005152")</f>
        <v/>
      </c>
      <c r="M676">
        <f>_xlfn.NUMBERVALUE("0.000818")</f>
        <v/>
      </c>
      <c r="N676">
        <f>_xlfn.NUMBERVALUE("0.000000")</f>
        <v/>
      </c>
      <c r="O676">
        <f>_xlfn.NUMBERVALUE("0.000748")</f>
        <v/>
      </c>
      <c r="P676">
        <f>_xlfn.NUMBERVALUE("0.000127")</f>
        <v/>
      </c>
      <c r="Q676">
        <f>_xlfn.NUMBERVALUE("-0.003020")</f>
        <v/>
      </c>
      <c r="R676">
        <f>_xlfn.NUMBERVALUE("0.002106")</f>
        <v/>
      </c>
      <c r="S676">
        <f>_xlfn.NUMBERVALUE("0.000201")</f>
        <v/>
      </c>
      <c r="T676">
        <f>_xlfn.NUMBERVALUE("0.000575")</f>
        <v/>
      </c>
      <c r="U676">
        <f>_xlfn.NUMBERVALUE("-0.000206")</f>
        <v/>
      </c>
      <c r="V676">
        <f>_xlfn.NUMBERVALUE("-0.000920")</f>
        <v/>
      </c>
      <c r="W676">
        <f>_xlfn.NUMBERVALUE("-0.007982")</f>
        <v/>
      </c>
      <c r="X676">
        <f>_xlfn.NUMBERVALUE("2.100000")</f>
        <v/>
      </c>
      <c r="Y676">
        <f>_xlfn.NUMBERVALUE("12.230000")</f>
        <v/>
      </c>
    </row>
    <row r="677">
      <c r="A677" s="1" t="n">
        <v>42984</v>
      </c>
      <c r="B677">
        <f>_xlfn.NUMBERVALUE("0.000000")</f>
        <v/>
      </c>
      <c r="C677" s="2">
        <f>_xlfn.NUMBERVALUE("0.001603")</f>
        <v/>
      </c>
      <c r="D677">
        <f>_xlfn.NUMBERVALUE("0.001866")</f>
        <v/>
      </c>
      <c r="E677">
        <f>_xlfn.NUMBERVALUE("0.001998")</f>
        <v/>
      </c>
      <c r="F677">
        <f>_xlfn.NUMBERVALUE("0.000189")</f>
        <v/>
      </c>
      <c r="G677">
        <f>_xlfn.NUMBERVALUE("0.000931")</f>
        <v/>
      </c>
      <c r="H677">
        <f>_xlfn.NUMBERVALUE("0.000096")</f>
        <v/>
      </c>
      <c r="I677">
        <f>_xlfn.NUMBERVALUE("0.001482")</f>
        <v/>
      </c>
      <c r="J677">
        <f>_xlfn.NUMBERVALUE("0.000530")</f>
        <v/>
      </c>
      <c r="K677">
        <f>_xlfn.NUMBERVALUE("0.001820")</f>
        <v/>
      </c>
      <c r="L677">
        <f>_xlfn.NUMBERVALUE("0.000427")</f>
        <v/>
      </c>
      <c r="M677">
        <f>_xlfn.NUMBERVALUE("0.000778")</f>
        <v/>
      </c>
      <c r="N677">
        <f>_xlfn.NUMBERVALUE("0.000000")</f>
        <v/>
      </c>
      <c r="O677">
        <f>_xlfn.NUMBERVALUE("0.000442")</f>
        <v/>
      </c>
      <c r="P677">
        <f>_xlfn.NUMBERVALUE("-0.000056")</f>
        <v/>
      </c>
      <c r="Q677">
        <f>_xlfn.NUMBERVALUE("-0.000022")</f>
        <v/>
      </c>
      <c r="R677">
        <f>_xlfn.NUMBERVALUE("0.002389")</f>
        <v/>
      </c>
      <c r="S677">
        <f>_xlfn.NUMBERVALUE("-0.000022")</f>
        <v/>
      </c>
      <c r="T677">
        <f>_xlfn.NUMBERVALUE("0.000260")</f>
        <v/>
      </c>
      <c r="U677">
        <f>_xlfn.NUMBERVALUE("-0.000035")</f>
        <v/>
      </c>
      <c r="V677">
        <f>_xlfn.NUMBERVALUE("0.001472")</f>
        <v/>
      </c>
      <c r="W677">
        <f>_xlfn.NUMBERVALUE("0.003332")</f>
        <v/>
      </c>
      <c r="X677">
        <f>_xlfn.NUMBERVALUE("-0.600000")</f>
        <v/>
      </c>
      <c r="Y677">
        <f>_xlfn.NUMBERVALUE("11.630000")</f>
        <v/>
      </c>
    </row>
    <row r="678">
      <c r="A678" s="1" t="n">
        <v>42985</v>
      </c>
      <c r="B678">
        <f>_xlfn.NUMBERVALUE("0.000000")</f>
        <v/>
      </c>
      <c r="C678" s="2">
        <f>_xlfn.NUMBERVALUE("0.000427")</f>
        <v/>
      </c>
      <c r="D678">
        <f>_xlfn.NUMBERVALUE("0.000284")</f>
        <v/>
      </c>
      <c r="E678">
        <f>_xlfn.NUMBERVALUE("-0.001576")</f>
        <v/>
      </c>
      <c r="F678">
        <f>_xlfn.NUMBERVALUE("-0.001623")</f>
        <v/>
      </c>
      <c r="G678">
        <f>_xlfn.NUMBERVALUE("0.000664")</f>
        <v/>
      </c>
      <c r="H678">
        <f>_xlfn.NUMBERVALUE("-0.000297")</f>
        <v/>
      </c>
      <c r="I678">
        <f>_xlfn.NUMBERVALUE("0.001243")</f>
        <v/>
      </c>
      <c r="J678">
        <f>_xlfn.NUMBERVALUE("-0.001028")</f>
        <v/>
      </c>
      <c r="K678">
        <f>_xlfn.NUMBERVALUE("-0.000479")</f>
        <v/>
      </c>
      <c r="L678">
        <f>_xlfn.NUMBERVALUE("-0.001428")</f>
        <v/>
      </c>
      <c r="M678">
        <f>_xlfn.NUMBERVALUE("0.000650")</f>
        <v/>
      </c>
      <c r="N678">
        <f>_xlfn.NUMBERVALUE("0.000000")</f>
        <v/>
      </c>
      <c r="O678">
        <f>_xlfn.NUMBERVALUE("0.000844")</f>
        <v/>
      </c>
      <c r="P678">
        <f>_xlfn.NUMBERVALUE("-0.003278")</f>
        <v/>
      </c>
      <c r="Q678">
        <f>_xlfn.NUMBERVALUE("0.001042")</f>
        <v/>
      </c>
      <c r="R678">
        <f>_xlfn.NUMBERVALUE("0.000778")</f>
        <v/>
      </c>
      <c r="S678">
        <f>_xlfn.NUMBERVALUE("0.000586")</f>
        <v/>
      </c>
      <c r="T678">
        <f>_xlfn.NUMBERVALUE("-0.000636")</f>
        <v/>
      </c>
      <c r="U678">
        <f>_xlfn.NUMBERVALUE("0.000124")</f>
        <v/>
      </c>
      <c r="V678">
        <f>_xlfn.NUMBERVALUE("0.000775")</f>
        <v/>
      </c>
      <c r="W678">
        <f>_xlfn.NUMBERVALUE("-0.000162")</f>
        <v/>
      </c>
      <c r="X678">
        <f>_xlfn.NUMBERVALUE("-0.080000")</f>
        <v/>
      </c>
      <c r="Y678">
        <f>_xlfn.NUMBERVALUE("11.550000")</f>
        <v/>
      </c>
    </row>
    <row r="679">
      <c r="A679" s="1" t="n">
        <v>42986</v>
      </c>
      <c r="B679">
        <f>_xlfn.NUMBERVALUE("0.000000")</f>
        <v/>
      </c>
      <c r="C679" s="2">
        <f>_xlfn.NUMBERVALUE("-0.000366")</f>
        <v/>
      </c>
      <c r="D679">
        <f>_xlfn.NUMBERVALUE("-0.001285")</f>
        <v/>
      </c>
      <c r="E679">
        <f>_xlfn.NUMBERVALUE("-0.000412")</f>
        <v/>
      </c>
      <c r="F679">
        <f>_xlfn.NUMBERVALUE("0.001826")</f>
        <v/>
      </c>
      <c r="G679">
        <f>_xlfn.NUMBERVALUE("-0.000207")</f>
        <v/>
      </c>
      <c r="H679">
        <f>_xlfn.NUMBERVALUE("-0.000140")</f>
        <v/>
      </c>
      <c r="I679">
        <f>_xlfn.NUMBERVALUE("0.000339")</f>
        <v/>
      </c>
      <c r="J679">
        <f>_xlfn.NUMBERVALUE("0.000938")</f>
        <v/>
      </c>
      <c r="K679">
        <f>_xlfn.NUMBERVALUE("0.002334")</f>
        <v/>
      </c>
      <c r="L679">
        <f>_xlfn.NUMBERVALUE("0.000337")</f>
        <v/>
      </c>
      <c r="M679">
        <f>_xlfn.NUMBERVALUE("-0.000316")</f>
        <v/>
      </c>
      <c r="N679">
        <f>_xlfn.NUMBERVALUE("0.000000")</f>
        <v/>
      </c>
      <c r="O679">
        <f>_xlfn.NUMBERVALUE("-0.001334")</f>
        <v/>
      </c>
      <c r="P679">
        <f>_xlfn.NUMBERVALUE("-0.001041")</f>
        <v/>
      </c>
      <c r="Q679">
        <f>_xlfn.NUMBERVALUE("0.000386")</f>
        <v/>
      </c>
      <c r="R679">
        <f>_xlfn.NUMBERVALUE("0.000166")</f>
        <v/>
      </c>
      <c r="S679">
        <f>_xlfn.NUMBERVALUE("0.000210")</f>
        <v/>
      </c>
      <c r="T679">
        <f>_xlfn.NUMBERVALUE("0.000323")</f>
        <v/>
      </c>
      <c r="U679">
        <f>_xlfn.NUMBERVALUE("-0.000259")</f>
        <v/>
      </c>
      <c r="V679">
        <f>_xlfn.NUMBERVALUE("-0.000280")</f>
        <v/>
      </c>
      <c r="W679">
        <f>_xlfn.NUMBERVALUE("-0.001175")</f>
        <v/>
      </c>
      <c r="X679">
        <f>_xlfn.NUMBERVALUE("0.570000")</f>
        <v/>
      </c>
      <c r="Y679">
        <f>_xlfn.NUMBERVALUE("12.120000")</f>
        <v/>
      </c>
    </row>
    <row r="680">
      <c r="A680" s="1" t="n">
        <v>42989</v>
      </c>
      <c r="B680">
        <f>_xlfn.NUMBERVALUE("0.000000")</f>
        <v/>
      </c>
      <c r="C680" s="2">
        <f>_xlfn.NUMBERVALUE("-0.001193")</f>
        <v/>
      </c>
      <c r="D680">
        <f>_xlfn.NUMBERVALUE("0.000923")</f>
        <v/>
      </c>
      <c r="E680">
        <f>_xlfn.NUMBERVALUE("0.000513")</f>
        <v/>
      </c>
      <c r="F680">
        <f>_xlfn.NUMBERVALUE("-0.000791")</f>
        <v/>
      </c>
      <c r="G680">
        <f>_xlfn.NUMBERVALUE("0.000725")</f>
        <v/>
      </c>
      <c r="H680">
        <f>_xlfn.NUMBERVALUE("-0.000037")</f>
        <v/>
      </c>
      <c r="I680">
        <f>_xlfn.NUMBERVALUE("0.001453")</f>
        <v/>
      </c>
      <c r="J680">
        <f>_xlfn.NUMBERVALUE("0.000176")</f>
        <v/>
      </c>
      <c r="K680">
        <f>_xlfn.NUMBERVALUE("0.000318")</f>
        <v/>
      </c>
      <c r="L680">
        <f>_xlfn.NUMBERVALUE("0.000962")</f>
        <v/>
      </c>
      <c r="M680">
        <f>_xlfn.NUMBERVALUE("-0.000615")</f>
        <v/>
      </c>
      <c r="N680">
        <f>_xlfn.NUMBERVALUE("0.000000")</f>
        <v/>
      </c>
      <c r="O680">
        <f>_xlfn.NUMBERVALUE("0.001384")</f>
        <v/>
      </c>
      <c r="P680">
        <f>_xlfn.NUMBERVALUE("0.001677")</f>
        <v/>
      </c>
      <c r="Q680">
        <f>_xlfn.NUMBERVALUE("0.000252")</f>
        <v/>
      </c>
      <c r="R680">
        <f>_xlfn.NUMBERVALUE("0.000042")</f>
        <v/>
      </c>
      <c r="S680">
        <f>_xlfn.NUMBERVALUE("0.000546")</f>
        <v/>
      </c>
      <c r="T680">
        <f>_xlfn.NUMBERVALUE("-0.000825")</f>
        <v/>
      </c>
      <c r="U680">
        <f>_xlfn.NUMBERVALUE("0.003295")</f>
        <v/>
      </c>
      <c r="V680">
        <f>_xlfn.NUMBERVALUE("-0.001303")</f>
        <v/>
      </c>
      <c r="W680">
        <f>_xlfn.NUMBERVALUE("0.010302")</f>
        <v/>
      </c>
      <c r="X680">
        <f>_xlfn.NUMBERVALUE("-1.390000")</f>
        <v/>
      </c>
      <c r="Y680">
        <f>_xlfn.NUMBERVALUE("10.730000")</f>
        <v/>
      </c>
    </row>
    <row r="681">
      <c r="A681" s="1" t="n">
        <v>42990</v>
      </c>
      <c r="B681">
        <f>_xlfn.NUMBERVALUE("0.000000")</f>
        <v/>
      </c>
      <c r="C681" s="2">
        <f>_xlfn.NUMBERVALUE("0.000021")</f>
        <v/>
      </c>
      <c r="D681">
        <f>_xlfn.NUMBERVALUE("0.001072")</f>
        <v/>
      </c>
      <c r="E681">
        <f>_xlfn.NUMBERVALUE("0.000553")</f>
        <v/>
      </c>
      <c r="F681">
        <f>_xlfn.NUMBERVALUE("0.002902")</f>
        <v/>
      </c>
      <c r="G681">
        <f>_xlfn.NUMBERVALUE("0.000152")</f>
        <v/>
      </c>
      <c r="H681">
        <f>_xlfn.NUMBERVALUE("0.000247")</f>
        <v/>
      </c>
      <c r="I681">
        <f>_xlfn.NUMBERVALUE("-0.000194")</f>
        <v/>
      </c>
      <c r="J681">
        <f>_xlfn.NUMBERVALUE("0.000820")</f>
        <v/>
      </c>
      <c r="K681">
        <f>_xlfn.NUMBERVALUE("0.001193")</f>
        <v/>
      </c>
      <c r="L681">
        <f>_xlfn.NUMBERVALUE("0.000569")</f>
        <v/>
      </c>
      <c r="M681">
        <f>_xlfn.NUMBERVALUE("-0.000601")</f>
        <v/>
      </c>
      <c r="N681">
        <f>_xlfn.NUMBERVALUE("0.000000")</f>
        <v/>
      </c>
      <c r="O681">
        <f>_xlfn.NUMBERVALUE("0.000774")</f>
        <v/>
      </c>
      <c r="P681">
        <f>_xlfn.NUMBERVALUE("-0.002544")</f>
        <v/>
      </c>
      <c r="Q681">
        <f>_xlfn.NUMBERVALUE("0.000268")</f>
        <v/>
      </c>
      <c r="R681">
        <f>_xlfn.NUMBERVALUE("0.001091")</f>
        <v/>
      </c>
      <c r="S681">
        <f>_xlfn.NUMBERVALUE("0.000152")</f>
        <v/>
      </c>
      <c r="T681">
        <f>_xlfn.NUMBERVALUE("-0.002566")</f>
        <v/>
      </c>
      <c r="U681">
        <f>_xlfn.NUMBERVALUE("0.000057")</f>
        <v/>
      </c>
      <c r="V681">
        <f>_xlfn.NUMBERVALUE("0.000201")</f>
        <v/>
      </c>
      <c r="W681">
        <f>_xlfn.NUMBERVALUE("0.003432")</f>
        <v/>
      </c>
      <c r="X681">
        <f>_xlfn.NUMBERVALUE("-0.150000")</f>
        <v/>
      </c>
      <c r="Y681">
        <f>_xlfn.NUMBERVALUE("10.580000")</f>
        <v/>
      </c>
    </row>
    <row r="682">
      <c r="A682" s="1" t="n">
        <v>42991</v>
      </c>
      <c r="B682">
        <f>_xlfn.NUMBERVALUE("0.000000")</f>
        <v/>
      </c>
      <c r="C682" s="2">
        <f>_xlfn.NUMBERVALUE("-0.000125")</f>
        <v/>
      </c>
      <c r="D682">
        <f>_xlfn.NUMBERVALUE("0.002396")</f>
        <v/>
      </c>
      <c r="E682">
        <f>_xlfn.NUMBERVALUE("0.000765")</f>
        <v/>
      </c>
      <c r="F682">
        <f>_xlfn.NUMBERVALUE("-0.001332")</f>
        <v/>
      </c>
      <c r="G682">
        <f>_xlfn.NUMBERVALUE("0.000404")</f>
        <v/>
      </c>
      <c r="H682">
        <f>_xlfn.NUMBERVALUE("0.000183")</f>
        <v/>
      </c>
      <c r="I682">
        <f>_xlfn.NUMBERVALUE("0.000356")</f>
        <v/>
      </c>
      <c r="J682">
        <f>_xlfn.NUMBERVALUE("0.000750")</f>
        <v/>
      </c>
      <c r="K682">
        <f>_xlfn.NUMBERVALUE("-0.000749")</f>
        <v/>
      </c>
      <c r="L682">
        <f>_xlfn.NUMBERVALUE("0.000418")</f>
        <v/>
      </c>
      <c r="M682">
        <f>_xlfn.NUMBERVALUE("0.001264")</f>
        <v/>
      </c>
      <c r="N682">
        <f>_xlfn.NUMBERVALUE("0.000000")</f>
        <v/>
      </c>
      <c r="O682">
        <f>_xlfn.NUMBERVALUE("-0.002270")</f>
        <v/>
      </c>
      <c r="P682">
        <f>_xlfn.NUMBERVALUE("0.000518")</f>
        <v/>
      </c>
      <c r="Q682">
        <f>_xlfn.NUMBERVALUE("0.000985")</f>
        <v/>
      </c>
      <c r="R682">
        <f>_xlfn.NUMBERVALUE("0.002217")</f>
        <v/>
      </c>
      <c r="S682">
        <f>_xlfn.NUMBERVALUE("0.000205")</f>
        <v/>
      </c>
      <c r="T682">
        <f>_xlfn.NUMBERVALUE("0.001052")</f>
        <v/>
      </c>
      <c r="U682">
        <f>_xlfn.NUMBERVALUE("0.000186")</f>
        <v/>
      </c>
      <c r="V682">
        <f>_xlfn.NUMBERVALUE("0.000075")</f>
        <v/>
      </c>
      <c r="W682">
        <f>_xlfn.NUMBERVALUE("0.000700")</f>
        <v/>
      </c>
      <c r="X682">
        <f>_xlfn.NUMBERVALUE("-0.080000")</f>
        <v/>
      </c>
      <c r="Y682">
        <f>_xlfn.NUMBERVALUE("10.500000")</f>
        <v/>
      </c>
    </row>
    <row r="683">
      <c r="A683" s="1" t="n">
        <v>42992</v>
      </c>
      <c r="B683">
        <f>_xlfn.NUMBERVALUE("0.000000")</f>
        <v/>
      </c>
      <c r="C683" s="2">
        <f>_xlfn.NUMBERVALUE("-0.000069")</f>
        <v/>
      </c>
      <c r="D683">
        <f>_xlfn.NUMBERVALUE("0.000776")</f>
        <v/>
      </c>
      <c r="E683">
        <f>_xlfn.NUMBERVALUE("0.000211")</f>
        <v/>
      </c>
      <c r="F683">
        <f>_xlfn.NUMBERVALUE("0.000275")</f>
        <v/>
      </c>
      <c r="G683">
        <f>_xlfn.NUMBERVALUE("0.000421")</f>
        <v/>
      </c>
      <c r="H683">
        <f>_xlfn.NUMBERVALUE("0.001115")</f>
        <v/>
      </c>
      <c r="I683">
        <f>_xlfn.NUMBERVALUE("0.001058")</f>
        <v/>
      </c>
      <c r="J683">
        <f>_xlfn.NUMBERVALUE("-0.000358")</f>
        <v/>
      </c>
      <c r="K683">
        <f>_xlfn.NUMBERVALUE("0.001217")</f>
        <v/>
      </c>
      <c r="L683">
        <f>_xlfn.NUMBERVALUE("0.000025")</f>
        <v/>
      </c>
      <c r="M683">
        <f>_xlfn.NUMBERVALUE("0.000679")</f>
        <v/>
      </c>
      <c r="N683">
        <f>_xlfn.NUMBERVALUE("0.000000")</f>
        <v/>
      </c>
      <c r="O683">
        <f>_xlfn.NUMBERVALUE("-0.000093")</f>
        <v/>
      </c>
      <c r="P683">
        <f>_xlfn.NUMBERVALUE("0.002461")</f>
        <v/>
      </c>
      <c r="Q683">
        <f>_xlfn.NUMBERVALUE("0.000352")</f>
        <v/>
      </c>
      <c r="R683">
        <f>_xlfn.NUMBERVALUE("-0.000155")</f>
        <v/>
      </c>
      <c r="S683">
        <f>_xlfn.NUMBERVALUE("0.001979")</f>
        <v/>
      </c>
      <c r="T683">
        <f>_xlfn.NUMBERVALUE("-0.000940")</f>
        <v/>
      </c>
      <c r="U683">
        <f>_xlfn.NUMBERVALUE("0.000099")</f>
        <v/>
      </c>
      <c r="V683">
        <f>_xlfn.NUMBERVALUE("0.001031")</f>
        <v/>
      </c>
      <c r="W683">
        <f>_xlfn.NUMBERVALUE("-0.000500")</f>
        <v/>
      </c>
      <c r="X683">
        <f>_xlfn.NUMBERVALUE("-0.060000")</f>
        <v/>
      </c>
      <c r="Y683">
        <f>_xlfn.NUMBERVALUE("10.440000")</f>
        <v/>
      </c>
    </row>
    <row r="684">
      <c r="A684" s="1" t="n">
        <v>42993</v>
      </c>
      <c r="B684">
        <f>_xlfn.NUMBERVALUE("0.000000")</f>
        <v/>
      </c>
      <c r="C684" s="2">
        <f>_xlfn.NUMBERVALUE("-0.001257")</f>
        <v/>
      </c>
      <c r="D684">
        <f>_xlfn.NUMBERVALUE("-0.000460")</f>
        <v/>
      </c>
      <c r="E684">
        <f>_xlfn.NUMBERVALUE("0.000389")</f>
        <v/>
      </c>
      <c r="F684">
        <f>_xlfn.NUMBERVALUE("-0.000563")</f>
        <v/>
      </c>
      <c r="G684">
        <f>_xlfn.NUMBERVALUE("0.000398")</f>
        <v/>
      </c>
      <c r="H684">
        <f>_xlfn.NUMBERVALUE("0.000241")</f>
        <v/>
      </c>
      <c r="I684">
        <f>_xlfn.NUMBERVALUE("0.000806")</f>
        <v/>
      </c>
      <c r="J684">
        <f>_xlfn.NUMBERVALUE("-0.000323")</f>
        <v/>
      </c>
      <c r="K684">
        <f>_xlfn.NUMBERVALUE("0.000755")</f>
        <v/>
      </c>
      <c r="L684">
        <f>_xlfn.NUMBERVALUE("0.001601")</f>
        <v/>
      </c>
      <c r="M684">
        <f>_xlfn.NUMBERVALUE("-0.001395")</f>
        <v/>
      </c>
      <c r="N684">
        <f>_xlfn.NUMBERVALUE("0.000000")</f>
        <v/>
      </c>
      <c r="O684">
        <f>_xlfn.NUMBERVALUE("-0.002348")</f>
        <v/>
      </c>
      <c r="P684">
        <f>_xlfn.NUMBERVALUE("-0.001213")</f>
        <v/>
      </c>
      <c r="Q684">
        <f>_xlfn.NUMBERVALUE("-0.002756")</f>
        <v/>
      </c>
      <c r="R684">
        <f>_xlfn.NUMBERVALUE("0.000540")</f>
        <v/>
      </c>
      <c r="S684">
        <f>_xlfn.NUMBERVALUE("-0.000988")</f>
        <v/>
      </c>
      <c r="T684">
        <f>_xlfn.NUMBERVALUE("-0.000196")</f>
        <v/>
      </c>
      <c r="U684">
        <f>_xlfn.NUMBERVALUE("0.000825")</f>
        <v/>
      </c>
      <c r="V684">
        <f>_xlfn.NUMBERVALUE("-0.002008")</f>
        <v/>
      </c>
      <c r="W684">
        <f>_xlfn.NUMBERVALUE("-0.003520")</f>
        <v/>
      </c>
      <c r="X684">
        <f>_xlfn.NUMBERVALUE("-0.270000")</f>
        <v/>
      </c>
      <c r="Y684">
        <f>_xlfn.NUMBERVALUE("10.170000")</f>
        <v/>
      </c>
    </row>
    <row r="685">
      <c r="A685" s="1" t="n">
        <v>42996</v>
      </c>
      <c r="B685">
        <f>_xlfn.NUMBERVALUE("0.000000")</f>
        <v/>
      </c>
      <c r="C685" s="2">
        <f>_xlfn.NUMBERVALUE("-0.000029")</f>
        <v/>
      </c>
      <c r="D685">
        <f>_xlfn.NUMBERVALUE("-0.000295")</f>
        <v/>
      </c>
      <c r="E685">
        <f>_xlfn.NUMBERVALUE("0.000467")</f>
        <v/>
      </c>
      <c r="F685">
        <f>_xlfn.NUMBERVALUE("-0.001698")</f>
        <v/>
      </c>
      <c r="G685">
        <f>_xlfn.NUMBERVALUE("-0.000047")</f>
        <v/>
      </c>
      <c r="H685">
        <f>_xlfn.NUMBERVALUE("-0.000870")</f>
        <v/>
      </c>
      <c r="I685">
        <f>_xlfn.NUMBERVALUE("-0.000922")</f>
        <v/>
      </c>
      <c r="J685">
        <f>_xlfn.NUMBERVALUE("0.000567")</f>
        <v/>
      </c>
      <c r="K685">
        <f>_xlfn.NUMBERVALUE("-0.005563")</f>
        <v/>
      </c>
      <c r="L685">
        <f>_xlfn.NUMBERVALUE("-0.000516")</f>
        <v/>
      </c>
      <c r="M685">
        <f>_xlfn.NUMBERVALUE("0.000053")</f>
        <v/>
      </c>
      <c r="N685">
        <f>_xlfn.NUMBERVALUE("0.000000")</f>
        <v/>
      </c>
      <c r="O685">
        <f>_xlfn.NUMBERVALUE("0.001094")</f>
        <v/>
      </c>
      <c r="P685">
        <f>_xlfn.NUMBERVALUE("-0.001698")</f>
        <v/>
      </c>
      <c r="Q685">
        <f>_xlfn.NUMBERVALUE("-0.000188")</f>
        <v/>
      </c>
      <c r="R685">
        <f>_xlfn.NUMBERVALUE("0.000277")</f>
        <v/>
      </c>
      <c r="S685">
        <f>_xlfn.NUMBERVALUE("0.000611")</f>
        <v/>
      </c>
      <c r="T685">
        <f>_xlfn.NUMBERVALUE("-0.001273")</f>
        <v/>
      </c>
      <c r="U685">
        <f>_xlfn.NUMBERVALUE("0.000982")</f>
        <v/>
      </c>
      <c r="V685">
        <f>_xlfn.NUMBERVALUE("0.000264")</f>
        <v/>
      </c>
      <c r="W685">
        <f>_xlfn.NUMBERVALUE("0.002348")</f>
        <v/>
      </c>
      <c r="X685">
        <f>_xlfn.NUMBERVALUE("-0.020000")</f>
        <v/>
      </c>
      <c r="Y685">
        <f>_xlfn.NUMBERVALUE("10.150000")</f>
        <v/>
      </c>
    </row>
    <row r="686">
      <c r="A686" s="1" t="n">
        <v>42997</v>
      </c>
      <c r="B686">
        <f>_xlfn.NUMBERVALUE("0.000000")</f>
        <v/>
      </c>
      <c r="C686" s="2">
        <f>_xlfn.NUMBERVALUE("-0.000140")</f>
        <v/>
      </c>
      <c r="D686">
        <f>_xlfn.NUMBERVALUE("-0.000737")</f>
        <v/>
      </c>
      <c r="E686">
        <f>_xlfn.NUMBERVALUE("0.000415")</f>
        <v/>
      </c>
      <c r="F686">
        <f>_xlfn.NUMBERVALUE("0.001266")</f>
        <v/>
      </c>
      <c r="G686">
        <f>_xlfn.NUMBERVALUE("0.000176")</f>
        <v/>
      </c>
      <c r="H686">
        <f>_xlfn.NUMBERVALUE("0.000250")</f>
        <v/>
      </c>
      <c r="I686">
        <f>_xlfn.NUMBERVALUE("0.000873")</f>
        <v/>
      </c>
      <c r="J686">
        <f>_xlfn.NUMBERVALUE("0.000815")</f>
        <v/>
      </c>
      <c r="K686">
        <f>_xlfn.NUMBERVALUE("0.001281")</f>
        <v/>
      </c>
      <c r="L686">
        <f>_xlfn.NUMBERVALUE("-0.000495")</f>
        <v/>
      </c>
      <c r="M686">
        <f>_xlfn.NUMBERVALUE("-0.000048")</f>
        <v/>
      </c>
      <c r="N686">
        <f>_xlfn.NUMBERVALUE("0.000000")</f>
        <v/>
      </c>
      <c r="O686">
        <f>_xlfn.NUMBERVALUE("0.000691")</f>
        <v/>
      </c>
      <c r="P686">
        <f>_xlfn.NUMBERVALUE("-0.001680")</f>
        <v/>
      </c>
      <c r="Q686">
        <f>_xlfn.NUMBERVALUE("0.000132")</f>
        <v/>
      </c>
      <c r="R686">
        <f>_xlfn.NUMBERVALUE("-0.000058")</f>
        <v/>
      </c>
      <c r="S686">
        <f>_xlfn.NUMBERVALUE("0.000569")</f>
        <v/>
      </c>
      <c r="T686">
        <f>_xlfn.NUMBERVALUE("0.000437")</f>
        <v/>
      </c>
      <c r="U686">
        <f>_xlfn.NUMBERVALUE("0.000895")</f>
        <v/>
      </c>
      <c r="V686">
        <f>_xlfn.NUMBERVALUE("0.000074")</f>
        <v/>
      </c>
      <c r="W686">
        <f>_xlfn.NUMBERVALUE("0.000801")</f>
        <v/>
      </c>
      <c r="X686">
        <f>_xlfn.NUMBERVALUE("0.030000")</f>
        <v/>
      </c>
      <c r="Y686">
        <f>_xlfn.NUMBERVALUE("10.180000")</f>
        <v/>
      </c>
    </row>
    <row r="687">
      <c r="A687" s="1" t="n">
        <v>42998</v>
      </c>
      <c r="B687">
        <f>_xlfn.NUMBERVALUE("0.000000")</f>
        <v/>
      </c>
      <c r="C687" s="2">
        <f>_xlfn.NUMBERVALUE("-0.000386")</f>
        <v/>
      </c>
      <c r="D687">
        <f>_xlfn.NUMBERVALUE("0.001582")</f>
        <v/>
      </c>
      <c r="E687">
        <f>_xlfn.NUMBERVALUE("0.000298")</f>
        <v/>
      </c>
      <c r="F687">
        <f>_xlfn.NUMBERVALUE("-0.000697")</f>
        <v/>
      </c>
      <c r="G687">
        <f>_xlfn.NUMBERVALUE("0.000176")</f>
        <v/>
      </c>
      <c r="H687">
        <f>_xlfn.NUMBERVALUE("-0.000332")</f>
        <v/>
      </c>
      <c r="I687">
        <f>_xlfn.NUMBERVALUE("-0.000542")</f>
        <v/>
      </c>
      <c r="J687">
        <f>_xlfn.NUMBERVALUE("0.000353")</f>
        <v/>
      </c>
      <c r="K687">
        <f>_xlfn.NUMBERVALUE("0.001062")</f>
        <v/>
      </c>
      <c r="L687">
        <f>_xlfn.NUMBERVALUE("0.001223")</f>
        <v/>
      </c>
      <c r="M687">
        <f>_xlfn.NUMBERVALUE("0.000669")</f>
        <v/>
      </c>
      <c r="N687">
        <f>_xlfn.NUMBERVALUE("0.000000")</f>
        <v/>
      </c>
      <c r="O687">
        <f>_xlfn.NUMBERVALUE("-0.000593")</f>
        <v/>
      </c>
      <c r="P687">
        <f>_xlfn.NUMBERVALUE("0.000565")</f>
        <v/>
      </c>
      <c r="Q687">
        <f>_xlfn.NUMBERVALUE("0.000173")</f>
        <v/>
      </c>
      <c r="R687">
        <f>_xlfn.NUMBERVALUE("0.000624")</f>
        <v/>
      </c>
      <c r="S687">
        <f>_xlfn.NUMBERVALUE("-0.001354")</f>
        <v/>
      </c>
      <c r="T687">
        <f>_xlfn.NUMBERVALUE("-0.000614")</f>
        <v/>
      </c>
      <c r="U687">
        <f>_xlfn.NUMBERVALUE("0.000081")</f>
        <v/>
      </c>
      <c r="V687">
        <f>_xlfn.NUMBERVALUE("0.000015")</f>
        <v/>
      </c>
      <c r="W687">
        <f>_xlfn.NUMBERVALUE("0.000960")</f>
        <v/>
      </c>
      <c r="X687">
        <f>_xlfn.NUMBERVALUE("-0.400000")</f>
        <v/>
      </c>
      <c r="Y687">
        <f>_xlfn.NUMBERVALUE("9.780000")</f>
        <v/>
      </c>
    </row>
    <row r="688">
      <c r="A688" s="1" t="n">
        <v>42999</v>
      </c>
      <c r="B688">
        <f>_xlfn.NUMBERVALUE("0.000000")</f>
        <v/>
      </c>
      <c r="C688" s="2">
        <f>_xlfn.NUMBERVALUE("0.000995")</f>
        <v/>
      </c>
      <c r="D688">
        <f>_xlfn.NUMBERVALUE("0.001072")</f>
        <v/>
      </c>
      <c r="E688">
        <f>_xlfn.NUMBERVALUE("0.000054")</f>
        <v/>
      </c>
      <c r="F688">
        <f>_xlfn.NUMBERVALUE("-0.000212")</f>
        <v/>
      </c>
      <c r="G688">
        <f>_xlfn.NUMBERVALUE("0.000467")</f>
        <v/>
      </c>
      <c r="H688">
        <f>_xlfn.NUMBERVALUE("0.000831")</f>
        <v/>
      </c>
      <c r="I688">
        <f>_xlfn.NUMBERVALUE("0.000719")</f>
        <v/>
      </c>
      <c r="J688">
        <f>_xlfn.NUMBERVALUE("0.000320")</f>
        <v/>
      </c>
      <c r="K688">
        <f>_xlfn.NUMBERVALUE("-0.001284")</f>
        <v/>
      </c>
      <c r="L688">
        <f>_xlfn.NUMBERVALUE("0.001072")</f>
        <v/>
      </c>
      <c r="M688">
        <f>_xlfn.NUMBERVALUE("-0.000538")</f>
        <v/>
      </c>
      <c r="N688">
        <f>_xlfn.NUMBERVALUE("0.000000")</f>
        <v/>
      </c>
      <c r="O688">
        <f>_xlfn.NUMBERVALUE("0.000366")</f>
        <v/>
      </c>
      <c r="P688">
        <f>_xlfn.NUMBERVALUE("0.000505")</f>
        <v/>
      </c>
      <c r="Q688">
        <f>_xlfn.NUMBERVALUE("0.000226")</f>
        <v/>
      </c>
      <c r="R688">
        <f>_xlfn.NUMBERVALUE("0.000532")</f>
        <v/>
      </c>
      <c r="S688">
        <f>_xlfn.NUMBERVALUE("-0.002142")</f>
        <v/>
      </c>
      <c r="T688">
        <f>_xlfn.NUMBERVALUE("0.000240")</f>
        <v/>
      </c>
      <c r="U688">
        <f>_xlfn.NUMBERVALUE("0.001214")</f>
        <v/>
      </c>
      <c r="V688">
        <f>_xlfn.NUMBERVALUE("0.001261")</f>
        <v/>
      </c>
      <c r="W688">
        <f>_xlfn.NUMBERVALUE("-0.003198")</f>
        <v/>
      </c>
      <c r="X688">
        <f>_xlfn.NUMBERVALUE("-0.110000")</f>
        <v/>
      </c>
      <c r="Y688">
        <f>_xlfn.NUMBERVALUE("9.670000")</f>
        <v/>
      </c>
    </row>
    <row r="689">
      <c r="A689" s="1" t="n">
        <v>43000</v>
      </c>
      <c r="B689">
        <f>_xlfn.NUMBERVALUE("0.000000")</f>
        <v/>
      </c>
      <c r="C689" s="2">
        <f>_xlfn.NUMBERVALUE("0.000466")</f>
        <v/>
      </c>
      <c r="D689">
        <f>_xlfn.NUMBERVALUE("0.000738")</f>
        <v/>
      </c>
      <c r="E689">
        <f>_xlfn.NUMBERVALUE("0.000761")</f>
        <v/>
      </c>
      <c r="F689">
        <f>_xlfn.NUMBERVALUE("-0.000540")</f>
        <v/>
      </c>
      <c r="G689">
        <f>_xlfn.NUMBERVALUE("0.000628")</f>
        <v/>
      </c>
      <c r="H689">
        <f>_xlfn.NUMBERVALUE("-0.000263")</f>
        <v/>
      </c>
      <c r="I689">
        <f>_xlfn.NUMBERVALUE("0.000445")</f>
        <v/>
      </c>
      <c r="J689">
        <f>_xlfn.NUMBERVALUE("-0.000061")</f>
        <v/>
      </c>
      <c r="K689">
        <f>_xlfn.NUMBERVALUE("0.000596")</f>
        <v/>
      </c>
      <c r="L689">
        <f>_xlfn.NUMBERVALUE("-0.000394")</f>
        <v/>
      </c>
      <c r="M689">
        <f>_xlfn.NUMBERVALUE("0.001217")</f>
        <v/>
      </c>
      <c r="N689">
        <f>_xlfn.NUMBERVALUE("0.000000")</f>
        <v/>
      </c>
      <c r="O689">
        <f>_xlfn.NUMBERVALUE("0.000271")</f>
        <v/>
      </c>
      <c r="P689">
        <f>_xlfn.NUMBERVALUE("0.000717")</f>
        <v/>
      </c>
      <c r="Q689">
        <f>_xlfn.NUMBERVALUE("-0.000073")</f>
        <v/>
      </c>
      <c r="R689">
        <f>_xlfn.NUMBERVALUE("0.000457")</f>
        <v/>
      </c>
      <c r="S689">
        <f>_xlfn.NUMBERVALUE("0.000266")</f>
        <v/>
      </c>
      <c r="T689">
        <f>_xlfn.NUMBERVALUE("0.000008")</f>
        <v/>
      </c>
      <c r="U689">
        <f>_xlfn.NUMBERVALUE("0.000389")</f>
        <v/>
      </c>
      <c r="V689">
        <f>_xlfn.NUMBERVALUE("0.000605")</f>
        <v/>
      </c>
      <c r="W689">
        <f>_xlfn.NUMBERVALUE("0.000963")</f>
        <v/>
      </c>
      <c r="X689">
        <f>_xlfn.NUMBERVALUE("-0.080000")</f>
        <v/>
      </c>
      <c r="Y689">
        <f>_xlfn.NUMBERVALUE("9.590000")</f>
        <v/>
      </c>
    </row>
    <row r="690">
      <c r="A690" s="1" t="n">
        <v>43003</v>
      </c>
      <c r="B690">
        <f>_xlfn.NUMBERVALUE("0.000000")</f>
        <v/>
      </c>
      <c r="C690" s="2">
        <f>_xlfn.NUMBERVALUE("0.000744")</f>
        <v/>
      </c>
      <c r="D690">
        <f>_xlfn.NUMBERVALUE("-0.004124")</f>
        <v/>
      </c>
      <c r="E690">
        <f>_xlfn.NUMBERVALUE("-0.000230")</f>
        <v/>
      </c>
      <c r="F690">
        <f>_xlfn.NUMBERVALUE("-0.000613")</f>
        <v/>
      </c>
      <c r="G690">
        <f>_xlfn.NUMBERVALUE("-0.000146")</f>
        <v/>
      </c>
      <c r="H690">
        <f>_xlfn.NUMBERVALUE("0.001260")</f>
        <v/>
      </c>
      <c r="I690">
        <f>_xlfn.NUMBERVALUE("0.000596")</f>
        <v/>
      </c>
      <c r="J690">
        <f>_xlfn.NUMBERVALUE("-0.000837")</f>
        <v/>
      </c>
      <c r="K690">
        <f>_xlfn.NUMBERVALUE("0.002171")</f>
        <v/>
      </c>
      <c r="L690">
        <f>_xlfn.NUMBERVALUE("0.000138")</f>
        <v/>
      </c>
      <c r="M690">
        <f>_xlfn.NUMBERVALUE("-0.000155")</f>
        <v/>
      </c>
      <c r="N690">
        <f>_xlfn.NUMBERVALUE("0.000000")</f>
        <v/>
      </c>
      <c r="O690">
        <f>_xlfn.NUMBERVALUE("-0.000867")</f>
        <v/>
      </c>
      <c r="P690">
        <f>_xlfn.NUMBERVALUE("0.000169")</f>
        <v/>
      </c>
      <c r="Q690">
        <f>_xlfn.NUMBERVALUE("0.000155")</f>
        <v/>
      </c>
      <c r="R690">
        <f>_xlfn.NUMBERVALUE("-0.003059")</f>
        <v/>
      </c>
      <c r="S690">
        <f>_xlfn.NUMBERVALUE("0.001128")</f>
        <v/>
      </c>
      <c r="T690">
        <f>_xlfn.NUMBERVALUE("-0.000526")</f>
        <v/>
      </c>
      <c r="U690">
        <f>_xlfn.NUMBERVALUE("-0.000073")</f>
        <v/>
      </c>
      <c r="V690">
        <f>_xlfn.NUMBERVALUE("0.000424")</f>
        <v/>
      </c>
      <c r="W690">
        <f>_xlfn.NUMBERVALUE("-0.002724")</f>
        <v/>
      </c>
      <c r="X690">
        <f>_xlfn.NUMBERVALUE("0.620000")</f>
        <v/>
      </c>
      <c r="Y690">
        <f>_xlfn.NUMBERVALUE("10.210000")</f>
        <v/>
      </c>
    </row>
    <row r="691">
      <c r="A691" s="1" t="n">
        <v>43004</v>
      </c>
      <c r="B691">
        <f>_xlfn.NUMBERVALUE("0.000000")</f>
        <v/>
      </c>
      <c r="C691" s="2">
        <f>_xlfn.NUMBERVALUE("0.000793")</f>
        <v/>
      </c>
      <c r="D691">
        <f>_xlfn.NUMBERVALUE("0.001457")</f>
        <v/>
      </c>
      <c r="E691">
        <f>_xlfn.NUMBERVALUE("0.000103")</f>
        <v/>
      </c>
      <c r="F691">
        <f>_xlfn.NUMBERVALUE("-0.001902")</f>
        <v/>
      </c>
      <c r="G691">
        <f>_xlfn.NUMBERVALUE("0.000444")</f>
        <v/>
      </c>
      <c r="H691">
        <f>_xlfn.NUMBERVALUE("0.000016")</f>
        <v/>
      </c>
      <c r="I691">
        <f>_xlfn.NUMBERVALUE("-0.001986")</f>
        <v/>
      </c>
      <c r="J691">
        <f>_xlfn.NUMBERVALUE("0.000950")</f>
        <v/>
      </c>
      <c r="K691">
        <f>_xlfn.NUMBERVALUE("-0.004035")</f>
        <v/>
      </c>
      <c r="L691">
        <f>_xlfn.NUMBERVALUE("0.000535")</f>
        <v/>
      </c>
      <c r="M691">
        <f>_xlfn.NUMBERVALUE("0.000533")</f>
        <v/>
      </c>
      <c r="N691">
        <f>_xlfn.NUMBERVALUE("0.000000")</f>
        <v/>
      </c>
      <c r="O691">
        <f>_xlfn.NUMBERVALUE("0.000233")</f>
        <v/>
      </c>
      <c r="P691">
        <f>_xlfn.NUMBERVALUE("0.001769")</f>
        <v/>
      </c>
      <c r="Q691">
        <f>_xlfn.NUMBERVALUE("0.000221")</f>
        <v/>
      </c>
      <c r="R691">
        <f>_xlfn.NUMBERVALUE("0.001494")</f>
        <v/>
      </c>
      <c r="S691">
        <f>_xlfn.NUMBERVALUE("0.000021")</f>
        <v/>
      </c>
      <c r="T691">
        <f>_xlfn.NUMBERVALUE("0.000523")</f>
        <v/>
      </c>
      <c r="U691">
        <f>_xlfn.NUMBERVALUE("0.000908")</f>
        <v/>
      </c>
      <c r="V691">
        <f>_xlfn.NUMBERVALUE("0.000599")</f>
        <v/>
      </c>
      <c r="W691">
        <f>_xlfn.NUMBERVALUE("0.000362")</f>
        <v/>
      </c>
      <c r="X691">
        <f>_xlfn.NUMBERVALUE("-0.040000")</f>
        <v/>
      </c>
      <c r="Y691">
        <f>_xlfn.NUMBERVALUE("10.170000")</f>
        <v/>
      </c>
    </row>
    <row r="692">
      <c r="A692" s="1" t="n">
        <v>43005</v>
      </c>
      <c r="B692">
        <f>_xlfn.NUMBERVALUE("0.000000")</f>
        <v/>
      </c>
      <c r="C692" s="2">
        <f>_xlfn.NUMBERVALUE("0.000375")</f>
        <v/>
      </c>
      <c r="D692">
        <f>_xlfn.NUMBERVALUE("0.001387")</f>
        <v/>
      </c>
      <c r="E692">
        <f>_xlfn.NUMBERVALUE("0.000404")</f>
        <v/>
      </c>
      <c r="F692">
        <f>_xlfn.NUMBERVALUE("-0.000816")</f>
        <v/>
      </c>
      <c r="G692">
        <f>_xlfn.NUMBERVALUE("0.000321")</f>
        <v/>
      </c>
      <c r="H692">
        <f>_xlfn.NUMBERVALUE("-0.000319")</f>
        <v/>
      </c>
      <c r="I692">
        <f>_xlfn.NUMBERVALUE("-0.000891")</f>
        <v/>
      </c>
      <c r="J692">
        <f>_xlfn.NUMBERVALUE("-0.001100")</f>
        <v/>
      </c>
      <c r="K692">
        <f>_xlfn.NUMBERVALUE("0.000652")</f>
        <v/>
      </c>
      <c r="L692">
        <f>_xlfn.NUMBERVALUE("-0.005320")</f>
        <v/>
      </c>
      <c r="M692">
        <f>_xlfn.NUMBERVALUE("0.000981")</f>
        <v/>
      </c>
      <c r="N692">
        <f>_xlfn.NUMBERVALUE("0.000000")</f>
        <v/>
      </c>
      <c r="O692">
        <f>_xlfn.NUMBERVALUE("0.000043")</f>
        <v/>
      </c>
      <c r="P692">
        <f>_xlfn.NUMBERVALUE("-0.001136")</f>
        <v/>
      </c>
      <c r="Q692">
        <f>_xlfn.NUMBERVALUE("0.000136")</f>
        <v/>
      </c>
      <c r="R692">
        <f>_xlfn.NUMBERVALUE("-0.002398")</f>
        <v/>
      </c>
      <c r="S692">
        <f>_xlfn.NUMBERVALUE("-0.001228")</f>
        <v/>
      </c>
      <c r="T692">
        <f>_xlfn.NUMBERVALUE("-0.002353")</f>
        <v/>
      </c>
      <c r="U692">
        <f>_xlfn.NUMBERVALUE("0.000005")</f>
        <v/>
      </c>
      <c r="V692">
        <f>_xlfn.NUMBERVALUE("-0.000648")</f>
        <v/>
      </c>
      <c r="W692">
        <f>_xlfn.NUMBERVALUE("0.004337")</f>
        <v/>
      </c>
      <c r="X692">
        <f>_xlfn.NUMBERVALUE("-0.300000")</f>
        <v/>
      </c>
      <c r="Y692">
        <f>_xlfn.NUMBERVALUE("9.870000")</f>
        <v/>
      </c>
    </row>
    <row r="693">
      <c r="A693" s="1" t="n">
        <v>43006</v>
      </c>
      <c r="B693">
        <f>_xlfn.NUMBERVALUE("0.000000")</f>
        <v/>
      </c>
      <c r="C693" s="2">
        <f>_xlfn.NUMBERVALUE("0.000233")</f>
        <v/>
      </c>
      <c r="D693">
        <f>_xlfn.NUMBERVALUE("0.001483")</f>
        <v/>
      </c>
      <c r="E693">
        <f>_xlfn.NUMBERVALUE("0.000321")</f>
        <v/>
      </c>
      <c r="F693">
        <f>_xlfn.NUMBERVALUE("0.001243")</f>
        <v/>
      </c>
      <c r="G693">
        <f>_xlfn.NUMBERVALUE("-0.000161")</f>
        <v/>
      </c>
      <c r="H693">
        <f>_xlfn.NUMBERVALUE("-0.000029")</f>
        <v/>
      </c>
      <c r="I693">
        <f>_xlfn.NUMBERVALUE("0.000051")</f>
        <v/>
      </c>
      <c r="J693">
        <f>_xlfn.NUMBERVALUE("0.000228")</f>
        <v/>
      </c>
      <c r="K693">
        <f>_xlfn.NUMBERVALUE("0.000030")</f>
        <v/>
      </c>
      <c r="L693">
        <f>_xlfn.NUMBERVALUE("0.000319")</f>
        <v/>
      </c>
      <c r="M693">
        <f>_xlfn.NUMBERVALUE("-0.000349")</f>
        <v/>
      </c>
      <c r="N693">
        <f>_xlfn.NUMBERVALUE("0.000000")</f>
        <v/>
      </c>
      <c r="O693">
        <f>_xlfn.NUMBERVALUE("0.000107")</f>
        <v/>
      </c>
      <c r="P693">
        <f>_xlfn.NUMBERVALUE("0.000499")</f>
        <v/>
      </c>
      <c r="Q693">
        <f>_xlfn.NUMBERVALUE("-0.000077")</f>
        <v/>
      </c>
      <c r="R693">
        <f>_xlfn.NUMBERVALUE("0.001105")</f>
        <v/>
      </c>
      <c r="S693">
        <f>_xlfn.NUMBERVALUE("0.000242")</f>
        <v/>
      </c>
      <c r="T693">
        <f>_xlfn.NUMBERVALUE("0.000372")</f>
        <v/>
      </c>
      <c r="U693">
        <f>_xlfn.NUMBERVALUE("0.000924")</f>
        <v/>
      </c>
      <c r="V693">
        <f>_xlfn.NUMBERVALUE("0.000586")</f>
        <v/>
      </c>
      <c r="W693">
        <f>_xlfn.NUMBERVALUE("0.000780")</f>
        <v/>
      </c>
      <c r="X693">
        <f>_xlfn.NUMBERVALUE("-0.320000")</f>
        <v/>
      </c>
      <c r="Y693">
        <f>_xlfn.NUMBERVALUE("9.550000")</f>
        <v/>
      </c>
    </row>
    <row r="694">
      <c r="A694" s="1" t="n">
        <v>43007</v>
      </c>
      <c r="B694">
        <f>_xlfn.NUMBERVALUE("0.000000")</f>
        <v/>
      </c>
      <c r="C694" s="2">
        <f>_xlfn.NUMBERVALUE("0.000184")</f>
        <v/>
      </c>
      <c r="D694">
        <f>_xlfn.NUMBERVALUE("-0.001666")</f>
        <v/>
      </c>
      <c r="E694">
        <f>_xlfn.NUMBERVALUE("-0.000357")</f>
        <v/>
      </c>
      <c r="F694">
        <f>_xlfn.NUMBERVALUE("-0.000194")</f>
        <v/>
      </c>
      <c r="G694">
        <f>_xlfn.NUMBERVALUE("0.000777")</f>
        <v/>
      </c>
      <c r="H694">
        <f>_xlfn.NUMBERVALUE("0.000138")</f>
        <v/>
      </c>
      <c r="I694">
        <f>_xlfn.NUMBERVALUE("-0.000035")</f>
        <v/>
      </c>
      <c r="J694">
        <f>_xlfn.NUMBERVALUE("0.000135")</f>
        <v/>
      </c>
      <c r="K694">
        <f>_xlfn.NUMBERVALUE("0.000483")</f>
        <v/>
      </c>
      <c r="L694">
        <f>_xlfn.NUMBERVALUE("-0.000413")</f>
        <v/>
      </c>
      <c r="M694">
        <f>_xlfn.NUMBERVALUE("0.000535")</f>
        <v/>
      </c>
      <c r="N694">
        <f>_xlfn.NUMBERVALUE("0.000000")</f>
        <v/>
      </c>
      <c r="O694">
        <f>_xlfn.NUMBERVALUE("-0.000090")</f>
        <v/>
      </c>
      <c r="P694">
        <f>_xlfn.NUMBERVALUE("0.000035")</f>
        <v/>
      </c>
      <c r="Q694">
        <f>_xlfn.NUMBERVALUE("0.000077")</f>
        <v/>
      </c>
      <c r="R694">
        <f>_xlfn.NUMBERVALUE("-0.000331")</f>
        <v/>
      </c>
      <c r="S694">
        <f>_xlfn.NUMBERVALUE("-0.000104")</f>
        <v/>
      </c>
      <c r="T694">
        <f>_xlfn.NUMBERVALUE("0.000236")</f>
        <v/>
      </c>
      <c r="U694">
        <f>_xlfn.NUMBERVALUE("0.000764")</f>
        <v/>
      </c>
      <c r="V694">
        <f>_xlfn.NUMBERVALUE("-0.000100")</f>
        <v/>
      </c>
      <c r="W694">
        <f>_xlfn.NUMBERVALUE("0.003576")</f>
        <v/>
      </c>
      <c r="X694">
        <f>_xlfn.NUMBERVALUE("-0.040000")</f>
        <v/>
      </c>
      <c r="Y694">
        <f>_xlfn.NUMBERVALUE("9.510000")</f>
        <v/>
      </c>
    </row>
    <row r="695">
      <c r="A695" s="1" t="n">
        <v>43010</v>
      </c>
      <c r="B695">
        <f>_xlfn.NUMBERVALUE("0.000000")</f>
        <v/>
      </c>
      <c r="C695" s="2">
        <f>_xlfn.NUMBERVALUE("-0.000012")</f>
        <v/>
      </c>
      <c r="D695">
        <f>_xlfn.NUMBERVALUE("0.005172")</f>
        <v/>
      </c>
      <c r="E695">
        <f>_xlfn.NUMBERVALUE("0.000162")</f>
        <v/>
      </c>
      <c r="F695">
        <f>_xlfn.NUMBERVALUE("0.000119")</f>
        <v/>
      </c>
      <c r="G695">
        <f>_xlfn.NUMBERVALUE("0.000473")</f>
        <v/>
      </c>
      <c r="H695">
        <f>_xlfn.NUMBERVALUE("0.000083")</f>
        <v/>
      </c>
      <c r="I695">
        <f>_xlfn.NUMBERVALUE("0.000071")</f>
        <v/>
      </c>
      <c r="J695">
        <f>_xlfn.NUMBERVALUE("0.000097")</f>
        <v/>
      </c>
      <c r="K695">
        <f>_xlfn.NUMBERVALUE("0.000065")</f>
        <v/>
      </c>
      <c r="L695">
        <f>_xlfn.NUMBERVALUE("0.001148")</f>
        <v/>
      </c>
      <c r="M695">
        <f>_xlfn.NUMBERVALUE("0.000227")</f>
        <v/>
      </c>
      <c r="N695">
        <f>_xlfn.NUMBERVALUE("0.000000")</f>
        <v/>
      </c>
      <c r="O695">
        <f>_xlfn.NUMBERVALUE("0.000166")</f>
        <v/>
      </c>
      <c r="P695">
        <f>_xlfn.NUMBERVALUE("0.000324")</f>
        <v/>
      </c>
      <c r="Q695">
        <f>_xlfn.NUMBERVALUE("-0.000107")</f>
        <v/>
      </c>
      <c r="R695">
        <f>_xlfn.NUMBERVALUE("0.001381")</f>
        <v/>
      </c>
      <c r="S695">
        <f>_xlfn.NUMBERVALUE("0.000361")</f>
        <v/>
      </c>
      <c r="T695">
        <f>_xlfn.NUMBERVALUE("0.000110")</f>
        <v/>
      </c>
      <c r="U695">
        <f>_xlfn.NUMBERVALUE("0.000989")</f>
        <v/>
      </c>
      <c r="V695">
        <f>_xlfn.NUMBERVALUE("0.000011")</f>
        <v/>
      </c>
      <c r="W695">
        <f>_xlfn.NUMBERVALUE("0.002030")</f>
        <v/>
      </c>
      <c r="X695">
        <f>_xlfn.NUMBERVALUE("-0.060000")</f>
        <v/>
      </c>
      <c r="Y695">
        <f>_xlfn.NUMBERVALUE("9.450000")</f>
        <v/>
      </c>
    </row>
    <row r="696">
      <c r="A696" s="1" t="n">
        <v>43011</v>
      </c>
      <c r="B696">
        <f>_xlfn.NUMBERVALUE("0.000000")</f>
        <v/>
      </c>
      <c r="C696" s="2">
        <f>_xlfn.NUMBERVALUE("-0.000930")</f>
        <v/>
      </c>
      <c r="D696">
        <f>_xlfn.NUMBERVALUE("-0.002512")</f>
        <v/>
      </c>
      <c r="E696">
        <f>_xlfn.NUMBERVALUE("-0.000297")</f>
        <v/>
      </c>
      <c r="F696">
        <f>_xlfn.NUMBERVALUE("0.001146")</f>
        <v/>
      </c>
      <c r="G696">
        <f>_xlfn.NUMBERVALUE("-0.000120")</f>
        <v/>
      </c>
      <c r="H696">
        <f>_xlfn.NUMBERVALUE("0.000304")</f>
        <v/>
      </c>
      <c r="I696">
        <f>_xlfn.NUMBERVALUE("0.001451")</f>
        <v/>
      </c>
      <c r="J696">
        <f>_xlfn.NUMBERVALUE("-0.000041")</f>
        <v/>
      </c>
      <c r="K696">
        <f>_xlfn.NUMBERVALUE("0.000379")</f>
        <v/>
      </c>
      <c r="L696">
        <f>_xlfn.NUMBERVALUE("0.000391")</f>
        <v/>
      </c>
      <c r="M696">
        <f>_xlfn.NUMBERVALUE("-0.000395")</f>
        <v/>
      </c>
      <c r="N696">
        <f>_xlfn.NUMBERVALUE("0.000000")</f>
        <v/>
      </c>
      <c r="O696">
        <f>_xlfn.NUMBERVALUE("-0.000066")</f>
        <v/>
      </c>
      <c r="P696">
        <f>_xlfn.NUMBERVALUE("-0.000356")</f>
        <v/>
      </c>
      <c r="Q696">
        <f>_xlfn.NUMBERVALUE("-0.000004")</f>
        <v/>
      </c>
      <c r="R696">
        <f>_xlfn.NUMBERVALUE("0.000562")</f>
        <v/>
      </c>
      <c r="S696">
        <f>_xlfn.NUMBERVALUE("-0.000074")</f>
        <v/>
      </c>
      <c r="T696">
        <f>_xlfn.NUMBERVALUE("-0.000033")</f>
        <v/>
      </c>
      <c r="U696">
        <f>_xlfn.NUMBERVALUE("0.000085")</f>
        <v/>
      </c>
      <c r="V696">
        <f>_xlfn.NUMBERVALUE("-0.000499")</f>
        <v/>
      </c>
      <c r="W696">
        <f>_xlfn.NUMBERVALUE("0.002221")</f>
        <v/>
      </c>
      <c r="X696">
        <f>_xlfn.NUMBERVALUE("0.060000")</f>
        <v/>
      </c>
      <c r="Y696">
        <f>_xlfn.NUMBERVALUE("9.510000")</f>
        <v/>
      </c>
    </row>
    <row r="697">
      <c r="A697" s="1" t="n">
        <v>43012</v>
      </c>
      <c r="B697">
        <f>_xlfn.NUMBERVALUE("0.000000")</f>
        <v/>
      </c>
      <c r="C697" s="2">
        <f>_xlfn.NUMBERVALUE("0.000659")</f>
        <v/>
      </c>
      <c r="D697">
        <f>_xlfn.NUMBERVALUE("0.001228")</f>
        <v/>
      </c>
      <c r="E697">
        <f>_xlfn.NUMBERVALUE("0.000725")</f>
        <v/>
      </c>
      <c r="F697">
        <f>_xlfn.NUMBERVALUE("0.000167")</f>
        <v/>
      </c>
      <c r="G697">
        <f>_xlfn.NUMBERVALUE("0.000813")</f>
        <v/>
      </c>
      <c r="H697">
        <f>_xlfn.NUMBERVALUE("0.000269")</f>
        <v/>
      </c>
      <c r="I697">
        <f>_xlfn.NUMBERVALUE("0.000222")</f>
        <v/>
      </c>
      <c r="J697">
        <f>_xlfn.NUMBERVALUE("0.000274")</f>
        <v/>
      </c>
      <c r="K697">
        <f>_xlfn.NUMBERVALUE("0.001106")</f>
        <v/>
      </c>
      <c r="L697">
        <f>_xlfn.NUMBERVALUE("0.000478")</f>
        <v/>
      </c>
      <c r="M697">
        <f>_xlfn.NUMBERVALUE("-0.000006")</f>
        <v/>
      </c>
      <c r="N697">
        <f>_xlfn.NUMBERVALUE("0.000000")</f>
        <v/>
      </c>
      <c r="O697">
        <f>_xlfn.NUMBERVALUE("0.000053")</f>
        <v/>
      </c>
      <c r="P697">
        <f>_xlfn.NUMBERVALUE("0.000120")</f>
        <v/>
      </c>
      <c r="Q697">
        <f>_xlfn.NUMBERVALUE("-0.000003")</f>
        <v/>
      </c>
      <c r="R697">
        <f>_xlfn.NUMBERVALUE("0.000762")</f>
        <v/>
      </c>
      <c r="S697">
        <f>_xlfn.NUMBERVALUE("0.000002")</f>
        <v/>
      </c>
      <c r="T697">
        <f>_xlfn.NUMBERVALUE("0.000038")</f>
        <v/>
      </c>
      <c r="U697">
        <f>_xlfn.NUMBERVALUE("-0.000656")</f>
        <v/>
      </c>
      <c r="V697">
        <f>_xlfn.NUMBERVALUE("0.000248")</f>
        <v/>
      </c>
      <c r="W697">
        <f>_xlfn.NUMBERVALUE("0.001266")</f>
        <v/>
      </c>
      <c r="X697">
        <f>_xlfn.NUMBERVALUE("0.120000")</f>
        <v/>
      </c>
      <c r="Y697">
        <f>_xlfn.NUMBERVALUE("9.630000")</f>
        <v/>
      </c>
    </row>
    <row r="698">
      <c r="A698" s="1" t="n">
        <v>43013</v>
      </c>
      <c r="B698">
        <f>_xlfn.NUMBERVALUE("0.000000")</f>
        <v/>
      </c>
      <c r="C698" s="2">
        <f>_xlfn.NUMBERVALUE("-0.001130")</f>
        <v/>
      </c>
      <c r="D698">
        <f>_xlfn.NUMBERVALUE("0.000181")</f>
        <v/>
      </c>
      <c r="E698">
        <f>_xlfn.NUMBERVALUE("0.000951")</f>
        <v/>
      </c>
      <c r="F698">
        <f>_xlfn.NUMBERVALUE("-0.000403")</f>
        <v/>
      </c>
      <c r="G698">
        <f>_xlfn.NUMBERVALUE("-0.000063")</f>
        <v/>
      </c>
      <c r="H698">
        <f>_xlfn.NUMBERVALUE("0.000111")</f>
        <v/>
      </c>
      <c r="I698">
        <f>_xlfn.NUMBERVALUE("0.000673")</f>
        <v/>
      </c>
      <c r="J698">
        <f>_xlfn.NUMBERVALUE("0.000794")</f>
        <v/>
      </c>
      <c r="K698">
        <f>_xlfn.NUMBERVALUE("0.000264")</f>
        <v/>
      </c>
      <c r="L698">
        <f>_xlfn.NUMBERVALUE("0.000098")</f>
        <v/>
      </c>
      <c r="M698">
        <f>_xlfn.NUMBERVALUE("-0.000003")</f>
        <v/>
      </c>
      <c r="N698">
        <f>_xlfn.NUMBERVALUE("0.000000")</f>
        <v/>
      </c>
      <c r="O698">
        <f>_xlfn.NUMBERVALUE("-0.000006")</f>
        <v/>
      </c>
      <c r="P698">
        <f>_xlfn.NUMBERVALUE("-0.000126")</f>
        <v/>
      </c>
      <c r="Q698">
        <f>_xlfn.NUMBERVALUE("-0.000003")</f>
        <v/>
      </c>
      <c r="R698">
        <f>_xlfn.NUMBERVALUE("-0.000268")</f>
        <v/>
      </c>
      <c r="S698">
        <f>_xlfn.NUMBERVALUE("0.000001")</f>
        <v/>
      </c>
      <c r="T698">
        <f>_xlfn.NUMBERVALUE("0.000056")</f>
        <v/>
      </c>
      <c r="U698">
        <f>_xlfn.NUMBERVALUE("-0.000110")</f>
        <v/>
      </c>
      <c r="V698">
        <f>_xlfn.NUMBERVALUE("-0.001080")</f>
        <v/>
      </c>
      <c r="W698">
        <f>_xlfn.NUMBERVALUE("0.005986")</f>
        <v/>
      </c>
      <c r="X698">
        <f>_xlfn.NUMBERVALUE("-0.440000")</f>
        <v/>
      </c>
      <c r="Y698">
        <f>_xlfn.NUMBERVALUE("9.190000")</f>
        <v/>
      </c>
    </row>
    <row r="699">
      <c r="A699" s="1" t="n">
        <v>43014</v>
      </c>
      <c r="B699">
        <f>_xlfn.NUMBERVALUE("0.000000")</f>
        <v/>
      </c>
      <c r="C699" s="2">
        <f>_xlfn.NUMBERVALUE("-0.000066")</f>
        <v/>
      </c>
      <c r="D699">
        <f>_xlfn.NUMBERVALUE("-0.000043")</f>
        <v/>
      </c>
      <c r="E699">
        <f>_xlfn.NUMBERVALUE("0.000447")</f>
        <v/>
      </c>
      <c r="F699">
        <f>_xlfn.NUMBERVALUE("0.000733")</f>
        <v/>
      </c>
      <c r="G699">
        <f>_xlfn.NUMBERVALUE("0.000018")</f>
        <v/>
      </c>
      <c r="H699">
        <f>_xlfn.NUMBERVALUE("0.000676")</f>
        <v/>
      </c>
      <c r="I699">
        <f>_xlfn.NUMBERVALUE("0.000085")</f>
        <v/>
      </c>
      <c r="J699">
        <f>_xlfn.NUMBERVALUE("0.000245")</f>
        <v/>
      </c>
      <c r="K699">
        <f>_xlfn.NUMBERVALUE("-0.000140")</f>
        <v/>
      </c>
      <c r="L699">
        <f>_xlfn.NUMBERVALUE("0.000145")</f>
        <v/>
      </c>
      <c r="M699">
        <f>_xlfn.NUMBERVALUE("0.000202")</f>
        <v/>
      </c>
      <c r="N699">
        <f>_xlfn.NUMBERVALUE("0.000000")</f>
        <v/>
      </c>
      <c r="O699">
        <f>_xlfn.NUMBERVALUE("-0.001505")</f>
        <v/>
      </c>
      <c r="P699">
        <f>_xlfn.NUMBERVALUE("0.001369")</f>
        <v/>
      </c>
      <c r="Q699">
        <f>_xlfn.NUMBERVALUE("0.000346")</f>
        <v/>
      </c>
      <c r="R699">
        <f>_xlfn.NUMBERVALUE("0.001231")</f>
        <v/>
      </c>
      <c r="S699">
        <f>_xlfn.NUMBERVALUE("-0.000938")</f>
        <v/>
      </c>
      <c r="T699">
        <f>_xlfn.NUMBERVALUE("0.000661")</f>
        <v/>
      </c>
      <c r="U699">
        <f>_xlfn.NUMBERVALUE("0.000481")</f>
        <v/>
      </c>
      <c r="V699">
        <f>_xlfn.NUMBERVALUE("0.000302")</f>
        <v/>
      </c>
      <c r="W699">
        <f>_xlfn.NUMBERVALUE("-0.001041")</f>
        <v/>
      </c>
      <c r="X699">
        <f>_xlfn.NUMBERVALUE("0.460000")</f>
        <v/>
      </c>
      <c r="Y699">
        <f>_xlfn.NUMBERVALUE("9.650000")</f>
        <v/>
      </c>
    </row>
    <row r="700">
      <c r="A700" s="1" t="n">
        <v>43017</v>
      </c>
      <c r="B700">
        <f>_xlfn.NUMBERVALUE("0.000000")</f>
        <v/>
      </c>
      <c r="C700" s="2">
        <f>_xlfn.NUMBERVALUE("0.000582")</f>
        <v/>
      </c>
      <c r="D700">
        <f>_xlfn.NUMBERVALUE("0.001252")</f>
        <v/>
      </c>
      <c r="E700">
        <f>_xlfn.NUMBERVALUE("0.000522")</f>
        <v/>
      </c>
      <c r="F700">
        <f>_xlfn.NUMBERVALUE("-0.000449")</f>
        <v/>
      </c>
      <c r="G700">
        <f>_xlfn.NUMBERVALUE("0.000414")</f>
        <v/>
      </c>
      <c r="H700">
        <f>_xlfn.NUMBERVALUE("-0.000134")</f>
        <v/>
      </c>
      <c r="I700">
        <f>_xlfn.NUMBERVALUE("0.001179")</f>
        <v/>
      </c>
      <c r="J700">
        <f>_xlfn.NUMBERVALUE("0.000137")</f>
        <v/>
      </c>
      <c r="K700">
        <f>_xlfn.NUMBERVALUE("-0.001151")</f>
        <v/>
      </c>
      <c r="L700">
        <f>_xlfn.NUMBERVALUE("0.001244")</f>
        <v/>
      </c>
      <c r="M700">
        <f>_xlfn.NUMBERVALUE("0.001023")</f>
        <v/>
      </c>
      <c r="N700">
        <f>_xlfn.NUMBERVALUE("0.000000")</f>
        <v/>
      </c>
      <c r="O700">
        <f>_xlfn.NUMBERVALUE("0.001071")</f>
        <v/>
      </c>
      <c r="P700">
        <f>_xlfn.NUMBERVALUE("0.000594")</f>
        <v/>
      </c>
      <c r="Q700">
        <f>_xlfn.NUMBERVALUE("0.000744")</f>
        <v/>
      </c>
      <c r="R700">
        <f>_xlfn.NUMBERVALUE("-0.000368")</f>
        <v/>
      </c>
      <c r="S700">
        <f>_xlfn.NUMBERVALUE("-0.000409")</f>
        <v/>
      </c>
      <c r="T700">
        <f>_xlfn.NUMBERVALUE("0.001183")</f>
        <v/>
      </c>
      <c r="U700">
        <f>_xlfn.NUMBERVALUE("0.000771")</f>
        <v/>
      </c>
      <c r="V700">
        <f>_xlfn.NUMBERVALUE("-0.000024")</f>
        <v/>
      </c>
      <c r="W700">
        <f>_xlfn.NUMBERVALUE("-0.001691")</f>
        <v/>
      </c>
      <c r="X700">
        <f>_xlfn.NUMBERVALUE("0.680000")</f>
        <v/>
      </c>
      <c r="Y700">
        <f>_xlfn.NUMBERVALUE("10.330000")</f>
        <v/>
      </c>
    </row>
    <row r="701">
      <c r="A701" s="1" t="n">
        <v>43018</v>
      </c>
      <c r="B701">
        <f>_xlfn.NUMBERVALUE("0.000000")</f>
        <v/>
      </c>
      <c r="C701" s="2">
        <f>_xlfn.NUMBERVALUE("-0.000658")</f>
        <v/>
      </c>
      <c r="D701">
        <f>_xlfn.NUMBERVALUE("-0.001646")</f>
        <v/>
      </c>
      <c r="E701">
        <f>_xlfn.NUMBERVALUE("-0.002369")</f>
        <v/>
      </c>
      <c r="F701">
        <f>_xlfn.NUMBERVALUE("0.000277")</f>
        <v/>
      </c>
      <c r="G701">
        <f>_xlfn.NUMBERVALUE("-0.000185")</f>
        <v/>
      </c>
      <c r="H701">
        <f>_xlfn.NUMBERVALUE("0.000373")</f>
        <v/>
      </c>
      <c r="I701">
        <f>_xlfn.NUMBERVALUE("0.000797")</f>
        <v/>
      </c>
      <c r="J701">
        <f>_xlfn.NUMBERVALUE("-0.000274")</f>
        <v/>
      </c>
      <c r="K701">
        <f>_xlfn.NUMBERVALUE("-0.000898")</f>
        <v/>
      </c>
      <c r="L701">
        <f>_xlfn.NUMBERVALUE("0.000560")</f>
        <v/>
      </c>
      <c r="M701">
        <f>_xlfn.NUMBERVALUE("0.000469")</f>
        <v/>
      </c>
      <c r="N701">
        <f>_xlfn.NUMBERVALUE("0.000000")</f>
        <v/>
      </c>
      <c r="O701">
        <f>_xlfn.NUMBERVALUE("0.001308")</f>
        <v/>
      </c>
      <c r="P701">
        <f>_xlfn.NUMBERVALUE("0.001254")</f>
        <v/>
      </c>
      <c r="Q701">
        <f>_xlfn.NUMBERVALUE("0.000051")</f>
        <v/>
      </c>
      <c r="R701">
        <f>_xlfn.NUMBERVALUE("0.000203")</f>
        <v/>
      </c>
      <c r="S701">
        <f>_xlfn.NUMBERVALUE("-0.001258")</f>
        <v/>
      </c>
      <c r="T701">
        <f>_xlfn.NUMBERVALUE("-0.002402")</f>
        <v/>
      </c>
      <c r="U701">
        <f>_xlfn.NUMBERVALUE("-0.000232")</f>
        <v/>
      </c>
      <c r="V701">
        <f>_xlfn.NUMBERVALUE("0.000062")</f>
        <v/>
      </c>
      <c r="W701">
        <f>_xlfn.NUMBERVALUE("0.002245")</f>
        <v/>
      </c>
      <c r="X701">
        <f>_xlfn.NUMBERVALUE("-0.250000")</f>
        <v/>
      </c>
      <c r="Y701">
        <f>_xlfn.NUMBERVALUE("10.080000")</f>
        <v/>
      </c>
    </row>
    <row r="702">
      <c r="A702" s="1" t="n">
        <v>43019</v>
      </c>
      <c r="B702">
        <f>_xlfn.NUMBERVALUE("0.000000")</f>
        <v/>
      </c>
      <c r="C702" s="2">
        <f>_xlfn.NUMBERVALUE("0.000199")</f>
        <v/>
      </c>
      <c r="D702">
        <f>_xlfn.NUMBERVALUE("0.000405")</f>
        <v/>
      </c>
      <c r="E702">
        <f>_xlfn.NUMBERVALUE("-0.000201")</f>
        <v/>
      </c>
      <c r="F702">
        <f>_xlfn.NUMBERVALUE("0.000401")</f>
        <v/>
      </c>
      <c r="G702">
        <f>_xlfn.NUMBERVALUE("0.000443")</f>
        <v/>
      </c>
      <c r="H702">
        <f>_xlfn.NUMBERVALUE("0.001359")</f>
        <v/>
      </c>
      <c r="I702">
        <f>_xlfn.NUMBERVALUE("0.001588")</f>
        <v/>
      </c>
      <c r="J702">
        <f>_xlfn.NUMBERVALUE("0.000264")</f>
        <v/>
      </c>
      <c r="K702">
        <f>_xlfn.NUMBERVALUE("0.000184")</f>
        <v/>
      </c>
      <c r="L702">
        <f>_xlfn.NUMBERVALUE("0.000611")</f>
        <v/>
      </c>
      <c r="M702">
        <f>_xlfn.NUMBERVALUE("0.000944")</f>
        <v/>
      </c>
      <c r="N702">
        <f>_xlfn.NUMBERVALUE("0.000000")</f>
        <v/>
      </c>
      <c r="O702">
        <f>_xlfn.NUMBERVALUE("0.000827")</f>
        <v/>
      </c>
      <c r="P702">
        <f>_xlfn.NUMBERVALUE("-0.000732")</f>
        <v/>
      </c>
      <c r="Q702">
        <f>_xlfn.NUMBERVALUE("0.000844")</f>
        <v/>
      </c>
      <c r="R702">
        <f>_xlfn.NUMBERVALUE("0.000267")</f>
        <v/>
      </c>
      <c r="S702">
        <f>_xlfn.NUMBERVALUE("0.001494")</f>
        <v/>
      </c>
      <c r="T702">
        <f>_xlfn.NUMBERVALUE("-0.000100")</f>
        <v/>
      </c>
      <c r="U702">
        <f>_xlfn.NUMBERVALUE("0.001050")</f>
        <v/>
      </c>
      <c r="V702">
        <f>_xlfn.NUMBERVALUE("0.000293")</f>
        <v/>
      </c>
      <c r="W702">
        <f>_xlfn.NUMBERVALUE("0.001957")</f>
        <v/>
      </c>
      <c r="X702">
        <f>_xlfn.NUMBERVALUE("-0.230000")</f>
        <v/>
      </c>
      <c r="Y702">
        <f>_xlfn.NUMBERVALUE("9.850000")</f>
        <v/>
      </c>
    </row>
    <row r="703">
      <c r="A703" s="1" t="n">
        <v>43020</v>
      </c>
      <c r="B703">
        <f>_xlfn.NUMBERVALUE("0.000000")</f>
        <v/>
      </c>
      <c r="C703" s="2">
        <f>_xlfn.NUMBERVALUE("0.000483")</f>
        <v/>
      </c>
      <c r="D703">
        <f>_xlfn.NUMBERVALUE("0.000826")</f>
        <v/>
      </c>
      <c r="E703">
        <f>_xlfn.NUMBERVALUE("0.000220")</f>
        <v/>
      </c>
      <c r="F703">
        <f>_xlfn.NUMBERVALUE("0.000790")</f>
        <v/>
      </c>
      <c r="G703">
        <f>_xlfn.NUMBERVALUE("0.000447")</f>
        <v/>
      </c>
      <c r="H703">
        <f>_xlfn.NUMBERVALUE("0.000131")</f>
        <v/>
      </c>
      <c r="I703">
        <f>_xlfn.NUMBERVALUE("0.001105")</f>
        <v/>
      </c>
      <c r="J703">
        <f>_xlfn.NUMBERVALUE("0.000690")</f>
        <v/>
      </c>
      <c r="K703">
        <f>_xlfn.NUMBERVALUE("0.000391")</f>
        <v/>
      </c>
      <c r="L703">
        <f>_xlfn.NUMBERVALUE("0.000456")</f>
        <v/>
      </c>
      <c r="M703">
        <f>_xlfn.NUMBERVALUE("0.000435")</f>
        <v/>
      </c>
      <c r="N703">
        <f>_xlfn.NUMBERVALUE("0.000000")</f>
        <v/>
      </c>
      <c r="O703">
        <f>_xlfn.NUMBERVALUE("0.000075")</f>
        <v/>
      </c>
      <c r="P703">
        <f>_xlfn.NUMBERVALUE("0.000819")</f>
        <v/>
      </c>
      <c r="Q703">
        <f>_xlfn.NUMBERVALUE("-0.000248")</f>
        <v/>
      </c>
      <c r="R703">
        <f>_xlfn.NUMBERVALUE("0.000643")</f>
        <v/>
      </c>
      <c r="S703">
        <f>_xlfn.NUMBERVALUE("-0.000149")</f>
        <v/>
      </c>
      <c r="T703">
        <f>_xlfn.NUMBERVALUE("0.000954")</f>
        <v/>
      </c>
      <c r="U703">
        <f>_xlfn.NUMBERVALUE("-0.000146")</f>
        <v/>
      </c>
      <c r="V703">
        <f>_xlfn.NUMBERVALUE("0.000439")</f>
        <v/>
      </c>
      <c r="W703">
        <f>_xlfn.NUMBERVALUE("-0.001600")</f>
        <v/>
      </c>
      <c r="X703">
        <f>_xlfn.NUMBERVALUE("0.060000")</f>
        <v/>
      </c>
      <c r="Y703">
        <f>_xlfn.NUMBERVALUE("9.910000")</f>
        <v/>
      </c>
    </row>
    <row r="704">
      <c r="A704" s="1" t="n">
        <v>43021</v>
      </c>
      <c r="B704">
        <f>_xlfn.NUMBERVALUE("0.000000")</f>
        <v/>
      </c>
      <c r="C704" s="2">
        <f>_xlfn.NUMBERVALUE("0.000204")</f>
        <v/>
      </c>
      <c r="D704">
        <f>_xlfn.NUMBERVALUE("-0.000344")</f>
        <v/>
      </c>
      <c r="E704">
        <f>_xlfn.NUMBERVALUE("-0.000863")</f>
        <v/>
      </c>
      <c r="F704">
        <f>_xlfn.NUMBERVALUE("-0.000586")</f>
        <v/>
      </c>
      <c r="G704">
        <f>_xlfn.NUMBERVALUE("-0.000002")</f>
        <v/>
      </c>
      <c r="H704">
        <f>_xlfn.NUMBERVALUE("-0.000898")</f>
        <v/>
      </c>
      <c r="I704">
        <f>_xlfn.NUMBERVALUE("0.000753")</f>
        <v/>
      </c>
      <c r="J704">
        <f>_xlfn.NUMBERVALUE("-0.000639")</f>
        <v/>
      </c>
      <c r="K704">
        <f>_xlfn.NUMBERVALUE("-0.000295")</f>
        <v/>
      </c>
      <c r="L704">
        <f>_xlfn.NUMBERVALUE("0.000094")</f>
        <v/>
      </c>
      <c r="M704">
        <f>_xlfn.NUMBERVALUE("-0.000067")</f>
        <v/>
      </c>
      <c r="N704">
        <f>_xlfn.NUMBERVALUE("0.000000")</f>
        <v/>
      </c>
      <c r="O704">
        <f>_xlfn.NUMBERVALUE("0.000625")</f>
        <v/>
      </c>
      <c r="P704">
        <f>_xlfn.NUMBERVALUE("0.003110")</f>
        <v/>
      </c>
      <c r="Q704">
        <f>_xlfn.NUMBERVALUE("0.000408")</f>
        <v/>
      </c>
      <c r="R704">
        <f>_xlfn.NUMBERVALUE("-0.000225")</f>
        <v/>
      </c>
      <c r="S704">
        <f>_xlfn.NUMBERVALUE("0.000654")</f>
        <v/>
      </c>
      <c r="T704">
        <f>_xlfn.NUMBERVALUE("0.000653")</f>
        <v/>
      </c>
      <c r="U704">
        <f>_xlfn.NUMBERVALUE("0.000266")</f>
        <v/>
      </c>
      <c r="V704">
        <f>_xlfn.NUMBERVALUE("0.000606")</f>
        <v/>
      </c>
      <c r="W704">
        <f>_xlfn.NUMBERVALUE("0.000962")</f>
        <v/>
      </c>
      <c r="X704">
        <f>_xlfn.NUMBERVALUE("-0.300000")</f>
        <v/>
      </c>
      <c r="Y704">
        <f>_xlfn.NUMBERVALUE("9.610000")</f>
        <v/>
      </c>
    </row>
    <row r="705">
      <c r="A705" s="1" t="n">
        <v>43024</v>
      </c>
      <c r="B705">
        <f>_xlfn.NUMBERVALUE("0.000000")</f>
        <v/>
      </c>
      <c r="C705" s="2">
        <f>_xlfn.NUMBERVALUE("0.000229")</f>
        <v/>
      </c>
      <c r="D705">
        <f>_xlfn.NUMBERVALUE("0.000277")</f>
        <v/>
      </c>
      <c r="E705">
        <f>_xlfn.NUMBERVALUE("0.000731")</f>
        <v/>
      </c>
      <c r="F705">
        <f>_xlfn.NUMBERVALUE("-0.000003")</f>
        <v/>
      </c>
      <c r="G705">
        <f>_xlfn.NUMBERVALUE("0.001083")</f>
        <v/>
      </c>
      <c r="H705">
        <f>_xlfn.NUMBERVALUE("0.000718")</f>
        <v/>
      </c>
      <c r="I705">
        <f>_xlfn.NUMBERVALUE("0.001831")</f>
        <v/>
      </c>
      <c r="J705">
        <f>_xlfn.NUMBERVALUE("0.000307")</f>
        <v/>
      </c>
      <c r="K705">
        <f>_xlfn.NUMBERVALUE("0.001913")</f>
        <v/>
      </c>
      <c r="L705">
        <f>_xlfn.NUMBERVALUE("0.001012")</f>
        <v/>
      </c>
      <c r="M705">
        <f>_xlfn.NUMBERVALUE("0.001580")</f>
        <v/>
      </c>
      <c r="N705">
        <f>_xlfn.NUMBERVALUE("0.000000")</f>
        <v/>
      </c>
      <c r="O705">
        <f>_xlfn.NUMBERVALUE("0.001674")</f>
        <v/>
      </c>
      <c r="P705">
        <f>_xlfn.NUMBERVALUE("0.001180")</f>
        <v/>
      </c>
      <c r="Q705">
        <f>_xlfn.NUMBERVALUE("0.000932")</f>
        <v/>
      </c>
      <c r="R705">
        <f>_xlfn.NUMBERVALUE("-0.000241")</f>
        <v/>
      </c>
      <c r="S705">
        <f>_xlfn.NUMBERVALUE("0.000735")</f>
        <v/>
      </c>
      <c r="T705">
        <f>_xlfn.NUMBERVALUE("0.001515")</f>
        <v/>
      </c>
      <c r="U705">
        <f>_xlfn.NUMBERVALUE("0.000265")</f>
        <v/>
      </c>
      <c r="V705">
        <f>_xlfn.NUMBERVALUE("-0.000075")</f>
        <v/>
      </c>
      <c r="W705">
        <f>_xlfn.NUMBERVALUE("0.001982")</f>
        <v/>
      </c>
      <c r="X705">
        <f>_xlfn.NUMBERVALUE("0.300000")</f>
        <v/>
      </c>
      <c r="Y705">
        <f>_xlfn.NUMBERVALUE("9.910000")</f>
        <v/>
      </c>
    </row>
    <row r="706">
      <c r="A706" s="1" t="n">
        <v>43025</v>
      </c>
      <c r="B706">
        <f>_xlfn.NUMBERVALUE("0.000000")</f>
        <v/>
      </c>
      <c r="C706" s="2">
        <f>_xlfn.NUMBERVALUE("-0.000234")</f>
        <v/>
      </c>
      <c r="D706">
        <f>_xlfn.NUMBERVALUE("0.001468")</f>
        <v/>
      </c>
      <c r="E706">
        <f>_xlfn.NUMBERVALUE("0.000638")</f>
        <v/>
      </c>
      <c r="F706">
        <f>_xlfn.NUMBERVALUE("0.000597")</f>
        <v/>
      </c>
      <c r="G706">
        <f>_xlfn.NUMBERVALUE("-0.000463")</f>
        <v/>
      </c>
      <c r="H706">
        <f>_xlfn.NUMBERVALUE("0.000861")</f>
        <v/>
      </c>
      <c r="I706">
        <f>_xlfn.NUMBERVALUE("0.000903")</f>
        <v/>
      </c>
      <c r="J706">
        <f>_xlfn.NUMBERVALUE("0.000683")</f>
        <v/>
      </c>
      <c r="K706">
        <f>_xlfn.NUMBERVALUE("0.002737")</f>
        <v/>
      </c>
      <c r="L706">
        <f>_xlfn.NUMBERVALUE("0.000460")</f>
        <v/>
      </c>
      <c r="M706">
        <f>_xlfn.NUMBERVALUE("0.000821")</f>
        <v/>
      </c>
      <c r="N706">
        <f>_xlfn.NUMBERVALUE("0.000000")</f>
        <v/>
      </c>
      <c r="O706">
        <f>_xlfn.NUMBERVALUE("0.000730")</f>
        <v/>
      </c>
      <c r="P706">
        <f>_xlfn.NUMBERVALUE("0.000987")</f>
        <v/>
      </c>
      <c r="Q706">
        <f>_xlfn.NUMBERVALUE("0.000879")</f>
        <v/>
      </c>
      <c r="R706">
        <f>_xlfn.NUMBERVALUE("0.001232")</f>
        <v/>
      </c>
      <c r="S706">
        <f>_xlfn.NUMBERVALUE("-0.000098")</f>
        <v/>
      </c>
      <c r="T706">
        <f>_xlfn.NUMBERVALUE("-0.000466")</f>
        <v/>
      </c>
      <c r="U706">
        <f>_xlfn.NUMBERVALUE("0.000980")</f>
        <v/>
      </c>
      <c r="V706">
        <f>_xlfn.NUMBERVALUE("0.000131")</f>
        <v/>
      </c>
      <c r="W706">
        <f>_xlfn.NUMBERVALUE("0.000666")</f>
        <v/>
      </c>
      <c r="X706">
        <f>_xlfn.NUMBERVALUE("0.400000")</f>
        <v/>
      </c>
      <c r="Y706">
        <f>_xlfn.NUMBERVALUE("10.310000")</f>
        <v/>
      </c>
    </row>
    <row r="707">
      <c r="A707" s="1" t="n">
        <v>43026</v>
      </c>
      <c r="B707">
        <f>_xlfn.NUMBERVALUE("0.000000")</f>
        <v/>
      </c>
      <c r="C707" s="2">
        <f>_xlfn.NUMBERVALUE("-0.001709")</f>
        <v/>
      </c>
      <c r="D707">
        <f>_xlfn.NUMBERVALUE("0.000293")</f>
        <v/>
      </c>
      <c r="E707">
        <f>_xlfn.NUMBERVALUE("0.000293")</f>
        <v/>
      </c>
      <c r="F707">
        <f>_xlfn.NUMBERVALUE("0.000476")</f>
        <v/>
      </c>
      <c r="G707">
        <f>_xlfn.NUMBERVALUE("-0.000100")</f>
        <v/>
      </c>
      <c r="H707">
        <f>_xlfn.NUMBERVALUE("-0.000188")</f>
        <v/>
      </c>
      <c r="I707">
        <f>_xlfn.NUMBERVALUE("0.000528")</f>
        <v/>
      </c>
      <c r="J707">
        <f>_xlfn.NUMBERVALUE("0.000458")</f>
        <v/>
      </c>
      <c r="K707">
        <f>_xlfn.NUMBERVALUE("-0.001712")</f>
        <v/>
      </c>
      <c r="L707">
        <f>_xlfn.NUMBERVALUE("-0.000483")</f>
        <v/>
      </c>
      <c r="M707">
        <f>_xlfn.NUMBERVALUE("0.000391")</f>
        <v/>
      </c>
      <c r="N707">
        <f>_xlfn.NUMBERVALUE("0.000000")</f>
        <v/>
      </c>
      <c r="O707">
        <f>_xlfn.NUMBERVALUE("-0.000145")</f>
        <v/>
      </c>
      <c r="P707">
        <f>_xlfn.NUMBERVALUE("-0.000240")</f>
        <v/>
      </c>
      <c r="Q707">
        <f>_xlfn.NUMBERVALUE("0.001184")</f>
        <v/>
      </c>
      <c r="R707">
        <f>_xlfn.NUMBERVALUE("0.000708")</f>
        <v/>
      </c>
      <c r="S707">
        <f>_xlfn.NUMBERVALUE("0.000648")</f>
        <v/>
      </c>
      <c r="T707">
        <f>_xlfn.NUMBERVALUE("0.000676")</f>
        <v/>
      </c>
      <c r="U707">
        <f>_xlfn.NUMBERVALUE("0.000929")</f>
        <v/>
      </c>
      <c r="V707">
        <f>_xlfn.NUMBERVALUE("0.000389")</f>
        <v/>
      </c>
      <c r="W707">
        <f>_xlfn.NUMBERVALUE("0.000626")</f>
        <v/>
      </c>
      <c r="X707">
        <f>_xlfn.NUMBERVALUE("-0.240000")</f>
        <v/>
      </c>
      <c r="Y707">
        <f>_xlfn.NUMBERVALUE("10.070000")</f>
        <v/>
      </c>
    </row>
    <row r="708">
      <c r="A708" s="1" t="n">
        <v>43027</v>
      </c>
      <c r="B708">
        <f>_xlfn.NUMBERVALUE("0.000000")</f>
        <v/>
      </c>
      <c r="C708" s="2">
        <f>_xlfn.NUMBERVALUE("0.000234")</f>
        <v/>
      </c>
      <c r="D708">
        <f>_xlfn.NUMBERVALUE("0.001002")</f>
        <v/>
      </c>
      <c r="E708">
        <f>_xlfn.NUMBERVALUE("0.000565")</f>
        <v/>
      </c>
      <c r="F708">
        <f>_xlfn.NUMBERVALUE("-0.000491")</f>
        <v/>
      </c>
      <c r="G708">
        <f>_xlfn.NUMBERVALUE("0.000269")</f>
        <v/>
      </c>
      <c r="H708">
        <f>_xlfn.NUMBERVALUE("0.000209")</f>
        <v/>
      </c>
      <c r="I708">
        <f>_xlfn.NUMBERVALUE("0.000209")</f>
        <v/>
      </c>
      <c r="J708">
        <f>_xlfn.NUMBERVALUE("-0.000586")</f>
        <v/>
      </c>
      <c r="K708">
        <f>_xlfn.NUMBERVALUE("-0.001966")</f>
        <v/>
      </c>
      <c r="L708">
        <f>_xlfn.NUMBERVALUE("0.000900")</f>
        <v/>
      </c>
      <c r="M708">
        <f>_xlfn.NUMBERVALUE("0.000571")</f>
        <v/>
      </c>
      <c r="N708">
        <f>_xlfn.NUMBERVALUE("0.000000")</f>
        <v/>
      </c>
      <c r="O708">
        <f>_xlfn.NUMBERVALUE("0.000174")</f>
        <v/>
      </c>
      <c r="P708">
        <f>_xlfn.NUMBERVALUE("-0.000139")</f>
        <v/>
      </c>
      <c r="Q708">
        <f>_xlfn.NUMBERVALUE("-0.000176")</f>
        <v/>
      </c>
      <c r="R708">
        <f>_xlfn.NUMBERVALUE("-0.000344")</f>
        <v/>
      </c>
      <c r="S708">
        <f>_xlfn.NUMBERVALUE("-0.000258")</f>
        <v/>
      </c>
      <c r="T708">
        <f>_xlfn.NUMBERVALUE("-0.001379")</f>
        <v/>
      </c>
      <c r="U708">
        <f>_xlfn.NUMBERVALUE("0.000068")</f>
        <v/>
      </c>
      <c r="V708">
        <f>_xlfn.NUMBERVALUE("-0.000100")</f>
        <v/>
      </c>
      <c r="W708">
        <f>_xlfn.NUMBERVALUE("-0.000039")</f>
        <v/>
      </c>
      <c r="X708">
        <f>_xlfn.NUMBERVALUE("-0.020000")</f>
        <v/>
      </c>
      <c r="Y708">
        <f>_xlfn.NUMBERVALUE("10.050000")</f>
        <v/>
      </c>
    </row>
    <row r="709">
      <c r="A709" s="1" t="n">
        <v>43028</v>
      </c>
      <c r="B709">
        <f>_xlfn.NUMBERVALUE("0.000000")</f>
        <v/>
      </c>
      <c r="C709" s="2">
        <f>_xlfn.NUMBERVALUE("-0.000908")</f>
        <v/>
      </c>
      <c r="D709">
        <f>_xlfn.NUMBERVALUE("0.000740")</f>
        <v/>
      </c>
      <c r="E709">
        <f>_xlfn.NUMBERVALUE("0.000292")</f>
        <v/>
      </c>
      <c r="F709">
        <f>_xlfn.NUMBERVALUE("0.000429")</f>
        <v/>
      </c>
      <c r="G709">
        <f>_xlfn.NUMBERVALUE("0.000692")</f>
        <v/>
      </c>
      <c r="H709">
        <f>_xlfn.NUMBERVALUE("-0.002026")</f>
        <v/>
      </c>
      <c r="I709">
        <f>_xlfn.NUMBERVALUE("0.000750")</f>
        <v/>
      </c>
      <c r="J709">
        <f>_xlfn.NUMBERVALUE("-0.000147")</f>
        <v/>
      </c>
      <c r="K709">
        <f>_xlfn.NUMBERVALUE("0.000439")</f>
        <v/>
      </c>
      <c r="L709">
        <f>_xlfn.NUMBERVALUE("-0.004127")</f>
        <v/>
      </c>
      <c r="M709">
        <f>_xlfn.NUMBERVALUE("-0.000475")</f>
        <v/>
      </c>
      <c r="N709">
        <f>_xlfn.NUMBERVALUE("0.000000")</f>
        <v/>
      </c>
      <c r="O709">
        <f>_xlfn.NUMBERVALUE("0.001396")</f>
        <v/>
      </c>
      <c r="P709">
        <f>_xlfn.NUMBERVALUE("-0.002521")</f>
        <v/>
      </c>
      <c r="Q709">
        <f>_xlfn.NUMBERVALUE("-0.002569")</f>
        <v/>
      </c>
      <c r="R709">
        <f>_xlfn.NUMBERVALUE("-0.000018")</f>
        <v/>
      </c>
      <c r="S709">
        <f>_xlfn.NUMBERVALUE("0.000158")</f>
        <v/>
      </c>
      <c r="T709">
        <f>_xlfn.NUMBERVALUE("-0.000454")</f>
        <v/>
      </c>
      <c r="U709">
        <f>_xlfn.NUMBERVALUE("-0.000034")</f>
        <v/>
      </c>
      <c r="V709">
        <f>_xlfn.NUMBERVALUE("-0.000328")</f>
        <v/>
      </c>
      <c r="W709">
        <f>_xlfn.NUMBERVALUE("0.004694")</f>
        <v/>
      </c>
      <c r="X709">
        <f>_xlfn.NUMBERVALUE("-0.080000")</f>
        <v/>
      </c>
      <c r="Y709">
        <f>_xlfn.NUMBERVALUE("9.970000")</f>
        <v/>
      </c>
    </row>
    <row r="710">
      <c r="A710" s="1" t="n">
        <v>43031</v>
      </c>
      <c r="B710">
        <f>_xlfn.NUMBERVALUE("0.000000")</f>
        <v/>
      </c>
      <c r="C710" s="2">
        <f>_xlfn.NUMBERVALUE("0.000402")</f>
        <v/>
      </c>
      <c r="D710">
        <f>_xlfn.NUMBERVALUE("-0.000779")</f>
        <v/>
      </c>
      <c r="E710">
        <f>_xlfn.NUMBERVALUE("0.000806")</f>
        <v/>
      </c>
      <c r="F710">
        <f>_xlfn.NUMBERVALUE("0.000762")</f>
        <v/>
      </c>
      <c r="G710">
        <f>_xlfn.NUMBERVALUE("-0.000277")</f>
        <v/>
      </c>
      <c r="H710">
        <f>_xlfn.NUMBERVALUE("0.001618")</f>
        <v/>
      </c>
      <c r="I710">
        <f>_xlfn.NUMBERVALUE("-0.001535")</f>
        <v/>
      </c>
      <c r="J710">
        <f>_xlfn.NUMBERVALUE("0.000373")</f>
        <v/>
      </c>
      <c r="K710">
        <f>_xlfn.NUMBERVALUE("0.000892")</f>
        <v/>
      </c>
      <c r="L710">
        <f>_xlfn.NUMBERVALUE("0.000035")</f>
        <v/>
      </c>
      <c r="M710">
        <f>_xlfn.NUMBERVALUE("-0.000009")</f>
        <v/>
      </c>
      <c r="N710">
        <f>_xlfn.NUMBERVALUE("0.000000")</f>
        <v/>
      </c>
      <c r="O710">
        <f>_xlfn.NUMBERVALUE("-0.000158")</f>
        <v/>
      </c>
      <c r="P710">
        <f>_xlfn.NUMBERVALUE("0.001605")</f>
        <v/>
      </c>
      <c r="Q710">
        <f>_xlfn.NUMBERVALUE("0.000022")</f>
        <v/>
      </c>
      <c r="R710">
        <f>_xlfn.NUMBERVALUE("-0.000163")</f>
        <v/>
      </c>
      <c r="S710">
        <f>_xlfn.NUMBERVALUE("0.000918")</f>
        <v/>
      </c>
      <c r="T710">
        <f>_xlfn.NUMBERVALUE("0.000428")</f>
        <v/>
      </c>
      <c r="U710">
        <f>_xlfn.NUMBERVALUE("0.000153")</f>
        <v/>
      </c>
      <c r="V710">
        <f>_xlfn.NUMBERVALUE("-0.000035")</f>
        <v/>
      </c>
      <c r="W710">
        <f>_xlfn.NUMBERVALUE("-0.002842")</f>
        <v/>
      </c>
      <c r="X710">
        <f>_xlfn.NUMBERVALUE("1.100000")</f>
        <v/>
      </c>
      <c r="Y710">
        <f>_xlfn.NUMBERVALUE("11.070000")</f>
        <v/>
      </c>
    </row>
    <row r="711">
      <c r="A711" s="1" t="n">
        <v>43032</v>
      </c>
      <c r="B711">
        <f>_xlfn.NUMBERVALUE("0.000000")</f>
        <v/>
      </c>
      <c r="C711" s="2">
        <f>_xlfn.NUMBERVALUE("-0.000626")</f>
        <v/>
      </c>
      <c r="D711">
        <f>_xlfn.NUMBERVALUE("0.001462")</f>
        <v/>
      </c>
      <c r="E711">
        <f>_xlfn.NUMBERVALUE("0.000051")</f>
        <v/>
      </c>
      <c r="F711">
        <f>_xlfn.NUMBERVALUE("0.000312")</f>
        <v/>
      </c>
      <c r="G711">
        <f>_xlfn.NUMBERVALUE("0.000239")</f>
        <v/>
      </c>
      <c r="H711">
        <f>_xlfn.NUMBERVALUE("-0.000353")</f>
        <v/>
      </c>
      <c r="I711">
        <f>_xlfn.NUMBERVALUE("0.000925")</f>
        <v/>
      </c>
      <c r="J711">
        <f>_xlfn.NUMBERVALUE("0.000288")</f>
        <v/>
      </c>
      <c r="K711">
        <f>_xlfn.NUMBERVALUE("0.000878")</f>
        <v/>
      </c>
      <c r="L711">
        <f>_xlfn.NUMBERVALUE("-0.000474")</f>
        <v/>
      </c>
      <c r="M711">
        <f>_xlfn.NUMBERVALUE("-0.000133")</f>
        <v/>
      </c>
      <c r="N711">
        <f>_xlfn.NUMBERVALUE("0.000000")</f>
        <v/>
      </c>
      <c r="O711">
        <f>_xlfn.NUMBERVALUE("0.000298")</f>
        <v/>
      </c>
      <c r="P711">
        <f>_xlfn.NUMBERVALUE("-0.002759")</f>
        <v/>
      </c>
      <c r="Q711">
        <f>_xlfn.NUMBERVALUE("-0.000923")</f>
        <v/>
      </c>
      <c r="R711">
        <f>_xlfn.NUMBERVALUE("0.000639")</f>
        <v/>
      </c>
      <c r="S711">
        <f>_xlfn.NUMBERVALUE("0.000184")</f>
        <v/>
      </c>
      <c r="T711">
        <f>_xlfn.NUMBERVALUE("0.000222")</f>
        <v/>
      </c>
      <c r="U711">
        <f>_xlfn.NUMBERVALUE("0.000714")</f>
        <v/>
      </c>
      <c r="V711">
        <f>_xlfn.NUMBERVALUE("0.000306")</f>
        <v/>
      </c>
      <c r="W711">
        <f>_xlfn.NUMBERVALUE("0.001093")</f>
        <v/>
      </c>
      <c r="X711">
        <f>_xlfn.NUMBERVALUE("0.090000")</f>
        <v/>
      </c>
      <c r="Y711">
        <f>_xlfn.NUMBERVALUE("11.160000")</f>
        <v/>
      </c>
    </row>
    <row r="712">
      <c r="A712" s="1" t="n">
        <v>43033</v>
      </c>
      <c r="B712">
        <f>_xlfn.NUMBERVALUE("0.000000")</f>
        <v/>
      </c>
      <c r="C712" s="2">
        <f>_xlfn.NUMBERVALUE("0.000603")</f>
        <v/>
      </c>
      <c r="D712">
        <f>_xlfn.NUMBERVALUE("-0.000127")</f>
        <v/>
      </c>
      <c r="E712">
        <f>_xlfn.NUMBERVALUE("0.000218")</f>
        <v/>
      </c>
      <c r="F712">
        <f>_xlfn.NUMBERVALUE("0.000246")</f>
        <v/>
      </c>
      <c r="G712">
        <f>_xlfn.NUMBERVALUE("-0.000102")</f>
        <v/>
      </c>
      <c r="H712">
        <f>_xlfn.NUMBERVALUE("-0.000181")</f>
        <v/>
      </c>
      <c r="I712">
        <f>_xlfn.NUMBERVALUE("-0.000883")</f>
        <v/>
      </c>
      <c r="J712">
        <f>_xlfn.NUMBERVALUE("-0.000373")</f>
        <v/>
      </c>
      <c r="K712">
        <f>_xlfn.NUMBERVALUE("0.000485")</f>
        <v/>
      </c>
      <c r="L712">
        <f>_xlfn.NUMBERVALUE("-0.001005")</f>
        <v/>
      </c>
      <c r="M712">
        <f>_xlfn.NUMBERVALUE("-0.000963")</f>
        <v/>
      </c>
      <c r="N712">
        <f>_xlfn.NUMBERVALUE("0.000000")</f>
        <v/>
      </c>
      <c r="O712">
        <f>_xlfn.NUMBERVALUE("-0.000448")</f>
        <v/>
      </c>
      <c r="P712">
        <f>_xlfn.NUMBERVALUE("0.001382")</f>
        <v/>
      </c>
      <c r="Q712">
        <f>_xlfn.NUMBERVALUE("-0.001712")</f>
        <v/>
      </c>
      <c r="R712">
        <f>_xlfn.NUMBERVALUE("-0.000134")</f>
        <v/>
      </c>
      <c r="S712">
        <f>_xlfn.NUMBERVALUE("-0.000043")</f>
        <v/>
      </c>
      <c r="T712">
        <f>_xlfn.NUMBERVALUE("-0.000150")</f>
        <v/>
      </c>
      <c r="U712">
        <f>_xlfn.NUMBERVALUE("-0.000993")</f>
        <v/>
      </c>
      <c r="V712">
        <f>_xlfn.NUMBERVALUE("0.000219")</f>
        <v/>
      </c>
      <c r="W712">
        <f>_xlfn.NUMBERVALUE("-0.003979")</f>
        <v/>
      </c>
      <c r="X712">
        <f>_xlfn.NUMBERVALUE("0.070000")</f>
        <v/>
      </c>
      <c r="Y712">
        <f>_xlfn.NUMBERVALUE("11.230000")</f>
        <v/>
      </c>
    </row>
    <row r="713">
      <c r="A713" s="1" t="n">
        <v>43034</v>
      </c>
      <c r="B713">
        <f>_xlfn.NUMBERVALUE("0.000000")</f>
        <v/>
      </c>
      <c r="C713" s="2">
        <f>_xlfn.NUMBERVALUE("0.000131")</f>
        <v/>
      </c>
      <c r="D713">
        <f>_xlfn.NUMBERVALUE("0.001397")</f>
        <v/>
      </c>
      <c r="E713">
        <f>_xlfn.NUMBERVALUE("0.000577")</f>
        <v/>
      </c>
      <c r="F713">
        <f>_xlfn.NUMBERVALUE("-0.000422")</f>
        <v/>
      </c>
      <c r="G713">
        <f>_xlfn.NUMBERVALUE("0.000201")</f>
        <v/>
      </c>
      <c r="H713">
        <f>_xlfn.NUMBERVALUE("0.000160")</f>
        <v/>
      </c>
      <c r="I713">
        <f>_xlfn.NUMBERVALUE("0.001267")</f>
        <v/>
      </c>
      <c r="J713">
        <f>_xlfn.NUMBERVALUE("0.000231")</f>
        <v/>
      </c>
      <c r="K713">
        <f>_xlfn.NUMBERVALUE("0.001027")</f>
        <v/>
      </c>
      <c r="L713">
        <f>_xlfn.NUMBERVALUE("0.000975")</f>
        <v/>
      </c>
      <c r="M713">
        <f>_xlfn.NUMBERVALUE("-0.001743")</f>
        <v/>
      </c>
      <c r="N713">
        <f>_xlfn.NUMBERVALUE("0.000000")</f>
        <v/>
      </c>
      <c r="O713">
        <f>_xlfn.NUMBERVALUE("0.000523")</f>
        <v/>
      </c>
      <c r="P713">
        <f>_xlfn.NUMBERVALUE("0.000354")</f>
        <v/>
      </c>
      <c r="Q713">
        <f>_xlfn.NUMBERVALUE("0.000508")</f>
        <v/>
      </c>
      <c r="R713">
        <f>_xlfn.NUMBERVALUE("0.000384")</f>
        <v/>
      </c>
      <c r="S713">
        <f>_xlfn.NUMBERVALUE("0.000191")</f>
        <v/>
      </c>
      <c r="T713">
        <f>_xlfn.NUMBERVALUE("0.000322")</f>
        <v/>
      </c>
      <c r="U713">
        <f>_xlfn.NUMBERVALUE("0.000099")</f>
        <v/>
      </c>
      <c r="V713">
        <f>_xlfn.NUMBERVALUE("0.000525")</f>
        <v/>
      </c>
      <c r="W713">
        <f>_xlfn.NUMBERVALUE("0.001860")</f>
        <v/>
      </c>
      <c r="X713">
        <f>_xlfn.NUMBERVALUE("0.070000")</f>
        <v/>
      </c>
      <c r="Y713">
        <f>_xlfn.NUMBERVALUE("11.300000")</f>
        <v/>
      </c>
    </row>
    <row r="714">
      <c r="A714" s="1" t="n">
        <v>43035</v>
      </c>
      <c r="B714">
        <f>_xlfn.NUMBERVALUE("0.000000")</f>
        <v/>
      </c>
      <c r="C714" s="2">
        <f>_xlfn.NUMBERVALUE("0.000291")</f>
        <v/>
      </c>
      <c r="D714">
        <f>_xlfn.NUMBERVALUE("-0.002030")</f>
        <v/>
      </c>
      <c r="E714">
        <f>_xlfn.NUMBERVALUE("0.001212")</f>
        <v/>
      </c>
      <c r="F714">
        <f>_xlfn.NUMBERVALUE("0.001939")</f>
        <v/>
      </c>
      <c r="G714">
        <f>_xlfn.NUMBERVALUE("0.000225")</f>
        <v/>
      </c>
      <c r="H714">
        <f>_xlfn.NUMBERVALUE("0.000195")</f>
        <v/>
      </c>
      <c r="I714">
        <f>_xlfn.NUMBERVALUE("0.001116")</f>
        <v/>
      </c>
      <c r="J714">
        <f>_xlfn.NUMBERVALUE("0.000572")</f>
        <v/>
      </c>
      <c r="K714">
        <f>_xlfn.NUMBERVALUE("-0.000442")</f>
        <v/>
      </c>
      <c r="L714">
        <f>_xlfn.NUMBERVALUE("0.000882")</f>
        <v/>
      </c>
      <c r="M714">
        <f>_xlfn.NUMBERVALUE("-0.000186")</f>
        <v/>
      </c>
      <c r="N714">
        <f>_xlfn.NUMBERVALUE("0.000000")</f>
        <v/>
      </c>
      <c r="O714">
        <f>_xlfn.NUMBERVALUE("0.000504")</f>
        <v/>
      </c>
      <c r="P714">
        <f>_xlfn.NUMBERVALUE("0.001113")</f>
        <v/>
      </c>
      <c r="Q714">
        <f>_xlfn.NUMBERVALUE("0.001124")</f>
        <v/>
      </c>
      <c r="R714">
        <f>_xlfn.NUMBERVALUE("-0.006796")</f>
        <v/>
      </c>
      <c r="S714">
        <f>_xlfn.NUMBERVALUE("-0.001655")</f>
        <v/>
      </c>
      <c r="T714">
        <f>_xlfn.NUMBERVALUE("-0.000594")</f>
        <v/>
      </c>
      <c r="U714">
        <f>_xlfn.NUMBERVALUE("-0.004569")</f>
        <v/>
      </c>
      <c r="V714">
        <f>_xlfn.NUMBERVALUE("-0.000287")</f>
        <v/>
      </c>
      <c r="W714">
        <f>_xlfn.NUMBERVALUE("0.006587")</f>
        <v/>
      </c>
      <c r="X714">
        <f>_xlfn.NUMBERVALUE("-1.500000")</f>
        <v/>
      </c>
      <c r="Y714">
        <f>_xlfn.NUMBERVALUE("9.800000")</f>
        <v/>
      </c>
    </row>
    <row r="715">
      <c r="A715" s="1" t="n">
        <v>43038</v>
      </c>
      <c r="B715">
        <f>_xlfn.NUMBERVALUE("0.000000")</f>
        <v/>
      </c>
      <c r="C715" s="2">
        <f>_xlfn.NUMBERVALUE("0.000186")</f>
        <v/>
      </c>
      <c r="D715">
        <f>_xlfn.NUMBERVALUE("0.002359")</f>
        <v/>
      </c>
      <c r="E715">
        <f>_xlfn.NUMBERVALUE("0.000550")</f>
        <v/>
      </c>
      <c r="F715">
        <f>_xlfn.NUMBERVALUE("0.003481")</f>
        <v/>
      </c>
      <c r="G715">
        <f>_xlfn.NUMBERVALUE("0.001599")</f>
        <v/>
      </c>
      <c r="H715">
        <f>_xlfn.NUMBERVALUE("0.000579")</f>
        <v/>
      </c>
      <c r="I715">
        <f>_xlfn.NUMBERVALUE("-0.002121")</f>
        <v/>
      </c>
      <c r="J715">
        <f>_xlfn.NUMBERVALUE("-0.000571")</f>
        <v/>
      </c>
      <c r="K715">
        <f>_xlfn.NUMBERVALUE("0.002099")</f>
        <v/>
      </c>
      <c r="L715">
        <f>_xlfn.NUMBERVALUE("0.000588")</f>
        <v/>
      </c>
      <c r="M715">
        <f>_xlfn.NUMBERVALUE("0.000570")</f>
        <v/>
      </c>
      <c r="N715">
        <f>_xlfn.NUMBERVALUE("0.000000")</f>
        <v/>
      </c>
      <c r="O715">
        <f>_xlfn.NUMBERVALUE("0.000258")</f>
        <v/>
      </c>
      <c r="P715">
        <f>_xlfn.NUMBERVALUE("0.002365")</f>
        <v/>
      </c>
      <c r="Q715">
        <f>_xlfn.NUMBERVALUE("0.001139")</f>
        <v/>
      </c>
      <c r="R715">
        <f>_xlfn.NUMBERVALUE("0.000437")</f>
        <v/>
      </c>
      <c r="S715">
        <f>_xlfn.NUMBERVALUE("-0.000150")</f>
        <v/>
      </c>
      <c r="T715">
        <f>_xlfn.NUMBERVALUE("0.001226")</f>
        <v/>
      </c>
      <c r="U715">
        <f>_xlfn.NUMBERVALUE("0.001018")</f>
        <v/>
      </c>
      <c r="V715">
        <f>_xlfn.NUMBERVALUE("0.000625")</f>
        <v/>
      </c>
      <c r="W715">
        <f>_xlfn.NUMBERVALUE("-0.001942")</f>
        <v/>
      </c>
      <c r="X715">
        <f>_xlfn.NUMBERVALUE("0.700000")</f>
        <v/>
      </c>
      <c r="Y715">
        <f>_xlfn.NUMBERVALUE("10.500000")</f>
        <v/>
      </c>
    </row>
    <row r="716">
      <c r="A716" s="1" t="n">
        <v>43039</v>
      </c>
      <c r="B716">
        <f>_xlfn.NUMBERVALUE("0.000000")</f>
        <v/>
      </c>
      <c r="C716" s="2">
        <f>_xlfn.NUMBERVALUE("-0.000005")</f>
        <v/>
      </c>
      <c r="D716">
        <f>_xlfn.NUMBERVALUE("-0.000347")</f>
        <v/>
      </c>
      <c r="E716">
        <f>_xlfn.NUMBERVALUE("-0.000058")</f>
        <v/>
      </c>
      <c r="F716">
        <f>_xlfn.NUMBERVALUE("0.002607")</f>
        <v/>
      </c>
      <c r="G716">
        <f>_xlfn.NUMBERVALUE("0.002003")</f>
        <v/>
      </c>
      <c r="H716">
        <f>_xlfn.NUMBERVALUE("0.000245")</f>
        <v/>
      </c>
      <c r="I716">
        <f>_xlfn.NUMBERVALUE("0.001084")</f>
        <v/>
      </c>
      <c r="J716">
        <f>_xlfn.NUMBERVALUE("0.000894")</f>
        <v/>
      </c>
      <c r="K716">
        <f>_xlfn.NUMBERVALUE("0.000009")</f>
        <v/>
      </c>
      <c r="L716">
        <f>_xlfn.NUMBERVALUE("0.002294")</f>
        <v/>
      </c>
      <c r="M716">
        <f>_xlfn.NUMBERVALUE("0.000904")</f>
        <v/>
      </c>
      <c r="N716">
        <f>_xlfn.NUMBERVALUE("0.000000")</f>
        <v/>
      </c>
      <c r="O716">
        <f>_xlfn.NUMBERVALUE("0.000763")</f>
        <v/>
      </c>
      <c r="P716">
        <f>_xlfn.NUMBERVALUE("0.002308")</f>
        <v/>
      </c>
      <c r="Q716">
        <f>_xlfn.NUMBERVALUE("0.001086")</f>
        <v/>
      </c>
      <c r="R716">
        <f>_xlfn.NUMBERVALUE("0.000179")</f>
        <v/>
      </c>
      <c r="S716">
        <f>_xlfn.NUMBERVALUE("0.000018")</f>
        <v/>
      </c>
      <c r="T716">
        <f>_xlfn.NUMBERVALUE("0.000448")</f>
        <v/>
      </c>
      <c r="U716">
        <f>_xlfn.NUMBERVALUE("0.001440")</f>
        <v/>
      </c>
      <c r="V716">
        <f>_xlfn.NUMBERVALUE("0.000020")</f>
        <v/>
      </c>
      <c r="W716">
        <f>_xlfn.NUMBERVALUE("0.000243")</f>
        <v/>
      </c>
      <c r="X716">
        <f>_xlfn.NUMBERVALUE("-0.320000")</f>
        <v/>
      </c>
      <c r="Y716">
        <f>_xlfn.NUMBERVALUE("10.180000")</f>
        <v/>
      </c>
    </row>
    <row r="717">
      <c r="A717" s="1" t="n">
        <v>43040</v>
      </c>
      <c r="B717">
        <f>_xlfn.NUMBERVALUE("0.000000")</f>
        <v/>
      </c>
      <c r="C717" s="2">
        <f>_xlfn.NUMBERVALUE("0.000202")</f>
        <v/>
      </c>
      <c r="D717">
        <f>_xlfn.NUMBERVALUE("0.000282")</f>
        <v/>
      </c>
      <c r="E717">
        <f>_xlfn.NUMBERVALUE("-0.001649")</f>
        <v/>
      </c>
      <c r="F717">
        <f>_xlfn.NUMBERVALUE("0.000164")</f>
        <v/>
      </c>
      <c r="G717">
        <f>_xlfn.NUMBERVALUE("-0.001256")</f>
        <v/>
      </c>
      <c r="H717">
        <f>_xlfn.NUMBERVALUE("-0.000159")</f>
        <v/>
      </c>
      <c r="I717">
        <f>_xlfn.NUMBERVALUE("0.000896")</f>
        <v/>
      </c>
      <c r="J717">
        <f>_xlfn.NUMBERVALUE("0.000656")</f>
        <v/>
      </c>
      <c r="K717">
        <f>_xlfn.NUMBERVALUE("-0.006080")</f>
        <v/>
      </c>
      <c r="L717">
        <f>_xlfn.NUMBERVALUE("0.003356")</f>
        <v/>
      </c>
      <c r="M717">
        <f>_xlfn.NUMBERVALUE("0.000797")</f>
        <v/>
      </c>
      <c r="N717">
        <f>_xlfn.NUMBERVALUE("0.000000")</f>
        <v/>
      </c>
      <c r="O717">
        <f>_xlfn.NUMBERVALUE("-0.001462")</f>
        <v/>
      </c>
      <c r="P717">
        <f>_xlfn.NUMBERVALUE("0.002178")</f>
        <v/>
      </c>
      <c r="Q717">
        <f>_xlfn.NUMBERVALUE("0.001561")</f>
        <v/>
      </c>
      <c r="R717">
        <f>_xlfn.NUMBERVALUE("0.000043")</f>
        <v/>
      </c>
      <c r="S717">
        <f>_xlfn.NUMBERVALUE("0.000023")</f>
        <v/>
      </c>
      <c r="T717">
        <f>_xlfn.NUMBERVALUE("0.001174")</f>
        <v/>
      </c>
      <c r="U717">
        <f>_xlfn.NUMBERVALUE("0.001234")</f>
        <v/>
      </c>
      <c r="V717">
        <f>_xlfn.NUMBERVALUE("-0.000163")</f>
        <v/>
      </c>
      <c r="W717">
        <f>_xlfn.NUMBERVALUE("0.001458")</f>
        <v/>
      </c>
      <c r="X717">
        <f>_xlfn.NUMBERVALUE("0.020000")</f>
        <v/>
      </c>
      <c r="Y717">
        <f>_xlfn.NUMBERVALUE("10.200000")</f>
        <v/>
      </c>
    </row>
    <row r="718">
      <c r="A718" s="1" t="n">
        <v>43041</v>
      </c>
      <c r="B718">
        <f>_xlfn.NUMBERVALUE("0.000000")</f>
        <v/>
      </c>
      <c r="C718" s="2">
        <f>_xlfn.NUMBERVALUE("-0.000418")</f>
        <v/>
      </c>
      <c r="D718">
        <f>_xlfn.NUMBERVALUE("0.001628")</f>
        <v/>
      </c>
      <c r="E718">
        <f>_xlfn.NUMBERVALUE("0.002253")</f>
        <v/>
      </c>
      <c r="F718">
        <f>_xlfn.NUMBERVALUE("0.001996")</f>
        <v/>
      </c>
      <c r="G718">
        <f>_xlfn.NUMBERVALUE("0.000989")</f>
        <v/>
      </c>
      <c r="H718">
        <f>_xlfn.NUMBERVALUE("0.000136")</f>
        <v/>
      </c>
      <c r="I718">
        <f>_xlfn.NUMBERVALUE("0.000849")</f>
        <v/>
      </c>
      <c r="J718">
        <f>_xlfn.NUMBERVALUE("0.000271")</f>
        <v/>
      </c>
      <c r="K718">
        <f>_xlfn.NUMBERVALUE("0.003679")</f>
        <v/>
      </c>
      <c r="L718">
        <f>_xlfn.NUMBERVALUE("0.000401")</f>
        <v/>
      </c>
      <c r="M718">
        <f>_xlfn.NUMBERVALUE("0.000102")</f>
        <v/>
      </c>
      <c r="N718">
        <f>_xlfn.NUMBERVALUE("0.000000")</f>
        <v/>
      </c>
      <c r="O718">
        <f>_xlfn.NUMBERVALUE("0.000741")</f>
        <v/>
      </c>
      <c r="P718">
        <f>_xlfn.NUMBERVALUE("-0.001574")</f>
        <v/>
      </c>
      <c r="Q718">
        <f>_xlfn.NUMBERVALUE("0.002033")</f>
        <v/>
      </c>
      <c r="R718">
        <f>_xlfn.NUMBERVALUE("-0.000001")</f>
        <v/>
      </c>
      <c r="S718">
        <f>_xlfn.NUMBERVALUE("-0.000149")</f>
        <v/>
      </c>
      <c r="T718">
        <f>_xlfn.NUMBERVALUE("0.000222")</f>
        <v/>
      </c>
      <c r="U718">
        <f>_xlfn.NUMBERVALUE("0.000669")</f>
        <v/>
      </c>
      <c r="V718">
        <f>_xlfn.NUMBERVALUE("0.000615")</f>
        <v/>
      </c>
      <c r="W718">
        <f>_xlfn.NUMBERVALUE("0.000466")</f>
        <v/>
      </c>
      <c r="X718">
        <f>_xlfn.NUMBERVALUE("-0.270000")</f>
        <v/>
      </c>
      <c r="Y718">
        <f>_xlfn.NUMBERVALUE("9.930000")</f>
        <v/>
      </c>
    </row>
    <row r="719">
      <c r="A719" s="1" t="n">
        <v>43042</v>
      </c>
      <c r="B719">
        <f>_xlfn.NUMBERVALUE("0.000000")</f>
        <v/>
      </c>
      <c r="C719" s="2">
        <f>_xlfn.NUMBERVALUE("0.001418")</f>
        <v/>
      </c>
      <c r="D719">
        <f>_xlfn.NUMBERVALUE("-0.000317")</f>
        <v/>
      </c>
      <c r="E719">
        <f>_xlfn.NUMBERVALUE("0.001436")</f>
        <v/>
      </c>
      <c r="F719">
        <f>_xlfn.NUMBERVALUE("0.000640")</f>
        <v/>
      </c>
      <c r="G719">
        <f>_xlfn.NUMBERVALUE("0.000957")</f>
        <v/>
      </c>
      <c r="H719">
        <f>_xlfn.NUMBERVALUE("0.000375")</f>
        <v/>
      </c>
      <c r="I719">
        <f>_xlfn.NUMBERVALUE("0.001616")</f>
        <v/>
      </c>
      <c r="J719">
        <f>_xlfn.NUMBERVALUE("0.000654")</f>
        <v/>
      </c>
      <c r="K719">
        <f>_xlfn.NUMBERVALUE("-0.000839")</f>
        <v/>
      </c>
      <c r="L719">
        <f>_xlfn.NUMBERVALUE("0.001582")</f>
        <v/>
      </c>
      <c r="M719">
        <f>_xlfn.NUMBERVALUE("0.000433")</f>
        <v/>
      </c>
      <c r="N719">
        <f>_xlfn.NUMBERVALUE("0.000000")</f>
        <v/>
      </c>
      <c r="O719">
        <f>_xlfn.NUMBERVALUE("0.003142")</f>
        <v/>
      </c>
      <c r="P719">
        <f>_xlfn.NUMBERVALUE("0.001259")</f>
        <v/>
      </c>
      <c r="Q719">
        <f>_xlfn.NUMBERVALUE("0.001586")</f>
        <v/>
      </c>
      <c r="R719">
        <f>_xlfn.NUMBERVALUE("-0.000004")</f>
        <v/>
      </c>
      <c r="S719">
        <f>_xlfn.NUMBERVALUE("0.000151")</f>
        <v/>
      </c>
      <c r="T719">
        <f>_xlfn.NUMBERVALUE("-0.000191")</f>
        <v/>
      </c>
      <c r="U719">
        <f>_xlfn.NUMBERVALUE("0.003763")</f>
        <v/>
      </c>
      <c r="V719">
        <f>_xlfn.NUMBERVALUE("0.001116")</f>
        <v/>
      </c>
      <c r="W719">
        <f>_xlfn.NUMBERVALUE("0.002484")</f>
        <v/>
      </c>
      <c r="X719">
        <f>_xlfn.NUMBERVALUE("-0.790000")</f>
        <v/>
      </c>
      <c r="Y719">
        <f>_xlfn.NUMBERVALUE("9.140000")</f>
        <v/>
      </c>
    </row>
    <row r="720">
      <c r="A720" s="1" t="n">
        <v>43045</v>
      </c>
      <c r="B720">
        <f>_xlfn.NUMBERVALUE("0.000000")</f>
        <v/>
      </c>
      <c r="C720" s="2">
        <f>_xlfn.NUMBERVALUE("0.001107")</f>
        <v/>
      </c>
      <c r="D720">
        <f>_xlfn.NUMBERVALUE("-0.000315")</f>
        <v/>
      </c>
      <c r="E720">
        <f>_xlfn.NUMBERVALUE("0.001405")</f>
        <v/>
      </c>
      <c r="F720">
        <f>_xlfn.NUMBERVALUE("-0.000667")</f>
        <v/>
      </c>
      <c r="G720">
        <f>_xlfn.NUMBERVALUE("0.000707")</f>
        <v/>
      </c>
      <c r="H720">
        <f>_xlfn.NUMBERVALUE("0.000202")</f>
        <v/>
      </c>
      <c r="I720">
        <f>_xlfn.NUMBERVALUE("0.001777")</f>
        <v/>
      </c>
      <c r="J720">
        <f>_xlfn.NUMBERVALUE("0.000342")</f>
        <v/>
      </c>
      <c r="K720">
        <f>_xlfn.NUMBERVALUE("-0.005699")</f>
        <v/>
      </c>
      <c r="L720">
        <f>_xlfn.NUMBERVALUE("0.000714")</f>
        <v/>
      </c>
      <c r="M720">
        <f>_xlfn.NUMBERVALUE("0.000356")</f>
        <v/>
      </c>
      <c r="N720">
        <f>_xlfn.NUMBERVALUE("0.000000")</f>
        <v/>
      </c>
      <c r="O720">
        <f>_xlfn.NUMBERVALUE("-0.007365")</f>
        <v/>
      </c>
      <c r="P720">
        <f>_xlfn.NUMBERVALUE("0.002583")</f>
        <v/>
      </c>
      <c r="Q720">
        <f>_xlfn.NUMBERVALUE("0.002185")</f>
        <v/>
      </c>
      <c r="R720">
        <f>_xlfn.NUMBERVALUE("0.001560")</f>
        <v/>
      </c>
      <c r="S720">
        <f>_xlfn.NUMBERVALUE("0.000916")</f>
        <v/>
      </c>
      <c r="T720">
        <f>_xlfn.NUMBERVALUE("0.001756")</f>
        <v/>
      </c>
      <c r="U720">
        <f>_xlfn.NUMBERVALUE("-0.000605")</f>
        <v/>
      </c>
      <c r="V720">
        <f>_xlfn.NUMBERVALUE("0.000436")</f>
        <v/>
      </c>
      <c r="W720">
        <f>_xlfn.NUMBERVALUE("0.002284")</f>
        <v/>
      </c>
      <c r="X720">
        <f>_xlfn.NUMBERVALUE("0.260000")</f>
        <v/>
      </c>
      <c r="Y720">
        <f>_xlfn.NUMBERVALUE("9.400000")</f>
        <v/>
      </c>
    </row>
    <row r="721">
      <c r="A721" s="1" t="n">
        <v>43046</v>
      </c>
      <c r="B721">
        <f>_xlfn.NUMBERVALUE("0.000000")</f>
        <v/>
      </c>
      <c r="C721" s="2">
        <f>_xlfn.NUMBERVALUE("0.000175")</f>
        <v/>
      </c>
      <c r="D721">
        <f>_xlfn.NUMBERVALUE("0.000147")</f>
        <v/>
      </c>
      <c r="E721">
        <f>_xlfn.NUMBERVALUE("-0.000010")</f>
        <v/>
      </c>
      <c r="F721">
        <f>_xlfn.NUMBERVALUE("0.000296")</f>
        <v/>
      </c>
      <c r="G721">
        <f>_xlfn.NUMBERVALUE("0.000815")</f>
        <v/>
      </c>
      <c r="H721">
        <f>_xlfn.NUMBERVALUE("0.001030")</f>
        <v/>
      </c>
      <c r="I721">
        <f>_xlfn.NUMBERVALUE("-0.002346")</f>
        <v/>
      </c>
      <c r="J721">
        <f>_xlfn.NUMBERVALUE("0.000361")</f>
        <v/>
      </c>
      <c r="K721">
        <f>_xlfn.NUMBERVALUE("-0.001044")</f>
        <v/>
      </c>
      <c r="L721">
        <f>_xlfn.NUMBERVALUE("-0.000183")</f>
        <v/>
      </c>
      <c r="M721">
        <f>_xlfn.NUMBERVALUE("0.001597")</f>
        <v/>
      </c>
      <c r="N721">
        <f>_xlfn.NUMBERVALUE("0.000000")</f>
        <v/>
      </c>
      <c r="O721">
        <f>_xlfn.NUMBERVALUE("-0.000607")</f>
        <v/>
      </c>
      <c r="P721">
        <f>_xlfn.NUMBERVALUE("-0.003964")</f>
        <v/>
      </c>
      <c r="Q721">
        <f>_xlfn.NUMBERVALUE("0.000337")</f>
        <v/>
      </c>
      <c r="R721">
        <f>_xlfn.NUMBERVALUE("-0.000085")</f>
        <v/>
      </c>
      <c r="S721">
        <f>_xlfn.NUMBERVALUE("-0.002319")</f>
        <v/>
      </c>
      <c r="T721">
        <f>_xlfn.NUMBERVALUE("-0.003063")</f>
        <v/>
      </c>
      <c r="U721">
        <f>_xlfn.NUMBERVALUE("-0.000566")</f>
        <v/>
      </c>
      <c r="V721">
        <f>_xlfn.NUMBERVALUE("-0.000395")</f>
        <v/>
      </c>
      <c r="W721">
        <f>_xlfn.NUMBERVALUE("-0.000927")</f>
        <v/>
      </c>
      <c r="X721">
        <f>_xlfn.NUMBERVALUE("0.490000")</f>
        <v/>
      </c>
      <c r="Y721">
        <f>_xlfn.NUMBERVALUE("9.890000")</f>
        <v/>
      </c>
    </row>
    <row r="722">
      <c r="A722" s="1" t="n">
        <v>43047</v>
      </c>
      <c r="B722">
        <f>_xlfn.NUMBERVALUE("0.000000")</f>
        <v/>
      </c>
      <c r="C722" s="2">
        <f>_xlfn.NUMBERVALUE("0.001099")</f>
        <v/>
      </c>
      <c r="D722">
        <f>_xlfn.NUMBERVALUE("0.001094")</f>
        <v/>
      </c>
      <c r="E722">
        <f>_xlfn.NUMBERVALUE("-0.000493")</f>
        <v/>
      </c>
      <c r="F722">
        <f>_xlfn.NUMBERVALUE("-0.000237")</f>
        <v/>
      </c>
      <c r="G722">
        <f>_xlfn.NUMBERVALUE("-0.002162")</f>
        <v/>
      </c>
      <c r="H722">
        <f>_xlfn.NUMBERVALUE("0.000442")</f>
        <v/>
      </c>
      <c r="I722">
        <f>_xlfn.NUMBERVALUE("0.000661")</f>
        <v/>
      </c>
      <c r="J722">
        <f>_xlfn.NUMBERVALUE("0.000755")</f>
        <v/>
      </c>
      <c r="K722">
        <f>_xlfn.NUMBERVALUE("-0.000179")</f>
        <v/>
      </c>
      <c r="L722">
        <f>_xlfn.NUMBERVALUE("0.000603")</f>
        <v/>
      </c>
      <c r="M722">
        <f>_xlfn.NUMBERVALUE("0.001834")</f>
        <v/>
      </c>
      <c r="N722">
        <f>_xlfn.NUMBERVALUE("0.000000")</f>
        <v/>
      </c>
      <c r="O722">
        <f>_xlfn.NUMBERVALUE("0.001619")</f>
        <v/>
      </c>
      <c r="P722">
        <f>_xlfn.NUMBERVALUE("0.000899")</f>
        <v/>
      </c>
      <c r="Q722">
        <f>_xlfn.NUMBERVALUE("0.000927")</f>
        <v/>
      </c>
      <c r="R722">
        <f>_xlfn.NUMBERVALUE("0.000015")</f>
        <v/>
      </c>
      <c r="S722">
        <f>_xlfn.NUMBERVALUE("-0.002259")</f>
        <v/>
      </c>
      <c r="T722">
        <f>_xlfn.NUMBERVALUE("0.001336")</f>
        <v/>
      </c>
      <c r="U722">
        <f>_xlfn.NUMBERVALUE("0.000764")</f>
        <v/>
      </c>
      <c r="V722">
        <f>_xlfn.NUMBERVALUE("0.000636")</f>
        <v/>
      </c>
      <c r="W722">
        <f>_xlfn.NUMBERVALUE("0.001701")</f>
        <v/>
      </c>
      <c r="X722">
        <f>_xlfn.NUMBERVALUE("-0.110000")</f>
        <v/>
      </c>
      <c r="Y722">
        <f>_xlfn.NUMBERVALUE("9.780000")</f>
        <v/>
      </c>
    </row>
    <row r="723">
      <c r="A723" s="1" t="n">
        <v>43048</v>
      </c>
      <c r="B723">
        <f>_xlfn.NUMBERVALUE("0.000000")</f>
        <v/>
      </c>
      <c r="C723" s="2">
        <f>_xlfn.NUMBERVALUE("-0.001449")</f>
        <v/>
      </c>
      <c r="D723">
        <f>_xlfn.NUMBERVALUE("-0.000169")</f>
        <v/>
      </c>
      <c r="E723">
        <f>_xlfn.NUMBERVALUE("-0.000631")</f>
        <v/>
      </c>
      <c r="F723">
        <f>_xlfn.NUMBERVALUE("-0.000642")</f>
        <v/>
      </c>
      <c r="G723">
        <f>_xlfn.NUMBERVALUE("-0.000105")</f>
        <v/>
      </c>
      <c r="H723">
        <f>_xlfn.NUMBERVALUE("0.000067")</f>
        <v/>
      </c>
      <c r="I723">
        <f>_xlfn.NUMBERVALUE("0.000239")</f>
        <v/>
      </c>
      <c r="J723">
        <f>_xlfn.NUMBERVALUE("-0.000550")</f>
        <v/>
      </c>
      <c r="K723">
        <f>_xlfn.NUMBERVALUE("0.000454")</f>
        <v/>
      </c>
      <c r="L723">
        <f>_xlfn.NUMBERVALUE("0.000369")</f>
        <v/>
      </c>
      <c r="M723">
        <f>_xlfn.NUMBERVALUE("-0.001389")</f>
        <v/>
      </c>
      <c r="N723">
        <f>_xlfn.NUMBERVALUE("0.000000")</f>
        <v/>
      </c>
      <c r="O723">
        <f>_xlfn.NUMBERVALUE("-0.000647")</f>
        <v/>
      </c>
      <c r="P723">
        <f>_xlfn.NUMBERVALUE("-0.000293")</f>
        <v/>
      </c>
      <c r="Q723">
        <f>_xlfn.NUMBERVALUE("-0.002567")</f>
        <v/>
      </c>
      <c r="R723">
        <f>_xlfn.NUMBERVALUE("-0.000834")</f>
        <v/>
      </c>
      <c r="S723">
        <f>_xlfn.NUMBERVALUE("-0.000408")</f>
        <v/>
      </c>
      <c r="T723">
        <f>_xlfn.NUMBERVALUE("-0.000483")</f>
        <v/>
      </c>
      <c r="U723">
        <f>_xlfn.NUMBERVALUE("-0.001369")</f>
        <v/>
      </c>
      <c r="V723">
        <f>_xlfn.NUMBERVALUE("-0.000858")</f>
        <v/>
      </c>
      <c r="W723">
        <f>_xlfn.NUMBERVALUE("-0.003049")</f>
        <v/>
      </c>
      <c r="X723">
        <f>_xlfn.NUMBERVALUE("0.720000")</f>
        <v/>
      </c>
      <c r="Y723">
        <f>_xlfn.NUMBERVALUE("10.500000")</f>
        <v/>
      </c>
    </row>
    <row r="724">
      <c r="A724" s="1" t="n">
        <v>43049</v>
      </c>
      <c r="B724">
        <f>_xlfn.NUMBERVALUE("0.000000")</f>
        <v/>
      </c>
      <c r="C724" s="2">
        <f>_xlfn.NUMBERVALUE("0.000398")</f>
        <v/>
      </c>
      <c r="D724">
        <f>_xlfn.NUMBERVALUE("0.001879")</f>
        <v/>
      </c>
      <c r="E724">
        <f>_xlfn.NUMBERVALUE("0.000740")</f>
        <v/>
      </c>
      <c r="F724">
        <f>_xlfn.NUMBERVALUE("-0.000051")</f>
        <v/>
      </c>
      <c r="G724">
        <f>_xlfn.NUMBERVALUE("-0.000234")</f>
        <v/>
      </c>
      <c r="H724">
        <f>_xlfn.NUMBERVALUE("-0.001567")</f>
        <v/>
      </c>
      <c r="I724">
        <f>_xlfn.NUMBERVALUE("0.000661")</f>
        <v/>
      </c>
      <c r="J724">
        <f>_xlfn.NUMBERVALUE("-0.001736")</f>
        <v/>
      </c>
      <c r="K724">
        <f>_xlfn.NUMBERVALUE("0.001123")</f>
        <v/>
      </c>
      <c r="L724">
        <f>_xlfn.NUMBERVALUE("-0.004352")</f>
        <v/>
      </c>
      <c r="M724">
        <f>_xlfn.NUMBERVALUE("0.000085")</f>
        <v/>
      </c>
      <c r="N724">
        <f>_xlfn.NUMBERVALUE("0.000000")</f>
        <v/>
      </c>
      <c r="O724">
        <f>_xlfn.NUMBERVALUE("0.000654")</f>
        <v/>
      </c>
      <c r="P724">
        <f>_xlfn.NUMBERVALUE("0.000579")</f>
        <v/>
      </c>
      <c r="Q724">
        <f>_xlfn.NUMBERVALUE("0.000935")</f>
        <v/>
      </c>
      <c r="R724">
        <f>_xlfn.NUMBERVALUE("0.000899")</f>
        <v/>
      </c>
      <c r="S724">
        <f>_xlfn.NUMBERVALUE("-0.001426")</f>
        <v/>
      </c>
      <c r="T724">
        <f>_xlfn.NUMBERVALUE("0.000316")</f>
        <v/>
      </c>
      <c r="U724">
        <f>_xlfn.NUMBERVALUE("0.000536")</f>
        <v/>
      </c>
      <c r="V724">
        <f>_xlfn.NUMBERVALUE("-0.000016")</f>
        <v/>
      </c>
      <c r="W724">
        <f>_xlfn.NUMBERVALUE("-0.000774")</f>
        <v/>
      </c>
      <c r="X724">
        <f>_xlfn.NUMBERVALUE("0.790000")</f>
        <v/>
      </c>
      <c r="Y724">
        <f>_xlfn.NUMBERVALUE("11.290000")</f>
        <v/>
      </c>
    </row>
    <row r="725">
      <c r="A725" s="1" t="n">
        <v>43052</v>
      </c>
      <c r="B725">
        <f>_xlfn.NUMBERVALUE("0.000000")</f>
        <v/>
      </c>
      <c r="C725" s="2">
        <f>_xlfn.NUMBERVALUE("0.000396")</f>
        <v/>
      </c>
      <c r="D725">
        <f>_xlfn.NUMBERVALUE("0.001196")</f>
        <v/>
      </c>
      <c r="E725">
        <f>_xlfn.NUMBERVALUE("0.001275")</f>
        <v/>
      </c>
      <c r="F725">
        <f>_xlfn.NUMBERVALUE("0.001285")</f>
        <v/>
      </c>
      <c r="G725">
        <f>_xlfn.NUMBERVALUE("0.000946")</f>
        <v/>
      </c>
      <c r="H725">
        <f>_xlfn.NUMBERVALUE("0.000691")</f>
        <v/>
      </c>
      <c r="I725">
        <f>_xlfn.NUMBERVALUE("0.001202")</f>
        <v/>
      </c>
      <c r="J725">
        <f>_xlfn.NUMBERVALUE("0.001277")</f>
        <v/>
      </c>
      <c r="K725">
        <f>_xlfn.NUMBERVALUE("0.001161")</f>
        <v/>
      </c>
      <c r="L725">
        <f>_xlfn.NUMBERVALUE("0.001181")</f>
        <v/>
      </c>
      <c r="M725">
        <f>_xlfn.NUMBERVALUE("-0.000431")</f>
        <v/>
      </c>
      <c r="N725">
        <f>_xlfn.NUMBERVALUE("0.000000")</f>
        <v/>
      </c>
      <c r="O725">
        <f>_xlfn.NUMBERVALUE("0.002198")</f>
        <v/>
      </c>
      <c r="P725">
        <f>_xlfn.NUMBERVALUE("0.001424")</f>
        <v/>
      </c>
      <c r="Q725">
        <f>_xlfn.NUMBERVALUE("0.000446")</f>
        <v/>
      </c>
      <c r="R725">
        <f>_xlfn.NUMBERVALUE("0.001823")</f>
        <v/>
      </c>
      <c r="S725">
        <f>_xlfn.NUMBERVALUE("-0.001037")</f>
        <v/>
      </c>
      <c r="T725">
        <f>_xlfn.NUMBERVALUE("-0.001505")</f>
        <v/>
      </c>
      <c r="U725">
        <f>_xlfn.NUMBERVALUE("-0.003201")</f>
        <v/>
      </c>
      <c r="V725">
        <f>_xlfn.NUMBERVALUE("0.000867")</f>
        <v/>
      </c>
      <c r="W725">
        <f>_xlfn.NUMBERVALUE("0.000930")</f>
        <v/>
      </c>
      <c r="X725">
        <f>_xlfn.NUMBERVALUE("0.210000")</f>
        <v/>
      </c>
      <c r="Y725">
        <f>_xlfn.NUMBERVALUE("11.500000")</f>
        <v/>
      </c>
    </row>
    <row r="726">
      <c r="A726" s="1" t="n">
        <v>43053</v>
      </c>
      <c r="B726">
        <f>_xlfn.NUMBERVALUE("0.000000")</f>
        <v/>
      </c>
      <c r="C726" s="2">
        <f>_xlfn.NUMBERVALUE("0.001218")</f>
        <v/>
      </c>
      <c r="D726">
        <f>_xlfn.NUMBERVALUE("0.000200")</f>
        <v/>
      </c>
      <c r="E726">
        <f>_xlfn.NUMBERVALUE("0.000211")</f>
        <v/>
      </c>
      <c r="F726">
        <f>_xlfn.NUMBERVALUE("0.000353")</f>
        <v/>
      </c>
      <c r="G726">
        <f>_xlfn.NUMBERVALUE("-0.000919")</f>
        <v/>
      </c>
      <c r="H726">
        <f>_xlfn.NUMBERVALUE("0.000354")</f>
        <v/>
      </c>
      <c r="I726">
        <f>_xlfn.NUMBERVALUE("-0.000092")</f>
        <v/>
      </c>
      <c r="J726">
        <f>_xlfn.NUMBERVALUE("-0.000031")</f>
        <v/>
      </c>
      <c r="K726">
        <f>_xlfn.NUMBERVALUE("0.001583")</f>
        <v/>
      </c>
      <c r="L726">
        <f>_xlfn.NUMBERVALUE("-0.000168")</f>
        <v/>
      </c>
      <c r="M726">
        <f>_xlfn.NUMBERVALUE("0.001513")</f>
        <v/>
      </c>
      <c r="N726">
        <f>_xlfn.NUMBERVALUE("0.000000")</f>
        <v/>
      </c>
      <c r="O726">
        <f>_xlfn.NUMBERVALUE("-0.001497")</f>
        <v/>
      </c>
      <c r="P726">
        <f>_xlfn.NUMBERVALUE("0.000434")</f>
        <v/>
      </c>
      <c r="Q726">
        <f>_xlfn.NUMBERVALUE("0.000397")</f>
        <v/>
      </c>
      <c r="R726">
        <f>_xlfn.NUMBERVALUE("0.000085")</f>
        <v/>
      </c>
      <c r="S726">
        <f>_xlfn.NUMBERVALUE("0.001372")</f>
        <v/>
      </c>
      <c r="T726">
        <f>_xlfn.NUMBERVALUE("-0.003340")</f>
        <v/>
      </c>
      <c r="U726">
        <f>_xlfn.NUMBERVALUE("0.003068")</f>
        <v/>
      </c>
      <c r="V726">
        <f>_xlfn.NUMBERVALUE("0.000676")</f>
        <v/>
      </c>
      <c r="W726">
        <f>_xlfn.NUMBERVALUE("-0.002168")</f>
        <v/>
      </c>
      <c r="X726">
        <f>_xlfn.NUMBERVALUE("0.090000")</f>
        <v/>
      </c>
      <c r="Y726">
        <f>_xlfn.NUMBERVALUE("11.590000")</f>
        <v/>
      </c>
    </row>
    <row r="727">
      <c r="A727" s="1" t="n">
        <v>43054</v>
      </c>
      <c r="B727">
        <f>_xlfn.NUMBERVALUE("0.000000")</f>
        <v/>
      </c>
      <c r="C727" s="2">
        <f>_xlfn.NUMBERVALUE("-0.001840")</f>
        <v/>
      </c>
      <c r="D727">
        <f>_xlfn.NUMBERVALUE("-0.000260")</f>
        <v/>
      </c>
      <c r="E727">
        <f>_xlfn.NUMBERVALUE("-0.000744")</f>
        <v/>
      </c>
      <c r="F727">
        <f>_xlfn.NUMBERVALUE("0.000153")</f>
        <v/>
      </c>
      <c r="G727">
        <f>_xlfn.NUMBERVALUE("0.001242")</f>
        <v/>
      </c>
      <c r="H727">
        <f>_xlfn.NUMBERVALUE("-0.000164")</f>
        <v/>
      </c>
      <c r="I727">
        <f>_xlfn.NUMBERVALUE("-0.000217")</f>
        <v/>
      </c>
      <c r="J727">
        <f>_xlfn.NUMBERVALUE("-0.001144")</f>
        <v/>
      </c>
      <c r="K727">
        <f>_xlfn.NUMBERVALUE("0.000444")</f>
        <v/>
      </c>
      <c r="L727">
        <f>_xlfn.NUMBERVALUE("-0.002082")</f>
        <v/>
      </c>
      <c r="M727">
        <f>_xlfn.NUMBERVALUE("0.000330")</f>
        <v/>
      </c>
      <c r="N727">
        <f>_xlfn.NUMBERVALUE("0.000000")</f>
        <v/>
      </c>
      <c r="O727">
        <f>_xlfn.NUMBERVALUE("-0.000377")</f>
        <v/>
      </c>
      <c r="P727">
        <f>_xlfn.NUMBERVALUE("-0.000991")</f>
        <v/>
      </c>
      <c r="Q727">
        <f>_xlfn.NUMBERVALUE("-0.000543")</f>
        <v/>
      </c>
      <c r="R727">
        <f>_xlfn.NUMBERVALUE("-0.000613")</f>
        <v/>
      </c>
      <c r="S727">
        <f>_xlfn.NUMBERVALUE("-0.002339")</f>
        <v/>
      </c>
      <c r="T727">
        <f>_xlfn.NUMBERVALUE("-0.001788")</f>
        <v/>
      </c>
      <c r="U727">
        <f>_xlfn.NUMBERVALUE("-0.001244")</f>
        <v/>
      </c>
      <c r="V727">
        <f>_xlfn.NUMBERVALUE("-0.001240")</f>
        <v/>
      </c>
      <c r="W727">
        <f>_xlfn.NUMBERVALUE("-0.005315")</f>
        <v/>
      </c>
      <c r="X727">
        <f>_xlfn.NUMBERVALUE("1.540000")</f>
        <v/>
      </c>
      <c r="Y727">
        <f>_xlfn.NUMBERVALUE("13.130000")</f>
        <v/>
      </c>
    </row>
    <row r="728">
      <c r="A728" s="1" t="n">
        <v>43055</v>
      </c>
      <c r="B728">
        <f>_xlfn.NUMBERVALUE("0.000000")</f>
        <v/>
      </c>
      <c r="C728" s="2">
        <f>_xlfn.NUMBERVALUE("0.001271")</f>
        <v/>
      </c>
      <c r="D728">
        <f>_xlfn.NUMBERVALUE("-0.004127")</f>
        <v/>
      </c>
      <c r="E728">
        <f>_xlfn.NUMBERVALUE("0.000194")</f>
        <v/>
      </c>
      <c r="F728">
        <f>_xlfn.NUMBERVALUE("0.001778")</f>
        <v/>
      </c>
      <c r="G728">
        <f>_xlfn.NUMBERVALUE("-0.002017")</f>
        <v/>
      </c>
      <c r="H728">
        <f>_xlfn.NUMBERVALUE("-0.000164")</f>
        <v/>
      </c>
      <c r="I728">
        <f>_xlfn.NUMBERVALUE("-0.000672")</f>
        <v/>
      </c>
      <c r="J728">
        <f>_xlfn.NUMBERVALUE("0.000055")</f>
        <v/>
      </c>
      <c r="K728">
        <f>_xlfn.NUMBERVALUE("0.001226")</f>
        <v/>
      </c>
      <c r="L728">
        <f>_xlfn.NUMBERVALUE("-0.000188")</f>
        <v/>
      </c>
      <c r="M728">
        <f>_xlfn.NUMBERVALUE("-0.000858")</f>
        <v/>
      </c>
      <c r="N728">
        <f>_xlfn.NUMBERVALUE("0.000000")</f>
        <v/>
      </c>
      <c r="O728">
        <f>_xlfn.NUMBERVALUE("0.001482")</f>
        <v/>
      </c>
      <c r="P728">
        <f>_xlfn.NUMBERVALUE("0.001807")</f>
        <v/>
      </c>
      <c r="Q728">
        <f>_xlfn.NUMBERVALUE("0.001136")</f>
        <v/>
      </c>
      <c r="R728">
        <f>_xlfn.NUMBERVALUE("-0.001979")</f>
        <v/>
      </c>
      <c r="S728">
        <f>_xlfn.NUMBERVALUE("-0.000758")</f>
        <v/>
      </c>
      <c r="T728">
        <f>_xlfn.NUMBERVALUE("0.002247")</f>
        <v/>
      </c>
      <c r="U728">
        <f>_xlfn.NUMBERVALUE("0.000953")</f>
        <v/>
      </c>
      <c r="V728">
        <f>_xlfn.NUMBERVALUE("0.000109")</f>
        <v/>
      </c>
      <c r="W728">
        <f>_xlfn.NUMBERVALUE("0.008698")</f>
        <v/>
      </c>
      <c r="X728">
        <f>_xlfn.NUMBERVALUE("-1.370000")</f>
        <v/>
      </c>
      <c r="Y728">
        <f>_xlfn.NUMBERVALUE("11.760000")</f>
        <v/>
      </c>
    </row>
    <row r="729">
      <c r="A729" s="1" t="n">
        <v>43056</v>
      </c>
      <c r="B729">
        <f>_xlfn.NUMBERVALUE("0.000000")</f>
        <v/>
      </c>
      <c r="C729" s="2">
        <f>_xlfn.NUMBERVALUE("-0.000373")</f>
        <v/>
      </c>
      <c r="D729">
        <f>_xlfn.NUMBERVALUE("0.001539")</f>
        <v/>
      </c>
      <c r="E729">
        <f>_xlfn.NUMBERVALUE("0.000654")</f>
        <v/>
      </c>
      <c r="F729">
        <f>_xlfn.NUMBERVALUE("-0.002461")</f>
        <v/>
      </c>
      <c r="G729">
        <f>_xlfn.NUMBERVALUE("0.001017")</f>
        <v/>
      </c>
      <c r="H729">
        <f>_xlfn.NUMBERVALUE("0.000965")</f>
        <v/>
      </c>
      <c r="I729">
        <f>_xlfn.NUMBERVALUE("0.001889")</f>
        <v/>
      </c>
      <c r="J729">
        <f>_xlfn.NUMBERVALUE("0.000410")</f>
        <v/>
      </c>
      <c r="K729">
        <f>_xlfn.NUMBERVALUE("-0.000560")</f>
        <v/>
      </c>
      <c r="L729">
        <f>_xlfn.NUMBERVALUE("-0.000447")</f>
        <v/>
      </c>
      <c r="M729">
        <f>_xlfn.NUMBERVALUE("0.002302")</f>
        <v/>
      </c>
      <c r="N729">
        <f>_xlfn.NUMBERVALUE("0.000000")</f>
        <v/>
      </c>
      <c r="O729">
        <f>_xlfn.NUMBERVALUE("0.000760")</f>
        <v/>
      </c>
      <c r="P729">
        <f>_xlfn.NUMBERVALUE("-0.000063")</f>
        <v/>
      </c>
      <c r="Q729">
        <f>_xlfn.NUMBERVALUE("0.000687")</f>
        <v/>
      </c>
      <c r="R729">
        <f>_xlfn.NUMBERVALUE("0.002526")</f>
        <v/>
      </c>
      <c r="S729">
        <f>_xlfn.NUMBERVALUE("0.001157")</f>
        <v/>
      </c>
      <c r="T729">
        <f>_xlfn.NUMBERVALUE("0.000516")</f>
        <v/>
      </c>
      <c r="U729">
        <f>_xlfn.NUMBERVALUE("0.005114")</f>
        <v/>
      </c>
      <c r="V729">
        <f>_xlfn.NUMBERVALUE("0.001556")</f>
        <v/>
      </c>
      <c r="W729">
        <f>_xlfn.NUMBERVALUE("-0.002629")</f>
        <v/>
      </c>
      <c r="X729">
        <f>_xlfn.NUMBERVALUE("-0.330000")</f>
        <v/>
      </c>
      <c r="Y729">
        <f>_xlfn.NUMBERVALUE("11.430000")</f>
        <v/>
      </c>
    </row>
    <row r="730">
      <c r="A730" s="1" t="n">
        <v>43059</v>
      </c>
      <c r="B730">
        <f>_xlfn.NUMBERVALUE("0.000000")</f>
        <v/>
      </c>
      <c r="C730" s="2">
        <f>_xlfn.NUMBERVALUE("0.001428")</f>
        <v/>
      </c>
      <c r="D730">
        <f>_xlfn.NUMBERVALUE("0.000948")</f>
        <v/>
      </c>
      <c r="E730">
        <f>_xlfn.NUMBERVALUE("0.000301")</f>
        <v/>
      </c>
      <c r="F730">
        <f>_xlfn.NUMBERVALUE("-0.002706")</f>
        <v/>
      </c>
      <c r="G730">
        <f>_xlfn.NUMBERVALUE("0.000578")</f>
        <v/>
      </c>
      <c r="H730">
        <f>_xlfn.NUMBERVALUE("-0.000263")</f>
        <v/>
      </c>
      <c r="I730">
        <f>_xlfn.NUMBERVALUE("-0.000406")</f>
        <v/>
      </c>
      <c r="J730">
        <f>_xlfn.NUMBERVALUE("0.000511")</f>
        <v/>
      </c>
      <c r="K730">
        <f>_xlfn.NUMBERVALUE("-0.002190")</f>
        <v/>
      </c>
      <c r="L730">
        <f>_xlfn.NUMBERVALUE("0.001382")</f>
        <v/>
      </c>
      <c r="M730">
        <f>_xlfn.NUMBERVALUE("0.001135")</f>
        <v/>
      </c>
      <c r="N730">
        <f>_xlfn.NUMBERVALUE("0.000000")</f>
        <v/>
      </c>
      <c r="O730">
        <f>_xlfn.NUMBERVALUE("0.001679")</f>
        <v/>
      </c>
      <c r="P730">
        <f>_xlfn.NUMBERVALUE("0.002367")</f>
        <v/>
      </c>
      <c r="Q730">
        <f>_xlfn.NUMBERVALUE("0.001087")</f>
        <v/>
      </c>
      <c r="R730">
        <f>_xlfn.NUMBERVALUE("0.001611")</f>
        <v/>
      </c>
      <c r="S730">
        <f>_xlfn.NUMBERVALUE("0.001213")</f>
        <v/>
      </c>
      <c r="T730">
        <f>_xlfn.NUMBERVALUE("0.002894")</f>
        <v/>
      </c>
      <c r="U730">
        <f>_xlfn.NUMBERVALUE("-0.002477")</f>
        <v/>
      </c>
      <c r="V730">
        <f>_xlfn.NUMBERVALUE("0.001141")</f>
        <v/>
      </c>
      <c r="W730">
        <f>_xlfn.NUMBERVALUE("0.001279")</f>
        <v/>
      </c>
      <c r="X730">
        <f>_xlfn.NUMBERVALUE("-0.780000")</f>
        <v/>
      </c>
      <c r="Y730">
        <f>_xlfn.NUMBERVALUE("10.650000")</f>
        <v/>
      </c>
    </row>
    <row r="731">
      <c r="A731" s="1" t="n">
        <v>43060</v>
      </c>
      <c r="B731">
        <f>_xlfn.NUMBERVALUE("0.000000")</f>
        <v/>
      </c>
      <c r="C731" s="2">
        <f>_xlfn.NUMBERVALUE("-0.000956")</f>
        <v/>
      </c>
      <c r="D731">
        <f>_xlfn.NUMBERVALUE("-0.004247")</f>
        <v/>
      </c>
      <c r="E731">
        <f>_xlfn.NUMBERVALUE("-0.001720")</f>
        <v/>
      </c>
      <c r="F731">
        <f>_xlfn.NUMBERVALUE("0.001107")</f>
        <v/>
      </c>
      <c r="G731">
        <f>_xlfn.NUMBERVALUE("-0.000879")</f>
        <v/>
      </c>
      <c r="H731">
        <f>_xlfn.NUMBERVALUE("0.000152")</f>
        <v/>
      </c>
      <c r="I731">
        <f>_xlfn.NUMBERVALUE("-0.001972")</f>
        <v/>
      </c>
      <c r="J731">
        <f>_xlfn.NUMBERVALUE("-0.000415")</f>
        <v/>
      </c>
      <c r="K731">
        <f>_xlfn.NUMBERVALUE("0.001988")</f>
        <v/>
      </c>
      <c r="L731">
        <f>_xlfn.NUMBERVALUE("0.000496")</f>
        <v/>
      </c>
      <c r="M731">
        <f>_xlfn.NUMBERVALUE("0.001225")</f>
        <v/>
      </c>
      <c r="N731">
        <f>_xlfn.NUMBERVALUE("0.000000")</f>
        <v/>
      </c>
      <c r="O731">
        <f>_xlfn.NUMBERVALUE("0.001698")</f>
        <v/>
      </c>
      <c r="P731">
        <f>_xlfn.NUMBERVALUE("0.000616")</f>
        <v/>
      </c>
      <c r="Q731">
        <f>_xlfn.NUMBERVALUE("-0.000107")</f>
        <v/>
      </c>
      <c r="R731">
        <f>_xlfn.NUMBERVALUE("-0.002099")</f>
        <v/>
      </c>
      <c r="S731">
        <f>_xlfn.NUMBERVALUE("-0.000048")</f>
        <v/>
      </c>
      <c r="T731">
        <f>_xlfn.NUMBERVALUE("0.000978")</f>
        <v/>
      </c>
      <c r="U731">
        <f>_xlfn.NUMBERVALUE("0.000346")</f>
        <v/>
      </c>
      <c r="V731">
        <f>_xlfn.NUMBERVALUE("-0.001176")</f>
        <v/>
      </c>
      <c r="W731">
        <f>_xlfn.NUMBERVALUE("0.006408")</f>
        <v/>
      </c>
      <c r="X731">
        <f>_xlfn.NUMBERVALUE("-0.920000")</f>
        <v/>
      </c>
      <c r="Y731">
        <f>_xlfn.NUMBERVALUE("9.730000")</f>
        <v/>
      </c>
    </row>
    <row r="732">
      <c r="A732" s="1" t="n">
        <v>43061</v>
      </c>
      <c r="B732">
        <f>_xlfn.NUMBERVALUE("0.000000")</f>
        <v/>
      </c>
      <c r="C732" s="2">
        <f>_xlfn.NUMBERVALUE("0.000573")</f>
        <v/>
      </c>
      <c r="D732">
        <f>_xlfn.NUMBERVALUE("0.000300")</f>
        <v/>
      </c>
      <c r="E732">
        <f>_xlfn.NUMBERVALUE("-0.000404")</f>
        <v/>
      </c>
      <c r="F732">
        <f>_xlfn.NUMBERVALUE("-0.001545")</f>
        <v/>
      </c>
      <c r="G732">
        <f>_xlfn.NUMBERVALUE("-0.000577")</f>
        <v/>
      </c>
      <c r="H732">
        <f>_xlfn.NUMBERVALUE("0.000532")</f>
        <v/>
      </c>
      <c r="I732">
        <f>_xlfn.NUMBERVALUE("0.001183")</f>
        <v/>
      </c>
      <c r="J732">
        <f>_xlfn.NUMBERVALUE("-0.001061")</f>
        <v/>
      </c>
      <c r="K732">
        <f>_xlfn.NUMBERVALUE("-0.001067")</f>
        <v/>
      </c>
      <c r="L732">
        <f>_xlfn.NUMBERVALUE("0.000157")</f>
        <v/>
      </c>
      <c r="M732">
        <f>_xlfn.NUMBERVALUE("0.000672")</f>
        <v/>
      </c>
      <c r="N732">
        <f>_xlfn.NUMBERVALUE("0.000000")</f>
        <v/>
      </c>
      <c r="O732">
        <f>_xlfn.NUMBERVALUE("-0.000306")</f>
        <v/>
      </c>
      <c r="P732">
        <f>_xlfn.NUMBERVALUE("-0.000176")</f>
        <v/>
      </c>
      <c r="Q732">
        <f>_xlfn.NUMBERVALUE("0.001034")</f>
        <v/>
      </c>
      <c r="R732">
        <f>_xlfn.NUMBERVALUE("0.001468")</f>
        <v/>
      </c>
      <c r="S732">
        <f>_xlfn.NUMBERVALUE("0.000821")</f>
        <v/>
      </c>
      <c r="T732">
        <f>_xlfn.NUMBERVALUE("0.001444")</f>
        <v/>
      </c>
      <c r="U732">
        <f>_xlfn.NUMBERVALUE("0.000767")</f>
        <v/>
      </c>
      <c r="V732">
        <f>_xlfn.NUMBERVALUE("0.000593")</f>
        <v/>
      </c>
      <c r="W732">
        <f>_xlfn.NUMBERVALUE("-0.000154")</f>
        <v/>
      </c>
      <c r="X732">
        <f>_xlfn.NUMBERVALUE("0.150000")</f>
        <v/>
      </c>
      <c r="Y732">
        <f>_xlfn.NUMBERVALUE("9.880000")</f>
        <v/>
      </c>
    </row>
    <row r="733">
      <c r="A733" s="1" t="n">
        <v>43063</v>
      </c>
      <c r="B733">
        <f>_xlfn.NUMBERVALUE("0.000000")</f>
        <v/>
      </c>
      <c r="C733" s="2">
        <f>_xlfn.NUMBERVALUE("0.000336")</f>
        <v/>
      </c>
      <c r="D733">
        <f>_xlfn.NUMBERVALUE("0.001665")</f>
        <v/>
      </c>
      <c r="E733">
        <f>_xlfn.NUMBERVALUE("-0.001824")</f>
        <v/>
      </c>
      <c r="F733">
        <f>_xlfn.NUMBERVALUE("0.001158")</f>
        <v/>
      </c>
      <c r="G733">
        <f>_xlfn.NUMBERVALUE("0.000272")</f>
        <v/>
      </c>
      <c r="H733">
        <f>_xlfn.NUMBERVALUE("0.000075")</f>
        <v/>
      </c>
      <c r="I733">
        <f>_xlfn.NUMBERVALUE("-0.000149")</f>
        <v/>
      </c>
      <c r="J733">
        <f>_xlfn.NUMBERVALUE("0.000389")</f>
        <v/>
      </c>
      <c r="K733">
        <f>_xlfn.NUMBERVALUE("0.001788")</f>
        <v/>
      </c>
      <c r="L733">
        <f>_xlfn.NUMBERVALUE("0.000955")</f>
        <v/>
      </c>
      <c r="M733">
        <f>_xlfn.NUMBERVALUE("0.000002")</f>
        <v/>
      </c>
      <c r="N733">
        <f>_xlfn.NUMBERVALUE("0.000000")</f>
        <v/>
      </c>
      <c r="O733">
        <f>_xlfn.NUMBERVALUE("0.001486")</f>
        <v/>
      </c>
      <c r="P733">
        <f>_xlfn.NUMBERVALUE("0.001167")</f>
        <v/>
      </c>
      <c r="Q733">
        <f>_xlfn.NUMBERVALUE("0.000030")</f>
        <v/>
      </c>
      <c r="R733">
        <f>_xlfn.NUMBERVALUE("0.000153")</f>
        <v/>
      </c>
      <c r="S733">
        <f>_xlfn.NUMBERVALUE("0.000026")</f>
        <v/>
      </c>
      <c r="T733">
        <f>_xlfn.NUMBERVALUE("0.000858")</f>
        <v/>
      </c>
      <c r="U733">
        <f>_xlfn.NUMBERVALUE("0.000532")</f>
        <v/>
      </c>
      <c r="V733">
        <f>_xlfn.NUMBERVALUE("0.000441")</f>
        <v/>
      </c>
      <c r="W733">
        <f>_xlfn.NUMBERVALUE("0.001866")</f>
        <v/>
      </c>
      <c r="X733">
        <f>_xlfn.NUMBERVALUE("-0.210000")</f>
        <v/>
      </c>
      <c r="Y733">
        <f>_xlfn.NUMBERVALUE("9.670000")</f>
        <v/>
      </c>
    </row>
    <row r="734">
      <c r="A734" s="1" t="n">
        <v>43066</v>
      </c>
      <c r="B734">
        <f>_xlfn.NUMBERVALUE("0.000000")</f>
        <v/>
      </c>
      <c r="C734" s="2">
        <f>_xlfn.NUMBERVALUE("0.000690")</f>
        <v/>
      </c>
      <c r="D734">
        <f>_xlfn.NUMBERVALUE("0.000806")</f>
        <v/>
      </c>
      <c r="E734">
        <f>_xlfn.NUMBERVALUE("0.000454")</f>
        <v/>
      </c>
      <c r="F734">
        <f>_xlfn.NUMBERVALUE("0.000636")</f>
        <v/>
      </c>
      <c r="G734">
        <f>_xlfn.NUMBERVALUE("-0.000027")</f>
        <v/>
      </c>
      <c r="H734">
        <f>_xlfn.NUMBERVALUE("0.000859")</f>
        <v/>
      </c>
      <c r="I734">
        <f>_xlfn.NUMBERVALUE("0.002473")</f>
        <v/>
      </c>
      <c r="J734">
        <f>_xlfn.NUMBERVALUE("0.001422")</f>
        <v/>
      </c>
      <c r="K734">
        <f>_xlfn.NUMBERVALUE("0.005146")</f>
        <v/>
      </c>
      <c r="L734">
        <f>_xlfn.NUMBERVALUE("0.000520")</f>
        <v/>
      </c>
      <c r="M734">
        <f>_xlfn.NUMBERVALUE("0.000818")</f>
        <v/>
      </c>
      <c r="N734">
        <f>_xlfn.NUMBERVALUE("0.000000")</f>
        <v/>
      </c>
      <c r="O734">
        <f>_xlfn.NUMBERVALUE("-0.000241")</f>
        <v/>
      </c>
      <c r="P734">
        <f>_xlfn.NUMBERVALUE("-0.001509")</f>
        <v/>
      </c>
      <c r="Q734">
        <f>_xlfn.NUMBERVALUE("0.001221")</f>
        <v/>
      </c>
      <c r="R734">
        <f>_xlfn.NUMBERVALUE("0.000661")</f>
        <v/>
      </c>
      <c r="S734">
        <f>_xlfn.NUMBERVALUE("0.000278")</f>
        <v/>
      </c>
      <c r="T734">
        <f>_xlfn.NUMBERVALUE("0.000252")</f>
        <v/>
      </c>
      <c r="U734">
        <f>_xlfn.NUMBERVALUE("0.000430")</f>
        <v/>
      </c>
      <c r="V734">
        <f>_xlfn.NUMBERVALUE("0.000302")</f>
        <v/>
      </c>
      <c r="W734">
        <f>_xlfn.NUMBERVALUE("-0.000038")</f>
        <v/>
      </c>
      <c r="X734">
        <f>_xlfn.NUMBERVALUE("0.200000")</f>
        <v/>
      </c>
      <c r="Y734">
        <f>_xlfn.NUMBERVALUE("9.870000")</f>
        <v/>
      </c>
    </row>
    <row r="735">
      <c r="A735" s="1" t="n">
        <v>43067</v>
      </c>
      <c r="B735">
        <f>_xlfn.NUMBERVALUE("0.000000")</f>
        <v/>
      </c>
      <c r="C735" s="2">
        <f>_xlfn.NUMBERVALUE("-0.001511")</f>
        <v/>
      </c>
      <c r="D735">
        <f>_xlfn.NUMBERVALUE("-0.000461")</f>
        <v/>
      </c>
      <c r="E735">
        <f>_xlfn.NUMBERVALUE("-0.000539")</f>
        <v/>
      </c>
      <c r="F735">
        <f>_xlfn.NUMBERVALUE("-0.000023")</f>
        <v/>
      </c>
      <c r="G735">
        <f>_xlfn.NUMBERVALUE("0.001688")</f>
        <v/>
      </c>
      <c r="H735">
        <f>_xlfn.NUMBERVALUE("0.000364")</f>
        <v/>
      </c>
      <c r="I735">
        <f>_xlfn.NUMBERVALUE("-0.004067")</f>
        <v/>
      </c>
      <c r="J735">
        <f>_xlfn.NUMBERVALUE("0.000603")</f>
        <v/>
      </c>
      <c r="K735">
        <f>_xlfn.NUMBERVALUE("-0.001480")</f>
        <v/>
      </c>
      <c r="L735">
        <f>_xlfn.NUMBERVALUE("0.000790")</f>
        <v/>
      </c>
      <c r="M735">
        <f>_xlfn.NUMBERVALUE("-0.002385")</f>
        <v/>
      </c>
      <c r="N735">
        <f>_xlfn.NUMBERVALUE("0.000000")</f>
        <v/>
      </c>
      <c r="O735">
        <f>_xlfn.NUMBERVALUE("-0.000414")</f>
        <v/>
      </c>
      <c r="P735">
        <f>_xlfn.NUMBERVALUE("-0.007577")</f>
        <v/>
      </c>
      <c r="Q735">
        <f>_xlfn.NUMBERVALUE("-0.007055")</f>
        <v/>
      </c>
      <c r="R735">
        <f>_xlfn.NUMBERVALUE("-0.000286")</f>
        <v/>
      </c>
      <c r="S735">
        <f>_xlfn.NUMBERVALUE("0.000189")</f>
        <v/>
      </c>
      <c r="T735">
        <f>_xlfn.NUMBERVALUE("0.000538")</f>
        <v/>
      </c>
      <c r="U735">
        <f>_xlfn.NUMBERVALUE("0.000232")</f>
        <v/>
      </c>
      <c r="V735">
        <f>_xlfn.NUMBERVALUE("-0.000978")</f>
        <v/>
      </c>
      <c r="W735">
        <f>_xlfn.NUMBERVALUE("0.008834")</f>
        <v/>
      </c>
      <c r="X735">
        <f>_xlfn.NUMBERVALUE("0.160000")</f>
        <v/>
      </c>
      <c r="Y735">
        <f>_xlfn.NUMBERVALUE("10.030000")</f>
        <v/>
      </c>
    </row>
    <row r="736">
      <c r="A736" s="1" t="n">
        <v>43068</v>
      </c>
      <c r="B736">
        <f>_xlfn.NUMBERVALUE("0.000000")</f>
        <v/>
      </c>
      <c r="C736" s="2">
        <f>_xlfn.NUMBERVALUE("-0.000048")</f>
        <v/>
      </c>
      <c r="D736">
        <f>_xlfn.NUMBERVALUE("-0.000004")</f>
        <v/>
      </c>
      <c r="E736">
        <f>_xlfn.NUMBERVALUE("0.000512")</f>
        <v/>
      </c>
      <c r="F736">
        <f>_xlfn.NUMBERVALUE("0.000544")</f>
        <v/>
      </c>
      <c r="G736">
        <f>_xlfn.NUMBERVALUE("-0.000318")</f>
        <v/>
      </c>
      <c r="H736">
        <f>_xlfn.NUMBERVALUE("-0.000035")</f>
        <v/>
      </c>
      <c r="I736">
        <f>_xlfn.NUMBERVALUE("-0.000002")</f>
        <v/>
      </c>
      <c r="J736">
        <f>_xlfn.NUMBERVALUE("-0.000843")</f>
        <v/>
      </c>
      <c r="K736">
        <f>_xlfn.NUMBERVALUE("-0.005337")</f>
        <v/>
      </c>
      <c r="L736">
        <f>_xlfn.NUMBERVALUE("-0.001620")</f>
        <v/>
      </c>
      <c r="M736">
        <f>_xlfn.NUMBERVALUE("-0.000565")</f>
        <v/>
      </c>
      <c r="N736">
        <f>_xlfn.NUMBERVALUE("0.000000")</f>
        <v/>
      </c>
      <c r="O736">
        <f>_xlfn.NUMBERVALUE("-0.003104")</f>
        <v/>
      </c>
      <c r="P736">
        <f>_xlfn.NUMBERVALUE("-0.006633")</f>
        <v/>
      </c>
      <c r="Q736">
        <f>_xlfn.NUMBERVALUE("-0.003671")</f>
        <v/>
      </c>
      <c r="R736">
        <f>_xlfn.NUMBERVALUE("-0.010573")</f>
        <v/>
      </c>
      <c r="S736">
        <f>_xlfn.NUMBERVALUE("-0.000198")</f>
        <v/>
      </c>
      <c r="T736">
        <f>_xlfn.NUMBERVALUE("0.000236")</f>
        <v/>
      </c>
      <c r="U736">
        <f>_xlfn.NUMBERVALUE("-0.000404")</f>
        <v/>
      </c>
      <c r="V736">
        <f>_xlfn.NUMBERVALUE("0.000067")</f>
        <v/>
      </c>
      <c r="W736">
        <f>_xlfn.NUMBERVALUE("0.000685")</f>
        <v/>
      </c>
      <c r="X736">
        <f>_xlfn.NUMBERVALUE("0.670000")</f>
        <v/>
      </c>
      <c r="Y736">
        <f>_xlfn.NUMBERVALUE("10.700000")</f>
        <v/>
      </c>
    </row>
    <row r="737">
      <c r="A737" s="1" t="n">
        <v>43069</v>
      </c>
      <c r="B737">
        <f>_xlfn.NUMBERVALUE("0.000000")</f>
        <v/>
      </c>
      <c r="C737" s="2">
        <f>_xlfn.NUMBERVALUE("-0.000022")</f>
        <v/>
      </c>
      <c r="D737">
        <f>_xlfn.NUMBERVALUE("-0.002401")</f>
        <v/>
      </c>
      <c r="E737">
        <f>_xlfn.NUMBERVALUE("0.000400")</f>
        <v/>
      </c>
      <c r="F737">
        <f>_xlfn.NUMBERVALUE("0.002537")</f>
        <v/>
      </c>
      <c r="G737">
        <f>_xlfn.NUMBERVALUE("0.001381")</f>
        <v/>
      </c>
      <c r="H737">
        <f>_xlfn.NUMBERVALUE("-0.001425")</f>
        <v/>
      </c>
      <c r="I737">
        <f>_xlfn.NUMBERVALUE("0.000065")</f>
        <v/>
      </c>
      <c r="J737">
        <f>_xlfn.NUMBERVALUE("0.000205")</f>
        <v/>
      </c>
      <c r="K737">
        <f>_xlfn.NUMBERVALUE("-0.000166")</f>
        <v/>
      </c>
      <c r="L737">
        <f>_xlfn.NUMBERVALUE("0.001455")</f>
        <v/>
      </c>
      <c r="M737">
        <f>_xlfn.NUMBERVALUE("-0.000899")</f>
        <v/>
      </c>
      <c r="N737">
        <f>_xlfn.NUMBERVALUE("0.000000")</f>
        <v/>
      </c>
      <c r="O737">
        <f>_xlfn.NUMBERVALUE("0.002049")</f>
        <v/>
      </c>
      <c r="P737">
        <f>_xlfn.NUMBERVALUE("0.000911")</f>
        <v/>
      </c>
      <c r="Q737">
        <f>_xlfn.NUMBERVALUE("-0.003457")</f>
        <v/>
      </c>
      <c r="R737">
        <f>_xlfn.NUMBERVALUE("0.000200")</f>
        <v/>
      </c>
      <c r="S737">
        <f>_xlfn.NUMBERVALUE("0.000041")</f>
        <v/>
      </c>
      <c r="T737">
        <f>_xlfn.NUMBERVALUE("-0.000946")</f>
        <v/>
      </c>
      <c r="U737">
        <f>_xlfn.NUMBERVALUE("0.000693")</f>
        <v/>
      </c>
      <c r="V737">
        <f>_xlfn.NUMBERVALUE("-0.000108")</f>
        <v/>
      </c>
      <c r="W737">
        <f>_xlfn.NUMBERVALUE("0.004193")</f>
        <v/>
      </c>
      <c r="X737">
        <f>_xlfn.NUMBERVALUE("0.580000")</f>
        <v/>
      </c>
      <c r="Y737">
        <f>_xlfn.NUMBERVALUE("11.280000")</f>
        <v/>
      </c>
    </row>
    <row r="738">
      <c r="A738" s="1" t="n">
        <v>43070</v>
      </c>
      <c r="B738">
        <f>_xlfn.NUMBERVALUE("0.000000")</f>
        <v/>
      </c>
      <c r="C738" s="2">
        <f>_xlfn.NUMBERVALUE("-0.001322")</f>
        <v/>
      </c>
      <c r="D738">
        <f>_xlfn.NUMBERVALUE("0.000866")</f>
        <v/>
      </c>
      <c r="E738">
        <f>_xlfn.NUMBERVALUE("-0.000963")</f>
        <v/>
      </c>
      <c r="F738">
        <f>_xlfn.NUMBERVALUE("0.000564")</f>
        <v/>
      </c>
      <c r="G738">
        <f>_xlfn.NUMBERVALUE("-0.001418")</f>
        <v/>
      </c>
      <c r="H738">
        <f>_xlfn.NUMBERVALUE("-0.000038")</f>
        <v/>
      </c>
      <c r="I738">
        <f>_xlfn.NUMBERVALUE("-0.000591")</f>
        <v/>
      </c>
      <c r="J738">
        <f>_xlfn.NUMBERVALUE("-0.001995")</f>
        <v/>
      </c>
      <c r="K738">
        <f>_xlfn.NUMBERVALUE("0.000802")</f>
        <v/>
      </c>
      <c r="L738">
        <f>_xlfn.NUMBERVALUE("-0.007677")</f>
        <v/>
      </c>
      <c r="M738">
        <f>_xlfn.NUMBERVALUE("-0.000658")</f>
        <v/>
      </c>
      <c r="N738">
        <f>_xlfn.NUMBERVALUE("0.000000")</f>
        <v/>
      </c>
      <c r="O738">
        <f>_xlfn.NUMBERVALUE("-0.000586")</f>
        <v/>
      </c>
      <c r="P738">
        <f>_xlfn.NUMBERVALUE("-0.001015")</f>
        <v/>
      </c>
      <c r="Q738">
        <f>_xlfn.NUMBERVALUE("-0.001022")</f>
        <v/>
      </c>
      <c r="R738">
        <f>_xlfn.NUMBERVALUE("0.000971")</f>
        <v/>
      </c>
      <c r="S738">
        <f>_xlfn.NUMBERVALUE("0.000185")</f>
        <v/>
      </c>
      <c r="T738">
        <f>_xlfn.NUMBERVALUE("-0.000178")</f>
        <v/>
      </c>
      <c r="U738">
        <f>_xlfn.NUMBERVALUE("-0.001031")</f>
        <v/>
      </c>
      <c r="V738">
        <f>_xlfn.NUMBERVALUE("0.001406")</f>
        <v/>
      </c>
      <c r="W738">
        <f>_xlfn.NUMBERVALUE("-0.002336")</f>
        <v/>
      </c>
      <c r="X738">
        <f>_xlfn.NUMBERVALUE("0.150000")</f>
        <v/>
      </c>
      <c r="Y738">
        <f>_xlfn.NUMBERVALUE("11.430000")</f>
        <v/>
      </c>
    </row>
    <row r="739">
      <c r="A739" s="1" t="n">
        <v>43073</v>
      </c>
      <c r="B739">
        <f>_xlfn.NUMBERVALUE("0.000000")</f>
        <v/>
      </c>
      <c r="C739" s="2">
        <f>_xlfn.NUMBERVALUE("-0.000610")</f>
        <v/>
      </c>
      <c r="D739">
        <f>_xlfn.NUMBERVALUE("0.003131")</f>
        <v/>
      </c>
      <c r="E739">
        <f>_xlfn.NUMBERVALUE("0.003846")</f>
        <v/>
      </c>
      <c r="F739">
        <f>_xlfn.NUMBERVALUE("0.000898")</f>
        <v/>
      </c>
      <c r="G739">
        <f>_xlfn.NUMBERVALUE("0.001274")</f>
        <v/>
      </c>
      <c r="H739">
        <f>_xlfn.NUMBERVALUE("-0.000018")</f>
        <v/>
      </c>
      <c r="I739">
        <f>_xlfn.NUMBERVALUE("-0.000073")</f>
        <v/>
      </c>
      <c r="J739">
        <f>_xlfn.NUMBERVALUE("0.001070")</f>
        <v/>
      </c>
      <c r="K739">
        <f>_xlfn.NUMBERVALUE("0.000186")</f>
        <v/>
      </c>
      <c r="L739">
        <f>_xlfn.NUMBERVALUE("0.001617")</f>
        <v/>
      </c>
      <c r="M739">
        <f>_xlfn.NUMBERVALUE("-0.000904")</f>
        <v/>
      </c>
      <c r="N739">
        <f>_xlfn.NUMBERVALUE("0.000000")</f>
        <v/>
      </c>
      <c r="O739">
        <f>_xlfn.NUMBERVALUE("0.002011")</f>
        <v/>
      </c>
      <c r="P739">
        <f>_xlfn.NUMBERVALUE("-0.001560")</f>
        <v/>
      </c>
      <c r="Q739">
        <f>_xlfn.NUMBERVALUE("0.000418")</f>
        <v/>
      </c>
      <c r="R739">
        <f>_xlfn.NUMBERVALUE("-0.004410")</f>
        <v/>
      </c>
      <c r="S739">
        <f>_xlfn.NUMBERVALUE("-0.000240")</f>
        <v/>
      </c>
      <c r="T739">
        <f>_xlfn.NUMBERVALUE("0.002678")</f>
        <v/>
      </c>
      <c r="U739">
        <f>_xlfn.NUMBERVALUE("0.000075")</f>
        <v/>
      </c>
      <c r="V739">
        <f>_xlfn.NUMBERVALUE("0.000736")</f>
        <v/>
      </c>
      <c r="W739">
        <f>_xlfn.NUMBERVALUE("-0.000359")</f>
        <v/>
      </c>
      <c r="X739">
        <f>_xlfn.NUMBERVALUE("0.250000")</f>
        <v/>
      </c>
      <c r="Y739">
        <f>_xlfn.NUMBERVALUE("11.680000")</f>
        <v/>
      </c>
    </row>
    <row r="740">
      <c r="A740" s="1" t="n">
        <v>43075</v>
      </c>
      <c r="B740">
        <f>_xlfn.NUMBERVALUE("0.000000")</f>
        <v/>
      </c>
      <c r="C740" s="2">
        <f>_xlfn.NUMBERVALUE("0.004360")</f>
        <v/>
      </c>
      <c r="D740">
        <f>_xlfn.NUMBERVALUE("0.001410")</f>
        <v/>
      </c>
      <c r="E740">
        <f>_xlfn.NUMBERVALUE("0.000657")</f>
        <v/>
      </c>
      <c r="F740">
        <f>_xlfn.NUMBERVALUE("-0.000409")</f>
        <v/>
      </c>
      <c r="G740">
        <f>_xlfn.NUMBERVALUE("0.000801")</f>
        <v/>
      </c>
      <c r="H740">
        <f>_xlfn.NUMBERVALUE("0.000885")</f>
        <v/>
      </c>
      <c r="I740">
        <f>_xlfn.NUMBERVALUE("0.000542")</f>
        <v/>
      </c>
      <c r="J740">
        <f>_xlfn.NUMBERVALUE("0.000059")</f>
        <v/>
      </c>
      <c r="K740">
        <f>_xlfn.NUMBERVALUE("-0.001700")</f>
        <v/>
      </c>
      <c r="L740">
        <f>_xlfn.NUMBERVALUE("0.000663")</f>
        <v/>
      </c>
      <c r="M740">
        <f>_xlfn.NUMBERVALUE("0.006351")</f>
        <v/>
      </c>
      <c r="N740">
        <f>_xlfn.NUMBERVALUE("0.000000")</f>
        <v/>
      </c>
      <c r="O740">
        <f>_xlfn.NUMBERVALUE("0.003981")</f>
        <v/>
      </c>
      <c r="P740">
        <f>_xlfn.NUMBERVALUE("0.000928")</f>
        <v/>
      </c>
      <c r="Q740">
        <f>_xlfn.NUMBERVALUE("0.000981")</f>
        <v/>
      </c>
      <c r="R740">
        <f>_xlfn.NUMBERVALUE("0.003492")</f>
        <v/>
      </c>
      <c r="S740">
        <f>_xlfn.NUMBERVALUE("0.000010")</f>
        <v/>
      </c>
      <c r="T740">
        <f>_xlfn.NUMBERVALUE("0.005977")</f>
        <v/>
      </c>
      <c r="U740">
        <f>_xlfn.NUMBERVALUE("0.000097")</f>
        <v/>
      </c>
      <c r="V740">
        <f>_xlfn.NUMBERVALUE("0.002766")</f>
        <v/>
      </c>
      <c r="W740">
        <f>_xlfn.NUMBERVALUE("-0.004426")</f>
        <v/>
      </c>
      <c r="X740">
        <f>_xlfn.NUMBERVALUE("-0.660000")</f>
        <v/>
      </c>
      <c r="Y740">
        <f>_xlfn.NUMBERVALUE("11.020000")</f>
        <v/>
      </c>
    </row>
    <row r="741">
      <c r="A741" s="1" t="n">
        <v>43076</v>
      </c>
      <c r="B741">
        <f>_xlfn.NUMBERVALUE("0.000000")</f>
        <v/>
      </c>
      <c r="C741" s="2">
        <f>_xlfn.NUMBERVALUE("0.001458")</f>
        <v/>
      </c>
      <c r="D741">
        <f>_xlfn.NUMBERVALUE("0.001702")</f>
        <v/>
      </c>
      <c r="E741">
        <f>_xlfn.NUMBERVALUE("0.000498")</f>
        <v/>
      </c>
      <c r="F741">
        <f>_xlfn.NUMBERVALUE("-0.004123")</f>
        <v/>
      </c>
      <c r="G741">
        <f>_xlfn.NUMBERVALUE("0.000404")</f>
        <v/>
      </c>
      <c r="H741">
        <f>_xlfn.NUMBERVALUE("0.001057")</f>
        <v/>
      </c>
      <c r="I741">
        <f>_xlfn.NUMBERVALUE("0.000607")</f>
        <v/>
      </c>
      <c r="J741">
        <f>_xlfn.NUMBERVALUE("0.000506")</f>
        <v/>
      </c>
      <c r="K741">
        <f>_xlfn.NUMBERVALUE("-0.005745")</f>
        <v/>
      </c>
      <c r="L741">
        <f>_xlfn.NUMBERVALUE("-0.000923")</f>
        <v/>
      </c>
      <c r="M741">
        <f>_xlfn.NUMBERVALUE("0.000768")</f>
        <v/>
      </c>
      <c r="N741">
        <f>_xlfn.NUMBERVALUE("0.000000")</f>
        <v/>
      </c>
      <c r="O741">
        <f>_xlfn.NUMBERVALUE("0.002111")</f>
        <v/>
      </c>
      <c r="P741">
        <f>_xlfn.NUMBERVALUE("0.003283")</f>
        <v/>
      </c>
      <c r="Q741">
        <f>_xlfn.NUMBERVALUE("-0.000436")</f>
        <v/>
      </c>
      <c r="R741">
        <f>_xlfn.NUMBERVALUE("0.001196")</f>
        <v/>
      </c>
      <c r="S741">
        <f>_xlfn.NUMBERVALUE("0.000586")</f>
        <v/>
      </c>
      <c r="T741">
        <f>_xlfn.NUMBERVALUE("0.001169")</f>
        <v/>
      </c>
      <c r="U741">
        <f>_xlfn.NUMBERVALUE("0.001474")</f>
        <v/>
      </c>
      <c r="V741">
        <f>_xlfn.NUMBERVALUE("0.000376")</f>
        <v/>
      </c>
      <c r="W741">
        <f>_xlfn.NUMBERVALUE("0.003344")</f>
        <v/>
      </c>
      <c r="X741">
        <f>_xlfn.NUMBERVALUE("-0.860000")</f>
        <v/>
      </c>
      <c r="Y741">
        <f>_xlfn.NUMBERVALUE("10.160000")</f>
        <v/>
      </c>
    </row>
    <row r="742">
      <c r="A742" s="1" t="n">
        <v>43077</v>
      </c>
      <c r="B742">
        <f>_xlfn.NUMBERVALUE("0.000000")</f>
        <v/>
      </c>
      <c r="C742" s="2">
        <f>_xlfn.NUMBERVALUE("0.000829")</f>
        <v/>
      </c>
      <c r="D742">
        <f>_xlfn.NUMBERVALUE("-0.000709")</f>
        <v/>
      </c>
      <c r="E742">
        <f>_xlfn.NUMBERVALUE("-0.000595")</f>
        <v/>
      </c>
      <c r="F742">
        <f>_xlfn.NUMBERVALUE("0.001181")</f>
        <v/>
      </c>
      <c r="G742">
        <f>_xlfn.NUMBERVALUE("0.000255")</f>
        <v/>
      </c>
      <c r="H742">
        <f>_xlfn.NUMBERVALUE("0.000388")</f>
        <v/>
      </c>
      <c r="I742">
        <f>_xlfn.NUMBERVALUE("0.001737")</f>
        <v/>
      </c>
      <c r="J742">
        <f>_xlfn.NUMBERVALUE("0.000645")</f>
        <v/>
      </c>
      <c r="K742">
        <f>_xlfn.NUMBERVALUE("0.003694")</f>
        <v/>
      </c>
      <c r="L742">
        <f>_xlfn.NUMBERVALUE("0.001017")</f>
        <v/>
      </c>
      <c r="M742">
        <f>_xlfn.NUMBERVALUE("0.001722")</f>
        <v/>
      </c>
      <c r="N742">
        <f>_xlfn.NUMBERVALUE("0.000000")</f>
        <v/>
      </c>
      <c r="O742">
        <f>_xlfn.NUMBERVALUE("-0.000538")</f>
        <v/>
      </c>
      <c r="P742">
        <f>_xlfn.NUMBERVALUE("0.000586")</f>
        <v/>
      </c>
      <c r="Q742">
        <f>_xlfn.NUMBERVALUE("0.001478")</f>
        <v/>
      </c>
      <c r="R742">
        <f>_xlfn.NUMBERVALUE("0.001987")</f>
        <v/>
      </c>
      <c r="S742">
        <f>_xlfn.NUMBERVALUE("0.000955")</f>
        <v/>
      </c>
      <c r="T742">
        <f>_xlfn.NUMBERVALUE("0.001361")</f>
        <v/>
      </c>
      <c r="U742">
        <f>_xlfn.NUMBERVALUE("0.001600")</f>
        <v/>
      </c>
      <c r="V742">
        <f>_xlfn.NUMBERVALUE("-0.000077")</f>
        <v/>
      </c>
      <c r="W742">
        <f>_xlfn.NUMBERVALUE("0.004659")</f>
        <v/>
      </c>
      <c r="X742">
        <f>_xlfn.NUMBERVALUE("-0.580000")</f>
        <v/>
      </c>
      <c r="Y742">
        <f>_xlfn.NUMBERVALUE("9.580000")</f>
        <v/>
      </c>
    </row>
    <row r="743">
      <c r="A743" s="1" t="n">
        <v>43080</v>
      </c>
      <c r="B743">
        <f>_xlfn.NUMBERVALUE("0.000000")</f>
        <v/>
      </c>
      <c r="C743" s="2">
        <f>_xlfn.NUMBERVALUE("0.000846")</f>
        <v/>
      </c>
      <c r="D743">
        <f>_xlfn.NUMBERVALUE("0.001758")</f>
        <v/>
      </c>
      <c r="E743">
        <f>_xlfn.NUMBERVALUE("0.000542")</f>
        <v/>
      </c>
      <c r="F743">
        <f>_xlfn.NUMBERVALUE("-0.000441")</f>
        <v/>
      </c>
      <c r="G743">
        <f>_xlfn.NUMBERVALUE("0.000729")</f>
        <v/>
      </c>
      <c r="H743">
        <f>_xlfn.NUMBERVALUE("-0.000763")</f>
        <v/>
      </c>
      <c r="I743">
        <f>_xlfn.NUMBERVALUE("0.002833")</f>
        <v/>
      </c>
      <c r="J743">
        <f>_xlfn.NUMBERVALUE("0.000262")</f>
        <v/>
      </c>
      <c r="K743">
        <f>_xlfn.NUMBERVALUE("-0.000776")</f>
        <v/>
      </c>
      <c r="L743">
        <f>_xlfn.NUMBERVALUE("0.001025")</f>
        <v/>
      </c>
      <c r="M743">
        <f>_xlfn.NUMBERVALUE("0.001415")</f>
        <v/>
      </c>
      <c r="N743">
        <f>_xlfn.NUMBERVALUE("0.000000")</f>
        <v/>
      </c>
      <c r="O743">
        <f>_xlfn.NUMBERVALUE("0.001475")</f>
        <v/>
      </c>
      <c r="P743">
        <f>_xlfn.NUMBERVALUE("0.003145")</f>
        <v/>
      </c>
      <c r="Q743">
        <f>_xlfn.NUMBERVALUE("0.002070")</f>
        <v/>
      </c>
      <c r="R743">
        <f>_xlfn.NUMBERVALUE("0.001463")</f>
        <v/>
      </c>
      <c r="S743">
        <f>_xlfn.NUMBERVALUE("0.001351")</f>
        <v/>
      </c>
      <c r="T743">
        <f>_xlfn.NUMBERVALUE("-0.001750")</f>
        <v/>
      </c>
      <c r="U743">
        <f>_xlfn.NUMBERVALUE("0.000847")</f>
        <v/>
      </c>
      <c r="V743">
        <f>_xlfn.NUMBERVALUE("0.000246")</f>
        <v/>
      </c>
      <c r="W743">
        <f>_xlfn.NUMBERVALUE("0.003921")</f>
        <v/>
      </c>
      <c r="X743">
        <f>_xlfn.NUMBERVALUE("-0.240000")</f>
        <v/>
      </c>
      <c r="Y743">
        <f>_xlfn.NUMBERVALUE("9.340000")</f>
        <v/>
      </c>
    </row>
    <row r="744">
      <c r="A744" s="1" t="n">
        <v>43081</v>
      </c>
      <c r="B744">
        <f>_xlfn.NUMBERVALUE("0.000000")</f>
        <v/>
      </c>
      <c r="C744" s="2">
        <f>_xlfn.NUMBERVALUE("-0.001351")</f>
        <v/>
      </c>
      <c r="D744">
        <f>_xlfn.NUMBERVALUE("0.000490")</f>
        <v/>
      </c>
      <c r="E744">
        <f>_xlfn.NUMBERVALUE("0.000886")</f>
        <v/>
      </c>
      <c r="F744">
        <f>_xlfn.NUMBERVALUE("0.000177")</f>
        <v/>
      </c>
      <c r="G744">
        <f>_xlfn.NUMBERVALUE("0.000439")</f>
        <v/>
      </c>
      <c r="H744">
        <f>_xlfn.NUMBERVALUE("0.000180")</f>
        <v/>
      </c>
      <c r="I744">
        <f>_xlfn.NUMBERVALUE("0.000446")</f>
        <v/>
      </c>
      <c r="J744">
        <f>_xlfn.NUMBERVALUE("0.000397")</f>
        <v/>
      </c>
      <c r="K744">
        <f>_xlfn.NUMBERVALUE("0.001049")</f>
        <v/>
      </c>
      <c r="L744">
        <f>_xlfn.NUMBERVALUE("0.000665")</f>
        <v/>
      </c>
      <c r="M744">
        <f>_xlfn.NUMBERVALUE("0.001105")</f>
        <v/>
      </c>
      <c r="N744">
        <f>_xlfn.NUMBERVALUE("0.000000")</f>
        <v/>
      </c>
      <c r="O744">
        <f>_xlfn.NUMBERVALUE("-0.000366")</f>
        <v/>
      </c>
      <c r="P744">
        <f>_xlfn.NUMBERVALUE("-0.003061")</f>
        <v/>
      </c>
      <c r="Q744">
        <f>_xlfn.NUMBERVALUE("0.000522")</f>
        <v/>
      </c>
      <c r="R744">
        <f>_xlfn.NUMBERVALUE("-0.000014")</f>
        <v/>
      </c>
      <c r="S744">
        <f>_xlfn.NUMBERVALUE("0.000638")</f>
        <v/>
      </c>
      <c r="T744">
        <f>_xlfn.NUMBERVALUE("-0.001225")</f>
        <v/>
      </c>
      <c r="U744">
        <f>_xlfn.NUMBERVALUE("0.000674")</f>
        <v/>
      </c>
      <c r="V744">
        <f>_xlfn.NUMBERVALUE("-0.000983")</f>
        <v/>
      </c>
      <c r="W744">
        <f>_xlfn.NUMBERVALUE("0.001934")</f>
        <v/>
      </c>
      <c r="X744">
        <f>_xlfn.NUMBERVALUE("0.580000")</f>
        <v/>
      </c>
      <c r="Y744">
        <f>_xlfn.NUMBERVALUE("9.920000")</f>
        <v/>
      </c>
    </row>
    <row r="745">
      <c r="A745" s="1" t="n">
        <v>43082</v>
      </c>
      <c r="B745">
        <f>_xlfn.NUMBERVALUE("0.000000")</f>
        <v/>
      </c>
      <c r="C745" s="2">
        <f>_xlfn.NUMBERVALUE("-0.000772")</f>
        <v/>
      </c>
      <c r="D745">
        <f>_xlfn.NUMBERVALUE("-0.001699")</f>
        <v/>
      </c>
      <c r="E745">
        <f>_xlfn.NUMBERVALUE("0.000968")</f>
        <v/>
      </c>
      <c r="F745">
        <f>_xlfn.NUMBERVALUE("0.001109")</f>
        <v/>
      </c>
      <c r="G745">
        <f>_xlfn.NUMBERVALUE("-0.000150")</f>
        <v/>
      </c>
      <c r="H745">
        <f>_xlfn.NUMBERVALUE("-0.000003")</f>
        <v/>
      </c>
      <c r="I745">
        <f>_xlfn.NUMBERVALUE("0.000027")</f>
        <v/>
      </c>
      <c r="J745">
        <f>_xlfn.NUMBERVALUE("-0.001243")</f>
        <v/>
      </c>
      <c r="K745">
        <f>_xlfn.NUMBERVALUE("-0.000356")</f>
        <v/>
      </c>
      <c r="L745">
        <f>_xlfn.NUMBERVALUE("0.000558")</f>
        <v/>
      </c>
      <c r="M745">
        <f>_xlfn.NUMBERVALUE("0.001529")</f>
        <v/>
      </c>
      <c r="N745">
        <f>_xlfn.NUMBERVALUE("0.000000")</f>
        <v/>
      </c>
      <c r="O745">
        <f>_xlfn.NUMBERVALUE("0.002389")</f>
        <v/>
      </c>
      <c r="P745">
        <f>_xlfn.NUMBERVALUE("0.000537")</f>
        <v/>
      </c>
      <c r="Q745">
        <f>_xlfn.NUMBERVALUE("-0.000892")</f>
        <v/>
      </c>
      <c r="R745">
        <f>_xlfn.NUMBERVALUE("0.000112")</f>
        <v/>
      </c>
      <c r="S745">
        <f>_xlfn.NUMBERVALUE("-0.000380")</f>
        <v/>
      </c>
      <c r="T745">
        <f>_xlfn.NUMBERVALUE("0.000232")</f>
        <v/>
      </c>
      <c r="U745">
        <f>_xlfn.NUMBERVALUE("0.000057")</f>
        <v/>
      </c>
      <c r="V745">
        <f>_xlfn.NUMBERVALUE("0.000034")</f>
        <v/>
      </c>
      <c r="W745">
        <f>_xlfn.NUMBERVALUE("-0.000525")</f>
        <v/>
      </c>
      <c r="X745">
        <f>_xlfn.NUMBERVALUE("0.260000")</f>
        <v/>
      </c>
      <c r="Y745">
        <f>_xlfn.NUMBERVALUE("10.180000")</f>
        <v/>
      </c>
    </row>
    <row r="746">
      <c r="A746" s="1" t="n">
        <v>43083</v>
      </c>
      <c r="B746">
        <f>_xlfn.NUMBERVALUE("0.000000")</f>
        <v/>
      </c>
      <c r="C746" s="2">
        <f>_xlfn.NUMBERVALUE("0.001329")</f>
        <v/>
      </c>
      <c r="D746">
        <f>_xlfn.NUMBERVALUE("0.001908")</f>
        <v/>
      </c>
      <c r="E746">
        <f>_xlfn.NUMBERVALUE("-0.000068")</f>
        <v/>
      </c>
      <c r="F746">
        <f>_xlfn.NUMBERVALUE("0.000340")</f>
        <v/>
      </c>
      <c r="G746">
        <f>_xlfn.NUMBERVALUE("0.000410")</f>
        <v/>
      </c>
      <c r="H746">
        <f>_xlfn.NUMBERVALUE("0.001429")</f>
        <v/>
      </c>
      <c r="I746">
        <f>_xlfn.NUMBERVALUE("-0.001811")</f>
        <v/>
      </c>
      <c r="J746">
        <f>_xlfn.NUMBERVALUE("0.000584")</f>
        <v/>
      </c>
      <c r="K746">
        <f>_xlfn.NUMBERVALUE("0.000254")</f>
        <v/>
      </c>
      <c r="L746">
        <f>_xlfn.NUMBERVALUE("0.000152")</f>
        <v/>
      </c>
      <c r="M746">
        <f>_xlfn.NUMBERVALUE("-0.002199")</f>
        <v/>
      </c>
      <c r="N746">
        <f>_xlfn.NUMBERVALUE("0.000000")</f>
        <v/>
      </c>
      <c r="O746">
        <f>_xlfn.NUMBERVALUE("0.000919")</f>
        <v/>
      </c>
      <c r="P746">
        <f>_xlfn.NUMBERVALUE("0.001214")</f>
        <v/>
      </c>
      <c r="Q746">
        <f>_xlfn.NUMBERVALUE("0.000845")</f>
        <v/>
      </c>
      <c r="R746">
        <f>_xlfn.NUMBERVALUE("0.001414")</f>
        <v/>
      </c>
      <c r="S746">
        <f>_xlfn.NUMBERVALUE("0.001553")</f>
        <v/>
      </c>
      <c r="T746">
        <f>_xlfn.NUMBERVALUE("0.001132")</f>
        <v/>
      </c>
      <c r="U746">
        <f>_xlfn.NUMBERVALUE("-0.000100")</f>
        <v/>
      </c>
      <c r="V746">
        <f>_xlfn.NUMBERVALUE("0.001786")</f>
        <v/>
      </c>
      <c r="W746">
        <f>_xlfn.NUMBERVALUE("-0.003394")</f>
        <v/>
      </c>
      <c r="X746">
        <f>_xlfn.NUMBERVALUE("0.310000")</f>
        <v/>
      </c>
      <c r="Y746">
        <f>_xlfn.NUMBERVALUE("10.490000")</f>
        <v/>
      </c>
    </row>
    <row r="747">
      <c r="A747" s="1" t="n">
        <v>43084</v>
      </c>
      <c r="B747">
        <f>_xlfn.NUMBERVALUE("0.000000")</f>
        <v/>
      </c>
      <c r="C747" s="2">
        <f>_xlfn.NUMBERVALUE("-0.000275")</f>
        <v/>
      </c>
      <c r="D747">
        <f>_xlfn.NUMBERVALUE("0.002011")</f>
        <v/>
      </c>
      <c r="E747">
        <f>_xlfn.NUMBERVALUE("0.001578")</f>
        <v/>
      </c>
      <c r="F747">
        <f>_xlfn.NUMBERVALUE("0.001515")</f>
        <v/>
      </c>
      <c r="G747">
        <f>_xlfn.NUMBERVALUE("0.000459")</f>
        <v/>
      </c>
      <c r="H747">
        <f>_xlfn.NUMBERVALUE("-0.002231")</f>
        <v/>
      </c>
      <c r="I747">
        <f>_xlfn.NUMBERVALUE("-0.001045")</f>
        <v/>
      </c>
      <c r="J747">
        <f>_xlfn.NUMBERVALUE("-0.000098")</f>
        <v/>
      </c>
      <c r="K747">
        <f>_xlfn.NUMBERVALUE("0.001911")</f>
        <v/>
      </c>
      <c r="L747">
        <f>_xlfn.NUMBERVALUE("-0.000340")</f>
        <v/>
      </c>
      <c r="M747">
        <f>_xlfn.NUMBERVALUE("0.001223")</f>
        <v/>
      </c>
      <c r="N747">
        <f>_xlfn.NUMBERVALUE("0.000000")</f>
        <v/>
      </c>
      <c r="O747">
        <f>_xlfn.NUMBERVALUE("-0.001193")</f>
        <v/>
      </c>
      <c r="P747">
        <f>_xlfn.NUMBERVALUE("-0.000360")</f>
        <v/>
      </c>
      <c r="Q747">
        <f>_xlfn.NUMBERVALUE("0.002636")</f>
        <v/>
      </c>
      <c r="R747">
        <f>_xlfn.NUMBERVALUE("-0.001777")</f>
        <v/>
      </c>
      <c r="S747">
        <f>_xlfn.NUMBERVALUE("-0.002594")</f>
        <v/>
      </c>
      <c r="T747">
        <f>_xlfn.NUMBERVALUE("0.002130")</f>
        <v/>
      </c>
      <c r="U747">
        <f>_xlfn.NUMBERVALUE("-0.000706")</f>
        <v/>
      </c>
      <c r="V747">
        <f>_xlfn.NUMBERVALUE("-0.001436")</f>
        <v/>
      </c>
      <c r="W747">
        <f>_xlfn.NUMBERVALUE("0.001919")</f>
        <v/>
      </c>
      <c r="X747">
        <f>_xlfn.NUMBERVALUE("-1.070000")</f>
        <v/>
      </c>
      <c r="Y747">
        <f>_xlfn.NUMBERVALUE("9.420000")</f>
        <v/>
      </c>
    </row>
    <row r="748">
      <c r="A748" s="1" t="n">
        <v>43087</v>
      </c>
      <c r="B748">
        <f>_xlfn.NUMBERVALUE("0.000000")</f>
        <v/>
      </c>
      <c r="C748" s="2">
        <f>_xlfn.NUMBERVALUE("-0.001096")</f>
        <v/>
      </c>
      <c r="D748">
        <f>_xlfn.NUMBERVALUE("-0.002195")</f>
        <v/>
      </c>
      <c r="E748">
        <f>_xlfn.NUMBERVALUE("-0.005584")</f>
        <v/>
      </c>
      <c r="F748">
        <f>_xlfn.NUMBERVALUE("0.000667")</f>
        <v/>
      </c>
      <c r="G748">
        <f>_xlfn.NUMBERVALUE("0.000819")</f>
        <v/>
      </c>
      <c r="H748">
        <f>_xlfn.NUMBERVALUE("0.002533")</f>
        <v/>
      </c>
      <c r="I748">
        <f>_xlfn.NUMBERVALUE("-0.001188")</f>
        <v/>
      </c>
      <c r="J748">
        <f>_xlfn.NUMBERVALUE("0.000768")</f>
        <v/>
      </c>
      <c r="K748">
        <f>_xlfn.NUMBERVALUE("0.001755")</f>
        <v/>
      </c>
      <c r="L748">
        <f>_xlfn.NUMBERVALUE("-0.000716")</f>
        <v/>
      </c>
      <c r="M748">
        <f>_xlfn.NUMBERVALUE("-0.002857")</f>
        <v/>
      </c>
      <c r="N748">
        <f>_xlfn.NUMBERVALUE("0.000000")</f>
        <v/>
      </c>
      <c r="O748">
        <f>_xlfn.NUMBERVALUE("-0.000326")</f>
        <v/>
      </c>
      <c r="P748">
        <f>_xlfn.NUMBERVALUE("-0.000557")</f>
        <v/>
      </c>
      <c r="Q748">
        <f>_xlfn.NUMBERVALUE("-0.004946")</f>
        <v/>
      </c>
      <c r="R748">
        <f>_xlfn.NUMBERVALUE("-0.000646")</f>
        <v/>
      </c>
      <c r="S748">
        <f>_xlfn.NUMBERVALUE("0.001065")</f>
        <v/>
      </c>
      <c r="T748">
        <f>_xlfn.NUMBERVALUE("0.000131")</f>
        <v/>
      </c>
      <c r="U748">
        <f>_xlfn.NUMBERVALUE("-0.000537")</f>
        <v/>
      </c>
      <c r="V748">
        <f>_xlfn.NUMBERVALUE("-0.000924")</f>
        <v/>
      </c>
      <c r="W748">
        <f>_xlfn.NUMBERVALUE("0.006854")</f>
        <v/>
      </c>
      <c r="X748">
        <f>_xlfn.NUMBERVALUE("0.110000")</f>
        <v/>
      </c>
      <c r="Y748">
        <f>_xlfn.NUMBERVALUE("9.530000")</f>
        <v/>
      </c>
    </row>
    <row r="749">
      <c r="A749" s="1" t="n">
        <v>43088</v>
      </c>
      <c r="B749">
        <f>_xlfn.NUMBERVALUE("0.000000")</f>
        <v/>
      </c>
      <c r="C749" s="2">
        <f>_xlfn.NUMBERVALUE("0.000645")</f>
        <v/>
      </c>
      <c r="D749">
        <f>_xlfn.NUMBERVALUE("-0.001775")</f>
        <v/>
      </c>
      <c r="E749">
        <f>_xlfn.NUMBERVALUE("-0.002715")</f>
        <v/>
      </c>
      <c r="F749">
        <f>_xlfn.NUMBERVALUE("-0.000015")</f>
        <v/>
      </c>
      <c r="G749">
        <f>_xlfn.NUMBERVALUE("-0.000129")</f>
        <v/>
      </c>
      <c r="H749">
        <f>_xlfn.NUMBERVALUE("-0.001570")</f>
        <v/>
      </c>
      <c r="I749">
        <f>_xlfn.NUMBERVALUE("-0.000651")</f>
        <v/>
      </c>
      <c r="J749">
        <f>_xlfn.NUMBERVALUE("-0.000503")</f>
        <v/>
      </c>
      <c r="K749">
        <f>_xlfn.NUMBERVALUE("0.001129")</f>
        <v/>
      </c>
      <c r="L749">
        <f>_xlfn.NUMBERVALUE("-0.003659")</f>
        <v/>
      </c>
      <c r="M749">
        <f>_xlfn.NUMBERVALUE("0.001549")</f>
        <v/>
      </c>
      <c r="N749">
        <f>_xlfn.NUMBERVALUE("0.000000")</f>
        <v/>
      </c>
      <c r="O749">
        <f>_xlfn.NUMBERVALUE("0.000464")</f>
        <v/>
      </c>
      <c r="P749">
        <f>_xlfn.NUMBERVALUE("0.001654")</f>
        <v/>
      </c>
      <c r="Q749">
        <f>_xlfn.NUMBERVALUE("-0.000319")</f>
        <v/>
      </c>
      <c r="R749">
        <f>_xlfn.NUMBERVALUE("0.000518")</f>
        <v/>
      </c>
      <c r="S749">
        <f>_xlfn.NUMBERVALUE("-0.000338")</f>
        <v/>
      </c>
      <c r="T749">
        <f>_xlfn.NUMBERVALUE("-0.003391")</f>
        <v/>
      </c>
      <c r="U749">
        <f>_xlfn.NUMBERVALUE("0.000097")</f>
        <v/>
      </c>
      <c r="V749">
        <f>_xlfn.NUMBERVALUE("-0.000186")</f>
        <v/>
      </c>
      <c r="W749">
        <f>_xlfn.NUMBERVALUE("-0.002965")</f>
        <v/>
      </c>
      <c r="X749">
        <f>_xlfn.NUMBERVALUE("0.500000")</f>
        <v/>
      </c>
      <c r="Y749">
        <f>_xlfn.NUMBERVALUE("10.030000")</f>
        <v/>
      </c>
    </row>
    <row r="750">
      <c r="A750" s="1" t="n">
        <v>43089</v>
      </c>
      <c r="B750">
        <f>_xlfn.NUMBERVALUE("0.000000")</f>
        <v/>
      </c>
      <c r="C750" s="2">
        <f>_xlfn.NUMBERVALUE("0.001054")</f>
        <v/>
      </c>
      <c r="D750">
        <f>_xlfn.NUMBERVALUE("0.001725")</f>
        <v/>
      </c>
      <c r="E750">
        <f>_xlfn.NUMBERVALUE("0.000447")</f>
        <v/>
      </c>
      <c r="F750">
        <f>_xlfn.NUMBERVALUE("0.001249")</f>
        <v/>
      </c>
      <c r="G750">
        <f>_xlfn.NUMBERVALUE("0.001093")</f>
        <v/>
      </c>
      <c r="H750">
        <f>_xlfn.NUMBERVALUE("0.000317")</f>
        <v/>
      </c>
      <c r="I750">
        <f>_xlfn.NUMBERVALUE("0.001094")</f>
        <v/>
      </c>
      <c r="J750">
        <f>_xlfn.NUMBERVALUE("0.000092")</f>
        <v/>
      </c>
      <c r="K750">
        <f>_xlfn.NUMBERVALUE("0.001243")</f>
        <v/>
      </c>
      <c r="L750">
        <f>_xlfn.NUMBERVALUE("-0.002268")</f>
        <v/>
      </c>
      <c r="M750">
        <f>_xlfn.NUMBERVALUE("-0.001531")</f>
        <v/>
      </c>
      <c r="N750">
        <f>_xlfn.NUMBERVALUE("0.000000")</f>
        <v/>
      </c>
      <c r="O750">
        <f>_xlfn.NUMBERVALUE("0.003652")</f>
        <v/>
      </c>
      <c r="P750">
        <f>_xlfn.NUMBERVALUE("0.001313")</f>
        <v/>
      </c>
      <c r="Q750">
        <f>_xlfn.NUMBERVALUE("0.000211")</f>
        <v/>
      </c>
      <c r="R750">
        <f>_xlfn.NUMBERVALUE("0.000759")</f>
        <v/>
      </c>
      <c r="S750">
        <f>_xlfn.NUMBERVALUE("0.001190")</f>
        <v/>
      </c>
      <c r="T750">
        <f>_xlfn.NUMBERVALUE("-0.000010")</f>
        <v/>
      </c>
      <c r="U750">
        <f>_xlfn.NUMBERVALUE("0.000565")</f>
        <v/>
      </c>
      <c r="V750">
        <f>_xlfn.NUMBERVALUE("0.001169")</f>
        <v/>
      </c>
      <c r="W750">
        <f>_xlfn.NUMBERVALUE("-0.000617")</f>
        <v/>
      </c>
      <c r="X750">
        <f>_xlfn.NUMBERVALUE("-0.310000")</f>
        <v/>
      </c>
      <c r="Y750">
        <f>_xlfn.NUMBERVALUE("9.720000")</f>
        <v/>
      </c>
    </row>
    <row r="751">
      <c r="A751" s="1" t="n">
        <v>43090</v>
      </c>
      <c r="B751">
        <f>_xlfn.NUMBERVALUE("0.000000")</f>
        <v/>
      </c>
      <c r="C751" s="2">
        <f>_xlfn.NUMBERVALUE("-0.000089")</f>
        <v/>
      </c>
      <c r="D751">
        <f>_xlfn.NUMBERVALUE("0.000955")</f>
        <v/>
      </c>
      <c r="E751">
        <f>_xlfn.NUMBERVALUE("0.000781")</f>
        <v/>
      </c>
      <c r="F751">
        <f>_xlfn.NUMBERVALUE("0.000891")</f>
        <v/>
      </c>
      <c r="G751">
        <f>_xlfn.NUMBERVALUE("0.001705")</f>
        <v/>
      </c>
      <c r="H751">
        <f>_xlfn.NUMBERVALUE("-0.000805")</f>
        <v/>
      </c>
      <c r="I751">
        <f>_xlfn.NUMBERVALUE("0.002165")</f>
        <v/>
      </c>
      <c r="J751">
        <f>_xlfn.NUMBERVALUE("0.000010")</f>
        <v/>
      </c>
      <c r="K751">
        <f>_xlfn.NUMBERVALUE("0.000200")</f>
        <v/>
      </c>
      <c r="L751">
        <f>_xlfn.NUMBERVALUE("0.001447")</f>
        <v/>
      </c>
      <c r="M751">
        <f>_xlfn.NUMBERVALUE("0.001603")</f>
        <v/>
      </c>
      <c r="N751">
        <f>_xlfn.NUMBERVALUE("0.000000")</f>
        <v/>
      </c>
      <c r="O751">
        <f>_xlfn.NUMBERVALUE("-0.010914")</f>
        <v/>
      </c>
      <c r="P751">
        <f>_xlfn.NUMBERVALUE("-0.000139")</f>
        <v/>
      </c>
      <c r="Q751">
        <f>_xlfn.NUMBERVALUE("0.001048")</f>
        <v/>
      </c>
      <c r="R751">
        <f>_xlfn.NUMBERVALUE("0.001156")</f>
        <v/>
      </c>
      <c r="S751">
        <f>_xlfn.NUMBERVALUE("0.000808")</f>
        <v/>
      </c>
      <c r="T751">
        <f>_xlfn.NUMBERVALUE("-0.000584")</f>
        <v/>
      </c>
      <c r="U751">
        <f>_xlfn.NUMBERVALUE("-0.000189")</f>
        <v/>
      </c>
      <c r="V751">
        <f>_xlfn.NUMBERVALUE("0.000621")</f>
        <v/>
      </c>
      <c r="W751">
        <f>_xlfn.NUMBERVALUE("0.001441")</f>
        <v/>
      </c>
      <c r="X751">
        <f>_xlfn.NUMBERVALUE("-0.100000")</f>
        <v/>
      </c>
      <c r="Y751">
        <f>_xlfn.NUMBERVALUE("9.620000")</f>
        <v/>
      </c>
    </row>
    <row r="752">
      <c r="A752" s="1" t="n">
        <v>43091</v>
      </c>
      <c r="B752">
        <f>_xlfn.NUMBERVALUE("0.000000")</f>
        <v/>
      </c>
      <c r="C752" s="2">
        <f>_xlfn.NUMBERVALUE("0.001267")</f>
        <v/>
      </c>
      <c r="D752">
        <f>_xlfn.NUMBERVALUE("-0.000815")</f>
        <v/>
      </c>
      <c r="E752">
        <f>_xlfn.NUMBERVALUE("0.000415")</f>
        <v/>
      </c>
      <c r="F752">
        <f>_xlfn.NUMBERVALUE("-0.000411")</f>
        <v/>
      </c>
      <c r="G752">
        <f>_xlfn.NUMBERVALUE("-0.000059")</f>
        <v/>
      </c>
      <c r="H752">
        <f>_xlfn.NUMBERVALUE("0.000056")</f>
        <v/>
      </c>
      <c r="I752">
        <f>_xlfn.NUMBERVALUE("0.001951")</f>
        <v/>
      </c>
      <c r="J752">
        <f>_xlfn.NUMBERVALUE("0.000079")</f>
        <v/>
      </c>
      <c r="K752">
        <f>_xlfn.NUMBERVALUE("0.001216")</f>
        <v/>
      </c>
      <c r="L752">
        <f>_xlfn.NUMBERVALUE("0.000296")</f>
        <v/>
      </c>
      <c r="M752">
        <f>_xlfn.NUMBERVALUE("-0.002434")</f>
        <v/>
      </c>
      <c r="N752">
        <f>_xlfn.NUMBERVALUE("0.000000")</f>
        <v/>
      </c>
      <c r="O752">
        <f>_xlfn.NUMBERVALUE("-0.000162")</f>
        <v/>
      </c>
      <c r="P752">
        <f>_xlfn.NUMBERVALUE("0.002653")</f>
        <v/>
      </c>
      <c r="Q752">
        <f>_xlfn.NUMBERVALUE("0.000252")</f>
        <v/>
      </c>
      <c r="R752">
        <f>_xlfn.NUMBERVALUE("0.001049")</f>
        <v/>
      </c>
      <c r="S752">
        <f>_xlfn.NUMBERVALUE("0.000818")</f>
        <v/>
      </c>
      <c r="T752">
        <f>_xlfn.NUMBERVALUE("0.000091")</f>
        <v/>
      </c>
      <c r="U752">
        <f>_xlfn.NUMBERVALUE("0.000215")</f>
        <v/>
      </c>
      <c r="V752">
        <f>_xlfn.NUMBERVALUE("0.000560")</f>
        <v/>
      </c>
      <c r="W752">
        <f>_xlfn.NUMBERVALUE("-0.000561")</f>
        <v/>
      </c>
      <c r="X752">
        <f>_xlfn.NUMBERVALUE("0.280000")</f>
        <v/>
      </c>
      <c r="Y752">
        <f>_xlfn.NUMBERVALUE("9.900000")</f>
        <v/>
      </c>
    </row>
    <row r="753">
      <c r="A753" s="1" t="n">
        <v>43095</v>
      </c>
      <c r="B753">
        <f>_xlfn.NUMBERVALUE("0.000000")</f>
        <v/>
      </c>
      <c r="C753" s="2">
        <f>_xlfn.NUMBERVALUE("0.000845")</f>
        <v/>
      </c>
      <c r="D753">
        <f>_xlfn.NUMBERVALUE("0.001068")</f>
        <v/>
      </c>
      <c r="E753">
        <f>_xlfn.NUMBERVALUE("0.000668")</f>
        <v/>
      </c>
      <c r="F753">
        <f>_xlfn.NUMBERVALUE("-0.001017")</f>
        <v/>
      </c>
      <c r="G753">
        <f>_xlfn.NUMBERVALUE("0.000137")</f>
        <v/>
      </c>
      <c r="H753">
        <f>_xlfn.NUMBERVALUE("0.001433")</f>
        <v/>
      </c>
      <c r="I753">
        <f>_xlfn.NUMBERVALUE("0.002714")</f>
        <v/>
      </c>
      <c r="J753">
        <f>_xlfn.NUMBERVALUE("0.000881")</f>
        <v/>
      </c>
      <c r="K753">
        <f>_xlfn.NUMBERVALUE("0.000700")</f>
        <v/>
      </c>
      <c r="L753">
        <f>_xlfn.NUMBERVALUE("0.000790")</f>
        <v/>
      </c>
      <c r="M753">
        <f>_xlfn.NUMBERVALUE("-0.000939")</f>
        <v/>
      </c>
      <c r="N753">
        <f>_xlfn.NUMBERVALUE("0.000000")</f>
        <v/>
      </c>
      <c r="O753">
        <f>_xlfn.NUMBERVALUE("-0.000160")</f>
        <v/>
      </c>
      <c r="P753">
        <f>_xlfn.NUMBERVALUE("0.002323")</f>
        <v/>
      </c>
      <c r="Q753">
        <f>_xlfn.NUMBERVALUE("0.000782")</f>
        <v/>
      </c>
      <c r="R753">
        <f>_xlfn.NUMBERVALUE("0.001569")</f>
        <v/>
      </c>
      <c r="S753">
        <f>_xlfn.NUMBERVALUE("0.000209")</f>
        <v/>
      </c>
      <c r="T753">
        <f>_xlfn.NUMBERVALUE("-0.000656")</f>
        <v/>
      </c>
      <c r="U753">
        <f>_xlfn.NUMBERVALUE("0.000529")</f>
        <v/>
      </c>
      <c r="V753">
        <f>_xlfn.NUMBERVALUE("0.001190")</f>
        <v/>
      </c>
      <c r="W753">
        <f>_xlfn.NUMBERVALUE("-0.001234")</f>
        <v/>
      </c>
      <c r="X753">
        <f>_xlfn.NUMBERVALUE("0.350000")</f>
        <v/>
      </c>
      <c r="Y753">
        <f>_xlfn.NUMBERVALUE("10.250000")</f>
        <v/>
      </c>
    </row>
    <row r="754">
      <c r="A754" s="1" t="n">
        <v>43096</v>
      </c>
      <c r="B754">
        <f>_xlfn.NUMBERVALUE("0.000000")</f>
        <v/>
      </c>
      <c r="C754" s="2">
        <f>_xlfn.NUMBERVALUE("-0.000597")</f>
        <v/>
      </c>
      <c r="D754">
        <f>_xlfn.NUMBERVALUE("-0.000530")</f>
        <v/>
      </c>
      <c r="E754">
        <f>_xlfn.NUMBERVALUE("0.000514")</f>
        <v/>
      </c>
      <c r="F754">
        <f>_xlfn.NUMBERVALUE("0.000410")</f>
        <v/>
      </c>
      <c r="G754">
        <f>_xlfn.NUMBERVALUE("0.000528")</f>
        <v/>
      </c>
      <c r="H754">
        <f>_xlfn.NUMBERVALUE("-0.001293")</f>
        <v/>
      </c>
      <c r="I754">
        <f>_xlfn.NUMBERVALUE("0.001315")</f>
        <v/>
      </c>
      <c r="J754">
        <f>_xlfn.NUMBERVALUE("-0.002040")</f>
        <v/>
      </c>
      <c r="K754">
        <f>_xlfn.NUMBERVALUE("0.000042")</f>
        <v/>
      </c>
      <c r="L754">
        <f>_xlfn.NUMBERVALUE("-0.002409")</f>
        <v/>
      </c>
      <c r="M754">
        <f>_xlfn.NUMBERVALUE("0.001120")</f>
        <v/>
      </c>
      <c r="N754">
        <f>_xlfn.NUMBERVALUE("0.000000")</f>
        <v/>
      </c>
      <c r="O754">
        <f>_xlfn.NUMBERVALUE("0.003458")</f>
        <v/>
      </c>
      <c r="P754">
        <f>_xlfn.NUMBERVALUE("0.000520")</f>
        <v/>
      </c>
      <c r="Q754">
        <f>_xlfn.NUMBERVALUE("0.000336")</f>
        <v/>
      </c>
      <c r="R754">
        <f>_xlfn.NUMBERVALUE("0.000378")</f>
        <v/>
      </c>
      <c r="S754">
        <f>_xlfn.NUMBERVALUE("0.000790")</f>
        <v/>
      </c>
      <c r="T754">
        <f>_xlfn.NUMBERVALUE("0.000483")</f>
        <v/>
      </c>
      <c r="U754">
        <f>_xlfn.NUMBERVALUE("0.001468")</f>
        <v/>
      </c>
      <c r="V754">
        <f>_xlfn.NUMBERVALUE("-0.000642")</f>
        <v/>
      </c>
      <c r="W754">
        <f>_xlfn.NUMBERVALUE("0.001086")</f>
        <v/>
      </c>
      <c r="X754">
        <f>_xlfn.NUMBERVALUE("0.220000")</f>
        <v/>
      </c>
      <c r="Y754">
        <f>_xlfn.NUMBERVALUE("10.470000")</f>
        <v/>
      </c>
    </row>
    <row r="755">
      <c r="A755" s="1" t="n">
        <v>43097</v>
      </c>
      <c r="B755">
        <f>_xlfn.NUMBERVALUE("0.000000")</f>
        <v/>
      </c>
      <c r="C755" s="2">
        <f>_xlfn.NUMBERVALUE("0.001054")</f>
        <v/>
      </c>
      <c r="D755">
        <f>_xlfn.NUMBERVALUE("-0.000634")</f>
        <v/>
      </c>
      <c r="E755">
        <f>_xlfn.NUMBERVALUE("-0.000025")</f>
        <v/>
      </c>
      <c r="F755">
        <f>_xlfn.NUMBERVALUE("-0.000397")</f>
        <v/>
      </c>
      <c r="G755">
        <f>_xlfn.NUMBERVALUE("0.000099")</f>
        <v/>
      </c>
      <c r="H755">
        <f>_xlfn.NUMBERVALUE("0.000623")</f>
        <v/>
      </c>
      <c r="I755">
        <f>_xlfn.NUMBERVALUE("0.000828")</f>
        <v/>
      </c>
      <c r="J755">
        <f>_xlfn.NUMBERVALUE("-0.000016")</f>
        <v/>
      </c>
      <c r="K755">
        <f>_xlfn.NUMBERVALUE("-0.000633")</f>
        <v/>
      </c>
      <c r="L755">
        <f>_xlfn.NUMBERVALUE("0.001773")</f>
        <v/>
      </c>
      <c r="M755">
        <f>_xlfn.NUMBERVALUE("0.001515")</f>
        <v/>
      </c>
      <c r="N755">
        <f>_xlfn.NUMBERVALUE("0.000000")</f>
        <v/>
      </c>
      <c r="O755">
        <f>_xlfn.NUMBERVALUE("-0.003340")</f>
        <v/>
      </c>
      <c r="P755">
        <f>_xlfn.NUMBERVALUE("0.000550")</f>
        <v/>
      </c>
      <c r="Q755">
        <f>_xlfn.NUMBERVALUE("0.000190")</f>
        <v/>
      </c>
      <c r="R755">
        <f>_xlfn.NUMBERVALUE("0.000355")</f>
        <v/>
      </c>
      <c r="S755">
        <f>_xlfn.NUMBERVALUE("0.001199")</f>
        <v/>
      </c>
      <c r="T755">
        <f>_xlfn.NUMBERVALUE("0.000016")</f>
        <v/>
      </c>
      <c r="U755">
        <f>_xlfn.NUMBERVALUE("-0.000351")</f>
        <v/>
      </c>
      <c r="V755">
        <f>_xlfn.NUMBERVALUE("0.000419")</f>
        <v/>
      </c>
      <c r="W755">
        <f>_xlfn.NUMBERVALUE("0.001926")</f>
        <v/>
      </c>
      <c r="X755">
        <f>_xlfn.NUMBERVALUE("-0.290000")</f>
        <v/>
      </c>
      <c r="Y755">
        <f>_xlfn.NUMBERVALUE("10.180000")</f>
        <v/>
      </c>
    </row>
    <row r="756">
      <c r="A756" s="1" t="n">
        <v>43098</v>
      </c>
      <c r="B756">
        <f>_xlfn.NUMBERVALUE("0.000000")</f>
        <v/>
      </c>
      <c r="C756" s="2">
        <f>_xlfn.NUMBERVALUE("-0.000200")</f>
        <v/>
      </c>
      <c r="D756">
        <f>_xlfn.NUMBERVALUE("-0.000610")</f>
        <v/>
      </c>
      <c r="E756">
        <f>_xlfn.NUMBERVALUE("-0.000458")</f>
        <v/>
      </c>
      <c r="F756">
        <f>_xlfn.NUMBERVALUE("-0.000991")</f>
        <v/>
      </c>
      <c r="G756">
        <f>_xlfn.NUMBERVALUE("-0.000622")</f>
        <v/>
      </c>
      <c r="H756">
        <f>_xlfn.NUMBERVALUE("-0.000445")</f>
        <v/>
      </c>
      <c r="I756">
        <f>_xlfn.NUMBERVALUE("-0.001031")</f>
        <v/>
      </c>
      <c r="J756">
        <f>_xlfn.NUMBERVALUE("0.000513")</f>
        <v/>
      </c>
      <c r="K756">
        <f>_xlfn.NUMBERVALUE("-0.000040")</f>
        <v/>
      </c>
      <c r="L756">
        <f>_xlfn.NUMBERVALUE("0.001066")</f>
        <v/>
      </c>
      <c r="M756">
        <f>_xlfn.NUMBERVALUE("0.000870")</f>
        <v/>
      </c>
      <c r="N756">
        <f>_xlfn.NUMBERVALUE("0.000000")</f>
        <v/>
      </c>
      <c r="O756">
        <f>_xlfn.NUMBERVALUE("0.000035")</f>
        <v/>
      </c>
      <c r="P756">
        <f>_xlfn.NUMBERVALUE("-0.000584")</f>
        <v/>
      </c>
      <c r="Q756">
        <f>_xlfn.NUMBERVALUE("0.000184")</f>
        <v/>
      </c>
      <c r="R756">
        <f>_xlfn.NUMBERVALUE("0.000227")</f>
        <v/>
      </c>
      <c r="S756">
        <f>_xlfn.NUMBERVALUE("0.001143")</f>
        <v/>
      </c>
      <c r="T756">
        <f>_xlfn.NUMBERVALUE("0.000054")</f>
        <v/>
      </c>
      <c r="U756">
        <f>_xlfn.NUMBERVALUE("0.001593")</f>
        <v/>
      </c>
      <c r="V756">
        <f>_xlfn.NUMBERVALUE("0.000903")</f>
        <v/>
      </c>
      <c r="W756">
        <f>_xlfn.NUMBERVALUE("-0.003192")</f>
        <v/>
      </c>
      <c r="X756">
        <f>_xlfn.NUMBERVALUE("0.860000")</f>
        <v/>
      </c>
      <c r="Y756">
        <f>_xlfn.NUMBERVALUE("11.040000")</f>
        <v/>
      </c>
    </row>
    <row r="757">
      <c r="A757" s="1" t="n">
        <v>43102</v>
      </c>
      <c r="B757">
        <f>_xlfn.NUMBERVALUE("0.000000")</f>
        <v/>
      </c>
      <c r="C757" s="2">
        <f>_xlfn.NUMBERVALUE("0.000519")</f>
        <v/>
      </c>
      <c r="D757">
        <f>_xlfn.NUMBERVALUE("-0.002480")</f>
        <v/>
      </c>
      <c r="E757">
        <f>_xlfn.NUMBERVALUE("0.000026")</f>
        <v/>
      </c>
      <c r="F757">
        <f>_xlfn.NUMBERVALUE("-0.001027")</f>
        <v/>
      </c>
      <c r="G757">
        <f>_xlfn.NUMBERVALUE("0.001552")</f>
        <v/>
      </c>
      <c r="H757">
        <f>_xlfn.NUMBERVALUE("0.001153")</f>
        <v/>
      </c>
      <c r="I757">
        <f>_xlfn.NUMBERVALUE("0.002772")</f>
        <v/>
      </c>
      <c r="J757">
        <f>_xlfn.NUMBERVALUE("0.001045")</f>
        <v/>
      </c>
      <c r="K757">
        <f>_xlfn.NUMBERVALUE("-0.000636")</f>
        <v/>
      </c>
      <c r="L757">
        <f>_xlfn.NUMBERVALUE("-0.003205")</f>
        <v/>
      </c>
      <c r="M757">
        <f>_xlfn.NUMBERVALUE("-0.000452")</f>
        <v/>
      </c>
      <c r="N757">
        <f>_xlfn.NUMBERVALUE("0.000000")</f>
        <v/>
      </c>
      <c r="O757">
        <f>_xlfn.NUMBERVALUE("-0.000222")</f>
        <v/>
      </c>
      <c r="P757">
        <f>_xlfn.NUMBERVALUE("0.001800")</f>
        <v/>
      </c>
      <c r="Q757">
        <f>_xlfn.NUMBERVALUE("0.000708")</f>
        <v/>
      </c>
      <c r="R757">
        <f>_xlfn.NUMBERVALUE("-0.000920")</f>
        <v/>
      </c>
      <c r="S757">
        <f>_xlfn.NUMBERVALUE("-0.000514")</f>
        <v/>
      </c>
      <c r="T757">
        <f>_xlfn.NUMBERVALUE("-0.000065")</f>
        <v/>
      </c>
      <c r="U757">
        <f>_xlfn.NUMBERVALUE("-0.003882")</f>
        <v/>
      </c>
      <c r="V757">
        <f>_xlfn.NUMBERVALUE("-0.000260")</f>
        <v/>
      </c>
      <c r="W757">
        <f>_xlfn.NUMBERVALUE("0.006105")</f>
        <v/>
      </c>
      <c r="X757">
        <f>_xlfn.NUMBERVALUE("-1.270000")</f>
        <v/>
      </c>
      <c r="Y757">
        <f>_xlfn.NUMBERVALUE("9.770000")</f>
        <v/>
      </c>
    </row>
    <row r="758">
      <c r="A758" s="1" t="n">
        <v>43103</v>
      </c>
      <c r="B758">
        <f>_xlfn.NUMBERVALUE("0.000000")</f>
        <v/>
      </c>
      <c r="C758" s="2">
        <f>_xlfn.NUMBERVALUE("0.000033")</f>
        <v/>
      </c>
      <c r="D758">
        <f>_xlfn.NUMBERVALUE("0.000033")</f>
        <v/>
      </c>
      <c r="E758">
        <f>_xlfn.NUMBERVALUE("-0.000222")</f>
        <v/>
      </c>
      <c r="F758">
        <f>_xlfn.NUMBERVALUE("-0.000038")</f>
        <v/>
      </c>
      <c r="G758">
        <f>_xlfn.NUMBERVALUE("-0.004871")</f>
        <v/>
      </c>
      <c r="H758">
        <f>_xlfn.NUMBERVALUE("0.000536")</f>
        <v/>
      </c>
      <c r="I758">
        <f>_xlfn.NUMBERVALUE("0.002105")</f>
        <v/>
      </c>
      <c r="J758">
        <f>_xlfn.NUMBERVALUE("-0.000290")</f>
        <v/>
      </c>
      <c r="K758">
        <f>_xlfn.NUMBERVALUE("-0.000001")</f>
        <v/>
      </c>
      <c r="L758">
        <f>_xlfn.NUMBERVALUE("0.001399")</f>
        <v/>
      </c>
      <c r="M758">
        <f>_xlfn.NUMBERVALUE("-0.000049")</f>
        <v/>
      </c>
      <c r="N758">
        <f>_xlfn.NUMBERVALUE("0.000000")</f>
        <v/>
      </c>
      <c r="O758">
        <f>_xlfn.NUMBERVALUE("-0.000016")</f>
        <v/>
      </c>
      <c r="P758">
        <f>_xlfn.NUMBERVALUE("0.000340")</f>
        <v/>
      </c>
      <c r="Q758">
        <f>_xlfn.NUMBERVALUE("0.000048")</f>
        <v/>
      </c>
      <c r="R758">
        <f>_xlfn.NUMBERVALUE("-0.000346")</f>
        <v/>
      </c>
      <c r="S758">
        <f>_xlfn.NUMBERVALUE("0.001463")</f>
        <v/>
      </c>
      <c r="T758">
        <f>_xlfn.NUMBERVALUE("-0.001748")</f>
        <v/>
      </c>
      <c r="U758">
        <f>_xlfn.NUMBERVALUE("0.000019")</f>
        <v/>
      </c>
      <c r="V758">
        <f>_xlfn.NUMBERVALUE("-0.000040")</f>
        <v/>
      </c>
      <c r="W758">
        <f>_xlfn.NUMBERVALUE("0.003555")</f>
        <v/>
      </c>
      <c r="X758">
        <f>_xlfn.NUMBERVALUE("-0.620000")</f>
        <v/>
      </c>
      <c r="Y758">
        <f>_xlfn.NUMBERVALUE("9.150000")</f>
        <v/>
      </c>
    </row>
    <row r="759">
      <c r="A759" s="1" t="n">
        <v>43104</v>
      </c>
      <c r="B759">
        <f>_xlfn.NUMBERVALUE("0.000000")</f>
        <v/>
      </c>
      <c r="C759" s="2">
        <f>_xlfn.NUMBERVALUE("-0.000700")</f>
        <v/>
      </c>
      <c r="D759">
        <f>_xlfn.NUMBERVALUE("0.000291")</f>
        <v/>
      </c>
      <c r="E759">
        <f>_xlfn.NUMBERVALUE("-0.003276")</f>
        <v/>
      </c>
      <c r="F759">
        <f>_xlfn.NUMBERVALUE("-0.000862")</f>
        <v/>
      </c>
      <c r="G759">
        <f>_xlfn.NUMBERVALUE("-0.000386")</f>
        <v/>
      </c>
      <c r="H759">
        <f>_xlfn.NUMBERVALUE("0.000754")</f>
        <v/>
      </c>
      <c r="I759">
        <f>_xlfn.NUMBERVALUE("0.000276")</f>
        <v/>
      </c>
      <c r="J759">
        <f>_xlfn.NUMBERVALUE("0.000015")</f>
        <v/>
      </c>
      <c r="K759">
        <f>_xlfn.NUMBERVALUE("-0.000108")</f>
        <v/>
      </c>
      <c r="L759">
        <f>_xlfn.NUMBERVALUE("0.001988")</f>
        <v/>
      </c>
      <c r="M759">
        <f>_xlfn.NUMBERVALUE("-0.000105")</f>
        <v/>
      </c>
      <c r="N759">
        <f>_xlfn.NUMBERVALUE("0.000000")</f>
        <v/>
      </c>
      <c r="O759">
        <f>_xlfn.NUMBERVALUE("0.000263")</f>
        <v/>
      </c>
      <c r="P759">
        <f>_xlfn.NUMBERVALUE("-0.001012")</f>
        <v/>
      </c>
      <c r="Q759">
        <f>_xlfn.NUMBERVALUE("-0.000042")</f>
        <v/>
      </c>
      <c r="R759">
        <f>_xlfn.NUMBERVALUE("0.000021")</f>
        <v/>
      </c>
      <c r="S759">
        <f>_xlfn.NUMBERVALUE("0.000588")</f>
        <v/>
      </c>
      <c r="T759">
        <f>_xlfn.NUMBERVALUE("0.001496")</f>
        <v/>
      </c>
      <c r="U759">
        <f>_xlfn.NUMBERVALUE("0.000047")</f>
        <v/>
      </c>
      <c r="V759">
        <f>_xlfn.NUMBERVALUE("-0.001261")</f>
        <v/>
      </c>
      <c r="W759">
        <f>_xlfn.NUMBERVALUE("0.004177")</f>
        <v/>
      </c>
      <c r="X759">
        <f>_xlfn.NUMBERVALUE("0.070000")</f>
        <v/>
      </c>
      <c r="Y759">
        <f>_xlfn.NUMBERVALUE("9.220000")</f>
        <v/>
      </c>
    </row>
    <row r="760">
      <c r="A760" s="1" t="n">
        <v>43105</v>
      </c>
      <c r="B760">
        <f>_xlfn.NUMBERVALUE("0.000000")</f>
        <v/>
      </c>
      <c r="C760" s="2">
        <f>_xlfn.NUMBERVALUE("-0.002720")</f>
        <v/>
      </c>
      <c r="D760">
        <f>_xlfn.NUMBERVALUE("-0.001182")</f>
        <v/>
      </c>
      <c r="E760">
        <f>_xlfn.NUMBERVALUE("-0.000745")</f>
        <v/>
      </c>
      <c r="F760">
        <f>_xlfn.NUMBERVALUE("0.001337")</f>
        <v/>
      </c>
      <c r="G760">
        <f>_xlfn.NUMBERVALUE("-0.000129")</f>
        <v/>
      </c>
      <c r="H760">
        <f>_xlfn.NUMBERVALUE("-0.000485")</f>
        <v/>
      </c>
      <c r="I760">
        <f>_xlfn.NUMBERVALUE("-0.000043")</f>
        <v/>
      </c>
      <c r="J760">
        <f>_xlfn.NUMBERVALUE("0.000553")</f>
        <v/>
      </c>
      <c r="K760">
        <f>_xlfn.NUMBERVALUE("0.002027")</f>
        <v/>
      </c>
      <c r="L760">
        <f>_xlfn.NUMBERVALUE("0.000837")</f>
        <v/>
      </c>
      <c r="M760">
        <f>_xlfn.NUMBERVALUE("0.000051")</f>
        <v/>
      </c>
      <c r="N760">
        <f>_xlfn.NUMBERVALUE("0.000000")</f>
        <v/>
      </c>
      <c r="O760">
        <f>_xlfn.NUMBERVALUE("0.000252")</f>
        <v/>
      </c>
      <c r="P760">
        <f>_xlfn.NUMBERVALUE("0.000349")</f>
        <v/>
      </c>
      <c r="Q760">
        <f>_xlfn.NUMBERVALUE("0.000114")</f>
        <v/>
      </c>
      <c r="R760">
        <f>_xlfn.NUMBERVALUE("-0.000132")</f>
        <v/>
      </c>
      <c r="S760">
        <f>_xlfn.NUMBERVALUE("-0.000078")</f>
        <v/>
      </c>
      <c r="T760">
        <f>_xlfn.NUMBERVALUE("0.000165")</f>
        <v/>
      </c>
      <c r="U760">
        <f>_xlfn.NUMBERVALUE("-0.000061")</f>
        <v/>
      </c>
      <c r="V760">
        <f>_xlfn.NUMBERVALUE("-0.001721")</f>
        <v/>
      </c>
      <c r="W760">
        <f>_xlfn.NUMBERVALUE("0.006589")</f>
        <v/>
      </c>
      <c r="X760">
        <f>_xlfn.NUMBERVALUE("0.000000")</f>
        <v/>
      </c>
      <c r="Y760">
        <f>_xlfn.NUMBERVALUE("9.220000")</f>
        <v/>
      </c>
    </row>
    <row r="761">
      <c r="A761" s="1" t="n">
        <v>43108</v>
      </c>
      <c r="B761">
        <f>_xlfn.NUMBERVALUE("0.000000")</f>
        <v/>
      </c>
      <c r="C761" s="2">
        <f>_xlfn.NUMBERVALUE("0.001263")</f>
        <v/>
      </c>
      <c r="D761">
        <f>_xlfn.NUMBERVALUE("0.001266")</f>
        <v/>
      </c>
      <c r="E761">
        <f>_xlfn.NUMBERVALUE("0.001177")</f>
        <v/>
      </c>
      <c r="F761">
        <f>_xlfn.NUMBERVALUE("0.001457")</f>
        <v/>
      </c>
      <c r="G761">
        <f>_xlfn.NUMBERVALUE("0.000694")</f>
        <v/>
      </c>
      <c r="H761">
        <f>_xlfn.NUMBERVALUE("0.000216")</f>
        <v/>
      </c>
      <c r="I761">
        <f>_xlfn.NUMBERVALUE("0.001549")</f>
        <v/>
      </c>
      <c r="J761">
        <f>_xlfn.NUMBERVALUE("0.000153")</f>
        <v/>
      </c>
      <c r="K761">
        <f>_xlfn.NUMBERVALUE("0.001508")</f>
        <v/>
      </c>
      <c r="L761">
        <f>_xlfn.NUMBERVALUE("0.000877")</f>
        <v/>
      </c>
      <c r="M761">
        <f>_xlfn.NUMBERVALUE("-0.000031")</f>
        <v/>
      </c>
      <c r="N761">
        <f>_xlfn.NUMBERVALUE("0.000000")</f>
        <v/>
      </c>
      <c r="O761">
        <f>_xlfn.NUMBERVALUE("-0.000414")</f>
        <v/>
      </c>
      <c r="P761">
        <f>_xlfn.NUMBERVALUE("0.000120")</f>
        <v/>
      </c>
      <c r="Q761">
        <f>_xlfn.NUMBERVALUE("-0.000071")</f>
        <v/>
      </c>
      <c r="R761">
        <f>_xlfn.NUMBERVALUE("0.000098")</f>
        <v/>
      </c>
      <c r="S761">
        <f>_xlfn.NUMBERVALUE("0.000883")</f>
        <v/>
      </c>
      <c r="T761">
        <f>_xlfn.NUMBERVALUE("0.000024")</f>
        <v/>
      </c>
      <c r="U761">
        <f>_xlfn.NUMBERVALUE("0.000074")</f>
        <v/>
      </c>
      <c r="V761">
        <f>_xlfn.NUMBERVALUE("0.000827")</f>
        <v/>
      </c>
      <c r="W761">
        <f>_xlfn.NUMBERVALUE("0.001902")</f>
        <v/>
      </c>
      <c r="X761">
        <f>_xlfn.NUMBERVALUE("0.300000")</f>
        <v/>
      </c>
      <c r="Y761">
        <f>_xlfn.NUMBERVALUE("9.520000")</f>
        <v/>
      </c>
    </row>
    <row r="762">
      <c r="A762" s="1" t="n">
        <v>43109</v>
      </c>
      <c r="B762">
        <f>_xlfn.NUMBERVALUE("0.000000")</f>
        <v/>
      </c>
      <c r="C762" s="2">
        <f>_xlfn.NUMBERVALUE("-0.001752")</f>
        <v/>
      </c>
      <c r="D762">
        <f>_xlfn.NUMBERVALUE("0.000296")</f>
        <v/>
      </c>
      <c r="E762">
        <f>_xlfn.NUMBERVALUE("0.000106")</f>
        <v/>
      </c>
      <c r="F762">
        <f>_xlfn.NUMBERVALUE("0.000559")</f>
        <v/>
      </c>
      <c r="G762">
        <f>_xlfn.NUMBERVALUE("-0.000386")</f>
        <v/>
      </c>
      <c r="H762">
        <f>_xlfn.NUMBERVALUE("-0.001252")</f>
        <v/>
      </c>
      <c r="I762">
        <f>_xlfn.NUMBERVALUE("-0.000046")</f>
        <v/>
      </c>
      <c r="J762">
        <f>_xlfn.NUMBERVALUE("-0.001064")</f>
        <v/>
      </c>
      <c r="K762">
        <f>_xlfn.NUMBERVALUE("0.001061")</f>
        <v/>
      </c>
      <c r="L762">
        <f>_xlfn.NUMBERVALUE("-0.003340")</f>
        <v/>
      </c>
      <c r="M762">
        <f>_xlfn.NUMBERVALUE("0.001962")</f>
        <v/>
      </c>
      <c r="N762">
        <f>_xlfn.NUMBERVALUE("0.000000")</f>
        <v/>
      </c>
      <c r="O762">
        <f>_xlfn.NUMBERVALUE("0.001014")</f>
        <v/>
      </c>
      <c r="P762">
        <f>_xlfn.NUMBERVALUE("-0.001844")</f>
        <v/>
      </c>
      <c r="Q762">
        <f>_xlfn.NUMBERVALUE("-0.000571")</f>
        <v/>
      </c>
      <c r="R762">
        <f>_xlfn.NUMBERVALUE("-0.000238")</f>
        <v/>
      </c>
      <c r="S762">
        <f>_xlfn.NUMBERVALUE("0.000762")</f>
        <v/>
      </c>
      <c r="T762">
        <f>_xlfn.NUMBERVALUE("-0.000306")</f>
        <v/>
      </c>
      <c r="U762">
        <f>_xlfn.NUMBERVALUE("-0.000833")</f>
        <v/>
      </c>
      <c r="V762">
        <f>_xlfn.NUMBERVALUE("-0.001058")</f>
        <v/>
      </c>
      <c r="W762">
        <f>_xlfn.NUMBERVALUE("0.001770")</f>
        <v/>
      </c>
      <c r="X762">
        <f>_xlfn.NUMBERVALUE("0.560000")</f>
        <v/>
      </c>
      <c r="Y762">
        <f>_xlfn.NUMBERVALUE("10.080000")</f>
        <v/>
      </c>
    </row>
    <row r="763">
      <c r="A763" s="1" t="n">
        <v>43110</v>
      </c>
      <c r="B763">
        <f>_xlfn.NUMBERVALUE("0.000000")</f>
        <v/>
      </c>
      <c r="C763" s="2">
        <f>_xlfn.NUMBERVALUE("0.000346")</f>
        <v/>
      </c>
      <c r="D763">
        <f>_xlfn.NUMBERVALUE("0.001187")</f>
        <v/>
      </c>
      <c r="E763">
        <f>_xlfn.NUMBERVALUE("0.000517")</f>
        <v/>
      </c>
      <c r="F763">
        <f>_xlfn.NUMBERVALUE("-0.000162")</f>
        <v/>
      </c>
      <c r="G763">
        <f>_xlfn.NUMBERVALUE("-0.000217")</f>
        <v/>
      </c>
      <c r="H763">
        <f>_xlfn.NUMBERVALUE("0.001568")</f>
        <v/>
      </c>
      <c r="I763">
        <f>_xlfn.NUMBERVALUE("0.000959")</f>
        <v/>
      </c>
      <c r="J763">
        <f>_xlfn.NUMBERVALUE("0.000713")</f>
        <v/>
      </c>
      <c r="K763">
        <f>_xlfn.NUMBERVALUE("0.000195")</f>
        <v/>
      </c>
      <c r="L763">
        <f>_xlfn.NUMBERVALUE("0.000902")</f>
        <v/>
      </c>
      <c r="M763">
        <f>_xlfn.NUMBERVALUE("0.000909")</f>
        <v/>
      </c>
      <c r="N763">
        <f>_xlfn.NUMBERVALUE("0.000000")</f>
        <v/>
      </c>
      <c r="O763">
        <f>_xlfn.NUMBERVALUE("0.000583")</f>
        <v/>
      </c>
      <c r="P763">
        <f>_xlfn.NUMBERVALUE("-0.001378")</f>
        <v/>
      </c>
      <c r="Q763">
        <f>_xlfn.NUMBERVALUE("-0.000494")</f>
        <v/>
      </c>
      <c r="R763">
        <f>_xlfn.NUMBERVALUE("-0.000145")</f>
        <v/>
      </c>
      <c r="S763">
        <f>_xlfn.NUMBERVALUE("-0.000733")</f>
        <v/>
      </c>
      <c r="T763">
        <f>_xlfn.NUMBERVALUE("-0.000859")</f>
        <v/>
      </c>
      <c r="U763">
        <f>_xlfn.NUMBERVALUE("0.000389")</f>
        <v/>
      </c>
      <c r="V763">
        <f>_xlfn.NUMBERVALUE("0.000402")</f>
        <v/>
      </c>
      <c r="W763">
        <f>_xlfn.NUMBERVALUE("-0.001403")</f>
        <v/>
      </c>
      <c r="X763">
        <f>_xlfn.NUMBERVALUE("-0.260000")</f>
        <v/>
      </c>
      <c r="Y763">
        <f>_xlfn.NUMBERVALUE("9.820000")</f>
        <v/>
      </c>
    </row>
    <row r="764">
      <c r="A764" s="1" t="n">
        <v>43111</v>
      </c>
      <c r="B764">
        <f>_xlfn.NUMBERVALUE("0.000000")</f>
        <v/>
      </c>
      <c r="C764" s="2">
        <f>_xlfn.NUMBERVALUE("-0.000658")</f>
        <v/>
      </c>
      <c r="D764">
        <f>_xlfn.NUMBERVALUE("0.000777")</f>
        <v/>
      </c>
      <c r="E764">
        <f>_xlfn.NUMBERVALUE("-0.000924")</f>
        <v/>
      </c>
      <c r="F764">
        <f>_xlfn.NUMBERVALUE("0.000085")</f>
        <v/>
      </c>
      <c r="G764">
        <f>_xlfn.NUMBERVALUE("0.000217")</f>
        <v/>
      </c>
      <c r="H764">
        <f>_xlfn.NUMBERVALUE("-0.000304")</f>
        <v/>
      </c>
      <c r="I764">
        <f>_xlfn.NUMBERVALUE("-0.005078")</f>
        <v/>
      </c>
      <c r="J764">
        <f>_xlfn.NUMBERVALUE("-0.000604")</f>
        <v/>
      </c>
      <c r="K764">
        <f>_xlfn.NUMBERVALUE("0.001083")</f>
        <v/>
      </c>
      <c r="L764">
        <f>_xlfn.NUMBERVALUE("-0.000437")</f>
        <v/>
      </c>
      <c r="M764">
        <f>_xlfn.NUMBERVALUE("-0.001702")</f>
        <v/>
      </c>
      <c r="N764">
        <f>_xlfn.NUMBERVALUE("0.000000")</f>
        <v/>
      </c>
      <c r="O764">
        <f>_xlfn.NUMBERVALUE("-0.006549")</f>
        <v/>
      </c>
      <c r="P764">
        <f>_xlfn.NUMBERVALUE("0.000482")</f>
        <v/>
      </c>
      <c r="Q764">
        <f>_xlfn.NUMBERVALUE("-0.003717")</f>
        <v/>
      </c>
      <c r="R764">
        <f>_xlfn.NUMBERVALUE("0.000181")</f>
        <v/>
      </c>
      <c r="S764">
        <f>_xlfn.NUMBERVALUE("0.000389")</f>
        <v/>
      </c>
      <c r="T764">
        <f>_xlfn.NUMBERVALUE("0.001082")</f>
        <v/>
      </c>
      <c r="U764">
        <f>_xlfn.NUMBERVALUE("-0.004753")</f>
        <v/>
      </c>
      <c r="V764">
        <f>_xlfn.NUMBERVALUE("-0.001102")</f>
        <v/>
      </c>
      <c r="W764">
        <f>_xlfn.NUMBERVALUE("0.006859")</f>
        <v/>
      </c>
      <c r="X764">
        <f>_xlfn.NUMBERVALUE("0.060000")</f>
        <v/>
      </c>
      <c r="Y764">
        <f>_xlfn.NUMBERVALUE("9.880000")</f>
        <v/>
      </c>
    </row>
    <row r="765">
      <c r="A765" s="1" t="n">
        <v>43112</v>
      </c>
      <c r="B765">
        <f>_xlfn.NUMBERVALUE("0.000000")</f>
        <v/>
      </c>
      <c r="C765" s="2">
        <f>_xlfn.NUMBERVALUE("-0.002084")</f>
        <v/>
      </c>
      <c r="D765">
        <f>_xlfn.NUMBERVALUE("-0.001471")</f>
        <v/>
      </c>
      <c r="E765">
        <f>_xlfn.NUMBERVALUE("-0.002743")</f>
        <v/>
      </c>
      <c r="F765">
        <f>_xlfn.NUMBERVALUE("-0.003070")</f>
        <v/>
      </c>
      <c r="G765">
        <f>_xlfn.NUMBERVALUE("-0.000142")</f>
        <v/>
      </c>
      <c r="H765">
        <f>_xlfn.NUMBERVALUE("0.000261")</f>
        <v/>
      </c>
      <c r="I765">
        <f>_xlfn.NUMBERVALUE("-0.000404")</f>
        <v/>
      </c>
      <c r="J765">
        <f>_xlfn.NUMBERVALUE("0.000283")</f>
        <v/>
      </c>
      <c r="K765">
        <f>_xlfn.NUMBERVALUE("-0.003196")</f>
        <v/>
      </c>
      <c r="L765">
        <f>_xlfn.NUMBERVALUE("0.001256")</f>
        <v/>
      </c>
      <c r="M765">
        <f>_xlfn.NUMBERVALUE("0.000181")</f>
        <v/>
      </c>
      <c r="N765">
        <f>_xlfn.NUMBERVALUE("0.000000")</f>
        <v/>
      </c>
      <c r="O765">
        <f>_xlfn.NUMBERVALUE("-0.000960")</f>
        <v/>
      </c>
      <c r="P765">
        <f>_xlfn.NUMBERVALUE("0.000333")</f>
        <v/>
      </c>
      <c r="Q765">
        <f>_xlfn.NUMBERVALUE("-0.001085")</f>
        <v/>
      </c>
      <c r="R765">
        <f>_xlfn.NUMBERVALUE("-0.000838")</f>
        <v/>
      </c>
      <c r="S765">
        <f>_xlfn.NUMBERVALUE("0.000518")</f>
        <v/>
      </c>
      <c r="T765">
        <f>_xlfn.NUMBERVALUE("-0.001026")</f>
        <v/>
      </c>
      <c r="U765">
        <f>_xlfn.NUMBERVALUE("-0.002669")</f>
        <v/>
      </c>
      <c r="V765">
        <f>_xlfn.NUMBERVALUE("-0.001290")</f>
        <v/>
      </c>
      <c r="W765">
        <f>_xlfn.NUMBERVALUE("0.006486")</f>
        <v/>
      </c>
      <c r="X765">
        <f>_xlfn.NUMBERVALUE("0.280000")</f>
        <v/>
      </c>
      <c r="Y765">
        <f>_xlfn.NUMBERVALUE("10.160000")</f>
        <v/>
      </c>
    </row>
    <row r="766">
      <c r="A766" s="1" t="n">
        <v>43116</v>
      </c>
      <c r="B766">
        <f>_xlfn.NUMBERVALUE("0.000000")</f>
        <v/>
      </c>
      <c r="C766" s="2">
        <f>_xlfn.NUMBERVALUE("-0.000864")</f>
        <v/>
      </c>
      <c r="D766">
        <f>_xlfn.NUMBERVALUE("0.000207")</f>
        <v/>
      </c>
      <c r="E766">
        <f>_xlfn.NUMBERVALUE("0.000135")</f>
        <v/>
      </c>
      <c r="F766">
        <f>_xlfn.NUMBERVALUE("0.000631")</f>
        <v/>
      </c>
      <c r="G766">
        <f>_xlfn.NUMBERVALUE("-0.000640")</f>
        <v/>
      </c>
      <c r="H766">
        <f>_xlfn.NUMBERVALUE("0.000293")</f>
        <v/>
      </c>
      <c r="I766">
        <f>_xlfn.NUMBERVALUE("0.000053")</f>
        <v/>
      </c>
      <c r="J766">
        <f>_xlfn.NUMBERVALUE("0.000394")</f>
        <v/>
      </c>
      <c r="K766">
        <f>_xlfn.NUMBERVALUE("0.001933")</f>
        <v/>
      </c>
      <c r="L766">
        <f>_xlfn.NUMBERVALUE("0.000957")</f>
        <v/>
      </c>
      <c r="M766">
        <f>_xlfn.NUMBERVALUE("0.001341")</f>
        <v/>
      </c>
      <c r="N766">
        <f>_xlfn.NUMBERVALUE("0.000000")</f>
        <v/>
      </c>
      <c r="O766">
        <f>_xlfn.NUMBERVALUE("0.000726")</f>
        <v/>
      </c>
      <c r="P766">
        <f>_xlfn.NUMBERVALUE("-0.001093")</f>
        <v/>
      </c>
      <c r="Q766">
        <f>_xlfn.NUMBERVALUE("-0.002433")</f>
        <v/>
      </c>
      <c r="R766">
        <f>_xlfn.NUMBERVALUE("-0.000843")</f>
        <v/>
      </c>
      <c r="S766">
        <f>_xlfn.NUMBERVALUE("-0.001143")</f>
        <v/>
      </c>
      <c r="T766">
        <f>_xlfn.NUMBERVALUE("-0.001359")</f>
        <v/>
      </c>
      <c r="U766">
        <f>_xlfn.NUMBERVALUE("-0.001332")</f>
        <v/>
      </c>
      <c r="V766">
        <f>_xlfn.NUMBERVALUE("-0.000746")</f>
        <v/>
      </c>
      <c r="W766">
        <f>_xlfn.NUMBERVALUE("-0.002232")</f>
        <v/>
      </c>
      <c r="X766">
        <f>_xlfn.NUMBERVALUE("1.500000")</f>
        <v/>
      </c>
      <c r="Y766">
        <f>_xlfn.NUMBERVALUE("11.660000")</f>
        <v/>
      </c>
    </row>
    <row r="767">
      <c r="A767" s="1" t="n">
        <v>43117</v>
      </c>
      <c r="B767">
        <f>_xlfn.NUMBERVALUE("0.000000")</f>
        <v/>
      </c>
      <c r="C767" s="2">
        <f>_xlfn.NUMBERVALUE("-0.001370")</f>
        <v/>
      </c>
      <c r="D767">
        <f>_xlfn.NUMBERVALUE("-0.003044")</f>
        <v/>
      </c>
      <c r="E767">
        <f>_xlfn.NUMBERVALUE("-0.001073")</f>
        <v/>
      </c>
      <c r="F767">
        <f>_xlfn.NUMBERVALUE("0.000276")</f>
        <v/>
      </c>
      <c r="G767">
        <f>_xlfn.NUMBERVALUE("0.000608")</f>
        <v/>
      </c>
      <c r="H767">
        <f>_xlfn.NUMBERVALUE("-0.000107")</f>
        <v/>
      </c>
      <c r="I767">
        <f>_xlfn.NUMBERVALUE("-0.000601")</f>
        <v/>
      </c>
      <c r="J767">
        <f>_xlfn.NUMBERVALUE("-0.000130")</f>
        <v/>
      </c>
      <c r="K767">
        <f>_xlfn.NUMBERVALUE("0.000998")</f>
        <v/>
      </c>
      <c r="L767">
        <f>_xlfn.NUMBERVALUE("0.000399")</f>
        <v/>
      </c>
      <c r="M767">
        <f>_xlfn.NUMBERVALUE("-0.001648")</f>
        <v/>
      </c>
      <c r="N767">
        <f>_xlfn.NUMBERVALUE("0.000000")</f>
        <v/>
      </c>
      <c r="O767">
        <f>_xlfn.NUMBERVALUE("-0.000398")</f>
        <v/>
      </c>
      <c r="P767">
        <f>_xlfn.NUMBERVALUE("0.000873")</f>
        <v/>
      </c>
      <c r="Q767">
        <f>_xlfn.NUMBERVALUE("0.000134")</f>
        <v/>
      </c>
      <c r="R767">
        <f>_xlfn.NUMBERVALUE("-0.002066")</f>
        <v/>
      </c>
      <c r="S767">
        <f>_xlfn.NUMBERVALUE("-0.002188")</f>
        <v/>
      </c>
      <c r="T767">
        <f>_xlfn.NUMBERVALUE("0.000460")</f>
        <v/>
      </c>
      <c r="U767">
        <f>_xlfn.NUMBERVALUE("0.000196")</f>
        <v/>
      </c>
      <c r="V767">
        <f>_xlfn.NUMBERVALUE("-0.000682")</f>
        <v/>
      </c>
      <c r="W767">
        <f>_xlfn.NUMBERVALUE("0.008299")</f>
        <v/>
      </c>
      <c r="X767">
        <f>_xlfn.NUMBERVALUE("0.250000")</f>
        <v/>
      </c>
      <c r="Y767">
        <f>_xlfn.NUMBERVALUE("11.910000")</f>
        <v/>
      </c>
    </row>
    <row r="768">
      <c r="A768" s="1" t="n">
        <v>43118</v>
      </c>
      <c r="B768">
        <f>_xlfn.NUMBERVALUE("0.000000")</f>
        <v/>
      </c>
      <c r="C768" s="2">
        <f>_xlfn.NUMBERVALUE("0.000381")</f>
        <v/>
      </c>
      <c r="D768">
        <f>_xlfn.NUMBERVALUE("0.000479")</f>
        <v/>
      </c>
      <c r="E768">
        <f>_xlfn.NUMBERVALUE("0.000529")</f>
        <v/>
      </c>
      <c r="F768">
        <f>_xlfn.NUMBERVALUE("0.000180")</f>
        <v/>
      </c>
      <c r="G768">
        <f>_xlfn.NUMBERVALUE("0.000350")</f>
        <v/>
      </c>
      <c r="H768">
        <f>_xlfn.NUMBERVALUE("-0.000918")</f>
        <v/>
      </c>
      <c r="I768">
        <f>_xlfn.NUMBERVALUE("0.000702")</f>
        <v/>
      </c>
      <c r="J768">
        <f>_xlfn.NUMBERVALUE("-0.001335")</f>
        <v/>
      </c>
      <c r="K768">
        <f>_xlfn.NUMBERVALUE("-0.000088")</f>
        <v/>
      </c>
      <c r="L768">
        <f>_xlfn.NUMBERVALUE("-0.002618")</f>
        <v/>
      </c>
      <c r="M768">
        <f>_xlfn.NUMBERVALUE("0.000581")</f>
        <v/>
      </c>
      <c r="N768">
        <f>_xlfn.NUMBERVALUE("0.000000")</f>
        <v/>
      </c>
      <c r="O768">
        <f>_xlfn.NUMBERVALUE("0.000392")</f>
        <v/>
      </c>
      <c r="P768">
        <f>_xlfn.NUMBERVALUE("0.000889")</f>
        <v/>
      </c>
      <c r="Q768">
        <f>_xlfn.NUMBERVALUE("0.001456")</f>
        <v/>
      </c>
      <c r="R768">
        <f>_xlfn.NUMBERVALUE("-0.000940")</f>
        <v/>
      </c>
      <c r="S768">
        <f>_xlfn.NUMBERVALUE("0.000202")</f>
        <v/>
      </c>
      <c r="T768">
        <f>_xlfn.NUMBERVALUE("-0.001030")</f>
        <v/>
      </c>
      <c r="U768">
        <f>_xlfn.NUMBERVALUE("-0.000121")</f>
        <v/>
      </c>
      <c r="V768">
        <f>_xlfn.NUMBERVALUE("0.000480")</f>
        <v/>
      </c>
      <c r="W768">
        <f>_xlfn.NUMBERVALUE("-0.000895")</f>
        <v/>
      </c>
      <c r="X768">
        <f>_xlfn.NUMBERVALUE("0.310000")</f>
        <v/>
      </c>
      <c r="Y768">
        <f>_xlfn.NUMBERVALUE("12.220000")</f>
        <v/>
      </c>
    </row>
    <row r="769">
      <c r="A769" s="1" t="n">
        <v>43119</v>
      </c>
      <c r="B769">
        <f>_xlfn.NUMBERVALUE("0.000000")</f>
        <v/>
      </c>
      <c r="C769" s="2">
        <f>_xlfn.NUMBERVALUE("0.000167")</f>
        <v/>
      </c>
      <c r="D769">
        <f>_xlfn.NUMBERVALUE("0.000925")</f>
        <v/>
      </c>
      <c r="E769">
        <f>_xlfn.NUMBERVALUE("-0.000357")</f>
        <v/>
      </c>
      <c r="F769">
        <f>_xlfn.NUMBERVALUE("0.001142")</f>
        <v/>
      </c>
      <c r="G769">
        <f>_xlfn.NUMBERVALUE("0.001373")</f>
        <v/>
      </c>
      <c r="H769">
        <f>_xlfn.NUMBERVALUE("-0.000001")</f>
        <v/>
      </c>
      <c r="I769">
        <f>_xlfn.NUMBERVALUE("-0.002923")</f>
        <v/>
      </c>
      <c r="J769">
        <f>_xlfn.NUMBERVALUE("-0.000104")</f>
        <v/>
      </c>
      <c r="K769">
        <f>_xlfn.NUMBERVALUE("0.001517")</f>
        <v/>
      </c>
      <c r="L769">
        <f>_xlfn.NUMBERVALUE("-0.000103")</f>
        <v/>
      </c>
      <c r="M769">
        <f>_xlfn.NUMBERVALUE("0.000323")</f>
        <v/>
      </c>
      <c r="N769">
        <f>_xlfn.NUMBERVALUE("0.000000")</f>
        <v/>
      </c>
      <c r="O769">
        <f>_xlfn.NUMBERVALUE("0.002571")</f>
        <v/>
      </c>
      <c r="P769">
        <f>_xlfn.NUMBERVALUE("0.000552")</f>
        <v/>
      </c>
      <c r="Q769">
        <f>_xlfn.NUMBERVALUE("0.001173")</f>
        <v/>
      </c>
      <c r="R769">
        <f>_xlfn.NUMBERVALUE("0.001886")</f>
        <v/>
      </c>
      <c r="S769">
        <f>_xlfn.NUMBERVALUE("-0.001482")</f>
        <v/>
      </c>
      <c r="T769">
        <f>_xlfn.NUMBERVALUE("0.001751")</f>
        <v/>
      </c>
      <c r="U769">
        <f>_xlfn.NUMBERVALUE("-0.000424")</f>
        <v/>
      </c>
      <c r="V769">
        <f>_xlfn.NUMBERVALUE("-0.000739")</f>
        <v/>
      </c>
      <c r="W769">
        <f>_xlfn.NUMBERVALUE("0.003940")</f>
        <v/>
      </c>
      <c r="X769">
        <f>_xlfn.NUMBERVALUE("-0.950000")</f>
        <v/>
      </c>
      <c r="Y769">
        <f>_xlfn.NUMBERVALUE("11.270000")</f>
        <v/>
      </c>
    </row>
    <row r="770">
      <c r="A770" s="1" t="n">
        <v>43122</v>
      </c>
      <c r="B770">
        <f>_xlfn.NUMBERVALUE("0.000000")</f>
        <v/>
      </c>
      <c r="C770" s="2">
        <f>_xlfn.NUMBERVALUE("0.001747")</f>
        <v/>
      </c>
      <c r="D770">
        <f>_xlfn.NUMBERVALUE("0.000249")</f>
        <v/>
      </c>
      <c r="E770">
        <f>_xlfn.NUMBERVALUE("0.000236")</f>
        <v/>
      </c>
      <c r="F770">
        <f>_xlfn.NUMBERVALUE("0.000799")</f>
        <v/>
      </c>
      <c r="G770">
        <f>_xlfn.NUMBERVALUE("-0.000110")</f>
        <v/>
      </c>
      <c r="H770">
        <f>_xlfn.NUMBERVALUE("0.000211")</f>
        <v/>
      </c>
      <c r="I770">
        <f>_xlfn.NUMBERVALUE("0.001523")</f>
        <v/>
      </c>
      <c r="J770">
        <f>_xlfn.NUMBERVALUE("0.001549")</f>
        <v/>
      </c>
      <c r="K770">
        <f>_xlfn.NUMBERVALUE("0.002976")</f>
        <v/>
      </c>
      <c r="L770">
        <f>_xlfn.NUMBERVALUE("0.000558")</f>
        <v/>
      </c>
      <c r="M770">
        <f>_xlfn.NUMBERVALUE("0.002410")</f>
        <v/>
      </c>
      <c r="N770">
        <f>_xlfn.NUMBERVALUE("0.000000")</f>
        <v/>
      </c>
      <c r="O770">
        <f>_xlfn.NUMBERVALUE("-0.004345")</f>
        <v/>
      </c>
      <c r="P770">
        <f>_xlfn.NUMBERVALUE("0.001335")</f>
        <v/>
      </c>
      <c r="Q770">
        <f>_xlfn.NUMBERVALUE("0.001289")</f>
        <v/>
      </c>
      <c r="R770">
        <f>_xlfn.NUMBERVALUE("0.000353")</f>
        <v/>
      </c>
      <c r="S770">
        <f>_xlfn.NUMBERVALUE("0.000304")</f>
        <v/>
      </c>
      <c r="T770">
        <f>_xlfn.NUMBERVALUE("0.000418")</f>
        <v/>
      </c>
      <c r="U770">
        <f>_xlfn.NUMBERVALUE("0.000166")</f>
        <v/>
      </c>
      <c r="V770">
        <f>_xlfn.NUMBERVALUE("0.000934")</f>
        <v/>
      </c>
      <c r="W770">
        <f>_xlfn.NUMBERVALUE("0.008599")</f>
        <v/>
      </c>
      <c r="X770">
        <f>_xlfn.NUMBERVALUE("-0.240000")</f>
        <v/>
      </c>
      <c r="Y770">
        <f>_xlfn.NUMBERVALUE("11.030000")</f>
        <v/>
      </c>
    </row>
    <row r="771">
      <c r="A771" s="1" t="n">
        <v>43123</v>
      </c>
      <c r="B771">
        <f>_xlfn.NUMBERVALUE("0.000000")</f>
        <v/>
      </c>
      <c r="C771" s="2">
        <f>_xlfn.NUMBERVALUE("0.000156")</f>
        <v/>
      </c>
      <c r="D771">
        <f>_xlfn.NUMBERVALUE("-0.001678")</f>
        <v/>
      </c>
      <c r="E771">
        <f>_xlfn.NUMBERVALUE("0.000111")</f>
        <v/>
      </c>
      <c r="F771">
        <f>_xlfn.NUMBERVALUE("-0.000319")</f>
        <v/>
      </c>
      <c r="G771">
        <f>_xlfn.NUMBERVALUE("-0.000393")</f>
        <v/>
      </c>
      <c r="H771">
        <f>_xlfn.NUMBERVALUE("0.000062")</f>
        <v/>
      </c>
      <c r="I771">
        <f>_xlfn.NUMBERVALUE("0.000665")</f>
        <v/>
      </c>
      <c r="J771">
        <f>_xlfn.NUMBERVALUE("-0.000656")</f>
        <v/>
      </c>
      <c r="K771">
        <f>_xlfn.NUMBERVALUE("0.000357")</f>
        <v/>
      </c>
      <c r="L771">
        <f>_xlfn.NUMBERVALUE("0.000928")</f>
        <v/>
      </c>
      <c r="M771">
        <f>_xlfn.NUMBERVALUE("0.000036")</f>
        <v/>
      </c>
      <c r="N771">
        <f>_xlfn.NUMBERVALUE("0.000000")</f>
        <v/>
      </c>
      <c r="O771">
        <f>_xlfn.NUMBERVALUE("-0.000739")</f>
        <v/>
      </c>
      <c r="P771">
        <f>_xlfn.NUMBERVALUE("-0.001204")</f>
        <v/>
      </c>
      <c r="Q771">
        <f>_xlfn.NUMBERVALUE("-0.000151")</f>
        <v/>
      </c>
      <c r="R771">
        <f>_xlfn.NUMBERVALUE("-0.001657")</f>
        <v/>
      </c>
      <c r="S771">
        <f>_xlfn.NUMBERVALUE("-0.000269")</f>
        <v/>
      </c>
      <c r="T771">
        <f>_xlfn.NUMBERVALUE("0.000355")</f>
        <v/>
      </c>
      <c r="U771">
        <f>_xlfn.NUMBERVALUE("-0.001985")</f>
        <v/>
      </c>
      <c r="V771">
        <f>_xlfn.NUMBERVALUE("-0.000444")</f>
        <v/>
      </c>
      <c r="W771">
        <f>_xlfn.NUMBERVALUE("0.002335")</f>
        <v/>
      </c>
      <c r="X771">
        <f>_xlfn.NUMBERVALUE("0.070000")</f>
        <v/>
      </c>
      <c r="Y771">
        <f>_xlfn.NUMBERVALUE("11.100000")</f>
        <v/>
      </c>
    </row>
    <row r="772">
      <c r="A772" s="1" t="n">
        <v>43124</v>
      </c>
      <c r="B772">
        <f>_xlfn.NUMBERVALUE("0.000000")</f>
        <v/>
      </c>
      <c r="C772" s="2">
        <f>_xlfn.NUMBERVALUE("-0.000784")</f>
        <v/>
      </c>
      <c r="D772">
        <f>_xlfn.NUMBERVALUE("0.000031")</f>
        <v/>
      </c>
      <c r="E772">
        <f>_xlfn.NUMBERVALUE("0.000025")</f>
        <v/>
      </c>
      <c r="F772">
        <f>_xlfn.NUMBERVALUE("-0.002242")</f>
        <v/>
      </c>
      <c r="G772">
        <f>_xlfn.NUMBERVALUE("-0.000276")</f>
        <v/>
      </c>
      <c r="H772">
        <f>_xlfn.NUMBERVALUE("0.000000")</f>
        <v/>
      </c>
      <c r="I772">
        <f>_xlfn.NUMBERVALUE("-0.001194")</f>
        <v/>
      </c>
      <c r="J772">
        <f>_xlfn.NUMBERVALUE("-0.000003")</f>
        <v/>
      </c>
      <c r="K772">
        <f>_xlfn.NUMBERVALUE("-0.013005")</f>
        <v/>
      </c>
      <c r="L772">
        <f>_xlfn.NUMBERVALUE("-0.000480")</f>
        <v/>
      </c>
      <c r="M772">
        <f>_xlfn.NUMBERVALUE("-0.000755")</f>
        <v/>
      </c>
      <c r="N772">
        <f>_xlfn.NUMBERVALUE("0.000000")</f>
        <v/>
      </c>
      <c r="O772">
        <f>_xlfn.NUMBERVALUE("0.000262")</f>
        <v/>
      </c>
      <c r="P772">
        <f>_xlfn.NUMBERVALUE("-0.000782")</f>
        <v/>
      </c>
      <c r="Q772">
        <f>_xlfn.NUMBERVALUE("-0.000348")</f>
        <v/>
      </c>
      <c r="R772">
        <f>_xlfn.NUMBERVALUE("-0.000950")</f>
        <v/>
      </c>
      <c r="S772">
        <f>_xlfn.NUMBERVALUE("0.000140")</f>
        <v/>
      </c>
      <c r="T772">
        <f>_xlfn.NUMBERVALUE("-0.000385")</f>
        <v/>
      </c>
      <c r="U772">
        <f>_xlfn.NUMBERVALUE("-0.000217")</f>
        <v/>
      </c>
      <c r="V772">
        <f>_xlfn.NUMBERVALUE("0.000406")</f>
        <v/>
      </c>
      <c r="W772">
        <f>_xlfn.NUMBERVALUE("-0.000088")</f>
        <v/>
      </c>
      <c r="X772">
        <f>_xlfn.NUMBERVALUE("0.370000")</f>
        <v/>
      </c>
      <c r="Y772">
        <f>_xlfn.NUMBERVALUE("11.470000")</f>
        <v/>
      </c>
    </row>
    <row r="773">
      <c r="A773" s="1" t="n">
        <v>43125</v>
      </c>
      <c r="B773">
        <f>_xlfn.NUMBERVALUE("0.000000")</f>
        <v/>
      </c>
      <c r="C773" s="2">
        <f>_xlfn.NUMBERVALUE("-0.000026")</f>
        <v/>
      </c>
      <c r="D773">
        <f>_xlfn.NUMBERVALUE("-0.000041")</f>
        <v/>
      </c>
      <c r="E773">
        <f>_xlfn.NUMBERVALUE("0.000287")</f>
        <v/>
      </c>
      <c r="F773">
        <f>_xlfn.NUMBERVALUE("0.000560")</f>
        <v/>
      </c>
      <c r="G773">
        <f>_xlfn.NUMBERVALUE("0.000456")</f>
        <v/>
      </c>
      <c r="H773">
        <f>_xlfn.NUMBERVALUE("-0.000094")</f>
        <v/>
      </c>
      <c r="I773">
        <f>_xlfn.NUMBERVALUE("0.000320")</f>
        <v/>
      </c>
      <c r="J773">
        <f>_xlfn.NUMBERVALUE("-0.000719")</f>
        <v/>
      </c>
      <c r="K773">
        <f>_xlfn.NUMBERVALUE("0.001190")</f>
        <v/>
      </c>
      <c r="L773">
        <f>_xlfn.NUMBERVALUE("0.001102")</f>
        <v/>
      </c>
      <c r="M773">
        <f>_xlfn.NUMBERVALUE("-0.001437")</f>
        <v/>
      </c>
      <c r="N773">
        <f>_xlfn.NUMBERVALUE("0.000000")</f>
        <v/>
      </c>
      <c r="O773">
        <f>_xlfn.NUMBERVALUE("0.000596")</f>
        <v/>
      </c>
      <c r="P773">
        <f>_xlfn.NUMBERVALUE("0.000491")</f>
        <v/>
      </c>
      <c r="Q773">
        <f>_xlfn.NUMBERVALUE("0.000745")</f>
        <v/>
      </c>
      <c r="R773">
        <f>_xlfn.NUMBERVALUE("0.000996")</f>
        <v/>
      </c>
      <c r="S773">
        <f>_xlfn.NUMBERVALUE("-0.000229")</f>
        <v/>
      </c>
      <c r="T773">
        <f>_xlfn.NUMBERVALUE("-0.000661")</f>
        <v/>
      </c>
      <c r="U773">
        <f>_xlfn.NUMBERVALUE("-0.000169")</f>
        <v/>
      </c>
      <c r="V773">
        <f>_xlfn.NUMBERVALUE("-0.000111")</f>
        <v/>
      </c>
      <c r="W773">
        <f>_xlfn.NUMBERVALUE("-0.000229")</f>
        <v/>
      </c>
      <c r="X773">
        <f>_xlfn.NUMBERVALUE("0.110000")</f>
        <v/>
      </c>
      <c r="Y773">
        <f>_xlfn.NUMBERVALUE("11.580000")</f>
        <v/>
      </c>
    </row>
    <row r="774">
      <c r="A774" s="1" t="n">
        <v>43126</v>
      </c>
      <c r="B774">
        <f>_xlfn.NUMBERVALUE("0.000000")</f>
        <v/>
      </c>
      <c r="C774" s="2">
        <f>_xlfn.NUMBERVALUE("0.000130")</f>
        <v/>
      </c>
      <c r="D774">
        <f>_xlfn.NUMBERVALUE("0.000080")</f>
        <v/>
      </c>
      <c r="E774">
        <f>_xlfn.NUMBERVALUE("0.000091")</f>
        <v/>
      </c>
      <c r="F774">
        <f>_xlfn.NUMBERVALUE("0.000425")</f>
        <v/>
      </c>
      <c r="G774">
        <f>_xlfn.NUMBERVALUE("0.000659")</f>
        <v/>
      </c>
      <c r="H774">
        <f>_xlfn.NUMBERVALUE("-0.000033")</f>
        <v/>
      </c>
      <c r="I774">
        <f>_xlfn.NUMBERVALUE("0.001021")</f>
        <v/>
      </c>
      <c r="J774">
        <f>_xlfn.NUMBERVALUE("0.000141")</f>
        <v/>
      </c>
      <c r="K774">
        <f>_xlfn.NUMBERVALUE("0.000493")</f>
        <v/>
      </c>
      <c r="L774">
        <f>_xlfn.NUMBERVALUE("-0.000120")</f>
        <v/>
      </c>
      <c r="M774">
        <f>_xlfn.NUMBERVALUE("0.000562")</f>
        <v/>
      </c>
      <c r="N774">
        <f>_xlfn.NUMBERVALUE("0.000000")</f>
        <v/>
      </c>
      <c r="O774">
        <f>_xlfn.NUMBERVALUE("0.000891")</f>
        <v/>
      </c>
      <c r="P774">
        <f>_xlfn.NUMBERVALUE("0.000770")</f>
        <v/>
      </c>
      <c r="Q774">
        <f>_xlfn.NUMBERVALUE("0.001222")</f>
        <v/>
      </c>
      <c r="R774">
        <f>_xlfn.NUMBERVALUE("-0.002220")</f>
        <v/>
      </c>
      <c r="S774">
        <f>_xlfn.NUMBERVALUE("-0.000066")</f>
        <v/>
      </c>
      <c r="T774">
        <f>_xlfn.NUMBERVALUE("-0.003835")</f>
        <v/>
      </c>
      <c r="U774">
        <f>_xlfn.NUMBERVALUE("0.000264")</f>
        <v/>
      </c>
      <c r="V774">
        <f>_xlfn.NUMBERVALUE("0.000715")</f>
        <v/>
      </c>
      <c r="W774">
        <f>_xlfn.NUMBERVALUE("0.010485")</f>
        <v/>
      </c>
      <c r="X774">
        <f>_xlfn.NUMBERVALUE("-0.500000")</f>
        <v/>
      </c>
      <c r="Y774">
        <f>_xlfn.NUMBERVALUE("11.080000")</f>
        <v/>
      </c>
    </row>
    <row r="775">
      <c r="A775" s="1" t="n">
        <v>43129</v>
      </c>
      <c r="B775">
        <f>_xlfn.NUMBERVALUE("0.000000")</f>
        <v/>
      </c>
      <c r="C775" s="2">
        <f>_xlfn.NUMBERVALUE("0.000052")</f>
        <v/>
      </c>
      <c r="D775">
        <f>_xlfn.NUMBERVALUE("0.000163")</f>
        <v/>
      </c>
      <c r="E775">
        <f>_xlfn.NUMBERVALUE("-0.000171")</f>
        <v/>
      </c>
      <c r="F775">
        <f>_xlfn.NUMBERVALUE("0.001115")</f>
        <v/>
      </c>
      <c r="G775">
        <f>_xlfn.NUMBERVALUE("-0.001072")</f>
        <v/>
      </c>
      <c r="H775">
        <f>_xlfn.NUMBERVALUE("0.000066")</f>
        <v/>
      </c>
      <c r="I775">
        <f>_xlfn.NUMBERVALUE("0.000733")</f>
        <v/>
      </c>
      <c r="J775">
        <f>_xlfn.NUMBERVALUE("0.000171")</f>
        <v/>
      </c>
      <c r="K775">
        <f>_xlfn.NUMBERVALUE("0.002090")</f>
        <v/>
      </c>
      <c r="L775">
        <f>_xlfn.NUMBERVALUE("-0.000055")</f>
        <v/>
      </c>
      <c r="M775">
        <f>_xlfn.NUMBERVALUE("-0.000545")</f>
        <v/>
      </c>
      <c r="N775">
        <f>_xlfn.NUMBERVALUE("0.000000")</f>
        <v/>
      </c>
      <c r="O775">
        <f>_xlfn.NUMBERVALUE("-0.000749")</f>
        <v/>
      </c>
      <c r="P775">
        <f>_xlfn.NUMBERVALUE("-0.000354")</f>
        <v/>
      </c>
      <c r="Q775">
        <f>_xlfn.NUMBERVALUE("-0.002391")</f>
        <v/>
      </c>
      <c r="R775">
        <f>_xlfn.NUMBERVALUE("0.000141")</f>
        <v/>
      </c>
      <c r="S775">
        <f>_xlfn.NUMBERVALUE("-0.000071")</f>
        <v/>
      </c>
      <c r="T775">
        <f>_xlfn.NUMBERVALUE("0.005599")</f>
        <v/>
      </c>
      <c r="U775">
        <f>_xlfn.NUMBERVALUE("0.000425")</f>
        <v/>
      </c>
      <c r="V775">
        <f>_xlfn.NUMBERVALUE("-0.000801")</f>
        <v/>
      </c>
      <c r="W775">
        <f>_xlfn.NUMBERVALUE("-0.004192")</f>
        <v/>
      </c>
      <c r="X775">
        <f>_xlfn.NUMBERVALUE("2.760000")</f>
        <v/>
      </c>
      <c r="Y775">
        <f>_xlfn.NUMBERVALUE("13.840000")</f>
        <v/>
      </c>
    </row>
    <row r="776">
      <c r="A776" s="1" t="n">
        <v>43130</v>
      </c>
      <c r="B776">
        <f>_xlfn.NUMBERVALUE("0.000000")</f>
        <v/>
      </c>
      <c r="C776" s="2">
        <f>_xlfn.NUMBERVALUE("-0.000117")</f>
        <v/>
      </c>
      <c r="D776">
        <f>_xlfn.NUMBERVALUE("-0.000391")</f>
        <v/>
      </c>
      <c r="E776">
        <f>_xlfn.NUMBERVALUE("0.000063")</f>
        <v/>
      </c>
      <c r="F776">
        <f>_xlfn.NUMBERVALUE("0.000020")</f>
        <v/>
      </c>
      <c r="G776">
        <f>_xlfn.NUMBERVALUE("0.000719")</f>
        <v/>
      </c>
      <c r="H776">
        <f>_xlfn.NUMBERVALUE("0.000015")</f>
        <v/>
      </c>
      <c r="I776">
        <f>_xlfn.NUMBERVALUE("0.000259")</f>
        <v/>
      </c>
      <c r="J776">
        <f>_xlfn.NUMBERVALUE("-0.000183")</f>
        <v/>
      </c>
      <c r="K776">
        <f>_xlfn.NUMBERVALUE("0.002928")</f>
        <v/>
      </c>
      <c r="L776">
        <f>_xlfn.NUMBERVALUE("-0.001552")</f>
        <v/>
      </c>
      <c r="M776">
        <f>_xlfn.NUMBERVALUE("0.000659")</f>
        <v/>
      </c>
      <c r="N776">
        <f>_xlfn.NUMBERVALUE("0.000000")</f>
        <v/>
      </c>
      <c r="O776">
        <f>_xlfn.NUMBERVALUE("-0.004320")</f>
        <v/>
      </c>
      <c r="P776">
        <f>_xlfn.NUMBERVALUE("-0.000194")</f>
        <v/>
      </c>
      <c r="Q776">
        <f>_xlfn.NUMBERVALUE("0.001113")</f>
        <v/>
      </c>
      <c r="R776">
        <f>_xlfn.NUMBERVALUE("0.000260")</f>
        <v/>
      </c>
      <c r="S776">
        <f>_xlfn.NUMBERVALUE("0.001059")</f>
        <v/>
      </c>
      <c r="T776">
        <f>_xlfn.NUMBERVALUE("0.000800")</f>
        <v/>
      </c>
      <c r="U776">
        <f>_xlfn.NUMBERVALUE("-0.000423")</f>
        <v/>
      </c>
      <c r="V776">
        <f>_xlfn.NUMBERVALUE("-0.000195")</f>
        <v/>
      </c>
      <c r="W776">
        <f>_xlfn.NUMBERVALUE("-0.010595")</f>
        <v/>
      </c>
      <c r="X776">
        <f>_xlfn.NUMBERVALUE("0.950000")</f>
        <v/>
      </c>
      <c r="Y776">
        <f>_xlfn.NUMBERVALUE("14.790000")</f>
        <v/>
      </c>
    </row>
    <row r="777">
      <c r="A777" s="1" t="n">
        <v>43131</v>
      </c>
      <c r="B777">
        <f>_xlfn.NUMBERVALUE("0.000000")</f>
        <v/>
      </c>
      <c r="C777" s="2">
        <f>_xlfn.NUMBERVALUE("-0.000046")</f>
        <v/>
      </c>
      <c r="D777">
        <f>_xlfn.NUMBERVALUE("0.000506")</f>
        <v/>
      </c>
      <c r="E777">
        <f>_xlfn.NUMBERVALUE("0.000443")</f>
        <v/>
      </c>
      <c r="F777">
        <f>_xlfn.NUMBERVALUE("0.000244")</f>
        <v/>
      </c>
      <c r="G777">
        <f>_xlfn.NUMBERVALUE("0.000595")</f>
        <v/>
      </c>
      <c r="H777">
        <f>_xlfn.NUMBERVALUE("0.000075")</f>
        <v/>
      </c>
      <c r="I777">
        <f>_xlfn.NUMBERVALUE("0.002342")</f>
        <v/>
      </c>
      <c r="J777">
        <f>_xlfn.NUMBERVALUE("0.000128")</f>
        <v/>
      </c>
      <c r="K777">
        <f>_xlfn.NUMBERVALUE("-0.002762")</f>
        <v/>
      </c>
      <c r="L777">
        <f>_xlfn.NUMBERVALUE("-0.000316")</f>
        <v/>
      </c>
      <c r="M777">
        <f>_xlfn.NUMBERVALUE("0.002232")</f>
        <v/>
      </c>
      <c r="N777">
        <f>_xlfn.NUMBERVALUE("0.000000")</f>
        <v/>
      </c>
      <c r="O777">
        <f>_xlfn.NUMBERVALUE("0.002353")</f>
        <v/>
      </c>
      <c r="P777">
        <f>_xlfn.NUMBERVALUE("0.000799")</f>
        <v/>
      </c>
      <c r="Q777">
        <f>_xlfn.NUMBERVALUE("0.001524")</f>
        <v/>
      </c>
      <c r="R777">
        <f>_xlfn.NUMBERVALUE("0.001435")</f>
        <v/>
      </c>
      <c r="S777">
        <f>_xlfn.NUMBERVALUE("0.001710")</f>
        <v/>
      </c>
      <c r="T777">
        <f>_xlfn.NUMBERVALUE("0.000166")</f>
        <v/>
      </c>
      <c r="U777">
        <f>_xlfn.NUMBERVALUE("0.001122")</f>
        <v/>
      </c>
      <c r="V777">
        <f>_xlfn.NUMBERVALUE("0.000295")</f>
        <v/>
      </c>
      <c r="W777">
        <f>_xlfn.NUMBERVALUE("-0.000266")</f>
        <v/>
      </c>
      <c r="X777">
        <f>_xlfn.NUMBERVALUE("-1.250000")</f>
        <v/>
      </c>
      <c r="Y777">
        <f>_xlfn.NUMBERVALUE("13.540000")</f>
        <v/>
      </c>
    </row>
    <row r="778">
      <c r="A778" s="1" t="n">
        <v>43132</v>
      </c>
      <c r="B778">
        <f>_xlfn.NUMBERVALUE("0.000000")</f>
        <v/>
      </c>
      <c r="C778" s="2">
        <f>_xlfn.NUMBERVALUE("0.000333")</f>
        <v/>
      </c>
      <c r="D778">
        <f>_xlfn.NUMBERVALUE("0.000114")</f>
        <v/>
      </c>
      <c r="E778">
        <f>_xlfn.NUMBERVALUE("0.000045")</f>
        <v/>
      </c>
      <c r="F778">
        <f>_xlfn.NUMBERVALUE("0.000021")</f>
        <v/>
      </c>
      <c r="G778">
        <f>_xlfn.NUMBERVALUE("-0.002820")</f>
        <v/>
      </c>
      <c r="H778">
        <f>_xlfn.NUMBERVALUE("0.000158")</f>
        <v/>
      </c>
      <c r="I778">
        <f>_xlfn.NUMBERVALUE("0.001223")</f>
        <v/>
      </c>
      <c r="J778">
        <f>_xlfn.NUMBERVALUE("0.000176")</f>
        <v/>
      </c>
      <c r="K778">
        <f>_xlfn.NUMBERVALUE("0.001266")</f>
        <v/>
      </c>
      <c r="L778">
        <f>_xlfn.NUMBERVALUE("0.001442")</f>
        <v/>
      </c>
      <c r="M778">
        <f>_xlfn.NUMBERVALUE("-0.002537")</f>
        <v/>
      </c>
      <c r="N778">
        <f>_xlfn.NUMBERVALUE("0.000000")</f>
        <v/>
      </c>
      <c r="O778">
        <f>_xlfn.NUMBERVALUE("-0.001334")</f>
        <v/>
      </c>
      <c r="P778">
        <f>_xlfn.NUMBERVALUE("0.000640")</f>
        <v/>
      </c>
      <c r="Q778">
        <f>_xlfn.NUMBERVALUE("0.000461")</f>
        <v/>
      </c>
      <c r="R778">
        <f>_xlfn.NUMBERVALUE("0.000364")</f>
        <v/>
      </c>
      <c r="S778">
        <f>_xlfn.NUMBERVALUE("0.001574")</f>
        <v/>
      </c>
      <c r="T778">
        <f>_xlfn.NUMBERVALUE("-0.002676")</f>
        <v/>
      </c>
      <c r="U778">
        <f>_xlfn.NUMBERVALUE("-0.000007")</f>
        <v/>
      </c>
      <c r="V778">
        <f>_xlfn.NUMBERVALUE("0.000013")</f>
        <v/>
      </c>
      <c r="W778">
        <f>_xlfn.NUMBERVALUE("-0.001791")</f>
        <v/>
      </c>
      <c r="X778">
        <f>_xlfn.NUMBERVALUE("-0.070000")</f>
        <v/>
      </c>
      <c r="Y778">
        <f>_xlfn.NUMBERVALUE("13.470000")</f>
        <v/>
      </c>
    </row>
    <row r="779">
      <c r="A779" s="1" t="n">
        <v>43133</v>
      </c>
      <c r="B779">
        <f>_xlfn.NUMBERVALUE("0.000000")</f>
        <v/>
      </c>
      <c r="C779" s="2">
        <f>_xlfn.NUMBERVALUE("-0.000147")</f>
        <v/>
      </c>
      <c r="D779">
        <f>_xlfn.NUMBERVALUE("0.000066")</f>
        <v/>
      </c>
      <c r="E779">
        <f>_xlfn.NUMBERVALUE("-0.000002")</f>
        <v/>
      </c>
      <c r="F779">
        <f>_xlfn.NUMBERVALUE("0.000002")</f>
        <v/>
      </c>
      <c r="G779">
        <f>_xlfn.NUMBERVALUE("0.000046")</f>
        <v/>
      </c>
      <c r="H779">
        <f>_xlfn.NUMBERVALUE("0.000012")</f>
        <v/>
      </c>
      <c r="I779">
        <f>_xlfn.NUMBERVALUE("-0.006157")</f>
        <v/>
      </c>
      <c r="J779">
        <f>_xlfn.NUMBERVALUE("0.000005")</f>
        <v/>
      </c>
      <c r="K779">
        <f>_xlfn.NUMBERVALUE("-0.040005")</f>
        <v/>
      </c>
      <c r="L779">
        <f>_xlfn.NUMBERVALUE("-0.004094")</f>
        <v/>
      </c>
      <c r="M779">
        <f>_xlfn.NUMBERVALUE("-0.006292")</f>
        <v/>
      </c>
      <c r="N779">
        <f>_xlfn.NUMBERVALUE("0.000000")</f>
        <v/>
      </c>
      <c r="O779">
        <f>_xlfn.NUMBERVALUE("-0.024507")</f>
        <v/>
      </c>
      <c r="P779">
        <f>_xlfn.NUMBERVALUE("-0.003710")</f>
        <v/>
      </c>
      <c r="Q779">
        <f>_xlfn.NUMBERVALUE("-0.003508")</f>
        <v/>
      </c>
      <c r="R779">
        <f>_xlfn.NUMBERVALUE("-0.003082")</f>
        <v/>
      </c>
      <c r="S779">
        <f>_xlfn.NUMBERVALUE("-0.007094")</f>
        <v/>
      </c>
      <c r="T779">
        <f>_xlfn.NUMBERVALUE("0.000001")</f>
        <v/>
      </c>
      <c r="U779">
        <f>_xlfn.NUMBERVALUE("0.000253")</f>
        <v/>
      </c>
      <c r="V779">
        <f>_xlfn.NUMBERVALUE("-0.000025")</f>
        <v/>
      </c>
      <c r="W779">
        <f>_xlfn.NUMBERVALUE("-0.010393")</f>
        <v/>
      </c>
      <c r="X779">
        <f>_xlfn.NUMBERVALUE("3.840000")</f>
        <v/>
      </c>
      <c r="Y779">
        <f>_xlfn.NUMBERVALUE("17.310000")</f>
        <v/>
      </c>
    </row>
    <row r="780">
      <c r="A780" s="1" t="n">
        <v>43136</v>
      </c>
      <c r="B780">
        <f>_xlfn.NUMBERVALUE("0.000000")</f>
        <v/>
      </c>
      <c r="C780" s="2">
        <f>_xlfn.NUMBERVALUE("-0.020724")</f>
        <v/>
      </c>
      <c r="D780">
        <f>_xlfn.NUMBERVALUE("-0.011179")</f>
        <v/>
      </c>
      <c r="E780">
        <f>_xlfn.NUMBERVALUE("-0.024862")</f>
        <v/>
      </c>
      <c r="F780">
        <f>_xlfn.NUMBERVALUE("-0.001649")</f>
        <v/>
      </c>
      <c r="G780">
        <f>_xlfn.NUMBERVALUE("-0.003242")</f>
        <v/>
      </c>
      <c r="H780">
        <f>_xlfn.NUMBERVALUE("-0.000190")</f>
        <v/>
      </c>
      <c r="I780">
        <f>_xlfn.NUMBERVALUE("-0.019534")</f>
        <v/>
      </c>
      <c r="J780">
        <f>_xlfn.NUMBERVALUE("-0.000380")</f>
        <v/>
      </c>
      <c r="K780">
        <f>_xlfn.NUMBERVALUE("-0.000870")</f>
        <v/>
      </c>
      <c r="L780">
        <f>_xlfn.NUMBERVALUE("0.005188")</f>
        <v/>
      </c>
      <c r="M780">
        <f>_xlfn.NUMBERVALUE("-0.001828")</f>
        <v/>
      </c>
      <c r="N780">
        <f>_xlfn.NUMBERVALUE("0.000000")</f>
        <v/>
      </c>
      <c r="O780">
        <f>_xlfn.NUMBERVALUE("-0.002444")</f>
        <v/>
      </c>
      <c r="P780">
        <f>_xlfn.NUMBERVALUE("-0.021687")</f>
        <v/>
      </c>
      <c r="Q780">
        <f>_xlfn.NUMBERVALUE("-0.023557")</f>
        <v/>
      </c>
      <c r="R780">
        <f>_xlfn.NUMBERVALUE("-0.015130")</f>
        <v/>
      </c>
      <c r="S780">
        <f>_xlfn.NUMBERVALUE("-0.012197")</f>
        <v/>
      </c>
      <c r="T780">
        <f>_xlfn.NUMBERVALUE("-0.000466")</f>
        <v/>
      </c>
      <c r="U780">
        <f>_xlfn.NUMBERVALUE("-0.007728")</f>
        <v/>
      </c>
      <c r="V780">
        <f>_xlfn.NUMBERVALUE("-0.021829")</f>
        <v/>
      </c>
      <c r="W780">
        <f>_xlfn.NUMBERVALUE("-0.034491")</f>
        <v/>
      </c>
      <c r="X780">
        <f>_xlfn.NUMBERVALUE("20.010000")</f>
        <v/>
      </c>
      <c r="Y780">
        <f>_xlfn.NUMBERVALUE("37.320000")</f>
        <v/>
      </c>
    </row>
    <row r="781">
      <c r="A781" s="1" t="n">
        <v>43137</v>
      </c>
      <c r="B781">
        <f>_xlfn.NUMBERVALUE("0.000000")</f>
        <v/>
      </c>
      <c r="C781" s="2">
        <f>_xlfn.NUMBERVALUE("-0.000430")</f>
        <v/>
      </c>
      <c r="D781">
        <f>_xlfn.NUMBERVALUE("0.000129")</f>
        <v/>
      </c>
      <c r="E781">
        <f>_xlfn.NUMBERVALUE("0.007344")</f>
        <v/>
      </c>
      <c r="F781">
        <f>_xlfn.NUMBERVALUE("-0.000001")</f>
        <v/>
      </c>
      <c r="G781">
        <f>_xlfn.NUMBERVALUE("0.001382")</f>
        <v/>
      </c>
      <c r="H781">
        <f>_xlfn.NUMBERVALUE("-0.000034")</f>
        <v/>
      </c>
      <c r="I781">
        <f>_xlfn.NUMBERVALUE("0.004450")</f>
        <v/>
      </c>
      <c r="J781">
        <f>_xlfn.NUMBERVALUE("-0.000498")</f>
        <v/>
      </c>
      <c r="K781">
        <f>_xlfn.NUMBERVALUE("0.002502")</f>
        <v/>
      </c>
      <c r="L781">
        <f>_xlfn.NUMBERVALUE("0.001616")</f>
        <v/>
      </c>
      <c r="M781">
        <f>_xlfn.NUMBERVALUE("0.001818")</f>
        <v/>
      </c>
      <c r="N781">
        <f>_xlfn.NUMBERVALUE("0.000000")</f>
        <v/>
      </c>
      <c r="O781">
        <f>_xlfn.NUMBERVALUE("-0.000222")</f>
        <v/>
      </c>
      <c r="P781">
        <f>_xlfn.NUMBERVALUE("0.005635")</f>
        <v/>
      </c>
      <c r="Q781">
        <f>_xlfn.NUMBERVALUE("0.001051")</f>
        <v/>
      </c>
      <c r="R781">
        <f>_xlfn.NUMBERVALUE("0.001299")</f>
        <v/>
      </c>
      <c r="S781">
        <f>_xlfn.NUMBERVALUE("0.000796")</f>
        <v/>
      </c>
      <c r="T781">
        <f>_xlfn.NUMBERVALUE("0.000156")</f>
        <v/>
      </c>
      <c r="U781">
        <f>_xlfn.NUMBERVALUE("0.000342")</f>
        <v/>
      </c>
      <c r="V781">
        <f>_xlfn.NUMBERVALUE("0.000788")</f>
        <v/>
      </c>
      <c r="W781">
        <f>_xlfn.NUMBERVALUE("0.010467")</f>
        <v/>
      </c>
      <c r="X781">
        <f>_xlfn.NUMBERVALUE("-7.340000")</f>
        <v/>
      </c>
      <c r="Y781">
        <f>_xlfn.NUMBERVALUE("29.980000")</f>
        <v/>
      </c>
    </row>
    <row r="782">
      <c r="A782" s="1" t="n">
        <v>43138</v>
      </c>
      <c r="B782">
        <f>_xlfn.NUMBERVALUE("0.000000")</f>
        <v/>
      </c>
      <c r="C782" s="2">
        <f>_xlfn.NUMBERVALUE("0.009387")</f>
        <v/>
      </c>
      <c r="D782">
        <f>_xlfn.NUMBERVALUE("-0.005014")</f>
        <v/>
      </c>
      <c r="E782">
        <f>_xlfn.NUMBERVALUE("0.001772")</f>
        <v/>
      </c>
      <c r="F782">
        <f>_xlfn.NUMBERVALUE("-0.000025")</f>
        <v/>
      </c>
      <c r="G782">
        <f>_xlfn.NUMBERVALUE("0.000739")</f>
        <v/>
      </c>
      <c r="H782">
        <f>_xlfn.NUMBERVALUE("-0.000925")</f>
        <v/>
      </c>
      <c r="I782">
        <f>_xlfn.NUMBERVALUE("0.009336")</f>
        <v/>
      </c>
      <c r="J782">
        <f>_xlfn.NUMBERVALUE("-0.000206")</f>
        <v/>
      </c>
      <c r="K782">
        <f>_xlfn.NUMBERVALUE("-0.002058")</f>
        <v/>
      </c>
      <c r="L782">
        <f>_xlfn.NUMBERVALUE("-0.002099")</f>
        <v/>
      </c>
      <c r="M782">
        <f>_xlfn.NUMBERVALUE("0.000294")</f>
        <v/>
      </c>
      <c r="N782">
        <f>_xlfn.NUMBERVALUE("0.000000")</f>
        <v/>
      </c>
      <c r="O782">
        <f>_xlfn.NUMBERVALUE("0.000154")</f>
        <v/>
      </c>
      <c r="P782">
        <f>_xlfn.NUMBERVALUE("0.011674")</f>
        <v/>
      </c>
      <c r="Q782">
        <f>_xlfn.NUMBERVALUE("0.000598")</f>
        <v/>
      </c>
      <c r="R782">
        <f>_xlfn.NUMBERVALUE("-0.000261")</f>
        <v/>
      </c>
      <c r="S782">
        <f>_xlfn.NUMBERVALUE("-0.000145")</f>
        <v/>
      </c>
      <c r="T782">
        <f>_xlfn.NUMBERVALUE("-0.000033")</f>
        <v/>
      </c>
      <c r="U782">
        <f>_xlfn.NUMBERVALUE("0.001784")</f>
        <v/>
      </c>
      <c r="V782">
        <f>_xlfn.NUMBERVALUE("0.012127")</f>
        <v/>
      </c>
      <c r="W782">
        <f>_xlfn.NUMBERVALUE("-0.001265")</f>
        <v/>
      </c>
      <c r="X782">
        <f>_xlfn.NUMBERVALUE("-2.250000")</f>
        <v/>
      </c>
      <c r="Y782">
        <f>_xlfn.NUMBERVALUE("27.730000")</f>
        <v/>
      </c>
    </row>
    <row r="783">
      <c r="A783" s="1" t="n">
        <v>43139</v>
      </c>
      <c r="B783">
        <f>_xlfn.NUMBERVALUE("0.000000")</f>
        <v/>
      </c>
      <c r="C783" s="2">
        <f>_xlfn.NUMBERVALUE("-0.014300")</f>
        <v/>
      </c>
      <c r="D783">
        <f>_xlfn.NUMBERVALUE("-0.009247")</f>
        <v/>
      </c>
      <c r="E783">
        <f>_xlfn.NUMBERVALUE("-0.009089")</f>
        <v/>
      </c>
      <c r="F783">
        <f>_xlfn.NUMBERVALUE("-0.002488")</f>
        <v/>
      </c>
      <c r="G783">
        <f>_xlfn.NUMBERVALUE("-0.005157")</f>
        <v/>
      </c>
      <c r="H783">
        <f>_xlfn.NUMBERVALUE("-0.002243")</f>
        <v/>
      </c>
      <c r="I783">
        <f>_xlfn.NUMBERVALUE("-0.010670")</f>
        <v/>
      </c>
      <c r="J783">
        <f>_xlfn.NUMBERVALUE("-0.002132")</f>
        <v/>
      </c>
      <c r="K783">
        <f>_xlfn.NUMBERVALUE("-0.001692")</f>
        <v/>
      </c>
      <c r="L783">
        <f>_xlfn.NUMBERVALUE("-0.003305")</f>
        <v/>
      </c>
      <c r="M783">
        <f>_xlfn.NUMBERVALUE("-0.013583")</f>
        <v/>
      </c>
      <c r="N783">
        <f>_xlfn.NUMBERVALUE("0.000000")</f>
        <v/>
      </c>
      <c r="O783">
        <f>_xlfn.NUMBERVALUE("-0.008297")</f>
        <v/>
      </c>
      <c r="P783">
        <f>_xlfn.NUMBERVALUE("-0.021360")</f>
        <v/>
      </c>
      <c r="Q783">
        <f>_xlfn.NUMBERVALUE("-0.015867")</f>
        <v/>
      </c>
      <c r="R783">
        <f>_xlfn.NUMBERVALUE("-0.017814")</f>
        <v/>
      </c>
      <c r="S783">
        <f>_xlfn.NUMBERVALUE("-0.004346")</f>
        <v/>
      </c>
      <c r="T783">
        <f>_xlfn.NUMBERVALUE("-0.002612")</f>
        <v/>
      </c>
      <c r="U783">
        <f>_xlfn.NUMBERVALUE("-0.015241")</f>
        <v/>
      </c>
      <c r="V783">
        <f>_xlfn.NUMBERVALUE("-0.012643")</f>
        <v/>
      </c>
      <c r="W783">
        <f>_xlfn.NUMBERVALUE("-0.035528")</f>
        <v/>
      </c>
      <c r="X783">
        <f>_xlfn.NUMBERVALUE("5.730000")</f>
        <v/>
      </c>
      <c r="Y783">
        <f>_xlfn.NUMBERVALUE("33.460000")</f>
        <v/>
      </c>
    </row>
    <row r="784">
      <c r="A784" s="1" t="n">
        <v>43140</v>
      </c>
      <c r="B784">
        <f>_xlfn.NUMBERVALUE("0.000000")</f>
        <v/>
      </c>
      <c r="C784" s="2">
        <f>_xlfn.NUMBERVALUE("0.002089")</f>
        <v/>
      </c>
      <c r="D784">
        <f>_xlfn.NUMBERVALUE("0.003456")</f>
        <v/>
      </c>
      <c r="E784">
        <f>_xlfn.NUMBERVALUE("-0.000001")</f>
        <v/>
      </c>
      <c r="F784">
        <f>_xlfn.NUMBERVALUE("0.000741")</f>
        <v/>
      </c>
      <c r="G784">
        <f>_xlfn.NUMBERVALUE("0.000953")</f>
        <v/>
      </c>
      <c r="H784">
        <f>_xlfn.NUMBERVALUE("0.000798")</f>
        <v/>
      </c>
      <c r="I784">
        <f>_xlfn.NUMBERVALUE("0.003165")</f>
        <v/>
      </c>
      <c r="J784">
        <f>_xlfn.NUMBERVALUE("0.001094")</f>
        <v/>
      </c>
      <c r="K784">
        <f>_xlfn.NUMBERVALUE("0.001404")</f>
        <v/>
      </c>
      <c r="L784">
        <f>_xlfn.NUMBERVALUE("-0.000552")</f>
        <v/>
      </c>
      <c r="M784">
        <f>_xlfn.NUMBERVALUE("-0.002722")</f>
        <v/>
      </c>
      <c r="N784">
        <f>_xlfn.NUMBERVALUE("0.000000")</f>
        <v/>
      </c>
      <c r="O784">
        <f>_xlfn.NUMBERVALUE("0.000086")</f>
        <v/>
      </c>
      <c r="P784">
        <f>_xlfn.NUMBERVALUE("0.001685")</f>
        <v/>
      </c>
      <c r="Q784">
        <f>_xlfn.NUMBERVALUE("0.003015")</f>
        <v/>
      </c>
      <c r="R784">
        <f>_xlfn.NUMBERVALUE("-0.001049")</f>
        <v/>
      </c>
      <c r="S784">
        <f>_xlfn.NUMBERVALUE("-0.002742")</f>
        <v/>
      </c>
      <c r="T784">
        <f>_xlfn.NUMBERVALUE("-0.003808")</f>
        <v/>
      </c>
      <c r="U784">
        <f>_xlfn.NUMBERVALUE("0.002174")</f>
        <v/>
      </c>
      <c r="V784">
        <f>_xlfn.NUMBERVALUE("0.003715")</f>
        <v/>
      </c>
      <c r="W784">
        <f>_xlfn.NUMBERVALUE("0.011314")</f>
        <v/>
      </c>
      <c r="X784">
        <f>_xlfn.NUMBERVALUE("-4.400000")</f>
        <v/>
      </c>
      <c r="Y784">
        <f>_xlfn.NUMBERVALUE("29.060000")</f>
        <v/>
      </c>
    </row>
    <row r="785">
      <c r="A785" s="1" t="n">
        <v>43143</v>
      </c>
      <c r="B785">
        <f>_xlfn.NUMBERVALUE("0.000000")</f>
        <v/>
      </c>
      <c r="C785" s="2">
        <f>_xlfn.NUMBERVALUE("0.004888")</f>
        <v/>
      </c>
      <c r="D785">
        <f>_xlfn.NUMBERVALUE("0.001190")</f>
        <v/>
      </c>
      <c r="E785">
        <f>_xlfn.NUMBERVALUE("0.006804")</f>
        <v/>
      </c>
      <c r="F785">
        <f>_xlfn.NUMBERVALUE("0.002508")</f>
        <v/>
      </c>
      <c r="G785">
        <f>_xlfn.NUMBERVALUE("0.002221")</f>
        <v/>
      </c>
      <c r="H785">
        <f>_xlfn.NUMBERVALUE("0.002369")</f>
        <v/>
      </c>
      <c r="I785">
        <f>_xlfn.NUMBERVALUE("0.008202")</f>
        <v/>
      </c>
      <c r="J785">
        <f>_xlfn.NUMBERVALUE("0.002129")</f>
        <v/>
      </c>
      <c r="K785">
        <f>_xlfn.NUMBERVALUE("0.002652")</f>
        <v/>
      </c>
      <c r="L785">
        <f>_xlfn.NUMBERVALUE("0.004734")</f>
        <v/>
      </c>
      <c r="M785">
        <f>_xlfn.NUMBERVALUE("0.007613")</f>
        <v/>
      </c>
      <c r="N785">
        <f>_xlfn.NUMBERVALUE("0.000000")</f>
        <v/>
      </c>
      <c r="O785">
        <f>_xlfn.NUMBERVALUE("0.010763")</f>
        <v/>
      </c>
      <c r="P785">
        <f>_xlfn.NUMBERVALUE("0.007217")</f>
        <v/>
      </c>
      <c r="Q785">
        <f>_xlfn.NUMBERVALUE("0.004487")</f>
        <v/>
      </c>
      <c r="R785">
        <f>_xlfn.NUMBERVALUE("0.010742")</f>
        <v/>
      </c>
      <c r="S785">
        <f>_xlfn.NUMBERVALUE("0.004939")</f>
        <v/>
      </c>
      <c r="T785">
        <f>_xlfn.NUMBERVALUE("0.003986")</f>
        <v/>
      </c>
      <c r="U785">
        <f>_xlfn.NUMBERVALUE("0.004875")</f>
        <v/>
      </c>
      <c r="V785">
        <f>_xlfn.NUMBERVALUE("0.002952")</f>
        <v/>
      </c>
      <c r="W785">
        <f>_xlfn.NUMBERVALUE("0.012657")</f>
        <v/>
      </c>
      <c r="X785">
        <f>_xlfn.NUMBERVALUE("-3.450000")</f>
        <v/>
      </c>
      <c r="Y785">
        <f>_xlfn.NUMBERVALUE("25.610000")</f>
        <v/>
      </c>
    </row>
    <row r="786">
      <c r="A786" s="1" t="n">
        <v>43144</v>
      </c>
      <c r="B786">
        <f>_xlfn.NUMBERVALUE("0.000000")</f>
        <v/>
      </c>
      <c r="C786" s="2">
        <f>_xlfn.NUMBERVALUE("0.000682")</f>
        <v/>
      </c>
      <c r="D786">
        <f>_xlfn.NUMBERVALUE("0.002374")</f>
        <v/>
      </c>
      <c r="E786">
        <f>_xlfn.NUMBERVALUE("0.000388")</f>
        <v/>
      </c>
      <c r="F786">
        <f>_xlfn.NUMBERVALUE("0.000779")</f>
        <v/>
      </c>
      <c r="G786">
        <f>_xlfn.NUMBERVALUE("0.002388")</f>
        <v/>
      </c>
      <c r="H786">
        <f>_xlfn.NUMBERVALUE("0.001586")</f>
        <v/>
      </c>
      <c r="I786">
        <f>_xlfn.NUMBERVALUE("-0.000972")</f>
        <v/>
      </c>
      <c r="J786">
        <f>_xlfn.NUMBERVALUE("0.001645")</f>
        <v/>
      </c>
      <c r="K786">
        <f>_xlfn.NUMBERVALUE("-0.000386")</f>
        <v/>
      </c>
      <c r="L786">
        <f>_xlfn.NUMBERVALUE("0.002202")</f>
        <v/>
      </c>
      <c r="M786">
        <f>_xlfn.NUMBERVALUE("0.001845")</f>
        <v/>
      </c>
      <c r="N786">
        <f>_xlfn.NUMBERVALUE("0.000000")</f>
        <v/>
      </c>
      <c r="O786">
        <f>_xlfn.NUMBERVALUE("0.000980")</f>
        <v/>
      </c>
      <c r="P786">
        <f>_xlfn.NUMBERVALUE("0.002972")</f>
        <v/>
      </c>
      <c r="Q786">
        <f>_xlfn.NUMBERVALUE("0.001751")</f>
        <v/>
      </c>
      <c r="R786">
        <f>_xlfn.NUMBERVALUE("0.001445")</f>
        <v/>
      </c>
      <c r="S786">
        <f>_xlfn.NUMBERVALUE("0.003331")</f>
        <v/>
      </c>
      <c r="T786">
        <f>_xlfn.NUMBERVALUE("0.001330")</f>
        <v/>
      </c>
      <c r="U786">
        <f>_xlfn.NUMBERVALUE("0.001926")</f>
        <v/>
      </c>
      <c r="V786">
        <f>_xlfn.NUMBERVALUE("0.000453")</f>
        <v/>
      </c>
      <c r="W786">
        <f>_xlfn.NUMBERVALUE("0.003525")</f>
        <v/>
      </c>
      <c r="X786">
        <f>_xlfn.NUMBERVALUE("-0.640000")</f>
        <v/>
      </c>
      <c r="Y786">
        <f>_xlfn.NUMBERVALUE("24.970000")</f>
        <v/>
      </c>
    </row>
    <row r="787">
      <c r="A787" s="1" t="n">
        <v>43145</v>
      </c>
      <c r="B787">
        <f>_xlfn.NUMBERVALUE("0.000000")</f>
        <v/>
      </c>
      <c r="C787" s="2">
        <f>_xlfn.NUMBERVALUE("0.002355")</f>
        <v/>
      </c>
      <c r="D787">
        <f>_xlfn.NUMBERVALUE("-0.001272")</f>
        <v/>
      </c>
      <c r="E787">
        <f>_xlfn.NUMBERVALUE("0.001464")</f>
        <v/>
      </c>
      <c r="F787">
        <f>_xlfn.NUMBERVALUE("-0.004054")</f>
        <v/>
      </c>
      <c r="G787">
        <f>_xlfn.NUMBERVALUE("0.001971")</f>
        <v/>
      </c>
      <c r="H787">
        <f>_xlfn.NUMBERVALUE("-0.001044")</f>
        <v/>
      </c>
      <c r="I787">
        <f>_xlfn.NUMBERVALUE("0.000257")</f>
        <v/>
      </c>
      <c r="J787">
        <f>_xlfn.NUMBERVALUE("-0.000721")</f>
        <v/>
      </c>
      <c r="K787">
        <f>_xlfn.NUMBERVALUE("-0.002980")</f>
        <v/>
      </c>
      <c r="L787">
        <f>_xlfn.NUMBERVALUE("-0.000634")</f>
        <v/>
      </c>
      <c r="M787">
        <f>_xlfn.NUMBERVALUE("0.001966")</f>
        <v/>
      </c>
      <c r="N787">
        <f>_xlfn.NUMBERVALUE("0.000000")</f>
        <v/>
      </c>
      <c r="O787">
        <f>_xlfn.NUMBERVALUE("0.001819")</f>
        <v/>
      </c>
      <c r="P787">
        <f>_xlfn.NUMBERVALUE("0.000121")</f>
        <v/>
      </c>
      <c r="Q787">
        <f>_xlfn.NUMBERVALUE("0.002555")</f>
        <v/>
      </c>
      <c r="R787">
        <f>_xlfn.NUMBERVALUE("0.002672")</f>
        <v/>
      </c>
      <c r="S787">
        <f>_xlfn.NUMBERVALUE("0.003505")</f>
        <v/>
      </c>
      <c r="T787">
        <f>_xlfn.NUMBERVALUE("0.003057")</f>
        <v/>
      </c>
      <c r="U787">
        <f>_xlfn.NUMBERVALUE("0.002355")</f>
        <v/>
      </c>
      <c r="V787">
        <f>_xlfn.NUMBERVALUE("0.001967")</f>
        <v/>
      </c>
      <c r="W787">
        <f>_xlfn.NUMBERVALUE("0.013526")</f>
        <v/>
      </c>
      <c r="X787">
        <f>_xlfn.NUMBERVALUE("-5.710000")</f>
        <v/>
      </c>
      <c r="Y787">
        <f>_xlfn.NUMBERVALUE("19.260000")</f>
        <v/>
      </c>
    </row>
    <row r="788">
      <c r="A788" s="1" t="n">
        <v>43146</v>
      </c>
      <c r="B788">
        <f>_xlfn.NUMBERVALUE("0.000000")</f>
        <v/>
      </c>
      <c r="C788" s="2">
        <f>_xlfn.NUMBERVALUE("-0.000899")</f>
        <v/>
      </c>
      <c r="D788">
        <f>_xlfn.NUMBERVALUE("-0.006360")</f>
        <v/>
      </c>
      <c r="E788">
        <f>_xlfn.NUMBERVALUE("-0.000438")</f>
        <v/>
      </c>
      <c r="F788">
        <f>_xlfn.NUMBERVALUE("0.001551")</f>
        <v/>
      </c>
      <c r="G788">
        <f>_xlfn.NUMBERVALUE("-0.003212")</f>
        <v/>
      </c>
      <c r="H788">
        <f>_xlfn.NUMBERVALUE("-0.000132")</f>
        <v/>
      </c>
      <c r="I788">
        <f>_xlfn.NUMBERVALUE("-0.000740")</f>
        <v/>
      </c>
      <c r="J788">
        <f>_xlfn.NUMBERVALUE("0.000605")</f>
        <v/>
      </c>
      <c r="K788">
        <f>_xlfn.NUMBERVALUE("0.001579")</f>
        <v/>
      </c>
      <c r="L788">
        <f>_xlfn.NUMBERVALUE("0.001733")</f>
        <v/>
      </c>
      <c r="M788">
        <f>_xlfn.NUMBERVALUE("0.000316")</f>
        <v/>
      </c>
      <c r="N788">
        <f>_xlfn.NUMBERVALUE("0.000000")</f>
        <v/>
      </c>
      <c r="O788">
        <f>_xlfn.NUMBERVALUE("0.002154")</f>
        <v/>
      </c>
      <c r="P788">
        <f>_xlfn.NUMBERVALUE("0.000437")</f>
        <v/>
      </c>
      <c r="Q788">
        <f>_xlfn.NUMBERVALUE("-0.002345")</f>
        <v/>
      </c>
      <c r="R788">
        <f>_xlfn.NUMBERVALUE("-0.007698")</f>
        <v/>
      </c>
      <c r="S788">
        <f>_xlfn.NUMBERVALUE("-0.002060")</f>
        <v/>
      </c>
      <c r="T788">
        <f>_xlfn.NUMBERVALUE("-0.004959")</f>
        <v/>
      </c>
      <c r="U788">
        <f>_xlfn.NUMBERVALUE("-0.000485")</f>
        <v/>
      </c>
      <c r="V788">
        <f>_xlfn.NUMBERVALUE("-0.001029")</f>
        <v/>
      </c>
      <c r="W788">
        <f>_xlfn.NUMBERVALUE("0.010602")</f>
        <v/>
      </c>
      <c r="X788">
        <f>_xlfn.NUMBERVALUE("-0.130000")</f>
        <v/>
      </c>
      <c r="Y788">
        <f>_xlfn.NUMBERVALUE("19.130000")</f>
        <v/>
      </c>
    </row>
    <row r="789">
      <c r="A789" s="1" t="n">
        <v>43147</v>
      </c>
      <c r="B789">
        <f>_xlfn.NUMBERVALUE("0.000000")</f>
        <v/>
      </c>
      <c r="C789" s="2">
        <f>_xlfn.NUMBERVALUE("0.001475")</f>
        <v/>
      </c>
      <c r="D789">
        <f>_xlfn.NUMBERVALUE("0.002658")</f>
        <v/>
      </c>
      <c r="E789">
        <f>_xlfn.NUMBERVALUE("0.000496")</f>
        <v/>
      </c>
      <c r="F789">
        <f>_xlfn.NUMBERVALUE("0.000261")</f>
        <v/>
      </c>
      <c r="G789">
        <f>_xlfn.NUMBERVALUE("-0.000546")</f>
        <v/>
      </c>
      <c r="H789">
        <f>_xlfn.NUMBERVALUE("0.000784")</f>
        <v/>
      </c>
      <c r="I789">
        <f>_xlfn.NUMBERVALUE("0.001795")</f>
        <v/>
      </c>
      <c r="J789">
        <f>_xlfn.NUMBERVALUE("0.000671")</f>
        <v/>
      </c>
      <c r="K789">
        <f>_xlfn.NUMBERVALUE("0.001852")</f>
        <v/>
      </c>
      <c r="L789">
        <f>_xlfn.NUMBERVALUE("0.000971")</f>
        <v/>
      </c>
      <c r="M789">
        <f>_xlfn.NUMBERVALUE("0.001681")</f>
        <v/>
      </c>
      <c r="N789">
        <f>_xlfn.NUMBERVALUE("0.000000")</f>
        <v/>
      </c>
      <c r="O789">
        <f>_xlfn.NUMBERVALUE("0.003336")</f>
        <v/>
      </c>
      <c r="P789">
        <f>_xlfn.NUMBERVALUE("0.001197")</f>
        <v/>
      </c>
      <c r="Q789">
        <f>_xlfn.NUMBERVALUE("0.000099")</f>
        <v/>
      </c>
      <c r="R789">
        <f>_xlfn.NUMBERVALUE("0.000968")</f>
        <v/>
      </c>
      <c r="S789">
        <f>_xlfn.NUMBERVALUE("0.000418")</f>
        <v/>
      </c>
      <c r="T789">
        <f>_xlfn.NUMBERVALUE("-0.000155")</f>
        <v/>
      </c>
      <c r="U789">
        <f>_xlfn.NUMBERVALUE("0.001782")</f>
        <v/>
      </c>
      <c r="V789">
        <f>_xlfn.NUMBERVALUE("0.000849")</f>
        <v/>
      </c>
      <c r="W789">
        <f>_xlfn.NUMBERVALUE("0.003595")</f>
        <v/>
      </c>
      <c r="X789">
        <f>_xlfn.NUMBERVALUE("0.330000")</f>
        <v/>
      </c>
      <c r="Y789">
        <f>_xlfn.NUMBERVALUE("19.460000")</f>
        <v/>
      </c>
    </row>
    <row r="790">
      <c r="A790" s="1" t="n">
        <v>43151</v>
      </c>
      <c r="B790">
        <f>_xlfn.NUMBERVALUE("0.000000")</f>
        <v/>
      </c>
      <c r="C790" s="2">
        <f>_xlfn.NUMBERVALUE("-0.001016")</f>
        <v/>
      </c>
      <c r="D790">
        <f>_xlfn.NUMBERVALUE("0.002111")</f>
        <v/>
      </c>
      <c r="E790">
        <f>_xlfn.NUMBERVALUE("0.000166")</f>
        <v/>
      </c>
      <c r="F790">
        <f>_xlfn.NUMBERVALUE("-0.001142")</f>
        <v/>
      </c>
      <c r="G790">
        <f>_xlfn.NUMBERVALUE("0.001203")</f>
        <v/>
      </c>
      <c r="H790">
        <f>_xlfn.NUMBERVALUE("0.000699")</f>
        <v/>
      </c>
      <c r="I790">
        <f>_xlfn.NUMBERVALUE("-0.000246")</f>
        <v/>
      </c>
      <c r="J790">
        <f>_xlfn.NUMBERVALUE("-0.000132")</f>
        <v/>
      </c>
      <c r="K790">
        <f>_xlfn.NUMBERVALUE("0.000851")</f>
        <v/>
      </c>
      <c r="L790">
        <f>_xlfn.NUMBERVALUE("0.000327")</f>
        <v/>
      </c>
      <c r="M790">
        <f>_xlfn.NUMBERVALUE("0.002191")</f>
        <v/>
      </c>
      <c r="N790">
        <f>_xlfn.NUMBERVALUE("0.000000")</f>
        <v/>
      </c>
      <c r="O790">
        <f>_xlfn.NUMBERVALUE("0.000631")</f>
        <v/>
      </c>
      <c r="P790">
        <f>_xlfn.NUMBERVALUE("0.001218")</f>
        <v/>
      </c>
      <c r="Q790">
        <f>_xlfn.NUMBERVALUE("0.002121")</f>
        <v/>
      </c>
      <c r="R790">
        <f>_xlfn.NUMBERVALUE("0.000690")</f>
        <v/>
      </c>
      <c r="S790">
        <f>_xlfn.NUMBERVALUE("-0.003755")</f>
        <v/>
      </c>
      <c r="T790">
        <f>_xlfn.NUMBERVALUE("0.000200")</f>
        <v/>
      </c>
      <c r="U790">
        <f>_xlfn.NUMBERVALUE("0.001921")</f>
        <v/>
      </c>
      <c r="V790">
        <f>_xlfn.NUMBERVALUE("0.001390")</f>
        <v/>
      </c>
      <c r="W790">
        <f>_xlfn.NUMBERVALUE("-0.006798")</f>
        <v/>
      </c>
      <c r="X790">
        <f>_xlfn.NUMBERVALUE("1.140000")</f>
        <v/>
      </c>
      <c r="Y790">
        <f>_xlfn.NUMBERVALUE("20.600000")</f>
        <v/>
      </c>
    </row>
    <row r="791">
      <c r="A791" s="1" t="n">
        <v>43152</v>
      </c>
      <c r="B791">
        <f>_xlfn.NUMBERVALUE("0.000000")</f>
        <v/>
      </c>
      <c r="C791" s="2">
        <f>_xlfn.NUMBERVALUE("0.000842")</f>
        <v/>
      </c>
      <c r="D791">
        <f>_xlfn.NUMBERVALUE("0.001864")</f>
        <v/>
      </c>
      <c r="E791">
        <f>_xlfn.NUMBERVALUE("-0.000163")</f>
        <v/>
      </c>
      <c r="F791">
        <f>_xlfn.NUMBERVALUE("0.001077")</f>
        <v/>
      </c>
      <c r="G791">
        <f>_xlfn.NUMBERVALUE("-0.000286")</f>
        <v/>
      </c>
      <c r="H791">
        <f>_xlfn.NUMBERVALUE("-0.000849")</f>
        <v/>
      </c>
      <c r="I791">
        <f>_xlfn.NUMBERVALUE("0.000627")</f>
        <v/>
      </c>
      <c r="J791">
        <f>_xlfn.NUMBERVALUE("-0.000638")</f>
        <v/>
      </c>
      <c r="K791">
        <f>_xlfn.NUMBERVALUE("0.002635")</f>
        <v/>
      </c>
      <c r="L791">
        <f>_xlfn.NUMBERVALUE("-0.001761")</f>
        <v/>
      </c>
      <c r="M791">
        <f>_xlfn.NUMBERVALUE("0.001262")</f>
        <v/>
      </c>
      <c r="N791">
        <f>_xlfn.NUMBERVALUE("0.000000")</f>
        <v/>
      </c>
      <c r="O791">
        <f>_xlfn.NUMBERVALUE("0.002182")</f>
        <v/>
      </c>
      <c r="P791">
        <f>_xlfn.NUMBERVALUE("0.002597")</f>
        <v/>
      </c>
      <c r="Q791">
        <f>_xlfn.NUMBERVALUE("0.001637")</f>
        <v/>
      </c>
      <c r="R791">
        <f>_xlfn.NUMBERVALUE("0.001369")</f>
        <v/>
      </c>
      <c r="S791">
        <f>_xlfn.NUMBERVALUE("-0.001844")</f>
        <v/>
      </c>
      <c r="T791">
        <f>_xlfn.NUMBERVALUE("0.002331")</f>
        <v/>
      </c>
      <c r="U791">
        <f>_xlfn.NUMBERVALUE("0.000829")</f>
        <v/>
      </c>
      <c r="V791">
        <f>_xlfn.NUMBERVALUE("0.000278")</f>
        <v/>
      </c>
      <c r="W791">
        <f>_xlfn.NUMBERVALUE("-0.005005")</f>
        <v/>
      </c>
      <c r="X791">
        <f>_xlfn.NUMBERVALUE("-0.580000")</f>
        <v/>
      </c>
      <c r="Y791">
        <f>_xlfn.NUMBERVALUE("20.020000")</f>
        <v/>
      </c>
    </row>
    <row r="792">
      <c r="A792" s="1" t="n">
        <v>43153</v>
      </c>
      <c r="B792">
        <f>_xlfn.NUMBERVALUE("0.000000")</f>
        <v/>
      </c>
      <c r="C792" s="2">
        <f>_xlfn.NUMBERVALUE("0.000877")</f>
        <v/>
      </c>
      <c r="D792">
        <f>_xlfn.NUMBERVALUE("0.001415")</f>
        <v/>
      </c>
      <c r="E792">
        <f>_xlfn.NUMBERVALUE("0.001432")</f>
        <v/>
      </c>
      <c r="F792">
        <f>_xlfn.NUMBERVALUE("0.001012")</f>
        <v/>
      </c>
      <c r="G792">
        <f>_xlfn.NUMBERVALUE("-0.000629")</f>
        <v/>
      </c>
      <c r="H792">
        <f>_xlfn.NUMBERVALUE("0.000880")</f>
        <v/>
      </c>
      <c r="I792">
        <f>_xlfn.NUMBERVALUE("0.001708")</f>
        <v/>
      </c>
      <c r="J792">
        <f>_xlfn.NUMBERVALUE("-0.000398")</f>
        <v/>
      </c>
      <c r="K792">
        <f>_xlfn.NUMBERVALUE("0.001551")</f>
        <v/>
      </c>
      <c r="L792">
        <f>_xlfn.NUMBERVALUE("0.000770")</f>
        <v/>
      </c>
      <c r="M792">
        <f>_xlfn.NUMBERVALUE("0.000439")</f>
        <v/>
      </c>
      <c r="N792">
        <f>_xlfn.NUMBERVALUE("0.000000")</f>
        <v/>
      </c>
      <c r="O792">
        <f>_xlfn.NUMBERVALUE("-0.008855")</f>
        <v/>
      </c>
      <c r="P792">
        <f>_xlfn.NUMBERVALUE("0.000596")</f>
        <v/>
      </c>
      <c r="Q792">
        <f>_xlfn.NUMBERVALUE("-0.000208")</f>
        <v/>
      </c>
      <c r="R792">
        <f>_xlfn.NUMBERVALUE("0.001397")</f>
        <v/>
      </c>
      <c r="S792">
        <f>_xlfn.NUMBERVALUE("0.002884")</f>
        <v/>
      </c>
      <c r="T792">
        <f>_xlfn.NUMBERVALUE("0.001115")</f>
        <v/>
      </c>
      <c r="U792">
        <f>_xlfn.NUMBERVALUE("0.001571")</f>
        <v/>
      </c>
      <c r="V792">
        <f>_xlfn.NUMBERVALUE("0.001291")</f>
        <v/>
      </c>
      <c r="W792">
        <f>_xlfn.NUMBERVALUE("-0.000037")</f>
        <v/>
      </c>
      <c r="X792">
        <f>_xlfn.NUMBERVALUE("-1.300000")</f>
        <v/>
      </c>
      <c r="Y792">
        <f>_xlfn.NUMBERVALUE("18.720000")</f>
        <v/>
      </c>
    </row>
    <row r="793">
      <c r="A793" s="1" t="n">
        <v>43154</v>
      </c>
      <c r="B793">
        <f>_xlfn.NUMBERVALUE("0.000000")</f>
        <v/>
      </c>
      <c r="C793" s="2">
        <f>_xlfn.NUMBERVALUE("0.001650")</f>
        <v/>
      </c>
      <c r="D793">
        <f>_xlfn.NUMBERVALUE("-0.000015")</f>
        <v/>
      </c>
      <c r="E793">
        <f>_xlfn.NUMBERVALUE("0.001498")</f>
        <v/>
      </c>
      <c r="F793">
        <f>_xlfn.NUMBERVALUE("0.003081")</f>
        <v/>
      </c>
      <c r="G793">
        <f>_xlfn.NUMBERVALUE("0.001202")</f>
        <v/>
      </c>
      <c r="H793">
        <f>_xlfn.NUMBERVALUE("0.000078")</f>
        <v/>
      </c>
      <c r="I793">
        <f>_xlfn.NUMBERVALUE("0.001525")</f>
        <v/>
      </c>
      <c r="J793">
        <f>_xlfn.NUMBERVALUE("0.000227")</f>
        <v/>
      </c>
      <c r="K793">
        <f>_xlfn.NUMBERVALUE("0.001786")</f>
        <v/>
      </c>
      <c r="L793">
        <f>_xlfn.NUMBERVALUE("0.000634")</f>
        <v/>
      </c>
      <c r="M793">
        <f>_xlfn.NUMBERVALUE("0.000142")</f>
        <v/>
      </c>
      <c r="N793">
        <f>_xlfn.NUMBERVALUE("0.000000")</f>
        <v/>
      </c>
      <c r="O793">
        <f>_xlfn.NUMBERVALUE("0.001875")</f>
        <v/>
      </c>
      <c r="P793">
        <f>_xlfn.NUMBERVALUE("0.000836")</f>
        <v/>
      </c>
      <c r="Q793">
        <f>_xlfn.NUMBERVALUE("0.002646")</f>
        <v/>
      </c>
      <c r="R793">
        <f>_xlfn.NUMBERVALUE("-0.000563")</f>
        <v/>
      </c>
      <c r="S793">
        <f>_xlfn.NUMBERVALUE("0.002373")</f>
        <v/>
      </c>
      <c r="T793">
        <f>_xlfn.NUMBERVALUE("-0.007676")</f>
        <v/>
      </c>
      <c r="U793">
        <f>_xlfn.NUMBERVALUE("0.000891")</f>
        <v/>
      </c>
      <c r="V793">
        <f>_xlfn.NUMBERVALUE("-0.000319")</f>
        <v/>
      </c>
      <c r="W793">
        <f>_xlfn.NUMBERVALUE("0.015312")</f>
        <v/>
      </c>
      <c r="X793">
        <f>_xlfn.NUMBERVALUE("-2.230000")</f>
        <v/>
      </c>
      <c r="Y793">
        <f>_xlfn.NUMBERVALUE("16.490000")</f>
        <v/>
      </c>
    </row>
    <row r="794">
      <c r="A794" s="1" t="n">
        <v>43157</v>
      </c>
      <c r="B794">
        <f>_xlfn.NUMBERVALUE("0.000000")</f>
        <v/>
      </c>
      <c r="C794" s="2">
        <f>_xlfn.NUMBERVALUE("-0.004499")</f>
        <v/>
      </c>
      <c r="D794">
        <f>_xlfn.NUMBERVALUE("0.000029")</f>
        <v/>
      </c>
      <c r="E794">
        <f>_xlfn.NUMBERVALUE("-0.001241")</f>
        <v/>
      </c>
      <c r="F794">
        <f>_xlfn.NUMBERVALUE("0.000267")</f>
        <v/>
      </c>
      <c r="G794">
        <f>_xlfn.NUMBERVALUE("0.000468")</f>
        <v/>
      </c>
      <c r="H794">
        <f>_xlfn.NUMBERVALUE("0.000493")</f>
        <v/>
      </c>
      <c r="I794">
        <f>_xlfn.NUMBERVALUE("0.000651")</f>
        <v/>
      </c>
      <c r="J794">
        <f>_xlfn.NUMBERVALUE("0.001247")</f>
        <v/>
      </c>
      <c r="K794">
        <f>_xlfn.NUMBERVALUE("0.001794")</f>
        <v/>
      </c>
      <c r="L794">
        <f>_xlfn.NUMBERVALUE("-0.000014")</f>
        <v/>
      </c>
      <c r="M794">
        <f>_xlfn.NUMBERVALUE("0.001082")</f>
        <v/>
      </c>
      <c r="N794">
        <f>_xlfn.NUMBERVALUE("0.000000")</f>
        <v/>
      </c>
      <c r="O794">
        <f>_xlfn.NUMBERVALUE("0.002409")</f>
        <v/>
      </c>
      <c r="P794">
        <f>_xlfn.NUMBERVALUE("-0.001264")</f>
        <v/>
      </c>
      <c r="Q794">
        <f>_xlfn.NUMBERVALUE("0.005829")</f>
        <v/>
      </c>
      <c r="R794">
        <f>_xlfn.NUMBERVALUE("-0.000781")</f>
        <v/>
      </c>
      <c r="S794">
        <f>_xlfn.NUMBERVALUE("0.001461")</f>
        <v/>
      </c>
      <c r="T794">
        <f>_xlfn.NUMBERVALUE("0.000956")</f>
        <v/>
      </c>
      <c r="U794">
        <f>_xlfn.NUMBERVALUE("0.000209")</f>
        <v/>
      </c>
      <c r="V794">
        <f>_xlfn.NUMBERVALUE("-0.002467")</f>
        <v/>
      </c>
      <c r="W794">
        <f>_xlfn.NUMBERVALUE("0.011238")</f>
        <v/>
      </c>
      <c r="X794">
        <f>_xlfn.NUMBERVALUE("-0.690000")</f>
        <v/>
      </c>
      <c r="Y794">
        <f>_xlfn.NUMBERVALUE("15.800000")</f>
        <v/>
      </c>
    </row>
    <row r="795">
      <c r="A795" s="1" t="n">
        <v>43158</v>
      </c>
      <c r="B795">
        <f>_xlfn.NUMBERVALUE("0.000000")</f>
        <v/>
      </c>
      <c r="C795" s="2">
        <f>_xlfn.NUMBERVALUE("-0.003812")</f>
        <v/>
      </c>
      <c r="D795">
        <f>_xlfn.NUMBERVALUE("-0.008291")</f>
        <v/>
      </c>
      <c r="E795">
        <f>_xlfn.NUMBERVALUE("-0.004106")</f>
        <v/>
      </c>
      <c r="F795">
        <f>_xlfn.NUMBERVALUE("-0.002234")</f>
        <v/>
      </c>
      <c r="G795">
        <f>_xlfn.NUMBERVALUE("-0.000205")</f>
        <v/>
      </c>
      <c r="H795">
        <f>_xlfn.NUMBERVALUE("-0.000283")</f>
        <v/>
      </c>
      <c r="I795">
        <f>_xlfn.NUMBERVALUE("-0.004003")</f>
        <v/>
      </c>
      <c r="J795">
        <f>_xlfn.NUMBERVALUE("-0.000891")</f>
        <v/>
      </c>
      <c r="K795">
        <f>_xlfn.NUMBERVALUE("-0.000895")</f>
        <v/>
      </c>
      <c r="L795">
        <f>_xlfn.NUMBERVALUE("-0.000041")</f>
        <v/>
      </c>
      <c r="M795">
        <f>_xlfn.NUMBERVALUE("-0.000869")</f>
        <v/>
      </c>
      <c r="N795">
        <f>_xlfn.NUMBERVALUE("0.000000")</f>
        <v/>
      </c>
      <c r="O795">
        <f>_xlfn.NUMBERVALUE("-0.001643")</f>
        <v/>
      </c>
      <c r="P795">
        <f>_xlfn.NUMBERVALUE("-0.001675")</f>
        <v/>
      </c>
      <c r="Q795">
        <f>_xlfn.NUMBERVALUE("-0.006106")</f>
        <v/>
      </c>
      <c r="R795">
        <f>_xlfn.NUMBERVALUE("-0.001473")</f>
        <v/>
      </c>
      <c r="S795">
        <f>_xlfn.NUMBERVALUE("-0.003221")</f>
        <v/>
      </c>
      <c r="T795">
        <f>_xlfn.NUMBERVALUE("-0.000911")</f>
        <v/>
      </c>
      <c r="U795">
        <f>_xlfn.NUMBERVALUE("-0.003755")</f>
        <v/>
      </c>
      <c r="V795">
        <f>_xlfn.NUMBERVALUE("-0.002650")</f>
        <v/>
      </c>
      <c r="W795">
        <f>_xlfn.NUMBERVALUE("-0.009708")</f>
        <v/>
      </c>
      <c r="X795">
        <f>_xlfn.NUMBERVALUE("2.790000")</f>
        <v/>
      </c>
      <c r="Y795">
        <f>_xlfn.NUMBERVALUE("18.590000")</f>
        <v/>
      </c>
    </row>
    <row r="796">
      <c r="A796" s="1" t="n">
        <v>43159</v>
      </c>
      <c r="B796">
        <f>_xlfn.NUMBERVALUE("0.000000")</f>
        <v/>
      </c>
      <c r="C796" s="2">
        <f>_xlfn.NUMBERVALUE("-0.001324")</f>
        <v/>
      </c>
      <c r="D796">
        <f>_xlfn.NUMBERVALUE("-0.000941")</f>
        <v/>
      </c>
      <c r="E796">
        <f>_xlfn.NUMBERVALUE("-0.000494")</f>
        <v/>
      </c>
      <c r="F796">
        <f>_xlfn.NUMBERVALUE("0.000962")</f>
        <v/>
      </c>
      <c r="G796">
        <f>_xlfn.NUMBERVALUE("0.000962")</f>
        <v/>
      </c>
      <c r="H796">
        <f>_xlfn.NUMBERVALUE("0.001228")</f>
        <v/>
      </c>
      <c r="I796">
        <f>_xlfn.NUMBERVALUE("-0.003374")</f>
        <v/>
      </c>
      <c r="J796">
        <f>_xlfn.NUMBERVALUE("0.000093")</f>
        <v/>
      </c>
      <c r="K796">
        <f>_xlfn.NUMBERVALUE("0.001008")</f>
        <v/>
      </c>
      <c r="L796">
        <f>_xlfn.NUMBERVALUE("-0.000423")</f>
        <v/>
      </c>
      <c r="M796">
        <f>_xlfn.NUMBERVALUE("-0.001701")</f>
        <v/>
      </c>
      <c r="N796">
        <f>_xlfn.NUMBERVALUE("0.000000")</f>
        <v/>
      </c>
      <c r="O796">
        <f>_xlfn.NUMBERVALUE("-0.006595")</f>
        <v/>
      </c>
      <c r="P796">
        <f>_xlfn.NUMBERVALUE("-0.000379")</f>
        <v/>
      </c>
      <c r="Q796">
        <f>_xlfn.NUMBERVALUE("-0.000575")</f>
        <v/>
      </c>
      <c r="R796">
        <f>_xlfn.NUMBERVALUE("0.000697")</f>
        <v/>
      </c>
      <c r="S796">
        <f>_xlfn.NUMBERVALUE("-0.000423")</f>
        <v/>
      </c>
      <c r="T796">
        <f>_xlfn.NUMBERVALUE("0.001431")</f>
        <v/>
      </c>
      <c r="U796">
        <f>_xlfn.NUMBERVALUE("0.000922")</f>
        <v/>
      </c>
      <c r="V796">
        <f>_xlfn.NUMBERVALUE("-0.000340")</f>
        <v/>
      </c>
      <c r="W796">
        <f>_xlfn.NUMBERVALUE("-0.010877")</f>
        <v/>
      </c>
      <c r="X796">
        <f>_xlfn.NUMBERVALUE("1.260000")</f>
        <v/>
      </c>
      <c r="Y796">
        <f>_xlfn.NUMBERVALUE("19.850000")</f>
        <v/>
      </c>
    </row>
    <row r="797">
      <c r="A797" s="1" t="n">
        <v>43160</v>
      </c>
      <c r="B797">
        <f>_xlfn.NUMBERVALUE("0.000000")</f>
        <v/>
      </c>
      <c r="C797" s="2">
        <f>_xlfn.NUMBERVALUE("-0.005402")</f>
        <v/>
      </c>
      <c r="D797">
        <f>_xlfn.NUMBERVALUE("0.000864")</f>
        <v/>
      </c>
      <c r="E797">
        <f>_xlfn.NUMBERVALUE("-0.001351")</f>
        <v/>
      </c>
      <c r="F797">
        <f>_xlfn.NUMBERVALUE("-0.001046")</f>
        <v/>
      </c>
      <c r="G797">
        <f>_xlfn.NUMBERVALUE("-0.000018")</f>
        <v/>
      </c>
      <c r="H797">
        <f>_xlfn.NUMBERVALUE("-0.000181")</f>
        <v/>
      </c>
      <c r="I797">
        <f>_xlfn.NUMBERVALUE("-0.000793")</f>
        <v/>
      </c>
      <c r="J797">
        <f>_xlfn.NUMBERVALUE("0.000749")</f>
        <v/>
      </c>
      <c r="K797">
        <f>_xlfn.NUMBERVALUE("0.000099")</f>
        <v/>
      </c>
      <c r="L797">
        <f>_xlfn.NUMBERVALUE("0.002245")</f>
        <v/>
      </c>
      <c r="M797">
        <f>_xlfn.NUMBERVALUE("-0.002231")</f>
        <v/>
      </c>
      <c r="N797">
        <f>_xlfn.NUMBERVALUE("0.000000")</f>
        <v/>
      </c>
      <c r="O797">
        <f>_xlfn.NUMBERVALUE("0.001520")</f>
        <v/>
      </c>
      <c r="P797">
        <f>_xlfn.NUMBERVALUE("-0.002116")</f>
        <v/>
      </c>
      <c r="Q797">
        <f>_xlfn.NUMBERVALUE("-0.005059")</f>
        <v/>
      </c>
      <c r="R797">
        <f>_xlfn.NUMBERVALUE("-0.001885")</f>
        <v/>
      </c>
      <c r="S797">
        <f>_xlfn.NUMBERVALUE("-0.000008")</f>
        <v/>
      </c>
      <c r="T797">
        <f>_xlfn.NUMBERVALUE("0.001023")</f>
        <v/>
      </c>
      <c r="U797">
        <f>_xlfn.NUMBERVALUE("-0.004675")</f>
        <v/>
      </c>
      <c r="V797">
        <f>_xlfn.NUMBERVALUE("-0.002832")</f>
        <v/>
      </c>
      <c r="W797">
        <f>_xlfn.NUMBERVALUE("-0.014417")</f>
        <v/>
      </c>
      <c r="X797">
        <f>_xlfn.NUMBERVALUE("2.620000")</f>
        <v/>
      </c>
      <c r="Y797">
        <f>_xlfn.NUMBERVALUE("22.470000")</f>
        <v/>
      </c>
    </row>
    <row r="798">
      <c r="A798" s="1" t="n">
        <v>43161</v>
      </c>
      <c r="B798">
        <f>_xlfn.NUMBERVALUE("0.000000")</f>
        <v/>
      </c>
      <c r="C798" s="2">
        <f>_xlfn.NUMBERVALUE("0.002294")</f>
        <v/>
      </c>
      <c r="D798">
        <f>_xlfn.NUMBERVALUE("0.005486")</f>
        <v/>
      </c>
      <c r="E798">
        <f>_xlfn.NUMBERVALUE("0.000825")</f>
        <v/>
      </c>
      <c r="F798">
        <f>_xlfn.NUMBERVALUE("0.002595")</f>
        <v/>
      </c>
      <c r="G798">
        <f>_xlfn.NUMBERVALUE("0.001833")</f>
        <v/>
      </c>
      <c r="H798">
        <f>_xlfn.NUMBERVALUE("-0.000734")</f>
        <v/>
      </c>
      <c r="I798">
        <f>_xlfn.NUMBERVALUE("0.001688")</f>
        <v/>
      </c>
      <c r="J798">
        <f>_xlfn.NUMBERVALUE("-0.000023")</f>
        <v/>
      </c>
      <c r="K798">
        <f>_xlfn.NUMBERVALUE("0.002594")</f>
        <v/>
      </c>
      <c r="L798">
        <f>_xlfn.NUMBERVALUE("-0.002259")</f>
        <v/>
      </c>
      <c r="M798">
        <f>_xlfn.NUMBERVALUE("0.003313")</f>
        <v/>
      </c>
      <c r="N798">
        <f>_xlfn.NUMBERVALUE("0.000000")</f>
        <v/>
      </c>
      <c r="O798">
        <f>_xlfn.NUMBERVALUE("0.003817")</f>
        <v/>
      </c>
      <c r="P798">
        <f>_xlfn.NUMBERVALUE("0.003320")</f>
        <v/>
      </c>
      <c r="Q798">
        <f>_xlfn.NUMBERVALUE("0.003407")</f>
        <v/>
      </c>
      <c r="R798">
        <f>_xlfn.NUMBERVALUE("0.002402")</f>
        <v/>
      </c>
      <c r="S798">
        <f>_xlfn.NUMBERVALUE("0.000414")</f>
        <v/>
      </c>
      <c r="T798">
        <f>_xlfn.NUMBERVALUE("0.002295")</f>
        <v/>
      </c>
      <c r="U798">
        <f>_xlfn.NUMBERVALUE("0.007431")</f>
        <v/>
      </c>
      <c r="V798">
        <f>_xlfn.NUMBERVALUE("0.001004")</f>
        <v/>
      </c>
      <c r="W798">
        <f>_xlfn.NUMBERVALUE("0.005709")</f>
        <v/>
      </c>
      <c r="X798">
        <f>_xlfn.NUMBERVALUE("-2.880000")</f>
        <v/>
      </c>
      <c r="Y798">
        <f>_xlfn.NUMBERVALUE("19.590000")</f>
        <v/>
      </c>
    </row>
    <row r="799">
      <c r="A799" s="1" t="n">
        <v>43164</v>
      </c>
      <c r="B799">
        <f>_xlfn.NUMBERVALUE("0.000000")</f>
        <v/>
      </c>
      <c r="C799" s="2">
        <f>_xlfn.NUMBERVALUE("0.001005")</f>
        <v/>
      </c>
      <c r="D799">
        <f>_xlfn.NUMBERVALUE("0.004383")</f>
        <v/>
      </c>
      <c r="E799">
        <f>_xlfn.NUMBERVALUE("-0.000176")</f>
        <v/>
      </c>
      <c r="F799">
        <f>_xlfn.NUMBERVALUE("0.002086")</f>
        <v/>
      </c>
      <c r="G799">
        <f>_xlfn.NUMBERVALUE("0.002462")</f>
        <v/>
      </c>
      <c r="H799">
        <f>_xlfn.NUMBERVALUE("0.000627")</f>
        <v/>
      </c>
      <c r="I799">
        <f>_xlfn.NUMBERVALUE("0.005049")</f>
        <v/>
      </c>
      <c r="J799">
        <f>_xlfn.NUMBERVALUE("-0.000017")</f>
        <v/>
      </c>
      <c r="K799">
        <f>_xlfn.NUMBERVALUE("0.006708")</f>
        <v/>
      </c>
      <c r="L799">
        <f>_xlfn.NUMBERVALUE("0.001624")</f>
        <v/>
      </c>
      <c r="M799">
        <f>_xlfn.NUMBERVALUE("0.002088")</f>
        <v/>
      </c>
      <c r="N799">
        <f>_xlfn.NUMBERVALUE("0.000000")</f>
        <v/>
      </c>
      <c r="O799">
        <f>_xlfn.NUMBERVALUE("0.001719")</f>
        <v/>
      </c>
      <c r="P799">
        <f>_xlfn.NUMBERVALUE("0.000730")</f>
        <v/>
      </c>
      <c r="Q799">
        <f>_xlfn.NUMBERVALUE("0.002414")</f>
        <v/>
      </c>
      <c r="R799">
        <f>_xlfn.NUMBERVALUE("0.001264")</f>
        <v/>
      </c>
      <c r="S799">
        <f>_xlfn.NUMBERVALUE("0.001391")</f>
        <v/>
      </c>
      <c r="T799">
        <f>_xlfn.NUMBERVALUE("-0.003856")</f>
        <v/>
      </c>
      <c r="U799">
        <f>_xlfn.NUMBERVALUE("0.000385")</f>
        <v/>
      </c>
      <c r="V799">
        <f>_xlfn.NUMBERVALUE("0.001011")</f>
        <v/>
      </c>
      <c r="W799">
        <f>_xlfn.NUMBERVALUE("0.010834")</f>
        <v/>
      </c>
      <c r="X799">
        <f>_xlfn.NUMBERVALUE("-0.860000")</f>
        <v/>
      </c>
      <c r="Y799">
        <f>_xlfn.NUMBERVALUE("18.730000")</f>
        <v/>
      </c>
    </row>
    <row r="800">
      <c r="A800" s="1" t="n">
        <v>43165</v>
      </c>
      <c r="B800">
        <f>_xlfn.NUMBERVALUE("0.000000")</f>
        <v/>
      </c>
      <c r="C800" s="2">
        <f>_xlfn.NUMBERVALUE("-0.000052")</f>
        <v/>
      </c>
      <c r="D800">
        <f>_xlfn.NUMBERVALUE("0.001925")</f>
        <v/>
      </c>
      <c r="E800">
        <f>_xlfn.NUMBERVALUE("-0.000036")</f>
        <v/>
      </c>
      <c r="F800">
        <f>_xlfn.NUMBERVALUE("0.002197")</f>
        <v/>
      </c>
      <c r="G800">
        <f>_xlfn.NUMBERVALUE("0.001300")</f>
        <v/>
      </c>
      <c r="H800">
        <f>_xlfn.NUMBERVALUE("0.000029")</f>
        <v/>
      </c>
      <c r="I800">
        <f>_xlfn.NUMBERVALUE("-0.002497")</f>
        <v/>
      </c>
      <c r="J800">
        <f>_xlfn.NUMBERVALUE("-0.000006")</f>
        <v/>
      </c>
      <c r="K800">
        <f>_xlfn.NUMBERVALUE("-0.011199")</f>
        <v/>
      </c>
      <c r="L800">
        <f>_xlfn.NUMBERVALUE("0.000413")</f>
        <v/>
      </c>
      <c r="M800">
        <f>_xlfn.NUMBERVALUE("-0.000564")</f>
        <v/>
      </c>
      <c r="N800">
        <f>_xlfn.NUMBERVALUE("0.000000")</f>
        <v/>
      </c>
      <c r="O800">
        <f>_xlfn.NUMBERVALUE("0.001129")</f>
        <v/>
      </c>
      <c r="P800">
        <f>_xlfn.NUMBERVALUE("0.002022")</f>
        <v/>
      </c>
      <c r="Q800">
        <f>_xlfn.NUMBERVALUE("0.001894")</f>
        <v/>
      </c>
      <c r="R800">
        <f>_xlfn.NUMBERVALUE("0.000612")</f>
        <v/>
      </c>
      <c r="S800">
        <f>_xlfn.NUMBERVALUE("0.001278")</f>
        <v/>
      </c>
      <c r="T800">
        <f>_xlfn.NUMBERVALUE("0.000393")</f>
        <v/>
      </c>
      <c r="U800">
        <f>_xlfn.NUMBERVALUE("0.002212")</f>
        <v/>
      </c>
      <c r="V800">
        <f>_xlfn.NUMBERVALUE("0.000274")</f>
        <v/>
      </c>
      <c r="W800">
        <f>_xlfn.NUMBERVALUE("0.000248")</f>
        <v/>
      </c>
      <c r="X800">
        <f>_xlfn.NUMBERVALUE("-0.370000")</f>
        <v/>
      </c>
      <c r="Y800">
        <f>_xlfn.NUMBERVALUE("18.360000")</f>
        <v/>
      </c>
    </row>
    <row r="801">
      <c r="A801" s="1" t="n">
        <v>43166</v>
      </c>
      <c r="B801">
        <f>_xlfn.NUMBERVALUE("0.000000")</f>
        <v/>
      </c>
      <c r="C801" s="2">
        <f>_xlfn.NUMBERVALUE("0.000652")</f>
        <v/>
      </c>
      <c r="D801">
        <f>_xlfn.NUMBERVALUE("0.000869")</f>
        <v/>
      </c>
      <c r="E801">
        <f>_xlfn.NUMBERVALUE("0.000777")</f>
        <v/>
      </c>
      <c r="F801">
        <f>_xlfn.NUMBERVALUE("-0.000585")</f>
        <v/>
      </c>
      <c r="G801">
        <f>_xlfn.NUMBERVALUE("0.000888")</f>
        <v/>
      </c>
      <c r="H801">
        <f>_xlfn.NUMBERVALUE("-0.000117")</f>
        <v/>
      </c>
      <c r="I801">
        <f>_xlfn.NUMBERVALUE("-0.002095")</f>
        <v/>
      </c>
      <c r="J801">
        <f>_xlfn.NUMBERVALUE("0.000886")</f>
        <v/>
      </c>
      <c r="K801">
        <f>_xlfn.NUMBERVALUE("-0.000403")</f>
        <v/>
      </c>
      <c r="L801">
        <f>_xlfn.NUMBERVALUE("-0.000035")</f>
        <v/>
      </c>
      <c r="M801">
        <f>_xlfn.NUMBERVALUE("0.001998")</f>
        <v/>
      </c>
      <c r="N801">
        <f>_xlfn.NUMBERVALUE("0.000000")</f>
        <v/>
      </c>
      <c r="O801">
        <f>_xlfn.NUMBERVALUE("0.000763")</f>
        <v/>
      </c>
      <c r="P801">
        <f>_xlfn.NUMBERVALUE("0.001901")</f>
        <v/>
      </c>
      <c r="Q801">
        <f>_xlfn.NUMBERVALUE("0.002154")</f>
        <v/>
      </c>
      <c r="R801">
        <f>_xlfn.NUMBERVALUE("0.000020")</f>
        <v/>
      </c>
      <c r="S801">
        <f>_xlfn.NUMBERVALUE("-0.000857")</f>
        <v/>
      </c>
      <c r="T801">
        <f>_xlfn.NUMBERVALUE("0.002020")</f>
        <v/>
      </c>
      <c r="U801">
        <f>_xlfn.NUMBERVALUE("0.000920")</f>
        <v/>
      </c>
      <c r="V801">
        <f>_xlfn.NUMBERVALUE("0.001049")</f>
        <v/>
      </c>
      <c r="W801">
        <f>_xlfn.NUMBERVALUE("0.001156")</f>
        <v/>
      </c>
      <c r="X801">
        <f>_xlfn.NUMBERVALUE("-0.600000")</f>
        <v/>
      </c>
      <c r="Y801">
        <f>_xlfn.NUMBERVALUE("17.760000")</f>
        <v/>
      </c>
    </row>
    <row r="802">
      <c r="A802" s="1" t="n">
        <v>43167</v>
      </c>
      <c r="B802">
        <f>_xlfn.NUMBERVALUE("0.000000")</f>
        <v/>
      </c>
      <c r="C802" s="2">
        <f>_xlfn.NUMBERVALUE("0.001394")</f>
        <v/>
      </c>
      <c r="D802">
        <f>_xlfn.NUMBERVALUE("0.002070")</f>
        <v/>
      </c>
      <c r="E802">
        <f>_xlfn.NUMBERVALUE("0.001865")</f>
        <v/>
      </c>
      <c r="F802">
        <f>_xlfn.NUMBERVALUE("0.001836")</f>
        <v/>
      </c>
      <c r="G802">
        <f>_xlfn.NUMBERVALUE("0.000928")</f>
        <v/>
      </c>
      <c r="H802">
        <f>_xlfn.NUMBERVALUE("0.000562")</f>
        <v/>
      </c>
      <c r="I802">
        <f>_xlfn.NUMBERVALUE("0.001202")</f>
        <v/>
      </c>
      <c r="J802">
        <f>_xlfn.NUMBERVALUE("0.000900")</f>
        <v/>
      </c>
      <c r="K802">
        <f>_xlfn.NUMBERVALUE("0.002388")</f>
        <v/>
      </c>
      <c r="L802">
        <f>_xlfn.NUMBERVALUE("0.000637")</f>
        <v/>
      </c>
      <c r="M802">
        <f>_xlfn.NUMBERVALUE("0.004884")</f>
        <v/>
      </c>
      <c r="N802">
        <f>_xlfn.NUMBERVALUE("0.000000")</f>
        <v/>
      </c>
      <c r="O802">
        <f>_xlfn.NUMBERVALUE("0.000231")</f>
        <v/>
      </c>
      <c r="P802">
        <f>_xlfn.NUMBERVALUE("0.001637")</f>
        <v/>
      </c>
      <c r="Q802">
        <f>_xlfn.NUMBERVALUE("0.003450")</f>
        <v/>
      </c>
      <c r="R802">
        <f>_xlfn.NUMBERVALUE("-0.000004")</f>
        <v/>
      </c>
      <c r="S802">
        <f>_xlfn.NUMBERVALUE("0.000614")</f>
        <v/>
      </c>
      <c r="T802">
        <f>_xlfn.NUMBERVALUE("0.002295")</f>
        <v/>
      </c>
      <c r="U802">
        <f>_xlfn.NUMBERVALUE("0.003089")</f>
        <v/>
      </c>
      <c r="V802">
        <f>_xlfn.NUMBERVALUE("0.001237")</f>
        <v/>
      </c>
      <c r="W802">
        <f>_xlfn.NUMBERVALUE("0.002602")</f>
        <v/>
      </c>
      <c r="X802">
        <f>_xlfn.NUMBERVALUE("-1.220000")</f>
        <v/>
      </c>
      <c r="Y802">
        <f>_xlfn.NUMBERVALUE("16.540000")</f>
        <v/>
      </c>
    </row>
    <row r="803">
      <c r="A803" s="1" t="n">
        <v>43168</v>
      </c>
      <c r="B803">
        <f>_xlfn.NUMBERVALUE("0.000000")</f>
        <v/>
      </c>
      <c r="C803" s="2">
        <f>_xlfn.NUMBERVALUE("-0.000498")</f>
        <v/>
      </c>
      <c r="D803">
        <f>_xlfn.NUMBERVALUE("-0.001571")</f>
        <v/>
      </c>
      <c r="E803">
        <f>_xlfn.NUMBERVALUE("0.003163")</f>
        <v/>
      </c>
      <c r="F803">
        <f>_xlfn.NUMBERVALUE("0.001355")</f>
        <v/>
      </c>
      <c r="G803">
        <f>_xlfn.NUMBERVALUE("0.001992")</f>
        <v/>
      </c>
      <c r="H803">
        <f>_xlfn.NUMBERVALUE("0.000557")</f>
        <v/>
      </c>
      <c r="I803">
        <f>_xlfn.NUMBERVALUE("-0.000676")</f>
        <v/>
      </c>
      <c r="J803">
        <f>_xlfn.NUMBERVALUE("0.000528")</f>
        <v/>
      </c>
      <c r="K803">
        <f>_xlfn.NUMBERVALUE("0.002690")</f>
        <v/>
      </c>
      <c r="L803">
        <f>_xlfn.NUMBERVALUE("0.001942")</f>
        <v/>
      </c>
      <c r="M803">
        <f>_xlfn.NUMBERVALUE("-0.010719")</f>
        <v/>
      </c>
      <c r="N803">
        <f>_xlfn.NUMBERVALUE("0.000000")</f>
        <v/>
      </c>
      <c r="O803">
        <f>_xlfn.NUMBERVALUE("0.001047")</f>
        <v/>
      </c>
      <c r="P803">
        <f>_xlfn.NUMBERVALUE("-0.004488")</f>
        <v/>
      </c>
      <c r="Q803">
        <f>_xlfn.NUMBERVALUE("-0.013348")</f>
        <v/>
      </c>
      <c r="R803">
        <f>_xlfn.NUMBERVALUE("-0.000006")</f>
        <v/>
      </c>
      <c r="S803">
        <f>_xlfn.NUMBERVALUE("0.000443")</f>
        <v/>
      </c>
      <c r="T803">
        <f>_xlfn.NUMBERVALUE("0.000348")</f>
        <v/>
      </c>
      <c r="U803">
        <f>_xlfn.NUMBERVALUE("-0.009498")</f>
        <v/>
      </c>
      <c r="V803">
        <f>_xlfn.NUMBERVALUE("-0.002519")</f>
        <v/>
      </c>
      <c r="W803">
        <f>_xlfn.NUMBERVALUE("0.018311")</f>
        <v/>
      </c>
      <c r="X803">
        <f>_xlfn.NUMBERVALUE("-1.900000")</f>
        <v/>
      </c>
      <c r="Y803">
        <f>_xlfn.NUMBERVALUE("14.640000")</f>
        <v/>
      </c>
    </row>
    <row r="804">
      <c r="A804" s="1" t="n">
        <v>43171</v>
      </c>
      <c r="B804">
        <f>_xlfn.NUMBERVALUE("-0.038649")</f>
        <v/>
      </c>
      <c r="C804" s="2">
        <f>_xlfn.NUMBERVALUE("0.000172")</f>
        <v/>
      </c>
      <c r="D804">
        <f>_xlfn.NUMBERVALUE("0.001215")</f>
        <v/>
      </c>
      <c r="E804">
        <f>_xlfn.NUMBERVALUE("0.001077")</f>
        <v/>
      </c>
      <c r="F804">
        <f>_xlfn.NUMBERVALUE("0.000836")</f>
        <v/>
      </c>
      <c r="G804">
        <f>_xlfn.NUMBERVALUE("-0.000634")</f>
        <v/>
      </c>
      <c r="H804">
        <f>_xlfn.NUMBERVALUE("0.000656")</f>
        <v/>
      </c>
      <c r="I804">
        <f>_xlfn.NUMBERVALUE("-0.000147")</f>
        <v/>
      </c>
      <c r="J804">
        <f>_xlfn.NUMBERVALUE("0.001413")</f>
        <v/>
      </c>
      <c r="K804">
        <f>_xlfn.NUMBERVALUE("0.000765")</f>
        <v/>
      </c>
      <c r="L804">
        <f>_xlfn.NUMBERVALUE("0.000914")</f>
        <v/>
      </c>
      <c r="M804">
        <f>_xlfn.NUMBERVALUE("0.001863")</f>
        <v/>
      </c>
      <c r="N804">
        <f>_xlfn.NUMBERVALUE("0.000000")</f>
        <v/>
      </c>
      <c r="O804">
        <f>_xlfn.NUMBERVALUE("0.001985")</f>
        <v/>
      </c>
      <c r="P804">
        <f>_xlfn.NUMBERVALUE("0.001676")</f>
        <v/>
      </c>
      <c r="Q804">
        <f>_xlfn.NUMBERVALUE("-0.000663")</f>
        <v/>
      </c>
      <c r="R804">
        <f>_xlfn.NUMBERVALUE("-0.001855")</f>
        <v/>
      </c>
      <c r="S804">
        <f>_xlfn.NUMBERVALUE("0.001332")</f>
        <v/>
      </c>
      <c r="T804">
        <f>_xlfn.NUMBERVALUE("-0.000082")</f>
        <v/>
      </c>
      <c r="U804">
        <f>_xlfn.NUMBERVALUE("-0.000161")</f>
        <v/>
      </c>
      <c r="V804">
        <f>_xlfn.NUMBERVALUE("-0.000016")</f>
        <v/>
      </c>
      <c r="W804">
        <f>_xlfn.NUMBERVALUE("0.001023")</f>
        <v/>
      </c>
      <c r="X804">
        <f>_xlfn.NUMBERVALUE("1.140000")</f>
        <v/>
      </c>
      <c r="Y804">
        <f>_xlfn.NUMBERVALUE("15.780000")</f>
        <v/>
      </c>
    </row>
    <row r="805">
      <c r="A805" s="1" t="n">
        <v>43172</v>
      </c>
      <c r="B805">
        <f>_xlfn.NUMBERVALUE("-0.133031")</f>
        <v/>
      </c>
      <c r="C805" s="2">
        <f>_xlfn.NUMBERVALUE("-0.000091")</f>
        <v/>
      </c>
      <c r="D805">
        <f>_xlfn.NUMBERVALUE("-0.000470")</f>
        <v/>
      </c>
      <c r="E805">
        <f>_xlfn.NUMBERVALUE("-0.001125")</f>
        <v/>
      </c>
      <c r="F805">
        <f>_xlfn.NUMBERVALUE("0.001242")</f>
        <v/>
      </c>
      <c r="G805">
        <f>_xlfn.NUMBERVALUE("-0.000297")</f>
        <v/>
      </c>
      <c r="H805">
        <f>_xlfn.NUMBERVALUE("-0.000151")</f>
        <v/>
      </c>
      <c r="I805">
        <f>_xlfn.NUMBERVALUE("0.000653")</f>
        <v/>
      </c>
      <c r="J805">
        <f>_xlfn.NUMBERVALUE("0.000419")</f>
        <v/>
      </c>
      <c r="K805">
        <f>_xlfn.NUMBERVALUE("0.001507")</f>
        <v/>
      </c>
      <c r="L805">
        <f>_xlfn.NUMBERVALUE("0.000413")</f>
        <v/>
      </c>
      <c r="M805">
        <f>_xlfn.NUMBERVALUE("0.000015")</f>
        <v/>
      </c>
      <c r="N805">
        <f>_xlfn.NUMBERVALUE("0.000000")</f>
        <v/>
      </c>
      <c r="O805">
        <f>_xlfn.NUMBERVALUE("-0.000137")</f>
        <v/>
      </c>
      <c r="P805">
        <f>_xlfn.NUMBERVALUE("-0.001219")</f>
        <v/>
      </c>
      <c r="Q805">
        <f>_xlfn.NUMBERVALUE("-0.000225")</f>
        <v/>
      </c>
      <c r="R805">
        <f>_xlfn.NUMBERVALUE("-0.001228")</f>
        <v/>
      </c>
      <c r="S805">
        <f>_xlfn.NUMBERVALUE("0.000529")</f>
        <v/>
      </c>
      <c r="T805">
        <f>_xlfn.NUMBERVALUE("0.001046")</f>
        <v/>
      </c>
      <c r="U805">
        <f>_xlfn.NUMBERVALUE("-0.000254")</f>
        <v/>
      </c>
      <c r="V805">
        <f>_xlfn.NUMBERVALUE("0.000210")</f>
        <v/>
      </c>
      <c r="W805">
        <f>_xlfn.NUMBERVALUE("-0.008085")</f>
        <v/>
      </c>
      <c r="X805">
        <f>_xlfn.NUMBERVALUE("0.570000")</f>
        <v/>
      </c>
      <c r="Y805">
        <f>_xlfn.NUMBERVALUE("16.350000")</f>
        <v/>
      </c>
    </row>
    <row r="806">
      <c r="A806" s="1" t="n">
        <v>43173</v>
      </c>
      <c r="B806">
        <f>_xlfn.NUMBERVALUE("0.000000")</f>
        <v/>
      </c>
      <c r="C806" s="2">
        <f>_xlfn.NUMBERVALUE("0.000599")</f>
        <v/>
      </c>
      <c r="D806">
        <f>_xlfn.NUMBERVALUE("0.000388")</f>
        <v/>
      </c>
      <c r="E806">
        <f>_xlfn.NUMBERVALUE("0.001141")</f>
        <v/>
      </c>
      <c r="F806">
        <f>_xlfn.NUMBERVALUE("0.000649")</f>
        <v/>
      </c>
      <c r="G806">
        <f>_xlfn.NUMBERVALUE("0.001175")</f>
        <v/>
      </c>
      <c r="H806">
        <f>_xlfn.NUMBERVALUE("0.000005")</f>
        <v/>
      </c>
      <c r="I806">
        <f>_xlfn.NUMBERVALUE("0.000600")</f>
        <v/>
      </c>
      <c r="J806">
        <f>_xlfn.NUMBERVALUE("-0.000144")</f>
        <v/>
      </c>
      <c r="K806">
        <f>_xlfn.NUMBERVALUE("0.001134")</f>
        <v/>
      </c>
      <c r="L806">
        <f>_xlfn.NUMBERVALUE("-0.000252")</f>
        <v/>
      </c>
      <c r="M806">
        <f>_xlfn.NUMBERVALUE("-0.000094")</f>
        <v/>
      </c>
      <c r="N806">
        <f>_xlfn.NUMBERVALUE("0.000000")</f>
        <v/>
      </c>
      <c r="O806">
        <f>_xlfn.NUMBERVALUE("0.001994")</f>
        <v/>
      </c>
      <c r="P806">
        <f>_xlfn.NUMBERVALUE("-0.000810")</f>
        <v/>
      </c>
      <c r="Q806">
        <f>_xlfn.NUMBERVALUE("-0.000681")</f>
        <v/>
      </c>
      <c r="R806">
        <f>_xlfn.NUMBERVALUE("0.000527")</f>
        <v/>
      </c>
      <c r="S806">
        <f>_xlfn.NUMBERVALUE("0.000443")</f>
        <v/>
      </c>
      <c r="T806">
        <f>_xlfn.NUMBERVALUE("-0.000525")</f>
        <v/>
      </c>
      <c r="U806">
        <f>_xlfn.NUMBERVALUE("0.001056")</f>
        <v/>
      </c>
      <c r="V806">
        <f>_xlfn.NUMBERVALUE("0.001105")</f>
        <v/>
      </c>
      <c r="W806">
        <f>_xlfn.NUMBERVALUE("-0.005097")</f>
        <v/>
      </c>
      <c r="X806">
        <f>_xlfn.NUMBERVALUE("0.880000")</f>
        <v/>
      </c>
      <c r="Y806">
        <f>_xlfn.NUMBERVALUE("17.230000")</f>
        <v/>
      </c>
    </row>
    <row r="807">
      <c r="A807" s="1" t="n">
        <v>43174</v>
      </c>
      <c r="B807">
        <f>_xlfn.NUMBERVALUE("0.000000")</f>
        <v/>
      </c>
      <c r="C807" s="2">
        <f>_xlfn.NUMBERVALUE("0.000749")</f>
        <v/>
      </c>
      <c r="D807">
        <f>_xlfn.NUMBERVALUE("0.002988")</f>
        <v/>
      </c>
      <c r="E807">
        <f>_xlfn.NUMBERVALUE("0.001484")</f>
        <v/>
      </c>
      <c r="F807">
        <f>_xlfn.NUMBERVALUE("-0.000394")</f>
        <v/>
      </c>
      <c r="G807">
        <f>_xlfn.NUMBERVALUE("0.001045")</f>
        <v/>
      </c>
      <c r="H807">
        <f>_xlfn.NUMBERVALUE("0.001609")</f>
        <v/>
      </c>
      <c r="I807">
        <f>_xlfn.NUMBERVALUE("0.002125")</f>
        <v/>
      </c>
      <c r="J807">
        <f>_xlfn.NUMBERVALUE("0.000511")</f>
        <v/>
      </c>
      <c r="K807">
        <f>_xlfn.NUMBERVALUE("-0.000266")</f>
        <v/>
      </c>
      <c r="L807">
        <f>_xlfn.NUMBERVALUE("0.000187")</f>
        <v/>
      </c>
      <c r="M807">
        <f>_xlfn.NUMBERVALUE("-0.001110")</f>
        <v/>
      </c>
      <c r="N807">
        <f>_xlfn.NUMBERVALUE("0.000000")</f>
        <v/>
      </c>
      <c r="O807">
        <f>_xlfn.NUMBERVALUE("0.000726")</f>
        <v/>
      </c>
      <c r="P807">
        <f>_xlfn.NUMBERVALUE("0.002137")</f>
        <v/>
      </c>
      <c r="Q807">
        <f>_xlfn.NUMBERVALUE("0.001457")</f>
        <v/>
      </c>
      <c r="R807">
        <f>_xlfn.NUMBERVALUE("0.002174")</f>
        <v/>
      </c>
      <c r="S807">
        <f>_xlfn.NUMBERVALUE("-0.000349")</f>
        <v/>
      </c>
      <c r="T807">
        <f>_xlfn.NUMBERVALUE("0.000882")</f>
        <v/>
      </c>
      <c r="U807">
        <f>_xlfn.NUMBERVALUE("0.001973")</f>
        <v/>
      </c>
      <c r="V807">
        <f>_xlfn.NUMBERVALUE("0.002152")</f>
        <v/>
      </c>
      <c r="W807">
        <f>_xlfn.NUMBERVALUE("-0.000218")</f>
        <v/>
      </c>
      <c r="X807">
        <f>_xlfn.NUMBERVALUE("-0.640000")</f>
        <v/>
      </c>
      <c r="Y807">
        <f>_xlfn.NUMBERVALUE("16.590000")</f>
        <v/>
      </c>
    </row>
    <row r="808">
      <c r="A808" s="1" t="n">
        <v>43175</v>
      </c>
      <c r="B808">
        <f>_xlfn.NUMBERVALUE("0.000000")</f>
        <v/>
      </c>
      <c r="C808" s="2">
        <f>_xlfn.NUMBERVALUE("0.002200")</f>
        <v/>
      </c>
      <c r="D808">
        <f>_xlfn.NUMBERVALUE("0.002588")</f>
        <v/>
      </c>
      <c r="E808">
        <f>_xlfn.NUMBERVALUE("0.002046")</f>
        <v/>
      </c>
      <c r="F808">
        <f>_xlfn.NUMBERVALUE("0.000914")</f>
        <v/>
      </c>
      <c r="G808">
        <f>_xlfn.NUMBERVALUE("0.000796")</f>
        <v/>
      </c>
      <c r="H808">
        <f>_xlfn.NUMBERVALUE("-0.000505")</f>
        <v/>
      </c>
      <c r="I808">
        <f>_xlfn.NUMBERVALUE("0.001917")</f>
        <v/>
      </c>
      <c r="J808">
        <f>_xlfn.NUMBERVALUE("0.000235")</f>
        <v/>
      </c>
      <c r="K808">
        <f>_xlfn.NUMBERVALUE("0.001044")</f>
        <v/>
      </c>
      <c r="L808">
        <f>_xlfn.NUMBERVALUE("0.000285")</f>
        <v/>
      </c>
      <c r="M808">
        <f>_xlfn.NUMBERVALUE("0.003855")</f>
        <v/>
      </c>
      <c r="N808">
        <f>_xlfn.NUMBERVALUE("0.000000")</f>
        <v/>
      </c>
      <c r="O808">
        <f>_xlfn.NUMBERVALUE("0.004319")</f>
        <v/>
      </c>
      <c r="P808">
        <f>_xlfn.NUMBERVALUE("0.003298")</f>
        <v/>
      </c>
      <c r="Q808">
        <f>_xlfn.NUMBERVALUE("0.003853")</f>
        <v/>
      </c>
      <c r="R808">
        <f>_xlfn.NUMBERVALUE("0.003192")</f>
        <v/>
      </c>
      <c r="S808">
        <f>_xlfn.NUMBERVALUE("0.003527")</f>
        <v/>
      </c>
      <c r="T808">
        <f>_xlfn.NUMBERVALUE("-0.002000")</f>
        <v/>
      </c>
      <c r="U808">
        <f>_xlfn.NUMBERVALUE("0.003081")</f>
        <v/>
      </c>
      <c r="V808">
        <f>_xlfn.NUMBERVALUE("0.000361")</f>
        <v/>
      </c>
      <c r="W808">
        <f>_xlfn.NUMBERVALUE("-0.001018")</f>
        <v/>
      </c>
      <c r="X808">
        <f>_xlfn.NUMBERVALUE("-0.790000")</f>
        <v/>
      </c>
      <c r="Y808">
        <f>_xlfn.NUMBERVALUE("15.800000")</f>
        <v/>
      </c>
    </row>
    <row r="809">
      <c r="A809" s="1" t="n">
        <v>43178</v>
      </c>
      <c r="B809">
        <f>_xlfn.NUMBERVALUE("0.000000")</f>
        <v/>
      </c>
      <c r="C809" s="2">
        <f>_xlfn.NUMBERVALUE("-0.004952")</f>
        <v/>
      </c>
      <c r="D809">
        <f>_xlfn.NUMBERVALUE("-0.002357")</f>
        <v/>
      </c>
      <c r="E809">
        <f>_xlfn.NUMBERVALUE("-0.002567")</f>
        <v/>
      </c>
      <c r="F809">
        <f>_xlfn.NUMBERVALUE("-0.001104")</f>
        <v/>
      </c>
      <c r="G809">
        <f>_xlfn.NUMBERVALUE("-0.000849")</f>
        <v/>
      </c>
      <c r="H809">
        <f>_xlfn.NUMBERVALUE("0.000138")</f>
        <v/>
      </c>
      <c r="I809">
        <f>_xlfn.NUMBERVALUE("-0.002876")</f>
        <v/>
      </c>
      <c r="J809">
        <f>_xlfn.NUMBERVALUE("0.000142")</f>
        <v/>
      </c>
      <c r="K809">
        <f>_xlfn.NUMBERVALUE("-0.001291")</f>
        <v/>
      </c>
      <c r="L809">
        <f>_xlfn.NUMBERVALUE("-0.001827")</f>
        <v/>
      </c>
      <c r="M809">
        <f>_xlfn.NUMBERVALUE("-0.002647")</f>
        <v/>
      </c>
      <c r="N809">
        <f>_xlfn.NUMBERVALUE("0.000000")</f>
        <v/>
      </c>
      <c r="O809">
        <f>_xlfn.NUMBERVALUE("-0.004728")</f>
        <v/>
      </c>
      <c r="P809">
        <f>_xlfn.NUMBERVALUE("-0.002486")</f>
        <v/>
      </c>
      <c r="Q809">
        <f>_xlfn.NUMBERVALUE("-0.003018")</f>
        <v/>
      </c>
      <c r="R809">
        <f>_xlfn.NUMBERVALUE("-0.005758")</f>
        <v/>
      </c>
      <c r="S809">
        <f>_xlfn.NUMBERVALUE("-0.001960")</f>
        <v/>
      </c>
      <c r="T809">
        <f>_xlfn.NUMBERVALUE("-0.001035")</f>
        <v/>
      </c>
      <c r="U809">
        <f>_xlfn.NUMBERVALUE("-0.004665")</f>
        <v/>
      </c>
      <c r="V809">
        <f>_xlfn.NUMBERVALUE("-0.005385")</f>
        <v/>
      </c>
      <c r="W809">
        <f>_xlfn.NUMBERVALUE("-0.015097")</f>
        <v/>
      </c>
      <c r="X809">
        <f>_xlfn.NUMBERVALUE("3.220000")</f>
        <v/>
      </c>
      <c r="Y809">
        <f>_xlfn.NUMBERVALUE("19.020000")</f>
        <v/>
      </c>
    </row>
    <row r="810">
      <c r="A810" s="1" t="n">
        <v>43179</v>
      </c>
      <c r="B810">
        <f>_xlfn.NUMBERVALUE("0.000000")</f>
        <v/>
      </c>
      <c r="C810" s="2">
        <f>_xlfn.NUMBERVALUE("0.000237")</f>
        <v/>
      </c>
      <c r="D810">
        <f>_xlfn.NUMBERVALUE("-0.000964")</f>
        <v/>
      </c>
      <c r="E810">
        <f>_xlfn.NUMBERVALUE("0.002198")</f>
        <v/>
      </c>
      <c r="F810">
        <f>_xlfn.NUMBERVALUE("-0.000051")</f>
        <v/>
      </c>
      <c r="G810">
        <f>_xlfn.NUMBERVALUE("0.001146")</f>
        <v/>
      </c>
      <c r="H810">
        <f>_xlfn.NUMBERVALUE("-0.000061")</f>
        <v/>
      </c>
      <c r="I810">
        <f>_xlfn.NUMBERVALUE("0.001750")</f>
        <v/>
      </c>
      <c r="J810">
        <f>_xlfn.NUMBERVALUE("0.000482")</f>
        <v/>
      </c>
      <c r="K810">
        <f>_xlfn.NUMBERVALUE("-0.000410")</f>
        <v/>
      </c>
      <c r="L810">
        <f>_xlfn.NUMBERVALUE("0.001607")</f>
        <v/>
      </c>
      <c r="M810">
        <f>_xlfn.NUMBERVALUE("0.000161")</f>
        <v/>
      </c>
      <c r="N810">
        <f>_xlfn.NUMBERVALUE("0.000000")</f>
        <v/>
      </c>
      <c r="O810">
        <f>_xlfn.NUMBERVALUE("0.000987")</f>
        <v/>
      </c>
      <c r="P810">
        <f>_xlfn.NUMBERVALUE("0.001280")</f>
        <v/>
      </c>
      <c r="Q810">
        <f>_xlfn.NUMBERVALUE("0.001787")</f>
        <v/>
      </c>
      <c r="R810">
        <f>_xlfn.NUMBERVALUE("0.001205")</f>
        <v/>
      </c>
      <c r="S810">
        <f>_xlfn.NUMBERVALUE("0.000495")</f>
        <v/>
      </c>
      <c r="T810">
        <f>_xlfn.NUMBERVALUE("0.000786")</f>
        <v/>
      </c>
      <c r="U810">
        <f>_xlfn.NUMBERVALUE("0.001492")</f>
        <v/>
      </c>
      <c r="V810">
        <f>_xlfn.NUMBERVALUE("0.001129")</f>
        <v/>
      </c>
      <c r="W810">
        <f>_xlfn.NUMBERVALUE("0.000886")</f>
        <v/>
      </c>
      <c r="X810">
        <f>_xlfn.NUMBERVALUE("-0.820000")</f>
        <v/>
      </c>
      <c r="Y810">
        <f>_xlfn.NUMBERVALUE("18.200000")</f>
        <v/>
      </c>
    </row>
    <row r="811">
      <c r="A811" s="1" t="n">
        <v>43180</v>
      </c>
      <c r="B811">
        <f>_xlfn.NUMBERVALUE("0.000000")</f>
        <v/>
      </c>
      <c r="C811" s="2">
        <f>_xlfn.NUMBERVALUE("0.001865")</f>
        <v/>
      </c>
      <c r="D811">
        <f>_xlfn.NUMBERVALUE("0.001999")</f>
        <v/>
      </c>
      <c r="E811">
        <f>_xlfn.NUMBERVALUE("0.000657")</f>
        <v/>
      </c>
      <c r="F811">
        <f>_xlfn.NUMBERVALUE("-0.003685")</f>
        <v/>
      </c>
      <c r="G811">
        <f>_xlfn.NUMBERVALUE("-0.000064")</f>
        <v/>
      </c>
      <c r="H811">
        <f>_xlfn.NUMBERVALUE("0.000490")</f>
        <v/>
      </c>
      <c r="I811">
        <f>_xlfn.NUMBERVALUE("-0.000362")</f>
        <v/>
      </c>
      <c r="J811">
        <f>_xlfn.NUMBERVALUE("0.001028")</f>
        <v/>
      </c>
      <c r="K811">
        <f>_xlfn.NUMBERVALUE("-0.000721")</f>
        <v/>
      </c>
      <c r="L811">
        <f>_xlfn.NUMBERVALUE("0.000364")</f>
        <v/>
      </c>
      <c r="M811">
        <f>_xlfn.NUMBERVALUE("0.000547")</f>
        <v/>
      </c>
      <c r="N811">
        <f>_xlfn.NUMBERVALUE("0.000000")</f>
        <v/>
      </c>
      <c r="O811">
        <f>_xlfn.NUMBERVALUE("-0.007710")</f>
        <v/>
      </c>
      <c r="P811">
        <f>_xlfn.NUMBERVALUE("0.000056")</f>
        <v/>
      </c>
      <c r="Q811">
        <f>_xlfn.NUMBERVALUE("0.000963")</f>
        <v/>
      </c>
      <c r="R811">
        <f>_xlfn.NUMBERVALUE("0.000622")</f>
        <v/>
      </c>
      <c r="S811">
        <f>_xlfn.NUMBERVALUE("-0.000622")</f>
        <v/>
      </c>
      <c r="T811">
        <f>_xlfn.NUMBERVALUE("0.001509")</f>
        <v/>
      </c>
      <c r="U811">
        <f>_xlfn.NUMBERVALUE("0.001317")</f>
        <v/>
      </c>
      <c r="V811">
        <f>_xlfn.NUMBERVALUE("0.001517")</f>
        <v/>
      </c>
      <c r="W811">
        <f>_xlfn.NUMBERVALUE("-0.001550")</f>
        <v/>
      </c>
      <c r="X811">
        <f>_xlfn.NUMBERVALUE("-0.340000")</f>
        <v/>
      </c>
      <c r="Y811">
        <f>_xlfn.NUMBERVALUE("17.860000")</f>
        <v/>
      </c>
    </row>
    <row r="812">
      <c r="A812" s="1" t="n">
        <v>43181</v>
      </c>
      <c r="B812">
        <f>_xlfn.NUMBERVALUE("0.000000")</f>
        <v/>
      </c>
      <c r="C812" s="2">
        <f>_xlfn.NUMBERVALUE("-0.010093")</f>
        <v/>
      </c>
      <c r="D812">
        <f>_xlfn.NUMBERVALUE("-0.013689")</f>
        <v/>
      </c>
      <c r="E812">
        <f>_xlfn.NUMBERVALUE("-0.006052")</f>
        <v/>
      </c>
      <c r="F812">
        <f>_xlfn.NUMBERVALUE("-0.000473")</f>
        <v/>
      </c>
      <c r="G812">
        <f>_xlfn.NUMBERVALUE("-0.001767")</f>
        <v/>
      </c>
      <c r="H812">
        <f>_xlfn.NUMBERVALUE("-0.000749")</f>
        <v/>
      </c>
      <c r="I812">
        <f>_xlfn.NUMBERVALUE("-0.008521")</f>
        <v/>
      </c>
      <c r="J812">
        <f>_xlfn.NUMBERVALUE("-0.000499")</f>
        <v/>
      </c>
      <c r="K812">
        <f>_xlfn.NUMBERVALUE("-0.001921")</f>
        <v/>
      </c>
      <c r="L812">
        <f>_xlfn.NUMBERVALUE("-0.001129")</f>
        <v/>
      </c>
      <c r="M812">
        <f>_xlfn.NUMBERVALUE("-0.005452")</f>
        <v/>
      </c>
      <c r="N812">
        <f>_xlfn.NUMBERVALUE("0.000000")</f>
        <v/>
      </c>
      <c r="O812">
        <f>_xlfn.NUMBERVALUE("-0.004995")</f>
        <v/>
      </c>
      <c r="P812">
        <f>_xlfn.NUMBERVALUE("-0.010000")</f>
        <v/>
      </c>
      <c r="Q812">
        <f>_xlfn.NUMBERVALUE("-0.009672")</f>
        <v/>
      </c>
      <c r="R812">
        <f>_xlfn.NUMBERVALUE("-0.004264")</f>
        <v/>
      </c>
      <c r="S812">
        <f>_xlfn.NUMBERVALUE("-0.000765")</f>
        <v/>
      </c>
      <c r="T812">
        <f>_xlfn.NUMBERVALUE("-0.001265")</f>
        <v/>
      </c>
      <c r="U812">
        <f>_xlfn.NUMBERVALUE("-0.006351")</f>
        <v/>
      </c>
      <c r="V812">
        <f>_xlfn.NUMBERVALUE("-0.009332")</f>
        <v/>
      </c>
      <c r="W812">
        <f>_xlfn.NUMBERVALUE("-0.024394")</f>
        <v/>
      </c>
      <c r="X812">
        <f>_xlfn.NUMBERVALUE("5.480000")</f>
        <v/>
      </c>
      <c r="Y812">
        <f>_xlfn.NUMBERVALUE("23.340000")</f>
        <v/>
      </c>
    </row>
    <row r="813">
      <c r="A813" s="1" t="n">
        <v>43182</v>
      </c>
      <c r="B813">
        <f>_xlfn.NUMBERVALUE("0.000000")</f>
        <v/>
      </c>
      <c r="C813" s="2">
        <f>_xlfn.NUMBERVALUE("-0.001620")</f>
        <v/>
      </c>
      <c r="D813">
        <f>_xlfn.NUMBERVALUE("-0.003118")</f>
        <v/>
      </c>
      <c r="E813">
        <f>_xlfn.NUMBERVALUE("-0.002541")</f>
        <v/>
      </c>
      <c r="F813">
        <f>_xlfn.NUMBERVALUE("-0.004968")</f>
        <v/>
      </c>
      <c r="G813">
        <f>_xlfn.NUMBERVALUE("0.000328")</f>
        <v/>
      </c>
      <c r="H813">
        <f>_xlfn.NUMBERVALUE("0.000001")</f>
        <v/>
      </c>
      <c r="I813">
        <f>_xlfn.NUMBERVALUE("-0.008515")</f>
        <v/>
      </c>
      <c r="J813">
        <f>_xlfn.NUMBERVALUE("0.000404")</f>
        <v/>
      </c>
      <c r="K813">
        <f>_xlfn.NUMBERVALUE("-0.000133")</f>
        <v/>
      </c>
      <c r="L813">
        <f>_xlfn.NUMBERVALUE("0.001526")</f>
        <v/>
      </c>
      <c r="M813">
        <f>_xlfn.NUMBERVALUE("-0.001562")</f>
        <v/>
      </c>
      <c r="N813">
        <f>_xlfn.NUMBERVALUE("0.000000")</f>
        <v/>
      </c>
      <c r="O813">
        <f>_xlfn.NUMBERVALUE("-0.002632")</f>
        <v/>
      </c>
      <c r="P813">
        <f>_xlfn.NUMBERVALUE("-0.003336")</f>
        <v/>
      </c>
      <c r="Q813">
        <f>_xlfn.NUMBERVALUE("-0.001018")</f>
        <v/>
      </c>
      <c r="R813">
        <f>_xlfn.NUMBERVALUE("-0.001212")</f>
        <v/>
      </c>
      <c r="S813">
        <f>_xlfn.NUMBERVALUE("-0.000435")</f>
        <v/>
      </c>
      <c r="T813">
        <f>_xlfn.NUMBERVALUE("-0.001764")</f>
        <v/>
      </c>
      <c r="U813">
        <f>_xlfn.NUMBERVALUE("-0.003499")</f>
        <v/>
      </c>
      <c r="V813">
        <f>_xlfn.NUMBERVALUE("-0.003193")</f>
        <v/>
      </c>
      <c r="W813">
        <f>_xlfn.NUMBERVALUE("-0.020685")</f>
        <v/>
      </c>
      <c r="X813">
        <f>_xlfn.NUMBERVALUE("1.530000")</f>
        <v/>
      </c>
      <c r="Y813">
        <f>_xlfn.NUMBERVALUE("24.870000")</f>
        <v/>
      </c>
    </row>
    <row r="814">
      <c r="A814" s="1" t="n">
        <v>43185</v>
      </c>
      <c r="B814">
        <f>_xlfn.NUMBERVALUE("0.000000")</f>
        <v/>
      </c>
      <c r="C814" s="2">
        <f>_xlfn.NUMBERVALUE("0.000050")</f>
        <v/>
      </c>
      <c r="D814">
        <f>_xlfn.NUMBERVALUE("-0.002284")</f>
        <v/>
      </c>
      <c r="E814">
        <f>_xlfn.NUMBERVALUE("0.001618")</f>
        <v/>
      </c>
      <c r="F814">
        <f>_xlfn.NUMBERVALUE("0.001875")</f>
        <v/>
      </c>
      <c r="G814">
        <f>_xlfn.NUMBERVALUE("0.000061")</f>
        <v/>
      </c>
      <c r="H814">
        <f>_xlfn.NUMBERVALUE("0.001707")</f>
        <v/>
      </c>
      <c r="I814">
        <f>_xlfn.NUMBERVALUE("0.005016")</f>
        <v/>
      </c>
      <c r="J814">
        <f>_xlfn.NUMBERVALUE("-0.000008")</f>
        <v/>
      </c>
      <c r="K814">
        <f>_xlfn.NUMBERVALUE("0.003037")</f>
        <v/>
      </c>
      <c r="L814">
        <f>_xlfn.NUMBERVALUE("0.000523")</f>
        <v/>
      </c>
      <c r="M814">
        <f>_xlfn.NUMBERVALUE("0.001055")</f>
        <v/>
      </c>
      <c r="N814">
        <f>_xlfn.NUMBERVALUE("0.000000")</f>
        <v/>
      </c>
      <c r="O814">
        <f>_xlfn.NUMBERVALUE("0.003616")</f>
        <v/>
      </c>
      <c r="P814">
        <f>_xlfn.NUMBERVALUE("0.001484")</f>
        <v/>
      </c>
      <c r="Q814">
        <f>_xlfn.NUMBERVALUE("0.001611")</f>
        <v/>
      </c>
      <c r="R814">
        <f>_xlfn.NUMBERVALUE("-0.000253")</f>
        <v/>
      </c>
      <c r="S814">
        <f>_xlfn.NUMBERVALUE("-0.000185")</f>
        <v/>
      </c>
      <c r="T814">
        <f>_xlfn.NUMBERVALUE("0.000699")</f>
        <v/>
      </c>
      <c r="U814">
        <f>_xlfn.NUMBERVALUE("0.000634")</f>
        <v/>
      </c>
      <c r="V814">
        <f>_xlfn.NUMBERVALUE("-0.000699")</f>
        <v/>
      </c>
      <c r="W814">
        <f>_xlfn.NUMBERVALUE("0.026770")</f>
        <v/>
      </c>
      <c r="X814">
        <f>_xlfn.NUMBERVALUE("-3.840000")</f>
        <v/>
      </c>
      <c r="Y814">
        <f>_xlfn.NUMBERVALUE("21.030000")</f>
        <v/>
      </c>
    </row>
    <row r="815">
      <c r="A815" s="1" t="n">
        <v>43186</v>
      </c>
      <c r="B815">
        <f>_xlfn.NUMBERVALUE("0.000000")</f>
        <v/>
      </c>
      <c r="C815" s="2">
        <f>_xlfn.NUMBERVALUE("-0.001982")</f>
        <v/>
      </c>
      <c r="D815">
        <f>_xlfn.NUMBERVALUE("-0.001373")</f>
        <v/>
      </c>
      <c r="E815">
        <f>_xlfn.NUMBERVALUE("-0.000782")</f>
        <v/>
      </c>
      <c r="F815">
        <f>_xlfn.NUMBERVALUE("0.002034")</f>
        <v/>
      </c>
      <c r="G815">
        <f>_xlfn.NUMBERVALUE("-0.000183")</f>
        <v/>
      </c>
      <c r="H815">
        <f>_xlfn.NUMBERVALUE("-0.001396")</f>
        <v/>
      </c>
      <c r="I815">
        <f>_xlfn.NUMBERVALUE("-0.004514")</f>
        <v/>
      </c>
      <c r="J815">
        <f>_xlfn.NUMBERVALUE("-0.000303")</f>
        <v/>
      </c>
      <c r="K815">
        <f>_xlfn.NUMBERVALUE("-0.000535")</f>
        <v/>
      </c>
      <c r="L815">
        <f>_xlfn.NUMBERVALUE("-0.001542")</f>
        <v/>
      </c>
      <c r="M815">
        <f>_xlfn.NUMBERVALUE("-0.000342")</f>
        <v/>
      </c>
      <c r="N815">
        <f>_xlfn.NUMBERVALUE("0.000000")</f>
        <v/>
      </c>
      <c r="O815">
        <f>_xlfn.NUMBERVALUE("-0.001310")</f>
        <v/>
      </c>
      <c r="P815">
        <f>_xlfn.NUMBERVALUE("-0.001446")</f>
        <v/>
      </c>
      <c r="Q815">
        <f>_xlfn.NUMBERVALUE("-0.001609")</f>
        <v/>
      </c>
      <c r="R815">
        <f>_xlfn.NUMBERVALUE("-0.002133")</f>
        <v/>
      </c>
      <c r="S815">
        <f>_xlfn.NUMBERVALUE("0.000304")</f>
        <v/>
      </c>
      <c r="T815">
        <f>_xlfn.NUMBERVALUE("-0.003041")</f>
        <v/>
      </c>
      <c r="U815">
        <f>_xlfn.NUMBERVALUE("-0.003045")</f>
        <v/>
      </c>
      <c r="V815">
        <f>_xlfn.NUMBERVALUE("-0.002514")</f>
        <v/>
      </c>
      <c r="W815">
        <f>_xlfn.NUMBERVALUE("-0.017670")</f>
        <v/>
      </c>
      <c r="X815">
        <f>_xlfn.NUMBERVALUE("1.470000")</f>
        <v/>
      </c>
      <c r="Y815">
        <f>_xlfn.NUMBERVALUE("22.500000")</f>
        <v/>
      </c>
    </row>
    <row r="816">
      <c r="A816" s="1" t="n">
        <v>43187</v>
      </c>
      <c r="B816">
        <f>_xlfn.NUMBERVALUE("0.000000")</f>
        <v/>
      </c>
      <c r="C816" s="2">
        <f>_xlfn.NUMBERVALUE("-0.000257")</f>
        <v/>
      </c>
      <c r="D816">
        <f>_xlfn.NUMBERVALUE("0.000275")</f>
        <v/>
      </c>
      <c r="E816">
        <f>_xlfn.NUMBERVALUE("0.001040")</f>
        <v/>
      </c>
      <c r="F816">
        <f>_xlfn.NUMBERVALUE("-0.003516")</f>
        <v/>
      </c>
      <c r="G816">
        <f>_xlfn.NUMBERVALUE("0.001479")</f>
        <v/>
      </c>
      <c r="H816">
        <f>_xlfn.NUMBERVALUE("-0.000426")</f>
        <v/>
      </c>
      <c r="I816">
        <f>_xlfn.NUMBERVALUE("0.000948")</f>
        <v/>
      </c>
      <c r="J816">
        <f>_xlfn.NUMBERVALUE("-0.000130")</f>
        <v/>
      </c>
      <c r="K816">
        <f>_xlfn.NUMBERVALUE("-0.002256")</f>
        <v/>
      </c>
      <c r="L816">
        <f>_xlfn.NUMBERVALUE("0.000880")</f>
        <v/>
      </c>
      <c r="M816">
        <f>_xlfn.NUMBERVALUE("-0.000305")</f>
        <v/>
      </c>
      <c r="N816">
        <f>_xlfn.NUMBERVALUE("0.000000")</f>
        <v/>
      </c>
      <c r="O816">
        <f>_xlfn.NUMBERVALUE("-0.002461")</f>
        <v/>
      </c>
      <c r="P816">
        <f>_xlfn.NUMBERVALUE("0.000347")</f>
        <v/>
      </c>
      <c r="Q816">
        <f>_xlfn.NUMBERVALUE("-0.000041")</f>
        <v/>
      </c>
      <c r="R816">
        <f>_xlfn.NUMBERVALUE("-0.000113")</f>
        <v/>
      </c>
      <c r="S816">
        <f>_xlfn.NUMBERVALUE("-0.000565")</f>
        <v/>
      </c>
      <c r="T816">
        <f>_xlfn.NUMBERVALUE("0.000713")</f>
        <v/>
      </c>
      <c r="U816">
        <f>_xlfn.NUMBERVALUE("-0.006468")</f>
        <v/>
      </c>
      <c r="V816">
        <f>_xlfn.NUMBERVALUE("-0.000483")</f>
        <v/>
      </c>
      <c r="W816">
        <f>_xlfn.NUMBERVALUE("-0.002455")</f>
        <v/>
      </c>
      <c r="X816">
        <f>_xlfn.NUMBERVALUE("0.370000")</f>
        <v/>
      </c>
      <c r="Y816">
        <f>_xlfn.NUMBERVALUE("22.870000")</f>
        <v/>
      </c>
    </row>
    <row r="817">
      <c r="A817" s="1" t="n">
        <v>43188</v>
      </c>
      <c r="B817">
        <f>_xlfn.NUMBERVALUE("0.000000")</f>
        <v/>
      </c>
      <c r="C817" s="2">
        <f>_xlfn.NUMBERVALUE("0.002011")</f>
        <v/>
      </c>
      <c r="D817">
        <f>_xlfn.NUMBERVALUE("0.001414")</f>
        <v/>
      </c>
      <c r="E817">
        <f>_xlfn.NUMBERVALUE("0.000069")</f>
        <v/>
      </c>
      <c r="F817">
        <f>_xlfn.NUMBERVALUE("0.001935")</f>
        <v/>
      </c>
      <c r="G817">
        <f>_xlfn.NUMBERVALUE("0.000683")</f>
        <v/>
      </c>
      <c r="H817">
        <f>_xlfn.NUMBERVALUE("0.000007")</f>
        <v/>
      </c>
      <c r="I817">
        <f>_xlfn.NUMBERVALUE("0.001482")</f>
        <v/>
      </c>
      <c r="J817">
        <f>_xlfn.NUMBERVALUE("-0.000865")</f>
        <v/>
      </c>
      <c r="K817">
        <f>_xlfn.NUMBERVALUE("0.000830")</f>
        <v/>
      </c>
      <c r="L817">
        <f>_xlfn.NUMBERVALUE("0.000825")</f>
        <v/>
      </c>
      <c r="M817">
        <f>_xlfn.NUMBERVALUE("0.000465")</f>
        <v/>
      </c>
      <c r="N817">
        <f>_xlfn.NUMBERVALUE("0.000000")</f>
        <v/>
      </c>
      <c r="O817">
        <f>_xlfn.NUMBERVALUE("0.001488")</f>
        <v/>
      </c>
      <c r="P817">
        <f>_xlfn.NUMBERVALUE("0.000750")</f>
        <v/>
      </c>
      <c r="Q817">
        <f>_xlfn.NUMBERVALUE("0.000564")</f>
        <v/>
      </c>
      <c r="R817">
        <f>_xlfn.NUMBERVALUE("0.000113")</f>
        <v/>
      </c>
      <c r="S817">
        <f>_xlfn.NUMBERVALUE("0.001086")</f>
        <v/>
      </c>
      <c r="T817">
        <f>_xlfn.NUMBERVALUE("0.000946")</f>
        <v/>
      </c>
      <c r="U817">
        <f>_xlfn.NUMBERVALUE("0.006458")</f>
        <v/>
      </c>
      <c r="V817">
        <f>_xlfn.NUMBERVALUE("0.000794")</f>
        <v/>
      </c>
      <c r="W817">
        <f>_xlfn.NUMBERVALUE("0.014207")</f>
        <v/>
      </c>
      <c r="X817">
        <f>_xlfn.NUMBERVALUE("-2.900000")</f>
        <v/>
      </c>
      <c r="Y817">
        <f>_xlfn.NUMBERVALUE("19.970000")</f>
        <v/>
      </c>
    </row>
    <row r="818">
      <c r="A818" s="1" t="n">
        <v>43192</v>
      </c>
      <c r="B818">
        <f>_xlfn.NUMBERVALUE("0.000000")</f>
        <v/>
      </c>
      <c r="C818" s="2">
        <f>_xlfn.NUMBERVALUE("-0.002692")</f>
        <v/>
      </c>
      <c r="D818">
        <f>_xlfn.NUMBERVALUE("-0.003485")</f>
        <v/>
      </c>
      <c r="E818">
        <f>_xlfn.NUMBERVALUE("-0.003903")</f>
        <v/>
      </c>
      <c r="F818">
        <f>_xlfn.NUMBERVALUE("-0.003443")</f>
        <v/>
      </c>
      <c r="G818">
        <f>_xlfn.NUMBERVALUE("-0.000996")</f>
        <v/>
      </c>
      <c r="H818">
        <f>_xlfn.NUMBERVALUE("0.000101")</f>
        <v/>
      </c>
      <c r="I818">
        <f>_xlfn.NUMBERVALUE("-0.004986")</f>
        <v/>
      </c>
      <c r="J818">
        <f>_xlfn.NUMBERVALUE("0.000609")</f>
        <v/>
      </c>
      <c r="K818">
        <f>_xlfn.NUMBERVALUE("0.003268")</f>
        <v/>
      </c>
      <c r="L818">
        <f>_xlfn.NUMBERVALUE("-0.001584")</f>
        <v/>
      </c>
      <c r="M818">
        <f>_xlfn.NUMBERVALUE("-0.000717")</f>
        <v/>
      </c>
      <c r="N818">
        <f>_xlfn.NUMBERVALUE("0.000000")</f>
        <v/>
      </c>
      <c r="O818">
        <f>_xlfn.NUMBERVALUE("-0.008569")</f>
        <v/>
      </c>
      <c r="P818">
        <f>_xlfn.NUMBERVALUE("-0.001202")</f>
        <v/>
      </c>
      <c r="Q818">
        <f>_xlfn.NUMBERVALUE("-0.001085")</f>
        <v/>
      </c>
      <c r="R818">
        <f>_xlfn.NUMBERVALUE("-0.001240")</f>
        <v/>
      </c>
      <c r="S818">
        <f>_xlfn.NUMBERVALUE("-0.002826")</f>
        <v/>
      </c>
      <c r="T818">
        <f>_xlfn.NUMBERVALUE("-0.000297")</f>
        <v/>
      </c>
      <c r="U818">
        <f>_xlfn.NUMBERVALUE("-0.003633")</f>
        <v/>
      </c>
      <c r="V818">
        <f>_xlfn.NUMBERVALUE("-0.002424")</f>
        <v/>
      </c>
      <c r="W818">
        <f>_xlfn.NUMBERVALUE("-0.024092")</f>
        <v/>
      </c>
      <c r="X818">
        <f>_xlfn.NUMBERVALUE("3.650000")</f>
        <v/>
      </c>
      <c r="Y818">
        <f>_xlfn.NUMBERVALUE("23.620000")</f>
        <v/>
      </c>
    </row>
    <row r="819">
      <c r="A819" s="1" t="n">
        <v>43193</v>
      </c>
      <c r="B819">
        <f>_xlfn.NUMBERVALUE("0.000000")</f>
        <v/>
      </c>
      <c r="C819" s="2">
        <f>_xlfn.NUMBERVALUE("0.000136")</f>
        <v/>
      </c>
      <c r="D819">
        <f>_xlfn.NUMBERVALUE("0.002725")</f>
        <v/>
      </c>
      <c r="E819">
        <f>_xlfn.NUMBERVALUE("0.000528")</f>
        <v/>
      </c>
      <c r="F819">
        <f>_xlfn.NUMBERVALUE("-0.000736")</f>
        <v/>
      </c>
      <c r="G819">
        <f>_xlfn.NUMBERVALUE("0.001295")</f>
        <v/>
      </c>
      <c r="H819">
        <f>_xlfn.NUMBERVALUE("-0.000044")</f>
        <v/>
      </c>
      <c r="I819">
        <f>_xlfn.NUMBERVALUE("0.000810")</f>
        <v/>
      </c>
      <c r="J819">
        <f>_xlfn.NUMBERVALUE("0.000700")</f>
        <v/>
      </c>
      <c r="K819">
        <f>_xlfn.NUMBERVALUE("-0.000185")</f>
        <v/>
      </c>
      <c r="L819">
        <f>_xlfn.NUMBERVALUE("-0.000900")</f>
        <v/>
      </c>
      <c r="M819">
        <f>_xlfn.NUMBERVALUE("-0.000369")</f>
        <v/>
      </c>
      <c r="N819">
        <f>_xlfn.NUMBERVALUE("0.000000")</f>
        <v/>
      </c>
      <c r="O819">
        <f>_xlfn.NUMBERVALUE("0.000774")</f>
        <v/>
      </c>
      <c r="P819">
        <f>_xlfn.NUMBERVALUE("0.000636")</f>
        <v/>
      </c>
      <c r="Q819">
        <f>_xlfn.NUMBERVALUE("0.001203")</f>
        <v/>
      </c>
      <c r="R819">
        <f>_xlfn.NUMBERVALUE("0.000593")</f>
        <v/>
      </c>
      <c r="S819">
        <f>_xlfn.NUMBERVALUE("0.000532")</f>
        <v/>
      </c>
      <c r="T819">
        <f>_xlfn.NUMBERVALUE("0.001161")</f>
        <v/>
      </c>
      <c r="U819">
        <f>_xlfn.NUMBERVALUE("0.001082")</f>
        <v/>
      </c>
      <c r="V819">
        <f>_xlfn.NUMBERVALUE("-0.000012")</f>
        <v/>
      </c>
      <c r="W819">
        <f>_xlfn.NUMBERVALUE("0.012586")</f>
        <v/>
      </c>
      <c r="X819">
        <f>_xlfn.NUMBERVALUE("-2.520000")</f>
        <v/>
      </c>
      <c r="Y819">
        <f>_xlfn.NUMBERVALUE("21.100000")</f>
        <v/>
      </c>
    </row>
    <row r="820">
      <c r="A820" s="1" t="n">
        <v>43194</v>
      </c>
      <c r="B820">
        <f>_xlfn.NUMBERVALUE("0.000000")</f>
        <v/>
      </c>
      <c r="C820" s="2">
        <f>_xlfn.NUMBERVALUE("0.000013")</f>
        <v/>
      </c>
      <c r="D820">
        <f>_xlfn.NUMBERVALUE("0.001977")</f>
        <v/>
      </c>
      <c r="E820">
        <f>_xlfn.NUMBERVALUE("0.000465")</f>
        <v/>
      </c>
      <c r="F820">
        <f>_xlfn.NUMBERVALUE("0.001628")</f>
        <v/>
      </c>
      <c r="G820">
        <f>_xlfn.NUMBERVALUE("0.001054")</f>
        <v/>
      </c>
      <c r="H820">
        <f>_xlfn.NUMBERVALUE("-0.000014")</f>
        <v/>
      </c>
      <c r="I820">
        <f>_xlfn.NUMBERVALUE("0.000491")</f>
        <v/>
      </c>
      <c r="J820">
        <f>_xlfn.NUMBERVALUE("0.000692")</f>
        <v/>
      </c>
      <c r="K820">
        <f>_xlfn.NUMBERVALUE("-0.000201")</f>
        <v/>
      </c>
      <c r="L820">
        <f>_xlfn.NUMBERVALUE("0.000247")</f>
        <v/>
      </c>
      <c r="M820">
        <f>_xlfn.NUMBERVALUE("0.000513")</f>
        <v/>
      </c>
      <c r="N820">
        <f>_xlfn.NUMBERVALUE("0.000000")</f>
        <v/>
      </c>
      <c r="O820">
        <f>_xlfn.NUMBERVALUE("0.001973")</f>
        <v/>
      </c>
      <c r="P820">
        <f>_xlfn.NUMBERVALUE("0.000471")</f>
        <v/>
      </c>
      <c r="Q820">
        <f>_xlfn.NUMBERVALUE("-0.000091")</f>
        <v/>
      </c>
      <c r="R820">
        <f>_xlfn.NUMBERVALUE("0.000486")</f>
        <v/>
      </c>
      <c r="S820">
        <f>_xlfn.NUMBERVALUE("0.000209")</f>
        <v/>
      </c>
      <c r="T820">
        <f>_xlfn.NUMBERVALUE("0.001323")</f>
        <v/>
      </c>
      <c r="U820">
        <f>_xlfn.NUMBERVALUE("0.000091")</f>
        <v/>
      </c>
      <c r="V820">
        <f>_xlfn.NUMBERVALUE("0.000024")</f>
        <v/>
      </c>
      <c r="W820">
        <f>_xlfn.NUMBERVALUE("0.014098")</f>
        <v/>
      </c>
      <c r="X820">
        <f>_xlfn.NUMBERVALUE("-1.040000")</f>
        <v/>
      </c>
      <c r="Y820">
        <f>_xlfn.NUMBERVALUE("20.060000")</f>
        <v/>
      </c>
    </row>
    <row r="821">
      <c r="A821" s="1" t="n">
        <v>43195</v>
      </c>
      <c r="B821">
        <f>_xlfn.NUMBERVALUE("0.235809")</f>
        <v/>
      </c>
      <c r="C821" s="2">
        <f>_xlfn.NUMBERVALUE("0.000374")</f>
        <v/>
      </c>
      <c r="D821">
        <f>_xlfn.NUMBERVALUE("0.004006")</f>
        <v/>
      </c>
      <c r="E821">
        <f>_xlfn.NUMBERVALUE("0.000359")</f>
        <v/>
      </c>
      <c r="F821">
        <f>_xlfn.NUMBERVALUE("0.000252")</f>
        <v/>
      </c>
      <c r="G821">
        <f>_xlfn.NUMBERVALUE("0.002060")</f>
        <v/>
      </c>
      <c r="H821">
        <f>_xlfn.NUMBERVALUE("0.000043")</f>
        <v/>
      </c>
      <c r="I821">
        <f>_xlfn.NUMBERVALUE("0.001612")</f>
        <v/>
      </c>
      <c r="J821">
        <f>_xlfn.NUMBERVALUE("0.001337")</f>
        <v/>
      </c>
      <c r="K821">
        <f>_xlfn.NUMBERVALUE("0.000208")</f>
        <v/>
      </c>
      <c r="L821">
        <f>_xlfn.NUMBERVALUE("0.000094")</f>
        <v/>
      </c>
      <c r="M821">
        <f>_xlfn.NUMBERVALUE("0.000189")</f>
        <v/>
      </c>
      <c r="N821">
        <f>_xlfn.NUMBERVALUE("0.000000")</f>
        <v/>
      </c>
      <c r="O821">
        <f>_xlfn.NUMBERVALUE("-0.003247")</f>
        <v/>
      </c>
      <c r="P821">
        <f>_xlfn.NUMBERVALUE("0.000093")</f>
        <v/>
      </c>
      <c r="Q821">
        <f>_xlfn.NUMBERVALUE("0.000450")</f>
        <v/>
      </c>
      <c r="R821">
        <f>_xlfn.NUMBERVALUE("-0.000003")</f>
        <v/>
      </c>
      <c r="S821">
        <f>_xlfn.NUMBERVALUE("0.000981")</f>
        <v/>
      </c>
      <c r="T821">
        <f>_xlfn.NUMBERVALUE("0.000090")</f>
        <v/>
      </c>
      <c r="U821">
        <f>_xlfn.NUMBERVALUE("-0.000501")</f>
        <v/>
      </c>
      <c r="V821">
        <f>_xlfn.NUMBERVALUE("0.000187")</f>
        <v/>
      </c>
      <c r="W821">
        <f>_xlfn.NUMBERVALUE("0.003111")</f>
        <v/>
      </c>
      <c r="X821">
        <f>_xlfn.NUMBERVALUE("-1.120000")</f>
        <v/>
      </c>
      <c r="Y821">
        <f>_xlfn.NUMBERVALUE("18.940000")</f>
        <v/>
      </c>
    </row>
    <row r="822">
      <c r="A822" s="1" t="n">
        <v>43196</v>
      </c>
      <c r="B822">
        <f>_xlfn.NUMBERVALUE("0.009357")</f>
        <v/>
      </c>
      <c r="C822" s="2">
        <f>_xlfn.NUMBERVALUE("-0.005811")</f>
        <v/>
      </c>
      <c r="D822">
        <f>_xlfn.NUMBERVALUE("-0.002706")</f>
        <v/>
      </c>
      <c r="E822">
        <f>_xlfn.NUMBERVALUE("0.000077")</f>
        <v/>
      </c>
      <c r="F822">
        <f>_xlfn.NUMBERVALUE("-0.000471")</f>
        <v/>
      </c>
      <c r="G822">
        <f>_xlfn.NUMBERVALUE("-0.000175")</f>
        <v/>
      </c>
      <c r="H822">
        <f>_xlfn.NUMBERVALUE("-0.001882")</f>
        <v/>
      </c>
      <c r="I822">
        <f>_xlfn.NUMBERVALUE("-0.003477")</f>
        <v/>
      </c>
      <c r="J822">
        <f>_xlfn.NUMBERVALUE("-0.000158")</f>
        <v/>
      </c>
      <c r="K822">
        <f>_xlfn.NUMBERVALUE("0.000275")</f>
        <v/>
      </c>
      <c r="L822">
        <f>_xlfn.NUMBERVALUE("-0.000210")</f>
        <v/>
      </c>
      <c r="M822">
        <f>_xlfn.NUMBERVALUE("-0.000061")</f>
        <v/>
      </c>
      <c r="N822">
        <f>_xlfn.NUMBERVALUE("0.000000")</f>
        <v/>
      </c>
      <c r="O822">
        <f>_xlfn.NUMBERVALUE("-0.001386")</f>
        <v/>
      </c>
      <c r="P822">
        <f>_xlfn.NUMBERVALUE("-0.000818")</f>
        <v/>
      </c>
      <c r="Q822">
        <f>_xlfn.NUMBERVALUE("-0.001733")</f>
        <v/>
      </c>
      <c r="R822">
        <f>_xlfn.NUMBERVALUE("-0.000204")</f>
        <v/>
      </c>
      <c r="S822">
        <f>_xlfn.NUMBERVALUE("-0.000590")</f>
        <v/>
      </c>
      <c r="T822">
        <f>_xlfn.NUMBERVALUE("0.000285")</f>
        <v/>
      </c>
      <c r="U822">
        <f>_xlfn.NUMBERVALUE("-0.002216")</f>
        <v/>
      </c>
      <c r="V822">
        <f>_xlfn.NUMBERVALUE("-0.004674")</f>
        <v/>
      </c>
      <c r="W822">
        <f>_xlfn.NUMBERVALUE("-0.023460")</f>
        <v/>
      </c>
      <c r="X822">
        <f>_xlfn.NUMBERVALUE("2.550000")</f>
        <v/>
      </c>
      <c r="Y822">
        <f>_xlfn.NUMBERVALUE("21.490000")</f>
        <v/>
      </c>
    </row>
    <row r="823">
      <c r="A823" s="1" t="n">
        <v>43199</v>
      </c>
      <c r="B823">
        <f>_xlfn.NUMBERVALUE("-0.036652")</f>
        <v/>
      </c>
      <c r="C823" s="2">
        <f>_xlfn.NUMBERVALUE("-0.000427")</f>
        <v/>
      </c>
      <c r="D823">
        <f>_xlfn.NUMBERVALUE("0.002815")</f>
        <v/>
      </c>
      <c r="E823">
        <f>_xlfn.NUMBERVALUE("-0.002051")</f>
        <v/>
      </c>
      <c r="F823">
        <f>_xlfn.NUMBERVALUE("0.000779")</f>
        <v/>
      </c>
      <c r="G823">
        <f>_xlfn.NUMBERVALUE("0.000033")</f>
        <v/>
      </c>
      <c r="H823">
        <f>_xlfn.NUMBERVALUE("0.002001")</f>
        <v/>
      </c>
      <c r="I823">
        <f>_xlfn.NUMBERVALUE("0.001925")</f>
        <v/>
      </c>
      <c r="J823">
        <f>_xlfn.NUMBERVALUE("0.000696")</f>
        <v/>
      </c>
      <c r="K823">
        <f>_xlfn.NUMBERVALUE("0.000726")</f>
        <v/>
      </c>
      <c r="L823">
        <f>_xlfn.NUMBERVALUE("0.001307")</f>
        <v/>
      </c>
      <c r="M823">
        <f>_xlfn.NUMBERVALUE("-0.000095")</f>
        <v/>
      </c>
      <c r="N823">
        <f>_xlfn.NUMBERVALUE("0.000000")</f>
        <v/>
      </c>
      <c r="O823">
        <f>_xlfn.NUMBERVALUE("0.006823")</f>
        <v/>
      </c>
      <c r="P823">
        <f>_xlfn.NUMBERVALUE("-0.000044")</f>
        <v/>
      </c>
      <c r="Q823">
        <f>_xlfn.NUMBERVALUE("0.000564")</f>
        <v/>
      </c>
      <c r="R823">
        <f>_xlfn.NUMBERVALUE("-0.000098")</f>
        <v/>
      </c>
      <c r="S823">
        <f>_xlfn.NUMBERVALUE("0.000045")</f>
        <v/>
      </c>
      <c r="T823">
        <f>_xlfn.NUMBERVALUE("0.001068")</f>
        <v/>
      </c>
      <c r="U823">
        <f>_xlfn.NUMBERVALUE("-0.000789")</f>
        <v/>
      </c>
      <c r="V823">
        <f>_xlfn.NUMBERVALUE("-0.000959")</f>
        <v/>
      </c>
      <c r="W823">
        <f>_xlfn.NUMBERVALUE("0.009663")</f>
        <v/>
      </c>
      <c r="X823">
        <f>_xlfn.NUMBERVALUE("0.280000")</f>
        <v/>
      </c>
      <c r="Y823">
        <f>_xlfn.NUMBERVALUE("21.770000")</f>
        <v/>
      </c>
    </row>
    <row r="824">
      <c r="A824" s="1" t="n">
        <v>43200</v>
      </c>
      <c r="B824">
        <f>_xlfn.NUMBERVALUE("0.009472")</f>
        <v/>
      </c>
      <c r="C824" s="2">
        <f>_xlfn.NUMBERVALUE("-0.000593")</f>
        <v/>
      </c>
      <c r="D824">
        <f>_xlfn.NUMBERVALUE("-0.000774")</f>
        <v/>
      </c>
      <c r="E824">
        <f>_xlfn.NUMBERVALUE("0.000160")</f>
        <v/>
      </c>
      <c r="F824">
        <f>_xlfn.NUMBERVALUE("-0.000019")</f>
        <v/>
      </c>
      <c r="G824">
        <f>_xlfn.NUMBERVALUE("0.000273")</f>
        <v/>
      </c>
      <c r="H824">
        <f>_xlfn.NUMBERVALUE("-0.001672")</f>
        <v/>
      </c>
      <c r="I824">
        <f>_xlfn.NUMBERVALUE("-0.002412")</f>
        <v/>
      </c>
      <c r="J824">
        <f>_xlfn.NUMBERVALUE("0.000465")</f>
        <v/>
      </c>
      <c r="K824">
        <f>_xlfn.NUMBERVALUE("-0.000193")</f>
        <v/>
      </c>
      <c r="L824">
        <f>_xlfn.NUMBERVALUE("0.001053")</f>
        <v/>
      </c>
      <c r="M824">
        <f>_xlfn.NUMBERVALUE("-0.000080")</f>
        <v/>
      </c>
      <c r="N824">
        <f>_xlfn.NUMBERVALUE("0.000000")</f>
        <v/>
      </c>
      <c r="O824">
        <f>_xlfn.NUMBERVALUE("-0.018184")</f>
        <v/>
      </c>
      <c r="P824">
        <f>_xlfn.NUMBERVALUE("0.000015")</f>
        <v/>
      </c>
      <c r="Q824">
        <f>_xlfn.NUMBERVALUE("-0.000044")</f>
        <v/>
      </c>
      <c r="R824">
        <f>_xlfn.NUMBERVALUE("-0.000036")</f>
        <v/>
      </c>
      <c r="S824">
        <f>_xlfn.NUMBERVALUE("0.000016")</f>
        <v/>
      </c>
      <c r="T824">
        <f>_xlfn.NUMBERVALUE("-0.000000")</f>
        <v/>
      </c>
      <c r="U824">
        <f>_xlfn.NUMBERVALUE("0.000806")</f>
        <v/>
      </c>
      <c r="V824">
        <f>_xlfn.NUMBERVALUE("-0.001059")</f>
        <v/>
      </c>
      <c r="W824">
        <f>_xlfn.NUMBERVALUE("0.011973")</f>
        <v/>
      </c>
      <c r="X824">
        <f>_xlfn.NUMBERVALUE("-1.300000")</f>
        <v/>
      </c>
      <c r="Y824">
        <f>_xlfn.NUMBERVALUE("20.470000")</f>
        <v/>
      </c>
    </row>
    <row r="825">
      <c r="A825" s="1" t="n">
        <v>43201</v>
      </c>
      <c r="B825">
        <f>_xlfn.NUMBERVALUE("0.013420")</f>
        <v/>
      </c>
      <c r="C825" s="2">
        <f>_xlfn.NUMBERVALUE("0.002080")</f>
        <v/>
      </c>
      <c r="D825">
        <f>_xlfn.NUMBERVALUE("0.001813")</f>
        <v/>
      </c>
      <c r="E825">
        <f>_xlfn.NUMBERVALUE("0.002030")</f>
        <v/>
      </c>
      <c r="F825">
        <f>_xlfn.NUMBERVALUE("-0.001257")</f>
        <v/>
      </c>
      <c r="G825">
        <f>_xlfn.NUMBERVALUE("-0.000330")</f>
        <v/>
      </c>
      <c r="H825">
        <f>_xlfn.NUMBERVALUE("0.000571")</f>
        <v/>
      </c>
      <c r="I825">
        <f>_xlfn.NUMBERVALUE("0.001134")</f>
        <v/>
      </c>
      <c r="J825">
        <f>_xlfn.NUMBERVALUE("0.000116")</f>
        <v/>
      </c>
      <c r="K825">
        <f>_xlfn.NUMBERVALUE("-0.000773")</f>
        <v/>
      </c>
      <c r="L825">
        <f>_xlfn.NUMBERVALUE("0.000637")</f>
        <v/>
      </c>
      <c r="M825">
        <f>_xlfn.NUMBERVALUE("-0.000347")</f>
        <v/>
      </c>
      <c r="N825">
        <f>_xlfn.NUMBERVALUE("0.000000")</f>
        <v/>
      </c>
      <c r="O825">
        <f>_xlfn.NUMBERVALUE("-0.000289")</f>
        <v/>
      </c>
      <c r="P825">
        <f>_xlfn.NUMBERVALUE("0.001295")</f>
        <v/>
      </c>
      <c r="Q825">
        <f>_xlfn.NUMBERVALUE("0.002150")</f>
        <v/>
      </c>
      <c r="R825">
        <f>_xlfn.NUMBERVALUE("0.002786")</f>
        <v/>
      </c>
      <c r="S825">
        <f>_xlfn.NUMBERVALUE("0.002391")</f>
        <v/>
      </c>
      <c r="T825">
        <f>_xlfn.NUMBERVALUE("0.001389")</f>
        <v/>
      </c>
      <c r="U825">
        <f>_xlfn.NUMBERVALUE("0.002736")</f>
        <v/>
      </c>
      <c r="V825">
        <f>_xlfn.NUMBERVALUE("0.002426")</f>
        <v/>
      </c>
      <c r="W825">
        <f>_xlfn.NUMBERVALUE("-0.005350")</f>
        <v/>
      </c>
      <c r="X825">
        <f>_xlfn.NUMBERVALUE("-0.230000")</f>
        <v/>
      </c>
      <c r="Y825">
        <f>_xlfn.NUMBERVALUE("20.240000")</f>
        <v/>
      </c>
    </row>
    <row r="826">
      <c r="A826" s="1" t="n">
        <v>43202</v>
      </c>
      <c r="B826">
        <f>_xlfn.NUMBERVALUE("-0.031517")</f>
        <v/>
      </c>
      <c r="C826" s="2">
        <f>_xlfn.NUMBERVALUE("0.000704")</f>
        <v/>
      </c>
      <c r="D826">
        <f>_xlfn.NUMBERVALUE("0.003968")</f>
        <v/>
      </c>
      <c r="E826">
        <f>_xlfn.NUMBERVALUE("0.001709")</f>
        <v/>
      </c>
      <c r="F826">
        <f>_xlfn.NUMBERVALUE("-0.000432")</f>
        <v/>
      </c>
      <c r="G826">
        <f>_xlfn.NUMBERVALUE("0.000286")</f>
        <v/>
      </c>
      <c r="H826">
        <f>_xlfn.NUMBERVALUE("0.000533")</f>
        <v/>
      </c>
      <c r="I826">
        <f>_xlfn.NUMBERVALUE("0.001802")</f>
        <v/>
      </c>
      <c r="J826">
        <f>_xlfn.NUMBERVALUE("0.001334")</f>
        <v/>
      </c>
      <c r="K826">
        <f>_xlfn.NUMBERVALUE("0.002496")</f>
        <v/>
      </c>
      <c r="L826">
        <f>_xlfn.NUMBERVALUE("-0.001044")</f>
        <v/>
      </c>
      <c r="M826">
        <f>_xlfn.NUMBERVALUE("0.002794")</f>
        <v/>
      </c>
      <c r="N826">
        <f>_xlfn.NUMBERVALUE("0.000000")</f>
        <v/>
      </c>
      <c r="O826">
        <f>_xlfn.NUMBERVALUE("0.002476")</f>
        <v/>
      </c>
      <c r="P826">
        <f>_xlfn.NUMBERVALUE("-0.002444")</f>
        <v/>
      </c>
      <c r="Q826">
        <f>_xlfn.NUMBERVALUE("0.000343")</f>
        <v/>
      </c>
      <c r="R826">
        <f>_xlfn.NUMBERVALUE("-0.000147")</f>
        <v/>
      </c>
      <c r="S826">
        <f>_xlfn.NUMBERVALUE("0.002808")</f>
        <v/>
      </c>
      <c r="T826">
        <f>_xlfn.NUMBERVALUE("0.000540")</f>
        <v/>
      </c>
      <c r="U826">
        <f>_xlfn.NUMBERVALUE("0.001927")</f>
        <v/>
      </c>
      <c r="V826">
        <f>_xlfn.NUMBERVALUE("0.001443")</f>
        <v/>
      </c>
      <c r="W826">
        <f>_xlfn.NUMBERVALUE("0.010493")</f>
        <v/>
      </c>
      <c r="X826">
        <f>_xlfn.NUMBERVALUE("-1.750000")</f>
        <v/>
      </c>
      <c r="Y826">
        <f>_xlfn.NUMBERVALUE("18.490000")</f>
        <v/>
      </c>
    </row>
    <row r="827">
      <c r="A827" s="1" t="n">
        <v>43203</v>
      </c>
      <c r="B827">
        <f>_xlfn.NUMBERVALUE("0.114418")</f>
        <v/>
      </c>
      <c r="C827" s="2">
        <f>_xlfn.NUMBERVALUE("0.001974")</f>
        <v/>
      </c>
      <c r="D827">
        <f>_xlfn.NUMBERVALUE("0.001460")</f>
        <v/>
      </c>
      <c r="E827">
        <f>_xlfn.NUMBERVALUE("0.001749")</f>
        <v/>
      </c>
      <c r="F827">
        <f>_xlfn.NUMBERVALUE("-0.000130")</f>
        <v/>
      </c>
      <c r="G827">
        <f>_xlfn.NUMBERVALUE("0.000791")</f>
        <v/>
      </c>
      <c r="H827">
        <f>_xlfn.NUMBERVALUE("-0.000680")</f>
        <v/>
      </c>
      <c r="I827">
        <f>_xlfn.NUMBERVALUE("0.001546")</f>
        <v/>
      </c>
      <c r="J827">
        <f>_xlfn.NUMBERVALUE("-0.000569")</f>
        <v/>
      </c>
      <c r="K827">
        <f>_xlfn.NUMBERVALUE("0.000476")</f>
        <v/>
      </c>
      <c r="L827">
        <f>_xlfn.NUMBERVALUE("0.001029")</f>
        <v/>
      </c>
      <c r="M827">
        <f>_xlfn.NUMBERVALUE("0.001900")</f>
        <v/>
      </c>
      <c r="N827">
        <f>_xlfn.NUMBERVALUE("0.000000")</f>
        <v/>
      </c>
      <c r="O827">
        <f>_xlfn.NUMBERVALUE("0.002334")</f>
        <v/>
      </c>
      <c r="P827">
        <f>_xlfn.NUMBERVALUE("0.003267")</f>
        <v/>
      </c>
      <c r="Q827">
        <f>_xlfn.NUMBERVALUE("0.002213")</f>
        <v/>
      </c>
      <c r="R827">
        <f>_xlfn.NUMBERVALUE("0.003468")</f>
        <v/>
      </c>
      <c r="S827">
        <f>_xlfn.NUMBERVALUE("0.001318")</f>
        <v/>
      </c>
      <c r="T827">
        <f>_xlfn.NUMBERVALUE("0.000876")</f>
        <v/>
      </c>
      <c r="U827">
        <f>_xlfn.NUMBERVALUE("0.002057")</f>
        <v/>
      </c>
      <c r="V827">
        <f>_xlfn.NUMBERVALUE("0.002129")</f>
        <v/>
      </c>
      <c r="W827">
        <f>_xlfn.NUMBERVALUE("-0.006523")</f>
        <v/>
      </c>
      <c r="X827">
        <f>_xlfn.NUMBERVALUE("-1.080000")</f>
        <v/>
      </c>
      <c r="Y827">
        <f>_xlfn.NUMBERVALUE("17.410000")</f>
        <v/>
      </c>
    </row>
    <row r="828">
      <c r="A828" s="1" t="n">
        <v>43206</v>
      </c>
      <c r="B828">
        <f>_xlfn.NUMBERVALUE("-0.000768")</f>
        <v/>
      </c>
      <c r="C828" s="2">
        <f>_xlfn.NUMBERVALUE("0.002778")</f>
        <v/>
      </c>
      <c r="D828">
        <f>_xlfn.NUMBERVALUE("0.004600")</f>
        <v/>
      </c>
      <c r="E828">
        <f>_xlfn.NUMBERVALUE("0.002573")</f>
        <v/>
      </c>
      <c r="F828">
        <f>_xlfn.NUMBERVALUE("0.001784")</f>
        <v/>
      </c>
      <c r="G828">
        <f>_xlfn.NUMBERVALUE("-0.001292")</f>
        <v/>
      </c>
      <c r="H828">
        <f>_xlfn.NUMBERVALUE("-0.000014")</f>
        <v/>
      </c>
      <c r="I828">
        <f>_xlfn.NUMBERVALUE("0.002086")</f>
        <v/>
      </c>
      <c r="J828">
        <f>_xlfn.NUMBERVALUE("0.000361")</f>
        <v/>
      </c>
      <c r="K828">
        <f>_xlfn.NUMBERVALUE("0.001278")</f>
        <v/>
      </c>
      <c r="L828">
        <f>_xlfn.NUMBERVALUE("0.000594")</f>
        <v/>
      </c>
      <c r="M828">
        <f>_xlfn.NUMBERVALUE("0.002435")</f>
        <v/>
      </c>
      <c r="N828">
        <f>_xlfn.NUMBERVALUE("0.000000")</f>
        <v/>
      </c>
      <c r="O828">
        <f>_xlfn.NUMBERVALUE("0.002562")</f>
        <v/>
      </c>
      <c r="P828">
        <f>_xlfn.NUMBERVALUE("0.005343")</f>
        <v/>
      </c>
      <c r="Q828">
        <f>_xlfn.NUMBERVALUE("0.002566")</f>
        <v/>
      </c>
      <c r="R828">
        <f>_xlfn.NUMBERVALUE("0.002596")</f>
        <v/>
      </c>
      <c r="S828">
        <f>_xlfn.NUMBERVALUE("-0.001241")</f>
        <v/>
      </c>
      <c r="T828">
        <f>_xlfn.NUMBERVALUE("-0.000913")</f>
        <v/>
      </c>
      <c r="U828">
        <f>_xlfn.NUMBERVALUE("0.003232")</f>
        <v/>
      </c>
      <c r="V828">
        <f>_xlfn.NUMBERVALUE("0.002807")</f>
        <v/>
      </c>
      <c r="W828">
        <f>_xlfn.NUMBERVALUE("0.010471")</f>
        <v/>
      </c>
      <c r="X828">
        <f>_xlfn.NUMBERVALUE("-0.850000")</f>
        <v/>
      </c>
      <c r="Y828">
        <f>_xlfn.NUMBERVALUE("16.560000")</f>
        <v/>
      </c>
    </row>
    <row r="829">
      <c r="A829" s="1" t="n">
        <v>43207</v>
      </c>
      <c r="B829">
        <f>_xlfn.NUMBERVALUE("0.000999")</f>
        <v/>
      </c>
      <c r="C829" s="2">
        <f>_xlfn.NUMBERVALUE("0.000603")</f>
        <v/>
      </c>
      <c r="D829">
        <f>_xlfn.NUMBERVALUE("0.002743")</f>
        <v/>
      </c>
      <c r="E829">
        <f>_xlfn.NUMBERVALUE("0.000391")</f>
        <v/>
      </c>
      <c r="F829">
        <f>_xlfn.NUMBERVALUE("0.000404")</f>
        <v/>
      </c>
      <c r="G829">
        <f>_xlfn.NUMBERVALUE("0.001120")</f>
        <v/>
      </c>
      <c r="H829">
        <f>_xlfn.NUMBERVALUE("0.001833")</f>
        <v/>
      </c>
      <c r="I829">
        <f>_xlfn.NUMBERVALUE("-0.001138")</f>
        <v/>
      </c>
      <c r="J829">
        <f>_xlfn.NUMBERVALUE("0.000528")</f>
        <v/>
      </c>
      <c r="K829">
        <f>_xlfn.NUMBERVALUE("0.000825")</f>
        <v/>
      </c>
      <c r="L829">
        <f>_xlfn.NUMBERVALUE("0.000612")</f>
        <v/>
      </c>
      <c r="M829">
        <f>_xlfn.NUMBERVALUE("-0.000298")</f>
        <v/>
      </c>
      <c r="N829">
        <f>_xlfn.NUMBERVALUE("0.000000")</f>
        <v/>
      </c>
      <c r="O829">
        <f>_xlfn.NUMBERVALUE("0.001866")</f>
        <v/>
      </c>
      <c r="P829">
        <f>_xlfn.NUMBERVALUE("0.003233")</f>
        <v/>
      </c>
      <c r="Q829">
        <f>_xlfn.NUMBERVALUE("0.000605")</f>
        <v/>
      </c>
      <c r="R829">
        <f>_xlfn.NUMBERVALUE("-0.002720")</f>
        <v/>
      </c>
      <c r="S829">
        <f>_xlfn.NUMBERVALUE("0.002138")</f>
        <v/>
      </c>
      <c r="T829">
        <f>_xlfn.NUMBERVALUE("-0.000420")</f>
        <v/>
      </c>
      <c r="U829">
        <f>_xlfn.NUMBERVALUE("-0.002836")</f>
        <v/>
      </c>
      <c r="V829">
        <f>_xlfn.NUMBERVALUE("-0.000602")</f>
        <v/>
      </c>
      <c r="W829">
        <f>_xlfn.NUMBERVALUE("0.010508")</f>
        <v/>
      </c>
      <c r="X829">
        <f>_xlfn.NUMBERVALUE("-1.310000")</f>
        <v/>
      </c>
      <c r="Y829">
        <f>_xlfn.NUMBERVALUE("15.250000")</f>
        <v/>
      </c>
    </row>
    <row r="830">
      <c r="A830" s="1" t="n">
        <v>43208</v>
      </c>
      <c r="B830">
        <f>_xlfn.NUMBERVALUE("0.003217")</f>
        <v/>
      </c>
      <c r="C830" s="2">
        <f>_xlfn.NUMBERVALUE("0.000670")</f>
        <v/>
      </c>
      <c r="D830">
        <f>_xlfn.NUMBERVALUE("0.001370")</f>
        <v/>
      </c>
      <c r="E830">
        <f>_xlfn.NUMBERVALUE("-0.000251")</f>
        <v/>
      </c>
      <c r="F830">
        <f>_xlfn.NUMBERVALUE("0.000111")</f>
        <v/>
      </c>
      <c r="G830">
        <f>_xlfn.NUMBERVALUE("-0.000032")</f>
        <v/>
      </c>
      <c r="H830">
        <f>_xlfn.NUMBERVALUE("-0.001585")</f>
        <v/>
      </c>
      <c r="I830">
        <f>_xlfn.NUMBERVALUE("-0.000906")</f>
        <v/>
      </c>
      <c r="J830">
        <f>_xlfn.NUMBERVALUE("0.000082")</f>
        <v/>
      </c>
      <c r="K830">
        <f>_xlfn.NUMBERVALUE("-0.004133")</f>
        <v/>
      </c>
      <c r="L830">
        <f>_xlfn.NUMBERVALUE("-0.001478")</f>
        <v/>
      </c>
      <c r="M830">
        <f>_xlfn.NUMBERVALUE("-0.000439")</f>
        <v/>
      </c>
      <c r="N830">
        <f>_xlfn.NUMBERVALUE("0.000000")</f>
        <v/>
      </c>
      <c r="O830">
        <f>_xlfn.NUMBERVALUE("-0.003049")</f>
        <v/>
      </c>
      <c r="P830">
        <f>_xlfn.NUMBERVALUE("-0.000757")</f>
        <v/>
      </c>
      <c r="Q830">
        <f>_xlfn.NUMBERVALUE("-0.001620")</f>
        <v/>
      </c>
      <c r="R830">
        <f>_xlfn.NUMBERVALUE("0.000187")</f>
        <v/>
      </c>
      <c r="S830">
        <f>_xlfn.NUMBERVALUE("0.000154")</f>
        <v/>
      </c>
      <c r="T830">
        <f>_xlfn.NUMBERVALUE("0.000670")</f>
        <v/>
      </c>
      <c r="U830">
        <f>_xlfn.NUMBERVALUE("0.000031")</f>
        <v/>
      </c>
      <c r="V830">
        <f>_xlfn.NUMBERVALUE("0.000067")</f>
        <v/>
      </c>
      <c r="W830">
        <f>_xlfn.NUMBERVALUE("0.000484")</f>
        <v/>
      </c>
      <c r="X830">
        <f>_xlfn.NUMBERVALUE("0.350000")</f>
        <v/>
      </c>
      <c r="Y830">
        <f>_xlfn.NUMBERVALUE("15.600000")</f>
        <v/>
      </c>
    </row>
    <row r="831">
      <c r="A831" s="1" t="n">
        <v>43209</v>
      </c>
      <c r="B831">
        <f>_xlfn.NUMBERVALUE("0.000000")</f>
        <v/>
      </c>
      <c r="C831" s="2">
        <f>_xlfn.NUMBERVALUE("0.000584")</f>
        <v/>
      </c>
      <c r="D831">
        <f>_xlfn.NUMBERVALUE("0.000311")</f>
        <v/>
      </c>
      <c r="E831">
        <f>_xlfn.NUMBERVALUE("-0.000124")</f>
        <v/>
      </c>
      <c r="F831">
        <f>_xlfn.NUMBERVALUE("0.000828")</f>
        <v/>
      </c>
      <c r="G831">
        <f>_xlfn.NUMBERVALUE("-0.000098")</f>
        <v/>
      </c>
      <c r="H831">
        <f>_xlfn.NUMBERVALUE("0.000232")</f>
        <v/>
      </c>
      <c r="I831">
        <f>_xlfn.NUMBERVALUE("0.000195")</f>
        <v/>
      </c>
      <c r="J831">
        <f>_xlfn.NUMBERVALUE("-0.000890")</f>
        <v/>
      </c>
      <c r="K831">
        <f>_xlfn.NUMBERVALUE("-0.000829")</f>
        <v/>
      </c>
      <c r="L831">
        <f>_xlfn.NUMBERVALUE("-0.002452")</f>
        <v/>
      </c>
      <c r="M831">
        <f>_xlfn.NUMBERVALUE("0.000016")</f>
        <v/>
      </c>
      <c r="N831">
        <f>_xlfn.NUMBERVALUE("0.000000")</f>
        <v/>
      </c>
      <c r="O831">
        <f>_xlfn.NUMBERVALUE("0.000054")</f>
        <v/>
      </c>
      <c r="P831">
        <f>_xlfn.NUMBERVALUE("-0.002236")</f>
        <v/>
      </c>
      <c r="Q831">
        <f>_xlfn.NUMBERVALUE("0.000960")</f>
        <v/>
      </c>
      <c r="R831">
        <f>_xlfn.NUMBERVALUE("0.000489")</f>
        <v/>
      </c>
      <c r="S831">
        <f>_xlfn.NUMBERVALUE("-0.010455")</f>
        <v/>
      </c>
      <c r="T831">
        <f>_xlfn.NUMBERVALUE("0.000165")</f>
        <v/>
      </c>
      <c r="U831">
        <f>_xlfn.NUMBERVALUE("-0.000136")</f>
        <v/>
      </c>
      <c r="V831">
        <f>_xlfn.NUMBERVALUE("0.000146")</f>
        <v/>
      </c>
      <c r="W831">
        <f>_xlfn.NUMBERVALUE("-0.005910")</f>
        <v/>
      </c>
      <c r="X831">
        <f>_xlfn.NUMBERVALUE("0.360000")</f>
        <v/>
      </c>
      <c r="Y831">
        <f>_xlfn.NUMBERVALUE("15.960000")</f>
        <v/>
      </c>
    </row>
    <row r="832">
      <c r="A832" s="1" t="n">
        <v>43210</v>
      </c>
      <c r="B832">
        <f>_xlfn.NUMBERVALUE("-0.005881")</f>
        <v/>
      </c>
      <c r="C832" s="2">
        <f>_xlfn.NUMBERVALUE("-0.001801")</f>
        <v/>
      </c>
      <c r="D832">
        <f>_xlfn.NUMBERVALUE("-0.001998")</f>
        <v/>
      </c>
      <c r="E832">
        <f>_xlfn.NUMBERVALUE("0.000436")</f>
        <v/>
      </c>
      <c r="F832">
        <f>_xlfn.NUMBERVALUE("0.000529")</f>
        <v/>
      </c>
      <c r="G832">
        <f>_xlfn.NUMBERVALUE("0.000640")</f>
        <v/>
      </c>
      <c r="H832">
        <f>_xlfn.NUMBERVALUE("-0.000541")</f>
        <v/>
      </c>
      <c r="I832">
        <f>_xlfn.NUMBERVALUE("-0.000165")</f>
        <v/>
      </c>
      <c r="J832">
        <f>_xlfn.NUMBERVALUE("0.000728")</f>
        <v/>
      </c>
      <c r="K832">
        <f>_xlfn.NUMBERVALUE("0.001540")</f>
        <v/>
      </c>
      <c r="L832">
        <f>_xlfn.NUMBERVALUE("-0.000089")</f>
        <v/>
      </c>
      <c r="M832">
        <f>_xlfn.NUMBERVALUE("-0.000498")</f>
        <v/>
      </c>
      <c r="N832">
        <f>_xlfn.NUMBERVALUE("0.000000")</f>
        <v/>
      </c>
      <c r="O832">
        <f>_xlfn.NUMBERVALUE("0.000519")</f>
        <v/>
      </c>
      <c r="P832">
        <f>_xlfn.NUMBERVALUE("0.000333")</f>
        <v/>
      </c>
      <c r="Q832">
        <f>_xlfn.NUMBERVALUE("0.000396")</f>
        <v/>
      </c>
      <c r="R832">
        <f>_xlfn.NUMBERVALUE("-0.003617")</f>
        <v/>
      </c>
      <c r="S832">
        <f>_xlfn.NUMBERVALUE("-0.003109")</f>
        <v/>
      </c>
      <c r="T832">
        <f>_xlfn.NUMBERVALUE("-0.000609")</f>
        <v/>
      </c>
      <c r="U832">
        <f>_xlfn.NUMBERVALUE("-0.001661")</f>
        <v/>
      </c>
      <c r="V832">
        <f>_xlfn.NUMBERVALUE("-0.001326")</f>
        <v/>
      </c>
      <c r="W832">
        <f>_xlfn.NUMBERVALUE("-0.010649")</f>
        <v/>
      </c>
      <c r="X832">
        <f>_xlfn.NUMBERVALUE("0.920000")</f>
        <v/>
      </c>
      <c r="Y832">
        <f>_xlfn.NUMBERVALUE("16.880000")</f>
        <v/>
      </c>
    </row>
    <row r="833">
      <c r="A833" s="1" t="n">
        <v>43213</v>
      </c>
      <c r="B833">
        <f>_xlfn.NUMBERVALUE("0.003299")</f>
        <v/>
      </c>
      <c r="C833" s="2">
        <f>_xlfn.NUMBERVALUE("0.002264")</f>
        <v/>
      </c>
      <c r="D833">
        <f>_xlfn.NUMBERVALUE("0.001256")</f>
        <v/>
      </c>
      <c r="E833">
        <f>_xlfn.NUMBERVALUE("0.001608")</f>
        <v/>
      </c>
      <c r="F833">
        <f>_xlfn.NUMBERVALUE("-0.001628")</f>
        <v/>
      </c>
      <c r="G833">
        <f>_xlfn.NUMBERVALUE("0.000873")</f>
        <v/>
      </c>
      <c r="H833">
        <f>_xlfn.NUMBERVALUE("-0.000008")</f>
        <v/>
      </c>
      <c r="I833">
        <f>_xlfn.NUMBERVALUE("0.003465")</f>
        <v/>
      </c>
      <c r="J833">
        <f>_xlfn.NUMBERVALUE("0.000171")</f>
        <v/>
      </c>
      <c r="K833">
        <f>_xlfn.NUMBERVALUE("-0.003325")</f>
        <v/>
      </c>
      <c r="L833">
        <f>_xlfn.NUMBERVALUE("0.000906")</f>
        <v/>
      </c>
      <c r="M833">
        <f>_xlfn.NUMBERVALUE("0.002577")</f>
        <v/>
      </c>
      <c r="N833">
        <f>_xlfn.NUMBERVALUE("0.000000")</f>
        <v/>
      </c>
      <c r="O833">
        <f>_xlfn.NUMBERVALUE("0.000189")</f>
        <v/>
      </c>
      <c r="P833">
        <f>_xlfn.NUMBERVALUE("0.004413")</f>
        <v/>
      </c>
      <c r="Q833">
        <f>_xlfn.NUMBERVALUE("0.001402")</f>
        <v/>
      </c>
      <c r="R833">
        <f>_xlfn.NUMBERVALUE("0.002415")</f>
        <v/>
      </c>
      <c r="S833">
        <f>_xlfn.NUMBERVALUE("0.000771")</f>
        <v/>
      </c>
      <c r="T833">
        <f>_xlfn.NUMBERVALUE("0.001974")</f>
        <v/>
      </c>
      <c r="U833">
        <f>_xlfn.NUMBERVALUE("0.001904")</f>
        <v/>
      </c>
      <c r="V833">
        <f>_xlfn.NUMBERVALUE("0.002102")</f>
        <v/>
      </c>
      <c r="W833">
        <f>_xlfn.NUMBERVALUE("-0.000071")</f>
        <v/>
      </c>
      <c r="X833">
        <f>_xlfn.NUMBERVALUE("-0.540000")</f>
        <v/>
      </c>
      <c r="Y833">
        <f>_xlfn.NUMBERVALUE("16.340000")</f>
        <v/>
      </c>
    </row>
    <row r="834">
      <c r="A834" s="1" t="n">
        <v>43214</v>
      </c>
      <c r="B834">
        <f>_xlfn.NUMBERVALUE("0.004341")</f>
        <v/>
      </c>
      <c r="C834" s="2">
        <f>_xlfn.NUMBERVALUE("-0.006166")</f>
        <v/>
      </c>
      <c r="D834">
        <f>_xlfn.NUMBERVALUE("-0.000796")</f>
        <v/>
      </c>
      <c r="E834">
        <f>_xlfn.NUMBERVALUE("-0.000873")</f>
        <v/>
      </c>
      <c r="F834">
        <f>_xlfn.NUMBERVALUE("0.000430")</f>
        <v/>
      </c>
      <c r="G834">
        <f>_xlfn.NUMBERVALUE("-0.000949")</f>
        <v/>
      </c>
      <c r="H834">
        <f>_xlfn.NUMBERVALUE("0.000344")</f>
        <v/>
      </c>
      <c r="I834">
        <f>_xlfn.NUMBERVALUE("-0.001922")</f>
        <v/>
      </c>
      <c r="J834">
        <f>_xlfn.NUMBERVALUE("-0.000546")</f>
        <v/>
      </c>
      <c r="K834">
        <f>_xlfn.NUMBERVALUE("-0.000574")</f>
        <v/>
      </c>
      <c r="L834">
        <f>_xlfn.NUMBERVALUE("-0.000874")</f>
        <v/>
      </c>
      <c r="M834">
        <f>_xlfn.NUMBERVALUE("-0.009918")</f>
        <v/>
      </c>
      <c r="N834">
        <f>_xlfn.NUMBERVALUE("0.000000")</f>
        <v/>
      </c>
      <c r="O834">
        <f>_xlfn.NUMBERVALUE("0.000868")</f>
        <v/>
      </c>
      <c r="P834">
        <f>_xlfn.NUMBERVALUE("-0.002116")</f>
        <v/>
      </c>
      <c r="Q834">
        <f>_xlfn.NUMBERVALUE("-0.010206")</f>
        <v/>
      </c>
      <c r="R834">
        <f>_xlfn.NUMBERVALUE("-0.003879")</f>
        <v/>
      </c>
      <c r="S834">
        <f>_xlfn.NUMBERVALUE("-0.000785")</f>
        <v/>
      </c>
      <c r="T834">
        <f>_xlfn.NUMBERVALUE("-0.001063")</f>
        <v/>
      </c>
      <c r="U834">
        <f>_xlfn.NUMBERVALUE("-0.004052")</f>
        <v/>
      </c>
      <c r="V834">
        <f>_xlfn.NUMBERVALUE("-0.004959")</f>
        <v/>
      </c>
      <c r="W834">
        <f>_xlfn.NUMBERVALUE("-0.016883")</f>
        <v/>
      </c>
      <c r="X834">
        <f>_xlfn.NUMBERVALUE("1.680000")</f>
        <v/>
      </c>
      <c r="Y834">
        <f>_xlfn.NUMBERVALUE("18.020000")</f>
        <v/>
      </c>
    </row>
    <row r="835">
      <c r="A835" s="1" t="n">
        <v>43215</v>
      </c>
      <c r="B835">
        <f>_xlfn.NUMBERVALUE("0.000264")</f>
        <v/>
      </c>
      <c r="C835" s="2">
        <f>_xlfn.NUMBERVALUE("0.000657")</f>
        <v/>
      </c>
      <c r="D835">
        <f>_xlfn.NUMBERVALUE("-0.001353")</f>
        <v/>
      </c>
      <c r="E835">
        <f>_xlfn.NUMBERVALUE("0.000736")</f>
        <v/>
      </c>
      <c r="F835">
        <f>_xlfn.NUMBERVALUE("0.000254")</f>
        <v/>
      </c>
      <c r="G835">
        <f>_xlfn.NUMBERVALUE("0.001347")</f>
        <v/>
      </c>
      <c r="H835">
        <f>_xlfn.NUMBERVALUE("-0.000221")</f>
        <v/>
      </c>
      <c r="I835">
        <f>_xlfn.NUMBERVALUE("0.000886")</f>
        <v/>
      </c>
      <c r="J835">
        <f>_xlfn.NUMBERVALUE("0.000681")</f>
        <v/>
      </c>
      <c r="K835">
        <f>_xlfn.NUMBERVALUE("0.000902")</f>
        <v/>
      </c>
      <c r="L835">
        <f>_xlfn.NUMBERVALUE("-0.000100")</f>
        <v/>
      </c>
      <c r="M835">
        <f>_xlfn.NUMBERVALUE("-0.001631")</f>
        <v/>
      </c>
      <c r="N835">
        <f>_xlfn.NUMBERVALUE("0.000000")</f>
        <v/>
      </c>
      <c r="O835">
        <f>_xlfn.NUMBERVALUE("0.006390")</f>
        <v/>
      </c>
      <c r="P835">
        <f>_xlfn.NUMBERVALUE("-0.000899")</f>
        <v/>
      </c>
      <c r="Q835">
        <f>_xlfn.NUMBERVALUE("0.000581")</f>
        <v/>
      </c>
      <c r="R835">
        <f>_xlfn.NUMBERVALUE("0.000644")</f>
        <v/>
      </c>
      <c r="S835">
        <f>_xlfn.NUMBERVALUE("0.000493")</f>
        <v/>
      </c>
      <c r="T835">
        <f>_xlfn.NUMBERVALUE("0.000971")</f>
        <v/>
      </c>
      <c r="U835">
        <f>_xlfn.NUMBERVALUE("-0.000236")</f>
        <v/>
      </c>
      <c r="V835">
        <f>_xlfn.NUMBERVALUE("0.000503")</f>
        <v/>
      </c>
      <c r="W835">
        <f>_xlfn.NUMBERVALUE("0.004661")</f>
        <v/>
      </c>
      <c r="X835">
        <f>_xlfn.NUMBERVALUE("-0.180000")</f>
        <v/>
      </c>
      <c r="Y835">
        <f>_xlfn.NUMBERVALUE("17.840000")</f>
        <v/>
      </c>
    </row>
    <row r="836">
      <c r="A836" s="1" t="n">
        <v>43216</v>
      </c>
      <c r="B836">
        <f>_xlfn.NUMBERVALUE("0.000000")</f>
        <v/>
      </c>
      <c r="C836" s="2">
        <f>_xlfn.NUMBERVALUE("0.001443")</f>
        <v/>
      </c>
      <c r="D836">
        <f>_xlfn.NUMBERVALUE("0.002177")</f>
        <v/>
      </c>
      <c r="E836">
        <f>_xlfn.NUMBERVALUE("0.001320")</f>
        <v/>
      </c>
      <c r="F836">
        <f>_xlfn.NUMBERVALUE("0.000298")</f>
        <v/>
      </c>
      <c r="G836">
        <f>_xlfn.NUMBERVALUE("0.000162")</f>
        <v/>
      </c>
      <c r="H836">
        <f>_xlfn.NUMBERVALUE("-0.000201")</f>
        <v/>
      </c>
      <c r="I836">
        <f>_xlfn.NUMBERVALUE("0.002682")</f>
        <v/>
      </c>
      <c r="J836">
        <f>_xlfn.NUMBERVALUE("-0.000726")</f>
        <v/>
      </c>
      <c r="K836">
        <f>_xlfn.NUMBERVALUE("0.001798")</f>
        <v/>
      </c>
      <c r="L836">
        <f>_xlfn.NUMBERVALUE("-0.000006")</f>
        <v/>
      </c>
      <c r="M836">
        <f>_xlfn.NUMBERVALUE("0.004453")</f>
        <v/>
      </c>
      <c r="N836">
        <f>_xlfn.NUMBERVALUE("0.000000")</f>
        <v/>
      </c>
      <c r="O836">
        <f>_xlfn.NUMBERVALUE("-0.011893")</f>
        <v/>
      </c>
      <c r="P836">
        <f>_xlfn.NUMBERVALUE("0.004956")</f>
        <v/>
      </c>
      <c r="Q836">
        <f>_xlfn.NUMBERVALUE("0.003068")</f>
        <v/>
      </c>
      <c r="R836">
        <f>_xlfn.NUMBERVALUE("-0.000253")</f>
        <v/>
      </c>
      <c r="S836">
        <f>_xlfn.NUMBERVALUE("0.000855")</f>
        <v/>
      </c>
      <c r="T836">
        <f>_xlfn.NUMBERVALUE("-0.000313")</f>
        <v/>
      </c>
      <c r="U836">
        <f>_xlfn.NUMBERVALUE("-0.000946")</f>
        <v/>
      </c>
      <c r="V836">
        <f>_xlfn.NUMBERVALUE("0.000705")</f>
        <v/>
      </c>
      <c r="W836">
        <f>_xlfn.NUMBERVALUE("0.014032")</f>
        <v/>
      </c>
      <c r="X836">
        <f>_xlfn.NUMBERVALUE("-1.600000")</f>
        <v/>
      </c>
      <c r="Y836">
        <f>_xlfn.NUMBERVALUE("16.240000")</f>
        <v/>
      </c>
    </row>
    <row r="837">
      <c r="A837" s="1" t="n">
        <v>43217</v>
      </c>
      <c r="B837">
        <f>_xlfn.NUMBERVALUE("-0.001675")</f>
        <v/>
      </c>
      <c r="C837" s="2">
        <f>_xlfn.NUMBERVALUE("0.002495")</f>
        <v/>
      </c>
      <c r="D837">
        <f>_xlfn.NUMBERVALUE("0.001711")</f>
        <v/>
      </c>
      <c r="E837">
        <f>_xlfn.NUMBERVALUE("0.000812")</f>
        <v/>
      </c>
      <c r="F837">
        <f>_xlfn.NUMBERVALUE("0.001663")</f>
        <v/>
      </c>
      <c r="G837">
        <f>_xlfn.NUMBERVALUE("0.000648")</f>
        <v/>
      </c>
      <c r="H837">
        <f>_xlfn.NUMBERVALUE("0.000210")</f>
        <v/>
      </c>
      <c r="I837">
        <f>_xlfn.NUMBERVALUE("0.003003")</f>
        <v/>
      </c>
      <c r="J837">
        <f>_xlfn.NUMBERVALUE("0.000325")</f>
        <v/>
      </c>
      <c r="K837">
        <f>_xlfn.NUMBERVALUE("0.002066")</f>
        <v/>
      </c>
      <c r="L837">
        <f>_xlfn.NUMBERVALUE("0.000504")</f>
        <v/>
      </c>
      <c r="M837">
        <f>_xlfn.NUMBERVALUE("0.003629")</f>
        <v/>
      </c>
      <c r="N837">
        <f>_xlfn.NUMBERVALUE("0.000000")</f>
        <v/>
      </c>
      <c r="O837">
        <f>_xlfn.NUMBERVALUE("0.001820")</f>
        <v/>
      </c>
      <c r="P837">
        <f>_xlfn.NUMBERVALUE("0.003455")</f>
        <v/>
      </c>
      <c r="Q837">
        <f>_xlfn.NUMBERVALUE("0.003078")</f>
        <v/>
      </c>
      <c r="R837">
        <f>_xlfn.NUMBERVALUE("0.003086")</f>
        <v/>
      </c>
      <c r="S837">
        <f>_xlfn.NUMBERVALUE("-0.000209")</f>
        <v/>
      </c>
      <c r="T837">
        <f>_xlfn.NUMBERVALUE("-0.000677")</f>
        <v/>
      </c>
      <c r="U837">
        <f>_xlfn.NUMBERVALUE("0.001598")</f>
        <v/>
      </c>
      <c r="V837">
        <f>_xlfn.NUMBERVALUE("0.002948")</f>
        <v/>
      </c>
      <c r="W837">
        <f>_xlfn.NUMBERVALUE("-0.000188")</f>
        <v/>
      </c>
      <c r="X837">
        <f>_xlfn.NUMBERVALUE("-0.830000")</f>
        <v/>
      </c>
      <c r="Y837">
        <f>_xlfn.NUMBERVALUE("15.410000")</f>
        <v/>
      </c>
    </row>
    <row r="838">
      <c r="A838" s="1" t="n">
        <v>43220</v>
      </c>
      <c r="B838">
        <f>_xlfn.NUMBERVALUE("0.000892")</f>
        <v/>
      </c>
      <c r="C838" s="2">
        <f>_xlfn.NUMBERVALUE("0.001391")</f>
        <v/>
      </c>
      <c r="D838">
        <f>_xlfn.NUMBERVALUE("0.000410")</f>
        <v/>
      </c>
      <c r="E838">
        <f>_xlfn.NUMBERVALUE("0.001141")</f>
        <v/>
      </c>
      <c r="F838">
        <f>_xlfn.NUMBERVALUE("-0.000795")</f>
        <v/>
      </c>
      <c r="G838">
        <f>_xlfn.NUMBERVALUE("0.000441")</f>
        <v/>
      </c>
      <c r="H838">
        <f>_xlfn.NUMBERVALUE("0.000467")</f>
        <v/>
      </c>
      <c r="I838">
        <f>_xlfn.NUMBERVALUE("0.002420")</f>
        <v/>
      </c>
      <c r="J838">
        <f>_xlfn.NUMBERVALUE("0.000301")</f>
        <v/>
      </c>
      <c r="K838">
        <f>_xlfn.NUMBERVALUE("-0.000411")</f>
        <v/>
      </c>
      <c r="L838">
        <f>_xlfn.NUMBERVALUE("0.000228")</f>
        <v/>
      </c>
      <c r="M838">
        <f>_xlfn.NUMBERVALUE("-0.000391")</f>
        <v/>
      </c>
      <c r="N838">
        <f>_xlfn.NUMBERVALUE("0.000000")</f>
        <v/>
      </c>
      <c r="O838">
        <f>_xlfn.NUMBERVALUE("0.001374")</f>
        <v/>
      </c>
      <c r="P838">
        <f>_xlfn.NUMBERVALUE("0.002182")</f>
        <v/>
      </c>
      <c r="Q838">
        <f>_xlfn.NUMBERVALUE("0.000484")</f>
        <v/>
      </c>
      <c r="R838">
        <f>_xlfn.NUMBERVALUE("0.002100")</f>
        <v/>
      </c>
      <c r="S838">
        <f>_xlfn.NUMBERVALUE("-0.000231")</f>
        <v/>
      </c>
      <c r="T838">
        <f>_xlfn.NUMBERVALUE("0.000996")</f>
        <v/>
      </c>
      <c r="U838">
        <f>_xlfn.NUMBERVALUE("0.002870")</f>
        <v/>
      </c>
      <c r="V838">
        <f>_xlfn.NUMBERVALUE("0.001507")</f>
        <v/>
      </c>
      <c r="W838">
        <f>_xlfn.NUMBERVALUE("-0.004651")</f>
        <v/>
      </c>
      <c r="X838">
        <f>_xlfn.NUMBERVALUE("0.520000")</f>
        <v/>
      </c>
      <c r="Y838">
        <f>_xlfn.NUMBERVALUE("15.930000")</f>
        <v/>
      </c>
    </row>
    <row r="839">
      <c r="A839" s="1" t="n">
        <v>43221</v>
      </c>
      <c r="B839">
        <f>_xlfn.NUMBERVALUE("-0.000027")</f>
        <v/>
      </c>
      <c r="C839" s="2">
        <f>_xlfn.NUMBERVALUE("-0.001203")</f>
        <v/>
      </c>
      <c r="D839">
        <f>_xlfn.NUMBERVALUE("-0.000844")</f>
        <v/>
      </c>
      <c r="E839">
        <f>_xlfn.NUMBERVALUE("0.000376")</f>
        <v/>
      </c>
      <c r="F839">
        <f>_xlfn.NUMBERVALUE("-0.001144")</f>
        <v/>
      </c>
      <c r="G839">
        <f>_xlfn.NUMBERVALUE("0.000060")</f>
        <v/>
      </c>
      <c r="H839">
        <f>_xlfn.NUMBERVALUE("0.000386")</f>
        <v/>
      </c>
      <c r="I839">
        <f>_xlfn.NUMBERVALUE("0.001068")</f>
        <v/>
      </c>
      <c r="J839">
        <f>_xlfn.NUMBERVALUE("0.000445")</f>
        <v/>
      </c>
      <c r="K839">
        <f>_xlfn.NUMBERVALUE("-0.001777")</f>
        <v/>
      </c>
      <c r="L839">
        <f>_xlfn.NUMBERVALUE("0.001623")</f>
        <v/>
      </c>
      <c r="M839">
        <f>_xlfn.NUMBERVALUE("0.000242")</f>
        <v/>
      </c>
      <c r="N839">
        <f>_xlfn.NUMBERVALUE("0.000000")</f>
        <v/>
      </c>
      <c r="O839">
        <f>_xlfn.NUMBERVALUE("0.000457")</f>
        <v/>
      </c>
      <c r="P839">
        <f>_xlfn.NUMBERVALUE("0.000795")</f>
        <v/>
      </c>
      <c r="Q839">
        <f>_xlfn.NUMBERVALUE("-0.000856")</f>
        <v/>
      </c>
      <c r="R839">
        <f>_xlfn.NUMBERVALUE("0.000523")</f>
        <v/>
      </c>
      <c r="S839">
        <f>_xlfn.NUMBERVALUE("-0.000260")</f>
        <v/>
      </c>
      <c r="T839">
        <f>_xlfn.NUMBERVALUE("0.000749")</f>
        <v/>
      </c>
      <c r="U839">
        <f>_xlfn.NUMBERVALUE("0.003988")</f>
        <v/>
      </c>
      <c r="V839">
        <f>_xlfn.NUMBERVALUE("0.001030")</f>
        <v/>
      </c>
      <c r="W839">
        <f>_xlfn.NUMBERVALUE("-0.004107")</f>
        <v/>
      </c>
      <c r="X839">
        <f>_xlfn.NUMBERVALUE("-0.440000")</f>
        <v/>
      </c>
      <c r="Y839">
        <f>_xlfn.NUMBERVALUE("15.490000")</f>
        <v/>
      </c>
    </row>
    <row r="840">
      <c r="A840" s="1" t="n">
        <v>43222</v>
      </c>
      <c r="B840">
        <f>_xlfn.NUMBERVALUE("0.000634")</f>
        <v/>
      </c>
      <c r="C840" s="2">
        <f>_xlfn.NUMBERVALUE("-0.000681")</f>
        <v/>
      </c>
      <c r="D840">
        <f>_xlfn.NUMBERVALUE("0.000119")</f>
        <v/>
      </c>
      <c r="E840">
        <f>_xlfn.NUMBERVALUE("0.000624")</f>
        <v/>
      </c>
      <c r="F840">
        <f>_xlfn.NUMBERVALUE("0.000751")</f>
        <v/>
      </c>
      <c r="G840">
        <f>_xlfn.NUMBERVALUE("0.000781")</f>
        <v/>
      </c>
      <c r="H840">
        <f>_xlfn.NUMBERVALUE("-0.000165")</f>
        <v/>
      </c>
      <c r="I840">
        <f>_xlfn.NUMBERVALUE("0.000785")</f>
        <v/>
      </c>
      <c r="J840">
        <f>_xlfn.NUMBERVALUE("-0.000061")</f>
        <v/>
      </c>
      <c r="K840">
        <f>_xlfn.NUMBERVALUE("0.001472")</f>
        <v/>
      </c>
      <c r="L840">
        <f>_xlfn.NUMBERVALUE("0.000084")</f>
        <v/>
      </c>
      <c r="M840">
        <f>_xlfn.NUMBERVALUE("-0.003388")</f>
        <v/>
      </c>
      <c r="N840">
        <f>_xlfn.NUMBERVALUE("0.000000")</f>
        <v/>
      </c>
      <c r="O840">
        <f>_xlfn.NUMBERVALUE("0.000993")</f>
        <v/>
      </c>
      <c r="P840">
        <f>_xlfn.NUMBERVALUE("-0.001038")</f>
        <v/>
      </c>
      <c r="Q840">
        <f>_xlfn.NUMBERVALUE("0.000086")</f>
        <v/>
      </c>
      <c r="R840">
        <f>_xlfn.NUMBERVALUE("0.001947")</f>
        <v/>
      </c>
      <c r="S840">
        <f>_xlfn.NUMBERVALUE("-0.000223")</f>
        <v/>
      </c>
      <c r="T840">
        <f>_xlfn.NUMBERVALUE("0.001257")</f>
        <v/>
      </c>
      <c r="U840">
        <f>_xlfn.NUMBERVALUE("-0.000845")</f>
        <v/>
      </c>
      <c r="V840">
        <f>_xlfn.NUMBERVALUE("0.000907")</f>
        <v/>
      </c>
      <c r="W840">
        <f>_xlfn.NUMBERVALUE("-0.003292")</f>
        <v/>
      </c>
      <c r="X840">
        <f>_xlfn.NUMBERVALUE("0.480000")</f>
        <v/>
      </c>
      <c r="Y840">
        <f>_xlfn.NUMBERVALUE("15.970000")</f>
        <v/>
      </c>
    </row>
    <row r="841">
      <c r="A841" s="1" t="n">
        <v>43223</v>
      </c>
      <c r="B841">
        <f>_xlfn.NUMBERVALUE("-0.000063")</f>
        <v/>
      </c>
      <c r="C841" s="2">
        <f>_xlfn.NUMBERVALUE("0.000757")</f>
        <v/>
      </c>
      <c r="D841">
        <f>_xlfn.NUMBERVALUE("0.000107")</f>
        <v/>
      </c>
      <c r="E841">
        <f>_xlfn.NUMBERVALUE("0.001239")</f>
        <v/>
      </c>
      <c r="F841">
        <f>_xlfn.NUMBERVALUE("0.001184")</f>
        <v/>
      </c>
      <c r="G841">
        <f>_xlfn.NUMBERVALUE("0.000557")</f>
        <v/>
      </c>
      <c r="H841">
        <f>_xlfn.NUMBERVALUE("0.000027")</f>
        <v/>
      </c>
      <c r="I841">
        <f>_xlfn.NUMBERVALUE("0.001607")</f>
        <v/>
      </c>
      <c r="J841">
        <f>_xlfn.NUMBERVALUE("-0.000008")</f>
        <v/>
      </c>
      <c r="K841">
        <f>_xlfn.NUMBERVALUE("0.002886")</f>
        <v/>
      </c>
      <c r="L841">
        <f>_xlfn.NUMBERVALUE("0.000062")</f>
        <v/>
      </c>
      <c r="M841">
        <f>_xlfn.NUMBERVALUE("0.004792")</f>
        <v/>
      </c>
      <c r="N841">
        <f>_xlfn.NUMBERVALUE("0.000000")</f>
        <v/>
      </c>
      <c r="O841">
        <f>_xlfn.NUMBERVALUE("-0.000717")</f>
        <v/>
      </c>
      <c r="P841">
        <f>_xlfn.NUMBERVALUE("-0.000698")</f>
        <v/>
      </c>
      <c r="Q841">
        <f>_xlfn.NUMBERVALUE("0.000093")</f>
        <v/>
      </c>
      <c r="R841">
        <f>_xlfn.NUMBERVALUE("0.001082")</f>
        <v/>
      </c>
      <c r="S841">
        <f>_xlfn.NUMBERVALUE("-0.000333")</f>
        <v/>
      </c>
      <c r="T841">
        <f>_xlfn.NUMBERVALUE("0.000391")</f>
        <v/>
      </c>
      <c r="U841">
        <f>_xlfn.NUMBERVALUE("0.000595")</f>
        <v/>
      </c>
      <c r="V841">
        <f>_xlfn.NUMBERVALUE("0.000176")</f>
        <v/>
      </c>
      <c r="W841">
        <f>_xlfn.NUMBERVALUE("-0.003834")</f>
        <v/>
      </c>
      <c r="X841">
        <f>_xlfn.NUMBERVALUE("-0.070000")</f>
        <v/>
      </c>
      <c r="Y841">
        <f>_xlfn.NUMBERVALUE("15.900000")</f>
        <v/>
      </c>
    </row>
    <row r="842">
      <c r="A842" s="1" t="n">
        <v>43224</v>
      </c>
      <c r="B842">
        <f>_xlfn.NUMBERVALUE("0.027451")</f>
        <v/>
      </c>
      <c r="C842" s="2">
        <f>_xlfn.NUMBERVALUE("0.000139")</f>
        <v/>
      </c>
      <c r="D842">
        <f>_xlfn.NUMBERVALUE("0.000107")</f>
        <v/>
      </c>
      <c r="E842">
        <f>_xlfn.NUMBERVALUE("-0.000161")</f>
        <v/>
      </c>
      <c r="F842">
        <f>_xlfn.NUMBERVALUE("0.000441")</f>
        <v/>
      </c>
      <c r="G842">
        <f>_xlfn.NUMBERVALUE("0.000500")</f>
        <v/>
      </c>
      <c r="H842">
        <f>_xlfn.NUMBERVALUE("-0.000009")</f>
        <v/>
      </c>
      <c r="I842">
        <f>_xlfn.NUMBERVALUE("-0.006127")</f>
        <v/>
      </c>
      <c r="J842">
        <f>_xlfn.NUMBERVALUE("0.000009")</f>
        <v/>
      </c>
      <c r="K842">
        <f>_xlfn.NUMBERVALUE("0.004470")</f>
        <v/>
      </c>
      <c r="L842">
        <f>_xlfn.NUMBERVALUE("0.000758")</f>
        <v/>
      </c>
      <c r="M842">
        <f>_xlfn.NUMBERVALUE("0.000406")</f>
        <v/>
      </c>
      <c r="N842">
        <f>_xlfn.NUMBERVALUE("0.000000")</f>
        <v/>
      </c>
      <c r="O842">
        <f>_xlfn.NUMBERVALUE("0.000384")</f>
        <v/>
      </c>
      <c r="P842">
        <f>_xlfn.NUMBERVALUE("0.002208")</f>
        <v/>
      </c>
      <c r="Q842">
        <f>_xlfn.NUMBERVALUE("0.001495")</f>
        <v/>
      </c>
      <c r="R842">
        <f>_xlfn.NUMBERVALUE("-0.003794")</f>
        <v/>
      </c>
      <c r="S842">
        <f>_xlfn.NUMBERVALUE("0.000237")</f>
        <v/>
      </c>
      <c r="T842">
        <f>_xlfn.NUMBERVALUE("0.000381")</f>
        <v/>
      </c>
      <c r="U842">
        <f>_xlfn.NUMBERVALUE("-0.002188")</f>
        <v/>
      </c>
      <c r="V842">
        <f>_xlfn.NUMBERVALUE("0.001581")</f>
        <v/>
      </c>
      <c r="W842">
        <f>_xlfn.NUMBERVALUE("0.007355")</f>
        <v/>
      </c>
      <c r="X842">
        <f>_xlfn.NUMBERVALUE("-1.130000")</f>
        <v/>
      </c>
      <c r="Y842">
        <f>_xlfn.NUMBERVALUE("14.770000")</f>
        <v/>
      </c>
    </row>
    <row r="843">
      <c r="A843" s="1" t="n">
        <v>43227</v>
      </c>
      <c r="B843">
        <f>_xlfn.NUMBERVALUE("-0.002767")</f>
        <v/>
      </c>
      <c r="C843" s="2">
        <f>_xlfn.NUMBERVALUE("0.001157")</f>
        <v/>
      </c>
      <c r="D843">
        <f>_xlfn.NUMBERVALUE("0.001693")</f>
        <v/>
      </c>
      <c r="E843">
        <f>_xlfn.NUMBERVALUE("0.000871")</f>
        <v/>
      </c>
      <c r="F843">
        <f>_xlfn.NUMBERVALUE("0.000729")</f>
        <v/>
      </c>
      <c r="G843">
        <f>_xlfn.NUMBERVALUE("0.000177")</f>
        <v/>
      </c>
      <c r="H843">
        <f>_xlfn.NUMBERVALUE("0.000852")</f>
        <v/>
      </c>
      <c r="I843">
        <f>_xlfn.NUMBERVALUE("-0.000368")</f>
        <v/>
      </c>
      <c r="J843">
        <f>_xlfn.NUMBERVALUE("0.001427")</f>
        <v/>
      </c>
      <c r="K843">
        <f>_xlfn.NUMBERVALUE("0.000271")</f>
        <v/>
      </c>
      <c r="L843">
        <f>_xlfn.NUMBERVALUE("-0.000048")</f>
        <v/>
      </c>
      <c r="M843">
        <f>_xlfn.NUMBERVALUE("0.004405")</f>
        <v/>
      </c>
      <c r="N843">
        <f>_xlfn.NUMBERVALUE("0.000000")</f>
        <v/>
      </c>
      <c r="O843">
        <f>_xlfn.NUMBERVALUE("0.000241")</f>
        <v/>
      </c>
      <c r="P843">
        <f>_xlfn.NUMBERVALUE("0.000190")</f>
        <v/>
      </c>
      <c r="Q843">
        <f>_xlfn.NUMBERVALUE("0.002049")</f>
        <v/>
      </c>
      <c r="R843">
        <f>_xlfn.NUMBERVALUE("0.001591")</f>
        <v/>
      </c>
      <c r="S843">
        <f>_xlfn.NUMBERVALUE("0.000096")</f>
        <v/>
      </c>
      <c r="T843">
        <f>_xlfn.NUMBERVALUE("0.000701")</f>
        <v/>
      </c>
      <c r="U843">
        <f>_xlfn.NUMBERVALUE("0.002221")</f>
        <v/>
      </c>
      <c r="V843">
        <f>_xlfn.NUMBERVALUE("0.001339")</f>
        <v/>
      </c>
      <c r="W843">
        <f>_xlfn.NUMBERVALUE("0.002178")</f>
        <v/>
      </c>
      <c r="X843">
        <f>_xlfn.NUMBERVALUE("-0.020000")</f>
        <v/>
      </c>
      <c r="Y843">
        <f>_xlfn.NUMBERVALUE("14.750000")</f>
        <v/>
      </c>
    </row>
    <row r="844">
      <c r="A844" s="1" t="n">
        <v>43228</v>
      </c>
      <c r="B844">
        <f>_xlfn.NUMBERVALUE("0.006270")</f>
        <v/>
      </c>
      <c r="C844" s="2">
        <f>_xlfn.NUMBERVALUE("0.000670")</f>
        <v/>
      </c>
      <c r="D844">
        <f>_xlfn.NUMBERVALUE("0.000607")</f>
        <v/>
      </c>
      <c r="E844">
        <f>_xlfn.NUMBERVALUE("0.000839")</f>
        <v/>
      </c>
      <c r="F844">
        <f>_xlfn.NUMBERVALUE("0.000032")</f>
        <v/>
      </c>
      <c r="G844">
        <f>_xlfn.NUMBERVALUE("0.000445")</f>
        <v/>
      </c>
      <c r="H844">
        <f>_xlfn.NUMBERVALUE("-0.000468")</f>
        <v/>
      </c>
      <c r="I844">
        <f>_xlfn.NUMBERVALUE("0.000146")</f>
        <v/>
      </c>
      <c r="J844">
        <f>_xlfn.NUMBERVALUE("-0.000528")</f>
        <v/>
      </c>
      <c r="K844">
        <f>_xlfn.NUMBERVALUE("0.001378")</f>
        <v/>
      </c>
      <c r="L844">
        <f>_xlfn.NUMBERVALUE("-0.000683")</f>
        <v/>
      </c>
      <c r="M844">
        <f>_xlfn.NUMBERVALUE("0.002678")</f>
        <v/>
      </c>
      <c r="N844">
        <f>_xlfn.NUMBERVALUE("0.000000")</f>
        <v/>
      </c>
      <c r="O844">
        <f>_xlfn.NUMBERVALUE("-0.000012")</f>
        <v/>
      </c>
      <c r="P844">
        <f>_xlfn.NUMBERVALUE("0.001143")</f>
        <v/>
      </c>
      <c r="Q844">
        <f>_xlfn.NUMBERVALUE("0.000937")</f>
        <v/>
      </c>
      <c r="R844">
        <f>_xlfn.NUMBERVALUE("0.001091")</f>
        <v/>
      </c>
      <c r="S844">
        <f>_xlfn.NUMBERVALUE("-0.000054")</f>
        <v/>
      </c>
      <c r="T844">
        <f>_xlfn.NUMBERVALUE("-0.005178")</f>
        <v/>
      </c>
      <c r="U844">
        <f>_xlfn.NUMBERVALUE("0.001229")</f>
        <v/>
      </c>
      <c r="V844">
        <f>_xlfn.NUMBERVALUE("0.000614")</f>
        <v/>
      </c>
      <c r="W844">
        <f>_xlfn.NUMBERVALUE("-0.000337")</f>
        <v/>
      </c>
      <c r="X844">
        <f>_xlfn.NUMBERVALUE("-0.040000")</f>
        <v/>
      </c>
      <c r="Y844">
        <f>_xlfn.NUMBERVALUE("14.710000")</f>
        <v/>
      </c>
    </row>
    <row r="845">
      <c r="A845" s="1" t="n">
        <v>43229</v>
      </c>
      <c r="B845">
        <f>_xlfn.NUMBERVALUE("-0.024756")</f>
        <v/>
      </c>
      <c r="C845" s="2">
        <f>_xlfn.NUMBERVALUE("0.001088")</f>
        <v/>
      </c>
      <c r="D845">
        <f>_xlfn.NUMBERVALUE("0.002013")</f>
        <v/>
      </c>
      <c r="E845">
        <f>_xlfn.NUMBERVALUE("-0.000010")</f>
        <v/>
      </c>
      <c r="F845">
        <f>_xlfn.NUMBERVALUE("0.000198")</f>
        <v/>
      </c>
      <c r="G845">
        <f>_xlfn.NUMBERVALUE("0.000855")</f>
        <v/>
      </c>
      <c r="H845">
        <f>_xlfn.NUMBERVALUE("-0.000551")</f>
        <v/>
      </c>
      <c r="I845">
        <f>_xlfn.NUMBERVALUE("0.000615")</f>
        <v/>
      </c>
      <c r="J845">
        <f>_xlfn.NUMBERVALUE("0.000139")</f>
        <v/>
      </c>
      <c r="K845">
        <f>_xlfn.NUMBERVALUE("0.001036")</f>
        <v/>
      </c>
      <c r="L845">
        <f>_xlfn.NUMBERVALUE("-0.000534")</f>
        <v/>
      </c>
      <c r="M845">
        <f>_xlfn.NUMBERVALUE("-0.004485")</f>
        <v/>
      </c>
      <c r="N845">
        <f>_xlfn.NUMBERVALUE("0.000000")</f>
        <v/>
      </c>
      <c r="O845">
        <f>_xlfn.NUMBERVALUE("0.000064")</f>
        <v/>
      </c>
      <c r="P845">
        <f>_xlfn.NUMBERVALUE("0.002206")</f>
        <v/>
      </c>
      <c r="Q845">
        <f>_xlfn.NUMBERVALUE("0.003806")</f>
        <v/>
      </c>
      <c r="R845">
        <f>_xlfn.NUMBERVALUE("-0.000278")</f>
        <v/>
      </c>
      <c r="S845">
        <f>_xlfn.NUMBERVALUE("0.000009")</f>
        <v/>
      </c>
      <c r="T845">
        <f>_xlfn.NUMBERVALUE("-0.002169")</f>
        <v/>
      </c>
      <c r="U845">
        <f>_xlfn.NUMBERVALUE("0.000354")</f>
        <v/>
      </c>
      <c r="V845">
        <f>_xlfn.NUMBERVALUE("0.000467")</f>
        <v/>
      </c>
      <c r="W845">
        <f>_xlfn.NUMBERVALUE("0.008735")</f>
        <v/>
      </c>
      <c r="X845">
        <f>_xlfn.NUMBERVALUE("-1.290000")</f>
        <v/>
      </c>
      <c r="Y845">
        <f>_xlfn.NUMBERVALUE("13.420000")</f>
        <v/>
      </c>
    </row>
    <row r="846">
      <c r="A846" s="1" t="n">
        <v>43230</v>
      </c>
      <c r="B846">
        <f>_xlfn.NUMBERVALUE("-0.006272")</f>
        <v/>
      </c>
      <c r="C846" s="2">
        <f>_xlfn.NUMBERVALUE("0.000062")</f>
        <v/>
      </c>
      <c r="D846">
        <f>_xlfn.NUMBERVALUE("-0.005548")</f>
        <v/>
      </c>
      <c r="E846">
        <f>_xlfn.NUMBERVALUE("-0.000384")</f>
        <v/>
      </c>
      <c r="F846">
        <f>_xlfn.NUMBERVALUE("-0.000122")</f>
        <v/>
      </c>
      <c r="G846">
        <f>_xlfn.NUMBERVALUE("0.000341")</f>
        <v/>
      </c>
      <c r="H846">
        <f>_xlfn.NUMBERVALUE("0.000846")</f>
        <v/>
      </c>
      <c r="I846">
        <f>_xlfn.NUMBERVALUE("0.000844")</f>
        <v/>
      </c>
      <c r="J846">
        <f>_xlfn.NUMBERVALUE("-0.000761")</f>
        <v/>
      </c>
      <c r="K846">
        <f>_xlfn.NUMBERVALUE("-0.000156")</f>
        <v/>
      </c>
      <c r="L846">
        <f>_xlfn.NUMBERVALUE("0.000630")</f>
        <v/>
      </c>
      <c r="M846">
        <f>_xlfn.NUMBERVALUE("0.000792")</f>
        <v/>
      </c>
      <c r="N846">
        <f>_xlfn.NUMBERVALUE("0.000000")</f>
        <v/>
      </c>
      <c r="O846">
        <f>_xlfn.NUMBERVALUE("0.002217")</f>
        <v/>
      </c>
      <c r="P846">
        <f>_xlfn.NUMBERVALUE("-0.000140")</f>
        <v/>
      </c>
      <c r="Q846">
        <f>_xlfn.NUMBERVALUE("0.000303")</f>
        <v/>
      </c>
      <c r="R846">
        <f>_xlfn.NUMBERVALUE("-0.000016")</f>
        <v/>
      </c>
      <c r="S846">
        <f>_xlfn.NUMBERVALUE("-0.000238")</f>
        <v/>
      </c>
      <c r="T846">
        <f>_xlfn.NUMBERVALUE("-0.000065")</f>
        <v/>
      </c>
      <c r="U846">
        <f>_xlfn.NUMBERVALUE("0.001811")</f>
        <v/>
      </c>
      <c r="V846">
        <f>_xlfn.NUMBERVALUE("-0.000799")</f>
        <v/>
      </c>
      <c r="W846">
        <f>_xlfn.NUMBERVALUE("0.010406")</f>
        <v/>
      </c>
      <c r="X846">
        <f>_xlfn.NUMBERVALUE("-0.190000")</f>
        <v/>
      </c>
      <c r="Y846">
        <f>_xlfn.NUMBERVALUE("13.230000")</f>
        <v/>
      </c>
    </row>
    <row r="847">
      <c r="A847" s="1" t="n">
        <v>43231</v>
      </c>
      <c r="B847">
        <f>_xlfn.NUMBERVALUE("0.004791")</f>
        <v/>
      </c>
      <c r="C847" s="2">
        <f>_xlfn.NUMBERVALUE("-0.000017")</f>
        <v/>
      </c>
      <c r="D847">
        <f>_xlfn.NUMBERVALUE("0.002380")</f>
        <v/>
      </c>
      <c r="E847">
        <f>_xlfn.NUMBERVALUE("0.000043")</f>
        <v/>
      </c>
      <c r="F847">
        <f>_xlfn.NUMBERVALUE("0.001300")</f>
        <v/>
      </c>
      <c r="G847">
        <f>_xlfn.NUMBERVALUE("0.000166")</f>
        <v/>
      </c>
      <c r="H847">
        <f>_xlfn.NUMBERVALUE("0.000474")</f>
        <v/>
      </c>
      <c r="I847">
        <f>_xlfn.NUMBERVALUE("0.000823")</f>
        <v/>
      </c>
      <c r="J847">
        <f>_xlfn.NUMBERVALUE("0.000590")</f>
        <v/>
      </c>
      <c r="K847">
        <f>_xlfn.NUMBERVALUE("0.001984")</f>
        <v/>
      </c>
      <c r="L847">
        <f>_xlfn.NUMBERVALUE("0.000893")</f>
        <v/>
      </c>
      <c r="M847">
        <f>_xlfn.NUMBERVALUE("0.001168")</f>
        <v/>
      </c>
      <c r="N847">
        <f>_xlfn.NUMBERVALUE("0.000000")</f>
        <v/>
      </c>
      <c r="O847">
        <f>_xlfn.NUMBERVALUE("0.002659")</f>
        <v/>
      </c>
      <c r="P847">
        <f>_xlfn.NUMBERVALUE("0.002949")</f>
        <v/>
      </c>
      <c r="Q847">
        <f>_xlfn.NUMBERVALUE("0.001937")</f>
        <v/>
      </c>
      <c r="R847">
        <f>_xlfn.NUMBERVALUE("0.001809")</f>
        <v/>
      </c>
      <c r="S847">
        <f>_xlfn.NUMBERVALUE("0.000943")</f>
        <v/>
      </c>
      <c r="T847">
        <f>_xlfn.NUMBERVALUE("0.000441")</f>
        <v/>
      </c>
      <c r="U847">
        <f>_xlfn.NUMBERVALUE("0.001445")</f>
        <v/>
      </c>
      <c r="V847">
        <f>_xlfn.NUMBERVALUE("0.000389")</f>
        <v/>
      </c>
      <c r="W847">
        <f>_xlfn.NUMBERVALUE("0.002240")</f>
        <v/>
      </c>
      <c r="X847">
        <f>_xlfn.NUMBERVALUE("-0.580000")</f>
        <v/>
      </c>
      <c r="Y847">
        <f>_xlfn.NUMBERVALUE("12.650000")</f>
        <v/>
      </c>
    </row>
    <row r="848">
      <c r="A848" s="1" t="n">
        <v>43234</v>
      </c>
      <c r="B848">
        <f>_xlfn.NUMBERVALUE("0.003135")</f>
        <v/>
      </c>
      <c r="C848" s="2">
        <f>_xlfn.NUMBERVALUE("0.001070")</f>
        <v/>
      </c>
      <c r="D848">
        <f>_xlfn.NUMBERVALUE("0.001534")</f>
        <v/>
      </c>
      <c r="E848">
        <f>_xlfn.NUMBERVALUE("0.000368")</f>
        <v/>
      </c>
      <c r="F848">
        <f>_xlfn.NUMBERVALUE("0.000281")</f>
        <v/>
      </c>
      <c r="G848">
        <f>_xlfn.NUMBERVALUE("0.000262")</f>
        <v/>
      </c>
      <c r="H848">
        <f>_xlfn.NUMBERVALUE("-0.000637")</f>
        <v/>
      </c>
      <c r="I848">
        <f>_xlfn.NUMBERVALUE("0.000692")</f>
        <v/>
      </c>
      <c r="J848">
        <f>_xlfn.NUMBERVALUE("0.000059")</f>
        <v/>
      </c>
      <c r="K848">
        <f>_xlfn.NUMBERVALUE("0.000207")</f>
        <v/>
      </c>
      <c r="L848">
        <f>_xlfn.NUMBERVALUE("0.000203")</f>
        <v/>
      </c>
      <c r="M848">
        <f>_xlfn.NUMBERVALUE("0.002003")</f>
        <v/>
      </c>
      <c r="N848">
        <f>_xlfn.NUMBERVALUE("0.000000")</f>
        <v/>
      </c>
      <c r="O848">
        <f>_xlfn.NUMBERVALUE("0.001955")</f>
        <v/>
      </c>
      <c r="P848">
        <f>_xlfn.NUMBERVALUE("0.001980")</f>
        <v/>
      </c>
      <c r="Q848">
        <f>_xlfn.NUMBERVALUE("0.002191")</f>
        <v/>
      </c>
      <c r="R848">
        <f>_xlfn.NUMBERVALUE("0.000993")</f>
        <v/>
      </c>
      <c r="S848">
        <f>_xlfn.NUMBERVALUE("0.001690")</f>
        <v/>
      </c>
      <c r="T848">
        <f>_xlfn.NUMBERVALUE("0.001294")</f>
        <v/>
      </c>
      <c r="U848">
        <f>_xlfn.NUMBERVALUE("0.001575")</f>
        <v/>
      </c>
      <c r="V848">
        <f>_xlfn.NUMBERVALUE("0.000983")</f>
        <v/>
      </c>
      <c r="W848">
        <f>_xlfn.NUMBERVALUE("0.001215")</f>
        <v/>
      </c>
      <c r="X848">
        <f>_xlfn.NUMBERVALUE("0.280000")</f>
        <v/>
      </c>
      <c r="Y848">
        <f>_xlfn.NUMBERVALUE("12.930000")</f>
        <v/>
      </c>
    </row>
    <row r="849">
      <c r="A849" s="1" t="n">
        <v>43235</v>
      </c>
      <c r="B849">
        <f>_xlfn.NUMBERVALUE("-0.012765")</f>
        <v/>
      </c>
      <c r="C849" s="2">
        <f>_xlfn.NUMBERVALUE("-0.001122")</f>
        <v/>
      </c>
      <c r="D849">
        <f>_xlfn.NUMBERVALUE("-0.006336")</f>
        <v/>
      </c>
      <c r="E849">
        <f>_xlfn.NUMBERVALUE("-0.001174")</f>
        <v/>
      </c>
      <c r="F849">
        <f>_xlfn.NUMBERVALUE("-0.004706")</f>
        <v/>
      </c>
      <c r="G849">
        <f>_xlfn.NUMBERVALUE("-0.001836")</f>
        <v/>
      </c>
      <c r="H849">
        <f>_xlfn.NUMBERVALUE("-0.001505")</f>
        <v/>
      </c>
      <c r="I849">
        <f>_xlfn.NUMBERVALUE("-0.000143")</f>
        <v/>
      </c>
      <c r="J849">
        <f>_xlfn.NUMBERVALUE("-0.002326")</f>
        <v/>
      </c>
      <c r="K849">
        <f>_xlfn.NUMBERVALUE("-0.003461")</f>
        <v/>
      </c>
      <c r="L849">
        <f>_xlfn.NUMBERVALUE("-0.003837")</f>
        <v/>
      </c>
      <c r="M849">
        <f>_xlfn.NUMBERVALUE("-0.000129")</f>
        <v/>
      </c>
      <c r="N849">
        <f>_xlfn.NUMBERVALUE("0.000000")</f>
        <v/>
      </c>
      <c r="O849">
        <f>_xlfn.NUMBERVALUE("-0.001348")</f>
        <v/>
      </c>
      <c r="P849">
        <f>_xlfn.NUMBERVALUE("-0.001347")</f>
        <v/>
      </c>
      <c r="Q849">
        <f>_xlfn.NUMBERVALUE("-0.000298")</f>
        <v/>
      </c>
      <c r="R849">
        <f>_xlfn.NUMBERVALUE("-0.001557")</f>
        <v/>
      </c>
      <c r="S849">
        <f>_xlfn.NUMBERVALUE("-0.000077")</f>
        <v/>
      </c>
      <c r="T849">
        <f>_xlfn.NUMBERVALUE("-0.000360")</f>
        <v/>
      </c>
      <c r="U849">
        <f>_xlfn.NUMBERVALUE("-0.000395")</f>
        <v/>
      </c>
      <c r="V849">
        <f>_xlfn.NUMBERVALUE("-0.001614")</f>
        <v/>
      </c>
      <c r="W849">
        <f>_xlfn.NUMBERVALUE("-0.008797")</f>
        <v/>
      </c>
      <c r="X849">
        <f>_xlfn.NUMBERVALUE("1.700000")</f>
        <v/>
      </c>
      <c r="Y849">
        <f>_xlfn.NUMBERVALUE("14.630000")</f>
        <v/>
      </c>
    </row>
    <row r="850">
      <c r="A850" s="1" t="n">
        <v>43236</v>
      </c>
      <c r="B850">
        <f>_xlfn.NUMBERVALUE("0.039389")</f>
        <v/>
      </c>
      <c r="C850" s="2">
        <f>_xlfn.NUMBERVALUE("0.001248")</f>
        <v/>
      </c>
      <c r="D850">
        <f>_xlfn.NUMBERVALUE("-0.001830")</f>
        <v/>
      </c>
      <c r="E850">
        <f>_xlfn.NUMBERVALUE("0.001208")</f>
        <v/>
      </c>
      <c r="F850">
        <f>_xlfn.NUMBERVALUE("0.000728")</f>
        <v/>
      </c>
      <c r="G850">
        <f>_xlfn.NUMBERVALUE("0.000768")</f>
        <v/>
      </c>
      <c r="H850">
        <f>_xlfn.NUMBERVALUE("0.000104")</f>
        <v/>
      </c>
      <c r="I850">
        <f>_xlfn.NUMBERVALUE("-0.001256")</f>
        <v/>
      </c>
      <c r="J850">
        <f>_xlfn.NUMBERVALUE("0.000850")</f>
        <v/>
      </c>
      <c r="K850">
        <f>_xlfn.NUMBERVALUE("0.001165")</f>
        <v/>
      </c>
      <c r="L850">
        <f>_xlfn.NUMBERVALUE("-0.000033")</f>
        <v/>
      </c>
      <c r="M850">
        <f>_xlfn.NUMBERVALUE("-0.001224")</f>
        <v/>
      </c>
      <c r="N850">
        <f>_xlfn.NUMBERVALUE("0.000000")</f>
        <v/>
      </c>
      <c r="O850">
        <f>_xlfn.NUMBERVALUE("0.001226")</f>
        <v/>
      </c>
      <c r="P850">
        <f>_xlfn.NUMBERVALUE("0.001751")</f>
        <v/>
      </c>
      <c r="Q850">
        <f>_xlfn.NUMBERVALUE("0.000874")</f>
        <v/>
      </c>
      <c r="R850">
        <f>_xlfn.NUMBERVALUE("0.001163")</f>
        <v/>
      </c>
      <c r="S850">
        <f>_xlfn.NUMBERVALUE("0.000423")</f>
        <v/>
      </c>
      <c r="T850">
        <f>_xlfn.NUMBERVALUE("0.002068")</f>
        <v/>
      </c>
      <c r="U850">
        <f>_xlfn.NUMBERVALUE("-0.000628")</f>
        <v/>
      </c>
      <c r="V850">
        <f>_xlfn.NUMBERVALUE("0.000714")</f>
        <v/>
      </c>
      <c r="W850">
        <f>_xlfn.NUMBERVALUE("0.006139")</f>
        <v/>
      </c>
      <c r="X850">
        <f>_xlfn.NUMBERVALUE("-1.210000")</f>
        <v/>
      </c>
      <c r="Y850">
        <f>_xlfn.NUMBERVALUE("13.420000")</f>
        <v/>
      </c>
    </row>
    <row r="851">
      <c r="A851" s="1" t="n">
        <v>43237</v>
      </c>
      <c r="B851">
        <f>_xlfn.NUMBERVALUE("-0.026671")</f>
        <v/>
      </c>
      <c r="C851" s="2">
        <f>_xlfn.NUMBERVALUE("0.001154")</f>
        <v/>
      </c>
      <c r="D851">
        <f>_xlfn.NUMBERVALUE("-0.001103")</f>
        <v/>
      </c>
      <c r="E851">
        <f>_xlfn.NUMBERVALUE("0.000653")</f>
        <v/>
      </c>
      <c r="F851">
        <f>_xlfn.NUMBERVALUE("0.000152")</f>
        <v/>
      </c>
      <c r="G851">
        <f>_xlfn.NUMBERVALUE("0.000409")</f>
        <v/>
      </c>
      <c r="H851">
        <f>_xlfn.NUMBERVALUE("-0.000559")</f>
        <v/>
      </c>
      <c r="I851">
        <f>_xlfn.NUMBERVALUE("-0.000162")</f>
        <v/>
      </c>
      <c r="J851">
        <f>_xlfn.NUMBERVALUE("0.000592")</f>
        <v/>
      </c>
      <c r="K851">
        <f>_xlfn.NUMBERVALUE("0.001430")</f>
        <v/>
      </c>
      <c r="L851">
        <f>_xlfn.NUMBERVALUE("-0.000582")</f>
        <v/>
      </c>
      <c r="M851">
        <f>_xlfn.NUMBERVALUE("0.000646")</f>
        <v/>
      </c>
      <c r="N851">
        <f>_xlfn.NUMBERVALUE("0.000000")</f>
        <v/>
      </c>
      <c r="O851">
        <f>_xlfn.NUMBERVALUE("-0.001374")</f>
        <v/>
      </c>
      <c r="P851">
        <f>_xlfn.NUMBERVALUE("0.000938")</f>
        <v/>
      </c>
      <c r="Q851">
        <f>_xlfn.NUMBERVALUE("0.000893")</f>
        <v/>
      </c>
      <c r="R851">
        <f>_xlfn.NUMBERVALUE("0.001175")</f>
        <v/>
      </c>
      <c r="S851">
        <f>_xlfn.NUMBERVALUE("0.000850")</f>
        <v/>
      </c>
      <c r="T851">
        <f>_xlfn.NUMBERVALUE("0.000713")</f>
        <v/>
      </c>
      <c r="U851">
        <f>_xlfn.NUMBERVALUE("0.001078")</f>
        <v/>
      </c>
      <c r="V851">
        <f>_xlfn.NUMBERVALUE("0.000883")</f>
        <v/>
      </c>
      <c r="W851">
        <f>_xlfn.NUMBERVALUE("-0.000680")</f>
        <v/>
      </c>
      <c r="X851">
        <f>_xlfn.NUMBERVALUE("0.010000")</f>
        <v/>
      </c>
      <c r="Y851">
        <f>_xlfn.NUMBERVALUE("13.430000")</f>
        <v/>
      </c>
    </row>
    <row r="852">
      <c r="A852" s="1" t="n">
        <v>43238</v>
      </c>
      <c r="B852">
        <f>_xlfn.NUMBERVALUE("0.005100")</f>
        <v/>
      </c>
      <c r="C852" s="2">
        <f>_xlfn.NUMBERVALUE("-0.000873")</f>
        <v/>
      </c>
      <c r="D852">
        <f>_xlfn.NUMBERVALUE("0.001001")</f>
        <v/>
      </c>
      <c r="E852">
        <f>_xlfn.NUMBERVALUE("-0.000011")</f>
        <v/>
      </c>
      <c r="F852">
        <f>_xlfn.NUMBERVALUE("0.000954")</f>
        <v/>
      </c>
      <c r="G852">
        <f>_xlfn.NUMBERVALUE("-0.000040")</f>
        <v/>
      </c>
      <c r="H852">
        <f>_xlfn.NUMBERVALUE("0.000821")</f>
        <v/>
      </c>
      <c r="I852">
        <f>_xlfn.NUMBERVALUE("-0.000030")</f>
        <v/>
      </c>
      <c r="J852">
        <f>_xlfn.NUMBERVALUE("-0.000189")</f>
        <v/>
      </c>
      <c r="K852">
        <f>_xlfn.NUMBERVALUE("0.002304")</f>
        <v/>
      </c>
      <c r="L852">
        <f>_xlfn.NUMBERVALUE("0.001064")</f>
        <v/>
      </c>
      <c r="M852">
        <f>_xlfn.NUMBERVALUE("0.000177")</f>
        <v/>
      </c>
      <c r="N852">
        <f>_xlfn.NUMBERVALUE("0.000000")</f>
        <v/>
      </c>
      <c r="O852">
        <f>_xlfn.NUMBERVALUE("0.001415")</f>
        <v/>
      </c>
      <c r="P852">
        <f>_xlfn.NUMBERVALUE("0.001724")</f>
        <v/>
      </c>
      <c r="Q852">
        <f>_xlfn.NUMBERVALUE("-0.000334")</f>
        <v/>
      </c>
      <c r="R852">
        <f>_xlfn.NUMBERVALUE("0.001717")</f>
        <v/>
      </c>
      <c r="S852">
        <f>_xlfn.NUMBERVALUE("0.001117")</f>
        <v/>
      </c>
      <c r="T852">
        <f>_xlfn.NUMBERVALUE("0.000944")</f>
        <v/>
      </c>
      <c r="U852">
        <f>_xlfn.NUMBERVALUE("0.001384")</f>
        <v/>
      </c>
      <c r="V852">
        <f>_xlfn.NUMBERVALUE("0.000874")</f>
        <v/>
      </c>
      <c r="W852">
        <f>_xlfn.NUMBERVALUE("-0.001342")</f>
        <v/>
      </c>
      <c r="X852">
        <f>_xlfn.NUMBERVALUE("-0.010000")</f>
        <v/>
      </c>
      <c r="Y852">
        <f>_xlfn.NUMBERVALUE("13.420000")</f>
        <v/>
      </c>
    </row>
    <row r="853">
      <c r="A853" s="1" t="n">
        <v>43241</v>
      </c>
      <c r="B853">
        <f>_xlfn.NUMBERVALUE("0.002406")</f>
        <v/>
      </c>
      <c r="C853" s="2">
        <f>_xlfn.NUMBERVALUE("-0.000811")</f>
        <v/>
      </c>
      <c r="D853">
        <f>_xlfn.NUMBERVALUE("0.003320")</f>
        <v/>
      </c>
      <c r="E853">
        <f>_xlfn.NUMBERVALUE("-0.000791")</f>
        <v/>
      </c>
      <c r="F853">
        <f>_xlfn.NUMBERVALUE("-0.000009")</f>
        <v/>
      </c>
      <c r="G853">
        <f>_xlfn.NUMBERVALUE("0.000775")</f>
        <v/>
      </c>
      <c r="H853">
        <f>_xlfn.NUMBERVALUE("0.000029")</f>
        <v/>
      </c>
      <c r="I853">
        <f>_xlfn.NUMBERVALUE("0.000629")</f>
        <v/>
      </c>
      <c r="J853">
        <f>_xlfn.NUMBERVALUE("-0.000388")</f>
        <v/>
      </c>
      <c r="K853">
        <f>_xlfn.NUMBERVALUE("0.001387")</f>
        <v/>
      </c>
      <c r="L853">
        <f>_xlfn.NUMBERVALUE("-0.000205")</f>
        <v/>
      </c>
      <c r="M853">
        <f>_xlfn.NUMBERVALUE("0.001340")</f>
        <v/>
      </c>
      <c r="N853">
        <f>_xlfn.NUMBERVALUE("0.000000")</f>
        <v/>
      </c>
      <c r="O853">
        <f>_xlfn.NUMBERVALUE("0.000441")</f>
        <v/>
      </c>
      <c r="P853">
        <f>_xlfn.NUMBERVALUE("0.000369")</f>
        <v/>
      </c>
      <c r="Q853">
        <f>_xlfn.NUMBERVALUE("-0.001982")</f>
        <v/>
      </c>
      <c r="R853">
        <f>_xlfn.NUMBERVALUE("0.000536")</f>
        <v/>
      </c>
      <c r="S853">
        <f>_xlfn.NUMBERVALUE("0.001882")</f>
        <v/>
      </c>
      <c r="T853">
        <f>_xlfn.NUMBERVALUE("0.000949")</f>
        <v/>
      </c>
      <c r="U853">
        <f>_xlfn.NUMBERVALUE("0.000767")</f>
        <v/>
      </c>
      <c r="V853">
        <f>_xlfn.NUMBERVALUE("0.000625")</f>
        <v/>
      </c>
      <c r="W853">
        <f>_xlfn.NUMBERVALUE("0.005377")</f>
        <v/>
      </c>
      <c r="X853">
        <f>_xlfn.NUMBERVALUE("-0.340000")</f>
        <v/>
      </c>
      <c r="Y853">
        <f>_xlfn.NUMBERVALUE("13.080000")</f>
        <v/>
      </c>
    </row>
    <row r="854">
      <c r="A854" s="1" t="n">
        <v>43242</v>
      </c>
      <c r="B854">
        <f>_xlfn.NUMBERVALUE("0.000835")</f>
        <v/>
      </c>
      <c r="C854" s="2">
        <f>_xlfn.NUMBERVALUE("0.001201")</f>
        <v/>
      </c>
      <c r="D854">
        <f>_xlfn.NUMBERVALUE("0.001475")</f>
        <v/>
      </c>
      <c r="E854">
        <f>_xlfn.NUMBERVALUE("0.000755")</f>
        <v/>
      </c>
      <c r="F854">
        <f>_xlfn.NUMBERVALUE("0.000419")</f>
        <v/>
      </c>
      <c r="G854">
        <f>_xlfn.NUMBERVALUE("0.000168")</f>
        <v/>
      </c>
      <c r="H854">
        <f>_xlfn.NUMBERVALUE("0.000193")</f>
        <v/>
      </c>
      <c r="I854">
        <f>_xlfn.NUMBERVALUE("0.000361")</f>
        <v/>
      </c>
      <c r="J854">
        <f>_xlfn.NUMBERVALUE("0.001043")</f>
        <v/>
      </c>
      <c r="K854">
        <f>_xlfn.NUMBERVALUE("0.000684")</f>
        <v/>
      </c>
      <c r="L854">
        <f>_xlfn.NUMBERVALUE("0.001148")</f>
        <v/>
      </c>
      <c r="M854">
        <f>_xlfn.NUMBERVALUE("0.000343")</f>
        <v/>
      </c>
      <c r="N854">
        <f>_xlfn.NUMBERVALUE("0.000000")</f>
        <v/>
      </c>
      <c r="O854">
        <f>_xlfn.NUMBERVALUE("-0.000607")</f>
        <v/>
      </c>
      <c r="P854">
        <f>_xlfn.NUMBERVALUE("0.000432")</f>
        <v/>
      </c>
      <c r="Q854">
        <f>_xlfn.NUMBERVALUE("0.000783")</f>
        <v/>
      </c>
      <c r="R854">
        <f>_xlfn.NUMBERVALUE("0.001151")</f>
        <v/>
      </c>
      <c r="S854">
        <f>_xlfn.NUMBERVALUE("0.000556")</f>
        <v/>
      </c>
      <c r="T854">
        <f>_xlfn.NUMBERVALUE("0.000610")</f>
        <v/>
      </c>
      <c r="U854">
        <f>_xlfn.NUMBERVALUE("0.001928")</f>
        <v/>
      </c>
      <c r="V854">
        <f>_xlfn.NUMBERVALUE("0.000943")</f>
        <v/>
      </c>
      <c r="W854">
        <f>_xlfn.NUMBERVALUE("-0.001099")</f>
        <v/>
      </c>
      <c r="X854">
        <f>_xlfn.NUMBERVALUE("0.140000")</f>
        <v/>
      </c>
      <c r="Y854">
        <f>_xlfn.NUMBERVALUE("13.220000")</f>
        <v/>
      </c>
    </row>
    <row r="855">
      <c r="A855" s="1" t="n">
        <v>43243</v>
      </c>
      <c r="B855">
        <f>_xlfn.NUMBERVALUE("0.001157")</f>
        <v/>
      </c>
      <c r="C855" s="2">
        <f>_xlfn.NUMBERVALUE("0.000598")</f>
        <v/>
      </c>
      <c r="D855">
        <f>_xlfn.NUMBERVALUE("0.000606")</f>
        <v/>
      </c>
      <c r="E855">
        <f>_xlfn.NUMBERVALUE("-0.003347")</f>
        <v/>
      </c>
      <c r="F855">
        <f>_xlfn.NUMBERVALUE("-0.000035")</f>
        <v/>
      </c>
      <c r="G855">
        <f>_xlfn.NUMBERVALUE("0.001117")</f>
        <v/>
      </c>
      <c r="H855">
        <f>_xlfn.NUMBERVALUE("-0.000212")</f>
        <v/>
      </c>
      <c r="I855">
        <f>_xlfn.NUMBERVALUE("0.000832")</f>
        <v/>
      </c>
      <c r="J855">
        <f>_xlfn.NUMBERVALUE("-0.001439")</f>
        <v/>
      </c>
      <c r="K855">
        <f>_xlfn.NUMBERVALUE("0.000543")</f>
        <v/>
      </c>
      <c r="L855">
        <f>_xlfn.NUMBERVALUE("-0.000323")</f>
        <v/>
      </c>
      <c r="M855">
        <f>_xlfn.NUMBERVALUE("0.000901")</f>
        <v/>
      </c>
      <c r="N855">
        <f>_xlfn.NUMBERVALUE("0.000000")</f>
        <v/>
      </c>
      <c r="O855">
        <f>_xlfn.NUMBERVALUE("0.002328")</f>
        <v/>
      </c>
      <c r="P855">
        <f>_xlfn.NUMBERVALUE("-0.001350")</f>
        <v/>
      </c>
      <c r="Q855">
        <f>_xlfn.NUMBERVALUE("0.001145")</f>
        <v/>
      </c>
      <c r="R855">
        <f>_xlfn.NUMBERVALUE("0.001070")</f>
        <v/>
      </c>
      <c r="S855">
        <f>_xlfn.NUMBERVALUE("0.000302")</f>
        <v/>
      </c>
      <c r="T855">
        <f>_xlfn.NUMBERVALUE("-0.001606")</f>
        <v/>
      </c>
      <c r="U855">
        <f>_xlfn.NUMBERVALUE("-0.000337")</f>
        <v/>
      </c>
      <c r="V855">
        <f>_xlfn.NUMBERVALUE("0.000537")</f>
        <v/>
      </c>
      <c r="W855">
        <f>_xlfn.NUMBERVALUE("0.000623")</f>
        <v/>
      </c>
      <c r="X855">
        <f>_xlfn.NUMBERVALUE("-0.640000")</f>
        <v/>
      </c>
      <c r="Y855">
        <f>_xlfn.NUMBERVALUE("12.580000")</f>
        <v/>
      </c>
    </row>
    <row r="856">
      <c r="A856" s="1" t="n">
        <v>43244</v>
      </c>
      <c r="B856">
        <f>_xlfn.NUMBERVALUE("0.001757")</f>
        <v/>
      </c>
      <c r="C856" s="2">
        <f>_xlfn.NUMBERVALUE("0.000845")</f>
        <v/>
      </c>
      <c r="D856">
        <f>_xlfn.NUMBERVALUE("-0.000698")</f>
        <v/>
      </c>
      <c r="E856">
        <f>_xlfn.NUMBERVALUE("0.001058")</f>
        <v/>
      </c>
      <c r="F856">
        <f>_xlfn.NUMBERVALUE("0.000282")</f>
        <v/>
      </c>
      <c r="G856">
        <f>_xlfn.NUMBERVALUE("-0.000298")</f>
        <v/>
      </c>
      <c r="H856">
        <f>_xlfn.NUMBERVALUE("-0.000238")</f>
        <v/>
      </c>
      <c r="I856">
        <f>_xlfn.NUMBERVALUE("0.000345")</f>
        <v/>
      </c>
      <c r="J856">
        <f>_xlfn.NUMBERVALUE("0.000009")</f>
        <v/>
      </c>
      <c r="K856">
        <f>_xlfn.NUMBERVALUE("-0.000197")</f>
        <v/>
      </c>
      <c r="L856">
        <f>_xlfn.NUMBERVALUE("0.000120")</f>
        <v/>
      </c>
      <c r="M856">
        <f>_xlfn.NUMBERVALUE("0.001552")</f>
        <v/>
      </c>
      <c r="N856">
        <f>_xlfn.NUMBERVALUE("0.000000")</f>
        <v/>
      </c>
      <c r="O856">
        <f>_xlfn.NUMBERVALUE("-0.000732")</f>
        <v/>
      </c>
      <c r="P856">
        <f>_xlfn.NUMBERVALUE("0.001554")</f>
        <v/>
      </c>
      <c r="Q856">
        <f>_xlfn.NUMBERVALUE("-0.000344")</f>
        <v/>
      </c>
      <c r="R856">
        <f>_xlfn.NUMBERVALUE("0.000997")</f>
        <v/>
      </c>
      <c r="S856">
        <f>_xlfn.NUMBERVALUE("0.001242")</f>
        <v/>
      </c>
      <c r="T856">
        <f>_xlfn.NUMBERVALUE("-0.000366")</f>
        <v/>
      </c>
      <c r="U856">
        <f>_xlfn.NUMBERVALUE("0.000726")</f>
        <v/>
      </c>
      <c r="V856">
        <f>_xlfn.NUMBERVALUE("0.000592")</f>
        <v/>
      </c>
      <c r="W856">
        <f>_xlfn.NUMBERVALUE("-0.000458")</f>
        <v/>
      </c>
      <c r="X856">
        <f>_xlfn.NUMBERVALUE("-0.050000")</f>
        <v/>
      </c>
      <c r="Y856">
        <f>_xlfn.NUMBERVALUE("12.530000")</f>
        <v/>
      </c>
    </row>
    <row r="857">
      <c r="A857" s="1" t="n">
        <v>43245</v>
      </c>
      <c r="B857">
        <f>_xlfn.NUMBERVALUE("0.003603")</f>
        <v/>
      </c>
      <c r="C857" s="2">
        <f>_xlfn.NUMBERVALUE("0.000114")</f>
        <v/>
      </c>
      <c r="D857">
        <f>_xlfn.NUMBERVALUE("0.001930")</f>
        <v/>
      </c>
      <c r="E857">
        <f>_xlfn.NUMBERVALUE("-0.000070")</f>
        <v/>
      </c>
      <c r="F857">
        <f>_xlfn.NUMBERVALUE("0.001111")</f>
        <v/>
      </c>
      <c r="G857">
        <f>_xlfn.NUMBERVALUE("-0.000677")</f>
        <v/>
      </c>
      <c r="H857">
        <f>_xlfn.NUMBERVALUE("-0.001001")</f>
        <v/>
      </c>
      <c r="I857">
        <f>_xlfn.NUMBERVALUE("0.000350")</f>
        <v/>
      </c>
      <c r="J857">
        <f>_xlfn.NUMBERVALUE("-0.000512")</f>
        <v/>
      </c>
      <c r="K857">
        <f>_xlfn.NUMBERVALUE("0.000876")</f>
        <v/>
      </c>
      <c r="L857">
        <f>_xlfn.NUMBERVALUE("-0.000687")</f>
        <v/>
      </c>
      <c r="M857">
        <f>_xlfn.NUMBERVALUE("0.001397")</f>
        <v/>
      </c>
      <c r="N857">
        <f>_xlfn.NUMBERVALUE("0.000000")</f>
        <v/>
      </c>
      <c r="O857">
        <f>_xlfn.NUMBERVALUE("-0.008097")</f>
        <v/>
      </c>
      <c r="P857">
        <f>_xlfn.NUMBERVALUE("0.000701")</f>
        <v/>
      </c>
      <c r="Q857">
        <f>_xlfn.NUMBERVALUE("0.001230")</f>
        <v/>
      </c>
      <c r="R857">
        <f>_xlfn.NUMBERVALUE("0.000681")</f>
        <v/>
      </c>
      <c r="S857">
        <f>_xlfn.NUMBERVALUE("0.000157")</f>
        <v/>
      </c>
      <c r="T857">
        <f>_xlfn.NUMBERVALUE("0.000216")</f>
        <v/>
      </c>
      <c r="U857">
        <f>_xlfn.NUMBERVALUE("0.000279")</f>
        <v/>
      </c>
      <c r="V857">
        <f>_xlfn.NUMBERVALUE("-0.000082")</f>
        <v/>
      </c>
      <c r="W857">
        <f>_xlfn.NUMBERVALUE("-0.002768")</f>
        <v/>
      </c>
      <c r="X857">
        <f>_xlfn.NUMBERVALUE("0.690000")</f>
        <v/>
      </c>
      <c r="Y857">
        <f>_xlfn.NUMBERVALUE("13.220000")</f>
        <v/>
      </c>
    </row>
    <row r="858">
      <c r="A858" s="1" t="n">
        <v>43249</v>
      </c>
      <c r="B858">
        <f>_xlfn.NUMBERVALUE("-0.003191")</f>
        <v/>
      </c>
      <c r="C858" s="2">
        <f>_xlfn.NUMBERVALUE("-0.004675")</f>
        <v/>
      </c>
      <c r="D858">
        <f>_xlfn.NUMBERVALUE("-0.007089")</f>
        <v/>
      </c>
      <c r="E858">
        <f>_xlfn.NUMBERVALUE("-0.005919")</f>
        <v/>
      </c>
      <c r="F858">
        <f>_xlfn.NUMBERVALUE("-0.002984")</f>
        <v/>
      </c>
      <c r="G858">
        <f>_xlfn.NUMBERVALUE("0.001270")</f>
        <v/>
      </c>
      <c r="H858">
        <f>_xlfn.NUMBERVALUE("-0.005082")</f>
        <v/>
      </c>
      <c r="I858">
        <f>_xlfn.NUMBERVALUE("-0.000731")</f>
        <v/>
      </c>
      <c r="J858">
        <f>_xlfn.NUMBERVALUE("-0.001678")</f>
        <v/>
      </c>
      <c r="K858">
        <f>_xlfn.NUMBERVALUE("0.001862")</f>
        <v/>
      </c>
      <c r="L858">
        <f>_xlfn.NUMBERVALUE("-0.011039")</f>
        <v/>
      </c>
      <c r="M858">
        <f>_xlfn.NUMBERVALUE("-0.005818")</f>
        <v/>
      </c>
      <c r="N858">
        <f>_xlfn.NUMBERVALUE("0.000000")</f>
        <v/>
      </c>
      <c r="O858">
        <f>_xlfn.NUMBERVALUE("0.000607")</f>
        <v/>
      </c>
      <c r="P858">
        <f>_xlfn.NUMBERVALUE("-0.014988")</f>
        <v/>
      </c>
      <c r="Q858">
        <f>_xlfn.NUMBERVALUE("-0.003706")</f>
        <v/>
      </c>
      <c r="R858">
        <f>_xlfn.NUMBERVALUE("-0.001795")</f>
        <v/>
      </c>
      <c r="S858">
        <f>_xlfn.NUMBERVALUE("-0.000571")</f>
        <v/>
      </c>
      <c r="T858">
        <f>_xlfn.NUMBERVALUE("0.000716")</f>
        <v/>
      </c>
      <c r="U858">
        <f>_xlfn.NUMBERVALUE("-0.001823")</f>
        <v/>
      </c>
      <c r="V858">
        <f>_xlfn.NUMBERVALUE("-0.002273")</f>
        <v/>
      </c>
      <c r="W858">
        <f>_xlfn.NUMBERVALUE("-0.011251")</f>
        <v/>
      </c>
      <c r="X858">
        <f>_xlfn.NUMBERVALUE("3.800000")</f>
        <v/>
      </c>
      <c r="Y858">
        <f>_xlfn.NUMBERVALUE("17.020000")</f>
        <v/>
      </c>
    </row>
    <row r="859">
      <c r="A859" s="1" t="n">
        <v>43250</v>
      </c>
      <c r="B859">
        <f>_xlfn.NUMBERVALUE("0.000982")</f>
        <v/>
      </c>
      <c r="C859" s="2">
        <f>_xlfn.NUMBERVALUE("-0.000196")</f>
        <v/>
      </c>
      <c r="D859">
        <f>_xlfn.NUMBERVALUE("0.002848")</f>
        <v/>
      </c>
      <c r="E859">
        <f>_xlfn.NUMBERVALUE("0.000822")</f>
        <v/>
      </c>
      <c r="F859">
        <f>_xlfn.NUMBERVALUE("0.003427")</f>
        <v/>
      </c>
      <c r="G859">
        <f>_xlfn.NUMBERVALUE("0.000285")</f>
        <v/>
      </c>
      <c r="H859">
        <f>_xlfn.NUMBERVALUE("0.001047")</f>
        <v/>
      </c>
      <c r="I859">
        <f>_xlfn.NUMBERVALUE("0.000202")</f>
        <v/>
      </c>
      <c r="J859">
        <f>_xlfn.NUMBERVALUE("0.000846")</f>
        <v/>
      </c>
      <c r="K859">
        <f>_xlfn.NUMBERVALUE("0.001848")</f>
        <v/>
      </c>
      <c r="L859">
        <f>_xlfn.NUMBERVALUE("0.003782")</f>
        <v/>
      </c>
      <c r="M859">
        <f>_xlfn.NUMBERVALUE("0.000953")</f>
        <v/>
      </c>
      <c r="N859">
        <f>_xlfn.NUMBERVALUE("0.000000")</f>
        <v/>
      </c>
      <c r="O859">
        <f>_xlfn.NUMBERVALUE("-0.008039")</f>
        <v/>
      </c>
      <c r="P859">
        <f>_xlfn.NUMBERVALUE("0.002373")</f>
        <v/>
      </c>
      <c r="Q859">
        <f>_xlfn.NUMBERVALUE("0.000067")</f>
        <v/>
      </c>
      <c r="R859">
        <f>_xlfn.NUMBERVALUE("0.002159")</f>
        <v/>
      </c>
      <c r="S859">
        <f>_xlfn.NUMBERVALUE("-0.002005")</f>
        <v/>
      </c>
      <c r="T859">
        <f>_xlfn.NUMBERVALUE("0.000098")</f>
        <v/>
      </c>
      <c r="U859">
        <f>_xlfn.NUMBERVALUE("0.000895")</f>
        <v/>
      </c>
      <c r="V859">
        <f>_xlfn.NUMBERVALUE("-0.001187")</f>
        <v/>
      </c>
      <c r="W859">
        <f>_xlfn.NUMBERVALUE("0.013238")</f>
        <v/>
      </c>
      <c r="X859">
        <f>_xlfn.NUMBERVALUE("-2.080000")</f>
        <v/>
      </c>
      <c r="Y859">
        <f>_xlfn.NUMBERVALUE("14.940000")</f>
        <v/>
      </c>
    </row>
    <row r="860">
      <c r="A860" s="1" t="n">
        <v>43251</v>
      </c>
      <c r="B860">
        <f>_xlfn.NUMBERVALUE("-0.001996")</f>
        <v/>
      </c>
      <c r="C860" s="2">
        <f>_xlfn.NUMBERVALUE("0.000074")</f>
        <v/>
      </c>
      <c r="D860">
        <f>_xlfn.NUMBERVALUE("0.003353")</f>
        <v/>
      </c>
      <c r="E860">
        <f>_xlfn.NUMBERVALUE("-0.000150")</f>
        <v/>
      </c>
      <c r="F860">
        <f>_xlfn.NUMBERVALUE("0.000068")</f>
        <v/>
      </c>
      <c r="G860">
        <f>_xlfn.NUMBERVALUE("0.000666")</f>
        <v/>
      </c>
      <c r="H860">
        <f>_xlfn.NUMBERVALUE("0.000076")</f>
        <v/>
      </c>
      <c r="I860">
        <f>_xlfn.NUMBERVALUE("-0.000323")</f>
        <v/>
      </c>
      <c r="J860">
        <f>_xlfn.NUMBERVALUE("0.000560")</f>
        <v/>
      </c>
      <c r="K860">
        <f>_xlfn.NUMBERVALUE("0.000533")</f>
        <v/>
      </c>
      <c r="L860">
        <f>_xlfn.NUMBERVALUE("0.000428")</f>
        <v/>
      </c>
      <c r="M860">
        <f>_xlfn.NUMBERVALUE("0.001378")</f>
        <v/>
      </c>
      <c r="N860">
        <f>_xlfn.NUMBERVALUE("0.000000")</f>
        <v/>
      </c>
      <c r="O860">
        <f>_xlfn.NUMBERVALUE("0.001053")</f>
        <v/>
      </c>
      <c r="P860">
        <f>_xlfn.NUMBERVALUE("-0.000120")</f>
        <v/>
      </c>
      <c r="Q860">
        <f>_xlfn.NUMBERVALUE("0.000163")</f>
        <v/>
      </c>
      <c r="R860">
        <f>_xlfn.NUMBERVALUE("0.001203")</f>
        <v/>
      </c>
      <c r="S860">
        <f>_xlfn.NUMBERVALUE("-0.002471")</f>
        <v/>
      </c>
      <c r="T860">
        <f>_xlfn.NUMBERVALUE("-0.000166")</f>
        <v/>
      </c>
      <c r="U860">
        <f>_xlfn.NUMBERVALUE("0.001140")</f>
        <v/>
      </c>
      <c r="V860">
        <f>_xlfn.NUMBERVALUE("0.000978")</f>
        <v/>
      </c>
      <c r="W860">
        <f>_xlfn.NUMBERVALUE("-0.005615")</f>
        <v/>
      </c>
      <c r="X860">
        <f>_xlfn.NUMBERVALUE("0.490000")</f>
        <v/>
      </c>
      <c r="Y860">
        <f>_xlfn.NUMBERVALUE("15.430000")</f>
        <v/>
      </c>
    </row>
    <row r="861">
      <c r="A861" s="1" t="n">
        <v>43252</v>
      </c>
      <c r="B861">
        <f>_xlfn.NUMBERVALUE("0.002397")</f>
        <v/>
      </c>
      <c r="C861" s="2">
        <f>_xlfn.NUMBERVALUE("0.000452")</f>
        <v/>
      </c>
      <c r="D861">
        <f>_xlfn.NUMBERVALUE("-0.000027")</f>
        <v/>
      </c>
      <c r="E861">
        <f>_xlfn.NUMBERVALUE("0.001308")</f>
        <v/>
      </c>
      <c r="F861">
        <f>_xlfn.NUMBERVALUE("0.000388")</f>
        <v/>
      </c>
      <c r="G861">
        <f>_xlfn.NUMBERVALUE("0.000706")</f>
        <v/>
      </c>
      <c r="H861">
        <f>_xlfn.NUMBERVALUE("-0.000432")</f>
        <v/>
      </c>
      <c r="I861">
        <f>_xlfn.NUMBERVALUE("-0.000024")</f>
        <v/>
      </c>
      <c r="J861">
        <f>_xlfn.NUMBERVALUE("-0.000448")</f>
        <v/>
      </c>
      <c r="K861">
        <f>_xlfn.NUMBERVALUE("0.001666")</f>
        <v/>
      </c>
      <c r="L861">
        <f>_xlfn.NUMBERVALUE("-0.000530")</f>
        <v/>
      </c>
      <c r="M861">
        <f>_xlfn.NUMBERVALUE("-0.001347")</f>
        <v/>
      </c>
      <c r="N861">
        <f>_xlfn.NUMBERVALUE("0.000000")</f>
        <v/>
      </c>
      <c r="O861">
        <f>_xlfn.NUMBERVALUE("0.003209")</f>
        <v/>
      </c>
      <c r="P861">
        <f>_xlfn.NUMBERVALUE("0.001715")</f>
        <v/>
      </c>
      <c r="Q861">
        <f>_xlfn.NUMBERVALUE("0.000244")</f>
        <v/>
      </c>
      <c r="R861">
        <f>_xlfn.NUMBERVALUE("-0.002016")</f>
        <v/>
      </c>
      <c r="S861">
        <f>_xlfn.NUMBERVALUE("0.001948")</f>
        <v/>
      </c>
      <c r="T861">
        <f>_xlfn.NUMBERVALUE("-0.000070")</f>
        <v/>
      </c>
      <c r="U861">
        <f>_xlfn.NUMBERVALUE("0.000473")</f>
        <v/>
      </c>
      <c r="V861">
        <f>_xlfn.NUMBERVALUE("-0.000745")</f>
        <v/>
      </c>
      <c r="W861">
        <f>_xlfn.NUMBERVALUE("0.008932")</f>
        <v/>
      </c>
      <c r="X861">
        <f>_xlfn.NUMBERVALUE("-1.970000")</f>
        <v/>
      </c>
      <c r="Y861">
        <f>_xlfn.NUMBERVALUE("13.460000")</f>
        <v/>
      </c>
    </row>
    <row r="862">
      <c r="A862" s="1" t="n">
        <v>43255</v>
      </c>
      <c r="B862">
        <f>_xlfn.NUMBERVALUE("-0.001151")</f>
        <v/>
      </c>
      <c r="C862" s="2">
        <f>_xlfn.NUMBERVALUE("-0.000252")</f>
        <v/>
      </c>
      <c r="D862">
        <f>_xlfn.NUMBERVALUE("-0.000585")</f>
        <v/>
      </c>
      <c r="E862">
        <f>_xlfn.NUMBERVALUE("0.000786")</f>
        <v/>
      </c>
      <c r="F862">
        <f>_xlfn.NUMBERVALUE("0.000125")</f>
        <v/>
      </c>
      <c r="G862">
        <f>_xlfn.NUMBERVALUE("0.000750")</f>
        <v/>
      </c>
      <c r="H862">
        <f>_xlfn.NUMBERVALUE("0.001225")</f>
        <v/>
      </c>
      <c r="I862">
        <f>_xlfn.NUMBERVALUE("0.000100")</f>
        <v/>
      </c>
      <c r="J862">
        <f>_xlfn.NUMBERVALUE("0.002539")</f>
        <v/>
      </c>
      <c r="K862">
        <f>_xlfn.NUMBERVALUE("0.005461")</f>
        <v/>
      </c>
      <c r="L862">
        <f>_xlfn.NUMBERVALUE("0.001452")</f>
        <v/>
      </c>
      <c r="M862">
        <f>_xlfn.NUMBERVALUE("0.000303")</f>
        <v/>
      </c>
      <c r="N862">
        <f>_xlfn.NUMBERVALUE("0.000000")</f>
        <v/>
      </c>
      <c r="O862">
        <f>_xlfn.NUMBERVALUE("0.002481")</f>
        <v/>
      </c>
      <c r="P862">
        <f>_xlfn.NUMBERVALUE("0.001553")</f>
        <v/>
      </c>
      <c r="Q862">
        <f>_xlfn.NUMBERVALUE("0.001791")</f>
        <v/>
      </c>
      <c r="R862">
        <f>_xlfn.NUMBERVALUE("0.000009")</f>
        <v/>
      </c>
      <c r="S862">
        <f>_xlfn.NUMBERVALUE("-0.000437")</f>
        <v/>
      </c>
      <c r="T862">
        <f>_xlfn.NUMBERVALUE("0.001712")</f>
        <v/>
      </c>
      <c r="U862">
        <f>_xlfn.NUMBERVALUE("-0.000645")</f>
        <v/>
      </c>
      <c r="V862">
        <f>_xlfn.NUMBERVALUE("0.000087")</f>
        <v/>
      </c>
      <c r="W862">
        <f>_xlfn.NUMBERVALUE("0.005963")</f>
        <v/>
      </c>
      <c r="X862">
        <f>_xlfn.NUMBERVALUE("-0.720000")</f>
        <v/>
      </c>
      <c r="Y862">
        <f>_xlfn.NUMBERVALUE("12.740000")</f>
        <v/>
      </c>
    </row>
    <row r="863">
      <c r="A863" s="1" t="n">
        <v>43256</v>
      </c>
      <c r="B863">
        <f>_xlfn.NUMBERVALUE("-0.028888")</f>
        <v/>
      </c>
      <c r="C863" s="2">
        <f>_xlfn.NUMBERVALUE("0.000098")</f>
        <v/>
      </c>
      <c r="D863">
        <f>_xlfn.NUMBERVALUE("0.004148")</f>
        <v/>
      </c>
      <c r="E863">
        <f>_xlfn.NUMBERVALUE("-0.000051")</f>
        <v/>
      </c>
      <c r="F863">
        <f>_xlfn.NUMBERVALUE("-0.000026")</f>
        <v/>
      </c>
      <c r="G863">
        <f>_xlfn.NUMBERVALUE("0.001147")</f>
        <v/>
      </c>
      <c r="H863">
        <f>_xlfn.NUMBERVALUE("-0.000641")</f>
        <v/>
      </c>
      <c r="I863">
        <f>_xlfn.NUMBERVALUE("0.000042")</f>
        <v/>
      </c>
      <c r="J863">
        <f>_xlfn.NUMBERVALUE("0.000979")</f>
        <v/>
      </c>
      <c r="K863">
        <f>_xlfn.NUMBERVALUE("0.003793")</f>
        <v/>
      </c>
      <c r="L863">
        <f>_xlfn.NUMBERVALUE("0.000454")</f>
        <v/>
      </c>
      <c r="M863">
        <f>_xlfn.NUMBERVALUE("-0.000506")</f>
        <v/>
      </c>
      <c r="N863">
        <f>_xlfn.NUMBERVALUE("0.000000")</f>
        <v/>
      </c>
      <c r="O863">
        <f>_xlfn.NUMBERVALUE("0.002484")</f>
        <v/>
      </c>
      <c r="P863">
        <f>_xlfn.NUMBERVALUE("-0.000017")</f>
        <v/>
      </c>
      <c r="Q863">
        <f>_xlfn.NUMBERVALUE("0.001176")</f>
        <v/>
      </c>
      <c r="R863">
        <f>_xlfn.NUMBERVALUE("0.000083")</f>
        <v/>
      </c>
      <c r="S863">
        <f>_xlfn.NUMBERVALUE("0.000338")</f>
        <v/>
      </c>
      <c r="T863">
        <f>_xlfn.NUMBERVALUE("0.001611")</f>
        <v/>
      </c>
      <c r="U863">
        <f>_xlfn.NUMBERVALUE("0.000084")</f>
        <v/>
      </c>
      <c r="V863">
        <f>_xlfn.NUMBERVALUE("0.000001")</f>
        <v/>
      </c>
      <c r="W863">
        <f>_xlfn.NUMBERVALUE("0.000145")</f>
        <v/>
      </c>
      <c r="X863">
        <f>_xlfn.NUMBERVALUE("-0.340000")</f>
        <v/>
      </c>
      <c r="Y863">
        <f>_xlfn.NUMBERVALUE("12.400000")</f>
        <v/>
      </c>
    </row>
    <row r="864">
      <c r="A864" s="1" t="n">
        <v>43257</v>
      </c>
      <c r="B864">
        <f>_xlfn.NUMBERVALUE("0.053934")</f>
        <v/>
      </c>
      <c r="C864" s="2">
        <f>_xlfn.NUMBERVALUE("-0.001858")</f>
        <v/>
      </c>
      <c r="D864">
        <f>_xlfn.NUMBERVALUE("-0.002020")</f>
        <v/>
      </c>
      <c r="E864">
        <f>_xlfn.NUMBERVALUE("-0.001532")</f>
        <v/>
      </c>
      <c r="F864">
        <f>_xlfn.NUMBERVALUE("0.000749")</f>
        <v/>
      </c>
      <c r="G864">
        <f>_xlfn.NUMBERVALUE("-0.000119")</f>
        <v/>
      </c>
      <c r="H864">
        <f>_xlfn.NUMBERVALUE("-0.000229")</f>
        <v/>
      </c>
      <c r="I864">
        <f>_xlfn.NUMBERVALUE("-0.000855")</f>
        <v/>
      </c>
      <c r="J864">
        <f>_xlfn.NUMBERVALUE("0.000719")</f>
        <v/>
      </c>
      <c r="K864">
        <f>_xlfn.NUMBERVALUE("-0.000613")</f>
        <v/>
      </c>
      <c r="L864">
        <f>_xlfn.NUMBERVALUE("-0.002323")</f>
        <v/>
      </c>
      <c r="M864">
        <f>_xlfn.NUMBERVALUE("-0.001119")</f>
        <v/>
      </c>
      <c r="N864">
        <f>_xlfn.NUMBERVALUE("0.000000")</f>
        <v/>
      </c>
      <c r="O864">
        <f>_xlfn.NUMBERVALUE("0.002171")</f>
        <v/>
      </c>
      <c r="P864">
        <f>_xlfn.NUMBERVALUE("-0.002129")</f>
        <v/>
      </c>
      <c r="Q864">
        <f>_xlfn.NUMBERVALUE("-0.000394")</f>
        <v/>
      </c>
      <c r="R864">
        <f>_xlfn.NUMBERVALUE("-0.000007")</f>
        <v/>
      </c>
      <c r="S864">
        <f>_xlfn.NUMBERVALUE("0.001326")</f>
        <v/>
      </c>
      <c r="T864">
        <f>_xlfn.NUMBERVALUE("-0.015358")</f>
        <v/>
      </c>
      <c r="U864">
        <f>_xlfn.NUMBERVALUE("0.000086")</f>
        <v/>
      </c>
      <c r="V864">
        <f>_xlfn.NUMBERVALUE("-0.000478")</f>
        <v/>
      </c>
      <c r="W864">
        <f>_xlfn.NUMBERVALUE("0.007016")</f>
        <v/>
      </c>
      <c r="X864">
        <f>_xlfn.NUMBERVALUE("-0.760000")</f>
        <v/>
      </c>
      <c r="Y864">
        <f>_xlfn.NUMBERVALUE("11.640000")</f>
        <v/>
      </c>
    </row>
    <row r="865">
      <c r="A865" s="1" t="n">
        <v>43258</v>
      </c>
      <c r="B865">
        <f>_xlfn.NUMBERVALUE("0.000000")</f>
        <v/>
      </c>
      <c r="C865" s="2">
        <f>_xlfn.NUMBERVALUE("-0.001681")</f>
        <v/>
      </c>
      <c r="D865">
        <f>_xlfn.NUMBERVALUE("-0.002595")</f>
        <v/>
      </c>
      <c r="E865">
        <f>_xlfn.NUMBERVALUE("0.000328")</f>
        <v/>
      </c>
      <c r="F865">
        <f>_xlfn.NUMBERVALUE("0.000013")</f>
        <v/>
      </c>
      <c r="G865">
        <f>_xlfn.NUMBERVALUE("-0.000162")</f>
        <v/>
      </c>
      <c r="H865">
        <f>_xlfn.NUMBERVALUE("-0.000229")</f>
        <v/>
      </c>
      <c r="I865">
        <f>_xlfn.NUMBERVALUE("0.000454")</f>
        <v/>
      </c>
      <c r="J865">
        <f>_xlfn.NUMBERVALUE("-0.000361")</f>
        <v/>
      </c>
      <c r="K865">
        <f>_xlfn.NUMBERVALUE("0.000485")</f>
        <v/>
      </c>
      <c r="L865">
        <f>_xlfn.NUMBERVALUE("-0.000998")</f>
        <v/>
      </c>
      <c r="M865">
        <f>_xlfn.NUMBERVALUE("0.000091")</f>
        <v/>
      </c>
      <c r="N865">
        <f>_xlfn.NUMBERVALUE("0.000000")</f>
        <v/>
      </c>
      <c r="O865">
        <f>_xlfn.NUMBERVALUE("-0.007182")</f>
        <v/>
      </c>
      <c r="P865">
        <f>_xlfn.NUMBERVALUE("0.001141")</f>
        <v/>
      </c>
      <c r="Q865">
        <f>_xlfn.NUMBERVALUE("0.000074")</f>
        <v/>
      </c>
      <c r="R865">
        <f>_xlfn.NUMBERVALUE("0.000075")</f>
        <v/>
      </c>
      <c r="S865">
        <f>_xlfn.NUMBERVALUE("-0.000664")</f>
        <v/>
      </c>
      <c r="T865">
        <f>_xlfn.NUMBERVALUE("0.001010")</f>
        <v/>
      </c>
      <c r="U865">
        <f>_xlfn.NUMBERVALUE("0.000042")</f>
        <v/>
      </c>
      <c r="V865">
        <f>_xlfn.NUMBERVALUE("-0.000539")</f>
        <v/>
      </c>
      <c r="W865">
        <f>_xlfn.NUMBERVALUE("0.001588")</f>
        <v/>
      </c>
      <c r="X865">
        <f>_xlfn.NUMBERVALUE("0.490000")</f>
        <v/>
      </c>
      <c r="Y865">
        <f>_xlfn.NUMBERVALUE("12.130000")</f>
        <v/>
      </c>
    </row>
    <row r="866">
      <c r="A866" s="1" t="n">
        <v>43259</v>
      </c>
      <c r="B866">
        <f>_xlfn.NUMBERVALUE("-0.034821")</f>
        <v/>
      </c>
      <c r="C866" s="2">
        <f>_xlfn.NUMBERVALUE("0.000007")</f>
        <v/>
      </c>
      <c r="D866">
        <f>_xlfn.NUMBERVALUE("0.002299")</f>
        <v/>
      </c>
      <c r="E866">
        <f>_xlfn.NUMBERVALUE("0.001016")</f>
        <v/>
      </c>
      <c r="F866">
        <f>_xlfn.NUMBERVALUE("-0.000154")</f>
        <v/>
      </c>
      <c r="G866">
        <f>_xlfn.NUMBERVALUE("-0.000001")</f>
        <v/>
      </c>
      <c r="H866">
        <f>_xlfn.NUMBERVALUE("0.000750")</f>
        <v/>
      </c>
      <c r="I866">
        <f>_xlfn.NUMBERVALUE("0.000704")</f>
        <v/>
      </c>
      <c r="J866">
        <f>_xlfn.NUMBERVALUE("0.000128")</f>
        <v/>
      </c>
      <c r="K866">
        <f>_xlfn.NUMBERVALUE("-0.001120")</f>
        <v/>
      </c>
      <c r="L866">
        <f>_xlfn.NUMBERVALUE("-0.000465")</f>
        <v/>
      </c>
      <c r="M866">
        <f>_xlfn.NUMBERVALUE("-0.000091")</f>
        <v/>
      </c>
      <c r="N866">
        <f>_xlfn.NUMBERVALUE("0.000000")</f>
        <v/>
      </c>
      <c r="O866">
        <f>_xlfn.NUMBERVALUE("0.001948")</f>
        <v/>
      </c>
      <c r="P866">
        <f>_xlfn.NUMBERVALUE("0.005563")</f>
        <v/>
      </c>
      <c r="Q866">
        <f>_xlfn.NUMBERVALUE("-0.000011")</f>
        <v/>
      </c>
      <c r="R866">
        <f>_xlfn.NUMBERVALUE("-0.000003")</f>
        <v/>
      </c>
      <c r="S866">
        <f>_xlfn.NUMBERVALUE("-0.000861")</f>
        <v/>
      </c>
      <c r="T866">
        <f>_xlfn.NUMBERVALUE("0.000273")</f>
        <v/>
      </c>
      <c r="U866">
        <f>_xlfn.NUMBERVALUE("-0.000053")</f>
        <v/>
      </c>
      <c r="V866">
        <f>_xlfn.NUMBERVALUE("-0.000008")</f>
        <v/>
      </c>
      <c r="W866">
        <f>_xlfn.NUMBERVALUE("0.002127")</f>
        <v/>
      </c>
      <c r="X866">
        <f>_xlfn.NUMBERVALUE("0.050000")</f>
        <v/>
      </c>
      <c r="Y866">
        <f>_xlfn.NUMBERVALUE("12.180000")</f>
        <v/>
      </c>
    </row>
    <row r="867">
      <c r="A867" s="1" t="n">
        <v>43262</v>
      </c>
      <c r="B867">
        <f>_xlfn.NUMBERVALUE("0.000000")</f>
        <v/>
      </c>
      <c r="C867" s="2">
        <f>_xlfn.NUMBERVALUE("0.000528")</f>
        <v/>
      </c>
      <c r="D867">
        <f>_xlfn.NUMBERVALUE("0.001461")</f>
        <v/>
      </c>
      <c r="E867">
        <f>_xlfn.NUMBERVALUE("-0.001240")</f>
        <v/>
      </c>
      <c r="F867">
        <f>_xlfn.NUMBERVALUE("0.001034")</f>
        <v/>
      </c>
      <c r="G867">
        <f>_xlfn.NUMBERVALUE("-0.000795")</f>
        <v/>
      </c>
      <c r="H867">
        <f>_xlfn.NUMBERVALUE("0.000005")</f>
        <v/>
      </c>
      <c r="I867">
        <f>_xlfn.NUMBERVALUE("0.001483")</f>
        <v/>
      </c>
      <c r="J867">
        <f>_xlfn.NUMBERVALUE("0.000201")</f>
        <v/>
      </c>
      <c r="K867">
        <f>_xlfn.NUMBERVALUE("-0.000570")</f>
        <v/>
      </c>
      <c r="L867">
        <f>_xlfn.NUMBERVALUE("0.000644")</f>
        <v/>
      </c>
      <c r="M867">
        <f>_xlfn.NUMBERVALUE("0.001312")</f>
        <v/>
      </c>
      <c r="N867">
        <f>_xlfn.NUMBERVALUE("0.000000")</f>
        <v/>
      </c>
      <c r="O867">
        <f>_xlfn.NUMBERVALUE("0.002128")</f>
        <v/>
      </c>
      <c r="P867">
        <f>_xlfn.NUMBERVALUE("0.000694")</f>
        <v/>
      </c>
      <c r="Q867">
        <f>_xlfn.NUMBERVALUE("-0.000006")</f>
        <v/>
      </c>
      <c r="R867">
        <f>_xlfn.NUMBERVALUE("0.000907")</f>
        <v/>
      </c>
      <c r="S867">
        <f>_xlfn.NUMBERVALUE("-0.000956")</f>
        <v/>
      </c>
      <c r="T867">
        <f>_xlfn.NUMBERVALUE("0.000376")</f>
        <v/>
      </c>
      <c r="U867">
        <f>_xlfn.NUMBERVALUE("-0.001147")</f>
        <v/>
      </c>
      <c r="V867">
        <f>_xlfn.NUMBERVALUE("0.000312")</f>
        <v/>
      </c>
      <c r="W867">
        <f>_xlfn.NUMBERVALUE("0.003381")</f>
        <v/>
      </c>
      <c r="X867">
        <f>_xlfn.NUMBERVALUE("0.170000")</f>
        <v/>
      </c>
      <c r="Y867">
        <f>_xlfn.NUMBERVALUE("12.350000")</f>
        <v/>
      </c>
    </row>
    <row r="868">
      <c r="A868" s="1" t="n">
        <v>43263</v>
      </c>
      <c r="B868">
        <f>_xlfn.NUMBERVALUE("0.000000")</f>
        <v/>
      </c>
      <c r="C868" s="2">
        <f>_xlfn.NUMBERVALUE("0.001070")</f>
        <v/>
      </c>
      <c r="D868">
        <f>_xlfn.NUMBERVALUE("0.001876")</f>
        <v/>
      </c>
      <c r="E868">
        <f>_xlfn.NUMBERVALUE("0.000312")</f>
        <v/>
      </c>
      <c r="F868">
        <f>_xlfn.NUMBERVALUE("-0.000005")</f>
        <v/>
      </c>
      <c r="G868">
        <f>_xlfn.NUMBERVALUE("0.000392")</f>
        <v/>
      </c>
      <c r="H868">
        <f>_xlfn.NUMBERVALUE("0.000176")</f>
        <v/>
      </c>
      <c r="I868">
        <f>_xlfn.NUMBERVALUE("0.000279")</f>
        <v/>
      </c>
      <c r="J868">
        <f>_xlfn.NUMBERVALUE("0.000210")</f>
        <v/>
      </c>
      <c r="K868">
        <f>_xlfn.NUMBERVALUE("0.001367")</f>
        <v/>
      </c>
      <c r="L868">
        <f>_xlfn.NUMBERVALUE("0.000582")</f>
        <v/>
      </c>
      <c r="M868">
        <f>_xlfn.NUMBERVALUE("0.001243")</f>
        <v/>
      </c>
      <c r="N868">
        <f>_xlfn.NUMBERVALUE("0.000000")</f>
        <v/>
      </c>
      <c r="O868">
        <f>_xlfn.NUMBERVALUE("0.000239")</f>
        <v/>
      </c>
      <c r="P868">
        <f>_xlfn.NUMBERVALUE("0.000967")</f>
        <v/>
      </c>
      <c r="Q868">
        <f>_xlfn.NUMBERVALUE("0.001522")</f>
        <v/>
      </c>
      <c r="R868">
        <f>_xlfn.NUMBERVALUE("0.001149")</f>
        <v/>
      </c>
      <c r="S868">
        <f>_xlfn.NUMBERVALUE("0.000885")</f>
        <v/>
      </c>
      <c r="T868">
        <f>_xlfn.NUMBERVALUE("-0.000113")</f>
        <v/>
      </c>
      <c r="U868">
        <f>_xlfn.NUMBERVALUE("0.000663")</f>
        <v/>
      </c>
      <c r="V868">
        <f>_xlfn.NUMBERVALUE("0.001044")</f>
        <v/>
      </c>
      <c r="W868">
        <f>_xlfn.NUMBERVALUE("-0.001022")</f>
        <v/>
      </c>
      <c r="X868">
        <f>_xlfn.NUMBERVALUE("-0.010000")</f>
        <v/>
      </c>
      <c r="Y868">
        <f>_xlfn.NUMBERVALUE("12.340000")</f>
        <v/>
      </c>
    </row>
    <row r="869">
      <c r="A869" s="1" t="n">
        <v>43264</v>
      </c>
      <c r="B869">
        <f>_xlfn.NUMBERVALUE("0.000000")</f>
        <v/>
      </c>
      <c r="C869" s="2">
        <f>_xlfn.NUMBERVALUE("0.000356")</f>
        <v/>
      </c>
      <c r="D869">
        <f>_xlfn.NUMBERVALUE("0.000080")</f>
        <v/>
      </c>
      <c r="E869">
        <f>_xlfn.NUMBERVALUE("0.001051")</f>
        <v/>
      </c>
      <c r="F869">
        <f>_xlfn.NUMBERVALUE("0.000694")</f>
        <v/>
      </c>
      <c r="G869">
        <f>_xlfn.NUMBERVALUE("0.000564")</f>
        <v/>
      </c>
      <c r="H869">
        <f>_xlfn.NUMBERVALUE("0.000330")</f>
        <v/>
      </c>
      <c r="I869">
        <f>_xlfn.NUMBERVALUE("0.000525")</f>
        <v/>
      </c>
      <c r="J869">
        <f>_xlfn.NUMBERVALUE("0.000604")</f>
        <v/>
      </c>
      <c r="K869">
        <f>_xlfn.NUMBERVALUE("-0.001356")</f>
        <v/>
      </c>
      <c r="L869">
        <f>_xlfn.NUMBERVALUE("0.001253")</f>
        <v/>
      </c>
      <c r="M869">
        <f>_xlfn.NUMBERVALUE("-0.000548")</f>
        <v/>
      </c>
      <c r="N869">
        <f>_xlfn.NUMBERVALUE("0.000000")</f>
        <v/>
      </c>
      <c r="O869">
        <f>_xlfn.NUMBERVALUE("0.001067")</f>
        <v/>
      </c>
      <c r="P869">
        <f>_xlfn.NUMBERVALUE("0.000373")</f>
        <v/>
      </c>
      <c r="Q869">
        <f>_xlfn.NUMBERVALUE("0.000209")</f>
        <v/>
      </c>
      <c r="R869">
        <f>_xlfn.NUMBERVALUE("-0.000689")</f>
        <v/>
      </c>
      <c r="S869">
        <f>_xlfn.NUMBERVALUE("0.001572")</f>
        <v/>
      </c>
      <c r="T869">
        <f>_xlfn.NUMBERVALUE("0.000644")</f>
        <v/>
      </c>
      <c r="U869">
        <f>_xlfn.NUMBERVALUE("-0.000547")</f>
        <v/>
      </c>
      <c r="V869">
        <f>_xlfn.NUMBERVALUE("0.000084")</f>
        <v/>
      </c>
      <c r="W869">
        <f>_xlfn.NUMBERVALUE("-0.000951")</f>
        <v/>
      </c>
      <c r="X869">
        <f>_xlfn.NUMBERVALUE("0.600000")</f>
        <v/>
      </c>
      <c r="Y869">
        <f>_xlfn.NUMBERVALUE("12.940000")</f>
        <v/>
      </c>
    </row>
    <row r="870">
      <c r="A870" s="1" t="n">
        <v>43265</v>
      </c>
      <c r="B870">
        <f>_xlfn.NUMBERVALUE("0.000000")</f>
        <v/>
      </c>
      <c r="C870" s="2">
        <f>_xlfn.NUMBERVALUE("0.001759")</f>
        <v/>
      </c>
      <c r="D870">
        <f>_xlfn.NUMBERVALUE("0.001029")</f>
        <v/>
      </c>
      <c r="E870">
        <f>_xlfn.NUMBERVALUE("0.003215")</f>
        <v/>
      </c>
      <c r="F870">
        <f>_xlfn.NUMBERVALUE("0.001879")</f>
        <v/>
      </c>
      <c r="G870">
        <f>_xlfn.NUMBERVALUE("-0.000014")</f>
        <v/>
      </c>
      <c r="H870">
        <f>_xlfn.NUMBERVALUE("0.000250")</f>
        <v/>
      </c>
      <c r="I870">
        <f>_xlfn.NUMBERVALUE("0.000055")</f>
        <v/>
      </c>
      <c r="J870">
        <f>_xlfn.NUMBERVALUE("0.000311")</f>
        <v/>
      </c>
      <c r="K870">
        <f>_xlfn.NUMBERVALUE("0.000278")</f>
        <v/>
      </c>
      <c r="L870">
        <f>_xlfn.NUMBERVALUE("-0.000035")</f>
        <v/>
      </c>
      <c r="M870">
        <f>_xlfn.NUMBERVALUE("0.001937")</f>
        <v/>
      </c>
      <c r="N870">
        <f>_xlfn.NUMBERVALUE("0.000000")</f>
        <v/>
      </c>
      <c r="O870">
        <f>_xlfn.NUMBERVALUE("0.002182")</f>
        <v/>
      </c>
      <c r="P870">
        <f>_xlfn.NUMBERVALUE("0.000207")</f>
        <v/>
      </c>
      <c r="Q870">
        <f>_xlfn.NUMBERVALUE("0.001170")</f>
        <v/>
      </c>
      <c r="R870">
        <f>_xlfn.NUMBERVALUE("0.000804")</f>
        <v/>
      </c>
      <c r="S870">
        <f>_xlfn.NUMBERVALUE("0.001160")</f>
        <v/>
      </c>
      <c r="T870">
        <f>_xlfn.NUMBERVALUE("0.000638")</f>
        <v/>
      </c>
      <c r="U870">
        <f>_xlfn.NUMBERVALUE("-0.000733")</f>
        <v/>
      </c>
      <c r="V870">
        <f>_xlfn.NUMBERVALUE("0.001229")</f>
        <v/>
      </c>
      <c r="W870">
        <f>_xlfn.NUMBERVALUE("0.001670")</f>
        <v/>
      </c>
      <c r="X870">
        <f>_xlfn.NUMBERVALUE("-0.820000")</f>
        <v/>
      </c>
      <c r="Y870">
        <f>_xlfn.NUMBERVALUE("12.120000")</f>
        <v/>
      </c>
    </row>
    <row r="871">
      <c r="A871" s="1" t="n">
        <v>43266</v>
      </c>
      <c r="B871">
        <f>_xlfn.NUMBERVALUE("0.000000")</f>
        <v/>
      </c>
      <c r="C871" s="2">
        <f>_xlfn.NUMBERVALUE("-0.000305")</f>
        <v/>
      </c>
      <c r="D871">
        <f>_xlfn.NUMBERVALUE("0.000200")</f>
        <v/>
      </c>
      <c r="E871">
        <f>_xlfn.NUMBERVALUE("-0.001755")</f>
        <v/>
      </c>
      <c r="F871">
        <f>_xlfn.NUMBERVALUE("-0.008143")</f>
        <v/>
      </c>
      <c r="G871">
        <f>_xlfn.NUMBERVALUE("-0.000133")</f>
        <v/>
      </c>
      <c r="H871">
        <f>_xlfn.NUMBERVALUE("-0.000759")</f>
        <v/>
      </c>
      <c r="I871">
        <f>_xlfn.NUMBERVALUE("-0.000275")</f>
        <v/>
      </c>
      <c r="J871">
        <f>_xlfn.NUMBERVALUE("0.000178")</f>
        <v/>
      </c>
      <c r="K871">
        <f>_xlfn.NUMBERVALUE("-0.008611")</f>
        <v/>
      </c>
      <c r="L871">
        <f>_xlfn.NUMBERVALUE("0.000417")</f>
        <v/>
      </c>
      <c r="M871">
        <f>_xlfn.NUMBERVALUE("0.000595")</f>
        <v/>
      </c>
      <c r="N871">
        <f>_xlfn.NUMBERVALUE("0.000000")</f>
        <v/>
      </c>
      <c r="O871">
        <f>_xlfn.NUMBERVALUE("-0.003328")</f>
        <v/>
      </c>
      <c r="P871">
        <f>_xlfn.NUMBERVALUE("0.001311")</f>
        <v/>
      </c>
      <c r="Q871">
        <f>_xlfn.NUMBERVALUE("0.000562")</f>
        <v/>
      </c>
      <c r="R871">
        <f>_xlfn.NUMBERVALUE("0.000306")</f>
        <v/>
      </c>
      <c r="S871">
        <f>_xlfn.NUMBERVALUE("-0.003282")</f>
        <v/>
      </c>
      <c r="T871">
        <f>_xlfn.NUMBERVALUE("-0.003614")</f>
        <v/>
      </c>
      <c r="U871">
        <f>_xlfn.NUMBERVALUE("-0.000742")</f>
        <v/>
      </c>
      <c r="V871">
        <f>_xlfn.NUMBERVALUE("-0.001835")</f>
        <v/>
      </c>
      <c r="W871">
        <f>_xlfn.NUMBERVALUE("-0.006795")</f>
        <v/>
      </c>
      <c r="X871">
        <f>_xlfn.NUMBERVALUE("-0.140000")</f>
        <v/>
      </c>
      <c r="Y871">
        <f>_xlfn.NUMBERVALUE("11.980000")</f>
        <v/>
      </c>
    </row>
    <row r="872">
      <c r="A872" s="1" t="n">
        <v>43269</v>
      </c>
      <c r="B872">
        <f>_xlfn.NUMBERVALUE("0.000000")</f>
        <v/>
      </c>
      <c r="C872" s="2">
        <f>_xlfn.NUMBERVALUE("0.001267")</f>
        <v/>
      </c>
      <c r="D872">
        <f>_xlfn.NUMBERVALUE("-0.002079")</f>
        <v/>
      </c>
      <c r="E872">
        <f>_xlfn.NUMBERVALUE("0.001704")</f>
        <v/>
      </c>
      <c r="F872">
        <f>_xlfn.NUMBERVALUE("0.001162")</f>
        <v/>
      </c>
      <c r="G872">
        <f>_xlfn.NUMBERVALUE("0.000621")</f>
        <v/>
      </c>
      <c r="H872">
        <f>_xlfn.NUMBERVALUE("0.000822")</f>
        <v/>
      </c>
      <c r="I872">
        <f>_xlfn.NUMBERVALUE("-0.000793")</f>
        <v/>
      </c>
      <c r="J872">
        <f>_xlfn.NUMBERVALUE("0.000627")</f>
        <v/>
      </c>
      <c r="K872">
        <f>_xlfn.NUMBERVALUE("0.001034")</f>
        <v/>
      </c>
      <c r="L872">
        <f>_xlfn.NUMBERVALUE("0.000899")</f>
        <v/>
      </c>
      <c r="M872">
        <f>_xlfn.NUMBERVALUE("0.000492")</f>
        <v/>
      </c>
      <c r="N872">
        <f>_xlfn.NUMBERVALUE("0.000000")</f>
        <v/>
      </c>
      <c r="O872">
        <f>_xlfn.NUMBERVALUE("-0.001273")</f>
        <v/>
      </c>
      <c r="P872">
        <f>_xlfn.NUMBERVALUE("0.000680")</f>
        <v/>
      </c>
      <c r="Q872">
        <f>_xlfn.NUMBERVALUE("0.000282")</f>
        <v/>
      </c>
      <c r="R872">
        <f>_xlfn.NUMBERVALUE("0.000036")</f>
        <v/>
      </c>
      <c r="S872">
        <f>_xlfn.NUMBERVALUE("-0.001881")</f>
        <v/>
      </c>
      <c r="T872">
        <f>_xlfn.NUMBERVALUE("0.000668")</f>
        <v/>
      </c>
      <c r="U872">
        <f>_xlfn.NUMBERVALUE("0.000314")</f>
        <v/>
      </c>
      <c r="V872">
        <f>_xlfn.NUMBERVALUE("0.000983")</f>
        <v/>
      </c>
      <c r="W872">
        <f>_xlfn.NUMBERVALUE("-0.002473")</f>
        <v/>
      </c>
      <c r="X872">
        <f>_xlfn.NUMBERVALUE("0.330000")</f>
        <v/>
      </c>
      <c r="Y872">
        <f>_xlfn.NUMBERVALUE("12.310000")</f>
        <v/>
      </c>
    </row>
    <row r="873">
      <c r="A873" s="1" t="n">
        <v>43270</v>
      </c>
      <c r="B873">
        <f>_xlfn.NUMBERVALUE("0.000000")</f>
        <v/>
      </c>
      <c r="C873" s="2">
        <f>_xlfn.NUMBERVALUE("-0.002571")</f>
        <v/>
      </c>
      <c r="D873">
        <f>_xlfn.NUMBERVALUE("-0.000564")</f>
        <v/>
      </c>
      <c r="E873">
        <f>_xlfn.NUMBERVALUE("-0.001124")</f>
        <v/>
      </c>
      <c r="F873">
        <f>_xlfn.NUMBERVALUE("-0.001124")</f>
        <v/>
      </c>
      <c r="G873">
        <f>_xlfn.NUMBERVALUE("0.000230")</f>
        <v/>
      </c>
      <c r="H873">
        <f>_xlfn.NUMBERVALUE("-0.000040")</f>
        <v/>
      </c>
      <c r="I873">
        <f>_xlfn.NUMBERVALUE("-0.000871")</f>
        <v/>
      </c>
      <c r="J873">
        <f>_xlfn.NUMBERVALUE("0.000342")</f>
        <v/>
      </c>
      <c r="K873">
        <f>_xlfn.NUMBERVALUE("-0.000473")</f>
        <v/>
      </c>
      <c r="L873">
        <f>_xlfn.NUMBERVALUE("-0.000618")</f>
        <v/>
      </c>
      <c r="M873">
        <f>_xlfn.NUMBERVALUE("-0.004171")</f>
        <v/>
      </c>
      <c r="N873">
        <f>_xlfn.NUMBERVALUE("0.000000")</f>
        <v/>
      </c>
      <c r="O873">
        <f>_xlfn.NUMBERVALUE("0.000488")</f>
        <v/>
      </c>
      <c r="P873">
        <f>_xlfn.NUMBERVALUE("-0.000291")</f>
        <v/>
      </c>
      <c r="Q873">
        <f>_xlfn.NUMBERVALUE("-0.005200")</f>
        <v/>
      </c>
      <c r="R873">
        <f>_xlfn.NUMBERVALUE("0.000239")</f>
        <v/>
      </c>
      <c r="S873">
        <f>_xlfn.NUMBERVALUE("-0.000689")</f>
        <v/>
      </c>
      <c r="T873">
        <f>_xlfn.NUMBERVALUE("-0.001545")</f>
        <v/>
      </c>
      <c r="U873">
        <f>_xlfn.NUMBERVALUE("-0.000527")</f>
        <v/>
      </c>
      <c r="V873">
        <f>_xlfn.NUMBERVALUE("-0.000555")</f>
        <v/>
      </c>
      <c r="W873">
        <f>_xlfn.NUMBERVALUE("-0.003999")</f>
        <v/>
      </c>
      <c r="X873">
        <f>_xlfn.NUMBERVALUE("1.040000")</f>
        <v/>
      </c>
      <c r="Y873">
        <f>_xlfn.NUMBERVALUE("13.350000")</f>
        <v/>
      </c>
    </row>
    <row r="874">
      <c r="A874" s="1" t="n">
        <v>43271</v>
      </c>
      <c r="B874">
        <f>_xlfn.NUMBERVALUE("0.000000")</f>
        <v/>
      </c>
      <c r="C874" s="2">
        <f>_xlfn.NUMBERVALUE("0.001797")</f>
        <v/>
      </c>
      <c r="D874">
        <f>_xlfn.NUMBERVALUE("0.003631")</f>
        <v/>
      </c>
      <c r="E874">
        <f>_xlfn.NUMBERVALUE("0.003777")</f>
        <v/>
      </c>
      <c r="F874">
        <f>_xlfn.NUMBERVALUE("-0.000286")</f>
        <v/>
      </c>
      <c r="G874">
        <f>_xlfn.NUMBERVALUE("-0.000117")</f>
        <v/>
      </c>
      <c r="H874">
        <f>_xlfn.NUMBERVALUE("-0.000435")</f>
        <v/>
      </c>
      <c r="I874">
        <f>_xlfn.NUMBERVALUE("-0.001219")</f>
        <v/>
      </c>
      <c r="J874">
        <f>_xlfn.NUMBERVALUE("-0.000812")</f>
        <v/>
      </c>
      <c r="K874">
        <f>_xlfn.NUMBERVALUE("0.000071")</f>
        <v/>
      </c>
      <c r="L874">
        <f>_xlfn.NUMBERVALUE("0.000258")</f>
        <v/>
      </c>
      <c r="M874">
        <f>_xlfn.NUMBERVALUE("0.000084")</f>
        <v/>
      </c>
      <c r="N874">
        <f>_xlfn.NUMBERVALUE("0.000000")</f>
        <v/>
      </c>
      <c r="O874">
        <f>_xlfn.NUMBERVALUE("-0.000133")</f>
        <v/>
      </c>
      <c r="P874">
        <f>_xlfn.NUMBERVALUE("0.000905")</f>
        <v/>
      </c>
      <c r="Q874">
        <f>_xlfn.NUMBERVALUE("0.001042")</f>
        <v/>
      </c>
      <c r="R874">
        <f>_xlfn.NUMBERVALUE("0.000523")</f>
        <v/>
      </c>
      <c r="S874">
        <f>_xlfn.NUMBERVALUE("0.001257")</f>
        <v/>
      </c>
      <c r="T874">
        <f>_xlfn.NUMBERVALUE("0.000809")</f>
        <v/>
      </c>
      <c r="U874">
        <f>_xlfn.NUMBERVALUE("-0.000305")</f>
        <v/>
      </c>
      <c r="V874">
        <f>_xlfn.NUMBERVALUE("0.001032")</f>
        <v/>
      </c>
      <c r="W874">
        <f>_xlfn.NUMBERVALUE("0.003416")</f>
        <v/>
      </c>
      <c r="X874">
        <f>_xlfn.NUMBERVALUE("-0.560000")</f>
        <v/>
      </c>
      <c r="Y874">
        <f>_xlfn.NUMBERVALUE("12.790000")</f>
        <v/>
      </c>
    </row>
    <row r="875">
      <c r="A875" s="1" t="n">
        <v>43272</v>
      </c>
      <c r="B875">
        <f>_xlfn.NUMBERVALUE("0.000000")</f>
        <v/>
      </c>
      <c r="C875" s="2">
        <f>_xlfn.NUMBERVALUE("-0.002779")</f>
        <v/>
      </c>
      <c r="D875">
        <f>_xlfn.NUMBERVALUE("-0.001068")</f>
        <v/>
      </c>
      <c r="E875">
        <f>_xlfn.NUMBERVALUE("-0.000124")</f>
        <v/>
      </c>
      <c r="F875">
        <f>_xlfn.NUMBERVALUE("0.000341")</f>
        <v/>
      </c>
      <c r="G875">
        <f>_xlfn.NUMBERVALUE("-0.000321")</f>
        <v/>
      </c>
      <c r="H875">
        <f>_xlfn.NUMBERVALUE("-0.000164")</f>
        <v/>
      </c>
      <c r="I875">
        <f>_xlfn.NUMBERVALUE("-0.001992")</f>
        <v/>
      </c>
      <c r="J875">
        <f>_xlfn.NUMBERVALUE("-0.000213")</f>
        <v/>
      </c>
      <c r="K875">
        <f>_xlfn.NUMBERVALUE("0.000787")</f>
        <v/>
      </c>
      <c r="L875">
        <f>_xlfn.NUMBERVALUE("0.000166")</f>
        <v/>
      </c>
      <c r="M875">
        <f>_xlfn.NUMBERVALUE("-0.001212")</f>
        <v/>
      </c>
      <c r="N875">
        <f>_xlfn.NUMBERVALUE("0.000000")</f>
        <v/>
      </c>
      <c r="O875">
        <f>_xlfn.NUMBERVALUE("-0.006530")</f>
        <v/>
      </c>
      <c r="P875">
        <f>_xlfn.NUMBERVALUE("-0.001228")</f>
        <v/>
      </c>
      <c r="Q875">
        <f>_xlfn.NUMBERVALUE("-0.002006")</f>
        <v/>
      </c>
      <c r="R875">
        <f>_xlfn.NUMBERVALUE("-0.002309")</f>
        <v/>
      </c>
      <c r="S875">
        <f>_xlfn.NUMBERVALUE("-0.000663")</f>
        <v/>
      </c>
      <c r="T875">
        <f>_xlfn.NUMBERVALUE("-0.000000")</f>
        <v/>
      </c>
      <c r="U875">
        <f>_xlfn.NUMBERVALUE("-0.000773")</f>
        <v/>
      </c>
      <c r="V875">
        <f>_xlfn.NUMBERVALUE("-0.002814")</f>
        <v/>
      </c>
      <c r="W875">
        <f>_xlfn.NUMBERVALUE("-0.008745")</f>
        <v/>
      </c>
      <c r="X875">
        <f>_xlfn.NUMBERVALUE("1.850000")</f>
        <v/>
      </c>
      <c r="Y875">
        <f>_xlfn.NUMBERVALUE("14.640000")</f>
        <v/>
      </c>
    </row>
    <row r="876">
      <c r="A876" s="1" t="n">
        <v>43273</v>
      </c>
      <c r="B876">
        <f>_xlfn.NUMBERVALUE("0.000000")</f>
        <v/>
      </c>
      <c r="C876" s="2">
        <f>_xlfn.NUMBERVALUE("0.001597")</f>
        <v/>
      </c>
      <c r="D876">
        <f>_xlfn.NUMBERVALUE("0.000657")</f>
        <v/>
      </c>
      <c r="E876">
        <f>_xlfn.NUMBERVALUE("-0.000132")</f>
        <v/>
      </c>
      <c r="F876">
        <f>_xlfn.NUMBERVALUE("0.000935")</f>
        <v/>
      </c>
      <c r="G876">
        <f>_xlfn.NUMBERVALUE("0.000308")</f>
        <v/>
      </c>
      <c r="H876">
        <f>_xlfn.NUMBERVALUE("0.000508")</f>
        <v/>
      </c>
      <c r="I876">
        <f>_xlfn.NUMBERVALUE("0.003347")</f>
        <v/>
      </c>
      <c r="J876">
        <f>_xlfn.NUMBERVALUE("0.001037")</f>
        <v/>
      </c>
      <c r="K876">
        <f>_xlfn.NUMBERVALUE("0.001048")</f>
        <v/>
      </c>
      <c r="L876">
        <f>_xlfn.NUMBERVALUE("0.000654")</f>
        <v/>
      </c>
      <c r="M876">
        <f>_xlfn.NUMBERVALUE("0.000825")</f>
        <v/>
      </c>
      <c r="N876">
        <f>_xlfn.NUMBERVALUE("0.000000")</f>
        <v/>
      </c>
      <c r="O876">
        <f>_xlfn.NUMBERVALUE("0.002378")</f>
        <v/>
      </c>
      <c r="P876">
        <f>_xlfn.NUMBERVALUE("0.001424")</f>
        <v/>
      </c>
      <c r="Q876">
        <f>_xlfn.NUMBERVALUE("0.001006")</f>
        <v/>
      </c>
      <c r="R876">
        <f>_xlfn.NUMBERVALUE("0.002612")</f>
        <v/>
      </c>
      <c r="S876">
        <f>_xlfn.NUMBERVALUE("-0.000522")</f>
        <v/>
      </c>
      <c r="T876">
        <f>_xlfn.NUMBERVALUE("0.000360")</f>
        <v/>
      </c>
      <c r="U876">
        <f>_xlfn.NUMBERVALUE("0.002161")</f>
        <v/>
      </c>
      <c r="V876">
        <f>_xlfn.NUMBERVALUE("0.001883")</f>
        <v/>
      </c>
      <c r="W876">
        <f>_xlfn.NUMBERVALUE("0.005261")</f>
        <v/>
      </c>
      <c r="X876">
        <f>_xlfn.NUMBERVALUE("-0.870000")</f>
        <v/>
      </c>
      <c r="Y876">
        <f>_xlfn.NUMBERVALUE("13.770000")</f>
        <v/>
      </c>
    </row>
    <row r="877">
      <c r="A877" s="1" t="n">
        <v>43276</v>
      </c>
      <c r="B877">
        <f>_xlfn.NUMBERVALUE("0.000000")</f>
        <v/>
      </c>
      <c r="C877" s="2">
        <f>_xlfn.NUMBERVALUE("-0.004487")</f>
        <v/>
      </c>
      <c r="D877">
        <f>_xlfn.NUMBERVALUE("-0.000507")</f>
        <v/>
      </c>
      <c r="E877">
        <f>_xlfn.NUMBERVALUE("-0.001388")</f>
        <v/>
      </c>
      <c r="F877">
        <f>_xlfn.NUMBERVALUE("-0.000218")</f>
        <v/>
      </c>
      <c r="G877">
        <f>_xlfn.NUMBERVALUE("-0.000056")</f>
        <v/>
      </c>
      <c r="H877">
        <f>_xlfn.NUMBERVALUE("0.000452")</f>
        <v/>
      </c>
      <c r="I877">
        <f>_xlfn.NUMBERVALUE("-0.002506")</f>
        <v/>
      </c>
      <c r="J877">
        <f>_xlfn.NUMBERVALUE("0.000860")</f>
        <v/>
      </c>
      <c r="K877">
        <f>_xlfn.NUMBERVALUE("0.001579")</f>
        <v/>
      </c>
      <c r="L877">
        <f>_xlfn.NUMBERVALUE("0.000058")</f>
        <v/>
      </c>
      <c r="M877">
        <f>_xlfn.NUMBERVALUE("-0.002315")</f>
        <v/>
      </c>
      <c r="N877">
        <f>_xlfn.NUMBERVALUE("0.000000")</f>
        <v/>
      </c>
      <c r="O877">
        <f>_xlfn.NUMBERVALUE("-0.003592")</f>
        <v/>
      </c>
      <c r="P877">
        <f>_xlfn.NUMBERVALUE("-0.001278")</f>
        <v/>
      </c>
      <c r="Q877">
        <f>_xlfn.NUMBERVALUE("-0.001381")</f>
        <v/>
      </c>
      <c r="R877">
        <f>_xlfn.NUMBERVALUE("-0.005839")</f>
        <v/>
      </c>
      <c r="S877">
        <f>_xlfn.NUMBERVALUE("-0.001950")</f>
        <v/>
      </c>
      <c r="T877">
        <f>_xlfn.NUMBERVALUE("-0.001063")</f>
        <v/>
      </c>
      <c r="U877">
        <f>_xlfn.NUMBERVALUE("-0.007214")</f>
        <v/>
      </c>
      <c r="V877">
        <f>_xlfn.NUMBERVALUE("-0.005191")</f>
        <v/>
      </c>
      <c r="W877">
        <f>_xlfn.NUMBERVALUE("-0.014700")</f>
        <v/>
      </c>
      <c r="X877">
        <f>_xlfn.NUMBERVALUE("3.560000")</f>
        <v/>
      </c>
      <c r="Y877">
        <f>_xlfn.NUMBERVALUE("17.330000")</f>
        <v/>
      </c>
    </row>
    <row r="878">
      <c r="A878" s="1" t="n">
        <v>43277</v>
      </c>
      <c r="B878">
        <f>_xlfn.NUMBERVALUE("0.056454")</f>
        <v/>
      </c>
      <c r="C878" s="2">
        <f>_xlfn.NUMBERVALUE("0.001379")</f>
        <v/>
      </c>
      <c r="D878">
        <f>_xlfn.NUMBERVALUE("0.000092")</f>
        <v/>
      </c>
      <c r="E878">
        <f>_xlfn.NUMBERVALUE("0.000147")</f>
        <v/>
      </c>
      <c r="F878">
        <f>_xlfn.NUMBERVALUE("-0.000459")</f>
        <v/>
      </c>
      <c r="G878">
        <f>_xlfn.NUMBERVALUE("0.001025")</f>
        <v/>
      </c>
      <c r="H878">
        <f>_xlfn.NUMBERVALUE("0.000326")</f>
        <v/>
      </c>
      <c r="I878">
        <f>_xlfn.NUMBERVALUE("0.002194")</f>
        <v/>
      </c>
      <c r="J878">
        <f>_xlfn.NUMBERVALUE("-0.000834")</f>
        <v/>
      </c>
      <c r="K878">
        <f>_xlfn.NUMBERVALUE("0.000656")</f>
        <v/>
      </c>
      <c r="L878">
        <f>_xlfn.NUMBERVALUE("0.001036")</f>
        <v/>
      </c>
      <c r="M878">
        <f>_xlfn.NUMBERVALUE("0.000779")</f>
        <v/>
      </c>
      <c r="N878">
        <f>_xlfn.NUMBERVALUE("0.000000")</f>
        <v/>
      </c>
      <c r="O878">
        <f>_xlfn.NUMBERVALUE("0.001860")</f>
        <v/>
      </c>
      <c r="P878">
        <f>_xlfn.NUMBERVALUE("0.000435")</f>
        <v/>
      </c>
      <c r="Q878">
        <f>_xlfn.NUMBERVALUE("0.000441")</f>
        <v/>
      </c>
      <c r="R878">
        <f>_xlfn.NUMBERVALUE("0.001623")</f>
        <v/>
      </c>
      <c r="S878">
        <f>_xlfn.NUMBERVALUE("0.002017")</f>
        <v/>
      </c>
      <c r="T878">
        <f>_xlfn.NUMBERVALUE("0.000070")</f>
        <v/>
      </c>
      <c r="U878">
        <f>_xlfn.NUMBERVALUE("0.000791")</f>
        <v/>
      </c>
      <c r="V878">
        <f>_xlfn.NUMBERVALUE("0.002093")</f>
        <v/>
      </c>
      <c r="W878">
        <f>_xlfn.NUMBERVALUE("0.003356")</f>
        <v/>
      </c>
      <c r="X878">
        <f>_xlfn.NUMBERVALUE("-1.410000")</f>
        <v/>
      </c>
      <c r="Y878">
        <f>_xlfn.NUMBERVALUE("15.920000")</f>
        <v/>
      </c>
    </row>
    <row r="879">
      <c r="A879" s="1" t="n">
        <v>43278</v>
      </c>
      <c r="B879">
        <f>_xlfn.NUMBERVALUE("0.000000")</f>
        <v/>
      </c>
      <c r="C879" s="2">
        <f>_xlfn.NUMBERVALUE("-0.000525")</f>
        <v/>
      </c>
      <c r="D879">
        <f>_xlfn.NUMBERVALUE("-0.000401")</f>
        <v/>
      </c>
      <c r="E879">
        <f>_xlfn.NUMBERVALUE("-0.000194")</f>
        <v/>
      </c>
      <c r="F879">
        <f>_xlfn.NUMBERVALUE("0.000209")</f>
        <v/>
      </c>
      <c r="G879">
        <f>_xlfn.NUMBERVALUE("-0.000036")</f>
        <v/>
      </c>
      <c r="H879">
        <f>_xlfn.NUMBERVALUE("-0.000879")</f>
        <v/>
      </c>
      <c r="I879">
        <f>_xlfn.NUMBERVALUE("-0.003015")</f>
        <v/>
      </c>
      <c r="J879">
        <f>_xlfn.NUMBERVALUE("-0.000303")</f>
        <v/>
      </c>
      <c r="K879">
        <f>_xlfn.NUMBERVALUE("-0.002975")</f>
        <v/>
      </c>
      <c r="L879">
        <f>_xlfn.NUMBERVALUE("-0.001355")</f>
        <v/>
      </c>
      <c r="M879">
        <f>_xlfn.NUMBERVALUE("-0.000631")</f>
        <v/>
      </c>
      <c r="N879">
        <f>_xlfn.NUMBERVALUE("0.000000")</f>
        <v/>
      </c>
      <c r="O879">
        <f>_xlfn.NUMBERVALUE("-0.002235")</f>
        <v/>
      </c>
      <c r="P879">
        <f>_xlfn.NUMBERVALUE("-0.000541")</f>
        <v/>
      </c>
      <c r="Q879">
        <f>_xlfn.NUMBERVALUE("-0.000203")</f>
        <v/>
      </c>
      <c r="R879">
        <f>_xlfn.NUMBERVALUE("-0.000978")</f>
        <v/>
      </c>
      <c r="S879">
        <f>_xlfn.NUMBERVALUE("-0.001159")</f>
        <v/>
      </c>
      <c r="T879">
        <f>_xlfn.NUMBERVALUE("0.000045")</f>
        <v/>
      </c>
      <c r="U879">
        <f>_xlfn.NUMBERVALUE("-0.002792")</f>
        <v/>
      </c>
      <c r="V879">
        <f>_xlfn.NUMBERVALUE("-0.001804")</f>
        <v/>
      </c>
      <c r="W879">
        <f>_xlfn.NUMBERVALUE("-0.005661")</f>
        <v/>
      </c>
      <c r="X879">
        <f>_xlfn.NUMBERVALUE("1.990000")</f>
        <v/>
      </c>
      <c r="Y879">
        <f>_xlfn.NUMBERVALUE("17.910000")</f>
        <v/>
      </c>
    </row>
    <row r="880">
      <c r="A880" s="1" t="n">
        <v>43279</v>
      </c>
      <c r="B880">
        <f>_xlfn.NUMBERVALUE("0.000000")</f>
        <v/>
      </c>
      <c r="C880" s="2">
        <f>_xlfn.NUMBERVALUE("0.000918")</f>
        <v/>
      </c>
      <c r="D880">
        <f>_xlfn.NUMBERVALUE("0.000261")</f>
        <v/>
      </c>
      <c r="E880">
        <f>_xlfn.NUMBERVALUE("0.000134")</f>
        <v/>
      </c>
      <c r="F880">
        <f>_xlfn.NUMBERVALUE("0.000036")</f>
        <v/>
      </c>
      <c r="G880">
        <f>_xlfn.NUMBERVALUE("0.000576")</f>
        <v/>
      </c>
      <c r="H880">
        <f>_xlfn.NUMBERVALUE("0.001135")</f>
        <v/>
      </c>
      <c r="I880">
        <f>_xlfn.NUMBERVALUE("0.001642")</f>
        <v/>
      </c>
      <c r="J880">
        <f>_xlfn.NUMBERVALUE("-0.000338")</f>
        <v/>
      </c>
      <c r="K880">
        <f>_xlfn.NUMBERVALUE("0.001125")</f>
        <v/>
      </c>
      <c r="L880">
        <f>_xlfn.NUMBERVALUE("0.001006")</f>
        <v/>
      </c>
      <c r="M880">
        <f>_xlfn.NUMBERVALUE("0.000540")</f>
        <v/>
      </c>
      <c r="N880">
        <f>_xlfn.NUMBERVALUE("0.000000")</f>
        <v/>
      </c>
      <c r="O880">
        <f>_xlfn.NUMBERVALUE("0.001849")</f>
        <v/>
      </c>
      <c r="P880">
        <f>_xlfn.NUMBERVALUE("0.000130")</f>
        <v/>
      </c>
      <c r="Q880">
        <f>_xlfn.NUMBERVALUE("-0.000734")</f>
        <v/>
      </c>
      <c r="R880">
        <f>_xlfn.NUMBERVALUE("0.000418")</f>
        <v/>
      </c>
      <c r="S880">
        <f>_xlfn.NUMBERVALUE("0.001817")</f>
        <v/>
      </c>
      <c r="T880">
        <f>_xlfn.NUMBERVALUE("0.000308")</f>
        <v/>
      </c>
      <c r="U880">
        <f>_xlfn.NUMBERVALUE("0.002234")</f>
        <v/>
      </c>
      <c r="V880">
        <f>_xlfn.NUMBERVALUE("0.001774")</f>
        <v/>
      </c>
      <c r="W880">
        <f>_xlfn.NUMBERVALUE("0.002551")</f>
        <v/>
      </c>
      <c r="X880">
        <f>_xlfn.NUMBERVALUE("-1.060000")</f>
        <v/>
      </c>
      <c r="Y880">
        <f>_xlfn.NUMBERVALUE("16.850000")</f>
        <v/>
      </c>
    </row>
    <row r="881">
      <c r="A881" s="1" t="n">
        <v>43280</v>
      </c>
      <c r="B881">
        <f>_xlfn.NUMBERVALUE("0.000000")</f>
        <v/>
      </c>
      <c r="C881" s="2">
        <f>_xlfn.NUMBERVALUE("0.001083")</f>
        <v/>
      </c>
      <c r="D881">
        <f>_xlfn.NUMBERVALUE("0.000119")</f>
        <v/>
      </c>
      <c r="E881">
        <f>_xlfn.NUMBERVALUE("-0.000160")</f>
        <v/>
      </c>
      <c r="F881">
        <f>_xlfn.NUMBERVALUE("0.000086")</f>
        <v/>
      </c>
      <c r="G881">
        <f>_xlfn.NUMBERVALUE("0.000530")</f>
        <v/>
      </c>
      <c r="H881">
        <f>_xlfn.NUMBERVALUE("-0.000225")</f>
        <v/>
      </c>
      <c r="I881">
        <f>_xlfn.NUMBERVALUE("0.002810")</f>
        <v/>
      </c>
      <c r="J881">
        <f>_xlfn.NUMBERVALUE("0.000739")</f>
        <v/>
      </c>
      <c r="K881">
        <f>_xlfn.NUMBERVALUE("0.001107")</f>
        <v/>
      </c>
      <c r="L881">
        <f>_xlfn.NUMBERVALUE("0.000298")</f>
        <v/>
      </c>
      <c r="M881">
        <f>_xlfn.NUMBERVALUE("0.000617")</f>
        <v/>
      </c>
      <c r="N881">
        <f>_xlfn.NUMBERVALUE("0.000000")</f>
        <v/>
      </c>
      <c r="O881">
        <f>_xlfn.NUMBERVALUE("0.001219")</f>
        <v/>
      </c>
      <c r="P881">
        <f>_xlfn.NUMBERVALUE("0.000885")</f>
        <v/>
      </c>
      <c r="Q881">
        <f>_xlfn.NUMBERVALUE("0.001197")</f>
        <v/>
      </c>
      <c r="R881">
        <f>_xlfn.NUMBERVALUE("0.001368")</f>
        <v/>
      </c>
      <c r="S881">
        <f>_xlfn.NUMBERVALUE("0.001809")</f>
        <v/>
      </c>
      <c r="T881">
        <f>_xlfn.NUMBERVALUE("0.000022")</f>
        <v/>
      </c>
      <c r="U881">
        <f>_xlfn.NUMBERVALUE("0.002242")</f>
        <v/>
      </c>
      <c r="V881">
        <f>_xlfn.NUMBERVALUE("0.001436")</f>
        <v/>
      </c>
      <c r="W881">
        <f>_xlfn.NUMBERVALUE("0.003282")</f>
        <v/>
      </c>
      <c r="X881">
        <f>_xlfn.NUMBERVALUE("-0.760000")</f>
        <v/>
      </c>
      <c r="Y881">
        <f>_xlfn.NUMBERVALUE("16.090000")</f>
        <v/>
      </c>
    </row>
    <row r="882">
      <c r="A882" s="1" t="n">
        <v>43283</v>
      </c>
      <c r="B882">
        <f>_xlfn.NUMBERVALUE("0.000000")</f>
        <v/>
      </c>
      <c r="C882" s="2">
        <f>_xlfn.NUMBERVALUE("0.000113")</f>
        <v/>
      </c>
      <c r="D882">
        <f>_xlfn.NUMBERVALUE("-0.000143")</f>
        <v/>
      </c>
      <c r="E882">
        <f>_xlfn.NUMBERVALUE("-0.000064")</f>
        <v/>
      </c>
      <c r="F882">
        <f>_xlfn.NUMBERVALUE("-0.000123")</f>
        <v/>
      </c>
      <c r="G882">
        <f>_xlfn.NUMBERVALUE("0.000635")</f>
        <v/>
      </c>
      <c r="H882">
        <f>_xlfn.NUMBERVALUE("0.000740")</f>
        <v/>
      </c>
      <c r="I882">
        <f>_xlfn.NUMBERVALUE("0.001880")</f>
        <v/>
      </c>
      <c r="J882">
        <f>_xlfn.NUMBERVALUE("0.000438")</f>
        <v/>
      </c>
      <c r="K882">
        <f>_xlfn.NUMBERVALUE("-0.001489")</f>
        <v/>
      </c>
      <c r="L882">
        <f>_xlfn.NUMBERVALUE("-0.001763")</f>
        <v/>
      </c>
      <c r="M882">
        <f>_xlfn.NUMBERVALUE("-0.000353")</f>
        <v/>
      </c>
      <c r="N882">
        <f>_xlfn.NUMBERVALUE("0.000000")</f>
        <v/>
      </c>
      <c r="O882">
        <f>_xlfn.NUMBERVALUE("-0.002631")</f>
        <v/>
      </c>
      <c r="P882">
        <f>_xlfn.NUMBERVALUE("0.001162")</f>
        <v/>
      </c>
      <c r="Q882">
        <f>_xlfn.NUMBERVALUE("0.000007")</f>
        <v/>
      </c>
      <c r="R882">
        <f>_xlfn.NUMBERVALUE("0.001064")</f>
        <v/>
      </c>
      <c r="S882">
        <f>_xlfn.NUMBERVALUE("0.000058")</f>
        <v/>
      </c>
      <c r="T882">
        <f>_xlfn.NUMBERVALUE("-0.000057")</f>
        <v/>
      </c>
      <c r="U882">
        <f>_xlfn.NUMBERVALUE("0.001953")</f>
        <v/>
      </c>
      <c r="V882">
        <f>_xlfn.NUMBERVALUE("0.001356")</f>
        <v/>
      </c>
      <c r="W882">
        <f>_xlfn.NUMBERVALUE("-0.002940")</f>
        <v/>
      </c>
      <c r="X882">
        <f>_xlfn.NUMBERVALUE("-0.490000")</f>
        <v/>
      </c>
      <c r="Y882">
        <f>_xlfn.NUMBERVALUE("15.600000")</f>
        <v/>
      </c>
    </row>
    <row r="883">
      <c r="A883" s="1" t="n">
        <v>43284</v>
      </c>
      <c r="B883">
        <f>_xlfn.NUMBERVALUE("-0.008327")</f>
        <v/>
      </c>
      <c r="C883" s="2">
        <f>_xlfn.NUMBERVALUE("-0.001498")</f>
        <v/>
      </c>
      <c r="D883">
        <f>_xlfn.NUMBERVALUE("-0.000410")</f>
        <v/>
      </c>
      <c r="E883">
        <f>_xlfn.NUMBERVALUE("-0.000001")</f>
        <v/>
      </c>
      <c r="F883">
        <f>_xlfn.NUMBERVALUE("-0.000090")</f>
        <v/>
      </c>
      <c r="G883">
        <f>_xlfn.NUMBERVALUE("0.000517")</f>
        <v/>
      </c>
      <c r="H883">
        <f>_xlfn.NUMBERVALUE("-0.000201")</f>
        <v/>
      </c>
      <c r="I883">
        <f>_xlfn.NUMBERVALUE("0.001704")</f>
        <v/>
      </c>
      <c r="J883">
        <f>_xlfn.NUMBERVALUE("0.000020")</f>
        <v/>
      </c>
      <c r="K883">
        <f>_xlfn.NUMBERVALUE("0.000770")</f>
        <v/>
      </c>
      <c r="L883">
        <f>_xlfn.NUMBERVALUE("0.000127")</f>
        <v/>
      </c>
      <c r="M883">
        <f>_xlfn.NUMBERVALUE("-0.000148")</f>
        <v/>
      </c>
      <c r="N883">
        <f>_xlfn.NUMBERVALUE("0.000000")</f>
        <v/>
      </c>
      <c r="O883">
        <f>_xlfn.NUMBERVALUE("0.000452")</f>
        <v/>
      </c>
      <c r="P883">
        <f>_xlfn.NUMBERVALUE("-0.000380")</f>
        <v/>
      </c>
      <c r="Q883">
        <f>_xlfn.NUMBERVALUE("-0.000463")</f>
        <v/>
      </c>
      <c r="R883">
        <f>_xlfn.NUMBERVALUE("-0.000301")</f>
        <v/>
      </c>
      <c r="S883">
        <f>_xlfn.NUMBERVALUE("-0.000265")</f>
        <v/>
      </c>
      <c r="T883">
        <f>_xlfn.NUMBERVALUE("0.000180")</f>
        <v/>
      </c>
      <c r="U883">
        <f>_xlfn.NUMBERVALUE("0.000945")</f>
        <v/>
      </c>
      <c r="V883">
        <f>_xlfn.NUMBERVALUE("0.000312")</f>
        <v/>
      </c>
      <c r="W883">
        <f>_xlfn.NUMBERVALUE("-0.001401")</f>
        <v/>
      </c>
      <c r="X883">
        <f>_xlfn.NUMBERVALUE("0.540000")</f>
        <v/>
      </c>
      <c r="Y883">
        <f>_xlfn.NUMBERVALUE("16.140000")</f>
        <v/>
      </c>
    </row>
    <row r="884">
      <c r="A884" s="1" t="n">
        <v>43286</v>
      </c>
      <c r="B884">
        <f>_xlfn.NUMBERVALUE("0.000000")</f>
        <v/>
      </c>
      <c r="C884" s="2">
        <f>_xlfn.NUMBERVALUE("0.001442")</f>
        <v/>
      </c>
      <c r="D884">
        <f>_xlfn.NUMBERVALUE("0.000326")</f>
        <v/>
      </c>
      <c r="E884">
        <f>_xlfn.NUMBERVALUE("0.000016")</f>
        <v/>
      </c>
      <c r="F884">
        <f>_xlfn.NUMBERVALUE("-0.000048")</f>
        <v/>
      </c>
      <c r="G884">
        <f>_xlfn.NUMBERVALUE("0.000885")</f>
        <v/>
      </c>
      <c r="H884">
        <f>_xlfn.NUMBERVALUE("0.000124")</f>
        <v/>
      </c>
      <c r="I884">
        <f>_xlfn.NUMBERVALUE("0.000969")</f>
        <v/>
      </c>
      <c r="J884">
        <f>_xlfn.NUMBERVALUE("0.001035")</f>
        <v/>
      </c>
      <c r="K884">
        <f>_xlfn.NUMBERVALUE("0.000291")</f>
        <v/>
      </c>
      <c r="L884">
        <f>_xlfn.NUMBERVALUE("-0.000085")</f>
        <v/>
      </c>
      <c r="M884">
        <f>_xlfn.NUMBERVALUE("0.000568")</f>
        <v/>
      </c>
      <c r="N884">
        <f>_xlfn.NUMBERVALUE("0.000000")</f>
        <v/>
      </c>
      <c r="O884">
        <f>_xlfn.NUMBERVALUE("0.001636")</f>
        <v/>
      </c>
      <c r="P884">
        <f>_xlfn.NUMBERVALUE("0.000022")</f>
        <v/>
      </c>
      <c r="Q884">
        <f>_xlfn.NUMBERVALUE("0.000277")</f>
        <v/>
      </c>
      <c r="R884">
        <f>_xlfn.NUMBERVALUE("-0.000073")</f>
        <v/>
      </c>
      <c r="S884">
        <f>_xlfn.NUMBERVALUE("-0.001023")</f>
        <v/>
      </c>
      <c r="T884">
        <f>_xlfn.NUMBERVALUE("0.000011")</f>
        <v/>
      </c>
      <c r="U884">
        <f>_xlfn.NUMBERVALUE("0.000897")</f>
        <v/>
      </c>
      <c r="V884">
        <f>_xlfn.NUMBERVALUE("0.001008")</f>
        <v/>
      </c>
      <c r="W884">
        <f>_xlfn.NUMBERVALUE("0.003691")</f>
        <v/>
      </c>
      <c r="X884">
        <f>_xlfn.NUMBERVALUE("-1.170000")</f>
        <v/>
      </c>
      <c r="Y884">
        <f>_xlfn.NUMBERVALUE("14.970000")</f>
        <v/>
      </c>
    </row>
    <row r="885">
      <c r="A885" s="1" t="n">
        <v>43287</v>
      </c>
      <c r="B885">
        <f>_xlfn.NUMBERVALUE("0.000000")</f>
        <v/>
      </c>
      <c r="C885" s="2">
        <f>_xlfn.NUMBERVALUE("0.001921")</f>
        <v/>
      </c>
      <c r="D885">
        <f>_xlfn.NUMBERVALUE("0.001910")</f>
        <v/>
      </c>
      <c r="E885">
        <f>_xlfn.NUMBERVALUE("0.001532")</f>
        <v/>
      </c>
      <c r="F885">
        <f>_xlfn.NUMBERVALUE("0.001604")</f>
        <v/>
      </c>
      <c r="G885">
        <f>_xlfn.NUMBERVALUE("-0.000266")</f>
        <v/>
      </c>
      <c r="H885">
        <f>_xlfn.NUMBERVALUE("0.001005")</f>
        <v/>
      </c>
      <c r="I885">
        <f>_xlfn.NUMBERVALUE("0.001213")</f>
        <v/>
      </c>
      <c r="J885">
        <f>_xlfn.NUMBERVALUE("-0.000701")</f>
        <v/>
      </c>
      <c r="K885">
        <f>_xlfn.NUMBERVALUE("0.001085")</f>
        <v/>
      </c>
      <c r="L885">
        <f>_xlfn.NUMBERVALUE("-0.000003")</f>
        <v/>
      </c>
      <c r="M885">
        <f>_xlfn.NUMBERVALUE("-0.000024")</f>
        <v/>
      </c>
      <c r="N885">
        <f>_xlfn.NUMBERVALUE("0.000000")</f>
        <v/>
      </c>
      <c r="O885">
        <f>_xlfn.NUMBERVALUE("0.003982")</f>
        <v/>
      </c>
      <c r="P885">
        <f>_xlfn.NUMBERVALUE("0.000620")</f>
        <v/>
      </c>
      <c r="Q885">
        <f>_xlfn.NUMBERVALUE("0.000255")</f>
        <v/>
      </c>
      <c r="R885">
        <f>_xlfn.NUMBERVALUE("-0.000381")</f>
        <v/>
      </c>
      <c r="S885">
        <f>_xlfn.NUMBERVALUE("0.000065")</f>
        <v/>
      </c>
      <c r="T885">
        <f>_xlfn.NUMBERVALUE("0.000061")</f>
        <v/>
      </c>
      <c r="U885">
        <f>_xlfn.NUMBERVALUE("0.001262")</f>
        <v/>
      </c>
      <c r="V885">
        <f>_xlfn.NUMBERVALUE("0.000281")</f>
        <v/>
      </c>
      <c r="W885">
        <f>_xlfn.NUMBERVALUE("0.008684")</f>
        <v/>
      </c>
      <c r="X885">
        <f>_xlfn.NUMBERVALUE("-1.600000")</f>
        <v/>
      </c>
      <c r="Y885">
        <f>_xlfn.NUMBERVALUE("13.370000")</f>
        <v/>
      </c>
    </row>
    <row r="886">
      <c r="A886" s="1" t="n">
        <v>43290</v>
      </c>
      <c r="B886">
        <f>_xlfn.NUMBERVALUE("0.000000")</f>
        <v/>
      </c>
      <c r="C886" s="2">
        <f>_xlfn.NUMBERVALUE("-0.000653")</f>
        <v/>
      </c>
      <c r="D886">
        <f>_xlfn.NUMBERVALUE("-0.000304")</f>
        <v/>
      </c>
      <c r="E886">
        <f>_xlfn.NUMBERVALUE("0.000261")</f>
        <v/>
      </c>
      <c r="F886">
        <f>_xlfn.NUMBERVALUE("0.001544")</f>
        <v/>
      </c>
      <c r="G886">
        <f>_xlfn.NUMBERVALUE("0.000278")</f>
        <v/>
      </c>
      <c r="H886">
        <f>_xlfn.NUMBERVALUE("-0.000321")</f>
        <v/>
      </c>
      <c r="I886">
        <f>_xlfn.NUMBERVALUE("0.001305")</f>
        <v/>
      </c>
      <c r="J886">
        <f>_xlfn.NUMBERVALUE("0.000104")</f>
        <v/>
      </c>
      <c r="K886">
        <f>_xlfn.NUMBERVALUE("0.001162")</f>
        <v/>
      </c>
      <c r="L886">
        <f>_xlfn.NUMBERVALUE("0.000457")</f>
        <v/>
      </c>
      <c r="M886">
        <f>_xlfn.NUMBERVALUE("0.000231")</f>
        <v/>
      </c>
      <c r="N886">
        <f>_xlfn.NUMBERVALUE("0.000000")</f>
        <v/>
      </c>
      <c r="O886">
        <f>_xlfn.NUMBERVALUE("0.001881")</f>
        <v/>
      </c>
      <c r="P886">
        <f>_xlfn.NUMBERVALUE("0.000191")</f>
        <v/>
      </c>
      <c r="Q886">
        <f>_xlfn.NUMBERVALUE("-0.000125")</f>
        <v/>
      </c>
      <c r="R886">
        <f>_xlfn.NUMBERVALUE("0.003659")</f>
        <v/>
      </c>
      <c r="S886">
        <f>_xlfn.NUMBERVALUE("0.000342")</f>
        <v/>
      </c>
      <c r="T886">
        <f>_xlfn.NUMBERVALUE("0.000041")</f>
        <v/>
      </c>
      <c r="U886">
        <f>_xlfn.NUMBERVALUE("-0.001134")</f>
        <v/>
      </c>
      <c r="V886">
        <f>_xlfn.NUMBERVALUE("0.000283")</f>
        <v/>
      </c>
      <c r="W886">
        <f>_xlfn.NUMBERVALUE("0.009169")</f>
        <v/>
      </c>
      <c r="X886">
        <f>_xlfn.NUMBERVALUE("-0.680000")</f>
        <v/>
      </c>
      <c r="Y886">
        <f>_xlfn.NUMBERVALUE("12.690000")</f>
        <v/>
      </c>
    </row>
    <row r="887">
      <c r="A887" s="1" t="n">
        <v>43291</v>
      </c>
      <c r="B887">
        <f>_xlfn.NUMBERVALUE("0.000000")</f>
        <v/>
      </c>
      <c r="C887" s="2">
        <f>_xlfn.NUMBERVALUE("-0.000480")</f>
        <v/>
      </c>
      <c r="D887">
        <f>_xlfn.NUMBERVALUE("0.002041")</f>
        <v/>
      </c>
      <c r="E887">
        <f>_xlfn.NUMBERVALUE("0.000877")</f>
        <v/>
      </c>
      <c r="F887">
        <f>_xlfn.NUMBERVALUE("-0.000163")</f>
        <v/>
      </c>
      <c r="G887">
        <f>_xlfn.NUMBERVALUE("0.000303")</f>
        <v/>
      </c>
      <c r="H887">
        <f>_xlfn.NUMBERVALUE("-0.000153")</f>
        <v/>
      </c>
      <c r="I887">
        <f>_xlfn.NUMBERVALUE("-0.000183")</f>
        <v/>
      </c>
      <c r="J887">
        <f>_xlfn.NUMBERVALUE("0.001938")</f>
        <v/>
      </c>
      <c r="K887">
        <f>_xlfn.NUMBERVALUE("0.000301")</f>
        <v/>
      </c>
      <c r="L887">
        <f>_xlfn.NUMBERVALUE("0.000735")</f>
        <v/>
      </c>
      <c r="M887">
        <f>_xlfn.NUMBERVALUE("-0.000044")</f>
        <v/>
      </c>
      <c r="N887">
        <f>_xlfn.NUMBERVALUE("0.000000")</f>
        <v/>
      </c>
      <c r="O887">
        <f>_xlfn.NUMBERVALUE("-0.001712")</f>
        <v/>
      </c>
      <c r="P887">
        <f>_xlfn.NUMBERVALUE("0.000016")</f>
        <v/>
      </c>
      <c r="Q887">
        <f>_xlfn.NUMBERVALUE("-0.000027")</f>
        <v/>
      </c>
      <c r="R887">
        <f>_xlfn.NUMBERVALUE("0.002443")</f>
        <v/>
      </c>
      <c r="S887">
        <f>_xlfn.NUMBERVALUE("0.000011")</f>
        <v/>
      </c>
      <c r="T887">
        <f>_xlfn.NUMBERVALUE("0.000021")</f>
        <v/>
      </c>
      <c r="U887">
        <f>_xlfn.NUMBERVALUE("0.000048")</f>
        <v/>
      </c>
      <c r="V887">
        <f>_xlfn.NUMBERVALUE("-0.000675")</f>
        <v/>
      </c>
      <c r="W887">
        <f>_xlfn.NUMBERVALUE("0.003621")</f>
        <v/>
      </c>
      <c r="X887">
        <f>_xlfn.NUMBERVALUE("-0.050000")</f>
        <v/>
      </c>
      <c r="Y887">
        <f>_xlfn.NUMBERVALUE("12.640000")</f>
        <v/>
      </c>
    </row>
    <row r="888">
      <c r="A888" s="1" t="n">
        <v>43292</v>
      </c>
      <c r="B888">
        <f>_xlfn.NUMBERVALUE("0.000000")</f>
        <v/>
      </c>
      <c r="C888" s="2">
        <f>_xlfn.NUMBERVALUE("-0.000654")</f>
        <v/>
      </c>
      <c r="D888">
        <f>_xlfn.NUMBERVALUE("-0.002201")</f>
        <v/>
      </c>
      <c r="E888">
        <f>_xlfn.NUMBERVALUE("-0.003196")</f>
        <v/>
      </c>
      <c r="F888">
        <f>_xlfn.NUMBERVALUE("-0.002658")</f>
        <v/>
      </c>
      <c r="G888">
        <f>_xlfn.NUMBERVALUE("0.000240")</f>
        <v/>
      </c>
      <c r="H888">
        <f>_xlfn.NUMBERVALUE("0.000267")</f>
        <v/>
      </c>
      <c r="I888">
        <f>_xlfn.NUMBERVALUE("0.000802")</f>
        <v/>
      </c>
      <c r="J888">
        <f>_xlfn.NUMBERVALUE("-0.002058")</f>
        <v/>
      </c>
      <c r="K888">
        <f>_xlfn.NUMBERVALUE("-0.004374")</f>
        <v/>
      </c>
      <c r="L888">
        <f>_xlfn.NUMBERVALUE("-0.000343")</f>
        <v/>
      </c>
      <c r="M888">
        <f>_xlfn.NUMBERVALUE("-0.001948")</f>
        <v/>
      </c>
      <c r="N888">
        <f>_xlfn.NUMBERVALUE("0.000000")</f>
        <v/>
      </c>
      <c r="O888">
        <f>_xlfn.NUMBERVALUE("-0.004702")</f>
        <v/>
      </c>
      <c r="P888">
        <f>_xlfn.NUMBERVALUE("-0.000236")</f>
        <v/>
      </c>
      <c r="Q888">
        <f>_xlfn.NUMBERVALUE("-0.002103")</f>
        <v/>
      </c>
      <c r="R888">
        <f>_xlfn.NUMBERVALUE("0.000801")</f>
        <v/>
      </c>
      <c r="S888">
        <f>_xlfn.NUMBERVALUE("0.000469")</f>
        <v/>
      </c>
      <c r="T888">
        <f>_xlfn.NUMBERVALUE("0.000348")</f>
        <v/>
      </c>
      <c r="U888">
        <f>_xlfn.NUMBERVALUE("-0.000495")</f>
        <v/>
      </c>
      <c r="V888">
        <f>_xlfn.NUMBERVALUE("-0.000141")</f>
        <v/>
      </c>
      <c r="W888">
        <f>_xlfn.NUMBERVALUE("-0.006169")</f>
        <v/>
      </c>
      <c r="X888">
        <f>_xlfn.NUMBERVALUE("0.990000")</f>
        <v/>
      </c>
      <c r="Y888">
        <f>_xlfn.NUMBERVALUE("13.630000")</f>
        <v/>
      </c>
    </row>
    <row r="889">
      <c r="A889" s="1" t="n">
        <v>43293</v>
      </c>
      <c r="B889">
        <f>_xlfn.NUMBERVALUE("0.000000")</f>
        <v/>
      </c>
      <c r="C889" s="2">
        <f>_xlfn.NUMBERVALUE("0.000791")</f>
        <v/>
      </c>
      <c r="D889">
        <f>_xlfn.NUMBERVALUE("-0.000039")</f>
        <v/>
      </c>
      <c r="E889">
        <f>_xlfn.NUMBERVALUE("-0.000111")</f>
        <v/>
      </c>
      <c r="F889">
        <f>_xlfn.NUMBERVALUE("0.001013")</f>
        <v/>
      </c>
      <c r="G889">
        <f>_xlfn.NUMBERVALUE("-0.000318")</f>
        <v/>
      </c>
      <c r="H889">
        <f>_xlfn.NUMBERVALUE("-0.000138")</f>
        <v/>
      </c>
      <c r="I889">
        <f>_xlfn.NUMBERVALUE("0.000447")</f>
        <v/>
      </c>
      <c r="J889">
        <f>_xlfn.NUMBERVALUE("0.000290")</f>
        <v/>
      </c>
      <c r="K889">
        <f>_xlfn.NUMBERVALUE("0.001482")</f>
        <v/>
      </c>
      <c r="L889">
        <f>_xlfn.NUMBERVALUE("0.001684")</f>
        <v/>
      </c>
      <c r="M889">
        <f>_xlfn.NUMBERVALUE("0.001146")</f>
        <v/>
      </c>
      <c r="N889">
        <f>_xlfn.NUMBERVALUE("0.000000")</f>
        <v/>
      </c>
      <c r="O889">
        <f>_xlfn.NUMBERVALUE("0.002452")</f>
        <v/>
      </c>
      <c r="P889">
        <f>_xlfn.NUMBERVALUE("-0.000076")</f>
        <v/>
      </c>
      <c r="Q889">
        <f>_xlfn.NUMBERVALUE("0.001354")</f>
        <v/>
      </c>
      <c r="R889">
        <f>_xlfn.NUMBERVALUE("-0.002148")</f>
        <v/>
      </c>
      <c r="S889">
        <f>_xlfn.NUMBERVALUE("0.001090")</f>
        <v/>
      </c>
      <c r="T889">
        <f>_xlfn.NUMBERVALUE("0.000346")</f>
        <v/>
      </c>
      <c r="U889">
        <f>_xlfn.NUMBERVALUE("-0.000166")</f>
        <v/>
      </c>
      <c r="V889">
        <f>_xlfn.NUMBERVALUE("-0.000292")</f>
        <v/>
      </c>
      <c r="W889">
        <f>_xlfn.NUMBERVALUE("0.007507")</f>
        <v/>
      </c>
      <c r="X889">
        <f>_xlfn.NUMBERVALUE("-1.050000")</f>
        <v/>
      </c>
      <c r="Y889">
        <f>_xlfn.NUMBERVALUE("12.580000")</f>
        <v/>
      </c>
    </row>
    <row r="890">
      <c r="A890" s="1" t="n">
        <v>43294</v>
      </c>
      <c r="B890">
        <f>_xlfn.NUMBERVALUE("0.000000")</f>
        <v/>
      </c>
      <c r="C890" s="2">
        <f>_xlfn.NUMBERVALUE("0.000177")</f>
        <v/>
      </c>
      <c r="D890">
        <f>_xlfn.NUMBERVALUE("0.002255")</f>
        <v/>
      </c>
      <c r="E890">
        <f>_xlfn.NUMBERVALUE("0.001143")</f>
        <v/>
      </c>
      <c r="F890">
        <f>_xlfn.NUMBERVALUE("-0.000322")</f>
        <v/>
      </c>
      <c r="G890">
        <f>_xlfn.NUMBERVALUE("0.000722")</f>
        <v/>
      </c>
      <c r="H890">
        <f>_xlfn.NUMBERVALUE("0.000507")</f>
        <v/>
      </c>
      <c r="I890">
        <f>_xlfn.NUMBERVALUE("0.002448")</f>
        <v/>
      </c>
      <c r="J890">
        <f>_xlfn.NUMBERVALUE("0.000028")</f>
        <v/>
      </c>
      <c r="K890">
        <f>_xlfn.NUMBERVALUE("0.000219")</f>
        <v/>
      </c>
      <c r="L890">
        <f>_xlfn.NUMBERVALUE("0.000262")</f>
        <v/>
      </c>
      <c r="M890">
        <f>_xlfn.NUMBERVALUE("0.000916")</f>
        <v/>
      </c>
      <c r="N890">
        <f>_xlfn.NUMBERVALUE("0.000000")</f>
        <v/>
      </c>
      <c r="O890">
        <f>_xlfn.NUMBERVALUE("0.001347")</f>
        <v/>
      </c>
      <c r="P890">
        <f>_xlfn.NUMBERVALUE("0.003775")</f>
        <v/>
      </c>
      <c r="Q890">
        <f>_xlfn.NUMBERVALUE("0.000892")</f>
        <v/>
      </c>
      <c r="R890">
        <f>_xlfn.NUMBERVALUE("0.001008")</f>
        <v/>
      </c>
      <c r="S890">
        <f>_xlfn.NUMBERVALUE("-0.000675")</f>
        <v/>
      </c>
      <c r="T890">
        <f>_xlfn.NUMBERVALUE("0.000843")</f>
        <v/>
      </c>
      <c r="U890">
        <f>_xlfn.NUMBERVALUE("0.000990")</f>
        <v/>
      </c>
      <c r="V890">
        <f>_xlfn.NUMBERVALUE("0.000594")</f>
        <v/>
      </c>
      <c r="W890">
        <f>_xlfn.NUMBERVALUE("0.001469")</f>
        <v/>
      </c>
      <c r="X890">
        <f>_xlfn.NUMBERVALUE("-0.400000")</f>
        <v/>
      </c>
      <c r="Y890">
        <f>_xlfn.NUMBERVALUE("12.180000")</f>
        <v/>
      </c>
    </row>
    <row r="891">
      <c r="A891" s="1" t="n">
        <v>43297</v>
      </c>
      <c r="B891">
        <f>_xlfn.NUMBERVALUE("0.000000")</f>
        <v/>
      </c>
      <c r="C891" s="2">
        <f>_xlfn.NUMBERVALUE("0.000435")</f>
        <v/>
      </c>
      <c r="D891">
        <f>_xlfn.NUMBERVALUE("0.001944")</f>
        <v/>
      </c>
      <c r="E891">
        <f>_xlfn.NUMBERVALUE("0.000401")</f>
        <v/>
      </c>
      <c r="F891">
        <f>_xlfn.NUMBERVALUE("0.000435")</f>
        <v/>
      </c>
      <c r="G891">
        <f>_xlfn.NUMBERVALUE("0.000204")</f>
        <v/>
      </c>
      <c r="H891">
        <f>_xlfn.NUMBERVALUE("0.000662")</f>
        <v/>
      </c>
      <c r="I891">
        <f>_xlfn.NUMBERVALUE("0.001567")</f>
        <v/>
      </c>
      <c r="J891">
        <f>_xlfn.NUMBERVALUE("0.000608")</f>
        <v/>
      </c>
      <c r="K891">
        <f>_xlfn.NUMBERVALUE("0.002100")</f>
        <v/>
      </c>
      <c r="L891">
        <f>_xlfn.NUMBERVALUE("0.000401")</f>
        <v/>
      </c>
      <c r="M891">
        <f>_xlfn.NUMBERVALUE("0.001072")</f>
        <v/>
      </c>
      <c r="N891">
        <f>_xlfn.NUMBERVALUE("0.000000")</f>
        <v/>
      </c>
      <c r="O891">
        <f>_xlfn.NUMBERVALUE("0.000029")</f>
        <v/>
      </c>
      <c r="P891">
        <f>_xlfn.NUMBERVALUE("-0.002170")</f>
        <v/>
      </c>
      <c r="Q891">
        <f>_xlfn.NUMBERVALUE("0.001463")</f>
        <v/>
      </c>
      <c r="R891">
        <f>_xlfn.NUMBERVALUE("0.001477")</f>
        <v/>
      </c>
      <c r="S891">
        <f>_xlfn.NUMBERVALUE("0.000534")</f>
        <v/>
      </c>
      <c r="T891">
        <f>_xlfn.NUMBERVALUE("0.001082")</f>
        <v/>
      </c>
      <c r="U891">
        <f>_xlfn.NUMBERVALUE("0.000630")</f>
        <v/>
      </c>
      <c r="V891">
        <f>_xlfn.NUMBERVALUE("0.000979")</f>
        <v/>
      </c>
      <c r="W891">
        <f>_xlfn.NUMBERVALUE("-0.000787")</f>
        <v/>
      </c>
      <c r="X891">
        <f>_xlfn.NUMBERVALUE("0.650000")</f>
        <v/>
      </c>
      <c r="Y891">
        <f>_xlfn.NUMBERVALUE("12.830000")</f>
        <v/>
      </c>
    </row>
    <row r="892">
      <c r="A892" s="1" t="n">
        <v>43298</v>
      </c>
      <c r="B892">
        <f>_xlfn.NUMBERVALUE("0.000000")</f>
        <v/>
      </c>
      <c r="C892" s="2">
        <f>_xlfn.NUMBERVALUE("0.001365")</f>
        <v/>
      </c>
      <c r="D892">
        <f>_xlfn.NUMBERVALUE("0.000288")</f>
        <v/>
      </c>
      <c r="E892">
        <f>_xlfn.NUMBERVALUE("0.000501")</f>
        <v/>
      </c>
      <c r="F892">
        <f>_xlfn.NUMBERVALUE("-0.002440")</f>
        <v/>
      </c>
      <c r="G892">
        <f>_xlfn.NUMBERVALUE("0.000414")</f>
        <v/>
      </c>
      <c r="H892">
        <f>_xlfn.NUMBERVALUE("0.001155")</f>
        <v/>
      </c>
      <c r="I892">
        <f>_xlfn.NUMBERVALUE("0.000893")</f>
        <v/>
      </c>
      <c r="J892">
        <f>_xlfn.NUMBERVALUE("0.000986")</f>
        <v/>
      </c>
      <c r="K892">
        <f>_xlfn.NUMBERVALUE("-0.002734")</f>
        <v/>
      </c>
      <c r="L892">
        <f>_xlfn.NUMBERVALUE("0.000472")</f>
        <v/>
      </c>
      <c r="M892">
        <f>_xlfn.NUMBERVALUE("-0.001423")</f>
        <v/>
      </c>
      <c r="N892">
        <f>_xlfn.NUMBERVALUE("0.000000")</f>
        <v/>
      </c>
      <c r="O892">
        <f>_xlfn.NUMBERVALUE("0.001394")</f>
        <v/>
      </c>
      <c r="P892">
        <f>_xlfn.NUMBERVALUE("0.001050")</f>
        <v/>
      </c>
      <c r="Q892">
        <f>_xlfn.NUMBERVALUE("0.001283")</f>
        <v/>
      </c>
      <c r="R892">
        <f>_xlfn.NUMBERVALUE("-0.000323")</f>
        <v/>
      </c>
      <c r="S892">
        <f>_xlfn.NUMBERVALUE("-0.001719")</f>
        <v/>
      </c>
      <c r="T892">
        <f>_xlfn.NUMBERVALUE("0.001786")</f>
        <v/>
      </c>
      <c r="U892">
        <f>_xlfn.NUMBERVALUE("0.000993")</f>
        <v/>
      </c>
      <c r="V892">
        <f>_xlfn.NUMBERVALUE("-0.000029")</f>
        <v/>
      </c>
      <c r="W892">
        <f>_xlfn.NUMBERVALUE("0.005477")</f>
        <v/>
      </c>
      <c r="X892">
        <f>_xlfn.NUMBERVALUE("-0.770000")</f>
        <v/>
      </c>
      <c r="Y892">
        <f>_xlfn.NUMBERVALUE("12.060000")</f>
        <v/>
      </c>
    </row>
    <row r="893">
      <c r="A893" s="1" t="n">
        <v>43299</v>
      </c>
      <c r="B893">
        <f>_xlfn.NUMBERVALUE("0.000000")</f>
        <v/>
      </c>
      <c r="C893" s="2">
        <f>_xlfn.NUMBERVALUE("0.000022")</f>
        <v/>
      </c>
      <c r="D893">
        <f>_xlfn.NUMBERVALUE("0.000570")</f>
        <v/>
      </c>
      <c r="E893">
        <f>_xlfn.NUMBERVALUE("0.001083")</f>
        <v/>
      </c>
      <c r="F893">
        <f>_xlfn.NUMBERVALUE("0.000156")</f>
        <v/>
      </c>
      <c r="G893">
        <f>_xlfn.NUMBERVALUE("-0.000200")</f>
        <v/>
      </c>
      <c r="H893">
        <f>_xlfn.NUMBERVALUE("-0.000396")</f>
        <v/>
      </c>
      <c r="I893">
        <f>_xlfn.NUMBERVALUE("0.001134")</f>
        <v/>
      </c>
      <c r="J893">
        <f>_xlfn.NUMBERVALUE("0.000133")</f>
        <v/>
      </c>
      <c r="K893">
        <f>_xlfn.NUMBERVALUE("0.000711")</f>
        <v/>
      </c>
      <c r="L893">
        <f>_xlfn.NUMBERVALUE("0.000486")</f>
        <v/>
      </c>
      <c r="M893">
        <f>_xlfn.NUMBERVALUE("0.000781")</f>
        <v/>
      </c>
      <c r="N893">
        <f>_xlfn.NUMBERVALUE("0.000000")</f>
        <v/>
      </c>
      <c r="O893">
        <f>_xlfn.NUMBERVALUE("0.000365")</f>
        <v/>
      </c>
      <c r="P893">
        <f>_xlfn.NUMBERVALUE("-0.002673")</f>
        <v/>
      </c>
      <c r="Q893">
        <f>_xlfn.NUMBERVALUE("-0.001224")</f>
        <v/>
      </c>
      <c r="R893">
        <f>_xlfn.NUMBERVALUE("0.000850")</f>
        <v/>
      </c>
      <c r="S893">
        <f>_xlfn.NUMBERVALUE("0.000249")</f>
        <v/>
      </c>
      <c r="T893">
        <f>_xlfn.NUMBERVALUE("0.001547")</f>
        <v/>
      </c>
      <c r="U893">
        <f>_xlfn.NUMBERVALUE("0.001116")</f>
        <v/>
      </c>
      <c r="V893">
        <f>_xlfn.NUMBERVALUE("0.000390")</f>
        <v/>
      </c>
      <c r="W893">
        <f>_xlfn.NUMBERVALUE("0.000520")</f>
        <v/>
      </c>
      <c r="X893">
        <f>_xlfn.NUMBERVALUE("0.040000")</f>
        <v/>
      </c>
      <c r="Y893">
        <f>_xlfn.NUMBERVALUE("12.100000")</f>
        <v/>
      </c>
    </row>
    <row r="894">
      <c r="A894" s="1" t="n">
        <v>43300</v>
      </c>
      <c r="B894">
        <f>_xlfn.NUMBERVALUE("0.000000")</f>
        <v/>
      </c>
      <c r="C894" s="2">
        <f>_xlfn.NUMBERVALUE("0.000108")</f>
        <v/>
      </c>
      <c r="D894">
        <f>_xlfn.NUMBERVALUE("-0.001510")</f>
        <v/>
      </c>
      <c r="E894">
        <f>_xlfn.NUMBERVALUE("0.000753")</f>
        <v/>
      </c>
      <c r="F894">
        <f>_xlfn.NUMBERVALUE("-0.001407")</f>
        <v/>
      </c>
      <c r="G894">
        <f>_xlfn.NUMBERVALUE("0.000713")</f>
        <v/>
      </c>
      <c r="H894">
        <f>_xlfn.NUMBERVALUE("0.000149")</f>
        <v/>
      </c>
      <c r="I894">
        <f>_xlfn.NUMBERVALUE("-0.001668")</f>
        <v/>
      </c>
      <c r="J894">
        <f>_xlfn.NUMBERVALUE("-0.000192")</f>
        <v/>
      </c>
      <c r="K894">
        <f>_xlfn.NUMBERVALUE("-0.003684")</f>
        <v/>
      </c>
      <c r="L894">
        <f>_xlfn.NUMBERVALUE("-0.001023")</f>
        <v/>
      </c>
      <c r="M894">
        <f>_xlfn.NUMBERVALUE("0.000191")</f>
        <v/>
      </c>
      <c r="N894">
        <f>_xlfn.NUMBERVALUE("0.000000")</f>
        <v/>
      </c>
      <c r="O894">
        <f>_xlfn.NUMBERVALUE("0.001401")</f>
        <v/>
      </c>
      <c r="P894">
        <f>_xlfn.NUMBERVALUE("-0.001012")</f>
        <v/>
      </c>
      <c r="Q894">
        <f>_xlfn.NUMBERVALUE("-0.000241")</f>
        <v/>
      </c>
      <c r="R894">
        <f>_xlfn.NUMBERVALUE("-0.000011")</f>
        <v/>
      </c>
      <c r="S894">
        <f>_xlfn.NUMBERVALUE("0.000566")</f>
        <v/>
      </c>
      <c r="T894">
        <f>_xlfn.NUMBERVALUE("-0.000920")</f>
        <v/>
      </c>
      <c r="U894">
        <f>_xlfn.NUMBERVALUE("0.000351")</f>
        <v/>
      </c>
      <c r="V894">
        <f>_xlfn.NUMBERVALUE("-0.000185")</f>
        <v/>
      </c>
      <c r="W894">
        <f>_xlfn.NUMBERVALUE("-0.002939")</f>
        <v/>
      </c>
      <c r="X894">
        <f>_xlfn.NUMBERVALUE("0.770000")</f>
        <v/>
      </c>
      <c r="Y894">
        <f>_xlfn.NUMBERVALUE("12.870000")</f>
        <v/>
      </c>
    </row>
    <row r="895">
      <c r="A895" s="1" t="n">
        <v>43301</v>
      </c>
      <c r="B895">
        <f>_xlfn.NUMBERVALUE("0.000000")</f>
        <v/>
      </c>
      <c r="C895" s="2">
        <f>_xlfn.NUMBERVALUE("-0.000484")</f>
        <v/>
      </c>
      <c r="D895">
        <f>_xlfn.NUMBERVALUE("-0.002291")</f>
        <v/>
      </c>
      <c r="E895">
        <f>_xlfn.NUMBERVALUE("-0.000062")</f>
        <v/>
      </c>
      <c r="F895">
        <f>_xlfn.NUMBERVALUE("0.001370")</f>
        <v/>
      </c>
      <c r="G895">
        <f>_xlfn.NUMBERVALUE("-0.000774")</f>
        <v/>
      </c>
      <c r="H895">
        <f>_xlfn.NUMBERVALUE("-0.001182")</f>
        <v/>
      </c>
      <c r="I895">
        <f>_xlfn.NUMBERVALUE("0.001414")</f>
        <v/>
      </c>
      <c r="J895">
        <f>_xlfn.NUMBERVALUE("0.000370")</f>
        <v/>
      </c>
      <c r="K895">
        <f>_xlfn.NUMBERVALUE("0.001786")</f>
        <v/>
      </c>
      <c r="L895">
        <f>_xlfn.NUMBERVALUE("-0.002519")</f>
        <v/>
      </c>
      <c r="M895">
        <f>_xlfn.NUMBERVALUE("0.000981")</f>
        <v/>
      </c>
      <c r="N895">
        <f>_xlfn.NUMBERVALUE("0.000000")</f>
        <v/>
      </c>
      <c r="O895">
        <f>_xlfn.NUMBERVALUE("0.001102")</f>
        <v/>
      </c>
      <c r="P895">
        <f>_xlfn.NUMBERVALUE("0.001567")</f>
        <v/>
      </c>
      <c r="Q895">
        <f>_xlfn.NUMBERVALUE("0.001658")</f>
        <v/>
      </c>
      <c r="R895">
        <f>_xlfn.NUMBERVALUE("0.000877")</f>
        <v/>
      </c>
      <c r="S895">
        <f>_xlfn.NUMBERVALUE("0.000297")</f>
        <v/>
      </c>
      <c r="T895">
        <f>_xlfn.NUMBERVALUE("0.000116")</f>
        <v/>
      </c>
      <c r="U895">
        <f>_xlfn.NUMBERVALUE("0.001143")</f>
        <v/>
      </c>
      <c r="V895">
        <f>_xlfn.NUMBERVALUE("0.000648")</f>
        <v/>
      </c>
      <c r="W895">
        <f>_xlfn.NUMBERVALUE("-0.001071")</f>
        <v/>
      </c>
      <c r="X895">
        <f>_xlfn.NUMBERVALUE("-0.010000")</f>
        <v/>
      </c>
      <c r="Y895">
        <f>_xlfn.NUMBERVALUE("12.860000")</f>
        <v/>
      </c>
    </row>
    <row r="896">
      <c r="A896" s="1" t="n">
        <v>43304</v>
      </c>
      <c r="B896">
        <f>_xlfn.NUMBERVALUE("0.000000")</f>
        <v/>
      </c>
      <c r="C896" s="2">
        <f>_xlfn.NUMBERVALUE("0.001224")</f>
        <v/>
      </c>
      <c r="D896">
        <f>_xlfn.NUMBERVALUE("0.000742")</f>
        <v/>
      </c>
      <c r="E896">
        <f>_xlfn.NUMBERVALUE("0.001052")</f>
        <v/>
      </c>
      <c r="F896">
        <f>_xlfn.NUMBERVALUE("-0.000558")</f>
        <v/>
      </c>
      <c r="G896">
        <f>_xlfn.NUMBERVALUE("0.001870")</f>
        <v/>
      </c>
      <c r="H896">
        <f>_xlfn.NUMBERVALUE("-0.000502")</f>
        <v/>
      </c>
      <c r="I896">
        <f>_xlfn.NUMBERVALUE("0.001396")</f>
        <v/>
      </c>
      <c r="J896">
        <f>_xlfn.NUMBERVALUE("-0.000296")</f>
        <v/>
      </c>
      <c r="K896">
        <f>_xlfn.NUMBERVALUE("0.000460")</f>
        <v/>
      </c>
      <c r="L896">
        <f>_xlfn.NUMBERVALUE("-0.002540")</f>
        <v/>
      </c>
      <c r="M896">
        <f>_xlfn.NUMBERVALUE("0.000270")</f>
        <v/>
      </c>
      <c r="N896">
        <f>_xlfn.NUMBERVALUE("0.000000")</f>
        <v/>
      </c>
      <c r="O896">
        <f>_xlfn.NUMBERVALUE("0.000508")</f>
        <v/>
      </c>
      <c r="P896">
        <f>_xlfn.NUMBERVALUE("-0.002252")</f>
        <v/>
      </c>
      <c r="Q896">
        <f>_xlfn.NUMBERVALUE("0.000484")</f>
        <v/>
      </c>
      <c r="R896">
        <f>_xlfn.NUMBERVALUE("0.001204")</f>
        <v/>
      </c>
      <c r="S896">
        <f>_xlfn.NUMBERVALUE("0.001167")</f>
        <v/>
      </c>
      <c r="T896">
        <f>_xlfn.NUMBERVALUE("0.000857")</f>
        <v/>
      </c>
      <c r="U896">
        <f>_xlfn.NUMBERVALUE("0.001601")</f>
        <v/>
      </c>
      <c r="V896">
        <f>_xlfn.NUMBERVALUE("0.000926")</f>
        <v/>
      </c>
      <c r="W896">
        <f>_xlfn.NUMBERVALUE("0.001072")</f>
        <v/>
      </c>
      <c r="X896">
        <f>_xlfn.NUMBERVALUE("-0.240000")</f>
        <v/>
      </c>
      <c r="Y896">
        <f>_xlfn.NUMBERVALUE("12.620000")</f>
        <v/>
      </c>
    </row>
    <row r="897">
      <c r="A897" s="1" t="n">
        <v>43305</v>
      </c>
      <c r="B897">
        <f>_xlfn.NUMBERVALUE("0.000000")</f>
        <v/>
      </c>
      <c r="C897" s="2">
        <f>_xlfn.NUMBERVALUE("-0.000384")</f>
        <v/>
      </c>
      <c r="D897">
        <f>_xlfn.NUMBERVALUE("-0.002655")</f>
        <v/>
      </c>
      <c r="E897">
        <f>_xlfn.NUMBERVALUE("-0.000455")</f>
        <v/>
      </c>
      <c r="F897">
        <f>_xlfn.NUMBERVALUE("0.001270")</f>
        <v/>
      </c>
      <c r="G897">
        <f>_xlfn.NUMBERVALUE("-0.000447")</f>
        <v/>
      </c>
      <c r="H897">
        <f>_xlfn.NUMBERVALUE("0.000773")</f>
        <v/>
      </c>
      <c r="I897">
        <f>_xlfn.NUMBERVALUE("-0.002060")</f>
        <v/>
      </c>
      <c r="J897">
        <f>_xlfn.NUMBERVALUE("-0.000219")</f>
        <v/>
      </c>
      <c r="K897">
        <f>_xlfn.NUMBERVALUE("0.001049")</f>
        <v/>
      </c>
      <c r="L897">
        <f>_xlfn.NUMBERVALUE("0.000109")</f>
        <v/>
      </c>
      <c r="M897">
        <f>_xlfn.NUMBERVALUE("-0.001231")</f>
        <v/>
      </c>
      <c r="N897">
        <f>_xlfn.NUMBERVALUE("0.000000")</f>
        <v/>
      </c>
      <c r="O897">
        <f>_xlfn.NUMBERVALUE("0.000308")</f>
        <v/>
      </c>
      <c r="P897">
        <f>_xlfn.NUMBERVALUE("0.000134")</f>
        <v/>
      </c>
      <c r="Q897">
        <f>_xlfn.NUMBERVALUE("-0.000487")</f>
        <v/>
      </c>
      <c r="R897">
        <f>_xlfn.NUMBERVALUE("-0.000012")</f>
        <v/>
      </c>
      <c r="S897">
        <f>_xlfn.NUMBERVALUE("0.000729")</f>
        <v/>
      </c>
      <c r="T897">
        <f>_xlfn.NUMBERVALUE("-0.000249")</f>
        <v/>
      </c>
      <c r="U897">
        <f>_xlfn.NUMBERVALUE("0.000010")</f>
        <v/>
      </c>
      <c r="V897">
        <f>_xlfn.NUMBERVALUE("-0.000312")</f>
        <v/>
      </c>
      <c r="W897">
        <f>_xlfn.NUMBERVALUE("0.003640")</f>
        <v/>
      </c>
      <c r="X897">
        <f>_xlfn.NUMBERVALUE("-0.210000")</f>
        <v/>
      </c>
      <c r="Y897">
        <f>_xlfn.NUMBERVALUE("12.410000")</f>
        <v/>
      </c>
    </row>
    <row r="898">
      <c r="A898" s="1" t="n">
        <v>43306</v>
      </c>
      <c r="B898">
        <f>_xlfn.NUMBERVALUE("0.000000")</f>
        <v/>
      </c>
      <c r="C898" s="2">
        <f>_xlfn.NUMBERVALUE("0.000102")</f>
        <v/>
      </c>
      <c r="D898">
        <f>_xlfn.NUMBERVALUE("-0.001158")</f>
        <v/>
      </c>
      <c r="E898">
        <f>_xlfn.NUMBERVALUE("-0.001013")</f>
        <v/>
      </c>
      <c r="F898">
        <f>_xlfn.NUMBERVALUE("0.000418")</f>
        <v/>
      </c>
      <c r="G898">
        <f>_xlfn.NUMBERVALUE("0.000628")</f>
        <v/>
      </c>
      <c r="H898">
        <f>_xlfn.NUMBERVALUE("0.000130")</f>
        <v/>
      </c>
      <c r="I898">
        <f>_xlfn.NUMBERVALUE("0.001586")</f>
        <v/>
      </c>
      <c r="J898">
        <f>_xlfn.NUMBERVALUE("0.000095")</f>
        <v/>
      </c>
      <c r="K898">
        <f>_xlfn.NUMBERVALUE("0.002028")</f>
        <v/>
      </c>
      <c r="L898">
        <f>_xlfn.NUMBERVALUE("0.000563")</f>
        <v/>
      </c>
      <c r="M898">
        <f>_xlfn.NUMBERVALUE("0.000641")</f>
        <v/>
      </c>
      <c r="N898">
        <f>_xlfn.NUMBERVALUE("0.000000")</f>
        <v/>
      </c>
      <c r="O898">
        <f>_xlfn.NUMBERVALUE("0.000601")</f>
        <v/>
      </c>
      <c r="P898">
        <f>_xlfn.NUMBERVALUE("0.001193")</f>
        <v/>
      </c>
      <c r="Q898">
        <f>_xlfn.NUMBERVALUE("-0.001355")</f>
        <v/>
      </c>
      <c r="R898">
        <f>_xlfn.NUMBERVALUE("-0.001180")</f>
        <v/>
      </c>
      <c r="S898">
        <f>_xlfn.NUMBERVALUE("-0.001012")</f>
        <v/>
      </c>
      <c r="T898">
        <f>_xlfn.NUMBERVALUE("0.001171")</f>
        <v/>
      </c>
      <c r="U898">
        <f>_xlfn.NUMBERVALUE("0.000158")</f>
        <v/>
      </c>
      <c r="V898">
        <f>_xlfn.NUMBERVALUE("-0.000382")</f>
        <v/>
      </c>
      <c r="W898">
        <f>_xlfn.NUMBERVALUE("0.009068")</f>
        <v/>
      </c>
      <c r="X898">
        <f>_xlfn.NUMBERVALUE("-0.120000")</f>
        <v/>
      </c>
      <c r="Y898">
        <f>_xlfn.NUMBERVALUE("12.290000")</f>
        <v/>
      </c>
    </row>
    <row r="899">
      <c r="A899" s="1" t="n">
        <v>43307</v>
      </c>
      <c r="B899">
        <f>_xlfn.NUMBERVALUE("0.000000")</f>
        <v/>
      </c>
      <c r="C899" s="2">
        <f>_xlfn.NUMBERVALUE("0.000180")</f>
        <v/>
      </c>
      <c r="D899">
        <f>_xlfn.NUMBERVALUE("-0.000181")</f>
        <v/>
      </c>
      <c r="E899">
        <f>_xlfn.NUMBERVALUE("0.001128")</f>
        <v/>
      </c>
      <c r="F899">
        <f>_xlfn.NUMBERVALUE("-0.000806")</f>
        <v/>
      </c>
      <c r="G899">
        <f>_xlfn.NUMBERVALUE("-0.000492")</f>
        <v/>
      </c>
      <c r="H899">
        <f>_xlfn.NUMBERVALUE("-0.000335")</f>
        <v/>
      </c>
      <c r="I899">
        <f>_xlfn.NUMBERVALUE("-0.000261")</f>
        <v/>
      </c>
      <c r="J899">
        <f>_xlfn.NUMBERVALUE("0.000148")</f>
        <v/>
      </c>
      <c r="K899">
        <f>_xlfn.NUMBERVALUE("-0.002464")</f>
        <v/>
      </c>
      <c r="L899">
        <f>_xlfn.NUMBERVALUE("-0.000316")</f>
        <v/>
      </c>
      <c r="M899">
        <f>_xlfn.NUMBERVALUE("-0.000719")</f>
        <v/>
      </c>
      <c r="N899">
        <f>_xlfn.NUMBERVALUE("0.000000")</f>
        <v/>
      </c>
      <c r="O899">
        <f>_xlfn.NUMBERVALUE("-0.000516")</f>
        <v/>
      </c>
      <c r="P899">
        <f>_xlfn.NUMBERVALUE("0.000654")</f>
        <v/>
      </c>
      <c r="Q899">
        <f>_xlfn.NUMBERVALUE("-0.002284")</f>
        <v/>
      </c>
      <c r="R899">
        <f>_xlfn.NUMBERVALUE("-0.000629")</f>
        <v/>
      </c>
      <c r="S899">
        <f>_xlfn.NUMBERVALUE("-0.002159")</f>
        <v/>
      </c>
      <c r="T899">
        <f>_xlfn.NUMBERVALUE("-0.001443")</f>
        <v/>
      </c>
      <c r="U899">
        <f>_xlfn.NUMBERVALUE("-0.000564")</f>
        <v/>
      </c>
      <c r="V899">
        <f>_xlfn.NUMBERVALUE("0.000133")</f>
        <v/>
      </c>
      <c r="W899">
        <f>_xlfn.NUMBERVALUE("-0.001832")</f>
        <v/>
      </c>
      <c r="X899">
        <f>_xlfn.NUMBERVALUE("-0.150000")</f>
        <v/>
      </c>
      <c r="Y899">
        <f>_xlfn.NUMBERVALUE("12.140000")</f>
        <v/>
      </c>
    </row>
    <row r="900">
      <c r="A900" s="1" t="n">
        <v>43308</v>
      </c>
      <c r="B900">
        <f>_xlfn.NUMBERVALUE("0.000000")</f>
        <v/>
      </c>
      <c r="C900" s="2">
        <f>_xlfn.NUMBERVALUE("0.000177")</f>
        <v/>
      </c>
      <c r="D900">
        <f>_xlfn.NUMBERVALUE("-0.000431")</f>
        <v/>
      </c>
      <c r="E900">
        <f>_xlfn.NUMBERVALUE("0.000133")</f>
        <v/>
      </c>
      <c r="F900">
        <f>_xlfn.NUMBERVALUE("0.000977")</f>
        <v/>
      </c>
      <c r="G900">
        <f>_xlfn.NUMBERVALUE("0.000018")</f>
        <v/>
      </c>
      <c r="H900">
        <f>_xlfn.NUMBERVALUE("0.000150")</f>
        <v/>
      </c>
      <c r="I900">
        <f>_xlfn.NUMBERVALUE("-0.006160")</f>
        <v/>
      </c>
      <c r="J900">
        <f>_xlfn.NUMBERVALUE("-0.000032")</f>
        <v/>
      </c>
      <c r="K900">
        <f>_xlfn.NUMBERVALUE("0.002399")</f>
        <v/>
      </c>
      <c r="L900">
        <f>_xlfn.NUMBERVALUE("0.000456")</f>
        <v/>
      </c>
      <c r="M900">
        <f>_xlfn.NUMBERVALUE("0.001021")</f>
        <v/>
      </c>
      <c r="N900">
        <f>_xlfn.NUMBERVALUE("0.000000")</f>
        <v/>
      </c>
      <c r="O900">
        <f>_xlfn.NUMBERVALUE("0.001263")</f>
        <v/>
      </c>
      <c r="P900">
        <f>_xlfn.NUMBERVALUE("0.000295")</f>
        <v/>
      </c>
      <c r="Q900">
        <f>_xlfn.NUMBERVALUE("0.000479")</f>
        <v/>
      </c>
      <c r="R900">
        <f>_xlfn.NUMBERVALUE("-0.001793")</f>
        <v/>
      </c>
      <c r="S900">
        <f>_xlfn.NUMBERVALUE("0.000468")</f>
        <v/>
      </c>
      <c r="T900">
        <f>_xlfn.NUMBERVALUE("0.000331")</f>
        <v/>
      </c>
      <c r="U900">
        <f>_xlfn.NUMBERVALUE("0.002532")</f>
        <v/>
      </c>
      <c r="V900">
        <f>_xlfn.NUMBERVALUE("0.000209")</f>
        <v/>
      </c>
      <c r="W900">
        <f>_xlfn.NUMBERVALUE("-0.006390")</f>
        <v/>
      </c>
      <c r="X900">
        <f>_xlfn.NUMBERVALUE("0.890000")</f>
        <v/>
      </c>
      <c r="Y900">
        <f>_xlfn.NUMBERVALUE("13.030000")</f>
        <v/>
      </c>
    </row>
    <row r="901">
      <c r="A901" s="1" t="n">
        <v>43311</v>
      </c>
      <c r="B901">
        <f>_xlfn.NUMBERVALUE("0.015256")</f>
        <v/>
      </c>
      <c r="C901" s="2">
        <f>_xlfn.NUMBERVALUE("0.000444")</f>
        <v/>
      </c>
      <c r="D901">
        <f>_xlfn.NUMBERVALUE("0.001476")</f>
        <v/>
      </c>
      <c r="E901">
        <f>_xlfn.NUMBERVALUE("0.000337")</f>
        <v/>
      </c>
      <c r="F901">
        <f>_xlfn.NUMBERVALUE("-0.002018")</f>
        <v/>
      </c>
      <c r="G901">
        <f>_xlfn.NUMBERVALUE("-0.000146")</f>
        <v/>
      </c>
      <c r="H901">
        <f>_xlfn.NUMBERVALUE("0.000266")</f>
        <v/>
      </c>
      <c r="I901">
        <f>_xlfn.NUMBERVALUE("0.000576")</f>
        <v/>
      </c>
      <c r="J901">
        <f>_xlfn.NUMBERVALUE("0.001087")</f>
        <v/>
      </c>
      <c r="K901">
        <f>_xlfn.NUMBERVALUE("0.001279")</f>
        <v/>
      </c>
      <c r="L901">
        <f>_xlfn.NUMBERVALUE("-0.000996")</f>
        <v/>
      </c>
      <c r="M901">
        <f>_xlfn.NUMBERVALUE("0.000829")</f>
        <v/>
      </c>
      <c r="N901">
        <f>_xlfn.NUMBERVALUE("0.000000")</f>
        <v/>
      </c>
      <c r="O901">
        <f>_xlfn.NUMBERVALUE("-0.000365")</f>
        <v/>
      </c>
      <c r="P901">
        <f>_xlfn.NUMBERVALUE("0.001165")</f>
        <v/>
      </c>
      <c r="Q901">
        <f>_xlfn.NUMBERVALUE("0.001024")</f>
        <v/>
      </c>
      <c r="R901">
        <f>_xlfn.NUMBERVALUE("-0.003177")</f>
        <v/>
      </c>
      <c r="S901">
        <f>_xlfn.NUMBERVALUE("0.000514")</f>
        <v/>
      </c>
      <c r="T901">
        <f>_xlfn.NUMBERVALUE("0.000915")</f>
        <v/>
      </c>
      <c r="U901">
        <f>_xlfn.NUMBERVALUE("0.000135")</f>
        <v/>
      </c>
      <c r="V901">
        <f>_xlfn.NUMBERVALUE("0.001150")</f>
        <v/>
      </c>
      <c r="W901">
        <f>_xlfn.NUMBERVALUE("-0.005969")</f>
        <v/>
      </c>
      <c r="X901">
        <f>_xlfn.NUMBERVALUE("1.230000")</f>
        <v/>
      </c>
      <c r="Y901">
        <f>_xlfn.NUMBERVALUE("14.260000")</f>
        <v/>
      </c>
    </row>
    <row r="902">
      <c r="A902" s="1" t="n">
        <v>43312</v>
      </c>
      <c r="B902">
        <f>_xlfn.NUMBERVALUE("0.000000")</f>
        <v/>
      </c>
      <c r="C902" s="2">
        <f>_xlfn.NUMBERVALUE("0.000139")</f>
        <v/>
      </c>
      <c r="D902">
        <f>_xlfn.NUMBERVALUE("0.000867")</f>
        <v/>
      </c>
      <c r="E902">
        <f>_xlfn.NUMBERVALUE("0.000189")</f>
        <v/>
      </c>
      <c r="F902">
        <f>_xlfn.NUMBERVALUE("0.002111")</f>
        <v/>
      </c>
      <c r="G902">
        <f>_xlfn.NUMBERVALUE("-0.000492")</f>
        <v/>
      </c>
      <c r="H902">
        <f>_xlfn.NUMBERVALUE("0.000174")</f>
        <v/>
      </c>
      <c r="I902">
        <f>_xlfn.NUMBERVALUE("0.000213")</f>
        <v/>
      </c>
      <c r="J902">
        <f>_xlfn.NUMBERVALUE("-0.000739")</f>
        <v/>
      </c>
      <c r="K902">
        <f>_xlfn.NUMBERVALUE("0.000375")</f>
        <v/>
      </c>
      <c r="L902">
        <f>_xlfn.NUMBERVALUE("-0.000234")</f>
        <v/>
      </c>
      <c r="M902">
        <f>_xlfn.NUMBERVALUE("0.000198")</f>
        <v/>
      </c>
      <c r="N902">
        <f>_xlfn.NUMBERVALUE("0.000000")</f>
        <v/>
      </c>
      <c r="O902">
        <f>_xlfn.NUMBERVALUE("0.001495")</f>
        <v/>
      </c>
      <c r="P902">
        <f>_xlfn.NUMBERVALUE("0.001933")</f>
        <v/>
      </c>
      <c r="Q902">
        <f>_xlfn.NUMBERVALUE("-0.004678")</f>
        <v/>
      </c>
      <c r="R902">
        <f>_xlfn.NUMBERVALUE("0.002797")</f>
        <v/>
      </c>
      <c r="S902">
        <f>_xlfn.NUMBERVALUE("0.000485")</f>
        <v/>
      </c>
      <c r="T902">
        <f>_xlfn.NUMBERVALUE("-0.000697")</f>
        <v/>
      </c>
      <c r="U902">
        <f>_xlfn.NUMBERVALUE("0.000883")</f>
        <v/>
      </c>
      <c r="V902">
        <f>_xlfn.NUMBERVALUE("0.000250")</f>
        <v/>
      </c>
      <c r="W902">
        <f>_xlfn.NUMBERVALUE("0.005433")</f>
        <v/>
      </c>
      <c r="X902">
        <f>_xlfn.NUMBERVALUE("-1.430000")</f>
        <v/>
      </c>
      <c r="Y902">
        <f>_xlfn.NUMBERVALUE("12.830000")</f>
        <v/>
      </c>
    </row>
    <row r="903">
      <c r="A903" s="1" t="n">
        <v>43313</v>
      </c>
      <c r="B903">
        <f>_xlfn.NUMBERVALUE("0.000000")</f>
        <v/>
      </c>
      <c r="C903" s="2">
        <f>_xlfn.NUMBERVALUE("-0.000026")</f>
        <v/>
      </c>
      <c r="D903">
        <f>_xlfn.NUMBERVALUE("0.000713")</f>
        <v/>
      </c>
      <c r="E903">
        <f>_xlfn.NUMBERVALUE("0.001177")</f>
        <v/>
      </c>
      <c r="F903">
        <f>_xlfn.NUMBERVALUE("-0.000153")</f>
        <v/>
      </c>
      <c r="G903">
        <f>_xlfn.NUMBERVALUE("-0.000403")</f>
        <v/>
      </c>
      <c r="H903">
        <f>_xlfn.NUMBERVALUE("-0.000071")</f>
        <v/>
      </c>
      <c r="I903">
        <f>_xlfn.NUMBERVALUE("0.001197")</f>
        <v/>
      </c>
      <c r="J903">
        <f>_xlfn.NUMBERVALUE("-0.000332")</f>
        <v/>
      </c>
      <c r="K903">
        <f>_xlfn.NUMBERVALUE("-0.000604")</f>
        <v/>
      </c>
      <c r="L903">
        <f>_xlfn.NUMBERVALUE("0.002866")</f>
        <v/>
      </c>
      <c r="M903">
        <f>_xlfn.NUMBERVALUE("-0.001016")</f>
        <v/>
      </c>
      <c r="N903">
        <f>_xlfn.NUMBERVALUE("0.000000")</f>
        <v/>
      </c>
      <c r="O903">
        <f>_xlfn.NUMBERVALUE("-0.002235")</f>
        <v/>
      </c>
      <c r="P903">
        <f>_xlfn.NUMBERVALUE("0.000259")</f>
        <v/>
      </c>
      <c r="Q903">
        <f>_xlfn.NUMBERVALUE("-0.001038")</f>
        <v/>
      </c>
      <c r="R903">
        <f>_xlfn.NUMBERVALUE("0.001660")</f>
        <v/>
      </c>
      <c r="S903">
        <f>_xlfn.NUMBERVALUE("0.001045")</f>
        <v/>
      </c>
      <c r="T903">
        <f>_xlfn.NUMBERVALUE("0.001210")</f>
        <v/>
      </c>
      <c r="U903">
        <f>_xlfn.NUMBERVALUE("0.000728")</f>
        <v/>
      </c>
      <c r="V903">
        <f>_xlfn.NUMBERVALUE("0.000269")</f>
        <v/>
      </c>
      <c r="W903">
        <f>_xlfn.NUMBERVALUE("-0.000427")</f>
        <v/>
      </c>
      <c r="X903">
        <f>_xlfn.NUMBERVALUE("0.320000")</f>
        <v/>
      </c>
      <c r="Y903">
        <f>_xlfn.NUMBERVALUE("13.150000")</f>
        <v/>
      </c>
    </row>
    <row r="904">
      <c r="A904" s="1" t="n">
        <v>43314</v>
      </c>
      <c r="B904">
        <f>_xlfn.NUMBERVALUE("0.000000")</f>
        <v/>
      </c>
      <c r="C904" s="2">
        <f>_xlfn.NUMBERVALUE("0.000025")</f>
        <v/>
      </c>
      <c r="D904">
        <f>_xlfn.NUMBERVALUE("0.000528")</f>
        <v/>
      </c>
      <c r="E904">
        <f>_xlfn.NUMBERVALUE("-0.000324")</f>
        <v/>
      </c>
      <c r="F904">
        <f>_xlfn.NUMBERVALUE("-0.000001")</f>
        <v/>
      </c>
      <c r="G904">
        <f>_xlfn.NUMBERVALUE("-0.000043")</f>
        <v/>
      </c>
      <c r="H904">
        <f>_xlfn.NUMBERVALUE("0.000068")</f>
        <v/>
      </c>
      <c r="I904">
        <f>_xlfn.NUMBERVALUE("0.002413")</f>
        <v/>
      </c>
      <c r="J904">
        <f>_xlfn.NUMBERVALUE("0.000827")</f>
        <v/>
      </c>
      <c r="K904">
        <f>_xlfn.NUMBERVALUE("0.000037")</f>
        <v/>
      </c>
      <c r="L904">
        <f>_xlfn.NUMBERVALUE("0.000015")</f>
        <v/>
      </c>
      <c r="M904">
        <f>_xlfn.NUMBERVALUE("0.001601")</f>
        <v/>
      </c>
      <c r="N904">
        <f>_xlfn.NUMBERVALUE("0.000000")</f>
        <v/>
      </c>
      <c r="O904">
        <f>_xlfn.NUMBERVALUE("0.000841")</f>
        <v/>
      </c>
      <c r="P904">
        <f>_xlfn.NUMBERVALUE("0.002382")</f>
        <v/>
      </c>
      <c r="Q904">
        <f>_xlfn.NUMBERVALUE("0.002624")</f>
        <v/>
      </c>
      <c r="R904">
        <f>_xlfn.NUMBERVALUE("-0.000797")</f>
        <v/>
      </c>
      <c r="S904">
        <f>_xlfn.NUMBERVALUE("-0.001986")</f>
        <v/>
      </c>
      <c r="T904">
        <f>_xlfn.NUMBERVALUE("-0.001278")</f>
        <v/>
      </c>
      <c r="U904">
        <f>_xlfn.NUMBERVALUE("0.001959")</f>
        <v/>
      </c>
      <c r="V904">
        <f>_xlfn.NUMBERVALUE("0.000039")</f>
        <v/>
      </c>
      <c r="W904">
        <f>_xlfn.NUMBERVALUE("0.004250")</f>
        <v/>
      </c>
      <c r="X904">
        <f>_xlfn.NUMBERVALUE("-0.960000")</f>
        <v/>
      </c>
      <c r="Y904">
        <f>_xlfn.NUMBERVALUE("12.190000")</f>
        <v/>
      </c>
    </row>
    <row r="905">
      <c r="A905" s="1" t="n">
        <v>43315</v>
      </c>
      <c r="B905">
        <f>_xlfn.NUMBERVALUE("-0.002244")</f>
        <v/>
      </c>
      <c r="C905" s="2">
        <f>_xlfn.NUMBERVALUE("0.000037")</f>
        <v/>
      </c>
      <c r="D905">
        <f>_xlfn.NUMBERVALUE("-0.000349")</f>
        <v/>
      </c>
      <c r="E905">
        <f>_xlfn.NUMBERVALUE("0.000590")</f>
        <v/>
      </c>
      <c r="F905">
        <f>_xlfn.NUMBERVALUE("-0.000042")</f>
        <v/>
      </c>
      <c r="G905">
        <f>_xlfn.NUMBERVALUE("-0.000065")</f>
        <v/>
      </c>
      <c r="H905">
        <f>_xlfn.NUMBERVALUE("-0.000039")</f>
        <v/>
      </c>
      <c r="I905">
        <f>_xlfn.NUMBERVALUE("0.001147")</f>
        <v/>
      </c>
      <c r="J905">
        <f>_xlfn.NUMBERVALUE("-0.000804")</f>
        <v/>
      </c>
      <c r="K905">
        <f>_xlfn.NUMBERVALUE("0.000004")</f>
        <v/>
      </c>
      <c r="L905">
        <f>_xlfn.NUMBERVALUE("-0.000023")</f>
        <v/>
      </c>
      <c r="M905">
        <f>_xlfn.NUMBERVALUE("-0.000741")</f>
        <v/>
      </c>
      <c r="N905">
        <f>_xlfn.NUMBERVALUE("0.000000")</f>
        <v/>
      </c>
      <c r="O905">
        <f>_xlfn.NUMBERVALUE("0.000450")</f>
        <v/>
      </c>
      <c r="P905">
        <f>_xlfn.NUMBERVALUE("-0.000014")</f>
        <v/>
      </c>
      <c r="Q905">
        <f>_xlfn.NUMBERVALUE("0.001629")</f>
        <v/>
      </c>
      <c r="R905">
        <f>_xlfn.NUMBERVALUE("0.001978")</f>
        <v/>
      </c>
      <c r="S905">
        <f>_xlfn.NUMBERVALUE("-0.000800")</f>
        <v/>
      </c>
      <c r="T905">
        <f>_xlfn.NUMBERVALUE("-0.000542")</f>
        <v/>
      </c>
      <c r="U905">
        <f>_xlfn.NUMBERVALUE("0.001968")</f>
        <v/>
      </c>
      <c r="V905">
        <f>_xlfn.NUMBERVALUE("0.000015")</f>
        <v/>
      </c>
      <c r="W905">
        <f>_xlfn.NUMBERVALUE("0.002045")</f>
        <v/>
      </c>
      <c r="X905">
        <f>_xlfn.NUMBERVALUE("-0.550000")</f>
        <v/>
      </c>
      <c r="Y905">
        <f>_xlfn.NUMBERVALUE("11.640000")</f>
        <v/>
      </c>
    </row>
    <row r="906">
      <c r="A906" s="1" t="n">
        <v>43318</v>
      </c>
      <c r="B906">
        <f>_xlfn.NUMBERVALUE("-0.016509")</f>
        <v/>
      </c>
      <c r="C906" s="2">
        <f>_xlfn.NUMBERVALUE("0.001283")</f>
        <v/>
      </c>
      <c r="D906">
        <f>_xlfn.NUMBERVALUE("0.002209")</f>
        <v/>
      </c>
      <c r="E906">
        <f>_xlfn.NUMBERVALUE("0.001196")</f>
        <v/>
      </c>
      <c r="F906">
        <f>_xlfn.NUMBERVALUE("-0.000048")</f>
        <v/>
      </c>
      <c r="G906">
        <f>_xlfn.NUMBERVALUE("0.001246")</f>
        <v/>
      </c>
      <c r="H906">
        <f>_xlfn.NUMBERVALUE("0.000370")</f>
        <v/>
      </c>
      <c r="I906">
        <f>_xlfn.NUMBERVALUE("0.001381")</f>
        <v/>
      </c>
      <c r="J906">
        <f>_xlfn.NUMBERVALUE("0.000490")</f>
        <v/>
      </c>
      <c r="K906">
        <f>_xlfn.NUMBERVALUE("-0.000055")</f>
        <v/>
      </c>
      <c r="L906">
        <f>_xlfn.NUMBERVALUE("-0.000114")</f>
        <v/>
      </c>
      <c r="M906">
        <f>_xlfn.NUMBERVALUE("0.003570")</f>
        <v/>
      </c>
      <c r="N906">
        <f>_xlfn.NUMBERVALUE("0.000000")</f>
        <v/>
      </c>
      <c r="O906">
        <f>_xlfn.NUMBERVALUE("0.000456")</f>
        <v/>
      </c>
      <c r="P906">
        <f>_xlfn.NUMBERVALUE("0.001563")</f>
        <v/>
      </c>
      <c r="Q906">
        <f>_xlfn.NUMBERVALUE("0.001549")</f>
        <v/>
      </c>
      <c r="R906">
        <f>_xlfn.NUMBERVALUE("0.001202")</f>
        <v/>
      </c>
      <c r="S906">
        <f>_xlfn.NUMBERVALUE("0.000337")</f>
        <v/>
      </c>
      <c r="T906">
        <f>_xlfn.NUMBERVALUE("0.000998")</f>
        <v/>
      </c>
      <c r="U906">
        <f>_xlfn.NUMBERVALUE("0.000916")</f>
        <v/>
      </c>
      <c r="V906">
        <f>_xlfn.NUMBERVALUE("0.000391")</f>
        <v/>
      </c>
      <c r="W906">
        <f>_xlfn.NUMBERVALUE("0.004056")</f>
        <v/>
      </c>
      <c r="X906">
        <f>_xlfn.NUMBERVALUE("-0.370000")</f>
        <v/>
      </c>
      <c r="Y906">
        <f>_xlfn.NUMBERVALUE("11.270000")</f>
        <v/>
      </c>
    </row>
    <row r="907">
      <c r="A907" s="1" t="n">
        <v>43319</v>
      </c>
      <c r="B907">
        <f>_xlfn.NUMBERVALUE("0.016187")</f>
        <v/>
      </c>
      <c r="C907" s="2">
        <f>_xlfn.NUMBERVALUE("-0.000353")</f>
        <v/>
      </c>
      <c r="D907">
        <f>_xlfn.NUMBERVALUE("-0.000618")</f>
        <v/>
      </c>
      <c r="E907">
        <f>_xlfn.NUMBERVALUE("-0.000682")</f>
        <v/>
      </c>
      <c r="F907">
        <f>_xlfn.NUMBERVALUE("0.000196")</f>
        <v/>
      </c>
      <c r="G907">
        <f>_xlfn.NUMBERVALUE("-0.000898")</f>
        <v/>
      </c>
      <c r="H907">
        <f>_xlfn.NUMBERVALUE("0.000589")</f>
        <v/>
      </c>
      <c r="I907">
        <f>_xlfn.NUMBERVALUE("0.001408")</f>
        <v/>
      </c>
      <c r="J907">
        <f>_xlfn.NUMBERVALUE("0.000180")</f>
        <v/>
      </c>
      <c r="K907">
        <f>_xlfn.NUMBERVALUE("0.000091")</f>
        <v/>
      </c>
      <c r="L907">
        <f>_xlfn.NUMBERVALUE("0.000372")</f>
        <v/>
      </c>
      <c r="M907">
        <f>_xlfn.NUMBERVALUE("0.002052")</f>
        <v/>
      </c>
      <c r="N907">
        <f>_xlfn.NUMBERVALUE("0.000000")</f>
        <v/>
      </c>
      <c r="O907">
        <f>_xlfn.NUMBERVALUE("0.000259")</f>
        <v/>
      </c>
      <c r="P907">
        <f>_xlfn.NUMBERVALUE("0.000017")</f>
        <v/>
      </c>
      <c r="Q907">
        <f>_xlfn.NUMBERVALUE("-0.000050")</f>
        <v/>
      </c>
      <c r="R907">
        <f>_xlfn.NUMBERVALUE("0.000308")</f>
        <v/>
      </c>
      <c r="S907">
        <f>_xlfn.NUMBERVALUE("-0.000050")</f>
        <v/>
      </c>
      <c r="T907">
        <f>_xlfn.NUMBERVALUE("0.000280")</f>
        <v/>
      </c>
      <c r="U907">
        <f>_xlfn.NUMBERVALUE("-0.000106")</f>
        <v/>
      </c>
      <c r="V907">
        <f>_xlfn.NUMBERVALUE("-0.000175")</f>
        <v/>
      </c>
      <c r="W907">
        <f>_xlfn.NUMBERVALUE("0.003408")</f>
        <v/>
      </c>
      <c r="X907">
        <f>_xlfn.NUMBERVALUE("-0.340000")</f>
        <v/>
      </c>
      <c r="Y907">
        <f>_xlfn.NUMBERVALUE("10.930000")</f>
        <v/>
      </c>
    </row>
    <row r="908">
      <c r="A908" s="1" t="n">
        <v>43320</v>
      </c>
      <c r="B908">
        <f>_xlfn.NUMBERVALUE("0.010843")</f>
        <v/>
      </c>
      <c r="C908" s="2">
        <f>_xlfn.NUMBERVALUE("0.001247")</f>
        <v/>
      </c>
      <c r="D908">
        <f>_xlfn.NUMBERVALUE("0.001633")</f>
        <v/>
      </c>
      <c r="E908">
        <f>_xlfn.NUMBERVALUE("0.000446")</f>
        <v/>
      </c>
      <c r="F908">
        <f>_xlfn.NUMBERVALUE("-0.000188")</f>
        <v/>
      </c>
      <c r="G908">
        <f>_xlfn.NUMBERVALUE("0.000348")</f>
        <v/>
      </c>
      <c r="H908">
        <f>_xlfn.NUMBERVALUE("0.000343")</f>
        <v/>
      </c>
      <c r="I908">
        <f>_xlfn.NUMBERVALUE("0.001286")</f>
        <v/>
      </c>
      <c r="J908">
        <f>_xlfn.NUMBERVALUE("0.000264")</f>
        <v/>
      </c>
      <c r="K908">
        <f>_xlfn.NUMBERVALUE("0.000226")</f>
        <v/>
      </c>
      <c r="L908">
        <f>_xlfn.NUMBERVALUE("0.000428")</f>
        <v/>
      </c>
      <c r="M908">
        <f>_xlfn.NUMBERVALUE("0.003647")</f>
        <v/>
      </c>
      <c r="N908">
        <f>_xlfn.NUMBERVALUE("0.000000")</f>
        <v/>
      </c>
      <c r="O908">
        <f>_xlfn.NUMBERVALUE("-0.000218")</f>
        <v/>
      </c>
      <c r="P908">
        <f>_xlfn.NUMBERVALUE("-0.000090")</f>
        <v/>
      </c>
      <c r="Q908">
        <f>_xlfn.NUMBERVALUE("-0.000019")</f>
        <v/>
      </c>
      <c r="R908">
        <f>_xlfn.NUMBERVALUE("-0.000027")</f>
        <v/>
      </c>
      <c r="S908">
        <f>_xlfn.NUMBERVALUE("-0.000004")</f>
        <v/>
      </c>
      <c r="T908">
        <f>_xlfn.NUMBERVALUE("0.000108")</f>
        <v/>
      </c>
      <c r="U908">
        <f>_xlfn.NUMBERVALUE("0.000076")</f>
        <v/>
      </c>
      <c r="V908">
        <f>_xlfn.NUMBERVALUE("0.000731")</f>
        <v/>
      </c>
      <c r="W908">
        <f>_xlfn.NUMBERVALUE("0.000735")</f>
        <v/>
      </c>
      <c r="X908">
        <f>_xlfn.NUMBERVALUE("-0.080000")</f>
        <v/>
      </c>
      <c r="Y908">
        <f>_xlfn.NUMBERVALUE("10.850000")</f>
        <v/>
      </c>
    </row>
    <row r="909">
      <c r="A909" s="1" t="n">
        <v>43321</v>
      </c>
      <c r="B909">
        <f>_xlfn.NUMBERVALUE("0.000000")</f>
        <v/>
      </c>
      <c r="C909" s="2">
        <f>_xlfn.NUMBERVALUE("0.000241")</f>
        <v/>
      </c>
      <c r="D909">
        <f>_xlfn.NUMBERVALUE("0.001092")</f>
        <v/>
      </c>
      <c r="E909">
        <f>_xlfn.NUMBERVALUE("0.000971")</f>
        <v/>
      </c>
      <c r="F909">
        <f>_xlfn.NUMBERVALUE("0.001154")</f>
        <v/>
      </c>
      <c r="G909">
        <f>_xlfn.NUMBERVALUE("0.000058")</f>
        <v/>
      </c>
      <c r="H909">
        <f>_xlfn.NUMBERVALUE("-0.000858")</f>
        <v/>
      </c>
      <c r="I909">
        <f>_xlfn.NUMBERVALUE("0.000094")</f>
        <v/>
      </c>
      <c r="J909">
        <f>_xlfn.NUMBERVALUE("0.000854")</f>
        <v/>
      </c>
      <c r="K909">
        <f>_xlfn.NUMBERVALUE("0.001975")</f>
        <v/>
      </c>
      <c r="L909">
        <f>_xlfn.NUMBERVALUE("-0.000796")</f>
        <v/>
      </c>
      <c r="M909">
        <f>_xlfn.NUMBERVALUE("-0.000139")</f>
        <v/>
      </c>
      <c r="N909">
        <f>_xlfn.NUMBERVALUE("0.000000")</f>
        <v/>
      </c>
      <c r="O909">
        <f>_xlfn.NUMBERVALUE("0.000292")</f>
        <v/>
      </c>
      <c r="P909">
        <f>_xlfn.NUMBERVALUE("0.000079")</f>
        <v/>
      </c>
      <c r="Q909">
        <f>_xlfn.NUMBERVALUE("0.000591")</f>
        <v/>
      </c>
      <c r="R909">
        <f>_xlfn.NUMBERVALUE("0.000692")</f>
        <v/>
      </c>
      <c r="S909">
        <f>_xlfn.NUMBERVALUE("0.001066")</f>
        <v/>
      </c>
      <c r="T909">
        <f>_xlfn.NUMBERVALUE("0.000251")</f>
        <v/>
      </c>
      <c r="U909">
        <f>_xlfn.NUMBERVALUE("-0.000227")</f>
        <v/>
      </c>
      <c r="V909">
        <f>_xlfn.NUMBERVALUE("0.000224")</f>
        <v/>
      </c>
      <c r="W909">
        <f>_xlfn.NUMBERVALUE("-0.001329")</f>
        <v/>
      </c>
      <c r="X909">
        <f>_xlfn.NUMBERVALUE("0.420000")</f>
        <v/>
      </c>
      <c r="Y909">
        <f>_xlfn.NUMBERVALUE("11.270000")</f>
        <v/>
      </c>
    </row>
    <row r="910">
      <c r="A910" s="1" t="n">
        <v>43322</v>
      </c>
      <c r="B910">
        <f>_xlfn.NUMBERVALUE("0.000000")</f>
        <v/>
      </c>
      <c r="C910" s="2">
        <f>_xlfn.NUMBERVALUE("-0.002347")</f>
        <v/>
      </c>
      <c r="D910">
        <f>_xlfn.NUMBERVALUE("-0.007175")</f>
        <v/>
      </c>
      <c r="E910">
        <f>_xlfn.NUMBERVALUE("-0.008182")</f>
        <v/>
      </c>
      <c r="F910">
        <f>_xlfn.NUMBERVALUE("-0.001276")</f>
        <v/>
      </c>
      <c r="G910">
        <f>_xlfn.NUMBERVALUE("-0.000455")</f>
        <v/>
      </c>
      <c r="H910">
        <f>_xlfn.NUMBERVALUE("-0.000468")</f>
        <v/>
      </c>
      <c r="I910">
        <f>_xlfn.NUMBERVALUE("-0.000935")</f>
        <v/>
      </c>
      <c r="J910">
        <f>_xlfn.NUMBERVALUE("-0.000966")</f>
        <v/>
      </c>
      <c r="K910">
        <f>_xlfn.NUMBERVALUE("-0.001459")</f>
        <v/>
      </c>
      <c r="L910">
        <f>_xlfn.NUMBERVALUE("-0.001277")</f>
        <v/>
      </c>
      <c r="M910">
        <f>_xlfn.NUMBERVALUE("-0.004478")</f>
        <v/>
      </c>
      <c r="N910">
        <f>_xlfn.NUMBERVALUE("0.000000")</f>
        <v/>
      </c>
      <c r="O910">
        <f>_xlfn.NUMBERVALUE("-0.000994")</f>
        <v/>
      </c>
      <c r="P910">
        <f>_xlfn.NUMBERVALUE("-0.003156")</f>
        <v/>
      </c>
      <c r="Q910">
        <f>_xlfn.NUMBERVALUE("-0.002427")</f>
        <v/>
      </c>
      <c r="R910">
        <f>_xlfn.NUMBERVALUE("-0.001846")</f>
        <v/>
      </c>
      <c r="S910">
        <f>_xlfn.NUMBERVALUE("-0.001025")</f>
        <v/>
      </c>
      <c r="T910">
        <f>_xlfn.NUMBERVALUE("-0.000196")</f>
        <v/>
      </c>
      <c r="U910">
        <f>_xlfn.NUMBERVALUE("-0.002533")</f>
        <v/>
      </c>
      <c r="V910">
        <f>_xlfn.NUMBERVALUE("-0.002741")</f>
        <v/>
      </c>
      <c r="W910">
        <f>_xlfn.NUMBERVALUE("-0.008267")</f>
        <v/>
      </c>
      <c r="X910">
        <f>_xlfn.NUMBERVALUE("1.890000")</f>
        <v/>
      </c>
      <c r="Y910">
        <f>_xlfn.NUMBERVALUE("13.160000")</f>
        <v/>
      </c>
    </row>
    <row r="911">
      <c r="A911" s="1" t="n">
        <v>43325</v>
      </c>
      <c r="B911">
        <f>_xlfn.NUMBERVALUE("0.000000")</f>
        <v/>
      </c>
      <c r="C911" s="2">
        <f>_xlfn.NUMBERVALUE("-0.000204")</f>
        <v/>
      </c>
      <c r="D911">
        <f>_xlfn.NUMBERVALUE("-0.001001")</f>
        <v/>
      </c>
      <c r="E911">
        <f>_xlfn.NUMBERVALUE("0.000191")</f>
        <v/>
      </c>
      <c r="F911">
        <f>_xlfn.NUMBERVALUE("-0.003091")</f>
        <v/>
      </c>
      <c r="G911">
        <f>_xlfn.NUMBERVALUE("0.000319")</f>
        <v/>
      </c>
      <c r="H911">
        <f>_xlfn.NUMBERVALUE("0.000317")</f>
        <v/>
      </c>
      <c r="I911">
        <f>_xlfn.NUMBERVALUE("0.000643")</f>
        <v/>
      </c>
      <c r="J911">
        <f>_xlfn.NUMBERVALUE("0.000209")</f>
        <v/>
      </c>
      <c r="K911">
        <f>_xlfn.NUMBERVALUE("-0.003440")</f>
        <v/>
      </c>
      <c r="L911">
        <f>_xlfn.NUMBERVALUE("0.000794")</f>
        <v/>
      </c>
      <c r="M911">
        <f>_xlfn.NUMBERVALUE("0.000528")</f>
        <v/>
      </c>
      <c r="N911">
        <f>_xlfn.NUMBERVALUE("0.000000")</f>
        <v/>
      </c>
      <c r="O911">
        <f>_xlfn.NUMBERVALUE("0.000231")</f>
        <v/>
      </c>
      <c r="P911">
        <f>_xlfn.NUMBERVALUE("-0.001182")</f>
        <v/>
      </c>
      <c r="Q911">
        <f>_xlfn.NUMBERVALUE("0.000100")</f>
        <v/>
      </c>
      <c r="R911">
        <f>_xlfn.NUMBERVALUE("0.000253")</f>
        <v/>
      </c>
      <c r="S911">
        <f>_xlfn.NUMBERVALUE("0.000114")</f>
        <v/>
      </c>
      <c r="T911">
        <f>_xlfn.NUMBERVALUE("0.001334")</f>
        <v/>
      </c>
      <c r="U911">
        <f>_xlfn.NUMBERVALUE("0.000881")</f>
        <v/>
      </c>
      <c r="V911">
        <f>_xlfn.NUMBERVALUE("0.000295")</f>
        <v/>
      </c>
      <c r="W911">
        <f>_xlfn.NUMBERVALUE("-0.002508")</f>
        <v/>
      </c>
      <c r="X911">
        <f>_xlfn.NUMBERVALUE("1.620000")</f>
        <v/>
      </c>
      <c r="Y911">
        <f>_xlfn.NUMBERVALUE("14.780000")</f>
        <v/>
      </c>
    </row>
    <row r="912">
      <c r="A912" s="1" t="n">
        <v>43326</v>
      </c>
      <c r="B912">
        <f>_xlfn.NUMBERVALUE("0.000000")</f>
        <v/>
      </c>
      <c r="C912" s="2">
        <f>_xlfn.NUMBERVALUE("0.001553")</f>
        <v/>
      </c>
      <c r="D912">
        <f>_xlfn.NUMBERVALUE("0.001772")</f>
        <v/>
      </c>
      <c r="E912">
        <f>_xlfn.NUMBERVALUE("0.000977")</f>
        <v/>
      </c>
      <c r="F912">
        <f>_xlfn.NUMBERVALUE("0.000620")</f>
        <v/>
      </c>
      <c r="G912">
        <f>_xlfn.NUMBERVALUE("-0.000081")</f>
        <v/>
      </c>
      <c r="H912">
        <f>_xlfn.NUMBERVALUE("0.000617")</f>
        <v/>
      </c>
      <c r="I912">
        <f>_xlfn.NUMBERVALUE("-0.000379")</f>
        <v/>
      </c>
      <c r="J912">
        <f>_xlfn.NUMBERVALUE("0.000325")</f>
        <v/>
      </c>
      <c r="K912">
        <f>_xlfn.NUMBERVALUE("0.001404")</f>
        <v/>
      </c>
      <c r="L912">
        <f>_xlfn.NUMBERVALUE("0.000642")</f>
        <v/>
      </c>
      <c r="M912">
        <f>_xlfn.NUMBERVALUE("0.000706")</f>
        <v/>
      </c>
      <c r="N912">
        <f>_xlfn.NUMBERVALUE("0.000000")</f>
        <v/>
      </c>
      <c r="O912">
        <f>_xlfn.NUMBERVALUE("0.001099")</f>
        <v/>
      </c>
      <c r="P912">
        <f>_xlfn.NUMBERVALUE("0.002372")</f>
        <v/>
      </c>
      <c r="Q912">
        <f>_xlfn.NUMBERVALUE("0.001599")</f>
        <v/>
      </c>
      <c r="R912">
        <f>_xlfn.NUMBERVALUE("0.001503")</f>
        <v/>
      </c>
      <c r="S912">
        <f>_xlfn.NUMBERVALUE("0.000231")</f>
        <v/>
      </c>
      <c r="T912">
        <f>_xlfn.NUMBERVALUE("0.001268")</f>
        <v/>
      </c>
      <c r="U912">
        <f>_xlfn.NUMBERVALUE("-0.000323")</f>
        <v/>
      </c>
      <c r="V912">
        <f>_xlfn.NUMBERVALUE("0.000695")</f>
        <v/>
      </c>
      <c r="W912">
        <f>_xlfn.NUMBERVALUE("0.005843")</f>
        <v/>
      </c>
      <c r="X912">
        <f>_xlfn.NUMBERVALUE("-1.470000")</f>
        <v/>
      </c>
      <c r="Y912">
        <f>_xlfn.NUMBERVALUE("13.310000")</f>
        <v/>
      </c>
    </row>
    <row r="913">
      <c r="A913" s="1" t="n">
        <v>43327</v>
      </c>
      <c r="B913">
        <f>_xlfn.NUMBERVALUE("0.000000")</f>
        <v/>
      </c>
      <c r="C913" s="2">
        <f>_xlfn.NUMBERVALUE("-0.002104")</f>
        <v/>
      </c>
      <c r="D913">
        <f>_xlfn.NUMBERVALUE("-0.005331")</f>
        <v/>
      </c>
      <c r="E913">
        <f>_xlfn.NUMBERVALUE("-0.002199")</f>
        <v/>
      </c>
      <c r="F913">
        <f>_xlfn.NUMBERVALUE("-0.004559")</f>
        <v/>
      </c>
      <c r="G913">
        <f>_xlfn.NUMBERVALUE("-0.000395")</f>
        <v/>
      </c>
      <c r="H913">
        <f>_xlfn.NUMBERVALUE("-0.000579")</f>
        <v/>
      </c>
      <c r="I913">
        <f>_xlfn.NUMBERVALUE("-0.003190")</f>
        <v/>
      </c>
      <c r="J913">
        <f>_xlfn.NUMBERVALUE("0.000024")</f>
        <v/>
      </c>
      <c r="K913">
        <f>_xlfn.NUMBERVALUE("-0.014009")</f>
        <v/>
      </c>
      <c r="L913">
        <f>_xlfn.NUMBERVALUE("-0.001352")</f>
        <v/>
      </c>
      <c r="M913">
        <f>_xlfn.NUMBERVALUE("-0.003320")</f>
        <v/>
      </c>
      <c r="N913">
        <f>_xlfn.NUMBERVALUE("0.000000")</f>
        <v/>
      </c>
      <c r="O913">
        <f>_xlfn.NUMBERVALUE("-0.010804")</f>
        <v/>
      </c>
      <c r="P913">
        <f>_xlfn.NUMBERVALUE("-0.002414")</f>
        <v/>
      </c>
      <c r="Q913">
        <f>_xlfn.NUMBERVALUE("-0.001659")</f>
        <v/>
      </c>
      <c r="R913">
        <f>_xlfn.NUMBERVALUE("-0.003142")</f>
        <v/>
      </c>
      <c r="S913">
        <f>_xlfn.NUMBERVALUE("-0.000936")</f>
        <v/>
      </c>
      <c r="T913">
        <f>_xlfn.NUMBERVALUE("-0.001365")</f>
        <v/>
      </c>
      <c r="U913">
        <f>_xlfn.NUMBERVALUE("-0.003636")</f>
        <v/>
      </c>
      <c r="V913">
        <f>_xlfn.NUMBERVALUE("-0.002225")</f>
        <v/>
      </c>
      <c r="W913">
        <f>_xlfn.NUMBERVALUE("-0.008168")</f>
        <v/>
      </c>
      <c r="X913">
        <f>_xlfn.NUMBERVALUE("1.330000")</f>
        <v/>
      </c>
      <c r="Y913">
        <f>_xlfn.NUMBERVALUE("14.640000")</f>
        <v/>
      </c>
    </row>
    <row r="914">
      <c r="A914" s="1" t="n">
        <v>43328</v>
      </c>
      <c r="B914">
        <f>_xlfn.NUMBERVALUE("-0.007997")</f>
        <v/>
      </c>
      <c r="C914" s="2">
        <f>_xlfn.NUMBERVALUE("-0.003294")</f>
        <v/>
      </c>
      <c r="D914">
        <f>_xlfn.NUMBERVALUE("0.000622")</f>
        <v/>
      </c>
      <c r="E914">
        <f>_xlfn.NUMBERVALUE("0.000494")</f>
        <v/>
      </c>
      <c r="F914">
        <f>_xlfn.NUMBERVALUE("-0.000067")</f>
        <v/>
      </c>
      <c r="G914">
        <f>_xlfn.NUMBERVALUE("0.000433")</f>
        <v/>
      </c>
      <c r="H914">
        <f>_xlfn.NUMBERVALUE("0.000226")</f>
        <v/>
      </c>
      <c r="I914">
        <f>_xlfn.NUMBERVALUE("0.000322")</f>
        <v/>
      </c>
      <c r="J914">
        <f>_xlfn.NUMBERVALUE("-0.000093")</f>
        <v/>
      </c>
      <c r="K914">
        <f>_xlfn.NUMBERVALUE("0.001338")</f>
        <v/>
      </c>
      <c r="L914">
        <f>_xlfn.NUMBERVALUE("0.001320")</f>
        <v/>
      </c>
      <c r="M914">
        <f>_xlfn.NUMBERVALUE("0.001234")</f>
        <v/>
      </c>
      <c r="N914">
        <f>_xlfn.NUMBERVALUE("0.000835")</f>
        <v/>
      </c>
      <c r="O914">
        <f>_xlfn.NUMBERVALUE("0.001605")</f>
        <v/>
      </c>
      <c r="P914">
        <f>_xlfn.NUMBERVALUE("0.002173")</f>
        <v/>
      </c>
      <c r="Q914">
        <f>_xlfn.NUMBERVALUE("0.000727")</f>
        <v/>
      </c>
      <c r="R914">
        <f>_xlfn.NUMBERVALUE("0.002374")</f>
        <v/>
      </c>
      <c r="S914">
        <f>_xlfn.NUMBERVALUE("-0.002647")</f>
        <v/>
      </c>
      <c r="T914">
        <f>_xlfn.NUMBERVALUE("-0.000924")</f>
        <v/>
      </c>
      <c r="U914">
        <f>_xlfn.NUMBERVALUE("0.002068")</f>
        <v/>
      </c>
      <c r="V914">
        <f>_xlfn.NUMBERVALUE("0.000216")</f>
        <v/>
      </c>
      <c r="W914">
        <f>_xlfn.NUMBERVALUE("0.008661")</f>
        <v/>
      </c>
      <c r="X914">
        <f>_xlfn.NUMBERVALUE("-1.190000")</f>
        <v/>
      </c>
      <c r="Y914">
        <f>_xlfn.NUMBERVALUE("13.450000")</f>
        <v/>
      </c>
    </row>
    <row r="915">
      <c r="A915" s="1" t="n">
        <v>43329</v>
      </c>
      <c r="B915">
        <f>_xlfn.NUMBERVALUE("0.000000")</f>
        <v/>
      </c>
      <c r="C915" s="2">
        <f>_xlfn.NUMBERVALUE("-0.000134")</f>
        <v/>
      </c>
      <c r="D915">
        <f>_xlfn.NUMBERVALUE("-0.000269")</f>
        <v/>
      </c>
      <c r="E915">
        <f>_xlfn.NUMBERVALUE("0.000198")</f>
        <v/>
      </c>
      <c r="F915">
        <f>_xlfn.NUMBERVALUE("0.000664")</f>
        <v/>
      </c>
      <c r="G915">
        <f>_xlfn.NUMBERVALUE("0.000477")</f>
        <v/>
      </c>
      <c r="H915">
        <f>_xlfn.NUMBERVALUE("-0.000451")</f>
        <v/>
      </c>
      <c r="I915">
        <f>_xlfn.NUMBERVALUE("0.000726")</f>
        <v/>
      </c>
      <c r="J915">
        <f>_xlfn.NUMBERVALUE("0.000209")</f>
        <v/>
      </c>
      <c r="K915">
        <f>_xlfn.NUMBERVALUE("0.001431")</f>
        <v/>
      </c>
      <c r="L915">
        <f>_xlfn.NUMBERVALUE("0.000684")</f>
        <v/>
      </c>
      <c r="M915">
        <f>_xlfn.NUMBERVALUE("0.001234")</f>
        <v/>
      </c>
      <c r="N915">
        <f>_xlfn.NUMBERVALUE("0.001616")</f>
        <v/>
      </c>
      <c r="O915">
        <f>_xlfn.NUMBERVALUE("0.001119")</f>
        <v/>
      </c>
      <c r="P915">
        <f>_xlfn.NUMBERVALUE("0.000090")</f>
        <v/>
      </c>
      <c r="Q915">
        <f>_xlfn.NUMBERVALUE("-0.000428")</f>
        <v/>
      </c>
      <c r="R915">
        <f>_xlfn.NUMBERVALUE("0.001700")</f>
        <v/>
      </c>
      <c r="S915">
        <f>_xlfn.NUMBERVALUE("-0.001069")</f>
        <v/>
      </c>
      <c r="T915">
        <f>_xlfn.NUMBERVALUE("-0.000133")</f>
        <v/>
      </c>
      <c r="U915">
        <f>_xlfn.NUMBERVALUE("0.001178")</f>
        <v/>
      </c>
      <c r="V915">
        <f>_xlfn.NUMBERVALUE("0.000882")</f>
        <v/>
      </c>
      <c r="W915">
        <f>_xlfn.NUMBERVALUE("0.003519")</f>
        <v/>
      </c>
      <c r="X915">
        <f>_xlfn.NUMBERVALUE("-0.810000")</f>
        <v/>
      </c>
      <c r="Y915">
        <f>_xlfn.NUMBERVALUE("12.640000")</f>
        <v/>
      </c>
    </row>
    <row r="916">
      <c r="A916" s="1" t="n">
        <v>43332</v>
      </c>
      <c r="B916">
        <f>_xlfn.NUMBERVALUE("0.011681")</f>
        <v/>
      </c>
      <c r="C916" s="2">
        <f>_xlfn.NUMBERVALUE("0.000889")</f>
        <v/>
      </c>
      <c r="D916">
        <f>_xlfn.NUMBERVALUE("0.001064")</f>
        <v/>
      </c>
      <c r="E916">
        <f>_xlfn.NUMBERVALUE("0.000811")</f>
        <v/>
      </c>
      <c r="F916">
        <f>_xlfn.NUMBERVALUE("0.000126")</f>
        <v/>
      </c>
      <c r="G916">
        <f>_xlfn.NUMBERVALUE("0.000694")</f>
        <v/>
      </c>
      <c r="H916">
        <f>_xlfn.NUMBERVALUE("0.000533")</f>
        <v/>
      </c>
      <c r="I916">
        <f>_xlfn.NUMBERVALUE("0.000453")</f>
        <v/>
      </c>
      <c r="J916">
        <f>_xlfn.NUMBERVALUE("-0.000185")</f>
        <v/>
      </c>
      <c r="K916">
        <f>_xlfn.NUMBERVALUE("0.001303")</f>
        <v/>
      </c>
      <c r="L916">
        <f>_xlfn.NUMBERVALUE("-0.000539")</f>
        <v/>
      </c>
      <c r="M916">
        <f>_xlfn.NUMBERVALUE("0.000988")</f>
        <v/>
      </c>
      <c r="N916">
        <f>_xlfn.NUMBERVALUE("0.007912")</f>
        <v/>
      </c>
      <c r="O916">
        <f>_xlfn.NUMBERVALUE("0.000983")</f>
        <v/>
      </c>
      <c r="P916">
        <f>_xlfn.NUMBERVALUE("0.002245")</f>
        <v/>
      </c>
      <c r="Q916">
        <f>_xlfn.NUMBERVALUE("0.001271")</f>
        <v/>
      </c>
      <c r="R916">
        <f>_xlfn.NUMBERVALUE("0.001661")</f>
        <v/>
      </c>
      <c r="S916">
        <f>_xlfn.NUMBERVALUE("0.001134")</f>
        <v/>
      </c>
      <c r="T916">
        <f>_xlfn.NUMBERVALUE("0.000877")</f>
        <v/>
      </c>
      <c r="U916">
        <f>_xlfn.NUMBERVALUE("0.001100")</f>
        <v/>
      </c>
      <c r="V916">
        <f>_xlfn.NUMBERVALUE("0.000997")</f>
        <v/>
      </c>
      <c r="W916">
        <f>_xlfn.NUMBERVALUE("0.002648")</f>
        <v/>
      </c>
      <c r="X916">
        <f>_xlfn.NUMBERVALUE("-0.150000")</f>
        <v/>
      </c>
      <c r="Y916">
        <f>_xlfn.NUMBERVALUE("12.490000")</f>
        <v/>
      </c>
    </row>
    <row r="917">
      <c r="A917" s="1" t="n">
        <v>43333</v>
      </c>
      <c r="B917">
        <f>_xlfn.NUMBERVALUE("0.000000")</f>
        <v/>
      </c>
      <c r="C917" s="2">
        <f>_xlfn.NUMBERVALUE("0.000072")</f>
        <v/>
      </c>
      <c r="D917">
        <f>_xlfn.NUMBERVALUE("0.000503")</f>
        <v/>
      </c>
      <c r="E917">
        <f>_xlfn.NUMBERVALUE("0.000011")</f>
        <v/>
      </c>
      <c r="F917">
        <f>_xlfn.NUMBERVALUE("0.002312")</f>
        <v/>
      </c>
      <c r="G917">
        <f>_xlfn.NUMBERVALUE("-0.000380")</f>
        <v/>
      </c>
      <c r="H917">
        <f>_xlfn.NUMBERVALUE("0.000328")</f>
        <v/>
      </c>
      <c r="I917">
        <f>_xlfn.NUMBERVALUE("-0.002021")</f>
        <v/>
      </c>
      <c r="J917">
        <f>_xlfn.NUMBERVALUE("0.000651")</f>
        <v/>
      </c>
      <c r="K917">
        <f>_xlfn.NUMBERVALUE("0.000673")</f>
        <v/>
      </c>
      <c r="L917">
        <f>_xlfn.NUMBERVALUE("0.000485")</f>
        <v/>
      </c>
      <c r="M917">
        <f>_xlfn.NUMBERVALUE("0.000811")</f>
        <v/>
      </c>
      <c r="N917">
        <f>_xlfn.NUMBERVALUE("0.001948")</f>
        <v/>
      </c>
      <c r="O917">
        <f>_xlfn.NUMBERVALUE("0.000381")</f>
        <v/>
      </c>
      <c r="P917">
        <f>_xlfn.NUMBERVALUE("0.000063")</f>
        <v/>
      </c>
      <c r="Q917">
        <f>_xlfn.NUMBERVALUE("-0.001008")</f>
        <v/>
      </c>
      <c r="R917">
        <f>_xlfn.NUMBERVALUE("0.000560")</f>
        <v/>
      </c>
      <c r="S917">
        <f>_xlfn.NUMBERVALUE("0.001022")</f>
        <v/>
      </c>
      <c r="T917">
        <f>_xlfn.NUMBERVALUE("0.001441")</f>
        <v/>
      </c>
      <c r="U917">
        <f>_xlfn.NUMBERVALUE("-0.001540")</f>
        <v/>
      </c>
      <c r="V917">
        <f>_xlfn.NUMBERVALUE("0.000120")</f>
        <v/>
      </c>
      <c r="W917">
        <f>_xlfn.NUMBERVALUE("0.002431")</f>
        <v/>
      </c>
      <c r="X917">
        <f>_xlfn.NUMBERVALUE("0.370000")</f>
        <v/>
      </c>
      <c r="Y917">
        <f>_xlfn.NUMBERVALUE("12.860000")</f>
        <v/>
      </c>
    </row>
    <row r="918">
      <c r="A918" s="1" t="n">
        <v>43334</v>
      </c>
      <c r="B918">
        <f>_xlfn.NUMBERVALUE("0.000000")</f>
        <v/>
      </c>
      <c r="C918" s="2">
        <f>_xlfn.NUMBERVALUE("0.001199")</f>
        <v/>
      </c>
      <c r="D918">
        <f>_xlfn.NUMBERVALUE("-0.000143")</f>
        <v/>
      </c>
      <c r="E918">
        <f>_xlfn.NUMBERVALUE("-0.000026")</f>
        <v/>
      </c>
      <c r="F918">
        <f>_xlfn.NUMBERVALUE("0.000576")</f>
        <v/>
      </c>
      <c r="G918">
        <f>_xlfn.NUMBERVALUE("0.000424")</f>
        <v/>
      </c>
      <c r="H918">
        <f>_xlfn.NUMBERVALUE("-0.000140")</f>
        <v/>
      </c>
      <c r="I918">
        <f>_xlfn.NUMBERVALUE("0.000343")</f>
        <v/>
      </c>
      <c r="J918">
        <f>_xlfn.NUMBERVALUE("0.000071")</f>
        <v/>
      </c>
      <c r="K918">
        <f>_xlfn.NUMBERVALUE("0.000135")</f>
        <v/>
      </c>
      <c r="L918">
        <f>_xlfn.NUMBERVALUE("0.000258")</f>
        <v/>
      </c>
      <c r="M918">
        <f>_xlfn.NUMBERVALUE("0.001284")</f>
        <v/>
      </c>
      <c r="N918">
        <f>_xlfn.NUMBERVALUE("0.002195")</f>
        <v/>
      </c>
      <c r="O918">
        <f>_xlfn.NUMBERVALUE("-0.001202")</f>
        <v/>
      </c>
      <c r="P918">
        <f>_xlfn.NUMBERVALUE("0.000922")</f>
        <v/>
      </c>
      <c r="Q918">
        <f>_xlfn.NUMBERVALUE("0.000127")</f>
        <v/>
      </c>
      <c r="R918">
        <f>_xlfn.NUMBERVALUE("0.000819")</f>
        <v/>
      </c>
      <c r="S918">
        <f>_xlfn.NUMBERVALUE("0.000124")</f>
        <v/>
      </c>
      <c r="T918">
        <f>_xlfn.NUMBERVALUE("-0.000249")</f>
        <v/>
      </c>
      <c r="U918">
        <f>_xlfn.NUMBERVALUE("0.000117")</f>
        <v/>
      </c>
      <c r="V918">
        <f>_xlfn.NUMBERVALUE("0.001023")</f>
        <v/>
      </c>
      <c r="W918">
        <f>_xlfn.NUMBERVALUE("-0.000558")</f>
        <v/>
      </c>
      <c r="X918">
        <f>_xlfn.NUMBERVALUE("-0.610000")</f>
        <v/>
      </c>
      <c r="Y918">
        <f>_xlfn.NUMBERVALUE("12.250000")</f>
        <v/>
      </c>
    </row>
    <row r="919">
      <c r="A919" s="1" t="n">
        <v>43335</v>
      </c>
      <c r="B919">
        <f>_xlfn.NUMBERVALUE("0.000000")</f>
        <v/>
      </c>
      <c r="C919" s="2">
        <f>_xlfn.NUMBERVALUE("0.000451")</f>
        <v/>
      </c>
      <c r="D919">
        <f>_xlfn.NUMBERVALUE("-0.002226")</f>
        <v/>
      </c>
      <c r="E919">
        <f>_xlfn.NUMBERVALUE("-0.001176")</f>
        <v/>
      </c>
      <c r="F919">
        <f>_xlfn.NUMBERVALUE("-0.000861")</f>
        <v/>
      </c>
      <c r="G919">
        <f>_xlfn.NUMBERVALUE("0.000017")</f>
        <v/>
      </c>
      <c r="H919">
        <f>_xlfn.NUMBERVALUE("-0.000133")</f>
        <v/>
      </c>
      <c r="I919">
        <f>_xlfn.NUMBERVALUE("0.000745")</f>
        <v/>
      </c>
      <c r="J919">
        <f>_xlfn.NUMBERVALUE("-0.000181")</f>
        <v/>
      </c>
      <c r="K919">
        <f>_xlfn.NUMBERVALUE("-0.001424")</f>
        <v/>
      </c>
      <c r="L919">
        <f>_xlfn.NUMBERVALUE("0.000067")</f>
        <v/>
      </c>
      <c r="M919">
        <f>_xlfn.NUMBERVALUE("-0.000993")</f>
        <v/>
      </c>
      <c r="N919">
        <f>_xlfn.NUMBERVALUE("0.001476")</f>
        <v/>
      </c>
      <c r="O919">
        <f>_xlfn.NUMBERVALUE("-0.000142")</f>
        <v/>
      </c>
      <c r="P919">
        <f>_xlfn.NUMBERVALUE("0.000260")</f>
        <v/>
      </c>
      <c r="Q919">
        <f>_xlfn.NUMBERVALUE("0.001063")</f>
        <v/>
      </c>
      <c r="R919">
        <f>_xlfn.NUMBERVALUE("0.000490")</f>
        <v/>
      </c>
      <c r="S919">
        <f>_xlfn.NUMBERVALUE("0.001403")</f>
        <v/>
      </c>
      <c r="T919">
        <f>_xlfn.NUMBERVALUE("0.001052")</f>
        <v/>
      </c>
      <c r="U919">
        <f>_xlfn.NUMBERVALUE("0.001076")</f>
        <v/>
      </c>
      <c r="V919">
        <f>_xlfn.NUMBERVALUE("0.000165")</f>
        <v/>
      </c>
      <c r="W919">
        <f>_xlfn.NUMBERVALUE("-0.002548")</f>
        <v/>
      </c>
      <c r="X919">
        <f>_xlfn.NUMBERVALUE("0.160000")</f>
        <v/>
      </c>
      <c r="Y919">
        <f>_xlfn.NUMBERVALUE("12.410000")</f>
        <v/>
      </c>
    </row>
    <row r="920">
      <c r="A920" s="1" t="n">
        <v>43336</v>
      </c>
      <c r="B920">
        <f>_xlfn.NUMBERVALUE("0.000000")</f>
        <v/>
      </c>
      <c r="C920" s="2">
        <f>_xlfn.NUMBERVALUE("0.000064")</f>
        <v/>
      </c>
      <c r="D920">
        <f>_xlfn.NUMBERVALUE("0.000275")</f>
        <v/>
      </c>
      <c r="E920">
        <f>_xlfn.NUMBERVALUE("0.000632")</f>
        <v/>
      </c>
      <c r="F920">
        <f>_xlfn.NUMBERVALUE("-0.002039")</f>
        <v/>
      </c>
      <c r="G920">
        <f>_xlfn.NUMBERVALUE("-0.000435")</f>
        <v/>
      </c>
      <c r="H920">
        <f>_xlfn.NUMBERVALUE("0.000363")</f>
        <v/>
      </c>
      <c r="I920">
        <f>_xlfn.NUMBERVALUE("0.000243")</f>
        <v/>
      </c>
      <c r="J920">
        <f>_xlfn.NUMBERVALUE("0.000485")</f>
        <v/>
      </c>
      <c r="K920">
        <f>_xlfn.NUMBERVALUE("0.000276")</f>
        <v/>
      </c>
      <c r="L920">
        <f>_xlfn.NUMBERVALUE("0.000774")</f>
        <v/>
      </c>
      <c r="M920">
        <f>_xlfn.NUMBERVALUE("-0.001178")</f>
        <v/>
      </c>
      <c r="N920">
        <f>_xlfn.NUMBERVALUE("-0.000692")</f>
        <v/>
      </c>
      <c r="O920">
        <f>_xlfn.NUMBERVALUE("0.000335")</f>
        <v/>
      </c>
      <c r="P920">
        <f>_xlfn.NUMBERVALUE("0.001237")</f>
        <v/>
      </c>
      <c r="Q920">
        <f>_xlfn.NUMBERVALUE("0.001123")</f>
        <v/>
      </c>
      <c r="R920">
        <f>_xlfn.NUMBERVALUE("-0.001180")</f>
        <v/>
      </c>
      <c r="S920">
        <f>_xlfn.NUMBERVALUE("0.001378")</f>
        <v/>
      </c>
      <c r="T920">
        <f>_xlfn.NUMBERVALUE("0.001168")</f>
        <v/>
      </c>
      <c r="U920">
        <f>_xlfn.NUMBERVALUE("-0.000095")</f>
        <v/>
      </c>
      <c r="V920">
        <f>_xlfn.NUMBERVALUE("-0.000443")</f>
        <v/>
      </c>
      <c r="W920">
        <f>_xlfn.NUMBERVALUE("0.006265")</f>
        <v/>
      </c>
      <c r="X920">
        <f>_xlfn.NUMBERVALUE("-0.420000")</f>
        <v/>
      </c>
      <c r="Y920">
        <f>_xlfn.NUMBERVALUE("11.990000")</f>
        <v/>
      </c>
    </row>
    <row r="921">
      <c r="A921" s="1" t="n">
        <v>43339</v>
      </c>
      <c r="B921">
        <f>_xlfn.NUMBERVALUE("0.000000")</f>
        <v/>
      </c>
      <c r="C921" s="2">
        <f>_xlfn.NUMBERVALUE("-0.000916")</f>
        <v/>
      </c>
      <c r="D921">
        <f>_xlfn.NUMBERVALUE("-0.001077")</f>
        <v/>
      </c>
      <c r="E921">
        <f>_xlfn.NUMBERVALUE("-0.005402")</f>
        <v/>
      </c>
      <c r="F921">
        <f>_xlfn.NUMBERVALUE("0.001461")</f>
        <v/>
      </c>
      <c r="G921">
        <f>_xlfn.NUMBERVALUE("0.000367")</f>
        <v/>
      </c>
      <c r="H921">
        <f>_xlfn.NUMBERVALUE("0.000571")</f>
        <v/>
      </c>
      <c r="I921">
        <f>_xlfn.NUMBERVALUE("0.000580")</f>
        <v/>
      </c>
      <c r="J921">
        <f>_xlfn.NUMBERVALUE("0.000608")</f>
        <v/>
      </c>
      <c r="K921">
        <f>_xlfn.NUMBERVALUE("0.001843")</f>
        <v/>
      </c>
      <c r="L921">
        <f>_xlfn.NUMBERVALUE("-0.000054")</f>
        <v/>
      </c>
      <c r="M921">
        <f>_xlfn.NUMBERVALUE("-0.002475")</f>
        <v/>
      </c>
      <c r="N921">
        <f>_xlfn.NUMBERVALUE("-0.001871")</f>
        <v/>
      </c>
      <c r="O921">
        <f>_xlfn.NUMBERVALUE("0.001606")</f>
        <v/>
      </c>
      <c r="P921">
        <f>_xlfn.NUMBERVALUE("-0.002386")</f>
        <v/>
      </c>
      <c r="Q921">
        <f>_xlfn.NUMBERVALUE("-0.001857")</f>
        <v/>
      </c>
      <c r="R921">
        <f>_xlfn.NUMBERVALUE("-0.001270")</f>
        <v/>
      </c>
      <c r="S921">
        <f>_xlfn.NUMBERVALUE("0.001594")</f>
        <v/>
      </c>
      <c r="T921">
        <f>_xlfn.NUMBERVALUE("0.000583")</f>
        <v/>
      </c>
      <c r="U921">
        <f>_xlfn.NUMBERVALUE("0.000461")</f>
        <v/>
      </c>
      <c r="V921">
        <f>_xlfn.NUMBERVALUE("-0.000746")</f>
        <v/>
      </c>
      <c r="W921">
        <f>_xlfn.NUMBERVALUE("0.007287")</f>
        <v/>
      </c>
      <c r="X921">
        <f>_xlfn.NUMBERVALUE("0.170000")</f>
        <v/>
      </c>
      <c r="Y921">
        <f>_xlfn.NUMBERVALUE("12.160000")</f>
        <v/>
      </c>
    </row>
    <row r="922">
      <c r="A922" s="1" t="n">
        <v>43340</v>
      </c>
      <c r="B922">
        <f>_xlfn.NUMBERVALUE("0.000000")</f>
        <v/>
      </c>
      <c r="C922" s="2">
        <f>_xlfn.NUMBERVALUE("0.000426")</f>
        <v/>
      </c>
      <c r="D922">
        <f>_xlfn.NUMBERVALUE("0.002071")</f>
        <v/>
      </c>
      <c r="E922">
        <f>_xlfn.NUMBERVALUE("0.001075")</f>
        <v/>
      </c>
      <c r="F922">
        <f>_xlfn.NUMBERVALUE("-0.001362")</f>
        <v/>
      </c>
      <c r="G922">
        <f>_xlfn.NUMBERVALUE("0.000564")</f>
        <v/>
      </c>
      <c r="H922">
        <f>_xlfn.NUMBERVALUE("0.000616")</f>
        <v/>
      </c>
      <c r="I922">
        <f>_xlfn.NUMBERVALUE("0.000332")</f>
        <v/>
      </c>
      <c r="J922">
        <f>_xlfn.NUMBERVALUE("0.000217")</f>
        <v/>
      </c>
      <c r="K922">
        <f>_xlfn.NUMBERVALUE("-0.000690")</f>
        <v/>
      </c>
      <c r="L922">
        <f>_xlfn.NUMBERVALUE("-0.000349")</f>
        <v/>
      </c>
      <c r="M922">
        <f>_xlfn.NUMBERVALUE("0.000321")</f>
        <v/>
      </c>
      <c r="N922">
        <f>_xlfn.NUMBERVALUE("0.001558")</f>
        <v/>
      </c>
      <c r="O922">
        <f>_xlfn.NUMBERVALUE("0.000359")</f>
        <v/>
      </c>
      <c r="P922">
        <f>_xlfn.NUMBERVALUE("0.000847")</f>
        <v/>
      </c>
      <c r="Q922">
        <f>_xlfn.NUMBERVALUE("0.000857")</f>
        <v/>
      </c>
      <c r="R922">
        <f>_xlfn.NUMBERVALUE("0.000903")</f>
        <v/>
      </c>
      <c r="S922">
        <f>_xlfn.NUMBERVALUE("0.001146")</f>
        <v/>
      </c>
      <c r="T922">
        <f>_xlfn.NUMBERVALUE("0.000833")</f>
        <v/>
      </c>
      <c r="U922">
        <f>_xlfn.NUMBERVALUE("0.000216")</f>
        <v/>
      </c>
      <c r="V922">
        <f>_xlfn.NUMBERVALUE("0.000263")</f>
        <v/>
      </c>
      <c r="W922">
        <f>_xlfn.NUMBERVALUE("0.000811")</f>
        <v/>
      </c>
      <c r="X922">
        <f>_xlfn.NUMBERVALUE("0.340000")</f>
        <v/>
      </c>
      <c r="Y922">
        <f>_xlfn.NUMBERVALUE("12.500000")</f>
        <v/>
      </c>
    </row>
    <row r="923">
      <c r="A923" s="1" t="n">
        <v>43341</v>
      </c>
      <c r="B923">
        <f>_xlfn.NUMBERVALUE("0.000000")</f>
        <v/>
      </c>
      <c r="C923" s="2">
        <f>_xlfn.NUMBERVALUE("0.000101")</f>
        <v/>
      </c>
      <c r="D923">
        <f>_xlfn.NUMBERVALUE("0.001019")</f>
        <v/>
      </c>
      <c r="E923">
        <f>_xlfn.NUMBERVALUE("-0.000359")</f>
        <v/>
      </c>
      <c r="F923">
        <f>_xlfn.NUMBERVALUE("0.001361")</f>
        <v/>
      </c>
      <c r="G923">
        <f>_xlfn.NUMBERVALUE("0.000103")</f>
        <v/>
      </c>
      <c r="H923">
        <f>_xlfn.NUMBERVALUE("-0.000642")</f>
        <v/>
      </c>
      <c r="I923">
        <f>_xlfn.NUMBERVALUE("0.001053")</f>
        <v/>
      </c>
      <c r="J923">
        <f>_xlfn.NUMBERVALUE("0.000441")</f>
        <v/>
      </c>
      <c r="K923">
        <f>_xlfn.NUMBERVALUE("-0.000052")</f>
        <v/>
      </c>
      <c r="L923">
        <f>_xlfn.NUMBERVALUE("0.000636")</f>
        <v/>
      </c>
      <c r="M923">
        <f>_xlfn.NUMBERVALUE("-0.000482")</f>
        <v/>
      </c>
      <c r="N923">
        <f>_xlfn.NUMBERVALUE("-0.000514")</f>
        <v/>
      </c>
      <c r="O923">
        <f>_xlfn.NUMBERVALUE("0.000978")</f>
        <v/>
      </c>
      <c r="P923">
        <f>_xlfn.NUMBERVALUE("0.000156")</f>
        <v/>
      </c>
      <c r="Q923">
        <f>_xlfn.NUMBERVALUE("0.000978")</f>
        <v/>
      </c>
      <c r="R923">
        <f>_xlfn.NUMBERVALUE("-0.001277")</f>
        <v/>
      </c>
      <c r="S923">
        <f>_xlfn.NUMBERVALUE("0.000893")</f>
        <v/>
      </c>
      <c r="T923">
        <f>_xlfn.NUMBERVALUE("0.000025")</f>
        <v/>
      </c>
      <c r="U923">
        <f>_xlfn.NUMBERVALUE("-0.000866")</f>
        <v/>
      </c>
      <c r="V923">
        <f>_xlfn.NUMBERVALUE("-0.000411")</f>
        <v/>
      </c>
      <c r="W923">
        <f>_xlfn.NUMBERVALUE("0.006400")</f>
        <v/>
      </c>
      <c r="X923">
        <f>_xlfn.NUMBERVALUE("-0.250000")</f>
        <v/>
      </c>
      <c r="Y923">
        <f>_xlfn.NUMBERVALUE("12.250000")</f>
        <v/>
      </c>
    </row>
    <row r="924">
      <c r="A924" s="1" t="n">
        <v>43342</v>
      </c>
      <c r="B924">
        <f>_xlfn.NUMBERVALUE("0.000000")</f>
        <v/>
      </c>
      <c r="C924" s="2">
        <f>_xlfn.NUMBERVALUE("-0.000192")</f>
        <v/>
      </c>
      <c r="D924">
        <f>_xlfn.NUMBERVALUE("-0.009772")</f>
        <v/>
      </c>
      <c r="E924">
        <f>_xlfn.NUMBERVALUE("-0.001876")</f>
        <v/>
      </c>
      <c r="F924">
        <f>_xlfn.NUMBERVALUE("-0.000485")</f>
        <v/>
      </c>
      <c r="G924">
        <f>_xlfn.NUMBERVALUE("0.000618")</f>
        <v/>
      </c>
      <c r="H924">
        <f>_xlfn.NUMBERVALUE("0.000359")</f>
        <v/>
      </c>
      <c r="I924">
        <f>_xlfn.NUMBERVALUE("-0.000704")</f>
        <v/>
      </c>
      <c r="J924">
        <f>_xlfn.NUMBERVALUE("0.000030")</f>
        <v/>
      </c>
      <c r="K924">
        <f>_xlfn.NUMBERVALUE("0.000291")</f>
        <v/>
      </c>
      <c r="L924">
        <f>_xlfn.NUMBERVALUE("0.000479")</f>
        <v/>
      </c>
      <c r="M924">
        <f>_xlfn.NUMBERVALUE("-0.002267")</f>
        <v/>
      </c>
      <c r="N924">
        <f>_xlfn.NUMBERVALUE("0.000961")</f>
        <v/>
      </c>
      <c r="O924">
        <f>_xlfn.NUMBERVALUE("-0.000379")</f>
        <v/>
      </c>
      <c r="P924">
        <f>_xlfn.NUMBERVALUE("0.000320")</f>
        <v/>
      </c>
      <c r="Q924">
        <f>_xlfn.NUMBERVALUE("-0.001097")</f>
        <v/>
      </c>
      <c r="R924">
        <f>_xlfn.NUMBERVALUE("0.000036")</f>
        <v/>
      </c>
      <c r="S924">
        <f>_xlfn.NUMBERVALUE("0.000316")</f>
        <v/>
      </c>
      <c r="T924">
        <f>_xlfn.NUMBERVALUE("0.000455")</f>
        <v/>
      </c>
      <c r="U924">
        <f>_xlfn.NUMBERVALUE("-0.000445")</f>
        <v/>
      </c>
      <c r="V924">
        <f>_xlfn.NUMBERVALUE("0.000360")</f>
        <v/>
      </c>
      <c r="W924">
        <f>_xlfn.NUMBERVALUE("-0.005588")</f>
        <v/>
      </c>
      <c r="X924">
        <f>_xlfn.NUMBERVALUE("1.280000")</f>
        <v/>
      </c>
      <c r="Y924">
        <f>_xlfn.NUMBERVALUE("13.530000")</f>
        <v/>
      </c>
    </row>
    <row r="925">
      <c r="A925" s="1" t="n">
        <v>43343</v>
      </c>
      <c r="B925">
        <f>_xlfn.NUMBERVALUE("0.000000")</f>
        <v/>
      </c>
      <c r="C925" s="2">
        <f>_xlfn.NUMBERVALUE("0.000536")</f>
        <v/>
      </c>
      <c r="D925">
        <f>_xlfn.NUMBERVALUE("0.000554")</f>
        <v/>
      </c>
      <c r="E925">
        <f>_xlfn.NUMBERVALUE("-0.000737")</f>
        <v/>
      </c>
      <c r="F925">
        <f>_xlfn.NUMBERVALUE("0.001621")</f>
        <v/>
      </c>
      <c r="G925">
        <f>_xlfn.NUMBERVALUE("0.000459")</f>
        <v/>
      </c>
      <c r="H925">
        <f>_xlfn.NUMBERVALUE("0.000039")</f>
        <v/>
      </c>
      <c r="I925">
        <f>_xlfn.NUMBERVALUE("0.000310")</f>
        <v/>
      </c>
      <c r="J925">
        <f>_xlfn.NUMBERVALUE("0.000030")</f>
        <v/>
      </c>
      <c r="K925">
        <f>_xlfn.NUMBERVALUE("0.000054")</f>
        <v/>
      </c>
      <c r="L925">
        <f>_xlfn.NUMBERVALUE("0.000926")</f>
        <v/>
      </c>
      <c r="M925">
        <f>_xlfn.NUMBERVALUE("0.001863")</f>
        <v/>
      </c>
      <c r="N925">
        <f>_xlfn.NUMBERVALUE("0.001155")</f>
        <v/>
      </c>
      <c r="O925">
        <f>_xlfn.NUMBERVALUE("-0.000258")</f>
        <v/>
      </c>
      <c r="P925">
        <f>_xlfn.NUMBERVALUE("0.000801")</f>
        <v/>
      </c>
      <c r="Q925">
        <f>_xlfn.NUMBERVALUE("0.001506")</f>
        <v/>
      </c>
      <c r="R925">
        <f>_xlfn.NUMBERVALUE("0.000864")</f>
        <v/>
      </c>
      <c r="S925">
        <f>_xlfn.NUMBERVALUE("0.001527")</f>
        <v/>
      </c>
      <c r="T925">
        <f>_xlfn.NUMBERVALUE("0.000418")</f>
        <v/>
      </c>
      <c r="U925">
        <f>_xlfn.NUMBERVALUE("0.000130")</f>
        <v/>
      </c>
      <c r="V925">
        <f>_xlfn.NUMBERVALUE("0.000504")</f>
        <v/>
      </c>
      <c r="W925">
        <f>_xlfn.NUMBERVALUE("0.000276")</f>
        <v/>
      </c>
      <c r="X925">
        <f>_xlfn.NUMBERVALUE("-0.670000")</f>
        <v/>
      </c>
      <c r="Y925">
        <f>_xlfn.NUMBERVALUE("12.860000")</f>
        <v/>
      </c>
    </row>
    <row r="926">
      <c r="A926" s="1" t="n">
        <v>43347</v>
      </c>
      <c r="B926">
        <f>_xlfn.NUMBERVALUE("0.000000")</f>
        <v/>
      </c>
      <c r="C926" s="2">
        <f>_xlfn.NUMBERVALUE("0.001133")</f>
        <v/>
      </c>
      <c r="D926">
        <f>_xlfn.NUMBERVALUE("-0.002281")</f>
        <v/>
      </c>
      <c r="E926">
        <f>_xlfn.NUMBERVALUE("-0.001410")</f>
        <v/>
      </c>
      <c r="F926">
        <f>_xlfn.NUMBERVALUE("-0.000489")</f>
        <v/>
      </c>
      <c r="G926">
        <f>_xlfn.NUMBERVALUE("-0.001146")</f>
        <v/>
      </c>
      <c r="H926">
        <f>_xlfn.NUMBERVALUE("0.001460")</f>
        <v/>
      </c>
      <c r="I926">
        <f>_xlfn.NUMBERVALUE("0.000291")</f>
        <v/>
      </c>
      <c r="J926">
        <f>_xlfn.NUMBERVALUE("-0.001577")</f>
        <v/>
      </c>
      <c r="K926">
        <f>_xlfn.NUMBERVALUE("-0.000089")</f>
        <v/>
      </c>
      <c r="L926">
        <f>_xlfn.NUMBERVALUE("-0.000659")</f>
        <v/>
      </c>
      <c r="M926">
        <f>_xlfn.NUMBERVALUE("0.000515")</f>
        <v/>
      </c>
      <c r="N926">
        <f>_xlfn.NUMBERVALUE("0.002707")</f>
        <v/>
      </c>
      <c r="O926">
        <f>_xlfn.NUMBERVALUE("0.000143")</f>
        <v/>
      </c>
      <c r="P926">
        <f>_xlfn.NUMBERVALUE("0.003076")</f>
        <v/>
      </c>
      <c r="Q926">
        <f>_xlfn.NUMBERVALUE("0.002166")</f>
        <v/>
      </c>
      <c r="R926">
        <f>_xlfn.NUMBERVALUE("0.001665")</f>
        <v/>
      </c>
      <c r="S926">
        <f>_xlfn.NUMBERVALUE("0.000743")</f>
        <v/>
      </c>
      <c r="T926">
        <f>_xlfn.NUMBERVALUE("0.000339")</f>
        <v/>
      </c>
      <c r="U926">
        <f>_xlfn.NUMBERVALUE("0.000767")</f>
        <v/>
      </c>
      <c r="V926">
        <f>_xlfn.NUMBERVALUE("0.000480")</f>
        <v/>
      </c>
      <c r="W926">
        <f>_xlfn.NUMBERVALUE("-0.000703")</f>
        <v/>
      </c>
      <c r="X926">
        <f>_xlfn.NUMBERVALUE("0.300000")</f>
        <v/>
      </c>
      <c r="Y926">
        <f>_xlfn.NUMBERVALUE("13.160000")</f>
        <v/>
      </c>
    </row>
    <row r="927">
      <c r="A927" s="1" t="n">
        <v>43348</v>
      </c>
      <c r="B927">
        <f>_xlfn.NUMBERVALUE("-0.015733")</f>
        <v/>
      </c>
      <c r="C927" s="2">
        <f>_xlfn.NUMBERVALUE("0.000082")</f>
        <v/>
      </c>
      <c r="D927">
        <f>_xlfn.NUMBERVALUE("0.000903")</f>
        <v/>
      </c>
      <c r="E927">
        <f>_xlfn.NUMBERVALUE("-0.000014")</f>
        <v/>
      </c>
      <c r="F927">
        <f>_xlfn.NUMBERVALUE("0.000357")</f>
        <v/>
      </c>
      <c r="G927">
        <f>_xlfn.NUMBERVALUE("-0.000109")</f>
        <v/>
      </c>
      <c r="H927">
        <f>_xlfn.NUMBERVALUE("-0.000183")</f>
        <v/>
      </c>
      <c r="I927">
        <f>_xlfn.NUMBERVALUE("0.001042")</f>
        <v/>
      </c>
      <c r="J927">
        <f>_xlfn.NUMBERVALUE("0.000258")</f>
        <v/>
      </c>
      <c r="K927">
        <f>_xlfn.NUMBERVALUE("0.001195")</f>
        <v/>
      </c>
      <c r="L927">
        <f>_xlfn.NUMBERVALUE("0.002606")</f>
        <v/>
      </c>
      <c r="M927">
        <f>_xlfn.NUMBERVALUE("0.001463")</f>
        <v/>
      </c>
      <c r="N927">
        <f>_xlfn.NUMBERVALUE("-0.001418")</f>
        <v/>
      </c>
      <c r="O927">
        <f>_xlfn.NUMBERVALUE("0.000291")</f>
        <v/>
      </c>
      <c r="P927">
        <f>_xlfn.NUMBERVALUE("0.001504")</f>
        <v/>
      </c>
      <c r="Q927">
        <f>_xlfn.NUMBERVALUE("-0.000299")</f>
        <v/>
      </c>
      <c r="R927">
        <f>_xlfn.NUMBERVALUE("-0.000232")</f>
        <v/>
      </c>
      <c r="S927">
        <f>_xlfn.NUMBERVALUE("-0.004278")</f>
        <v/>
      </c>
      <c r="T927">
        <f>_xlfn.NUMBERVALUE("-0.001846")</f>
        <v/>
      </c>
      <c r="U927">
        <f>_xlfn.NUMBERVALUE("0.000031")</f>
        <v/>
      </c>
      <c r="V927">
        <f>_xlfn.NUMBERVALUE("0.000581")</f>
        <v/>
      </c>
      <c r="W927">
        <f>_xlfn.NUMBERVALUE("-0.002406")</f>
        <v/>
      </c>
      <c r="X927">
        <f>_xlfn.NUMBERVALUE("0.750000")</f>
        <v/>
      </c>
      <c r="Y927">
        <f>_xlfn.NUMBERVALUE("13.910000")</f>
        <v/>
      </c>
    </row>
    <row r="928">
      <c r="A928" s="1" t="n">
        <v>43349</v>
      </c>
      <c r="B928">
        <f>_xlfn.NUMBERVALUE("0.005897")</f>
        <v/>
      </c>
      <c r="C928" s="2">
        <f>_xlfn.NUMBERVALUE("-0.000446")</f>
        <v/>
      </c>
      <c r="D928">
        <f>_xlfn.NUMBERVALUE("0.001999")</f>
        <v/>
      </c>
      <c r="E928">
        <f>_xlfn.NUMBERVALUE("0.000752")</f>
        <v/>
      </c>
      <c r="F928">
        <f>_xlfn.NUMBERVALUE("-0.000108")</f>
        <v/>
      </c>
      <c r="G928">
        <f>_xlfn.NUMBERVALUE("0.000091")</f>
        <v/>
      </c>
      <c r="H928">
        <f>_xlfn.NUMBERVALUE("0.000965")</f>
        <v/>
      </c>
      <c r="I928">
        <f>_xlfn.NUMBERVALUE("-0.000016")</f>
        <v/>
      </c>
      <c r="J928">
        <f>_xlfn.NUMBERVALUE("-0.000123")</f>
        <v/>
      </c>
      <c r="K928">
        <f>_xlfn.NUMBERVALUE("0.000447")</f>
        <v/>
      </c>
      <c r="L928">
        <f>_xlfn.NUMBERVALUE("0.000096")</f>
        <v/>
      </c>
      <c r="M928">
        <f>_xlfn.NUMBERVALUE("0.002693")</f>
        <v/>
      </c>
      <c r="N928">
        <f>_xlfn.NUMBERVALUE("0.000856")</f>
        <v/>
      </c>
      <c r="O928">
        <f>_xlfn.NUMBERVALUE("-0.000777")</f>
        <v/>
      </c>
      <c r="P928">
        <f>_xlfn.NUMBERVALUE("0.001561")</f>
        <v/>
      </c>
      <c r="Q928">
        <f>_xlfn.NUMBERVALUE("0.000138")</f>
        <v/>
      </c>
      <c r="R928">
        <f>_xlfn.NUMBERVALUE("0.001821")</f>
        <v/>
      </c>
      <c r="S928">
        <f>_xlfn.NUMBERVALUE("0.000376")</f>
        <v/>
      </c>
      <c r="T928">
        <f>_xlfn.NUMBERVALUE("-0.000062")</f>
        <v/>
      </c>
      <c r="U928">
        <f>_xlfn.NUMBERVALUE("0.000670")</f>
        <v/>
      </c>
      <c r="V928">
        <f>_xlfn.NUMBERVALUE("-0.000073")</f>
        <v/>
      </c>
      <c r="W928">
        <f>_xlfn.NUMBERVALUE("-0.002041")</f>
        <v/>
      </c>
      <c r="X928">
        <f>_xlfn.NUMBERVALUE("0.740000")</f>
        <v/>
      </c>
      <c r="Y928">
        <f>_xlfn.NUMBERVALUE("14.650000")</f>
        <v/>
      </c>
    </row>
    <row r="929">
      <c r="A929" s="1" t="n">
        <v>43350</v>
      </c>
      <c r="B929">
        <f>_xlfn.NUMBERVALUE("-0.003364")</f>
        <v/>
      </c>
      <c r="C929" s="2">
        <f>_xlfn.NUMBERVALUE("0.000243")</f>
        <v/>
      </c>
      <c r="D929">
        <f>_xlfn.NUMBERVALUE("0.000643")</f>
        <v/>
      </c>
      <c r="E929">
        <f>_xlfn.NUMBERVALUE("0.000135")</f>
        <v/>
      </c>
      <c r="F929">
        <f>_xlfn.NUMBERVALUE("0.000879")</f>
        <v/>
      </c>
      <c r="G929">
        <f>_xlfn.NUMBERVALUE("0.000137")</f>
        <v/>
      </c>
      <c r="H929">
        <f>_xlfn.NUMBERVALUE("-0.000502")</f>
        <v/>
      </c>
      <c r="I929">
        <f>_xlfn.NUMBERVALUE("0.000877")</f>
        <v/>
      </c>
      <c r="J929">
        <f>_xlfn.NUMBERVALUE("0.000254")</f>
        <v/>
      </c>
      <c r="K929">
        <f>_xlfn.NUMBERVALUE("0.000822")</f>
        <v/>
      </c>
      <c r="L929">
        <f>_xlfn.NUMBERVALUE("-0.000478")</f>
        <v/>
      </c>
      <c r="M929">
        <f>_xlfn.NUMBERVALUE("-0.001228")</f>
        <v/>
      </c>
      <c r="N929">
        <f>_xlfn.NUMBERVALUE("-0.000076")</f>
        <v/>
      </c>
      <c r="O929">
        <f>_xlfn.NUMBERVALUE("0.000001")</f>
        <v/>
      </c>
      <c r="P929">
        <f>_xlfn.NUMBERVALUE("0.001924")</f>
        <v/>
      </c>
      <c r="Q929">
        <f>_xlfn.NUMBERVALUE("0.000836")</f>
        <v/>
      </c>
      <c r="R929">
        <f>_xlfn.NUMBERVALUE("0.002630")</f>
        <v/>
      </c>
      <c r="S929">
        <f>_xlfn.NUMBERVALUE("0.001184")</f>
        <v/>
      </c>
      <c r="T929">
        <f>_xlfn.NUMBERVALUE("-0.000005")</f>
        <v/>
      </c>
      <c r="U929">
        <f>_xlfn.NUMBERVALUE("0.000570")</f>
        <v/>
      </c>
      <c r="V929">
        <f>_xlfn.NUMBERVALUE("0.000541")</f>
        <v/>
      </c>
      <c r="W929">
        <f>_xlfn.NUMBERVALUE("-0.003051")</f>
        <v/>
      </c>
      <c r="X929">
        <f>_xlfn.NUMBERVALUE("0.230000")</f>
        <v/>
      </c>
      <c r="Y929">
        <f>_xlfn.NUMBERVALUE("14.880000")</f>
        <v/>
      </c>
    </row>
    <row r="930">
      <c r="A930" s="1" t="n">
        <v>43353</v>
      </c>
      <c r="B930">
        <f>_xlfn.NUMBERVALUE("0.001576")</f>
        <v/>
      </c>
      <c r="C930" s="2">
        <f>_xlfn.NUMBERVALUE("0.002566")</f>
        <v/>
      </c>
      <c r="D930">
        <f>_xlfn.NUMBERVALUE("0.002192")</f>
        <v/>
      </c>
      <c r="E930">
        <f>_xlfn.NUMBERVALUE("0.001302")</f>
        <v/>
      </c>
      <c r="F930">
        <f>_xlfn.NUMBERVALUE("0.001169")</f>
        <v/>
      </c>
      <c r="G930">
        <f>_xlfn.NUMBERVALUE("0.000519")</f>
        <v/>
      </c>
      <c r="H930">
        <f>_xlfn.NUMBERVALUE("-0.000314")</f>
        <v/>
      </c>
      <c r="I930">
        <f>_xlfn.NUMBERVALUE("0.001421")</f>
        <v/>
      </c>
      <c r="J930">
        <f>_xlfn.NUMBERVALUE("-0.000218")</f>
        <v/>
      </c>
      <c r="K930">
        <f>_xlfn.NUMBERVALUE("0.001992")</f>
        <v/>
      </c>
      <c r="L930">
        <f>_xlfn.NUMBERVALUE("0.000942")</f>
        <v/>
      </c>
      <c r="M930">
        <f>_xlfn.NUMBERVALUE("0.003208")</f>
        <v/>
      </c>
      <c r="N930">
        <f>_xlfn.NUMBERVALUE("0.002185")</f>
        <v/>
      </c>
      <c r="O930">
        <f>_xlfn.NUMBERVALUE("0.002996")</f>
        <v/>
      </c>
      <c r="P930">
        <f>_xlfn.NUMBERVALUE("0.001716")</f>
        <v/>
      </c>
      <c r="Q930">
        <f>_xlfn.NUMBERVALUE("0.000973")</f>
        <v/>
      </c>
      <c r="R930">
        <f>_xlfn.NUMBERVALUE("0.003200")</f>
        <v/>
      </c>
      <c r="S930">
        <f>_xlfn.NUMBERVALUE("0.000000")</f>
        <v/>
      </c>
      <c r="T930">
        <f>_xlfn.NUMBERVALUE("0.000613")</f>
        <v/>
      </c>
      <c r="U930">
        <f>_xlfn.NUMBERVALUE("0.002135")</f>
        <v/>
      </c>
      <c r="V930">
        <f>_xlfn.NUMBERVALUE("0.001720")</f>
        <v/>
      </c>
      <c r="W930">
        <f>_xlfn.NUMBERVALUE("0.002121")</f>
        <v/>
      </c>
      <c r="X930">
        <f>_xlfn.NUMBERVALUE("-0.720000")</f>
        <v/>
      </c>
      <c r="Y930">
        <f>_xlfn.NUMBERVALUE("14.160000")</f>
        <v/>
      </c>
    </row>
    <row r="931">
      <c r="A931" s="1" t="n">
        <v>43354</v>
      </c>
      <c r="B931">
        <f>_xlfn.NUMBERVALUE("-0.009352")</f>
        <v/>
      </c>
      <c r="C931" s="2">
        <f>_xlfn.NUMBERVALUE("0.001249")</f>
        <v/>
      </c>
      <c r="D931">
        <f>_xlfn.NUMBERVALUE("0.001471")</f>
        <v/>
      </c>
      <c r="E931">
        <f>_xlfn.NUMBERVALUE("0.000748")</f>
        <v/>
      </c>
      <c r="F931">
        <f>_xlfn.NUMBERVALUE("0.000507")</f>
        <v/>
      </c>
      <c r="G931">
        <f>_xlfn.NUMBERVALUE("0.000363")</f>
        <v/>
      </c>
      <c r="H931">
        <f>_xlfn.NUMBERVALUE("0.000439")</f>
        <v/>
      </c>
      <c r="I931">
        <f>_xlfn.NUMBERVALUE("0.001282")</f>
        <v/>
      </c>
      <c r="J931">
        <f>_xlfn.NUMBERVALUE("0.000651")</f>
        <v/>
      </c>
      <c r="K931">
        <f>_xlfn.NUMBERVALUE("-0.000054")</f>
        <v/>
      </c>
      <c r="L931">
        <f>_xlfn.NUMBERVALUE("-0.000101")</f>
        <v/>
      </c>
      <c r="M931">
        <f>_xlfn.NUMBERVALUE("0.000892")</f>
        <v/>
      </c>
      <c r="N931">
        <f>_xlfn.NUMBERVALUE("0.000452")</f>
        <v/>
      </c>
      <c r="O931">
        <f>_xlfn.NUMBERVALUE("-0.001185")</f>
        <v/>
      </c>
      <c r="P931">
        <f>_xlfn.NUMBERVALUE("0.001567")</f>
        <v/>
      </c>
      <c r="Q931">
        <f>_xlfn.NUMBERVALUE("0.001451")</f>
        <v/>
      </c>
      <c r="R931">
        <f>_xlfn.NUMBERVALUE("0.000842")</f>
        <v/>
      </c>
      <c r="S931">
        <f>_xlfn.NUMBERVALUE("0.001499")</f>
        <v/>
      </c>
      <c r="T931">
        <f>_xlfn.NUMBERVALUE("0.000054")</f>
        <v/>
      </c>
      <c r="U931">
        <f>_xlfn.NUMBERVALUE("-0.000126")</f>
        <v/>
      </c>
      <c r="V931">
        <f>_xlfn.NUMBERVALUE("0.000721")</f>
        <v/>
      </c>
      <c r="W931">
        <f>_xlfn.NUMBERVALUE("0.003609")</f>
        <v/>
      </c>
      <c r="X931">
        <f>_xlfn.NUMBERVALUE("-0.940000")</f>
        <v/>
      </c>
      <c r="Y931">
        <f>_xlfn.NUMBERVALUE("13.220000")</f>
        <v/>
      </c>
    </row>
    <row r="932">
      <c r="A932" s="1" t="n">
        <v>43355</v>
      </c>
      <c r="B932">
        <f>_xlfn.NUMBERVALUE("0.003380")</f>
        <v/>
      </c>
      <c r="C932" s="2">
        <f>_xlfn.NUMBERVALUE("0.000785")</f>
        <v/>
      </c>
      <c r="D932">
        <f>_xlfn.NUMBERVALUE("-0.000672")</f>
        <v/>
      </c>
      <c r="E932">
        <f>_xlfn.NUMBERVALUE("0.000080")</f>
        <v/>
      </c>
      <c r="F932">
        <f>_xlfn.NUMBERVALUE("-0.000630")</f>
        <v/>
      </c>
      <c r="G932">
        <f>_xlfn.NUMBERVALUE("0.000001")</f>
        <v/>
      </c>
      <c r="H932">
        <f>_xlfn.NUMBERVALUE("0.000238")</f>
        <v/>
      </c>
      <c r="I932">
        <f>_xlfn.NUMBERVALUE("0.001180")</f>
        <v/>
      </c>
      <c r="J932">
        <f>_xlfn.NUMBERVALUE("-0.000403")</f>
        <v/>
      </c>
      <c r="K932">
        <f>_xlfn.NUMBERVALUE("-0.000335")</f>
        <v/>
      </c>
      <c r="L932">
        <f>_xlfn.NUMBERVALUE("0.000688")</f>
        <v/>
      </c>
      <c r="M932">
        <f>_xlfn.NUMBERVALUE("0.001350")</f>
        <v/>
      </c>
      <c r="N932">
        <f>_xlfn.NUMBERVALUE("0.001656")</f>
        <v/>
      </c>
      <c r="O932">
        <f>_xlfn.NUMBERVALUE("0.000800")</f>
        <v/>
      </c>
      <c r="P932">
        <f>_xlfn.NUMBERVALUE("0.001364")</f>
        <v/>
      </c>
      <c r="Q932">
        <f>_xlfn.NUMBERVALUE("0.000527")</f>
        <v/>
      </c>
      <c r="R932">
        <f>_xlfn.NUMBERVALUE("0.001352")</f>
        <v/>
      </c>
      <c r="S932">
        <f>_xlfn.NUMBERVALUE("-0.002707")</f>
        <v/>
      </c>
      <c r="T932">
        <f>_xlfn.NUMBERVALUE("0.001803")</f>
        <v/>
      </c>
      <c r="U932">
        <f>_xlfn.NUMBERVALUE("0.000823")</f>
        <v/>
      </c>
      <c r="V932">
        <f>_xlfn.NUMBERVALUE("0.001169")</f>
        <v/>
      </c>
      <c r="W932">
        <f>_xlfn.NUMBERVALUE("0.000813")</f>
        <v/>
      </c>
      <c r="X932">
        <f>_xlfn.NUMBERVALUE("-0.080000")</f>
        <v/>
      </c>
      <c r="Y932">
        <f>_xlfn.NUMBERVALUE("13.140000")</f>
        <v/>
      </c>
    </row>
    <row r="933">
      <c r="A933" s="1" t="n">
        <v>43356</v>
      </c>
      <c r="B933">
        <f>_xlfn.NUMBERVALUE("-0.015114")</f>
        <v/>
      </c>
      <c r="C933" s="2">
        <f>_xlfn.NUMBERVALUE("0.000487")</f>
        <v/>
      </c>
      <c r="D933">
        <f>_xlfn.NUMBERVALUE("-0.000045")</f>
        <v/>
      </c>
      <c r="E933">
        <f>_xlfn.NUMBERVALUE("-0.000445")</f>
        <v/>
      </c>
      <c r="F933">
        <f>_xlfn.NUMBERVALUE("0.000409")</f>
        <v/>
      </c>
      <c r="G933">
        <f>_xlfn.NUMBERVALUE("-0.000048")</f>
        <v/>
      </c>
      <c r="H933">
        <f>_xlfn.NUMBERVALUE("-0.000695")</f>
        <v/>
      </c>
      <c r="I933">
        <f>_xlfn.NUMBERVALUE("0.000642")</f>
        <v/>
      </c>
      <c r="J933">
        <f>_xlfn.NUMBERVALUE("0.000113")</f>
        <v/>
      </c>
      <c r="K933">
        <f>_xlfn.NUMBERVALUE("0.001318")</f>
        <v/>
      </c>
      <c r="L933">
        <f>_xlfn.NUMBERVALUE("0.000644")</f>
        <v/>
      </c>
      <c r="M933">
        <f>_xlfn.NUMBERVALUE("0.001451")</f>
        <v/>
      </c>
      <c r="N933">
        <f>_xlfn.NUMBERVALUE("0.000375")</f>
        <v/>
      </c>
      <c r="O933">
        <f>_xlfn.NUMBERVALUE("0.001941")</f>
        <v/>
      </c>
      <c r="P933">
        <f>_xlfn.NUMBERVALUE("0.000247")</f>
        <v/>
      </c>
      <c r="Q933">
        <f>_xlfn.NUMBERVALUE("0.001223")</f>
        <v/>
      </c>
      <c r="R933">
        <f>_xlfn.NUMBERVALUE("0.000142")</f>
        <v/>
      </c>
      <c r="S933">
        <f>_xlfn.NUMBERVALUE("0.001699")</f>
        <v/>
      </c>
      <c r="T933">
        <f>_xlfn.NUMBERVALUE("0.000259")</f>
        <v/>
      </c>
      <c r="U933">
        <f>_xlfn.NUMBERVALUE("0.001965")</f>
        <v/>
      </c>
      <c r="V933">
        <f>_xlfn.NUMBERVALUE("-0.000037")</f>
        <v/>
      </c>
      <c r="W933">
        <f>_xlfn.NUMBERVALUE("0.003576")</f>
        <v/>
      </c>
      <c r="X933">
        <f>_xlfn.NUMBERVALUE("-0.770000")</f>
        <v/>
      </c>
      <c r="Y933">
        <f>_xlfn.NUMBERVALUE("12.370000")</f>
        <v/>
      </c>
    </row>
    <row r="934">
      <c r="A934" s="1" t="n">
        <v>43357</v>
      </c>
      <c r="B934">
        <f>_xlfn.NUMBERVALUE("0.000000")</f>
        <v/>
      </c>
      <c r="C934" s="2">
        <f>_xlfn.NUMBERVALUE("0.001212")</f>
        <v/>
      </c>
      <c r="D934">
        <f>_xlfn.NUMBERVALUE("0.001178")</f>
        <v/>
      </c>
      <c r="E934">
        <f>_xlfn.NUMBERVALUE("0.001629")</f>
        <v/>
      </c>
      <c r="F934">
        <f>_xlfn.NUMBERVALUE("0.000332")</f>
        <v/>
      </c>
      <c r="G934">
        <f>_xlfn.NUMBERVALUE("-0.000042")</f>
        <v/>
      </c>
      <c r="H934">
        <f>_xlfn.NUMBERVALUE("-0.000180")</f>
        <v/>
      </c>
      <c r="I934">
        <f>_xlfn.NUMBERVALUE("0.000631")</f>
        <v/>
      </c>
      <c r="J934">
        <f>_xlfn.NUMBERVALUE("0.000795")</f>
        <v/>
      </c>
      <c r="K934">
        <f>_xlfn.NUMBERVALUE("0.000425")</f>
        <v/>
      </c>
      <c r="L934">
        <f>_xlfn.NUMBERVALUE("-0.000442")</f>
        <v/>
      </c>
      <c r="M934">
        <f>_xlfn.NUMBERVALUE("0.001541")</f>
        <v/>
      </c>
      <c r="N934">
        <f>_xlfn.NUMBERVALUE("0.000200")</f>
        <v/>
      </c>
      <c r="O934">
        <f>_xlfn.NUMBERVALUE("0.000798")</f>
        <v/>
      </c>
      <c r="P934">
        <f>_xlfn.NUMBERVALUE("0.001714")</f>
        <v/>
      </c>
      <c r="Q934">
        <f>_xlfn.NUMBERVALUE("-0.000076")</f>
        <v/>
      </c>
      <c r="R934">
        <f>_xlfn.NUMBERVALUE("0.001356")</f>
        <v/>
      </c>
      <c r="S934">
        <f>_xlfn.NUMBERVALUE("0.001156")</f>
        <v/>
      </c>
      <c r="T934">
        <f>_xlfn.NUMBERVALUE("0.001247")</f>
        <v/>
      </c>
      <c r="U934">
        <f>_xlfn.NUMBERVALUE("0.001590")</f>
        <v/>
      </c>
      <c r="V934">
        <f>_xlfn.NUMBERVALUE("0.001066")</f>
        <v/>
      </c>
      <c r="W934">
        <f>_xlfn.NUMBERVALUE("0.001343")</f>
        <v/>
      </c>
      <c r="X934">
        <f>_xlfn.NUMBERVALUE("-0.300000")</f>
        <v/>
      </c>
      <c r="Y934">
        <f>_xlfn.NUMBERVALUE("12.070000")</f>
        <v/>
      </c>
    </row>
    <row r="935">
      <c r="A935" s="1" t="n">
        <v>43360</v>
      </c>
      <c r="B935">
        <f>_xlfn.NUMBERVALUE("0.000000")</f>
        <v/>
      </c>
      <c r="C935" s="2">
        <f>_xlfn.NUMBERVALUE("-0.001206")</f>
        <v/>
      </c>
      <c r="D935">
        <f>_xlfn.NUMBERVALUE("-0.000098")</f>
        <v/>
      </c>
      <c r="E935">
        <f>_xlfn.NUMBERVALUE("-0.000323")</f>
        <v/>
      </c>
      <c r="F935">
        <f>_xlfn.NUMBERVALUE("0.000640")</f>
        <v/>
      </c>
      <c r="G935">
        <f>_xlfn.NUMBERVALUE("-0.000488")</f>
        <v/>
      </c>
      <c r="H935">
        <f>_xlfn.NUMBERVALUE("0.000852")</f>
        <v/>
      </c>
      <c r="I935">
        <f>_xlfn.NUMBERVALUE("-0.002375")</f>
        <v/>
      </c>
      <c r="J935">
        <f>_xlfn.NUMBERVALUE("0.000140")</f>
        <v/>
      </c>
      <c r="K935">
        <f>_xlfn.NUMBERVALUE("0.002213")</f>
        <v/>
      </c>
      <c r="L935">
        <f>_xlfn.NUMBERVALUE("0.000297")</f>
        <v/>
      </c>
      <c r="M935">
        <f>_xlfn.NUMBERVALUE("0.000294")</f>
        <v/>
      </c>
      <c r="N935">
        <f>_xlfn.NUMBERVALUE("-0.000161")</f>
        <v/>
      </c>
      <c r="O935">
        <f>_xlfn.NUMBERVALUE("-0.000199")</f>
        <v/>
      </c>
      <c r="P935">
        <f>_xlfn.NUMBERVALUE("0.000007")</f>
        <v/>
      </c>
      <c r="Q935">
        <f>_xlfn.NUMBERVALUE("-0.000083")</f>
        <v/>
      </c>
      <c r="R935">
        <f>_xlfn.NUMBERVALUE("-0.001776")</f>
        <v/>
      </c>
      <c r="S935">
        <f>_xlfn.NUMBERVALUE("0.000379")</f>
        <v/>
      </c>
      <c r="T935">
        <f>_xlfn.NUMBERVALUE("0.000061")</f>
        <v/>
      </c>
      <c r="U935">
        <f>_xlfn.NUMBERVALUE("-0.002034")</f>
        <v/>
      </c>
      <c r="V935">
        <f>_xlfn.NUMBERVALUE("-0.001160")</f>
        <v/>
      </c>
      <c r="W935">
        <f>_xlfn.NUMBERVALUE("-0.006222")</f>
        <v/>
      </c>
      <c r="X935">
        <f>_xlfn.NUMBERVALUE("1.610000")</f>
        <v/>
      </c>
      <c r="Y935">
        <f>_xlfn.NUMBERVALUE("13.680000")</f>
        <v/>
      </c>
    </row>
    <row r="936">
      <c r="A936" s="1" t="n">
        <v>43361</v>
      </c>
      <c r="B936">
        <f>_xlfn.NUMBERVALUE("0.000000")</f>
        <v/>
      </c>
      <c r="C936" s="2">
        <f>_xlfn.NUMBERVALUE("-0.001142")</f>
        <v/>
      </c>
      <c r="D936">
        <f>_xlfn.NUMBERVALUE("0.002101")</f>
        <v/>
      </c>
      <c r="E936">
        <f>_xlfn.NUMBERVALUE("-0.001865")</f>
        <v/>
      </c>
      <c r="F936">
        <f>_xlfn.NUMBERVALUE("0.000377")</f>
        <v/>
      </c>
      <c r="G936">
        <f>_xlfn.NUMBERVALUE("0.000342")</f>
        <v/>
      </c>
      <c r="H936">
        <f>_xlfn.NUMBERVALUE("-0.000937")</f>
        <v/>
      </c>
      <c r="I936">
        <f>_xlfn.NUMBERVALUE("0.001063")</f>
        <v/>
      </c>
      <c r="J936">
        <f>_xlfn.NUMBERVALUE("-0.000339")</f>
        <v/>
      </c>
      <c r="K936">
        <f>_xlfn.NUMBERVALUE("0.000659")</f>
        <v/>
      </c>
      <c r="L936">
        <f>_xlfn.NUMBERVALUE("-0.002164")</f>
        <v/>
      </c>
      <c r="M936">
        <f>_xlfn.NUMBERVALUE("0.000584")</f>
        <v/>
      </c>
      <c r="N936">
        <f>_xlfn.NUMBERVALUE("-0.000365")</f>
        <v/>
      </c>
      <c r="O936">
        <f>_xlfn.NUMBERVALUE("0.000597")</f>
        <v/>
      </c>
      <c r="P936">
        <f>_xlfn.NUMBERVALUE("0.000653")</f>
        <v/>
      </c>
      <c r="Q936">
        <f>_xlfn.NUMBERVALUE("-0.000840")</f>
        <v/>
      </c>
      <c r="R936">
        <f>_xlfn.NUMBERVALUE("0.000733")</f>
        <v/>
      </c>
      <c r="S936">
        <f>_xlfn.NUMBERVALUE("0.000602")</f>
        <v/>
      </c>
      <c r="T936">
        <f>_xlfn.NUMBERVALUE("0.001739")</f>
        <v/>
      </c>
      <c r="U936">
        <f>_xlfn.NUMBERVALUE("-0.001830")</f>
        <v/>
      </c>
      <c r="V936">
        <f>_xlfn.NUMBERVALUE("-0.000921")</f>
        <v/>
      </c>
      <c r="W936">
        <f>_xlfn.NUMBERVALUE("0.007403")</f>
        <v/>
      </c>
      <c r="X936">
        <f>_xlfn.NUMBERVALUE("-0.890000")</f>
        <v/>
      </c>
      <c r="Y936">
        <f>_xlfn.NUMBERVALUE("12.790000")</f>
        <v/>
      </c>
    </row>
    <row r="937">
      <c r="A937" s="1" t="n">
        <v>43362</v>
      </c>
      <c r="B937">
        <f>_xlfn.NUMBERVALUE("0.000000")</f>
        <v/>
      </c>
      <c r="C937" s="2">
        <f>_xlfn.NUMBERVALUE("-0.000138")</f>
        <v/>
      </c>
      <c r="D937">
        <f>_xlfn.NUMBERVALUE("-0.000664")</f>
        <v/>
      </c>
      <c r="E937">
        <f>_xlfn.NUMBERVALUE("-0.000654")</f>
        <v/>
      </c>
      <c r="F937">
        <f>_xlfn.NUMBERVALUE("0.000291")</f>
        <v/>
      </c>
      <c r="G937">
        <f>_xlfn.NUMBERVALUE("0.000733")</f>
        <v/>
      </c>
      <c r="H937">
        <f>_xlfn.NUMBERVALUE("-0.000734")</f>
        <v/>
      </c>
      <c r="I937">
        <f>_xlfn.NUMBERVALUE("-0.000357")</f>
        <v/>
      </c>
      <c r="J937">
        <f>_xlfn.NUMBERVALUE("-0.000082")</f>
        <v/>
      </c>
      <c r="K937">
        <f>_xlfn.NUMBERVALUE("0.000604")</f>
        <v/>
      </c>
      <c r="L937">
        <f>_xlfn.NUMBERVALUE("-0.000804")</f>
        <v/>
      </c>
      <c r="M937">
        <f>_xlfn.NUMBERVALUE("-0.001809")</f>
        <v/>
      </c>
      <c r="N937">
        <f>_xlfn.NUMBERVALUE("0.000782")</f>
        <v/>
      </c>
      <c r="O937">
        <f>_xlfn.NUMBERVALUE("0.001224")</f>
        <v/>
      </c>
      <c r="P937">
        <f>_xlfn.NUMBERVALUE("-0.005869")</f>
        <v/>
      </c>
      <c r="Q937">
        <f>_xlfn.NUMBERVALUE("0.000593")</f>
        <v/>
      </c>
      <c r="R937">
        <f>_xlfn.NUMBERVALUE("0.001439")</f>
        <v/>
      </c>
      <c r="S937">
        <f>_xlfn.NUMBERVALUE("0.001234")</f>
        <v/>
      </c>
      <c r="T937">
        <f>_xlfn.NUMBERVALUE("-0.006638")</f>
        <v/>
      </c>
      <c r="U937">
        <f>_xlfn.NUMBERVALUE("0.001128")</f>
        <v/>
      </c>
      <c r="V937">
        <f>_xlfn.NUMBERVALUE("0.001205")</f>
        <v/>
      </c>
      <c r="W937">
        <f>_xlfn.NUMBERVALUE("0.000601")</f>
        <v/>
      </c>
      <c r="X937">
        <f>_xlfn.NUMBERVALUE("-1.040000")</f>
        <v/>
      </c>
      <c r="Y937">
        <f>_xlfn.NUMBERVALUE("11.750000")</f>
        <v/>
      </c>
    </row>
    <row r="938">
      <c r="A938" s="1" t="n">
        <v>43363</v>
      </c>
      <c r="B938">
        <f>_xlfn.NUMBERVALUE("0.000000")</f>
        <v/>
      </c>
      <c r="C938" s="2">
        <f>_xlfn.NUMBERVALUE("-0.001811")</f>
        <v/>
      </c>
      <c r="D938">
        <f>_xlfn.NUMBERVALUE("-0.000590")</f>
        <v/>
      </c>
      <c r="E938">
        <f>_xlfn.NUMBERVALUE("-0.001767")</f>
        <v/>
      </c>
      <c r="F938">
        <f>_xlfn.NUMBERVALUE("0.000308")</f>
        <v/>
      </c>
      <c r="G938">
        <f>_xlfn.NUMBERVALUE("0.000679")</f>
        <v/>
      </c>
      <c r="H938">
        <f>_xlfn.NUMBERVALUE("-0.001141")</f>
        <v/>
      </c>
      <c r="I938">
        <f>_xlfn.NUMBERVALUE("-0.000711")</f>
        <v/>
      </c>
      <c r="J938">
        <f>_xlfn.NUMBERVALUE("-0.000267")</f>
        <v/>
      </c>
      <c r="K938">
        <f>_xlfn.NUMBERVALUE("0.000805")</f>
        <v/>
      </c>
      <c r="L938">
        <f>_xlfn.NUMBERVALUE("0.000224")</f>
        <v/>
      </c>
      <c r="M938">
        <f>_xlfn.NUMBERVALUE("-0.000936")</f>
        <v/>
      </c>
      <c r="N938">
        <f>_xlfn.NUMBERVALUE("0.000480")</f>
        <v/>
      </c>
      <c r="O938">
        <f>_xlfn.NUMBERVALUE("0.001901")</f>
        <v/>
      </c>
      <c r="P938">
        <f>_xlfn.NUMBERVALUE("-0.000699")</f>
        <v/>
      </c>
      <c r="Q938">
        <f>_xlfn.NUMBERVALUE("0.001136")</f>
        <v/>
      </c>
      <c r="R938">
        <f>_xlfn.NUMBERVALUE("-0.001306")</f>
        <v/>
      </c>
      <c r="S938">
        <f>_xlfn.NUMBERVALUE("-0.002245")</f>
        <v/>
      </c>
      <c r="T938">
        <f>_xlfn.NUMBERVALUE("0.000209")</f>
        <v/>
      </c>
      <c r="U938">
        <f>_xlfn.NUMBERVALUE("-0.000497")</f>
        <v/>
      </c>
      <c r="V938">
        <f>_xlfn.NUMBERVALUE("-0.001856")</f>
        <v/>
      </c>
      <c r="W938">
        <f>_xlfn.NUMBERVALUE("0.007859")</f>
        <v/>
      </c>
      <c r="X938">
        <f>_xlfn.NUMBERVALUE("0.050000")</f>
        <v/>
      </c>
      <c r="Y938">
        <f>_xlfn.NUMBERVALUE("11.800000")</f>
        <v/>
      </c>
    </row>
    <row r="939">
      <c r="A939" s="1" t="n">
        <v>43364</v>
      </c>
      <c r="B939">
        <f>_xlfn.NUMBERVALUE("0.000000")</f>
        <v/>
      </c>
      <c r="C939" s="2">
        <f>_xlfn.NUMBERVALUE("-0.001404")</f>
        <v/>
      </c>
      <c r="D939">
        <f>_xlfn.NUMBERVALUE("0.000492")</f>
        <v/>
      </c>
      <c r="E939">
        <f>_xlfn.NUMBERVALUE("0.000453")</f>
        <v/>
      </c>
      <c r="F939">
        <f>_xlfn.NUMBERVALUE("-0.000509")</f>
        <v/>
      </c>
      <c r="G939">
        <f>_xlfn.NUMBERVALUE("0.000232")</f>
        <v/>
      </c>
      <c r="H939">
        <f>_xlfn.NUMBERVALUE("0.001287")</f>
        <v/>
      </c>
      <c r="I939">
        <f>_xlfn.NUMBERVALUE("0.000073")</f>
        <v/>
      </c>
      <c r="J939">
        <f>_xlfn.NUMBERVALUE("0.000547")</f>
        <v/>
      </c>
      <c r="K939">
        <f>_xlfn.NUMBERVALUE("0.001052")</f>
        <v/>
      </c>
      <c r="L939">
        <f>_xlfn.NUMBERVALUE("0.000245")</f>
        <v/>
      </c>
      <c r="M939">
        <f>_xlfn.NUMBERVALUE("-0.002408")</f>
        <v/>
      </c>
      <c r="N939">
        <f>_xlfn.NUMBERVALUE("0.002288")</f>
        <v/>
      </c>
      <c r="O939">
        <f>_xlfn.NUMBERVALUE("-0.004742")</f>
        <v/>
      </c>
      <c r="P939">
        <f>_xlfn.NUMBERVALUE("-0.000793")</f>
        <v/>
      </c>
      <c r="Q939">
        <f>_xlfn.NUMBERVALUE("-0.003000")</f>
        <v/>
      </c>
      <c r="R939">
        <f>_xlfn.NUMBERVALUE("-0.000482")</f>
        <v/>
      </c>
      <c r="S939">
        <f>_xlfn.NUMBERVALUE("-0.002616")</f>
        <v/>
      </c>
      <c r="T939">
        <f>_xlfn.NUMBERVALUE("0.003505")</f>
        <v/>
      </c>
      <c r="U939">
        <f>_xlfn.NUMBERVALUE("-0.001036")</f>
        <v/>
      </c>
      <c r="V939">
        <f>_xlfn.NUMBERVALUE("-0.002135")</f>
        <v/>
      </c>
      <c r="W939">
        <f>_xlfn.NUMBERVALUE("-0.005227")</f>
        <v/>
      </c>
      <c r="X939">
        <f>_xlfn.NUMBERVALUE("-0.120000")</f>
        <v/>
      </c>
      <c r="Y939">
        <f>_xlfn.NUMBERVALUE("11.680000")</f>
        <v/>
      </c>
    </row>
    <row r="940">
      <c r="A940" s="1" t="n">
        <v>43367</v>
      </c>
      <c r="B940">
        <f>_xlfn.NUMBERVALUE("0.000000")</f>
        <v/>
      </c>
      <c r="C940" s="2">
        <f>_xlfn.NUMBERVALUE("0.000937")</f>
        <v/>
      </c>
      <c r="D940">
        <f>_xlfn.NUMBERVALUE("0.000910")</f>
        <v/>
      </c>
      <c r="E940">
        <f>_xlfn.NUMBERVALUE("0.000548")</f>
        <v/>
      </c>
      <c r="F940">
        <f>_xlfn.NUMBERVALUE("0.001160")</f>
        <v/>
      </c>
      <c r="G940">
        <f>_xlfn.NUMBERVALUE("0.000016")</f>
        <v/>
      </c>
      <c r="H940">
        <f>_xlfn.NUMBERVALUE("0.000761")</f>
        <v/>
      </c>
      <c r="I940">
        <f>_xlfn.NUMBERVALUE("-0.000604")</f>
        <v/>
      </c>
      <c r="J940">
        <f>_xlfn.NUMBERVALUE("-0.000167")</f>
        <v/>
      </c>
      <c r="K940">
        <f>_xlfn.NUMBERVALUE("0.003184")</f>
        <v/>
      </c>
      <c r="L940">
        <f>_xlfn.NUMBERVALUE("0.000175")</f>
        <v/>
      </c>
      <c r="M940">
        <f>_xlfn.NUMBERVALUE("0.000815")</f>
        <v/>
      </c>
      <c r="N940">
        <f>_xlfn.NUMBERVALUE("0.000410")</f>
        <v/>
      </c>
      <c r="O940">
        <f>_xlfn.NUMBERVALUE("-0.001001")</f>
        <v/>
      </c>
      <c r="P940">
        <f>_xlfn.NUMBERVALUE("-0.001283")</f>
        <v/>
      </c>
      <c r="Q940">
        <f>_xlfn.NUMBERVALUE("0.000440")</f>
        <v/>
      </c>
      <c r="R940">
        <f>_xlfn.NUMBERVALUE("-0.000239")</f>
        <v/>
      </c>
      <c r="S940">
        <f>_xlfn.NUMBERVALUE("-0.001392")</f>
        <v/>
      </c>
      <c r="T940">
        <f>_xlfn.NUMBERVALUE("-0.001433")</f>
        <v/>
      </c>
      <c r="U940">
        <f>_xlfn.NUMBERVALUE("0.001316")</f>
        <v/>
      </c>
      <c r="V940">
        <f>_xlfn.NUMBERVALUE("0.000614")</f>
        <v/>
      </c>
      <c r="W940">
        <f>_xlfn.NUMBERVALUE("-0.003697")</f>
        <v/>
      </c>
      <c r="X940">
        <f>_xlfn.NUMBERVALUE("0.520000")</f>
        <v/>
      </c>
      <c r="Y940">
        <f>_xlfn.NUMBERVALUE("12.200000")</f>
        <v/>
      </c>
    </row>
    <row r="941">
      <c r="A941" s="1" t="n">
        <v>43368</v>
      </c>
      <c r="B941">
        <f>_xlfn.NUMBERVALUE("0.000000")</f>
        <v/>
      </c>
      <c r="C941" s="2">
        <f>_xlfn.NUMBERVALUE("0.000748")</f>
        <v/>
      </c>
      <c r="D941">
        <f>_xlfn.NUMBERVALUE("-0.000164")</f>
        <v/>
      </c>
      <c r="E941">
        <f>_xlfn.NUMBERVALUE("0.000167")</f>
        <v/>
      </c>
      <c r="F941">
        <f>_xlfn.NUMBERVALUE("0.000599")</f>
        <v/>
      </c>
      <c r="G941">
        <f>_xlfn.NUMBERVALUE("0.000853")</f>
        <v/>
      </c>
      <c r="H941">
        <f>_xlfn.NUMBERVALUE("-0.000072")</f>
        <v/>
      </c>
      <c r="I941">
        <f>_xlfn.NUMBERVALUE("0.000633")</f>
        <v/>
      </c>
      <c r="J941">
        <f>_xlfn.NUMBERVALUE("0.000727")</f>
        <v/>
      </c>
      <c r="K941">
        <f>_xlfn.NUMBERVALUE("-0.001115")</f>
        <v/>
      </c>
      <c r="L941">
        <f>_xlfn.NUMBERVALUE("-0.000136")</f>
        <v/>
      </c>
      <c r="M941">
        <f>_xlfn.NUMBERVALUE("0.000567")</f>
        <v/>
      </c>
      <c r="N941">
        <f>_xlfn.NUMBERVALUE("0.002082")</f>
        <v/>
      </c>
      <c r="O941">
        <f>_xlfn.NUMBERVALUE("-0.000164")</f>
        <v/>
      </c>
      <c r="P941">
        <f>_xlfn.NUMBERVALUE("0.000612")</f>
        <v/>
      </c>
      <c r="Q941">
        <f>_xlfn.NUMBERVALUE("0.000623")</f>
        <v/>
      </c>
      <c r="R941">
        <f>_xlfn.NUMBERVALUE("0.001295")</f>
        <v/>
      </c>
      <c r="S941">
        <f>_xlfn.NUMBERVALUE("0.001092")</f>
        <v/>
      </c>
      <c r="T941">
        <f>_xlfn.NUMBERVALUE("-0.001330")</f>
        <v/>
      </c>
      <c r="U941">
        <f>_xlfn.NUMBERVALUE("0.000595")</f>
        <v/>
      </c>
      <c r="V941">
        <f>_xlfn.NUMBERVALUE("0.000884")</f>
        <v/>
      </c>
      <c r="W941">
        <f>_xlfn.NUMBERVALUE("-0.000515")</f>
        <v/>
      </c>
      <c r="X941">
        <f>_xlfn.NUMBERVALUE("0.220000")</f>
        <v/>
      </c>
      <c r="Y941">
        <f>_xlfn.NUMBERVALUE("12.420000")</f>
        <v/>
      </c>
    </row>
    <row r="942">
      <c r="A942" s="1" t="n">
        <v>43369</v>
      </c>
      <c r="B942">
        <f>_xlfn.NUMBERVALUE("0.000000")</f>
        <v/>
      </c>
      <c r="C942" s="2">
        <f>_xlfn.NUMBERVALUE("0.000720")</f>
        <v/>
      </c>
      <c r="D942">
        <f>_xlfn.NUMBERVALUE("0.001755")</f>
        <v/>
      </c>
      <c r="E942">
        <f>_xlfn.NUMBERVALUE("0.000660")</f>
        <v/>
      </c>
      <c r="F942">
        <f>_xlfn.NUMBERVALUE("0.000377")</f>
        <v/>
      </c>
      <c r="G942">
        <f>_xlfn.NUMBERVALUE("-0.000697")</f>
        <v/>
      </c>
      <c r="H942">
        <f>_xlfn.NUMBERVALUE("0.000057")</f>
        <v/>
      </c>
      <c r="I942">
        <f>_xlfn.NUMBERVALUE("0.000895")</f>
        <v/>
      </c>
      <c r="J942">
        <f>_xlfn.NUMBERVALUE("-0.000266")</f>
        <v/>
      </c>
      <c r="K942">
        <f>_xlfn.NUMBERVALUE("0.001318")</f>
        <v/>
      </c>
      <c r="L942">
        <f>_xlfn.NUMBERVALUE("0.000431")</f>
        <v/>
      </c>
      <c r="M942">
        <f>_xlfn.NUMBERVALUE("0.000699")</f>
        <v/>
      </c>
      <c r="N942">
        <f>_xlfn.NUMBERVALUE("0.000409")</f>
        <v/>
      </c>
      <c r="O942">
        <f>_xlfn.NUMBERVALUE("0.000327")</f>
        <v/>
      </c>
      <c r="P942">
        <f>_xlfn.NUMBERVALUE("-0.001263")</f>
        <v/>
      </c>
      <c r="Q942">
        <f>_xlfn.NUMBERVALUE("0.000898")</f>
        <v/>
      </c>
      <c r="R942">
        <f>_xlfn.NUMBERVALUE("0.000691")</f>
        <v/>
      </c>
      <c r="S942">
        <f>_xlfn.NUMBERVALUE("-0.000147")</f>
        <v/>
      </c>
      <c r="T942">
        <f>_xlfn.NUMBERVALUE("-0.000241")</f>
        <v/>
      </c>
      <c r="U942">
        <f>_xlfn.NUMBERVALUE("-0.000171")</f>
        <v/>
      </c>
      <c r="V942">
        <f>_xlfn.NUMBERVALUE("0.000708")</f>
        <v/>
      </c>
      <c r="W942">
        <f>_xlfn.NUMBERVALUE("-0.000457")</f>
        <v/>
      </c>
      <c r="X942">
        <f>_xlfn.NUMBERVALUE("0.470000")</f>
        <v/>
      </c>
      <c r="Y942">
        <f>_xlfn.NUMBERVALUE("12.890000")</f>
        <v/>
      </c>
    </row>
    <row r="943">
      <c r="A943" s="1" t="n">
        <v>43370</v>
      </c>
      <c r="B943">
        <f>_xlfn.NUMBERVALUE("0.000000")</f>
        <v/>
      </c>
      <c r="C943" s="2">
        <f>_xlfn.NUMBERVALUE("0.000901")</f>
        <v/>
      </c>
      <c r="D943">
        <f>_xlfn.NUMBERVALUE("0.003208")</f>
        <v/>
      </c>
      <c r="E943">
        <f>_xlfn.NUMBERVALUE("0.000490")</f>
        <v/>
      </c>
      <c r="F943">
        <f>_xlfn.NUMBERVALUE("-0.001590")</f>
        <v/>
      </c>
      <c r="G943">
        <f>_xlfn.NUMBERVALUE("0.000049")</f>
        <v/>
      </c>
      <c r="H943">
        <f>_xlfn.NUMBERVALUE("-0.000287")</f>
        <v/>
      </c>
      <c r="I943">
        <f>_xlfn.NUMBERVALUE("-0.000109")</f>
        <v/>
      </c>
      <c r="J943">
        <f>_xlfn.NUMBERVALUE("0.000008")</f>
        <v/>
      </c>
      <c r="K943">
        <f>_xlfn.NUMBERVALUE("0.000298")</f>
        <v/>
      </c>
      <c r="L943">
        <f>_xlfn.NUMBERVALUE("0.000044")</f>
        <v/>
      </c>
      <c r="M943">
        <f>_xlfn.NUMBERVALUE("-0.000182")</f>
        <v/>
      </c>
      <c r="N943">
        <f>_xlfn.NUMBERVALUE("0.000355")</f>
        <v/>
      </c>
      <c r="O943">
        <f>_xlfn.NUMBERVALUE("0.000824")</f>
        <v/>
      </c>
      <c r="P943">
        <f>_xlfn.NUMBERVALUE("0.000237")</f>
        <v/>
      </c>
      <c r="Q943">
        <f>_xlfn.NUMBERVALUE("0.000959")</f>
        <v/>
      </c>
      <c r="R943">
        <f>_xlfn.NUMBERVALUE("0.001023")</f>
        <v/>
      </c>
      <c r="S943">
        <f>_xlfn.NUMBERVALUE("0.001128")</f>
        <v/>
      </c>
      <c r="T943">
        <f>_xlfn.NUMBERVALUE("0.000233")</f>
        <v/>
      </c>
      <c r="U943">
        <f>_xlfn.NUMBERVALUE("0.000860")</f>
        <v/>
      </c>
      <c r="V943">
        <f>_xlfn.NUMBERVALUE("0.001149")</f>
        <v/>
      </c>
      <c r="W943">
        <f>_xlfn.NUMBERVALUE("-0.000953")</f>
        <v/>
      </c>
      <c r="X943">
        <f>_xlfn.NUMBERVALUE("-0.480000")</f>
        <v/>
      </c>
      <c r="Y943">
        <f>_xlfn.NUMBERVALUE("12.410000")</f>
        <v/>
      </c>
    </row>
    <row r="944">
      <c r="A944" s="1" t="n">
        <v>43371</v>
      </c>
      <c r="B944">
        <f>_xlfn.NUMBERVALUE("0.000000")</f>
        <v/>
      </c>
      <c r="C944" s="2">
        <f>_xlfn.NUMBERVALUE("0.001213")</f>
        <v/>
      </c>
      <c r="D944">
        <f>_xlfn.NUMBERVALUE("0.000203")</f>
        <v/>
      </c>
      <c r="E944">
        <f>_xlfn.NUMBERVALUE("-0.000761")</f>
        <v/>
      </c>
      <c r="F944">
        <f>_xlfn.NUMBERVALUE("0.000228")</f>
        <v/>
      </c>
      <c r="G944">
        <f>_xlfn.NUMBERVALUE("0.000551")</f>
        <v/>
      </c>
      <c r="H944">
        <f>_xlfn.NUMBERVALUE("0.000277")</f>
        <v/>
      </c>
      <c r="I944">
        <f>_xlfn.NUMBERVALUE("0.000776")</f>
        <v/>
      </c>
      <c r="J944">
        <f>_xlfn.NUMBERVALUE("-0.000185")</f>
        <v/>
      </c>
      <c r="K944">
        <f>_xlfn.NUMBERVALUE("-0.011772")</f>
        <v/>
      </c>
      <c r="L944">
        <f>_xlfn.NUMBERVALUE("-0.000124")</f>
        <v/>
      </c>
      <c r="M944">
        <f>_xlfn.NUMBERVALUE("0.000307")</f>
        <v/>
      </c>
      <c r="N944">
        <f>_xlfn.NUMBERVALUE("0.001027")</f>
        <v/>
      </c>
      <c r="O944">
        <f>_xlfn.NUMBERVALUE("0.000314")</f>
        <v/>
      </c>
      <c r="P944">
        <f>_xlfn.NUMBERVALUE("-0.000428")</f>
        <v/>
      </c>
      <c r="Q944">
        <f>_xlfn.NUMBERVALUE("0.001387")</f>
        <v/>
      </c>
      <c r="R944">
        <f>_xlfn.NUMBERVALUE("0.000850")</f>
        <v/>
      </c>
      <c r="S944">
        <f>_xlfn.NUMBERVALUE("0.000948")</f>
        <v/>
      </c>
      <c r="T944">
        <f>_xlfn.NUMBERVALUE("0.000138")</f>
        <v/>
      </c>
      <c r="U944">
        <f>_xlfn.NUMBERVALUE("0.000733")</f>
        <v/>
      </c>
      <c r="V944">
        <f>_xlfn.NUMBERVALUE("0.001615")</f>
        <v/>
      </c>
      <c r="W944">
        <f>_xlfn.NUMBERVALUE("0.000310")</f>
        <v/>
      </c>
      <c r="X944">
        <f>_xlfn.NUMBERVALUE("-0.290000")</f>
        <v/>
      </c>
      <c r="Y944">
        <f>_xlfn.NUMBERVALUE("12.120000")</f>
        <v/>
      </c>
    </row>
    <row r="945">
      <c r="A945" s="1" t="n">
        <v>43374</v>
      </c>
      <c r="B945">
        <f>_xlfn.NUMBERVALUE("0.029848")</f>
        <v/>
      </c>
      <c r="C945" s="2">
        <f>_xlfn.NUMBERVALUE("0.000212")</f>
        <v/>
      </c>
      <c r="D945">
        <f>_xlfn.NUMBERVALUE("0.005082")</f>
        <v/>
      </c>
      <c r="E945">
        <f>_xlfn.NUMBERVALUE("0.001825")</f>
        <v/>
      </c>
      <c r="F945">
        <f>_xlfn.NUMBERVALUE("0.001939")</f>
        <v/>
      </c>
      <c r="G945">
        <f>_xlfn.NUMBERVALUE("0.000324")</f>
        <v/>
      </c>
      <c r="H945">
        <f>_xlfn.NUMBERVALUE("0.000089")</f>
        <v/>
      </c>
      <c r="I945">
        <f>_xlfn.NUMBERVALUE("-0.000727")</f>
        <v/>
      </c>
      <c r="J945">
        <f>_xlfn.NUMBERVALUE("0.000049")</f>
        <v/>
      </c>
      <c r="K945">
        <f>_xlfn.NUMBERVALUE("0.003657")</f>
        <v/>
      </c>
      <c r="L945">
        <f>_xlfn.NUMBERVALUE("0.001616")</f>
        <v/>
      </c>
      <c r="M945">
        <f>_xlfn.NUMBERVALUE("0.000239")</f>
        <v/>
      </c>
      <c r="N945">
        <f>_xlfn.NUMBERVALUE("0.003702")</f>
        <v/>
      </c>
      <c r="O945">
        <f>_xlfn.NUMBERVALUE("0.000279")</f>
        <v/>
      </c>
      <c r="P945">
        <f>_xlfn.NUMBERVALUE("0.000624")</f>
        <v/>
      </c>
      <c r="Q945">
        <f>_xlfn.NUMBERVALUE("0.000055")</f>
        <v/>
      </c>
      <c r="R945">
        <f>_xlfn.NUMBERVALUE("0.000942")</f>
        <v/>
      </c>
      <c r="S945">
        <f>_xlfn.NUMBERVALUE("0.001337")</f>
        <v/>
      </c>
      <c r="T945">
        <f>_xlfn.NUMBERVALUE("-0.000379")</f>
        <v/>
      </c>
      <c r="U945">
        <f>_xlfn.NUMBERVALUE("0.001518")</f>
        <v/>
      </c>
      <c r="V945">
        <f>_xlfn.NUMBERVALUE("0.001449")</f>
        <v/>
      </c>
      <c r="W945">
        <f>_xlfn.NUMBERVALUE("0.001962")</f>
        <v/>
      </c>
      <c r="X945">
        <f>_xlfn.NUMBERVALUE("-0.120000")</f>
        <v/>
      </c>
      <c r="Y945">
        <f>_xlfn.NUMBERVALUE("12.000000")</f>
        <v/>
      </c>
    </row>
    <row r="946">
      <c r="A946" s="1" t="n">
        <v>43375</v>
      </c>
      <c r="B946">
        <f>_xlfn.NUMBERVALUE("0.000000")</f>
        <v/>
      </c>
      <c r="C946" s="2">
        <f>_xlfn.NUMBERVALUE("-0.000108")</f>
        <v/>
      </c>
      <c r="D946">
        <f>_xlfn.NUMBERVALUE("0.000977")</f>
        <v/>
      </c>
      <c r="E946">
        <f>_xlfn.NUMBERVALUE("0.001203")</f>
        <v/>
      </c>
      <c r="F946">
        <f>_xlfn.NUMBERVALUE("-0.004590")</f>
        <v/>
      </c>
      <c r="G946">
        <f>_xlfn.NUMBERVALUE("0.000394")</f>
        <v/>
      </c>
      <c r="H946">
        <f>_xlfn.NUMBERVALUE("0.000031")</f>
        <v/>
      </c>
      <c r="I946">
        <f>_xlfn.NUMBERVALUE("0.000006")</f>
        <v/>
      </c>
      <c r="J946">
        <f>_xlfn.NUMBERVALUE("0.000076")</f>
        <v/>
      </c>
      <c r="K946">
        <f>_xlfn.NUMBERVALUE("-0.002056")</f>
        <v/>
      </c>
      <c r="L946">
        <f>_xlfn.NUMBERVALUE("0.000032")</f>
        <v/>
      </c>
      <c r="M946">
        <f>_xlfn.NUMBERVALUE("0.000415")</f>
        <v/>
      </c>
      <c r="N946">
        <f>_xlfn.NUMBERVALUE("0.000138")</f>
        <v/>
      </c>
      <c r="O946">
        <f>_xlfn.NUMBERVALUE("0.000138")</f>
        <v/>
      </c>
      <c r="P946">
        <f>_xlfn.NUMBERVALUE("0.000314")</f>
        <v/>
      </c>
      <c r="Q946">
        <f>_xlfn.NUMBERVALUE("0.000333")</f>
        <v/>
      </c>
      <c r="R946">
        <f>_xlfn.NUMBERVALUE("0.001151")</f>
        <v/>
      </c>
      <c r="S946">
        <f>_xlfn.NUMBERVALUE("0.000212")</f>
        <v/>
      </c>
      <c r="T946">
        <f>_xlfn.NUMBERVALUE("0.000096")</f>
        <v/>
      </c>
      <c r="U946">
        <f>_xlfn.NUMBERVALUE("-0.001287")</f>
        <v/>
      </c>
      <c r="V946">
        <f>_xlfn.NUMBERVALUE("0.000852")</f>
        <v/>
      </c>
      <c r="W946">
        <f>_xlfn.NUMBERVALUE("0.001374")</f>
        <v/>
      </c>
      <c r="X946">
        <f>_xlfn.NUMBERVALUE("0.050000")</f>
        <v/>
      </c>
      <c r="Y946">
        <f>_xlfn.NUMBERVALUE("12.050000")</f>
        <v/>
      </c>
    </row>
    <row r="947">
      <c r="A947" s="1" t="n">
        <v>43376</v>
      </c>
      <c r="B947">
        <f>_xlfn.NUMBERVALUE("0.000000")</f>
        <v/>
      </c>
      <c r="C947" s="2">
        <f>_xlfn.NUMBERVALUE("-0.000020")</f>
        <v/>
      </c>
      <c r="D947">
        <f>_xlfn.NUMBERVALUE("-0.002918")</f>
        <v/>
      </c>
      <c r="E947">
        <f>_xlfn.NUMBERVALUE("0.001384")</f>
        <v/>
      </c>
      <c r="F947">
        <f>_xlfn.NUMBERVALUE("0.001921")</f>
        <v/>
      </c>
      <c r="G947">
        <f>_xlfn.NUMBERVALUE("0.001272")</f>
        <v/>
      </c>
      <c r="H947">
        <f>_xlfn.NUMBERVALUE("0.000016")</f>
        <v/>
      </c>
      <c r="I947">
        <f>_xlfn.NUMBERVALUE("-0.000012")</f>
        <v/>
      </c>
      <c r="J947">
        <f>_xlfn.NUMBERVALUE("-0.000066")</f>
        <v/>
      </c>
      <c r="K947">
        <f>_xlfn.NUMBERVALUE("0.000105")</f>
        <v/>
      </c>
      <c r="L947">
        <f>_xlfn.NUMBERVALUE("-0.000167")</f>
        <v/>
      </c>
      <c r="M947">
        <f>_xlfn.NUMBERVALUE("-0.000426")</f>
        <v/>
      </c>
      <c r="N947">
        <f>_xlfn.NUMBERVALUE("0.000011")</f>
        <v/>
      </c>
      <c r="O947">
        <f>_xlfn.NUMBERVALUE("0.000019")</f>
        <v/>
      </c>
      <c r="P947">
        <f>_xlfn.NUMBERVALUE("-0.000023")</f>
        <v/>
      </c>
      <c r="Q947">
        <f>_xlfn.NUMBERVALUE("0.000160")</f>
        <v/>
      </c>
      <c r="R947">
        <f>_xlfn.NUMBERVALUE("0.000236")</f>
        <v/>
      </c>
      <c r="S947">
        <f>_xlfn.NUMBERVALUE("-0.004356")</f>
        <v/>
      </c>
      <c r="T947">
        <f>_xlfn.NUMBERVALUE("-0.004118")</f>
        <v/>
      </c>
      <c r="U947">
        <f>_xlfn.NUMBERVALUE("0.000728")</f>
        <v/>
      </c>
      <c r="V947">
        <f>_xlfn.NUMBERVALUE("0.000602")</f>
        <v/>
      </c>
      <c r="W947">
        <f>_xlfn.NUMBERVALUE("0.000120")</f>
        <v/>
      </c>
      <c r="X947">
        <f>_xlfn.NUMBERVALUE("-0.440000")</f>
        <v/>
      </c>
      <c r="Y947">
        <f>_xlfn.NUMBERVALUE("11.610000")</f>
        <v/>
      </c>
    </row>
    <row r="948">
      <c r="A948" s="1" t="n">
        <v>43377</v>
      </c>
      <c r="B948">
        <f>_xlfn.NUMBERVALUE("0.000000")</f>
        <v/>
      </c>
      <c r="C948" s="2">
        <f>_xlfn.NUMBERVALUE("-0.003424")</f>
        <v/>
      </c>
      <c r="D948">
        <f>_xlfn.NUMBERVALUE("-0.005592")</f>
        <v/>
      </c>
      <c r="E948">
        <f>_xlfn.NUMBERVALUE("-0.002343")</f>
        <v/>
      </c>
      <c r="F948">
        <f>_xlfn.NUMBERVALUE("-0.000333")</f>
        <v/>
      </c>
      <c r="G948">
        <f>_xlfn.NUMBERVALUE("-0.000781")</f>
        <v/>
      </c>
      <c r="H948">
        <f>_xlfn.NUMBERVALUE("0.000063")</f>
        <v/>
      </c>
      <c r="I948">
        <f>_xlfn.NUMBERVALUE("-0.003606")</f>
        <v/>
      </c>
      <c r="J948">
        <f>_xlfn.NUMBERVALUE("-0.002289")</f>
        <v/>
      </c>
      <c r="K948">
        <f>_xlfn.NUMBERVALUE("-0.000717")</f>
        <v/>
      </c>
      <c r="L948">
        <f>_xlfn.NUMBERVALUE("-0.000040")</f>
        <v/>
      </c>
      <c r="M948">
        <f>_xlfn.NUMBERVALUE("-0.001915")</f>
        <v/>
      </c>
      <c r="N948">
        <f>_xlfn.NUMBERVALUE("-0.005580")</f>
        <v/>
      </c>
      <c r="O948">
        <f>_xlfn.NUMBERVALUE("0.000182")</f>
        <v/>
      </c>
      <c r="P948">
        <f>_xlfn.NUMBERVALUE("-0.000640")</f>
        <v/>
      </c>
      <c r="Q948">
        <f>_xlfn.NUMBERVALUE("-0.001689")</f>
        <v/>
      </c>
      <c r="R948">
        <f>_xlfn.NUMBERVALUE("-0.005637")</f>
        <v/>
      </c>
      <c r="S948">
        <f>_xlfn.NUMBERVALUE("0.001105")</f>
        <v/>
      </c>
      <c r="T948">
        <f>_xlfn.NUMBERVALUE("0.001869")</f>
        <v/>
      </c>
      <c r="U948">
        <f>_xlfn.NUMBERVALUE("-0.007256")</f>
        <v/>
      </c>
      <c r="V948">
        <f>_xlfn.NUMBERVALUE("-0.002861")</f>
        <v/>
      </c>
      <c r="W948">
        <f>_xlfn.NUMBERVALUE("-0.009670")</f>
        <v/>
      </c>
      <c r="X948">
        <f>_xlfn.NUMBERVALUE("2.610000")</f>
        <v/>
      </c>
      <c r="Y948">
        <f>_xlfn.NUMBERVALUE("14.220000")</f>
        <v/>
      </c>
    </row>
    <row r="949">
      <c r="A949" s="1" t="n">
        <v>43378</v>
      </c>
      <c r="B949">
        <f>_xlfn.NUMBERVALUE("0.000000")</f>
        <v/>
      </c>
      <c r="C949" s="2">
        <f>_xlfn.NUMBERVALUE("-0.000708")</f>
        <v/>
      </c>
      <c r="D949">
        <f>_xlfn.NUMBERVALUE("0.001244")</f>
        <v/>
      </c>
      <c r="E949">
        <f>_xlfn.NUMBERVALUE("-0.000006")</f>
        <v/>
      </c>
      <c r="F949">
        <f>_xlfn.NUMBERVALUE("0.000367")</f>
        <v/>
      </c>
      <c r="G949">
        <f>_xlfn.NUMBERVALUE("-0.000026")</f>
        <v/>
      </c>
      <c r="H949">
        <f>_xlfn.NUMBERVALUE("-0.000025")</f>
        <v/>
      </c>
      <c r="I949">
        <f>_xlfn.NUMBERVALUE("-0.001763")</f>
        <v/>
      </c>
      <c r="J949">
        <f>_xlfn.NUMBERVALUE("0.000695")</f>
        <v/>
      </c>
      <c r="K949">
        <f>_xlfn.NUMBERVALUE("0.000625")</f>
        <v/>
      </c>
      <c r="L949">
        <f>_xlfn.NUMBERVALUE("0.000193")</f>
        <v/>
      </c>
      <c r="M949">
        <f>_xlfn.NUMBERVALUE("0.000731")</f>
        <v/>
      </c>
      <c r="N949">
        <f>_xlfn.NUMBERVALUE("-0.001288")</f>
        <v/>
      </c>
      <c r="O949">
        <f>_xlfn.NUMBERVALUE("-0.000174")</f>
        <v/>
      </c>
      <c r="P949">
        <f>_xlfn.NUMBERVALUE("0.000654")</f>
        <v/>
      </c>
      <c r="Q949">
        <f>_xlfn.NUMBERVALUE("0.001277")</f>
        <v/>
      </c>
      <c r="R949">
        <f>_xlfn.NUMBERVALUE("0.002567")</f>
        <v/>
      </c>
      <c r="S949">
        <f>_xlfn.NUMBERVALUE("0.001160")</f>
        <v/>
      </c>
      <c r="T949">
        <f>_xlfn.NUMBERVALUE("-0.003597")</f>
        <v/>
      </c>
      <c r="U949">
        <f>_xlfn.NUMBERVALUE("0.000061")</f>
        <v/>
      </c>
      <c r="V949">
        <f>_xlfn.NUMBERVALUE("-0.000762")</f>
        <v/>
      </c>
      <c r="W949">
        <f>_xlfn.NUMBERVALUE("-0.004155")</f>
        <v/>
      </c>
      <c r="X949">
        <f>_xlfn.NUMBERVALUE("0.600000")</f>
        <v/>
      </c>
      <c r="Y949">
        <f>_xlfn.NUMBERVALUE("14.820000")</f>
        <v/>
      </c>
    </row>
    <row r="950">
      <c r="A950" s="1" t="n">
        <v>43381</v>
      </c>
      <c r="B950">
        <f>_xlfn.NUMBERVALUE("0.000000")</f>
        <v/>
      </c>
      <c r="C950" s="2">
        <f>_xlfn.NUMBERVALUE("0.000924")</f>
        <v/>
      </c>
      <c r="D950">
        <f>_xlfn.NUMBERVALUE("0.002426")</f>
        <v/>
      </c>
      <c r="E950">
        <f>_xlfn.NUMBERVALUE("0.001264")</f>
        <v/>
      </c>
      <c r="F950">
        <f>_xlfn.NUMBERVALUE("-0.002881")</f>
        <v/>
      </c>
      <c r="G950">
        <f>_xlfn.NUMBERVALUE("0.000490")</f>
        <v/>
      </c>
      <c r="H950">
        <f>_xlfn.NUMBERVALUE("0.000978")</f>
        <v/>
      </c>
      <c r="I950">
        <f>_xlfn.NUMBERVALUE("0.002313")</f>
        <v/>
      </c>
      <c r="J950">
        <f>_xlfn.NUMBERVALUE("0.000353")</f>
        <v/>
      </c>
      <c r="K950">
        <f>_xlfn.NUMBERVALUE("-0.003083")</f>
        <v/>
      </c>
      <c r="L950">
        <f>_xlfn.NUMBERVALUE("0.000076")</f>
        <v/>
      </c>
      <c r="M950">
        <f>_xlfn.NUMBERVALUE("0.000729")</f>
        <v/>
      </c>
      <c r="N950">
        <f>_xlfn.NUMBERVALUE("0.003820")</f>
        <v/>
      </c>
      <c r="O950">
        <f>_xlfn.NUMBERVALUE("0.000179")</f>
        <v/>
      </c>
      <c r="P950">
        <f>_xlfn.NUMBERVALUE("0.005203")</f>
        <v/>
      </c>
      <c r="Q950">
        <f>_xlfn.NUMBERVALUE("0.002980")</f>
        <v/>
      </c>
      <c r="R950">
        <f>_xlfn.NUMBERVALUE("0.006129")</f>
        <v/>
      </c>
      <c r="S950">
        <f>_xlfn.NUMBERVALUE("-0.001478")</f>
        <v/>
      </c>
      <c r="T950">
        <f>_xlfn.NUMBERVALUE("0.007911")</f>
        <v/>
      </c>
      <c r="U950">
        <f>_xlfn.NUMBERVALUE("0.000322")</f>
        <v/>
      </c>
      <c r="V950">
        <f>_xlfn.NUMBERVALUE("0.001414")</f>
        <v/>
      </c>
      <c r="W950">
        <f>_xlfn.NUMBERVALUE("0.001652")</f>
        <v/>
      </c>
      <c r="X950">
        <f>_xlfn.NUMBERVALUE("0.870000")</f>
        <v/>
      </c>
      <c r="Y950">
        <f>_xlfn.NUMBERVALUE("15.690000")</f>
        <v/>
      </c>
    </row>
    <row r="951">
      <c r="A951" s="1" t="n">
        <v>43382</v>
      </c>
      <c r="B951">
        <f>_xlfn.NUMBERVALUE("0.000000")</f>
        <v/>
      </c>
      <c r="C951" s="2">
        <f>_xlfn.NUMBERVALUE("0.000423")</f>
        <v/>
      </c>
      <c r="D951">
        <f>_xlfn.NUMBERVALUE("0.001434")</f>
        <v/>
      </c>
      <c r="E951">
        <f>_xlfn.NUMBERVALUE("-0.000327")</f>
        <v/>
      </c>
      <c r="F951">
        <f>_xlfn.NUMBERVALUE("0.001325")</f>
        <v/>
      </c>
      <c r="G951">
        <f>_xlfn.NUMBERVALUE("0.000772")</f>
        <v/>
      </c>
      <c r="H951">
        <f>_xlfn.NUMBERVALUE("0.000627")</f>
        <v/>
      </c>
      <c r="I951">
        <f>_xlfn.NUMBERVALUE("0.000610")</f>
        <v/>
      </c>
      <c r="J951">
        <f>_xlfn.NUMBERVALUE("0.000339")</f>
        <v/>
      </c>
      <c r="K951">
        <f>_xlfn.NUMBERVALUE("0.000652")</f>
        <v/>
      </c>
      <c r="L951">
        <f>_xlfn.NUMBERVALUE("0.000539")</f>
        <v/>
      </c>
      <c r="M951">
        <f>_xlfn.NUMBERVALUE("-0.010226")</f>
        <v/>
      </c>
      <c r="N951">
        <f>_xlfn.NUMBERVALUE("0.002839")</f>
        <v/>
      </c>
      <c r="O951">
        <f>_xlfn.NUMBERVALUE("-0.001113")</f>
        <v/>
      </c>
      <c r="P951">
        <f>_xlfn.NUMBERVALUE("0.000470")</f>
        <v/>
      </c>
      <c r="Q951">
        <f>_xlfn.NUMBERVALUE("-0.001036")</f>
        <v/>
      </c>
      <c r="R951">
        <f>_xlfn.NUMBERVALUE("0.001922")</f>
        <v/>
      </c>
      <c r="S951">
        <f>_xlfn.NUMBERVALUE("0.000709")</f>
        <v/>
      </c>
      <c r="T951">
        <f>_xlfn.NUMBERVALUE("0.001346")</f>
        <v/>
      </c>
      <c r="U951">
        <f>_xlfn.NUMBERVALUE("0.000378")</f>
        <v/>
      </c>
      <c r="V951">
        <f>_xlfn.NUMBERVALUE("-0.000084")</f>
        <v/>
      </c>
      <c r="W951">
        <f>_xlfn.NUMBERVALUE("-0.001944")</f>
        <v/>
      </c>
      <c r="X951">
        <f>_xlfn.NUMBERVALUE("0.260000")</f>
        <v/>
      </c>
      <c r="Y951">
        <f>_xlfn.NUMBERVALUE("15.950000")</f>
        <v/>
      </c>
    </row>
    <row r="952">
      <c r="A952" s="1" t="n">
        <v>43383</v>
      </c>
      <c r="B952">
        <f>_xlfn.NUMBERVALUE("0.000000")</f>
        <v/>
      </c>
      <c r="C952" s="2">
        <f>_xlfn.NUMBERVALUE("-0.010591")</f>
        <v/>
      </c>
      <c r="D952">
        <f>_xlfn.NUMBERVALUE("-0.007506")</f>
        <v/>
      </c>
      <c r="E952">
        <f>_xlfn.NUMBERVALUE("-0.005980")</f>
        <v/>
      </c>
      <c r="F952">
        <f>_xlfn.NUMBERVALUE("-0.000714")</f>
        <v/>
      </c>
      <c r="G952">
        <f>_xlfn.NUMBERVALUE("-0.001246")</f>
        <v/>
      </c>
      <c r="H952">
        <f>_xlfn.NUMBERVALUE("-0.000771")</f>
        <v/>
      </c>
      <c r="I952">
        <f>_xlfn.NUMBERVALUE("-0.006301")</f>
        <v/>
      </c>
      <c r="J952">
        <f>_xlfn.NUMBERVALUE("-0.000776")</f>
        <v/>
      </c>
      <c r="K952">
        <f>_xlfn.NUMBERVALUE("-0.000174")</f>
        <v/>
      </c>
      <c r="L952">
        <f>_xlfn.NUMBERVALUE("-0.000800")</f>
        <v/>
      </c>
      <c r="M952">
        <f>_xlfn.NUMBERVALUE("-0.005796")</f>
        <v/>
      </c>
      <c r="N952">
        <f>_xlfn.NUMBERVALUE("-0.012073")</f>
        <v/>
      </c>
      <c r="O952">
        <f>_xlfn.NUMBERVALUE("-0.012024")</f>
        <v/>
      </c>
      <c r="P952">
        <f>_xlfn.NUMBERVALUE("-0.008736")</f>
        <v/>
      </c>
      <c r="Q952">
        <f>_xlfn.NUMBERVALUE("-0.013311")</f>
        <v/>
      </c>
      <c r="R952">
        <f>_xlfn.NUMBERVALUE("-0.016096")</f>
        <v/>
      </c>
      <c r="S952">
        <f>_xlfn.NUMBERVALUE("-0.002495")</f>
        <v/>
      </c>
      <c r="T952">
        <f>_xlfn.NUMBERVALUE("-0.000941")</f>
        <v/>
      </c>
      <c r="U952">
        <f>_xlfn.NUMBERVALUE("-0.011677")</f>
        <v/>
      </c>
      <c r="V952">
        <f>_xlfn.NUMBERVALUE("-0.010072")</f>
        <v/>
      </c>
      <c r="W952">
        <f>_xlfn.NUMBERVALUE("-0.028884")</f>
        <v/>
      </c>
      <c r="X952">
        <f>_xlfn.NUMBERVALUE("7.010000")</f>
        <v/>
      </c>
      <c r="Y952">
        <f>_xlfn.NUMBERVALUE("22.960000")</f>
        <v/>
      </c>
    </row>
    <row r="953">
      <c r="A953" s="1" t="n">
        <v>43384</v>
      </c>
      <c r="B953">
        <f>_xlfn.NUMBERVALUE("-0.118346")</f>
        <v/>
      </c>
      <c r="C953" s="2">
        <f>_xlfn.NUMBERVALUE("-0.002905")</f>
        <v/>
      </c>
      <c r="D953">
        <f>_xlfn.NUMBERVALUE("-0.001340")</f>
        <v/>
      </c>
      <c r="E953">
        <f>_xlfn.NUMBERVALUE("-0.001639")</f>
        <v/>
      </c>
      <c r="F953">
        <f>_xlfn.NUMBERVALUE("-0.010649")</f>
        <v/>
      </c>
      <c r="G953">
        <f>_xlfn.NUMBERVALUE("-0.000136")</f>
        <v/>
      </c>
      <c r="H953">
        <f>_xlfn.NUMBERVALUE("-0.008536")</f>
        <v/>
      </c>
      <c r="I953">
        <f>_xlfn.NUMBERVALUE("-0.001154")</f>
        <v/>
      </c>
      <c r="J953">
        <f>_xlfn.NUMBERVALUE("0.000555")</f>
        <v/>
      </c>
      <c r="K953">
        <f>_xlfn.NUMBERVALUE("-0.002824")</f>
        <v/>
      </c>
      <c r="L953">
        <f>_xlfn.NUMBERVALUE("-0.001945")</f>
        <v/>
      </c>
      <c r="M953">
        <f>_xlfn.NUMBERVALUE("-0.001398")</f>
        <v/>
      </c>
      <c r="N953">
        <f>_xlfn.NUMBERVALUE("-0.000172")</f>
        <v/>
      </c>
      <c r="O953">
        <f>_xlfn.NUMBERVALUE("-0.010511")</f>
        <v/>
      </c>
      <c r="P953">
        <f>_xlfn.NUMBERVALUE("-0.007072")</f>
        <v/>
      </c>
      <c r="Q953">
        <f>_xlfn.NUMBERVALUE("-0.003050")</f>
        <v/>
      </c>
      <c r="R953">
        <f>_xlfn.NUMBERVALUE("-0.001926")</f>
        <v/>
      </c>
      <c r="S953">
        <f>_xlfn.NUMBERVALUE("-0.005741")</f>
        <v/>
      </c>
      <c r="T953">
        <f>_xlfn.NUMBERVALUE("-0.004806")</f>
        <v/>
      </c>
      <c r="U953">
        <f>_xlfn.NUMBERVALUE("-0.001552")</f>
        <v/>
      </c>
      <c r="V953">
        <f>_xlfn.NUMBERVALUE("-0.001964")</f>
        <v/>
      </c>
      <c r="W953">
        <f>_xlfn.NUMBERVALUE("-0.019196")</f>
        <v/>
      </c>
      <c r="X953">
        <f>_xlfn.NUMBERVALUE("2.020000")</f>
        <v/>
      </c>
      <c r="Y953">
        <f>_xlfn.NUMBERVALUE("24.980000")</f>
        <v/>
      </c>
    </row>
    <row r="954">
      <c r="A954" s="1" t="n">
        <v>43385</v>
      </c>
      <c r="B954">
        <f>_xlfn.NUMBERVALUE("-0.010197")</f>
        <v/>
      </c>
      <c r="C954" s="2">
        <f>_xlfn.NUMBERVALUE("0.001243")</f>
        <v/>
      </c>
      <c r="D954">
        <f>_xlfn.NUMBERVALUE("-0.000074")</f>
        <v/>
      </c>
      <c r="E954">
        <f>_xlfn.NUMBERVALUE("0.001221")</f>
        <v/>
      </c>
      <c r="F954">
        <f>_xlfn.NUMBERVALUE("0.001160")</f>
        <v/>
      </c>
      <c r="G954">
        <f>_xlfn.NUMBERVALUE("-0.000388")</f>
        <v/>
      </c>
      <c r="H954">
        <f>_xlfn.NUMBERVALUE("0.008502")</f>
        <v/>
      </c>
      <c r="I954">
        <f>_xlfn.NUMBERVALUE("-0.000172")</f>
        <v/>
      </c>
      <c r="J954">
        <f>_xlfn.NUMBERVALUE("0.000620")</f>
        <v/>
      </c>
      <c r="K954">
        <f>_xlfn.NUMBERVALUE("0.003863")</f>
        <v/>
      </c>
      <c r="L954">
        <f>_xlfn.NUMBERVALUE("0.002280")</f>
        <v/>
      </c>
      <c r="M954">
        <f>_xlfn.NUMBERVALUE("0.000938")</f>
        <v/>
      </c>
      <c r="N954">
        <f>_xlfn.NUMBERVALUE("0.000760")</f>
        <v/>
      </c>
      <c r="O954">
        <f>_xlfn.NUMBERVALUE("0.003783")</f>
        <v/>
      </c>
      <c r="P954">
        <f>_xlfn.NUMBERVALUE("0.001229")</f>
        <v/>
      </c>
      <c r="Q954">
        <f>_xlfn.NUMBERVALUE("0.000547")</f>
        <v/>
      </c>
      <c r="R954">
        <f>_xlfn.NUMBERVALUE("0.001013")</f>
        <v/>
      </c>
      <c r="S954">
        <f>_xlfn.NUMBERVALUE("0.000323")</f>
        <v/>
      </c>
      <c r="T954">
        <f>_xlfn.NUMBERVALUE("0.001237")</f>
        <v/>
      </c>
      <c r="U954">
        <f>_xlfn.NUMBERVALUE("-0.000290")</f>
        <v/>
      </c>
      <c r="V954">
        <f>_xlfn.NUMBERVALUE("0.001195")</f>
        <v/>
      </c>
      <c r="W954">
        <f>_xlfn.NUMBERVALUE("0.006609")</f>
        <v/>
      </c>
      <c r="X954">
        <f>_xlfn.NUMBERVALUE("-3.670000")</f>
        <v/>
      </c>
      <c r="Y954">
        <f>_xlfn.NUMBERVALUE("21.310000")</f>
        <v/>
      </c>
    </row>
    <row r="955">
      <c r="A955" s="1" t="n">
        <v>43388</v>
      </c>
      <c r="B955">
        <f>_xlfn.NUMBERVALUE("0.009881")</f>
        <v/>
      </c>
      <c r="C955" s="2">
        <f>_xlfn.NUMBERVALUE("0.001005")</f>
        <v/>
      </c>
      <c r="D955">
        <f>_xlfn.NUMBERVALUE("0.002828")</f>
        <v/>
      </c>
      <c r="E955">
        <f>_xlfn.NUMBERVALUE("0.000756")</f>
        <v/>
      </c>
      <c r="F955">
        <f>_xlfn.NUMBERVALUE("0.000703")</f>
        <v/>
      </c>
      <c r="G955">
        <f>_xlfn.NUMBERVALUE("0.000451")</f>
        <v/>
      </c>
      <c r="H955">
        <f>_xlfn.NUMBERVALUE("0.001383")</f>
        <v/>
      </c>
      <c r="I955">
        <f>_xlfn.NUMBERVALUE("0.000582")</f>
        <v/>
      </c>
      <c r="J955">
        <f>_xlfn.NUMBERVALUE("0.000183")</f>
        <v/>
      </c>
      <c r="K955">
        <f>_xlfn.NUMBERVALUE("0.001881")</f>
        <v/>
      </c>
      <c r="L955">
        <f>_xlfn.NUMBERVALUE("0.002241")</f>
        <v/>
      </c>
      <c r="M955">
        <f>_xlfn.NUMBERVALUE("0.001873")</f>
        <v/>
      </c>
      <c r="N955">
        <f>_xlfn.NUMBERVALUE("0.000662")</f>
        <v/>
      </c>
      <c r="O955">
        <f>_xlfn.NUMBERVALUE("0.002486")</f>
        <v/>
      </c>
      <c r="P955">
        <f>_xlfn.NUMBERVALUE("0.002508")</f>
        <v/>
      </c>
      <c r="Q955">
        <f>_xlfn.NUMBERVALUE("0.002751")</f>
        <v/>
      </c>
      <c r="R955">
        <f>_xlfn.NUMBERVALUE("0.002563")</f>
        <v/>
      </c>
      <c r="S955">
        <f>_xlfn.NUMBERVALUE("0.002106")</f>
        <v/>
      </c>
      <c r="T955">
        <f>_xlfn.NUMBERVALUE("0.001645")</f>
        <v/>
      </c>
      <c r="U955">
        <f>_xlfn.NUMBERVALUE("0.003539")</f>
        <v/>
      </c>
      <c r="V955">
        <f>_xlfn.NUMBERVALUE("0.000298")</f>
        <v/>
      </c>
      <c r="W955">
        <f>_xlfn.NUMBERVALUE("0.000399")</f>
        <v/>
      </c>
      <c r="X955">
        <f>_xlfn.NUMBERVALUE("-0.010000")</f>
        <v/>
      </c>
      <c r="Y955">
        <f>_xlfn.NUMBERVALUE("21.300000")</f>
        <v/>
      </c>
    </row>
    <row r="956">
      <c r="A956" s="1" t="n">
        <v>43389</v>
      </c>
      <c r="B956">
        <f>_xlfn.NUMBERVALUE("-0.018979")</f>
        <v/>
      </c>
      <c r="C956" s="2">
        <f>_xlfn.NUMBERVALUE("0.000750")</f>
        <v/>
      </c>
      <c r="D956">
        <f>_xlfn.NUMBERVALUE("0.000224")</f>
        <v/>
      </c>
      <c r="E956">
        <f>_xlfn.NUMBERVALUE("0.000532")</f>
        <v/>
      </c>
      <c r="F956">
        <f>_xlfn.NUMBERVALUE("0.001058")</f>
        <v/>
      </c>
      <c r="G956">
        <f>_xlfn.NUMBERVALUE("0.000375")</f>
        <v/>
      </c>
      <c r="H956">
        <f>_xlfn.NUMBERVALUE("0.000096")</f>
        <v/>
      </c>
      <c r="I956">
        <f>_xlfn.NUMBERVALUE("0.000263")</f>
        <v/>
      </c>
      <c r="J956">
        <f>_xlfn.NUMBERVALUE("0.000349")</f>
        <v/>
      </c>
      <c r="K956">
        <f>_xlfn.NUMBERVALUE("0.002209")</f>
        <v/>
      </c>
      <c r="L956">
        <f>_xlfn.NUMBERVALUE("0.001042")</f>
        <v/>
      </c>
      <c r="M956">
        <f>_xlfn.NUMBERVALUE("0.001691")</f>
        <v/>
      </c>
      <c r="N956">
        <f>_xlfn.NUMBERVALUE("0.002959")</f>
        <v/>
      </c>
      <c r="O956">
        <f>_xlfn.NUMBERVALUE("0.002185")</f>
        <v/>
      </c>
      <c r="P956">
        <f>_xlfn.NUMBERVALUE("0.001621")</f>
        <v/>
      </c>
      <c r="Q956">
        <f>_xlfn.NUMBERVALUE("0.002037")</f>
        <v/>
      </c>
      <c r="R956">
        <f>_xlfn.NUMBERVALUE("-0.002078")</f>
        <v/>
      </c>
      <c r="S956">
        <f>_xlfn.NUMBERVALUE("0.001755")</f>
        <v/>
      </c>
      <c r="T956">
        <f>_xlfn.NUMBERVALUE("0.001990")</f>
        <v/>
      </c>
      <c r="U956">
        <f>_xlfn.NUMBERVALUE("0.003163")</f>
        <v/>
      </c>
      <c r="V956">
        <f>_xlfn.NUMBERVALUE("0.000038")</f>
        <v/>
      </c>
      <c r="W956">
        <f>_xlfn.NUMBERVALUE("0.016263")</f>
        <v/>
      </c>
      <c r="X956">
        <f>_xlfn.NUMBERVALUE("-3.680000")</f>
        <v/>
      </c>
      <c r="Y956">
        <f>_xlfn.NUMBERVALUE("17.620000")</f>
        <v/>
      </c>
    </row>
    <row r="957">
      <c r="A957" s="1" t="n">
        <v>43390</v>
      </c>
      <c r="B957">
        <f>_xlfn.NUMBERVALUE("0.010276")</f>
        <v/>
      </c>
      <c r="C957" s="2">
        <f>_xlfn.NUMBERVALUE("-0.000205")</f>
        <v/>
      </c>
      <c r="D957">
        <f>_xlfn.NUMBERVALUE("-0.000811")</f>
        <v/>
      </c>
      <c r="E957">
        <f>_xlfn.NUMBERVALUE("-0.000379")</f>
        <v/>
      </c>
      <c r="F957">
        <f>_xlfn.NUMBERVALUE("0.000335")</f>
        <v/>
      </c>
      <c r="G957">
        <f>_xlfn.NUMBERVALUE("0.000334")</f>
        <v/>
      </c>
      <c r="H957">
        <f>_xlfn.NUMBERVALUE("0.000348")</f>
        <v/>
      </c>
      <c r="I957">
        <f>_xlfn.NUMBERVALUE("-0.000219")</f>
        <v/>
      </c>
      <c r="J957">
        <f>_xlfn.NUMBERVALUE("-0.000295")</f>
        <v/>
      </c>
      <c r="K957">
        <f>_xlfn.NUMBERVALUE("0.000431")</f>
        <v/>
      </c>
      <c r="L957">
        <f>_xlfn.NUMBERVALUE("0.000120")</f>
        <v/>
      </c>
      <c r="M957">
        <f>_xlfn.NUMBERVALUE("-0.000988")</f>
        <v/>
      </c>
      <c r="N957">
        <f>_xlfn.NUMBERVALUE("-0.001035")</f>
        <v/>
      </c>
      <c r="O957">
        <f>_xlfn.NUMBERVALUE("-0.000432")</f>
        <v/>
      </c>
      <c r="P957">
        <f>_xlfn.NUMBERVALUE("-0.000208")</f>
        <v/>
      </c>
      <c r="Q957">
        <f>_xlfn.NUMBERVALUE("-0.000059")</f>
        <v/>
      </c>
      <c r="R957">
        <f>_xlfn.NUMBERVALUE("0.000468")</f>
        <v/>
      </c>
      <c r="S957">
        <f>_xlfn.NUMBERVALUE("0.000009")</f>
        <v/>
      </c>
      <c r="T957">
        <f>_xlfn.NUMBERVALUE("0.001528")</f>
        <v/>
      </c>
      <c r="U957">
        <f>_xlfn.NUMBERVALUE("-0.000783")</f>
        <v/>
      </c>
      <c r="V957">
        <f>_xlfn.NUMBERVALUE("-0.000062")</f>
        <v/>
      </c>
      <c r="W957">
        <f>_xlfn.NUMBERVALUE("-0.001128")</f>
        <v/>
      </c>
      <c r="X957">
        <f>_xlfn.NUMBERVALUE("-0.220000")</f>
        <v/>
      </c>
      <c r="Y957">
        <f>_xlfn.NUMBERVALUE("17.400000")</f>
        <v/>
      </c>
    </row>
    <row r="958">
      <c r="A958" s="1" t="n">
        <v>43391</v>
      </c>
      <c r="B958">
        <f>_xlfn.NUMBERVALUE("-0.003366")</f>
        <v/>
      </c>
      <c r="C958" s="2">
        <f>_xlfn.NUMBERVALUE("-0.000875")</f>
        <v/>
      </c>
      <c r="D958">
        <f>_xlfn.NUMBERVALUE("-0.004048")</f>
        <v/>
      </c>
      <c r="E958">
        <f>_xlfn.NUMBERVALUE("-0.000861")</f>
        <v/>
      </c>
      <c r="F958">
        <f>_xlfn.NUMBERVALUE("0.000353")</f>
        <v/>
      </c>
      <c r="G958">
        <f>_xlfn.NUMBERVALUE("-0.002288")</f>
        <v/>
      </c>
      <c r="H958">
        <f>_xlfn.NUMBERVALUE("-0.000447")</f>
        <v/>
      </c>
      <c r="I958">
        <f>_xlfn.NUMBERVALUE("-0.001501")</f>
        <v/>
      </c>
      <c r="J958">
        <f>_xlfn.NUMBERVALUE("-0.000360")</f>
        <v/>
      </c>
      <c r="K958">
        <f>_xlfn.NUMBERVALUE("0.000805")</f>
        <v/>
      </c>
      <c r="L958">
        <f>_xlfn.NUMBERVALUE("-0.000257")</f>
        <v/>
      </c>
      <c r="M958">
        <f>_xlfn.NUMBERVALUE("-0.000047")</f>
        <v/>
      </c>
      <c r="N958">
        <f>_xlfn.NUMBERVALUE("-0.005274")</f>
        <v/>
      </c>
      <c r="O958">
        <f>_xlfn.NUMBERVALUE("-0.000269")</f>
        <v/>
      </c>
      <c r="P958">
        <f>_xlfn.NUMBERVALUE("-0.000844")</f>
        <v/>
      </c>
      <c r="Q958">
        <f>_xlfn.NUMBERVALUE("-0.001179")</f>
        <v/>
      </c>
      <c r="R958">
        <f>_xlfn.NUMBERVALUE("-0.005062")</f>
        <v/>
      </c>
      <c r="S958">
        <f>_xlfn.NUMBERVALUE("-0.000717")</f>
        <v/>
      </c>
      <c r="T958">
        <f>_xlfn.NUMBERVALUE("-0.000646")</f>
        <v/>
      </c>
      <c r="U958">
        <f>_xlfn.NUMBERVALUE("-0.002581")</f>
        <v/>
      </c>
      <c r="V958">
        <f>_xlfn.NUMBERVALUE("-0.000747")</f>
        <v/>
      </c>
      <c r="W958">
        <f>_xlfn.NUMBERVALUE("-0.011938")</f>
        <v/>
      </c>
      <c r="X958">
        <f>_xlfn.NUMBERVALUE("2.660000")</f>
        <v/>
      </c>
      <c r="Y958">
        <f>_xlfn.NUMBERVALUE("20.060000")</f>
        <v/>
      </c>
    </row>
    <row r="959">
      <c r="A959" s="1" t="n">
        <v>43392</v>
      </c>
      <c r="B959">
        <f>_xlfn.NUMBERVALUE("0.011320")</f>
        <v/>
      </c>
      <c r="C959" s="2">
        <f>_xlfn.NUMBERVALUE("0.000454")</f>
        <v/>
      </c>
      <c r="D959">
        <f>_xlfn.NUMBERVALUE("0.001284")</f>
        <v/>
      </c>
      <c r="E959">
        <f>_xlfn.NUMBERVALUE("0.000264")</f>
        <v/>
      </c>
      <c r="F959">
        <f>_xlfn.NUMBERVALUE("0.000439")</f>
        <v/>
      </c>
      <c r="G959">
        <f>_xlfn.NUMBERVALUE("0.000579")</f>
        <v/>
      </c>
      <c r="H959">
        <f>_xlfn.NUMBERVALUE("0.001075")</f>
        <v/>
      </c>
      <c r="I959">
        <f>_xlfn.NUMBERVALUE("-0.000487")</f>
        <v/>
      </c>
      <c r="J959">
        <f>_xlfn.NUMBERVALUE("-0.000864")</f>
        <v/>
      </c>
      <c r="K959">
        <f>_xlfn.NUMBERVALUE("0.002700")</f>
        <v/>
      </c>
      <c r="L959">
        <f>_xlfn.NUMBERVALUE("0.000826")</f>
        <v/>
      </c>
      <c r="M959">
        <f>_xlfn.NUMBERVALUE("-0.000115")</f>
        <v/>
      </c>
      <c r="N959">
        <f>_xlfn.NUMBERVALUE("0.002785")</f>
        <v/>
      </c>
      <c r="O959">
        <f>_xlfn.NUMBERVALUE("0.000125")</f>
        <v/>
      </c>
      <c r="P959">
        <f>_xlfn.NUMBERVALUE("0.000806")</f>
        <v/>
      </c>
      <c r="Q959">
        <f>_xlfn.NUMBERVALUE("0.000086")</f>
        <v/>
      </c>
      <c r="R959">
        <f>_xlfn.NUMBERVALUE("0.001913")</f>
        <v/>
      </c>
      <c r="S959">
        <f>_xlfn.NUMBERVALUE("-0.007480")</f>
        <v/>
      </c>
      <c r="T959">
        <f>_xlfn.NUMBERVALUE("-0.003269")</f>
        <v/>
      </c>
      <c r="U959">
        <f>_xlfn.NUMBERVALUE("-0.000229")</f>
        <v/>
      </c>
      <c r="V959">
        <f>_xlfn.NUMBERVALUE("0.000128")</f>
        <v/>
      </c>
      <c r="W959">
        <f>_xlfn.NUMBERVALUE("0.000264")</f>
        <v/>
      </c>
      <c r="X959">
        <f>_xlfn.NUMBERVALUE("-0.170000")</f>
        <v/>
      </c>
      <c r="Y959">
        <f>_xlfn.NUMBERVALUE("19.890000")</f>
        <v/>
      </c>
    </row>
    <row r="960">
      <c r="A960" s="1" t="n">
        <v>43395</v>
      </c>
      <c r="B960">
        <f>_xlfn.NUMBERVALUE("-0.004632")</f>
        <v/>
      </c>
      <c r="C960" s="2">
        <f>_xlfn.NUMBERVALUE("0.000403")</f>
        <v/>
      </c>
      <c r="D960">
        <f>_xlfn.NUMBERVALUE("0.001005")</f>
        <v/>
      </c>
      <c r="E960">
        <f>_xlfn.NUMBERVALUE("0.000030")</f>
        <v/>
      </c>
      <c r="F960">
        <f>_xlfn.NUMBERVALUE("0.001142")</f>
        <v/>
      </c>
      <c r="G960">
        <f>_xlfn.NUMBERVALUE("0.001400")</f>
        <v/>
      </c>
      <c r="H960">
        <f>_xlfn.NUMBERVALUE("0.000724")</f>
        <v/>
      </c>
      <c r="I960">
        <f>_xlfn.NUMBERVALUE("0.000380")</f>
        <v/>
      </c>
      <c r="J960">
        <f>_xlfn.NUMBERVALUE("0.000922")</f>
        <v/>
      </c>
      <c r="K960">
        <f>_xlfn.NUMBERVALUE("0.000949")</f>
        <v/>
      </c>
      <c r="L960">
        <f>_xlfn.NUMBERVALUE("0.001420")</f>
        <v/>
      </c>
      <c r="M960">
        <f>_xlfn.NUMBERVALUE("-0.000114")</f>
        <v/>
      </c>
      <c r="N960">
        <f>_xlfn.NUMBERVALUE("0.003700")</f>
        <v/>
      </c>
      <c r="O960">
        <f>_xlfn.NUMBERVALUE("-0.000544")</f>
        <v/>
      </c>
      <c r="P960">
        <f>_xlfn.NUMBERVALUE("-0.001404")</f>
        <v/>
      </c>
      <c r="Q960">
        <f>_xlfn.NUMBERVALUE("-0.000943")</f>
        <v/>
      </c>
      <c r="R960">
        <f>_xlfn.NUMBERVALUE("0.001808")</f>
        <v/>
      </c>
      <c r="S960">
        <f>_xlfn.NUMBERVALUE("0.001326")</f>
        <v/>
      </c>
      <c r="T960">
        <f>_xlfn.NUMBERVALUE("0.001950")</f>
        <v/>
      </c>
      <c r="U960">
        <f>_xlfn.NUMBERVALUE("0.000516")</f>
        <v/>
      </c>
      <c r="V960">
        <f>_xlfn.NUMBERVALUE("-0.000089")</f>
        <v/>
      </c>
      <c r="W960">
        <f>_xlfn.NUMBERVALUE("-0.003903")</f>
        <v/>
      </c>
      <c r="X960">
        <f>_xlfn.NUMBERVALUE("-0.250000")</f>
        <v/>
      </c>
      <c r="Y960">
        <f>_xlfn.NUMBERVALUE("19.640000")</f>
        <v/>
      </c>
    </row>
    <row r="961">
      <c r="A961" s="1" t="n">
        <v>43396</v>
      </c>
      <c r="B961">
        <f>_xlfn.NUMBERVALUE("-0.002176")</f>
        <v/>
      </c>
      <c r="C961" s="2">
        <f>_xlfn.NUMBERVALUE("-0.000730")</f>
        <v/>
      </c>
      <c r="D961">
        <f>_xlfn.NUMBERVALUE("-0.000422")</f>
        <v/>
      </c>
      <c r="E961">
        <f>_xlfn.NUMBERVALUE("-0.000227")</f>
        <v/>
      </c>
      <c r="F961">
        <f>_xlfn.NUMBERVALUE("-0.000845")</f>
        <v/>
      </c>
      <c r="G961">
        <f>_xlfn.NUMBERVALUE("0.000233")</f>
        <v/>
      </c>
      <c r="H961">
        <f>_xlfn.NUMBERVALUE("-0.001014")</f>
        <v/>
      </c>
      <c r="I961">
        <f>_xlfn.NUMBERVALUE("-0.000113")</f>
        <v/>
      </c>
      <c r="J961">
        <f>_xlfn.NUMBERVALUE("-0.000046")</f>
        <v/>
      </c>
      <c r="K961">
        <f>_xlfn.NUMBERVALUE("0.000324")</f>
        <v/>
      </c>
      <c r="L961">
        <f>_xlfn.NUMBERVALUE("0.000363")</f>
        <v/>
      </c>
      <c r="M961">
        <f>_xlfn.NUMBERVALUE("-0.000370")</f>
        <v/>
      </c>
      <c r="N961">
        <f>_xlfn.NUMBERVALUE("0.000284")</f>
        <v/>
      </c>
      <c r="O961">
        <f>_xlfn.NUMBERVALUE("-0.000496")</f>
        <v/>
      </c>
      <c r="P961">
        <f>_xlfn.NUMBERVALUE("-0.000459")</f>
        <v/>
      </c>
      <c r="Q961">
        <f>_xlfn.NUMBERVALUE("0.000338")</f>
        <v/>
      </c>
      <c r="R961">
        <f>_xlfn.NUMBERVALUE("0.000592")</f>
        <v/>
      </c>
      <c r="S961">
        <f>_xlfn.NUMBERVALUE("-0.000748")</f>
        <v/>
      </c>
      <c r="T961">
        <f>_xlfn.NUMBERVALUE("0.001024")</f>
        <v/>
      </c>
      <c r="U961">
        <f>_xlfn.NUMBERVALUE("0.000088")</f>
        <v/>
      </c>
      <c r="V961">
        <f>_xlfn.NUMBERVALUE("-0.000120")</f>
        <v/>
      </c>
      <c r="W961">
        <f>_xlfn.NUMBERVALUE("-0.005733")</f>
        <v/>
      </c>
      <c r="X961">
        <f>_xlfn.NUMBERVALUE("1.070000")</f>
        <v/>
      </c>
      <c r="Y961">
        <f>_xlfn.NUMBERVALUE("20.710000")</f>
        <v/>
      </c>
    </row>
    <row r="962">
      <c r="A962" s="1" t="n">
        <v>43397</v>
      </c>
      <c r="B962">
        <f>_xlfn.NUMBERVALUE("-0.001759")</f>
        <v/>
      </c>
      <c r="C962" s="2">
        <f>_xlfn.NUMBERVALUE("-0.000313")</f>
        <v/>
      </c>
      <c r="D962">
        <f>_xlfn.NUMBERVALUE("-0.001906")</f>
        <v/>
      </c>
      <c r="E962">
        <f>_xlfn.NUMBERVALUE("-0.000380")</f>
        <v/>
      </c>
      <c r="F962">
        <f>_xlfn.NUMBERVALUE("0.000224")</f>
        <v/>
      </c>
      <c r="G962">
        <f>_xlfn.NUMBERVALUE("0.000008")</f>
        <v/>
      </c>
      <c r="H962">
        <f>_xlfn.NUMBERVALUE("-0.000532")</f>
        <v/>
      </c>
      <c r="I962">
        <f>_xlfn.NUMBERVALUE("-0.000325")</f>
        <v/>
      </c>
      <c r="J962">
        <f>_xlfn.NUMBERVALUE("0.000309")</f>
        <v/>
      </c>
      <c r="K962">
        <f>_xlfn.NUMBERVALUE("-0.000254")</f>
        <v/>
      </c>
      <c r="L962">
        <f>_xlfn.NUMBERVALUE("-0.001060")</f>
        <v/>
      </c>
      <c r="M962">
        <f>_xlfn.NUMBERVALUE("-0.000219")</f>
        <v/>
      </c>
      <c r="N962">
        <f>_xlfn.NUMBERVALUE("-0.008651")</f>
        <v/>
      </c>
      <c r="O962">
        <f>_xlfn.NUMBERVALUE("-0.000603")</f>
        <v/>
      </c>
      <c r="P962">
        <f>_xlfn.NUMBERVALUE("-0.000161")</f>
        <v/>
      </c>
      <c r="Q962">
        <f>_xlfn.NUMBERVALUE("-0.000322")</f>
        <v/>
      </c>
      <c r="R962">
        <f>_xlfn.NUMBERVALUE("-0.005222")</f>
        <v/>
      </c>
      <c r="S962">
        <f>_xlfn.NUMBERVALUE("-0.006601")</f>
        <v/>
      </c>
      <c r="T962">
        <f>_xlfn.NUMBERVALUE("-0.011665")</f>
        <v/>
      </c>
      <c r="U962">
        <f>_xlfn.NUMBERVALUE("-0.001416")</f>
        <v/>
      </c>
      <c r="V962">
        <f>_xlfn.NUMBERVALUE("-0.000331")</f>
        <v/>
      </c>
      <c r="W962">
        <f>_xlfn.NUMBERVALUE("-0.019670")</f>
        <v/>
      </c>
      <c r="X962">
        <f>_xlfn.NUMBERVALUE("4.520000")</f>
        <v/>
      </c>
      <c r="Y962">
        <f>_xlfn.NUMBERVALUE("25.230000")</f>
        <v/>
      </c>
    </row>
    <row r="963">
      <c r="A963" s="1" t="n">
        <v>43398</v>
      </c>
      <c r="B963">
        <f>_xlfn.NUMBERVALUE("-0.003087")</f>
        <v/>
      </c>
      <c r="C963" s="2">
        <f>_xlfn.NUMBERVALUE("0.000051")</f>
        <v/>
      </c>
      <c r="D963">
        <f>_xlfn.NUMBERVALUE("0.000556")</f>
        <v/>
      </c>
      <c r="E963">
        <f>_xlfn.NUMBERVALUE("0.000054")</f>
        <v/>
      </c>
      <c r="F963">
        <f>_xlfn.NUMBERVALUE("0.000666")</f>
        <v/>
      </c>
      <c r="G963">
        <f>_xlfn.NUMBERVALUE("-0.000971")</f>
        <v/>
      </c>
      <c r="H963">
        <f>_xlfn.NUMBERVALUE("0.000160")</f>
        <v/>
      </c>
      <c r="I963">
        <f>_xlfn.NUMBERVALUE("0.000055")</f>
        <v/>
      </c>
      <c r="J963">
        <f>_xlfn.NUMBERVALUE("-0.000071")</f>
        <v/>
      </c>
      <c r="K963">
        <f>_xlfn.NUMBERVALUE("0.001573")</f>
        <v/>
      </c>
      <c r="L963">
        <f>_xlfn.NUMBERVALUE("0.001646")</f>
        <v/>
      </c>
      <c r="M963">
        <f>_xlfn.NUMBERVALUE("-0.000534")</f>
        <v/>
      </c>
      <c r="N963">
        <f>_xlfn.NUMBERVALUE("-0.002364")</f>
        <v/>
      </c>
      <c r="O963">
        <f>_xlfn.NUMBERVALUE("0.000329")</f>
        <v/>
      </c>
      <c r="P963">
        <f>_xlfn.NUMBERVALUE("0.000126")</f>
        <v/>
      </c>
      <c r="Q963">
        <f>_xlfn.NUMBERVALUE("0.000088")</f>
        <v/>
      </c>
      <c r="R963">
        <f>_xlfn.NUMBERVALUE("-0.000337")</f>
        <v/>
      </c>
      <c r="S963">
        <f>_xlfn.NUMBERVALUE("0.000510")</f>
        <v/>
      </c>
      <c r="T963">
        <f>_xlfn.NUMBERVALUE("0.000862")</f>
        <v/>
      </c>
      <c r="U963">
        <f>_xlfn.NUMBERVALUE("-0.000679")</f>
        <v/>
      </c>
      <c r="V963">
        <f>_xlfn.NUMBERVALUE("-0.000033")</f>
        <v/>
      </c>
      <c r="W963">
        <f>_xlfn.NUMBERVALUE("0.008264")</f>
        <v/>
      </c>
      <c r="X963">
        <f>_xlfn.NUMBERVALUE("-1.010000")</f>
        <v/>
      </c>
      <c r="Y963">
        <f>_xlfn.NUMBERVALUE("24.220000")</f>
        <v/>
      </c>
    </row>
    <row r="964">
      <c r="A964" s="1" t="n">
        <v>43399</v>
      </c>
      <c r="B964">
        <f>_xlfn.NUMBERVALUE("-0.004569")</f>
        <v/>
      </c>
      <c r="C964" s="2">
        <f>_xlfn.NUMBERVALUE("0.000008")</f>
        <v/>
      </c>
      <c r="D964">
        <f>_xlfn.NUMBERVALUE("-0.000173")</f>
        <v/>
      </c>
      <c r="E964">
        <f>_xlfn.NUMBERVALUE("0.000047")</f>
        <v/>
      </c>
      <c r="F964">
        <f>_xlfn.NUMBERVALUE("-0.000029")</f>
        <v/>
      </c>
      <c r="G964">
        <f>_xlfn.NUMBERVALUE("0.000780")</f>
        <v/>
      </c>
      <c r="H964">
        <f>_xlfn.NUMBERVALUE("-0.001446")</f>
        <v/>
      </c>
      <c r="I964">
        <f>_xlfn.NUMBERVALUE("-0.000082")</f>
        <v/>
      </c>
      <c r="J964">
        <f>_xlfn.NUMBERVALUE("-0.000011")</f>
        <v/>
      </c>
      <c r="K964">
        <f>_xlfn.NUMBERVALUE("0.000732")</f>
        <v/>
      </c>
      <c r="L964">
        <f>_xlfn.NUMBERVALUE("-0.000681")</f>
        <v/>
      </c>
      <c r="M964">
        <f>_xlfn.NUMBERVALUE("0.000361")</f>
        <v/>
      </c>
      <c r="N964">
        <f>_xlfn.NUMBERVALUE("-0.006958")</f>
        <v/>
      </c>
      <c r="O964">
        <f>_xlfn.NUMBERVALUE("-0.000154")</f>
        <v/>
      </c>
      <c r="P964">
        <f>_xlfn.NUMBERVALUE("-0.000220")</f>
        <v/>
      </c>
      <c r="Q964">
        <f>_xlfn.NUMBERVALUE("-0.000221")</f>
        <v/>
      </c>
      <c r="R964">
        <f>_xlfn.NUMBERVALUE("-0.003449")</f>
        <v/>
      </c>
      <c r="S964">
        <f>_xlfn.NUMBERVALUE("-0.003710")</f>
        <v/>
      </c>
      <c r="T964">
        <f>_xlfn.NUMBERVALUE("-0.002656")</f>
        <v/>
      </c>
      <c r="U964">
        <f>_xlfn.NUMBERVALUE("-0.003375")</f>
        <v/>
      </c>
      <c r="V964">
        <f>_xlfn.NUMBERVALUE("-0.000197")</f>
        <v/>
      </c>
      <c r="W964">
        <f>_xlfn.NUMBERVALUE("-0.020676")</f>
        <v/>
      </c>
      <c r="X964">
        <f>_xlfn.NUMBERVALUE("-0.060000")</f>
        <v/>
      </c>
      <c r="Y964">
        <f>_xlfn.NUMBERVALUE("24.160000")</f>
        <v/>
      </c>
    </row>
    <row r="965">
      <c r="A965" s="1" t="n">
        <v>43402</v>
      </c>
      <c r="B965">
        <f>_xlfn.NUMBERVALUE("0.006477")</f>
        <v/>
      </c>
      <c r="C965" s="2">
        <f>_xlfn.NUMBERVALUE("-0.000742")</f>
        <v/>
      </c>
      <c r="D965">
        <f>_xlfn.NUMBERVALUE("-0.000518")</f>
        <v/>
      </c>
      <c r="E965">
        <f>_xlfn.NUMBERVALUE("-0.000312")</f>
        <v/>
      </c>
      <c r="F965">
        <f>_xlfn.NUMBERVALUE("0.001207")</f>
        <v/>
      </c>
      <c r="G965">
        <f>_xlfn.NUMBERVALUE("-0.000039")</f>
        <v/>
      </c>
      <c r="H965">
        <f>_xlfn.NUMBERVALUE("0.001232")</f>
        <v/>
      </c>
      <c r="I965">
        <f>_xlfn.NUMBERVALUE("-0.000226")</f>
        <v/>
      </c>
      <c r="J965">
        <f>_xlfn.NUMBERVALUE("0.000213")</f>
        <v/>
      </c>
      <c r="K965">
        <f>_xlfn.NUMBERVALUE("-0.002131")</f>
        <v/>
      </c>
      <c r="L965">
        <f>_xlfn.NUMBERVALUE("0.000718")</f>
        <v/>
      </c>
      <c r="M965">
        <f>_xlfn.NUMBERVALUE("0.000054")</f>
        <v/>
      </c>
      <c r="N965">
        <f>_xlfn.NUMBERVALUE("-0.003979")</f>
        <v/>
      </c>
      <c r="O965">
        <f>_xlfn.NUMBERVALUE("-0.000699")</f>
        <v/>
      </c>
      <c r="P965">
        <f>_xlfn.NUMBERVALUE("-0.000251")</f>
        <v/>
      </c>
      <c r="Q965">
        <f>_xlfn.NUMBERVALUE("-0.000161")</f>
        <v/>
      </c>
      <c r="R965">
        <f>_xlfn.NUMBERVALUE("-0.002777")</f>
        <v/>
      </c>
      <c r="S965">
        <f>_xlfn.NUMBERVALUE("0.001161")</f>
        <v/>
      </c>
      <c r="T965">
        <f>_xlfn.NUMBERVALUE("-0.000474")</f>
        <v/>
      </c>
      <c r="U965">
        <f>_xlfn.NUMBERVALUE("-0.000476")</f>
        <v/>
      </c>
      <c r="V965">
        <f>_xlfn.NUMBERVALUE("-0.000172")</f>
        <v/>
      </c>
      <c r="W965">
        <f>_xlfn.NUMBERVALUE("-0.016475")</f>
        <v/>
      </c>
      <c r="X965">
        <f>_xlfn.NUMBERVALUE("0.540000")</f>
        <v/>
      </c>
      <c r="Y965">
        <f>_xlfn.NUMBERVALUE("24.700000")</f>
        <v/>
      </c>
    </row>
    <row r="966">
      <c r="A966" s="1" t="n">
        <v>43403</v>
      </c>
      <c r="B966">
        <f>_xlfn.NUMBERVALUE("-0.010706")</f>
        <v/>
      </c>
      <c r="C966" s="2">
        <f>_xlfn.NUMBERVALUE("-0.000713")</f>
        <v/>
      </c>
      <c r="D966">
        <f>_xlfn.NUMBERVALUE("0.000019")</f>
        <v/>
      </c>
      <c r="E966">
        <f>_xlfn.NUMBERVALUE("0.000148")</f>
        <v/>
      </c>
      <c r="F966">
        <f>_xlfn.NUMBERVALUE("0.000216")</f>
        <v/>
      </c>
      <c r="G966">
        <f>_xlfn.NUMBERVALUE("0.000415")</f>
        <v/>
      </c>
      <c r="H966">
        <f>_xlfn.NUMBERVALUE("-0.000093")</f>
        <v/>
      </c>
      <c r="I966">
        <f>_xlfn.NUMBERVALUE("0.000093")</f>
        <v/>
      </c>
      <c r="J966">
        <f>_xlfn.NUMBERVALUE("0.000157")</f>
        <v/>
      </c>
      <c r="K966">
        <f>_xlfn.NUMBERVALUE("0.000655")</f>
        <v/>
      </c>
      <c r="L966">
        <f>_xlfn.NUMBERVALUE("0.000358")</f>
        <v/>
      </c>
      <c r="M966">
        <f>_xlfn.NUMBERVALUE("-0.001389")</f>
        <v/>
      </c>
      <c r="N966">
        <f>_xlfn.NUMBERVALUE("-0.003555")</f>
        <v/>
      </c>
      <c r="O966">
        <f>_xlfn.NUMBERVALUE("0.000475")</f>
        <v/>
      </c>
      <c r="P966">
        <f>_xlfn.NUMBERVALUE("0.000247")</f>
        <v/>
      </c>
      <c r="Q966">
        <f>_xlfn.NUMBERVALUE("-0.000014")</f>
        <v/>
      </c>
      <c r="R966">
        <f>_xlfn.NUMBERVALUE("0.001332")</f>
        <v/>
      </c>
      <c r="S966">
        <f>_xlfn.NUMBERVALUE("-0.005642")</f>
        <v/>
      </c>
      <c r="T966">
        <f>_xlfn.NUMBERVALUE("0.001462")</f>
        <v/>
      </c>
      <c r="U966">
        <f>_xlfn.NUMBERVALUE("0.000149")</f>
        <v/>
      </c>
      <c r="V966">
        <f>_xlfn.NUMBERVALUE("0.000082")</f>
        <v/>
      </c>
      <c r="W966">
        <f>_xlfn.NUMBERVALUE("0.023762")</f>
        <v/>
      </c>
      <c r="X966">
        <f>_xlfn.NUMBERVALUE("-1.350000")</f>
        <v/>
      </c>
      <c r="Y966">
        <f>_xlfn.NUMBERVALUE("23.350000")</f>
        <v/>
      </c>
    </row>
    <row r="967">
      <c r="A967" s="1" t="n">
        <v>43404</v>
      </c>
      <c r="B967">
        <f>_xlfn.NUMBERVALUE("-0.006128")</f>
        <v/>
      </c>
      <c r="C967" s="2">
        <f>_xlfn.NUMBERVALUE("0.001125")</f>
        <v/>
      </c>
      <c r="D967">
        <f>_xlfn.NUMBERVALUE("-0.000031")</f>
        <v/>
      </c>
      <c r="E967">
        <f>_xlfn.NUMBERVALUE("-0.000157")</f>
        <v/>
      </c>
      <c r="F967">
        <f>_xlfn.NUMBERVALUE("0.000266")</f>
        <v/>
      </c>
      <c r="G967">
        <f>_xlfn.NUMBERVALUE("0.000836")</f>
        <v/>
      </c>
      <c r="H967">
        <f>_xlfn.NUMBERVALUE("0.000462")</f>
        <v/>
      </c>
      <c r="I967">
        <f>_xlfn.NUMBERVALUE("-0.000088")</f>
        <v/>
      </c>
      <c r="J967">
        <f>_xlfn.NUMBERVALUE("0.000135")</f>
        <v/>
      </c>
      <c r="K967">
        <f>_xlfn.NUMBERVALUE("-0.000551")</f>
        <v/>
      </c>
      <c r="L967">
        <f>_xlfn.NUMBERVALUE("0.000648")</f>
        <v/>
      </c>
      <c r="M967">
        <f>_xlfn.NUMBERVALUE("0.000787")</f>
        <v/>
      </c>
      <c r="N967">
        <f>_xlfn.NUMBERVALUE("0.001634")</f>
        <v/>
      </c>
      <c r="O967">
        <f>_xlfn.NUMBERVALUE("-0.000073")</f>
        <v/>
      </c>
      <c r="P967">
        <f>_xlfn.NUMBERVALUE("0.000330")</f>
        <v/>
      </c>
      <c r="Q967">
        <f>_xlfn.NUMBERVALUE("-0.000365")</f>
        <v/>
      </c>
      <c r="R967">
        <f>_xlfn.NUMBERVALUE("0.000597")</f>
        <v/>
      </c>
      <c r="S967">
        <f>_xlfn.NUMBERVALUE("0.004133")</f>
        <v/>
      </c>
      <c r="T967">
        <f>_xlfn.NUMBERVALUE("0.000758")</f>
        <v/>
      </c>
      <c r="U967">
        <f>_xlfn.NUMBERVALUE("-0.001027")</f>
        <v/>
      </c>
      <c r="V967">
        <f>_xlfn.NUMBERVALUE("-0.000031")</f>
        <v/>
      </c>
      <c r="W967">
        <f>_xlfn.NUMBERVALUE("0.017414")</f>
        <v/>
      </c>
      <c r="X967">
        <f>_xlfn.NUMBERVALUE("-2.120000")</f>
        <v/>
      </c>
      <c r="Y967">
        <f>_xlfn.NUMBERVALUE("21.230000")</f>
        <v/>
      </c>
    </row>
    <row r="968">
      <c r="A968" s="1" t="n">
        <v>43405</v>
      </c>
      <c r="B968">
        <f>_xlfn.NUMBERVALUE("-0.008712")</f>
        <v/>
      </c>
      <c r="C968" s="2">
        <f>_xlfn.NUMBERVALUE("-0.000015")</f>
        <v/>
      </c>
      <c r="D968">
        <f>_xlfn.NUMBERVALUE("-0.000061")</f>
        <v/>
      </c>
      <c r="E968">
        <f>_xlfn.NUMBERVALUE("0.000051")</f>
        <v/>
      </c>
      <c r="F968">
        <f>_xlfn.NUMBERVALUE("-0.001027")</f>
        <v/>
      </c>
      <c r="G968">
        <f>_xlfn.NUMBERVALUE("0.000615")</f>
        <v/>
      </c>
      <c r="H968">
        <f>_xlfn.NUMBERVALUE("0.001870")</f>
        <v/>
      </c>
      <c r="I968">
        <f>_xlfn.NUMBERVALUE("-0.000064")</f>
        <v/>
      </c>
      <c r="J968">
        <f>_xlfn.NUMBERVALUE("0.000072")</f>
        <v/>
      </c>
      <c r="K968">
        <f>_xlfn.NUMBERVALUE("0.000011")</f>
        <v/>
      </c>
      <c r="L968">
        <f>_xlfn.NUMBERVALUE("0.002573")</f>
        <v/>
      </c>
      <c r="M968">
        <f>_xlfn.NUMBERVALUE("0.000337")</f>
        <v/>
      </c>
      <c r="N968">
        <f>_xlfn.NUMBERVALUE("0.003632")</f>
        <v/>
      </c>
      <c r="O968">
        <f>_xlfn.NUMBERVALUE("-0.000102")</f>
        <v/>
      </c>
      <c r="P968">
        <f>_xlfn.NUMBERVALUE("-0.000353")</f>
        <v/>
      </c>
      <c r="Q968">
        <f>_xlfn.NUMBERVALUE("0.000173")</f>
        <v/>
      </c>
      <c r="R968">
        <f>_xlfn.NUMBERVALUE("0.000107")</f>
        <v/>
      </c>
      <c r="S968">
        <f>_xlfn.NUMBERVALUE("0.002070")</f>
        <v/>
      </c>
      <c r="T968">
        <f>_xlfn.NUMBERVALUE("0.002230")</f>
        <v/>
      </c>
      <c r="U968">
        <f>_xlfn.NUMBERVALUE("0.002004")</f>
        <v/>
      </c>
      <c r="V968">
        <f>_xlfn.NUMBERVALUE("-0.000059")</f>
        <v/>
      </c>
      <c r="W968">
        <f>_xlfn.NUMBERVALUE("0.002659")</f>
        <v/>
      </c>
      <c r="X968">
        <f>_xlfn.NUMBERVALUE("-1.890000")</f>
        <v/>
      </c>
      <c r="Y968">
        <f>_xlfn.NUMBERVALUE("19.340000")</f>
        <v/>
      </c>
    </row>
    <row r="969">
      <c r="A969" s="1" t="n">
        <v>43406</v>
      </c>
      <c r="B969">
        <f>_xlfn.NUMBERVALUE("0.002790")</f>
        <v/>
      </c>
      <c r="C969" s="2">
        <f>_xlfn.NUMBERVALUE("0.000109")</f>
        <v/>
      </c>
      <c r="D969">
        <f>_xlfn.NUMBERVALUE("-0.003923")</f>
        <v/>
      </c>
      <c r="E969">
        <f>_xlfn.NUMBERVALUE("-0.000855")</f>
        <v/>
      </c>
      <c r="F969">
        <f>_xlfn.NUMBERVALUE("0.000535")</f>
        <v/>
      </c>
      <c r="G969">
        <f>_xlfn.NUMBERVALUE("0.000138")</f>
        <v/>
      </c>
      <c r="H969">
        <f>_xlfn.NUMBERVALUE("0.015435")</f>
        <v/>
      </c>
      <c r="I969">
        <f>_xlfn.NUMBERVALUE("0.000803")</f>
        <v/>
      </c>
      <c r="J969">
        <f>_xlfn.NUMBERVALUE("-0.000719")</f>
        <v/>
      </c>
      <c r="K969">
        <f>_xlfn.NUMBERVALUE("0.001246")</f>
        <v/>
      </c>
      <c r="L969">
        <f>_xlfn.NUMBERVALUE("-0.003904")</f>
        <v/>
      </c>
      <c r="M969">
        <f>_xlfn.NUMBERVALUE("0.000260")</f>
        <v/>
      </c>
      <c r="N969">
        <f>_xlfn.NUMBERVALUE("0.001018")</f>
        <v/>
      </c>
      <c r="O969">
        <f>_xlfn.NUMBERVALUE("-0.000184")</f>
        <v/>
      </c>
      <c r="P969">
        <f>_xlfn.NUMBERVALUE("0.000550")</f>
        <v/>
      </c>
      <c r="Q969">
        <f>_xlfn.NUMBERVALUE("0.000075")</f>
        <v/>
      </c>
      <c r="R969">
        <f>_xlfn.NUMBERVALUE("-0.000597")</f>
        <v/>
      </c>
      <c r="S969">
        <f>_xlfn.NUMBERVALUE("0.001913")</f>
        <v/>
      </c>
      <c r="T969">
        <f>_xlfn.NUMBERVALUE("0.001221")</f>
        <v/>
      </c>
      <c r="U969">
        <f>_xlfn.NUMBERVALUE("0.000397")</f>
        <v/>
      </c>
      <c r="V969">
        <f>_xlfn.NUMBERVALUE("0.000161")</f>
        <v/>
      </c>
      <c r="W969">
        <f>_xlfn.NUMBERVALUE("-0.005015")</f>
        <v/>
      </c>
      <c r="X969">
        <f>_xlfn.NUMBERVALUE("0.170000")</f>
        <v/>
      </c>
      <c r="Y969">
        <f>_xlfn.NUMBERVALUE("19.510000")</f>
        <v/>
      </c>
    </row>
    <row r="970">
      <c r="A970" s="1" t="n">
        <v>43409</v>
      </c>
      <c r="B970">
        <f>_xlfn.NUMBERVALUE("0.000663")</f>
        <v/>
      </c>
      <c r="C970" s="2">
        <f>_xlfn.NUMBERVALUE("0.000265")</f>
        <v/>
      </c>
      <c r="D970">
        <f>_xlfn.NUMBERVALUE("0.003064")</f>
        <v/>
      </c>
      <c r="E970">
        <f>_xlfn.NUMBERVALUE("0.002465")</f>
        <v/>
      </c>
      <c r="F970">
        <f>_xlfn.NUMBERVALUE("0.001236")</f>
        <v/>
      </c>
      <c r="G970">
        <f>_xlfn.NUMBERVALUE("0.000594")</f>
        <v/>
      </c>
      <c r="H970">
        <f>_xlfn.NUMBERVALUE("-0.000762")</f>
        <v/>
      </c>
      <c r="I970">
        <f>_xlfn.NUMBERVALUE("0.002123")</f>
        <v/>
      </c>
      <c r="J970">
        <f>_xlfn.NUMBERVALUE("0.000117")</f>
        <v/>
      </c>
      <c r="K970">
        <f>_xlfn.NUMBERVALUE("0.001010")</f>
        <v/>
      </c>
      <c r="L970">
        <f>_xlfn.NUMBERVALUE("0.000340")</f>
        <v/>
      </c>
      <c r="M970">
        <f>_xlfn.NUMBERVALUE("-0.000192")</f>
        <v/>
      </c>
      <c r="N970">
        <f>_xlfn.NUMBERVALUE("0.005260")</f>
        <v/>
      </c>
      <c r="O970">
        <f>_xlfn.NUMBERVALUE("0.000076")</f>
        <v/>
      </c>
      <c r="P970">
        <f>_xlfn.NUMBERVALUE("-0.000040")</f>
        <v/>
      </c>
      <c r="Q970">
        <f>_xlfn.NUMBERVALUE("-0.000577")</f>
        <v/>
      </c>
      <c r="R970">
        <f>_xlfn.NUMBERVALUE("0.000046")</f>
        <v/>
      </c>
      <c r="S970">
        <f>_xlfn.NUMBERVALUE("-0.000328")</f>
        <v/>
      </c>
      <c r="T970">
        <f>_xlfn.NUMBERVALUE("0.002272")</f>
        <v/>
      </c>
      <c r="U970">
        <f>_xlfn.NUMBERVALUE("0.000024")</f>
        <v/>
      </c>
      <c r="V970">
        <f>_xlfn.NUMBERVALUE("0.000674")</f>
        <v/>
      </c>
      <c r="W970">
        <f>_xlfn.NUMBERVALUE("0.005353")</f>
        <v/>
      </c>
      <c r="X970">
        <f>_xlfn.NUMBERVALUE("0.450000")</f>
        <v/>
      </c>
      <c r="Y970">
        <f>_xlfn.NUMBERVALUE("19.960000")</f>
        <v/>
      </c>
    </row>
    <row r="971">
      <c r="A971" s="1" t="n">
        <v>43410</v>
      </c>
      <c r="B971">
        <f>_xlfn.NUMBERVALUE("0.000432")</f>
        <v/>
      </c>
      <c r="C971" s="2">
        <f>_xlfn.NUMBERVALUE("0.000484")</f>
        <v/>
      </c>
      <c r="D971">
        <f>_xlfn.NUMBERVALUE("0.001487")</f>
        <v/>
      </c>
      <c r="E971">
        <f>_xlfn.NUMBERVALUE("0.001675")</f>
        <v/>
      </c>
      <c r="F971">
        <f>_xlfn.NUMBERVALUE("-0.000216")</f>
        <v/>
      </c>
      <c r="G971">
        <f>_xlfn.NUMBERVALUE("0.000643")</f>
        <v/>
      </c>
      <c r="H971">
        <f>_xlfn.NUMBERVALUE("0.000011")</f>
        <v/>
      </c>
      <c r="I971">
        <f>_xlfn.NUMBERVALUE("0.001379")</f>
        <v/>
      </c>
      <c r="J971">
        <f>_xlfn.NUMBERVALUE("-0.000603")</f>
        <v/>
      </c>
      <c r="K971">
        <f>_xlfn.NUMBERVALUE("-0.000235")</f>
        <v/>
      </c>
      <c r="L971">
        <f>_xlfn.NUMBERVALUE("0.000021")</f>
        <v/>
      </c>
      <c r="M971">
        <f>_xlfn.NUMBERVALUE("-0.000005")</f>
        <v/>
      </c>
      <c r="N971">
        <f>_xlfn.NUMBERVALUE("0.003469")</f>
        <v/>
      </c>
      <c r="O971">
        <f>_xlfn.NUMBERVALUE("-0.000068")</f>
        <v/>
      </c>
      <c r="P971">
        <f>_xlfn.NUMBERVALUE("0.000010")</f>
        <v/>
      </c>
      <c r="Q971">
        <f>_xlfn.NUMBERVALUE("0.000353")</f>
        <v/>
      </c>
      <c r="R971">
        <f>_xlfn.NUMBERVALUE("-0.000052")</f>
        <v/>
      </c>
      <c r="S971">
        <f>_xlfn.NUMBERVALUE("0.000350")</f>
        <v/>
      </c>
      <c r="T971">
        <f>_xlfn.NUMBERVALUE("0.005077")</f>
        <v/>
      </c>
      <c r="U971">
        <f>_xlfn.NUMBERVALUE("-0.000020")</f>
        <v/>
      </c>
      <c r="V971">
        <f>_xlfn.NUMBERVALUE("0.000101")</f>
        <v/>
      </c>
      <c r="W971">
        <f>_xlfn.NUMBERVALUE("0.003769")</f>
        <v/>
      </c>
      <c r="X971">
        <f>_xlfn.NUMBERVALUE("-0.050000")</f>
        <v/>
      </c>
      <c r="Y971">
        <f>_xlfn.NUMBERVALUE("19.910000")</f>
        <v/>
      </c>
    </row>
    <row r="972">
      <c r="A972" s="1" t="n">
        <v>43411</v>
      </c>
      <c r="B972">
        <f>_xlfn.NUMBERVALUE("0.000207")</f>
        <v/>
      </c>
      <c r="C972" s="2">
        <f>_xlfn.NUMBERVALUE("-0.001157")</f>
        <v/>
      </c>
      <c r="D972">
        <f>_xlfn.NUMBERVALUE("0.002341")</f>
        <v/>
      </c>
      <c r="E972">
        <f>_xlfn.NUMBERVALUE("0.000448")</f>
        <v/>
      </c>
      <c r="F972">
        <f>_xlfn.NUMBERVALUE("0.002952")</f>
        <v/>
      </c>
      <c r="G972">
        <f>_xlfn.NUMBERVALUE("-0.000556")</f>
        <v/>
      </c>
      <c r="H972">
        <f>_xlfn.NUMBERVALUE("0.001407")</f>
        <v/>
      </c>
      <c r="I972">
        <f>_xlfn.NUMBERVALUE("0.003235")</f>
        <v/>
      </c>
      <c r="J972">
        <f>_xlfn.NUMBERVALUE("0.001391")</f>
        <v/>
      </c>
      <c r="K972">
        <f>_xlfn.NUMBERVALUE("0.001475")</f>
        <v/>
      </c>
      <c r="L972">
        <f>_xlfn.NUMBERVALUE("0.004365")</f>
        <v/>
      </c>
      <c r="M972">
        <f>_xlfn.NUMBERVALUE("0.002022")</f>
        <v/>
      </c>
      <c r="N972">
        <f>_xlfn.NUMBERVALUE("0.002593")</f>
        <v/>
      </c>
      <c r="O972">
        <f>_xlfn.NUMBERVALUE("0.002671")</f>
        <v/>
      </c>
      <c r="P972">
        <f>_xlfn.NUMBERVALUE("0.004372")</f>
        <v/>
      </c>
      <c r="Q972">
        <f>_xlfn.NUMBERVALUE("0.004477")</f>
        <v/>
      </c>
      <c r="R972">
        <f>_xlfn.NUMBERVALUE("-0.001121")</f>
        <v/>
      </c>
      <c r="S972">
        <f>_xlfn.NUMBERVALUE("0.002494")</f>
        <v/>
      </c>
      <c r="T972">
        <f>_xlfn.NUMBERVALUE("-0.000115")</f>
        <v/>
      </c>
      <c r="U972">
        <f>_xlfn.NUMBERVALUE("-0.002224")</f>
        <v/>
      </c>
      <c r="V972">
        <f>_xlfn.NUMBERVALUE("-0.001008")</f>
        <v/>
      </c>
      <c r="W972">
        <f>_xlfn.NUMBERVALUE("0.023114")</f>
        <v/>
      </c>
      <c r="X972">
        <f>_xlfn.NUMBERVALUE("-3.550000")</f>
        <v/>
      </c>
      <c r="Y972">
        <f>_xlfn.NUMBERVALUE("16.360000")</f>
        <v/>
      </c>
    </row>
    <row r="973">
      <c r="A973" s="1" t="n">
        <v>43412</v>
      </c>
      <c r="B973">
        <f>_xlfn.NUMBERVALUE("-0.000374")</f>
        <v/>
      </c>
      <c r="C973" s="2">
        <f>_xlfn.NUMBERVALUE("0.000447")</f>
        <v/>
      </c>
      <c r="D973">
        <f>_xlfn.NUMBERVALUE("-0.001846")</f>
        <v/>
      </c>
      <c r="E973">
        <f>_xlfn.NUMBERVALUE("0.000971")</f>
        <v/>
      </c>
      <c r="F973">
        <f>_xlfn.NUMBERVALUE("0.000006")</f>
        <v/>
      </c>
      <c r="G973">
        <f>_xlfn.NUMBERVALUE("-0.000059")</f>
        <v/>
      </c>
      <c r="H973">
        <f>_xlfn.NUMBERVALUE("-0.030147")</f>
        <v/>
      </c>
      <c r="I973">
        <f>_xlfn.NUMBERVALUE("0.001217")</f>
        <v/>
      </c>
      <c r="J973">
        <f>_xlfn.NUMBERVALUE("0.000919")</f>
        <v/>
      </c>
      <c r="K973">
        <f>_xlfn.NUMBERVALUE("-0.001364")</f>
        <v/>
      </c>
      <c r="L973">
        <f>_xlfn.NUMBERVALUE("0.000543")</f>
        <v/>
      </c>
      <c r="M973">
        <f>_xlfn.NUMBERVALUE("0.001051")</f>
        <v/>
      </c>
      <c r="N973">
        <f>_xlfn.NUMBERVALUE("0.000851")</f>
        <v/>
      </c>
      <c r="O973">
        <f>_xlfn.NUMBERVALUE("-0.002074")</f>
        <v/>
      </c>
      <c r="P973">
        <f>_xlfn.NUMBERVALUE("0.000350")</f>
        <v/>
      </c>
      <c r="Q973">
        <f>_xlfn.NUMBERVALUE("0.001213")</f>
        <v/>
      </c>
      <c r="R973">
        <f>_xlfn.NUMBERVALUE("0.001251")</f>
        <v/>
      </c>
      <c r="S973">
        <f>_xlfn.NUMBERVALUE("0.001379")</f>
        <v/>
      </c>
      <c r="T973">
        <f>_xlfn.NUMBERVALUE("0.001036")</f>
        <v/>
      </c>
      <c r="U973">
        <f>_xlfn.NUMBERVALUE("0.000627")</f>
        <v/>
      </c>
      <c r="V973">
        <f>_xlfn.NUMBERVALUE("0.000863")</f>
        <v/>
      </c>
      <c r="W973">
        <f>_xlfn.NUMBERVALUE("-0.003243")</f>
        <v/>
      </c>
      <c r="X973">
        <f>_xlfn.NUMBERVALUE("0.360000")</f>
        <v/>
      </c>
      <c r="Y973">
        <f>_xlfn.NUMBERVALUE("16.720000")</f>
        <v/>
      </c>
    </row>
    <row r="974">
      <c r="A974" s="1" t="n">
        <v>43413</v>
      </c>
      <c r="B974">
        <f>_xlfn.NUMBERVALUE("0.000129")</f>
        <v/>
      </c>
      <c r="C974" s="2">
        <f>_xlfn.NUMBERVALUE("0.000600")</f>
        <v/>
      </c>
      <c r="D974">
        <f>_xlfn.NUMBERVALUE("-0.001573")</f>
        <v/>
      </c>
      <c r="E974">
        <f>_xlfn.NUMBERVALUE("0.000734")</f>
        <v/>
      </c>
      <c r="F974">
        <f>_xlfn.NUMBERVALUE("-0.002034")</f>
        <v/>
      </c>
      <c r="G974">
        <f>_xlfn.NUMBERVALUE("-0.000115")</f>
        <v/>
      </c>
      <c r="H974">
        <f>_xlfn.NUMBERVALUE("0.031747")</f>
        <v/>
      </c>
      <c r="I974">
        <f>_xlfn.NUMBERVALUE("-0.001580")</f>
        <v/>
      </c>
      <c r="J974">
        <f>_xlfn.NUMBERVALUE("0.000019")</f>
        <v/>
      </c>
      <c r="K974">
        <f>_xlfn.NUMBERVALUE("-0.002603")</f>
        <v/>
      </c>
      <c r="L974">
        <f>_xlfn.NUMBERVALUE("-0.000066")</f>
        <v/>
      </c>
      <c r="M974">
        <f>_xlfn.NUMBERVALUE("-0.000442")</f>
        <v/>
      </c>
      <c r="N974">
        <f>_xlfn.NUMBERVALUE("-0.001340")</f>
        <v/>
      </c>
      <c r="O974">
        <f>_xlfn.NUMBERVALUE("-0.001370")</f>
        <v/>
      </c>
      <c r="P974">
        <f>_xlfn.NUMBERVALUE("0.000148")</f>
        <v/>
      </c>
      <c r="Q974">
        <f>_xlfn.NUMBERVALUE("0.000396")</f>
        <v/>
      </c>
      <c r="R974">
        <f>_xlfn.NUMBERVALUE("-0.000730")</f>
        <v/>
      </c>
      <c r="S974">
        <f>_xlfn.NUMBERVALUE("-0.002583")</f>
        <v/>
      </c>
      <c r="T974">
        <f>_xlfn.NUMBERVALUE("0.000479")</f>
        <v/>
      </c>
      <c r="U974">
        <f>_xlfn.NUMBERVALUE("-0.000350")</f>
        <v/>
      </c>
      <c r="V974">
        <f>_xlfn.NUMBERVALUE("0.000623")</f>
        <v/>
      </c>
      <c r="W974">
        <f>_xlfn.NUMBERVALUE("-0.004433")</f>
        <v/>
      </c>
      <c r="X974">
        <f>_xlfn.NUMBERVALUE("0.640000")</f>
        <v/>
      </c>
      <c r="Y974">
        <f>_xlfn.NUMBERVALUE("17.360000")</f>
        <v/>
      </c>
    </row>
    <row r="975">
      <c r="A975" s="1" t="n">
        <v>43416</v>
      </c>
      <c r="B975">
        <f>_xlfn.NUMBERVALUE("-0.033629")</f>
        <v/>
      </c>
      <c r="C975" s="2">
        <f>_xlfn.NUMBERVALUE("-0.005391")</f>
        <v/>
      </c>
      <c r="D975">
        <f>_xlfn.NUMBERVALUE("0.000396")</f>
        <v/>
      </c>
      <c r="E975">
        <f>_xlfn.NUMBERVALUE("-0.002549")</f>
        <v/>
      </c>
      <c r="F975">
        <f>_xlfn.NUMBERVALUE("-0.000822")</f>
        <v/>
      </c>
      <c r="G975">
        <f>_xlfn.NUMBERVALUE("-0.001549")</f>
        <v/>
      </c>
      <c r="H975">
        <f>_xlfn.NUMBERVALUE("0.000188")</f>
        <v/>
      </c>
      <c r="I975">
        <f>_xlfn.NUMBERVALUE("-0.002879")</f>
        <v/>
      </c>
      <c r="J975">
        <f>_xlfn.NUMBERVALUE("0.000402")</f>
        <v/>
      </c>
      <c r="K975">
        <f>_xlfn.NUMBERVALUE("-0.000696")</f>
        <v/>
      </c>
      <c r="L975">
        <f>_xlfn.NUMBERVALUE("-0.000071")</f>
        <v/>
      </c>
      <c r="M975">
        <f>_xlfn.NUMBERVALUE("-0.002697")</f>
        <v/>
      </c>
      <c r="N975">
        <f>_xlfn.NUMBERVALUE("-0.000803")</f>
        <v/>
      </c>
      <c r="O975">
        <f>_xlfn.NUMBERVALUE("-0.005446")</f>
        <v/>
      </c>
      <c r="P975">
        <f>_xlfn.NUMBERVALUE("-0.005049")</f>
        <v/>
      </c>
      <c r="Q975">
        <f>_xlfn.NUMBERVALUE("-0.004097")</f>
        <v/>
      </c>
      <c r="R975">
        <f>_xlfn.NUMBERVALUE("-0.007773")</f>
        <v/>
      </c>
      <c r="S975">
        <f>_xlfn.NUMBERVALUE("-0.001758")</f>
        <v/>
      </c>
      <c r="T975">
        <f>_xlfn.NUMBERVALUE("-0.000637")</f>
        <v/>
      </c>
      <c r="U975">
        <f>_xlfn.NUMBERVALUE("-0.003915")</f>
        <v/>
      </c>
      <c r="V975">
        <f>_xlfn.NUMBERVALUE("-0.003351")</f>
        <v/>
      </c>
      <c r="W975">
        <f>_xlfn.NUMBERVALUE("-0.019606")</f>
        <v/>
      </c>
      <c r="X975">
        <f>_xlfn.NUMBERVALUE("3.090000")</f>
        <v/>
      </c>
      <c r="Y975">
        <f>_xlfn.NUMBERVALUE("20.450000")</f>
        <v/>
      </c>
    </row>
    <row r="976">
      <c r="A976" s="1" t="n">
        <v>43417</v>
      </c>
      <c r="B976">
        <f>_xlfn.NUMBERVALUE("0.008003")</f>
        <v/>
      </c>
      <c r="C976" s="2">
        <f>_xlfn.NUMBERVALUE("0.001255")</f>
        <v/>
      </c>
      <c r="D976">
        <f>_xlfn.NUMBERVALUE("-0.001435")</f>
        <v/>
      </c>
      <c r="E976">
        <f>_xlfn.NUMBERVALUE("-0.000227")</f>
        <v/>
      </c>
      <c r="F976">
        <f>_xlfn.NUMBERVALUE("0.000404")</f>
        <v/>
      </c>
      <c r="G976">
        <f>_xlfn.NUMBERVALUE("-0.000160")</f>
        <v/>
      </c>
      <c r="H976">
        <f>_xlfn.NUMBERVALUE("0.001338")</f>
        <v/>
      </c>
      <c r="I976">
        <f>_xlfn.NUMBERVALUE("0.000974")</f>
        <v/>
      </c>
      <c r="J976">
        <f>_xlfn.NUMBERVALUE("0.000483")</f>
        <v/>
      </c>
      <c r="K976">
        <f>_xlfn.NUMBERVALUE("0.001022")</f>
        <v/>
      </c>
      <c r="L976">
        <f>_xlfn.NUMBERVALUE("-0.000079")</f>
        <v/>
      </c>
      <c r="M976">
        <f>_xlfn.NUMBERVALUE("0.000672")</f>
        <v/>
      </c>
      <c r="N976">
        <f>_xlfn.NUMBERVALUE("0.000077")</f>
        <v/>
      </c>
      <c r="O976">
        <f>_xlfn.NUMBERVALUE("-0.005393")</f>
        <v/>
      </c>
      <c r="P976">
        <f>_xlfn.NUMBERVALUE("0.001746")</f>
        <v/>
      </c>
      <c r="Q976">
        <f>_xlfn.NUMBERVALUE("0.000283")</f>
        <v/>
      </c>
      <c r="R976">
        <f>_xlfn.NUMBERVALUE("0.001193")</f>
        <v/>
      </c>
      <c r="S976">
        <f>_xlfn.NUMBERVALUE("-0.001096")</f>
        <v/>
      </c>
      <c r="T976">
        <f>_xlfn.NUMBERVALUE("0.000979")</f>
        <v/>
      </c>
      <c r="U976">
        <f>_xlfn.NUMBERVALUE("0.001001")</f>
        <v/>
      </c>
      <c r="V976">
        <f>_xlfn.NUMBERVALUE("0.001226")</f>
        <v/>
      </c>
      <c r="W976">
        <f>_xlfn.NUMBERVALUE("-0.003516")</f>
        <v/>
      </c>
      <c r="X976">
        <f>_xlfn.NUMBERVALUE("-0.430000")</f>
        <v/>
      </c>
      <c r="Y976">
        <f>_xlfn.NUMBERVALUE("20.020000")</f>
        <v/>
      </c>
    </row>
    <row r="977">
      <c r="A977" s="1" t="n">
        <v>43418</v>
      </c>
      <c r="B977">
        <f>_xlfn.NUMBERVALUE("0.000158")</f>
        <v/>
      </c>
      <c r="C977" s="2">
        <f>_xlfn.NUMBERVALUE("-0.000140")</f>
        <v/>
      </c>
      <c r="D977">
        <f>_xlfn.NUMBERVALUE("-0.000291")</f>
        <v/>
      </c>
      <c r="E977">
        <f>_xlfn.NUMBERVALUE("-0.000544")</f>
        <v/>
      </c>
      <c r="F977">
        <f>_xlfn.NUMBERVALUE("-0.000864")</f>
        <v/>
      </c>
      <c r="G977">
        <f>_xlfn.NUMBERVALUE("-0.000634")</f>
        <v/>
      </c>
      <c r="H977">
        <f>_xlfn.NUMBERVALUE("0.000010")</f>
        <v/>
      </c>
      <c r="I977">
        <f>_xlfn.NUMBERVALUE("0.001130")</f>
        <v/>
      </c>
      <c r="J977">
        <f>_xlfn.NUMBERVALUE("0.000597")</f>
        <v/>
      </c>
      <c r="K977">
        <f>_xlfn.NUMBERVALUE("-0.000121")</f>
        <v/>
      </c>
      <c r="L977">
        <f>_xlfn.NUMBERVALUE("0.000369")</f>
        <v/>
      </c>
      <c r="M977">
        <f>_xlfn.NUMBERVALUE("-0.000637")</f>
        <v/>
      </c>
      <c r="N977">
        <f>_xlfn.NUMBERVALUE("0.004053")</f>
        <v/>
      </c>
      <c r="O977">
        <f>_xlfn.NUMBERVALUE("0.001064")</f>
        <v/>
      </c>
      <c r="P977">
        <f>_xlfn.NUMBERVALUE("-0.002188")</f>
        <v/>
      </c>
      <c r="Q977">
        <f>_xlfn.NUMBERVALUE("-0.000267")</f>
        <v/>
      </c>
      <c r="R977">
        <f>_xlfn.NUMBERVALUE("0.000716")</f>
        <v/>
      </c>
      <c r="S977">
        <f>_xlfn.NUMBERVALUE("0.001762")</f>
        <v/>
      </c>
      <c r="T977">
        <f>_xlfn.NUMBERVALUE("0.000107")</f>
        <v/>
      </c>
      <c r="U977">
        <f>_xlfn.NUMBERVALUE("-0.000299")</f>
        <v/>
      </c>
      <c r="V977">
        <f>_xlfn.NUMBERVALUE("-0.000262")</f>
        <v/>
      </c>
      <c r="W977">
        <f>_xlfn.NUMBERVALUE("-0.004411")</f>
        <v/>
      </c>
      <c r="X977">
        <f>_xlfn.NUMBERVALUE("1.230000")</f>
        <v/>
      </c>
      <c r="Y977">
        <f>_xlfn.NUMBERVALUE("21.250000")</f>
        <v/>
      </c>
    </row>
    <row r="978">
      <c r="A978" s="1" t="n">
        <v>43419</v>
      </c>
      <c r="B978">
        <f>_xlfn.NUMBERVALUE("0.020399")</f>
        <v/>
      </c>
      <c r="C978" s="2">
        <f>_xlfn.NUMBERVALUE("0.001547")</f>
        <v/>
      </c>
      <c r="D978">
        <f>_xlfn.NUMBERVALUE("-0.004279")</f>
        <v/>
      </c>
      <c r="E978">
        <f>_xlfn.NUMBERVALUE("0.000721")</f>
        <v/>
      </c>
      <c r="F978">
        <f>_xlfn.NUMBERVALUE("0.001302")</f>
        <v/>
      </c>
      <c r="G978">
        <f>_xlfn.NUMBERVALUE("-0.000922")</f>
        <v/>
      </c>
      <c r="H978">
        <f>_xlfn.NUMBERVALUE("-0.000661")</f>
        <v/>
      </c>
      <c r="I978">
        <f>_xlfn.NUMBERVALUE("0.000148")</f>
        <v/>
      </c>
      <c r="J978">
        <f>_xlfn.NUMBERVALUE("0.000496")</f>
        <v/>
      </c>
      <c r="K978">
        <f>_xlfn.NUMBERVALUE("0.000452")</f>
        <v/>
      </c>
      <c r="L978">
        <f>_xlfn.NUMBERVALUE("0.000710")</f>
        <v/>
      </c>
      <c r="M978">
        <f>_xlfn.NUMBERVALUE("-0.000269")</f>
        <v/>
      </c>
      <c r="N978">
        <f>_xlfn.NUMBERVALUE("0.003706")</f>
        <v/>
      </c>
      <c r="O978">
        <f>_xlfn.NUMBERVALUE("0.000725")</f>
        <v/>
      </c>
      <c r="P978">
        <f>_xlfn.NUMBERVALUE("0.001475")</f>
        <v/>
      </c>
      <c r="Q978">
        <f>_xlfn.NUMBERVALUE("0.000175")</f>
        <v/>
      </c>
      <c r="R978">
        <f>_xlfn.NUMBERVALUE("-0.001016")</f>
        <v/>
      </c>
      <c r="S978">
        <f>_xlfn.NUMBERVALUE("0.001330")</f>
        <v/>
      </c>
      <c r="T978">
        <f>_xlfn.NUMBERVALUE("-0.000068")</f>
        <v/>
      </c>
      <c r="U978">
        <f>_xlfn.NUMBERVALUE("0.001189")</f>
        <v/>
      </c>
      <c r="V978">
        <f>_xlfn.NUMBERVALUE("0.000605")</f>
        <v/>
      </c>
      <c r="W978">
        <f>_xlfn.NUMBERVALUE("0.005981")</f>
        <v/>
      </c>
      <c r="X978">
        <f>_xlfn.NUMBERVALUE("-1.270000")</f>
        <v/>
      </c>
      <c r="Y978">
        <f>_xlfn.NUMBERVALUE("19.980000")</f>
        <v/>
      </c>
    </row>
    <row r="979">
      <c r="A979" s="1" t="n">
        <v>43420</v>
      </c>
      <c r="B979">
        <f>_xlfn.NUMBERVALUE("0.002715")</f>
        <v/>
      </c>
      <c r="C979" s="2">
        <f>_xlfn.NUMBERVALUE("0.002202")</f>
        <v/>
      </c>
      <c r="D979">
        <f>_xlfn.NUMBERVALUE("0.002105")</f>
        <v/>
      </c>
      <c r="E979">
        <f>_xlfn.NUMBERVALUE("0.002655")</f>
        <v/>
      </c>
      <c r="F979">
        <f>_xlfn.NUMBERVALUE("0.000998")</f>
        <v/>
      </c>
      <c r="G979">
        <f>_xlfn.NUMBERVALUE("-0.000951")</f>
        <v/>
      </c>
      <c r="H979">
        <f>_xlfn.NUMBERVALUE("0.000202")</f>
        <v/>
      </c>
      <c r="I979">
        <f>_xlfn.NUMBERVALUE("0.003327")</f>
        <v/>
      </c>
      <c r="J979">
        <f>_xlfn.NUMBERVALUE("-0.000844")</f>
        <v/>
      </c>
      <c r="K979">
        <f>_xlfn.NUMBERVALUE("0.001318")</f>
        <v/>
      </c>
      <c r="L979">
        <f>_xlfn.NUMBERVALUE("-0.000576")</f>
        <v/>
      </c>
      <c r="M979">
        <f>_xlfn.NUMBERVALUE("0.002562")</f>
        <v/>
      </c>
      <c r="N979">
        <f>_xlfn.NUMBERVALUE("0.004006")</f>
        <v/>
      </c>
      <c r="O979">
        <f>_xlfn.NUMBERVALUE("0.003245")</f>
        <v/>
      </c>
      <c r="P979">
        <f>_xlfn.NUMBERVALUE("0.004138")</f>
        <v/>
      </c>
      <c r="Q979">
        <f>_xlfn.NUMBERVALUE("0.003645")</f>
        <v/>
      </c>
      <c r="R979">
        <f>_xlfn.NUMBERVALUE("0.003986")</f>
        <v/>
      </c>
      <c r="S979">
        <f>_xlfn.NUMBERVALUE("0.003328")</f>
        <v/>
      </c>
      <c r="T979">
        <f>_xlfn.NUMBERVALUE("-0.001709")</f>
        <v/>
      </c>
      <c r="U979">
        <f>_xlfn.NUMBERVALUE("0.003485")</f>
        <v/>
      </c>
      <c r="V979">
        <f>_xlfn.NUMBERVALUE("0.002912")</f>
        <v/>
      </c>
      <c r="W979">
        <f>_xlfn.NUMBERVALUE("0.006019")</f>
        <v/>
      </c>
      <c r="X979">
        <f>_xlfn.NUMBERVALUE("-1.840000")</f>
        <v/>
      </c>
      <c r="Y979">
        <f>_xlfn.NUMBERVALUE("18.140000")</f>
        <v/>
      </c>
    </row>
    <row r="980">
      <c r="A980" s="1" t="n">
        <v>43423</v>
      </c>
      <c r="B980">
        <f>_xlfn.NUMBERVALUE("-0.009378")</f>
        <v/>
      </c>
      <c r="C980" s="2">
        <f>_xlfn.NUMBERVALUE("-0.004858")</f>
        <v/>
      </c>
      <c r="D980">
        <f>_xlfn.NUMBERVALUE("-0.000651")</f>
        <v/>
      </c>
      <c r="E980">
        <f>_xlfn.NUMBERVALUE("-0.000780")</f>
        <v/>
      </c>
      <c r="F980">
        <f>_xlfn.NUMBERVALUE("-0.000174")</f>
        <v/>
      </c>
      <c r="G980">
        <f>_xlfn.NUMBERVALUE("0.001256")</f>
        <v/>
      </c>
      <c r="H980">
        <f>_xlfn.NUMBERVALUE("0.000146")</f>
        <v/>
      </c>
      <c r="I980">
        <f>_xlfn.NUMBERVALUE("-0.002822")</f>
        <v/>
      </c>
      <c r="J980">
        <f>_xlfn.NUMBERVALUE("0.000889")</f>
        <v/>
      </c>
      <c r="K980">
        <f>_xlfn.NUMBERVALUE("0.000140")</f>
        <v/>
      </c>
      <c r="L980">
        <f>_xlfn.NUMBERVALUE("0.000828")</f>
        <v/>
      </c>
      <c r="M980">
        <f>_xlfn.NUMBERVALUE("-0.000926")</f>
        <v/>
      </c>
      <c r="N980">
        <f>_xlfn.NUMBERVALUE("-0.004670")</f>
        <v/>
      </c>
      <c r="O980">
        <f>_xlfn.NUMBERVALUE("-0.000349")</f>
        <v/>
      </c>
      <c r="P980">
        <f>_xlfn.NUMBERVALUE("-0.000341")</f>
        <v/>
      </c>
      <c r="Q980">
        <f>_xlfn.NUMBERVALUE("-0.002014")</f>
        <v/>
      </c>
      <c r="R980">
        <f>_xlfn.NUMBERVALUE("-0.012184")</f>
        <v/>
      </c>
      <c r="S980">
        <f>_xlfn.NUMBERVALUE("0.000045")</f>
        <v/>
      </c>
      <c r="T980">
        <f>_xlfn.NUMBERVALUE("-0.000010")</f>
        <v/>
      </c>
      <c r="U980">
        <f>_xlfn.NUMBERVALUE("-0.005998")</f>
        <v/>
      </c>
      <c r="V980">
        <f>_xlfn.NUMBERVALUE("-0.004436")</f>
        <v/>
      </c>
      <c r="W980">
        <f>_xlfn.NUMBERVALUE("-0.020137")</f>
        <v/>
      </c>
      <c r="X980">
        <f>_xlfn.NUMBERVALUE("1.960000")</f>
        <v/>
      </c>
      <c r="Y980">
        <f>_xlfn.NUMBERVALUE("20.100000")</f>
        <v/>
      </c>
    </row>
    <row r="981">
      <c r="A981" s="1" t="n">
        <v>43424</v>
      </c>
      <c r="B981">
        <f>_xlfn.NUMBERVALUE("0.003985")</f>
        <v/>
      </c>
      <c r="C981" s="2">
        <f>_xlfn.NUMBERVALUE("-0.002392")</f>
        <v/>
      </c>
      <c r="D981">
        <f>_xlfn.NUMBERVALUE("-0.001484")</f>
        <v/>
      </c>
      <c r="E981">
        <f>_xlfn.NUMBERVALUE("-0.002787")</f>
        <v/>
      </c>
      <c r="F981">
        <f>_xlfn.NUMBERVALUE("0.000424")</f>
        <v/>
      </c>
      <c r="G981">
        <f>_xlfn.NUMBERVALUE("-0.000161")</f>
        <v/>
      </c>
      <c r="H981">
        <f>_xlfn.NUMBERVALUE("-0.000373")</f>
        <v/>
      </c>
      <c r="I981">
        <f>_xlfn.NUMBERVALUE("-0.001904")</f>
        <v/>
      </c>
      <c r="J981">
        <f>_xlfn.NUMBERVALUE("0.000194")</f>
        <v/>
      </c>
      <c r="K981">
        <f>_xlfn.NUMBERVALUE("-0.000110")</f>
        <v/>
      </c>
      <c r="L981">
        <f>_xlfn.NUMBERVALUE("-0.000205")</f>
        <v/>
      </c>
      <c r="M981">
        <f>_xlfn.NUMBERVALUE("-0.003014")</f>
        <v/>
      </c>
      <c r="N981">
        <f>_xlfn.NUMBERVALUE("-0.001943")</f>
        <v/>
      </c>
      <c r="O981">
        <f>_xlfn.NUMBERVALUE("-0.004351")</f>
        <v/>
      </c>
      <c r="P981">
        <f>_xlfn.NUMBERVALUE("-0.003112")</f>
        <v/>
      </c>
      <c r="Q981">
        <f>_xlfn.NUMBERVALUE("-0.003482")</f>
        <v/>
      </c>
      <c r="R981">
        <f>_xlfn.NUMBERVALUE("-0.001889")</f>
        <v/>
      </c>
      <c r="S981">
        <f>_xlfn.NUMBERVALUE("-0.001478")</f>
        <v/>
      </c>
      <c r="T981">
        <f>_xlfn.NUMBERVALUE("0.000486")</f>
        <v/>
      </c>
      <c r="U981">
        <f>_xlfn.NUMBERVALUE("-0.002125")</f>
        <v/>
      </c>
      <c r="V981">
        <f>_xlfn.NUMBERVALUE("-0.001748")</f>
        <v/>
      </c>
      <c r="W981">
        <f>_xlfn.NUMBERVALUE("-0.014445")</f>
        <v/>
      </c>
      <c r="X981">
        <f>_xlfn.NUMBERVALUE("2.380000")</f>
        <v/>
      </c>
      <c r="Y981">
        <f>_xlfn.NUMBERVALUE("22.480000")</f>
        <v/>
      </c>
    </row>
    <row r="982">
      <c r="A982" s="1" t="n">
        <v>43425</v>
      </c>
      <c r="B982">
        <f>_xlfn.NUMBERVALUE("-0.010682")</f>
        <v/>
      </c>
      <c r="C982" s="2">
        <f>_xlfn.NUMBERVALUE("0.002958")</f>
        <v/>
      </c>
      <c r="D982">
        <f>_xlfn.NUMBERVALUE("0.002403")</f>
        <v/>
      </c>
      <c r="E982">
        <f>_xlfn.NUMBERVALUE("0.002569")</f>
        <v/>
      </c>
      <c r="F982">
        <f>_xlfn.NUMBERVALUE("0.001389")</f>
        <v/>
      </c>
      <c r="G982">
        <f>_xlfn.NUMBERVALUE("0.001937")</f>
        <v/>
      </c>
      <c r="H982">
        <f>_xlfn.NUMBERVALUE("0.000550")</f>
        <v/>
      </c>
      <c r="I982">
        <f>_xlfn.NUMBERVALUE("0.001537")</f>
        <v/>
      </c>
      <c r="J982">
        <f>_xlfn.NUMBERVALUE("0.000609")</f>
        <v/>
      </c>
      <c r="K982">
        <f>_xlfn.NUMBERVALUE("0.001471")</f>
        <v/>
      </c>
      <c r="L982">
        <f>_xlfn.NUMBERVALUE("0.001035")</f>
        <v/>
      </c>
      <c r="M982">
        <f>_xlfn.NUMBERVALUE("0.004744")</f>
        <v/>
      </c>
      <c r="N982">
        <f>_xlfn.NUMBERVALUE("0.003927")</f>
        <v/>
      </c>
      <c r="O982">
        <f>_xlfn.NUMBERVALUE("0.003142")</f>
        <v/>
      </c>
      <c r="P982">
        <f>_xlfn.NUMBERVALUE("0.004600")</f>
        <v/>
      </c>
      <c r="Q982">
        <f>_xlfn.NUMBERVALUE("0.004281")</f>
        <v/>
      </c>
      <c r="R982">
        <f>_xlfn.NUMBERVALUE("0.001334")</f>
        <v/>
      </c>
      <c r="S982">
        <f>_xlfn.NUMBERVALUE("0.000309")</f>
        <v/>
      </c>
      <c r="T982">
        <f>_xlfn.NUMBERVALUE("-0.001048")</f>
        <v/>
      </c>
      <c r="U982">
        <f>_xlfn.NUMBERVALUE("0.002420")</f>
        <v/>
      </c>
      <c r="V982">
        <f>_xlfn.NUMBERVALUE("0.002494")</f>
        <v/>
      </c>
      <c r="W982">
        <f>_xlfn.NUMBERVALUE("0.002380")</f>
        <v/>
      </c>
      <c r="X982">
        <f>_xlfn.NUMBERVALUE("-1.680000")</f>
        <v/>
      </c>
      <c r="Y982">
        <f>_xlfn.NUMBERVALUE("20.800000")</f>
        <v/>
      </c>
    </row>
    <row r="983">
      <c r="A983" s="1" t="n">
        <v>43427</v>
      </c>
      <c r="B983">
        <f>_xlfn.NUMBERVALUE("0.004096")</f>
        <v/>
      </c>
      <c r="C983" s="2">
        <f>_xlfn.NUMBERVALUE("-0.000437")</f>
        <v/>
      </c>
      <c r="D983">
        <f>_xlfn.NUMBERVALUE("0.001889")</f>
        <v/>
      </c>
      <c r="E983">
        <f>_xlfn.NUMBERVALUE("-0.000003")</f>
        <v/>
      </c>
      <c r="F983">
        <f>_xlfn.NUMBERVALUE("0.000746")</f>
        <v/>
      </c>
      <c r="G983">
        <f>_xlfn.NUMBERVALUE("-0.000323")</f>
        <v/>
      </c>
      <c r="H983">
        <f>_xlfn.NUMBERVALUE("-0.000368")</f>
        <v/>
      </c>
      <c r="I983">
        <f>_xlfn.NUMBERVALUE("0.000357")</f>
        <v/>
      </c>
      <c r="J983">
        <f>_xlfn.NUMBERVALUE("0.000381")</f>
        <v/>
      </c>
      <c r="K983">
        <f>_xlfn.NUMBERVALUE("-0.001475")</f>
        <v/>
      </c>
      <c r="L983">
        <f>_xlfn.NUMBERVALUE("0.000554")</f>
        <v/>
      </c>
      <c r="M983">
        <f>_xlfn.NUMBERVALUE("-0.001331")</f>
        <v/>
      </c>
      <c r="N983">
        <f>_xlfn.NUMBERVALUE("0.001135")</f>
        <v/>
      </c>
      <c r="O983">
        <f>_xlfn.NUMBERVALUE("-0.006978")</f>
        <v/>
      </c>
      <c r="P983">
        <f>_xlfn.NUMBERVALUE("-0.001399")</f>
        <v/>
      </c>
      <c r="Q983">
        <f>_xlfn.NUMBERVALUE("0.000824")</f>
        <v/>
      </c>
      <c r="R983">
        <f>_xlfn.NUMBERVALUE("-0.000510")</f>
        <v/>
      </c>
      <c r="S983">
        <f>_xlfn.NUMBERVALUE("0.000426")</f>
        <v/>
      </c>
      <c r="T983">
        <f>_xlfn.NUMBERVALUE("0.000529")</f>
        <v/>
      </c>
      <c r="U983">
        <f>_xlfn.NUMBERVALUE("-0.000353")</f>
        <v/>
      </c>
      <c r="V983">
        <f>_xlfn.NUMBERVALUE("-0.000465")</f>
        <v/>
      </c>
      <c r="W983">
        <f>_xlfn.NUMBERVALUE("-0.007914")</f>
        <v/>
      </c>
      <c r="X983">
        <f>_xlfn.NUMBERVALUE("0.720000")</f>
        <v/>
      </c>
      <c r="Y983">
        <f>_xlfn.NUMBERVALUE("21.520000")</f>
        <v/>
      </c>
    </row>
    <row r="984">
      <c r="A984" s="1" t="n">
        <v>43430</v>
      </c>
      <c r="B984">
        <f>_xlfn.NUMBERVALUE("0.007048")</f>
        <v/>
      </c>
      <c r="C984" s="2">
        <f>_xlfn.NUMBERVALUE("0.000742")</f>
        <v/>
      </c>
      <c r="D984">
        <f>_xlfn.NUMBERVALUE("0.001469")</f>
        <v/>
      </c>
      <c r="E984">
        <f>_xlfn.NUMBERVALUE("-0.001156")</f>
        <v/>
      </c>
      <c r="F984">
        <f>_xlfn.NUMBERVALUE("0.001718")</f>
        <v/>
      </c>
      <c r="G984">
        <f>_xlfn.NUMBERVALUE("0.000695")</f>
        <v/>
      </c>
      <c r="H984">
        <f>_xlfn.NUMBERVALUE("0.000435")</f>
        <v/>
      </c>
      <c r="I984">
        <f>_xlfn.NUMBERVALUE("0.000675")</f>
        <v/>
      </c>
      <c r="J984">
        <f>_xlfn.NUMBERVALUE("0.000837")</f>
        <v/>
      </c>
      <c r="K984">
        <f>_xlfn.NUMBERVALUE("0.001822")</f>
        <v/>
      </c>
      <c r="L984">
        <f>_xlfn.NUMBERVALUE("0.000197")</f>
        <v/>
      </c>
      <c r="M984">
        <f>_xlfn.NUMBERVALUE("0.004111")</f>
        <v/>
      </c>
      <c r="N984">
        <f>_xlfn.NUMBERVALUE("0.001561")</f>
        <v/>
      </c>
      <c r="O984">
        <f>_xlfn.NUMBERVALUE("0.002979")</f>
        <v/>
      </c>
      <c r="P984">
        <f>_xlfn.NUMBERVALUE("0.000146")</f>
        <v/>
      </c>
      <c r="Q984">
        <f>_xlfn.NUMBERVALUE("0.002539")</f>
        <v/>
      </c>
      <c r="R984">
        <f>_xlfn.NUMBERVALUE("0.001511")</f>
        <v/>
      </c>
      <c r="S984">
        <f>_xlfn.NUMBERVALUE("0.002115")</f>
        <v/>
      </c>
      <c r="T984">
        <f>_xlfn.NUMBERVALUE("0.002721")</f>
        <v/>
      </c>
      <c r="U984">
        <f>_xlfn.NUMBERVALUE("0.001290")</f>
        <v/>
      </c>
      <c r="V984">
        <f>_xlfn.NUMBERVALUE("0.000918")</f>
        <v/>
      </c>
      <c r="W984">
        <f>_xlfn.NUMBERVALUE("0.015480")</f>
        <v/>
      </c>
      <c r="X984">
        <f>_xlfn.NUMBERVALUE("-2.620000")</f>
        <v/>
      </c>
      <c r="Y984">
        <f>_xlfn.NUMBERVALUE("18.900000")</f>
        <v/>
      </c>
    </row>
    <row r="985">
      <c r="A985" s="1" t="n">
        <v>43431</v>
      </c>
      <c r="B985">
        <f>_xlfn.NUMBERVALUE("-0.002382")</f>
        <v/>
      </c>
      <c r="C985" s="2">
        <f>_xlfn.NUMBERVALUE("-0.000384")</f>
        <v/>
      </c>
      <c r="D985">
        <f>_xlfn.NUMBERVALUE("0.003060")</f>
        <v/>
      </c>
      <c r="E985">
        <f>_xlfn.NUMBERVALUE("0.001049")</f>
        <v/>
      </c>
      <c r="F985">
        <f>_xlfn.NUMBERVALUE("-0.000865")</f>
        <v/>
      </c>
      <c r="G985">
        <f>_xlfn.NUMBERVALUE("0.000201")</f>
        <v/>
      </c>
      <c r="H985">
        <f>_xlfn.NUMBERVALUE("0.000321")</f>
        <v/>
      </c>
      <c r="I985">
        <f>_xlfn.NUMBERVALUE("0.000177")</f>
        <v/>
      </c>
      <c r="J985">
        <f>_xlfn.NUMBERVALUE("0.000131")</f>
        <v/>
      </c>
      <c r="K985">
        <f>_xlfn.NUMBERVALUE("-0.000469")</f>
        <v/>
      </c>
      <c r="L985">
        <f>_xlfn.NUMBERVALUE("0.000190")</f>
        <v/>
      </c>
      <c r="M985">
        <f>_xlfn.NUMBERVALUE("-0.000723")</f>
        <v/>
      </c>
      <c r="N985">
        <f>_xlfn.NUMBERVALUE("0.001385")</f>
        <v/>
      </c>
      <c r="O985">
        <f>_xlfn.NUMBERVALUE("0.000183")</f>
        <v/>
      </c>
      <c r="P985">
        <f>_xlfn.NUMBERVALUE("0.001990")</f>
        <v/>
      </c>
      <c r="Q985">
        <f>_xlfn.NUMBERVALUE("0.000524")</f>
        <v/>
      </c>
      <c r="R985">
        <f>_xlfn.NUMBERVALUE("0.000457")</f>
        <v/>
      </c>
      <c r="S985">
        <f>_xlfn.NUMBERVALUE("-0.000044")</f>
        <v/>
      </c>
      <c r="T985">
        <f>_xlfn.NUMBERVALUE("0.000855")</f>
        <v/>
      </c>
      <c r="U985">
        <f>_xlfn.NUMBERVALUE("0.000198")</f>
        <v/>
      </c>
      <c r="V985">
        <f>_xlfn.NUMBERVALUE("-0.000165")</f>
        <v/>
      </c>
      <c r="W985">
        <f>_xlfn.NUMBERVALUE("0.002821")</f>
        <v/>
      </c>
      <c r="X985">
        <f>_xlfn.NUMBERVALUE("0.120000")</f>
        <v/>
      </c>
      <c r="Y985">
        <f>_xlfn.NUMBERVALUE("19.020000")</f>
        <v/>
      </c>
    </row>
    <row r="986">
      <c r="A986" s="1" t="n">
        <v>43432</v>
      </c>
      <c r="B986">
        <f>_xlfn.NUMBERVALUE("-0.010332")</f>
        <v/>
      </c>
      <c r="C986" s="2">
        <f>_xlfn.NUMBERVALUE("-0.007178")</f>
        <v/>
      </c>
      <c r="D986">
        <f>_xlfn.NUMBERVALUE("-0.006882")</f>
        <v/>
      </c>
      <c r="E986">
        <f>_xlfn.NUMBERVALUE("-0.003247")</f>
        <v/>
      </c>
      <c r="F986">
        <f>_xlfn.NUMBERVALUE("0.000187")</f>
        <v/>
      </c>
      <c r="G986">
        <f>_xlfn.NUMBERVALUE("-0.000338")</f>
        <v/>
      </c>
      <c r="H986">
        <f>_xlfn.NUMBERVALUE("-0.000020")</f>
        <v/>
      </c>
      <c r="I986">
        <f>_xlfn.NUMBERVALUE("-0.004872")</f>
        <v/>
      </c>
      <c r="J986">
        <f>_xlfn.NUMBERVALUE("0.000019")</f>
        <v/>
      </c>
      <c r="K986">
        <f>_xlfn.NUMBERVALUE("0.000629")</f>
        <v/>
      </c>
      <c r="L986">
        <f>_xlfn.NUMBERVALUE("-0.000054")</f>
        <v/>
      </c>
      <c r="M986">
        <f>_xlfn.NUMBERVALUE("-0.002289")</f>
        <v/>
      </c>
      <c r="N986">
        <f>_xlfn.NUMBERVALUE("-0.001872")</f>
        <v/>
      </c>
      <c r="O986">
        <f>_xlfn.NUMBERVALUE("0.000120")</f>
        <v/>
      </c>
      <c r="P986">
        <f>_xlfn.NUMBERVALUE("-0.002977")</f>
        <v/>
      </c>
      <c r="Q986">
        <f>_xlfn.NUMBERVALUE("-0.004174")</f>
        <v/>
      </c>
      <c r="R986">
        <f>_xlfn.NUMBERVALUE("-0.006757")</f>
        <v/>
      </c>
      <c r="S986">
        <f>_xlfn.NUMBERVALUE("-0.000054")</f>
        <v/>
      </c>
      <c r="T986">
        <f>_xlfn.NUMBERVALUE("0.001253")</f>
        <v/>
      </c>
      <c r="U986">
        <f>_xlfn.NUMBERVALUE("-0.007129")</f>
        <v/>
      </c>
      <c r="V986">
        <f>_xlfn.NUMBERVALUE("-0.008102")</f>
        <v/>
      </c>
      <c r="W986">
        <f>_xlfn.NUMBERVALUE("0.021788")</f>
        <v/>
      </c>
      <c r="X986">
        <f>_xlfn.NUMBERVALUE("-0.530000")</f>
        <v/>
      </c>
      <c r="Y986">
        <f>_xlfn.NUMBERVALUE("18.490000")</f>
        <v/>
      </c>
    </row>
    <row r="987">
      <c r="A987" s="1" t="n">
        <v>43433</v>
      </c>
      <c r="B987">
        <f>_xlfn.NUMBERVALUE("0.002885")</f>
        <v/>
      </c>
      <c r="C987" s="2">
        <f>_xlfn.NUMBERVALUE("0.001849")</f>
        <v/>
      </c>
      <c r="D987">
        <f>_xlfn.NUMBERVALUE("0.000759")</f>
        <v/>
      </c>
      <c r="E987">
        <f>_xlfn.NUMBERVALUE("0.002067")</f>
        <v/>
      </c>
      <c r="F987">
        <f>_xlfn.NUMBERVALUE("0.001119")</f>
        <v/>
      </c>
      <c r="G987">
        <f>_xlfn.NUMBERVALUE("-0.000356")</f>
        <v/>
      </c>
      <c r="H987">
        <f>_xlfn.NUMBERVALUE("-0.000655")</f>
        <v/>
      </c>
      <c r="I987">
        <f>_xlfn.NUMBERVALUE("0.002530")</f>
        <v/>
      </c>
      <c r="J987">
        <f>_xlfn.NUMBERVALUE("-0.000420")</f>
        <v/>
      </c>
      <c r="K987">
        <f>_xlfn.NUMBERVALUE("0.001103")</f>
        <v/>
      </c>
      <c r="L987">
        <f>_xlfn.NUMBERVALUE("0.001364")</f>
        <v/>
      </c>
      <c r="M987">
        <f>_xlfn.NUMBERVALUE("-0.000836")</f>
        <v/>
      </c>
      <c r="N987">
        <f>_xlfn.NUMBERVALUE("-0.000953")</f>
        <v/>
      </c>
      <c r="O987">
        <f>_xlfn.NUMBERVALUE("0.000281")</f>
        <v/>
      </c>
      <c r="P987">
        <f>_xlfn.NUMBERVALUE("0.000275")</f>
        <v/>
      </c>
      <c r="Q987">
        <f>_xlfn.NUMBERVALUE("-0.000077")</f>
        <v/>
      </c>
      <c r="R987">
        <f>_xlfn.NUMBERVALUE("0.001208")</f>
        <v/>
      </c>
      <c r="S987">
        <f>_xlfn.NUMBERVALUE("0.000375")</f>
        <v/>
      </c>
      <c r="T987">
        <f>_xlfn.NUMBERVALUE("0.002120")</f>
        <v/>
      </c>
      <c r="U987">
        <f>_xlfn.NUMBERVALUE("0.001302")</f>
        <v/>
      </c>
      <c r="V987">
        <f>_xlfn.NUMBERVALUE("0.000500")</f>
        <v/>
      </c>
      <c r="W987">
        <f>_xlfn.NUMBERVALUE("0.003176")</f>
        <v/>
      </c>
      <c r="X987">
        <f>_xlfn.NUMBERVALUE("0.300000")</f>
        <v/>
      </c>
      <c r="Y987">
        <f>_xlfn.NUMBERVALUE("18.790000")</f>
        <v/>
      </c>
    </row>
    <row r="988">
      <c r="A988" s="1" t="n">
        <v>43434</v>
      </c>
      <c r="B988">
        <f>_xlfn.NUMBERVALUE("0.001155")</f>
        <v/>
      </c>
      <c r="C988" s="2">
        <f>_xlfn.NUMBERVALUE("-0.000920")</f>
        <v/>
      </c>
      <c r="D988">
        <f>_xlfn.NUMBERVALUE("0.002932")</f>
        <v/>
      </c>
      <c r="E988">
        <f>_xlfn.NUMBERVALUE("0.000954")</f>
        <v/>
      </c>
      <c r="F988">
        <f>_xlfn.NUMBERVALUE("0.000502")</f>
        <v/>
      </c>
      <c r="G988">
        <f>_xlfn.NUMBERVALUE("-0.000424")</f>
        <v/>
      </c>
      <c r="H988">
        <f>_xlfn.NUMBERVALUE("0.000863")</f>
        <v/>
      </c>
      <c r="I988">
        <f>_xlfn.NUMBERVALUE("0.000860")</f>
        <v/>
      </c>
      <c r="J988">
        <f>_xlfn.NUMBERVALUE("0.000639")</f>
        <v/>
      </c>
      <c r="K988">
        <f>_xlfn.NUMBERVALUE("0.000091")</f>
        <v/>
      </c>
      <c r="L988">
        <f>_xlfn.NUMBERVALUE("-0.000341")</f>
        <v/>
      </c>
      <c r="M988">
        <f>_xlfn.NUMBERVALUE("-0.000061")</f>
        <v/>
      </c>
      <c r="N988">
        <f>_xlfn.NUMBERVALUE("0.002083")</f>
        <v/>
      </c>
      <c r="O988">
        <f>_xlfn.NUMBERVALUE("-0.000389")</f>
        <v/>
      </c>
      <c r="P988">
        <f>_xlfn.NUMBERVALUE("0.000454")</f>
        <v/>
      </c>
      <c r="Q988">
        <f>_xlfn.NUMBERVALUE("-0.000561")</f>
        <v/>
      </c>
      <c r="R988">
        <f>_xlfn.NUMBERVALUE("-0.002116")</f>
        <v/>
      </c>
      <c r="S988">
        <f>_xlfn.NUMBERVALUE("0.000154")</f>
        <v/>
      </c>
      <c r="T988">
        <f>_xlfn.NUMBERVALUE("-0.002831")</f>
        <v/>
      </c>
      <c r="U988">
        <f>_xlfn.NUMBERVALUE("-0.000099")</f>
        <v/>
      </c>
      <c r="V988">
        <f>_xlfn.NUMBERVALUE("-0.000530")</f>
        <v/>
      </c>
      <c r="W988">
        <f>_xlfn.NUMBERVALUE("0.004403")</f>
        <v/>
      </c>
      <c r="X988">
        <f>_xlfn.NUMBERVALUE("-0.720000")</f>
        <v/>
      </c>
      <c r="Y988">
        <f>_xlfn.NUMBERVALUE("18.070000")</f>
        <v/>
      </c>
    </row>
    <row r="989">
      <c r="A989" s="1" t="n">
        <v>43437</v>
      </c>
      <c r="B989">
        <f>_xlfn.NUMBERVALUE("-0.007321")</f>
        <v/>
      </c>
      <c r="C989" s="2">
        <f>_xlfn.NUMBERVALUE("0.002002")</f>
        <v/>
      </c>
      <c r="D989">
        <f>_xlfn.NUMBERVALUE("-0.001687")</f>
        <v/>
      </c>
      <c r="E989">
        <f>_xlfn.NUMBERVALUE("0.008235")</f>
        <v/>
      </c>
      <c r="F989">
        <f>_xlfn.NUMBERVALUE("0.002461")</f>
        <v/>
      </c>
      <c r="G989">
        <f>_xlfn.NUMBERVALUE("0.002823")</f>
        <v/>
      </c>
      <c r="H989">
        <f>_xlfn.NUMBERVALUE("-0.000934")</f>
        <v/>
      </c>
      <c r="I989">
        <f>_xlfn.NUMBERVALUE("0.016187")</f>
        <v/>
      </c>
      <c r="J989">
        <f>_xlfn.NUMBERVALUE("0.000952")</f>
        <v/>
      </c>
      <c r="K989">
        <f>_xlfn.NUMBERVALUE("0.000225")</f>
        <v/>
      </c>
      <c r="L989">
        <f>_xlfn.NUMBERVALUE("-0.001475")</f>
        <v/>
      </c>
      <c r="M989">
        <f>_xlfn.NUMBERVALUE("0.006464")</f>
        <v/>
      </c>
      <c r="N989">
        <f>_xlfn.NUMBERVALUE("0.006653")</f>
        <v/>
      </c>
      <c r="O989">
        <f>_xlfn.NUMBERVALUE("0.005796")</f>
        <v/>
      </c>
      <c r="P989">
        <f>_xlfn.NUMBERVALUE("0.010117")</f>
        <v/>
      </c>
      <c r="Q989">
        <f>_xlfn.NUMBERVALUE("0.005396")</f>
        <v/>
      </c>
      <c r="R989">
        <f>_xlfn.NUMBERVALUE("0.007892")</f>
        <v/>
      </c>
      <c r="S989">
        <f>_xlfn.NUMBERVALUE("0.005887")</f>
        <v/>
      </c>
      <c r="T989">
        <f>_xlfn.NUMBERVALUE("0.000213")</f>
        <v/>
      </c>
      <c r="U989">
        <f>_xlfn.NUMBERVALUE("0.004788")</f>
        <v/>
      </c>
      <c r="V989">
        <f>_xlfn.NUMBERVALUE("0.003719")</f>
        <v/>
      </c>
      <c r="W989">
        <f>_xlfn.NUMBERVALUE("0.005272")</f>
        <v/>
      </c>
      <c r="X989">
        <f>_xlfn.NUMBERVALUE("-1.630000")</f>
        <v/>
      </c>
      <c r="Y989">
        <f>_xlfn.NUMBERVALUE("16.440000")</f>
        <v/>
      </c>
    </row>
    <row r="990">
      <c r="A990" s="1" t="n">
        <v>43438</v>
      </c>
      <c r="B990">
        <f>_xlfn.NUMBERVALUE("-0.013137")</f>
        <v/>
      </c>
      <c r="C990" s="2">
        <f>_xlfn.NUMBERVALUE("-0.009850")</f>
        <v/>
      </c>
      <c r="D990">
        <f>_xlfn.NUMBERVALUE("-0.004171")</f>
        <v/>
      </c>
      <c r="E990">
        <f>_xlfn.NUMBERVALUE("-0.007476")</f>
        <v/>
      </c>
      <c r="F990">
        <f>_xlfn.NUMBERVALUE("-0.000972")</f>
        <v/>
      </c>
      <c r="G990">
        <f>_xlfn.NUMBERVALUE("-0.001212")</f>
        <v/>
      </c>
      <c r="H990">
        <f>_xlfn.NUMBERVALUE("-0.000614")</f>
        <v/>
      </c>
      <c r="I990">
        <f>_xlfn.NUMBERVALUE("-0.016261")</f>
        <v/>
      </c>
      <c r="J990">
        <f>_xlfn.NUMBERVALUE("-0.000136")</f>
        <v/>
      </c>
      <c r="K990">
        <f>_xlfn.NUMBERVALUE("0.000013")</f>
        <v/>
      </c>
      <c r="L990">
        <f>_xlfn.NUMBERVALUE("-0.000014")</f>
        <v/>
      </c>
      <c r="M990">
        <f>_xlfn.NUMBERVALUE("-0.014601")</f>
        <v/>
      </c>
      <c r="N990">
        <f>_xlfn.NUMBERVALUE("-0.009761")</f>
        <v/>
      </c>
      <c r="O990">
        <f>_xlfn.NUMBERVALUE("-0.005577")</f>
        <v/>
      </c>
      <c r="P990">
        <f>_xlfn.NUMBERVALUE("-0.032360")</f>
        <v/>
      </c>
      <c r="Q990">
        <f>_xlfn.NUMBERVALUE("-0.030338")</f>
        <v/>
      </c>
      <c r="R990">
        <f>_xlfn.NUMBERVALUE("-0.020462")</f>
        <v/>
      </c>
      <c r="S990">
        <f>_xlfn.NUMBERVALUE("-0.004691")</f>
        <v/>
      </c>
      <c r="T990">
        <f>_xlfn.NUMBERVALUE("0.000266")</f>
        <v/>
      </c>
      <c r="U990">
        <f>_xlfn.NUMBERVALUE("-0.023529")</f>
        <v/>
      </c>
      <c r="V990">
        <f>_xlfn.NUMBERVALUE("-0.010398")</f>
        <v/>
      </c>
      <c r="W990">
        <f>_xlfn.NUMBERVALUE("-0.029544")</f>
        <v/>
      </c>
      <c r="X990">
        <f>_xlfn.NUMBERVALUE("4.300000")</f>
        <v/>
      </c>
      <c r="Y990">
        <f>_xlfn.NUMBERVALUE("20.740000")</f>
        <v/>
      </c>
    </row>
    <row r="991">
      <c r="A991" s="1" t="n">
        <v>43439</v>
      </c>
      <c r="B991">
        <f>_xlfn.NUMBERVALUE("0.001755")</f>
        <v/>
      </c>
      <c r="C991" s="2">
        <f>_xlfn.NUMBERVALUE("0.000175")</f>
        <v/>
      </c>
      <c r="D991">
        <f>_xlfn.NUMBERVALUE("-0.000267")</f>
        <v/>
      </c>
      <c r="E991">
        <f>_xlfn.NUMBERVALUE("-0.000220")</f>
        <v/>
      </c>
      <c r="F991">
        <f>_xlfn.NUMBERVALUE("-0.000027")</f>
        <v/>
      </c>
      <c r="G991">
        <f>_xlfn.NUMBERVALUE("0.000169")</f>
        <v/>
      </c>
      <c r="H991">
        <f>_xlfn.NUMBERVALUE("0.000079")</f>
        <v/>
      </c>
      <c r="I991">
        <f>_xlfn.NUMBERVALUE("0.000234")</f>
        <v/>
      </c>
      <c r="J991">
        <f>_xlfn.NUMBERVALUE("-0.000188")</f>
        <v/>
      </c>
      <c r="K991">
        <f>_xlfn.NUMBERVALUE("0.000104")</f>
        <v/>
      </c>
      <c r="L991">
        <f>_xlfn.NUMBERVALUE("-0.000023")</f>
        <v/>
      </c>
      <c r="M991">
        <f>_xlfn.NUMBERVALUE("0.000517")</f>
        <v/>
      </c>
      <c r="N991">
        <f>_xlfn.NUMBERVALUE("0.000613")</f>
        <v/>
      </c>
      <c r="O991">
        <f>_xlfn.NUMBERVALUE("-0.000421")</f>
        <v/>
      </c>
      <c r="P991">
        <f>_xlfn.NUMBERVALUE("0.000338")</f>
        <v/>
      </c>
      <c r="Q991">
        <f>_xlfn.NUMBERVALUE("-0.000014")</f>
        <v/>
      </c>
      <c r="R991">
        <f>_xlfn.NUMBERVALUE("0.000236")</f>
        <v/>
      </c>
      <c r="S991">
        <f>_xlfn.NUMBERVALUE("0.000499")</f>
        <v/>
      </c>
      <c r="T991">
        <f>_xlfn.NUMBERVALUE("0.000050")</f>
        <v/>
      </c>
      <c r="U991">
        <f>_xlfn.NUMBERVALUE("-0.000132")</f>
        <v/>
      </c>
      <c r="V991">
        <f>_xlfn.NUMBERVALUE("-0.000081")</f>
        <v/>
      </c>
      <c r="W991">
        <f>_xlfn.NUMBERVALUE("-0.001293")</f>
        <v/>
      </c>
      <c r="X991">
        <f>_xlfn.NUMBERVALUE("0.000000")</f>
        <v/>
      </c>
      <c r="Y991">
        <f>_xlfn.NUMBERVALUE("20.740000")</f>
        <v/>
      </c>
    </row>
    <row r="992">
      <c r="A992" s="1" t="n">
        <v>43440</v>
      </c>
      <c r="B992">
        <f>_xlfn.NUMBERVALUE("-0.001144")</f>
        <v/>
      </c>
      <c r="C992" s="2">
        <f>_xlfn.NUMBERVALUE("0.000032")</f>
        <v/>
      </c>
      <c r="D992">
        <f>_xlfn.NUMBERVALUE("0.000094")</f>
        <v/>
      </c>
      <c r="E992">
        <f>_xlfn.NUMBERVALUE("0.000315")</f>
        <v/>
      </c>
      <c r="F992">
        <f>_xlfn.NUMBERVALUE("0.000525")</f>
        <v/>
      </c>
      <c r="G992">
        <f>_xlfn.NUMBERVALUE("0.000803")</f>
        <v/>
      </c>
      <c r="H992">
        <f>_xlfn.NUMBERVALUE("-0.001372")</f>
        <v/>
      </c>
      <c r="I992">
        <f>_xlfn.NUMBERVALUE("-0.001684")</f>
        <v/>
      </c>
      <c r="J992">
        <f>_xlfn.NUMBERVALUE("-0.000152")</f>
        <v/>
      </c>
      <c r="K992">
        <f>_xlfn.NUMBERVALUE("0.001879")</f>
        <v/>
      </c>
      <c r="L992">
        <f>_xlfn.NUMBERVALUE("0.000072")</f>
        <v/>
      </c>
      <c r="M992">
        <f>_xlfn.NUMBERVALUE("-0.001609")</f>
        <v/>
      </c>
      <c r="N992">
        <f>_xlfn.NUMBERVALUE("0.001379")</f>
        <v/>
      </c>
      <c r="O992">
        <f>_xlfn.NUMBERVALUE("0.000359")</f>
        <v/>
      </c>
      <c r="P992">
        <f>_xlfn.NUMBERVALUE("0.000221")</f>
        <v/>
      </c>
      <c r="Q992">
        <f>_xlfn.NUMBERVALUE("0.000986")</f>
        <v/>
      </c>
      <c r="R992">
        <f>_xlfn.NUMBERVALUE("0.000453")</f>
        <v/>
      </c>
      <c r="S992">
        <f>_xlfn.NUMBERVALUE("0.001371")</f>
        <v/>
      </c>
      <c r="T992">
        <f>_xlfn.NUMBERVALUE("-0.000058")</f>
        <v/>
      </c>
      <c r="U992">
        <f>_xlfn.NUMBERVALUE("0.002515")</f>
        <v/>
      </c>
      <c r="V992">
        <f>_xlfn.NUMBERVALUE("0.000941")</f>
        <v/>
      </c>
      <c r="W992">
        <f>_xlfn.NUMBERVALUE("-0.002996")</f>
        <v/>
      </c>
      <c r="X992">
        <f>_xlfn.NUMBERVALUE("0.450000")</f>
        <v/>
      </c>
      <c r="Y992">
        <f>_xlfn.NUMBERVALUE("21.190000")</f>
        <v/>
      </c>
    </row>
    <row r="993">
      <c r="A993" s="1" t="n">
        <v>43441</v>
      </c>
      <c r="B993">
        <f>_xlfn.NUMBERVALUE("-0.002383")</f>
        <v/>
      </c>
      <c r="C993" s="2">
        <f>_xlfn.NUMBERVALUE("-0.001595")</f>
        <v/>
      </c>
      <c r="D993">
        <f>_xlfn.NUMBERVALUE("0.001381")</f>
        <v/>
      </c>
      <c r="E993">
        <f>_xlfn.NUMBERVALUE("-0.001745")</f>
        <v/>
      </c>
      <c r="F993">
        <f>_xlfn.NUMBERVALUE("0.000091")</f>
        <v/>
      </c>
      <c r="G993">
        <f>_xlfn.NUMBERVALUE("-0.000133")</f>
        <v/>
      </c>
      <c r="H993">
        <f>_xlfn.NUMBERVALUE("0.002200")</f>
        <v/>
      </c>
      <c r="I993">
        <f>_xlfn.NUMBERVALUE("0.000492")</f>
        <v/>
      </c>
      <c r="J993">
        <f>_xlfn.NUMBERVALUE("0.001565")</f>
        <v/>
      </c>
      <c r="K993">
        <f>_xlfn.NUMBERVALUE("0.000324")</f>
        <v/>
      </c>
      <c r="L993">
        <f>_xlfn.NUMBERVALUE("0.000783")</f>
        <v/>
      </c>
      <c r="M993">
        <f>_xlfn.NUMBERVALUE("-0.000177")</f>
        <v/>
      </c>
      <c r="N993">
        <f>_xlfn.NUMBERVALUE("0.001659")</f>
        <v/>
      </c>
      <c r="O993">
        <f>_xlfn.NUMBERVALUE("0.003858")</f>
        <v/>
      </c>
      <c r="P993">
        <f>_xlfn.NUMBERVALUE("0.001068")</f>
        <v/>
      </c>
      <c r="Q993">
        <f>_xlfn.NUMBERVALUE("-0.001655")</f>
        <v/>
      </c>
      <c r="R993">
        <f>_xlfn.NUMBERVALUE("-0.002037")</f>
        <v/>
      </c>
      <c r="S993">
        <f>_xlfn.NUMBERVALUE("0.000245")</f>
        <v/>
      </c>
      <c r="T993">
        <f>_xlfn.NUMBERVALUE("-0.000760")</f>
        <v/>
      </c>
      <c r="U993">
        <f>_xlfn.NUMBERVALUE("-0.001674")</f>
        <v/>
      </c>
      <c r="V993">
        <f>_xlfn.NUMBERVALUE("-0.001185")</f>
        <v/>
      </c>
      <c r="W993">
        <f>_xlfn.NUMBERVALUE("-0.012912")</f>
        <v/>
      </c>
      <c r="X993">
        <f>_xlfn.NUMBERVALUE("2.040000")</f>
        <v/>
      </c>
      <c r="Y993">
        <f>_xlfn.NUMBERVALUE("23.230000")</f>
        <v/>
      </c>
    </row>
    <row r="994">
      <c r="A994" s="1" t="n">
        <v>43444</v>
      </c>
      <c r="B994">
        <f>_xlfn.NUMBERVALUE("0.008582")</f>
        <v/>
      </c>
      <c r="C994" s="2">
        <f>_xlfn.NUMBERVALUE("0.000568")</f>
        <v/>
      </c>
      <c r="D994">
        <f>_xlfn.NUMBERVALUE("-0.002283")</f>
        <v/>
      </c>
      <c r="E994">
        <f>_xlfn.NUMBERVALUE("0.000173")</f>
        <v/>
      </c>
      <c r="F994">
        <f>_xlfn.NUMBERVALUE("0.000759")</f>
        <v/>
      </c>
      <c r="G994">
        <f>_xlfn.NUMBERVALUE("0.000362")</f>
        <v/>
      </c>
      <c r="H994">
        <f>_xlfn.NUMBERVALUE("-0.000702")</f>
        <v/>
      </c>
      <c r="I994">
        <f>_xlfn.NUMBERVALUE("-0.000373")</f>
        <v/>
      </c>
      <c r="J994">
        <f>_xlfn.NUMBERVALUE("-0.001139")</f>
        <v/>
      </c>
      <c r="K994">
        <f>_xlfn.NUMBERVALUE("0.002249")</f>
        <v/>
      </c>
      <c r="L994">
        <f>_xlfn.NUMBERVALUE("0.001566")</f>
        <v/>
      </c>
      <c r="M994">
        <f>_xlfn.NUMBERVALUE("0.000294")</f>
        <v/>
      </c>
      <c r="N994">
        <f>_xlfn.NUMBERVALUE("0.005862")</f>
        <v/>
      </c>
      <c r="O994">
        <f>_xlfn.NUMBERVALUE("-0.003148")</f>
        <v/>
      </c>
      <c r="P994">
        <f>_xlfn.NUMBERVALUE("-0.002304")</f>
        <v/>
      </c>
      <c r="Q994">
        <f>_xlfn.NUMBERVALUE("0.000924")</f>
        <v/>
      </c>
      <c r="R994">
        <f>_xlfn.NUMBERVALUE("0.000258")</f>
        <v/>
      </c>
      <c r="S994">
        <f>_xlfn.NUMBERVALUE("0.001021")</f>
        <v/>
      </c>
      <c r="T994">
        <f>_xlfn.NUMBERVALUE("-0.000432")</f>
        <v/>
      </c>
      <c r="U994">
        <f>_xlfn.NUMBERVALUE("0.000589")</f>
        <v/>
      </c>
      <c r="V994">
        <f>_xlfn.NUMBERVALUE("0.000371")</f>
        <v/>
      </c>
      <c r="W994">
        <f>_xlfn.NUMBERVALUE("-0.006052")</f>
        <v/>
      </c>
      <c r="X994">
        <f>_xlfn.NUMBERVALUE("-0.590000")</f>
        <v/>
      </c>
      <c r="Y994">
        <f>_xlfn.NUMBERVALUE("22.640000")</f>
        <v/>
      </c>
    </row>
    <row r="995">
      <c r="A995" s="1" t="n">
        <v>43445</v>
      </c>
      <c r="B995">
        <f>_xlfn.NUMBERVALUE("0.000590")</f>
        <v/>
      </c>
      <c r="C995" s="2">
        <f>_xlfn.NUMBERVALUE("0.000790")</f>
        <v/>
      </c>
      <c r="D995">
        <f>_xlfn.NUMBERVALUE("0.001121")</f>
        <v/>
      </c>
      <c r="E995">
        <f>_xlfn.NUMBERVALUE("0.000984")</f>
        <v/>
      </c>
      <c r="F995">
        <f>_xlfn.NUMBERVALUE("0.001221")</f>
        <v/>
      </c>
      <c r="G995">
        <f>_xlfn.NUMBERVALUE("0.000766")</f>
        <v/>
      </c>
      <c r="H995">
        <f>_xlfn.NUMBERVALUE("-0.000380")</f>
        <v/>
      </c>
      <c r="I995">
        <f>_xlfn.NUMBERVALUE("0.000511")</f>
        <v/>
      </c>
      <c r="J995">
        <f>_xlfn.NUMBERVALUE("-0.000402")</f>
        <v/>
      </c>
      <c r="K995">
        <f>_xlfn.NUMBERVALUE("0.000485")</f>
        <v/>
      </c>
      <c r="L995">
        <f>_xlfn.NUMBERVALUE("0.000052")</f>
        <v/>
      </c>
      <c r="M995">
        <f>_xlfn.NUMBERVALUE("0.002668")</f>
        <v/>
      </c>
      <c r="N995">
        <f>_xlfn.NUMBERVALUE("0.002561")</f>
        <v/>
      </c>
      <c r="O995">
        <f>_xlfn.NUMBERVALUE("0.003341")</f>
        <v/>
      </c>
      <c r="P995">
        <f>_xlfn.NUMBERVALUE("0.003772")</f>
        <v/>
      </c>
      <c r="Q995">
        <f>_xlfn.NUMBERVALUE("0.002522")</f>
        <v/>
      </c>
      <c r="R995">
        <f>_xlfn.NUMBERVALUE("0.002284")</f>
        <v/>
      </c>
      <c r="S995">
        <f>_xlfn.NUMBERVALUE("0.000656")</f>
        <v/>
      </c>
      <c r="T995">
        <f>_xlfn.NUMBERVALUE("0.000609")</f>
        <v/>
      </c>
      <c r="U995">
        <f>_xlfn.NUMBERVALUE("0.003212")</f>
        <v/>
      </c>
      <c r="V995">
        <f>_xlfn.NUMBERVALUE("0.000860")</f>
        <v/>
      </c>
      <c r="W995">
        <f>_xlfn.NUMBERVALUE("0.001664")</f>
        <v/>
      </c>
      <c r="X995">
        <f>_xlfn.NUMBERVALUE("-0.880000")</f>
        <v/>
      </c>
      <c r="Y995">
        <f>_xlfn.NUMBERVALUE("21.760000")</f>
        <v/>
      </c>
    </row>
    <row r="996">
      <c r="A996" s="1" t="n">
        <v>43446</v>
      </c>
      <c r="B996">
        <f>_xlfn.NUMBERVALUE("0.001244")</f>
        <v/>
      </c>
      <c r="C996" s="2">
        <f>_xlfn.NUMBERVALUE("0.000859")</f>
        <v/>
      </c>
      <c r="D996">
        <f>_xlfn.NUMBERVALUE("0.000965")</f>
        <v/>
      </c>
      <c r="E996">
        <f>_xlfn.NUMBERVALUE("-0.000019")</f>
        <v/>
      </c>
      <c r="F996">
        <f>_xlfn.NUMBERVALUE("0.000192")</f>
        <v/>
      </c>
      <c r="G996">
        <f>_xlfn.NUMBERVALUE("0.000764")</f>
        <v/>
      </c>
      <c r="H996">
        <f>_xlfn.NUMBERVALUE("-0.000491")</f>
        <v/>
      </c>
      <c r="I996">
        <f>_xlfn.NUMBERVALUE("0.000750")</f>
        <v/>
      </c>
      <c r="J996">
        <f>_xlfn.NUMBERVALUE("0.000756")</f>
        <v/>
      </c>
      <c r="K996">
        <f>_xlfn.NUMBERVALUE("-0.000322")</f>
        <v/>
      </c>
      <c r="L996">
        <f>_xlfn.NUMBERVALUE("0.000766")</f>
        <v/>
      </c>
      <c r="M996">
        <f>_xlfn.NUMBERVALUE("0.001206")</f>
        <v/>
      </c>
      <c r="N996">
        <f>_xlfn.NUMBERVALUE("0.001791")</f>
        <v/>
      </c>
      <c r="O996">
        <f>_xlfn.NUMBERVALUE("0.003175")</f>
        <v/>
      </c>
      <c r="P996">
        <f>_xlfn.NUMBERVALUE("0.001349")</f>
        <v/>
      </c>
      <c r="Q996">
        <f>_xlfn.NUMBERVALUE("0.002048")</f>
        <v/>
      </c>
      <c r="R996">
        <f>_xlfn.NUMBERVALUE("0.000237")</f>
        <v/>
      </c>
      <c r="S996">
        <f>_xlfn.NUMBERVALUE("0.001366")</f>
        <v/>
      </c>
      <c r="T996">
        <f>_xlfn.NUMBERVALUE("0.000956")</f>
        <v/>
      </c>
      <c r="U996">
        <f>_xlfn.NUMBERVALUE("0.000251")</f>
        <v/>
      </c>
      <c r="V996">
        <f>_xlfn.NUMBERVALUE("0.000641")</f>
        <v/>
      </c>
      <c r="W996">
        <f>_xlfn.NUMBERVALUE("0.006721")</f>
        <v/>
      </c>
      <c r="X996">
        <f>_xlfn.NUMBERVALUE("-0.300000")</f>
        <v/>
      </c>
      <c r="Y996">
        <f>_xlfn.NUMBERVALUE("21.460000")</f>
        <v/>
      </c>
    </row>
    <row r="997">
      <c r="A997" s="1" t="n">
        <v>43447</v>
      </c>
      <c r="B997">
        <f>_xlfn.NUMBERVALUE("0.002999")</f>
        <v/>
      </c>
      <c r="C997" s="2">
        <f>_xlfn.NUMBERVALUE("0.000476")</f>
        <v/>
      </c>
      <c r="D997">
        <f>_xlfn.NUMBERVALUE("0.001905")</f>
        <v/>
      </c>
      <c r="E997">
        <f>_xlfn.NUMBERVALUE("0.000481")</f>
        <v/>
      </c>
      <c r="F997">
        <f>_xlfn.NUMBERVALUE("0.001410")</f>
        <v/>
      </c>
      <c r="G997">
        <f>_xlfn.NUMBERVALUE("-0.000429")</f>
        <v/>
      </c>
      <c r="H997">
        <f>_xlfn.NUMBERVALUE("0.001206")</f>
        <v/>
      </c>
      <c r="I997">
        <f>_xlfn.NUMBERVALUE("-0.001246")</f>
        <v/>
      </c>
      <c r="J997">
        <f>_xlfn.NUMBERVALUE("0.000509")</f>
        <v/>
      </c>
      <c r="K997">
        <f>_xlfn.NUMBERVALUE("0.001564")</f>
        <v/>
      </c>
      <c r="L997">
        <f>_xlfn.NUMBERVALUE("0.001938")</f>
        <v/>
      </c>
      <c r="M997">
        <f>_xlfn.NUMBERVALUE("0.001114")</f>
        <v/>
      </c>
      <c r="N997">
        <f>_xlfn.NUMBERVALUE("-0.000466")</f>
        <v/>
      </c>
      <c r="O997">
        <f>_xlfn.NUMBERVALUE("0.003971")</f>
        <v/>
      </c>
      <c r="P997">
        <f>_xlfn.NUMBERVALUE("0.000666")</f>
        <v/>
      </c>
      <c r="Q997">
        <f>_xlfn.NUMBERVALUE("0.001606")</f>
        <v/>
      </c>
      <c r="R997">
        <f>_xlfn.NUMBERVALUE("0.001918")</f>
        <v/>
      </c>
      <c r="S997">
        <f>_xlfn.NUMBERVALUE("0.002334")</f>
        <v/>
      </c>
      <c r="T997">
        <f>_xlfn.NUMBERVALUE("0.001081")</f>
        <v/>
      </c>
      <c r="U997">
        <f>_xlfn.NUMBERVALUE("0.002714")</f>
        <v/>
      </c>
      <c r="V997">
        <f>_xlfn.NUMBERVALUE("-0.000025")</f>
        <v/>
      </c>
      <c r="W997">
        <f>_xlfn.NUMBERVALUE("-0.004125")</f>
        <v/>
      </c>
      <c r="X997">
        <f>_xlfn.NUMBERVALUE("-0.810000")</f>
        <v/>
      </c>
      <c r="Y997">
        <f>_xlfn.NUMBERVALUE("20.650000")</f>
        <v/>
      </c>
    </row>
    <row r="998">
      <c r="A998" s="1" t="n">
        <v>43448</v>
      </c>
      <c r="B998">
        <f>_xlfn.NUMBERVALUE("0.000267")</f>
        <v/>
      </c>
      <c r="C998" s="2">
        <f>_xlfn.NUMBERVALUE("-0.002247")</f>
        <v/>
      </c>
      <c r="D998">
        <f>_xlfn.NUMBERVALUE("0.000954")</f>
        <v/>
      </c>
      <c r="E998">
        <f>_xlfn.NUMBERVALUE("-0.002120")</f>
        <v/>
      </c>
      <c r="F998">
        <f>_xlfn.NUMBERVALUE("0.000360")</f>
        <v/>
      </c>
      <c r="G998">
        <f>_xlfn.NUMBERVALUE("0.000400")</f>
        <v/>
      </c>
      <c r="H998">
        <f>_xlfn.NUMBERVALUE("0.000006")</f>
        <v/>
      </c>
      <c r="I998">
        <f>_xlfn.NUMBERVALUE("-0.001247")</f>
        <v/>
      </c>
      <c r="J998">
        <f>_xlfn.NUMBERVALUE("0.000455")</f>
        <v/>
      </c>
      <c r="K998">
        <f>_xlfn.NUMBERVALUE("-0.001817")</f>
        <v/>
      </c>
      <c r="L998">
        <f>_xlfn.NUMBERVALUE("-0.000323")</f>
        <v/>
      </c>
      <c r="M998">
        <f>_xlfn.NUMBERVALUE("-0.001288")</f>
        <v/>
      </c>
      <c r="N998">
        <f>_xlfn.NUMBERVALUE("-0.003656")</f>
        <v/>
      </c>
      <c r="O998">
        <f>_xlfn.NUMBERVALUE("-0.004401")</f>
        <v/>
      </c>
      <c r="P998">
        <f>_xlfn.NUMBERVALUE("-0.001972")</f>
        <v/>
      </c>
      <c r="Q998">
        <f>_xlfn.NUMBERVALUE("-0.002683")</f>
        <v/>
      </c>
      <c r="R998">
        <f>_xlfn.NUMBERVALUE("-0.004720")</f>
        <v/>
      </c>
      <c r="S998">
        <f>_xlfn.NUMBERVALUE("-0.004158")</f>
        <v/>
      </c>
      <c r="T998">
        <f>_xlfn.NUMBERVALUE("0.000633")</f>
        <v/>
      </c>
      <c r="U998">
        <f>_xlfn.NUMBERVALUE("-0.005983")</f>
        <v/>
      </c>
      <c r="V998">
        <f>_xlfn.NUMBERVALUE("-0.001918")</f>
        <v/>
      </c>
      <c r="W998">
        <f>_xlfn.NUMBERVALUE("-0.021390")</f>
        <v/>
      </c>
      <c r="X998">
        <f>_xlfn.NUMBERVALUE("0.980000")</f>
        <v/>
      </c>
      <c r="Y998">
        <f>_xlfn.NUMBERVALUE("21.630000")</f>
        <v/>
      </c>
    </row>
    <row r="999">
      <c r="A999" s="1" t="n">
        <v>43451</v>
      </c>
      <c r="B999">
        <f>_xlfn.NUMBERVALUE("-0.001978")</f>
        <v/>
      </c>
      <c r="C999" s="2">
        <f>_xlfn.NUMBERVALUE("-0.001108")</f>
        <v/>
      </c>
      <c r="D999">
        <f>_xlfn.NUMBERVALUE("-0.003575")</f>
        <v/>
      </c>
      <c r="E999">
        <f>_xlfn.NUMBERVALUE("0.000018")</f>
        <v/>
      </c>
      <c r="F999">
        <f>_xlfn.NUMBERVALUE("-0.001341")</f>
        <v/>
      </c>
      <c r="G999">
        <f>_xlfn.NUMBERVALUE("-0.001607")</f>
        <v/>
      </c>
      <c r="H999">
        <f>_xlfn.NUMBERVALUE("0.001064")</f>
        <v/>
      </c>
      <c r="I999">
        <f>_xlfn.NUMBERVALUE("0.001905")</f>
        <v/>
      </c>
      <c r="J999">
        <f>_xlfn.NUMBERVALUE("-0.000504")</f>
        <v/>
      </c>
      <c r="K999">
        <f>_xlfn.NUMBERVALUE("0.001112")</f>
        <v/>
      </c>
      <c r="L999">
        <f>_xlfn.NUMBERVALUE("-0.000440")</f>
        <v/>
      </c>
      <c r="M999">
        <f>_xlfn.NUMBERVALUE("-0.003222")</f>
        <v/>
      </c>
      <c r="N999">
        <f>_xlfn.NUMBERVALUE("-0.004968")</f>
        <v/>
      </c>
      <c r="O999">
        <f>_xlfn.NUMBERVALUE("-0.004242")</f>
        <v/>
      </c>
      <c r="P999">
        <f>_xlfn.NUMBERVALUE("-0.001200")</f>
        <v/>
      </c>
      <c r="Q999">
        <f>_xlfn.NUMBERVALUE("-0.002289")</f>
        <v/>
      </c>
      <c r="R999">
        <f>_xlfn.NUMBERVALUE("-0.005933")</f>
        <v/>
      </c>
      <c r="S999">
        <f>_xlfn.NUMBERVALUE("-0.007026")</f>
        <v/>
      </c>
      <c r="T999">
        <f>_xlfn.NUMBERVALUE("-0.014016")</f>
        <v/>
      </c>
      <c r="U999">
        <f>_xlfn.NUMBERVALUE("-0.006989")</f>
        <v/>
      </c>
      <c r="V999">
        <f>_xlfn.NUMBERVALUE("-0.001357")</f>
        <v/>
      </c>
      <c r="W999">
        <f>_xlfn.NUMBERVALUE("-0.023551")</f>
        <v/>
      </c>
      <c r="X999">
        <f>_xlfn.NUMBERVALUE("2.890000")</f>
        <v/>
      </c>
      <c r="Y999">
        <f>_xlfn.NUMBERVALUE("24.520000")</f>
        <v/>
      </c>
    </row>
    <row r="1000">
      <c r="A1000" s="1" t="n">
        <v>43452</v>
      </c>
      <c r="B1000">
        <f>_xlfn.NUMBERVALUE("0.004433")</f>
        <v/>
      </c>
      <c r="C1000" s="2">
        <f>_xlfn.NUMBERVALUE("-0.000122")</f>
        <v/>
      </c>
      <c r="D1000">
        <f>_xlfn.NUMBERVALUE("0.007051")</f>
        <v/>
      </c>
      <c r="E1000">
        <f>_xlfn.NUMBERVALUE("0.006874")</f>
        <v/>
      </c>
      <c r="F1000">
        <f>_xlfn.NUMBERVALUE("0.000340")</f>
        <v/>
      </c>
      <c r="G1000">
        <f>_xlfn.NUMBERVALUE("0.001007")</f>
        <v/>
      </c>
      <c r="H1000">
        <f>_xlfn.NUMBERVALUE("-0.002000")</f>
        <v/>
      </c>
      <c r="I1000">
        <f>_xlfn.NUMBERVALUE("0.000767")</f>
        <v/>
      </c>
      <c r="J1000">
        <f>_xlfn.NUMBERVALUE("-0.002167")</f>
        <v/>
      </c>
      <c r="K1000">
        <f>_xlfn.NUMBERVALUE("0.000296")</f>
        <v/>
      </c>
      <c r="L1000">
        <f>_xlfn.NUMBERVALUE("-0.001162")</f>
        <v/>
      </c>
      <c r="M1000">
        <f>_xlfn.NUMBERVALUE("-0.000147")</f>
        <v/>
      </c>
      <c r="N1000">
        <f>_xlfn.NUMBERVALUE("0.001270")</f>
        <v/>
      </c>
      <c r="O1000">
        <f>_xlfn.NUMBERVALUE("-0.000988")</f>
        <v/>
      </c>
      <c r="P1000">
        <f>_xlfn.NUMBERVALUE("-0.000960")</f>
        <v/>
      </c>
      <c r="Q1000">
        <f>_xlfn.NUMBERVALUE("-0.000628")</f>
        <v/>
      </c>
      <c r="R1000">
        <f>_xlfn.NUMBERVALUE("0.002087")</f>
        <v/>
      </c>
      <c r="S1000">
        <f>_xlfn.NUMBERVALUE("-0.001105")</f>
        <v/>
      </c>
      <c r="T1000">
        <f>_xlfn.NUMBERVALUE("-0.000645")</f>
        <v/>
      </c>
      <c r="U1000">
        <f>_xlfn.NUMBERVALUE("-0.000956")</f>
        <v/>
      </c>
      <c r="V1000">
        <f>_xlfn.NUMBERVALUE("0.000108")</f>
        <v/>
      </c>
      <c r="W1000">
        <f>_xlfn.NUMBERVALUE("0.008040")</f>
        <v/>
      </c>
      <c r="X1000">
        <f>_xlfn.NUMBERVALUE("1.060000")</f>
        <v/>
      </c>
      <c r="Y1000">
        <f>_xlfn.NUMBERVALUE("25.580000")</f>
        <v/>
      </c>
    </row>
    <row r="1001">
      <c r="A1001" s="1" t="n">
        <v>43453</v>
      </c>
      <c r="B1001">
        <f>_xlfn.NUMBERVALUE("-0.000191")</f>
        <v/>
      </c>
      <c r="C1001" s="2">
        <f>_xlfn.NUMBERVALUE("-0.000433")</f>
        <v/>
      </c>
      <c r="D1001">
        <f>_xlfn.NUMBERVALUE("-0.001280")</f>
        <v/>
      </c>
      <c r="E1001">
        <f>_xlfn.NUMBERVALUE("-0.000156")</f>
        <v/>
      </c>
      <c r="F1001">
        <f>_xlfn.NUMBERVALUE("0.000922")</f>
        <v/>
      </c>
      <c r="G1001">
        <f>_xlfn.NUMBERVALUE("-0.000212")</f>
        <v/>
      </c>
      <c r="H1001">
        <f>_xlfn.NUMBERVALUE("-0.000561")</f>
        <v/>
      </c>
      <c r="I1001">
        <f>_xlfn.NUMBERVALUE("-0.000493")</f>
        <v/>
      </c>
      <c r="J1001">
        <f>_xlfn.NUMBERVALUE("0.000230")</f>
        <v/>
      </c>
      <c r="K1001">
        <f>_xlfn.NUMBERVALUE("0.001604")</f>
        <v/>
      </c>
      <c r="L1001">
        <f>_xlfn.NUMBERVALUE("-0.001968")</f>
        <v/>
      </c>
      <c r="M1001">
        <f>_xlfn.NUMBERVALUE("-0.001608")</f>
        <v/>
      </c>
      <c r="N1001">
        <f>_xlfn.NUMBERVALUE("0.002029")</f>
        <v/>
      </c>
      <c r="O1001">
        <f>_xlfn.NUMBERVALUE("-0.000724")</f>
        <v/>
      </c>
      <c r="P1001">
        <f>_xlfn.NUMBERVALUE("-0.000453")</f>
        <v/>
      </c>
      <c r="Q1001">
        <f>_xlfn.NUMBERVALUE("-0.002601")</f>
        <v/>
      </c>
      <c r="R1001">
        <f>_xlfn.NUMBERVALUE("-0.002020")</f>
        <v/>
      </c>
      <c r="S1001">
        <f>_xlfn.NUMBERVALUE("-0.000784")</f>
        <v/>
      </c>
      <c r="T1001">
        <f>_xlfn.NUMBERVALUE("0.001883")</f>
        <v/>
      </c>
      <c r="U1001">
        <f>_xlfn.NUMBERVALUE("-0.002410")</f>
        <v/>
      </c>
      <c r="V1001">
        <f>_xlfn.NUMBERVALUE("-0.000947")</f>
        <v/>
      </c>
      <c r="W1001">
        <f>_xlfn.NUMBERVALUE("-0.018375")</f>
        <v/>
      </c>
      <c r="X1001">
        <f>_xlfn.NUMBERVALUE("0.000000")</f>
        <v/>
      </c>
      <c r="Y1001">
        <f>_xlfn.NUMBERVALUE("25.580000")</f>
        <v/>
      </c>
    </row>
    <row r="1002">
      <c r="A1002" s="1" t="n">
        <v>43454</v>
      </c>
      <c r="B1002">
        <f>_xlfn.NUMBERVALUE("-0.006814")</f>
        <v/>
      </c>
      <c r="C1002" s="2">
        <f>_xlfn.NUMBERVALUE("-0.000525")</f>
        <v/>
      </c>
      <c r="D1002">
        <f>_xlfn.NUMBERVALUE("0.000327")</f>
        <v/>
      </c>
      <c r="E1002">
        <f>_xlfn.NUMBERVALUE("-0.000073")</f>
        <v/>
      </c>
      <c r="F1002">
        <f>_xlfn.NUMBERVALUE("-0.003843")</f>
        <v/>
      </c>
      <c r="G1002">
        <f>_xlfn.NUMBERVALUE("-0.000125")</f>
        <v/>
      </c>
      <c r="H1002">
        <f>_xlfn.NUMBERVALUE("-0.002030")</f>
        <v/>
      </c>
      <c r="I1002">
        <f>_xlfn.NUMBERVALUE("0.000001")</f>
        <v/>
      </c>
      <c r="J1002">
        <f>_xlfn.NUMBERVALUE("-0.000161")</f>
        <v/>
      </c>
      <c r="K1002">
        <f>_xlfn.NUMBERVALUE("-0.001678")</f>
        <v/>
      </c>
      <c r="L1002">
        <f>_xlfn.NUMBERVALUE("-0.000286")</f>
        <v/>
      </c>
      <c r="M1002">
        <f>_xlfn.NUMBERVALUE("-0.001013")</f>
        <v/>
      </c>
      <c r="N1002">
        <f>_xlfn.NUMBERVALUE("-0.001296")</f>
        <v/>
      </c>
      <c r="O1002">
        <f>_xlfn.NUMBERVALUE("-0.001806")</f>
        <v/>
      </c>
      <c r="P1002">
        <f>_xlfn.NUMBERVALUE("-0.000136")</f>
        <v/>
      </c>
      <c r="Q1002">
        <f>_xlfn.NUMBERVALUE("-0.001293")</f>
        <v/>
      </c>
      <c r="R1002">
        <f>_xlfn.NUMBERVALUE("-0.001520")</f>
        <v/>
      </c>
      <c r="S1002">
        <f>_xlfn.NUMBERVALUE("-0.001027")</f>
        <v/>
      </c>
      <c r="T1002">
        <f>_xlfn.NUMBERVALUE("0.000420")</f>
        <v/>
      </c>
      <c r="U1002">
        <f>_xlfn.NUMBERVALUE("-0.002516")</f>
        <v/>
      </c>
      <c r="V1002">
        <f>_xlfn.NUMBERVALUE("-0.000475")</f>
        <v/>
      </c>
      <c r="W1002">
        <f>_xlfn.NUMBERVALUE("-0.017285")</f>
        <v/>
      </c>
      <c r="X1002">
        <f>_xlfn.NUMBERVALUE("2.800000")</f>
        <v/>
      </c>
      <c r="Y1002">
        <f>_xlfn.NUMBERVALUE("28.380000")</f>
        <v/>
      </c>
    </row>
    <row r="1003">
      <c r="A1003" s="1" t="n">
        <v>43455</v>
      </c>
      <c r="B1003">
        <f>_xlfn.NUMBERVALUE("-0.003546")</f>
        <v/>
      </c>
      <c r="C1003" s="2">
        <f>_xlfn.NUMBERVALUE("0.001737")</f>
        <v/>
      </c>
      <c r="D1003">
        <f>_xlfn.NUMBERVALUE("0.000256")</f>
        <v/>
      </c>
      <c r="E1003">
        <f>_xlfn.NUMBERVALUE("-0.000433")</f>
        <v/>
      </c>
      <c r="F1003">
        <f>_xlfn.NUMBERVALUE("0.001047")</f>
        <v/>
      </c>
      <c r="G1003">
        <f>_xlfn.NUMBERVALUE("-0.001782")</f>
        <v/>
      </c>
      <c r="H1003">
        <f>_xlfn.NUMBERVALUE("0.002397")</f>
        <v/>
      </c>
      <c r="I1003">
        <f>_xlfn.NUMBERVALUE("-0.000135")</f>
        <v/>
      </c>
      <c r="J1003">
        <f>_xlfn.NUMBERVALUE("0.001005")</f>
        <v/>
      </c>
      <c r="K1003">
        <f>_xlfn.NUMBERVALUE("0.000547")</f>
        <v/>
      </c>
      <c r="L1003">
        <f>_xlfn.NUMBERVALUE("-0.000139")</f>
        <v/>
      </c>
      <c r="M1003">
        <f>_xlfn.NUMBERVALUE("0.003679")</f>
        <v/>
      </c>
      <c r="N1003">
        <f>_xlfn.NUMBERVALUE("-0.003203")</f>
        <v/>
      </c>
      <c r="O1003">
        <f>_xlfn.NUMBERVALUE("0.006615")</f>
        <v/>
      </c>
      <c r="P1003">
        <f>_xlfn.NUMBERVALUE("0.003456")</f>
        <v/>
      </c>
      <c r="Q1003">
        <f>_xlfn.NUMBERVALUE("0.003756")</f>
        <v/>
      </c>
      <c r="R1003">
        <f>_xlfn.NUMBERVALUE("0.001670")</f>
        <v/>
      </c>
      <c r="S1003">
        <f>_xlfn.NUMBERVALUE("0.006972")</f>
        <v/>
      </c>
      <c r="T1003">
        <f>_xlfn.NUMBERVALUE("0.004210")</f>
        <v/>
      </c>
      <c r="U1003">
        <f>_xlfn.NUMBERVALUE("0.003819")</f>
        <v/>
      </c>
      <c r="V1003">
        <f>_xlfn.NUMBERVALUE("0.004535")</f>
        <v/>
      </c>
      <c r="W1003">
        <f>_xlfn.NUMBERVALUE("-0.021845")</f>
        <v/>
      </c>
      <c r="X1003">
        <f>_xlfn.NUMBERVALUE("1.730000")</f>
        <v/>
      </c>
      <c r="Y1003">
        <f>_xlfn.NUMBERVALUE("30.110000")</f>
        <v/>
      </c>
    </row>
    <row r="1004">
      <c r="A1004" s="1" t="n">
        <v>43458</v>
      </c>
      <c r="B1004">
        <f>_xlfn.NUMBERVALUE("0.005078")</f>
        <v/>
      </c>
      <c r="C1004" s="2">
        <f>_xlfn.NUMBERVALUE("-0.000331")</f>
        <v/>
      </c>
      <c r="D1004">
        <f>_xlfn.NUMBERVALUE("-0.000259")</f>
        <v/>
      </c>
      <c r="E1004">
        <f>_xlfn.NUMBERVALUE("0.000019")</f>
        <v/>
      </c>
      <c r="F1004">
        <f>_xlfn.NUMBERVALUE("-0.001327")</f>
        <v/>
      </c>
      <c r="G1004">
        <f>_xlfn.NUMBERVALUE("-0.000119")</f>
        <v/>
      </c>
      <c r="H1004">
        <f>_xlfn.NUMBERVALUE("-0.000123")</f>
        <v/>
      </c>
      <c r="I1004">
        <f>_xlfn.NUMBERVALUE("-0.000178")</f>
        <v/>
      </c>
      <c r="J1004">
        <f>_xlfn.NUMBERVALUE("-0.000760")</f>
        <v/>
      </c>
      <c r="K1004">
        <f>_xlfn.NUMBERVALUE("-0.001513")</f>
        <v/>
      </c>
      <c r="L1004">
        <f>_xlfn.NUMBERVALUE("-0.000094")</f>
        <v/>
      </c>
      <c r="M1004">
        <f>_xlfn.NUMBERVALUE("-0.003062")</f>
        <v/>
      </c>
      <c r="N1004">
        <f>_xlfn.NUMBERVALUE("-0.002986")</f>
        <v/>
      </c>
      <c r="O1004">
        <f>_xlfn.NUMBERVALUE("-0.001371")</f>
        <v/>
      </c>
      <c r="P1004">
        <f>_xlfn.NUMBERVALUE("-0.001290")</f>
        <v/>
      </c>
      <c r="Q1004">
        <f>_xlfn.NUMBERVALUE("-0.001702")</f>
        <v/>
      </c>
      <c r="R1004">
        <f>_xlfn.NUMBERVALUE("-0.001121")</f>
        <v/>
      </c>
      <c r="S1004">
        <f>_xlfn.NUMBERVALUE("-0.003243")</f>
        <v/>
      </c>
      <c r="T1004">
        <f>_xlfn.NUMBERVALUE("-0.009725")</f>
        <v/>
      </c>
      <c r="U1004">
        <f>_xlfn.NUMBERVALUE("-0.000916")</f>
        <v/>
      </c>
      <c r="V1004">
        <f>_xlfn.NUMBERVALUE("-0.000221")</f>
        <v/>
      </c>
      <c r="W1004">
        <f>_xlfn.NUMBERVALUE("-0.024694")</f>
        <v/>
      </c>
      <c r="X1004">
        <f>_xlfn.NUMBERVALUE("5.960000")</f>
        <v/>
      </c>
      <c r="Y1004">
        <f>_xlfn.NUMBERVALUE("36.070000")</f>
        <v/>
      </c>
    </row>
    <row r="1005">
      <c r="A1005" s="1" t="n">
        <v>43460</v>
      </c>
      <c r="B1005">
        <f>_xlfn.NUMBERVALUE("-0.006055")</f>
        <v/>
      </c>
      <c r="C1005" s="2">
        <f>_xlfn.NUMBERVALUE("-0.000257")</f>
        <v/>
      </c>
      <c r="D1005">
        <f>_xlfn.NUMBERVALUE("0.000458")</f>
        <v/>
      </c>
      <c r="E1005">
        <f>_xlfn.NUMBERVALUE("-0.000121")</f>
        <v/>
      </c>
      <c r="F1005">
        <f>_xlfn.NUMBERVALUE("0.000163")</f>
        <v/>
      </c>
      <c r="G1005">
        <f>_xlfn.NUMBERVALUE("-0.000736")</f>
        <v/>
      </c>
      <c r="H1005">
        <f>_xlfn.NUMBERVALUE("-0.000113")</f>
        <v/>
      </c>
      <c r="I1005">
        <f>_xlfn.NUMBERVALUE("-0.000178")</f>
        <v/>
      </c>
      <c r="J1005">
        <f>_xlfn.NUMBERVALUE("0.000734")</f>
        <v/>
      </c>
      <c r="K1005">
        <f>_xlfn.NUMBERVALUE("-0.002223")</f>
        <v/>
      </c>
      <c r="L1005">
        <f>_xlfn.NUMBERVALUE("0.000548")</f>
        <v/>
      </c>
      <c r="M1005">
        <f>_xlfn.NUMBERVALUE("0.003175")</f>
        <v/>
      </c>
      <c r="N1005">
        <f>_xlfn.NUMBERVALUE("0.000458")</f>
        <v/>
      </c>
      <c r="O1005">
        <f>_xlfn.NUMBERVALUE("0.000512")</f>
        <v/>
      </c>
      <c r="P1005">
        <f>_xlfn.NUMBERVALUE("0.001171")</f>
        <v/>
      </c>
      <c r="Q1005">
        <f>_xlfn.NUMBERVALUE("0.001319")</f>
        <v/>
      </c>
      <c r="R1005">
        <f>_xlfn.NUMBERVALUE("0.001428")</f>
        <v/>
      </c>
      <c r="S1005">
        <f>_xlfn.NUMBERVALUE("0.002498")</f>
        <v/>
      </c>
      <c r="T1005">
        <f>_xlfn.NUMBERVALUE("0.000756")</f>
        <v/>
      </c>
      <c r="U1005">
        <f>_xlfn.NUMBERVALUE("0.000230")</f>
        <v/>
      </c>
      <c r="V1005">
        <f>_xlfn.NUMBERVALUE("-0.000116")</f>
        <v/>
      </c>
      <c r="W1005">
        <f>_xlfn.NUMBERVALUE("0.038957")</f>
        <v/>
      </c>
      <c r="X1005">
        <f>_xlfn.NUMBERVALUE("-5.660000")</f>
        <v/>
      </c>
      <c r="Y1005">
        <f>_xlfn.NUMBERVALUE("30.410000")</f>
        <v/>
      </c>
    </row>
    <row r="1006">
      <c r="A1006" s="1" t="n">
        <v>43461</v>
      </c>
      <c r="B1006">
        <f>_xlfn.NUMBERVALUE("-0.003147")</f>
        <v/>
      </c>
      <c r="C1006" s="2">
        <f>_xlfn.NUMBERVALUE("0.000255")</f>
        <v/>
      </c>
      <c r="D1006">
        <f>_xlfn.NUMBERVALUE("0.000089")</f>
        <v/>
      </c>
      <c r="E1006">
        <f>_xlfn.NUMBERVALUE("-0.000017")</f>
        <v/>
      </c>
      <c r="F1006">
        <f>_xlfn.NUMBERVALUE("0.000085")</f>
        <v/>
      </c>
      <c r="G1006">
        <f>_xlfn.NUMBERVALUE("0.002059")</f>
        <v/>
      </c>
      <c r="H1006">
        <f>_xlfn.NUMBERVALUE("-0.008666")</f>
        <v/>
      </c>
      <c r="I1006">
        <f>_xlfn.NUMBERVALUE("-0.000054")</f>
        <v/>
      </c>
      <c r="J1006">
        <f>_xlfn.NUMBERVALUE("0.001539")</f>
        <v/>
      </c>
      <c r="K1006">
        <f>_xlfn.NUMBERVALUE("0.000112")</f>
        <v/>
      </c>
      <c r="L1006">
        <f>_xlfn.NUMBERVALUE("0.002602")</f>
        <v/>
      </c>
      <c r="M1006">
        <f>_xlfn.NUMBERVALUE("-0.000378")</f>
        <v/>
      </c>
      <c r="N1006">
        <f>_xlfn.NUMBERVALUE("0.001598")</f>
        <v/>
      </c>
      <c r="O1006">
        <f>_xlfn.NUMBERVALUE("-0.000355")</f>
        <v/>
      </c>
      <c r="P1006">
        <f>_xlfn.NUMBERVALUE("-0.000280")</f>
        <v/>
      </c>
      <c r="Q1006">
        <f>_xlfn.NUMBERVALUE("-0.000365")</f>
        <v/>
      </c>
      <c r="R1006">
        <f>_xlfn.NUMBERVALUE("0.000333")</f>
        <v/>
      </c>
      <c r="S1006">
        <f>_xlfn.NUMBERVALUE("-0.000053")</f>
        <v/>
      </c>
      <c r="T1006">
        <f>_xlfn.NUMBERVALUE("0.000962")</f>
        <v/>
      </c>
      <c r="U1006">
        <f>_xlfn.NUMBERVALUE("-0.003094")</f>
        <v/>
      </c>
      <c r="V1006">
        <f>_xlfn.NUMBERVALUE("0.000007")</f>
        <v/>
      </c>
      <c r="W1006">
        <f>_xlfn.NUMBERVALUE("0.007401")</f>
        <v/>
      </c>
      <c r="X1006">
        <f>_xlfn.NUMBERVALUE("-0.450000")</f>
        <v/>
      </c>
      <c r="Y1006">
        <f>_xlfn.NUMBERVALUE("29.960000")</f>
        <v/>
      </c>
    </row>
    <row r="1007">
      <c r="A1007" s="1" t="n">
        <v>43462</v>
      </c>
      <c r="B1007">
        <f>_xlfn.NUMBERVALUE("-0.006614")</f>
        <v/>
      </c>
      <c r="C1007" s="2">
        <f>_xlfn.NUMBERVALUE("-0.000052")</f>
        <v/>
      </c>
      <c r="D1007">
        <f>_xlfn.NUMBERVALUE("0.000201")</f>
        <v/>
      </c>
      <c r="E1007">
        <f>_xlfn.NUMBERVALUE("-0.000113")</f>
        <v/>
      </c>
      <c r="F1007">
        <f>_xlfn.NUMBERVALUE("0.000082")</f>
        <v/>
      </c>
      <c r="G1007">
        <f>_xlfn.NUMBERVALUE("0.000501")</f>
        <v/>
      </c>
      <c r="H1007">
        <f>_xlfn.NUMBERVALUE("-0.009200")</f>
        <v/>
      </c>
      <c r="I1007">
        <f>_xlfn.NUMBERVALUE("0.000014")</f>
        <v/>
      </c>
      <c r="J1007">
        <f>_xlfn.NUMBERVALUE("-0.001416")</f>
        <v/>
      </c>
      <c r="K1007">
        <f>_xlfn.NUMBERVALUE("-0.000177")</f>
        <v/>
      </c>
      <c r="L1007">
        <f>_xlfn.NUMBERVALUE("-0.001105")</f>
        <v/>
      </c>
      <c r="M1007">
        <f>_xlfn.NUMBERVALUE("0.002597")</f>
        <v/>
      </c>
      <c r="N1007">
        <f>_xlfn.NUMBERVALUE("0.002349")</f>
        <v/>
      </c>
      <c r="O1007">
        <f>_xlfn.NUMBERVALUE("0.001198")</f>
        <v/>
      </c>
      <c r="P1007">
        <f>_xlfn.NUMBERVALUE("0.001162")</f>
        <v/>
      </c>
      <c r="Q1007">
        <f>_xlfn.NUMBERVALUE("0.001414")</f>
        <v/>
      </c>
      <c r="R1007">
        <f>_xlfn.NUMBERVALUE("0.000308")</f>
        <v/>
      </c>
      <c r="S1007">
        <f>_xlfn.NUMBERVALUE("0.000243")</f>
        <v/>
      </c>
      <c r="T1007">
        <f>_xlfn.NUMBERVALUE("0.000291")</f>
        <v/>
      </c>
      <c r="U1007">
        <f>_xlfn.NUMBERVALUE("0.003943")</f>
        <v/>
      </c>
      <c r="V1007">
        <f>_xlfn.NUMBERVALUE("-0.000088")</f>
        <v/>
      </c>
      <c r="W1007">
        <f>_xlfn.NUMBERVALUE("0.003166")</f>
        <v/>
      </c>
      <c r="X1007">
        <f>_xlfn.NUMBERVALUE("-1.620000")</f>
        <v/>
      </c>
      <c r="Y1007">
        <f>_xlfn.NUMBERVALUE("28.340000")</f>
        <v/>
      </c>
    </row>
    <row r="1008">
      <c r="A1008" s="1" t="n">
        <v>43465</v>
      </c>
      <c r="B1008">
        <f>_xlfn.NUMBERVALUE("0.015263")</f>
        <v/>
      </c>
      <c r="C1008" s="2">
        <f>_xlfn.NUMBERVALUE("-0.000055")</f>
        <v/>
      </c>
      <c r="D1008">
        <f>_xlfn.NUMBERVALUE("-0.000110")</f>
        <v/>
      </c>
      <c r="E1008">
        <f>_xlfn.NUMBERVALUE("-0.000106")</f>
        <v/>
      </c>
      <c r="F1008">
        <f>_xlfn.NUMBERVALUE("0.000191")</f>
        <v/>
      </c>
      <c r="G1008">
        <f>_xlfn.NUMBERVALUE("0.000062")</f>
        <v/>
      </c>
      <c r="H1008">
        <f>_xlfn.NUMBERVALUE("0.013973")</f>
        <v/>
      </c>
      <c r="I1008">
        <f>_xlfn.NUMBERVALUE("-0.000183")</f>
        <v/>
      </c>
      <c r="J1008">
        <f>_xlfn.NUMBERVALUE("0.000074")</f>
        <v/>
      </c>
      <c r="K1008">
        <f>_xlfn.NUMBERVALUE("-0.000018")</f>
        <v/>
      </c>
      <c r="L1008">
        <f>_xlfn.NUMBERVALUE("-0.000263")</f>
        <v/>
      </c>
      <c r="M1008">
        <f>_xlfn.NUMBERVALUE("0.002505")</f>
        <v/>
      </c>
      <c r="N1008">
        <f>_xlfn.NUMBERVALUE("0.004671")</f>
        <v/>
      </c>
      <c r="O1008">
        <f>_xlfn.NUMBERVALUE("0.000414")</f>
        <v/>
      </c>
      <c r="P1008">
        <f>_xlfn.NUMBERVALUE("0.002283")</f>
        <v/>
      </c>
      <c r="Q1008">
        <f>_xlfn.NUMBERVALUE("0.000602")</f>
        <v/>
      </c>
      <c r="R1008">
        <f>_xlfn.NUMBERVALUE("0.000890")</f>
        <v/>
      </c>
      <c r="S1008">
        <f>_xlfn.NUMBERVALUE("-0.000194")</f>
        <v/>
      </c>
      <c r="T1008">
        <f>_xlfn.NUMBERVALUE("0.000896")</f>
        <v/>
      </c>
      <c r="U1008">
        <f>_xlfn.NUMBERVALUE("0.001310")</f>
        <v/>
      </c>
      <c r="V1008">
        <f>_xlfn.NUMBERVALUE("-0.000188")</f>
        <v/>
      </c>
      <c r="W1008">
        <f>_xlfn.NUMBERVALUE("0.009063")</f>
        <v/>
      </c>
      <c r="X1008">
        <f>_xlfn.NUMBERVALUE("-2.920000")</f>
        <v/>
      </c>
      <c r="Y1008">
        <f>_xlfn.NUMBERVALUE("25.420000")</f>
        <v/>
      </c>
    </row>
    <row r="1009">
      <c r="A1009" s="1" t="n">
        <v>43467</v>
      </c>
      <c r="B1009">
        <f>_xlfn.NUMBERVALUE("-0.021311")</f>
        <v/>
      </c>
      <c r="C1009" s="2">
        <f>_xlfn.NUMBERVALUE("-0.000164")</f>
        <v/>
      </c>
      <c r="D1009">
        <f>_xlfn.NUMBERVALUE("0.000003")</f>
        <v/>
      </c>
      <c r="E1009">
        <f>_xlfn.NUMBERVALUE("-0.000118")</f>
        <v/>
      </c>
      <c r="F1009">
        <f>_xlfn.NUMBERVALUE("0.000144")</f>
        <v/>
      </c>
      <c r="G1009">
        <f>_xlfn.NUMBERVALUE("0.000105")</f>
        <v/>
      </c>
      <c r="H1009">
        <f>_xlfn.NUMBERVALUE("-0.015740")</f>
        <v/>
      </c>
      <c r="I1009">
        <f>_xlfn.NUMBERVALUE("-0.000139")</f>
        <v/>
      </c>
      <c r="J1009">
        <f>_xlfn.NUMBERVALUE("0.000277")</f>
        <v/>
      </c>
      <c r="K1009">
        <f>_xlfn.NUMBERVALUE("-0.000033")</f>
        <v/>
      </c>
      <c r="L1009">
        <f>_xlfn.NUMBERVALUE("0.000051")</f>
        <v/>
      </c>
      <c r="M1009">
        <f>_xlfn.NUMBERVALUE("0.001149")</f>
        <v/>
      </c>
      <c r="N1009">
        <f>_xlfn.NUMBERVALUE("0.001690")</f>
        <v/>
      </c>
      <c r="O1009">
        <f>_xlfn.NUMBERVALUE("-0.000674")</f>
        <v/>
      </c>
      <c r="P1009">
        <f>_xlfn.NUMBERVALUE("0.000296")</f>
        <v/>
      </c>
      <c r="Q1009">
        <f>_xlfn.NUMBERVALUE("-0.000646")</f>
        <v/>
      </c>
      <c r="R1009">
        <f>_xlfn.NUMBERVALUE("0.000068")</f>
        <v/>
      </c>
      <c r="S1009">
        <f>_xlfn.NUMBERVALUE("-0.000063")</f>
        <v/>
      </c>
      <c r="T1009">
        <f>_xlfn.NUMBERVALUE("-0.000584")</f>
        <v/>
      </c>
      <c r="U1009">
        <f>_xlfn.NUMBERVALUE("0.000435")</f>
        <v/>
      </c>
      <c r="V1009">
        <f>_xlfn.NUMBERVALUE("-0.000305")</f>
        <v/>
      </c>
      <c r="W1009">
        <f>_xlfn.NUMBERVALUE("0.000120")</f>
        <v/>
      </c>
      <c r="X1009">
        <f>_xlfn.NUMBERVALUE("-2.200000")</f>
        <v/>
      </c>
      <c r="Y1009">
        <f>_xlfn.NUMBERVALUE("23.220000")</f>
        <v/>
      </c>
    </row>
    <row r="1010">
      <c r="A1010" s="1" t="n">
        <v>43468</v>
      </c>
      <c r="B1010">
        <f>_xlfn.NUMBERVALUE("0.011756")</f>
        <v/>
      </c>
      <c r="C1010" s="2">
        <f>_xlfn.NUMBERVALUE("-0.000044")</f>
        <v/>
      </c>
      <c r="D1010">
        <f>_xlfn.NUMBERVALUE("0.000006")</f>
        <v/>
      </c>
      <c r="E1010">
        <f>_xlfn.NUMBERVALUE("-0.000000")</f>
        <v/>
      </c>
      <c r="F1010">
        <f>_xlfn.NUMBERVALUE("0.000035")</f>
        <v/>
      </c>
      <c r="G1010">
        <f>_xlfn.NUMBERVALUE("0.000058")</f>
        <v/>
      </c>
      <c r="H1010">
        <f>_xlfn.NUMBERVALUE("0.011779")</f>
        <v/>
      </c>
      <c r="I1010">
        <f>_xlfn.NUMBERVALUE("-0.000041")</f>
        <v/>
      </c>
      <c r="J1010">
        <f>_xlfn.NUMBERVALUE("0.000085")</f>
        <v/>
      </c>
      <c r="K1010">
        <f>_xlfn.NUMBERVALUE("-0.000005")</f>
        <v/>
      </c>
      <c r="L1010">
        <f>_xlfn.NUMBERVALUE("0.000079")</f>
        <v/>
      </c>
      <c r="M1010">
        <f>_xlfn.NUMBERVALUE("-0.000798")</f>
        <v/>
      </c>
      <c r="N1010">
        <f>_xlfn.NUMBERVALUE("0.000280")</f>
        <v/>
      </c>
      <c r="O1010">
        <f>_xlfn.NUMBERVALUE("0.000475")</f>
        <v/>
      </c>
      <c r="P1010">
        <f>_xlfn.NUMBERVALUE("-0.001286")</f>
        <v/>
      </c>
      <c r="Q1010">
        <f>_xlfn.NUMBERVALUE("0.000688")</f>
        <v/>
      </c>
      <c r="R1010">
        <f>_xlfn.NUMBERVALUE("-0.000227")</f>
        <v/>
      </c>
      <c r="S1010">
        <f>_xlfn.NUMBERVALUE("-0.000069")</f>
        <v/>
      </c>
      <c r="T1010">
        <f>_xlfn.NUMBERVALUE("-0.000044")</f>
        <v/>
      </c>
      <c r="U1010">
        <f>_xlfn.NUMBERVALUE("-0.000709")</f>
        <v/>
      </c>
      <c r="V1010">
        <f>_xlfn.NUMBERVALUE("0.000162")</f>
        <v/>
      </c>
      <c r="W1010">
        <f>_xlfn.NUMBERVALUE("-0.009081")</f>
        <v/>
      </c>
      <c r="X1010">
        <f>_xlfn.NUMBERVALUE("2.230000")</f>
        <v/>
      </c>
      <c r="Y1010">
        <f>_xlfn.NUMBERVALUE("25.450000")</f>
        <v/>
      </c>
    </row>
    <row r="1011">
      <c r="A1011" s="1" t="n">
        <v>43469</v>
      </c>
      <c r="B1011">
        <f>_xlfn.NUMBERVALUE("0.003507")</f>
        <v/>
      </c>
      <c r="C1011" s="2">
        <f>_xlfn.NUMBERVALUE("-0.000610")</f>
        <v/>
      </c>
      <c r="D1011">
        <f>_xlfn.NUMBERVALUE("-0.002861")</f>
        <v/>
      </c>
      <c r="E1011">
        <f>_xlfn.NUMBERVALUE("-0.004419")</f>
        <v/>
      </c>
      <c r="F1011">
        <f>_xlfn.NUMBERVALUE("0.002248")</f>
        <v/>
      </c>
      <c r="G1011">
        <f>_xlfn.NUMBERVALUE("-0.004328")</f>
        <v/>
      </c>
      <c r="H1011">
        <f>_xlfn.NUMBERVALUE("-0.001523")</f>
        <v/>
      </c>
      <c r="I1011">
        <f>_xlfn.NUMBERVALUE("-0.002206")</f>
        <v/>
      </c>
      <c r="J1011">
        <f>_xlfn.NUMBERVALUE("0.001681")</f>
        <v/>
      </c>
      <c r="K1011">
        <f>_xlfn.NUMBERVALUE("0.003385")</f>
        <v/>
      </c>
      <c r="L1011">
        <f>_xlfn.NUMBERVALUE("-0.000004")</f>
        <v/>
      </c>
      <c r="M1011">
        <f>_xlfn.NUMBERVALUE("0.000967")</f>
        <v/>
      </c>
      <c r="N1011">
        <f>_xlfn.NUMBERVALUE("-0.003359")</f>
        <v/>
      </c>
      <c r="O1011">
        <f>_xlfn.NUMBERVALUE("0.000317")</f>
        <v/>
      </c>
      <c r="P1011">
        <f>_xlfn.NUMBERVALUE("0.000904")</f>
        <v/>
      </c>
      <c r="Q1011">
        <f>_xlfn.NUMBERVALUE("0.000065")</f>
        <v/>
      </c>
      <c r="R1011">
        <f>_xlfn.NUMBERVALUE("0.000135")</f>
        <v/>
      </c>
      <c r="S1011">
        <f>_xlfn.NUMBERVALUE("0.000021")</f>
        <v/>
      </c>
      <c r="T1011">
        <f>_xlfn.NUMBERVALUE("-0.000009")</f>
        <v/>
      </c>
      <c r="U1011">
        <f>_xlfn.NUMBERVALUE("0.000466")</f>
        <v/>
      </c>
      <c r="V1011">
        <f>_xlfn.NUMBERVALUE("-0.002456")</f>
        <v/>
      </c>
      <c r="W1011">
        <f>_xlfn.NUMBERVALUE("0.030054")</f>
        <v/>
      </c>
      <c r="X1011">
        <f>_xlfn.NUMBERVALUE("-4.070000")</f>
        <v/>
      </c>
      <c r="Y1011">
        <f>_xlfn.NUMBERVALUE("21.380000")</f>
        <v/>
      </c>
    </row>
    <row r="1012">
      <c r="A1012" s="1" t="n">
        <v>43472</v>
      </c>
      <c r="B1012">
        <f>_xlfn.NUMBERVALUE("0.002866")</f>
        <v/>
      </c>
      <c r="C1012" s="2">
        <f>_xlfn.NUMBERVALUE("0.001554")</f>
        <v/>
      </c>
      <c r="D1012">
        <f>_xlfn.NUMBERVALUE("0.002707")</f>
        <v/>
      </c>
      <c r="E1012">
        <f>_xlfn.NUMBERVALUE("0.001433")</f>
        <v/>
      </c>
      <c r="F1012">
        <f>_xlfn.NUMBERVALUE("0.001695")</f>
        <v/>
      </c>
      <c r="G1012">
        <f>_xlfn.NUMBERVALUE("0.000048")</f>
        <v/>
      </c>
      <c r="H1012">
        <f>_xlfn.NUMBERVALUE("-0.000088")</f>
        <v/>
      </c>
      <c r="I1012">
        <f>_xlfn.NUMBERVALUE("0.000417")</f>
        <v/>
      </c>
      <c r="J1012">
        <f>_xlfn.NUMBERVALUE("0.000031")</f>
        <v/>
      </c>
      <c r="K1012">
        <f>_xlfn.NUMBERVALUE("0.001906")</f>
        <v/>
      </c>
      <c r="L1012">
        <f>_xlfn.NUMBERVALUE("0.001189")</f>
        <v/>
      </c>
      <c r="M1012">
        <f>_xlfn.NUMBERVALUE("0.002142")</f>
        <v/>
      </c>
      <c r="N1012">
        <f>_xlfn.NUMBERVALUE("0.001604")</f>
        <v/>
      </c>
      <c r="O1012">
        <f>_xlfn.NUMBERVALUE("-0.000039")</f>
        <v/>
      </c>
      <c r="P1012">
        <f>_xlfn.NUMBERVALUE("0.000577")</f>
        <v/>
      </c>
      <c r="Q1012">
        <f>_xlfn.NUMBERVALUE("-0.000106")</f>
        <v/>
      </c>
      <c r="R1012">
        <f>_xlfn.NUMBERVALUE("-0.000170")</f>
        <v/>
      </c>
      <c r="S1012">
        <f>_xlfn.NUMBERVALUE("-0.000057")</f>
        <v/>
      </c>
      <c r="T1012">
        <f>_xlfn.NUMBERVALUE("-0.000032")</f>
        <v/>
      </c>
      <c r="U1012">
        <f>_xlfn.NUMBERVALUE("0.000651")</f>
        <v/>
      </c>
      <c r="V1012">
        <f>_xlfn.NUMBERVALUE("0.000974")</f>
        <v/>
      </c>
      <c r="W1012">
        <f>_xlfn.NUMBERVALUE("0.010624")</f>
        <v/>
      </c>
      <c r="X1012">
        <f>_xlfn.NUMBERVALUE("0.020000")</f>
        <v/>
      </c>
      <c r="Y1012">
        <f>_xlfn.NUMBERVALUE("21.400000")</f>
        <v/>
      </c>
    </row>
    <row r="1013">
      <c r="A1013" s="1" t="n">
        <v>43473</v>
      </c>
      <c r="B1013">
        <f>_xlfn.NUMBERVALUE("0.000420")</f>
        <v/>
      </c>
      <c r="C1013" s="2">
        <f>_xlfn.NUMBERVALUE("0.001373")</f>
        <v/>
      </c>
      <c r="D1013">
        <f>_xlfn.NUMBERVALUE("0.002411")</f>
        <v/>
      </c>
      <c r="E1013">
        <f>_xlfn.NUMBERVALUE("0.001406")</f>
        <v/>
      </c>
      <c r="F1013">
        <f>_xlfn.NUMBERVALUE("0.000934")</f>
        <v/>
      </c>
      <c r="G1013">
        <f>_xlfn.NUMBERVALUE("-0.002136")</f>
        <v/>
      </c>
      <c r="H1013">
        <f>_xlfn.NUMBERVALUE("-0.000041")</f>
        <v/>
      </c>
      <c r="I1013">
        <f>_xlfn.NUMBERVALUE("-0.000846")</f>
        <v/>
      </c>
      <c r="J1013">
        <f>_xlfn.NUMBERVALUE("0.000888")</f>
        <v/>
      </c>
      <c r="K1013">
        <f>_xlfn.NUMBERVALUE("0.002183")</f>
        <v/>
      </c>
      <c r="L1013">
        <f>_xlfn.NUMBERVALUE("0.001981")</f>
        <v/>
      </c>
      <c r="M1013">
        <f>_xlfn.NUMBERVALUE("0.000561")</f>
        <v/>
      </c>
      <c r="N1013">
        <f>_xlfn.NUMBERVALUE("-0.000137")</f>
        <v/>
      </c>
      <c r="O1013">
        <f>_xlfn.NUMBERVALUE("0.000132")</f>
        <v/>
      </c>
      <c r="P1013">
        <f>_xlfn.NUMBERVALUE("-0.000063")</f>
        <v/>
      </c>
      <c r="Q1013">
        <f>_xlfn.NUMBERVALUE("-0.000029")</f>
        <v/>
      </c>
      <c r="R1013">
        <f>_xlfn.NUMBERVALUE("-0.000053")</f>
        <v/>
      </c>
      <c r="S1013">
        <f>_xlfn.NUMBERVALUE("-0.000046")</f>
        <v/>
      </c>
      <c r="T1013">
        <f>_xlfn.NUMBERVALUE("-0.000047")</f>
        <v/>
      </c>
      <c r="U1013">
        <f>_xlfn.NUMBERVALUE("0.000292")</f>
        <v/>
      </c>
      <c r="V1013">
        <f>_xlfn.NUMBERVALUE("0.000373")</f>
        <v/>
      </c>
      <c r="W1013">
        <f>_xlfn.NUMBERVALUE("0.007061")</f>
        <v/>
      </c>
      <c r="X1013">
        <f>_xlfn.NUMBERVALUE("-0.930000")</f>
        <v/>
      </c>
      <c r="Y1013">
        <f>_xlfn.NUMBERVALUE("20.470000")</f>
        <v/>
      </c>
    </row>
    <row r="1014">
      <c r="A1014" s="1" t="n">
        <v>43474</v>
      </c>
      <c r="B1014">
        <f>_xlfn.NUMBERVALUE("0.000219")</f>
        <v/>
      </c>
      <c r="C1014" s="2">
        <f>_xlfn.NUMBERVALUE("0.001041")</f>
        <v/>
      </c>
      <c r="D1014">
        <f>_xlfn.NUMBERVALUE("-0.000862")</f>
        <v/>
      </c>
      <c r="E1014">
        <f>_xlfn.NUMBERVALUE("-0.000750")</f>
        <v/>
      </c>
      <c r="F1014">
        <f>_xlfn.NUMBERVALUE("-0.000703")</f>
        <v/>
      </c>
      <c r="G1014">
        <f>_xlfn.NUMBERVALUE("0.000620")</f>
        <v/>
      </c>
      <c r="H1014">
        <f>_xlfn.NUMBERVALUE("-0.001197")</f>
        <v/>
      </c>
      <c r="I1014">
        <f>_xlfn.NUMBERVALUE("0.000209")</f>
        <v/>
      </c>
      <c r="J1014">
        <f>_xlfn.NUMBERVALUE("0.000507")</f>
        <v/>
      </c>
      <c r="K1014">
        <f>_xlfn.NUMBERVALUE("0.000736")</f>
        <v/>
      </c>
      <c r="L1014">
        <f>_xlfn.NUMBERVALUE("0.000622")</f>
        <v/>
      </c>
      <c r="M1014">
        <f>_xlfn.NUMBERVALUE("0.002071")</f>
        <v/>
      </c>
      <c r="N1014">
        <f>_xlfn.NUMBERVALUE("0.004111")</f>
        <v/>
      </c>
      <c r="O1014">
        <f>_xlfn.NUMBERVALUE("0.002032")</f>
        <v/>
      </c>
      <c r="P1014">
        <f>_xlfn.NUMBERVALUE("0.001363")</f>
        <v/>
      </c>
      <c r="Q1014">
        <f>_xlfn.NUMBERVALUE("0.001305")</f>
        <v/>
      </c>
      <c r="R1014">
        <f>_xlfn.NUMBERVALUE("0.000492")</f>
        <v/>
      </c>
      <c r="S1014">
        <f>_xlfn.NUMBERVALUE("0.001271")</f>
        <v/>
      </c>
      <c r="T1014">
        <f>_xlfn.NUMBERVALUE("0.001635")</f>
        <v/>
      </c>
      <c r="U1014">
        <f>_xlfn.NUMBERVALUE("0.002235")</f>
        <v/>
      </c>
      <c r="V1014">
        <f>_xlfn.NUMBERVALUE("0.001100")</f>
        <v/>
      </c>
      <c r="W1014">
        <f>_xlfn.NUMBERVALUE("0.003817")</f>
        <v/>
      </c>
      <c r="X1014">
        <f>_xlfn.NUMBERVALUE("-0.490000")</f>
        <v/>
      </c>
      <c r="Y1014">
        <f>_xlfn.NUMBERVALUE("19.980000")</f>
        <v/>
      </c>
    </row>
    <row r="1015">
      <c r="A1015" s="1" t="n">
        <v>43475</v>
      </c>
      <c r="B1015">
        <f>_xlfn.NUMBERVALUE("-0.001086")</f>
        <v/>
      </c>
      <c r="C1015" s="2">
        <f>_xlfn.NUMBERVALUE("0.000728")</f>
        <v/>
      </c>
      <c r="D1015">
        <f>_xlfn.NUMBERVALUE("0.000961")</f>
        <v/>
      </c>
      <c r="E1015">
        <f>_xlfn.NUMBERVALUE("-0.000036")</f>
        <v/>
      </c>
      <c r="F1015">
        <f>_xlfn.NUMBERVALUE("0.000673")</f>
        <v/>
      </c>
      <c r="G1015">
        <f>_xlfn.NUMBERVALUE("0.001546")</f>
        <v/>
      </c>
      <c r="H1015">
        <f>_xlfn.NUMBERVALUE("0.003339")</f>
        <v/>
      </c>
      <c r="I1015">
        <f>_xlfn.NUMBERVALUE("0.000081")</f>
        <v/>
      </c>
      <c r="J1015">
        <f>_xlfn.NUMBERVALUE("0.000328")</f>
        <v/>
      </c>
      <c r="K1015">
        <f>_xlfn.NUMBERVALUE("-0.000700")</f>
        <v/>
      </c>
      <c r="L1015">
        <f>_xlfn.NUMBERVALUE("0.000389")</f>
        <v/>
      </c>
      <c r="M1015">
        <f>_xlfn.NUMBERVALUE("0.000906")</f>
        <v/>
      </c>
      <c r="N1015">
        <f>_xlfn.NUMBERVALUE("0.001661")</f>
        <v/>
      </c>
      <c r="O1015">
        <f>_xlfn.NUMBERVALUE("0.004269")</f>
        <v/>
      </c>
      <c r="P1015">
        <f>_xlfn.NUMBERVALUE("0.000660")</f>
        <v/>
      </c>
      <c r="Q1015">
        <f>_xlfn.NUMBERVALUE("0.000162")</f>
        <v/>
      </c>
      <c r="R1015">
        <f>_xlfn.NUMBERVALUE("0.000490")</f>
        <v/>
      </c>
      <c r="S1015">
        <f>_xlfn.NUMBERVALUE("0.000847")</f>
        <v/>
      </c>
      <c r="T1015">
        <f>_xlfn.NUMBERVALUE("0.001081")</f>
        <v/>
      </c>
      <c r="U1015">
        <f>_xlfn.NUMBERVALUE("-0.000198")</f>
        <v/>
      </c>
      <c r="V1015">
        <f>_xlfn.NUMBERVALUE("0.000395")</f>
        <v/>
      </c>
      <c r="W1015">
        <f>_xlfn.NUMBERVALUE("0.005277")</f>
        <v/>
      </c>
      <c r="X1015">
        <f>_xlfn.NUMBERVALUE("-0.480000")</f>
        <v/>
      </c>
      <c r="Y1015">
        <f>_xlfn.NUMBERVALUE("19.500000")</f>
        <v/>
      </c>
    </row>
    <row r="1016">
      <c r="A1016" s="1" t="n">
        <v>43476</v>
      </c>
      <c r="B1016">
        <f>_xlfn.NUMBERVALUE("0.004420")</f>
        <v/>
      </c>
      <c r="C1016" s="2">
        <f>_xlfn.NUMBERVALUE("0.002263")</f>
        <v/>
      </c>
      <c r="D1016">
        <f>_xlfn.NUMBERVALUE("0.001932")</f>
        <v/>
      </c>
      <c r="E1016">
        <f>_xlfn.NUMBERVALUE("0.002110")</f>
        <v/>
      </c>
      <c r="F1016">
        <f>_xlfn.NUMBERVALUE("0.000714")</f>
        <v/>
      </c>
      <c r="G1016">
        <f>_xlfn.NUMBERVALUE("-0.000960")</f>
        <v/>
      </c>
      <c r="H1016">
        <f>_xlfn.NUMBERVALUE("-0.001009")</f>
        <v/>
      </c>
      <c r="I1016">
        <f>_xlfn.NUMBERVALUE("0.002366")</f>
        <v/>
      </c>
      <c r="J1016">
        <f>_xlfn.NUMBERVALUE("-0.000970")</f>
        <v/>
      </c>
      <c r="K1016">
        <f>_xlfn.NUMBERVALUE("0.000743")</f>
        <v/>
      </c>
      <c r="L1016">
        <f>_xlfn.NUMBERVALUE("0.001032")</f>
        <v/>
      </c>
      <c r="M1016">
        <f>_xlfn.NUMBERVALUE("0.003698")</f>
        <v/>
      </c>
      <c r="N1016">
        <f>_xlfn.NUMBERVALUE("0.005638")</f>
        <v/>
      </c>
      <c r="O1016">
        <f>_xlfn.NUMBERVALUE("0.003074")</f>
        <v/>
      </c>
      <c r="P1016">
        <f>_xlfn.NUMBERVALUE("0.002690")</f>
        <v/>
      </c>
      <c r="Q1016">
        <f>_xlfn.NUMBERVALUE("0.002626")</f>
        <v/>
      </c>
      <c r="R1016">
        <f>_xlfn.NUMBERVALUE("0.004631")</f>
        <v/>
      </c>
      <c r="S1016">
        <f>_xlfn.NUMBERVALUE("0.004098")</f>
        <v/>
      </c>
      <c r="T1016">
        <f>_xlfn.NUMBERVALUE("0.001011")</f>
        <v/>
      </c>
      <c r="U1016">
        <f>_xlfn.NUMBERVALUE("0.005252")</f>
        <v/>
      </c>
      <c r="V1016">
        <f>_xlfn.NUMBERVALUE("0.002101")</f>
        <v/>
      </c>
      <c r="W1016">
        <f>_xlfn.NUMBERVALUE("-0.000733")</f>
        <v/>
      </c>
      <c r="X1016">
        <f>_xlfn.NUMBERVALUE("-1.310000")</f>
        <v/>
      </c>
      <c r="Y1016">
        <f>_xlfn.NUMBERVALUE("18.190000")</f>
        <v/>
      </c>
    </row>
    <row r="1017">
      <c r="A1017" s="1" t="n">
        <v>43479</v>
      </c>
      <c r="B1017">
        <f>_xlfn.NUMBERVALUE("0.002830")</f>
        <v/>
      </c>
      <c r="C1017" s="2">
        <f>_xlfn.NUMBERVALUE("0.001959")</f>
        <v/>
      </c>
      <c r="D1017">
        <f>_xlfn.NUMBERVALUE("0.001247")</f>
        <v/>
      </c>
      <c r="E1017">
        <f>_xlfn.NUMBERVALUE("0.000789")</f>
        <v/>
      </c>
      <c r="F1017">
        <f>_xlfn.NUMBERVALUE("0.000924")</f>
        <v/>
      </c>
      <c r="G1017">
        <f>_xlfn.NUMBERVALUE("-0.001236")</f>
        <v/>
      </c>
      <c r="H1017">
        <f>_xlfn.NUMBERVALUE("0.000390")</f>
        <v/>
      </c>
      <c r="I1017">
        <f>_xlfn.NUMBERVALUE("0.001897")</f>
        <v/>
      </c>
      <c r="J1017">
        <f>_xlfn.NUMBERVALUE("0.001253")</f>
        <v/>
      </c>
      <c r="K1017">
        <f>_xlfn.NUMBERVALUE("0.000778")</f>
        <v/>
      </c>
      <c r="L1017">
        <f>_xlfn.NUMBERVALUE("-0.000050")</f>
        <v/>
      </c>
      <c r="M1017">
        <f>_xlfn.NUMBERVALUE("0.002852")</f>
        <v/>
      </c>
      <c r="N1017">
        <f>_xlfn.NUMBERVALUE("0.007968")</f>
        <v/>
      </c>
      <c r="O1017">
        <f>_xlfn.NUMBERVALUE("0.002766")</f>
        <v/>
      </c>
      <c r="P1017">
        <f>_xlfn.NUMBERVALUE("0.001811")</f>
        <v/>
      </c>
      <c r="Q1017">
        <f>_xlfn.NUMBERVALUE("0.002766")</f>
        <v/>
      </c>
      <c r="R1017">
        <f>_xlfn.NUMBERVALUE("0.002416")</f>
        <v/>
      </c>
      <c r="S1017">
        <f>_xlfn.NUMBERVALUE("0.001500")</f>
        <v/>
      </c>
      <c r="T1017">
        <f>_xlfn.NUMBERVALUE("-0.004334")</f>
        <v/>
      </c>
      <c r="U1017">
        <f>_xlfn.NUMBERVALUE("0.002128")</f>
        <v/>
      </c>
      <c r="V1017">
        <f>_xlfn.NUMBERVALUE("0.001909")</f>
        <v/>
      </c>
      <c r="W1017">
        <f>_xlfn.NUMBERVALUE("-0.004519")</f>
        <v/>
      </c>
      <c r="X1017">
        <f>_xlfn.NUMBERVALUE("0.880000")</f>
        <v/>
      </c>
      <c r="Y1017">
        <f>_xlfn.NUMBERVALUE("19.070000")</f>
        <v/>
      </c>
    </row>
    <row r="1018">
      <c r="A1018" s="1" t="n">
        <v>43480</v>
      </c>
      <c r="B1018">
        <f>_xlfn.NUMBERVALUE("-0.003185")</f>
        <v/>
      </c>
      <c r="C1018" s="2">
        <f>_xlfn.NUMBERVALUE("0.000361")</f>
        <v/>
      </c>
      <c r="D1018">
        <f>_xlfn.NUMBERVALUE("0.000368")</f>
        <v/>
      </c>
      <c r="E1018">
        <f>_xlfn.NUMBERVALUE("0.000390")</f>
        <v/>
      </c>
      <c r="F1018">
        <f>_xlfn.NUMBERVALUE("0.000321")</f>
        <v/>
      </c>
      <c r="G1018">
        <f>_xlfn.NUMBERVALUE("0.001653")</f>
        <v/>
      </c>
      <c r="H1018">
        <f>_xlfn.NUMBERVALUE("0.000730")</f>
        <v/>
      </c>
      <c r="I1018">
        <f>_xlfn.NUMBERVALUE("0.000233")</f>
        <v/>
      </c>
      <c r="J1018">
        <f>_xlfn.NUMBERVALUE("0.000647")</f>
        <v/>
      </c>
      <c r="K1018">
        <f>_xlfn.NUMBERVALUE("-0.000019")</f>
        <v/>
      </c>
      <c r="L1018">
        <f>_xlfn.NUMBERVALUE("0.001007")</f>
        <v/>
      </c>
      <c r="M1018">
        <f>_xlfn.NUMBERVALUE("0.003124")</f>
        <v/>
      </c>
      <c r="N1018">
        <f>_xlfn.NUMBERVALUE("-0.005380")</f>
        <v/>
      </c>
      <c r="O1018">
        <f>_xlfn.NUMBERVALUE("0.001543")</f>
        <v/>
      </c>
      <c r="P1018">
        <f>_xlfn.NUMBERVALUE("0.002166")</f>
        <v/>
      </c>
      <c r="Q1018">
        <f>_xlfn.NUMBERVALUE("0.001888")</f>
        <v/>
      </c>
      <c r="R1018">
        <f>_xlfn.NUMBERVALUE("0.000120")</f>
        <v/>
      </c>
      <c r="S1018">
        <f>_xlfn.NUMBERVALUE("0.000077")</f>
        <v/>
      </c>
      <c r="T1018">
        <f>_xlfn.NUMBERVALUE("-0.000808")</f>
        <v/>
      </c>
      <c r="U1018">
        <f>_xlfn.NUMBERVALUE("0.001671")</f>
        <v/>
      </c>
      <c r="V1018">
        <f>_xlfn.NUMBERVALUE("-0.001137")</f>
        <v/>
      </c>
      <c r="W1018">
        <f>_xlfn.NUMBERVALUE("0.010128")</f>
        <v/>
      </c>
      <c r="X1018">
        <f>_xlfn.NUMBERVALUE("-0.470000")</f>
        <v/>
      </c>
      <c r="Y1018">
        <f>_xlfn.NUMBERVALUE("18.600000")</f>
        <v/>
      </c>
    </row>
    <row r="1019">
      <c r="A1019" s="1" t="n">
        <v>43481</v>
      </c>
      <c r="B1019">
        <f>_xlfn.NUMBERVALUE("0.001142")</f>
        <v/>
      </c>
      <c r="C1019" s="2">
        <f>_xlfn.NUMBERVALUE("-0.000501")</f>
        <v/>
      </c>
      <c r="D1019">
        <f>_xlfn.NUMBERVALUE("-0.000387")</f>
        <v/>
      </c>
      <c r="E1019">
        <f>_xlfn.NUMBERVALUE("0.001047")</f>
        <v/>
      </c>
      <c r="F1019">
        <f>_xlfn.NUMBERVALUE("0.000769")</f>
        <v/>
      </c>
      <c r="G1019">
        <f>_xlfn.NUMBERVALUE("-0.001882")</f>
        <v/>
      </c>
      <c r="H1019">
        <f>_xlfn.NUMBERVALUE("-0.000415")</f>
        <v/>
      </c>
      <c r="I1019">
        <f>_xlfn.NUMBERVALUE("-0.000578")</f>
        <v/>
      </c>
      <c r="J1019">
        <f>_xlfn.NUMBERVALUE("-0.000319")</f>
        <v/>
      </c>
      <c r="K1019">
        <f>_xlfn.NUMBERVALUE("0.000987")</f>
        <v/>
      </c>
      <c r="L1019">
        <f>_xlfn.NUMBERVALUE("0.000299")</f>
        <v/>
      </c>
      <c r="M1019">
        <f>_xlfn.NUMBERVALUE("0.000871")</f>
        <v/>
      </c>
      <c r="N1019">
        <f>_xlfn.NUMBERVALUE("0.002226")</f>
        <v/>
      </c>
      <c r="O1019">
        <f>_xlfn.NUMBERVALUE("0.002062")</f>
        <v/>
      </c>
      <c r="P1019">
        <f>_xlfn.NUMBERVALUE("-0.003744")</f>
        <v/>
      </c>
      <c r="Q1019">
        <f>_xlfn.NUMBERVALUE("0.001602")</f>
        <v/>
      </c>
      <c r="R1019">
        <f>_xlfn.NUMBERVALUE("0.001966")</f>
        <v/>
      </c>
      <c r="S1019">
        <f>_xlfn.NUMBERVALUE("0.001280")</f>
        <v/>
      </c>
      <c r="T1019">
        <f>_xlfn.NUMBERVALUE("0.001844")</f>
        <v/>
      </c>
      <c r="U1019">
        <f>_xlfn.NUMBERVALUE("0.002008")</f>
        <v/>
      </c>
      <c r="V1019">
        <f>_xlfn.NUMBERVALUE("0.000017")</f>
        <v/>
      </c>
      <c r="W1019">
        <f>_xlfn.NUMBERVALUE("0.003304")</f>
        <v/>
      </c>
      <c r="X1019">
        <f>_xlfn.NUMBERVALUE("0.440000")</f>
        <v/>
      </c>
      <c r="Y1019">
        <f>_xlfn.NUMBERVALUE("19.040000")</f>
        <v/>
      </c>
    </row>
    <row r="1020">
      <c r="A1020" s="1" t="n">
        <v>43482</v>
      </c>
      <c r="B1020">
        <f>_xlfn.NUMBERVALUE("0.002257")</f>
        <v/>
      </c>
      <c r="C1020" s="2">
        <f>_xlfn.NUMBERVALUE("0.000646")</f>
        <v/>
      </c>
      <c r="D1020">
        <f>_xlfn.NUMBERVALUE("0.000282")</f>
        <v/>
      </c>
      <c r="E1020">
        <f>_xlfn.NUMBERVALUE("0.000730")</f>
        <v/>
      </c>
      <c r="F1020">
        <f>_xlfn.NUMBERVALUE("0.000848")</f>
        <v/>
      </c>
      <c r="G1020">
        <f>_xlfn.NUMBERVALUE("0.001995")</f>
        <v/>
      </c>
      <c r="H1020">
        <f>_xlfn.NUMBERVALUE("0.000849")</f>
        <v/>
      </c>
      <c r="I1020">
        <f>_xlfn.NUMBERVALUE("-0.000402")</f>
        <v/>
      </c>
      <c r="J1020">
        <f>_xlfn.NUMBERVALUE("-0.000467")</f>
        <v/>
      </c>
      <c r="K1020">
        <f>_xlfn.NUMBERVALUE("0.000580")</f>
        <v/>
      </c>
      <c r="L1020">
        <f>_xlfn.NUMBERVALUE("-0.000379")</f>
        <v/>
      </c>
      <c r="M1020">
        <f>_xlfn.NUMBERVALUE("-0.001613")</f>
        <v/>
      </c>
      <c r="N1020">
        <f>_xlfn.NUMBERVALUE("0.001035")</f>
        <v/>
      </c>
      <c r="O1020">
        <f>_xlfn.NUMBERVALUE("0.001841")</f>
        <v/>
      </c>
      <c r="P1020">
        <f>_xlfn.NUMBERVALUE("0.000272")</f>
        <v/>
      </c>
      <c r="Q1020">
        <f>_xlfn.NUMBERVALUE("-0.002449")</f>
        <v/>
      </c>
      <c r="R1020">
        <f>_xlfn.NUMBERVALUE("0.000069")</f>
        <v/>
      </c>
      <c r="S1020">
        <f>_xlfn.NUMBERVALUE("0.001390")</f>
        <v/>
      </c>
      <c r="T1020">
        <f>_xlfn.NUMBERVALUE("0.002326")</f>
        <v/>
      </c>
      <c r="U1020">
        <f>_xlfn.NUMBERVALUE("0.000759")</f>
        <v/>
      </c>
      <c r="V1020">
        <f>_xlfn.NUMBERVALUE("0.000254")</f>
        <v/>
      </c>
      <c r="W1020">
        <f>_xlfn.NUMBERVALUE("0.005590")</f>
        <v/>
      </c>
      <c r="X1020">
        <f>_xlfn.NUMBERVALUE("-0.980000")</f>
        <v/>
      </c>
      <c r="Y1020">
        <f>_xlfn.NUMBERVALUE("18.060000")</f>
        <v/>
      </c>
    </row>
    <row r="1021">
      <c r="A1021" s="1" t="n">
        <v>43483</v>
      </c>
      <c r="B1021">
        <f>_xlfn.NUMBERVALUE("-0.002596")</f>
        <v/>
      </c>
      <c r="C1021" s="2">
        <f>_xlfn.NUMBERVALUE("-0.000387")</f>
        <v/>
      </c>
      <c r="D1021">
        <f>_xlfn.NUMBERVALUE("0.000653")</f>
        <v/>
      </c>
      <c r="E1021">
        <f>_xlfn.NUMBERVALUE("0.000343")</f>
        <v/>
      </c>
      <c r="F1021">
        <f>_xlfn.NUMBERVALUE("-0.001856")</f>
        <v/>
      </c>
      <c r="G1021">
        <f>_xlfn.NUMBERVALUE("-0.001236")</f>
        <v/>
      </c>
      <c r="H1021">
        <f>_xlfn.NUMBERVALUE("-0.000517")</f>
        <v/>
      </c>
      <c r="I1021">
        <f>_xlfn.NUMBERVALUE("0.000579")</f>
        <v/>
      </c>
      <c r="J1021">
        <f>_xlfn.NUMBERVALUE("-0.000318")</f>
        <v/>
      </c>
      <c r="K1021">
        <f>_xlfn.NUMBERVALUE("-0.000440")</f>
        <v/>
      </c>
      <c r="L1021">
        <f>_xlfn.NUMBERVALUE("0.000934")</f>
        <v/>
      </c>
      <c r="M1021">
        <f>_xlfn.NUMBERVALUE("-0.002302")</f>
        <v/>
      </c>
      <c r="N1021">
        <f>_xlfn.NUMBERVALUE("0.001232")</f>
        <v/>
      </c>
      <c r="O1021">
        <f>_xlfn.NUMBERVALUE("-0.000402")</f>
        <v/>
      </c>
      <c r="P1021">
        <f>_xlfn.NUMBERVALUE("0.000996")</f>
        <v/>
      </c>
      <c r="Q1021">
        <f>_xlfn.NUMBERVALUE("-0.002231")</f>
        <v/>
      </c>
      <c r="R1021">
        <f>_xlfn.NUMBERVALUE("-0.000577")</f>
        <v/>
      </c>
      <c r="S1021">
        <f>_xlfn.NUMBERVALUE("-0.002241")</f>
        <v/>
      </c>
      <c r="T1021">
        <f>_xlfn.NUMBERVALUE("0.001874")</f>
        <v/>
      </c>
      <c r="U1021">
        <f>_xlfn.NUMBERVALUE("-0.001307")</f>
        <v/>
      </c>
      <c r="V1021">
        <f>_xlfn.NUMBERVALUE("-0.000193")</f>
        <v/>
      </c>
      <c r="W1021">
        <f>_xlfn.NUMBERVALUE("0.013098")</f>
        <v/>
      </c>
      <c r="X1021">
        <f>_xlfn.NUMBERVALUE("-0.260000")</f>
        <v/>
      </c>
      <c r="Y1021">
        <f>_xlfn.NUMBERVALUE("17.800000")</f>
        <v/>
      </c>
    </row>
    <row r="1022">
      <c r="A1022" s="1" t="n">
        <v>43487</v>
      </c>
      <c r="B1022">
        <f>_xlfn.NUMBERVALUE("-0.001967")</f>
        <v/>
      </c>
      <c r="C1022" s="2">
        <f>_xlfn.NUMBERVALUE("-0.001372")</f>
        <v/>
      </c>
      <c r="D1022">
        <f>_xlfn.NUMBERVALUE("-0.001075")</f>
        <v/>
      </c>
      <c r="E1022">
        <f>_xlfn.NUMBERVALUE("-0.001821")</f>
        <v/>
      </c>
      <c r="F1022">
        <f>_xlfn.NUMBERVALUE("0.001534")</f>
        <v/>
      </c>
      <c r="G1022">
        <f>_xlfn.NUMBERVALUE("0.001570")</f>
        <v/>
      </c>
      <c r="H1022">
        <f>_xlfn.NUMBERVALUE("-0.000358")</f>
        <v/>
      </c>
      <c r="I1022">
        <f>_xlfn.NUMBERVALUE("-0.000588")</f>
        <v/>
      </c>
      <c r="J1022">
        <f>_xlfn.NUMBERVALUE("-0.000527")</f>
        <v/>
      </c>
      <c r="K1022">
        <f>_xlfn.NUMBERVALUE("0.001207")</f>
        <v/>
      </c>
      <c r="L1022">
        <f>_xlfn.NUMBERVALUE("-0.001225")</f>
        <v/>
      </c>
      <c r="M1022">
        <f>_xlfn.NUMBERVALUE("-0.002835")</f>
        <v/>
      </c>
      <c r="N1022">
        <f>_xlfn.NUMBERVALUE("-0.002112")</f>
        <v/>
      </c>
      <c r="O1022">
        <f>_xlfn.NUMBERVALUE("-0.003982")</f>
        <v/>
      </c>
      <c r="P1022">
        <f>_xlfn.NUMBERVALUE("-0.003517")</f>
        <v/>
      </c>
      <c r="Q1022">
        <f>_xlfn.NUMBERVALUE("-0.004371")</f>
        <v/>
      </c>
      <c r="R1022">
        <f>_xlfn.NUMBERVALUE("-0.001267")</f>
        <v/>
      </c>
      <c r="S1022">
        <f>_xlfn.NUMBERVALUE("-0.003210")</f>
        <v/>
      </c>
      <c r="T1022">
        <f>_xlfn.NUMBERVALUE("0.000221")</f>
        <v/>
      </c>
      <c r="U1022">
        <f>_xlfn.NUMBERVALUE("-0.003643")</f>
        <v/>
      </c>
      <c r="V1022">
        <f>_xlfn.NUMBERVALUE("-0.000571")</f>
        <v/>
      </c>
      <c r="W1022">
        <f>_xlfn.NUMBERVALUE("-0.015822")</f>
        <v/>
      </c>
      <c r="X1022">
        <f>_xlfn.NUMBERVALUE("3.000000")</f>
        <v/>
      </c>
      <c r="Y1022">
        <f>_xlfn.NUMBERVALUE("20.800000")</f>
        <v/>
      </c>
    </row>
    <row r="1023">
      <c r="A1023" s="1" t="n">
        <v>43488</v>
      </c>
      <c r="B1023">
        <f>_xlfn.NUMBERVALUE("0.004029")</f>
        <v/>
      </c>
      <c r="C1023" s="2">
        <f>_xlfn.NUMBERVALUE("0.000513")</f>
        <v/>
      </c>
      <c r="D1023">
        <f>_xlfn.NUMBERVALUE("-0.000423")</f>
        <v/>
      </c>
      <c r="E1023">
        <f>_xlfn.NUMBERVALUE("0.000923")</f>
        <v/>
      </c>
      <c r="F1023">
        <f>_xlfn.NUMBERVALUE("0.000692")</f>
        <v/>
      </c>
      <c r="G1023">
        <f>_xlfn.NUMBERVALUE("0.000557")</f>
        <v/>
      </c>
      <c r="H1023">
        <f>_xlfn.NUMBERVALUE("-0.001154")</f>
        <v/>
      </c>
      <c r="I1023">
        <f>_xlfn.NUMBERVALUE("0.000937")</f>
        <v/>
      </c>
      <c r="J1023">
        <f>_xlfn.NUMBERVALUE("0.000717")</f>
        <v/>
      </c>
      <c r="K1023">
        <f>_xlfn.NUMBERVALUE("0.001871")</f>
        <v/>
      </c>
      <c r="L1023">
        <f>_xlfn.NUMBERVALUE("0.001353")</f>
        <v/>
      </c>
      <c r="M1023">
        <f>_xlfn.NUMBERVALUE("0.002026")</f>
        <v/>
      </c>
      <c r="N1023">
        <f>_xlfn.NUMBERVALUE("0.001034")</f>
        <v/>
      </c>
      <c r="O1023">
        <f>_xlfn.NUMBERVALUE("0.001350")</f>
        <v/>
      </c>
      <c r="P1023">
        <f>_xlfn.NUMBERVALUE("0.000260")</f>
        <v/>
      </c>
      <c r="Q1023">
        <f>_xlfn.NUMBERVALUE("0.001427")</f>
        <v/>
      </c>
      <c r="R1023">
        <f>_xlfn.NUMBERVALUE("0.000491")</f>
        <v/>
      </c>
      <c r="S1023">
        <f>_xlfn.NUMBERVALUE("-0.002690")</f>
        <v/>
      </c>
      <c r="T1023">
        <f>_xlfn.NUMBERVALUE("-0.000749")</f>
        <v/>
      </c>
      <c r="U1023">
        <f>_xlfn.NUMBERVALUE("0.000908")</f>
        <v/>
      </c>
      <c r="V1023">
        <f>_xlfn.NUMBERVALUE("0.001051")</f>
        <v/>
      </c>
      <c r="W1023">
        <f>_xlfn.NUMBERVALUE("0.005002")</f>
        <v/>
      </c>
      <c r="X1023">
        <f>_xlfn.NUMBERVALUE("-1.280000")</f>
        <v/>
      </c>
      <c r="Y1023">
        <f>_xlfn.NUMBERVALUE("19.520000")</f>
        <v/>
      </c>
    </row>
    <row r="1024">
      <c r="A1024" s="1" t="n">
        <v>43489</v>
      </c>
      <c r="B1024">
        <f>_xlfn.NUMBERVALUE("-0.000893")</f>
        <v/>
      </c>
      <c r="C1024" s="2">
        <f>_xlfn.NUMBERVALUE("0.001178")</f>
        <v/>
      </c>
      <c r="D1024">
        <f>_xlfn.NUMBERVALUE("0.000760")</f>
        <v/>
      </c>
      <c r="E1024">
        <f>_xlfn.NUMBERVALUE("0.001696")</f>
        <v/>
      </c>
      <c r="F1024">
        <f>_xlfn.NUMBERVALUE("0.000617")</f>
        <v/>
      </c>
      <c r="G1024">
        <f>_xlfn.NUMBERVALUE("0.000373")</f>
        <v/>
      </c>
      <c r="H1024">
        <f>_xlfn.NUMBERVALUE("0.000845")</f>
        <v/>
      </c>
      <c r="I1024">
        <f>_xlfn.NUMBERVALUE("0.001253")</f>
        <v/>
      </c>
      <c r="J1024">
        <f>_xlfn.NUMBERVALUE("0.000346")</f>
        <v/>
      </c>
      <c r="K1024">
        <f>_xlfn.NUMBERVALUE("-0.000389")</f>
        <v/>
      </c>
      <c r="L1024">
        <f>_xlfn.NUMBERVALUE("0.000418")</f>
        <v/>
      </c>
      <c r="M1024">
        <f>_xlfn.NUMBERVALUE("0.002439")</f>
        <v/>
      </c>
      <c r="N1024">
        <f>_xlfn.NUMBERVALUE("0.002116")</f>
        <v/>
      </c>
      <c r="O1024">
        <f>_xlfn.NUMBERVALUE("0.002197")</f>
        <v/>
      </c>
      <c r="P1024">
        <f>_xlfn.NUMBERVALUE("0.001176")</f>
        <v/>
      </c>
      <c r="Q1024">
        <f>_xlfn.NUMBERVALUE("0.001850")</f>
        <v/>
      </c>
      <c r="R1024">
        <f>_xlfn.NUMBERVALUE("0.001671")</f>
        <v/>
      </c>
      <c r="S1024">
        <f>_xlfn.NUMBERVALUE("-0.000765")</f>
        <v/>
      </c>
      <c r="T1024">
        <f>_xlfn.NUMBERVALUE("0.000438")</f>
        <v/>
      </c>
      <c r="U1024">
        <f>_xlfn.NUMBERVALUE("0.002373")</f>
        <v/>
      </c>
      <c r="V1024">
        <f>_xlfn.NUMBERVALUE("0.001219")</f>
        <v/>
      </c>
      <c r="W1024">
        <f>_xlfn.NUMBERVALUE("0.000722")</f>
        <v/>
      </c>
      <c r="X1024">
        <f>_xlfn.NUMBERVALUE("-0.630000")</f>
        <v/>
      </c>
      <c r="Y1024">
        <f>_xlfn.NUMBERVALUE("18.890000")</f>
        <v/>
      </c>
    </row>
    <row r="1025">
      <c r="A1025" s="1" t="n">
        <v>43490</v>
      </c>
      <c r="B1025">
        <f>_xlfn.NUMBERVALUE("-0.007973")</f>
        <v/>
      </c>
      <c r="C1025" s="2">
        <f>_xlfn.NUMBERVALUE("0.000471")</f>
        <v/>
      </c>
      <c r="D1025">
        <f>_xlfn.NUMBERVALUE("-0.000041")</f>
        <v/>
      </c>
      <c r="E1025">
        <f>_xlfn.NUMBERVALUE("-0.000305")</f>
        <v/>
      </c>
      <c r="F1025">
        <f>_xlfn.NUMBERVALUE("-0.004003")</f>
        <v/>
      </c>
      <c r="G1025">
        <f>_xlfn.NUMBERVALUE("-0.000882")</f>
        <v/>
      </c>
      <c r="H1025">
        <f>_xlfn.NUMBERVALUE("0.000322")</f>
        <v/>
      </c>
      <c r="I1025">
        <f>_xlfn.NUMBERVALUE("0.000313")</f>
        <v/>
      </c>
      <c r="J1025">
        <f>_xlfn.NUMBERVALUE("0.000928")</f>
        <v/>
      </c>
      <c r="K1025">
        <f>_xlfn.NUMBERVALUE("-0.001370")</f>
        <v/>
      </c>
      <c r="L1025">
        <f>_xlfn.NUMBERVALUE("-0.000014")</f>
        <v/>
      </c>
      <c r="M1025">
        <f>_xlfn.NUMBERVALUE("-0.003583")</f>
        <v/>
      </c>
      <c r="N1025">
        <f>_xlfn.NUMBERVALUE("0.000414")</f>
        <v/>
      </c>
      <c r="O1025">
        <f>_xlfn.NUMBERVALUE("0.001184")</f>
        <v/>
      </c>
      <c r="P1025">
        <f>_xlfn.NUMBERVALUE("0.002622")</f>
        <v/>
      </c>
      <c r="Q1025">
        <f>_xlfn.NUMBERVALUE("-0.000486")</f>
        <v/>
      </c>
      <c r="R1025">
        <f>_xlfn.NUMBERVALUE("0.000166")</f>
        <v/>
      </c>
      <c r="S1025">
        <f>_xlfn.NUMBERVALUE("0.002295")</f>
        <v/>
      </c>
      <c r="T1025">
        <f>_xlfn.NUMBERVALUE("0.001089")</f>
        <v/>
      </c>
      <c r="U1025">
        <f>_xlfn.NUMBERVALUE("0.000959")</f>
        <v/>
      </c>
      <c r="V1025">
        <f>_xlfn.NUMBERVALUE("0.000445")</f>
        <v/>
      </c>
      <c r="W1025">
        <f>_xlfn.NUMBERVALUE("0.009189")</f>
        <v/>
      </c>
      <c r="X1025">
        <f>_xlfn.NUMBERVALUE("-1.470000")</f>
        <v/>
      </c>
      <c r="Y1025">
        <f>_xlfn.NUMBERVALUE("17.420000")</f>
        <v/>
      </c>
    </row>
    <row r="1026">
      <c r="A1026" s="1" t="n">
        <v>43493</v>
      </c>
      <c r="B1026">
        <f>_xlfn.NUMBERVALUE("0.005581")</f>
        <v/>
      </c>
      <c r="C1026" s="2">
        <f>_xlfn.NUMBERVALUE("0.000283")</f>
        <v/>
      </c>
      <c r="D1026">
        <f>_xlfn.NUMBERVALUE("0.000122")</f>
        <v/>
      </c>
      <c r="E1026">
        <f>_xlfn.NUMBERVALUE("0.000384")</f>
        <v/>
      </c>
      <c r="F1026">
        <f>_xlfn.NUMBERVALUE("0.000989")</f>
        <v/>
      </c>
      <c r="G1026">
        <f>_xlfn.NUMBERVALUE("0.000679")</f>
        <v/>
      </c>
      <c r="H1026">
        <f>_xlfn.NUMBERVALUE("-0.001346")</f>
        <v/>
      </c>
      <c r="I1026">
        <f>_xlfn.NUMBERVALUE("0.000131")</f>
        <v/>
      </c>
      <c r="J1026">
        <f>_xlfn.NUMBERVALUE("-0.000387")</f>
        <v/>
      </c>
      <c r="K1026">
        <f>_xlfn.NUMBERVALUE("0.002467")</f>
        <v/>
      </c>
      <c r="L1026">
        <f>_xlfn.NUMBERVALUE("0.000814")</f>
        <v/>
      </c>
      <c r="M1026">
        <f>_xlfn.NUMBERVALUE("0.000576")</f>
        <v/>
      </c>
      <c r="N1026">
        <f>_xlfn.NUMBERVALUE("0.001671")</f>
        <v/>
      </c>
      <c r="O1026">
        <f>_xlfn.NUMBERVALUE("-0.000312")</f>
        <v/>
      </c>
      <c r="P1026">
        <f>_xlfn.NUMBERVALUE("-0.001057")</f>
        <v/>
      </c>
      <c r="Q1026">
        <f>_xlfn.NUMBERVALUE("0.000665")</f>
        <v/>
      </c>
      <c r="R1026">
        <f>_xlfn.NUMBERVALUE("0.000036")</f>
        <v/>
      </c>
      <c r="S1026">
        <f>_xlfn.NUMBERVALUE("0.000634")</f>
        <v/>
      </c>
      <c r="T1026">
        <f>_xlfn.NUMBERVALUE("0.001311")</f>
        <v/>
      </c>
      <c r="U1026">
        <f>_xlfn.NUMBERVALUE("-0.000578")</f>
        <v/>
      </c>
      <c r="V1026">
        <f>_xlfn.NUMBERVALUE("0.000120")</f>
        <v/>
      </c>
      <c r="W1026">
        <f>_xlfn.NUMBERVALUE("-0.008879")</f>
        <v/>
      </c>
      <c r="X1026">
        <f>_xlfn.NUMBERVALUE("1.450000")</f>
        <v/>
      </c>
      <c r="Y1026">
        <f>_xlfn.NUMBERVALUE("18.870000")</f>
        <v/>
      </c>
    </row>
    <row r="1027">
      <c r="A1027" s="1" t="n">
        <v>43494</v>
      </c>
      <c r="B1027">
        <f>_xlfn.NUMBERVALUE("-0.002295")</f>
        <v/>
      </c>
      <c r="C1027" s="2">
        <f>_xlfn.NUMBERVALUE("0.000235")</f>
        <v/>
      </c>
      <c r="D1027">
        <f>_xlfn.NUMBERVALUE("0.000476")</f>
        <v/>
      </c>
      <c r="E1027">
        <f>_xlfn.NUMBERVALUE("0.000180")</f>
        <v/>
      </c>
      <c r="F1027">
        <f>_xlfn.NUMBERVALUE("-0.000713")</f>
        <v/>
      </c>
      <c r="G1027">
        <f>_xlfn.NUMBERVALUE("-0.000558")</f>
        <v/>
      </c>
      <c r="H1027">
        <f>_xlfn.NUMBERVALUE("-0.000733")</f>
        <v/>
      </c>
      <c r="I1027">
        <f>_xlfn.NUMBERVALUE("0.000305")</f>
        <v/>
      </c>
      <c r="J1027">
        <f>_xlfn.NUMBERVALUE("-0.000253")</f>
        <v/>
      </c>
      <c r="K1027">
        <f>_xlfn.NUMBERVALUE("0.000669")</f>
        <v/>
      </c>
      <c r="L1027">
        <f>_xlfn.NUMBERVALUE("0.000184")</f>
        <v/>
      </c>
      <c r="M1027">
        <f>_xlfn.NUMBERVALUE("-0.000809")</f>
        <v/>
      </c>
      <c r="N1027">
        <f>_xlfn.NUMBERVALUE("0.001232")</f>
        <v/>
      </c>
      <c r="O1027">
        <f>_xlfn.NUMBERVALUE("0.001362")</f>
        <v/>
      </c>
      <c r="P1027">
        <f>_xlfn.NUMBERVALUE("0.001723")</f>
        <v/>
      </c>
      <c r="Q1027">
        <f>_xlfn.NUMBERVALUE("-0.001587")</f>
        <v/>
      </c>
      <c r="R1027">
        <f>_xlfn.NUMBERVALUE("0.001794")</f>
        <v/>
      </c>
      <c r="S1027">
        <f>_xlfn.NUMBERVALUE("0.000830")</f>
        <v/>
      </c>
      <c r="T1027">
        <f>_xlfn.NUMBERVALUE("0.000762")</f>
        <v/>
      </c>
      <c r="U1027">
        <f>_xlfn.NUMBERVALUE("0.001113")</f>
        <v/>
      </c>
      <c r="V1027">
        <f>_xlfn.NUMBERVALUE("0.000243")</f>
        <v/>
      </c>
      <c r="W1027">
        <f>_xlfn.NUMBERVALUE("-0.000038")</f>
        <v/>
      </c>
      <c r="X1027">
        <f>_xlfn.NUMBERVALUE("0.260000")</f>
        <v/>
      </c>
      <c r="Y1027">
        <f>_xlfn.NUMBERVALUE("19.130000")</f>
        <v/>
      </c>
    </row>
    <row r="1028">
      <c r="A1028" s="1" t="n">
        <v>43495</v>
      </c>
      <c r="B1028">
        <f>_xlfn.NUMBERVALUE("-0.001710")</f>
        <v/>
      </c>
      <c r="C1028" s="2">
        <f>_xlfn.NUMBERVALUE("0.000026")</f>
        <v/>
      </c>
      <c r="D1028">
        <f>_xlfn.NUMBERVALUE("-0.000211")</f>
        <v/>
      </c>
      <c r="E1028">
        <f>_xlfn.NUMBERVALUE("-0.000016")</f>
        <v/>
      </c>
      <c r="F1028">
        <f>_xlfn.NUMBERVALUE("0.000000")</f>
        <v/>
      </c>
      <c r="G1028">
        <f>_xlfn.NUMBERVALUE("0.000495")</f>
        <v/>
      </c>
      <c r="H1028">
        <f>_xlfn.NUMBERVALUE("-0.010635")</f>
        <v/>
      </c>
      <c r="I1028">
        <f>_xlfn.NUMBERVALUE("-0.000051")</f>
        <v/>
      </c>
      <c r="J1028">
        <f>_xlfn.NUMBERVALUE("0.000231")</f>
        <v/>
      </c>
      <c r="K1028">
        <f>_xlfn.NUMBERVALUE("-0.001728")</f>
        <v/>
      </c>
      <c r="L1028">
        <f>_xlfn.NUMBERVALUE("0.000620")</f>
        <v/>
      </c>
      <c r="M1028">
        <f>_xlfn.NUMBERVALUE("-0.000459")</f>
        <v/>
      </c>
      <c r="N1028">
        <f>_xlfn.NUMBERVALUE("-0.001161")</f>
        <v/>
      </c>
      <c r="O1028">
        <f>_xlfn.NUMBERVALUE("0.001033")</f>
        <v/>
      </c>
      <c r="P1028">
        <f>_xlfn.NUMBERVALUE("0.000878")</f>
        <v/>
      </c>
      <c r="Q1028">
        <f>_xlfn.NUMBERVALUE("0.000160")</f>
        <v/>
      </c>
      <c r="R1028">
        <f>_xlfn.NUMBERVALUE("-0.004320")</f>
        <v/>
      </c>
      <c r="S1028">
        <f>_xlfn.NUMBERVALUE("0.000267")</f>
        <v/>
      </c>
      <c r="T1028">
        <f>_xlfn.NUMBERVALUE("0.000418")</f>
        <v/>
      </c>
      <c r="U1028">
        <f>_xlfn.NUMBERVALUE("-0.002698")</f>
        <v/>
      </c>
      <c r="V1028">
        <f>_xlfn.NUMBERVALUE("-0.000039")</f>
        <v/>
      </c>
      <c r="W1028">
        <f>_xlfn.NUMBERVALUE("0.015413")</f>
        <v/>
      </c>
      <c r="X1028">
        <f>_xlfn.NUMBERVALUE("-1.470000")</f>
        <v/>
      </c>
      <c r="Y1028">
        <f>_xlfn.NUMBERVALUE("17.660000")</f>
        <v/>
      </c>
    </row>
    <row r="1029">
      <c r="A1029" s="1" t="n">
        <v>43496</v>
      </c>
      <c r="B1029">
        <f>_xlfn.NUMBERVALUE("-0.001537")</f>
        <v/>
      </c>
      <c r="C1029" s="2">
        <f>_xlfn.NUMBERVALUE("-0.000011")</f>
        <v/>
      </c>
      <c r="D1029">
        <f>_xlfn.NUMBERVALUE("0.000007")</f>
        <v/>
      </c>
      <c r="E1029">
        <f>_xlfn.NUMBERVALUE("0.000407")</f>
        <v/>
      </c>
      <c r="F1029">
        <f>_xlfn.NUMBERVALUE("0.000339")</f>
        <v/>
      </c>
      <c r="G1029">
        <f>_xlfn.NUMBERVALUE("-0.000178")</f>
        <v/>
      </c>
      <c r="H1029">
        <f>_xlfn.NUMBERVALUE("0.015113")</f>
        <v/>
      </c>
      <c r="I1029">
        <f>_xlfn.NUMBERVALUE("0.000291")</f>
        <v/>
      </c>
      <c r="J1029">
        <f>_xlfn.NUMBERVALUE("-0.001040")</f>
        <v/>
      </c>
      <c r="K1029">
        <f>_xlfn.NUMBERVALUE("0.002351")</f>
        <v/>
      </c>
      <c r="L1029">
        <f>_xlfn.NUMBERVALUE("-0.001130")</f>
        <v/>
      </c>
      <c r="M1029">
        <f>_xlfn.NUMBERVALUE("0.002340")</f>
        <v/>
      </c>
      <c r="N1029">
        <f>_xlfn.NUMBERVALUE("-0.015249")</f>
        <v/>
      </c>
      <c r="O1029">
        <f>_xlfn.NUMBERVALUE("0.001379")</f>
        <v/>
      </c>
      <c r="P1029">
        <f>_xlfn.NUMBERVALUE("0.000484")</f>
        <v/>
      </c>
      <c r="Q1029">
        <f>_xlfn.NUMBERVALUE("0.000720")</f>
        <v/>
      </c>
      <c r="R1029">
        <f>_xlfn.NUMBERVALUE("0.002170")</f>
        <v/>
      </c>
      <c r="S1029">
        <f>_xlfn.NUMBERVALUE("-0.004852")</f>
        <v/>
      </c>
      <c r="T1029">
        <f>_xlfn.NUMBERVALUE("-0.004920")</f>
        <v/>
      </c>
      <c r="U1029">
        <f>_xlfn.NUMBERVALUE("0.000465")</f>
        <v/>
      </c>
      <c r="V1029">
        <f>_xlfn.NUMBERVALUE("0.000191")</f>
        <v/>
      </c>
      <c r="W1029">
        <f>_xlfn.NUMBERVALUE("0.007963")</f>
        <v/>
      </c>
      <c r="X1029">
        <f>_xlfn.NUMBERVALUE("-1.090000")</f>
        <v/>
      </c>
      <c r="Y1029">
        <f>_xlfn.NUMBERVALUE("16.570000")</f>
        <v/>
      </c>
    </row>
    <row r="1030">
      <c r="A1030" s="1" t="n">
        <v>43497</v>
      </c>
      <c r="B1030">
        <f>_xlfn.NUMBERVALUE("-0.000235")</f>
        <v/>
      </c>
      <c r="C1030" s="2">
        <f>_xlfn.NUMBERVALUE("-0.000228")</f>
        <v/>
      </c>
      <c r="D1030">
        <f>_xlfn.NUMBERVALUE("0.000046")</f>
        <v/>
      </c>
      <c r="E1030">
        <f>_xlfn.NUMBERVALUE("-0.000406")</f>
        <v/>
      </c>
      <c r="F1030">
        <f>_xlfn.NUMBERVALUE("0.000319")</f>
        <v/>
      </c>
      <c r="G1030">
        <f>_xlfn.NUMBERVALUE("-0.002279")</f>
        <v/>
      </c>
      <c r="H1030">
        <f>_xlfn.NUMBERVALUE("-0.000170")</f>
        <v/>
      </c>
      <c r="I1030">
        <f>_xlfn.NUMBERVALUE("-0.000140")</f>
        <v/>
      </c>
      <c r="J1030">
        <f>_xlfn.NUMBERVALUE("-0.000211")</f>
        <v/>
      </c>
      <c r="K1030">
        <f>_xlfn.NUMBERVALUE("-0.001408")</f>
        <v/>
      </c>
      <c r="L1030">
        <f>_xlfn.NUMBERVALUE("0.001746")</f>
        <v/>
      </c>
      <c r="M1030">
        <f>_xlfn.NUMBERVALUE("0.002665")</f>
        <v/>
      </c>
      <c r="N1030">
        <f>_xlfn.NUMBERVALUE("0.003557")</f>
        <v/>
      </c>
      <c r="O1030">
        <f>_xlfn.NUMBERVALUE("-0.001561")</f>
        <v/>
      </c>
      <c r="P1030">
        <f>_xlfn.NUMBERVALUE("0.000130")</f>
        <v/>
      </c>
      <c r="Q1030">
        <f>_xlfn.NUMBERVALUE("0.000137")</f>
        <v/>
      </c>
      <c r="R1030">
        <f>_xlfn.NUMBERVALUE("0.000677")</f>
        <v/>
      </c>
      <c r="S1030">
        <f>_xlfn.NUMBERVALUE("0.000996")</f>
        <v/>
      </c>
      <c r="T1030">
        <f>_xlfn.NUMBERVALUE("0.001898")</f>
        <v/>
      </c>
      <c r="U1030">
        <f>_xlfn.NUMBERVALUE("0.004483")</f>
        <v/>
      </c>
      <c r="V1030">
        <f>_xlfn.NUMBERVALUE("0.000079")</f>
        <v/>
      </c>
      <c r="W1030">
        <f>_xlfn.NUMBERVALUE("0.001409")</f>
        <v/>
      </c>
      <c r="X1030">
        <f>_xlfn.NUMBERVALUE("-0.430000")</f>
        <v/>
      </c>
      <c r="Y1030">
        <f>_xlfn.NUMBERVALUE("16.140000")</f>
        <v/>
      </c>
    </row>
    <row r="1031">
      <c r="A1031" s="1" t="n">
        <v>43500</v>
      </c>
      <c r="B1031">
        <f>_xlfn.NUMBERVALUE("-0.001232")</f>
        <v/>
      </c>
      <c r="C1031" s="2">
        <f>_xlfn.NUMBERVALUE("0.000301")</f>
        <v/>
      </c>
      <c r="D1031">
        <f>_xlfn.NUMBERVALUE("0.000028")</f>
        <v/>
      </c>
      <c r="E1031">
        <f>_xlfn.NUMBERVALUE("0.000033")</f>
        <v/>
      </c>
      <c r="F1031">
        <f>_xlfn.NUMBERVALUE("0.000522")</f>
        <v/>
      </c>
      <c r="G1031">
        <f>_xlfn.NUMBERVALUE("0.000073")</f>
        <v/>
      </c>
      <c r="H1031">
        <f>_xlfn.NUMBERVALUE("-0.000028")</f>
        <v/>
      </c>
      <c r="I1031">
        <f>_xlfn.NUMBERVALUE("0.000194")</f>
        <v/>
      </c>
      <c r="J1031">
        <f>_xlfn.NUMBERVALUE("0.000166")</f>
        <v/>
      </c>
      <c r="K1031">
        <f>_xlfn.NUMBERVALUE("0.005072")</f>
        <v/>
      </c>
      <c r="L1031">
        <f>_xlfn.NUMBERVALUE("0.000069")</f>
        <v/>
      </c>
      <c r="M1031">
        <f>_xlfn.NUMBERVALUE("0.002064")</f>
        <v/>
      </c>
      <c r="N1031">
        <f>_xlfn.NUMBERVALUE("0.000938")</f>
        <v/>
      </c>
      <c r="O1031">
        <f>_xlfn.NUMBERVALUE("0.000370")</f>
        <v/>
      </c>
      <c r="P1031">
        <f>_xlfn.NUMBERVALUE("0.000144")</f>
        <v/>
      </c>
      <c r="Q1031">
        <f>_xlfn.NUMBERVALUE("0.000281")</f>
        <v/>
      </c>
      <c r="R1031">
        <f>_xlfn.NUMBERVALUE("0.000134")</f>
        <v/>
      </c>
      <c r="S1031">
        <f>_xlfn.NUMBERVALUE("0.000475")</f>
        <v/>
      </c>
      <c r="T1031">
        <f>_xlfn.NUMBERVALUE("0.000774")</f>
        <v/>
      </c>
      <c r="U1031">
        <f>_xlfn.NUMBERVALUE("0.002216")</f>
        <v/>
      </c>
      <c r="V1031">
        <f>_xlfn.NUMBERVALUE("0.000021")</f>
        <v/>
      </c>
      <c r="W1031">
        <f>_xlfn.NUMBERVALUE("0.002537")</f>
        <v/>
      </c>
      <c r="X1031">
        <f>_xlfn.NUMBERVALUE("-0.410000")</f>
        <v/>
      </c>
      <c r="Y1031">
        <f>_xlfn.NUMBERVALUE("15.730000")</f>
        <v/>
      </c>
    </row>
    <row r="1032">
      <c r="A1032" s="1" t="n">
        <v>43501</v>
      </c>
      <c r="B1032">
        <f>_xlfn.NUMBERVALUE("0.007717")</f>
        <v/>
      </c>
      <c r="C1032" s="2">
        <f>_xlfn.NUMBERVALUE("-0.000685")</f>
        <v/>
      </c>
      <c r="D1032">
        <f>_xlfn.NUMBERVALUE("-0.001148")</f>
        <v/>
      </c>
      <c r="E1032">
        <f>_xlfn.NUMBERVALUE("-0.001303")</f>
        <v/>
      </c>
      <c r="F1032">
        <f>_xlfn.NUMBERVALUE("0.000559")</f>
        <v/>
      </c>
      <c r="G1032">
        <f>_xlfn.NUMBERVALUE("-0.001959")</f>
        <v/>
      </c>
      <c r="H1032">
        <f>_xlfn.NUMBERVALUE("0.000987")</f>
        <v/>
      </c>
      <c r="I1032">
        <f>_xlfn.NUMBERVALUE("-0.000355")</f>
        <v/>
      </c>
      <c r="J1032">
        <f>_xlfn.NUMBERVALUE("-0.001300")</f>
        <v/>
      </c>
      <c r="K1032">
        <f>_xlfn.NUMBERVALUE("0.002042")</f>
        <v/>
      </c>
      <c r="L1032">
        <f>_xlfn.NUMBERVALUE("0.000078")</f>
        <v/>
      </c>
      <c r="M1032">
        <f>_xlfn.NUMBERVALUE("0.000269")</f>
        <v/>
      </c>
      <c r="N1032">
        <f>_xlfn.NUMBERVALUE("-0.000110")</f>
        <v/>
      </c>
      <c r="O1032">
        <f>_xlfn.NUMBERVALUE("0.000188")</f>
        <v/>
      </c>
      <c r="P1032">
        <f>_xlfn.NUMBERVALUE("-0.000012")</f>
        <v/>
      </c>
      <c r="Q1032">
        <f>_xlfn.NUMBERVALUE("-0.000069")</f>
        <v/>
      </c>
      <c r="R1032">
        <f>_xlfn.NUMBERVALUE("-0.000152")</f>
        <v/>
      </c>
      <c r="S1032">
        <f>_xlfn.NUMBERVALUE("0.000390")</f>
        <v/>
      </c>
      <c r="T1032">
        <f>_xlfn.NUMBERVALUE("0.000065")</f>
        <v/>
      </c>
      <c r="U1032">
        <f>_xlfn.NUMBERVALUE("-0.000433")</f>
        <v/>
      </c>
      <c r="V1032">
        <f>_xlfn.NUMBERVALUE("-0.000762")</f>
        <v/>
      </c>
      <c r="W1032">
        <f>_xlfn.NUMBERVALUE("0.006781")</f>
        <v/>
      </c>
      <c r="X1032">
        <f>_xlfn.NUMBERVALUE("-0.160000")</f>
        <v/>
      </c>
      <c r="Y1032">
        <f>_xlfn.NUMBERVALUE("15.570000")</f>
        <v/>
      </c>
    </row>
    <row r="1033">
      <c r="A1033" s="1" t="n">
        <v>43502</v>
      </c>
      <c r="B1033">
        <f>_xlfn.NUMBERVALUE("-0.001251")</f>
        <v/>
      </c>
      <c r="C1033" s="2">
        <f>_xlfn.NUMBERVALUE("0.001006")</f>
        <v/>
      </c>
      <c r="D1033">
        <f>_xlfn.NUMBERVALUE("-0.000023")</f>
        <v/>
      </c>
      <c r="E1033">
        <f>_xlfn.NUMBERVALUE("0.000721")</f>
        <v/>
      </c>
      <c r="F1033">
        <f>_xlfn.NUMBERVALUE("0.000175")</f>
        <v/>
      </c>
      <c r="G1033">
        <f>_xlfn.NUMBERVALUE("0.000835")</f>
        <v/>
      </c>
      <c r="H1033">
        <f>_xlfn.NUMBERVALUE("-0.000128")</f>
        <v/>
      </c>
      <c r="I1033">
        <f>_xlfn.NUMBERVALUE("0.001121")</f>
        <v/>
      </c>
      <c r="J1033">
        <f>_xlfn.NUMBERVALUE("0.001035")</f>
        <v/>
      </c>
      <c r="K1033">
        <f>_xlfn.NUMBERVALUE("-0.001566")</f>
        <v/>
      </c>
      <c r="L1033">
        <f>_xlfn.NUMBERVALUE("0.001167")</f>
        <v/>
      </c>
      <c r="M1033">
        <f>_xlfn.NUMBERVALUE("0.000477")</f>
        <v/>
      </c>
      <c r="N1033">
        <f>_xlfn.NUMBERVALUE("-0.001164")</f>
        <v/>
      </c>
      <c r="O1033">
        <f>_xlfn.NUMBERVALUE("-0.000059")</f>
        <v/>
      </c>
      <c r="P1033">
        <f>_xlfn.NUMBERVALUE("-0.000005")</f>
        <v/>
      </c>
      <c r="Q1033">
        <f>_xlfn.NUMBERVALUE("0.000099")</f>
        <v/>
      </c>
      <c r="R1033">
        <f>_xlfn.NUMBERVALUE("0.000110")</f>
        <v/>
      </c>
      <c r="S1033">
        <f>_xlfn.NUMBERVALUE("0.000030")</f>
        <v/>
      </c>
      <c r="T1033">
        <f>_xlfn.NUMBERVALUE("0.000108")</f>
        <v/>
      </c>
      <c r="U1033">
        <f>_xlfn.NUMBERVALUE("0.000082")</f>
        <v/>
      </c>
      <c r="V1033">
        <f>_xlfn.NUMBERVALUE("0.000867")</f>
        <v/>
      </c>
      <c r="W1033">
        <f>_xlfn.NUMBERVALUE("-0.001903")</f>
        <v/>
      </c>
      <c r="X1033">
        <f>_xlfn.NUMBERVALUE("-0.190000")</f>
        <v/>
      </c>
      <c r="Y1033">
        <f>_xlfn.NUMBERVALUE("15.380000")</f>
        <v/>
      </c>
    </row>
    <row r="1034">
      <c r="A1034" s="1" t="n">
        <v>43503</v>
      </c>
      <c r="B1034">
        <f>_xlfn.NUMBERVALUE("-0.004104")</f>
        <v/>
      </c>
      <c r="C1034" s="2">
        <f>_xlfn.NUMBERVALUE("-0.000765")</f>
        <v/>
      </c>
      <c r="D1034">
        <f>_xlfn.NUMBERVALUE("-0.000523")</f>
        <v/>
      </c>
      <c r="E1034">
        <f>_xlfn.NUMBERVALUE("-0.002399")</f>
        <v/>
      </c>
      <c r="F1034">
        <f>_xlfn.NUMBERVALUE("0.000515")</f>
        <v/>
      </c>
      <c r="G1034">
        <f>_xlfn.NUMBERVALUE("-0.000137")</f>
        <v/>
      </c>
      <c r="H1034">
        <f>_xlfn.NUMBERVALUE("0.001192")</f>
        <v/>
      </c>
      <c r="I1034">
        <f>_xlfn.NUMBERVALUE("-0.001144")</f>
        <v/>
      </c>
      <c r="J1034">
        <f>_xlfn.NUMBERVALUE("0.000588")</f>
        <v/>
      </c>
      <c r="K1034">
        <f>_xlfn.NUMBERVALUE("0.001758")</f>
        <v/>
      </c>
      <c r="L1034">
        <f>_xlfn.NUMBERVALUE("-0.000141")</f>
        <v/>
      </c>
      <c r="M1034">
        <f>_xlfn.NUMBERVALUE("0.000322")</f>
        <v/>
      </c>
      <c r="N1034">
        <f>_xlfn.NUMBERVALUE("-0.000866")</f>
        <v/>
      </c>
      <c r="O1034">
        <f>_xlfn.NUMBERVALUE("0.000038")</f>
        <v/>
      </c>
      <c r="P1034">
        <f>_xlfn.NUMBERVALUE("-0.000007")</f>
        <v/>
      </c>
      <c r="Q1034">
        <f>_xlfn.NUMBERVALUE("-0.000019")</f>
        <v/>
      </c>
      <c r="R1034">
        <f>_xlfn.NUMBERVALUE("-0.000019")</f>
        <v/>
      </c>
      <c r="S1034">
        <f>_xlfn.NUMBERVALUE("-0.000014")</f>
        <v/>
      </c>
      <c r="T1034">
        <f>_xlfn.NUMBERVALUE("-0.000019")</f>
        <v/>
      </c>
      <c r="U1034">
        <f>_xlfn.NUMBERVALUE("-0.000011")</f>
        <v/>
      </c>
      <c r="V1034">
        <f>_xlfn.NUMBERVALUE("-0.000733")</f>
        <v/>
      </c>
      <c r="W1034">
        <f>_xlfn.NUMBERVALUE("-0.010268")</f>
        <v/>
      </c>
      <c r="X1034">
        <f>_xlfn.NUMBERVALUE("0.990000")</f>
        <v/>
      </c>
      <c r="Y1034">
        <f>_xlfn.NUMBERVALUE("16.370000")</f>
        <v/>
      </c>
    </row>
    <row r="1035">
      <c r="A1035" s="1" t="n">
        <v>43504</v>
      </c>
      <c r="B1035">
        <f>_xlfn.NUMBERVALUE("0.000025")</f>
        <v/>
      </c>
      <c r="C1035" s="2">
        <f>_xlfn.NUMBERVALUE("0.001410")</f>
        <v/>
      </c>
      <c r="D1035">
        <f>_xlfn.NUMBERVALUE("0.001901")</f>
        <v/>
      </c>
      <c r="E1035">
        <f>_xlfn.NUMBERVALUE("-0.000009")</f>
        <v/>
      </c>
      <c r="F1035">
        <f>_xlfn.NUMBERVALUE("0.000352")</f>
        <v/>
      </c>
      <c r="G1035">
        <f>_xlfn.NUMBERVALUE("0.000719")</f>
        <v/>
      </c>
      <c r="H1035">
        <f>_xlfn.NUMBERVALUE("-0.000174")</f>
        <v/>
      </c>
      <c r="I1035">
        <f>_xlfn.NUMBERVALUE("0.001327")</f>
        <v/>
      </c>
      <c r="J1035">
        <f>_xlfn.NUMBERVALUE("-0.000517")</f>
        <v/>
      </c>
      <c r="K1035">
        <f>_xlfn.NUMBERVALUE("0.001196")</f>
        <v/>
      </c>
      <c r="L1035">
        <f>_xlfn.NUMBERVALUE("-0.000011")</f>
        <v/>
      </c>
      <c r="M1035">
        <f>_xlfn.NUMBERVALUE("0.001129")</f>
        <v/>
      </c>
      <c r="N1035">
        <f>_xlfn.NUMBERVALUE("0.001649")</f>
        <v/>
      </c>
      <c r="O1035">
        <f>_xlfn.NUMBERVALUE("0.001104")</f>
        <v/>
      </c>
      <c r="P1035">
        <f>_xlfn.NUMBERVALUE("0.000224")</f>
        <v/>
      </c>
      <c r="Q1035">
        <f>_xlfn.NUMBERVALUE("0.000589")</f>
        <v/>
      </c>
      <c r="R1035">
        <f>_xlfn.NUMBERVALUE("0.001364")</f>
        <v/>
      </c>
      <c r="S1035">
        <f>_xlfn.NUMBERVALUE("0.000929")</f>
        <v/>
      </c>
      <c r="T1035">
        <f>_xlfn.NUMBERVALUE("0.000703")</f>
        <v/>
      </c>
      <c r="U1035">
        <f>_xlfn.NUMBERVALUE("0.001159")</f>
        <v/>
      </c>
      <c r="V1035">
        <f>_xlfn.NUMBERVALUE("0.001547")</f>
        <v/>
      </c>
      <c r="W1035">
        <f>_xlfn.NUMBERVALUE("-0.000741")</f>
        <v/>
      </c>
      <c r="X1035">
        <f>_xlfn.NUMBERVALUE("-0.650000")</f>
        <v/>
      </c>
      <c r="Y1035">
        <f>_xlfn.NUMBERVALUE("15.720000")</f>
        <v/>
      </c>
    </row>
    <row r="1036">
      <c r="A1036" s="1" t="n">
        <v>43507</v>
      </c>
      <c r="B1036">
        <f>_xlfn.NUMBERVALUE("0.002466")</f>
        <v/>
      </c>
      <c r="C1036" s="2">
        <f>_xlfn.NUMBERVALUE("0.001015")</f>
        <v/>
      </c>
      <c r="D1036">
        <f>_xlfn.NUMBERVALUE("0.001753")</f>
        <v/>
      </c>
      <c r="E1036">
        <f>_xlfn.NUMBERVALUE("0.001768")</f>
        <v/>
      </c>
      <c r="F1036">
        <f>_xlfn.NUMBERVALUE("-0.000578")</f>
        <v/>
      </c>
      <c r="G1036">
        <f>_xlfn.NUMBERVALUE("0.000279")</f>
        <v/>
      </c>
      <c r="H1036">
        <f>_xlfn.NUMBERVALUE("0.000747")</f>
        <v/>
      </c>
      <c r="I1036">
        <f>_xlfn.NUMBERVALUE("0.000718")</f>
        <v/>
      </c>
      <c r="J1036">
        <f>_xlfn.NUMBERVALUE("0.000668")</f>
        <v/>
      </c>
      <c r="K1036">
        <f>_xlfn.NUMBERVALUE("-0.000719")</f>
        <v/>
      </c>
      <c r="L1036">
        <f>_xlfn.NUMBERVALUE("0.001046")</f>
        <v/>
      </c>
      <c r="M1036">
        <f>_xlfn.NUMBERVALUE("0.002064")</f>
        <v/>
      </c>
      <c r="N1036">
        <f>_xlfn.NUMBERVALUE("0.003666")</f>
        <v/>
      </c>
      <c r="O1036">
        <f>_xlfn.NUMBERVALUE("0.001909")</f>
        <v/>
      </c>
      <c r="P1036">
        <f>_xlfn.NUMBERVALUE("0.001525")</f>
        <v/>
      </c>
      <c r="Q1036">
        <f>_xlfn.NUMBERVALUE("0.000136")</f>
        <v/>
      </c>
      <c r="R1036">
        <f>_xlfn.NUMBERVALUE("0.001461")</f>
        <v/>
      </c>
      <c r="S1036">
        <f>_xlfn.NUMBERVALUE("0.000022")</f>
        <v/>
      </c>
      <c r="T1036">
        <f>_xlfn.NUMBERVALUE("0.000875")</f>
        <v/>
      </c>
      <c r="U1036">
        <f>_xlfn.NUMBERVALUE("0.002092")</f>
        <v/>
      </c>
      <c r="V1036">
        <f>_xlfn.NUMBERVALUE("0.000605")</f>
        <v/>
      </c>
      <c r="W1036">
        <f>_xlfn.NUMBERVALUE("0.003449")</f>
        <v/>
      </c>
      <c r="X1036">
        <f>_xlfn.NUMBERVALUE("0.250000")</f>
        <v/>
      </c>
      <c r="Y1036">
        <f>_xlfn.NUMBERVALUE("15.970000")</f>
        <v/>
      </c>
    </row>
    <row r="1037">
      <c r="A1037" s="1" t="n">
        <v>43508</v>
      </c>
      <c r="B1037">
        <f>_xlfn.NUMBERVALUE("-0.000030")</f>
        <v/>
      </c>
      <c r="C1037" s="2">
        <f>_xlfn.NUMBERVALUE("-0.001597")</f>
        <v/>
      </c>
      <c r="D1037">
        <f>_xlfn.NUMBERVALUE("0.001594")</f>
        <v/>
      </c>
      <c r="E1037">
        <f>_xlfn.NUMBERVALUE("-0.001654")</f>
        <v/>
      </c>
      <c r="F1037">
        <f>_xlfn.NUMBERVALUE("0.000923")</f>
        <v/>
      </c>
      <c r="G1037">
        <f>_xlfn.NUMBERVALUE("-0.001295")</f>
        <v/>
      </c>
      <c r="H1037">
        <f>_xlfn.NUMBERVALUE("0.000254")</f>
        <v/>
      </c>
      <c r="I1037">
        <f>_xlfn.NUMBERVALUE("-0.001158")</f>
        <v/>
      </c>
      <c r="J1037">
        <f>_xlfn.NUMBERVALUE("0.000038")</f>
        <v/>
      </c>
      <c r="K1037">
        <f>_xlfn.NUMBERVALUE("0.000244")</f>
        <v/>
      </c>
      <c r="L1037">
        <f>_xlfn.NUMBERVALUE("-0.000327")</f>
        <v/>
      </c>
      <c r="M1037">
        <f>_xlfn.NUMBERVALUE("-0.003132")</f>
        <v/>
      </c>
      <c r="N1037">
        <f>_xlfn.NUMBERVALUE("-0.000789")</f>
        <v/>
      </c>
      <c r="O1037">
        <f>_xlfn.NUMBERVALUE("0.000931")</f>
        <v/>
      </c>
      <c r="P1037">
        <f>_xlfn.NUMBERVALUE("-0.002093")</f>
        <v/>
      </c>
      <c r="Q1037">
        <f>_xlfn.NUMBERVALUE("-0.000941")</f>
        <v/>
      </c>
      <c r="R1037">
        <f>_xlfn.NUMBERVALUE("-0.000568")</f>
        <v/>
      </c>
      <c r="S1037">
        <f>_xlfn.NUMBERVALUE("-0.000005")</f>
        <v/>
      </c>
      <c r="T1037">
        <f>_xlfn.NUMBERVALUE("0.000869")</f>
        <v/>
      </c>
      <c r="U1037">
        <f>_xlfn.NUMBERVALUE("-0.000569")</f>
        <v/>
      </c>
      <c r="V1037">
        <f>_xlfn.NUMBERVALUE("-0.001488")</f>
        <v/>
      </c>
      <c r="W1037">
        <f>_xlfn.NUMBERVALUE("0.012269")</f>
        <v/>
      </c>
      <c r="X1037">
        <f>_xlfn.NUMBERVALUE("-0.540000")</f>
        <v/>
      </c>
      <c r="Y1037">
        <f>_xlfn.NUMBERVALUE("15.430000")</f>
        <v/>
      </c>
    </row>
    <row r="1038">
      <c r="A1038" s="1" t="n">
        <v>43509</v>
      </c>
      <c r="B1038">
        <f>_xlfn.NUMBERVALUE("0.000000")</f>
        <v/>
      </c>
      <c r="C1038" s="2">
        <f>_xlfn.NUMBERVALUE("-0.000614")</f>
        <v/>
      </c>
      <c r="D1038">
        <f>_xlfn.NUMBERVALUE("-0.000043")</f>
        <v/>
      </c>
      <c r="E1038">
        <f>_xlfn.NUMBERVALUE("0.000394")</f>
        <v/>
      </c>
      <c r="F1038">
        <f>_xlfn.NUMBERVALUE("0.000529")</f>
        <v/>
      </c>
      <c r="G1038">
        <f>_xlfn.NUMBERVALUE("0.000425")</f>
        <v/>
      </c>
      <c r="H1038">
        <f>_xlfn.NUMBERVALUE("-0.001898")</f>
        <v/>
      </c>
      <c r="I1038">
        <f>_xlfn.NUMBERVALUE("-0.000125")</f>
        <v/>
      </c>
      <c r="J1038">
        <f>_xlfn.NUMBERVALUE("0.000989")</f>
        <v/>
      </c>
      <c r="K1038">
        <f>_xlfn.NUMBERVALUE("-0.000175")</f>
        <v/>
      </c>
      <c r="L1038">
        <f>_xlfn.NUMBERVALUE("0.000504")</f>
        <v/>
      </c>
      <c r="M1038">
        <f>_xlfn.NUMBERVALUE("0.001021")</f>
        <v/>
      </c>
      <c r="N1038">
        <f>_xlfn.NUMBERVALUE("0.000869")</f>
        <v/>
      </c>
      <c r="O1038">
        <f>_xlfn.NUMBERVALUE("-0.000786")</f>
        <v/>
      </c>
      <c r="P1038">
        <f>_xlfn.NUMBERVALUE("0.001207")</f>
        <v/>
      </c>
      <c r="Q1038">
        <f>_xlfn.NUMBERVALUE("0.000036")</f>
        <v/>
      </c>
      <c r="R1038">
        <f>_xlfn.NUMBERVALUE("0.000500")</f>
        <v/>
      </c>
      <c r="S1038">
        <f>_xlfn.NUMBERVALUE("0.000236")</f>
        <v/>
      </c>
      <c r="T1038">
        <f>_xlfn.NUMBERVALUE("0.001532")</f>
        <v/>
      </c>
      <c r="U1038">
        <f>_xlfn.NUMBERVALUE("-0.000724")</f>
        <v/>
      </c>
      <c r="V1038">
        <f>_xlfn.NUMBERVALUE("-0.000443")</f>
        <v/>
      </c>
      <c r="W1038">
        <f>_xlfn.NUMBERVALUE("0.004746")</f>
        <v/>
      </c>
      <c r="X1038">
        <f>_xlfn.NUMBERVALUE("0.220000")</f>
        <v/>
      </c>
      <c r="Y1038">
        <f>_xlfn.NUMBERVALUE("15.650000")</f>
        <v/>
      </c>
    </row>
    <row r="1039">
      <c r="A1039" s="1" t="n">
        <v>43510</v>
      </c>
      <c r="B1039">
        <f>_xlfn.NUMBERVALUE("0.001743")</f>
        <v/>
      </c>
      <c r="C1039" s="2">
        <f>_xlfn.NUMBERVALUE("0.000591")</f>
        <v/>
      </c>
      <c r="D1039">
        <f>_xlfn.NUMBERVALUE("0.001255")</f>
        <v/>
      </c>
      <c r="E1039">
        <f>_xlfn.NUMBERVALUE("-0.000116")</f>
        <v/>
      </c>
      <c r="F1039">
        <f>_xlfn.NUMBERVALUE("-0.000173")</f>
        <v/>
      </c>
      <c r="G1039">
        <f>_xlfn.NUMBERVALUE("0.000287")</f>
        <v/>
      </c>
      <c r="H1039">
        <f>_xlfn.NUMBERVALUE("0.000233")</f>
        <v/>
      </c>
      <c r="I1039">
        <f>_xlfn.NUMBERVALUE("-0.000367")</f>
        <v/>
      </c>
      <c r="J1039">
        <f>_xlfn.NUMBERVALUE("0.000147")</f>
        <v/>
      </c>
      <c r="K1039">
        <f>_xlfn.NUMBERVALUE("0.000268")</f>
        <v/>
      </c>
      <c r="L1039">
        <f>_xlfn.NUMBERVALUE("0.001200")</f>
        <v/>
      </c>
      <c r="M1039">
        <f>_xlfn.NUMBERVALUE("0.000453")</f>
        <v/>
      </c>
      <c r="N1039">
        <f>_xlfn.NUMBERVALUE("-0.000009")</f>
        <v/>
      </c>
      <c r="O1039">
        <f>_xlfn.NUMBERVALUE("0.000088")</f>
        <v/>
      </c>
      <c r="P1039">
        <f>_xlfn.NUMBERVALUE("-0.000337")</f>
        <v/>
      </c>
      <c r="Q1039">
        <f>_xlfn.NUMBERVALUE("0.000037")</f>
        <v/>
      </c>
      <c r="R1039">
        <f>_xlfn.NUMBERVALUE("0.000341")</f>
        <v/>
      </c>
      <c r="S1039">
        <f>_xlfn.NUMBERVALUE("0.000929")</f>
        <v/>
      </c>
      <c r="T1039">
        <f>_xlfn.NUMBERVALUE("0.000800")</f>
        <v/>
      </c>
      <c r="U1039">
        <f>_xlfn.NUMBERVALUE("-0.000463")</f>
        <v/>
      </c>
      <c r="V1039">
        <f>_xlfn.NUMBERVALUE("-0.000225")</f>
        <v/>
      </c>
      <c r="W1039">
        <f>_xlfn.NUMBERVALUE("-0.000581")</f>
        <v/>
      </c>
      <c r="X1039">
        <f>_xlfn.NUMBERVALUE("0.570000")</f>
        <v/>
      </c>
      <c r="Y1039">
        <f>_xlfn.NUMBERVALUE("16.220000")</f>
        <v/>
      </c>
    </row>
    <row r="1040">
      <c r="A1040" s="1" t="n">
        <v>43511</v>
      </c>
      <c r="B1040">
        <f>_xlfn.NUMBERVALUE("0.000000")</f>
        <v/>
      </c>
      <c r="C1040" s="2">
        <f>_xlfn.NUMBERVALUE("-0.003116")</f>
        <v/>
      </c>
      <c r="D1040">
        <f>_xlfn.NUMBERVALUE("0.001061")</f>
        <v/>
      </c>
      <c r="E1040">
        <f>_xlfn.NUMBERVALUE("-0.001832")</f>
        <v/>
      </c>
      <c r="F1040">
        <f>_xlfn.NUMBERVALUE("-0.000336")</f>
        <v/>
      </c>
      <c r="G1040">
        <f>_xlfn.NUMBERVALUE("-0.000084")</f>
        <v/>
      </c>
      <c r="H1040">
        <f>_xlfn.NUMBERVALUE("0.001834")</f>
        <v/>
      </c>
      <c r="I1040">
        <f>_xlfn.NUMBERVALUE("-0.000772")</f>
        <v/>
      </c>
      <c r="J1040">
        <f>_xlfn.NUMBERVALUE("0.000923")</f>
        <v/>
      </c>
      <c r="K1040">
        <f>_xlfn.NUMBERVALUE("0.000667")</f>
        <v/>
      </c>
      <c r="L1040">
        <f>_xlfn.NUMBERVALUE("0.000646")</f>
        <v/>
      </c>
      <c r="M1040">
        <f>_xlfn.NUMBERVALUE("-0.000931")</f>
        <v/>
      </c>
      <c r="N1040">
        <f>_xlfn.NUMBERVALUE("0.002046")</f>
        <v/>
      </c>
      <c r="O1040">
        <f>_xlfn.NUMBERVALUE("-0.000288")</f>
        <v/>
      </c>
      <c r="P1040">
        <f>_xlfn.NUMBERVALUE("-0.003456")</f>
        <v/>
      </c>
      <c r="Q1040">
        <f>_xlfn.NUMBERVALUE("-0.000253")</f>
        <v/>
      </c>
      <c r="R1040">
        <f>_xlfn.NUMBERVALUE("0.001156")</f>
        <v/>
      </c>
      <c r="S1040">
        <f>_xlfn.NUMBERVALUE("-0.000042")</f>
        <v/>
      </c>
      <c r="T1040">
        <f>_xlfn.NUMBERVALUE("0.000759")</f>
        <v/>
      </c>
      <c r="U1040">
        <f>_xlfn.NUMBERVALUE("0.001733")</f>
        <v/>
      </c>
      <c r="V1040">
        <f>_xlfn.NUMBERVALUE("0.000686")</f>
        <v/>
      </c>
      <c r="W1040">
        <f>_xlfn.NUMBERVALUE("0.007962")</f>
        <v/>
      </c>
      <c r="X1040">
        <f>_xlfn.NUMBERVALUE("-1.310000")</f>
        <v/>
      </c>
      <c r="Y1040">
        <f>_xlfn.NUMBERVALUE("14.910000")</f>
        <v/>
      </c>
    </row>
    <row r="1041">
      <c r="A1041" s="1" t="n">
        <v>43515</v>
      </c>
      <c r="B1041">
        <f>_xlfn.NUMBERVALUE("0.007436")</f>
        <v/>
      </c>
      <c r="C1041" s="2">
        <f>_xlfn.NUMBERVALUE("0.001057")</f>
        <v/>
      </c>
      <c r="D1041">
        <f>_xlfn.NUMBERVALUE("0.001313")</f>
        <v/>
      </c>
      <c r="E1041">
        <f>_xlfn.NUMBERVALUE("0.000787")</f>
        <v/>
      </c>
      <c r="F1041">
        <f>_xlfn.NUMBERVALUE("-0.003903")</f>
        <v/>
      </c>
      <c r="G1041">
        <f>_xlfn.NUMBERVALUE("0.001448")</f>
        <v/>
      </c>
      <c r="H1041">
        <f>_xlfn.NUMBERVALUE("-0.000843")</f>
        <v/>
      </c>
      <c r="I1041">
        <f>_xlfn.NUMBERVALUE("0.000729")</f>
        <v/>
      </c>
      <c r="J1041">
        <f>_xlfn.NUMBERVALUE("0.000658")</f>
        <v/>
      </c>
      <c r="K1041">
        <f>_xlfn.NUMBERVALUE("-0.000066")</f>
        <v/>
      </c>
      <c r="L1041">
        <f>_xlfn.NUMBERVALUE("0.001226")</f>
        <v/>
      </c>
      <c r="M1041">
        <f>_xlfn.NUMBERVALUE("0.000157")</f>
        <v/>
      </c>
      <c r="N1041">
        <f>_xlfn.NUMBERVALUE("0.000623")</f>
        <v/>
      </c>
      <c r="O1041">
        <f>_xlfn.NUMBERVALUE("0.001467")</f>
        <v/>
      </c>
      <c r="P1041">
        <f>_xlfn.NUMBERVALUE("0.001101")</f>
        <v/>
      </c>
      <c r="Q1041">
        <f>_xlfn.NUMBERVALUE("0.000881")</f>
        <v/>
      </c>
      <c r="R1041">
        <f>_xlfn.NUMBERVALUE("0.001956")</f>
        <v/>
      </c>
      <c r="S1041">
        <f>_xlfn.NUMBERVALUE("0.001002")</f>
        <v/>
      </c>
      <c r="T1041">
        <f>_xlfn.NUMBERVALUE("0.001632")</f>
        <v/>
      </c>
      <c r="U1041">
        <f>_xlfn.NUMBERVALUE("0.001324")</f>
        <v/>
      </c>
      <c r="V1041">
        <f>_xlfn.NUMBERVALUE("0.001015")</f>
        <v/>
      </c>
      <c r="W1041">
        <f>_xlfn.NUMBERVALUE("0.003715")</f>
        <v/>
      </c>
      <c r="X1041">
        <f>_xlfn.NUMBERVALUE("-0.030000")</f>
        <v/>
      </c>
      <c r="Y1041">
        <f>_xlfn.NUMBERVALUE("14.880000")</f>
        <v/>
      </c>
    </row>
    <row r="1042">
      <c r="A1042" s="1" t="n">
        <v>43516</v>
      </c>
      <c r="B1042">
        <f>_xlfn.NUMBERVALUE("0.000000")</f>
        <v/>
      </c>
      <c r="C1042" s="2">
        <f>_xlfn.NUMBERVALUE("0.001056")</f>
        <v/>
      </c>
      <c r="D1042">
        <f>_xlfn.NUMBERVALUE("0.000475")</f>
        <v/>
      </c>
      <c r="E1042">
        <f>_xlfn.NUMBERVALUE("0.000017")</f>
        <v/>
      </c>
      <c r="F1042">
        <f>_xlfn.NUMBERVALUE("0.000656")</f>
        <v/>
      </c>
      <c r="G1042">
        <f>_xlfn.NUMBERVALUE("0.000323")</f>
        <v/>
      </c>
      <c r="H1042">
        <f>_xlfn.NUMBERVALUE("-0.004473")</f>
        <v/>
      </c>
      <c r="I1042">
        <f>_xlfn.NUMBERVALUE("0.000339")</f>
        <v/>
      </c>
      <c r="J1042">
        <f>_xlfn.NUMBERVALUE("0.000131")</f>
        <v/>
      </c>
      <c r="K1042">
        <f>_xlfn.NUMBERVALUE("0.000964")</f>
        <v/>
      </c>
      <c r="L1042">
        <f>_xlfn.NUMBERVALUE("0.000378")</f>
        <v/>
      </c>
      <c r="M1042">
        <f>_xlfn.NUMBERVALUE("-0.001462")</f>
        <v/>
      </c>
      <c r="N1042">
        <f>_xlfn.NUMBERVALUE("0.002255")</f>
        <v/>
      </c>
      <c r="O1042">
        <f>_xlfn.NUMBERVALUE("0.000899")</f>
        <v/>
      </c>
      <c r="P1042">
        <f>_xlfn.NUMBERVALUE("0.001007")</f>
        <v/>
      </c>
      <c r="Q1042">
        <f>_xlfn.NUMBERVALUE("0.000577")</f>
        <v/>
      </c>
      <c r="R1042">
        <f>_xlfn.NUMBERVALUE("0.000552")</f>
        <v/>
      </c>
      <c r="S1042">
        <f>_xlfn.NUMBERVALUE("0.000790")</f>
        <v/>
      </c>
      <c r="T1042">
        <f>_xlfn.NUMBERVALUE("0.000428")</f>
        <v/>
      </c>
      <c r="U1042">
        <f>_xlfn.NUMBERVALUE("0.000824")</f>
        <v/>
      </c>
      <c r="V1042">
        <f>_xlfn.NUMBERVALUE("0.000979")</f>
        <v/>
      </c>
      <c r="W1042">
        <f>_xlfn.NUMBERVALUE("0.000036")</f>
        <v/>
      </c>
      <c r="X1042">
        <f>_xlfn.NUMBERVALUE("-0.860000")</f>
        <v/>
      </c>
      <c r="Y1042">
        <f>_xlfn.NUMBERVALUE("14.020000")</f>
        <v/>
      </c>
    </row>
    <row r="1043">
      <c r="A1043" s="1" t="n">
        <v>43517</v>
      </c>
      <c r="B1043">
        <f>_xlfn.NUMBERVALUE("-0.011621")</f>
        <v/>
      </c>
      <c r="C1043" s="2">
        <f>_xlfn.NUMBERVALUE("0.000213")</f>
        <v/>
      </c>
      <c r="D1043">
        <f>_xlfn.NUMBERVALUE("0.001199")</f>
        <v/>
      </c>
      <c r="E1043">
        <f>_xlfn.NUMBERVALUE("0.000095")</f>
        <v/>
      </c>
      <c r="F1043">
        <f>_xlfn.NUMBERVALUE("-0.001173")</f>
        <v/>
      </c>
      <c r="G1043">
        <f>_xlfn.NUMBERVALUE("0.000501")</f>
        <v/>
      </c>
      <c r="H1043">
        <f>_xlfn.NUMBERVALUE("0.006233")</f>
        <v/>
      </c>
      <c r="I1043">
        <f>_xlfn.NUMBERVALUE("0.000357")</f>
        <v/>
      </c>
      <c r="J1043">
        <f>_xlfn.NUMBERVALUE("-0.000772")</f>
        <v/>
      </c>
      <c r="K1043">
        <f>_xlfn.NUMBERVALUE("-0.002125")</f>
        <v/>
      </c>
      <c r="L1043">
        <f>_xlfn.NUMBERVALUE("-0.002178")</f>
        <v/>
      </c>
      <c r="M1043">
        <f>_xlfn.NUMBERVALUE("-0.000565")</f>
        <v/>
      </c>
      <c r="N1043">
        <f>_xlfn.NUMBERVALUE("0.000737")</f>
        <v/>
      </c>
      <c r="O1043">
        <f>_xlfn.NUMBERVALUE("-0.001091")</f>
        <v/>
      </c>
      <c r="P1043">
        <f>_xlfn.NUMBERVALUE("0.000715")</f>
        <v/>
      </c>
      <c r="Q1043">
        <f>_xlfn.NUMBERVALUE("0.000518")</f>
        <v/>
      </c>
      <c r="R1043">
        <f>_xlfn.NUMBERVALUE("0.000722")</f>
        <v/>
      </c>
      <c r="S1043">
        <f>_xlfn.NUMBERVALUE("0.000352")</f>
        <v/>
      </c>
      <c r="T1043">
        <f>_xlfn.NUMBERVALUE("-0.000441")</f>
        <v/>
      </c>
      <c r="U1043">
        <f>_xlfn.NUMBERVALUE("0.000500")</f>
        <v/>
      </c>
      <c r="V1043">
        <f>_xlfn.NUMBERVALUE("0.000248")</f>
        <v/>
      </c>
      <c r="W1043">
        <f>_xlfn.NUMBERVALUE("-0.004815")</f>
        <v/>
      </c>
      <c r="X1043">
        <f>_xlfn.NUMBERVALUE("0.440000")</f>
        <v/>
      </c>
      <c r="Y1043">
        <f>_xlfn.NUMBERVALUE("14.460000")</f>
        <v/>
      </c>
    </row>
    <row r="1044">
      <c r="A1044" s="1" t="n">
        <v>43518</v>
      </c>
      <c r="B1044">
        <f>_xlfn.NUMBERVALUE("0.000000")</f>
        <v/>
      </c>
      <c r="C1044" s="2">
        <f>_xlfn.NUMBERVALUE("0.000152")</f>
        <v/>
      </c>
      <c r="D1044">
        <f>_xlfn.NUMBERVALUE("-0.001021")</f>
        <v/>
      </c>
      <c r="E1044">
        <f>_xlfn.NUMBERVALUE("0.000534")</f>
        <v/>
      </c>
      <c r="F1044">
        <f>_xlfn.NUMBERVALUE("0.001149")</f>
        <v/>
      </c>
      <c r="G1044">
        <f>_xlfn.NUMBERVALUE("0.000585")</f>
        <v/>
      </c>
      <c r="H1044">
        <f>_xlfn.NUMBERVALUE("-0.000479")</f>
        <v/>
      </c>
      <c r="I1044">
        <f>_xlfn.NUMBERVALUE("0.000506")</f>
        <v/>
      </c>
      <c r="J1044">
        <f>_xlfn.NUMBERVALUE("-0.000851")</f>
        <v/>
      </c>
      <c r="K1044">
        <f>_xlfn.NUMBERVALUE("0.000631")</f>
        <v/>
      </c>
      <c r="L1044">
        <f>_xlfn.NUMBERVALUE("0.000664")</f>
        <v/>
      </c>
      <c r="M1044">
        <f>_xlfn.NUMBERVALUE("0.000455")</f>
        <v/>
      </c>
      <c r="N1044">
        <f>_xlfn.NUMBERVALUE("0.003605")</f>
        <v/>
      </c>
      <c r="O1044">
        <f>_xlfn.NUMBERVALUE("0.001481")</f>
        <v/>
      </c>
      <c r="P1044">
        <f>_xlfn.NUMBERVALUE("0.001988")</f>
        <v/>
      </c>
      <c r="Q1044">
        <f>_xlfn.NUMBERVALUE("0.000202")</f>
        <v/>
      </c>
      <c r="R1044">
        <f>_xlfn.NUMBERVALUE("-0.000252")</f>
        <v/>
      </c>
      <c r="S1044">
        <f>_xlfn.NUMBERVALUE("0.000430")</f>
        <v/>
      </c>
      <c r="T1044">
        <f>_xlfn.NUMBERVALUE("0.000502")</f>
        <v/>
      </c>
      <c r="U1044">
        <f>_xlfn.NUMBERVALUE("0.000906")</f>
        <v/>
      </c>
      <c r="V1044">
        <f>_xlfn.NUMBERVALUE("0.000478")</f>
        <v/>
      </c>
      <c r="W1044">
        <f>_xlfn.NUMBERVALUE("0.006824")</f>
        <v/>
      </c>
      <c r="X1044">
        <f>_xlfn.NUMBERVALUE("-0.950000")</f>
        <v/>
      </c>
      <c r="Y1044">
        <f>_xlfn.NUMBERVALUE("13.510000")</f>
        <v/>
      </c>
    </row>
    <row r="1045">
      <c r="A1045" s="1" t="n">
        <v>43521</v>
      </c>
      <c r="B1045">
        <f>_xlfn.NUMBERVALUE("0.000000")</f>
        <v/>
      </c>
      <c r="C1045" s="2">
        <f>_xlfn.NUMBERVALUE("0.000428")</f>
        <v/>
      </c>
      <c r="D1045">
        <f>_xlfn.NUMBERVALUE("-0.001508")</f>
        <v/>
      </c>
      <c r="E1045">
        <f>_xlfn.NUMBERVALUE("0.000732")</f>
        <v/>
      </c>
      <c r="F1045">
        <f>_xlfn.NUMBERVALUE("0.001077")</f>
        <v/>
      </c>
      <c r="G1045">
        <f>_xlfn.NUMBERVALUE("-0.000359")</f>
        <v/>
      </c>
      <c r="H1045">
        <f>_xlfn.NUMBERVALUE("0.000227")</f>
        <v/>
      </c>
      <c r="I1045">
        <f>_xlfn.NUMBERVALUE("-0.000063")</f>
        <v/>
      </c>
      <c r="J1045">
        <f>_xlfn.NUMBERVALUE("0.000550")</f>
        <v/>
      </c>
      <c r="K1045">
        <f>_xlfn.NUMBERVALUE("0.002658")</f>
        <v/>
      </c>
      <c r="L1045">
        <f>_xlfn.NUMBERVALUE("0.000527")</f>
        <v/>
      </c>
      <c r="M1045">
        <f>_xlfn.NUMBERVALUE("0.000581")</f>
        <v/>
      </c>
      <c r="N1045">
        <f>_xlfn.NUMBERVALUE("-0.001223")</f>
        <v/>
      </c>
      <c r="O1045">
        <f>_xlfn.NUMBERVALUE("0.001377")</f>
        <v/>
      </c>
      <c r="P1045">
        <f>_xlfn.NUMBERVALUE("0.001166")</f>
        <v/>
      </c>
      <c r="Q1045">
        <f>_xlfn.NUMBERVALUE("-0.000112")</f>
        <v/>
      </c>
      <c r="R1045">
        <f>_xlfn.NUMBERVALUE("0.000364")</f>
        <v/>
      </c>
      <c r="S1045">
        <f>_xlfn.NUMBERVALUE("0.000834")</f>
        <v/>
      </c>
      <c r="T1045">
        <f>_xlfn.NUMBERVALUE("-0.000020")</f>
        <v/>
      </c>
      <c r="U1045">
        <f>_xlfn.NUMBERVALUE("0.000787")</f>
        <v/>
      </c>
      <c r="V1045">
        <f>_xlfn.NUMBERVALUE("0.000162")</f>
        <v/>
      </c>
      <c r="W1045">
        <f>_xlfn.NUMBERVALUE("0.003371")</f>
        <v/>
      </c>
      <c r="X1045">
        <f>_xlfn.NUMBERVALUE("1.340000")</f>
        <v/>
      </c>
      <c r="Y1045">
        <f>_xlfn.NUMBERVALUE("14.850000")</f>
        <v/>
      </c>
    </row>
    <row r="1046">
      <c r="A1046" s="1" t="n">
        <v>43522</v>
      </c>
      <c r="B1046">
        <f>_xlfn.NUMBERVALUE("0.000000")</f>
        <v/>
      </c>
      <c r="C1046" s="2">
        <f>_xlfn.NUMBERVALUE("0.000100")</f>
        <v/>
      </c>
      <c r="D1046">
        <f>_xlfn.NUMBERVALUE("0.001311")</f>
        <v/>
      </c>
      <c r="E1046">
        <f>_xlfn.NUMBERVALUE("-0.000254")</f>
        <v/>
      </c>
      <c r="F1046">
        <f>_xlfn.NUMBERVALUE("0.000463")</f>
        <v/>
      </c>
      <c r="G1046">
        <f>_xlfn.NUMBERVALUE("-0.000303")</f>
        <v/>
      </c>
      <c r="H1046">
        <f>_xlfn.NUMBERVALUE("-0.000308")</f>
        <v/>
      </c>
      <c r="I1046">
        <f>_xlfn.NUMBERVALUE("0.000369")</f>
        <v/>
      </c>
      <c r="J1046">
        <f>_xlfn.NUMBERVALUE("-0.000301")</f>
        <v/>
      </c>
      <c r="K1046">
        <f>_xlfn.NUMBERVALUE("0.001656")</f>
        <v/>
      </c>
      <c r="L1046">
        <f>_xlfn.NUMBERVALUE("-0.000357")</f>
        <v/>
      </c>
      <c r="M1046">
        <f>_xlfn.NUMBERVALUE("0.000205")</f>
        <v/>
      </c>
      <c r="N1046">
        <f>_xlfn.NUMBERVALUE("0.001865")</f>
        <v/>
      </c>
      <c r="O1046">
        <f>_xlfn.NUMBERVALUE("0.000618")</f>
        <v/>
      </c>
      <c r="P1046">
        <f>_xlfn.NUMBERVALUE("0.001223")</f>
        <v/>
      </c>
      <c r="Q1046">
        <f>_xlfn.NUMBERVALUE("0.000915")</f>
        <v/>
      </c>
      <c r="R1046">
        <f>_xlfn.NUMBERVALUE("0.000562")</f>
        <v/>
      </c>
      <c r="S1046">
        <f>_xlfn.NUMBERVALUE("0.000907")</f>
        <v/>
      </c>
      <c r="T1046">
        <f>_xlfn.NUMBERVALUE("0.000777")</f>
        <v/>
      </c>
      <c r="U1046">
        <f>_xlfn.NUMBERVALUE("0.001013")</f>
        <v/>
      </c>
      <c r="V1046">
        <f>_xlfn.NUMBERVALUE("0.000338")</f>
        <v/>
      </c>
      <c r="W1046">
        <f>_xlfn.NUMBERVALUE("-0.000286")</f>
        <v/>
      </c>
      <c r="X1046">
        <f>_xlfn.NUMBERVALUE("0.320000")</f>
        <v/>
      </c>
      <c r="Y1046">
        <f>_xlfn.NUMBERVALUE("15.170000")</f>
        <v/>
      </c>
    </row>
    <row r="1047">
      <c r="A1047" s="1" t="n">
        <v>43523</v>
      </c>
      <c r="B1047">
        <f>_xlfn.NUMBERVALUE("0.000000")</f>
        <v/>
      </c>
      <c r="C1047" s="2">
        <f>_xlfn.NUMBERVALUE("0.000598")</f>
        <v/>
      </c>
      <c r="D1047">
        <f>_xlfn.NUMBERVALUE("0.000362")</f>
        <v/>
      </c>
      <c r="E1047">
        <f>_xlfn.NUMBERVALUE("0.000602")</f>
        <v/>
      </c>
      <c r="F1047">
        <f>_xlfn.NUMBERVALUE("-0.000440")</f>
        <v/>
      </c>
      <c r="G1047">
        <f>_xlfn.NUMBERVALUE("-0.000335")</f>
        <v/>
      </c>
      <c r="H1047">
        <f>_xlfn.NUMBERVALUE("-0.000877")</f>
        <v/>
      </c>
      <c r="I1047">
        <f>_xlfn.NUMBERVALUE("0.000688")</f>
        <v/>
      </c>
      <c r="J1047">
        <f>_xlfn.NUMBERVALUE("0.000313")</f>
        <v/>
      </c>
      <c r="K1047">
        <f>_xlfn.NUMBERVALUE("-0.001838")</f>
        <v/>
      </c>
      <c r="L1047">
        <f>_xlfn.NUMBERVALUE("-0.003391")</f>
        <v/>
      </c>
      <c r="M1047">
        <f>_xlfn.NUMBERVALUE("0.001157")</f>
        <v/>
      </c>
      <c r="N1047">
        <f>_xlfn.NUMBERVALUE("0.001439")</f>
        <v/>
      </c>
      <c r="O1047">
        <f>_xlfn.NUMBERVALUE("-0.000208")</f>
        <v/>
      </c>
      <c r="P1047">
        <f>_xlfn.NUMBERVALUE("0.000575")</f>
        <v/>
      </c>
      <c r="Q1047">
        <f>_xlfn.NUMBERVALUE("0.000745")</f>
        <v/>
      </c>
      <c r="R1047">
        <f>_xlfn.NUMBERVALUE("0.000124")</f>
        <v/>
      </c>
      <c r="S1047">
        <f>_xlfn.NUMBERVALUE("0.001122")</f>
        <v/>
      </c>
      <c r="T1047">
        <f>_xlfn.NUMBERVALUE("0.000871")</f>
        <v/>
      </c>
      <c r="U1047">
        <f>_xlfn.NUMBERVALUE("0.000465")</f>
        <v/>
      </c>
      <c r="V1047">
        <f>_xlfn.NUMBERVALUE("0.000945")</f>
        <v/>
      </c>
      <c r="W1047">
        <f>_xlfn.NUMBERVALUE("-0.002360")</f>
        <v/>
      </c>
      <c r="X1047">
        <f>_xlfn.NUMBERVALUE("-0.470000")</f>
        <v/>
      </c>
      <c r="Y1047">
        <f>_xlfn.NUMBERVALUE("14.700000")</f>
        <v/>
      </c>
    </row>
    <row r="1048">
      <c r="A1048" s="1" t="n">
        <v>43524</v>
      </c>
      <c r="B1048">
        <f>_xlfn.NUMBERVALUE("0.000000")</f>
        <v/>
      </c>
      <c r="C1048" s="2">
        <f>_xlfn.NUMBERVALUE("0.000550")</f>
        <v/>
      </c>
      <c r="D1048">
        <f>_xlfn.NUMBERVALUE("-0.000989")</f>
        <v/>
      </c>
      <c r="E1048">
        <f>_xlfn.NUMBERVALUE("0.001199")</f>
        <v/>
      </c>
      <c r="F1048">
        <f>_xlfn.NUMBERVALUE("0.000625")</f>
        <v/>
      </c>
      <c r="G1048">
        <f>_xlfn.NUMBERVALUE("0.001127")</f>
        <v/>
      </c>
      <c r="H1048">
        <f>_xlfn.NUMBERVALUE("-0.000519")</f>
        <v/>
      </c>
      <c r="I1048">
        <f>_xlfn.NUMBERVALUE("0.001031")</f>
        <v/>
      </c>
      <c r="J1048">
        <f>_xlfn.NUMBERVALUE("-0.000262")</f>
        <v/>
      </c>
      <c r="K1048">
        <f>_xlfn.NUMBERVALUE("-0.000697")</f>
        <v/>
      </c>
      <c r="L1048">
        <f>_xlfn.NUMBERVALUE("0.000092")</f>
        <v/>
      </c>
      <c r="M1048">
        <f>_xlfn.NUMBERVALUE("0.000072")</f>
        <v/>
      </c>
      <c r="N1048">
        <f>_xlfn.NUMBERVALUE("0.000408")</f>
        <v/>
      </c>
      <c r="O1048">
        <f>_xlfn.NUMBERVALUE("0.000995")</f>
        <v/>
      </c>
      <c r="P1048">
        <f>_xlfn.NUMBERVALUE("0.002002")</f>
        <v/>
      </c>
      <c r="Q1048">
        <f>_xlfn.NUMBERVALUE("0.001252")</f>
        <v/>
      </c>
      <c r="R1048">
        <f>_xlfn.NUMBERVALUE("0.001410")</f>
        <v/>
      </c>
      <c r="S1048">
        <f>_xlfn.NUMBERVALUE("0.000419")</f>
        <v/>
      </c>
      <c r="T1048">
        <f>_xlfn.NUMBERVALUE("0.000931")</f>
        <v/>
      </c>
      <c r="U1048">
        <f>_xlfn.NUMBERVALUE("0.001579")</f>
        <v/>
      </c>
      <c r="V1048">
        <f>_xlfn.NUMBERVALUE("0.001039")</f>
        <v/>
      </c>
      <c r="W1048">
        <f>_xlfn.NUMBERVALUE("-0.001469")</f>
        <v/>
      </c>
      <c r="X1048">
        <f>_xlfn.NUMBERVALUE("0.080000")</f>
        <v/>
      </c>
      <c r="Y1048">
        <f>_xlfn.NUMBERVALUE("14.780000")</f>
        <v/>
      </c>
    </row>
    <row r="1049">
      <c r="A1049" s="1" t="n">
        <v>43525</v>
      </c>
      <c r="B1049">
        <f>_xlfn.NUMBERVALUE("0.000000")</f>
        <v/>
      </c>
      <c r="C1049" s="2">
        <f>_xlfn.NUMBERVALUE("0.000396")</f>
        <v/>
      </c>
      <c r="D1049">
        <f>_xlfn.NUMBERVALUE("0.002050")</f>
        <v/>
      </c>
      <c r="E1049">
        <f>_xlfn.NUMBERVALUE("0.000372")</f>
        <v/>
      </c>
      <c r="F1049">
        <f>_xlfn.NUMBERVALUE("-0.007111")</f>
        <v/>
      </c>
      <c r="G1049">
        <f>_xlfn.NUMBERVALUE("-0.001845")</f>
        <v/>
      </c>
      <c r="H1049">
        <f>_xlfn.NUMBERVALUE("-0.000927")</f>
        <v/>
      </c>
      <c r="I1049">
        <f>_xlfn.NUMBERVALUE("0.000322")</f>
        <v/>
      </c>
      <c r="J1049">
        <f>_xlfn.NUMBERVALUE("-0.001201")</f>
        <v/>
      </c>
      <c r="K1049">
        <f>_xlfn.NUMBERVALUE("-0.004083")</f>
        <v/>
      </c>
      <c r="L1049">
        <f>_xlfn.NUMBERVALUE("0.000475")</f>
        <v/>
      </c>
      <c r="M1049">
        <f>_xlfn.NUMBERVALUE("0.000680")</f>
        <v/>
      </c>
      <c r="N1049">
        <f>_xlfn.NUMBERVALUE("0.001164")</f>
        <v/>
      </c>
      <c r="O1049">
        <f>_xlfn.NUMBERVALUE("-0.000430")</f>
        <v/>
      </c>
      <c r="P1049">
        <f>_xlfn.NUMBERVALUE("-0.000699")</f>
        <v/>
      </c>
      <c r="Q1049">
        <f>_xlfn.NUMBERVALUE("0.000797")</f>
        <v/>
      </c>
      <c r="R1049">
        <f>_xlfn.NUMBERVALUE("0.000949")</f>
        <v/>
      </c>
      <c r="S1049">
        <f>_xlfn.NUMBERVALUE("0.000722")</f>
        <v/>
      </c>
      <c r="T1049">
        <f>_xlfn.NUMBERVALUE("0.000551")</f>
        <v/>
      </c>
      <c r="U1049">
        <f>_xlfn.NUMBERVALUE("0.000536")</f>
        <v/>
      </c>
      <c r="V1049">
        <f>_xlfn.NUMBERVALUE("0.000291")</f>
        <v/>
      </c>
      <c r="W1049">
        <f>_xlfn.NUMBERVALUE("0.007501")</f>
        <v/>
      </c>
      <c r="X1049">
        <f>_xlfn.NUMBERVALUE("-1.210000")</f>
        <v/>
      </c>
      <c r="Y1049">
        <f>_xlfn.NUMBERVALUE("13.570000")</f>
        <v/>
      </c>
    </row>
    <row r="1050">
      <c r="A1050" s="1" t="n">
        <v>43528</v>
      </c>
      <c r="B1050">
        <f>_xlfn.NUMBERVALUE("-0.000463")</f>
        <v/>
      </c>
      <c r="C1050" s="2">
        <f>_xlfn.NUMBERVALUE("0.000650")</f>
        <v/>
      </c>
      <c r="D1050">
        <f>_xlfn.NUMBERVALUE("0.002624")</f>
        <v/>
      </c>
      <c r="E1050">
        <f>_xlfn.NUMBERVALUE("0.000372")</f>
        <v/>
      </c>
      <c r="F1050">
        <f>_xlfn.NUMBERVALUE("-0.000145")</f>
        <v/>
      </c>
      <c r="G1050">
        <f>_xlfn.NUMBERVALUE("0.000653")</f>
        <v/>
      </c>
      <c r="H1050">
        <f>_xlfn.NUMBERVALUE("0.001089")</f>
        <v/>
      </c>
      <c r="I1050">
        <f>_xlfn.NUMBERVALUE("0.000283")</f>
        <v/>
      </c>
      <c r="J1050">
        <f>_xlfn.NUMBERVALUE("0.000691")</f>
        <v/>
      </c>
      <c r="K1050">
        <f>_xlfn.NUMBERVALUE("-0.000312")</f>
        <v/>
      </c>
      <c r="L1050">
        <f>_xlfn.NUMBERVALUE("0.000035")</f>
        <v/>
      </c>
      <c r="M1050">
        <f>_xlfn.NUMBERVALUE("0.000622")</f>
        <v/>
      </c>
      <c r="N1050">
        <f>_xlfn.NUMBERVALUE("-0.000664")</f>
        <v/>
      </c>
      <c r="O1050">
        <f>_xlfn.NUMBERVALUE("0.000672")</f>
        <v/>
      </c>
      <c r="P1050">
        <f>_xlfn.NUMBERVALUE("0.001551")</f>
        <v/>
      </c>
      <c r="Q1050">
        <f>_xlfn.NUMBERVALUE("-0.000519")</f>
        <v/>
      </c>
      <c r="R1050">
        <f>_xlfn.NUMBERVALUE("-0.000441")</f>
        <v/>
      </c>
      <c r="S1050">
        <f>_xlfn.NUMBERVALUE("0.000494")</f>
        <v/>
      </c>
      <c r="T1050">
        <f>_xlfn.NUMBERVALUE("-0.000043")</f>
        <v/>
      </c>
      <c r="U1050">
        <f>_xlfn.NUMBERVALUE("-0.000970")</f>
        <v/>
      </c>
      <c r="V1050">
        <f>_xlfn.NUMBERVALUE("0.000121")</f>
        <v/>
      </c>
      <c r="W1050">
        <f>_xlfn.NUMBERVALUE("-0.005521")</f>
        <v/>
      </c>
      <c r="X1050">
        <f>_xlfn.NUMBERVALUE("1.060000")</f>
        <v/>
      </c>
      <c r="Y1050">
        <f>_xlfn.NUMBERVALUE("14.630000")</f>
        <v/>
      </c>
    </row>
    <row r="1051">
      <c r="A1051" s="1" t="n">
        <v>43529</v>
      </c>
      <c r="B1051">
        <f>_xlfn.NUMBERVALUE("0.013884")</f>
        <v/>
      </c>
      <c r="C1051" s="2">
        <f>_xlfn.NUMBERVALUE("0.000251")</f>
        <v/>
      </c>
      <c r="D1051">
        <f>_xlfn.NUMBERVALUE("0.000193")</f>
        <v/>
      </c>
      <c r="E1051">
        <f>_xlfn.NUMBERVALUE("0.000113")</f>
        <v/>
      </c>
      <c r="F1051">
        <f>_xlfn.NUMBERVALUE("-0.000011")</f>
        <v/>
      </c>
      <c r="G1051">
        <f>_xlfn.NUMBERVALUE("0.000170")</f>
        <v/>
      </c>
      <c r="H1051">
        <f>_xlfn.NUMBERVALUE("0.000526")</f>
        <v/>
      </c>
      <c r="I1051">
        <f>_xlfn.NUMBERVALUE("0.000270")</f>
        <v/>
      </c>
      <c r="J1051">
        <f>_xlfn.NUMBERVALUE("0.000340")</f>
        <v/>
      </c>
      <c r="K1051">
        <f>_xlfn.NUMBERVALUE("-0.000118")</f>
        <v/>
      </c>
      <c r="L1051">
        <f>_xlfn.NUMBERVALUE("0.000589")</f>
        <v/>
      </c>
      <c r="M1051">
        <f>_xlfn.NUMBERVALUE("0.001047")</f>
        <v/>
      </c>
      <c r="N1051">
        <f>_xlfn.NUMBERVALUE("0.000778")</f>
        <v/>
      </c>
      <c r="O1051">
        <f>_xlfn.NUMBERVALUE("0.000977")</f>
        <v/>
      </c>
      <c r="P1051">
        <f>_xlfn.NUMBERVALUE("0.001792")</f>
        <v/>
      </c>
      <c r="Q1051">
        <f>_xlfn.NUMBERVALUE("0.000953")</f>
        <v/>
      </c>
      <c r="R1051">
        <f>_xlfn.NUMBERVALUE("0.000939")</f>
        <v/>
      </c>
      <c r="S1051">
        <f>_xlfn.NUMBERVALUE("0.001004")</f>
        <v/>
      </c>
      <c r="T1051">
        <f>_xlfn.NUMBERVALUE("0.000242")</f>
        <v/>
      </c>
      <c r="U1051">
        <f>_xlfn.NUMBERVALUE("0.001177")</f>
        <v/>
      </c>
      <c r="V1051">
        <f>_xlfn.NUMBERVALUE("0.000185")</f>
        <v/>
      </c>
      <c r="W1051">
        <f>_xlfn.NUMBERVALUE("0.001576")</f>
        <v/>
      </c>
      <c r="X1051">
        <f>_xlfn.NUMBERVALUE("0.110000")</f>
        <v/>
      </c>
      <c r="Y1051">
        <f>_xlfn.NUMBERVALUE("14.740000")</f>
        <v/>
      </c>
    </row>
    <row r="1052">
      <c r="A1052" s="1" t="n">
        <v>43530</v>
      </c>
      <c r="B1052">
        <f>_xlfn.NUMBERVALUE("-0.009094")</f>
        <v/>
      </c>
      <c r="C1052" s="2">
        <f>_xlfn.NUMBERVALUE("0.000037")</f>
        <v/>
      </c>
      <c r="D1052">
        <f>_xlfn.NUMBERVALUE("0.000499")</f>
        <v/>
      </c>
      <c r="E1052">
        <f>_xlfn.NUMBERVALUE("0.000051")</f>
        <v/>
      </c>
      <c r="F1052">
        <f>_xlfn.NUMBERVALUE("-0.000050")</f>
        <v/>
      </c>
      <c r="G1052">
        <f>_xlfn.NUMBERVALUE("0.000043")</f>
        <v/>
      </c>
      <c r="H1052">
        <f>_xlfn.NUMBERVALUE("-0.001401")</f>
        <v/>
      </c>
      <c r="I1052">
        <f>_xlfn.NUMBERVALUE("0.000101")</f>
        <v/>
      </c>
      <c r="J1052">
        <f>_xlfn.NUMBERVALUE("0.000292")</f>
        <v/>
      </c>
      <c r="K1052">
        <f>_xlfn.NUMBERVALUE("0.000003")</f>
        <v/>
      </c>
      <c r="L1052">
        <f>_xlfn.NUMBERVALUE("0.000491")</f>
        <v/>
      </c>
      <c r="M1052">
        <f>_xlfn.NUMBERVALUE("0.000741")</f>
        <v/>
      </c>
      <c r="N1052">
        <f>_xlfn.NUMBERVALUE("-0.001581")</f>
        <v/>
      </c>
      <c r="O1052">
        <f>_xlfn.NUMBERVALUE("-0.000775")</f>
        <v/>
      </c>
      <c r="P1052">
        <f>_xlfn.NUMBERVALUE("0.000396")</f>
        <v/>
      </c>
      <c r="Q1052">
        <f>_xlfn.NUMBERVALUE("-0.000237")</f>
        <v/>
      </c>
      <c r="R1052">
        <f>_xlfn.NUMBERVALUE("0.000084")</f>
        <v/>
      </c>
      <c r="S1052">
        <f>_xlfn.NUMBERVALUE("0.000668")</f>
        <v/>
      </c>
      <c r="T1052">
        <f>_xlfn.NUMBERVALUE("0.000375")</f>
        <v/>
      </c>
      <c r="U1052">
        <f>_xlfn.NUMBERVALUE("-0.000762")</f>
        <v/>
      </c>
      <c r="V1052">
        <f>_xlfn.NUMBERVALUE("0.000042")</f>
        <v/>
      </c>
      <c r="W1052">
        <f>_xlfn.NUMBERVALUE("-0.003916")</f>
        <v/>
      </c>
      <c r="X1052">
        <f>_xlfn.NUMBERVALUE("1.000000")</f>
        <v/>
      </c>
      <c r="Y1052">
        <f>_xlfn.NUMBERVALUE("15.740000")</f>
        <v/>
      </c>
    </row>
    <row r="1053">
      <c r="A1053" s="1" t="n">
        <v>43531</v>
      </c>
      <c r="B1053">
        <f>_xlfn.NUMBERVALUE("-0.007838")</f>
        <v/>
      </c>
      <c r="C1053" s="2">
        <f>_xlfn.NUMBERVALUE("-0.001044")</f>
        <v/>
      </c>
      <c r="D1053">
        <f>_xlfn.NUMBERVALUE("-0.003218")</f>
        <v/>
      </c>
      <c r="E1053">
        <f>_xlfn.NUMBERVALUE("-0.002336")</f>
        <v/>
      </c>
      <c r="F1053">
        <f>_xlfn.NUMBERVALUE("-0.000288")</f>
        <v/>
      </c>
      <c r="G1053">
        <f>_xlfn.NUMBERVALUE("-0.000141")</f>
        <v/>
      </c>
      <c r="H1053">
        <f>_xlfn.NUMBERVALUE("0.001059")</f>
        <v/>
      </c>
      <c r="I1053">
        <f>_xlfn.NUMBERVALUE("-0.000293")</f>
        <v/>
      </c>
      <c r="J1053">
        <f>_xlfn.NUMBERVALUE("-0.001111")</f>
        <v/>
      </c>
      <c r="K1053">
        <f>_xlfn.NUMBERVALUE("-0.000493")</f>
        <v/>
      </c>
      <c r="L1053">
        <f>_xlfn.NUMBERVALUE("0.001527")</f>
        <v/>
      </c>
      <c r="M1053">
        <f>_xlfn.NUMBERVALUE("0.000193")</f>
        <v/>
      </c>
      <c r="N1053">
        <f>_xlfn.NUMBERVALUE("-0.000955")</f>
        <v/>
      </c>
      <c r="O1053">
        <f>_xlfn.NUMBERVALUE("0.000980")</f>
        <v/>
      </c>
      <c r="P1053">
        <f>_xlfn.NUMBERVALUE("-0.000276")</f>
        <v/>
      </c>
      <c r="Q1053">
        <f>_xlfn.NUMBERVALUE("0.000834")</f>
        <v/>
      </c>
      <c r="R1053">
        <f>_xlfn.NUMBERVALUE("-0.000516")</f>
        <v/>
      </c>
      <c r="S1053">
        <f>_xlfn.NUMBERVALUE("0.000683")</f>
        <v/>
      </c>
      <c r="T1053">
        <f>_xlfn.NUMBERVALUE("0.000496")</f>
        <v/>
      </c>
      <c r="U1053">
        <f>_xlfn.NUMBERVALUE("-0.001461")</f>
        <v/>
      </c>
      <c r="V1053">
        <f>_xlfn.NUMBERVALUE("-0.001207")</f>
        <v/>
      </c>
      <c r="W1053">
        <f>_xlfn.NUMBERVALUE("-0.008903")</f>
        <v/>
      </c>
      <c r="X1053">
        <f>_xlfn.NUMBERVALUE("0.850000")</f>
        <v/>
      </c>
      <c r="Y1053">
        <f>_xlfn.NUMBERVALUE("16.590000")</f>
        <v/>
      </c>
    </row>
    <row r="1054">
      <c r="A1054" s="1" t="n">
        <v>43532</v>
      </c>
      <c r="B1054">
        <f>_xlfn.NUMBERVALUE("-0.008266")</f>
        <v/>
      </c>
      <c r="C1054" s="2">
        <f>_xlfn.NUMBERVALUE("0.001243")</f>
        <v/>
      </c>
      <c r="D1054">
        <f>_xlfn.NUMBERVALUE("0.000791")</f>
        <v/>
      </c>
      <c r="E1054">
        <f>_xlfn.NUMBERVALUE("0.000454")</f>
        <v/>
      </c>
      <c r="F1054">
        <f>_xlfn.NUMBERVALUE("-0.001310")</f>
        <v/>
      </c>
      <c r="G1054">
        <f>_xlfn.NUMBERVALUE("0.000383")</f>
        <v/>
      </c>
      <c r="H1054">
        <f>_xlfn.NUMBERVALUE("-0.000969")</f>
        <v/>
      </c>
      <c r="I1054">
        <f>_xlfn.NUMBERVALUE("0.001748")</f>
        <v/>
      </c>
      <c r="J1054">
        <f>_xlfn.NUMBERVALUE("0.000694")</f>
        <v/>
      </c>
      <c r="K1054">
        <f>_xlfn.NUMBERVALUE("-0.003503")</f>
        <v/>
      </c>
      <c r="L1054">
        <f>_xlfn.NUMBERVALUE("0.000422")</f>
        <v/>
      </c>
      <c r="M1054">
        <f>_xlfn.NUMBERVALUE("0.002401")</f>
        <v/>
      </c>
      <c r="N1054">
        <f>_xlfn.NUMBERVALUE("0.000761")</f>
        <v/>
      </c>
      <c r="O1054">
        <f>_xlfn.NUMBERVALUE("0.000189")</f>
        <v/>
      </c>
      <c r="P1054">
        <f>_xlfn.NUMBERVALUE("0.003993")</f>
        <v/>
      </c>
      <c r="Q1054">
        <f>_xlfn.NUMBERVALUE("0.003390")</f>
        <v/>
      </c>
      <c r="R1054">
        <f>_xlfn.NUMBERVALUE("0.002686")</f>
        <v/>
      </c>
      <c r="S1054">
        <f>_xlfn.NUMBERVALUE("0.001505")</f>
        <v/>
      </c>
      <c r="T1054">
        <f>_xlfn.NUMBERVALUE("0.000364")</f>
        <v/>
      </c>
      <c r="U1054">
        <f>_xlfn.NUMBERVALUE("0.003596")</f>
        <v/>
      </c>
      <c r="V1054">
        <f>_xlfn.NUMBERVALUE("0.001326")</f>
        <v/>
      </c>
      <c r="W1054">
        <f>_xlfn.NUMBERVALUE("-0.003200")</f>
        <v/>
      </c>
      <c r="X1054">
        <f>_xlfn.NUMBERVALUE("-0.540000")</f>
        <v/>
      </c>
      <c r="Y1054">
        <f>_xlfn.NUMBERVALUE("16.050000")</f>
        <v/>
      </c>
    </row>
    <row r="1055">
      <c r="A1055" s="1" t="n">
        <v>43535</v>
      </c>
      <c r="B1055">
        <f>_xlfn.NUMBERVALUE("0.007936")</f>
        <v/>
      </c>
      <c r="C1055" s="2">
        <f>_xlfn.NUMBERVALUE("0.000993")</f>
        <v/>
      </c>
      <c r="D1055">
        <f>_xlfn.NUMBERVALUE("-0.000540")</f>
        <v/>
      </c>
      <c r="E1055">
        <f>_xlfn.NUMBERVALUE("0.001153")</f>
        <v/>
      </c>
      <c r="F1055">
        <f>_xlfn.NUMBERVALUE("0.000813")</f>
        <v/>
      </c>
      <c r="G1055">
        <f>_xlfn.NUMBERVALUE("0.001326")</f>
        <v/>
      </c>
      <c r="H1055">
        <f>_xlfn.NUMBERVALUE("0.001993")</f>
        <v/>
      </c>
      <c r="I1055">
        <f>_xlfn.NUMBERVALUE("0.000918")</f>
        <v/>
      </c>
      <c r="J1055">
        <f>_xlfn.NUMBERVALUE("0.000557")</f>
        <v/>
      </c>
      <c r="K1055">
        <f>_xlfn.NUMBERVALUE("0.000987")</f>
        <v/>
      </c>
      <c r="L1055">
        <f>_xlfn.NUMBERVALUE("0.000254")</f>
        <v/>
      </c>
      <c r="M1055">
        <f>_xlfn.NUMBERVALUE("-0.001759")</f>
        <v/>
      </c>
      <c r="N1055">
        <f>_xlfn.NUMBERVALUE("-0.001580")</f>
        <v/>
      </c>
      <c r="O1055">
        <f>_xlfn.NUMBERVALUE("-0.002172")</f>
        <v/>
      </c>
      <c r="P1055">
        <f>_xlfn.NUMBERVALUE("0.000014")</f>
        <v/>
      </c>
      <c r="Q1055">
        <f>_xlfn.NUMBERVALUE("-0.000773")</f>
        <v/>
      </c>
      <c r="R1055">
        <f>_xlfn.NUMBERVALUE("-0.003375")</f>
        <v/>
      </c>
      <c r="S1055">
        <f>_xlfn.NUMBERVALUE("-0.005814")</f>
        <v/>
      </c>
      <c r="T1055">
        <f>_xlfn.NUMBERVALUE("-0.001303")</f>
        <v/>
      </c>
      <c r="U1055">
        <f>_xlfn.NUMBERVALUE("-0.003796")</f>
        <v/>
      </c>
      <c r="V1055">
        <f>_xlfn.NUMBERVALUE("-0.000389")</f>
        <v/>
      </c>
      <c r="W1055">
        <f>_xlfn.NUMBERVALUE("0.016090")</f>
        <v/>
      </c>
      <c r="X1055">
        <f>_xlfn.NUMBERVALUE("-1.720000")</f>
        <v/>
      </c>
      <c r="Y1055">
        <f>_xlfn.NUMBERVALUE("14.330000")</f>
        <v/>
      </c>
    </row>
    <row r="1056">
      <c r="A1056" s="1" t="n">
        <v>43536</v>
      </c>
      <c r="B1056">
        <f>_xlfn.NUMBERVALUE("0.000000")</f>
        <v/>
      </c>
      <c r="C1056" s="2">
        <f>_xlfn.NUMBERVALUE("0.001917")</f>
        <v/>
      </c>
      <c r="D1056">
        <f>_xlfn.NUMBERVALUE("0.001036")</f>
        <v/>
      </c>
      <c r="E1056">
        <f>_xlfn.NUMBERVALUE("-0.000303")</f>
        <v/>
      </c>
      <c r="F1056">
        <f>_xlfn.NUMBERVALUE("-0.000292")</f>
        <v/>
      </c>
      <c r="G1056">
        <f>_xlfn.NUMBERVALUE("-0.000253")</f>
        <v/>
      </c>
      <c r="H1056">
        <f>_xlfn.NUMBERVALUE("0.000147")</f>
        <v/>
      </c>
      <c r="I1056">
        <f>_xlfn.NUMBERVALUE("0.001240")</f>
        <v/>
      </c>
      <c r="J1056">
        <f>_xlfn.NUMBERVALUE("-0.001276")</f>
        <v/>
      </c>
      <c r="K1056">
        <f>_xlfn.NUMBERVALUE("-0.001653")</f>
        <v/>
      </c>
      <c r="L1056">
        <f>_xlfn.NUMBERVALUE("-0.000157")</f>
        <v/>
      </c>
      <c r="M1056">
        <f>_xlfn.NUMBERVALUE("0.000376")</f>
        <v/>
      </c>
      <c r="N1056">
        <f>_xlfn.NUMBERVALUE("0.000541")</f>
        <v/>
      </c>
      <c r="O1056">
        <f>_xlfn.NUMBERVALUE("0.001655")</f>
        <v/>
      </c>
      <c r="P1056">
        <f>_xlfn.NUMBERVALUE("0.001522")</f>
        <v/>
      </c>
      <c r="Q1056">
        <f>_xlfn.NUMBERVALUE("0.002084")</f>
        <v/>
      </c>
      <c r="R1056">
        <f>_xlfn.NUMBERVALUE("0.000149")</f>
        <v/>
      </c>
      <c r="S1056">
        <f>_xlfn.NUMBERVALUE("0.000031")</f>
        <v/>
      </c>
      <c r="T1056">
        <f>_xlfn.NUMBERVALUE("-0.000251")</f>
        <v/>
      </c>
      <c r="U1056">
        <f>_xlfn.NUMBERVALUE("0.001982")</f>
        <v/>
      </c>
      <c r="V1056">
        <f>_xlfn.NUMBERVALUE("0.000562")</f>
        <v/>
      </c>
      <c r="W1056">
        <f>_xlfn.NUMBERVALUE("0.004381")</f>
        <v/>
      </c>
      <c r="X1056">
        <f>_xlfn.NUMBERVALUE("-0.560000")</f>
        <v/>
      </c>
      <c r="Y1056">
        <f>_xlfn.NUMBERVALUE("13.770000")</f>
        <v/>
      </c>
    </row>
    <row r="1057">
      <c r="A1057" s="1" t="n">
        <v>43537</v>
      </c>
      <c r="B1057">
        <f>_xlfn.NUMBERVALUE("0.000000")</f>
        <v/>
      </c>
      <c r="C1057" s="2">
        <f>_xlfn.NUMBERVALUE("0.000538")</f>
        <v/>
      </c>
      <c r="D1057">
        <f>_xlfn.NUMBERVALUE("0.001134")</f>
        <v/>
      </c>
      <c r="E1057">
        <f>_xlfn.NUMBERVALUE("0.000116")</f>
        <v/>
      </c>
      <c r="F1057">
        <f>_xlfn.NUMBERVALUE("-0.000649")</f>
        <v/>
      </c>
      <c r="G1057">
        <f>_xlfn.NUMBERVALUE("-0.000246")</f>
        <v/>
      </c>
      <c r="H1057">
        <f>_xlfn.NUMBERVALUE("-0.001046")</f>
        <v/>
      </c>
      <c r="I1057">
        <f>_xlfn.NUMBERVALUE("0.000869")</f>
        <v/>
      </c>
      <c r="J1057">
        <f>_xlfn.NUMBERVALUE("0.000671")</f>
        <v/>
      </c>
      <c r="K1057">
        <f>_xlfn.NUMBERVALUE("0.001052")</f>
        <v/>
      </c>
      <c r="L1057">
        <f>_xlfn.NUMBERVALUE("0.000700")</f>
        <v/>
      </c>
      <c r="M1057">
        <f>_xlfn.NUMBERVALUE("0.000581")</f>
        <v/>
      </c>
      <c r="N1057">
        <f>_xlfn.NUMBERVALUE("0.002556")</f>
        <v/>
      </c>
      <c r="O1057">
        <f>_xlfn.NUMBERVALUE("0.000862")</f>
        <v/>
      </c>
      <c r="P1057">
        <f>_xlfn.NUMBERVALUE("-0.000279")</f>
        <v/>
      </c>
      <c r="Q1057">
        <f>_xlfn.NUMBERVALUE("0.000260")</f>
        <v/>
      </c>
      <c r="R1057">
        <f>_xlfn.NUMBERVALUE("-0.000740")</f>
        <v/>
      </c>
      <c r="S1057">
        <f>_xlfn.NUMBERVALUE("0.000016")</f>
        <v/>
      </c>
      <c r="T1057">
        <f>_xlfn.NUMBERVALUE("0.000744")</f>
        <v/>
      </c>
      <c r="U1057">
        <f>_xlfn.NUMBERVALUE("0.000708")</f>
        <v/>
      </c>
      <c r="V1057">
        <f>_xlfn.NUMBERVALUE("-0.001005")</f>
        <v/>
      </c>
      <c r="W1057">
        <f>_xlfn.NUMBERVALUE("0.007115")</f>
        <v/>
      </c>
      <c r="X1057">
        <f>_xlfn.NUMBERVALUE("-0.360000")</f>
        <v/>
      </c>
      <c r="Y1057">
        <f>_xlfn.NUMBERVALUE("13.410000")</f>
        <v/>
      </c>
    </row>
    <row r="1058">
      <c r="A1058" s="1" t="n">
        <v>43538</v>
      </c>
      <c r="B1058">
        <f>_xlfn.NUMBERVALUE("0.000000")</f>
        <v/>
      </c>
      <c r="C1058" s="2">
        <f>_xlfn.NUMBERVALUE("0.001595")</f>
        <v/>
      </c>
      <c r="D1058">
        <f>_xlfn.NUMBERVALUE("0.001879")</f>
        <v/>
      </c>
      <c r="E1058">
        <f>_xlfn.NUMBERVALUE("0.000421")</f>
        <v/>
      </c>
      <c r="F1058">
        <f>_xlfn.NUMBERVALUE("-0.001976")</f>
        <v/>
      </c>
      <c r="G1058">
        <f>_xlfn.NUMBERVALUE("0.000456")</f>
        <v/>
      </c>
      <c r="H1058">
        <f>_xlfn.NUMBERVALUE("0.000010")</f>
        <v/>
      </c>
      <c r="I1058">
        <f>_xlfn.NUMBERVALUE("0.001677")</f>
        <v/>
      </c>
      <c r="J1058">
        <f>_xlfn.NUMBERVALUE("0.000417")</f>
        <v/>
      </c>
      <c r="K1058">
        <f>_xlfn.NUMBERVALUE("-0.001649")</f>
        <v/>
      </c>
      <c r="L1058">
        <f>_xlfn.NUMBERVALUE("-0.000295")</f>
        <v/>
      </c>
      <c r="M1058">
        <f>_xlfn.NUMBERVALUE("0.001426")</f>
        <v/>
      </c>
      <c r="N1058">
        <f>_xlfn.NUMBERVALUE("-0.001720")</f>
        <v/>
      </c>
      <c r="O1058">
        <f>_xlfn.NUMBERVALUE("0.001831")</f>
        <v/>
      </c>
      <c r="P1058">
        <f>_xlfn.NUMBERVALUE("0.000022")</f>
        <v/>
      </c>
      <c r="Q1058">
        <f>_xlfn.NUMBERVALUE("-0.000158")</f>
        <v/>
      </c>
      <c r="R1058">
        <f>_xlfn.NUMBERVALUE("0.000558")</f>
        <v/>
      </c>
      <c r="S1058">
        <f>_xlfn.NUMBERVALUE("0.000947")</f>
        <v/>
      </c>
      <c r="T1058">
        <f>_xlfn.NUMBERVALUE("0.000588")</f>
        <v/>
      </c>
      <c r="U1058">
        <f>_xlfn.NUMBERVALUE("0.001422")</f>
        <v/>
      </c>
      <c r="V1058">
        <f>_xlfn.NUMBERVALUE("0.001271")</f>
        <v/>
      </c>
      <c r="W1058">
        <f>_xlfn.NUMBERVALUE("-0.000958")</f>
        <v/>
      </c>
      <c r="X1058">
        <f>_xlfn.NUMBERVALUE("0.090000")</f>
        <v/>
      </c>
      <c r="Y1058">
        <f>_xlfn.NUMBERVALUE("13.500000")</f>
        <v/>
      </c>
    </row>
    <row r="1059">
      <c r="A1059" s="1" t="n">
        <v>43539</v>
      </c>
      <c r="B1059">
        <f>_xlfn.NUMBERVALUE("0.000000")</f>
        <v/>
      </c>
      <c r="C1059" s="2">
        <f>_xlfn.NUMBERVALUE("0.000316")</f>
        <v/>
      </c>
      <c r="D1059">
        <f>_xlfn.NUMBERVALUE("-0.000148")</f>
        <v/>
      </c>
      <c r="E1059">
        <f>_xlfn.NUMBERVALUE("-0.001390")</f>
        <v/>
      </c>
      <c r="F1059">
        <f>_xlfn.NUMBERVALUE("0.000413")</f>
        <v/>
      </c>
      <c r="G1059">
        <f>_xlfn.NUMBERVALUE("0.000402")</f>
        <v/>
      </c>
      <c r="H1059">
        <f>_xlfn.NUMBERVALUE("0.000636")</f>
        <v/>
      </c>
      <c r="I1059">
        <f>_xlfn.NUMBERVALUE("0.001368")</f>
        <v/>
      </c>
      <c r="J1059">
        <f>_xlfn.NUMBERVALUE("-0.000687")</f>
        <v/>
      </c>
      <c r="K1059">
        <f>_xlfn.NUMBERVALUE("-0.000244")</f>
        <v/>
      </c>
      <c r="L1059">
        <f>_xlfn.NUMBERVALUE("-0.000061")</f>
        <v/>
      </c>
      <c r="M1059">
        <f>_xlfn.NUMBERVALUE("0.000373")</f>
        <v/>
      </c>
      <c r="N1059">
        <f>_xlfn.NUMBERVALUE("0.001216")</f>
        <v/>
      </c>
      <c r="O1059">
        <f>_xlfn.NUMBERVALUE("-0.000490")</f>
        <v/>
      </c>
      <c r="P1059">
        <f>_xlfn.NUMBERVALUE("-0.000957")</f>
        <v/>
      </c>
      <c r="Q1059">
        <f>_xlfn.NUMBERVALUE("0.001643")</f>
        <v/>
      </c>
      <c r="R1059">
        <f>_xlfn.NUMBERVALUE("-0.002432")</f>
        <v/>
      </c>
      <c r="S1059">
        <f>_xlfn.NUMBERVALUE("-0.000454")</f>
        <v/>
      </c>
      <c r="T1059">
        <f>_xlfn.NUMBERVALUE("-0.001581")</f>
        <v/>
      </c>
      <c r="U1059">
        <f>_xlfn.NUMBERVALUE("0.000647")</f>
        <v/>
      </c>
      <c r="V1059">
        <f>_xlfn.NUMBERVALUE("-0.001983")</f>
        <v/>
      </c>
      <c r="W1059">
        <f>_xlfn.NUMBERVALUE("-0.000497")</f>
        <v/>
      </c>
      <c r="X1059">
        <f>_xlfn.NUMBERVALUE("-0.620000")</f>
        <v/>
      </c>
      <c r="Y1059">
        <f>_xlfn.NUMBERVALUE("12.880000")</f>
        <v/>
      </c>
    </row>
    <row r="1060">
      <c r="A1060" s="1" t="n">
        <v>43542</v>
      </c>
      <c r="B1060">
        <f>_xlfn.NUMBERVALUE("0.000000")</f>
        <v/>
      </c>
      <c r="C1060" s="2">
        <f>_xlfn.NUMBERVALUE("0.000701")</f>
        <v/>
      </c>
      <c r="D1060">
        <f>_xlfn.NUMBERVALUE("-0.001597")</f>
        <v/>
      </c>
      <c r="E1060">
        <f>_xlfn.NUMBERVALUE("-0.000208")</f>
        <v/>
      </c>
      <c r="F1060">
        <f>_xlfn.NUMBERVALUE("0.000860")</f>
        <v/>
      </c>
      <c r="G1060">
        <f>_xlfn.NUMBERVALUE("0.000597")</f>
        <v/>
      </c>
      <c r="H1060">
        <f>_xlfn.NUMBERVALUE("-0.000888")</f>
        <v/>
      </c>
      <c r="I1060">
        <f>_xlfn.NUMBERVALUE("-0.001152")</f>
        <v/>
      </c>
      <c r="J1060">
        <f>_xlfn.NUMBERVALUE("0.000708")</f>
        <v/>
      </c>
      <c r="K1060">
        <f>_xlfn.NUMBERVALUE("0.001758")</f>
        <v/>
      </c>
      <c r="L1060">
        <f>_xlfn.NUMBERVALUE("0.000175")</f>
        <v/>
      </c>
      <c r="M1060">
        <f>_xlfn.NUMBERVALUE("0.000938")</f>
        <v/>
      </c>
      <c r="N1060">
        <f>_xlfn.NUMBERVALUE("0.003178")</f>
        <v/>
      </c>
      <c r="O1060">
        <f>_xlfn.NUMBERVALUE("-0.001482")</f>
        <v/>
      </c>
      <c r="P1060">
        <f>_xlfn.NUMBERVALUE("-0.001372")</f>
        <v/>
      </c>
      <c r="Q1060">
        <f>_xlfn.NUMBERVALUE("0.001478")</f>
        <v/>
      </c>
      <c r="R1060">
        <f>_xlfn.NUMBERVALUE("-0.000569")</f>
        <v/>
      </c>
      <c r="S1060">
        <f>_xlfn.NUMBERVALUE("0.000670")</f>
        <v/>
      </c>
      <c r="T1060">
        <f>_xlfn.NUMBERVALUE("0.000094")</f>
        <v/>
      </c>
      <c r="U1060">
        <f>_xlfn.NUMBERVALUE("-0.001349")</f>
        <v/>
      </c>
      <c r="V1060">
        <f>_xlfn.NUMBERVALUE("-0.000224")</f>
        <v/>
      </c>
      <c r="W1060">
        <f>_xlfn.NUMBERVALUE("0.004373")</f>
        <v/>
      </c>
      <c r="X1060">
        <f>_xlfn.NUMBERVALUE("0.220000")</f>
        <v/>
      </c>
      <c r="Y1060">
        <f>_xlfn.NUMBERVALUE("13.100000")</f>
        <v/>
      </c>
    </row>
    <row r="1061">
      <c r="A1061" s="1" t="n">
        <v>43543</v>
      </c>
      <c r="B1061">
        <f>_xlfn.NUMBERVALUE("0.000000")</f>
        <v/>
      </c>
      <c r="C1061" s="2">
        <f>_xlfn.NUMBERVALUE("-0.000103")</f>
        <v/>
      </c>
      <c r="D1061">
        <f>_xlfn.NUMBERVALUE("0.000028")</f>
        <v/>
      </c>
      <c r="E1061">
        <f>_xlfn.NUMBERVALUE("0.000236")</f>
        <v/>
      </c>
      <c r="F1061">
        <f>_xlfn.NUMBERVALUE("0.000291")</f>
        <v/>
      </c>
      <c r="G1061">
        <f>_xlfn.NUMBERVALUE("-0.000518")</f>
        <v/>
      </c>
      <c r="H1061">
        <f>_xlfn.NUMBERVALUE("0.001515")</f>
        <v/>
      </c>
      <c r="I1061">
        <f>_xlfn.NUMBERVALUE("-0.000834")</f>
        <v/>
      </c>
      <c r="J1061">
        <f>_xlfn.NUMBERVALUE("-0.000203")</f>
        <v/>
      </c>
      <c r="K1061">
        <f>_xlfn.NUMBERVALUE("0.000289")</f>
        <v/>
      </c>
      <c r="L1061">
        <f>_xlfn.NUMBERVALUE("0.000995")</f>
        <v/>
      </c>
      <c r="M1061">
        <f>_xlfn.NUMBERVALUE("-0.001137")</f>
        <v/>
      </c>
      <c r="N1061">
        <f>_xlfn.NUMBERVALUE("0.000304")</f>
        <v/>
      </c>
      <c r="O1061">
        <f>_xlfn.NUMBERVALUE("-0.000822")</f>
        <v/>
      </c>
      <c r="P1061">
        <f>_xlfn.NUMBERVALUE("-0.001393")</f>
        <v/>
      </c>
      <c r="Q1061">
        <f>_xlfn.NUMBERVALUE("-0.001163")</f>
        <v/>
      </c>
      <c r="R1061">
        <f>_xlfn.NUMBERVALUE("-0.000094")</f>
        <v/>
      </c>
      <c r="S1061">
        <f>_xlfn.NUMBERVALUE("-0.000925")</f>
        <v/>
      </c>
      <c r="T1061">
        <f>_xlfn.NUMBERVALUE("-0.001357")</f>
        <v/>
      </c>
      <c r="U1061">
        <f>_xlfn.NUMBERVALUE("-0.001451")</f>
        <v/>
      </c>
      <c r="V1061">
        <f>_xlfn.NUMBERVALUE("-0.000421")</f>
        <v/>
      </c>
      <c r="W1061">
        <f>_xlfn.NUMBERVALUE("-0.002761")</f>
        <v/>
      </c>
      <c r="X1061">
        <f>_xlfn.NUMBERVALUE("0.460000")</f>
        <v/>
      </c>
      <c r="Y1061">
        <f>_xlfn.NUMBERVALUE("13.560000")</f>
        <v/>
      </c>
    </row>
    <row r="1062">
      <c r="A1062" s="1" t="n">
        <v>43544</v>
      </c>
      <c r="B1062">
        <f>_xlfn.NUMBERVALUE("0.000000")</f>
        <v/>
      </c>
      <c r="C1062" s="2">
        <f>_xlfn.NUMBERVALUE("0.000812")</f>
        <v/>
      </c>
      <c r="D1062">
        <f>_xlfn.NUMBERVALUE("-0.000072")</f>
        <v/>
      </c>
      <c r="E1062">
        <f>_xlfn.NUMBERVALUE("0.000636")</f>
        <v/>
      </c>
      <c r="F1062">
        <f>_xlfn.NUMBERVALUE("-0.000622")</f>
        <v/>
      </c>
      <c r="G1062">
        <f>_xlfn.NUMBERVALUE("-0.001602")</f>
        <v/>
      </c>
      <c r="H1062">
        <f>_xlfn.NUMBERVALUE("-0.004727")</f>
        <v/>
      </c>
      <c r="I1062">
        <f>_xlfn.NUMBERVALUE("0.000088")</f>
        <v/>
      </c>
      <c r="J1062">
        <f>_xlfn.NUMBERVALUE("0.000051")</f>
        <v/>
      </c>
      <c r="K1062">
        <f>_xlfn.NUMBERVALUE("-0.001127")</f>
        <v/>
      </c>
      <c r="L1062">
        <f>_xlfn.NUMBERVALUE("-0.001658")</f>
        <v/>
      </c>
      <c r="M1062">
        <f>_xlfn.NUMBERVALUE("-0.000051")</f>
        <v/>
      </c>
      <c r="N1062">
        <f>_xlfn.NUMBERVALUE("-0.001481")</f>
        <v/>
      </c>
      <c r="O1062">
        <f>_xlfn.NUMBERVALUE("-0.002749")</f>
        <v/>
      </c>
      <c r="P1062">
        <f>_xlfn.NUMBERVALUE("-0.001027")</f>
        <v/>
      </c>
      <c r="Q1062">
        <f>_xlfn.NUMBERVALUE("0.001111")</f>
        <v/>
      </c>
      <c r="R1062">
        <f>_xlfn.NUMBERVALUE("0.000380")</f>
        <v/>
      </c>
      <c r="S1062">
        <f>_xlfn.NUMBERVALUE("0.000104")</f>
        <v/>
      </c>
      <c r="T1062">
        <f>_xlfn.NUMBERVALUE("-0.000203")</f>
        <v/>
      </c>
      <c r="U1062">
        <f>_xlfn.NUMBERVALUE("-0.000400")</f>
        <v/>
      </c>
      <c r="V1062">
        <f>_xlfn.NUMBERVALUE("0.001082")</f>
        <v/>
      </c>
      <c r="W1062">
        <f>_xlfn.NUMBERVALUE("0.000994")</f>
        <v/>
      </c>
      <c r="X1062">
        <f>_xlfn.NUMBERVALUE("0.350000")</f>
        <v/>
      </c>
      <c r="Y1062">
        <f>_xlfn.NUMBERVALUE("13.910000")</f>
        <v/>
      </c>
    </row>
    <row r="1063">
      <c r="A1063" s="1" t="n">
        <v>43545</v>
      </c>
      <c r="B1063">
        <f>_xlfn.NUMBERVALUE("0.000000")</f>
        <v/>
      </c>
      <c r="C1063" s="2">
        <f>_xlfn.NUMBERVALUE("-0.001146")</f>
        <v/>
      </c>
      <c r="D1063">
        <f>_xlfn.NUMBERVALUE("0.001156")</f>
        <v/>
      </c>
      <c r="E1063">
        <f>_xlfn.NUMBERVALUE("-0.001149")</f>
        <v/>
      </c>
      <c r="F1063">
        <f>_xlfn.NUMBERVALUE("0.000467")</f>
        <v/>
      </c>
      <c r="G1063">
        <f>_xlfn.NUMBERVALUE("0.000044")</f>
        <v/>
      </c>
      <c r="H1063">
        <f>_xlfn.NUMBERVALUE("0.002374")</f>
        <v/>
      </c>
      <c r="I1063">
        <f>_xlfn.NUMBERVALUE("-0.001624")</f>
        <v/>
      </c>
      <c r="J1063">
        <f>_xlfn.NUMBERVALUE("-0.000315")</f>
        <v/>
      </c>
      <c r="K1063">
        <f>_xlfn.NUMBERVALUE("0.000715")</f>
        <v/>
      </c>
      <c r="L1063">
        <f>_xlfn.NUMBERVALUE("0.000659")</f>
        <v/>
      </c>
      <c r="M1063">
        <f>_xlfn.NUMBERVALUE("-0.001487")</f>
        <v/>
      </c>
      <c r="N1063">
        <f>_xlfn.NUMBERVALUE("-0.003006")</f>
        <v/>
      </c>
      <c r="O1063">
        <f>_xlfn.NUMBERVALUE("0.000734")</f>
        <v/>
      </c>
      <c r="P1063">
        <f>_xlfn.NUMBERVALUE("0.001108")</f>
        <v/>
      </c>
      <c r="Q1063">
        <f>_xlfn.NUMBERVALUE("-0.000898")</f>
        <v/>
      </c>
      <c r="R1063">
        <f>_xlfn.NUMBERVALUE("-0.004498")</f>
        <v/>
      </c>
      <c r="S1063">
        <f>_xlfn.NUMBERVALUE("-0.002466")</f>
        <v/>
      </c>
      <c r="T1063">
        <f>_xlfn.NUMBERVALUE("-0.001651")</f>
        <v/>
      </c>
      <c r="U1063">
        <f>_xlfn.NUMBERVALUE("-0.002175")</f>
        <v/>
      </c>
      <c r="V1063">
        <f>_xlfn.NUMBERVALUE("-0.001835")</f>
        <v/>
      </c>
      <c r="W1063">
        <f>_xlfn.NUMBERVALUE("0.010035")</f>
        <v/>
      </c>
      <c r="X1063">
        <f>_xlfn.NUMBERVALUE("-0.280000")</f>
        <v/>
      </c>
      <c r="Y1063">
        <f>_xlfn.NUMBERVALUE("13.630000")</f>
        <v/>
      </c>
    </row>
    <row r="1064">
      <c r="A1064" s="1" t="n">
        <v>43546</v>
      </c>
      <c r="B1064">
        <f>_xlfn.NUMBERVALUE("0.000000")</f>
        <v/>
      </c>
      <c r="C1064" s="2">
        <f>_xlfn.NUMBERVALUE("-0.006204")</f>
        <v/>
      </c>
      <c r="D1064">
        <f>_xlfn.NUMBERVALUE("-0.011022")</f>
        <v/>
      </c>
      <c r="E1064">
        <f>_xlfn.NUMBERVALUE("-0.003950")</f>
        <v/>
      </c>
      <c r="F1064">
        <f>_xlfn.NUMBERVALUE("0.000119")</f>
        <v/>
      </c>
      <c r="G1064">
        <f>_xlfn.NUMBERVALUE("-0.000904")</f>
        <v/>
      </c>
      <c r="H1064">
        <f>_xlfn.NUMBERVALUE("0.000739")</f>
        <v/>
      </c>
      <c r="I1064">
        <f>_xlfn.NUMBERVALUE("-0.014757")</f>
        <v/>
      </c>
      <c r="J1064">
        <f>_xlfn.NUMBERVALUE("-0.000569")</f>
        <v/>
      </c>
      <c r="K1064">
        <f>_xlfn.NUMBERVALUE("0.000726")</f>
        <v/>
      </c>
      <c r="L1064">
        <f>_xlfn.NUMBERVALUE("-0.003246")</f>
        <v/>
      </c>
      <c r="M1064">
        <f>_xlfn.NUMBERVALUE("-0.011582")</f>
        <v/>
      </c>
      <c r="N1064">
        <f>_xlfn.NUMBERVALUE("-0.004128")</f>
        <v/>
      </c>
      <c r="O1064">
        <f>_xlfn.NUMBERVALUE("-0.005269")</f>
        <v/>
      </c>
      <c r="P1064">
        <f>_xlfn.NUMBERVALUE("-0.009018")</f>
        <v/>
      </c>
      <c r="Q1064">
        <f>_xlfn.NUMBERVALUE("-0.007485")</f>
        <v/>
      </c>
      <c r="R1064">
        <f>_xlfn.NUMBERVALUE("-0.005319")</f>
        <v/>
      </c>
      <c r="S1064">
        <f>_xlfn.NUMBERVALUE("-0.002281")</f>
        <v/>
      </c>
      <c r="T1064">
        <f>_xlfn.NUMBERVALUE("-0.002036")</f>
        <v/>
      </c>
      <c r="U1064">
        <f>_xlfn.NUMBERVALUE("-0.004636")</f>
        <v/>
      </c>
      <c r="V1064">
        <f>_xlfn.NUMBERVALUE("-0.004995")</f>
        <v/>
      </c>
      <c r="W1064">
        <f>_xlfn.NUMBERVALUE("-0.017974")</f>
        <v/>
      </c>
      <c r="X1064">
        <f>_xlfn.NUMBERVALUE("2.850000")</f>
        <v/>
      </c>
      <c r="Y1064">
        <f>_xlfn.NUMBERVALUE("16.480000")</f>
        <v/>
      </c>
    </row>
    <row r="1065">
      <c r="A1065" s="1" t="n">
        <v>43549</v>
      </c>
      <c r="B1065">
        <f>_xlfn.NUMBERVALUE("0.000000")</f>
        <v/>
      </c>
      <c r="C1065" s="2">
        <f>_xlfn.NUMBERVALUE("0.002803")</f>
        <v/>
      </c>
      <c r="D1065">
        <f>_xlfn.NUMBERVALUE("0.001976")</f>
        <v/>
      </c>
      <c r="E1065">
        <f>_xlfn.NUMBERVALUE("0.001979")</f>
        <v/>
      </c>
      <c r="F1065">
        <f>_xlfn.NUMBERVALUE("-0.000396")</f>
        <v/>
      </c>
      <c r="G1065">
        <f>_xlfn.NUMBERVALUE("0.000431")</f>
        <v/>
      </c>
      <c r="H1065">
        <f>_xlfn.NUMBERVALUE("-0.000461")</f>
        <v/>
      </c>
      <c r="I1065">
        <f>_xlfn.NUMBERVALUE("0.003017")</f>
        <v/>
      </c>
      <c r="J1065">
        <f>_xlfn.NUMBERVALUE("-0.000116")</f>
        <v/>
      </c>
      <c r="K1065">
        <f>_xlfn.NUMBERVALUE("-0.000136")</f>
        <v/>
      </c>
      <c r="L1065">
        <f>_xlfn.NUMBERVALUE("-0.000341")</f>
        <v/>
      </c>
      <c r="M1065">
        <f>_xlfn.NUMBERVALUE("0.001601")</f>
        <v/>
      </c>
      <c r="N1065">
        <f>_xlfn.NUMBERVALUE("0.000805")</f>
        <v/>
      </c>
      <c r="O1065">
        <f>_xlfn.NUMBERVALUE("0.002343")</f>
        <v/>
      </c>
      <c r="P1065">
        <f>_xlfn.NUMBERVALUE("0.002039")</f>
        <v/>
      </c>
      <c r="Q1065">
        <f>_xlfn.NUMBERVALUE("0.001908")</f>
        <v/>
      </c>
      <c r="R1065">
        <f>_xlfn.NUMBERVALUE("0.002642")</f>
        <v/>
      </c>
      <c r="S1065">
        <f>_xlfn.NUMBERVALUE("0.001041")</f>
        <v/>
      </c>
      <c r="T1065">
        <f>_xlfn.NUMBERVALUE("0.001036")</f>
        <v/>
      </c>
      <c r="U1065">
        <f>_xlfn.NUMBERVALUE("0.000872")</f>
        <v/>
      </c>
      <c r="V1065">
        <f>_xlfn.NUMBERVALUE("0.003385")</f>
        <v/>
      </c>
      <c r="W1065">
        <f>_xlfn.NUMBERVALUE("-0.001466")</f>
        <v/>
      </c>
      <c r="X1065">
        <f>_xlfn.NUMBERVALUE("-0.150000")</f>
        <v/>
      </c>
      <c r="Y1065">
        <f>_xlfn.NUMBERVALUE("16.330000")</f>
        <v/>
      </c>
    </row>
    <row r="1066">
      <c r="A1066" s="1" t="n">
        <v>43550</v>
      </c>
      <c r="B1066">
        <f>_xlfn.NUMBERVALUE("0.000000")</f>
        <v/>
      </c>
      <c r="C1066" s="2">
        <f>_xlfn.NUMBERVALUE("0.002658")</f>
        <v/>
      </c>
      <c r="D1066">
        <f>_xlfn.NUMBERVALUE("0.001989")</f>
        <v/>
      </c>
      <c r="E1066">
        <f>_xlfn.NUMBERVALUE("0.000662")</f>
        <v/>
      </c>
      <c r="F1066">
        <f>_xlfn.NUMBERVALUE("0.000829")</f>
        <v/>
      </c>
      <c r="G1066">
        <f>_xlfn.NUMBERVALUE("0.000957")</f>
        <v/>
      </c>
      <c r="H1066">
        <f>_xlfn.NUMBERVALUE("0.000024")</f>
        <v/>
      </c>
      <c r="I1066">
        <f>_xlfn.NUMBERVALUE("0.002624")</f>
        <v/>
      </c>
      <c r="J1066">
        <f>_xlfn.NUMBERVALUE("-0.000282")</f>
        <v/>
      </c>
      <c r="K1066">
        <f>_xlfn.NUMBERVALUE("0.000684")</f>
        <v/>
      </c>
      <c r="L1066">
        <f>_xlfn.NUMBERVALUE("-0.000059")</f>
        <v/>
      </c>
      <c r="M1066">
        <f>_xlfn.NUMBERVALUE("0.002702")</f>
        <v/>
      </c>
      <c r="N1066">
        <f>_xlfn.NUMBERVALUE("0.002136")</f>
        <v/>
      </c>
      <c r="O1066">
        <f>_xlfn.NUMBERVALUE("-0.000252")</f>
        <v/>
      </c>
      <c r="P1066">
        <f>_xlfn.NUMBERVALUE("0.001772")</f>
        <v/>
      </c>
      <c r="Q1066">
        <f>_xlfn.NUMBERVALUE("0.002188")</f>
        <v/>
      </c>
      <c r="R1066">
        <f>_xlfn.NUMBERVALUE("0.002782")</f>
        <v/>
      </c>
      <c r="S1066">
        <f>_xlfn.NUMBERVALUE("0.001052")</f>
        <v/>
      </c>
      <c r="T1066">
        <f>_xlfn.NUMBERVALUE("0.000478")</f>
        <v/>
      </c>
      <c r="U1066">
        <f>_xlfn.NUMBERVALUE("0.002085")</f>
        <v/>
      </c>
      <c r="V1066">
        <f>_xlfn.NUMBERVALUE("0.002374")</f>
        <v/>
      </c>
      <c r="W1066">
        <f>_xlfn.NUMBERVALUE("0.002792")</f>
        <v/>
      </c>
      <c r="X1066">
        <f>_xlfn.NUMBERVALUE("-1.650000")</f>
        <v/>
      </c>
      <c r="Y1066">
        <f>_xlfn.NUMBERVALUE("14.680000")</f>
        <v/>
      </c>
    </row>
    <row r="1067">
      <c r="A1067" s="1" t="n">
        <v>43551</v>
      </c>
      <c r="B1067">
        <f>_xlfn.NUMBERVALUE("0.000000")</f>
        <v/>
      </c>
      <c r="C1067" s="2">
        <f>_xlfn.NUMBERVALUE("0.000409")</f>
        <v/>
      </c>
      <c r="D1067">
        <f>_xlfn.NUMBERVALUE("0.001299")</f>
        <v/>
      </c>
      <c r="E1067">
        <f>_xlfn.NUMBERVALUE("0.000988")</f>
        <v/>
      </c>
      <c r="F1067">
        <f>_xlfn.NUMBERVALUE("0.000206")</f>
        <v/>
      </c>
      <c r="G1067">
        <f>_xlfn.NUMBERVALUE("0.000542")</f>
        <v/>
      </c>
      <c r="H1067">
        <f>_xlfn.NUMBERVALUE("-0.000224")</f>
        <v/>
      </c>
      <c r="I1067">
        <f>_xlfn.NUMBERVALUE("0.001706")</f>
        <v/>
      </c>
      <c r="J1067">
        <f>_xlfn.NUMBERVALUE("0.000538")</f>
        <v/>
      </c>
      <c r="K1067">
        <f>_xlfn.NUMBERVALUE("0.000569")</f>
        <v/>
      </c>
      <c r="L1067">
        <f>_xlfn.NUMBERVALUE("0.000259")</f>
        <v/>
      </c>
      <c r="M1067">
        <f>_xlfn.NUMBERVALUE("0.000612")</f>
        <v/>
      </c>
      <c r="N1067">
        <f>_xlfn.NUMBERVALUE("0.001790")</f>
        <v/>
      </c>
      <c r="O1067">
        <f>_xlfn.NUMBERVALUE("0.001274")</f>
        <v/>
      </c>
      <c r="P1067">
        <f>_xlfn.NUMBERVALUE("0.001295")</f>
        <v/>
      </c>
      <c r="Q1067">
        <f>_xlfn.NUMBERVALUE("0.000406")</f>
        <v/>
      </c>
      <c r="R1067">
        <f>_xlfn.NUMBERVALUE("0.001496")</f>
        <v/>
      </c>
      <c r="S1067">
        <f>_xlfn.NUMBERVALUE("0.000460")</f>
        <v/>
      </c>
      <c r="T1067">
        <f>_xlfn.NUMBERVALUE("0.000614")</f>
        <v/>
      </c>
      <c r="U1067">
        <f>_xlfn.NUMBERVALUE("0.000755")</f>
        <v/>
      </c>
      <c r="V1067">
        <f>_xlfn.NUMBERVALUE("0.001254")</f>
        <v/>
      </c>
      <c r="W1067">
        <f>_xlfn.NUMBERVALUE("0.000571")</f>
        <v/>
      </c>
      <c r="X1067">
        <f>_xlfn.NUMBERVALUE("0.470000")</f>
        <v/>
      </c>
      <c r="Y1067">
        <f>_xlfn.NUMBERVALUE("15.150000")</f>
        <v/>
      </c>
    </row>
    <row r="1068">
      <c r="A1068" s="1" t="n">
        <v>43552</v>
      </c>
      <c r="B1068">
        <f>_xlfn.NUMBERVALUE("0.000000")</f>
        <v/>
      </c>
      <c r="C1068" s="2">
        <f>_xlfn.NUMBERVALUE("0.001824")</f>
        <v/>
      </c>
      <c r="D1068">
        <f>_xlfn.NUMBERVALUE("0.000825")</f>
        <v/>
      </c>
      <c r="E1068">
        <f>_xlfn.NUMBERVALUE("0.001414")</f>
        <v/>
      </c>
      <c r="F1068">
        <f>_xlfn.NUMBERVALUE("-0.003187")</f>
        <v/>
      </c>
      <c r="G1068">
        <f>_xlfn.NUMBERVALUE("-0.000074")</f>
        <v/>
      </c>
      <c r="H1068">
        <f>_xlfn.NUMBERVALUE("-0.003277")</f>
        <v/>
      </c>
      <c r="I1068">
        <f>_xlfn.NUMBERVALUE("0.001610")</f>
        <v/>
      </c>
      <c r="J1068">
        <f>_xlfn.NUMBERVALUE("0.000190")</f>
        <v/>
      </c>
      <c r="K1068">
        <f>_xlfn.NUMBERVALUE("-0.003251")</f>
        <v/>
      </c>
      <c r="L1068">
        <f>_xlfn.NUMBERVALUE("-0.000064")</f>
        <v/>
      </c>
      <c r="M1068">
        <f>_xlfn.NUMBERVALUE("0.001497")</f>
        <v/>
      </c>
      <c r="N1068">
        <f>_xlfn.NUMBERVALUE("0.001842")</f>
        <v/>
      </c>
      <c r="O1068">
        <f>_xlfn.NUMBERVALUE("0.001414")</f>
        <v/>
      </c>
      <c r="P1068">
        <f>_xlfn.NUMBERVALUE("0.001959")</f>
        <v/>
      </c>
      <c r="Q1068">
        <f>_xlfn.NUMBERVALUE("0.001238")</f>
        <v/>
      </c>
      <c r="R1068">
        <f>_xlfn.NUMBERVALUE("0.001494")</f>
        <v/>
      </c>
      <c r="S1068">
        <f>_xlfn.NUMBERVALUE("-0.000550")</f>
        <v/>
      </c>
      <c r="T1068">
        <f>_xlfn.NUMBERVALUE("-0.001105")</f>
        <v/>
      </c>
      <c r="U1068">
        <f>_xlfn.NUMBERVALUE("0.000198")</f>
        <v/>
      </c>
      <c r="V1068">
        <f>_xlfn.NUMBERVALUE("0.001216")</f>
        <v/>
      </c>
      <c r="W1068">
        <f>_xlfn.NUMBERVALUE("0.002105")</f>
        <v/>
      </c>
      <c r="X1068">
        <f>_xlfn.NUMBERVALUE("-0.720000")</f>
        <v/>
      </c>
      <c r="Y1068">
        <f>_xlfn.NUMBERVALUE("14.430000")</f>
        <v/>
      </c>
    </row>
    <row r="1069">
      <c r="A1069" s="1" t="n">
        <v>43553</v>
      </c>
      <c r="B1069">
        <f>_xlfn.NUMBERVALUE("0.000000")</f>
        <v/>
      </c>
      <c r="C1069" s="2">
        <f>_xlfn.NUMBERVALUE("0.001260")</f>
        <v/>
      </c>
      <c r="D1069">
        <f>_xlfn.NUMBERVALUE("-0.000645")</f>
        <v/>
      </c>
      <c r="E1069">
        <f>_xlfn.NUMBERVALUE("0.002007")</f>
        <v/>
      </c>
      <c r="F1069">
        <f>_xlfn.NUMBERVALUE("0.001915")</f>
        <v/>
      </c>
      <c r="G1069">
        <f>_xlfn.NUMBERVALUE("-0.000329")</f>
        <v/>
      </c>
      <c r="H1069">
        <f>_xlfn.NUMBERVALUE("0.005730")</f>
        <v/>
      </c>
      <c r="I1069">
        <f>_xlfn.NUMBERVALUE("0.002869")</f>
        <v/>
      </c>
      <c r="J1069">
        <f>_xlfn.NUMBERVALUE("-0.000047")</f>
        <v/>
      </c>
      <c r="K1069">
        <f>_xlfn.NUMBERVALUE("0.000001")</f>
        <v/>
      </c>
      <c r="L1069">
        <f>_xlfn.NUMBERVALUE("0.000431")</f>
        <v/>
      </c>
      <c r="M1069">
        <f>_xlfn.NUMBERVALUE("0.000813")</f>
        <v/>
      </c>
      <c r="N1069">
        <f>_xlfn.NUMBERVALUE("0.003300")</f>
        <v/>
      </c>
      <c r="O1069">
        <f>_xlfn.NUMBERVALUE("0.002065")</f>
        <v/>
      </c>
      <c r="P1069">
        <f>_xlfn.NUMBERVALUE("0.000991")</f>
        <v/>
      </c>
      <c r="Q1069">
        <f>_xlfn.NUMBERVALUE("-0.000011")</f>
        <v/>
      </c>
      <c r="R1069">
        <f>_xlfn.NUMBERVALUE("0.001118")</f>
        <v/>
      </c>
      <c r="S1069">
        <f>_xlfn.NUMBERVALUE("0.001062")</f>
        <v/>
      </c>
      <c r="T1069">
        <f>_xlfn.NUMBERVALUE("0.001627")</f>
        <v/>
      </c>
      <c r="U1069">
        <f>_xlfn.NUMBERVALUE("0.001578")</f>
        <v/>
      </c>
      <c r="V1069">
        <f>_xlfn.NUMBERVALUE("0.000656")</f>
        <v/>
      </c>
      <c r="W1069">
        <f>_xlfn.NUMBERVALUE("0.006053")</f>
        <v/>
      </c>
      <c r="X1069">
        <f>_xlfn.NUMBERVALUE("-0.720000")</f>
        <v/>
      </c>
      <c r="Y1069">
        <f>_xlfn.NUMBERVALUE("13.710000")</f>
        <v/>
      </c>
    </row>
    <row r="1070">
      <c r="A1070" s="1" t="n">
        <v>43556</v>
      </c>
      <c r="B1070">
        <f>_xlfn.NUMBERVALUE("0.000000")</f>
        <v/>
      </c>
      <c r="C1070" s="2">
        <f>_xlfn.NUMBERVALUE("-0.002095")</f>
        <v/>
      </c>
      <c r="D1070">
        <f>_xlfn.NUMBERVALUE("-0.002444")</f>
        <v/>
      </c>
      <c r="E1070">
        <f>_xlfn.NUMBERVALUE("-0.003766")</f>
        <v/>
      </c>
      <c r="F1070">
        <f>_xlfn.NUMBERVALUE("0.000991")</f>
        <v/>
      </c>
      <c r="G1070">
        <f>_xlfn.NUMBERVALUE("0.000834")</f>
        <v/>
      </c>
      <c r="H1070">
        <f>_xlfn.NUMBERVALUE("-0.002102")</f>
        <v/>
      </c>
      <c r="I1070">
        <f>_xlfn.NUMBERVALUE("0.001391")</f>
        <v/>
      </c>
      <c r="J1070">
        <f>_xlfn.NUMBERVALUE("-0.001080")</f>
        <v/>
      </c>
      <c r="K1070">
        <f>_xlfn.NUMBERVALUE("0.003020")</f>
        <v/>
      </c>
      <c r="L1070">
        <f>_xlfn.NUMBERVALUE("-0.001974")</f>
        <v/>
      </c>
      <c r="M1070">
        <f>_xlfn.NUMBERVALUE("-0.003262")</f>
        <v/>
      </c>
      <c r="N1070">
        <f>_xlfn.NUMBERVALUE("-0.001726")</f>
        <v/>
      </c>
      <c r="O1070">
        <f>_xlfn.NUMBERVALUE("0.000294")</f>
        <v/>
      </c>
      <c r="P1070">
        <f>_xlfn.NUMBERVALUE("-0.007199")</f>
        <v/>
      </c>
      <c r="Q1070">
        <f>_xlfn.NUMBERVALUE("-0.004880")</f>
        <v/>
      </c>
      <c r="R1070">
        <f>_xlfn.NUMBERVALUE("0.000170")</f>
        <v/>
      </c>
      <c r="S1070">
        <f>_xlfn.NUMBERVALUE("0.000217")</f>
        <v/>
      </c>
      <c r="T1070">
        <f>_xlfn.NUMBERVALUE("-0.000049")</f>
        <v/>
      </c>
      <c r="U1070">
        <f>_xlfn.NUMBERVALUE("0.000187")</f>
        <v/>
      </c>
      <c r="V1070">
        <f>_xlfn.NUMBERVALUE("-0.000589")</f>
        <v/>
      </c>
      <c r="W1070">
        <f>_xlfn.NUMBERVALUE("0.011467")</f>
        <v/>
      </c>
      <c r="X1070">
        <f>_xlfn.NUMBERVALUE("-0.310000")</f>
        <v/>
      </c>
      <c r="Y1070">
        <f>_xlfn.NUMBERVALUE("13.400000")</f>
        <v/>
      </c>
    </row>
    <row r="1071">
      <c r="A1071" s="1" t="n">
        <v>43557</v>
      </c>
      <c r="B1071">
        <f>_xlfn.NUMBERVALUE("0.000000")</f>
        <v/>
      </c>
      <c r="C1071" s="2">
        <f>_xlfn.NUMBERVALUE("0.000908")</f>
        <v/>
      </c>
      <c r="D1071">
        <f>_xlfn.NUMBERVALUE("0.001973")</f>
        <v/>
      </c>
      <c r="E1071">
        <f>_xlfn.NUMBERVALUE("0.000790")</f>
        <v/>
      </c>
      <c r="F1071">
        <f>_xlfn.NUMBERVALUE("0.001583")</f>
        <v/>
      </c>
      <c r="G1071">
        <f>_xlfn.NUMBERVALUE("0.000391")</f>
        <v/>
      </c>
      <c r="H1071">
        <f>_xlfn.NUMBERVALUE("-0.000351")</f>
        <v/>
      </c>
      <c r="I1071">
        <f>_xlfn.NUMBERVALUE("0.002454")</f>
        <v/>
      </c>
      <c r="J1071">
        <f>_xlfn.NUMBERVALUE("0.000041")</f>
        <v/>
      </c>
      <c r="K1071">
        <f>_xlfn.NUMBERVALUE("0.001163")</f>
        <v/>
      </c>
      <c r="L1071">
        <f>_xlfn.NUMBERVALUE("0.000034")</f>
        <v/>
      </c>
      <c r="M1071">
        <f>_xlfn.NUMBERVALUE("0.001352")</f>
        <v/>
      </c>
      <c r="N1071">
        <f>_xlfn.NUMBERVALUE("0.001585")</f>
        <v/>
      </c>
      <c r="O1071">
        <f>_xlfn.NUMBERVALUE("0.000723")</f>
        <v/>
      </c>
      <c r="P1071">
        <f>_xlfn.NUMBERVALUE("0.001144")</f>
        <v/>
      </c>
      <c r="Q1071">
        <f>_xlfn.NUMBERVALUE("0.000675")</f>
        <v/>
      </c>
      <c r="R1071">
        <f>_xlfn.NUMBERVALUE("0.000312")</f>
        <v/>
      </c>
      <c r="S1071">
        <f>_xlfn.NUMBERVALUE("0.000795")</f>
        <v/>
      </c>
      <c r="T1071">
        <f>_xlfn.NUMBERVALUE("0.003005")</f>
        <v/>
      </c>
      <c r="U1071">
        <f>_xlfn.NUMBERVALUE("0.000773")</f>
        <v/>
      </c>
      <c r="V1071">
        <f>_xlfn.NUMBERVALUE("0.000107")</f>
        <v/>
      </c>
      <c r="W1071">
        <f>_xlfn.NUMBERVALUE("0.001260")</f>
        <v/>
      </c>
      <c r="X1071">
        <f>_xlfn.NUMBERVALUE("-0.040000")</f>
        <v/>
      </c>
      <c r="Y1071">
        <f>_xlfn.NUMBERVALUE("13.360000")</f>
        <v/>
      </c>
    </row>
    <row r="1072">
      <c r="A1072" s="1" t="n">
        <v>43558</v>
      </c>
      <c r="B1072">
        <f>_xlfn.NUMBERVALUE("0.000000")</f>
        <v/>
      </c>
      <c r="C1072" s="2">
        <f>_xlfn.NUMBERVALUE("0.000322")</f>
        <v/>
      </c>
      <c r="D1072">
        <f>_xlfn.NUMBERVALUE("-0.000356")</f>
        <v/>
      </c>
      <c r="E1072">
        <f>_xlfn.NUMBERVALUE("-0.000273")</f>
        <v/>
      </c>
      <c r="F1072">
        <f>_xlfn.NUMBERVALUE("0.001676")</f>
        <v/>
      </c>
      <c r="G1072">
        <f>_xlfn.NUMBERVALUE("-0.000166")</f>
        <v/>
      </c>
      <c r="H1072">
        <f>_xlfn.NUMBERVALUE("-0.002192")</f>
        <v/>
      </c>
      <c r="I1072">
        <f>_xlfn.NUMBERVALUE("0.000723")</f>
        <v/>
      </c>
      <c r="J1072">
        <f>_xlfn.NUMBERVALUE("0.000182")</f>
        <v/>
      </c>
      <c r="K1072">
        <f>_xlfn.NUMBERVALUE("0.000561")</f>
        <v/>
      </c>
      <c r="L1072">
        <f>_xlfn.NUMBERVALUE("0.000147")</f>
        <v/>
      </c>
      <c r="M1072">
        <f>_xlfn.NUMBERVALUE("-0.002672")</f>
        <v/>
      </c>
      <c r="N1072">
        <f>_xlfn.NUMBERVALUE("-0.000093")</f>
        <v/>
      </c>
      <c r="O1072">
        <f>_xlfn.NUMBERVALUE("0.000650")</f>
        <v/>
      </c>
      <c r="P1072">
        <f>_xlfn.NUMBERVALUE("0.000271")</f>
        <v/>
      </c>
      <c r="Q1072">
        <f>_xlfn.NUMBERVALUE("-0.000168")</f>
        <v/>
      </c>
      <c r="R1072">
        <f>_xlfn.NUMBERVALUE("0.000109")</f>
        <v/>
      </c>
      <c r="S1072">
        <f>_xlfn.NUMBERVALUE("0.001432")</f>
        <v/>
      </c>
      <c r="T1072">
        <f>_xlfn.NUMBERVALUE("0.001000")</f>
        <v/>
      </c>
      <c r="U1072">
        <f>_xlfn.NUMBERVALUE("0.000010")</f>
        <v/>
      </c>
      <c r="V1072">
        <f>_xlfn.NUMBERVALUE("0.000023")</f>
        <v/>
      </c>
      <c r="W1072">
        <f>_xlfn.NUMBERVALUE("0.001083")</f>
        <v/>
      </c>
      <c r="X1072">
        <f>_xlfn.NUMBERVALUE("0.380000")</f>
        <v/>
      </c>
      <c r="Y1072">
        <f>_xlfn.NUMBERVALUE("13.740000")</f>
        <v/>
      </c>
    </row>
    <row r="1073">
      <c r="A1073" s="1" t="n">
        <v>43559</v>
      </c>
      <c r="B1073">
        <f>_xlfn.NUMBERVALUE("0.000000")</f>
        <v/>
      </c>
      <c r="C1073" s="2">
        <f>_xlfn.NUMBERVALUE("-0.000023")</f>
        <v/>
      </c>
      <c r="D1073">
        <f>_xlfn.NUMBERVALUE("-0.000013")</f>
        <v/>
      </c>
      <c r="E1073">
        <f>_xlfn.NUMBERVALUE("0.000021")</f>
        <v/>
      </c>
      <c r="F1073">
        <f>_xlfn.NUMBERVALUE("0.003045")</f>
        <v/>
      </c>
      <c r="G1073">
        <f>_xlfn.NUMBERVALUE("-0.000005")</f>
        <v/>
      </c>
      <c r="H1073">
        <f>_xlfn.NUMBERVALUE("0.002464")</f>
        <v/>
      </c>
      <c r="I1073">
        <f>_xlfn.NUMBERVALUE("0.000562")</f>
        <v/>
      </c>
      <c r="J1073">
        <f>_xlfn.NUMBERVALUE("-0.000018")</f>
        <v/>
      </c>
      <c r="K1073">
        <f>_xlfn.NUMBERVALUE("0.000129")</f>
        <v/>
      </c>
      <c r="L1073">
        <f>_xlfn.NUMBERVALUE("0.000009")</f>
        <v/>
      </c>
      <c r="M1073">
        <f>_xlfn.NUMBERVALUE("0.000142")</f>
        <v/>
      </c>
      <c r="N1073">
        <f>_xlfn.NUMBERVALUE("-0.000005")</f>
        <v/>
      </c>
      <c r="O1073">
        <f>_xlfn.NUMBERVALUE("0.000314")</f>
        <v/>
      </c>
      <c r="P1073">
        <f>_xlfn.NUMBERVALUE("0.000044")</f>
        <v/>
      </c>
      <c r="Q1073">
        <f>_xlfn.NUMBERVALUE("0.000839")</f>
        <v/>
      </c>
      <c r="R1073">
        <f>_xlfn.NUMBERVALUE("-0.000002")</f>
        <v/>
      </c>
      <c r="S1073">
        <f>_xlfn.NUMBERVALUE("0.000118")</f>
        <v/>
      </c>
      <c r="T1073">
        <f>_xlfn.NUMBERVALUE("0.000547")</f>
        <v/>
      </c>
      <c r="U1073">
        <f>_xlfn.NUMBERVALUE("0.000062")</f>
        <v/>
      </c>
      <c r="V1073">
        <f>_xlfn.NUMBERVALUE("0.000058")</f>
        <v/>
      </c>
      <c r="W1073">
        <f>_xlfn.NUMBERVALUE("0.000960")</f>
        <v/>
      </c>
      <c r="X1073">
        <f>_xlfn.NUMBERVALUE("-0.160000")</f>
        <v/>
      </c>
      <c r="Y1073">
        <f>_xlfn.NUMBERVALUE("13.580000")</f>
        <v/>
      </c>
    </row>
    <row r="1074">
      <c r="A1074" s="1" t="n">
        <v>43560</v>
      </c>
      <c r="B1074">
        <f>_xlfn.NUMBERVALUE("0.000000")</f>
        <v/>
      </c>
      <c r="C1074" s="2">
        <f>_xlfn.NUMBERVALUE("0.001395")</f>
        <v/>
      </c>
      <c r="D1074">
        <f>_xlfn.NUMBERVALUE("0.001247")</f>
        <v/>
      </c>
      <c r="E1074">
        <f>_xlfn.NUMBERVALUE("0.001277")</f>
        <v/>
      </c>
      <c r="F1074">
        <f>_xlfn.NUMBERVALUE("0.000901")</f>
        <v/>
      </c>
      <c r="G1074">
        <f>_xlfn.NUMBERVALUE("-0.000178")</f>
        <v/>
      </c>
      <c r="H1074">
        <f>_xlfn.NUMBERVALUE("0.000902")</f>
        <v/>
      </c>
      <c r="I1074">
        <f>_xlfn.NUMBERVALUE("0.000224")</f>
        <v/>
      </c>
      <c r="J1074">
        <f>_xlfn.NUMBERVALUE("-0.000719")</f>
        <v/>
      </c>
      <c r="K1074">
        <f>_xlfn.NUMBERVALUE("0.000408")</f>
        <v/>
      </c>
      <c r="L1074">
        <f>_xlfn.NUMBERVALUE("-0.000002")</f>
        <v/>
      </c>
      <c r="M1074">
        <f>_xlfn.NUMBERVALUE("0.000076")</f>
        <v/>
      </c>
      <c r="N1074">
        <f>_xlfn.NUMBERVALUE("0.002630")</f>
        <v/>
      </c>
      <c r="O1074">
        <f>_xlfn.NUMBERVALUE("-0.001351")</f>
        <v/>
      </c>
      <c r="P1074">
        <f>_xlfn.NUMBERVALUE("0.001765")</f>
        <v/>
      </c>
      <c r="Q1074">
        <f>_xlfn.NUMBERVALUE("0.000283")</f>
        <v/>
      </c>
      <c r="R1074">
        <f>_xlfn.NUMBERVALUE("-0.000057")</f>
        <v/>
      </c>
      <c r="S1074">
        <f>_xlfn.NUMBERVALUE("0.000485")</f>
        <v/>
      </c>
      <c r="T1074">
        <f>_xlfn.NUMBERVALUE("-0.000004")</f>
        <v/>
      </c>
      <c r="U1074">
        <f>_xlfn.NUMBERVALUE("-0.000081")</f>
        <v/>
      </c>
      <c r="V1074">
        <f>_xlfn.NUMBERVALUE("0.000888")</f>
        <v/>
      </c>
      <c r="W1074">
        <f>_xlfn.NUMBERVALUE("0.004913")</f>
        <v/>
      </c>
      <c r="X1074">
        <f>_xlfn.NUMBERVALUE("-0.760000")</f>
        <v/>
      </c>
      <c r="Y1074">
        <f>_xlfn.NUMBERVALUE("12.820000")</f>
        <v/>
      </c>
    </row>
    <row r="1075">
      <c r="A1075" s="1" t="n">
        <v>43563</v>
      </c>
      <c r="B1075">
        <f>_xlfn.NUMBERVALUE("0.000000")</f>
        <v/>
      </c>
      <c r="C1075" s="2">
        <f>_xlfn.NUMBERVALUE("0.000681")</f>
        <v/>
      </c>
      <c r="D1075">
        <f>_xlfn.NUMBERVALUE("0.001626")</f>
        <v/>
      </c>
      <c r="E1075">
        <f>_xlfn.NUMBERVALUE("0.000601")</f>
        <v/>
      </c>
      <c r="F1075">
        <f>_xlfn.NUMBERVALUE("0.000749")</f>
        <v/>
      </c>
      <c r="G1075">
        <f>_xlfn.NUMBERVALUE("0.000653")</f>
        <v/>
      </c>
      <c r="H1075">
        <f>_xlfn.NUMBERVALUE("0.001849")</f>
        <v/>
      </c>
      <c r="I1075">
        <f>_xlfn.NUMBERVALUE("0.001119")</f>
        <v/>
      </c>
      <c r="J1075">
        <f>_xlfn.NUMBERVALUE("0.000524")</f>
        <v/>
      </c>
      <c r="K1075">
        <f>_xlfn.NUMBERVALUE("-0.001097")</f>
        <v/>
      </c>
      <c r="L1075">
        <f>_xlfn.NUMBERVALUE("0.000203")</f>
        <v/>
      </c>
      <c r="M1075">
        <f>_xlfn.NUMBERVALUE("0.000258")</f>
        <v/>
      </c>
      <c r="N1075">
        <f>_xlfn.NUMBERVALUE("0.000696")</f>
        <v/>
      </c>
      <c r="O1075">
        <f>_xlfn.NUMBERVALUE("0.000134")</f>
        <v/>
      </c>
      <c r="P1075">
        <f>_xlfn.NUMBERVALUE("0.002406")</f>
        <v/>
      </c>
      <c r="Q1075">
        <f>_xlfn.NUMBERVALUE("0.000622")</f>
        <v/>
      </c>
      <c r="R1075">
        <f>_xlfn.NUMBERVALUE("0.000173")</f>
        <v/>
      </c>
      <c r="S1075">
        <f>_xlfn.NUMBERVALUE("0.000167")</f>
        <v/>
      </c>
      <c r="T1075">
        <f>_xlfn.NUMBERVALUE("0.002565")</f>
        <v/>
      </c>
      <c r="U1075">
        <f>_xlfn.NUMBERVALUE("0.000151")</f>
        <v/>
      </c>
      <c r="V1075">
        <f>_xlfn.NUMBERVALUE("0.000724")</f>
        <v/>
      </c>
      <c r="W1075">
        <f>_xlfn.NUMBERVALUE("0.000971")</f>
        <v/>
      </c>
      <c r="X1075">
        <f>_xlfn.NUMBERVALUE("0.360000")</f>
        <v/>
      </c>
      <c r="Y1075">
        <f>_xlfn.NUMBERVALUE("13.180000")</f>
        <v/>
      </c>
    </row>
    <row r="1076">
      <c r="A1076" s="1" t="n">
        <v>43564</v>
      </c>
      <c r="B1076">
        <f>_xlfn.NUMBERVALUE("0.000000")</f>
        <v/>
      </c>
      <c r="C1076" s="2">
        <f>_xlfn.NUMBERVALUE("-0.000499")</f>
        <v/>
      </c>
      <c r="D1076">
        <f>_xlfn.NUMBERVALUE("0.000509")</f>
        <v/>
      </c>
      <c r="E1076">
        <f>_xlfn.NUMBERVALUE("0.000306")</f>
        <v/>
      </c>
      <c r="F1076">
        <f>_xlfn.NUMBERVALUE("0.000391")</f>
        <v/>
      </c>
      <c r="G1076">
        <f>_xlfn.NUMBERVALUE("-0.000105")</f>
        <v/>
      </c>
      <c r="H1076">
        <f>_xlfn.NUMBERVALUE("-0.000111")</f>
        <v/>
      </c>
      <c r="I1076">
        <f>_xlfn.NUMBERVALUE("-0.000389")</f>
        <v/>
      </c>
      <c r="J1076">
        <f>_xlfn.NUMBERVALUE("0.000088")</f>
        <v/>
      </c>
      <c r="K1076">
        <f>_xlfn.NUMBERVALUE("0.001119")</f>
        <v/>
      </c>
      <c r="L1076">
        <f>_xlfn.NUMBERVALUE("0.000237")</f>
        <v/>
      </c>
      <c r="M1076">
        <f>_xlfn.NUMBERVALUE("0.000058")</f>
        <v/>
      </c>
      <c r="N1076">
        <f>_xlfn.NUMBERVALUE("0.000118")</f>
        <v/>
      </c>
      <c r="O1076">
        <f>_xlfn.NUMBERVALUE("0.000022")</f>
        <v/>
      </c>
      <c r="P1076">
        <f>_xlfn.NUMBERVALUE("0.000400")</f>
        <v/>
      </c>
      <c r="Q1076">
        <f>_xlfn.NUMBERVALUE("0.000025")</f>
        <v/>
      </c>
      <c r="R1076">
        <f>_xlfn.NUMBERVALUE("0.000072")</f>
        <v/>
      </c>
      <c r="S1076">
        <f>_xlfn.NUMBERVALUE("0.000005")</f>
        <v/>
      </c>
      <c r="T1076">
        <f>_xlfn.NUMBERVALUE("0.001679")</f>
        <v/>
      </c>
      <c r="U1076">
        <f>_xlfn.NUMBERVALUE("0.000083")</f>
        <v/>
      </c>
      <c r="V1076">
        <f>_xlfn.NUMBERVALUE("-0.000672")</f>
        <v/>
      </c>
      <c r="W1076">
        <f>_xlfn.NUMBERVALUE("-0.005057")</f>
        <v/>
      </c>
      <c r="X1076">
        <f>_xlfn.NUMBERVALUE("1.100000")</f>
        <v/>
      </c>
      <c r="Y1076">
        <f>_xlfn.NUMBERVALUE("14.280000")</f>
        <v/>
      </c>
    </row>
    <row r="1077">
      <c r="A1077" s="1" t="n">
        <v>43565</v>
      </c>
      <c r="B1077">
        <f>_xlfn.NUMBERVALUE("0.000000")</f>
        <v/>
      </c>
      <c r="C1077" s="2">
        <f>_xlfn.NUMBERVALUE("0.001921")</f>
        <v/>
      </c>
      <c r="D1077">
        <f>_xlfn.NUMBERVALUE("0.000295")</f>
        <v/>
      </c>
      <c r="E1077">
        <f>_xlfn.NUMBERVALUE("0.001225")</f>
        <v/>
      </c>
      <c r="F1077">
        <f>_xlfn.NUMBERVALUE("0.000302")</f>
        <v/>
      </c>
      <c r="G1077">
        <f>_xlfn.NUMBERVALUE("0.000118")</f>
        <v/>
      </c>
      <c r="H1077">
        <f>_xlfn.NUMBERVALUE("-0.001853")</f>
        <v/>
      </c>
      <c r="I1077">
        <f>_xlfn.NUMBERVALUE("-0.000869")</f>
        <v/>
      </c>
      <c r="J1077">
        <f>_xlfn.NUMBERVALUE("-0.000939")</f>
        <v/>
      </c>
      <c r="K1077">
        <f>_xlfn.NUMBERVALUE("0.002381")</f>
        <v/>
      </c>
      <c r="L1077">
        <f>_xlfn.NUMBERVALUE("0.000706")</f>
        <v/>
      </c>
      <c r="M1077">
        <f>_xlfn.NUMBERVALUE("0.001728")</f>
        <v/>
      </c>
      <c r="N1077">
        <f>_xlfn.NUMBERVALUE("-0.000803")</f>
        <v/>
      </c>
      <c r="O1077">
        <f>_xlfn.NUMBERVALUE("0.001002")</f>
        <v/>
      </c>
      <c r="P1077">
        <f>_xlfn.NUMBERVALUE("0.001010")</f>
        <v/>
      </c>
      <c r="Q1077">
        <f>_xlfn.NUMBERVALUE("0.001534")</f>
        <v/>
      </c>
      <c r="R1077">
        <f>_xlfn.NUMBERVALUE("0.000993")</f>
        <v/>
      </c>
      <c r="S1077">
        <f>_xlfn.NUMBERVALUE("0.000290")</f>
        <v/>
      </c>
      <c r="T1077">
        <f>_xlfn.NUMBERVALUE("0.000903")</f>
        <v/>
      </c>
      <c r="U1077">
        <f>_xlfn.NUMBERVALUE("0.000580")</f>
        <v/>
      </c>
      <c r="V1077">
        <f>_xlfn.NUMBERVALUE("0.001292")</f>
        <v/>
      </c>
      <c r="W1077">
        <f>_xlfn.NUMBERVALUE("0.003133")</f>
        <v/>
      </c>
      <c r="X1077">
        <f>_xlfn.NUMBERVALUE("-0.980000")</f>
        <v/>
      </c>
      <c r="Y1077">
        <f>_xlfn.NUMBERVALUE("13.300000")</f>
        <v/>
      </c>
    </row>
    <row r="1078">
      <c r="A1078" s="1" t="n">
        <v>43566</v>
      </c>
      <c r="B1078">
        <f>_xlfn.NUMBERVALUE("0.000000")</f>
        <v/>
      </c>
      <c r="C1078" s="2">
        <f>_xlfn.NUMBERVALUE("0.000926")</f>
        <v/>
      </c>
      <c r="D1078">
        <f>_xlfn.NUMBERVALUE("-0.000461")</f>
        <v/>
      </c>
      <c r="E1078">
        <f>_xlfn.NUMBERVALUE("0.001321")</f>
        <v/>
      </c>
      <c r="F1078">
        <f>_xlfn.NUMBERVALUE("-0.003009")</f>
        <v/>
      </c>
      <c r="G1078">
        <f>_xlfn.NUMBERVALUE("-0.000166")</f>
        <v/>
      </c>
      <c r="H1078">
        <f>_xlfn.NUMBERVALUE("0.002040")</f>
        <v/>
      </c>
      <c r="I1078">
        <f>_xlfn.NUMBERVALUE("0.000753")</f>
        <v/>
      </c>
      <c r="J1078">
        <f>_xlfn.NUMBERVALUE("0.000989")</f>
        <v/>
      </c>
      <c r="K1078">
        <f>_xlfn.NUMBERVALUE("-0.004326")</f>
        <v/>
      </c>
      <c r="L1078">
        <f>_xlfn.NUMBERVALUE("0.000056")</f>
        <v/>
      </c>
      <c r="M1078">
        <f>_xlfn.NUMBERVALUE("0.001251")</f>
        <v/>
      </c>
      <c r="N1078">
        <f>_xlfn.NUMBERVALUE("0.000561")</f>
        <v/>
      </c>
      <c r="O1078">
        <f>_xlfn.NUMBERVALUE("0.000254")</f>
        <v/>
      </c>
      <c r="P1078">
        <f>_xlfn.NUMBERVALUE("-0.002380")</f>
        <v/>
      </c>
      <c r="Q1078">
        <f>_xlfn.NUMBERVALUE("-0.000086")</f>
        <v/>
      </c>
      <c r="R1078">
        <f>_xlfn.NUMBERVALUE("0.001363")</f>
        <v/>
      </c>
      <c r="S1078">
        <f>_xlfn.NUMBERVALUE("0.000840")</f>
        <v/>
      </c>
      <c r="T1078">
        <f>_xlfn.NUMBERVALUE("-0.000353")</f>
        <v/>
      </c>
      <c r="U1078">
        <f>_xlfn.NUMBERVALUE("0.000901")</f>
        <v/>
      </c>
      <c r="V1078">
        <f>_xlfn.NUMBERVALUE("0.000913")</f>
        <v/>
      </c>
      <c r="W1078">
        <f>_xlfn.NUMBERVALUE("-0.000208")</f>
        <v/>
      </c>
      <c r="X1078">
        <f>_xlfn.NUMBERVALUE("-0.280000")</f>
        <v/>
      </c>
      <c r="Y1078">
        <f>_xlfn.NUMBERVALUE("13.020000")</f>
        <v/>
      </c>
    </row>
    <row r="1079">
      <c r="A1079" s="1" t="n">
        <v>43567</v>
      </c>
      <c r="B1079">
        <f>_xlfn.NUMBERVALUE("0.000000")</f>
        <v/>
      </c>
      <c r="C1079" s="2">
        <f>_xlfn.NUMBERVALUE("-0.000399")</f>
        <v/>
      </c>
      <c r="D1079">
        <f>_xlfn.NUMBERVALUE("0.000611")</f>
        <v/>
      </c>
      <c r="E1079">
        <f>_xlfn.NUMBERVALUE("0.000109")</f>
        <v/>
      </c>
      <c r="F1079">
        <f>_xlfn.NUMBERVALUE("0.000868")</f>
        <v/>
      </c>
      <c r="G1079">
        <f>_xlfn.NUMBERVALUE("0.000235")</f>
        <v/>
      </c>
      <c r="H1079">
        <f>_xlfn.NUMBERVALUE("-0.000055")</f>
        <v/>
      </c>
      <c r="I1079">
        <f>_xlfn.NUMBERVALUE("0.002028")</f>
        <v/>
      </c>
      <c r="J1079">
        <f>_xlfn.NUMBERVALUE("-0.000896")</f>
        <v/>
      </c>
      <c r="K1079">
        <f>_xlfn.NUMBERVALUE("0.002017")</f>
        <v/>
      </c>
      <c r="L1079">
        <f>_xlfn.NUMBERVALUE("-0.000337")</f>
        <v/>
      </c>
      <c r="M1079">
        <f>_xlfn.NUMBERVALUE("-0.001004")</f>
        <v/>
      </c>
      <c r="N1079">
        <f>_xlfn.NUMBERVALUE("-0.000196")</f>
        <v/>
      </c>
      <c r="O1079">
        <f>_xlfn.NUMBERVALUE("0.001040")</f>
        <v/>
      </c>
      <c r="P1079">
        <f>_xlfn.NUMBERVALUE("-0.003249")</f>
        <v/>
      </c>
      <c r="Q1079">
        <f>_xlfn.NUMBERVALUE("-0.001626")</f>
        <v/>
      </c>
      <c r="R1079">
        <f>_xlfn.NUMBERVALUE("0.000808")</f>
        <v/>
      </c>
      <c r="S1079">
        <f>_xlfn.NUMBERVALUE("0.000291")</f>
        <v/>
      </c>
      <c r="T1079">
        <f>_xlfn.NUMBERVALUE("0.000309")</f>
        <v/>
      </c>
      <c r="U1079">
        <f>_xlfn.NUMBERVALUE("0.001254")</f>
        <v/>
      </c>
      <c r="V1079">
        <f>_xlfn.NUMBERVALUE("0.000118")</f>
        <v/>
      </c>
      <c r="W1079">
        <f>_xlfn.NUMBERVALUE("0.006630")</f>
        <v/>
      </c>
      <c r="X1079">
        <f>_xlfn.NUMBERVALUE("-1.010000")</f>
        <v/>
      </c>
      <c r="Y1079">
        <f>_xlfn.NUMBERVALUE("12.010000")</f>
        <v/>
      </c>
    </row>
    <row r="1080">
      <c r="A1080" s="1" t="n">
        <v>43570</v>
      </c>
      <c r="B1080">
        <f>_xlfn.NUMBERVALUE("0.000000")</f>
        <v/>
      </c>
      <c r="C1080" s="2">
        <f>_xlfn.NUMBERVALUE("0.001849")</f>
        <v/>
      </c>
      <c r="D1080">
        <f>_xlfn.NUMBERVALUE("0.002010")</f>
        <v/>
      </c>
      <c r="E1080">
        <f>_xlfn.NUMBERVALUE("0.001134")</f>
        <v/>
      </c>
      <c r="F1080">
        <f>_xlfn.NUMBERVALUE("0.000170")</f>
        <v/>
      </c>
      <c r="G1080">
        <f>_xlfn.NUMBERVALUE("0.000242")</f>
        <v/>
      </c>
      <c r="H1080">
        <f>_xlfn.NUMBERVALUE("-0.001080")</f>
        <v/>
      </c>
      <c r="I1080">
        <f>_xlfn.NUMBERVALUE("0.001231")</f>
        <v/>
      </c>
      <c r="J1080">
        <f>_xlfn.NUMBERVALUE("0.000814")</f>
        <v/>
      </c>
      <c r="K1080">
        <f>_xlfn.NUMBERVALUE("0.001481")</f>
        <v/>
      </c>
      <c r="L1080">
        <f>_xlfn.NUMBERVALUE("0.000448")</f>
        <v/>
      </c>
      <c r="M1080">
        <f>_xlfn.NUMBERVALUE("0.001930")</f>
        <v/>
      </c>
      <c r="N1080">
        <f>_xlfn.NUMBERVALUE("0.000164")</f>
        <v/>
      </c>
      <c r="O1080">
        <f>_xlfn.NUMBERVALUE("0.001841")</f>
        <v/>
      </c>
      <c r="P1080">
        <f>_xlfn.NUMBERVALUE("0.002000")</f>
        <v/>
      </c>
      <c r="Q1080">
        <f>_xlfn.NUMBERVALUE("0.001621")</f>
        <v/>
      </c>
      <c r="R1080">
        <f>_xlfn.NUMBERVALUE("0.000937")</f>
        <v/>
      </c>
      <c r="S1080">
        <f>_xlfn.NUMBERVALUE("-0.000564")</f>
        <v/>
      </c>
      <c r="T1080">
        <f>_xlfn.NUMBERVALUE("0.001334")</f>
        <v/>
      </c>
      <c r="U1080">
        <f>_xlfn.NUMBERVALUE("0.000505")</f>
        <v/>
      </c>
      <c r="V1080">
        <f>_xlfn.NUMBERVALUE("0.001016")</f>
        <v/>
      </c>
      <c r="W1080">
        <f>_xlfn.NUMBERVALUE("-0.000586")</f>
        <v/>
      </c>
      <c r="X1080">
        <f>_xlfn.NUMBERVALUE("0.310000")</f>
        <v/>
      </c>
      <c r="Y1080">
        <f>_xlfn.NUMBERVALUE("12.320000")</f>
        <v/>
      </c>
    </row>
    <row r="1081">
      <c r="A1081" s="1" t="n">
        <v>43571</v>
      </c>
      <c r="B1081">
        <f>_xlfn.NUMBERVALUE("0.000000")</f>
        <v/>
      </c>
      <c r="C1081" s="2">
        <f>_xlfn.NUMBERVALUE("0.000229")</f>
        <v/>
      </c>
      <c r="D1081">
        <f>_xlfn.NUMBERVALUE("0.000042")</f>
        <v/>
      </c>
      <c r="E1081">
        <f>_xlfn.NUMBERVALUE("0.000394")</f>
        <v/>
      </c>
      <c r="F1081">
        <f>_xlfn.NUMBERVALUE("-0.001749")</f>
        <v/>
      </c>
      <c r="G1081">
        <f>_xlfn.NUMBERVALUE("-0.000351")</f>
        <v/>
      </c>
      <c r="H1081">
        <f>_xlfn.NUMBERVALUE("0.000473")</f>
        <v/>
      </c>
      <c r="I1081">
        <f>_xlfn.NUMBERVALUE("0.001009")</f>
        <v/>
      </c>
      <c r="J1081">
        <f>_xlfn.NUMBERVALUE("0.000523")</f>
        <v/>
      </c>
      <c r="K1081">
        <f>_xlfn.NUMBERVALUE("0.000628")</f>
        <v/>
      </c>
      <c r="L1081">
        <f>_xlfn.NUMBERVALUE("-0.000742")</f>
        <v/>
      </c>
      <c r="M1081">
        <f>_xlfn.NUMBERVALUE("-0.000106")</f>
        <v/>
      </c>
      <c r="N1081">
        <f>_xlfn.NUMBERVALUE("-0.000009")</f>
        <v/>
      </c>
      <c r="O1081">
        <f>_xlfn.NUMBERVALUE("0.002177")</f>
        <v/>
      </c>
      <c r="P1081">
        <f>_xlfn.NUMBERVALUE("-0.000604")</f>
        <v/>
      </c>
      <c r="Q1081">
        <f>_xlfn.NUMBERVALUE("0.000478")</f>
        <v/>
      </c>
      <c r="R1081">
        <f>_xlfn.NUMBERVALUE("0.000195")</f>
        <v/>
      </c>
      <c r="S1081">
        <f>_xlfn.NUMBERVALUE("0.000682")</f>
        <v/>
      </c>
      <c r="T1081">
        <f>_xlfn.NUMBERVALUE("-0.001374")</f>
        <v/>
      </c>
      <c r="U1081">
        <f>_xlfn.NUMBERVALUE("-0.000088")</f>
        <v/>
      </c>
      <c r="V1081">
        <f>_xlfn.NUMBERVALUE("0.000439")</f>
        <v/>
      </c>
      <c r="W1081">
        <f>_xlfn.NUMBERVALUE("0.000380")</f>
        <v/>
      </c>
      <c r="X1081">
        <f>_xlfn.NUMBERVALUE("-0.140000")</f>
        <v/>
      </c>
      <c r="Y1081">
        <f>_xlfn.NUMBERVALUE("12.180000")</f>
        <v/>
      </c>
    </row>
    <row r="1082">
      <c r="A1082" s="1" t="n">
        <v>43572</v>
      </c>
      <c r="B1082">
        <f>_xlfn.NUMBERVALUE("0.000000")</f>
        <v/>
      </c>
      <c r="C1082" s="2">
        <f>_xlfn.NUMBERVALUE("0.000448")</f>
        <v/>
      </c>
      <c r="D1082">
        <f>_xlfn.NUMBERVALUE("0.001171")</f>
        <v/>
      </c>
      <c r="E1082">
        <f>_xlfn.NUMBERVALUE("0.000419")</f>
        <v/>
      </c>
      <c r="F1082">
        <f>_xlfn.NUMBERVALUE("0.000698")</f>
        <v/>
      </c>
      <c r="G1082">
        <f>_xlfn.NUMBERVALUE("0.001520")</f>
        <v/>
      </c>
      <c r="H1082">
        <f>_xlfn.NUMBERVALUE("0.000010")</f>
        <v/>
      </c>
      <c r="I1082">
        <f>_xlfn.NUMBERVALUE("0.000071")</f>
        <v/>
      </c>
      <c r="J1082">
        <f>_xlfn.NUMBERVALUE("-0.000034")</f>
        <v/>
      </c>
      <c r="K1082">
        <f>_xlfn.NUMBERVALUE("0.000231")</f>
        <v/>
      </c>
      <c r="L1082">
        <f>_xlfn.NUMBERVALUE("0.000142")</f>
        <v/>
      </c>
      <c r="M1082">
        <f>_xlfn.NUMBERVALUE("0.000497")</f>
        <v/>
      </c>
      <c r="N1082">
        <f>_xlfn.NUMBERVALUE("0.001026")</f>
        <v/>
      </c>
      <c r="O1082">
        <f>_xlfn.NUMBERVALUE("0.000555")</f>
        <v/>
      </c>
      <c r="P1082">
        <f>_xlfn.NUMBERVALUE("0.000691")</f>
        <v/>
      </c>
      <c r="Q1082">
        <f>_xlfn.NUMBERVALUE("0.000710")</f>
        <v/>
      </c>
      <c r="R1082">
        <f>_xlfn.NUMBERVALUE("-0.000550")</f>
        <v/>
      </c>
      <c r="S1082">
        <f>_xlfn.NUMBERVALUE("-0.001128")</f>
        <v/>
      </c>
      <c r="T1082">
        <f>_xlfn.NUMBERVALUE("0.000668")</f>
        <v/>
      </c>
      <c r="U1082">
        <f>_xlfn.NUMBERVALUE("0.000062")</f>
        <v/>
      </c>
      <c r="V1082">
        <f>_xlfn.NUMBERVALUE("0.000479")</f>
        <v/>
      </c>
      <c r="W1082">
        <f>_xlfn.NUMBERVALUE("-0.000793")</f>
        <v/>
      </c>
      <c r="X1082">
        <f>_xlfn.NUMBERVALUE("0.420000")</f>
        <v/>
      </c>
      <c r="Y1082">
        <f>_xlfn.NUMBERVALUE("12.600000")</f>
        <v/>
      </c>
    </row>
    <row r="1083">
      <c r="A1083" s="1" t="n">
        <v>43573</v>
      </c>
      <c r="B1083">
        <f>_xlfn.NUMBERVALUE("0.000000")</f>
        <v/>
      </c>
      <c r="C1083" s="2">
        <f>_xlfn.NUMBERVALUE("0.000472")</f>
        <v/>
      </c>
      <c r="D1083">
        <f>_xlfn.NUMBERVALUE("0.001128")</f>
        <v/>
      </c>
      <c r="E1083">
        <f>_xlfn.NUMBERVALUE("0.000938")</f>
        <v/>
      </c>
      <c r="F1083">
        <f>_xlfn.NUMBERVALUE("0.000844")</f>
        <v/>
      </c>
      <c r="G1083">
        <f>_xlfn.NUMBERVALUE("0.000839")</f>
        <v/>
      </c>
      <c r="H1083">
        <f>_xlfn.NUMBERVALUE("-0.001926")</f>
        <v/>
      </c>
      <c r="I1083">
        <f>_xlfn.NUMBERVALUE("0.001651")</f>
        <v/>
      </c>
      <c r="J1083">
        <f>_xlfn.NUMBERVALUE("0.000641")</f>
        <v/>
      </c>
      <c r="K1083">
        <f>_xlfn.NUMBERVALUE("0.000993")</f>
        <v/>
      </c>
      <c r="L1083">
        <f>_xlfn.NUMBERVALUE("0.000876")</f>
        <v/>
      </c>
      <c r="M1083">
        <f>_xlfn.NUMBERVALUE("0.001418")</f>
        <v/>
      </c>
      <c r="N1083">
        <f>_xlfn.NUMBERVALUE("0.001784")</f>
        <v/>
      </c>
      <c r="O1083">
        <f>_xlfn.NUMBERVALUE("0.002424")</f>
        <v/>
      </c>
      <c r="P1083">
        <f>_xlfn.NUMBERVALUE("0.001463")</f>
        <v/>
      </c>
      <c r="Q1083">
        <f>_xlfn.NUMBERVALUE("-0.000759")</f>
        <v/>
      </c>
      <c r="R1083">
        <f>_xlfn.NUMBERVALUE("0.001464")</f>
        <v/>
      </c>
      <c r="S1083">
        <f>_xlfn.NUMBERVALUE("0.000198")</f>
        <v/>
      </c>
      <c r="T1083">
        <f>_xlfn.NUMBERVALUE("0.000515")</f>
        <v/>
      </c>
      <c r="U1083">
        <f>_xlfn.NUMBERVALUE("0.000777")</f>
        <v/>
      </c>
      <c r="V1083">
        <f>_xlfn.NUMBERVALUE("0.000982")</f>
        <v/>
      </c>
      <c r="W1083">
        <f>_xlfn.NUMBERVALUE("0.001001")</f>
        <v/>
      </c>
      <c r="X1083">
        <f>_xlfn.NUMBERVALUE("-0.510000")</f>
        <v/>
      </c>
      <c r="Y1083">
        <f>_xlfn.NUMBERVALUE("12.090000")</f>
        <v/>
      </c>
    </row>
    <row r="1084">
      <c r="A1084" s="1" t="n">
        <v>43577</v>
      </c>
      <c r="B1084">
        <f>_xlfn.NUMBERVALUE("0.000000")</f>
        <v/>
      </c>
      <c r="C1084" s="2">
        <f>_xlfn.NUMBERVALUE("0.001850")</f>
        <v/>
      </c>
      <c r="D1084">
        <f>_xlfn.NUMBERVALUE("0.001093")</f>
        <v/>
      </c>
      <c r="E1084">
        <f>_xlfn.NUMBERVALUE("0.001011")</f>
        <v/>
      </c>
      <c r="F1084">
        <f>_xlfn.NUMBERVALUE("-0.000130")</f>
        <v/>
      </c>
      <c r="G1084">
        <f>_xlfn.NUMBERVALUE("0.000439")</f>
        <v/>
      </c>
      <c r="H1084">
        <f>_xlfn.NUMBERVALUE("-0.000461")</f>
        <v/>
      </c>
      <c r="I1084">
        <f>_xlfn.NUMBERVALUE("0.001852")</f>
        <v/>
      </c>
      <c r="J1084">
        <f>_xlfn.NUMBERVALUE("0.000829")</f>
        <v/>
      </c>
      <c r="K1084">
        <f>_xlfn.NUMBERVALUE("0.002595")</f>
        <v/>
      </c>
      <c r="L1084">
        <f>_xlfn.NUMBERVALUE("-0.000934")</f>
        <v/>
      </c>
      <c r="M1084">
        <f>_xlfn.NUMBERVALUE("0.001717")</f>
        <v/>
      </c>
      <c r="N1084">
        <f>_xlfn.NUMBERVALUE("0.000347")</f>
        <v/>
      </c>
      <c r="O1084">
        <f>_xlfn.NUMBERVALUE("-0.003521")</f>
        <v/>
      </c>
      <c r="P1084">
        <f>_xlfn.NUMBERVALUE("0.001905")</f>
        <v/>
      </c>
      <c r="Q1084">
        <f>_xlfn.NUMBERVALUE("0.001125")</f>
        <v/>
      </c>
      <c r="R1084">
        <f>_xlfn.NUMBERVALUE("0.000776")</f>
        <v/>
      </c>
      <c r="S1084">
        <f>_xlfn.NUMBERVALUE("0.000100")</f>
        <v/>
      </c>
      <c r="T1084">
        <f>_xlfn.NUMBERVALUE("0.001312")</f>
        <v/>
      </c>
      <c r="U1084">
        <f>_xlfn.NUMBERVALUE("0.001271")</f>
        <v/>
      </c>
      <c r="V1084">
        <f>_xlfn.NUMBERVALUE("0.001549")</f>
        <v/>
      </c>
      <c r="W1084">
        <f>_xlfn.NUMBERVALUE("0.000931")</f>
        <v/>
      </c>
      <c r="X1084">
        <f>_xlfn.NUMBERVALUE("0.330000")</f>
        <v/>
      </c>
      <c r="Y1084">
        <f>_xlfn.NUMBERVALUE("12.420000")</f>
        <v/>
      </c>
    </row>
    <row r="1085">
      <c r="A1085" s="1" t="n">
        <v>43578</v>
      </c>
      <c r="B1085">
        <f>_xlfn.NUMBERVALUE("0.000000")</f>
        <v/>
      </c>
      <c r="C1085" s="2">
        <f>_xlfn.NUMBERVALUE("-0.000337")</f>
        <v/>
      </c>
      <c r="D1085">
        <f>_xlfn.NUMBERVALUE("0.001556")</f>
        <v/>
      </c>
      <c r="E1085">
        <f>_xlfn.NUMBERVALUE("0.000548")</f>
        <v/>
      </c>
      <c r="F1085">
        <f>_xlfn.NUMBERVALUE("0.000103")</f>
        <v/>
      </c>
      <c r="G1085">
        <f>_xlfn.NUMBERVALUE("-0.001175")</f>
        <v/>
      </c>
      <c r="H1085">
        <f>_xlfn.NUMBERVALUE("-0.011956")</f>
        <v/>
      </c>
      <c r="I1085">
        <f>_xlfn.NUMBERVALUE("-0.003577")</f>
        <v/>
      </c>
      <c r="J1085">
        <f>_xlfn.NUMBERVALUE("-0.001284")</f>
        <v/>
      </c>
      <c r="K1085">
        <f>_xlfn.NUMBERVALUE("-0.001263")</f>
        <v/>
      </c>
      <c r="L1085">
        <f>_xlfn.NUMBERVALUE("0.000703")</f>
        <v/>
      </c>
      <c r="M1085">
        <f>_xlfn.NUMBERVALUE("0.000619")</f>
        <v/>
      </c>
      <c r="N1085">
        <f>_xlfn.NUMBERVALUE("-0.002656")</f>
        <v/>
      </c>
      <c r="O1085">
        <f>_xlfn.NUMBERVALUE("0.000993")</f>
        <v/>
      </c>
      <c r="P1085">
        <f>_xlfn.NUMBERVALUE("0.000742")</f>
        <v/>
      </c>
      <c r="Q1085">
        <f>_xlfn.NUMBERVALUE("-0.001186")</f>
        <v/>
      </c>
      <c r="R1085">
        <f>_xlfn.NUMBERVALUE("-0.001778")</f>
        <v/>
      </c>
      <c r="S1085">
        <f>_xlfn.NUMBERVALUE("0.001437")</f>
        <v/>
      </c>
      <c r="T1085">
        <f>_xlfn.NUMBERVALUE("0.001003")</f>
        <v/>
      </c>
      <c r="U1085">
        <f>_xlfn.NUMBERVALUE("-0.001262")</f>
        <v/>
      </c>
      <c r="V1085">
        <f>_xlfn.NUMBERVALUE("-0.001684")</f>
        <v/>
      </c>
      <c r="W1085">
        <f>_xlfn.NUMBERVALUE("0.008200")</f>
        <v/>
      </c>
      <c r="X1085">
        <f>_xlfn.NUMBERVALUE("-0.140000")</f>
        <v/>
      </c>
      <c r="Y1085">
        <f>_xlfn.NUMBERVALUE("12.280000")</f>
        <v/>
      </c>
    </row>
    <row r="1086">
      <c r="A1086" s="1" t="n">
        <v>43579</v>
      </c>
      <c r="B1086">
        <f>_xlfn.NUMBERVALUE("0.000000")</f>
        <v/>
      </c>
      <c r="C1086" s="2">
        <f>_xlfn.NUMBERVALUE("0.000508")</f>
        <v/>
      </c>
      <c r="D1086">
        <f>_xlfn.NUMBERVALUE("-0.002056")</f>
        <v/>
      </c>
      <c r="E1086">
        <f>_xlfn.NUMBERVALUE("-0.000591")</f>
        <v/>
      </c>
      <c r="F1086">
        <f>_xlfn.NUMBERVALUE("0.000284")</f>
        <v/>
      </c>
      <c r="G1086">
        <f>_xlfn.NUMBERVALUE("0.000712")</f>
        <v/>
      </c>
      <c r="H1086">
        <f>_xlfn.NUMBERVALUE("0.014035")</f>
        <v/>
      </c>
      <c r="I1086">
        <f>_xlfn.NUMBERVALUE("-0.000228")</f>
        <v/>
      </c>
      <c r="J1086">
        <f>_xlfn.NUMBERVALUE("-0.001181")</f>
        <v/>
      </c>
      <c r="K1086">
        <f>_xlfn.NUMBERVALUE("-0.000208")</f>
        <v/>
      </c>
      <c r="L1086">
        <f>_xlfn.NUMBERVALUE("-0.000767")</f>
        <v/>
      </c>
      <c r="M1086">
        <f>_xlfn.NUMBERVALUE("0.000779")</f>
        <v/>
      </c>
      <c r="N1086">
        <f>_xlfn.NUMBERVALUE("-0.001135")</f>
        <v/>
      </c>
      <c r="O1086">
        <f>_xlfn.NUMBERVALUE("-0.002008")</f>
        <v/>
      </c>
      <c r="P1086">
        <f>_xlfn.NUMBERVALUE("0.000735")</f>
        <v/>
      </c>
      <c r="Q1086">
        <f>_xlfn.NUMBERVALUE("0.000062")</f>
        <v/>
      </c>
      <c r="R1086">
        <f>_xlfn.NUMBERVALUE("-0.000608")</f>
        <v/>
      </c>
      <c r="S1086">
        <f>_xlfn.NUMBERVALUE("0.000281")</f>
        <v/>
      </c>
      <c r="T1086">
        <f>_xlfn.NUMBERVALUE("-0.000460")</f>
        <v/>
      </c>
      <c r="U1086">
        <f>_xlfn.NUMBERVALUE("0.000010")</f>
        <v/>
      </c>
      <c r="V1086">
        <f>_xlfn.NUMBERVALUE("0.000038")</f>
        <v/>
      </c>
      <c r="W1086">
        <f>_xlfn.NUMBERVALUE("0.000615")</f>
        <v/>
      </c>
      <c r="X1086">
        <f>_xlfn.NUMBERVALUE("0.860000")</f>
        <v/>
      </c>
      <c r="Y1086">
        <f>_xlfn.NUMBERVALUE("13.140000")</f>
        <v/>
      </c>
    </row>
    <row r="1087">
      <c r="A1087" s="1" t="n">
        <v>43580</v>
      </c>
      <c r="B1087">
        <f>_xlfn.NUMBERVALUE("0.000000")</f>
        <v/>
      </c>
      <c r="C1087" s="2">
        <f>_xlfn.NUMBERVALUE("0.001091")</f>
        <v/>
      </c>
      <c r="D1087">
        <f>_xlfn.NUMBERVALUE("0.001156")</f>
        <v/>
      </c>
      <c r="E1087">
        <f>_xlfn.NUMBERVALUE("0.000565")</f>
        <v/>
      </c>
      <c r="F1087">
        <f>_xlfn.NUMBERVALUE("0.000693")</f>
        <v/>
      </c>
      <c r="G1087">
        <f>_xlfn.NUMBERVALUE("0.000845")</f>
        <v/>
      </c>
      <c r="H1087">
        <f>_xlfn.NUMBERVALUE("0.000289")</f>
        <v/>
      </c>
      <c r="I1087">
        <f>_xlfn.NUMBERVALUE("0.000690")</f>
        <v/>
      </c>
      <c r="J1087">
        <f>_xlfn.NUMBERVALUE("0.000562")</f>
        <v/>
      </c>
      <c r="K1087">
        <f>_xlfn.NUMBERVALUE("0.001679")</f>
        <v/>
      </c>
      <c r="L1087">
        <f>_xlfn.NUMBERVALUE("0.000469")</f>
        <v/>
      </c>
      <c r="M1087">
        <f>_xlfn.NUMBERVALUE("-0.001601")</f>
        <v/>
      </c>
      <c r="N1087">
        <f>_xlfn.NUMBERVALUE("-0.001672")</f>
        <v/>
      </c>
      <c r="O1087">
        <f>_xlfn.NUMBERVALUE("0.001950")</f>
        <v/>
      </c>
      <c r="P1087">
        <f>_xlfn.NUMBERVALUE("-0.000035")</f>
        <v/>
      </c>
      <c r="Q1087">
        <f>_xlfn.NUMBERVALUE("-0.000960")</f>
        <v/>
      </c>
      <c r="R1087">
        <f>_xlfn.NUMBERVALUE("0.000860")</f>
        <v/>
      </c>
      <c r="S1087">
        <f>_xlfn.NUMBERVALUE("0.000270")</f>
        <v/>
      </c>
      <c r="T1087">
        <f>_xlfn.NUMBERVALUE("0.000012")</f>
        <v/>
      </c>
      <c r="U1087">
        <f>_xlfn.NUMBERVALUE("-0.000085")</f>
        <v/>
      </c>
      <c r="V1087">
        <f>_xlfn.NUMBERVALUE("0.000851")</f>
        <v/>
      </c>
      <c r="W1087">
        <f>_xlfn.NUMBERVALUE("-0.000273")</f>
        <v/>
      </c>
      <c r="X1087">
        <f>_xlfn.NUMBERVALUE("0.110000")</f>
        <v/>
      </c>
      <c r="Y1087">
        <f>_xlfn.NUMBERVALUE("13.250000")</f>
        <v/>
      </c>
    </row>
    <row r="1088">
      <c r="A1088" s="1" t="n">
        <v>43581</v>
      </c>
      <c r="B1088">
        <f>_xlfn.NUMBERVALUE("0.000000")</f>
        <v/>
      </c>
      <c r="C1088" s="2">
        <f>_xlfn.NUMBERVALUE("0.001107")</f>
        <v/>
      </c>
      <c r="D1088">
        <f>_xlfn.NUMBERVALUE("0.002100")</f>
        <v/>
      </c>
      <c r="E1088">
        <f>_xlfn.NUMBERVALUE("0.000594")</f>
        <v/>
      </c>
      <c r="F1088">
        <f>_xlfn.NUMBERVALUE("-0.000030")</f>
        <v/>
      </c>
      <c r="G1088">
        <f>_xlfn.NUMBERVALUE("-0.000919")</f>
        <v/>
      </c>
      <c r="H1088">
        <f>_xlfn.NUMBERVALUE("-0.001754")</f>
        <v/>
      </c>
      <c r="I1088">
        <f>_xlfn.NUMBERVALUE("-0.000384")</f>
        <v/>
      </c>
      <c r="J1088">
        <f>_xlfn.NUMBERVALUE("-0.000837")</f>
        <v/>
      </c>
      <c r="K1088">
        <f>_xlfn.NUMBERVALUE("-0.000556")</f>
        <v/>
      </c>
      <c r="L1088">
        <f>_xlfn.NUMBERVALUE("0.000945")</f>
        <v/>
      </c>
      <c r="M1088">
        <f>_xlfn.NUMBERVALUE("0.001078")</f>
        <v/>
      </c>
      <c r="N1088">
        <f>_xlfn.NUMBERVALUE("0.000337")</f>
        <v/>
      </c>
      <c r="O1088">
        <f>_xlfn.NUMBERVALUE("-0.003144")</f>
        <v/>
      </c>
      <c r="P1088">
        <f>_xlfn.NUMBERVALUE("-0.000084")</f>
        <v/>
      </c>
      <c r="Q1088">
        <f>_xlfn.NUMBERVALUE("0.000542")</f>
        <v/>
      </c>
      <c r="R1088">
        <f>_xlfn.NUMBERVALUE("0.001569")</f>
        <v/>
      </c>
      <c r="S1088">
        <f>_xlfn.NUMBERVALUE("0.000135")</f>
        <v/>
      </c>
      <c r="T1088">
        <f>_xlfn.NUMBERVALUE("0.001243")</f>
        <v/>
      </c>
      <c r="U1088">
        <f>_xlfn.NUMBERVALUE("0.001685")</f>
        <v/>
      </c>
      <c r="V1088">
        <f>_xlfn.NUMBERVALUE("0.000384")</f>
        <v/>
      </c>
      <c r="W1088">
        <f>_xlfn.NUMBERVALUE("0.001127")</f>
        <v/>
      </c>
      <c r="X1088">
        <f>_xlfn.NUMBERVALUE("-0.520000")</f>
        <v/>
      </c>
      <c r="Y1088">
        <f>_xlfn.NUMBERVALUE("12.730000")</f>
        <v/>
      </c>
    </row>
    <row r="1089">
      <c r="A1089" s="1" t="n">
        <v>43584</v>
      </c>
      <c r="B1089">
        <f>_xlfn.NUMBERVALUE("0.000000")</f>
        <v/>
      </c>
      <c r="C1089" s="2">
        <f>_xlfn.NUMBERVALUE("0.000581")</f>
        <v/>
      </c>
      <c r="D1089">
        <f>_xlfn.NUMBERVALUE("0.001287")</f>
        <v/>
      </c>
      <c r="E1089">
        <f>_xlfn.NUMBERVALUE("0.000646")</f>
        <v/>
      </c>
      <c r="F1089">
        <f>_xlfn.NUMBERVALUE("-0.000037")</f>
        <v/>
      </c>
      <c r="G1089">
        <f>_xlfn.NUMBERVALUE("0.000320")</f>
        <v/>
      </c>
      <c r="H1089">
        <f>_xlfn.NUMBERVALUE("0.002577")</f>
        <v/>
      </c>
      <c r="I1089">
        <f>_xlfn.NUMBERVALUE("0.000173")</f>
        <v/>
      </c>
      <c r="J1089">
        <f>_xlfn.NUMBERVALUE("0.000295")</f>
        <v/>
      </c>
      <c r="K1089">
        <f>_xlfn.NUMBERVALUE("0.001348")</f>
        <v/>
      </c>
      <c r="L1089">
        <f>_xlfn.NUMBERVALUE("-0.001719")</f>
        <v/>
      </c>
      <c r="M1089">
        <f>_xlfn.NUMBERVALUE("0.001164")</f>
        <v/>
      </c>
      <c r="N1089">
        <f>_xlfn.NUMBERVALUE("0.001087")</f>
        <v/>
      </c>
      <c r="O1089">
        <f>_xlfn.NUMBERVALUE("0.001663")</f>
        <v/>
      </c>
      <c r="P1089">
        <f>_xlfn.NUMBERVALUE("0.000124")</f>
        <v/>
      </c>
      <c r="Q1089">
        <f>_xlfn.NUMBERVALUE("0.001132")</f>
        <v/>
      </c>
      <c r="R1089">
        <f>_xlfn.NUMBERVALUE("0.000788")</f>
        <v/>
      </c>
      <c r="S1089">
        <f>_xlfn.NUMBERVALUE("0.000406")</f>
        <v/>
      </c>
      <c r="T1089">
        <f>_xlfn.NUMBERVALUE("0.000858")</f>
        <v/>
      </c>
      <c r="U1089">
        <f>_xlfn.NUMBERVALUE("0.000776")</f>
        <v/>
      </c>
      <c r="V1089">
        <f>_xlfn.NUMBERVALUE("0.000614")</f>
        <v/>
      </c>
      <c r="W1089">
        <f>_xlfn.NUMBERVALUE("0.003105")</f>
        <v/>
      </c>
      <c r="X1089">
        <f>_xlfn.NUMBERVALUE("0.380000")</f>
        <v/>
      </c>
      <c r="Y1089">
        <f>_xlfn.NUMBERVALUE("13.110000")</f>
        <v/>
      </c>
    </row>
    <row r="1090">
      <c r="A1090" s="1" t="n">
        <v>43585</v>
      </c>
      <c r="B1090">
        <f>_xlfn.NUMBERVALUE("0.000000")</f>
        <v/>
      </c>
      <c r="C1090" s="2">
        <f>_xlfn.NUMBERVALUE("0.000985")</f>
        <v/>
      </c>
      <c r="D1090">
        <f>_xlfn.NUMBERVALUE("0.000874")</f>
        <v/>
      </c>
      <c r="E1090">
        <f>_xlfn.NUMBERVALUE("0.000060")</f>
        <v/>
      </c>
      <c r="F1090">
        <f>_xlfn.NUMBERVALUE("0.000398")</f>
        <v/>
      </c>
      <c r="G1090">
        <f>_xlfn.NUMBERVALUE("-0.000279")</f>
        <v/>
      </c>
      <c r="H1090">
        <f>_xlfn.NUMBERVALUE("-0.001422")</f>
        <v/>
      </c>
      <c r="I1090">
        <f>_xlfn.NUMBERVALUE("0.001243")</f>
        <v/>
      </c>
      <c r="J1090">
        <f>_xlfn.NUMBERVALUE("-0.000601")</f>
        <v/>
      </c>
      <c r="K1090">
        <f>_xlfn.NUMBERVALUE("0.000931")</f>
        <v/>
      </c>
      <c r="L1090">
        <f>_xlfn.NUMBERVALUE("-0.000615")</f>
        <v/>
      </c>
      <c r="M1090">
        <f>_xlfn.NUMBERVALUE("-0.000149")</f>
        <v/>
      </c>
      <c r="N1090">
        <f>_xlfn.NUMBERVALUE("-0.001741")</f>
        <v/>
      </c>
      <c r="O1090">
        <f>_xlfn.NUMBERVALUE("0.001453")</f>
        <v/>
      </c>
      <c r="P1090">
        <f>_xlfn.NUMBERVALUE("0.000441")</f>
        <v/>
      </c>
      <c r="Q1090">
        <f>_xlfn.NUMBERVALUE("0.000373")</f>
        <v/>
      </c>
      <c r="R1090">
        <f>_xlfn.NUMBERVALUE("0.000505")</f>
        <v/>
      </c>
      <c r="S1090">
        <f>_xlfn.NUMBERVALUE("-0.001187")</f>
        <v/>
      </c>
      <c r="T1090">
        <f>_xlfn.NUMBERVALUE("-0.004978")</f>
        <v/>
      </c>
      <c r="U1090">
        <f>_xlfn.NUMBERVALUE("0.000869")</f>
        <v/>
      </c>
      <c r="V1090">
        <f>_xlfn.NUMBERVALUE("0.000659")</f>
        <v/>
      </c>
      <c r="W1090">
        <f>_xlfn.NUMBERVALUE("-0.000850")</f>
        <v/>
      </c>
      <c r="X1090">
        <f>_xlfn.NUMBERVALUE("0.010000")</f>
        <v/>
      </c>
      <c r="Y1090">
        <f>_xlfn.NUMBERVALUE("13.120000")</f>
        <v/>
      </c>
    </row>
    <row r="1091">
      <c r="A1091" s="1" t="n">
        <v>43586</v>
      </c>
      <c r="B1091">
        <f>_xlfn.NUMBERVALUE("0.000000")</f>
        <v/>
      </c>
      <c r="C1091" s="2">
        <f>_xlfn.NUMBERVALUE("0.000397")</f>
        <v/>
      </c>
      <c r="D1091">
        <f>_xlfn.NUMBERVALUE("0.002085")</f>
        <v/>
      </c>
      <c r="E1091">
        <f>_xlfn.NUMBERVALUE("-0.000244")</f>
        <v/>
      </c>
      <c r="F1091">
        <f>_xlfn.NUMBERVALUE("-0.000666")</f>
        <v/>
      </c>
      <c r="G1091">
        <f>_xlfn.NUMBERVALUE("-0.000380")</f>
        <v/>
      </c>
      <c r="H1091">
        <f>_xlfn.NUMBERVALUE("-0.001685")</f>
        <v/>
      </c>
      <c r="I1091">
        <f>_xlfn.NUMBERVALUE("0.000557")</f>
        <v/>
      </c>
      <c r="J1091">
        <f>_xlfn.NUMBERVALUE("0.001078")</f>
        <v/>
      </c>
      <c r="K1091">
        <f>_xlfn.NUMBERVALUE("-0.008010")</f>
        <v/>
      </c>
      <c r="L1091">
        <f>_xlfn.NUMBERVALUE("0.001295")</f>
        <v/>
      </c>
      <c r="M1091">
        <f>_xlfn.NUMBERVALUE("-0.003510")</f>
        <v/>
      </c>
      <c r="N1091">
        <f>_xlfn.NUMBERVALUE("0.001694")</f>
        <v/>
      </c>
      <c r="O1091">
        <f>_xlfn.NUMBERVALUE("-0.001797")</f>
        <v/>
      </c>
      <c r="P1091">
        <f>_xlfn.NUMBERVALUE("0.000389")</f>
        <v/>
      </c>
      <c r="Q1091">
        <f>_xlfn.NUMBERVALUE("0.000569")</f>
        <v/>
      </c>
      <c r="R1091">
        <f>_xlfn.NUMBERVALUE("0.000929")</f>
        <v/>
      </c>
      <c r="S1091">
        <f>_xlfn.NUMBERVALUE("-0.000902")</f>
        <v/>
      </c>
      <c r="T1091">
        <f>_xlfn.NUMBERVALUE("-0.000528")</f>
        <v/>
      </c>
      <c r="U1091">
        <f>_xlfn.NUMBERVALUE("0.000387")</f>
        <v/>
      </c>
      <c r="V1091">
        <f>_xlfn.NUMBERVALUE("0.000375")</f>
        <v/>
      </c>
      <c r="W1091">
        <f>_xlfn.NUMBERVALUE("-0.003847")</f>
        <v/>
      </c>
      <c r="X1091">
        <f>_xlfn.NUMBERVALUE("1.680000")</f>
        <v/>
      </c>
      <c r="Y1091">
        <f>_xlfn.NUMBERVALUE("14.800000")</f>
        <v/>
      </c>
    </row>
    <row r="1092">
      <c r="A1092" s="1" t="n">
        <v>43587</v>
      </c>
      <c r="B1092">
        <f>_xlfn.NUMBERVALUE("0.000000")</f>
        <v/>
      </c>
      <c r="C1092" s="2">
        <f>_xlfn.NUMBERVALUE("-0.000969")</f>
        <v/>
      </c>
      <c r="D1092">
        <f>_xlfn.NUMBERVALUE("0.001030")</f>
        <v/>
      </c>
      <c r="E1092">
        <f>_xlfn.NUMBERVALUE("0.001071")</f>
        <v/>
      </c>
      <c r="F1092">
        <f>_xlfn.NUMBERVALUE("-0.000165")</f>
        <v/>
      </c>
      <c r="G1092">
        <f>_xlfn.NUMBERVALUE("-0.000036")</f>
        <v/>
      </c>
      <c r="H1092">
        <f>_xlfn.NUMBERVALUE("0.002383")</f>
        <v/>
      </c>
      <c r="I1092">
        <f>_xlfn.NUMBERVALUE("0.001108")</f>
        <v/>
      </c>
      <c r="J1092">
        <f>_xlfn.NUMBERVALUE("-0.000873")</f>
        <v/>
      </c>
      <c r="K1092">
        <f>_xlfn.NUMBERVALUE("0.000290")</f>
        <v/>
      </c>
      <c r="L1092">
        <f>_xlfn.NUMBERVALUE("0.001377")</f>
        <v/>
      </c>
      <c r="M1092">
        <f>_xlfn.NUMBERVALUE("-0.000276")</f>
        <v/>
      </c>
      <c r="N1092">
        <f>_xlfn.NUMBERVALUE("-0.001316")</f>
        <v/>
      </c>
      <c r="O1092">
        <f>_xlfn.NUMBERVALUE("-0.002126")</f>
        <v/>
      </c>
      <c r="P1092">
        <f>_xlfn.NUMBERVALUE("0.000070")</f>
        <v/>
      </c>
      <c r="Q1092">
        <f>_xlfn.NUMBERVALUE("0.000836")</f>
        <v/>
      </c>
      <c r="R1092">
        <f>_xlfn.NUMBERVALUE("0.000089")</f>
        <v/>
      </c>
      <c r="S1092">
        <f>_xlfn.NUMBERVALUE("0.000721")</f>
        <v/>
      </c>
      <c r="T1092">
        <f>_xlfn.NUMBERVALUE("0.000929")</f>
        <v/>
      </c>
      <c r="U1092">
        <f>_xlfn.NUMBERVALUE("0.000241")</f>
        <v/>
      </c>
      <c r="V1092">
        <f>_xlfn.NUMBERVALUE("0.001485")</f>
        <v/>
      </c>
      <c r="W1092">
        <f>_xlfn.NUMBERVALUE("-0.005742")</f>
        <v/>
      </c>
      <c r="X1092">
        <f>_xlfn.NUMBERVALUE("-0.380000")</f>
        <v/>
      </c>
      <c r="Y1092">
        <f>_xlfn.NUMBERVALUE("14.420000")</f>
        <v/>
      </c>
    </row>
    <row r="1093">
      <c r="A1093" s="1" t="n">
        <v>43588</v>
      </c>
      <c r="B1093">
        <f>_xlfn.NUMBERVALUE("0.000000")</f>
        <v/>
      </c>
      <c r="C1093" s="2">
        <f>_xlfn.NUMBERVALUE("0.000285")</f>
        <v/>
      </c>
      <c r="D1093">
        <f>_xlfn.NUMBERVALUE("-0.002776")</f>
        <v/>
      </c>
      <c r="E1093">
        <f>_xlfn.NUMBERVALUE("-0.002839")</f>
        <v/>
      </c>
      <c r="F1093">
        <f>_xlfn.NUMBERVALUE("0.000627")</f>
        <v/>
      </c>
      <c r="G1093">
        <f>_xlfn.NUMBERVALUE("0.000072")</f>
        <v/>
      </c>
      <c r="H1093">
        <f>_xlfn.NUMBERVALUE("0.000294")</f>
        <v/>
      </c>
      <c r="I1093">
        <f>_xlfn.NUMBERVALUE("-0.005878")</f>
        <v/>
      </c>
      <c r="J1093">
        <f>_xlfn.NUMBERVALUE("-0.002120")</f>
        <v/>
      </c>
      <c r="K1093">
        <f>_xlfn.NUMBERVALUE("-0.002483")</f>
        <v/>
      </c>
      <c r="L1093">
        <f>_xlfn.NUMBERVALUE("0.001223")</f>
        <v/>
      </c>
      <c r="M1093">
        <f>_xlfn.NUMBERVALUE("0.000027")</f>
        <v/>
      </c>
      <c r="N1093">
        <f>_xlfn.NUMBERVALUE("0.000888")</f>
        <v/>
      </c>
      <c r="O1093">
        <f>_xlfn.NUMBERVALUE("0.000659")</f>
        <v/>
      </c>
      <c r="P1093">
        <f>_xlfn.NUMBERVALUE("0.000073")</f>
        <v/>
      </c>
      <c r="Q1093">
        <f>_xlfn.NUMBERVALUE("-0.000577")</f>
        <v/>
      </c>
      <c r="R1093">
        <f>_xlfn.NUMBERVALUE("0.001627")</f>
        <v/>
      </c>
      <c r="S1093">
        <f>_xlfn.NUMBERVALUE("-0.000632")</f>
        <v/>
      </c>
      <c r="T1093">
        <f>_xlfn.NUMBERVALUE("-0.000008")</f>
        <v/>
      </c>
      <c r="U1093">
        <f>_xlfn.NUMBERVALUE("-0.001194")</f>
        <v/>
      </c>
      <c r="V1093">
        <f>_xlfn.NUMBERVALUE("-0.001462")</f>
        <v/>
      </c>
      <c r="W1093">
        <f>_xlfn.NUMBERVALUE("0.010621")</f>
        <v/>
      </c>
      <c r="X1093">
        <f>_xlfn.NUMBERVALUE("-1.550000")</f>
        <v/>
      </c>
      <c r="Y1093">
        <f>_xlfn.NUMBERVALUE("12.870000")</f>
        <v/>
      </c>
    </row>
    <row r="1094">
      <c r="A1094" s="1" t="n">
        <v>43591</v>
      </c>
      <c r="B1094">
        <f>_xlfn.NUMBERVALUE("0.000000")</f>
        <v/>
      </c>
      <c r="C1094" s="2">
        <f>_xlfn.NUMBERVALUE("0.006963")</f>
        <v/>
      </c>
      <c r="D1094">
        <f>_xlfn.NUMBERVALUE("-0.011508")</f>
        <v/>
      </c>
      <c r="E1094">
        <f>_xlfn.NUMBERVALUE("0.003713")</f>
        <v/>
      </c>
      <c r="F1094">
        <f>_xlfn.NUMBERVALUE("0.000275")</f>
        <v/>
      </c>
      <c r="G1094">
        <f>_xlfn.NUMBERVALUE("0.000758")</f>
        <v/>
      </c>
      <c r="H1094">
        <f>_xlfn.NUMBERVALUE("0.000508")</f>
        <v/>
      </c>
      <c r="I1094">
        <f>_xlfn.NUMBERVALUE("0.000875")</f>
        <v/>
      </c>
      <c r="J1094">
        <f>_xlfn.NUMBERVALUE("0.000077")</f>
        <v/>
      </c>
      <c r="K1094">
        <f>_xlfn.NUMBERVALUE("0.008339")</f>
        <v/>
      </c>
      <c r="L1094">
        <f>_xlfn.NUMBERVALUE("0.001531")</f>
        <v/>
      </c>
      <c r="M1094">
        <f>_xlfn.NUMBERVALUE("-0.002206")</f>
        <v/>
      </c>
      <c r="N1094">
        <f>_xlfn.NUMBERVALUE("-0.001857")</f>
        <v/>
      </c>
      <c r="O1094">
        <f>_xlfn.NUMBERVALUE("-0.000317")</f>
        <v/>
      </c>
      <c r="P1094">
        <f>_xlfn.NUMBERVALUE("0.000392")</f>
        <v/>
      </c>
      <c r="Q1094">
        <f>_xlfn.NUMBERVALUE("-0.000617")</f>
        <v/>
      </c>
      <c r="R1094">
        <f>_xlfn.NUMBERVALUE("-0.000534")</f>
        <v/>
      </c>
      <c r="S1094">
        <f>_xlfn.NUMBERVALUE("0.000419")</f>
        <v/>
      </c>
      <c r="T1094">
        <f>_xlfn.NUMBERVALUE("0.000989")</f>
        <v/>
      </c>
      <c r="U1094">
        <f>_xlfn.NUMBERVALUE("-0.000273")</f>
        <v/>
      </c>
      <c r="V1094">
        <f>_xlfn.NUMBERVALUE("0.000125")</f>
        <v/>
      </c>
      <c r="W1094">
        <f>_xlfn.NUMBERVALUE("-0.002058")</f>
        <v/>
      </c>
      <c r="X1094">
        <f>_xlfn.NUMBERVALUE("2.570000")</f>
        <v/>
      </c>
      <c r="Y1094">
        <f>_xlfn.NUMBERVALUE("15.440000")</f>
        <v/>
      </c>
    </row>
    <row r="1095">
      <c r="A1095" s="1" t="n">
        <v>43592</v>
      </c>
      <c r="B1095">
        <f>_xlfn.NUMBERVALUE("0.000000")</f>
        <v/>
      </c>
      <c r="C1095" s="2">
        <f>_xlfn.NUMBERVALUE("-0.011195")</f>
        <v/>
      </c>
      <c r="D1095">
        <f>_xlfn.NUMBERVALUE("-0.007636")</f>
        <v/>
      </c>
      <c r="E1095">
        <f>_xlfn.NUMBERVALUE("-0.007899")</f>
        <v/>
      </c>
      <c r="F1095">
        <f>_xlfn.NUMBERVALUE("-0.000471")</f>
        <v/>
      </c>
      <c r="G1095">
        <f>_xlfn.NUMBERVALUE("-0.002295")</f>
        <v/>
      </c>
      <c r="H1095">
        <f>_xlfn.NUMBERVALUE("-0.003106")</f>
        <v/>
      </c>
      <c r="I1095">
        <f>_xlfn.NUMBERVALUE("-0.009492")</f>
        <v/>
      </c>
      <c r="J1095">
        <f>_xlfn.NUMBERVALUE("0.000564")</f>
        <v/>
      </c>
      <c r="K1095">
        <f>_xlfn.NUMBERVALUE("0.000291")</f>
        <v/>
      </c>
      <c r="L1095">
        <f>_xlfn.NUMBERVALUE("-0.004311")</f>
        <v/>
      </c>
      <c r="M1095">
        <f>_xlfn.NUMBERVALUE("-0.001216")</f>
        <v/>
      </c>
      <c r="N1095">
        <f>_xlfn.NUMBERVALUE("-0.008457")</f>
        <v/>
      </c>
      <c r="O1095">
        <f>_xlfn.NUMBERVALUE("-0.000010")</f>
        <v/>
      </c>
      <c r="P1095">
        <f>_xlfn.NUMBERVALUE("-0.002552")</f>
        <v/>
      </c>
      <c r="Q1095">
        <f>_xlfn.NUMBERVALUE("-0.009483")</f>
        <v/>
      </c>
      <c r="R1095">
        <f>_xlfn.NUMBERVALUE("-0.008154")</f>
        <v/>
      </c>
      <c r="S1095">
        <f>_xlfn.NUMBERVALUE("-0.002259")</f>
        <v/>
      </c>
      <c r="T1095">
        <f>_xlfn.NUMBERVALUE("-0.000881")</f>
        <v/>
      </c>
      <c r="U1095">
        <f>_xlfn.NUMBERVALUE("-0.005856")</f>
        <v/>
      </c>
      <c r="V1095">
        <f>_xlfn.NUMBERVALUE("-0.010435")</f>
        <v/>
      </c>
      <c r="W1095">
        <f>_xlfn.NUMBERVALUE("-0.019945")</f>
        <v/>
      </c>
      <c r="X1095">
        <f>_xlfn.NUMBERVALUE("3.880000")</f>
        <v/>
      </c>
      <c r="Y1095">
        <f>_xlfn.NUMBERVALUE("19.320000")</f>
        <v/>
      </c>
    </row>
    <row r="1096">
      <c r="A1096" s="1" t="n">
        <v>43593</v>
      </c>
      <c r="B1096">
        <f>_xlfn.NUMBERVALUE("0.000000")</f>
        <v/>
      </c>
      <c r="C1096" s="2">
        <f>_xlfn.NUMBERVALUE("0.002835")</f>
        <v/>
      </c>
      <c r="D1096">
        <f>_xlfn.NUMBERVALUE("0.000970")</f>
        <v/>
      </c>
      <c r="E1096">
        <f>_xlfn.NUMBERVALUE("0.001287")</f>
        <v/>
      </c>
      <c r="F1096">
        <f>_xlfn.NUMBERVALUE("0.000097")</f>
        <v/>
      </c>
      <c r="G1096">
        <f>_xlfn.NUMBERVALUE("0.001141")</f>
        <v/>
      </c>
      <c r="H1096">
        <f>_xlfn.NUMBERVALUE("0.001682")</f>
        <v/>
      </c>
      <c r="I1096">
        <f>_xlfn.NUMBERVALUE("0.002786")</f>
        <v/>
      </c>
      <c r="J1096">
        <f>_xlfn.NUMBERVALUE("0.000089")</f>
        <v/>
      </c>
      <c r="K1096">
        <f>_xlfn.NUMBERVALUE("0.000982")</f>
        <v/>
      </c>
      <c r="L1096">
        <f>_xlfn.NUMBERVALUE("0.000456")</f>
        <v/>
      </c>
      <c r="M1096">
        <f>_xlfn.NUMBERVALUE("0.000021")</f>
        <v/>
      </c>
      <c r="N1096">
        <f>_xlfn.NUMBERVALUE("0.002115")</f>
        <v/>
      </c>
      <c r="O1096">
        <f>_xlfn.NUMBERVALUE("-0.000426")</f>
        <v/>
      </c>
      <c r="P1096">
        <f>_xlfn.NUMBERVALUE("0.001586")</f>
        <v/>
      </c>
      <c r="Q1096">
        <f>_xlfn.NUMBERVALUE("0.005594")</f>
        <v/>
      </c>
      <c r="R1096">
        <f>_xlfn.NUMBERVALUE("0.003707")</f>
        <v/>
      </c>
      <c r="S1096">
        <f>_xlfn.NUMBERVALUE("0.001238")</f>
        <v/>
      </c>
      <c r="T1096">
        <f>_xlfn.NUMBERVALUE("-0.001220")</f>
        <v/>
      </c>
      <c r="U1096">
        <f>_xlfn.NUMBERVALUE("0.003520")</f>
        <v/>
      </c>
      <c r="V1096">
        <f>_xlfn.NUMBERVALUE("0.002731")</f>
        <v/>
      </c>
      <c r="W1096">
        <f>_xlfn.NUMBERVALUE("0.005088")</f>
        <v/>
      </c>
      <c r="X1096">
        <f>_xlfn.NUMBERVALUE("0.080000")</f>
        <v/>
      </c>
      <c r="Y1096">
        <f>_xlfn.NUMBERVALUE("19.400000")</f>
        <v/>
      </c>
    </row>
    <row r="1097">
      <c r="A1097" s="1" t="n">
        <v>43594</v>
      </c>
      <c r="B1097">
        <f>_xlfn.NUMBERVALUE("0.000000")</f>
        <v/>
      </c>
      <c r="C1097" s="2">
        <f>_xlfn.NUMBERVALUE("-0.000877")</f>
        <v/>
      </c>
      <c r="D1097">
        <f>_xlfn.NUMBERVALUE("-0.001982")</f>
        <v/>
      </c>
      <c r="E1097">
        <f>_xlfn.NUMBERVALUE("-0.000581")</f>
        <v/>
      </c>
      <c r="F1097">
        <f>_xlfn.NUMBERVALUE("-0.000079")</f>
        <v/>
      </c>
      <c r="G1097">
        <f>_xlfn.NUMBERVALUE("0.000222")</f>
        <v/>
      </c>
      <c r="H1097">
        <f>_xlfn.NUMBERVALUE("-0.000522")</f>
        <v/>
      </c>
      <c r="I1097">
        <f>_xlfn.NUMBERVALUE("0.000096")</f>
        <v/>
      </c>
      <c r="J1097">
        <f>_xlfn.NUMBERVALUE("-0.000340")</f>
        <v/>
      </c>
      <c r="K1097">
        <f>_xlfn.NUMBERVALUE("0.000150")</f>
        <v/>
      </c>
      <c r="L1097">
        <f>_xlfn.NUMBERVALUE("-0.000307")</f>
        <v/>
      </c>
      <c r="M1097">
        <f>_xlfn.NUMBERVALUE("0.000007")</f>
        <v/>
      </c>
      <c r="N1097">
        <f>_xlfn.NUMBERVALUE("0.002696")</f>
        <v/>
      </c>
      <c r="O1097">
        <f>_xlfn.NUMBERVALUE("0.000334")</f>
        <v/>
      </c>
      <c r="P1097">
        <f>_xlfn.NUMBERVALUE("0.000240")</f>
        <v/>
      </c>
      <c r="Q1097">
        <f>_xlfn.NUMBERVALUE("0.010832")</f>
        <v/>
      </c>
      <c r="R1097">
        <f>_xlfn.NUMBERVALUE("0.010638")</f>
        <v/>
      </c>
      <c r="S1097">
        <f>_xlfn.NUMBERVALUE("0.001536")</f>
        <v/>
      </c>
      <c r="T1097">
        <f>_xlfn.NUMBERVALUE("0.000036")</f>
        <v/>
      </c>
      <c r="U1097">
        <f>_xlfn.NUMBERVALUE("0.008140")</f>
        <v/>
      </c>
      <c r="V1097">
        <f>_xlfn.NUMBERVALUE("0.000445")</f>
        <v/>
      </c>
      <c r="W1097">
        <f>_xlfn.NUMBERVALUE("-0.005443")</f>
        <v/>
      </c>
      <c r="X1097">
        <f>_xlfn.NUMBERVALUE("-0.300000")</f>
        <v/>
      </c>
      <c r="Y1097">
        <f>_xlfn.NUMBERVALUE("19.100000")</f>
        <v/>
      </c>
    </row>
    <row r="1098">
      <c r="A1098" s="1" t="n">
        <v>43595</v>
      </c>
      <c r="B1098">
        <f>_xlfn.NUMBERVALUE("0.000000")</f>
        <v/>
      </c>
      <c r="C1098" s="2">
        <f>_xlfn.NUMBERVALUE("0.004468")</f>
        <v/>
      </c>
      <c r="D1098">
        <f>_xlfn.NUMBERVALUE("0.004609")</f>
        <v/>
      </c>
      <c r="E1098">
        <f>_xlfn.NUMBERVALUE("0.003906")</f>
        <v/>
      </c>
      <c r="F1098">
        <f>_xlfn.NUMBERVALUE("0.001481")</f>
        <v/>
      </c>
      <c r="G1098">
        <f>_xlfn.NUMBERVALUE("0.001308")</f>
        <v/>
      </c>
      <c r="H1098">
        <f>_xlfn.NUMBERVALUE("-0.013024")</f>
        <v/>
      </c>
      <c r="I1098">
        <f>_xlfn.NUMBERVALUE("0.005128")</f>
        <v/>
      </c>
      <c r="J1098">
        <f>_xlfn.NUMBERVALUE("0.000458")</f>
        <v/>
      </c>
      <c r="K1098">
        <f>_xlfn.NUMBERVALUE("0.001044")</f>
        <v/>
      </c>
      <c r="L1098">
        <f>_xlfn.NUMBERVALUE("0.001622")</f>
        <v/>
      </c>
      <c r="M1098">
        <f>_xlfn.NUMBERVALUE("0.002766")</f>
        <v/>
      </c>
      <c r="N1098">
        <f>_xlfn.NUMBERVALUE("0.004960")</f>
        <v/>
      </c>
      <c r="O1098">
        <f>_xlfn.NUMBERVALUE("0.006129")</f>
        <v/>
      </c>
      <c r="P1098">
        <f>_xlfn.NUMBERVALUE("0.004893")</f>
        <v/>
      </c>
      <c r="Q1098">
        <f>_xlfn.NUMBERVALUE("0.005653")</f>
        <v/>
      </c>
      <c r="R1098">
        <f>_xlfn.NUMBERVALUE("0.008144")</f>
        <v/>
      </c>
      <c r="S1098">
        <f>_xlfn.NUMBERVALUE("0.000314")</f>
        <v/>
      </c>
      <c r="T1098">
        <f>_xlfn.NUMBERVALUE("-0.000965")</f>
        <v/>
      </c>
      <c r="U1098">
        <f>_xlfn.NUMBERVALUE("0.005877")</f>
        <v/>
      </c>
      <c r="V1098">
        <f>_xlfn.NUMBERVALUE("0.004543")</f>
        <v/>
      </c>
      <c r="W1098">
        <f>_xlfn.NUMBERVALUE("0.002231")</f>
        <v/>
      </c>
      <c r="X1098">
        <f>_xlfn.NUMBERVALUE("-3.060000")</f>
        <v/>
      </c>
      <c r="Y1098">
        <f>_xlfn.NUMBERVALUE("16.040000")</f>
        <v/>
      </c>
    </row>
    <row r="1099">
      <c r="A1099" s="1" t="n">
        <v>43598</v>
      </c>
      <c r="B1099">
        <f>_xlfn.NUMBERVALUE("0.000000")</f>
        <v/>
      </c>
      <c r="C1099" s="2">
        <f>_xlfn.NUMBERVALUE("-0.005994")</f>
        <v/>
      </c>
      <c r="D1099">
        <f>_xlfn.NUMBERVALUE("-0.007186")</f>
        <v/>
      </c>
      <c r="E1099">
        <f>_xlfn.NUMBERVALUE("-0.005206")</f>
        <v/>
      </c>
      <c r="F1099">
        <f>_xlfn.NUMBERVALUE("-0.002065")</f>
        <v/>
      </c>
      <c r="G1099">
        <f>_xlfn.NUMBERVALUE("-0.001236")</f>
        <v/>
      </c>
      <c r="H1099">
        <f>_xlfn.NUMBERVALUE("0.013956")</f>
        <v/>
      </c>
      <c r="I1099">
        <f>_xlfn.NUMBERVALUE("-0.006789")</f>
        <v/>
      </c>
      <c r="J1099">
        <f>_xlfn.NUMBERVALUE("-0.000377")</f>
        <v/>
      </c>
      <c r="K1099">
        <f>_xlfn.NUMBERVALUE("0.000770")</f>
        <v/>
      </c>
      <c r="L1099">
        <f>_xlfn.NUMBERVALUE("-0.001573")</f>
        <v/>
      </c>
      <c r="M1099">
        <f>_xlfn.NUMBERVALUE("-0.004300")</f>
        <v/>
      </c>
      <c r="N1099">
        <f>_xlfn.NUMBERVALUE("-0.010316")</f>
        <v/>
      </c>
      <c r="O1099">
        <f>_xlfn.NUMBERVALUE("-0.004903")</f>
        <v/>
      </c>
      <c r="P1099">
        <f>_xlfn.NUMBERVALUE("-0.007696")</f>
        <v/>
      </c>
      <c r="Q1099">
        <f>_xlfn.NUMBERVALUE("-0.006457")</f>
        <v/>
      </c>
      <c r="R1099">
        <f>_xlfn.NUMBERVALUE("-0.011996")</f>
        <v/>
      </c>
      <c r="S1099">
        <f>_xlfn.NUMBERVALUE("-0.001324")</f>
        <v/>
      </c>
      <c r="T1099">
        <f>_xlfn.NUMBERVALUE("-0.002359")</f>
        <v/>
      </c>
      <c r="U1099">
        <f>_xlfn.NUMBERVALUE("-0.007011")</f>
        <v/>
      </c>
      <c r="V1099">
        <f>_xlfn.NUMBERVALUE("-0.005819")</f>
        <v/>
      </c>
      <c r="W1099">
        <f>_xlfn.NUMBERVALUE("-0.023792")</f>
        <v/>
      </c>
      <c r="X1099">
        <f>_xlfn.NUMBERVALUE("4.510000")</f>
        <v/>
      </c>
      <c r="Y1099">
        <f>_xlfn.NUMBERVALUE("20.550000")</f>
        <v/>
      </c>
    </row>
    <row r="1100">
      <c r="A1100" s="1" t="n">
        <v>43599</v>
      </c>
      <c r="B1100">
        <f>_xlfn.NUMBERVALUE("0.000000")</f>
        <v/>
      </c>
      <c r="C1100" s="2">
        <f>_xlfn.NUMBERVALUE("0.002378")</f>
        <v/>
      </c>
      <c r="D1100">
        <f>_xlfn.NUMBERVALUE("0.001498")</f>
        <v/>
      </c>
      <c r="E1100">
        <f>_xlfn.NUMBERVALUE("0.001385")</f>
        <v/>
      </c>
      <c r="F1100">
        <f>_xlfn.NUMBERVALUE("0.001042")</f>
        <v/>
      </c>
      <c r="G1100">
        <f>_xlfn.NUMBERVALUE("0.000947")</f>
        <v/>
      </c>
      <c r="H1100">
        <f>_xlfn.NUMBERVALUE("0.000250")</f>
        <v/>
      </c>
      <c r="I1100">
        <f>_xlfn.NUMBERVALUE("0.001798")</f>
        <v/>
      </c>
      <c r="J1100">
        <f>_xlfn.NUMBERVALUE("0.001003")</f>
        <v/>
      </c>
      <c r="K1100">
        <f>_xlfn.NUMBERVALUE("0.001392")</f>
        <v/>
      </c>
      <c r="L1100">
        <f>_xlfn.NUMBERVALUE("0.001791")</f>
        <v/>
      </c>
      <c r="M1100">
        <f>_xlfn.NUMBERVALUE("0.003705")</f>
        <v/>
      </c>
      <c r="N1100">
        <f>_xlfn.NUMBERVALUE("0.000740")</f>
        <v/>
      </c>
      <c r="O1100">
        <f>_xlfn.NUMBERVALUE("0.004337")</f>
        <v/>
      </c>
      <c r="P1100">
        <f>_xlfn.NUMBERVALUE("0.003138")</f>
        <v/>
      </c>
      <c r="Q1100">
        <f>_xlfn.NUMBERVALUE("0.002345")</f>
        <v/>
      </c>
      <c r="R1100">
        <f>_xlfn.NUMBERVALUE("0.001065")</f>
        <v/>
      </c>
      <c r="S1100">
        <f>_xlfn.NUMBERVALUE("0.001623")</f>
        <v/>
      </c>
      <c r="T1100">
        <f>_xlfn.NUMBERVALUE("0.001917")</f>
        <v/>
      </c>
      <c r="U1100">
        <f>_xlfn.NUMBERVALUE("0.003650")</f>
        <v/>
      </c>
      <c r="V1100">
        <f>_xlfn.NUMBERVALUE("0.001314")</f>
        <v/>
      </c>
      <c r="W1100">
        <f>_xlfn.NUMBERVALUE("0.010084")</f>
        <v/>
      </c>
      <c r="X1100">
        <f>_xlfn.NUMBERVALUE("-2.490000")</f>
        <v/>
      </c>
      <c r="Y1100">
        <f>_xlfn.NUMBERVALUE("18.060000")</f>
        <v/>
      </c>
    </row>
    <row r="1101">
      <c r="A1101" s="1" t="n">
        <v>43600</v>
      </c>
      <c r="B1101">
        <f>_xlfn.NUMBERVALUE("0.000000")</f>
        <v/>
      </c>
      <c r="C1101" s="2">
        <f>_xlfn.NUMBERVALUE("0.001751")</f>
        <v/>
      </c>
      <c r="D1101">
        <f>_xlfn.NUMBERVALUE("0.001748")</f>
        <v/>
      </c>
      <c r="E1101">
        <f>_xlfn.NUMBERVALUE("0.001000")</f>
        <v/>
      </c>
      <c r="F1101">
        <f>_xlfn.NUMBERVALUE("0.000730")</f>
        <v/>
      </c>
      <c r="G1101">
        <f>_xlfn.NUMBERVALUE("0.000151")</f>
        <v/>
      </c>
      <c r="H1101">
        <f>_xlfn.NUMBERVALUE("-0.000832")</f>
        <v/>
      </c>
      <c r="I1101">
        <f>_xlfn.NUMBERVALUE("0.001231")</f>
        <v/>
      </c>
      <c r="J1101">
        <f>_xlfn.NUMBERVALUE("-0.000116")</f>
        <v/>
      </c>
      <c r="K1101">
        <f>_xlfn.NUMBERVALUE("0.001353")</f>
        <v/>
      </c>
      <c r="L1101">
        <f>_xlfn.NUMBERVALUE("-0.000222")</f>
        <v/>
      </c>
      <c r="M1101">
        <f>_xlfn.NUMBERVALUE("0.003139")</f>
        <v/>
      </c>
      <c r="N1101">
        <f>_xlfn.NUMBERVALUE("-0.006407")</f>
        <v/>
      </c>
      <c r="O1101">
        <f>_xlfn.NUMBERVALUE("0.003093")</f>
        <v/>
      </c>
      <c r="P1101">
        <f>_xlfn.NUMBERVALUE("0.002505")</f>
        <v/>
      </c>
      <c r="Q1101">
        <f>_xlfn.NUMBERVALUE("0.003187")</f>
        <v/>
      </c>
      <c r="R1101">
        <f>_xlfn.NUMBERVALUE("0.002442")</f>
        <v/>
      </c>
      <c r="S1101">
        <f>_xlfn.NUMBERVALUE("0.001688")</f>
        <v/>
      </c>
      <c r="T1101">
        <f>_xlfn.NUMBERVALUE("0.002221")</f>
        <v/>
      </c>
      <c r="U1101">
        <f>_xlfn.NUMBERVALUE("0.002365")</f>
        <v/>
      </c>
      <c r="V1101">
        <f>_xlfn.NUMBERVALUE("0.000945")</f>
        <v/>
      </c>
      <c r="W1101">
        <f>_xlfn.NUMBERVALUE("0.006420")</f>
        <v/>
      </c>
      <c r="X1101">
        <f>_xlfn.NUMBERVALUE("-1.620000")</f>
        <v/>
      </c>
      <c r="Y1101">
        <f>_xlfn.NUMBERVALUE("16.440000")</f>
        <v/>
      </c>
    </row>
    <row r="1102">
      <c r="A1102" s="1" t="n">
        <v>43601</v>
      </c>
      <c r="B1102">
        <f>_xlfn.NUMBERVALUE("0.000000")</f>
        <v/>
      </c>
      <c r="C1102" s="2">
        <f>_xlfn.NUMBERVALUE("0.000497")</f>
        <v/>
      </c>
      <c r="D1102">
        <f>_xlfn.NUMBERVALUE("0.000245")</f>
        <v/>
      </c>
      <c r="E1102">
        <f>_xlfn.NUMBERVALUE("0.000945")</f>
        <v/>
      </c>
      <c r="F1102">
        <f>_xlfn.NUMBERVALUE("-0.000276")</f>
        <v/>
      </c>
      <c r="G1102">
        <f>_xlfn.NUMBERVALUE("-0.000178")</f>
        <v/>
      </c>
      <c r="H1102">
        <f>_xlfn.NUMBERVALUE("0.001597")</f>
        <v/>
      </c>
      <c r="I1102">
        <f>_xlfn.NUMBERVALUE("0.000572")</f>
        <v/>
      </c>
      <c r="J1102">
        <f>_xlfn.NUMBERVALUE("-0.000248")</f>
        <v/>
      </c>
      <c r="K1102">
        <f>_xlfn.NUMBERVALUE("-0.004050")</f>
        <v/>
      </c>
      <c r="L1102">
        <f>_xlfn.NUMBERVALUE("0.000961")</f>
        <v/>
      </c>
      <c r="M1102">
        <f>_xlfn.NUMBERVALUE("-0.000260")</f>
        <v/>
      </c>
      <c r="N1102">
        <f>_xlfn.NUMBERVALUE("0.000966")</f>
        <v/>
      </c>
      <c r="O1102">
        <f>_xlfn.NUMBERVALUE("0.002363")</f>
        <v/>
      </c>
      <c r="P1102">
        <f>_xlfn.NUMBERVALUE("0.000724")</f>
        <v/>
      </c>
      <c r="Q1102">
        <f>_xlfn.NUMBERVALUE("0.001265")</f>
        <v/>
      </c>
      <c r="R1102">
        <f>_xlfn.NUMBERVALUE("0.000645")</f>
        <v/>
      </c>
      <c r="S1102">
        <f>_xlfn.NUMBERVALUE("0.000488")</f>
        <v/>
      </c>
      <c r="T1102">
        <f>_xlfn.NUMBERVALUE("0.001166")</f>
        <v/>
      </c>
      <c r="U1102">
        <f>_xlfn.NUMBERVALUE("0.000899")</f>
        <v/>
      </c>
      <c r="V1102">
        <f>_xlfn.NUMBERVALUE("0.000271")</f>
        <v/>
      </c>
      <c r="W1102">
        <f>_xlfn.NUMBERVALUE("0.007291")</f>
        <v/>
      </c>
      <c r="X1102">
        <f>_xlfn.NUMBERVALUE("-1.150000")</f>
        <v/>
      </c>
      <c r="Y1102">
        <f>_xlfn.NUMBERVALUE("15.290000")</f>
        <v/>
      </c>
    </row>
    <row r="1103">
      <c r="A1103" s="1" t="n">
        <v>43602</v>
      </c>
      <c r="B1103">
        <f>_xlfn.NUMBERVALUE("0.000000")</f>
        <v/>
      </c>
      <c r="C1103" s="2">
        <f>_xlfn.NUMBERVALUE("0.001264")</f>
        <v/>
      </c>
      <c r="D1103">
        <f>_xlfn.NUMBERVALUE("-0.000803")</f>
        <v/>
      </c>
      <c r="E1103">
        <f>_xlfn.NUMBERVALUE("0.000122")</f>
        <v/>
      </c>
      <c r="F1103">
        <f>_xlfn.NUMBERVALUE("-0.000745")</f>
        <v/>
      </c>
      <c r="G1103">
        <f>_xlfn.NUMBERVALUE("0.000413")</f>
        <v/>
      </c>
      <c r="H1103">
        <f>_xlfn.NUMBERVALUE("0.000176")</f>
        <v/>
      </c>
      <c r="I1103">
        <f>_xlfn.NUMBERVALUE("-0.000721")</f>
        <v/>
      </c>
      <c r="J1103">
        <f>_xlfn.NUMBERVALUE("0.000458")</f>
        <v/>
      </c>
      <c r="K1103">
        <f>_xlfn.NUMBERVALUE("-0.001195")</f>
        <v/>
      </c>
      <c r="L1103">
        <f>_xlfn.NUMBERVALUE("0.000429")</f>
        <v/>
      </c>
      <c r="M1103">
        <f>_xlfn.NUMBERVALUE("0.000705")</f>
        <v/>
      </c>
      <c r="N1103">
        <f>_xlfn.NUMBERVALUE("0.002086")</f>
        <v/>
      </c>
      <c r="O1103">
        <f>_xlfn.NUMBERVALUE("0.000476")</f>
        <v/>
      </c>
      <c r="P1103">
        <f>_xlfn.NUMBERVALUE("0.000658")</f>
        <v/>
      </c>
      <c r="Q1103">
        <f>_xlfn.NUMBERVALUE("0.000323")</f>
        <v/>
      </c>
      <c r="R1103">
        <f>_xlfn.NUMBERVALUE("0.000864")</f>
        <v/>
      </c>
      <c r="S1103">
        <f>_xlfn.NUMBERVALUE("0.000574")</f>
        <v/>
      </c>
      <c r="T1103">
        <f>_xlfn.NUMBERVALUE("-0.000441")</f>
        <v/>
      </c>
      <c r="U1103">
        <f>_xlfn.NUMBERVALUE("0.000338")</f>
        <v/>
      </c>
      <c r="V1103">
        <f>_xlfn.NUMBERVALUE("0.000169")</f>
        <v/>
      </c>
      <c r="W1103">
        <f>_xlfn.NUMBERVALUE("-0.004663")</f>
        <v/>
      </c>
      <c r="X1103">
        <f>_xlfn.NUMBERVALUE("0.670000")</f>
        <v/>
      </c>
      <c r="Y1103">
        <f>_xlfn.NUMBERVALUE("15.960000")</f>
        <v/>
      </c>
    </row>
    <row r="1104">
      <c r="A1104" s="1" t="n">
        <v>43605</v>
      </c>
      <c r="B1104">
        <f>_xlfn.NUMBERVALUE("0.038628")</f>
        <v/>
      </c>
      <c r="C1104" s="2">
        <f>_xlfn.NUMBERVALUE("0.000311")</f>
        <v/>
      </c>
      <c r="D1104">
        <f>_xlfn.NUMBERVALUE("-0.000294")</f>
        <v/>
      </c>
      <c r="E1104">
        <f>_xlfn.NUMBERVALUE("0.000050")</f>
        <v/>
      </c>
      <c r="F1104">
        <f>_xlfn.NUMBERVALUE("0.000814")</f>
        <v/>
      </c>
      <c r="G1104">
        <f>_xlfn.NUMBERVALUE("-0.000020")</f>
        <v/>
      </c>
      <c r="H1104">
        <f>_xlfn.NUMBERVALUE("-0.000040")</f>
        <v/>
      </c>
      <c r="I1104">
        <f>_xlfn.NUMBERVALUE("-0.000167")</f>
        <v/>
      </c>
      <c r="J1104">
        <f>_xlfn.NUMBERVALUE("0.000236")</f>
        <v/>
      </c>
      <c r="K1104">
        <f>_xlfn.NUMBERVALUE("0.001713")</f>
        <v/>
      </c>
      <c r="L1104">
        <f>_xlfn.NUMBERVALUE("0.000452")</f>
        <v/>
      </c>
      <c r="M1104">
        <f>_xlfn.NUMBERVALUE("0.000438")</f>
        <v/>
      </c>
      <c r="N1104">
        <f>_xlfn.NUMBERVALUE("-0.002958")</f>
        <v/>
      </c>
      <c r="O1104">
        <f>_xlfn.NUMBERVALUE("0.001282")</f>
        <v/>
      </c>
      <c r="P1104">
        <f>_xlfn.NUMBERVALUE("0.000201")</f>
        <v/>
      </c>
      <c r="Q1104">
        <f>_xlfn.NUMBERVALUE("0.000903")</f>
        <v/>
      </c>
      <c r="R1104">
        <f>_xlfn.NUMBERVALUE("-0.002220")</f>
        <v/>
      </c>
      <c r="S1104">
        <f>_xlfn.NUMBERVALUE("0.000631")</f>
        <v/>
      </c>
      <c r="T1104">
        <f>_xlfn.NUMBERVALUE("0.000255")</f>
        <v/>
      </c>
      <c r="U1104">
        <f>_xlfn.NUMBERVALUE("0.000055")</f>
        <v/>
      </c>
      <c r="V1104">
        <f>_xlfn.NUMBERVALUE("-0.000098")</f>
        <v/>
      </c>
      <c r="W1104">
        <f>_xlfn.NUMBERVALUE("-0.006782")</f>
        <v/>
      </c>
      <c r="X1104">
        <f>_xlfn.NUMBERVALUE("0.350000")</f>
        <v/>
      </c>
      <c r="Y1104">
        <f>_xlfn.NUMBERVALUE("16.310000")</f>
        <v/>
      </c>
    </row>
    <row r="1105">
      <c r="A1105" s="1" t="n">
        <v>43606</v>
      </c>
      <c r="B1105">
        <f>_xlfn.NUMBERVALUE("-0.001714")</f>
        <v/>
      </c>
      <c r="C1105" s="2">
        <f>_xlfn.NUMBERVALUE("0.001482")</f>
        <v/>
      </c>
      <c r="D1105">
        <f>_xlfn.NUMBERVALUE("0.000599")</f>
        <v/>
      </c>
      <c r="E1105">
        <f>_xlfn.NUMBERVALUE("0.000995")</f>
        <v/>
      </c>
      <c r="F1105">
        <f>_xlfn.NUMBERVALUE("0.000557")</f>
        <v/>
      </c>
      <c r="G1105">
        <f>_xlfn.NUMBERVALUE("0.000414")</f>
        <v/>
      </c>
      <c r="H1105">
        <f>_xlfn.NUMBERVALUE("-0.000303")</f>
        <v/>
      </c>
      <c r="I1105">
        <f>_xlfn.NUMBERVALUE("0.000553")</f>
        <v/>
      </c>
      <c r="J1105">
        <f>_xlfn.NUMBERVALUE("0.000427")</f>
        <v/>
      </c>
      <c r="K1105">
        <f>_xlfn.NUMBERVALUE("0.000137")</f>
        <v/>
      </c>
      <c r="L1105">
        <f>_xlfn.NUMBERVALUE("0.000790")</f>
        <v/>
      </c>
      <c r="M1105">
        <f>_xlfn.NUMBERVALUE("-0.000082")</f>
        <v/>
      </c>
      <c r="N1105">
        <f>_xlfn.NUMBERVALUE("0.002073")</f>
        <v/>
      </c>
      <c r="O1105">
        <f>_xlfn.NUMBERVALUE("0.001016")</f>
        <v/>
      </c>
      <c r="P1105">
        <f>_xlfn.NUMBERVALUE("0.002333")</f>
        <v/>
      </c>
      <c r="Q1105">
        <f>_xlfn.NUMBERVALUE("0.001801")</f>
        <v/>
      </c>
      <c r="R1105">
        <f>_xlfn.NUMBERVALUE("0.001381")</f>
        <v/>
      </c>
      <c r="S1105">
        <f>_xlfn.NUMBERVALUE("0.002371")</f>
        <v/>
      </c>
      <c r="T1105">
        <f>_xlfn.NUMBERVALUE("0.001674")</f>
        <v/>
      </c>
      <c r="U1105">
        <f>_xlfn.NUMBERVALUE("0.002170")</f>
        <v/>
      </c>
      <c r="V1105">
        <f>_xlfn.NUMBERVALUE("0.000943")</f>
        <v/>
      </c>
      <c r="W1105">
        <f>_xlfn.NUMBERVALUE("0.008307")</f>
        <v/>
      </c>
      <c r="X1105">
        <f>_xlfn.NUMBERVALUE("-1.360000")</f>
        <v/>
      </c>
      <c r="Y1105">
        <f>_xlfn.NUMBERVALUE("14.950000")</f>
        <v/>
      </c>
    </row>
    <row r="1106">
      <c r="A1106" s="1" t="n">
        <v>43607</v>
      </c>
      <c r="B1106">
        <f>_xlfn.NUMBERVALUE("-0.003711")</f>
        <v/>
      </c>
      <c r="C1106" s="2">
        <f>_xlfn.NUMBERVALUE("0.000871")</f>
        <v/>
      </c>
      <c r="D1106">
        <f>_xlfn.NUMBERVALUE("-0.000256")</f>
        <v/>
      </c>
      <c r="E1106">
        <f>_xlfn.NUMBERVALUE("-0.000008")</f>
        <v/>
      </c>
      <c r="F1106">
        <f>_xlfn.NUMBERVALUE("0.000598")</f>
        <v/>
      </c>
      <c r="G1106">
        <f>_xlfn.NUMBERVALUE("-0.000380")</f>
        <v/>
      </c>
      <c r="H1106">
        <f>_xlfn.NUMBERVALUE("0.000454")</f>
        <v/>
      </c>
      <c r="I1106">
        <f>_xlfn.NUMBERVALUE("-0.000435")</f>
        <v/>
      </c>
      <c r="J1106">
        <f>_xlfn.NUMBERVALUE("-0.000101")</f>
        <v/>
      </c>
      <c r="K1106">
        <f>_xlfn.NUMBERVALUE("0.000308")</f>
        <v/>
      </c>
      <c r="L1106">
        <f>_xlfn.NUMBERVALUE("-0.000320")</f>
        <v/>
      </c>
      <c r="M1106">
        <f>_xlfn.NUMBERVALUE("0.001526")</f>
        <v/>
      </c>
      <c r="N1106">
        <f>_xlfn.NUMBERVALUE("0.001382")</f>
        <v/>
      </c>
      <c r="O1106">
        <f>_xlfn.NUMBERVALUE("-0.000068")</f>
        <v/>
      </c>
      <c r="P1106">
        <f>_xlfn.NUMBERVALUE("0.001316")</f>
        <v/>
      </c>
      <c r="Q1106">
        <f>_xlfn.NUMBERVALUE("0.001148")</f>
        <v/>
      </c>
      <c r="R1106">
        <f>_xlfn.NUMBERVALUE("0.001806")</f>
        <v/>
      </c>
      <c r="S1106">
        <f>_xlfn.NUMBERVALUE("0.000219")</f>
        <v/>
      </c>
      <c r="T1106">
        <f>_xlfn.NUMBERVALUE("-0.000302")</f>
        <v/>
      </c>
      <c r="U1106">
        <f>_xlfn.NUMBERVALUE("0.000404")</f>
        <v/>
      </c>
      <c r="V1106">
        <f>_xlfn.NUMBERVALUE("0.000794")</f>
        <v/>
      </c>
      <c r="W1106">
        <f>_xlfn.NUMBERVALUE("-0.001676")</f>
        <v/>
      </c>
      <c r="X1106">
        <f>_xlfn.NUMBERVALUE("-0.200000")</f>
        <v/>
      </c>
      <c r="Y1106">
        <f>_xlfn.NUMBERVALUE("14.750000")</f>
        <v/>
      </c>
    </row>
    <row r="1107">
      <c r="A1107" s="1" t="n">
        <v>43608</v>
      </c>
      <c r="B1107">
        <f>_xlfn.NUMBERVALUE("-0.005113")</f>
        <v/>
      </c>
      <c r="C1107" s="2">
        <f>_xlfn.NUMBERVALUE("-0.002215")</f>
        <v/>
      </c>
      <c r="D1107">
        <f>_xlfn.NUMBERVALUE("-0.000028")</f>
        <v/>
      </c>
      <c r="E1107">
        <f>_xlfn.NUMBERVALUE("-0.000846")</f>
        <v/>
      </c>
      <c r="F1107">
        <f>_xlfn.NUMBERVALUE("-0.001520")</f>
        <v/>
      </c>
      <c r="G1107">
        <f>_xlfn.NUMBERVALUE("-0.000598")</f>
        <v/>
      </c>
      <c r="H1107">
        <f>_xlfn.NUMBERVALUE("-0.002018")</f>
        <v/>
      </c>
      <c r="I1107">
        <f>_xlfn.NUMBERVALUE("-0.000996")</f>
        <v/>
      </c>
      <c r="J1107">
        <f>_xlfn.NUMBERVALUE("-0.000846")</f>
        <v/>
      </c>
      <c r="K1107">
        <f>_xlfn.NUMBERVALUE("0.000971")</f>
        <v/>
      </c>
      <c r="L1107">
        <f>_xlfn.NUMBERVALUE("-0.003030")</f>
        <v/>
      </c>
      <c r="M1107">
        <f>_xlfn.NUMBERVALUE("-0.004244")</f>
        <v/>
      </c>
      <c r="N1107">
        <f>_xlfn.NUMBERVALUE("-0.003251")</f>
        <v/>
      </c>
      <c r="O1107">
        <f>_xlfn.NUMBERVALUE("-0.015432")</f>
        <v/>
      </c>
      <c r="P1107">
        <f>_xlfn.NUMBERVALUE("-0.005568")</f>
        <v/>
      </c>
      <c r="Q1107">
        <f>_xlfn.NUMBERVALUE("-0.005430")</f>
        <v/>
      </c>
      <c r="R1107">
        <f>_xlfn.NUMBERVALUE("-0.004716")</f>
        <v/>
      </c>
      <c r="S1107">
        <f>_xlfn.NUMBERVALUE("-0.002208")</f>
        <v/>
      </c>
      <c r="T1107">
        <f>_xlfn.NUMBERVALUE("-0.000336")</f>
        <v/>
      </c>
      <c r="U1107">
        <f>_xlfn.NUMBERVALUE("-0.002919")</f>
        <v/>
      </c>
      <c r="V1107">
        <f>_xlfn.NUMBERVALUE("-0.001836")</f>
        <v/>
      </c>
      <c r="W1107">
        <f>_xlfn.NUMBERVALUE("-0.015386")</f>
        <v/>
      </c>
      <c r="X1107">
        <f>_xlfn.NUMBERVALUE("2.170000")</f>
        <v/>
      </c>
      <c r="Y1107">
        <f>_xlfn.NUMBERVALUE("16.920000")</f>
        <v/>
      </c>
    </row>
    <row r="1108">
      <c r="A1108" s="1" t="n">
        <v>43609</v>
      </c>
      <c r="B1108">
        <f>_xlfn.NUMBERVALUE("0.004801")</f>
        <v/>
      </c>
      <c r="C1108" s="2">
        <f>_xlfn.NUMBERVALUE("0.000694")</f>
        <v/>
      </c>
      <c r="D1108">
        <f>_xlfn.NUMBERVALUE("-0.000319")</f>
        <v/>
      </c>
      <c r="E1108">
        <f>_xlfn.NUMBERVALUE("0.000122")</f>
        <v/>
      </c>
      <c r="F1108">
        <f>_xlfn.NUMBERVALUE("0.001547")</f>
        <v/>
      </c>
      <c r="G1108">
        <f>_xlfn.NUMBERVALUE("0.001098")</f>
        <v/>
      </c>
      <c r="H1108">
        <f>_xlfn.NUMBERVALUE("0.000927")</f>
        <v/>
      </c>
      <c r="I1108">
        <f>_xlfn.NUMBERVALUE("0.000228")</f>
        <v/>
      </c>
      <c r="J1108">
        <f>_xlfn.NUMBERVALUE("0.000375")</f>
        <v/>
      </c>
      <c r="K1108">
        <f>_xlfn.NUMBERVALUE("-0.000382")</f>
        <v/>
      </c>
      <c r="L1108">
        <f>_xlfn.NUMBERVALUE("0.000378")</f>
        <v/>
      </c>
      <c r="M1108">
        <f>_xlfn.NUMBERVALUE("0.001734")</f>
        <v/>
      </c>
      <c r="N1108">
        <f>_xlfn.NUMBERVALUE("0.002572")</f>
        <v/>
      </c>
      <c r="O1108">
        <f>_xlfn.NUMBERVALUE("0.003234")</f>
        <v/>
      </c>
      <c r="P1108">
        <f>_xlfn.NUMBERVALUE("0.001158")</f>
        <v/>
      </c>
      <c r="Q1108">
        <f>_xlfn.NUMBERVALUE("0.002157")</f>
        <v/>
      </c>
      <c r="R1108">
        <f>_xlfn.NUMBERVALUE("0.001783")</f>
        <v/>
      </c>
      <c r="S1108">
        <f>_xlfn.NUMBERVALUE("0.001874")</f>
        <v/>
      </c>
      <c r="T1108">
        <f>_xlfn.NUMBERVALUE("0.000625")</f>
        <v/>
      </c>
      <c r="U1108">
        <f>_xlfn.NUMBERVALUE("0.002004")</f>
        <v/>
      </c>
      <c r="V1108">
        <f>_xlfn.NUMBERVALUE("0.000287")</f>
        <v/>
      </c>
      <c r="W1108">
        <f>_xlfn.NUMBERVALUE("0.004510")</f>
        <v/>
      </c>
      <c r="X1108">
        <f>_xlfn.NUMBERVALUE("-1.070000")</f>
        <v/>
      </c>
      <c r="Y1108">
        <f>_xlfn.NUMBERVALUE("15.850000")</f>
        <v/>
      </c>
    </row>
    <row r="1109">
      <c r="A1109" s="1" t="n">
        <v>43613</v>
      </c>
      <c r="B1109">
        <f>_xlfn.NUMBERVALUE("-0.002211")</f>
        <v/>
      </c>
      <c r="C1109" s="2">
        <f>_xlfn.NUMBERVALUE("-0.000621")</f>
        <v/>
      </c>
      <c r="D1109">
        <f>_xlfn.NUMBERVALUE("-0.000003")</f>
        <v/>
      </c>
      <c r="E1109">
        <f>_xlfn.NUMBERVALUE("-0.000624")</f>
        <v/>
      </c>
      <c r="F1109">
        <f>_xlfn.NUMBERVALUE("0.000091")</f>
        <v/>
      </c>
      <c r="G1109">
        <f>_xlfn.NUMBERVALUE("-0.000413")</f>
        <v/>
      </c>
      <c r="H1109">
        <f>_xlfn.NUMBERVALUE("-0.005828")</f>
        <v/>
      </c>
      <c r="I1109">
        <f>_xlfn.NUMBERVALUE("-0.000150")</f>
        <v/>
      </c>
      <c r="J1109">
        <f>_xlfn.NUMBERVALUE("-0.000254")</f>
        <v/>
      </c>
      <c r="K1109">
        <f>_xlfn.NUMBERVALUE("-0.001346")</f>
        <v/>
      </c>
      <c r="L1109">
        <f>_xlfn.NUMBERVALUE("-0.000301")</f>
        <v/>
      </c>
      <c r="M1109">
        <f>_xlfn.NUMBERVALUE("0.000519")</f>
        <v/>
      </c>
      <c r="N1109">
        <f>_xlfn.NUMBERVALUE("0.000335")</f>
        <v/>
      </c>
      <c r="O1109">
        <f>_xlfn.NUMBERVALUE("-0.000188")</f>
        <v/>
      </c>
      <c r="P1109">
        <f>_xlfn.NUMBERVALUE("-0.001158")</f>
        <v/>
      </c>
      <c r="Q1109">
        <f>_xlfn.NUMBERVALUE("-0.000195")</f>
        <v/>
      </c>
      <c r="R1109">
        <f>_xlfn.NUMBERVALUE("0.000539")</f>
        <v/>
      </c>
      <c r="S1109">
        <f>_xlfn.NUMBERVALUE("-0.002906")</f>
        <v/>
      </c>
      <c r="T1109">
        <f>_xlfn.NUMBERVALUE("-0.001476")</f>
        <v/>
      </c>
      <c r="U1109">
        <f>_xlfn.NUMBERVALUE("0.000061")</f>
        <v/>
      </c>
      <c r="V1109">
        <f>_xlfn.NUMBERVALUE("-0.000392")</f>
        <v/>
      </c>
      <c r="W1109">
        <f>_xlfn.NUMBERVALUE("-0.008344")</f>
        <v/>
      </c>
      <c r="X1109">
        <f>_xlfn.NUMBERVALUE("1.650000")</f>
        <v/>
      </c>
      <c r="Y1109">
        <f>_xlfn.NUMBERVALUE("17.500000")</f>
        <v/>
      </c>
    </row>
    <row r="1110">
      <c r="A1110" s="1" t="n">
        <v>43614</v>
      </c>
      <c r="B1110">
        <f>_xlfn.NUMBERVALUE("-0.003284")</f>
        <v/>
      </c>
      <c r="C1110" s="2">
        <f>_xlfn.NUMBERVALUE("-0.000718")</f>
        <v/>
      </c>
      <c r="D1110">
        <f>_xlfn.NUMBERVALUE("-0.000060")</f>
        <v/>
      </c>
      <c r="E1110">
        <f>_xlfn.NUMBERVALUE("-0.000094")</f>
        <v/>
      </c>
      <c r="F1110">
        <f>_xlfn.NUMBERVALUE("0.000886")</f>
        <v/>
      </c>
      <c r="G1110">
        <f>_xlfn.NUMBERVALUE("-0.000648")</f>
        <v/>
      </c>
      <c r="H1110">
        <f>_xlfn.NUMBERVALUE("0.005421")</f>
        <v/>
      </c>
      <c r="I1110">
        <f>_xlfn.NUMBERVALUE("-0.000355")</f>
        <v/>
      </c>
      <c r="J1110">
        <f>_xlfn.NUMBERVALUE("0.000451")</f>
        <v/>
      </c>
      <c r="K1110">
        <f>_xlfn.NUMBERVALUE("0.000588")</f>
        <v/>
      </c>
      <c r="L1110">
        <f>_xlfn.NUMBERVALUE("0.000070")</f>
        <v/>
      </c>
      <c r="M1110">
        <f>_xlfn.NUMBERVALUE("0.000718")</f>
        <v/>
      </c>
      <c r="N1110">
        <f>_xlfn.NUMBERVALUE("0.001057")</f>
        <v/>
      </c>
      <c r="O1110">
        <f>_xlfn.NUMBERVALUE("0.000297")</f>
        <v/>
      </c>
      <c r="P1110">
        <f>_xlfn.NUMBERVALUE("0.000940")</f>
        <v/>
      </c>
      <c r="Q1110">
        <f>_xlfn.NUMBERVALUE("0.000205")</f>
        <v/>
      </c>
      <c r="R1110">
        <f>_xlfn.NUMBERVALUE("-0.000289")</f>
        <v/>
      </c>
      <c r="S1110">
        <f>_xlfn.NUMBERVALUE("-0.000077")</f>
        <v/>
      </c>
      <c r="T1110">
        <f>_xlfn.NUMBERVALUE("-0.000032")</f>
        <v/>
      </c>
      <c r="U1110">
        <f>_xlfn.NUMBERVALUE("-0.000684")</f>
        <v/>
      </c>
      <c r="V1110">
        <f>_xlfn.NUMBERVALUE("-0.000145")</f>
        <v/>
      </c>
      <c r="W1110">
        <f>_xlfn.NUMBERVALUE("-0.007130")</f>
        <v/>
      </c>
      <c r="X1110">
        <f>_xlfn.NUMBERVALUE("0.400000")</f>
        <v/>
      </c>
      <c r="Y1110">
        <f>_xlfn.NUMBERVALUE("17.900000")</f>
        <v/>
      </c>
    </row>
    <row r="1111">
      <c r="A1111" s="1" t="n">
        <v>43615</v>
      </c>
      <c r="B1111">
        <f>_xlfn.NUMBERVALUE("0.004243")</f>
        <v/>
      </c>
      <c r="C1111" s="2">
        <f>_xlfn.NUMBERVALUE("0.000402")</f>
        <v/>
      </c>
      <c r="D1111">
        <f>_xlfn.NUMBERVALUE("-0.000092")</f>
        <v/>
      </c>
      <c r="E1111">
        <f>_xlfn.NUMBERVALUE("0.000049")</f>
        <v/>
      </c>
      <c r="F1111">
        <f>_xlfn.NUMBERVALUE("-0.000670")</f>
        <v/>
      </c>
      <c r="G1111">
        <f>_xlfn.NUMBERVALUE("0.000057")</f>
        <v/>
      </c>
      <c r="H1111">
        <f>_xlfn.NUMBERVALUE("0.000168")</f>
        <v/>
      </c>
      <c r="I1111">
        <f>_xlfn.NUMBERVALUE("0.000127")</f>
        <v/>
      </c>
      <c r="J1111">
        <f>_xlfn.NUMBERVALUE("-0.000623")</f>
        <v/>
      </c>
      <c r="K1111">
        <f>_xlfn.NUMBERVALUE("0.001048")</f>
        <v/>
      </c>
      <c r="L1111">
        <f>_xlfn.NUMBERVALUE("-0.000151")</f>
        <v/>
      </c>
      <c r="M1111">
        <f>_xlfn.NUMBERVALUE("0.001102")</f>
        <v/>
      </c>
      <c r="N1111">
        <f>_xlfn.NUMBERVALUE("-0.000422")</f>
        <v/>
      </c>
      <c r="O1111">
        <f>_xlfn.NUMBERVALUE("-0.000225")</f>
        <v/>
      </c>
      <c r="P1111">
        <f>_xlfn.NUMBERVALUE("0.000347")</f>
        <v/>
      </c>
      <c r="Q1111">
        <f>_xlfn.NUMBERVALUE("0.000660")</f>
        <v/>
      </c>
      <c r="R1111">
        <f>_xlfn.NUMBERVALUE("0.001515")</f>
        <v/>
      </c>
      <c r="S1111">
        <f>_xlfn.NUMBERVALUE("0.001314")</f>
        <v/>
      </c>
      <c r="T1111">
        <f>_xlfn.NUMBERVALUE("0.001687")</f>
        <v/>
      </c>
      <c r="U1111">
        <f>_xlfn.NUMBERVALUE("0.000764")</f>
        <v/>
      </c>
      <c r="V1111">
        <f>_xlfn.NUMBERVALUE("-0.000101")</f>
        <v/>
      </c>
      <c r="W1111">
        <f>_xlfn.NUMBERVALUE("0.001795")</f>
        <v/>
      </c>
      <c r="X1111">
        <f>_xlfn.NUMBERVALUE("-0.600000")</f>
        <v/>
      </c>
      <c r="Y1111">
        <f>_xlfn.NUMBERVALUE("17.300000")</f>
        <v/>
      </c>
    </row>
    <row r="1112">
      <c r="A1112" s="1" t="n">
        <v>43616</v>
      </c>
      <c r="B1112">
        <f>_xlfn.NUMBERVALUE("0.000776")</f>
        <v/>
      </c>
      <c r="C1112" s="2">
        <f>_xlfn.NUMBERVALUE("-0.000146")</f>
        <v/>
      </c>
      <c r="D1112">
        <f>_xlfn.NUMBERVALUE("-0.000044")</f>
        <v/>
      </c>
      <c r="E1112">
        <f>_xlfn.NUMBERVALUE("-0.000173")</f>
        <v/>
      </c>
      <c r="F1112">
        <f>_xlfn.NUMBERVALUE("-0.005121")</f>
        <v/>
      </c>
      <c r="G1112">
        <f>_xlfn.NUMBERVALUE("-0.001227")</f>
        <v/>
      </c>
      <c r="H1112">
        <f>_xlfn.NUMBERVALUE("0.001576")</f>
        <v/>
      </c>
      <c r="I1112">
        <f>_xlfn.NUMBERVALUE("-0.000015")</f>
        <v/>
      </c>
      <c r="J1112">
        <f>_xlfn.NUMBERVALUE("0.000128")</f>
        <v/>
      </c>
      <c r="K1112">
        <f>_xlfn.NUMBERVALUE("-0.000223")</f>
        <v/>
      </c>
      <c r="L1112">
        <f>_xlfn.NUMBERVALUE("0.000854")</f>
        <v/>
      </c>
      <c r="M1112">
        <f>_xlfn.NUMBERVALUE("-0.001183")</f>
        <v/>
      </c>
      <c r="N1112">
        <f>_xlfn.NUMBERVALUE("-0.001287")</f>
        <v/>
      </c>
      <c r="O1112">
        <f>_xlfn.NUMBERVALUE("-0.000451")</f>
        <v/>
      </c>
      <c r="P1112">
        <f>_xlfn.NUMBERVALUE("-0.000965")</f>
        <v/>
      </c>
      <c r="Q1112">
        <f>_xlfn.NUMBERVALUE("-0.001115")</f>
        <v/>
      </c>
      <c r="R1112">
        <f>_xlfn.NUMBERVALUE("-0.001439")</f>
        <v/>
      </c>
      <c r="S1112">
        <f>_xlfn.NUMBERVALUE("-0.002287")</f>
        <v/>
      </c>
      <c r="T1112">
        <f>_xlfn.NUMBERVALUE("-0.000386")</f>
        <v/>
      </c>
      <c r="U1112">
        <f>_xlfn.NUMBERVALUE("-0.000558")</f>
        <v/>
      </c>
      <c r="V1112">
        <f>_xlfn.NUMBERVALUE("-0.000077")</f>
        <v/>
      </c>
      <c r="W1112">
        <f>_xlfn.NUMBERVALUE("-0.012115")</f>
        <v/>
      </c>
      <c r="X1112">
        <f>_xlfn.NUMBERVALUE("1.410000")</f>
        <v/>
      </c>
      <c r="Y1112">
        <f>_xlfn.NUMBERVALUE("18.710000")</f>
        <v/>
      </c>
    </row>
    <row r="1113">
      <c r="A1113" s="1" t="n">
        <v>43619</v>
      </c>
      <c r="B1113">
        <f>_xlfn.NUMBERVALUE("-0.000535")</f>
        <v/>
      </c>
      <c r="C1113" s="2">
        <f>_xlfn.NUMBERVALUE("-0.000173")</f>
        <v/>
      </c>
      <c r="D1113">
        <f>_xlfn.NUMBERVALUE("-0.000069")</f>
        <v/>
      </c>
      <c r="E1113">
        <f>_xlfn.NUMBERVALUE("-0.000029")</f>
        <v/>
      </c>
      <c r="F1113">
        <f>_xlfn.NUMBERVALUE("-0.000752")</f>
        <v/>
      </c>
      <c r="G1113">
        <f>_xlfn.NUMBERVALUE("0.002759")</f>
        <v/>
      </c>
      <c r="H1113">
        <f>_xlfn.NUMBERVALUE("-0.002095")</f>
        <v/>
      </c>
      <c r="I1113">
        <f>_xlfn.NUMBERVALUE("-0.000093")</f>
        <v/>
      </c>
      <c r="J1113">
        <f>_xlfn.NUMBERVALUE("-0.000636")</f>
        <v/>
      </c>
      <c r="K1113">
        <f>_xlfn.NUMBERVALUE("0.001484")</f>
        <v/>
      </c>
      <c r="L1113">
        <f>_xlfn.NUMBERVALUE("-0.001629")</f>
        <v/>
      </c>
      <c r="M1113">
        <f>_xlfn.NUMBERVALUE("-0.004157")</f>
        <v/>
      </c>
      <c r="N1113">
        <f>_xlfn.NUMBERVALUE("-0.004895")</f>
        <v/>
      </c>
      <c r="O1113">
        <f>_xlfn.NUMBERVALUE("-0.000056")</f>
        <v/>
      </c>
      <c r="P1113">
        <f>_xlfn.NUMBERVALUE("0.000673")</f>
        <v/>
      </c>
      <c r="Q1113">
        <f>_xlfn.NUMBERVALUE("0.000343")</f>
        <v/>
      </c>
      <c r="R1113">
        <f>_xlfn.NUMBERVALUE("-0.000564")</f>
        <v/>
      </c>
      <c r="S1113">
        <f>_xlfn.NUMBERVALUE("0.000966")</f>
        <v/>
      </c>
      <c r="T1113">
        <f>_xlfn.NUMBERVALUE("0.000310")</f>
        <v/>
      </c>
      <c r="U1113">
        <f>_xlfn.NUMBERVALUE("-0.001594")</f>
        <v/>
      </c>
      <c r="V1113">
        <f>_xlfn.NUMBERVALUE("-0.000114")</f>
        <v/>
      </c>
      <c r="W1113">
        <f>_xlfn.NUMBERVALUE("-0.005914")</f>
        <v/>
      </c>
      <c r="X1113">
        <f>_xlfn.NUMBERVALUE("0.150000")</f>
        <v/>
      </c>
      <c r="Y1113">
        <f>_xlfn.NUMBERVALUE("18.860000")</f>
        <v/>
      </c>
    </row>
    <row r="1114">
      <c r="A1114" s="1" t="n">
        <v>43620</v>
      </c>
      <c r="B1114">
        <f>_xlfn.NUMBERVALUE("0.000212")</f>
        <v/>
      </c>
      <c r="C1114" s="2">
        <f>_xlfn.NUMBERVALUE("-0.000064")</f>
        <v/>
      </c>
      <c r="D1114">
        <f>_xlfn.NUMBERVALUE("0.000007")</f>
        <v/>
      </c>
      <c r="E1114">
        <f>_xlfn.NUMBERVALUE("-0.000052")</f>
        <v/>
      </c>
      <c r="F1114">
        <f>_xlfn.NUMBERVALUE("-0.000095")</f>
        <v/>
      </c>
      <c r="G1114">
        <f>_xlfn.NUMBERVALUE("-0.000152")</f>
        <v/>
      </c>
      <c r="H1114">
        <f>_xlfn.NUMBERVALUE("0.000113")</f>
        <v/>
      </c>
      <c r="I1114">
        <f>_xlfn.NUMBERVALUE("-0.000075")</f>
        <v/>
      </c>
      <c r="J1114">
        <f>_xlfn.NUMBERVALUE("0.000054")</f>
        <v/>
      </c>
      <c r="K1114">
        <f>_xlfn.NUMBERVALUE("0.002633")</f>
        <v/>
      </c>
      <c r="L1114">
        <f>_xlfn.NUMBERVALUE("-0.000159")</f>
        <v/>
      </c>
      <c r="M1114">
        <f>_xlfn.NUMBERVALUE("-0.012893")</f>
        <v/>
      </c>
      <c r="N1114">
        <f>_xlfn.NUMBERVALUE("0.001730")</f>
        <v/>
      </c>
      <c r="O1114">
        <f>_xlfn.NUMBERVALUE("0.000333")</f>
        <v/>
      </c>
      <c r="P1114">
        <f>_xlfn.NUMBERVALUE("-0.000727")</f>
        <v/>
      </c>
      <c r="Q1114">
        <f>_xlfn.NUMBERVALUE("-0.001594")</f>
        <v/>
      </c>
      <c r="R1114">
        <f>_xlfn.NUMBERVALUE("-0.000369")</f>
        <v/>
      </c>
      <c r="S1114">
        <f>_xlfn.NUMBERVALUE("-0.000139")</f>
        <v/>
      </c>
      <c r="T1114">
        <f>_xlfn.NUMBERVALUE("0.000080")</f>
        <v/>
      </c>
      <c r="U1114">
        <f>_xlfn.NUMBERVALUE("0.001175")</f>
        <v/>
      </c>
      <c r="V1114">
        <f>_xlfn.NUMBERVALUE("-0.000075")</f>
        <v/>
      </c>
      <c r="W1114">
        <f>_xlfn.NUMBERVALUE("0.021315")</f>
        <v/>
      </c>
      <c r="X1114">
        <f>_xlfn.NUMBERVALUE("-1.890000")</f>
        <v/>
      </c>
      <c r="Y1114">
        <f>_xlfn.NUMBERVALUE("16.970000")</f>
        <v/>
      </c>
    </row>
    <row r="1115">
      <c r="A1115" s="1" t="n">
        <v>43621</v>
      </c>
      <c r="B1115">
        <f>_xlfn.NUMBERVALUE("-0.000045")</f>
        <v/>
      </c>
      <c r="C1115" s="2">
        <f>_xlfn.NUMBERVALUE("-0.000016")</f>
        <v/>
      </c>
      <c r="D1115">
        <f>_xlfn.NUMBERVALUE("0.000008")</f>
        <v/>
      </c>
      <c r="E1115">
        <f>_xlfn.NUMBERVALUE("-0.000015")</f>
        <v/>
      </c>
      <c r="F1115">
        <f>_xlfn.NUMBERVALUE("0.000049")</f>
        <v/>
      </c>
      <c r="G1115">
        <f>_xlfn.NUMBERVALUE("0.000102")</f>
        <v/>
      </c>
      <c r="H1115">
        <f>_xlfn.NUMBERVALUE("-0.000116")</f>
        <v/>
      </c>
      <c r="I1115">
        <f>_xlfn.NUMBERVALUE("-0.000050")</f>
        <v/>
      </c>
      <c r="J1115">
        <f>_xlfn.NUMBERVALUE("-0.000014")</f>
        <v/>
      </c>
      <c r="K1115">
        <f>_xlfn.NUMBERVALUE("0.000929")</f>
        <v/>
      </c>
      <c r="L1115">
        <f>_xlfn.NUMBERVALUE("0.000067")</f>
        <v/>
      </c>
      <c r="M1115">
        <f>_xlfn.NUMBERVALUE("0.000013")</f>
        <v/>
      </c>
      <c r="N1115">
        <f>_xlfn.NUMBERVALUE("0.000823")</f>
        <v/>
      </c>
      <c r="O1115">
        <f>_xlfn.NUMBERVALUE("-0.000276")</f>
        <v/>
      </c>
      <c r="P1115">
        <f>_xlfn.NUMBERVALUE("0.000397")</f>
        <v/>
      </c>
      <c r="Q1115">
        <f>_xlfn.NUMBERVALUE("-0.000259")</f>
        <v/>
      </c>
      <c r="R1115">
        <f>_xlfn.NUMBERVALUE("0.000066")</f>
        <v/>
      </c>
      <c r="S1115">
        <f>_xlfn.NUMBERVALUE("-0.004277")</f>
        <v/>
      </c>
      <c r="T1115">
        <f>_xlfn.NUMBERVALUE("-0.002102")</f>
        <v/>
      </c>
      <c r="U1115">
        <f>_xlfn.NUMBERVALUE("0.000155")</f>
        <v/>
      </c>
      <c r="V1115">
        <f>_xlfn.NUMBERVALUE("-0.000036")</f>
        <v/>
      </c>
      <c r="W1115">
        <f>_xlfn.NUMBERVALUE("0.004717")</f>
        <v/>
      </c>
      <c r="X1115">
        <f>_xlfn.NUMBERVALUE("-0.880000")</f>
        <v/>
      </c>
      <c r="Y1115">
        <f>_xlfn.NUMBERVALUE("16.090000")</f>
        <v/>
      </c>
    </row>
    <row r="1116">
      <c r="A1116" s="1" t="n">
        <v>43622</v>
      </c>
      <c r="B1116">
        <f>_xlfn.NUMBERVALUE("-0.024564")</f>
        <v/>
      </c>
      <c r="C1116" s="2">
        <f>_xlfn.NUMBERVALUE("-0.000049")</f>
        <v/>
      </c>
      <c r="D1116">
        <f>_xlfn.NUMBERVALUE("0.002120")</f>
        <v/>
      </c>
      <c r="E1116">
        <f>_xlfn.NUMBERVALUE("0.000943")</f>
        <v/>
      </c>
      <c r="F1116">
        <f>_xlfn.NUMBERVALUE("0.000257")</f>
        <v/>
      </c>
      <c r="G1116">
        <f>_xlfn.NUMBERVALUE("0.000062")</f>
        <v/>
      </c>
      <c r="H1116">
        <f>_xlfn.NUMBERVALUE("0.000940")</f>
        <v/>
      </c>
      <c r="I1116">
        <f>_xlfn.NUMBERVALUE("0.001222")</f>
        <v/>
      </c>
      <c r="J1116">
        <f>_xlfn.NUMBERVALUE("-0.000783")</f>
        <v/>
      </c>
      <c r="K1116">
        <f>_xlfn.NUMBERVALUE("-0.000133")</f>
        <v/>
      </c>
      <c r="L1116">
        <f>_xlfn.NUMBERVALUE("0.000032")</f>
        <v/>
      </c>
      <c r="M1116">
        <f>_xlfn.NUMBERVALUE("-0.001309")</f>
        <v/>
      </c>
      <c r="N1116">
        <f>_xlfn.NUMBERVALUE("-0.000555")</f>
        <v/>
      </c>
      <c r="O1116">
        <f>_xlfn.NUMBERVALUE("0.000010")</f>
        <v/>
      </c>
      <c r="P1116">
        <f>_xlfn.NUMBERVALUE("0.001010")</f>
        <v/>
      </c>
      <c r="Q1116">
        <f>_xlfn.NUMBERVALUE("0.002082")</f>
        <v/>
      </c>
      <c r="R1116">
        <f>_xlfn.NUMBERVALUE("0.000406")</f>
        <v/>
      </c>
      <c r="S1116">
        <f>_xlfn.NUMBERVALUE("-0.001132")</f>
        <v/>
      </c>
      <c r="T1116">
        <f>_xlfn.NUMBERVALUE("-0.000045")</f>
        <v/>
      </c>
      <c r="U1116">
        <f>_xlfn.NUMBERVALUE("0.000104")</f>
        <v/>
      </c>
      <c r="V1116">
        <f>_xlfn.NUMBERVALUE("-0.000347")</f>
        <v/>
      </c>
      <c r="W1116">
        <f>_xlfn.NUMBERVALUE("0.008815")</f>
        <v/>
      </c>
      <c r="X1116">
        <f>_xlfn.NUMBERVALUE("-0.160000")</f>
        <v/>
      </c>
      <c r="Y1116">
        <f>_xlfn.NUMBERVALUE("15.930000")</f>
        <v/>
      </c>
    </row>
    <row r="1117">
      <c r="A1117" s="1" t="n">
        <v>43623</v>
      </c>
      <c r="B1117">
        <f>_xlfn.NUMBERVALUE("0.032673")</f>
        <v/>
      </c>
      <c r="C1117" s="2">
        <f>_xlfn.NUMBERVALUE("-0.001012")</f>
        <v/>
      </c>
      <c r="D1117">
        <f>_xlfn.NUMBERVALUE("0.000183")</f>
        <v/>
      </c>
      <c r="E1117">
        <f>_xlfn.NUMBERVALUE("-0.002956")</f>
        <v/>
      </c>
      <c r="F1117">
        <f>_xlfn.NUMBERVALUE("0.000831")</f>
        <v/>
      </c>
      <c r="G1117">
        <f>_xlfn.NUMBERVALUE("0.000061")</f>
        <v/>
      </c>
      <c r="H1117">
        <f>_xlfn.NUMBERVALUE("0.000771")</f>
        <v/>
      </c>
      <c r="I1117">
        <f>_xlfn.NUMBERVALUE("0.000396")</f>
        <v/>
      </c>
      <c r="J1117">
        <f>_xlfn.NUMBERVALUE("0.000720")</f>
        <v/>
      </c>
      <c r="K1117">
        <f>_xlfn.NUMBERVALUE("0.001175")</f>
        <v/>
      </c>
      <c r="L1117">
        <f>_xlfn.NUMBERVALUE("0.001228")</f>
        <v/>
      </c>
      <c r="M1117">
        <f>_xlfn.NUMBERVALUE("-0.000277")</f>
        <v/>
      </c>
      <c r="N1117">
        <f>_xlfn.NUMBERVALUE("0.001628")</f>
        <v/>
      </c>
      <c r="O1117">
        <f>_xlfn.NUMBERVALUE("0.000857")</f>
        <v/>
      </c>
      <c r="P1117">
        <f>_xlfn.NUMBERVALUE("0.001227")</f>
        <v/>
      </c>
      <c r="Q1117">
        <f>_xlfn.NUMBERVALUE("0.002043")</f>
        <v/>
      </c>
      <c r="R1117">
        <f>_xlfn.NUMBERVALUE("-0.005485")</f>
        <v/>
      </c>
      <c r="S1117">
        <f>_xlfn.NUMBERVALUE("-0.001143")</f>
        <v/>
      </c>
      <c r="T1117">
        <f>_xlfn.NUMBERVALUE("-0.000455")</f>
        <v/>
      </c>
      <c r="U1117">
        <f>_xlfn.NUMBERVALUE("0.000183")</f>
        <v/>
      </c>
      <c r="V1117">
        <f>_xlfn.NUMBERVALUE("-0.002175")</f>
        <v/>
      </c>
      <c r="W1117">
        <f>_xlfn.NUMBERVALUE("0.009967")</f>
        <v/>
      </c>
      <c r="X1117">
        <f>_xlfn.NUMBERVALUE("0.370000")</f>
        <v/>
      </c>
      <c r="Y1117">
        <f>_xlfn.NUMBERVALUE("16.300000")</f>
        <v/>
      </c>
    </row>
    <row r="1118">
      <c r="A1118" s="1" t="n">
        <v>43626</v>
      </c>
      <c r="B1118">
        <f>_xlfn.NUMBERVALUE("-0.025885")</f>
        <v/>
      </c>
      <c r="C1118" s="2">
        <f>_xlfn.NUMBERVALUE("0.001060")</f>
        <v/>
      </c>
      <c r="D1118">
        <f>_xlfn.NUMBERVALUE("0.000179")</f>
        <v/>
      </c>
      <c r="E1118">
        <f>_xlfn.NUMBERVALUE("0.000573")</f>
        <v/>
      </c>
      <c r="F1118">
        <f>_xlfn.NUMBERVALUE("-0.000470")</f>
        <v/>
      </c>
      <c r="G1118">
        <f>_xlfn.NUMBERVALUE("0.000365")</f>
        <v/>
      </c>
      <c r="H1118">
        <f>_xlfn.NUMBERVALUE("0.001478")</f>
        <v/>
      </c>
      <c r="I1118">
        <f>_xlfn.NUMBERVALUE("0.001103")</f>
        <v/>
      </c>
      <c r="J1118">
        <f>_xlfn.NUMBERVALUE("0.001107")</f>
        <v/>
      </c>
      <c r="K1118">
        <f>_xlfn.NUMBERVALUE("-0.002793")</f>
        <v/>
      </c>
      <c r="L1118">
        <f>_xlfn.NUMBERVALUE("0.002323")</f>
        <v/>
      </c>
      <c r="M1118">
        <f>_xlfn.NUMBERVALUE("0.000353")</f>
        <v/>
      </c>
      <c r="N1118">
        <f>_xlfn.NUMBERVALUE("0.000306")</f>
        <v/>
      </c>
      <c r="O1118">
        <f>_xlfn.NUMBERVALUE("-0.000501")</f>
        <v/>
      </c>
      <c r="P1118">
        <f>_xlfn.NUMBERVALUE("0.005697")</f>
        <v/>
      </c>
      <c r="Q1118">
        <f>_xlfn.NUMBERVALUE("0.010625")</f>
        <v/>
      </c>
      <c r="R1118">
        <f>_xlfn.NUMBERVALUE("0.002805")</f>
        <v/>
      </c>
      <c r="S1118">
        <f>_xlfn.NUMBERVALUE("0.000507")</f>
        <v/>
      </c>
      <c r="T1118">
        <f>_xlfn.NUMBERVALUE("0.000545")</f>
        <v/>
      </c>
      <c r="U1118">
        <f>_xlfn.NUMBERVALUE("0.002869")</f>
        <v/>
      </c>
      <c r="V1118">
        <f>_xlfn.NUMBERVALUE("0.000835")</f>
        <v/>
      </c>
      <c r="W1118">
        <f>_xlfn.NUMBERVALUE("0.004552")</f>
        <v/>
      </c>
      <c r="X1118">
        <f>_xlfn.NUMBERVALUE("-0.360000")</f>
        <v/>
      </c>
      <c r="Y1118">
        <f>_xlfn.NUMBERVALUE("15.940000")</f>
        <v/>
      </c>
    </row>
    <row r="1119">
      <c r="A1119" s="1" t="n">
        <v>43627</v>
      </c>
      <c r="B1119">
        <f>_xlfn.NUMBERVALUE("0.021196")</f>
        <v/>
      </c>
      <c r="C1119" s="2">
        <f>_xlfn.NUMBERVALUE("0.000540")</f>
        <v/>
      </c>
      <c r="D1119">
        <f>_xlfn.NUMBERVALUE("-0.001181")</f>
        <v/>
      </c>
      <c r="E1119">
        <f>_xlfn.NUMBERVALUE("-0.000899")</f>
        <v/>
      </c>
      <c r="F1119">
        <f>_xlfn.NUMBERVALUE("0.000998")</f>
        <v/>
      </c>
      <c r="G1119">
        <f>_xlfn.NUMBERVALUE("-0.001047")</f>
        <v/>
      </c>
      <c r="H1119">
        <f>_xlfn.NUMBERVALUE("0.000795")</f>
        <v/>
      </c>
      <c r="I1119">
        <f>_xlfn.NUMBERVALUE("-0.000187")</f>
        <v/>
      </c>
      <c r="J1119">
        <f>_xlfn.NUMBERVALUE("-0.000217")</f>
        <v/>
      </c>
      <c r="K1119">
        <f>_xlfn.NUMBERVALUE("0.000268")</f>
        <v/>
      </c>
      <c r="L1119">
        <f>_xlfn.NUMBERVALUE("0.000215")</f>
        <v/>
      </c>
      <c r="M1119">
        <f>_xlfn.NUMBERVALUE("0.000603")</f>
        <v/>
      </c>
      <c r="N1119">
        <f>_xlfn.NUMBERVALUE("0.000058")</f>
        <v/>
      </c>
      <c r="O1119">
        <f>_xlfn.NUMBERVALUE("0.001477")</f>
        <v/>
      </c>
      <c r="P1119">
        <f>_xlfn.NUMBERVALUE("0.000202")</f>
        <v/>
      </c>
      <c r="Q1119">
        <f>_xlfn.NUMBERVALUE("0.000428")</f>
        <v/>
      </c>
      <c r="R1119">
        <f>_xlfn.NUMBERVALUE("0.000274")</f>
        <v/>
      </c>
      <c r="S1119">
        <f>_xlfn.NUMBERVALUE("0.000661")</f>
        <v/>
      </c>
      <c r="T1119">
        <f>_xlfn.NUMBERVALUE("0.000540")</f>
        <v/>
      </c>
      <c r="U1119">
        <f>_xlfn.NUMBERVALUE("-0.000134")</f>
        <v/>
      </c>
      <c r="V1119">
        <f>_xlfn.NUMBERVALUE("0.000209")</f>
        <v/>
      </c>
      <c r="W1119">
        <f>_xlfn.NUMBERVALUE("-0.000969")</f>
        <v/>
      </c>
      <c r="X1119">
        <f>_xlfn.NUMBERVALUE("0.050000")</f>
        <v/>
      </c>
      <c r="Y1119">
        <f>_xlfn.NUMBERVALUE("15.990000")</f>
        <v/>
      </c>
    </row>
    <row r="1120">
      <c r="A1120" s="1" t="n">
        <v>43628</v>
      </c>
      <c r="B1120">
        <f>_xlfn.NUMBERVALUE("-0.013720")</f>
        <v/>
      </c>
      <c r="C1120" s="2">
        <f>_xlfn.NUMBERVALUE("0.000945")</f>
        <v/>
      </c>
      <c r="D1120">
        <f>_xlfn.NUMBERVALUE("0.000966")</f>
        <v/>
      </c>
      <c r="E1120">
        <f>_xlfn.NUMBERVALUE("0.001714")</f>
        <v/>
      </c>
      <c r="F1120">
        <f>_xlfn.NUMBERVALUE("-0.000552")</f>
        <v/>
      </c>
      <c r="G1120">
        <f>_xlfn.NUMBERVALUE("-0.000314")</f>
        <v/>
      </c>
      <c r="H1120">
        <f>_xlfn.NUMBERVALUE("-0.001688")</f>
        <v/>
      </c>
      <c r="I1120">
        <f>_xlfn.NUMBERVALUE("0.000909")</f>
        <v/>
      </c>
      <c r="J1120">
        <f>_xlfn.NUMBERVALUE("-0.001370")</f>
        <v/>
      </c>
      <c r="K1120">
        <f>_xlfn.NUMBERVALUE("0.000443")</f>
        <v/>
      </c>
      <c r="L1120">
        <f>_xlfn.NUMBERVALUE("-0.000798")</f>
        <v/>
      </c>
      <c r="M1120">
        <f>_xlfn.NUMBERVALUE("0.001731")</f>
        <v/>
      </c>
      <c r="N1120">
        <f>_xlfn.NUMBERVALUE("-0.000280")</f>
        <v/>
      </c>
      <c r="O1120">
        <f>_xlfn.NUMBERVALUE("-0.000702")</f>
        <v/>
      </c>
      <c r="P1120">
        <f>_xlfn.NUMBERVALUE("0.000194")</f>
        <v/>
      </c>
      <c r="Q1120">
        <f>_xlfn.NUMBERVALUE("0.001390")</f>
        <v/>
      </c>
      <c r="R1120">
        <f>_xlfn.NUMBERVALUE("0.000751")</f>
        <v/>
      </c>
      <c r="S1120">
        <f>_xlfn.NUMBERVALUE("0.000573")</f>
        <v/>
      </c>
      <c r="T1120">
        <f>_xlfn.NUMBERVALUE("-0.002590")</f>
        <v/>
      </c>
      <c r="U1120">
        <f>_xlfn.NUMBERVALUE("0.001100")</f>
        <v/>
      </c>
      <c r="V1120">
        <f>_xlfn.NUMBERVALUE("0.001333")</f>
        <v/>
      </c>
      <c r="W1120">
        <f>_xlfn.NUMBERVALUE("-0.002354")</f>
        <v/>
      </c>
      <c r="X1120">
        <f>_xlfn.NUMBERVALUE("-0.080000")</f>
        <v/>
      </c>
      <c r="Y1120">
        <f>_xlfn.NUMBERVALUE("15.910000")</f>
        <v/>
      </c>
    </row>
    <row r="1121">
      <c r="A1121" s="1" t="n">
        <v>43629</v>
      </c>
      <c r="B1121">
        <f>_xlfn.NUMBERVALUE("0.034890")</f>
        <v/>
      </c>
      <c r="C1121" s="2">
        <f>_xlfn.NUMBERVALUE("0.000242")</f>
        <v/>
      </c>
      <c r="D1121">
        <f>_xlfn.NUMBERVALUE("0.001495")</f>
        <v/>
      </c>
      <c r="E1121">
        <f>_xlfn.NUMBERVALUE("0.001397")</f>
        <v/>
      </c>
      <c r="F1121">
        <f>_xlfn.NUMBERVALUE("-0.000692")</f>
        <v/>
      </c>
      <c r="G1121">
        <f>_xlfn.NUMBERVALUE("0.000531")</f>
        <v/>
      </c>
      <c r="H1121">
        <f>_xlfn.NUMBERVALUE("-0.000563")</f>
        <v/>
      </c>
      <c r="I1121">
        <f>_xlfn.NUMBERVALUE("-0.000437")</f>
        <v/>
      </c>
      <c r="J1121">
        <f>_xlfn.NUMBERVALUE("-0.000679")</f>
        <v/>
      </c>
      <c r="K1121">
        <f>_xlfn.NUMBERVALUE("-0.000016")</f>
        <v/>
      </c>
      <c r="L1121">
        <f>_xlfn.NUMBERVALUE("-0.001237")</f>
        <v/>
      </c>
      <c r="M1121">
        <f>_xlfn.NUMBERVALUE("0.001059")</f>
        <v/>
      </c>
      <c r="N1121">
        <f>_xlfn.NUMBERVALUE("-0.000616")</f>
        <v/>
      </c>
      <c r="O1121">
        <f>_xlfn.NUMBERVALUE("-0.000507")</f>
        <v/>
      </c>
      <c r="P1121">
        <f>_xlfn.NUMBERVALUE("0.001019")</f>
        <v/>
      </c>
      <c r="Q1121">
        <f>_xlfn.NUMBERVALUE("0.000933")</f>
        <v/>
      </c>
      <c r="R1121">
        <f>_xlfn.NUMBERVALUE("0.000832")</f>
        <v/>
      </c>
      <c r="S1121">
        <f>_xlfn.NUMBERVALUE("0.000625")</f>
        <v/>
      </c>
      <c r="T1121">
        <f>_xlfn.NUMBERVALUE("0.001061")</f>
        <v/>
      </c>
      <c r="U1121">
        <f>_xlfn.NUMBERVALUE("-0.000194")</f>
        <v/>
      </c>
      <c r="V1121">
        <f>_xlfn.NUMBERVALUE("-0.000051")</f>
        <v/>
      </c>
      <c r="W1121">
        <f>_xlfn.NUMBERVALUE("0.002846")</f>
        <v/>
      </c>
      <c r="X1121">
        <f>_xlfn.NUMBERVALUE("-0.090000")</f>
        <v/>
      </c>
      <c r="Y1121">
        <f>_xlfn.NUMBERVALUE("15.820000")</f>
        <v/>
      </c>
    </row>
    <row r="1122">
      <c r="A1122" s="1" t="n">
        <v>43630</v>
      </c>
      <c r="B1122">
        <f>_xlfn.NUMBERVALUE("-0.010704")</f>
        <v/>
      </c>
      <c r="C1122" s="2">
        <f>_xlfn.NUMBERVALUE("0.000901")</f>
        <v/>
      </c>
      <c r="D1122">
        <f>_xlfn.NUMBERVALUE("0.000421")</f>
        <v/>
      </c>
      <c r="E1122">
        <f>_xlfn.NUMBERVALUE("0.000564")</f>
        <v/>
      </c>
      <c r="F1122">
        <f>_xlfn.NUMBERVALUE("-0.000417")</f>
        <v/>
      </c>
      <c r="G1122">
        <f>_xlfn.NUMBERVALUE("0.000851")</f>
        <v/>
      </c>
      <c r="H1122">
        <f>_xlfn.NUMBERVALUE("-0.001087")</f>
        <v/>
      </c>
      <c r="I1122">
        <f>_xlfn.NUMBERVALUE("0.002442")</f>
        <v/>
      </c>
      <c r="J1122">
        <f>_xlfn.NUMBERVALUE("0.000090")</f>
        <v/>
      </c>
      <c r="K1122">
        <f>_xlfn.NUMBERVALUE("0.001198")</f>
        <v/>
      </c>
      <c r="L1122">
        <f>_xlfn.NUMBERVALUE("0.000441")</f>
        <v/>
      </c>
      <c r="M1122">
        <f>_xlfn.NUMBERVALUE("0.000870")</f>
        <v/>
      </c>
      <c r="N1122">
        <f>_xlfn.NUMBERVALUE("0.000247")</f>
        <v/>
      </c>
      <c r="O1122">
        <f>_xlfn.NUMBERVALUE("0.001876")</f>
        <v/>
      </c>
      <c r="P1122">
        <f>_xlfn.NUMBERVALUE("0.000991")</f>
        <v/>
      </c>
      <c r="Q1122">
        <f>_xlfn.NUMBERVALUE("0.001103")</f>
        <v/>
      </c>
      <c r="R1122">
        <f>_xlfn.NUMBERVALUE("0.002228")</f>
        <v/>
      </c>
      <c r="S1122">
        <f>_xlfn.NUMBERVALUE("0.000308")</f>
        <v/>
      </c>
      <c r="T1122">
        <f>_xlfn.NUMBERVALUE("-0.001965")</f>
        <v/>
      </c>
      <c r="U1122">
        <f>_xlfn.NUMBERVALUE("0.000918")</f>
        <v/>
      </c>
      <c r="V1122">
        <f>_xlfn.NUMBERVALUE("0.001350")</f>
        <v/>
      </c>
      <c r="W1122">
        <f>_xlfn.NUMBERVALUE("0.002111")</f>
        <v/>
      </c>
      <c r="X1122">
        <f>_xlfn.NUMBERVALUE("-0.540000")</f>
        <v/>
      </c>
      <c r="Y1122">
        <f>_xlfn.NUMBERVALUE("15.280000")</f>
        <v/>
      </c>
    </row>
    <row r="1123">
      <c r="A1123" s="1" t="n">
        <v>43633</v>
      </c>
      <c r="B1123">
        <f>_xlfn.NUMBERVALUE("0.000000")</f>
        <v/>
      </c>
      <c r="C1123" s="2">
        <f>_xlfn.NUMBERVALUE("0.001542")</f>
        <v/>
      </c>
      <c r="D1123">
        <f>_xlfn.NUMBERVALUE("0.001681")</f>
        <v/>
      </c>
      <c r="E1123">
        <f>_xlfn.NUMBERVALUE("0.000258")</f>
        <v/>
      </c>
      <c r="F1123">
        <f>_xlfn.NUMBERVALUE("0.000789")</f>
        <v/>
      </c>
      <c r="G1123">
        <f>_xlfn.NUMBERVALUE("0.000910")</f>
        <v/>
      </c>
      <c r="H1123">
        <f>_xlfn.NUMBERVALUE("0.002003")</f>
        <v/>
      </c>
      <c r="I1123">
        <f>_xlfn.NUMBERVALUE("-0.000300")</f>
        <v/>
      </c>
      <c r="J1123">
        <f>_xlfn.NUMBERVALUE("0.000641")</f>
        <v/>
      </c>
      <c r="K1123">
        <f>_xlfn.NUMBERVALUE("0.001329")</f>
        <v/>
      </c>
      <c r="L1123">
        <f>_xlfn.NUMBERVALUE("0.001071")</f>
        <v/>
      </c>
      <c r="M1123">
        <f>_xlfn.NUMBERVALUE("0.000718")</f>
        <v/>
      </c>
      <c r="N1123">
        <f>_xlfn.NUMBERVALUE("0.001140")</f>
        <v/>
      </c>
      <c r="O1123">
        <f>_xlfn.NUMBERVALUE("0.001866")</f>
        <v/>
      </c>
      <c r="P1123">
        <f>_xlfn.NUMBERVALUE("0.000242")</f>
        <v/>
      </c>
      <c r="Q1123">
        <f>_xlfn.NUMBERVALUE("0.001401")</f>
        <v/>
      </c>
      <c r="R1123">
        <f>_xlfn.NUMBERVALUE("0.002264")</f>
        <v/>
      </c>
      <c r="S1123">
        <f>_xlfn.NUMBERVALUE("0.001305")</f>
        <v/>
      </c>
      <c r="T1123">
        <f>_xlfn.NUMBERVALUE("0.000764")</f>
        <v/>
      </c>
      <c r="U1123">
        <f>_xlfn.NUMBERVALUE("0.002042")</f>
        <v/>
      </c>
      <c r="V1123">
        <f>_xlfn.NUMBERVALUE("0.001227")</f>
        <v/>
      </c>
      <c r="W1123">
        <f>_xlfn.NUMBERVALUE("-0.000069")</f>
        <v/>
      </c>
      <c r="X1123">
        <f>_xlfn.NUMBERVALUE("0.070000")</f>
        <v/>
      </c>
      <c r="Y1123">
        <f>_xlfn.NUMBERVALUE("15.350000")</f>
        <v/>
      </c>
    </row>
    <row r="1124">
      <c r="A1124" s="1" t="n">
        <v>43634</v>
      </c>
      <c r="B1124">
        <f>_xlfn.NUMBERVALUE("0.000000")</f>
        <v/>
      </c>
      <c r="C1124" s="2">
        <f>_xlfn.NUMBERVALUE("-0.002327")</f>
        <v/>
      </c>
      <c r="D1124">
        <f>_xlfn.NUMBERVALUE("-0.006824")</f>
        <v/>
      </c>
      <c r="E1124">
        <f>_xlfn.NUMBERVALUE("-0.003913")</f>
        <v/>
      </c>
      <c r="F1124">
        <f>_xlfn.NUMBERVALUE("-0.000299")</f>
        <v/>
      </c>
      <c r="G1124">
        <f>_xlfn.NUMBERVALUE("-0.000492")</f>
        <v/>
      </c>
      <c r="H1124">
        <f>_xlfn.NUMBERVALUE("0.000176")</f>
        <v/>
      </c>
      <c r="I1124">
        <f>_xlfn.NUMBERVALUE("-0.001018")</f>
        <v/>
      </c>
      <c r="J1124">
        <f>_xlfn.NUMBERVALUE("-0.000790")</f>
        <v/>
      </c>
      <c r="K1124">
        <f>_xlfn.NUMBERVALUE("-0.000927")</f>
        <v/>
      </c>
      <c r="L1124">
        <f>_xlfn.NUMBERVALUE("0.000015")</f>
        <v/>
      </c>
      <c r="M1124">
        <f>_xlfn.NUMBERVALUE("0.000757")</f>
        <v/>
      </c>
      <c r="N1124">
        <f>_xlfn.NUMBERVALUE("0.000771")</f>
        <v/>
      </c>
      <c r="O1124">
        <f>_xlfn.NUMBERVALUE("-0.001788")</f>
        <v/>
      </c>
      <c r="P1124">
        <f>_xlfn.NUMBERVALUE("-0.000307")</f>
        <v/>
      </c>
      <c r="Q1124">
        <f>_xlfn.NUMBERVALUE("-0.003607")</f>
        <v/>
      </c>
      <c r="R1124">
        <f>_xlfn.NUMBERVALUE("-0.004168")</f>
        <v/>
      </c>
      <c r="S1124">
        <f>_xlfn.NUMBERVALUE("0.000230")</f>
        <v/>
      </c>
      <c r="T1124">
        <f>_xlfn.NUMBERVALUE("0.001128")</f>
        <v/>
      </c>
      <c r="U1124">
        <f>_xlfn.NUMBERVALUE("-0.000881")</f>
        <v/>
      </c>
      <c r="V1124">
        <f>_xlfn.NUMBERVALUE("-0.001088")</f>
        <v/>
      </c>
      <c r="W1124">
        <f>_xlfn.NUMBERVALUE("0.009567")</f>
        <v/>
      </c>
      <c r="X1124">
        <f>_xlfn.NUMBERVALUE("-0.200000")</f>
        <v/>
      </c>
      <c r="Y1124">
        <f>_xlfn.NUMBERVALUE("15.150000")</f>
        <v/>
      </c>
    </row>
    <row r="1125">
      <c r="A1125" s="1" t="n">
        <v>43635</v>
      </c>
      <c r="B1125">
        <f>_xlfn.NUMBERVALUE("0.000000")</f>
        <v/>
      </c>
      <c r="C1125" s="2">
        <f>_xlfn.NUMBERVALUE("0.000830")</f>
        <v/>
      </c>
      <c r="D1125">
        <f>_xlfn.NUMBERVALUE("0.000131")</f>
        <v/>
      </c>
      <c r="E1125">
        <f>_xlfn.NUMBERVALUE("-0.000633")</f>
        <v/>
      </c>
      <c r="F1125">
        <f>_xlfn.NUMBERVALUE("0.000686")</f>
        <v/>
      </c>
      <c r="G1125">
        <f>_xlfn.NUMBERVALUE("-0.001039")</f>
        <v/>
      </c>
      <c r="H1125">
        <f>_xlfn.NUMBERVALUE("0.000023")</f>
        <v/>
      </c>
      <c r="I1125">
        <f>_xlfn.NUMBERVALUE("0.001172")</f>
        <v/>
      </c>
      <c r="J1125">
        <f>_xlfn.NUMBERVALUE("-0.000914")</f>
        <v/>
      </c>
      <c r="K1125">
        <f>_xlfn.NUMBERVALUE("0.001428")</f>
        <v/>
      </c>
      <c r="L1125">
        <f>_xlfn.NUMBERVALUE("0.001187")</f>
        <v/>
      </c>
      <c r="M1125">
        <f>_xlfn.NUMBERVALUE("-0.000196")</f>
        <v/>
      </c>
      <c r="N1125">
        <f>_xlfn.NUMBERVALUE("0.001662")</f>
        <v/>
      </c>
      <c r="O1125">
        <f>_xlfn.NUMBERVALUE("0.000722")</f>
        <v/>
      </c>
      <c r="P1125">
        <f>_xlfn.NUMBERVALUE("0.001340")</f>
        <v/>
      </c>
      <c r="Q1125">
        <f>_xlfn.NUMBERVALUE("0.002856")</f>
        <v/>
      </c>
      <c r="R1125">
        <f>_xlfn.NUMBERVALUE("0.001734")</f>
        <v/>
      </c>
      <c r="S1125">
        <f>_xlfn.NUMBERVALUE("0.000135")</f>
        <v/>
      </c>
      <c r="T1125">
        <f>_xlfn.NUMBERVALUE("-0.000964")</f>
        <v/>
      </c>
      <c r="U1125">
        <f>_xlfn.NUMBERVALUE("0.001644")</f>
        <v/>
      </c>
      <c r="V1125">
        <f>_xlfn.NUMBERVALUE("0.000875")</f>
        <v/>
      </c>
      <c r="W1125">
        <f>_xlfn.NUMBERVALUE("0.004276")</f>
        <v/>
      </c>
      <c r="X1125">
        <f>_xlfn.NUMBERVALUE("-0.820000")</f>
        <v/>
      </c>
      <c r="Y1125">
        <f>_xlfn.NUMBERVALUE("14.330000")</f>
        <v/>
      </c>
    </row>
    <row r="1126">
      <c r="A1126" s="1" t="n">
        <v>43636</v>
      </c>
      <c r="B1126">
        <f>_xlfn.NUMBERVALUE("0.000000")</f>
        <v/>
      </c>
      <c r="C1126" s="2">
        <f>_xlfn.NUMBERVALUE("-0.000350")</f>
        <v/>
      </c>
      <c r="D1126">
        <f>_xlfn.NUMBERVALUE("-0.001269")</f>
        <v/>
      </c>
      <c r="E1126">
        <f>_xlfn.NUMBERVALUE("-0.001442")</f>
        <v/>
      </c>
      <c r="F1126">
        <f>_xlfn.NUMBERVALUE("-0.010937")</f>
        <v/>
      </c>
      <c r="G1126">
        <f>_xlfn.NUMBERVALUE("-0.000790")</f>
        <v/>
      </c>
      <c r="H1126">
        <f>_xlfn.NUMBERVALUE("0.000543")</f>
        <v/>
      </c>
      <c r="I1126">
        <f>_xlfn.NUMBERVALUE("0.000133")</f>
        <v/>
      </c>
      <c r="J1126">
        <f>_xlfn.NUMBERVALUE("0.000015")</f>
        <v/>
      </c>
      <c r="K1126">
        <f>_xlfn.NUMBERVALUE("-0.005234")</f>
        <v/>
      </c>
      <c r="L1126">
        <f>_xlfn.NUMBERVALUE("0.001505")</f>
        <v/>
      </c>
      <c r="M1126">
        <f>_xlfn.NUMBERVALUE("0.000185")</f>
        <v/>
      </c>
      <c r="N1126">
        <f>_xlfn.NUMBERVALUE("0.000313")</f>
        <v/>
      </c>
      <c r="O1126">
        <f>_xlfn.NUMBERVALUE("-0.003293")</f>
        <v/>
      </c>
      <c r="P1126">
        <f>_xlfn.NUMBERVALUE("0.000450")</f>
        <v/>
      </c>
      <c r="Q1126">
        <f>_xlfn.NUMBERVALUE("-0.004040")</f>
        <v/>
      </c>
      <c r="R1126">
        <f>_xlfn.NUMBERVALUE("-0.002166")</f>
        <v/>
      </c>
      <c r="S1126">
        <f>_xlfn.NUMBERVALUE("0.001287")</f>
        <v/>
      </c>
      <c r="T1126">
        <f>_xlfn.NUMBERVALUE("0.000525")</f>
        <v/>
      </c>
      <c r="U1126">
        <f>_xlfn.NUMBERVALUE("-0.000257")</f>
        <v/>
      </c>
      <c r="V1126">
        <f>_xlfn.NUMBERVALUE("-0.000300")</f>
        <v/>
      </c>
      <c r="W1126">
        <f>_xlfn.NUMBERVALUE("0.008243")</f>
        <v/>
      </c>
      <c r="X1126">
        <f>_xlfn.NUMBERVALUE("0.420000")</f>
        <v/>
      </c>
      <c r="Y1126">
        <f>_xlfn.NUMBERVALUE("14.750000")</f>
        <v/>
      </c>
    </row>
    <row r="1127">
      <c r="A1127" s="1" t="n">
        <v>43637</v>
      </c>
      <c r="B1127">
        <f>_xlfn.NUMBERVALUE("0.000000")</f>
        <v/>
      </c>
      <c r="C1127" s="2">
        <f>_xlfn.NUMBERVALUE("-0.001777")</f>
        <v/>
      </c>
      <c r="D1127">
        <f>_xlfn.NUMBERVALUE("0.000795")</f>
        <v/>
      </c>
      <c r="E1127">
        <f>_xlfn.NUMBERVALUE("0.001153")</f>
        <v/>
      </c>
      <c r="F1127">
        <f>_xlfn.NUMBERVALUE("0.000580")</f>
        <v/>
      </c>
      <c r="G1127">
        <f>_xlfn.NUMBERVALUE("0.002392")</f>
        <v/>
      </c>
      <c r="H1127">
        <f>_xlfn.NUMBERVALUE("0.001038")</f>
        <v/>
      </c>
      <c r="I1127">
        <f>_xlfn.NUMBERVALUE("0.001571")</f>
        <v/>
      </c>
      <c r="J1127">
        <f>_xlfn.NUMBERVALUE("-0.000221")</f>
        <v/>
      </c>
      <c r="K1127">
        <f>_xlfn.NUMBERVALUE("-0.000140")</f>
        <v/>
      </c>
      <c r="L1127">
        <f>_xlfn.NUMBERVALUE("-0.001129")</f>
        <v/>
      </c>
      <c r="M1127">
        <f>_xlfn.NUMBERVALUE("-0.000897")</f>
        <v/>
      </c>
      <c r="N1127">
        <f>_xlfn.NUMBERVALUE("-0.001146")</f>
        <v/>
      </c>
      <c r="O1127">
        <f>_xlfn.NUMBERVALUE("-0.004396")</f>
        <v/>
      </c>
      <c r="P1127">
        <f>_xlfn.NUMBERVALUE("0.002181")</f>
        <v/>
      </c>
      <c r="Q1127">
        <f>_xlfn.NUMBERVALUE("-0.002012")</f>
        <v/>
      </c>
      <c r="R1127">
        <f>_xlfn.NUMBERVALUE("-0.000036")</f>
        <v/>
      </c>
      <c r="S1127">
        <f>_xlfn.NUMBERVALUE("-0.001739")</f>
        <v/>
      </c>
      <c r="T1127">
        <f>_xlfn.NUMBERVALUE("-0.003130")</f>
        <v/>
      </c>
      <c r="U1127">
        <f>_xlfn.NUMBERVALUE("-0.001101")</f>
        <v/>
      </c>
      <c r="V1127">
        <f>_xlfn.NUMBERVALUE("-0.003830")</f>
        <v/>
      </c>
      <c r="W1127">
        <f>_xlfn.NUMBERVALUE("-0.004223")</f>
        <v/>
      </c>
      <c r="X1127">
        <f>_xlfn.NUMBERVALUE("0.650000")</f>
        <v/>
      </c>
      <c r="Y1127">
        <f>_xlfn.NUMBERVALUE("15.400000")</f>
        <v/>
      </c>
    </row>
    <row r="1128">
      <c r="A1128" s="1" t="n">
        <v>43640</v>
      </c>
      <c r="B1128">
        <f>_xlfn.NUMBERVALUE("0.000000")</f>
        <v/>
      </c>
      <c r="C1128" s="2">
        <f>_xlfn.NUMBERVALUE("0.001366")</f>
        <v/>
      </c>
      <c r="D1128">
        <f>_xlfn.NUMBERVALUE("0.000892")</f>
        <v/>
      </c>
      <c r="E1128">
        <f>_xlfn.NUMBERVALUE("0.000450")</f>
        <v/>
      </c>
      <c r="F1128">
        <f>_xlfn.NUMBERVALUE("-0.000572")</f>
        <v/>
      </c>
      <c r="G1128">
        <f>_xlfn.NUMBERVALUE("-0.000404")</f>
        <v/>
      </c>
      <c r="H1128">
        <f>_xlfn.NUMBERVALUE("-0.000930")</f>
        <v/>
      </c>
      <c r="I1128">
        <f>_xlfn.NUMBERVALUE("0.001236")</f>
        <v/>
      </c>
      <c r="J1128">
        <f>_xlfn.NUMBERVALUE("0.000469")</f>
        <v/>
      </c>
      <c r="K1128">
        <f>_xlfn.NUMBERVALUE("-0.000266")</f>
        <v/>
      </c>
      <c r="L1128">
        <f>_xlfn.NUMBERVALUE("-0.000480")</f>
        <v/>
      </c>
      <c r="M1128">
        <f>_xlfn.NUMBERVALUE("0.000806")</f>
        <v/>
      </c>
      <c r="N1128">
        <f>_xlfn.NUMBERVALUE("0.001686")</f>
        <v/>
      </c>
      <c r="O1128">
        <f>_xlfn.NUMBERVALUE("0.001938")</f>
        <v/>
      </c>
      <c r="P1128">
        <f>_xlfn.NUMBERVALUE("0.000433")</f>
        <v/>
      </c>
      <c r="Q1128">
        <f>_xlfn.NUMBERVALUE("0.000785")</f>
        <v/>
      </c>
      <c r="R1128">
        <f>_xlfn.NUMBERVALUE("0.001248")</f>
        <v/>
      </c>
      <c r="S1128">
        <f>_xlfn.NUMBERVALUE("0.000440")</f>
        <v/>
      </c>
      <c r="T1128">
        <f>_xlfn.NUMBERVALUE("0.001403")</f>
        <v/>
      </c>
      <c r="U1128">
        <f>_xlfn.NUMBERVALUE("0.001708")</f>
        <v/>
      </c>
      <c r="V1128">
        <f>_xlfn.NUMBERVALUE("0.001246")</f>
        <v/>
      </c>
      <c r="W1128">
        <f>_xlfn.NUMBERVALUE("-0.003325")</f>
        <v/>
      </c>
      <c r="X1128">
        <f>_xlfn.NUMBERVALUE("-0.140000")</f>
        <v/>
      </c>
      <c r="Y1128">
        <f>_xlfn.NUMBERVALUE("15.260000")</f>
        <v/>
      </c>
    </row>
    <row r="1129">
      <c r="A1129" s="1" t="n">
        <v>43641</v>
      </c>
      <c r="B1129">
        <f>_xlfn.NUMBERVALUE("0.000000")</f>
        <v/>
      </c>
      <c r="C1129" s="2">
        <f>_xlfn.NUMBERVALUE("0.000052")</f>
        <v/>
      </c>
      <c r="D1129">
        <f>_xlfn.NUMBERVALUE("0.000013")</f>
        <v/>
      </c>
      <c r="E1129">
        <f>_xlfn.NUMBERVALUE("-0.000114")</f>
        <v/>
      </c>
      <c r="F1129">
        <f>_xlfn.NUMBERVALUE("0.000365")</f>
        <v/>
      </c>
      <c r="G1129">
        <f>_xlfn.NUMBERVALUE("-0.000176")</f>
        <v/>
      </c>
      <c r="H1129">
        <f>_xlfn.NUMBERVALUE("0.000184")</f>
        <v/>
      </c>
      <c r="I1129">
        <f>_xlfn.NUMBERVALUE("0.000004")</f>
        <v/>
      </c>
      <c r="J1129">
        <f>_xlfn.NUMBERVALUE("0.000447")</f>
        <v/>
      </c>
      <c r="K1129">
        <f>_xlfn.NUMBERVALUE("0.000581")</f>
        <v/>
      </c>
      <c r="L1129">
        <f>_xlfn.NUMBERVALUE("-0.000403")</f>
        <v/>
      </c>
      <c r="M1129">
        <f>_xlfn.NUMBERVALUE("-0.000252")</f>
        <v/>
      </c>
      <c r="N1129">
        <f>_xlfn.NUMBERVALUE("-0.003590")</f>
        <v/>
      </c>
      <c r="O1129">
        <f>_xlfn.NUMBERVALUE("0.000619")</f>
        <v/>
      </c>
      <c r="P1129">
        <f>_xlfn.NUMBERVALUE("0.000594")</f>
        <v/>
      </c>
      <c r="Q1129">
        <f>_xlfn.NUMBERVALUE("-0.000627")</f>
        <v/>
      </c>
      <c r="R1129">
        <f>_xlfn.NUMBERVALUE("-0.002796")</f>
        <v/>
      </c>
      <c r="S1129">
        <f>_xlfn.NUMBERVALUE("0.000178")</f>
        <v/>
      </c>
      <c r="T1129">
        <f>_xlfn.NUMBERVALUE("0.000878")</f>
        <v/>
      </c>
      <c r="U1129">
        <f>_xlfn.NUMBERVALUE("-0.001322")</f>
        <v/>
      </c>
      <c r="V1129">
        <f>_xlfn.NUMBERVALUE("0.000026")</f>
        <v/>
      </c>
      <c r="W1129">
        <f>_xlfn.NUMBERVALUE("-0.009157")</f>
        <v/>
      </c>
      <c r="X1129">
        <f>_xlfn.NUMBERVALUE("1.020000")</f>
        <v/>
      </c>
      <c r="Y1129">
        <f>_xlfn.NUMBERVALUE("16.280000")</f>
        <v/>
      </c>
    </row>
    <row r="1130">
      <c r="A1130" s="1" t="n">
        <v>43642</v>
      </c>
      <c r="B1130">
        <f>_xlfn.NUMBERVALUE("0.000000")</f>
        <v/>
      </c>
      <c r="C1130" s="2">
        <f>_xlfn.NUMBERVALUE("0.000480")</f>
        <v/>
      </c>
      <c r="D1130">
        <f>_xlfn.NUMBERVALUE("-0.000834")</f>
        <v/>
      </c>
      <c r="E1130">
        <f>_xlfn.NUMBERVALUE("0.001100")</f>
        <v/>
      </c>
      <c r="F1130">
        <f>_xlfn.NUMBERVALUE("0.000259")</f>
        <v/>
      </c>
      <c r="G1130">
        <f>_xlfn.NUMBERVALUE("0.000087")</f>
        <v/>
      </c>
      <c r="H1130">
        <f>_xlfn.NUMBERVALUE("0.000416")</f>
        <v/>
      </c>
      <c r="I1130">
        <f>_xlfn.NUMBERVALUE("0.001065")</f>
        <v/>
      </c>
      <c r="J1130">
        <f>_xlfn.NUMBERVALUE("-0.000350")</f>
        <v/>
      </c>
      <c r="K1130">
        <f>_xlfn.NUMBERVALUE("0.002352")</f>
        <v/>
      </c>
      <c r="L1130">
        <f>_xlfn.NUMBERVALUE("0.000962")</f>
        <v/>
      </c>
      <c r="M1130">
        <f>_xlfn.NUMBERVALUE("0.001242")</f>
        <v/>
      </c>
      <c r="N1130">
        <f>_xlfn.NUMBERVALUE("0.001490")</f>
        <v/>
      </c>
      <c r="O1130">
        <f>_xlfn.NUMBERVALUE("-0.001922")</f>
        <v/>
      </c>
      <c r="P1130">
        <f>_xlfn.NUMBERVALUE("0.000770")</f>
        <v/>
      </c>
      <c r="Q1130">
        <f>_xlfn.NUMBERVALUE("0.001361")</f>
        <v/>
      </c>
      <c r="R1130">
        <f>_xlfn.NUMBERVALUE("-0.000368")</f>
        <v/>
      </c>
      <c r="S1130">
        <f>_xlfn.NUMBERVALUE("-0.001967")</f>
        <v/>
      </c>
      <c r="T1130">
        <f>_xlfn.NUMBERVALUE("-0.003456")</f>
        <v/>
      </c>
      <c r="U1130">
        <f>_xlfn.NUMBERVALUE("0.001309")</f>
        <v/>
      </c>
      <c r="V1130">
        <f>_xlfn.NUMBERVALUE("0.001192")</f>
        <v/>
      </c>
      <c r="W1130">
        <f>_xlfn.NUMBERVALUE("-0.000756")</f>
        <v/>
      </c>
      <c r="X1130">
        <f>_xlfn.NUMBERVALUE("-0.070000")</f>
        <v/>
      </c>
      <c r="Y1130">
        <f>_xlfn.NUMBERVALUE("16.210000")</f>
        <v/>
      </c>
    </row>
    <row r="1131">
      <c r="A1131" s="1" t="n">
        <v>43643</v>
      </c>
      <c r="B1131">
        <f>_xlfn.NUMBERVALUE("0.000000")</f>
        <v/>
      </c>
      <c r="C1131" s="2">
        <f>_xlfn.NUMBERVALUE("0.000289")</f>
        <v/>
      </c>
      <c r="D1131">
        <f>_xlfn.NUMBERVALUE("0.000191")</f>
        <v/>
      </c>
      <c r="E1131">
        <f>_xlfn.NUMBERVALUE("0.000188")</f>
        <v/>
      </c>
      <c r="F1131">
        <f>_xlfn.NUMBERVALUE("0.000315")</f>
        <v/>
      </c>
      <c r="G1131">
        <f>_xlfn.NUMBERVALUE("-0.000266")</f>
        <v/>
      </c>
      <c r="H1131">
        <f>_xlfn.NUMBERVALUE("-0.000391")</f>
        <v/>
      </c>
      <c r="I1131">
        <f>_xlfn.NUMBERVALUE("-0.001974")</f>
        <v/>
      </c>
      <c r="J1131">
        <f>_xlfn.NUMBERVALUE("-0.000019")</f>
        <v/>
      </c>
      <c r="K1131">
        <f>_xlfn.NUMBERVALUE("0.001425")</f>
        <v/>
      </c>
      <c r="L1131">
        <f>_xlfn.NUMBERVALUE("-0.000058")</f>
        <v/>
      </c>
      <c r="M1131">
        <f>_xlfn.NUMBERVALUE("0.001530")</f>
        <v/>
      </c>
      <c r="N1131">
        <f>_xlfn.NUMBERVALUE("0.000665")</f>
        <v/>
      </c>
      <c r="O1131">
        <f>_xlfn.NUMBERVALUE("0.000995")</f>
        <v/>
      </c>
      <c r="P1131">
        <f>_xlfn.NUMBERVALUE("0.000335")</f>
        <v/>
      </c>
      <c r="Q1131">
        <f>_xlfn.NUMBERVALUE("0.001762")</f>
        <v/>
      </c>
      <c r="R1131">
        <f>_xlfn.NUMBERVALUE("0.001352")</f>
        <v/>
      </c>
      <c r="S1131">
        <f>_xlfn.NUMBERVALUE("0.001730")</f>
        <v/>
      </c>
      <c r="T1131">
        <f>_xlfn.NUMBERVALUE("0.002315")</f>
        <v/>
      </c>
      <c r="U1131">
        <f>_xlfn.NUMBERVALUE("0.000810")</f>
        <v/>
      </c>
      <c r="V1131">
        <f>_xlfn.NUMBERVALUE("0.000380")</f>
        <v/>
      </c>
      <c r="W1131">
        <f>_xlfn.NUMBERVALUE("0.003438")</f>
        <v/>
      </c>
      <c r="X1131">
        <f>_xlfn.NUMBERVALUE("-0.390000")</f>
        <v/>
      </c>
      <c r="Y1131">
        <f>_xlfn.NUMBERVALUE("15.820000")</f>
        <v/>
      </c>
    </row>
    <row r="1132">
      <c r="A1132" s="1" t="n">
        <v>43644</v>
      </c>
      <c r="B1132">
        <f>_xlfn.NUMBERVALUE("0.000000")</f>
        <v/>
      </c>
      <c r="C1132" s="2">
        <f>_xlfn.NUMBERVALUE("0.000728")</f>
        <v/>
      </c>
      <c r="D1132">
        <f>_xlfn.NUMBERVALUE("0.001178")</f>
        <v/>
      </c>
      <c r="E1132">
        <f>_xlfn.NUMBERVALUE("-0.000125")</f>
        <v/>
      </c>
      <c r="F1132">
        <f>_xlfn.NUMBERVALUE("0.000200")</f>
        <v/>
      </c>
      <c r="G1132">
        <f>_xlfn.NUMBERVALUE("0.001478")</f>
        <v/>
      </c>
      <c r="H1132">
        <f>_xlfn.NUMBERVALUE("0.000466")</f>
        <v/>
      </c>
      <c r="I1132">
        <f>_xlfn.NUMBERVALUE("-0.001923")</f>
        <v/>
      </c>
      <c r="J1132">
        <f>_xlfn.NUMBERVALUE("-0.000038")</f>
        <v/>
      </c>
      <c r="K1132">
        <f>_xlfn.NUMBERVALUE("-0.000428")</f>
        <v/>
      </c>
      <c r="L1132">
        <f>_xlfn.NUMBERVALUE("0.000366")</f>
        <v/>
      </c>
      <c r="M1132">
        <f>_xlfn.NUMBERVALUE("-0.000587")</f>
        <v/>
      </c>
      <c r="N1132">
        <f>_xlfn.NUMBERVALUE("0.000671")</f>
        <v/>
      </c>
      <c r="O1132">
        <f>_xlfn.NUMBERVALUE("0.000313")</f>
        <v/>
      </c>
      <c r="P1132">
        <f>_xlfn.NUMBERVALUE("-0.004146")</f>
        <v/>
      </c>
      <c r="Q1132">
        <f>_xlfn.NUMBERVALUE("-0.001115")</f>
        <v/>
      </c>
      <c r="R1132">
        <f>_xlfn.NUMBERVALUE("-0.000098")</f>
        <v/>
      </c>
      <c r="S1132">
        <f>_xlfn.NUMBERVALUE("0.000632")</f>
        <v/>
      </c>
      <c r="T1132">
        <f>_xlfn.NUMBERVALUE("0.000886")</f>
        <v/>
      </c>
      <c r="U1132">
        <f>_xlfn.NUMBERVALUE("0.000555")</f>
        <v/>
      </c>
      <c r="V1132">
        <f>_xlfn.NUMBERVALUE("0.000138")</f>
        <v/>
      </c>
      <c r="W1132">
        <f>_xlfn.NUMBERVALUE("0.002090")</f>
        <v/>
      </c>
      <c r="X1132">
        <f>_xlfn.NUMBERVALUE("-0.740000")</f>
        <v/>
      </c>
      <c r="Y1132">
        <f>_xlfn.NUMBERVALUE("15.080000")</f>
        <v/>
      </c>
    </row>
    <row r="1133">
      <c r="A1133" s="1" t="n">
        <v>43647</v>
      </c>
      <c r="B1133">
        <f>_xlfn.NUMBERVALUE("0.000000")</f>
        <v/>
      </c>
      <c r="C1133" s="2">
        <f>_xlfn.NUMBERVALUE("0.001533")</f>
        <v/>
      </c>
      <c r="D1133">
        <f>_xlfn.NUMBERVALUE("0.000294")</f>
        <v/>
      </c>
      <c r="E1133">
        <f>_xlfn.NUMBERVALUE("0.001714")</f>
        <v/>
      </c>
      <c r="F1133">
        <f>_xlfn.NUMBERVALUE("0.000904")</f>
        <v/>
      </c>
      <c r="G1133">
        <f>_xlfn.NUMBERVALUE("-0.001633")</f>
        <v/>
      </c>
      <c r="H1133">
        <f>_xlfn.NUMBERVALUE("0.001617")</f>
        <v/>
      </c>
      <c r="I1133">
        <f>_xlfn.NUMBERVALUE("0.002873")</f>
        <v/>
      </c>
      <c r="J1133">
        <f>_xlfn.NUMBERVALUE("-0.000968")</f>
        <v/>
      </c>
      <c r="K1133">
        <f>_xlfn.NUMBERVALUE("0.004053")</f>
        <v/>
      </c>
      <c r="L1133">
        <f>_xlfn.NUMBERVALUE("0.000244")</f>
        <v/>
      </c>
      <c r="M1133">
        <f>_xlfn.NUMBERVALUE("0.004097")</f>
        <v/>
      </c>
      <c r="N1133">
        <f>_xlfn.NUMBERVALUE("0.001650")</f>
        <v/>
      </c>
      <c r="O1133">
        <f>_xlfn.NUMBERVALUE("0.004125")</f>
        <v/>
      </c>
      <c r="P1133">
        <f>_xlfn.NUMBERVALUE("0.004115")</f>
        <v/>
      </c>
      <c r="Q1133">
        <f>_xlfn.NUMBERVALUE("0.006266")</f>
        <v/>
      </c>
      <c r="R1133">
        <f>_xlfn.NUMBERVALUE("0.003679")</f>
        <v/>
      </c>
      <c r="S1133">
        <f>_xlfn.NUMBERVALUE("0.003854")</f>
        <v/>
      </c>
      <c r="T1133">
        <f>_xlfn.NUMBERVALUE("0.002371")</f>
        <v/>
      </c>
      <c r="U1133">
        <f>_xlfn.NUMBERVALUE("0.003006")</f>
        <v/>
      </c>
      <c r="V1133">
        <f>_xlfn.NUMBERVALUE("0.000945")</f>
        <v/>
      </c>
      <c r="W1133">
        <f>_xlfn.NUMBERVALUE("0.009882")</f>
        <v/>
      </c>
      <c r="X1133">
        <f>_xlfn.NUMBERVALUE("-1.020000")</f>
        <v/>
      </c>
      <c r="Y1133">
        <f>_xlfn.NUMBERVALUE("14.060000")</f>
        <v/>
      </c>
    </row>
    <row r="1134">
      <c r="A1134" s="1" t="n">
        <v>43648</v>
      </c>
      <c r="B1134">
        <f>_xlfn.NUMBERVALUE("0.000000")</f>
        <v/>
      </c>
      <c r="C1134" s="2">
        <f>_xlfn.NUMBERVALUE("0.000061")</f>
        <v/>
      </c>
      <c r="D1134">
        <f>_xlfn.NUMBERVALUE("0.000002")</f>
        <v/>
      </c>
      <c r="E1134">
        <f>_xlfn.NUMBERVALUE("0.000006")</f>
        <v/>
      </c>
      <c r="F1134">
        <f>_xlfn.NUMBERVALUE("-0.000284")</f>
        <v/>
      </c>
      <c r="G1134">
        <f>_xlfn.NUMBERVALUE("0.000158")</f>
        <v/>
      </c>
      <c r="H1134">
        <f>_xlfn.NUMBERVALUE("-0.000592")</f>
        <v/>
      </c>
      <c r="I1134">
        <f>_xlfn.NUMBERVALUE("0.000652")</f>
        <v/>
      </c>
      <c r="J1134">
        <f>_xlfn.NUMBERVALUE("0.000090")</f>
        <v/>
      </c>
      <c r="K1134">
        <f>_xlfn.NUMBERVALUE("-0.001692")</f>
        <v/>
      </c>
      <c r="L1134">
        <f>_xlfn.NUMBERVALUE("-0.000798")</f>
        <v/>
      </c>
      <c r="M1134">
        <f>_xlfn.NUMBERVALUE("0.002209")</f>
        <v/>
      </c>
      <c r="N1134">
        <f>_xlfn.NUMBERVALUE("-0.001293")</f>
        <v/>
      </c>
      <c r="O1134">
        <f>_xlfn.NUMBERVALUE("0.000785")</f>
        <v/>
      </c>
      <c r="P1134">
        <f>_xlfn.NUMBERVALUE("0.001470")</f>
        <v/>
      </c>
      <c r="Q1134">
        <f>_xlfn.NUMBERVALUE("0.003154")</f>
        <v/>
      </c>
      <c r="R1134">
        <f>_xlfn.NUMBERVALUE("0.002616")</f>
        <v/>
      </c>
      <c r="S1134">
        <f>_xlfn.NUMBERVALUE("-0.000158")</f>
        <v/>
      </c>
      <c r="T1134">
        <f>_xlfn.NUMBERVALUE("-0.002236")</f>
        <v/>
      </c>
      <c r="U1134">
        <f>_xlfn.NUMBERVALUE("0.001386")</f>
        <v/>
      </c>
      <c r="V1134">
        <f>_xlfn.NUMBERVALUE("0.000125")</f>
        <v/>
      </c>
      <c r="W1134">
        <f>_xlfn.NUMBERVALUE("0.002133")</f>
        <v/>
      </c>
      <c r="X1134">
        <f>_xlfn.NUMBERVALUE("-1.130000")</f>
        <v/>
      </c>
      <c r="Y1134">
        <f>_xlfn.NUMBERVALUE("12.930000")</f>
        <v/>
      </c>
    </row>
    <row r="1135">
      <c r="A1135" s="1" t="n">
        <v>43649</v>
      </c>
      <c r="B1135">
        <f>_xlfn.NUMBERVALUE("0.000000")</f>
        <v/>
      </c>
      <c r="C1135" s="2">
        <f>_xlfn.NUMBERVALUE("0.000016")</f>
        <v/>
      </c>
      <c r="D1135">
        <f>_xlfn.NUMBERVALUE("-0.000006")</f>
        <v/>
      </c>
      <c r="E1135">
        <f>_xlfn.NUMBERVALUE("-0.000005")</f>
        <v/>
      </c>
      <c r="F1135">
        <f>_xlfn.NUMBERVALUE("0.000056")</f>
        <v/>
      </c>
      <c r="G1135">
        <f>_xlfn.NUMBERVALUE("-0.000089")</f>
        <v/>
      </c>
      <c r="H1135">
        <f>_xlfn.NUMBERVALUE("-0.008370")</f>
        <v/>
      </c>
      <c r="I1135">
        <f>_xlfn.NUMBERVALUE("-0.000067")</f>
        <v/>
      </c>
      <c r="J1135">
        <f>_xlfn.NUMBERVALUE("0.000079")</f>
        <v/>
      </c>
      <c r="K1135">
        <f>_xlfn.NUMBERVALUE("0.000796")</f>
        <v/>
      </c>
      <c r="L1135">
        <f>_xlfn.NUMBERVALUE("-0.000203")</f>
        <v/>
      </c>
      <c r="M1135">
        <f>_xlfn.NUMBERVALUE("-0.000595")</f>
        <v/>
      </c>
      <c r="N1135">
        <f>_xlfn.NUMBERVALUE("0.001272")</f>
        <v/>
      </c>
      <c r="O1135">
        <f>_xlfn.NUMBERVALUE("0.000985")</f>
        <v/>
      </c>
      <c r="P1135">
        <f>_xlfn.NUMBERVALUE("-0.000054")</f>
        <v/>
      </c>
      <c r="Q1135">
        <f>_xlfn.NUMBERVALUE("0.000526")</f>
        <v/>
      </c>
      <c r="R1135">
        <f>_xlfn.NUMBERVALUE("0.000232")</f>
        <v/>
      </c>
      <c r="S1135">
        <f>_xlfn.NUMBERVALUE("-0.004684")</f>
        <v/>
      </c>
      <c r="T1135">
        <f>_xlfn.NUMBERVALUE("-0.001311")</f>
        <v/>
      </c>
      <c r="U1135">
        <f>_xlfn.NUMBERVALUE("-0.000562")</f>
        <v/>
      </c>
      <c r="V1135">
        <f>_xlfn.NUMBERVALUE("0.000065")</f>
        <v/>
      </c>
      <c r="W1135">
        <f>_xlfn.NUMBERVALUE("0.007906")</f>
        <v/>
      </c>
      <c r="X1135">
        <f>_xlfn.NUMBERVALUE("-0.360000")</f>
        <v/>
      </c>
      <c r="Y1135">
        <f>_xlfn.NUMBERVALUE("12.570000")</f>
        <v/>
      </c>
    </row>
    <row r="1136">
      <c r="A1136" s="1" t="n">
        <v>43651</v>
      </c>
      <c r="B1136">
        <f>_xlfn.NUMBERVALUE("0.000000")</f>
        <v/>
      </c>
      <c r="C1136" s="2">
        <f>_xlfn.NUMBERVALUE("-0.000009")</f>
        <v/>
      </c>
      <c r="D1136">
        <f>_xlfn.NUMBERVALUE("-0.000011")</f>
        <v/>
      </c>
      <c r="E1136">
        <f>_xlfn.NUMBERVALUE("-0.000006")</f>
        <v/>
      </c>
      <c r="F1136">
        <f>_xlfn.NUMBERVALUE("-0.000004")</f>
        <v/>
      </c>
      <c r="G1136">
        <f>_xlfn.NUMBERVALUE("0.000056")</f>
        <v/>
      </c>
      <c r="H1136">
        <f>_xlfn.NUMBERVALUE("0.012380")</f>
        <v/>
      </c>
      <c r="I1136">
        <f>_xlfn.NUMBERVALUE("0.000063")</f>
        <v/>
      </c>
      <c r="J1136">
        <f>_xlfn.NUMBERVALUE("0.000115")</f>
        <v/>
      </c>
      <c r="K1136">
        <f>_xlfn.NUMBERVALUE("0.001999")</f>
        <v/>
      </c>
      <c r="L1136">
        <f>_xlfn.NUMBERVALUE("0.000196")</f>
        <v/>
      </c>
      <c r="M1136">
        <f>_xlfn.NUMBERVALUE("0.001695")</f>
        <v/>
      </c>
      <c r="N1136">
        <f>_xlfn.NUMBERVALUE("0.003342")</f>
        <v/>
      </c>
      <c r="O1136">
        <f>_xlfn.NUMBERVALUE("0.001107")</f>
        <v/>
      </c>
      <c r="P1136">
        <f>_xlfn.NUMBERVALUE("-0.000015")</f>
        <v/>
      </c>
      <c r="Q1136">
        <f>_xlfn.NUMBERVALUE("0.000857")</f>
        <v/>
      </c>
      <c r="R1136">
        <f>_xlfn.NUMBERVALUE("0.000646")</f>
        <v/>
      </c>
      <c r="S1136">
        <f>_xlfn.NUMBERVALUE("0.000712")</f>
        <v/>
      </c>
      <c r="T1136">
        <f>_xlfn.NUMBERVALUE("0.000938")</f>
        <v/>
      </c>
      <c r="U1136">
        <f>_xlfn.NUMBERVALUE("0.000241")</f>
        <v/>
      </c>
      <c r="V1136">
        <f>_xlfn.NUMBERVALUE("0.000065")</f>
        <v/>
      </c>
      <c r="W1136">
        <f>_xlfn.NUMBERVALUE("-0.000369")</f>
        <v/>
      </c>
      <c r="X1136">
        <f>_xlfn.NUMBERVALUE("0.710000")</f>
        <v/>
      </c>
      <c r="Y1136">
        <f>_xlfn.NUMBERVALUE("13.280000")</f>
        <v/>
      </c>
    </row>
    <row r="1137">
      <c r="A1137" s="1" t="n">
        <v>43654</v>
      </c>
      <c r="B1137">
        <f>_xlfn.NUMBERVALUE("0.000000")</f>
        <v/>
      </c>
      <c r="C1137" s="2">
        <f>_xlfn.NUMBERVALUE("0.000557")</f>
        <v/>
      </c>
      <c r="D1137">
        <f>_xlfn.NUMBERVALUE("0.000675")</f>
        <v/>
      </c>
      <c r="E1137">
        <f>_xlfn.NUMBERVALUE("0.000190")</f>
        <v/>
      </c>
      <c r="F1137">
        <f>_xlfn.NUMBERVALUE("0.005115")</f>
        <v/>
      </c>
      <c r="G1137">
        <f>_xlfn.NUMBERVALUE("-0.000021")</f>
        <v/>
      </c>
      <c r="H1137">
        <f>_xlfn.NUMBERVALUE("0.000024")</f>
        <v/>
      </c>
      <c r="I1137">
        <f>_xlfn.NUMBERVALUE("-0.000023")</f>
        <v/>
      </c>
      <c r="J1137">
        <f>_xlfn.NUMBERVALUE("-0.000721")</f>
        <v/>
      </c>
      <c r="K1137">
        <f>_xlfn.NUMBERVALUE("0.003176")</f>
        <v/>
      </c>
      <c r="L1137">
        <f>_xlfn.NUMBERVALUE("0.000270")</f>
        <v/>
      </c>
      <c r="M1137">
        <f>_xlfn.NUMBERVALUE("0.002219")</f>
        <v/>
      </c>
      <c r="N1137">
        <f>_xlfn.NUMBERVALUE("-0.002459")</f>
        <v/>
      </c>
      <c r="O1137">
        <f>_xlfn.NUMBERVALUE("0.001487")</f>
        <v/>
      </c>
      <c r="P1137">
        <f>_xlfn.NUMBERVALUE("0.002822")</f>
        <v/>
      </c>
      <c r="Q1137">
        <f>_xlfn.NUMBERVALUE("0.002300")</f>
        <v/>
      </c>
      <c r="R1137">
        <f>_xlfn.NUMBERVALUE("0.000580")</f>
        <v/>
      </c>
      <c r="S1137">
        <f>_xlfn.NUMBERVALUE("0.000860")</f>
        <v/>
      </c>
      <c r="T1137">
        <f>_xlfn.NUMBERVALUE("0.000901")</f>
        <v/>
      </c>
      <c r="U1137">
        <f>_xlfn.NUMBERVALUE("0.000173")</f>
        <v/>
      </c>
      <c r="V1137">
        <f>_xlfn.NUMBERVALUE("0.000508")</f>
        <v/>
      </c>
      <c r="W1137">
        <f>_xlfn.NUMBERVALUE("-0.003724")</f>
        <v/>
      </c>
      <c r="X1137">
        <f>_xlfn.NUMBERVALUE("0.680000")</f>
        <v/>
      </c>
      <c r="Y1137">
        <f>_xlfn.NUMBERVALUE("13.960000")</f>
        <v/>
      </c>
    </row>
    <row r="1138">
      <c r="A1138" s="1" t="n">
        <v>43655</v>
      </c>
      <c r="B1138">
        <f>_xlfn.NUMBERVALUE("0.000000")</f>
        <v/>
      </c>
      <c r="C1138" s="2">
        <f>_xlfn.NUMBERVALUE("0.000444")</f>
        <v/>
      </c>
      <c r="D1138">
        <f>_xlfn.NUMBERVALUE("0.000552")</f>
        <v/>
      </c>
      <c r="E1138">
        <f>_xlfn.NUMBERVALUE("0.000336")</f>
        <v/>
      </c>
      <c r="F1138">
        <f>_xlfn.NUMBERVALUE("-0.000246")</f>
        <v/>
      </c>
      <c r="G1138">
        <f>_xlfn.NUMBERVALUE("0.001287")</f>
        <v/>
      </c>
      <c r="H1138">
        <f>_xlfn.NUMBERVALUE("0.002379")</f>
        <v/>
      </c>
      <c r="I1138">
        <f>_xlfn.NUMBERVALUE("0.000149")</f>
        <v/>
      </c>
      <c r="J1138">
        <f>_xlfn.NUMBERVALUE("0.000815")</f>
        <v/>
      </c>
      <c r="K1138">
        <f>_xlfn.NUMBERVALUE("0.001320")</f>
        <v/>
      </c>
      <c r="L1138">
        <f>_xlfn.NUMBERVALUE("-0.001031")</f>
        <v/>
      </c>
      <c r="M1138">
        <f>_xlfn.NUMBERVALUE("0.001240")</f>
        <v/>
      </c>
      <c r="N1138">
        <f>_xlfn.NUMBERVALUE("0.002176")</f>
        <v/>
      </c>
      <c r="O1138">
        <f>_xlfn.NUMBERVALUE("0.000275")</f>
        <v/>
      </c>
      <c r="P1138">
        <f>_xlfn.NUMBERVALUE("0.000692")</f>
        <v/>
      </c>
      <c r="Q1138">
        <f>_xlfn.NUMBERVALUE("0.001891")</f>
        <v/>
      </c>
      <c r="R1138">
        <f>_xlfn.NUMBERVALUE("0.000079")</f>
        <v/>
      </c>
      <c r="S1138">
        <f>_xlfn.NUMBERVALUE("0.000294")</f>
        <v/>
      </c>
      <c r="T1138">
        <f>_xlfn.NUMBERVALUE("0.000384")</f>
        <v/>
      </c>
      <c r="U1138">
        <f>_xlfn.NUMBERVALUE("0.000106")</f>
        <v/>
      </c>
      <c r="V1138">
        <f>_xlfn.NUMBERVALUE("-0.000361")</f>
        <v/>
      </c>
      <c r="W1138">
        <f>_xlfn.NUMBERVALUE("-0.000303")</f>
        <v/>
      </c>
      <c r="X1138">
        <f>_xlfn.NUMBERVALUE("0.130000")</f>
        <v/>
      </c>
      <c r="Y1138">
        <f>_xlfn.NUMBERVALUE("14.090000")</f>
        <v/>
      </c>
    </row>
    <row r="1139">
      <c r="A1139" s="1" t="n">
        <v>43656</v>
      </c>
      <c r="B1139">
        <f>_xlfn.NUMBERVALUE("0.000000")</f>
        <v/>
      </c>
      <c r="C1139" s="2">
        <f>_xlfn.NUMBERVALUE("0.000666")</f>
        <v/>
      </c>
      <c r="D1139">
        <f>_xlfn.NUMBERVALUE("0.000435")</f>
        <v/>
      </c>
      <c r="E1139">
        <f>_xlfn.NUMBERVALUE("0.000568")</f>
        <v/>
      </c>
      <c r="F1139">
        <f>_xlfn.NUMBERVALUE("-0.002765")</f>
        <v/>
      </c>
      <c r="G1139">
        <f>_xlfn.NUMBERVALUE("0.000087")</f>
        <v/>
      </c>
      <c r="H1139">
        <f>_xlfn.NUMBERVALUE("-0.002035")</f>
        <v/>
      </c>
      <c r="I1139">
        <f>_xlfn.NUMBERVALUE("0.002084")</f>
        <v/>
      </c>
      <c r="J1139">
        <f>_xlfn.NUMBERVALUE("-0.000293")</f>
        <v/>
      </c>
      <c r="K1139">
        <f>_xlfn.NUMBERVALUE("-0.002007")</f>
        <v/>
      </c>
      <c r="L1139">
        <f>_xlfn.NUMBERVALUE("-0.000177")</f>
        <v/>
      </c>
      <c r="M1139">
        <f>_xlfn.NUMBERVALUE("0.006801")</f>
        <v/>
      </c>
      <c r="N1139">
        <f>_xlfn.NUMBERVALUE("-0.000996")</f>
        <v/>
      </c>
      <c r="O1139">
        <f>_xlfn.NUMBERVALUE("-0.000042")</f>
        <v/>
      </c>
      <c r="P1139">
        <f>_xlfn.NUMBERVALUE("0.000390")</f>
        <v/>
      </c>
      <c r="Q1139">
        <f>_xlfn.NUMBERVALUE("0.002409")</f>
        <v/>
      </c>
      <c r="R1139">
        <f>_xlfn.NUMBERVALUE("-0.000028")</f>
        <v/>
      </c>
      <c r="S1139">
        <f>_xlfn.NUMBERVALUE("-0.001411")</f>
        <v/>
      </c>
      <c r="T1139">
        <f>_xlfn.NUMBERVALUE("-0.000144")</f>
        <v/>
      </c>
      <c r="U1139">
        <f>_xlfn.NUMBERVALUE("0.000022")</f>
        <v/>
      </c>
      <c r="V1139">
        <f>_xlfn.NUMBERVALUE("0.001230")</f>
        <v/>
      </c>
      <c r="W1139">
        <f>_xlfn.NUMBERVALUE("0.005524")</f>
        <v/>
      </c>
      <c r="X1139">
        <f>_xlfn.NUMBERVALUE("-1.060000")</f>
        <v/>
      </c>
      <c r="Y1139">
        <f>_xlfn.NUMBERVALUE("13.030000")</f>
        <v/>
      </c>
    </row>
    <row r="1140">
      <c r="A1140" s="1" t="n">
        <v>43657</v>
      </c>
      <c r="B1140">
        <f>_xlfn.NUMBERVALUE("0.000000")</f>
        <v/>
      </c>
      <c r="C1140" s="2">
        <f>_xlfn.NUMBERVALUE("-0.000161")</f>
        <v/>
      </c>
      <c r="D1140">
        <f>_xlfn.NUMBERVALUE("0.001278")</f>
        <v/>
      </c>
      <c r="E1140">
        <f>_xlfn.NUMBERVALUE("0.000662")</f>
        <v/>
      </c>
      <c r="F1140">
        <f>_xlfn.NUMBERVALUE("0.000766")</f>
        <v/>
      </c>
      <c r="G1140">
        <f>_xlfn.NUMBERVALUE("0.000205")</f>
        <v/>
      </c>
      <c r="H1140">
        <f>_xlfn.NUMBERVALUE("-0.000445")</f>
        <v/>
      </c>
      <c r="I1140">
        <f>_xlfn.NUMBERVALUE("0.001035")</f>
        <v/>
      </c>
      <c r="J1140">
        <f>_xlfn.NUMBERVALUE("-0.000199")</f>
        <v/>
      </c>
      <c r="K1140">
        <f>_xlfn.NUMBERVALUE("0.002426")</f>
        <v/>
      </c>
      <c r="L1140">
        <f>_xlfn.NUMBERVALUE("-0.001754")</f>
        <v/>
      </c>
      <c r="M1140">
        <f>_xlfn.NUMBERVALUE("0.000885")</f>
        <v/>
      </c>
      <c r="N1140">
        <f>_xlfn.NUMBERVALUE("0.000876")</f>
        <v/>
      </c>
      <c r="O1140">
        <f>_xlfn.NUMBERVALUE("0.001584")</f>
        <v/>
      </c>
      <c r="P1140">
        <f>_xlfn.NUMBERVALUE("-0.000831")</f>
        <v/>
      </c>
      <c r="Q1140">
        <f>_xlfn.NUMBERVALUE("0.000719")</f>
        <v/>
      </c>
      <c r="R1140">
        <f>_xlfn.NUMBERVALUE("0.000176")</f>
        <v/>
      </c>
      <c r="S1140">
        <f>_xlfn.NUMBERVALUE("0.000913")</f>
        <v/>
      </c>
      <c r="T1140">
        <f>_xlfn.NUMBERVALUE("0.001150")</f>
        <v/>
      </c>
      <c r="U1140">
        <f>_xlfn.NUMBERVALUE("-0.000563")</f>
        <v/>
      </c>
      <c r="V1140">
        <f>_xlfn.NUMBERVALUE("0.000603")</f>
        <v/>
      </c>
      <c r="W1140">
        <f>_xlfn.NUMBERVALUE("0.001206")</f>
        <v/>
      </c>
      <c r="X1140">
        <f>_xlfn.NUMBERVALUE("-0.100000")</f>
        <v/>
      </c>
      <c r="Y1140">
        <f>_xlfn.NUMBERVALUE("12.930000")</f>
        <v/>
      </c>
    </row>
    <row r="1141">
      <c r="A1141" s="1" t="n">
        <v>43658</v>
      </c>
      <c r="B1141">
        <f>_xlfn.NUMBERVALUE("0.000000")</f>
        <v/>
      </c>
      <c r="C1141" s="2">
        <f>_xlfn.NUMBERVALUE("-0.001677")</f>
        <v/>
      </c>
      <c r="D1141">
        <f>_xlfn.NUMBERVALUE("0.001468")</f>
        <v/>
      </c>
      <c r="E1141">
        <f>_xlfn.NUMBERVALUE("0.001074")</f>
        <v/>
      </c>
      <c r="F1141">
        <f>_xlfn.NUMBERVALUE("-0.001683")</f>
        <v/>
      </c>
      <c r="G1141">
        <f>_xlfn.NUMBERVALUE("0.001014")</f>
        <v/>
      </c>
      <c r="H1141">
        <f>_xlfn.NUMBERVALUE("-0.000501")</f>
        <v/>
      </c>
      <c r="I1141">
        <f>_xlfn.NUMBERVALUE("0.000142")</f>
        <v/>
      </c>
      <c r="J1141">
        <f>_xlfn.NUMBERVALUE("0.000398")</f>
        <v/>
      </c>
      <c r="K1141">
        <f>_xlfn.NUMBERVALUE("-0.002326")</f>
        <v/>
      </c>
      <c r="L1141">
        <f>_xlfn.NUMBERVALUE("0.000424")</f>
        <v/>
      </c>
      <c r="M1141">
        <f>_xlfn.NUMBERVALUE("-0.000932")</f>
        <v/>
      </c>
      <c r="N1141">
        <f>_xlfn.NUMBERVALUE("0.000022")</f>
        <v/>
      </c>
      <c r="O1141">
        <f>_xlfn.NUMBERVALUE("0.001256")</f>
        <v/>
      </c>
      <c r="P1141">
        <f>_xlfn.NUMBERVALUE("-0.000044")</f>
        <v/>
      </c>
      <c r="Q1141">
        <f>_xlfn.NUMBERVALUE("-0.003600")</f>
        <v/>
      </c>
      <c r="R1141">
        <f>_xlfn.NUMBERVALUE("0.000073")</f>
        <v/>
      </c>
      <c r="S1141">
        <f>_xlfn.NUMBERVALUE("0.000583")</f>
        <v/>
      </c>
      <c r="T1141">
        <f>_xlfn.NUMBERVALUE("0.001121")</f>
        <v/>
      </c>
      <c r="U1141">
        <f>_xlfn.NUMBERVALUE("-0.001152")</f>
        <v/>
      </c>
      <c r="V1141">
        <f>_xlfn.NUMBERVALUE("0.000013")</f>
        <v/>
      </c>
      <c r="W1141">
        <f>_xlfn.NUMBERVALUE("0.005286")</f>
        <v/>
      </c>
      <c r="X1141">
        <f>_xlfn.NUMBERVALUE("-0.540000")</f>
        <v/>
      </c>
      <c r="Y1141">
        <f>_xlfn.NUMBERVALUE("12.390000")</f>
        <v/>
      </c>
    </row>
    <row r="1142">
      <c r="A1142" s="1" t="n">
        <v>43661</v>
      </c>
      <c r="B1142">
        <f>_xlfn.NUMBERVALUE("0.000000")</f>
        <v/>
      </c>
      <c r="C1142" s="2">
        <f>_xlfn.NUMBERVALUE("0.000732")</f>
        <v/>
      </c>
      <c r="D1142">
        <f>_xlfn.NUMBERVALUE("0.001096")</f>
        <v/>
      </c>
      <c r="E1142">
        <f>_xlfn.NUMBERVALUE("0.000283")</f>
        <v/>
      </c>
      <c r="F1142">
        <f>_xlfn.NUMBERVALUE("0.001207")</f>
        <v/>
      </c>
      <c r="G1142">
        <f>_xlfn.NUMBERVALUE("-0.000129")</f>
        <v/>
      </c>
      <c r="H1142">
        <f>_xlfn.NUMBERVALUE("0.000779")</f>
        <v/>
      </c>
      <c r="I1142">
        <f>_xlfn.NUMBERVALUE("0.000390")</f>
        <v/>
      </c>
      <c r="J1142">
        <f>_xlfn.NUMBERVALUE("0.000042")</f>
        <v/>
      </c>
      <c r="K1142">
        <f>_xlfn.NUMBERVALUE("0.000317")</f>
        <v/>
      </c>
      <c r="L1142">
        <f>_xlfn.NUMBERVALUE("0.000200")</f>
        <v/>
      </c>
      <c r="M1142">
        <f>_xlfn.NUMBERVALUE("0.001045")</f>
        <v/>
      </c>
      <c r="N1142">
        <f>_xlfn.NUMBERVALUE("-0.000112")</f>
        <v/>
      </c>
      <c r="O1142">
        <f>_xlfn.NUMBERVALUE("-0.000328")</f>
        <v/>
      </c>
      <c r="P1142">
        <f>_xlfn.NUMBERVALUE("0.000560")</f>
        <v/>
      </c>
      <c r="Q1142">
        <f>_xlfn.NUMBERVALUE("0.001336")</f>
        <v/>
      </c>
      <c r="R1142">
        <f>_xlfn.NUMBERVALUE("0.000807")</f>
        <v/>
      </c>
      <c r="S1142">
        <f>_xlfn.NUMBERVALUE("0.000541")</f>
        <v/>
      </c>
      <c r="T1142">
        <f>_xlfn.NUMBERVALUE("0.001247")</f>
        <v/>
      </c>
      <c r="U1142">
        <f>_xlfn.NUMBERVALUE("0.000688")</f>
        <v/>
      </c>
      <c r="V1142">
        <f>_xlfn.NUMBERVALUE("0.000797")</f>
        <v/>
      </c>
      <c r="W1142">
        <f>_xlfn.NUMBERVALUE("0.000466")</f>
        <v/>
      </c>
      <c r="X1142">
        <f>_xlfn.NUMBERVALUE("0.290000")</f>
        <v/>
      </c>
      <c r="Y1142">
        <f>_xlfn.NUMBERVALUE("12.680000")</f>
        <v/>
      </c>
    </row>
    <row r="1143">
      <c r="A1143" s="1" t="n">
        <v>43662</v>
      </c>
      <c r="B1143">
        <f>_xlfn.NUMBERVALUE("0.000000")</f>
        <v/>
      </c>
      <c r="C1143" s="2">
        <f>_xlfn.NUMBERVALUE("-0.000318")</f>
        <v/>
      </c>
      <c r="D1143">
        <f>_xlfn.NUMBERVALUE("0.000307")</f>
        <v/>
      </c>
      <c r="E1143">
        <f>_xlfn.NUMBERVALUE("0.000358")</f>
        <v/>
      </c>
      <c r="F1143">
        <f>_xlfn.NUMBERVALUE("-0.000305")</f>
        <v/>
      </c>
      <c r="G1143">
        <f>_xlfn.NUMBERVALUE("0.000029")</f>
        <v/>
      </c>
      <c r="H1143">
        <f>_xlfn.NUMBERVALUE("-0.000049")</f>
        <v/>
      </c>
      <c r="I1143">
        <f>_xlfn.NUMBERVALUE("0.000641")</f>
        <v/>
      </c>
      <c r="J1143">
        <f>_xlfn.NUMBERVALUE("-0.000015")</f>
        <v/>
      </c>
      <c r="K1143">
        <f>_xlfn.NUMBERVALUE("0.001770")</f>
        <v/>
      </c>
      <c r="L1143">
        <f>_xlfn.NUMBERVALUE("-0.000058")</f>
        <v/>
      </c>
      <c r="M1143">
        <f>_xlfn.NUMBERVALUE("0.000204")</f>
        <v/>
      </c>
      <c r="N1143">
        <f>_xlfn.NUMBERVALUE("0.000180")</f>
        <v/>
      </c>
      <c r="O1143">
        <f>_xlfn.NUMBERVALUE("-0.000119")</f>
        <v/>
      </c>
      <c r="P1143">
        <f>_xlfn.NUMBERVALUE("0.001164")</f>
        <v/>
      </c>
      <c r="Q1143">
        <f>_xlfn.NUMBERVALUE("-0.001398")</f>
        <v/>
      </c>
      <c r="R1143">
        <f>_xlfn.NUMBERVALUE("-0.000209")</f>
        <v/>
      </c>
      <c r="S1143">
        <f>_xlfn.NUMBERVALUE("0.000509")</f>
        <v/>
      </c>
      <c r="T1143">
        <f>_xlfn.NUMBERVALUE("0.000116")</f>
        <v/>
      </c>
      <c r="U1143">
        <f>_xlfn.NUMBERVALUE("-0.000337")</f>
        <v/>
      </c>
      <c r="V1143">
        <f>_xlfn.NUMBERVALUE("0.000663")</f>
        <v/>
      </c>
      <c r="W1143">
        <f>_xlfn.NUMBERVALUE("-0.001929")</f>
        <v/>
      </c>
      <c r="X1143">
        <f>_xlfn.NUMBERVALUE("0.180000")</f>
        <v/>
      </c>
      <c r="Y1143">
        <f>_xlfn.NUMBERVALUE("12.860000")</f>
        <v/>
      </c>
    </row>
    <row r="1144">
      <c r="A1144" s="1" t="n">
        <v>43663</v>
      </c>
      <c r="B1144">
        <f>_xlfn.NUMBERVALUE("0.000000")</f>
        <v/>
      </c>
      <c r="C1144" s="2">
        <f>_xlfn.NUMBERVALUE("0.000134")</f>
        <v/>
      </c>
      <c r="D1144">
        <f>_xlfn.NUMBERVALUE("0.000893")</f>
        <v/>
      </c>
      <c r="E1144">
        <f>_xlfn.NUMBERVALUE("0.000017")</f>
        <v/>
      </c>
      <c r="F1144">
        <f>_xlfn.NUMBERVALUE("-0.003613")</f>
        <v/>
      </c>
      <c r="G1144">
        <f>_xlfn.NUMBERVALUE("-0.000322")</f>
        <v/>
      </c>
      <c r="H1144">
        <f>_xlfn.NUMBERVALUE("-0.000629")</f>
        <v/>
      </c>
      <c r="I1144">
        <f>_xlfn.NUMBERVALUE("-0.000028")</f>
        <v/>
      </c>
      <c r="J1144">
        <f>_xlfn.NUMBERVALUE("-0.001885")</f>
        <v/>
      </c>
      <c r="K1144">
        <f>_xlfn.NUMBERVALUE("-0.004748")</f>
        <v/>
      </c>
      <c r="L1144">
        <f>_xlfn.NUMBERVALUE("-0.001175")</f>
        <v/>
      </c>
      <c r="M1144">
        <f>_xlfn.NUMBERVALUE("0.000219")</f>
        <v/>
      </c>
      <c r="N1144">
        <f>_xlfn.NUMBERVALUE("-0.000196")</f>
        <v/>
      </c>
      <c r="O1144">
        <f>_xlfn.NUMBERVALUE("-0.000678")</f>
        <v/>
      </c>
      <c r="P1144">
        <f>_xlfn.NUMBERVALUE("0.001166")</f>
        <v/>
      </c>
      <c r="Q1144">
        <f>_xlfn.NUMBERVALUE("-0.003111")</f>
        <v/>
      </c>
      <c r="R1144">
        <f>_xlfn.NUMBERVALUE("-0.000521")</f>
        <v/>
      </c>
      <c r="S1144">
        <f>_xlfn.NUMBERVALUE("0.000237")</f>
        <v/>
      </c>
      <c r="T1144">
        <f>_xlfn.NUMBERVALUE("-0.000345")</f>
        <v/>
      </c>
      <c r="U1144">
        <f>_xlfn.NUMBERVALUE("-0.000810")</f>
        <v/>
      </c>
      <c r="V1144">
        <f>_xlfn.NUMBERVALUE("-0.000301")</f>
        <v/>
      </c>
      <c r="W1144">
        <f>_xlfn.NUMBERVALUE("-0.005833")</f>
        <v/>
      </c>
      <c r="X1144">
        <f>_xlfn.NUMBERVALUE("1.110000")</f>
        <v/>
      </c>
      <c r="Y1144">
        <f>_xlfn.NUMBERVALUE("13.970000")</f>
        <v/>
      </c>
    </row>
    <row r="1145">
      <c r="A1145" s="1" t="n">
        <v>43664</v>
      </c>
      <c r="B1145">
        <f>_xlfn.NUMBERVALUE("0.000000")</f>
        <v/>
      </c>
      <c r="C1145" s="2">
        <f>_xlfn.NUMBERVALUE("0.000637")</f>
        <v/>
      </c>
      <c r="D1145">
        <f>_xlfn.NUMBERVALUE("-0.001767")</f>
        <v/>
      </c>
      <c r="E1145">
        <f>_xlfn.NUMBERVALUE("-0.000099")</f>
        <v/>
      </c>
      <c r="F1145">
        <f>_xlfn.NUMBERVALUE("-0.003046")</f>
        <v/>
      </c>
      <c r="G1145">
        <f>_xlfn.NUMBERVALUE("0.000091")</f>
        <v/>
      </c>
      <c r="H1145">
        <f>_xlfn.NUMBERVALUE("0.000075")</f>
        <v/>
      </c>
      <c r="I1145">
        <f>_xlfn.NUMBERVALUE("0.000375")</f>
        <v/>
      </c>
      <c r="J1145">
        <f>_xlfn.NUMBERVALUE("-0.001924")</f>
        <v/>
      </c>
      <c r="K1145">
        <f>_xlfn.NUMBERVALUE("-0.003002")</f>
        <v/>
      </c>
      <c r="L1145">
        <f>_xlfn.NUMBERVALUE("0.000202")</f>
        <v/>
      </c>
      <c r="M1145">
        <f>_xlfn.NUMBERVALUE("0.000712")</f>
        <v/>
      </c>
      <c r="N1145">
        <f>_xlfn.NUMBERVALUE("0.000039")</f>
        <v/>
      </c>
      <c r="O1145">
        <f>_xlfn.NUMBERVALUE("0.000478")</f>
        <v/>
      </c>
      <c r="P1145">
        <f>_xlfn.NUMBERVALUE("0.000434")</f>
        <v/>
      </c>
      <c r="Q1145">
        <f>_xlfn.NUMBERVALUE("0.001132")</f>
        <v/>
      </c>
      <c r="R1145">
        <f>_xlfn.NUMBERVALUE("0.000956")</f>
        <v/>
      </c>
      <c r="S1145">
        <f>_xlfn.NUMBERVALUE("-0.000777")</f>
        <v/>
      </c>
      <c r="T1145">
        <f>_xlfn.NUMBERVALUE("-0.000176")</f>
        <v/>
      </c>
      <c r="U1145">
        <f>_xlfn.NUMBERVALUE("0.000262")</f>
        <v/>
      </c>
      <c r="V1145">
        <f>_xlfn.NUMBERVALUE("0.000134")</f>
        <v/>
      </c>
      <c r="W1145">
        <f>_xlfn.NUMBERVALUE("0.001039")</f>
        <v/>
      </c>
      <c r="X1145">
        <f>_xlfn.NUMBERVALUE("-0.440000")</f>
        <v/>
      </c>
      <c r="Y1145">
        <f>_xlfn.NUMBERVALUE("13.530000")</f>
        <v/>
      </c>
    </row>
    <row r="1146">
      <c r="A1146" s="1" t="n">
        <v>43665</v>
      </c>
      <c r="B1146">
        <f>_xlfn.NUMBERVALUE("0.000000")</f>
        <v/>
      </c>
      <c r="C1146" s="2">
        <f>_xlfn.NUMBERVALUE("0.000144")</f>
        <v/>
      </c>
      <c r="D1146">
        <f>_xlfn.NUMBERVALUE("0.001455")</f>
        <v/>
      </c>
      <c r="E1146">
        <f>_xlfn.NUMBERVALUE("0.000160")</f>
        <v/>
      </c>
      <c r="F1146">
        <f>_xlfn.NUMBERVALUE("0.000106")</f>
        <v/>
      </c>
      <c r="G1146">
        <f>_xlfn.NUMBERVALUE("0.000777")</f>
        <v/>
      </c>
      <c r="H1146">
        <f>_xlfn.NUMBERVALUE("0.000056")</f>
        <v/>
      </c>
      <c r="I1146">
        <f>_xlfn.NUMBERVALUE("0.000005")</f>
        <v/>
      </c>
      <c r="J1146">
        <f>_xlfn.NUMBERVALUE("0.001482")</f>
        <v/>
      </c>
      <c r="K1146">
        <f>_xlfn.NUMBERVALUE("0.000570")</f>
        <v/>
      </c>
      <c r="L1146">
        <f>_xlfn.NUMBERVALUE("0.000764")</f>
        <v/>
      </c>
      <c r="M1146">
        <f>_xlfn.NUMBERVALUE("-0.000218")</f>
        <v/>
      </c>
      <c r="N1146">
        <f>_xlfn.NUMBERVALUE("-0.000790")</f>
        <v/>
      </c>
      <c r="O1146">
        <f>_xlfn.NUMBERVALUE("-0.000308")</f>
        <v/>
      </c>
      <c r="P1146">
        <f>_xlfn.NUMBERVALUE("0.000244")</f>
        <v/>
      </c>
      <c r="Q1146">
        <f>_xlfn.NUMBERVALUE("-0.000552")</f>
        <v/>
      </c>
      <c r="R1146">
        <f>_xlfn.NUMBERVALUE("0.001014")</f>
        <v/>
      </c>
      <c r="S1146">
        <f>_xlfn.NUMBERVALUE("-0.000147")</f>
        <v/>
      </c>
      <c r="T1146">
        <f>_xlfn.NUMBERVALUE("-0.000560")</f>
        <v/>
      </c>
      <c r="U1146">
        <f>_xlfn.NUMBERVALUE("0.000150")</f>
        <v/>
      </c>
      <c r="V1146">
        <f>_xlfn.NUMBERVALUE("0.000358")</f>
        <v/>
      </c>
      <c r="W1146">
        <f>_xlfn.NUMBERVALUE("-0.002612")</f>
        <v/>
      </c>
      <c r="X1146">
        <f>_xlfn.NUMBERVALUE("0.920000")</f>
        <v/>
      </c>
      <c r="Y1146">
        <f>_xlfn.NUMBERVALUE("14.450000")</f>
        <v/>
      </c>
    </row>
    <row r="1147">
      <c r="A1147" s="1" t="n">
        <v>43668</v>
      </c>
      <c r="B1147">
        <f>_xlfn.NUMBERVALUE("0.000000")</f>
        <v/>
      </c>
      <c r="C1147" s="2">
        <f>_xlfn.NUMBERVALUE("0.001626")</f>
        <v/>
      </c>
      <c r="D1147">
        <f>_xlfn.NUMBERVALUE("0.000992")</f>
        <v/>
      </c>
      <c r="E1147">
        <f>_xlfn.NUMBERVALUE("0.000689")</f>
        <v/>
      </c>
      <c r="F1147">
        <f>_xlfn.NUMBERVALUE("0.002892")</f>
        <v/>
      </c>
      <c r="G1147">
        <f>_xlfn.NUMBERVALUE("0.000781")</f>
        <v/>
      </c>
      <c r="H1147">
        <f>_xlfn.NUMBERVALUE("0.001337")</f>
        <v/>
      </c>
      <c r="I1147">
        <f>_xlfn.NUMBERVALUE("0.000827")</f>
        <v/>
      </c>
      <c r="J1147">
        <f>_xlfn.NUMBERVALUE("0.000583")</f>
        <v/>
      </c>
      <c r="K1147">
        <f>_xlfn.NUMBERVALUE("0.000375")</f>
        <v/>
      </c>
      <c r="L1147">
        <f>_xlfn.NUMBERVALUE("0.000856")</f>
        <v/>
      </c>
      <c r="M1147">
        <f>_xlfn.NUMBERVALUE("0.001952")</f>
        <v/>
      </c>
      <c r="N1147">
        <f>_xlfn.NUMBERVALUE("-0.000099")</f>
        <v/>
      </c>
      <c r="O1147">
        <f>_xlfn.NUMBERVALUE("0.001820")</f>
        <v/>
      </c>
      <c r="P1147">
        <f>_xlfn.NUMBERVALUE("0.002184")</f>
        <v/>
      </c>
      <c r="Q1147">
        <f>_xlfn.NUMBERVALUE("0.001654")</f>
        <v/>
      </c>
      <c r="R1147">
        <f>_xlfn.NUMBERVALUE("-0.000284")</f>
        <v/>
      </c>
      <c r="S1147">
        <f>_xlfn.NUMBERVALUE("0.000548")</f>
        <v/>
      </c>
      <c r="T1147">
        <f>_xlfn.NUMBERVALUE("0.001205")</f>
        <v/>
      </c>
      <c r="U1147">
        <f>_xlfn.NUMBERVALUE("0.001546")</f>
        <v/>
      </c>
      <c r="V1147">
        <f>_xlfn.NUMBERVALUE("0.002096")</f>
        <v/>
      </c>
      <c r="W1147">
        <f>_xlfn.NUMBERVALUE("-0.000201")</f>
        <v/>
      </c>
      <c r="X1147">
        <f>_xlfn.NUMBERVALUE("-0.920000")</f>
        <v/>
      </c>
      <c r="Y1147">
        <f>_xlfn.NUMBERVALUE("13.530000")</f>
        <v/>
      </c>
    </row>
    <row r="1148">
      <c r="A1148" s="1" t="n">
        <v>43669</v>
      </c>
      <c r="B1148">
        <f>_xlfn.NUMBERVALUE("0.000000")</f>
        <v/>
      </c>
      <c r="C1148" s="2">
        <f>_xlfn.NUMBERVALUE("0.000016")</f>
        <v/>
      </c>
      <c r="D1148">
        <f>_xlfn.NUMBERVALUE("0.001546")</f>
        <v/>
      </c>
      <c r="E1148">
        <f>_xlfn.NUMBERVALUE("-0.000498")</f>
        <v/>
      </c>
      <c r="F1148">
        <f>_xlfn.NUMBERVALUE("0.001129")</f>
        <v/>
      </c>
      <c r="G1148">
        <f>_xlfn.NUMBERVALUE("-0.000911")</f>
        <v/>
      </c>
      <c r="H1148">
        <f>_xlfn.NUMBERVALUE("-0.000968")</f>
        <v/>
      </c>
      <c r="I1148">
        <f>_xlfn.NUMBERVALUE("0.001034")</f>
        <v/>
      </c>
      <c r="J1148">
        <f>_xlfn.NUMBERVALUE("0.000044")</f>
        <v/>
      </c>
      <c r="K1148">
        <f>_xlfn.NUMBERVALUE("0.000357")</f>
        <v/>
      </c>
      <c r="L1148">
        <f>_xlfn.NUMBERVALUE("-0.000365")</f>
        <v/>
      </c>
      <c r="M1148">
        <f>_xlfn.NUMBERVALUE("-0.003863")</f>
        <v/>
      </c>
      <c r="N1148">
        <f>_xlfn.NUMBERVALUE("0.000583")</f>
        <v/>
      </c>
      <c r="O1148">
        <f>_xlfn.NUMBERVALUE("0.000844")</f>
        <v/>
      </c>
      <c r="P1148">
        <f>_xlfn.NUMBERVALUE("-0.000986")</f>
        <v/>
      </c>
      <c r="Q1148">
        <f>_xlfn.NUMBERVALUE("-0.001008")</f>
        <v/>
      </c>
      <c r="R1148">
        <f>_xlfn.NUMBERVALUE("0.001019")</f>
        <v/>
      </c>
      <c r="S1148">
        <f>_xlfn.NUMBERVALUE("-0.000628")</f>
        <v/>
      </c>
      <c r="T1148">
        <f>_xlfn.NUMBERVALUE("0.001179")</f>
        <v/>
      </c>
      <c r="U1148">
        <f>_xlfn.NUMBERVALUE("0.000492")</f>
        <v/>
      </c>
      <c r="V1148">
        <f>_xlfn.NUMBERVALUE("-0.000236")</f>
        <v/>
      </c>
      <c r="W1148">
        <f>_xlfn.NUMBERVALUE("0.007153")</f>
        <v/>
      </c>
      <c r="X1148">
        <f>_xlfn.NUMBERVALUE("-0.920000")</f>
        <v/>
      </c>
      <c r="Y1148">
        <f>_xlfn.NUMBERVALUE("12.610000")</f>
        <v/>
      </c>
    </row>
    <row r="1149">
      <c r="A1149" s="1" t="n">
        <v>43670</v>
      </c>
      <c r="B1149">
        <f>_xlfn.NUMBERVALUE("0.000000")</f>
        <v/>
      </c>
      <c r="C1149" s="2">
        <f>_xlfn.NUMBERVALUE("0.001260")</f>
        <v/>
      </c>
      <c r="D1149">
        <f>_xlfn.NUMBERVALUE("0.000169")</f>
        <v/>
      </c>
      <c r="E1149">
        <f>_xlfn.NUMBERVALUE("0.000416")</f>
        <v/>
      </c>
      <c r="F1149">
        <f>_xlfn.NUMBERVALUE("0.000921")</f>
        <v/>
      </c>
      <c r="G1149">
        <f>_xlfn.NUMBERVALUE("0.000031")</f>
        <v/>
      </c>
      <c r="H1149">
        <f>_xlfn.NUMBERVALUE("-0.000071")</f>
        <v/>
      </c>
      <c r="I1149">
        <f>_xlfn.NUMBERVALUE("-0.005297")</f>
        <v/>
      </c>
      <c r="J1149">
        <f>_xlfn.NUMBERVALUE("-0.001240")</f>
        <v/>
      </c>
      <c r="K1149">
        <f>_xlfn.NUMBERVALUE("-0.000242")</f>
        <v/>
      </c>
      <c r="L1149">
        <f>_xlfn.NUMBERVALUE("0.000076")</f>
        <v/>
      </c>
      <c r="M1149">
        <f>_xlfn.NUMBERVALUE("0.000278")</f>
        <v/>
      </c>
      <c r="N1149">
        <f>_xlfn.NUMBERVALUE("0.002348")</f>
        <v/>
      </c>
      <c r="O1149">
        <f>_xlfn.NUMBERVALUE("0.000889")</f>
        <v/>
      </c>
      <c r="P1149">
        <f>_xlfn.NUMBERVALUE("-0.000308")</f>
        <v/>
      </c>
      <c r="Q1149">
        <f>_xlfn.NUMBERVALUE("0.000000")</f>
        <v/>
      </c>
      <c r="R1149">
        <f>_xlfn.NUMBERVALUE("-0.000091")</f>
        <v/>
      </c>
      <c r="S1149">
        <f>_xlfn.NUMBERVALUE("0.000885")</f>
        <v/>
      </c>
      <c r="T1149">
        <f>_xlfn.NUMBERVALUE("0.001508")</f>
        <v/>
      </c>
      <c r="U1149">
        <f>_xlfn.NUMBERVALUE("0.000637")</f>
        <v/>
      </c>
      <c r="V1149">
        <f>_xlfn.NUMBERVALUE("0.000119")</f>
        <v/>
      </c>
      <c r="W1149">
        <f>_xlfn.NUMBERVALUE("0.004402")</f>
        <v/>
      </c>
      <c r="X1149">
        <f>_xlfn.NUMBERVALUE("-0.540000")</f>
        <v/>
      </c>
      <c r="Y1149">
        <f>_xlfn.NUMBERVALUE("12.070000")</f>
        <v/>
      </c>
    </row>
    <row r="1150">
      <c r="A1150" s="1" t="n">
        <v>43671</v>
      </c>
      <c r="B1150">
        <f>_xlfn.NUMBERVALUE("0.000000")</f>
        <v/>
      </c>
      <c r="C1150" s="2">
        <f>_xlfn.NUMBERVALUE("0.000145")</f>
        <v/>
      </c>
      <c r="D1150">
        <f>_xlfn.NUMBERVALUE("0.000153")</f>
        <v/>
      </c>
      <c r="E1150">
        <f>_xlfn.NUMBERVALUE("-0.001689")</f>
        <v/>
      </c>
      <c r="F1150">
        <f>_xlfn.NUMBERVALUE("0.001480")</f>
        <v/>
      </c>
      <c r="G1150">
        <f>_xlfn.NUMBERVALUE("0.000194")</f>
        <v/>
      </c>
      <c r="H1150">
        <f>_xlfn.NUMBERVALUE("0.001728")</f>
        <v/>
      </c>
      <c r="I1150">
        <f>_xlfn.NUMBERVALUE("-0.001814")</f>
        <v/>
      </c>
      <c r="J1150">
        <f>_xlfn.NUMBERVALUE("0.000896")</f>
        <v/>
      </c>
      <c r="K1150">
        <f>_xlfn.NUMBERVALUE("0.000582")</f>
        <v/>
      </c>
      <c r="L1150">
        <f>_xlfn.NUMBERVALUE("0.000162")</f>
        <v/>
      </c>
      <c r="M1150">
        <f>_xlfn.NUMBERVALUE("0.000013")</f>
        <v/>
      </c>
      <c r="N1150">
        <f>_xlfn.NUMBERVALUE("-0.001593")</f>
        <v/>
      </c>
      <c r="O1150">
        <f>_xlfn.NUMBERVALUE("-0.001478")</f>
        <v/>
      </c>
      <c r="P1150">
        <f>_xlfn.NUMBERVALUE("-0.000961")</f>
        <v/>
      </c>
      <c r="Q1150">
        <f>_xlfn.NUMBERVALUE("0.000530")</f>
        <v/>
      </c>
      <c r="R1150">
        <f>_xlfn.NUMBERVALUE("-0.000552")</f>
        <v/>
      </c>
      <c r="S1150">
        <f>_xlfn.NUMBERVALUE("0.000270")</f>
        <v/>
      </c>
      <c r="T1150">
        <f>_xlfn.NUMBERVALUE("-0.000174")</f>
        <v/>
      </c>
      <c r="U1150">
        <f>_xlfn.NUMBERVALUE("-0.000255")</f>
        <v/>
      </c>
      <c r="V1150">
        <f>_xlfn.NUMBERVALUE("0.000349")</f>
        <v/>
      </c>
      <c r="W1150">
        <f>_xlfn.NUMBERVALUE("-0.004416")</f>
        <v/>
      </c>
      <c r="X1150">
        <f>_xlfn.NUMBERVALUE("0.670000")</f>
        <v/>
      </c>
      <c r="Y1150">
        <f>_xlfn.NUMBERVALUE("12.740000")</f>
        <v/>
      </c>
    </row>
    <row r="1151">
      <c r="A1151" s="1" t="n">
        <v>43672</v>
      </c>
      <c r="B1151">
        <f>_xlfn.NUMBERVALUE("0.000000")</f>
        <v/>
      </c>
      <c r="C1151" s="2">
        <f>_xlfn.NUMBERVALUE("0.000725")</f>
        <v/>
      </c>
      <c r="D1151">
        <f>_xlfn.NUMBERVALUE("0.001008")</f>
        <v/>
      </c>
      <c r="E1151">
        <f>_xlfn.NUMBERVALUE("0.000730")</f>
        <v/>
      </c>
      <c r="F1151">
        <f>_xlfn.NUMBERVALUE("0.003006")</f>
        <v/>
      </c>
      <c r="G1151">
        <f>_xlfn.NUMBERVALUE("0.000532")</f>
        <v/>
      </c>
      <c r="H1151">
        <f>_xlfn.NUMBERVALUE("0.000254")</f>
        <v/>
      </c>
      <c r="I1151">
        <f>_xlfn.NUMBERVALUE("-0.001846")</f>
        <v/>
      </c>
      <c r="J1151">
        <f>_xlfn.NUMBERVALUE("0.000200")</f>
        <v/>
      </c>
      <c r="K1151">
        <f>_xlfn.NUMBERVALUE("-0.000222")</f>
        <v/>
      </c>
      <c r="L1151">
        <f>_xlfn.NUMBERVALUE("0.001410")</f>
        <v/>
      </c>
      <c r="M1151">
        <f>_xlfn.NUMBERVALUE("0.000319")</f>
        <v/>
      </c>
      <c r="N1151">
        <f>_xlfn.NUMBERVALUE("-0.009546")</f>
        <v/>
      </c>
      <c r="O1151">
        <f>_xlfn.NUMBERVALUE("0.000869")</f>
        <v/>
      </c>
      <c r="P1151">
        <f>_xlfn.NUMBERVALUE("-0.001527")</f>
        <v/>
      </c>
      <c r="Q1151">
        <f>_xlfn.NUMBERVALUE("0.000649")</f>
        <v/>
      </c>
      <c r="R1151">
        <f>_xlfn.NUMBERVALUE("0.001399")</f>
        <v/>
      </c>
      <c r="S1151">
        <f>_xlfn.NUMBERVALUE("-0.001978")</f>
        <v/>
      </c>
      <c r="T1151">
        <f>_xlfn.NUMBERVALUE("0.000878")</f>
        <v/>
      </c>
      <c r="U1151">
        <f>_xlfn.NUMBERVALUE("0.001976")</f>
        <v/>
      </c>
      <c r="V1151">
        <f>_xlfn.NUMBERVALUE("-0.000597")</f>
        <v/>
      </c>
      <c r="W1151">
        <f>_xlfn.NUMBERVALUE("0.007403")</f>
        <v/>
      </c>
      <c r="X1151">
        <f>_xlfn.NUMBERVALUE("-0.580000")</f>
        <v/>
      </c>
      <c r="Y1151">
        <f>_xlfn.NUMBERVALUE("12.160000")</f>
        <v/>
      </c>
    </row>
    <row r="1152">
      <c r="A1152" s="1" t="n">
        <v>43675</v>
      </c>
      <c r="B1152">
        <f>_xlfn.NUMBERVALUE("0.000000")</f>
        <v/>
      </c>
      <c r="C1152" s="2">
        <f>_xlfn.NUMBERVALUE("0.000862")</f>
        <v/>
      </c>
      <c r="D1152">
        <f>_xlfn.NUMBERVALUE("-0.000057")</f>
        <v/>
      </c>
      <c r="E1152">
        <f>_xlfn.NUMBERVALUE("0.000397")</f>
        <v/>
      </c>
      <c r="F1152">
        <f>_xlfn.NUMBERVALUE("-0.001073")</f>
        <v/>
      </c>
      <c r="G1152">
        <f>_xlfn.NUMBERVALUE("0.000522")</f>
        <v/>
      </c>
      <c r="H1152">
        <f>_xlfn.NUMBERVALUE("0.000846")</f>
        <v/>
      </c>
      <c r="I1152">
        <f>_xlfn.NUMBERVALUE("-0.000607")</f>
        <v/>
      </c>
      <c r="J1152">
        <f>_xlfn.NUMBERVALUE("0.000693")</f>
        <v/>
      </c>
      <c r="K1152">
        <f>_xlfn.NUMBERVALUE("0.000421")</f>
        <v/>
      </c>
      <c r="L1152">
        <f>_xlfn.NUMBERVALUE("-0.000055")</f>
        <v/>
      </c>
      <c r="M1152">
        <f>_xlfn.NUMBERVALUE("0.001078")</f>
        <v/>
      </c>
      <c r="N1152">
        <f>_xlfn.NUMBERVALUE("0.001367")</f>
        <v/>
      </c>
      <c r="O1152">
        <f>_xlfn.NUMBERVALUE("0.000095")</f>
        <v/>
      </c>
      <c r="P1152">
        <f>_xlfn.NUMBERVALUE("0.002267")</f>
        <v/>
      </c>
      <c r="Q1152">
        <f>_xlfn.NUMBERVALUE("0.001625")</f>
        <v/>
      </c>
      <c r="R1152">
        <f>_xlfn.NUMBERVALUE("0.000373")</f>
        <v/>
      </c>
      <c r="S1152">
        <f>_xlfn.NUMBERVALUE("0.000502")</f>
        <v/>
      </c>
      <c r="T1152">
        <f>_xlfn.NUMBERVALUE("0.000252")</f>
        <v/>
      </c>
      <c r="U1152">
        <f>_xlfn.NUMBERVALUE("0.001212")</f>
        <v/>
      </c>
      <c r="V1152">
        <f>_xlfn.NUMBERVALUE("0.001218")</f>
        <v/>
      </c>
      <c r="W1152">
        <f>_xlfn.NUMBERVALUE("-0.001423")</f>
        <v/>
      </c>
      <c r="X1152">
        <f>_xlfn.NUMBERVALUE("0.670000")</f>
        <v/>
      </c>
      <c r="Y1152">
        <f>_xlfn.NUMBERVALUE("12.830000")</f>
        <v/>
      </c>
    </row>
    <row r="1153">
      <c r="A1153" s="1" t="n">
        <v>43676</v>
      </c>
      <c r="B1153">
        <f>_xlfn.NUMBERVALUE("0.000000")</f>
        <v/>
      </c>
      <c r="C1153" s="2">
        <f>_xlfn.NUMBERVALUE("-0.000738")</f>
        <v/>
      </c>
      <c r="D1153">
        <f>_xlfn.NUMBERVALUE("-0.001797")</f>
        <v/>
      </c>
      <c r="E1153">
        <f>_xlfn.NUMBERVALUE("-0.002381")</f>
        <v/>
      </c>
      <c r="F1153">
        <f>_xlfn.NUMBERVALUE("-0.001698")</f>
        <v/>
      </c>
      <c r="G1153">
        <f>_xlfn.NUMBERVALUE("-0.000029")</f>
        <v/>
      </c>
      <c r="H1153">
        <f>_xlfn.NUMBERVALUE("-0.001374")</f>
        <v/>
      </c>
      <c r="I1153">
        <f>_xlfn.NUMBERVALUE("-0.003940")</f>
        <v/>
      </c>
      <c r="J1153">
        <f>_xlfn.NUMBERVALUE("0.000815")</f>
        <v/>
      </c>
      <c r="K1153">
        <f>_xlfn.NUMBERVALUE("-0.000066")</f>
        <v/>
      </c>
      <c r="L1153">
        <f>_xlfn.NUMBERVALUE("0.000046")</f>
        <v/>
      </c>
      <c r="M1153">
        <f>_xlfn.NUMBERVALUE("-0.000839")</f>
        <v/>
      </c>
      <c r="N1153">
        <f>_xlfn.NUMBERVALUE("0.000299")</f>
        <v/>
      </c>
      <c r="O1153">
        <f>_xlfn.NUMBERVALUE("-0.000576")</f>
        <v/>
      </c>
      <c r="P1153">
        <f>_xlfn.NUMBERVALUE("-0.000508")</f>
        <v/>
      </c>
      <c r="Q1153">
        <f>_xlfn.NUMBERVALUE("-0.000155")</f>
        <v/>
      </c>
      <c r="R1153">
        <f>_xlfn.NUMBERVALUE("-0.000530")</f>
        <v/>
      </c>
      <c r="S1153">
        <f>_xlfn.NUMBERVALUE("-0.000365")</f>
        <v/>
      </c>
      <c r="T1153">
        <f>_xlfn.NUMBERVALUE("-0.001957")</f>
        <v/>
      </c>
      <c r="U1153">
        <f>_xlfn.NUMBERVALUE("-0.000743")</f>
        <v/>
      </c>
      <c r="V1153">
        <f>_xlfn.NUMBERVALUE("-0.001059")</f>
        <v/>
      </c>
      <c r="W1153">
        <f>_xlfn.NUMBERVALUE("-0.003746")</f>
        <v/>
      </c>
      <c r="X1153">
        <f>_xlfn.NUMBERVALUE("1.110000")</f>
        <v/>
      </c>
      <c r="Y1153">
        <f>_xlfn.NUMBERVALUE("13.940000")</f>
        <v/>
      </c>
    </row>
    <row r="1154">
      <c r="A1154" s="1" t="n">
        <v>43677</v>
      </c>
      <c r="B1154">
        <f>_xlfn.NUMBERVALUE("0.000000")</f>
        <v/>
      </c>
      <c r="C1154" s="2">
        <f>_xlfn.NUMBERVALUE("0.000204")</f>
        <v/>
      </c>
      <c r="D1154">
        <f>_xlfn.NUMBERVALUE("0.003055")</f>
        <v/>
      </c>
      <c r="E1154">
        <f>_xlfn.NUMBERVALUE("-0.000320")</f>
        <v/>
      </c>
      <c r="F1154">
        <f>_xlfn.NUMBERVALUE("0.001981")</f>
        <v/>
      </c>
      <c r="G1154">
        <f>_xlfn.NUMBERVALUE("0.001911")</f>
        <v/>
      </c>
      <c r="H1154">
        <f>_xlfn.NUMBERVALUE("0.000983")</f>
        <v/>
      </c>
      <c r="I1154">
        <f>_xlfn.NUMBERVALUE("0.001941")</f>
        <v/>
      </c>
      <c r="J1154">
        <f>_xlfn.NUMBERVALUE("0.001295")</f>
        <v/>
      </c>
      <c r="K1154">
        <f>_xlfn.NUMBERVALUE("0.000047")</f>
        <v/>
      </c>
      <c r="L1154">
        <f>_xlfn.NUMBERVALUE("-0.000280")</f>
        <v/>
      </c>
      <c r="M1154">
        <f>_xlfn.NUMBERVALUE("0.000684")</f>
        <v/>
      </c>
      <c r="N1154">
        <f>_xlfn.NUMBERVALUE("-0.002678")</f>
        <v/>
      </c>
      <c r="O1154">
        <f>_xlfn.NUMBERVALUE("0.000510")</f>
        <v/>
      </c>
      <c r="P1154">
        <f>_xlfn.NUMBERVALUE("0.001031")</f>
        <v/>
      </c>
      <c r="Q1154">
        <f>_xlfn.NUMBERVALUE("0.000132")</f>
        <v/>
      </c>
      <c r="R1154">
        <f>_xlfn.NUMBERVALUE("-0.000113")</f>
        <v/>
      </c>
      <c r="S1154">
        <f>_xlfn.NUMBERVALUE("-0.003183")</f>
        <v/>
      </c>
      <c r="T1154">
        <f>_xlfn.NUMBERVALUE("0.000722")</f>
        <v/>
      </c>
      <c r="U1154">
        <f>_xlfn.NUMBERVALUE("-0.000687")</f>
        <v/>
      </c>
      <c r="V1154">
        <f>_xlfn.NUMBERVALUE("0.001069")</f>
        <v/>
      </c>
      <c r="W1154">
        <f>_xlfn.NUMBERVALUE("-0.005923")</f>
        <v/>
      </c>
      <c r="X1154">
        <f>_xlfn.NUMBERVALUE("2.180000")</f>
        <v/>
      </c>
      <c r="Y1154">
        <f>_xlfn.NUMBERVALUE("16.120000")</f>
        <v/>
      </c>
    </row>
    <row r="1155">
      <c r="A1155" s="1" t="n">
        <v>43678</v>
      </c>
      <c r="B1155">
        <f>_xlfn.NUMBERVALUE("0.000000")</f>
        <v/>
      </c>
      <c r="C1155" s="2">
        <f>_xlfn.NUMBERVALUE("-0.004140")</f>
        <v/>
      </c>
      <c r="D1155">
        <f>_xlfn.NUMBERVALUE("-0.001733")</f>
        <v/>
      </c>
      <c r="E1155">
        <f>_xlfn.NUMBERVALUE("0.000182")</f>
        <v/>
      </c>
      <c r="F1155">
        <f>_xlfn.NUMBERVALUE("-0.010292")</f>
        <v/>
      </c>
      <c r="G1155">
        <f>_xlfn.NUMBERVALUE("0.000012")</f>
        <v/>
      </c>
      <c r="H1155">
        <f>_xlfn.NUMBERVALUE("-0.006075")</f>
        <v/>
      </c>
      <c r="I1155">
        <f>_xlfn.NUMBERVALUE("-0.005528")</f>
        <v/>
      </c>
      <c r="J1155">
        <f>_xlfn.NUMBERVALUE("-0.003608")</f>
        <v/>
      </c>
      <c r="K1155">
        <f>_xlfn.NUMBERVALUE("-0.000038")</f>
        <v/>
      </c>
      <c r="L1155">
        <f>_xlfn.NUMBERVALUE("-0.010072")</f>
        <v/>
      </c>
      <c r="M1155">
        <f>_xlfn.NUMBERVALUE("-0.000807")</f>
        <v/>
      </c>
      <c r="N1155">
        <f>_xlfn.NUMBERVALUE("0.000870")</f>
        <v/>
      </c>
      <c r="O1155">
        <f>_xlfn.NUMBERVALUE("-0.004504")</f>
        <v/>
      </c>
      <c r="P1155">
        <f>_xlfn.NUMBERVALUE("-0.009205")</f>
        <v/>
      </c>
      <c r="Q1155">
        <f>_xlfn.NUMBERVALUE("-0.005652")</f>
        <v/>
      </c>
      <c r="R1155">
        <f>_xlfn.NUMBERVALUE("-0.000866")</f>
        <v/>
      </c>
      <c r="S1155">
        <f>_xlfn.NUMBERVALUE("-0.000633")</f>
        <v/>
      </c>
      <c r="T1155">
        <f>_xlfn.NUMBERVALUE("0.000216")</f>
        <v/>
      </c>
      <c r="U1155">
        <f>_xlfn.NUMBERVALUE("-0.003548")</f>
        <v/>
      </c>
      <c r="V1155">
        <f>_xlfn.NUMBERVALUE("-0.002019")</f>
        <v/>
      </c>
      <c r="W1155">
        <f>_xlfn.NUMBERVALUE("-0.010510")</f>
        <v/>
      </c>
      <c r="X1155">
        <f>_xlfn.NUMBERVALUE("1.750000")</f>
        <v/>
      </c>
      <c r="Y1155">
        <f>_xlfn.NUMBERVALUE("17.870000")</f>
        <v/>
      </c>
    </row>
    <row r="1156">
      <c r="A1156" s="1" t="n">
        <v>43679</v>
      </c>
      <c r="B1156">
        <f>_xlfn.NUMBERVALUE("0.000000")</f>
        <v/>
      </c>
      <c r="C1156" s="2">
        <f>_xlfn.NUMBERVALUE("0.003325")</f>
        <v/>
      </c>
      <c r="D1156">
        <f>_xlfn.NUMBERVALUE("-0.000018")</f>
        <v/>
      </c>
      <c r="E1156">
        <f>_xlfn.NUMBERVALUE("-0.000058")</f>
        <v/>
      </c>
      <c r="F1156">
        <f>_xlfn.NUMBERVALUE("0.004156")</f>
        <v/>
      </c>
      <c r="G1156">
        <f>_xlfn.NUMBERVALUE("0.000049")</f>
        <v/>
      </c>
      <c r="H1156">
        <f>_xlfn.NUMBERVALUE("-0.000532")</f>
        <v/>
      </c>
      <c r="I1156">
        <f>_xlfn.NUMBERVALUE("-0.000011")</f>
        <v/>
      </c>
      <c r="J1156">
        <f>_xlfn.NUMBERVALUE("0.000152")</f>
        <v/>
      </c>
      <c r="K1156">
        <f>_xlfn.NUMBERVALUE("0.000011")</f>
        <v/>
      </c>
      <c r="L1156">
        <f>_xlfn.NUMBERVALUE("0.000691")</f>
        <v/>
      </c>
      <c r="M1156">
        <f>_xlfn.NUMBERVALUE("0.003590")</f>
        <v/>
      </c>
      <c r="N1156">
        <f>_xlfn.NUMBERVALUE("-0.001451")</f>
        <v/>
      </c>
      <c r="O1156">
        <f>_xlfn.NUMBERVALUE("-0.000054")</f>
        <v/>
      </c>
      <c r="P1156">
        <f>_xlfn.NUMBERVALUE("0.001101")</f>
        <v/>
      </c>
      <c r="Q1156">
        <f>_xlfn.NUMBERVALUE("0.002181")</f>
        <v/>
      </c>
      <c r="R1156">
        <f>_xlfn.NUMBERVALUE("-0.001800")</f>
        <v/>
      </c>
      <c r="S1156">
        <f>_xlfn.NUMBERVALUE("0.001717")</f>
        <v/>
      </c>
      <c r="T1156">
        <f>_xlfn.NUMBERVALUE("0.001630")</f>
        <v/>
      </c>
      <c r="U1156">
        <f>_xlfn.NUMBERVALUE("0.000197")</f>
        <v/>
      </c>
      <c r="V1156">
        <f>_xlfn.NUMBERVALUE("-0.000670")</f>
        <v/>
      </c>
      <c r="W1156">
        <f>_xlfn.NUMBERVALUE("-0.009235")</f>
        <v/>
      </c>
      <c r="X1156">
        <f>_xlfn.NUMBERVALUE("-0.260000")</f>
        <v/>
      </c>
      <c r="Y1156">
        <f>_xlfn.NUMBERVALUE("17.610000")</f>
        <v/>
      </c>
    </row>
    <row r="1157">
      <c r="A1157" s="1" t="n">
        <v>43682</v>
      </c>
      <c r="B1157">
        <f>_xlfn.NUMBERVALUE("0.000000")</f>
        <v/>
      </c>
      <c r="C1157" s="2">
        <f>_xlfn.NUMBERVALUE("-0.003368")</f>
        <v/>
      </c>
      <c r="D1157">
        <f>_xlfn.NUMBERVALUE("-0.000084")</f>
        <v/>
      </c>
      <c r="E1157">
        <f>_xlfn.NUMBERVALUE("-0.000043")</f>
        <v/>
      </c>
      <c r="F1157">
        <f>_xlfn.NUMBERVALUE("-0.000383")</f>
        <v/>
      </c>
      <c r="G1157">
        <f>_xlfn.NUMBERVALUE("-0.000366")</f>
        <v/>
      </c>
      <c r="H1157">
        <f>_xlfn.NUMBERVALUE("0.000114")</f>
        <v/>
      </c>
      <c r="I1157">
        <f>_xlfn.NUMBERVALUE("-0.001478")</f>
        <v/>
      </c>
      <c r="J1157">
        <f>_xlfn.NUMBERVALUE("0.000037")</f>
        <v/>
      </c>
      <c r="K1157">
        <f>_xlfn.NUMBERVALUE("-0.000037")</f>
        <v/>
      </c>
      <c r="L1157">
        <f>_xlfn.NUMBERVALUE("-0.000187")</f>
        <v/>
      </c>
      <c r="M1157">
        <f>_xlfn.NUMBERVALUE("-0.006544")</f>
        <v/>
      </c>
      <c r="N1157">
        <f>_xlfn.NUMBERVALUE("-0.009312")</f>
        <v/>
      </c>
      <c r="O1157">
        <f>_xlfn.NUMBERVALUE("-0.000335")</f>
        <v/>
      </c>
      <c r="P1157">
        <f>_xlfn.NUMBERVALUE("-0.010644")</f>
        <v/>
      </c>
      <c r="Q1157">
        <f>_xlfn.NUMBERVALUE("-0.010490")</f>
        <v/>
      </c>
      <c r="R1157">
        <f>_xlfn.NUMBERVALUE("-0.011018")</f>
        <v/>
      </c>
      <c r="S1157">
        <f>_xlfn.NUMBERVALUE("-0.011214")</f>
        <v/>
      </c>
      <c r="T1157">
        <f>_xlfn.NUMBERVALUE("-0.003895")</f>
        <v/>
      </c>
      <c r="U1157">
        <f>_xlfn.NUMBERVALUE("-0.001682")</f>
        <v/>
      </c>
      <c r="V1157">
        <f>_xlfn.NUMBERVALUE("-0.000903")</f>
        <v/>
      </c>
      <c r="W1157">
        <f>_xlfn.NUMBERVALUE("-0.014152")</f>
        <v/>
      </c>
      <c r="X1157">
        <f>_xlfn.NUMBERVALUE("6.980000")</f>
        <v/>
      </c>
      <c r="Y1157">
        <f>_xlfn.NUMBERVALUE("24.590000")</f>
        <v/>
      </c>
    </row>
    <row r="1158">
      <c r="A1158" s="1" t="n">
        <v>43683</v>
      </c>
      <c r="B1158">
        <f>_xlfn.NUMBERVALUE("0.000000")</f>
        <v/>
      </c>
      <c r="C1158" s="2">
        <f>_xlfn.NUMBERVALUE("0.004854")</f>
        <v/>
      </c>
      <c r="D1158">
        <f>_xlfn.NUMBERVALUE("0.004345")</f>
        <v/>
      </c>
      <c r="E1158">
        <f>_xlfn.NUMBERVALUE("0.003953")</f>
        <v/>
      </c>
      <c r="F1158">
        <f>_xlfn.NUMBERVALUE("0.002336")</f>
        <v/>
      </c>
      <c r="G1158">
        <f>_xlfn.NUMBERVALUE("-0.000277")</f>
        <v/>
      </c>
      <c r="H1158">
        <f>_xlfn.NUMBERVALUE("0.000557")</f>
        <v/>
      </c>
      <c r="I1158">
        <f>_xlfn.NUMBERVALUE("0.004416")</f>
        <v/>
      </c>
      <c r="J1158">
        <f>_xlfn.NUMBERVALUE("0.001503")</f>
        <v/>
      </c>
      <c r="K1158">
        <f>_xlfn.NUMBERVALUE("0.001702")</f>
        <v/>
      </c>
      <c r="L1158">
        <f>_xlfn.NUMBERVALUE("-0.000252")</f>
        <v/>
      </c>
      <c r="M1158">
        <f>_xlfn.NUMBERVALUE("0.002549")</f>
        <v/>
      </c>
      <c r="N1158">
        <f>_xlfn.NUMBERVALUE("0.001366")</f>
        <v/>
      </c>
      <c r="O1158">
        <f>_xlfn.NUMBERVALUE("-0.000012")</f>
        <v/>
      </c>
      <c r="P1158">
        <f>_xlfn.NUMBERVALUE("0.002998")</f>
        <v/>
      </c>
      <c r="Q1158">
        <f>_xlfn.NUMBERVALUE("0.002176")</f>
        <v/>
      </c>
      <c r="R1158">
        <f>_xlfn.NUMBERVALUE("0.000484")</f>
        <v/>
      </c>
      <c r="S1158">
        <f>_xlfn.NUMBERVALUE("0.002156")</f>
        <v/>
      </c>
      <c r="T1158">
        <f>_xlfn.NUMBERVALUE("0.000382")</f>
        <v/>
      </c>
      <c r="U1158">
        <f>_xlfn.NUMBERVALUE("0.000220")</f>
        <v/>
      </c>
      <c r="V1158">
        <f>_xlfn.NUMBERVALUE("0.004461")</f>
        <v/>
      </c>
      <c r="W1158">
        <f>_xlfn.NUMBERVALUE("0.009557")</f>
        <v/>
      </c>
      <c r="X1158">
        <f>_xlfn.NUMBERVALUE("-4.420000")</f>
        <v/>
      </c>
      <c r="Y1158">
        <f>_xlfn.NUMBERVALUE("20.170000")</f>
        <v/>
      </c>
    </row>
    <row r="1159">
      <c r="A1159" s="1" t="n">
        <v>43684</v>
      </c>
      <c r="B1159">
        <f>_xlfn.NUMBERVALUE("0.000000")</f>
        <v/>
      </c>
      <c r="C1159" s="2">
        <f>_xlfn.NUMBERVALUE("0.001194")</f>
        <v/>
      </c>
      <c r="D1159">
        <f>_xlfn.NUMBERVALUE("-0.000132")</f>
        <v/>
      </c>
      <c r="E1159">
        <f>_xlfn.NUMBERVALUE("0.001374")</f>
        <v/>
      </c>
      <c r="F1159">
        <f>_xlfn.NUMBERVALUE("-0.004990")</f>
        <v/>
      </c>
      <c r="G1159">
        <f>_xlfn.NUMBERVALUE("-0.000107")</f>
        <v/>
      </c>
      <c r="H1159">
        <f>_xlfn.NUMBERVALUE("0.000075")</f>
        <v/>
      </c>
      <c r="I1159">
        <f>_xlfn.NUMBERVALUE("0.002585")</f>
        <v/>
      </c>
      <c r="J1159">
        <f>_xlfn.NUMBERVALUE("-0.002471")</f>
        <v/>
      </c>
      <c r="K1159">
        <f>_xlfn.NUMBERVALUE("-0.009795")</f>
        <v/>
      </c>
      <c r="L1159">
        <f>_xlfn.NUMBERVALUE("-0.004679")</f>
        <v/>
      </c>
      <c r="M1159">
        <f>_xlfn.NUMBERVALUE("0.001502")</f>
        <v/>
      </c>
      <c r="N1159">
        <f>_xlfn.NUMBERVALUE("0.001588")</f>
        <v/>
      </c>
      <c r="O1159">
        <f>_xlfn.NUMBERVALUE("-0.000257")</f>
        <v/>
      </c>
      <c r="P1159">
        <f>_xlfn.NUMBERVALUE("-0.000016")</f>
        <v/>
      </c>
      <c r="Q1159">
        <f>_xlfn.NUMBERVALUE("0.000951")</f>
        <v/>
      </c>
      <c r="R1159">
        <f>_xlfn.NUMBERVALUE("0.000283")</f>
        <v/>
      </c>
      <c r="S1159">
        <f>_xlfn.NUMBERVALUE("0.000187")</f>
        <v/>
      </c>
      <c r="T1159">
        <f>_xlfn.NUMBERVALUE("0.000482")</f>
        <v/>
      </c>
      <c r="U1159">
        <f>_xlfn.NUMBERVALUE("-0.000099")</f>
        <v/>
      </c>
      <c r="V1159">
        <f>_xlfn.NUMBERVALUE("0.001390")</f>
        <v/>
      </c>
      <c r="W1159">
        <f>_xlfn.NUMBERVALUE("0.003585")</f>
        <v/>
      </c>
      <c r="X1159">
        <f>_xlfn.NUMBERVALUE("-0.680000")</f>
        <v/>
      </c>
      <c r="Y1159">
        <f>_xlfn.NUMBERVALUE("19.490000")</f>
        <v/>
      </c>
    </row>
    <row r="1160">
      <c r="A1160" s="1" t="n">
        <v>43685</v>
      </c>
      <c r="B1160">
        <f>_xlfn.NUMBERVALUE("0.000000")</f>
        <v/>
      </c>
      <c r="C1160" s="2">
        <f>_xlfn.NUMBERVALUE("0.001099")</f>
        <v/>
      </c>
      <c r="D1160">
        <f>_xlfn.NUMBERVALUE("0.004402")</f>
        <v/>
      </c>
      <c r="E1160">
        <f>_xlfn.NUMBERVALUE("0.001806")</f>
        <v/>
      </c>
      <c r="F1160">
        <f>_xlfn.NUMBERVALUE("0.001224")</f>
        <v/>
      </c>
      <c r="G1160">
        <f>_xlfn.NUMBERVALUE("0.000539")</f>
        <v/>
      </c>
      <c r="H1160">
        <f>_xlfn.NUMBERVALUE("0.000756")</f>
        <v/>
      </c>
      <c r="I1160">
        <f>_xlfn.NUMBERVALUE("0.000168")</f>
        <v/>
      </c>
      <c r="J1160">
        <f>_xlfn.NUMBERVALUE("0.001935")</f>
        <v/>
      </c>
      <c r="K1160">
        <f>_xlfn.NUMBERVALUE("-0.000023")</f>
        <v/>
      </c>
      <c r="L1160">
        <f>_xlfn.NUMBERVALUE("0.002915")</f>
        <v/>
      </c>
      <c r="M1160">
        <f>_xlfn.NUMBERVALUE("-0.005838")</f>
        <v/>
      </c>
      <c r="N1160">
        <f>_xlfn.NUMBERVALUE("0.002577")</f>
        <v/>
      </c>
      <c r="O1160">
        <f>_xlfn.NUMBERVALUE("0.000150")</f>
        <v/>
      </c>
      <c r="P1160">
        <f>_xlfn.NUMBERVALUE("-0.000028")</f>
        <v/>
      </c>
      <c r="Q1160">
        <f>_xlfn.NUMBERVALUE("0.002976")</f>
        <v/>
      </c>
      <c r="R1160">
        <f>_xlfn.NUMBERVALUE("0.000151")</f>
        <v/>
      </c>
      <c r="S1160">
        <f>_xlfn.NUMBERVALUE("0.001000")</f>
        <v/>
      </c>
      <c r="T1160">
        <f>_xlfn.NUMBERVALUE("0.002776")</f>
        <v/>
      </c>
      <c r="U1160">
        <f>_xlfn.NUMBERVALUE("0.000019")</f>
        <v/>
      </c>
      <c r="V1160">
        <f>_xlfn.NUMBERVALUE("-0.000587")</f>
        <v/>
      </c>
      <c r="W1160">
        <f>_xlfn.NUMBERVALUE("0.017617")</f>
        <v/>
      </c>
      <c r="X1160">
        <f>_xlfn.NUMBERVALUE("-2.580000")</f>
        <v/>
      </c>
      <c r="Y1160">
        <f>_xlfn.NUMBERVALUE("16.910000")</f>
        <v/>
      </c>
    </row>
    <row r="1161">
      <c r="A1161" s="1" t="n">
        <v>43686</v>
      </c>
      <c r="B1161">
        <f>_xlfn.NUMBERVALUE("0.000000")</f>
        <v/>
      </c>
      <c r="C1161" s="2">
        <f>_xlfn.NUMBERVALUE("0.000174")</f>
        <v/>
      </c>
      <c r="D1161">
        <f>_xlfn.NUMBERVALUE("0.001335")</f>
        <v/>
      </c>
      <c r="E1161">
        <f>_xlfn.NUMBERVALUE("0.001038")</f>
        <v/>
      </c>
      <c r="F1161">
        <f>_xlfn.NUMBERVALUE("0.002053")</f>
        <v/>
      </c>
      <c r="G1161">
        <f>_xlfn.NUMBERVALUE("-0.000001")</f>
        <v/>
      </c>
      <c r="H1161">
        <f>_xlfn.NUMBERVALUE("0.000431")</f>
        <v/>
      </c>
      <c r="I1161">
        <f>_xlfn.NUMBERVALUE("0.001465")</f>
        <v/>
      </c>
      <c r="J1161">
        <f>_xlfn.NUMBERVALUE("0.000475")</f>
        <v/>
      </c>
      <c r="K1161">
        <f>_xlfn.NUMBERVALUE("0.002068")</f>
        <v/>
      </c>
      <c r="L1161">
        <f>_xlfn.NUMBERVALUE("0.001514")</f>
        <v/>
      </c>
      <c r="M1161">
        <f>_xlfn.NUMBERVALUE("0.000589")</f>
        <v/>
      </c>
      <c r="N1161">
        <f>_xlfn.NUMBERVALUE("-0.000251")</f>
        <v/>
      </c>
      <c r="O1161">
        <f>_xlfn.NUMBERVALUE("-0.000492")</f>
        <v/>
      </c>
      <c r="P1161">
        <f>_xlfn.NUMBERVALUE("-0.000022")</f>
        <v/>
      </c>
      <c r="Q1161">
        <f>_xlfn.NUMBERVALUE("0.000782")</f>
        <v/>
      </c>
      <c r="R1161">
        <f>_xlfn.NUMBERVALUE("-0.000641")</f>
        <v/>
      </c>
      <c r="S1161">
        <f>_xlfn.NUMBERVALUE("0.000227")</f>
        <v/>
      </c>
      <c r="T1161">
        <f>_xlfn.NUMBERVALUE("0.000091")</f>
        <v/>
      </c>
      <c r="U1161">
        <f>_xlfn.NUMBERVALUE("-0.000216")</f>
        <v/>
      </c>
      <c r="V1161">
        <f>_xlfn.NUMBERVALUE("-0.000082")</f>
        <v/>
      </c>
      <c r="W1161">
        <f>_xlfn.NUMBERVALUE("-0.002454")</f>
        <v/>
      </c>
      <c r="X1161">
        <f>_xlfn.NUMBERVALUE("1.060000")</f>
        <v/>
      </c>
      <c r="Y1161">
        <f>_xlfn.NUMBERVALUE("17.970000")</f>
        <v/>
      </c>
    </row>
    <row r="1162">
      <c r="A1162" s="1" t="n">
        <v>43689</v>
      </c>
      <c r="B1162">
        <f>_xlfn.NUMBERVALUE("0.000000")</f>
        <v/>
      </c>
      <c r="C1162" s="2">
        <f>_xlfn.NUMBERVALUE("-0.002999")</f>
        <v/>
      </c>
      <c r="D1162">
        <f>_xlfn.NUMBERVALUE("-0.001765")</f>
        <v/>
      </c>
      <c r="E1162">
        <f>_xlfn.NUMBERVALUE("-0.002197")</f>
        <v/>
      </c>
      <c r="F1162">
        <f>_xlfn.NUMBERVALUE("-0.001572")</f>
        <v/>
      </c>
      <c r="G1162">
        <f>_xlfn.NUMBERVALUE("0.000276")</f>
        <v/>
      </c>
      <c r="H1162">
        <f>_xlfn.NUMBERVALUE("-0.000851")</f>
        <v/>
      </c>
      <c r="I1162">
        <f>_xlfn.NUMBERVALUE("-0.003652")</f>
        <v/>
      </c>
      <c r="J1162">
        <f>_xlfn.NUMBERVALUE("-0.001148")</f>
        <v/>
      </c>
      <c r="K1162">
        <f>_xlfn.NUMBERVALUE("0.001876")</f>
        <v/>
      </c>
      <c r="L1162">
        <f>_xlfn.NUMBERVALUE("-0.006083")</f>
        <v/>
      </c>
      <c r="M1162">
        <f>_xlfn.NUMBERVALUE("-0.004190")</f>
        <v/>
      </c>
      <c r="N1162">
        <f>_xlfn.NUMBERVALUE("-0.001133")</f>
        <v/>
      </c>
      <c r="O1162">
        <f>_xlfn.NUMBERVALUE("-0.002488")</f>
        <v/>
      </c>
      <c r="P1162">
        <f>_xlfn.NUMBERVALUE("-0.004513")</f>
        <v/>
      </c>
      <c r="Q1162">
        <f>_xlfn.NUMBERVALUE("-0.003605")</f>
        <v/>
      </c>
      <c r="R1162">
        <f>_xlfn.NUMBERVALUE("-0.003854")</f>
        <v/>
      </c>
      <c r="S1162">
        <f>_xlfn.NUMBERVALUE("-0.001373")</f>
        <v/>
      </c>
      <c r="T1162">
        <f>_xlfn.NUMBERVALUE("-0.001105")</f>
        <v/>
      </c>
      <c r="U1162">
        <f>_xlfn.NUMBERVALUE("-0.004020")</f>
        <v/>
      </c>
      <c r="V1162">
        <f>_xlfn.NUMBERVALUE("-0.002311")</f>
        <v/>
      </c>
      <c r="W1162">
        <f>_xlfn.NUMBERVALUE("-0.015476")</f>
        <v/>
      </c>
      <c r="X1162">
        <f>_xlfn.NUMBERVALUE("3.120000")</f>
        <v/>
      </c>
      <c r="Y1162">
        <f>_xlfn.NUMBERVALUE("21.090000")</f>
        <v/>
      </c>
    </row>
    <row r="1163">
      <c r="A1163" s="1" t="n">
        <v>43690</v>
      </c>
      <c r="B1163">
        <f>_xlfn.NUMBERVALUE("0.000000")</f>
        <v/>
      </c>
      <c r="C1163" s="2">
        <f>_xlfn.NUMBERVALUE("0.001027")</f>
        <v/>
      </c>
      <c r="D1163">
        <f>_xlfn.NUMBERVALUE("0.000170")</f>
        <v/>
      </c>
      <c r="E1163">
        <f>_xlfn.NUMBERVALUE("0.001708")</f>
        <v/>
      </c>
      <c r="F1163">
        <f>_xlfn.NUMBERVALUE("0.001682")</f>
        <v/>
      </c>
      <c r="G1163">
        <f>_xlfn.NUMBERVALUE("0.000131")</f>
        <v/>
      </c>
      <c r="H1163">
        <f>_xlfn.NUMBERVALUE("-0.000648")</f>
        <v/>
      </c>
      <c r="I1163">
        <f>_xlfn.NUMBERVALUE("0.003941")</f>
        <v/>
      </c>
      <c r="J1163">
        <f>_xlfn.NUMBERVALUE("0.000452")</f>
        <v/>
      </c>
      <c r="K1163">
        <f>_xlfn.NUMBERVALUE("-0.001612")</f>
        <v/>
      </c>
      <c r="L1163">
        <f>_xlfn.NUMBERVALUE("0.001728")</f>
        <v/>
      </c>
      <c r="M1163">
        <f>_xlfn.NUMBERVALUE("0.003330")</f>
        <v/>
      </c>
      <c r="N1163">
        <f>_xlfn.NUMBERVALUE("0.000251")</f>
        <v/>
      </c>
      <c r="O1163">
        <f>_xlfn.NUMBERVALUE("0.003051")</f>
        <v/>
      </c>
      <c r="P1163">
        <f>_xlfn.NUMBERVALUE("0.002782")</f>
        <v/>
      </c>
      <c r="Q1163">
        <f>_xlfn.NUMBERVALUE("0.003190")</f>
        <v/>
      </c>
      <c r="R1163">
        <f>_xlfn.NUMBERVALUE("-0.000363")</f>
        <v/>
      </c>
      <c r="S1163">
        <f>_xlfn.NUMBERVALUE("0.000089")</f>
        <v/>
      </c>
      <c r="T1163">
        <f>_xlfn.NUMBERVALUE("0.002967")</f>
        <v/>
      </c>
      <c r="U1163">
        <f>_xlfn.NUMBERVALUE("0.002015")</f>
        <v/>
      </c>
      <c r="V1163">
        <f>_xlfn.NUMBERVALUE("0.000699")</f>
        <v/>
      </c>
      <c r="W1163">
        <f>_xlfn.NUMBERVALUE("0.014088")</f>
        <v/>
      </c>
      <c r="X1163">
        <f>_xlfn.NUMBERVALUE("-3.570000")</f>
        <v/>
      </c>
      <c r="Y1163">
        <f>_xlfn.NUMBERVALUE("17.520000")</f>
        <v/>
      </c>
    </row>
    <row r="1164">
      <c r="A1164" s="1" t="n">
        <v>43691</v>
      </c>
      <c r="B1164">
        <f>_xlfn.NUMBERVALUE("0.000000")</f>
        <v/>
      </c>
      <c r="C1164" s="2">
        <f>_xlfn.NUMBERVALUE("-0.009486")</f>
        <v/>
      </c>
      <c r="D1164">
        <f>_xlfn.NUMBERVALUE("-0.008426")</f>
        <v/>
      </c>
      <c r="E1164">
        <f>_xlfn.NUMBERVALUE("-0.008246")</f>
        <v/>
      </c>
      <c r="F1164">
        <f>_xlfn.NUMBERVALUE("0.000361")</f>
        <v/>
      </c>
      <c r="G1164">
        <f>_xlfn.NUMBERVALUE("-0.000708")</f>
        <v/>
      </c>
      <c r="H1164">
        <f>_xlfn.NUMBERVALUE("-0.001255")</f>
        <v/>
      </c>
      <c r="I1164">
        <f>_xlfn.NUMBERVALUE("-0.007997")</f>
        <v/>
      </c>
      <c r="J1164">
        <f>_xlfn.NUMBERVALUE("-0.000486")</f>
        <v/>
      </c>
      <c r="K1164">
        <f>_xlfn.NUMBERVALUE("-0.000666")</f>
        <v/>
      </c>
      <c r="L1164">
        <f>_xlfn.NUMBERVALUE("-0.005016")</f>
        <v/>
      </c>
      <c r="M1164">
        <f>_xlfn.NUMBERVALUE("-0.008087")</f>
        <v/>
      </c>
      <c r="N1164">
        <f>_xlfn.NUMBERVALUE("-0.001347")</f>
        <v/>
      </c>
      <c r="O1164">
        <f>_xlfn.NUMBERVALUE("-0.012031")</f>
        <v/>
      </c>
      <c r="P1164">
        <f>_xlfn.NUMBERVALUE("-0.009156")</f>
        <v/>
      </c>
      <c r="Q1164">
        <f>_xlfn.NUMBERVALUE("-0.009786")</f>
        <v/>
      </c>
      <c r="R1164">
        <f>_xlfn.NUMBERVALUE("-0.008463")</f>
        <v/>
      </c>
      <c r="S1164">
        <f>_xlfn.NUMBERVALUE("-0.005194")</f>
        <v/>
      </c>
      <c r="T1164">
        <f>_xlfn.NUMBERVALUE("-0.003180")</f>
        <v/>
      </c>
      <c r="U1164">
        <f>_xlfn.NUMBERVALUE("-0.009111")</f>
        <v/>
      </c>
      <c r="V1164">
        <f>_xlfn.NUMBERVALUE("-0.008240")</f>
        <v/>
      </c>
      <c r="W1164">
        <f>_xlfn.NUMBERVALUE("-0.026519")</f>
        <v/>
      </c>
      <c r="X1164">
        <f>_xlfn.NUMBERVALUE("4.580000")</f>
        <v/>
      </c>
      <c r="Y1164">
        <f>_xlfn.NUMBERVALUE("22.100000")</f>
        <v/>
      </c>
    </row>
    <row r="1165">
      <c r="A1165" s="1" t="n">
        <v>43692</v>
      </c>
      <c r="B1165">
        <f>_xlfn.NUMBERVALUE("0.000000")</f>
        <v/>
      </c>
      <c r="C1165" s="2">
        <f>_xlfn.NUMBERVALUE("0.001996")</f>
        <v/>
      </c>
      <c r="D1165">
        <f>_xlfn.NUMBERVALUE("0.002145")</f>
        <v/>
      </c>
      <c r="E1165">
        <f>_xlfn.NUMBERVALUE("0.001052")</f>
        <v/>
      </c>
      <c r="F1165">
        <f>_xlfn.NUMBERVALUE("-0.000477")</f>
        <v/>
      </c>
      <c r="G1165">
        <f>_xlfn.NUMBERVALUE("0.000420")</f>
        <v/>
      </c>
      <c r="H1165">
        <f>_xlfn.NUMBERVALUE("-0.001185")</f>
        <v/>
      </c>
      <c r="I1165">
        <f>_xlfn.NUMBERVALUE("0.001723")</f>
        <v/>
      </c>
      <c r="J1165">
        <f>_xlfn.NUMBERVALUE("-0.000849")</f>
        <v/>
      </c>
      <c r="K1165">
        <f>_xlfn.NUMBERVALUE("0.002139")</f>
        <v/>
      </c>
      <c r="L1165">
        <f>_xlfn.NUMBERVALUE("-0.001132")</f>
        <v/>
      </c>
      <c r="M1165">
        <f>_xlfn.NUMBERVALUE("0.001089")</f>
        <v/>
      </c>
      <c r="N1165">
        <f>_xlfn.NUMBERVALUE("0.000098")</f>
        <v/>
      </c>
      <c r="O1165">
        <f>_xlfn.NUMBERVALUE("0.000773")</f>
        <v/>
      </c>
      <c r="P1165">
        <f>_xlfn.NUMBERVALUE("0.002203")</f>
        <v/>
      </c>
      <c r="Q1165">
        <f>_xlfn.NUMBERVALUE("0.002385")</f>
        <v/>
      </c>
      <c r="R1165">
        <f>_xlfn.NUMBERVALUE("0.002523")</f>
        <v/>
      </c>
      <c r="S1165">
        <f>_xlfn.NUMBERVALUE("-0.002499")</f>
        <v/>
      </c>
      <c r="T1165">
        <f>_xlfn.NUMBERVALUE("-0.002841")</f>
        <v/>
      </c>
      <c r="U1165">
        <f>_xlfn.NUMBERVALUE("0.001619")</f>
        <v/>
      </c>
      <c r="V1165">
        <f>_xlfn.NUMBERVALUE("0.002545")</f>
        <v/>
      </c>
      <c r="W1165">
        <f>_xlfn.NUMBERVALUE("0.001863")</f>
        <v/>
      </c>
      <c r="X1165">
        <f>_xlfn.NUMBERVALUE("-0.920000")</f>
        <v/>
      </c>
      <c r="Y1165">
        <f>_xlfn.NUMBERVALUE("21.180000")</f>
        <v/>
      </c>
    </row>
    <row r="1166">
      <c r="A1166" s="1" t="n">
        <v>43693</v>
      </c>
      <c r="B1166">
        <f>_xlfn.NUMBERVALUE("0.000000")</f>
        <v/>
      </c>
      <c r="C1166" s="2">
        <f>_xlfn.NUMBERVALUE("0.002950")</f>
        <v/>
      </c>
      <c r="D1166">
        <f>_xlfn.NUMBERVALUE("0.001138")</f>
        <v/>
      </c>
      <c r="E1166">
        <f>_xlfn.NUMBERVALUE("0.001655")</f>
        <v/>
      </c>
      <c r="F1166">
        <f>_xlfn.NUMBERVALUE("0.002043")</f>
        <v/>
      </c>
      <c r="G1166">
        <f>_xlfn.NUMBERVALUE("0.001385")</f>
        <v/>
      </c>
      <c r="H1166">
        <f>_xlfn.NUMBERVALUE("-0.000551")</f>
        <v/>
      </c>
      <c r="I1166">
        <f>_xlfn.NUMBERVALUE("0.000606")</f>
        <v/>
      </c>
      <c r="J1166">
        <f>_xlfn.NUMBERVALUE("0.000770")</f>
        <v/>
      </c>
      <c r="K1166">
        <f>_xlfn.NUMBERVALUE("0.002701")</f>
        <v/>
      </c>
      <c r="L1166">
        <f>_xlfn.NUMBERVALUE("0.000947")</f>
        <v/>
      </c>
      <c r="M1166">
        <f>_xlfn.NUMBERVALUE("0.002275")</f>
        <v/>
      </c>
      <c r="N1166">
        <f>_xlfn.NUMBERVALUE("0.003418")</f>
        <v/>
      </c>
      <c r="O1166">
        <f>_xlfn.NUMBERVALUE("0.003713")</f>
        <v/>
      </c>
      <c r="P1166">
        <f>_xlfn.NUMBERVALUE("0.001608")</f>
        <v/>
      </c>
      <c r="Q1166">
        <f>_xlfn.NUMBERVALUE("0.001739")</f>
        <v/>
      </c>
      <c r="R1166">
        <f>_xlfn.NUMBERVALUE("0.004876")</f>
        <v/>
      </c>
      <c r="S1166">
        <f>_xlfn.NUMBERVALUE("0.002066")</f>
        <v/>
      </c>
      <c r="T1166">
        <f>_xlfn.NUMBERVALUE("0.002644")</f>
        <v/>
      </c>
      <c r="U1166">
        <f>_xlfn.NUMBERVALUE("0.002959")</f>
        <v/>
      </c>
      <c r="V1166">
        <f>_xlfn.NUMBERVALUE("0.001881")</f>
        <v/>
      </c>
      <c r="W1166">
        <f>_xlfn.NUMBERVALUE("0.013367")</f>
        <v/>
      </c>
      <c r="X1166">
        <f>_xlfn.NUMBERVALUE("-2.710000")</f>
        <v/>
      </c>
      <c r="Y1166">
        <f>_xlfn.NUMBERVALUE("18.470000")</f>
        <v/>
      </c>
    </row>
    <row r="1167">
      <c r="A1167" s="1" t="n">
        <v>43696</v>
      </c>
      <c r="B1167">
        <f>_xlfn.NUMBERVALUE("0.000000")</f>
        <v/>
      </c>
      <c r="C1167" s="2">
        <f>_xlfn.NUMBERVALUE("0.002015")</f>
        <v/>
      </c>
      <c r="D1167">
        <f>_xlfn.NUMBERVALUE("0.005870")</f>
        <v/>
      </c>
      <c r="E1167">
        <f>_xlfn.NUMBERVALUE("0.002855")</f>
        <v/>
      </c>
      <c r="F1167">
        <f>_xlfn.NUMBERVALUE("0.001142")</f>
        <v/>
      </c>
      <c r="G1167">
        <f>_xlfn.NUMBERVALUE("0.000200")</f>
        <v/>
      </c>
      <c r="H1167">
        <f>_xlfn.NUMBERVALUE("0.003704")</f>
        <v/>
      </c>
      <c r="I1167">
        <f>_xlfn.NUMBERVALUE("0.002764")</f>
        <v/>
      </c>
      <c r="J1167">
        <f>_xlfn.NUMBERVALUE("0.000504")</f>
        <v/>
      </c>
      <c r="K1167">
        <f>_xlfn.NUMBERVALUE("0.003789")</f>
        <v/>
      </c>
      <c r="L1167">
        <f>_xlfn.NUMBERVALUE("0.000270")</f>
        <v/>
      </c>
      <c r="M1167">
        <f>_xlfn.NUMBERVALUE("0.003320")</f>
        <v/>
      </c>
      <c r="N1167">
        <f>_xlfn.NUMBERVALUE("-0.000625")</f>
        <v/>
      </c>
      <c r="O1167">
        <f>_xlfn.NUMBERVALUE("0.001017")</f>
        <v/>
      </c>
      <c r="P1167">
        <f>_xlfn.NUMBERVALUE("0.002518")</f>
        <v/>
      </c>
      <c r="Q1167">
        <f>_xlfn.NUMBERVALUE("0.002774")</f>
        <v/>
      </c>
      <c r="R1167">
        <f>_xlfn.NUMBERVALUE("0.000894")</f>
        <v/>
      </c>
      <c r="S1167">
        <f>_xlfn.NUMBERVALUE("0.001905")</f>
        <v/>
      </c>
      <c r="T1167">
        <f>_xlfn.NUMBERVALUE("0.002921")</f>
        <v/>
      </c>
      <c r="U1167">
        <f>_xlfn.NUMBERVALUE("0.003625")</f>
        <v/>
      </c>
      <c r="V1167">
        <f>_xlfn.NUMBERVALUE("0.001271")</f>
        <v/>
      </c>
      <c r="W1167">
        <f>_xlfn.NUMBERVALUE("0.013226")</f>
        <v/>
      </c>
      <c r="X1167">
        <f>_xlfn.NUMBERVALUE("-1.590000")</f>
        <v/>
      </c>
      <c r="Y1167">
        <f>_xlfn.NUMBERVALUE("16.880000")</f>
        <v/>
      </c>
    </row>
    <row r="1168">
      <c r="A1168" s="1" t="n">
        <v>43697</v>
      </c>
      <c r="B1168">
        <f>_xlfn.NUMBERVALUE("0.000000")</f>
        <v/>
      </c>
      <c r="C1168" s="2">
        <f>_xlfn.NUMBERVALUE("0.001242")</f>
        <v/>
      </c>
      <c r="D1168">
        <f>_xlfn.NUMBERVALUE("0.002405")</f>
        <v/>
      </c>
      <c r="E1168">
        <f>_xlfn.NUMBERVALUE("0.001285")</f>
        <v/>
      </c>
      <c r="F1168">
        <f>_xlfn.NUMBERVALUE("-0.000292")</f>
        <v/>
      </c>
      <c r="G1168">
        <f>_xlfn.NUMBERVALUE("0.000306")</f>
        <v/>
      </c>
      <c r="H1168">
        <f>_xlfn.NUMBERVALUE("-0.000014")</f>
        <v/>
      </c>
      <c r="I1168">
        <f>_xlfn.NUMBERVALUE("0.000563")</f>
        <v/>
      </c>
      <c r="J1168">
        <f>_xlfn.NUMBERVALUE("-0.000577")</f>
        <v/>
      </c>
      <c r="K1168">
        <f>_xlfn.NUMBERVALUE("-0.002097")</f>
        <v/>
      </c>
      <c r="L1168">
        <f>_xlfn.NUMBERVALUE("0.000144")</f>
        <v/>
      </c>
      <c r="M1168">
        <f>_xlfn.NUMBERVALUE("-0.000115")</f>
        <v/>
      </c>
      <c r="N1168">
        <f>_xlfn.NUMBERVALUE("0.000589")</f>
        <v/>
      </c>
      <c r="O1168">
        <f>_xlfn.NUMBERVALUE("0.000467")</f>
        <v/>
      </c>
      <c r="P1168">
        <f>_xlfn.NUMBERVALUE("-0.000055")</f>
        <v/>
      </c>
      <c r="Q1168">
        <f>_xlfn.NUMBERVALUE("0.000637")</f>
        <v/>
      </c>
      <c r="R1168">
        <f>_xlfn.NUMBERVALUE("-0.000032")</f>
        <v/>
      </c>
      <c r="S1168">
        <f>_xlfn.NUMBERVALUE("-0.000202")</f>
        <v/>
      </c>
      <c r="T1168">
        <f>_xlfn.NUMBERVALUE("-0.000111")</f>
        <v/>
      </c>
      <c r="U1168">
        <f>_xlfn.NUMBERVALUE("0.000103")</f>
        <v/>
      </c>
      <c r="V1168">
        <f>_xlfn.NUMBERVALUE("0.000687")</f>
        <v/>
      </c>
      <c r="W1168">
        <f>_xlfn.NUMBERVALUE("-0.006356")</f>
        <v/>
      </c>
      <c r="X1168">
        <f>_xlfn.NUMBERVALUE("0.620000")</f>
        <v/>
      </c>
      <c r="Y1168">
        <f>_xlfn.NUMBERVALUE("17.500000")</f>
        <v/>
      </c>
    </row>
    <row r="1169">
      <c r="A1169" s="1" t="n">
        <v>43698</v>
      </c>
      <c r="B1169">
        <f>_xlfn.NUMBERVALUE("0.000000")</f>
        <v/>
      </c>
      <c r="C1169" s="2">
        <f>_xlfn.NUMBERVALUE("0.001640")</f>
        <v/>
      </c>
      <c r="D1169">
        <f>_xlfn.NUMBERVALUE("0.000695")</f>
        <v/>
      </c>
      <c r="E1169">
        <f>_xlfn.NUMBERVALUE("0.000389")</f>
        <v/>
      </c>
      <c r="F1169">
        <f>_xlfn.NUMBERVALUE("0.000928")</f>
        <v/>
      </c>
      <c r="G1169">
        <f>_xlfn.NUMBERVALUE("-0.000155")</f>
        <v/>
      </c>
      <c r="H1169">
        <f>_xlfn.NUMBERVALUE("0.000260")</f>
        <v/>
      </c>
      <c r="I1169">
        <f>_xlfn.NUMBERVALUE("0.001319")</f>
        <v/>
      </c>
      <c r="J1169">
        <f>_xlfn.NUMBERVALUE("0.000336")</f>
        <v/>
      </c>
      <c r="K1169">
        <f>_xlfn.NUMBERVALUE("-0.000022")</f>
        <v/>
      </c>
      <c r="L1169">
        <f>_xlfn.NUMBERVALUE("0.001247")</f>
        <v/>
      </c>
      <c r="M1169">
        <f>_xlfn.NUMBERVALUE("0.001357")</f>
        <v/>
      </c>
      <c r="N1169">
        <f>_xlfn.NUMBERVALUE("0.001477")</f>
        <v/>
      </c>
      <c r="O1169">
        <f>_xlfn.NUMBERVALUE("0.001889")</f>
        <v/>
      </c>
      <c r="P1169">
        <f>_xlfn.NUMBERVALUE("0.001180")</f>
        <v/>
      </c>
      <c r="Q1169">
        <f>_xlfn.NUMBERVALUE("0.001718")</f>
        <v/>
      </c>
      <c r="R1169">
        <f>_xlfn.NUMBERVALUE("0.000907")</f>
        <v/>
      </c>
      <c r="S1169">
        <f>_xlfn.NUMBERVALUE("0.002904")</f>
        <v/>
      </c>
      <c r="T1169">
        <f>_xlfn.NUMBERVALUE("-0.000091")</f>
        <v/>
      </c>
      <c r="U1169">
        <f>_xlfn.NUMBERVALUE("-0.000950")</f>
        <v/>
      </c>
      <c r="V1169">
        <f>_xlfn.NUMBERVALUE("0.001072")</f>
        <v/>
      </c>
      <c r="W1169">
        <f>_xlfn.NUMBERVALUE("0.005262")</f>
        <v/>
      </c>
      <c r="X1169">
        <f>_xlfn.NUMBERVALUE("-1.700000")</f>
        <v/>
      </c>
      <c r="Y1169">
        <f>_xlfn.NUMBERVALUE("15.800000")</f>
        <v/>
      </c>
    </row>
    <row r="1170">
      <c r="A1170" s="1" t="n">
        <v>43699</v>
      </c>
      <c r="B1170">
        <f>_xlfn.NUMBERVALUE("0.000000")</f>
        <v/>
      </c>
      <c r="C1170" s="2">
        <f>_xlfn.NUMBERVALUE("-0.000865")</f>
        <v/>
      </c>
      <c r="D1170">
        <f>_xlfn.NUMBERVALUE("-0.000349")</f>
        <v/>
      </c>
      <c r="E1170">
        <f>_xlfn.NUMBERVALUE("0.001025")</f>
        <v/>
      </c>
      <c r="F1170">
        <f>_xlfn.NUMBERVALUE("-0.000529")</f>
        <v/>
      </c>
      <c r="G1170">
        <f>_xlfn.NUMBERVALUE("0.000046")</f>
        <v/>
      </c>
      <c r="H1170">
        <f>_xlfn.NUMBERVALUE("-0.002493")</f>
        <v/>
      </c>
      <c r="I1170">
        <f>_xlfn.NUMBERVALUE("-0.000423")</f>
        <v/>
      </c>
      <c r="J1170">
        <f>_xlfn.NUMBERVALUE("-0.000720")</f>
        <v/>
      </c>
      <c r="K1170">
        <f>_xlfn.NUMBERVALUE("0.000900")</f>
        <v/>
      </c>
      <c r="L1170">
        <f>_xlfn.NUMBERVALUE("0.000792")</f>
        <v/>
      </c>
      <c r="M1170">
        <f>_xlfn.NUMBERVALUE("-0.000105")</f>
        <v/>
      </c>
      <c r="N1170">
        <f>_xlfn.NUMBERVALUE("0.000312")</f>
        <v/>
      </c>
      <c r="O1170">
        <f>_xlfn.NUMBERVALUE("0.000511")</f>
        <v/>
      </c>
      <c r="P1170">
        <f>_xlfn.NUMBERVALUE("-0.000357")</f>
        <v/>
      </c>
      <c r="Q1170">
        <f>_xlfn.NUMBERVALUE("0.000187")</f>
        <v/>
      </c>
      <c r="R1170">
        <f>_xlfn.NUMBERVALUE("0.000007")</f>
        <v/>
      </c>
      <c r="S1170">
        <f>_xlfn.NUMBERVALUE("-0.001070")</f>
        <v/>
      </c>
      <c r="T1170">
        <f>_xlfn.NUMBERVALUE("0.000051")</f>
        <v/>
      </c>
      <c r="U1170">
        <f>_xlfn.NUMBERVALUE("-0.000909")</f>
        <v/>
      </c>
      <c r="V1170">
        <f>_xlfn.NUMBERVALUE("-0.000177")</f>
        <v/>
      </c>
      <c r="W1170">
        <f>_xlfn.NUMBERVALUE("0.001403")</f>
        <v/>
      </c>
      <c r="X1170">
        <f>_xlfn.NUMBERVALUE("0.880000")</f>
        <v/>
      </c>
      <c r="Y1170">
        <f>_xlfn.NUMBERVALUE("16.680000")</f>
        <v/>
      </c>
    </row>
    <row r="1171">
      <c r="A1171" s="1" t="n">
        <v>43700</v>
      </c>
      <c r="B1171">
        <f>_xlfn.NUMBERVALUE("0.000000")</f>
        <v/>
      </c>
      <c r="C1171" s="2">
        <f>_xlfn.NUMBERVALUE("-0.010530")</f>
        <v/>
      </c>
      <c r="D1171">
        <f>_xlfn.NUMBERVALUE("-0.006285")</f>
        <v/>
      </c>
      <c r="E1171">
        <f>_xlfn.NUMBERVALUE("-0.003885")</f>
        <v/>
      </c>
      <c r="F1171">
        <f>_xlfn.NUMBERVALUE("-0.005146")</f>
        <v/>
      </c>
      <c r="G1171">
        <f>_xlfn.NUMBERVALUE("0.000783")</f>
        <v/>
      </c>
      <c r="H1171">
        <f>_xlfn.NUMBERVALUE("0.001359")</f>
        <v/>
      </c>
      <c r="I1171">
        <f>_xlfn.NUMBERVALUE("-0.012933")</f>
        <v/>
      </c>
      <c r="J1171">
        <f>_xlfn.NUMBERVALUE("0.000683")</f>
        <v/>
      </c>
      <c r="K1171">
        <f>_xlfn.NUMBERVALUE("-0.006218")</f>
        <v/>
      </c>
      <c r="L1171">
        <f>_xlfn.NUMBERVALUE("-0.002207")</f>
        <v/>
      </c>
      <c r="M1171">
        <f>_xlfn.NUMBERVALUE("-0.003925")</f>
        <v/>
      </c>
      <c r="N1171">
        <f>_xlfn.NUMBERVALUE("-0.005357")</f>
        <v/>
      </c>
      <c r="O1171">
        <f>_xlfn.NUMBERVALUE("-0.009868")</f>
        <v/>
      </c>
      <c r="P1171">
        <f>_xlfn.NUMBERVALUE("-0.006636")</f>
        <v/>
      </c>
      <c r="Q1171">
        <f>_xlfn.NUMBERVALUE("-0.009041")</f>
        <v/>
      </c>
      <c r="R1171">
        <f>_xlfn.NUMBERVALUE("-0.012232")</f>
        <v/>
      </c>
      <c r="S1171">
        <f>_xlfn.NUMBERVALUE("-0.007209")</f>
        <v/>
      </c>
      <c r="T1171">
        <f>_xlfn.NUMBERVALUE("-0.001768")</f>
        <v/>
      </c>
      <c r="U1171">
        <f>_xlfn.NUMBERVALUE("-0.012079")</f>
        <v/>
      </c>
      <c r="V1171">
        <f>_xlfn.NUMBERVALUE("-0.009115")</f>
        <v/>
      </c>
      <c r="W1171">
        <f>_xlfn.NUMBERVALUE("-0.026031")</f>
        <v/>
      </c>
      <c r="X1171">
        <f>_xlfn.NUMBERVALUE("3.190000")</f>
        <v/>
      </c>
      <c r="Y1171">
        <f>_xlfn.NUMBERVALUE("19.870000")</f>
        <v/>
      </c>
    </row>
    <row r="1172">
      <c r="A1172" s="1" t="n">
        <v>43703</v>
      </c>
      <c r="B1172">
        <f>_xlfn.NUMBERVALUE("0.000000")</f>
        <v/>
      </c>
      <c r="C1172" s="2">
        <f>_xlfn.NUMBERVALUE("0.003595")</f>
        <v/>
      </c>
      <c r="D1172">
        <f>_xlfn.NUMBERVALUE("0.002837")</f>
        <v/>
      </c>
      <c r="E1172">
        <f>_xlfn.NUMBERVALUE("0.002605")</f>
        <v/>
      </c>
      <c r="F1172">
        <f>_xlfn.NUMBERVALUE("0.001660")</f>
        <v/>
      </c>
      <c r="G1172">
        <f>_xlfn.NUMBERVALUE("-0.000048")</f>
        <v/>
      </c>
      <c r="H1172">
        <f>_xlfn.NUMBERVALUE("0.000986")</f>
        <v/>
      </c>
      <c r="I1172">
        <f>_xlfn.NUMBERVALUE("0.002901")</f>
        <v/>
      </c>
      <c r="J1172">
        <f>_xlfn.NUMBERVALUE("0.000074")</f>
        <v/>
      </c>
      <c r="K1172">
        <f>_xlfn.NUMBERVALUE("0.001708")</f>
        <v/>
      </c>
      <c r="L1172">
        <f>_xlfn.NUMBERVALUE("0.001098")</f>
        <v/>
      </c>
      <c r="M1172">
        <f>_xlfn.NUMBERVALUE("0.000116")</f>
        <v/>
      </c>
      <c r="N1172">
        <f>_xlfn.NUMBERVALUE("0.001206")</f>
        <v/>
      </c>
      <c r="O1172">
        <f>_xlfn.NUMBERVALUE("0.001431")</f>
        <v/>
      </c>
      <c r="P1172">
        <f>_xlfn.NUMBERVALUE("0.001566")</f>
        <v/>
      </c>
      <c r="Q1172">
        <f>_xlfn.NUMBERVALUE("0.002042")</f>
        <v/>
      </c>
      <c r="R1172">
        <f>_xlfn.NUMBERVALUE("0.003129")</f>
        <v/>
      </c>
      <c r="S1172">
        <f>_xlfn.NUMBERVALUE("0.002118")</f>
        <v/>
      </c>
      <c r="T1172">
        <f>_xlfn.NUMBERVALUE("0.001427")</f>
        <v/>
      </c>
      <c r="U1172">
        <f>_xlfn.NUMBERVALUE("0.002788")</f>
        <v/>
      </c>
      <c r="V1172">
        <f>_xlfn.NUMBERVALUE("0.003193")</f>
        <v/>
      </c>
      <c r="W1172">
        <f>_xlfn.NUMBERVALUE("0.005892")</f>
        <v/>
      </c>
      <c r="X1172">
        <f>_xlfn.NUMBERVALUE("-0.550000")</f>
        <v/>
      </c>
      <c r="Y1172">
        <f>_xlfn.NUMBERVALUE("19.320000")</f>
        <v/>
      </c>
    </row>
    <row r="1173">
      <c r="A1173" s="1" t="n">
        <v>43704</v>
      </c>
      <c r="B1173">
        <f>_xlfn.NUMBERVALUE("0.000000")</f>
        <v/>
      </c>
      <c r="C1173" s="2">
        <f>_xlfn.NUMBERVALUE("0.001489")</f>
        <v/>
      </c>
      <c r="D1173">
        <f>_xlfn.NUMBERVALUE("0.002495")</f>
        <v/>
      </c>
      <c r="E1173">
        <f>_xlfn.NUMBERVALUE("0.001080")</f>
        <v/>
      </c>
      <c r="F1173">
        <f>_xlfn.NUMBERVALUE("0.000275")</f>
        <v/>
      </c>
      <c r="G1173">
        <f>_xlfn.NUMBERVALUE("0.000498")</f>
        <v/>
      </c>
      <c r="H1173">
        <f>_xlfn.NUMBERVALUE("-0.000194")</f>
        <v/>
      </c>
      <c r="I1173">
        <f>_xlfn.NUMBERVALUE("0.000150")</f>
        <v/>
      </c>
      <c r="J1173">
        <f>_xlfn.NUMBERVALUE("-0.000039")</f>
        <v/>
      </c>
      <c r="K1173">
        <f>_xlfn.NUMBERVALUE("-0.001348")</f>
        <v/>
      </c>
      <c r="L1173">
        <f>_xlfn.NUMBERVALUE("-0.000713")</f>
        <v/>
      </c>
      <c r="M1173">
        <f>_xlfn.NUMBERVALUE("0.000916")</f>
        <v/>
      </c>
      <c r="N1173">
        <f>_xlfn.NUMBERVALUE("-0.001640")</f>
        <v/>
      </c>
      <c r="O1173">
        <f>_xlfn.NUMBERVALUE("0.000509")</f>
        <v/>
      </c>
      <c r="P1173">
        <f>_xlfn.NUMBERVALUE("0.000772")</f>
        <v/>
      </c>
      <c r="Q1173">
        <f>_xlfn.NUMBERVALUE("0.000766")</f>
        <v/>
      </c>
      <c r="R1173">
        <f>_xlfn.NUMBERVALUE("0.000963")</f>
        <v/>
      </c>
      <c r="S1173">
        <f>_xlfn.NUMBERVALUE("0.001023")</f>
        <v/>
      </c>
      <c r="T1173">
        <f>_xlfn.NUMBERVALUE("-0.000744")</f>
        <v/>
      </c>
      <c r="U1173">
        <f>_xlfn.NUMBERVALUE("0.001217")</f>
        <v/>
      </c>
      <c r="V1173">
        <f>_xlfn.NUMBERVALUE("0.001417")</f>
        <v/>
      </c>
      <c r="W1173">
        <f>_xlfn.NUMBERVALUE("0.001639")</f>
        <v/>
      </c>
      <c r="X1173">
        <f>_xlfn.NUMBERVALUE("0.990000")</f>
        <v/>
      </c>
      <c r="Y1173">
        <f>_xlfn.NUMBERVALUE("20.310000")</f>
        <v/>
      </c>
    </row>
    <row r="1174">
      <c r="A1174" s="1" t="n">
        <v>43705</v>
      </c>
      <c r="B1174">
        <f>_xlfn.NUMBERVALUE("0.000000")</f>
        <v/>
      </c>
      <c r="C1174" s="2">
        <f>_xlfn.NUMBERVALUE("0.001275")</f>
        <v/>
      </c>
      <c r="D1174">
        <f>_xlfn.NUMBERVALUE("0.003334")</f>
        <v/>
      </c>
      <c r="E1174">
        <f>_xlfn.NUMBERVALUE("0.001982")</f>
        <v/>
      </c>
      <c r="F1174">
        <f>_xlfn.NUMBERVALUE("0.000141")</f>
        <v/>
      </c>
      <c r="G1174">
        <f>_xlfn.NUMBERVALUE("0.000031")</f>
        <v/>
      </c>
      <c r="H1174">
        <f>_xlfn.NUMBERVALUE("-0.000354")</f>
        <v/>
      </c>
      <c r="I1174">
        <f>_xlfn.NUMBERVALUE("0.001292")</f>
        <v/>
      </c>
      <c r="J1174">
        <f>_xlfn.NUMBERVALUE("-0.000164")</f>
        <v/>
      </c>
      <c r="K1174">
        <f>_xlfn.NUMBERVALUE("0.000110")</f>
        <v/>
      </c>
      <c r="L1174">
        <f>_xlfn.NUMBERVALUE("0.000253")</f>
        <v/>
      </c>
      <c r="M1174">
        <f>_xlfn.NUMBERVALUE("0.000222")</f>
        <v/>
      </c>
      <c r="N1174">
        <f>_xlfn.NUMBERVALUE("0.001454")</f>
        <v/>
      </c>
      <c r="O1174">
        <f>_xlfn.NUMBERVALUE("0.000581")</f>
        <v/>
      </c>
      <c r="P1174">
        <f>_xlfn.NUMBERVALUE("0.000099")</f>
        <v/>
      </c>
      <c r="Q1174">
        <f>_xlfn.NUMBERVALUE("0.000637")</f>
        <v/>
      </c>
      <c r="R1174">
        <f>_xlfn.NUMBERVALUE("0.003146")</f>
        <v/>
      </c>
      <c r="S1174">
        <f>_xlfn.NUMBERVALUE("0.001009")</f>
        <v/>
      </c>
      <c r="T1174">
        <f>_xlfn.NUMBERVALUE("0.000695")</f>
        <v/>
      </c>
      <c r="U1174">
        <f>_xlfn.NUMBERVALUE("0.000434")</f>
        <v/>
      </c>
      <c r="V1174">
        <f>_xlfn.NUMBERVALUE("0.001562")</f>
        <v/>
      </c>
      <c r="W1174">
        <f>_xlfn.NUMBERVALUE("0.004943")</f>
        <v/>
      </c>
      <c r="X1174">
        <f>_xlfn.NUMBERVALUE("-0.960000")</f>
        <v/>
      </c>
      <c r="Y1174">
        <f>_xlfn.NUMBERVALUE("19.350000")</f>
        <v/>
      </c>
    </row>
    <row r="1175">
      <c r="A1175" s="1" t="n">
        <v>43706</v>
      </c>
      <c r="B1175">
        <f>_xlfn.NUMBERVALUE("0.030964")</f>
        <v/>
      </c>
      <c r="C1175" s="2">
        <f>_xlfn.NUMBERVALUE("-0.000856")</f>
        <v/>
      </c>
      <c r="D1175">
        <f>_xlfn.NUMBERVALUE("0.002450")</f>
        <v/>
      </c>
      <c r="E1175">
        <f>_xlfn.NUMBERVALUE("0.001018")</f>
        <v/>
      </c>
      <c r="F1175">
        <f>_xlfn.NUMBERVALUE("-0.000166")</f>
        <v/>
      </c>
      <c r="G1175">
        <f>_xlfn.NUMBERVALUE("0.000259")</f>
        <v/>
      </c>
      <c r="H1175">
        <f>_xlfn.NUMBERVALUE("0.001368")</f>
        <v/>
      </c>
      <c r="I1175">
        <f>_xlfn.NUMBERVALUE("0.000255")</f>
        <v/>
      </c>
      <c r="J1175">
        <f>_xlfn.NUMBERVALUE("0.000173")</f>
        <v/>
      </c>
      <c r="K1175">
        <f>_xlfn.NUMBERVALUE("0.000091")</f>
        <v/>
      </c>
      <c r="L1175">
        <f>_xlfn.NUMBERVALUE("0.000650")</f>
        <v/>
      </c>
      <c r="M1175">
        <f>_xlfn.NUMBERVALUE("0.001406")</f>
        <v/>
      </c>
      <c r="N1175">
        <f>_xlfn.NUMBERVALUE("-0.000095")</f>
        <v/>
      </c>
      <c r="O1175">
        <f>_xlfn.NUMBERVALUE("0.001487")</f>
        <v/>
      </c>
      <c r="P1175">
        <f>_xlfn.NUMBERVALUE("0.001586")</f>
        <v/>
      </c>
      <c r="Q1175">
        <f>_xlfn.NUMBERVALUE("-0.000072")</f>
        <v/>
      </c>
      <c r="R1175">
        <f>_xlfn.NUMBERVALUE("-0.000475")</f>
        <v/>
      </c>
      <c r="S1175">
        <f>_xlfn.NUMBERVALUE("0.002094")</f>
        <v/>
      </c>
      <c r="T1175">
        <f>_xlfn.NUMBERVALUE("0.000636")</f>
        <v/>
      </c>
      <c r="U1175">
        <f>_xlfn.NUMBERVALUE("-0.000460")</f>
        <v/>
      </c>
      <c r="V1175">
        <f>_xlfn.NUMBERVALUE("-0.001263")</f>
        <v/>
      </c>
      <c r="W1175">
        <f>_xlfn.NUMBERVALUE("0.013371")</f>
        <v/>
      </c>
      <c r="X1175">
        <f>_xlfn.NUMBERVALUE("-1.470000")</f>
        <v/>
      </c>
      <c r="Y1175">
        <f>_xlfn.NUMBERVALUE("17.880000")</f>
        <v/>
      </c>
    </row>
    <row r="1176">
      <c r="A1176" s="1" t="n">
        <v>43707</v>
      </c>
      <c r="B1176">
        <f>_xlfn.NUMBERVALUE("0.000000")</f>
        <v/>
      </c>
      <c r="C1176" s="2">
        <f>_xlfn.NUMBERVALUE("0.000913")</f>
        <v/>
      </c>
      <c r="D1176">
        <f>_xlfn.NUMBERVALUE("-0.001100")</f>
        <v/>
      </c>
      <c r="E1176">
        <f>_xlfn.NUMBERVALUE("0.000436")</f>
        <v/>
      </c>
      <c r="F1176">
        <f>_xlfn.NUMBERVALUE("0.000462")</f>
        <v/>
      </c>
      <c r="G1176">
        <f>_xlfn.NUMBERVALUE("0.000759")</f>
        <v/>
      </c>
      <c r="H1176">
        <f>_xlfn.NUMBERVALUE("-0.000333")</f>
        <v/>
      </c>
      <c r="I1176">
        <f>_xlfn.NUMBERVALUE("0.002010")</f>
        <v/>
      </c>
      <c r="J1176">
        <f>_xlfn.NUMBERVALUE("0.000004")</f>
        <v/>
      </c>
      <c r="K1176">
        <f>_xlfn.NUMBERVALUE("0.000094")</f>
        <v/>
      </c>
      <c r="L1176">
        <f>_xlfn.NUMBERVALUE("0.000259")</f>
        <v/>
      </c>
      <c r="M1176">
        <f>_xlfn.NUMBERVALUE("-0.000129")</f>
        <v/>
      </c>
      <c r="N1176">
        <f>_xlfn.NUMBERVALUE("0.001273")</f>
        <v/>
      </c>
      <c r="O1176">
        <f>_xlfn.NUMBERVALUE("0.000404")</f>
        <v/>
      </c>
      <c r="P1176">
        <f>_xlfn.NUMBERVALUE("0.000549")</f>
        <v/>
      </c>
      <c r="Q1176">
        <f>_xlfn.NUMBERVALUE("-0.000486")</f>
        <v/>
      </c>
      <c r="R1176">
        <f>_xlfn.NUMBERVALUE("0.000103")</f>
        <v/>
      </c>
      <c r="S1176">
        <f>_xlfn.NUMBERVALUE("0.000851")</f>
        <v/>
      </c>
      <c r="T1176">
        <f>_xlfn.NUMBERVALUE("0.000605")</f>
        <v/>
      </c>
      <c r="U1176">
        <f>_xlfn.NUMBERVALUE("0.000286")</f>
        <v/>
      </c>
      <c r="V1176">
        <f>_xlfn.NUMBERVALUE("0.000692")</f>
        <v/>
      </c>
      <c r="W1176">
        <f>_xlfn.NUMBERVALUE("-0.000649")</f>
        <v/>
      </c>
      <c r="X1176">
        <f>_xlfn.NUMBERVALUE("1.100000")</f>
        <v/>
      </c>
      <c r="Y1176">
        <f>_xlfn.NUMBERVALUE("18.980000")</f>
        <v/>
      </c>
    </row>
    <row r="1177">
      <c r="A1177" s="1" t="n">
        <v>43711</v>
      </c>
      <c r="B1177">
        <f>_xlfn.NUMBERVALUE("0.000000")</f>
        <v/>
      </c>
      <c r="C1177" s="2">
        <f>_xlfn.NUMBERVALUE("0.005251")</f>
        <v/>
      </c>
      <c r="D1177">
        <f>_xlfn.NUMBERVALUE("0.007158")</f>
        <v/>
      </c>
      <c r="E1177">
        <f>_xlfn.NUMBERVALUE("0.004039")</f>
        <v/>
      </c>
      <c r="F1177">
        <f>_xlfn.NUMBERVALUE("0.000069")</f>
        <v/>
      </c>
      <c r="G1177">
        <f>_xlfn.NUMBERVALUE("-0.000586")</f>
        <v/>
      </c>
      <c r="H1177">
        <f>_xlfn.NUMBERVALUE("-0.001053")</f>
        <v/>
      </c>
      <c r="I1177">
        <f>_xlfn.NUMBERVALUE("0.004157")</f>
        <v/>
      </c>
      <c r="J1177">
        <f>_xlfn.NUMBERVALUE("-0.000697")</f>
        <v/>
      </c>
      <c r="K1177">
        <f>_xlfn.NUMBERVALUE("-0.000130")</f>
        <v/>
      </c>
      <c r="L1177">
        <f>_xlfn.NUMBERVALUE("-0.001397")</f>
        <v/>
      </c>
      <c r="M1177">
        <f>_xlfn.NUMBERVALUE("-0.000594")</f>
        <v/>
      </c>
      <c r="N1177">
        <f>_xlfn.NUMBERVALUE("0.002643")</f>
        <v/>
      </c>
      <c r="O1177">
        <f>_xlfn.NUMBERVALUE("0.000447")</f>
        <v/>
      </c>
      <c r="P1177">
        <f>_xlfn.NUMBERVALUE("-0.000474")</f>
        <v/>
      </c>
      <c r="Q1177">
        <f>_xlfn.NUMBERVALUE("-0.000684")</f>
        <v/>
      </c>
      <c r="R1177">
        <f>_xlfn.NUMBERVALUE("0.002205")</f>
        <v/>
      </c>
      <c r="S1177">
        <f>_xlfn.NUMBERVALUE("0.000763")</f>
        <v/>
      </c>
      <c r="T1177">
        <f>_xlfn.NUMBERVALUE("-0.001342")</f>
        <v/>
      </c>
      <c r="U1177">
        <f>_xlfn.NUMBERVALUE("0.001656")</f>
        <v/>
      </c>
      <c r="V1177">
        <f>_xlfn.NUMBERVALUE("0.004472")</f>
        <v/>
      </c>
      <c r="W1177">
        <f>_xlfn.NUMBERVALUE("-0.004960")</f>
        <v/>
      </c>
      <c r="X1177">
        <f>_xlfn.NUMBERVALUE("0.680000")</f>
        <v/>
      </c>
      <c r="Y1177">
        <f>_xlfn.NUMBERVALUE("19.660000")</f>
        <v/>
      </c>
    </row>
    <row r="1178">
      <c r="A1178" s="1" t="n">
        <v>43712</v>
      </c>
      <c r="B1178">
        <f>_xlfn.NUMBERVALUE("0.004036")</f>
        <v/>
      </c>
      <c r="C1178" s="2">
        <f>_xlfn.NUMBERVALUE("-0.000611")</f>
        <v/>
      </c>
      <c r="D1178">
        <f>_xlfn.NUMBERVALUE("-0.004339")</f>
        <v/>
      </c>
      <c r="E1178">
        <f>_xlfn.NUMBERVALUE("-0.002719")</f>
        <v/>
      </c>
      <c r="F1178">
        <f>_xlfn.NUMBERVALUE("0.000042")</f>
        <v/>
      </c>
      <c r="G1178">
        <f>_xlfn.NUMBERVALUE("-0.000051")</f>
        <v/>
      </c>
      <c r="H1178">
        <f>_xlfn.NUMBERVALUE("-0.000011")</f>
        <v/>
      </c>
      <c r="I1178">
        <f>_xlfn.NUMBERVALUE("0.003092")</f>
        <v/>
      </c>
      <c r="J1178">
        <f>_xlfn.NUMBERVALUE("0.000074")</f>
        <v/>
      </c>
      <c r="K1178">
        <f>_xlfn.NUMBERVALUE("-0.000031")</f>
        <v/>
      </c>
      <c r="L1178">
        <f>_xlfn.NUMBERVALUE("0.000043")</f>
        <v/>
      </c>
      <c r="M1178">
        <f>_xlfn.NUMBERVALUE("0.000904")</f>
        <v/>
      </c>
      <c r="N1178">
        <f>_xlfn.NUMBERVALUE("-0.002125")</f>
        <v/>
      </c>
      <c r="O1178">
        <f>_xlfn.NUMBERVALUE("0.001142")</f>
        <v/>
      </c>
      <c r="P1178">
        <f>_xlfn.NUMBERVALUE("0.002015")</f>
        <v/>
      </c>
      <c r="Q1178">
        <f>_xlfn.NUMBERVALUE("0.001054")</f>
        <v/>
      </c>
      <c r="R1178">
        <f>_xlfn.NUMBERVALUE("0.000672")</f>
        <v/>
      </c>
      <c r="S1178">
        <f>_xlfn.NUMBERVALUE("0.000238")</f>
        <v/>
      </c>
      <c r="T1178">
        <f>_xlfn.NUMBERVALUE("0.000111")</f>
        <v/>
      </c>
      <c r="U1178">
        <f>_xlfn.NUMBERVALUE("0.002456")</f>
        <v/>
      </c>
      <c r="V1178">
        <f>_xlfn.NUMBERVALUE("-0.000602")</f>
        <v/>
      </c>
      <c r="W1178">
        <f>_xlfn.NUMBERVALUE("0.005156")</f>
        <v/>
      </c>
      <c r="X1178">
        <f>_xlfn.NUMBERVALUE("-2.330000")</f>
        <v/>
      </c>
      <c r="Y1178">
        <f>_xlfn.NUMBERVALUE("17.330000")</f>
        <v/>
      </c>
    </row>
    <row r="1179">
      <c r="A1179" s="1" t="n">
        <v>43713</v>
      </c>
      <c r="B1179">
        <f>_xlfn.NUMBERVALUE("-0.002794")</f>
        <v/>
      </c>
      <c r="C1179" s="2">
        <f>_xlfn.NUMBERVALUE("-0.000330")</f>
        <v/>
      </c>
      <c r="D1179">
        <f>_xlfn.NUMBERVALUE("0.002077")</f>
        <v/>
      </c>
      <c r="E1179">
        <f>_xlfn.NUMBERVALUE("0.001430")</f>
        <v/>
      </c>
      <c r="F1179">
        <f>_xlfn.NUMBERVALUE("-0.004245")</f>
        <v/>
      </c>
      <c r="G1179">
        <f>_xlfn.NUMBERVALUE("-0.000798")</f>
        <v/>
      </c>
      <c r="H1179">
        <f>_xlfn.NUMBERVALUE("0.000023")</f>
        <v/>
      </c>
      <c r="I1179">
        <f>_xlfn.NUMBERVALUE("-0.001480")</f>
        <v/>
      </c>
      <c r="J1179">
        <f>_xlfn.NUMBERVALUE("-0.001259")</f>
        <v/>
      </c>
      <c r="K1179">
        <f>_xlfn.NUMBERVALUE("-0.010847")</f>
        <v/>
      </c>
      <c r="L1179">
        <f>_xlfn.NUMBERVALUE("-0.000059")</f>
        <v/>
      </c>
      <c r="M1179">
        <f>_xlfn.NUMBERVALUE("0.002029")</f>
        <v/>
      </c>
      <c r="N1179">
        <f>_xlfn.NUMBERVALUE("-0.001522")</f>
        <v/>
      </c>
      <c r="O1179">
        <f>_xlfn.NUMBERVALUE("0.001960")</f>
        <v/>
      </c>
      <c r="P1179">
        <f>_xlfn.NUMBERVALUE("-0.008957")</f>
        <v/>
      </c>
      <c r="Q1179">
        <f>_xlfn.NUMBERVALUE("-0.004129")</f>
        <v/>
      </c>
      <c r="R1179">
        <f>_xlfn.NUMBERVALUE("-0.005066")</f>
        <v/>
      </c>
      <c r="S1179">
        <f>_xlfn.NUMBERVALUE("0.001195")</f>
        <v/>
      </c>
      <c r="T1179">
        <f>_xlfn.NUMBERVALUE("0.000498")</f>
        <v/>
      </c>
      <c r="U1179">
        <f>_xlfn.NUMBERVALUE("-0.003927")</f>
        <v/>
      </c>
      <c r="V1179">
        <f>_xlfn.NUMBERVALUE("-0.001104")</f>
        <v/>
      </c>
      <c r="W1179">
        <f>_xlfn.NUMBERVALUE("0.013814")</f>
        <v/>
      </c>
      <c r="X1179">
        <f>_xlfn.NUMBERVALUE("-1.060000")</f>
        <v/>
      </c>
      <c r="Y1179">
        <f>_xlfn.NUMBERVALUE("16.270000")</f>
        <v/>
      </c>
    </row>
    <row r="1180">
      <c r="A1180" s="1" t="n">
        <v>43714</v>
      </c>
      <c r="B1180">
        <f>_xlfn.NUMBERVALUE("0.010575")</f>
        <v/>
      </c>
      <c r="C1180" s="2">
        <f>_xlfn.NUMBERVALUE("0.002593")</f>
        <v/>
      </c>
      <c r="D1180">
        <f>_xlfn.NUMBERVALUE("0.000604")</f>
        <v/>
      </c>
      <c r="E1180">
        <f>_xlfn.NUMBERVALUE("0.000672")</f>
        <v/>
      </c>
      <c r="F1180">
        <f>_xlfn.NUMBERVALUE("0.001610")</f>
        <v/>
      </c>
      <c r="G1180">
        <f>_xlfn.NUMBERVALUE("0.000836")</f>
        <v/>
      </c>
      <c r="H1180">
        <f>_xlfn.NUMBERVALUE("0.000961")</f>
        <v/>
      </c>
      <c r="I1180">
        <f>_xlfn.NUMBERVALUE("0.002980")</f>
        <v/>
      </c>
      <c r="J1180">
        <f>_xlfn.NUMBERVALUE("0.000589")</f>
        <v/>
      </c>
      <c r="K1180">
        <f>_xlfn.NUMBERVALUE("-0.007398")</f>
        <v/>
      </c>
      <c r="L1180">
        <f>_xlfn.NUMBERVALUE("0.001138")</f>
        <v/>
      </c>
      <c r="M1180">
        <f>_xlfn.NUMBERVALUE("0.000799")</f>
        <v/>
      </c>
      <c r="N1180">
        <f>_xlfn.NUMBERVALUE("0.000858")</f>
        <v/>
      </c>
      <c r="O1180">
        <f>_xlfn.NUMBERVALUE("0.003026")</f>
        <v/>
      </c>
      <c r="P1180">
        <f>_xlfn.NUMBERVALUE("0.003090")</f>
        <v/>
      </c>
      <c r="Q1180">
        <f>_xlfn.NUMBERVALUE("0.003854")</f>
        <v/>
      </c>
      <c r="R1180">
        <f>_xlfn.NUMBERVALUE("0.002263")</f>
        <v/>
      </c>
      <c r="S1180">
        <f>_xlfn.NUMBERVALUE("0.000258")</f>
        <v/>
      </c>
      <c r="T1180">
        <f>_xlfn.NUMBERVALUE("-0.000008")</f>
        <v/>
      </c>
      <c r="U1180">
        <f>_xlfn.NUMBERVALUE("0.000334")</f>
        <v/>
      </c>
      <c r="V1180">
        <f>_xlfn.NUMBERVALUE("0.002203")</f>
        <v/>
      </c>
      <c r="W1180">
        <f>_xlfn.NUMBERVALUE("0.001007")</f>
        <v/>
      </c>
      <c r="X1180">
        <f>_xlfn.NUMBERVALUE("-1.270000")</f>
        <v/>
      </c>
      <c r="Y1180">
        <f>_xlfn.NUMBERVALUE("15.000000")</f>
        <v/>
      </c>
    </row>
    <row r="1181">
      <c r="A1181" s="1" t="n">
        <v>43717</v>
      </c>
      <c r="B1181">
        <f>_xlfn.NUMBERVALUE("-0.009592")</f>
        <v/>
      </c>
      <c r="C1181" s="2">
        <f>_xlfn.NUMBERVALUE("0.000601")</f>
        <v/>
      </c>
      <c r="D1181">
        <f>_xlfn.NUMBERVALUE("0.001142")</f>
        <v/>
      </c>
      <c r="E1181">
        <f>_xlfn.NUMBERVALUE("0.000804")</f>
        <v/>
      </c>
      <c r="F1181">
        <f>_xlfn.NUMBERVALUE("0.000548")</f>
        <v/>
      </c>
      <c r="G1181">
        <f>_xlfn.NUMBERVALUE("0.001451")</f>
        <v/>
      </c>
      <c r="H1181">
        <f>_xlfn.NUMBERVALUE("-0.000270")</f>
        <v/>
      </c>
      <c r="I1181">
        <f>_xlfn.NUMBERVALUE("-0.001854")</f>
        <v/>
      </c>
      <c r="J1181">
        <f>_xlfn.NUMBERVALUE("-0.000972")</f>
        <v/>
      </c>
      <c r="K1181">
        <f>_xlfn.NUMBERVALUE("0.004520")</f>
        <v/>
      </c>
      <c r="L1181">
        <f>_xlfn.NUMBERVALUE("-0.002293")</f>
        <v/>
      </c>
      <c r="M1181">
        <f>_xlfn.NUMBERVALUE("-0.000290")</f>
        <v/>
      </c>
      <c r="N1181">
        <f>_xlfn.NUMBERVALUE("0.002216")</f>
        <v/>
      </c>
      <c r="O1181">
        <f>_xlfn.NUMBERVALUE("-0.005500")</f>
        <v/>
      </c>
      <c r="P1181">
        <f>_xlfn.NUMBERVALUE("-0.004283")</f>
        <v/>
      </c>
      <c r="Q1181">
        <f>_xlfn.NUMBERVALUE("0.002901")</f>
        <v/>
      </c>
      <c r="R1181">
        <f>_xlfn.NUMBERVALUE("0.002812")</f>
        <v/>
      </c>
      <c r="S1181">
        <f>_xlfn.NUMBERVALUE("0.000623")</f>
        <v/>
      </c>
      <c r="T1181">
        <f>_xlfn.NUMBERVALUE("0.000901")</f>
        <v/>
      </c>
      <c r="U1181">
        <f>_xlfn.NUMBERVALUE("0.000241")</f>
        <v/>
      </c>
      <c r="V1181">
        <f>_xlfn.NUMBERVALUE("0.001421")</f>
        <v/>
      </c>
      <c r="W1181">
        <f>_xlfn.NUMBERVALUE("-0.000905")</f>
        <v/>
      </c>
      <c r="X1181">
        <f>_xlfn.NUMBERVALUE("0.270000")</f>
        <v/>
      </c>
      <c r="Y1181">
        <f>_xlfn.NUMBERVALUE("15.270000")</f>
        <v/>
      </c>
    </row>
    <row r="1182">
      <c r="A1182" s="1" t="n">
        <v>43718</v>
      </c>
      <c r="B1182">
        <f>_xlfn.NUMBERVALUE("0.020640")</f>
        <v/>
      </c>
      <c r="C1182" s="2">
        <f>_xlfn.NUMBERVALUE("0.000742")</f>
        <v/>
      </c>
      <c r="D1182">
        <f>_xlfn.NUMBERVALUE("0.000610")</f>
        <v/>
      </c>
      <c r="E1182">
        <f>_xlfn.NUMBERVALUE("0.000360")</f>
        <v/>
      </c>
      <c r="F1182">
        <f>_xlfn.NUMBERVALUE("-0.000286")</f>
        <v/>
      </c>
      <c r="G1182">
        <f>_xlfn.NUMBERVALUE("0.000562")</f>
        <v/>
      </c>
      <c r="H1182">
        <f>_xlfn.NUMBERVALUE("-0.000917")</f>
        <v/>
      </c>
      <c r="I1182">
        <f>_xlfn.NUMBERVALUE("-0.001501")</f>
        <v/>
      </c>
      <c r="J1182">
        <f>_xlfn.NUMBERVALUE("-0.002262")</f>
        <v/>
      </c>
      <c r="K1182">
        <f>_xlfn.NUMBERVALUE("0.000844")</f>
        <v/>
      </c>
      <c r="L1182">
        <f>_xlfn.NUMBERVALUE("-0.003048")</f>
        <v/>
      </c>
      <c r="M1182">
        <f>_xlfn.NUMBERVALUE("-0.000203")</f>
        <v/>
      </c>
      <c r="N1182">
        <f>_xlfn.NUMBERVALUE("0.001677")</f>
        <v/>
      </c>
      <c r="O1182">
        <f>_xlfn.NUMBERVALUE("-0.001264")</f>
        <v/>
      </c>
      <c r="P1182">
        <f>_xlfn.NUMBERVALUE("0.001077")</f>
        <v/>
      </c>
      <c r="Q1182">
        <f>_xlfn.NUMBERVALUE("-0.000858")</f>
        <v/>
      </c>
      <c r="R1182">
        <f>_xlfn.NUMBERVALUE("0.000599")</f>
        <v/>
      </c>
      <c r="S1182">
        <f>_xlfn.NUMBERVALUE("0.000323")</f>
        <v/>
      </c>
      <c r="T1182">
        <f>_xlfn.NUMBERVALUE("0.000378")</f>
        <v/>
      </c>
      <c r="U1182">
        <f>_xlfn.NUMBERVALUE("0.000973")</f>
        <v/>
      </c>
      <c r="V1182">
        <f>_xlfn.NUMBERVALUE("0.000811")</f>
        <v/>
      </c>
      <c r="W1182">
        <f>_xlfn.NUMBERVALUE("-0.002383")</f>
        <v/>
      </c>
      <c r="X1182">
        <f>_xlfn.NUMBERVALUE("-0.070000")</f>
        <v/>
      </c>
      <c r="Y1182">
        <f>_xlfn.NUMBERVALUE("15.200000")</f>
        <v/>
      </c>
    </row>
    <row r="1183">
      <c r="A1183" s="1" t="n">
        <v>43719</v>
      </c>
      <c r="B1183">
        <f>_xlfn.NUMBERVALUE("0.001211")</f>
        <v/>
      </c>
      <c r="C1183" s="2">
        <f>_xlfn.NUMBERVALUE("0.000033")</f>
        <v/>
      </c>
      <c r="D1183">
        <f>_xlfn.NUMBERVALUE("0.000189")</f>
        <v/>
      </c>
      <c r="E1183">
        <f>_xlfn.NUMBERVALUE("-0.000418")</f>
        <v/>
      </c>
      <c r="F1183">
        <f>_xlfn.NUMBERVALUE("0.000071")</f>
        <v/>
      </c>
      <c r="G1183">
        <f>_xlfn.NUMBERVALUE("-0.000218")</f>
        <v/>
      </c>
      <c r="H1183">
        <f>_xlfn.NUMBERVALUE("0.000073")</f>
        <v/>
      </c>
      <c r="I1183">
        <f>_xlfn.NUMBERVALUE("-0.003570")</f>
        <v/>
      </c>
      <c r="J1183">
        <f>_xlfn.NUMBERVALUE("0.001064")</f>
        <v/>
      </c>
      <c r="K1183">
        <f>_xlfn.NUMBERVALUE("0.002005")</f>
        <v/>
      </c>
      <c r="L1183">
        <f>_xlfn.NUMBERVALUE("0.000778")</f>
        <v/>
      </c>
      <c r="M1183">
        <f>_xlfn.NUMBERVALUE("0.000153")</f>
        <v/>
      </c>
      <c r="N1183">
        <f>_xlfn.NUMBERVALUE("-0.001041")</f>
        <v/>
      </c>
      <c r="O1183">
        <f>_xlfn.NUMBERVALUE("0.002250")</f>
        <v/>
      </c>
      <c r="P1183">
        <f>_xlfn.NUMBERVALUE("0.001794")</f>
        <v/>
      </c>
      <c r="Q1183">
        <f>_xlfn.NUMBERVALUE("0.000187")</f>
        <v/>
      </c>
      <c r="R1183">
        <f>_xlfn.NUMBERVALUE("-0.000114")</f>
        <v/>
      </c>
      <c r="S1183">
        <f>_xlfn.NUMBERVALUE("0.001864")</f>
        <v/>
      </c>
      <c r="T1183">
        <f>_xlfn.NUMBERVALUE("-0.001027")</f>
        <v/>
      </c>
      <c r="U1183">
        <f>_xlfn.NUMBERVALUE("0.001327")</f>
        <v/>
      </c>
      <c r="V1183">
        <f>_xlfn.NUMBERVALUE("-0.000586")</f>
        <v/>
      </c>
      <c r="W1183">
        <f>_xlfn.NUMBERVALUE("0.007871")</f>
        <v/>
      </c>
      <c r="X1183">
        <f>_xlfn.NUMBERVALUE("-0.590000")</f>
        <v/>
      </c>
      <c r="Y1183">
        <f>_xlfn.NUMBERVALUE("14.610000")</f>
        <v/>
      </c>
    </row>
    <row r="1184">
      <c r="A1184" s="1" t="n">
        <v>43720</v>
      </c>
      <c r="B1184">
        <f>_xlfn.NUMBERVALUE("0.000918")</f>
        <v/>
      </c>
      <c r="C1184" s="2">
        <f>_xlfn.NUMBERVALUE("0.000239")</f>
        <v/>
      </c>
      <c r="D1184">
        <f>_xlfn.NUMBERVALUE("-0.000168")</f>
        <v/>
      </c>
      <c r="E1184">
        <f>_xlfn.NUMBERVALUE("0.000010")</f>
        <v/>
      </c>
      <c r="F1184">
        <f>_xlfn.NUMBERVALUE("-0.000196")</f>
        <v/>
      </c>
      <c r="G1184">
        <f>_xlfn.NUMBERVALUE("0.000045")</f>
        <v/>
      </c>
      <c r="H1184">
        <f>_xlfn.NUMBERVALUE("-0.001071")</f>
        <v/>
      </c>
      <c r="I1184">
        <f>_xlfn.NUMBERVALUE("0.000541")</f>
        <v/>
      </c>
      <c r="J1184">
        <f>_xlfn.NUMBERVALUE("-0.000682")</f>
        <v/>
      </c>
      <c r="K1184">
        <f>_xlfn.NUMBERVALUE("-0.000287")</f>
        <v/>
      </c>
      <c r="L1184">
        <f>_xlfn.NUMBERVALUE("-0.000142")</f>
        <v/>
      </c>
      <c r="M1184">
        <f>_xlfn.NUMBERVALUE("-0.000056")</f>
        <v/>
      </c>
      <c r="N1184">
        <f>_xlfn.NUMBERVALUE("0.000472")</f>
        <v/>
      </c>
      <c r="O1184">
        <f>_xlfn.NUMBERVALUE("0.001184")</f>
        <v/>
      </c>
      <c r="P1184">
        <f>_xlfn.NUMBERVALUE("-0.000136")</f>
        <v/>
      </c>
      <c r="Q1184">
        <f>_xlfn.NUMBERVALUE("-0.000741")</f>
        <v/>
      </c>
      <c r="R1184">
        <f>_xlfn.NUMBERVALUE("0.000868")</f>
        <v/>
      </c>
      <c r="S1184">
        <f>_xlfn.NUMBERVALUE("-0.001363")</f>
        <v/>
      </c>
      <c r="T1184">
        <f>_xlfn.NUMBERVALUE("-0.000394")</f>
        <v/>
      </c>
      <c r="U1184">
        <f>_xlfn.NUMBERVALUE("0.001706")</f>
        <v/>
      </c>
      <c r="V1184">
        <f>_xlfn.NUMBERVALUE("-0.000157")</f>
        <v/>
      </c>
      <c r="W1184">
        <f>_xlfn.NUMBERVALUE("0.007376")</f>
        <v/>
      </c>
      <c r="X1184">
        <f>_xlfn.NUMBERVALUE("-0.390000")</f>
        <v/>
      </c>
      <c r="Y1184">
        <f>_xlfn.NUMBERVALUE("14.220000")</f>
        <v/>
      </c>
    </row>
    <row r="1185">
      <c r="A1185" s="1" t="n">
        <v>43721</v>
      </c>
      <c r="B1185">
        <f>_xlfn.NUMBERVALUE("0.017455")</f>
        <v/>
      </c>
      <c r="C1185" s="2">
        <f>_xlfn.NUMBERVALUE("0.000405")</f>
        <v/>
      </c>
      <c r="D1185">
        <f>_xlfn.NUMBERVALUE("0.000273")</f>
        <v/>
      </c>
      <c r="E1185">
        <f>_xlfn.NUMBERVALUE("-0.000161")</f>
        <v/>
      </c>
      <c r="F1185">
        <f>_xlfn.NUMBERVALUE("-0.000208")</f>
        <v/>
      </c>
      <c r="G1185">
        <f>_xlfn.NUMBERVALUE("0.000926")</f>
        <v/>
      </c>
      <c r="H1185">
        <f>_xlfn.NUMBERVALUE("-0.004203")</f>
        <v/>
      </c>
      <c r="I1185">
        <f>_xlfn.NUMBERVALUE("0.000533")</f>
        <v/>
      </c>
      <c r="J1185">
        <f>_xlfn.NUMBERVALUE("-0.000582")</f>
        <v/>
      </c>
      <c r="K1185">
        <f>_xlfn.NUMBERVALUE("-0.003705")</f>
        <v/>
      </c>
      <c r="L1185">
        <f>_xlfn.NUMBERVALUE("-0.002364")</f>
        <v/>
      </c>
      <c r="M1185">
        <f>_xlfn.NUMBERVALUE("0.000415")</f>
        <v/>
      </c>
      <c r="N1185">
        <f>_xlfn.NUMBERVALUE("0.000406")</f>
        <v/>
      </c>
      <c r="O1185">
        <f>_xlfn.NUMBERVALUE("-0.000537")</f>
        <v/>
      </c>
      <c r="P1185">
        <f>_xlfn.NUMBERVALUE("-0.002793")</f>
        <v/>
      </c>
      <c r="Q1185">
        <f>_xlfn.NUMBERVALUE("0.000183")</f>
        <v/>
      </c>
      <c r="R1185">
        <f>_xlfn.NUMBERVALUE("0.000100")</f>
        <v/>
      </c>
      <c r="S1185">
        <f>_xlfn.NUMBERVALUE("0.000157")</f>
        <v/>
      </c>
      <c r="T1185">
        <f>_xlfn.NUMBERVALUE("0.000753")</f>
        <v/>
      </c>
      <c r="U1185">
        <f>_xlfn.NUMBERVALUE("0.000781")</f>
        <v/>
      </c>
      <c r="V1185">
        <f>_xlfn.NUMBERVALUE("0.001192")</f>
        <v/>
      </c>
      <c r="W1185">
        <f>_xlfn.NUMBERVALUE("-0.001955")</f>
        <v/>
      </c>
      <c r="X1185">
        <f>_xlfn.NUMBERVALUE("-0.480000")</f>
        <v/>
      </c>
      <c r="Y1185">
        <f>_xlfn.NUMBERVALUE("13.740000")</f>
        <v/>
      </c>
    </row>
    <row r="1186">
      <c r="A1186" s="1" t="n">
        <v>43724</v>
      </c>
      <c r="B1186">
        <f>_xlfn.NUMBERVALUE("0.000000")</f>
        <v/>
      </c>
      <c r="C1186" s="2">
        <f>_xlfn.NUMBERVALUE("0.000126")</f>
        <v/>
      </c>
      <c r="D1186">
        <f>_xlfn.NUMBERVALUE("0.000259")</f>
        <v/>
      </c>
      <c r="E1186">
        <f>_xlfn.NUMBERVALUE("-0.000734")</f>
        <v/>
      </c>
      <c r="F1186">
        <f>_xlfn.NUMBERVALUE("-0.001045")</f>
        <v/>
      </c>
      <c r="G1186">
        <f>_xlfn.NUMBERVALUE("-0.000208")</f>
        <v/>
      </c>
      <c r="H1186">
        <f>_xlfn.NUMBERVALUE("0.003659")</f>
        <v/>
      </c>
      <c r="I1186">
        <f>_xlfn.NUMBERVALUE("0.000318")</f>
        <v/>
      </c>
      <c r="J1186">
        <f>_xlfn.NUMBERVALUE("0.000283")</f>
        <v/>
      </c>
      <c r="K1186">
        <f>_xlfn.NUMBERVALUE("0.000959")</f>
        <v/>
      </c>
      <c r="L1186">
        <f>_xlfn.NUMBERVALUE("-0.000063")</f>
        <v/>
      </c>
      <c r="M1186">
        <f>_xlfn.NUMBERVALUE("-0.002057")</f>
        <v/>
      </c>
      <c r="N1186">
        <f>_xlfn.NUMBERVALUE("-0.000880")</f>
        <v/>
      </c>
      <c r="O1186">
        <f>_xlfn.NUMBERVALUE("-0.015429")</f>
        <v/>
      </c>
      <c r="P1186">
        <f>_xlfn.NUMBERVALUE("0.000798")</f>
        <v/>
      </c>
      <c r="Q1186">
        <f>_xlfn.NUMBERVALUE("-0.000744")</f>
        <v/>
      </c>
      <c r="R1186">
        <f>_xlfn.NUMBERVALUE("-0.000692")</f>
        <v/>
      </c>
      <c r="S1186">
        <f>_xlfn.NUMBERVALUE("-0.000171")</f>
        <v/>
      </c>
      <c r="T1186">
        <f>_xlfn.NUMBERVALUE("0.000981")</f>
        <v/>
      </c>
      <c r="U1186">
        <f>_xlfn.NUMBERVALUE("-0.001927")</f>
        <v/>
      </c>
      <c r="V1186">
        <f>_xlfn.NUMBERVALUE("0.000747")</f>
        <v/>
      </c>
      <c r="W1186">
        <f>_xlfn.NUMBERVALUE("-0.003652")</f>
        <v/>
      </c>
      <c r="X1186">
        <f>_xlfn.NUMBERVALUE("0.930000")</f>
        <v/>
      </c>
      <c r="Y1186">
        <f>_xlfn.NUMBERVALUE("14.670000")</f>
        <v/>
      </c>
    </row>
    <row r="1187">
      <c r="A1187" s="1" t="n">
        <v>43725</v>
      </c>
      <c r="B1187">
        <f>_xlfn.NUMBERVALUE("0.000000")</f>
        <v/>
      </c>
      <c r="C1187" s="2">
        <f>_xlfn.NUMBERVALUE("0.000232")</f>
        <v/>
      </c>
      <c r="D1187">
        <f>_xlfn.NUMBERVALUE("0.000904")</f>
        <v/>
      </c>
      <c r="E1187">
        <f>_xlfn.NUMBERVALUE("0.000269")</f>
        <v/>
      </c>
      <c r="F1187">
        <f>_xlfn.NUMBERVALUE("0.000798")</f>
        <v/>
      </c>
      <c r="G1187">
        <f>_xlfn.NUMBERVALUE("0.000331")</f>
        <v/>
      </c>
      <c r="H1187">
        <f>_xlfn.NUMBERVALUE("-0.000185")</f>
        <v/>
      </c>
      <c r="I1187">
        <f>_xlfn.NUMBERVALUE("0.000459")</f>
        <v/>
      </c>
      <c r="J1187">
        <f>_xlfn.NUMBERVALUE("-0.000409")</f>
        <v/>
      </c>
      <c r="K1187">
        <f>_xlfn.NUMBERVALUE("0.000131")</f>
        <v/>
      </c>
      <c r="L1187">
        <f>_xlfn.NUMBERVALUE("0.000316")</f>
        <v/>
      </c>
      <c r="M1187">
        <f>_xlfn.NUMBERVALUE("-0.001194")</f>
        <v/>
      </c>
      <c r="N1187">
        <f>_xlfn.NUMBERVALUE("0.000414")</f>
        <v/>
      </c>
      <c r="O1187">
        <f>_xlfn.NUMBERVALUE("0.003001")</f>
        <v/>
      </c>
      <c r="P1187">
        <f>_xlfn.NUMBERVALUE("0.001417")</f>
        <v/>
      </c>
      <c r="Q1187">
        <f>_xlfn.NUMBERVALUE("-0.000268")</f>
        <v/>
      </c>
      <c r="R1187">
        <f>_xlfn.NUMBERVALUE("0.001077")</f>
        <v/>
      </c>
      <c r="S1187">
        <f>_xlfn.NUMBERVALUE("-0.000013")</f>
        <v/>
      </c>
      <c r="T1187">
        <f>_xlfn.NUMBERVALUE("0.001204")</f>
        <v/>
      </c>
      <c r="U1187">
        <f>_xlfn.NUMBERVALUE("-0.001936")</f>
        <v/>
      </c>
      <c r="V1187">
        <f>_xlfn.NUMBERVALUE("0.000243")</f>
        <v/>
      </c>
      <c r="W1187">
        <f>_xlfn.NUMBERVALUE("0.002699")</f>
        <v/>
      </c>
      <c r="X1187">
        <f>_xlfn.NUMBERVALUE("-0.230000")</f>
        <v/>
      </c>
      <c r="Y1187">
        <f>_xlfn.NUMBERVALUE("14.440000")</f>
        <v/>
      </c>
    </row>
    <row r="1188">
      <c r="A1188" s="1" t="n">
        <v>43726</v>
      </c>
      <c r="B1188">
        <f>_xlfn.NUMBERVALUE("0.000000")</f>
        <v/>
      </c>
      <c r="C1188" s="2">
        <f>_xlfn.NUMBERVALUE("0.001514")</f>
        <v/>
      </c>
      <c r="D1188">
        <f>_xlfn.NUMBERVALUE("0.001053")</f>
        <v/>
      </c>
      <c r="E1188">
        <f>_xlfn.NUMBERVALUE("0.001179")</f>
        <v/>
      </c>
      <c r="F1188">
        <f>_xlfn.NUMBERVALUE("0.000627")</f>
        <v/>
      </c>
      <c r="G1188">
        <f>_xlfn.NUMBERVALUE("0.000922")</f>
        <v/>
      </c>
      <c r="H1188">
        <f>_xlfn.NUMBERVALUE("-0.001442")</f>
        <v/>
      </c>
      <c r="I1188">
        <f>_xlfn.NUMBERVALUE("0.001107")</f>
        <v/>
      </c>
      <c r="J1188">
        <f>_xlfn.NUMBERVALUE("0.000454")</f>
        <v/>
      </c>
      <c r="K1188">
        <f>_xlfn.NUMBERVALUE("0.001125")</f>
        <v/>
      </c>
      <c r="L1188">
        <f>_xlfn.NUMBERVALUE("0.001173")</f>
        <v/>
      </c>
      <c r="M1188">
        <f>_xlfn.NUMBERVALUE("0.001193")</f>
        <v/>
      </c>
      <c r="N1188">
        <f>_xlfn.NUMBERVALUE("0.002460")</f>
        <v/>
      </c>
      <c r="O1188">
        <f>_xlfn.NUMBERVALUE("0.004609")</f>
        <v/>
      </c>
      <c r="P1188">
        <f>_xlfn.NUMBERVALUE("0.000323")</f>
        <v/>
      </c>
      <c r="Q1188">
        <f>_xlfn.NUMBERVALUE("0.000778")</f>
        <v/>
      </c>
      <c r="R1188">
        <f>_xlfn.NUMBERVALUE("0.001009")</f>
        <v/>
      </c>
      <c r="S1188">
        <f>_xlfn.NUMBERVALUE("0.000370")</f>
        <v/>
      </c>
      <c r="T1188">
        <f>_xlfn.NUMBERVALUE("0.000618")</f>
        <v/>
      </c>
      <c r="U1188">
        <f>_xlfn.NUMBERVALUE("0.001238")</f>
        <v/>
      </c>
      <c r="V1188">
        <f>_xlfn.NUMBERVALUE("0.000381")</f>
        <v/>
      </c>
      <c r="W1188">
        <f>_xlfn.NUMBERVALUE("0.000199")</f>
        <v/>
      </c>
      <c r="X1188">
        <f>_xlfn.NUMBERVALUE("-0.490000")</f>
        <v/>
      </c>
      <c r="Y1188">
        <f>_xlfn.NUMBERVALUE("13.950000")</f>
        <v/>
      </c>
    </row>
    <row r="1189">
      <c r="A1189" s="1" t="n">
        <v>43727</v>
      </c>
      <c r="B1189">
        <f>_xlfn.NUMBERVALUE("0.000000")</f>
        <v/>
      </c>
      <c r="C1189" s="2">
        <f>_xlfn.NUMBERVALUE("0.001365")</f>
        <v/>
      </c>
      <c r="D1189">
        <f>_xlfn.NUMBERVALUE("0.001632")</f>
        <v/>
      </c>
      <c r="E1189">
        <f>_xlfn.NUMBERVALUE("0.000509")</f>
        <v/>
      </c>
      <c r="F1189">
        <f>_xlfn.NUMBERVALUE("0.001082")</f>
        <v/>
      </c>
      <c r="G1189">
        <f>_xlfn.NUMBERVALUE("-0.000335")</f>
        <v/>
      </c>
      <c r="H1189">
        <f>_xlfn.NUMBERVALUE("-0.011809")</f>
        <v/>
      </c>
      <c r="I1189">
        <f>_xlfn.NUMBERVALUE("0.002233")</f>
        <v/>
      </c>
      <c r="J1189">
        <f>_xlfn.NUMBERVALUE("-0.000738")</f>
        <v/>
      </c>
      <c r="K1189">
        <f>_xlfn.NUMBERVALUE("0.002419")</f>
        <v/>
      </c>
      <c r="L1189">
        <f>_xlfn.NUMBERVALUE("0.000398")</f>
        <v/>
      </c>
      <c r="M1189">
        <f>_xlfn.NUMBERVALUE("0.001238")</f>
        <v/>
      </c>
      <c r="N1189">
        <f>_xlfn.NUMBERVALUE("0.000640")</f>
        <v/>
      </c>
      <c r="O1189">
        <f>_xlfn.NUMBERVALUE("0.001875")</f>
        <v/>
      </c>
      <c r="P1189">
        <f>_xlfn.NUMBERVALUE("0.003456")</f>
        <v/>
      </c>
      <c r="Q1189">
        <f>_xlfn.NUMBERVALUE("0.003391")</f>
        <v/>
      </c>
      <c r="R1189">
        <f>_xlfn.NUMBERVALUE("0.002988")</f>
        <v/>
      </c>
      <c r="S1189">
        <f>_xlfn.NUMBERVALUE("0.001152")</f>
        <v/>
      </c>
      <c r="T1189">
        <f>_xlfn.NUMBERVALUE("0.000763")</f>
        <v/>
      </c>
      <c r="U1189">
        <f>_xlfn.NUMBERVALUE("0.003243")</f>
        <v/>
      </c>
      <c r="V1189">
        <f>_xlfn.NUMBERVALUE("0.001308")</f>
        <v/>
      </c>
      <c r="W1189">
        <f>_xlfn.NUMBERVALUE("0.000664")</f>
        <v/>
      </c>
      <c r="X1189">
        <f>_xlfn.NUMBERVALUE("0.100000")</f>
        <v/>
      </c>
      <c r="Y1189">
        <f>_xlfn.NUMBERVALUE("14.050000")</f>
        <v/>
      </c>
    </row>
    <row r="1190">
      <c r="A1190" s="1" t="n">
        <v>43728</v>
      </c>
      <c r="B1190">
        <f>_xlfn.NUMBERVALUE("0.000000")</f>
        <v/>
      </c>
      <c r="C1190" s="2">
        <f>_xlfn.NUMBERVALUE("-0.002850")</f>
        <v/>
      </c>
      <c r="D1190">
        <f>_xlfn.NUMBERVALUE("0.001235")</f>
        <v/>
      </c>
      <c r="E1190">
        <f>_xlfn.NUMBERVALUE("0.000929")</f>
        <v/>
      </c>
      <c r="F1190">
        <f>_xlfn.NUMBERVALUE("-0.001339")</f>
        <v/>
      </c>
      <c r="G1190">
        <f>_xlfn.NUMBERVALUE("0.002167")</f>
        <v/>
      </c>
      <c r="H1190">
        <f>_xlfn.NUMBERVALUE("0.016703")</f>
        <v/>
      </c>
      <c r="I1190">
        <f>_xlfn.NUMBERVALUE("0.001356")</f>
        <v/>
      </c>
      <c r="J1190">
        <f>_xlfn.NUMBERVALUE("0.000612")</f>
        <v/>
      </c>
      <c r="K1190">
        <f>_xlfn.NUMBERVALUE("-0.000453")</f>
        <v/>
      </c>
      <c r="L1190">
        <f>_xlfn.NUMBERVALUE("-0.001767")</f>
        <v/>
      </c>
      <c r="M1190">
        <f>_xlfn.NUMBERVALUE("-0.003002")</f>
        <v/>
      </c>
      <c r="N1190">
        <f>_xlfn.NUMBERVALUE("0.001761")</f>
        <v/>
      </c>
      <c r="O1190">
        <f>_xlfn.NUMBERVALUE("-0.003694")</f>
        <v/>
      </c>
      <c r="P1190">
        <f>_xlfn.NUMBERVALUE("-0.001651")</f>
        <v/>
      </c>
      <c r="Q1190">
        <f>_xlfn.NUMBERVALUE("-0.002274")</f>
        <v/>
      </c>
      <c r="R1190">
        <f>_xlfn.NUMBERVALUE("-0.001548")</f>
        <v/>
      </c>
      <c r="S1190">
        <f>_xlfn.NUMBERVALUE("0.001017")</f>
        <v/>
      </c>
      <c r="T1190">
        <f>_xlfn.NUMBERVALUE("-0.004894")</f>
        <v/>
      </c>
      <c r="U1190">
        <f>_xlfn.NUMBERVALUE("-0.000164")</f>
        <v/>
      </c>
      <c r="V1190">
        <f>_xlfn.NUMBERVALUE("-0.003587")</f>
        <v/>
      </c>
      <c r="W1190">
        <f>_xlfn.NUMBERVALUE("-0.009163")</f>
        <v/>
      </c>
      <c r="X1190">
        <f>_xlfn.NUMBERVALUE("1.270000")</f>
        <v/>
      </c>
      <c r="Y1190">
        <f>_xlfn.NUMBERVALUE("15.320000")</f>
        <v/>
      </c>
    </row>
    <row r="1191">
      <c r="A1191" s="1" t="n">
        <v>43731</v>
      </c>
      <c r="B1191">
        <f>_xlfn.NUMBERVALUE("0.000000")</f>
        <v/>
      </c>
      <c r="C1191" s="2">
        <f>_xlfn.NUMBERVALUE("0.002575")</f>
        <v/>
      </c>
      <c r="D1191">
        <f>_xlfn.NUMBERVALUE("0.002079")</f>
        <v/>
      </c>
      <c r="E1191">
        <f>_xlfn.NUMBERVALUE("0.000075")</f>
        <v/>
      </c>
      <c r="F1191">
        <f>_xlfn.NUMBERVALUE("0.002819")</f>
        <v/>
      </c>
      <c r="G1191">
        <f>_xlfn.NUMBERVALUE("0.000072")</f>
        <v/>
      </c>
      <c r="H1191">
        <f>_xlfn.NUMBERVALUE("-0.000222")</f>
        <v/>
      </c>
      <c r="I1191">
        <f>_xlfn.NUMBERVALUE("0.001117")</f>
        <v/>
      </c>
      <c r="J1191">
        <f>_xlfn.NUMBERVALUE("-0.000076")</f>
        <v/>
      </c>
      <c r="K1191">
        <f>_xlfn.NUMBERVALUE("-0.000537")</f>
        <v/>
      </c>
      <c r="L1191">
        <f>_xlfn.NUMBERVALUE("0.001741")</f>
        <v/>
      </c>
      <c r="M1191">
        <f>_xlfn.NUMBERVALUE("0.001976")</f>
        <v/>
      </c>
      <c r="N1191">
        <f>_xlfn.NUMBERVALUE("0.003152")</f>
        <v/>
      </c>
      <c r="O1191">
        <f>_xlfn.NUMBERVALUE("0.003809")</f>
        <v/>
      </c>
      <c r="P1191">
        <f>_xlfn.NUMBERVALUE("0.002466")</f>
        <v/>
      </c>
      <c r="Q1191">
        <f>_xlfn.NUMBERVALUE("0.002992")</f>
        <v/>
      </c>
      <c r="R1191">
        <f>_xlfn.NUMBERVALUE("0.003009")</f>
        <v/>
      </c>
      <c r="S1191">
        <f>_xlfn.NUMBERVALUE("0.001477")</f>
        <v/>
      </c>
      <c r="T1191">
        <f>_xlfn.NUMBERVALUE("0.000162")</f>
        <v/>
      </c>
      <c r="U1191">
        <f>_xlfn.NUMBERVALUE("0.002553")</f>
        <v/>
      </c>
      <c r="V1191">
        <f>_xlfn.NUMBERVALUE("0.002543")</f>
        <v/>
      </c>
      <c r="W1191">
        <f>_xlfn.NUMBERVALUE("0.000871")</f>
        <v/>
      </c>
      <c r="X1191">
        <f>_xlfn.NUMBERVALUE("-0.410000")</f>
        <v/>
      </c>
      <c r="Y1191">
        <f>_xlfn.NUMBERVALUE("14.910000")</f>
        <v/>
      </c>
    </row>
    <row r="1192">
      <c r="A1192" s="1" t="n">
        <v>43732</v>
      </c>
      <c r="B1192">
        <f>_xlfn.NUMBERVALUE("0.000000")</f>
        <v/>
      </c>
      <c r="C1192" s="2">
        <f>_xlfn.NUMBERVALUE("-0.002535")</f>
        <v/>
      </c>
      <c r="D1192">
        <f>_xlfn.NUMBERVALUE("-0.000764")</f>
        <v/>
      </c>
      <c r="E1192">
        <f>_xlfn.NUMBERVALUE("-0.000378")</f>
        <v/>
      </c>
      <c r="F1192">
        <f>_xlfn.NUMBERVALUE("-0.000349")</f>
        <v/>
      </c>
      <c r="G1192">
        <f>_xlfn.NUMBERVALUE("-0.000210")</f>
        <v/>
      </c>
      <c r="H1192">
        <f>_xlfn.NUMBERVALUE("0.000043")</f>
        <v/>
      </c>
      <c r="I1192">
        <f>_xlfn.NUMBERVALUE("-0.005136")</f>
        <v/>
      </c>
      <c r="J1192">
        <f>_xlfn.NUMBERVALUE("0.000074")</f>
        <v/>
      </c>
      <c r="K1192">
        <f>_xlfn.NUMBERVALUE("-0.000294")</f>
        <v/>
      </c>
      <c r="L1192">
        <f>_xlfn.NUMBERVALUE("-0.001236")</f>
        <v/>
      </c>
      <c r="M1192">
        <f>_xlfn.NUMBERVALUE("-0.002578")</f>
        <v/>
      </c>
      <c r="N1192">
        <f>_xlfn.NUMBERVALUE("-0.001659")</f>
        <v/>
      </c>
      <c r="O1192">
        <f>_xlfn.NUMBERVALUE("-0.003693")</f>
        <v/>
      </c>
      <c r="P1192">
        <f>_xlfn.NUMBERVALUE("-0.002984")</f>
        <v/>
      </c>
      <c r="Q1192">
        <f>_xlfn.NUMBERVALUE("-0.002649")</f>
        <v/>
      </c>
      <c r="R1192">
        <f>_xlfn.NUMBERVALUE("-0.003586")</f>
        <v/>
      </c>
      <c r="S1192">
        <f>_xlfn.NUMBERVALUE("-0.000808")</f>
        <v/>
      </c>
      <c r="T1192">
        <f>_xlfn.NUMBERVALUE("-0.001193")</f>
        <v/>
      </c>
      <c r="U1192">
        <f>_xlfn.NUMBERVALUE("-0.002308")</f>
        <v/>
      </c>
      <c r="V1192">
        <f>_xlfn.NUMBERVALUE("-0.002745")</f>
        <v/>
      </c>
      <c r="W1192">
        <f>_xlfn.NUMBERVALUE("-0.010512")</f>
        <v/>
      </c>
      <c r="X1192">
        <f>_xlfn.NUMBERVALUE("2.140000")</f>
        <v/>
      </c>
      <c r="Y1192">
        <f>_xlfn.NUMBERVALUE("17.050000")</f>
        <v/>
      </c>
    </row>
    <row r="1193">
      <c r="A1193" s="1" t="n">
        <v>43733</v>
      </c>
      <c r="B1193">
        <f>_xlfn.NUMBERVALUE("0.000000")</f>
        <v/>
      </c>
      <c r="C1193" s="2">
        <f>_xlfn.NUMBERVALUE("0.000495")</f>
        <v/>
      </c>
      <c r="D1193">
        <f>_xlfn.NUMBERVALUE("0.001478")</f>
        <v/>
      </c>
      <c r="E1193">
        <f>_xlfn.NUMBERVALUE("0.000930")</f>
        <v/>
      </c>
      <c r="F1193">
        <f>_xlfn.NUMBERVALUE("-0.002920")</f>
        <v/>
      </c>
      <c r="G1193">
        <f>_xlfn.NUMBERVALUE("0.003628")</f>
        <v/>
      </c>
      <c r="H1193">
        <f>_xlfn.NUMBERVALUE("-0.000500")</f>
        <v/>
      </c>
      <c r="I1193">
        <f>_xlfn.NUMBERVALUE("-0.000367")</f>
        <v/>
      </c>
      <c r="J1193">
        <f>_xlfn.NUMBERVALUE("-0.000165")</f>
        <v/>
      </c>
      <c r="K1193">
        <f>_xlfn.NUMBERVALUE("-0.003409")</f>
        <v/>
      </c>
      <c r="L1193">
        <f>_xlfn.NUMBERVALUE("-0.002373")</f>
        <v/>
      </c>
      <c r="M1193">
        <f>_xlfn.NUMBERVALUE("0.000362")</f>
        <v/>
      </c>
      <c r="N1193">
        <f>_xlfn.NUMBERVALUE("0.001693")</f>
        <v/>
      </c>
      <c r="O1193">
        <f>_xlfn.NUMBERVALUE("0.004071")</f>
        <v/>
      </c>
      <c r="P1193">
        <f>_xlfn.NUMBERVALUE("0.002051")</f>
        <v/>
      </c>
      <c r="Q1193">
        <f>_xlfn.NUMBERVALUE("0.001336")</f>
        <v/>
      </c>
      <c r="R1193">
        <f>_xlfn.NUMBERVALUE("0.001253")</f>
        <v/>
      </c>
      <c r="S1193">
        <f>_xlfn.NUMBERVALUE("0.001837")</f>
        <v/>
      </c>
      <c r="T1193">
        <f>_xlfn.NUMBERVALUE("0.001323")</f>
        <v/>
      </c>
      <c r="U1193">
        <f>_xlfn.NUMBERVALUE("0.000617")</f>
        <v/>
      </c>
      <c r="V1193">
        <f>_xlfn.NUMBERVALUE("0.001440")</f>
        <v/>
      </c>
      <c r="W1193">
        <f>_xlfn.NUMBERVALUE("0.007308")</f>
        <v/>
      </c>
      <c r="X1193">
        <f>_xlfn.NUMBERVALUE("-1.090000")</f>
        <v/>
      </c>
      <c r="Y1193">
        <f>_xlfn.NUMBERVALUE("15.960000")</f>
        <v/>
      </c>
    </row>
    <row r="1194">
      <c r="A1194" s="1" t="n">
        <v>43734</v>
      </c>
      <c r="B1194">
        <f>_xlfn.NUMBERVALUE("0.000000")</f>
        <v/>
      </c>
      <c r="C1194" s="2">
        <f>_xlfn.NUMBERVALUE("0.001182")</f>
        <v/>
      </c>
      <c r="D1194">
        <f>_xlfn.NUMBERVALUE("0.001932")</f>
        <v/>
      </c>
      <c r="E1194">
        <f>_xlfn.NUMBERVALUE("0.000901")</f>
        <v/>
      </c>
      <c r="F1194">
        <f>_xlfn.NUMBERVALUE("0.000987")</f>
        <v/>
      </c>
      <c r="G1194">
        <f>_xlfn.NUMBERVALUE("-0.003634")</f>
        <v/>
      </c>
      <c r="H1194">
        <f>_xlfn.NUMBERVALUE("-0.012895")</f>
        <v/>
      </c>
      <c r="I1194">
        <f>_xlfn.NUMBERVALUE("0.001824")</f>
        <v/>
      </c>
      <c r="J1194">
        <f>_xlfn.NUMBERVALUE("-0.000451")</f>
        <v/>
      </c>
      <c r="K1194">
        <f>_xlfn.NUMBERVALUE("0.000178")</f>
        <v/>
      </c>
      <c r="L1194">
        <f>_xlfn.NUMBERVALUE("0.000686")</f>
        <v/>
      </c>
      <c r="M1194">
        <f>_xlfn.NUMBERVALUE("0.000472")</f>
        <v/>
      </c>
      <c r="N1194">
        <f>_xlfn.NUMBERVALUE("-0.001553")</f>
        <v/>
      </c>
      <c r="O1194">
        <f>_xlfn.NUMBERVALUE("-0.000502")</f>
        <v/>
      </c>
      <c r="P1194">
        <f>_xlfn.NUMBERVALUE("0.000480")</f>
        <v/>
      </c>
      <c r="Q1194">
        <f>_xlfn.NUMBERVALUE("-0.000094")</f>
        <v/>
      </c>
      <c r="R1194">
        <f>_xlfn.NUMBERVALUE("0.001102")</f>
        <v/>
      </c>
      <c r="S1194">
        <f>_xlfn.NUMBERVALUE("-0.000764")</f>
        <v/>
      </c>
      <c r="T1194">
        <f>_xlfn.NUMBERVALUE("-0.000541")</f>
        <v/>
      </c>
      <c r="U1194">
        <f>_xlfn.NUMBERVALUE("0.000866")</f>
        <v/>
      </c>
      <c r="V1194">
        <f>_xlfn.NUMBERVALUE("0.001243")</f>
        <v/>
      </c>
      <c r="W1194">
        <f>_xlfn.NUMBERVALUE("-0.001679")</f>
        <v/>
      </c>
      <c r="X1194">
        <f>_xlfn.NUMBERVALUE("0.110000")</f>
        <v/>
      </c>
      <c r="Y1194">
        <f>_xlfn.NUMBERVALUE("16.070000")</f>
        <v/>
      </c>
    </row>
    <row r="1195">
      <c r="A1195" s="1" t="n">
        <v>43735</v>
      </c>
      <c r="B1195">
        <f>_xlfn.NUMBERVALUE("0.000000")</f>
        <v/>
      </c>
      <c r="C1195" s="2">
        <f>_xlfn.NUMBERVALUE("0.000659")</f>
        <v/>
      </c>
      <c r="D1195">
        <f>_xlfn.NUMBERVALUE("-0.003177")</f>
        <v/>
      </c>
      <c r="E1195">
        <f>_xlfn.NUMBERVALUE("0.000733")</f>
        <v/>
      </c>
      <c r="F1195">
        <f>_xlfn.NUMBERVALUE("0.000379")</f>
        <v/>
      </c>
      <c r="G1195">
        <f>_xlfn.NUMBERVALUE("0.001597")</f>
        <v/>
      </c>
      <c r="H1195">
        <f>_xlfn.NUMBERVALUE("-0.007233")</f>
        <v/>
      </c>
      <c r="I1195">
        <f>_xlfn.NUMBERVALUE("0.000964")</f>
        <v/>
      </c>
      <c r="J1195">
        <f>_xlfn.NUMBERVALUE("0.000441")</f>
        <v/>
      </c>
      <c r="K1195">
        <f>_xlfn.NUMBERVALUE("0.000161")</f>
        <v/>
      </c>
      <c r="L1195">
        <f>_xlfn.NUMBERVALUE("0.001053")</f>
        <v/>
      </c>
      <c r="M1195">
        <f>_xlfn.NUMBERVALUE("0.001127")</f>
        <v/>
      </c>
      <c r="N1195">
        <f>_xlfn.NUMBERVALUE("-0.001920")</f>
        <v/>
      </c>
      <c r="O1195">
        <f>_xlfn.NUMBERVALUE("0.001655")</f>
        <v/>
      </c>
      <c r="P1195">
        <f>_xlfn.NUMBERVALUE("0.000800")</f>
        <v/>
      </c>
      <c r="Q1195">
        <f>_xlfn.NUMBERVALUE("0.000206")</f>
        <v/>
      </c>
      <c r="R1195">
        <f>_xlfn.NUMBERVALUE("-0.002860")</f>
        <v/>
      </c>
      <c r="S1195">
        <f>_xlfn.NUMBERVALUE("0.000403")</f>
        <v/>
      </c>
      <c r="T1195">
        <f>_xlfn.NUMBERVALUE("0.000654")</f>
        <v/>
      </c>
      <c r="U1195">
        <f>_xlfn.NUMBERVALUE("-0.000253")</f>
        <v/>
      </c>
      <c r="V1195">
        <f>_xlfn.NUMBERVALUE("-0.001117")</f>
        <v/>
      </c>
      <c r="W1195">
        <f>_xlfn.NUMBERVALUE("-0.007839")</f>
        <v/>
      </c>
      <c r="X1195">
        <f>_xlfn.NUMBERVALUE("1.150000")</f>
        <v/>
      </c>
      <c r="Y1195">
        <f>_xlfn.NUMBERVALUE("17.220000")</f>
        <v/>
      </c>
    </row>
    <row r="1196">
      <c r="A1196" s="1" t="n">
        <v>43738</v>
      </c>
      <c r="B1196">
        <f>_xlfn.NUMBERVALUE("0.000000")</f>
        <v/>
      </c>
      <c r="C1196" s="2">
        <f>_xlfn.NUMBERVALUE("0.001364")</f>
        <v/>
      </c>
      <c r="D1196">
        <f>_xlfn.NUMBERVALUE("0.003799")</f>
        <v/>
      </c>
      <c r="E1196">
        <f>_xlfn.NUMBERVALUE("0.000608")</f>
        <v/>
      </c>
      <c r="F1196">
        <f>_xlfn.NUMBERVALUE("-0.000513")</f>
        <v/>
      </c>
      <c r="G1196">
        <f>_xlfn.NUMBERVALUE("0.000244")</f>
        <v/>
      </c>
      <c r="H1196">
        <f>_xlfn.NUMBERVALUE("0.021287")</f>
        <v/>
      </c>
      <c r="I1196">
        <f>_xlfn.NUMBERVALUE("0.002073")</f>
        <v/>
      </c>
      <c r="J1196">
        <f>_xlfn.NUMBERVALUE("0.000785")</f>
        <v/>
      </c>
      <c r="K1196">
        <f>_xlfn.NUMBERVALUE("-0.000139")</f>
        <v/>
      </c>
      <c r="L1196">
        <f>_xlfn.NUMBERVALUE("0.002345")</f>
        <v/>
      </c>
      <c r="M1196">
        <f>_xlfn.NUMBERVALUE("0.001365")</f>
        <v/>
      </c>
      <c r="N1196">
        <f>_xlfn.NUMBERVALUE("0.004565")</f>
        <v/>
      </c>
      <c r="O1196">
        <f>_xlfn.NUMBERVALUE("0.004368")</f>
        <v/>
      </c>
      <c r="P1196">
        <f>_xlfn.NUMBERVALUE("0.003592")</f>
        <v/>
      </c>
      <c r="Q1196">
        <f>_xlfn.NUMBERVALUE("0.004088")</f>
        <v/>
      </c>
      <c r="R1196">
        <f>_xlfn.NUMBERVALUE("0.002173")</f>
        <v/>
      </c>
      <c r="S1196">
        <f>_xlfn.NUMBERVALUE("0.000052")</f>
        <v/>
      </c>
      <c r="T1196">
        <f>_xlfn.NUMBERVALUE("0.000523")</f>
        <v/>
      </c>
      <c r="U1196">
        <f>_xlfn.NUMBERVALUE("0.000582")</f>
        <v/>
      </c>
      <c r="V1196">
        <f>_xlfn.NUMBERVALUE("0.002787")</f>
        <v/>
      </c>
      <c r="W1196">
        <f>_xlfn.NUMBERVALUE("0.007392")</f>
        <v/>
      </c>
      <c r="X1196">
        <f>_xlfn.NUMBERVALUE("-0.980000")</f>
        <v/>
      </c>
      <c r="Y1196">
        <f>_xlfn.NUMBERVALUE("16.240000")</f>
        <v/>
      </c>
    </row>
    <row r="1197">
      <c r="A1197" s="1" t="n">
        <v>43739</v>
      </c>
      <c r="B1197">
        <f>_xlfn.NUMBERVALUE("0.000000")</f>
        <v/>
      </c>
      <c r="C1197" s="2">
        <f>_xlfn.NUMBERVALUE("-0.000094")</f>
        <v/>
      </c>
      <c r="D1197">
        <f>_xlfn.NUMBERVALUE("0.001195")</f>
        <v/>
      </c>
      <c r="E1197">
        <f>_xlfn.NUMBERVALUE("0.000371")</f>
        <v/>
      </c>
      <c r="F1197">
        <f>_xlfn.NUMBERVALUE("-0.000047")</f>
        <v/>
      </c>
      <c r="G1197">
        <f>_xlfn.NUMBERVALUE("-0.001432")</f>
        <v/>
      </c>
      <c r="H1197">
        <f>_xlfn.NUMBERVALUE("-0.002707")</f>
        <v/>
      </c>
      <c r="I1197">
        <f>_xlfn.NUMBERVALUE("-0.003103")</f>
        <v/>
      </c>
      <c r="J1197">
        <f>_xlfn.NUMBERVALUE("0.000372")</f>
        <v/>
      </c>
      <c r="K1197">
        <f>_xlfn.NUMBERVALUE("-0.000004")</f>
        <v/>
      </c>
      <c r="L1197">
        <f>_xlfn.NUMBERVALUE("0.000851")</f>
        <v/>
      </c>
      <c r="M1197">
        <f>_xlfn.NUMBERVALUE("-0.005469")</f>
        <v/>
      </c>
      <c r="N1197">
        <f>_xlfn.NUMBERVALUE("-0.002657")</f>
        <v/>
      </c>
      <c r="O1197">
        <f>_xlfn.NUMBERVALUE("-0.006453")</f>
        <v/>
      </c>
      <c r="P1197">
        <f>_xlfn.NUMBERVALUE("-0.006205")</f>
        <v/>
      </c>
      <c r="Q1197">
        <f>_xlfn.NUMBERVALUE("-0.008367")</f>
        <v/>
      </c>
      <c r="R1197">
        <f>_xlfn.NUMBERVALUE("-0.000578")</f>
        <v/>
      </c>
      <c r="S1197">
        <f>_xlfn.NUMBERVALUE("-0.000148")</f>
        <v/>
      </c>
      <c r="T1197">
        <f>_xlfn.NUMBERVALUE("0.000218")</f>
        <v/>
      </c>
      <c r="U1197">
        <f>_xlfn.NUMBERVALUE("-0.000966")</f>
        <v/>
      </c>
      <c r="V1197">
        <f>_xlfn.NUMBERVALUE("-0.001552")</f>
        <v/>
      </c>
      <c r="W1197">
        <f>_xlfn.NUMBERVALUE("-0.011916")</f>
        <v/>
      </c>
      <c r="X1197">
        <f>_xlfn.NUMBERVALUE("2.320000")</f>
        <v/>
      </c>
      <c r="Y1197">
        <f>_xlfn.NUMBERVALUE("18.560000")</f>
        <v/>
      </c>
    </row>
    <row r="1198">
      <c r="A1198" s="1" t="n">
        <v>43740</v>
      </c>
      <c r="B1198">
        <f>_xlfn.NUMBERVALUE("0.000000")</f>
        <v/>
      </c>
      <c r="C1198" s="2">
        <f>_xlfn.NUMBERVALUE("-0.006921")</f>
        <v/>
      </c>
      <c r="D1198">
        <f>_xlfn.NUMBERVALUE("0.001437")</f>
        <v/>
      </c>
      <c r="E1198">
        <f>_xlfn.NUMBERVALUE("-0.010348")</f>
        <v/>
      </c>
      <c r="F1198">
        <f>_xlfn.NUMBERVALUE("-0.000048")</f>
        <v/>
      </c>
      <c r="G1198">
        <f>_xlfn.NUMBERVALUE("-0.002233")</f>
        <v/>
      </c>
      <c r="H1198">
        <f>_xlfn.NUMBERVALUE("0.004965")</f>
        <v/>
      </c>
      <c r="I1198">
        <f>_xlfn.NUMBERVALUE("0.000258")</f>
        <v/>
      </c>
      <c r="J1198">
        <f>_xlfn.NUMBERVALUE("0.000052")</f>
        <v/>
      </c>
      <c r="K1198">
        <f>_xlfn.NUMBERVALUE("0.000001")</f>
        <v/>
      </c>
      <c r="L1198">
        <f>_xlfn.NUMBERVALUE("0.001916")</f>
        <v/>
      </c>
      <c r="M1198">
        <f>_xlfn.NUMBERVALUE("-0.005972")</f>
        <v/>
      </c>
      <c r="N1198">
        <f>_xlfn.NUMBERVALUE("-0.001775")</f>
        <v/>
      </c>
      <c r="O1198">
        <f>_xlfn.NUMBERVALUE("-0.003192")</f>
        <v/>
      </c>
      <c r="P1198">
        <f>_xlfn.NUMBERVALUE("-0.003970")</f>
        <v/>
      </c>
      <c r="Q1198">
        <f>_xlfn.NUMBERVALUE("-0.005407")</f>
        <v/>
      </c>
      <c r="R1198">
        <f>_xlfn.NUMBERVALUE("-0.006019")</f>
        <v/>
      </c>
      <c r="S1198">
        <f>_xlfn.NUMBERVALUE("-0.007490")</f>
        <v/>
      </c>
      <c r="T1198">
        <f>_xlfn.NUMBERVALUE("-0.001585")</f>
        <v/>
      </c>
      <c r="U1198">
        <f>_xlfn.NUMBERVALUE("-0.001597")</f>
        <v/>
      </c>
      <c r="V1198">
        <f>_xlfn.NUMBERVALUE("-0.008024")</f>
        <v/>
      </c>
      <c r="W1198">
        <f>_xlfn.NUMBERVALUE("-0.018055")</f>
        <v/>
      </c>
      <c r="X1198">
        <f>_xlfn.NUMBERVALUE("2.000000")</f>
        <v/>
      </c>
      <c r="Y1198">
        <f>_xlfn.NUMBERVALUE("20.560000")</f>
        <v/>
      </c>
    </row>
    <row r="1199">
      <c r="A1199" s="1" t="n">
        <v>43741</v>
      </c>
      <c r="B1199">
        <f>_xlfn.NUMBERVALUE("0.000000")</f>
        <v/>
      </c>
      <c r="C1199" s="2">
        <f>_xlfn.NUMBERVALUE("0.001585")</f>
        <v/>
      </c>
      <c r="D1199">
        <f>_xlfn.NUMBERVALUE("-0.000499")</f>
        <v/>
      </c>
      <c r="E1199">
        <f>_xlfn.NUMBERVALUE("0.001673")</f>
        <v/>
      </c>
      <c r="F1199">
        <f>_xlfn.NUMBERVALUE("-0.000030")</f>
        <v/>
      </c>
      <c r="G1199">
        <f>_xlfn.NUMBERVALUE("0.000386")</f>
        <v/>
      </c>
      <c r="H1199">
        <f>_xlfn.NUMBERVALUE("0.000067")</f>
        <v/>
      </c>
      <c r="I1199">
        <f>_xlfn.NUMBERVALUE("0.007232")</f>
        <v/>
      </c>
      <c r="J1199">
        <f>_xlfn.NUMBERVALUE("-0.000034")</f>
        <v/>
      </c>
      <c r="K1199">
        <f>_xlfn.NUMBERVALUE("-0.000011")</f>
        <v/>
      </c>
      <c r="L1199">
        <f>_xlfn.NUMBERVALUE("0.001363")</f>
        <v/>
      </c>
      <c r="M1199">
        <f>_xlfn.NUMBERVALUE("0.003755")</f>
        <v/>
      </c>
      <c r="N1199">
        <f>_xlfn.NUMBERVALUE("0.000952")</f>
        <v/>
      </c>
      <c r="O1199">
        <f>_xlfn.NUMBERVALUE("0.000414")</f>
        <v/>
      </c>
      <c r="P1199">
        <f>_xlfn.NUMBERVALUE("0.000739")</f>
        <v/>
      </c>
      <c r="Q1199">
        <f>_xlfn.NUMBERVALUE("0.002488")</f>
        <v/>
      </c>
      <c r="R1199">
        <f>_xlfn.NUMBERVALUE("0.002547")</f>
        <v/>
      </c>
      <c r="S1199">
        <f>_xlfn.NUMBERVALUE("0.003271")</f>
        <v/>
      </c>
      <c r="T1199">
        <f>_xlfn.NUMBERVALUE("0.000324")</f>
        <v/>
      </c>
      <c r="U1199">
        <f>_xlfn.NUMBERVALUE("0.000082")</f>
        <v/>
      </c>
      <c r="V1199">
        <f>_xlfn.NUMBERVALUE("0.000790")</f>
        <v/>
      </c>
      <c r="W1199">
        <f>_xlfn.NUMBERVALUE("0.002446")</f>
        <v/>
      </c>
      <c r="X1199">
        <f>_xlfn.NUMBERVALUE("-1.440000")</f>
        <v/>
      </c>
      <c r="Y1199">
        <f>_xlfn.NUMBERVALUE("19.120000")</f>
        <v/>
      </c>
    </row>
    <row r="1200">
      <c r="A1200" s="1" t="n">
        <v>43742</v>
      </c>
      <c r="B1200">
        <f>_xlfn.NUMBERVALUE("0.000000")</f>
        <v/>
      </c>
      <c r="C1200" s="2">
        <f>_xlfn.NUMBERVALUE("0.000819")</f>
        <v/>
      </c>
      <c r="D1200">
        <f>_xlfn.NUMBERVALUE("0.001727")</f>
        <v/>
      </c>
      <c r="E1200">
        <f>_xlfn.NUMBERVALUE("0.001539")</f>
        <v/>
      </c>
      <c r="F1200">
        <f>_xlfn.NUMBERVALUE("0.001610")</f>
        <v/>
      </c>
      <c r="G1200">
        <f>_xlfn.NUMBERVALUE("0.001077")</f>
        <v/>
      </c>
      <c r="H1200">
        <f>_xlfn.NUMBERVALUE("0.018790")</f>
        <v/>
      </c>
      <c r="I1200">
        <f>_xlfn.NUMBERVALUE("0.002208")</f>
        <v/>
      </c>
      <c r="J1200">
        <f>_xlfn.NUMBERVALUE("0.001105")</f>
        <v/>
      </c>
      <c r="K1200">
        <f>_xlfn.NUMBERVALUE("0.002927")</f>
        <v/>
      </c>
      <c r="L1200">
        <f>_xlfn.NUMBERVALUE("0.001066")</f>
        <v/>
      </c>
      <c r="M1200">
        <f>_xlfn.NUMBERVALUE("0.002957")</f>
        <v/>
      </c>
      <c r="N1200">
        <f>_xlfn.NUMBERVALUE("0.002468")</f>
        <v/>
      </c>
      <c r="O1200">
        <f>_xlfn.NUMBERVALUE("0.000488")</f>
        <v/>
      </c>
      <c r="P1200">
        <f>_xlfn.NUMBERVALUE("0.000476")</f>
        <v/>
      </c>
      <c r="Q1200">
        <f>_xlfn.NUMBERVALUE("0.001900")</f>
        <v/>
      </c>
      <c r="R1200">
        <f>_xlfn.NUMBERVALUE("-0.000293")</f>
        <v/>
      </c>
      <c r="S1200">
        <f>_xlfn.NUMBERVALUE("-0.003950")</f>
        <v/>
      </c>
      <c r="T1200">
        <f>_xlfn.NUMBERVALUE("-0.001681")</f>
        <v/>
      </c>
      <c r="U1200">
        <f>_xlfn.NUMBERVALUE("0.000203")</f>
        <v/>
      </c>
      <c r="V1200">
        <f>_xlfn.NUMBERVALUE("0.001121")</f>
        <v/>
      </c>
      <c r="W1200">
        <f>_xlfn.NUMBERVALUE("0.015536")</f>
        <v/>
      </c>
      <c r="X1200">
        <f>_xlfn.NUMBERVALUE("-2.080000")</f>
        <v/>
      </c>
      <c r="Y1200">
        <f>_xlfn.NUMBERVALUE("17.040000")</f>
        <v/>
      </c>
    </row>
    <row r="1201">
      <c r="A1201" s="1" t="n">
        <v>43745</v>
      </c>
      <c r="B1201">
        <f>_xlfn.NUMBERVALUE("0.000000")</f>
        <v/>
      </c>
      <c r="C1201" s="2">
        <f>_xlfn.NUMBERVALUE("0.001307")</f>
        <v/>
      </c>
      <c r="D1201">
        <f>_xlfn.NUMBERVALUE("0.000851")</f>
        <v/>
      </c>
      <c r="E1201">
        <f>_xlfn.NUMBERVALUE("0.000569")</f>
        <v/>
      </c>
      <c r="F1201">
        <f>_xlfn.NUMBERVALUE("0.000231")</f>
        <v/>
      </c>
      <c r="G1201">
        <f>_xlfn.NUMBERVALUE("0.000607")</f>
        <v/>
      </c>
      <c r="H1201">
        <f>_xlfn.NUMBERVALUE("-0.000220")</f>
        <v/>
      </c>
      <c r="I1201">
        <f>_xlfn.NUMBERVALUE("0.001498")</f>
        <v/>
      </c>
      <c r="J1201">
        <f>_xlfn.NUMBERVALUE("0.000032")</f>
        <v/>
      </c>
      <c r="K1201">
        <f>_xlfn.NUMBERVALUE("0.002033")</f>
        <v/>
      </c>
      <c r="L1201">
        <f>_xlfn.NUMBERVALUE("0.000521")</f>
        <v/>
      </c>
      <c r="M1201">
        <f>_xlfn.NUMBERVALUE("0.003154")</f>
        <v/>
      </c>
      <c r="N1201">
        <f>_xlfn.NUMBERVALUE("0.000329")</f>
        <v/>
      </c>
      <c r="O1201">
        <f>_xlfn.NUMBERVALUE("0.000000")</f>
        <v/>
      </c>
      <c r="P1201">
        <f>_xlfn.NUMBERVALUE("0.000430")</f>
        <v/>
      </c>
      <c r="Q1201">
        <f>_xlfn.NUMBERVALUE("0.000953")</f>
        <v/>
      </c>
      <c r="R1201">
        <f>_xlfn.NUMBERVALUE("0.005251")</f>
        <v/>
      </c>
      <c r="S1201">
        <f>_xlfn.NUMBERVALUE("0.003320")</f>
        <v/>
      </c>
      <c r="T1201">
        <f>_xlfn.NUMBERVALUE("0.000173")</f>
        <v/>
      </c>
      <c r="U1201">
        <f>_xlfn.NUMBERVALUE("-0.000265")</f>
        <v/>
      </c>
      <c r="V1201">
        <f>_xlfn.NUMBERVALUE("0.001103")</f>
        <v/>
      </c>
      <c r="W1201">
        <f>_xlfn.NUMBERVALUE("-0.001700")</f>
        <v/>
      </c>
      <c r="X1201">
        <f>_xlfn.NUMBERVALUE("0.820000")</f>
        <v/>
      </c>
      <c r="Y1201">
        <f>_xlfn.NUMBERVALUE("17.860000")</f>
        <v/>
      </c>
    </row>
    <row r="1202">
      <c r="A1202" s="1" t="n">
        <v>43746</v>
      </c>
      <c r="B1202">
        <f>_xlfn.NUMBERVALUE("0.000000")</f>
        <v/>
      </c>
      <c r="C1202" s="2">
        <f>_xlfn.NUMBERVALUE("-0.002199")</f>
        <v/>
      </c>
      <c r="D1202">
        <f>_xlfn.NUMBERVALUE("-0.000108")</f>
        <v/>
      </c>
      <c r="E1202">
        <f>_xlfn.NUMBERVALUE("-0.000576")</f>
        <v/>
      </c>
      <c r="F1202">
        <f>_xlfn.NUMBERVALUE("-0.001330")</f>
        <v/>
      </c>
      <c r="G1202">
        <f>_xlfn.NUMBERVALUE("-0.001461")</f>
        <v/>
      </c>
      <c r="H1202">
        <f>_xlfn.NUMBERVALUE("-0.031140")</f>
        <v/>
      </c>
      <c r="I1202">
        <f>_xlfn.NUMBERVALUE("-0.004009")</f>
        <v/>
      </c>
      <c r="J1202">
        <f>_xlfn.NUMBERVALUE("-0.000247")</f>
        <v/>
      </c>
      <c r="K1202">
        <f>_xlfn.NUMBERVALUE("-0.001640")</f>
        <v/>
      </c>
      <c r="L1202">
        <f>_xlfn.NUMBERVALUE("0.000500")</f>
        <v/>
      </c>
      <c r="M1202">
        <f>_xlfn.NUMBERVALUE("-0.002382")</f>
        <v/>
      </c>
      <c r="N1202">
        <f>_xlfn.NUMBERVALUE("-0.000874")</f>
        <v/>
      </c>
      <c r="O1202">
        <f>_xlfn.NUMBERVALUE("-0.000043")</f>
        <v/>
      </c>
      <c r="P1202">
        <f>_xlfn.NUMBERVALUE("0.000006")</f>
        <v/>
      </c>
      <c r="Q1202">
        <f>_xlfn.NUMBERVALUE("-0.000313")</f>
        <v/>
      </c>
      <c r="R1202">
        <f>_xlfn.NUMBERVALUE("-0.005023")</f>
        <v/>
      </c>
      <c r="S1202">
        <f>_xlfn.NUMBERVALUE("-0.002269")</f>
        <v/>
      </c>
      <c r="T1202">
        <f>_xlfn.NUMBERVALUE("0.000037")</f>
        <v/>
      </c>
      <c r="U1202">
        <f>_xlfn.NUMBERVALUE("0.000128")</f>
        <v/>
      </c>
      <c r="V1202">
        <f>_xlfn.NUMBERVALUE("-0.003539")</f>
        <v/>
      </c>
      <c r="W1202">
        <f>_xlfn.NUMBERVALUE("-0.014745")</f>
        <v/>
      </c>
      <c r="X1202">
        <f>_xlfn.NUMBERVALUE("2.420000")</f>
        <v/>
      </c>
      <c r="Y1202">
        <f>_xlfn.NUMBERVALUE("20.280000")</f>
        <v/>
      </c>
    </row>
    <row r="1203">
      <c r="A1203" s="1" t="n">
        <v>43747</v>
      </c>
      <c r="B1203">
        <f>_xlfn.NUMBERVALUE("0.000000")</f>
        <v/>
      </c>
      <c r="C1203" s="2">
        <f>_xlfn.NUMBERVALUE("0.001685")</f>
        <v/>
      </c>
      <c r="D1203">
        <f>_xlfn.NUMBERVALUE("0.000813")</f>
        <v/>
      </c>
      <c r="E1203">
        <f>_xlfn.NUMBERVALUE("0.000319")</f>
        <v/>
      </c>
      <c r="F1203">
        <f>_xlfn.NUMBERVALUE("0.001648")</f>
        <v/>
      </c>
      <c r="G1203">
        <f>_xlfn.NUMBERVALUE("0.000673")</f>
        <v/>
      </c>
      <c r="H1203">
        <f>_xlfn.NUMBERVALUE("0.031644")</f>
        <v/>
      </c>
      <c r="I1203">
        <f>_xlfn.NUMBERVALUE("0.002541")</f>
        <v/>
      </c>
      <c r="J1203">
        <f>_xlfn.NUMBERVALUE("-0.000086")</f>
        <v/>
      </c>
      <c r="K1203">
        <f>_xlfn.NUMBERVALUE("0.002448")</f>
        <v/>
      </c>
      <c r="L1203">
        <f>_xlfn.NUMBERVALUE("0.000341")</f>
        <v/>
      </c>
      <c r="M1203">
        <f>_xlfn.NUMBERVALUE("0.002687")</f>
        <v/>
      </c>
      <c r="N1203">
        <f>_xlfn.NUMBERVALUE("0.000007")</f>
        <v/>
      </c>
      <c r="O1203">
        <f>_xlfn.NUMBERVALUE("0.002488")</f>
        <v/>
      </c>
      <c r="P1203">
        <f>_xlfn.NUMBERVALUE("0.002366")</f>
        <v/>
      </c>
      <c r="Q1203">
        <f>_xlfn.NUMBERVALUE("0.002887")</f>
        <v/>
      </c>
      <c r="R1203">
        <f>_xlfn.NUMBERVALUE("0.000638")</f>
        <v/>
      </c>
      <c r="S1203">
        <f>_xlfn.NUMBERVALUE("-0.000697")</f>
        <v/>
      </c>
      <c r="T1203">
        <f>_xlfn.NUMBERVALUE("0.001613")</f>
        <v/>
      </c>
      <c r="U1203">
        <f>_xlfn.NUMBERVALUE("0.002360")</f>
        <v/>
      </c>
      <c r="V1203">
        <f>_xlfn.NUMBERVALUE("0.001274")</f>
        <v/>
      </c>
      <c r="W1203">
        <f>_xlfn.NUMBERVALUE("0.007293")</f>
        <v/>
      </c>
      <c r="X1203">
        <f>_xlfn.NUMBERVALUE("-1.640000")</f>
        <v/>
      </c>
      <c r="Y1203">
        <f>_xlfn.NUMBERVALUE("18.640000")</f>
        <v/>
      </c>
    </row>
    <row r="1204">
      <c r="A1204" s="1" t="n">
        <v>43748</v>
      </c>
      <c r="B1204">
        <f>_xlfn.NUMBERVALUE("0.000000")</f>
        <v/>
      </c>
      <c r="C1204" s="2">
        <f>_xlfn.NUMBERVALUE("-0.000788")</f>
        <v/>
      </c>
      <c r="D1204">
        <f>_xlfn.NUMBERVALUE("-0.001091")</f>
        <v/>
      </c>
      <c r="E1204">
        <f>_xlfn.NUMBERVALUE("0.000190")</f>
        <v/>
      </c>
      <c r="F1204">
        <f>_xlfn.NUMBERVALUE("0.000160")</f>
        <v/>
      </c>
      <c r="G1204">
        <f>_xlfn.NUMBERVALUE("0.000663")</f>
        <v/>
      </c>
      <c r="H1204">
        <f>_xlfn.NUMBERVALUE("-0.001006")</f>
        <v/>
      </c>
      <c r="I1204">
        <f>_xlfn.NUMBERVALUE("0.001003")</f>
        <v/>
      </c>
      <c r="J1204">
        <f>_xlfn.NUMBERVALUE("-0.000345")</f>
        <v/>
      </c>
      <c r="K1204">
        <f>_xlfn.NUMBERVALUE("-0.000317")</f>
        <v/>
      </c>
      <c r="L1204">
        <f>_xlfn.NUMBERVALUE("-0.002143")</f>
        <v/>
      </c>
      <c r="M1204">
        <f>_xlfn.NUMBERVALUE("-0.000936")</f>
        <v/>
      </c>
      <c r="N1204">
        <f>_xlfn.NUMBERVALUE("0.000011")</f>
        <v/>
      </c>
      <c r="O1204">
        <f>_xlfn.NUMBERVALUE("0.000304")</f>
        <v/>
      </c>
      <c r="P1204">
        <f>_xlfn.NUMBERVALUE("-0.000813")</f>
        <v/>
      </c>
      <c r="Q1204">
        <f>_xlfn.NUMBERVALUE("-0.000118")</f>
        <v/>
      </c>
      <c r="R1204">
        <f>_xlfn.NUMBERVALUE("0.001166")</f>
        <v/>
      </c>
      <c r="S1204">
        <f>_xlfn.NUMBERVALUE("0.001610")</f>
        <v/>
      </c>
      <c r="T1204">
        <f>_xlfn.NUMBERVALUE("0.000996")</f>
        <v/>
      </c>
      <c r="U1204">
        <f>_xlfn.NUMBERVALUE("0.001011")</f>
        <v/>
      </c>
      <c r="V1204">
        <f>_xlfn.NUMBERVALUE("0.000927")</f>
        <v/>
      </c>
      <c r="W1204">
        <f>_xlfn.NUMBERVALUE("0.005422")</f>
        <v/>
      </c>
      <c r="X1204">
        <f>_xlfn.NUMBERVALUE("-1.070000")</f>
        <v/>
      </c>
      <c r="Y1204">
        <f>_xlfn.NUMBERVALUE("17.570000")</f>
        <v/>
      </c>
    </row>
    <row r="1205">
      <c r="A1205" s="1" t="n">
        <v>43749</v>
      </c>
      <c r="B1205">
        <f>_xlfn.NUMBERVALUE("0.000000")</f>
        <v/>
      </c>
      <c r="C1205" s="2">
        <f>_xlfn.NUMBERVALUE("-0.000729")</f>
        <v/>
      </c>
      <c r="D1205">
        <f>_xlfn.NUMBERVALUE("-0.002686")</f>
        <v/>
      </c>
      <c r="E1205">
        <f>_xlfn.NUMBERVALUE("-0.004539")</f>
        <v/>
      </c>
      <c r="F1205">
        <f>_xlfn.NUMBERVALUE("-0.000851")</f>
        <v/>
      </c>
      <c r="G1205">
        <f>_xlfn.NUMBERVALUE("0.000120")</f>
        <v/>
      </c>
      <c r="H1205">
        <f>_xlfn.NUMBERVALUE("-0.004530")</f>
        <v/>
      </c>
      <c r="I1205">
        <f>_xlfn.NUMBERVALUE("-0.001841")</f>
        <v/>
      </c>
      <c r="J1205">
        <f>_xlfn.NUMBERVALUE("0.001164")</f>
        <v/>
      </c>
      <c r="K1205">
        <f>_xlfn.NUMBERVALUE("0.000070")</f>
        <v/>
      </c>
      <c r="L1205">
        <f>_xlfn.NUMBERVALUE("-0.001909")</f>
        <v/>
      </c>
      <c r="M1205">
        <f>_xlfn.NUMBERVALUE("-0.001631")</f>
        <v/>
      </c>
      <c r="N1205">
        <f>_xlfn.NUMBERVALUE("-0.000458")</f>
        <v/>
      </c>
      <c r="O1205">
        <f>_xlfn.NUMBERVALUE("-0.000773")</f>
        <v/>
      </c>
      <c r="P1205">
        <f>_xlfn.NUMBERVALUE("-0.002027")</f>
        <v/>
      </c>
      <c r="Q1205">
        <f>_xlfn.NUMBERVALUE("-0.004453")</f>
        <v/>
      </c>
      <c r="R1205">
        <f>_xlfn.NUMBERVALUE("0.000240")</f>
        <v/>
      </c>
      <c r="S1205">
        <f>_xlfn.NUMBERVALUE("0.003269")</f>
        <v/>
      </c>
      <c r="T1205">
        <f>_xlfn.NUMBERVALUE("0.000878")</f>
        <v/>
      </c>
      <c r="U1205">
        <f>_xlfn.NUMBERVALUE("-0.000256")</f>
        <v/>
      </c>
      <c r="V1205">
        <f>_xlfn.NUMBERVALUE("-0.000353")</f>
        <v/>
      </c>
      <c r="W1205">
        <f>_xlfn.NUMBERVALUE("0.014948")</f>
        <v/>
      </c>
      <c r="X1205">
        <f>_xlfn.NUMBERVALUE("-1.990000")</f>
        <v/>
      </c>
      <c r="Y1205">
        <f>_xlfn.NUMBERVALUE("15.580000")</f>
        <v/>
      </c>
    </row>
    <row r="1206">
      <c r="A1206" s="1" t="n">
        <v>43752</v>
      </c>
      <c r="B1206">
        <f>_xlfn.NUMBERVALUE("-0.025783")</f>
        <v/>
      </c>
      <c r="C1206" s="2">
        <f>_xlfn.NUMBERVALUE("0.003924")</f>
        <v/>
      </c>
      <c r="D1206">
        <f>_xlfn.NUMBERVALUE("0.003800")</f>
        <v/>
      </c>
      <c r="E1206">
        <f>_xlfn.NUMBERVALUE("0.002934")</f>
        <v/>
      </c>
      <c r="F1206">
        <f>_xlfn.NUMBERVALUE("0.000630")</f>
        <v/>
      </c>
      <c r="G1206">
        <f>_xlfn.NUMBERVALUE("0.000703")</f>
        <v/>
      </c>
      <c r="H1206">
        <f>_xlfn.NUMBERVALUE("0.003436")</f>
        <v/>
      </c>
      <c r="I1206">
        <f>_xlfn.NUMBERVALUE("0.004497")</f>
        <v/>
      </c>
      <c r="J1206">
        <f>_xlfn.NUMBERVALUE("-0.001190")</f>
        <v/>
      </c>
      <c r="K1206">
        <f>_xlfn.NUMBERVALUE("0.002783")</f>
        <v/>
      </c>
      <c r="L1206">
        <f>_xlfn.NUMBERVALUE("0.002345")</f>
        <v/>
      </c>
      <c r="M1206">
        <f>_xlfn.NUMBERVALUE("0.002261")</f>
        <v/>
      </c>
      <c r="N1206">
        <f>_xlfn.NUMBERVALUE("0.000056")</f>
        <v/>
      </c>
      <c r="O1206">
        <f>_xlfn.NUMBERVALUE("0.003944")</f>
        <v/>
      </c>
      <c r="P1206">
        <f>_xlfn.NUMBERVALUE("0.003088")</f>
        <v/>
      </c>
      <c r="Q1206">
        <f>_xlfn.NUMBERVALUE("0.004710")</f>
        <v/>
      </c>
      <c r="R1206">
        <f>_xlfn.NUMBERVALUE("0.003182")</f>
        <v/>
      </c>
      <c r="S1206">
        <f>_xlfn.NUMBERVALUE("0.002354")</f>
        <v/>
      </c>
      <c r="T1206">
        <f>_xlfn.NUMBERVALUE("0.005414")</f>
        <v/>
      </c>
      <c r="U1206">
        <f>_xlfn.NUMBERVALUE("0.003011")</f>
        <v/>
      </c>
      <c r="V1206">
        <f>_xlfn.NUMBERVALUE("0.003880")</f>
        <v/>
      </c>
      <c r="W1206">
        <f>_xlfn.NUMBERVALUE("-0.004741")</f>
        <v/>
      </c>
      <c r="X1206">
        <f>_xlfn.NUMBERVALUE("-1.010000")</f>
        <v/>
      </c>
      <c r="Y1206">
        <f>_xlfn.NUMBERVALUE("14.570000")</f>
        <v/>
      </c>
    </row>
    <row r="1207">
      <c r="A1207" s="1" t="n">
        <v>43753</v>
      </c>
      <c r="B1207">
        <f>_xlfn.NUMBERVALUE("0.000000")</f>
        <v/>
      </c>
      <c r="C1207" s="2">
        <f>_xlfn.NUMBERVALUE("0.000434")</f>
        <v/>
      </c>
      <c r="D1207">
        <f>_xlfn.NUMBERVALUE("0.001064")</f>
        <v/>
      </c>
      <c r="E1207">
        <f>_xlfn.NUMBERVALUE("-0.002392")</f>
        <v/>
      </c>
      <c r="F1207">
        <f>_xlfn.NUMBERVALUE("0.001497")</f>
        <v/>
      </c>
      <c r="G1207">
        <f>_xlfn.NUMBERVALUE("0.000376")</f>
        <v/>
      </c>
      <c r="H1207">
        <f>_xlfn.NUMBERVALUE("-0.000385")</f>
        <v/>
      </c>
      <c r="I1207">
        <f>_xlfn.NUMBERVALUE("0.001243")</f>
        <v/>
      </c>
      <c r="J1207">
        <f>_xlfn.NUMBERVALUE("-0.000022")</f>
        <v/>
      </c>
      <c r="K1207">
        <f>_xlfn.NUMBERVALUE("0.001181")</f>
        <v/>
      </c>
      <c r="L1207">
        <f>_xlfn.NUMBERVALUE("-0.001179")</f>
        <v/>
      </c>
      <c r="M1207">
        <f>_xlfn.NUMBERVALUE("0.001885")</f>
        <v/>
      </c>
      <c r="N1207">
        <f>_xlfn.NUMBERVALUE("0.000023")</f>
        <v/>
      </c>
      <c r="O1207">
        <f>_xlfn.NUMBERVALUE("0.002570")</f>
        <v/>
      </c>
      <c r="P1207">
        <f>_xlfn.NUMBERVALUE("0.000502")</f>
        <v/>
      </c>
      <c r="Q1207">
        <f>_xlfn.NUMBERVALUE("0.001792")</f>
        <v/>
      </c>
      <c r="R1207">
        <f>_xlfn.NUMBERVALUE("0.001320")</f>
        <v/>
      </c>
      <c r="S1207">
        <f>_xlfn.NUMBERVALUE("0.004650")</f>
        <v/>
      </c>
      <c r="T1207">
        <f>_xlfn.NUMBERVALUE("0.002606")</f>
        <v/>
      </c>
      <c r="U1207">
        <f>_xlfn.NUMBERVALUE("0.001105")</f>
        <v/>
      </c>
      <c r="V1207">
        <f>_xlfn.NUMBERVALUE("-0.000004")</f>
        <v/>
      </c>
      <c r="W1207">
        <f>_xlfn.NUMBERVALUE("0.010575")</f>
        <v/>
      </c>
      <c r="X1207">
        <f>_xlfn.NUMBERVALUE("-1.030000")</f>
        <v/>
      </c>
      <c r="Y1207">
        <f>_xlfn.NUMBERVALUE("13.540000")</f>
        <v/>
      </c>
    </row>
    <row r="1208">
      <c r="A1208" s="1" t="n">
        <v>43754</v>
      </c>
      <c r="B1208">
        <f>_xlfn.NUMBERVALUE("0.000000")</f>
        <v/>
      </c>
      <c r="C1208" s="2">
        <f>_xlfn.NUMBERVALUE("0.000693")</f>
        <v/>
      </c>
      <c r="D1208">
        <f>_xlfn.NUMBERVALUE("0.000241")</f>
        <v/>
      </c>
      <c r="E1208">
        <f>_xlfn.NUMBERVALUE("0.000783")</f>
        <v/>
      </c>
      <c r="F1208">
        <f>_xlfn.NUMBERVALUE("-0.000155")</f>
        <v/>
      </c>
      <c r="G1208">
        <f>_xlfn.NUMBERVALUE("0.000416")</f>
        <v/>
      </c>
      <c r="H1208">
        <f>_xlfn.NUMBERVALUE("-0.000332")</f>
        <v/>
      </c>
      <c r="I1208">
        <f>_xlfn.NUMBERVALUE("0.000395")</f>
        <v/>
      </c>
      <c r="J1208">
        <f>_xlfn.NUMBERVALUE("0.000301")</f>
        <v/>
      </c>
      <c r="K1208">
        <f>_xlfn.NUMBERVALUE("0.000977")</f>
        <v/>
      </c>
      <c r="L1208">
        <f>_xlfn.NUMBERVALUE("0.000230")</f>
        <v/>
      </c>
      <c r="M1208">
        <f>_xlfn.NUMBERVALUE("0.000314")</f>
        <v/>
      </c>
      <c r="N1208">
        <f>_xlfn.NUMBERVALUE("-0.000697")</f>
        <v/>
      </c>
      <c r="O1208">
        <f>_xlfn.NUMBERVALUE("0.000625")</f>
        <v/>
      </c>
      <c r="P1208">
        <f>_xlfn.NUMBERVALUE("0.001111")</f>
        <v/>
      </c>
      <c r="Q1208">
        <f>_xlfn.NUMBERVALUE("0.000212")</f>
        <v/>
      </c>
      <c r="R1208">
        <f>_xlfn.NUMBERVALUE("0.001262")</f>
        <v/>
      </c>
      <c r="S1208">
        <f>_xlfn.NUMBERVALUE("0.000478")</f>
        <v/>
      </c>
      <c r="T1208">
        <f>_xlfn.NUMBERVALUE("-0.000606")</f>
        <v/>
      </c>
      <c r="U1208">
        <f>_xlfn.NUMBERVALUE("0.000653")</f>
        <v/>
      </c>
      <c r="V1208">
        <f>_xlfn.NUMBERVALUE("0.000595")</f>
        <v/>
      </c>
      <c r="W1208">
        <f>_xlfn.NUMBERVALUE("-0.002641")</f>
        <v/>
      </c>
      <c r="X1208">
        <f>_xlfn.NUMBERVALUE("0.140000")</f>
        <v/>
      </c>
      <c r="Y1208">
        <f>_xlfn.NUMBERVALUE("13.680000")</f>
        <v/>
      </c>
    </row>
    <row r="1209">
      <c r="A1209" s="1" t="n">
        <v>43755</v>
      </c>
      <c r="B1209">
        <f>_xlfn.NUMBERVALUE("0.000000")</f>
        <v/>
      </c>
      <c r="C1209" s="2">
        <f>_xlfn.NUMBERVALUE("0.000593")</f>
        <v/>
      </c>
      <c r="D1209">
        <f>_xlfn.NUMBERVALUE("0.000426")</f>
        <v/>
      </c>
      <c r="E1209">
        <f>_xlfn.NUMBERVALUE("0.000961")</f>
        <v/>
      </c>
      <c r="F1209">
        <f>_xlfn.NUMBERVALUE("0.001004")</f>
        <v/>
      </c>
      <c r="G1209">
        <f>_xlfn.NUMBERVALUE("0.001421")</f>
        <v/>
      </c>
      <c r="H1209">
        <f>_xlfn.NUMBERVALUE("-0.000116")</f>
        <v/>
      </c>
      <c r="I1209">
        <f>_xlfn.NUMBERVALUE("-0.000910")</f>
        <v/>
      </c>
      <c r="J1209">
        <f>_xlfn.NUMBERVALUE("0.000545")</f>
        <v/>
      </c>
      <c r="K1209">
        <f>_xlfn.NUMBERVALUE("0.003386")</f>
        <v/>
      </c>
      <c r="L1209">
        <f>_xlfn.NUMBERVALUE("0.000259")</f>
        <v/>
      </c>
      <c r="M1209">
        <f>_xlfn.NUMBERVALUE("0.001060")</f>
        <v/>
      </c>
      <c r="N1209">
        <f>_xlfn.NUMBERVALUE("0.000809")</f>
        <v/>
      </c>
      <c r="O1209">
        <f>_xlfn.NUMBERVALUE("0.002018")</f>
        <v/>
      </c>
      <c r="P1209">
        <f>_xlfn.NUMBERVALUE("0.001883")</f>
        <v/>
      </c>
      <c r="Q1209">
        <f>_xlfn.NUMBERVALUE("-0.000095")</f>
        <v/>
      </c>
      <c r="R1209">
        <f>_xlfn.NUMBERVALUE("0.002398")</f>
        <v/>
      </c>
      <c r="S1209">
        <f>_xlfn.NUMBERVALUE("-0.000139")</f>
        <v/>
      </c>
      <c r="T1209">
        <f>_xlfn.NUMBERVALUE("0.000981")</f>
        <v/>
      </c>
      <c r="U1209">
        <f>_xlfn.NUMBERVALUE("0.000176")</f>
        <v/>
      </c>
      <c r="V1209">
        <f>_xlfn.NUMBERVALUE("0.000341")</f>
        <v/>
      </c>
      <c r="W1209">
        <f>_xlfn.NUMBERVALUE("0.003687")</f>
        <v/>
      </c>
      <c r="X1209">
        <f>_xlfn.NUMBERVALUE("0.110000")</f>
        <v/>
      </c>
      <c r="Y1209">
        <f>_xlfn.NUMBERVALUE("13.790000")</f>
        <v/>
      </c>
    </row>
    <row r="1210">
      <c r="A1210" s="1" t="n">
        <v>43756</v>
      </c>
      <c r="B1210">
        <f>_xlfn.NUMBERVALUE("0.000000")</f>
        <v/>
      </c>
      <c r="C1210" s="2">
        <f>_xlfn.NUMBERVALUE("-0.000772")</f>
        <v/>
      </c>
      <c r="D1210">
        <f>_xlfn.NUMBERVALUE("0.001593")</f>
        <v/>
      </c>
      <c r="E1210">
        <f>_xlfn.NUMBERVALUE("-0.000536")</f>
        <v/>
      </c>
      <c r="F1210">
        <f>_xlfn.NUMBERVALUE("0.000215")</f>
        <v/>
      </c>
      <c r="G1210">
        <f>_xlfn.NUMBERVALUE("-0.000396")</f>
        <v/>
      </c>
      <c r="H1210">
        <f>_xlfn.NUMBERVALUE("0.000396")</f>
        <v/>
      </c>
      <c r="I1210">
        <f>_xlfn.NUMBERVALUE("0.000961")</f>
        <v/>
      </c>
      <c r="J1210">
        <f>_xlfn.NUMBERVALUE("0.000663")</f>
        <v/>
      </c>
      <c r="K1210">
        <f>_xlfn.NUMBERVALUE("0.000346")</f>
        <v/>
      </c>
      <c r="L1210">
        <f>_xlfn.NUMBERVALUE("-0.000206")</f>
        <v/>
      </c>
      <c r="M1210">
        <f>_xlfn.NUMBERVALUE("0.000141")</f>
        <v/>
      </c>
      <c r="N1210">
        <f>_xlfn.NUMBERVALUE("0.001175")</f>
        <v/>
      </c>
      <c r="O1210">
        <f>_xlfn.NUMBERVALUE("0.001853")</f>
        <v/>
      </c>
      <c r="P1210">
        <f>_xlfn.NUMBERVALUE("-0.000234")</f>
        <v/>
      </c>
      <c r="Q1210">
        <f>_xlfn.NUMBERVALUE("0.000020")</f>
        <v/>
      </c>
      <c r="R1210">
        <f>_xlfn.NUMBERVALUE("-0.000189")</f>
        <v/>
      </c>
      <c r="S1210">
        <f>_xlfn.NUMBERVALUE("0.000333")</f>
        <v/>
      </c>
      <c r="T1210">
        <f>_xlfn.NUMBERVALUE("-0.000156")</f>
        <v/>
      </c>
      <c r="U1210">
        <f>_xlfn.NUMBERVALUE("0.000323")</f>
        <v/>
      </c>
      <c r="V1210">
        <f>_xlfn.NUMBERVALUE("0.000401")</f>
        <v/>
      </c>
      <c r="W1210">
        <f>_xlfn.NUMBERVALUE("-0.003039")</f>
        <v/>
      </c>
      <c r="X1210">
        <f>_xlfn.NUMBERVALUE("0.460000")</f>
        <v/>
      </c>
      <c r="Y1210">
        <f>_xlfn.NUMBERVALUE("14.250000")</f>
        <v/>
      </c>
    </row>
    <row r="1211">
      <c r="A1211" s="1" t="n">
        <v>43759</v>
      </c>
      <c r="B1211">
        <f>_xlfn.NUMBERVALUE("0.000000")</f>
        <v/>
      </c>
      <c r="C1211" s="2">
        <f>_xlfn.NUMBERVALUE("0.001555")</f>
        <v/>
      </c>
      <c r="D1211">
        <f>_xlfn.NUMBERVALUE("0.000766")</f>
        <v/>
      </c>
      <c r="E1211">
        <f>_xlfn.NUMBERVALUE("0.001729")</f>
        <v/>
      </c>
      <c r="F1211">
        <f>_xlfn.NUMBERVALUE("0.001356")</f>
        <v/>
      </c>
      <c r="G1211">
        <f>_xlfn.NUMBERVALUE("0.001876")</f>
        <v/>
      </c>
      <c r="H1211">
        <f>_xlfn.NUMBERVALUE("0.000181")</f>
        <v/>
      </c>
      <c r="I1211">
        <f>_xlfn.NUMBERVALUE("0.000014")</f>
        <v/>
      </c>
      <c r="J1211">
        <f>_xlfn.NUMBERVALUE("0.000637")</f>
        <v/>
      </c>
      <c r="K1211">
        <f>_xlfn.NUMBERVALUE("0.002881")</f>
        <v/>
      </c>
      <c r="L1211">
        <f>_xlfn.NUMBERVALUE("-0.000035")</f>
        <v/>
      </c>
      <c r="M1211">
        <f>_xlfn.NUMBERVALUE("0.001975")</f>
        <v/>
      </c>
      <c r="N1211">
        <f>_xlfn.NUMBERVALUE("0.002118")</f>
        <v/>
      </c>
      <c r="O1211">
        <f>_xlfn.NUMBERVALUE("-0.000874")</f>
        <v/>
      </c>
      <c r="P1211">
        <f>_xlfn.NUMBERVALUE("0.000037")</f>
        <v/>
      </c>
      <c r="Q1211">
        <f>_xlfn.NUMBERVALUE("0.000828")</f>
        <v/>
      </c>
      <c r="R1211">
        <f>_xlfn.NUMBERVALUE("0.001221")</f>
        <v/>
      </c>
      <c r="S1211">
        <f>_xlfn.NUMBERVALUE("0.001183")</f>
        <v/>
      </c>
      <c r="T1211">
        <f>_xlfn.NUMBERVALUE("0.001171")</f>
        <v/>
      </c>
      <c r="U1211">
        <f>_xlfn.NUMBERVALUE("0.001713")</f>
        <v/>
      </c>
      <c r="V1211">
        <f>_xlfn.NUMBERVALUE("0.000862")</f>
        <v/>
      </c>
      <c r="W1211">
        <f>_xlfn.NUMBERVALUE("0.005025")</f>
        <v/>
      </c>
      <c r="X1211">
        <f>_xlfn.NUMBERVALUE("-0.250000")</f>
        <v/>
      </c>
      <c r="Y1211">
        <f>_xlfn.NUMBERVALUE("14.000000")</f>
        <v/>
      </c>
    </row>
    <row r="1212">
      <c r="A1212" s="1" t="n">
        <v>43760</v>
      </c>
      <c r="B1212">
        <f>_xlfn.NUMBERVALUE("0.000000")</f>
        <v/>
      </c>
      <c r="C1212" s="2">
        <f>_xlfn.NUMBERVALUE("0.001401")</f>
        <v/>
      </c>
      <c r="D1212">
        <f>_xlfn.NUMBERVALUE("0.000351")</f>
        <v/>
      </c>
      <c r="E1212">
        <f>_xlfn.NUMBERVALUE("0.000323")</f>
        <v/>
      </c>
      <c r="F1212">
        <f>_xlfn.NUMBERVALUE("0.001435")</f>
        <v/>
      </c>
      <c r="G1212">
        <f>_xlfn.NUMBERVALUE("-0.000604")</f>
        <v/>
      </c>
      <c r="H1212">
        <f>_xlfn.NUMBERVALUE("-0.003448")</f>
        <v/>
      </c>
      <c r="I1212">
        <f>_xlfn.NUMBERVALUE("0.000645")</f>
        <v/>
      </c>
      <c r="J1212">
        <f>_xlfn.NUMBERVALUE("-0.000044")</f>
        <v/>
      </c>
      <c r="K1212">
        <f>_xlfn.NUMBERVALUE("0.002483")</f>
        <v/>
      </c>
      <c r="L1212">
        <f>_xlfn.NUMBERVALUE("0.000498")</f>
        <v/>
      </c>
      <c r="M1212">
        <f>_xlfn.NUMBERVALUE("-0.000241")</f>
        <v/>
      </c>
      <c r="N1212">
        <f>_xlfn.NUMBERVALUE("-0.000570")</f>
        <v/>
      </c>
      <c r="O1212">
        <f>_xlfn.NUMBERVALUE("-0.002864")</f>
        <v/>
      </c>
      <c r="P1212">
        <f>_xlfn.NUMBERVALUE("0.000774")</f>
        <v/>
      </c>
      <c r="Q1212">
        <f>_xlfn.NUMBERVALUE("-0.000800")</f>
        <v/>
      </c>
      <c r="R1212">
        <f>_xlfn.NUMBERVALUE("0.000434")</f>
        <v/>
      </c>
      <c r="S1212">
        <f>_xlfn.NUMBERVALUE("0.000289")</f>
        <v/>
      </c>
      <c r="T1212">
        <f>_xlfn.NUMBERVALUE("0.000535")</f>
        <v/>
      </c>
      <c r="U1212">
        <f>_xlfn.NUMBERVALUE("0.000479")</f>
        <v/>
      </c>
      <c r="V1212">
        <f>_xlfn.NUMBERVALUE("0.000529")</f>
        <v/>
      </c>
      <c r="W1212">
        <f>_xlfn.NUMBERVALUE("-0.002800")</f>
        <v/>
      </c>
      <c r="X1212">
        <f>_xlfn.NUMBERVALUE("0.460000")</f>
        <v/>
      </c>
      <c r="Y1212">
        <f>_xlfn.NUMBERVALUE("14.460000")</f>
        <v/>
      </c>
    </row>
    <row r="1213">
      <c r="A1213" s="1" t="n">
        <v>43761</v>
      </c>
      <c r="B1213">
        <f>_xlfn.NUMBERVALUE("0.000000")</f>
        <v/>
      </c>
      <c r="C1213" s="2">
        <f>_xlfn.NUMBERVALUE("0.000907")</f>
        <v/>
      </c>
      <c r="D1213">
        <f>_xlfn.NUMBERVALUE("0.000731")</f>
        <v/>
      </c>
      <c r="E1213">
        <f>_xlfn.NUMBERVALUE("0.000151")</f>
        <v/>
      </c>
      <c r="F1213">
        <f>_xlfn.NUMBERVALUE("0.001736")</f>
        <v/>
      </c>
      <c r="G1213">
        <f>_xlfn.NUMBERVALUE("0.001652")</f>
        <v/>
      </c>
      <c r="H1213">
        <f>_xlfn.NUMBERVALUE("0.004142")</f>
        <v/>
      </c>
      <c r="I1213">
        <f>_xlfn.NUMBERVALUE("0.000687")</f>
        <v/>
      </c>
      <c r="J1213">
        <f>_xlfn.NUMBERVALUE("0.000691")</f>
        <v/>
      </c>
      <c r="K1213">
        <f>_xlfn.NUMBERVALUE("0.002180")</f>
        <v/>
      </c>
      <c r="L1213">
        <f>_xlfn.NUMBERVALUE("0.000314")</f>
        <v/>
      </c>
      <c r="M1213">
        <f>_xlfn.NUMBERVALUE("0.000431")</f>
        <v/>
      </c>
      <c r="N1213">
        <f>_xlfn.NUMBERVALUE("0.000710")</f>
        <v/>
      </c>
      <c r="O1213">
        <f>_xlfn.NUMBERVALUE("0.001174")</f>
        <v/>
      </c>
      <c r="P1213">
        <f>_xlfn.NUMBERVALUE("0.000473")</f>
        <v/>
      </c>
      <c r="Q1213">
        <f>_xlfn.NUMBERVALUE("0.001633")</f>
        <v/>
      </c>
      <c r="R1213">
        <f>_xlfn.NUMBERVALUE("0.001551")</f>
        <v/>
      </c>
      <c r="S1213">
        <f>_xlfn.NUMBERVALUE("-0.000126")</f>
        <v/>
      </c>
      <c r="T1213">
        <f>_xlfn.NUMBERVALUE("0.000338")</f>
        <v/>
      </c>
      <c r="U1213">
        <f>_xlfn.NUMBERVALUE("0.001202")</f>
        <v/>
      </c>
      <c r="V1213">
        <f>_xlfn.NUMBERVALUE("0.000737")</f>
        <v/>
      </c>
      <c r="W1213">
        <f>_xlfn.NUMBERVALUE("0.001337")</f>
        <v/>
      </c>
      <c r="X1213">
        <f>_xlfn.NUMBERVALUE("-0.450000")</f>
        <v/>
      </c>
      <c r="Y1213">
        <f>_xlfn.NUMBERVALUE("14.010000")</f>
        <v/>
      </c>
    </row>
    <row r="1214">
      <c r="A1214" s="1" t="n">
        <v>43762</v>
      </c>
      <c r="B1214">
        <f>_xlfn.NUMBERVALUE("0.000000")</f>
        <v/>
      </c>
      <c r="C1214" s="2">
        <f>_xlfn.NUMBERVALUE("0.001752")</f>
        <v/>
      </c>
      <c r="D1214">
        <f>_xlfn.NUMBERVALUE("0.000904")</f>
        <v/>
      </c>
      <c r="E1214">
        <f>_xlfn.NUMBERVALUE("-0.000129")</f>
        <v/>
      </c>
      <c r="F1214">
        <f>_xlfn.NUMBERVALUE("-0.000843")</f>
        <v/>
      </c>
      <c r="G1214">
        <f>_xlfn.NUMBERVALUE("-0.000906")</f>
        <v/>
      </c>
      <c r="H1214">
        <f>_xlfn.NUMBERVALUE("0.000384")</f>
        <v/>
      </c>
      <c r="I1214">
        <f>_xlfn.NUMBERVALUE("0.001223")</f>
        <v/>
      </c>
      <c r="J1214">
        <f>_xlfn.NUMBERVALUE("0.000119")</f>
        <v/>
      </c>
      <c r="K1214">
        <f>_xlfn.NUMBERVALUE("0.000539")</f>
        <v/>
      </c>
      <c r="L1214">
        <f>_xlfn.NUMBERVALUE("0.000011")</f>
        <v/>
      </c>
      <c r="M1214">
        <f>_xlfn.NUMBERVALUE("0.001248")</f>
        <v/>
      </c>
      <c r="N1214">
        <f>_xlfn.NUMBERVALUE("-0.001377")</f>
        <v/>
      </c>
      <c r="O1214">
        <f>_xlfn.NUMBERVALUE("0.000716")</f>
        <v/>
      </c>
      <c r="P1214">
        <f>_xlfn.NUMBERVALUE("0.000041")</f>
        <v/>
      </c>
      <c r="Q1214">
        <f>_xlfn.NUMBERVALUE("0.001445")</f>
        <v/>
      </c>
      <c r="R1214">
        <f>_xlfn.NUMBERVALUE("-0.000655")</f>
        <v/>
      </c>
      <c r="S1214">
        <f>_xlfn.NUMBERVALUE("0.000851")</f>
        <v/>
      </c>
      <c r="T1214">
        <f>_xlfn.NUMBERVALUE("-0.000652")</f>
        <v/>
      </c>
      <c r="U1214">
        <f>_xlfn.NUMBERVALUE("0.000831")</f>
        <v/>
      </c>
      <c r="V1214">
        <f>_xlfn.NUMBERVALUE("0.000951")</f>
        <v/>
      </c>
      <c r="W1214">
        <f>_xlfn.NUMBERVALUE("0.002504")</f>
        <v/>
      </c>
      <c r="X1214">
        <f>_xlfn.NUMBERVALUE("-0.300000")</f>
        <v/>
      </c>
      <c r="Y1214">
        <f>_xlfn.NUMBERVALUE("13.710000")</f>
        <v/>
      </c>
    </row>
    <row r="1215">
      <c r="A1215" s="1" t="n">
        <v>43763</v>
      </c>
      <c r="B1215">
        <f>_xlfn.NUMBERVALUE("0.020340")</f>
        <v/>
      </c>
      <c r="C1215" s="2">
        <f>_xlfn.NUMBERVALUE("0.000102")</f>
        <v/>
      </c>
      <c r="D1215">
        <f>_xlfn.NUMBERVALUE("0.000275")</f>
        <v/>
      </c>
      <c r="E1215">
        <f>_xlfn.NUMBERVALUE("0.000002")</f>
        <v/>
      </c>
      <c r="F1215">
        <f>_xlfn.NUMBERVALUE("0.001693")</f>
        <v/>
      </c>
      <c r="G1215">
        <f>_xlfn.NUMBERVALUE("0.001705")</f>
        <v/>
      </c>
      <c r="H1215">
        <f>_xlfn.NUMBERVALUE("-0.000296")</f>
        <v/>
      </c>
      <c r="I1215">
        <f>_xlfn.NUMBERVALUE("0.000752")</f>
        <v/>
      </c>
      <c r="J1215">
        <f>_xlfn.NUMBERVALUE("0.001304")</f>
        <v/>
      </c>
      <c r="K1215">
        <f>_xlfn.NUMBERVALUE("-0.002548")</f>
        <v/>
      </c>
      <c r="L1215">
        <f>_xlfn.NUMBERVALUE("-0.000107")</f>
        <v/>
      </c>
      <c r="M1215">
        <f>_xlfn.NUMBERVALUE("0.000468")</f>
        <v/>
      </c>
      <c r="N1215">
        <f>_xlfn.NUMBERVALUE("0.001147")</f>
        <v/>
      </c>
      <c r="O1215">
        <f>_xlfn.NUMBERVALUE("0.000277")</f>
        <v/>
      </c>
      <c r="P1215">
        <f>_xlfn.NUMBERVALUE("0.000881")</f>
        <v/>
      </c>
      <c r="Q1215">
        <f>_xlfn.NUMBERVALUE("0.000595")</f>
        <v/>
      </c>
      <c r="R1215">
        <f>_xlfn.NUMBERVALUE("-0.000384")</f>
        <v/>
      </c>
      <c r="S1215">
        <f>_xlfn.NUMBERVALUE("0.001039")</f>
        <v/>
      </c>
      <c r="T1215">
        <f>_xlfn.NUMBERVALUE("-0.000233")</f>
        <v/>
      </c>
      <c r="U1215">
        <f>_xlfn.NUMBERVALUE("0.003089")</f>
        <v/>
      </c>
      <c r="V1215">
        <f>_xlfn.NUMBERVALUE("0.000337")</f>
        <v/>
      </c>
      <c r="W1215">
        <f>_xlfn.NUMBERVALUE("0.004628")</f>
        <v/>
      </c>
      <c r="X1215">
        <f>_xlfn.NUMBERVALUE("-1.060000")</f>
        <v/>
      </c>
      <c r="Y1215">
        <f>_xlfn.NUMBERVALUE("12.650000")</f>
        <v/>
      </c>
    </row>
    <row r="1216">
      <c r="A1216" s="1" t="n">
        <v>43766</v>
      </c>
      <c r="B1216">
        <f>_xlfn.NUMBERVALUE("0.000000")</f>
        <v/>
      </c>
      <c r="C1216" s="2">
        <f>_xlfn.NUMBERVALUE("0.000459")</f>
        <v/>
      </c>
      <c r="D1216">
        <f>_xlfn.NUMBERVALUE("0.000250")</f>
        <v/>
      </c>
      <c r="E1216">
        <f>_xlfn.NUMBERVALUE("0.000313")</f>
        <v/>
      </c>
      <c r="F1216">
        <f>_xlfn.NUMBERVALUE("-0.000775")</f>
        <v/>
      </c>
      <c r="G1216">
        <f>_xlfn.NUMBERVALUE("-0.000044")</f>
        <v/>
      </c>
      <c r="H1216">
        <f>_xlfn.NUMBERVALUE("-0.000176")</f>
        <v/>
      </c>
      <c r="I1216">
        <f>_xlfn.NUMBERVALUE("0.000134")</f>
        <v/>
      </c>
      <c r="J1216">
        <f>_xlfn.NUMBERVALUE("-0.000543")</f>
        <v/>
      </c>
      <c r="K1216">
        <f>_xlfn.NUMBERVALUE("0.005288")</f>
        <v/>
      </c>
      <c r="L1216">
        <f>_xlfn.NUMBERVALUE("-0.000059")</f>
        <v/>
      </c>
      <c r="M1216">
        <f>_xlfn.NUMBERVALUE("0.000462")</f>
        <v/>
      </c>
      <c r="N1216">
        <f>_xlfn.NUMBERVALUE("-0.002795")</f>
        <v/>
      </c>
      <c r="O1216">
        <f>_xlfn.NUMBERVALUE("0.000450")</f>
        <v/>
      </c>
      <c r="P1216">
        <f>_xlfn.NUMBERVALUE("0.000718")</f>
        <v/>
      </c>
      <c r="Q1216">
        <f>_xlfn.NUMBERVALUE("0.000189")</f>
        <v/>
      </c>
      <c r="R1216">
        <f>_xlfn.NUMBERVALUE("-0.000409")</f>
        <v/>
      </c>
      <c r="S1216">
        <f>_xlfn.NUMBERVALUE("0.000798")</f>
        <v/>
      </c>
      <c r="T1216">
        <f>_xlfn.NUMBERVALUE("-0.001571")</f>
        <v/>
      </c>
      <c r="U1216">
        <f>_xlfn.NUMBERVALUE("0.000939")</f>
        <v/>
      </c>
      <c r="V1216">
        <f>_xlfn.NUMBERVALUE("0.000131")</f>
        <v/>
      </c>
      <c r="W1216">
        <f>_xlfn.NUMBERVALUE("0.005535")</f>
        <v/>
      </c>
      <c r="X1216">
        <f>_xlfn.NUMBERVALUE("0.460000")</f>
        <v/>
      </c>
      <c r="Y1216">
        <f>_xlfn.NUMBERVALUE("13.110000")</f>
        <v/>
      </c>
    </row>
    <row r="1217">
      <c r="A1217" s="1" t="n">
        <v>43767</v>
      </c>
      <c r="B1217">
        <f>_xlfn.NUMBERVALUE("-0.001772")</f>
        <v/>
      </c>
      <c r="C1217" s="2">
        <f>_xlfn.NUMBERVALUE("0.000266")</f>
        <v/>
      </c>
      <c r="D1217">
        <f>_xlfn.NUMBERVALUE("0.000207")</f>
        <v/>
      </c>
      <c r="E1217">
        <f>_xlfn.NUMBERVALUE("-0.000001")</f>
        <v/>
      </c>
      <c r="F1217">
        <f>_xlfn.NUMBERVALUE("0.000036")</f>
        <v/>
      </c>
      <c r="G1217">
        <f>_xlfn.NUMBERVALUE("-0.001224")</f>
        <v/>
      </c>
      <c r="H1217">
        <f>_xlfn.NUMBERVALUE("0.000282")</f>
        <v/>
      </c>
      <c r="I1217">
        <f>_xlfn.NUMBERVALUE("0.000066")</f>
        <v/>
      </c>
      <c r="J1217">
        <f>_xlfn.NUMBERVALUE("0.000044")</f>
        <v/>
      </c>
      <c r="K1217">
        <f>_xlfn.NUMBERVALUE("0.002953")</f>
        <v/>
      </c>
      <c r="L1217">
        <f>_xlfn.NUMBERVALUE("-0.000259")</f>
        <v/>
      </c>
      <c r="M1217">
        <f>_xlfn.NUMBERVALUE("0.000101")</f>
        <v/>
      </c>
      <c r="N1217">
        <f>_xlfn.NUMBERVALUE("0.002537")</f>
        <v/>
      </c>
      <c r="O1217">
        <f>_xlfn.NUMBERVALUE("0.000540")</f>
        <v/>
      </c>
      <c r="P1217">
        <f>_xlfn.NUMBERVALUE("-0.000069")</f>
        <v/>
      </c>
      <c r="Q1217">
        <f>_xlfn.NUMBERVALUE("0.000279")</f>
        <v/>
      </c>
      <c r="R1217">
        <f>_xlfn.NUMBERVALUE("-0.000618")</f>
        <v/>
      </c>
      <c r="S1217">
        <f>_xlfn.NUMBERVALUE("0.000705")</f>
        <v/>
      </c>
      <c r="T1217">
        <f>_xlfn.NUMBERVALUE("0.001378")</f>
        <v/>
      </c>
      <c r="U1217">
        <f>_xlfn.NUMBERVALUE("0.000164")</f>
        <v/>
      </c>
      <c r="V1217">
        <f>_xlfn.NUMBERVALUE("0.000126")</f>
        <v/>
      </c>
      <c r="W1217">
        <f>_xlfn.NUMBERVALUE("-0.001187")</f>
        <v/>
      </c>
      <c r="X1217">
        <f>_xlfn.NUMBERVALUE("0.090000")</f>
        <v/>
      </c>
      <c r="Y1217">
        <f>_xlfn.NUMBERVALUE("13.200000")</f>
        <v/>
      </c>
    </row>
    <row r="1218">
      <c r="A1218" s="1" t="n">
        <v>43768</v>
      </c>
      <c r="B1218">
        <f>_xlfn.NUMBERVALUE("0.000414")</f>
        <v/>
      </c>
      <c r="C1218" s="2">
        <f>_xlfn.NUMBERVALUE("-0.000040")</f>
        <v/>
      </c>
      <c r="D1218">
        <f>_xlfn.NUMBERVALUE("0.000003")</f>
        <v/>
      </c>
      <c r="E1218">
        <f>_xlfn.NUMBERVALUE("-0.000004")</f>
        <v/>
      </c>
      <c r="F1218">
        <f>_xlfn.NUMBERVALUE("0.001684")</f>
        <v/>
      </c>
      <c r="G1218">
        <f>_xlfn.NUMBERVALUE("0.001781")</f>
        <v/>
      </c>
      <c r="H1218">
        <f>_xlfn.NUMBERVALUE("-0.001202")</f>
        <v/>
      </c>
      <c r="I1218">
        <f>_xlfn.NUMBERVALUE("0.000080")</f>
        <v/>
      </c>
      <c r="J1218">
        <f>_xlfn.NUMBERVALUE("-0.000018")</f>
        <v/>
      </c>
      <c r="K1218">
        <f>_xlfn.NUMBERVALUE("0.002192")</f>
        <v/>
      </c>
      <c r="L1218">
        <f>_xlfn.NUMBERVALUE("-0.000701")</f>
        <v/>
      </c>
      <c r="M1218">
        <f>_xlfn.NUMBERVALUE("0.000011")</f>
        <v/>
      </c>
      <c r="N1218">
        <f>_xlfn.NUMBERVALUE("0.002878")</f>
        <v/>
      </c>
      <c r="O1218">
        <f>_xlfn.NUMBERVALUE("-0.001197")</f>
        <v/>
      </c>
      <c r="P1218">
        <f>_xlfn.NUMBERVALUE("0.000158")</f>
        <v/>
      </c>
      <c r="Q1218">
        <f>_xlfn.NUMBERVALUE("0.000324")</f>
        <v/>
      </c>
      <c r="R1218">
        <f>_xlfn.NUMBERVALUE("0.001203")</f>
        <v/>
      </c>
      <c r="S1218">
        <f>_xlfn.NUMBERVALUE("-0.000258")</f>
        <v/>
      </c>
      <c r="T1218">
        <f>_xlfn.NUMBERVALUE("-0.000751")</f>
        <v/>
      </c>
      <c r="U1218">
        <f>_xlfn.NUMBERVALUE("0.000929")</f>
        <v/>
      </c>
      <c r="V1218">
        <f>_xlfn.NUMBERVALUE("0.000034")</f>
        <v/>
      </c>
      <c r="W1218">
        <f>_xlfn.NUMBERVALUE("0.003168")</f>
        <v/>
      </c>
      <c r="X1218">
        <f>_xlfn.NUMBERVALUE("-0.870000")</f>
        <v/>
      </c>
      <c r="Y1218">
        <f>_xlfn.NUMBERVALUE("12.330000")</f>
        <v/>
      </c>
    </row>
    <row r="1219">
      <c r="A1219" s="1" t="n">
        <v>43769</v>
      </c>
      <c r="B1219">
        <f>_xlfn.NUMBERVALUE("-0.000605")</f>
        <v/>
      </c>
      <c r="C1219" s="2">
        <f>_xlfn.NUMBERVALUE("0.000049")</f>
        <v/>
      </c>
      <c r="D1219">
        <f>_xlfn.NUMBERVALUE("-0.000002")</f>
        <v/>
      </c>
      <c r="E1219">
        <f>_xlfn.NUMBERVALUE("-0.000005")</f>
        <v/>
      </c>
      <c r="F1219">
        <f>_xlfn.NUMBERVALUE("0.000819")</f>
        <v/>
      </c>
      <c r="G1219">
        <f>_xlfn.NUMBERVALUE("-0.001805")</f>
        <v/>
      </c>
      <c r="H1219">
        <f>_xlfn.NUMBERVALUE("0.002259")</f>
        <v/>
      </c>
      <c r="I1219">
        <f>_xlfn.NUMBERVALUE("0.000394")</f>
        <v/>
      </c>
      <c r="J1219">
        <f>_xlfn.NUMBERVALUE("-0.000195")</f>
        <v/>
      </c>
      <c r="K1219">
        <f>_xlfn.NUMBERVALUE("-0.002207")</f>
        <v/>
      </c>
      <c r="L1219">
        <f>_xlfn.NUMBERVALUE("-0.000833")</f>
        <v/>
      </c>
      <c r="M1219">
        <f>_xlfn.NUMBERVALUE("0.000359")</f>
        <v/>
      </c>
      <c r="N1219">
        <f>_xlfn.NUMBERVALUE("0.001452")</f>
        <v/>
      </c>
      <c r="O1219">
        <f>_xlfn.NUMBERVALUE("0.001588")</f>
        <v/>
      </c>
      <c r="P1219">
        <f>_xlfn.NUMBERVALUE("0.000376")</f>
        <v/>
      </c>
      <c r="Q1219">
        <f>_xlfn.NUMBERVALUE("0.000168")</f>
        <v/>
      </c>
      <c r="R1219">
        <f>_xlfn.NUMBERVALUE("0.000195")</f>
        <v/>
      </c>
      <c r="S1219">
        <f>_xlfn.NUMBERVALUE("0.000120")</f>
        <v/>
      </c>
      <c r="T1219">
        <f>_xlfn.NUMBERVALUE("-0.000144")</f>
        <v/>
      </c>
      <c r="U1219">
        <f>_xlfn.NUMBERVALUE("0.000003")</f>
        <v/>
      </c>
      <c r="V1219">
        <f>_xlfn.NUMBERVALUE("0.000043")</f>
        <v/>
      </c>
      <c r="W1219">
        <f>_xlfn.NUMBERVALUE("-0.004375")</f>
        <v/>
      </c>
      <c r="X1219">
        <f>_xlfn.NUMBERVALUE("0.890000")</f>
        <v/>
      </c>
      <c r="Y1219">
        <f>_xlfn.NUMBERVALUE("13.220000")</f>
        <v/>
      </c>
    </row>
    <row r="1220">
      <c r="A1220" s="1" t="n">
        <v>43770</v>
      </c>
      <c r="B1220">
        <f>_xlfn.NUMBERVALUE("0.000000")</f>
        <v/>
      </c>
      <c r="C1220" s="2">
        <f>_xlfn.NUMBERVALUE("0.000029")</f>
        <v/>
      </c>
      <c r="D1220">
        <f>_xlfn.NUMBERVALUE("-0.000005")</f>
        <v/>
      </c>
      <c r="E1220">
        <f>_xlfn.NUMBERVALUE("-0.000004")</f>
        <v/>
      </c>
      <c r="F1220">
        <f>_xlfn.NUMBERVALUE("0.006618")</f>
        <v/>
      </c>
      <c r="G1220">
        <f>_xlfn.NUMBERVALUE("-0.001138")</f>
        <v/>
      </c>
      <c r="H1220">
        <f>_xlfn.NUMBERVALUE("0.000525")</f>
        <v/>
      </c>
      <c r="I1220">
        <f>_xlfn.NUMBERVALUE("-0.000338")</f>
        <v/>
      </c>
      <c r="J1220">
        <f>_xlfn.NUMBERVALUE("-0.000108")</f>
        <v/>
      </c>
      <c r="K1220">
        <f>_xlfn.NUMBERVALUE("0.000257")</f>
        <v/>
      </c>
      <c r="L1220">
        <f>_xlfn.NUMBERVALUE("0.002404")</f>
        <v/>
      </c>
      <c r="M1220">
        <f>_xlfn.NUMBERVALUE("-0.000433")</f>
        <v/>
      </c>
      <c r="N1220">
        <f>_xlfn.NUMBERVALUE("0.001375")</f>
        <v/>
      </c>
      <c r="O1220">
        <f>_xlfn.NUMBERVALUE("-0.002936")</f>
        <v/>
      </c>
      <c r="P1220">
        <f>_xlfn.NUMBERVALUE("-0.000217")</f>
        <v/>
      </c>
      <c r="Q1220">
        <f>_xlfn.NUMBERVALUE("-0.000666")</f>
        <v/>
      </c>
      <c r="R1220">
        <f>_xlfn.NUMBERVALUE("-0.000153")</f>
        <v/>
      </c>
      <c r="S1220">
        <f>_xlfn.NUMBERVALUE("0.001675")</f>
        <v/>
      </c>
      <c r="T1220">
        <f>_xlfn.NUMBERVALUE("0.001876")</f>
        <v/>
      </c>
      <c r="U1220">
        <f>_xlfn.NUMBERVALUE("-0.000013")</f>
        <v/>
      </c>
      <c r="V1220">
        <f>_xlfn.NUMBERVALUE("0.000032")</f>
        <v/>
      </c>
      <c r="W1220">
        <f>_xlfn.NUMBERVALUE("0.005237")</f>
        <v/>
      </c>
      <c r="X1220">
        <f>_xlfn.NUMBERVALUE("-0.920000")</f>
        <v/>
      </c>
      <c r="Y1220">
        <f>_xlfn.NUMBERVALUE("12.300000")</f>
        <v/>
      </c>
    </row>
    <row r="1221">
      <c r="A1221" s="1" t="n">
        <v>43773</v>
      </c>
      <c r="B1221">
        <f>_xlfn.NUMBERVALUE("0.000000")</f>
        <v/>
      </c>
      <c r="C1221" s="2">
        <f>_xlfn.NUMBERVALUE("0.000501")</f>
        <v/>
      </c>
      <c r="D1221">
        <f>_xlfn.NUMBERVALUE("-0.002558")</f>
        <v/>
      </c>
      <c r="E1221">
        <f>_xlfn.NUMBERVALUE("-0.000506")</f>
        <v/>
      </c>
      <c r="F1221">
        <f>_xlfn.NUMBERVALUE("0.001748")</f>
        <v/>
      </c>
      <c r="G1221">
        <f>_xlfn.NUMBERVALUE("0.000478")</f>
        <v/>
      </c>
      <c r="H1221">
        <f>_xlfn.NUMBERVALUE("0.000125")</f>
        <v/>
      </c>
      <c r="I1221">
        <f>_xlfn.NUMBERVALUE("-0.000045")</f>
        <v/>
      </c>
      <c r="J1221">
        <f>_xlfn.NUMBERVALUE("-0.000627")</f>
        <v/>
      </c>
      <c r="K1221">
        <f>_xlfn.NUMBERVALUE("0.001635")</f>
        <v/>
      </c>
      <c r="L1221">
        <f>_xlfn.NUMBERVALUE("-0.000128")</f>
        <v/>
      </c>
      <c r="M1221">
        <f>_xlfn.NUMBERVALUE("-0.000168")</f>
        <v/>
      </c>
      <c r="N1221">
        <f>_xlfn.NUMBERVALUE("0.000017")</f>
        <v/>
      </c>
      <c r="O1221">
        <f>_xlfn.NUMBERVALUE("0.000046")</f>
        <v/>
      </c>
      <c r="P1221">
        <f>_xlfn.NUMBERVALUE("0.000010")</f>
        <v/>
      </c>
      <c r="Q1221">
        <f>_xlfn.NUMBERVALUE("0.000158")</f>
        <v/>
      </c>
      <c r="R1221">
        <f>_xlfn.NUMBERVALUE("0.000119")</f>
        <v/>
      </c>
      <c r="S1221">
        <f>_xlfn.NUMBERVALUE("-0.000324")</f>
        <v/>
      </c>
      <c r="T1221">
        <f>_xlfn.NUMBERVALUE("-0.006555")</f>
        <v/>
      </c>
      <c r="U1221">
        <f>_xlfn.NUMBERVALUE("0.000227")</f>
        <v/>
      </c>
      <c r="V1221">
        <f>_xlfn.NUMBERVALUE("0.000014")</f>
        <v/>
      </c>
      <c r="W1221">
        <f>_xlfn.NUMBERVALUE("0.004349")</f>
        <v/>
      </c>
      <c r="X1221">
        <f>_xlfn.NUMBERVALUE("0.530000")</f>
        <v/>
      </c>
      <c r="Y1221">
        <f>_xlfn.NUMBERVALUE("12.830000")</f>
        <v/>
      </c>
    </row>
    <row r="1222">
      <c r="A1222" s="1" t="n">
        <v>43774</v>
      </c>
      <c r="B1222">
        <f>_xlfn.NUMBERVALUE("0.000000")</f>
        <v/>
      </c>
      <c r="C1222" s="2">
        <f>_xlfn.NUMBERVALUE("-0.000189")</f>
        <v/>
      </c>
      <c r="D1222">
        <f>_xlfn.NUMBERVALUE("0.000097")</f>
        <v/>
      </c>
      <c r="E1222">
        <f>_xlfn.NUMBERVALUE("0.000567")</f>
        <v/>
      </c>
      <c r="F1222">
        <f>_xlfn.NUMBERVALUE("-0.003735")</f>
        <v/>
      </c>
      <c r="G1222">
        <f>_xlfn.NUMBERVALUE("0.000271")</f>
        <v/>
      </c>
      <c r="H1222">
        <f>_xlfn.NUMBERVALUE("-0.004795")</f>
        <v/>
      </c>
      <c r="I1222">
        <f>_xlfn.NUMBERVALUE("0.000280")</f>
        <v/>
      </c>
      <c r="J1222">
        <f>_xlfn.NUMBERVALUE("0.000299")</f>
        <v/>
      </c>
      <c r="K1222">
        <f>_xlfn.NUMBERVALUE("-0.003031")</f>
        <v/>
      </c>
      <c r="L1222">
        <f>_xlfn.NUMBERVALUE("-0.001604")</f>
        <v/>
      </c>
      <c r="M1222">
        <f>_xlfn.NUMBERVALUE("0.000116")</f>
        <v/>
      </c>
      <c r="N1222">
        <f>_xlfn.NUMBERVALUE("0.000706")</f>
        <v/>
      </c>
      <c r="O1222">
        <f>_xlfn.NUMBERVALUE("-0.000337")</f>
        <v/>
      </c>
      <c r="P1222">
        <f>_xlfn.NUMBERVALUE("-0.000013")</f>
        <v/>
      </c>
      <c r="Q1222">
        <f>_xlfn.NUMBERVALUE("-0.000031")</f>
        <v/>
      </c>
      <c r="R1222">
        <f>_xlfn.NUMBERVALUE("0.000006")</f>
        <v/>
      </c>
      <c r="S1222">
        <f>_xlfn.NUMBERVALUE("-0.000512")</f>
        <v/>
      </c>
      <c r="T1222">
        <f>_xlfn.NUMBERVALUE("-0.000312")</f>
        <v/>
      </c>
      <c r="U1222">
        <f>_xlfn.NUMBERVALUE("0.000055")</f>
        <v/>
      </c>
      <c r="V1222">
        <f>_xlfn.NUMBERVALUE("-0.000029")</f>
        <v/>
      </c>
      <c r="W1222">
        <f>_xlfn.NUMBERVALUE("0.000586")</f>
        <v/>
      </c>
      <c r="X1222">
        <f>_xlfn.NUMBERVALUE("0.270000")</f>
        <v/>
      </c>
      <c r="Y1222">
        <f>_xlfn.NUMBERVALUE("13.100000")</f>
        <v/>
      </c>
    </row>
    <row r="1223">
      <c r="A1223" s="1" t="n">
        <v>43775</v>
      </c>
      <c r="B1223">
        <f>_xlfn.NUMBERVALUE("0.000000")</f>
        <v/>
      </c>
      <c r="C1223" s="2">
        <f>_xlfn.NUMBERVALUE("0.000796")</f>
        <v/>
      </c>
      <c r="D1223">
        <f>_xlfn.NUMBERVALUE("0.001363")</f>
        <v/>
      </c>
      <c r="E1223">
        <f>_xlfn.NUMBERVALUE("0.000536")</f>
        <v/>
      </c>
      <c r="F1223">
        <f>_xlfn.NUMBERVALUE("0.000953")</f>
        <v/>
      </c>
      <c r="G1223">
        <f>_xlfn.NUMBERVALUE("0.000720")</f>
        <v/>
      </c>
      <c r="H1223">
        <f>_xlfn.NUMBERVALUE("0.002535")</f>
        <v/>
      </c>
      <c r="I1223">
        <f>_xlfn.NUMBERVALUE("0.001210")</f>
        <v/>
      </c>
      <c r="J1223">
        <f>_xlfn.NUMBERVALUE("-0.000684")</f>
        <v/>
      </c>
      <c r="K1223">
        <f>_xlfn.NUMBERVALUE("0.000647")</f>
        <v/>
      </c>
      <c r="L1223">
        <f>_xlfn.NUMBERVALUE("0.000019")</f>
        <v/>
      </c>
      <c r="M1223">
        <f>_xlfn.NUMBERVALUE("-0.000014")</f>
        <v/>
      </c>
      <c r="N1223">
        <f>_xlfn.NUMBERVALUE("0.000784")</f>
        <v/>
      </c>
      <c r="O1223">
        <f>_xlfn.NUMBERVALUE("0.000021")</f>
        <v/>
      </c>
      <c r="P1223">
        <f>_xlfn.NUMBERVALUE("-0.000018")</f>
        <v/>
      </c>
      <c r="Q1223">
        <f>_xlfn.NUMBERVALUE("0.000041")</f>
        <v/>
      </c>
      <c r="R1223">
        <f>_xlfn.NUMBERVALUE("0.000040")</f>
        <v/>
      </c>
      <c r="S1223">
        <f>_xlfn.NUMBERVALUE("0.000381")</f>
        <v/>
      </c>
      <c r="T1223">
        <f>_xlfn.NUMBERVALUE("0.000014")</f>
        <v/>
      </c>
      <c r="U1223">
        <f>_xlfn.NUMBERVALUE("0.000026")</f>
        <v/>
      </c>
      <c r="V1223">
        <f>_xlfn.NUMBERVALUE("0.000886")</f>
        <v/>
      </c>
      <c r="W1223">
        <f>_xlfn.NUMBERVALUE("-0.001302")</f>
        <v/>
      </c>
      <c r="X1223">
        <f>_xlfn.NUMBERVALUE("-0.480000")</f>
        <v/>
      </c>
      <c r="Y1223">
        <f>_xlfn.NUMBERVALUE("12.620000")</f>
        <v/>
      </c>
    </row>
    <row r="1224">
      <c r="A1224" s="1" t="n">
        <v>43776</v>
      </c>
      <c r="B1224">
        <f>_xlfn.NUMBERVALUE("0.000000")</f>
        <v/>
      </c>
      <c r="C1224" s="2">
        <f>_xlfn.NUMBERVALUE("-0.001675")</f>
        <v/>
      </c>
      <c r="D1224">
        <f>_xlfn.NUMBERVALUE("0.000088")</f>
        <v/>
      </c>
      <c r="E1224">
        <f>_xlfn.NUMBERVALUE("-0.000267")</f>
        <v/>
      </c>
      <c r="F1224">
        <f>_xlfn.NUMBERVALUE("-0.003014")</f>
        <v/>
      </c>
      <c r="G1224">
        <f>_xlfn.NUMBERVALUE("0.000267")</f>
        <v/>
      </c>
      <c r="H1224">
        <f>_xlfn.NUMBERVALUE("-0.001767")</f>
        <v/>
      </c>
      <c r="I1224">
        <f>_xlfn.NUMBERVALUE("0.000189")</f>
        <v/>
      </c>
      <c r="J1224">
        <f>_xlfn.NUMBERVALUE("-0.001493")</f>
        <v/>
      </c>
      <c r="K1224">
        <f>_xlfn.NUMBERVALUE("-0.004491")</f>
        <v/>
      </c>
      <c r="L1224">
        <f>_xlfn.NUMBERVALUE("-0.005027")</f>
        <v/>
      </c>
      <c r="M1224">
        <f>_xlfn.NUMBERVALUE("-0.000587")</f>
        <v/>
      </c>
      <c r="N1224">
        <f>_xlfn.NUMBERVALUE("0.002708")</f>
        <v/>
      </c>
      <c r="O1224">
        <f>_xlfn.NUMBERVALUE("-0.000750")</f>
        <v/>
      </c>
      <c r="P1224">
        <f>_xlfn.NUMBERVALUE("-0.002481")</f>
        <v/>
      </c>
      <c r="Q1224">
        <f>_xlfn.NUMBERVALUE("-0.001115")</f>
        <v/>
      </c>
      <c r="R1224">
        <f>_xlfn.NUMBERVALUE("-0.000725")</f>
        <v/>
      </c>
      <c r="S1224">
        <f>_xlfn.NUMBERVALUE("0.000939")</f>
        <v/>
      </c>
      <c r="T1224">
        <f>_xlfn.NUMBERVALUE("-0.001213")</f>
        <v/>
      </c>
      <c r="U1224">
        <f>_xlfn.NUMBERVALUE("-0.000601")</f>
        <v/>
      </c>
      <c r="V1224">
        <f>_xlfn.NUMBERVALUE("-0.000167")</f>
        <v/>
      </c>
      <c r="W1224">
        <f>_xlfn.NUMBERVALUE("0.002835")</f>
        <v/>
      </c>
      <c r="X1224">
        <f>_xlfn.NUMBERVALUE("0.110000")</f>
        <v/>
      </c>
      <c r="Y1224">
        <f>_xlfn.NUMBERVALUE("12.730000")</f>
        <v/>
      </c>
    </row>
    <row r="1225">
      <c r="A1225" s="1" t="n">
        <v>43777</v>
      </c>
      <c r="B1225">
        <f>_xlfn.NUMBERVALUE("0.000000")</f>
        <v/>
      </c>
      <c r="C1225" s="2">
        <f>_xlfn.NUMBERVALUE("0.001137")</f>
        <v/>
      </c>
      <c r="D1225">
        <f>_xlfn.NUMBERVALUE("0.000889")</f>
        <v/>
      </c>
      <c r="E1225">
        <f>_xlfn.NUMBERVALUE("0.001154")</f>
        <v/>
      </c>
      <c r="F1225">
        <f>_xlfn.NUMBERVALUE("-0.000445")</f>
        <v/>
      </c>
      <c r="G1225">
        <f>_xlfn.NUMBERVALUE("0.000584")</f>
        <v/>
      </c>
      <c r="H1225">
        <f>_xlfn.NUMBERVALUE("-0.009172")</f>
        <v/>
      </c>
      <c r="I1225">
        <f>_xlfn.NUMBERVALUE("0.001258")</f>
        <v/>
      </c>
      <c r="J1225">
        <f>_xlfn.NUMBERVALUE("0.001093")</f>
        <v/>
      </c>
      <c r="K1225">
        <f>_xlfn.NUMBERVALUE("-0.001805")</f>
        <v/>
      </c>
      <c r="L1225">
        <f>_xlfn.NUMBERVALUE("0.000309")</f>
        <v/>
      </c>
      <c r="M1225">
        <f>_xlfn.NUMBERVALUE("0.000921")</f>
        <v/>
      </c>
      <c r="N1225">
        <f>_xlfn.NUMBERVALUE("-0.002348")</f>
        <v/>
      </c>
      <c r="O1225">
        <f>_xlfn.NUMBERVALUE("0.001493")</f>
        <v/>
      </c>
      <c r="P1225">
        <f>_xlfn.NUMBERVALUE("0.002095")</f>
        <v/>
      </c>
      <c r="Q1225">
        <f>_xlfn.NUMBERVALUE("0.001337")</f>
        <v/>
      </c>
      <c r="R1225">
        <f>_xlfn.NUMBERVALUE("0.000280")</f>
        <v/>
      </c>
      <c r="S1225">
        <f>_xlfn.NUMBERVALUE("0.000918")</f>
        <v/>
      </c>
      <c r="T1225">
        <f>_xlfn.NUMBERVALUE("0.001274")</f>
        <v/>
      </c>
      <c r="U1225">
        <f>_xlfn.NUMBERVALUE("0.001478")</f>
        <v/>
      </c>
      <c r="V1225">
        <f>_xlfn.NUMBERVALUE("0.001277")</f>
        <v/>
      </c>
      <c r="W1225">
        <f>_xlfn.NUMBERVALUE("0.002859")</f>
        <v/>
      </c>
      <c r="X1225">
        <f>_xlfn.NUMBERVALUE("-0.660000")</f>
        <v/>
      </c>
      <c r="Y1225">
        <f>_xlfn.NUMBERVALUE("12.070000")</f>
        <v/>
      </c>
    </row>
    <row r="1226">
      <c r="A1226" s="1" t="n">
        <v>43780</v>
      </c>
      <c r="B1226">
        <f>_xlfn.NUMBERVALUE("0.000000")</f>
        <v/>
      </c>
      <c r="C1226" s="2">
        <f>_xlfn.NUMBERVALUE("0.000752")</f>
        <v/>
      </c>
      <c r="D1226">
        <f>_xlfn.NUMBERVALUE("0.000251")</f>
        <v/>
      </c>
      <c r="E1226">
        <f>_xlfn.NUMBERVALUE("0.000728")</f>
        <v/>
      </c>
      <c r="F1226">
        <f>_xlfn.NUMBERVALUE("-0.000219")</f>
        <v/>
      </c>
      <c r="G1226">
        <f>_xlfn.NUMBERVALUE("0.000344")</f>
        <v/>
      </c>
      <c r="H1226">
        <f>_xlfn.NUMBERVALUE("0.011915")</f>
        <v/>
      </c>
      <c r="I1226">
        <f>_xlfn.NUMBERVALUE("0.001684")</f>
        <v/>
      </c>
      <c r="J1226">
        <f>_xlfn.NUMBERVALUE("-0.000393")</f>
        <v/>
      </c>
      <c r="K1226">
        <f>_xlfn.NUMBERVALUE("0.000478")</f>
        <v/>
      </c>
      <c r="L1226">
        <f>_xlfn.NUMBERVALUE("0.000465")</f>
        <v/>
      </c>
      <c r="M1226">
        <f>_xlfn.NUMBERVALUE("0.002236")</f>
        <v/>
      </c>
      <c r="N1226">
        <f>_xlfn.NUMBERVALUE("0.004463")</f>
        <v/>
      </c>
      <c r="O1226">
        <f>_xlfn.NUMBERVALUE("0.002773")</f>
        <v/>
      </c>
      <c r="P1226">
        <f>_xlfn.NUMBERVALUE("0.001772")</f>
        <v/>
      </c>
      <c r="Q1226">
        <f>_xlfn.NUMBERVALUE("0.001460")</f>
        <v/>
      </c>
      <c r="R1226">
        <f>_xlfn.NUMBERVALUE("0.000907")</f>
        <v/>
      </c>
      <c r="S1226">
        <f>_xlfn.NUMBERVALUE("0.001036")</f>
        <v/>
      </c>
      <c r="T1226">
        <f>_xlfn.NUMBERVALUE("0.000067")</f>
        <v/>
      </c>
      <c r="U1226">
        <f>_xlfn.NUMBERVALUE("0.002164")</f>
        <v/>
      </c>
      <c r="V1226">
        <f>_xlfn.NUMBERVALUE("0.000780")</f>
        <v/>
      </c>
      <c r="W1226">
        <f>_xlfn.NUMBERVALUE("-0.001523")</f>
        <v/>
      </c>
      <c r="X1226">
        <f>_xlfn.NUMBERVALUE("0.620000")</f>
        <v/>
      </c>
      <c r="Y1226">
        <f>_xlfn.NUMBERVALUE("12.690000")</f>
        <v/>
      </c>
    </row>
    <row r="1227">
      <c r="A1227" s="1" t="n">
        <v>43781</v>
      </c>
      <c r="B1227">
        <f>_xlfn.NUMBERVALUE("0.000000")</f>
        <v/>
      </c>
      <c r="C1227" s="2">
        <f>_xlfn.NUMBERVALUE("0.000266")</f>
        <v/>
      </c>
      <c r="D1227">
        <f>_xlfn.NUMBERVALUE("0.000842")</f>
        <v/>
      </c>
      <c r="E1227">
        <f>_xlfn.NUMBERVALUE("0.000474")</f>
        <v/>
      </c>
      <c r="F1227">
        <f>_xlfn.NUMBERVALUE("0.000922")</f>
        <v/>
      </c>
      <c r="G1227">
        <f>_xlfn.NUMBERVALUE("0.000212")</f>
        <v/>
      </c>
      <c r="H1227">
        <f>_xlfn.NUMBERVALUE("-0.000117")</f>
        <v/>
      </c>
      <c r="I1227">
        <f>_xlfn.NUMBERVALUE("0.000515")</f>
        <v/>
      </c>
      <c r="J1227">
        <f>_xlfn.NUMBERVALUE("0.000282")</f>
        <v/>
      </c>
      <c r="K1227">
        <f>_xlfn.NUMBERVALUE("0.000759")</f>
        <v/>
      </c>
      <c r="L1227">
        <f>_xlfn.NUMBERVALUE("0.000587")</f>
        <v/>
      </c>
      <c r="M1227">
        <f>_xlfn.NUMBERVALUE("-0.000011")</f>
        <v/>
      </c>
      <c r="N1227">
        <f>_xlfn.NUMBERVALUE("0.001255")</f>
        <v/>
      </c>
      <c r="O1227">
        <f>_xlfn.NUMBERVALUE("0.001233")</f>
        <v/>
      </c>
      <c r="P1227">
        <f>_xlfn.NUMBERVALUE("0.000839")</f>
        <v/>
      </c>
      <c r="Q1227">
        <f>_xlfn.NUMBERVALUE("-0.000392")</f>
        <v/>
      </c>
      <c r="R1227">
        <f>_xlfn.NUMBERVALUE("0.000298")</f>
        <v/>
      </c>
      <c r="S1227">
        <f>_xlfn.NUMBERVALUE("-0.000309")</f>
        <v/>
      </c>
      <c r="T1227">
        <f>_xlfn.NUMBERVALUE("0.001495")</f>
        <v/>
      </c>
      <c r="U1227">
        <f>_xlfn.NUMBERVALUE("0.001384")</f>
        <v/>
      </c>
      <c r="V1227">
        <f>_xlfn.NUMBERVALUE("0.000365")</f>
        <v/>
      </c>
      <c r="W1227">
        <f>_xlfn.NUMBERVALUE("0.001590")</f>
        <v/>
      </c>
      <c r="X1227">
        <f>_xlfn.NUMBERVALUE("-0.010000")</f>
        <v/>
      </c>
      <c r="Y1227">
        <f>_xlfn.NUMBERVALUE("12.680000")</f>
        <v/>
      </c>
    </row>
    <row r="1228">
      <c r="A1228" s="1" t="n">
        <v>43782</v>
      </c>
      <c r="B1228">
        <f>_xlfn.NUMBERVALUE("0.000000")</f>
        <v/>
      </c>
      <c r="C1228" s="2">
        <f>_xlfn.NUMBERVALUE("-0.000736")</f>
        <v/>
      </c>
      <c r="D1228">
        <f>_xlfn.NUMBERVALUE("-0.000116")</f>
        <v/>
      </c>
      <c r="E1228">
        <f>_xlfn.NUMBERVALUE("0.000533")</f>
        <v/>
      </c>
      <c r="F1228">
        <f>_xlfn.NUMBERVALUE("0.000057")</f>
        <v/>
      </c>
      <c r="G1228">
        <f>_xlfn.NUMBERVALUE("0.000320")</f>
        <v/>
      </c>
      <c r="H1228">
        <f>_xlfn.NUMBERVALUE("-0.000476")</f>
        <v/>
      </c>
      <c r="I1228">
        <f>_xlfn.NUMBERVALUE("0.000360")</f>
        <v/>
      </c>
      <c r="J1228">
        <f>_xlfn.NUMBERVALUE("0.000236")</f>
        <v/>
      </c>
      <c r="K1228">
        <f>_xlfn.NUMBERVALUE("0.000697")</f>
        <v/>
      </c>
      <c r="L1228">
        <f>_xlfn.NUMBERVALUE("0.000785")</f>
        <v/>
      </c>
      <c r="M1228">
        <f>_xlfn.NUMBERVALUE("0.000284")</f>
        <v/>
      </c>
      <c r="N1228">
        <f>_xlfn.NUMBERVALUE("0.000320")</f>
        <v/>
      </c>
      <c r="O1228">
        <f>_xlfn.NUMBERVALUE("0.001325")</f>
        <v/>
      </c>
      <c r="P1228">
        <f>_xlfn.NUMBERVALUE("0.001579")</f>
        <v/>
      </c>
      <c r="Q1228">
        <f>_xlfn.NUMBERVALUE("-0.000713")</f>
        <v/>
      </c>
      <c r="R1228">
        <f>_xlfn.NUMBERVALUE("-0.000354")</f>
        <v/>
      </c>
      <c r="S1228">
        <f>_xlfn.NUMBERVALUE("-0.001362")</f>
        <v/>
      </c>
      <c r="T1228">
        <f>_xlfn.NUMBERVALUE("-0.002926")</f>
        <v/>
      </c>
      <c r="U1228">
        <f>_xlfn.NUMBERVALUE("0.000278")</f>
        <v/>
      </c>
      <c r="V1228">
        <f>_xlfn.NUMBERVALUE("-0.000101")</f>
        <v/>
      </c>
      <c r="W1228">
        <f>_xlfn.NUMBERVALUE("0.001620")</f>
        <v/>
      </c>
      <c r="X1228">
        <f>_xlfn.NUMBERVALUE("0.320000")</f>
        <v/>
      </c>
      <c r="Y1228">
        <f>_xlfn.NUMBERVALUE("13.000000")</f>
        <v/>
      </c>
    </row>
    <row r="1229">
      <c r="A1229" s="1" t="n">
        <v>43783</v>
      </c>
      <c r="B1229">
        <f>_xlfn.NUMBERVALUE("0.000000")</f>
        <v/>
      </c>
      <c r="C1229" s="2">
        <f>_xlfn.NUMBERVALUE("0.000703")</f>
        <v/>
      </c>
      <c r="D1229">
        <f>_xlfn.NUMBERVALUE("0.000985")</f>
        <v/>
      </c>
      <c r="E1229">
        <f>_xlfn.NUMBERVALUE("0.000843")</f>
        <v/>
      </c>
      <c r="F1229">
        <f>_xlfn.NUMBERVALUE("0.000391")</f>
        <v/>
      </c>
      <c r="G1229">
        <f>_xlfn.NUMBERVALUE("0.000509")</f>
        <v/>
      </c>
      <c r="H1229">
        <f>_xlfn.NUMBERVALUE("-0.011895")</f>
        <v/>
      </c>
      <c r="I1229">
        <f>_xlfn.NUMBERVALUE("0.000318")</f>
        <v/>
      </c>
      <c r="J1229">
        <f>_xlfn.NUMBERVALUE("-0.000078")</f>
        <v/>
      </c>
      <c r="K1229">
        <f>_xlfn.NUMBERVALUE("-0.000217")</f>
        <v/>
      </c>
      <c r="L1229">
        <f>_xlfn.NUMBERVALUE("-0.000311")</f>
        <v/>
      </c>
      <c r="M1229">
        <f>_xlfn.NUMBERVALUE("-0.000855")</f>
        <v/>
      </c>
      <c r="N1229">
        <f>_xlfn.NUMBERVALUE("0.001152")</f>
        <v/>
      </c>
      <c r="O1229">
        <f>_xlfn.NUMBERVALUE("0.001442")</f>
        <v/>
      </c>
      <c r="P1229">
        <f>_xlfn.NUMBERVALUE("0.000758")</f>
        <v/>
      </c>
      <c r="Q1229">
        <f>_xlfn.NUMBERVALUE("0.001514")</f>
        <v/>
      </c>
      <c r="R1229">
        <f>_xlfn.NUMBERVALUE("0.001257")</f>
        <v/>
      </c>
      <c r="S1229">
        <f>_xlfn.NUMBERVALUE("0.000991")</f>
        <v/>
      </c>
      <c r="T1229">
        <f>_xlfn.NUMBERVALUE("0.000232")</f>
        <v/>
      </c>
      <c r="U1229">
        <f>_xlfn.NUMBERVALUE("0.000684")</f>
        <v/>
      </c>
      <c r="V1229">
        <f>_xlfn.NUMBERVALUE("0.000449")</f>
        <v/>
      </c>
      <c r="W1229">
        <f>_xlfn.NUMBERVALUE("0.000712")</f>
        <v/>
      </c>
      <c r="X1229">
        <f>_xlfn.NUMBERVALUE("0.050000")</f>
        <v/>
      </c>
      <c r="Y1229">
        <f>_xlfn.NUMBERVALUE("13.050000")</f>
        <v/>
      </c>
    </row>
    <row r="1230">
      <c r="A1230" s="1" t="n">
        <v>43784</v>
      </c>
      <c r="B1230">
        <f>_xlfn.NUMBERVALUE("0.000000")</f>
        <v/>
      </c>
      <c r="C1230" s="2">
        <f>_xlfn.NUMBERVALUE("-0.000992")</f>
        <v/>
      </c>
      <c r="D1230">
        <f>_xlfn.NUMBERVALUE("0.000954")</f>
        <v/>
      </c>
      <c r="E1230">
        <f>_xlfn.NUMBERVALUE("0.000367")</f>
        <v/>
      </c>
      <c r="F1230">
        <f>_xlfn.NUMBERVALUE("0.000719")</f>
        <v/>
      </c>
      <c r="G1230">
        <f>_xlfn.NUMBERVALUE("0.000371")</f>
        <v/>
      </c>
      <c r="H1230">
        <f>_xlfn.NUMBERVALUE("0.012533")</f>
        <v/>
      </c>
      <c r="I1230">
        <f>_xlfn.NUMBERVALUE("0.002054")</f>
        <v/>
      </c>
      <c r="J1230">
        <f>_xlfn.NUMBERVALUE("0.000364")</f>
        <v/>
      </c>
      <c r="K1230">
        <f>_xlfn.NUMBERVALUE("0.000483")</f>
        <v/>
      </c>
      <c r="L1230">
        <f>_xlfn.NUMBERVALUE("0.002101")</f>
        <v/>
      </c>
      <c r="M1230">
        <f>_xlfn.NUMBERVALUE("0.002057")</f>
        <v/>
      </c>
      <c r="N1230">
        <f>_xlfn.NUMBERVALUE("0.000405")</f>
        <v/>
      </c>
      <c r="O1230">
        <f>_xlfn.NUMBERVALUE("0.002424")</f>
        <v/>
      </c>
      <c r="P1230">
        <f>_xlfn.NUMBERVALUE("0.001061")</f>
        <v/>
      </c>
      <c r="Q1230">
        <f>_xlfn.NUMBERVALUE("0.002799")</f>
        <v/>
      </c>
      <c r="R1230">
        <f>_xlfn.NUMBERVALUE("0.001001")</f>
        <v/>
      </c>
      <c r="S1230">
        <f>_xlfn.NUMBERVALUE("0.002308")</f>
        <v/>
      </c>
      <c r="T1230">
        <f>_xlfn.NUMBERVALUE("0.001134")</f>
        <v/>
      </c>
      <c r="U1230">
        <f>_xlfn.NUMBERVALUE("0.000159")</f>
        <v/>
      </c>
      <c r="V1230">
        <f>_xlfn.NUMBERVALUE("0.000265")</f>
        <v/>
      </c>
      <c r="W1230">
        <f>_xlfn.NUMBERVALUE("0.006076")</f>
        <v/>
      </c>
      <c r="X1230">
        <f>_xlfn.NUMBERVALUE("-1.000000")</f>
        <v/>
      </c>
      <c r="Y1230">
        <f>_xlfn.NUMBERVALUE("12.050000")</f>
        <v/>
      </c>
    </row>
    <row r="1231">
      <c r="A1231" s="1" t="n">
        <v>43787</v>
      </c>
      <c r="B1231">
        <f>_xlfn.NUMBERVALUE("0.000000")</f>
        <v/>
      </c>
      <c r="C1231" s="2">
        <f>_xlfn.NUMBERVALUE("0.000498")</f>
        <v/>
      </c>
      <c r="D1231">
        <f>_xlfn.NUMBERVALUE("0.002304")</f>
        <v/>
      </c>
      <c r="E1231">
        <f>_xlfn.NUMBERVALUE("0.000382")</f>
        <v/>
      </c>
      <c r="F1231">
        <f>_xlfn.NUMBERVALUE("0.000310")</f>
        <v/>
      </c>
      <c r="G1231">
        <f>_xlfn.NUMBERVALUE("0.000174")</f>
        <v/>
      </c>
      <c r="H1231">
        <f>_xlfn.NUMBERVALUE("0.000819")</f>
        <v/>
      </c>
      <c r="I1231">
        <f>_xlfn.NUMBERVALUE("0.001884")</f>
        <v/>
      </c>
      <c r="J1231">
        <f>_xlfn.NUMBERVALUE("-0.000224")</f>
        <v/>
      </c>
      <c r="K1231">
        <f>_xlfn.NUMBERVALUE("0.001920")</f>
        <v/>
      </c>
      <c r="L1231">
        <f>_xlfn.NUMBERVALUE("0.001077")</f>
        <v/>
      </c>
      <c r="M1231">
        <f>_xlfn.NUMBERVALUE("0.001705")</f>
        <v/>
      </c>
      <c r="N1231">
        <f>_xlfn.NUMBERVALUE("0.000494")</f>
        <v/>
      </c>
      <c r="O1231">
        <f>_xlfn.NUMBERVALUE("0.000107")</f>
        <v/>
      </c>
      <c r="P1231">
        <f>_xlfn.NUMBERVALUE("0.001537")</f>
        <v/>
      </c>
      <c r="Q1231">
        <f>_xlfn.NUMBERVALUE("0.000323")</f>
        <v/>
      </c>
      <c r="R1231">
        <f>_xlfn.NUMBERVALUE("0.000411")</f>
        <v/>
      </c>
      <c r="S1231">
        <f>_xlfn.NUMBERVALUE("-0.001307")</f>
        <v/>
      </c>
      <c r="T1231">
        <f>_xlfn.NUMBERVALUE("0.000470")</f>
        <v/>
      </c>
      <c r="U1231">
        <f>_xlfn.NUMBERVALUE("-0.000579")</f>
        <v/>
      </c>
      <c r="V1231">
        <f>_xlfn.NUMBERVALUE("0.000548")</f>
        <v/>
      </c>
      <c r="W1231">
        <f>_xlfn.NUMBERVALUE("0.001670")</f>
        <v/>
      </c>
      <c r="X1231">
        <f>_xlfn.NUMBERVALUE("0.410000")</f>
        <v/>
      </c>
      <c r="Y1231">
        <f>_xlfn.NUMBERVALUE("12.460000")</f>
        <v/>
      </c>
    </row>
    <row r="1232">
      <c r="A1232" s="1" t="n">
        <v>43788</v>
      </c>
      <c r="B1232">
        <f>_xlfn.NUMBERVALUE("0.000000")</f>
        <v/>
      </c>
      <c r="C1232" s="2">
        <f>_xlfn.NUMBERVALUE("0.000744")</f>
        <v/>
      </c>
      <c r="D1232">
        <f>_xlfn.NUMBERVALUE("0.001320")</f>
        <v/>
      </c>
      <c r="E1232">
        <f>_xlfn.NUMBERVALUE("0.000792")</f>
        <v/>
      </c>
      <c r="F1232">
        <f>_xlfn.NUMBERVALUE("-0.002063")</f>
        <v/>
      </c>
      <c r="G1232">
        <f>_xlfn.NUMBERVALUE("0.000743")</f>
        <v/>
      </c>
      <c r="H1232">
        <f>_xlfn.NUMBERVALUE("0.000339")</f>
        <v/>
      </c>
      <c r="I1232">
        <f>_xlfn.NUMBERVALUE("-0.000197")</f>
        <v/>
      </c>
      <c r="J1232">
        <f>_xlfn.NUMBERVALUE("-0.000969")</f>
        <v/>
      </c>
      <c r="K1232">
        <f>_xlfn.NUMBERVALUE("0.000762")</f>
        <v/>
      </c>
      <c r="L1232">
        <f>_xlfn.NUMBERVALUE("-0.000022")</f>
        <v/>
      </c>
      <c r="M1232">
        <f>_xlfn.NUMBERVALUE("0.000881")</f>
        <v/>
      </c>
      <c r="N1232">
        <f>_xlfn.NUMBERVALUE("0.001456")</f>
        <v/>
      </c>
      <c r="O1232">
        <f>_xlfn.NUMBERVALUE("-0.000678")</f>
        <v/>
      </c>
      <c r="P1232">
        <f>_xlfn.NUMBERVALUE("0.000637")</f>
        <v/>
      </c>
      <c r="Q1232">
        <f>_xlfn.NUMBERVALUE("0.000534")</f>
        <v/>
      </c>
      <c r="R1232">
        <f>_xlfn.NUMBERVALUE("0.000381")</f>
        <v/>
      </c>
      <c r="S1232">
        <f>_xlfn.NUMBERVALUE("0.000591")</f>
        <v/>
      </c>
      <c r="T1232">
        <f>_xlfn.NUMBERVALUE("0.000641")</f>
        <v/>
      </c>
      <c r="U1232">
        <f>_xlfn.NUMBERVALUE("-0.000242")</f>
        <v/>
      </c>
      <c r="V1232">
        <f>_xlfn.NUMBERVALUE("0.000678")</f>
        <v/>
      </c>
      <c r="W1232">
        <f>_xlfn.NUMBERVALUE("0.001219")</f>
        <v/>
      </c>
      <c r="X1232">
        <f>_xlfn.NUMBERVALUE("0.400000")</f>
        <v/>
      </c>
      <c r="Y1232">
        <f>_xlfn.NUMBERVALUE("12.860000")</f>
        <v/>
      </c>
    </row>
    <row r="1233">
      <c r="A1233" s="1" t="n">
        <v>43789</v>
      </c>
      <c r="B1233">
        <f>_xlfn.NUMBERVALUE("0.000000")</f>
        <v/>
      </c>
      <c r="C1233" s="2">
        <f>_xlfn.NUMBERVALUE("0.000120")</f>
        <v/>
      </c>
      <c r="D1233">
        <f>_xlfn.NUMBERVALUE("-0.000026")</f>
        <v/>
      </c>
      <c r="E1233">
        <f>_xlfn.NUMBERVALUE("0.000072")</f>
        <v/>
      </c>
      <c r="F1233">
        <f>_xlfn.NUMBERVALUE("0.002130")</f>
        <v/>
      </c>
      <c r="G1233">
        <f>_xlfn.NUMBERVALUE("-0.000255")</f>
        <v/>
      </c>
      <c r="H1233">
        <f>_xlfn.NUMBERVALUE("-0.014567")</f>
        <v/>
      </c>
      <c r="I1233">
        <f>_xlfn.NUMBERVALUE("0.000346")</f>
        <v/>
      </c>
      <c r="J1233">
        <f>_xlfn.NUMBERVALUE("0.000522")</f>
        <v/>
      </c>
      <c r="K1233">
        <f>_xlfn.NUMBERVALUE("0.000100")</f>
        <v/>
      </c>
      <c r="L1233">
        <f>_xlfn.NUMBERVALUE("-0.002525")</f>
        <v/>
      </c>
      <c r="M1233">
        <f>_xlfn.NUMBERVALUE("-0.001594")</f>
        <v/>
      </c>
      <c r="N1233">
        <f>_xlfn.NUMBERVALUE("0.000171")</f>
        <v/>
      </c>
      <c r="O1233">
        <f>_xlfn.NUMBERVALUE("-0.000479")</f>
        <v/>
      </c>
      <c r="P1233">
        <f>_xlfn.NUMBERVALUE("0.000440")</f>
        <v/>
      </c>
      <c r="Q1233">
        <f>_xlfn.NUMBERVALUE("0.000081")</f>
        <v/>
      </c>
      <c r="R1233">
        <f>_xlfn.NUMBERVALUE("-0.000577")</f>
        <v/>
      </c>
      <c r="S1233">
        <f>_xlfn.NUMBERVALUE("0.000083")</f>
        <v/>
      </c>
      <c r="T1233">
        <f>_xlfn.NUMBERVALUE("-0.000375")</f>
        <v/>
      </c>
      <c r="U1233">
        <f>_xlfn.NUMBERVALUE("0.000229")</f>
        <v/>
      </c>
      <c r="V1233">
        <f>_xlfn.NUMBERVALUE("0.000211")</f>
        <v/>
      </c>
      <c r="W1233">
        <f>_xlfn.NUMBERVALUE("-0.004869")</f>
        <v/>
      </c>
      <c r="X1233">
        <f>_xlfn.NUMBERVALUE("-0.080000")</f>
        <v/>
      </c>
      <c r="Y1233">
        <f>_xlfn.NUMBERVALUE("12.780000")</f>
        <v/>
      </c>
    </row>
    <row r="1234">
      <c r="A1234" s="1" t="n">
        <v>43790</v>
      </c>
      <c r="B1234">
        <f>_xlfn.NUMBERVALUE("0.000000")</f>
        <v/>
      </c>
      <c r="C1234" s="2">
        <f>_xlfn.NUMBERVALUE("0.000608")</f>
        <v/>
      </c>
      <c r="D1234">
        <f>_xlfn.NUMBERVALUE("0.001027")</f>
        <v/>
      </c>
      <c r="E1234">
        <f>_xlfn.NUMBERVALUE("0.000418")</f>
        <v/>
      </c>
      <c r="F1234">
        <f>_xlfn.NUMBERVALUE("-0.000084")</f>
        <v/>
      </c>
      <c r="G1234">
        <f>_xlfn.NUMBERVALUE("-0.000294")</f>
        <v/>
      </c>
      <c r="H1234">
        <f>_xlfn.NUMBERVALUE("0.009470")</f>
        <v/>
      </c>
      <c r="I1234">
        <f>_xlfn.NUMBERVALUE("0.001312")</f>
        <v/>
      </c>
      <c r="J1234">
        <f>_xlfn.NUMBERVALUE("0.000650")</f>
        <v/>
      </c>
      <c r="K1234">
        <f>_xlfn.NUMBERVALUE("0.000395")</f>
        <v/>
      </c>
      <c r="L1234">
        <f>_xlfn.NUMBERVALUE("0.001146")</f>
        <v/>
      </c>
      <c r="M1234">
        <f>_xlfn.NUMBERVALUE("0.001238")</f>
        <v/>
      </c>
      <c r="N1234">
        <f>_xlfn.NUMBERVALUE("-0.001314")</f>
        <v/>
      </c>
      <c r="O1234">
        <f>_xlfn.NUMBERVALUE("-0.001959")</f>
        <v/>
      </c>
      <c r="P1234">
        <f>_xlfn.NUMBERVALUE("0.000517")</f>
        <v/>
      </c>
      <c r="Q1234">
        <f>_xlfn.NUMBERVALUE("0.000624")</f>
        <v/>
      </c>
      <c r="R1234">
        <f>_xlfn.NUMBERVALUE("0.000572")</f>
        <v/>
      </c>
      <c r="S1234">
        <f>_xlfn.NUMBERVALUE("-0.000007")</f>
        <v/>
      </c>
      <c r="T1234">
        <f>_xlfn.NUMBERVALUE("0.001348")</f>
        <v/>
      </c>
      <c r="U1234">
        <f>_xlfn.NUMBERVALUE("0.001749")</f>
        <v/>
      </c>
      <c r="V1234">
        <f>_xlfn.NUMBERVALUE("0.000595")</f>
        <v/>
      </c>
      <c r="W1234">
        <f>_xlfn.NUMBERVALUE("-0.001352")</f>
        <v/>
      </c>
      <c r="X1234">
        <f>_xlfn.NUMBERVALUE("0.350000")</f>
        <v/>
      </c>
      <c r="Y1234">
        <f>_xlfn.NUMBERVALUE("13.130000")</f>
        <v/>
      </c>
    </row>
    <row r="1235">
      <c r="A1235" s="1" t="n">
        <v>43791</v>
      </c>
      <c r="B1235">
        <f>_xlfn.NUMBERVALUE("0.000000")</f>
        <v/>
      </c>
      <c r="C1235" s="2">
        <f>_xlfn.NUMBERVALUE("0.000929")</f>
        <v/>
      </c>
      <c r="D1235">
        <f>_xlfn.NUMBERVALUE("0.001778")</f>
        <v/>
      </c>
      <c r="E1235">
        <f>_xlfn.NUMBERVALUE("0.001647")</f>
        <v/>
      </c>
      <c r="F1235">
        <f>_xlfn.NUMBERVALUE("0.000413")</f>
        <v/>
      </c>
      <c r="G1235">
        <f>_xlfn.NUMBERVALUE("0.000135")</f>
        <v/>
      </c>
      <c r="H1235">
        <f>_xlfn.NUMBERVALUE("0.005613")</f>
        <v/>
      </c>
      <c r="I1235">
        <f>_xlfn.NUMBERVALUE("0.002820")</f>
        <v/>
      </c>
      <c r="J1235">
        <f>_xlfn.NUMBERVALUE("-0.000546")</f>
        <v/>
      </c>
      <c r="K1235">
        <f>_xlfn.NUMBERVALUE("0.000054")</f>
        <v/>
      </c>
      <c r="L1235">
        <f>_xlfn.NUMBERVALUE("0.001153")</f>
        <v/>
      </c>
      <c r="M1235">
        <f>_xlfn.NUMBERVALUE("0.001672")</f>
        <v/>
      </c>
      <c r="N1235">
        <f>_xlfn.NUMBERVALUE("0.002182")</f>
        <v/>
      </c>
      <c r="O1235">
        <f>_xlfn.NUMBERVALUE("0.002631")</f>
        <v/>
      </c>
      <c r="P1235">
        <f>_xlfn.NUMBERVALUE("0.000197")</f>
        <v/>
      </c>
      <c r="Q1235">
        <f>_xlfn.NUMBERVALUE("0.001164")</f>
        <v/>
      </c>
      <c r="R1235">
        <f>_xlfn.NUMBERVALUE("0.002572")</f>
        <v/>
      </c>
      <c r="S1235">
        <f>_xlfn.NUMBERVALUE("0.001694")</f>
        <v/>
      </c>
      <c r="T1235">
        <f>_xlfn.NUMBERVALUE("0.001183")</f>
        <v/>
      </c>
      <c r="U1235">
        <f>_xlfn.NUMBERVALUE("0.002223")</f>
        <v/>
      </c>
      <c r="V1235">
        <f>_xlfn.NUMBERVALUE("0.001361")</f>
        <v/>
      </c>
      <c r="W1235">
        <f>_xlfn.NUMBERVALUE("0.001934")</f>
        <v/>
      </c>
      <c r="X1235">
        <f>_xlfn.NUMBERVALUE("-0.790000")</f>
        <v/>
      </c>
      <c r="Y1235">
        <f>_xlfn.NUMBERVALUE("12.340000")</f>
        <v/>
      </c>
    </row>
    <row r="1236">
      <c r="A1236" s="1" t="n">
        <v>43794</v>
      </c>
      <c r="B1236">
        <f>_xlfn.NUMBERVALUE("0.000000")</f>
        <v/>
      </c>
      <c r="C1236" s="2">
        <f>_xlfn.NUMBERVALUE("0.000602")</f>
        <v/>
      </c>
      <c r="D1236">
        <f>_xlfn.NUMBERVALUE("-0.000073")</f>
        <v/>
      </c>
      <c r="E1236">
        <f>_xlfn.NUMBERVALUE("-0.001290")</f>
        <v/>
      </c>
      <c r="F1236">
        <f>_xlfn.NUMBERVALUE("0.000021")</f>
        <v/>
      </c>
      <c r="G1236">
        <f>_xlfn.NUMBERVALUE("-0.000862")</f>
        <v/>
      </c>
      <c r="H1236">
        <f>_xlfn.NUMBERVALUE("0.000962")</f>
        <v/>
      </c>
      <c r="I1236">
        <f>_xlfn.NUMBERVALUE("-0.008714")</f>
        <v/>
      </c>
      <c r="J1236">
        <f>_xlfn.NUMBERVALUE("0.000030")</f>
        <v/>
      </c>
      <c r="K1236">
        <f>_xlfn.NUMBERVALUE("0.000254")</f>
        <v/>
      </c>
      <c r="L1236">
        <f>_xlfn.NUMBERVALUE("0.000786")</f>
        <v/>
      </c>
      <c r="M1236">
        <f>_xlfn.NUMBERVALUE("0.001408")</f>
        <v/>
      </c>
      <c r="N1236">
        <f>_xlfn.NUMBERVALUE("0.001928")</f>
        <v/>
      </c>
      <c r="O1236">
        <f>_xlfn.NUMBERVALUE("0.002457")</f>
        <v/>
      </c>
      <c r="P1236">
        <f>_xlfn.NUMBERVALUE("0.001241")</f>
        <v/>
      </c>
      <c r="Q1236">
        <f>_xlfn.NUMBERVALUE("0.000394")</f>
        <v/>
      </c>
      <c r="R1236">
        <f>_xlfn.NUMBERVALUE("-0.000843")</f>
        <v/>
      </c>
      <c r="S1236">
        <f>_xlfn.NUMBERVALUE("0.001716")</f>
        <v/>
      </c>
      <c r="T1236">
        <f>_xlfn.NUMBERVALUE("0.000089")</f>
        <v/>
      </c>
      <c r="U1236">
        <f>_xlfn.NUMBERVALUE("-0.000038")</f>
        <v/>
      </c>
      <c r="V1236">
        <f>_xlfn.NUMBERVALUE("-0.000212")</f>
        <v/>
      </c>
      <c r="W1236">
        <f>_xlfn.NUMBERVALUE("0.007013")</f>
        <v/>
      </c>
      <c r="X1236">
        <f>_xlfn.NUMBERVALUE("-0.470000")</f>
        <v/>
      </c>
      <c r="Y1236">
        <f>_xlfn.NUMBERVALUE("11.870000")</f>
        <v/>
      </c>
    </row>
    <row r="1237">
      <c r="A1237" s="1" t="n">
        <v>43795</v>
      </c>
      <c r="B1237">
        <f>_xlfn.NUMBERVALUE("0.000000")</f>
        <v/>
      </c>
      <c r="C1237" s="2">
        <f>_xlfn.NUMBERVALUE("0.000263")</f>
        <v/>
      </c>
      <c r="D1237">
        <f>_xlfn.NUMBERVALUE("0.000577")</f>
        <v/>
      </c>
      <c r="E1237">
        <f>_xlfn.NUMBERVALUE("0.000861")</f>
        <v/>
      </c>
      <c r="F1237">
        <f>_xlfn.NUMBERVALUE("-0.000065")</f>
        <v/>
      </c>
      <c r="G1237">
        <f>_xlfn.NUMBERVALUE("0.000352")</f>
        <v/>
      </c>
      <c r="H1237">
        <f>_xlfn.NUMBERVALUE("-0.001860")</f>
        <v/>
      </c>
      <c r="I1237">
        <f>_xlfn.NUMBERVALUE("0.001140")</f>
        <v/>
      </c>
      <c r="J1237">
        <f>_xlfn.NUMBERVALUE("0.000233")</f>
        <v/>
      </c>
      <c r="K1237">
        <f>_xlfn.NUMBERVALUE("0.000258")</f>
        <v/>
      </c>
      <c r="L1237">
        <f>_xlfn.NUMBERVALUE("-0.000198")</f>
        <v/>
      </c>
      <c r="M1237">
        <f>_xlfn.NUMBERVALUE("0.000164")</f>
        <v/>
      </c>
      <c r="N1237">
        <f>_xlfn.NUMBERVALUE("0.000994")</f>
        <v/>
      </c>
      <c r="O1237">
        <f>_xlfn.NUMBERVALUE("0.000688")</f>
        <v/>
      </c>
      <c r="P1237">
        <f>_xlfn.NUMBERVALUE("0.000376")</f>
        <v/>
      </c>
      <c r="Q1237">
        <f>_xlfn.NUMBERVALUE("0.001390")</f>
        <v/>
      </c>
      <c r="R1237">
        <f>_xlfn.NUMBERVALUE("0.000566")</f>
        <v/>
      </c>
      <c r="S1237">
        <f>_xlfn.NUMBERVALUE("-0.000538")</f>
        <v/>
      </c>
      <c r="T1237">
        <f>_xlfn.NUMBERVALUE("0.001160")</f>
        <v/>
      </c>
      <c r="U1237">
        <f>_xlfn.NUMBERVALUE("-0.001383")</f>
        <v/>
      </c>
      <c r="V1237">
        <f>_xlfn.NUMBERVALUE("-0.000026")</f>
        <v/>
      </c>
      <c r="W1237">
        <f>_xlfn.NUMBERVALUE("0.002843")</f>
        <v/>
      </c>
      <c r="X1237">
        <f>_xlfn.NUMBERVALUE("-0.330000")</f>
        <v/>
      </c>
      <c r="Y1237">
        <f>_xlfn.NUMBERVALUE("11.540000")</f>
        <v/>
      </c>
    </row>
    <row r="1238">
      <c r="A1238" s="1" t="n">
        <v>43796</v>
      </c>
      <c r="B1238">
        <f>_xlfn.NUMBERVALUE("0.000000")</f>
        <v/>
      </c>
      <c r="C1238" s="2">
        <f>_xlfn.NUMBERVALUE("0.000171")</f>
        <v/>
      </c>
      <c r="D1238">
        <f>_xlfn.NUMBERVALUE("0.001190")</f>
        <v/>
      </c>
      <c r="E1238">
        <f>_xlfn.NUMBERVALUE("-0.000164")</f>
        <v/>
      </c>
      <c r="F1238">
        <f>_xlfn.NUMBERVALUE("-0.000037")</f>
        <v/>
      </c>
      <c r="G1238">
        <f>_xlfn.NUMBERVALUE("-0.000048")</f>
        <v/>
      </c>
      <c r="H1238">
        <f>_xlfn.NUMBERVALUE("0.001125")</f>
        <v/>
      </c>
      <c r="I1238">
        <f>_xlfn.NUMBERVALUE("0.000464")</f>
        <v/>
      </c>
      <c r="J1238">
        <f>_xlfn.NUMBERVALUE("0.000128")</f>
        <v/>
      </c>
      <c r="K1238">
        <f>_xlfn.NUMBERVALUE("0.000038")</f>
        <v/>
      </c>
      <c r="L1238">
        <f>_xlfn.NUMBERVALUE("0.000932")</f>
        <v/>
      </c>
      <c r="M1238">
        <f>_xlfn.NUMBERVALUE("0.000281")</f>
        <v/>
      </c>
      <c r="N1238">
        <f>_xlfn.NUMBERVALUE("-0.000785")</f>
        <v/>
      </c>
      <c r="O1238">
        <f>_xlfn.NUMBERVALUE("0.000946")</f>
        <v/>
      </c>
      <c r="P1238">
        <f>_xlfn.NUMBERVALUE("-0.000567")</f>
        <v/>
      </c>
      <c r="Q1238">
        <f>_xlfn.NUMBERVALUE("0.000745")</f>
        <v/>
      </c>
      <c r="R1238">
        <f>_xlfn.NUMBERVALUE("0.000563")</f>
        <v/>
      </c>
      <c r="S1238">
        <f>_xlfn.NUMBERVALUE("-0.000234")</f>
        <v/>
      </c>
      <c r="T1238">
        <f>_xlfn.NUMBERVALUE("0.001316")</f>
        <v/>
      </c>
      <c r="U1238">
        <f>_xlfn.NUMBERVALUE("-0.002634")</f>
        <v/>
      </c>
      <c r="V1238">
        <f>_xlfn.NUMBERVALUE("0.000358")</f>
        <v/>
      </c>
      <c r="W1238">
        <f>_xlfn.NUMBERVALUE("0.004268")</f>
        <v/>
      </c>
      <c r="X1238">
        <f>_xlfn.NUMBERVALUE("0.210000")</f>
        <v/>
      </c>
      <c r="Y1238">
        <f>_xlfn.NUMBERVALUE("11.750000")</f>
        <v/>
      </c>
    </row>
    <row r="1239">
      <c r="A1239" s="1" t="n">
        <v>43798</v>
      </c>
      <c r="B1239">
        <f>_xlfn.NUMBERVALUE("0.000000")</f>
        <v/>
      </c>
      <c r="C1239" s="2">
        <f>_xlfn.NUMBERVALUE("-0.000233")</f>
        <v/>
      </c>
      <c r="D1239">
        <f>_xlfn.NUMBERVALUE("-0.003313")</f>
        <v/>
      </c>
      <c r="E1239">
        <f>_xlfn.NUMBERVALUE("0.000552")</f>
        <v/>
      </c>
      <c r="F1239">
        <f>_xlfn.NUMBERVALUE("0.000020")</f>
        <v/>
      </c>
      <c r="G1239">
        <f>_xlfn.NUMBERVALUE("-0.000437")</f>
        <v/>
      </c>
      <c r="H1239">
        <f>_xlfn.NUMBERVALUE("0.000203")</f>
        <v/>
      </c>
      <c r="I1239">
        <f>_xlfn.NUMBERVALUE("-0.000091")</f>
        <v/>
      </c>
      <c r="J1239">
        <f>_xlfn.NUMBERVALUE("0.000377")</f>
        <v/>
      </c>
      <c r="K1239">
        <f>_xlfn.NUMBERVALUE("0.000030")</f>
        <v/>
      </c>
      <c r="L1239">
        <f>_xlfn.NUMBERVALUE("0.000902")</f>
        <v/>
      </c>
      <c r="M1239">
        <f>_xlfn.NUMBERVALUE("0.000798")</f>
        <v/>
      </c>
      <c r="N1239">
        <f>_xlfn.NUMBERVALUE("0.000742")</f>
        <v/>
      </c>
      <c r="O1239">
        <f>_xlfn.NUMBERVALUE("-0.001025")</f>
        <v/>
      </c>
      <c r="P1239">
        <f>_xlfn.NUMBERVALUE("0.000073")</f>
        <v/>
      </c>
      <c r="Q1239">
        <f>_xlfn.NUMBERVALUE("0.000459")</f>
        <v/>
      </c>
      <c r="R1239">
        <f>_xlfn.NUMBERVALUE("0.000375")</f>
        <v/>
      </c>
      <c r="S1239">
        <f>_xlfn.NUMBERVALUE("0.000719")</f>
        <v/>
      </c>
      <c r="T1239">
        <f>_xlfn.NUMBERVALUE("0.000733")</f>
        <v/>
      </c>
      <c r="U1239">
        <f>_xlfn.NUMBERVALUE("-0.000458")</f>
        <v/>
      </c>
      <c r="V1239">
        <f>_xlfn.NUMBERVALUE("0.000057")</f>
        <v/>
      </c>
      <c r="W1239">
        <f>_xlfn.NUMBERVALUE("-0.003172")</f>
        <v/>
      </c>
      <c r="X1239">
        <f>_xlfn.NUMBERVALUE("0.870000")</f>
        <v/>
      </c>
      <c r="Y1239">
        <f>_xlfn.NUMBERVALUE("12.620000")</f>
        <v/>
      </c>
    </row>
    <row r="1240">
      <c r="A1240" s="1" t="n">
        <v>43801</v>
      </c>
      <c r="B1240">
        <f>_xlfn.NUMBERVALUE("0.000000")</f>
        <v/>
      </c>
      <c r="C1240" s="2">
        <f>_xlfn.NUMBERVALUE("0.001042")</f>
        <v/>
      </c>
      <c r="D1240">
        <f>_xlfn.NUMBERVALUE("0.000493")</f>
        <v/>
      </c>
      <c r="E1240">
        <f>_xlfn.NUMBERVALUE("0.002359")</f>
        <v/>
      </c>
      <c r="F1240">
        <f>_xlfn.NUMBERVALUE("-0.000362")</f>
        <v/>
      </c>
      <c r="G1240">
        <f>_xlfn.NUMBERVALUE("0.001302")</f>
        <v/>
      </c>
      <c r="H1240">
        <f>_xlfn.NUMBERVALUE("-0.006529")</f>
        <v/>
      </c>
      <c r="I1240">
        <f>_xlfn.NUMBERVALUE("0.001650")</f>
        <v/>
      </c>
      <c r="J1240">
        <f>_xlfn.NUMBERVALUE("-0.002029")</f>
        <v/>
      </c>
      <c r="K1240">
        <f>_xlfn.NUMBERVALUE("0.000007")</f>
        <v/>
      </c>
      <c r="L1240">
        <f>_xlfn.NUMBERVALUE("-0.003017")</f>
        <v/>
      </c>
      <c r="M1240">
        <f>_xlfn.NUMBERVALUE("-0.000204")</f>
        <v/>
      </c>
      <c r="N1240">
        <f>_xlfn.NUMBERVALUE("0.001501")</f>
        <v/>
      </c>
      <c r="O1240">
        <f>_xlfn.NUMBERVALUE("0.001921")</f>
        <v/>
      </c>
      <c r="P1240">
        <f>_xlfn.NUMBERVALUE("0.000803")</f>
        <v/>
      </c>
      <c r="Q1240">
        <f>_xlfn.NUMBERVALUE("-0.002715")</f>
        <v/>
      </c>
      <c r="R1240">
        <f>_xlfn.NUMBERVALUE("-0.000370")</f>
        <v/>
      </c>
      <c r="S1240">
        <f>_xlfn.NUMBERVALUE("0.000058")</f>
        <v/>
      </c>
      <c r="T1240">
        <f>_xlfn.NUMBERVALUE("-0.000161")</f>
        <v/>
      </c>
      <c r="U1240">
        <f>_xlfn.NUMBERVALUE("-0.000138")</f>
        <v/>
      </c>
      <c r="V1240">
        <f>_xlfn.NUMBERVALUE("0.000717")</f>
        <v/>
      </c>
      <c r="W1240">
        <f>_xlfn.NUMBERVALUE("-0.006841")</f>
        <v/>
      </c>
      <c r="X1240">
        <f>_xlfn.NUMBERVALUE("2.290000")</f>
        <v/>
      </c>
      <c r="Y1240">
        <f>_xlfn.NUMBERVALUE("14.910000")</f>
        <v/>
      </c>
    </row>
    <row r="1241">
      <c r="A1241" s="1" t="n">
        <v>43802</v>
      </c>
      <c r="B1241">
        <f>_xlfn.NUMBERVALUE("0.000000")</f>
        <v/>
      </c>
      <c r="C1241" s="2">
        <f>_xlfn.NUMBERVALUE("0.000721")</f>
        <v/>
      </c>
      <c r="D1241">
        <f>_xlfn.NUMBERVALUE("-0.000016")</f>
        <v/>
      </c>
      <c r="E1241">
        <f>_xlfn.NUMBERVALUE("-0.000370")</f>
        <v/>
      </c>
      <c r="F1241">
        <f>_xlfn.NUMBERVALUE("0.000205")</f>
        <v/>
      </c>
      <c r="G1241">
        <f>_xlfn.NUMBERVALUE("0.000038")</f>
        <v/>
      </c>
      <c r="H1241">
        <f>_xlfn.NUMBERVALUE("0.012280")</f>
        <v/>
      </c>
      <c r="I1241">
        <f>_xlfn.NUMBERVALUE("0.001951")</f>
        <v/>
      </c>
      <c r="J1241">
        <f>_xlfn.NUMBERVALUE("-0.007036")</f>
        <v/>
      </c>
      <c r="K1241">
        <f>_xlfn.NUMBERVALUE("-0.000000")</f>
        <v/>
      </c>
      <c r="L1241">
        <f>_xlfn.NUMBERVALUE("-0.012169")</f>
        <v/>
      </c>
      <c r="M1241">
        <f>_xlfn.NUMBERVALUE("-0.000658")</f>
        <v/>
      </c>
      <c r="N1241">
        <f>_xlfn.NUMBERVALUE("0.000606")</f>
        <v/>
      </c>
      <c r="O1241">
        <f>_xlfn.NUMBERVALUE("-0.003438")</f>
        <v/>
      </c>
      <c r="P1241">
        <f>_xlfn.NUMBERVALUE("-0.000763")</f>
        <v/>
      </c>
      <c r="Q1241">
        <f>_xlfn.NUMBERVALUE("-0.002901")</f>
        <v/>
      </c>
      <c r="R1241">
        <f>_xlfn.NUMBERVALUE("-0.000275")</f>
        <v/>
      </c>
      <c r="S1241">
        <f>_xlfn.NUMBERVALUE("-0.000125")</f>
        <v/>
      </c>
      <c r="T1241">
        <f>_xlfn.NUMBERVALUE("0.001449")</f>
        <v/>
      </c>
      <c r="U1241">
        <f>_xlfn.NUMBERVALUE("-0.002554")</f>
        <v/>
      </c>
      <c r="V1241">
        <f>_xlfn.NUMBERVALUE("0.000617")</f>
        <v/>
      </c>
      <c r="W1241">
        <f>_xlfn.NUMBERVALUE("-0.004758")</f>
        <v/>
      </c>
      <c r="X1241">
        <f>_xlfn.NUMBERVALUE("1.050000")</f>
        <v/>
      </c>
      <c r="Y1241">
        <f>_xlfn.NUMBERVALUE("15.960000")</f>
        <v/>
      </c>
    </row>
    <row r="1242">
      <c r="A1242" s="1" t="n">
        <v>43803</v>
      </c>
      <c r="B1242">
        <f>_xlfn.NUMBERVALUE("0.000000")</f>
        <v/>
      </c>
      <c r="C1242" s="2">
        <f>_xlfn.NUMBERVALUE("0.001354")</f>
        <v/>
      </c>
      <c r="D1242">
        <f>_xlfn.NUMBERVALUE("0.001039")</f>
        <v/>
      </c>
      <c r="E1242">
        <f>_xlfn.NUMBERVALUE("0.000066")</f>
        <v/>
      </c>
      <c r="F1242">
        <f>_xlfn.NUMBERVALUE("0.001473")</f>
        <v/>
      </c>
      <c r="G1242">
        <f>_xlfn.NUMBERVALUE("-0.000309")</f>
        <v/>
      </c>
      <c r="H1242">
        <f>_xlfn.NUMBERVALUE("0.001120")</f>
        <v/>
      </c>
      <c r="I1242">
        <f>_xlfn.NUMBERVALUE("0.000341")</f>
        <v/>
      </c>
      <c r="J1242">
        <f>_xlfn.NUMBERVALUE("0.000431")</f>
        <v/>
      </c>
      <c r="K1242">
        <f>_xlfn.NUMBERVALUE("-0.002146")</f>
        <v/>
      </c>
      <c r="L1242">
        <f>_xlfn.NUMBERVALUE("0.001423")</f>
        <v/>
      </c>
      <c r="M1242">
        <f>_xlfn.NUMBERVALUE("0.002755")</f>
        <v/>
      </c>
      <c r="N1242">
        <f>_xlfn.NUMBERVALUE("-0.000341")</f>
        <v/>
      </c>
      <c r="O1242">
        <f>_xlfn.NUMBERVALUE("0.000544")</f>
        <v/>
      </c>
      <c r="P1242">
        <f>_xlfn.NUMBERVALUE("-0.001186")</f>
        <v/>
      </c>
      <c r="Q1242">
        <f>_xlfn.NUMBERVALUE("0.000948")</f>
        <v/>
      </c>
      <c r="R1242">
        <f>_xlfn.NUMBERVALUE("0.001618")</f>
        <v/>
      </c>
      <c r="S1242">
        <f>_xlfn.NUMBERVALUE("-0.000634")</f>
        <v/>
      </c>
      <c r="T1242">
        <f>_xlfn.NUMBERVALUE("-0.002558")</f>
        <v/>
      </c>
      <c r="U1242">
        <f>_xlfn.NUMBERVALUE("0.000887")</f>
        <v/>
      </c>
      <c r="V1242">
        <f>_xlfn.NUMBERVALUE("0.000484")</f>
        <v/>
      </c>
      <c r="W1242">
        <f>_xlfn.NUMBERVALUE("0.008475")</f>
        <v/>
      </c>
      <c r="X1242">
        <f>_xlfn.NUMBERVALUE("-1.160000")</f>
        <v/>
      </c>
      <c r="Y1242">
        <f>_xlfn.NUMBERVALUE("14.800000")</f>
        <v/>
      </c>
    </row>
    <row r="1243">
      <c r="A1243" s="1" t="n">
        <v>43804</v>
      </c>
      <c r="B1243">
        <f>_xlfn.NUMBERVALUE("0.000000")</f>
        <v/>
      </c>
      <c r="C1243" s="2">
        <f>_xlfn.NUMBERVALUE("0.001344")</f>
        <v/>
      </c>
      <c r="D1243">
        <f>_xlfn.NUMBERVALUE("0.001351")</f>
        <v/>
      </c>
      <c r="E1243">
        <f>_xlfn.NUMBERVALUE("-0.000117")</f>
        <v/>
      </c>
      <c r="F1243">
        <f>_xlfn.NUMBERVALUE("0.001058")</f>
        <v/>
      </c>
      <c r="G1243">
        <f>_xlfn.NUMBERVALUE("0.000422")</f>
        <v/>
      </c>
      <c r="H1243">
        <f>_xlfn.NUMBERVALUE("-0.008257")</f>
        <v/>
      </c>
      <c r="I1243">
        <f>_xlfn.NUMBERVALUE("0.001920")</f>
        <v/>
      </c>
      <c r="J1243">
        <f>_xlfn.NUMBERVALUE("0.000059")</f>
        <v/>
      </c>
      <c r="K1243">
        <f>_xlfn.NUMBERVALUE("0.002217")</f>
        <v/>
      </c>
      <c r="L1243">
        <f>_xlfn.NUMBERVALUE("-0.000441")</f>
        <v/>
      </c>
      <c r="M1243">
        <f>_xlfn.NUMBERVALUE("0.002446")</f>
        <v/>
      </c>
      <c r="N1243">
        <f>_xlfn.NUMBERVALUE("-0.000169")</f>
        <v/>
      </c>
      <c r="O1243">
        <f>_xlfn.NUMBERVALUE("0.001293")</f>
        <v/>
      </c>
      <c r="P1243">
        <f>_xlfn.NUMBERVALUE("0.001164")</f>
        <v/>
      </c>
      <c r="Q1243">
        <f>_xlfn.NUMBERVALUE("0.000493")</f>
        <v/>
      </c>
      <c r="R1243">
        <f>_xlfn.NUMBERVALUE("0.000929")</f>
        <v/>
      </c>
      <c r="S1243">
        <f>_xlfn.NUMBERVALUE("0.000020")</f>
        <v/>
      </c>
      <c r="T1243">
        <f>_xlfn.NUMBERVALUE("0.001838")</f>
        <v/>
      </c>
      <c r="U1243">
        <f>_xlfn.NUMBERVALUE("0.001221")</f>
        <v/>
      </c>
      <c r="V1243">
        <f>_xlfn.NUMBERVALUE("0.000836")</f>
        <v/>
      </c>
      <c r="W1243">
        <f>_xlfn.NUMBERVALUE("0.001091")</f>
        <v/>
      </c>
      <c r="X1243">
        <f>_xlfn.NUMBERVALUE("-0.280000")</f>
        <v/>
      </c>
      <c r="Y1243">
        <f>_xlfn.NUMBERVALUE("14.520000")</f>
        <v/>
      </c>
    </row>
    <row r="1244">
      <c r="A1244" s="1" t="n">
        <v>43805</v>
      </c>
      <c r="B1244">
        <f>_xlfn.NUMBERVALUE("0.000000")</f>
        <v/>
      </c>
      <c r="C1244" s="2">
        <f>_xlfn.NUMBERVALUE("-0.001040")</f>
        <v/>
      </c>
      <c r="D1244">
        <f>_xlfn.NUMBERVALUE("-0.000428")</f>
        <v/>
      </c>
      <c r="E1244">
        <f>_xlfn.NUMBERVALUE("0.000489")</f>
        <v/>
      </c>
      <c r="F1244">
        <f>_xlfn.NUMBERVALUE("-0.000855")</f>
        <v/>
      </c>
      <c r="G1244">
        <f>_xlfn.NUMBERVALUE("-0.000193")</f>
        <v/>
      </c>
      <c r="H1244">
        <f>_xlfn.NUMBERVALUE("0.007031")</f>
        <v/>
      </c>
      <c r="I1244">
        <f>_xlfn.NUMBERVALUE("0.000400")</f>
        <v/>
      </c>
      <c r="J1244">
        <f>_xlfn.NUMBERVALUE("0.000025")</f>
        <v/>
      </c>
      <c r="K1244">
        <f>_xlfn.NUMBERVALUE("-0.005108")</f>
        <v/>
      </c>
      <c r="L1244">
        <f>_xlfn.NUMBERVALUE("-0.000600")</f>
        <v/>
      </c>
      <c r="M1244">
        <f>_xlfn.NUMBERVALUE("-0.004593")</f>
        <v/>
      </c>
      <c r="N1244">
        <f>_xlfn.NUMBERVALUE("0.000638")</f>
        <v/>
      </c>
      <c r="O1244">
        <f>_xlfn.NUMBERVALUE("0.002481")</f>
        <v/>
      </c>
      <c r="P1244">
        <f>_xlfn.NUMBERVALUE("-0.001446")</f>
        <v/>
      </c>
      <c r="Q1244">
        <f>_xlfn.NUMBERVALUE("0.000659")</f>
        <v/>
      </c>
      <c r="R1244">
        <f>_xlfn.NUMBERVALUE("-0.000492")</f>
        <v/>
      </c>
      <c r="S1244">
        <f>_xlfn.NUMBERVALUE("-0.000003")</f>
        <v/>
      </c>
      <c r="T1244">
        <f>_xlfn.NUMBERVALUE("0.000987")</f>
        <v/>
      </c>
      <c r="U1244">
        <f>_xlfn.NUMBERVALUE("0.001749")</f>
        <v/>
      </c>
      <c r="V1244">
        <f>_xlfn.NUMBERVALUE("-0.000332")</f>
        <v/>
      </c>
      <c r="W1244">
        <f>_xlfn.NUMBERVALUE("0.009612")</f>
        <v/>
      </c>
      <c r="X1244">
        <f>_xlfn.NUMBERVALUE("-0.900000")</f>
        <v/>
      </c>
      <c r="Y1244">
        <f>_xlfn.NUMBERVALUE("13.620000")</f>
        <v/>
      </c>
    </row>
    <row r="1245">
      <c r="A1245" s="1" t="n">
        <v>43808</v>
      </c>
      <c r="B1245">
        <f>_xlfn.NUMBERVALUE("0.000000")</f>
        <v/>
      </c>
      <c r="C1245" s="2">
        <f>_xlfn.NUMBERVALUE("0.000092")</f>
        <v/>
      </c>
      <c r="D1245">
        <f>_xlfn.NUMBERVALUE("0.002317")</f>
        <v/>
      </c>
      <c r="E1245">
        <f>_xlfn.NUMBERVALUE("-0.000537")</f>
        <v/>
      </c>
      <c r="F1245">
        <f>_xlfn.NUMBERVALUE("0.000848")</f>
        <v/>
      </c>
      <c r="G1245">
        <f>_xlfn.NUMBERVALUE("0.000805")</f>
        <v/>
      </c>
      <c r="H1245">
        <f>_xlfn.NUMBERVALUE("0.000725")</f>
        <v/>
      </c>
      <c r="I1245">
        <f>_xlfn.NUMBERVALUE("-0.000195")</f>
        <v/>
      </c>
      <c r="J1245">
        <f>_xlfn.NUMBERVALUE("-0.000024")</f>
        <v/>
      </c>
      <c r="K1245">
        <f>_xlfn.NUMBERVALUE("0.002132")</f>
        <v/>
      </c>
      <c r="L1245">
        <f>_xlfn.NUMBERVALUE("0.000528")</f>
        <v/>
      </c>
      <c r="M1245">
        <f>_xlfn.NUMBERVALUE("0.000474")</f>
        <v/>
      </c>
      <c r="N1245">
        <f>_xlfn.NUMBERVALUE("0.001007")</f>
        <v/>
      </c>
      <c r="O1245">
        <f>_xlfn.NUMBERVALUE("0.000289")</f>
        <v/>
      </c>
      <c r="P1245">
        <f>_xlfn.NUMBERVALUE("0.000330")</f>
        <v/>
      </c>
      <c r="Q1245">
        <f>_xlfn.NUMBERVALUE("0.000258")</f>
        <v/>
      </c>
      <c r="R1245">
        <f>_xlfn.NUMBERVALUE("-0.000265")</f>
        <v/>
      </c>
      <c r="S1245">
        <f>_xlfn.NUMBERVALUE("0.000648")</f>
        <v/>
      </c>
      <c r="T1245">
        <f>_xlfn.NUMBERVALUE("0.000688")</f>
        <v/>
      </c>
      <c r="U1245">
        <f>_xlfn.NUMBERVALUE("0.000315")</f>
        <v/>
      </c>
      <c r="V1245">
        <f>_xlfn.NUMBERVALUE("-0.000407")</f>
        <v/>
      </c>
      <c r="W1245">
        <f>_xlfn.NUMBERVALUE("-0.003173")</f>
        <v/>
      </c>
      <c r="X1245">
        <f>_xlfn.NUMBERVALUE("2.240000")</f>
        <v/>
      </c>
      <c r="Y1245">
        <f>_xlfn.NUMBERVALUE("15.860000")</f>
        <v/>
      </c>
    </row>
    <row r="1246">
      <c r="A1246" s="1" t="n">
        <v>43809</v>
      </c>
      <c r="B1246">
        <f>_xlfn.NUMBERVALUE("0.000000")</f>
        <v/>
      </c>
      <c r="C1246" s="2">
        <f>_xlfn.NUMBERVALUE("0.000245")</f>
        <v/>
      </c>
      <c r="D1246">
        <f>_xlfn.NUMBERVALUE("0.000338")</f>
        <v/>
      </c>
      <c r="E1246">
        <f>_xlfn.NUMBERVALUE("0.000621")</f>
        <v/>
      </c>
      <c r="F1246">
        <f>_xlfn.NUMBERVALUE("0.000917")</f>
        <v/>
      </c>
      <c r="G1246">
        <f>_xlfn.NUMBERVALUE("0.000558")</f>
        <v/>
      </c>
      <c r="H1246">
        <f>_xlfn.NUMBERVALUE("0.002299")</f>
        <v/>
      </c>
      <c r="I1246">
        <f>_xlfn.NUMBERVALUE("0.000418")</f>
        <v/>
      </c>
      <c r="J1246">
        <f>_xlfn.NUMBERVALUE("0.000957")</f>
        <v/>
      </c>
      <c r="K1246">
        <f>_xlfn.NUMBERVALUE("0.000575")</f>
        <v/>
      </c>
      <c r="L1246">
        <f>_xlfn.NUMBERVALUE("0.000715")</f>
        <v/>
      </c>
      <c r="M1246">
        <f>_xlfn.NUMBERVALUE("-0.000299")</f>
        <v/>
      </c>
      <c r="N1246">
        <f>_xlfn.NUMBERVALUE("0.002142")</f>
        <v/>
      </c>
      <c r="O1246">
        <f>_xlfn.NUMBERVALUE("0.001115")</f>
        <v/>
      </c>
      <c r="P1246">
        <f>_xlfn.NUMBERVALUE("0.000057")</f>
        <v/>
      </c>
      <c r="Q1246">
        <f>_xlfn.NUMBERVALUE("0.000213")</f>
        <v/>
      </c>
      <c r="R1246">
        <f>_xlfn.NUMBERVALUE("-0.000156")</f>
        <v/>
      </c>
      <c r="S1246">
        <f>_xlfn.NUMBERVALUE("0.000395")</f>
        <v/>
      </c>
      <c r="T1246">
        <f>_xlfn.NUMBERVALUE("0.001987")</f>
        <v/>
      </c>
      <c r="U1246">
        <f>_xlfn.NUMBERVALUE("0.000832")</f>
        <v/>
      </c>
      <c r="V1246">
        <f>_xlfn.NUMBERVALUE("0.000352")</f>
        <v/>
      </c>
      <c r="W1246">
        <f>_xlfn.NUMBERVALUE("-0.002165")</f>
        <v/>
      </c>
      <c r="X1246">
        <f>_xlfn.NUMBERVALUE("-0.180000")</f>
        <v/>
      </c>
      <c r="Y1246">
        <f>_xlfn.NUMBERVALUE("15.680000")</f>
        <v/>
      </c>
    </row>
    <row r="1247">
      <c r="A1247" s="1" t="n">
        <v>43810</v>
      </c>
      <c r="B1247">
        <f>_xlfn.NUMBERVALUE("0.000000")</f>
        <v/>
      </c>
      <c r="C1247" s="2">
        <f>_xlfn.NUMBERVALUE("0.000770")</f>
        <v/>
      </c>
      <c r="D1247">
        <f>_xlfn.NUMBERVALUE("-0.003162")</f>
        <v/>
      </c>
      <c r="E1247">
        <f>_xlfn.NUMBERVALUE("0.000124")</f>
        <v/>
      </c>
      <c r="F1247">
        <f>_xlfn.NUMBERVALUE("-0.000781")</f>
        <v/>
      </c>
      <c r="G1247">
        <f>_xlfn.NUMBERVALUE("0.000511")</f>
        <v/>
      </c>
      <c r="H1247">
        <f>_xlfn.NUMBERVALUE("-0.003088")</f>
        <v/>
      </c>
      <c r="I1247">
        <f>_xlfn.NUMBERVALUE("0.001042")</f>
        <v/>
      </c>
      <c r="J1247">
        <f>_xlfn.NUMBERVALUE("-0.000006")</f>
        <v/>
      </c>
      <c r="K1247">
        <f>_xlfn.NUMBERVALUE("-0.000346")</f>
        <v/>
      </c>
      <c r="L1247">
        <f>_xlfn.NUMBERVALUE("0.000997")</f>
        <v/>
      </c>
      <c r="M1247">
        <f>_xlfn.NUMBERVALUE("0.000184")</f>
        <v/>
      </c>
      <c r="N1247">
        <f>_xlfn.NUMBERVALUE("0.000910")</f>
        <v/>
      </c>
      <c r="O1247">
        <f>_xlfn.NUMBERVALUE("0.001243")</f>
        <v/>
      </c>
      <c r="P1247">
        <f>_xlfn.NUMBERVALUE("0.001659")</f>
        <v/>
      </c>
      <c r="Q1247">
        <f>_xlfn.NUMBERVALUE("-0.000060")</f>
        <v/>
      </c>
      <c r="R1247">
        <f>_xlfn.NUMBERVALUE("0.000494")</f>
        <v/>
      </c>
      <c r="S1247">
        <f>_xlfn.NUMBERVALUE("-0.000127")</f>
        <v/>
      </c>
      <c r="T1247">
        <f>_xlfn.NUMBERVALUE("0.000459")</f>
        <v/>
      </c>
      <c r="U1247">
        <f>_xlfn.NUMBERVALUE("0.000595")</f>
        <v/>
      </c>
      <c r="V1247">
        <f>_xlfn.NUMBERVALUE("0.000936")</f>
        <v/>
      </c>
      <c r="W1247">
        <f>_xlfn.NUMBERVALUE("0.002584")</f>
        <v/>
      </c>
      <c r="X1247">
        <f>_xlfn.NUMBERVALUE("-0.690000")</f>
        <v/>
      </c>
      <c r="Y1247">
        <f>_xlfn.NUMBERVALUE("14.990000")</f>
        <v/>
      </c>
    </row>
    <row r="1248">
      <c r="A1248" s="1" t="n">
        <v>43811</v>
      </c>
      <c r="B1248">
        <f>_xlfn.NUMBERVALUE("0.000000")</f>
        <v/>
      </c>
      <c r="C1248" s="2">
        <f>_xlfn.NUMBERVALUE("0.000132")</f>
        <v/>
      </c>
      <c r="D1248">
        <f>_xlfn.NUMBERVALUE("-0.002723")</f>
        <v/>
      </c>
      <c r="E1248">
        <f>_xlfn.NUMBERVALUE("0.000394")</f>
        <v/>
      </c>
      <c r="F1248">
        <f>_xlfn.NUMBERVALUE("0.000083")</f>
        <v/>
      </c>
      <c r="G1248">
        <f>_xlfn.NUMBERVALUE("-0.000320")</f>
        <v/>
      </c>
      <c r="H1248">
        <f>_xlfn.NUMBERVALUE("-0.005771")</f>
        <v/>
      </c>
      <c r="I1248">
        <f>_xlfn.NUMBERVALUE("-0.000144")</f>
        <v/>
      </c>
      <c r="J1248">
        <f>_xlfn.NUMBERVALUE("0.000901")</f>
        <v/>
      </c>
      <c r="K1248">
        <f>_xlfn.NUMBERVALUE("0.001122")</f>
        <v/>
      </c>
      <c r="L1248">
        <f>_xlfn.NUMBERVALUE("-0.003047")</f>
        <v/>
      </c>
      <c r="M1248">
        <f>_xlfn.NUMBERVALUE("-0.002614")</f>
        <v/>
      </c>
      <c r="N1248">
        <f>_xlfn.NUMBERVALUE("0.000410")</f>
        <v/>
      </c>
      <c r="O1248">
        <f>_xlfn.NUMBERVALUE("-0.003602")</f>
        <v/>
      </c>
      <c r="P1248">
        <f>_xlfn.NUMBERVALUE("-0.006679")</f>
        <v/>
      </c>
      <c r="Q1248">
        <f>_xlfn.NUMBERVALUE("-0.001142")</f>
        <v/>
      </c>
      <c r="R1248">
        <f>_xlfn.NUMBERVALUE("0.000029")</f>
        <v/>
      </c>
      <c r="S1248">
        <f>_xlfn.NUMBERVALUE("0.000248")</f>
        <v/>
      </c>
      <c r="T1248">
        <f>_xlfn.NUMBERVALUE("-0.000051")</f>
        <v/>
      </c>
      <c r="U1248">
        <f>_xlfn.NUMBERVALUE("-0.000908")</f>
        <v/>
      </c>
      <c r="V1248">
        <f>_xlfn.NUMBERVALUE("-0.000304")</f>
        <v/>
      </c>
      <c r="W1248">
        <f>_xlfn.NUMBERVALUE("0.009706")</f>
        <v/>
      </c>
      <c r="X1248">
        <f>_xlfn.NUMBERVALUE("-1.050000")</f>
        <v/>
      </c>
      <c r="Y1248">
        <f>_xlfn.NUMBERVALUE("13.940000")</f>
        <v/>
      </c>
    </row>
    <row r="1249">
      <c r="A1249" s="1" t="n">
        <v>43812</v>
      </c>
      <c r="B1249">
        <f>_xlfn.NUMBERVALUE("0.000000")</f>
        <v/>
      </c>
      <c r="C1249" s="2">
        <f>_xlfn.NUMBERVALUE("0.002516")</f>
        <v/>
      </c>
      <c r="D1249">
        <f>_xlfn.NUMBERVALUE("0.003310")</f>
        <v/>
      </c>
      <c r="E1249">
        <f>_xlfn.NUMBERVALUE("0.002104")</f>
        <v/>
      </c>
      <c r="F1249">
        <f>_xlfn.NUMBERVALUE("0.001987")</f>
        <v/>
      </c>
      <c r="G1249">
        <f>_xlfn.NUMBERVALUE("0.000112")</f>
        <v/>
      </c>
      <c r="H1249">
        <f>_xlfn.NUMBERVALUE("-0.012307")</f>
        <v/>
      </c>
      <c r="I1249">
        <f>_xlfn.NUMBERVALUE("0.003845")</f>
        <v/>
      </c>
      <c r="J1249">
        <f>_xlfn.NUMBERVALUE("-0.002146")</f>
        <v/>
      </c>
      <c r="K1249">
        <f>_xlfn.NUMBERVALUE("0.001783")</f>
        <v/>
      </c>
      <c r="L1249">
        <f>_xlfn.NUMBERVALUE("0.002077")</f>
        <v/>
      </c>
      <c r="M1249">
        <f>_xlfn.NUMBERVALUE("0.002490")</f>
        <v/>
      </c>
      <c r="N1249">
        <f>_xlfn.NUMBERVALUE("-0.000014")</f>
        <v/>
      </c>
      <c r="O1249">
        <f>_xlfn.NUMBERVALUE("0.003765")</f>
        <v/>
      </c>
      <c r="P1249">
        <f>_xlfn.NUMBERVALUE("0.003703")</f>
        <v/>
      </c>
      <c r="Q1249">
        <f>_xlfn.NUMBERVALUE("0.003151")</f>
        <v/>
      </c>
      <c r="R1249">
        <f>_xlfn.NUMBERVALUE("0.002160")</f>
        <v/>
      </c>
      <c r="S1249">
        <f>_xlfn.NUMBERVALUE("0.003253")</f>
        <v/>
      </c>
      <c r="T1249">
        <f>_xlfn.NUMBERVALUE("-0.000462")</f>
        <v/>
      </c>
      <c r="U1249">
        <f>_xlfn.NUMBERVALUE("0.002820")</f>
        <v/>
      </c>
      <c r="V1249">
        <f>_xlfn.NUMBERVALUE("0.002387")</f>
        <v/>
      </c>
      <c r="W1249">
        <f>_xlfn.NUMBERVALUE("0.000032")</f>
        <v/>
      </c>
      <c r="X1249">
        <f>_xlfn.NUMBERVALUE("-1.310000")</f>
        <v/>
      </c>
      <c r="Y1249">
        <f>_xlfn.NUMBERVALUE("12.630000")</f>
        <v/>
      </c>
    </row>
    <row r="1250">
      <c r="A1250" s="1" t="n">
        <v>43815</v>
      </c>
      <c r="B1250">
        <f>_xlfn.NUMBERVALUE("0.000000")</f>
        <v/>
      </c>
      <c r="C1250" s="2">
        <f>_xlfn.NUMBERVALUE("0.000344")</f>
        <v/>
      </c>
      <c r="D1250">
        <f>_xlfn.NUMBERVALUE("-0.012455")</f>
        <v/>
      </c>
      <c r="E1250">
        <f>_xlfn.NUMBERVALUE("-0.006942")</f>
        <v/>
      </c>
      <c r="F1250">
        <f>_xlfn.NUMBERVALUE("0.001445")</f>
        <v/>
      </c>
      <c r="G1250">
        <f>_xlfn.NUMBERVALUE("0.000596")</f>
        <v/>
      </c>
      <c r="H1250">
        <f>_xlfn.NUMBERVALUE("0.009905")</f>
        <v/>
      </c>
      <c r="I1250">
        <f>_xlfn.NUMBERVALUE("-0.001099")</f>
        <v/>
      </c>
      <c r="J1250">
        <f>_xlfn.NUMBERVALUE("0.000491")</f>
        <v/>
      </c>
      <c r="K1250">
        <f>_xlfn.NUMBERVALUE("0.002740")</f>
        <v/>
      </c>
      <c r="L1250">
        <f>_xlfn.NUMBERVALUE("-0.000160")</f>
        <v/>
      </c>
      <c r="M1250">
        <f>_xlfn.NUMBERVALUE("0.002964")</f>
        <v/>
      </c>
      <c r="N1250">
        <f>_xlfn.NUMBERVALUE("-0.000353")</f>
        <v/>
      </c>
      <c r="O1250">
        <f>_xlfn.NUMBERVALUE("0.000230")</f>
        <v/>
      </c>
      <c r="P1250">
        <f>_xlfn.NUMBERVALUE("0.001055")</f>
        <v/>
      </c>
      <c r="Q1250">
        <f>_xlfn.NUMBERVALUE("0.002307")</f>
        <v/>
      </c>
      <c r="R1250">
        <f>_xlfn.NUMBERVALUE("0.000190")</f>
        <v/>
      </c>
      <c r="S1250">
        <f>_xlfn.NUMBERVALUE("0.000320")</f>
        <v/>
      </c>
      <c r="T1250">
        <f>_xlfn.NUMBERVALUE("-0.000370")</f>
        <v/>
      </c>
      <c r="U1250">
        <f>_xlfn.NUMBERVALUE("0.001869")</f>
        <v/>
      </c>
      <c r="V1250">
        <f>_xlfn.NUMBERVALUE("-0.000221")</f>
        <v/>
      </c>
      <c r="W1250">
        <f>_xlfn.NUMBERVALUE("0.006965")</f>
        <v/>
      </c>
      <c r="X1250">
        <f>_xlfn.NUMBERVALUE("-0.490000")</f>
        <v/>
      </c>
      <c r="Y1250">
        <f>_xlfn.NUMBERVALUE("12.140000")</f>
        <v/>
      </c>
    </row>
    <row r="1251">
      <c r="A1251" s="1" t="n">
        <v>43816</v>
      </c>
      <c r="B1251">
        <f>_xlfn.NUMBERVALUE("0.000000")</f>
        <v/>
      </c>
      <c r="C1251" s="2">
        <f>_xlfn.NUMBERVALUE("0.000549")</f>
        <v/>
      </c>
      <c r="D1251">
        <f>_xlfn.NUMBERVALUE("0.002098")</f>
        <v/>
      </c>
      <c r="E1251">
        <f>_xlfn.NUMBERVALUE("0.001084")</f>
        <v/>
      </c>
      <c r="F1251">
        <f>_xlfn.NUMBERVALUE("0.001519")</f>
        <v/>
      </c>
      <c r="G1251">
        <f>_xlfn.NUMBERVALUE("0.001087")</f>
        <v/>
      </c>
      <c r="H1251">
        <f>_xlfn.NUMBERVALUE("0.006527")</f>
        <v/>
      </c>
      <c r="I1251">
        <f>_xlfn.NUMBERVALUE("-0.000001")</f>
        <v/>
      </c>
      <c r="J1251">
        <f>_xlfn.NUMBERVALUE("0.000444")</f>
        <v/>
      </c>
      <c r="K1251">
        <f>_xlfn.NUMBERVALUE("0.000619")</f>
        <v/>
      </c>
      <c r="L1251">
        <f>_xlfn.NUMBERVALUE("0.000912")</f>
        <v/>
      </c>
      <c r="M1251">
        <f>_xlfn.NUMBERVALUE("0.001252")</f>
        <v/>
      </c>
      <c r="N1251">
        <f>_xlfn.NUMBERVALUE("-0.000318")</f>
        <v/>
      </c>
      <c r="O1251">
        <f>_xlfn.NUMBERVALUE("0.001146")</f>
        <v/>
      </c>
      <c r="P1251">
        <f>_xlfn.NUMBERVALUE("0.000676")</f>
        <v/>
      </c>
      <c r="Q1251">
        <f>_xlfn.NUMBERVALUE("0.002654")</f>
        <v/>
      </c>
      <c r="R1251">
        <f>_xlfn.NUMBERVALUE("0.001237")</f>
        <v/>
      </c>
      <c r="S1251">
        <f>_xlfn.NUMBERVALUE("0.000617")</f>
        <v/>
      </c>
      <c r="T1251">
        <f>_xlfn.NUMBERVALUE("-0.000518")</f>
        <v/>
      </c>
      <c r="U1251">
        <f>_xlfn.NUMBERVALUE("0.000593")</f>
        <v/>
      </c>
      <c r="V1251">
        <f>_xlfn.NUMBERVALUE("0.000506")</f>
        <v/>
      </c>
      <c r="W1251">
        <f>_xlfn.NUMBERVALUE("0.000626")</f>
        <v/>
      </c>
      <c r="X1251">
        <f>_xlfn.NUMBERVALUE("0.150000")</f>
        <v/>
      </c>
      <c r="Y1251">
        <f>_xlfn.NUMBERVALUE("12.290000")</f>
        <v/>
      </c>
    </row>
    <row r="1252">
      <c r="A1252" s="1" t="n">
        <v>43817</v>
      </c>
      <c r="B1252">
        <f>_xlfn.NUMBERVALUE("0.000000")</f>
        <v/>
      </c>
      <c r="C1252" s="2">
        <f>_xlfn.NUMBERVALUE("0.000876")</f>
        <v/>
      </c>
      <c r="D1252">
        <f>_xlfn.NUMBERVALUE("0.000320")</f>
        <v/>
      </c>
      <c r="E1252">
        <f>_xlfn.NUMBERVALUE("0.000443")</f>
        <v/>
      </c>
      <c r="F1252">
        <f>_xlfn.NUMBERVALUE("0.000924")</f>
        <v/>
      </c>
      <c r="G1252">
        <f>_xlfn.NUMBERVALUE("0.000517")</f>
        <v/>
      </c>
      <c r="H1252">
        <f>_xlfn.NUMBERVALUE("0.000447")</f>
        <v/>
      </c>
      <c r="I1252">
        <f>_xlfn.NUMBERVALUE("0.000159")</f>
        <v/>
      </c>
      <c r="J1252">
        <f>_xlfn.NUMBERVALUE("0.001017")</f>
        <v/>
      </c>
      <c r="K1252">
        <f>_xlfn.NUMBERVALUE("0.000903")</f>
        <v/>
      </c>
      <c r="L1252">
        <f>_xlfn.NUMBERVALUE("-0.000821")</f>
        <v/>
      </c>
      <c r="M1252">
        <f>_xlfn.NUMBERVALUE("0.000422")</f>
        <v/>
      </c>
      <c r="N1252">
        <f>_xlfn.NUMBERVALUE("-0.000053")</f>
        <v/>
      </c>
      <c r="O1252">
        <f>_xlfn.NUMBERVALUE("-0.000475")</f>
        <v/>
      </c>
      <c r="P1252">
        <f>_xlfn.NUMBERVALUE("-0.000160")</f>
        <v/>
      </c>
      <c r="Q1252">
        <f>_xlfn.NUMBERVALUE("0.000468")</f>
        <v/>
      </c>
      <c r="R1252">
        <f>_xlfn.NUMBERVALUE("0.000154")</f>
        <v/>
      </c>
      <c r="S1252">
        <f>_xlfn.NUMBERVALUE("0.000993")</f>
        <v/>
      </c>
      <c r="T1252">
        <f>_xlfn.NUMBERVALUE("0.000358")</f>
        <v/>
      </c>
      <c r="U1252">
        <f>_xlfn.NUMBERVALUE("0.000413")</f>
        <v/>
      </c>
      <c r="V1252">
        <f>_xlfn.NUMBERVALUE("0.000176")</f>
        <v/>
      </c>
      <c r="W1252">
        <f>_xlfn.NUMBERVALUE("0.000688")</f>
        <v/>
      </c>
      <c r="X1252">
        <f>_xlfn.NUMBERVALUE("0.290000")</f>
        <v/>
      </c>
      <c r="Y1252">
        <f>_xlfn.NUMBERVALUE("12.580000")</f>
        <v/>
      </c>
    </row>
    <row r="1253">
      <c r="A1253" s="1" t="n">
        <v>43818</v>
      </c>
      <c r="B1253">
        <f>_xlfn.NUMBERVALUE("0.000000")</f>
        <v/>
      </c>
      <c r="C1253" s="2">
        <f>_xlfn.NUMBERVALUE("0.001073")</f>
        <v/>
      </c>
      <c r="D1253">
        <f>_xlfn.NUMBERVALUE("0.002801")</f>
        <v/>
      </c>
      <c r="E1253">
        <f>_xlfn.NUMBERVALUE("0.000628")</f>
        <v/>
      </c>
      <c r="F1253">
        <f>_xlfn.NUMBERVALUE("0.000120")</f>
        <v/>
      </c>
      <c r="G1253">
        <f>_xlfn.NUMBERVALUE("-0.004781")</f>
        <v/>
      </c>
      <c r="H1253">
        <f>_xlfn.NUMBERVALUE("-0.001006")</f>
        <v/>
      </c>
      <c r="I1253">
        <f>_xlfn.NUMBERVALUE("0.000339")</f>
        <v/>
      </c>
      <c r="J1253">
        <f>_xlfn.NUMBERVALUE("-0.000108")</f>
        <v/>
      </c>
      <c r="K1253">
        <f>_xlfn.NUMBERVALUE("0.001979")</f>
        <v/>
      </c>
      <c r="L1253">
        <f>_xlfn.NUMBERVALUE("0.001562")</f>
        <v/>
      </c>
      <c r="M1253">
        <f>_xlfn.NUMBERVALUE("0.000255")</f>
        <v/>
      </c>
      <c r="N1253">
        <f>_xlfn.NUMBERVALUE("-0.000784")</f>
        <v/>
      </c>
      <c r="O1253">
        <f>_xlfn.NUMBERVALUE("0.002049")</f>
        <v/>
      </c>
      <c r="P1253">
        <f>_xlfn.NUMBERVALUE("0.001926")</f>
        <v/>
      </c>
      <c r="Q1253">
        <f>_xlfn.NUMBERVALUE("0.001029")</f>
        <v/>
      </c>
      <c r="R1253">
        <f>_xlfn.NUMBERVALUE("0.000387")</f>
        <v/>
      </c>
      <c r="S1253">
        <f>_xlfn.NUMBERVALUE("0.000568")</f>
        <v/>
      </c>
      <c r="T1253">
        <f>_xlfn.NUMBERVALUE("0.000654")</f>
        <v/>
      </c>
      <c r="U1253">
        <f>_xlfn.NUMBERVALUE("-0.000204")</f>
        <v/>
      </c>
      <c r="V1253">
        <f>_xlfn.NUMBERVALUE("-0.000106")</f>
        <v/>
      </c>
      <c r="W1253">
        <f>_xlfn.NUMBERVALUE("0.002344")</f>
        <v/>
      </c>
      <c r="X1253">
        <f>_xlfn.NUMBERVALUE("-0.080000")</f>
        <v/>
      </c>
      <c r="Y1253">
        <f>_xlfn.NUMBERVALUE("12.500000")</f>
        <v/>
      </c>
    </row>
    <row r="1254">
      <c r="A1254" s="1" t="n">
        <v>43819</v>
      </c>
      <c r="B1254">
        <f>_xlfn.NUMBERVALUE("0.000000")</f>
        <v/>
      </c>
      <c r="C1254" s="2">
        <f>_xlfn.NUMBERVALUE("-0.002508")</f>
        <v/>
      </c>
      <c r="D1254">
        <f>_xlfn.NUMBERVALUE("-0.001417")</f>
        <v/>
      </c>
      <c r="E1254">
        <f>_xlfn.NUMBERVALUE("0.001324")</f>
        <v/>
      </c>
      <c r="F1254">
        <f>_xlfn.NUMBERVALUE("0.001914")</f>
        <v/>
      </c>
      <c r="G1254">
        <f>_xlfn.NUMBERVALUE("0.000360")</f>
        <v/>
      </c>
      <c r="H1254">
        <f>_xlfn.NUMBERVALUE("0.002173")</f>
        <v/>
      </c>
      <c r="I1254">
        <f>_xlfn.NUMBERVALUE("0.000026")</f>
        <v/>
      </c>
      <c r="J1254">
        <f>_xlfn.NUMBERVALUE("0.000757")</f>
        <v/>
      </c>
      <c r="K1254">
        <f>_xlfn.NUMBERVALUE("0.000424")</f>
        <v/>
      </c>
      <c r="L1254">
        <f>_xlfn.NUMBERVALUE("0.000460")</f>
        <v/>
      </c>
      <c r="M1254">
        <f>_xlfn.NUMBERVALUE("-0.001286")</f>
        <v/>
      </c>
      <c r="N1254">
        <f>_xlfn.NUMBERVALUE("-0.000951")</f>
        <v/>
      </c>
      <c r="O1254">
        <f>_xlfn.NUMBERVALUE("-0.003993")</f>
        <v/>
      </c>
      <c r="P1254">
        <f>_xlfn.NUMBERVALUE("0.000174")</f>
        <v/>
      </c>
      <c r="Q1254">
        <f>_xlfn.NUMBERVALUE("-0.000733")</f>
        <v/>
      </c>
      <c r="R1254">
        <f>_xlfn.NUMBERVALUE("-0.001981")</f>
        <v/>
      </c>
      <c r="S1254">
        <f>_xlfn.NUMBERVALUE("-0.004354")</f>
        <v/>
      </c>
      <c r="T1254">
        <f>_xlfn.NUMBERVALUE("-0.005807")</f>
        <v/>
      </c>
      <c r="U1254">
        <f>_xlfn.NUMBERVALUE("-0.001075")</f>
        <v/>
      </c>
      <c r="V1254">
        <f>_xlfn.NUMBERVALUE("-0.002073")</f>
        <v/>
      </c>
      <c r="W1254">
        <f>_xlfn.NUMBERVALUE("0.000936")</f>
        <v/>
      </c>
      <c r="X1254">
        <f>_xlfn.NUMBERVALUE("0.010000")</f>
        <v/>
      </c>
      <c r="Y1254">
        <f>_xlfn.NUMBERVALUE("12.510000")</f>
        <v/>
      </c>
    </row>
    <row r="1255">
      <c r="A1255" s="1" t="n">
        <v>43822</v>
      </c>
      <c r="B1255">
        <f>_xlfn.NUMBERVALUE("0.000000")</f>
        <v/>
      </c>
      <c r="C1255" s="2">
        <f>_xlfn.NUMBERVALUE("0.000009")</f>
        <v/>
      </c>
      <c r="D1255">
        <f>_xlfn.NUMBERVALUE("-0.000099")</f>
        <v/>
      </c>
      <c r="E1255">
        <f>_xlfn.NUMBERVALUE("0.000203")</f>
        <v/>
      </c>
      <c r="F1255">
        <f>_xlfn.NUMBERVALUE("-0.000419")</f>
        <v/>
      </c>
      <c r="G1255">
        <f>_xlfn.NUMBERVALUE("0.000118")</f>
        <v/>
      </c>
      <c r="H1255">
        <f>_xlfn.NUMBERVALUE("0.000000")</f>
        <v/>
      </c>
      <c r="I1255">
        <f>_xlfn.NUMBERVALUE("0.000444")</f>
        <v/>
      </c>
      <c r="J1255">
        <f>_xlfn.NUMBERVALUE("0.000473")</f>
        <v/>
      </c>
      <c r="K1255">
        <f>_xlfn.NUMBERVALUE("-0.002984")</f>
        <v/>
      </c>
      <c r="L1255">
        <f>_xlfn.NUMBERVALUE("0.000200")</f>
        <v/>
      </c>
      <c r="M1255">
        <f>_xlfn.NUMBERVALUE("0.001173")</f>
        <v/>
      </c>
      <c r="N1255">
        <f>_xlfn.NUMBERVALUE("0.001060")</f>
        <v/>
      </c>
      <c r="O1255">
        <f>_xlfn.NUMBERVALUE("0.006927")</f>
        <v/>
      </c>
      <c r="P1255">
        <f>_xlfn.NUMBERVALUE("0.000503")</f>
        <v/>
      </c>
      <c r="Q1255">
        <f>_xlfn.NUMBERVALUE("0.000636")</f>
        <v/>
      </c>
      <c r="R1255">
        <f>_xlfn.NUMBERVALUE("0.000738")</f>
        <v/>
      </c>
      <c r="S1255">
        <f>_xlfn.NUMBERVALUE("0.000583")</f>
        <v/>
      </c>
      <c r="T1255">
        <f>_xlfn.NUMBERVALUE("0.000176")</f>
        <v/>
      </c>
      <c r="U1255">
        <f>_xlfn.NUMBERVALUE("0.001135")</f>
        <v/>
      </c>
      <c r="V1255">
        <f>_xlfn.NUMBERVALUE("0.000559")</f>
        <v/>
      </c>
      <c r="W1255">
        <f>_xlfn.NUMBERVALUE("0.000717")</f>
        <v/>
      </c>
      <c r="X1255">
        <f>_xlfn.NUMBERVALUE("0.100000")</f>
        <v/>
      </c>
      <c r="Y1255">
        <f>_xlfn.NUMBERVALUE("12.610000")</f>
        <v/>
      </c>
    </row>
    <row r="1256">
      <c r="A1256" s="1" t="n">
        <v>43823</v>
      </c>
      <c r="B1256">
        <f>_xlfn.NUMBERVALUE("0.000000")</f>
        <v/>
      </c>
      <c r="C1256" s="2">
        <f>_xlfn.NUMBERVALUE("0.001296")</f>
        <v/>
      </c>
      <c r="D1256">
        <f>_xlfn.NUMBERVALUE("0.000246")</f>
        <v/>
      </c>
      <c r="E1256">
        <f>_xlfn.NUMBERVALUE("-0.000343")</f>
        <v/>
      </c>
      <c r="F1256">
        <f>_xlfn.NUMBERVALUE("-0.003345")</f>
        <v/>
      </c>
      <c r="G1256">
        <f>_xlfn.NUMBERVALUE("-0.000259")</f>
        <v/>
      </c>
      <c r="H1256">
        <f>_xlfn.NUMBERVALUE("-0.000030")</f>
        <v/>
      </c>
      <c r="I1256">
        <f>_xlfn.NUMBERVALUE("0.000895")</f>
        <v/>
      </c>
      <c r="J1256">
        <f>_xlfn.NUMBERVALUE("0.000067")</f>
        <v/>
      </c>
      <c r="K1256">
        <f>_xlfn.NUMBERVALUE("-0.002099")</f>
        <v/>
      </c>
      <c r="L1256">
        <f>_xlfn.NUMBERVALUE("-0.000059")</f>
        <v/>
      </c>
      <c r="M1256">
        <f>_xlfn.NUMBERVALUE("0.000571")</f>
        <v/>
      </c>
      <c r="N1256">
        <f>_xlfn.NUMBERVALUE("0.000631")</f>
        <v/>
      </c>
      <c r="O1256">
        <f>_xlfn.NUMBERVALUE("-0.005575")</f>
        <v/>
      </c>
      <c r="P1256">
        <f>_xlfn.NUMBERVALUE("0.000907")</f>
        <v/>
      </c>
      <c r="Q1256">
        <f>_xlfn.NUMBERVALUE("0.000350")</f>
        <v/>
      </c>
      <c r="R1256">
        <f>_xlfn.NUMBERVALUE("0.000743")</f>
        <v/>
      </c>
      <c r="S1256">
        <f>_xlfn.NUMBERVALUE("0.000272")</f>
        <v/>
      </c>
      <c r="T1256">
        <f>_xlfn.NUMBERVALUE("0.000446")</f>
        <v/>
      </c>
      <c r="U1256">
        <f>_xlfn.NUMBERVALUE("0.000276")</f>
        <v/>
      </c>
      <c r="V1256">
        <f>_xlfn.NUMBERVALUE("0.001077")</f>
        <v/>
      </c>
      <c r="W1256">
        <f>_xlfn.NUMBERVALUE("-0.000342")</f>
        <v/>
      </c>
      <c r="X1256">
        <f>_xlfn.NUMBERVALUE("0.060000")</f>
        <v/>
      </c>
      <c r="Y1256">
        <f>_xlfn.NUMBERVALUE("12.670000")</f>
        <v/>
      </c>
    </row>
    <row r="1257">
      <c r="A1257" s="1" t="n">
        <v>43825</v>
      </c>
      <c r="B1257">
        <f>_xlfn.NUMBERVALUE("0.000000")</f>
        <v/>
      </c>
      <c r="C1257" s="2">
        <f>_xlfn.NUMBERVALUE("-0.000096")</f>
        <v/>
      </c>
      <c r="D1257">
        <f>_xlfn.NUMBERVALUE("0.000125")</f>
        <v/>
      </c>
      <c r="E1257">
        <f>_xlfn.NUMBERVALUE("0.000343")</f>
        <v/>
      </c>
      <c r="F1257">
        <f>_xlfn.NUMBERVALUE("-0.001104")</f>
        <v/>
      </c>
      <c r="G1257">
        <f>_xlfn.NUMBERVALUE("0.000598")</f>
        <v/>
      </c>
      <c r="H1257">
        <f>_xlfn.NUMBERVALUE("0.000063")</f>
        <v/>
      </c>
      <c r="I1257">
        <f>_xlfn.NUMBERVALUE("0.000304")</f>
        <v/>
      </c>
      <c r="J1257">
        <f>_xlfn.NUMBERVALUE("0.000284")</f>
        <v/>
      </c>
      <c r="K1257">
        <f>_xlfn.NUMBERVALUE("-0.001352")</f>
        <v/>
      </c>
      <c r="L1257">
        <f>_xlfn.NUMBERVALUE("0.000550")</f>
        <v/>
      </c>
      <c r="M1257">
        <f>_xlfn.NUMBERVALUE("0.000017")</f>
        <v/>
      </c>
      <c r="N1257">
        <f>_xlfn.NUMBERVALUE("-0.000668")</f>
        <v/>
      </c>
      <c r="O1257">
        <f>_xlfn.NUMBERVALUE("0.000961")</f>
        <v/>
      </c>
      <c r="P1257">
        <f>_xlfn.NUMBERVALUE("-0.000092")</f>
        <v/>
      </c>
      <c r="Q1257">
        <f>_xlfn.NUMBERVALUE("0.001397")</f>
        <v/>
      </c>
      <c r="R1257">
        <f>_xlfn.NUMBERVALUE("0.000375")</f>
        <v/>
      </c>
      <c r="S1257">
        <f>_xlfn.NUMBERVALUE("0.000872")</f>
        <v/>
      </c>
      <c r="T1257">
        <f>_xlfn.NUMBERVALUE("0.001066")</f>
        <v/>
      </c>
      <c r="U1257">
        <f>_xlfn.NUMBERVALUE("-0.001095")</f>
        <v/>
      </c>
      <c r="V1257">
        <f>_xlfn.NUMBERVALUE("0.000295")</f>
        <v/>
      </c>
      <c r="W1257">
        <f>_xlfn.NUMBERVALUE("0.004329")</f>
        <v/>
      </c>
      <c r="X1257">
        <f>_xlfn.NUMBERVALUE("-0.020000")</f>
        <v/>
      </c>
      <c r="Y1257">
        <f>_xlfn.NUMBERVALUE("12.650000")</f>
        <v/>
      </c>
    </row>
    <row r="1258">
      <c r="A1258" s="1" t="n">
        <v>43826</v>
      </c>
      <c r="B1258">
        <f>_xlfn.NUMBERVALUE("0.000000")</f>
        <v/>
      </c>
      <c r="C1258" s="2">
        <f>_xlfn.NUMBERVALUE("0.000142")</f>
        <v/>
      </c>
      <c r="D1258">
        <f>_xlfn.NUMBERVALUE("0.000114")</f>
        <v/>
      </c>
      <c r="E1258">
        <f>_xlfn.NUMBERVALUE("0.000134")</f>
        <v/>
      </c>
      <c r="F1258">
        <f>_xlfn.NUMBERVALUE("0.000440")</f>
        <v/>
      </c>
      <c r="G1258">
        <f>_xlfn.NUMBERVALUE("-0.000536")</f>
        <v/>
      </c>
      <c r="H1258">
        <f>_xlfn.NUMBERVALUE("-0.000181")</f>
        <v/>
      </c>
      <c r="I1258">
        <f>_xlfn.NUMBERVALUE("0.000330")</f>
        <v/>
      </c>
      <c r="J1258">
        <f>_xlfn.NUMBERVALUE("-0.000103")</f>
        <v/>
      </c>
      <c r="K1258">
        <f>_xlfn.NUMBERVALUE("0.000885")</f>
        <v/>
      </c>
      <c r="L1258">
        <f>_xlfn.NUMBERVALUE("0.000080")</f>
        <v/>
      </c>
      <c r="M1258">
        <f>_xlfn.NUMBERVALUE("-0.000036")</f>
        <v/>
      </c>
      <c r="N1258">
        <f>_xlfn.NUMBERVALUE("0.000288")</f>
        <v/>
      </c>
      <c r="O1258">
        <f>_xlfn.NUMBERVALUE("0.001152")</f>
        <v/>
      </c>
      <c r="P1258">
        <f>_xlfn.NUMBERVALUE("-0.000569")</f>
        <v/>
      </c>
      <c r="Q1258">
        <f>_xlfn.NUMBERVALUE("-0.001070")</f>
        <v/>
      </c>
      <c r="R1258">
        <f>_xlfn.NUMBERVALUE("-0.001200")</f>
        <v/>
      </c>
      <c r="S1258">
        <f>_xlfn.NUMBERVALUE("-0.000107")</f>
        <v/>
      </c>
      <c r="T1258">
        <f>_xlfn.NUMBERVALUE("0.000120")</f>
        <v/>
      </c>
      <c r="U1258">
        <f>_xlfn.NUMBERVALUE("-0.000441")</f>
        <v/>
      </c>
      <c r="V1258">
        <f>_xlfn.NUMBERVALUE("-0.000084")</f>
        <v/>
      </c>
      <c r="W1258">
        <f>_xlfn.NUMBERVALUE("0.000651")</f>
        <v/>
      </c>
      <c r="X1258">
        <f>_xlfn.NUMBERVALUE("0.780000")</f>
        <v/>
      </c>
      <c r="Y1258">
        <f>_xlfn.NUMBERVALUE("13.430000")</f>
        <v/>
      </c>
    </row>
    <row r="1259">
      <c r="A1259" s="1" t="n">
        <v>43829</v>
      </c>
      <c r="B1259">
        <f>_xlfn.NUMBERVALUE("0.000000")</f>
        <v/>
      </c>
      <c r="C1259" s="2">
        <f>_xlfn.NUMBERVALUE("0.000326")</f>
        <v/>
      </c>
      <c r="D1259">
        <f>_xlfn.NUMBERVALUE("0.001104")</f>
        <v/>
      </c>
      <c r="E1259">
        <f>_xlfn.NUMBERVALUE("-0.000376")</f>
        <v/>
      </c>
      <c r="F1259">
        <f>_xlfn.NUMBERVALUE("0.000262")</f>
        <v/>
      </c>
      <c r="G1259">
        <f>_xlfn.NUMBERVALUE("0.000994")</f>
        <v/>
      </c>
      <c r="H1259">
        <f>_xlfn.NUMBERVALUE("-0.000381")</f>
        <v/>
      </c>
      <c r="I1259">
        <f>_xlfn.NUMBERVALUE("0.000458")</f>
        <v/>
      </c>
      <c r="J1259">
        <f>_xlfn.NUMBERVALUE("0.001026")</f>
        <v/>
      </c>
      <c r="K1259">
        <f>_xlfn.NUMBERVALUE("0.000099")</f>
        <v/>
      </c>
      <c r="L1259">
        <f>_xlfn.NUMBERVALUE("0.000195")</f>
        <v/>
      </c>
      <c r="M1259">
        <f>_xlfn.NUMBERVALUE("0.000673")</f>
        <v/>
      </c>
      <c r="N1259">
        <f>_xlfn.NUMBERVALUE("-0.000363")</f>
        <v/>
      </c>
      <c r="O1259">
        <f>_xlfn.NUMBERVALUE("-0.008683")</f>
        <v/>
      </c>
      <c r="P1259">
        <f>_xlfn.NUMBERVALUE("0.001094")</f>
        <v/>
      </c>
      <c r="Q1259">
        <f>_xlfn.NUMBERVALUE("0.000281")</f>
        <v/>
      </c>
      <c r="R1259">
        <f>_xlfn.NUMBERVALUE("0.000656")</f>
        <v/>
      </c>
      <c r="S1259">
        <f>_xlfn.NUMBERVALUE("0.000589")</f>
        <v/>
      </c>
      <c r="T1259">
        <f>_xlfn.NUMBERVALUE("0.000201")</f>
        <v/>
      </c>
      <c r="U1259">
        <f>_xlfn.NUMBERVALUE("-0.000037")</f>
        <v/>
      </c>
      <c r="V1259">
        <f>_xlfn.NUMBERVALUE("0.000169")</f>
        <v/>
      </c>
      <c r="W1259">
        <f>_xlfn.NUMBERVALUE("-0.005206")</f>
        <v/>
      </c>
      <c r="X1259">
        <f>_xlfn.NUMBERVALUE("1.390000")</f>
        <v/>
      </c>
      <c r="Y1259">
        <f>_xlfn.NUMBERVALUE("14.820000")</f>
        <v/>
      </c>
    </row>
    <row r="1260">
      <c r="A1260" s="1" t="n">
        <v>43830</v>
      </c>
      <c r="B1260">
        <f>_xlfn.NUMBERVALUE("0.000000")</f>
        <v/>
      </c>
      <c r="C1260" s="2">
        <f>_xlfn.NUMBERVALUE("0.000154")</f>
        <v/>
      </c>
      <c r="D1260">
        <f>_xlfn.NUMBERVALUE("-0.001118")</f>
        <v/>
      </c>
      <c r="E1260">
        <f>_xlfn.NUMBERVALUE("0.000150")</f>
        <v/>
      </c>
      <c r="F1260">
        <f>_xlfn.NUMBERVALUE("0.002060")</f>
        <v/>
      </c>
      <c r="G1260">
        <f>_xlfn.NUMBERVALUE("0.000092")</f>
        <v/>
      </c>
      <c r="H1260">
        <f>_xlfn.NUMBERVALUE("0.000345")</f>
        <v/>
      </c>
      <c r="I1260">
        <f>_xlfn.NUMBERVALUE("-0.000038")</f>
        <v/>
      </c>
      <c r="J1260">
        <f>_xlfn.NUMBERVALUE("-0.000090")</f>
        <v/>
      </c>
      <c r="K1260">
        <f>_xlfn.NUMBERVALUE("0.000071")</f>
        <v/>
      </c>
      <c r="L1260">
        <f>_xlfn.NUMBERVALUE("-0.000587")</f>
        <v/>
      </c>
      <c r="M1260">
        <f>_xlfn.NUMBERVALUE("-0.000562")</f>
        <v/>
      </c>
      <c r="N1260">
        <f>_xlfn.NUMBERVALUE("0.000210")</f>
        <v/>
      </c>
      <c r="O1260">
        <f>_xlfn.NUMBERVALUE("0.000939")</f>
        <v/>
      </c>
      <c r="P1260">
        <f>_xlfn.NUMBERVALUE("0.001003")</f>
        <v/>
      </c>
      <c r="Q1260">
        <f>_xlfn.NUMBERVALUE("0.001120")</f>
        <v/>
      </c>
      <c r="R1260">
        <f>_xlfn.NUMBERVALUE("0.001387")</f>
        <v/>
      </c>
      <c r="S1260">
        <f>_xlfn.NUMBERVALUE("0.000796")</f>
        <v/>
      </c>
      <c r="T1260">
        <f>_xlfn.NUMBERVALUE("0.000043")</f>
        <v/>
      </c>
      <c r="U1260">
        <f>_xlfn.NUMBERVALUE("-0.000030")</f>
        <v/>
      </c>
      <c r="V1260">
        <f>_xlfn.NUMBERVALUE("0.000175")</f>
        <v/>
      </c>
      <c r="W1260">
        <f>_xlfn.NUMBERVALUE("0.002025")</f>
        <v/>
      </c>
      <c r="X1260">
        <f>_xlfn.NUMBERVALUE("-1.040000")</f>
        <v/>
      </c>
      <c r="Y1260">
        <f>_xlfn.NUMBERVALUE("13.780000")</f>
        <v/>
      </c>
    </row>
    <row r="1261">
      <c r="A1261" s="1" t="n">
        <v>43832</v>
      </c>
      <c r="B1261">
        <f>_xlfn.NUMBERVALUE("0.000000")</f>
        <v/>
      </c>
      <c r="C1261" s="2">
        <f>_xlfn.NUMBERVALUE("-0.000124")</f>
        <v/>
      </c>
      <c r="D1261">
        <f>_xlfn.NUMBERVALUE("-0.000011")</f>
        <v/>
      </c>
      <c r="E1261">
        <f>_xlfn.NUMBERVALUE("-0.000270")</f>
        <v/>
      </c>
      <c r="F1261">
        <f>_xlfn.NUMBERVALUE("-0.001875")</f>
        <v/>
      </c>
      <c r="G1261">
        <f>_xlfn.NUMBERVALUE("-0.000006")</f>
        <v/>
      </c>
      <c r="H1261">
        <f>_xlfn.NUMBERVALUE("-0.029063")</f>
        <v/>
      </c>
      <c r="I1261">
        <f>_xlfn.NUMBERVALUE("0.000348")</f>
        <v/>
      </c>
      <c r="J1261">
        <f>_xlfn.NUMBERVALUE("0.001405")</f>
        <v/>
      </c>
      <c r="K1261">
        <f>_xlfn.NUMBERVALUE("-0.000037")</f>
        <v/>
      </c>
      <c r="L1261">
        <f>_xlfn.NUMBERVALUE("-0.000701")</f>
        <v/>
      </c>
      <c r="M1261">
        <f>_xlfn.NUMBERVALUE("-0.000074")</f>
        <v/>
      </c>
      <c r="N1261">
        <f>_xlfn.NUMBERVALUE("0.000377")</f>
        <v/>
      </c>
      <c r="O1261">
        <f>_xlfn.NUMBERVALUE("0.001073")</f>
        <v/>
      </c>
      <c r="P1261">
        <f>_xlfn.NUMBERVALUE("0.000668")</f>
        <v/>
      </c>
      <c r="Q1261">
        <f>_xlfn.NUMBERVALUE("-0.003126")</f>
        <v/>
      </c>
      <c r="R1261">
        <f>_xlfn.NUMBERVALUE("-0.000678")</f>
        <v/>
      </c>
      <c r="S1261">
        <f>_xlfn.NUMBERVALUE("-0.000039")</f>
        <v/>
      </c>
      <c r="T1261">
        <f>_xlfn.NUMBERVALUE("-0.000056")</f>
        <v/>
      </c>
      <c r="U1261">
        <f>_xlfn.NUMBERVALUE("0.000435")</f>
        <v/>
      </c>
      <c r="V1261">
        <f>_xlfn.NUMBERVALUE("0.000091")</f>
        <v/>
      </c>
      <c r="W1261">
        <f>_xlfn.NUMBERVALUE("0.007554")</f>
        <v/>
      </c>
      <c r="X1261">
        <f>_xlfn.NUMBERVALUE("-1.310000")</f>
        <v/>
      </c>
      <c r="Y1261">
        <f>_xlfn.NUMBERVALUE("12.470000")</f>
        <v/>
      </c>
    </row>
    <row r="1262">
      <c r="A1262" s="1" t="n">
        <v>43833</v>
      </c>
      <c r="B1262">
        <f>_xlfn.NUMBERVALUE("0.000000")</f>
        <v/>
      </c>
      <c r="C1262" s="2">
        <f>_xlfn.NUMBERVALUE("-0.000003")</f>
        <v/>
      </c>
      <c r="D1262">
        <f>_xlfn.NUMBERVALUE("-0.000003")</f>
        <v/>
      </c>
      <c r="E1262">
        <f>_xlfn.NUMBERVALUE("-0.000001")</f>
        <v/>
      </c>
      <c r="F1262">
        <f>_xlfn.NUMBERVALUE("-0.000003")</f>
        <v/>
      </c>
      <c r="G1262">
        <f>_xlfn.NUMBERVALUE("-0.000001")</f>
        <v/>
      </c>
      <c r="H1262">
        <f>_xlfn.NUMBERVALUE("0.034296")</f>
        <v/>
      </c>
      <c r="I1262">
        <f>_xlfn.NUMBERVALUE("-0.000091")</f>
        <v/>
      </c>
      <c r="J1262">
        <f>_xlfn.NUMBERVALUE("-0.001466")</f>
        <v/>
      </c>
      <c r="K1262">
        <f>_xlfn.NUMBERVALUE("-0.000007")</f>
        <v/>
      </c>
      <c r="L1262">
        <f>_xlfn.NUMBERVALUE("-0.000478")</f>
        <v/>
      </c>
      <c r="M1262">
        <f>_xlfn.NUMBERVALUE("-0.003665")</f>
        <v/>
      </c>
      <c r="N1262">
        <f>_xlfn.NUMBERVALUE("0.000193")</f>
        <v/>
      </c>
      <c r="O1262">
        <f>_xlfn.NUMBERVALUE("0.000514")</f>
        <v/>
      </c>
      <c r="P1262">
        <f>_xlfn.NUMBERVALUE("0.000398")</f>
        <v/>
      </c>
      <c r="Q1262">
        <f>_xlfn.NUMBERVALUE("0.000445")</f>
        <v/>
      </c>
      <c r="R1262">
        <f>_xlfn.NUMBERVALUE("-0.000036")</f>
        <v/>
      </c>
      <c r="S1262">
        <f>_xlfn.NUMBERVALUE("0.001840")</f>
        <v/>
      </c>
      <c r="T1262">
        <f>_xlfn.NUMBERVALUE("0.000947")</f>
        <v/>
      </c>
      <c r="U1262">
        <f>_xlfn.NUMBERVALUE("-0.000164")</f>
        <v/>
      </c>
      <c r="V1262">
        <f>_xlfn.NUMBERVALUE("0.000030")</f>
        <v/>
      </c>
      <c r="W1262">
        <f>_xlfn.NUMBERVALUE("-0.002052")</f>
        <v/>
      </c>
      <c r="X1262">
        <f>_xlfn.NUMBERVALUE("1.550000")</f>
        <v/>
      </c>
      <c r="Y1262">
        <f>_xlfn.NUMBERVALUE("14.020000")</f>
        <v/>
      </c>
    </row>
    <row r="1263">
      <c r="A1263" s="1" t="n">
        <v>43836</v>
      </c>
      <c r="B1263">
        <f>_xlfn.NUMBERVALUE("0.000000")</f>
        <v/>
      </c>
      <c r="C1263" s="2">
        <f>_xlfn.NUMBERVALUE("0.001467")</f>
        <v/>
      </c>
      <c r="D1263">
        <f>_xlfn.NUMBERVALUE("0.003639")</f>
        <v/>
      </c>
      <c r="E1263">
        <f>_xlfn.NUMBERVALUE("0.000408")</f>
        <v/>
      </c>
      <c r="F1263">
        <f>_xlfn.NUMBERVALUE("-0.001048")</f>
        <v/>
      </c>
      <c r="G1263">
        <f>_xlfn.NUMBERVALUE("0.000550")</f>
        <v/>
      </c>
      <c r="H1263">
        <f>_xlfn.NUMBERVALUE("0.024363")</f>
        <v/>
      </c>
      <c r="I1263">
        <f>_xlfn.NUMBERVALUE("0.000637")</f>
        <v/>
      </c>
      <c r="J1263">
        <f>_xlfn.NUMBERVALUE("-0.000019")</f>
        <v/>
      </c>
      <c r="K1263">
        <f>_xlfn.NUMBERVALUE("0.001129")</f>
        <v/>
      </c>
      <c r="L1263">
        <f>_xlfn.NUMBERVALUE("0.001693")</f>
        <v/>
      </c>
      <c r="M1263">
        <f>_xlfn.NUMBERVALUE("0.002235")</f>
        <v/>
      </c>
      <c r="N1263">
        <f>_xlfn.NUMBERVALUE("0.000098")</f>
        <v/>
      </c>
      <c r="O1263">
        <f>_xlfn.NUMBERVALUE("0.001961")</f>
        <v/>
      </c>
      <c r="P1263">
        <f>_xlfn.NUMBERVALUE("0.003682")</f>
        <v/>
      </c>
      <c r="Q1263">
        <f>_xlfn.NUMBERVALUE("0.001571")</f>
        <v/>
      </c>
      <c r="R1263">
        <f>_xlfn.NUMBERVALUE("0.000501")</f>
        <v/>
      </c>
      <c r="S1263">
        <f>_xlfn.NUMBERVALUE("0.002833")</f>
        <v/>
      </c>
      <c r="T1263">
        <f>_xlfn.NUMBERVALUE("0.001722")</f>
        <v/>
      </c>
      <c r="U1263">
        <f>_xlfn.NUMBERVALUE("0.000618")</f>
        <v/>
      </c>
      <c r="V1263">
        <f>_xlfn.NUMBERVALUE("0.001074")</f>
        <v/>
      </c>
      <c r="W1263">
        <f>_xlfn.NUMBERVALUE("0.001239")</f>
        <v/>
      </c>
      <c r="X1263">
        <f>_xlfn.NUMBERVALUE("-0.170000")</f>
        <v/>
      </c>
      <c r="Y1263">
        <f>_xlfn.NUMBERVALUE("13.850000")</f>
        <v/>
      </c>
    </row>
    <row r="1264">
      <c r="A1264" s="1" t="n">
        <v>43837</v>
      </c>
      <c r="B1264">
        <f>_xlfn.NUMBERVALUE("0.000000")</f>
        <v/>
      </c>
      <c r="C1264" s="2">
        <f>_xlfn.NUMBERVALUE("0.001213")</f>
        <v/>
      </c>
      <c r="D1264">
        <f>_xlfn.NUMBERVALUE("0.003851")</f>
        <v/>
      </c>
      <c r="E1264">
        <f>_xlfn.NUMBERVALUE("0.000646")</f>
        <v/>
      </c>
      <c r="F1264">
        <f>_xlfn.NUMBERVALUE("0.001766")</f>
        <v/>
      </c>
      <c r="G1264">
        <f>_xlfn.NUMBERVALUE("0.000728")</f>
        <v/>
      </c>
      <c r="H1264">
        <f>_xlfn.NUMBERVALUE("0.000175")</f>
        <v/>
      </c>
      <c r="I1264">
        <f>_xlfn.NUMBERVALUE("0.002312")</f>
        <v/>
      </c>
      <c r="J1264">
        <f>_xlfn.NUMBERVALUE("0.000493")</f>
        <v/>
      </c>
      <c r="K1264">
        <f>_xlfn.NUMBERVALUE("-0.000006")</f>
        <v/>
      </c>
      <c r="L1264">
        <f>_xlfn.NUMBERVALUE("0.000357")</f>
        <v/>
      </c>
      <c r="M1264">
        <f>_xlfn.NUMBERVALUE("0.002688")</f>
        <v/>
      </c>
      <c r="N1264">
        <f>_xlfn.NUMBERVALUE("0.001289")</f>
        <v/>
      </c>
      <c r="O1264">
        <f>_xlfn.NUMBERVALUE("0.001544")</f>
        <v/>
      </c>
      <c r="P1264">
        <f>_xlfn.NUMBERVALUE("0.002601")</f>
        <v/>
      </c>
      <c r="Q1264">
        <f>_xlfn.NUMBERVALUE("0.000531")</f>
        <v/>
      </c>
      <c r="R1264">
        <f>_xlfn.NUMBERVALUE("-0.000180")</f>
        <v/>
      </c>
      <c r="S1264">
        <f>_xlfn.NUMBERVALUE("-0.000561")</f>
        <v/>
      </c>
      <c r="T1264">
        <f>_xlfn.NUMBERVALUE("0.000510")</f>
        <v/>
      </c>
      <c r="U1264">
        <f>_xlfn.NUMBERVALUE("0.000096")</f>
        <v/>
      </c>
      <c r="V1264">
        <f>_xlfn.NUMBERVALUE("0.001216")</f>
        <v/>
      </c>
      <c r="W1264">
        <f>_xlfn.NUMBERVALUE("-0.000371")</f>
        <v/>
      </c>
      <c r="X1264">
        <f>_xlfn.NUMBERVALUE("-0.060000")</f>
        <v/>
      </c>
      <c r="Y1264">
        <f>_xlfn.NUMBERVALUE("13.790000")</f>
        <v/>
      </c>
    </row>
    <row r="1265">
      <c r="A1265" s="1" t="n">
        <v>43838</v>
      </c>
      <c r="B1265">
        <f>_xlfn.NUMBERVALUE("0.000000")</f>
        <v/>
      </c>
      <c r="C1265" s="2">
        <f>_xlfn.NUMBERVALUE("-0.000137")</f>
        <v/>
      </c>
      <c r="D1265">
        <f>_xlfn.NUMBERVALUE("-0.001129")</f>
        <v/>
      </c>
      <c r="E1265">
        <f>_xlfn.NUMBERVALUE("0.000655")</f>
        <v/>
      </c>
      <c r="F1265">
        <f>_xlfn.NUMBERVALUE("-0.001321")</f>
        <v/>
      </c>
      <c r="G1265">
        <f>_xlfn.NUMBERVALUE("0.000662")</f>
        <v/>
      </c>
      <c r="H1265">
        <f>_xlfn.NUMBERVALUE("0.001908")</f>
        <v/>
      </c>
      <c r="I1265">
        <f>_xlfn.NUMBERVALUE("0.000182")</f>
        <v/>
      </c>
      <c r="J1265">
        <f>_xlfn.NUMBERVALUE("-0.000497")</f>
        <v/>
      </c>
      <c r="K1265">
        <f>_xlfn.NUMBERVALUE("0.000733")</f>
        <v/>
      </c>
      <c r="L1265">
        <f>_xlfn.NUMBERVALUE("-0.001206")</f>
        <v/>
      </c>
      <c r="M1265">
        <f>_xlfn.NUMBERVALUE("0.003131")</f>
        <v/>
      </c>
      <c r="N1265">
        <f>_xlfn.NUMBERVALUE("0.000192")</f>
        <v/>
      </c>
      <c r="O1265">
        <f>_xlfn.NUMBERVALUE("0.001633")</f>
        <v/>
      </c>
      <c r="P1265">
        <f>_xlfn.NUMBERVALUE("-0.001416")</f>
        <v/>
      </c>
      <c r="Q1265">
        <f>_xlfn.NUMBERVALUE("0.000045")</f>
        <v/>
      </c>
      <c r="R1265">
        <f>_xlfn.NUMBERVALUE("0.000035")</f>
        <v/>
      </c>
      <c r="S1265">
        <f>_xlfn.NUMBERVALUE("0.001488")</f>
        <v/>
      </c>
      <c r="T1265">
        <f>_xlfn.NUMBERVALUE("0.000016")</f>
        <v/>
      </c>
      <c r="U1265">
        <f>_xlfn.NUMBERVALUE("0.000020")</f>
        <v/>
      </c>
      <c r="V1265">
        <f>_xlfn.NUMBERVALUE("-0.000507")</f>
        <v/>
      </c>
      <c r="W1265">
        <f>_xlfn.NUMBERVALUE("0.007213")</f>
        <v/>
      </c>
      <c r="X1265">
        <f>_xlfn.NUMBERVALUE("-0.340000")</f>
        <v/>
      </c>
      <c r="Y1265">
        <f>_xlfn.NUMBERVALUE("13.450000")</f>
        <v/>
      </c>
    </row>
    <row r="1266">
      <c r="A1266" s="1" t="n">
        <v>43839</v>
      </c>
      <c r="B1266">
        <f>_xlfn.NUMBERVALUE("0.000000")</f>
        <v/>
      </c>
      <c r="C1266" s="2">
        <f>_xlfn.NUMBERVALUE("0.000101")</f>
        <v/>
      </c>
      <c r="D1266">
        <f>_xlfn.NUMBERVALUE("0.000755")</f>
        <v/>
      </c>
      <c r="E1266">
        <f>_xlfn.NUMBERVALUE("0.001344")</f>
        <v/>
      </c>
      <c r="F1266">
        <f>_xlfn.NUMBERVALUE("0.001604")</f>
        <v/>
      </c>
      <c r="G1266">
        <f>_xlfn.NUMBERVALUE("0.000367")</f>
        <v/>
      </c>
      <c r="H1266">
        <f>_xlfn.NUMBERVALUE("-0.000490")</f>
        <v/>
      </c>
      <c r="I1266">
        <f>_xlfn.NUMBERVALUE("0.001338")</f>
        <v/>
      </c>
      <c r="J1266">
        <f>_xlfn.NUMBERVALUE("0.000318")</f>
        <v/>
      </c>
      <c r="K1266">
        <f>_xlfn.NUMBERVALUE("0.000219")</f>
        <v/>
      </c>
      <c r="L1266">
        <f>_xlfn.NUMBERVALUE("0.002060")</f>
        <v/>
      </c>
      <c r="M1266">
        <f>_xlfn.NUMBERVALUE("0.001267")</f>
        <v/>
      </c>
      <c r="N1266">
        <f>_xlfn.NUMBERVALUE("-0.000002")</f>
        <v/>
      </c>
      <c r="O1266">
        <f>_xlfn.NUMBERVALUE("0.001376")</f>
        <v/>
      </c>
      <c r="P1266">
        <f>_xlfn.NUMBERVALUE("0.000232")</f>
        <v/>
      </c>
      <c r="Q1266">
        <f>_xlfn.NUMBERVALUE("0.001185")</f>
        <v/>
      </c>
      <c r="R1266">
        <f>_xlfn.NUMBERVALUE("-0.001246")</f>
        <v/>
      </c>
      <c r="S1266">
        <f>_xlfn.NUMBERVALUE("0.001540")</f>
        <v/>
      </c>
      <c r="T1266">
        <f>_xlfn.NUMBERVALUE("0.002192")</f>
        <v/>
      </c>
      <c r="U1266">
        <f>_xlfn.NUMBERVALUE("0.000897")</f>
        <v/>
      </c>
      <c r="V1266">
        <f>_xlfn.NUMBERVALUE("0.000485")</f>
        <v/>
      </c>
      <c r="W1266">
        <f>_xlfn.NUMBERVALUE("0.002981")</f>
        <v/>
      </c>
      <c r="X1266">
        <f>_xlfn.NUMBERVALUE("-0.910000")</f>
        <v/>
      </c>
      <c r="Y1266">
        <f>_xlfn.NUMBERVALUE("12.540000")</f>
        <v/>
      </c>
    </row>
    <row r="1267">
      <c r="A1267" s="1" t="n">
        <v>43840</v>
      </c>
      <c r="B1267">
        <f>_xlfn.NUMBERVALUE("0.000000")</f>
        <v/>
      </c>
      <c r="C1267" s="2">
        <f>_xlfn.NUMBERVALUE("0.000466")</f>
        <v/>
      </c>
      <c r="D1267">
        <f>_xlfn.NUMBERVALUE("-0.000283")</f>
        <v/>
      </c>
      <c r="E1267">
        <f>_xlfn.NUMBERVALUE("-0.000046")</f>
        <v/>
      </c>
      <c r="F1267">
        <f>_xlfn.NUMBERVALUE("0.001273")</f>
        <v/>
      </c>
      <c r="G1267">
        <f>_xlfn.NUMBERVALUE("0.000001")</f>
        <v/>
      </c>
      <c r="H1267">
        <f>_xlfn.NUMBERVALUE("-0.003600")</f>
        <v/>
      </c>
      <c r="I1267">
        <f>_xlfn.NUMBERVALUE("0.001346")</f>
        <v/>
      </c>
      <c r="J1267">
        <f>_xlfn.NUMBERVALUE("0.000333")</f>
        <v/>
      </c>
      <c r="K1267">
        <f>_xlfn.NUMBERVALUE("0.000335")</f>
        <v/>
      </c>
      <c r="L1267">
        <f>_xlfn.NUMBERVALUE("0.001245")</f>
        <v/>
      </c>
      <c r="M1267">
        <f>_xlfn.NUMBERVALUE("0.000595")</f>
        <v/>
      </c>
      <c r="N1267">
        <f>_xlfn.NUMBERVALUE("-0.000088")</f>
        <v/>
      </c>
      <c r="O1267">
        <f>_xlfn.NUMBERVALUE("0.000842")</f>
        <v/>
      </c>
      <c r="P1267">
        <f>_xlfn.NUMBERVALUE("0.001162")</f>
        <v/>
      </c>
      <c r="Q1267">
        <f>_xlfn.NUMBERVALUE("0.000654")</f>
        <v/>
      </c>
      <c r="R1267">
        <f>_xlfn.NUMBERVALUE("-0.000419")</f>
        <v/>
      </c>
      <c r="S1267">
        <f>_xlfn.NUMBERVALUE("-0.000004")</f>
        <v/>
      </c>
      <c r="T1267">
        <f>_xlfn.NUMBERVALUE("0.000166")</f>
        <v/>
      </c>
      <c r="U1267">
        <f>_xlfn.NUMBERVALUE("-0.000020")</f>
        <v/>
      </c>
      <c r="V1267">
        <f>_xlfn.NUMBERVALUE("0.000872")</f>
        <v/>
      </c>
      <c r="W1267">
        <f>_xlfn.NUMBERVALUE("-0.002237")</f>
        <v/>
      </c>
      <c r="X1267">
        <f>_xlfn.NUMBERVALUE("0.020000")</f>
        <v/>
      </c>
      <c r="Y1267">
        <f>_xlfn.NUMBERVALUE("12.560000")</f>
        <v/>
      </c>
    </row>
    <row r="1268">
      <c r="A1268" s="1" t="n">
        <v>43843</v>
      </c>
      <c r="B1268">
        <f>_xlfn.NUMBERVALUE("-0.085594")</f>
        <v/>
      </c>
      <c r="C1268" s="2">
        <f>_xlfn.NUMBERVALUE("0.001832")</f>
        <v/>
      </c>
      <c r="D1268">
        <f>_xlfn.NUMBERVALUE("-0.002641")</f>
        <v/>
      </c>
      <c r="E1268">
        <f>_xlfn.NUMBERVALUE("0.000521")</f>
        <v/>
      </c>
      <c r="F1268">
        <f>_xlfn.NUMBERVALUE("0.001816")</f>
        <v/>
      </c>
      <c r="G1268">
        <f>_xlfn.NUMBERVALUE("0.000318")</f>
        <v/>
      </c>
      <c r="H1268">
        <f>_xlfn.NUMBERVALUE("0.003359")</f>
        <v/>
      </c>
      <c r="I1268">
        <f>_xlfn.NUMBERVALUE("0.001799")</f>
        <v/>
      </c>
      <c r="J1268">
        <f>_xlfn.NUMBERVALUE("0.001380")</f>
        <v/>
      </c>
      <c r="K1268">
        <f>_xlfn.NUMBERVALUE("0.003381")</f>
        <v/>
      </c>
      <c r="L1268">
        <f>_xlfn.NUMBERVALUE("0.000905")</f>
        <v/>
      </c>
      <c r="M1268">
        <f>_xlfn.NUMBERVALUE("-0.000095")</f>
        <v/>
      </c>
      <c r="N1268">
        <f>_xlfn.NUMBERVALUE("0.000128")</f>
        <v/>
      </c>
      <c r="O1268">
        <f>_xlfn.NUMBERVALUE("0.002963")</f>
        <v/>
      </c>
      <c r="P1268">
        <f>_xlfn.NUMBERVALUE("0.000794")</f>
        <v/>
      </c>
      <c r="Q1268">
        <f>_xlfn.NUMBERVALUE("0.000733")</f>
        <v/>
      </c>
      <c r="R1268">
        <f>_xlfn.NUMBERVALUE("-0.000481")</f>
        <v/>
      </c>
      <c r="S1268">
        <f>_xlfn.NUMBERVALUE("0.000522")</f>
        <v/>
      </c>
      <c r="T1268">
        <f>_xlfn.NUMBERVALUE("0.000361")</f>
        <v/>
      </c>
      <c r="U1268">
        <f>_xlfn.NUMBERVALUE("0.001770")</f>
        <v/>
      </c>
      <c r="V1268">
        <f>_xlfn.NUMBERVALUE("0.000522")</f>
        <v/>
      </c>
      <c r="W1268">
        <f>_xlfn.NUMBERVALUE("0.005743")</f>
        <v/>
      </c>
      <c r="X1268">
        <f>_xlfn.NUMBERVALUE("-0.240000")</f>
        <v/>
      </c>
      <c r="Y1268">
        <f>_xlfn.NUMBERVALUE("12.320000")</f>
        <v/>
      </c>
    </row>
    <row r="1269">
      <c r="A1269" s="1" t="n">
        <v>43844</v>
      </c>
      <c r="B1269">
        <f>_xlfn.NUMBERVALUE("0.000000")</f>
        <v/>
      </c>
      <c r="C1269" s="2">
        <f>_xlfn.NUMBERVALUE("0.000140")</f>
        <v/>
      </c>
      <c r="D1269">
        <f>_xlfn.NUMBERVALUE("0.001189")</f>
        <v/>
      </c>
      <c r="E1269">
        <f>_xlfn.NUMBERVALUE("0.000320")</f>
        <v/>
      </c>
      <c r="F1269">
        <f>_xlfn.NUMBERVALUE("0.000554")</f>
        <v/>
      </c>
      <c r="G1269">
        <f>_xlfn.NUMBERVALUE("0.000702")</f>
        <v/>
      </c>
      <c r="H1269">
        <f>_xlfn.NUMBERVALUE("0.000641")</f>
        <v/>
      </c>
      <c r="I1269">
        <f>_xlfn.NUMBERVALUE("-0.001094")</f>
        <v/>
      </c>
      <c r="J1269">
        <f>_xlfn.NUMBERVALUE("0.000248")</f>
        <v/>
      </c>
      <c r="K1269">
        <f>_xlfn.NUMBERVALUE("-0.001716")</f>
        <v/>
      </c>
      <c r="L1269">
        <f>_xlfn.NUMBERVALUE("0.000943")</f>
        <v/>
      </c>
      <c r="M1269">
        <f>_xlfn.NUMBERVALUE("0.001004")</f>
        <v/>
      </c>
      <c r="N1269">
        <f>_xlfn.NUMBERVALUE("0.000059")</f>
        <v/>
      </c>
      <c r="O1269">
        <f>_xlfn.NUMBERVALUE("0.001513")</f>
        <v/>
      </c>
      <c r="P1269">
        <f>_xlfn.NUMBERVALUE("0.001828")</f>
        <v/>
      </c>
      <c r="Q1269">
        <f>_xlfn.NUMBERVALUE("0.000894")</f>
        <v/>
      </c>
      <c r="R1269">
        <f>_xlfn.NUMBERVALUE("0.000591")</f>
        <v/>
      </c>
      <c r="S1269">
        <f>_xlfn.NUMBERVALUE("0.000540")</f>
        <v/>
      </c>
      <c r="T1269">
        <f>_xlfn.NUMBERVALUE("0.000756")</f>
        <v/>
      </c>
      <c r="U1269">
        <f>_xlfn.NUMBERVALUE("0.000864")</f>
        <v/>
      </c>
      <c r="V1269">
        <f>_xlfn.NUMBERVALUE("0.000668")</f>
        <v/>
      </c>
      <c r="W1269">
        <f>_xlfn.NUMBERVALUE("0.000092")</f>
        <v/>
      </c>
      <c r="X1269">
        <f>_xlfn.NUMBERVALUE("0.070000")</f>
        <v/>
      </c>
      <c r="Y1269">
        <f>_xlfn.NUMBERVALUE("12.390000")</f>
        <v/>
      </c>
    </row>
    <row r="1270">
      <c r="A1270" s="1" t="n">
        <v>43845</v>
      </c>
      <c r="B1270">
        <f>_xlfn.NUMBERVALUE("0.000000")</f>
        <v/>
      </c>
      <c r="C1270" s="2">
        <f>_xlfn.NUMBERVALUE("0.000578")</f>
        <v/>
      </c>
      <c r="D1270">
        <f>_xlfn.NUMBERVALUE("0.001402")</f>
        <v/>
      </c>
      <c r="E1270">
        <f>_xlfn.NUMBERVALUE("0.000881")</f>
        <v/>
      </c>
      <c r="F1270">
        <f>_xlfn.NUMBERVALUE("-0.001082")</f>
        <v/>
      </c>
      <c r="G1270">
        <f>_xlfn.NUMBERVALUE("0.000309")</f>
        <v/>
      </c>
      <c r="H1270">
        <f>_xlfn.NUMBERVALUE("-0.000180")</f>
        <v/>
      </c>
      <c r="I1270">
        <f>_xlfn.NUMBERVALUE("0.000589")</f>
        <v/>
      </c>
      <c r="J1270">
        <f>_xlfn.NUMBERVALUE("-0.000819")</f>
        <v/>
      </c>
      <c r="K1270">
        <f>_xlfn.NUMBERVALUE("0.000036")</f>
        <v/>
      </c>
      <c r="L1270">
        <f>_xlfn.NUMBERVALUE("-0.001117")</f>
        <v/>
      </c>
      <c r="M1270">
        <f>_xlfn.NUMBERVALUE("-0.000159")</f>
        <v/>
      </c>
      <c r="N1270">
        <f>_xlfn.NUMBERVALUE("-0.000073")</f>
        <v/>
      </c>
      <c r="O1270">
        <f>_xlfn.NUMBERVALUE("0.000448")</f>
        <v/>
      </c>
      <c r="P1270">
        <f>_xlfn.NUMBERVALUE("-0.000289")</f>
        <v/>
      </c>
      <c r="Q1270">
        <f>_xlfn.NUMBERVALUE("0.000656")</f>
        <v/>
      </c>
      <c r="R1270">
        <f>_xlfn.NUMBERVALUE("0.001010")</f>
        <v/>
      </c>
      <c r="S1270">
        <f>_xlfn.NUMBERVALUE("-0.000899")</f>
        <v/>
      </c>
      <c r="T1270">
        <f>_xlfn.NUMBERVALUE("-0.004816")</f>
        <v/>
      </c>
      <c r="U1270">
        <f>_xlfn.NUMBERVALUE("0.001218")</f>
        <v/>
      </c>
      <c r="V1270">
        <f>_xlfn.NUMBERVALUE("0.000505")</f>
        <v/>
      </c>
      <c r="W1270">
        <f>_xlfn.NUMBERVALUE("0.000458")</f>
        <v/>
      </c>
      <c r="X1270">
        <f>_xlfn.NUMBERVALUE("0.030000")</f>
        <v/>
      </c>
      <c r="Y1270">
        <f>_xlfn.NUMBERVALUE("12.420000")</f>
        <v/>
      </c>
    </row>
    <row r="1271">
      <c r="A1271" s="1" t="n">
        <v>43846</v>
      </c>
      <c r="B1271">
        <f>_xlfn.NUMBERVALUE("0.000000")</f>
        <v/>
      </c>
      <c r="C1271" s="2">
        <f>_xlfn.NUMBERVALUE("-0.000842")</f>
        <v/>
      </c>
      <c r="D1271">
        <f>_xlfn.NUMBERVALUE("0.000066")</f>
        <v/>
      </c>
      <c r="E1271">
        <f>_xlfn.NUMBERVALUE("0.000568")</f>
        <v/>
      </c>
      <c r="F1271">
        <f>_xlfn.NUMBERVALUE("0.001117")</f>
        <v/>
      </c>
      <c r="G1271">
        <f>_xlfn.NUMBERVALUE("0.000524")</f>
        <v/>
      </c>
      <c r="H1271">
        <f>_xlfn.NUMBERVALUE("0.000418")</f>
        <v/>
      </c>
      <c r="I1271">
        <f>_xlfn.NUMBERVALUE("-0.004863")</f>
        <v/>
      </c>
      <c r="J1271">
        <f>_xlfn.NUMBERVALUE("0.000400")</f>
        <v/>
      </c>
      <c r="K1271">
        <f>_xlfn.NUMBERVALUE("0.000586")</f>
        <v/>
      </c>
      <c r="L1271">
        <f>_xlfn.NUMBERVALUE("0.000081")</f>
        <v/>
      </c>
      <c r="M1271">
        <f>_xlfn.NUMBERVALUE("0.000813")</f>
        <v/>
      </c>
      <c r="N1271">
        <f>_xlfn.NUMBERVALUE("0.001157")</f>
        <v/>
      </c>
      <c r="O1271">
        <f>_xlfn.NUMBERVALUE("0.001749")</f>
        <v/>
      </c>
      <c r="P1271">
        <f>_xlfn.NUMBERVALUE("0.001200")</f>
        <v/>
      </c>
      <c r="Q1271">
        <f>_xlfn.NUMBERVALUE("-0.001001")</f>
        <v/>
      </c>
      <c r="R1271">
        <f>_xlfn.NUMBERVALUE("-0.000765")</f>
        <v/>
      </c>
      <c r="S1271">
        <f>_xlfn.NUMBERVALUE("-0.000125")</f>
        <v/>
      </c>
      <c r="T1271">
        <f>_xlfn.NUMBERVALUE("0.000218")</f>
        <v/>
      </c>
      <c r="U1271">
        <f>_xlfn.NUMBERVALUE("-0.000392")</f>
        <v/>
      </c>
      <c r="V1271">
        <f>_xlfn.NUMBERVALUE("-0.001230")</f>
        <v/>
      </c>
      <c r="W1271">
        <f>_xlfn.NUMBERVALUE("0.008606")</f>
        <v/>
      </c>
      <c r="X1271">
        <f>_xlfn.NUMBERVALUE("-0.100000")</f>
        <v/>
      </c>
      <c r="Y1271">
        <f>_xlfn.NUMBERVALUE("12.320000")</f>
        <v/>
      </c>
    </row>
    <row r="1272">
      <c r="A1272" s="1" t="n">
        <v>43847</v>
      </c>
      <c r="B1272">
        <f>_xlfn.NUMBERVALUE("0.000000")</f>
        <v/>
      </c>
      <c r="C1272" s="2">
        <f>_xlfn.NUMBERVALUE("-0.000786")</f>
        <v/>
      </c>
      <c r="D1272">
        <f>_xlfn.NUMBERVALUE("-0.000224")</f>
        <v/>
      </c>
      <c r="E1272">
        <f>_xlfn.NUMBERVALUE("0.000362")</f>
        <v/>
      </c>
      <c r="F1272">
        <f>_xlfn.NUMBERVALUE("0.000593")</f>
        <v/>
      </c>
      <c r="G1272">
        <f>_xlfn.NUMBERVALUE("-0.000388")</f>
        <v/>
      </c>
      <c r="H1272">
        <f>_xlfn.NUMBERVALUE("0.002231")</f>
        <v/>
      </c>
      <c r="I1272">
        <f>_xlfn.NUMBERVALUE("0.001573")</f>
        <v/>
      </c>
      <c r="J1272">
        <f>_xlfn.NUMBERVALUE("0.000111")</f>
        <v/>
      </c>
      <c r="K1272">
        <f>_xlfn.NUMBERVALUE("0.002862")</f>
        <v/>
      </c>
      <c r="L1272">
        <f>_xlfn.NUMBERVALUE("-0.000282")</f>
        <v/>
      </c>
      <c r="M1272">
        <f>_xlfn.NUMBERVALUE("0.000191")</f>
        <v/>
      </c>
      <c r="N1272">
        <f>_xlfn.NUMBERVALUE("-0.001278")</f>
        <v/>
      </c>
      <c r="O1272">
        <f>_xlfn.NUMBERVALUE("0.000057")</f>
        <v/>
      </c>
      <c r="P1272">
        <f>_xlfn.NUMBERVALUE("0.000646")</f>
        <v/>
      </c>
      <c r="Q1272">
        <f>_xlfn.NUMBERVALUE("0.001146")</f>
        <v/>
      </c>
      <c r="R1272">
        <f>_xlfn.NUMBERVALUE("-0.000303")</f>
        <v/>
      </c>
      <c r="S1272">
        <f>_xlfn.NUMBERVALUE("0.000050")</f>
        <v/>
      </c>
      <c r="T1272">
        <f>_xlfn.NUMBERVALUE("-0.000174")</f>
        <v/>
      </c>
      <c r="U1272">
        <f>_xlfn.NUMBERVALUE("0.000210")</f>
        <v/>
      </c>
      <c r="V1272">
        <f>_xlfn.NUMBERVALUE("-0.000338")</f>
        <v/>
      </c>
      <c r="W1272">
        <f>_xlfn.NUMBERVALUE("0.003691")</f>
        <v/>
      </c>
      <c r="X1272">
        <f>_xlfn.NUMBERVALUE("-0.220000")</f>
        <v/>
      </c>
      <c r="Y1272">
        <f>_xlfn.NUMBERVALUE("12.100000")</f>
        <v/>
      </c>
    </row>
    <row r="1273">
      <c r="A1273" s="1" t="n">
        <v>43851</v>
      </c>
      <c r="B1273">
        <f>_xlfn.NUMBERVALUE("0.000000")</f>
        <v/>
      </c>
      <c r="C1273" s="2">
        <f>_xlfn.NUMBERVALUE("0.000777")</f>
        <v/>
      </c>
      <c r="D1273">
        <f>_xlfn.NUMBERVALUE("-0.004700")</f>
        <v/>
      </c>
      <c r="E1273">
        <f>_xlfn.NUMBERVALUE("-0.000277")</f>
        <v/>
      </c>
      <c r="F1273">
        <f>_xlfn.NUMBERVALUE("0.001722")</f>
        <v/>
      </c>
      <c r="G1273">
        <f>_xlfn.NUMBERVALUE("-0.000185")</f>
        <v/>
      </c>
      <c r="H1273">
        <f>_xlfn.NUMBERVALUE("-0.002438")</f>
        <v/>
      </c>
      <c r="I1273">
        <f>_xlfn.NUMBERVALUE("0.000643")</f>
        <v/>
      </c>
      <c r="J1273">
        <f>_xlfn.NUMBERVALUE("-0.000750")</f>
        <v/>
      </c>
      <c r="K1273">
        <f>_xlfn.NUMBERVALUE("-0.000879")</f>
        <v/>
      </c>
      <c r="L1273">
        <f>_xlfn.NUMBERVALUE("-0.001967")</f>
        <v/>
      </c>
      <c r="M1273">
        <f>_xlfn.NUMBERVALUE("0.000203")</f>
        <v/>
      </c>
      <c r="N1273">
        <f>_xlfn.NUMBERVALUE("0.000295")</f>
        <v/>
      </c>
      <c r="O1273">
        <f>_xlfn.NUMBERVALUE("-0.002120")</f>
        <v/>
      </c>
      <c r="P1273">
        <f>_xlfn.NUMBERVALUE("0.000316")</f>
        <v/>
      </c>
      <c r="Q1273">
        <f>_xlfn.NUMBERVALUE("-0.001067")</f>
        <v/>
      </c>
      <c r="R1273">
        <f>_xlfn.NUMBERVALUE("-0.000643")</f>
        <v/>
      </c>
      <c r="S1273">
        <f>_xlfn.NUMBERVALUE("0.000195")</f>
        <v/>
      </c>
      <c r="T1273">
        <f>_xlfn.NUMBERVALUE("0.000124")</f>
        <v/>
      </c>
      <c r="U1273">
        <f>_xlfn.NUMBERVALUE("0.000388")</f>
        <v/>
      </c>
      <c r="V1273">
        <f>_xlfn.NUMBERVALUE("0.000441")</f>
        <v/>
      </c>
      <c r="W1273">
        <f>_xlfn.NUMBERVALUE("-0.000965")</f>
        <v/>
      </c>
      <c r="X1273">
        <f>_xlfn.NUMBERVALUE("0.750000")</f>
        <v/>
      </c>
      <c r="Y1273">
        <f>_xlfn.NUMBERVALUE("12.850000")</f>
        <v/>
      </c>
    </row>
    <row r="1274">
      <c r="A1274" s="1" t="n">
        <v>43852</v>
      </c>
      <c r="B1274">
        <f>_xlfn.NUMBERVALUE("0.000000")</f>
        <v/>
      </c>
      <c r="C1274" s="2">
        <f>_xlfn.NUMBERVALUE("-0.000399")</f>
        <v/>
      </c>
      <c r="D1274">
        <f>_xlfn.NUMBERVALUE("0.001327")</f>
        <v/>
      </c>
      <c r="E1274">
        <f>_xlfn.NUMBERVALUE("0.000315")</f>
        <v/>
      </c>
      <c r="F1274">
        <f>_xlfn.NUMBERVALUE("0.001276")</f>
        <v/>
      </c>
      <c r="G1274">
        <f>_xlfn.NUMBERVALUE("0.000139")</f>
        <v/>
      </c>
      <c r="H1274">
        <f>_xlfn.NUMBERVALUE("-0.000162")</f>
        <v/>
      </c>
      <c r="I1274">
        <f>_xlfn.NUMBERVALUE("0.000591")</f>
        <v/>
      </c>
      <c r="J1274">
        <f>_xlfn.NUMBERVALUE("0.000032")</f>
        <v/>
      </c>
      <c r="K1274">
        <f>_xlfn.NUMBERVALUE("0.002530")</f>
        <v/>
      </c>
      <c r="L1274">
        <f>_xlfn.NUMBERVALUE("0.000612")</f>
        <v/>
      </c>
      <c r="M1274">
        <f>_xlfn.NUMBERVALUE("0.000480")</f>
        <v/>
      </c>
      <c r="N1274">
        <f>_xlfn.NUMBERVALUE("0.001267")</f>
        <v/>
      </c>
      <c r="O1274">
        <f>_xlfn.NUMBERVALUE("-0.000676")</f>
        <v/>
      </c>
      <c r="P1274">
        <f>_xlfn.NUMBERVALUE("-0.000009")</f>
        <v/>
      </c>
      <c r="Q1274">
        <f>_xlfn.NUMBERVALUE("-0.000026")</f>
        <v/>
      </c>
      <c r="R1274">
        <f>_xlfn.NUMBERVALUE("-0.000870")</f>
        <v/>
      </c>
      <c r="S1274">
        <f>_xlfn.NUMBERVALUE("-0.000469")</f>
        <v/>
      </c>
      <c r="T1274">
        <f>_xlfn.NUMBERVALUE("-0.000426")</f>
        <v/>
      </c>
      <c r="U1274">
        <f>_xlfn.NUMBERVALUE("-0.000068")</f>
        <v/>
      </c>
      <c r="V1274">
        <f>_xlfn.NUMBERVALUE("0.000528")</f>
        <v/>
      </c>
      <c r="W1274">
        <f>_xlfn.NUMBERVALUE("0.000302")</f>
        <v/>
      </c>
      <c r="X1274">
        <f>_xlfn.NUMBERVALUE("0.060000")</f>
        <v/>
      </c>
      <c r="Y1274">
        <f>_xlfn.NUMBERVALUE("12.910000")</f>
        <v/>
      </c>
    </row>
    <row r="1275">
      <c r="A1275" s="1" t="n">
        <v>43853</v>
      </c>
      <c r="B1275">
        <f>_xlfn.NUMBERVALUE("0.000000")</f>
        <v/>
      </c>
      <c r="C1275" s="2">
        <f>_xlfn.NUMBERVALUE("0.000693")</f>
        <v/>
      </c>
      <c r="D1275">
        <f>_xlfn.NUMBERVALUE("-0.000659")</f>
        <v/>
      </c>
      <c r="E1275">
        <f>_xlfn.NUMBERVALUE("-0.000086")</f>
        <v/>
      </c>
      <c r="F1275">
        <f>_xlfn.NUMBERVALUE("-0.000188")</f>
        <v/>
      </c>
      <c r="G1275">
        <f>_xlfn.NUMBERVALUE("0.000387")</f>
        <v/>
      </c>
      <c r="H1275">
        <f>_xlfn.NUMBERVALUE("0.000060")</f>
        <v/>
      </c>
      <c r="I1275">
        <f>_xlfn.NUMBERVALUE("0.000155")</f>
        <v/>
      </c>
      <c r="J1275">
        <f>_xlfn.NUMBERVALUE("-0.000326")</f>
        <v/>
      </c>
      <c r="K1275">
        <f>_xlfn.NUMBERVALUE("-0.000131")</f>
        <v/>
      </c>
      <c r="L1275">
        <f>_xlfn.NUMBERVALUE("-0.000981")</f>
        <v/>
      </c>
      <c r="M1275">
        <f>_xlfn.NUMBERVALUE("0.000907")</f>
        <v/>
      </c>
      <c r="N1275">
        <f>_xlfn.NUMBERVALUE("0.001660")</f>
        <v/>
      </c>
      <c r="O1275">
        <f>_xlfn.NUMBERVALUE("0.000641")</f>
        <v/>
      </c>
      <c r="P1275">
        <f>_xlfn.NUMBERVALUE("0.000629")</f>
        <v/>
      </c>
      <c r="Q1275">
        <f>_xlfn.NUMBERVALUE("-0.001447")</f>
        <v/>
      </c>
      <c r="R1275">
        <f>_xlfn.NUMBERVALUE("-0.000386")</f>
        <v/>
      </c>
      <c r="S1275">
        <f>_xlfn.NUMBERVALUE("0.000096")</f>
        <v/>
      </c>
      <c r="T1275">
        <f>_xlfn.NUMBERVALUE("0.000141")</f>
        <v/>
      </c>
      <c r="U1275">
        <f>_xlfn.NUMBERVALUE("-0.001611")</f>
        <v/>
      </c>
      <c r="V1275">
        <f>_xlfn.NUMBERVALUE("0.000063")</f>
        <v/>
      </c>
      <c r="W1275">
        <f>_xlfn.NUMBERVALUE("0.000996")</f>
        <v/>
      </c>
      <c r="X1275">
        <f>_xlfn.NUMBERVALUE("0.070000")</f>
        <v/>
      </c>
      <c r="Y1275">
        <f>_xlfn.NUMBERVALUE("12.980000")</f>
        <v/>
      </c>
    </row>
    <row r="1276">
      <c r="A1276" s="1" t="n">
        <v>43854</v>
      </c>
      <c r="B1276">
        <f>_xlfn.NUMBERVALUE("0.000000")</f>
        <v/>
      </c>
      <c r="C1276" s="2">
        <f>_xlfn.NUMBERVALUE("-0.002159")</f>
        <v/>
      </c>
      <c r="D1276">
        <f>_xlfn.NUMBERVALUE("-0.003079")</f>
        <v/>
      </c>
      <c r="E1276">
        <f>_xlfn.NUMBERVALUE("-0.000676")</f>
        <v/>
      </c>
      <c r="F1276">
        <f>_xlfn.NUMBERVALUE("-0.001322")</f>
        <v/>
      </c>
      <c r="G1276">
        <f>_xlfn.NUMBERVALUE("-0.000953")</f>
        <v/>
      </c>
      <c r="H1276">
        <f>_xlfn.NUMBERVALUE("-0.000677")</f>
        <v/>
      </c>
      <c r="I1276">
        <f>_xlfn.NUMBERVALUE("-0.003949")</f>
        <v/>
      </c>
      <c r="J1276">
        <f>_xlfn.NUMBERVALUE("0.000094")</f>
        <v/>
      </c>
      <c r="K1276">
        <f>_xlfn.NUMBERVALUE("-0.000098")</f>
        <v/>
      </c>
      <c r="L1276">
        <f>_xlfn.NUMBERVALUE("-0.000876")</f>
        <v/>
      </c>
      <c r="M1276">
        <f>_xlfn.NUMBERVALUE("-0.002562")</f>
        <v/>
      </c>
      <c r="N1276">
        <f>_xlfn.NUMBERVALUE("-0.002166")</f>
        <v/>
      </c>
      <c r="O1276">
        <f>_xlfn.NUMBERVALUE("-0.001111")</f>
        <v/>
      </c>
      <c r="P1276">
        <f>_xlfn.NUMBERVALUE("-0.003401")</f>
        <v/>
      </c>
      <c r="Q1276">
        <f>_xlfn.NUMBERVALUE("-0.001683")</f>
        <v/>
      </c>
      <c r="R1276">
        <f>_xlfn.NUMBERVALUE("-0.002589")</f>
        <v/>
      </c>
      <c r="S1276">
        <f>_xlfn.NUMBERVALUE("-0.001245")</f>
        <v/>
      </c>
      <c r="T1276">
        <f>_xlfn.NUMBERVALUE("-0.000071")</f>
        <v/>
      </c>
      <c r="U1276">
        <f>_xlfn.NUMBERVALUE("-0.005335")</f>
        <v/>
      </c>
      <c r="V1276">
        <f>_xlfn.NUMBERVALUE("-0.002713")</f>
        <v/>
      </c>
      <c r="W1276">
        <f>_xlfn.NUMBERVALUE("-0.010186")</f>
        <v/>
      </c>
      <c r="X1276">
        <f>_xlfn.NUMBERVALUE("1.580000")</f>
        <v/>
      </c>
      <c r="Y1276">
        <f>_xlfn.NUMBERVALUE("14.560000")</f>
        <v/>
      </c>
    </row>
    <row r="1277">
      <c r="A1277" s="1" t="n">
        <v>43857</v>
      </c>
      <c r="B1277">
        <f>_xlfn.NUMBERVALUE("0.000000")</f>
        <v/>
      </c>
      <c r="C1277" s="2">
        <f>_xlfn.NUMBERVALUE("-0.001869")</f>
        <v/>
      </c>
      <c r="D1277">
        <f>_xlfn.NUMBERVALUE("-0.010795")</f>
        <v/>
      </c>
      <c r="E1277">
        <f>_xlfn.NUMBERVALUE("-0.005218")</f>
        <v/>
      </c>
      <c r="F1277">
        <f>_xlfn.NUMBERVALUE("-0.001214")</f>
        <v/>
      </c>
      <c r="G1277">
        <f>_xlfn.NUMBERVALUE("-0.001048")</f>
        <v/>
      </c>
      <c r="H1277">
        <f>_xlfn.NUMBERVALUE("-0.000999")</f>
        <v/>
      </c>
      <c r="I1277">
        <f>_xlfn.NUMBERVALUE("0.000019")</f>
        <v/>
      </c>
      <c r="J1277">
        <f>_xlfn.NUMBERVALUE("-0.000102")</f>
        <v/>
      </c>
      <c r="K1277">
        <f>_xlfn.NUMBERVALUE("0.002795")</f>
        <v/>
      </c>
      <c r="L1277">
        <f>_xlfn.NUMBERVALUE("-0.001815")</f>
        <v/>
      </c>
      <c r="M1277">
        <f>_xlfn.NUMBERVALUE("-0.004129")</f>
        <v/>
      </c>
      <c r="N1277">
        <f>_xlfn.NUMBERVALUE("-0.001600")</f>
        <v/>
      </c>
      <c r="O1277">
        <f>_xlfn.NUMBERVALUE("-0.001357")</f>
        <v/>
      </c>
      <c r="P1277">
        <f>_xlfn.NUMBERVALUE("-0.001598")</f>
        <v/>
      </c>
      <c r="Q1277">
        <f>_xlfn.NUMBERVALUE("-0.003976")</f>
        <v/>
      </c>
      <c r="R1277">
        <f>_xlfn.NUMBERVALUE("-0.002296")</f>
        <v/>
      </c>
      <c r="S1277">
        <f>_xlfn.NUMBERVALUE("0.000180")</f>
        <v/>
      </c>
      <c r="T1277">
        <f>_xlfn.NUMBERVALUE("0.000145")</f>
        <v/>
      </c>
      <c r="U1277">
        <f>_xlfn.NUMBERVALUE("-0.001845")</f>
        <v/>
      </c>
      <c r="V1277">
        <f>_xlfn.NUMBERVALUE("-0.001075")</f>
        <v/>
      </c>
      <c r="W1277">
        <f>_xlfn.NUMBERVALUE("-0.013579")</f>
        <v/>
      </c>
      <c r="X1277">
        <f>_xlfn.NUMBERVALUE("3.670000")</f>
        <v/>
      </c>
      <c r="Y1277">
        <f>_xlfn.NUMBERVALUE("18.230000")</f>
        <v/>
      </c>
    </row>
    <row r="1278">
      <c r="A1278" s="1" t="n">
        <v>43858</v>
      </c>
      <c r="B1278">
        <f>_xlfn.NUMBERVALUE("0.000000")</f>
        <v/>
      </c>
      <c r="C1278" s="2">
        <f>_xlfn.NUMBERVALUE("0.001794")</f>
        <v/>
      </c>
      <c r="D1278">
        <f>_xlfn.NUMBERVALUE("0.001386")</f>
        <v/>
      </c>
      <c r="E1278">
        <f>_xlfn.NUMBERVALUE("-0.000144")</f>
        <v/>
      </c>
      <c r="F1278">
        <f>_xlfn.NUMBERVALUE("0.001213")</f>
        <v/>
      </c>
      <c r="G1278">
        <f>_xlfn.NUMBERVALUE("-0.000950")</f>
        <v/>
      </c>
      <c r="H1278">
        <f>_xlfn.NUMBERVALUE("-0.000243")</f>
        <v/>
      </c>
      <c r="I1278">
        <f>_xlfn.NUMBERVALUE("0.001562")</f>
        <v/>
      </c>
      <c r="J1278">
        <f>_xlfn.NUMBERVALUE("0.000449")</f>
        <v/>
      </c>
      <c r="K1278">
        <f>_xlfn.NUMBERVALUE("-0.014590")</f>
        <v/>
      </c>
      <c r="L1278">
        <f>_xlfn.NUMBERVALUE("0.000401")</f>
        <v/>
      </c>
      <c r="M1278">
        <f>_xlfn.NUMBERVALUE("0.000794")</f>
        <v/>
      </c>
      <c r="N1278">
        <f>_xlfn.NUMBERVALUE("-0.000990")</f>
        <v/>
      </c>
      <c r="O1278">
        <f>_xlfn.NUMBERVALUE("0.000272")</f>
        <v/>
      </c>
      <c r="P1278">
        <f>_xlfn.NUMBERVALUE("0.001231")</f>
        <v/>
      </c>
      <c r="Q1278">
        <f>_xlfn.NUMBERVALUE("0.002103")</f>
        <v/>
      </c>
      <c r="R1278">
        <f>_xlfn.NUMBERVALUE("-0.002536")</f>
        <v/>
      </c>
      <c r="S1278">
        <f>_xlfn.NUMBERVALUE("0.001493")</f>
        <v/>
      </c>
      <c r="T1278">
        <f>_xlfn.NUMBERVALUE("0.000153")</f>
        <v/>
      </c>
      <c r="U1278">
        <f>_xlfn.NUMBERVALUE("0.001545")</f>
        <v/>
      </c>
      <c r="V1278">
        <f>_xlfn.NUMBERVALUE("-0.000497")</f>
        <v/>
      </c>
      <c r="W1278">
        <f>_xlfn.NUMBERVALUE("0.010124")</f>
        <v/>
      </c>
      <c r="X1278">
        <f>_xlfn.NUMBERVALUE("-1.950000")</f>
        <v/>
      </c>
      <c r="Y1278">
        <f>_xlfn.NUMBERVALUE("16.280000")</f>
        <v/>
      </c>
    </row>
    <row r="1279">
      <c r="A1279" s="1" t="n">
        <v>43859</v>
      </c>
      <c r="B1279">
        <f>_xlfn.NUMBERVALUE("0.000000")</f>
        <v/>
      </c>
      <c r="C1279" s="2">
        <f>_xlfn.NUMBERVALUE("0.002717")</f>
        <v/>
      </c>
      <c r="D1279">
        <f>_xlfn.NUMBERVALUE("0.002280")</f>
        <v/>
      </c>
      <c r="E1279">
        <f>_xlfn.NUMBERVALUE("0.001435")</f>
        <v/>
      </c>
      <c r="F1279">
        <f>_xlfn.NUMBERVALUE("0.001293")</f>
        <v/>
      </c>
      <c r="G1279">
        <f>_xlfn.NUMBERVALUE("0.002185")</f>
        <v/>
      </c>
      <c r="H1279">
        <f>_xlfn.NUMBERVALUE("-0.000224")</f>
        <v/>
      </c>
      <c r="I1279">
        <f>_xlfn.NUMBERVALUE("0.001840")</f>
        <v/>
      </c>
      <c r="J1279">
        <f>_xlfn.NUMBERVALUE("0.000077")</f>
        <v/>
      </c>
      <c r="K1279">
        <f>_xlfn.NUMBERVALUE("0.001366")</f>
        <v/>
      </c>
      <c r="L1279">
        <f>_xlfn.NUMBERVALUE("-0.000700")</f>
        <v/>
      </c>
      <c r="M1279">
        <f>_xlfn.NUMBERVALUE("0.000884")</f>
        <v/>
      </c>
      <c r="N1279">
        <f>_xlfn.NUMBERVALUE("0.000204")</f>
        <v/>
      </c>
      <c r="O1279">
        <f>_xlfn.NUMBERVALUE("-0.000031")</f>
        <v/>
      </c>
      <c r="P1279">
        <f>_xlfn.NUMBERVALUE("0.002162")</f>
        <v/>
      </c>
      <c r="Q1279">
        <f>_xlfn.NUMBERVALUE("0.001157")</f>
        <v/>
      </c>
      <c r="R1279">
        <f>_xlfn.NUMBERVALUE("0.001616")</f>
        <v/>
      </c>
      <c r="S1279">
        <f>_xlfn.NUMBERVALUE("0.001161")</f>
        <v/>
      </c>
      <c r="T1279">
        <f>_xlfn.NUMBERVALUE("-0.000046")</f>
        <v/>
      </c>
      <c r="U1279">
        <f>_xlfn.NUMBERVALUE("0.001263")</f>
        <v/>
      </c>
      <c r="V1279">
        <f>_xlfn.NUMBERVALUE("0.002210")</f>
        <v/>
      </c>
      <c r="W1279">
        <f>_xlfn.NUMBERVALUE("-0.000581")</f>
        <v/>
      </c>
      <c r="X1279">
        <f>_xlfn.NUMBERVALUE("0.110000")</f>
        <v/>
      </c>
      <c r="Y1279">
        <f>_xlfn.NUMBERVALUE("16.390000")</f>
        <v/>
      </c>
    </row>
    <row r="1280">
      <c r="A1280" s="1" t="n">
        <v>43860</v>
      </c>
      <c r="B1280">
        <f>_xlfn.NUMBERVALUE("0.000000")</f>
        <v/>
      </c>
      <c r="C1280" s="2">
        <f>_xlfn.NUMBERVALUE("0.000656")</f>
        <v/>
      </c>
      <c r="D1280">
        <f>_xlfn.NUMBERVALUE("-0.001610")</f>
        <v/>
      </c>
      <c r="E1280">
        <f>_xlfn.NUMBERVALUE("0.000561")</f>
        <v/>
      </c>
      <c r="F1280">
        <f>_xlfn.NUMBERVALUE("-0.001378")</f>
        <v/>
      </c>
      <c r="G1280">
        <f>_xlfn.NUMBERVALUE("0.000402")</f>
        <v/>
      </c>
      <c r="H1280">
        <f>_xlfn.NUMBERVALUE("0.000079")</f>
        <v/>
      </c>
      <c r="I1280">
        <f>_xlfn.NUMBERVALUE("0.000960")</f>
        <v/>
      </c>
      <c r="J1280">
        <f>_xlfn.NUMBERVALUE("-0.000055")</f>
        <v/>
      </c>
      <c r="K1280">
        <f>_xlfn.NUMBERVALUE("0.000478")</f>
        <v/>
      </c>
      <c r="L1280">
        <f>_xlfn.NUMBERVALUE("0.000313")</f>
        <v/>
      </c>
      <c r="M1280">
        <f>_xlfn.NUMBERVALUE("-0.000075")</f>
        <v/>
      </c>
      <c r="N1280">
        <f>_xlfn.NUMBERVALUE("0.001545")</f>
        <v/>
      </c>
      <c r="O1280">
        <f>_xlfn.NUMBERVALUE("-0.000076")</f>
        <v/>
      </c>
      <c r="P1280">
        <f>_xlfn.NUMBERVALUE("-0.002389")</f>
        <v/>
      </c>
      <c r="Q1280">
        <f>_xlfn.NUMBERVALUE("0.000340")</f>
        <v/>
      </c>
      <c r="R1280">
        <f>_xlfn.NUMBERVALUE("0.001900")</f>
        <v/>
      </c>
      <c r="S1280">
        <f>_xlfn.NUMBERVALUE("-0.000360")</f>
        <v/>
      </c>
      <c r="T1280">
        <f>_xlfn.NUMBERVALUE("0.000153")</f>
        <v/>
      </c>
      <c r="U1280">
        <f>_xlfn.NUMBERVALUE("0.001389")</f>
        <v/>
      </c>
      <c r="V1280">
        <f>_xlfn.NUMBERVALUE("0.001598")</f>
        <v/>
      </c>
      <c r="W1280">
        <f>_xlfn.NUMBERVALUE("0.000031")</f>
        <v/>
      </c>
      <c r="X1280">
        <f>_xlfn.NUMBERVALUE("-0.900000")</f>
        <v/>
      </c>
      <c r="Y1280">
        <f>_xlfn.NUMBERVALUE("15.490000")</f>
        <v/>
      </c>
    </row>
    <row r="1281">
      <c r="A1281" s="1" t="n">
        <v>43861</v>
      </c>
      <c r="B1281">
        <f>_xlfn.NUMBERVALUE("0.000000")</f>
        <v/>
      </c>
      <c r="C1281" s="2">
        <f>_xlfn.NUMBERVALUE("-0.007213")</f>
        <v/>
      </c>
      <c r="D1281">
        <f>_xlfn.NUMBERVALUE("-0.000836")</f>
        <v/>
      </c>
      <c r="E1281">
        <f>_xlfn.NUMBERVALUE("-0.003440")</f>
        <v/>
      </c>
      <c r="F1281">
        <f>_xlfn.NUMBERVALUE("-0.000311")</f>
        <v/>
      </c>
      <c r="G1281">
        <f>_xlfn.NUMBERVALUE("-0.003100")</f>
        <v/>
      </c>
      <c r="H1281">
        <f>_xlfn.NUMBERVALUE("0.001044")</f>
        <v/>
      </c>
      <c r="I1281">
        <f>_xlfn.NUMBERVALUE("-0.005116")</f>
        <v/>
      </c>
      <c r="J1281">
        <f>_xlfn.NUMBERVALUE("0.000381")</f>
        <v/>
      </c>
      <c r="K1281">
        <f>_xlfn.NUMBERVALUE("-0.000157")</f>
        <v/>
      </c>
      <c r="L1281">
        <f>_xlfn.NUMBERVALUE("0.000282")</f>
        <v/>
      </c>
      <c r="M1281">
        <f>_xlfn.NUMBERVALUE("-0.005116")</f>
        <v/>
      </c>
      <c r="N1281">
        <f>_xlfn.NUMBERVALUE("-0.002660")</f>
        <v/>
      </c>
      <c r="O1281">
        <f>_xlfn.NUMBERVALUE("-0.000079")</f>
        <v/>
      </c>
      <c r="P1281">
        <f>_xlfn.NUMBERVALUE("-0.005187")</f>
        <v/>
      </c>
      <c r="Q1281">
        <f>_xlfn.NUMBERVALUE("-0.007953")</f>
        <v/>
      </c>
      <c r="R1281">
        <f>_xlfn.NUMBERVALUE("-0.005389")</f>
        <v/>
      </c>
      <c r="S1281">
        <f>_xlfn.NUMBERVALUE("-0.002504")</f>
        <v/>
      </c>
      <c r="T1281">
        <f>_xlfn.NUMBERVALUE("-0.000006")</f>
        <v/>
      </c>
      <c r="U1281">
        <f>_xlfn.NUMBERVALUE("-0.001970")</f>
        <v/>
      </c>
      <c r="V1281">
        <f>_xlfn.NUMBERVALUE("-0.006324")</f>
        <v/>
      </c>
      <c r="W1281">
        <f>_xlfn.NUMBERVALUE("-0.017091")</f>
        <v/>
      </c>
      <c r="X1281">
        <f>_xlfn.NUMBERVALUE("3.350000")</f>
        <v/>
      </c>
      <c r="Y1281">
        <f>_xlfn.NUMBERVALUE("18.840000")</f>
        <v/>
      </c>
    </row>
    <row r="1282">
      <c r="A1282" s="1" t="n">
        <v>43864</v>
      </c>
      <c r="B1282">
        <f>_xlfn.NUMBERVALUE("0.000000")</f>
        <v/>
      </c>
      <c r="C1282" s="2">
        <f>_xlfn.NUMBERVALUE("0.005184")</f>
        <v/>
      </c>
      <c r="D1282">
        <f>_xlfn.NUMBERVALUE("0.000220")</f>
        <v/>
      </c>
      <c r="E1282">
        <f>_xlfn.NUMBERVALUE("0.000114")</f>
        <v/>
      </c>
      <c r="F1282">
        <f>_xlfn.NUMBERVALUE("0.001879")</f>
        <v/>
      </c>
      <c r="G1282">
        <f>_xlfn.NUMBERVALUE("0.002482")</f>
        <v/>
      </c>
      <c r="H1282">
        <f>_xlfn.NUMBERVALUE("-0.001464")</f>
        <v/>
      </c>
      <c r="I1282">
        <f>_xlfn.NUMBERVALUE("0.002278")</f>
        <v/>
      </c>
      <c r="J1282">
        <f>_xlfn.NUMBERVALUE("-0.000833")</f>
        <v/>
      </c>
      <c r="K1282">
        <f>_xlfn.NUMBERVALUE("-0.004633")</f>
        <v/>
      </c>
      <c r="L1282">
        <f>_xlfn.NUMBERVALUE("-0.000819")</f>
        <v/>
      </c>
      <c r="M1282">
        <f>_xlfn.NUMBERVALUE("-0.000119")</f>
        <v/>
      </c>
      <c r="N1282">
        <f>_xlfn.NUMBERVALUE("0.001496")</f>
        <v/>
      </c>
      <c r="O1282">
        <f>_xlfn.NUMBERVALUE("-0.000181")</f>
        <v/>
      </c>
      <c r="P1282">
        <f>_xlfn.NUMBERVALUE("0.002987")</f>
        <v/>
      </c>
      <c r="Q1282">
        <f>_xlfn.NUMBERVALUE("0.002191")</f>
        <v/>
      </c>
      <c r="R1282">
        <f>_xlfn.NUMBERVALUE("0.002268")</f>
        <v/>
      </c>
      <c r="S1282">
        <f>_xlfn.NUMBERVALUE("0.002183")</f>
        <v/>
      </c>
      <c r="T1282">
        <f>_xlfn.NUMBERVALUE("0.000142")</f>
        <v/>
      </c>
      <c r="U1282">
        <f>_xlfn.NUMBERVALUE("0.003863")</f>
        <v/>
      </c>
      <c r="V1282">
        <f>_xlfn.NUMBERVALUE("0.004715")</f>
        <v/>
      </c>
      <c r="W1282">
        <f>_xlfn.NUMBERVALUE("0.008834")</f>
        <v/>
      </c>
      <c r="X1282">
        <f>_xlfn.NUMBERVALUE("-0.870000")</f>
        <v/>
      </c>
      <c r="Y1282">
        <f>_xlfn.NUMBERVALUE("17.970000")</f>
        <v/>
      </c>
    </row>
    <row r="1283">
      <c r="A1283" s="1" t="n">
        <v>43865</v>
      </c>
      <c r="B1283">
        <f>_xlfn.NUMBERVALUE("0.000000")</f>
        <v/>
      </c>
      <c r="C1283" s="2">
        <f>_xlfn.NUMBERVALUE("-0.003805")</f>
        <v/>
      </c>
      <c r="D1283">
        <f>_xlfn.NUMBERVALUE("-0.000009")</f>
        <v/>
      </c>
      <c r="E1283">
        <f>_xlfn.NUMBERVALUE("-0.000041")</f>
        <v/>
      </c>
      <c r="F1283">
        <f>_xlfn.NUMBERVALUE("0.000387")</f>
        <v/>
      </c>
      <c r="G1283">
        <f>_xlfn.NUMBERVALUE("0.000002")</f>
        <v/>
      </c>
      <c r="H1283">
        <f>_xlfn.NUMBERVALUE("-0.000002")</f>
        <v/>
      </c>
      <c r="I1283">
        <f>_xlfn.NUMBERVALUE("0.000585")</f>
        <v/>
      </c>
      <c r="J1283">
        <f>_xlfn.NUMBERVALUE("0.000008")</f>
        <v/>
      </c>
      <c r="K1283">
        <f>_xlfn.NUMBERVALUE("0.000066")</f>
        <v/>
      </c>
      <c r="L1283">
        <f>_xlfn.NUMBERVALUE("0.000067")</f>
        <v/>
      </c>
      <c r="M1283">
        <f>_xlfn.NUMBERVALUE("-0.002533")</f>
        <v/>
      </c>
      <c r="N1283">
        <f>_xlfn.NUMBERVALUE("0.001662")</f>
        <v/>
      </c>
      <c r="O1283">
        <f>_xlfn.NUMBERVALUE("-0.000224")</f>
        <v/>
      </c>
      <c r="P1283">
        <f>_xlfn.NUMBERVALUE("0.000532")</f>
        <v/>
      </c>
      <c r="Q1283">
        <f>_xlfn.NUMBERVALUE("-0.000950")</f>
        <v/>
      </c>
      <c r="R1283">
        <f>_xlfn.NUMBERVALUE("-0.003132")</f>
        <v/>
      </c>
      <c r="S1283">
        <f>_xlfn.NUMBERVALUE("0.001044")</f>
        <v/>
      </c>
      <c r="T1283">
        <f>_xlfn.NUMBERVALUE("0.000006")</f>
        <v/>
      </c>
      <c r="U1283">
        <f>_xlfn.NUMBERVALUE("-0.002884")</f>
        <v/>
      </c>
      <c r="V1283">
        <f>_xlfn.NUMBERVALUE("-0.005731")</f>
        <v/>
      </c>
      <c r="W1283">
        <f>_xlfn.NUMBERVALUE("0.007616")</f>
        <v/>
      </c>
      <c r="X1283">
        <f>_xlfn.NUMBERVALUE("-1.920000")</f>
        <v/>
      </c>
      <c r="Y1283">
        <f>_xlfn.NUMBERVALUE("16.050000")</f>
        <v/>
      </c>
    </row>
    <row r="1284">
      <c r="A1284" s="1" t="n">
        <v>43866</v>
      </c>
      <c r="B1284">
        <f>_xlfn.NUMBERVALUE("0.000000")</f>
        <v/>
      </c>
      <c r="C1284" s="2">
        <f>_xlfn.NUMBERVALUE("-0.002601")</f>
        <v/>
      </c>
      <c r="D1284">
        <f>_xlfn.NUMBERVALUE("0.000960")</f>
        <v/>
      </c>
      <c r="E1284">
        <f>_xlfn.NUMBERVALUE("-0.001513")</f>
        <v/>
      </c>
      <c r="F1284">
        <f>_xlfn.NUMBERVALUE("0.002335")</f>
        <v/>
      </c>
      <c r="G1284">
        <f>_xlfn.NUMBERVALUE("-0.000050")</f>
        <v/>
      </c>
      <c r="H1284">
        <f>_xlfn.NUMBERVALUE("0.000155")</f>
        <v/>
      </c>
      <c r="I1284">
        <f>_xlfn.NUMBERVALUE("-0.001965")</f>
        <v/>
      </c>
      <c r="J1284">
        <f>_xlfn.NUMBERVALUE("0.000327")</f>
        <v/>
      </c>
      <c r="K1284">
        <f>_xlfn.NUMBERVALUE("0.003425")</f>
        <v/>
      </c>
      <c r="L1284">
        <f>_xlfn.NUMBERVALUE("-0.000041")</f>
        <v/>
      </c>
      <c r="M1284">
        <f>_xlfn.NUMBERVALUE("-0.005535")</f>
        <v/>
      </c>
      <c r="N1284">
        <f>_xlfn.NUMBERVALUE("0.000077")</f>
        <v/>
      </c>
      <c r="O1284">
        <f>_xlfn.NUMBERVALUE("0.000204")</f>
        <v/>
      </c>
      <c r="P1284">
        <f>_xlfn.NUMBERVALUE("-0.006261")</f>
        <v/>
      </c>
      <c r="Q1284">
        <f>_xlfn.NUMBERVALUE("-0.004041")</f>
        <v/>
      </c>
      <c r="R1284">
        <f>_xlfn.NUMBERVALUE("0.000181")</f>
        <v/>
      </c>
      <c r="S1284">
        <f>_xlfn.NUMBERVALUE("0.000098")</f>
        <v/>
      </c>
      <c r="T1284">
        <f>_xlfn.NUMBERVALUE("-0.000005")</f>
        <v/>
      </c>
      <c r="U1284">
        <f>_xlfn.NUMBERVALUE("0.001102")</f>
        <v/>
      </c>
      <c r="V1284">
        <f>_xlfn.NUMBERVALUE("-0.000727")</f>
        <v/>
      </c>
      <c r="W1284">
        <f>_xlfn.NUMBERVALUE("0.010265")</f>
        <v/>
      </c>
      <c r="X1284">
        <f>_xlfn.NUMBERVALUE("-0.900000")</f>
        <v/>
      </c>
      <c r="Y1284">
        <f>_xlfn.NUMBERVALUE("15.150000")</f>
        <v/>
      </c>
    </row>
    <row r="1285">
      <c r="A1285" s="1" t="n">
        <v>43867</v>
      </c>
      <c r="B1285">
        <f>_xlfn.NUMBERVALUE("0.000000")</f>
        <v/>
      </c>
      <c r="C1285" s="2">
        <f>_xlfn.NUMBERVALUE("0.000505")</f>
        <v/>
      </c>
      <c r="D1285">
        <f>_xlfn.NUMBERVALUE("0.001158")</f>
        <v/>
      </c>
      <c r="E1285">
        <f>_xlfn.NUMBERVALUE("0.000545")</f>
        <v/>
      </c>
      <c r="F1285">
        <f>_xlfn.NUMBERVALUE("-0.000295")</f>
        <v/>
      </c>
      <c r="G1285">
        <f>_xlfn.NUMBERVALUE("-0.000142")</f>
        <v/>
      </c>
      <c r="H1285">
        <f>_xlfn.NUMBERVALUE("0.000019")</f>
        <v/>
      </c>
      <c r="I1285">
        <f>_xlfn.NUMBERVALUE("0.001076")</f>
        <v/>
      </c>
      <c r="J1285">
        <f>_xlfn.NUMBERVALUE("0.000305")</f>
        <v/>
      </c>
      <c r="K1285">
        <f>_xlfn.NUMBERVALUE("0.000025")</f>
        <v/>
      </c>
      <c r="L1285">
        <f>_xlfn.NUMBERVALUE("0.000691")</f>
        <v/>
      </c>
      <c r="M1285">
        <f>_xlfn.NUMBERVALUE("0.001727")</f>
        <v/>
      </c>
      <c r="N1285">
        <f>_xlfn.NUMBERVALUE("-0.001194")</f>
        <v/>
      </c>
      <c r="O1285">
        <f>_xlfn.NUMBERVALUE("-0.000004")</f>
        <v/>
      </c>
      <c r="P1285">
        <f>_xlfn.NUMBERVALUE("0.003233")</f>
        <v/>
      </c>
      <c r="Q1285">
        <f>_xlfn.NUMBERVALUE("0.001618")</f>
        <v/>
      </c>
      <c r="R1285">
        <f>_xlfn.NUMBERVALUE("-0.000013")</f>
        <v/>
      </c>
      <c r="S1285">
        <f>_xlfn.NUMBERVALUE("0.000061")</f>
        <v/>
      </c>
      <c r="T1285">
        <f>_xlfn.NUMBERVALUE("0.000140")</f>
        <v/>
      </c>
      <c r="U1285">
        <f>_xlfn.NUMBERVALUE("0.001744")</f>
        <v/>
      </c>
      <c r="V1285">
        <f>_xlfn.NUMBERVALUE("0.000576")</f>
        <v/>
      </c>
      <c r="W1285">
        <f>_xlfn.NUMBERVALUE("0.003848")</f>
        <v/>
      </c>
      <c r="X1285">
        <f>_xlfn.NUMBERVALUE("-0.190000")</f>
        <v/>
      </c>
      <c r="Y1285">
        <f>_xlfn.NUMBERVALUE("14.960000")</f>
        <v/>
      </c>
    </row>
    <row r="1286">
      <c r="A1286" s="1" t="n">
        <v>43868</v>
      </c>
      <c r="B1286">
        <f>_xlfn.NUMBERVALUE("0.000000")</f>
        <v/>
      </c>
      <c r="C1286" s="2">
        <f>_xlfn.NUMBERVALUE("-0.000044")</f>
        <v/>
      </c>
      <c r="D1286">
        <f>_xlfn.NUMBERVALUE("-0.000829")</f>
        <v/>
      </c>
      <c r="E1286">
        <f>_xlfn.NUMBERVALUE("-0.000007")</f>
        <v/>
      </c>
      <c r="F1286">
        <f>_xlfn.NUMBERVALUE("0.000355")</f>
        <v/>
      </c>
      <c r="G1286">
        <f>_xlfn.NUMBERVALUE("0.000524")</f>
        <v/>
      </c>
      <c r="H1286">
        <f>_xlfn.NUMBERVALUE("0.000881")</f>
        <v/>
      </c>
      <c r="I1286">
        <f>_xlfn.NUMBERVALUE("-0.001483")</f>
        <v/>
      </c>
      <c r="J1286">
        <f>_xlfn.NUMBERVALUE("-0.000331")</f>
        <v/>
      </c>
      <c r="K1286">
        <f>_xlfn.NUMBERVALUE("0.000625")</f>
        <v/>
      </c>
      <c r="L1286">
        <f>_xlfn.NUMBERVALUE("-0.002244")</f>
        <v/>
      </c>
      <c r="M1286">
        <f>_xlfn.NUMBERVALUE("0.003222")</f>
        <v/>
      </c>
      <c r="N1286">
        <f>_xlfn.NUMBERVALUE("0.000561")</f>
        <v/>
      </c>
      <c r="O1286">
        <f>_xlfn.NUMBERVALUE("-0.000004")</f>
        <v/>
      </c>
      <c r="P1286">
        <f>_xlfn.NUMBERVALUE("0.005473")</f>
        <v/>
      </c>
      <c r="Q1286">
        <f>_xlfn.NUMBERVALUE("0.004124")</f>
        <v/>
      </c>
      <c r="R1286">
        <f>_xlfn.NUMBERVALUE("-0.000003")</f>
        <v/>
      </c>
      <c r="S1286">
        <f>_xlfn.NUMBERVALUE("-0.000001")</f>
        <v/>
      </c>
      <c r="T1286">
        <f>_xlfn.NUMBERVALUE("-0.000149")</f>
        <v/>
      </c>
      <c r="U1286">
        <f>_xlfn.NUMBERVALUE("0.001065")</f>
        <v/>
      </c>
      <c r="V1286">
        <f>_xlfn.NUMBERVALUE("0.000150")</f>
        <v/>
      </c>
      <c r="W1286">
        <f>_xlfn.NUMBERVALUE("-0.004163")</f>
        <v/>
      </c>
      <c r="X1286">
        <f>_xlfn.NUMBERVALUE("0.510000")</f>
        <v/>
      </c>
      <c r="Y1286">
        <f>_xlfn.NUMBERVALUE("15.470000")</f>
        <v/>
      </c>
    </row>
    <row r="1287">
      <c r="A1287" s="1" t="n">
        <v>43871</v>
      </c>
      <c r="B1287">
        <f>_xlfn.NUMBERVALUE("0.000000")</f>
        <v/>
      </c>
      <c r="C1287" s="2">
        <f>_xlfn.NUMBERVALUE("0.001247")</f>
        <v/>
      </c>
      <c r="D1287">
        <f>_xlfn.NUMBERVALUE("0.003182")</f>
        <v/>
      </c>
      <c r="E1287">
        <f>_xlfn.NUMBERVALUE("0.001966")</f>
        <v/>
      </c>
      <c r="F1287">
        <f>_xlfn.NUMBERVALUE("0.000341")</f>
        <v/>
      </c>
      <c r="G1287">
        <f>_xlfn.NUMBERVALUE("0.000071")</f>
        <v/>
      </c>
      <c r="H1287">
        <f>_xlfn.NUMBERVALUE("-0.001844")</f>
        <v/>
      </c>
      <c r="I1287">
        <f>_xlfn.NUMBERVALUE("0.001683")</f>
        <v/>
      </c>
      <c r="J1287">
        <f>_xlfn.NUMBERVALUE("-0.001432")</f>
        <v/>
      </c>
      <c r="K1287">
        <f>_xlfn.NUMBERVALUE("0.000971")</f>
        <v/>
      </c>
      <c r="L1287">
        <f>_xlfn.NUMBERVALUE("0.000226")</f>
        <v/>
      </c>
      <c r="M1287">
        <f>_xlfn.NUMBERVALUE("0.001766")</f>
        <v/>
      </c>
      <c r="N1287">
        <f>_xlfn.NUMBERVALUE("0.002823")</f>
        <v/>
      </c>
      <c r="O1287">
        <f>_xlfn.NUMBERVALUE("0.002496")</f>
        <v/>
      </c>
      <c r="P1287">
        <f>_xlfn.NUMBERVALUE("0.001346")</f>
        <v/>
      </c>
      <c r="Q1287">
        <f>_xlfn.NUMBERVALUE("0.001106")</f>
        <v/>
      </c>
      <c r="R1287">
        <f>_xlfn.NUMBERVALUE("-0.000566")</f>
        <v/>
      </c>
      <c r="S1287">
        <f>_xlfn.NUMBERVALUE("0.001684")</f>
        <v/>
      </c>
      <c r="T1287">
        <f>_xlfn.NUMBERVALUE("0.001321")</f>
        <v/>
      </c>
      <c r="U1287">
        <f>_xlfn.NUMBERVALUE("-0.000861")</f>
        <v/>
      </c>
      <c r="V1287">
        <f>_xlfn.NUMBERVALUE("0.000510")</f>
        <v/>
      </c>
      <c r="W1287">
        <f>_xlfn.NUMBERVALUE("0.004360")</f>
        <v/>
      </c>
      <c r="X1287">
        <f>_xlfn.NUMBERVALUE("-0.430000")</f>
        <v/>
      </c>
      <c r="Y1287">
        <f>_xlfn.NUMBERVALUE("15.040000")</f>
        <v/>
      </c>
    </row>
    <row r="1288">
      <c r="A1288" s="1" t="n">
        <v>43872</v>
      </c>
      <c r="B1288">
        <f>_xlfn.NUMBERVALUE("0.000000")</f>
        <v/>
      </c>
      <c r="C1288" s="2">
        <f>_xlfn.NUMBERVALUE("0.000526")</f>
        <v/>
      </c>
      <c r="D1288">
        <f>_xlfn.NUMBERVALUE("-0.001115")</f>
        <v/>
      </c>
      <c r="E1288">
        <f>_xlfn.NUMBERVALUE("-0.000146")</f>
        <v/>
      </c>
      <c r="F1288">
        <f>_xlfn.NUMBERVALUE("0.000619")</f>
        <v/>
      </c>
      <c r="G1288">
        <f>_xlfn.NUMBERVALUE("0.000002")</f>
        <v/>
      </c>
      <c r="H1288">
        <f>_xlfn.NUMBERVALUE("0.001049")</f>
        <v/>
      </c>
      <c r="I1288">
        <f>_xlfn.NUMBERVALUE("0.000093")</f>
        <v/>
      </c>
      <c r="J1288">
        <f>_xlfn.NUMBERVALUE("0.000777")</f>
        <v/>
      </c>
      <c r="K1288">
        <f>_xlfn.NUMBERVALUE("0.000314")</f>
        <v/>
      </c>
      <c r="L1288">
        <f>_xlfn.NUMBERVALUE("0.001025")</f>
        <v/>
      </c>
      <c r="M1288">
        <f>_xlfn.NUMBERVALUE("-0.000743")</f>
        <v/>
      </c>
      <c r="N1288">
        <f>_xlfn.NUMBERVALUE("0.001337")</f>
        <v/>
      </c>
      <c r="O1288">
        <f>_xlfn.NUMBERVALUE("-0.000792")</f>
        <v/>
      </c>
      <c r="P1288">
        <f>_xlfn.NUMBERVALUE("0.000175")</f>
        <v/>
      </c>
      <c r="Q1288">
        <f>_xlfn.NUMBERVALUE("-0.000045")</f>
        <v/>
      </c>
      <c r="R1288">
        <f>_xlfn.NUMBERVALUE("0.001067")</f>
        <v/>
      </c>
      <c r="S1288">
        <f>_xlfn.NUMBERVALUE("0.000320")</f>
        <v/>
      </c>
      <c r="T1288">
        <f>_xlfn.NUMBERVALUE("-0.000107")</f>
        <v/>
      </c>
      <c r="U1288">
        <f>_xlfn.NUMBERVALUE("-0.001482")</f>
        <v/>
      </c>
      <c r="V1288">
        <f>_xlfn.NUMBERVALUE("0.000202")</f>
        <v/>
      </c>
      <c r="W1288">
        <f>_xlfn.NUMBERVALUE("0.004312")</f>
        <v/>
      </c>
      <c r="X1288">
        <f>_xlfn.NUMBERVALUE("0.140000")</f>
        <v/>
      </c>
      <c r="Y1288">
        <f>_xlfn.NUMBERVALUE("15.180000")</f>
        <v/>
      </c>
    </row>
    <row r="1289">
      <c r="A1289" s="1" t="n">
        <v>43873</v>
      </c>
      <c r="B1289">
        <f>_xlfn.NUMBERVALUE("0.000000")</f>
        <v/>
      </c>
      <c r="C1289" s="2">
        <f>_xlfn.NUMBERVALUE("0.000901")</f>
        <v/>
      </c>
      <c r="D1289">
        <f>_xlfn.NUMBERVALUE("-0.000678")</f>
        <v/>
      </c>
      <c r="E1289">
        <f>_xlfn.NUMBERVALUE("0.000092")</f>
        <v/>
      </c>
      <c r="F1289">
        <f>_xlfn.NUMBERVALUE("0.001354")</f>
        <v/>
      </c>
      <c r="G1289">
        <f>_xlfn.NUMBERVALUE("0.000153")</f>
        <v/>
      </c>
      <c r="H1289">
        <f>_xlfn.NUMBERVALUE("0.000022")</f>
        <v/>
      </c>
      <c r="I1289">
        <f>_xlfn.NUMBERVALUE("0.001800")</f>
        <v/>
      </c>
      <c r="J1289">
        <f>_xlfn.NUMBERVALUE("0.000698")</f>
        <v/>
      </c>
      <c r="K1289">
        <f>_xlfn.NUMBERVALUE("0.000880")</f>
        <v/>
      </c>
      <c r="L1289">
        <f>_xlfn.NUMBERVALUE("0.001448")</f>
        <v/>
      </c>
      <c r="M1289">
        <f>_xlfn.NUMBERVALUE("0.002254")</f>
        <v/>
      </c>
      <c r="N1289">
        <f>_xlfn.NUMBERVALUE("-0.002860")</f>
        <v/>
      </c>
      <c r="O1289">
        <f>_xlfn.NUMBERVALUE("-0.000411")</f>
        <v/>
      </c>
      <c r="P1289">
        <f>_xlfn.NUMBERVALUE("0.002355")</f>
        <v/>
      </c>
      <c r="Q1289">
        <f>_xlfn.NUMBERVALUE("0.001312")</f>
        <v/>
      </c>
      <c r="R1289">
        <f>_xlfn.NUMBERVALUE("0.001917")</f>
        <v/>
      </c>
      <c r="S1289">
        <f>_xlfn.NUMBERVALUE("0.001269")</f>
        <v/>
      </c>
      <c r="T1289">
        <f>_xlfn.NUMBERVALUE("0.000295")</f>
        <v/>
      </c>
      <c r="U1289">
        <f>_xlfn.NUMBERVALUE("0.000790")</f>
        <v/>
      </c>
      <c r="V1289">
        <f>_xlfn.NUMBERVALUE("0.001182")</f>
        <v/>
      </c>
      <c r="W1289">
        <f>_xlfn.NUMBERVALUE("0.005843")</f>
        <v/>
      </c>
      <c r="X1289">
        <f>_xlfn.NUMBERVALUE("-1.440000")</f>
        <v/>
      </c>
      <c r="Y1289">
        <f>_xlfn.NUMBERVALUE("13.740000")</f>
        <v/>
      </c>
    </row>
    <row r="1290">
      <c r="A1290" s="1" t="n">
        <v>43874</v>
      </c>
      <c r="B1290">
        <f>_xlfn.NUMBERVALUE("0.000000")</f>
        <v/>
      </c>
      <c r="C1290" s="2">
        <f>_xlfn.NUMBERVALUE("-0.000336")</f>
        <v/>
      </c>
      <c r="D1290">
        <f>_xlfn.NUMBERVALUE("-0.002492")</f>
        <v/>
      </c>
      <c r="E1290">
        <f>_xlfn.NUMBERVALUE("-0.000535")</f>
        <v/>
      </c>
      <c r="F1290">
        <f>_xlfn.NUMBERVALUE("-0.000602")</f>
        <v/>
      </c>
      <c r="G1290">
        <f>_xlfn.NUMBERVALUE("-0.000229")</f>
        <v/>
      </c>
      <c r="H1290">
        <f>_xlfn.NUMBERVALUE("0.000125")</f>
        <v/>
      </c>
      <c r="I1290">
        <f>_xlfn.NUMBERVALUE("-0.000410")</f>
        <v/>
      </c>
      <c r="J1290">
        <f>_xlfn.NUMBERVALUE("0.000523")</f>
        <v/>
      </c>
      <c r="K1290">
        <f>_xlfn.NUMBERVALUE("-0.000404")</f>
        <v/>
      </c>
      <c r="L1290">
        <f>_xlfn.NUMBERVALUE("0.000330")</f>
        <v/>
      </c>
      <c r="M1290">
        <f>_xlfn.NUMBERVALUE("0.000323")</f>
        <v/>
      </c>
      <c r="N1290">
        <f>_xlfn.NUMBERVALUE("0.001336")</f>
        <v/>
      </c>
      <c r="O1290">
        <f>_xlfn.NUMBERVALUE("0.000252")</f>
        <v/>
      </c>
      <c r="P1290">
        <f>_xlfn.NUMBERVALUE("-0.000190")</f>
        <v/>
      </c>
      <c r="Q1290">
        <f>_xlfn.NUMBERVALUE("-0.000344")</f>
        <v/>
      </c>
      <c r="R1290">
        <f>_xlfn.NUMBERVALUE("-0.001136")</f>
        <v/>
      </c>
      <c r="S1290">
        <f>_xlfn.NUMBERVALUE("-0.000029")</f>
        <v/>
      </c>
      <c r="T1290">
        <f>_xlfn.NUMBERVALUE("-0.002633")</f>
        <v/>
      </c>
      <c r="U1290">
        <f>_xlfn.NUMBERVALUE("-0.000463")</f>
        <v/>
      </c>
      <c r="V1290">
        <f>_xlfn.NUMBERVALUE("-0.000169")</f>
        <v/>
      </c>
      <c r="W1290">
        <f>_xlfn.NUMBERVALUE("-0.001749")</f>
        <v/>
      </c>
      <c r="X1290">
        <f>_xlfn.NUMBERVALUE("0.410000")</f>
        <v/>
      </c>
      <c r="Y1290">
        <f>_xlfn.NUMBERVALUE("14.150000")</f>
        <v/>
      </c>
    </row>
    <row r="1291">
      <c r="A1291" s="1" t="n">
        <v>43875</v>
      </c>
      <c r="B1291">
        <f>_xlfn.NUMBERVALUE("0.000000")</f>
        <v/>
      </c>
      <c r="C1291" s="2">
        <f>_xlfn.NUMBERVALUE("0.001951")</f>
        <v/>
      </c>
      <c r="D1291">
        <f>_xlfn.NUMBERVALUE("0.002007")</f>
        <v/>
      </c>
      <c r="E1291">
        <f>_xlfn.NUMBERVALUE("0.001591")</f>
        <v/>
      </c>
      <c r="F1291">
        <f>_xlfn.NUMBERVALUE("0.000497")</f>
        <v/>
      </c>
      <c r="G1291">
        <f>_xlfn.NUMBERVALUE("0.001007")</f>
        <v/>
      </c>
      <c r="H1291">
        <f>_xlfn.NUMBERVALUE("0.000948")</f>
        <v/>
      </c>
      <c r="I1291">
        <f>_xlfn.NUMBERVALUE("0.001543")</f>
        <v/>
      </c>
      <c r="J1291">
        <f>_xlfn.NUMBERVALUE("0.000224")</f>
        <v/>
      </c>
      <c r="K1291">
        <f>_xlfn.NUMBERVALUE("0.002693")</f>
        <v/>
      </c>
      <c r="L1291">
        <f>_xlfn.NUMBERVALUE("0.000628")</f>
        <v/>
      </c>
      <c r="M1291">
        <f>_xlfn.NUMBERVALUE("0.001656")</f>
        <v/>
      </c>
      <c r="N1291">
        <f>_xlfn.NUMBERVALUE("0.000360")</f>
        <v/>
      </c>
      <c r="O1291">
        <f>_xlfn.NUMBERVALUE("0.003200")</f>
        <v/>
      </c>
      <c r="P1291">
        <f>_xlfn.NUMBERVALUE("0.001775")</f>
        <v/>
      </c>
      <c r="Q1291">
        <f>_xlfn.NUMBERVALUE("0.001670")</f>
        <v/>
      </c>
      <c r="R1291">
        <f>_xlfn.NUMBERVALUE("0.001765")</f>
        <v/>
      </c>
      <c r="S1291">
        <f>_xlfn.NUMBERVALUE("0.000648")</f>
        <v/>
      </c>
      <c r="T1291">
        <f>_xlfn.NUMBERVALUE("-0.000734")</f>
        <v/>
      </c>
      <c r="U1291">
        <f>_xlfn.NUMBERVALUE("0.000878")</f>
        <v/>
      </c>
      <c r="V1291">
        <f>_xlfn.NUMBERVALUE("0.001189")</f>
        <v/>
      </c>
      <c r="W1291">
        <f>_xlfn.NUMBERVALUE("0.001217")</f>
        <v/>
      </c>
      <c r="X1291">
        <f>_xlfn.NUMBERVALUE("-0.470000")</f>
        <v/>
      </c>
      <c r="Y1291">
        <f>_xlfn.NUMBERVALUE("13.680000")</f>
        <v/>
      </c>
    </row>
    <row r="1292">
      <c r="A1292" s="1" t="n">
        <v>43879</v>
      </c>
      <c r="B1292">
        <f>_xlfn.NUMBERVALUE("0.000000")</f>
        <v/>
      </c>
      <c r="C1292" s="2">
        <f>_xlfn.NUMBERVALUE("0.001049")</f>
        <v/>
      </c>
      <c r="D1292">
        <f>_xlfn.NUMBERVALUE("0.003324")</f>
        <v/>
      </c>
      <c r="E1292">
        <f>_xlfn.NUMBERVALUE("0.001484")</f>
        <v/>
      </c>
      <c r="F1292">
        <f>_xlfn.NUMBERVALUE("-0.002122")</f>
        <v/>
      </c>
      <c r="G1292">
        <f>_xlfn.NUMBERVALUE("0.000828")</f>
        <v/>
      </c>
      <c r="H1292">
        <f>_xlfn.NUMBERVALUE("-0.000342")</f>
        <v/>
      </c>
      <c r="I1292">
        <f>_xlfn.NUMBERVALUE("0.001396")</f>
        <v/>
      </c>
      <c r="J1292">
        <f>_xlfn.NUMBERVALUE("-0.000686")</f>
        <v/>
      </c>
      <c r="K1292">
        <f>_xlfn.NUMBERVALUE("-0.010077")</f>
        <v/>
      </c>
      <c r="L1292">
        <f>_xlfn.NUMBERVALUE("-0.000747")</f>
        <v/>
      </c>
      <c r="M1292">
        <f>_xlfn.NUMBERVALUE("0.001712")</f>
        <v/>
      </c>
      <c r="N1292">
        <f>_xlfn.NUMBERVALUE("-0.002017")</f>
        <v/>
      </c>
      <c r="O1292">
        <f>_xlfn.NUMBERVALUE("0.002331")</f>
        <v/>
      </c>
      <c r="P1292">
        <f>_xlfn.NUMBERVALUE("0.001836")</f>
        <v/>
      </c>
      <c r="Q1292">
        <f>_xlfn.NUMBERVALUE("0.001761")</f>
        <v/>
      </c>
      <c r="R1292">
        <f>_xlfn.NUMBERVALUE("0.000971")</f>
        <v/>
      </c>
      <c r="S1292">
        <f>_xlfn.NUMBERVALUE("0.001100")</f>
        <v/>
      </c>
      <c r="T1292">
        <f>_xlfn.NUMBERVALUE("-0.000698")</f>
        <v/>
      </c>
      <c r="U1292">
        <f>_xlfn.NUMBERVALUE("0.000673")</f>
        <v/>
      </c>
      <c r="V1292">
        <f>_xlfn.NUMBERVALUE("0.001016")</f>
        <v/>
      </c>
      <c r="W1292">
        <f>_xlfn.NUMBERVALUE("-0.001423")</f>
        <v/>
      </c>
      <c r="X1292">
        <f>_xlfn.NUMBERVALUE("1.150000")</f>
        <v/>
      </c>
      <c r="Y1292">
        <f>_xlfn.NUMBERVALUE("14.830000")</f>
        <v/>
      </c>
    </row>
    <row r="1293">
      <c r="A1293" s="1" t="n">
        <v>43880</v>
      </c>
      <c r="B1293">
        <f>_xlfn.NUMBERVALUE("0.000000")</f>
        <v/>
      </c>
      <c r="C1293" s="2">
        <f>_xlfn.NUMBERVALUE("0.000499")</f>
        <v/>
      </c>
      <c r="D1293">
        <f>_xlfn.NUMBERVALUE("0.000996")</f>
        <v/>
      </c>
      <c r="E1293">
        <f>_xlfn.NUMBERVALUE("0.001094")</f>
        <v/>
      </c>
      <c r="F1293">
        <f>_xlfn.NUMBERVALUE("-0.000552")</f>
        <v/>
      </c>
      <c r="G1293">
        <f>_xlfn.NUMBERVALUE("-0.000147")</f>
        <v/>
      </c>
      <c r="H1293">
        <f>_xlfn.NUMBERVALUE("0.000311")</f>
        <v/>
      </c>
      <c r="I1293">
        <f>_xlfn.NUMBERVALUE("0.000333")</f>
        <v/>
      </c>
      <c r="J1293">
        <f>_xlfn.NUMBERVALUE("0.000313")</f>
        <v/>
      </c>
      <c r="K1293">
        <f>_xlfn.NUMBERVALUE("0.000020")</f>
        <v/>
      </c>
      <c r="L1293">
        <f>_xlfn.NUMBERVALUE("0.000550")</f>
        <v/>
      </c>
      <c r="M1293">
        <f>_xlfn.NUMBERVALUE("0.001181")</f>
        <v/>
      </c>
      <c r="N1293">
        <f>_xlfn.NUMBERVALUE("0.000895")</f>
        <v/>
      </c>
      <c r="O1293">
        <f>_xlfn.NUMBERVALUE("-0.000110")</f>
        <v/>
      </c>
      <c r="P1293">
        <f>_xlfn.NUMBERVALUE("-0.000266")</f>
        <v/>
      </c>
      <c r="Q1293">
        <f>_xlfn.NUMBERVALUE("0.001409")</f>
        <v/>
      </c>
      <c r="R1293">
        <f>_xlfn.NUMBERVALUE("0.000274")</f>
        <v/>
      </c>
      <c r="S1293">
        <f>_xlfn.NUMBERVALUE("0.000803")</f>
        <v/>
      </c>
      <c r="T1293">
        <f>_xlfn.NUMBERVALUE("0.000490")</f>
        <v/>
      </c>
      <c r="U1293">
        <f>_xlfn.NUMBERVALUE("0.000660")</f>
        <v/>
      </c>
      <c r="V1293">
        <f>_xlfn.NUMBERVALUE("0.000131")</f>
        <v/>
      </c>
      <c r="W1293">
        <f>_xlfn.NUMBERVALUE("0.005108")</f>
        <v/>
      </c>
      <c r="X1293">
        <f>_xlfn.NUMBERVALUE("-0.450000")</f>
        <v/>
      </c>
      <c r="Y1293">
        <f>_xlfn.NUMBERVALUE("14.380000")</f>
        <v/>
      </c>
    </row>
    <row r="1294">
      <c r="A1294" s="1" t="n">
        <v>43881</v>
      </c>
      <c r="B1294">
        <f>_xlfn.NUMBERVALUE("0.000000")</f>
        <v/>
      </c>
      <c r="C1294" s="2">
        <f>_xlfn.NUMBERVALUE("-0.000770")</f>
        <v/>
      </c>
      <c r="D1294">
        <f>_xlfn.NUMBERVALUE("-0.003760")</f>
        <v/>
      </c>
      <c r="E1294">
        <f>_xlfn.NUMBERVALUE("-0.000388")</f>
        <v/>
      </c>
      <c r="F1294">
        <f>_xlfn.NUMBERVALUE("-0.000285")</f>
        <v/>
      </c>
      <c r="G1294">
        <f>_xlfn.NUMBERVALUE("0.000565")</f>
        <v/>
      </c>
      <c r="H1294">
        <f>_xlfn.NUMBERVALUE("-0.000245")</f>
        <v/>
      </c>
      <c r="I1294">
        <f>_xlfn.NUMBERVALUE("-0.001162")</f>
        <v/>
      </c>
      <c r="J1294">
        <f>_xlfn.NUMBERVALUE("-0.000824")</f>
        <v/>
      </c>
      <c r="K1294">
        <f>_xlfn.NUMBERVALUE("0.001676")</f>
        <v/>
      </c>
      <c r="L1294">
        <f>_xlfn.NUMBERVALUE("-0.000184")</f>
        <v/>
      </c>
      <c r="M1294">
        <f>_xlfn.NUMBERVALUE("-0.001330")</f>
        <v/>
      </c>
      <c r="N1294">
        <f>_xlfn.NUMBERVALUE("-0.000159")</f>
        <v/>
      </c>
      <c r="O1294">
        <f>_xlfn.NUMBERVALUE("-0.000527")</f>
        <v/>
      </c>
      <c r="P1294">
        <f>_xlfn.NUMBERVALUE("-0.000850")</f>
        <v/>
      </c>
      <c r="Q1294">
        <f>_xlfn.NUMBERVALUE("-0.000276")</f>
        <v/>
      </c>
      <c r="R1294">
        <f>_xlfn.NUMBERVALUE("-0.003255")</f>
        <v/>
      </c>
      <c r="S1294">
        <f>_xlfn.NUMBERVALUE("-0.000127")</f>
        <v/>
      </c>
      <c r="T1294">
        <f>_xlfn.NUMBERVALUE("0.000745")</f>
        <v/>
      </c>
      <c r="U1294">
        <f>_xlfn.NUMBERVALUE("-0.000783")</f>
        <v/>
      </c>
      <c r="V1294">
        <f>_xlfn.NUMBERVALUE("-0.000012")</f>
        <v/>
      </c>
      <c r="W1294">
        <f>_xlfn.NUMBERVALUE("-0.004816")</f>
        <v/>
      </c>
      <c r="X1294">
        <f>_xlfn.NUMBERVALUE("1.180000")</f>
        <v/>
      </c>
      <c r="Y1294">
        <f>_xlfn.NUMBERVALUE("15.560000")</f>
        <v/>
      </c>
    </row>
    <row r="1295">
      <c r="A1295" s="1" t="n">
        <v>43882</v>
      </c>
      <c r="B1295">
        <f>_xlfn.NUMBERVALUE("0.000000")</f>
        <v/>
      </c>
      <c r="C1295" s="2">
        <f>_xlfn.NUMBERVALUE("-0.004024")</f>
        <v/>
      </c>
      <c r="D1295">
        <f>_xlfn.NUMBERVALUE("0.000176")</f>
        <v/>
      </c>
      <c r="E1295">
        <f>_xlfn.NUMBERVALUE("-0.002186")</f>
        <v/>
      </c>
      <c r="F1295">
        <f>_xlfn.NUMBERVALUE("-0.001989")</f>
        <v/>
      </c>
      <c r="G1295">
        <f>_xlfn.NUMBERVALUE("-0.000196")</f>
        <v/>
      </c>
      <c r="H1295">
        <f>_xlfn.NUMBERVALUE("-0.001804")</f>
        <v/>
      </c>
      <c r="I1295">
        <f>_xlfn.NUMBERVALUE("-0.002099")</f>
        <v/>
      </c>
      <c r="J1295">
        <f>_xlfn.NUMBERVALUE("0.000414")</f>
        <v/>
      </c>
      <c r="K1295">
        <f>_xlfn.NUMBERVALUE("-0.001988")</f>
        <v/>
      </c>
      <c r="L1295">
        <f>_xlfn.NUMBERVALUE("-0.001490")</f>
        <v/>
      </c>
      <c r="M1295">
        <f>_xlfn.NUMBERVALUE("-0.002546")</f>
        <v/>
      </c>
      <c r="N1295">
        <f>_xlfn.NUMBERVALUE("-0.004856")</f>
        <v/>
      </c>
      <c r="O1295">
        <f>_xlfn.NUMBERVALUE("-0.003972")</f>
        <v/>
      </c>
      <c r="P1295">
        <f>_xlfn.NUMBERVALUE("-0.003569")</f>
        <v/>
      </c>
      <c r="Q1295">
        <f>_xlfn.NUMBERVALUE("-0.002961")</f>
        <v/>
      </c>
      <c r="R1295">
        <f>_xlfn.NUMBERVALUE("-0.006724")</f>
        <v/>
      </c>
      <c r="S1295">
        <f>_xlfn.NUMBERVALUE("-0.002019")</f>
        <v/>
      </c>
      <c r="T1295">
        <f>_xlfn.NUMBERVALUE("-0.001118")</f>
        <v/>
      </c>
      <c r="U1295">
        <f>_xlfn.NUMBERVALUE("-0.004180")</f>
        <v/>
      </c>
      <c r="V1295">
        <f>_xlfn.NUMBERVALUE("-0.002571")</f>
        <v/>
      </c>
      <c r="W1295">
        <f>_xlfn.NUMBERVALUE("-0.010896")</f>
        <v/>
      </c>
      <c r="X1295">
        <f>_xlfn.NUMBERVALUE("1.520000")</f>
        <v/>
      </c>
      <c r="Y1295">
        <f>_xlfn.NUMBERVALUE("17.080000")</f>
        <v/>
      </c>
    </row>
    <row r="1296">
      <c r="A1296" s="1" t="n">
        <v>43885</v>
      </c>
      <c r="B1296">
        <f>_xlfn.NUMBERVALUE("0.000000")</f>
        <v/>
      </c>
      <c r="C1296" s="2">
        <f>_xlfn.NUMBERVALUE("-0.013230")</f>
        <v/>
      </c>
      <c r="D1296">
        <f>_xlfn.NUMBERVALUE("-0.013956")</f>
        <v/>
      </c>
      <c r="E1296">
        <f>_xlfn.NUMBERVALUE("-0.014059")</f>
        <v/>
      </c>
      <c r="F1296">
        <f>_xlfn.NUMBERVALUE("0.000233")</f>
        <v/>
      </c>
      <c r="G1296">
        <f>_xlfn.NUMBERVALUE("-0.005591")</f>
        <v/>
      </c>
      <c r="H1296">
        <f>_xlfn.NUMBERVALUE("-0.000444")</f>
        <v/>
      </c>
      <c r="I1296">
        <f>_xlfn.NUMBERVALUE("-0.010546")</f>
        <v/>
      </c>
      <c r="J1296">
        <f>_xlfn.NUMBERVALUE("-0.001037")</f>
        <v/>
      </c>
      <c r="K1296">
        <f>_xlfn.NUMBERVALUE("-0.000576")</f>
        <v/>
      </c>
      <c r="L1296">
        <f>_xlfn.NUMBERVALUE("-0.001015")</f>
        <v/>
      </c>
      <c r="M1296">
        <f>_xlfn.NUMBERVALUE("-0.010233")</f>
        <v/>
      </c>
      <c r="N1296">
        <f>_xlfn.NUMBERVALUE("-0.006521")</f>
        <v/>
      </c>
      <c r="O1296">
        <f>_xlfn.NUMBERVALUE("-0.017005")</f>
        <v/>
      </c>
      <c r="P1296">
        <f>_xlfn.NUMBERVALUE("-0.009049")</f>
        <v/>
      </c>
      <c r="Q1296">
        <f>_xlfn.NUMBERVALUE("-0.009812")</f>
        <v/>
      </c>
      <c r="R1296">
        <f>_xlfn.NUMBERVALUE("-0.010077")</f>
        <v/>
      </c>
      <c r="S1296">
        <f>_xlfn.NUMBERVALUE("-0.006479")</f>
        <v/>
      </c>
      <c r="T1296">
        <f>_xlfn.NUMBERVALUE("-0.001977")</f>
        <v/>
      </c>
      <c r="U1296">
        <f>_xlfn.NUMBERVALUE("-0.011475")</f>
        <v/>
      </c>
      <c r="V1296">
        <f>_xlfn.NUMBERVALUE("-0.012764")</f>
        <v/>
      </c>
      <c r="W1296">
        <f>_xlfn.NUMBERVALUE("-0.028456")</f>
        <v/>
      </c>
      <c r="X1296">
        <f>_xlfn.NUMBERVALUE("7.950000")</f>
        <v/>
      </c>
      <c r="Y1296">
        <f>_xlfn.NUMBERVALUE("25.030000")</f>
        <v/>
      </c>
    </row>
    <row r="1297">
      <c r="A1297" s="1" t="n">
        <v>43886</v>
      </c>
      <c r="B1297">
        <f>_xlfn.NUMBERVALUE("0.000000")</f>
        <v/>
      </c>
      <c r="C1297" s="2">
        <f>_xlfn.NUMBERVALUE("-0.008036")</f>
        <v/>
      </c>
      <c r="D1297">
        <f>_xlfn.NUMBERVALUE("-0.001769")</f>
        <v/>
      </c>
      <c r="E1297">
        <f>_xlfn.NUMBERVALUE("-0.001823")</f>
        <v/>
      </c>
      <c r="F1297">
        <f>_xlfn.NUMBERVALUE("-0.000660")</f>
        <v/>
      </c>
      <c r="G1297">
        <f>_xlfn.NUMBERVALUE("-0.002414")</f>
        <v/>
      </c>
      <c r="H1297">
        <f>_xlfn.NUMBERVALUE("-0.000489")</f>
        <v/>
      </c>
      <c r="I1297">
        <f>_xlfn.NUMBERVALUE("-0.010397")</f>
        <v/>
      </c>
      <c r="J1297">
        <f>_xlfn.NUMBERVALUE("0.000507")</f>
        <v/>
      </c>
      <c r="K1297">
        <f>_xlfn.NUMBERVALUE("-0.002285")</f>
        <v/>
      </c>
      <c r="L1297">
        <f>_xlfn.NUMBERVALUE("-0.000076")</f>
        <v/>
      </c>
      <c r="M1297">
        <f>_xlfn.NUMBERVALUE("-0.013280")</f>
        <v/>
      </c>
      <c r="N1297">
        <f>_xlfn.NUMBERVALUE("-0.004081")</f>
        <v/>
      </c>
      <c r="O1297">
        <f>_xlfn.NUMBERVALUE("-0.008040")</f>
        <v/>
      </c>
      <c r="P1297">
        <f>_xlfn.NUMBERVALUE("-0.008148")</f>
        <v/>
      </c>
      <c r="Q1297">
        <f>_xlfn.NUMBERVALUE("-0.008955")</f>
        <v/>
      </c>
      <c r="R1297">
        <f>_xlfn.NUMBERVALUE("-0.006552")</f>
        <v/>
      </c>
      <c r="S1297">
        <f>_xlfn.NUMBERVALUE("-0.004520")</f>
        <v/>
      </c>
      <c r="T1297">
        <f>_xlfn.NUMBERVALUE("-0.007559")</f>
        <v/>
      </c>
      <c r="U1297">
        <f>_xlfn.NUMBERVALUE("-0.009679")</f>
        <v/>
      </c>
      <c r="V1297">
        <f>_xlfn.NUMBERVALUE("-0.008087")</f>
        <v/>
      </c>
      <c r="W1297">
        <f>_xlfn.NUMBERVALUE("-0.030679")</f>
        <v/>
      </c>
      <c r="X1297">
        <f>_xlfn.NUMBERVALUE("2.820000")</f>
        <v/>
      </c>
      <c r="Y1297">
        <f>_xlfn.NUMBERVALUE("27.850000")</f>
        <v/>
      </c>
    </row>
    <row r="1298">
      <c r="A1298" s="1" t="n">
        <v>43887</v>
      </c>
      <c r="B1298">
        <f>_xlfn.NUMBERVALUE("0.000000")</f>
        <v/>
      </c>
      <c r="C1298" s="2">
        <f>_xlfn.NUMBERVALUE("0.000467")</f>
        <v/>
      </c>
      <c r="D1298">
        <f>_xlfn.NUMBERVALUE("0.002007")</f>
        <v/>
      </c>
      <c r="E1298">
        <f>_xlfn.NUMBERVALUE("0.000166")</f>
        <v/>
      </c>
      <c r="F1298">
        <f>_xlfn.NUMBERVALUE("0.001194")</f>
        <v/>
      </c>
      <c r="G1298">
        <f>_xlfn.NUMBERVALUE("-0.000200")</f>
        <v/>
      </c>
      <c r="H1298">
        <f>_xlfn.NUMBERVALUE("0.000016")</f>
        <v/>
      </c>
      <c r="I1298">
        <f>_xlfn.NUMBERVALUE("-0.000143")</f>
        <v/>
      </c>
      <c r="J1298">
        <f>_xlfn.NUMBERVALUE("0.000197")</f>
        <v/>
      </c>
      <c r="K1298">
        <f>_xlfn.NUMBERVALUE("0.005085")</f>
        <v/>
      </c>
      <c r="L1298">
        <f>_xlfn.NUMBERVALUE("0.000132")</f>
        <v/>
      </c>
      <c r="M1298">
        <f>_xlfn.NUMBERVALUE("0.001362")</f>
        <v/>
      </c>
      <c r="N1298">
        <f>_xlfn.NUMBERVALUE("0.000355")</f>
        <v/>
      </c>
      <c r="O1298">
        <f>_xlfn.NUMBERVALUE("-0.000798")</f>
        <v/>
      </c>
      <c r="P1298">
        <f>_xlfn.NUMBERVALUE("0.000843")</f>
        <v/>
      </c>
      <c r="Q1298">
        <f>_xlfn.NUMBERVALUE("0.000766")</f>
        <v/>
      </c>
      <c r="R1298">
        <f>_xlfn.NUMBERVALUE("0.001119")</f>
        <v/>
      </c>
      <c r="S1298">
        <f>_xlfn.NUMBERVALUE("0.000181")</f>
        <v/>
      </c>
      <c r="T1298">
        <f>_xlfn.NUMBERVALUE("-0.000872")</f>
        <v/>
      </c>
      <c r="U1298">
        <f>_xlfn.NUMBERVALUE("0.001360")</f>
        <v/>
      </c>
      <c r="V1298">
        <f>_xlfn.NUMBERVALUE("0.000046")</f>
        <v/>
      </c>
      <c r="W1298">
        <f>_xlfn.NUMBERVALUE("-0.004622")</f>
        <v/>
      </c>
      <c r="X1298">
        <f>_xlfn.NUMBERVALUE("-0.290000")</f>
        <v/>
      </c>
      <c r="Y1298">
        <f>_xlfn.NUMBERVALUE("27.560000")</f>
        <v/>
      </c>
    </row>
    <row r="1299">
      <c r="A1299" s="1" t="n">
        <v>43888</v>
      </c>
      <c r="B1299">
        <f>_xlfn.NUMBERVALUE("0.000000")</f>
        <v/>
      </c>
      <c r="C1299" s="2">
        <f>_xlfn.NUMBERVALUE("-0.002563")</f>
        <v/>
      </c>
      <c r="D1299">
        <f>_xlfn.NUMBERVALUE("-0.002972")</f>
        <v/>
      </c>
      <c r="E1299">
        <f>_xlfn.NUMBERVALUE("-0.000867")</f>
        <v/>
      </c>
      <c r="F1299">
        <f>_xlfn.NUMBERVALUE("-0.000119")</f>
        <v/>
      </c>
      <c r="G1299">
        <f>_xlfn.NUMBERVALUE("-0.003811")</f>
        <v/>
      </c>
      <c r="H1299">
        <f>_xlfn.NUMBERVALUE("0.000806")</f>
        <v/>
      </c>
      <c r="I1299">
        <f>_xlfn.NUMBERVALUE("-0.004023")</f>
        <v/>
      </c>
      <c r="J1299">
        <f>_xlfn.NUMBERVALUE("-0.000666")</f>
        <v/>
      </c>
      <c r="K1299">
        <f>_xlfn.NUMBERVALUE("-0.001678")</f>
        <v/>
      </c>
      <c r="L1299">
        <f>_xlfn.NUMBERVALUE("-0.000342")</f>
        <v/>
      </c>
      <c r="M1299">
        <f>_xlfn.NUMBERVALUE("-0.004222")</f>
        <v/>
      </c>
      <c r="N1299">
        <f>_xlfn.NUMBERVALUE("-0.002585")</f>
        <v/>
      </c>
      <c r="O1299">
        <f>_xlfn.NUMBERVALUE("-0.002148")</f>
        <v/>
      </c>
      <c r="P1299">
        <f>_xlfn.NUMBERVALUE("-0.003664")</f>
        <v/>
      </c>
      <c r="Q1299">
        <f>_xlfn.NUMBERVALUE("-0.002969")</f>
        <v/>
      </c>
      <c r="R1299">
        <f>_xlfn.NUMBERVALUE("-0.006331")</f>
        <v/>
      </c>
      <c r="S1299">
        <f>_xlfn.NUMBERVALUE("-0.004562")</f>
        <v/>
      </c>
      <c r="T1299">
        <f>_xlfn.NUMBERVALUE("-0.012006")</f>
        <v/>
      </c>
      <c r="U1299">
        <f>_xlfn.NUMBERVALUE("-0.006457")</f>
        <v/>
      </c>
      <c r="V1299">
        <f>_xlfn.NUMBERVALUE("-0.002927")</f>
        <v/>
      </c>
      <c r="W1299">
        <f>_xlfn.NUMBERVALUE("-0.036280")</f>
        <v/>
      </c>
      <c r="X1299">
        <f>_xlfn.NUMBERVALUE("11.600000")</f>
        <v/>
      </c>
      <c r="Y1299">
        <f>_xlfn.NUMBERVALUE("39.160000")</f>
        <v/>
      </c>
    </row>
    <row r="1300">
      <c r="A1300" s="1" t="n">
        <v>43889</v>
      </c>
      <c r="B1300">
        <f>_xlfn.NUMBERVALUE("0.000000")</f>
        <v/>
      </c>
      <c r="C1300" s="2">
        <f>_xlfn.NUMBERVALUE("-0.002765")</f>
        <v/>
      </c>
      <c r="D1300">
        <f>_xlfn.NUMBERVALUE("-0.003098")</f>
        <v/>
      </c>
      <c r="E1300">
        <f>_xlfn.NUMBERVALUE("-0.000938")</f>
        <v/>
      </c>
      <c r="F1300">
        <f>_xlfn.NUMBERVALUE("-0.009544")</f>
        <v/>
      </c>
      <c r="G1300">
        <f>_xlfn.NUMBERVALUE("-0.002211")</f>
        <v/>
      </c>
      <c r="H1300">
        <f>_xlfn.NUMBERVALUE("-0.002178")</f>
        <v/>
      </c>
      <c r="I1300">
        <f>_xlfn.NUMBERVALUE("-0.002711")</f>
        <v/>
      </c>
      <c r="J1300">
        <f>_xlfn.NUMBERVALUE("-0.004440")</f>
        <v/>
      </c>
      <c r="K1300">
        <f>_xlfn.NUMBERVALUE("-0.045510")</f>
        <v/>
      </c>
      <c r="L1300">
        <f>_xlfn.NUMBERVALUE("-0.000958")</f>
        <v/>
      </c>
      <c r="M1300">
        <f>_xlfn.NUMBERVALUE("-0.004437")</f>
        <v/>
      </c>
      <c r="N1300">
        <f>_xlfn.NUMBERVALUE("-0.002848")</f>
        <v/>
      </c>
      <c r="O1300">
        <f>_xlfn.NUMBERVALUE("-0.003011")</f>
        <v/>
      </c>
      <c r="P1300">
        <f>_xlfn.NUMBERVALUE("-0.003379")</f>
        <v/>
      </c>
      <c r="Q1300">
        <f>_xlfn.NUMBERVALUE("-0.001941")</f>
        <v/>
      </c>
      <c r="R1300">
        <f>_xlfn.NUMBERVALUE("0.000495")</f>
        <v/>
      </c>
      <c r="S1300">
        <f>_xlfn.NUMBERVALUE("-0.004319")</f>
        <v/>
      </c>
      <c r="T1300">
        <f>_xlfn.NUMBERVALUE("-0.004539")</f>
        <v/>
      </c>
      <c r="U1300">
        <f>_xlfn.NUMBERVALUE("-0.002537")</f>
        <v/>
      </c>
      <c r="V1300">
        <f>_xlfn.NUMBERVALUE("-0.001500")</f>
        <v/>
      </c>
      <c r="W1300">
        <f>_xlfn.NUMBERVALUE("-0.038145")</f>
        <v/>
      </c>
      <c r="X1300">
        <f>_xlfn.NUMBERVALUE("0.950000")</f>
        <v/>
      </c>
      <c r="Y1300">
        <f>_xlfn.NUMBERVALUE("40.110000")</f>
        <v/>
      </c>
    </row>
    <row r="1301">
      <c r="A1301" s="1" t="n">
        <v>43892</v>
      </c>
      <c r="B1301">
        <f>_xlfn.NUMBERVALUE("0.000000")</f>
        <v/>
      </c>
      <c r="C1301" s="2">
        <f>_xlfn.NUMBERVALUE("0.004834")</f>
        <v/>
      </c>
      <c r="D1301">
        <f>_xlfn.NUMBERVALUE("0.006050")</f>
        <v/>
      </c>
      <c r="E1301">
        <f>_xlfn.NUMBERVALUE("0.001122")</f>
        <v/>
      </c>
      <c r="F1301">
        <f>_xlfn.NUMBERVALUE("0.005121")</f>
        <v/>
      </c>
      <c r="G1301">
        <f>_xlfn.NUMBERVALUE("0.006295")</f>
        <v/>
      </c>
      <c r="H1301">
        <f>_xlfn.NUMBERVALUE("-0.000388")</f>
        <v/>
      </c>
      <c r="I1301">
        <f>_xlfn.NUMBERVALUE("0.001900")</f>
        <v/>
      </c>
      <c r="J1301">
        <f>_xlfn.NUMBERVALUE("-0.000376")</f>
        <v/>
      </c>
      <c r="K1301">
        <f>_xlfn.NUMBERVALUE("0.008914")</f>
        <v/>
      </c>
      <c r="L1301">
        <f>_xlfn.NUMBERVALUE("-0.000821")</f>
        <v/>
      </c>
      <c r="M1301">
        <f>_xlfn.NUMBERVALUE("0.004755")</f>
        <v/>
      </c>
      <c r="N1301">
        <f>_xlfn.NUMBERVALUE("0.004190")</f>
        <v/>
      </c>
      <c r="O1301">
        <f>_xlfn.NUMBERVALUE("0.004928")</f>
        <v/>
      </c>
      <c r="P1301">
        <f>_xlfn.NUMBERVALUE("0.004024")</f>
        <v/>
      </c>
      <c r="Q1301">
        <f>_xlfn.NUMBERVALUE("0.000046")</f>
        <v/>
      </c>
      <c r="R1301">
        <f>_xlfn.NUMBERVALUE("0.000319")</f>
        <v/>
      </c>
      <c r="S1301">
        <f>_xlfn.NUMBERVALUE("0.004603")</f>
        <v/>
      </c>
      <c r="T1301">
        <f>_xlfn.NUMBERVALUE("-0.001310")</f>
        <v/>
      </c>
      <c r="U1301">
        <f>_xlfn.NUMBERVALUE("0.001243")</f>
        <v/>
      </c>
      <c r="V1301">
        <f>_xlfn.NUMBERVALUE("0.002163")</f>
        <v/>
      </c>
      <c r="W1301">
        <f>_xlfn.NUMBERVALUE("0.054857")</f>
        <v/>
      </c>
      <c r="X1301">
        <f>_xlfn.NUMBERVALUE("-6.690000")</f>
        <v/>
      </c>
      <c r="Y1301">
        <f>_xlfn.NUMBERVALUE("33.420000")</f>
        <v/>
      </c>
    </row>
    <row r="1302">
      <c r="A1302" s="1" t="n">
        <v>43893</v>
      </c>
      <c r="B1302">
        <f>_xlfn.NUMBERVALUE("0.000000")</f>
        <v/>
      </c>
      <c r="C1302" s="2">
        <f>_xlfn.NUMBERVALUE("-0.000675")</f>
        <v/>
      </c>
      <c r="D1302">
        <f>_xlfn.NUMBERVALUE("0.000399")</f>
        <v/>
      </c>
      <c r="E1302">
        <f>_xlfn.NUMBERVALUE("-0.000243")</f>
        <v/>
      </c>
      <c r="F1302">
        <f>_xlfn.NUMBERVALUE("-0.006794")</f>
        <v/>
      </c>
      <c r="G1302">
        <f>_xlfn.NUMBERVALUE("0.000654")</f>
        <v/>
      </c>
      <c r="H1302">
        <f>_xlfn.NUMBERVALUE("0.000471")</f>
        <v/>
      </c>
      <c r="I1302">
        <f>_xlfn.NUMBERVALUE("-0.000040")</f>
        <v/>
      </c>
      <c r="J1302">
        <f>_xlfn.NUMBERVALUE("-0.003640")</f>
        <v/>
      </c>
      <c r="K1302">
        <f>_xlfn.NUMBERVALUE("-0.001453")</f>
        <v/>
      </c>
      <c r="L1302">
        <f>_xlfn.NUMBERVALUE("0.000200")</f>
        <v/>
      </c>
      <c r="M1302">
        <f>_xlfn.NUMBERVALUE("-0.000750")</f>
        <v/>
      </c>
      <c r="N1302">
        <f>_xlfn.NUMBERVALUE("-0.000888")</f>
        <v/>
      </c>
      <c r="O1302">
        <f>_xlfn.NUMBERVALUE("-0.000064")</f>
        <v/>
      </c>
      <c r="P1302">
        <f>_xlfn.NUMBERVALUE("-0.000375")</f>
        <v/>
      </c>
      <c r="Q1302">
        <f>_xlfn.NUMBERVALUE("0.000585")</f>
        <v/>
      </c>
      <c r="R1302">
        <f>_xlfn.NUMBERVALUE("-0.001201")</f>
        <v/>
      </c>
      <c r="S1302">
        <f>_xlfn.NUMBERVALUE("-0.000696")</f>
        <v/>
      </c>
      <c r="T1302">
        <f>_xlfn.NUMBERVALUE("-0.002198")</f>
        <v/>
      </c>
      <c r="U1302">
        <f>_xlfn.NUMBERVALUE("-0.001251")</f>
        <v/>
      </c>
      <c r="V1302">
        <f>_xlfn.NUMBERVALUE("-0.000228")</f>
        <v/>
      </c>
      <c r="W1302">
        <f>_xlfn.NUMBERVALUE("-0.008482")</f>
        <v/>
      </c>
      <c r="X1302">
        <f>_xlfn.NUMBERVALUE("3.400000")</f>
        <v/>
      </c>
      <c r="Y1302">
        <f>_xlfn.NUMBERVALUE("36.820000")</f>
        <v/>
      </c>
    </row>
    <row r="1303">
      <c r="A1303" s="1" t="n">
        <v>43894</v>
      </c>
      <c r="B1303">
        <f>_xlfn.NUMBERVALUE("0.000000")</f>
        <v/>
      </c>
      <c r="C1303" s="2">
        <f>_xlfn.NUMBERVALUE("0.000741")</f>
        <v/>
      </c>
      <c r="D1303">
        <f>_xlfn.NUMBERVALUE("0.000627")</f>
        <v/>
      </c>
      <c r="E1303">
        <f>_xlfn.NUMBERVALUE("0.000128")</f>
        <v/>
      </c>
      <c r="F1303">
        <f>_xlfn.NUMBERVALUE("0.000357")</f>
        <v/>
      </c>
      <c r="G1303">
        <f>_xlfn.NUMBERVALUE("0.001294")</f>
        <v/>
      </c>
      <c r="H1303">
        <f>_xlfn.NUMBERVALUE("-0.001008")</f>
        <v/>
      </c>
      <c r="I1303">
        <f>_xlfn.NUMBERVALUE("-0.000002")</f>
        <v/>
      </c>
      <c r="J1303">
        <f>_xlfn.NUMBERVALUE("0.002021")</f>
        <v/>
      </c>
      <c r="K1303">
        <f>_xlfn.NUMBERVALUE("0.003388")</f>
        <v/>
      </c>
      <c r="L1303">
        <f>_xlfn.NUMBERVALUE("0.000166")</f>
        <v/>
      </c>
      <c r="M1303">
        <f>_xlfn.NUMBERVALUE("0.002788")</f>
        <v/>
      </c>
      <c r="N1303">
        <f>_xlfn.NUMBERVALUE("0.001927")</f>
        <v/>
      </c>
      <c r="O1303">
        <f>_xlfn.NUMBERVALUE("0.000732")</f>
        <v/>
      </c>
      <c r="P1303">
        <f>_xlfn.NUMBERVALUE("0.000530")</f>
        <v/>
      </c>
      <c r="Q1303">
        <f>_xlfn.NUMBERVALUE("0.000429")</f>
        <v/>
      </c>
      <c r="R1303">
        <f>_xlfn.NUMBERVALUE("0.000940")</f>
        <v/>
      </c>
      <c r="S1303">
        <f>_xlfn.NUMBERVALUE("-0.000642")</f>
        <v/>
      </c>
      <c r="T1303">
        <f>_xlfn.NUMBERVALUE("-0.005412")</f>
        <v/>
      </c>
      <c r="U1303">
        <f>_xlfn.NUMBERVALUE("0.002792")</f>
        <v/>
      </c>
      <c r="V1303">
        <f>_xlfn.NUMBERVALUE("0.000584")</f>
        <v/>
      </c>
      <c r="W1303">
        <f>_xlfn.NUMBERVALUE("0.028140")</f>
        <v/>
      </c>
      <c r="X1303">
        <f>_xlfn.NUMBERVALUE("-4.830000")</f>
        <v/>
      </c>
      <c r="Y1303">
        <f>_xlfn.NUMBERVALUE("31.990000")</f>
        <v/>
      </c>
    </row>
    <row r="1304">
      <c r="A1304" s="1" t="n">
        <v>43895</v>
      </c>
      <c r="B1304">
        <f>_xlfn.NUMBERVALUE("0.000000")</f>
        <v/>
      </c>
      <c r="C1304" s="2">
        <f>_xlfn.NUMBERVALUE("-0.000068")</f>
        <v/>
      </c>
      <c r="D1304">
        <f>_xlfn.NUMBERVALUE("-0.000033")</f>
        <v/>
      </c>
      <c r="E1304">
        <f>_xlfn.NUMBERVALUE("-0.000028")</f>
        <v/>
      </c>
      <c r="F1304">
        <f>_xlfn.NUMBERVALUE("-0.000191")</f>
        <v/>
      </c>
      <c r="G1304">
        <f>_xlfn.NUMBERVALUE("-0.002877")</f>
        <v/>
      </c>
      <c r="H1304">
        <f>_xlfn.NUMBERVALUE("-0.000204")</f>
        <v/>
      </c>
      <c r="I1304">
        <f>_xlfn.NUMBERVALUE("0.000060")</f>
        <v/>
      </c>
      <c r="J1304">
        <f>_xlfn.NUMBERVALUE("-0.000147")</f>
        <v/>
      </c>
      <c r="K1304">
        <f>_xlfn.NUMBERVALUE("0.001797")</f>
        <v/>
      </c>
      <c r="L1304">
        <f>_xlfn.NUMBERVALUE("0.000272")</f>
        <v/>
      </c>
      <c r="M1304">
        <f>_xlfn.NUMBERVALUE("-0.002145")</f>
        <v/>
      </c>
      <c r="N1304">
        <f>_xlfn.NUMBERVALUE("-0.000465")</f>
        <v/>
      </c>
      <c r="O1304">
        <f>_xlfn.NUMBERVALUE("-0.001712")</f>
        <v/>
      </c>
      <c r="P1304">
        <f>_xlfn.NUMBERVALUE("-0.000345")</f>
        <v/>
      </c>
      <c r="Q1304">
        <f>_xlfn.NUMBERVALUE("-0.000759")</f>
        <v/>
      </c>
      <c r="R1304">
        <f>_xlfn.NUMBERVALUE("-0.001998")</f>
        <v/>
      </c>
      <c r="S1304">
        <f>_xlfn.NUMBERVALUE("-0.004645")</f>
        <v/>
      </c>
      <c r="T1304">
        <f>_xlfn.NUMBERVALUE("-0.010911")</f>
        <v/>
      </c>
      <c r="U1304">
        <f>_xlfn.NUMBERVALUE("-0.002940")</f>
        <v/>
      </c>
      <c r="V1304">
        <f>_xlfn.NUMBERVALUE("-0.000076")</f>
        <v/>
      </c>
      <c r="W1304">
        <f>_xlfn.NUMBERVALUE("-0.015966")</f>
        <v/>
      </c>
      <c r="X1304">
        <f>_xlfn.NUMBERVALUE("7.630000")</f>
        <v/>
      </c>
      <c r="Y1304">
        <f>_xlfn.NUMBERVALUE("39.620000")</f>
        <v/>
      </c>
    </row>
    <row r="1305">
      <c r="A1305" s="1" t="n">
        <v>43896</v>
      </c>
      <c r="B1305">
        <f>_xlfn.NUMBERVALUE("0.000000")</f>
        <v/>
      </c>
      <c r="C1305" s="2">
        <f>_xlfn.NUMBERVALUE("-0.005749")</f>
        <v/>
      </c>
      <c r="D1305">
        <f>_xlfn.NUMBERVALUE("-0.005695")</f>
        <v/>
      </c>
      <c r="E1305">
        <f>_xlfn.NUMBERVALUE("-0.005830")</f>
        <v/>
      </c>
      <c r="F1305">
        <f>_xlfn.NUMBERVALUE("-0.004353")</f>
        <v/>
      </c>
      <c r="G1305">
        <f>_xlfn.NUMBERVALUE("-0.005458")</f>
        <v/>
      </c>
      <c r="H1305">
        <f>_xlfn.NUMBERVALUE("-0.015234")</f>
        <v/>
      </c>
      <c r="I1305">
        <f>_xlfn.NUMBERVALUE("-0.002416")</f>
        <v/>
      </c>
      <c r="J1305">
        <f>_xlfn.NUMBERVALUE("-0.011939")</f>
        <v/>
      </c>
      <c r="K1305">
        <f>_xlfn.NUMBERVALUE("-0.002089")</f>
        <v/>
      </c>
      <c r="L1305">
        <f>_xlfn.NUMBERVALUE("-0.000361")</f>
        <v/>
      </c>
      <c r="M1305">
        <f>_xlfn.NUMBERVALUE("-0.001804")</f>
        <v/>
      </c>
      <c r="N1305">
        <f>_xlfn.NUMBERVALUE("-0.003044")</f>
        <v/>
      </c>
      <c r="O1305">
        <f>_xlfn.NUMBERVALUE("0.000630")</f>
        <v/>
      </c>
      <c r="P1305">
        <f>_xlfn.NUMBERVALUE("-0.000245")</f>
        <v/>
      </c>
      <c r="Q1305">
        <f>_xlfn.NUMBERVALUE("0.000521")</f>
        <v/>
      </c>
      <c r="R1305">
        <f>_xlfn.NUMBERVALUE("-0.000244")</f>
        <v/>
      </c>
      <c r="S1305">
        <f>_xlfn.NUMBERVALUE("0.001452")</f>
        <v/>
      </c>
      <c r="T1305">
        <f>_xlfn.NUMBERVALUE("0.006980")</f>
        <v/>
      </c>
      <c r="U1305">
        <f>_xlfn.NUMBERVALUE("0.001048")</f>
        <v/>
      </c>
      <c r="V1305">
        <f>_xlfn.NUMBERVALUE("0.001524")</f>
        <v/>
      </c>
      <c r="W1305">
        <f>_xlfn.NUMBERVALUE("-0.019081")</f>
        <v/>
      </c>
      <c r="X1305">
        <f>_xlfn.NUMBERVALUE("2.320000")</f>
        <v/>
      </c>
      <c r="Y1305">
        <f>_xlfn.NUMBERVALUE("41.940000")</f>
        <v/>
      </c>
    </row>
    <row r="1306">
      <c r="A1306" s="1" t="n">
        <v>43899</v>
      </c>
      <c r="B1306">
        <f>_xlfn.NUMBERVALUE("0.000000")</f>
        <v/>
      </c>
      <c r="C1306" s="2">
        <f>_xlfn.NUMBERVALUE("-0.019857")</f>
        <v/>
      </c>
      <c r="D1306">
        <f>_xlfn.NUMBERVALUE("-0.020107")</f>
        <v/>
      </c>
      <c r="E1306">
        <f>_xlfn.NUMBERVALUE("-0.023808")</f>
        <v/>
      </c>
      <c r="F1306">
        <f>_xlfn.NUMBERVALUE("-0.011127")</f>
        <v/>
      </c>
      <c r="G1306">
        <f>_xlfn.NUMBERVALUE("-0.020699")</f>
        <v/>
      </c>
      <c r="H1306">
        <f>_xlfn.NUMBERVALUE("-0.004927")</f>
        <v/>
      </c>
      <c r="I1306">
        <f>_xlfn.NUMBERVALUE("-0.023105")</f>
        <v/>
      </c>
      <c r="J1306">
        <f>_xlfn.NUMBERVALUE("-0.018616")</f>
        <v/>
      </c>
      <c r="K1306">
        <f>_xlfn.NUMBERVALUE("-0.010157")</f>
        <v/>
      </c>
      <c r="L1306">
        <f>_xlfn.NUMBERVALUE("-0.014126")</f>
        <v/>
      </c>
      <c r="M1306">
        <f>_xlfn.NUMBERVALUE("0.000948")</f>
        <v/>
      </c>
      <c r="N1306">
        <f>_xlfn.NUMBERVALUE("0.001956")</f>
        <v/>
      </c>
      <c r="O1306">
        <f>_xlfn.NUMBERVALUE("-0.000408")</f>
        <v/>
      </c>
      <c r="P1306">
        <f>_xlfn.NUMBERVALUE("0.000221")</f>
        <v/>
      </c>
      <c r="Q1306">
        <f>_xlfn.NUMBERVALUE("-0.000256")</f>
        <v/>
      </c>
      <c r="R1306">
        <f>_xlfn.NUMBERVALUE("-0.000276")</f>
        <v/>
      </c>
      <c r="S1306">
        <f>_xlfn.NUMBERVALUE("-0.001441")</f>
        <v/>
      </c>
      <c r="T1306">
        <f>_xlfn.NUMBERVALUE("-0.005935")</f>
        <v/>
      </c>
      <c r="U1306">
        <f>_xlfn.NUMBERVALUE("-0.000427")</f>
        <v/>
      </c>
      <c r="V1306">
        <f>_xlfn.NUMBERVALUE("-0.017243")</f>
        <v/>
      </c>
      <c r="W1306">
        <f>_xlfn.NUMBERVALUE("-0.058863")</f>
        <v/>
      </c>
      <c r="X1306">
        <f>_xlfn.NUMBERVALUE("12.520000")</f>
        <v/>
      </c>
      <c r="Y1306">
        <f>_xlfn.NUMBERVALUE("54.460000")</f>
        <v/>
      </c>
    </row>
    <row r="1307">
      <c r="A1307" s="1" t="n">
        <v>43900</v>
      </c>
      <c r="B1307">
        <f>_xlfn.NUMBERVALUE("-0.227800")</f>
        <v/>
      </c>
      <c r="C1307" s="2">
        <f>_xlfn.NUMBERVALUE("0.007906")</f>
        <v/>
      </c>
      <c r="D1307">
        <f>_xlfn.NUMBERVALUE("0.000708")</f>
        <v/>
      </c>
      <c r="E1307">
        <f>_xlfn.NUMBERVALUE("0.002073")</f>
        <v/>
      </c>
      <c r="F1307">
        <f>_xlfn.NUMBERVALUE("0.012261")</f>
        <v/>
      </c>
      <c r="G1307">
        <f>_xlfn.NUMBERVALUE("0.005413")</f>
        <v/>
      </c>
      <c r="H1307">
        <f>_xlfn.NUMBERVALUE("-0.015404")</f>
        <v/>
      </c>
      <c r="I1307">
        <f>_xlfn.NUMBERVALUE("0.004292")</f>
        <v/>
      </c>
      <c r="J1307">
        <f>_xlfn.NUMBERVALUE("0.003751")</f>
        <v/>
      </c>
      <c r="K1307">
        <f>_xlfn.NUMBERVALUE("0.009728")</f>
        <v/>
      </c>
      <c r="L1307">
        <f>_xlfn.NUMBERVALUE("0.011367")</f>
        <v/>
      </c>
      <c r="M1307">
        <f>_xlfn.NUMBERVALUE("0.000050")</f>
        <v/>
      </c>
      <c r="N1307">
        <f>_xlfn.NUMBERVALUE("-0.000679")</f>
        <v/>
      </c>
      <c r="O1307">
        <f>_xlfn.NUMBERVALUE("0.000878")</f>
        <v/>
      </c>
      <c r="P1307">
        <f>_xlfn.NUMBERVALUE("-0.000005")</f>
        <v/>
      </c>
      <c r="Q1307">
        <f>_xlfn.NUMBERVALUE("0.000152")</f>
        <v/>
      </c>
      <c r="R1307">
        <f>_xlfn.NUMBERVALUE("0.000134")</f>
        <v/>
      </c>
      <c r="S1307">
        <f>_xlfn.NUMBERVALUE("0.000149")</f>
        <v/>
      </c>
      <c r="T1307">
        <f>_xlfn.NUMBERVALUE("0.000276")</f>
        <v/>
      </c>
      <c r="U1307">
        <f>_xlfn.NUMBERVALUE("0.000351")</f>
        <v/>
      </c>
      <c r="V1307">
        <f>_xlfn.NUMBERVALUE("0.003472")</f>
        <v/>
      </c>
      <c r="W1307">
        <f>_xlfn.NUMBERVALUE("0.028469")</f>
        <v/>
      </c>
      <c r="X1307">
        <f>_xlfn.NUMBERVALUE("-7.160000")</f>
        <v/>
      </c>
      <c r="Y1307">
        <f>_xlfn.NUMBERVALUE("47.300000")</f>
        <v/>
      </c>
    </row>
    <row r="1308">
      <c r="A1308" s="1" t="n">
        <v>43901</v>
      </c>
      <c r="B1308">
        <f>_xlfn.NUMBERVALUE("0.000000")</f>
        <v/>
      </c>
      <c r="C1308" s="2">
        <f>_xlfn.NUMBERVALUE("-0.015096")</f>
        <v/>
      </c>
      <c r="D1308">
        <f>_xlfn.NUMBERVALUE("-0.010754")</f>
        <v/>
      </c>
      <c r="E1308">
        <f>_xlfn.NUMBERVALUE("-0.007219")</f>
        <v/>
      </c>
      <c r="F1308">
        <f>_xlfn.NUMBERVALUE("-0.003574")</f>
        <v/>
      </c>
      <c r="G1308">
        <f>_xlfn.NUMBERVALUE("-0.002115")</f>
        <v/>
      </c>
      <c r="H1308">
        <f>_xlfn.NUMBERVALUE("0.006750")</f>
        <v/>
      </c>
      <c r="I1308">
        <f>_xlfn.NUMBERVALUE("-0.006309")</f>
        <v/>
      </c>
      <c r="J1308">
        <f>_xlfn.NUMBERVALUE("-0.014962")</f>
        <v/>
      </c>
      <c r="K1308">
        <f>_xlfn.NUMBERVALUE("0.001946")</f>
        <v/>
      </c>
      <c r="L1308">
        <f>_xlfn.NUMBERVALUE("-0.011123")</f>
        <v/>
      </c>
      <c r="M1308">
        <f>_xlfn.NUMBERVALUE("-0.005257")</f>
        <v/>
      </c>
      <c r="N1308">
        <f>_xlfn.NUMBERVALUE("0.000225")</f>
        <v/>
      </c>
      <c r="O1308">
        <f>_xlfn.NUMBERVALUE("-0.001576")</f>
        <v/>
      </c>
      <c r="P1308">
        <f>_xlfn.NUMBERVALUE("-0.013144")</f>
        <v/>
      </c>
      <c r="Q1308">
        <f>_xlfn.NUMBERVALUE("-0.019504")</f>
        <v/>
      </c>
      <c r="R1308">
        <f>_xlfn.NUMBERVALUE("-0.007760")</f>
        <v/>
      </c>
      <c r="S1308">
        <f>_xlfn.NUMBERVALUE("-0.013108")</f>
        <v/>
      </c>
      <c r="T1308">
        <f>_xlfn.NUMBERVALUE("-0.006147")</f>
        <v/>
      </c>
      <c r="U1308">
        <f>_xlfn.NUMBERVALUE("-0.010697")</f>
        <v/>
      </c>
      <c r="V1308">
        <f>_xlfn.NUMBERVALUE("-0.006976")</f>
        <v/>
      </c>
      <c r="W1308">
        <f>_xlfn.NUMBERVALUE("-0.039878")</f>
        <v/>
      </c>
      <c r="X1308">
        <f>_xlfn.NUMBERVALUE("6.600000")</f>
        <v/>
      </c>
      <c r="Y1308">
        <f>_xlfn.NUMBERVALUE("53.900000")</f>
        <v/>
      </c>
    </row>
    <row r="1309">
      <c r="A1309" s="1" t="n">
        <v>43902</v>
      </c>
      <c r="B1309">
        <f>_xlfn.NUMBERVALUE("0.000000")</f>
        <v/>
      </c>
      <c r="C1309" s="2">
        <f>_xlfn.NUMBERVALUE("-0.018547")</f>
        <v/>
      </c>
      <c r="D1309">
        <f>_xlfn.NUMBERVALUE("-0.034894")</f>
        <v/>
      </c>
      <c r="E1309">
        <f>_xlfn.NUMBERVALUE("-0.015454")</f>
        <v/>
      </c>
      <c r="F1309">
        <f>_xlfn.NUMBERVALUE("-0.014281")</f>
        <v/>
      </c>
      <c r="G1309">
        <f>_xlfn.NUMBERVALUE("-0.001934")</f>
        <v/>
      </c>
      <c r="H1309">
        <f>_xlfn.NUMBERVALUE("-0.000845")</f>
        <v/>
      </c>
      <c r="I1309">
        <f>_xlfn.NUMBERVALUE("-0.006644")</f>
        <v/>
      </c>
      <c r="J1309">
        <f>_xlfn.NUMBERVALUE("-0.011973")</f>
        <v/>
      </c>
      <c r="K1309">
        <f>_xlfn.NUMBERVALUE("-0.019659")</f>
        <v/>
      </c>
      <c r="L1309">
        <f>_xlfn.NUMBERVALUE("-0.015585")</f>
        <v/>
      </c>
      <c r="M1309">
        <f>_xlfn.NUMBERVALUE("-0.038942")</f>
        <v/>
      </c>
      <c r="N1309">
        <f>_xlfn.NUMBERVALUE("0.000657")</f>
        <v/>
      </c>
      <c r="O1309">
        <f>_xlfn.NUMBERVALUE("-0.031388")</f>
        <v/>
      </c>
      <c r="P1309">
        <f>_xlfn.NUMBERVALUE("-0.037120")</f>
        <v/>
      </c>
      <c r="Q1309">
        <f>_xlfn.NUMBERVALUE("-0.040475")</f>
        <v/>
      </c>
      <c r="R1309">
        <f>_xlfn.NUMBERVALUE("-0.023227")</f>
        <v/>
      </c>
      <c r="S1309">
        <f>_xlfn.NUMBERVALUE("-0.043199")</f>
        <v/>
      </c>
      <c r="T1309">
        <f>_xlfn.NUMBERVALUE("-0.034044")</f>
        <v/>
      </c>
      <c r="U1309">
        <f>_xlfn.NUMBERVALUE("-0.032452")</f>
        <v/>
      </c>
      <c r="V1309">
        <f>_xlfn.NUMBERVALUE("-0.013540")</f>
        <v/>
      </c>
      <c r="W1309">
        <f>_xlfn.NUMBERVALUE("-0.083506")</f>
        <v/>
      </c>
      <c r="X1309">
        <f>_xlfn.NUMBERVALUE("21.570000")</f>
        <v/>
      </c>
      <c r="Y1309">
        <f>_xlfn.NUMBERVALUE("75.470000")</f>
        <v/>
      </c>
    </row>
    <row r="1310">
      <c r="A1310" s="1" t="n">
        <v>43903</v>
      </c>
      <c r="B1310">
        <f>_xlfn.NUMBERVALUE("0.000000")</f>
        <v/>
      </c>
      <c r="C1310" s="2">
        <f>_xlfn.NUMBERVALUE("0.008428")</f>
        <v/>
      </c>
      <c r="D1310">
        <f>_xlfn.NUMBERVALUE("0.012833")</f>
        <v/>
      </c>
      <c r="E1310">
        <f>_xlfn.NUMBERVALUE("-0.002133")</f>
        <v/>
      </c>
      <c r="F1310">
        <f>_xlfn.NUMBERVALUE("-0.010278")</f>
        <v/>
      </c>
      <c r="G1310">
        <f>_xlfn.NUMBERVALUE("-0.000685")</f>
        <v/>
      </c>
      <c r="H1310">
        <f>_xlfn.NUMBERVALUE("-0.000509")</f>
        <v/>
      </c>
      <c r="I1310">
        <f>_xlfn.NUMBERVALUE("0.001676")</f>
        <v/>
      </c>
      <c r="J1310">
        <f>_xlfn.NUMBERVALUE("-0.008251")</f>
        <v/>
      </c>
      <c r="K1310">
        <f>_xlfn.NUMBERVALUE("-0.011645")</f>
        <v/>
      </c>
      <c r="L1310">
        <f>_xlfn.NUMBERVALUE("0.018190")</f>
        <v/>
      </c>
      <c r="M1310">
        <f>_xlfn.NUMBERVALUE("0.021181")</f>
        <v/>
      </c>
      <c r="N1310">
        <f>_xlfn.NUMBERVALUE("-0.003139")</f>
        <v/>
      </c>
      <c r="O1310">
        <f>_xlfn.NUMBERVALUE("0.025243")</f>
        <v/>
      </c>
      <c r="P1310">
        <f>_xlfn.NUMBERVALUE("0.013840")</f>
        <v/>
      </c>
      <c r="Q1310">
        <f>_xlfn.NUMBERVALUE("0.021583")</f>
        <v/>
      </c>
      <c r="R1310">
        <f>_xlfn.NUMBERVALUE("0.007854")</f>
        <v/>
      </c>
      <c r="S1310">
        <f>_xlfn.NUMBERVALUE("0.018486")</f>
        <v/>
      </c>
      <c r="T1310">
        <f>_xlfn.NUMBERVALUE("-0.002735")</f>
        <v/>
      </c>
      <c r="U1310">
        <f>_xlfn.NUMBERVALUE("0.016425")</f>
        <v/>
      </c>
      <c r="V1310">
        <f>_xlfn.NUMBERVALUE("0.002401")</f>
        <v/>
      </c>
      <c r="W1310">
        <f>_xlfn.NUMBERVALUE("0.042261")</f>
        <v/>
      </c>
      <c r="X1310">
        <f>_xlfn.NUMBERVALUE("-17.640000")</f>
        <v/>
      </c>
      <c r="Y1310">
        <f>_xlfn.NUMBERVALUE("57.830000")</f>
        <v/>
      </c>
    </row>
    <row r="1311">
      <c r="A1311" s="1" t="n">
        <v>43906</v>
      </c>
      <c r="B1311">
        <f>_xlfn.NUMBERVALUE("0.000000")</f>
        <v/>
      </c>
      <c r="C1311" s="2">
        <f>_xlfn.NUMBERVALUE("-0.011393")</f>
        <v/>
      </c>
      <c r="D1311">
        <f>_xlfn.NUMBERVALUE("-0.019201")</f>
        <v/>
      </c>
      <c r="E1311">
        <f>_xlfn.NUMBERVALUE("-0.003318")</f>
        <v/>
      </c>
      <c r="F1311">
        <f>_xlfn.NUMBERVALUE("-0.001257")</f>
        <v/>
      </c>
      <c r="G1311">
        <f>_xlfn.NUMBERVALUE("-0.000867")</f>
        <v/>
      </c>
      <c r="H1311">
        <f>_xlfn.NUMBERVALUE("-0.000928")</f>
        <v/>
      </c>
      <c r="I1311">
        <f>_xlfn.NUMBERVALUE("-0.001840")</f>
        <v/>
      </c>
      <c r="J1311">
        <f>_xlfn.NUMBERVALUE("-0.005271")</f>
        <v/>
      </c>
      <c r="K1311">
        <f>_xlfn.NUMBERVALUE("-0.012492")</f>
        <v/>
      </c>
      <c r="L1311">
        <f>_xlfn.NUMBERVALUE("-0.017248")</f>
        <v/>
      </c>
      <c r="M1311">
        <f>_xlfn.NUMBERVALUE("-0.029734")</f>
        <v/>
      </c>
      <c r="N1311">
        <f>_xlfn.NUMBERVALUE("0.002377")</f>
        <v/>
      </c>
      <c r="O1311">
        <f>_xlfn.NUMBERVALUE("-0.022484")</f>
        <v/>
      </c>
      <c r="P1311">
        <f>_xlfn.NUMBERVALUE("-0.040177")</f>
        <v/>
      </c>
      <c r="Q1311">
        <f>_xlfn.NUMBERVALUE("-0.014209")</f>
        <v/>
      </c>
      <c r="R1311">
        <f>_xlfn.NUMBERVALUE("-0.014448")</f>
        <v/>
      </c>
      <c r="S1311">
        <f>_xlfn.NUMBERVALUE("-0.004759")</f>
        <v/>
      </c>
      <c r="T1311">
        <f>_xlfn.NUMBERVALUE("-0.015236")</f>
        <v/>
      </c>
      <c r="U1311">
        <f>_xlfn.NUMBERVALUE("-0.014913")</f>
        <v/>
      </c>
      <c r="V1311">
        <f>_xlfn.NUMBERVALUE("-0.004620")</f>
        <v/>
      </c>
      <c r="W1311">
        <f>_xlfn.NUMBERVALUE("-0.066308")</f>
        <v/>
      </c>
      <c r="X1311">
        <f>_xlfn.NUMBERVALUE("24.860000")</f>
        <v/>
      </c>
      <c r="Y1311">
        <f>_xlfn.NUMBERVALUE("82.690000")</f>
        <v/>
      </c>
    </row>
    <row r="1312">
      <c r="A1312" s="1" t="n">
        <v>43907</v>
      </c>
      <c r="B1312">
        <f>_xlfn.NUMBERVALUE("0.000000")</f>
        <v/>
      </c>
      <c r="C1312" s="2">
        <f>_xlfn.NUMBERVALUE("0.006856")</f>
        <v/>
      </c>
      <c r="D1312">
        <f>_xlfn.NUMBERVALUE("0.012613")</f>
        <v/>
      </c>
      <c r="E1312">
        <f>_xlfn.NUMBERVALUE("0.005987")</f>
        <v/>
      </c>
      <c r="F1312">
        <f>_xlfn.NUMBERVALUE("-0.002355")</f>
        <v/>
      </c>
      <c r="G1312">
        <f>_xlfn.NUMBERVALUE("0.001876")</f>
        <v/>
      </c>
      <c r="H1312">
        <f>_xlfn.NUMBERVALUE("-0.005138")</f>
        <v/>
      </c>
      <c r="I1312">
        <f>_xlfn.NUMBERVALUE("0.001040")</f>
        <v/>
      </c>
      <c r="J1312">
        <f>_xlfn.NUMBERVALUE("0.005867")</f>
        <v/>
      </c>
      <c r="K1312">
        <f>_xlfn.NUMBERVALUE("-0.000003")</f>
        <v/>
      </c>
      <c r="L1312">
        <f>_xlfn.NUMBERVALUE("0.001736")</f>
        <v/>
      </c>
      <c r="M1312">
        <f>_xlfn.NUMBERVALUE("0.022654")</f>
        <v/>
      </c>
      <c r="N1312">
        <f>_xlfn.NUMBERVALUE("0.000588")</f>
        <v/>
      </c>
      <c r="O1312">
        <f>_xlfn.NUMBERVALUE("0.004086")</f>
        <v/>
      </c>
      <c r="P1312">
        <f>_xlfn.NUMBERVALUE("0.025117")</f>
        <v/>
      </c>
      <c r="Q1312">
        <f>_xlfn.NUMBERVALUE("0.012395")</f>
        <v/>
      </c>
      <c r="R1312">
        <f>_xlfn.NUMBERVALUE("0.001307")</f>
        <v/>
      </c>
      <c r="S1312">
        <f>_xlfn.NUMBERVALUE("0.003342")</f>
        <v/>
      </c>
      <c r="T1312">
        <f>_xlfn.NUMBERVALUE("-0.000805")</f>
        <v/>
      </c>
      <c r="U1312">
        <f>_xlfn.NUMBERVALUE("0.008044")</f>
        <v/>
      </c>
      <c r="V1312">
        <f>_xlfn.NUMBERVALUE("0.000935")</f>
        <v/>
      </c>
      <c r="W1312">
        <f>_xlfn.NUMBERVALUE("0.026652")</f>
        <v/>
      </c>
      <c r="X1312">
        <f>_xlfn.NUMBERVALUE("-6.780000")</f>
        <v/>
      </c>
      <c r="Y1312">
        <f>_xlfn.NUMBERVALUE("75.910000")</f>
        <v/>
      </c>
    </row>
    <row r="1313">
      <c r="A1313" s="1" t="n">
        <v>43908</v>
      </c>
      <c r="B1313">
        <f>_xlfn.NUMBERVALUE("0.000000")</f>
        <v/>
      </c>
      <c r="C1313" s="2">
        <f>_xlfn.NUMBERVALUE("-0.003755")</f>
        <v/>
      </c>
      <c r="D1313">
        <f>_xlfn.NUMBERVALUE("-0.007824")</f>
        <v/>
      </c>
      <c r="E1313">
        <f>_xlfn.NUMBERVALUE("-0.000252")</f>
        <v/>
      </c>
      <c r="F1313">
        <f>_xlfn.NUMBERVALUE("-0.001719")</f>
        <v/>
      </c>
      <c r="G1313">
        <f>_xlfn.NUMBERVALUE("-0.004644")</f>
        <v/>
      </c>
      <c r="H1313">
        <f>_xlfn.NUMBERVALUE("-0.009563")</f>
        <v/>
      </c>
      <c r="I1313">
        <f>_xlfn.NUMBERVALUE("-0.001115")</f>
        <v/>
      </c>
      <c r="J1313">
        <f>_xlfn.NUMBERVALUE("-0.010289")</f>
        <v/>
      </c>
      <c r="K1313">
        <f>_xlfn.NUMBERVALUE("-0.003414")</f>
        <v/>
      </c>
      <c r="L1313">
        <f>_xlfn.NUMBERVALUE("-0.027139")</f>
        <v/>
      </c>
      <c r="M1313">
        <f>_xlfn.NUMBERVALUE("-0.020626")</f>
        <v/>
      </c>
      <c r="N1313">
        <f>_xlfn.NUMBERVALUE("-0.103708")</f>
        <v/>
      </c>
      <c r="O1313">
        <f>_xlfn.NUMBERVALUE("-0.020469")</f>
        <v/>
      </c>
      <c r="P1313">
        <f>_xlfn.NUMBERVALUE("-0.030184")</f>
        <v/>
      </c>
      <c r="Q1313">
        <f>_xlfn.NUMBERVALUE("-0.007536")</f>
        <v/>
      </c>
      <c r="R1313">
        <f>_xlfn.NUMBERVALUE("-0.011130")</f>
        <v/>
      </c>
      <c r="S1313">
        <f>_xlfn.NUMBERVALUE("-0.014019")</f>
        <v/>
      </c>
      <c r="T1313">
        <f>_xlfn.NUMBERVALUE("-0.031217")</f>
        <v/>
      </c>
      <c r="U1313">
        <f>_xlfn.NUMBERVALUE("-0.006467")</f>
        <v/>
      </c>
      <c r="V1313">
        <f>_xlfn.NUMBERVALUE("-0.002984")</f>
        <v/>
      </c>
      <c r="W1313">
        <f>_xlfn.NUMBERVALUE("-0.072354")</f>
        <v/>
      </c>
      <c r="X1313">
        <f>_xlfn.NUMBERVALUE("0.540000")</f>
        <v/>
      </c>
      <c r="Y1313">
        <f>_xlfn.NUMBERVALUE("76.450000")</f>
        <v/>
      </c>
    </row>
    <row r="1314">
      <c r="A1314" s="1" t="n">
        <v>43909</v>
      </c>
      <c r="B1314">
        <f>_xlfn.NUMBERVALUE("0.000000")</f>
        <v/>
      </c>
      <c r="C1314" s="2">
        <f>_xlfn.NUMBERVALUE("0.001576")</f>
        <v/>
      </c>
      <c r="D1314">
        <f>_xlfn.NUMBERVALUE("0.004876")</f>
        <v/>
      </c>
      <c r="E1314">
        <f>_xlfn.NUMBERVALUE("-0.001222")</f>
        <v/>
      </c>
      <c r="F1314">
        <f>_xlfn.NUMBERVALUE("-0.003962")</f>
        <v/>
      </c>
      <c r="G1314">
        <f>_xlfn.NUMBERVALUE("0.003031")</f>
        <v/>
      </c>
      <c r="H1314">
        <f>_xlfn.NUMBERVALUE("-0.001101")</f>
        <v/>
      </c>
      <c r="I1314">
        <f>_xlfn.NUMBERVALUE("-0.000091")</f>
        <v/>
      </c>
      <c r="J1314">
        <f>_xlfn.NUMBERVALUE("0.003106")</f>
        <v/>
      </c>
      <c r="K1314">
        <f>_xlfn.NUMBERVALUE("0.002462")</f>
        <v/>
      </c>
      <c r="L1314">
        <f>_xlfn.NUMBERVALUE("0.009496")</f>
        <v/>
      </c>
      <c r="M1314">
        <f>_xlfn.NUMBERVALUE("0.010293")</f>
        <v/>
      </c>
      <c r="N1314">
        <f>_xlfn.NUMBERVALUE("0.138372")</f>
        <v/>
      </c>
      <c r="O1314">
        <f>_xlfn.NUMBERVALUE("0.008163")</f>
        <v/>
      </c>
      <c r="P1314">
        <f>_xlfn.NUMBERVALUE("0.025476")</f>
        <v/>
      </c>
      <c r="Q1314">
        <f>_xlfn.NUMBERVALUE("0.001535")</f>
        <v/>
      </c>
      <c r="R1314">
        <f>_xlfn.NUMBERVALUE("0.008510")</f>
        <v/>
      </c>
      <c r="S1314">
        <f>_xlfn.NUMBERVALUE("0.005891")</f>
        <v/>
      </c>
      <c r="T1314">
        <f>_xlfn.NUMBERVALUE("0.018463")</f>
        <v/>
      </c>
      <c r="U1314">
        <f>_xlfn.NUMBERVALUE("0.004062")</f>
        <v/>
      </c>
      <c r="V1314">
        <f>_xlfn.NUMBERVALUE("0.000255")</f>
        <v/>
      </c>
      <c r="W1314">
        <f>_xlfn.NUMBERVALUE("0.046156")</f>
        <v/>
      </c>
      <c r="X1314">
        <f>_xlfn.NUMBERVALUE("-4.450000")</f>
        <v/>
      </c>
      <c r="Y1314">
        <f>_xlfn.NUMBERVALUE("72.000000")</f>
        <v/>
      </c>
    </row>
    <row r="1315">
      <c r="A1315" s="1" t="n">
        <v>43910</v>
      </c>
      <c r="B1315">
        <f>_xlfn.NUMBERVALUE("0.000000")</f>
        <v/>
      </c>
      <c r="C1315" s="2">
        <f>_xlfn.NUMBERVALUE("0.000297")</f>
        <v/>
      </c>
      <c r="D1315">
        <f>_xlfn.NUMBERVALUE("0.000927")</f>
        <v/>
      </c>
      <c r="E1315">
        <f>_xlfn.NUMBERVALUE("-0.001938")</f>
        <v/>
      </c>
      <c r="F1315">
        <f>_xlfn.NUMBERVALUE("0.007973")</f>
        <v/>
      </c>
      <c r="G1315">
        <f>_xlfn.NUMBERVALUE("-0.000260")</f>
        <v/>
      </c>
      <c r="H1315">
        <f>_xlfn.NUMBERVALUE("0.005005")</f>
        <v/>
      </c>
      <c r="I1315">
        <f>_xlfn.NUMBERVALUE("0.000363")</f>
        <v/>
      </c>
      <c r="J1315">
        <f>_xlfn.NUMBERVALUE("0.001003")</f>
        <v/>
      </c>
      <c r="K1315">
        <f>_xlfn.NUMBERVALUE("0.001260")</f>
        <v/>
      </c>
      <c r="L1315">
        <f>_xlfn.NUMBERVALUE("0.012938")</f>
        <v/>
      </c>
      <c r="M1315">
        <f>_xlfn.NUMBERVALUE("0.005089")</f>
        <v/>
      </c>
      <c r="N1315">
        <f>_xlfn.NUMBERVALUE("0.017000")</f>
        <v/>
      </c>
      <c r="O1315">
        <f>_xlfn.NUMBERVALUE("0.002225")</f>
        <v/>
      </c>
      <c r="P1315">
        <f>_xlfn.NUMBERVALUE("0.006364")</f>
        <v/>
      </c>
      <c r="Q1315">
        <f>_xlfn.NUMBERVALUE("-0.002555")</f>
        <v/>
      </c>
      <c r="R1315">
        <f>_xlfn.NUMBERVALUE("0.002506")</f>
        <v/>
      </c>
      <c r="S1315">
        <f>_xlfn.NUMBERVALUE("0.001224")</f>
        <v/>
      </c>
      <c r="T1315">
        <f>_xlfn.NUMBERVALUE("-0.003932")</f>
        <v/>
      </c>
      <c r="U1315">
        <f>_xlfn.NUMBERVALUE("0.000905")</f>
        <v/>
      </c>
      <c r="V1315">
        <f>_xlfn.NUMBERVALUE("0.002379")</f>
        <v/>
      </c>
      <c r="W1315">
        <f>_xlfn.NUMBERVALUE("-0.051985")</f>
        <v/>
      </c>
      <c r="X1315">
        <f>_xlfn.NUMBERVALUE("-5.960000")</f>
        <v/>
      </c>
      <c r="Y1315">
        <f>_xlfn.NUMBERVALUE("66.040000")</f>
        <v/>
      </c>
    </row>
    <row r="1316">
      <c r="A1316" s="1" t="n">
        <v>43913</v>
      </c>
      <c r="B1316">
        <f>_xlfn.NUMBERVALUE("0.000000")</f>
        <v/>
      </c>
      <c r="C1316" s="2">
        <f>_xlfn.NUMBERVALUE("-0.001208")</f>
        <v/>
      </c>
      <c r="D1316">
        <f>_xlfn.NUMBERVALUE("-0.001291")</f>
        <v/>
      </c>
      <c r="E1316">
        <f>_xlfn.NUMBERVALUE("0.003111")</f>
        <v/>
      </c>
      <c r="F1316">
        <f>_xlfn.NUMBERVALUE("-0.005202")</f>
        <v/>
      </c>
      <c r="G1316">
        <f>_xlfn.NUMBERVALUE("-0.000920")</f>
        <v/>
      </c>
      <c r="H1316">
        <f>_xlfn.NUMBERVALUE("-0.000404")</f>
        <v/>
      </c>
      <c r="I1316">
        <f>_xlfn.NUMBERVALUE("0.000090")</f>
        <v/>
      </c>
      <c r="J1316">
        <f>_xlfn.NUMBERVALUE("0.001122")</f>
        <v/>
      </c>
      <c r="K1316">
        <f>_xlfn.NUMBERVALUE("0.001203")</f>
        <v/>
      </c>
      <c r="L1316">
        <f>_xlfn.NUMBERVALUE("-0.006746")</f>
        <v/>
      </c>
      <c r="M1316">
        <f>_xlfn.NUMBERVALUE("0.000312")</f>
        <v/>
      </c>
      <c r="N1316">
        <f>_xlfn.NUMBERVALUE("0.011202")</f>
        <v/>
      </c>
      <c r="O1316">
        <f>_xlfn.NUMBERVALUE("0.010144")</f>
        <v/>
      </c>
      <c r="P1316">
        <f>_xlfn.NUMBERVALUE("-0.000210")</f>
        <v/>
      </c>
      <c r="Q1316">
        <f>_xlfn.NUMBERVALUE("0.002300")</f>
        <v/>
      </c>
      <c r="R1316">
        <f>_xlfn.NUMBERVALUE("0.000270")</f>
        <v/>
      </c>
      <c r="S1316">
        <f>_xlfn.NUMBERVALUE("-0.002363")</f>
        <v/>
      </c>
      <c r="T1316">
        <f>_xlfn.NUMBERVALUE("0.001698")</f>
        <v/>
      </c>
      <c r="U1316">
        <f>_xlfn.NUMBERVALUE("0.001310")</f>
        <v/>
      </c>
      <c r="V1316">
        <f>_xlfn.NUMBERVALUE("-0.000345")</f>
        <v/>
      </c>
      <c r="W1316">
        <f>_xlfn.NUMBERVALUE("-0.041915")</f>
        <v/>
      </c>
      <c r="X1316">
        <f>_xlfn.NUMBERVALUE("-4.450000")</f>
        <v/>
      </c>
      <c r="Y1316">
        <f>_xlfn.NUMBERVALUE("61.590000")</f>
        <v/>
      </c>
    </row>
    <row r="1317">
      <c r="A1317" s="1" t="n">
        <v>43914</v>
      </c>
      <c r="B1317">
        <f>_xlfn.NUMBERVALUE("0.055574")</f>
        <v/>
      </c>
      <c r="C1317" s="2">
        <f>_xlfn.NUMBERVALUE("-0.001185")</f>
        <v/>
      </c>
      <c r="D1317">
        <f>_xlfn.NUMBERVALUE("0.001443")</f>
        <v/>
      </c>
      <c r="E1317">
        <f>_xlfn.NUMBERVALUE("-0.000414")</f>
        <v/>
      </c>
      <c r="F1317">
        <f>_xlfn.NUMBERVALUE("-0.003030")</f>
        <v/>
      </c>
      <c r="G1317">
        <f>_xlfn.NUMBERVALUE("0.001272")</f>
        <v/>
      </c>
      <c r="H1317">
        <f>_xlfn.NUMBERVALUE("0.001547")</f>
        <v/>
      </c>
      <c r="I1317">
        <f>_xlfn.NUMBERVALUE("-0.000196")</f>
        <v/>
      </c>
      <c r="J1317">
        <f>_xlfn.NUMBERVALUE("0.001529")</f>
        <v/>
      </c>
      <c r="K1317">
        <f>_xlfn.NUMBERVALUE("-0.000540")</f>
        <v/>
      </c>
      <c r="L1317">
        <f>_xlfn.NUMBERVALUE("0.020025")</f>
        <v/>
      </c>
      <c r="M1317">
        <f>_xlfn.NUMBERVALUE("0.001564")</f>
        <v/>
      </c>
      <c r="N1317">
        <f>_xlfn.NUMBERVALUE("-0.010040")</f>
        <v/>
      </c>
      <c r="O1317">
        <f>_xlfn.NUMBERVALUE("0.001439")</f>
        <v/>
      </c>
      <c r="P1317">
        <f>_xlfn.NUMBERVALUE("0.002038")</f>
        <v/>
      </c>
      <c r="Q1317">
        <f>_xlfn.NUMBERVALUE("-0.000018")</f>
        <v/>
      </c>
      <c r="R1317">
        <f>_xlfn.NUMBERVALUE("-0.008130")</f>
        <v/>
      </c>
      <c r="S1317">
        <f>_xlfn.NUMBERVALUE("0.001427")</f>
        <v/>
      </c>
      <c r="T1317">
        <f>_xlfn.NUMBERVALUE("0.000089")</f>
        <v/>
      </c>
      <c r="U1317">
        <f>_xlfn.NUMBERVALUE("-0.000081")</f>
        <v/>
      </c>
      <c r="V1317">
        <f>_xlfn.NUMBERVALUE("-0.000251")</f>
        <v/>
      </c>
      <c r="W1317">
        <f>_xlfn.NUMBERVALUE("0.088761")</f>
        <v/>
      </c>
      <c r="X1317">
        <f>_xlfn.NUMBERVALUE("0.080000")</f>
        <v/>
      </c>
      <c r="Y1317">
        <f>_xlfn.NUMBERVALUE("61.670000")</f>
        <v/>
      </c>
    </row>
    <row r="1318">
      <c r="A1318" s="1" t="n">
        <v>43915</v>
      </c>
      <c r="B1318">
        <f>_xlfn.NUMBERVALUE("-0.004108")</f>
        <v/>
      </c>
      <c r="C1318" s="2">
        <f>_xlfn.NUMBERVALUE("-0.003553")</f>
        <v/>
      </c>
      <c r="D1318">
        <f>_xlfn.NUMBERVALUE("-0.000975")</f>
        <v/>
      </c>
      <c r="E1318">
        <f>_xlfn.NUMBERVALUE("-0.001049")</f>
        <v/>
      </c>
      <c r="F1318">
        <f>_xlfn.NUMBERVALUE("0.002819")</f>
        <v/>
      </c>
      <c r="G1318">
        <f>_xlfn.NUMBERVALUE("0.000629")</f>
        <v/>
      </c>
      <c r="H1318">
        <f>_xlfn.NUMBERVALUE("0.000009")</f>
        <v/>
      </c>
      <c r="I1318">
        <f>_xlfn.NUMBERVALUE("0.002474")</f>
        <v/>
      </c>
      <c r="J1318">
        <f>_xlfn.NUMBERVALUE("-0.005913")</f>
        <v/>
      </c>
      <c r="K1318">
        <f>_xlfn.NUMBERVALUE("0.002450")</f>
        <v/>
      </c>
      <c r="L1318">
        <f>_xlfn.NUMBERVALUE("0.007888")</f>
        <v/>
      </c>
      <c r="M1318">
        <f>_xlfn.NUMBERVALUE("-0.000163")</f>
        <v/>
      </c>
      <c r="N1318">
        <f>_xlfn.NUMBERVALUE("-0.004110")</f>
        <v/>
      </c>
      <c r="O1318">
        <f>_xlfn.NUMBERVALUE("-0.004541")</f>
        <v/>
      </c>
      <c r="P1318">
        <f>_xlfn.NUMBERVALUE("-0.005115")</f>
        <v/>
      </c>
      <c r="Q1318">
        <f>_xlfn.NUMBERVALUE("-0.002615")</f>
        <v/>
      </c>
      <c r="R1318">
        <f>_xlfn.NUMBERVALUE("-0.004968")</f>
        <v/>
      </c>
      <c r="S1318">
        <f>_xlfn.NUMBERVALUE("-0.003516")</f>
        <v/>
      </c>
      <c r="T1318">
        <f>_xlfn.NUMBERVALUE("-0.000713")</f>
        <v/>
      </c>
      <c r="U1318">
        <f>_xlfn.NUMBERVALUE("-0.004870")</f>
        <v/>
      </c>
      <c r="V1318">
        <f>_xlfn.NUMBERVALUE("0.001044")</f>
        <v/>
      </c>
      <c r="W1318">
        <f>_xlfn.NUMBERVALUE("0.043041")</f>
        <v/>
      </c>
      <c r="X1318">
        <f>_xlfn.NUMBERVALUE("2.280000")</f>
        <v/>
      </c>
      <c r="Y1318">
        <f>_xlfn.NUMBERVALUE("63.950000")</f>
        <v/>
      </c>
    </row>
    <row r="1319">
      <c r="A1319" s="1" t="n">
        <v>43916</v>
      </c>
      <c r="B1319">
        <f>_xlfn.NUMBERVALUE("0.000000")</f>
        <v/>
      </c>
      <c r="C1319" s="2">
        <f>_xlfn.NUMBERVALUE("0.007515")</f>
        <v/>
      </c>
      <c r="D1319">
        <f>_xlfn.NUMBERVALUE("0.001047")</f>
        <v/>
      </c>
      <c r="E1319">
        <f>_xlfn.NUMBERVALUE("0.001378")</f>
        <v/>
      </c>
      <c r="F1319">
        <f>_xlfn.NUMBERVALUE("0.009779")</f>
        <v/>
      </c>
      <c r="G1319">
        <f>_xlfn.NUMBERVALUE("0.000579")</f>
        <v/>
      </c>
      <c r="H1319">
        <f>_xlfn.NUMBERVALUE("-0.004171")</f>
        <v/>
      </c>
      <c r="I1319">
        <f>_xlfn.NUMBERVALUE("0.000156")</f>
        <v/>
      </c>
      <c r="J1319">
        <f>_xlfn.NUMBERVALUE("-0.000032")</f>
        <v/>
      </c>
      <c r="K1319">
        <f>_xlfn.NUMBERVALUE("0.001435")</f>
        <v/>
      </c>
      <c r="L1319">
        <f>_xlfn.NUMBERVALUE("0.005238")</f>
        <v/>
      </c>
      <c r="M1319">
        <f>_xlfn.NUMBERVALUE("-0.004046")</f>
        <v/>
      </c>
      <c r="N1319">
        <f>_xlfn.NUMBERVALUE("0.000563")</f>
        <v/>
      </c>
      <c r="O1319">
        <f>_xlfn.NUMBERVALUE("0.000011")</f>
        <v/>
      </c>
      <c r="P1319">
        <f>_xlfn.NUMBERVALUE("-0.000139")</f>
        <v/>
      </c>
      <c r="Q1319">
        <f>_xlfn.NUMBERVALUE("-0.000858")</f>
        <v/>
      </c>
      <c r="R1319">
        <f>_xlfn.NUMBERVALUE("0.003600")</f>
        <v/>
      </c>
      <c r="S1319">
        <f>_xlfn.NUMBERVALUE("0.008334")</f>
        <v/>
      </c>
      <c r="T1319">
        <f>_xlfn.NUMBERVALUE("0.001149")</f>
        <v/>
      </c>
      <c r="U1319">
        <f>_xlfn.NUMBERVALUE("-0.002452")</f>
        <v/>
      </c>
      <c r="V1319">
        <f>_xlfn.NUMBERVALUE("0.000726")</f>
        <v/>
      </c>
      <c r="W1319">
        <f>_xlfn.NUMBERVALUE("0.020493")</f>
        <v/>
      </c>
      <c r="X1319">
        <f>_xlfn.NUMBERVALUE("-2.950000")</f>
        <v/>
      </c>
      <c r="Y1319">
        <f>_xlfn.NUMBERVALUE("61.000000")</f>
        <v/>
      </c>
    </row>
    <row r="1320">
      <c r="A1320" s="1" t="n">
        <v>43917</v>
      </c>
      <c r="B1320">
        <f>_xlfn.NUMBERVALUE("-0.041561")</f>
        <v/>
      </c>
      <c r="C1320" s="2">
        <f>_xlfn.NUMBERVALUE("0.000842")</f>
        <v/>
      </c>
      <c r="D1320">
        <f>_xlfn.NUMBERVALUE("-0.000301")</f>
        <v/>
      </c>
      <c r="E1320">
        <f>_xlfn.NUMBERVALUE("-0.000055")</f>
        <v/>
      </c>
      <c r="F1320">
        <f>_xlfn.NUMBERVALUE("0.005867")</f>
        <v/>
      </c>
      <c r="G1320">
        <f>_xlfn.NUMBERVALUE("-0.001149")</f>
        <v/>
      </c>
      <c r="H1320">
        <f>_xlfn.NUMBERVALUE("0.003684")</f>
        <v/>
      </c>
      <c r="I1320">
        <f>_xlfn.NUMBERVALUE("-0.000272")</f>
        <v/>
      </c>
      <c r="J1320">
        <f>_xlfn.NUMBERVALUE("0.003430")</f>
        <v/>
      </c>
      <c r="K1320">
        <f>_xlfn.NUMBERVALUE("-0.001129")</f>
        <v/>
      </c>
      <c r="L1320">
        <f>_xlfn.NUMBERVALUE("-0.001329")</f>
        <v/>
      </c>
      <c r="M1320">
        <f>_xlfn.NUMBERVALUE("0.003471")</f>
        <v/>
      </c>
      <c r="N1320">
        <f>_xlfn.NUMBERVALUE("-0.003550")</f>
        <v/>
      </c>
      <c r="O1320">
        <f>_xlfn.NUMBERVALUE("0.000371")</f>
        <v/>
      </c>
      <c r="P1320">
        <f>_xlfn.NUMBERVALUE("0.001166")</f>
        <v/>
      </c>
      <c r="Q1320">
        <f>_xlfn.NUMBERVALUE("-0.008603")</f>
        <v/>
      </c>
      <c r="R1320">
        <f>_xlfn.NUMBERVALUE("0.002288")</f>
        <v/>
      </c>
      <c r="S1320">
        <f>_xlfn.NUMBERVALUE("-0.003061")</f>
        <v/>
      </c>
      <c r="T1320">
        <f>_xlfn.NUMBERVALUE("-0.003097")</f>
        <v/>
      </c>
      <c r="U1320">
        <f>_xlfn.NUMBERVALUE("0.001529")</f>
        <v/>
      </c>
      <c r="V1320">
        <f>_xlfn.NUMBERVALUE("0.000310")</f>
        <v/>
      </c>
      <c r="W1320">
        <f>_xlfn.NUMBERVALUE("-0.004281")</f>
        <v/>
      </c>
      <c r="X1320">
        <f>_xlfn.NUMBERVALUE("4.540000")</f>
        <v/>
      </c>
      <c r="Y1320">
        <f>_xlfn.NUMBERVALUE("65.540000")</f>
        <v/>
      </c>
    </row>
    <row r="1321">
      <c r="A1321" s="1" t="n">
        <v>43920</v>
      </c>
      <c r="B1321">
        <f>_xlfn.NUMBERVALUE("0.022677")</f>
        <v/>
      </c>
      <c r="C1321" s="2">
        <f>_xlfn.NUMBERVALUE("0.003102")</f>
        <v/>
      </c>
      <c r="D1321">
        <f>_xlfn.NUMBERVALUE("0.000030")</f>
        <v/>
      </c>
      <c r="E1321">
        <f>_xlfn.NUMBERVALUE("0.000463")</f>
        <v/>
      </c>
      <c r="F1321">
        <f>_xlfn.NUMBERVALUE("0.007953")</f>
        <v/>
      </c>
      <c r="G1321">
        <f>_xlfn.NUMBERVALUE("0.000127")</f>
        <v/>
      </c>
      <c r="H1321">
        <f>_xlfn.NUMBERVALUE("-0.001418")</f>
        <v/>
      </c>
      <c r="I1321">
        <f>_xlfn.NUMBERVALUE("0.000308")</f>
        <v/>
      </c>
      <c r="J1321">
        <f>_xlfn.NUMBERVALUE("0.002181")</f>
        <v/>
      </c>
      <c r="K1321">
        <f>_xlfn.NUMBERVALUE("0.001881")</f>
        <v/>
      </c>
      <c r="L1321">
        <f>_xlfn.NUMBERVALUE("-0.002618")</f>
        <v/>
      </c>
      <c r="M1321">
        <f>_xlfn.NUMBERVALUE("0.007566")</f>
        <v/>
      </c>
      <c r="N1321">
        <f>_xlfn.NUMBERVALUE("0.009994")</f>
        <v/>
      </c>
      <c r="O1321">
        <f>_xlfn.NUMBERVALUE("0.003625")</f>
        <v/>
      </c>
      <c r="P1321">
        <f>_xlfn.NUMBERVALUE("0.015369")</f>
        <v/>
      </c>
      <c r="Q1321">
        <f>_xlfn.NUMBERVALUE("0.013235")</f>
        <v/>
      </c>
      <c r="R1321">
        <f>_xlfn.NUMBERVALUE("0.015954")</f>
        <v/>
      </c>
      <c r="S1321">
        <f>_xlfn.NUMBERVALUE("0.009982")</f>
        <v/>
      </c>
      <c r="T1321">
        <f>_xlfn.NUMBERVALUE("0.005670")</f>
        <v/>
      </c>
      <c r="U1321">
        <f>_xlfn.NUMBERVALUE("0.006703")</f>
        <v/>
      </c>
      <c r="V1321">
        <f>_xlfn.NUMBERVALUE("0.001019")</f>
        <v/>
      </c>
      <c r="W1321">
        <f>_xlfn.NUMBERVALUE("0.021302")</f>
        <v/>
      </c>
      <c r="X1321">
        <f>_xlfn.NUMBERVALUE("-8.460000")</f>
        <v/>
      </c>
      <c r="Y1321">
        <f>_xlfn.NUMBERVALUE("57.080000")</f>
        <v/>
      </c>
    </row>
    <row r="1322">
      <c r="A1322" s="1" t="n">
        <v>43921</v>
      </c>
      <c r="B1322">
        <f>_xlfn.NUMBERVALUE("0.037273")</f>
        <v/>
      </c>
      <c r="C1322" s="2">
        <f>_xlfn.NUMBERVALUE("0.000331")</f>
        <v/>
      </c>
      <c r="D1322">
        <f>_xlfn.NUMBERVALUE("0.000252")</f>
        <v/>
      </c>
      <c r="E1322">
        <f>_xlfn.NUMBERVALUE("0.000162")</f>
        <v/>
      </c>
      <c r="F1322">
        <f>_xlfn.NUMBERVALUE("-0.003044")</f>
        <v/>
      </c>
      <c r="G1322">
        <f>_xlfn.NUMBERVALUE("0.000835")</f>
        <v/>
      </c>
      <c r="H1322">
        <f>_xlfn.NUMBERVALUE("0.020439")</f>
        <v/>
      </c>
      <c r="I1322">
        <f>_xlfn.NUMBERVALUE("0.000106")</f>
        <v/>
      </c>
      <c r="J1322">
        <f>_xlfn.NUMBERVALUE("0.000724")</f>
        <v/>
      </c>
      <c r="K1322">
        <f>_xlfn.NUMBERVALUE("0.000603")</f>
        <v/>
      </c>
      <c r="L1322">
        <f>_xlfn.NUMBERVALUE("0.001901")</f>
        <v/>
      </c>
      <c r="M1322">
        <f>_xlfn.NUMBERVALUE("0.000520")</f>
        <v/>
      </c>
      <c r="N1322">
        <f>_xlfn.NUMBERVALUE("0.009740")</f>
        <v/>
      </c>
      <c r="O1322">
        <f>_xlfn.NUMBERVALUE("0.001004")</f>
        <v/>
      </c>
      <c r="P1322">
        <f>_xlfn.NUMBERVALUE("0.001200")</f>
        <v/>
      </c>
      <c r="Q1322">
        <f>_xlfn.NUMBERVALUE("0.002654")</f>
        <v/>
      </c>
      <c r="R1322">
        <f>_xlfn.NUMBERVALUE("0.006341")</f>
        <v/>
      </c>
      <c r="S1322">
        <f>_xlfn.NUMBERVALUE("-0.000560")</f>
        <v/>
      </c>
      <c r="T1322">
        <f>_xlfn.NUMBERVALUE("-0.000779")</f>
        <v/>
      </c>
      <c r="U1322">
        <f>_xlfn.NUMBERVALUE("0.001221")</f>
        <v/>
      </c>
      <c r="V1322">
        <f>_xlfn.NUMBERVALUE("0.000019")</f>
        <v/>
      </c>
      <c r="W1322">
        <f>_xlfn.NUMBERVALUE("-0.012438")</f>
        <v/>
      </c>
      <c r="X1322">
        <f>_xlfn.NUMBERVALUE("-3.540000")</f>
        <v/>
      </c>
      <c r="Y1322">
        <f>_xlfn.NUMBERVALUE("53.540000")</f>
        <v/>
      </c>
    </row>
    <row r="1323">
      <c r="A1323" s="1" t="n">
        <v>43922</v>
      </c>
      <c r="B1323">
        <f>_xlfn.NUMBERVALUE("-0.037047")</f>
        <v/>
      </c>
      <c r="C1323" s="2">
        <f>_xlfn.NUMBERVALUE("-0.000078")</f>
        <v/>
      </c>
      <c r="D1323">
        <f>_xlfn.NUMBERVALUE("-0.000001")</f>
        <v/>
      </c>
      <c r="E1323">
        <f>_xlfn.NUMBERVALUE("0.000000")</f>
        <v/>
      </c>
      <c r="F1323">
        <f>_xlfn.NUMBERVALUE("0.001624")</f>
        <v/>
      </c>
      <c r="G1323">
        <f>_xlfn.NUMBERVALUE("0.001661")</f>
        <v/>
      </c>
      <c r="H1323">
        <f>_xlfn.NUMBERVALUE("0.001307")</f>
        <v/>
      </c>
      <c r="I1323">
        <f>_xlfn.NUMBERVALUE("-0.000003")</f>
        <v/>
      </c>
      <c r="J1323">
        <f>_xlfn.NUMBERVALUE("0.000708")</f>
        <v/>
      </c>
      <c r="K1323">
        <f>_xlfn.NUMBERVALUE("0.000000")</f>
        <v/>
      </c>
      <c r="L1323">
        <f>_xlfn.NUMBERVALUE("0.000993")</f>
        <v/>
      </c>
      <c r="M1323">
        <f>_xlfn.NUMBERVALUE("-0.002406")</f>
        <v/>
      </c>
      <c r="N1323">
        <f>_xlfn.NUMBERVALUE("-0.005226")</f>
        <v/>
      </c>
      <c r="O1323">
        <f>_xlfn.NUMBERVALUE("-0.001809")</f>
        <v/>
      </c>
      <c r="P1323">
        <f>_xlfn.NUMBERVALUE("-0.003345")</f>
        <v/>
      </c>
      <c r="Q1323">
        <f>_xlfn.NUMBERVALUE("-0.001079")</f>
        <v/>
      </c>
      <c r="R1323">
        <f>_xlfn.NUMBERVALUE("-0.007311")</f>
        <v/>
      </c>
      <c r="S1323">
        <f>_xlfn.NUMBERVALUE("-0.001181")</f>
        <v/>
      </c>
      <c r="T1323">
        <f>_xlfn.NUMBERVALUE("-0.004082")</f>
        <v/>
      </c>
      <c r="U1323">
        <f>_xlfn.NUMBERVALUE("-0.001041")</f>
        <v/>
      </c>
      <c r="V1323">
        <f>_xlfn.NUMBERVALUE("-0.000019")</f>
        <v/>
      </c>
      <c r="W1323">
        <f>_xlfn.NUMBERVALUE("-0.050572")</f>
        <v/>
      </c>
      <c r="X1323">
        <f>_xlfn.NUMBERVALUE("3.520000")</f>
        <v/>
      </c>
      <c r="Y1323">
        <f>_xlfn.NUMBERVALUE("57.060000")</f>
        <v/>
      </c>
    </row>
    <row r="1324">
      <c r="A1324" s="1" t="n">
        <v>43923</v>
      </c>
      <c r="B1324">
        <f>_xlfn.NUMBERVALUE("0.012638")</f>
        <v/>
      </c>
      <c r="C1324" s="2">
        <f>_xlfn.NUMBERVALUE("-0.000276")</f>
        <v/>
      </c>
      <c r="D1324">
        <f>_xlfn.NUMBERVALUE("-0.000487")</f>
        <v/>
      </c>
      <c r="E1324">
        <f>_xlfn.NUMBERVALUE("-0.000318")</f>
        <v/>
      </c>
      <c r="F1324">
        <f>_xlfn.NUMBERVALUE("0.000187")</f>
        <v/>
      </c>
      <c r="G1324">
        <f>_xlfn.NUMBERVALUE("0.000169")</f>
        <v/>
      </c>
      <c r="H1324">
        <f>_xlfn.NUMBERVALUE("0.003587")</f>
        <v/>
      </c>
      <c r="I1324">
        <f>_xlfn.NUMBERVALUE("-0.000081")</f>
        <v/>
      </c>
      <c r="J1324">
        <f>_xlfn.NUMBERVALUE("0.000731")</f>
        <v/>
      </c>
      <c r="K1324">
        <f>_xlfn.NUMBERVALUE("0.000002")</f>
        <v/>
      </c>
      <c r="L1324">
        <f>_xlfn.NUMBERVALUE("0.005256")</f>
        <v/>
      </c>
      <c r="M1324">
        <f>_xlfn.NUMBERVALUE("0.000492")</f>
        <v/>
      </c>
      <c r="N1324">
        <f>_xlfn.NUMBERVALUE("0.008026")</f>
        <v/>
      </c>
      <c r="O1324">
        <f>_xlfn.NUMBERVALUE("-0.000620")</f>
        <v/>
      </c>
      <c r="P1324">
        <f>_xlfn.NUMBERVALUE("0.001213")</f>
        <v/>
      </c>
      <c r="Q1324">
        <f>_xlfn.NUMBERVALUE("0.000002")</f>
        <v/>
      </c>
      <c r="R1324">
        <f>_xlfn.NUMBERVALUE("0.002396")</f>
        <v/>
      </c>
      <c r="S1324">
        <f>_xlfn.NUMBERVALUE("0.001068")</f>
        <v/>
      </c>
      <c r="T1324">
        <f>_xlfn.NUMBERVALUE("0.000350")</f>
        <v/>
      </c>
      <c r="U1324">
        <f>_xlfn.NUMBERVALUE("-0.000423")</f>
        <v/>
      </c>
      <c r="V1324">
        <f>_xlfn.NUMBERVALUE("0.000038")</f>
        <v/>
      </c>
      <c r="W1324">
        <f>_xlfn.NUMBERVALUE("0.022327")</f>
        <v/>
      </c>
      <c r="X1324">
        <f>_xlfn.NUMBERVALUE("-6.150000")</f>
        <v/>
      </c>
      <c r="Y1324">
        <f>_xlfn.NUMBERVALUE("50.910000")</f>
        <v/>
      </c>
    </row>
    <row r="1325">
      <c r="A1325" s="1" t="n">
        <v>43924</v>
      </c>
      <c r="B1325">
        <f>_xlfn.NUMBERVALUE("0.026379")</f>
        <v/>
      </c>
      <c r="C1325" s="2">
        <f>_xlfn.NUMBERVALUE("0.000295")</f>
        <v/>
      </c>
      <c r="D1325">
        <f>_xlfn.NUMBERVALUE("0.000479")</f>
        <v/>
      </c>
      <c r="E1325">
        <f>_xlfn.NUMBERVALUE("0.000312")</f>
        <v/>
      </c>
      <c r="F1325">
        <f>_xlfn.NUMBERVALUE("0.001421")</f>
        <v/>
      </c>
      <c r="G1325">
        <f>_xlfn.NUMBERVALUE("0.000410")</f>
        <v/>
      </c>
      <c r="H1325">
        <f>_xlfn.NUMBERVALUE("-0.000302")</f>
        <v/>
      </c>
      <c r="I1325">
        <f>_xlfn.NUMBERVALUE("0.000050")</f>
        <v/>
      </c>
      <c r="J1325">
        <f>_xlfn.NUMBERVALUE("-0.000000")</f>
        <v/>
      </c>
      <c r="K1325">
        <f>_xlfn.NUMBERVALUE("-0.000000")</f>
        <v/>
      </c>
      <c r="L1325">
        <f>_xlfn.NUMBERVALUE("0.009133")</f>
        <v/>
      </c>
      <c r="M1325">
        <f>_xlfn.NUMBERVALUE("0.000301")</f>
        <v/>
      </c>
      <c r="N1325">
        <f>_xlfn.NUMBERVALUE("0.006979")</f>
        <v/>
      </c>
      <c r="O1325">
        <f>_xlfn.NUMBERVALUE("-0.000259")</f>
        <v/>
      </c>
      <c r="P1325">
        <f>_xlfn.NUMBERVALUE("-0.000045")</f>
        <v/>
      </c>
      <c r="Q1325">
        <f>_xlfn.NUMBERVALUE("0.000226")</f>
        <v/>
      </c>
      <c r="R1325">
        <f>_xlfn.NUMBERVALUE("-0.000086")</f>
        <v/>
      </c>
      <c r="S1325">
        <f>_xlfn.NUMBERVALUE("0.000754")</f>
        <v/>
      </c>
      <c r="T1325">
        <f>_xlfn.NUMBERVALUE("-0.000059")</f>
        <v/>
      </c>
      <c r="U1325">
        <f>_xlfn.NUMBERVALUE("0.000714")</f>
        <v/>
      </c>
      <c r="V1325">
        <f>_xlfn.NUMBERVALUE("0.000097")</f>
        <v/>
      </c>
      <c r="W1325">
        <f>_xlfn.NUMBERVALUE("-0.008264")</f>
        <v/>
      </c>
      <c r="X1325">
        <f>_xlfn.NUMBERVALUE("-4.110000")</f>
        <v/>
      </c>
      <c r="Y1325">
        <f>_xlfn.NUMBERVALUE("46.800000")</f>
        <v/>
      </c>
    </row>
    <row r="1326">
      <c r="A1326" s="1" t="n">
        <v>43927</v>
      </c>
      <c r="B1326">
        <f>_xlfn.NUMBERVALUE("0.008300")</f>
        <v/>
      </c>
      <c r="C1326" s="2">
        <f>_xlfn.NUMBERVALUE("-0.004134")</f>
        <v/>
      </c>
      <c r="D1326">
        <f>_xlfn.NUMBERVALUE("0.001253")</f>
        <v/>
      </c>
      <c r="E1326">
        <f>_xlfn.NUMBERVALUE("-0.003398")</f>
        <v/>
      </c>
      <c r="F1326">
        <f>_xlfn.NUMBERVALUE("-0.006110")</f>
        <v/>
      </c>
      <c r="G1326">
        <f>_xlfn.NUMBERVALUE("-0.000861")</f>
        <v/>
      </c>
      <c r="H1326">
        <f>_xlfn.NUMBERVALUE("0.000983")</f>
        <v/>
      </c>
      <c r="I1326">
        <f>_xlfn.NUMBERVALUE("-0.010962")</f>
        <v/>
      </c>
      <c r="J1326">
        <f>_xlfn.NUMBERVALUE("0.006447")</f>
        <v/>
      </c>
      <c r="K1326">
        <f>_xlfn.NUMBERVALUE("-0.003924")</f>
        <v/>
      </c>
      <c r="L1326">
        <f>_xlfn.NUMBERVALUE("0.013568")</f>
        <v/>
      </c>
      <c r="M1326">
        <f>_xlfn.NUMBERVALUE("0.000977")</f>
        <v/>
      </c>
      <c r="N1326">
        <f>_xlfn.NUMBERVALUE("-0.018686")</f>
        <v/>
      </c>
      <c r="O1326">
        <f>_xlfn.NUMBERVALUE("0.006072")</f>
        <v/>
      </c>
      <c r="P1326">
        <f>_xlfn.NUMBERVALUE("-0.000130")</f>
        <v/>
      </c>
      <c r="Q1326">
        <f>_xlfn.NUMBERVALUE("0.000008")</f>
        <v/>
      </c>
      <c r="R1326">
        <f>_xlfn.NUMBERVALUE("-0.000912")</f>
        <v/>
      </c>
      <c r="S1326">
        <f>_xlfn.NUMBERVALUE("0.000519")</f>
        <v/>
      </c>
      <c r="T1326">
        <f>_xlfn.NUMBERVALUE("-0.000322")</f>
        <v/>
      </c>
      <c r="U1326">
        <f>_xlfn.NUMBERVALUE("-0.000008")</f>
        <v/>
      </c>
      <c r="V1326">
        <f>_xlfn.NUMBERVALUE("-0.015009")</f>
        <v/>
      </c>
      <c r="W1326">
        <f>_xlfn.NUMBERVALUE("0.070515")</f>
        <v/>
      </c>
      <c r="X1326">
        <f>_xlfn.NUMBERVALUE("-1.560000")</f>
        <v/>
      </c>
      <c r="Y1326">
        <f>_xlfn.NUMBERVALUE("45.240000")</f>
        <v/>
      </c>
    </row>
    <row r="1327">
      <c r="A1327" s="1" t="n">
        <v>43928</v>
      </c>
      <c r="B1327">
        <f>_xlfn.NUMBERVALUE("-0.017925")</f>
        <v/>
      </c>
      <c r="C1327" s="2">
        <f>_xlfn.NUMBERVALUE("-0.006757")</f>
        <v/>
      </c>
      <c r="D1327">
        <f>_xlfn.NUMBERVALUE("-0.004090")</f>
        <v/>
      </c>
      <c r="E1327">
        <f>_xlfn.NUMBERVALUE("-0.006066")</f>
        <v/>
      </c>
      <c r="F1327">
        <f>_xlfn.NUMBERVALUE("0.001985")</f>
        <v/>
      </c>
      <c r="G1327">
        <f>_xlfn.NUMBERVALUE("0.003536")</f>
        <v/>
      </c>
      <c r="H1327">
        <f>_xlfn.NUMBERVALUE("-0.005537")</f>
        <v/>
      </c>
      <c r="I1327">
        <f>_xlfn.NUMBERVALUE("-0.005498")</f>
        <v/>
      </c>
      <c r="J1327">
        <f>_xlfn.NUMBERVALUE("0.003142")</f>
        <v/>
      </c>
      <c r="K1327">
        <f>_xlfn.NUMBERVALUE("-0.000354")</f>
        <v/>
      </c>
      <c r="L1327">
        <f>_xlfn.NUMBERVALUE("-0.000752")</f>
        <v/>
      </c>
      <c r="M1327">
        <f>_xlfn.NUMBERVALUE("-0.000421")</f>
        <v/>
      </c>
      <c r="N1327">
        <f>_xlfn.NUMBERVALUE("-0.005309")</f>
        <v/>
      </c>
      <c r="O1327">
        <f>_xlfn.NUMBERVALUE("0.000354")</f>
        <v/>
      </c>
      <c r="P1327">
        <f>_xlfn.NUMBERVALUE("0.000392")</f>
        <v/>
      </c>
      <c r="Q1327">
        <f>_xlfn.NUMBERVALUE("0.000001")</f>
        <v/>
      </c>
      <c r="R1327">
        <f>_xlfn.NUMBERVALUE("0.001155")</f>
        <v/>
      </c>
      <c r="S1327">
        <f>_xlfn.NUMBERVALUE("-0.000664")</f>
        <v/>
      </c>
      <c r="T1327">
        <f>_xlfn.NUMBERVALUE("0.000192")</f>
        <v/>
      </c>
      <c r="U1327">
        <f>_xlfn.NUMBERVALUE("-0.000001")</f>
        <v/>
      </c>
      <c r="V1327">
        <f>_xlfn.NUMBERVALUE("-0.004541")</f>
        <v/>
      </c>
      <c r="W1327">
        <f>_xlfn.NUMBERVALUE("0.016989")</f>
        <v/>
      </c>
      <c r="X1327">
        <f>_xlfn.NUMBERVALUE("1.460000")</f>
        <v/>
      </c>
      <c r="Y1327">
        <f>_xlfn.NUMBERVALUE("46.700000")</f>
        <v/>
      </c>
    </row>
    <row r="1328">
      <c r="A1328" s="1" t="n">
        <v>43929</v>
      </c>
      <c r="B1328">
        <f>_xlfn.NUMBERVALUE("0.010434")</f>
        <v/>
      </c>
      <c r="C1328" s="2">
        <f>_xlfn.NUMBERVALUE("0.000886")</f>
        <v/>
      </c>
      <c r="D1328">
        <f>_xlfn.NUMBERVALUE("0.004835")</f>
        <v/>
      </c>
      <c r="E1328">
        <f>_xlfn.NUMBERVALUE("0.003926")</f>
        <v/>
      </c>
      <c r="F1328">
        <f>_xlfn.NUMBERVALUE("0.009003")</f>
        <v/>
      </c>
      <c r="G1328">
        <f>_xlfn.NUMBERVALUE("-0.003519")</f>
        <v/>
      </c>
      <c r="H1328">
        <f>_xlfn.NUMBERVALUE("-0.001290")</f>
        <v/>
      </c>
      <c r="I1328">
        <f>_xlfn.NUMBERVALUE("-0.006437")</f>
        <v/>
      </c>
      <c r="J1328">
        <f>_xlfn.NUMBERVALUE("-0.000375")</f>
        <v/>
      </c>
      <c r="K1328">
        <f>_xlfn.NUMBERVALUE("0.017527")</f>
        <v/>
      </c>
      <c r="L1328">
        <f>_xlfn.NUMBERVALUE("-0.000870")</f>
        <v/>
      </c>
      <c r="M1328">
        <f>_xlfn.NUMBERVALUE("0.001296")</f>
        <v/>
      </c>
      <c r="N1328">
        <f>_xlfn.NUMBERVALUE("0.001458")</f>
        <v/>
      </c>
      <c r="O1328">
        <f>_xlfn.NUMBERVALUE("0.004450")</f>
        <v/>
      </c>
      <c r="P1328">
        <f>_xlfn.NUMBERVALUE("0.000025")</f>
        <v/>
      </c>
      <c r="Q1328">
        <f>_xlfn.NUMBERVALUE("0.000002")</f>
        <v/>
      </c>
      <c r="R1328">
        <f>_xlfn.NUMBERVALUE("0.005548")</f>
        <v/>
      </c>
      <c r="S1328">
        <f>_xlfn.NUMBERVALUE("0.000871")</f>
        <v/>
      </c>
      <c r="T1328">
        <f>_xlfn.NUMBERVALUE("0.000154")</f>
        <v/>
      </c>
      <c r="U1328">
        <f>_xlfn.NUMBERVALUE("0.000007")</f>
        <v/>
      </c>
      <c r="V1328">
        <f>_xlfn.NUMBERVALUE("0.000143")</f>
        <v/>
      </c>
      <c r="W1328">
        <f>_xlfn.NUMBERVALUE("0.018048")</f>
        <v/>
      </c>
      <c r="X1328">
        <f>_xlfn.NUMBERVALUE("-3.350000")</f>
        <v/>
      </c>
      <c r="Y1328">
        <f>_xlfn.NUMBERVALUE("43.350000")</f>
        <v/>
      </c>
    </row>
    <row r="1329">
      <c r="A1329" s="1" t="n">
        <v>43930</v>
      </c>
      <c r="B1329">
        <f>_xlfn.NUMBERVALUE("0.003371")</f>
        <v/>
      </c>
      <c r="C1329" s="2">
        <f>_xlfn.NUMBERVALUE("-0.000206")</f>
        <v/>
      </c>
      <c r="D1329">
        <f>_xlfn.NUMBERVALUE("0.001199")</f>
        <v/>
      </c>
      <c r="E1329">
        <f>_xlfn.NUMBERVALUE("-0.002877")</f>
        <v/>
      </c>
      <c r="F1329">
        <f>_xlfn.NUMBERVALUE("0.004512")</f>
        <v/>
      </c>
      <c r="G1329">
        <f>_xlfn.NUMBERVALUE("-0.014798")</f>
        <v/>
      </c>
      <c r="H1329">
        <f>_xlfn.NUMBERVALUE("-0.007719")</f>
        <v/>
      </c>
      <c r="I1329">
        <f>_xlfn.NUMBERVALUE("-0.008944")</f>
        <v/>
      </c>
      <c r="J1329">
        <f>_xlfn.NUMBERVALUE("-0.007943")</f>
        <v/>
      </c>
      <c r="K1329">
        <f>_xlfn.NUMBERVALUE("-0.005084")</f>
        <v/>
      </c>
      <c r="L1329">
        <f>_xlfn.NUMBERVALUE("0.003145")</f>
        <v/>
      </c>
      <c r="M1329">
        <f>_xlfn.NUMBERVALUE("-0.010735")</f>
        <v/>
      </c>
      <c r="N1329">
        <f>_xlfn.NUMBERVALUE("0.003435")</f>
        <v/>
      </c>
      <c r="O1329">
        <f>_xlfn.NUMBERVALUE("0.003956")</f>
        <v/>
      </c>
      <c r="P1329">
        <f>_xlfn.NUMBERVALUE("-0.020616")</f>
        <v/>
      </c>
      <c r="Q1329">
        <f>_xlfn.NUMBERVALUE("-0.002525")</f>
        <v/>
      </c>
      <c r="R1329">
        <f>_xlfn.NUMBERVALUE("0.002243")</f>
        <v/>
      </c>
      <c r="S1329">
        <f>_xlfn.NUMBERVALUE("-0.006539")</f>
        <v/>
      </c>
      <c r="T1329">
        <f>_xlfn.NUMBERVALUE("-0.014799")</f>
        <v/>
      </c>
      <c r="U1329">
        <f>_xlfn.NUMBERVALUE("-0.013760")</f>
        <v/>
      </c>
      <c r="V1329">
        <f>_xlfn.NUMBERVALUE("-0.000305")</f>
        <v/>
      </c>
      <c r="W1329">
        <f>_xlfn.NUMBERVALUE("0.020475")</f>
        <v/>
      </c>
      <c r="X1329">
        <f>_xlfn.NUMBERVALUE("-1.680000")</f>
        <v/>
      </c>
      <c r="Y1329">
        <f>_xlfn.NUMBERVALUE("41.670000")</f>
        <v/>
      </c>
    </row>
    <row r="1330">
      <c r="A1330" s="1" t="n">
        <v>43934</v>
      </c>
      <c r="B1330">
        <f>_xlfn.NUMBERVALUE("-0.048277")</f>
        <v/>
      </c>
      <c r="C1330" s="2">
        <f>_xlfn.NUMBERVALUE("0.007985")</f>
        <v/>
      </c>
      <c r="D1330">
        <f>_xlfn.NUMBERVALUE("0.006020")</f>
        <v/>
      </c>
      <c r="E1330">
        <f>_xlfn.NUMBERVALUE("0.003656")</f>
        <v/>
      </c>
      <c r="F1330">
        <f>_xlfn.NUMBERVALUE("-0.002783")</f>
        <v/>
      </c>
      <c r="G1330">
        <f>_xlfn.NUMBERVALUE("0.002477")</f>
        <v/>
      </c>
      <c r="H1330">
        <f>_xlfn.NUMBERVALUE("0.029306")</f>
        <v/>
      </c>
      <c r="I1330">
        <f>_xlfn.NUMBERVALUE("0.009279")</f>
        <v/>
      </c>
      <c r="J1330">
        <f>_xlfn.NUMBERVALUE("-0.000713")</f>
        <v/>
      </c>
      <c r="K1330">
        <f>_xlfn.NUMBERVALUE("-0.001693")</f>
        <v/>
      </c>
      <c r="L1330">
        <f>_xlfn.NUMBERVALUE("0.001355")</f>
        <v/>
      </c>
      <c r="M1330">
        <f>_xlfn.NUMBERVALUE("-0.001149")</f>
        <v/>
      </c>
      <c r="N1330">
        <f>_xlfn.NUMBERVALUE("0.004437")</f>
        <v/>
      </c>
      <c r="O1330">
        <f>_xlfn.NUMBERVALUE("0.019545")</f>
        <v/>
      </c>
      <c r="P1330">
        <f>_xlfn.NUMBERVALUE("-0.000462")</f>
        <v/>
      </c>
      <c r="Q1330">
        <f>_xlfn.NUMBERVALUE("0.004195")</f>
        <v/>
      </c>
      <c r="R1330">
        <f>_xlfn.NUMBERVALUE("0.007444")</f>
        <v/>
      </c>
      <c r="S1330">
        <f>_xlfn.NUMBERVALUE("0.008701")</f>
        <v/>
      </c>
      <c r="T1330">
        <f>_xlfn.NUMBERVALUE("0.004306")</f>
        <v/>
      </c>
      <c r="U1330">
        <f>_xlfn.NUMBERVALUE("0.008152")</f>
        <v/>
      </c>
      <c r="V1330">
        <f>_xlfn.NUMBERVALUE("0.005889")</f>
        <v/>
      </c>
      <c r="W1330">
        <f>_xlfn.NUMBERVALUE("-0.010875")</f>
        <v/>
      </c>
      <c r="X1330">
        <f>_xlfn.NUMBERVALUE("-0.500000")</f>
        <v/>
      </c>
      <c r="Y1330">
        <f>_xlfn.NUMBERVALUE("41.170000")</f>
        <v/>
      </c>
    </row>
    <row r="1331">
      <c r="A1331" s="1" t="n">
        <v>43935</v>
      </c>
      <c r="B1331">
        <f>_xlfn.NUMBERVALUE("-0.005178")</f>
        <v/>
      </c>
      <c r="C1331" s="2">
        <f>_xlfn.NUMBERVALUE("0.004808")</f>
        <v/>
      </c>
      <c r="D1331">
        <f>_xlfn.NUMBERVALUE("0.002286")</f>
        <v/>
      </c>
      <c r="E1331">
        <f>_xlfn.NUMBERVALUE("0.002510")</f>
        <v/>
      </c>
      <c r="F1331">
        <f>_xlfn.NUMBERVALUE("-0.001469")</f>
        <v/>
      </c>
      <c r="G1331">
        <f>_xlfn.NUMBERVALUE("-0.003640")</f>
        <v/>
      </c>
      <c r="H1331">
        <f>_xlfn.NUMBERVALUE("-0.002181")</f>
        <v/>
      </c>
      <c r="I1331">
        <f>_xlfn.NUMBERVALUE("0.005980")</f>
        <v/>
      </c>
      <c r="J1331">
        <f>_xlfn.NUMBERVALUE("-0.001108")</f>
        <v/>
      </c>
      <c r="K1331">
        <f>_xlfn.NUMBERVALUE("0.008214")</f>
        <v/>
      </c>
      <c r="L1331">
        <f>_xlfn.NUMBERVALUE("0.003142")</f>
        <v/>
      </c>
      <c r="M1331">
        <f>_xlfn.NUMBERVALUE("0.005803")</f>
        <v/>
      </c>
      <c r="N1331">
        <f>_xlfn.NUMBERVALUE("-0.002715")</f>
        <v/>
      </c>
      <c r="O1331">
        <f>_xlfn.NUMBERVALUE("0.007957")</f>
        <v/>
      </c>
      <c r="P1331">
        <f>_xlfn.NUMBERVALUE("0.018804")</f>
        <v/>
      </c>
      <c r="Q1331">
        <f>_xlfn.NUMBERVALUE("0.006198")</f>
        <v/>
      </c>
      <c r="R1331">
        <f>_xlfn.NUMBERVALUE("-0.004732")</f>
        <v/>
      </c>
      <c r="S1331">
        <f>_xlfn.NUMBERVALUE("-0.008840")</f>
        <v/>
      </c>
      <c r="T1331">
        <f>_xlfn.NUMBERVALUE("-0.000714")</f>
        <v/>
      </c>
      <c r="U1331">
        <f>_xlfn.NUMBERVALUE("-0.002232")</f>
        <v/>
      </c>
      <c r="V1331">
        <f>_xlfn.NUMBERVALUE("-0.000426")</f>
        <v/>
      </c>
      <c r="W1331">
        <f>_xlfn.NUMBERVALUE("0.030409")</f>
        <v/>
      </c>
      <c r="X1331">
        <f>_xlfn.NUMBERVALUE("-3.410000")</f>
        <v/>
      </c>
      <c r="Y1331">
        <f>_xlfn.NUMBERVALUE("37.760000")</f>
        <v/>
      </c>
    </row>
    <row r="1332">
      <c r="A1332" s="1" t="n">
        <v>43936</v>
      </c>
      <c r="B1332">
        <f>_xlfn.NUMBERVALUE("0.017270")</f>
        <v/>
      </c>
      <c r="C1332" s="2">
        <f>_xlfn.NUMBERVALUE("-0.000507")</f>
        <v/>
      </c>
      <c r="D1332">
        <f>_xlfn.NUMBERVALUE("-0.000731")</f>
        <v/>
      </c>
      <c r="E1332">
        <f>_xlfn.NUMBERVALUE("-0.003585")</f>
        <v/>
      </c>
      <c r="F1332">
        <f>_xlfn.NUMBERVALUE("0.002563")</f>
        <v/>
      </c>
      <c r="G1332">
        <f>_xlfn.NUMBERVALUE("0.000330")</f>
        <v/>
      </c>
      <c r="H1332">
        <f>_xlfn.NUMBERVALUE("-0.014969")</f>
        <v/>
      </c>
      <c r="I1332">
        <f>_xlfn.NUMBERVALUE("-0.007212")</f>
        <v/>
      </c>
      <c r="J1332">
        <f>_xlfn.NUMBERVALUE("0.000678")</f>
        <v/>
      </c>
      <c r="K1332">
        <f>_xlfn.NUMBERVALUE("0.007047")</f>
        <v/>
      </c>
      <c r="L1332">
        <f>_xlfn.NUMBERVALUE("-0.009410")</f>
        <v/>
      </c>
      <c r="M1332">
        <f>_xlfn.NUMBERVALUE("-0.004307")</f>
        <v/>
      </c>
      <c r="N1332">
        <f>_xlfn.NUMBERVALUE("0.000265")</f>
        <v/>
      </c>
      <c r="O1332">
        <f>_xlfn.NUMBERVALUE("-0.006441")</f>
        <v/>
      </c>
      <c r="P1332">
        <f>_xlfn.NUMBERVALUE("-0.005557")</f>
        <v/>
      </c>
      <c r="Q1332">
        <f>_xlfn.NUMBERVALUE("0.000778")</f>
        <v/>
      </c>
      <c r="R1332">
        <f>_xlfn.NUMBERVALUE("-0.003030")</f>
        <v/>
      </c>
      <c r="S1332">
        <f>_xlfn.NUMBERVALUE("0.000060")</f>
        <v/>
      </c>
      <c r="T1332">
        <f>_xlfn.NUMBERVALUE("0.002711")</f>
        <v/>
      </c>
      <c r="U1332">
        <f>_xlfn.NUMBERVALUE("0.000106")</f>
        <v/>
      </c>
      <c r="V1332">
        <f>_xlfn.NUMBERVALUE("-0.000394")</f>
        <v/>
      </c>
      <c r="W1332">
        <f>_xlfn.NUMBERVALUE("-0.020179")</f>
        <v/>
      </c>
      <c r="X1332">
        <f>_xlfn.NUMBERVALUE("3.080000")</f>
        <v/>
      </c>
      <c r="Y1332">
        <f>_xlfn.NUMBERVALUE("40.840000")</f>
        <v/>
      </c>
    </row>
    <row r="1333">
      <c r="A1333" s="1" t="n">
        <v>43937</v>
      </c>
      <c r="B1333">
        <f>_xlfn.NUMBERVALUE("0.025949")</f>
        <v/>
      </c>
      <c r="C1333" s="2">
        <f>_xlfn.NUMBERVALUE("-0.000024")</f>
        <v/>
      </c>
      <c r="D1333">
        <f>_xlfn.NUMBERVALUE("0.000186")</f>
        <v/>
      </c>
      <c r="E1333">
        <f>_xlfn.NUMBERVALUE("0.001899")</f>
        <v/>
      </c>
      <c r="F1333">
        <f>_xlfn.NUMBERVALUE("0.000217")</f>
        <v/>
      </c>
      <c r="G1333">
        <f>_xlfn.NUMBERVALUE("0.005794")</f>
        <v/>
      </c>
      <c r="H1333">
        <f>_xlfn.NUMBERVALUE("0.005652")</f>
        <v/>
      </c>
      <c r="I1333">
        <f>_xlfn.NUMBERVALUE("0.001590")</f>
        <v/>
      </c>
      <c r="J1333">
        <f>_xlfn.NUMBERVALUE("0.002741")</f>
        <v/>
      </c>
      <c r="K1333">
        <f>_xlfn.NUMBERVALUE("0.004875")</f>
        <v/>
      </c>
      <c r="L1333">
        <f>_xlfn.NUMBERVALUE("0.000417")</f>
        <v/>
      </c>
      <c r="M1333">
        <f>_xlfn.NUMBERVALUE("0.000892")</f>
        <v/>
      </c>
      <c r="N1333">
        <f>_xlfn.NUMBERVALUE("-0.000237")</f>
        <v/>
      </c>
      <c r="O1333">
        <f>_xlfn.NUMBERVALUE("0.000477")</f>
        <v/>
      </c>
      <c r="P1333">
        <f>_xlfn.NUMBERVALUE("-0.000177")</f>
        <v/>
      </c>
      <c r="Q1333">
        <f>_xlfn.NUMBERVALUE("0.002674")</f>
        <v/>
      </c>
      <c r="R1333">
        <f>_xlfn.NUMBERVALUE("0.001246")</f>
        <v/>
      </c>
      <c r="S1333">
        <f>_xlfn.NUMBERVALUE("-0.002374")</f>
        <v/>
      </c>
      <c r="T1333">
        <f>_xlfn.NUMBERVALUE("0.001329")</f>
        <v/>
      </c>
      <c r="U1333">
        <f>_xlfn.NUMBERVALUE("-0.002462")</f>
        <v/>
      </c>
      <c r="V1333">
        <f>_xlfn.NUMBERVALUE("0.000855")</f>
        <v/>
      </c>
      <c r="W1333">
        <f>_xlfn.NUMBERVALUE("0.002049")</f>
        <v/>
      </c>
      <c r="X1333">
        <f>_xlfn.NUMBERVALUE("-0.730000")</f>
        <v/>
      </c>
      <c r="Y1333">
        <f>_xlfn.NUMBERVALUE("40.110000")</f>
        <v/>
      </c>
    </row>
    <row r="1334">
      <c r="A1334" s="1" t="n">
        <v>43938</v>
      </c>
      <c r="B1334">
        <f>_xlfn.NUMBERVALUE("0.000000")</f>
        <v/>
      </c>
      <c r="C1334" s="2">
        <f>_xlfn.NUMBERVALUE("0.000392")</f>
        <v/>
      </c>
      <c r="D1334">
        <f>_xlfn.NUMBERVALUE("0.003386")</f>
        <v/>
      </c>
      <c r="E1334">
        <f>_xlfn.NUMBERVALUE("0.001308")</f>
        <v/>
      </c>
      <c r="F1334">
        <f>_xlfn.NUMBERVALUE("0.002749")</f>
        <v/>
      </c>
      <c r="G1334">
        <f>_xlfn.NUMBERVALUE("0.002804")</f>
        <v/>
      </c>
      <c r="H1334">
        <f>_xlfn.NUMBERVALUE("-0.009558")</f>
        <v/>
      </c>
      <c r="I1334">
        <f>_xlfn.NUMBERVALUE("-0.002220")</f>
        <v/>
      </c>
      <c r="J1334">
        <f>_xlfn.NUMBERVALUE("0.000403")</f>
        <v/>
      </c>
      <c r="K1334">
        <f>_xlfn.NUMBERVALUE("0.005310")</f>
        <v/>
      </c>
      <c r="L1334">
        <f>_xlfn.NUMBERVALUE("-0.003713")</f>
        <v/>
      </c>
      <c r="M1334">
        <f>_xlfn.NUMBERVALUE("-0.001984")</f>
        <v/>
      </c>
      <c r="N1334">
        <f>_xlfn.NUMBERVALUE("0.000320")</f>
        <v/>
      </c>
      <c r="O1334">
        <f>_xlfn.NUMBERVALUE("-0.018067")</f>
        <v/>
      </c>
      <c r="P1334">
        <f>_xlfn.NUMBERVALUE("-0.011028")</f>
        <v/>
      </c>
      <c r="Q1334">
        <f>_xlfn.NUMBERVALUE("-0.006793")</f>
        <v/>
      </c>
      <c r="R1334">
        <f>_xlfn.NUMBERVALUE("0.001907")</f>
        <v/>
      </c>
      <c r="S1334">
        <f>_xlfn.NUMBERVALUE("0.001531")</f>
        <v/>
      </c>
      <c r="T1334">
        <f>_xlfn.NUMBERVALUE("-0.000252")</f>
        <v/>
      </c>
      <c r="U1334">
        <f>_xlfn.NUMBERVALUE("0.001416")</f>
        <v/>
      </c>
      <c r="V1334">
        <f>_xlfn.NUMBERVALUE("0.000146")</f>
        <v/>
      </c>
      <c r="W1334">
        <f>_xlfn.NUMBERVALUE("0.024785")</f>
        <v/>
      </c>
      <c r="X1334">
        <f>_xlfn.NUMBERVALUE("-1.960000")</f>
        <v/>
      </c>
      <c r="Y1334">
        <f>_xlfn.NUMBERVALUE("38.150000")</f>
        <v/>
      </c>
    </row>
    <row r="1335">
      <c r="A1335" s="1" t="n">
        <v>43941</v>
      </c>
      <c r="B1335">
        <f>_xlfn.NUMBERVALUE("0.000000")</f>
        <v/>
      </c>
      <c r="C1335" s="2">
        <f>_xlfn.NUMBERVALUE("0.001362")</f>
        <v/>
      </c>
      <c r="D1335">
        <f>_xlfn.NUMBERVALUE("-0.000379")</f>
        <v/>
      </c>
      <c r="E1335">
        <f>_xlfn.NUMBERVALUE("0.001085")</f>
        <v/>
      </c>
      <c r="F1335">
        <f>_xlfn.NUMBERVALUE("-0.000425")</f>
        <v/>
      </c>
      <c r="G1335">
        <f>_xlfn.NUMBERVALUE("-0.000681")</f>
        <v/>
      </c>
      <c r="H1335">
        <f>_xlfn.NUMBERVALUE("0.004747")</f>
        <v/>
      </c>
      <c r="I1335">
        <f>_xlfn.NUMBERVALUE("-0.000165")</f>
        <v/>
      </c>
      <c r="J1335">
        <f>_xlfn.NUMBERVALUE("0.000172")</f>
        <v/>
      </c>
      <c r="K1335">
        <f>_xlfn.NUMBERVALUE("-0.000668")</f>
        <v/>
      </c>
      <c r="L1335">
        <f>_xlfn.NUMBERVALUE("0.004209")</f>
        <v/>
      </c>
      <c r="M1335">
        <f>_xlfn.NUMBERVALUE("-0.001029")</f>
        <v/>
      </c>
      <c r="N1335">
        <f>_xlfn.NUMBERVALUE("0.000952")</f>
        <v/>
      </c>
      <c r="O1335">
        <f>_xlfn.NUMBERVALUE("-0.007948")</f>
        <v/>
      </c>
      <c r="P1335">
        <f>_xlfn.NUMBERVALUE("0.000285")</f>
        <v/>
      </c>
      <c r="Q1335">
        <f>_xlfn.NUMBERVALUE("0.000326")</f>
        <v/>
      </c>
      <c r="R1335">
        <f>_xlfn.NUMBERVALUE("-0.002227")</f>
        <v/>
      </c>
      <c r="S1335">
        <f>_xlfn.NUMBERVALUE("0.002188")</f>
        <v/>
      </c>
      <c r="T1335">
        <f>_xlfn.NUMBERVALUE("0.002894")</f>
        <v/>
      </c>
      <c r="U1335">
        <f>_xlfn.NUMBERVALUE("0.002776")</f>
        <v/>
      </c>
      <c r="V1335">
        <f>_xlfn.NUMBERVALUE("-0.000359")</f>
        <v/>
      </c>
      <c r="W1335">
        <f>_xlfn.NUMBERVALUE("-0.012215")</f>
        <v/>
      </c>
      <c r="X1335">
        <f>_xlfn.NUMBERVALUE("5.680000")</f>
        <v/>
      </c>
      <c r="Y1335">
        <f>_xlfn.NUMBERVALUE("43.830000")</f>
        <v/>
      </c>
    </row>
    <row r="1336">
      <c r="A1336" s="1" t="n">
        <v>43942</v>
      </c>
      <c r="B1336">
        <f>_xlfn.NUMBERVALUE("0.000000")</f>
        <v/>
      </c>
      <c r="C1336" s="2">
        <f>_xlfn.NUMBERVALUE("0.000535")</f>
        <v/>
      </c>
      <c r="D1336">
        <f>_xlfn.NUMBERVALUE("-0.002260")</f>
        <v/>
      </c>
      <c r="E1336">
        <f>_xlfn.NUMBERVALUE("-0.000466")</f>
        <v/>
      </c>
      <c r="F1336">
        <f>_xlfn.NUMBERVALUE("-0.003210")</f>
        <v/>
      </c>
      <c r="G1336">
        <f>_xlfn.NUMBERVALUE("-0.000555")</f>
        <v/>
      </c>
      <c r="H1336">
        <f>_xlfn.NUMBERVALUE("0.017247")</f>
        <v/>
      </c>
      <c r="I1336">
        <f>_xlfn.NUMBERVALUE("0.006616")</f>
        <v/>
      </c>
      <c r="J1336">
        <f>_xlfn.NUMBERVALUE("-0.000127")</f>
        <v/>
      </c>
      <c r="K1336">
        <f>_xlfn.NUMBERVALUE("-0.013636")</f>
        <v/>
      </c>
      <c r="L1336">
        <f>_xlfn.NUMBERVALUE("-0.000775")</f>
        <v/>
      </c>
      <c r="M1336">
        <f>_xlfn.NUMBERVALUE("-0.002766")</f>
        <v/>
      </c>
      <c r="N1336">
        <f>_xlfn.NUMBERVALUE("-0.011595")</f>
        <v/>
      </c>
      <c r="O1336">
        <f>_xlfn.NUMBERVALUE("-0.002518")</f>
        <v/>
      </c>
      <c r="P1336">
        <f>_xlfn.NUMBERVALUE("0.002206")</f>
        <v/>
      </c>
      <c r="Q1336">
        <f>_xlfn.NUMBERVALUE("-0.001248")</f>
        <v/>
      </c>
      <c r="R1336">
        <f>_xlfn.NUMBERVALUE("-0.000458")</f>
        <v/>
      </c>
      <c r="S1336">
        <f>_xlfn.NUMBERVALUE("0.001237")</f>
        <v/>
      </c>
      <c r="T1336">
        <f>_xlfn.NUMBERVALUE("-0.000289")</f>
        <v/>
      </c>
      <c r="U1336">
        <f>_xlfn.NUMBERVALUE("-0.003483")</f>
        <v/>
      </c>
      <c r="V1336">
        <f>_xlfn.NUMBERVALUE("0.002177")</f>
        <v/>
      </c>
      <c r="W1336">
        <f>_xlfn.NUMBERVALUE("-0.029268")</f>
        <v/>
      </c>
      <c r="X1336">
        <f>_xlfn.NUMBERVALUE("1.580000")</f>
        <v/>
      </c>
      <c r="Y1336">
        <f>_xlfn.NUMBERVALUE("45.410000")</f>
        <v/>
      </c>
    </row>
    <row r="1337">
      <c r="A1337" s="1" t="n">
        <v>43943</v>
      </c>
      <c r="B1337">
        <f>_xlfn.NUMBERVALUE("0.000000")</f>
        <v/>
      </c>
      <c r="C1337" s="2">
        <f>_xlfn.NUMBERVALUE("0.003204")</f>
        <v/>
      </c>
      <c r="D1337">
        <f>_xlfn.NUMBERVALUE("0.000998")</f>
        <v/>
      </c>
      <c r="E1337">
        <f>_xlfn.NUMBERVALUE("0.001872")</f>
        <v/>
      </c>
      <c r="F1337">
        <f>_xlfn.NUMBERVALUE("0.000845")</f>
        <v/>
      </c>
      <c r="G1337">
        <f>_xlfn.NUMBERVALUE("0.004049")</f>
        <v/>
      </c>
      <c r="H1337">
        <f>_xlfn.NUMBERVALUE("-0.013119")</f>
        <v/>
      </c>
      <c r="I1337">
        <f>_xlfn.NUMBERVALUE("0.007546")</f>
        <v/>
      </c>
      <c r="J1337">
        <f>_xlfn.NUMBERVALUE("0.000243")</f>
        <v/>
      </c>
      <c r="K1337">
        <f>_xlfn.NUMBERVALUE("0.004002")</f>
        <v/>
      </c>
      <c r="L1337">
        <f>_xlfn.NUMBERVALUE("0.002060")</f>
        <v/>
      </c>
      <c r="M1337">
        <f>_xlfn.NUMBERVALUE("0.006400")</f>
        <v/>
      </c>
      <c r="N1337">
        <f>_xlfn.NUMBERVALUE("0.006870")</f>
        <v/>
      </c>
      <c r="O1337">
        <f>_xlfn.NUMBERVALUE("0.015299")</f>
        <v/>
      </c>
      <c r="P1337">
        <f>_xlfn.NUMBERVALUE("0.010660")</f>
        <v/>
      </c>
      <c r="Q1337">
        <f>_xlfn.NUMBERVALUE("0.005741")</f>
        <v/>
      </c>
      <c r="R1337">
        <f>_xlfn.NUMBERVALUE("0.000178")</f>
        <v/>
      </c>
      <c r="S1337">
        <f>_xlfn.NUMBERVALUE("0.002906")</f>
        <v/>
      </c>
      <c r="T1337">
        <f>_xlfn.NUMBERVALUE("-0.000370")</f>
        <v/>
      </c>
      <c r="U1337">
        <f>_xlfn.NUMBERVALUE("0.003402")</f>
        <v/>
      </c>
      <c r="V1337">
        <f>_xlfn.NUMBERVALUE("0.001011")</f>
        <v/>
      </c>
      <c r="W1337">
        <f>_xlfn.NUMBERVALUE("0.022814")</f>
        <v/>
      </c>
      <c r="X1337">
        <f>_xlfn.NUMBERVALUE("-3.430000")</f>
        <v/>
      </c>
      <c r="Y1337">
        <f>_xlfn.NUMBERVALUE("41.980000")</f>
        <v/>
      </c>
    </row>
    <row r="1338">
      <c r="A1338" s="1" t="n">
        <v>43944</v>
      </c>
      <c r="B1338">
        <f>_xlfn.NUMBERVALUE("0.000000")</f>
        <v/>
      </c>
      <c r="C1338" s="2">
        <f>_xlfn.NUMBERVALUE("0.003270")</f>
        <v/>
      </c>
      <c r="D1338">
        <f>_xlfn.NUMBERVALUE("0.002261")</f>
        <v/>
      </c>
      <c r="E1338">
        <f>_xlfn.NUMBERVALUE("0.003810")</f>
        <v/>
      </c>
      <c r="F1338">
        <f>_xlfn.NUMBERVALUE("-0.003081")</f>
        <v/>
      </c>
      <c r="G1338">
        <f>_xlfn.NUMBERVALUE("0.002944")</f>
        <v/>
      </c>
      <c r="H1338">
        <f>_xlfn.NUMBERVALUE("0.014837")</f>
        <v/>
      </c>
      <c r="I1338">
        <f>_xlfn.NUMBERVALUE("0.000981")</f>
        <v/>
      </c>
      <c r="J1338">
        <f>_xlfn.NUMBERVALUE("0.000181")</f>
        <v/>
      </c>
      <c r="K1338">
        <f>_xlfn.NUMBERVALUE("-0.002254")</f>
        <v/>
      </c>
      <c r="L1338">
        <f>_xlfn.NUMBERVALUE("0.002351")</f>
        <v/>
      </c>
      <c r="M1338">
        <f>_xlfn.NUMBERVALUE("0.003339")</f>
        <v/>
      </c>
      <c r="N1338">
        <f>_xlfn.NUMBERVALUE("-0.001156")</f>
        <v/>
      </c>
      <c r="O1338">
        <f>_xlfn.NUMBERVALUE("0.003110")</f>
        <v/>
      </c>
      <c r="P1338">
        <f>_xlfn.NUMBERVALUE("0.011352")</f>
        <v/>
      </c>
      <c r="Q1338">
        <f>_xlfn.NUMBERVALUE("0.006392")</f>
        <v/>
      </c>
      <c r="R1338">
        <f>_xlfn.NUMBERVALUE("0.004615")</f>
        <v/>
      </c>
      <c r="S1338">
        <f>_xlfn.NUMBERVALUE("0.005604")</f>
        <v/>
      </c>
      <c r="T1338">
        <f>_xlfn.NUMBERVALUE("0.006788")</f>
        <v/>
      </c>
      <c r="U1338">
        <f>_xlfn.NUMBERVALUE("0.006188")</f>
        <v/>
      </c>
      <c r="V1338">
        <f>_xlfn.NUMBERVALUE("0.002327")</f>
        <v/>
      </c>
      <c r="W1338">
        <f>_xlfn.NUMBERVALUE("-0.000107")</f>
        <v/>
      </c>
      <c r="X1338">
        <f>_xlfn.NUMBERVALUE("-0.600000")</f>
        <v/>
      </c>
      <c r="Y1338">
        <f>_xlfn.NUMBERVALUE("41.380000")</f>
        <v/>
      </c>
    </row>
    <row r="1339">
      <c r="A1339" s="1" t="n">
        <v>43945</v>
      </c>
      <c r="B1339">
        <f>_xlfn.NUMBERVALUE("0.000000")</f>
        <v/>
      </c>
      <c r="C1339" s="2">
        <f>_xlfn.NUMBERVALUE("0.004347")</f>
        <v/>
      </c>
      <c r="D1339">
        <f>_xlfn.NUMBERVALUE("0.006129")</f>
        <v/>
      </c>
      <c r="E1339">
        <f>_xlfn.NUMBERVALUE("0.002263")</f>
        <v/>
      </c>
      <c r="F1339">
        <f>_xlfn.NUMBERVALUE("0.002420")</f>
        <v/>
      </c>
      <c r="G1339">
        <f>_xlfn.NUMBERVALUE("0.002095")</f>
        <v/>
      </c>
      <c r="H1339">
        <f>_xlfn.NUMBERVALUE("-0.007292")</f>
        <v/>
      </c>
      <c r="I1339">
        <f>_xlfn.NUMBERVALUE("0.003187")</f>
        <v/>
      </c>
      <c r="J1339">
        <f>_xlfn.NUMBERVALUE("0.000166")</f>
        <v/>
      </c>
      <c r="K1339">
        <f>_xlfn.NUMBERVALUE("0.010259")</f>
        <v/>
      </c>
      <c r="L1339">
        <f>_xlfn.NUMBERVALUE("0.002978")</f>
        <v/>
      </c>
      <c r="M1339">
        <f>_xlfn.NUMBERVALUE("0.005824")</f>
        <v/>
      </c>
      <c r="N1339">
        <f>_xlfn.NUMBERVALUE("0.006742")</f>
        <v/>
      </c>
      <c r="O1339">
        <f>_xlfn.NUMBERVALUE("0.009953")</f>
        <v/>
      </c>
      <c r="P1339">
        <f>_xlfn.NUMBERVALUE("0.009949")</f>
        <v/>
      </c>
      <c r="Q1339">
        <f>_xlfn.NUMBERVALUE("0.005828")</f>
        <v/>
      </c>
      <c r="R1339">
        <f>_xlfn.NUMBERVALUE("0.006334")</f>
        <v/>
      </c>
      <c r="S1339">
        <f>_xlfn.NUMBERVALUE("0.004685")</f>
        <v/>
      </c>
      <c r="T1339">
        <f>_xlfn.NUMBERVALUE("0.006230")</f>
        <v/>
      </c>
      <c r="U1339">
        <f>_xlfn.NUMBERVALUE("0.002787")</f>
        <v/>
      </c>
      <c r="V1339">
        <f>_xlfn.NUMBERVALUE("0.002914")</f>
        <v/>
      </c>
      <c r="W1339">
        <f>_xlfn.NUMBERVALUE("0.012099")</f>
        <v/>
      </c>
      <c r="X1339">
        <f>_xlfn.NUMBERVALUE("-5.450000")</f>
        <v/>
      </c>
      <c r="Y1339">
        <f>_xlfn.NUMBERVALUE("35.930000")</f>
        <v/>
      </c>
    </row>
    <row r="1340">
      <c r="A1340" s="1" t="n">
        <v>43948</v>
      </c>
      <c r="B1340">
        <f>_xlfn.NUMBERVALUE("0.000000")</f>
        <v/>
      </c>
      <c r="C1340" s="2">
        <f>_xlfn.NUMBERVALUE("0.002223")</f>
        <v/>
      </c>
      <c r="D1340">
        <f>_xlfn.NUMBERVALUE("0.002579")</f>
        <v/>
      </c>
      <c r="E1340">
        <f>_xlfn.NUMBERVALUE("0.002287")</f>
        <v/>
      </c>
      <c r="F1340">
        <f>_xlfn.NUMBERVALUE("0.003041")</f>
        <v/>
      </c>
      <c r="G1340">
        <f>_xlfn.NUMBERVALUE("0.002607")</f>
        <v/>
      </c>
      <c r="H1340">
        <f>_xlfn.NUMBERVALUE("0.000864")</f>
        <v/>
      </c>
      <c r="I1340">
        <f>_xlfn.NUMBERVALUE("-0.000334")</f>
        <v/>
      </c>
      <c r="J1340">
        <f>_xlfn.NUMBERVALUE("0.000134")</f>
        <v/>
      </c>
      <c r="K1340">
        <f>_xlfn.NUMBERVALUE("0.005229")</f>
        <v/>
      </c>
      <c r="L1340">
        <f>_xlfn.NUMBERVALUE("0.000224")</f>
        <v/>
      </c>
      <c r="M1340">
        <f>_xlfn.NUMBERVALUE("0.003851")</f>
        <v/>
      </c>
      <c r="N1340">
        <f>_xlfn.NUMBERVALUE("0.005064")</f>
        <v/>
      </c>
      <c r="O1340">
        <f>_xlfn.NUMBERVALUE("0.008553")</f>
        <v/>
      </c>
      <c r="P1340">
        <f>_xlfn.NUMBERVALUE("0.000957")</f>
        <v/>
      </c>
      <c r="Q1340">
        <f>_xlfn.NUMBERVALUE("0.005164")</f>
        <v/>
      </c>
      <c r="R1340">
        <f>_xlfn.NUMBERVALUE("0.004490")</f>
        <v/>
      </c>
      <c r="S1340">
        <f>_xlfn.NUMBERVALUE("0.006730")</f>
        <v/>
      </c>
      <c r="T1340">
        <f>_xlfn.NUMBERVALUE("0.007182")</f>
        <v/>
      </c>
      <c r="U1340">
        <f>_xlfn.NUMBERVALUE("0.003978")</f>
        <v/>
      </c>
      <c r="V1340">
        <f>_xlfn.NUMBERVALUE("0.000556")</f>
        <v/>
      </c>
      <c r="W1340">
        <f>_xlfn.NUMBERVALUE("0.015904")</f>
        <v/>
      </c>
      <c r="X1340">
        <f>_xlfn.NUMBERVALUE("-2.640000")</f>
        <v/>
      </c>
      <c r="Y1340">
        <f>_xlfn.NUMBERVALUE("33.290000")</f>
        <v/>
      </c>
    </row>
    <row r="1341">
      <c r="A1341" s="1" t="n">
        <v>43949</v>
      </c>
      <c r="B1341">
        <f>_xlfn.NUMBERVALUE("0.000000")</f>
        <v/>
      </c>
      <c r="C1341" s="2">
        <f>_xlfn.NUMBERVALUE("0.001003")</f>
        <v/>
      </c>
      <c r="D1341">
        <f>_xlfn.NUMBERVALUE("0.000046")</f>
        <v/>
      </c>
      <c r="E1341">
        <f>_xlfn.NUMBERVALUE("0.000460")</f>
        <v/>
      </c>
      <c r="F1341">
        <f>_xlfn.NUMBERVALUE("0.002445")</f>
        <v/>
      </c>
      <c r="G1341">
        <f>_xlfn.NUMBERVALUE("0.000790")</f>
        <v/>
      </c>
      <c r="H1341">
        <f>_xlfn.NUMBERVALUE("-0.014016")</f>
        <v/>
      </c>
      <c r="I1341">
        <f>_xlfn.NUMBERVALUE("-0.000124")</f>
        <v/>
      </c>
      <c r="J1341">
        <f>_xlfn.NUMBERVALUE("0.000437")</f>
        <v/>
      </c>
      <c r="K1341">
        <f>_xlfn.NUMBERVALUE("0.004523")</f>
        <v/>
      </c>
      <c r="L1341">
        <f>_xlfn.NUMBERVALUE("0.001131")</f>
        <v/>
      </c>
      <c r="M1341">
        <f>_xlfn.NUMBERVALUE("-0.000773")</f>
        <v/>
      </c>
      <c r="N1341">
        <f>_xlfn.NUMBERVALUE("-0.000373")</f>
        <v/>
      </c>
      <c r="O1341">
        <f>_xlfn.NUMBERVALUE("0.005556")</f>
        <v/>
      </c>
      <c r="P1341">
        <f>_xlfn.NUMBERVALUE("-0.003015")</f>
        <v/>
      </c>
      <c r="Q1341">
        <f>_xlfn.NUMBERVALUE("-0.003297")</f>
        <v/>
      </c>
      <c r="R1341">
        <f>_xlfn.NUMBERVALUE("-0.000550")</f>
        <v/>
      </c>
      <c r="S1341">
        <f>_xlfn.NUMBERVALUE("-0.000132")</f>
        <v/>
      </c>
      <c r="T1341">
        <f>_xlfn.NUMBERVALUE("0.004371")</f>
        <v/>
      </c>
      <c r="U1341">
        <f>_xlfn.NUMBERVALUE("0.000285")</f>
        <v/>
      </c>
      <c r="V1341">
        <f>_xlfn.NUMBERVALUE("0.000012")</f>
        <v/>
      </c>
      <c r="W1341">
        <f>_xlfn.NUMBERVALUE("-0.004443")</f>
        <v/>
      </c>
      <c r="X1341">
        <f>_xlfn.NUMBERVALUE("0.280000")</f>
        <v/>
      </c>
      <c r="Y1341">
        <f>_xlfn.NUMBERVALUE("33.570000")</f>
        <v/>
      </c>
    </row>
    <row r="1342">
      <c r="A1342" s="1" t="n">
        <v>43950</v>
      </c>
      <c r="B1342">
        <f>_xlfn.NUMBERVALUE("0.000000")</f>
        <v/>
      </c>
      <c r="C1342" s="2">
        <f>_xlfn.NUMBERVALUE("-0.001476")</f>
        <v/>
      </c>
      <c r="D1342">
        <f>_xlfn.NUMBERVALUE("0.000381")</f>
        <v/>
      </c>
      <c r="E1342">
        <f>_xlfn.NUMBERVALUE("-0.000380")</f>
        <v/>
      </c>
      <c r="F1342">
        <f>_xlfn.NUMBERVALUE("0.000142")</f>
        <v/>
      </c>
      <c r="G1342">
        <f>_xlfn.NUMBERVALUE("-0.000482")</f>
        <v/>
      </c>
      <c r="H1342">
        <f>_xlfn.NUMBERVALUE("0.002020")</f>
        <v/>
      </c>
      <c r="I1342">
        <f>_xlfn.NUMBERVALUE("-0.000032")</f>
        <v/>
      </c>
      <c r="J1342">
        <f>_xlfn.NUMBERVALUE("0.000402")</f>
        <v/>
      </c>
      <c r="K1342">
        <f>_xlfn.NUMBERVALUE("-0.003761")</f>
        <v/>
      </c>
      <c r="L1342">
        <f>_xlfn.NUMBERVALUE("0.001574")</f>
        <v/>
      </c>
      <c r="M1342">
        <f>_xlfn.NUMBERVALUE("-0.002529")</f>
        <v/>
      </c>
      <c r="N1342">
        <f>_xlfn.NUMBERVALUE("-0.016687")</f>
        <v/>
      </c>
      <c r="O1342">
        <f>_xlfn.NUMBERVALUE("-0.018170")</f>
        <v/>
      </c>
      <c r="P1342">
        <f>_xlfn.NUMBERVALUE("-0.003680")</f>
        <v/>
      </c>
      <c r="Q1342">
        <f>_xlfn.NUMBERVALUE("-0.000032")</f>
        <v/>
      </c>
      <c r="R1342">
        <f>_xlfn.NUMBERVALUE("-0.006222")</f>
        <v/>
      </c>
      <c r="S1342">
        <f>_xlfn.NUMBERVALUE("0.004082")</f>
        <v/>
      </c>
      <c r="T1342">
        <f>_xlfn.NUMBERVALUE("0.003706")</f>
        <v/>
      </c>
      <c r="U1342">
        <f>_xlfn.NUMBERVALUE("0.000637")</f>
        <v/>
      </c>
      <c r="V1342">
        <f>_xlfn.NUMBERVALUE("-0.000145")</f>
        <v/>
      </c>
      <c r="W1342">
        <f>_xlfn.NUMBERVALUE("0.026813")</f>
        <v/>
      </c>
      <c r="X1342">
        <f>_xlfn.NUMBERVALUE("-2.340000")</f>
        <v/>
      </c>
      <c r="Y1342">
        <f>_xlfn.NUMBERVALUE("31.230000")</f>
        <v/>
      </c>
    </row>
    <row r="1343">
      <c r="A1343" s="1" t="n">
        <v>43951</v>
      </c>
      <c r="B1343">
        <f>_xlfn.NUMBERVALUE("0.000000")</f>
        <v/>
      </c>
      <c r="C1343" s="2">
        <f>_xlfn.NUMBERVALUE("0.000104")</f>
        <v/>
      </c>
      <c r="D1343">
        <f>_xlfn.NUMBERVALUE("-0.003521")</f>
        <v/>
      </c>
      <c r="E1343">
        <f>_xlfn.NUMBERVALUE("-0.000373")</f>
        <v/>
      </c>
      <c r="F1343">
        <f>_xlfn.NUMBERVALUE("-0.001227")</f>
        <v/>
      </c>
      <c r="G1343">
        <f>_xlfn.NUMBERVALUE("-0.001187")</f>
        <v/>
      </c>
      <c r="H1343">
        <f>_xlfn.NUMBERVALUE("0.016178")</f>
        <v/>
      </c>
      <c r="I1343">
        <f>_xlfn.NUMBERVALUE("-0.000274")</f>
        <v/>
      </c>
      <c r="J1343">
        <f>_xlfn.NUMBERVALUE("0.000903")</f>
        <v/>
      </c>
      <c r="K1343">
        <f>_xlfn.NUMBERVALUE("0.002303")</f>
        <v/>
      </c>
      <c r="L1343">
        <f>_xlfn.NUMBERVALUE("0.001055")</f>
        <v/>
      </c>
      <c r="M1343">
        <f>_xlfn.NUMBERVALUE("-0.001607")</f>
        <v/>
      </c>
      <c r="N1343">
        <f>_xlfn.NUMBERVALUE("0.003188")</f>
        <v/>
      </c>
      <c r="O1343">
        <f>_xlfn.NUMBERVALUE("-0.004347")</f>
        <v/>
      </c>
      <c r="P1343">
        <f>_xlfn.NUMBERVALUE("-0.001802")</f>
        <v/>
      </c>
      <c r="Q1343">
        <f>_xlfn.NUMBERVALUE("-0.000001")</f>
        <v/>
      </c>
      <c r="R1343">
        <f>_xlfn.NUMBERVALUE("0.001617")</f>
        <v/>
      </c>
      <c r="S1343">
        <f>_xlfn.NUMBERVALUE("-0.001254")</f>
        <v/>
      </c>
      <c r="T1343">
        <f>_xlfn.NUMBERVALUE("-0.006625")</f>
        <v/>
      </c>
      <c r="U1343">
        <f>_xlfn.NUMBERVALUE("-0.000574")</f>
        <v/>
      </c>
      <c r="V1343">
        <f>_xlfn.NUMBERVALUE("-0.000039")</f>
        <v/>
      </c>
      <c r="W1343">
        <f>_xlfn.NUMBERVALUE("-0.015315")</f>
        <v/>
      </c>
      <c r="X1343">
        <f>_xlfn.NUMBERVALUE("2.920000")</f>
        <v/>
      </c>
      <c r="Y1343">
        <f>_xlfn.NUMBERVALUE("34.150000")</f>
        <v/>
      </c>
    </row>
    <row r="1344">
      <c r="A1344" s="1" t="n">
        <v>43952</v>
      </c>
      <c r="B1344">
        <f>_xlfn.NUMBERVALUE("0.000000")</f>
        <v/>
      </c>
      <c r="C1344" s="2">
        <f>_xlfn.NUMBERVALUE("-0.000238")</f>
        <v/>
      </c>
      <c r="D1344">
        <f>_xlfn.NUMBERVALUE("-0.001857")</f>
        <v/>
      </c>
      <c r="E1344">
        <f>_xlfn.NUMBERVALUE("-0.000639")</f>
        <v/>
      </c>
      <c r="F1344">
        <f>_xlfn.NUMBERVALUE("0.001347")</f>
        <v/>
      </c>
      <c r="G1344">
        <f>_xlfn.NUMBERVALUE("-0.002880")</f>
        <v/>
      </c>
      <c r="H1344">
        <f>_xlfn.NUMBERVALUE("-0.005624")</f>
        <v/>
      </c>
      <c r="I1344">
        <f>_xlfn.NUMBERVALUE("-0.000105")</f>
        <v/>
      </c>
      <c r="J1344">
        <f>_xlfn.NUMBERVALUE("-0.002587")</f>
        <v/>
      </c>
      <c r="K1344">
        <f>_xlfn.NUMBERVALUE("0.003176")</f>
        <v/>
      </c>
      <c r="L1344">
        <f>_xlfn.NUMBERVALUE("0.004099")</f>
        <v/>
      </c>
      <c r="M1344">
        <f>_xlfn.NUMBERVALUE("0.001211")</f>
        <v/>
      </c>
      <c r="N1344">
        <f>_xlfn.NUMBERVALUE("0.000129")</f>
        <v/>
      </c>
      <c r="O1344">
        <f>_xlfn.NUMBERVALUE("0.001543")</f>
        <v/>
      </c>
      <c r="P1344">
        <f>_xlfn.NUMBERVALUE("-0.009300")</f>
        <v/>
      </c>
      <c r="Q1344">
        <f>_xlfn.NUMBERVALUE("-0.003342")</f>
        <v/>
      </c>
      <c r="R1344">
        <f>_xlfn.NUMBERVALUE("0.001778")</f>
        <v/>
      </c>
      <c r="S1344">
        <f>_xlfn.NUMBERVALUE("0.000516")</f>
        <v/>
      </c>
      <c r="T1344">
        <f>_xlfn.NUMBERVALUE("-0.003245")</f>
        <v/>
      </c>
      <c r="U1344">
        <f>_xlfn.NUMBERVALUE("-0.001014")</f>
        <v/>
      </c>
      <c r="V1344">
        <f>_xlfn.NUMBERVALUE("0.000067")</f>
        <v/>
      </c>
      <c r="W1344">
        <f>_xlfn.NUMBERVALUE("-0.025657")</f>
        <v/>
      </c>
      <c r="X1344">
        <f>_xlfn.NUMBERVALUE("3.040000")</f>
        <v/>
      </c>
      <c r="Y1344">
        <f>_xlfn.NUMBERVALUE("37.190000")</f>
        <v/>
      </c>
    </row>
    <row r="1345">
      <c r="A1345" s="1" t="n">
        <v>43955</v>
      </c>
      <c r="B1345">
        <f>_xlfn.NUMBERVALUE("0.000000")</f>
        <v/>
      </c>
      <c r="C1345" s="2">
        <f>_xlfn.NUMBERVALUE("0.000397")</f>
        <v/>
      </c>
      <c r="D1345">
        <f>_xlfn.NUMBERVALUE("0.006380")</f>
        <v/>
      </c>
      <c r="E1345">
        <f>_xlfn.NUMBERVALUE("0.001844")</f>
        <v/>
      </c>
      <c r="F1345">
        <f>_xlfn.NUMBERVALUE("0.000935")</f>
        <v/>
      </c>
      <c r="G1345">
        <f>_xlfn.NUMBERVALUE("0.000165")</f>
        <v/>
      </c>
      <c r="H1345">
        <f>_xlfn.NUMBERVALUE("0.013133")</f>
        <v/>
      </c>
      <c r="I1345">
        <f>_xlfn.NUMBERVALUE("0.000189")</f>
        <v/>
      </c>
      <c r="J1345">
        <f>_xlfn.NUMBERVALUE("-0.000735")</f>
        <v/>
      </c>
      <c r="K1345">
        <f>_xlfn.NUMBERVALUE("0.012662")</f>
        <v/>
      </c>
      <c r="L1345">
        <f>_xlfn.NUMBERVALUE("0.002902")</f>
        <v/>
      </c>
      <c r="M1345">
        <f>_xlfn.NUMBERVALUE("0.005786")</f>
        <v/>
      </c>
      <c r="N1345">
        <f>_xlfn.NUMBERVALUE("0.004161")</f>
        <v/>
      </c>
      <c r="O1345">
        <f>_xlfn.NUMBERVALUE("0.004251")</f>
        <v/>
      </c>
      <c r="P1345">
        <f>_xlfn.NUMBERVALUE("0.008029")</f>
        <v/>
      </c>
      <c r="Q1345">
        <f>_xlfn.NUMBERVALUE("0.006166")</f>
        <v/>
      </c>
      <c r="R1345">
        <f>_xlfn.NUMBERVALUE("0.003814")</f>
        <v/>
      </c>
      <c r="S1345">
        <f>_xlfn.NUMBERVALUE("0.005371")</f>
        <v/>
      </c>
      <c r="T1345">
        <f>_xlfn.NUMBERVALUE("0.005227")</f>
        <v/>
      </c>
      <c r="U1345">
        <f>_xlfn.NUMBERVALUE("0.004239")</f>
        <v/>
      </c>
      <c r="V1345">
        <f>_xlfn.NUMBERVALUE("-0.000057")</f>
        <v/>
      </c>
      <c r="W1345">
        <f>_xlfn.NUMBERVALUE("0.004318")</f>
        <v/>
      </c>
      <c r="X1345">
        <f>_xlfn.NUMBERVALUE("-1.220000")</f>
        <v/>
      </c>
      <c r="Y1345">
        <f>_xlfn.NUMBERVALUE("35.970000")</f>
        <v/>
      </c>
    </row>
    <row r="1346">
      <c r="A1346" s="1" t="n">
        <v>43956</v>
      </c>
      <c r="B1346">
        <f>_xlfn.NUMBERVALUE("0.000000")</f>
        <v/>
      </c>
      <c r="C1346" s="2">
        <f>_xlfn.NUMBERVALUE("-0.000022")</f>
        <v/>
      </c>
      <c r="D1346">
        <f>_xlfn.NUMBERVALUE("0.000043")</f>
        <v/>
      </c>
      <c r="E1346">
        <f>_xlfn.NUMBERVALUE("0.000000")</f>
        <v/>
      </c>
      <c r="F1346">
        <f>_xlfn.NUMBERVALUE("-0.000001")</f>
        <v/>
      </c>
      <c r="G1346">
        <f>_xlfn.NUMBERVALUE("-0.000044")</f>
        <v/>
      </c>
      <c r="H1346">
        <f>_xlfn.NUMBERVALUE("0.005426")</f>
        <v/>
      </c>
      <c r="I1346">
        <f>_xlfn.NUMBERVALUE("-0.000090")</f>
        <v/>
      </c>
      <c r="J1346">
        <f>_xlfn.NUMBERVALUE("-0.000000")</f>
        <v/>
      </c>
      <c r="K1346">
        <f>_xlfn.NUMBERVALUE("0.000204")</f>
        <v/>
      </c>
      <c r="L1346">
        <f>_xlfn.NUMBERVALUE("0.002063")</f>
        <v/>
      </c>
      <c r="M1346">
        <f>_xlfn.NUMBERVALUE("0.004117")</f>
        <v/>
      </c>
      <c r="N1346">
        <f>_xlfn.NUMBERVALUE("0.007978")</f>
        <v/>
      </c>
      <c r="O1346">
        <f>_xlfn.NUMBERVALUE("0.003204")</f>
        <v/>
      </c>
      <c r="P1346">
        <f>_xlfn.NUMBERVALUE("0.006627")</f>
        <v/>
      </c>
      <c r="Q1346">
        <f>_xlfn.NUMBERVALUE("0.006439")</f>
        <v/>
      </c>
      <c r="R1346">
        <f>_xlfn.NUMBERVALUE("0.001410")</f>
        <v/>
      </c>
      <c r="S1346">
        <f>_xlfn.NUMBERVALUE("0.003318")</f>
        <v/>
      </c>
      <c r="T1346">
        <f>_xlfn.NUMBERVALUE("0.001780")</f>
        <v/>
      </c>
      <c r="U1346">
        <f>_xlfn.NUMBERVALUE("0.002068")</f>
        <v/>
      </c>
      <c r="V1346">
        <f>_xlfn.NUMBERVALUE("-0.000021")</f>
        <v/>
      </c>
      <c r="W1346">
        <f>_xlfn.NUMBERVALUE("0.003965")</f>
        <v/>
      </c>
      <c r="X1346">
        <f>_xlfn.NUMBERVALUE("-2.360000")</f>
        <v/>
      </c>
      <c r="Y1346">
        <f>_xlfn.NUMBERVALUE("33.610000")</f>
        <v/>
      </c>
    </row>
    <row r="1347">
      <c r="A1347" s="1" t="n">
        <v>43957</v>
      </c>
      <c r="B1347">
        <f>_xlfn.NUMBERVALUE("0.000000")</f>
        <v/>
      </c>
      <c r="C1347" s="2">
        <f>_xlfn.NUMBERVALUE("0.002883")</f>
        <v/>
      </c>
      <c r="D1347">
        <f>_xlfn.NUMBERVALUE("0.001887")</f>
        <v/>
      </c>
      <c r="E1347">
        <f>_xlfn.NUMBERVALUE("0.001730")</f>
        <v/>
      </c>
      <c r="F1347">
        <f>_xlfn.NUMBERVALUE("0.000527")</f>
        <v/>
      </c>
      <c r="G1347">
        <f>_xlfn.NUMBERVALUE("0.002461")</f>
        <v/>
      </c>
      <c r="H1347">
        <f>_xlfn.NUMBERVALUE("-0.000795")</f>
        <v/>
      </c>
      <c r="I1347">
        <f>_xlfn.NUMBERVALUE("-0.001108")</f>
        <v/>
      </c>
      <c r="J1347">
        <f>_xlfn.NUMBERVALUE("-0.000973")</f>
        <v/>
      </c>
      <c r="K1347">
        <f>_xlfn.NUMBERVALUE("0.002062")</f>
        <v/>
      </c>
      <c r="L1347">
        <f>_xlfn.NUMBERVALUE("-0.003093")</f>
        <v/>
      </c>
      <c r="M1347">
        <f>_xlfn.NUMBERVALUE("0.003345")</f>
        <v/>
      </c>
      <c r="N1347">
        <f>_xlfn.NUMBERVALUE("-0.001315")</f>
        <v/>
      </c>
      <c r="O1347">
        <f>_xlfn.NUMBERVALUE("0.011594")</f>
        <v/>
      </c>
      <c r="P1347">
        <f>_xlfn.NUMBERVALUE("-0.001753")</f>
        <v/>
      </c>
      <c r="Q1347">
        <f>_xlfn.NUMBERVALUE("0.002023")</f>
        <v/>
      </c>
      <c r="R1347">
        <f>_xlfn.NUMBERVALUE("0.000394")</f>
        <v/>
      </c>
      <c r="S1347">
        <f>_xlfn.NUMBERVALUE("0.000671")</f>
        <v/>
      </c>
      <c r="T1347">
        <f>_xlfn.NUMBERVALUE("-0.009483")</f>
        <v/>
      </c>
      <c r="U1347">
        <f>_xlfn.NUMBERVALUE("0.000306")</f>
        <v/>
      </c>
      <c r="V1347">
        <f>_xlfn.NUMBERVALUE("0.001764")</f>
        <v/>
      </c>
      <c r="W1347">
        <f>_xlfn.NUMBERVALUE("-0.004056")</f>
        <v/>
      </c>
      <c r="X1347">
        <f>_xlfn.NUMBERVALUE("0.510000")</f>
        <v/>
      </c>
      <c r="Y1347">
        <f>_xlfn.NUMBERVALUE("34.120000")</f>
        <v/>
      </c>
    </row>
    <row r="1348">
      <c r="A1348" s="1" t="n">
        <v>43958</v>
      </c>
      <c r="B1348">
        <f>_xlfn.NUMBERVALUE("0.000000")</f>
        <v/>
      </c>
      <c r="C1348" s="2">
        <f>_xlfn.NUMBERVALUE("0.003377")</f>
        <v/>
      </c>
      <c r="D1348">
        <f>_xlfn.NUMBERVALUE("0.003440")</f>
        <v/>
      </c>
      <c r="E1348">
        <f>_xlfn.NUMBERVALUE("0.002007")</f>
        <v/>
      </c>
      <c r="F1348">
        <f>_xlfn.NUMBERVALUE("-0.004071")</f>
        <v/>
      </c>
      <c r="G1348">
        <f>_xlfn.NUMBERVALUE("0.004358")</f>
        <v/>
      </c>
      <c r="H1348">
        <f>_xlfn.NUMBERVALUE("-0.011588")</f>
        <v/>
      </c>
      <c r="I1348">
        <f>_xlfn.NUMBERVALUE("0.001330")</f>
        <v/>
      </c>
      <c r="J1348">
        <f>_xlfn.NUMBERVALUE("0.000240")</f>
        <v/>
      </c>
      <c r="K1348">
        <f>_xlfn.NUMBERVALUE("-0.007601")</f>
        <v/>
      </c>
      <c r="L1348">
        <f>_xlfn.NUMBERVALUE("-0.001738")</f>
        <v/>
      </c>
      <c r="M1348">
        <f>_xlfn.NUMBERVALUE("-0.000243")</f>
        <v/>
      </c>
      <c r="N1348">
        <f>_xlfn.NUMBERVALUE("0.000857")</f>
        <v/>
      </c>
      <c r="O1348">
        <f>_xlfn.NUMBERVALUE("-0.000189")</f>
        <v/>
      </c>
      <c r="P1348">
        <f>_xlfn.NUMBERVALUE("0.004317")</f>
        <v/>
      </c>
      <c r="Q1348">
        <f>_xlfn.NUMBERVALUE("0.004897")</f>
        <v/>
      </c>
      <c r="R1348">
        <f>_xlfn.NUMBERVALUE("0.000315")</f>
        <v/>
      </c>
      <c r="S1348">
        <f>_xlfn.NUMBERVALUE("0.005744")</f>
        <v/>
      </c>
      <c r="T1348">
        <f>_xlfn.NUMBERVALUE("0.000437")</f>
        <v/>
      </c>
      <c r="U1348">
        <f>_xlfn.NUMBERVALUE("-0.000039")</f>
        <v/>
      </c>
      <c r="V1348">
        <f>_xlfn.NUMBERVALUE("0.001670")</f>
        <v/>
      </c>
      <c r="W1348">
        <f>_xlfn.NUMBERVALUE("0.009900")</f>
        <v/>
      </c>
      <c r="X1348">
        <f>_xlfn.NUMBERVALUE("-2.680000")</f>
        <v/>
      </c>
      <c r="Y1348">
        <f>_xlfn.NUMBERVALUE("31.440000")</f>
        <v/>
      </c>
    </row>
    <row r="1349">
      <c r="A1349" s="1" t="n">
        <v>43959</v>
      </c>
      <c r="B1349">
        <f>_xlfn.NUMBERVALUE("0.000000")</f>
        <v/>
      </c>
      <c r="C1349" s="2">
        <f>_xlfn.NUMBERVALUE("0.003085")</f>
        <v/>
      </c>
      <c r="D1349">
        <f>_xlfn.NUMBERVALUE("0.001782")</f>
        <v/>
      </c>
      <c r="E1349">
        <f>_xlfn.NUMBERVALUE("0.001287")</f>
        <v/>
      </c>
      <c r="F1349">
        <f>_xlfn.NUMBERVALUE("0.003355")</f>
        <v/>
      </c>
      <c r="G1349">
        <f>_xlfn.NUMBERVALUE("0.002579")</f>
        <v/>
      </c>
      <c r="H1349">
        <f>_xlfn.NUMBERVALUE("0.008135")</f>
        <v/>
      </c>
      <c r="I1349">
        <f>_xlfn.NUMBERVALUE("-0.003302")</f>
        <v/>
      </c>
      <c r="J1349">
        <f>_xlfn.NUMBERVALUE("0.000486")</f>
        <v/>
      </c>
      <c r="K1349">
        <f>_xlfn.NUMBERVALUE("0.001180")</f>
        <v/>
      </c>
      <c r="L1349">
        <f>_xlfn.NUMBERVALUE("0.000224")</f>
        <v/>
      </c>
      <c r="M1349">
        <f>_xlfn.NUMBERVALUE("-0.001831")</f>
        <v/>
      </c>
      <c r="N1349">
        <f>_xlfn.NUMBERVALUE("0.000704")</f>
        <v/>
      </c>
      <c r="O1349">
        <f>_xlfn.NUMBERVALUE("-0.002273")</f>
        <v/>
      </c>
      <c r="P1349">
        <f>_xlfn.NUMBERVALUE("0.003551")</f>
        <v/>
      </c>
      <c r="Q1349">
        <f>_xlfn.NUMBERVALUE("-0.008413")</f>
        <v/>
      </c>
      <c r="R1349">
        <f>_xlfn.NUMBERVALUE("-0.000361")</f>
        <v/>
      </c>
      <c r="S1349">
        <f>_xlfn.NUMBERVALUE("-0.017622")</f>
        <v/>
      </c>
      <c r="T1349">
        <f>_xlfn.NUMBERVALUE("0.000013")</f>
        <v/>
      </c>
      <c r="U1349">
        <f>_xlfn.NUMBERVALUE("-0.000000")</f>
        <v/>
      </c>
      <c r="V1349">
        <f>_xlfn.NUMBERVALUE("0.003974")</f>
        <v/>
      </c>
      <c r="W1349">
        <f>_xlfn.NUMBERVALUE("0.016269")</f>
        <v/>
      </c>
      <c r="X1349">
        <f>_xlfn.NUMBERVALUE("-3.460000")</f>
        <v/>
      </c>
      <c r="Y1349">
        <f>_xlfn.NUMBERVALUE("27.980000")</f>
        <v/>
      </c>
    </row>
    <row r="1350">
      <c r="A1350" s="1" t="n">
        <v>43962</v>
      </c>
      <c r="B1350">
        <f>_xlfn.NUMBERVALUE("0.000000")</f>
        <v/>
      </c>
      <c r="C1350" s="2">
        <f>_xlfn.NUMBERVALUE("0.003473")</f>
        <v/>
      </c>
      <c r="D1350">
        <f>_xlfn.NUMBERVALUE("0.005152")</f>
        <v/>
      </c>
      <c r="E1350">
        <f>_xlfn.NUMBERVALUE("0.003621")</f>
        <v/>
      </c>
      <c r="F1350">
        <f>_xlfn.NUMBERVALUE("0.004373")</f>
        <v/>
      </c>
      <c r="G1350">
        <f>_xlfn.NUMBERVALUE("0.001265")</f>
        <v/>
      </c>
      <c r="H1350">
        <f>_xlfn.NUMBERVALUE("0.004142")</f>
        <v/>
      </c>
      <c r="I1350">
        <f>_xlfn.NUMBERVALUE("0.005689")</f>
        <v/>
      </c>
      <c r="J1350">
        <f>_xlfn.NUMBERVALUE("0.000078")</f>
        <v/>
      </c>
      <c r="K1350">
        <f>_xlfn.NUMBERVALUE("0.011195")</f>
        <v/>
      </c>
      <c r="L1350">
        <f>_xlfn.NUMBERVALUE("0.000448")</f>
        <v/>
      </c>
      <c r="M1350">
        <f>_xlfn.NUMBERVALUE("0.004168")</f>
        <v/>
      </c>
      <c r="N1350">
        <f>_xlfn.NUMBERVALUE("0.000507")</f>
        <v/>
      </c>
      <c r="O1350">
        <f>_xlfn.NUMBERVALUE("0.008247")</f>
        <v/>
      </c>
      <c r="P1350">
        <f>_xlfn.NUMBERVALUE("0.001326")</f>
        <v/>
      </c>
      <c r="Q1350">
        <f>_xlfn.NUMBERVALUE("0.003399")</f>
        <v/>
      </c>
      <c r="R1350">
        <f>_xlfn.NUMBERVALUE("0.003108")</f>
        <v/>
      </c>
      <c r="S1350">
        <f>_xlfn.NUMBERVALUE("0.003102")</f>
        <v/>
      </c>
      <c r="T1350">
        <f>_xlfn.NUMBERVALUE("0.004773")</f>
        <v/>
      </c>
      <c r="U1350">
        <f>_xlfn.NUMBERVALUE("0.003293")</f>
        <v/>
      </c>
      <c r="V1350">
        <f>_xlfn.NUMBERVALUE("0.003903")</f>
        <v/>
      </c>
      <c r="W1350">
        <f>_xlfn.NUMBERVALUE("0.002942")</f>
        <v/>
      </c>
      <c r="X1350">
        <f>_xlfn.NUMBERVALUE("-0.410000")</f>
        <v/>
      </c>
      <c r="Y1350">
        <f>_xlfn.NUMBERVALUE("27.570000")</f>
        <v/>
      </c>
    </row>
    <row r="1351">
      <c r="A1351" s="1" t="n">
        <v>43963</v>
      </c>
      <c r="B1351">
        <f>_xlfn.NUMBERVALUE("0.000000")</f>
        <v/>
      </c>
      <c r="C1351" s="2">
        <f>_xlfn.NUMBERVALUE("-0.002549")</f>
        <v/>
      </c>
      <c r="D1351">
        <f>_xlfn.NUMBERVALUE("-0.001937")</f>
        <v/>
      </c>
      <c r="E1351">
        <f>_xlfn.NUMBERVALUE("0.000099")</f>
        <v/>
      </c>
      <c r="F1351">
        <f>_xlfn.NUMBERVALUE("0.003892")</f>
        <v/>
      </c>
      <c r="G1351">
        <f>_xlfn.NUMBERVALUE("0.000934")</f>
        <v/>
      </c>
      <c r="H1351">
        <f>_xlfn.NUMBERVALUE("0.000870")</f>
        <v/>
      </c>
      <c r="I1351">
        <f>_xlfn.NUMBERVALUE("-0.001728")</f>
        <v/>
      </c>
      <c r="J1351">
        <f>_xlfn.NUMBERVALUE("0.000963")</f>
        <v/>
      </c>
      <c r="K1351">
        <f>_xlfn.NUMBERVALUE("0.007369")</f>
        <v/>
      </c>
      <c r="L1351">
        <f>_xlfn.NUMBERVALUE("0.002356")</f>
        <v/>
      </c>
      <c r="M1351">
        <f>_xlfn.NUMBERVALUE("0.004498")</f>
        <v/>
      </c>
      <c r="N1351">
        <f>_xlfn.NUMBERVALUE("-0.000381")</f>
        <v/>
      </c>
      <c r="O1351">
        <f>_xlfn.NUMBERVALUE("0.004038")</f>
        <v/>
      </c>
      <c r="P1351">
        <f>_xlfn.NUMBERVALUE("0.000866")</f>
        <v/>
      </c>
      <c r="Q1351">
        <f>_xlfn.NUMBERVALUE("-0.002848")</f>
        <v/>
      </c>
      <c r="R1351">
        <f>_xlfn.NUMBERVALUE("-0.003497")</f>
        <v/>
      </c>
      <c r="S1351">
        <f>_xlfn.NUMBERVALUE("0.001214")</f>
        <v/>
      </c>
      <c r="T1351">
        <f>_xlfn.NUMBERVALUE("0.005350")</f>
        <v/>
      </c>
      <c r="U1351">
        <f>_xlfn.NUMBERVALUE("-0.002233")</f>
        <v/>
      </c>
      <c r="V1351">
        <f>_xlfn.NUMBERVALUE("-0.004724")</f>
        <v/>
      </c>
      <c r="W1351">
        <f>_xlfn.NUMBERVALUE("-0.018042")</f>
        <v/>
      </c>
      <c r="X1351">
        <f>_xlfn.NUMBERVALUE("5.470000")</f>
        <v/>
      </c>
      <c r="Y1351">
        <f>_xlfn.NUMBERVALUE("33.040000")</f>
        <v/>
      </c>
    </row>
    <row r="1352">
      <c r="A1352" s="1" t="n">
        <v>43964</v>
      </c>
      <c r="B1352">
        <f>_xlfn.NUMBERVALUE("0.000000")</f>
        <v/>
      </c>
      <c r="C1352" s="2">
        <f>_xlfn.NUMBERVALUE("-0.008397")</f>
        <v/>
      </c>
      <c r="D1352">
        <f>_xlfn.NUMBERVALUE("-0.004849")</f>
        <v/>
      </c>
      <c r="E1352">
        <f>_xlfn.NUMBERVALUE("-0.005512")</f>
        <v/>
      </c>
      <c r="F1352">
        <f>_xlfn.NUMBERVALUE("-0.000184")</f>
        <v/>
      </c>
      <c r="G1352">
        <f>_xlfn.NUMBERVALUE("0.000441")</f>
        <v/>
      </c>
      <c r="H1352">
        <f>_xlfn.NUMBERVALUE("0.000223")</f>
        <v/>
      </c>
      <c r="I1352">
        <f>_xlfn.NUMBERVALUE("-0.012892")</f>
        <v/>
      </c>
      <c r="J1352">
        <f>_xlfn.NUMBERVALUE("0.000341")</f>
        <v/>
      </c>
      <c r="K1352">
        <f>_xlfn.NUMBERVALUE("-0.001568")</f>
        <v/>
      </c>
      <c r="L1352">
        <f>_xlfn.NUMBERVALUE("0.000539")</f>
        <v/>
      </c>
      <c r="M1352">
        <f>_xlfn.NUMBERVALUE("-0.006745")</f>
        <v/>
      </c>
      <c r="N1352">
        <f>_xlfn.NUMBERVALUE("-0.002975")</f>
        <v/>
      </c>
      <c r="O1352">
        <f>_xlfn.NUMBERVALUE("-0.012726")</f>
        <v/>
      </c>
      <c r="P1352">
        <f>_xlfn.NUMBERVALUE("-0.011171")</f>
        <v/>
      </c>
      <c r="Q1352">
        <f>_xlfn.NUMBERVALUE("-0.006518")</f>
        <v/>
      </c>
      <c r="R1352">
        <f>_xlfn.NUMBERVALUE("-0.007868")</f>
        <v/>
      </c>
      <c r="S1352">
        <f>_xlfn.NUMBERVALUE("-0.004284")</f>
        <v/>
      </c>
      <c r="T1352">
        <f>_xlfn.NUMBERVALUE("-0.002957")</f>
        <v/>
      </c>
      <c r="U1352">
        <f>_xlfn.NUMBERVALUE("-0.005245")</f>
        <v/>
      </c>
      <c r="V1352">
        <f>_xlfn.NUMBERVALUE("-0.006988")</f>
        <v/>
      </c>
      <c r="W1352">
        <f>_xlfn.NUMBERVALUE("-0.026882")</f>
        <v/>
      </c>
      <c r="X1352">
        <f>_xlfn.NUMBERVALUE("2.240000")</f>
        <v/>
      </c>
      <c r="Y1352">
        <f>_xlfn.NUMBERVALUE("35.280000")</f>
        <v/>
      </c>
    </row>
    <row r="1353">
      <c r="A1353" s="1" t="n">
        <v>43965</v>
      </c>
      <c r="B1353">
        <f>_xlfn.NUMBERVALUE("-0.004700")</f>
        <v/>
      </c>
      <c r="C1353" s="2">
        <f>_xlfn.NUMBERVALUE("0.002413")</f>
        <v/>
      </c>
      <c r="D1353">
        <f>_xlfn.NUMBERVALUE("0.002051")</f>
        <v/>
      </c>
      <c r="E1353">
        <f>_xlfn.NUMBERVALUE("0.002592")</f>
        <v/>
      </c>
      <c r="F1353">
        <f>_xlfn.NUMBERVALUE("-0.002067")</f>
        <v/>
      </c>
      <c r="G1353">
        <f>_xlfn.NUMBERVALUE("-0.000316")</f>
        <v/>
      </c>
      <c r="H1353">
        <f>_xlfn.NUMBERVALUE("0.001770")</f>
        <v/>
      </c>
      <c r="I1353">
        <f>_xlfn.NUMBERVALUE("0.002024")</f>
        <v/>
      </c>
      <c r="J1353">
        <f>_xlfn.NUMBERVALUE("0.000308")</f>
        <v/>
      </c>
      <c r="K1353">
        <f>_xlfn.NUMBERVALUE("-0.002784")</f>
        <v/>
      </c>
      <c r="L1353">
        <f>_xlfn.NUMBERVALUE("-0.000070")</f>
        <v/>
      </c>
      <c r="M1353">
        <f>_xlfn.NUMBERVALUE("-0.000990")</f>
        <v/>
      </c>
      <c r="N1353">
        <f>_xlfn.NUMBERVALUE("0.003161")</f>
        <v/>
      </c>
      <c r="O1353">
        <f>_xlfn.NUMBERVALUE("-0.001263")</f>
        <v/>
      </c>
      <c r="P1353">
        <f>_xlfn.NUMBERVALUE("-0.000924")</f>
        <v/>
      </c>
      <c r="Q1353">
        <f>_xlfn.NUMBERVALUE("-0.000281")</f>
        <v/>
      </c>
      <c r="R1353">
        <f>_xlfn.NUMBERVALUE("0.002518")</f>
        <v/>
      </c>
      <c r="S1353">
        <f>_xlfn.NUMBERVALUE("0.000080")</f>
        <v/>
      </c>
      <c r="T1353">
        <f>_xlfn.NUMBERVALUE("-0.002313")</f>
        <v/>
      </c>
      <c r="U1353">
        <f>_xlfn.NUMBERVALUE("-0.002074")</f>
        <v/>
      </c>
      <c r="V1353">
        <f>_xlfn.NUMBERVALUE("0.003305")</f>
        <v/>
      </c>
      <c r="W1353">
        <f>_xlfn.NUMBERVALUE("0.013991")</f>
        <v/>
      </c>
      <c r="X1353">
        <f>_xlfn.NUMBERVALUE("-2.670000")</f>
        <v/>
      </c>
      <c r="Y1353">
        <f>_xlfn.NUMBERVALUE("32.610000")</f>
        <v/>
      </c>
    </row>
    <row r="1354">
      <c r="A1354" s="1" t="n">
        <v>43966</v>
      </c>
      <c r="B1354">
        <f>_xlfn.NUMBERVALUE("0.000000")</f>
        <v/>
      </c>
      <c r="C1354" s="2">
        <f>_xlfn.NUMBERVALUE("0.002077")</f>
        <v/>
      </c>
      <c r="D1354">
        <f>_xlfn.NUMBERVALUE("0.003942")</f>
        <v/>
      </c>
      <c r="E1354">
        <f>_xlfn.NUMBERVALUE("0.002888")</f>
        <v/>
      </c>
      <c r="F1354">
        <f>_xlfn.NUMBERVALUE("0.000667")</f>
        <v/>
      </c>
      <c r="G1354">
        <f>_xlfn.NUMBERVALUE("0.002447")</f>
        <v/>
      </c>
      <c r="H1354">
        <f>_xlfn.NUMBERVALUE("-0.012081")</f>
        <v/>
      </c>
      <c r="I1354">
        <f>_xlfn.NUMBERVALUE("0.003161")</f>
        <v/>
      </c>
      <c r="J1354">
        <f>_xlfn.NUMBERVALUE("0.000565")</f>
        <v/>
      </c>
      <c r="K1354">
        <f>_xlfn.NUMBERVALUE("-0.007580")</f>
        <v/>
      </c>
      <c r="L1354">
        <f>_xlfn.NUMBERVALUE("0.002163")</f>
        <v/>
      </c>
      <c r="M1354">
        <f>_xlfn.NUMBERVALUE("0.003360")</f>
        <v/>
      </c>
      <c r="N1354">
        <f>_xlfn.NUMBERVALUE("-0.001065")</f>
        <v/>
      </c>
      <c r="O1354">
        <f>_xlfn.NUMBERVALUE("0.006226")</f>
        <v/>
      </c>
      <c r="P1354">
        <f>_xlfn.NUMBERVALUE("0.004289")</f>
        <v/>
      </c>
      <c r="Q1354">
        <f>_xlfn.NUMBERVALUE("0.002444")</f>
        <v/>
      </c>
      <c r="R1354">
        <f>_xlfn.NUMBERVALUE("0.002892")</f>
        <v/>
      </c>
      <c r="S1354">
        <f>_xlfn.NUMBERVALUE("-0.000040")</f>
        <v/>
      </c>
      <c r="T1354">
        <f>_xlfn.NUMBERVALUE("0.000643")</f>
        <v/>
      </c>
      <c r="U1354">
        <f>_xlfn.NUMBERVALUE("-0.002318")</f>
        <v/>
      </c>
      <c r="V1354">
        <f>_xlfn.NUMBERVALUE("0.002743")</f>
        <v/>
      </c>
      <c r="W1354">
        <f>_xlfn.NUMBERVALUE("0.003414")</f>
        <v/>
      </c>
      <c r="X1354">
        <f>_xlfn.NUMBERVALUE("-0.720000")</f>
        <v/>
      </c>
      <c r="Y1354">
        <f>_xlfn.NUMBERVALUE("31.890000")</f>
        <v/>
      </c>
    </row>
    <row r="1355">
      <c r="A1355" s="1" t="n">
        <v>43969</v>
      </c>
      <c r="B1355">
        <f>_xlfn.NUMBERVALUE("0.000000")</f>
        <v/>
      </c>
      <c r="C1355" s="2">
        <f>_xlfn.NUMBERVALUE("-0.009856")</f>
        <v/>
      </c>
      <c r="D1355">
        <f>_xlfn.NUMBERVALUE("-0.005048")</f>
        <v/>
      </c>
      <c r="E1355">
        <f>_xlfn.NUMBERVALUE("-0.011762")</f>
        <v/>
      </c>
      <c r="F1355">
        <f>_xlfn.NUMBERVALUE("0.003346")</f>
        <v/>
      </c>
      <c r="G1355">
        <f>_xlfn.NUMBERVALUE("-0.003032")</f>
        <v/>
      </c>
      <c r="H1355">
        <f>_xlfn.NUMBERVALUE("0.010903")</f>
        <v/>
      </c>
      <c r="I1355">
        <f>_xlfn.NUMBERVALUE("-0.016544")</f>
        <v/>
      </c>
      <c r="J1355">
        <f>_xlfn.NUMBERVALUE("0.001124")</f>
        <v/>
      </c>
      <c r="K1355">
        <f>_xlfn.NUMBERVALUE("-0.001727")</f>
        <v/>
      </c>
      <c r="L1355">
        <f>_xlfn.NUMBERVALUE("-0.005261")</f>
        <v/>
      </c>
      <c r="M1355">
        <f>_xlfn.NUMBERVALUE("-0.010572")</f>
        <v/>
      </c>
      <c r="N1355">
        <f>_xlfn.NUMBERVALUE("0.001266")</f>
        <v/>
      </c>
      <c r="O1355">
        <f>_xlfn.NUMBERVALUE("-0.015209")</f>
        <v/>
      </c>
      <c r="P1355">
        <f>_xlfn.NUMBERVALUE("-0.005973")</f>
        <v/>
      </c>
      <c r="Q1355">
        <f>_xlfn.NUMBERVALUE("-0.021170")</f>
        <v/>
      </c>
      <c r="R1355">
        <f>_xlfn.NUMBERVALUE("0.000185")</f>
        <v/>
      </c>
      <c r="S1355">
        <f>_xlfn.NUMBERVALUE("-0.000325")</f>
        <v/>
      </c>
      <c r="T1355">
        <f>_xlfn.NUMBERVALUE("-0.012489")</f>
        <v/>
      </c>
      <c r="U1355">
        <f>_xlfn.NUMBERVALUE("-0.005208")</f>
        <v/>
      </c>
      <c r="V1355">
        <f>_xlfn.NUMBERVALUE("-0.008631")</f>
        <v/>
      </c>
      <c r="W1355">
        <f>_xlfn.NUMBERVALUE("0.040060")</f>
        <v/>
      </c>
      <c r="X1355">
        <f>_xlfn.NUMBERVALUE("-2.590000")</f>
        <v/>
      </c>
      <c r="Y1355">
        <f>_xlfn.NUMBERVALUE("29.300000")</f>
        <v/>
      </c>
    </row>
    <row r="1356">
      <c r="A1356" s="1" t="n">
        <v>43970</v>
      </c>
      <c r="B1356">
        <f>_xlfn.NUMBERVALUE("0.000000")</f>
        <v/>
      </c>
      <c r="C1356" s="2">
        <f>_xlfn.NUMBERVALUE("0.000294")</f>
        <v/>
      </c>
      <c r="D1356">
        <f>_xlfn.NUMBERVALUE("0.000586")</f>
        <v/>
      </c>
      <c r="E1356">
        <f>_xlfn.NUMBERVALUE("0.000715")</f>
        <v/>
      </c>
      <c r="F1356">
        <f>_xlfn.NUMBERVALUE("0.002692")</f>
        <v/>
      </c>
      <c r="G1356">
        <f>_xlfn.NUMBERVALUE("-0.000513")</f>
        <v/>
      </c>
      <c r="H1356">
        <f>_xlfn.NUMBERVALUE("0.000840")</f>
        <v/>
      </c>
      <c r="I1356">
        <f>_xlfn.NUMBERVALUE("0.002222")</f>
        <v/>
      </c>
      <c r="J1356">
        <f>_xlfn.NUMBERVALUE("0.000699")</f>
        <v/>
      </c>
      <c r="K1356">
        <f>_xlfn.NUMBERVALUE("0.000477")</f>
        <v/>
      </c>
      <c r="L1356">
        <f>_xlfn.NUMBERVALUE("0.001537")</f>
        <v/>
      </c>
      <c r="M1356">
        <f>_xlfn.NUMBERVALUE("-0.001166")</f>
        <v/>
      </c>
      <c r="N1356">
        <f>_xlfn.NUMBERVALUE("0.001905")</f>
        <v/>
      </c>
      <c r="O1356">
        <f>_xlfn.NUMBERVALUE("0.000582")</f>
        <v/>
      </c>
      <c r="P1356">
        <f>_xlfn.NUMBERVALUE("0.001688")</f>
        <v/>
      </c>
      <c r="Q1356">
        <f>_xlfn.NUMBERVALUE("-0.002021")</f>
        <v/>
      </c>
      <c r="R1356">
        <f>_xlfn.NUMBERVALUE("-0.000209")</f>
        <v/>
      </c>
      <c r="S1356">
        <f>_xlfn.NUMBERVALUE("0.000260")</f>
        <v/>
      </c>
      <c r="T1356">
        <f>_xlfn.NUMBERVALUE("0.001148")</f>
        <v/>
      </c>
      <c r="U1356">
        <f>_xlfn.NUMBERVALUE("0.000655")</f>
        <v/>
      </c>
      <c r="V1356">
        <f>_xlfn.NUMBERVALUE("0.000684")</f>
        <v/>
      </c>
      <c r="W1356">
        <f>_xlfn.NUMBERVALUE("-0.009275")</f>
        <v/>
      </c>
      <c r="X1356">
        <f>_xlfn.NUMBERVALUE("1.230000")</f>
        <v/>
      </c>
      <c r="Y1356">
        <f>_xlfn.NUMBERVALUE("30.530000")</f>
        <v/>
      </c>
    </row>
    <row r="1357">
      <c r="A1357" s="1" t="n">
        <v>43971</v>
      </c>
      <c r="B1357">
        <f>_xlfn.NUMBERVALUE("0.000000")</f>
        <v/>
      </c>
      <c r="C1357" s="2">
        <f>_xlfn.NUMBERVALUE("0.001523")</f>
        <v/>
      </c>
      <c r="D1357">
        <f>_xlfn.NUMBERVALUE("0.001391")</f>
        <v/>
      </c>
      <c r="E1357">
        <f>_xlfn.NUMBERVALUE("-0.001606")</f>
        <v/>
      </c>
      <c r="F1357">
        <f>_xlfn.NUMBERVALUE("0.002529")</f>
        <v/>
      </c>
      <c r="G1357">
        <f>_xlfn.NUMBERVALUE("-0.000987")</f>
        <v/>
      </c>
      <c r="H1357">
        <f>_xlfn.NUMBERVALUE("-0.006158")</f>
        <v/>
      </c>
      <c r="I1357">
        <f>_xlfn.NUMBERVALUE("0.001790")</f>
        <v/>
      </c>
      <c r="J1357">
        <f>_xlfn.NUMBERVALUE("-0.001408")</f>
        <v/>
      </c>
      <c r="K1357">
        <f>_xlfn.NUMBERVALUE("-0.001842")</f>
        <v/>
      </c>
      <c r="L1357">
        <f>_xlfn.NUMBERVALUE("0.001001")</f>
        <v/>
      </c>
      <c r="M1357">
        <f>_xlfn.NUMBERVALUE("-0.000222")</f>
        <v/>
      </c>
      <c r="N1357">
        <f>_xlfn.NUMBERVALUE("-0.005365")</f>
        <v/>
      </c>
      <c r="O1357">
        <f>_xlfn.NUMBERVALUE("0.001891")</f>
        <v/>
      </c>
      <c r="P1357">
        <f>_xlfn.NUMBERVALUE("0.002887")</f>
        <v/>
      </c>
      <c r="Q1357">
        <f>_xlfn.NUMBERVALUE("0.003712")</f>
        <v/>
      </c>
      <c r="R1357">
        <f>_xlfn.NUMBERVALUE("-0.000837")</f>
        <v/>
      </c>
      <c r="S1357">
        <f>_xlfn.NUMBERVALUE("0.002848")</f>
        <v/>
      </c>
      <c r="T1357">
        <f>_xlfn.NUMBERVALUE("0.001760")</f>
        <v/>
      </c>
      <c r="U1357">
        <f>_xlfn.NUMBERVALUE("0.002940")</f>
        <v/>
      </c>
      <c r="V1357">
        <f>_xlfn.NUMBERVALUE("0.001051")</f>
        <v/>
      </c>
      <c r="W1357">
        <f>_xlfn.NUMBERVALUE("0.011337")</f>
        <v/>
      </c>
      <c r="X1357">
        <f>_xlfn.NUMBERVALUE("-2.540000")</f>
        <v/>
      </c>
      <c r="Y1357">
        <f>_xlfn.NUMBERVALUE("27.990000")</f>
        <v/>
      </c>
    </row>
    <row r="1358">
      <c r="A1358" s="1" t="n">
        <v>43972</v>
      </c>
      <c r="B1358">
        <f>_xlfn.NUMBERVALUE("0.000000")</f>
        <v/>
      </c>
      <c r="C1358" s="2">
        <f>_xlfn.NUMBERVALUE("0.001719")</f>
        <v/>
      </c>
      <c r="D1358">
        <f>_xlfn.NUMBERVALUE("0.000772")</f>
        <v/>
      </c>
      <c r="E1358">
        <f>_xlfn.NUMBERVALUE("0.000463")</f>
        <v/>
      </c>
      <c r="F1358">
        <f>_xlfn.NUMBERVALUE("0.000293")</f>
        <v/>
      </c>
      <c r="G1358">
        <f>_xlfn.NUMBERVALUE("0.001772")</f>
        <v/>
      </c>
      <c r="H1358">
        <f>_xlfn.NUMBERVALUE("0.008131")</f>
        <v/>
      </c>
      <c r="I1358">
        <f>_xlfn.NUMBERVALUE("0.004013")</f>
        <v/>
      </c>
      <c r="J1358">
        <f>_xlfn.NUMBERVALUE("0.001009")</f>
        <v/>
      </c>
      <c r="K1358">
        <f>_xlfn.NUMBERVALUE("0.002067")</f>
        <v/>
      </c>
      <c r="L1358">
        <f>_xlfn.NUMBERVALUE("0.002586")</f>
        <v/>
      </c>
      <c r="M1358">
        <f>_xlfn.NUMBERVALUE("0.001365")</f>
        <v/>
      </c>
      <c r="N1358">
        <f>_xlfn.NUMBERVALUE("-0.000792")</f>
        <v/>
      </c>
      <c r="O1358">
        <f>_xlfn.NUMBERVALUE("-0.001721")</f>
        <v/>
      </c>
      <c r="P1358">
        <f>_xlfn.NUMBERVALUE("0.002450")</f>
        <v/>
      </c>
      <c r="Q1358">
        <f>_xlfn.NUMBERVALUE("0.000388")</f>
        <v/>
      </c>
      <c r="R1358">
        <f>_xlfn.NUMBERVALUE("0.000343")</f>
        <v/>
      </c>
      <c r="S1358">
        <f>_xlfn.NUMBERVALUE("0.001104")</f>
        <v/>
      </c>
      <c r="T1358">
        <f>_xlfn.NUMBERVALUE("0.002697")</f>
        <v/>
      </c>
      <c r="U1358">
        <f>_xlfn.NUMBERVALUE("-0.001077")</f>
        <v/>
      </c>
      <c r="V1358">
        <f>_xlfn.NUMBERVALUE("0.001327")</f>
        <v/>
      </c>
      <c r="W1358">
        <f>_xlfn.NUMBERVALUE("-0.006800")</f>
        <v/>
      </c>
      <c r="X1358">
        <f>_xlfn.NUMBERVALUE("1.540000")</f>
        <v/>
      </c>
      <c r="Y1358">
        <f>_xlfn.NUMBERVALUE("29.530000")</f>
        <v/>
      </c>
    </row>
    <row r="1359">
      <c r="A1359" s="1" t="n">
        <v>43973</v>
      </c>
      <c r="B1359">
        <f>_xlfn.NUMBERVALUE("0.000000")</f>
        <v/>
      </c>
      <c r="C1359" s="2">
        <f>_xlfn.NUMBERVALUE("0.003843")</f>
        <v/>
      </c>
      <c r="D1359">
        <f>_xlfn.NUMBERVALUE("0.003824")</f>
        <v/>
      </c>
      <c r="E1359">
        <f>_xlfn.NUMBERVALUE("0.004112")</f>
        <v/>
      </c>
      <c r="F1359">
        <f>_xlfn.NUMBERVALUE("0.003026")</f>
        <v/>
      </c>
      <c r="G1359">
        <f>_xlfn.NUMBERVALUE("0.001626")</f>
        <v/>
      </c>
      <c r="H1359">
        <f>_xlfn.NUMBERVALUE("-0.000143")</f>
        <v/>
      </c>
      <c r="I1359">
        <f>_xlfn.NUMBERVALUE("0.006059")</f>
        <v/>
      </c>
      <c r="J1359">
        <f>_xlfn.NUMBERVALUE("0.000791")</f>
        <v/>
      </c>
      <c r="K1359">
        <f>_xlfn.NUMBERVALUE("0.001322")</f>
        <v/>
      </c>
      <c r="L1359">
        <f>_xlfn.NUMBERVALUE("0.001459")</f>
        <v/>
      </c>
      <c r="M1359">
        <f>_xlfn.NUMBERVALUE("0.003709")</f>
        <v/>
      </c>
      <c r="N1359">
        <f>_xlfn.NUMBERVALUE("0.001634")</f>
        <v/>
      </c>
      <c r="O1359">
        <f>_xlfn.NUMBERVALUE("0.003823")</f>
        <v/>
      </c>
      <c r="P1359">
        <f>_xlfn.NUMBERVALUE("0.005503")</f>
        <v/>
      </c>
      <c r="Q1359">
        <f>_xlfn.NUMBERVALUE("0.005355")</f>
        <v/>
      </c>
      <c r="R1359">
        <f>_xlfn.NUMBERVALUE("0.003815")</f>
        <v/>
      </c>
      <c r="S1359">
        <f>_xlfn.NUMBERVALUE("0.002093")</f>
        <v/>
      </c>
      <c r="T1359">
        <f>_xlfn.NUMBERVALUE("0.002511")</f>
        <v/>
      </c>
      <c r="U1359">
        <f>_xlfn.NUMBERVALUE("0.004208")</f>
        <v/>
      </c>
      <c r="V1359">
        <f>_xlfn.NUMBERVALUE("0.002931")</f>
        <v/>
      </c>
      <c r="W1359">
        <f>_xlfn.NUMBERVALUE("0.000169")</f>
        <v/>
      </c>
      <c r="X1359">
        <f>_xlfn.NUMBERVALUE("-1.370000")</f>
        <v/>
      </c>
      <c r="Y1359">
        <f>_xlfn.NUMBERVALUE("28.160000")</f>
        <v/>
      </c>
    </row>
    <row r="1360">
      <c r="A1360" s="1" t="n">
        <v>43977</v>
      </c>
      <c r="B1360">
        <f>_xlfn.NUMBERVALUE("0.000000")</f>
        <v/>
      </c>
      <c r="C1360" s="2">
        <f>_xlfn.NUMBERVALUE("-0.002448")</f>
        <v/>
      </c>
      <c r="D1360">
        <f>_xlfn.NUMBERVALUE("-0.002285")</f>
        <v/>
      </c>
      <c r="E1360">
        <f>_xlfn.NUMBERVALUE("-0.005330")</f>
        <v/>
      </c>
      <c r="F1360">
        <f>_xlfn.NUMBERVALUE("0.000473")</f>
        <v/>
      </c>
      <c r="G1360">
        <f>_xlfn.NUMBERVALUE("0.000338")</f>
        <v/>
      </c>
      <c r="H1360">
        <f>_xlfn.NUMBERVALUE("0.000620")</f>
        <v/>
      </c>
      <c r="I1360">
        <f>_xlfn.NUMBERVALUE("-0.000957")</f>
        <v/>
      </c>
      <c r="J1360">
        <f>_xlfn.NUMBERVALUE("0.001537")</f>
        <v/>
      </c>
      <c r="K1360">
        <f>_xlfn.NUMBERVALUE("0.000440")</f>
        <v/>
      </c>
      <c r="L1360">
        <f>_xlfn.NUMBERVALUE("0.000252")</f>
        <v/>
      </c>
      <c r="M1360">
        <f>_xlfn.NUMBERVALUE("-0.002602")</f>
        <v/>
      </c>
      <c r="N1360">
        <f>_xlfn.NUMBERVALUE("0.005743")</f>
        <v/>
      </c>
      <c r="O1360">
        <f>_xlfn.NUMBERVALUE("0.002455")</f>
        <v/>
      </c>
      <c r="P1360">
        <f>_xlfn.NUMBERVALUE("-0.017908")</f>
        <v/>
      </c>
      <c r="Q1360">
        <f>_xlfn.NUMBERVALUE("-0.010306")</f>
        <v/>
      </c>
      <c r="R1360">
        <f>_xlfn.NUMBERVALUE("0.006286")</f>
        <v/>
      </c>
      <c r="S1360">
        <f>_xlfn.NUMBERVALUE("0.002467")</f>
        <v/>
      </c>
      <c r="T1360">
        <f>_xlfn.NUMBERVALUE("0.002981")</f>
        <v/>
      </c>
      <c r="U1360">
        <f>_xlfn.NUMBERVALUE("0.001099")</f>
        <v/>
      </c>
      <c r="V1360">
        <f>_xlfn.NUMBERVALUE("0.000758")</f>
        <v/>
      </c>
      <c r="W1360">
        <f>_xlfn.NUMBERVALUE("0.014673")</f>
        <v/>
      </c>
      <c r="X1360">
        <f>_xlfn.NUMBERVALUE("-0.150000")</f>
        <v/>
      </c>
      <c r="Y1360">
        <f>_xlfn.NUMBERVALUE("28.010000")</f>
        <v/>
      </c>
    </row>
    <row r="1361">
      <c r="A1361" s="1" t="n">
        <v>43978</v>
      </c>
      <c r="B1361">
        <f>_xlfn.NUMBERVALUE("0.000000")</f>
        <v/>
      </c>
      <c r="C1361" s="2">
        <f>_xlfn.NUMBERVALUE("-0.001841")</f>
        <v/>
      </c>
      <c r="D1361">
        <f>_xlfn.NUMBERVALUE("0.000821")</f>
        <v/>
      </c>
      <c r="E1361">
        <f>_xlfn.NUMBERVALUE("0.000793")</f>
        <v/>
      </c>
      <c r="F1361">
        <f>_xlfn.NUMBERVALUE("0.000601")</f>
        <v/>
      </c>
      <c r="G1361">
        <f>_xlfn.NUMBERVALUE("0.001046")</f>
        <v/>
      </c>
      <c r="H1361">
        <f>_xlfn.NUMBERVALUE("-0.000090")</f>
        <v/>
      </c>
      <c r="I1361">
        <f>_xlfn.NUMBERVALUE("-0.001976")</f>
        <v/>
      </c>
      <c r="J1361">
        <f>_xlfn.NUMBERVALUE("-0.000150")</f>
        <v/>
      </c>
      <c r="K1361">
        <f>_xlfn.NUMBERVALUE("0.000091")</f>
        <v/>
      </c>
      <c r="L1361">
        <f>_xlfn.NUMBERVALUE("0.000388")</f>
        <v/>
      </c>
      <c r="M1361">
        <f>_xlfn.NUMBERVALUE("-0.000159")</f>
        <v/>
      </c>
      <c r="N1361">
        <f>_xlfn.NUMBERVALUE("-0.001639")</f>
        <v/>
      </c>
      <c r="O1361">
        <f>_xlfn.NUMBERVALUE("0.004634")</f>
        <v/>
      </c>
      <c r="P1361">
        <f>_xlfn.NUMBERVALUE("-0.011077")</f>
        <v/>
      </c>
      <c r="Q1361">
        <f>_xlfn.NUMBERVALUE("-0.004119")</f>
        <v/>
      </c>
      <c r="R1361">
        <f>_xlfn.NUMBERVALUE("0.000961")</f>
        <v/>
      </c>
      <c r="S1361">
        <f>_xlfn.NUMBERVALUE("-0.001370")</f>
        <v/>
      </c>
      <c r="T1361">
        <f>_xlfn.NUMBERVALUE("0.001307")</f>
        <v/>
      </c>
      <c r="U1361">
        <f>_xlfn.NUMBERVALUE("-0.001462")</f>
        <v/>
      </c>
      <c r="V1361">
        <f>_xlfn.NUMBERVALUE("-0.000249")</f>
        <v/>
      </c>
      <c r="W1361">
        <f>_xlfn.NUMBERVALUE("0.011355")</f>
        <v/>
      </c>
      <c r="X1361">
        <f>_xlfn.NUMBERVALUE("-0.390000")</f>
        <v/>
      </c>
      <c r="Y1361">
        <f>_xlfn.NUMBERVALUE("27.620000")</f>
        <v/>
      </c>
    </row>
    <row r="1362">
      <c r="A1362" s="1" t="n">
        <v>43979</v>
      </c>
      <c r="B1362">
        <f>_xlfn.NUMBERVALUE("0.000000")</f>
        <v/>
      </c>
      <c r="C1362" s="2">
        <f>_xlfn.NUMBERVALUE("-0.000832")</f>
        <v/>
      </c>
      <c r="D1362">
        <f>_xlfn.NUMBERVALUE("0.000368")</f>
        <v/>
      </c>
      <c r="E1362">
        <f>_xlfn.NUMBERVALUE("-0.000378")</f>
        <v/>
      </c>
      <c r="F1362">
        <f>_xlfn.NUMBERVALUE("0.002680")</f>
        <v/>
      </c>
      <c r="G1362">
        <f>_xlfn.NUMBERVALUE("0.001408")</f>
        <v/>
      </c>
      <c r="H1362">
        <f>_xlfn.NUMBERVALUE("-0.000608")</f>
        <v/>
      </c>
      <c r="I1362">
        <f>_xlfn.NUMBERVALUE("-0.000266")</f>
        <v/>
      </c>
      <c r="J1362">
        <f>_xlfn.NUMBERVALUE("0.000479")</f>
        <v/>
      </c>
      <c r="K1362">
        <f>_xlfn.NUMBERVALUE("0.000055")</f>
        <v/>
      </c>
      <c r="L1362">
        <f>_xlfn.NUMBERVALUE("0.000908")</f>
        <v/>
      </c>
      <c r="M1362">
        <f>_xlfn.NUMBERVALUE("-0.000366")</f>
        <v/>
      </c>
      <c r="N1362">
        <f>_xlfn.NUMBERVALUE("0.001467")</f>
        <v/>
      </c>
      <c r="O1362">
        <f>_xlfn.NUMBERVALUE("0.002783")</f>
        <v/>
      </c>
      <c r="P1362">
        <f>_xlfn.NUMBERVALUE("0.004220")</f>
        <v/>
      </c>
      <c r="Q1362">
        <f>_xlfn.NUMBERVALUE("-0.002873")</f>
        <v/>
      </c>
      <c r="R1362">
        <f>_xlfn.NUMBERVALUE("-0.000926")</f>
        <v/>
      </c>
      <c r="S1362">
        <f>_xlfn.NUMBERVALUE("-0.001882")</f>
        <v/>
      </c>
      <c r="T1362">
        <f>_xlfn.NUMBERVALUE("-0.010286")</f>
        <v/>
      </c>
      <c r="U1362">
        <f>_xlfn.NUMBERVALUE("0.000336")</f>
        <v/>
      </c>
      <c r="V1362">
        <f>_xlfn.NUMBERVALUE("-0.000763")</f>
        <v/>
      </c>
      <c r="W1362">
        <f>_xlfn.NUMBERVALUE("0.002312")</f>
        <v/>
      </c>
      <c r="X1362">
        <f>_xlfn.NUMBERVALUE("0.970000")</f>
        <v/>
      </c>
      <c r="Y1362">
        <f>_xlfn.NUMBERVALUE("28.590000")</f>
        <v/>
      </c>
    </row>
    <row r="1363">
      <c r="A1363" s="1" t="n">
        <v>43980</v>
      </c>
      <c r="B1363">
        <f>_xlfn.NUMBERVALUE("0.000000")</f>
        <v/>
      </c>
      <c r="C1363" s="2">
        <f>_xlfn.NUMBERVALUE("0.002574")</f>
        <v/>
      </c>
      <c r="D1363">
        <f>_xlfn.NUMBERVALUE("0.001990")</f>
        <v/>
      </c>
      <c r="E1363">
        <f>_xlfn.NUMBERVALUE("0.000239")</f>
        <v/>
      </c>
      <c r="F1363">
        <f>_xlfn.NUMBERVALUE("-0.000102")</f>
        <v/>
      </c>
      <c r="G1363">
        <f>_xlfn.NUMBERVALUE("0.001150")</f>
        <v/>
      </c>
      <c r="H1363">
        <f>_xlfn.NUMBERVALUE("0.000049")</f>
        <v/>
      </c>
      <c r="I1363">
        <f>_xlfn.NUMBERVALUE("0.002645")</f>
        <v/>
      </c>
      <c r="J1363">
        <f>_xlfn.NUMBERVALUE("0.000215")</f>
        <v/>
      </c>
      <c r="K1363">
        <f>_xlfn.NUMBERVALUE("-0.000121")</f>
        <v/>
      </c>
      <c r="L1363">
        <f>_xlfn.NUMBERVALUE("-0.000314")</f>
        <v/>
      </c>
      <c r="M1363">
        <f>_xlfn.NUMBERVALUE("-0.000442")</f>
        <v/>
      </c>
      <c r="N1363">
        <f>_xlfn.NUMBERVALUE("0.000422")</f>
        <v/>
      </c>
      <c r="O1363">
        <f>_xlfn.NUMBERVALUE("0.002116")</f>
        <v/>
      </c>
      <c r="P1363">
        <f>_xlfn.NUMBERVALUE("0.002866")</f>
        <v/>
      </c>
      <c r="Q1363">
        <f>_xlfn.NUMBERVALUE("0.004087")</f>
        <v/>
      </c>
      <c r="R1363">
        <f>_xlfn.NUMBERVALUE("0.002714")</f>
        <v/>
      </c>
      <c r="S1363">
        <f>_xlfn.NUMBERVALUE("0.001083")</f>
        <v/>
      </c>
      <c r="T1363">
        <f>_xlfn.NUMBERVALUE("-0.001047")</f>
        <v/>
      </c>
      <c r="U1363">
        <f>_xlfn.NUMBERVALUE("0.001954")</f>
        <v/>
      </c>
      <c r="V1363">
        <f>_xlfn.NUMBERVALUE("0.002032")</f>
        <v/>
      </c>
      <c r="W1363">
        <f>_xlfn.NUMBERVALUE("0.001417")</f>
        <v/>
      </c>
      <c r="X1363">
        <f>_xlfn.NUMBERVALUE("-1.080000")</f>
        <v/>
      </c>
      <c r="Y1363">
        <f>_xlfn.NUMBERVALUE("27.510000")</f>
        <v/>
      </c>
    </row>
    <row r="1364">
      <c r="A1364" s="1" t="n">
        <v>43983</v>
      </c>
      <c r="B1364">
        <f>_xlfn.NUMBERVALUE("0.000000")</f>
        <v/>
      </c>
      <c r="C1364" s="2">
        <f>_xlfn.NUMBERVALUE("0.002676")</f>
        <v/>
      </c>
      <c r="D1364">
        <f>_xlfn.NUMBERVALUE("-0.000382")</f>
        <v/>
      </c>
      <c r="E1364">
        <f>_xlfn.NUMBERVALUE("-0.000300")</f>
        <v/>
      </c>
      <c r="F1364">
        <f>_xlfn.NUMBERVALUE("0.001617")</f>
        <v/>
      </c>
      <c r="G1364">
        <f>_xlfn.NUMBERVALUE("-0.003794")</f>
        <v/>
      </c>
      <c r="H1364">
        <f>_xlfn.NUMBERVALUE("0.002388")</f>
        <v/>
      </c>
      <c r="I1364">
        <f>_xlfn.NUMBERVALUE("0.001856")</f>
        <v/>
      </c>
      <c r="J1364">
        <f>_xlfn.NUMBERVALUE("-0.001196")</f>
        <v/>
      </c>
      <c r="K1364">
        <f>_xlfn.NUMBERVALUE("-0.000144")</f>
        <v/>
      </c>
      <c r="L1364">
        <f>_xlfn.NUMBERVALUE("-0.000092")</f>
        <v/>
      </c>
      <c r="M1364">
        <f>_xlfn.NUMBERVALUE("0.000549")</f>
        <v/>
      </c>
      <c r="N1364">
        <f>_xlfn.NUMBERVALUE("0.003798")</f>
        <v/>
      </c>
      <c r="O1364">
        <f>_xlfn.NUMBERVALUE("0.001924")</f>
        <v/>
      </c>
      <c r="P1364">
        <f>_xlfn.NUMBERVALUE("0.001927")</f>
        <v/>
      </c>
      <c r="Q1364">
        <f>_xlfn.NUMBERVALUE("0.002783")</f>
        <v/>
      </c>
      <c r="R1364">
        <f>_xlfn.NUMBERVALUE("0.003155")</f>
        <v/>
      </c>
      <c r="S1364">
        <f>_xlfn.NUMBERVALUE("-0.001656")</f>
        <v/>
      </c>
      <c r="T1364">
        <f>_xlfn.NUMBERVALUE("-0.000964")</f>
        <v/>
      </c>
      <c r="U1364">
        <f>_xlfn.NUMBERVALUE("0.001838")</f>
        <v/>
      </c>
      <c r="V1364">
        <f>_xlfn.NUMBERVALUE("0.001409")</f>
        <v/>
      </c>
      <c r="W1364">
        <f>_xlfn.NUMBERVALUE("0.005560")</f>
        <v/>
      </c>
      <c r="X1364">
        <f>_xlfn.NUMBERVALUE("0.720000")</f>
        <v/>
      </c>
      <c r="Y1364">
        <f>_xlfn.NUMBERVALUE("28.230000")</f>
        <v/>
      </c>
    </row>
    <row r="1365">
      <c r="A1365" s="1" t="n">
        <v>43984</v>
      </c>
      <c r="B1365">
        <f>_xlfn.NUMBERVALUE("0.000000")</f>
        <v/>
      </c>
      <c r="C1365" s="2">
        <f>_xlfn.NUMBERVALUE("0.000306")</f>
        <v/>
      </c>
      <c r="D1365">
        <f>_xlfn.NUMBERVALUE("-0.000737")</f>
        <v/>
      </c>
      <c r="E1365">
        <f>_xlfn.NUMBERVALUE("0.000004")</f>
        <v/>
      </c>
      <c r="F1365">
        <f>_xlfn.NUMBERVALUE("-0.000011")</f>
        <v/>
      </c>
      <c r="G1365">
        <f>_xlfn.NUMBERVALUE("-0.000054")</f>
        <v/>
      </c>
      <c r="H1365">
        <f>_xlfn.NUMBERVALUE("0.000513")</f>
        <v/>
      </c>
      <c r="I1365">
        <f>_xlfn.NUMBERVALUE("0.000518")</f>
        <v/>
      </c>
      <c r="J1365">
        <f>_xlfn.NUMBERVALUE("0.000032")</f>
        <v/>
      </c>
      <c r="K1365">
        <f>_xlfn.NUMBERVALUE("0.000171")</f>
        <v/>
      </c>
      <c r="L1365">
        <f>_xlfn.NUMBERVALUE("0.001377")</f>
        <v/>
      </c>
      <c r="M1365">
        <f>_xlfn.NUMBERVALUE("0.001592")</f>
        <v/>
      </c>
      <c r="N1365">
        <f>_xlfn.NUMBERVALUE("0.001401")</f>
        <v/>
      </c>
      <c r="O1365">
        <f>_xlfn.NUMBERVALUE("0.001377")</f>
        <v/>
      </c>
      <c r="P1365">
        <f>_xlfn.NUMBERVALUE("0.002251")</f>
        <v/>
      </c>
      <c r="Q1365">
        <f>_xlfn.NUMBERVALUE("0.001042")</f>
        <v/>
      </c>
      <c r="R1365">
        <f>_xlfn.NUMBERVALUE("0.002160")</f>
        <v/>
      </c>
      <c r="S1365">
        <f>_xlfn.NUMBERVALUE("0.001483")</f>
        <v/>
      </c>
      <c r="T1365">
        <f>_xlfn.NUMBERVALUE("0.001807")</f>
        <v/>
      </c>
      <c r="U1365">
        <f>_xlfn.NUMBERVALUE("0.001540")</f>
        <v/>
      </c>
      <c r="V1365">
        <f>_xlfn.NUMBERVALUE("0.000287")</f>
        <v/>
      </c>
      <c r="W1365">
        <f>_xlfn.NUMBERVALUE("0.003108")</f>
        <v/>
      </c>
      <c r="X1365">
        <f>_xlfn.NUMBERVALUE("-1.390000")</f>
        <v/>
      </c>
      <c r="Y1365">
        <f>_xlfn.NUMBERVALUE("26.840000")</f>
        <v/>
      </c>
    </row>
    <row r="1366">
      <c r="A1366" s="1" t="n">
        <v>43985</v>
      </c>
      <c r="B1366">
        <f>_xlfn.NUMBERVALUE("0.000000")</f>
        <v/>
      </c>
      <c r="C1366" s="2">
        <f>_xlfn.NUMBERVALUE("-0.000200")</f>
        <v/>
      </c>
      <c r="D1366">
        <f>_xlfn.NUMBERVALUE("-0.000006")</f>
        <v/>
      </c>
      <c r="E1366">
        <f>_xlfn.NUMBERVALUE("-0.000019")</f>
        <v/>
      </c>
      <c r="F1366">
        <f>_xlfn.NUMBERVALUE("-0.008607")</f>
        <v/>
      </c>
      <c r="G1366">
        <f>_xlfn.NUMBERVALUE("0.000063")</f>
        <v/>
      </c>
      <c r="H1366">
        <f>_xlfn.NUMBERVALUE("-0.005184")</f>
        <v/>
      </c>
      <c r="I1366">
        <f>_xlfn.NUMBERVALUE("-0.000144")</f>
        <v/>
      </c>
      <c r="J1366">
        <f>_xlfn.NUMBERVALUE("0.000046")</f>
        <v/>
      </c>
      <c r="K1366">
        <f>_xlfn.NUMBERVALUE("-0.000001")</f>
        <v/>
      </c>
      <c r="L1366">
        <f>_xlfn.NUMBERVALUE("-0.003239")</f>
        <v/>
      </c>
      <c r="M1366">
        <f>_xlfn.NUMBERVALUE("-0.001527")</f>
        <v/>
      </c>
      <c r="N1366">
        <f>_xlfn.NUMBERVALUE("0.001723")</f>
        <v/>
      </c>
      <c r="O1366">
        <f>_xlfn.NUMBERVALUE("-0.006707")</f>
        <v/>
      </c>
      <c r="P1366">
        <f>_xlfn.NUMBERVALUE("-0.007559")</f>
        <v/>
      </c>
      <c r="Q1366">
        <f>_xlfn.NUMBERVALUE("-0.003400")</f>
        <v/>
      </c>
      <c r="R1366">
        <f>_xlfn.NUMBERVALUE("-0.000288")</f>
        <v/>
      </c>
      <c r="S1366">
        <f>_xlfn.NUMBERVALUE("-0.000504")</f>
        <v/>
      </c>
      <c r="T1366">
        <f>_xlfn.NUMBERVALUE("0.000199")</f>
        <v/>
      </c>
      <c r="U1366">
        <f>_xlfn.NUMBERVALUE("-0.000892")</f>
        <v/>
      </c>
      <c r="V1366">
        <f>_xlfn.NUMBERVALUE("-0.000068")</f>
        <v/>
      </c>
      <c r="W1366">
        <f>_xlfn.NUMBERVALUE("0.020026")</f>
        <v/>
      </c>
      <c r="X1366">
        <f>_xlfn.NUMBERVALUE("-1.180000")</f>
        <v/>
      </c>
      <c r="Y1366">
        <f>_xlfn.NUMBERVALUE("25.660000")</f>
        <v/>
      </c>
    </row>
    <row r="1367">
      <c r="A1367" s="1" t="n">
        <v>43986</v>
      </c>
      <c r="B1367">
        <f>_xlfn.NUMBERVALUE("0.000000")</f>
        <v/>
      </c>
      <c r="C1367" s="2">
        <f>_xlfn.NUMBERVALUE("0.000006")</f>
        <v/>
      </c>
      <c r="D1367">
        <f>_xlfn.NUMBERVALUE("-0.000001")</f>
        <v/>
      </c>
      <c r="E1367">
        <f>_xlfn.NUMBERVALUE("0.000016")</f>
        <v/>
      </c>
      <c r="F1367">
        <f>_xlfn.NUMBERVALUE("0.004324")</f>
        <v/>
      </c>
      <c r="G1367">
        <f>_xlfn.NUMBERVALUE("-0.000062")</f>
        <v/>
      </c>
      <c r="H1367">
        <f>_xlfn.NUMBERVALUE("0.000398")</f>
        <v/>
      </c>
      <c r="I1367">
        <f>_xlfn.NUMBERVALUE("-0.000106")</f>
        <v/>
      </c>
      <c r="J1367">
        <f>_xlfn.NUMBERVALUE("-0.000045")</f>
        <v/>
      </c>
      <c r="K1367">
        <f>_xlfn.NUMBERVALUE("-0.000001")</f>
        <v/>
      </c>
      <c r="L1367">
        <f>_xlfn.NUMBERVALUE("-0.000919")</f>
        <v/>
      </c>
      <c r="M1367">
        <f>_xlfn.NUMBERVALUE("0.000192")</f>
        <v/>
      </c>
      <c r="N1367">
        <f>_xlfn.NUMBERVALUE("-0.003154")</f>
        <v/>
      </c>
      <c r="O1367">
        <f>_xlfn.NUMBERVALUE("0.001243")</f>
        <v/>
      </c>
      <c r="P1367">
        <f>_xlfn.NUMBERVALUE("0.001025")</f>
        <v/>
      </c>
      <c r="Q1367">
        <f>_xlfn.NUMBERVALUE("0.000100")</f>
        <v/>
      </c>
      <c r="R1367">
        <f>_xlfn.NUMBERVALUE("0.001590")</f>
        <v/>
      </c>
      <c r="S1367">
        <f>_xlfn.NUMBERVALUE("0.000897")</f>
        <v/>
      </c>
      <c r="T1367">
        <f>_xlfn.NUMBERVALUE("-0.000766")</f>
        <v/>
      </c>
      <c r="U1367">
        <f>_xlfn.NUMBERVALUE("0.000054")</f>
        <v/>
      </c>
      <c r="V1367">
        <f>_xlfn.NUMBERVALUE("-0.000043")</f>
        <v/>
      </c>
      <c r="W1367">
        <f>_xlfn.NUMBERVALUE("-0.004141")</f>
        <v/>
      </c>
      <c r="X1367">
        <f>_xlfn.NUMBERVALUE("0.150000")</f>
        <v/>
      </c>
      <c r="Y1367">
        <f>_xlfn.NUMBERVALUE("25.810000")</f>
        <v/>
      </c>
    </row>
    <row r="1368">
      <c r="A1368" s="1" t="n">
        <v>43987</v>
      </c>
      <c r="B1368">
        <f>_xlfn.NUMBERVALUE("0.000000")</f>
        <v/>
      </c>
      <c r="C1368" s="2">
        <f>_xlfn.NUMBERVALUE("-0.010345")</f>
        <v/>
      </c>
      <c r="D1368">
        <f>_xlfn.NUMBERVALUE("-0.003808")</f>
        <v/>
      </c>
      <c r="E1368">
        <f>_xlfn.NUMBERVALUE("-0.003284")</f>
        <v/>
      </c>
      <c r="F1368">
        <f>_xlfn.NUMBERVALUE("-0.004254")</f>
        <v/>
      </c>
      <c r="G1368">
        <f>_xlfn.NUMBERVALUE("-0.002938")</f>
        <v/>
      </c>
      <c r="H1368">
        <f>_xlfn.NUMBERVALUE("-0.013260")</f>
        <v/>
      </c>
      <c r="I1368">
        <f>_xlfn.NUMBERVALUE("-0.008366")</f>
        <v/>
      </c>
      <c r="J1368">
        <f>_xlfn.NUMBERVALUE("-0.000341")</f>
        <v/>
      </c>
      <c r="K1368">
        <f>_xlfn.NUMBERVALUE("-0.001831")</f>
        <v/>
      </c>
      <c r="L1368">
        <f>_xlfn.NUMBERVALUE("-0.000043")</f>
        <v/>
      </c>
      <c r="M1368">
        <f>_xlfn.NUMBERVALUE("0.000485")</f>
        <v/>
      </c>
      <c r="N1368">
        <f>_xlfn.NUMBERVALUE("0.001505")</f>
        <v/>
      </c>
      <c r="O1368">
        <f>_xlfn.NUMBERVALUE("-0.012505")</f>
        <v/>
      </c>
      <c r="P1368">
        <f>_xlfn.NUMBERVALUE("-0.001233")</f>
        <v/>
      </c>
      <c r="Q1368">
        <f>_xlfn.NUMBERVALUE("-0.000132")</f>
        <v/>
      </c>
      <c r="R1368">
        <f>_xlfn.NUMBERVALUE("-0.003430")</f>
        <v/>
      </c>
      <c r="S1368">
        <f>_xlfn.NUMBERVALUE("-0.001893")</f>
        <v/>
      </c>
      <c r="T1368">
        <f>_xlfn.NUMBERVALUE("-0.001168")</f>
        <v/>
      </c>
      <c r="U1368">
        <f>_xlfn.NUMBERVALUE("-0.000213")</f>
        <v/>
      </c>
      <c r="V1368">
        <f>_xlfn.NUMBERVALUE("-0.006069")</f>
        <v/>
      </c>
      <c r="W1368">
        <f>_xlfn.NUMBERVALUE("0.027374")</f>
        <v/>
      </c>
      <c r="X1368">
        <f>_xlfn.NUMBERVALUE("-1.290000")</f>
        <v/>
      </c>
      <c r="Y1368">
        <f>_xlfn.NUMBERVALUE("24.520000")</f>
        <v/>
      </c>
    </row>
    <row r="1369">
      <c r="A1369" s="1" t="n">
        <v>43990</v>
      </c>
      <c r="B1369">
        <f>_xlfn.NUMBERVALUE("0.000000")</f>
        <v/>
      </c>
      <c r="C1369" s="2">
        <f>_xlfn.NUMBERVALUE("-0.003758")</f>
        <v/>
      </c>
      <c r="D1369">
        <f>_xlfn.NUMBERVALUE("0.000308")</f>
        <v/>
      </c>
      <c r="E1369">
        <f>_xlfn.NUMBERVALUE("-0.000128")</f>
        <v/>
      </c>
      <c r="F1369">
        <f>_xlfn.NUMBERVALUE("0.003282")</f>
        <v/>
      </c>
      <c r="G1369">
        <f>_xlfn.NUMBERVALUE("0.001286")</f>
        <v/>
      </c>
      <c r="H1369">
        <f>_xlfn.NUMBERVALUE("-0.001071")</f>
        <v/>
      </c>
      <c r="I1369">
        <f>_xlfn.NUMBERVALUE("-0.004643")</f>
        <v/>
      </c>
      <c r="J1369">
        <f>_xlfn.NUMBERVALUE("0.000732")</f>
        <v/>
      </c>
      <c r="K1369">
        <f>_xlfn.NUMBERVALUE("-0.001346")</f>
        <v/>
      </c>
      <c r="L1369">
        <f>_xlfn.NUMBERVALUE("0.001738")</f>
        <v/>
      </c>
      <c r="M1369">
        <f>_xlfn.NUMBERVALUE("-0.000079")</f>
        <v/>
      </c>
      <c r="N1369">
        <f>_xlfn.NUMBERVALUE("-0.000252")</f>
        <v/>
      </c>
      <c r="O1369">
        <f>_xlfn.NUMBERVALUE("-0.000301")</f>
        <v/>
      </c>
      <c r="P1369">
        <f>_xlfn.NUMBERVALUE("0.000137")</f>
        <v/>
      </c>
      <c r="Q1369">
        <f>_xlfn.NUMBERVALUE("0.000519")</f>
        <v/>
      </c>
      <c r="R1369">
        <f>_xlfn.NUMBERVALUE("0.000654")</f>
        <v/>
      </c>
      <c r="S1369">
        <f>_xlfn.NUMBERVALUE("-0.000101")</f>
        <v/>
      </c>
      <c r="T1369">
        <f>_xlfn.NUMBERVALUE("-0.000055")</f>
        <v/>
      </c>
      <c r="U1369">
        <f>_xlfn.NUMBERVALUE("-0.000009")</f>
        <v/>
      </c>
      <c r="V1369">
        <f>_xlfn.NUMBERVALUE("-0.003243")</f>
        <v/>
      </c>
      <c r="W1369">
        <f>_xlfn.NUMBERVALUE("0.011643")</f>
        <v/>
      </c>
      <c r="X1369">
        <f>_xlfn.NUMBERVALUE("1.290000")</f>
        <v/>
      </c>
      <c r="Y1369">
        <f>_xlfn.NUMBERVALUE("25.810000")</f>
        <v/>
      </c>
    </row>
    <row r="1370">
      <c r="A1370" s="1" t="n">
        <v>43991</v>
      </c>
      <c r="B1370">
        <f>_xlfn.NUMBERVALUE("0.000000")</f>
        <v/>
      </c>
      <c r="C1370" s="2">
        <f>_xlfn.NUMBERVALUE("-0.001657")</f>
        <v/>
      </c>
      <c r="D1370">
        <f>_xlfn.NUMBERVALUE("-0.000523")</f>
        <v/>
      </c>
      <c r="E1370">
        <f>_xlfn.NUMBERVALUE("-0.000705")</f>
        <v/>
      </c>
      <c r="F1370">
        <f>_xlfn.NUMBERVALUE("-0.001613")</f>
        <v/>
      </c>
      <c r="G1370">
        <f>_xlfn.NUMBERVALUE("0.001171")</f>
        <v/>
      </c>
      <c r="H1370">
        <f>_xlfn.NUMBERVALUE("-0.000120")</f>
        <v/>
      </c>
      <c r="I1370">
        <f>_xlfn.NUMBERVALUE("-0.002183")</f>
        <v/>
      </c>
      <c r="J1370">
        <f>_xlfn.NUMBERVALUE("-0.000642")</f>
        <v/>
      </c>
      <c r="K1370">
        <f>_xlfn.NUMBERVALUE("-0.003771")</f>
        <v/>
      </c>
      <c r="L1370">
        <f>_xlfn.NUMBERVALUE("-0.001927")</f>
        <v/>
      </c>
      <c r="M1370">
        <f>_xlfn.NUMBERVALUE("-0.000616")</f>
        <v/>
      </c>
      <c r="N1370">
        <f>_xlfn.NUMBERVALUE("0.000023")</f>
        <v/>
      </c>
      <c r="O1370">
        <f>_xlfn.NUMBERVALUE("-0.000001")</f>
        <v/>
      </c>
      <c r="P1370">
        <f>_xlfn.NUMBERVALUE("-0.000142")</f>
        <v/>
      </c>
      <c r="Q1370">
        <f>_xlfn.NUMBERVALUE("-0.000446")</f>
        <v/>
      </c>
      <c r="R1370">
        <f>_xlfn.NUMBERVALUE("-0.000001")</f>
        <v/>
      </c>
      <c r="S1370">
        <f>_xlfn.NUMBERVALUE("-0.000000")</f>
        <v/>
      </c>
      <c r="T1370">
        <f>_xlfn.NUMBERVALUE("0.000004")</f>
        <v/>
      </c>
      <c r="U1370">
        <f>_xlfn.NUMBERVALUE("0.000002")</f>
        <v/>
      </c>
      <c r="V1370">
        <f>_xlfn.NUMBERVALUE("-0.001514")</f>
        <v/>
      </c>
      <c r="W1370">
        <f>_xlfn.NUMBERVALUE("-0.002854")</f>
        <v/>
      </c>
      <c r="X1370">
        <f>_xlfn.NUMBERVALUE("1.760000")</f>
        <v/>
      </c>
      <c r="Y1370">
        <f>_xlfn.NUMBERVALUE("27.570000")</f>
        <v/>
      </c>
    </row>
    <row r="1371">
      <c r="A1371" s="1" t="n">
        <v>43992</v>
      </c>
      <c r="B1371">
        <f>_xlfn.NUMBERVALUE("0.000000")</f>
        <v/>
      </c>
      <c r="C1371" s="2">
        <f>_xlfn.NUMBERVALUE("0.000790")</f>
        <v/>
      </c>
      <c r="D1371">
        <f>_xlfn.NUMBERVALUE("0.000617")</f>
        <v/>
      </c>
      <c r="E1371">
        <f>_xlfn.NUMBERVALUE("0.000388")</f>
        <v/>
      </c>
      <c r="F1371">
        <f>_xlfn.NUMBERVALUE("-0.003884")</f>
        <v/>
      </c>
      <c r="G1371">
        <f>_xlfn.NUMBERVALUE("0.001615")</f>
        <v/>
      </c>
      <c r="H1371">
        <f>_xlfn.NUMBERVALUE("0.011064")</f>
        <v/>
      </c>
      <c r="I1371">
        <f>_xlfn.NUMBERVALUE("0.000978")</f>
        <v/>
      </c>
      <c r="J1371">
        <f>_xlfn.NUMBERVALUE("-0.000433")</f>
        <v/>
      </c>
      <c r="K1371">
        <f>_xlfn.NUMBERVALUE("-0.002950")</f>
        <v/>
      </c>
      <c r="L1371">
        <f>_xlfn.NUMBERVALUE("-0.000414")</f>
        <v/>
      </c>
      <c r="M1371">
        <f>_xlfn.NUMBERVALUE("-0.001711")</f>
        <v/>
      </c>
      <c r="N1371">
        <f>_xlfn.NUMBERVALUE("-0.000240")</f>
        <v/>
      </c>
      <c r="O1371">
        <f>_xlfn.NUMBERVALUE("-0.006299")</f>
        <v/>
      </c>
      <c r="P1371">
        <f>_xlfn.NUMBERVALUE("-0.007409")</f>
        <v/>
      </c>
      <c r="Q1371">
        <f>_xlfn.NUMBERVALUE("-0.000798")</f>
        <v/>
      </c>
      <c r="R1371">
        <f>_xlfn.NUMBERVALUE("-0.003037")</f>
        <v/>
      </c>
      <c r="S1371">
        <f>_xlfn.NUMBERVALUE("-0.000514")</f>
        <v/>
      </c>
      <c r="T1371">
        <f>_xlfn.NUMBERVALUE("-0.000817")</f>
        <v/>
      </c>
      <c r="U1371">
        <f>_xlfn.NUMBERVALUE("-0.002092")</f>
        <v/>
      </c>
      <c r="V1371">
        <f>_xlfn.NUMBERVALUE("0.002188")</f>
        <v/>
      </c>
      <c r="W1371">
        <f>_xlfn.NUMBERVALUE("-0.004791")</f>
        <v/>
      </c>
      <c r="X1371">
        <f>_xlfn.NUMBERVALUE("0.000000")</f>
        <v/>
      </c>
      <c r="Y1371">
        <f>_xlfn.NUMBERVALUE("27.570000")</f>
        <v/>
      </c>
    </row>
    <row r="1372">
      <c r="A1372" s="1" t="n">
        <v>43993</v>
      </c>
      <c r="B1372">
        <f>_xlfn.NUMBERVALUE("0.000000")</f>
        <v/>
      </c>
      <c r="C1372" s="2">
        <f>_xlfn.NUMBERVALUE("-0.031426")</f>
        <v/>
      </c>
      <c r="D1372">
        <f>_xlfn.NUMBERVALUE("-0.028232")</f>
        <v/>
      </c>
      <c r="E1372">
        <f>_xlfn.NUMBERVALUE("-0.027149")</f>
        <v/>
      </c>
      <c r="F1372">
        <f>_xlfn.NUMBERVALUE("-0.004695")</f>
        <v/>
      </c>
      <c r="G1372">
        <f>_xlfn.NUMBERVALUE("-0.010017")</f>
        <v/>
      </c>
      <c r="H1372">
        <f>_xlfn.NUMBERVALUE("0.003181")</f>
        <v/>
      </c>
      <c r="I1372">
        <f>_xlfn.NUMBERVALUE("-0.033307")</f>
        <v/>
      </c>
      <c r="J1372">
        <f>_xlfn.NUMBERVALUE("-0.002880")</f>
        <v/>
      </c>
      <c r="K1372">
        <f>_xlfn.NUMBERVALUE("-0.006422")</f>
        <v/>
      </c>
      <c r="L1372">
        <f>_xlfn.NUMBERVALUE("-0.004249")</f>
        <v/>
      </c>
      <c r="M1372">
        <f>_xlfn.NUMBERVALUE("-0.032420")</f>
        <v/>
      </c>
      <c r="N1372">
        <f>_xlfn.NUMBERVALUE("-0.004585")</f>
        <v/>
      </c>
      <c r="O1372">
        <f>_xlfn.NUMBERVALUE("-0.029371")</f>
        <v/>
      </c>
      <c r="P1372">
        <f>_xlfn.NUMBERVALUE("-0.029157")</f>
        <v/>
      </c>
      <c r="Q1372">
        <f>_xlfn.NUMBERVALUE("-0.024250")</f>
        <v/>
      </c>
      <c r="R1372">
        <f>_xlfn.NUMBERVALUE("-0.022594")</f>
        <v/>
      </c>
      <c r="S1372">
        <f>_xlfn.NUMBERVALUE("-0.014825")</f>
        <v/>
      </c>
      <c r="T1372">
        <f>_xlfn.NUMBERVALUE("-0.020122")</f>
        <v/>
      </c>
      <c r="U1372">
        <f>_xlfn.NUMBERVALUE("-0.021230")</f>
        <v/>
      </c>
      <c r="V1372">
        <f>_xlfn.NUMBERVALUE("-0.027890")</f>
        <v/>
      </c>
      <c r="W1372">
        <f>_xlfn.NUMBERVALUE("-0.055613")</f>
        <v/>
      </c>
      <c r="X1372">
        <f>_xlfn.NUMBERVALUE("13.220000")</f>
        <v/>
      </c>
      <c r="Y1372">
        <f>_xlfn.NUMBERVALUE("40.790000")</f>
        <v/>
      </c>
    </row>
    <row r="1373">
      <c r="A1373" s="1" t="n">
        <v>43994</v>
      </c>
      <c r="B1373">
        <f>_xlfn.NUMBERVALUE("0.000000")</f>
        <v/>
      </c>
      <c r="C1373" s="2">
        <f>_xlfn.NUMBERVALUE("0.003399")</f>
        <v/>
      </c>
      <c r="D1373">
        <f>_xlfn.NUMBERVALUE("0.000830")</f>
        <v/>
      </c>
      <c r="E1373">
        <f>_xlfn.NUMBERVALUE("0.002488")</f>
        <v/>
      </c>
      <c r="F1373">
        <f>_xlfn.NUMBERVALUE("0.004838")</f>
        <v/>
      </c>
      <c r="G1373">
        <f>_xlfn.NUMBERVALUE("0.003102")</f>
        <v/>
      </c>
      <c r="H1373">
        <f>_xlfn.NUMBERVALUE("0.000282")</f>
        <v/>
      </c>
      <c r="I1373">
        <f>_xlfn.NUMBERVALUE("0.006220")</f>
        <v/>
      </c>
      <c r="J1373">
        <f>_xlfn.NUMBERVALUE("-0.000344")</f>
        <v/>
      </c>
      <c r="K1373">
        <f>_xlfn.NUMBERVALUE("0.004860")</f>
        <v/>
      </c>
      <c r="L1373">
        <f>_xlfn.NUMBERVALUE("0.000521")</f>
        <v/>
      </c>
      <c r="M1373">
        <f>_xlfn.NUMBERVALUE("-0.007013")</f>
        <v/>
      </c>
      <c r="N1373">
        <f>_xlfn.NUMBERVALUE("0.001983")</f>
        <v/>
      </c>
      <c r="O1373">
        <f>_xlfn.NUMBERVALUE("0.004675")</f>
        <v/>
      </c>
      <c r="P1373">
        <f>_xlfn.NUMBERVALUE("0.002594")</f>
        <v/>
      </c>
      <c r="Q1373">
        <f>_xlfn.NUMBERVALUE("0.001465")</f>
        <v/>
      </c>
      <c r="R1373">
        <f>_xlfn.NUMBERVALUE("0.003470")</f>
        <v/>
      </c>
      <c r="S1373">
        <f>_xlfn.NUMBERVALUE("-0.001004")</f>
        <v/>
      </c>
      <c r="T1373">
        <f>_xlfn.NUMBERVALUE("0.000954")</f>
        <v/>
      </c>
      <c r="U1373">
        <f>_xlfn.NUMBERVALUE("0.000610")</f>
        <v/>
      </c>
      <c r="V1373">
        <f>_xlfn.NUMBERVALUE("0.005851")</f>
        <v/>
      </c>
      <c r="W1373">
        <f>_xlfn.NUMBERVALUE("0.004071")</f>
        <v/>
      </c>
      <c r="X1373">
        <f>_xlfn.NUMBERVALUE("-4.700000")</f>
        <v/>
      </c>
      <c r="Y1373">
        <f>_xlfn.NUMBERVALUE("36.090000")</f>
        <v/>
      </c>
    </row>
    <row r="1374">
      <c r="A1374" s="1" t="n">
        <v>43997</v>
      </c>
      <c r="B1374">
        <f>_xlfn.NUMBERVALUE("0.000000")</f>
        <v/>
      </c>
      <c r="C1374" s="2">
        <f>_xlfn.NUMBERVALUE("0.006309")</f>
        <v/>
      </c>
      <c r="D1374">
        <f>_xlfn.NUMBERVALUE("0.007046")</f>
        <v/>
      </c>
      <c r="E1374">
        <f>_xlfn.NUMBERVALUE("0.006167")</f>
        <v/>
      </c>
      <c r="F1374">
        <f>_xlfn.NUMBERVALUE("0.002131")</f>
        <v/>
      </c>
      <c r="G1374">
        <f>_xlfn.NUMBERVALUE("-0.001357")</f>
        <v/>
      </c>
      <c r="H1374">
        <f>_xlfn.NUMBERVALUE("-0.006058")</f>
        <v/>
      </c>
      <c r="I1374">
        <f>_xlfn.NUMBERVALUE("0.002190")</f>
        <v/>
      </c>
      <c r="J1374">
        <f>_xlfn.NUMBERVALUE("-0.004649")</f>
        <v/>
      </c>
      <c r="K1374">
        <f>_xlfn.NUMBERVALUE("-0.001579")</f>
        <v/>
      </c>
      <c r="L1374">
        <f>_xlfn.NUMBERVALUE("0.001135")</f>
        <v/>
      </c>
      <c r="M1374">
        <f>_xlfn.NUMBERVALUE("0.008051")</f>
        <v/>
      </c>
      <c r="N1374">
        <f>_xlfn.NUMBERVALUE("0.000662")</f>
        <v/>
      </c>
      <c r="O1374">
        <f>_xlfn.NUMBERVALUE("0.004369")</f>
        <v/>
      </c>
      <c r="P1374">
        <f>_xlfn.NUMBERVALUE("0.004991")</f>
        <v/>
      </c>
      <c r="Q1374">
        <f>_xlfn.NUMBERVALUE("0.005342")</f>
        <v/>
      </c>
      <c r="R1374">
        <f>_xlfn.NUMBERVALUE("0.004292")</f>
        <v/>
      </c>
      <c r="S1374">
        <f>_xlfn.NUMBERVALUE("0.002136")</f>
        <v/>
      </c>
      <c r="T1374">
        <f>_xlfn.NUMBERVALUE("0.004123")</f>
        <v/>
      </c>
      <c r="U1374">
        <f>_xlfn.NUMBERVALUE("0.006129")</f>
        <v/>
      </c>
      <c r="V1374">
        <f>_xlfn.NUMBERVALUE("0.002648")</f>
        <v/>
      </c>
      <c r="W1374">
        <f>_xlfn.NUMBERVALUE("0.007187")</f>
        <v/>
      </c>
      <c r="X1374">
        <f>_xlfn.NUMBERVALUE("-1.690000")</f>
        <v/>
      </c>
      <c r="Y1374">
        <f>_xlfn.NUMBERVALUE("34.400000")</f>
        <v/>
      </c>
    </row>
    <row r="1375">
      <c r="A1375" s="1" t="n">
        <v>43998</v>
      </c>
      <c r="B1375">
        <f>_xlfn.NUMBERVALUE("0.000000")</f>
        <v/>
      </c>
      <c r="C1375" s="2">
        <f>_xlfn.NUMBERVALUE("-0.003680")</f>
        <v/>
      </c>
      <c r="D1375">
        <f>_xlfn.NUMBERVALUE("0.000429")</f>
        <v/>
      </c>
      <c r="E1375">
        <f>_xlfn.NUMBERVALUE("-0.000450")</f>
        <v/>
      </c>
      <c r="F1375">
        <f>_xlfn.NUMBERVALUE("0.002941")</f>
        <v/>
      </c>
      <c r="G1375">
        <f>_xlfn.NUMBERVALUE("-0.003041")</f>
        <v/>
      </c>
      <c r="H1375">
        <f>_xlfn.NUMBERVALUE("-0.000568")</f>
        <v/>
      </c>
      <c r="I1375">
        <f>_xlfn.NUMBERVALUE("-0.004050")</f>
        <v/>
      </c>
      <c r="J1375">
        <f>_xlfn.NUMBERVALUE("0.002051")</f>
        <v/>
      </c>
      <c r="K1375">
        <f>_xlfn.NUMBERVALUE("0.005497")</f>
        <v/>
      </c>
      <c r="L1375">
        <f>_xlfn.NUMBERVALUE("-0.001656")</f>
        <v/>
      </c>
      <c r="M1375">
        <f>_xlfn.NUMBERVALUE("-0.000326")</f>
        <v/>
      </c>
      <c r="N1375">
        <f>_xlfn.NUMBERVALUE("-0.000001")</f>
        <v/>
      </c>
      <c r="O1375">
        <f>_xlfn.NUMBERVALUE("0.002036")</f>
        <v/>
      </c>
      <c r="P1375">
        <f>_xlfn.NUMBERVALUE("0.002543")</f>
        <v/>
      </c>
      <c r="Q1375">
        <f>_xlfn.NUMBERVALUE("-0.000293")</f>
        <v/>
      </c>
      <c r="R1375">
        <f>_xlfn.NUMBERVALUE("-0.003512")</f>
        <v/>
      </c>
      <c r="S1375">
        <f>_xlfn.NUMBERVALUE("0.000270")</f>
        <v/>
      </c>
      <c r="T1375">
        <f>_xlfn.NUMBERVALUE("0.003340")</f>
        <v/>
      </c>
      <c r="U1375">
        <f>_xlfn.NUMBERVALUE("-0.001289")</f>
        <v/>
      </c>
      <c r="V1375">
        <f>_xlfn.NUMBERVALUE("-0.004017")</f>
        <v/>
      </c>
      <c r="W1375">
        <f>_xlfn.NUMBERVALUE("0.019934")</f>
        <v/>
      </c>
      <c r="X1375">
        <f>_xlfn.NUMBERVALUE("-0.730000")</f>
        <v/>
      </c>
      <c r="Y1375">
        <f>_xlfn.NUMBERVALUE("33.670000")</f>
        <v/>
      </c>
    </row>
    <row r="1376">
      <c r="A1376" s="1" t="n">
        <v>43999</v>
      </c>
      <c r="B1376">
        <f>_xlfn.NUMBERVALUE("0.000000")</f>
        <v/>
      </c>
      <c r="C1376" s="2">
        <f>_xlfn.NUMBERVALUE("0.004068")</f>
        <v/>
      </c>
      <c r="D1376">
        <f>_xlfn.NUMBERVALUE("0.003822")</f>
        <v/>
      </c>
      <c r="E1376">
        <f>_xlfn.NUMBERVALUE("0.003100")</f>
        <v/>
      </c>
      <c r="F1376">
        <f>_xlfn.NUMBERVALUE("0.001584")</f>
        <v/>
      </c>
      <c r="G1376">
        <f>_xlfn.NUMBERVALUE("0.001999")</f>
        <v/>
      </c>
      <c r="H1376">
        <f>_xlfn.NUMBERVALUE("-0.010170")</f>
        <v/>
      </c>
      <c r="I1376">
        <f>_xlfn.NUMBERVALUE("0.003103")</f>
        <v/>
      </c>
      <c r="J1376">
        <f>_xlfn.NUMBERVALUE("0.001143")</f>
        <v/>
      </c>
      <c r="K1376">
        <f>_xlfn.NUMBERVALUE("0.003524")</f>
        <v/>
      </c>
      <c r="L1376">
        <f>_xlfn.NUMBERVALUE("0.001245")</f>
        <v/>
      </c>
      <c r="M1376">
        <f>_xlfn.NUMBERVALUE("-0.001818")</f>
        <v/>
      </c>
      <c r="N1376">
        <f>_xlfn.NUMBERVALUE("0.003760")</f>
        <v/>
      </c>
      <c r="O1376">
        <f>_xlfn.NUMBERVALUE("-0.000757")</f>
        <v/>
      </c>
      <c r="P1376">
        <f>_xlfn.NUMBERVALUE("0.002976")</f>
        <v/>
      </c>
      <c r="Q1376">
        <f>_xlfn.NUMBERVALUE("0.001968")</f>
        <v/>
      </c>
      <c r="R1376">
        <f>_xlfn.NUMBERVALUE("0.001169")</f>
        <v/>
      </c>
      <c r="S1376">
        <f>_xlfn.NUMBERVALUE("0.001351")</f>
        <v/>
      </c>
      <c r="T1376">
        <f>_xlfn.NUMBERVALUE("0.002919")</f>
        <v/>
      </c>
      <c r="U1376">
        <f>_xlfn.NUMBERVALUE("0.002861")</f>
        <v/>
      </c>
      <c r="V1376">
        <f>_xlfn.NUMBERVALUE("0.003214")</f>
        <v/>
      </c>
      <c r="W1376">
        <f>_xlfn.NUMBERVALUE("-0.000193")</f>
        <v/>
      </c>
      <c r="X1376">
        <f>_xlfn.NUMBERVALUE("-0.200000")</f>
        <v/>
      </c>
      <c r="Y1376">
        <f>_xlfn.NUMBERVALUE("33.470000")</f>
        <v/>
      </c>
    </row>
    <row r="1377">
      <c r="A1377" s="1" t="n">
        <v>44000</v>
      </c>
      <c r="B1377">
        <f>_xlfn.NUMBERVALUE("0.000000")</f>
        <v/>
      </c>
      <c r="C1377" s="2">
        <f>_xlfn.NUMBERVALUE("0.003630")</f>
        <v/>
      </c>
      <c r="D1377">
        <f>_xlfn.NUMBERVALUE("0.003943")</f>
        <v/>
      </c>
      <c r="E1377">
        <f>_xlfn.NUMBERVALUE("0.002274")</f>
        <v/>
      </c>
      <c r="F1377">
        <f>_xlfn.NUMBERVALUE("0.001692")</f>
        <v/>
      </c>
      <c r="G1377">
        <f>_xlfn.NUMBERVALUE("0.003741")</f>
        <v/>
      </c>
      <c r="H1377">
        <f>_xlfn.NUMBERVALUE("0.020187")</f>
        <v/>
      </c>
      <c r="I1377">
        <f>_xlfn.NUMBERVALUE("0.003248")</f>
        <v/>
      </c>
      <c r="J1377">
        <f>_xlfn.NUMBERVALUE("0.000599")</f>
        <v/>
      </c>
      <c r="K1377">
        <f>_xlfn.NUMBERVALUE("0.002638")</f>
        <v/>
      </c>
      <c r="L1377">
        <f>_xlfn.NUMBERVALUE("0.000323")</f>
        <v/>
      </c>
      <c r="M1377">
        <f>_xlfn.NUMBERVALUE("0.004641")</f>
        <v/>
      </c>
      <c r="N1377">
        <f>_xlfn.NUMBERVALUE("0.001243")</f>
        <v/>
      </c>
      <c r="O1377">
        <f>_xlfn.NUMBERVALUE("0.001325")</f>
        <v/>
      </c>
      <c r="P1377">
        <f>_xlfn.NUMBERVALUE("0.002320")</f>
        <v/>
      </c>
      <c r="Q1377">
        <f>_xlfn.NUMBERVALUE("0.003591")</f>
        <v/>
      </c>
      <c r="R1377">
        <f>_xlfn.NUMBERVALUE("0.005402")</f>
        <v/>
      </c>
      <c r="S1377">
        <f>_xlfn.NUMBERVALUE("0.001049")</f>
        <v/>
      </c>
      <c r="T1377">
        <f>_xlfn.NUMBERVALUE("0.001437")</f>
        <v/>
      </c>
      <c r="U1377">
        <f>_xlfn.NUMBERVALUE("0.000308")</f>
        <v/>
      </c>
      <c r="V1377">
        <f>_xlfn.NUMBERVALUE("0.003725")</f>
        <v/>
      </c>
      <c r="W1377">
        <f>_xlfn.NUMBERVALUE("-0.001541")</f>
        <v/>
      </c>
      <c r="X1377">
        <f>_xlfn.NUMBERVALUE("-0.530000")</f>
        <v/>
      </c>
      <c r="Y1377">
        <f>_xlfn.NUMBERVALUE("32.940000")</f>
        <v/>
      </c>
    </row>
    <row r="1378">
      <c r="A1378" s="1" t="n">
        <v>44001</v>
      </c>
      <c r="B1378">
        <f>_xlfn.NUMBERVALUE("0.000000")</f>
        <v/>
      </c>
      <c r="C1378" s="2">
        <f>_xlfn.NUMBERVALUE("0.001279")</f>
        <v/>
      </c>
      <c r="D1378">
        <f>_xlfn.NUMBERVALUE("0.003573")</f>
        <v/>
      </c>
      <c r="E1378">
        <f>_xlfn.NUMBERVALUE("0.003199")</f>
        <v/>
      </c>
      <c r="F1378">
        <f>_xlfn.NUMBERVALUE("-0.000258")</f>
        <v/>
      </c>
      <c r="G1378">
        <f>_xlfn.NUMBERVALUE("-0.000699")</f>
        <v/>
      </c>
      <c r="H1378">
        <f>_xlfn.NUMBERVALUE("-0.000234")</f>
        <v/>
      </c>
      <c r="I1378">
        <f>_xlfn.NUMBERVALUE("0.006780")</f>
        <v/>
      </c>
      <c r="J1378">
        <f>_xlfn.NUMBERVALUE("0.000750")</f>
        <v/>
      </c>
      <c r="K1378">
        <f>_xlfn.NUMBERVALUE("-0.002936")</f>
        <v/>
      </c>
      <c r="L1378">
        <f>_xlfn.NUMBERVALUE("0.001435")</f>
        <v/>
      </c>
      <c r="M1378">
        <f>_xlfn.NUMBERVALUE("0.004314")</f>
        <v/>
      </c>
      <c r="N1378">
        <f>_xlfn.NUMBERVALUE("0.003346")</f>
        <v/>
      </c>
      <c r="O1378">
        <f>_xlfn.NUMBERVALUE("0.002941")</f>
        <v/>
      </c>
      <c r="P1378">
        <f>_xlfn.NUMBERVALUE("0.003085")</f>
        <v/>
      </c>
      <c r="Q1378">
        <f>_xlfn.NUMBERVALUE("0.003393")</f>
        <v/>
      </c>
      <c r="R1378">
        <f>_xlfn.NUMBERVALUE("0.003149")</f>
        <v/>
      </c>
      <c r="S1378">
        <f>_xlfn.NUMBERVALUE("0.001868")</f>
        <v/>
      </c>
      <c r="T1378">
        <f>_xlfn.NUMBERVALUE("0.003532")</f>
        <v/>
      </c>
      <c r="U1378">
        <f>_xlfn.NUMBERVALUE("0.003202")</f>
        <v/>
      </c>
      <c r="V1378">
        <f>_xlfn.NUMBERVALUE("0.001375")</f>
        <v/>
      </c>
      <c r="W1378">
        <f>_xlfn.NUMBERVALUE("-0.004854")</f>
        <v/>
      </c>
      <c r="X1378">
        <f>_xlfn.NUMBERVALUE("2.180000")</f>
        <v/>
      </c>
      <c r="Y1378">
        <f>_xlfn.NUMBERVALUE("35.120000")</f>
        <v/>
      </c>
    </row>
    <row r="1379">
      <c r="A1379" s="1" t="n">
        <v>44004</v>
      </c>
      <c r="B1379">
        <f>_xlfn.NUMBERVALUE("0.000000")</f>
        <v/>
      </c>
      <c r="C1379" s="2">
        <f>_xlfn.NUMBERVALUE("0.004228")</f>
        <v/>
      </c>
      <c r="D1379">
        <f>_xlfn.NUMBERVALUE("0.003394")</f>
        <v/>
      </c>
      <c r="E1379">
        <f>_xlfn.NUMBERVALUE("0.002506")</f>
        <v/>
      </c>
      <c r="F1379">
        <f>_xlfn.NUMBERVALUE("-0.000606")</f>
        <v/>
      </c>
      <c r="G1379">
        <f>_xlfn.NUMBERVALUE("0.002490")</f>
        <v/>
      </c>
      <c r="H1379">
        <f>_xlfn.NUMBERVALUE("-0.008021")</f>
        <v/>
      </c>
      <c r="I1379">
        <f>_xlfn.NUMBERVALUE("0.007417")</f>
        <v/>
      </c>
      <c r="J1379">
        <f>_xlfn.NUMBERVALUE("0.001212")</f>
        <v/>
      </c>
      <c r="K1379">
        <f>_xlfn.NUMBERVALUE("0.004261")</f>
        <v/>
      </c>
      <c r="L1379">
        <f>_xlfn.NUMBERVALUE("0.001122")</f>
        <v/>
      </c>
      <c r="M1379">
        <f>_xlfn.NUMBERVALUE("0.004364")</f>
        <v/>
      </c>
      <c r="N1379">
        <f>_xlfn.NUMBERVALUE("0.002527")</f>
        <v/>
      </c>
      <c r="O1379">
        <f>_xlfn.NUMBERVALUE("0.007364")</f>
        <v/>
      </c>
      <c r="P1379">
        <f>_xlfn.NUMBERVALUE("0.004734")</f>
        <v/>
      </c>
      <c r="Q1379">
        <f>_xlfn.NUMBERVALUE("0.004243")</f>
        <v/>
      </c>
      <c r="R1379">
        <f>_xlfn.NUMBERVALUE("0.000673")</f>
        <v/>
      </c>
      <c r="S1379">
        <f>_xlfn.NUMBERVALUE("0.003179")</f>
        <v/>
      </c>
      <c r="T1379">
        <f>_xlfn.NUMBERVALUE("0.003229")</f>
        <v/>
      </c>
      <c r="U1379">
        <f>_xlfn.NUMBERVALUE("0.005097")</f>
        <v/>
      </c>
      <c r="V1379">
        <f>_xlfn.NUMBERVALUE("0.004352")</f>
        <v/>
      </c>
      <c r="W1379">
        <f>_xlfn.NUMBERVALUE("0.002584")</f>
        <v/>
      </c>
      <c r="X1379">
        <f>_xlfn.NUMBERVALUE("-3.350000")</f>
        <v/>
      </c>
      <c r="Y1379">
        <f>_xlfn.NUMBERVALUE("31.770000")</f>
        <v/>
      </c>
    </row>
    <row r="1380">
      <c r="A1380" s="1" t="n">
        <v>44005</v>
      </c>
      <c r="B1380">
        <f>_xlfn.NUMBERVALUE("0.000000")</f>
        <v/>
      </c>
      <c r="C1380" s="2">
        <f>_xlfn.NUMBERVALUE("0.002785")</f>
        <v/>
      </c>
      <c r="D1380">
        <f>_xlfn.NUMBERVALUE("0.001396")</f>
        <v/>
      </c>
      <c r="E1380">
        <f>_xlfn.NUMBERVALUE("0.001048")</f>
        <v/>
      </c>
      <c r="F1380">
        <f>_xlfn.NUMBERVALUE("-0.001247")</f>
        <v/>
      </c>
      <c r="G1380">
        <f>_xlfn.NUMBERVALUE("0.004456")</f>
        <v/>
      </c>
      <c r="H1380">
        <f>_xlfn.NUMBERVALUE("0.008468")</f>
        <v/>
      </c>
      <c r="I1380">
        <f>_xlfn.NUMBERVALUE("0.004494")</f>
        <v/>
      </c>
      <c r="J1380">
        <f>_xlfn.NUMBERVALUE("0.000531")</f>
        <v/>
      </c>
      <c r="K1380">
        <f>_xlfn.NUMBERVALUE("-0.000212")</f>
        <v/>
      </c>
      <c r="L1380">
        <f>_xlfn.NUMBERVALUE("0.000283")</f>
        <v/>
      </c>
      <c r="M1380">
        <f>_xlfn.NUMBERVALUE("0.002480")</f>
        <v/>
      </c>
      <c r="N1380">
        <f>_xlfn.NUMBERVALUE("0.001541")</f>
        <v/>
      </c>
      <c r="O1380">
        <f>_xlfn.NUMBERVALUE("0.001312")</f>
        <v/>
      </c>
      <c r="P1380">
        <f>_xlfn.NUMBERVALUE("0.002328")</f>
        <v/>
      </c>
      <c r="Q1380">
        <f>_xlfn.NUMBERVALUE("0.002498")</f>
        <v/>
      </c>
      <c r="R1380">
        <f>_xlfn.NUMBERVALUE("-0.001716")</f>
        <v/>
      </c>
      <c r="S1380">
        <f>_xlfn.NUMBERVALUE("0.001665")</f>
        <v/>
      </c>
      <c r="T1380">
        <f>_xlfn.NUMBERVALUE("0.000500")</f>
        <v/>
      </c>
      <c r="U1380">
        <f>_xlfn.NUMBERVALUE("0.001928")</f>
        <v/>
      </c>
      <c r="V1380">
        <f>_xlfn.NUMBERVALUE("0.001613")</f>
        <v/>
      </c>
      <c r="W1380">
        <f>_xlfn.NUMBERVALUE("0.007959")</f>
        <v/>
      </c>
      <c r="X1380">
        <f>_xlfn.NUMBERVALUE("-0.400000")</f>
        <v/>
      </c>
      <c r="Y1380">
        <f>_xlfn.NUMBERVALUE("31.370000")</f>
        <v/>
      </c>
    </row>
    <row r="1381">
      <c r="A1381" s="1" t="n">
        <v>44006</v>
      </c>
      <c r="B1381">
        <f>_xlfn.NUMBERVALUE("0.000000")</f>
        <v/>
      </c>
      <c r="C1381" s="2">
        <f>_xlfn.NUMBERVALUE("-0.004310")</f>
        <v/>
      </c>
      <c r="D1381">
        <f>_xlfn.NUMBERVALUE("-0.003972")</f>
        <v/>
      </c>
      <c r="E1381">
        <f>_xlfn.NUMBERVALUE("-0.006057")</f>
        <v/>
      </c>
      <c r="F1381">
        <f>_xlfn.NUMBERVALUE("0.001212")</f>
        <v/>
      </c>
      <c r="G1381">
        <f>_xlfn.NUMBERVALUE("-0.002458")</f>
        <v/>
      </c>
      <c r="H1381">
        <f>_xlfn.NUMBERVALUE("0.000140")</f>
        <v/>
      </c>
      <c r="I1381">
        <f>_xlfn.NUMBERVALUE("-0.005754")</f>
        <v/>
      </c>
      <c r="J1381">
        <f>_xlfn.NUMBERVALUE("0.000899")</f>
        <v/>
      </c>
      <c r="K1381">
        <f>_xlfn.NUMBERVALUE("0.000520")</f>
        <v/>
      </c>
      <c r="L1381">
        <f>_xlfn.NUMBERVALUE("-0.000614")</f>
        <v/>
      </c>
      <c r="M1381">
        <f>_xlfn.NUMBERVALUE("-0.003776")</f>
        <v/>
      </c>
      <c r="N1381">
        <f>_xlfn.NUMBERVALUE("-0.002098")</f>
        <v/>
      </c>
      <c r="O1381">
        <f>_xlfn.NUMBERVALUE("-0.003460")</f>
        <v/>
      </c>
      <c r="P1381">
        <f>_xlfn.NUMBERVALUE("-0.003075")</f>
        <v/>
      </c>
      <c r="Q1381">
        <f>_xlfn.NUMBERVALUE("-0.003833")</f>
        <v/>
      </c>
      <c r="R1381">
        <f>_xlfn.NUMBERVALUE("-0.001454")</f>
        <v/>
      </c>
      <c r="S1381">
        <f>_xlfn.NUMBERVALUE("-0.003014")</f>
        <v/>
      </c>
      <c r="T1381">
        <f>_xlfn.NUMBERVALUE("-0.001233")</f>
        <v/>
      </c>
      <c r="U1381">
        <f>_xlfn.NUMBERVALUE("-0.003807")</f>
        <v/>
      </c>
      <c r="V1381">
        <f>_xlfn.NUMBERVALUE("-0.003499")</f>
        <v/>
      </c>
      <c r="W1381">
        <f>_xlfn.NUMBERVALUE("-0.024007")</f>
        <v/>
      </c>
      <c r="X1381">
        <f>_xlfn.NUMBERVALUE("2.470000")</f>
        <v/>
      </c>
      <c r="Y1381">
        <f>_xlfn.NUMBERVALUE("33.840000")</f>
        <v/>
      </c>
    </row>
    <row r="1382">
      <c r="A1382" s="1" t="n">
        <v>44007</v>
      </c>
      <c r="B1382">
        <f>_xlfn.NUMBERVALUE("0.000000")</f>
        <v/>
      </c>
      <c r="C1382" s="2">
        <f>_xlfn.NUMBERVALUE("0.004252")</f>
        <v/>
      </c>
      <c r="D1382">
        <f>_xlfn.NUMBERVALUE("0.004258")</f>
        <v/>
      </c>
      <c r="E1382">
        <f>_xlfn.NUMBERVALUE("0.002548")</f>
        <v/>
      </c>
      <c r="F1382">
        <f>_xlfn.NUMBERVALUE("0.001143")</f>
        <v/>
      </c>
      <c r="G1382">
        <f>_xlfn.NUMBERVALUE("0.003588")</f>
        <v/>
      </c>
      <c r="H1382">
        <f>_xlfn.NUMBERVALUE("-0.001738")</f>
        <v/>
      </c>
      <c r="I1382">
        <f>_xlfn.NUMBERVALUE("0.005284")</f>
        <v/>
      </c>
      <c r="J1382">
        <f>_xlfn.NUMBERVALUE("0.001177")</f>
        <v/>
      </c>
      <c r="K1382">
        <f>_xlfn.NUMBERVALUE("0.003756")</f>
        <v/>
      </c>
      <c r="L1382">
        <f>_xlfn.NUMBERVALUE("0.001047")</f>
        <v/>
      </c>
      <c r="M1382">
        <f>_xlfn.NUMBERVALUE("0.001580")</f>
        <v/>
      </c>
      <c r="N1382">
        <f>_xlfn.NUMBERVALUE("0.001729")</f>
        <v/>
      </c>
      <c r="O1382">
        <f>_xlfn.NUMBERVALUE("0.000909")</f>
        <v/>
      </c>
      <c r="P1382">
        <f>_xlfn.NUMBERVALUE("0.000438")</f>
        <v/>
      </c>
      <c r="Q1382">
        <f>_xlfn.NUMBERVALUE("0.000507")</f>
        <v/>
      </c>
      <c r="R1382">
        <f>_xlfn.NUMBERVALUE("0.002647")</f>
        <v/>
      </c>
      <c r="S1382">
        <f>_xlfn.NUMBERVALUE("0.002269")</f>
        <v/>
      </c>
      <c r="T1382">
        <f>_xlfn.NUMBERVALUE("-0.000207")</f>
        <v/>
      </c>
      <c r="U1382">
        <f>_xlfn.NUMBERVALUE("0.002976")</f>
        <v/>
      </c>
      <c r="V1382">
        <f>_xlfn.NUMBERVALUE("0.003403")</f>
        <v/>
      </c>
      <c r="W1382">
        <f>_xlfn.NUMBERVALUE("0.003930")</f>
        <v/>
      </c>
      <c r="X1382">
        <f>_xlfn.NUMBERVALUE("-1.620000")</f>
        <v/>
      </c>
      <c r="Y1382">
        <f>_xlfn.NUMBERVALUE("32.220000")</f>
        <v/>
      </c>
    </row>
    <row r="1383">
      <c r="A1383" s="1" t="n">
        <v>44008</v>
      </c>
      <c r="B1383">
        <f>_xlfn.NUMBERVALUE("0.000000")</f>
        <v/>
      </c>
      <c r="C1383" s="2">
        <f>_xlfn.NUMBERVALUE("-0.001525")</f>
        <v/>
      </c>
      <c r="D1383">
        <f>_xlfn.NUMBERVALUE("0.002026")</f>
        <v/>
      </c>
      <c r="E1383">
        <f>_xlfn.NUMBERVALUE("0.000690")</f>
        <v/>
      </c>
      <c r="F1383">
        <f>_xlfn.NUMBERVALUE("0.000588")</f>
        <v/>
      </c>
      <c r="G1383">
        <f>_xlfn.NUMBERVALUE("-0.002008")</f>
        <v/>
      </c>
      <c r="H1383">
        <f>_xlfn.NUMBERVALUE("-0.022019")</f>
        <v/>
      </c>
      <c r="I1383">
        <f>_xlfn.NUMBERVALUE("0.000453")</f>
        <v/>
      </c>
      <c r="J1383">
        <f>_xlfn.NUMBERVALUE("0.000694")</f>
        <v/>
      </c>
      <c r="K1383">
        <f>_xlfn.NUMBERVALUE("0.004495")</f>
        <v/>
      </c>
      <c r="L1383">
        <f>_xlfn.NUMBERVALUE("-0.000527")</f>
        <v/>
      </c>
      <c r="M1383">
        <f>_xlfn.NUMBERVALUE("-0.001261")</f>
        <v/>
      </c>
      <c r="N1383">
        <f>_xlfn.NUMBERVALUE("-0.006110")</f>
        <v/>
      </c>
      <c r="O1383">
        <f>_xlfn.NUMBERVALUE("-0.000323")</f>
        <v/>
      </c>
      <c r="P1383">
        <f>_xlfn.NUMBERVALUE("-0.002248")</f>
        <v/>
      </c>
      <c r="Q1383">
        <f>_xlfn.NUMBERVALUE("-0.001826")</f>
        <v/>
      </c>
      <c r="R1383">
        <f>_xlfn.NUMBERVALUE("0.000249")</f>
        <v/>
      </c>
      <c r="S1383">
        <f>_xlfn.NUMBERVALUE("-0.002050")</f>
        <v/>
      </c>
      <c r="T1383">
        <f>_xlfn.NUMBERVALUE("-0.000888")</f>
        <v/>
      </c>
      <c r="U1383">
        <f>_xlfn.NUMBERVALUE("-0.000607")</f>
        <v/>
      </c>
      <c r="V1383">
        <f>_xlfn.NUMBERVALUE("-0.000401")</f>
        <v/>
      </c>
      <c r="W1383">
        <f>_xlfn.NUMBERVALUE("-0.017846")</f>
        <v/>
      </c>
      <c r="X1383">
        <f>_xlfn.NUMBERVALUE("2.510000")</f>
        <v/>
      </c>
      <c r="Y1383">
        <f>_xlfn.NUMBERVALUE("34.730000")</f>
        <v/>
      </c>
    </row>
    <row r="1384">
      <c r="A1384" s="1" t="n">
        <v>44011</v>
      </c>
      <c r="B1384">
        <f>_xlfn.NUMBERVALUE("0.000000")</f>
        <v/>
      </c>
      <c r="C1384" s="2">
        <f>_xlfn.NUMBERVALUE("0.003490")</f>
        <v/>
      </c>
      <c r="D1384">
        <f>_xlfn.NUMBERVALUE("0.006510")</f>
        <v/>
      </c>
      <c r="E1384">
        <f>_xlfn.NUMBERVALUE("0.003852")</f>
        <v/>
      </c>
      <c r="F1384">
        <f>_xlfn.NUMBERVALUE("0.002099")</f>
        <v/>
      </c>
      <c r="G1384">
        <f>_xlfn.NUMBERVALUE("-0.000668")</f>
        <v/>
      </c>
      <c r="H1384">
        <f>_xlfn.NUMBERVALUE("0.024360")</f>
        <v/>
      </c>
      <c r="I1384">
        <f>_xlfn.NUMBERVALUE("0.005157")</f>
        <v/>
      </c>
      <c r="J1384">
        <f>_xlfn.NUMBERVALUE("0.000012")</f>
        <v/>
      </c>
      <c r="K1384">
        <f>_xlfn.NUMBERVALUE("0.005176")</f>
        <v/>
      </c>
      <c r="L1384">
        <f>_xlfn.NUMBERVALUE("0.000573")</f>
        <v/>
      </c>
      <c r="M1384">
        <f>_xlfn.NUMBERVALUE("0.003005")</f>
        <v/>
      </c>
      <c r="N1384">
        <f>_xlfn.NUMBERVALUE("0.002034")</f>
        <v/>
      </c>
      <c r="O1384">
        <f>_xlfn.NUMBERVALUE("0.000820")</f>
        <v/>
      </c>
      <c r="P1384">
        <f>_xlfn.NUMBERVALUE("0.001293")</f>
        <v/>
      </c>
      <c r="Q1384">
        <f>_xlfn.NUMBERVALUE("0.003001")</f>
        <v/>
      </c>
      <c r="R1384">
        <f>_xlfn.NUMBERVALUE("0.007409")</f>
        <v/>
      </c>
      <c r="S1384">
        <f>_xlfn.NUMBERVALUE("0.001029")</f>
        <v/>
      </c>
      <c r="T1384">
        <f>_xlfn.NUMBERVALUE("0.001414")</f>
        <v/>
      </c>
      <c r="U1384">
        <f>_xlfn.NUMBERVALUE("0.002184")</f>
        <v/>
      </c>
      <c r="V1384">
        <f>_xlfn.NUMBERVALUE("0.005056")</f>
        <v/>
      </c>
      <c r="W1384">
        <f>_xlfn.NUMBERVALUE("0.006743")</f>
        <v/>
      </c>
      <c r="X1384">
        <f>_xlfn.NUMBERVALUE("-2.950000")</f>
        <v/>
      </c>
      <c r="Y1384">
        <f>_xlfn.NUMBERVALUE("31.780000")</f>
        <v/>
      </c>
    </row>
    <row r="1385">
      <c r="A1385" s="1" t="n">
        <v>44012</v>
      </c>
      <c r="B1385">
        <f>_xlfn.NUMBERVALUE("0.000000")</f>
        <v/>
      </c>
      <c r="C1385" s="2">
        <f>_xlfn.NUMBERVALUE("0.003856")</f>
        <v/>
      </c>
      <c r="D1385">
        <f>_xlfn.NUMBERVALUE("0.004512")</f>
        <v/>
      </c>
      <c r="E1385">
        <f>_xlfn.NUMBERVALUE("0.003247")</f>
        <v/>
      </c>
      <c r="F1385">
        <f>_xlfn.NUMBERVALUE("-0.000478")</f>
        <v/>
      </c>
      <c r="G1385">
        <f>_xlfn.NUMBERVALUE("0.000419")</f>
        <v/>
      </c>
      <c r="H1385">
        <f>_xlfn.NUMBERVALUE("-0.000937")</f>
        <v/>
      </c>
      <c r="I1385">
        <f>_xlfn.NUMBERVALUE("0.004297")</f>
        <v/>
      </c>
      <c r="J1385">
        <f>_xlfn.NUMBERVALUE("0.001701")</f>
        <v/>
      </c>
      <c r="K1385">
        <f>_xlfn.NUMBERVALUE("-0.002559")</f>
        <v/>
      </c>
      <c r="L1385">
        <f>_xlfn.NUMBERVALUE("0.000854")</f>
        <v/>
      </c>
      <c r="M1385">
        <f>_xlfn.NUMBERVALUE("0.002189")</f>
        <v/>
      </c>
      <c r="N1385">
        <f>_xlfn.NUMBERVALUE("0.003524")</f>
        <v/>
      </c>
      <c r="O1385">
        <f>_xlfn.NUMBERVALUE("0.000141")</f>
        <v/>
      </c>
      <c r="P1385">
        <f>_xlfn.NUMBERVALUE("0.000039")</f>
        <v/>
      </c>
      <c r="Q1385">
        <f>_xlfn.NUMBERVALUE("0.001299")</f>
        <v/>
      </c>
      <c r="R1385">
        <f>_xlfn.NUMBERVALUE("0.001262")</f>
        <v/>
      </c>
      <c r="S1385">
        <f>_xlfn.NUMBERVALUE("0.001597")</f>
        <v/>
      </c>
      <c r="T1385">
        <f>_xlfn.NUMBERVALUE("0.001186")</f>
        <v/>
      </c>
      <c r="U1385">
        <f>_xlfn.NUMBERVALUE("0.001030")</f>
        <v/>
      </c>
      <c r="V1385">
        <f>_xlfn.NUMBERVALUE("-0.000752")</f>
        <v/>
      </c>
      <c r="W1385">
        <f>_xlfn.NUMBERVALUE("0.018247")</f>
        <v/>
      </c>
      <c r="X1385">
        <f>_xlfn.NUMBERVALUE("-1.350000")</f>
        <v/>
      </c>
      <c r="Y1385">
        <f>_xlfn.NUMBERVALUE("30.430000")</f>
        <v/>
      </c>
    </row>
    <row r="1386">
      <c r="A1386" s="1" t="n">
        <v>44013</v>
      </c>
      <c r="B1386">
        <f>_xlfn.NUMBERVALUE("0.000000")</f>
        <v/>
      </c>
      <c r="C1386" s="2">
        <f>_xlfn.NUMBERVALUE("0.002060")</f>
        <v/>
      </c>
      <c r="D1386">
        <f>_xlfn.NUMBERVALUE("-0.001124")</f>
        <v/>
      </c>
      <c r="E1386">
        <f>_xlfn.NUMBERVALUE("0.001316")</f>
        <v/>
      </c>
      <c r="F1386">
        <f>_xlfn.NUMBERVALUE("0.000597")</f>
        <v/>
      </c>
      <c r="G1386">
        <f>_xlfn.NUMBERVALUE("0.005267")</f>
        <v/>
      </c>
      <c r="H1386">
        <f>_xlfn.NUMBERVALUE("0.001670")</f>
        <v/>
      </c>
      <c r="I1386">
        <f>_xlfn.NUMBERVALUE("0.005617")</f>
        <v/>
      </c>
      <c r="J1386">
        <f>_xlfn.NUMBERVALUE("-0.002655")</f>
        <v/>
      </c>
      <c r="K1386">
        <f>_xlfn.NUMBERVALUE("0.004657")</f>
        <v/>
      </c>
      <c r="L1386">
        <f>_xlfn.NUMBERVALUE("-0.001158")</f>
        <v/>
      </c>
      <c r="M1386">
        <f>_xlfn.NUMBERVALUE("0.000455")</f>
        <v/>
      </c>
      <c r="N1386">
        <f>_xlfn.NUMBERVALUE("-0.006819")</f>
        <v/>
      </c>
      <c r="O1386">
        <f>_xlfn.NUMBERVALUE("0.000246")</f>
        <v/>
      </c>
      <c r="P1386">
        <f>_xlfn.NUMBERVALUE("0.000255")</f>
        <v/>
      </c>
      <c r="Q1386">
        <f>_xlfn.NUMBERVALUE("0.001038")</f>
        <v/>
      </c>
      <c r="R1386">
        <f>_xlfn.NUMBERVALUE("0.001922")</f>
        <v/>
      </c>
      <c r="S1386">
        <f>_xlfn.NUMBERVALUE("0.000427")</f>
        <v/>
      </c>
      <c r="T1386">
        <f>_xlfn.NUMBERVALUE("-0.000380")</f>
        <v/>
      </c>
      <c r="U1386">
        <f>_xlfn.NUMBERVALUE("0.000028")</f>
        <v/>
      </c>
      <c r="V1386">
        <f>_xlfn.NUMBERVALUE("0.002501")</f>
        <v/>
      </c>
      <c r="W1386">
        <f>_xlfn.NUMBERVALUE("0.010078")</f>
        <v/>
      </c>
      <c r="X1386">
        <f>_xlfn.NUMBERVALUE("-1.810000")</f>
        <v/>
      </c>
      <c r="Y1386">
        <f>_xlfn.NUMBERVALUE("28.620000")</f>
        <v/>
      </c>
    </row>
    <row r="1387">
      <c r="A1387" s="1" t="n">
        <v>44014</v>
      </c>
      <c r="B1387">
        <f>_xlfn.NUMBERVALUE("0.000000")</f>
        <v/>
      </c>
      <c r="C1387" s="2">
        <f>_xlfn.NUMBERVALUE("0.007227")</f>
        <v/>
      </c>
      <c r="D1387">
        <f>_xlfn.NUMBERVALUE("-0.001888")</f>
        <v/>
      </c>
      <c r="E1387">
        <f>_xlfn.NUMBERVALUE("0.002503")</f>
        <v/>
      </c>
      <c r="F1387">
        <f>_xlfn.NUMBERVALUE("0.001423")</f>
        <v/>
      </c>
      <c r="G1387">
        <f>_xlfn.NUMBERVALUE("0.001938")</f>
        <v/>
      </c>
      <c r="H1387">
        <f>_xlfn.NUMBERVALUE("-0.003186")</f>
        <v/>
      </c>
      <c r="I1387">
        <f>_xlfn.NUMBERVALUE("0.008554")</f>
        <v/>
      </c>
      <c r="J1387">
        <f>_xlfn.NUMBERVALUE("0.000110")</f>
        <v/>
      </c>
      <c r="K1387">
        <f>_xlfn.NUMBERVALUE("0.006279")</f>
        <v/>
      </c>
      <c r="L1387">
        <f>_xlfn.NUMBERVALUE("0.000375")</f>
        <v/>
      </c>
      <c r="M1387">
        <f>_xlfn.NUMBERVALUE("0.001810")</f>
        <v/>
      </c>
      <c r="N1387">
        <f>_xlfn.NUMBERVALUE("0.003508")</f>
        <v/>
      </c>
      <c r="O1387">
        <f>_xlfn.NUMBERVALUE("0.000117")</f>
        <v/>
      </c>
      <c r="P1387">
        <f>_xlfn.NUMBERVALUE("0.000573")</f>
        <v/>
      </c>
      <c r="Q1387">
        <f>_xlfn.NUMBERVALUE("0.000453")</f>
        <v/>
      </c>
      <c r="R1387">
        <f>_xlfn.NUMBERVALUE("0.002905")</f>
        <v/>
      </c>
      <c r="S1387">
        <f>_xlfn.NUMBERVALUE("0.001672")</f>
        <v/>
      </c>
      <c r="T1387">
        <f>_xlfn.NUMBERVALUE("0.000090")</f>
        <v/>
      </c>
      <c r="U1387">
        <f>_xlfn.NUMBERVALUE("0.002922")</f>
        <v/>
      </c>
      <c r="V1387">
        <f>_xlfn.NUMBERVALUE("0.004067")</f>
        <v/>
      </c>
      <c r="W1387">
        <f>_xlfn.NUMBERVALUE("0.003304")</f>
        <v/>
      </c>
      <c r="X1387">
        <f>_xlfn.NUMBERVALUE("-0.940000")</f>
        <v/>
      </c>
      <c r="Y1387">
        <f>_xlfn.NUMBERVALUE("27.680000")</f>
        <v/>
      </c>
    </row>
    <row r="1388">
      <c r="A1388" s="1" t="n">
        <v>44018</v>
      </c>
      <c r="B1388">
        <f>_xlfn.NUMBERVALUE("0.000000")</f>
        <v/>
      </c>
      <c r="C1388" s="2">
        <f>_xlfn.NUMBERVALUE("0.013142")</f>
        <v/>
      </c>
      <c r="D1388">
        <f>_xlfn.NUMBERVALUE("-0.004149")</f>
        <v/>
      </c>
      <c r="E1388">
        <f>_xlfn.NUMBERVALUE("0.007478")</f>
        <v/>
      </c>
      <c r="F1388">
        <f>_xlfn.NUMBERVALUE("-0.000021")</f>
        <v/>
      </c>
      <c r="G1388">
        <f>_xlfn.NUMBERVALUE("0.001129")</f>
        <v/>
      </c>
      <c r="H1388">
        <f>_xlfn.NUMBERVALUE("0.005833")</f>
        <v/>
      </c>
      <c r="I1388">
        <f>_xlfn.NUMBERVALUE("0.016651")</f>
        <v/>
      </c>
      <c r="J1388">
        <f>_xlfn.NUMBERVALUE("-0.000003")</f>
        <v/>
      </c>
      <c r="K1388">
        <f>_xlfn.NUMBERVALUE("-0.002805")</f>
        <v/>
      </c>
      <c r="L1388">
        <f>_xlfn.NUMBERVALUE("0.000082")</f>
        <v/>
      </c>
      <c r="M1388">
        <f>_xlfn.NUMBERVALUE("0.002599")</f>
        <v/>
      </c>
      <c r="N1388">
        <f>_xlfn.NUMBERVALUE("-0.004860")</f>
        <v/>
      </c>
      <c r="O1388">
        <f>_xlfn.NUMBERVALUE("0.000001")</f>
        <v/>
      </c>
      <c r="P1388">
        <f>_xlfn.NUMBERVALUE("-0.000153")</f>
        <v/>
      </c>
      <c r="Q1388">
        <f>_xlfn.NUMBERVALUE("0.000308")</f>
        <v/>
      </c>
      <c r="R1388">
        <f>_xlfn.NUMBERVALUE("0.000431")</f>
        <v/>
      </c>
      <c r="S1388">
        <f>_xlfn.NUMBERVALUE("0.000195")</f>
        <v/>
      </c>
      <c r="T1388">
        <f>_xlfn.NUMBERVALUE("0.000991")</f>
        <v/>
      </c>
      <c r="U1388">
        <f>_xlfn.NUMBERVALUE("-0.003452")</f>
        <v/>
      </c>
      <c r="V1388">
        <f>_xlfn.NUMBERVALUE("-0.001128")</f>
        <v/>
      </c>
      <c r="W1388">
        <f>_xlfn.NUMBERVALUE("0.006107")</f>
        <v/>
      </c>
      <c r="X1388">
        <f>_xlfn.NUMBERVALUE("0.260000")</f>
        <v/>
      </c>
      <c r="Y1388">
        <f>_xlfn.NUMBERVALUE("27.940000")</f>
        <v/>
      </c>
    </row>
    <row r="1389">
      <c r="A1389" s="1" t="n">
        <v>44019</v>
      </c>
      <c r="B1389">
        <f>_xlfn.NUMBERVALUE("0.000000")</f>
        <v/>
      </c>
      <c r="C1389" s="2">
        <f>_xlfn.NUMBERVALUE("-0.000532")</f>
        <v/>
      </c>
      <c r="D1389">
        <f>_xlfn.NUMBERVALUE("-0.000812")</f>
        <v/>
      </c>
      <c r="E1389">
        <f>_xlfn.NUMBERVALUE("0.000567")</f>
        <v/>
      </c>
      <c r="F1389">
        <f>_xlfn.NUMBERVALUE("0.000678")</f>
        <v/>
      </c>
      <c r="G1389">
        <f>_xlfn.NUMBERVALUE("-0.000172")</f>
        <v/>
      </c>
      <c r="H1389">
        <f>_xlfn.NUMBERVALUE("0.000661")</f>
        <v/>
      </c>
      <c r="I1389">
        <f>_xlfn.NUMBERVALUE("0.002292")</f>
        <v/>
      </c>
      <c r="J1389">
        <f>_xlfn.NUMBERVALUE("0.000674")</f>
        <v/>
      </c>
      <c r="K1389">
        <f>_xlfn.NUMBERVALUE("-0.001221")</f>
        <v/>
      </c>
      <c r="L1389">
        <f>_xlfn.NUMBERVALUE("0.000003")</f>
        <v/>
      </c>
      <c r="M1389">
        <f>_xlfn.NUMBERVALUE("0.001699")</f>
        <v/>
      </c>
      <c r="N1389">
        <f>_xlfn.NUMBERVALUE("0.001096")</f>
        <v/>
      </c>
      <c r="O1389">
        <f>_xlfn.NUMBERVALUE("-0.000169")</f>
        <v/>
      </c>
      <c r="P1389">
        <f>_xlfn.NUMBERVALUE("0.000151")</f>
        <v/>
      </c>
      <c r="Q1389">
        <f>_xlfn.NUMBERVALUE("-0.000050")</f>
        <v/>
      </c>
      <c r="R1389">
        <f>_xlfn.NUMBERVALUE("0.000956")</f>
        <v/>
      </c>
      <c r="S1389">
        <f>_xlfn.NUMBERVALUE("-0.000834")</f>
        <v/>
      </c>
      <c r="T1389">
        <f>_xlfn.NUMBERVALUE("0.000003")</f>
        <v/>
      </c>
      <c r="U1389">
        <f>_xlfn.NUMBERVALUE("0.001003")</f>
        <v/>
      </c>
      <c r="V1389">
        <f>_xlfn.NUMBERVALUE("-0.000791")</f>
        <v/>
      </c>
      <c r="W1389">
        <f>_xlfn.NUMBERVALUE("-0.006823")</f>
        <v/>
      </c>
      <c r="X1389">
        <f>_xlfn.NUMBERVALUE("1.490000")</f>
        <v/>
      </c>
      <c r="Y1389">
        <f>_xlfn.NUMBERVALUE("29.430000")</f>
        <v/>
      </c>
    </row>
    <row r="1390">
      <c r="A1390" s="1" t="n">
        <v>44020</v>
      </c>
      <c r="B1390">
        <f>_xlfn.NUMBERVALUE("0.000000")</f>
        <v/>
      </c>
      <c r="C1390" s="2">
        <f>_xlfn.NUMBERVALUE("0.001887")</f>
        <v/>
      </c>
      <c r="D1390">
        <f>_xlfn.NUMBERVALUE("-0.002779")</f>
        <v/>
      </c>
      <c r="E1390">
        <f>_xlfn.NUMBERVALUE("0.000660")</f>
        <v/>
      </c>
      <c r="F1390">
        <f>_xlfn.NUMBERVALUE("-0.000476")</f>
        <v/>
      </c>
      <c r="G1390">
        <f>_xlfn.NUMBERVALUE("0.000693")</f>
        <v/>
      </c>
      <c r="H1390">
        <f>_xlfn.NUMBERVALUE("0.000162")</f>
        <v/>
      </c>
      <c r="I1390">
        <f>_xlfn.NUMBERVALUE("0.001149")</f>
        <v/>
      </c>
      <c r="J1390">
        <f>_xlfn.NUMBERVALUE("0.000273")</f>
        <v/>
      </c>
      <c r="K1390">
        <f>_xlfn.NUMBERVALUE("-0.003819")</f>
        <v/>
      </c>
      <c r="L1390">
        <f>_xlfn.NUMBERVALUE("0.001051")</f>
        <v/>
      </c>
      <c r="M1390">
        <f>_xlfn.NUMBERVALUE("-0.001544")</f>
        <v/>
      </c>
      <c r="N1390">
        <f>_xlfn.NUMBERVALUE("-0.000053")</f>
        <v/>
      </c>
      <c r="O1390">
        <f>_xlfn.NUMBERVALUE("0.000044")</f>
        <v/>
      </c>
      <c r="P1390">
        <f>_xlfn.NUMBERVALUE("-0.000000")</f>
        <v/>
      </c>
      <c r="Q1390">
        <f>_xlfn.NUMBERVALUE("-0.000002")</f>
        <v/>
      </c>
      <c r="R1390">
        <f>_xlfn.NUMBERVALUE("0.000640")</f>
        <v/>
      </c>
      <c r="S1390">
        <f>_xlfn.NUMBERVALUE("0.001386")</f>
        <v/>
      </c>
      <c r="T1390">
        <f>_xlfn.NUMBERVALUE("-0.000184")</f>
        <v/>
      </c>
      <c r="U1390">
        <f>_xlfn.NUMBERVALUE("0.002484")</f>
        <v/>
      </c>
      <c r="V1390">
        <f>_xlfn.NUMBERVALUE("0.002055")</f>
        <v/>
      </c>
      <c r="W1390">
        <f>_xlfn.NUMBERVALUE("0.004039")</f>
        <v/>
      </c>
      <c r="X1390">
        <f>_xlfn.NUMBERVALUE("-1.350000")</f>
        <v/>
      </c>
      <c r="Y1390">
        <f>_xlfn.NUMBERVALUE("28.080000")</f>
        <v/>
      </c>
    </row>
    <row r="1391">
      <c r="A1391" s="1" t="n">
        <v>44021</v>
      </c>
      <c r="B1391">
        <f>_xlfn.NUMBERVALUE("0.000000")</f>
        <v/>
      </c>
      <c r="C1391" s="2">
        <f>_xlfn.NUMBERVALUE("-0.001451")</f>
        <v/>
      </c>
      <c r="D1391">
        <f>_xlfn.NUMBERVALUE("-0.001998")</f>
        <v/>
      </c>
      <c r="E1391">
        <f>_xlfn.NUMBERVALUE("-0.000532")</f>
        <v/>
      </c>
      <c r="F1391">
        <f>_xlfn.NUMBERVALUE("0.001077")</f>
        <v/>
      </c>
      <c r="G1391">
        <f>_xlfn.NUMBERVALUE("0.000328")</f>
        <v/>
      </c>
      <c r="H1391">
        <f>_xlfn.NUMBERVALUE("0.000873")</f>
        <v/>
      </c>
      <c r="I1391">
        <f>_xlfn.NUMBERVALUE("0.000250")</f>
        <v/>
      </c>
      <c r="J1391">
        <f>_xlfn.NUMBERVALUE("-0.000526")</f>
        <v/>
      </c>
      <c r="K1391">
        <f>_xlfn.NUMBERVALUE("0.005205")</f>
        <v/>
      </c>
      <c r="L1391">
        <f>_xlfn.NUMBERVALUE("-0.003882")</f>
        <v/>
      </c>
      <c r="M1391">
        <f>_xlfn.NUMBERVALUE("-0.000056")</f>
        <v/>
      </c>
      <c r="N1391">
        <f>_xlfn.NUMBERVALUE("0.001063")</f>
        <v/>
      </c>
      <c r="O1391">
        <f>_xlfn.NUMBERVALUE("0.000118")</f>
        <v/>
      </c>
      <c r="P1391">
        <f>_xlfn.NUMBERVALUE("0.000000")</f>
        <v/>
      </c>
      <c r="Q1391">
        <f>_xlfn.NUMBERVALUE("0.000000")</f>
        <v/>
      </c>
      <c r="R1391">
        <f>_xlfn.NUMBERVALUE("0.000039")</f>
        <v/>
      </c>
      <c r="S1391">
        <f>_xlfn.NUMBERVALUE("-0.000257")</f>
        <v/>
      </c>
      <c r="T1391">
        <f>_xlfn.NUMBERVALUE("0.000179")</f>
        <v/>
      </c>
      <c r="U1391">
        <f>_xlfn.NUMBERVALUE("0.002565")</f>
        <v/>
      </c>
      <c r="V1391">
        <f>_xlfn.NUMBERVALUE("-0.000370")</f>
        <v/>
      </c>
      <c r="W1391">
        <f>_xlfn.NUMBERVALUE("-0.004752")</f>
        <v/>
      </c>
      <c r="X1391">
        <f>_xlfn.NUMBERVALUE("1.180000")</f>
        <v/>
      </c>
      <c r="Y1391">
        <f>_xlfn.NUMBERVALUE("29.260000")</f>
        <v/>
      </c>
    </row>
    <row r="1392">
      <c r="A1392" s="1" t="n">
        <v>44022</v>
      </c>
      <c r="B1392">
        <f>_xlfn.NUMBERVALUE("0.000000")</f>
        <v/>
      </c>
      <c r="C1392" s="2">
        <f>_xlfn.NUMBERVALUE("0.002460")</f>
        <v/>
      </c>
      <c r="D1392">
        <f>_xlfn.NUMBERVALUE("0.003389")</f>
        <v/>
      </c>
      <c r="E1392">
        <f>_xlfn.NUMBERVALUE("0.001138")</f>
        <v/>
      </c>
      <c r="F1392">
        <f>_xlfn.NUMBERVALUE("0.001639")</f>
        <v/>
      </c>
      <c r="G1392">
        <f>_xlfn.NUMBERVALUE("0.000522")</f>
        <v/>
      </c>
      <c r="H1392">
        <f>_xlfn.NUMBERVALUE("0.001256")</f>
        <v/>
      </c>
      <c r="I1392">
        <f>_xlfn.NUMBERVALUE("0.001176")</f>
        <v/>
      </c>
      <c r="J1392">
        <f>_xlfn.NUMBERVALUE("0.000966")</f>
        <v/>
      </c>
      <c r="K1392">
        <f>_xlfn.NUMBERVALUE("0.001324")</f>
        <v/>
      </c>
      <c r="L1392">
        <f>_xlfn.NUMBERVALUE("0.001361")</f>
        <v/>
      </c>
      <c r="M1392">
        <f>_xlfn.NUMBERVALUE("-0.000719")</f>
        <v/>
      </c>
      <c r="N1392">
        <f>_xlfn.NUMBERVALUE("-0.003121")</f>
        <v/>
      </c>
      <c r="O1392">
        <f>_xlfn.NUMBERVALUE("-0.000034")</f>
        <v/>
      </c>
      <c r="P1392">
        <f>_xlfn.NUMBERVALUE("-0.005812")</f>
        <v/>
      </c>
      <c r="Q1392">
        <f>_xlfn.NUMBERVALUE("0.000876")</f>
        <v/>
      </c>
      <c r="R1392">
        <f>_xlfn.NUMBERVALUE("0.003434")</f>
        <v/>
      </c>
      <c r="S1392">
        <f>_xlfn.NUMBERVALUE("-0.002387")</f>
        <v/>
      </c>
      <c r="T1392">
        <f>_xlfn.NUMBERVALUE("-0.002328")</f>
        <v/>
      </c>
      <c r="U1392">
        <f>_xlfn.NUMBERVALUE("0.000686")</f>
        <v/>
      </c>
      <c r="V1392">
        <f>_xlfn.NUMBERVALUE("0.001889")</f>
        <v/>
      </c>
      <c r="W1392">
        <f>_xlfn.NUMBERVALUE("0.010122")</f>
        <v/>
      </c>
      <c r="X1392">
        <f>_xlfn.NUMBERVALUE("-1.970000")</f>
        <v/>
      </c>
      <c r="Y1392">
        <f>_xlfn.NUMBERVALUE("27.290000")</f>
        <v/>
      </c>
    </row>
    <row r="1393">
      <c r="A1393" s="1" t="n">
        <v>44025</v>
      </c>
      <c r="B1393">
        <f>_xlfn.NUMBERVALUE("0.000000")</f>
        <v/>
      </c>
      <c r="C1393" s="2">
        <f>_xlfn.NUMBERVALUE("-0.004224")</f>
        <v/>
      </c>
      <c r="D1393">
        <f>_xlfn.NUMBERVALUE("0.000488")</f>
        <v/>
      </c>
      <c r="E1393">
        <f>_xlfn.NUMBERVALUE("-0.000657")</f>
        <v/>
      </c>
      <c r="F1393">
        <f>_xlfn.NUMBERVALUE("0.001246")</f>
        <v/>
      </c>
      <c r="G1393">
        <f>_xlfn.NUMBERVALUE("0.002157")</f>
        <v/>
      </c>
      <c r="H1393">
        <f>_xlfn.NUMBERVALUE("-0.000075")</f>
        <v/>
      </c>
      <c r="I1393">
        <f>_xlfn.NUMBERVALUE("-0.004282")</f>
        <v/>
      </c>
      <c r="J1393">
        <f>_xlfn.NUMBERVALUE("0.000760")</f>
        <v/>
      </c>
      <c r="K1393">
        <f>_xlfn.NUMBERVALUE("-0.003110")</f>
        <v/>
      </c>
      <c r="L1393">
        <f>_xlfn.NUMBERVALUE("0.001254")</f>
        <v/>
      </c>
      <c r="M1393">
        <f>_xlfn.NUMBERVALUE("-0.001300")</f>
        <v/>
      </c>
      <c r="N1393">
        <f>_xlfn.NUMBERVALUE("0.001975")</f>
        <v/>
      </c>
      <c r="O1393">
        <f>_xlfn.NUMBERVALUE("0.000273")</f>
        <v/>
      </c>
      <c r="P1393">
        <f>_xlfn.NUMBERVALUE("-0.000113")</f>
        <v/>
      </c>
      <c r="Q1393">
        <f>_xlfn.NUMBERVALUE("-0.000319")</f>
        <v/>
      </c>
      <c r="R1393">
        <f>_xlfn.NUMBERVALUE("-0.005719")</f>
        <v/>
      </c>
      <c r="S1393">
        <f>_xlfn.NUMBERVALUE("0.000264")</f>
        <v/>
      </c>
      <c r="T1393">
        <f>_xlfn.NUMBERVALUE("0.000406")</f>
        <v/>
      </c>
      <c r="U1393">
        <f>_xlfn.NUMBERVALUE("-0.001831")</f>
        <v/>
      </c>
      <c r="V1393">
        <f>_xlfn.NUMBERVALUE("-0.002636")</f>
        <v/>
      </c>
      <c r="W1393">
        <f>_xlfn.NUMBERVALUE("-0.004128")</f>
        <v/>
      </c>
      <c r="X1393">
        <f>_xlfn.NUMBERVALUE("4.900000")</f>
        <v/>
      </c>
      <c r="Y1393">
        <f>_xlfn.NUMBERVALUE("32.190000")</f>
        <v/>
      </c>
    </row>
    <row r="1394">
      <c r="A1394" s="1" t="n">
        <v>44026</v>
      </c>
      <c r="B1394">
        <f>_xlfn.NUMBERVALUE("-0.111017")</f>
        <v/>
      </c>
      <c r="C1394" s="2">
        <f>_xlfn.NUMBERVALUE("-0.000758")</f>
        <v/>
      </c>
      <c r="D1394">
        <f>_xlfn.NUMBERVALUE("0.001584")</f>
        <v/>
      </c>
      <c r="E1394">
        <f>_xlfn.NUMBERVALUE("-0.000131")</f>
        <v/>
      </c>
      <c r="F1394">
        <f>_xlfn.NUMBERVALUE("0.001169")</f>
        <v/>
      </c>
      <c r="G1394">
        <f>_xlfn.NUMBERVALUE("0.000281")</f>
        <v/>
      </c>
      <c r="H1394">
        <f>_xlfn.NUMBERVALUE("-0.000060")</f>
        <v/>
      </c>
      <c r="I1394">
        <f>_xlfn.NUMBERVALUE("0.002892")</f>
        <v/>
      </c>
      <c r="J1394">
        <f>_xlfn.NUMBERVALUE("0.000201")</f>
        <v/>
      </c>
      <c r="K1394">
        <f>_xlfn.NUMBERVALUE("0.002130")</f>
        <v/>
      </c>
      <c r="L1394">
        <f>_xlfn.NUMBERVALUE("0.002044")</f>
        <v/>
      </c>
      <c r="M1394">
        <f>_xlfn.NUMBERVALUE("-0.001087")</f>
        <v/>
      </c>
      <c r="N1394">
        <f>_xlfn.NUMBERVALUE("0.002178")</f>
        <v/>
      </c>
      <c r="O1394">
        <f>_xlfn.NUMBERVALUE("-0.003096")</f>
        <v/>
      </c>
      <c r="P1394">
        <f>_xlfn.NUMBERVALUE("0.008226")</f>
        <v/>
      </c>
      <c r="Q1394">
        <f>_xlfn.NUMBERVALUE("0.000588")</f>
        <v/>
      </c>
      <c r="R1394">
        <f>_xlfn.NUMBERVALUE("0.000125")</f>
        <v/>
      </c>
      <c r="S1394">
        <f>_xlfn.NUMBERVALUE("-0.002959")</f>
        <v/>
      </c>
      <c r="T1394">
        <f>_xlfn.NUMBERVALUE("-0.001675")</f>
        <v/>
      </c>
      <c r="U1394">
        <f>_xlfn.NUMBERVALUE("-0.000134")</f>
        <v/>
      </c>
      <c r="V1394">
        <f>_xlfn.NUMBERVALUE("0.001507")</f>
        <v/>
      </c>
      <c r="W1394">
        <f>_xlfn.NUMBERVALUE("0.006360")</f>
        <v/>
      </c>
      <c r="X1394">
        <f>_xlfn.NUMBERVALUE("-2.670000")</f>
        <v/>
      </c>
      <c r="Y1394">
        <f>_xlfn.NUMBERVALUE("29.520000")</f>
        <v/>
      </c>
    </row>
    <row r="1395">
      <c r="A1395" s="1" t="n">
        <v>44027</v>
      </c>
      <c r="B1395">
        <f>_xlfn.NUMBERVALUE("-0.000507")</f>
        <v/>
      </c>
      <c r="C1395" s="2">
        <f>_xlfn.NUMBERVALUE("0.000721")</f>
        <v/>
      </c>
      <c r="D1395">
        <f>_xlfn.NUMBERVALUE("0.003821")</f>
        <v/>
      </c>
      <c r="E1395">
        <f>_xlfn.NUMBERVALUE("-0.000533")</f>
        <v/>
      </c>
      <c r="F1395">
        <f>_xlfn.NUMBERVALUE("0.001271")</f>
        <v/>
      </c>
      <c r="G1395">
        <f>_xlfn.NUMBERVALUE("-0.000148")</f>
        <v/>
      </c>
      <c r="H1395">
        <f>_xlfn.NUMBERVALUE("0.000335")</f>
        <v/>
      </c>
      <c r="I1395">
        <f>_xlfn.NUMBERVALUE("-0.012754")</f>
        <v/>
      </c>
      <c r="J1395">
        <f>_xlfn.NUMBERVALUE("0.000316")</f>
        <v/>
      </c>
      <c r="K1395">
        <f>_xlfn.NUMBERVALUE("-0.000589")</f>
        <v/>
      </c>
      <c r="L1395">
        <f>_xlfn.NUMBERVALUE("0.001077")</f>
        <v/>
      </c>
      <c r="M1395">
        <f>_xlfn.NUMBERVALUE("-0.001798")</f>
        <v/>
      </c>
      <c r="N1395">
        <f>_xlfn.NUMBERVALUE("0.002729")</f>
        <v/>
      </c>
      <c r="O1395">
        <f>_xlfn.NUMBERVALUE("0.001476")</f>
        <v/>
      </c>
      <c r="P1395">
        <f>_xlfn.NUMBERVALUE("0.001911")</f>
        <v/>
      </c>
      <c r="Q1395">
        <f>_xlfn.NUMBERVALUE("-0.003842")</f>
        <v/>
      </c>
      <c r="R1395">
        <f>_xlfn.NUMBERVALUE("0.005504")</f>
        <v/>
      </c>
      <c r="S1395">
        <f>_xlfn.NUMBERVALUE("0.000823")</f>
        <v/>
      </c>
      <c r="T1395">
        <f>_xlfn.NUMBERVALUE("0.002039")</f>
        <v/>
      </c>
      <c r="U1395">
        <f>_xlfn.NUMBERVALUE("-0.002046")</f>
        <v/>
      </c>
      <c r="V1395">
        <f>_xlfn.NUMBERVALUE("0.000592")</f>
        <v/>
      </c>
      <c r="W1395">
        <f>_xlfn.NUMBERVALUE("0.012608")</f>
        <v/>
      </c>
      <c r="X1395">
        <f>_xlfn.NUMBERVALUE("-1.760000")</f>
        <v/>
      </c>
      <c r="Y1395">
        <f>_xlfn.NUMBERVALUE("27.760000")</f>
        <v/>
      </c>
    </row>
    <row r="1396">
      <c r="A1396" s="1" t="n">
        <v>44028</v>
      </c>
      <c r="B1396">
        <f>_xlfn.NUMBERVALUE("0.005379")</f>
        <v/>
      </c>
      <c r="C1396" s="2">
        <f>_xlfn.NUMBERVALUE("0.003728")</f>
        <v/>
      </c>
      <c r="D1396">
        <f>_xlfn.NUMBERVALUE("0.003748")</f>
        <v/>
      </c>
      <c r="E1396">
        <f>_xlfn.NUMBERVALUE("0.002449")</f>
        <v/>
      </c>
      <c r="F1396">
        <f>_xlfn.NUMBERVALUE("-0.000090")</f>
        <v/>
      </c>
      <c r="G1396">
        <f>_xlfn.NUMBERVALUE("0.000896")</f>
        <v/>
      </c>
      <c r="H1396">
        <f>_xlfn.NUMBERVALUE("0.000672")</f>
        <v/>
      </c>
      <c r="I1396">
        <f>_xlfn.NUMBERVALUE("0.004904")</f>
        <v/>
      </c>
      <c r="J1396">
        <f>_xlfn.NUMBERVALUE("-0.000359")</f>
        <v/>
      </c>
      <c r="K1396">
        <f>_xlfn.NUMBERVALUE("0.006154")</f>
        <v/>
      </c>
      <c r="L1396">
        <f>_xlfn.NUMBERVALUE("-0.000476")</f>
        <v/>
      </c>
      <c r="M1396">
        <f>_xlfn.NUMBERVALUE("0.001158")</f>
        <v/>
      </c>
      <c r="N1396">
        <f>_xlfn.NUMBERVALUE("0.000737")</f>
        <v/>
      </c>
      <c r="O1396">
        <f>_xlfn.NUMBERVALUE("0.005840")</f>
        <v/>
      </c>
      <c r="P1396">
        <f>_xlfn.NUMBERVALUE("0.004886")</f>
        <v/>
      </c>
      <c r="Q1396">
        <f>_xlfn.NUMBERVALUE("0.003870")</f>
        <v/>
      </c>
      <c r="R1396">
        <f>_xlfn.NUMBERVALUE("0.005558")</f>
        <v/>
      </c>
      <c r="S1396">
        <f>_xlfn.NUMBERVALUE("0.000491")</f>
        <v/>
      </c>
      <c r="T1396">
        <f>_xlfn.NUMBERVALUE("0.002051")</f>
        <v/>
      </c>
      <c r="U1396">
        <f>_xlfn.NUMBERVALUE("0.003390")</f>
        <v/>
      </c>
      <c r="V1396">
        <f>_xlfn.NUMBERVALUE("0.002807")</f>
        <v/>
      </c>
      <c r="W1396">
        <f>_xlfn.NUMBERVALUE("-0.003912")</f>
        <v/>
      </c>
      <c r="X1396">
        <f>_xlfn.NUMBERVALUE("0.240000")</f>
        <v/>
      </c>
      <c r="Y1396">
        <f>_xlfn.NUMBERVALUE("28.000000")</f>
        <v/>
      </c>
    </row>
    <row r="1397">
      <c r="A1397" s="1" t="n">
        <v>44029</v>
      </c>
      <c r="B1397">
        <f>_xlfn.NUMBERVALUE("0.020265")</f>
        <v/>
      </c>
      <c r="C1397" s="2">
        <f>_xlfn.NUMBERVALUE("0.004416")</f>
        <v/>
      </c>
      <c r="D1397">
        <f>_xlfn.NUMBERVALUE("0.005674")</f>
        <v/>
      </c>
      <c r="E1397">
        <f>_xlfn.NUMBERVALUE("0.002151")</f>
        <v/>
      </c>
      <c r="F1397">
        <f>_xlfn.NUMBERVALUE("0.000678")</f>
        <v/>
      </c>
      <c r="G1397">
        <f>_xlfn.NUMBERVALUE("0.001414")</f>
        <v/>
      </c>
      <c r="H1397">
        <f>_xlfn.NUMBERVALUE("0.000462")</f>
        <v/>
      </c>
      <c r="I1397">
        <f>_xlfn.NUMBERVALUE("0.005618")</f>
        <v/>
      </c>
      <c r="J1397">
        <f>_xlfn.NUMBERVALUE("0.000313")</f>
        <v/>
      </c>
      <c r="K1397">
        <f>_xlfn.NUMBERVALUE("-0.003332")</f>
        <v/>
      </c>
      <c r="L1397">
        <f>_xlfn.NUMBERVALUE("0.001658")</f>
        <v/>
      </c>
      <c r="M1397">
        <f>_xlfn.NUMBERVALUE("0.002540")</f>
        <v/>
      </c>
      <c r="N1397">
        <f>_xlfn.NUMBERVALUE("0.006670")</f>
        <v/>
      </c>
      <c r="O1397">
        <f>_xlfn.NUMBERVALUE("0.008883")</f>
        <v/>
      </c>
      <c r="P1397">
        <f>_xlfn.NUMBERVALUE("0.006103")</f>
        <v/>
      </c>
      <c r="Q1397">
        <f>_xlfn.NUMBERVALUE("0.002977")</f>
        <v/>
      </c>
      <c r="R1397">
        <f>_xlfn.NUMBERVALUE("0.005785")</f>
        <v/>
      </c>
      <c r="S1397">
        <f>_xlfn.NUMBERVALUE("0.001635")</f>
        <v/>
      </c>
      <c r="T1397">
        <f>_xlfn.NUMBERVALUE("-0.003138")</f>
        <v/>
      </c>
      <c r="U1397">
        <f>_xlfn.NUMBERVALUE("0.004934")</f>
        <v/>
      </c>
      <c r="V1397">
        <f>_xlfn.NUMBERVALUE("0.003400")</f>
        <v/>
      </c>
      <c r="W1397">
        <f>_xlfn.NUMBERVALUE("0.004021")</f>
        <v/>
      </c>
      <c r="X1397">
        <f>_xlfn.NUMBERVALUE("-2.320000")</f>
        <v/>
      </c>
      <c r="Y1397">
        <f>_xlfn.NUMBERVALUE("25.680000")</f>
        <v/>
      </c>
    </row>
    <row r="1398">
      <c r="A1398" s="1" t="n">
        <v>44032</v>
      </c>
      <c r="B1398">
        <f>_xlfn.NUMBERVALUE("-0.001648")</f>
        <v/>
      </c>
      <c r="C1398" s="2">
        <f>_xlfn.NUMBERVALUE("0.004815")</f>
        <v/>
      </c>
      <c r="D1398">
        <f>_xlfn.NUMBERVALUE("0.000669")</f>
        <v/>
      </c>
      <c r="E1398">
        <f>_xlfn.NUMBERVALUE("0.003898")</f>
        <v/>
      </c>
      <c r="F1398">
        <f>_xlfn.NUMBERVALUE("0.000309")</f>
        <v/>
      </c>
      <c r="G1398">
        <f>_xlfn.NUMBERVALUE("0.001014")</f>
        <v/>
      </c>
      <c r="H1398">
        <f>_xlfn.NUMBERVALUE("-0.000168")</f>
        <v/>
      </c>
      <c r="I1398">
        <f>_xlfn.NUMBERVALUE("0.008487")</f>
        <v/>
      </c>
      <c r="J1398">
        <f>_xlfn.NUMBERVALUE("0.000546")</f>
        <v/>
      </c>
      <c r="K1398">
        <f>_xlfn.NUMBERVALUE("-0.005576")</f>
        <v/>
      </c>
      <c r="L1398">
        <f>_xlfn.NUMBERVALUE("0.000978")</f>
        <v/>
      </c>
      <c r="M1398">
        <f>_xlfn.NUMBERVALUE("0.002566")</f>
        <v/>
      </c>
      <c r="N1398">
        <f>_xlfn.NUMBERVALUE("0.005697")</f>
        <v/>
      </c>
      <c r="O1398">
        <f>_xlfn.NUMBERVALUE("0.007331")</f>
        <v/>
      </c>
      <c r="P1398">
        <f>_xlfn.NUMBERVALUE("0.004158")</f>
        <v/>
      </c>
      <c r="Q1398">
        <f>_xlfn.NUMBERVALUE("0.005467")</f>
        <v/>
      </c>
      <c r="R1398">
        <f>_xlfn.NUMBERVALUE("-0.004738")</f>
        <v/>
      </c>
      <c r="S1398">
        <f>_xlfn.NUMBERVALUE("0.004644")</f>
        <v/>
      </c>
      <c r="T1398">
        <f>_xlfn.NUMBERVALUE("0.003650")</f>
        <v/>
      </c>
      <c r="U1398">
        <f>_xlfn.NUMBERVALUE("0.003059")</f>
        <v/>
      </c>
      <c r="V1398">
        <f>_xlfn.NUMBERVALUE("0.002134")</f>
        <v/>
      </c>
      <c r="W1398">
        <f>_xlfn.NUMBERVALUE("0.008662")</f>
        <v/>
      </c>
      <c r="X1398">
        <f>_xlfn.NUMBERVALUE("-1.220000")</f>
        <v/>
      </c>
      <c r="Y1398">
        <f>_xlfn.NUMBERVALUE("24.460000")</f>
        <v/>
      </c>
    </row>
    <row r="1399">
      <c r="A1399" s="1" t="n">
        <v>44033</v>
      </c>
      <c r="B1399">
        <f>_xlfn.NUMBERVALUE("0.002964")</f>
        <v/>
      </c>
      <c r="C1399" s="2">
        <f>_xlfn.NUMBERVALUE("0.000022")</f>
        <v/>
      </c>
      <c r="D1399">
        <f>_xlfn.NUMBERVALUE("-0.001604")</f>
        <v/>
      </c>
      <c r="E1399">
        <f>_xlfn.NUMBERVALUE("0.000713")</f>
        <v/>
      </c>
      <c r="F1399">
        <f>_xlfn.NUMBERVALUE("-0.003066")</f>
        <v/>
      </c>
      <c r="G1399">
        <f>_xlfn.NUMBERVALUE("0.000134")</f>
        <v/>
      </c>
      <c r="H1399">
        <f>_xlfn.NUMBERVALUE("0.000256")</f>
        <v/>
      </c>
      <c r="I1399">
        <f>_xlfn.NUMBERVALUE("-0.002670")</f>
        <v/>
      </c>
      <c r="J1399">
        <f>_xlfn.NUMBERVALUE("-0.000241")</f>
        <v/>
      </c>
      <c r="K1399">
        <f>_xlfn.NUMBERVALUE("-0.011194")</f>
        <v/>
      </c>
      <c r="L1399">
        <f>_xlfn.NUMBERVALUE("0.001074")</f>
        <v/>
      </c>
      <c r="M1399">
        <f>_xlfn.NUMBERVALUE("0.000437")</f>
        <v/>
      </c>
      <c r="N1399">
        <f>_xlfn.NUMBERVALUE("-0.000172")</f>
        <v/>
      </c>
      <c r="O1399">
        <f>_xlfn.NUMBERVALUE("-0.013183")</f>
        <v/>
      </c>
      <c r="P1399">
        <f>_xlfn.NUMBERVALUE("-0.001666")</f>
        <v/>
      </c>
      <c r="Q1399">
        <f>_xlfn.NUMBERVALUE("-0.000838")</f>
        <v/>
      </c>
      <c r="R1399">
        <f>_xlfn.NUMBERVALUE("-0.000369")</f>
        <v/>
      </c>
      <c r="S1399">
        <f>_xlfn.NUMBERVALUE("-0.001097")</f>
        <v/>
      </c>
      <c r="T1399">
        <f>_xlfn.NUMBERVALUE("0.001023")</f>
        <v/>
      </c>
      <c r="U1399">
        <f>_xlfn.NUMBERVALUE("0.000672")</f>
        <v/>
      </c>
      <c r="V1399">
        <f>_xlfn.NUMBERVALUE("-0.000211")</f>
        <v/>
      </c>
      <c r="W1399">
        <f>_xlfn.NUMBERVALUE("0.000739")</f>
        <v/>
      </c>
      <c r="X1399">
        <f>_xlfn.NUMBERVALUE("0.380000")</f>
        <v/>
      </c>
      <c r="Y1399">
        <f>_xlfn.NUMBERVALUE("24.840000")</f>
        <v/>
      </c>
    </row>
    <row r="1400">
      <c r="A1400" s="1" t="n">
        <v>44034</v>
      </c>
      <c r="B1400">
        <f>_xlfn.NUMBERVALUE("0.003315")</f>
        <v/>
      </c>
      <c r="C1400" s="2">
        <f>_xlfn.NUMBERVALUE("0.000987")</f>
        <v/>
      </c>
      <c r="D1400">
        <f>_xlfn.NUMBERVALUE("0.000056")</f>
        <v/>
      </c>
      <c r="E1400">
        <f>_xlfn.NUMBERVALUE("0.002334")</f>
        <v/>
      </c>
      <c r="F1400">
        <f>_xlfn.NUMBERVALUE("-0.005692")</f>
        <v/>
      </c>
      <c r="G1400">
        <f>_xlfn.NUMBERVALUE("0.000339")</f>
        <v/>
      </c>
      <c r="H1400">
        <f>_xlfn.NUMBERVALUE("0.000255")</f>
        <v/>
      </c>
      <c r="I1400">
        <f>_xlfn.NUMBERVALUE("0.004726")</f>
        <v/>
      </c>
      <c r="J1400">
        <f>_xlfn.NUMBERVALUE("-0.000340")</f>
        <v/>
      </c>
      <c r="K1400">
        <f>_xlfn.NUMBERVALUE("-0.011308")</f>
        <v/>
      </c>
      <c r="L1400">
        <f>_xlfn.NUMBERVALUE("0.000994")</f>
        <v/>
      </c>
      <c r="M1400">
        <f>_xlfn.NUMBERVALUE("0.001110")</f>
        <v/>
      </c>
      <c r="N1400">
        <f>_xlfn.NUMBERVALUE("0.002182")</f>
        <v/>
      </c>
      <c r="O1400">
        <f>_xlfn.NUMBERVALUE("0.004097")</f>
        <v/>
      </c>
      <c r="P1400">
        <f>_xlfn.NUMBERVALUE("0.002056")</f>
        <v/>
      </c>
      <c r="Q1400">
        <f>_xlfn.NUMBERVALUE("0.000613")</f>
        <v/>
      </c>
      <c r="R1400">
        <f>_xlfn.NUMBERVALUE("0.002688")</f>
        <v/>
      </c>
      <c r="S1400">
        <f>_xlfn.NUMBERVALUE("0.000415")</f>
        <v/>
      </c>
      <c r="T1400">
        <f>_xlfn.NUMBERVALUE("-0.001035")</f>
        <v/>
      </c>
      <c r="U1400">
        <f>_xlfn.NUMBERVALUE("0.001555")</f>
        <v/>
      </c>
      <c r="V1400">
        <f>_xlfn.NUMBERVALUE("0.001393")</f>
        <v/>
      </c>
      <c r="W1400">
        <f>_xlfn.NUMBERVALUE("0.004983")</f>
        <v/>
      </c>
      <c r="X1400">
        <f>_xlfn.NUMBERVALUE("-0.520000")</f>
        <v/>
      </c>
      <c r="Y1400">
        <f>_xlfn.NUMBERVALUE("24.320000")</f>
        <v/>
      </c>
    </row>
    <row r="1401">
      <c r="A1401" s="1" t="n">
        <v>44035</v>
      </c>
      <c r="B1401">
        <f>_xlfn.NUMBERVALUE("0.000515")</f>
        <v/>
      </c>
      <c r="C1401" s="2">
        <f>_xlfn.NUMBERVALUE("0.000991")</f>
        <v/>
      </c>
      <c r="D1401">
        <f>_xlfn.NUMBERVALUE("0.001441")</f>
        <v/>
      </c>
      <c r="E1401">
        <f>_xlfn.NUMBERVALUE("-0.000331")</f>
        <v/>
      </c>
      <c r="F1401">
        <f>_xlfn.NUMBERVALUE("0.000136")</f>
        <v/>
      </c>
      <c r="G1401">
        <f>_xlfn.NUMBERVALUE("0.000031")</f>
        <v/>
      </c>
      <c r="H1401">
        <f>_xlfn.NUMBERVALUE("0.000625")</f>
        <v/>
      </c>
      <c r="I1401">
        <f>_xlfn.NUMBERVALUE("0.000240")</f>
        <v/>
      </c>
      <c r="J1401">
        <f>_xlfn.NUMBERVALUE("-0.000023")</f>
        <v/>
      </c>
      <c r="K1401">
        <f>_xlfn.NUMBERVALUE("0.005622")</f>
        <v/>
      </c>
      <c r="L1401">
        <f>_xlfn.NUMBERVALUE("-0.001990")</f>
        <v/>
      </c>
      <c r="M1401">
        <f>_xlfn.NUMBERVALUE("0.000499")</f>
        <v/>
      </c>
      <c r="N1401">
        <f>_xlfn.NUMBERVALUE("-0.002032")</f>
        <v/>
      </c>
      <c r="O1401">
        <f>_xlfn.NUMBERVALUE("0.001926")</f>
        <v/>
      </c>
      <c r="P1401">
        <f>_xlfn.NUMBERVALUE("0.000811")</f>
        <v/>
      </c>
      <c r="Q1401">
        <f>_xlfn.NUMBERVALUE("0.000939")</f>
        <v/>
      </c>
      <c r="R1401">
        <f>_xlfn.NUMBERVALUE("-0.002295")</f>
        <v/>
      </c>
      <c r="S1401">
        <f>_xlfn.NUMBERVALUE("0.000272")</f>
        <v/>
      </c>
      <c r="T1401">
        <f>_xlfn.NUMBERVALUE("-0.000073")</f>
        <v/>
      </c>
      <c r="U1401">
        <f>_xlfn.NUMBERVALUE("-0.000502")</f>
        <v/>
      </c>
      <c r="V1401">
        <f>_xlfn.NUMBERVALUE("-0.000277")</f>
        <v/>
      </c>
      <c r="W1401">
        <f>_xlfn.NUMBERVALUE("-0.012426")</f>
        <v/>
      </c>
      <c r="X1401">
        <f>_xlfn.NUMBERVALUE("1.760000")</f>
        <v/>
      </c>
      <c r="Y1401">
        <f>_xlfn.NUMBERVALUE("26.080000")</f>
        <v/>
      </c>
    </row>
    <row r="1402">
      <c r="A1402" s="1" t="n">
        <v>44036</v>
      </c>
      <c r="B1402">
        <f>_xlfn.NUMBERVALUE("0.001442")</f>
        <v/>
      </c>
      <c r="C1402" s="2">
        <f>_xlfn.NUMBERVALUE("0.003180")</f>
        <v/>
      </c>
      <c r="D1402">
        <f>_xlfn.NUMBERVALUE("0.001454")</f>
        <v/>
      </c>
      <c r="E1402">
        <f>_xlfn.NUMBERVALUE("0.001839")</f>
        <v/>
      </c>
      <c r="F1402">
        <f>_xlfn.NUMBERVALUE("-0.000846")</f>
        <v/>
      </c>
      <c r="G1402">
        <f>_xlfn.NUMBERVALUE("0.000098")</f>
        <v/>
      </c>
      <c r="H1402">
        <f>_xlfn.NUMBERVALUE("-0.000642")</f>
        <v/>
      </c>
      <c r="I1402">
        <f>_xlfn.NUMBERVALUE("0.005821")</f>
        <v/>
      </c>
      <c r="J1402">
        <f>_xlfn.NUMBERVALUE("0.000551")</f>
        <v/>
      </c>
      <c r="K1402">
        <f>_xlfn.NUMBERVALUE("0.000652")</f>
        <v/>
      </c>
      <c r="L1402">
        <f>_xlfn.NUMBERVALUE("-0.000993")</f>
        <v/>
      </c>
      <c r="M1402">
        <f>_xlfn.NUMBERVALUE("0.000976")</f>
        <v/>
      </c>
      <c r="N1402">
        <f>_xlfn.NUMBERVALUE("0.001576")</f>
        <v/>
      </c>
      <c r="O1402">
        <f>_xlfn.NUMBERVALUE("0.002276")</f>
        <v/>
      </c>
      <c r="P1402">
        <f>_xlfn.NUMBERVALUE("0.002421")</f>
        <v/>
      </c>
      <c r="Q1402">
        <f>_xlfn.NUMBERVALUE("0.002141")</f>
        <v/>
      </c>
      <c r="R1402">
        <f>_xlfn.NUMBERVALUE("0.000976")</f>
        <v/>
      </c>
      <c r="S1402">
        <f>_xlfn.NUMBERVALUE("0.001461")</f>
        <v/>
      </c>
      <c r="T1402">
        <f>_xlfn.NUMBERVALUE("0.000394")</f>
        <v/>
      </c>
      <c r="U1402">
        <f>_xlfn.NUMBERVALUE("0.002028")</f>
        <v/>
      </c>
      <c r="V1402">
        <f>_xlfn.NUMBERVALUE("0.003623")</f>
        <v/>
      </c>
      <c r="W1402">
        <f>_xlfn.NUMBERVALUE("-0.007035")</f>
        <v/>
      </c>
      <c r="X1402">
        <f>_xlfn.NUMBERVALUE("-0.240000")</f>
        <v/>
      </c>
      <c r="Y1402">
        <f>_xlfn.NUMBERVALUE("25.840000")</f>
        <v/>
      </c>
    </row>
    <row r="1403">
      <c r="A1403" s="1" t="n">
        <v>44039</v>
      </c>
      <c r="B1403">
        <f>_xlfn.NUMBERVALUE("-0.004371")</f>
        <v/>
      </c>
      <c r="C1403" s="2">
        <f>_xlfn.NUMBERVALUE("0.003941")</f>
        <v/>
      </c>
      <c r="D1403">
        <f>_xlfn.NUMBERVALUE("-0.001555")</f>
        <v/>
      </c>
      <c r="E1403">
        <f>_xlfn.NUMBERVALUE("-0.001312")</f>
        <v/>
      </c>
      <c r="F1403">
        <f>_xlfn.NUMBERVALUE("-0.001396")</f>
        <v/>
      </c>
      <c r="G1403">
        <f>_xlfn.NUMBERVALUE("0.001168")</f>
        <v/>
      </c>
      <c r="H1403">
        <f>_xlfn.NUMBERVALUE("-0.000341")</f>
        <v/>
      </c>
      <c r="I1403">
        <f>_xlfn.NUMBERVALUE("0.004097")</f>
        <v/>
      </c>
      <c r="J1403">
        <f>_xlfn.NUMBERVALUE("0.000329")</f>
        <v/>
      </c>
      <c r="K1403">
        <f>_xlfn.NUMBERVALUE("-0.001667")</f>
        <v/>
      </c>
      <c r="L1403">
        <f>_xlfn.NUMBERVALUE("0.001444")</f>
        <v/>
      </c>
      <c r="M1403">
        <f>_xlfn.NUMBERVALUE("0.001286")</f>
        <v/>
      </c>
      <c r="N1403">
        <f>_xlfn.NUMBERVALUE("0.002991")</f>
        <v/>
      </c>
      <c r="O1403">
        <f>_xlfn.NUMBERVALUE("0.006526")</f>
        <v/>
      </c>
      <c r="P1403">
        <f>_xlfn.NUMBERVALUE("0.006006")</f>
        <v/>
      </c>
      <c r="Q1403">
        <f>_xlfn.NUMBERVALUE("0.002838")</f>
        <v/>
      </c>
      <c r="R1403">
        <f>_xlfn.NUMBERVALUE("0.003216")</f>
        <v/>
      </c>
      <c r="S1403">
        <f>_xlfn.NUMBERVALUE("0.001491")</f>
        <v/>
      </c>
      <c r="T1403">
        <f>_xlfn.NUMBERVALUE("0.002251")</f>
        <v/>
      </c>
      <c r="U1403">
        <f>_xlfn.NUMBERVALUE("0.002260")</f>
        <v/>
      </c>
      <c r="V1403">
        <f>_xlfn.NUMBERVALUE("0.002336")</f>
        <v/>
      </c>
      <c r="W1403">
        <f>_xlfn.NUMBERVALUE("0.008395")</f>
        <v/>
      </c>
      <c r="X1403">
        <f>_xlfn.NUMBERVALUE("-1.100000")</f>
        <v/>
      </c>
      <c r="Y1403">
        <f>_xlfn.NUMBERVALUE("24.740000")</f>
        <v/>
      </c>
    </row>
    <row r="1404">
      <c r="A1404" s="1" t="n">
        <v>44040</v>
      </c>
      <c r="B1404">
        <f>_xlfn.NUMBERVALUE("0.000885")</f>
        <v/>
      </c>
      <c r="C1404" s="2">
        <f>_xlfn.NUMBERVALUE("0.002230")</f>
        <v/>
      </c>
      <c r="D1404">
        <f>_xlfn.NUMBERVALUE("0.002371")</f>
        <v/>
      </c>
      <c r="E1404">
        <f>_xlfn.NUMBERVALUE("0.001129")</f>
        <v/>
      </c>
      <c r="F1404">
        <f>_xlfn.NUMBERVALUE("0.001453")</f>
        <v/>
      </c>
      <c r="G1404">
        <f>_xlfn.NUMBERVALUE("-0.000344")</f>
        <v/>
      </c>
      <c r="H1404">
        <f>_xlfn.NUMBERVALUE("0.000342")</f>
        <v/>
      </c>
      <c r="I1404">
        <f>_xlfn.NUMBERVALUE("0.002190")</f>
        <v/>
      </c>
      <c r="J1404">
        <f>_xlfn.NUMBERVALUE("-0.000238")</f>
        <v/>
      </c>
      <c r="K1404">
        <f>_xlfn.NUMBERVALUE("0.002180")</f>
        <v/>
      </c>
      <c r="L1404">
        <f>_xlfn.NUMBERVALUE("0.000115")</f>
        <v/>
      </c>
      <c r="M1404">
        <f>_xlfn.NUMBERVALUE("0.001260")</f>
        <v/>
      </c>
      <c r="N1404">
        <f>_xlfn.NUMBERVALUE("-0.000147")</f>
        <v/>
      </c>
      <c r="O1404">
        <f>_xlfn.NUMBERVALUE("0.002773")</f>
        <v/>
      </c>
      <c r="P1404">
        <f>_xlfn.NUMBERVALUE("0.002020")</f>
        <v/>
      </c>
      <c r="Q1404">
        <f>_xlfn.NUMBERVALUE("0.002642")</f>
        <v/>
      </c>
      <c r="R1404">
        <f>_xlfn.NUMBERVALUE("0.000337")</f>
        <v/>
      </c>
      <c r="S1404">
        <f>_xlfn.NUMBERVALUE("0.000476")</f>
        <v/>
      </c>
      <c r="T1404">
        <f>_xlfn.NUMBERVALUE("-0.001466")</f>
        <v/>
      </c>
      <c r="U1404">
        <f>_xlfn.NUMBERVALUE("0.002267")</f>
        <v/>
      </c>
      <c r="V1404">
        <f>_xlfn.NUMBERVALUE("0.001241")</f>
        <v/>
      </c>
      <c r="W1404">
        <f>_xlfn.NUMBERVALUE("-0.004209")</f>
        <v/>
      </c>
      <c r="X1404">
        <f>_xlfn.NUMBERVALUE("0.700000")</f>
        <v/>
      </c>
      <c r="Y1404">
        <f>_xlfn.NUMBERVALUE("25.440000")</f>
        <v/>
      </c>
    </row>
    <row r="1405">
      <c r="A1405" s="1" t="n">
        <v>44041</v>
      </c>
      <c r="B1405">
        <f>_xlfn.NUMBERVALUE("0.003341")</f>
        <v/>
      </c>
      <c r="C1405" s="2">
        <f>_xlfn.NUMBERVALUE("0.002200")</f>
        <v/>
      </c>
      <c r="D1405">
        <f>_xlfn.NUMBERVALUE("-0.000461")</f>
        <v/>
      </c>
      <c r="E1405">
        <f>_xlfn.NUMBERVALUE("0.000354")</f>
        <v/>
      </c>
      <c r="F1405">
        <f>_xlfn.NUMBERVALUE("-0.001601")</f>
        <v/>
      </c>
      <c r="G1405">
        <f>_xlfn.NUMBERVALUE("0.000873")</f>
        <v/>
      </c>
      <c r="H1405">
        <f>_xlfn.NUMBERVALUE("0.001398")</f>
        <v/>
      </c>
      <c r="I1405">
        <f>_xlfn.NUMBERVALUE("-0.001009")</f>
        <v/>
      </c>
      <c r="J1405">
        <f>_xlfn.NUMBERVALUE("0.000114")</f>
        <v/>
      </c>
      <c r="K1405">
        <f>_xlfn.NUMBERVALUE("-0.001806")</f>
        <v/>
      </c>
      <c r="L1405">
        <f>_xlfn.NUMBERVALUE("0.000963")</f>
        <v/>
      </c>
      <c r="M1405">
        <f>_xlfn.NUMBERVALUE("0.000209")</f>
        <v/>
      </c>
      <c r="N1405">
        <f>_xlfn.NUMBERVALUE("0.004511")</f>
        <v/>
      </c>
      <c r="O1405">
        <f>_xlfn.NUMBERVALUE("0.000275")</f>
        <v/>
      </c>
      <c r="P1405">
        <f>_xlfn.NUMBERVALUE("-0.001083")</f>
        <v/>
      </c>
      <c r="Q1405">
        <f>_xlfn.NUMBERVALUE("0.001910")</f>
        <v/>
      </c>
      <c r="R1405">
        <f>_xlfn.NUMBERVALUE("0.002094")</f>
        <v/>
      </c>
      <c r="S1405">
        <f>_xlfn.NUMBERVALUE("0.000243")</f>
        <v/>
      </c>
      <c r="T1405">
        <f>_xlfn.NUMBERVALUE("0.000835")</f>
        <v/>
      </c>
      <c r="U1405">
        <f>_xlfn.NUMBERVALUE("0.002700")</f>
        <v/>
      </c>
      <c r="V1405">
        <f>_xlfn.NUMBERVALUE("-0.000013")</f>
        <v/>
      </c>
      <c r="W1405">
        <f>_xlfn.NUMBERVALUE("0.010692")</f>
        <v/>
      </c>
      <c r="X1405">
        <f>_xlfn.NUMBERVALUE("-1.340000")</f>
        <v/>
      </c>
      <c r="Y1405">
        <f>_xlfn.NUMBERVALUE("24.100000")</f>
        <v/>
      </c>
    </row>
    <row r="1406">
      <c r="A1406" s="1" t="n">
        <v>44042</v>
      </c>
      <c r="B1406">
        <f>_xlfn.NUMBERVALUE("0.001490")</f>
        <v/>
      </c>
      <c r="C1406" s="2">
        <f>_xlfn.NUMBERVALUE("0.000474")</f>
        <v/>
      </c>
      <c r="D1406">
        <f>_xlfn.NUMBERVALUE("0.001624")</f>
        <v/>
      </c>
      <c r="E1406">
        <f>_xlfn.NUMBERVALUE("-0.004070")</f>
        <v/>
      </c>
      <c r="F1406">
        <f>_xlfn.NUMBERVALUE("0.000326")</f>
        <v/>
      </c>
      <c r="G1406">
        <f>_xlfn.NUMBERVALUE("0.000083")</f>
        <v/>
      </c>
      <c r="H1406">
        <f>_xlfn.NUMBERVALUE("-0.000696")</f>
        <v/>
      </c>
      <c r="I1406">
        <f>_xlfn.NUMBERVALUE("0.003293")</f>
        <v/>
      </c>
      <c r="J1406">
        <f>_xlfn.NUMBERVALUE("-0.000376")</f>
        <v/>
      </c>
      <c r="K1406">
        <f>_xlfn.NUMBERVALUE("0.000394")</f>
        <v/>
      </c>
      <c r="L1406">
        <f>_xlfn.NUMBERVALUE("-0.000206")</f>
        <v/>
      </c>
      <c r="M1406">
        <f>_xlfn.NUMBERVALUE("-0.000785")</f>
        <v/>
      </c>
      <c r="N1406">
        <f>_xlfn.NUMBERVALUE("0.001764")</f>
        <v/>
      </c>
      <c r="O1406">
        <f>_xlfn.NUMBERVALUE("-0.004025")</f>
        <v/>
      </c>
      <c r="P1406">
        <f>_xlfn.NUMBERVALUE("-0.000244")</f>
        <v/>
      </c>
      <c r="Q1406">
        <f>_xlfn.NUMBERVALUE("-0.002631")</f>
        <v/>
      </c>
      <c r="R1406">
        <f>_xlfn.NUMBERVALUE("-0.000094")</f>
        <v/>
      </c>
      <c r="S1406">
        <f>_xlfn.NUMBERVALUE("-0.000224")</f>
        <v/>
      </c>
      <c r="T1406">
        <f>_xlfn.NUMBERVALUE("0.001270")</f>
        <v/>
      </c>
      <c r="U1406">
        <f>_xlfn.NUMBERVALUE("-0.000526")</f>
        <v/>
      </c>
      <c r="V1406">
        <f>_xlfn.NUMBERVALUE("0.000725")</f>
        <v/>
      </c>
      <c r="W1406">
        <f>_xlfn.NUMBERVALUE("-0.004613")</f>
        <v/>
      </c>
      <c r="X1406">
        <f>_xlfn.NUMBERVALUE("0.660000")</f>
        <v/>
      </c>
      <c r="Y1406">
        <f>_xlfn.NUMBERVALUE("24.760000")</f>
        <v/>
      </c>
    </row>
    <row r="1407">
      <c r="A1407" s="1" t="n">
        <v>44043</v>
      </c>
      <c r="B1407">
        <f>_xlfn.NUMBERVALUE("0.005146")</f>
        <v/>
      </c>
      <c r="C1407" s="2">
        <f>_xlfn.NUMBERVALUE("0.006031")</f>
        <v/>
      </c>
      <c r="D1407">
        <f>_xlfn.NUMBERVALUE("0.003700")</f>
        <v/>
      </c>
      <c r="E1407">
        <f>_xlfn.NUMBERVALUE("-0.003295")</f>
        <v/>
      </c>
      <c r="F1407">
        <f>_xlfn.NUMBERVALUE("0.000008")</f>
        <v/>
      </c>
      <c r="G1407">
        <f>_xlfn.NUMBERVALUE("0.000807")</f>
        <v/>
      </c>
      <c r="H1407">
        <f>_xlfn.NUMBERVALUE("0.000165")</f>
        <v/>
      </c>
      <c r="I1407">
        <f>_xlfn.NUMBERVALUE("0.002564")</f>
        <v/>
      </c>
      <c r="J1407">
        <f>_xlfn.NUMBERVALUE("0.002081")</f>
        <v/>
      </c>
      <c r="K1407">
        <f>_xlfn.NUMBERVALUE("-0.000014")</f>
        <v/>
      </c>
      <c r="L1407">
        <f>_xlfn.NUMBERVALUE("0.000320")</f>
        <v/>
      </c>
      <c r="M1407">
        <f>_xlfn.NUMBERVALUE("0.003270")</f>
        <v/>
      </c>
      <c r="N1407">
        <f>_xlfn.NUMBERVALUE("0.001981")</f>
        <v/>
      </c>
      <c r="O1407">
        <f>_xlfn.NUMBERVALUE("0.007125")</f>
        <v/>
      </c>
      <c r="P1407">
        <f>_xlfn.NUMBERVALUE("0.002575")</f>
        <v/>
      </c>
      <c r="Q1407">
        <f>_xlfn.NUMBERVALUE("0.002179")</f>
        <v/>
      </c>
      <c r="R1407">
        <f>_xlfn.NUMBERVALUE("0.001378")</f>
        <v/>
      </c>
      <c r="S1407">
        <f>_xlfn.NUMBERVALUE("0.001401")</f>
        <v/>
      </c>
      <c r="T1407">
        <f>_xlfn.NUMBERVALUE("0.000712")</f>
        <v/>
      </c>
      <c r="U1407">
        <f>_xlfn.NUMBERVALUE("0.003828")</f>
        <v/>
      </c>
      <c r="V1407">
        <f>_xlfn.NUMBERVALUE("0.002327")</f>
        <v/>
      </c>
      <c r="W1407">
        <f>_xlfn.NUMBERVALUE("0.005036")</f>
        <v/>
      </c>
      <c r="X1407">
        <f>_xlfn.NUMBERVALUE("-0.300000")</f>
        <v/>
      </c>
      <c r="Y1407">
        <f>_xlfn.NUMBERVALUE("24.460000")</f>
        <v/>
      </c>
    </row>
    <row r="1408">
      <c r="A1408" s="1" t="n">
        <v>44046</v>
      </c>
      <c r="B1408">
        <f>_xlfn.NUMBERVALUE("-0.006432")</f>
        <v/>
      </c>
      <c r="C1408" s="2">
        <f>_xlfn.NUMBERVALUE("0.000803")</f>
        <v/>
      </c>
      <c r="D1408">
        <f>_xlfn.NUMBERVALUE("0.003767")</f>
        <v/>
      </c>
      <c r="E1408">
        <f>_xlfn.NUMBERVALUE("0.001542")</f>
        <v/>
      </c>
      <c r="F1408">
        <f>_xlfn.NUMBERVALUE("0.000002")</f>
        <v/>
      </c>
      <c r="G1408">
        <f>_xlfn.NUMBERVALUE("-0.002339")</f>
        <v/>
      </c>
      <c r="H1408">
        <f>_xlfn.NUMBERVALUE("0.000128")</f>
        <v/>
      </c>
      <c r="I1408">
        <f>_xlfn.NUMBERVALUE("-0.000582")</f>
        <v/>
      </c>
      <c r="J1408">
        <f>_xlfn.NUMBERVALUE("-0.001255")</f>
        <v/>
      </c>
      <c r="K1408">
        <f>_xlfn.NUMBERVALUE("-0.000003")</f>
        <v/>
      </c>
      <c r="L1408">
        <f>_xlfn.NUMBERVALUE("0.000270")</f>
        <v/>
      </c>
      <c r="M1408">
        <f>_xlfn.NUMBERVALUE("0.001774")</f>
        <v/>
      </c>
      <c r="N1408">
        <f>_xlfn.NUMBERVALUE("0.003928")</f>
        <v/>
      </c>
      <c r="O1408">
        <f>_xlfn.NUMBERVALUE("0.004723")</f>
        <v/>
      </c>
      <c r="P1408">
        <f>_xlfn.NUMBERVALUE("0.002570")</f>
        <v/>
      </c>
      <c r="Q1408">
        <f>_xlfn.NUMBERVALUE("0.001205")</f>
        <v/>
      </c>
      <c r="R1408">
        <f>_xlfn.NUMBERVALUE("-0.009079")</f>
        <v/>
      </c>
      <c r="S1408">
        <f>_xlfn.NUMBERVALUE("-0.000640")</f>
        <v/>
      </c>
      <c r="T1408">
        <f>_xlfn.NUMBERVALUE("0.000080")</f>
        <v/>
      </c>
      <c r="U1408">
        <f>_xlfn.NUMBERVALUE("0.003284")</f>
        <v/>
      </c>
      <c r="V1408">
        <f>_xlfn.NUMBERVALUE("-0.000611")</f>
        <v/>
      </c>
      <c r="W1408">
        <f>_xlfn.NUMBERVALUE("0.012112")</f>
        <v/>
      </c>
      <c r="X1408">
        <f>_xlfn.NUMBERVALUE("-0.180000")</f>
        <v/>
      </c>
      <c r="Y1408">
        <f>_xlfn.NUMBERVALUE("24.280000")</f>
        <v/>
      </c>
    </row>
    <row r="1409">
      <c r="A1409" s="1" t="n">
        <v>44047</v>
      </c>
      <c r="B1409">
        <f>_xlfn.NUMBERVALUE("0.002884")</f>
        <v/>
      </c>
      <c r="C1409" s="2">
        <f>_xlfn.NUMBERVALUE("0.000691")</f>
        <v/>
      </c>
      <c r="D1409">
        <f>_xlfn.NUMBERVALUE("-0.001519")</f>
        <v/>
      </c>
      <c r="E1409">
        <f>_xlfn.NUMBERVALUE("0.001347")</f>
        <v/>
      </c>
      <c r="F1409">
        <f>_xlfn.NUMBERVALUE("-0.000001")</f>
        <v/>
      </c>
      <c r="G1409">
        <f>_xlfn.NUMBERVALUE("-0.000072")</f>
        <v/>
      </c>
      <c r="H1409">
        <f>_xlfn.NUMBERVALUE("-0.000116")</f>
        <v/>
      </c>
      <c r="I1409">
        <f>_xlfn.NUMBERVALUE("0.000002")</f>
        <v/>
      </c>
      <c r="J1409">
        <f>_xlfn.NUMBERVALUE("-0.000058")</f>
        <v/>
      </c>
      <c r="K1409">
        <f>_xlfn.NUMBERVALUE("-0.000001")</f>
        <v/>
      </c>
      <c r="L1409">
        <f>_xlfn.NUMBERVALUE("-0.000159")</f>
        <v/>
      </c>
      <c r="M1409">
        <f>_xlfn.NUMBERVALUE("0.000261")</f>
        <v/>
      </c>
      <c r="N1409">
        <f>_xlfn.NUMBERVALUE("0.002185")</f>
        <v/>
      </c>
      <c r="O1409">
        <f>_xlfn.NUMBERVALUE("-0.001881")</f>
        <v/>
      </c>
      <c r="P1409">
        <f>_xlfn.NUMBERVALUE("0.001206")</f>
        <v/>
      </c>
      <c r="Q1409">
        <f>_xlfn.NUMBERVALUE("-0.000038")</f>
        <v/>
      </c>
      <c r="R1409">
        <f>_xlfn.NUMBERVALUE("0.001734")</f>
        <v/>
      </c>
      <c r="S1409">
        <f>_xlfn.NUMBERVALUE("-0.000075")</f>
        <v/>
      </c>
      <c r="T1409">
        <f>_xlfn.NUMBERVALUE("0.000348")</f>
        <v/>
      </c>
      <c r="U1409">
        <f>_xlfn.NUMBERVALUE("0.000375")</f>
        <v/>
      </c>
      <c r="V1409">
        <f>_xlfn.NUMBERVALUE("0.000017")</f>
        <v/>
      </c>
      <c r="W1409">
        <f>_xlfn.NUMBERVALUE("0.000106")</f>
        <v/>
      </c>
      <c r="X1409">
        <f>_xlfn.NUMBERVALUE("-0.520000")</f>
        <v/>
      </c>
      <c r="Y1409">
        <f>_xlfn.NUMBERVALUE("23.760000")</f>
        <v/>
      </c>
    </row>
    <row r="1410">
      <c r="A1410" s="1" t="n">
        <v>44048</v>
      </c>
      <c r="B1410">
        <f>_xlfn.NUMBERVALUE("0.000127")</f>
        <v/>
      </c>
      <c r="C1410" s="2">
        <f>_xlfn.NUMBERVALUE("-0.001481")</f>
        <v/>
      </c>
      <c r="D1410">
        <f>_xlfn.NUMBERVALUE("-0.000542")</f>
        <v/>
      </c>
      <c r="E1410">
        <f>_xlfn.NUMBERVALUE("0.000180")</f>
        <v/>
      </c>
      <c r="F1410">
        <f>_xlfn.NUMBERVALUE("-0.000282")</f>
        <v/>
      </c>
      <c r="G1410">
        <f>_xlfn.NUMBERVALUE("0.000377")</f>
        <v/>
      </c>
      <c r="H1410">
        <f>_xlfn.NUMBERVALUE("0.000651")</f>
        <v/>
      </c>
      <c r="I1410">
        <f>_xlfn.NUMBERVALUE("0.000563")</f>
        <v/>
      </c>
      <c r="J1410">
        <f>_xlfn.NUMBERVALUE("-0.000625")</f>
        <v/>
      </c>
      <c r="K1410">
        <f>_xlfn.NUMBERVALUE("-0.015118")</f>
        <v/>
      </c>
      <c r="L1410">
        <f>_xlfn.NUMBERVALUE("-0.000073")</f>
        <v/>
      </c>
      <c r="M1410">
        <f>_xlfn.NUMBERVALUE("0.000042")</f>
        <v/>
      </c>
      <c r="N1410">
        <f>_xlfn.NUMBERVALUE("0.003693")</f>
        <v/>
      </c>
      <c r="O1410">
        <f>_xlfn.NUMBERVALUE("0.000840")</f>
        <v/>
      </c>
      <c r="P1410">
        <f>_xlfn.NUMBERVALUE("-0.000482")</f>
        <v/>
      </c>
      <c r="Q1410">
        <f>_xlfn.NUMBERVALUE("-0.000267")</f>
        <v/>
      </c>
      <c r="R1410">
        <f>_xlfn.NUMBERVALUE("0.000916")</f>
        <v/>
      </c>
      <c r="S1410">
        <f>_xlfn.NUMBERVALUE("-0.000051")</f>
        <v/>
      </c>
      <c r="T1410">
        <f>_xlfn.NUMBERVALUE("-0.000333")</f>
        <v/>
      </c>
      <c r="U1410">
        <f>_xlfn.NUMBERVALUE("-0.000424")</f>
        <v/>
      </c>
      <c r="V1410">
        <f>_xlfn.NUMBERVALUE("0.000828")</f>
        <v/>
      </c>
      <c r="W1410">
        <f>_xlfn.NUMBERVALUE("0.007257")</f>
        <v/>
      </c>
      <c r="X1410">
        <f>_xlfn.NUMBERVALUE("-0.770000")</f>
        <v/>
      </c>
      <c r="Y1410">
        <f>_xlfn.NUMBERVALUE("22.990000")</f>
        <v/>
      </c>
    </row>
    <row r="1411">
      <c r="A1411" s="1" t="n">
        <v>44049</v>
      </c>
      <c r="B1411">
        <f>_xlfn.NUMBERVALUE("0.003669")</f>
        <v/>
      </c>
      <c r="C1411" s="2">
        <f>_xlfn.NUMBERVALUE("-0.000401")</f>
        <v/>
      </c>
      <c r="D1411">
        <f>_xlfn.NUMBERVALUE("0.000066")</f>
        <v/>
      </c>
      <c r="E1411">
        <f>_xlfn.NUMBERVALUE("0.000291")</f>
        <v/>
      </c>
      <c r="F1411">
        <f>_xlfn.NUMBERVALUE("-0.001843")</f>
        <v/>
      </c>
      <c r="G1411">
        <f>_xlfn.NUMBERVALUE("0.000353")</f>
        <v/>
      </c>
      <c r="H1411">
        <f>_xlfn.NUMBERVALUE("-0.000058")</f>
        <v/>
      </c>
      <c r="I1411">
        <f>_xlfn.NUMBERVALUE("0.001695")</f>
        <v/>
      </c>
      <c r="J1411">
        <f>_xlfn.NUMBERVALUE("0.000723")</f>
        <v/>
      </c>
      <c r="K1411">
        <f>_xlfn.NUMBERVALUE("-0.016547")</f>
        <v/>
      </c>
      <c r="L1411">
        <f>_xlfn.NUMBERVALUE("0.000388")</f>
        <v/>
      </c>
      <c r="M1411">
        <f>_xlfn.NUMBERVALUE("-0.000386")</f>
        <v/>
      </c>
      <c r="N1411">
        <f>_xlfn.NUMBERVALUE("-0.007541")</f>
        <v/>
      </c>
      <c r="O1411">
        <f>_xlfn.NUMBERVALUE("0.000510")</f>
        <v/>
      </c>
      <c r="P1411">
        <f>_xlfn.NUMBERVALUE("0.000111")</f>
        <v/>
      </c>
      <c r="Q1411">
        <f>_xlfn.NUMBERVALUE("-0.000150")</f>
        <v/>
      </c>
      <c r="R1411">
        <f>_xlfn.NUMBERVALUE("-0.000214")</f>
        <v/>
      </c>
      <c r="S1411">
        <f>_xlfn.NUMBERVALUE("-0.000058")</f>
        <v/>
      </c>
      <c r="T1411">
        <f>_xlfn.NUMBERVALUE("0.000176")</f>
        <v/>
      </c>
      <c r="U1411">
        <f>_xlfn.NUMBERVALUE("0.000072")</f>
        <v/>
      </c>
      <c r="V1411">
        <f>_xlfn.NUMBERVALUE("0.000322")</f>
        <v/>
      </c>
      <c r="W1411">
        <f>_xlfn.NUMBERVALUE("0.007115")</f>
        <v/>
      </c>
      <c r="X1411">
        <f>_xlfn.NUMBERVALUE("-0.340000")</f>
        <v/>
      </c>
      <c r="Y1411">
        <f>_xlfn.NUMBERVALUE("22.650000")</f>
        <v/>
      </c>
    </row>
    <row r="1412">
      <c r="A1412" s="1" t="n">
        <v>44050</v>
      </c>
      <c r="B1412">
        <f>_xlfn.NUMBERVALUE("-0.000177")</f>
        <v/>
      </c>
      <c r="C1412" s="2">
        <f>_xlfn.NUMBERVALUE("-0.000221")</f>
        <v/>
      </c>
      <c r="D1412">
        <f>_xlfn.NUMBERVALUE("-0.002431")</f>
        <v/>
      </c>
      <c r="E1412">
        <f>_xlfn.NUMBERVALUE("0.000595")</f>
        <v/>
      </c>
      <c r="F1412">
        <f>_xlfn.NUMBERVALUE("0.000590")</f>
        <v/>
      </c>
      <c r="G1412">
        <f>_xlfn.NUMBERVALUE("0.000632")</f>
        <v/>
      </c>
      <c r="H1412">
        <f>_xlfn.NUMBERVALUE("-0.000167")</f>
        <v/>
      </c>
      <c r="I1412">
        <f>_xlfn.NUMBERVALUE("-0.002807")</f>
        <v/>
      </c>
      <c r="J1412">
        <f>_xlfn.NUMBERVALUE("0.000271")</f>
        <v/>
      </c>
      <c r="K1412">
        <f>_xlfn.NUMBERVALUE("-0.010969")</f>
        <v/>
      </c>
      <c r="L1412">
        <f>_xlfn.NUMBERVALUE("-0.000671")</f>
        <v/>
      </c>
      <c r="M1412">
        <f>_xlfn.NUMBERVALUE("-0.000001")</f>
        <v/>
      </c>
      <c r="N1412">
        <f>_xlfn.NUMBERVALUE("0.001070")</f>
        <v/>
      </c>
      <c r="O1412">
        <f>_xlfn.NUMBERVALUE("0.000027")</f>
        <v/>
      </c>
      <c r="P1412">
        <f>_xlfn.NUMBERVALUE("-0.000004")</f>
        <v/>
      </c>
      <c r="Q1412">
        <f>_xlfn.NUMBERVALUE("-0.000001")</f>
        <v/>
      </c>
      <c r="R1412">
        <f>_xlfn.NUMBERVALUE("-0.000083")</f>
        <v/>
      </c>
      <c r="S1412">
        <f>_xlfn.NUMBERVALUE("-0.000001")</f>
        <v/>
      </c>
      <c r="T1412">
        <f>_xlfn.NUMBERVALUE("-0.000181")</f>
        <v/>
      </c>
      <c r="U1412">
        <f>_xlfn.NUMBERVALUE("-0.000076")</f>
        <v/>
      </c>
      <c r="V1412">
        <f>_xlfn.NUMBERVALUE("0.001012")</f>
        <v/>
      </c>
      <c r="W1412">
        <f>_xlfn.NUMBERVALUE("0.001108")</f>
        <v/>
      </c>
      <c r="X1412">
        <f>_xlfn.NUMBERVALUE("-0.440000")</f>
        <v/>
      </c>
      <c r="Y1412">
        <f>_xlfn.NUMBERVALUE("22.210000")</f>
        <v/>
      </c>
    </row>
    <row r="1413">
      <c r="A1413" s="1" t="n">
        <v>44053</v>
      </c>
      <c r="B1413">
        <f>_xlfn.NUMBERVALUE("0.006176")</f>
        <v/>
      </c>
      <c r="C1413" s="2">
        <f>_xlfn.NUMBERVALUE("-0.001516")</f>
        <v/>
      </c>
      <c r="D1413">
        <f>_xlfn.NUMBERVALUE("0.002504")</f>
        <v/>
      </c>
      <c r="E1413">
        <f>_xlfn.NUMBERVALUE("0.003855")</f>
        <v/>
      </c>
      <c r="F1413">
        <f>_xlfn.NUMBERVALUE("0.007157")</f>
        <v/>
      </c>
      <c r="G1413">
        <f>_xlfn.NUMBERVALUE("0.000291")</f>
        <v/>
      </c>
      <c r="H1413">
        <f>_xlfn.NUMBERVALUE("0.000987")</f>
        <v/>
      </c>
      <c r="I1413">
        <f>_xlfn.NUMBERVALUE("-0.000291")</f>
        <v/>
      </c>
      <c r="J1413">
        <f>_xlfn.NUMBERVALUE("0.000866")</f>
        <v/>
      </c>
      <c r="K1413">
        <f>_xlfn.NUMBERVALUE("0.011417")</f>
        <v/>
      </c>
      <c r="L1413">
        <f>_xlfn.NUMBERVALUE("0.003584")</f>
        <v/>
      </c>
      <c r="M1413">
        <f>_xlfn.NUMBERVALUE("-0.001114")</f>
        <v/>
      </c>
      <c r="N1413">
        <f>_xlfn.NUMBERVALUE("0.004009")</f>
        <v/>
      </c>
      <c r="O1413">
        <f>_xlfn.NUMBERVALUE("-0.003788")</f>
        <v/>
      </c>
      <c r="P1413">
        <f>_xlfn.NUMBERVALUE("-0.001223")</f>
        <v/>
      </c>
      <c r="Q1413">
        <f>_xlfn.NUMBERVALUE("-0.006298")</f>
        <v/>
      </c>
      <c r="R1413">
        <f>_xlfn.NUMBERVALUE("0.002804")</f>
        <v/>
      </c>
      <c r="S1413">
        <f>_xlfn.NUMBERVALUE("0.000106")</f>
        <v/>
      </c>
      <c r="T1413">
        <f>_xlfn.NUMBERVALUE("0.000959")</f>
        <v/>
      </c>
      <c r="U1413">
        <f>_xlfn.NUMBERVALUE("-0.001279")</f>
        <v/>
      </c>
      <c r="V1413">
        <f>_xlfn.NUMBERVALUE("0.001404")</f>
        <v/>
      </c>
      <c r="W1413">
        <f>_xlfn.NUMBERVALUE("0.001884")</f>
        <v/>
      </c>
      <c r="X1413">
        <f>_xlfn.NUMBERVALUE("-0.080000")</f>
        <v/>
      </c>
      <c r="Y1413">
        <f>_xlfn.NUMBERVALUE("22.130000")</f>
        <v/>
      </c>
    </row>
    <row r="1414">
      <c r="A1414" s="1" t="n">
        <v>44054</v>
      </c>
      <c r="B1414">
        <f>_xlfn.NUMBERVALUE("0.002341")</f>
        <v/>
      </c>
      <c r="C1414" s="2">
        <f>_xlfn.NUMBERVALUE("-0.002670")</f>
        <v/>
      </c>
      <c r="D1414">
        <f>_xlfn.NUMBERVALUE("0.000527")</f>
        <v/>
      </c>
      <c r="E1414">
        <f>_xlfn.NUMBERVALUE("-0.002938")</f>
        <v/>
      </c>
      <c r="F1414">
        <f>_xlfn.NUMBERVALUE("-0.024984")</f>
        <v/>
      </c>
      <c r="G1414">
        <f>_xlfn.NUMBERVALUE("0.000327")</f>
        <v/>
      </c>
      <c r="H1414">
        <f>_xlfn.NUMBERVALUE("-0.001085")</f>
        <v/>
      </c>
      <c r="I1414">
        <f>_xlfn.NUMBERVALUE("-0.002665")</f>
        <v/>
      </c>
      <c r="J1414">
        <f>_xlfn.NUMBERVALUE("-0.000963")</f>
        <v/>
      </c>
      <c r="K1414">
        <f>_xlfn.NUMBERVALUE("-0.045598")</f>
        <v/>
      </c>
      <c r="L1414">
        <f>_xlfn.NUMBERVALUE("-0.001334")</f>
        <v/>
      </c>
      <c r="M1414">
        <f>_xlfn.NUMBERVALUE("-0.000150")</f>
        <v/>
      </c>
      <c r="N1414">
        <f>_xlfn.NUMBERVALUE("0.000914")</f>
        <v/>
      </c>
      <c r="O1414">
        <f>_xlfn.NUMBERVALUE("-0.000146")</f>
        <v/>
      </c>
      <c r="P1414">
        <f>_xlfn.NUMBERVALUE("-0.001836")</f>
        <v/>
      </c>
      <c r="Q1414">
        <f>_xlfn.NUMBERVALUE("-0.000672")</f>
        <v/>
      </c>
      <c r="R1414">
        <f>_xlfn.NUMBERVALUE("-0.002469")</f>
        <v/>
      </c>
      <c r="S1414">
        <f>_xlfn.NUMBERVALUE("-0.000299")</f>
        <v/>
      </c>
      <c r="T1414">
        <f>_xlfn.NUMBERVALUE("-0.003082")</f>
        <v/>
      </c>
      <c r="U1414">
        <f>_xlfn.NUMBERVALUE("-0.003058")</f>
        <v/>
      </c>
      <c r="V1414">
        <f>_xlfn.NUMBERVALUE("-0.001982")</f>
        <v/>
      </c>
      <c r="W1414">
        <f>_xlfn.NUMBERVALUE("-0.005133")</f>
        <v/>
      </c>
      <c r="X1414">
        <f>_xlfn.NUMBERVALUE("1.900000")</f>
        <v/>
      </c>
      <c r="Y1414">
        <f>_xlfn.NUMBERVALUE("24.030000")</f>
        <v/>
      </c>
    </row>
    <row r="1415">
      <c r="A1415" s="1" t="n">
        <v>44055</v>
      </c>
      <c r="B1415">
        <f>_xlfn.NUMBERVALUE("-0.005523")</f>
        <v/>
      </c>
      <c r="C1415" s="2">
        <f>_xlfn.NUMBERVALUE("0.001383")</f>
        <v/>
      </c>
      <c r="D1415">
        <f>_xlfn.NUMBERVALUE("0.000791")</f>
        <v/>
      </c>
      <c r="E1415">
        <f>_xlfn.NUMBERVALUE("-0.002324")</f>
        <v/>
      </c>
      <c r="F1415">
        <f>_xlfn.NUMBERVALUE("0.003715")</f>
        <v/>
      </c>
      <c r="G1415">
        <f>_xlfn.NUMBERVALUE("-0.000550")</f>
        <v/>
      </c>
      <c r="H1415">
        <f>_xlfn.NUMBERVALUE("0.000551")</f>
        <v/>
      </c>
      <c r="I1415">
        <f>_xlfn.NUMBERVALUE("0.004012")</f>
        <v/>
      </c>
      <c r="J1415">
        <f>_xlfn.NUMBERVALUE("-0.000305")</f>
        <v/>
      </c>
      <c r="K1415">
        <f>_xlfn.NUMBERVALUE("0.013606")</f>
        <v/>
      </c>
      <c r="L1415">
        <f>_xlfn.NUMBERVALUE("0.000041")</f>
        <v/>
      </c>
      <c r="M1415">
        <f>_xlfn.NUMBERVALUE("0.001487")</f>
        <v/>
      </c>
      <c r="N1415">
        <f>_xlfn.NUMBERVALUE("0.000346")</f>
        <v/>
      </c>
      <c r="O1415">
        <f>_xlfn.NUMBERVALUE("0.005376")</f>
        <v/>
      </c>
      <c r="P1415">
        <f>_xlfn.NUMBERVALUE("0.004957")</f>
        <v/>
      </c>
      <c r="Q1415">
        <f>_xlfn.NUMBERVALUE("0.001094")</f>
        <v/>
      </c>
      <c r="R1415">
        <f>_xlfn.NUMBERVALUE("0.000034")</f>
        <v/>
      </c>
      <c r="S1415">
        <f>_xlfn.NUMBERVALUE("-0.002207")</f>
        <v/>
      </c>
      <c r="T1415">
        <f>_xlfn.NUMBERVALUE("-0.000178")</f>
        <v/>
      </c>
      <c r="U1415">
        <f>_xlfn.NUMBERVALUE("0.000576")</f>
        <v/>
      </c>
      <c r="V1415">
        <f>_xlfn.NUMBERVALUE("0.000426")</f>
        <v/>
      </c>
      <c r="W1415">
        <f>_xlfn.NUMBERVALUE("0.013319")</f>
        <v/>
      </c>
      <c r="X1415">
        <f>_xlfn.NUMBERVALUE("-1.750000")</f>
        <v/>
      </c>
      <c r="Y1415">
        <f>_xlfn.NUMBERVALUE("22.280000")</f>
        <v/>
      </c>
    </row>
    <row r="1416">
      <c r="A1416" s="1" t="n">
        <v>44056</v>
      </c>
      <c r="B1416">
        <f>_xlfn.NUMBERVALUE("-0.002801")</f>
        <v/>
      </c>
      <c r="C1416" s="2">
        <f>_xlfn.NUMBERVALUE("0.001526")</f>
        <v/>
      </c>
      <c r="D1416">
        <f>_xlfn.NUMBERVALUE("0.002273")</f>
        <v/>
      </c>
      <c r="E1416">
        <f>_xlfn.NUMBERVALUE("-0.000165")</f>
        <v/>
      </c>
      <c r="F1416">
        <f>_xlfn.NUMBERVALUE("-0.000548")</f>
        <v/>
      </c>
      <c r="G1416">
        <f>_xlfn.NUMBERVALUE("0.001164")</f>
        <v/>
      </c>
      <c r="H1416">
        <f>_xlfn.NUMBERVALUE("0.000118")</f>
        <v/>
      </c>
      <c r="I1416">
        <f>_xlfn.NUMBERVALUE("0.003034")</f>
        <v/>
      </c>
      <c r="J1416">
        <f>_xlfn.NUMBERVALUE("-0.002755")</f>
        <v/>
      </c>
      <c r="K1416">
        <f>_xlfn.NUMBERVALUE("-0.004706")</f>
        <v/>
      </c>
      <c r="L1416">
        <f>_xlfn.NUMBERVALUE("-0.001522")</f>
        <v/>
      </c>
      <c r="M1416">
        <f>_xlfn.NUMBERVALUE("0.001832")</f>
        <v/>
      </c>
      <c r="N1416">
        <f>_xlfn.NUMBERVALUE("0.000004")</f>
        <v/>
      </c>
      <c r="O1416">
        <f>_xlfn.NUMBERVALUE("0.002465")</f>
        <v/>
      </c>
      <c r="P1416">
        <f>_xlfn.NUMBERVALUE("0.001362")</f>
        <v/>
      </c>
      <c r="Q1416">
        <f>_xlfn.NUMBERVALUE("0.001796")</f>
        <v/>
      </c>
      <c r="R1416">
        <f>_xlfn.NUMBERVALUE("-0.001027")</f>
        <v/>
      </c>
      <c r="S1416">
        <f>_xlfn.NUMBERVALUE("0.000419")</f>
        <v/>
      </c>
      <c r="T1416">
        <f>_xlfn.NUMBERVALUE("0.000361")</f>
        <v/>
      </c>
      <c r="U1416">
        <f>_xlfn.NUMBERVALUE("0.000325")</f>
        <v/>
      </c>
      <c r="V1416">
        <f>_xlfn.NUMBERVALUE("0.001225")</f>
        <v/>
      </c>
      <c r="W1416">
        <f>_xlfn.NUMBERVALUE("-0.002872")</f>
        <v/>
      </c>
      <c r="X1416">
        <f>_xlfn.NUMBERVALUE("-0.150000")</f>
        <v/>
      </c>
      <c r="Y1416">
        <f>_xlfn.NUMBERVALUE("22.130000")</f>
        <v/>
      </c>
    </row>
    <row r="1417">
      <c r="A1417" s="1" t="n">
        <v>44057</v>
      </c>
      <c r="B1417">
        <f>_xlfn.NUMBERVALUE("0.003023")</f>
        <v/>
      </c>
      <c r="C1417" s="2">
        <f>_xlfn.NUMBERVALUE("0.000960")</f>
        <v/>
      </c>
      <c r="D1417">
        <f>_xlfn.NUMBERVALUE("0.001435")</f>
        <v/>
      </c>
      <c r="E1417">
        <f>_xlfn.NUMBERVALUE("0.001096")</f>
        <v/>
      </c>
      <c r="F1417">
        <f>_xlfn.NUMBERVALUE("0.005016")</f>
        <v/>
      </c>
      <c r="G1417">
        <f>_xlfn.NUMBERVALUE("0.000200")</f>
        <v/>
      </c>
      <c r="H1417">
        <f>_xlfn.NUMBERVALUE("-0.000398")</f>
        <v/>
      </c>
      <c r="I1417">
        <f>_xlfn.NUMBERVALUE("0.002664")</f>
        <v/>
      </c>
      <c r="J1417">
        <f>_xlfn.NUMBERVALUE("-0.000459")</f>
        <v/>
      </c>
      <c r="K1417">
        <f>_xlfn.NUMBERVALUE("0.007975")</f>
        <v/>
      </c>
      <c r="L1417">
        <f>_xlfn.NUMBERVALUE("-0.000297")</f>
        <v/>
      </c>
      <c r="M1417">
        <f>_xlfn.NUMBERVALUE("0.002018")</f>
        <v/>
      </c>
      <c r="N1417">
        <f>_xlfn.NUMBERVALUE("0.000001")</f>
        <v/>
      </c>
      <c r="O1417">
        <f>_xlfn.NUMBERVALUE("0.003508")</f>
        <v/>
      </c>
      <c r="P1417">
        <f>_xlfn.NUMBERVALUE("0.000715")</f>
        <v/>
      </c>
      <c r="Q1417">
        <f>_xlfn.NUMBERVALUE("-0.000386")</f>
        <v/>
      </c>
      <c r="R1417">
        <f>_xlfn.NUMBERVALUE("0.002152")</f>
        <v/>
      </c>
      <c r="S1417">
        <f>_xlfn.NUMBERVALUE("0.000575")</f>
        <v/>
      </c>
      <c r="T1417">
        <f>_xlfn.NUMBERVALUE("0.000573")</f>
        <v/>
      </c>
      <c r="U1417">
        <f>_xlfn.NUMBERVALUE("0.001548")</f>
        <v/>
      </c>
      <c r="V1417">
        <f>_xlfn.NUMBERVALUE("0.001253")</f>
        <v/>
      </c>
      <c r="W1417">
        <f>_xlfn.NUMBERVALUE("-0.002227")</f>
        <v/>
      </c>
      <c r="X1417">
        <f>_xlfn.NUMBERVALUE("-0.080000")</f>
        <v/>
      </c>
      <c r="Y1417">
        <f>_xlfn.NUMBERVALUE("22.050000")</f>
        <v/>
      </c>
    </row>
    <row r="1418">
      <c r="A1418" s="1" t="n">
        <v>44060</v>
      </c>
      <c r="B1418">
        <f>_xlfn.NUMBERVALUE("-0.002086")</f>
        <v/>
      </c>
      <c r="C1418" s="2">
        <f>_xlfn.NUMBERVALUE("0.003572")</f>
        <v/>
      </c>
      <c r="D1418">
        <f>_xlfn.NUMBERVALUE("0.002021")</f>
        <v/>
      </c>
      <c r="E1418">
        <f>_xlfn.NUMBERVALUE("0.001886")</f>
        <v/>
      </c>
      <c r="F1418">
        <f>_xlfn.NUMBERVALUE("-0.004715")</f>
        <v/>
      </c>
      <c r="G1418">
        <f>_xlfn.NUMBERVALUE("0.000468")</f>
        <v/>
      </c>
      <c r="H1418">
        <f>_xlfn.NUMBERVALUE("-0.000861")</f>
        <v/>
      </c>
      <c r="I1418">
        <f>_xlfn.NUMBERVALUE("0.004087")</f>
        <v/>
      </c>
      <c r="J1418">
        <f>_xlfn.NUMBERVALUE("0.000757")</f>
        <v/>
      </c>
      <c r="K1418">
        <f>_xlfn.NUMBERVALUE("0.004363")</f>
        <v/>
      </c>
      <c r="L1418">
        <f>_xlfn.NUMBERVALUE("0.000879")</f>
        <v/>
      </c>
      <c r="M1418">
        <f>_xlfn.NUMBERVALUE("0.002956")</f>
        <v/>
      </c>
      <c r="N1418">
        <f>_xlfn.NUMBERVALUE("0.003403")</f>
        <v/>
      </c>
      <c r="O1418">
        <f>_xlfn.NUMBERVALUE("0.005499")</f>
        <v/>
      </c>
      <c r="P1418">
        <f>_xlfn.NUMBERVALUE("0.005963")</f>
        <v/>
      </c>
      <c r="Q1418">
        <f>_xlfn.NUMBERVALUE("0.004705")</f>
        <v/>
      </c>
      <c r="R1418">
        <f>_xlfn.NUMBERVALUE("0.005063")</f>
        <v/>
      </c>
      <c r="S1418">
        <f>_xlfn.NUMBERVALUE("0.001287")</f>
        <v/>
      </c>
      <c r="T1418">
        <f>_xlfn.NUMBERVALUE("0.002402")</f>
        <v/>
      </c>
      <c r="U1418">
        <f>_xlfn.NUMBERVALUE("0.000191")</f>
        <v/>
      </c>
      <c r="V1418">
        <f>_xlfn.NUMBERVALUE("0.002829")</f>
        <v/>
      </c>
      <c r="W1418">
        <f>_xlfn.NUMBERVALUE("0.005773")</f>
        <v/>
      </c>
      <c r="X1418">
        <f>_xlfn.NUMBERVALUE("-0.700000")</f>
        <v/>
      </c>
      <c r="Y1418">
        <f>_xlfn.NUMBERVALUE("21.350000")</f>
        <v/>
      </c>
    </row>
    <row r="1419">
      <c r="A1419" s="1" t="n">
        <v>44061</v>
      </c>
      <c r="B1419">
        <f>_xlfn.NUMBERVALUE("0.001163")</f>
        <v/>
      </c>
      <c r="C1419" s="2">
        <f>_xlfn.NUMBERVALUE("0.002400")</f>
        <v/>
      </c>
      <c r="D1419">
        <f>_xlfn.NUMBERVALUE("0.001102")</f>
        <v/>
      </c>
      <c r="E1419">
        <f>_xlfn.NUMBERVALUE("0.001347")</f>
        <v/>
      </c>
      <c r="F1419">
        <f>_xlfn.NUMBERVALUE("0.003220")</f>
        <v/>
      </c>
      <c r="G1419">
        <f>_xlfn.NUMBERVALUE("0.001297")</f>
        <v/>
      </c>
      <c r="H1419">
        <f>_xlfn.NUMBERVALUE("0.001477")</f>
        <v/>
      </c>
      <c r="I1419">
        <f>_xlfn.NUMBERVALUE("0.001364")</f>
        <v/>
      </c>
      <c r="J1419">
        <f>_xlfn.NUMBERVALUE("0.000849")</f>
        <v/>
      </c>
      <c r="K1419">
        <f>_xlfn.NUMBERVALUE("0.010864")</f>
        <v/>
      </c>
      <c r="L1419">
        <f>_xlfn.NUMBERVALUE("0.000798")</f>
        <v/>
      </c>
      <c r="M1419">
        <f>_xlfn.NUMBERVALUE("0.003863")</f>
        <v/>
      </c>
      <c r="N1419">
        <f>_xlfn.NUMBERVALUE("0.000149")</f>
        <v/>
      </c>
      <c r="O1419">
        <f>_xlfn.NUMBERVALUE("0.003841")</f>
        <v/>
      </c>
      <c r="P1419">
        <f>_xlfn.NUMBERVALUE("0.001897")</f>
        <v/>
      </c>
      <c r="Q1419">
        <f>_xlfn.NUMBERVALUE("0.003764")</f>
        <v/>
      </c>
      <c r="R1419">
        <f>_xlfn.NUMBERVALUE("0.002416")</f>
        <v/>
      </c>
      <c r="S1419">
        <f>_xlfn.NUMBERVALUE("0.003335")</f>
        <v/>
      </c>
      <c r="T1419">
        <f>_xlfn.NUMBERVALUE("0.001732")</f>
        <v/>
      </c>
      <c r="U1419">
        <f>_xlfn.NUMBERVALUE("0.000334")</f>
        <v/>
      </c>
      <c r="V1419">
        <f>_xlfn.NUMBERVALUE("0.000683")</f>
        <v/>
      </c>
      <c r="W1419">
        <f>_xlfn.NUMBERVALUE("0.002071")</f>
        <v/>
      </c>
      <c r="X1419">
        <f>_xlfn.NUMBERVALUE("0.160000")</f>
        <v/>
      </c>
      <c r="Y1419">
        <f>_xlfn.NUMBERVALUE("21.510000")</f>
        <v/>
      </c>
    </row>
    <row r="1420">
      <c r="A1420" s="1" t="n">
        <v>44062</v>
      </c>
      <c r="B1420">
        <f>_xlfn.NUMBERVALUE("0.000139")</f>
        <v/>
      </c>
      <c r="C1420" s="2">
        <f>_xlfn.NUMBERVALUE("0.000238")</f>
        <v/>
      </c>
      <c r="D1420">
        <f>_xlfn.NUMBERVALUE("0.000661")</f>
        <v/>
      </c>
      <c r="E1420">
        <f>_xlfn.NUMBERVALUE("0.000648")</f>
        <v/>
      </c>
      <c r="F1420">
        <f>_xlfn.NUMBERVALUE("-0.011808")</f>
        <v/>
      </c>
      <c r="G1420">
        <f>_xlfn.NUMBERVALUE("0.000554")</f>
        <v/>
      </c>
      <c r="H1420">
        <f>_xlfn.NUMBERVALUE("-0.000472")</f>
        <v/>
      </c>
      <c r="I1420">
        <f>_xlfn.NUMBERVALUE("0.001458")</f>
        <v/>
      </c>
      <c r="J1420">
        <f>_xlfn.NUMBERVALUE("-0.000119")</f>
        <v/>
      </c>
      <c r="K1420">
        <f>_xlfn.NUMBERVALUE("-0.005609")</f>
        <v/>
      </c>
      <c r="L1420">
        <f>_xlfn.NUMBERVALUE("-0.000959")</f>
        <v/>
      </c>
      <c r="M1420">
        <f>_xlfn.NUMBERVALUE("0.001285")</f>
        <v/>
      </c>
      <c r="N1420">
        <f>_xlfn.NUMBERVALUE("0.001015")</f>
        <v/>
      </c>
      <c r="O1420">
        <f>_xlfn.NUMBERVALUE("0.001529")</f>
        <v/>
      </c>
      <c r="P1420">
        <f>_xlfn.NUMBERVALUE("0.002312")</f>
        <v/>
      </c>
      <c r="Q1420">
        <f>_xlfn.NUMBERVALUE("0.000990")</f>
        <v/>
      </c>
      <c r="R1420">
        <f>_xlfn.NUMBERVALUE("-0.000080")</f>
        <v/>
      </c>
      <c r="S1420">
        <f>_xlfn.NUMBERVALUE("-0.000043")</f>
        <v/>
      </c>
      <c r="T1420">
        <f>_xlfn.NUMBERVALUE("0.000314")</f>
        <v/>
      </c>
      <c r="U1420">
        <f>_xlfn.NUMBERVALUE("0.000691")</f>
        <v/>
      </c>
      <c r="V1420">
        <f>_xlfn.NUMBERVALUE("0.000479")</f>
        <v/>
      </c>
      <c r="W1420">
        <f>_xlfn.NUMBERVALUE("-0.003513")</f>
        <v/>
      </c>
      <c r="X1420">
        <f>_xlfn.NUMBERVALUE("1.030000")</f>
        <v/>
      </c>
      <c r="Y1420">
        <f>_xlfn.NUMBERVALUE("22.540000")</f>
        <v/>
      </c>
    </row>
    <row r="1421">
      <c r="A1421" s="1" t="n">
        <v>44063</v>
      </c>
      <c r="B1421">
        <f>_xlfn.NUMBERVALUE("0.001832")</f>
        <v/>
      </c>
      <c r="C1421" s="2">
        <f>_xlfn.NUMBERVALUE("0.001125")</f>
        <v/>
      </c>
      <c r="D1421">
        <f>_xlfn.NUMBERVALUE("0.001031")</f>
        <v/>
      </c>
      <c r="E1421">
        <f>_xlfn.NUMBERVALUE("0.000052")</f>
        <v/>
      </c>
      <c r="F1421">
        <f>_xlfn.NUMBERVALUE("0.003960")</f>
        <v/>
      </c>
      <c r="G1421">
        <f>_xlfn.NUMBERVALUE("0.000528")</f>
        <v/>
      </c>
      <c r="H1421">
        <f>_xlfn.NUMBERVALUE("0.000619")</f>
        <v/>
      </c>
      <c r="I1421">
        <f>_xlfn.NUMBERVALUE("0.002014")</f>
        <v/>
      </c>
      <c r="J1421">
        <f>_xlfn.NUMBERVALUE("0.001091")</f>
        <v/>
      </c>
      <c r="K1421">
        <f>_xlfn.NUMBERVALUE("0.009126")</f>
        <v/>
      </c>
      <c r="L1421">
        <f>_xlfn.NUMBERVALUE("0.001482")</f>
        <v/>
      </c>
      <c r="M1421">
        <f>_xlfn.NUMBERVALUE("0.000870")</f>
        <v/>
      </c>
      <c r="N1421">
        <f>_xlfn.NUMBERVALUE("-0.003311")</f>
        <v/>
      </c>
      <c r="O1421">
        <f>_xlfn.NUMBERVALUE("-0.000200")</f>
        <v/>
      </c>
      <c r="P1421">
        <f>_xlfn.NUMBERVALUE("0.000850")</f>
        <v/>
      </c>
      <c r="Q1421">
        <f>_xlfn.NUMBERVALUE("0.001765")</f>
        <v/>
      </c>
      <c r="R1421">
        <f>_xlfn.NUMBERVALUE("-0.000419")</f>
        <v/>
      </c>
      <c r="S1421">
        <f>_xlfn.NUMBERVALUE("0.001042")</f>
        <v/>
      </c>
      <c r="T1421">
        <f>_xlfn.NUMBERVALUE("-0.000984")</f>
        <v/>
      </c>
      <c r="U1421">
        <f>_xlfn.NUMBERVALUE("0.001170")</f>
        <v/>
      </c>
      <c r="V1421">
        <f>_xlfn.NUMBERVALUE("0.000575")</f>
        <v/>
      </c>
      <c r="W1421">
        <f>_xlfn.NUMBERVALUE("0.003318")</f>
        <v/>
      </c>
      <c r="X1421">
        <f>_xlfn.NUMBERVALUE("0.180000")</f>
        <v/>
      </c>
      <c r="Y1421">
        <f>_xlfn.NUMBERVALUE("22.720000")</f>
        <v/>
      </c>
    </row>
    <row r="1422">
      <c r="A1422" s="1" t="n">
        <v>44064</v>
      </c>
      <c r="B1422">
        <f>_xlfn.NUMBERVALUE("0.003259")</f>
        <v/>
      </c>
      <c r="C1422" s="2">
        <f>_xlfn.NUMBERVALUE("-0.000930")</f>
        <v/>
      </c>
      <c r="D1422">
        <f>_xlfn.NUMBERVALUE("0.003551")</f>
        <v/>
      </c>
      <c r="E1422">
        <f>_xlfn.NUMBERVALUE("0.001239")</f>
        <v/>
      </c>
      <c r="F1422">
        <f>_xlfn.NUMBERVALUE("0.000571")</f>
        <v/>
      </c>
      <c r="G1422">
        <f>_xlfn.NUMBERVALUE("0.000468")</f>
        <v/>
      </c>
      <c r="H1422">
        <f>_xlfn.NUMBERVALUE("0.000734")</f>
        <v/>
      </c>
      <c r="I1422">
        <f>_xlfn.NUMBERVALUE("0.002502")</f>
        <v/>
      </c>
      <c r="J1422">
        <f>_xlfn.NUMBERVALUE("0.001222")</f>
        <v/>
      </c>
      <c r="K1422">
        <f>_xlfn.NUMBERVALUE("0.002498")</f>
        <v/>
      </c>
      <c r="L1422">
        <f>_xlfn.NUMBERVALUE("0.000736")</f>
        <v/>
      </c>
      <c r="M1422">
        <f>_xlfn.NUMBERVALUE("0.002311")</f>
        <v/>
      </c>
      <c r="N1422">
        <f>_xlfn.NUMBERVALUE("0.002155")</f>
        <v/>
      </c>
      <c r="O1422">
        <f>_xlfn.NUMBERVALUE("0.001846")</f>
        <v/>
      </c>
      <c r="P1422">
        <f>_xlfn.NUMBERVALUE("0.000969")</f>
        <v/>
      </c>
      <c r="Q1422">
        <f>_xlfn.NUMBERVALUE("0.000882")</f>
        <v/>
      </c>
      <c r="R1422">
        <f>_xlfn.NUMBERVALUE("-0.001264")</f>
        <v/>
      </c>
      <c r="S1422">
        <f>_xlfn.NUMBERVALUE("0.000256")</f>
        <v/>
      </c>
      <c r="T1422">
        <f>_xlfn.NUMBERVALUE("0.001642")</f>
        <v/>
      </c>
      <c r="U1422">
        <f>_xlfn.NUMBERVALUE("0.000784")</f>
        <v/>
      </c>
      <c r="V1422">
        <f>_xlfn.NUMBERVALUE("0.000968")</f>
        <v/>
      </c>
      <c r="W1422">
        <f>_xlfn.NUMBERVALUE("0.001742")</f>
        <v/>
      </c>
      <c r="X1422">
        <f>_xlfn.NUMBERVALUE("-0.180000")</f>
        <v/>
      </c>
      <c r="Y1422">
        <f>_xlfn.NUMBERVALUE("22.540000")</f>
        <v/>
      </c>
    </row>
    <row r="1423">
      <c r="A1423" s="1" t="n">
        <v>44067</v>
      </c>
      <c r="B1423">
        <f>_xlfn.NUMBERVALUE("0.005363")</f>
        <v/>
      </c>
      <c r="C1423" s="2">
        <f>_xlfn.NUMBERVALUE("-0.000729")</f>
        <v/>
      </c>
      <c r="D1423">
        <f>_xlfn.NUMBERVALUE("-0.002608")</f>
        <v/>
      </c>
      <c r="E1423">
        <f>_xlfn.NUMBERVALUE("-0.000933")</f>
        <v/>
      </c>
      <c r="F1423">
        <f>_xlfn.NUMBERVALUE("0.002484")</f>
        <v/>
      </c>
      <c r="G1423">
        <f>_xlfn.NUMBERVALUE("0.001337")</f>
        <v/>
      </c>
      <c r="H1423">
        <f>_xlfn.NUMBERVALUE("-0.000053")</f>
        <v/>
      </c>
      <c r="I1423">
        <f>_xlfn.NUMBERVALUE("0.002274")</f>
        <v/>
      </c>
      <c r="J1423">
        <f>_xlfn.NUMBERVALUE("0.000497")</f>
        <v/>
      </c>
      <c r="K1423">
        <f>_xlfn.NUMBERVALUE("0.018254")</f>
        <v/>
      </c>
      <c r="L1423">
        <f>_xlfn.NUMBERVALUE("0.000719")</f>
        <v/>
      </c>
      <c r="M1423">
        <f>_xlfn.NUMBERVALUE("-0.002075")</f>
        <v/>
      </c>
      <c r="N1423">
        <f>_xlfn.NUMBERVALUE("-0.000704")</f>
        <v/>
      </c>
      <c r="O1423">
        <f>_xlfn.NUMBERVALUE("0.000910")</f>
        <v/>
      </c>
      <c r="P1423">
        <f>_xlfn.NUMBERVALUE("0.000428")</f>
        <v/>
      </c>
      <c r="Q1423">
        <f>_xlfn.NUMBERVALUE("-0.001301")</f>
        <v/>
      </c>
      <c r="R1423">
        <f>_xlfn.NUMBERVALUE("0.000342")</f>
        <v/>
      </c>
      <c r="S1423">
        <f>_xlfn.NUMBERVALUE("0.000747")</f>
        <v/>
      </c>
      <c r="T1423">
        <f>_xlfn.NUMBERVALUE("0.002354")</f>
        <v/>
      </c>
      <c r="U1423">
        <f>_xlfn.NUMBERVALUE("-0.000446")</f>
        <v/>
      </c>
      <c r="V1423">
        <f>_xlfn.NUMBERVALUE("0.000083")</f>
        <v/>
      </c>
      <c r="W1423">
        <f>_xlfn.NUMBERVALUE("0.009286")</f>
        <v/>
      </c>
      <c r="X1423">
        <f>_xlfn.NUMBERVALUE("-0.170000")</f>
        <v/>
      </c>
      <c r="Y1423">
        <f>_xlfn.NUMBERVALUE("22.370000")</f>
        <v/>
      </c>
    </row>
    <row r="1424">
      <c r="A1424" s="1" t="n">
        <v>44068</v>
      </c>
      <c r="B1424">
        <f>_xlfn.NUMBERVALUE("-0.000281")</f>
        <v/>
      </c>
      <c r="C1424" s="2">
        <f>_xlfn.NUMBERVALUE("0.000920")</f>
        <v/>
      </c>
      <c r="D1424">
        <f>_xlfn.NUMBERVALUE("-0.001452")</f>
        <v/>
      </c>
      <c r="E1424">
        <f>_xlfn.NUMBERVALUE("0.001024")</f>
        <v/>
      </c>
      <c r="F1424">
        <f>_xlfn.NUMBERVALUE("0.001545")</f>
        <v/>
      </c>
      <c r="G1424">
        <f>_xlfn.NUMBERVALUE("0.000781")</f>
        <v/>
      </c>
      <c r="H1424">
        <f>_xlfn.NUMBERVALUE("-0.000427")</f>
        <v/>
      </c>
      <c r="I1424">
        <f>_xlfn.NUMBERVALUE("0.000892")</f>
        <v/>
      </c>
      <c r="J1424">
        <f>_xlfn.NUMBERVALUE("-0.000032")</f>
        <v/>
      </c>
      <c r="K1424">
        <f>_xlfn.NUMBERVALUE("0.002848")</f>
        <v/>
      </c>
      <c r="L1424">
        <f>_xlfn.NUMBERVALUE("-0.001202")</f>
        <v/>
      </c>
      <c r="M1424">
        <f>_xlfn.NUMBERVALUE("0.001126")</f>
        <v/>
      </c>
      <c r="N1424">
        <f>_xlfn.NUMBERVALUE("-0.001048")</f>
        <v/>
      </c>
      <c r="O1424">
        <f>_xlfn.NUMBERVALUE("0.001793")</f>
        <v/>
      </c>
      <c r="P1424">
        <f>_xlfn.NUMBERVALUE("-0.001107")</f>
        <v/>
      </c>
      <c r="Q1424">
        <f>_xlfn.NUMBERVALUE("0.002475")</f>
        <v/>
      </c>
      <c r="R1424">
        <f>_xlfn.NUMBERVALUE("0.001557")</f>
        <v/>
      </c>
      <c r="S1424">
        <f>_xlfn.NUMBERVALUE("0.000682")</f>
        <v/>
      </c>
      <c r="T1424">
        <f>_xlfn.NUMBERVALUE("0.000822")</f>
        <v/>
      </c>
      <c r="U1424">
        <f>_xlfn.NUMBERVALUE("0.000296")</f>
        <v/>
      </c>
      <c r="V1424">
        <f>_xlfn.NUMBERVALUE("0.000286")</f>
        <v/>
      </c>
      <c r="W1424">
        <f>_xlfn.NUMBERVALUE("0.004761")</f>
        <v/>
      </c>
      <c r="X1424">
        <f>_xlfn.NUMBERVALUE("-0.340000")</f>
        <v/>
      </c>
      <c r="Y1424">
        <f>_xlfn.NUMBERVALUE("22.030000")</f>
        <v/>
      </c>
    </row>
    <row r="1425">
      <c r="A1425" s="1" t="n">
        <v>44069</v>
      </c>
      <c r="B1425">
        <f>_xlfn.NUMBERVALUE("-0.003719")</f>
        <v/>
      </c>
      <c r="C1425" s="2">
        <f>_xlfn.NUMBERVALUE("0.000001")</f>
        <v/>
      </c>
      <c r="D1425">
        <f>_xlfn.NUMBERVALUE("0.000366")</f>
        <v/>
      </c>
      <c r="E1425">
        <f>_xlfn.NUMBERVALUE("-0.000036")</f>
        <v/>
      </c>
      <c r="F1425">
        <f>_xlfn.NUMBERVALUE("-0.000719")</f>
        <v/>
      </c>
      <c r="G1425">
        <f>_xlfn.NUMBERVALUE("0.001330")</f>
        <v/>
      </c>
      <c r="H1425">
        <f>_xlfn.NUMBERVALUE("0.000128")</f>
        <v/>
      </c>
      <c r="I1425">
        <f>_xlfn.NUMBERVALUE("0.000247")</f>
        <v/>
      </c>
      <c r="J1425">
        <f>_xlfn.NUMBERVALUE("-0.000542")</f>
        <v/>
      </c>
      <c r="K1425">
        <f>_xlfn.NUMBERVALUE("-0.015453")</f>
        <v/>
      </c>
      <c r="L1425">
        <f>_xlfn.NUMBERVALUE("-0.000259")</f>
        <v/>
      </c>
      <c r="M1425">
        <f>_xlfn.NUMBERVALUE("-0.001206")</f>
        <v/>
      </c>
      <c r="N1425">
        <f>_xlfn.NUMBERVALUE("-0.008236")</f>
        <v/>
      </c>
      <c r="O1425">
        <f>_xlfn.NUMBERVALUE("-0.003735")</f>
        <v/>
      </c>
      <c r="P1425">
        <f>_xlfn.NUMBERVALUE("0.000894")</f>
        <v/>
      </c>
      <c r="Q1425">
        <f>_xlfn.NUMBERVALUE("0.000081")</f>
        <v/>
      </c>
      <c r="R1425">
        <f>_xlfn.NUMBERVALUE("-0.004265")</f>
        <v/>
      </c>
      <c r="S1425">
        <f>_xlfn.NUMBERVALUE("0.000189")</f>
        <v/>
      </c>
      <c r="T1425">
        <f>_xlfn.NUMBERVALUE("-0.001595")</f>
        <v/>
      </c>
      <c r="U1425">
        <f>_xlfn.NUMBERVALUE("-0.000350")</f>
        <v/>
      </c>
      <c r="V1425">
        <f>_xlfn.NUMBERVALUE("-0.001168")</f>
        <v/>
      </c>
      <c r="W1425">
        <f>_xlfn.NUMBERVALUE("0.010058")</f>
        <v/>
      </c>
      <c r="X1425">
        <f>_xlfn.NUMBERVALUE("1.240000")</f>
        <v/>
      </c>
      <c r="Y1425">
        <f>_xlfn.NUMBERVALUE("23.270000")</f>
        <v/>
      </c>
    </row>
    <row r="1426">
      <c r="A1426" s="1" t="n">
        <v>44070</v>
      </c>
      <c r="B1426">
        <f>_xlfn.NUMBERVALUE("-0.004993")</f>
        <v/>
      </c>
      <c r="C1426" s="2">
        <f>_xlfn.NUMBERVALUE("-0.000113")</f>
        <v/>
      </c>
      <c r="D1426">
        <f>_xlfn.NUMBERVALUE("0.000611")</f>
        <v/>
      </c>
      <c r="E1426">
        <f>_xlfn.NUMBERVALUE("0.000621")</f>
        <v/>
      </c>
      <c r="F1426">
        <f>_xlfn.NUMBERVALUE("0.000561")</f>
        <v/>
      </c>
      <c r="G1426">
        <f>_xlfn.NUMBERVALUE("0.000630")</f>
        <v/>
      </c>
      <c r="H1426">
        <f>_xlfn.NUMBERVALUE("-0.000346")</f>
        <v/>
      </c>
      <c r="I1426">
        <f>_xlfn.NUMBERVALUE("0.001346")</f>
        <v/>
      </c>
      <c r="J1426">
        <f>_xlfn.NUMBERVALUE("-0.000439")</f>
        <v/>
      </c>
      <c r="K1426">
        <f>_xlfn.NUMBERVALUE("0.014639")</f>
        <v/>
      </c>
      <c r="L1426">
        <f>_xlfn.NUMBERVALUE("-0.001543")</f>
        <v/>
      </c>
      <c r="M1426">
        <f>_xlfn.NUMBERVALUE("-0.000684")</f>
        <v/>
      </c>
      <c r="N1426">
        <f>_xlfn.NUMBERVALUE("-0.002981")</f>
        <v/>
      </c>
      <c r="O1426">
        <f>_xlfn.NUMBERVALUE("0.001034")</f>
        <v/>
      </c>
      <c r="P1426">
        <f>_xlfn.NUMBERVALUE("-0.005429")</f>
        <v/>
      </c>
      <c r="Q1426">
        <f>_xlfn.NUMBERVALUE("-0.000937")</f>
        <v/>
      </c>
      <c r="R1426">
        <f>_xlfn.NUMBERVALUE("-0.000906")</f>
        <v/>
      </c>
      <c r="S1426">
        <f>_xlfn.NUMBERVALUE("-0.002535")</f>
        <v/>
      </c>
      <c r="T1426">
        <f>_xlfn.NUMBERVALUE("-0.000565")</f>
        <v/>
      </c>
      <c r="U1426">
        <f>_xlfn.NUMBERVALUE("-0.001258")</f>
        <v/>
      </c>
      <c r="V1426">
        <f>_xlfn.NUMBERVALUE("0.000546")</f>
        <v/>
      </c>
      <c r="W1426">
        <f>_xlfn.NUMBERVALUE("0.004605")</f>
        <v/>
      </c>
      <c r="X1426">
        <f>_xlfn.NUMBERVALUE("1.200000")</f>
        <v/>
      </c>
      <c r="Y1426">
        <f>_xlfn.NUMBERVALUE("24.470000")</f>
        <v/>
      </c>
    </row>
    <row r="1427">
      <c r="A1427" s="1" t="n">
        <v>44071</v>
      </c>
      <c r="B1427">
        <f>_xlfn.NUMBERVALUE("0.001844")</f>
        <v/>
      </c>
      <c r="C1427" s="2">
        <f>_xlfn.NUMBERVALUE("0.000631")</f>
        <v/>
      </c>
      <c r="D1427">
        <f>_xlfn.NUMBERVALUE("0.001238")</f>
        <v/>
      </c>
      <c r="E1427">
        <f>_xlfn.NUMBERVALUE("0.001642")</f>
        <v/>
      </c>
      <c r="F1427">
        <f>_xlfn.NUMBERVALUE("0.001645")</f>
        <v/>
      </c>
      <c r="G1427">
        <f>_xlfn.NUMBERVALUE("0.000017")</f>
        <v/>
      </c>
      <c r="H1427">
        <f>_xlfn.NUMBERVALUE("0.000347")</f>
        <v/>
      </c>
      <c r="I1427">
        <f>_xlfn.NUMBERVALUE("0.003062")</f>
        <v/>
      </c>
      <c r="J1427">
        <f>_xlfn.NUMBERVALUE("-0.000546")</f>
        <v/>
      </c>
      <c r="K1427">
        <f>_xlfn.NUMBERVALUE("0.009629")</f>
        <v/>
      </c>
      <c r="L1427">
        <f>_xlfn.NUMBERVALUE("0.000333")</f>
        <v/>
      </c>
      <c r="M1427">
        <f>_xlfn.NUMBERVALUE("0.000546")</f>
        <v/>
      </c>
      <c r="N1427">
        <f>_xlfn.NUMBERVALUE("0.002384")</f>
        <v/>
      </c>
      <c r="O1427">
        <f>_xlfn.NUMBERVALUE("0.002949")</f>
        <v/>
      </c>
      <c r="P1427">
        <f>_xlfn.NUMBERVALUE("0.004864")</f>
        <v/>
      </c>
      <c r="Q1427">
        <f>_xlfn.NUMBERVALUE("0.001072")</f>
        <v/>
      </c>
      <c r="R1427">
        <f>_xlfn.NUMBERVALUE("0.002084")</f>
        <v/>
      </c>
      <c r="S1427">
        <f>_xlfn.NUMBERVALUE("0.000061")</f>
        <v/>
      </c>
      <c r="T1427">
        <f>_xlfn.NUMBERVALUE("0.000954")</f>
        <v/>
      </c>
      <c r="U1427">
        <f>_xlfn.NUMBERVALUE("0.001201")</f>
        <v/>
      </c>
      <c r="V1427">
        <f>_xlfn.NUMBERVALUE("0.000511")</f>
        <v/>
      </c>
      <c r="W1427">
        <f>_xlfn.NUMBERVALUE("0.004498")</f>
        <v/>
      </c>
      <c r="X1427">
        <f>_xlfn.NUMBERVALUE("-1.510000")</f>
        <v/>
      </c>
      <c r="Y1427">
        <f>_xlfn.NUMBERVALUE("22.960000")</f>
        <v/>
      </c>
    </row>
    <row r="1428">
      <c r="A1428" s="1" t="n">
        <v>44074</v>
      </c>
      <c r="B1428">
        <f>_xlfn.NUMBERVALUE("-0.003946")</f>
        <v/>
      </c>
      <c r="C1428" s="2">
        <f>_xlfn.NUMBERVALUE("0.000172")</f>
        <v/>
      </c>
      <c r="D1428">
        <f>_xlfn.NUMBERVALUE("0.000970")</f>
        <v/>
      </c>
      <c r="E1428">
        <f>_xlfn.NUMBERVALUE("0.002040")</f>
        <v/>
      </c>
      <c r="F1428">
        <f>_xlfn.NUMBERVALUE("0.003422")</f>
        <v/>
      </c>
      <c r="G1428">
        <f>_xlfn.NUMBERVALUE("0.002728")</f>
        <v/>
      </c>
      <c r="H1428">
        <f>_xlfn.NUMBERVALUE("0.000501")</f>
        <v/>
      </c>
      <c r="I1428">
        <f>_xlfn.NUMBERVALUE("0.001858")</f>
        <v/>
      </c>
      <c r="J1428">
        <f>_xlfn.NUMBERVALUE("0.000958")</f>
        <v/>
      </c>
      <c r="K1428">
        <f>_xlfn.NUMBERVALUE("0.001542")</f>
        <v/>
      </c>
      <c r="L1428">
        <f>_xlfn.NUMBERVALUE("0.000206")</f>
        <v/>
      </c>
      <c r="M1428">
        <f>_xlfn.NUMBERVALUE("0.001056")</f>
        <v/>
      </c>
      <c r="N1428">
        <f>_xlfn.NUMBERVALUE("0.001223")</f>
        <v/>
      </c>
      <c r="O1428">
        <f>_xlfn.NUMBERVALUE("-0.001436")</f>
        <v/>
      </c>
      <c r="P1428">
        <f>_xlfn.NUMBERVALUE("0.005722")</f>
        <v/>
      </c>
      <c r="Q1428">
        <f>_xlfn.NUMBERVALUE("0.002363")</f>
        <v/>
      </c>
      <c r="R1428">
        <f>_xlfn.NUMBERVALUE("0.000739")</f>
        <v/>
      </c>
      <c r="S1428">
        <f>_xlfn.NUMBERVALUE("0.001365")</f>
        <v/>
      </c>
      <c r="T1428">
        <f>_xlfn.NUMBERVALUE("0.001803")</f>
        <v/>
      </c>
      <c r="U1428">
        <f>_xlfn.NUMBERVALUE("0.001703")</f>
        <v/>
      </c>
      <c r="V1428">
        <f>_xlfn.NUMBERVALUE("0.000141")</f>
        <v/>
      </c>
      <c r="W1428">
        <f>_xlfn.NUMBERVALUE("0.000799")</f>
        <v/>
      </c>
      <c r="X1428">
        <f>_xlfn.NUMBERVALUE("3.450000")</f>
        <v/>
      </c>
      <c r="Y1428">
        <f>_xlfn.NUMBERVALUE("26.410000")</f>
        <v/>
      </c>
    </row>
    <row r="1429">
      <c r="A1429" s="1" t="n">
        <v>44075</v>
      </c>
      <c r="B1429">
        <f>_xlfn.NUMBERVALUE("-0.003037")</f>
        <v/>
      </c>
      <c r="C1429" s="2">
        <f>_xlfn.NUMBERVALUE("-0.000014")</f>
        <v/>
      </c>
      <c r="D1429">
        <f>_xlfn.NUMBERVALUE("-0.001787")</f>
        <v/>
      </c>
      <c r="E1429">
        <f>_xlfn.NUMBERVALUE("0.001331")</f>
        <v/>
      </c>
      <c r="F1429">
        <f>_xlfn.NUMBERVALUE("0.001780")</f>
        <v/>
      </c>
      <c r="G1429">
        <f>_xlfn.NUMBERVALUE("0.000222")</f>
        <v/>
      </c>
      <c r="H1429">
        <f>_xlfn.NUMBERVALUE("0.000446")</f>
        <v/>
      </c>
      <c r="I1429">
        <f>_xlfn.NUMBERVALUE("0.000777")</f>
        <v/>
      </c>
      <c r="J1429">
        <f>_xlfn.NUMBERVALUE("0.001379")</f>
        <v/>
      </c>
      <c r="K1429">
        <f>_xlfn.NUMBERVALUE("0.001665")</f>
        <v/>
      </c>
      <c r="L1429">
        <f>_xlfn.NUMBERVALUE("0.001176")</f>
        <v/>
      </c>
      <c r="M1429">
        <f>_xlfn.NUMBERVALUE("-0.000649")</f>
        <v/>
      </c>
      <c r="N1429">
        <f>_xlfn.NUMBERVALUE("-0.000705")</f>
        <v/>
      </c>
      <c r="O1429">
        <f>_xlfn.NUMBERVALUE("0.001403")</f>
        <v/>
      </c>
      <c r="P1429">
        <f>_xlfn.NUMBERVALUE("0.000893")</f>
        <v/>
      </c>
      <c r="Q1429">
        <f>_xlfn.NUMBERVALUE("0.000370")</f>
        <v/>
      </c>
      <c r="R1429">
        <f>_xlfn.NUMBERVALUE("-0.000404")</f>
        <v/>
      </c>
      <c r="S1429">
        <f>_xlfn.NUMBERVALUE("0.000498")</f>
        <v/>
      </c>
      <c r="T1429">
        <f>_xlfn.NUMBERVALUE("-0.000753")</f>
        <v/>
      </c>
      <c r="U1429">
        <f>_xlfn.NUMBERVALUE("0.000133")</f>
        <v/>
      </c>
      <c r="V1429">
        <f>_xlfn.NUMBERVALUE("-0.000029")</f>
        <v/>
      </c>
      <c r="W1429">
        <f>_xlfn.NUMBERVALUE("0.002850")</f>
        <v/>
      </c>
      <c r="X1429">
        <f>_xlfn.NUMBERVALUE("-0.290000")</f>
        <v/>
      </c>
      <c r="Y1429">
        <f>_xlfn.NUMBERVALUE("26.120000")</f>
        <v/>
      </c>
    </row>
    <row r="1430">
      <c r="A1430" s="1" t="n">
        <v>44076</v>
      </c>
      <c r="B1430">
        <f>_xlfn.NUMBERVALUE("0.000667")</f>
        <v/>
      </c>
      <c r="C1430" s="2">
        <f>_xlfn.NUMBERVALUE("0.000000")</f>
        <v/>
      </c>
      <c r="D1430">
        <f>_xlfn.NUMBERVALUE("0.000289")</f>
        <v/>
      </c>
      <c r="E1430">
        <f>_xlfn.NUMBERVALUE("-0.000791")</f>
        <v/>
      </c>
      <c r="F1430">
        <f>_xlfn.NUMBERVALUE("-0.000639")</f>
        <v/>
      </c>
      <c r="G1430">
        <f>_xlfn.NUMBERVALUE("0.000327")</f>
        <v/>
      </c>
      <c r="H1430">
        <f>_xlfn.NUMBERVALUE("0.000000")</f>
        <v/>
      </c>
      <c r="I1430">
        <f>_xlfn.NUMBERVALUE("-0.000219")</f>
        <v/>
      </c>
      <c r="J1430">
        <f>_xlfn.NUMBERVALUE("0.000000")</f>
        <v/>
      </c>
      <c r="K1430">
        <f>_xlfn.NUMBERVALUE("0.001903")</f>
        <v/>
      </c>
      <c r="L1430">
        <f>_xlfn.NUMBERVALUE("-0.000110")</f>
        <v/>
      </c>
      <c r="M1430">
        <f>_xlfn.NUMBERVALUE("-0.001513")</f>
        <v/>
      </c>
      <c r="N1430">
        <f>_xlfn.NUMBERVALUE("-0.003786")</f>
        <v/>
      </c>
      <c r="O1430">
        <f>_xlfn.NUMBERVALUE("0.000105")</f>
        <v/>
      </c>
      <c r="P1430">
        <f>_xlfn.NUMBERVALUE("-0.003479")</f>
        <v/>
      </c>
      <c r="Q1430">
        <f>_xlfn.NUMBERVALUE("-0.001109")</f>
        <v/>
      </c>
      <c r="R1430">
        <f>_xlfn.NUMBERVALUE("-0.000397")</f>
        <v/>
      </c>
      <c r="S1430">
        <f>_xlfn.NUMBERVALUE("-0.001776")</f>
        <v/>
      </c>
      <c r="T1430">
        <f>_xlfn.NUMBERVALUE("-0.006888")</f>
        <v/>
      </c>
      <c r="U1430">
        <f>_xlfn.NUMBERVALUE("-0.000234")</f>
        <v/>
      </c>
      <c r="V1430">
        <f>_xlfn.NUMBERVALUE("-0.000032")</f>
        <v/>
      </c>
      <c r="W1430">
        <f>_xlfn.NUMBERVALUE("0.009207")</f>
        <v/>
      </c>
      <c r="X1430">
        <f>_xlfn.NUMBERVALUE("0.450000")</f>
        <v/>
      </c>
      <c r="Y1430">
        <f>_xlfn.NUMBERVALUE("26.570000")</f>
        <v/>
      </c>
    </row>
    <row r="1431">
      <c r="A1431" s="1" t="n">
        <v>44077</v>
      </c>
      <c r="B1431">
        <f>_xlfn.NUMBERVALUE("-0.018814")</f>
        <v/>
      </c>
      <c r="C1431" s="2">
        <f>_xlfn.NUMBERVALUE("-0.011693")</f>
        <v/>
      </c>
      <c r="D1431">
        <f>_xlfn.NUMBERVALUE("-0.008749")</f>
        <v/>
      </c>
      <c r="E1431">
        <f>_xlfn.NUMBERVALUE("-0.006526")</f>
        <v/>
      </c>
      <c r="F1431">
        <f>_xlfn.NUMBERVALUE("-0.000712")</f>
        <v/>
      </c>
      <c r="G1431">
        <f>_xlfn.NUMBERVALUE("-0.002954")</f>
        <v/>
      </c>
      <c r="H1431">
        <f>_xlfn.NUMBERVALUE("0.000625")</f>
        <v/>
      </c>
      <c r="I1431">
        <f>_xlfn.NUMBERVALUE("-0.009558")</f>
        <v/>
      </c>
      <c r="J1431">
        <f>_xlfn.NUMBERVALUE("-0.000789")</f>
        <v/>
      </c>
      <c r="K1431">
        <f>_xlfn.NUMBERVALUE("-0.004400")</f>
        <v/>
      </c>
      <c r="L1431">
        <f>_xlfn.NUMBERVALUE("0.000207")</f>
        <v/>
      </c>
      <c r="M1431">
        <f>_xlfn.NUMBERVALUE("-0.009577")</f>
        <v/>
      </c>
      <c r="N1431">
        <f>_xlfn.NUMBERVALUE("-0.006861")</f>
        <v/>
      </c>
      <c r="O1431">
        <f>_xlfn.NUMBERVALUE("-0.000819")</f>
        <v/>
      </c>
      <c r="P1431">
        <f>_xlfn.NUMBERVALUE("-0.003368")</f>
        <v/>
      </c>
      <c r="Q1431">
        <f>_xlfn.NUMBERVALUE("-0.007152")</f>
        <v/>
      </c>
      <c r="R1431">
        <f>_xlfn.NUMBERVALUE("-0.013005")</f>
        <v/>
      </c>
      <c r="S1431">
        <f>_xlfn.NUMBERVALUE("-0.005635")</f>
        <v/>
      </c>
      <c r="T1431">
        <f>_xlfn.NUMBERVALUE("-0.004017")</f>
        <v/>
      </c>
      <c r="U1431">
        <f>_xlfn.NUMBERVALUE("-0.006151")</f>
        <v/>
      </c>
      <c r="V1431">
        <f>_xlfn.NUMBERVALUE("-0.013170")</f>
        <v/>
      </c>
      <c r="W1431">
        <f>_xlfn.NUMBERVALUE("-0.038923")</f>
        <v/>
      </c>
      <c r="X1431">
        <f>_xlfn.NUMBERVALUE("7.030000")</f>
        <v/>
      </c>
      <c r="Y1431">
        <f>_xlfn.NUMBERVALUE("33.600000")</f>
        <v/>
      </c>
    </row>
    <row r="1432">
      <c r="A1432" s="1" t="n">
        <v>44078</v>
      </c>
      <c r="B1432">
        <f>_xlfn.NUMBERVALUE("0.002750")</f>
        <v/>
      </c>
      <c r="C1432" s="2">
        <f>_xlfn.NUMBERVALUE("0.006646")</f>
        <v/>
      </c>
      <c r="D1432">
        <f>_xlfn.NUMBERVALUE("0.006651")</f>
        <v/>
      </c>
      <c r="E1432">
        <f>_xlfn.NUMBERVALUE("0.003694")</f>
        <v/>
      </c>
      <c r="F1432">
        <f>_xlfn.NUMBERVALUE("0.003976")</f>
        <v/>
      </c>
      <c r="G1432">
        <f>_xlfn.NUMBERVALUE("-0.000003")</f>
        <v/>
      </c>
      <c r="H1432">
        <f>_xlfn.NUMBERVALUE("-0.007083")</f>
        <v/>
      </c>
      <c r="I1432">
        <f>_xlfn.NUMBERVALUE("0.007253")</f>
        <v/>
      </c>
      <c r="J1432">
        <f>_xlfn.NUMBERVALUE("-0.003191")</f>
        <v/>
      </c>
      <c r="K1432">
        <f>_xlfn.NUMBERVALUE("0.008122")</f>
        <v/>
      </c>
      <c r="L1432">
        <f>_xlfn.NUMBERVALUE("-0.002525")</f>
        <v/>
      </c>
      <c r="M1432">
        <f>_xlfn.NUMBERVALUE("0.004375")</f>
        <v/>
      </c>
      <c r="N1432">
        <f>_xlfn.NUMBERVALUE("0.004490")</f>
        <v/>
      </c>
      <c r="O1432">
        <f>_xlfn.NUMBERVALUE("0.002362")</f>
        <v/>
      </c>
      <c r="P1432">
        <f>_xlfn.NUMBERVALUE("0.001047")</f>
        <v/>
      </c>
      <c r="Q1432">
        <f>_xlfn.NUMBERVALUE("0.003392")</f>
        <v/>
      </c>
      <c r="R1432">
        <f>_xlfn.NUMBERVALUE("0.009343")</f>
        <v/>
      </c>
      <c r="S1432">
        <f>_xlfn.NUMBERVALUE("0.002677")</f>
        <v/>
      </c>
      <c r="T1432">
        <f>_xlfn.NUMBERVALUE("0.002383")</f>
        <v/>
      </c>
      <c r="U1432">
        <f>_xlfn.NUMBERVALUE("0.003298")</f>
        <v/>
      </c>
      <c r="V1432">
        <f>_xlfn.NUMBERVALUE("0.005297")</f>
        <v/>
      </c>
      <c r="W1432">
        <f>_xlfn.NUMBERVALUE("-0.002235")</f>
        <v/>
      </c>
      <c r="X1432">
        <f>_xlfn.NUMBERVALUE("-2.850000")</f>
        <v/>
      </c>
      <c r="Y1432">
        <f>_xlfn.NUMBERVALUE("30.750000")</f>
        <v/>
      </c>
    </row>
    <row r="1433">
      <c r="A1433" s="1" t="n">
        <v>44082</v>
      </c>
      <c r="B1433">
        <f>_xlfn.NUMBERVALUE("0.000518")</f>
        <v/>
      </c>
      <c r="C1433" s="2">
        <f>_xlfn.NUMBERVALUE("-0.001756")</f>
        <v/>
      </c>
      <c r="D1433">
        <f>_xlfn.NUMBERVALUE("0.000907")</f>
        <v/>
      </c>
      <c r="E1433">
        <f>_xlfn.NUMBERVALUE("0.001046")</f>
        <v/>
      </c>
      <c r="F1433">
        <f>_xlfn.NUMBERVALUE("0.002496")</f>
        <v/>
      </c>
      <c r="G1433">
        <f>_xlfn.NUMBERVALUE("-0.000016")</f>
        <v/>
      </c>
      <c r="H1433">
        <f>_xlfn.NUMBERVALUE("0.000358")</f>
        <v/>
      </c>
      <c r="I1433">
        <f>_xlfn.NUMBERVALUE("0.001870")</f>
        <v/>
      </c>
      <c r="J1433">
        <f>_xlfn.NUMBERVALUE("0.003542")</f>
        <v/>
      </c>
      <c r="K1433">
        <f>_xlfn.NUMBERVALUE("0.010317")</f>
        <v/>
      </c>
      <c r="L1433">
        <f>_xlfn.NUMBERVALUE("0.001349")</f>
        <v/>
      </c>
      <c r="M1433">
        <f>_xlfn.NUMBERVALUE("0.005891")</f>
        <v/>
      </c>
      <c r="N1433">
        <f>_xlfn.NUMBERVALUE("-0.001250")</f>
        <v/>
      </c>
      <c r="O1433">
        <f>_xlfn.NUMBERVALUE("-0.000766")</f>
        <v/>
      </c>
      <c r="P1433">
        <f>_xlfn.NUMBERVALUE("0.012349")</f>
        <v/>
      </c>
      <c r="Q1433">
        <f>_xlfn.NUMBERVALUE("0.008231")</f>
        <v/>
      </c>
      <c r="R1433">
        <f>_xlfn.NUMBERVALUE("0.016277")</f>
        <v/>
      </c>
      <c r="S1433">
        <f>_xlfn.NUMBERVALUE("0.006095")</f>
        <v/>
      </c>
      <c r="T1433">
        <f>_xlfn.NUMBERVALUE("0.000383")</f>
        <v/>
      </c>
      <c r="U1433">
        <f>_xlfn.NUMBERVALUE("0.008685")</f>
        <v/>
      </c>
      <c r="V1433">
        <f>_xlfn.NUMBERVALUE("-0.003403")</f>
        <v/>
      </c>
      <c r="W1433">
        <f>_xlfn.NUMBERVALUE("-0.026595")</f>
        <v/>
      </c>
      <c r="X1433">
        <f>_xlfn.NUMBERVALUE("0.710000")</f>
        <v/>
      </c>
      <c r="Y1433">
        <f>_xlfn.NUMBERVALUE("31.460000")</f>
        <v/>
      </c>
    </row>
    <row r="1434">
      <c r="A1434" s="1" t="n">
        <v>44083</v>
      </c>
      <c r="B1434">
        <f>_xlfn.NUMBERVALUE("0.008581")</f>
        <v/>
      </c>
      <c r="C1434" s="2">
        <f>_xlfn.NUMBERVALUE("0.002671")</f>
        <v/>
      </c>
      <c r="D1434">
        <f>_xlfn.NUMBERVALUE("0.006501")</f>
        <v/>
      </c>
      <c r="E1434">
        <f>_xlfn.NUMBERVALUE("0.002592")</f>
        <v/>
      </c>
      <c r="F1434">
        <f>_xlfn.NUMBERVALUE("0.002582")</f>
        <v/>
      </c>
      <c r="G1434">
        <f>_xlfn.NUMBERVALUE("0.001533")</f>
        <v/>
      </c>
      <c r="H1434">
        <f>_xlfn.NUMBERVALUE("0.002482")</f>
        <v/>
      </c>
      <c r="I1434">
        <f>_xlfn.NUMBERVALUE("0.006267")</f>
        <v/>
      </c>
      <c r="J1434">
        <f>_xlfn.NUMBERVALUE("0.000551")</f>
        <v/>
      </c>
      <c r="K1434">
        <f>_xlfn.NUMBERVALUE("0.011437")</f>
        <v/>
      </c>
      <c r="L1434">
        <f>_xlfn.NUMBERVALUE("0.001233")</f>
        <v/>
      </c>
      <c r="M1434">
        <f>_xlfn.NUMBERVALUE("0.000873")</f>
        <v/>
      </c>
      <c r="N1434">
        <f>_xlfn.NUMBERVALUE("0.006979")</f>
        <v/>
      </c>
      <c r="O1434">
        <f>_xlfn.NUMBERVALUE("0.007853")</f>
        <v/>
      </c>
      <c r="P1434">
        <f>_xlfn.NUMBERVALUE("0.007166")</f>
        <v/>
      </c>
      <c r="Q1434">
        <f>_xlfn.NUMBERVALUE("0.005461")</f>
        <v/>
      </c>
      <c r="R1434">
        <f>_xlfn.NUMBERVALUE("0.003240")</f>
        <v/>
      </c>
      <c r="S1434">
        <f>_xlfn.NUMBERVALUE("0.000503")</f>
        <v/>
      </c>
      <c r="T1434">
        <f>_xlfn.NUMBERVALUE("0.002713")</f>
        <v/>
      </c>
      <c r="U1434">
        <f>_xlfn.NUMBERVALUE("0.004676")</f>
        <v/>
      </c>
      <c r="V1434">
        <f>_xlfn.NUMBERVALUE("0.000578")</f>
        <v/>
      </c>
      <c r="W1434">
        <f>_xlfn.NUMBERVALUE("0.018892")</f>
        <v/>
      </c>
      <c r="X1434">
        <f>_xlfn.NUMBERVALUE("-2.650000")</f>
        <v/>
      </c>
      <c r="Y1434">
        <f>_xlfn.NUMBERVALUE("28.810000")</f>
        <v/>
      </c>
    </row>
    <row r="1435">
      <c r="A1435" s="1" t="n">
        <v>44084</v>
      </c>
      <c r="B1435">
        <f>_xlfn.NUMBERVALUE("0.004206")</f>
        <v/>
      </c>
      <c r="C1435" s="2">
        <f>_xlfn.NUMBERVALUE("-0.000549")</f>
        <v/>
      </c>
      <c r="D1435">
        <f>_xlfn.NUMBERVALUE("0.000067")</f>
        <v/>
      </c>
      <c r="E1435">
        <f>_xlfn.NUMBERVALUE("0.000489")</f>
        <v/>
      </c>
      <c r="F1435">
        <f>_xlfn.NUMBERVALUE("0.001583")</f>
        <v/>
      </c>
      <c r="G1435">
        <f>_xlfn.NUMBERVALUE("0.001010")</f>
        <v/>
      </c>
      <c r="H1435">
        <f>_xlfn.NUMBERVALUE("0.002136")</f>
        <v/>
      </c>
      <c r="I1435">
        <f>_xlfn.NUMBERVALUE("-0.001384")</f>
        <v/>
      </c>
      <c r="J1435">
        <f>_xlfn.NUMBERVALUE("0.001489")</f>
        <v/>
      </c>
      <c r="K1435">
        <f>_xlfn.NUMBERVALUE("0.003889")</f>
        <v/>
      </c>
      <c r="L1435">
        <f>_xlfn.NUMBERVALUE("0.001117")</f>
        <v/>
      </c>
      <c r="M1435">
        <f>_xlfn.NUMBERVALUE("0.000720")</f>
        <v/>
      </c>
      <c r="N1435">
        <f>_xlfn.NUMBERVALUE("0.003703")</f>
        <v/>
      </c>
      <c r="O1435">
        <f>_xlfn.NUMBERVALUE("-0.002677")</f>
        <v/>
      </c>
      <c r="P1435">
        <f>_xlfn.NUMBERVALUE("0.002639")</f>
        <v/>
      </c>
      <c r="Q1435">
        <f>_xlfn.NUMBERVALUE("0.001133")</f>
        <v/>
      </c>
      <c r="R1435">
        <f>_xlfn.NUMBERVALUE("-0.000025")</f>
        <v/>
      </c>
      <c r="S1435">
        <f>_xlfn.NUMBERVALUE("0.002711")</f>
        <v/>
      </c>
      <c r="T1435">
        <f>_xlfn.NUMBERVALUE("0.001265")</f>
        <v/>
      </c>
      <c r="U1435">
        <f>_xlfn.NUMBERVALUE("0.002586")</f>
        <v/>
      </c>
      <c r="V1435">
        <f>_xlfn.NUMBERVALUE("-0.002060")</f>
        <v/>
      </c>
      <c r="W1435">
        <f>_xlfn.NUMBERVALUE("-0.017515")</f>
        <v/>
      </c>
      <c r="X1435">
        <f>_xlfn.NUMBERVALUE("0.900000")</f>
        <v/>
      </c>
      <c r="Y1435">
        <f>_xlfn.NUMBERVALUE("29.710000")</f>
        <v/>
      </c>
    </row>
    <row r="1436">
      <c r="A1436" s="1" t="n">
        <v>44085</v>
      </c>
      <c r="B1436">
        <f>_xlfn.NUMBERVALUE("0.007429")</f>
        <v/>
      </c>
      <c r="C1436" s="2">
        <f>_xlfn.NUMBERVALUE("0.002029")</f>
        <v/>
      </c>
      <c r="D1436">
        <f>_xlfn.NUMBERVALUE("0.001234")</f>
        <v/>
      </c>
      <c r="E1436">
        <f>_xlfn.NUMBERVALUE("0.001336")</f>
        <v/>
      </c>
      <c r="F1436">
        <f>_xlfn.NUMBERVALUE("0.003236")</f>
        <v/>
      </c>
      <c r="G1436">
        <f>_xlfn.NUMBERVALUE("0.001066")</f>
        <v/>
      </c>
      <c r="H1436">
        <f>_xlfn.NUMBERVALUE("-0.000702")</f>
        <v/>
      </c>
      <c r="I1436">
        <f>_xlfn.NUMBERVALUE("0.001747")</f>
        <v/>
      </c>
      <c r="J1436">
        <f>_xlfn.NUMBERVALUE("0.001864")</f>
        <v/>
      </c>
      <c r="K1436">
        <f>_xlfn.NUMBERVALUE("0.005719")</f>
        <v/>
      </c>
      <c r="L1436">
        <f>_xlfn.NUMBERVALUE("0.002882")</f>
        <v/>
      </c>
      <c r="M1436">
        <f>_xlfn.NUMBERVALUE("0.001670")</f>
        <v/>
      </c>
      <c r="N1436">
        <f>_xlfn.NUMBERVALUE("0.008332")</f>
        <v/>
      </c>
      <c r="O1436">
        <f>_xlfn.NUMBERVALUE("0.004968")</f>
        <v/>
      </c>
      <c r="P1436">
        <f>_xlfn.NUMBERVALUE("0.003665")</f>
        <v/>
      </c>
      <c r="Q1436">
        <f>_xlfn.NUMBERVALUE("0.002760")</f>
        <v/>
      </c>
      <c r="R1436">
        <f>_xlfn.NUMBERVALUE("0.007630")</f>
        <v/>
      </c>
      <c r="S1436">
        <f>_xlfn.NUMBERVALUE("0.003094")</f>
        <v/>
      </c>
      <c r="T1436">
        <f>_xlfn.NUMBERVALUE("0.002231")</f>
        <v/>
      </c>
      <c r="U1436">
        <f>_xlfn.NUMBERVALUE("0.002962")</f>
        <v/>
      </c>
      <c r="V1436">
        <f>_xlfn.NUMBERVALUE("0.001256")</f>
        <v/>
      </c>
      <c r="W1436">
        <f>_xlfn.NUMBERVALUE("-0.002867")</f>
        <v/>
      </c>
      <c r="X1436">
        <f>_xlfn.NUMBERVALUE("-2.840000")</f>
        <v/>
      </c>
      <c r="Y1436">
        <f>_xlfn.NUMBERVALUE("26.870000")</f>
        <v/>
      </c>
    </row>
    <row r="1437">
      <c r="A1437" s="1" t="n">
        <v>44088</v>
      </c>
      <c r="B1437">
        <f>_xlfn.NUMBERVALUE("-0.000929")</f>
        <v/>
      </c>
      <c r="C1437" s="2">
        <f>_xlfn.NUMBERVALUE("0.002058")</f>
        <v/>
      </c>
      <c r="D1437">
        <f>_xlfn.NUMBERVALUE("0.000432")</f>
        <v/>
      </c>
      <c r="E1437">
        <f>_xlfn.NUMBERVALUE("0.001363")</f>
        <v/>
      </c>
      <c r="F1437">
        <f>_xlfn.NUMBERVALUE("-0.000357")</f>
        <v/>
      </c>
      <c r="G1437">
        <f>_xlfn.NUMBERVALUE("0.002154")</f>
        <v/>
      </c>
      <c r="H1437">
        <f>_xlfn.NUMBERVALUE("-0.002303")</f>
        <v/>
      </c>
      <c r="I1437">
        <f>_xlfn.NUMBERVALUE("0.000731")</f>
        <v/>
      </c>
      <c r="J1437">
        <f>_xlfn.NUMBERVALUE("0.002771")</f>
        <v/>
      </c>
      <c r="K1437">
        <f>_xlfn.NUMBERVALUE("-0.005775")</f>
        <v/>
      </c>
      <c r="L1437">
        <f>_xlfn.NUMBERVALUE("0.001104")</f>
        <v/>
      </c>
      <c r="M1437">
        <f>_xlfn.NUMBERVALUE("0.002436")</f>
        <v/>
      </c>
      <c r="N1437">
        <f>_xlfn.NUMBERVALUE("0.010681")</f>
        <v/>
      </c>
      <c r="O1437">
        <f>_xlfn.NUMBERVALUE("0.006357")</f>
        <v/>
      </c>
      <c r="P1437">
        <f>_xlfn.NUMBERVALUE("0.003992")</f>
        <v/>
      </c>
      <c r="Q1437">
        <f>_xlfn.NUMBERVALUE("0.004145")</f>
        <v/>
      </c>
      <c r="R1437">
        <f>_xlfn.NUMBERVALUE("0.003274")</f>
        <v/>
      </c>
      <c r="S1437">
        <f>_xlfn.NUMBERVALUE("0.003430")</f>
        <v/>
      </c>
      <c r="T1437">
        <f>_xlfn.NUMBERVALUE("0.002652")</f>
        <v/>
      </c>
      <c r="U1437">
        <f>_xlfn.NUMBERVALUE("0.005029")</f>
        <v/>
      </c>
      <c r="V1437">
        <f>_xlfn.NUMBERVALUE("0.001340")</f>
        <v/>
      </c>
      <c r="W1437">
        <f>_xlfn.NUMBERVALUE("0.015961")</f>
        <v/>
      </c>
      <c r="X1437">
        <f>_xlfn.NUMBERVALUE("-1.020000")</f>
        <v/>
      </c>
      <c r="Y1437">
        <f>_xlfn.NUMBERVALUE("25.850000")</f>
        <v/>
      </c>
    </row>
    <row r="1438">
      <c r="A1438" s="1" t="n">
        <v>44089</v>
      </c>
      <c r="B1438">
        <f>_xlfn.NUMBERVALUE("0.003910")</f>
        <v/>
      </c>
      <c r="C1438" s="2">
        <f>_xlfn.NUMBERVALUE("0.000058")</f>
        <v/>
      </c>
      <c r="D1438">
        <f>_xlfn.NUMBERVALUE("0.000487")</f>
        <v/>
      </c>
      <c r="E1438">
        <f>_xlfn.NUMBERVALUE("0.000975")</f>
        <v/>
      </c>
      <c r="F1438">
        <f>_xlfn.NUMBERVALUE("0.003019")</f>
        <v/>
      </c>
      <c r="G1438">
        <f>_xlfn.NUMBERVALUE("0.001071")</f>
        <v/>
      </c>
      <c r="H1438">
        <f>_xlfn.NUMBERVALUE("-0.006024")</f>
        <v/>
      </c>
      <c r="I1438">
        <f>_xlfn.NUMBERVALUE("0.001228")</f>
        <v/>
      </c>
      <c r="J1438">
        <f>_xlfn.NUMBERVALUE("0.000538")</f>
        <v/>
      </c>
      <c r="K1438">
        <f>_xlfn.NUMBERVALUE("0.008805")</f>
        <v/>
      </c>
      <c r="L1438">
        <f>_xlfn.NUMBERVALUE("0.000351")</f>
        <v/>
      </c>
      <c r="M1438">
        <f>_xlfn.NUMBERVALUE("0.000204")</f>
        <v/>
      </c>
      <c r="N1438">
        <f>_xlfn.NUMBERVALUE("-0.000306")</f>
        <v/>
      </c>
      <c r="O1438">
        <f>_xlfn.NUMBERVALUE("0.001260")</f>
        <v/>
      </c>
      <c r="P1438">
        <f>_xlfn.NUMBERVALUE("0.001000")</f>
        <v/>
      </c>
      <c r="Q1438">
        <f>_xlfn.NUMBERVALUE("0.002095")</f>
        <v/>
      </c>
      <c r="R1438">
        <f>_xlfn.NUMBERVALUE("0.001051")</f>
        <v/>
      </c>
      <c r="S1438">
        <f>_xlfn.NUMBERVALUE("0.001549")</f>
        <v/>
      </c>
      <c r="T1438">
        <f>_xlfn.NUMBERVALUE("0.001327")</f>
        <v/>
      </c>
      <c r="U1438">
        <f>_xlfn.NUMBERVALUE("0.001081")</f>
        <v/>
      </c>
      <c r="V1438">
        <f>_xlfn.NUMBERVALUE("0.000441")</f>
        <v/>
      </c>
      <c r="W1438">
        <f>_xlfn.NUMBERVALUE("0.001326")</f>
        <v/>
      </c>
      <c r="X1438">
        <f>_xlfn.NUMBERVALUE("-0.260000")</f>
        <v/>
      </c>
      <c r="Y1438">
        <f>_xlfn.NUMBERVALUE("25.590000")</f>
        <v/>
      </c>
    </row>
    <row r="1439">
      <c r="A1439" s="1" t="n">
        <v>44090</v>
      </c>
      <c r="B1439">
        <f>_xlfn.NUMBERVALUE("0.003827")</f>
        <v/>
      </c>
      <c r="C1439" s="2">
        <f>_xlfn.NUMBERVALUE("0.000848")</f>
        <v/>
      </c>
      <c r="D1439">
        <f>_xlfn.NUMBERVALUE("0.000034")</f>
        <v/>
      </c>
      <c r="E1439">
        <f>_xlfn.NUMBERVALUE("0.000858")</f>
        <v/>
      </c>
      <c r="F1439">
        <f>_xlfn.NUMBERVALUE("0.001242")</f>
        <v/>
      </c>
      <c r="G1439">
        <f>_xlfn.NUMBERVALUE("0.000086")</f>
        <v/>
      </c>
      <c r="H1439">
        <f>_xlfn.NUMBERVALUE("0.001044")</f>
        <v/>
      </c>
      <c r="I1439">
        <f>_xlfn.NUMBERVALUE("-0.000856")</f>
        <v/>
      </c>
      <c r="J1439">
        <f>_xlfn.NUMBERVALUE("0.001286")</f>
        <v/>
      </c>
      <c r="K1439">
        <f>_xlfn.NUMBERVALUE("0.006309")</f>
        <v/>
      </c>
      <c r="L1439">
        <f>_xlfn.NUMBERVALUE("0.001399")</f>
        <v/>
      </c>
      <c r="M1439">
        <f>_xlfn.NUMBERVALUE("0.002038")</f>
        <v/>
      </c>
      <c r="N1439">
        <f>_xlfn.NUMBERVALUE("0.001487")</f>
        <v/>
      </c>
      <c r="O1439">
        <f>_xlfn.NUMBERVALUE("-0.007257")</f>
        <v/>
      </c>
      <c r="P1439">
        <f>_xlfn.NUMBERVALUE("-0.000674")</f>
        <v/>
      </c>
      <c r="Q1439">
        <f>_xlfn.NUMBERVALUE("-0.001192")</f>
        <v/>
      </c>
      <c r="R1439">
        <f>_xlfn.NUMBERVALUE("0.000241")</f>
        <v/>
      </c>
      <c r="S1439">
        <f>_xlfn.NUMBERVALUE("0.002549")</f>
        <v/>
      </c>
      <c r="T1439">
        <f>_xlfn.NUMBERVALUE("0.002005")</f>
        <v/>
      </c>
      <c r="U1439">
        <f>_xlfn.NUMBERVALUE("0.002037")</f>
        <v/>
      </c>
      <c r="V1439">
        <f>_xlfn.NUMBERVALUE("0.000480")</f>
        <v/>
      </c>
      <c r="W1439">
        <f>_xlfn.NUMBERVALUE("0.001148")</f>
        <v/>
      </c>
      <c r="X1439">
        <f>_xlfn.NUMBERVALUE("0.450000")</f>
        <v/>
      </c>
      <c r="Y1439">
        <f>_xlfn.NUMBERVALUE("26.040000")</f>
        <v/>
      </c>
    </row>
    <row r="1440">
      <c r="A1440" s="1" t="n">
        <v>44091</v>
      </c>
      <c r="B1440">
        <f>_xlfn.NUMBERVALUE("-0.028404")</f>
        <v/>
      </c>
      <c r="C1440" s="2">
        <f>_xlfn.NUMBERVALUE("-0.000391")</f>
        <v/>
      </c>
      <c r="D1440">
        <f>_xlfn.NUMBERVALUE("0.000939")</f>
        <v/>
      </c>
      <c r="E1440">
        <f>_xlfn.NUMBERVALUE("0.000681")</f>
        <v/>
      </c>
      <c r="F1440">
        <f>_xlfn.NUMBERVALUE("0.002310")</f>
        <v/>
      </c>
      <c r="G1440">
        <f>_xlfn.NUMBERVALUE("0.000448")</f>
        <v/>
      </c>
      <c r="H1440">
        <f>_xlfn.NUMBERVALUE("0.014476")</f>
        <v/>
      </c>
      <c r="I1440">
        <f>_xlfn.NUMBERVALUE("0.000216")</f>
        <v/>
      </c>
      <c r="J1440">
        <f>_xlfn.NUMBERVALUE("0.000386")</f>
        <v/>
      </c>
      <c r="K1440">
        <f>_xlfn.NUMBERVALUE("0.006738")</f>
        <v/>
      </c>
      <c r="L1440">
        <f>_xlfn.NUMBERVALUE("0.002020")</f>
        <v/>
      </c>
      <c r="M1440">
        <f>_xlfn.NUMBERVALUE("-0.001473")</f>
        <v/>
      </c>
      <c r="N1440">
        <f>_xlfn.NUMBERVALUE("-0.000304")</f>
        <v/>
      </c>
      <c r="O1440">
        <f>_xlfn.NUMBERVALUE("-0.000608")</f>
        <v/>
      </c>
      <c r="P1440">
        <f>_xlfn.NUMBERVALUE("0.000392")</f>
        <v/>
      </c>
      <c r="Q1440">
        <f>_xlfn.NUMBERVALUE("-0.002722")</f>
        <v/>
      </c>
      <c r="R1440">
        <f>_xlfn.NUMBERVALUE("-0.001446")</f>
        <v/>
      </c>
      <c r="S1440">
        <f>_xlfn.NUMBERVALUE("-0.002372")</f>
        <v/>
      </c>
      <c r="T1440">
        <f>_xlfn.NUMBERVALUE("-0.002165")</f>
        <v/>
      </c>
      <c r="U1440">
        <f>_xlfn.NUMBERVALUE("-0.002523")</f>
        <v/>
      </c>
      <c r="V1440">
        <f>_xlfn.NUMBERVALUE("-0.001278")</f>
        <v/>
      </c>
      <c r="W1440">
        <f>_xlfn.NUMBERVALUE("-0.015495")</f>
        <v/>
      </c>
      <c r="X1440">
        <f>_xlfn.NUMBERVALUE("0.420000")</f>
        <v/>
      </c>
      <c r="Y1440">
        <f>_xlfn.NUMBERVALUE("26.460000")</f>
        <v/>
      </c>
    </row>
    <row r="1441">
      <c r="A1441" s="1" t="n">
        <v>44092</v>
      </c>
      <c r="B1441">
        <f>_xlfn.NUMBERVALUE("0.025369")</f>
        <v/>
      </c>
      <c r="C1441" s="2">
        <f>_xlfn.NUMBERVALUE("0.001353")</f>
        <v/>
      </c>
      <c r="D1441">
        <f>_xlfn.NUMBERVALUE("0.001951")</f>
        <v/>
      </c>
      <c r="E1441">
        <f>_xlfn.NUMBERVALUE("0.001440")</f>
        <v/>
      </c>
      <c r="F1441">
        <f>_xlfn.NUMBERVALUE("0.001833")</f>
        <v/>
      </c>
      <c r="G1441">
        <f>_xlfn.NUMBERVALUE("0.000772")</f>
        <v/>
      </c>
      <c r="H1441">
        <f>_xlfn.NUMBERVALUE("0.000237")</f>
        <v/>
      </c>
      <c r="I1441">
        <f>_xlfn.NUMBERVALUE("0.001404")</f>
        <v/>
      </c>
      <c r="J1441">
        <f>_xlfn.NUMBERVALUE("0.000897")</f>
        <v/>
      </c>
      <c r="K1441">
        <f>_xlfn.NUMBERVALUE("0.004527")</f>
        <v/>
      </c>
      <c r="L1441">
        <f>_xlfn.NUMBERVALUE("-0.000083")</f>
        <v/>
      </c>
      <c r="M1441">
        <f>_xlfn.NUMBERVALUE("0.001151")</f>
        <v/>
      </c>
      <c r="N1441">
        <f>_xlfn.NUMBERVALUE("0.001304")</f>
        <v/>
      </c>
      <c r="O1441">
        <f>_xlfn.NUMBERVALUE("0.003519")</f>
        <v/>
      </c>
      <c r="P1441">
        <f>_xlfn.NUMBERVALUE("0.002589")</f>
        <v/>
      </c>
      <c r="Q1441">
        <f>_xlfn.NUMBERVALUE("0.001631")</f>
        <v/>
      </c>
      <c r="R1441">
        <f>_xlfn.NUMBERVALUE("0.004424")</f>
        <v/>
      </c>
      <c r="S1441">
        <f>_xlfn.NUMBERVALUE("0.002147")</f>
        <v/>
      </c>
      <c r="T1441">
        <f>_xlfn.NUMBERVALUE("-0.000084")</f>
        <v/>
      </c>
      <c r="U1441">
        <f>_xlfn.NUMBERVALUE("0.001853")</f>
        <v/>
      </c>
      <c r="V1441">
        <f>_xlfn.NUMBERVALUE("0.002172")</f>
        <v/>
      </c>
      <c r="W1441">
        <f>_xlfn.NUMBERVALUE("-0.010184")</f>
        <v/>
      </c>
      <c r="X1441">
        <f>_xlfn.NUMBERVALUE("-0.630000")</f>
        <v/>
      </c>
      <c r="Y1441">
        <f>_xlfn.NUMBERVALUE("25.830000")</f>
        <v/>
      </c>
    </row>
    <row r="1442">
      <c r="A1442" s="1" t="n">
        <v>44095</v>
      </c>
      <c r="B1442">
        <f>_xlfn.NUMBERVALUE("0.004625")</f>
        <v/>
      </c>
      <c r="C1442" s="2">
        <f>_xlfn.NUMBERVALUE("-0.002438")</f>
        <v/>
      </c>
      <c r="D1442">
        <f>_xlfn.NUMBERVALUE("-0.001715")</f>
        <v/>
      </c>
      <c r="E1442">
        <f>_xlfn.NUMBERVALUE("-0.007303")</f>
        <v/>
      </c>
      <c r="F1442">
        <f>_xlfn.NUMBERVALUE("-0.006922")</f>
        <v/>
      </c>
      <c r="G1442">
        <f>_xlfn.NUMBERVALUE("-0.001939")</f>
        <v/>
      </c>
      <c r="H1442">
        <f>_xlfn.NUMBERVALUE("0.000635")</f>
        <v/>
      </c>
      <c r="I1442">
        <f>_xlfn.NUMBERVALUE("-0.006485")</f>
        <v/>
      </c>
      <c r="J1442">
        <f>_xlfn.NUMBERVALUE("0.000198")</f>
        <v/>
      </c>
      <c r="K1442">
        <f>_xlfn.NUMBERVALUE("-0.031970")</f>
        <v/>
      </c>
      <c r="L1442">
        <f>_xlfn.NUMBERVALUE("0.000888")</f>
        <v/>
      </c>
      <c r="M1442">
        <f>_xlfn.NUMBERVALUE("-0.008106")</f>
        <v/>
      </c>
      <c r="N1442">
        <f>_xlfn.NUMBERVALUE("0.003043")</f>
        <v/>
      </c>
      <c r="O1442">
        <f>_xlfn.NUMBERVALUE("-0.009525")</f>
        <v/>
      </c>
      <c r="P1442">
        <f>_xlfn.NUMBERVALUE("-0.007611")</f>
        <v/>
      </c>
      <c r="Q1442">
        <f>_xlfn.NUMBERVALUE("-0.010524")</f>
        <v/>
      </c>
      <c r="R1442">
        <f>_xlfn.NUMBERVALUE("0.002809")</f>
        <v/>
      </c>
      <c r="S1442">
        <f>_xlfn.NUMBERVALUE("-0.001899")</f>
        <v/>
      </c>
      <c r="T1442">
        <f>_xlfn.NUMBERVALUE("-0.001252")</f>
        <v/>
      </c>
      <c r="U1442">
        <f>_xlfn.NUMBERVALUE("-0.003116")</f>
        <v/>
      </c>
      <c r="V1442">
        <f>_xlfn.NUMBERVALUE("-0.000389")</f>
        <v/>
      </c>
      <c r="W1442">
        <f>_xlfn.NUMBERVALUE("-0.017621")</f>
        <v/>
      </c>
      <c r="X1442">
        <f>_xlfn.NUMBERVALUE("1.950000")</f>
        <v/>
      </c>
      <c r="Y1442">
        <f>_xlfn.NUMBERVALUE("27.780000")</f>
        <v/>
      </c>
    </row>
    <row r="1443">
      <c r="A1443" s="1" t="n">
        <v>44096</v>
      </c>
      <c r="B1443">
        <f>_xlfn.NUMBERVALUE("0.008556")</f>
        <v/>
      </c>
      <c r="C1443" s="2">
        <f>_xlfn.NUMBERVALUE("0.000493")</f>
        <v/>
      </c>
      <c r="D1443">
        <f>_xlfn.NUMBERVALUE("0.001065")</f>
        <v/>
      </c>
      <c r="E1443">
        <f>_xlfn.NUMBERVALUE("0.000765")</f>
        <v/>
      </c>
      <c r="F1443">
        <f>_xlfn.NUMBERVALUE("0.000958")</f>
        <v/>
      </c>
      <c r="G1443">
        <f>_xlfn.NUMBERVALUE("-0.001029")</f>
        <v/>
      </c>
      <c r="H1443">
        <f>_xlfn.NUMBERVALUE("0.000254")</f>
        <v/>
      </c>
      <c r="I1443">
        <f>_xlfn.NUMBERVALUE("0.001341")</f>
        <v/>
      </c>
      <c r="J1443">
        <f>_xlfn.NUMBERVALUE("0.000261")</f>
        <v/>
      </c>
      <c r="K1443">
        <f>_xlfn.NUMBERVALUE("0.003971")</f>
        <v/>
      </c>
      <c r="L1443">
        <f>_xlfn.NUMBERVALUE("0.000877")</f>
        <v/>
      </c>
      <c r="M1443">
        <f>_xlfn.NUMBERVALUE("0.003887")</f>
        <v/>
      </c>
      <c r="N1443">
        <f>_xlfn.NUMBERVALUE("-0.000928")</f>
        <v/>
      </c>
      <c r="O1443">
        <f>_xlfn.NUMBERVALUE("0.001746")</f>
        <v/>
      </c>
      <c r="P1443">
        <f>_xlfn.NUMBERVALUE("0.001740")</f>
        <v/>
      </c>
      <c r="Q1443">
        <f>_xlfn.NUMBERVALUE("0.001734")</f>
        <v/>
      </c>
      <c r="R1443">
        <f>_xlfn.NUMBERVALUE("0.000823")</f>
        <v/>
      </c>
      <c r="S1443">
        <f>_xlfn.NUMBERVALUE("-0.000180")</f>
        <v/>
      </c>
      <c r="T1443">
        <f>_xlfn.NUMBERVALUE("0.001270")</f>
        <v/>
      </c>
      <c r="U1443">
        <f>_xlfn.NUMBERVALUE("-0.002830")</f>
        <v/>
      </c>
      <c r="V1443">
        <f>_xlfn.NUMBERVALUE("0.000422")</f>
        <v/>
      </c>
      <c r="W1443">
        <f>_xlfn.NUMBERVALUE("0.015910")</f>
        <v/>
      </c>
      <c r="X1443">
        <f>_xlfn.NUMBERVALUE("-0.920000")</f>
        <v/>
      </c>
      <c r="Y1443">
        <f>_xlfn.NUMBERVALUE("26.860000")</f>
        <v/>
      </c>
    </row>
    <row r="1444">
      <c r="A1444" s="1" t="n">
        <v>44097</v>
      </c>
      <c r="B1444">
        <f>_xlfn.NUMBERVALUE("-0.003121")</f>
        <v/>
      </c>
      <c r="C1444" s="2">
        <f>_xlfn.NUMBERVALUE("-0.001153")</f>
        <v/>
      </c>
      <c r="D1444">
        <f>_xlfn.NUMBERVALUE("-0.001282")</f>
        <v/>
      </c>
      <c r="E1444">
        <f>_xlfn.NUMBERVALUE("0.000035")</f>
        <v/>
      </c>
      <c r="F1444">
        <f>_xlfn.NUMBERVALUE("-0.006019")</f>
        <v/>
      </c>
      <c r="G1444">
        <f>_xlfn.NUMBERVALUE("-0.001404")</f>
        <v/>
      </c>
      <c r="H1444">
        <f>_xlfn.NUMBERVALUE("0.000420")</f>
        <v/>
      </c>
      <c r="I1444">
        <f>_xlfn.NUMBERVALUE("-0.000014")</f>
        <v/>
      </c>
      <c r="J1444">
        <f>_xlfn.NUMBERVALUE("-0.002343")</f>
        <v/>
      </c>
      <c r="K1444">
        <f>_xlfn.NUMBERVALUE("-0.005320")</f>
        <v/>
      </c>
      <c r="L1444">
        <f>_xlfn.NUMBERVALUE("0.000909")</f>
        <v/>
      </c>
      <c r="M1444">
        <f>_xlfn.NUMBERVALUE("-0.002276")</f>
        <v/>
      </c>
      <c r="N1444">
        <f>_xlfn.NUMBERVALUE("-0.002009")</f>
        <v/>
      </c>
      <c r="O1444">
        <f>_xlfn.NUMBERVALUE("-0.008307")</f>
        <v/>
      </c>
      <c r="P1444">
        <f>_xlfn.NUMBERVALUE("-0.001593")</f>
        <v/>
      </c>
      <c r="Q1444">
        <f>_xlfn.NUMBERVALUE("-0.001367")</f>
        <v/>
      </c>
      <c r="R1444">
        <f>_xlfn.NUMBERVALUE("-0.006686")</f>
        <v/>
      </c>
      <c r="S1444">
        <f>_xlfn.NUMBERVALUE("-0.001949")</f>
        <v/>
      </c>
      <c r="T1444">
        <f>_xlfn.NUMBERVALUE("-0.000950")</f>
        <v/>
      </c>
      <c r="U1444">
        <f>_xlfn.NUMBERVALUE("-0.010089")</f>
        <v/>
      </c>
      <c r="V1444">
        <f>_xlfn.NUMBERVALUE("-0.000678")</f>
        <v/>
      </c>
      <c r="W1444">
        <f>_xlfn.NUMBERVALUE("-0.022282")</f>
        <v/>
      </c>
      <c r="X1444">
        <f>_xlfn.NUMBERVALUE("1.720000")</f>
        <v/>
      </c>
      <c r="Y1444">
        <f>_xlfn.NUMBERVALUE("28.580000")</f>
        <v/>
      </c>
    </row>
    <row r="1445">
      <c r="A1445" s="1" t="n">
        <v>44098</v>
      </c>
      <c r="B1445">
        <f>_xlfn.NUMBERVALUE("-0.000363")</f>
        <v/>
      </c>
      <c r="C1445" s="2">
        <f>_xlfn.NUMBERVALUE("0.000861")</f>
        <v/>
      </c>
      <c r="D1445">
        <f>_xlfn.NUMBERVALUE("0.000007")</f>
        <v/>
      </c>
      <c r="E1445">
        <f>_xlfn.NUMBERVALUE("0.000299")</f>
        <v/>
      </c>
      <c r="F1445">
        <f>_xlfn.NUMBERVALUE("0.001200")</f>
        <v/>
      </c>
      <c r="G1445">
        <f>_xlfn.NUMBERVALUE("-0.000230")</f>
        <v/>
      </c>
      <c r="H1445">
        <f>_xlfn.NUMBERVALUE("0.000134")</f>
        <v/>
      </c>
      <c r="I1445">
        <f>_xlfn.NUMBERVALUE("0.000240")</f>
        <v/>
      </c>
      <c r="J1445">
        <f>_xlfn.NUMBERVALUE("0.000686")</f>
        <v/>
      </c>
      <c r="K1445">
        <f>_xlfn.NUMBERVALUE("-0.002106")</f>
        <v/>
      </c>
      <c r="L1445">
        <f>_xlfn.NUMBERVALUE("0.000833")</f>
        <v/>
      </c>
      <c r="M1445">
        <f>_xlfn.NUMBERVALUE("0.000540")</f>
        <v/>
      </c>
      <c r="N1445">
        <f>_xlfn.NUMBERVALUE("0.001090")</f>
        <v/>
      </c>
      <c r="O1445">
        <f>_xlfn.NUMBERVALUE("0.001830")</f>
        <v/>
      </c>
      <c r="P1445">
        <f>_xlfn.NUMBERVALUE("0.000348")</f>
        <v/>
      </c>
      <c r="Q1445">
        <f>_xlfn.NUMBERVALUE("0.000816")</f>
        <v/>
      </c>
      <c r="R1445">
        <f>_xlfn.NUMBERVALUE("0.003741")</f>
        <v/>
      </c>
      <c r="S1445">
        <f>_xlfn.NUMBERVALUE("-0.000281")</f>
        <v/>
      </c>
      <c r="T1445">
        <f>_xlfn.NUMBERVALUE("0.000984")</f>
        <v/>
      </c>
      <c r="U1445">
        <f>_xlfn.NUMBERVALUE("0.009497")</f>
        <v/>
      </c>
      <c r="V1445">
        <f>_xlfn.NUMBERVALUE("0.000125")</f>
        <v/>
      </c>
      <c r="W1445">
        <f>_xlfn.NUMBERVALUE("0.000928")</f>
        <v/>
      </c>
      <c r="X1445">
        <f>_xlfn.NUMBERVALUE("-0.070000")</f>
        <v/>
      </c>
      <c r="Y1445">
        <f>_xlfn.NUMBERVALUE("28.510000")</f>
        <v/>
      </c>
    </row>
    <row r="1446">
      <c r="A1446" s="1" t="n">
        <v>44099</v>
      </c>
      <c r="B1446">
        <f>_xlfn.NUMBERVALUE("0.005322")</f>
        <v/>
      </c>
      <c r="C1446" s="2">
        <f>_xlfn.NUMBERVALUE("0.000363")</f>
        <v/>
      </c>
      <c r="D1446">
        <f>_xlfn.NUMBERVALUE("0.000728")</f>
        <v/>
      </c>
      <c r="E1446">
        <f>_xlfn.NUMBERVALUE("0.000585")</f>
        <v/>
      </c>
      <c r="F1446">
        <f>_xlfn.NUMBERVALUE("0.001177")</f>
        <v/>
      </c>
      <c r="G1446">
        <f>_xlfn.NUMBERVALUE("0.000786")</f>
        <v/>
      </c>
      <c r="H1446">
        <f>_xlfn.NUMBERVALUE("0.000938")</f>
        <v/>
      </c>
      <c r="I1446">
        <f>_xlfn.NUMBERVALUE("0.000528")</f>
        <v/>
      </c>
      <c r="J1446">
        <f>_xlfn.NUMBERVALUE("-0.000054")</f>
        <v/>
      </c>
      <c r="K1446">
        <f>_xlfn.NUMBERVALUE("0.003017")</f>
        <v/>
      </c>
      <c r="L1446">
        <f>_xlfn.NUMBERVALUE("0.000201")</f>
        <v/>
      </c>
      <c r="M1446">
        <f>_xlfn.NUMBERVALUE("0.002558")</f>
        <v/>
      </c>
      <c r="N1446">
        <f>_xlfn.NUMBERVALUE("0.001097")</f>
        <v/>
      </c>
      <c r="O1446">
        <f>_xlfn.NUMBERVALUE("0.001618")</f>
        <v/>
      </c>
      <c r="P1446">
        <f>_xlfn.NUMBERVALUE("0.002172")</f>
        <v/>
      </c>
      <c r="Q1446">
        <f>_xlfn.NUMBERVALUE("0.002585")</f>
        <v/>
      </c>
      <c r="R1446">
        <f>_xlfn.NUMBERVALUE("0.003212")</f>
        <v/>
      </c>
      <c r="S1446">
        <f>_xlfn.NUMBERVALUE("0.002410")</f>
        <v/>
      </c>
      <c r="T1446">
        <f>_xlfn.NUMBERVALUE("0.001592")</f>
        <v/>
      </c>
      <c r="U1446">
        <f>_xlfn.NUMBERVALUE("0.002782")</f>
        <v/>
      </c>
      <c r="V1446">
        <f>_xlfn.NUMBERVALUE("0.000323")</f>
        <v/>
      </c>
      <c r="W1446">
        <f>_xlfn.NUMBERVALUE("0.014118")</f>
        <v/>
      </c>
      <c r="X1446">
        <f>_xlfn.NUMBERVALUE("-2.130000")</f>
        <v/>
      </c>
      <c r="Y1446">
        <f>_xlfn.NUMBERVALUE("26.380000")</f>
        <v/>
      </c>
    </row>
    <row r="1447">
      <c r="A1447" s="1" t="n">
        <v>44102</v>
      </c>
      <c r="B1447">
        <f>_xlfn.NUMBERVALUE("0.007375")</f>
        <v/>
      </c>
      <c r="C1447" s="2">
        <f>_xlfn.NUMBERVALUE("-0.000003")</f>
        <v/>
      </c>
      <c r="D1447">
        <f>_xlfn.NUMBERVALUE("0.000142")</f>
        <v/>
      </c>
      <c r="E1447">
        <f>_xlfn.NUMBERVALUE("-0.000070")</f>
        <v/>
      </c>
      <c r="F1447">
        <f>_xlfn.NUMBERVALUE("0.001978")</f>
        <v/>
      </c>
      <c r="G1447">
        <f>_xlfn.NUMBERVALUE("0.000995")</f>
        <v/>
      </c>
      <c r="H1447">
        <f>_xlfn.NUMBERVALUE("0.000496")</f>
        <v/>
      </c>
      <c r="I1447">
        <f>_xlfn.NUMBERVALUE("0.000579")</f>
        <v/>
      </c>
      <c r="J1447">
        <f>_xlfn.NUMBERVALUE("0.001463")</f>
        <v/>
      </c>
      <c r="K1447">
        <f>_xlfn.NUMBERVALUE("0.000405")</f>
        <v/>
      </c>
      <c r="L1447">
        <f>_xlfn.NUMBERVALUE("0.001251")</f>
        <v/>
      </c>
      <c r="M1447">
        <f>_xlfn.NUMBERVALUE("-0.000325")</f>
        <v/>
      </c>
      <c r="N1447">
        <f>_xlfn.NUMBERVALUE("0.001330")</f>
        <v/>
      </c>
      <c r="O1447">
        <f>_xlfn.NUMBERVALUE("0.000110")</f>
        <v/>
      </c>
      <c r="P1447">
        <f>_xlfn.NUMBERVALUE("-0.000013")</f>
        <v/>
      </c>
      <c r="Q1447">
        <f>_xlfn.NUMBERVALUE("0.000857")</f>
        <v/>
      </c>
      <c r="R1447">
        <f>_xlfn.NUMBERVALUE("0.000712")</f>
        <v/>
      </c>
      <c r="S1447">
        <f>_xlfn.NUMBERVALUE("0.000501")</f>
        <v/>
      </c>
      <c r="T1447">
        <f>_xlfn.NUMBERVALUE("0.001974")</f>
        <v/>
      </c>
      <c r="U1447">
        <f>_xlfn.NUMBERVALUE("-0.000837")</f>
        <v/>
      </c>
      <c r="V1447">
        <f>_xlfn.NUMBERVALUE("0.000036")</f>
        <v/>
      </c>
      <c r="W1447">
        <f>_xlfn.NUMBERVALUE("0.018034")</f>
        <v/>
      </c>
      <c r="X1447">
        <f>_xlfn.NUMBERVALUE("-0.190000")</f>
        <v/>
      </c>
      <c r="Y1447">
        <f>_xlfn.NUMBERVALUE("26.190000")</f>
        <v/>
      </c>
    </row>
    <row r="1448">
      <c r="A1448" s="1" t="n">
        <v>44103</v>
      </c>
      <c r="B1448">
        <f>_xlfn.NUMBERVALUE("0.000087")</f>
        <v/>
      </c>
      <c r="C1448" s="2">
        <f>_xlfn.NUMBERVALUE("0.000316")</f>
        <v/>
      </c>
      <c r="D1448">
        <f>_xlfn.NUMBERVALUE("0.000049")</f>
        <v/>
      </c>
      <c r="E1448">
        <f>_xlfn.NUMBERVALUE("0.000338")</f>
        <v/>
      </c>
      <c r="F1448">
        <f>_xlfn.NUMBERVALUE("0.000511")</f>
        <v/>
      </c>
      <c r="G1448">
        <f>_xlfn.NUMBERVALUE("0.000528")</f>
        <v/>
      </c>
      <c r="H1448">
        <f>_xlfn.NUMBERVALUE("0.000391")</f>
        <v/>
      </c>
      <c r="I1448">
        <f>_xlfn.NUMBERVALUE("0.000054")</f>
        <v/>
      </c>
      <c r="J1448">
        <f>_xlfn.NUMBERVALUE("-0.000100")</f>
        <v/>
      </c>
      <c r="K1448">
        <f>_xlfn.NUMBERVALUE("-0.000035")</f>
        <v/>
      </c>
      <c r="L1448">
        <f>_xlfn.NUMBERVALUE("-0.000021")</f>
        <v/>
      </c>
      <c r="M1448">
        <f>_xlfn.NUMBERVALUE("0.001627")</f>
        <v/>
      </c>
      <c r="N1448">
        <f>_xlfn.NUMBERVALUE("0.000141")</f>
        <v/>
      </c>
      <c r="O1448">
        <f>_xlfn.NUMBERVALUE("0.000736")</f>
        <v/>
      </c>
      <c r="P1448">
        <f>_xlfn.NUMBERVALUE("-0.000221")</f>
        <v/>
      </c>
      <c r="Q1448">
        <f>_xlfn.NUMBERVALUE("0.001269")</f>
        <v/>
      </c>
      <c r="R1448">
        <f>_xlfn.NUMBERVALUE("0.002466")</f>
        <v/>
      </c>
      <c r="S1448">
        <f>_xlfn.NUMBERVALUE("0.000378")</f>
        <v/>
      </c>
      <c r="T1448">
        <f>_xlfn.NUMBERVALUE("0.000768")</f>
        <v/>
      </c>
      <c r="U1448">
        <f>_xlfn.NUMBERVALUE("0.000020")</f>
        <v/>
      </c>
      <c r="V1448">
        <f>_xlfn.NUMBERVALUE("-0.000023")</f>
        <v/>
      </c>
      <c r="W1448">
        <f>_xlfn.NUMBERVALUE("-0.003770")</f>
        <v/>
      </c>
      <c r="X1448">
        <f>_xlfn.NUMBERVALUE("0.080000")</f>
        <v/>
      </c>
      <c r="Y1448">
        <f>_xlfn.NUMBERVALUE("26.270000")</f>
        <v/>
      </c>
    </row>
    <row r="1449">
      <c r="A1449" s="1" t="n">
        <v>44104</v>
      </c>
      <c r="B1449">
        <f>_xlfn.NUMBERVALUE("0.004644")</f>
        <v/>
      </c>
      <c r="C1449" s="2">
        <f>_xlfn.NUMBERVALUE("0.000172")</f>
        <v/>
      </c>
      <c r="D1449">
        <f>_xlfn.NUMBERVALUE("0.000081")</f>
        <v/>
      </c>
      <c r="E1449">
        <f>_xlfn.NUMBERVALUE("0.000089")</f>
        <v/>
      </c>
      <c r="F1449">
        <f>_xlfn.NUMBERVALUE("0.000681")</f>
        <v/>
      </c>
      <c r="G1449">
        <f>_xlfn.NUMBERVALUE("0.000947")</f>
        <v/>
      </c>
      <c r="H1449">
        <f>_xlfn.NUMBERVALUE("0.000360")</f>
        <v/>
      </c>
      <c r="I1449">
        <f>_xlfn.NUMBERVALUE("0.000470")</f>
        <v/>
      </c>
      <c r="J1449">
        <f>_xlfn.NUMBERVALUE("0.000606")</f>
        <v/>
      </c>
      <c r="K1449">
        <f>_xlfn.NUMBERVALUE("-0.000599")</f>
        <v/>
      </c>
      <c r="L1449">
        <f>_xlfn.NUMBERVALUE("-0.002486")</f>
        <v/>
      </c>
      <c r="M1449">
        <f>_xlfn.NUMBERVALUE("0.002751")</f>
        <v/>
      </c>
      <c r="N1449">
        <f>_xlfn.NUMBERVALUE("0.003489")</f>
        <v/>
      </c>
      <c r="O1449">
        <f>_xlfn.NUMBERVALUE("0.000315")</f>
        <v/>
      </c>
      <c r="P1449">
        <f>_xlfn.NUMBERVALUE("-0.000312")</f>
        <v/>
      </c>
      <c r="Q1449">
        <f>_xlfn.NUMBERVALUE("0.002233")</f>
        <v/>
      </c>
      <c r="R1449">
        <f>_xlfn.NUMBERVALUE("0.002297")</f>
        <v/>
      </c>
      <c r="S1449">
        <f>_xlfn.NUMBERVALUE("0.000562")</f>
        <v/>
      </c>
      <c r="T1449">
        <f>_xlfn.NUMBERVALUE("0.000853")</f>
        <v/>
      </c>
      <c r="U1449">
        <f>_xlfn.NUMBERVALUE("0.001738")</f>
        <v/>
      </c>
      <c r="V1449">
        <f>_xlfn.NUMBERVALUE("0.000037")</f>
        <v/>
      </c>
      <c r="W1449">
        <f>_xlfn.NUMBERVALUE("0.005377")</f>
        <v/>
      </c>
      <c r="X1449">
        <f>_xlfn.NUMBERVALUE("0.100000")</f>
        <v/>
      </c>
      <c r="Y1449">
        <f>_xlfn.NUMBERVALUE("26.370000")</f>
        <v/>
      </c>
    </row>
    <row r="1450">
      <c r="A1450" s="1" t="n">
        <v>44105</v>
      </c>
      <c r="B1450">
        <f>_xlfn.NUMBERVALUE("-0.001786")</f>
        <v/>
      </c>
      <c r="C1450" s="2">
        <f>_xlfn.NUMBERVALUE("0.000069")</f>
        <v/>
      </c>
      <c r="D1450">
        <f>_xlfn.NUMBERVALUE("0.001386")</f>
        <v/>
      </c>
      <c r="E1450">
        <f>_xlfn.NUMBERVALUE("0.000461")</f>
        <v/>
      </c>
      <c r="F1450">
        <f>_xlfn.NUMBERVALUE("0.000934")</f>
        <v/>
      </c>
      <c r="G1450">
        <f>_xlfn.NUMBERVALUE("0.001073")</f>
        <v/>
      </c>
      <c r="H1450">
        <f>_xlfn.NUMBERVALUE("0.001012")</f>
        <v/>
      </c>
      <c r="I1450">
        <f>_xlfn.NUMBERVALUE("0.000163")</f>
        <v/>
      </c>
      <c r="J1450">
        <f>_xlfn.NUMBERVALUE("0.000899")</f>
        <v/>
      </c>
      <c r="K1450">
        <f>_xlfn.NUMBERVALUE("0.000401")</f>
        <v/>
      </c>
      <c r="L1450">
        <f>_xlfn.NUMBERVALUE("0.002212")</f>
        <v/>
      </c>
      <c r="M1450">
        <f>_xlfn.NUMBERVALUE("0.000230")</f>
        <v/>
      </c>
      <c r="N1450">
        <f>_xlfn.NUMBERVALUE("-0.002943")</f>
        <v/>
      </c>
      <c r="O1450">
        <f>_xlfn.NUMBERVALUE("-0.000726")</f>
        <v/>
      </c>
      <c r="P1450">
        <f>_xlfn.NUMBERVALUE("0.001828")</f>
        <v/>
      </c>
      <c r="Q1450">
        <f>_xlfn.NUMBERVALUE("0.001063")</f>
        <v/>
      </c>
      <c r="R1450">
        <f>_xlfn.NUMBERVALUE("0.000122")</f>
        <v/>
      </c>
      <c r="S1450">
        <f>_xlfn.NUMBERVALUE("0.001098")</f>
        <v/>
      </c>
      <c r="T1450">
        <f>_xlfn.NUMBERVALUE("-0.001604")</f>
        <v/>
      </c>
      <c r="U1450">
        <f>_xlfn.NUMBERVALUE("-0.000061")</f>
        <v/>
      </c>
      <c r="V1450">
        <f>_xlfn.NUMBERVALUE("-0.000001")</f>
        <v/>
      </c>
      <c r="W1450">
        <f>_xlfn.NUMBERVALUE("0.003496")</f>
        <v/>
      </c>
      <c r="X1450">
        <f>_xlfn.NUMBERVALUE("0.330000")</f>
        <v/>
      </c>
      <c r="Y1450">
        <f>_xlfn.NUMBERVALUE("26.700000")</f>
        <v/>
      </c>
    </row>
    <row r="1451">
      <c r="A1451" s="1" t="n">
        <v>44106</v>
      </c>
      <c r="B1451">
        <f>_xlfn.NUMBERVALUE("0.003277")</f>
        <v/>
      </c>
      <c r="C1451" s="2">
        <f>_xlfn.NUMBERVALUE("0.000001")</f>
        <v/>
      </c>
      <c r="D1451">
        <f>_xlfn.NUMBERVALUE("-0.000029")</f>
        <v/>
      </c>
      <c r="E1451">
        <f>_xlfn.NUMBERVALUE("0.000028")</f>
        <v/>
      </c>
      <c r="F1451">
        <f>_xlfn.NUMBERVALUE("0.000297")</f>
        <v/>
      </c>
      <c r="G1451">
        <f>_xlfn.NUMBERVALUE("0.000117")</f>
        <v/>
      </c>
      <c r="H1451">
        <f>_xlfn.NUMBERVALUE("0.000372")</f>
        <v/>
      </c>
      <c r="I1451">
        <f>_xlfn.NUMBERVALUE("0.000231")</f>
        <v/>
      </c>
      <c r="J1451">
        <f>_xlfn.NUMBERVALUE("0.000001")</f>
        <v/>
      </c>
      <c r="K1451">
        <f>_xlfn.NUMBERVALUE("-0.000000")</f>
        <v/>
      </c>
      <c r="L1451">
        <f>_xlfn.NUMBERVALUE("0.001408")</f>
        <v/>
      </c>
      <c r="M1451">
        <f>_xlfn.NUMBERVALUE("0.001392")</f>
        <v/>
      </c>
      <c r="N1451">
        <f>_xlfn.NUMBERVALUE("-0.000921")</f>
        <v/>
      </c>
      <c r="O1451">
        <f>_xlfn.NUMBERVALUE("0.000135")</f>
        <v/>
      </c>
      <c r="P1451">
        <f>_xlfn.NUMBERVALUE("0.002440")</f>
        <v/>
      </c>
      <c r="Q1451">
        <f>_xlfn.NUMBERVALUE("0.000566")</f>
        <v/>
      </c>
      <c r="R1451">
        <f>_xlfn.NUMBERVALUE("0.003153")</f>
        <v/>
      </c>
      <c r="S1451">
        <f>_xlfn.NUMBERVALUE("0.001966")</f>
        <v/>
      </c>
      <c r="T1451">
        <f>_xlfn.NUMBERVALUE("-0.002598")</f>
        <v/>
      </c>
      <c r="U1451">
        <f>_xlfn.NUMBERVALUE("0.003158")</f>
        <v/>
      </c>
      <c r="V1451">
        <f>_xlfn.NUMBERVALUE("0.000020")</f>
        <v/>
      </c>
      <c r="W1451">
        <f>_xlfn.NUMBERVALUE("-0.001652")</f>
        <v/>
      </c>
      <c r="X1451">
        <f>_xlfn.NUMBERVALUE("0.930000")</f>
        <v/>
      </c>
      <c r="Y1451">
        <f>_xlfn.NUMBERVALUE("27.630000")</f>
        <v/>
      </c>
    </row>
    <row r="1452">
      <c r="A1452" s="1" t="n">
        <v>44109</v>
      </c>
      <c r="B1452">
        <f>_xlfn.NUMBERVALUE("0.001171")</f>
        <v/>
      </c>
      <c r="C1452" s="2">
        <f>_xlfn.NUMBERVALUE("0.001113")</f>
        <v/>
      </c>
      <c r="D1452">
        <f>_xlfn.NUMBERVALUE("0.001621")</f>
        <v/>
      </c>
      <c r="E1452">
        <f>_xlfn.NUMBERVALUE("0.000776")</f>
        <v/>
      </c>
      <c r="F1452">
        <f>_xlfn.NUMBERVALUE("0.002994")</f>
        <v/>
      </c>
      <c r="G1452">
        <f>_xlfn.NUMBERVALUE("0.001594")</f>
        <v/>
      </c>
      <c r="H1452">
        <f>_xlfn.NUMBERVALUE("-0.005326")</f>
        <v/>
      </c>
      <c r="I1452">
        <f>_xlfn.NUMBERVALUE("-0.000122")</f>
        <v/>
      </c>
      <c r="J1452">
        <f>_xlfn.NUMBERVALUE("0.002052")</f>
        <v/>
      </c>
      <c r="K1452">
        <f>_xlfn.NUMBERVALUE("0.005842")</f>
        <v/>
      </c>
      <c r="L1452">
        <f>_xlfn.NUMBERVALUE("-0.001516")</f>
        <v/>
      </c>
      <c r="M1452">
        <f>_xlfn.NUMBERVALUE("0.002252")</f>
        <v/>
      </c>
      <c r="N1452">
        <f>_xlfn.NUMBERVALUE("0.003965")</f>
        <v/>
      </c>
      <c r="O1452">
        <f>_xlfn.NUMBERVALUE("0.000191")</f>
        <v/>
      </c>
      <c r="P1452">
        <f>_xlfn.NUMBERVALUE("0.006237")</f>
        <v/>
      </c>
      <c r="Q1452">
        <f>_xlfn.NUMBERVALUE("0.001990")</f>
        <v/>
      </c>
      <c r="R1452">
        <f>_xlfn.NUMBERVALUE("0.002958")</f>
        <v/>
      </c>
      <c r="S1452">
        <f>_xlfn.NUMBERVALUE("0.004540")</f>
        <v/>
      </c>
      <c r="T1452">
        <f>_xlfn.NUMBERVALUE("-0.000093")</f>
        <v/>
      </c>
      <c r="U1452">
        <f>_xlfn.NUMBERVALUE("0.002343")</f>
        <v/>
      </c>
      <c r="V1452">
        <f>_xlfn.NUMBERVALUE("0.000164")</f>
        <v/>
      </c>
      <c r="W1452">
        <f>_xlfn.NUMBERVALUE("0.014249")</f>
        <v/>
      </c>
      <c r="X1452">
        <f>_xlfn.NUMBERVALUE("0.330000")</f>
        <v/>
      </c>
      <c r="Y1452">
        <f>_xlfn.NUMBERVALUE("27.960000")</f>
        <v/>
      </c>
    </row>
    <row r="1453">
      <c r="A1453" s="1" t="n">
        <v>44110</v>
      </c>
      <c r="B1453">
        <f>_xlfn.NUMBERVALUE("0.000780")</f>
        <v/>
      </c>
      <c r="C1453" s="2">
        <f>_xlfn.NUMBERVALUE("0.000436")</f>
        <v/>
      </c>
      <c r="D1453">
        <f>_xlfn.NUMBERVALUE("-0.000307")</f>
        <v/>
      </c>
      <c r="E1453">
        <f>_xlfn.NUMBERVALUE("-0.000665")</f>
        <v/>
      </c>
      <c r="F1453">
        <f>_xlfn.NUMBERVALUE("-0.001476")</f>
        <v/>
      </c>
      <c r="G1453">
        <f>_xlfn.NUMBERVALUE("0.000273")</f>
        <v/>
      </c>
      <c r="H1453">
        <f>_xlfn.NUMBERVALUE("0.005556")</f>
        <v/>
      </c>
      <c r="I1453">
        <f>_xlfn.NUMBERVALUE("-0.001363")</f>
        <v/>
      </c>
      <c r="J1453">
        <f>_xlfn.NUMBERVALUE("-0.000740")</f>
        <v/>
      </c>
      <c r="K1453">
        <f>_xlfn.NUMBERVALUE("-0.005617")</f>
        <v/>
      </c>
      <c r="L1453">
        <f>_xlfn.NUMBERVALUE("0.001962")</f>
        <v/>
      </c>
      <c r="M1453">
        <f>_xlfn.NUMBERVALUE("0.001742")</f>
        <v/>
      </c>
      <c r="N1453">
        <f>_xlfn.NUMBERVALUE("-0.004326")</f>
        <v/>
      </c>
      <c r="O1453">
        <f>_xlfn.NUMBERVALUE("-0.000001")</f>
        <v/>
      </c>
      <c r="P1453">
        <f>_xlfn.NUMBERVALUE("-0.000599")</f>
        <v/>
      </c>
      <c r="Q1453">
        <f>_xlfn.NUMBERVALUE("0.000826")</f>
        <v/>
      </c>
      <c r="R1453">
        <f>_xlfn.NUMBERVALUE("0.001665")</f>
        <v/>
      </c>
      <c r="S1453">
        <f>_xlfn.NUMBERVALUE("0.001866")</f>
        <v/>
      </c>
      <c r="T1453">
        <f>_xlfn.NUMBERVALUE("-0.000040")</f>
        <v/>
      </c>
      <c r="U1453">
        <f>_xlfn.NUMBERVALUE("0.000169")</f>
        <v/>
      </c>
      <c r="V1453">
        <f>_xlfn.NUMBERVALUE("0.000236")</f>
        <v/>
      </c>
      <c r="W1453">
        <f>_xlfn.NUMBERVALUE("-0.012635")</f>
        <v/>
      </c>
      <c r="X1453">
        <f>_xlfn.NUMBERVALUE("1.520000")</f>
        <v/>
      </c>
      <c r="Y1453">
        <f>_xlfn.NUMBERVALUE("29.480000")</f>
        <v/>
      </c>
    </row>
    <row r="1454">
      <c r="A1454" s="1" t="n">
        <v>44111</v>
      </c>
      <c r="B1454">
        <f>_xlfn.NUMBERVALUE("-0.003969")</f>
        <v/>
      </c>
      <c r="C1454" s="2">
        <f>_xlfn.NUMBERVALUE("-0.001099")</f>
        <v/>
      </c>
      <c r="D1454">
        <f>_xlfn.NUMBERVALUE("0.002711")</f>
        <v/>
      </c>
      <c r="E1454">
        <f>_xlfn.NUMBERVALUE("0.001484")</f>
        <v/>
      </c>
      <c r="F1454">
        <f>_xlfn.NUMBERVALUE("0.000252")</f>
        <v/>
      </c>
      <c r="G1454">
        <f>_xlfn.NUMBERVALUE("0.001019")</f>
        <v/>
      </c>
      <c r="H1454">
        <f>_xlfn.NUMBERVALUE("0.000763")</f>
        <v/>
      </c>
      <c r="I1454">
        <f>_xlfn.NUMBERVALUE("-0.001060")</f>
        <v/>
      </c>
      <c r="J1454">
        <f>_xlfn.NUMBERVALUE("0.000657")</f>
        <v/>
      </c>
      <c r="K1454">
        <f>_xlfn.NUMBERVALUE("0.003000")</f>
        <v/>
      </c>
      <c r="L1454">
        <f>_xlfn.NUMBERVALUE("-0.000443")</f>
        <v/>
      </c>
      <c r="M1454">
        <f>_xlfn.NUMBERVALUE("-0.013034")</f>
        <v/>
      </c>
      <c r="N1454">
        <f>_xlfn.NUMBERVALUE("0.004284")</f>
        <v/>
      </c>
      <c r="O1454">
        <f>_xlfn.NUMBERVALUE("0.000000")</f>
        <v/>
      </c>
      <c r="P1454">
        <f>_xlfn.NUMBERVALUE("0.004424")</f>
        <v/>
      </c>
      <c r="Q1454">
        <f>_xlfn.NUMBERVALUE("-0.003878")</f>
        <v/>
      </c>
      <c r="R1454">
        <f>_xlfn.NUMBERVALUE("-0.003773")</f>
        <v/>
      </c>
      <c r="S1454">
        <f>_xlfn.NUMBERVALUE("-0.004478")</f>
        <v/>
      </c>
      <c r="T1454">
        <f>_xlfn.NUMBERVALUE("-0.000003")</f>
        <v/>
      </c>
      <c r="U1454">
        <f>_xlfn.NUMBERVALUE("-0.006560")</f>
        <v/>
      </c>
      <c r="V1454">
        <f>_xlfn.NUMBERVALUE("-0.000132")</f>
        <v/>
      </c>
      <c r="W1454">
        <f>_xlfn.NUMBERVALUE("0.017301")</f>
        <v/>
      </c>
      <c r="X1454">
        <f>_xlfn.NUMBERVALUE("-1.420000")</f>
        <v/>
      </c>
      <c r="Y1454">
        <f>_xlfn.NUMBERVALUE("28.060000")</f>
        <v/>
      </c>
    </row>
    <row r="1455">
      <c r="A1455" s="1" t="n">
        <v>44112</v>
      </c>
      <c r="B1455">
        <f>_xlfn.NUMBERVALUE("0.000546")</f>
        <v/>
      </c>
      <c r="C1455" s="2">
        <f>_xlfn.NUMBERVALUE("0.002340")</f>
        <v/>
      </c>
      <c r="D1455">
        <f>_xlfn.NUMBERVALUE("-0.001182")</f>
        <v/>
      </c>
      <c r="E1455">
        <f>_xlfn.NUMBERVALUE("0.002230")</f>
        <v/>
      </c>
      <c r="F1455">
        <f>_xlfn.NUMBERVALUE("0.003943")</f>
        <v/>
      </c>
      <c r="G1455">
        <f>_xlfn.NUMBERVALUE("0.000981")</f>
        <v/>
      </c>
      <c r="H1455">
        <f>_xlfn.NUMBERVALUE("0.000837")</f>
        <v/>
      </c>
      <c r="I1455">
        <f>_xlfn.NUMBERVALUE("0.001701")</f>
        <v/>
      </c>
      <c r="J1455">
        <f>_xlfn.NUMBERVALUE("0.002250")</f>
        <v/>
      </c>
      <c r="K1455">
        <f>_xlfn.NUMBERVALUE("0.006742")</f>
        <v/>
      </c>
      <c r="L1455">
        <f>_xlfn.NUMBERVALUE("0.003244")</f>
        <v/>
      </c>
      <c r="M1455">
        <f>_xlfn.NUMBERVALUE("0.000228")</f>
        <v/>
      </c>
      <c r="N1455">
        <f>_xlfn.NUMBERVALUE("0.000679")</f>
        <v/>
      </c>
      <c r="O1455">
        <f>_xlfn.NUMBERVALUE("-0.008264")</f>
        <v/>
      </c>
      <c r="P1455">
        <f>_xlfn.NUMBERVALUE("0.000657")</f>
        <v/>
      </c>
      <c r="Q1455">
        <f>_xlfn.NUMBERVALUE("0.001539")</f>
        <v/>
      </c>
      <c r="R1455">
        <f>_xlfn.NUMBERVALUE("0.003360")</f>
        <v/>
      </c>
      <c r="S1455">
        <f>_xlfn.NUMBERVALUE("0.002821")</f>
        <v/>
      </c>
      <c r="T1455">
        <f>_xlfn.NUMBERVALUE("0.000108")</f>
        <v/>
      </c>
      <c r="U1455">
        <f>_xlfn.NUMBERVALUE("0.001077")</f>
        <v/>
      </c>
      <c r="V1455">
        <f>_xlfn.NUMBERVALUE("0.002118")</f>
        <v/>
      </c>
      <c r="W1455">
        <f>_xlfn.NUMBERVALUE("0.007389")</f>
        <v/>
      </c>
      <c r="X1455">
        <f>_xlfn.NUMBERVALUE("-1.700000")</f>
        <v/>
      </c>
      <c r="Y1455">
        <f>_xlfn.NUMBERVALUE("26.360000")</f>
        <v/>
      </c>
    </row>
    <row r="1456">
      <c r="A1456" s="1" t="n">
        <v>44113</v>
      </c>
      <c r="B1456">
        <f>_xlfn.NUMBERVALUE("-0.000140")</f>
        <v/>
      </c>
      <c r="C1456" s="2">
        <f>_xlfn.NUMBERVALUE("0.002746")</f>
        <v/>
      </c>
      <c r="D1456">
        <f>_xlfn.NUMBERVALUE("0.003324")</f>
        <v/>
      </c>
      <c r="E1456">
        <f>_xlfn.NUMBERVALUE("0.002499")</f>
        <v/>
      </c>
      <c r="F1456">
        <f>_xlfn.NUMBERVALUE("-0.003297")</f>
        <v/>
      </c>
      <c r="G1456">
        <f>_xlfn.NUMBERVALUE("0.000386")</f>
        <v/>
      </c>
      <c r="H1456">
        <f>_xlfn.NUMBERVALUE("-0.001028")</f>
        <v/>
      </c>
      <c r="I1456">
        <f>_xlfn.NUMBERVALUE("0.002339")</f>
        <v/>
      </c>
      <c r="J1456">
        <f>_xlfn.NUMBERVALUE("0.001082")</f>
        <v/>
      </c>
      <c r="K1456">
        <f>_xlfn.NUMBERVALUE("-0.017466")</f>
        <v/>
      </c>
      <c r="L1456">
        <f>_xlfn.NUMBERVALUE("0.000865")</f>
        <v/>
      </c>
      <c r="M1456">
        <f>_xlfn.NUMBERVALUE("0.002603")</f>
        <v/>
      </c>
      <c r="N1456">
        <f>_xlfn.NUMBERVALUE("0.001303")</f>
        <v/>
      </c>
      <c r="O1456">
        <f>_xlfn.NUMBERVALUE("0.005834")</f>
        <v/>
      </c>
      <c r="P1456">
        <f>_xlfn.NUMBERVALUE("0.003905")</f>
        <v/>
      </c>
      <c r="Q1456">
        <f>_xlfn.NUMBERVALUE("0.003355")</f>
        <v/>
      </c>
      <c r="R1456">
        <f>_xlfn.NUMBERVALUE("0.004124")</f>
        <v/>
      </c>
      <c r="S1456">
        <f>_xlfn.NUMBERVALUE("0.000137")</f>
        <v/>
      </c>
      <c r="T1456">
        <f>_xlfn.NUMBERVALUE("0.000375")</f>
        <v/>
      </c>
      <c r="U1456">
        <f>_xlfn.NUMBERVALUE("0.001180")</f>
        <v/>
      </c>
      <c r="V1456">
        <f>_xlfn.NUMBERVALUE("0.002013")</f>
        <v/>
      </c>
      <c r="W1456">
        <f>_xlfn.NUMBERVALUE("0.008557")</f>
        <v/>
      </c>
      <c r="X1456">
        <f>_xlfn.NUMBERVALUE("-1.360000")</f>
        <v/>
      </c>
      <c r="Y1456">
        <f>_xlfn.NUMBERVALUE("25.000000")</f>
        <v/>
      </c>
    </row>
    <row r="1457">
      <c r="A1457" s="1" t="n">
        <v>44116</v>
      </c>
      <c r="B1457">
        <f>_xlfn.NUMBERVALUE("0.000209")</f>
        <v/>
      </c>
      <c r="C1457" s="2">
        <f>_xlfn.NUMBERVALUE("0.000473")</f>
        <v/>
      </c>
      <c r="D1457">
        <f>_xlfn.NUMBERVALUE("0.000440")</f>
        <v/>
      </c>
      <c r="E1457">
        <f>_xlfn.NUMBERVALUE("0.000909")</f>
        <v/>
      </c>
      <c r="F1457">
        <f>_xlfn.NUMBERVALUE("0.002167")</f>
        <v/>
      </c>
      <c r="G1457">
        <f>_xlfn.NUMBERVALUE("0.000366")</f>
        <v/>
      </c>
      <c r="H1457">
        <f>_xlfn.NUMBERVALUE("0.002291")</f>
        <v/>
      </c>
      <c r="I1457">
        <f>_xlfn.NUMBERVALUE("0.000710")</f>
        <v/>
      </c>
      <c r="J1457">
        <f>_xlfn.NUMBERVALUE("-0.000133")</f>
        <v/>
      </c>
      <c r="K1457">
        <f>_xlfn.NUMBERVALUE("0.006929")</f>
        <v/>
      </c>
      <c r="L1457">
        <f>_xlfn.NUMBERVALUE("0.001209")</f>
        <v/>
      </c>
      <c r="M1457">
        <f>_xlfn.NUMBERVALUE("0.003229")</f>
        <v/>
      </c>
      <c r="N1457">
        <f>_xlfn.NUMBERVALUE("-0.011438")</f>
        <v/>
      </c>
      <c r="O1457">
        <f>_xlfn.NUMBERVALUE("0.003137")</f>
        <v/>
      </c>
      <c r="P1457">
        <f>_xlfn.NUMBERVALUE("0.000679")</f>
        <v/>
      </c>
      <c r="Q1457">
        <f>_xlfn.NUMBERVALUE("0.001785")</f>
        <v/>
      </c>
      <c r="R1457">
        <f>_xlfn.NUMBERVALUE("-0.006766")</f>
        <v/>
      </c>
      <c r="S1457">
        <f>_xlfn.NUMBERVALUE("0.000820")</f>
        <v/>
      </c>
      <c r="T1457">
        <f>_xlfn.NUMBERVALUE("0.003644")</f>
        <v/>
      </c>
      <c r="U1457">
        <f>_xlfn.NUMBERVALUE("0.000847")</f>
        <v/>
      </c>
      <c r="V1457">
        <f>_xlfn.NUMBERVALUE("-0.002904")</f>
        <v/>
      </c>
      <c r="W1457">
        <f>_xlfn.NUMBERVALUE("0.017950")</f>
        <v/>
      </c>
      <c r="X1457">
        <f>_xlfn.NUMBERVALUE("0.070000")</f>
        <v/>
      </c>
      <c r="Y1457">
        <f>_xlfn.NUMBERVALUE("25.070000")</f>
        <v/>
      </c>
    </row>
    <row r="1458">
      <c r="A1458" s="1" t="n">
        <v>44117</v>
      </c>
      <c r="B1458">
        <f>_xlfn.NUMBERVALUE("-0.000202")</f>
        <v/>
      </c>
      <c r="C1458" s="2">
        <f>_xlfn.NUMBERVALUE("-0.000114")</f>
        <v/>
      </c>
      <c r="D1458">
        <f>_xlfn.NUMBERVALUE("0.000249")</f>
        <v/>
      </c>
      <c r="E1458">
        <f>_xlfn.NUMBERVALUE("0.000102")</f>
        <v/>
      </c>
      <c r="F1458">
        <f>_xlfn.NUMBERVALUE("-0.002593")</f>
        <v/>
      </c>
      <c r="G1458">
        <f>_xlfn.NUMBERVALUE("-0.000034")</f>
        <v/>
      </c>
      <c r="H1458">
        <f>_xlfn.NUMBERVALUE("0.000017")</f>
        <v/>
      </c>
      <c r="I1458">
        <f>_xlfn.NUMBERVALUE("0.002074")</f>
        <v/>
      </c>
      <c r="J1458">
        <f>_xlfn.NUMBERVALUE("0.000218")</f>
        <v/>
      </c>
      <c r="K1458">
        <f>_xlfn.NUMBERVALUE("-0.005685")</f>
        <v/>
      </c>
      <c r="L1458">
        <f>_xlfn.NUMBERVALUE("0.001614")</f>
        <v/>
      </c>
      <c r="M1458">
        <f>_xlfn.NUMBERVALUE("0.000328")</f>
        <v/>
      </c>
      <c r="N1458">
        <f>_xlfn.NUMBERVALUE("0.002738")</f>
        <v/>
      </c>
      <c r="O1458">
        <f>_xlfn.NUMBERVALUE("0.002557")</f>
        <v/>
      </c>
      <c r="P1458">
        <f>_xlfn.NUMBERVALUE("0.000345")</f>
        <v/>
      </c>
      <c r="Q1458">
        <f>_xlfn.NUMBERVALUE("0.001426")</f>
        <v/>
      </c>
      <c r="R1458">
        <f>_xlfn.NUMBERVALUE("-0.000144")</f>
        <v/>
      </c>
      <c r="S1458">
        <f>_xlfn.NUMBERVALUE("0.000305")</f>
        <v/>
      </c>
      <c r="T1458">
        <f>_xlfn.NUMBERVALUE("-0.001214")</f>
        <v/>
      </c>
      <c r="U1458">
        <f>_xlfn.NUMBERVALUE("-0.000013")</f>
        <v/>
      </c>
      <c r="V1458">
        <f>_xlfn.NUMBERVALUE("0.000483")</f>
        <v/>
      </c>
      <c r="W1458">
        <f>_xlfn.NUMBERVALUE("-0.004621")</f>
        <v/>
      </c>
      <c r="X1458">
        <f>_xlfn.NUMBERVALUE("1.000000")</f>
        <v/>
      </c>
      <c r="Y1458">
        <f>_xlfn.NUMBERVALUE("26.070000")</f>
        <v/>
      </c>
    </row>
    <row r="1459">
      <c r="A1459" s="1" t="n">
        <v>44118</v>
      </c>
      <c r="B1459">
        <f>_xlfn.NUMBERVALUE("0.002164")</f>
        <v/>
      </c>
      <c r="C1459" s="2">
        <f>_xlfn.NUMBERVALUE("0.000652")</f>
        <v/>
      </c>
      <c r="D1459">
        <f>_xlfn.NUMBERVALUE("0.001588")</f>
        <v/>
      </c>
      <c r="E1459">
        <f>_xlfn.NUMBERVALUE("0.000943")</f>
        <v/>
      </c>
      <c r="F1459">
        <f>_xlfn.NUMBERVALUE("0.002697")</f>
        <v/>
      </c>
      <c r="G1459">
        <f>_xlfn.NUMBERVALUE("0.000855")</f>
        <v/>
      </c>
      <c r="H1459">
        <f>_xlfn.NUMBERVALUE("-0.005558")</f>
        <v/>
      </c>
      <c r="I1459">
        <f>_xlfn.NUMBERVALUE("0.001155")</f>
        <v/>
      </c>
      <c r="J1459">
        <f>_xlfn.NUMBERVALUE("-0.000064")</f>
        <v/>
      </c>
      <c r="K1459">
        <f>_xlfn.NUMBERVALUE("0.005878")</f>
        <v/>
      </c>
      <c r="L1459">
        <f>_xlfn.NUMBERVALUE("0.000542")</f>
        <v/>
      </c>
      <c r="M1459">
        <f>_xlfn.NUMBERVALUE("0.000535")</f>
        <v/>
      </c>
      <c r="N1459">
        <f>_xlfn.NUMBERVALUE("0.003612")</f>
        <v/>
      </c>
      <c r="O1459">
        <f>_xlfn.NUMBERVALUE("0.000239")</f>
        <v/>
      </c>
      <c r="P1459">
        <f>_xlfn.NUMBERVALUE("0.002039")</f>
        <v/>
      </c>
      <c r="Q1459">
        <f>_xlfn.NUMBERVALUE("0.000749")</f>
        <v/>
      </c>
      <c r="R1459">
        <f>_xlfn.NUMBERVALUE("-0.000126")</f>
        <v/>
      </c>
      <c r="S1459">
        <f>_xlfn.NUMBERVALUE("0.000870")</f>
        <v/>
      </c>
      <c r="T1459">
        <f>_xlfn.NUMBERVALUE("0.001139")</f>
        <v/>
      </c>
      <c r="U1459">
        <f>_xlfn.NUMBERVALUE("0.000587")</f>
        <v/>
      </c>
      <c r="V1459">
        <f>_xlfn.NUMBERVALUE("0.000869")</f>
        <v/>
      </c>
      <c r="W1459">
        <f>_xlfn.NUMBERVALUE("-0.006722")</f>
        <v/>
      </c>
      <c r="X1459">
        <f>_xlfn.NUMBERVALUE("0.330000")</f>
        <v/>
      </c>
      <c r="Y1459">
        <f>_xlfn.NUMBERVALUE("26.400000")</f>
        <v/>
      </c>
    </row>
    <row r="1460">
      <c r="A1460" s="1" t="n">
        <v>44119</v>
      </c>
      <c r="B1460">
        <f>_xlfn.NUMBERVALUE("0.010909")</f>
        <v/>
      </c>
      <c r="C1460" s="2">
        <f>_xlfn.NUMBERVALUE("0.001636")</f>
        <v/>
      </c>
      <c r="D1460">
        <f>_xlfn.NUMBERVALUE("-0.000246")</f>
        <v/>
      </c>
      <c r="E1460">
        <f>_xlfn.NUMBERVALUE("-0.000843")</f>
        <v/>
      </c>
      <c r="F1460">
        <f>_xlfn.NUMBERVALUE("0.001593")</f>
        <v/>
      </c>
      <c r="G1460">
        <f>_xlfn.NUMBERVALUE("0.000908")</f>
        <v/>
      </c>
      <c r="H1460">
        <f>_xlfn.NUMBERVALUE("-0.001322")</f>
        <v/>
      </c>
      <c r="I1460">
        <f>_xlfn.NUMBERVALUE("0.000521")</f>
        <v/>
      </c>
      <c r="J1460">
        <f>_xlfn.NUMBERVALUE("0.000732")</f>
        <v/>
      </c>
      <c r="K1460">
        <f>_xlfn.NUMBERVALUE("0.002173")</f>
        <v/>
      </c>
      <c r="L1460">
        <f>_xlfn.NUMBERVALUE("-0.000550")</f>
        <v/>
      </c>
      <c r="M1460">
        <f>_xlfn.NUMBERVALUE("0.000090")</f>
        <v/>
      </c>
      <c r="N1460">
        <f>_xlfn.NUMBERVALUE("0.001112")</f>
        <v/>
      </c>
      <c r="O1460">
        <f>_xlfn.NUMBERVALUE("0.000473")</f>
        <v/>
      </c>
      <c r="P1460">
        <f>_xlfn.NUMBERVALUE("-0.000824")</f>
        <v/>
      </c>
      <c r="Q1460">
        <f>_xlfn.NUMBERVALUE("0.000397")</f>
        <v/>
      </c>
      <c r="R1460">
        <f>_xlfn.NUMBERVALUE("0.004100")</f>
        <v/>
      </c>
      <c r="S1460">
        <f>_xlfn.NUMBERVALUE("0.000079")</f>
        <v/>
      </c>
      <c r="T1460">
        <f>_xlfn.NUMBERVALUE("-0.000562")</f>
        <v/>
      </c>
      <c r="U1460">
        <f>_xlfn.NUMBERVALUE("0.000630")</f>
        <v/>
      </c>
      <c r="V1460">
        <f>_xlfn.NUMBERVALUE("0.001021")</f>
        <v/>
      </c>
      <c r="W1460">
        <f>_xlfn.NUMBERVALUE("-0.003126")</f>
        <v/>
      </c>
      <c r="X1460">
        <f>_xlfn.NUMBERVALUE("0.570000")</f>
        <v/>
      </c>
      <c r="Y1460">
        <f>_xlfn.NUMBERVALUE("26.970000")</f>
        <v/>
      </c>
    </row>
    <row r="1461">
      <c r="A1461" s="1" t="n">
        <v>44120</v>
      </c>
      <c r="B1461">
        <f>_xlfn.NUMBERVALUE("0.000000")</f>
        <v/>
      </c>
      <c r="C1461" s="2">
        <f>_xlfn.NUMBERVALUE("0.000621")</f>
        <v/>
      </c>
      <c r="D1461">
        <f>_xlfn.NUMBERVALUE("0.001292")</f>
        <v/>
      </c>
      <c r="E1461">
        <f>_xlfn.NUMBERVALUE("0.000278")</f>
        <v/>
      </c>
      <c r="F1461">
        <f>_xlfn.NUMBERVALUE("0.003177")</f>
        <v/>
      </c>
      <c r="G1461">
        <f>_xlfn.NUMBERVALUE("-0.000062")</f>
        <v/>
      </c>
      <c r="H1461">
        <f>_xlfn.NUMBERVALUE("-0.000199")</f>
        <v/>
      </c>
      <c r="I1461">
        <f>_xlfn.NUMBERVALUE("0.001240")</f>
        <v/>
      </c>
      <c r="J1461">
        <f>_xlfn.NUMBERVALUE("0.001521")</f>
        <v/>
      </c>
      <c r="K1461">
        <f>_xlfn.NUMBERVALUE("0.006517")</f>
        <v/>
      </c>
      <c r="L1461">
        <f>_xlfn.NUMBERVALUE("0.001614")</f>
        <v/>
      </c>
      <c r="M1461">
        <f>_xlfn.NUMBERVALUE("0.005469")</f>
        <v/>
      </c>
      <c r="N1461">
        <f>_xlfn.NUMBERVALUE("0.000850")</f>
        <v/>
      </c>
      <c r="O1461">
        <f>_xlfn.NUMBERVALUE("0.002677")</f>
        <v/>
      </c>
      <c r="P1461">
        <f>_xlfn.NUMBERVALUE("0.002456")</f>
        <v/>
      </c>
      <c r="Q1461">
        <f>_xlfn.NUMBERVALUE("0.000643")</f>
        <v/>
      </c>
      <c r="R1461">
        <f>_xlfn.NUMBERVALUE("0.001003")</f>
        <v/>
      </c>
      <c r="S1461">
        <f>_xlfn.NUMBERVALUE("0.001441")</f>
        <v/>
      </c>
      <c r="T1461">
        <f>_xlfn.NUMBERVALUE("0.000338")</f>
        <v/>
      </c>
      <c r="U1461">
        <f>_xlfn.NUMBERVALUE("0.001859")</f>
        <v/>
      </c>
      <c r="V1461">
        <f>_xlfn.NUMBERVALUE("0.001239")</f>
        <v/>
      </c>
      <c r="W1461">
        <f>_xlfn.NUMBERVALUE("0.002330")</f>
        <v/>
      </c>
      <c r="X1461">
        <f>_xlfn.NUMBERVALUE("0.440000")</f>
        <v/>
      </c>
      <c r="Y1461">
        <f>_xlfn.NUMBERVALUE("27.410000")</f>
        <v/>
      </c>
    </row>
    <row r="1462">
      <c r="A1462" s="1" t="n">
        <v>44123</v>
      </c>
      <c r="B1462">
        <f>_xlfn.NUMBERVALUE("0.000000")</f>
        <v/>
      </c>
      <c r="C1462" s="2">
        <f>_xlfn.NUMBERVALUE("-0.000465")</f>
        <v/>
      </c>
      <c r="D1462">
        <f>_xlfn.NUMBERVALUE("0.000711")</f>
        <v/>
      </c>
      <c r="E1462">
        <f>_xlfn.NUMBERVALUE("0.001003")</f>
        <v/>
      </c>
      <c r="F1462">
        <f>_xlfn.NUMBERVALUE("0.001086")</f>
        <v/>
      </c>
      <c r="G1462">
        <f>_xlfn.NUMBERVALUE("0.001271")</f>
        <v/>
      </c>
      <c r="H1462">
        <f>_xlfn.NUMBERVALUE("0.004620")</f>
        <v/>
      </c>
      <c r="I1462">
        <f>_xlfn.NUMBERVALUE("0.001110")</f>
        <v/>
      </c>
      <c r="J1462">
        <f>_xlfn.NUMBERVALUE("0.001025")</f>
        <v/>
      </c>
      <c r="K1462">
        <f>_xlfn.NUMBERVALUE("0.005104")</f>
        <v/>
      </c>
      <c r="L1462">
        <f>_xlfn.NUMBERVALUE("-0.000513")</f>
        <v/>
      </c>
      <c r="M1462">
        <f>_xlfn.NUMBERVALUE("-0.002799")</f>
        <v/>
      </c>
      <c r="N1462">
        <f>_xlfn.NUMBERVALUE("0.001993")</f>
        <v/>
      </c>
      <c r="O1462">
        <f>_xlfn.NUMBERVALUE("0.002805")</f>
        <v/>
      </c>
      <c r="P1462">
        <f>_xlfn.NUMBERVALUE("0.001610")</f>
        <v/>
      </c>
      <c r="Q1462">
        <f>_xlfn.NUMBERVALUE("0.000549")</f>
        <v/>
      </c>
      <c r="R1462">
        <f>_xlfn.NUMBERVALUE("0.000146")</f>
        <v/>
      </c>
      <c r="S1462">
        <f>_xlfn.NUMBERVALUE("0.000125")</f>
        <v/>
      </c>
      <c r="T1462">
        <f>_xlfn.NUMBERVALUE("0.001863")</f>
        <v/>
      </c>
      <c r="U1462">
        <f>_xlfn.NUMBERVALUE("-0.000101")</f>
        <v/>
      </c>
      <c r="V1462">
        <f>_xlfn.NUMBERVALUE("-0.000388")</f>
        <v/>
      </c>
      <c r="W1462">
        <f>_xlfn.NUMBERVALUE("-0.018223")</f>
        <v/>
      </c>
      <c r="X1462">
        <f>_xlfn.NUMBERVALUE("1.770000")</f>
        <v/>
      </c>
      <c r="Y1462">
        <f>_xlfn.NUMBERVALUE("29.180000")</f>
        <v/>
      </c>
    </row>
    <row r="1463">
      <c r="A1463" s="1" t="n">
        <v>44124</v>
      </c>
      <c r="B1463">
        <f>_xlfn.NUMBERVALUE("0.000000")</f>
        <v/>
      </c>
      <c r="C1463" s="2">
        <f>_xlfn.NUMBERVALUE("0.000369")</f>
        <v/>
      </c>
      <c r="D1463">
        <f>_xlfn.NUMBERVALUE("-0.000832")</f>
        <v/>
      </c>
      <c r="E1463">
        <f>_xlfn.NUMBERVALUE("-0.000700")</f>
        <v/>
      </c>
      <c r="F1463">
        <f>_xlfn.NUMBERVALUE("0.001165")</f>
        <v/>
      </c>
      <c r="G1463">
        <f>_xlfn.NUMBERVALUE("-0.000657")</f>
        <v/>
      </c>
      <c r="H1463">
        <f>_xlfn.NUMBERVALUE("0.002762")</f>
        <v/>
      </c>
      <c r="I1463">
        <f>_xlfn.NUMBERVALUE("0.000957")</f>
        <v/>
      </c>
      <c r="J1463">
        <f>_xlfn.NUMBERVALUE("-0.000543")</f>
        <v/>
      </c>
      <c r="K1463">
        <f>_xlfn.NUMBERVALUE("-0.003194")</f>
        <v/>
      </c>
      <c r="L1463">
        <f>_xlfn.NUMBERVALUE("-0.001747")</f>
        <v/>
      </c>
      <c r="M1463">
        <f>_xlfn.NUMBERVALUE("0.001194")</f>
        <v/>
      </c>
      <c r="N1463">
        <f>_xlfn.NUMBERVALUE("-0.000076")</f>
        <v/>
      </c>
      <c r="O1463">
        <f>_xlfn.NUMBERVALUE("0.000914")</f>
        <v/>
      </c>
      <c r="P1463">
        <f>_xlfn.NUMBERVALUE("-0.000505")</f>
        <v/>
      </c>
      <c r="Q1463">
        <f>_xlfn.NUMBERVALUE("0.000139")</f>
        <v/>
      </c>
      <c r="R1463">
        <f>_xlfn.NUMBERVALUE("0.000667")</f>
        <v/>
      </c>
      <c r="S1463">
        <f>_xlfn.NUMBERVALUE("0.000491")</f>
        <v/>
      </c>
      <c r="T1463">
        <f>_xlfn.NUMBERVALUE("-0.001734")</f>
        <v/>
      </c>
      <c r="U1463">
        <f>_xlfn.NUMBERVALUE("-0.001613")</f>
        <v/>
      </c>
      <c r="V1463">
        <f>_xlfn.NUMBERVALUE("0.000342")</f>
        <v/>
      </c>
      <c r="W1463">
        <f>_xlfn.NUMBERVALUE("0.007103")</f>
        <v/>
      </c>
      <c r="X1463">
        <f>_xlfn.NUMBERVALUE("0.170000")</f>
        <v/>
      </c>
      <c r="Y1463">
        <f>_xlfn.NUMBERVALUE("29.350000")</f>
        <v/>
      </c>
    </row>
    <row r="1464">
      <c r="A1464" s="1" t="n">
        <v>44125</v>
      </c>
      <c r="B1464">
        <f>_xlfn.NUMBERVALUE("0.000000")</f>
        <v/>
      </c>
      <c r="C1464" s="2">
        <f>_xlfn.NUMBERVALUE("0.002379")</f>
        <v/>
      </c>
      <c r="D1464">
        <f>_xlfn.NUMBERVALUE("0.000375")</f>
        <v/>
      </c>
      <c r="E1464">
        <f>_xlfn.NUMBERVALUE("0.000477")</f>
        <v/>
      </c>
      <c r="F1464">
        <f>_xlfn.NUMBERVALUE("-0.000887")</f>
        <v/>
      </c>
      <c r="G1464">
        <f>_xlfn.NUMBERVALUE("-0.000429")</f>
        <v/>
      </c>
      <c r="H1464">
        <f>_xlfn.NUMBERVALUE("-0.000636")</f>
        <v/>
      </c>
      <c r="I1464">
        <f>_xlfn.NUMBERVALUE("0.000902")</f>
        <v/>
      </c>
      <c r="J1464">
        <f>_xlfn.NUMBERVALUE("0.000841")</f>
        <v/>
      </c>
      <c r="K1464">
        <f>_xlfn.NUMBERVALUE("-0.000770")</f>
        <v/>
      </c>
      <c r="L1464">
        <f>_xlfn.NUMBERVALUE("-0.000111")</f>
        <v/>
      </c>
      <c r="M1464">
        <f>_xlfn.NUMBERVALUE("0.001078")</f>
        <v/>
      </c>
      <c r="N1464">
        <f>_xlfn.NUMBERVALUE("-0.001428")</f>
        <v/>
      </c>
      <c r="O1464">
        <f>_xlfn.NUMBERVALUE("-0.001629")</f>
        <v/>
      </c>
      <c r="P1464">
        <f>_xlfn.NUMBERVALUE("0.000660")</f>
        <v/>
      </c>
      <c r="Q1464">
        <f>_xlfn.NUMBERVALUE("-0.000865")</f>
        <v/>
      </c>
      <c r="R1464">
        <f>_xlfn.NUMBERVALUE("0.002331")</f>
        <v/>
      </c>
      <c r="S1464">
        <f>_xlfn.NUMBERVALUE("0.000885")</f>
        <v/>
      </c>
      <c r="T1464">
        <f>_xlfn.NUMBERVALUE("0.000714")</f>
        <v/>
      </c>
      <c r="U1464">
        <f>_xlfn.NUMBERVALUE("0.001401")</f>
        <v/>
      </c>
      <c r="V1464">
        <f>_xlfn.NUMBERVALUE("0.002248")</f>
        <v/>
      </c>
      <c r="W1464">
        <f>_xlfn.NUMBERVALUE("-0.004150")</f>
        <v/>
      </c>
      <c r="X1464">
        <f>_xlfn.NUMBERVALUE("-0.700000")</f>
        <v/>
      </c>
      <c r="Y1464">
        <f>_xlfn.NUMBERVALUE("28.650000")</f>
        <v/>
      </c>
    </row>
    <row r="1465">
      <c r="A1465" s="1" t="n">
        <v>44126</v>
      </c>
      <c r="B1465">
        <f>_xlfn.NUMBERVALUE("0.000000")</f>
        <v/>
      </c>
      <c r="C1465" s="2">
        <f>_xlfn.NUMBERVALUE("0.002535")</f>
        <v/>
      </c>
      <c r="D1465">
        <f>_xlfn.NUMBERVALUE("0.001444")</f>
        <v/>
      </c>
      <c r="E1465">
        <f>_xlfn.NUMBERVALUE("0.001885")</f>
        <v/>
      </c>
      <c r="F1465">
        <f>_xlfn.NUMBERVALUE("0.000885")</f>
        <v/>
      </c>
      <c r="G1465">
        <f>_xlfn.NUMBERVALUE("0.001749")</f>
        <v/>
      </c>
      <c r="H1465">
        <f>_xlfn.NUMBERVALUE("-0.000167")</f>
        <v/>
      </c>
      <c r="I1465">
        <f>_xlfn.NUMBERVALUE("0.001261")</f>
        <v/>
      </c>
      <c r="J1465">
        <f>_xlfn.NUMBERVALUE("0.000545")</f>
        <v/>
      </c>
      <c r="K1465">
        <f>_xlfn.NUMBERVALUE("0.008353")</f>
        <v/>
      </c>
      <c r="L1465">
        <f>_xlfn.NUMBERVALUE("-0.001017")</f>
        <v/>
      </c>
      <c r="M1465">
        <f>_xlfn.NUMBERVALUE("0.001440")</f>
        <v/>
      </c>
      <c r="N1465">
        <f>_xlfn.NUMBERVALUE("0.002419")</f>
        <v/>
      </c>
      <c r="O1465">
        <f>_xlfn.NUMBERVALUE("-0.004332")</f>
        <v/>
      </c>
      <c r="P1465">
        <f>_xlfn.NUMBERVALUE("-0.002341")</f>
        <v/>
      </c>
      <c r="Q1465">
        <f>_xlfn.NUMBERVALUE("0.001901")</f>
        <v/>
      </c>
      <c r="R1465">
        <f>_xlfn.NUMBERVALUE("0.004544")</f>
        <v/>
      </c>
      <c r="S1465">
        <f>_xlfn.NUMBERVALUE("0.001024")</f>
        <v/>
      </c>
      <c r="T1465">
        <f>_xlfn.NUMBERVALUE("-0.001148")</f>
        <v/>
      </c>
      <c r="U1465">
        <f>_xlfn.NUMBERVALUE("0.001527")</f>
        <v/>
      </c>
      <c r="V1465">
        <f>_xlfn.NUMBERVALUE("0.001455")</f>
        <v/>
      </c>
      <c r="W1465">
        <f>_xlfn.NUMBERVALUE("0.004663")</f>
        <v/>
      </c>
      <c r="X1465">
        <f>_xlfn.NUMBERVALUE("-0.540000")</f>
        <v/>
      </c>
      <c r="Y1465">
        <f>_xlfn.NUMBERVALUE("28.110000")</f>
        <v/>
      </c>
    </row>
    <row r="1466">
      <c r="A1466" s="1" t="n">
        <v>44127</v>
      </c>
      <c r="B1466">
        <f>_xlfn.NUMBERVALUE("0.000000")</f>
        <v/>
      </c>
      <c r="C1466" s="2">
        <f>_xlfn.NUMBERVALUE("0.002477")</f>
        <v/>
      </c>
      <c r="D1466">
        <f>_xlfn.NUMBERVALUE("0.001341")</f>
        <v/>
      </c>
      <c r="E1466">
        <f>_xlfn.NUMBERVALUE("0.001631")</f>
        <v/>
      </c>
      <c r="F1466">
        <f>_xlfn.NUMBERVALUE("0.003273")</f>
        <v/>
      </c>
      <c r="G1466">
        <f>_xlfn.NUMBERVALUE("0.000938")</f>
        <v/>
      </c>
      <c r="H1466">
        <f>_xlfn.NUMBERVALUE("-0.000251")</f>
        <v/>
      </c>
      <c r="I1466">
        <f>_xlfn.NUMBERVALUE("0.001450")</f>
        <v/>
      </c>
      <c r="J1466">
        <f>_xlfn.NUMBERVALUE("-0.000391")</f>
        <v/>
      </c>
      <c r="K1466">
        <f>_xlfn.NUMBERVALUE("0.008121")</f>
        <v/>
      </c>
      <c r="L1466">
        <f>_xlfn.NUMBERVALUE("0.001840")</f>
        <v/>
      </c>
      <c r="M1466">
        <f>_xlfn.NUMBERVALUE("0.002436")</f>
        <v/>
      </c>
      <c r="N1466">
        <f>_xlfn.NUMBERVALUE("-0.001773")</f>
        <v/>
      </c>
      <c r="O1466">
        <f>_xlfn.NUMBERVALUE("0.005044")</f>
        <v/>
      </c>
      <c r="P1466">
        <f>_xlfn.NUMBERVALUE("0.003159")</f>
        <v/>
      </c>
      <c r="Q1466">
        <f>_xlfn.NUMBERVALUE("0.001755")</f>
        <v/>
      </c>
      <c r="R1466">
        <f>_xlfn.NUMBERVALUE("0.006303")</f>
        <v/>
      </c>
      <c r="S1466">
        <f>_xlfn.NUMBERVALUE("0.001274")</f>
        <v/>
      </c>
      <c r="T1466">
        <f>_xlfn.NUMBERVALUE("0.002586")</f>
        <v/>
      </c>
      <c r="U1466">
        <f>_xlfn.NUMBERVALUE("0.000438")</f>
        <v/>
      </c>
      <c r="V1466">
        <f>_xlfn.NUMBERVALUE("0.002681")</f>
        <v/>
      </c>
      <c r="W1466">
        <f>_xlfn.NUMBERVALUE("0.002234")</f>
        <v/>
      </c>
      <c r="X1466">
        <f>_xlfn.NUMBERVALUE("-0.560000")</f>
        <v/>
      </c>
      <c r="Y1466">
        <f>_xlfn.NUMBERVALUE("27.550000")</f>
        <v/>
      </c>
    </row>
    <row r="1467">
      <c r="A1467" s="1" t="n">
        <v>44130</v>
      </c>
      <c r="B1467">
        <f>_xlfn.NUMBERVALUE("-0.009132")</f>
        <v/>
      </c>
      <c r="C1467" s="2">
        <f>_xlfn.NUMBERVALUE("-0.010164")</f>
        <v/>
      </c>
      <c r="D1467">
        <f>_xlfn.NUMBERVALUE("-0.002320")</f>
        <v/>
      </c>
      <c r="E1467">
        <f>_xlfn.NUMBERVALUE("-0.003415")</f>
        <v/>
      </c>
      <c r="F1467">
        <f>_xlfn.NUMBERVALUE("0.001275")</f>
        <v/>
      </c>
      <c r="G1467">
        <f>_xlfn.NUMBERVALUE("-0.001709")</f>
        <v/>
      </c>
      <c r="H1467">
        <f>_xlfn.NUMBERVALUE("0.000861")</f>
        <v/>
      </c>
      <c r="I1467">
        <f>_xlfn.NUMBERVALUE("-0.003453")</f>
        <v/>
      </c>
      <c r="J1467">
        <f>_xlfn.NUMBERVALUE("0.000961")</f>
        <v/>
      </c>
      <c r="K1467">
        <f>_xlfn.NUMBERVALUE("0.004382")</f>
        <v/>
      </c>
      <c r="L1467">
        <f>_xlfn.NUMBERVALUE("-0.000820")</f>
        <v/>
      </c>
      <c r="M1467">
        <f>_xlfn.NUMBERVALUE("-0.006605")</f>
        <v/>
      </c>
      <c r="N1467">
        <f>_xlfn.NUMBERVALUE("-0.004385")</f>
        <v/>
      </c>
      <c r="O1467">
        <f>_xlfn.NUMBERVALUE("-0.010025")</f>
        <v/>
      </c>
      <c r="P1467">
        <f>_xlfn.NUMBERVALUE("-0.006631")</f>
        <v/>
      </c>
      <c r="Q1467">
        <f>_xlfn.NUMBERVALUE("-0.005877")</f>
        <v/>
      </c>
      <c r="R1467">
        <f>_xlfn.NUMBERVALUE("-0.007561")</f>
        <v/>
      </c>
      <c r="S1467">
        <f>_xlfn.NUMBERVALUE("-0.003059")</f>
        <v/>
      </c>
      <c r="T1467">
        <f>_xlfn.NUMBERVALUE("-0.000205")</f>
        <v/>
      </c>
      <c r="U1467">
        <f>_xlfn.NUMBERVALUE("-0.004671")</f>
        <v/>
      </c>
      <c r="V1467">
        <f>_xlfn.NUMBERVALUE("-0.005051")</f>
        <v/>
      </c>
      <c r="W1467">
        <f>_xlfn.NUMBERVALUE("-0.021969")</f>
        <v/>
      </c>
      <c r="X1467">
        <f>_xlfn.NUMBERVALUE("4.910000")</f>
        <v/>
      </c>
      <c r="Y1467">
        <f>_xlfn.NUMBERVALUE("32.460000")</f>
        <v/>
      </c>
    </row>
    <row r="1468">
      <c r="A1468" s="1" t="n">
        <v>44131</v>
      </c>
      <c r="B1468">
        <f>_xlfn.NUMBERVALUE("0.000000")</f>
        <v/>
      </c>
      <c r="C1468" s="2">
        <f>_xlfn.NUMBERVALUE("0.005033")</f>
        <v/>
      </c>
      <c r="D1468">
        <f>_xlfn.NUMBERVALUE("0.002594")</f>
        <v/>
      </c>
      <c r="E1468">
        <f>_xlfn.NUMBERVALUE("0.002919")</f>
        <v/>
      </c>
      <c r="F1468">
        <f>_xlfn.NUMBERVALUE("0.003153")</f>
        <v/>
      </c>
      <c r="G1468">
        <f>_xlfn.NUMBERVALUE("0.000716")</f>
        <v/>
      </c>
      <c r="H1468">
        <f>_xlfn.NUMBERVALUE("-0.000038")</f>
        <v/>
      </c>
      <c r="I1468">
        <f>_xlfn.NUMBERVALUE("0.004039")</f>
        <v/>
      </c>
      <c r="J1468">
        <f>_xlfn.NUMBERVALUE("0.000079")</f>
        <v/>
      </c>
      <c r="K1468">
        <f>_xlfn.NUMBERVALUE("0.006778")</f>
        <v/>
      </c>
      <c r="L1468">
        <f>_xlfn.NUMBERVALUE("0.002541")</f>
        <v/>
      </c>
      <c r="M1468">
        <f>_xlfn.NUMBERVALUE("0.002687")</f>
        <v/>
      </c>
      <c r="N1468">
        <f>_xlfn.NUMBERVALUE("-0.000123")</f>
        <v/>
      </c>
      <c r="O1468">
        <f>_xlfn.NUMBERVALUE("0.002909")</f>
        <v/>
      </c>
      <c r="P1468">
        <f>_xlfn.NUMBERVALUE("0.001277")</f>
        <v/>
      </c>
      <c r="Q1468">
        <f>_xlfn.NUMBERVALUE("-0.000304")</f>
        <v/>
      </c>
      <c r="R1468">
        <f>_xlfn.NUMBERVALUE("0.003845")</f>
        <v/>
      </c>
      <c r="S1468">
        <f>_xlfn.NUMBERVALUE("0.000919")</f>
        <v/>
      </c>
      <c r="T1468">
        <f>_xlfn.NUMBERVALUE("-0.000663")</f>
        <v/>
      </c>
      <c r="U1468">
        <f>_xlfn.NUMBERVALUE("0.001599")</f>
        <v/>
      </c>
      <c r="V1468">
        <f>_xlfn.NUMBERVALUE("0.004590")</f>
        <v/>
      </c>
      <c r="W1468">
        <f>_xlfn.NUMBERVALUE("0.003078")</f>
        <v/>
      </c>
      <c r="X1468">
        <f>_xlfn.NUMBERVALUE("0.890000")</f>
        <v/>
      </c>
      <c r="Y1468">
        <f>_xlfn.NUMBERVALUE("33.350000")</f>
        <v/>
      </c>
    </row>
    <row r="1469">
      <c r="A1469" s="1" t="n">
        <v>44132</v>
      </c>
      <c r="B1469">
        <f>_xlfn.NUMBERVALUE("-0.005335")</f>
        <v/>
      </c>
      <c r="C1469" s="2">
        <f>_xlfn.NUMBERVALUE("-0.010915")</f>
        <v/>
      </c>
      <c r="D1469">
        <f>_xlfn.NUMBERVALUE("-0.008560")</f>
        <v/>
      </c>
      <c r="E1469">
        <f>_xlfn.NUMBERVALUE("-0.009649")</f>
        <v/>
      </c>
      <c r="F1469">
        <f>_xlfn.NUMBERVALUE("-0.005909")</f>
        <v/>
      </c>
      <c r="G1469">
        <f>_xlfn.NUMBERVALUE("-0.002577")</f>
        <v/>
      </c>
      <c r="H1469">
        <f>_xlfn.NUMBERVALUE("-0.000364")</f>
        <v/>
      </c>
      <c r="I1469">
        <f>_xlfn.NUMBERVALUE("-0.007321")</f>
        <v/>
      </c>
      <c r="J1469">
        <f>_xlfn.NUMBERVALUE("-0.002412")</f>
        <v/>
      </c>
      <c r="K1469">
        <f>_xlfn.NUMBERVALUE("-0.016980")</f>
        <v/>
      </c>
      <c r="L1469">
        <f>_xlfn.NUMBERVALUE("-0.003135")</f>
        <v/>
      </c>
      <c r="M1469">
        <f>_xlfn.NUMBERVALUE("-0.007612")</f>
        <v/>
      </c>
      <c r="N1469">
        <f>_xlfn.NUMBERVALUE("-0.013533")</f>
        <v/>
      </c>
      <c r="O1469">
        <f>_xlfn.NUMBERVALUE("-0.010048")</f>
        <v/>
      </c>
      <c r="P1469">
        <f>_xlfn.NUMBERVALUE("-0.006404")</f>
        <v/>
      </c>
      <c r="Q1469">
        <f>_xlfn.NUMBERVALUE("-0.008163")</f>
        <v/>
      </c>
      <c r="R1469">
        <f>_xlfn.NUMBERVALUE("-0.011249")</f>
        <v/>
      </c>
      <c r="S1469">
        <f>_xlfn.NUMBERVALUE("-0.009905")</f>
        <v/>
      </c>
      <c r="T1469">
        <f>_xlfn.NUMBERVALUE("-0.008124")</f>
        <v/>
      </c>
      <c r="U1469">
        <f>_xlfn.NUMBERVALUE("-0.010106")</f>
        <v/>
      </c>
      <c r="V1469">
        <f>_xlfn.NUMBERVALUE("-0.015876")</f>
        <v/>
      </c>
      <c r="W1469">
        <f>_xlfn.NUMBERVALUE("-0.031422")</f>
        <v/>
      </c>
      <c r="X1469">
        <f>_xlfn.NUMBERVALUE("6.930000")</f>
        <v/>
      </c>
      <c r="Y1469">
        <f>_xlfn.NUMBERVALUE("40.280000")</f>
        <v/>
      </c>
    </row>
    <row r="1470">
      <c r="A1470" s="1" t="n">
        <v>44133</v>
      </c>
      <c r="B1470">
        <f>_xlfn.NUMBERVALUE("0.005845")</f>
        <v/>
      </c>
      <c r="C1470" s="2">
        <f>_xlfn.NUMBERVALUE("0.003500")</f>
        <v/>
      </c>
      <c r="D1470">
        <f>_xlfn.NUMBERVALUE("0.003604")</f>
        <v/>
      </c>
      <c r="E1470">
        <f>_xlfn.NUMBERVALUE("0.002221")</f>
        <v/>
      </c>
      <c r="F1470">
        <f>_xlfn.NUMBERVALUE("0.000621")</f>
        <v/>
      </c>
      <c r="G1470">
        <f>_xlfn.NUMBERVALUE("0.001701")</f>
        <v/>
      </c>
      <c r="H1470">
        <f>_xlfn.NUMBERVALUE("-0.001249")</f>
        <v/>
      </c>
      <c r="I1470">
        <f>_xlfn.NUMBERVALUE("0.003955")</f>
        <v/>
      </c>
      <c r="J1470">
        <f>_xlfn.NUMBERVALUE("-0.001143")</f>
        <v/>
      </c>
      <c r="K1470">
        <f>_xlfn.NUMBERVALUE("0.002902")</f>
        <v/>
      </c>
      <c r="L1470">
        <f>_xlfn.NUMBERVALUE("0.000784")</f>
        <v/>
      </c>
      <c r="M1470">
        <f>_xlfn.NUMBERVALUE("0.000179")</f>
        <v/>
      </c>
      <c r="N1470">
        <f>_xlfn.NUMBERVALUE("0.001877")</f>
        <v/>
      </c>
      <c r="O1470">
        <f>_xlfn.NUMBERVALUE("0.005344")</f>
        <v/>
      </c>
      <c r="P1470">
        <f>_xlfn.NUMBERVALUE("0.004272")</f>
        <v/>
      </c>
      <c r="Q1470">
        <f>_xlfn.NUMBERVALUE("0.002199")</f>
        <v/>
      </c>
      <c r="R1470">
        <f>_xlfn.NUMBERVALUE("0.001942")</f>
        <v/>
      </c>
      <c r="S1470">
        <f>_xlfn.NUMBERVALUE("0.002178")</f>
        <v/>
      </c>
      <c r="T1470">
        <f>_xlfn.NUMBERVALUE("0.003864")</f>
        <v/>
      </c>
      <c r="U1470">
        <f>_xlfn.NUMBERVALUE("0.002247")</f>
        <v/>
      </c>
      <c r="V1470">
        <f>_xlfn.NUMBERVALUE("0.004360")</f>
        <v/>
      </c>
      <c r="W1470">
        <f>_xlfn.NUMBERVALUE("0.010692")</f>
        <v/>
      </c>
      <c r="X1470">
        <f>_xlfn.NUMBERVALUE("-2.690000")</f>
        <v/>
      </c>
      <c r="Y1470">
        <f>_xlfn.NUMBERVALUE("37.590000")</f>
        <v/>
      </c>
    </row>
    <row r="1471">
      <c r="A1471" s="1" t="n">
        <v>44134</v>
      </c>
      <c r="B1471">
        <f>_xlfn.NUMBERVALUE("-0.007450")</f>
        <v/>
      </c>
      <c r="C1471" s="2">
        <f>_xlfn.NUMBERVALUE("-0.000293")</f>
        <v/>
      </c>
      <c r="D1471">
        <f>_xlfn.NUMBERVALUE("-0.001153")</f>
        <v/>
      </c>
      <c r="E1471">
        <f>_xlfn.NUMBERVALUE("0.001243")</f>
        <v/>
      </c>
      <c r="F1471">
        <f>_xlfn.NUMBERVALUE("-0.001350")</f>
        <v/>
      </c>
      <c r="G1471">
        <f>_xlfn.NUMBERVALUE("0.000586")</f>
        <v/>
      </c>
      <c r="H1471">
        <f>_xlfn.NUMBERVALUE("-0.001578")</f>
        <v/>
      </c>
      <c r="I1471">
        <f>_xlfn.NUMBERVALUE("0.000036")</f>
        <v/>
      </c>
      <c r="J1471">
        <f>_xlfn.NUMBERVALUE("-0.000070")</f>
        <v/>
      </c>
      <c r="K1471">
        <f>_xlfn.NUMBERVALUE("0.004155")</f>
        <v/>
      </c>
      <c r="L1471">
        <f>_xlfn.NUMBERVALUE("-0.002142")</f>
        <v/>
      </c>
      <c r="M1471">
        <f>_xlfn.NUMBERVALUE("-0.000532")</f>
        <v/>
      </c>
      <c r="N1471">
        <f>_xlfn.NUMBERVALUE("-0.000018")</f>
        <v/>
      </c>
      <c r="O1471">
        <f>_xlfn.NUMBERVALUE("-0.002640")</f>
        <v/>
      </c>
      <c r="P1471">
        <f>_xlfn.NUMBERVALUE("0.000214")</f>
        <v/>
      </c>
      <c r="Q1471">
        <f>_xlfn.NUMBERVALUE("0.001278")</f>
        <v/>
      </c>
      <c r="R1471">
        <f>_xlfn.NUMBERVALUE("-0.004042")</f>
        <v/>
      </c>
      <c r="S1471">
        <f>_xlfn.NUMBERVALUE("-0.000867")</f>
        <v/>
      </c>
      <c r="T1471">
        <f>_xlfn.NUMBERVALUE("-0.001725")</f>
        <v/>
      </c>
      <c r="U1471">
        <f>_xlfn.NUMBERVALUE("-0.001664")</f>
        <v/>
      </c>
      <c r="V1471">
        <f>_xlfn.NUMBERVALUE("-0.003893")</f>
        <v/>
      </c>
      <c r="W1471">
        <f>_xlfn.NUMBERVALUE("-0.021610")</f>
        <v/>
      </c>
      <c r="X1471">
        <f>_xlfn.NUMBERVALUE("0.430000")</f>
        <v/>
      </c>
      <c r="Y1471">
        <f>_xlfn.NUMBERVALUE("38.020000")</f>
        <v/>
      </c>
    </row>
    <row r="1472">
      <c r="A1472" s="1" t="n">
        <v>44137</v>
      </c>
      <c r="B1472">
        <f>_xlfn.NUMBERVALUE("0.003509")</f>
        <v/>
      </c>
      <c r="C1472" s="2">
        <f>_xlfn.NUMBERVALUE("0.001688")</f>
        <v/>
      </c>
      <c r="D1472">
        <f>_xlfn.NUMBERVALUE("0.008204")</f>
        <v/>
      </c>
      <c r="E1472">
        <f>_xlfn.NUMBERVALUE("0.001991")</f>
        <v/>
      </c>
      <c r="F1472">
        <f>_xlfn.NUMBERVALUE("0.011148")</f>
        <v/>
      </c>
      <c r="G1472">
        <f>_xlfn.NUMBERVALUE("0.007774")</f>
        <v/>
      </c>
      <c r="H1472">
        <f>_xlfn.NUMBERVALUE("0.003255")</f>
        <v/>
      </c>
      <c r="I1472">
        <f>_xlfn.NUMBERVALUE("0.021895")</f>
        <v/>
      </c>
      <c r="J1472">
        <f>_xlfn.NUMBERVALUE("0.003809")</f>
        <v/>
      </c>
      <c r="K1472">
        <f>_xlfn.NUMBERVALUE("0.028089")</f>
        <v/>
      </c>
      <c r="L1472">
        <f>_xlfn.NUMBERVALUE("0.005897")</f>
        <v/>
      </c>
      <c r="M1472">
        <f>_xlfn.NUMBERVALUE("-0.000153")</f>
        <v/>
      </c>
      <c r="N1472">
        <f>_xlfn.NUMBERVALUE("0.002966")</f>
        <v/>
      </c>
      <c r="O1472">
        <f>_xlfn.NUMBERVALUE("0.005530")</f>
        <v/>
      </c>
      <c r="P1472">
        <f>_xlfn.NUMBERVALUE("0.004454")</f>
        <v/>
      </c>
      <c r="Q1472">
        <f>_xlfn.NUMBERVALUE("0.000853")</f>
        <v/>
      </c>
      <c r="R1472">
        <f>_xlfn.NUMBERVALUE("0.002698")</f>
        <v/>
      </c>
      <c r="S1472">
        <f>_xlfn.NUMBERVALUE("0.001550")</f>
        <v/>
      </c>
      <c r="T1472">
        <f>_xlfn.NUMBERVALUE("0.002207")</f>
        <v/>
      </c>
      <c r="U1472">
        <f>_xlfn.NUMBERVALUE("0.003858")</f>
        <v/>
      </c>
      <c r="V1472">
        <f>_xlfn.NUMBERVALUE("0.001949")</f>
        <v/>
      </c>
      <c r="W1472">
        <f>_xlfn.NUMBERVALUE("0.006731")</f>
        <v/>
      </c>
      <c r="X1472">
        <f>_xlfn.NUMBERVALUE("-0.890000")</f>
        <v/>
      </c>
      <c r="Y1472">
        <f>_xlfn.NUMBERVALUE("37.130000")</f>
        <v/>
      </c>
    </row>
    <row r="1473">
      <c r="A1473" s="1" t="n">
        <v>44138</v>
      </c>
      <c r="B1473">
        <f>_xlfn.NUMBERVALUE("0.000803")</f>
        <v/>
      </c>
      <c r="C1473" s="2">
        <f>_xlfn.NUMBERVALUE("-0.000560")</f>
        <v/>
      </c>
      <c r="D1473">
        <f>_xlfn.NUMBERVALUE("0.003656")</f>
        <v/>
      </c>
      <c r="E1473">
        <f>_xlfn.NUMBERVALUE("-0.006204")</f>
        <v/>
      </c>
      <c r="F1473">
        <f>_xlfn.NUMBERVALUE("0.001147")</f>
        <v/>
      </c>
      <c r="G1473">
        <f>_xlfn.NUMBERVALUE("0.000143")</f>
        <v/>
      </c>
      <c r="H1473">
        <f>_xlfn.NUMBERVALUE("0.008737")</f>
        <v/>
      </c>
      <c r="I1473">
        <f>_xlfn.NUMBERVALUE("-0.003666")</f>
        <v/>
      </c>
      <c r="J1473">
        <f>_xlfn.NUMBERVALUE("0.001954")</f>
        <v/>
      </c>
      <c r="K1473">
        <f>_xlfn.NUMBERVALUE("-0.001371")</f>
        <v/>
      </c>
      <c r="L1473">
        <f>_xlfn.NUMBERVALUE("0.003998")</f>
        <v/>
      </c>
      <c r="M1473">
        <f>_xlfn.NUMBERVALUE("-0.004389")</f>
        <v/>
      </c>
      <c r="N1473">
        <f>_xlfn.NUMBERVALUE("0.001902")</f>
        <v/>
      </c>
      <c r="O1473">
        <f>_xlfn.NUMBERVALUE("0.006409")</f>
        <v/>
      </c>
      <c r="P1473">
        <f>_xlfn.NUMBERVALUE("-0.001969")</f>
        <v/>
      </c>
      <c r="Q1473">
        <f>_xlfn.NUMBERVALUE("-0.003478")</f>
        <v/>
      </c>
      <c r="R1473">
        <f>_xlfn.NUMBERVALUE("0.000752")</f>
        <v/>
      </c>
      <c r="S1473">
        <f>_xlfn.NUMBERVALUE("-0.002163")</f>
        <v/>
      </c>
      <c r="T1473">
        <f>_xlfn.NUMBERVALUE("-0.004104")</f>
        <v/>
      </c>
      <c r="U1473">
        <f>_xlfn.NUMBERVALUE("-0.000824")</f>
        <v/>
      </c>
      <c r="V1473">
        <f>_xlfn.NUMBERVALUE("-0.000433")</f>
        <v/>
      </c>
      <c r="W1473">
        <f>_xlfn.NUMBERVALUE("0.025229")</f>
        <v/>
      </c>
      <c r="X1473">
        <f>_xlfn.NUMBERVALUE("-1.580000")</f>
        <v/>
      </c>
      <c r="Y1473">
        <f>_xlfn.NUMBERVALUE("35.550000")</f>
        <v/>
      </c>
    </row>
    <row r="1474">
      <c r="A1474" s="1" t="n">
        <v>44139</v>
      </c>
      <c r="B1474">
        <f>_xlfn.NUMBERVALUE("0.006932")</f>
        <v/>
      </c>
      <c r="C1474" s="2">
        <f>_xlfn.NUMBERVALUE("0.006779")</f>
        <v/>
      </c>
      <c r="D1474">
        <f>_xlfn.NUMBERVALUE("0.001643")</f>
        <v/>
      </c>
      <c r="E1474">
        <f>_xlfn.NUMBERVALUE("0.004813")</f>
        <v/>
      </c>
      <c r="F1474">
        <f>_xlfn.NUMBERVALUE("0.007760")</f>
        <v/>
      </c>
      <c r="G1474">
        <f>_xlfn.NUMBERVALUE("0.003524")</f>
        <v/>
      </c>
      <c r="H1474">
        <f>_xlfn.NUMBERVALUE("-0.002145")</f>
        <v/>
      </c>
      <c r="I1474">
        <f>_xlfn.NUMBERVALUE("0.013322")</f>
        <v/>
      </c>
      <c r="J1474">
        <f>_xlfn.NUMBERVALUE("0.001269")</f>
        <v/>
      </c>
      <c r="K1474">
        <f>_xlfn.NUMBERVALUE("0.023882")</f>
        <v/>
      </c>
      <c r="L1474">
        <f>_xlfn.NUMBERVALUE("0.008570")</f>
        <v/>
      </c>
      <c r="M1474">
        <f>_xlfn.NUMBERVALUE("0.015122")</f>
        <v/>
      </c>
      <c r="N1474">
        <f>_xlfn.NUMBERVALUE("-0.003971")</f>
        <v/>
      </c>
      <c r="O1474">
        <f>_xlfn.NUMBERVALUE("0.016353")</f>
        <v/>
      </c>
      <c r="P1474">
        <f>_xlfn.NUMBERVALUE("0.013258")</f>
        <v/>
      </c>
      <c r="Q1474">
        <f>_xlfn.NUMBERVALUE("0.015569")</f>
        <v/>
      </c>
      <c r="R1474">
        <f>_xlfn.NUMBERVALUE("-0.002537")</f>
        <v/>
      </c>
      <c r="S1474">
        <f>_xlfn.NUMBERVALUE("0.007375")</f>
        <v/>
      </c>
      <c r="T1474">
        <f>_xlfn.NUMBERVALUE("0.005300")</f>
        <v/>
      </c>
      <c r="U1474">
        <f>_xlfn.NUMBERVALUE("0.008407")</f>
        <v/>
      </c>
      <c r="V1474">
        <f>_xlfn.NUMBERVALUE("0.003742")</f>
        <v/>
      </c>
      <c r="W1474">
        <f>_xlfn.NUMBERVALUE("0.019894")</f>
        <v/>
      </c>
      <c r="X1474">
        <f>_xlfn.NUMBERVALUE("-5.980000")</f>
        <v/>
      </c>
      <c r="Y1474">
        <f>_xlfn.NUMBERVALUE("29.570000")</f>
        <v/>
      </c>
    </row>
    <row r="1475">
      <c r="A1475" s="1" t="n">
        <v>44140</v>
      </c>
      <c r="B1475">
        <f>_xlfn.NUMBERVALUE("0.000641")</f>
        <v/>
      </c>
      <c r="C1475" s="2">
        <f>_xlfn.NUMBERVALUE("0.000106")</f>
        <v/>
      </c>
      <c r="D1475">
        <f>_xlfn.NUMBERVALUE("-0.001528")</f>
        <v/>
      </c>
      <c r="E1475">
        <f>_xlfn.NUMBERVALUE("-0.002981")</f>
        <v/>
      </c>
      <c r="F1475">
        <f>_xlfn.NUMBERVALUE("-0.007846")</f>
        <v/>
      </c>
      <c r="G1475">
        <f>_xlfn.NUMBERVALUE("-0.002288")</f>
        <v/>
      </c>
      <c r="H1475">
        <f>_xlfn.NUMBERVALUE("0.005234")</f>
        <v/>
      </c>
      <c r="I1475">
        <f>_xlfn.NUMBERVALUE("-0.002584")</f>
        <v/>
      </c>
      <c r="J1475">
        <f>_xlfn.NUMBERVALUE("-0.001432")</f>
        <v/>
      </c>
      <c r="K1475">
        <f>_xlfn.NUMBERVALUE("-0.026243")</f>
        <v/>
      </c>
      <c r="L1475">
        <f>_xlfn.NUMBERVALUE("0.000191")</f>
        <v/>
      </c>
      <c r="M1475">
        <f>_xlfn.NUMBERVALUE("-0.022577")</f>
        <v/>
      </c>
      <c r="N1475">
        <f>_xlfn.NUMBERVALUE("0.000001")</f>
        <v/>
      </c>
      <c r="O1475">
        <f>_xlfn.NUMBERVALUE("0.004877")</f>
        <v/>
      </c>
      <c r="P1475">
        <f>_xlfn.NUMBERVALUE("-0.000275")</f>
        <v/>
      </c>
      <c r="Q1475">
        <f>_xlfn.NUMBERVALUE("-0.002101")</f>
        <v/>
      </c>
      <c r="R1475">
        <f>_xlfn.NUMBERVALUE("-0.009724")</f>
        <v/>
      </c>
      <c r="S1475">
        <f>_xlfn.NUMBERVALUE("0.007047")</f>
        <v/>
      </c>
      <c r="T1475">
        <f>_xlfn.NUMBERVALUE("0.001094")</f>
        <v/>
      </c>
      <c r="U1475">
        <f>_xlfn.NUMBERVALUE("0.002553")</f>
        <v/>
      </c>
      <c r="V1475">
        <f>_xlfn.NUMBERVALUE("-0.001426")</f>
        <v/>
      </c>
      <c r="W1475">
        <f>_xlfn.NUMBERVALUE("0.016570")</f>
        <v/>
      </c>
      <c r="X1475">
        <f>_xlfn.NUMBERVALUE("-1.990000")</f>
        <v/>
      </c>
      <c r="Y1475">
        <f>_xlfn.NUMBERVALUE("27.580000")</f>
        <v/>
      </c>
    </row>
    <row r="1476">
      <c r="A1476" s="1" t="n">
        <v>44141</v>
      </c>
      <c r="B1476">
        <f>_xlfn.NUMBERVALUE("0.004877")</f>
        <v/>
      </c>
      <c r="C1476" s="2">
        <f>_xlfn.NUMBERVALUE("0.002044")</f>
        <v/>
      </c>
      <c r="D1476">
        <f>_xlfn.NUMBERVALUE("0.003508")</f>
        <v/>
      </c>
      <c r="E1476">
        <f>_xlfn.NUMBERVALUE("0.001329")</f>
        <v/>
      </c>
      <c r="F1476">
        <f>_xlfn.NUMBERVALUE("0.002100")</f>
        <v/>
      </c>
      <c r="G1476">
        <f>_xlfn.NUMBERVALUE("0.002136")</f>
        <v/>
      </c>
      <c r="H1476">
        <f>_xlfn.NUMBERVALUE("-0.000146")</f>
        <v/>
      </c>
      <c r="I1476">
        <f>_xlfn.NUMBERVALUE("0.005770")</f>
        <v/>
      </c>
      <c r="J1476">
        <f>_xlfn.NUMBERVALUE("0.000538")</f>
        <v/>
      </c>
      <c r="K1476">
        <f>_xlfn.NUMBERVALUE("0.000325")</f>
        <v/>
      </c>
      <c r="L1476">
        <f>_xlfn.NUMBERVALUE("0.001063")</f>
        <v/>
      </c>
      <c r="M1476">
        <f>_xlfn.NUMBERVALUE("0.002128")</f>
        <v/>
      </c>
      <c r="N1476">
        <f>_xlfn.NUMBERVALUE("0.004257")</f>
        <v/>
      </c>
      <c r="O1476">
        <f>_xlfn.NUMBERVALUE("0.002874")</f>
        <v/>
      </c>
      <c r="P1476">
        <f>_xlfn.NUMBERVALUE("0.005976")</f>
        <v/>
      </c>
      <c r="Q1476">
        <f>_xlfn.NUMBERVALUE("0.004229")</f>
        <v/>
      </c>
      <c r="R1476">
        <f>_xlfn.NUMBERVALUE("0.005791")</f>
        <v/>
      </c>
      <c r="S1476">
        <f>_xlfn.NUMBERVALUE("0.003139")</f>
        <v/>
      </c>
      <c r="T1476">
        <f>_xlfn.NUMBERVALUE("0.002328")</f>
        <v/>
      </c>
      <c r="U1476">
        <f>_xlfn.NUMBERVALUE("0.004475")</f>
        <v/>
      </c>
      <c r="V1476">
        <f>_xlfn.NUMBERVALUE("0.004926")</f>
        <v/>
      </c>
      <c r="W1476">
        <f>_xlfn.NUMBERVALUE("0.004146")</f>
        <v/>
      </c>
      <c r="X1476">
        <f>_xlfn.NUMBERVALUE("-2.720000")</f>
        <v/>
      </c>
      <c r="Y1476">
        <f>_xlfn.NUMBERVALUE("24.860000")</f>
        <v/>
      </c>
    </row>
    <row r="1477">
      <c r="A1477" s="1" t="n">
        <v>44144</v>
      </c>
      <c r="B1477">
        <f>_xlfn.NUMBERVALUE("-0.003090")</f>
        <v/>
      </c>
      <c r="C1477" s="2">
        <f>_xlfn.NUMBERVALUE("-0.006454")</f>
        <v/>
      </c>
      <c r="D1477">
        <f>_xlfn.NUMBERVALUE("0.002097")</f>
        <v/>
      </c>
      <c r="E1477">
        <f>_xlfn.NUMBERVALUE("-0.003035")</f>
        <v/>
      </c>
      <c r="F1477">
        <f>_xlfn.NUMBERVALUE("-0.016901")</f>
        <v/>
      </c>
      <c r="G1477">
        <f>_xlfn.NUMBERVALUE("-0.001553")</f>
        <v/>
      </c>
      <c r="H1477">
        <f>_xlfn.NUMBERVALUE("-0.000957")</f>
        <v/>
      </c>
      <c r="I1477">
        <f>_xlfn.NUMBERVALUE("-0.009092")</f>
        <v/>
      </c>
      <c r="J1477">
        <f>_xlfn.NUMBERVALUE("0.000949")</f>
        <v/>
      </c>
      <c r="K1477">
        <f>_xlfn.NUMBERVALUE("-0.004404")</f>
        <v/>
      </c>
      <c r="L1477">
        <f>_xlfn.NUMBERVALUE("-0.005220")</f>
        <v/>
      </c>
      <c r="M1477">
        <f>_xlfn.NUMBERVALUE("0.001773")</f>
        <v/>
      </c>
      <c r="N1477">
        <f>_xlfn.NUMBERVALUE("0.004309")</f>
        <v/>
      </c>
      <c r="O1477">
        <f>_xlfn.NUMBERVALUE("-0.068512")</f>
        <v/>
      </c>
      <c r="P1477">
        <f>_xlfn.NUMBERVALUE("-0.040606")</f>
        <v/>
      </c>
      <c r="Q1477">
        <f>_xlfn.NUMBERVALUE("-0.010705")</f>
        <v/>
      </c>
      <c r="R1477">
        <f>_xlfn.NUMBERVALUE("0.002924")</f>
        <v/>
      </c>
      <c r="S1477">
        <f>_xlfn.NUMBERVALUE("0.001882")</f>
        <v/>
      </c>
      <c r="T1477">
        <f>_xlfn.NUMBERVALUE("-0.001629")</f>
        <v/>
      </c>
      <c r="U1477">
        <f>_xlfn.NUMBERVALUE("0.003579")</f>
        <v/>
      </c>
      <c r="V1477">
        <f>_xlfn.NUMBERVALUE("-0.000942")</f>
        <v/>
      </c>
      <c r="W1477">
        <f>_xlfn.NUMBERVALUE("0.019280")</f>
        <v/>
      </c>
      <c r="X1477">
        <f>_xlfn.NUMBERVALUE("0.890000")</f>
        <v/>
      </c>
      <c r="Y1477">
        <f>_xlfn.NUMBERVALUE("25.750000")</f>
        <v/>
      </c>
    </row>
    <row r="1478">
      <c r="A1478" s="1" t="n">
        <v>44145</v>
      </c>
      <c r="B1478">
        <f>_xlfn.NUMBERVALUE("-0.005433")</f>
        <v/>
      </c>
      <c r="C1478" s="2">
        <f>_xlfn.NUMBERVALUE("-0.000900")</f>
        <v/>
      </c>
      <c r="D1478">
        <f>_xlfn.NUMBERVALUE("0.000535")</f>
        <v/>
      </c>
      <c r="E1478">
        <f>_xlfn.NUMBERVALUE("-0.000792")</f>
        <v/>
      </c>
      <c r="F1478">
        <f>_xlfn.NUMBERVALUE("0.003414")</f>
        <v/>
      </c>
      <c r="G1478">
        <f>_xlfn.NUMBERVALUE("0.000781")</f>
        <v/>
      </c>
      <c r="H1478">
        <f>_xlfn.NUMBERVALUE("0.000433")</f>
        <v/>
      </c>
      <c r="I1478">
        <f>_xlfn.NUMBERVALUE("-0.001830")</f>
        <v/>
      </c>
      <c r="J1478">
        <f>_xlfn.NUMBERVALUE("0.001012")</f>
        <v/>
      </c>
      <c r="K1478">
        <f>_xlfn.NUMBERVALUE("0.010799")</f>
        <v/>
      </c>
      <c r="L1478">
        <f>_xlfn.NUMBERVALUE("0.001057")</f>
        <v/>
      </c>
      <c r="M1478">
        <f>_xlfn.NUMBERVALUE("-0.000327")</f>
        <v/>
      </c>
      <c r="N1478">
        <f>_xlfn.NUMBERVALUE("0.001197")</f>
        <v/>
      </c>
      <c r="O1478">
        <f>_xlfn.NUMBERVALUE("-0.003727")</f>
        <v/>
      </c>
      <c r="P1478">
        <f>_xlfn.NUMBERVALUE("0.002258")</f>
        <v/>
      </c>
      <c r="Q1478">
        <f>_xlfn.NUMBERVALUE("-0.001798")</f>
        <v/>
      </c>
      <c r="R1478">
        <f>_xlfn.NUMBERVALUE("-0.003574")</f>
        <v/>
      </c>
      <c r="S1478">
        <f>_xlfn.NUMBERVALUE("-0.003081")</f>
        <v/>
      </c>
      <c r="T1478">
        <f>_xlfn.NUMBERVALUE("-0.000388")</f>
        <v/>
      </c>
      <c r="U1478">
        <f>_xlfn.NUMBERVALUE("0.000174")</f>
        <v/>
      </c>
      <c r="V1478">
        <f>_xlfn.NUMBERVALUE("0.000374")</f>
        <v/>
      </c>
      <c r="W1478">
        <f>_xlfn.NUMBERVALUE("-0.010226")</f>
        <v/>
      </c>
      <c r="X1478">
        <f>_xlfn.NUMBERVALUE("-0.950000")</f>
        <v/>
      </c>
      <c r="Y1478">
        <f>_xlfn.NUMBERVALUE("24.800000")</f>
        <v/>
      </c>
    </row>
    <row r="1479">
      <c r="A1479" s="1" t="n">
        <v>44146</v>
      </c>
      <c r="B1479">
        <f>_xlfn.NUMBERVALUE("0.002263")</f>
        <v/>
      </c>
      <c r="C1479" s="2">
        <f>_xlfn.NUMBERVALUE("0.002150")</f>
        <v/>
      </c>
      <c r="D1479">
        <f>_xlfn.NUMBERVALUE("0.001401")</f>
        <v/>
      </c>
      <c r="E1479">
        <f>_xlfn.NUMBERVALUE("0.001065")</f>
        <v/>
      </c>
      <c r="F1479">
        <f>_xlfn.NUMBERVALUE("0.002546")</f>
        <v/>
      </c>
      <c r="G1479">
        <f>_xlfn.NUMBERVALUE("0.001177")</f>
        <v/>
      </c>
      <c r="H1479">
        <f>_xlfn.NUMBERVALUE("0.000311")</f>
        <v/>
      </c>
      <c r="I1479">
        <f>_xlfn.NUMBERVALUE("0.001857")</f>
        <v/>
      </c>
      <c r="J1479">
        <f>_xlfn.NUMBERVALUE("0.000437")</f>
        <v/>
      </c>
      <c r="K1479">
        <f>_xlfn.NUMBERVALUE("0.007127")</f>
        <v/>
      </c>
      <c r="L1479">
        <f>_xlfn.NUMBERVALUE("0.000920")</f>
        <v/>
      </c>
      <c r="M1479">
        <f>_xlfn.NUMBERVALUE("0.003468")</f>
        <v/>
      </c>
      <c r="N1479">
        <f>_xlfn.NUMBERVALUE("0.001881")</f>
        <v/>
      </c>
      <c r="O1479">
        <f>_xlfn.NUMBERVALUE("0.002710")</f>
        <v/>
      </c>
      <c r="P1479">
        <f>_xlfn.NUMBERVALUE("0.002546")</f>
        <v/>
      </c>
      <c r="Q1479">
        <f>_xlfn.NUMBERVALUE("0.004489")</f>
        <v/>
      </c>
      <c r="R1479">
        <f>_xlfn.NUMBERVALUE("0.001695")</f>
        <v/>
      </c>
      <c r="S1479">
        <f>_xlfn.NUMBERVALUE("0.002917")</f>
        <v/>
      </c>
      <c r="T1479">
        <f>_xlfn.NUMBERVALUE("0.002325")</f>
        <v/>
      </c>
      <c r="U1479">
        <f>_xlfn.NUMBERVALUE("0.002790")</f>
        <v/>
      </c>
      <c r="V1479">
        <f>_xlfn.NUMBERVALUE("0.001140")</f>
        <v/>
      </c>
      <c r="W1479">
        <f>_xlfn.NUMBERVALUE("0.005476")</f>
        <v/>
      </c>
      <c r="X1479">
        <f>_xlfn.NUMBERVALUE("-1.350000")</f>
        <v/>
      </c>
      <c r="Y1479">
        <f>_xlfn.NUMBERVALUE("23.450000")</f>
        <v/>
      </c>
    </row>
    <row r="1480">
      <c r="A1480" s="1" t="n">
        <v>44147</v>
      </c>
      <c r="B1480">
        <f>_xlfn.NUMBERVALUE("0.001618")</f>
        <v/>
      </c>
      <c r="C1480" s="2">
        <f>_xlfn.NUMBERVALUE("-0.001588")</f>
        <v/>
      </c>
      <c r="D1480">
        <f>_xlfn.NUMBERVALUE("-0.000733")</f>
        <v/>
      </c>
      <c r="E1480">
        <f>_xlfn.NUMBERVALUE("-0.001359")</f>
        <v/>
      </c>
      <c r="F1480">
        <f>_xlfn.NUMBERVALUE("0.001371")</f>
        <v/>
      </c>
      <c r="G1480">
        <f>_xlfn.NUMBERVALUE("-0.003387")</f>
        <v/>
      </c>
      <c r="H1480">
        <f>_xlfn.NUMBERVALUE("-0.000940")</f>
        <v/>
      </c>
      <c r="I1480">
        <f>_xlfn.NUMBERVALUE("-0.001130")</f>
        <v/>
      </c>
      <c r="J1480">
        <f>_xlfn.NUMBERVALUE("-0.000534")</f>
        <v/>
      </c>
      <c r="K1480">
        <f>_xlfn.NUMBERVALUE("0.002859")</f>
        <v/>
      </c>
      <c r="L1480">
        <f>_xlfn.NUMBERVALUE("-0.003831")</f>
        <v/>
      </c>
      <c r="M1480">
        <f>_xlfn.NUMBERVALUE("-0.004316")</f>
        <v/>
      </c>
      <c r="N1480">
        <f>_xlfn.NUMBERVALUE("0.000219")</f>
        <v/>
      </c>
      <c r="O1480">
        <f>_xlfn.NUMBERVALUE("-0.002863")</f>
        <v/>
      </c>
      <c r="P1480">
        <f>_xlfn.NUMBERVALUE("-0.002984")</f>
        <v/>
      </c>
      <c r="Q1480">
        <f>_xlfn.NUMBERVALUE("-0.002658")</f>
        <v/>
      </c>
      <c r="R1480">
        <f>_xlfn.NUMBERVALUE("-0.002350")</f>
        <v/>
      </c>
      <c r="S1480">
        <f>_xlfn.NUMBERVALUE("-0.000696")</f>
        <v/>
      </c>
      <c r="T1480">
        <f>_xlfn.NUMBERVALUE("-0.003166")</f>
        <v/>
      </c>
      <c r="U1480">
        <f>_xlfn.NUMBERVALUE("-0.002761")</f>
        <v/>
      </c>
      <c r="V1480">
        <f>_xlfn.NUMBERVALUE("-0.001074")</f>
        <v/>
      </c>
      <c r="W1480">
        <f>_xlfn.NUMBERVALUE("-0.011903")</f>
        <v/>
      </c>
      <c r="X1480">
        <f>_xlfn.NUMBERVALUE("1.900000")</f>
        <v/>
      </c>
      <c r="Y1480">
        <f>_xlfn.NUMBERVALUE("25.350000")</f>
        <v/>
      </c>
    </row>
    <row r="1481">
      <c r="A1481" s="1" t="n">
        <v>44148</v>
      </c>
      <c r="B1481">
        <f>_xlfn.NUMBERVALUE("0.004055")</f>
        <v/>
      </c>
      <c r="C1481" s="2">
        <f>_xlfn.NUMBERVALUE("-0.000395")</f>
        <v/>
      </c>
      <c r="D1481">
        <f>_xlfn.NUMBERVALUE("-0.000680")</f>
        <v/>
      </c>
      <c r="E1481">
        <f>_xlfn.NUMBERVALUE("0.001317")</f>
        <v/>
      </c>
      <c r="F1481">
        <f>_xlfn.NUMBERVALUE("0.002851")</f>
        <v/>
      </c>
      <c r="G1481">
        <f>_xlfn.NUMBERVALUE("0.003666")</f>
        <v/>
      </c>
      <c r="H1481">
        <f>_xlfn.NUMBERVALUE("-0.000355")</f>
        <v/>
      </c>
      <c r="I1481">
        <f>_xlfn.NUMBERVALUE("-0.001799")</f>
        <v/>
      </c>
      <c r="J1481">
        <f>_xlfn.NUMBERVALUE("0.000195")</f>
        <v/>
      </c>
      <c r="K1481">
        <f>_xlfn.NUMBERVALUE("0.002304")</f>
        <v/>
      </c>
      <c r="L1481">
        <f>_xlfn.NUMBERVALUE("0.001847")</f>
        <v/>
      </c>
      <c r="M1481">
        <f>_xlfn.NUMBERVALUE("-0.000521")</f>
        <v/>
      </c>
      <c r="N1481">
        <f>_xlfn.NUMBERVALUE("0.001011")</f>
        <v/>
      </c>
      <c r="O1481">
        <f>_xlfn.NUMBERVALUE("-0.002945")</f>
        <v/>
      </c>
      <c r="P1481">
        <f>_xlfn.NUMBERVALUE("-0.001044")</f>
        <v/>
      </c>
      <c r="Q1481">
        <f>_xlfn.NUMBERVALUE("-0.002897")</f>
        <v/>
      </c>
      <c r="R1481">
        <f>_xlfn.NUMBERVALUE("0.005457")</f>
        <v/>
      </c>
      <c r="S1481">
        <f>_xlfn.NUMBERVALUE("-0.002565")</f>
        <v/>
      </c>
      <c r="T1481">
        <f>_xlfn.NUMBERVALUE("0.001330")</f>
        <v/>
      </c>
      <c r="U1481">
        <f>_xlfn.NUMBERVALUE("0.000243")</f>
        <v/>
      </c>
      <c r="V1481">
        <f>_xlfn.NUMBERVALUE("-0.000074")</f>
        <v/>
      </c>
      <c r="W1481">
        <f>_xlfn.NUMBERVALUE("0.018638")</f>
        <v/>
      </c>
      <c r="X1481">
        <f>_xlfn.NUMBERVALUE("-2.250000")</f>
        <v/>
      </c>
      <c r="Y1481">
        <f>_xlfn.NUMBERVALUE("23.100000")</f>
        <v/>
      </c>
    </row>
    <row r="1482">
      <c r="A1482" s="1" t="n">
        <v>44151</v>
      </c>
      <c r="B1482">
        <f>_xlfn.NUMBERVALUE("0.000851")</f>
        <v/>
      </c>
      <c r="C1482" s="2">
        <f>_xlfn.NUMBERVALUE("0.001343")</f>
        <v/>
      </c>
      <c r="D1482">
        <f>_xlfn.NUMBERVALUE("-0.000153")</f>
        <v/>
      </c>
      <c r="E1482">
        <f>_xlfn.NUMBERVALUE("0.000023")</f>
        <v/>
      </c>
      <c r="F1482">
        <f>_xlfn.NUMBERVALUE("0.000985")</f>
        <v/>
      </c>
      <c r="G1482">
        <f>_xlfn.NUMBERVALUE("0.000072")</f>
        <v/>
      </c>
      <c r="H1482">
        <f>_xlfn.NUMBERVALUE("0.001410")</f>
        <v/>
      </c>
      <c r="I1482">
        <f>_xlfn.NUMBERVALUE("0.000649")</f>
        <v/>
      </c>
      <c r="J1482">
        <f>_xlfn.NUMBERVALUE("0.001640")</f>
        <v/>
      </c>
      <c r="K1482">
        <f>_xlfn.NUMBERVALUE("0.007999")</f>
        <v/>
      </c>
      <c r="L1482">
        <f>_xlfn.NUMBERVALUE("0.001862")</f>
        <v/>
      </c>
      <c r="M1482">
        <f>_xlfn.NUMBERVALUE("0.001472")</f>
        <v/>
      </c>
      <c r="N1482">
        <f>_xlfn.NUMBERVALUE("0.002075")</f>
        <v/>
      </c>
      <c r="O1482">
        <f>_xlfn.NUMBERVALUE("-0.004501")</f>
        <v/>
      </c>
      <c r="P1482">
        <f>_xlfn.NUMBERVALUE("0.001716")</f>
        <v/>
      </c>
      <c r="Q1482">
        <f>_xlfn.NUMBERVALUE("-0.001203")</f>
        <v/>
      </c>
      <c r="R1482">
        <f>_xlfn.NUMBERVALUE("0.004401")</f>
        <v/>
      </c>
      <c r="S1482">
        <f>_xlfn.NUMBERVALUE("0.001026")</f>
        <v/>
      </c>
      <c r="T1482">
        <f>_xlfn.NUMBERVALUE("0.001534")</f>
        <v/>
      </c>
      <c r="U1482">
        <f>_xlfn.NUMBERVALUE("0.002211")</f>
        <v/>
      </c>
      <c r="V1482">
        <f>_xlfn.NUMBERVALUE("0.001322")</f>
        <v/>
      </c>
      <c r="W1482">
        <f>_xlfn.NUMBERVALUE("0.007726")</f>
        <v/>
      </c>
      <c r="X1482">
        <f>_xlfn.NUMBERVALUE("-0.650000")</f>
        <v/>
      </c>
      <c r="Y1482">
        <f>_xlfn.NUMBERVALUE("22.450000")</f>
        <v/>
      </c>
    </row>
    <row r="1483">
      <c r="A1483" s="1" t="n">
        <v>44152</v>
      </c>
      <c r="B1483">
        <f>_xlfn.NUMBERVALUE("0.002305")</f>
        <v/>
      </c>
      <c r="C1483" s="2">
        <f>_xlfn.NUMBERVALUE("0.001005")</f>
        <v/>
      </c>
      <c r="D1483">
        <f>_xlfn.NUMBERVALUE("0.000732")</f>
        <v/>
      </c>
      <c r="E1483">
        <f>_xlfn.NUMBERVALUE("0.000299")</f>
        <v/>
      </c>
      <c r="F1483">
        <f>_xlfn.NUMBERVALUE("0.002339")</f>
        <v/>
      </c>
      <c r="G1483">
        <f>_xlfn.NUMBERVALUE("0.000728")</f>
        <v/>
      </c>
      <c r="H1483">
        <f>_xlfn.NUMBERVALUE("-0.000533")</f>
        <v/>
      </c>
      <c r="I1483">
        <f>_xlfn.NUMBERVALUE("0.000781")</f>
        <v/>
      </c>
      <c r="J1483">
        <f>_xlfn.NUMBERVALUE("-0.001850")</f>
        <v/>
      </c>
      <c r="K1483">
        <f>_xlfn.NUMBERVALUE("0.003508")</f>
        <v/>
      </c>
      <c r="L1483">
        <f>_xlfn.NUMBERVALUE("-0.000080")</f>
        <v/>
      </c>
      <c r="M1483">
        <f>_xlfn.NUMBERVALUE("0.002837")</f>
        <v/>
      </c>
      <c r="N1483">
        <f>_xlfn.NUMBERVALUE("0.002140")</f>
        <v/>
      </c>
      <c r="O1483">
        <f>_xlfn.NUMBERVALUE("0.000437")</f>
        <v/>
      </c>
      <c r="P1483">
        <f>_xlfn.NUMBERVALUE("0.000492")</f>
        <v/>
      </c>
      <c r="Q1483">
        <f>_xlfn.NUMBERVALUE("0.000929")</f>
        <v/>
      </c>
      <c r="R1483">
        <f>_xlfn.NUMBERVALUE("0.001573")</f>
        <v/>
      </c>
      <c r="S1483">
        <f>_xlfn.NUMBERVALUE("0.001211")</f>
        <v/>
      </c>
      <c r="T1483">
        <f>_xlfn.NUMBERVALUE("-0.001112")</f>
        <v/>
      </c>
      <c r="U1483">
        <f>_xlfn.NUMBERVALUE("0.001881")</f>
        <v/>
      </c>
      <c r="V1483">
        <f>_xlfn.NUMBERVALUE("0.000578")</f>
        <v/>
      </c>
      <c r="W1483">
        <f>_xlfn.NUMBERVALUE("-0.002602")</f>
        <v/>
      </c>
      <c r="X1483">
        <f>_xlfn.NUMBERVALUE("0.260000")</f>
        <v/>
      </c>
      <c r="Y1483">
        <f>_xlfn.NUMBERVALUE("22.710000")</f>
        <v/>
      </c>
    </row>
    <row r="1484">
      <c r="A1484" s="1" t="n">
        <v>44153</v>
      </c>
      <c r="B1484">
        <f>_xlfn.NUMBERVALUE("-0.000117")</f>
        <v/>
      </c>
      <c r="C1484" s="2">
        <f>_xlfn.NUMBERVALUE("0.000814")</f>
        <v/>
      </c>
      <c r="D1484">
        <f>_xlfn.NUMBERVALUE("0.000721")</f>
        <v/>
      </c>
      <c r="E1484">
        <f>_xlfn.NUMBERVALUE("-0.000075")</f>
        <v/>
      </c>
      <c r="F1484">
        <f>_xlfn.NUMBERVALUE("-0.000301")</f>
        <v/>
      </c>
      <c r="G1484">
        <f>_xlfn.NUMBERVALUE("0.000511")</f>
        <v/>
      </c>
      <c r="H1484">
        <f>_xlfn.NUMBERVALUE("0.000306")</f>
        <v/>
      </c>
      <c r="I1484">
        <f>_xlfn.NUMBERVALUE("0.000099")</f>
        <v/>
      </c>
      <c r="J1484">
        <f>_xlfn.NUMBERVALUE("0.001042")</f>
        <v/>
      </c>
      <c r="K1484">
        <f>_xlfn.NUMBERVALUE("0.006592")</f>
        <v/>
      </c>
      <c r="L1484">
        <f>_xlfn.NUMBERVALUE("0.000117")</f>
        <v/>
      </c>
      <c r="M1484">
        <f>_xlfn.NUMBERVALUE("0.000618")</f>
        <v/>
      </c>
      <c r="N1484">
        <f>_xlfn.NUMBERVALUE("0.002601")</f>
        <v/>
      </c>
      <c r="O1484">
        <f>_xlfn.NUMBERVALUE("-0.000798")</f>
        <v/>
      </c>
      <c r="P1484">
        <f>_xlfn.NUMBERVALUE("0.000849")</f>
        <v/>
      </c>
      <c r="Q1484">
        <f>_xlfn.NUMBERVALUE("0.000347")</f>
        <v/>
      </c>
      <c r="R1484">
        <f>_xlfn.NUMBERVALUE("0.001628")</f>
        <v/>
      </c>
      <c r="S1484">
        <f>_xlfn.NUMBERVALUE("0.000250")</f>
        <v/>
      </c>
      <c r="T1484">
        <f>_xlfn.NUMBERVALUE("-0.000090")</f>
        <v/>
      </c>
      <c r="U1484">
        <f>_xlfn.NUMBERVALUE("0.000085")</f>
        <v/>
      </c>
      <c r="V1484">
        <f>_xlfn.NUMBERVALUE("0.000396")</f>
        <v/>
      </c>
      <c r="W1484">
        <f>_xlfn.NUMBERVALUE("-0.006938")</f>
        <v/>
      </c>
      <c r="X1484">
        <f>_xlfn.NUMBERVALUE("1.130000")</f>
        <v/>
      </c>
      <c r="Y1484">
        <f>_xlfn.NUMBERVALUE("23.840000")</f>
        <v/>
      </c>
    </row>
    <row r="1485">
      <c r="A1485" s="1" t="n">
        <v>44154</v>
      </c>
      <c r="B1485">
        <f>_xlfn.NUMBERVALUE("0.003845")</f>
        <v/>
      </c>
      <c r="C1485" s="2">
        <f>_xlfn.NUMBERVALUE("0.000965")</f>
        <v/>
      </c>
      <c r="D1485">
        <f>_xlfn.NUMBERVALUE("0.000378")</f>
        <v/>
      </c>
      <c r="E1485">
        <f>_xlfn.NUMBERVALUE("0.000165")</f>
        <v/>
      </c>
      <c r="F1485">
        <f>_xlfn.NUMBERVALUE("-0.000117")</f>
        <v/>
      </c>
      <c r="G1485">
        <f>_xlfn.NUMBERVALUE("-0.000367")</f>
        <v/>
      </c>
      <c r="H1485">
        <f>_xlfn.NUMBERVALUE("0.000152")</f>
        <v/>
      </c>
      <c r="I1485">
        <f>_xlfn.NUMBERVALUE("0.000765")</f>
        <v/>
      </c>
      <c r="J1485">
        <f>_xlfn.NUMBERVALUE("0.000198")</f>
        <v/>
      </c>
      <c r="K1485">
        <f>_xlfn.NUMBERVALUE("0.001641")</f>
        <v/>
      </c>
      <c r="L1485">
        <f>_xlfn.NUMBERVALUE("0.000140")</f>
        <v/>
      </c>
      <c r="M1485">
        <f>_xlfn.NUMBERVALUE("0.000176")</f>
        <v/>
      </c>
      <c r="N1485">
        <f>_xlfn.NUMBERVALUE("0.000019")</f>
        <v/>
      </c>
      <c r="O1485">
        <f>_xlfn.NUMBERVALUE("0.000816")</f>
        <v/>
      </c>
      <c r="P1485">
        <f>_xlfn.NUMBERVALUE("0.001555")</f>
        <v/>
      </c>
      <c r="Q1485">
        <f>_xlfn.NUMBERVALUE("0.001442")</f>
        <v/>
      </c>
      <c r="R1485">
        <f>_xlfn.NUMBERVALUE("0.001434")</f>
        <v/>
      </c>
      <c r="S1485">
        <f>_xlfn.NUMBERVALUE("0.001195")</f>
        <v/>
      </c>
      <c r="T1485">
        <f>_xlfn.NUMBERVALUE("-0.002769")</f>
        <v/>
      </c>
      <c r="U1485">
        <f>_xlfn.NUMBERVALUE("0.001294")</f>
        <v/>
      </c>
      <c r="V1485">
        <f>_xlfn.NUMBERVALUE("0.001192")</f>
        <v/>
      </c>
      <c r="W1485">
        <f>_xlfn.NUMBERVALUE("0.000140")</f>
        <v/>
      </c>
      <c r="X1485">
        <f>_xlfn.NUMBERVALUE("-0.730000")</f>
        <v/>
      </c>
      <c r="Y1485">
        <f>_xlfn.NUMBERVALUE("23.110000")</f>
        <v/>
      </c>
    </row>
    <row r="1486">
      <c r="A1486" s="1" t="n">
        <v>44155</v>
      </c>
      <c r="B1486">
        <f>_xlfn.NUMBERVALUE("0.004668")</f>
        <v/>
      </c>
      <c r="C1486" s="2">
        <f>_xlfn.NUMBERVALUE("-0.001551")</f>
        <v/>
      </c>
      <c r="D1486">
        <f>_xlfn.NUMBERVALUE("0.000304")</f>
        <v/>
      </c>
      <c r="E1486">
        <f>_xlfn.NUMBERVALUE("0.000105")</f>
        <v/>
      </c>
      <c r="F1486">
        <f>_xlfn.NUMBERVALUE("0.003102")</f>
        <v/>
      </c>
      <c r="G1486">
        <f>_xlfn.NUMBERVALUE("-0.000685")</f>
        <v/>
      </c>
      <c r="H1486">
        <f>_xlfn.NUMBERVALUE("0.000024")</f>
        <v/>
      </c>
      <c r="I1486">
        <f>_xlfn.NUMBERVALUE("0.000538")</f>
        <v/>
      </c>
      <c r="J1486">
        <f>_xlfn.NUMBERVALUE("-0.000862")</f>
        <v/>
      </c>
      <c r="K1486">
        <f>_xlfn.NUMBERVALUE("0.005166")</f>
        <v/>
      </c>
      <c r="L1486">
        <f>_xlfn.NUMBERVALUE("-0.001912")</f>
        <v/>
      </c>
      <c r="M1486">
        <f>_xlfn.NUMBERVALUE("0.002007")</f>
        <v/>
      </c>
      <c r="N1486">
        <f>_xlfn.NUMBERVALUE("0.001883")</f>
        <v/>
      </c>
      <c r="O1486">
        <f>_xlfn.NUMBERVALUE("-0.000449")</f>
        <v/>
      </c>
      <c r="P1486">
        <f>_xlfn.NUMBERVALUE("0.000195")</f>
        <v/>
      </c>
      <c r="Q1486">
        <f>_xlfn.NUMBERVALUE("0.002652")</f>
        <v/>
      </c>
      <c r="R1486">
        <f>_xlfn.NUMBERVALUE("0.003103")</f>
        <v/>
      </c>
      <c r="S1486">
        <f>_xlfn.NUMBERVALUE("0.000814")</f>
        <v/>
      </c>
      <c r="T1486">
        <f>_xlfn.NUMBERVALUE("0.002122")</f>
        <v/>
      </c>
      <c r="U1486">
        <f>_xlfn.NUMBERVALUE("0.001957")</f>
        <v/>
      </c>
      <c r="V1486">
        <f>_xlfn.NUMBERVALUE("0.000743")</f>
        <v/>
      </c>
      <c r="W1486">
        <f>_xlfn.NUMBERVALUE("-0.003884")</f>
        <v/>
      </c>
      <c r="X1486">
        <f>_xlfn.NUMBERVALUE("0.590000")</f>
        <v/>
      </c>
      <c r="Y1486">
        <f>_xlfn.NUMBERVALUE("23.700000")</f>
        <v/>
      </c>
    </row>
    <row r="1487">
      <c r="A1487" s="1" t="n">
        <v>44158</v>
      </c>
      <c r="B1487">
        <f>_xlfn.NUMBERVALUE("-0.001497")</f>
        <v/>
      </c>
      <c r="C1487" s="2">
        <f>_xlfn.NUMBERVALUE("0.000420")</f>
        <v/>
      </c>
      <c r="D1487">
        <f>_xlfn.NUMBERVALUE("0.000812")</f>
        <v/>
      </c>
      <c r="E1487">
        <f>_xlfn.NUMBERVALUE("0.000087")</f>
        <v/>
      </c>
      <c r="F1487">
        <f>_xlfn.NUMBERVALUE("-0.005431")</f>
        <v/>
      </c>
      <c r="G1487">
        <f>_xlfn.NUMBERVALUE("0.002219")</f>
        <v/>
      </c>
      <c r="H1487">
        <f>_xlfn.NUMBERVALUE("0.000624")</f>
        <v/>
      </c>
      <c r="I1487">
        <f>_xlfn.NUMBERVALUE("0.000154")</f>
        <v/>
      </c>
      <c r="J1487">
        <f>_xlfn.NUMBERVALUE("0.000910")</f>
        <v/>
      </c>
      <c r="K1487">
        <f>_xlfn.NUMBERVALUE("-0.003981")</f>
        <v/>
      </c>
      <c r="L1487">
        <f>_xlfn.NUMBERVALUE("0.001501")</f>
        <v/>
      </c>
      <c r="M1487">
        <f>_xlfn.NUMBERVALUE("0.001741")</f>
        <v/>
      </c>
      <c r="N1487">
        <f>_xlfn.NUMBERVALUE("0.002329")</f>
        <v/>
      </c>
      <c r="O1487">
        <f>_xlfn.NUMBERVALUE("-0.001145")</f>
        <v/>
      </c>
      <c r="P1487">
        <f>_xlfn.NUMBERVALUE("0.000526")</f>
        <v/>
      </c>
      <c r="Q1487">
        <f>_xlfn.NUMBERVALUE("0.001439")</f>
        <v/>
      </c>
      <c r="R1487">
        <f>_xlfn.NUMBERVALUE("0.003487")</f>
        <v/>
      </c>
      <c r="S1487">
        <f>_xlfn.NUMBERVALUE("0.002283")</f>
        <v/>
      </c>
      <c r="T1487">
        <f>_xlfn.NUMBERVALUE("0.003398")</f>
        <v/>
      </c>
      <c r="U1487">
        <f>_xlfn.NUMBERVALUE("0.002098")</f>
        <v/>
      </c>
      <c r="V1487">
        <f>_xlfn.NUMBERVALUE("0.001309")</f>
        <v/>
      </c>
      <c r="W1487">
        <f>_xlfn.NUMBERVALUE("0.003366")</f>
        <v/>
      </c>
      <c r="X1487">
        <f>_xlfn.NUMBERVALUE("-1.040000")</f>
        <v/>
      </c>
      <c r="Y1487">
        <f>_xlfn.NUMBERVALUE("22.660000")</f>
        <v/>
      </c>
    </row>
    <row r="1488">
      <c r="A1488" s="1" t="n">
        <v>44159</v>
      </c>
      <c r="B1488">
        <f>_xlfn.NUMBERVALUE("0.004166")</f>
        <v/>
      </c>
      <c r="C1488" s="2">
        <f>_xlfn.NUMBERVALUE("-0.000214")</f>
        <v/>
      </c>
      <c r="D1488">
        <f>_xlfn.NUMBERVALUE("-0.000114")</f>
        <v/>
      </c>
      <c r="E1488">
        <f>_xlfn.NUMBERVALUE("-0.000265")</f>
        <v/>
      </c>
      <c r="F1488">
        <f>_xlfn.NUMBERVALUE("-0.002430")</f>
        <v/>
      </c>
      <c r="G1488">
        <f>_xlfn.NUMBERVALUE("-0.000601")</f>
        <v/>
      </c>
      <c r="H1488">
        <f>_xlfn.NUMBERVALUE("0.000670")</f>
        <v/>
      </c>
      <c r="I1488">
        <f>_xlfn.NUMBERVALUE("-0.000112")</f>
        <v/>
      </c>
      <c r="J1488">
        <f>_xlfn.NUMBERVALUE("-0.000087")</f>
        <v/>
      </c>
      <c r="K1488">
        <f>_xlfn.NUMBERVALUE("-0.003336")</f>
        <v/>
      </c>
      <c r="L1488">
        <f>_xlfn.NUMBERVALUE("0.000405")</f>
        <v/>
      </c>
      <c r="M1488">
        <f>_xlfn.NUMBERVALUE("-0.004149")</f>
        <v/>
      </c>
      <c r="N1488">
        <f>_xlfn.NUMBERVALUE("-0.003448")</f>
        <v/>
      </c>
      <c r="O1488">
        <f>_xlfn.NUMBERVALUE("-0.000478")</f>
        <v/>
      </c>
      <c r="P1488">
        <f>_xlfn.NUMBERVALUE("-0.000666")</f>
        <v/>
      </c>
      <c r="Q1488">
        <f>_xlfn.NUMBERVALUE("-0.000573")</f>
        <v/>
      </c>
      <c r="R1488">
        <f>_xlfn.NUMBERVALUE("-0.000034")</f>
        <v/>
      </c>
      <c r="S1488">
        <f>_xlfn.NUMBERVALUE("0.000345")</f>
        <v/>
      </c>
      <c r="T1488">
        <f>_xlfn.NUMBERVALUE("-0.000431")</f>
        <v/>
      </c>
      <c r="U1488">
        <f>_xlfn.NUMBERVALUE("-0.001609")</f>
        <v/>
      </c>
      <c r="V1488">
        <f>_xlfn.NUMBERVALUE("-0.000146")</f>
        <v/>
      </c>
      <c r="W1488">
        <f>_xlfn.NUMBERVALUE("0.015348")</f>
        <v/>
      </c>
      <c r="X1488">
        <f>_xlfn.NUMBERVALUE("-1.020000")</f>
        <v/>
      </c>
      <c r="Y1488">
        <f>_xlfn.NUMBERVALUE("21.640000")</f>
        <v/>
      </c>
    </row>
    <row r="1489">
      <c r="A1489" s="1" t="n">
        <v>44160</v>
      </c>
      <c r="B1489">
        <f>_xlfn.NUMBERVALUE("-0.000585")</f>
        <v/>
      </c>
      <c r="C1489" s="2">
        <f>_xlfn.NUMBERVALUE("-0.000030")</f>
        <v/>
      </c>
      <c r="D1489">
        <f>_xlfn.NUMBERVALUE("0.000002")</f>
        <v/>
      </c>
      <c r="E1489">
        <f>_xlfn.NUMBERVALUE("0.000250")</f>
        <v/>
      </c>
      <c r="F1489">
        <f>_xlfn.NUMBERVALUE("0.000562")</f>
        <v/>
      </c>
      <c r="G1489">
        <f>_xlfn.NUMBERVALUE("0.000501")</f>
        <v/>
      </c>
      <c r="H1489">
        <f>_xlfn.NUMBERVALUE("0.000307")</f>
        <v/>
      </c>
      <c r="I1489">
        <f>_xlfn.NUMBERVALUE("-0.000010")</f>
        <v/>
      </c>
      <c r="J1489">
        <f>_xlfn.NUMBERVALUE("0.000579")</f>
        <v/>
      </c>
      <c r="K1489">
        <f>_xlfn.NUMBERVALUE("0.004233")</f>
        <v/>
      </c>
      <c r="L1489">
        <f>_xlfn.NUMBERVALUE("0.001531")</f>
        <v/>
      </c>
      <c r="M1489">
        <f>_xlfn.NUMBERVALUE("0.001909")</f>
        <v/>
      </c>
      <c r="N1489">
        <f>_xlfn.NUMBERVALUE("0.001981")</f>
        <v/>
      </c>
      <c r="O1489">
        <f>_xlfn.NUMBERVALUE("0.000456")</f>
        <v/>
      </c>
      <c r="P1489">
        <f>_xlfn.NUMBERVALUE("0.000173")</f>
        <v/>
      </c>
      <c r="Q1489">
        <f>_xlfn.NUMBERVALUE("-0.000410")</f>
        <v/>
      </c>
      <c r="R1489">
        <f>_xlfn.NUMBERVALUE("0.002145")</f>
        <v/>
      </c>
      <c r="S1489">
        <f>_xlfn.NUMBERVALUE("0.000570")</f>
        <v/>
      </c>
      <c r="T1489">
        <f>_xlfn.NUMBERVALUE("0.001938")</f>
        <v/>
      </c>
      <c r="U1489">
        <f>_xlfn.NUMBERVALUE("0.001298")</f>
        <v/>
      </c>
      <c r="V1489">
        <f>_xlfn.NUMBERVALUE("0.000205")</f>
        <v/>
      </c>
      <c r="W1489">
        <f>_xlfn.NUMBERVALUE("-0.000826")</f>
        <v/>
      </c>
      <c r="X1489">
        <f>_xlfn.NUMBERVALUE("-0.390000")</f>
        <v/>
      </c>
      <c r="Y1489">
        <f>_xlfn.NUMBERVALUE("21.250000")</f>
        <v/>
      </c>
    </row>
    <row r="1490">
      <c r="A1490" s="1" t="n">
        <v>44162</v>
      </c>
      <c r="B1490">
        <f>_xlfn.NUMBERVALUE("-0.004911")</f>
        <v/>
      </c>
      <c r="C1490" s="2">
        <f>_xlfn.NUMBERVALUE("-0.000036")</f>
        <v/>
      </c>
      <c r="D1490">
        <f>_xlfn.NUMBERVALUE("0.000075")</f>
        <v/>
      </c>
      <c r="E1490">
        <f>_xlfn.NUMBERVALUE("-0.000252")</f>
        <v/>
      </c>
      <c r="F1490">
        <f>_xlfn.NUMBERVALUE("0.000121")</f>
        <v/>
      </c>
      <c r="G1490">
        <f>_xlfn.NUMBERVALUE("0.000641")</f>
        <v/>
      </c>
      <c r="H1490">
        <f>_xlfn.NUMBERVALUE("0.000493")</f>
        <v/>
      </c>
      <c r="I1490">
        <f>_xlfn.NUMBERVALUE("-0.000015")</f>
        <v/>
      </c>
      <c r="J1490">
        <f>_xlfn.NUMBERVALUE("0.000057")</f>
        <v/>
      </c>
      <c r="K1490">
        <f>_xlfn.NUMBERVALUE("-0.005044")</f>
        <v/>
      </c>
      <c r="L1490">
        <f>_xlfn.NUMBERVALUE("-0.001402")</f>
        <v/>
      </c>
      <c r="M1490">
        <f>_xlfn.NUMBERVALUE("0.000619")</f>
        <v/>
      </c>
      <c r="N1490">
        <f>_xlfn.NUMBERVALUE("0.000340")</f>
        <v/>
      </c>
      <c r="O1490">
        <f>_xlfn.NUMBERVALUE("-0.000419")</f>
        <v/>
      </c>
      <c r="P1490">
        <f>_xlfn.NUMBERVALUE("-0.000334")</f>
        <v/>
      </c>
      <c r="Q1490">
        <f>_xlfn.NUMBERVALUE("0.000239")</f>
        <v/>
      </c>
      <c r="R1490">
        <f>_xlfn.NUMBERVALUE("0.000765")</f>
        <v/>
      </c>
      <c r="S1490">
        <f>_xlfn.NUMBERVALUE("0.001378")</f>
        <v/>
      </c>
      <c r="T1490">
        <f>_xlfn.NUMBERVALUE("0.000207")</f>
        <v/>
      </c>
      <c r="U1490">
        <f>_xlfn.NUMBERVALUE("0.001604")</f>
        <v/>
      </c>
      <c r="V1490">
        <f>_xlfn.NUMBERVALUE("-0.000023")</f>
        <v/>
      </c>
      <c r="W1490">
        <f>_xlfn.NUMBERVALUE("0.000606")</f>
        <v/>
      </c>
      <c r="X1490">
        <f>_xlfn.NUMBERVALUE("-0.410000")</f>
        <v/>
      </c>
      <c r="Y1490">
        <f>_xlfn.NUMBERVALUE("20.840000")</f>
        <v/>
      </c>
    </row>
    <row r="1491">
      <c r="A1491" s="1" t="n">
        <v>44165</v>
      </c>
      <c r="B1491">
        <f>_xlfn.NUMBERVALUE("0.001042")</f>
        <v/>
      </c>
      <c r="C1491" s="2">
        <f>_xlfn.NUMBERVALUE("-0.000001")</f>
        <v/>
      </c>
      <c r="D1491">
        <f>_xlfn.NUMBERVALUE("-0.000065")</f>
        <v/>
      </c>
      <c r="E1491">
        <f>_xlfn.NUMBERVALUE("-0.000010")</f>
        <v/>
      </c>
      <c r="F1491">
        <f>_xlfn.NUMBERVALUE("-0.000167")</f>
        <v/>
      </c>
      <c r="G1491">
        <f>_xlfn.NUMBERVALUE("-0.001115")</f>
        <v/>
      </c>
      <c r="H1491">
        <f>_xlfn.NUMBERVALUE("0.000628")</f>
        <v/>
      </c>
      <c r="I1491">
        <f>_xlfn.NUMBERVALUE("0.000013")</f>
        <v/>
      </c>
      <c r="J1491">
        <f>_xlfn.NUMBERVALUE("-0.000126")</f>
        <v/>
      </c>
      <c r="K1491">
        <f>_xlfn.NUMBERVALUE("0.002367")</f>
        <v/>
      </c>
      <c r="L1491">
        <f>_xlfn.NUMBERVALUE("0.001673")</f>
        <v/>
      </c>
      <c r="M1491">
        <f>_xlfn.NUMBERVALUE("0.001219")</f>
        <v/>
      </c>
      <c r="N1491">
        <f>_xlfn.NUMBERVALUE("0.001818")</f>
        <v/>
      </c>
      <c r="O1491">
        <f>_xlfn.NUMBERVALUE("0.003124")</f>
        <v/>
      </c>
      <c r="P1491">
        <f>_xlfn.NUMBERVALUE("0.000286")</f>
        <v/>
      </c>
      <c r="Q1491">
        <f>_xlfn.NUMBERVALUE("0.001811")</f>
        <v/>
      </c>
      <c r="R1491">
        <f>_xlfn.NUMBERVALUE("0.000581")</f>
        <v/>
      </c>
      <c r="S1491">
        <f>_xlfn.NUMBERVALUE("0.000133")</f>
        <v/>
      </c>
      <c r="T1491">
        <f>_xlfn.NUMBERVALUE("-0.002814")</f>
        <v/>
      </c>
      <c r="U1491">
        <f>_xlfn.NUMBERVALUE("0.001471")</f>
        <v/>
      </c>
      <c r="V1491">
        <f>_xlfn.NUMBERVALUE("-0.000105")</f>
        <v/>
      </c>
      <c r="W1491">
        <f>_xlfn.NUMBERVALUE("-0.004324")</f>
        <v/>
      </c>
      <c r="X1491">
        <f>_xlfn.NUMBERVALUE("-0.270000")</f>
        <v/>
      </c>
      <c r="Y1491">
        <f>_xlfn.NUMBERVALUE("20.570000")</f>
        <v/>
      </c>
    </row>
    <row r="1492">
      <c r="A1492" s="1" t="n">
        <v>44166</v>
      </c>
      <c r="B1492">
        <f>_xlfn.NUMBERVALUE("0.001369")</f>
        <v/>
      </c>
      <c r="C1492" s="2">
        <f>_xlfn.NUMBERVALUE("0.000230")</f>
        <v/>
      </c>
      <c r="D1492">
        <f>_xlfn.NUMBERVALUE("-0.000006")</f>
        <v/>
      </c>
      <c r="E1492">
        <f>_xlfn.NUMBERVALUE("-0.000005")</f>
        <v/>
      </c>
      <c r="F1492">
        <f>_xlfn.NUMBERVALUE("0.000177")</f>
        <v/>
      </c>
      <c r="G1492">
        <f>_xlfn.NUMBERVALUE("-0.001122")</f>
        <v/>
      </c>
      <c r="H1492">
        <f>_xlfn.NUMBERVALUE("-0.002231")</f>
        <v/>
      </c>
      <c r="I1492">
        <f>_xlfn.NUMBERVALUE("-0.000016")</f>
        <v/>
      </c>
      <c r="J1492">
        <f>_xlfn.NUMBERVALUE("-0.000973")</f>
        <v/>
      </c>
      <c r="K1492">
        <f>_xlfn.NUMBERVALUE("-0.007154")</f>
        <v/>
      </c>
      <c r="L1492">
        <f>_xlfn.NUMBERVALUE("-0.004596")</f>
        <v/>
      </c>
      <c r="M1492">
        <f>_xlfn.NUMBERVALUE("0.000239")</f>
        <v/>
      </c>
      <c r="N1492">
        <f>_xlfn.NUMBERVALUE("-0.002649")</f>
        <v/>
      </c>
      <c r="O1492">
        <f>_xlfn.NUMBERVALUE("0.000298")</f>
        <v/>
      </c>
      <c r="P1492">
        <f>_xlfn.NUMBERVALUE("-0.000018")</f>
        <v/>
      </c>
      <c r="Q1492">
        <f>_xlfn.NUMBERVALUE("0.000416")</f>
        <v/>
      </c>
      <c r="R1492">
        <f>_xlfn.NUMBERVALUE("-0.001389")</f>
        <v/>
      </c>
      <c r="S1492">
        <f>_xlfn.NUMBERVALUE("-0.000316")</f>
        <v/>
      </c>
      <c r="T1492">
        <f>_xlfn.NUMBERVALUE("-0.001927")</f>
        <v/>
      </c>
      <c r="U1492">
        <f>_xlfn.NUMBERVALUE("0.000257")</f>
        <v/>
      </c>
      <c r="V1492">
        <f>_xlfn.NUMBERVALUE("0.000000")</f>
        <v/>
      </c>
      <c r="W1492">
        <f>_xlfn.NUMBERVALUE("0.011589")</f>
        <v/>
      </c>
      <c r="X1492">
        <f>_xlfn.NUMBERVALUE("0.200000")</f>
        <v/>
      </c>
      <c r="Y1492">
        <f>_xlfn.NUMBERVALUE("20.770000")</f>
        <v/>
      </c>
    </row>
    <row r="1493">
      <c r="A1493" s="1" t="n">
        <v>44167</v>
      </c>
      <c r="B1493">
        <f>_xlfn.NUMBERVALUE("0.001824")</f>
        <v/>
      </c>
      <c r="C1493" s="2">
        <f>_xlfn.NUMBERVALUE("-0.000243")</f>
        <v/>
      </c>
      <c r="D1493">
        <f>_xlfn.NUMBERVALUE("-0.000000")</f>
        <v/>
      </c>
      <c r="E1493">
        <f>_xlfn.NUMBERVALUE("0.000013")</f>
        <v/>
      </c>
      <c r="F1493">
        <f>_xlfn.NUMBERVALUE("0.000003")</f>
        <v/>
      </c>
      <c r="G1493">
        <f>_xlfn.NUMBERVALUE("0.000003")</f>
        <v/>
      </c>
      <c r="H1493">
        <f>_xlfn.NUMBERVALUE("-0.000081")</f>
        <v/>
      </c>
      <c r="I1493">
        <f>_xlfn.NUMBERVALUE("-0.000019")</f>
        <v/>
      </c>
      <c r="J1493">
        <f>_xlfn.NUMBERVALUE("-0.000119")</f>
        <v/>
      </c>
      <c r="K1493">
        <f>_xlfn.NUMBERVALUE("0.012906")</f>
        <v/>
      </c>
      <c r="L1493">
        <f>_xlfn.NUMBERVALUE("-0.001120")</f>
        <v/>
      </c>
      <c r="M1493">
        <f>_xlfn.NUMBERVALUE("0.001616")</f>
        <v/>
      </c>
      <c r="N1493">
        <f>_xlfn.NUMBERVALUE("0.000429")</f>
        <v/>
      </c>
      <c r="O1493">
        <f>_xlfn.NUMBERVALUE("-0.003623")</f>
        <v/>
      </c>
      <c r="P1493">
        <f>_xlfn.NUMBERVALUE("-0.000003")</f>
        <v/>
      </c>
      <c r="Q1493">
        <f>_xlfn.NUMBERVALUE("0.000246")</f>
        <v/>
      </c>
      <c r="R1493">
        <f>_xlfn.NUMBERVALUE("0.002439")</f>
        <v/>
      </c>
      <c r="S1493">
        <f>_xlfn.NUMBERVALUE("0.001344")</f>
        <v/>
      </c>
      <c r="T1493">
        <f>_xlfn.NUMBERVALUE("0.001596")</f>
        <v/>
      </c>
      <c r="U1493">
        <f>_xlfn.NUMBERVALUE("0.002713")</f>
        <v/>
      </c>
      <c r="V1493">
        <f>_xlfn.NUMBERVALUE("-0.000000")</f>
        <v/>
      </c>
      <c r="W1493">
        <f>_xlfn.NUMBERVALUE("0.001203")</f>
        <v/>
      </c>
      <c r="X1493">
        <f>_xlfn.NUMBERVALUE("0.400000")</f>
        <v/>
      </c>
      <c r="Y1493">
        <f>_xlfn.NUMBERVALUE("21.170000")</f>
        <v/>
      </c>
    </row>
    <row r="1494">
      <c r="A1494" s="1" t="n">
        <v>44168</v>
      </c>
      <c r="B1494">
        <f>_xlfn.NUMBERVALUE("0.000303")</f>
        <v/>
      </c>
      <c r="C1494" s="2">
        <f>_xlfn.NUMBERVALUE("0.002470")</f>
        <v/>
      </c>
      <c r="D1494">
        <f>_xlfn.NUMBERVALUE("-0.002145")</f>
        <v/>
      </c>
      <c r="E1494">
        <f>_xlfn.NUMBERVALUE("0.000271")</f>
        <v/>
      </c>
      <c r="F1494">
        <f>_xlfn.NUMBERVALUE("0.000076")</f>
        <v/>
      </c>
      <c r="G1494">
        <f>_xlfn.NUMBERVALUE("-0.000501")</f>
        <v/>
      </c>
      <c r="H1494">
        <f>_xlfn.NUMBERVALUE("0.001446")</f>
        <v/>
      </c>
      <c r="I1494">
        <f>_xlfn.NUMBERVALUE("-0.000098")</f>
        <v/>
      </c>
      <c r="J1494">
        <f>_xlfn.NUMBERVALUE("-0.000880")</f>
        <v/>
      </c>
      <c r="K1494">
        <f>_xlfn.NUMBERVALUE("0.001693")</f>
        <v/>
      </c>
      <c r="L1494">
        <f>_xlfn.NUMBERVALUE("0.003489")</f>
        <v/>
      </c>
      <c r="M1494">
        <f>_xlfn.NUMBERVALUE("0.003671")</f>
        <v/>
      </c>
      <c r="N1494">
        <f>_xlfn.NUMBERVALUE("0.002086")</f>
        <v/>
      </c>
      <c r="O1494">
        <f>_xlfn.NUMBERVALUE("0.000771")</f>
        <v/>
      </c>
      <c r="P1494">
        <f>_xlfn.NUMBERVALUE("0.000707")</f>
        <v/>
      </c>
      <c r="Q1494">
        <f>_xlfn.NUMBERVALUE("0.000789")</f>
        <v/>
      </c>
      <c r="R1494">
        <f>_xlfn.NUMBERVALUE("0.000647")</f>
        <v/>
      </c>
      <c r="S1494">
        <f>_xlfn.NUMBERVALUE("0.000427")</f>
        <v/>
      </c>
      <c r="T1494">
        <f>_xlfn.NUMBERVALUE("0.000349")</f>
        <v/>
      </c>
      <c r="U1494">
        <f>_xlfn.NUMBERVALUE("-0.000359")</f>
        <v/>
      </c>
      <c r="V1494">
        <f>_xlfn.NUMBERVALUE("0.000742")</f>
        <v/>
      </c>
      <c r="W1494">
        <f>_xlfn.NUMBERVALUE("-0.000818")</f>
        <v/>
      </c>
      <c r="X1494">
        <f>_xlfn.NUMBERVALUE("0.110000")</f>
        <v/>
      </c>
      <c r="Y1494">
        <f>_xlfn.NUMBERVALUE("21.280000")</f>
        <v/>
      </c>
    </row>
    <row r="1495">
      <c r="A1495" s="1" t="n">
        <v>44169</v>
      </c>
      <c r="B1495">
        <f>_xlfn.NUMBERVALUE("-0.004074")</f>
        <v/>
      </c>
      <c r="C1495" s="2">
        <f>_xlfn.NUMBERVALUE("0.000416")</f>
        <v/>
      </c>
      <c r="D1495">
        <f>_xlfn.NUMBERVALUE("-0.001026")</f>
        <v/>
      </c>
      <c r="E1495">
        <f>_xlfn.NUMBERVALUE("-0.000315")</f>
        <v/>
      </c>
      <c r="F1495">
        <f>_xlfn.NUMBERVALUE("0.001720")</f>
        <v/>
      </c>
      <c r="G1495">
        <f>_xlfn.NUMBERVALUE("0.000546")</f>
        <v/>
      </c>
      <c r="H1495">
        <f>_xlfn.NUMBERVALUE("-0.002204")</f>
        <v/>
      </c>
      <c r="I1495">
        <f>_xlfn.NUMBERVALUE("-0.003505")</f>
        <v/>
      </c>
      <c r="J1495">
        <f>_xlfn.NUMBERVALUE("0.000658")</f>
        <v/>
      </c>
      <c r="K1495">
        <f>_xlfn.NUMBERVALUE("0.002191")</f>
        <v/>
      </c>
      <c r="L1495">
        <f>_xlfn.NUMBERVALUE("-0.002720")</f>
        <v/>
      </c>
      <c r="M1495">
        <f>_xlfn.NUMBERVALUE("-0.002809")</f>
        <v/>
      </c>
      <c r="N1495">
        <f>_xlfn.NUMBERVALUE("-0.000577")</f>
        <v/>
      </c>
      <c r="O1495">
        <f>_xlfn.NUMBERVALUE("-0.000817")</f>
        <v/>
      </c>
      <c r="P1495">
        <f>_xlfn.NUMBERVALUE("-0.000496")</f>
        <v/>
      </c>
      <c r="Q1495">
        <f>_xlfn.NUMBERVALUE("-0.000597")</f>
        <v/>
      </c>
      <c r="R1495">
        <f>_xlfn.NUMBERVALUE("-0.000075")</f>
        <v/>
      </c>
      <c r="S1495">
        <f>_xlfn.NUMBERVALUE("-0.000428")</f>
        <v/>
      </c>
      <c r="T1495">
        <f>_xlfn.NUMBERVALUE("-0.000544")</f>
        <v/>
      </c>
      <c r="U1495">
        <f>_xlfn.NUMBERVALUE("0.001501")</f>
        <v/>
      </c>
      <c r="V1495">
        <f>_xlfn.NUMBERVALUE("-0.000147")</f>
        <v/>
      </c>
      <c r="W1495">
        <f>_xlfn.NUMBERVALUE("0.008135")</f>
        <v/>
      </c>
      <c r="X1495">
        <f>_xlfn.NUMBERVALUE("-0.490000")</f>
        <v/>
      </c>
      <c r="Y1495">
        <f>_xlfn.NUMBERVALUE("20.790000")</f>
        <v/>
      </c>
    </row>
    <row r="1496">
      <c r="A1496" s="1" t="n">
        <v>44172</v>
      </c>
      <c r="B1496">
        <f>_xlfn.NUMBERVALUE("0.001739")</f>
        <v/>
      </c>
      <c r="C1496" s="2">
        <f>_xlfn.NUMBERVALUE("0.001761")</f>
        <v/>
      </c>
      <c r="D1496">
        <f>_xlfn.NUMBERVALUE("0.003325")</f>
        <v/>
      </c>
      <c r="E1496">
        <f>_xlfn.NUMBERVALUE("0.001523")</f>
        <v/>
      </c>
      <c r="F1496">
        <f>_xlfn.NUMBERVALUE("-0.000869")</f>
        <v/>
      </c>
      <c r="G1496">
        <f>_xlfn.NUMBERVALUE("0.000557")</f>
        <v/>
      </c>
      <c r="H1496">
        <f>_xlfn.NUMBERVALUE("0.001247")</f>
        <v/>
      </c>
      <c r="I1496">
        <f>_xlfn.NUMBERVALUE("0.000822")</f>
        <v/>
      </c>
      <c r="J1496">
        <f>_xlfn.NUMBERVALUE("0.000798")</f>
        <v/>
      </c>
      <c r="K1496">
        <f>_xlfn.NUMBERVALUE("-0.000175")</f>
        <v/>
      </c>
      <c r="L1496">
        <f>_xlfn.NUMBERVALUE("0.001611")</f>
        <v/>
      </c>
      <c r="M1496">
        <f>_xlfn.NUMBERVALUE("0.000591")</f>
        <v/>
      </c>
      <c r="N1496">
        <f>_xlfn.NUMBERVALUE("0.001006")</f>
        <v/>
      </c>
      <c r="O1496">
        <f>_xlfn.NUMBERVALUE("-0.000003")</f>
        <v/>
      </c>
      <c r="P1496">
        <f>_xlfn.NUMBERVALUE("-0.000219")</f>
        <v/>
      </c>
      <c r="Q1496">
        <f>_xlfn.NUMBERVALUE("-0.000015")</f>
        <v/>
      </c>
      <c r="R1496">
        <f>_xlfn.NUMBERVALUE("0.001193")</f>
        <v/>
      </c>
      <c r="S1496">
        <f>_xlfn.NUMBERVALUE("0.000025")</f>
        <v/>
      </c>
      <c r="T1496">
        <f>_xlfn.NUMBERVALUE("0.000994")</f>
        <v/>
      </c>
      <c r="U1496">
        <f>_xlfn.NUMBERVALUE("0.001517")</f>
        <v/>
      </c>
      <c r="V1496">
        <f>_xlfn.NUMBERVALUE("0.002115")</f>
        <v/>
      </c>
      <c r="W1496">
        <f>_xlfn.NUMBERVALUE("-0.003114")</f>
        <v/>
      </c>
      <c r="X1496">
        <f>_xlfn.NUMBERVALUE("0.510000")</f>
        <v/>
      </c>
      <c r="Y1496">
        <f>_xlfn.NUMBERVALUE("21.300000")</f>
        <v/>
      </c>
    </row>
    <row r="1497">
      <c r="A1497" s="1" t="n">
        <v>44173</v>
      </c>
      <c r="B1497">
        <f>_xlfn.NUMBERVALUE("0.006878")</f>
        <v/>
      </c>
      <c r="C1497" s="2">
        <f>_xlfn.NUMBERVALUE("0.000470")</f>
        <v/>
      </c>
      <c r="D1497">
        <f>_xlfn.NUMBERVALUE("0.003767")</f>
        <v/>
      </c>
      <c r="E1497">
        <f>_xlfn.NUMBERVALUE("0.001626")</f>
        <v/>
      </c>
      <c r="F1497">
        <f>_xlfn.NUMBERVALUE("0.000466")</f>
        <v/>
      </c>
      <c r="G1497">
        <f>_xlfn.NUMBERVALUE("0.001027")</f>
        <v/>
      </c>
      <c r="H1497">
        <f>_xlfn.NUMBERVALUE("-0.000870")</f>
        <v/>
      </c>
      <c r="I1497">
        <f>_xlfn.NUMBERVALUE("0.000346")</f>
        <v/>
      </c>
      <c r="J1497">
        <f>_xlfn.NUMBERVALUE("0.000286")</f>
        <v/>
      </c>
      <c r="K1497">
        <f>_xlfn.NUMBERVALUE("0.006609")</f>
        <v/>
      </c>
      <c r="L1497">
        <f>_xlfn.NUMBERVALUE("0.000102")</f>
        <v/>
      </c>
      <c r="M1497">
        <f>_xlfn.NUMBERVALUE("0.001391")</f>
        <v/>
      </c>
      <c r="N1497">
        <f>_xlfn.NUMBERVALUE("0.001310")</f>
        <v/>
      </c>
      <c r="O1497">
        <f>_xlfn.NUMBERVALUE("0.001354")</f>
        <v/>
      </c>
      <c r="P1497">
        <f>_xlfn.NUMBERVALUE("0.002370")</f>
        <v/>
      </c>
      <c r="Q1497">
        <f>_xlfn.NUMBERVALUE("0.001240")</f>
        <v/>
      </c>
      <c r="R1497">
        <f>_xlfn.NUMBERVALUE("0.003315")</f>
        <v/>
      </c>
      <c r="S1497">
        <f>_xlfn.NUMBERVALUE("0.001994")</f>
        <v/>
      </c>
      <c r="T1497">
        <f>_xlfn.NUMBERVALUE("0.000228")</f>
        <v/>
      </c>
      <c r="U1497">
        <f>_xlfn.NUMBERVALUE("0.002369")</f>
        <v/>
      </c>
      <c r="V1497">
        <f>_xlfn.NUMBERVALUE("0.001392")</f>
        <v/>
      </c>
      <c r="W1497">
        <f>_xlfn.NUMBERVALUE("0.005623")</f>
        <v/>
      </c>
      <c r="X1497">
        <f>_xlfn.NUMBERVALUE("-0.620000")</f>
        <v/>
      </c>
      <c r="Y1497">
        <f>_xlfn.NUMBERVALUE("20.680000")</f>
        <v/>
      </c>
    </row>
    <row r="1498">
      <c r="A1498" s="1" t="n">
        <v>44174</v>
      </c>
      <c r="B1498">
        <f>_xlfn.NUMBERVALUE("-0.008380")</f>
        <v/>
      </c>
      <c r="C1498" s="2">
        <f>_xlfn.NUMBERVALUE("0.000936")</f>
        <v/>
      </c>
      <c r="D1498">
        <f>_xlfn.NUMBERVALUE("0.000065")</f>
        <v/>
      </c>
      <c r="E1498">
        <f>_xlfn.NUMBERVALUE("0.000568")</f>
        <v/>
      </c>
      <c r="F1498">
        <f>_xlfn.NUMBERVALUE("-0.002966")</f>
        <v/>
      </c>
      <c r="G1498">
        <f>_xlfn.NUMBERVALUE("-0.001384")</f>
        <v/>
      </c>
      <c r="H1498">
        <f>_xlfn.NUMBERVALUE("-0.000102")</f>
        <v/>
      </c>
      <c r="I1498">
        <f>_xlfn.NUMBERVALUE("-0.001476")</f>
        <v/>
      </c>
      <c r="J1498">
        <f>_xlfn.NUMBERVALUE("-0.000475")</f>
        <v/>
      </c>
      <c r="K1498">
        <f>_xlfn.NUMBERVALUE("-0.002887")</f>
        <v/>
      </c>
      <c r="L1498">
        <f>_xlfn.NUMBERVALUE("0.000203")</f>
        <v/>
      </c>
      <c r="M1498">
        <f>_xlfn.NUMBERVALUE("0.001928")</f>
        <v/>
      </c>
      <c r="N1498">
        <f>_xlfn.NUMBERVALUE("-0.001828")</f>
        <v/>
      </c>
      <c r="O1498">
        <f>_xlfn.NUMBERVALUE("0.003625")</f>
        <v/>
      </c>
      <c r="P1498">
        <f>_xlfn.NUMBERVALUE("0.001068")</f>
        <v/>
      </c>
      <c r="Q1498">
        <f>_xlfn.NUMBERVALUE("0.001431")</f>
        <v/>
      </c>
      <c r="R1498">
        <f>_xlfn.NUMBERVALUE("-0.005227")</f>
        <v/>
      </c>
      <c r="S1498">
        <f>_xlfn.NUMBERVALUE("0.000365")</f>
        <v/>
      </c>
      <c r="T1498">
        <f>_xlfn.NUMBERVALUE("0.003316")</f>
        <v/>
      </c>
      <c r="U1498">
        <f>_xlfn.NUMBERVALUE("-0.002237")</f>
        <v/>
      </c>
      <c r="V1498">
        <f>_xlfn.NUMBERVALUE("-0.000929")</f>
        <v/>
      </c>
      <c r="W1498">
        <f>_xlfn.NUMBERVALUE("-0.008644")</f>
        <v/>
      </c>
      <c r="X1498">
        <f>_xlfn.NUMBERVALUE("1.590000")</f>
        <v/>
      </c>
      <c r="Y1498">
        <f>_xlfn.NUMBERVALUE("22.270000")</f>
        <v/>
      </c>
    </row>
    <row r="1499">
      <c r="A1499" s="1" t="n">
        <v>44175</v>
      </c>
      <c r="B1499">
        <f>_xlfn.NUMBERVALUE("-0.008039")</f>
        <v/>
      </c>
      <c r="C1499" s="2">
        <f>_xlfn.NUMBERVALUE("0.001411")</f>
        <v/>
      </c>
      <c r="D1499">
        <f>_xlfn.NUMBERVALUE("-0.000711")</f>
        <v/>
      </c>
      <c r="E1499">
        <f>_xlfn.NUMBERVALUE("0.001716")</f>
        <v/>
      </c>
      <c r="F1499">
        <f>_xlfn.NUMBERVALUE("0.002169")</f>
        <v/>
      </c>
      <c r="G1499">
        <f>_xlfn.NUMBERVALUE("0.000531")</f>
        <v/>
      </c>
      <c r="H1499">
        <f>_xlfn.NUMBERVALUE("0.000648")</f>
        <v/>
      </c>
      <c r="I1499">
        <f>_xlfn.NUMBERVALUE("0.001201")</f>
        <v/>
      </c>
      <c r="J1499">
        <f>_xlfn.NUMBERVALUE("0.000503")</f>
        <v/>
      </c>
      <c r="K1499">
        <f>_xlfn.NUMBERVALUE("0.000073")</f>
        <v/>
      </c>
      <c r="L1499">
        <f>_xlfn.NUMBERVALUE("0.000613")</f>
        <v/>
      </c>
      <c r="M1499">
        <f>_xlfn.NUMBERVALUE("0.002208")</f>
        <v/>
      </c>
      <c r="N1499">
        <f>_xlfn.NUMBERVALUE("0.002534")</f>
        <v/>
      </c>
      <c r="O1499">
        <f>_xlfn.NUMBERVALUE("-0.005912")</f>
        <v/>
      </c>
      <c r="P1499">
        <f>_xlfn.NUMBERVALUE("0.001141")</f>
        <v/>
      </c>
      <c r="Q1499">
        <f>_xlfn.NUMBERVALUE("0.000738")</f>
        <v/>
      </c>
      <c r="R1499">
        <f>_xlfn.NUMBERVALUE("0.001357")</f>
        <v/>
      </c>
      <c r="S1499">
        <f>_xlfn.NUMBERVALUE("0.000231")</f>
        <v/>
      </c>
      <c r="T1499">
        <f>_xlfn.NUMBERVALUE("0.001633")</f>
        <v/>
      </c>
      <c r="U1499">
        <f>_xlfn.NUMBERVALUE("0.002000")</f>
        <v/>
      </c>
      <c r="V1499">
        <f>_xlfn.NUMBERVALUE("0.000801")</f>
        <v/>
      </c>
      <c r="W1499">
        <f>_xlfn.NUMBERVALUE("0.000872")</f>
        <v/>
      </c>
      <c r="X1499">
        <f>_xlfn.NUMBERVALUE("0.250000")</f>
        <v/>
      </c>
      <c r="Y1499">
        <f>_xlfn.NUMBERVALUE("22.520000")</f>
        <v/>
      </c>
    </row>
    <row r="1500">
      <c r="A1500" s="1" t="n">
        <v>44176</v>
      </c>
      <c r="B1500">
        <f>_xlfn.NUMBERVALUE("-0.000638")</f>
        <v/>
      </c>
      <c r="C1500" s="2">
        <f>_xlfn.NUMBERVALUE("-0.000863")</f>
        <v/>
      </c>
      <c r="D1500">
        <f>_xlfn.NUMBERVALUE("-0.000768")</f>
        <v/>
      </c>
      <c r="E1500">
        <f>_xlfn.NUMBERVALUE("-0.002693")</f>
        <v/>
      </c>
      <c r="F1500">
        <f>_xlfn.NUMBERVALUE("0.001786")</f>
        <v/>
      </c>
      <c r="G1500">
        <f>_xlfn.NUMBERVALUE("0.000189")</f>
        <v/>
      </c>
      <c r="H1500">
        <f>_xlfn.NUMBERVALUE("-0.000463")</f>
        <v/>
      </c>
      <c r="I1500">
        <f>_xlfn.NUMBERVALUE("0.000146")</f>
        <v/>
      </c>
      <c r="J1500">
        <f>_xlfn.NUMBERVALUE("0.001124")</f>
        <v/>
      </c>
      <c r="K1500">
        <f>_xlfn.NUMBERVALUE("0.003756")</f>
        <v/>
      </c>
      <c r="L1500">
        <f>_xlfn.NUMBERVALUE("-0.000227")</f>
        <v/>
      </c>
      <c r="M1500">
        <f>_xlfn.NUMBERVALUE("0.001387")</f>
        <v/>
      </c>
      <c r="N1500">
        <f>_xlfn.NUMBERVALUE("-0.000858")</f>
        <v/>
      </c>
      <c r="O1500">
        <f>_xlfn.NUMBERVALUE("-0.000934")</f>
        <v/>
      </c>
      <c r="P1500">
        <f>_xlfn.NUMBERVALUE("-0.001201")</f>
        <v/>
      </c>
      <c r="Q1500">
        <f>_xlfn.NUMBERVALUE("0.000749")</f>
        <v/>
      </c>
      <c r="R1500">
        <f>_xlfn.NUMBERVALUE("0.000402")</f>
        <v/>
      </c>
      <c r="S1500">
        <f>_xlfn.NUMBERVALUE("-0.000107")</f>
        <v/>
      </c>
      <c r="T1500">
        <f>_xlfn.NUMBERVALUE("-0.001665")</f>
        <v/>
      </c>
      <c r="U1500">
        <f>_xlfn.NUMBERVALUE("0.000608")</f>
        <v/>
      </c>
      <c r="V1500">
        <f>_xlfn.NUMBERVALUE("0.000479")</f>
        <v/>
      </c>
      <c r="W1500">
        <f>_xlfn.NUMBERVALUE("-0.004029")</f>
        <v/>
      </c>
      <c r="X1500">
        <f>_xlfn.NUMBERVALUE("0.790000")</f>
        <v/>
      </c>
      <c r="Y1500">
        <f>_xlfn.NUMBERVALUE("23.310000")</f>
        <v/>
      </c>
    </row>
    <row r="1501">
      <c r="A1501" s="1" t="n">
        <v>44179</v>
      </c>
      <c r="B1501">
        <f>_xlfn.NUMBERVALUE("0.002605")</f>
        <v/>
      </c>
      <c r="C1501" s="2">
        <f>_xlfn.NUMBERVALUE("0.002881")</f>
        <v/>
      </c>
      <c r="D1501">
        <f>_xlfn.NUMBERVALUE("0.000045")</f>
        <v/>
      </c>
      <c r="E1501">
        <f>_xlfn.NUMBERVALUE("0.000376")</f>
        <v/>
      </c>
      <c r="F1501">
        <f>_xlfn.NUMBERVALUE("0.001264")</f>
        <v/>
      </c>
      <c r="G1501">
        <f>_xlfn.NUMBERVALUE("0.000855")</f>
        <v/>
      </c>
      <c r="H1501">
        <f>_xlfn.NUMBERVALUE("0.000357")</f>
        <v/>
      </c>
      <c r="I1501">
        <f>_xlfn.NUMBERVALUE("0.000106")</f>
        <v/>
      </c>
      <c r="J1501">
        <f>_xlfn.NUMBERVALUE("0.000672")</f>
        <v/>
      </c>
      <c r="K1501">
        <f>_xlfn.NUMBERVALUE("0.003402")</f>
        <v/>
      </c>
      <c r="L1501">
        <f>_xlfn.NUMBERVALUE("0.001474")</f>
        <v/>
      </c>
      <c r="M1501">
        <f>_xlfn.NUMBERVALUE("0.002616")</f>
        <v/>
      </c>
      <c r="N1501">
        <f>_xlfn.NUMBERVALUE("-0.000116")</f>
        <v/>
      </c>
      <c r="O1501">
        <f>_xlfn.NUMBERVALUE("0.003622")</f>
        <v/>
      </c>
      <c r="P1501">
        <f>_xlfn.NUMBERVALUE("0.004419")</f>
        <v/>
      </c>
      <c r="Q1501">
        <f>_xlfn.NUMBERVALUE("-0.000028")</f>
        <v/>
      </c>
      <c r="R1501">
        <f>_xlfn.NUMBERVALUE("0.002667")</f>
        <v/>
      </c>
      <c r="S1501">
        <f>_xlfn.NUMBERVALUE("0.002515")</f>
        <v/>
      </c>
      <c r="T1501">
        <f>_xlfn.NUMBERVALUE("-0.000358")</f>
        <v/>
      </c>
      <c r="U1501">
        <f>_xlfn.NUMBERVALUE("0.001879")</f>
        <v/>
      </c>
      <c r="V1501">
        <f>_xlfn.NUMBERVALUE("0.000924")</f>
        <v/>
      </c>
      <c r="W1501">
        <f>_xlfn.NUMBERVALUE("-0.002023")</f>
        <v/>
      </c>
      <c r="X1501">
        <f>_xlfn.NUMBERVALUE("1.410000")</f>
        <v/>
      </c>
      <c r="Y1501">
        <f>_xlfn.NUMBERVALUE("24.720000")</f>
        <v/>
      </c>
    </row>
    <row r="1502">
      <c r="A1502" s="1" t="n">
        <v>44180</v>
      </c>
      <c r="B1502">
        <f>_xlfn.NUMBERVALUE("0.003935")</f>
        <v/>
      </c>
      <c r="C1502" s="2">
        <f>_xlfn.NUMBERVALUE("0.001398")</f>
        <v/>
      </c>
      <c r="D1502">
        <f>_xlfn.NUMBERVALUE("0.000821")</f>
        <v/>
      </c>
      <c r="E1502">
        <f>_xlfn.NUMBERVALUE("0.000278")</f>
        <v/>
      </c>
      <c r="F1502">
        <f>_xlfn.NUMBERVALUE("-0.001666")</f>
        <v/>
      </c>
      <c r="G1502">
        <f>_xlfn.NUMBERVALUE("0.001349")</f>
        <v/>
      </c>
      <c r="H1502">
        <f>_xlfn.NUMBERVALUE("0.000673")</f>
        <v/>
      </c>
      <c r="I1502">
        <f>_xlfn.NUMBERVALUE("-0.001222")</f>
        <v/>
      </c>
      <c r="J1502">
        <f>_xlfn.NUMBERVALUE("0.000390")</f>
        <v/>
      </c>
      <c r="K1502">
        <f>_xlfn.NUMBERVALUE("-0.002396")</f>
        <v/>
      </c>
      <c r="L1502">
        <f>_xlfn.NUMBERVALUE("0.001428")</f>
        <v/>
      </c>
      <c r="M1502">
        <f>_xlfn.NUMBERVALUE("0.000393")</f>
        <v/>
      </c>
      <c r="N1502">
        <f>_xlfn.NUMBERVALUE("0.002829")</f>
        <v/>
      </c>
      <c r="O1502">
        <f>_xlfn.NUMBERVALUE("0.005058")</f>
        <v/>
      </c>
      <c r="P1502">
        <f>_xlfn.NUMBERVALUE("0.000278")</f>
        <v/>
      </c>
      <c r="Q1502">
        <f>_xlfn.NUMBERVALUE("0.002180")</f>
        <v/>
      </c>
      <c r="R1502">
        <f>_xlfn.NUMBERVALUE("0.000235")</f>
        <v/>
      </c>
      <c r="S1502">
        <f>_xlfn.NUMBERVALUE("0.001179")</f>
        <v/>
      </c>
      <c r="T1502">
        <f>_xlfn.NUMBERVALUE("0.000337")</f>
        <v/>
      </c>
      <c r="U1502">
        <f>_xlfn.NUMBERVALUE("-0.000839")</f>
        <v/>
      </c>
      <c r="V1502">
        <f>_xlfn.NUMBERVALUE("0.000554")</f>
        <v/>
      </c>
      <c r="W1502">
        <f>_xlfn.NUMBERVALUE("0.010681")</f>
        <v/>
      </c>
      <c r="X1502">
        <f>_xlfn.NUMBERVALUE("-1.830000")</f>
        <v/>
      </c>
      <c r="Y1502">
        <f>_xlfn.NUMBERVALUE("22.890000")</f>
        <v/>
      </c>
    </row>
    <row r="1503">
      <c r="A1503" s="1" t="n">
        <v>44181</v>
      </c>
      <c r="B1503">
        <f>_xlfn.NUMBERVALUE("-0.000763")</f>
        <v/>
      </c>
      <c r="C1503" s="2">
        <f>_xlfn.NUMBERVALUE("0.000441")</f>
        <v/>
      </c>
      <c r="D1503">
        <f>_xlfn.NUMBERVALUE("0.000669")</f>
        <v/>
      </c>
      <c r="E1503">
        <f>_xlfn.NUMBERVALUE("0.000123")</f>
        <v/>
      </c>
      <c r="F1503">
        <f>_xlfn.NUMBERVALUE("0.001291")</f>
        <v/>
      </c>
      <c r="G1503">
        <f>_xlfn.NUMBERVALUE("0.000414")</f>
        <v/>
      </c>
      <c r="H1503">
        <f>_xlfn.NUMBERVALUE("0.000180")</f>
        <v/>
      </c>
      <c r="I1503">
        <f>_xlfn.NUMBERVALUE("-0.000002")</f>
        <v/>
      </c>
      <c r="J1503">
        <f>_xlfn.NUMBERVALUE("0.000308")</f>
        <v/>
      </c>
      <c r="K1503">
        <f>_xlfn.NUMBERVALUE("-0.010914")</f>
        <v/>
      </c>
      <c r="L1503">
        <f>_xlfn.NUMBERVALUE("0.001300")</f>
        <v/>
      </c>
      <c r="M1503">
        <f>_xlfn.NUMBERVALUE("0.001074")</f>
        <v/>
      </c>
      <c r="N1503">
        <f>_xlfn.NUMBERVALUE("0.001919")</f>
        <v/>
      </c>
      <c r="O1503">
        <f>_xlfn.NUMBERVALUE("0.000104")</f>
        <v/>
      </c>
      <c r="P1503">
        <f>_xlfn.NUMBERVALUE("0.002039")</f>
        <v/>
      </c>
      <c r="Q1503">
        <f>_xlfn.NUMBERVALUE("0.001995")</f>
        <v/>
      </c>
      <c r="R1503">
        <f>_xlfn.NUMBERVALUE("-0.001502")</f>
        <v/>
      </c>
      <c r="S1503">
        <f>_xlfn.NUMBERVALUE("0.002386")</f>
        <v/>
      </c>
      <c r="T1503">
        <f>_xlfn.NUMBERVALUE("-0.000477")</f>
        <v/>
      </c>
      <c r="U1503">
        <f>_xlfn.NUMBERVALUE("-0.001731")</f>
        <v/>
      </c>
      <c r="V1503">
        <f>_xlfn.NUMBERVALUE("0.001307")</f>
        <v/>
      </c>
      <c r="W1503">
        <f>_xlfn.NUMBERVALUE("0.004634")</f>
        <v/>
      </c>
      <c r="X1503">
        <f>_xlfn.NUMBERVALUE("-0.390000")</f>
        <v/>
      </c>
      <c r="Y1503">
        <f>_xlfn.NUMBERVALUE("22.500000")</f>
        <v/>
      </c>
    </row>
    <row r="1504">
      <c r="A1504" s="1" t="n">
        <v>44182</v>
      </c>
      <c r="B1504">
        <f>_xlfn.NUMBERVALUE("0.001607")</f>
        <v/>
      </c>
      <c r="C1504" s="2">
        <f>_xlfn.NUMBERVALUE("0.002169")</f>
        <v/>
      </c>
      <c r="D1504">
        <f>_xlfn.NUMBERVALUE("0.001318")</f>
        <v/>
      </c>
      <c r="E1504">
        <f>_xlfn.NUMBERVALUE("-0.000063")</f>
        <v/>
      </c>
      <c r="F1504">
        <f>_xlfn.NUMBERVALUE("-0.001377")</f>
        <v/>
      </c>
      <c r="G1504">
        <f>_xlfn.NUMBERVALUE("-0.000960")</f>
        <v/>
      </c>
      <c r="H1504">
        <f>_xlfn.NUMBERVALUE("0.000848")</f>
        <v/>
      </c>
      <c r="I1504">
        <f>_xlfn.NUMBERVALUE("0.000012")</f>
        <v/>
      </c>
      <c r="J1504">
        <f>_xlfn.NUMBERVALUE("0.000131")</f>
        <v/>
      </c>
      <c r="K1504">
        <f>_xlfn.NUMBERVALUE("0.000099")</f>
        <v/>
      </c>
      <c r="L1504">
        <f>_xlfn.NUMBERVALUE("0.001193")</f>
        <v/>
      </c>
      <c r="M1504">
        <f>_xlfn.NUMBERVALUE("0.000516")</f>
        <v/>
      </c>
      <c r="N1504">
        <f>_xlfn.NUMBERVALUE("0.001749")</f>
        <v/>
      </c>
      <c r="O1504">
        <f>_xlfn.NUMBERVALUE("0.003507")</f>
        <v/>
      </c>
      <c r="P1504">
        <f>_xlfn.NUMBERVALUE("0.001517")</f>
        <v/>
      </c>
      <c r="Q1504">
        <f>_xlfn.NUMBERVALUE("0.001853")</f>
        <v/>
      </c>
      <c r="R1504">
        <f>_xlfn.NUMBERVALUE("0.001679")</f>
        <v/>
      </c>
      <c r="S1504">
        <f>_xlfn.NUMBERVALUE("0.001208")</f>
        <v/>
      </c>
      <c r="T1504">
        <f>_xlfn.NUMBERVALUE("0.003755")</f>
        <v/>
      </c>
      <c r="U1504">
        <f>_xlfn.NUMBERVALUE("0.002359")</f>
        <v/>
      </c>
      <c r="V1504">
        <f>_xlfn.NUMBERVALUE("0.001044")</f>
        <v/>
      </c>
      <c r="W1504">
        <f>_xlfn.NUMBERVALUE("0.003318")</f>
        <v/>
      </c>
      <c r="X1504">
        <f>_xlfn.NUMBERVALUE("-0.570000")</f>
        <v/>
      </c>
      <c r="Y1504">
        <f>_xlfn.NUMBERVALUE("21.930000")</f>
        <v/>
      </c>
    </row>
    <row r="1505">
      <c r="A1505" s="1" t="n">
        <v>44183</v>
      </c>
      <c r="B1505">
        <f>_xlfn.NUMBERVALUE("-0.002918")</f>
        <v/>
      </c>
      <c r="C1505" s="2">
        <f>_xlfn.NUMBERVALUE("0.000707")</f>
        <v/>
      </c>
      <c r="D1505">
        <f>_xlfn.NUMBERVALUE("0.000581")</f>
        <v/>
      </c>
      <c r="E1505">
        <f>_xlfn.NUMBERVALUE("0.000513")</f>
        <v/>
      </c>
      <c r="F1505">
        <f>_xlfn.NUMBERVALUE("0.002125")</f>
        <v/>
      </c>
      <c r="G1505">
        <f>_xlfn.NUMBERVALUE("-0.000392")</f>
        <v/>
      </c>
      <c r="H1505">
        <f>_xlfn.NUMBERVALUE("0.000297")</f>
        <v/>
      </c>
      <c r="I1505">
        <f>_xlfn.NUMBERVALUE("0.000531")</f>
        <v/>
      </c>
      <c r="J1505">
        <f>_xlfn.NUMBERVALUE("-0.000305")</f>
        <v/>
      </c>
      <c r="K1505">
        <f>_xlfn.NUMBERVALUE("0.004476")</f>
        <v/>
      </c>
      <c r="L1505">
        <f>_xlfn.NUMBERVALUE("-0.000067")</f>
        <v/>
      </c>
      <c r="M1505">
        <f>_xlfn.NUMBERVALUE("0.002455")</f>
        <v/>
      </c>
      <c r="N1505">
        <f>_xlfn.NUMBERVALUE("0.000458")</f>
        <v/>
      </c>
      <c r="O1505">
        <f>_xlfn.NUMBERVALUE("-0.000609")</f>
        <v/>
      </c>
      <c r="P1505">
        <f>_xlfn.NUMBERVALUE("0.000479")</f>
        <v/>
      </c>
      <c r="Q1505">
        <f>_xlfn.NUMBERVALUE("0.001384")</f>
        <v/>
      </c>
      <c r="R1505">
        <f>_xlfn.NUMBERVALUE("0.000045")</f>
        <v/>
      </c>
      <c r="S1505">
        <f>_xlfn.NUMBERVALUE("0.000967")</f>
        <v/>
      </c>
      <c r="T1505">
        <f>_xlfn.NUMBERVALUE("-0.003009")</f>
        <v/>
      </c>
      <c r="U1505">
        <f>_xlfn.NUMBERVALUE("-0.002282")</f>
        <v/>
      </c>
      <c r="V1505">
        <f>_xlfn.NUMBERVALUE("-0.001657")</f>
        <v/>
      </c>
      <c r="W1505">
        <f>_xlfn.NUMBERVALUE("-0.009867")</f>
        <v/>
      </c>
      <c r="X1505">
        <f>_xlfn.NUMBERVALUE("-0.360000")</f>
        <v/>
      </c>
      <c r="Y1505">
        <f>_xlfn.NUMBERVALUE("21.570000")</f>
        <v/>
      </c>
    </row>
    <row r="1506">
      <c r="A1506" s="1" t="n">
        <v>44186</v>
      </c>
      <c r="B1506">
        <f>_xlfn.NUMBERVALUE("-0.000363")</f>
        <v/>
      </c>
      <c r="C1506" s="2">
        <f>_xlfn.NUMBERVALUE("-0.001555")</f>
        <v/>
      </c>
      <c r="D1506">
        <f>_xlfn.NUMBERVALUE("0.000842")</f>
        <v/>
      </c>
      <c r="E1506">
        <f>_xlfn.NUMBERVALUE("0.000114")</f>
        <v/>
      </c>
      <c r="F1506">
        <f>_xlfn.NUMBERVALUE("0.000248")</f>
        <v/>
      </c>
      <c r="G1506">
        <f>_xlfn.NUMBERVALUE("-0.000609")</f>
        <v/>
      </c>
      <c r="H1506">
        <f>_xlfn.NUMBERVALUE("-0.000071")</f>
        <v/>
      </c>
      <c r="I1506">
        <f>_xlfn.NUMBERVALUE("0.000534")</f>
        <v/>
      </c>
      <c r="J1506">
        <f>_xlfn.NUMBERVALUE("0.000628")</f>
        <v/>
      </c>
      <c r="K1506">
        <f>_xlfn.NUMBERVALUE("-0.000269")</f>
        <v/>
      </c>
      <c r="L1506">
        <f>_xlfn.NUMBERVALUE("0.000401")</f>
        <v/>
      </c>
      <c r="M1506">
        <f>_xlfn.NUMBERVALUE("0.000594")</f>
        <v/>
      </c>
      <c r="N1506">
        <f>_xlfn.NUMBERVALUE("0.001654")</f>
        <v/>
      </c>
      <c r="O1506">
        <f>_xlfn.NUMBERVALUE("0.001175")</f>
        <v/>
      </c>
      <c r="P1506">
        <f>_xlfn.NUMBERVALUE("-0.003796")</f>
        <v/>
      </c>
      <c r="Q1506">
        <f>_xlfn.NUMBERVALUE("-0.000115")</f>
        <v/>
      </c>
      <c r="R1506">
        <f>_xlfn.NUMBERVALUE("0.001774")</f>
        <v/>
      </c>
      <c r="S1506">
        <f>_xlfn.NUMBERVALUE("-0.003446")</f>
        <v/>
      </c>
      <c r="T1506">
        <f>_xlfn.NUMBERVALUE("0.000437")</f>
        <v/>
      </c>
      <c r="U1506">
        <f>_xlfn.NUMBERVALUE("-0.000548")</f>
        <v/>
      </c>
      <c r="V1506">
        <f>_xlfn.NUMBERVALUE("-0.000749")</f>
        <v/>
      </c>
      <c r="W1506">
        <f>_xlfn.NUMBERVALUE("-0.003095")</f>
        <v/>
      </c>
      <c r="X1506">
        <f>_xlfn.NUMBERVALUE("3.590000")</f>
        <v/>
      </c>
      <c r="Y1506">
        <f>_xlfn.NUMBERVALUE("25.160000")</f>
        <v/>
      </c>
    </row>
    <row r="1507">
      <c r="A1507" s="1" t="n">
        <v>44187</v>
      </c>
      <c r="B1507">
        <f>_xlfn.NUMBERVALUE("-0.000086")</f>
        <v/>
      </c>
      <c r="C1507" s="2">
        <f>_xlfn.NUMBERVALUE("0.003070")</f>
        <v/>
      </c>
      <c r="D1507">
        <f>_xlfn.NUMBERVALUE("0.000852")</f>
        <v/>
      </c>
      <c r="E1507">
        <f>_xlfn.NUMBERVALUE("0.000903")</f>
        <v/>
      </c>
      <c r="F1507">
        <f>_xlfn.NUMBERVALUE("0.001940")</f>
        <v/>
      </c>
      <c r="G1507">
        <f>_xlfn.NUMBERVALUE("0.000992")</f>
        <v/>
      </c>
      <c r="H1507">
        <f>_xlfn.NUMBERVALUE("0.000584")</f>
        <v/>
      </c>
      <c r="I1507">
        <f>_xlfn.NUMBERVALUE("-0.001159")</f>
        <v/>
      </c>
      <c r="J1507">
        <f>_xlfn.NUMBERVALUE("-0.000292")</f>
        <v/>
      </c>
      <c r="K1507">
        <f>_xlfn.NUMBERVALUE("0.001140")</f>
        <v/>
      </c>
      <c r="L1507">
        <f>_xlfn.NUMBERVALUE("0.001515")</f>
        <v/>
      </c>
      <c r="M1507">
        <f>_xlfn.NUMBERVALUE("0.002451")</f>
        <v/>
      </c>
      <c r="N1507">
        <f>_xlfn.NUMBERVALUE("0.002517")</f>
        <v/>
      </c>
      <c r="O1507">
        <f>_xlfn.NUMBERVALUE("0.002718")</f>
        <v/>
      </c>
      <c r="P1507">
        <f>_xlfn.NUMBERVALUE("0.002791")</f>
        <v/>
      </c>
      <c r="Q1507">
        <f>_xlfn.NUMBERVALUE("0.002455")</f>
        <v/>
      </c>
      <c r="R1507">
        <f>_xlfn.NUMBERVALUE("-0.000737")</f>
        <v/>
      </c>
      <c r="S1507">
        <f>_xlfn.NUMBERVALUE("-0.000314")</f>
        <v/>
      </c>
      <c r="T1507">
        <f>_xlfn.NUMBERVALUE("0.000516")</f>
        <v/>
      </c>
      <c r="U1507">
        <f>_xlfn.NUMBERVALUE("0.007251")</f>
        <v/>
      </c>
      <c r="V1507">
        <f>_xlfn.NUMBERVALUE("0.003388")</f>
        <v/>
      </c>
      <c r="W1507">
        <f>_xlfn.NUMBERVALUE("-0.000191")</f>
        <v/>
      </c>
      <c r="X1507">
        <f>_xlfn.NUMBERVALUE("-0.930000")</f>
        <v/>
      </c>
      <c r="Y1507">
        <f>_xlfn.NUMBERVALUE("24.230000")</f>
        <v/>
      </c>
    </row>
    <row r="1508">
      <c r="A1508" s="1" t="n">
        <v>44188</v>
      </c>
      <c r="B1508">
        <f>_xlfn.NUMBERVALUE("0.002894")</f>
        <v/>
      </c>
      <c r="C1508" s="2">
        <f>_xlfn.NUMBERVALUE("0.004060")</f>
        <v/>
      </c>
      <c r="D1508">
        <f>_xlfn.NUMBERVALUE("-0.000562")</f>
        <v/>
      </c>
      <c r="E1508">
        <f>_xlfn.NUMBERVALUE("0.001538")</f>
        <v/>
      </c>
      <c r="F1508">
        <f>_xlfn.NUMBERVALUE("0.000865")</f>
        <v/>
      </c>
      <c r="G1508">
        <f>_xlfn.NUMBERVALUE("0.001673")</f>
        <v/>
      </c>
      <c r="H1508">
        <f>_xlfn.NUMBERVALUE("0.000337")</f>
        <v/>
      </c>
      <c r="I1508">
        <f>_xlfn.NUMBERVALUE("0.001488")</f>
        <v/>
      </c>
      <c r="J1508">
        <f>_xlfn.NUMBERVALUE("0.001760")</f>
        <v/>
      </c>
      <c r="K1508">
        <f>_xlfn.NUMBERVALUE("0.000174")</f>
        <v/>
      </c>
      <c r="L1508">
        <f>_xlfn.NUMBERVALUE("-0.000057")</f>
        <v/>
      </c>
      <c r="M1508">
        <f>_xlfn.NUMBERVALUE("0.002454")</f>
        <v/>
      </c>
      <c r="N1508">
        <f>_xlfn.NUMBERVALUE("0.000791")</f>
        <v/>
      </c>
      <c r="O1508">
        <f>_xlfn.NUMBERVALUE("0.005123")</f>
        <v/>
      </c>
      <c r="P1508">
        <f>_xlfn.NUMBERVALUE("-0.000570")</f>
        <v/>
      </c>
      <c r="Q1508">
        <f>_xlfn.NUMBERVALUE("0.001843")</f>
        <v/>
      </c>
      <c r="R1508">
        <f>_xlfn.NUMBERVALUE("0.006419")</f>
        <v/>
      </c>
      <c r="S1508">
        <f>_xlfn.NUMBERVALUE("0.001560")</f>
        <v/>
      </c>
      <c r="T1508">
        <f>_xlfn.NUMBERVALUE("0.001752")</f>
        <v/>
      </c>
      <c r="U1508">
        <f>_xlfn.NUMBERVALUE("0.003779")</f>
        <v/>
      </c>
      <c r="V1508">
        <f>_xlfn.NUMBERVALUE("0.003614")</f>
        <v/>
      </c>
      <c r="W1508">
        <f>_xlfn.NUMBERVALUE("0.005258")</f>
        <v/>
      </c>
      <c r="X1508">
        <f>_xlfn.NUMBERVALUE("-0.920000")</f>
        <v/>
      </c>
      <c r="Y1508">
        <f>_xlfn.NUMBERVALUE("23.310000")</f>
        <v/>
      </c>
    </row>
    <row r="1509">
      <c r="A1509" s="1" t="n">
        <v>44189</v>
      </c>
      <c r="B1509">
        <f>_xlfn.NUMBERVALUE("-0.004476")</f>
        <v/>
      </c>
      <c r="C1509" s="2">
        <f>_xlfn.NUMBERVALUE("0.001372")</f>
        <v/>
      </c>
      <c r="D1509">
        <f>_xlfn.NUMBERVALUE("0.003204")</f>
        <v/>
      </c>
      <c r="E1509">
        <f>_xlfn.NUMBERVALUE("0.001722")</f>
        <v/>
      </c>
      <c r="F1509">
        <f>_xlfn.NUMBERVALUE("-0.000090")</f>
        <v/>
      </c>
      <c r="G1509">
        <f>_xlfn.NUMBERVALUE("-0.000003")</f>
        <v/>
      </c>
      <c r="H1509">
        <f>_xlfn.NUMBERVALUE("0.001650")</f>
        <v/>
      </c>
      <c r="I1509">
        <f>_xlfn.NUMBERVALUE("0.000950")</f>
        <v/>
      </c>
      <c r="J1509">
        <f>_xlfn.NUMBERVALUE("-0.000376")</f>
        <v/>
      </c>
      <c r="K1509">
        <f>_xlfn.NUMBERVALUE("0.005292")</f>
        <v/>
      </c>
      <c r="L1509">
        <f>_xlfn.NUMBERVALUE("0.001458")</f>
        <v/>
      </c>
      <c r="M1509">
        <f>_xlfn.NUMBERVALUE("-0.001067")</f>
        <v/>
      </c>
      <c r="N1509">
        <f>_xlfn.NUMBERVALUE("0.001642")</f>
        <v/>
      </c>
      <c r="O1509">
        <f>_xlfn.NUMBERVALUE("0.001251")</f>
        <v/>
      </c>
      <c r="P1509">
        <f>_xlfn.NUMBERVALUE("0.002364")</f>
        <v/>
      </c>
      <c r="Q1509">
        <f>_xlfn.NUMBERVALUE("0.002242")</f>
        <v/>
      </c>
      <c r="R1509">
        <f>_xlfn.NUMBERVALUE("-0.000546")</f>
        <v/>
      </c>
      <c r="S1509">
        <f>_xlfn.NUMBERVALUE("0.000694")</f>
        <v/>
      </c>
      <c r="T1509">
        <f>_xlfn.NUMBERVALUE("0.002284")</f>
        <v/>
      </c>
      <c r="U1509">
        <f>_xlfn.NUMBERVALUE("0.001366")</f>
        <v/>
      </c>
      <c r="V1509">
        <f>_xlfn.NUMBERVALUE("0.001935")</f>
        <v/>
      </c>
      <c r="W1509">
        <f>_xlfn.NUMBERVALUE("-0.001518")</f>
        <v/>
      </c>
      <c r="X1509">
        <f>_xlfn.NUMBERVALUE("-1.780000")</f>
        <v/>
      </c>
      <c r="Y1509">
        <f>_xlfn.NUMBERVALUE("21.530000")</f>
        <v/>
      </c>
    </row>
    <row r="1510">
      <c r="A1510" s="1" t="n">
        <v>44193</v>
      </c>
      <c r="B1510">
        <f>_xlfn.NUMBERVALUE("-0.001225")</f>
        <v/>
      </c>
      <c r="C1510" s="2">
        <f>_xlfn.NUMBERVALUE("0.001638")</f>
        <v/>
      </c>
      <c r="D1510">
        <f>_xlfn.NUMBERVALUE("0.000997")</f>
        <v/>
      </c>
      <c r="E1510">
        <f>_xlfn.NUMBERVALUE("0.000575")</f>
        <v/>
      </c>
      <c r="F1510">
        <f>_xlfn.NUMBERVALUE("0.001059")</f>
        <v/>
      </c>
      <c r="G1510">
        <f>_xlfn.NUMBERVALUE("0.000801")</f>
        <v/>
      </c>
      <c r="H1510">
        <f>_xlfn.NUMBERVALUE("-0.000438")</f>
        <v/>
      </c>
      <c r="I1510">
        <f>_xlfn.NUMBERVALUE("0.004047")</f>
        <v/>
      </c>
      <c r="J1510">
        <f>_xlfn.NUMBERVALUE("0.001276")</f>
        <v/>
      </c>
      <c r="K1510">
        <f>_xlfn.NUMBERVALUE("-0.001093")</f>
        <v/>
      </c>
      <c r="L1510">
        <f>_xlfn.NUMBERVALUE("0.001163")</f>
        <v/>
      </c>
      <c r="M1510">
        <f>_xlfn.NUMBERVALUE("0.002132")</f>
        <v/>
      </c>
      <c r="N1510">
        <f>_xlfn.NUMBERVALUE("0.000838")</f>
        <v/>
      </c>
      <c r="O1510">
        <f>_xlfn.NUMBERVALUE("0.004151")</f>
        <v/>
      </c>
      <c r="P1510">
        <f>_xlfn.NUMBERVALUE("0.004265")</f>
        <v/>
      </c>
      <c r="Q1510">
        <f>_xlfn.NUMBERVALUE("0.004182")</f>
        <v/>
      </c>
      <c r="R1510">
        <f>_xlfn.NUMBERVALUE("0.001468")</f>
        <v/>
      </c>
      <c r="S1510">
        <f>_xlfn.NUMBERVALUE("0.001677")</f>
        <v/>
      </c>
      <c r="T1510">
        <f>_xlfn.NUMBERVALUE("0.001867")</f>
        <v/>
      </c>
      <c r="U1510">
        <f>_xlfn.NUMBERVALUE("0.002137")</f>
        <v/>
      </c>
      <c r="V1510">
        <f>_xlfn.NUMBERVALUE("0.000411")</f>
        <v/>
      </c>
      <c r="W1510">
        <f>_xlfn.NUMBERVALUE("0.010259")</f>
        <v/>
      </c>
      <c r="X1510">
        <f>_xlfn.NUMBERVALUE("0.170000")</f>
        <v/>
      </c>
      <c r="Y1510">
        <f>_xlfn.NUMBERVALUE("21.700000")</f>
        <v/>
      </c>
    </row>
    <row r="1511">
      <c r="A1511" s="1" t="n">
        <v>44194</v>
      </c>
      <c r="B1511">
        <f>_xlfn.NUMBERVALUE("-0.009762")</f>
        <v/>
      </c>
      <c r="C1511" s="2">
        <f>_xlfn.NUMBERVALUE("0.000134")</f>
        <v/>
      </c>
      <c r="D1511">
        <f>_xlfn.NUMBERVALUE("-0.003123")</f>
        <v/>
      </c>
      <c r="E1511">
        <f>_xlfn.NUMBERVALUE("-0.001392")</f>
        <v/>
      </c>
      <c r="F1511">
        <f>_xlfn.NUMBERVALUE("0.000804")</f>
        <v/>
      </c>
      <c r="G1511">
        <f>_xlfn.NUMBERVALUE("-0.000239")</f>
        <v/>
      </c>
      <c r="H1511">
        <f>_xlfn.NUMBERVALUE("-0.000055")</f>
        <v/>
      </c>
      <c r="I1511">
        <f>_xlfn.NUMBERVALUE("-0.000460")</f>
        <v/>
      </c>
      <c r="J1511">
        <f>_xlfn.NUMBERVALUE("-0.000253")</f>
        <v/>
      </c>
      <c r="K1511">
        <f>_xlfn.NUMBERVALUE("0.002103")</f>
        <v/>
      </c>
      <c r="L1511">
        <f>_xlfn.NUMBERVALUE("-0.000563")</f>
        <v/>
      </c>
      <c r="M1511">
        <f>_xlfn.NUMBERVALUE("0.001597")</f>
        <v/>
      </c>
      <c r="N1511">
        <f>_xlfn.NUMBERVALUE("-0.000081")</f>
        <v/>
      </c>
      <c r="O1511">
        <f>_xlfn.NUMBERVALUE("0.003234")</f>
        <v/>
      </c>
      <c r="P1511">
        <f>_xlfn.NUMBERVALUE("0.000007")</f>
        <v/>
      </c>
      <c r="Q1511">
        <f>_xlfn.NUMBERVALUE("0.001685")</f>
        <v/>
      </c>
      <c r="R1511">
        <f>_xlfn.NUMBERVALUE("0.000521")</f>
        <v/>
      </c>
      <c r="S1511">
        <f>_xlfn.NUMBERVALUE("-0.000681")</f>
        <v/>
      </c>
      <c r="T1511">
        <f>_xlfn.NUMBERVALUE("0.002329")</f>
        <v/>
      </c>
      <c r="U1511">
        <f>_xlfn.NUMBERVALUE("0.000275")</f>
        <v/>
      </c>
      <c r="V1511">
        <f>_xlfn.NUMBERVALUE("0.000707")</f>
        <v/>
      </c>
      <c r="W1511">
        <f>_xlfn.NUMBERVALUE("-0.001424")</f>
        <v/>
      </c>
      <c r="X1511">
        <f>_xlfn.NUMBERVALUE("1.380000")</f>
        <v/>
      </c>
      <c r="Y1511">
        <f>_xlfn.NUMBERVALUE("23.080000")</f>
        <v/>
      </c>
    </row>
    <row r="1512">
      <c r="A1512" s="1" t="n">
        <v>44195</v>
      </c>
      <c r="B1512">
        <f>_xlfn.NUMBERVALUE("0.002840")</f>
        <v/>
      </c>
      <c r="C1512" s="2">
        <f>_xlfn.NUMBERVALUE("0.002872")</f>
        <v/>
      </c>
      <c r="D1512">
        <f>_xlfn.NUMBERVALUE("-0.000951")</f>
        <v/>
      </c>
      <c r="E1512">
        <f>_xlfn.NUMBERVALUE("0.001086")</f>
        <v/>
      </c>
      <c r="F1512">
        <f>_xlfn.NUMBERVALUE("-0.000311")</f>
        <v/>
      </c>
      <c r="G1512">
        <f>_xlfn.NUMBERVALUE("-0.000083")</f>
        <v/>
      </c>
      <c r="H1512">
        <f>_xlfn.NUMBERVALUE("0.000753")</f>
        <v/>
      </c>
      <c r="I1512">
        <f>_xlfn.NUMBERVALUE("-0.000017")</f>
        <v/>
      </c>
      <c r="J1512">
        <f>_xlfn.NUMBERVALUE("0.000499")</f>
        <v/>
      </c>
      <c r="K1512">
        <f>_xlfn.NUMBERVALUE("0.000214")</f>
        <v/>
      </c>
      <c r="L1512">
        <f>_xlfn.NUMBERVALUE("0.000100")</f>
        <v/>
      </c>
      <c r="M1512">
        <f>_xlfn.NUMBERVALUE("0.001473")</f>
        <v/>
      </c>
      <c r="N1512">
        <f>_xlfn.NUMBERVALUE("0.002633")</f>
        <v/>
      </c>
      <c r="O1512">
        <f>_xlfn.NUMBERVALUE("0.000673")</f>
        <v/>
      </c>
      <c r="P1512">
        <f>_xlfn.NUMBERVALUE("0.003514")</f>
        <v/>
      </c>
      <c r="Q1512">
        <f>_xlfn.NUMBERVALUE("0.000827")</f>
        <v/>
      </c>
      <c r="R1512">
        <f>_xlfn.NUMBERVALUE("0.000270")</f>
        <v/>
      </c>
      <c r="S1512">
        <f>_xlfn.NUMBERVALUE("0.002623")</f>
        <v/>
      </c>
      <c r="T1512">
        <f>_xlfn.NUMBERVALUE("0.001363")</f>
        <v/>
      </c>
      <c r="U1512">
        <f>_xlfn.NUMBERVALUE("0.001732")</f>
        <v/>
      </c>
      <c r="V1512">
        <f>_xlfn.NUMBERVALUE("0.001098")</f>
        <v/>
      </c>
      <c r="W1512">
        <f>_xlfn.NUMBERVALUE("0.000699")</f>
        <v/>
      </c>
      <c r="X1512">
        <f>_xlfn.NUMBERVALUE("-0.310000")</f>
        <v/>
      </c>
      <c r="Y1512">
        <f>_xlfn.NUMBERVALUE("22.770000")</f>
        <v/>
      </c>
    </row>
    <row r="1513">
      <c r="A1513" s="1" t="n">
        <v>44196</v>
      </c>
      <c r="B1513">
        <f>_xlfn.NUMBERVALUE("-0.001038")</f>
        <v/>
      </c>
      <c r="C1513" s="2">
        <f>_xlfn.NUMBERVALUE("-0.001782")</f>
        <v/>
      </c>
      <c r="D1513">
        <f>_xlfn.NUMBERVALUE("0.000560")</f>
        <v/>
      </c>
      <c r="E1513">
        <f>_xlfn.NUMBERVALUE("0.000738")</f>
        <v/>
      </c>
      <c r="F1513">
        <f>_xlfn.NUMBERVALUE("0.000144")</f>
        <v/>
      </c>
      <c r="G1513">
        <f>_xlfn.NUMBERVALUE("0.000308")</f>
        <v/>
      </c>
      <c r="H1513">
        <f>_xlfn.NUMBERVALUE("0.000299")</f>
        <v/>
      </c>
      <c r="I1513">
        <f>_xlfn.NUMBERVALUE("0.001389")</f>
        <v/>
      </c>
      <c r="J1513">
        <f>_xlfn.NUMBERVALUE("-0.000660")</f>
        <v/>
      </c>
      <c r="K1513">
        <f>_xlfn.NUMBERVALUE("0.000491")</f>
        <v/>
      </c>
      <c r="L1513">
        <f>_xlfn.NUMBERVALUE("-0.001172")</f>
        <v/>
      </c>
      <c r="M1513">
        <f>_xlfn.NUMBERVALUE("0.001841")</f>
        <v/>
      </c>
      <c r="N1513">
        <f>_xlfn.NUMBERVALUE("-0.000558")</f>
        <v/>
      </c>
      <c r="O1513">
        <f>_xlfn.NUMBERVALUE("0.000482")</f>
        <v/>
      </c>
      <c r="P1513">
        <f>_xlfn.NUMBERVALUE("-0.002098")</f>
        <v/>
      </c>
      <c r="Q1513">
        <f>_xlfn.NUMBERVALUE("0.002196")</f>
        <v/>
      </c>
      <c r="R1513">
        <f>_xlfn.NUMBERVALUE("0.001510")</f>
        <v/>
      </c>
      <c r="S1513">
        <f>_xlfn.NUMBERVALUE("-0.000196")</f>
        <v/>
      </c>
      <c r="T1513">
        <f>_xlfn.NUMBERVALUE("-0.003102")</f>
        <v/>
      </c>
      <c r="U1513">
        <f>_xlfn.NUMBERVALUE("0.001069")</f>
        <v/>
      </c>
      <c r="V1513">
        <f>_xlfn.NUMBERVALUE("0.000054")</f>
        <v/>
      </c>
      <c r="W1513">
        <f>_xlfn.NUMBERVALUE("0.003656")</f>
        <v/>
      </c>
      <c r="X1513">
        <f>_xlfn.NUMBERVALUE("-0.020000")</f>
        <v/>
      </c>
      <c r="Y1513">
        <f>_xlfn.NUMBERVALUE("22.750000")</f>
        <v/>
      </c>
    </row>
    <row r="1514">
      <c r="A1514" s="1" t="n">
        <v>44200</v>
      </c>
      <c r="B1514">
        <f>_xlfn.NUMBERVALUE("0.002776")</f>
        <v/>
      </c>
      <c r="C1514" s="2">
        <f>_xlfn.NUMBERVALUE("0.008953")</f>
        <v/>
      </c>
      <c r="D1514">
        <f>_xlfn.NUMBERVALUE("0.000201")</f>
        <v/>
      </c>
      <c r="E1514">
        <f>_xlfn.NUMBERVALUE("0.001845")</f>
        <v/>
      </c>
      <c r="F1514">
        <f>_xlfn.NUMBERVALUE("-0.001527")</f>
        <v/>
      </c>
      <c r="G1514">
        <f>_xlfn.NUMBERVALUE("0.001299")</f>
        <v/>
      </c>
      <c r="H1514">
        <f>_xlfn.NUMBERVALUE("0.000715")</f>
        <v/>
      </c>
      <c r="I1514">
        <f>_xlfn.NUMBERVALUE("0.002130")</f>
        <v/>
      </c>
      <c r="J1514">
        <f>_xlfn.NUMBERVALUE("0.003577")</f>
        <v/>
      </c>
      <c r="K1514">
        <f>_xlfn.NUMBERVALUE("-0.000863")</f>
        <v/>
      </c>
      <c r="L1514">
        <f>_xlfn.NUMBERVALUE("0.006444")</f>
        <v/>
      </c>
      <c r="M1514">
        <f>_xlfn.NUMBERVALUE("0.000889")</f>
        <v/>
      </c>
      <c r="N1514">
        <f>_xlfn.NUMBERVALUE("0.000556")</f>
        <v/>
      </c>
      <c r="O1514">
        <f>_xlfn.NUMBERVALUE("0.004678")</f>
        <v/>
      </c>
      <c r="P1514">
        <f>_xlfn.NUMBERVALUE("0.001560")</f>
        <v/>
      </c>
      <c r="Q1514">
        <f>_xlfn.NUMBERVALUE("-0.007318")</f>
        <v/>
      </c>
      <c r="R1514">
        <f>_xlfn.NUMBERVALUE("0.002169")</f>
        <v/>
      </c>
      <c r="S1514">
        <f>_xlfn.NUMBERVALUE("-0.001150")</f>
        <v/>
      </c>
      <c r="T1514">
        <f>_xlfn.NUMBERVALUE("-0.005812")</f>
        <v/>
      </c>
      <c r="U1514">
        <f>_xlfn.NUMBERVALUE("0.001369")</f>
        <v/>
      </c>
      <c r="V1514">
        <f>_xlfn.NUMBERVALUE("0.004901")</f>
        <v/>
      </c>
      <c r="W1514">
        <f>_xlfn.NUMBERVALUE("-0.005987")</f>
        <v/>
      </c>
      <c r="X1514">
        <f>_xlfn.NUMBERVALUE("4.220000")</f>
        <v/>
      </c>
      <c r="Y1514">
        <f>_xlfn.NUMBERVALUE("26.970000")</f>
        <v/>
      </c>
    </row>
    <row r="1515">
      <c r="A1515" s="1" t="n">
        <v>44201</v>
      </c>
      <c r="B1515">
        <f>_xlfn.NUMBERVALUE("0.009929")</f>
        <v/>
      </c>
      <c r="C1515" s="2">
        <f>_xlfn.NUMBERVALUE("0.001825")</f>
        <v/>
      </c>
      <c r="D1515">
        <f>_xlfn.NUMBERVALUE("-0.004395")</f>
        <v/>
      </c>
      <c r="E1515">
        <f>_xlfn.NUMBERVALUE("-0.000464")</f>
        <v/>
      </c>
      <c r="F1515">
        <f>_xlfn.NUMBERVALUE("-0.000786")</f>
        <v/>
      </c>
      <c r="G1515">
        <f>_xlfn.NUMBERVALUE("-0.000103")</f>
        <v/>
      </c>
      <c r="H1515">
        <f>_xlfn.NUMBERVALUE("0.007703")</f>
        <v/>
      </c>
      <c r="I1515">
        <f>_xlfn.NUMBERVALUE("0.002725")</f>
        <v/>
      </c>
      <c r="J1515">
        <f>_xlfn.NUMBERVALUE("-0.000796")</f>
        <v/>
      </c>
      <c r="K1515">
        <f>_xlfn.NUMBERVALUE("-0.001551")</f>
        <v/>
      </c>
      <c r="L1515">
        <f>_xlfn.NUMBERVALUE("0.001551")</f>
        <v/>
      </c>
      <c r="M1515">
        <f>_xlfn.NUMBERVALUE("-0.004386")</f>
        <v/>
      </c>
      <c r="N1515">
        <f>_xlfn.NUMBERVALUE("0.002121")</f>
        <v/>
      </c>
      <c r="O1515">
        <f>_xlfn.NUMBERVALUE("-0.013977")</f>
        <v/>
      </c>
      <c r="P1515">
        <f>_xlfn.NUMBERVALUE("0.002191")</f>
        <v/>
      </c>
      <c r="Q1515">
        <f>_xlfn.NUMBERVALUE("0.001810")</f>
        <v/>
      </c>
      <c r="R1515">
        <f>_xlfn.NUMBERVALUE("0.002733")</f>
        <v/>
      </c>
      <c r="S1515">
        <f>_xlfn.NUMBERVALUE("0.003524")</f>
        <v/>
      </c>
      <c r="T1515">
        <f>_xlfn.NUMBERVALUE("0.000541")</f>
        <v/>
      </c>
      <c r="U1515">
        <f>_xlfn.NUMBERVALUE("0.000693")</f>
        <v/>
      </c>
      <c r="V1515">
        <f>_xlfn.NUMBERVALUE("0.001407")</f>
        <v/>
      </c>
      <c r="W1515">
        <f>_xlfn.NUMBERVALUE("0.007076")</f>
        <v/>
      </c>
      <c r="X1515">
        <f>_xlfn.NUMBERVALUE("-1.630000")</f>
        <v/>
      </c>
      <c r="Y1515">
        <f>_xlfn.NUMBERVALUE("25.340000")</f>
        <v/>
      </c>
    </row>
    <row r="1516">
      <c r="A1516" s="1" t="n">
        <v>44202</v>
      </c>
      <c r="B1516">
        <f>_xlfn.NUMBERVALUE("0.004895")</f>
        <v/>
      </c>
      <c r="C1516" s="2">
        <f>_xlfn.NUMBERVALUE("-0.002932")</f>
        <v/>
      </c>
      <c r="D1516">
        <f>_xlfn.NUMBERVALUE("0.002138")</f>
        <v/>
      </c>
      <c r="E1516">
        <f>_xlfn.NUMBERVALUE("-0.001195")</f>
        <v/>
      </c>
      <c r="F1516">
        <f>_xlfn.NUMBERVALUE("-0.001377")</f>
        <v/>
      </c>
      <c r="G1516">
        <f>_xlfn.NUMBERVALUE("0.001217")</f>
        <v/>
      </c>
      <c r="H1516">
        <f>_xlfn.NUMBERVALUE("-0.000228")</f>
        <v/>
      </c>
      <c r="I1516">
        <f>_xlfn.NUMBERVALUE("-0.010722")</f>
        <v/>
      </c>
      <c r="J1516">
        <f>_xlfn.NUMBERVALUE("0.001654")</f>
        <v/>
      </c>
      <c r="K1516">
        <f>_xlfn.NUMBERVALUE("0.006156")</f>
        <v/>
      </c>
      <c r="L1516">
        <f>_xlfn.NUMBERVALUE("-0.002521")</f>
        <v/>
      </c>
      <c r="M1516">
        <f>_xlfn.NUMBERVALUE("-0.005292")</f>
        <v/>
      </c>
      <c r="N1516">
        <f>_xlfn.NUMBERVALUE("0.003426")</f>
        <v/>
      </c>
      <c r="O1516">
        <f>_xlfn.NUMBERVALUE("-0.003538")</f>
        <v/>
      </c>
      <c r="P1516">
        <f>_xlfn.NUMBERVALUE("-0.008693")</f>
        <v/>
      </c>
      <c r="Q1516">
        <f>_xlfn.NUMBERVALUE("-0.000997")</f>
        <v/>
      </c>
      <c r="R1516">
        <f>_xlfn.NUMBERVALUE("0.003132")</f>
        <v/>
      </c>
      <c r="S1516">
        <f>_xlfn.NUMBERVALUE("0.004539")</f>
        <v/>
      </c>
      <c r="T1516">
        <f>_xlfn.NUMBERVALUE("-0.002791")</f>
        <v/>
      </c>
      <c r="U1516">
        <f>_xlfn.NUMBERVALUE("-0.000238")</f>
        <v/>
      </c>
      <c r="V1516">
        <f>_xlfn.NUMBERVALUE("-0.001442")</f>
        <v/>
      </c>
      <c r="W1516">
        <f>_xlfn.NUMBERVALUE("0.005788")</f>
        <v/>
      </c>
      <c r="X1516">
        <f>_xlfn.NUMBERVALUE("-0.270000")</f>
        <v/>
      </c>
      <c r="Y1516">
        <f>_xlfn.NUMBERVALUE("25.070000")</f>
        <v/>
      </c>
    </row>
    <row r="1517">
      <c r="A1517" s="1" t="n">
        <v>44203</v>
      </c>
      <c r="B1517">
        <f>_xlfn.NUMBERVALUE("-0.028024")</f>
        <v/>
      </c>
      <c r="C1517" s="2">
        <f>_xlfn.NUMBERVALUE("0.002911")</f>
        <v/>
      </c>
      <c r="D1517">
        <f>_xlfn.NUMBERVALUE("-0.000375")</f>
        <v/>
      </c>
      <c r="E1517">
        <f>_xlfn.NUMBERVALUE("0.003161")</f>
        <v/>
      </c>
      <c r="F1517">
        <f>_xlfn.NUMBERVALUE("0.003101")</f>
        <v/>
      </c>
      <c r="G1517">
        <f>_xlfn.NUMBERVALUE("0.001254")</f>
        <v/>
      </c>
      <c r="H1517">
        <f>_xlfn.NUMBERVALUE("-0.000289")</f>
        <v/>
      </c>
      <c r="I1517">
        <f>_xlfn.NUMBERVALUE("0.001951")</f>
        <v/>
      </c>
      <c r="J1517">
        <f>_xlfn.NUMBERVALUE("0.000973")</f>
        <v/>
      </c>
      <c r="K1517">
        <f>_xlfn.NUMBERVALUE("0.009021")</f>
        <v/>
      </c>
      <c r="L1517">
        <f>_xlfn.NUMBERVALUE("0.002275")</f>
        <v/>
      </c>
      <c r="M1517">
        <f>_xlfn.NUMBERVALUE("-0.000073")</f>
        <v/>
      </c>
      <c r="N1517">
        <f>_xlfn.NUMBERVALUE("0.002329")</f>
        <v/>
      </c>
      <c r="O1517">
        <f>_xlfn.NUMBERVALUE("-0.000840")</f>
        <v/>
      </c>
      <c r="P1517">
        <f>_xlfn.NUMBERVALUE("-0.000217")</f>
        <v/>
      </c>
      <c r="Q1517">
        <f>_xlfn.NUMBERVALUE("0.004805")</f>
        <v/>
      </c>
      <c r="R1517">
        <f>_xlfn.NUMBERVALUE("-0.009276")</f>
        <v/>
      </c>
      <c r="S1517">
        <f>_xlfn.NUMBERVALUE("0.004400")</f>
        <v/>
      </c>
      <c r="T1517">
        <f>_xlfn.NUMBERVALUE("-0.000087")</f>
        <v/>
      </c>
      <c r="U1517">
        <f>_xlfn.NUMBERVALUE("-0.001466")</f>
        <v/>
      </c>
      <c r="V1517">
        <f>_xlfn.NUMBERVALUE("0.001257")</f>
        <v/>
      </c>
      <c r="W1517">
        <f>_xlfn.NUMBERVALUE("0.016300")</f>
        <v/>
      </c>
      <c r="X1517">
        <f>_xlfn.NUMBERVALUE("-2.700000")</f>
        <v/>
      </c>
      <c r="Y1517">
        <f>_xlfn.NUMBERVALUE("22.370000")</f>
        <v/>
      </c>
    </row>
    <row r="1518">
      <c r="A1518" s="1" t="n">
        <v>44204</v>
      </c>
      <c r="B1518">
        <f>_xlfn.NUMBERVALUE("-0.012398")</f>
        <v/>
      </c>
      <c r="C1518" s="2">
        <f>_xlfn.NUMBERVALUE("0.002065")</f>
        <v/>
      </c>
      <c r="D1518">
        <f>_xlfn.NUMBERVALUE("-0.004210")</f>
        <v/>
      </c>
      <c r="E1518">
        <f>_xlfn.NUMBERVALUE("-0.000449")</f>
        <v/>
      </c>
      <c r="F1518">
        <f>_xlfn.NUMBERVALUE("-0.010448")</f>
        <v/>
      </c>
      <c r="G1518">
        <f>_xlfn.NUMBERVALUE("0.000232")</f>
        <v/>
      </c>
      <c r="H1518">
        <f>_xlfn.NUMBERVALUE("-0.024046")</f>
        <v/>
      </c>
      <c r="I1518">
        <f>_xlfn.NUMBERVALUE("-0.002008")</f>
        <v/>
      </c>
      <c r="J1518">
        <f>_xlfn.NUMBERVALUE("-0.000696")</f>
        <v/>
      </c>
      <c r="K1518">
        <f>_xlfn.NUMBERVALUE("-0.021753")</f>
        <v/>
      </c>
      <c r="L1518">
        <f>_xlfn.NUMBERVALUE("-0.001404")</f>
        <v/>
      </c>
      <c r="M1518">
        <f>_xlfn.NUMBERVALUE("-0.000958")</f>
        <v/>
      </c>
      <c r="N1518">
        <f>_xlfn.NUMBERVALUE("0.001656")</f>
        <v/>
      </c>
      <c r="O1518">
        <f>_xlfn.NUMBERVALUE("0.001185")</f>
        <v/>
      </c>
      <c r="P1518">
        <f>_xlfn.NUMBERVALUE("0.002586")</f>
        <v/>
      </c>
      <c r="Q1518">
        <f>_xlfn.NUMBERVALUE("0.000999")</f>
        <v/>
      </c>
      <c r="R1518">
        <f>_xlfn.NUMBERVALUE("-0.000565")</f>
        <v/>
      </c>
      <c r="S1518">
        <f>_xlfn.NUMBERVALUE("0.002583")</f>
        <v/>
      </c>
      <c r="T1518">
        <f>_xlfn.NUMBERVALUE("0.003142")</f>
        <v/>
      </c>
      <c r="U1518">
        <f>_xlfn.NUMBERVALUE("-0.004233")</f>
        <v/>
      </c>
      <c r="V1518">
        <f>_xlfn.NUMBERVALUE("0.000417")</f>
        <v/>
      </c>
      <c r="W1518">
        <f>_xlfn.NUMBERVALUE("0.003476")</f>
        <v/>
      </c>
      <c r="X1518">
        <f>_xlfn.NUMBERVALUE("-0.810000")</f>
        <v/>
      </c>
      <c r="Y1518">
        <f>_xlfn.NUMBERVALUE("21.560000")</f>
        <v/>
      </c>
    </row>
    <row r="1519">
      <c r="A1519" s="1" t="n">
        <v>44207</v>
      </c>
      <c r="B1519">
        <f>_xlfn.NUMBERVALUE("-0.002471")</f>
        <v/>
      </c>
      <c r="C1519" s="2">
        <f>_xlfn.NUMBERVALUE("-0.001968")</f>
        <v/>
      </c>
      <c r="D1519">
        <f>_xlfn.NUMBERVALUE("-0.002277")</f>
        <v/>
      </c>
      <c r="E1519">
        <f>_xlfn.NUMBERVALUE("0.001285")</f>
        <v/>
      </c>
      <c r="F1519">
        <f>_xlfn.NUMBERVALUE("0.003173")</f>
        <v/>
      </c>
      <c r="G1519">
        <f>_xlfn.NUMBERVALUE("0.000438")</f>
        <v/>
      </c>
      <c r="H1519">
        <f>_xlfn.NUMBERVALUE("0.020113")</f>
        <v/>
      </c>
      <c r="I1519">
        <f>_xlfn.NUMBERVALUE("-0.000828")</f>
        <v/>
      </c>
      <c r="J1519">
        <f>_xlfn.NUMBERVALUE("0.000448")</f>
        <v/>
      </c>
      <c r="K1519">
        <f>_xlfn.NUMBERVALUE("0.004978")</f>
        <v/>
      </c>
      <c r="L1519">
        <f>_xlfn.NUMBERVALUE("-0.000125")</f>
        <v/>
      </c>
      <c r="M1519">
        <f>_xlfn.NUMBERVALUE("0.003480")</f>
        <v/>
      </c>
      <c r="N1519">
        <f>_xlfn.NUMBERVALUE("-0.000721")</f>
        <v/>
      </c>
      <c r="O1519">
        <f>_xlfn.NUMBERVALUE("-0.002018")</f>
        <v/>
      </c>
      <c r="P1519">
        <f>_xlfn.NUMBERVALUE("0.000131")</f>
        <v/>
      </c>
      <c r="Q1519">
        <f>_xlfn.NUMBERVALUE("0.001540")</f>
        <v/>
      </c>
      <c r="R1519">
        <f>_xlfn.NUMBERVALUE("-0.003632")</f>
        <v/>
      </c>
      <c r="S1519">
        <f>_xlfn.NUMBERVALUE("-0.001655")</f>
        <v/>
      </c>
      <c r="T1519">
        <f>_xlfn.NUMBERVALUE("-0.002834")</f>
        <v/>
      </c>
      <c r="U1519">
        <f>_xlfn.NUMBERVALUE("-0.004034")</f>
        <v/>
      </c>
      <c r="V1519">
        <f>_xlfn.NUMBERVALUE("-0.001835")</f>
        <v/>
      </c>
      <c r="W1519">
        <f>_xlfn.NUMBERVALUE("-0.006063")</f>
        <v/>
      </c>
      <c r="X1519">
        <f>_xlfn.NUMBERVALUE("2.520000")</f>
        <v/>
      </c>
      <c r="Y1519">
        <f>_xlfn.NUMBERVALUE("24.080000")</f>
        <v/>
      </c>
    </row>
    <row r="1520">
      <c r="A1520" s="1" t="n">
        <v>44208</v>
      </c>
      <c r="B1520">
        <f>_xlfn.NUMBERVALUE("0.005290")</f>
        <v/>
      </c>
      <c r="C1520" s="2">
        <f>_xlfn.NUMBERVALUE("0.002036")</f>
        <v/>
      </c>
      <c r="D1520">
        <f>_xlfn.NUMBERVALUE("0.000171")</f>
        <v/>
      </c>
      <c r="E1520">
        <f>_xlfn.NUMBERVALUE("0.001010")</f>
        <v/>
      </c>
      <c r="F1520">
        <f>_xlfn.NUMBERVALUE("0.001126")</f>
        <v/>
      </c>
      <c r="G1520">
        <f>_xlfn.NUMBERVALUE("0.000316")</f>
        <v/>
      </c>
      <c r="H1520">
        <f>_xlfn.NUMBERVALUE("-0.003602")</f>
        <v/>
      </c>
      <c r="I1520">
        <f>_xlfn.NUMBERVALUE("-0.000420")</f>
        <v/>
      </c>
      <c r="J1520">
        <f>_xlfn.NUMBERVALUE("0.000081")</f>
        <v/>
      </c>
      <c r="K1520">
        <f>_xlfn.NUMBERVALUE("0.005727")</f>
        <v/>
      </c>
      <c r="L1520">
        <f>_xlfn.NUMBERVALUE("0.000705")</f>
        <v/>
      </c>
      <c r="M1520">
        <f>_xlfn.NUMBERVALUE("0.000520")</f>
        <v/>
      </c>
      <c r="N1520">
        <f>_xlfn.NUMBERVALUE("-0.001346")</f>
        <v/>
      </c>
      <c r="O1520">
        <f>_xlfn.NUMBERVALUE("-0.001068")</f>
        <v/>
      </c>
      <c r="P1520">
        <f>_xlfn.NUMBERVALUE("0.001807")</f>
        <v/>
      </c>
      <c r="Q1520">
        <f>_xlfn.NUMBERVALUE("0.000304")</f>
        <v/>
      </c>
      <c r="R1520">
        <f>_xlfn.NUMBERVALUE("0.004481")</f>
        <v/>
      </c>
      <c r="S1520">
        <f>_xlfn.NUMBERVALUE("0.001215")</f>
        <v/>
      </c>
      <c r="T1520">
        <f>_xlfn.NUMBERVALUE("0.002543")</f>
        <v/>
      </c>
      <c r="U1520">
        <f>_xlfn.NUMBERVALUE("-0.004204")</f>
        <v/>
      </c>
      <c r="V1520">
        <f>_xlfn.NUMBERVALUE("0.002865")</f>
        <v/>
      </c>
      <c r="W1520">
        <f>_xlfn.NUMBERVALUE("0.001083")</f>
        <v/>
      </c>
      <c r="X1520">
        <f>_xlfn.NUMBERVALUE("-0.750000")</f>
        <v/>
      </c>
      <c r="Y1520">
        <f>_xlfn.NUMBERVALUE("23.330000")</f>
        <v/>
      </c>
    </row>
    <row r="1521">
      <c r="A1521" s="1" t="n">
        <v>44209</v>
      </c>
      <c r="B1521">
        <f>_xlfn.NUMBERVALUE("0.007953")</f>
        <v/>
      </c>
      <c r="C1521" s="2">
        <f>_xlfn.NUMBERVALUE("0.002474")</f>
        <v/>
      </c>
      <c r="D1521">
        <f>_xlfn.NUMBERVALUE("0.001028")</f>
        <v/>
      </c>
      <c r="E1521">
        <f>_xlfn.NUMBERVALUE("0.001932")</f>
        <v/>
      </c>
      <c r="F1521">
        <f>_xlfn.NUMBERVALUE("0.001134")</f>
        <v/>
      </c>
      <c r="G1521">
        <f>_xlfn.NUMBERVALUE("0.000961")</f>
        <v/>
      </c>
      <c r="H1521">
        <f>_xlfn.NUMBERVALUE("0.006342")</f>
        <v/>
      </c>
      <c r="I1521">
        <f>_xlfn.NUMBERVALUE("0.003980")</f>
        <v/>
      </c>
      <c r="J1521">
        <f>_xlfn.NUMBERVALUE("0.000237")</f>
        <v/>
      </c>
      <c r="K1521">
        <f>_xlfn.NUMBERVALUE("0.004591")</f>
        <v/>
      </c>
      <c r="L1521">
        <f>_xlfn.NUMBERVALUE("0.001555")</f>
        <v/>
      </c>
      <c r="M1521">
        <f>_xlfn.NUMBERVALUE("0.002242")</f>
        <v/>
      </c>
      <c r="N1521">
        <f>_xlfn.NUMBERVALUE("0.001002")</f>
        <v/>
      </c>
      <c r="O1521">
        <f>_xlfn.NUMBERVALUE("0.001645")</f>
        <v/>
      </c>
      <c r="P1521">
        <f>_xlfn.NUMBERVALUE("0.001742")</f>
        <v/>
      </c>
      <c r="Q1521">
        <f>_xlfn.NUMBERVALUE("0.002393")</f>
        <v/>
      </c>
      <c r="R1521">
        <f>_xlfn.NUMBERVALUE("0.002244")</f>
        <v/>
      </c>
      <c r="S1521">
        <f>_xlfn.NUMBERVALUE("0.002811")</f>
        <v/>
      </c>
      <c r="T1521">
        <f>_xlfn.NUMBERVALUE("-0.002945")</f>
        <v/>
      </c>
      <c r="U1521">
        <f>_xlfn.NUMBERVALUE("0.003206")</f>
        <v/>
      </c>
      <c r="V1521">
        <f>_xlfn.NUMBERVALUE("0.001773")</f>
        <v/>
      </c>
      <c r="W1521">
        <f>_xlfn.NUMBERVALUE("0.003112")</f>
        <v/>
      </c>
      <c r="X1521">
        <f>_xlfn.NUMBERVALUE("-1.120000")</f>
        <v/>
      </c>
      <c r="Y1521">
        <f>_xlfn.NUMBERVALUE("22.210000")</f>
        <v/>
      </c>
    </row>
    <row r="1522">
      <c r="A1522" s="1" t="n">
        <v>44210</v>
      </c>
      <c r="B1522">
        <f>_xlfn.NUMBERVALUE("-0.003699")</f>
        <v/>
      </c>
      <c r="C1522" s="2">
        <f>_xlfn.NUMBERVALUE("0.001101")</f>
        <v/>
      </c>
      <c r="D1522">
        <f>_xlfn.NUMBERVALUE("-0.000659")</f>
        <v/>
      </c>
      <c r="E1522">
        <f>_xlfn.NUMBERVALUE("0.000113")</f>
        <v/>
      </c>
      <c r="F1522">
        <f>_xlfn.NUMBERVALUE("0.000068")</f>
        <v/>
      </c>
      <c r="G1522">
        <f>_xlfn.NUMBERVALUE("-0.000682")</f>
        <v/>
      </c>
      <c r="H1522">
        <f>_xlfn.NUMBERVALUE("-0.010198")</f>
        <v/>
      </c>
      <c r="I1522">
        <f>_xlfn.NUMBERVALUE("-0.004162")</f>
        <v/>
      </c>
      <c r="J1522">
        <f>_xlfn.NUMBERVALUE("-0.000357")</f>
        <v/>
      </c>
      <c r="K1522">
        <f>_xlfn.NUMBERVALUE("-0.000446")</f>
        <v/>
      </c>
      <c r="L1522">
        <f>_xlfn.NUMBERVALUE("-0.001945")</f>
        <v/>
      </c>
      <c r="M1522">
        <f>_xlfn.NUMBERVALUE("-0.000863")</f>
        <v/>
      </c>
      <c r="N1522">
        <f>_xlfn.NUMBERVALUE("0.000180")</f>
        <v/>
      </c>
      <c r="O1522">
        <f>_xlfn.NUMBERVALUE("-0.005540")</f>
        <v/>
      </c>
      <c r="P1522">
        <f>_xlfn.NUMBERVALUE("-0.000647")</f>
        <v/>
      </c>
      <c r="Q1522">
        <f>_xlfn.NUMBERVALUE("0.000057")</f>
        <v/>
      </c>
      <c r="R1522">
        <f>_xlfn.NUMBERVALUE("-0.000055")</f>
        <v/>
      </c>
      <c r="S1522">
        <f>_xlfn.NUMBERVALUE("-0.000024")</f>
        <v/>
      </c>
      <c r="T1522">
        <f>_xlfn.NUMBERVALUE("0.000270")</f>
        <v/>
      </c>
      <c r="U1522">
        <f>_xlfn.NUMBERVALUE("0.002333")</f>
        <v/>
      </c>
      <c r="V1522">
        <f>_xlfn.NUMBERVALUE("0.000189")</f>
        <v/>
      </c>
      <c r="W1522">
        <f>_xlfn.NUMBERVALUE("-0.002367")</f>
        <v/>
      </c>
      <c r="X1522">
        <f>_xlfn.NUMBERVALUE("1.040000")</f>
        <v/>
      </c>
      <c r="Y1522">
        <f>_xlfn.NUMBERVALUE("23.250000")</f>
        <v/>
      </c>
    </row>
    <row r="1523">
      <c r="A1523" s="1" t="n">
        <v>44211</v>
      </c>
      <c r="B1523">
        <f>_xlfn.NUMBERVALUE("0.004640")</f>
        <v/>
      </c>
      <c r="C1523" s="2">
        <f>_xlfn.NUMBERVALUE("0.000309")</f>
        <v/>
      </c>
      <c r="D1523">
        <f>_xlfn.NUMBERVALUE("0.000878")</f>
        <v/>
      </c>
      <c r="E1523">
        <f>_xlfn.NUMBERVALUE("0.000621")</f>
        <v/>
      </c>
      <c r="F1523">
        <f>_xlfn.NUMBERVALUE("-0.000411")</f>
        <v/>
      </c>
      <c r="G1523">
        <f>_xlfn.NUMBERVALUE("0.000554")</f>
        <v/>
      </c>
      <c r="H1523">
        <f>_xlfn.NUMBERVALUE("0.011877")</f>
        <v/>
      </c>
      <c r="I1523">
        <f>_xlfn.NUMBERVALUE("0.000946")</f>
        <v/>
      </c>
      <c r="J1523">
        <f>_xlfn.NUMBERVALUE("0.000357")</f>
        <v/>
      </c>
      <c r="K1523">
        <f>_xlfn.NUMBERVALUE("-0.001721")</f>
        <v/>
      </c>
      <c r="L1523">
        <f>_xlfn.NUMBERVALUE("0.001133")</f>
        <v/>
      </c>
      <c r="M1523">
        <f>_xlfn.NUMBERVALUE("0.000498")</f>
        <v/>
      </c>
      <c r="N1523">
        <f>_xlfn.NUMBERVALUE("0.000204")</f>
        <v/>
      </c>
      <c r="O1523">
        <f>_xlfn.NUMBERVALUE("-0.005839")</f>
        <v/>
      </c>
      <c r="P1523">
        <f>_xlfn.NUMBERVALUE("0.001017")</f>
        <v/>
      </c>
      <c r="Q1523">
        <f>_xlfn.NUMBERVALUE("-0.000867")</f>
        <v/>
      </c>
      <c r="R1523">
        <f>_xlfn.NUMBERVALUE("0.001194")</f>
        <v/>
      </c>
      <c r="S1523">
        <f>_xlfn.NUMBERVALUE("0.001086")</f>
        <v/>
      </c>
      <c r="T1523">
        <f>_xlfn.NUMBERVALUE("-0.000170")</f>
        <v/>
      </c>
      <c r="U1523">
        <f>_xlfn.NUMBERVALUE("-0.001166")</f>
        <v/>
      </c>
      <c r="V1523">
        <f>_xlfn.NUMBERVALUE("0.000633")</f>
        <v/>
      </c>
      <c r="W1523">
        <f>_xlfn.NUMBERVALUE("-0.009647")</f>
        <v/>
      </c>
      <c r="X1523">
        <f>_xlfn.NUMBERVALUE("1.090000")</f>
        <v/>
      </c>
      <c r="Y1523">
        <f>_xlfn.NUMBERVALUE("24.340000")</f>
        <v/>
      </c>
    </row>
    <row r="1524">
      <c r="A1524" s="1" t="n">
        <v>44215</v>
      </c>
      <c r="B1524">
        <f>_xlfn.NUMBERVALUE("0.006134")</f>
        <v/>
      </c>
      <c r="C1524" s="2">
        <f>_xlfn.NUMBERVALUE("0.002140")</f>
        <v/>
      </c>
      <c r="D1524">
        <f>_xlfn.NUMBERVALUE("0.000655")</f>
        <v/>
      </c>
      <c r="E1524">
        <f>_xlfn.NUMBERVALUE("0.001378")</f>
        <v/>
      </c>
      <c r="F1524">
        <f>_xlfn.NUMBERVALUE("0.001552")</f>
        <v/>
      </c>
      <c r="G1524">
        <f>_xlfn.NUMBERVALUE("0.000989")</f>
        <v/>
      </c>
      <c r="H1524">
        <f>_xlfn.NUMBERVALUE("0.000922")</f>
        <v/>
      </c>
      <c r="I1524">
        <f>_xlfn.NUMBERVALUE("0.001635")</f>
        <v/>
      </c>
      <c r="J1524">
        <f>_xlfn.NUMBERVALUE("0.000849")</f>
        <v/>
      </c>
      <c r="K1524">
        <f>_xlfn.NUMBERVALUE("0.008126")</f>
        <v/>
      </c>
      <c r="L1524">
        <f>_xlfn.NUMBERVALUE("0.001511")</f>
        <v/>
      </c>
      <c r="M1524">
        <f>_xlfn.NUMBERVALUE("0.005358")</f>
        <v/>
      </c>
      <c r="N1524">
        <f>_xlfn.NUMBERVALUE("0.001661")</f>
        <v/>
      </c>
      <c r="O1524">
        <f>_xlfn.NUMBERVALUE("0.005563")</f>
        <v/>
      </c>
      <c r="P1524">
        <f>_xlfn.NUMBERVALUE("0.005463")</f>
        <v/>
      </c>
      <c r="Q1524">
        <f>_xlfn.NUMBERVALUE("0.005862")</f>
        <v/>
      </c>
      <c r="R1524">
        <f>_xlfn.NUMBERVALUE("0.004902")</f>
        <v/>
      </c>
      <c r="S1524">
        <f>_xlfn.NUMBERVALUE("0.003688")</f>
        <v/>
      </c>
      <c r="T1524">
        <f>_xlfn.NUMBERVALUE("0.004772")</f>
        <v/>
      </c>
      <c r="U1524">
        <f>_xlfn.NUMBERVALUE("0.004503")</f>
        <v/>
      </c>
      <c r="V1524">
        <f>_xlfn.NUMBERVALUE("0.002013")</f>
        <v/>
      </c>
      <c r="W1524">
        <f>_xlfn.NUMBERVALUE("0.008809")</f>
        <v/>
      </c>
      <c r="X1524">
        <f>_xlfn.NUMBERVALUE("-1.100000")</f>
        <v/>
      </c>
      <c r="Y1524">
        <f>_xlfn.NUMBERVALUE("23.240000")</f>
        <v/>
      </c>
    </row>
    <row r="1525">
      <c r="A1525" s="1" t="n">
        <v>44216</v>
      </c>
      <c r="B1525">
        <f>_xlfn.NUMBERVALUE("0.001406")</f>
        <v/>
      </c>
      <c r="C1525" s="2">
        <f>_xlfn.NUMBERVALUE("0.000542")</f>
        <v/>
      </c>
      <c r="D1525">
        <f>_xlfn.NUMBERVALUE("-0.001501")</f>
        <v/>
      </c>
      <c r="E1525">
        <f>_xlfn.NUMBERVALUE("0.000809")</f>
        <v/>
      </c>
      <c r="F1525">
        <f>_xlfn.NUMBERVALUE("-0.000042")</f>
        <v/>
      </c>
      <c r="G1525">
        <f>_xlfn.NUMBERVALUE("0.000866")</f>
        <v/>
      </c>
      <c r="H1525">
        <f>_xlfn.NUMBERVALUE("0.000347")</f>
        <v/>
      </c>
      <c r="I1525">
        <f>_xlfn.NUMBERVALUE("0.001940")</f>
        <v/>
      </c>
      <c r="J1525">
        <f>_xlfn.NUMBERVALUE("0.000908")</f>
        <v/>
      </c>
      <c r="K1525">
        <f>_xlfn.NUMBERVALUE("-0.002599")</f>
        <v/>
      </c>
      <c r="L1525">
        <f>_xlfn.NUMBERVALUE("0.001229")</f>
        <v/>
      </c>
      <c r="M1525">
        <f>_xlfn.NUMBERVALUE("0.003769")</f>
        <v/>
      </c>
      <c r="N1525">
        <f>_xlfn.NUMBERVALUE("-0.007068")</f>
        <v/>
      </c>
      <c r="O1525">
        <f>_xlfn.NUMBERVALUE("0.003268")</f>
        <v/>
      </c>
      <c r="P1525">
        <f>_xlfn.NUMBERVALUE("0.002409")</f>
        <v/>
      </c>
      <c r="Q1525">
        <f>_xlfn.NUMBERVALUE("0.002927")</f>
        <v/>
      </c>
      <c r="R1525">
        <f>_xlfn.NUMBERVALUE("-0.002416")</f>
        <v/>
      </c>
      <c r="S1525">
        <f>_xlfn.NUMBERVALUE("0.001225")</f>
        <v/>
      </c>
      <c r="T1525">
        <f>_xlfn.NUMBERVALUE("0.000808")</f>
        <v/>
      </c>
      <c r="U1525">
        <f>_xlfn.NUMBERVALUE("-0.000549")</f>
        <v/>
      </c>
      <c r="V1525">
        <f>_xlfn.NUMBERVALUE("-0.000636")</f>
        <v/>
      </c>
      <c r="W1525">
        <f>_xlfn.NUMBERVALUE("0.015064")</f>
        <v/>
      </c>
      <c r="X1525">
        <f>_xlfn.NUMBERVALUE("-1.660000")</f>
        <v/>
      </c>
      <c r="Y1525">
        <f>_xlfn.NUMBERVALUE("21.580000")</f>
        <v/>
      </c>
    </row>
    <row r="1526">
      <c r="A1526" s="1" t="n">
        <v>44217</v>
      </c>
      <c r="B1526">
        <f>_xlfn.NUMBERVALUE("0.005418")</f>
        <v/>
      </c>
      <c r="C1526" s="2">
        <f>_xlfn.NUMBERVALUE("0.001746")</f>
        <v/>
      </c>
      <c r="D1526">
        <f>_xlfn.NUMBERVALUE("0.000109")</f>
        <v/>
      </c>
      <c r="E1526">
        <f>_xlfn.NUMBERVALUE("0.000718")</f>
        <v/>
      </c>
      <c r="F1526">
        <f>_xlfn.NUMBERVALUE("0.001006")</f>
        <v/>
      </c>
      <c r="G1526">
        <f>_xlfn.NUMBERVALUE("0.000092")</f>
        <v/>
      </c>
      <c r="H1526">
        <f>_xlfn.NUMBERVALUE("0.000260")</f>
        <v/>
      </c>
      <c r="I1526">
        <f>_xlfn.NUMBERVALUE("0.000878")</f>
        <v/>
      </c>
      <c r="J1526">
        <f>_xlfn.NUMBERVALUE("-0.000401")</f>
        <v/>
      </c>
      <c r="K1526">
        <f>_xlfn.NUMBERVALUE("0.002801")</f>
        <v/>
      </c>
      <c r="L1526">
        <f>_xlfn.NUMBERVALUE("-0.000409")</f>
        <v/>
      </c>
      <c r="M1526">
        <f>_xlfn.NUMBERVALUE("-0.000888")</f>
        <v/>
      </c>
      <c r="N1526">
        <f>_xlfn.NUMBERVALUE("-0.000218")</f>
        <v/>
      </c>
      <c r="O1526">
        <f>_xlfn.NUMBERVALUE("-0.003471")</f>
        <v/>
      </c>
      <c r="P1526">
        <f>_xlfn.NUMBERVALUE("0.000676")</f>
        <v/>
      </c>
      <c r="Q1526">
        <f>_xlfn.NUMBERVALUE("0.000820")</f>
        <v/>
      </c>
      <c r="R1526">
        <f>_xlfn.NUMBERVALUE("-0.001034")</f>
        <v/>
      </c>
      <c r="S1526">
        <f>_xlfn.NUMBERVALUE("0.001071")</f>
        <v/>
      </c>
      <c r="T1526">
        <f>_xlfn.NUMBERVALUE("0.001883")</f>
        <v/>
      </c>
      <c r="U1526">
        <f>_xlfn.NUMBERVALUE("0.001091")</f>
        <v/>
      </c>
      <c r="V1526">
        <f>_xlfn.NUMBERVALUE("0.000817")</f>
        <v/>
      </c>
      <c r="W1526">
        <f>_xlfn.NUMBERVALUE("0.000364")</f>
        <v/>
      </c>
      <c r="X1526">
        <f>_xlfn.NUMBERVALUE("-0.260000")</f>
        <v/>
      </c>
      <c r="Y1526">
        <f>_xlfn.NUMBERVALUE("21.320000")</f>
        <v/>
      </c>
    </row>
    <row r="1527">
      <c r="A1527" s="1" t="n">
        <v>44218</v>
      </c>
      <c r="B1527">
        <f>_xlfn.NUMBERVALUE("0.001763")</f>
        <v/>
      </c>
      <c r="C1527" s="2">
        <f>_xlfn.NUMBERVALUE("0.001728")</f>
        <v/>
      </c>
      <c r="D1527">
        <f>_xlfn.NUMBERVALUE("-0.000006")</f>
        <v/>
      </c>
      <c r="E1527">
        <f>_xlfn.NUMBERVALUE("-0.000393")</f>
        <v/>
      </c>
      <c r="F1527">
        <f>_xlfn.NUMBERVALUE("-0.000294")</f>
        <v/>
      </c>
      <c r="G1527">
        <f>_xlfn.NUMBERVALUE("0.001305")</f>
        <v/>
      </c>
      <c r="H1527">
        <f>_xlfn.NUMBERVALUE("-0.000013")</f>
        <v/>
      </c>
      <c r="I1527">
        <f>_xlfn.NUMBERVALUE("0.000408")</f>
        <v/>
      </c>
      <c r="J1527">
        <f>_xlfn.NUMBERVALUE("0.000985")</f>
        <v/>
      </c>
      <c r="K1527">
        <f>_xlfn.NUMBERVALUE("0.001967")</f>
        <v/>
      </c>
      <c r="L1527">
        <f>_xlfn.NUMBERVALUE("0.000314")</f>
        <v/>
      </c>
      <c r="M1527">
        <f>_xlfn.NUMBERVALUE("0.002085")</f>
        <v/>
      </c>
      <c r="N1527">
        <f>_xlfn.NUMBERVALUE("0.000640")</f>
        <v/>
      </c>
      <c r="O1527">
        <f>_xlfn.NUMBERVALUE("0.002041")</f>
        <v/>
      </c>
      <c r="P1527">
        <f>_xlfn.NUMBERVALUE("0.000332")</f>
        <v/>
      </c>
      <c r="Q1527">
        <f>_xlfn.NUMBERVALUE("0.002218")</f>
        <v/>
      </c>
      <c r="R1527">
        <f>_xlfn.NUMBERVALUE("0.001026")</f>
        <v/>
      </c>
      <c r="S1527">
        <f>_xlfn.NUMBERVALUE("0.000956")</f>
        <v/>
      </c>
      <c r="T1527">
        <f>_xlfn.NUMBERVALUE("0.002603")</f>
        <v/>
      </c>
      <c r="U1527">
        <f>_xlfn.NUMBERVALUE("0.001692")</f>
        <v/>
      </c>
      <c r="V1527">
        <f>_xlfn.NUMBERVALUE("0.001492")</f>
        <v/>
      </c>
      <c r="W1527">
        <f>_xlfn.NUMBERVALUE("-0.002546")</f>
        <v/>
      </c>
      <c r="X1527">
        <f>_xlfn.NUMBERVALUE("0.590000")</f>
        <v/>
      </c>
      <c r="Y1527">
        <f>_xlfn.NUMBERVALUE("21.910000")</f>
        <v/>
      </c>
    </row>
    <row r="1528">
      <c r="A1528" s="1" t="n">
        <v>44221</v>
      </c>
      <c r="B1528">
        <f>_xlfn.NUMBERVALUE("0.002972")</f>
        <v/>
      </c>
      <c r="C1528" s="2">
        <f>_xlfn.NUMBERVALUE("-0.000210")</f>
        <v/>
      </c>
      <c r="D1528">
        <f>_xlfn.NUMBERVALUE("-0.000051")</f>
        <v/>
      </c>
      <c r="E1528">
        <f>_xlfn.NUMBERVALUE("0.000404")</f>
        <v/>
      </c>
      <c r="F1528">
        <f>_xlfn.NUMBERVALUE("0.000931")</f>
        <v/>
      </c>
      <c r="G1528">
        <f>_xlfn.NUMBERVALUE("-0.000265")</f>
        <v/>
      </c>
      <c r="H1528">
        <f>_xlfn.NUMBERVALUE("0.000076")</f>
        <v/>
      </c>
      <c r="I1528">
        <f>_xlfn.NUMBERVALUE("-0.000070")</f>
        <v/>
      </c>
      <c r="J1528">
        <f>_xlfn.NUMBERVALUE("-0.001035")</f>
        <v/>
      </c>
      <c r="K1528">
        <f>_xlfn.NUMBERVALUE("0.001749")</f>
        <v/>
      </c>
      <c r="L1528">
        <f>_xlfn.NUMBERVALUE("-0.000356")</f>
        <v/>
      </c>
      <c r="M1528">
        <f>_xlfn.NUMBERVALUE("-0.002243")</f>
        <v/>
      </c>
      <c r="N1528">
        <f>_xlfn.NUMBERVALUE("0.001373")</f>
        <v/>
      </c>
      <c r="O1528">
        <f>_xlfn.NUMBERVALUE("-0.000940")</f>
        <v/>
      </c>
      <c r="P1528">
        <f>_xlfn.NUMBERVALUE("-0.002159")</f>
        <v/>
      </c>
      <c r="Q1528">
        <f>_xlfn.NUMBERVALUE("-0.002842")</f>
        <v/>
      </c>
      <c r="R1528">
        <f>_xlfn.NUMBERVALUE("-0.001128")</f>
        <v/>
      </c>
      <c r="S1528">
        <f>_xlfn.NUMBERVALUE("-0.001202")</f>
        <v/>
      </c>
      <c r="T1528">
        <f>_xlfn.NUMBERVALUE("-0.006490")</f>
        <v/>
      </c>
      <c r="U1528">
        <f>_xlfn.NUMBERVALUE("-0.002753")</f>
        <v/>
      </c>
      <c r="V1528">
        <f>_xlfn.NUMBERVALUE("0.000265")</f>
        <v/>
      </c>
      <c r="W1528">
        <f>_xlfn.NUMBERVALUE("-0.000729")</f>
        <v/>
      </c>
      <c r="X1528">
        <f>_xlfn.NUMBERVALUE("1.280000")</f>
        <v/>
      </c>
      <c r="Y1528">
        <f>_xlfn.NUMBERVALUE("23.190000")</f>
        <v/>
      </c>
    </row>
    <row r="1529">
      <c r="A1529" s="1" t="n">
        <v>44222</v>
      </c>
      <c r="B1529">
        <f>_xlfn.NUMBERVALUE("-0.004847")</f>
        <v/>
      </c>
      <c r="C1529" s="2">
        <f>_xlfn.NUMBERVALUE("0.001813")</f>
        <v/>
      </c>
      <c r="D1529">
        <f>_xlfn.NUMBERVALUE("0.001901")</f>
        <v/>
      </c>
      <c r="E1529">
        <f>_xlfn.NUMBERVALUE("0.000634")</f>
        <v/>
      </c>
      <c r="F1529">
        <f>_xlfn.NUMBERVALUE("0.000566")</f>
        <v/>
      </c>
      <c r="G1529">
        <f>_xlfn.NUMBERVALUE("0.001357")</f>
        <v/>
      </c>
      <c r="H1529">
        <f>_xlfn.NUMBERVALUE("0.000025")</f>
        <v/>
      </c>
      <c r="I1529">
        <f>_xlfn.NUMBERVALUE("0.002001")</f>
        <v/>
      </c>
      <c r="J1529">
        <f>_xlfn.NUMBERVALUE("-0.000175")</f>
        <v/>
      </c>
      <c r="K1529">
        <f>_xlfn.NUMBERVALUE("0.001660")</f>
        <v/>
      </c>
      <c r="L1529">
        <f>_xlfn.NUMBERVALUE("0.000424")</f>
        <v/>
      </c>
      <c r="M1529">
        <f>_xlfn.NUMBERVALUE("-0.000402")</f>
        <v/>
      </c>
      <c r="N1529">
        <f>_xlfn.NUMBERVALUE("-0.001678")</f>
        <v/>
      </c>
      <c r="O1529">
        <f>_xlfn.NUMBERVALUE("0.000710")</f>
        <v/>
      </c>
      <c r="P1529">
        <f>_xlfn.NUMBERVALUE("0.000585")</f>
        <v/>
      </c>
      <c r="Q1529">
        <f>_xlfn.NUMBERVALUE("0.000781")</f>
        <v/>
      </c>
      <c r="R1529">
        <f>_xlfn.NUMBERVALUE("0.000509")</f>
        <v/>
      </c>
      <c r="S1529">
        <f>_xlfn.NUMBERVALUE("0.000891")</f>
        <v/>
      </c>
      <c r="T1529">
        <f>_xlfn.NUMBERVALUE("0.002698")</f>
        <v/>
      </c>
      <c r="U1529">
        <f>_xlfn.NUMBERVALUE("-0.000034")</f>
        <v/>
      </c>
      <c r="V1529">
        <f>_xlfn.NUMBERVALUE("0.000818")</f>
        <v/>
      </c>
      <c r="W1529">
        <f>_xlfn.NUMBERVALUE("0.002137")</f>
        <v/>
      </c>
      <c r="X1529">
        <f>_xlfn.NUMBERVALUE("-0.170000")</f>
        <v/>
      </c>
      <c r="Y1529">
        <f>_xlfn.NUMBERVALUE("23.020000")</f>
        <v/>
      </c>
    </row>
    <row r="1530">
      <c r="A1530" s="1" t="n">
        <v>44223</v>
      </c>
      <c r="B1530">
        <f>_xlfn.NUMBERVALUE("-0.018722")</f>
        <v/>
      </c>
      <c r="C1530" s="2">
        <f>_xlfn.NUMBERVALUE("-0.015553")</f>
        <v/>
      </c>
      <c r="D1530">
        <f>_xlfn.NUMBERVALUE("-0.004441")</f>
        <v/>
      </c>
      <c r="E1530">
        <f>_xlfn.NUMBERVALUE("-0.008644")</f>
        <v/>
      </c>
      <c r="F1530">
        <f>_xlfn.NUMBERVALUE("-0.000078")</f>
        <v/>
      </c>
      <c r="G1530">
        <f>_xlfn.NUMBERVALUE("-0.001510")</f>
        <v/>
      </c>
      <c r="H1530">
        <f>_xlfn.NUMBERVALUE("-0.000387")</f>
        <v/>
      </c>
      <c r="I1530">
        <f>_xlfn.NUMBERVALUE("-0.005440")</f>
        <v/>
      </c>
      <c r="J1530">
        <f>_xlfn.NUMBERVALUE("0.000656")</f>
        <v/>
      </c>
      <c r="K1530">
        <f>_xlfn.NUMBERVALUE("-0.001706")</f>
        <v/>
      </c>
      <c r="L1530">
        <f>_xlfn.NUMBERVALUE("-0.001704")</f>
        <v/>
      </c>
      <c r="M1530">
        <f>_xlfn.NUMBERVALUE("-0.008671")</f>
        <v/>
      </c>
      <c r="N1530">
        <f>_xlfn.NUMBERVALUE("-0.017289")</f>
        <v/>
      </c>
      <c r="O1530">
        <f>_xlfn.NUMBERVALUE("-0.008351")</f>
        <v/>
      </c>
      <c r="P1530">
        <f>_xlfn.NUMBERVALUE("-0.009618")</f>
        <v/>
      </c>
      <c r="Q1530">
        <f>_xlfn.NUMBERVALUE("-0.009343")</f>
        <v/>
      </c>
      <c r="R1530">
        <f>_xlfn.NUMBERVALUE("-0.014763")</f>
        <v/>
      </c>
      <c r="S1530">
        <f>_xlfn.NUMBERVALUE("-0.008373")</f>
        <v/>
      </c>
      <c r="T1530">
        <f>_xlfn.NUMBERVALUE("-0.012238")</f>
        <v/>
      </c>
      <c r="U1530">
        <f>_xlfn.NUMBERVALUE("-0.017510")</f>
        <v/>
      </c>
      <c r="V1530">
        <f>_xlfn.NUMBERVALUE("-0.015862")</f>
        <v/>
      </c>
      <c r="W1530">
        <f>_xlfn.NUMBERVALUE("-0.029444")</f>
        <v/>
      </c>
      <c r="X1530">
        <f>_xlfn.NUMBERVALUE("14.190000")</f>
        <v/>
      </c>
      <c r="Y1530">
        <f>_xlfn.NUMBERVALUE("37.210000")</f>
        <v/>
      </c>
    </row>
    <row r="1531">
      <c r="A1531" s="1" t="n">
        <v>44224</v>
      </c>
      <c r="B1531">
        <f>_xlfn.NUMBERVALUE("0.013161")</f>
        <v/>
      </c>
      <c r="C1531" s="2">
        <f>_xlfn.NUMBERVALUE("0.005935")</f>
        <v/>
      </c>
      <c r="D1531">
        <f>_xlfn.NUMBERVALUE("0.002976")</f>
        <v/>
      </c>
      <c r="E1531">
        <f>_xlfn.NUMBERVALUE("0.003364")</f>
        <v/>
      </c>
      <c r="F1531">
        <f>_xlfn.NUMBERVALUE("0.000127")</f>
        <v/>
      </c>
      <c r="G1531">
        <f>_xlfn.NUMBERVALUE("0.001669")</f>
        <v/>
      </c>
      <c r="H1531">
        <f>_xlfn.NUMBERVALUE("0.000342")</f>
        <v/>
      </c>
      <c r="I1531">
        <f>_xlfn.NUMBERVALUE("0.005201")</f>
        <v/>
      </c>
      <c r="J1531">
        <f>_xlfn.NUMBERVALUE("0.000269")</f>
        <v/>
      </c>
      <c r="K1531">
        <f>_xlfn.NUMBERVALUE("-0.058313")</f>
        <v/>
      </c>
      <c r="L1531">
        <f>_xlfn.NUMBERVALUE("0.000521")</f>
        <v/>
      </c>
      <c r="M1531">
        <f>_xlfn.NUMBERVALUE("0.002975")</f>
        <v/>
      </c>
      <c r="N1531">
        <f>_xlfn.NUMBERVALUE("0.008559")</f>
        <v/>
      </c>
      <c r="O1531">
        <f>_xlfn.NUMBERVALUE("0.009919")</f>
        <v/>
      </c>
      <c r="P1531">
        <f>_xlfn.NUMBERVALUE("0.005505")</f>
        <v/>
      </c>
      <c r="Q1531">
        <f>_xlfn.NUMBERVALUE("0.003487")</f>
        <v/>
      </c>
      <c r="R1531">
        <f>_xlfn.NUMBERVALUE("0.010345")</f>
        <v/>
      </c>
      <c r="S1531">
        <f>_xlfn.NUMBERVALUE("0.002228")</f>
        <v/>
      </c>
      <c r="T1531">
        <f>_xlfn.NUMBERVALUE("0.000013")</f>
        <v/>
      </c>
      <c r="U1531">
        <f>_xlfn.NUMBERVALUE("0.015645")</f>
        <v/>
      </c>
      <c r="V1531">
        <f>_xlfn.NUMBERVALUE("0.004732")</f>
        <v/>
      </c>
      <c r="W1531">
        <f>_xlfn.NUMBERVALUE("0.014633")</f>
        <v/>
      </c>
      <c r="X1531">
        <f>_xlfn.NUMBERVALUE("-7.000000")</f>
        <v/>
      </c>
      <c r="Y1531">
        <f>_xlfn.NUMBERVALUE("30.210000")</f>
        <v/>
      </c>
    </row>
    <row r="1532">
      <c r="A1532" s="1" t="n">
        <v>44225</v>
      </c>
      <c r="B1532">
        <f>_xlfn.NUMBERVALUE("0.002943")</f>
        <v/>
      </c>
      <c r="C1532" s="2">
        <f>_xlfn.NUMBERVALUE("-0.005826")</f>
        <v/>
      </c>
      <c r="D1532">
        <f>_xlfn.NUMBERVALUE("-0.000548")</f>
        <v/>
      </c>
      <c r="E1532">
        <f>_xlfn.NUMBERVALUE("-0.006279")</f>
        <v/>
      </c>
      <c r="F1532">
        <f>_xlfn.NUMBERVALUE("0.000187")</f>
        <v/>
      </c>
      <c r="G1532">
        <f>_xlfn.NUMBERVALUE("0.000446")</f>
        <v/>
      </c>
      <c r="H1532">
        <f>_xlfn.NUMBERVALUE("-0.000489")</f>
        <v/>
      </c>
      <c r="I1532">
        <f>_xlfn.NUMBERVALUE("0.000222")</f>
        <v/>
      </c>
      <c r="J1532">
        <f>_xlfn.NUMBERVALUE("-0.000898")</f>
        <v/>
      </c>
      <c r="K1532">
        <f>_xlfn.NUMBERVALUE("0.025623")</f>
        <v/>
      </c>
      <c r="L1532">
        <f>_xlfn.NUMBERVALUE("-0.000369")</f>
        <v/>
      </c>
      <c r="M1532">
        <f>_xlfn.NUMBERVALUE("-0.001680")</f>
        <v/>
      </c>
      <c r="N1532">
        <f>_xlfn.NUMBERVALUE("-0.001957")</f>
        <v/>
      </c>
      <c r="O1532">
        <f>_xlfn.NUMBERVALUE("-0.003300")</f>
        <v/>
      </c>
      <c r="P1532">
        <f>_xlfn.NUMBERVALUE("-0.002595")</f>
        <v/>
      </c>
      <c r="Q1532">
        <f>_xlfn.NUMBERVALUE("-0.004148")</f>
        <v/>
      </c>
      <c r="R1532">
        <f>_xlfn.NUMBERVALUE("-0.003135")</f>
        <v/>
      </c>
      <c r="S1532">
        <f>_xlfn.NUMBERVALUE("-0.007202")</f>
        <v/>
      </c>
      <c r="T1532">
        <f>_xlfn.NUMBERVALUE("-0.002318")</f>
        <v/>
      </c>
      <c r="U1532">
        <f>_xlfn.NUMBERVALUE("-0.007584")</f>
        <v/>
      </c>
      <c r="V1532">
        <f>_xlfn.NUMBERVALUE("-0.002034")</f>
        <v/>
      </c>
      <c r="W1532">
        <f>_xlfn.NUMBERVALUE("-0.020338")</f>
        <v/>
      </c>
      <c r="X1532">
        <f>_xlfn.NUMBERVALUE("2.880000")</f>
        <v/>
      </c>
      <c r="Y1532">
        <f>_xlfn.NUMBERVALUE("33.090000")</f>
        <v/>
      </c>
    </row>
    <row r="1533">
      <c r="A1533" s="1" t="n">
        <v>44228</v>
      </c>
      <c r="B1533">
        <f>_xlfn.NUMBERVALUE("0.009906")</f>
        <v/>
      </c>
      <c r="C1533" s="2">
        <f>_xlfn.NUMBERVALUE("0.010001")</f>
        <v/>
      </c>
      <c r="D1533">
        <f>_xlfn.NUMBERVALUE("-0.003344")</f>
        <v/>
      </c>
      <c r="E1533">
        <f>_xlfn.NUMBERVALUE("0.005844")</f>
        <v/>
      </c>
      <c r="F1533">
        <f>_xlfn.NUMBERVALUE("0.000897")</f>
        <v/>
      </c>
      <c r="G1533">
        <f>_xlfn.NUMBERVALUE("0.002065")</f>
        <v/>
      </c>
      <c r="H1533">
        <f>_xlfn.NUMBERVALUE("0.001263")</f>
        <v/>
      </c>
      <c r="I1533">
        <f>_xlfn.NUMBERVALUE("0.002270")</f>
        <v/>
      </c>
      <c r="J1533">
        <f>_xlfn.NUMBERVALUE("0.001147")</f>
        <v/>
      </c>
      <c r="K1533">
        <f>_xlfn.NUMBERVALUE("-0.010919")</f>
        <v/>
      </c>
      <c r="L1533">
        <f>_xlfn.NUMBERVALUE("0.001926")</f>
        <v/>
      </c>
      <c r="M1533">
        <f>_xlfn.NUMBERVALUE("0.002822")</f>
        <v/>
      </c>
      <c r="N1533">
        <f>_xlfn.NUMBERVALUE("0.004945")</f>
        <v/>
      </c>
      <c r="O1533">
        <f>_xlfn.NUMBERVALUE("0.005118")</f>
        <v/>
      </c>
      <c r="P1533">
        <f>_xlfn.NUMBERVALUE("0.004207")</f>
        <v/>
      </c>
      <c r="Q1533">
        <f>_xlfn.NUMBERVALUE("0.004826")</f>
        <v/>
      </c>
      <c r="R1533">
        <f>_xlfn.NUMBERVALUE("0.003705")</f>
        <v/>
      </c>
      <c r="S1533">
        <f>_xlfn.NUMBERVALUE("0.002136")</f>
        <v/>
      </c>
      <c r="T1533">
        <f>_xlfn.NUMBERVALUE("0.007049")</f>
        <v/>
      </c>
      <c r="U1533">
        <f>_xlfn.NUMBERVALUE("0.005827")</f>
        <v/>
      </c>
      <c r="V1533">
        <f>_xlfn.NUMBERVALUE("0.003357")</f>
        <v/>
      </c>
      <c r="W1533">
        <f>_xlfn.NUMBERVALUE("0.015853")</f>
        <v/>
      </c>
      <c r="X1533">
        <f>_xlfn.NUMBERVALUE("-2.850000")</f>
        <v/>
      </c>
      <c r="Y1533">
        <f>_xlfn.NUMBERVALUE("30.240000")</f>
        <v/>
      </c>
    </row>
    <row r="1534">
      <c r="A1534" s="1" t="n">
        <v>44229</v>
      </c>
      <c r="B1534">
        <f>_xlfn.NUMBERVALUE("0.005906")</f>
        <v/>
      </c>
      <c r="C1534" s="2">
        <f>_xlfn.NUMBERVALUE("-0.003188")</f>
        <v/>
      </c>
      <c r="D1534">
        <f>_xlfn.NUMBERVALUE("-0.000833")</f>
        <v/>
      </c>
      <c r="E1534">
        <f>_xlfn.NUMBERVALUE("0.001724")</f>
        <v/>
      </c>
      <c r="F1534">
        <f>_xlfn.NUMBERVALUE("-0.000142")</f>
        <v/>
      </c>
      <c r="G1534">
        <f>_xlfn.NUMBERVALUE("-0.000285")</f>
        <v/>
      </c>
      <c r="H1534">
        <f>_xlfn.NUMBERVALUE("-0.000010")</f>
        <v/>
      </c>
      <c r="I1534">
        <f>_xlfn.NUMBERVALUE("-0.000021")</f>
        <v/>
      </c>
      <c r="J1534">
        <f>_xlfn.NUMBERVALUE("0.000244")</f>
        <v/>
      </c>
      <c r="K1534">
        <f>_xlfn.NUMBERVALUE("-0.024306")</f>
        <v/>
      </c>
      <c r="L1534">
        <f>_xlfn.NUMBERVALUE("-0.000105")</f>
        <v/>
      </c>
      <c r="M1534">
        <f>_xlfn.NUMBERVALUE("0.002404")</f>
        <v/>
      </c>
      <c r="N1534">
        <f>_xlfn.NUMBERVALUE("0.004707")</f>
        <v/>
      </c>
      <c r="O1534">
        <f>_xlfn.NUMBERVALUE("0.005656")</f>
        <v/>
      </c>
      <c r="P1534">
        <f>_xlfn.NUMBERVALUE("0.000242")</f>
        <v/>
      </c>
      <c r="Q1534">
        <f>_xlfn.NUMBERVALUE("0.003377")</f>
        <v/>
      </c>
      <c r="R1534">
        <f>_xlfn.NUMBERVALUE("0.002422")</f>
        <v/>
      </c>
      <c r="S1534">
        <f>_xlfn.NUMBERVALUE("0.001874")</f>
        <v/>
      </c>
      <c r="T1534">
        <f>_xlfn.NUMBERVALUE("0.001592")</f>
        <v/>
      </c>
      <c r="U1534">
        <f>_xlfn.NUMBERVALUE("-0.001096")</f>
        <v/>
      </c>
      <c r="V1534">
        <f>_xlfn.NUMBERVALUE("-0.001026")</f>
        <v/>
      </c>
      <c r="W1534">
        <f>_xlfn.NUMBERVALUE("0.014783")</f>
        <v/>
      </c>
      <c r="X1534">
        <f>_xlfn.NUMBERVALUE("-4.680000")</f>
        <v/>
      </c>
      <c r="Y1534">
        <f>_xlfn.NUMBERVALUE("25.560000")</f>
        <v/>
      </c>
    </row>
    <row r="1535">
      <c r="A1535" s="1" t="n">
        <v>44230</v>
      </c>
      <c r="B1535">
        <f>_xlfn.NUMBERVALUE("0.010168")</f>
        <v/>
      </c>
      <c r="C1535" s="2">
        <f>_xlfn.NUMBERVALUE("0.001604")</f>
        <v/>
      </c>
      <c r="D1535">
        <f>_xlfn.NUMBERVALUE("-0.000000")</f>
        <v/>
      </c>
      <c r="E1535">
        <f>_xlfn.NUMBERVALUE("0.001366")</f>
        <v/>
      </c>
      <c r="F1535">
        <f>_xlfn.NUMBERVALUE("0.000023")</f>
        <v/>
      </c>
      <c r="G1535">
        <f>_xlfn.NUMBERVALUE("0.000955")</f>
        <v/>
      </c>
      <c r="H1535">
        <f>_xlfn.NUMBERVALUE("0.000034")</f>
        <v/>
      </c>
      <c r="I1535">
        <f>_xlfn.NUMBERVALUE("-0.000039")</f>
        <v/>
      </c>
      <c r="J1535">
        <f>_xlfn.NUMBERVALUE("0.000000")</f>
        <v/>
      </c>
      <c r="K1535">
        <f>_xlfn.NUMBERVALUE("0.015321")</f>
        <v/>
      </c>
      <c r="L1535">
        <f>_xlfn.NUMBERVALUE("0.000018")</f>
        <v/>
      </c>
      <c r="M1535">
        <f>_xlfn.NUMBERVALUE("0.000862")</f>
        <v/>
      </c>
      <c r="N1535">
        <f>_xlfn.NUMBERVALUE("0.001457")</f>
        <v/>
      </c>
      <c r="O1535">
        <f>_xlfn.NUMBERVALUE("-0.004943")</f>
        <v/>
      </c>
      <c r="P1535">
        <f>_xlfn.NUMBERVALUE("0.002232")</f>
        <v/>
      </c>
      <c r="Q1535">
        <f>_xlfn.NUMBERVALUE("0.001596")</f>
        <v/>
      </c>
      <c r="R1535">
        <f>_xlfn.NUMBERVALUE("0.003566")</f>
        <v/>
      </c>
      <c r="S1535">
        <f>_xlfn.NUMBERVALUE("0.000897")</f>
        <v/>
      </c>
      <c r="T1535">
        <f>_xlfn.NUMBERVALUE("0.001482")</f>
        <v/>
      </c>
      <c r="U1535">
        <f>_xlfn.NUMBERVALUE("0.007251")</f>
        <v/>
      </c>
      <c r="V1535">
        <f>_xlfn.NUMBERVALUE("0.000184")</f>
        <v/>
      </c>
      <c r="W1535">
        <f>_xlfn.NUMBERVALUE("0.000536")</f>
        <v/>
      </c>
      <c r="X1535">
        <f>_xlfn.NUMBERVALUE("-2.650000")</f>
        <v/>
      </c>
      <c r="Y1535">
        <f>_xlfn.NUMBERVALUE("22.910000")</f>
        <v/>
      </c>
    </row>
    <row r="1536">
      <c r="A1536" s="1" t="n">
        <v>44231</v>
      </c>
      <c r="B1536">
        <f>_xlfn.NUMBERVALUE("0.004004")</f>
        <v/>
      </c>
      <c r="C1536" s="2">
        <f>_xlfn.NUMBERVALUE("0.000804")</f>
        <v/>
      </c>
      <c r="D1536">
        <f>_xlfn.NUMBERVALUE("0.003032")</f>
        <v/>
      </c>
      <c r="E1536">
        <f>_xlfn.NUMBERVALUE("0.001960")</f>
        <v/>
      </c>
      <c r="F1536">
        <f>_xlfn.NUMBERVALUE("-0.005258")</f>
        <v/>
      </c>
      <c r="G1536">
        <f>_xlfn.NUMBERVALUE("0.000998")</f>
        <v/>
      </c>
      <c r="H1536">
        <f>_xlfn.NUMBERVALUE("0.000211")</f>
        <v/>
      </c>
      <c r="I1536">
        <f>_xlfn.NUMBERVALUE("-0.001684")</f>
        <v/>
      </c>
      <c r="J1536">
        <f>_xlfn.NUMBERVALUE("0.000195")</f>
        <v/>
      </c>
      <c r="K1536">
        <f>_xlfn.NUMBERVALUE("0.014084")</f>
        <v/>
      </c>
      <c r="L1536">
        <f>_xlfn.NUMBERVALUE("-0.000003")</f>
        <v/>
      </c>
      <c r="M1536">
        <f>_xlfn.NUMBERVALUE("0.000137")</f>
        <v/>
      </c>
      <c r="N1536">
        <f>_xlfn.NUMBERVALUE("0.000346")</f>
        <v/>
      </c>
      <c r="O1536">
        <f>_xlfn.NUMBERVALUE("0.003759")</f>
        <v/>
      </c>
      <c r="P1536">
        <f>_xlfn.NUMBERVALUE("-0.001499")</f>
        <v/>
      </c>
      <c r="Q1536">
        <f>_xlfn.NUMBERVALUE("0.000633")</f>
        <v/>
      </c>
      <c r="R1536">
        <f>_xlfn.NUMBERVALUE("0.000726")</f>
        <v/>
      </c>
      <c r="S1536">
        <f>_xlfn.NUMBERVALUE("0.000859")</f>
        <v/>
      </c>
      <c r="T1536">
        <f>_xlfn.NUMBERVALUE("0.001947")</f>
        <v/>
      </c>
      <c r="U1536">
        <f>_xlfn.NUMBERVALUE("0.002358")</f>
        <v/>
      </c>
      <c r="V1536">
        <f>_xlfn.NUMBERVALUE("0.002013")</f>
        <v/>
      </c>
      <c r="W1536">
        <f>_xlfn.NUMBERVALUE("0.006401")</f>
        <v/>
      </c>
      <c r="X1536">
        <f>_xlfn.NUMBERVALUE("-1.140000")</f>
        <v/>
      </c>
      <c r="Y1536">
        <f>_xlfn.NUMBERVALUE("21.770000")</f>
        <v/>
      </c>
    </row>
    <row r="1537">
      <c r="A1537" s="1" t="n">
        <v>44232</v>
      </c>
      <c r="B1537">
        <f>_xlfn.NUMBERVALUE("0.005413")</f>
        <v/>
      </c>
      <c r="C1537" s="2">
        <f>_xlfn.NUMBERVALUE("0.000453")</f>
        <v/>
      </c>
      <c r="D1537">
        <f>_xlfn.NUMBERVALUE("0.001746")</f>
        <v/>
      </c>
      <c r="E1537">
        <f>_xlfn.NUMBERVALUE("0.001593")</f>
        <v/>
      </c>
      <c r="F1537">
        <f>_xlfn.NUMBERVALUE("0.001487")</f>
        <v/>
      </c>
      <c r="G1537">
        <f>_xlfn.NUMBERVALUE("0.000055")</f>
        <v/>
      </c>
      <c r="H1537">
        <f>_xlfn.NUMBERVALUE("0.000595")</f>
        <v/>
      </c>
      <c r="I1537">
        <f>_xlfn.NUMBERVALUE("-0.002396")</f>
        <v/>
      </c>
      <c r="J1537">
        <f>_xlfn.NUMBERVALUE("0.000417")</f>
        <v/>
      </c>
      <c r="K1537">
        <f>_xlfn.NUMBERVALUE("0.000132")</f>
        <v/>
      </c>
      <c r="L1537">
        <f>_xlfn.NUMBERVALUE("-0.000333")</f>
        <v/>
      </c>
      <c r="M1537">
        <f>_xlfn.NUMBERVALUE("0.000518")</f>
        <v/>
      </c>
      <c r="N1537">
        <f>_xlfn.NUMBERVALUE("0.000586")</f>
        <v/>
      </c>
      <c r="O1537">
        <f>_xlfn.NUMBERVALUE("0.007314")</f>
        <v/>
      </c>
      <c r="P1537">
        <f>_xlfn.NUMBERVALUE("0.003474")</f>
        <v/>
      </c>
      <c r="Q1537">
        <f>_xlfn.NUMBERVALUE("0.005116")</f>
        <v/>
      </c>
      <c r="R1537">
        <f>_xlfn.NUMBERVALUE("0.001702")</f>
        <v/>
      </c>
      <c r="S1537">
        <f>_xlfn.NUMBERVALUE("0.000835")</f>
        <v/>
      </c>
      <c r="T1537">
        <f>_xlfn.NUMBERVALUE("-0.000664")</f>
        <v/>
      </c>
      <c r="U1537">
        <f>_xlfn.NUMBERVALUE("-0.000023")</f>
        <v/>
      </c>
      <c r="V1537">
        <f>_xlfn.NUMBERVALUE("0.000706")</f>
        <v/>
      </c>
      <c r="W1537">
        <f>_xlfn.NUMBERVALUE("0.006023")</f>
        <v/>
      </c>
      <c r="X1537">
        <f>_xlfn.NUMBERVALUE("-0.900000")</f>
        <v/>
      </c>
      <c r="Y1537">
        <f>_xlfn.NUMBERVALUE("20.870000")</f>
        <v/>
      </c>
    </row>
    <row r="1538">
      <c r="A1538" s="1" t="n">
        <v>44235</v>
      </c>
      <c r="B1538">
        <f>_xlfn.NUMBERVALUE("-0.001179")</f>
        <v/>
      </c>
      <c r="C1538" s="2">
        <f>_xlfn.NUMBERVALUE("0.001220")</f>
        <v/>
      </c>
      <c r="D1538">
        <f>_xlfn.NUMBERVALUE("0.001878")</f>
        <v/>
      </c>
      <c r="E1538">
        <f>_xlfn.NUMBERVALUE("-0.002009")</f>
        <v/>
      </c>
      <c r="F1538">
        <f>_xlfn.NUMBERVALUE("0.001904")</f>
        <v/>
      </c>
      <c r="G1538">
        <f>_xlfn.NUMBERVALUE("0.000705")</f>
        <v/>
      </c>
      <c r="H1538">
        <f>_xlfn.NUMBERVALUE("-0.000445")</f>
        <v/>
      </c>
      <c r="I1538">
        <f>_xlfn.NUMBERVALUE("-0.005524")</f>
        <v/>
      </c>
      <c r="J1538">
        <f>_xlfn.NUMBERVALUE("-0.000158")</f>
        <v/>
      </c>
      <c r="K1538">
        <f>_xlfn.NUMBERVALUE("0.008531")</f>
        <v/>
      </c>
      <c r="L1538">
        <f>_xlfn.NUMBERVALUE("0.002122")</f>
        <v/>
      </c>
      <c r="M1538">
        <f>_xlfn.NUMBERVALUE("0.000052")</f>
        <v/>
      </c>
      <c r="N1538">
        <f>_xlfn.NUMBERVALUE("0.000334")</f>
        <v/>
      </c>
      <c r="O1538">
        <f>_xlfn.NUMBERVALUE("-0.016108")</f>
        <v/>
      </c>
      <c r="P1538">
        <f>_xlfn.NUMBERVALUE("0.007858")</f>
        <v/>
      </c>
      <c r="Q1538">
        <f>_xlfn.NUMBERVALUE("0.008364")</f>
        <v/>
      </c>
      <c r="R1538">
        <f>_xlfn.NUMBERVALUE("-0.000220")</f>
        <v/>
      </c>
      <c r="S1538">
        <f>_xlfn.NUMBERVALUE("0.001227")</f>
        <v/>
      </c>
      <c r="T1538">
        <f>_xlfn.NUMBERVALUE("0.000694")</f>
        <v/>
      </c>
      <c r="U1538">
        <f>_xlfn.NUMBERVALUE("0.000190")</f>
        <v/>
      </c>
      <c r="V1538">
        <f>_xlfn.NUMBERVALUE("0.000744")</f>
        <v/>
      </c>
      <c r="W1538">
        <f>_xlfn.NUMBERVALUE("0.005471")</f>
        <v/>
      </c>
      <c r="X1538">
        <f>_xlfn.NUMBERVALUE("0.370000")</f>
        <v/>
      </c>
      <c r="Y1538">
        <f>_xlfn.NUMBERVALUE("21.240000")</f>
        <v/>
      </c>
    </row>
    <row r="1539">
      <c r="A1539" s="1" t="n">
        <v>44236</v>
      </c>
      <c r="B1539">
        <f>_xlfn.NUMBERVALUE("-0.000320")</f>
        <v/>
      </c>
      <c r="C1539" s="2">
        <f>_xlfn.NUMBERVALUE("0.000870")</f>
        <v/>
      </c>
      <c r="D1539">
        <f>_xlfn.NUMBERVALUE("-0.001421")</f>
        <v/>
      </c>
      <c r="E1539">
        <f>_xlfn.NUMBERVALUE("0.000087")</f>
        <v/>
      </c>
      <c r="F1539">
        <f>_xlfn.NUMBERVALUE("0.001063")</f>
        <v/>
      </c>
      <c r="G1539">
        <f>_xlfn.NUMBERVALUE("0.000301")</f>
        <v/>
      </c>
      <c r="H1539">
        <f>_xlfn.NUMBERVALUE("0.001721")</f>
        <v/>
      </c>
      <c r="I1539">
        <f>_xlfn.NUMBERVALUE("-0.000566")</f>
        <v/>
      </c>
      <c r="J1539">
        <f>_xlfn.NUMBERVALUE("0.000410")</f>
        <v/>
      </c>
      <c r="K1539">
        <f>_xlfn.NUMBERVALUE("0.005670")</f>
        <v/>
      </c>
      <c r="L1539">
        <f>_xlfn.NUMBERVALUE("0.002121")</f>
        <v/>
      </c>
      <c r="M1539">
        <f>_xlfn.NUMBERVALUE("0.001008")</f>
        <v/>
      </c>
      <c r="N1539">
        <f>_xlfn.NUMBERVALUE("-0.000350")</f>
        <v/>
      </c>
      <c r="O1539">
        <f>_xlfn.NUMBERVALUE("0.001385")</f>
        <v/>
      </c>
      <c r="P1539">
        <f>_xlfn.NUMBERVALUE("0.001624")</f>
        <v/>
      </c>
      <c r="Q1539">
        <f>_xlfn.NUMBERVALUE("0.001657")</f>
        <v/>
      </c>
      <c r="R1539">
        <f>_xlfn.NUMBERVALUE("0.000704")</f>
        <v/>
      </c>
      <c r="S1539">
        <f>_xlfn.NUMBERVALUE("0.002060")</f>
        <v/>
      </c>
      <c r="T1539">
        <f>_xlfn.NUMBERVALUE("0.002333")</f>
        <v/>
      </c>
      <c r="U1539">
        <f>_xlfn.NUMBERVALUE("0.001023")</f>
        <v/>
      </c>
      <c r="V1539">
        <f>_xlfn.NUMBERVALUE("0.000015")</f>
        <v/>
      </c>
      <c r="W1539">
        <f>_xlfn.NUMBERVALUE("0.002797")</f>
        <v/>
      </c>
      <c r="X1539">
        <f>_xlfn.NUMBERVALUE("0.390000")</f>
        <v/>
      </c>
      <c r="Y1539">
        <f>_xlfn.NUMBERVALUE("21.630000")</f>
        <v/>
      </c>
    </row>
    <row r="1540">
      <c r="A1540" s="1" t="n">
        <v>44237</v>
      </c>
      <c r="B1540">
        <f>_xlfn.NUMBERVALUE("-0.004271")</f>
        <v/>
      </c>
      <c r="C1540" s="2">
        <f>_xlfn.NUMBERVALUE("-0.000527")</f>
        <v/>
      </c>
      <c r="D1540">
        <f>_xlfn.NUMBERVALUE("-0.000562")</f>
        <v/>
      </c>
      <c r="E1540">
        <f>_xlfn.NUMBERVALUE("-0.000842")</f>
        <v/>
      </c>
      <c r="F1540">
        <f>_xlfn.NUMBERVALUE("0.000205")</f>
        <v/>
      </c>
      <c r="G1540">
        <f>_xlfn.NUMBERVALUE("0.000348")</f>
        <v/>
      </c>
      <c r="H1540">
        <f>_xlfn.NUMBERVALUE("0.000221")</f>
        <v/>
      </c>
      <c r="I1540">
        <f>_xlfn.NUMBERVALUE("-0.002188")</f>
        <v/>
      </c>
      <c r="J1540">
        <f>_xlfn.NUMBERVALUE("0.000255")</f>
        <v/>
      </c>
      <c r="K1540">
        <f>_xlfn.NUMBERVALUE("-0.000189")</f>
        <v/>
      </c>
      <c r="L1540">
        <f>_xlfn.NUMBERVALUE("0.000273")</f>
        <v/>
      </c>
      <c r="M1540">
        <f>_xlfn.NUMBERVALUE("-0.000209")</f>
        <v/>
      </c>
      <c r="N1540">
        <f>_xlfn.NUMBERVALUE("-0.000145")</f>
        <v/>
      </c>
      <c r="O1540">
        <f>_xlfn.NUMBERVALUE("0.000422")</f>
        <v/>
      </c>
      <c r="P1540">
        <f>_xlfn.NUMBERVALUE("-0.000265")</f>
        <v/>
      </c>
      <c r="Q1540">
        <f>_xlfn.NUMBERVALUE("-0.000295")</f>
        <v/>
      </c>
      <c r="R1540">
        <f>_xlfn.NUMBERVALUE("-0.000729")</f>
        <v/>
      </c>
      <c r="S1540">
        <f>_xlfn.NUMBERVALUE("0.000796")</f>
        <v/>
      </c>
      <c r="T1540">
        <f>_xlfn.NUMBERVALUE("-0.000036")</f>
        <v/>
      </c>
      <c r="U1540">
        <f>_xlfn.NUMBERVALUE("-0.000508")</f>
        <v/>
      </c>
      <c r="V1540">
        <f>_xlfn.NUMBERVALUE("-0.000586")</f>
        <v/>
      </c>
      <c r="W1540">
        <f>_xlfn.NUMBERVALUE("-0.002918")</f>
        <v/>
      </c>
      <c r="X1540">
        <f>_xlfn.NUMBERVALUE("0.360000")</f>
        <v/>
      </c>
      <c r="Y1540">
        <f>_xlfn.NUMBERVALUE("21.990000")</f>
        <v/>
      </c>
    </row>
    <row r="1541">
      <c r="A1541" s="1" t="n">
        <v>44238</v>
      </c>
      <c r="B1541">
        <f>_xlfn.NUMBERVALUE("0.001629")</f>
        <v/>
      </c>
      <c r="C1541" s="2">
        <f>_xlfn.NUMBERVALUE("0.000844")</f>
        <v/>
      </c>
      <c r="D1541">
        <f>_xlfn.NUMBERVALUE("-0.001900")</f>
        <v/>
      </c>
      <c r="E1541">
        <f>_xlfn.NUMBERVALUE("-0.000070")</f>
        <v/>
      </c>
      <c r="F1541">
        <f>_xlfn.NUMBERVALUE("0.000339")</f>
        <v/>
      </c>
      <c r="G1541">
        <f>_xlfn.NUMBERVALUE("0.001040")</f>
        <v/>
      </c>
      <c r="H1541">
        <f>_xlfn.NUMBERVALUE("-0.001343")</f>
        <v/>
      </c>
      <c r="I1541">
        <f>_xlfn.NUMBERVALUE("0.002145")</f>
        <v/>
      </c>
      <c r="J1541">
        <f>_xlfn.NUMBERVALUE("0.000274")</f>
        <v/>
      </c>
      <c r="K1541">
        <f>_xlfn.NUMBERVALUE("0.006577")</f>
        <v/>
      </c>
      <c r="L1541">
        <f>_xlfn.NUMBERVALUE("0.000741")</f>
        <v/>
      </c>
      <c r="M1541">
        <f>_xlfn.NUMBERVALUE("0.001850")</f>
        <v/>
      </c>
      <c r="N1541">
        <f>_xlfn.NUMBERVALUE("0.002558")</f>
        <v/>
      </c>
      <c r="O1541">
        <f>_xlfn.NUMBERVALUE("0.001462")</f>
        <v/>
      </c>
      <c r="P1541">
        <f>_xlfn.NUMBERVALUE("0.001816")</f>
        <v/>
      </c>
      <c r="Q1541">
        <f>_xlfn.NUMBERVALUE("0.001162")</f>
        <v/>
      </c>
      <c r="R1541">
        <f>_xlfn.NUMBERVALUE("-0.000030")</f>
        <v/>
      </c>
      <c r="S1541">
        <f>_xlfn.NUMBERVALUE("-0.000151")</f>
        <v/>
      </c>
      <c r="T1541">
        <f>_xlfn.NUMBERVALUE("0.000061")</f>
        <v/>
      </c>
      <c r="U1541">
        <f>_xlfn.NUMBERVALUE("0.000014")</f>
        <v/>
      </c>
      <c r="V1541">
        <f>_xlfn.NUMBERVALUE("0.001642")</f>
        <v/>
      </c>
      <c r="W1541">
        <f>_xlfn.NUMBERVALUE("0.001694")</f>
        <v/>
      </c>
      <c r="X1541">
        <f>_xlfn.NUMBERVALUE("-0.740000")</f>
        <v/>
      </c>
      <c r="Y1541">
        <f>_xlfn.NUMBERVALUE("21.250000")</f>
        <v/>
      </c>
    </row>
    <row r="1542">
      <c r="A1542" s="1" t="n">
        <v>44239</v>
      </c>
      <c r="B1542">
        <f>_xlfn.NUMBERVALUE("0.004302")</f>
        <v/>
      </c>
      <c r="C1542" s="2">
        <f>_xlfn.NUMBERVALUE("0.001844")</f>
        <v/>
      </c>
      <c r="D1542">
        <f>_xlfn.NUMBERVALUE("0.002178")</f>
        <v/>
      </c>
      <c r="E1542">
        <f>_xlfn.NUMBERVALUE("0.000738")</f>
        <v/>
      </c>
      <c r="F1542">
        <f>_xlfn.NUMBERVALUE("0.000934")</f>
        <v/>
      </c>
      <c r="G1542">
        <f>_xlfn.NUMBERVALUE("0.000638")</f>
        <v/>
      </c>
      <c r="H1542">
        <f>_xlfn.NUMBERVALUE("-0.000802")</f>
        <v/>
      </c>
      <c r="I1542">
        <f>_xlfn.NUMBERVALUE("0.003095")</f>
        <v/>
      </c>
      <c r="J1542">
        <f>_xlfn.NUMBERVALUE("-0.000225")</f>
        <v/>
      </c>
      <c r="K1542">
        <f>_xlfn.NUMBERVALUE("0.004563")</f>
        <v/>
      </c>
      <c r="L1542">
        <f>_xlfn.NUMBERVALUE("-0.003725")</f>
        <v/>
      </c>
      <c r="M1542">
        <f>_xlfn.NUMBERVALUE("-0.000334")</f>
        <v/>
      </c>
      <c r="N1542">
        <f>_xlfn.NUMBERVALUE("-0.002141")</f>
        <v/>
      </c>
      <c r="O1542">
        <f>_xlfn.NUMBERVALUE("0.001945")</f>
        <v/>
      </c>
      <c r="P1542">
        <f>_xlfn.NUMBERVALUE("0.001384")</f>
        <v/>
      </c>
      <c r="Q1542">
        <f>_xlfn.NUMBERVALUE("0.001422")</f>
        <v/>
      </c>
      <c r="R1542">
        <f>_xlfn.NUMBERVALUE("0.002844")</f>
        <v/>
      </c>
      <c r="S1542">
        <f>_xlfn.NUMBERVALUE("0.002348")</f>
        <v/>
      </c>
      <c r="T1542">
        <f>_xlfn.NUMBERVALUE("0.001189")</f>
        <v/>
      </c>
      <c r="U1542">
        <f>_xlfn.NUMBERVALUE("0.002608")</f>
        <v/>
      </c>
      <c r="V1542">
        <f>_xlfn.NUMBERVALUE("0.002437")</f>
        <v/>
      </c>
      <c r="W1542">
        <f>_xlfn.NUMBERVALUE("0.004151")</f>
        <v/>
      </c>
      <c r="X1542">
        <f>_xlfn.NUMBERVALUE("-1.280000")</f>
        <v/>
      </c>
      <c r="Y1542">
        <f>_xlfn.NUMBERVALUE("19.970000")</f>
        <v/>
      </c>
    </row>
    <row r="1543">
      <c r="A1543" s="1" t="n">
        <v>44243</v>
      </c>
      <c r="B1543">
        <f>_xlfn.NUMBERVALUE("0.003037")</f>
        <v/>
      </c>
      <c r="C1543" s="2">
        <f>_xlfn.NUMBERVALUE("0.001301")</f>
        <v/>
      </c>
      <c r="D1543">
        <f>_xlfn.NUMBERVALUE("0.001124")</f>
        <v/>
      </c>
      <c r="E1543">
        <f>_xlfn.NUMBERVALUE("-0.000152")</f>
        <v/>
      </c>
      <c r="F1543">
        <f>_xlfn.NUMBERVALUE("-0.002359")</f>
        <v/>
      </c>
      <c r="G1543">
        <f>_xlfn.NUMBERVALUE("0.000288")</f>
        <v/>
      </c>
      <c r="H1543">
        <f>_xlfn.NUMBERVALUE("-0.000864")</f>
        <v/>
      </c>
      <c r="I1543">
        <f>_xlfn.NUMBERVALUE("0.001949")</f>
        <v/>
      </c>
      <c r="J1543">
        <f>_xlfn.NUMBERVALUE("-0.001694")</f>
        <v/>
      </c>
      <c r="K1543">
        <f>_xlfn.NUMBERVALUE("0.002783")</f>
        <v/>
      </c>
      <c r="L1543">
        <f>_xlfn.NUMBERVALUE("-0.002797")</f>
        <v/>
      </c>
      <c r="M1543">
        <f>_xlfn.NUMBERVALUE("0.003010")</f>
        <v/>
      </c>
      <c r="N1543">
        <f>_xlfn.NUMBERVALUE("-0.000418")</f>
        <v/>
      </c>
      <c r="O1543">
        <f>_xlfn.NUMBERVALUE("-0.003616")</f>
        <v/>
      </c>
      <c r="P1543">
        <f>_xlfn.NUMBERVALUE("-0.004418")</f>
        <v/>
      </c>
      <c r="Q1543">
        <f>_xlfn.NUMBERVALUE("0.001930")</f>
        <v/>
      </c>
      <c r="R1543">
        <f>_xlfn.NUMBERVALUE("0.000398")</f>
        <v/>
      </c>
      <c r="S1543">
        <f>_xlfn.NUMBERVALUE("0.000758")</f>
        <v/>
      </c>
      <c r="T1543">
        <f>_xlfn.NUMBERVALUE("-0.001368")</f>
        <v/>
      </c>
      <c r="U1543">
        <f>_xlfn.NUMBERVALUE("0.001438")</f>
        <v/>
      </c>
      <c r="V1543">
        <f>_xlfn.NUMBERVALUE("0.000726")</f>
        <v/>
      </c>
      <c r="W1543">
        <f>_xlfn.NUMBERVALUE("0.001990")</f>
        <v/>
      </c>
      <c r="X1543">
        <f>_xlfn.NUMBERVALUE("1.490000")</f>
        <v/>
      </c>
      <c r="Y1543">
        <f>_xlfn.NUMBERVALUE("21.460000")</f>
        <v/>
      </c>
    </row>
    <row r="1544">
      <c r="A1544" s="1" t="n">
        <v>44244</v>
      </c>
      <c r="B1544">
        <f>_xlfn.NUMBERVALUE("-0.001359")</f>
        <v/>
      </c>
      <c r="C1544" s="2">
        <f>_xlfn.NUMBERVALUE("-0.000284")</f>
        <v/>
      </c>
      <c r="D1544">
        <f>_xlfn.NUMBERVALUE("0.000599")</f>
        <v/>
      </c>
      <c r="E1544">
        <f>_xlfn.NUMBERVALUE("0.001204")</f>
        <v/>
      </c>
      <c r="F1544">
        <f>_xlfn.NUMBERVALUE("-0.001721")</f>
        <v/>
      </c>
      <c r="G1544">
        <f>_xlfn.NUMBERVALUE("0.000026")</f>
        <v/>
      </c>
      <c r="H1544">
        <f>_xlfn.NUMBERVALUE("0.000181")</f>
        <v/>
      </c>
      <c r="I1544">
        <f>_xlfn.NUMBERVALUE("0.003078")</f>
        <v/>
      </c>
      <c r="J1544">
        <f>_xlfn.NUMBERVALUE("0.000380")</f>
        <v/>
      </c>
      <c r="K1544">
        <f>_xlfn.NUMBERVALUE("0.001651")</f>
        <v/>
      </c>
      <c r="L1544">
        <f>_xlfn.NUMBERVALUE("0.000354")</f>
        <v/>
      </c>
      <c r="M1544">
        <f>_xlfn.NUMBERVALUE("0.000794")</f>
        <v/>
      </c>
      <c r="N1544">
        <f>_xlfn.NUMBERVALUE("0.003345")</f>
        <v/>
      </c>
      <c r="O1544">
        <f>_xlfn.NUMBERVALUE("0.002297")</f>
        <v/>
      </c>
      <c r="P1544">
        <f>_xlfn.NUMBERVALUE("0.001691")</f>
        <v/>
      </c>
      <c r="Q1544">
        <f>_xlfn.NUMBERVALUE("0.002109")</f>
        <v/>
      </c>
      <c r="R1544">
        <f>_xlfn.NUMBERVALUE("0.002659")</f>
        <v/>
      </c>
      <c r="S1544">
        <f>_xlfn.NUMBERVALUE("0.000674")</f>
        <v/>
      </c>
      <c r="T1544">
        <f>_xlfn.NUMBERVALUE("0.001398")</f>
        <v/>
      </c>
      <c r="U1544">
        <f>_xlfn.NUMBERVALUE("0.001378")</f>
        <v/>
      </c>
      <c r="V1544">
        <f>_xlfn.NUMBERVALUE("0.001420")</f>
        <v/>
      </c>
      <c r="W1544">
        <f>_xlfn.NUMBERVALUE("-0.000942")</f>
        <v/>
      </c>
      <c r="X1544">
        <f>_xlfn.NUMBERVALUE("0.040000")</f>
        <v/>
      </c>
      <c r="Y1544">
        <f>_xlfn.NUMBERVALUE("21.500000")</f>
        <v/>
      </c>
    </row>
    <row r="1545">
      <c r="A1545" s="1" t="n">
        <v>44245</v>
      </c>
      <c r="B1545">
        <f>_xlfn.NUMBERVALUE("0.005915")</f>
        <v/>
      </c>
      <c r="C1545" s="2">
        <f>_xlfn.NUMBERVALUE("0.000936")</f>
        <v/>
      </c>
      <c r="D1545">
        <f>_xlfn.NUMBERVALUE("0.000589")</f>
        <v/>
      </c>
      <c r="E1545">
        <f>_xlfn.NUMBERVALUE("0.002547")</f>
        <v/>
      </c>
      <c r="F1545">
        <f>_xlfn.NUMBERVALUE("0.001538")</f>
        <v/>
      </c>
      <c r="G1545">
        <f>_xlfn.NUMBERVALUE("-0.000177")</f>
        <v/>
      </c>
      <c r="H1545">
        <f>_xlfn.NUMBERVALUE("-0.000044")</f>
        <v/>
      </c>
      <c r="I1545">
        <f>_xlfn.NUMBERVALUE("0.002222")</f>
        <v/>
      </c>
      <c r="J1545">
        <f>_xlfn.NUMBERVALUE("0.001019")</f>
        <v/>
      </c>
      <c r="K1545">
        <f>_xlfn.NUMBERVALUE("0.003902")</f>
        <v/>
      </c>
      <c r="L1545">
        <f>_xlfn.NUMBERVALUE("0.000076")</f>
        <v/>
      </c>
      <c r="M1545">
        <f>_xlfn.NUMBERVALUE("0.002027")</f>
        <v/>
      </c>
      <c r="N1545">
        <f>_xlfn.NUMBERVALUE("0.001638")</f>
        <v/>
      </c>
      <c r="O1545">
        <f>_xlfn.NUMBERVALUE("0.002607")</f>
        <v/>
      </c>
      <c r="P1545">
        <f>_xlfn.NUMBERVALUE("0.001166")</f>
        <v/>
      </c>
      <c r="Q1545">
        <f>_xlfn.NUMBERVALUE("0.000975")</f>
        <v/>
      </c>
      <c r="R1545">
        <f>_xlfn.NUMBERVALUE("0.002513")</f>
        <v/>
      </c>
      <c r="S1545">
        <f>_xlfn.NUMBERVALUE("0.000600")</f>
        <v/>
      </c>
      <c r="T1545">
        <f>_xlfn.NUMBERVALUE("0.000359")</f>
        <v/>
      </c>
      <c r="U1545">
        <f>_xlfn.NUMBERVALUE("0.002058")</f>
        <v/>
      </c>
      <c r="V1545">
        <f>_xlfn.NUMBERVALUE("0.000559")</f>
        <v/>
      </c>
      <c r="W1545">
        <f>_xlfn.NUMBERVALUE("-0.002473")</f>
        <v/>
      </c>
      <c r="X1545">
        <f>_xlfn.NUMBERVALUE("0.990000")</f>
        <v/>
      </c>
      <c r="Y1545">
        <f>_xlfn.NUMBERVALUE("22.490000")</f>
        <v/>
      </c>
    </row>
    <row r="1546">
      <c r="A1546" s="1" t="n">
        <v>44246</v>
      </c>
      <c r="B1546">
        <f>_xlfn.NUMBERVALUE("0.005264")</f>
        <v/>
      </c>
      <c r="C1546" s="2">
        <f>_xlfn.NUMBERVALUE("0.000734")</f>
        <v/>
      </c>
      <c r="D1546">
        <f>_xlfn.NUMBERVALUE("-0.000042")</f>
        <v/>
      </c>
      <c r="E1546">
        <f>_xlfn.NUMBERVALUE("-0.000564")</f>
        <v/>
      </c>
      <c r="F1546">
        <f>_xlfn.NUMBERVALUE("0.001666")</f>
        <v/>
      </c>
      <c r="G1546">
        <f>_xlfn.NUMBERVALUE("0.000569")</f>
        <v/>
      </c>
      <c r="H1546">
        <f>_xlfn.NUMBERVALUE("-0.000267")</f>
        <v/>
      </c>
      <c r="I1546">
        <f>_xlfn.NUMBERVALUE("-0.002184")</f>
        <v/>
      </c>
      <c r="J1546">
        <f>_xlfn.NUMBERVALUE("-0.001707")</f>
        <v/>
      </c>
      <c r="K1546">
        <f>_xlfn.NUMBERVALUE("0.007467")</f>
        <v/>
      </c>
      <c r="L1546">
        <f>_xlfn.NUMBERVALUE("-0.001806")</f>
        <v/>
      </c>
      <c r="M1546">
        <f>_xlfn.NUMBERVALUE("-0.002437")</f>
        <v/>
      </c>
      <c r="N1546">
        <f>_xlfn.NUMBERVALUE("0.002598")</f>
        <v/>
      </c>
      <c r="O1546">
        <f>_xlfn.NUMBERVALUE("-0.000600")</f>
        <v/>
      </c>
      <c r="P1546">
        <f>_xlfn.NUMBERVALUE("0.000301")</f>
        <v/>
      </c>
      <c r="Q1546">
        <f>_xlfn.NUMBERVALUE("-0.002822")</f>
        <v/>
      </c>
      <c r="R1546">
        <f>_xlfn.NUMBERVALUE("0.001944")</f>
        <v/>
      </c>
      <c r="S1546">
        <f>_xlfn.NUMBERVALUE("-0.002560")</f>
        <v/>
      </c>
      <c r="T1546">
        <f>_xlfn.NUMBERVALUE("-0.001771")</f>
        <v/>
      </c>
      <c r="U1546">
        <f>_xlfn.NUMBERVALUE("0.000817")</f>
        <v/>
      </c>
      <c r="V1546">
        <f>_xlfn.NUMBERVALUE("0.001668")</f>
        <v/>
      </c>
      <c r="W1546">
        <f>_xlfn.NUMBERVALUE("-0.002274")</f>
        <v/>
      </c>
      <c r="X1546">
        <f>_xlfn.NUMBERVALUE("-0.440000")</f>
        <v/>
      </c>
      <c r="Y1546">
        <f>_xlfn.NUMBERVALUE("22.050000")</f>
        <v/>
      </c>
    </row>
    <row r="1547">
      <c r="A1547" s="1" t="n">
        <v>44249</v>
      </c>
      <c r="B1547">
        <f>_xlfn.NUMBERVALUE("-0.017507")</f>
        <v/>
      </c>
      <c r="C1547" s="2">
        <f>_xlfn.NUMBERVALUE("0.000817")</f>
        <v/>
      </c>
      <c r="D1547">
        <f>_xlfn.NUMBERVALUE("-0.005135")</f>
        <v/>
      </c>
      <c r="E1547">
        <f>_xlfn.NUMBERVALUE("0.001173")</f>
        <v/>
      </c>
      <c r="F1547">
        <f>_xlfn.NUMBERVALUE("0.000478")</f>
        <v/>
      </c>
      <c r="G1547">
        <f>_xlfn.NUMBERVALUE("0.000624")</f>
        <v/>
      </c>
      <c r="H1547">
        <f>_xlfn.NUMBERVALUE("0.000327")</f>
        <v/>
      </c>
      <c r="I1547">
        <f>_xlfn.NUMBERVALUE("0.003351")</f>
        <v/>
      </c>
      <c r="J1547">
        <f>_xlfn.NUMBERVALUE("-0.001273")</f>
        <v/>
      </c>
      <c r="K1547">
        <f>_xlfn.NUMBERVALUE("-0.017029")</f>
        <v/>
      </c>
      <c r="L1547">
        <f>_xlfn.NUMBERVALUE("-0.001683")</f>
        <v/>
      </c>
      <c r="M1547">
        <f>_xlfn.NUMBERVALUE("0.000327")</f>
        <v/>
      </c>
      <c r="N1547">
        <f>_xlfn.NUMBERVALUE("0.002050")</f>
        <v/>
      </c>
      <c r="O1547">
        <f>_xlfn.NUMBERVALUE("-0.006500")</f>
        <v/>
      </c>
      <c r="P1547">
        <f>_xlfn.NUMBERVALUE("0.000094")</f>
        <v/>
      </c>
      <c r="Q1547">
        <f>_xlfn.NUMBERVALUE("0.000515")</f>
        <v/>
      </c>
      <c r="R1547">
        <f>_xlfn.NUMBERVALUE("-0.003034")</f>
        <v/>
      </c>
      <c r="S1547">
        <f>_xlfn.NUMBERVALUE("0.000348")</f>
        <v/>
      </c>
      <c r="T1547">
        <f>_xlfn.NUMBERVALUE("-0.004281")</f>
        <v/>
      </c>
      <c r="U1547">
        <f>_xlfn.NUMBERVALUE("-0.000704")</f>
        <v/>
      </c>
      <c r="V1547">
        <f>_xlfn.NUMBERVALUE("0.001771")</f>
        <v/>
      </c>
      <c r="W1547">
        <f>_xlfn.NUMBERVALUE("-0.006813")</f>
        <v/>
      </c>
      <c r="X1547">
        <f>_xlfn.NUMBERVALUE("1.400000")</f>
        <v/>
      </c>
      <c r="Y1547">
        <f>_xlfn.NUMBERVALUE("23.450000")</f>
        <v/>
      </c>
    </row>
    <row r="1548">
      <c r="A1548" s="1" t="n">
        <v>44250</v>
      </c>
      <c r="B1548">
        <f>_xlfn.NUMBERVALUE("-0.003672")</f>
        <v/>
      </c>
      <c r="C1548" s="2">
        <f>_xlfn.NUMBERVALUE("0.000111")</f>
        <v/>
      </c>
      <c r="D1548">
        <f>_xlfn.NUMBERVALUE("0.002256")</f>
        <v/>
      </c>
      <c r="E1548">
        <f>_xlfn.NUMBERVALUE("0.000715")</f>
        <v/>
      </c>
      <c r="F1548">
        <f>_xlfn.NUMBERVALUE("0.002779")</f>
        <v/>
      </c>
      <c r="G1548">
        <f>_xlfn.NUMBERVALUE("0.000606")</f>
        <v/>
      </c>
      <c r="H1548">
        <f>_xlfn.NUMBERVALUE("-0.000584")</f>
        <v/>
      </c>
      <c r="I1548">
        <f>_xlfn.NUMBERVALUE("0.002315")</f>
        <v/>
      </c>
      <c r="J1548">
        <f>_xlfn.NUMBERVALUE("-0.001346")</f>
        <v/>
      </c>
      <c r="K1548">
        <f>_xlfn.NUMBERVALUE("0.008940")</f>
        <v/>
      </c>
      <c r="L1548">
        <f>_xlfn.NUMBERVALUE("0.001841")</f>
        <v/>
      </c>
      <c r="M1548">
        <f>_xlfn.NUMBERVALUE("0.000045")</f>
        <v/>
      </c>
      <c r="N1548">
        <f>_xlfn.NUMBERVALUE("-0.002181")</f>
        <v/>
      </c>
      <c r="O1548">
        <f>_xlfn.NUMBERVALUE("-0.000027")</f>
        <v/>
      </c>
      <c r="P1548">
        <f>_xlfn.NUMBERVALUE("0.000204")</f>
        <v/>
      </c>
      <c r="Q1548">
        <f>_xlfn.NUMBERVALUE("-0.000655")</f>
        <v/>
      </c>
      <c r="R1548">
        <f>_xlfn.NUMBERVALUE("-0.001482")</f>
        <v/>
      </c>
      <c r="S1548">
        <f>_xlfn.NUMBERVALUE("-0.000851")</f>
        <v/>
      </c>
      <c r="T1548">
        <f>_xlfn.NUMBERVALUE("0.001727")</f>
        <v/>
      </c>
      <c r="U1548">
        <f>_xlfn.NUMBERVALUE("-0.000506")</f>
        <v/>
      </c>
      <c r="V1548">
        <f>_xlfn.NUMBERVALUE("0.000325")</f>
        <v/>
      </c>
      <c r="W1548">
        <f>_xlfn.NUMBERVALUE("0.001831")</f>
        <v/>
      </c>
      <c r="X1548">
        <f>_xlfn.NUMBERVALUE("-0.340000")</f>
        <v/>
      </c>
      <c r="Y1548">
        <f>_xlfn.NUMBERVALUE("23.110000")</f>
        <v/>
      </c>
    </row>
    <row r="1549">
      <c r="A1549" s="1" t="n">
        <v>44251</v>
      </c>
      <c r="B1549">
        <f>_xlfn.NUMBERVALUE("0.000238")</f>
        <v/>
      </c>
      <c r="C1549" s="2">
        <f>_xlfn.NUMBERVALUE("-0.001028")</f>
        <v/>
      </c>
      <c r="D1549">
        <f>_xlfn.NUMBERVALUE("0.000873")</f>
        <v/>
      </c>
      <c r="E1549">
        <f>_xlfn.NUMBERVALUE("0.000913")</f>
        <v/>
      </c>
      <c r="F1549">
        <f>_xlfn.NUMBERVALUE("0.000481")</f>
        <v/>
      </c>
      <c r="G1549">
        <f>_xlfn.NUMBERVALUE("0.000569")</f>
        <v/>
      </c>
      <c r="H1549">
        <f>_xlfn.NUMBERVALUE("0.001022")</f>
        <v/>
      </c>
      <c r="I1549">
        <f>_xlfn.NUMBERVALUE("-0.002541")</f>
        <v/>
      </c>
      <c r="J1549">
        <f>_xlfn.NUMBERVALUE("0.001427")</f>
        <v/>
      </c>
      <c r="K1549">
        <f>_xlfn.NUMBERVALUE("0.005028")</f>
        <v/>
      </c>
      <c r="L1549">
        <f>_xlfn.NUMBERVALUE("-0.000137")</f>
        <v/>
      </c>
      <c r="M1549">
        <f>_xlfn.NUMBERVALUE("0.001424")</f>
        <v/>
      </c>
      <c r="N1549">
        <f>_xlfn.NUMBERVALUE("0.001195")</f>
        <v/>
      </c>
      <c r="O1549">
        <f>_xlfn.NUMBERVALUE("-0.003176")</f>
        <v/>
      </c>
      <c r="P1549">
        <f>_xlfn.NUMBERVALUE("-0.002606")</f>
        <v/>
      </c>
      <c r="Q1549">
        <f>_xlfn.NUMBERVALUE("-0.000717")</f>
        <v/>
      </c>
      <c r="R1549">
        <f>_xlfn.NUMBERVALUE("0.001420")</f>
        <v/>
      </c>
      <c r="S1549">
        <f>_xlfn.NUMBERVALUE("0.002436")</f>
        <v/>
      </c>
      <c r="T1549">
        <f>_xlfn.NUMBERVALUE("0.000150")</f>
        <v/>
      </c>
      <c r="U1549">
        <f>_xlfn.NUMBERVALUE("0.001692")</f>
        <v/>
      </c>
      <c r="V1549">
        <f>_xlfn.NUMBERVALUE("0.000732")</f>
        <v/>
      </c>
      <c r="W1549">
        <f>_xlfn.NUMBERVALUE("0.008469")</f>
        <v/>
      </c>
      <c r="X1549">
        <f>_xlfn.NUMBERVALUE("-1.770000")</f>
        <v/>
      </c>
      <c r="Y1549">
        <f>_xlfn.NUMBERVALUE("21.340000")</f>
        <v/>
      </c>
    </row>
    <row r="1550">
      <c r="A1550" s="1" t="n">
        <v>44252</v>
      </c>
      <c r="B1550">
        <f>_xlfn.NUMBERVALUE("-0.017232")</f>
        <v/>
      </c>
      <c r="C1550" s="2">
        <f>_xlfn.NUMBERVALUE("-0.004385")</f>
        <v/>
      </c>
      <c r="D1550">
        <f>_xlfn.NUMBERVALUE("-0.008329")</f>
        <v/>
      </c>
      <c r="E1550">
        <f>_xlfn.NUMBERVALUE("-0.000285")</f>
        <v/>
      </c>
      <c r="F1550">
        <f>_xlfn.NUMBERVALUE("-0.004149")</f>
        <v/>
      </c>
      <c r="G1550">
        <f>_xlfn.NUMBERVALUE("-0.006910")</f>
        <v/>
      </c>
      <c r="H1550">
        <f>_xlfn.NUMBERVALUE("-0.001784")</f>
        <v/>
      </c>
      <c r="I1550">
        <f>_xlfn.NUMBERVALUE("-0.010863")</f>
        <v/>
      </c>
      <c r="J1550">
        <f>_xlfn.NUMBERVALUE("-0.004063")</f>
        <v/>
      </c>
      <c r="K1550">
        <f>_xlfn.NUMBERVALUE("-0.000792")</f>
        <v/>
      </c>
      <c r="L1550">
        <f>_xlfn.NUMBERVALUE("-0.002209")</f>
        <v/>
      </c>
      <c r="M1550">
        <f>_xlfn.NUMBERVALUE("-0.005591")</f>
        <v/>
      </c>
      <c r="N1550">
        <f>_xlfn.NUMBERVALUE("-0.009900")</f>
        <v/>
      </c>
      <c r="O1550">
        <f>_xlfn.NUMBERVALUE("-0.002103")</f>
        <v/>
      </c>
      <c r="P1550">
        <f>_xlfn.NUMBERVALUE("-0.004979")</f>
        <v/>
      </c>
      <c r="Q1550">
        <f>_xlfn.NUMBERVALUE("-0.007206")</f>
        <v/>
      </c>
      <c r="R1550">
        <f>_xlfn.NUMBERVALUE("-0.014521")</f>
        <v/>
      </c>
      <c r="S1550">
        <f>_xlfn.NUMBERVALUE("-0.003001")</f>
        <v/>
      </c>
      <c r="T1550">
        <f>_xlfn.NUMBERVALUE("-0.001900")</f>
        <v/>
      </c>
      <c r="U1550">
        <f>_xlfn.NUMBERVALUE("-0.008032")</f>
        <v/>
      </c>
      <c r="V1550">
        <f>_xlfn.NUMBERVALUE("-0.013443")</f>
        <v/>
      </c>
      <c r="W1550">
        <f>_xlfn.NUMBERVALUE("-0.022743")</f>
        <v/>
      </c>
      <c r="X1550">
        <f>_xlfn.NUMBERVALUE("7.550000")</f>
        <v/>
      </c>
      <c r="Y1550">
        <f>_xlfn.NUMBERVALUE("28.890000")</f>
        <v/>
      </c>
    </row>
    <row r="1551">
      <c r="A1551" s="1" t="n">
        <v>44253</v>
      </c>
      <c r="B1551">
        <f>_xlfn.NUMBERVALUE("0.011131")</f>
        <v/>
      </c>
      <c r="C1551" s="2">
        <f>_xlfn.NUMBERVALUE("0.003058")</f>
        <v/>
      </c>
      <c r="D1551">
        <f>_xlfn.NUMBERVALUE("0.003050")</f>
        <v/>
      </c>
      <c r="E1551">
        <f>_xlfn.NUMBERVALUE("0.001679")</f>
        <v/>
      </c>
      <c r="F1551">
        <f>_xlfn.NUMBERVALUE("-0.002535")</f>
        <v/>
      </c>
      <c r="G1551">
        <f>_xlfn.NUMBERVALUE("0.002898")</f>
        <v/>
      </c>
      <c r="H1551">
        <f>_xlfn.NUMBERVALUE("0.001659")</f>
        <v/>
      </c>
      <c r="I1551">
        <f>_xlfn.NUMBERVALUE("0.006971")</f>
        <v/>
      </c>
      <c r="J1551">
        <f>_xlfn.NUMBERVALUE("0.003595")</f>
        <v/>
      </c>
      <c r="K1551">
        <f>_xlfn.NUMBERVALUE("-0.004227")</f>
        <v/>
      </c>
      <c r="L1551">
        <f>_xlfn.NUMBERVALUE("0.002166")</f>
        <v/>
      </c>
      <c r="M1551">
        <f>_xlfn.NUMBERVALUE("0.001304")</f>
        <v/>
      </c>
      <c r="N1551">
        <f>_xlfn.NUMBERVALUE("0.003299")</f>
        <v/>
      </c>
      <c r="O1551">
        <f>_xlfn.NUMBERVALUE("0.003364")</f>
        <v/>
      </c>
      <c r="P1551">
        <f>_xlfn.NUMBERVALUE("0.005826")</f>
        <v/>
      </c>
      <c r="Q1551">
        <f>_xlfn.NUMBERVALUE("0.002155")</f>
        <v/>
      </c>
      <c r="R1551">
        <f>_xlfn.NUMBERVALUE("0.006519")</f>
        <v/>
      </c>
      <c r="S1551">
        <f>_xlfn.NUMBERVALUE("-0.002498")</f>
        <v/>
      </c>
      <c r="T1551">
        <f>_xlfn.NUMBERVALUE("0.000184")</f>
        <v/>
      </c>
      <c r="U1551">
        <f>_xlfn.NUMBERVALUE("0.001012")</f>
        <v/>
      </c>
      <c r="V1551">
        <f>_xlfn.NUMBERVALUE("0.006422")</f>
        <v/>
      </c>
      <c r="W1551">
        <f>_xlfn.NUMBERVALUE("0.003239")</f>
        <v/>
      </c>
      <c r="X1551">
        <f>_xlfn.NUMBERVALUE("-0.940000")</f>
        <v/>
      </c>
      <c r="Y1551">
        <f>_xlfn.NUMBERVALUE("27.950000")</f>
        <v/>
      </c>
    </row>
    <row r="1552">
      <c r="A1552" s="1" t="n">
        <v>44256</v>
      </c>
      <c r="B1552">
        <f>_xlfn.NUMBERVALUE("0.010697")</f>
        <v/>
      </c>
      <c r="C1552" s="2">
        <f>_xlfn.NUMBERVALUE("0.002234")</f>
        <v/>
      </c>
      <c r="D1552">
        <f>_xlfn.NUMBERVALUE("0.001524")</f>
        <v/>
      </c>
      <c r="E1552">
        <f>_xlfn.NUMBERVALUE("-0.001022")</f>
        <v/>
      </c>
      <c r="F1552">
        <f>_xlfn.NUMBERVALUE("0.000174")</f>
        <v/>
      </c>
      <c r="G1552">
        <f>_xlfn.NUMBERVALUE("0.000526")</f>
        <v/>
      </c>
      <c r="H1552">
        <f>_xlfn.NUMBERVALUE("0.000420")</f>
        <v/>
      </c>
      <c r="I1552">
        <f>_xlfn.NUMBERVALUE("-0.000583")</f>
        <v/>
      </c>
      <c r="J1552">
        <f>_xlfn.NUMBERVALUE("0.002557")</f>
        <v/>
      </c>
      <c r="K1552">
        <f>_xlfn.NUMBERVALUE("0.010802")</f>
        <v/>
      </c>
      <c r="L1552">
        <f>_xlfn.NUMBERVALUE("0.000238")</f>
        <v/>
      </c>
      <c r="M1552">
        <f>_xlfn.NUMBERVALUE("0.004329")</f>
        <v/>
      </c>
      <c r="N1552">
        <f>_xlfn.NUMBERVALUE("0.009914")</f>
        <v/>
      </c>
      <c r="O1552">
        <f>_xlfn.NUMBERVALUE("0.002329")</f>
        <v/>
      </c>
      <c r="P1552">
        <f>_xlfn.NUMBERVALUE("-0.002054")</f>
        <v/>
      </c>
      <c r="Q1552">
        <f>_xlfn.NUMBERVALUE("0.000901")</f>
        <v/>
      </c>
      <c r="R1552">
        <f>_xlfn.NUMBERVALUE("0.006824")</f>
        <v/>
      </c>
      <c r="S1552">
        <f>_xlfn.NUMBERVALUE("-0.000706")</f>
        <v/>
      </c>
      <c r="T1552">
        <f>_xlfn.NUMBERVALUE("0.000359")</f>
        <v/>
      </c>
      <c r="U1552">
        <f>_xlfn.NUMBERVALUE("0.005141")</f>
        <v/>
      </c>
      <c r="V1552">
        <f>_xlfn.NUMBERVALUE("0.000858")</f>
        <v/>
      </c>
      <c r="W1552">
        <f>_xlfn.NUMBERVALUE("0.014606")</f>
        <v/>
      </c>
      <c r="X1552">
        <f>_xlfn.NUMBERVALUE("-4.600000")</f>
        <v/>
      </c>
      <c r="Y1552">
        <f>_xlfn.NUMBERVALUE("23.350000")</f>
        <v/>
      </c>
    </row>
    <row r="1553">
      <c r="A1553" s="1" t="n">
        <v>44257</v>
      </c>
      <c r="B1553">
        <f>_xlfn.NUMBERVALUE("-0.000038")</f>
        <v/>
      </c>
      <c r="C1553" s="2">
        <f>_xlfn.NUMBERVALUE("0.001920")</f>
        <v/>
      </c>
      <c r="D1553">
        <f>_xlfn.NUMBERVALUE("0.000626")</f>
        <v/>
      </c>
      <c r="E1553">
        <f>_xlfn.NUMBERVALUE("0.001329")</f>
        <v/>
      </c>
      <c r="F1553">
        <f>_xlfn.NUMBERVALUE("0.000136")</f>
        <v/>
      </c>
      <c r="G1553">
        <f>_xlfn.NUMBERVALUE("0.000648")</f>
        <v/>
      </c>
      <c r="H1553">
        <f>_xlfn.NUMBERVALUE("0.000196")</f>
        <v/>
      </c>
      <c r="I1553">
        <f>_xlfn.NUMBERVALUE("0.001793")</f>
        <v/>
      </c>
      <c r="J1553">
        <f>_xlfn.NUMBERVALUE("-0.000477")</f>
        <v/>
      </c>
      <c r="K1553">
        <f>_xlfn.NUMBERVALUE("0.004121")</f>
        <v/>
      </c>
      <c r="L1553">
        <f>_xlfn.NUMBERVALUE("0.000435")</f>
        <v/>
      </c>
      <c r="M1553">
        <f>_xlfn.NUMBERVALUE("0.000180")</f>
        <v/>
      </c>
      <c r="N1553">
        <f>_xlfn.NUMBERVALUE("-0.002038")</f>
        <v/>
      </c>
      <c r="O1553">
        <f>_xlfn.NUMBERVALUE("0.000816")</f>
        <v/>
      </c>
      <c r="P1553">
        <f>_xlfn.NUMBERVALUE("0.001339")</f>
        <v/>
      </c>
      <c r="Q1553">
        <f>_xlfn.NUMBERVALUE("0.003148")</f>
        <v/>
      </c>
      <c r="R1553">
        <f>_xlfn.NUMBERVALUE("-0.000449")</f>
        <v/>
      </c>
      <c r="S1553">
        <f>_xlfn.NUMBERVALUE("-0.000561")</f>
        <v/>
      </c>
      <c r="T1553">
        <f>_xlfn.NUMBERVALUE("0.000497")</f>
        <v/>
      </c>
      <c r="U1553">
        <f>_xlfn.NUMBERVALUE("-0.001068")</f>
        <v/>
      </c>
      <c r="V1553">
        <f>_xlfn.NUMBERVALUE("0.002350")</f>
        <v/>
      </c>
      <c r="W1553">
        <f>_xlfn.NUMBERVALUE("-0.004285")</f>
        <v/>
      </c>
      <c r="X1553">
        <f>_xlfn.NUMBERVALUE("0.750000")</f>
        <v/>
      </c>
      <c r="Y1553">
        <f>_xlfn.NUMBERVALUE("24.100000")</f>
        <v/>
      </c>
    </row>
    <row r="1554">
      <c r="A1554" s="1" t="n">
        <v>44258</v>
      </c>
      <c r="B1554">
        <f>_xlfn.NUMBERVALUE("-0.014293")</f>
        <v/>
      </c>
      <c r="C1554" s="2">
        <f>_xlfn.NUMBERVALUE("0.000072")</f>
        <v/>
      </c>
      <c r="D1554">
        <f>_xlfn.NUMBERVALUE("0.000483")</f>
        <v/>
      </c>
      <c r="E1554">
        <f>_xlfn.NUMBERVALUE("0.000358")</f>
        <v/>
      </c>
      <c r="F1554">
        <f>_xlfn.NUMBERVALUE("-0.000161")</f>
        <v/>
      </c>
      <c r="G1554">
        <f>_xlfn.NUMBERVALUE("0.000113")</f>
        <v/>
      </c>
      <c r="H1554">
        <f>_xlfn.NUMBERVALUE("0.000072")</f>
        <v/>
      </c>
      <c r="I1554">
        <f>_xlfn.NUMBERVALUE("0.002874")</f>
        <v/>
      </c>
      <c r="J1554">
        <f>_xlfn.NUMBERVALUE("0.000457")</f>
        <v/>
      </c>
      <c r="K1554">
        <f>_xlfn.NUMBERVALUE("-0.004517")</f>
        <v/>
      </c>
      <c r="L1554">
        <f>_xlfn.NUMBERVALUE("-0.000275")</f>
        <v/>
      </c>
      <c r="M1554">
        <f>_xlfn.NUMBERVALUE("-0.000403")</f>
        <v/>
      </c>
      <c r="N1554">
        <f>_xlfn.NUMBERVALUE("-0.004208")</f>
        <v/>
      </c>
      <c r="O1554">
        <f>_xlfn.NUMBERVALUE("-0.000390")</f>
        <v/>
      </c>
      <c r="P1554">
        <f>_xlfn.NUMBERVALUE("-0.000671")</f>
        <v/>
      </c>
      <c r="Q1554">
        <f>_xlfn.NUMBERVALUE("-0.000713")</f>
        <v/>
      </c>
      <c r="R1554">
        <f>_xlfn.NUMBERVALUE("-0.006045")</f>
        <v/>
      </c>
      <c r="S1554">
        <f>_xlfn.NUMBERVALUE("0.003635")</f>
        <v/>
      </c>
      <c r="T1554">
        <f>_xlfn.NUMBERVALUE("-0.000948")</f>
        <v/>
      </c>
      <c r="U1554">
        <f>_xlfn.NUMBERVALUE("-0.001856")</f>
        <v/>
      </c>
      <c r="V1554">
        <f>_xlfn.NUMBERVALUE("-0.000903")</f>
        <v/>
      </c>
      <c r="W1554">
        <f>_xlfn.NUMBERVALUE("-0.012086")</f>
        <v/>
      </c>
      <c r="X1554">
        <f>_xlfn.NUMBERVALUE("2.570000")</f>
        <v/>
      </c>
      <c r="Y1554">
        <f>_xlfn.NUMBERVALUE("26.670000")</f>
        <v/>
      </c>
    </row>
    <row r="1555">
      <c r="A1555" s="1" t="n">
        <v>44259</v>
      </c>
      <c r="B1555">
        <f>_xlfn.NUMBERVALUE("-0.003273")</f>
        <v/>
      </c>
      <c r="C1555" s="2">
        <f>_xlfn.NUMBERVALUE("-0.000426")</f>
        <v/>
      </c>
      <c r="D1555">
        <f>_xlfn.NUMBERVALUE("-0.002832")</f>
        <v/>
      </c>
      <c r="E1555">
        <f>_xlfn.NUMBERVALUE("-0.001410")</f>
        <v/>
      </c>
      <c r="F1555">
        <f>_xlfn.NUMBERVALUE("0.000110")</f>
        <v/>
      </c>
      <c r="G1555">
        <f>_xlfn.NUMBERVALUE("0.000708")</f>
        <v/>
      </c>
      <c r="H1555">
        <f>_xlfn.NUMBERVALUE("-0.000003")</f>
        <v/>
      </c>
      <c r="I1555">
        <f>_xlfn.NUMBERVALUE("-0.004325")</f>
        <v/>
      </c>
      <c r="J1555">
        <f>_xlfn.NUMBERVALUE("0.000066")</f>
        <v/>
      </c>
      <c r="K1555">
        <f>_xlfn.NUMBERVALUE("-0.005561")</f>
        <v/>
      </c>
      <c r="L1555">
        <f>_xlfn.NUMBERVALUE("-0.000976")</f>
        <v/>
      </c>
      <c r="M1555">
        <f>_xlfn.NUMBERVALUE("-0.008905")</f>
        <v/>
      </c>
      <c r="N1555">
        <f>_xlfn.NUMBERVALUE("-0.000984")</f>
        <v/>
      </c>
      <c r="O1555">
        <f>_xlfn.NUMBERVALUE("0.001047")</f>
        <v/>
      </c>
      <c r="P1555">
        <f>_xlfn.NUMBERVALUE("-0.000633")</f>
        <v/>
      </c>
      <c r="Q1555">
        <f>_xlfn.NUMBERVALUE("-0.004760")</f>
        <v/>
      </c>
      <c r="R1555">
        <f>_xlfn.NUMBERVALUE("-0.002151")</f>
        <v/>
      </c>
      <c r="S1555">
        <f>_xlfn.NUMBERVALUE("-0.002264")</f>
        <v/>
      </c>
      <c r="T1555">
        <f>_xlfn.NUMBERVALUE("0.000226")</f>
        <v/>
      </c>
      <c r="U1555">
        <f>_xlfn.NUMBERVALUE("-0.002166")</f>
        <v/>
      </c>
      <c r="V1555">
        <f>_xlfn.NUMBERVALUE("-0.005241")</f>
        <v/>
      </c>
      <c r="W1555">
        <f>_xlfn.NUMBERVALUE("-0.018912")</f>
        <v/>
      </c>
      <c r="X1555">
        <f>_xlfn.NUMBERVALUE("1.900000")</f>
        <v/>
      </c>
      <c r="Y1555">
        <f>_xlfn.NUMBERVALUE("28.570000")</f>
        <v/>
      </c>
    </row>
    <row r="1556">
      <c r="A1556" s="1" t="n">
        <v>44260</v>
      </c>
      <c r="B1556">
        <f>_xlfn.NUMBERVALUE("0.003205")</f>
        <v/>
      </c>
      <c r="C1556" s="2">
        <f>_xlfn.NUMBERVALUE("-0.005570")</f>
        <v/>
      </c>
      <c r="D1556">
        <f>_xlfn.NUMBERVALUE("0.000170")</f>
        <v/>
      </c>
      <c r="E1556">
        <f>_xlfn.NUMBERVALUE("0.005765")</f>
        <v/>
      </c>
      <c r="F1556">
        <f>_xlfn.NUMBERVALUE("0.000000")</f>
        <v/>
      </c>
      <c r="G1556">
        <f>_xlfn.NUMBERVALUE("0.000496")</f>
        <v/>
      </c>
      <c r="H1556">
        <f>_xlfn.NUMBERVALUE("0.000001")</f>
        <v/>
      </c>
      <c r="I1556">
        <f>_xlfn.NUMBERVALUE("0.007136")</f>
        <v/>
      </c>
      <c r="J1556">
        <f>_xlfn.NUMBERVALUE("0.000000")</f>
        <v/>
      </c>
      <c r="K1556">
        <f>_xlfn.NUMBERVALUE("0.000229")</f>
        <v/>
      </c>
      <c r="L1556">
        <f>_xlfn.NUMBERVALUE("0.001081")</f>
        <v/>
      </c>
      <c r="M1556">
        <f>_xlfn.NUMBERVALUE("-0.000679")</f>
        <v/>
      </c>
      <c r="N1556">
        <f>_xlfn.NUMBERVALUE("-0.000114")</f>
        <v/>
      </c>
      <c r="O1556">
        <f>_xlfn.NUMBERVALUE("-0.001133")</f>
        <v/>
      </c>
      <c r="P1556">
        <f>_xlfn.NUMBERVALUE("-0.000808")</f>
        <v/>
      </c>
      <c r="Q1556">
        <f>_xlfn.NUMBERVALUE("-0.000481")</f>
        <v/>
      </c>
      <c r="R1556">
        <f>_xlfn.NUMBERVALUE("0.001136")</f>
        <v/>
      </c>
      <c r="S1556">
        <f>_xlfn.NUMBERVALUE("0.001218")</f>
        <v/>
      </c>
      <c r="T1556">
        <f>_xlfn.NUMBERVALUE("0.000530")</f>
        <v/>
      </c>
      <c r="U1556">
        <f>_xlfn.NUMBERVALUE("0.000246")</f>
        <v/>
      </c>
      <c r="V1556">
        <f>_xlfn.NUMBERVALUE("0.003830")</f>
        <v/>
      </c>
      <c r="W1556">
        <f>_xlfn.NUMBERVALUE("0.010915")</f>
        <v/>
      </c>
      <c r="X1556">
        <f>_xlfn.NUMBERVALUE("-3.910000")</f>
        <v/>
      </c>
      <c r="Y1556">
        <f>_xlfn.NUMBERVALUE("24.660000")</f>
        <v/>
      </c>
    </row>
    <row r="1557">
      <c r="A1557" s="1" t="n">
        <v>44263</v>
      </c>
      <c r="B1557">
        <f>_xlfn.NUMBERVALUE("-0.003541")</f>
        <v/>
      </c>
      <c r="C1557" s="2">
        <f>_xlfn.NUMBERVALUE("-0.006677")</f>
        <v/>
      </c>
      <c r="D1557">
        <f>_xlfn.NUMBERVALUE("-0.002567")</f>
        <v/>
      </c>
      <c r="E1557">
        <f>_xlfn.NUMBERVALUE("0.001298")</f>
        <v/>
      </c>
      <c r="F1557">
        <f>_xlfn.NUMBERVALUE("0.000204")</f>
        <v/>
      </c>
      <c r="G1557">
        <f>_xlfn.NUMBERVALUE("-0.001969")</f>
        <v/>
      </c>
      <c r="H1557">
        <f>_xlfn.NUMBERVALUE("-0.008242")</f>
        <v/>
      </c>
      <c r="I1557">
        <f>_xlfn.NUMBERVALUE("-0.000770")</f>
        <v/>
      </c>
      <c r="J1557">
        <f>_xlfn.NUMBERVALUE("0.000965")</f>
        <v/>
      </c>
      <c r="K1557">
        <f>_xlfn.NUMBERVALUE("0.002907")</f>
        <v/>
      </c>
      <c r="L1557">
        <f>_xlfn.NUMBERVALUE("0.000051")</f>
        <v/>
      </c>
      <c r="M1557">
        <f>_xlfn.NUMBERVALUE("-0.001543")</f>
        <v/>
      </c>
      <c r="N1557">
        <f>_xlfn.NUMBERVALUE("-0.001808")</f>
        <v/>
      </c>
      <c r="O1557">
        <f>_xlfn.NUMBERVALUE("-0.000888")</f>
        <v/>
      </c>
      <c r="P1557">
        <f>_xlfn.NUMBERVALUE("-0.000190")</f>
        <v/>
      </c>
      <c r="Q1557">
        <f>_xlfn.NUMBERVALUE("-0.001385")</f>
        <v/>
      </c>
      <c r="R1557">
        <f>_xlfn.NUMBERVALUE("0.000554")</f>
        <v/>
      </c>
      <c r="S1557">
        <f>_xlfn.NUMBERVALUE("0.002703")</f>
        <v/>
      </c>
      <c r="T1557">
        <f>_xlfn.NUMBERVALUE("0.000596")</f>
        <v/>
      </c>
      <c r="U1557">
        <f>_xlfn.NUMBERVALUE("0.001689")</f>
        <v/>
      </c>
      <c r="V1557">
        <f>_xlfn.NUMBERVALUE("0.000327")</f>
        <v/>
      </c>
      <c r="W1557">
        <f>_xlfn.NUMBERVALUE("-0.001561")</f>
        <v/>
      </c>
      <c r="X1557">
        <f>_xlfn.NUMBERVALUE("0.810000")</f>
        <v/>
      </c>
      <c r="Y1557">
        <f>_xlfn.NUMBERVALUE("25.470000")</f>
        <v/>
      </c>
    </row>
    <row r="1558">
      <c r="A1558" s="1" t="n">
        <v>44264</v>
      </c>
      <c r="B1558">
        <f>_xlfn.NUMBERVALUE("-0.001785")</f>
        <v/>
      </c>
      <c r="C1558" s="2">
        <f>_xlfn.NUMBERVALUE("0.005038")</f>
        <v/>
      </c>
      <c r="D1558">
        <f>_xlfn.NUMBERVALUE("0.000783")</f>
        <v/>
      </c>
      <c r="E1558">
        <f>_xlfn.NUMBERVALUE("0.000346")</f>
        <v/>
      </c>
      <c r="F1558">
        <f>_xlfn.NUMBERVALUE("-0.000810")</f>
        <v/>
      </c>
      <c r="G1558">
        <f>_xlfn.NUMBERVALUE("0.000557")</f>
        <v/>
      </c>
      <c r="H1558">
        <f>_xlfn.NUMBERVALUE("0.017674")</f>
        <v/>
      </c>
      <c r="I1558">
        <f>_xlfn.NUMBERVALUE("0.000833")</f>
        <v/>
      </c>
      <c r="J1558">
        <f>_xlfn.NUMBERVALUE("-0.001212")</f>
        <v/>
      </c>
      <c r="K1558">
        <f>_xlfn.NUMBERVALUE("-0.000603")</f>
        <v/>
      </c>
      <c r="L1558">
        <f>_xlfn.NUMBERVALUE("0.001871")</f>
        <v/>
      </c>
      <c r="M1558">
        <f>_xlfn.NUMBERVALUE("0.000897")</f>
        <v/>
      </c>
      <c r="N1558">
        <f>_xlfn.NUMBERVALUE("0.003515")</f>
        <v/>
      </c>
      <c r="O1558">
        <f>_xlfn.NUMBERVALUE("-0.000065")</f>
        <v/>
      </c>
      <c r="P1558">
        <f>_xlfn.NUMBERVALUE("0.000013")</f>
        <v/>
      </c>
      <c r="Q1558">
        <f>_xlfn.NUMBERVALUE("0.000500")</f>
        <v/>
      </c>
      <c r="R1558">
        <f>_xlfn.NUMBERVALUE("0.000069")</f>
        <v/>
      </c>
      <c r="S1558">
        <f>_xlfn.NUMBERVALUE("0.001125")</f>
        <v/>
      </c>
      <c r="T1558">
        <f>_xlfn.NUMBERVALUE("0.000697")</f>
        <v/>
      </c>
      <c r="U1558">
        <f>_xlfn.NUMBERVALUE("0.000437")</f>
        <v/>
      </c>
      <c r="V1558">
        <f>_xlfn.NUMBERVALUE("0.000166")</f>
        <v/>
      </c>
      <c r="W1558">
        <f>_xlfn.NUMBERVALUE("0.010815")</f>
        <v/>
      </c>
      <c r="X1558">
        <f>_xlfn.NUMBERVALUE("-1.440000")</f>
        <v/>
      </c>
      <c r="Y1558">
        <f>_xlfn.NUMBERVALUE("24.030000")</f>
        <v/>
      </c>
    </row>
    <row r="1559">
      <c r="A1559" s="1" t="n">
        <v>44265</v>
      </c>
      <c r="B1559">
        <f>_xlfn.NUMBERVALUE("-0.000894")</f>
        <v/>
      </c>
      <c r="C1559" s="2">
        <f>_xlfn.NUMBERVALUE("-0.002388")</f>
        <v/>
      </c>
      <c r="D1559">
        <f>_xlfn.NUMBERVALUE("0.002362")</f>
        <v/>
      </c>
      <c r="E1559">
        <f>_xlfn.NUMBERVALUE("0.000491")</f>
        <v/>
      </c>
      <c r="F1559">
        <f>_xlfn.NUMBERVALUE("0.002267")</f>
        <v/>
      </c>
      <c r="G1559">
        <f>_xlfn.NUMBERVALUE("0.000132")</f>
        <v/>
      </c>
      <c r="H1559">
        <f>_xlfn.NUMBERVALUE("-0.002789")</f>
        <v/>
      </c>
      <c r="I1559">
        <f>_xlfn.NUMBERVALUE("0.000461")</f>
        <v/>
      </c>
      <c r="J1559">
        <f>_xlfn.NUMBERVALUE("0.004013")</f>
        <v/>
      </c>
      <c r="K1559">
        <f>_xlfn.NUMBERVALUE("0.001986")</f>
        <v/>
      </c>
      <c r="L1559">
        <f>_xlfn.NUMBERVALUE("0.001303")</f>
        <v/>
      </c>
      <c r="M1559">
        <f>_xlfn.NUMBERVALUE("-0.000350")</f>
        <v/>
      </c>
      <c r="N1559">
        <f>_xlfn.NUMBERVALUE("-0.000616")</f>
        <v/>
      </c>
      <c r="O1559">
        <f>_xlfn.NUMBERVALUE("-0.000032")</f>
        <v/>
      </c>
      <c r="P1559">
        <f>_xlfn.NUMBERVALUE("0.000001")</f>
        <v/>
      </c>
      <c r="Q1559">
        <f>_xlfn.NUMBERVALUE("-0.000001")</f>
        <v/>
      </c>
      <c r="R1559">
        <f>_xlfn.NUMBERVALUE("0.000101")</f>
        <v/>
      </c>
      <c r="S1559">
        <f>_xlfn.NUMBERVALUE("0.001502")</f>
        <v/>
      </c>
      <c r="T1559">
        <f>_xlfn.NUMBERVALUE("0.000242")</f>
        <v/>
      </c>
      <c r="U1559">
        <f>_xlfn.NUMBERVALUE("0.000105")</f>
        <v/>
      </c>
      <c r="V1559">
        <f>_xlfn.NUMBERVALUE("0.001637")</f>
        <v/>
      </c>
      <c r="W1559">
        <f>_xlfn.NUMBERVALUE("0.005543")</f>
        <v/>
      </c>
      <c r="X1559">
        <f>_xlfn.NUMBERVALUE("-1.470000")</f>
        <v/>
      </c>
      <c r="Y1559">
        <f>_xlfn.NUMBERVALUE("22.560000")</f>
        <v/>
      </c>
    </row>
    <row r="1560">
      <c r="A1560" s="1" t="n">
        <v>44266</v>
      </c>
      <c r="B1560">
        <f>_xlfn.NUMBERVALUE("0.001623")</f>
        <v/>
      </c>
      <c r="C1560" s="2">
        <f>_xlfn.NUMBERVALUE("0.001773")</f>
        <v/>
      </c>
      <c r="D1560">
        <f>_xlfn.NUMBERVALUE("-0.006060")</f>
        <v/>
      </c>
      <c r="E1560">
        <f>_xlfn.NUMBERVALUE("0.000433")</f>
        <v/>
      </c>
      <c r="F1560">
        <f>_xlfn.NUMBERVALUE("0.001502")</f>
        <v/>
      </c>
      <c r="G1560">
        <f>_xlfn.NUMBERVALUE("0.000688")</f>
        <v/>
      </c>
      <c r="H1560">
        <f>_xlfn.NUMBERVALUE("-0.003183")</f>
        <v/>
      </c>
      <c r="I1560">
        <f>_xlfn.NUMBERVALUE("-0.002323")</f>
        <v/>
      </c>
      <c r="J1560">
        <f>_xlfn.NUMBERVALUE("-0.000123")</f>
        <v/>
      </c>
      <c r="K1560">
        <f>_xlfn.NUMBERVALUE("0.000851")</f>
        <v/>
      </c>
      <c r="L1560">
        <f>_xlfn.NUMBERVALUE("0.000926")</f>
        <v/>
      </c>
      <c r="M1560">
        <f>_xlfn.NUMBERVALUE("0.001295")</f>
        <v/>
      </c>
      <c r="N1560">
        <f>_xlfn.NUMBERVALUE("-0.000033")</f>
        <v/>
      </c>
      <c r="O1560">
        <f>_xlfn.NUMBERVALUE("0.001042")</f>
        <v/>
      </c>
      <c r="P1560">
        <f>_xlfn.NUMBERVALUE("0.002358")</f>
        <v/>
      </c>
      <c r="Q1560">
        <f>_xlfn.NUMBERVALUE("0.002705")</f>
        <v/>
      </c>
      <c r="R1560">
        <f>_xlfn.NUMBERVALUE("-0.000165")</f>
        <v/>
      </c>
      <c r="S1560">
        <f>_xlfn.NUMBERVALUE("0.002542")</f>
        <v/>
      </c>
      <c r="T1560">
        <f>_xlfn.NUMBERVALUE("0.001538")</f>
        <v/>
      </c>
      <c r="U1560">
        <f>_xlfn.NUMBERVALUE("-0.000607")</f>
        <v/>
      </c>
      <c r="V1560">
        <f>_xlfn.NUMBERVALUE("-0.000049")</f>
        <v/>
      </c>
      <c r="W1560">
        <f>_xlfn.NUMBERVALUE("0.009718")</f>
        <v/>
      </c>
      <c r="X1560">
        <f>_xlfn.NUMBERVALUE("-0.650000")</f>
        <v/>
      </c>
      <c r="Y1560">
        <f>_xlfn.NUMBERVALUE("21.910000")</f>
        <v/>
      </c>
    </row>
    <row r="1561">
      <c r="A1561" s="1" t="n">
        <v>44267</v>
      </c>
      <c r="B1561">
        <f>_xlfn.NUMBERVALUE("0.000339")</f>
        <v/>
      </c>
      <c r="C1561" s="2">
        <f>_xlfn.NUMBERVALUE("-0.000020")</f>
        <v/>
      </c>
      <c r="D1561">
        <f>_xlfn.NUMBERVALUE("-0.001328")</f>
        <v/>
      </c>
      <c r="E1561">
        <f>_xlfn.NUMBERVALUE("0.001712")</f>
        <v/>
      </c>
      <c r="F1561">
        <f>_xlfn.NUMBERVALUE("0.000686")</f>
        <v/>
      </c>
      <c r="G1561">
        <f>_xlfn.NUMBERVALUE("0.001103")</f>
        <v/>
      </c>
      <c r="H1561">
        <f>_xlfn.NUMBERVALUE("-0.023121")</f>
        <v/>
      </c>
      <c r="I1561">
        <f>_xlfn.NUMBERVALUE("0.000633")</f>
        <v/>
      </c>
      <c r="J1561">
        <f>_xlfn.NUMBERVALUE("-0.004851")</f>
        <v/>
      </c>
      <c r="K1561">
        <f>_xlfn.NUMBERVALUE("0.004319")</f>
        <v/>
      </c>
      <c r="L1561">
        <f>_xlfn.NUMBERVALUE("-0.007893")</f>
        <v/>
      </c>
      <c r="M1561">
        <f>_xlfn.NUMBERVALUE("0.001102")</f>
        <v/>
      </c>
      <c r="N1561">
        <f>_xlfn.NUMBERVALUE("0.001390")</f>
        <v/>
      </c>
      <c r="O1561">
        <f>_xlfn.NUMBERVALUE("0.003114")</f>
        <v/>
      </c>
      <c r="P1561">
        <f>_xlfn.NUMBERVALUE("-0.000819")</f>
        <v/>
      </c>
      <c r="Q1561">
        <f>_xlfn.NUMBERVALUE("-0.002850")</f>
        <v/>
      </c>
      <c r="R1561">
        <f>_xlfn.NUMBERVALUE("0.000438")</f>
        <v/>
      </c>
      <c r="S1561">
        <f>_xlfn.NUMBERVALUE("-0.000188")</f>
        <v/>
      </c>
      <c r="T1561">
        <f>_xlfn.NUMBERVALUE("0.001722")</f>
        <v/>
      </c>
      <c r="U1561">
        <f>_xlfn.NUMBERVALUE("0.002063")</f>
        <v/>
      </c>
      <c r="V1561">
        <f>_xlfn.NUMBERVALUE("0.002584")</f>
        <v/>
      </c>
      <c r="W1561">
        <f>_xlfn.NUMBERVALUE("0.000406")</f>
        <v/>
      </c>
      <c r="X1561">
        <f>_xlfn.NUMBERVALUE("-1.220000")</f>
        <v/>
      </c>
      <c r="Y1561">
        <f>_xlfn.NUMBERVALUE("20.690000")</f>
        <v/>
      </c>
    </row>
    <row r="1562">
      <c r="A1562" s="1" t="n">
        <v>44270</v>
      </c>
      <c r="B1562">
        <f>_xlfn.NUMBERVALUE("0.006499")</f>
        <v/>
      </c>
      <c r="C1562" s="2">
        <f>_xlfn.NUMBERVALUE("0.002944")</f>
        <v/>
      </c>
      <c r="D1562">
        <f>_xlfn.NUMBERVALUE("0.003124")</f>
        <v/>
      </c>
      <c r="E1562">
        <f>_xlfn.NUMBERVALUE("0.001327")</f>
        <v/>
      </c>
      <c r="F1562">
        <f>_xlfn.NUMBERVALUE("0.001649")</f>
        <v/>
      </c>
      <c r="G1562">
        <f>_xlfn.NUMBERVALUE("0.000217")</f>
        <v/>
      </c>
      <c r="H1562">
        <f>_xlfn.NUMBERVALUE("0.020931")</f>
        <v/>
      </c>
      <c r="I1562">
        <f>_xlfn.NUMBERVALUE("0.002756")</f>
        <v/>
      </c>
      <c r="J1562">
        <f>_xlfn.NUMBERVALUE("0.002662")</f>
        <v/>
      </c>
      <c r="K1562">
        <f>_xlfn.NUMBERVALUE("-0.000708")</f>
        <v/>
      </c>
      <c r="L1562">
        <f>_xlfn.NUMBERVALUE("0.004064")</f>
        <v/>
      </c>
      <c r="M1562">
        <f>_xlfn.NUMBERVALUE("0.004105")</f>
        <v/>
      </c>
      <c r="N1562">
        <f>_xlfn.NUMBERVALUE("0.007330")</f>
        <v/>
      </c>
      <c r="O1562">
        <f>_xlfn.NUMBERVALUE("0.004729")</f>
        <v/>
      </c>
      <c r="P1562">
        <f>_xlfn.NUMBERVALUE("0.003674")</f>
        <v/>
      </c>
      <c r="Q1562">
        <f>_xlfn.NUMBERVALUE("0.002431")</f>
        <v/>
      </c>
      <c r="R1562">
        <f>_xlfn.NUMBERVALUE("0.004813")</f>
        <v/>
      </c>
      <c r="S1562">
        <f>_xlfn.NUMBERVALUE("0.001923")</f>
        <v/>
      </c>
      <c r="T1562">
        <f>_xlfn.NUMBERVALUE("0.003312")</f>
        <v/>
      </c>
      <c r="U1562">
        <f>_xlfn.NUMBERVALUE("0.002306")</f>
        <v/>
      </c>
      <c r="V1562">
        <f>_xlfn.NUMBERVALUE("0.002673")</f>
        <v/>
      </c>
      <c r="W1562">
        <f>_xlfn.NUMBERVALUE("0.003630")</f>
        <v/>
      </c>
      <c r="X1562">
        <f>_xlfn.NUMBERVALUE("-0.660000")</f>
        <v/>
      </c>
      <c r="Y1562">
        <f>_xlfn.NUMBERVALUE("20.030000")</f>
        <v/>
      </c>
    </row>
    <row r="1563">
      <c r="A1563" s="1" t="n">
        <v>44271</v>
      </c>
      <c r="B1563">
        <f>_xlfn.NUMBERVALUE("0.003244")</f>
        <v/>
      </c>
      <c r="C1563" s="2">
        <f>_xlfn.NUMBERVALUE("0.000762")</f>
        <v/>
      </c>
      <c r="D1563">
        <f>_xlfn.NUMBERVALUE("0.002794")</f>
        <v/>
      </c>
      <c r="E1563">
        <f>_xlfn.NUMBERVALUE("-0.000100")</f>
        <v/>
      </c>
      <c r="F1563">
        <f>_xlfn.NUMBERVALUE("0.000346")</f>
        <v/>
      </c>
      <c r="G1563">
        <f>_xlfn.NUMBERVALUE("-0.000216")</f>
        <v/>
      </c>
      <c r="H1563">
        <f>_xlfn.NUMBERVALUE("0.007747")</f>
        <v/>
      </c>
      <c r="I1563">
        <f>_xlfn.NUMBERVALUE("0.003108")</f>
        <v/>
      </c>
      <c r="J1563">
        <f>_xlfn.NUMBERVALUE("0.001824")</f>
        <v/>
      </c>
      <c r="K1563">
        <f>_xlfn.NUMBERVALUE("0.001043")</f>
        <v/>
      </c>
      <c r="L1563">
        <f>_xlfn.NUMBERVALUE("0.001283")</f>
        <v/>
      </c>
      <c r="M1563">
        <f>_xlfn.NUMBERVALUE("0.001526")</f>
        <v/>
      </c>
      <c r="N1563">
        <f>_xlfn.NUMBERVALUE("-0.001556")</f>
        <v/>
      </c>
      <c r="O1563">
        <f>_xlfn.NUMBERVALUE("0.001884")</f>
        <v/>
      </c>
      <c r="P1563">
        <f>_xlfn.NUMBERVALUE("0.001714")</f>
        <v/>
      </c>
      <c r="Q1563">
        <f>_xlfn.NUMBERVALUE("0.002158")</f>
        <v/>
      </c>
      <c r="R1563">
        <f>_xlfn.NUMBERVALUE("-0.001131")</f>
        <v/>
      </c>
      <c r="S1563">
        <f>_xlfn.NUMBERVALUE("0.000276")</f>
        <v/>
      </c>
      <c r="T1563">
        <f>_xlfn.NUMBERVALUE("0.001040")</f>
        <v/>
      </c>
      <c r="U1563">
        <f>_xlfn.NUMBERVALUE("0.001175")</f>
        <v/>
      </c>
      <c r="V1563">
        <f>_xlfn.NUMBERVALUE("-0.000053")</f>
        <v/>
      </c>
      <c r="W1563">
        <f>_xlfn.NUMBERVALUE("0.002428")</f>
        <v/>
      </c>
      <c r="X1563">
        <f>_xlfn.NUMBERVALUE("-0.240000")</f>
        <v/>
      </c>
      <c r="Y1563">
        <f>_xlfn.NUMBERVALUE("19.790000")</f>
        <v/>
      </c>
    </row>
    <row r="1564">
      <c r="A1564" s="1" t="n">
        <v>44272</v>
      </c>
      <c r="B1564">
        <f>_xlfn.NUMBERVALUE("0.002375")</f>
        <v/>
      </c>
      <c r="C1564" s="2">
        <f>_xlfn.NUMBERVALUE("0.000400")</f>
        <v/>
      </c>
      <c r="D1564">
        <f>_xlfn.NUMBERVALUE("0.000271")</f>
        <v/>
      </c>
      <c r="E1564">
        <f>_xlfn.NUMBERVALUE("0.002618")</f>
        <v/>
      </c>
      <c r="F1564">
        <f>_xlfn.NUMBERVALUE("0.000606")</f>
        <v/>
      </c>
      <c r="G1564">
        <f>_xlfn.NUMBERVALUE("0.000393")</f>
        <v/>
      </c>
      <c r="H1564">
        <f>_xlfn.NUMBERVALUE("0.000132")</f>
        <v/>
      </c>
      <c r="I1564">
        <f>_xlfn.NUMBERVALUE("0.001095")</f>
        <v/>
      </c>
      <c r="J1564">
        <f>_xlfn.NUMBERVALUE("0.000276")</f>
        <v/>
      </c>
      <c r="K1564">
        <f>_xlfn.NUMBERVALUE("0.000427")</f>
        <v/>
      </c>
      <c r="L1564">
        <f>_xlfn.NUMBERVALUE("-0.000466")</f>
        <v/>
      </c>
      <c r="M1564">
        <f>_xlfn.NUMBERVALUE("0.001020")</f>
        <v/>
      </c>
      <c r="N1564">
        <f>_xlfn.NUMBERVALUE("-0.000097")</f>
        <v/>
      </c>
      <c r="O1564">
        <f>_xlfn.NUMBERVALUE("0.004214")</f>
        <v/>
      </c>
      <c r="P1564">
        <f>_xlfn.NUMBERVALUE("0.002458")</f>
        <v/>
      </c>
      <c r="Q1564">
        <f>_xlfn.NUMBERVALUE("0.002298")</f>
        <v/>
      </c>
      <c r="R1564">
        <f>_xlfn.NUMBERVALUE("0.003066")</f>
        <v/>
      </c>
      <c r="S1564">
        <f>_xlfn.NUMBERVALUE("0.001048")</f>
        <v/>
      </c>
      <c r="T1564">
        <f>_xlfn.NUMBERVALUE("0.000376")</f>
        <v/>
      </c>
      <c r="U1564">
        <f>_xlfn.NUMBERVALUE("0.000826")</f>
        <v/>
      </c>
      <c r="V1564">
        <f>_xlfn.NUMBERVALUE("0.000912")</f>
        <v/>
      </c>
      <c r="W1564">
        <f>_xlfn.NUMBERVALUE("0.001034")</f>
        <v/>
      </c>
      <c r="X1564">
        <f>_xlfn.NUMBERVALUE("-0.560000")</f>
        <v/>
      </c>
      <c r="Y1564">
        <f>_xlfn.NUMBERVALUE("19.230000")</f>
        <v/>
      </c>
    </row>
    <row r="1565">
      <c r="A1565" s="1" t="n">
        <v>44273</v>
      </c>
      <c r="B1565">
        <f>_xlfn.NUMBERVALUE("-0.007903")</f>
        <v/>
      </c>
      <c r="C1565" s="2">
        <f>_xlfn.NUMBERVALUE("-0.001242")</f>
        <v/>
      </c>
      <c r="D1565">
        <f>_xlfn.NUMBERVALUE("-0.002137")</f>
        <v/>
      </c>
      <c r="E1565">
        <f>_xlfn.NUMBERVALUE("-0.002016")</f>
        <v/>
      </c>
      <c r="F1565">
        <f>_xlfn.NUMBERVALUE("-0.000279")</f>
        <v/>
      </c>
      <c r="G1565">
        <f>_xlfn.NUMBERVALUE("-0.002331")</f>
        <v/>
      </c>
      <c r="H1565">
        <f>_xlfn.NUMBERVALUE("-0.001099")</f>
        <v/>
      </c>
      <c r="I1565">
        <f>_xlfn.NUMBERVALUE("-0.001957")</f>
        <v/>
      </c>
      <c r="J1565">
        <f>_xlfn.NUMBERVALUE("-0.001809")</f>
        <v/>
      </c>
      <c r="K1565">
        <f>_xlfn.NUMBERVALUE("0.003100")</f>
        <v/>
      </c>
      <c r="L1565">
        <f>_xlfn.NUMBERVALUE("-0.001485")</f>
        <v/>
      </c>
      <c r="M1565">
        <f>_xlfn.NUMBERVALUE("-0.001248")</f>
        <v/>
      </c>
      <c r="N1565">
        <f>_xlfn.NUMBERVALUE("-0.003643")</f>
        <v/>
      </c>
      <c r="O1565">
        <f>_xlfn.NUMBERVALUE("-0.012626")</f>
        <v/>
      </c>
      <c r="P1565">
        <f>_xlfn.NUMBERVALUE("-0.003288")</f>
        <v/>
      </c>
      <c r="Q1565">
        <f>_xlfn.NUMBERVALUE("-0.001362")</f>
        <v/>
      </c>
      <c r="R1565">
        <f>_xlfn.NUMBERVALUE("-0.007290")</f>
        <v/>
      </c>
      <c r="S1565">
        <f>_xlfn.NUMBERVALUE("-0.000728")</f>
        <v/>
      </c>
      <c r="T1565">
        <f>_xlfn.NUMBERVALUE("0.000765")</f>
        <v/>
      </c>
      <c r="U1565">
        <f>_xlfn.NUMBERVALUE("-0.004176")</f>
        <v/>
      </c>
      <c r="V1565">
        <f>_xlfn.NUMBERVALUE("-0.002409")</f>
        <v/>
      </c>
      <c r="W1565">
        <f>_xlfn.NUMBERVALUE("-0.013913")</f>
        <v/>
      </c>
      <c r="X1565">
        <f>_xlfn.NUMBERVALUE("2.350000")</f>
        <v/>
      </c>
      <c r="Y1565">
        <f>_xlfn.NUMBERVALUE("21.580000")</f>
        <v/>
      </c>
    </row>
    <row r="1566">
      <c r="A1566" s="1" t="n">
        <v>44274</v>
      </c>
      <c r="B1566">
        <f>_xlfn.NUMBERVALUE("0.004021")</f>
        <v/>
      </c>
      <c r="C1566" s="2">
        <f>_xlfn.NUMBERVALUE("0.001601")</f>
        <v/>
      </c>
      <c r="D1566">
        <f>_xlfn.NUMBERVALUE("0.002310")</f>
        <v/>
      </c>
      <c r="E1566">
        <f>_xlfn.NUMBERVALUE("0.001041")</f>
        <v/>
      </c>
      <c r="F1566">
        <f>_xlfn.NUMBERVALUE("0.002355")</f>
        <v/>
      </c>
      <c r="G1566">
        <f>_xlfn.NUMBERVALUE("0.001566")</f>
        <v/>
      </c>
      <c r="H1566">
        <f>_xlfn.NUMBERVALUE("0.000114")</f>
        <v/>
      </c>
      <c r="I1566">
        <f>_xlfn.NUMBERVALUE("0.002839")</f>
        <v/>
      </c>
      <c r="J1566">
        <f>_xlfn.NUMBERVALUE("0.002149")</f>
        <v/>
      </c>
      <c r="K1566">
        <f>_xlfn.NUMBERVALUE("0.002561")</f>
        <v/>
      </c>
      <c r="L1566">
        <f>_xlfn.NUMBERVALUE("0.001134")</f>
        <v/>
      </c>
      <c r="M1566">
        <f>_xlfn.NUMBERVALUE("0.002074")</f>
        <v/>
      </c>
      <c r="N1566">
        <f>_xlfn.NUMBERVALUE("0.003425")</f>
        <v/>
      </c>
      <c r="O1566">
        <f>_xlfn.NUMBERVALUE("0.005002")</f>
        <v/>
      </c>
      <c r="P1566">
        <f>_xlfn.NUMBERVALUE("0.003777")</f>
        <v/>
      </c>
      <c r="Q1566">
        <f>_xlfn.NUMBERVALUE("0.003907")</f>
        <v/>
      </c>
      <c r="R1566">
        <f>_xlfn.NUMBERVALUE("0.005734")</f>
        <v/>
      </c>
      <c r="S1566">
        <f>_xlfn.NUMBERVALUE("-0.002204")</f>
        <v/>
      </c>
      <c r="T1566">
        <f>_xlfn.NUMBERVALUE("0.003223")</f>
        <v/>
      </c>
      <c r="U1566">
        <f>_xlfn.NUMBERVALUE("0.002545")</f>
        <v/>
      </c>
      <c r="V1566">
        <f>_xlfn.NUMBERVALUE("0.002531")</f>
        <v/>
      </c>
      <c r="W1566">
        <f>_xlfn.NUMBERVALUE("-0.000230")</f>
        <v/>
      </c>
      <c r="X1566">
        <f>_xlfn.NUMBERVALUE("-0.630000")</f>
        <v/>
      </c>
      <c r="Y1566">
        <f>_xlfn.NUMBERVALUE("20.950000")</f>
        <v/>
      </c>
    </row>
    <row r="1567">
      <c r="A1567" s="1" t="n">
        <v>44277</v>
      </c>
      <c r="B1567">
        <f>_xlfn.NUMBERVALUE("0.001332")</f>
        <v/>
      </c>
      <c r="C1567" s="2">
        <f>_xlfn.NUMBERVALUE("0.002229")</f>
        <v/>
      </c>
      <c r="D1567">
        <f>_xlfn.NUMBERVALUE("0.004395")</f>
        <v/>
      </c>
      <c r="E1567">
        <f>_xlfn.NUMBERVALUE("0.003883")</f>
        <v/>
      </c>
      <c r="F1567">
        <f>_xlfn.NUMBERVALUE("0.001918")</f>
        <v/>
      </c>
      <c r="G1567">
        <f>_xlfn.NUMBERVALUE("0.001521")</f>
        <v/>
      </c>
      <c r="H1567">
        <f>_xlfn.NUMBERVALUE("0.001582")</f>
        <v/>
      </c>
      <c r="I1567">
        <f>_xlfn.NUMBERVALUE("0.005330")</f>
        <v/>
      </c>
      <c r="J1567">
        <f>_xlfn.NUMBERVALUE("0.002871")</f>
        <v/>
      </c>
      <c r="K1567">
        <f>_xlfn.NUMBERVALUE("0.003504")</f>
        <v/>
      </c>
      <c r="L1567">
        <f>_xlfn.NUMBERVALUE("0.001685")</f>
        <v/>
      </c>
      <c r="M1567">
        <f>_xlfn.NUMBERVALUE("0.003772")</f>
        <v/>
      </c>
      <c r="N1567">
        <f>_xlfn.NUMBERVALUE("0.006671")</f>
        <v/>
      </c>
      <c r="O1567">
        <f>_xlfn.NUMBERVALUE("0.005598")</f>
        <v/>
      </c>
      <c r="P1567">
        <f>_xlfn.NUMBERVALUE("0.003999")</f>
        <v/>
      </c>
      <c r="Q1567">
        <f>_xlfn.NUMBERVALUE("0.004925")</f>
        <v/>
      </c>
      <c r="R1567">
        <f>_xlfn.NUMBERVALUE("0.005425")</f>
        <v/>
      </c>
      <c r="S1567">
        <f>_xlfn.NUMBERVALUE("0.003031")</f>
        <v/>
      </c>
      <c r="T1567">
        <f>_xlfn.NUMBERVALUE("-0.000273")</f>
        <v/>
      </c>
      <c r="U1567">
        <f>_xlfn.NUMBERVALUE("0.004184")</f>
        <v/>
      </c>
      <c r="V1567">
        <f>_xlfn.NUMBERVALUE("0.002250")</f>
        <v/>
      </c>
      <c r="W1567">
        <f>_xlfn.NUMBERVALUE("0.003886")</f>
        <v/>
      </c>
      <c r="X1567">
        <f>_xlfn.NUMBERVALUE("-2.070000")</f>
        <v/>
      </c>
      <c r="Y1567">
        <f>_xlfn.NUMBERVALUE("18.880000")</f>
        <v/>
      </c>
    </row>
    <row r="1568">
      <c r="A1568" s="1" t="n">
        <v>44278</v>
      </c>
      <c r="B1568">
        <f>_xlfn.NUMBERVALUE("-0.000496")</f>
        <v/>
      </c>
      <c r="C1568" s="2">
        <f>_xlfn.NUMBERVALUE("-0.000187")</f>
        <v/>
      </c>
      <c r="D1568">
        <f>_xlfn.NUMBERVALUE("-0.002816")</f>
        <v/>
      </c>
      <c r="E1568">
        <f>_xlfn.NUMBERVALUE("-0.001209")</f>
        <v/>
      </c>
      <c r="F1568">
        <f>_xlfn.NUMBERVALUE("0.001121")</f>
        <v/>
      </c>
      <c r="G1568">
        <f>_xlfn.NUMBERVALUE("0.000695")</f>
        <v/>
      </c>
      <c r="H1568">
        <f>_xlfn.NUMBERVALUE("0.000453")</f>
        <v/>
      </c>
      <c r="I1568">
        <f>_xlfn.NUMBERVALUE("-0.012844")</f>
        <v/>
      </c>
      <c r="J1568">
        <f>_xlfn.NUMBERVALUE("0.000452")</f>
        <v/>
      </c>
      <c r="K1568">
        <f>_xlfn.NUMBERVALUE("0.000067")</f>
        <v/>
      </c>
      <c r="L1568">
        <f>_xlfn.NUMBERVALUE("0.001067")</f>
        <v/>
      </c>
      <c r="M1568">
        <f>_xlfn.NUMBERVALUE("0.001221")</f>
        <v/>
      </c>
      <c r="N1568">
        <f>_xlfn.NUMBERVALUE("-0.000246")</f>
        <v/>
      </c>
      <c r="O1568">
        <f>_xlfn.NUMBERVALUE("-0.000467")</f>
        <v/>
      </c>
      <c r="P1568">
        <f>_xlfn.NUMBERVALUE("-0.002301")</f>
        <v/>
      </c>
      <c r="Q1568">
        <f>_xlfn.NUMBERVALUE("-0.002184")</f>
        <v/>
      </c>
      <c r="R1568">
        <f>_xlfn.NUMBERVALUE("0.000029")</f>
        <v/>
      </c>
      <c r="S1568">
        <f>_xlfn.NUMBERVALUE("0.002237")</f>
        <v/>
      </c>
      <c r="T1568">
        <f>_xlfn.NUMBERVALUE("-0.002549")</f>
        <v/>
      </c>
      <c r="U1568">
        <f>_xlfn.NUMBERVALUE("0.000199")</f>
        <v/>
      </c>
      <c r="V1568">
        <f>_xlfn.NUMBERVALUE("-0.001064")</f>
        <v/>
      </c>
      <c r="W1568">
        <f>_xlfn.NUMBERVALUE("-0.008888")</f>
        <v/>
      </c>
      <c r="X1568">
        <f>_xlfn.NUMBERVALUE("1.420000")</f>
        <v/>
      </c>
      <c r="Y1568">
        <f>_xlfn.NUMBERVALUE("20.300000")</f>
        <v/>
      </c>
    </row>
    <row r="1569">
      <c r="A1569" s="1" t="n">
        <v>44279</v>
      </c>
      <c r="B1569">
        <f>_xlfn.NUMBERVALUE("0.000204")</f>
        <v/>
      </c>
      <c r="C1569" s="2">
        <f>_xlfn.NUMBERVALUE("0.000586")</f>
        <v/>
      </c>
      <c r="D1569">
        <f>_xlfn.NUMBERVALUE("-0.003592")</f>
        <v/>
      </c>
      <c r="E1569">
        <f>_xlfn.NUMBERVALUE("0.000805")</f>
        <v/>
      </c>
      <c r="F1569">
        <f>_xlfn.NUMBERVALUE("0.001507")</f>
        <v/>
      </c>
      <c r="G1569">
        <f>_xlfn.NUMBERVALUE("0.000066")</f>
        <v/>
      </c>
      <c r="H1569">
        <f>_xlfn.NUMBERVALUE("0.000682")</f>
        <v/>
      </c>
      <c r="I1569">
        <f>_xlfn.NUMBERVALUE("0.000196")</f>
        <v/>
      </c>
      <c r="J1569">
        <f>_xlfn.NUMBERVALUE("0.000675")</f>
        <v/>
      </c>
      <c r="K1569">
        <f>_xlfn.NUMBERVALUE("0.005266")</f>
        <v/>
      </c>
      <c r="L1569">
        <f>_xlfn.NUMBERVALUE("0.000405")</f>
        <v/>
      </c>
      <c r="M1569">
        <f>_xlfn.NUMBERVALUE("-0.000421")</f>
        <v/>
      </c>
      <c r="N1569">
        <f>_xlfn.NUMBERVALUE("-0.002884")</f>
        <v/>
      </c>
      <c r="O1569">
        <f>_xlfn.NUMBERVALUE("0.002347")</f>
        <v/>
      </c>
      <c r="P1569">
        <f>_xlfn.NUMBERVALUE("0.000800")</f>
        <v/>
      </c>
      <c r="Q1569">
        <f>_xlfn.NUMBERVALUE("-0.003673")</f>
        <v/>
      </c>
      <c r="R1569">
        <f>_xlfn.NUMBERVALUE("0.000610")</f>
        <v/>
      </c>
      <c r="S1569">
        <f>_xlfn.NUMBERVALUE("-0.001594")</f>
        <v/>
      </c>
      <c r="T1569">
        <f>_xlfn.NUMBERVALUE("-0.000356")</f>
        <v/>
      </c>
      <c r="U1569">
        <f>_xlfn.NUMBERVALUE("0.001230")</f>
        <v/>
      </c>
      <c r="V1569">
        <f>_xlfn.NUMBERVALUE("0.001869")</f>
        <v/>
      </c>
      <c r="W1569">
        <f>_xlfn.NUMBERVALUE("-0.000668")</f>
        <v/>
      </c>
      <c r="X1569">
        <f>_xlfn.NUMBERVALUE("0.900000")</f>
        <v/>
      </c>
      <c r="Y1569">
        <f>_xlfn.NUMBERVALUE("21.200000")</f>
        <v/>
      </c>
    </row>
    <row r="1570">
      <c r="A1570" s="1" t="n">
        <v>44280</v>
      </c>
      <c r="B1570">
        <f>_xlfn.NUMBERVALUE("0.000161")</f>
        <v/>
      </c>
      <c r="C1570" s="2">
        <f>_xlfn.NUMBERVALUE("0.000864")</f>
        <v/>
      </c>
      <c r="D1570">
        <f>_xlfn.NUMBERVALUE("0.000674")</f>
        <v/>
      </c>
      <c r="E1570">
        <f>_xlfn.NUMBERVALUE("-0.000164")</f>
        <v/>
      </c>
      <c r="F1570">
        <f>_xlfn.NUMBERVALUE("-0.000072")</f>
        <v/>
      </c>
      <c r="G1570">
        <f>_xlfn.NUMBERVALUE("0.001203")</f>
        <v/>
      </c>
      <c r="H1570">
        <f>_xlfn.NUMBERVALUE("0.000271")</f>
        <v/>
      </c>
      <c r="I1570">
        <f>_xlfn.NUMBERVALUE("-0.000630")</f>
        <v/>
      </c>
      <c r="J1570">
        <f>_xlfn.NUMBERVALUE("0.001421")</f>
        <v/>
      </c>
      <c r="K1570">
        <f>_xlfn.NUMBERVALUE("0.001452")</f>
        <v/>
      </c>
      <c r="L1570">
        <f>_xlfn.NUMBERVALUE("-0.000136")</f>
        <v/>
      </c>
      <c r="M1570">
        <f>_xlfn.NUMBERVALUE("-0.000600")</f>
        <v/>
      </c>
      <c r="N1570">
        <f>_xlfn.NUMBERVALUE("0.002123")</f>
        <v/>
      </c>
      <c r="O1570">
        <f>_xlfn.NUMBERVALUE("-0.000874")</f>
        <v/>
      </c>
      <c r="P1570">
        <f>_xlfn.NUMBERVALUE("0.000786")</f>
        <v/>
      </c>
      <c r="Q1570">
        <f>_xlfn.NUMBERVALUE("-0.001455")</f>
        <v/>
      </c>
      <c r="R1570">
        <f>_xlfn.NUMBERVALUE("0.002074")</f>
        <v/>
      </c>
      <c r="S1570">
        <f>_xlfn.NUMBERVALUE("0.000239")</f>
        <v/>
      </c>
      <c r="T1570">
        <f>_xlfn.NUMBERVALUE("-0.000991")</f>
        <v/>
      </c>
      <c r="U1570">
        <f>_xlfn.NUMBERVALUE("0.001276")</f>
        <v/>
      </c>
      <c r="V1570">
        <f>_xlfn.NUMBERVALUE("0.001711")</f>
        <v/>
      </c>
      <c r="W1570">
        <f>_xlfn.NUMBERVALUE("0.002725")</f>
        <v/>
      </c>
      <c r="X1570">
        <f>_xlfn.NUMBERVALUE("-1.390000")</f>
        <v/>
      </c>
      <c r="Y1570">
        <f>_xlfn.NUMBERVALUE("19.810000")</f>
        <v/>
      </c>
    </row>
    <row r="1571">
      <c r="A1571" s="1" t="n">
        <v>44281</v>
      </c>
      <c r="B1571">
        <f>_xlfn.NUMBERVALUE("-0.007260")</f>
        <v/>
      </c>
      <c r="C1571" s="2">
        <f>_xlfn.NUMBERVALUE("-0.000035")</f>
        <v/>
      </c>
      <c r="D1571">
        <f>_xlfn.NUMBERVALUE("0.000201")</f>
        <v/>
      </c>
      <c r="E1571">
        <f>_xlfn.NUMBERVALUE("-0.000819")</f>
        <v/>
      </c>
      <c r="F1571">
        <f>_xlfn.NUMBERVALUE("0.000817")</f>
        <v/>
      </c>
      <c r="G1571">
        <f>_xlfn.NUMBERVALUE("0.000168")</f>
        <v/>
      </c>
      <c r="H1571">
        <f>_xlfn.NUMBERVALUE("0.000311")</f>
        <v/>
      </c>
      <c r="I1571">
        <f>_xlfn.NUMBERVALUE("0.002208")</f>
        <v/>
      </c>
      <c r="J1571">
        <f>_xlfn.NUMBERVALUE("-0.000214")</f>
        <v/>
      </c>
      <c r="K1571">
        <f>_xlfn.NUMBERVALUE("0.004266")</f>
        <v/>
      </c>
      <c r="L1571">
        <f>_xlfn.NUMBERVALUE("0.001187")</f>
        <v/>
      </c>
      <c r="M1571">
        <f>_xlfn.NUMBERVALUE("-0.001754")</f>
        <v/>
      </c>
      <c r="N1571">
        <f>_xlfn.NUMBERVALUE("-0.001498")</f>
        <v/>
      </c>
      <c r="O1571">
        <f>_xlfn.NUMBERVALUE("0.000777")</f>
        <v/>
      </c>
      <c r="P1571">
        <f>_xlfn.NUMBERVALUE("0.000484")</f>
        <v/>
      </c>
      <c r="Q1571">
        <f>_xlfn.NUMBERVALUE("-0.001004")</f>
        <v/>
      </c>
      <c r="R1571">
        <f>_xlfn.NUMBERVALUE("-0.000081")</f>
        <v/>
      </c>
      <c r="S1571">
        <f>_xlfn.NUMBERVALUE("-0.000729")</f>
        <v/>
      </c>
      <c r="T1571">
        <f>_xlfn.NUMBERVALUE("0.001767")</f>
        <v/>
      </c>
      <c r="U1571">
        <f>_xlfn.NUMBERVALUE("0.002175")</f>
        <v/>
      </c>
      <c r="V1571">
        <f>_xlfn.NUMBERVALUE("-0.000861")</f>
        <v/>
      </c>
      <c r="W1571">
        <f>_xlfn.NUMBERVALUE("0.009129")</f>
        <v/>
      </c>
      <c r="X1571">
        <f>_xlfn.NUMBERVALUE("-0.950000")</f>
        <v/>
      </c>
      <c r="Y1571">
        <f>_xlfn.NUMBERVALUE("18.860000")</f>
        <v/>
      </c>
    </row>
    <row r="1572">
      <c r="A1572" s="1" t="n">
        <v>44284</v>
      </c>
      <c r="B1572">
        <f>_xlfn.NUMBERVALUE("0.006724")</f>
        <v/>
      </c>
      <c r="C1572" s="2">
        <f>_xlfn.NUMBERVALUE("0.000071")</f>
        <v/>
      </c>
      <c r="D1572">
        <f>_xlfn.NUMBERVALUE("0.000545")</f>
        <v/>
      </c>
      <c r="E1572">
        <f>_xlfn.NUMBERVALUE("0.000715")</f>
        <v/>
      </c>
      <c r="F1572">
        <f>_xlfn.NUMBERVALUE("-0.001800")</f>
        <v/>
      </c>
      <c r="G1572">
        <f>_xlfn.NUMBERVALUE("0.000222")</f>
        <v/>
      </c>
      <c r="H1572">
        <f>_xlfn.NUMBERVALUE("-0.001115")</f>
        <v/>
      </c>
      <c r="I1572">
        <f>_xlfn.NUMBERVALUE("-0.002170")</f>
        <v/>
      </c>
      <c r="J1572">
        <f>_xlfn.NUMBERVALUE("0.001292")</f>
        <v/>
      </c>
      <c r="K1572">
        <f>_xlfn.NUMBERVALUE("-0.000368")</f>
        <v/>
      </c>
      <c r="L1572">
        <f>_xlfn.NUMBERVALUE("-0.001672")</f>
        <v/>
      </c>
      <c r="M1572">
        <f>_xlfn.NUMBERVALUE("-0.000456")</f>
        <v/>
      </c>
      <c r="N1572">
        <f>_xlfn.NUMBERVALUE("0.000725")</f>
        <v/>
      </c>
      <c r="O1572">
        <f>_xlfn.NUMBERVALUE("0.002566")</f>
        <v/>
      </c>
      <c r="P1572">
        <f>_xlfn.NUMBERVALUE("0.001935")</f>
        <v/>
      </c>
      <c r="Q1572">
        <f>_xlfn.NUMBERVALUE("0.001908")</f>
        <v/>
      </c>
      <c r="R1572">
        <f>_xlfn.NUMBERVALUE("0.000587")</f>
        <v/>
      </c>
      <c r="S1572">
        <f>_xlfn.NUMBERVALUE("-0.002312")</f>
        <v/>
      </c>
      <c r="T1572">
        <f>_xlfn.NUMBERVALUE("-0.001765")</f>
        <v/>
      </c>
      <c r="U1572">
        <f>_xlfn.NUMBERVALUE("0.002872")</f>
        <v/>
      </c>
      <c r="V1572">
        <f>_xlfn.NUMBERVALUE("-0.000842")</f>
        <v/>
      </c>
      <c r="W1572">
        <f>_xlfn.NUMBERVALUE("0.005819")</f>
        <v/>
      </c>
      <c r="X1572">
        <f>_xlfn.NUMBERVALUE("1.880000")</f>
        <v/>
      </c>
      <c r="Y1572">
        <f>_xlfn.NUMBERVALUE("20.740000")</f>
        <v/>
      </c>
    </row>
    <row r="1573">
      <c r="A1573" s="1" t="n">
        <v>44285</v>
      </c>
      <c r="B1573">
        <f>_xlfn.NUMBERVALUE("0.006562")</f>
        <v/>
      </c>
      <c r="C1573" s="2">
        <f>_xlfn.NUMBERVALUE("0.000931")</f>
        <v/>
      </c>
      <c r="D1573">
        <f>_xlfn.NUMBERVALUE("0.001083")</f>
        <v/>
      </c>
      <c r="E1573">
        <f>_xlfn.NUMBERVALUE("0.001352")</f>
        <v/>
      </c>
      <c r="F1573">
        <f>_xlfn.NUMBERVALUE("-0.004475")</f>
        <v/>
      </c>
      <c r="G1573">
        <f>_xlfn.NUMBERVALUE("0.001858")</f>
        <v/>
      </c>
      <c r="H1573">
        <f>_xlfn.NUMBERVALUE("0.000084")</f>
        <v/>
      </c>
      <c r="I1573">
        <f>_xlfn.NUMBERVALUE("0.005885")</f>
        <v/>
      </c>
      <c r="J1573">
        <f>_xlfn.NUMBERVALUE("0.000406")</f>
        <v/>
      </c>
      <c r="K1573">
        <f>_xlfn.NUMBERVALUE("-0.005110")</f>
        <v/>
      </c>
      <c r="L1573">
        <f>_xlfn.NUMBERVALUE("0.001760")</f>
        <v/>
      </c>
      <c r="M1573">
        <f>_xlfn.NUMBERVALUE("0.003434")</f>
        <v/>
      </c>
      <c r="N1573">
        <f>_xlfn.NUMBERVALUE("0.001238")</f>
        <v/>
      </c>
      <c r="O1573">
        <f>_xlfn.NUMBERVALUE("0.002301")</f>
        <v/>
      </c>
      <c r="P1573">
        <f>_xlfn.NUMBERVALUE("0.002896")</f>
        <v/>
      </c>
      <c r="Q1573">
        <f>_xlfn.NUMBERVALUE("0.001325")</f>
        <v/>
      </c>
      <c r="R1573">
        <f>_xlfn.NUMBERVALUE("0.005051")</f>
        <v/>
      </c>
      <c r="S1573">
        <f>_xlfn.NUMBERVALUE("0.002769")</f>
        <v/>
      </c>
      <c r="T1573">
        <f>_xlfn.NUMBERVALUE("0.000095")</f>
        <v/>
      </c>
      <c r="U1573">
        <f>_xlfn.NUMBERVALUE("-0.000332")</f>
        <v/>
      </c>
      <c r="V1573">
        <f>_xlfn.NUMBERVALUE("0.002299")</f>
        <v/>
      </c>
      <c r="W1573">
        <f>_xlfn.NUMBERVALUE("-0.003006")</f>
        <v/>
      </c>
      <c r="X1573">
        <f>_xlfn.NUMBERVALUE("-1.130000")</f>
        <v/>
      </c>
      <c r="Y1573">
        <f>_xlfn.NUMBERVALUE("19.610000")</f>
        <v/>
      </c>
    </row>
    <row r="1574">
      <c r="A1574" s="1" t="n">
        <v>44286</v>
      </c>
      <c r="B1574">
        <f>_xlfn.NUMBERVALUE("0.001642")</f>
        <v/>
      </c>
      <c r="C1574" s="2">
        <f>_xlfn.NUMBERVALUE("0.000791")</f>
        <v/>
      </c>
      <c r="D1574">
        <f>_xlfn.NUMBERVALUE("0.004117")</f>
        <v/>
      </c>
      <c r="E1574">
        <f>_xlfn.NUMBERVALUE("0.002555")</f>
        <v/>
      </c>
      <c r="F1574">
        <f>_xlfn.NUMBERVALUE("0.001425")</f>
        <v/>
      </c>
      <c r="G1574">
        <f>_xlfn.NUMBERVALUE("0.001344")</f>
        <v/>
      </c>
      <c r="H1574">
        <f>_xlfn.NUMBERVALUE("0.000231")</f>
        <v/>
      </c>
      <c r="I1574">
        <f>_xlfn.NUMBERVALUE("0.002435")</f>
        <v/>
      </c>
      <c r="J1574">
        <f>_xlfn.NUMBERVALUE("0.000658")</f>
        <v/>
      </c>
      <c r="K1574">
        <f>_xlfn.NUMBERVALUE("0.002814")</f>
        <v/>
      </c>
      <c r="L1574">
        <f>_xlfn.NUMBERVALUE("-0.001903")</f>
        <v/>
      </c>
      <c r="M1574">
        <f>_xlfn.NUMBERVALUE("0.002740")</f>
        <v/>
      </c>
      <c r="N1574">
        <f>_xlfn.NUMBERVALUE("0.002093")</f>
        <v/>
      </c>
      <c r="O1574">
        <f>_xlfn.NUMBERVALUE("0.000424")</f>
        <v/>
      </c>
      <c r="P1574">
        <f>_xlfn.NUMBERVALUE("0.001770")</f>
        <v/>
      </c>
      <c r="Q1574">
        <f>_xlfn.NUMBERVALUE("0.002222")</f>
        <v/>
      </c>
      <c r="R1574">
        <f>_xlfn.NUMBERVALUE("-0.003370")</f>
        <v/>
      </c>
      <c r="S1574">
        <f>_xlfn.NUMBERVALUE("0.000927")</f>
        <v/>
      </c>
      <c r="T1574">
        <f>_xlfn.NUMBERVALUE("0.000767")</f>
        <v/>
      </c>
      <c r="U1574">
        <f>_xlfn.NUMBERVALUE("0.001243")</f>
        <v/>
      </c>
      <c r="V1574">
        <f>_xlfn.NUMBERVALUE("0.000734")</f>
        <v/>
      </c>
      <c r="W1574">
        <f>_xlfn.NUMBERVALUE("0.005245")</f>
        <v/>
      </c>
      <c r="X1574">
        <f>_xlfn.NUMBERVALUE("-0.210000")</f>
        <v/>
      </c>
      <c r="Y1574">
        <f>_xlfn.NUMBERVALUE("19.400000")</f>
        <v/>
      </c>
    </row>
    <row r="1575">
      <c r="A1575" s="1" t="n">
        <v>44287</v>
      </c>
      <c r="B1575">
        <f>_xlfn.NUMBERVALUE("0.002634")</f>
        <v/>
      </c>
      <c r="C1575" s="2">
        <f>_xlfn.NUMBERVALUE("0.000313")</f>
        <v/>
      </c>
      <c r="D1575">
        <f>_xlfn.NUMBERVALUE("0.004349")</f>
        <v/>
      </c>
      <c r="E1575">
        <f>_xlfn.NUMBERVALUE("-0.001745")</f>
        <v/>
      </c>
      <c r="F1575">
        <f>_xlfn.NUMBERVALUE("-0.003637")</f>
        <v/>
      </c>
      <c r="G1575">
        <f>_xlfn.NUMBERVALUE("-0.003539")</f>
        <v/>
      </c>
      <c r="H1575">
        <f>_xlfn.NUMBERVALUE("0.001964")</f>
        <v/>
      </c>
      <c r="I1575">
        <f>_xlfn.NUMBERVALUE("0.004404")</f>
        <v/>
      </c>
      <c r="J1575">
        <f>_xlfn.NUMBERVALUE("-0.002272")</f>
        <v/>
      </c>
      <c r="K1575">
        <f>_xlfn.NUMBERVALUE("0.003009")</f>
        <v/>
      </c>
      <c r="L1575">
        <f>_xlfn.NUMBERVALUE("0.003946")</f>
        <v/>
      </c>
      <c r="M1575">
        <f>_xlfn.NUMBERVALUE("0.002910")</f>
        <v/>
      </c>
      <c r="N1575">
        <f>_xlfn.NUMBERVALUE("0.001518")</f>
        <v/>
      </c>
      <c r="O1575">
        <f>_xlfn.NUMBERVALUE("0.002593")</f>
        <v/>
      </c>
      <c r="P1575">
        <f>_xlfn.NUMBERVALUE("0.002721")</f>
        <v/>
      </c>
      <c r="Q1575">
        <f>_xlfn.NUMBERVALUE("0.002100")</f>
        <v/>
      </c>
      <c r="R1575">
        <f>_xlfn.NUMBERVALUE("-0.000050")</f>
        <v/>
      </c>
      <c r="S1575">
        <f>_xlfn.NUMBERVALUE("-0.000833")</f>
        <v/>
      </c>
      <c r="T1575">
        <f>_xlfn.NUMBERVALUE("0.001629")</f>
        <v/>
      </c>
      <c r="U1575">
        <f>_xlfn.NUMBERVALUE("0.002305")</f>
        <v/>
      </c>
      <c r="V1575">
        <f>_xlfn.NUMBERVALUE("0.000234")</f>
        <v/>
      </c>
      <c r="W1575">
        <f>_xlfn.NUMBERVALUE("0.007839")</f>
        <v/>
      </c>
      <c r="X1575">
        <f>_xlfn.NUMBERVALUE("-2.070000")</f>
        <v/>
      </c>
      <c r="Y1575">
        <f>_xlfn.NUMBERVALUE("17.330000")</f>
        <v/>
      </c>
    </row>
    <row r="1576">
      <c r="A1576" s="1" t="n">
        <v>44291</v>
      </c>
      <c r="B1576">
        <f>_xlfn.NUMBERVALUE("0.004721")</f>
        <v/>
      </c>
      <c r="C1576" s="2">
        <f>_xlfn.NUMBERVALUE("-0.000148")</f>
        <v/>
      </c>
      <c r="D1576">
        <f>_xlfn.NUMBERVALUE("0.006067")</f>
        <v/>
      </c>
      <c r="E1576">
        <f>_xlfn.NUMBERVALUE("-0.001220")</f>
        <v/>
      </c>
      <c r="F1576">
        <f>_xlfn.NUMBERVALUE("0.003197")</f>
        <v/>
      </c>
      <c r="G1576">
        <f>_xlfn.NUMBERVALUE("0.000951")</f>
        <v/>
      </c>
      <c r="H1576">
        <f>_xlfn.NUMBERVALUE("0.000712")</f>
        <v/>
      </c>
      <c r="I1576">
        <f>_xlfn.NUMBERVALUE("0.004107")</f>
        <v/>
      </c>
      <c r="J1576">
        <f>_xlfn.NUMBERVALUE("0.001870")</f>
        <v/>
      </c>
      <c r="K1576">
        <f>_xlfn.NUMBERVALUE("0.006188")</f>
        <v/>
      </c>
      <c r="L1576">
        <f>_xlfn.NUMBERVALUE("0.004132")</f>
        <v/>
      </c>
      <c r="M1576">
        <f>_xlfn.NUMBERVALUE("-0.001696")</f>
        <v/>
      </c>
      <c r="N1576">
        <f>_xlfn.NUMBERVALUE("-0.005853")</f>
        <v/>
      </c>
      <c r="O1576">
        <f>_xlfn.NUMBERVALUE("-0.000088")</f>
        <v/>
      </c>
      <c r="P1576">
        <f>_xlfn.NUMBERVALUE("0.001819")</f>
        <v/>
      </c>
      <c r="Q1576">
        <f>_xlfn.NUMBERVALUE("-0.004529")</f>
        <v/>
      </c>
      <c r="R1576">
        <f>_xlfn.NUMBERVALUE("-0.001668")</f>
        <v/>
      </c>
      <c r="S1576">
        <f>_xlfn.NUMBERVALUE("0.000185")</f>
        <v/>
      </c>
      <c r="T1576">
        <f>_xlfn.NUMBERVALUE("-0.000990")</f>
        <v/>
      </c>
      <c r="U1576">
        <f>_xlfn.NUMBERVALUE("-0.003049")</f>
        <v/>
      </c>
      <c r="V1576">
        <f>_xlfn.NUMBERVALUE("-0.000257")</f>
        <v/>
      </c>
      <c r="W1576">
        <f>_xlfn.NUMBERVALUE("0.016407")</f>
        <v/>
      </c>
      <c r="X1576">
        <f>_xlfn.NUMBERVALUE("0.580000")</f>
        <v/>
      </c>
      <c r="Y1576">
        <f>_xlfn.NUMBERVALUE("17.910000")</f>
        <v/>
      </c>
    </row>
    <row r="1577">
      <c r="A1577" s="1" t="n">
        <v>44292</v>
      </c>
      <c r="B1577">
        <f>_xlfn.NUMBERVALUE("0.002934")</f>
        <v/>
      </c>
      <c r="C1577" s="2">
        <f>_xlfn.NUMBERVALUE("-0.000025")</f>
        <v/>
      </c>
      <c r="D1577">
        <f>_xlfn.NUMBERVALUE("0.001183")</f>
        <v/>
      </c>
      <c r="E1577">
        <f>_xlfn.NUMBERVALUE("-0.000214")</f>
        <v/>
      </c>
      <c r="F1577">
        <f>_xlfn.NUMBERVALUE("-0.000487")</f>
        <v/>
      </c>
      <c r="G1577">
        <f>_xlfn.NUMBERVALUE("-0.000195")</f>
        <v/>
      </c>
      <c r="H1577">
        <f>_xlfn.NUMBERVALUE("0.000217")</f>
        <v/>
      </c>
      <c r="I1577">
        <f>_xlfn.NUMBERVALUE("0.000326")</f>
        <v/>
      </c>
      <c r="J1577">
        <f>_xlfn.NUMBERVALUE("-0.001792")</f>
        <v/>
      </c>
      <c r="K1577">
        <f>_xlfn.NUMBERVALUE("0.004976")</f>
        <v/>
      </c>
      <c r="L1577">
        <f>_xlfn.NUMBERVALUE("0.000838")</f>
        <v/>
      </c>
      <c r="M1577">
        <f>_xlfn.NUMBERVALUE("0.000835")</f>
        <v/>
      </c>
      <c r="N1577">
        <f>_xlfn.NUMBERVALUE("0.002824")</f>
        <v/>
      </c>
      <c r="O1577">
        <f>_xlfn.NUMBERVALUE("-0.000005")</f>
        <v/>
      </c>
      <c r="P1577">
        <f>_xlfn.NUMBERVALUE("0.003377")</f>
        <v/>
      </c>
      <c r="Q1577">
        <f>_xlfn.NUMBERVALUE("0.004738")</f>
        <v/>
      </c>
      <c r="R1577">
        <f>_xlfn.NUMBERVALUE("0.000181")</f>
        <v/>
      </c>
      <c r="S1577">
        <f>_xlfn.NUMBERVALUE("-0.000250")</f>
        <v/>
      </c>
      <c r="T1577">
        <f>_xlfn.NUMBERVALUE("0.000175")</f>
        <v/>
      </c>
      <c r="U1577">
        <f>_xlfn.NUMBERVALUE("0.001969")</f>
        <v/>
      </c>
      <c r="V1577">
        <f>_xlfn.NUMBERVALUE("-0.000033")</f>
        <v/>
      </c>
      <c r="W1577">
        <f>_xlfn.NUMBERVALUE("-0.000615")</f>
        <v/>
      </c>
      <c r="X1577">
        <f>_xlfn.NUMBERVALUE("0.210000")</f>
        <v/>
      </c>
      <c r="Y1577">
        <f>_xlfn.NUMBERVALUE("18.120000")</f>
        <v/>
      </c>
    </row>
    <row r="1578">
      <c r="A1578" s="1" t="n">
        <v>44293</v>
      </c>
      <c r="B1578">
        <f>_xlfn.NUMBERVALUE("0.001783")</f>
        <v/>
      </c>
      <c r="C1578" s="2">
        <f>_xlfn.NUMBERVALUE("0.001612")</f>
        <v/>
      </c>
      <c r="D1578">
        <f>_xlfn.NUMBERVALUE("-0.001561")</f>
        <v/>
      </c>
      <c r="E1578">
        <f>_xlfn.NUMBERVALUE("0.000923")</f>
        <v/>
      </c>
      <c r="F1578">
        <f>_xlfn.NUMBERVALUE("0.001899")</f>
        <v/>
      </c>
      <c r="G1578">
        <f>_xlfn.NUMBERVALUE("0.000936")</f>
        <v/>
      </c>
      <c r="H1578">
        <f>_xlfn.NUMBERVALUE("-0.000655")</f>
        <v/>
      </c>
      <c r="I1578">
        <f>_xlfn.NUMBERVALUE("-0.000406")</f>
        <v/>
      </c>
      <c r="J1578">
        <f>_xlfn.NUMBERVALUE("0.000309")</f>
        <v/>
      </c>
      <c r="K1578">
        <f>_xlfn.NUMBERVALUE("0.002917")</f>
        <v/>
      </c>
      <c r="L1578">
        <f>_xlfn.NUMBERVALUE("-0.000423")</f>
        <v/>
      </c>
      <c r="M1578">
        <f>_xlfn.NUMBERVALUE("-0.000734")</f>
        <v/>
      </c>
      <c r="N1578">
        <f>_xlfn.NUMBERVALUE("-0.000387")</f>
        <v/>
      </c>
      <c r="O1578">
        <f>_xlfn.NUMBERVALUE("0.000236")</f>
        <v/>
      </c>
      <c r="P1578">
        <f>_xlfn.NUMBERVALUE("0.001981")</f>
        <v/>
      </c>
      <c r="Q1578">
        <f>_xlfn.NUMBERVALUE("0.000475")</f>
        <v/>
      </c>
      <c r="R1578">
        <f>_xlfn.NUMBERVALUE("0.000456")</f>
        <v/>
      </c>
      <c r="S1578">
        <f>_xlfn.NUMBERVALUE("0.000001")</f>
        <v/>
      </c>
      <c r="T1578">
        <f>_xlfn.NUMBERVALUE("0.000001")</f>
        <v/>
      </c>
      <c r="U1578">
        <f>_xlfn.NUMBERVALUE("-0.001792")</f>
        <v/>
      </c>
      <c r="V1578">
        <f>_xlfn.NUMBERVALUE("0.001860")</f>
        <v/>
      </c>
      <c r="W1578">
        <f>_xlfn.NUMBERVALUE("0.001897")</f>
        <v/>
      </c>
      <c r="X1578">
        <f>_xlfn.NUMBERVALUE("-0.960000")</f>
        <v/>
      </c>
      <c r="Y1578">
        <f>_xlfn.NUMBERVALUE("17.160000")</f>
        <v/>
      </c>
    </row>
    <row r="1579">
      <c r="A1579" s="1" t="n">
        <v>44294</v>
      </c>
      <c r="B1579">
        <f>_xlfn.NUMBERVALUE("-0.001343")</f>
        <v/>
      </c>
      <c r="C1579" s="2">
        <f>_xlfn.NUMBERVALUE("0.000618")</f>
        <v/>
      </c>
      <c r="D1579">
        <f>_xlfn.NUMBERVALUE("0.000029")</f>
        <v/>
      </c>
      <c r="E1579">
        <f>_xlfn.NUMBERVALUE("-0.000615")</f>
        <v/>
      </c>
      <c r="F1579">
        <f>_xlfn.NUMBERVALUE("0.000230")</f>
        <v/>
      </c>
      <c r="G1579">
        <f>_xlfn.NUMBERVALUE("0.000330")</f>
        <v/>
      </c>
      <c r="H1579">
        <f>_xlfn.NUMBERVALUE("0.000196")</f>
        <v/>
      </c>
      <c r="I1579">
        <f>_xlfn.NUMBERVALUE("-0.000445")</f>
        <v/>
      </c>
      <c r="J1579">
        <f>_xlfn.NUMBERVALUE("-0.000365")</f>
        <v/>
      </c>
      <c r="K1579">
        <f>_xlfn.NUMBERVALUE("0.004403")</f>
        <v/>
      </c>
      <c r="L1579">
        <f>_xlfn.NUMBERVALUE("0.001418")</f>
        <v/>
      </c>
      <c r="M1579">
        <f>_xlfn.NUMBERVALUE("0.001285")</f>
        <v/>
      </c>
      <c r="N1579">
        <f>_xlfn.NUMBERVALUE("0.001066")</f>
        <v/>
      </c>
      <c r="O1579">
        <f>_xlfn.NUMBERVALUE("-0.000004")</f>
        <v/>
      </c>
      <c r="P1579">
        <f>_xlfn.NUMBERVALUE("0.002482")</f>
        <v/>
      </c>
      <c r="Q1579">
        <f>_xlfn.NUMBERVALUE("-0.000246")</f>
        <v/>
      </c>
      <c r="R1579">
        <f>_xlfn.NUMBERVALUE("-0.000436")</f>
        <v/>
      </c>
      <c r="S1579">
        <f>_xlfn.NUMBERVALUE("-0.000000")</f>
        <v/>
      </c>
      <c r="T1579">
        <f>_xlfn.NUMBERVALUE("-0.000162")</f>
        <v/>
      </c>
      <c r="U1579">
        <f>_xlfn.NUMBERVALUE("-0.000294")</f>
        <v/>
      </c>
      <c r="V1579">
        <f>_xlfn.NUMBERVALUE("-0.000318")</f>
        <v/>
      </c>
      <c r="W1579">
        <f>_xlfn.NUMBERVALUE("0.003910")</f>
        <v/>
      </c>
      <c r="X1579">
        <f>_xlfn.NUMBERVALUE("-0.210000")</f>
        <v/>
      </c>
      <c r="Y1579">
        <f>_xlfn.NUMBERVALUE("16.950000")</f>
        <v/>
      </c>
    </row>
    <row r="1580">
      <c r="A1580" s="1" t="n">
        <v>44295</v>
      </c>
      <c r="B1580">
        <f>_xlfn.NUMBERVALUE("0.004656")</f>
        <v/>
      </c>
      <c r="C1580" s="2">
        <f>_xlfn.NUMBERVALUE("-0.000091")</f>
        <v/>
      </c>
      <c r="D1580">
        <f>_xlfn.NUMBERVALUE("-0.000930")</f>
        <v/>
      </c>
      <c r="E1580">
        <f>_xlfn.NUMBERVALUE("-0.000074")</f>
        <v/>
      </c>
      <c r="F1580">
        <f>_xlfn.NUMBERVALUE("0.000782")</f>
        <v/>
      </c>
      <c r="G1580">
        <f>_xlfn.NUMBERVALUE("-0.000012")</f>
        <v/>
      </c>
      <c r="H1580">
        <f>_xlfn.NUMBERVALUE("0.000995")</f>
        <v/>
      </c>
      <c r="I1580">
        <f>_xlfn.NUMBERVALUE("0.001693")</f>
        <v/>
      </c>
      <c r="J1580">
        <f>_xlfn.NUMBERVALUE("-0.000127")</f>
        <v/>
      </c>
      <c r="K1580">
        <f>_xlfn.NUMBERVALUE("0.003412")</f>
        <v/>
      </c>
      <c r="L1580">
        <f>_xlfn.NUMBERVALUE("0.001503")</f>
        <v/>
      </c>
      <c r="M1580">
        <f>_xlfn.NUMBERVALUE("-0.000209")</f>
        <v/>
      </c>
      <c r="N1580">
        <f>_xlfn.NUMBERVALUE("0.002316")</f>
        <v/>
      </c>
      <c r="O1580">
        <f>_xlfn.NUMBERVALUE("-0.000000")</f>
        <v/>
      </c>
      <c r="P1580">
        <f>_xlfn.NUMBERVALUE("-0.000397")</f>
        <v/>
      </c>
      <c r="Q1580">
        <f>_xlfn.NUMBERVALUE("-0.000002")</f>
        <v/>
      </c>
      <c r="R1580">
        <f>_xlfn.NUMBERVALUE("-0.000116")</f>
        <v/>
      </c>
      <c r="S1580">
        <f>_xlfn.NUMBERVALUE("-0.000152")</f>
        <v/>
      </c>
      <c r="T1580">
        <f>_xlfn.NUMBERVALUE("0.000000")</f>
        <v/>
      </c>
      <c r="U1580">
        <f>_xlfn.NUMBERVALUE("0.000000")</f>
        <v/>
      </c>
      <c r="V1580">
        <f>_xlfn.NUMBERVALUE("-0.000235")</f>
        <v/>
      </c>
      <c r="W1580">
        <f>_xlfn.NUMBERVALUE("0.006320")</f>
        <v/>
      </c>
      <c r="X1580">
        <f>_xlfn.NUMBERVALUE("-0.260000")</f>
        <v/>
      </c>
      <c r="Y1580">
        <f>_xlfn.NUMBERVALUE("16.690000")</f>
        <v/>
      </c>
    </row>
    <row r="1581">
      <c r="A1581" s="1" t="n">
        <v>44298</v>
      </c>
      <c r="B1581">
        <f>_xlfn.NUMBERVALUE("0.007533")</f>
        <v/>
      </c>
      <c r="C1581" s="2">
        <f>_xlfn.NUMBERVALUE("0.000467")</f>
        <v/>
      </c>
      <c r="D1581">
        <f>_xlfn.NUMBERVALUE("0.000979")</f>
        <v/>
      </c>
      <c r="E1581">
        <f>_xlfn.NUMBERVALUE("0.000326")</f>
        <v/>
      </c>
      <c r="F1581">
        <f>_xlfn.NUMBERVALUE("0.001146")</f>
        <v/>
      </c>
      <c r="G1581">
        <f>_xlfn.NUMBERVALUE("0.000487")</f>
        <v/>
      </c>
      <c r="H1581">
        <f>_xlfn.NUMBERVALUE("0.000441")</f>
        <v/>
      </c>
      <c r="I1581">
        <f>_xlfn.NUMBERVALUE("0.001322")</f>
        <v/>
      </c>
      <c r="J1581">
        <f>_xlfn.NUMBERVALUE("0.000326")</f>
        <v/>
      </c>
      <c r="K1581">
        <f>_xlfn.NUMBERVALUE("0.001284")</f>
        <v/>
      </c>
      <c r="L1581">
        <f>_xlfn.NUMBERVALUE("-0.000429")</f>
        <v/>
      </c>
      <c r="M1581">
        <f>_xlfn.NUMBERVALUE("0.001090")</f>
        <v/>
      </c>
      <c r="N1581">
        <f>_xlfn.NUMBERVALUE("0.003426")</f>
        <v/>
      </c>
      <c r="O1581">
        <f>_xlfn.NUMBERVALUE("0.001434")</f>
        <v/>
      </c>
      <c r="P1581">
        <f>_xlfn.NUMBERVALUE("0.000828")</f>
        <v/>
      </c>
      <c r="Q1581">
        <f>_xlfn.NUMBERVALUE("0.000158")</f>
        <v/>
      </c>
      <c r="R1581">
        <f>_xlfn.NUMBERVALUE("0.001486")</f>
        <v/>
      </c>
      <c r="S1581">
        <f>_xlfn.NUMBERVALUE("-0.000398")</f>
        <v/>
      </c>
      <c r="T1581">
        <f>_xlfn.NUMBERVALUE("-0.000630")</f>
        <v/>
      </c>
      <c r="U1581">
        <f>_xlfn.NUMBERVALUE("0.000083")</f>
        <v/>
      </c>
      <c r="V1581">
        <f>_xlfn.NUMBERVALUE("0.000073")</f>
        <v/>
      </c>
      <c r="W1581">
        <f>_xlfn.NUMBERVALUE("0.002166")</f>
        <v/>
      </c>
      <c r="X1581">
        <f>_xlfn.NUMBERVALUE("0.220000")</f>
        <v/>
      </c>
      <c r="Y1581">
        <f>_xlfn.NUMBERVALUE("16.910000")</f>
        <v/>
      </c>
    </row>
    <row r="1582">
      <c r="A1582" s="1" t="n">
        <v>44299</v>
      </c>
      <c r="B1582">
        <f>_xlfn.NUMBERVALUE("-0.002768")</f>
        <v/>
      </c>
      <c r="C1582" s="2">
        <f>_xlfn.NUMBERVALUE("0.000158")</f>
        <v/>
      </c>
      <c r="D1582">
        <f>_xlfn.NUMBERVALUE("0.000744")</f>
        <v/>
      </c>
      <c r="E1582">
        <f>_xlfn.NUMBERVALUE("0.000704")</f>
        <v/>
      </c>
      <c r="F1582">
        <f>_xlfn.NUMBERVALUE("0.000656")</f>
        <v/>
      </c>
      <c r="G1582">
        <f>_xlfn.NUMBERVALUE("0.000424")</f>
        <v/>
      </c>
      <c r="H1582">
        <f>_xlfn.NUMBERVALUE("0.000325")</f>
        <v/>
      </c>
      <c r="I1582">
        <f>_xlfn.NUMBERVALUE("0.001849")</f>
        <v/>
      </c>
      <c r="J1582">
        <f>_xlfn.NUMBERVALUE("0.000153")</f>
        <v/>
      </c>
      <c r="K1582">
        <f>_xlfn.NUMBERVALUE("0.000141")</f>
        <v/>
      </c>
      <c r="L1582">
        <f>_xlfn.NUMBERVALUE("0.001733")</f>
        <v/>
      </c>
      <c r="M1582">
        <f>_xlfn.NUMBERVALUE("0.001220")</f>
        <v/>
      </c>
      <c r="N1582">
        <f>_xlfn.NUMBERVALUE("0.003105")</f>
        <v/>
      </c>
      <c r="O1582">
        <f>_xlfn.NUMBERVALUE("0.001281")</f>
        <v/>
      </c>
      <c r="P1582">
        <f>_xlfn.NUMBERVALUE("0.000360")</f>
        <v/>
      </c>
      <c r="Q1582">
        <f>_xlfn.NUMBERVALUE("0.001386")</f>
        <v/>
      </c>
      <c r="R1582">
        <f>_xlfn.NUMBERVALUE("-0.000378")</f>
        <v/>
      </c>
      <c r="S1582">
        <f>_xlfn.NUMBERVALUE("0.000959")</f>
        <v/>
      </c>
      <c r="T1582">
        <f>_xlfn.NUMBERVALUE("0.000073")</f>
        <v/>
      </c>
      <c r="U1582">
        <f>_xlfn.NUMBERVALUE("-0.000055")</f>
        <v/>
      </c>
      <c r="V1582">
        <f>_xlfn.NUMBERVALUE("0.000067")</f>
        <v/>
      </c>
      <c r="W1582">
        <f>_xlfn.NUMBERVALUE("0.003012")</f>
        <v/>
      </c>
      <c r="X1582">
        <f>_xlfn.NUMBERVALUE("-0.260000")</f>
        <v/>
      </c>
      <c r="Y1582">
        <f>_xlfn.NUMBERVALUE("16.650000")</f>
        <v/>
      </c>
    </row>
    <row r="1583">
      <c r="A1583" s="1" t="n">
        <v>44300</v>
      </c>
      <c r="B1583">
        <f>_xlfn.NUMBERVALUE("0.001870")</f>
        <v/>
      </c>
      <c r="C1583" s="2">
        <f>_xlfn.NUMBERVALUE("0.000174")</f>
        <v/>
      </c>
      <c r="D1583">
        <f>_xlfn.NUMBERVALUE("0.000545")</f>
        <v/>
      </c>
      <c r="E1583">
        <f>_xlfn.NUMBERVALUE("0.000189")</f>
        <v/>
      </c>
      <c r="F1583">
        <f>_xlfn.NUMBERVALUE("0.000027")</f>
        <v/>
      </c>
      <c r="G1583">
        <f>_xlfn.NUMBERVALUE("-0.000090")</f>
        <v/>
      </c>
      <c r="H1583">
        <f>_xlfn.NUMBERVALUE("0.000685")</f>
        <v/>
      </c>
      <c r="I1583">
        <f>_xlfn.NUMBERVALUE("0.000176")</f>
        <v/>
      </c>
      <c r="J1583">
        <f>_xlfn.NUMBERVALUE("0.000605")</f>
        <v/>
      </c>
      <c r="K1583">
        <f>_xlfn.NUMBERVALUE("0.002474")</f>
        <v/>
      </c>
      <c r="L1583">
        <f>_xlfn.NUMBERVALUE("0.001438")</f>
        <v/>
      </c>
      <c r="M1583">
        <f>_xlfn.NUMBERVALUE("0.000083")</f>
        <v/>
      </c>
      <c r="N1583">
        <f>_xlfn.NUMBERVALUE("0.000432")</f>
        <v/>
      </c>
      <c r="O1583">
        <f>_xlfn.NUMBERVALUE("-0.002928")</f>
        <v/>
      </c>
      <c r="P1583">
        <f>_xlfn.NUMBERVALUE("0.000529")</f>
        <v/>
      </c>
      <c r="Q1583">
        <f>_xlfn.NUMBERVALUE("0.000035")</f>
        <v/>
      </c>
      <c r="R1583">
        <f>_xlfn.NUMBERVALUE("-0.000656")</f>
        <v/>
      </c>
      <c r="S1583">
        <f>_xlfn.NUMBERVALUE("0.000382")</f>
        <v/>
      </c>
      <c r="T1583">
        <f>_xlfn.NUMBERVALUE("0.001142")</f>
        <v/>
      </c>
      <c r="U1583">
        <f>_xlfn.NUMBERVALUE("-0.000210")</f>
        <v/>
      </c>
      <c r="V1583">
        <f>_xlfn.NUMBERVALUE("0.000010")</f>
        <v/>
      </c>
      <c r="W1583">
        <f>_xlfn.NUMBERVALUE("-0.004480")</f>
        <v/>
      </c>
      <c r="X1583">
        <f>_xlfn.NUMBERVALUE("0.340000")</f>
        <v/>
      </c>
      <c r="Y1583">
        <f>_xlfn.NUMBERVALUE("16.990000")</f>
        <v/>
      </c>
    </row>
    <row r="1584">
      <c r="A1584" s="1" t="n">
        <v>44301</v>
      </c>
      <c r="B1584">
        <f>_xlfn.NUMBERVALUE("0.002275")</f>
        <v/>
      </c>
      <c r="C1584" s="2">
        <f>_xlfn.NUMBERVALUE("-0.000893")</f>
        <v/>
      </c>
      <c r="D1584">
        <f>_xlfn.NUMBERVALUE("0.001529")</f>
        <v/>
      </c>
      <c r="E1584">
        <f>_xlfn.NUMBERVALUE("-0.000998")</f>
        <v/>
      </c>
      <c r="F1584">
        <f>_xlfn.NUMBERVALUE("-0.004674")</f>
        <v/>
      </c>
      <c r="G1584">
        <f>_xlfn.NUMBERVALUE("0.000107")</f>
        <v/>
      </c>
      <c r="H1584">
        <f>_xlfn.NUMBERVALUE("-0.001753")</f>
        <v/>
      </c>
      <c r="I1584">
        <f>_xlfn.NUMBERVALUE("0.003612")</f>
        <v/>
      </c>
      <c r="J1584">
        <f>_xlfn.NUMBERVALUE("-0.000451")</f>
        <v/>
      </c>
      <c r="K1584">
        <f>_xlfn.NUMBERVALUE("-0.006723")</f>
        <v/>
      </c>
      <c r="L1584">
        <f>_xlfn.NUMBERVALUE("-0.004394")</f>
        <v/>
      </c>
      <c r="M1584">
        <f>_xlfn.NUMBERVALUE("0.000797")</f>
        <v/>
      </c>
      <c r="N1584">
        <f>_xlfn.NUMBERVALUE("-0.003852")</f>
        <v/>
      </c>
      <c r="O1584">
        <f>_xlfn.NUMBERVALUE("0.003449")</f>
        <v/>
      </c>
      <c r="P1584">
        <f>_xlfn.NUMBERVALUE("0.002106")</f>
        <v/>
      </c>
      <c r="Q1584">
        <f>_xlfn.NUMBERVALUE("0.001899")</f>
        <v/>
      </c>
      <c r="R1584">
        <f>_xlfn.NUMBERVALUE("-0.002222")</f>
        <v/>
      </c>
      <c r="S1584">
        <f>_xlfn.NUMBERVALUE("0.000099")</f>
        <v/>
      </c>
      <c r="T1584">
        <f>_xlfn.NUMBERVALUE("-0.001112")</f>
        <v/>
      </c>
      <c r="U1584">
        <f>_xlfn.NUMBERVALUE("0.001062")</f>
        <v/>
      </c>
      <c r="V1584">
        <f>_xlfn.NUMBERVALUE("-0.001291")</f>
        <v/>
      </c>
      <c r="W1584">
        <f>_xlfn.NUMBERVALUE("0.012017")</f>
        <v/>
      </c>
      <c r="X1584">
        <f>_xlfn.NUMBERVALUE("-0.420000")</f>
        <v/>
      </c>
      <c r="Y1584">
        <f>_xlfn.NUMBERVALUE("16.570000")</f>
        <v/>
      </c>
    </row>
    <row r="1585">
      <c r="A1585" s="1" t="n">
        <v>44302</v>
      </c>
      <c r="B1585">
        <f>_xlfn.NUMBERVALUE("-0.001355")</f>
        <v/>
      </c>
      <c r="C1585" s="2">
        <f>_xlfn.NUMBERVALUE("0.000290")</f>
        <v/>
      </c>
      <c r="D1585">
        <f>_xlfn.NUMBERVALUE("0.001851")</f>
        <v/>
      </c>
      <c r="E1585">
        <f>_xlfn.NUMBERVALUE("-0.000491")</f>
        <v/>
      </c>
      <c r="F1585">
        <f>_xlfn.NUMBERVALUE("0.000177")</f>
        <v/>
      </c>
      <c r="G1585">
        <f>_xlfn.NUMBERVALUE("0.000164")</f>
        <v/>
      </c>
      <c r="H1585">
        <f>_xlfn.NUMBERVALUE("0.000038")</f>
        <v/>
      </c>
      <c r="I1585">
        <f>_xlfn.NUMBERVALUE("0.003347")</f>
        <v/>
      </c>
      <c r="J1585">
        <f>_xlfn.NUMBERVALUE("-0.001213")</f>
        <v/>
      </c>
      <c r="K1585">
        <f>_xlfn.NUMBERVALUE("0.003188")</f>
        <v/>
      </c>
      <c r="L1585">
        <f>_xlfn.NUMBERVALUE("0.000415")</f>
        <v/>
      </c>
      <c r="M1585">
        <f>_xlfn.NUMBERVALUE("-0.001652")</f>
        <v/>
      </c>
      <c r="N1585">
        <f>_xlfn.NUMBERVALUE("0.001425")</f>
        <v/>
      </c>
      <c r="O1585">
        <f>_xlfn.NUMBERVALUE("0.002004")</f>
        <v/>
      </c>
      <c r="P1585">
        <f>_xlfn.NUMBERVALUE("0.001968")</f>
        <v/>
      </c>
      <c r="Q1585">
        <f>_xlfn.NUMBERVALUE("0.001035")</f>
        <v/>
      </c>
      <c r="R1585">
        <f>_xlfn.NUMBERVALUE("0.002896")</f>
        <v/>
      </c>
      <c r="S1585">
        <f>_xlfn.NUMBERVALUE("0.002494")</f>
        <v/>
      </c>
      <c r="T1585">
        <f>_xlfn.NUMBERVALUE("-0.000223")</f>
        <v/>
      </c>
      <c r="U1585">
        <f>_xlfn.NUMBERVALUE("0.000666")</f>
        <v/>
      </c>
      <c r="V1585">
        <f>_xlfn.NUMBERVALUE("0.000213")</f>
        <v/>
      </c>
      <c r="W1585">
        <f>_xlfn.NUMBERVALUE("0.003413")</f>
        <v/>
      </c>
      <c r="X1585">
        <f>_xlfn.NUMBERVALUE("-0.320000")</f>
        <v/>
      </c>
      <c r="Y1585">
        <f>_xlfn.NUMBERVALUE("16.250000")</f>
        <v/>
      </c>
    </row>
    <row r="1586">
      <c r="A1586" s="1" t="n">
        <v>44305</v>
      </c>
      <c r="B1586">
        <f>_xlfn.NUMBERVALUE("-0.008826")</f>
        <v/>
      </c>
      <c r="C1586" s="2">
        <f>_xlfn.NUMBERVALUE("0.000328")</f>
        <v/>
      </c>
      <c r="D1586">
        <f>_xlfn.NUMBERVALUE("-0.000229")</f>
        <v/>
      </c>
      <c r="E1586">
        <f>_xlfn.NUMBERVALUE("-0.000044")</f>
        <v/>
      </c>
      <c r="F1586">
        <f>_xlfn.NUMBERVALUE("0.000442")</f>
        <v/>
      </c>
      <c r="G1586">
        <f>_xlfn.NUMBERVALUE("0.000563")</f>
        <v/>
      </c>
      <c r="H1586">
        <f>_xlfn.NUMBERVALUE("0.000248")</f>
        <v/>
      </c>
      <c r="I1586">
        <f>_xlfn.NUMBERVALUE("-0.002679")</f>
        <v/>
      </c>
      <c r="J1586">
        <f>_xlfn.NUMBERVALUE("0.000831")</f>
        <v/>
      </c>
      <c r="K1586">
        <f>_xlfn.NUMBERVALUE("0.001899")</f>
        <v/>
      </c>
      <c r="L1586">
        <f>_xlfn.NUMBERVALUE("0.001175")</f>
        <v/>
      </c>
      <c r="M1586">
        <f>_xlfn.NUMBERVALUE("-0.000223")</f>
        <v/>
      </c>
      <c r="N1586">
        <f>_xlfn.NUMBERVALUE("0.000185")</f>
        <v/>
      </c>
      <c r="O1586">
        <f>_xlfn.NUMBERVALUE("0.000615")</f>
        <v/>
      </c>
      <c r="P1586">
        <f>_xlfn.NUMBERVALUE("-0.000516")</f>
        <v/>
      </c>
      <c r="Q1586">
        <f>_xlfn.NUMBERVALUE("-0.001232")</f>
        <v/>
      </c>
      <c r="R1586">
        <f>_xlfn.NUMBERVALUE("-0.001650")</f>
        <v/>
      </c>
      <c r="S1586">
        <f>_xlfn.NUMBERVALUE("-0.001616")</f>
        <v/>
      </c>
      <c r="T1586">
        <f>_xlfn.NUMBERVALUE("-0.000946")</f>
        <v/>
      </c>
      <c r="U1586">
        <f>_xlfn.NUMBERVALUE("-0.003444")</f>
        <v/>
      </c>
      <c r="V1586">
        <f>_xlfn.NUMBERVALUE("-0.000271")</f>
        <v/>
      </c>
      <c r="W1586">
        <f>_xlfn.NUMBERVALUE("-0.006587")</f>
        <v/>
      </c>
      <c r="X1586">
        <f>_xlfn.NUMBERVALUE("1.040000")</f>
        <v/>
      </c>
      <c r="Y1586">
        <f>_xlfn.NUMBERVALUE("17.290000")</f>
        <v/>
      </c>
    </row>
    <row r="1587">
      <c r="A1587" s="1" t="n">
        <v>44306</v>
      </c>
      <c r="B1587">
        <f>_xlfn.NUMBERVALUE("0.004779")</f>
        <v/>
      </c>
      <c r="C1587" s="2">
        <f>_xlfn.NUMBERVALUE("-0.001085")</f>
        <v/>
      </c>
      <c r="D1587">
        <f>_xlfn.NUMBERVALUE("-0.000605")</f>
        <v/>
      </c>
      <c r="E1587">
        <f>_xlfn.NUMBERVALUE("-0.001999")</f>
        <v/>
      </c>
      <c r="F1587">
        <f>_xlfn.NUMBERVALUE("0.000936")</f>
        <v/>
      </c>
      <c r="G1587">
        <f>_xlfn.NUMBERVALUE("-0.000194")</f>
        <v/>
      </c>
      <c r="H1587">
        <f>_xlfn.NUMBERVALUE("0.000058")</f>
        <v/>
      </c>
      <c r="I1587">
        <f>_xlfn.NUMBERVALUE("-0.002401")</f>
        <v/>
      </c>
      <c r="J1587">
        <f>_xlfn.NUMBERVALUE("0.000312")</f>
        <v/>
      </c>
      <c r="K1587">
        <f>_xlfn.NUMBERVALUE("0.001311")</f>
        <v/>
      </c>
      <c r="L1587">
        <f>_xlfn.NUMBERVALUE("0.000204")</f>
        <v/>
      </c>
      <c r="M1587">
        <f>_xlfn.NUMBERVALUE("-0.000612")</f>
        <v/>
      </c>
      <c r="N1587">
        <f>_xlfn.NUMBERVALUE("-0.001941")</f>
        <v/>
      </c>
      <c r="O1587">
        <f>_xlfn.NUMBERVALUE("-0.005380")</f>
        <v/>
      </c>
      <c r="P1587">
        <f>_xlfn.NUMBERVALUE("-0.003298")</f>
        <v/>
      </c>
      <c r="Q1587">
        <f>_xlfn.NUMBERVALUE("-0.000726")</f>
        <v/>
      </c>
      <c r="R1587">
        <f>_xlfn.NUMBERVALUE("-0.000139")</f>
        <v/>
      </c>
      <c r="S1587">
        <f>_xlfn.NUMBERVALUE("-0.000805")</f>
        <v/>
      </c>
      <c r="T1587">
        <f>_xlfn.NUMBERVALUE("-0.001883")</f>
        <v/>
      </c>
      <c r="U1587">
        <f>_xlfn.NUMBERVALUE("0.000152")</f>
        <v/>
      </c>
      <c r="V1587">
        <f>_xlfn.NUMBERVALUE("0.000697")</f>
        <v/>
      </c>
      <c r="W1587">
        <f>_xlfn.NUMBERVALUE("-0.005450")</f>
        <v/>
      </c>
      <c r="X1587">
        <f>_xlfn.NUMBERVALUE("1.390000")</f>
        <v/>
      </c>
      <c r="Y1587">
        <f>_xlfn.NUMBERVALUE("18.680000")</f>
        <v/>
      </c>
    </row>
    <row r="1588">
      <c r="A1588" s="1" t="n">
        <v>44307</v>
      </c>
      <c r="B1588">
        <f>_xlfn.NUMBERVALUE("0.003921")</f>
        <v/>
      </c>
      <c r="C1588" s="2">
        <f>_xlfn.NUMBERVALUE("0.000306")</f>
        <v/>
      </c>
      <c r="D1588">
        <f>_xlfn.NUMBERVALUE("0.002589")</f>
        <v/>
      </c>
      <c r="E1588">
        <f>_xlfn.NUMBERVALUE("-0.000155")</f>
        <v/>
      </c>
      <c r="F1588">
        <f>_xlfn.NUMBERVALUE("-0.001806")</f>
        <v/>
      </c>
      <c r="G1588">
        <f>_xlfn.NUMBERVALUE("0.000968")</f>
        <v/>
      </c>
      <c r="H1588">
        <f>_xlfn.NUMBERVALUE("0.000787")</f>
        <v/>
      </c>
      <c r="I1588">
        <f>_xlfn.NUMBERVALUE("-0.000663")</f>
        <v/>
      </c>
      <c r="J1588">
        <f>_xlfn.NUMBERVALUE("0.000253")</f>
        <v/>
      </c>
      <c r="K1588">
        <f>_xlfn.NUMBERVALUE("-0.009273")</f>
        <v/>
      </c>
      <c r="L1588">
        <f>_xlfn.NUMBERVALUE("0.001051")</f>
        <v/>
      </c>
      <c r="M1588">
        <f>_xlfn.NUMBERVALUE("-0.002893")</f>
        <v/>
      </c>
      <c r="N1588">
        <f>_xlfn.NUMBERVALUE("0.004285")</f>
        <v/>
      </c>
      <c r="O1588">
        <f>_xlfn.NUMBERVALUE("0.003703")</f>
        <v/>
      </c>
      <c r="P1588">
        <f>_xlfn.NUMBERVALUE("0.002435")</f>
        <v/>
      </c>
      <c r="Q1588">
        <f>_xlfn.NUMBERVALUE("0.000786")</f>
        <v/>
      </c>
      <c r="R1588">
        <f>_xlfn.NUMBERVALUE("0.002617")</f>
        <v/>
      </c>
      <c r="S1588">
        <f>_xlfn.NUMBERVALUE("-0.000945")</f>
        <v/>
      </c>
      <c r="T1588">
        <f>_xlfn.NUMBERVALUE("0.001685")</f>
        <v/>
      </c>
      <c r="U1588">
        <f>_xlfn.NUMBERVALUE("0.001262")</f>
        <v/>
      </c>
      <c r="V1588">
        <f>_xlfn.NUMBERVALUE("0.000716")</f>
        <v/>
      </c>
      <c r="W1588">
        <f>_xlfn.NUMBERVALUE("0.008631")</f>
        <v/>
      </c>
      <c r="X1588">
        <f>_xlfn.NUMBERVALUE("-1.180000")</f>
        <v/>
      </c>
      <c r="Y1588">
        <f>_xlfn.NUMBERVALUE("17.500000")</f>
        <v/>
      </c>
    </row>
    <row r="1589">
      <c r="A1589" s="1" t="n">
        <v>44308</v>
      </c>
      <c r="B1589">
        <f>_xlfn.NUMBERVALUE("0.003046")</f>
        <v/>
      </c>
      <c r="C1589" s="2">
        <f>_xlfn.NUMBERVALUE("-0.000066")</f>
        <v/>
      </c>
      <c r="D1589">
        <f>_xlfn.NUMBERVALUE("0.000235")</f>
        <v/>
      </c>
      <c r="E1589">
        <f>_xlfn.NUMBERVALUE("0.000524")</f>
        <v/>
      </c>
      <c r="F1589">
        <f>_xlfn.NUMBERVALUE("0.001304")</f>
        <v/>
      </c>
      <c r="G1589">
        <f>_xlfn.NUMBERVALUE("-0.000084")</f>
        <v/>
      </c>
      <c r="H1589">
        <f>_xlfn.NUMBERVALUE("-0.000223")</f>
        <v/>
      </c>
      <c r="I1589">
        <f>_xlfn.NUMBERVALUE("-0.000116")</f>
        <v/>
      </c>
      <c r="J1589">
        <f>_xlfn.NUMBERVALUE("0.000179")</f>
        <v/>
      </c>
      <c r="K1589">
        <f>_xlfn.NUMBERVALUE("0.002026")</f>
        <v/>
      </c>
      <c r="L1589">
        <f>_xlfn.NUMBERVALUE("0.000689")</f>
        <v/>
      </c>
      <c r="M1589">
        <f>_xlfn.NUMBERVALUE("0.000641")</f>
        <v/>
      </c>
      <c r="N1589">
        <f>_xlfn.NUMBERVALUE("-0.001896")</f>
        <v/>
      </c>
      <c r="O1589">
        <f>_xlfn.NUMBERVALUE("-0.000356")</f>
        <v/>
      </c>
      <c r="P1589">
        <f>_xlfn.NUMBERVALUE("-0.000007")</f>
        <v/>
      </c>
      <c r="Q1589">
        <f>_xlfn.NUMBERVALUE("-0.000889")</f>
        <v/>
      </c>
      <c r="R1589">
        <f>_xlfn.NUMBERVALUE("-0.001264")</f>
        <v/>
      </c>
      <c r="S1589">
        <f>_xlfn.NUMBERVALUE("0.000063")</f>
        <v/>
      </c>
      <c r="T1589">
        <f>_xlfn.NUMBERVALUE("0.000237")</f>
        <v/>
      </c>
      <c r="U1589">
        <f>_xlfn.NUMBERVALUE("-0.000487")</f>
        <v/>
      </c>
      <c r="V1589">
        <f>_xlfn.NUMBERVALUE("-0.000801")</f>
        <v/>
      </c>
      <c r="W1589">
        <f>_xlfn.NUMBERVALUE("-0.007332")</f>
        <v/>
      </c>
      <c r="X1589">
        <f>_xlfn.NUMBERVALUE("1.210000")</f>
        <v/>
      </c>
      <c r="Y1589">
        <f>_xlfn.NUMBERVALUE("18.710000")</f>
        <v/>
      </c>
    </row>
    <row r="1590">
      <c r="A1590" s="1" t="n">
        <v>44309</v>
      </c>
      <c r="B1590">
        <f>_xlfn.NUMBERVALUE("0.002013")</f>
        <v/>
      </c>
      <c r="C1590" s="2">
        <f>_xlfn.NUMBERVALUE("0.001532")</f>
        <v/>
      </c>
      <c r="D1590">
        <f>_xlfn.NUMBERVALUE("0.000352")</f>
        <v/>
      </c>
      <c r="E1590">
        <f>_xlfn.NUMBERVALUE("0.000303")</f>
        <v/>
      </c>
      <c r="F1590">
        <f>_xlfn.NUMBERVALUE("0.001214")</f>
        <v/>
      </c>
      <c r="G1590">
        <f>_xlfn.NUMBERVALUE("0.000691")</f>
        <v/>
      </c>
      <c r="H1590">
        <f>_xlfn.NUMBERVALUE("-0.000093")</f>
        <v/>
      </c>
      <c r="I1590">
        <f>_xlfn.NUMBERVALUE("0.003610")</f>
        <v/>
      </c>
      <c r="J1590">
        <f>_xlfn.NUMBERVALUE("0.000311")</f>
        <v/>
      </c>
      <c r="K1590">
        <f>_xlfn.NUMBERVALUE("0.005206")</f>
        <v/>
      </c>
      <c r="L1590">
        <f>_xlfn.NUMBERVALUE("0.000236")</f>
        <v/>
      </c>
      <c r="M1590">
        <f>_xlfn.NUMBERVALUE("-0.001437")</f>
        <v/>
      </c>
      <c r="N1590">
        <f>_xlfn.NUMBERVALUE("0.003926")</f>
        <v/>
      </c>
      <c r="O1590">
        <f>_xlfn.NUMBERVALUE("0.005646")</f>
        <v/>
      </c>
      <c r="P1590">
        <f>_xlfn.NUMBERVALUE("-0.001955")</f>
        <v/>
      </c>
      <c r="Q1590">
        <f>_xlfn.NUMBERVALUE("0.001189")</f>
        <v/>
      </c>
      <c r="R1590">
        <f>_xlfn.NUMBERVALUE("0.002131")</f>
        <v/>
      </c>
      <c r="S1590">
        <f>_xlfn.NUMBERVALUE("0.003505")</f>
        <v/>
      </c>
      <c r="T1590">
        <f>_xlfn.NUMBERVALUE("0.003572")</f>
        <v/>
      </c>
      <c r="U1590">
        <f>_xlfn.NUMBERVALUE("0.002005")</f>
        <v/>
      </c>
      <c r="V1590">
        <f>_xlfn.NUMBERVALUE("0.000915")</f>
        <v/>
      </c>
      <c r="W1590">
        <f>_xlfn.NUMBERVALUE("0.010437")</f>
        <v/>
      </c>
      <c r="X1590">
        <f>_xlfn.NUMBERVALUE("-1.380000")</f>
        <v/>
      </c>
      <c r="Y1590">
        <f>_xlfn.NUMBERVALUE("17.330000")</f>
        <v/>
      </c>
    </row>
    <row r="1591">
      <c r="A1591" s="1" t="n">
        <v>44312</v>
      </c>
      <c r="B1591">
        <f>_xlfn.NUMBERVALUE("-0.001539")</f>
        <v/>
      </c>
      <c r="C1591" s="2">
        <f>_xlfn.NUMBERVALUE("0.001431")</f>
        <v/>
      </c>
      <c r="D1591">
        <f>_xlfn.NUMBERVALUE("0.002004")</f>
        <v/>
      </c>
      <c r="E1591">
        <f>_xlfn.NUMBERVALUE("0.000100")</f>
        <v/>
      </c>
      <c r="F1591">
        <f>_xlfn.NUMBERVALUE("0.000483")</f>
        <v/>
      </c>
      <c r="G1591">
        <f>_xlfn.NUMBERVALUE("0.000591")</f>
        <v/>
      </c>
      <c r="H1591">
        <f>_xlfn.NUMBERVALUE("0.000748")</f>
        <v/>
      </c>
      <c r="I1591">
        <f>_xlfn.NUMBERVALUE("-0.000440")</f>
        <v/>
      </c>
      <c r="J1591">
        <f>_xlfn.NUMBERVALUE("0.000498")</f>
        <v/>
      </c>
      <c r="K1591">
        <f>_xlfn.NUMBERVALUE("0.000780")</f>
        <v/>
      </c>
      <c r="L1591">
        <f>_xlfn.NUMBERVALUE("0.001670")</f>
        <v/>
      </c>
      <c r="M1591">
        <f>_xlfn.NUMBERVALUE("0.001728")</f>
        <v/>
      </c>
      <c r="N1591">
        <f>_xlfn.NUMBERVALUE("-0.000463")</f>
        <v/>
      </c>
      <c r="O1591">
        <f>_xlfn.NUMBERVALUE("0.003647")</f>
        <v/>
      </c>
      <c r="P1591">
        <f>_xlfn.NUMBERVALUE("0.001851")</f>
        <v/>
      </c>
      <c r="Q1591">
        <f>_xlfn.NUMBERVALUE("0.000752")</f>
        <v/>
      </c>
      <c r="R1591">
        <f>_xlfn.NUMBERVALUE("0.000709")</f>
        <v/>
      </c>
      <c r="S1591">
        <f>_xlfn.NUMBERVALUE("-0.000665")</f>
        <v/>
      </c>
      <c r="T1591">
        <f>_xlfn.NUMBERVALUE("0.000152")</f>
        <v/>
      </c>
      <c r="U1591">
        <f>_xlfn.NUMBERVALUE("0.000757")</f>
        <v/>
      </c>
      <c r="V1591">
        <f>_xlfn.NUMBERVALUE("0.000973")</f>
        <v/>
      </c>
      <c r="W1591">
        <f>_xlfn.NUMBERVALUE("0.001102")</f>
        <v/>
      </c>
      <c r="X1591">
        <f>_xlfn.NUMBERVALUE("0.310000")</f>
        <v/>
      </c>
      <c r="Y1591">
        <f>_xlfn.NUMBERVALUE("17.640000")</f>
        <v/>
      </c>
    </row>
    <row r="1592">
      <c r="A1592" s="1" t="n">
        <v>44313</v>
      </c>
      <c r="B1592">
        <f>_xlfn.NUMBERVALUE("0.000129")</f>
        <v/>
      </c>
      <c r="C1592" s="2">
        <f>_xlfn.NUMBERVALUE("0.000870")</f>
        <v/>
      </c>
      <c r="D1592">
        <f>_xlfn.NUMBERVALUE("0.001833")</f>
        <v/>
      </c>
      <c r="E1592">
        <f>_xlfn.NUMBERVALUE("0.000743")</f>
        <v/>
      </c>
      <c r="F1592">
        <f>_xlfn.NUMBERVALUE("0.001826")</f>
        <v/>
      </c>
      <c r="G1592">
        <f>_xlfn.NUMBERVALUE("0.000080")</f>
        <v/>
      </c>
      <c r="H1592">
        <f>_xlfn.NUMBERVALUE("0.000800")</f>
        <v/>
      </c>
      <c r="I1592">
        <f>_xlfn.NUMBERVALUE("0.001343")</f>
        <v/>
      </c>
      <c r="J1592">
        <f>_xlfn.NUMBERVALUE("0.000425")</f>
        <v/>
      </c>
      <c r="K1592">
        <f>_xlfn.NUMBERVALUE("0.001350")</f>
        <v/>
      </c>
      <c r="L1592">
        <f>_xlfn.NUMBERVALUE("0.000823")</f>
        <v/>
      </c>
      <c r="M1592">
        <f>_xlfn.NUMBERVALUE("0.000943")</f>
        <v/>
      </c>
      <c r="N1592">
        <f>_xlfn.NUMBERVALUE("0.001511")</f>
        <v/>
      </c>
      <c r="O1592">
        <f>_xlfn.NUMBERVALUE("0.000359")</f>
        <v/>
      </c>
      <c r="P1592">
        <f>_xlfn.NUMBERVALUE("-0.000592")</f>
        <v/>
      </c>
      <c r="Q1592">
        <f>_xlfn.NUMBERVALUE("0.000740")</f>
        <v/>
      </c>
      <c r="R1592">
        <f>_xlfn.NUMBERVALUE("0.000997")</f>
        <v/>
      </c>
      <c r="S1592">
        <f>_xlfn.NUMBERVALUE("0.001383")</f>
        <v/>
      </c>
      <c r="T1592">
        <f>_xlfn.NUMBERVALUE("0.001320")</f>
        <v/>
      </c>
      <c r="U1592">
        <f>_xlfn.NUMBERVALUE("0.002313")</f>
        <v/>
      </c>
      <c r="V1592">
        <f>_xlfn.NUMBERVALUE("0.000545")</f>
        <v/>
      </c>
      <c r="W1592">
        <f>_xlfn.NUMBERVALUE("0.000455")</f>
        <v/>
      </c>
      <c r="X1592">
        <f>_xlfn.NUMBERVALUE("-0.080000")</f>
        <v/>
      </c>
      <c r="Y1592">
        <f>_xlfn.NUMBERVALUE("17.560000")</f>
        <v/>
      </c>
    </row>
    <row r="1593">
      <c r="A1593" s="1" t="n">
        <v>44314</v>
      </c>
      <c r="B1593">
        <f>_xlfn.NUMBERVALUE("0.004770")</f>
        <v/>
      </c>
      <c r="C1593" s="2">
        <f>_xlfn.NUMBERVALUE("0.002116")</f>
        <v/>
      </c>
      <c r="D1593">
        <f>_xlfn.NUMBERVALUE("-0.000923")</f>
        <v/>
      </c>
      <c r="E1593">
        <f>_xlfn.NUMBERVALUE("0.000970")</f>
        <v/>
      </c>
      <c r="F1593">
        <f>_xlfn.NUMBERVALUE("0.000245")</f>
        <v/>
      </c>
      <c r="G1593">
        <f>_xlfn.NUMBERVALUE("0.000894")</f>
        <v/>
      </c>
      <c r="H1593">
        <f>_xlfn.NUMBERVALUE("-0.003667")</f>
        <v/>
      </c>
      <c r="I1593">
        <f>_xlfn.NUMBERVALUE("0.002093")</f>
        <v/>
      </c>
      <c r="J1593">
        <f>_xlfn.NUMBERVALUE("0.001692")</f>
        <v/>
      </c>
      <c r="K1593">
        <f>_xlfn.NUMBERVALUE("0.002097")</f>
        <v/>
      </c>
      <c r="L1593">
        <f>_xlfn.NUMBERVALUE("0.001492")</f>
        <v/>
      </c>
      <c r="M1593">
        <f>_xlfn.NUMBERVALUE("0.000630")</f>
        <v/>
      </c>
      <c r="N1593">
        <f>_xlfn.NUMBERVALUE("-0.000183")</f>
        <v/>
      </c>
      <c r="O1593">
        <f>_xlfn.NUMBERVALUE("-0.007836")</f>
        <v/>
      </c>
      <c r="P1593">
        <f>_xlfn.NUMBERVALUE("0.001589")</f>
        <v/>
      </c>
      <c r="Q1593">
        <f>_xlfn.NUMBERVALUE("0.004882")</f>
        <v/>
      </c>
      <c r="R1593">
        <f>_xlfn.NUMBERVALUE("0.002546")</f>
        <v/>
      </c>
      <c r="S1593">
        <f>_xlfn.NUMBERVALUE("0.001724")</f>
        <v/>
      </c>
      <c r="T1593">
        <f>_xlfn.NUMBERVALUE("0.001004")</f>
        <v/>
      </c>
      <c r="U1593">
        <f>_xlfn.NUMBERVALUE("0.002301")</f>
        <v/>
      </c>
      <c r="V1593">
        <f>_xlfn.NUMBERVALUE("0.001077")</f>
        <v/>
      </c>
      <c r="W1593">
        <f>_xlfn.NUMBERVALUE("-0.000096")</f>
        <v/>
      </c>
      <c r="X1593">
        <f>_xlfn.NUMBERVALUE("-0.280000")</f>
        <v/>
      </c>
      <c r="Y1593">
        <f>_xlfn.NUMBERVALUE("17.280000")</f>
        <v/>
      </c>
    </row>
    <row r="1594">
      <c r="A1594" s="1" t="n">
        <v>44315</v>
      </c>
      <c r="B1594">
        <f>_xlfn.NUMBERVALUE("-0.004395")</f>
        <v/>
      </c>
      <c r="C1594" s="2">
        <f>_xlfn.NUMBERVALUE("0.000011")</f>
        <v/>
      </c>
      <c r="D1594">
        <f>_xlfn.NUMBERVALUE("0.001656")</f>
        <v/>
      </c>
      <c r="E1594">
        <f>_xlfn.NUMBERVALUE("0.000188")</f>
        <v/>
      </c>
      <c r="F1594">
        <f>_xlfn.NUMBERVALUE("0.001102")</f>
        <v/>
      </c>
      <c r="G1594">
        <f>_xlfn.NUMBERVALUE("0.000561")</f>
        <v/>
      </c>
      <c r="H1594">
        <f>_xlfn.NUMBERVALUE("0.005595")</f>
        <v/>
      </c>
      <c r="I1594">
        <f>_xlfn.NUMBERVALUE("0.001828")</f>
        <v/>
      </c>
      <c r="J1594">
        <f>_xlfn.NUMBERVALUE("0.001416")</f>
        <v/>
      </c>
      <c r="K1594">
        <f>_xlfn.NUMBERVALUE("0.001737")</f>
        <v/>
      </c>
      <c r="L1594">
        <f>_xlfn.NUMBERVALUE("0.001973")</f>
        <v/>
      </c>
      <c r="M1594">
        <f>_xlfn.NUMBERVALUE("0.001744")</f>
        <v/>
      </c>
      <c r="N1594">
        <f>_xlfn.NUMBERVALUE("-0.006220")</f>
        <v/>
      </c>
      <c r="O1594">
        <f>_xlfn.NUMBERVALUE("0.001115")</f>
        <v/>
      </c>
      <c r="P1594">
        <f>_xlfn.NUMBERVALUE("-0.002275")</f>
        <v/>
      </c>
      <c r="Q1594">
        <f>_xlfn.NUMBERVALUE("-0.002630")</f>
        <v/>
      </c>
      <c r="R1594">
        <f>_xlfn.NUMBERVALUE("0.003027")</f>
        <v/>
      </c>
      <c r="S1594">
        <f>_xlfn.NUMBERVALUE("-0.002487")</f>
        <v/>
      </c>
      <c r="T1594">
        <f>_xlfn.NUMBERVALUE("-0.001116")</f>
        <v/>
      </c>
      <c r="U1594">
        <f>_xlfn.NUMBERVALUE("0.001128")</f>
        <v/>
      </c>
      <c r="V1594">
        <f>_xlfn.NUMBERVALUE("-0.000336")</f>
        <v/>
      </c>
      <c r="W1594">
        <f>_xlfn.NUMBERVALUE("0.005504")</f>
        <v/>
      </c>
      <c r="X1594">
        <f>_xlfn.NUMBERVALUE("0.330000")</f>
        <v/>
      </c>
      <c r="Y1594">
        <f>_xlfn.NUMBERVALUE("17.610000")</f>
        <v/>
      </c>
    </row>
    <row r="1595">
      <c r="A1595" s="1" t="n">
        <v>44316</v>
      </c>
      <c r="B1595">
        <f>_xlfn.NUMBERVALUE("0.000958")</f>
        <v/>
      </c>
      <c r="C1595" s="2">
        <f>_xlfn.NUMBERVALUE("0.000696")</f>
        <v/>
      </c>
      <c r="D1595">
        <f>_xlfn.NUMBERVALUE("-0.004503")</f>
        <v/>
      </c>
      <c r="E1595">
        <f>_xlfn.NUMBERVALUE("0.000131")</f>
        <v/>
      </c>
      <c r="F1595">
        <f>_xlfn.NUMBERVALUE("0.001173")</f>
        <v/>
      </c>
      <c r="G1595">
        <f>_xlfn.NUMBERVALUE("0.000233")</f>
        <v/>
      </c>
      <c r="H1595">
        <f>_xlfn.NUMBERVALUE("0.000540")</f>
        <v/>
      </c>
      <c r="I1595">
        <f>_xlfn.NUMBERVALUE("0.000366")</f>
        <v/>
      </c>
      <c r="J1595">
        <f>_xlfn.NUMBERVALUE("0.000917")</f>
        <v/>
      </c>
      <c r="K1595">
        <f>_xlfn.NUMBERVALUE("0.004707")</f>
        <v/>
      </c>
      <c r="L1595">
        <f>_xlfn.NUMBERVALUE("0.000720")</f>
        <v/>
      </c>
      <c r="M1595">
        <f>_xlfn.NUMBERVALUE("-0.001253")</f>
        <v/>
      </c>
      <c r="N1595">
        <f>_xlfn.NUMBERVALUE("0.000254")</f>
        <v/>
      </c>
      <c r="O1595">
        <f>_xlfn.NUMBERVALUE("-0.002263")</f>
        <v/>
      </c>
      <c r="P1595">
        <f>_xlfn.NUMBERVALUE("0.000140")</f>
        <v/>
      </c>
      <c r="Q1595">
        <f>_xlfn.NUMBERVALUE("-0.000753")</f>
        <v/>
      </c>
      <c r="R1595">
        <f>_xlfn.NUMBERVALUE("-0.001284")</f>
        <v/>
      </c>
      <c r="S1595">
        <f>_xlfn.NUMBERVALUE("0.002862")</f>
        <v/>
      </c>
      <c r="T1595">
        <f>_xlfn.NUMBERVALUE("-0.000848")</f>
        <v/>
      </c>
      <c r="U1595">
        <f>_xlfn.NUMBERVALUE("0.002922")</f>
        <v/>
      </c>
      <c r="V1595">
        <f>_xlfn.NUMBERVALUE("0.000438")</f>
        <v/>
      </c>
      <c r="W1595">
        <f>_xlfn.NUMBERVALUE("-0.008711")</f>
        <v/>
      </c>
      <c r="X1595">
        <f>_xlfn.NUMBERVALUE("1.000000")</f>
        <v/>
      </c>
      <c r="Y1595">
        <f>_xlfn.NUMBERVALUE("18.610000")</f>
        <v/>
      </c>
    </row>
    <row r="1596">
      <c r="A1596" s="1" t="n">
        <v>44319</v>
      </c>
      <c r="B1596">
        <f>_xlfn.NUMBERVALUE("-0.000752")</f>
        <v/>
      </c>
      <c r="C1596" s="2">
        <f>_xlfn.NUMBERVALUE("-0.000165")</f>
        <v/>
      </c>
      <c r="D1596">
        <f>_xlfn.NUMBERVALUE("0.003373")</f>
        <v/>
      </c>
      <c r="E1596">
        <f>_xlfn.NUMBERVALUE("-0.004082")</f>
        <v/>
      </c>
      <c r="F1596">
        <f>_xlfn.NUMBERVALUE("-0.002525")</f>
        <v/>
      </c>
      <c r="G1596">
        <f>_xlfn.NUMBERVALUE("-0.000691")</f>
        <v/>
      </c>
      <c r="H1596">
        <f>_xlfn.NUMBERVALUE("0.000632")</f>
        <v/>
      </c>
      <c r="I1596">
        <f>_xlfn.NUMBERVALUE("0.005533")</f>
        <v/>
      </c>
      <c r="J1596">
        <f>_xlfn.NUMBERVALUE("-0.000586")</f>
        <v/>
      </c>
      <c r="K1596">
        <f>_xlfn.NUMBERVALUE("-0.011320")</f>
        <v/>
      </c>
      <c r="L1596">
        <f>_xlfn.NUMBERVALUE("0.001042")</f>
        <v/>
      </c>
      <c r="M1596">
        <f>_xlfn.NUMBERVALUE("-0.001441")</f>
        <v/>
      </c>
      <c r="N1596">
        <f>_xlfn.NUMBERVALUE("0.002698")</f>
        <v/>
      </c>
      <c r="O1596">
        <f>_xlfn.NUMBERVALUE("-0.003272")</f>
        <v/>
      </c>
      <c r="P1596">
        <f>_xlfn.NUMBERVALUE("0.000115")</f>
        <v/>
      </c>
      <c r="Q1596">
        <f>_xlfn.NUMBERVALUE("-0.001081")</f>
        <v/>
      </c>
      <c r="R1596">
        <f>_xlfn.NUMBERVALUE("0.001286")</f>
        <v/>
      </c>
      <c r="S1596">
        <f>_xlfn.NUMBERVALUE("-0.003751")</f>
        <v/>
      </c>
      <c r="T1596">
        <f>_xlfn.NUMBERVALUE("-0.000475")</f>
        <v/>
      </c>
      <c r="U1596">
        <f>_xlfn.NUMBERVALUE("0.004973")</f>
        <v/>
      </c>
      <c r="V1596">
        <f>_xlfn.NUMBERVALUE("0.001548")</f>
        <v/>
      </c>
      <c r="W1596">
        <f>_xlfn.NUMBERVALUE("0.004201")</f>
        <v/>
      </c>
      <c r="X1596">
        <f>_xlfn.NUMBERVALUE("-0.300000")</f>
        <v/>
      </c>
      <c r="Y1596">
        <f>_xlfn.NUMBERVALUE("18.310000")</f>
        <v/>
      </c>
    </row>
    <row r="1597">
      <c r="A1597" s="1" t="n">
        <v>44320</v>
      </c>
      <c r="B1597">
        <f>_xlfn.NUMBERVALUE("-0.002226")</f>
        <v/>
      </c>
      <c r="C1597" s="2">
        <f>_xlfn.NUMBERVALUE("0.000631")</f>
        <v/>
      </c>
      <c r="D1597">
        <f>_xlfn.NUMBERVALUE("-0.001623")</f>
        <v/>
      </c>
      <c r="E1597">
        <f>_xlfn.NUMBERVALUE("-0.000842")</f>
        <v/>
      </c>
      <c r="F1597">
        <f>_xlfn.NUMBERVALUE("0.000377")</f>
        <v/>
      </c>
      <c r="G1597">
        <f>_xlfn.NUMBERVALUE("0.000764")</f>
        <v/>
      </c>
      <c r="H1597">
        <f>_xlfn.NUMBERVALUE("0.000003")</f>
        <v/>
      </c>
      <c r="I1597">
        <f>_xlfn.NUMBERVALUE("-0.003749")</f>
        <v/>
      </c>
      <c r="J1597">
        <f>_xlfn.NUMBERVALUE("-0.000027")</f>
        <v/>
      </c>
      <c r="K1597">
        <f>_xlfn.NUMBERVALUE("-0.000125")</f>
        <v/>
      </c>
      <c r="L1597">
        <f>_xlfn.NUMBERVALUE("-0.000006")</f>
        <v/>
      </c>
      <c r="M1597">
        <f>_xlfn.NUMBERVALUE("-0.000042")</f>
        <v/>
      </c>
      <c r="N1597">
        <f>_xlfn.NUMBERVALUE("-0.004122")</f>
        <v/>
      </c>
      <c r="O1597">
        <f>_xlfn.NUMBERVALUE("-0.000010")</f>
        <v/>
      </c>
      <c r="P1597">
        <f>_xlfn.NUMBERVALUE("-0.000646")</f>
        <v/>
      </c>
      <c r="Q1597">
        <f>_xlfn.NUMBERVALUE("-0.001691")</f>
        <v/>
      </c>
      <c r="R1597">
        <f>_xlfn.NUMBERVALUE("-0.006835")</f>
        <v/>
      </c>
      <c r="S1597">
        <f>_xlfn.NUMBERVALUE("0.000035")</f>
        <v/>
      </c>
      <c r="T1597">
        <f>_xlfn.NUMBERVALUE("0.001035")</f>
        <v/>
      </c>
      <c r="U1597">
        <f>_xlfn.NUMBERVALUE("-0.003634")</f>
        <v/>
      </c>
      <c r="V1597">
        <f>_xlfn.NUMBERVALUE("-0.000779")</f>
        <v/>
      </c>
      <c r="W1597">
        <f>_xlfn.NUMBERVALUE("-0.010448")</f>
        <v/>
      </c>
      <c r="X1597">
        <f>_xlfn.NUMBERVALUE("1.170000")</f>
        <v/>
      </c>
      <c r="Y1597">
        <f>_xlfn.NUMBERVALUE("19.480000")</f>
        <v/>
      </c>
    </row>
    <row r="1598">
      <c r="A1598" s="1" t="n">
        <v>44321</v>
      </c>
      <c r="B1598">
        <f>_xlfn.NUMBERVALUE("-0.001241")</f>
        <v/>
      </c>
      <c r="C1598" s="2">
        <f>_xlfn.NUMBERVALUE("-0.000228")</f>
        <v/>
      </c>
      <c r="D1598">
        <f>_xlfn.NUMBERVALUE("0.000571")</f>
        <v/>
      </c>
      <c r="E1598">
        <f>_xlfn.NUMBERVALUE("-0.003170")</f>
        <v/>
      </c>
      <c r="F1598">
        <f>_xlfn.NUMBERVALUE("-0.000110")</f>
        <v/>
      </c>
      <c r="G1598">
        <f>_xlfn.NUMBERVALUE("0.000360")</f>
        <v/>
      </c>
      <c r="H1598">
        <f>_xlfn.NUMBERVALUE("0.000159")</f>
        <v/>
      </c>
      <c r="I1598">
        <f>_xlfn.NUMBERVALUE("0.002338")</f>
        <v/>
      </c>
      <c r="J1598">
        <f>_xlfn.NUMBERVALUE("0.000735")</f>
        <v/>
      </c>
      <c r="K1598">
        <f>_xlfn.NUMBERVALUE("0.000447")</f>
        <v/>
      </c>
      <c r="L1598">
        <f>_xlfn.NUMBERVALUE("0.001141")</f>
        <v/>
      </c>
      <c r="M1598">
        <f>_xlfn.NUMBERVALUE("-0.000287")</f>
        <v/>
      </c>
      <c r="N1598">
        <f>_xlfn.NUMBERVALUE("0.001701")</f>
        <v/>
      </c>
      <c r="O1598">
        <f>_xlfn.NUMBERVALUE("-0.003840")</f>
        <v/>
      </c>
      <c r="P1598">
        <f>_xlfn.NUMBERVALUE("0.000333")</f>
        <v/>
      </c>
      <c r="Q1598">
        <f>_xlfn.NUMBERVALUE("0.000489")</f>
        <v/>
      </c>
      <c r="R1598">
        <f>_xlfn.NUMBERVALUE("0.000077")</f>
        <v/>
      </c>
      <c r="S1598">
        <f>_xlfn.NUMBERVALUE("0.002032")</f>
        <v/>
      </c>
      <c r="T1598">
        <f>_xlfn.NUMBERVALUE("0.001846")</f>
        <v/>
      </c>
      <c r="U1598">
        <f>_xlfn.NUMBERVALUE("0.002495")</f>
        <v/>
      </c>
      <c r="V1598">
        <f>_xlfn.NUMBERVALUE("-0.000014")</f>
        <v/>
      </c>
      <c r="W1598">
        <f>_xlfn.NUMBERVALUE("0.002561")</f>
        <v/>
      </c>
      <c r="X1598">
        <f>_xlfn.NUMBERVALUE("-0.330000")</f>
        <v/>
      </c>
      <c r="Y1598">
        <f>_xlfn.NUMBERVALUE("19.150000")</f>
        <v/>
      </c>
    </row>
    <row r="1599">
      <c r="A1599" s="1" t="n">
        <v>44322</v>
      </c>
      <c r="B1599">
        <f>_xlfn.NUMBERVALUE("-0.001299")</f>
        <v/>
      </c>
      <c r="C1599" s="2">
        <f>_xlfn.NUMBERVALUE("-0.000656")</f>
        <v/>
      </c>
      <c r="D1599">
        <f>_xlfn.NUMBERVALUE("0.000859")</f>
        <v/>
      </c>
      <c r="E1599">
        <f>_xlfn.NUMBERVALUE("0.000343")</f>
        <v/>
      </c>
      <c r="F1599">
        <f>_xlfn.NUMBERVALUE("-0.003919")</f>
        <v/>
      </c>
      <c r="G1599">
        <f>_xlfn.NUMBERVALUE("-0.000085")</f>
        <v/>
      </c>
      <c r="H1599">
        <f>_xlfn.NUMBERVALUE("0.000118")</f>
        <v/>
      </c>
      <c r="I1599">
        <f>_xlfn.NUMBERVALUE("0.001597")</f>
        <v/>
      </c>
      <c r="J1599">
        <f>_xlfn.NUMBERVALUE("-0.000337")</f>
        <v/>
      </c>
      <c r="K1599">
        <f>_xlfn.NUMBERVALUE("-0.007903")</f>
        <v/>
      </c>
      <c r="L1599">
        <f>_xlfn.NUMBERVALUE("0.000140")</f>
        <v/>
      </c>
      <c r="M1599">
        <f>_xlfn.NUMBERVALUE("0.000870")</f>
        <v/>
      </c>
      <c r="N1599">
        <f>_xlfn.NUMBERVALUE("0.003127")</f>
        <v/>
      </c>
      <c r="O1599">
        <f>_xlfn.NUMBERVALUE("0.000169")</f>
        <v/>
      </c>
      <c r="P1599">
        <f>_xlfn.NUMBERVALUE("0.000782")</f>
        <v/>
      </c>
      <c r="Q1599">
        <f>_xlfn.NUMBERVALUE("0.001736")</f>
        <v/>
      </c>
      <c r="R1599">
        <f>_xlfn.NUMBERVALUE("0.001739")</f>
        <v/>
      </c>
      <c r="S1599">
        <f>_xlfn.NUMBERVALUE("-0.001466")</f>
        <v/>
      </c>
      <c r="T1599">
        <f>_xlfn.NUMBERVALUE("-0.000722")</f>
        <v/>
      </c>
      <c r="U1599">
        <f>_xlfn.NUMBERVALUE("0.001879")</f>
        <v/>
      </c>
      <c r="V1599">
        <f>_xlfn.NUMBERVALUE("0.000136")</f>
        <v/>
      </c>
      <c r="W1599">
        <f>_xlfn.NUMBERVALUE("0.004062")</f>
        <v/>
      </c>
      <c r="X1599">
        <f>_xlfn.NUMBERVALUE("-0.760000")</f>
        <v/>
      </c>
      <c r="Y1599">
        <f>_xlfn.NUMBERVALUE("18.390000")</f>
        <v/>
      </c>
    </row>
    <row r="1600">
      <c r="A1600" s="1" t="n">
        <v>44323</v>
      </c>
      <c r="B1600">
        <f>_xlfn.NUMBERVALUE("0.000308")</f>
        <v/>
      </c>
      <c r="C1600" s="2">
        <f>_xlfn.NUMBERVALUE("0.000321")</f>
        <v/>
      </c>
      <c r="D1600">
        <f>_xlfn.NUMBERVALUE("0.001254")</f>
        <v/>
      </c>
      <c r="E1600">
        <f>_xlfn.NUMBERVALUE("-0.004764")</f>
        <v/>
      </c>
      <c r="F1600">
        <f>_xlfn.NUMBERVALUE("-0.000555")</f>
        <v/>
      </c>
      <c r="G1600">
        <f>_xlfn.NUMBERVALUE("0.000905")</f>
        <v/>
      </c>
      <c r="H1600">
        <f>_xlfn.NUMBERVALUE("0.001244")</f>
        <v/>
      </c>
      <c r="I1600">
        <f>_xlfn.NUMBERVALUE("0.002877")</f>
        <v/>
      </c>
      <c r="J1600">
        <f>_xlfn.NUMBERVALUE("0.000996")</f>
        <v/>
      </c>
      <c r="K1600">
        <f>_xlfn.NUMBERVALUE("0.000636")</f>
        <v/>
      </c>
      <c r="L1600">
        <f>_xlfn.NUMBERVALUE("0.001853")</f>
        <v/>
      </c>
      <c r="M1600">
        <f>_xlfn.NUMBERVALUE("-0.000698")</f>
        <v/>
      </c>
      <c r="N1600">
        <f>_xlfn.NUMBERVALUE("-0.003318")</f>
        <v/>
      </c>
      <c r="O1600">
        <f>_xlfn.NUMBERVALUE("-0.000188")</f>
        <v/>
      </c>
      <c r="P1600">
        <f>_xlfn.NUMBERVALUE("-0.001345")</f>
        <v/>
      </c>
      <c r="Q1600">
        <f>_xlfn.NUMBERVALUE("-0.000977")</f>
        <v/>
      </c>
      <c r="R1600">
        <f>_xlfn.NUMBERVALUE("0.003207")</f>
        <v/>
      </c>
      <c r="S1600">
        <f>_xlfn.NUMBERVALUE("0.000080")</f>
        <v/>
      </c>
      <c r="T1600">
        <f>_xlfn.NUMBERVALUE("0.002344")</f>
        <v/>
      </c>
      <c r="U1600">
        <f>_xlfn.NUMBERVALUE("0.000001")</f>
        <v/>
      </c>
      <c r="V1600">
        <f>_xlfn.NUMBERVALUE("0.000450")</f>
        <v/>
      </c>
      <c r="W1600">
        <f>_xlfn.NUMBERVALUE("0.011132")</f>
        <v/>
      </c>
      <c r="X1600">
        <f>_xlfn.NUMBERVALUE("-1.700000")</f>
        <v/>
      </c>
      <c r="Y1600">
        <f>_xlfn.NUMBERVALUE("16.690000")</f>
        <v/>
      </c>
    </row>
    <row r="1601">
      <c r="A1601" s="1" t="n">
        <v>44326</v>
      </c>
      <c r="B1601">
        <f>_xlfn.NUMBERVALUE("-0.001557")</f>
        <v/>
      </c>
      <c r="C1601" s="2">
        <f>_xlfn.NUMBERVALUE("-0.001903")</f>
        <v/>
      </c>
      <c r="D1601">
        <f>_xlfn.NUMBERVALUE("-0.002400")</f>
        <v/>
      </c>
      <c r="E1601">
        <f>_xlfn.NUMBERVALUE("0.003024")</f>
        <v/>
      </c>
      <c r="F1601">
        <f>_xlfn.NUMBERVALUE("0.000002")</f>
        <v/>
      </c>
      <c r="G1601">
        <f>_xlfn.NUMBERVALUE("0.000042")</f>
        <v/>
      </c>
      <c r="H1601">
        <f>_xlfn.NUMBERVALUE("0.000186")</f>
        <v/>
      </c>
      <c r="I1601">
        <f>_xlfn.NUMBERVALUE("-0.001095")</f>
        <v/>
      </c>
      <c r="J1601">
        <f>_xlfn.NUMBERVALUE("-0.000556")</f>
        <v/>
      </c>
      <c r="K1601">
        <f>_xlfn.NUMBERVALUE("0.004739")</f>
        <v/>
      </c>
      <c r="L1601">
        <f>_xlfn.NUMBERVALUE("-0.000526")</f>
        <v/>
      </c>
      <c r="M1601">
        <f>_xlfn.NUMBERVALUE("-0.000426")</f>
        <v/>
      </c>
      <c r="N1601">
        <f>_xlfn.NUMBERVALUE("-0.003932")</f>
        <v/>
      </c>
      <c r="O1601">
        <f>_xlfn.NUMBERVALUE("-0.000070")</f>
        <v/>
      </c>
      <c r="P1601">
        <f>_xlfn.NUMBERVALUE("-0.000001")</f>
        <v/>
      </c>
      <c r="Q1601">
        <f>_xlfn.NUMBERVALUE("0.000080")</f>
        <v/>
      </c>
      <c r="R1601">
        <f>_xlfn.NUMBERVALUE("-0.003506")</f>
        <v/>
      </c>
      <c r="S1601">
        <f>_xlfn.NUMBERVALUE("-0.000283")</f>
        <v/>
      </c>
      <c r="T1601">
        <f>_xlfn.NUMBERVALUE("-0.002093")</f>
        <v/>
      </c>
      <c r="U1601">
        <f>_xlfn.NUMBERVALUE("0.002735")</f>
        <v/>
      </c>
      <c r="V1601">
        <f>_xlfn.NUMBERVALUE("0.000197")</f>
        <v/>
      </c>
      <c r="W1601">
        <f>_xlfn.NUMBERVALUE("-0.006582")</f>
        <v/>
      </c>
      <c r="X1601">
        <f>_xlfn.NUMBERVALUE("2.970000")</f>
        <v/>
      </c>
      <c r="Y1601">
        <f>_xlfn.NUMBERVALUE("19.660000")</f>
        <v/>
      </c>
    </row>
    <row r="1602">
      <c r="A1602" s="1" t="n">
        <v>44327</v>
      </c>
      <c r="B1602">
        <f>_xlfn.NUMBERVALUE("-0.000051")</f>
        <v/>
      </c>
      <c r="C1602" s="2">
        <f>_xlfn.NUMBERVALUE("-0.002961")</f>
        <v/>
      </c>
      <c r="D1602">
        <f>_xlfn.NUMBERVALUE("-0.002206")</f>
        <v/>
      </c>
      <c r="E1602">
        <f>_xlfn.NUMBERVALUE("-0.002896")</f>
        <v/>
      </c>
      <c r="F1602">
        <f>_xlfn.NUMBERVALUE("0.000343")</f>
        <v/>
      </c>
      <c r="G1602">
        <f>_xlfn.NUMBERVALUE("-0.001072")</f>
        <v/>
      </c>
      <c r="H1602">
        <f>_xlfn.NUMBERVALUE("0.000329")</f>
        <v/>
      </c>
      <c r="I1602">
        <f>_xlfn.NUMBERVALUE("-0.004962")</f>
        <v/>
      </c>
      <c r="J1602">
        <f>_xlfn.NUMBERVALUE("-0.000771")</f>
        <v/>
      </c>
      <c r="K1602">
        <f>_xlfn.NUMBERVALUE("-0.002308")</f>
        <v/>
      </c>
      <c r="L1602">
        <f>_xlfn.NUMBERVALUE("0.000411")</f>
        <v/>
      </c>
      <c r="M1602">
        <f>_xlfn.NUMBERVALUE("-0.003600")</f>
        <v/>
      </c>
      <c r="N1602">
        <f>_xlfn.NUMBERVALUE("-0.000485")</f>
        <v/>
      </c>
      <c r="O1602">
        <f>_xlfn.NUMBERVALUE("-0.007765")</f>
        <v/>
      </c>
      <c r="P1602">
        <f>_xlfn.NUMBERVALUE("-0.004383")</f>
        <v/>
      </c>
      <c r="Q1602">
        <f>_xlfn.NUMBERVALUE("-0.003870")</f>
        <v/>
      </c>
      <c r="R1602">
        <f>_xlfn.NUMBERVALUE("-0.001711")</f>
        <v/>
      </c>
      <c r="S1602">
        <f>_xlfn.NUMBERVALUE("-0.002797")</f>
        <v/>
      </c>
      <c r="T1602">
        <f>_xlfn.NUMBERVALUE("-0.003799")</f>
        <v/>
      </c>
      <c r="U1602">
        <f>_xlfn.NUMBERVALUE("-0.002425")</f>
        <v/>
      </c>
      <c r="V1602">
        <f>_xlfn.NUMBERVALUE("-0.004162")</f>
        <v/>
      </c>
      <c r="W1602">
        <f>_xlfn.NUMBERVALUE("-0.013490")</f>
        <v/>
      </c>
      <c r="X1602">
        <f>_xlfn.NUMBERVALUE("2.180000")</f>
        <v/>
      </c>
      <c r="Y1602">
        <f>_xlfn.NUMBERVALUE("21.840000")</f>
        <v/>
      </c>
    </row>
    <row r="1603">
      <c r="A1603" s="1" t="n">
        <v>44328</v>
      </c>
      <c r="B1603">
        <f>_xlfn.NUMBERVALUE("-0.001049")</f>
        <v/>
      </c>
      <c r="C1603" s="2">
        <f>_xlfn.NUMBERVALUE("-0.005299")</f>
        <v/>
      </c>
      <c r="D1603">
        <f>_xlfn.NUMBERVALUE("-0.006854")</f>
        <v/>
      </c>
      <c r="E1603">
        <f>_xlfn.NUMBERVALUE("-0.004881")</f>
        <v/>
      </c>
      <c r="F1603">
        <f>_xlfn.NUMBERVALUE("-0.000865")</f>
        <v/>
      </c>
      <c r="G1603">
        <f>_xlfn.NUMBERVALUE("-0.001027")</f>
        <v/>
      </c>
      <c r="H1603">
        <f>_xlfn.NUMBERVALUE("-0.001039")</f>
        <v/>
      </c>
      <c r="I1603">
        <f>_xlfn.NUMBERVALUE("-0.007706")</f>
        <v/>
      </c>
      <c r="J1603">
        <f>_xlfn.NUMBERVALUE("-0.001043")</f>
        <v/>
      </c>
      <c r="K1603">
        <f>_xlfn.NUMBERVALUE("0.000160")</f>
        <v/>
      </c>
      <c r="L1603">
        <f>_xlfn.NUMBERVALUE("-0.001733")</f>
        <v/>
      </c>
      <c r="M1603">
        <f>_xlfn.NUMBERVALUE("-0.005306")</f>
        <v/>
      </c>
      <c r="N1603">
        <f>_xlfn.NUMBERVALUE("-0.005115")</f>
        <v/>
      </c>
      <c r="O1603">
        <f>_xlfn.NUMBERVALUE("-0.004871")</f>
        <v/>
      </c>
      <c r="P1603">
        <f>_xlfn.NUMBERVALUE("-0.005147")</f>
        <v/>
      </c>
      <c r="Q1603">
        <f>_xlfn.NUMBERVALUE("-0.005719")</f>
        <v/>
      </c>
      <c r="R1603">
        <f>_xlfn.NUMBERVALUE("-0.007819")</f>
        <v/>
      </c>
      <c r="S1603">
        <f>_xlfn.NUMBERVALUE("-0.003614")</f>
        <v/>
      </c>
      <c r="T1603">
        <f>_xlfn.NUMBERVALUE("-0.003985")</f>
        <v/>
      </c>
      <c r="U1603">
        <f>_xlfn.NUMBERVALUE("-0.010535")</f>
        <v/>
      </c>
      <c r="V1603">
        <f>_xlfn.NUMBERVALUE("-0.005912")</f>
        <v/>
      </c>
      <c r="W1603">
        <f>_xlfn.NUMBERVALUE("-0.018023")</f>
        <v/>
      </c>
      <c r="X1603">
        <f>_xlfn.NUMBERVALUE("5.750000")</f>
        <v/>
      </c>
      <c r="Y1603">
        <f>_xlfn.NUMBERVALUE("27.590000")</f>
        <v/>
      </c>
    </row>
    <row r="1604">
      <c r="A1604" s="1" t="n">
        <v>44329</v>
      </c>
      <c r="B1604">
        <f>_xlfn.NUMBERVALUE("0.000644")</f>
        <v/>
      </c>
      <c r="C1604" s="2">
        <f>_xlfn.NUMBERVALUE("0.002033")</f>
        <v/>
      </c>
      <c r="D1604">
        <f>_xlfn.NUMBERVALUE("0.003902")</f>
        <v/>
      </c>
      <c r="E1604">
        <f>_xlfn.NUMBERVALUE("0.003149")</f>
        <v/>
      </c>
      <c r="F1604">
        <f>_xlfn.NUMBERVALUE("0.000704")</f>
        <v/>
      </c>
      <c r="G1604">
        <f>_xlfn.NUMBERVALUE("0.000299")</f>
        <v/>
      </c>
      <c r="H1604">
        <f>_xlfn.NUMBERVALUE("0.000433")</f>
        <v/>
      </c>
      <c r="I1604">
        <f>_xlfn.NUMBERVALUE("0.003391")</f>
        <v/>
      </c>
      <c r="J1604">
        <f>_xlfn.NUMBERVALUE("0.000756")</f>
        <v/>
      </c>
      <c r="K1604">
        <f>_xlfn.NUMBERVALUE("0.000336")</f>
        <v/>
      </c>
      <c r="L1604">
        <f>_xlfn.NUMBERVALUE("0.001169")</f>
        <v/>
      </c>
      <c r="M1604">
        <f>_xlfn.NUMBERVALUE("0.002836")</f>
        <v/>
      </c>
      <c r="N1604">
        <f>_xlfn.NUMBERVALUE("0.004855")</f>
        <v/>
      </c>
      <c r="O1604">
        <f>_xlfn.NUMBERVALUE("0.005574")</f>
        <v/>
      </c>
      <c r="P1604">
        <f>_xlfn.NUMBERVALUE("0.002099")</f>
        <v/>
      </c>
      <c r="Q1604">
        <f>_xlfn.NUMBERVALUE("0.001092")</f>
        <v/>
      </c>
      <c r="R1604">
        <f>_xlfn.NUMBERVALUE("0.003862")</f>
        <v/>
      </c>
      <c r="S1604">
        <f>_xlfn.NUMBERVALUE("0.000718")</f>
        <v/>
      </c>
      <c r="T1604">
        <f>_xlfn.NUMBERVALUE("-0.000391")</f>
        <v/>
      </c>
      <c r="U1604">
        <f>_xlfn.NUMBERVALUE("0.003643")</f>
        <v/>
      </c>
      <c r="V1604">
        <f>_xlfn.NUMBERVALUE("0.003151")</f>
        <v/>
      </c>
      <c r="W1604">
        <f>_xlfn.NUMBERVALUE("0.014147")</f>
        <v/>
      </c>
      <c r="X1604">
        <f>_xlfn.NUMBERVALUE("-4.460000")</f>
        <v/>
      </c>
      <c r="Y1604">
        <f>_xlfn.NUMBERVALUE("23.130000")</f>
        <v/>
      </c>
    </row>
    <row r="1605">
      <c r="A1605" s="1" t="n">
        <v>44330</v>
      </c>
      <c r="B1605">
        <f>_xlfn.NUMBERVALUE("0.000522")</f>
        <v/>
      </c>
      <c r="C1605" s="2">
        <f>_xlfn.NUMBERVALUE("0.003735")</f>
        <v/>
      </c>
      <c r="D1605">
        <f>_xlfn.NUMBERVALUE("0.002896")</f>
        <v/>
      </c>
      <c r="E1605">
        <f>_xlfn.NUMBERVALUE("-0.001424")</f>
        <v/>
      </c>
      <c r="F1605">
        <f>_xlfn.NUMBERVALUE("0.000040")</f>
        <v/>
      </c>
      <c r="G1605">
        <f>_xlfn.NUMBERVALUE("0.001264")</f>
        <v/>
      </c>
      <c r="H1605">
        <f>_xlfn.NUMBERVALUE("0.000766")</f>
        <v/>
      </c>
      <c r="I1605">
        <f>_xlfn.NUMBERVALUE("0.002978")</f>
        <v/>
      </c>
      <c r="J1605">
        <f>_xlfn.NUMBERVALUE("0.000333")</f>
        <v/>
      </c>
      <c r="K1605">
        <f>_xlfn.NUMBERVALUE("0.001555")</f>
        <v/>
      </c>
      <c r="L1605">
        <f>_xlfn.NUMBERVALUE("0.000993")</f>
        <v/>
      </c>
      <c r="M1605">
        <f>_xlfn.NUMBERVALUE("0.004186")</f>
        <v/>
      </c>
      <c r="N1605">
        <f>_xlfn.NUMBERVALUE("0.002861")</f>
        <v/>
      </c>
      <c r="O1605">
        <f>_xlfn.NUMBERVALUE("0.004708")</f>
        <v/>
      </c>
      <c r="P1605">
        <f>_xlfn.NUMBERVALUE("0.003688")</f>
        <v/>
      </c>
      <c r="Q1605">
        <f>_xlfn.NUMBERVALUE("0.004131")</f>
        <v/>
      </c>
      <c r="R1605">
        <f>_xlfn.NUMBERVALUE("0.003655")</f>
        <v/>
      </c>
      <c r="S1605">
        <f>_xlfn.NUMBERVALUE("0.002789")</f>
        <v/>
      </c>
      <c r="T1605">
        <f>_xlfn.NUMBERVALUE("0.003499")</f>
        <v/>
      </c>
      <c r="U1605">
        <f>_xlfn.NUMBERVALUE("0.003433")</f>
        <v/>
      </c>
      <c r="V1605">
        <f>_xlfn.NUMBERVALUE("0.003378")</f>
        <v/>
      </c>
      <c r="W1605">
        <f>_xlfn.NUMBERVALUE("0.010990")</f>
        <v/>
      </c>
      <c r="X1605">
        <f>_xlfn.NUMBERVALUE("-4.320000")</f>
        <v/>
      </c>
      <c r="Y1605">
        <f>_xlfn.NUMBERVALUE("18.810000")</f>
        <v/>
      </c>
    </row>
    <row r="1606">
      <c r="A1606" s="1" t="n">
        <v>44333</v>
      </c>
      <c r="B1606">
        <f>_xlfn.NUMBERVALUE("0.000779")</f>
        <v/>
      </c>
      <c r="C1606" s="2">
        <f>_xlfn.NUMBERVALUE("0.001462")</f>
        <v/>
      </c>
      <c r="D1606">
        <f>_xlfn.NUMBERVALUE("0.001046")</f>
        <v/>
      </c>
      <c r="E1606">
        <f>_xlfn.NUMBERVALUE("0.001247")</f>
        <v/>
      </c>
      <c r="F1606">
        <f>_xlfn.NUMBERVALUE("-0.002147")</f>
        <v/>
      </c>
      <c r="G1606">
        <f>_xlfn.NUMBERVALUE("-0.000421")</f>
        <v/>
      </c>
      <c r="H1606">
        <f>_xlfn.NUMBERVALUE("0.000583")</f>
        <v/>
      </c>
      <c r="I1606">
        <f>_xlfn.NUMBERVALUE("0.000568")</f>
        <v/>
      </c>
      <c r="J1606">
        <f>_xlfn.NUMBERVALUE("0.000547")</f>
        <v/>
      </c>
      <c r="K1606">
        <f>_xlfn.NUMBERVALUE("-0.004203")</f>
        <v/>
      </c>
      <c r="L1606">
        <f>_xlfn.NUMBERVALUE("0.000679")</f>
        <v/>
      </c>
      <c r="M1606">
        <f>_xlfn.NUMBERVALUE("-0.001474")</f>
        <v/>
      </c>
      <c r="N1606">
        <f>_xlfn.NUMBERVALUE("0.006999")</f>
        <v/>
      </c>
      <c r="O1606">
        <f>_xlfn.NUMBERVALUE("-0.001266")</f>
        <v/>
      </c>
      <c r="P1606">
        <f>_xlfn.NUMBERVALUE("0.000449")</f>
        <v/>
      </c>
      <c r="Q1606">
        <f>_xlfn.NUMBERVALUE("0.000452")</f>
        <v/>
      </c>
      <c r="R1606">
        <f>_xlfn.NUMBERVALUE("0.000517")</f>
        <v/>
      </c>
      <c r="S1606">
        <f>_xlfn.NUMBERVALUE("-0.000179")</f>
        <v/>
      </c>
      <c r="T1606">
        <f>_xlfn.NUMBERVALUE("0.000676")</f>
        <v/>
      </c>
      <c r="U1606">
        <f>_xlfn.NUMBERVALUE("0.000964")</f>
        <v/>
      </c>
      <c r="V1606">
        <f>_xlfn.NUMBERVALUE("0.001271")</f>
        <v/>
      </c>
      <c r="W1606">
        <f>_xlfn.NUMBERVALUE("-0.003095")</f>
        <v/>
      </c>
      <c r="X1606">
        <f>_xlfn.NUMBERVALUE("0.910000")</f>
        <v/>
      </c>
      <c r="Y1606">
        <f>_xlfn.NUMBERVALUE("19.720000")</f>
        <v/>
      </c>
    </row>
    <row r="1607">
      <c r="A1607" s="1" t="n">
        <v>44334</v>
      </c>
      <c r="B1607">
        <f>_xlfn.NUMBERVALUE("0.000759")</f>
        <v/>
      </c>
      <c r="C1607" s="2">
        <f>_xlfn.NUMBERVALUE("0.001412")</f>
        <v/>
      </c>
      <c r="D1607">
        <f>_xlfn.NUMBERVALUE("-0.002955")</f>
        <v/>
      </c>
      <c r="E1607">
        <f>_xlfn.NUMBERVALUE("-0.000202")</f>
        <v/>
      </c>
      <c r="F1607">
        <f>_xlfn.NUMBERVALUE("0.000612")</f>
        <v/>
      </c>
      <c r="G1607">
        <f>_xlfn.NUMBERVALUE("0.001017")</f>
        <v/>
      </c>
      <c r="H1607">
        <f>_xlfn.NUMBERVALUE("0.000634")</f>
        <v/>
      </c>
      <c r="I1607">
        <f>_xlfn.NUMBERVALUE("0.003357")</f>
        <v/>
      </c>
      <c r="J1607">
        <f>_xlfn.NUMBERVALUE("0.001295")</f>
        <v/>
      </c>
      <c r="K1607">
        <f>_xlfn.NUMBERVALUE("0.000852")</f>
        <v/>
      </c>
      <c r="L1607">
        <f>_xlfn.NUMBERVALUE("0.000496")</f>
        <v/>
      </c>
      <c r="M1607">
        <f>_xlfn.NUMBERVALUE("0.002382")</f>
        <v/>
      </c>
      <c r="N1607">
        <f>_xlfn.NUMBERVALUE("0.002081")</f>
        <v/>
      </c>
      <c r="O1607">
        <f>_xlfn.NUMBERVALUE("-0.000176")</f>
        <v/>
      </c>
      <c r="P1607">
        <f>_xlfn.NUMBERVALUE("0.001415")</f>
        <v/>
      </c>
      <c r="Q1607">
        <f>_xlfn.NUMBERVALUE("0.001309")</f>
        <v/>
      </c>
      <c r="R1607">
        <f>_xlfn.NUMBERVALUE("0.002135")</f>
        <v/>
      </c>
      <c r="S1607">
        <f>_xlfn.NUMBERVALUE("0.001087")</f>
        <v/>
      </c>
      <c r="T1607">
        <f>_xlfn.NUMBERVALUE("0.001153")</f>
        <v/>
      </c>
      <c r="U1607">
        <f>_xlfn.NUMBERVALUE("0.001187")</f>
        <v/>
      </c>
      <c r="V1607">
        <f>_xlfn.NUMBERVALUE("0.001542")</f>
        <v/>
      </c>
      <c r="W1607">
        <f>_xlfn.NUMBERVALUE("-0.003442")</f>
        <v/>
      </c>
      <c r="X1607">
        <f>_xlfn.NUMBERVALUE("1.620000")</f>
        <v/>
      </c>
      <c r="Y1607">
        <f>_xlfn.NUMBERVALUE("21.340000")</f>
        <v/>
      </c>
    </row>
    <row r="1608">
      <c r="A1608" s="1" t="n">
        <v>44335</v>
      </c>
      <c r="B1608">
        <f>_xlfn.NUMBERVALUE("-0.000046")</f>
        <v/>
      </c>
      <c r="C1608" s="2">
        <f>_xlfn.NUMBERVALUE("-0.002689")</f>
        <v/>
      </c>
      <c r="D1608">
        <f>_xlfn.NUMBERVALUE("-0.001909")</f>
        <v/>
      </c>
      <c r="E1608">
        <f>_xlfn.NUMBERVALUE("-0.001936")</f>
        <v/>
      </c>
      <c r="F1608">
        <f>_xlfn.NUMBERVALUE("-0.000292")</f>
        <v/>
      </c>
      <c r="G1608">
        <f>_xlfn.NUMBERVALUE("-0.000012")</f>
        <v/>
      </c>
      <c r="H1608">
        <f>_xlfn.NUMBERVALUE("-0.000527")</f>
        <v/>
      </c>
      <c r="I1608">
        <f>_xlfn.NUMBERVALUE("-0.003380")</f>
        <v/>
      </c>
      <c r="J1608">
        <f>_xlfn.NUMBERVALUE("-0.001173")</f>
        <v/>
      </c>
      <c r="K1608">
        <f>_xlfn.NUMBERVALUE("0.000288")</f>
        <v/>
      </c>
      <c r="L1608">
        <f>_xlfn.NUMBERVALUE("-0.000298")</f>
        <v/>
      </c>
      <c r="M1608">
        <f>_xlfn.NUMBERVALUE("-0.005082")</f>
        <v/>
      </c>
      <c r="N1608">
        <f>_xlfn.NUMBERVALUE("-0.001765")</f>
        <v/>
      </c>
      <c r="O1608">
        <f>_xlfn.NUMBERVALUE("-0.008083")</f>
        <v/>
      </c>
      <c r="P1608">
        <f>_xlfn.NUMBERVALUE("-0.001643")</f>
        <v/>
      </c>
      <c r="Q1608">
        <f>_xlfn.NUMBERVALUE("-0.002792")</f>
        <v/>
      </c>
      <c r="R1608">
        <f>_xlfn.NUMBERVALUE("-0.003902")</f>
        <v/>
      </c>
      <c r="S1608">
        <f>_xlfn.NUMBERVALUE("-0.001079")</f>
        <v/>
      </c>
      <c r="T1608">
        <f>_xlfn.NUMBERVALUE("-0.001018")</f>
        <v/>
      </c>
      <c r="U1608">
        <f>_xlfn.NUMBERVALUE("-0.002663")</f>
        <v/>
      </c>
      <c r="V1608">
        <f>_xlfn.NUMBERVALUE("-0.002222")</f>
        <v/>
      </c>
      <c r="W1608">
        <f>_xlfn.NUMBERVALUE("-0.011618")</f>
        <v/>
      </c>
      <c r="X1608">
        <f>_xlfn.NUMBERVALUE("0.840000")</f>
        <v/>
      </c>
      <c r="Y1608">
        <f>_xlfn.NUMBERVALUE("22.180000")</f>
        <v/>
      </c>
    </row>
    <row r="1609">
      <c r="A1609" s="1" t="n">
        <v>44336</v>
      </c>
      <c r="B1609">
        <f>_xlfn.NUMBERVALUE("-0.000650")</f>
        <v/>
      </c>
      <c r="C1609" s="2">
        <f>_xlfn.NUMBERVALUE("-0.000363")</f>
        <v/>
      </c>
      <c r="D1609">
        <f>_xlfn.NUMBERVALUE("0.002360")</f>
        <v/>
      </c>
      <c r="E1609">
        <f>_xlfn.NUMBERVALUE("-0.001724")</f>
        <v/>
      </c>
      <c r="F1609">
        <f>_xlfn.NUMBERVALUE("0.000269")</f>
        <v/>
      </c>
      <c r="G1609">
        <f>_xlfn.NUMBERVALUE("0.000660")</f>
        <v/>
      </c>
      <c r="H1609">
        <f>_xlfn.NUMBERVALUE("0.000987")</f>
        <v/>
      </c>
      <c r="I1609">
        <f>_xlfn.NUMBERVALUE("0.003761")</f>
        <v/>
      </c>
      <c r="J1609">
        <f>_xlfn.NUMBERVALUE("0.000148")</f>
        <v/>
      </c>
      <c r="K1609">
        <f>_xlfn.NUMBERVALUE("0.001158")</f>
        <v/>
      </c>
      <c r="L1609">
        <f>_xlfn.NUMBERVALUE("0.001944")</f>
        <v/>
      </c>
      <c r="M1609">
        <f>_xlfn.NUMBERVALUE("0.004558")</f>
        <v/>
      </c>
      <c r="N1609">
        <f>_xlfn.NUMBERVALUE("-0.000545")</f>
        <v/>
      </c>
      <c r="O1609">
        <f>_xlfn.NUMBERVALUE("0.005949")</f>
        <v/>
      </c>
      <c r="P1609">
        <f>_xlfn.NUMBERVALUE("0.002994")</f>
        <v/>
      </c>
      <c r="Q1609">
        <f>_xlfn.NUMBERVALUE("0.002355")</f>
        <v/>
      </c>
      <c r="R1609">
        <f>_xlfn.NUMBERVALUE("-0.001887")</f>
        <v/>
      </c>
      <c r="S1609">
        <f>_xlfn.NUMBERVALUE("0.000866")</f>
        <v/>
      </c>
      <c r="T1609">
        <f>_xlfn.NUMBERVALUE("0.001529")</f>
        <v/>
      </c>
      <c r="U1609">
        <f>_xlfn.NUMBERVALUE("0.002351")</f>
        <v/>
      </c>
      <c r="V1609">
        <f>_xlfn.NUMBERVALUE("-0.000812")</f>
        <v/>
      </c>
      <c r="W1609">
        <f>_xlfn.NUMBERVALUE("0.016031")</f>
        <v/>
      </c>
      <c r="X1609">
        <f>_xlfn.NUMBERVALUE("-1.510000")</f>
        <v/>
      </c>
      <c r="Y1609">
        <f>_xlfn.NUMBERVALUE("20.670000")</f>
        <v/>
      </c>
    </row>
    <row r="1610">
      <c r="A1610" s="1" t="n">
        <v>44337</v>
      </c>
      <c r="B1610">
        <f>_xlfn.NUMBERVALUE("0.000831")</f>
        <v/>
      </c>
      <c r="C1610" s="2">
        <f>_xlfn.NUMBERVALUE("0.001601")</f>
        <v/>
      </c>
      <c r="D1610">
        <f>_xlfn.NUMBERVALUE("0.001328")</f>
        <v/>
      </c>
      <c r="E1610">
        <f>_xlfn.NUMBERVALUE("0.003086")</f>
        <v/>
      </c>
      <c r="F1610">
        <f>_xlfn.NUMBERVALUE("0.000453")</f>
        <v/>
      </c>
      <c r="G1610">
        <f>_xlfn.NUMBERVALUE("-0.001026")</f>
        <v/>
      </c>
      <c r="H1610">
        <f>_xlfn.NUMBERVALUE("0.000648")</f>
        <v/>
      </c>
      <c r="I1610">
        <f>_xlfn.NUMBERVALUE("0.003469")</f>
        <v/>
      </c>
      <c r="J1610">
        <f>_xlfn.NUMBERVALUE("0.000636")</f>
        <v/>
      </c>
      <c r="K1610">
        <f>_xlfn.NUMBERVALUE("0.005422")</f>
        <v/>
      </c>
      <c r="L1610">
        <f>_xlfn.NUMBERVALUE("0.000811")</f>
        <v/>
      </c>
      <c r="M1610">
        <f>_xlfn.NUMBERVALUE("0.001686")</f>
        <v/>
      </c>
      <c r="N1610">
        <f>_xlfn.NUMBERVALUE("0.002522")</f>
        <v/>
      </c>
      <c r="O1610">
        <f>_xlfn.NUMBERVALUE("0.002654")</f>
        <v/>
      </c>
      <c r="P1610">
        <f>_xlfn.NUMBERVALUE("0.001887")</f>
        <v/>
      </c>
      <c r="Q1610">
        <f>_xlfn.NUMBERVALUE("0.001384")</f>
        <v/>
      </c>
      <c r="R1610">
        <f>_xlfn.NUMBERVALUE("0.002696")</f>
        <v/>
      </c>
      <c r="S1610">
        <f>_xlfn.NUMBERVALUE("0.001264")</f>
        <v/>
      </c>
      <c r="T1610">
        <f>_xlfn.NUMBERVALUE("0.001485")</f>
        <v/>
      </c>
      <c r="U1610">
        <f>_xlfn.NUMBERVALUE("-0.000206")</f>
        <v/>
      </c>
      <c r="V1610">
        <f>_xlfn.NUMBERVALUE("0.002096")</f>
        <v/>
      </c>
      <c r="W1610">
        <f>_xlfn.NUMBERVALUE("-0.001828")</f>
        <v/>
      </c>
      <c r="X1610">
        <f>_xlfn.NUMBERVALUE("-0.520000")</f>
        <v/>
      </c>
      <c r="Y1610">
        <f>_xlfn.NUMBERVALUE("20.150000")</f>
        <v/>
      </c>
    </row>
    <row r="1611">
      <c r="A1611" s="1" t="n">
        <v>44340</v>
      </c>
      <c r="B1611">
        <f>_xlfn.NUMBERVALUE("0.000072")</f>
        <v/>
      </c>
      <c r="C1611" s="2">
        <f>_xlfn.NUMBERVALUE("0.002685")</f>
        <v/>
      </c>
      <c r="D1611">
        <f>_xlfn.NUMBERVALUE("0.003258")</f>
        <v/>
      </c>
      <c r="E1611">
        <f>_xlfn.NUMBERVALUE("0.000002")</f>
        <v/>
      </c>
      <c r="F1611">
        <f>_xlfn.NUMBERVALUE("0.000334")</f>
        <v/>
      </c>
      <c r="G1611">
        <f>_xlfn.NUMBERVALUE("0.002385")</f>
        <v/>
      </c>
      <c r="H1611">
        <f>_xlfn.NUMBERVALUE("0.000422")</f>
        <v/>
      </c>
      <c r="I1611">
        <f>_xlfn.NUMBERVALUE("0.004795")</f>
        <v/>
      </c>
      <c r="J1611">
        <f>_xlfn.NUMBERVALUE("0.000904")</f>
        <v/>
      </c>
      <c r="K1611">
        <f>_xlfn.NUMBERVALUE("0.000722")</f>
        <v/>
      </c>
      <c r="L1611">
        <f>_xlfn.NUMBERVALUE("0.000825")</f>
        <v/>
      </c>
      <c r="M1611">
        <f>_xlfn.NUMBERVALUE("0.004097")</f>
        <v/>
      </c>
      <c r="N1611">
        <f>_xlfn.NUMBERVALUE("0.000300")</f>
        <v/>
      </c>
      <c r="O1611">
        <f>_xlfn.NUMBERVALUE("0.006696")</f>
        <v/>
      </c>
      <c r="P1611">
        <f>_xlfn.NUMBERVALUE("0.003638")</f>
        <v/>
      </c>
      <c r="Q1611">
        <f>_xlfn.NUMBERVALUE("0.002720")</f>
        <v/>
      </c>
      <c r="R1611">
        <f>_xlfn.NUMBERVALUE("0.000413")</f>
        <v/>
      </c>
      <c r="S1611">
        <f>_xlfn.NUMBERVALUE("0.001360")</f>
        <v/>
      </c>
      <c r="T1611">
        <f>_xlfn.NUMBERVALUE("0.002764")</f>
        <v/>
      </c>
      <c r="U1611">
        <f>_xlfn.NUMBERVALUE("0.003826")</f>
        <v/>
      </c>
      <c r="V1611">
        <f>_xlfn.NUMBERVALUE("0.001425")</f>
        <v/>
      </c>
      <c r="W1611">
        <f>_xlfn.NUMBERVALUE("0.011397")</f>
        <v/>
      </c>
      <c r="X1611">
        <f>_xlfn.NUMBERVALUE("-1.750000")</f>
        <v/>
      </c>
      <c r="Y1611">
        <f>_xlfn.NUMBERVALUE("18.400000")</f>
        <v/>
      </c>
    </row>
    <row r="1612">
      <c r="A1612" s="1" t="n">
        <v>44341</v>
      </c>
      <c r="B1612">
        <f>_xlfn.NUMBERVALUE("0.000110")</f>
        <v/>
      </c>
      <c r="C1612" s="2">
        <f>_xlfn.NUMBERVALUE("0.000889")</f>
        <v/>
      </c>
      <c r="D1612">
        <f>_xlfn.NUMBERVALUE("-0.001080")</f>
        <v/>
      </c>
      <c r="E1612">
        <f>_xlfn.NUMBERVALUE("0.000976")</f>
        <v/>
      </c>
      <c r="F1612">
        <f>_xlfn.NUMBERVALUE("-0.000165")</f>
        <v/>
      </c>
      <c r="G1612">
        <f>_xlfn.NUMBERVALUE("-0.000102")</f>
        <v/>
      </c>
      <c r="H1612">
        <f>_xlfn.NUMBERVALUE("0.000364")</f>
        <v/>
      </c>
      <c r="I1612">
        <f>_xlfn.NUMBERVALUE("0.001054")</f>
        <v/>
      </c>
      <c r="J1612">
        <f>_xlfn.NUMBERVALUE("-0.000435")</f>
        <v/>
      </c>
      <c r="K1612">
        <f>_xlfn.NUMBERVALUE("0.000563")</f>
        <v/>
      </c>
      <c r="L1612">
        <f>_xlfn.NUMBERVALUE("-0.001323")</f>
        <v/>
      </c>
      <c r="M1612">
        <f>_xlfn.NUMBERVALUE("0.001136")</f>
        <v/>
      </c>
      <c r="N1612">
        <f>_xlfn.NUMBERVALUE("-0.000215")</f>
        <v/>
      </c>
      <c r="O1612">
        <f>_xlfn.NUMBERVALUE("-0.001263")</f>
        <v/>
      </c>
      <c r="P1612">
        <f>_xlfn.NUMBERVALUE("0.000128")</f>
        <v/>
      </c>
      <c r="Q1612">
        <f>_xlfn.NUMBERVALUE("0.000625")</f>
        <v/>
      </c>
      <c r="R1612">
        <f>_xlfn.NUMBERVALUE("0.000482")</f>
        <v/>
      </c>
      <c r="S1612">
        <f>_xlfn.NUMBERVALUE("0.000651")</f>
        <v/>
      </c>
      <c r="T1612">
        <f>_xlfn.NUMBERVALUE("-0.001367")</f>
        <v/>
      </c>
      <c r="U1612">
        <f>_xlfn.NUMBERVALUE("0.001241")</f>
        <v/>
      </c>
      <c r="V1612">
        <f>_xlfn.NUMBERVALUE("0.000608")</f>
        <v/>
      </c>
      <c r="W1612">
        <f>_xlfn.NUMBERVALUE("-0.003359")</f>
        <v/>
      </c>
      <c r="X1612">
        <f>_xlfn.NUMBERVALUE("0.440000")</f>
        <v/>
      </c>
      <c r="Y1612">
        <f>_xlfn.NUMBERVALUE("18.840000")</f>
        <v/>
      </c>
    </row>
    <row r="1613">
      <c r="A1613" s="1" t="n">
        <v>44342</v>
      </c>
      <c r="B1613">
        <f>_xlfn.NUMBERVALUE("0.003473")</f>
        <v/>
      </c>
      <c r="C1613" s="2">
        <f>_xlfn.NUMBERVALUE("0.002483")</f>
        <v/>
      </c>
      <c r="D1613">
        <f>_xlfn.NUMBERVALUE("0.000046")</f>
        <v/>
      </c>
      <c r="E1613">
        <f>_xlfn.NUMBERVALUE("0.002083")</f>
        <v/>
      </c>
      <c r="F1613">
        <f>_xlfn.NUMBERVALUE("0.000344")</f>
        <v/>
      </c>
      <c r="G1613">
        <f>_xlfn.NUMBERVALUE("0.000300")</f>
        <v/>
      </c>
      <c r="H1613">
        <f>_xlfn.NUMBERVALUE("-0.000369")</f>
        <v/>
      </c>
      <c r="I1613">
        <f>_xlfn.NUMBERVALUE("-0.000836")</f>
        <v/>
      </c>
      <c r="J1613">
        <f>_xlfn.NUMBERVALUE("0.001067")</f>
        <v/>
      </c>
      <c r="K1613">
        <f>_xlfn.NUMBERVALUE("0.002122")</f>
        <v/>
      </c>
      <c r="L1613">
        <f>_xlfn.NUMBERVALUE("0.000489")</f>
        <v/>
      </c>
      <c r="M1613">
        <f>_xlfn.NUMBERVALUE("0.004035")</f>
        <v/>
      </c>
      <c r="N1613">
        <f>_xlfn.NUMBERVALUE("0.000988")</f>
        <v/>
      </c>
      <c r="O1613">
        <f>_xlfn.NUMBERVALUE("-0.000053")</f>
        <v/>
      </c>
      <c r="P1613">
        <f>_xlfn.NUMBERVALUE("0.001896")</f>
        <v/>
      </c>
      <c r="Q1613">
        <f>_xlfn.NUMBERVALUE("0.001795")</f>
        <v/>
      </c>
      <c r="R1613">
        <f>_xlfn.NUMBERVALUE("0.003266")</f>
        <v/>
      </c>
      <c r="S1613">
        <f>_xlfn.NUMBERVALUE("0.001213")</f>
        <v/>
      </c>
      <c r="T1613">
        <f>_xlfn.NUMBERVALUE("0.001176")</f>
        <v/>
      </c>
      <c r="U1613">
        <f>_xlfn.NUMBERVALUE("0.000812")</f>
        <v/>
      </c>
      <c r="V1613">
        <f>_xlfn.NUMBERVALUE("0.001817")</f>
        <v/>
      </c>
      <c r="W1613">
        <f>_xlfn.NUMBERVALUE("0.001243")</f>
        <v/>
      </c>
      <c r="X1613">
        <f>_xlfn.NUMBERVALUE("-1.480000")</f>
        <v/>
      </c>
      <c r="Y1613">
        <f>_xlfn.NUMBERVALUE("17.360000")</f>
        <v/>
      </c>
    </row>
    <row r="1614">
      <c r="A1614" s="1" t="n">
        <v>44343</v>
      </c>
      <c r="B1614">
        <f>_xlfn.NUMBERVALUE("0.001821")</f>
        <v/>
      </c>
      <c r="C1614" s="2">
        <f>_xlfn.NUMBERVALUE("0.000486")</f>
        <v/>
      </c>
      <c r="D1614">
        <f>_xlfn.NUMBERVALUE("0.001826")</f>
        <v/>
      </c>
      <c r="E1614">
        <f>_xlfn.NUMBERVALUE("0.001658")</f>
        <v/>
      </c>
      <c r="F1614">
        <f>_xlfn.NUMBERVALUE("0.000124")</f>
        <v/>
      </c>
      <c r="G1614">
        <f>_xlfn.NUMBERVALUE("0.001420")</f>
        <v/>
      </c>
      <c r="H1614">
        <f>_xlfn.NUMBERVALUE("0.000513")</f>
        <v/>
      </c>
      <c r="I1614">
        <f>_xlfn.NUMBERVALUE("0.000354")</f>
        <v/>
      </c>
      <c r="J1614">
        <f>_xlfn.NUMBERVALUE("0.000589")</f>
        <v/>
      </c>
      <c r="K1614">
        <f>_xlfn.NUMBERVALUE("0.001223")</f>
        <v/>
      </c>
      <c r="L1614">
        <f>_xlfn.NUMBERVALUE("0.001255")</f>
        <v/>
      </c>
      <c r="M1614">
        <f>_xlfn.NUMBERVALUE("0.001566")</f>
        <v/>
      </c>
      <c r="N1614">
        <f>_xlfn.NUMBERVALUE("0.000480")</f>
        <v/>
      </c>
      <c r="O1614">
        <f>_xlfn.NUMBERVALUE("0.004905")</f>
        <v/>
      </c>
      <c r="P1614">
        <f>_xlfn.NUMBERVALUE("-0.000334")</f>
        <v/>
      </c>
      <c r="Q1614">
        <f>_xlfn.NUMBERVALUE("-0.001787")</f>
        <v/>
      </c>
      <c r="R1614">
        <f>_xlfn.NUMBERVALUE("0.002389")</f>
        <v/>
      </c>
      <c r="S1614">
        <f>_xlfn.NUMBERVALUE("0.000042")</f>
        <v/>
      </c>
      <c r="T1614">
        <f>_xlfn.NUMBERVALUE("0.000014")</f>
        <v/>
      </c>
      <c r="U1614">
        <f>_xlfn.NUMBERVALUE("0.002000")</f>
        <v/>
      </c>
      <c r="V1614">
        <f>_xlfn.NUMBERVALUE("0.001817")</f>
        <v/>
      </c>
      <c r="W1614">
        <f>_xlfn.NUMBERVALUE("0.001456")</f>
        <v/>
      </c>
      <c r="X1614">
        <f>_xlfn.NUMBERVALUE("-0.620000")</f>
        <v/>
      </c>
      <c r="Y1614">
        <f>_xlfn.NUMBERVALUE("16.740000")</f>
        <v/>
      </c>
    </row>
    <row r="1615">
      <c r="A1615" s="1" t="n">
        <v>44344</v>
      </c>
      <c r="B1615">
        <f>_xlfn.NUMBERVALUE("-0.004901")</f>
        <v/>
      </c>
      <c r="C1615" s="2">
        <f>_xlfn.NUMBERVALUE("0.001120")</f>
        <v/>
      </c>
      <c r="D1615">
        <f>_xlfn.NUMBERVALUE("0.000059")</f>
        <v/>
      </c>
      <c r="E1615">
        <f>_xlfn.NUMBERVALUE("-0.000674")</f>
        <v/>
      </c>
      <c r="F1615">
        <f>_xlfn.NUMBERVALUE("0.000076")</f>
        <v/>
      </c>
      <c r="G1615">
        <f>_xlfn.NUMBERVALUE("0.000421")</f>
        <v/>
      </c>
      <c r="H1615">
        <f>_xlfn.NUMBERVALUE("0.000557")</f>
        <v/>
      </c>
      <c r="I1615">
        <f>_xlfn.NUMBERVALUE("0.003882")</f>
        <v/>
      </c>
      <c r="J1615">
        <f>_xlfn.NUMBERVALUE("-0.000163")</f>
        <v/>
      </c>
      <c r="K1615">
        <f>_xlfn.NUMBERVALUE("0.000671")</f>
        <v/>
      </c>
      <c r="L1615">
        <f>_xlfn.NUMBERVALUE("0.001139")</f>
        <v/>
      </c>
      <c r="M1615">
        <f>_xlfn.NUMBERVALUE("0.002285")</f>
        <v/>
      </c>
      <c r="N1615">
        <f>_xlfn.NUMBERVALUE("0.002652")</f>
        <v/>
      </c>
      <c r="O1615">
        <f>_xlfn.NUMBERVALUE("0.003060")</f>
        <v/>
      </c>
      <c r="P1615">
        <f>_xlfn.NUMBERVALUE("0.002734")</f>
        <v/>
      </c>
      <c r="Q1615">
        <f>_xlfn.NUMBERVALUE("0.002491")</f>
        <v/>
      </c>
      <c r="R1615">
        <f>_xlfn.NUMBERVALUE("0.002055")</f>
        <v/>
      </c>
      <c r="S1615">
        <f>_xlfn.NUMBERVALUE("0.001744")</f>
        <v/>
      </c>
      <c r="T1615">
        <f>_xlfn.NUMBERVALUE("0.001336")</f>
        <v/>
      </c>
      <c r="U1615">
        <f>_xlfn.NUMBERVALUE("0.002883")</f>
        <v/>
      </c>
      <c r="V1615">
        <f>_xlfn.NUMBERVALUE("0.001480")</f>
        <v/>
      </c>
      <c r="W1615">
        <f>_xlfn.NUMBERVALUE("0.002742")</f>
        <v/>
      </c>
      <c r="X1615">
        <f>_xlfn.NUMBERVALUE("0.020000")</f>
        <v/>
      </c>
      <c r="Y1615">
        <f>_xlfn.NUMBERVALUE("16.760000")</f>
        <v/>
      </c>
    </row>
    <row r="1616">
      <c r="A1616" s="1" t="n">
        <v>44348</v>
      </c>
      <c r="B1616">
        <f>_xlfn.NUMBERVALUE("0.007208")</f>
        <v/>
      </c>
      <c r="C1616" s="2">
        <f>_xlfn.NUMBERVALUE("0.000492")</f>
        <v/>
      </c>
      <c r="D1616">
        <f>_xlfn.NUMBERVALUE("-0.002026")</f>
        <v/>
      </c>
      <c r="E1616">
        <f>_xlfn.NUMBERVALUE("0.000859")</f>
        <v/>
      </c>
      <c r="F1616">
        <f>_xlfn.NUMBERVALUE("0.000184")</f>
        <v/>
      </c>
      <c r="G1616">
        <f>_xlfn.NUMBERVALUE("-0.000663")</f>
        <v/>
      </c>
      <c r="H1616">
        <f>_xlfn.NUMBERVALUE("0.001271")</f>
        <v/>
      </c>
      <c r="I1616">
        <f>_xlfn.NUMBERVALUE("-0.000981")</f>
        <v/>
      </c>
      <c r="J1616">
        <f>_xlfn.NUMBERVALUE("-0.000907")</f>
        <v/>
      </c>
      <c r="K1616">
        <f>_xlfn.NUMBERVALUE("0.002009")</f>
        <v/>
      </c>
      <c r="L1616">
        <f>_xlfn.NUMBERVALUE("0.000942")</f>
        <v/>
      </c>
      <c r="M1616">
        <f>_xlfn.NUMBERVALUE("-0.001818")</f>
        <v/>
      </c>
      <c r="N1616">
        <f>_xlfn.NUMBERVALUE("0.000581")</f>
        <v/>
      </c>
      <c r="O1616">
        <f>_xlfn.NUMBERVALUE("-0.010637")</f>
        <v/>
      </c>
      <c r="P1616">
        <f>_xlfn.NUMBERVALUE("0.000165")</f>
        <v/>
      </c>
      <c r="Q1616">
        <f>_xlfn.NUMBERVALUE("0.000349")</f>
        <v/>
      </c>
      <c r="R1616">
        <f>_xlfn.NUMBERVALUE("0.001257")</f>
        <v/>
      </c>
      <c r="S1616">
        <f>_xlfn.NUMBERVALUE("-0.000681")</f>
        <v/>
      </c>
      <c r="T1616">
        <f>_xlfn.NUMBERVALUE("-0.000532")</f>
        <v/>
      </c>
      <c r="U1616">
        <f>_xlfn.NUMBERVALUE("0.000602")</f>
        <v/>
      </c>
      <c r="V1616">
        <f>_xlfn.NUMBERVALUE("0.002170")</f>
        <v/>
      </c>
      <c r="W1616">
        <f>_xlfn.NUMBERVALUE("-0.002140")</f>
        <v/>
      </c>
      <c r="X1616">
        <f>_xlfn.NUMBERVALUE("1.140000")</f>
        <v/>
      </c>
      <c r="Y1616">
        <f>_xlfn.NUMBERVALUE("17.900000")</f>
        <v/>
      </c>
    </row>
    <row r="1617">
      <c r="A1617" s="1" t="n">
        <v>44349</v>
      </c>
      <c r="B1617">
        <f>_xlfn.NUMBERVALUE("0.001647")</f>
        <v/>
      </c>
      <c r="C1617" s="2">
        <f>_xlfn.NUMBERVALUE("0.001163")</f>
        <v/>
      </c>
      <c r="D1617">
        <f>_xlfn.NUMBERVALUE("0.000155")</f>
        <v/>
      </c>
      <c r="E1617">
        <f>_xlfn.NUMBERVALUE("-0.000064")</f>
        <v/>
      </c>
      <c r="F1617">
        <f>_xlfn.NUMBERVALUE("-0.000078")</f>
        <v/>
      </c>
      <c r="G1617">
        <f>_xlfn.NUMBERVALUE("-0.000283")</f>
        <v/>
      </c>
      <c r="H1617">
        <f>_xlfn.NUMBERVALUE("-0.000028")</f>
        <v/>
      </c>
      <c r="I1617">
        <f>_xlfn.NUMBERVALUE("0.001048")</f>
        <v/>
      </c>
      <c r="J1617">
        <f>_xlfn.NUMBERVALUE("0.000612")</f>
        <v/>
      </c>
      <c r="K1617">
        <f>_xlfn.NUMBERVALUE("0.000142")</f>
        <v/>
      </c>
      <c r="L1617">
        <f>_xlfn.NUMBERVALUE("0.000212")</f>
        <v/>
      </c>
      <c r="M1617">
        <f>_xlfn.NUMBERVALUE("-0.000696")</f>
        <v/>
      </c>
      <c r="N1617">
        <f>_xlfn.NUMBERVALUE("0.001314")</f>
        <v/>
      </c>
      <c r="O1617">
        <f>_xlfn.NUMBERVALUE("-0.002085")</f>
        <v/>
      </c>
      <c r="P1617">
        <f>_xlfn.NUMBERVALUE("0.002046")</f>
        <v/>
      </c>
      <c r="Q1617">
        <f>_xlfn.NUMBERVALUE("0.000880")</f>
        <v/>
      </c>
      <c r="R1617">
        <f>_xlfn.NUMBERVALUE("0.001143")</f>
        <v/>
      </c>
      <c r="S1617">
        <f>_xlfn.NUMBERVALUE("0.001439")</f>
        <v/>
      </c>
      <c r="T1617">
        <f>_xlfn.NUMBERVALUE("0.000083")</f>
        <v/>
      </c>
      <c r="U1617">
        <f>_xlfn.NUMBERVALUE("0.000597")</f>
        <v/>
      </c>
      <c r="V1617">
        <f>_xlfn.NUMBERVALUE("0.000602")</f>
        <v/>
      </c>
      <c r="W1617">
        <f>_xlfn.NUMBERVALUE("0.000334")</f>
        <v/>
      </c>
      <c r="X1617">
        <f>_xlfn.NUMBERVALUE("-0.420000")</f>
        <v/>
      </c>
      <c r="Y1617">
        <f>_xlfn.NUMBERVALUE("17.480000")</f>
        <v/>
      </c>
    </row>
    <row r="1618">
      <c r="A1618" s="1" t="n">
        <v>44350</v>
      </c>
      <c r="B1618">
        <f>_xlfn.NUMBERVALUE("-0.003089")</f>
        <v/>
      </c>
      <c r="C1618" s="2">
        <f>_xlfn.NUMBERVALUE("0.000908")</f>
        <v/>
      </c>
      <c r="D1618">
        <f>_xlfn.NUMBERVALUE("-0.000076")</f>
        <v/>
      </c>
      <c r="E1618">
        <f>_xlfn.NUMBERVALUE("0.000111")</f>
        <v/>
      </c>
      <c r="F1618">
        <f>_xlfn.NUMBERVALUE("0.000140")</f>
        <v/>
      </c>
      <c r="G1618">
        <f>_xlfn.NUMBERVALUE("0.000550")</f>
        <v/>
      </c>
      <c r="H1618">
        <f>_xlfn.NUMBERVALUE("0.000172")</f>
        <v/>
      </c>
      <c r="I1618">
        <f>_xlfn.NUMBERVALUE("0.001090")</f>
        <v/>
      </c>
      <c r="J1618">
        <f>_xlfn.NUMBERVALUE("0.000766")</f>
        <v/>
      </c>
      <c r="K1618">
        <f>_xlfn.NUMBERVALUE("0.000823")</f>
        <v/>
      </c>
      <c r="L1618">
        <f>_xlfn.NUMBERVALUE("0.000322")</f>
        <v/>
      </c>
      <c r="M1618">
        <f>_xlfn.NUMBERVALUE("-0.000359")</f>
        <v/>
      </c>
      <c r="N1618">
        <f>_xlfn.NUMBERVALUE("0.000786")</f>
        <v/>
      </c>
      <c r="O1618">
        <f>_xlfn.NUMBERVALUE("0.001216")</f>
        <v/>
      </c>
      <c r="P1618">
        <f>_xlfn.NUMBERVALUE("0.000390")</f>
        <v/>
      </c>
      <c r="Q1618">
        <f>_xlfn.NUMBERVALUE("-0.000398")</f>
        <v/>
      </c>
      <c r="R1618">
        <f>_xlfn.NUMBERVALUE("-0.001276")</f>
        <v/>
      </c>
      <c r="S1618">
        <f>_xlfn.NUMBERVALUE("0.000005")</f>
        <v/>
      </c>
      <c r="T1618">
        <f>_xlfn.NUMBERVALUE("0.000308")</f>
        <v/>
      </c>
      <c r="U1618">
        <f>_xlfn.NUMBERVALUE("-0.004513")</f>
        <v/>
      </c>
      <c r="V1618">
        <f>_xlfn.NUMBERVALUE("0.000841")</f>
        <v/>
      </c>
      <c r="W1618">
        <f>_xlfn.NUMBERVALUE("-0.002429")</f>
        <v/>
      </c>
      <c r="X1618">
        <f>_xlfn.NUMBERVALUE("0.560000")</f>
        <v/>
      </c>
      <c r="Y1618">
        <f>_xlfn.NUMBERVALUE("18.040000")</f>
        <v/>
      </c>
    </row>
    <row r="1619">
      <c r="A1619" s="1" t="n">
        <v>44351</v>
      </c>
      <c r="B1619">
        <f>_xlfn.NUMBERVALUE("0.005713")</f>
        <v/>
      </c>
      <c r="C1619" s="2">
        <f>_xlfn.NUMBERVALUE("-0.000386")</f>
        <v/>
      </c>
      <c r="D1619">
        <f>_xlfn.NUMBERVALUE("-0.000207")</f>
        <v/>
      </c>
      <c r="E1619">
        <f>_xlfn.NUMBERVALUE("-0.000098")</f>
        <v/>
      </c>
      <c r="F1619">
        <f>_xlfn.NUMBERVALUE("-0.000184")</f>
        <v/>
      </c>
      <c r="G1619">
        <f>_xlfn.NUMBERVALUE("0.000084")</f>
        <v/>
      </c>
      <c r="H1619">
        <f>_xlfn.NUMBERVALUE("-0.001646")</f>
        <v/>
      </c>
      <c r="I1619">
        <f>_xlfn.NUMBERVALUE("0.001903")</f>
        <v/>
      </c>
      <c r="J1619">
        <f>_xlfn.NUMBERVALUE("-0.002578")</f>
        <v/>
      </c>
      <c r="K1619">
        <f>_xlfn.NUMBERVALUE("-0.000773")</f>
        <v/>
      </c>
      <c r="L1619">
        <f>_xlfn.NUMBERVALUE("0.002706")</f>
        <v/>
      </c>
      <c r="M1619">
        <f>_xlfn.NUMBERVALUE("0.002952")</f>
        <v/>
      </c>
      <c r="N1619">
        <f>_xlfn.NUMBERVALUE("-0.000955")</f>
        <v/>
      </c>
      <c r="O1619">
        <f>_xlfn.NUMBERVALUE("0.002821")</f>
        <v/>
      </c>
      <c r="P1619">
        <f>_xlfn.NUMBERVALUE("0.002879")</f>
        <v/>
      </c>
      <c r="Q1619">
        <f>_xlfn.NUMBERVALUE("0.003920")</f>
        <v/>
      </c>
      <c r="R1619">
        <f>_xlfn.NUMBERVALUE("-0.003187")</f>
        <v/>
      </c>
      <c r="S1619">
        <f>_xlfn.NUMBERVALUE("0.001409")</f>
        <v/>
      </c>
      <c r="T1619">
        <f>_xlfn.NUMBERVALUE("0.001158")</f>
        <v/>
      </c>
      <c r="U1619">
        <f>_xlfn.NUMBERVALUE("0.004619")</f>
        <v/>
      </c>
      <c r="V1619">
        <f>_xlfn.NUMBERVALUE("-0.002150")</f>
        <v/>
      </c>
      <c r="W1619">
        <f>_xlfn.NUMBERVALUE("0.004584")</f>
        <v/>
      </c>
      <c r="X1619">
        <f>_xlfn.NUMBERVALUE("-1.620000")</f>
        <v/>
      </c>
      <c r="Y1619">
        <f>_xlfn.NUMBERVALUE("16.420000")</f>
        <v/>
      </c>
    </row>
    <row r="1620">
      <c r="A1620" s="1" t="n">
        <v>44354</v>
      </c>
      <c r="B1620">
        <f>_xlfn.NUMBERVALUE("0.002573")</f>
        <v/>
      </c>
      <c r="C1620" s="2">
        <f>_xlfn.NUMBERVALUE("0.000552")</f>
        <v/>
      </c>
      <c r="D1620">
        <f>_xlfn.NUMBERVALUE("0.001084")</f>
        <v/>
      </c>
      <c r="E1620">
        <f>_xlfn.NUMBERVALUE("0.000001")</f>
        <v/>
      </c>
      <c r="F1620">
        <f>_xlfn.NUMBERVALUE("0.001683")</f>
        <v/>
      </c>
      <c r="G1620">
        <f>_xlfn.NUMBERVALUE("0.000409")</f>
        <v/>
      </c>
      <c r="H1620">
        <f>_xlfn.NUMBERVALUE("0.000278")</f>
        <v/>
      </c>
      <c r="I1620">
        <f>_xlfn.NUMBERVALUE("-0.000576")</f>
        <v/>
      </c>
      <c r="J1620">
        <f>_xlfn.NUMBERVALUE("-0.000105")</f>
        <v/>
      </c>
      <c r="K1620">
        <f>_xlfn.NUMBERVALUE("0.002441")</f>
        <v/>
      </c>
      <c r="L1620">
        <f>_xlfn.NUMBERVALUE("0.004780")</f>
        <v/>
      </c>
      <c r="M1620">
        <f>_xlfn.NUMBERVALUE("-0.000054")</f>
        <v/>
      </c>
      <c r="N1620">
        <f>_xlfn.NUMBERVALUE("0.003372")</f>
        <v/>
      </c>
      <c r="O1620">
        <f>_xlfn.NUMBERVALUE("0.003122")</f>
        <v/>
      </c>
      <c r="P1620">
        <f>_xlfn.NUMBERVALUE("0.003326")</f>
        <v/>
      </c>
      <c r="Q1620">
        <f>_xlfn.NUMBERVALUE("0.000949")</f>
        <v/>
      </c>
      <c r="R1620">
        <f>_xlfn.NUMBERVALUE("0.001780")</f>
        <v/>
      </c>
      <c r="S1620">
        <f>_xlfn.NUMBERVALUE("0.002477")</f>
        <v/>
      </c>
      <c r="T1620">
        <f>_xlfn.NUMBERVALUE("0.000182")</f>
        <v/>
      </c>
      <c r="U1620">
        <f>_xlfn.NUMBERVALUE("0.001181")</f>
        <v/>
      </c>
      <c r="V1620">
        <f>_xlfn.NUMBERVALUE("0.001743")</f>
        <v/>
      </c>
      <c r="W1620">
        <f>_xlfn.NUMBERVALUE("-0.001845")</f>
        <v/>
      </c>
      <c r="X1620">
        <f>_xlfn.NUMBERVALUE("0.000000")</f>
        <v/>
      </c>
      <c r="Y1620">
        <f>_xlfn.NUMBERVALUE("16.420000")</f>
        <v/>
      </c>
    </row>
    <row r="1621">
      <c r="A1621" s="1" t="n">
        <v>44355</v>
      </c>
      <c r="B1621">
        <f>_xlfn.NUMBERVALUE("-0.000738")</f>
        <v/>
      </c>
      <c r="C1621" s="2">
        <f>_xlfn.NUMBERVALUE("0.000725")</f>
        <v/>
      </c>
      <c r="D1621">
        <f>_xlfn.NUMBERVALUE("0.001150")</f>
        <v/>
      </c>
      <c r="E1621">
        <f>_xlfn.NUMBERVALUE("0.000613")</f>
        <v/>
      </c>
      <c r="F1621">
        <f>_xlfn.NUMBERVALUE("0.000246")</f>
        <v/>
      </c>
      <c r="G1621">
        <f>_xlfn.NUMBERVALUE("-0.000053")</f>
        <v/>
      </c>
      <c r="H1621">
        <f>_xlfn.NUMBERVALUE("0.000091")</f>
        <v/>
      </c>
      <c r="I1621">
        <f>_xlfn.NUMBERVALUE("-0.001117")</f>
        <v/>
      </c>
      <c r="J1621">
        <f>_xlfn.NUMBERVALUE("-0.000945")</f>
        <v/>
      </c>
      <c r="K1621">
        <f>_xlfn.NUMBERVALUE("0.004353")</f>
        <v/>
      </c>
      <c r="L1621">
        <f>_xlfn.NUMBERVALUE("-0.001035")</f>
        <v/>
      </c>
      <c r="M1621">
        <f>_xlfn.NUMBERVALUE("0.002141")</f>
        <v/>
      </c>
      <c r="N1621">
        <f>_xlfn.NUMBERVALUE("-0.001682")</f>
        <v/>
      </c>
      <c r="O1621">
        <f>_xlfn.NUMBERVALUE("0.000122")</f>
        <v/>
      </c>
      <c r="P1621">
        <f>_xlfn.NUMBERVALUE("0.002339")</f>
        <v/>
      </c>
      <c r="Q1621">
        <f>_xlfn.NUMBERVALUE("0.001104")</f>
        <v/>
      </c>
      <c r="R1621">
        <f>_xlfn.NUMBERVALUE("0.000360")</f>
        <v/>
      </c>
      <c r="S1621">
        <f>_xlfn.NUMBERVALUE("-0.000750")</f>
        <v/>
      </c>
      <c r="T1621">
        <f>_xlfn.NUMBERVALUE("0.000042")</f>
        <v/>
      </c>
      <c r="U1621">
        <f>_xlfn.NUMBERVALUE("0.000272")</f>
        <v/>
      </c>
      <c r="V1621">
        <f>_xlfn.NUMBERVALUE("0.000079")</f>
        <v/>
      </c>
      <c r="W1621">
        <f>_xlfn.NUMBERVALUE("0.001541")</f>
        <v/>
      </c>
      <c r="X1621">
        <f>_xlfn.NUMBERVALUE("0.650000")</f>
        <v/>
      </c>
      <c r="Y1621">
        <f>_xlfn.NUMBERVALUE("17.070000")</f>
        <v/>
      </c>
    </row>
    <row r="1622">
      <c r="A1622" s="1" t="n">
        <v>44356</v>
      </c>
      <c r="B1622">
        <f>_xlfn.NUMBERVALUE("0.001037")</f>
        <v/>
      </c>
      <c r="C1622" s="2">
        <f>_xlfn.NUMBERVALUE("0.000215")</f>
        <v/>
      </c>
      <c r="D1622">
        <f>_xlfn.NUMBERVALUE("0.000306")</f>
        <v/>
      </c>
      <c r="E1622">
        <f>_xlfn.NUMBERVALUE("0.000968")</f>
        <v/>
      </c>
      <c r="F1622">
        <f>_xlfn.NUMBERVALUE("0.000956")</f>
        <v/>
      </c>
      <c r="G1622">
        <f>_xlfn.NUMBERVALUE("-0.000448")</f>
        <v/>
      </c>
      <c r="H1622">
        <f>_xlfn.NUMBERVALUE("-0.000511")</f>
        <v/>
      </c>
      <c r="I1622">
        <f>_xlfn.NUMBERVALUE("-0.001606")</f>
        <v/>
      </c>
      <c r="J1622">
        <f>_xlfn.NUMBERVALUE("-0.000032")</f>
        <v/>
      </c>
      <c r="K1622">
        <f>_xlfn.NUMBERVALUE("0.001635")</f>
        <v/>
      </c>
      <c r="L1622">
        <f>_xlfn.NUMBERVALUE("-0.001604")</f>
        <v/>
      </c>
      <c r="M1622">
        <f>_xlfn.NUMBERVALUE("-0.000204")</f>
        <v/>
      </c>
      <c r="N1622">
        <f>_xlfn.NUMBERVALUE("0.000980")</f>
        <v/>
      </c>
      <c r="O1622">
        <f>_xlfn.NUMBERVALUE("0.000767")</f>
        <v/>
      </c>
      <c r="P1622">
        <f>_xlfn.NUMBERVALUE("-0.001753")</f>
        <v/>
      </c>
      <c r="Q1622">
        <f>_xlfn.NUMBERVALUE("-0.001413")</f>
        <v/>
      </c>
      <c r="R1622">
        <f>_xlfn.NUMBERVALUE("0.000223")</f>
        <v/>
      </c>
      <c r="S1622">
        <f>_xlfn.NUMBERVALUE("-0.000194")</f>
        <v/>
      </c>
      <c r="T1622">
        <f>_xlfn.NUMBERVALUE("0.000067")</f>
        <v/>
      </c>
      <c r="U1622">
        <f>_xlfn.NUMBERVALUE("-0.000491")</f>
        <v/>
      </c>
      <c r="V1622">
        <f>_xlfn.NUMBERVALUE("-0.000909")</f>
        <v/>
      </c>
      <c r="W1622">
        <f>_xlfn.NUMBERVALUE("-0.001822")</f>
        <v/>
      </c>
      <c r="X1622">
        <f>_xlfn.NUMBERVALUE("0.820000")</f>
        <v/>
      </c>
      <c r="Y1622">
        <f>_xlfn.NUMBERVALUE("17.890000")</f>
        <v/>
      </c>
    </row>
    <row r="1623">
      <c r="A1623" s="1" t="n">
        <v>44357</v>
      </c>
      <c r="B1623">
        <f>_xlfn.NUMBERVALUE("0.003752")</f>
        <v/>
      </c>
      <c r="C1623" s="2">
        <f>_xlfn.NUMBERVALUE("0.001889")</f>
        <v/>
      </c>
      <c r="D1623">
        <f>_xlfn.NUMBERVALUE("0.002804")</f>
        <v/>
      </c>
      <c r="E1623">
        <f>_xlfn.NUMBERVALUE("-0.002985")</f>
        <v/>
      </c>
      <c r="F1623">
        <f>_xlfn.NUMBERVALUE("0.000354")</f>
        <v/>
      </c>
      <c r="G1623">
        <f>_xlfn.NUMBERVALUE("0.001328")</f>
        <v/>
      </c>
      <c r="H1623">
        <f>_xlfn.NUMBERVALUE("0.000076")</f>
        <v/>
      </c>
      <c r="I1623">
        <f>_xlfn.NUMBERVALUE("0.003319")</f>
        <v/>
      </c>
      <c r="J1623">
        <f>_xlfn.NUMBERVALUE("-0.000389")</f>
        <v/>
      </c>
      <c r="K1623">
        <f>_xlfn.NUMBERVALUE("-0.001897")</f>
        <v/>
      </c>
      <c r="L1623">
        <f>_xlfn.NUMBERVALUE("0.001271")</f>
        <v/>
      </c>
      <c r="M1623">
        <f>_xlfn.NUMBERVALUE("0.003689")</f>
        <v/>
      </c>
      <c r="N1623">
        <f>_xlfn.NUMBERVALUE("0.000849")</f>
        <v/>
      </c>
      <c r="O1623">
        <f>_xlfn.NUMBERVALUE("0.001818")</f>
        <v/>
      </c>
      <c r="P1623">
        <f>_xlfn.NUMBERVALUE("0.002359")</f>
        <v/>
      </c>
      <c r="Q1623">
        <f>_xlfn.NUMBERVALUE("0.004275")</f>
        <v/>
      </c>
      <c r="R1623">
        <f>_xlfn.NUMBERVALUE("0.003038")</f>
        <v/>
      </c>
      <c r="S1623">
        <f>_xlfn.NUMBERVALUE("0.001221")</f>
        <v/>
      </c>
      <c r="T1623">
        <f>_xlfn.NUMBERVALUE("0.001269")</f>
        <v/>
      </c>
      <c r="U1623">
        <f>_xlfn.NUMBERVALUE("0.001777")</f>
        <v/>
      </c>
      <c r="V1623">
        <f>_xlfn.NUMBERVALUE("0.003278")</f>
        <v/>
      </c>
      <c r="W1623">
        <f>_xlfn.NUMBERVALUE("0.003533")</f>
        <v/>
      </c>
      <c r="X1623">
        <f>_xlfn.NUMBERVALUE("-1.790000")</f>
        <v/>
      </c>
      <c r="Y1623">
        <f>_xlfn.NUMBERVALUE("16.100000")</f>
        <v/>
      </c>
    </row>
    <row r="1624">
      <c r="A1624" s="1" t="n">
        <v>44358</v>
      </c>
      <c r="B1624">
        <f>_xlfn.NUMBERVALUE("0.002900")</f>
        <v/>
      </c>
      <c r="C1624" s="2">
        <f>_xlfn.NUMBERVALUE("0.002299")</f>
        <v/>
      </c>
      <c r="D1624">
        <f>_xlfn.NUMBERVALUE("0.002017")</f>
        <v/>
      </c>
      <c r="E1624">
        <f>_xlfn.NUMBERVALUE("0.002447")</f>
        <v/>
      </c>
      <c r="F1624">
        <f>_xlfn.NUMBERVALUE("-0.000363")</f>
        <v/>
      </c>
      <c r="G1624">
        <f>_xlfn.NUMBERVALUE("-0.000280")</f>
        <v/>
      </c>
      <c r="H1624">
        <f>_xlfn.NUMBERVALUE("0.000043")</f>
        <v/>
      </c>
      <c r="I1624">
        <f>_xlfn.NUMBERVALUE("0.000599")</f>
        <v/>
      </c>
      <c r="J1624">
        <f>_xlfn.NUMBERVALUE("-0.000358")</f>
        <v/>
      </c>
      <c r="K1624">
        <f>_xlfn.NUMBERVALUE("0.003593")</f>
        <v/>
      </c>
      <c r="L1624">
        <f>_xlfn.NUMBERVALUE("0.000609")</f>
        <v/>
      </c>
      <c r="M1624">
        <f>_xlfn.NUMBERVALUE("0.002705")</f>
        <v/>
      </c>
      <c r="N1624">
        <f>_xlfn.NUMBERVALUE("0.000205")</f>
        <v/>
      </c>
      <c r="O1624">
        <f>_xlfn.NUMBERVALUE("0.003586")</f>
        <v/>
      </c>
      <c r="P1624">
        <f>_xlfn.NUMBERVALUE("0.003417")</f>
        <v/>
      </c>
      <c r="Q1624">
        <f>_xlfn.NUMBERVALUE("0.001739")</f>
        <v/>
      </c>
      <c r="R1624">
        <f>_xlfn.NUMBERVALUE("0.002198")</f>
        <v/>
      </c>
      <c r="S1624">
        <f>_xlfn.NUMBERVALUE("0.002303")</f>
        <v/>
      </c>
      <c r="T1624">
        <f>_xlfn.NUMBERVALUE("0.001127")</f>
        <v/>
      </c>
      <c r="U1624">
        <f>_xlfn.NUMBERVALUE("0.002440")</f>
        <v/>
      </c>
      <c r="V1624">
        <f>_xlfn.NUMBERVALUE("0.001401")</f>
        <v/>
      </c>
      <c r="W1624">
        <f>_xlfn.NUMBERVALUE("0.000992")</f>
        <v/>
      </c>
      <c r="X1624">
        <f>_xlfn.NUMBERVALUE("-0.450000")</f>
        <v/>
      </c>
      <c r="Y1624">
        <f>_xlfn.NUMBERVALUE("15.650000")</f>
        <v/>
      </c>
    </row>
    <row r="1625">
      <c r="A1625" s="1" t="n">
        <v>44361</v>
      </c>
      <c r="B1625">
        <f>_xlfn.NUMBERVALUE("-0.001296")</f>
        <v/>
      </c>
      <c r="C1625" s="2">
        <f>_xlfn.NUMBERVALUE("-0.000396")</f>
        <v/>
      </c>
      <c r="D1625">
        <f>_xlfn.NUMBERVALUE("0.000982")</f>
        <v/>
      </c>
      <c r="E1625">
        <f>_xlfn.NUMBERVALUE("0.000934")</f>
        <v/>
      </c>
      <c r="F1625">
        <f>_xlfn.NUMBERVALUE("-0.001065")</f>
        <v/>
      </c>
      <c r="G1625">
        <f>_xlfn.NUMBERVALUE("-0.002733")</f>
        <v/>
      </c>
      <c r="H1625">
        <f>_xlfn.NUMBERVALUE("0.000157")</f>
        <v/>
      </c>
      <c r="I1625">
        <f>_xlfn.NUMBERVALUE("0.001421")</f>
        <v/>
      </c>
      <c r="J1625">
        <f>_xlfn.NUMBERVALUE("0.000044")</f>
        <v/>
      </c>
      <c r="K1625">
        <f>_xlfn.NUMBERVALUE("0.004730")</f>
        <v/>
      </c>
      <c r="L1625">
        <f>_xlfn.NUMBERVALUE("-0.000083")</f>
        <v/>
      </c>
      <c r="M1625">
        <f>_xlfn.NUMBERVALUE("-0.000783")</f>
        <v/>
      </c>
      <c r="N1625">
        <f>_xlfn.NUMBERVALUE("0.000275")</f>
        <v/>
      </c>
      <c r="O1625">
        <f>_xlfn.NUMBERVALUE("0.002653")</f>
        <v/>
      </c>
      <c r="P1625">
        <f>_xlfn.NUMBERVALUE("-0.002502")</f>
        <v/>
      </c>
      <c r="Q1625">
        <f>_xlfn.NUMBERVALUE("0.000229")</f>
        <v/>
      </c>
      <c r="R1625">
        <f>_xlfn.NUMBERVALUE("-0.000963")</f>
        <v/>
      </c>
      <c r="S1625">
        <f>_xlfn.NUMBERVALUE("0.000333")</f>
        <v/>
      </c>
      <c r="T1625">
        <f>_xlfn.NUMBERVALUE("0.000371")</f>
        <v/>
      </c>
      <c r="U1625">
        <f>_xlfn.NUMBERVALUE("0.000298")</f>
        <v/>
      </c>
      <c r="V1625">
        <f>_xlfn.NUMBERVALUE("-0.000042")</f>
        <v/>
      </c>
      <c r="W1625">
        <f>_xlfn.NUMBERVALUE("0.001109")</f>
        <v/>
      </c>
      <c r="X1625">
        <f>_xlfn.NUMBERVALUE("0.740000")</f>
        <v/>
      </c>
      <c r="Y1625">
        <f>_xlfn.NUMBERVALUE("16.390000")</f>
        <v/>
      </c>
    </row>
    <row r="1626">
      <c r="A1626" s="1" t="n">
        <v>44362</v>
      </c>
      <c r="B1626">
        <f>_xlfn.NUMBERVALUE("-0.006622")</f>
        <v/>
      </c>
      <c r="C1626" s="2">
        <f>_xlfn.NUMBERVALUE("0.000321")</f>
        <v/>
      </c>
      <c r="D1626">
        <f>_xlfn.NUMBERVALUE("0.000040")</f>
        <v/>
      </c>
      <c r="E1626">
        <f>_xlfn.NUMBERVALUE("-0.000785")</f>
        <v/>
      </c>
      <c r="F1626">
        <f>_xlfn.NUMBERVALUE("-0.000034")</f>
        <v/>
      </c>
      <c r="G1626">
        <f>_xlfn.NUMBERVALUE("0.001522")</f>
        <v/>
      </c>
      <c r="H1626">
        <f>_xlfn.NUMBERVALUE("-0.000121")</f>
        <v/>
      </c>
      <c r="I1626">
        <f>_xlfn.NUMBERVALUE("-0.000009")</f>
        <v/>
      </c>
      <c r="J1626">
        <f>_xlfn.NUMBERVALUE("0.000260")</f>
        <v/>
      </c>
      <c r="K1626">
        <f>_xlfn.NUMBERVALUE("0.000466")</f>
        <v/>
      </c>
      <c r="L1626">
        <f>_xlfn.NUMBERVALUE("0.000651")</f>
        <v/>
      </c>
      <c r="M1626">
        <f>_xlfn.NUMBERVALUE("0.000167")</f>
        <v/>
      </c>
      <c r="N1626">
        <f>_xlfn.NUMBERVALUE("-0.000105")</f>
        <v/>
      </c>
      <c r="O1626">
        <f>_xlfn.NUMBERVALUE("-0.002298")</f>
        <v/>
      </c>
      <c r="P1626">
        <f>_xlfn.NUMBERVALUE("0.000982")</f>
        <v/>
      </c>
      <c r="Q1626">
        <f>_xlfn.NUMBERVALUE("0.000756")</f>
        <v/>
      </c>
      <c r="R1626">
        <f>_xlfn.NUMBERVALUE("-0.000773")</f>
        <v/>
      </c>
      <c r="S1626">
        <f>_xlfn.NUMBERVALUE("0.000944")</f>
        <v/>
      </c>
      <c r="T1626">
        <f>_xlfn.NUMBERVALUE("-0.000574")</f>
        <v/>
      </c>
      <c r="U1626">
        <f>_xlfn.NUMBERVALUE("0.000529")</f>
        <v/>
      </c>
      <c r="V1626">
        <f>_xlfn.NUMBERVALUE("-0.000268")</f>
        <v/>
      </c>
      <c r="W1626">
        <f>_xlfn.NUMBERVALUE("0.001250")</f>
        <v/>
      </c>
      <c r="X1626">
        <f>_xlfn.NUMBERVALUE("0.630000")</f>
        <v/>
      </c>
      <c r="Y1626">
        <f>_xlfn.NUMBERVALUE("17.020000")</f>
        <v/>
      </c>
    </row>
    <row r="1627">
      <c r="A1627" s="1" t="n">
        <v>44363</v>
      </c>
      <c r="B1627">
        <f>_xlfn.NUMBERVALUE("0.002047")</f>
        <v/>
      </c>
      <c r="C1627" s="2">
        <f>_xlfn.NUMBERVALUE("0.000361")</f>
        <v/>
      </c>
      <c r="D1627">
        <f>_xlfn.NUMBERVALUE("-0.002823")</f>
        <v/>
      </c>
      <c r="E1627">
        <f>_xlfn.NUMBERVALUE("-0.003152")</f>
        <v/>
      </c>
      <c r="F1627">
        <f>_xlfn.NUMBERVALUE("-0.002142")</f>
        <v/>
      </c>
      <c r="G1627">
        <f>_xlfn.NUMBERVALUE("0.001284")</f>
        <v/>
      </c>
      <c r="H1627">
        <f>_xlfn.NUMBERVALUE("-0.000838")</f>
        <v/>
      </c>
      <c r="I1627">
        <f>_xlfn.NUMBERVALUE("0.000312")</f>
        <v/>
      </c>
      <c r="J1627">
        <f>_xlfn.NUMBERVALUE("0.000448")</f>
        <v/>
      </c>
      <c r="K1627">
        <f>_xlfn.NUMBERVALUE("0.001637")</f>
        <v/>
      </c>
      <c r="L1627">
        <f>_xlfn.NUMBERVALUE("0.000404")</f>
        <v/>
      </c>
      <c r="M1627">
        <f>_xlfn.NUMBERVALUE("-0.001301")</f>
        <v/>
      </c>
      <c r="N1627">
        <f>_xlfn.NUMBERVALUE("-0.000088")</f>
        <v/>
      </c>
      <c r="O1627">
        <f>_xlfn.NUMBERVALUE("-0.000950")</f>
        <v/>
      </c>
      <c r="P1627">
        <f>_xlfn.NUMBERVALUE("-0.000496")</f>
        <v/>
      </c>
      <c r="Q1627">
        <f>_xlfn.NUMBERVALUE("-0.000992")</f>
        <v/>
      </c>
      <c r="R1627">
        <f>_xlfn.NUMBERVALUE("0.000031")</f>
        <v/>
      </c>
      <c r="S1627">
        <f>_xlfn.NUMBERVALUE("-0.001675")</f>
        <v/>
      </c>
      <c r="T1627">
        <f>_xlfn.NUMBERVALUE("-0.004322")</f>
        <v/>
      </c>
      <c r="U1627">
        <f>_xlfn.NUMBERVALUE("-0.001045")</f>
        <v/>
      </c>
      <c r="V1627">
        <f>_xlfn.NUMBERVALUE("0.000291")</f>
        <v/>
      </c>
      <c r="W1627">
        <f>_xlfn.NUMBERVALUE("-0.004733")</f>
        <v/>
      </c>
      <c r="X1627">
        <f>_xlfn.NUMBERVALUE("1.130000")</f>
        <v/>
      </c>
      <c r="Y1627">
        <f>_xlfn.NUMBERVALUE("18.150000")</f>
        <v/>
      </c>
    </row>
    <row r="1628">
      <c r="A1628" s="1" t="n">
        <v>44364</v>
      </c>
      <c r="B1628">
        <f>_xlfn.NUMBERVALUE("-0.000982")</f>
        <v/>
      </c>
      <c r="C1628" s="2">
        <f>_xlfn.NUMBERVALUE("0.000117")</f>
        <v/>
      </c>
      <c r="D1628">
        <f>_xlfn.NUMBERVALUE("0.003047")</f>
        <v/>
      </c>
      <c r="E1628">
        <f>_xlfn.NUMBERVALUE("0.004927")</f>
        <v/>
      </c>
      <c r="F1628">
        <f>_xlfn.NUMBERVALUE("-0.006559")</f>
        <v/>
      </c>
      <c r="G1628">
        <f>_xlfn.NUMBERVALUE("0.000627")</f>
        <v/>
      </c>
      <c r="H1628">
        <f>_xlfn.NUMBERVALUE("-0.000300")</f>
        <v/>
      </c>
      <c r="I1628">
        <f>_xlfn.NUMBERVALUE("0.003140")</f>
        <v/>
      </c>
      <c r="J1628">
        <f>_xlfn.NUMBERVALUE("-0.002001")</f>
        <v/>
      </c>
      <c r="K1628">
        <f>_xlfn.NUMBERVALUE("-0.016886")</f>
        <v/>
      </c>
      <c r="L1628">
        <f>_xlfn.NUMBERVALUE("-0.003735")</f>
        <v/>
      </c>
      <c r="M1628">
        <f>_xlfn.NUMBERVALUE("-0.002052")</f>
        <v/>
      </c>
      <c r="N1628">
        <f>_xlfn.NUMBERVALUE("0.001265")</f>
        <v/>
      </c>
      <c r="O1628">
        <f>_xlfn.NUMBERVALUE("-0.008862")</f>
        <v/>
      </c>
      <c r="P1628">
        <f>_xlfn.NUMBERVALUE("-0.008142")</f>
        <v/>
      </c>
      <c r="Q1628">
        <f>_xlfn.NUMBERVALUE("-0.001659")</f>
        <v/>
      </c>
      <c r="R1628">
        <f>_xlfn.NUMBERVALUE("-0.000193")</f>
        <v/>
      </c>
      <c r="S1628">
        <f>_xlfn.NUMBERVALUE("0.000450")</f>
        <v/>
      </c>
      <c r="T1628">
        <f>_xlfn.NUMBERVALUE("0.004817")</f>
        <v/>
      </c>
      <c r="U1628">
        <f>_xlfn.NUMBERVALUE("0.002058")</f>
        <v/>
      </c>
      <c r="V1628">
        <f>_xlfn.NUMBERVALUE("0.001942")</f>
        <v/>
      </c>
      <c r="W1628">
        <f>_xlfn.NUMBERVALUE("0.000024")</f>
        <v/>
      </c>
      <c r="X1628">
        <f>_xlfn.NUMBERVALUE("-0.400000")</f>
        <v/>
      </c>
      <c r="Y1628">
        <f>_xlfn.NUMBERVALUE("17.750000")</f>
        <v/>
      </c>
    </row>
    <row r="1629">
      <c r="A1629" s="1" t="n">
        <v>44365</v>
      </c>
      <c r="B1629">
        <f>_xlfn.NUMBERVALUE("-0.000858")</f>
        <v/>
      </c>
      <c r="C1629" s="2">
        <f>_xlfn.NUMBERVALUE("-0.001987")</f>
        <v/>
      </c>
      <c r="D1629">
        <f>_xlfn.NUMBERVALUE("-0.001181")</f>
        <v/>
      </c>
      <c r="E1629">
        <f>_xlfn.NUMBERVALUE("-0.005551")</f>
        <v/>
      </c>
      <c r="F1629">
        <f>_xlfn.NUMBERVALUE("0.000280")</f>
        <v/>
      </c>
      <c r="G1629">
        <f>_xlfn.NUMBERVALUE("-0.000878")</f>
        <v/>
      </c>
      <c r="H1629">
        <f>_xlfn.NUMBERVALUE("-0.001381")</f>
        <v/>
      </c>
      <c r="I1629">
        <f>_xlfn.NUMBERVALUE("-0.007406")</f>
        <v/>
      </c>
      <c r="J1629">
        <f>_xlfn.NUMBERVALUE("-0.000500")</f>
        <v/>
      </c>
      <c r="K1629">
        <f>_xlfn.NUMBERVALUE("0.001063")</f>
        <v/>
      </c>
      <c r="L1629">
        <f>_xlfn.NUMBERVALUE("-0.004260")</f>
        <v/>
      </c>
      <c r="M1629">
        <f>_xlfn.NUMBERVALUE("-0.001208")</f>
        <v/>
      </c>
      <c r="N1629">
        <f>_xlfn.NUMBERVALUE("-0.000884")</f>
        <v/>
      </c>
      <c r="O1629">
        <f>_xlfn.NUMBERVALUE("-0.006270")</f>
        <v/>
      </c>
      <c r="P1629">
        <f>_xlfn.NUMBERVALUE("-0.004096")</f>
        <v/>
      </c>
      <c r="Q1629">
        <f>_xlfn.NUMBERVALUE("-0.001309")</f>
        <v/>
      </c>
      <c r="R1629">
        <f>_xlfn.NUMBERVALUE("-0.001769")</f>
        <v/>
      </c>
      <c r="S1629">
        <f>_xlfn.NUMBERVALUE("-0.003305")</f>
        <v/>
      </c>
      <c r="T1629">
        <f>_xlfn.NUMBERVALUE("-0.007198")</f>
        <v/>
      </c>
      <c r="U1629">
        <f>_xlfn.NUMBERVALUE("-0.002325")</f>
        <v/>
      </c>
      <c r="V1629">
        <f>_xlfn.NUMBERVALUE("-0.003952")</f>
        <v/>
      </c>
      <c r="W1629">
        <f>_xlfn.NUMBERVALUE("-0.014219")</f>
        <v/>
      </c>
      <c r="X1629">
        <f>_xlfn.NUMBERVALUE("2.950000")</f>
        <v/>
      </c>
      <c r="Y1629">
        <f>_xlfn.NUMBERVALUE("20.700000")</f>
        <v/>
      </c>
    </row>
    <row r="1630">
      <c r="A1630" s="1" t="n">
        <v>44368</v>
      </c>
      <c r="B1630">
        <f>_xlfn.NUMBERVALUE("0.004396")</f>
        <v/>
      </c>
      <c r="C1630" s="2">
        <f>_xlfn.NUMBERVALUE("0.001203")</f>
        <v/>
      </c>
      <c r="D1630">
        <f>_xlfn.NUMBERVALUE("0.001880")</f>
        <v/>
      </c>
      <c r="E1630">
        <f>_xlfn.NUMBERVALUE("0.000342")</f>
        <v/>
      </c>
      <c r="F1630">
        <f>_xlfn.NUMBERVALUE("0.000814")</f>
        <v/>
      </c>
      <c r="G1630">
        <f>_xlfn.NUMBERVALUE("0.001692")</f>
        <v/>
      </c>
      <c r="H1630">
        <f>_xlfn.NUMBERVALUE("0.001171")</f>
        <v/>
      </c>
      <c r="I1630">
        <f>_xlfn.NUMBERVALUE("0.000874")</f>
        <v/>
      </c>
      <c r="J1630">
        <f>_xlfn.NUMBERVALUE("0.001613")</f>
        <v/>
      </c>
      <c r="K1630">
        <f>_xlfn.NUMBERVALUE("0.001680")</f>
        <v/>
      </c>
      <c r="L1630">
        <f>_xlfn.NUMBERVALUE("0.000855")</f>
        <v/>
      </c>
      <c r="M1630">
        <f>_xlfn.NUMBERVALUE("0.003230")</f>
        <v/>
      </c>
      <c r="N1630">
        <f>_xlfn.NUMBERVALUE("0.002931")</f>
        <v/>
      </c>
      <c r="O1630">
        <f>_xlfn.NUMBERVALUE("0.007690")</f>
        <v/>
      </c>
      <c r="P1630">
        <f>_xlfn.NUMBERVALUE("0.005366")</f>
        <v/>
      </c>
      <c r="Q1630">
        <f>_xlfn.NUMBERVALUE("0.002700")</f>
        <v/>
      </c>
      <c r="R1630">
        <f>_xlfn.NUMBERVALUE("0.001772")</f>
        <v/>
      </c>
      <c r="S1630">
        <f>_xlfn.NUMBERVALUE("0.003777")</f>
        <v/>
      </c>
      <c r="T1630">
        <f>_xlfn.NUMBERVALUE("-0.002998")</f>
        <v/>
      </c>
      <c r="U1630">
        <f>_xlfn.NUMBERVALUE("0.003508")</f>
        <v/>
      </c>
      <c r="V1630">
        <f>_xlfn.NUMBERVALUE("0.001308")</f>
        <v/>
      </c>
      <c r="W1630">
        <f>_xlfn.NUMBERVALUE("0.009024")</f>
        <v/>
      </c>
      <c r="X1630">
        <f>_xlfn.NUMBERVALUE("-2.810000")</f>
        <v/>
      </c>
      <c r="Y1630">
        <f>_xlfn.NUMBERVALUE("17.890000")</f>
        <v/>
      </c>
    </row>
    <row r="1631">
      <c r="A1631" s="1" t="n">
        <v>44369</v>
      </c>
      <c r="B1631">
        <f>_xlfn.NUMBERVALUE("0.000130")</f>
        <v/>
      </c>
      <c r="C1631" s="2">
        <f>_xlfn.NUMBERVALUE("0.001624")</f>
        <v/>
      </c>
      <c r="D1631">
        <f>_xlfn.NUMBERVALUE("0.000877")</f>
        <v/>
      </c>
      <c r="E1631">
        <f>_xlfn.NUMBERVALUE("0.001219")</f>
        <v/>
      </c>
      <c r="F1631">
        <f>_xlfn.NUMBERVALUE("0.000207")</f>
        <v/>
      </c>
      <c r="G1631">
        <f>_xlfn.NUMBERVALUE("0.001169")</f>
        <v/>
      </c>
      <c r="H1631">
        <f>_xlfn.NUMBERVALUE("0.000966")</f>
        <v/>
      </c>
      <c r="I1631">
        <f>_xlfn.NUMBERVALUE("0.002734")</f>
        <v/>
      </c>
      <c r="J1631">
        <f>_xlfn.NUMBERVALUE("-0.000032")</f>
        <v/>
      </c>
      <c r="K1631">
        <f>_xlfn.NUMBERVALUE("0.001952")</f>
        <v/>
      </c>
      <c r="L1631">
        <f>_xlfn.NUMBERVALUE("0.001030")</f>
        <v/>
      </c>
      <c r="M1631">
        <f>_xlfn.NUMBERVALUE("0.000777")</f>
        <v/>
      </c>
      <c r="N1631">
        <f>_xlfn.NUMBERVALUE("0.000375")</f>
        <v/>
      </c>
      <c r="O1631">
        <f>_xlfn.NUMBERVALUE("0.002759")</f>
        <v/>
      </c>
      <c r="P1631">
        <f>_xlfn.NUMBERVALUE("0.001928")</f>
        <v/>
      </c>
      <c r="Q1631">
        <f>_xlfn.NUMBERVALUE("0.001824")</f>
        <v/>
      </c>
      <c r="R1631">
        <f>_xlfn.NUMBERVALUE("0.000318")</f>
        <v/>
      </c>
      <c r="S1631">
        <f>_xlfn.NUMBERVALUE("0.001041")</f>
        <v/>
      </c>
      <c r="T1631">
        <f>_xlfn.NUMBERVALUE("0.008858")</f>
        <v/>
      </c>
      <c r="U1631">
        <f>_xlfn.NUMBERVALUE("-0.000634")</f>
        <v/>
      </c>
      <c r="V1631">
        <f>_xlfn.NUMBERVALUE("0.000766")</f>
        <v/>
      </c>
      <c r="W1631">
        <f>_xlfn.NUMBERVALUE("0.007183")</f>
        <v/>
      </c>
      <c r="X1631">
        <f>_xlfn.NUMBERVALUE("-1.230000")</f>
        <v/>
      </c>
      <c r="Y1631">
        <f>_xlfn.NUMBERVALUE("16.660000")</f>
        <v/>
      </c>
    </row>
    <row r="1632">
      <c r="A1632" s="1" t="n">
        <v>44370</v>
      </c>
      <c r="B1632">
        <f>_xlfn.NUMBERVALUE("-0.000351")</f>
        <v/>
      </c>
      <c r="C1632" s="2">
        <f>_xlfn.NUMBERVALUE("0.000488")</f>
        <v/>
      </c>
      <c r="D1632">
        <f>_xlfn.NUMBERVALUE("0.000087")</f>
        <v/>
      </c>
      <c r="E1632">
        <f>_xlfn.NUMBERVALUE("-0.001492")</f>
        <v/>
      </c>
      <c r="F1632">
        <f>_xlfn.NUMBERVALUE("0.000406")</f>
        <v/>
      </c>
      <c r="G1632">
        <f>_xlfn.NUMBERVALUE("0.000367")</f>
        <v/>
      </c>
      <c r="H1632">
        <f>_xlfn.NUMBERVALUE("0.000466")</f>
        <v/>
      </c>
      <c r="I1632">
        <f>_xlfn.NUMBERVALUE("0.002091")</f>
        <v/>
      </c>
      <c r="J1632">
        <f>_xlfn.NUMBERVALUE("0.001114")</f>
        <v/>
      </c>
      <c r="K1632">
        <f>_xlfn.NUMBERVALUE("0.001303")</f>
        <v/>
      </c>
      <c r="L1632">
        <f>_xlfn.NUMBERVALUE("0.001470")</f>
        <v/>
      </c>
      <c r="M1632">
        <f>_xlfn.NUMBERVALUE("-0.000166")</f>
        <v/>
      </c>
      <c r="N1632">
        <f>_xlfn.NUMBERVALUE("0.001194")</f>
        <v/>
      </c>
      <c r="O1632">
        <f>_xlfn.NUMBERVALUE("0.002496")</f>
        <v/>
      </c>
      <c r="P1632">
        <f>_xlfn.NUMBERVALUE("-0.000060")</f>
        <v/>
      </c>
      <c r="Q1632">
        <f>_xlfn.NUMBERVALUE("0.000981")</f>
        <v/>
      </c>
      <c r="R1632">
        <f>_xlfn.NUMBERVALUE("0.001354")</f>
        <v/>
      </c>
      <c r="S1632">
        <f>_xlfn.NUMBERVALUE("-0.000104")</f>
        <v/>
      </c>
      <c r="T1632">
        <f>_xlfn.NUMBERVALUE("-0.000023")</f>
        <v/>
      </c>
      <c r="U1632">
        <f>_xlfn.NUMBERVALUE("-0.001641")</f>
        <v/>
      </c>
      <c r="V1632">
        <f>_xlfn.NUMBERVALUE("0.001735")</f>
        <v/>
      </c>
      <c r="W1632">
        <f>_xlfn.NUMBERVALUE("-0.000484")</f>
        <v/>
      </c>
      <c r="X1632">
        <f>_xlfn.NUMBERVALUE("-0.340000")</f>
        <v/>
      </c>
      <c r="Y1632">
        <f>_xlfn.NUMBERVALUE("16.320000")</f>
        <v/>
      </c>
    </row>
    <row r="1633">
      <c r="A1633" s="1" t="n">
        <v>44371</v>
      </c>
      <c r="B1633">
        <f>_xlfn.NUMBERVALUE("-0.000168")</f>
        <v/>
      </c>
      <c r="C1633" s="2">
        <f>_xlfn.NUMBERVALUE("0.000880")</f>
        <v/>
      </c>
      <c r="D1633">
        <f>_xlfn.NUMBERVALUE("0.000543")</f>
        <v/>
      </c>
      <c r="E1633">
        <f>_xlfn.NUMBERVALUE("0.000670")</f>
        <v/>
      </c>
      <c r="F1633">
        <f>_xlfn.NUMBERVALUE("0.000170")</f>
        <v/>
      </c>
      <c r="G1633">
        <f>_xlfn.NUMBERVALUE("-0.000099")</f>
        <v/>
      </c>
      <c r="H1633">
        <f>_xlfn.NUMBERVALUE("0.000375")</f>
        <v/>
      </c>
      <c r="I1633">
        <f>_xlfn.NUMBERVALUE("-0.001010")</f>
        <v/>
      </c>
      <c r="J1633">
        <f>_xlfn.NUMBERVALUE("0.000365")</f>
        <v/>
      </c>
      <c r="K1633">
        <f>_xlfn.NUMBERVALUE("0.001878")</f>
        <v/>
      </c>
      <c r="L1633">
        <f>_xlfn.NUMBERVALUE("0.000491")</f>
        <v/>
      </c>
      <c r="M1633">
        <f>_xlfn.NUMBERVALUE("0.000766")</f>
        <v/>
      </c>
      <c r="N1633">
        <f>_xlfn.NUMBERVALUE("-0.001732")</f>
        <v/>
      </c>
      <c r="O1633">
        <f>_xlfn.NUMBERVALUE("0.001898")</f>
        <v/>
      </c>
      <c r="P1633">
        <f>_xlfn.NUMBERVALUE("0.000685")</f>
        <v/>
      </c>
      <c r="Q1633">
        <f>_xlfn.NUMBERVALUE("-0.000299")</f>
        <v/>
      </c>
      <c r="R1633">
        <f>_xlfn.NUMBERVALUE("0.000321")</f>
        <v/>
      </c>
      <c r="S1633">
        <f>_xlfn.NUMBERVALUE("0.000613")</f>
        <v/>
      </c>
      <c r="T1633">
        <f>_xlfn.NUMBERVALUE("-0.000164")</f>
        <v/>
      </c>
      <c r="U1633">
        <f>_xlfn.NUMBERVALUE("0.000438")</f>
        <v/>
      </c>
      <c r="V1633">
        <f>_xlfn.NUMBERVALUE("0.000055")</f>
        <v/>
      </c>
      <c r="W1633">
        <f>_xlfn.NUMBERVALUE("0.004619")</f>
        <v/>
      </c>
      <c r="X1633">
        <f>_xlfn.NUMBERVALUE("-0.350000")</f>
        <v/>
      </c>
      <c r="Y1633">
        <f>_xlfn.NUMBERVALUE("15.970000")</f>
        <v/>
      </c>
    </row>
    <row r="1634">
      <c r="A1634" s="1" t="n">
        <v>44372</v>
      </c>
      <c r="B1634">
        <f>_xlfn.NUMBERVALUE("0.002086")</f>
        <v/>
      </c>
      <c r="C1634" s="2">
        <f>_xlfn.NUMBERVALUE("0.000153")</f>
        <v/>
      </c>
      <c r="D1634">
        <f>_xlfn.NUMBERVALUE("0.000456")</f>
        <v/>
      </c>
      <c r="E1634">
        <f>_xlfn.NUMBERVALUE("0.000917")</f>
        <v/>
      </c>
      <c r="F1634">
        <f>_xlfn.NUMBERVALUE("0.000190")</f>
        <v/>
      </c>
      <c r="G1634">
        <f>_xlfn.NUMBERVALUE("0.000897")</f>
        <v/>
      </c>
      <c r="H1634">
        <f>_xlfn.NUMBERVALUE("0.000662")</f>
        <v/>
      </c>
      <c r="I1634">
        <f>_xlfn.NUMBERVALUE("0.001066")</f>
        <v/>
      </c>
      <c r="J1634">
        <f>_xlfn.NUMBERVALUE("0.000265")</f>
        <v/>
      </c>
      <c r="K1634">
        <f>_xlfn.NUMBERVALUE("-0.001760")</f>
        <v/>
      </c>
      <c r="L1634">
        <f>_xlfn.NUMBERVALUE("0.000373")</f>
        <v/>
      </c>
      <c r="M1634">
        <f>_xlfn.NUMBERVALUE("0.000259")</f>
        <v/>
      </c>
      <c r="N1634">
        <f>_xlfn.NUMBERVALUE("0.000781")</f>
        <v/>
      </c>
      <c r="O1634">
        <f>_xlfn.NUMBERVALUE("0.004940")</f>
        <v/>
      </c>
      <c r="P1634">
        <f>_xlfn.NUMBERVALUE("0.003055")</f>
        <v/>
      </c>
      <c r="Q1634">
        <f>_xlfn.NUMBERVALUE("0.001149")</f>
        <v/>
      </c>
      <c r="R1634">
        <f>_xlfn.NUMBERVALUE("0.001110")</f>
        <v/>
      </c>
      <c r="S1634">
        <f>_xlfn.NUMBERVALUE("0.000443")</f>
        <v/>
      </c>
      <c r="T1634">
        <f>_xlfn.NUMBERVALUE("0.000835")</f>
        <v/>
      </c>
      <c r="U1634">
        <f>_xlfn.NUMBERVALUE("0.000118")</f>
        <v/>
      </c>
      <c r="V1634">
        <f>_xlfn.NUMBERVALUE("0.000565")</f>
        <v/>
      </c>
      <c r="W1634">
        <f>_xlfn.NUMBERVALUE("0.002963")</f>
        <v/>
      </c>
      <c r="X1634">
        <f>_xlfn.NUMBERVALUE("-0.350000")</f>
        <v/>
      </c>
      <c r="Y1634">
        <f>_xlfn.NUMBERVALUE("15.620000")</f>
        <v/>
      </c>
    </row>
    <row r="1635">
      <c r="A1635" s="1" t="n">
        <v>44375</v>
      </c>
      <c r="B1635">
        <f>_xlfn.NUMBERVALUE("-0.006077")</f>
        <v/>
      </c>
      <c r="C1635" s="2">
        <f>_xlfn.NUMBERVALUE("-0.000395")</f>
        <v/>
      </c>
      <c r="D1635">
        <f>_xlfn.NUMBERVALUE("0.000897")</f>
        <v/>
      </c>
      <c r="E1635">
        <f>_xlfn.NUMBERVALUE("-0.000539")</f>
        <v/>
      </c>
      <c r="F1635">
        <f>_xlfn.NUMBERVALUE("0.000059")</f>
        <v/>
      </c>
      <c r="G1635">
        <f>_xlfn.NUMBERVALUE("0.000264")</f>
        <v/>
      </c>
      <c r="H1635">
        <f>_xlfn.NUMBERVALUE("0.000025")</f>
        <v/>
      </c>
      <c r="I1635">
        <f>_xlfn.NUMBERVALUE("0.002312")</f>
        <v/>
      </c>
      <c r="J1635">
        <f>_xlfn.NUMBERVALUE("-0.000371")</f>
        <v/>
      </c>
      <c r="K1635">
        <f>_xlfn.NUMBERVALUE("0.004076")</f>
        <v/>
      </c>
      <c r="L1635">
        <f>_xlfn.NUMBERVALUE("-0.001214")</f>
        <v/>
      </c>
      <c r="M1635">
        <f>_xlfn.NUMBERVALUE("-0.000127")</f>
        <v/>
      </c>
      <c r="N1635">
        <f>_xlfn.NUMBERVALUE("-0.001396")</f>
        <v/>
      </c>
      <c r="O1635">
        <f>_xlfn.NUMBERVALUE("-0.011491")</f>
        <v/>
      </c>
      <c r="P1635">
        <f>_xlfn.NUMBERVALUE("-0.001229")</f>
        <v/>
      </c>
      <c r="Q1635">
        <f>_xlfn.NUMBERVALUE("0.001263")</f>
        <v/>
      </c>
      <c r="R1635">
        <f>_xlfn.NUMBERVALUE("-0.000912")</f>
        <v/>
      </c>
      <c r="S1635">
        <f>_xlfn.NUMBERVALUE("0.000906")</f>
        <v/>
      </c>
      <c r="T1635">
        <f>_xlfn.NUMBERVALUE("0.000847")</f>
        <v/>
      </c>
      <c r="U1635">
        <f>_xlfn.NUMBERVALUE("0.001457")</f>
        <v/>
      </c>
      <c r="V1635">
        <f>_xlfn.NUMBERVALUE("0.001226")</f>
        <v/>
      </c>
      <c r="W1635">
        <f>_xlfn.NUMBERVALUE("0.001829")</f>
        <v/>
      </c>
      <c r="X1635">
        <f>_xlfn.NUMBERVALUE("0.140000")</f>
        <v/>
      </c>
      <c r="Y1635">
        <f>_xlfn.NUMBERVALUE("15.760000")</f>
        <v/>
      </c>
    </row>
    <row r="1636">
      <c r="A1636" s="1" t="n">
        <v>44376</v>
      </c>
      <c r="B1636">
        <f>_xlfn.NUMBERVALUE("-0.000540")</f>
        <v/>
      </c>
      <c r="C1636" s="2">
        <f>_xlfn.NUMBERVALUE("-0.000589")</f>
        <v/>
      </c>
      <c r="D1636">
        <f>_xlfn.NUMBERVALUE("0.000862")</f>
        <v/>
      </c>
      <c r="E1636">
        <f>_xlfn.NUMBERVALUE("0.000224")</f>
        <v/>
      </c>
      <c r="F1636">
        <f>_xlfn.NUMBERVALUE("0.000010")</f>
        <v/>
      </c>
      <c r="G1636">
        <f>_xlfn.NUMBERVALUE("-0.001258")</f>
        <v/>
      </c>
      <c r="H1636">
        <f>_xlfn.NUMBERVALUE("0.000483")</f>
        <v/>
      </c>
      <c r="I1636">
        <f>_xlfn.NUMBERVALUE("0.000928")</f>
        <v/>
      </c>
      <c r="J1636">
        <f>_xlfn.NUMBERVALUE("0.000079")</f>
        <v/>
      </c>
      <c r="K1636">
        <f>_xlfn.NUMBERVALUE("-0.000170")</f>
        <v/>
      </c>
      <c r="L1636">
        <f>_xlfn.NUMBERVALUE("0.000328")</f>
        <v/>
      </c>
      <c r="M1636">
        <f>_xlfn.NUMBERVALUE("-0.000237")</f>
        <v/>
      </c>
      <c r="N1636">
        <f>_xlfn.NUMBERVALUE("0.000597")</f>
        <v/>
      </c>
      <c r="O1636">
        <f>_xlfn.NUMBERVALUE("0.001207")</f>
        <v/>
      </c>
      <c r="P1636">
        <f>_xlfn.NUMBERVALUE("0.001190")</f>
        <v/>
      </c>
      <c r="Q1636">
        <f>_xlfn.NUMBERVALUE("0.000633")</f>
        <v/>
      </c>
      <c r="R1636">
        <f>_xlfn.NUMBERVALUE("-0.000288")</f>
        <v/>
      </c>
      <c r="S1636">
        <f>_xlfn.NUMBERVALUE("-0.001230")</f>
        <v/>
      </c>
      <c r="T1636">
        <f>_xlfn.NUMBERVALUE("-0.003318")</f>
        <v/>
      </c>
      <c r="U1636">
        <f>_xlfn.NUMBERVALUE("0.000448")</f>
        <v/>
      </c>
      <c r="V1636">
        <f>_xlfn.NUMBERVALUE("0.000484")</f>
        <v/>
      </c>
      <c r="W1636">
        <f>_xlfn.NUMBERVALUE("0.000819")</f>
        <v/>
      </c>
      <c r="X1636">
        <f>_xlfn.NUMBERVALUE("0.260000")</f>
        <v/>
      </c>
      <c r="Y1636">
        <f>_xlfn.NUMBERVALUE("16.020000")</f>
        <v/>
      </c>
    </row>
    <row r="1637">
      <c r="A1637" s="1" t="n">
        <v>44377</v>
      </c>
      <c r="B1637">
        <f>_xlfn.NUMBERVALUE("0.001012")</f>
        <v/>
      </c>
      <c r="C1637" s="2">
        <f>_xlfn.NUMBERVALUE("0.000914")</f>
        <v/>
      </c>
      <c r="D1637">
        <f>_xlfn.NUMBERVALUE("-0.000246")</f>
        <v/>
      </c>
      <c r="E1637">
        <f>_xlfn.NUMBERVALUE("-0.000575")</f>
        <v/>
      </c>
      <c r="F1637">
        <f>_xlfn.NUMBERVALUE("-0.000048")</f>
        <v/>
      </c>
      <c r="G1637">
        <f>_xlfn.NUMBERVALUE("0.002914")</f>
        <v/>
      </c>
      <c r="H1637">
        <f>_xlfn.NUMBERVALUE("-0.000050")</f>
        <v/>
      </c>
      <c r="I1637">
        <f>_xlfn.NUMBERVALUE("0.001489")</f>
        <v/>
      </c>
      <c r="J1637">
        <f>_xlfn.NUMBERVALUE("0.000146")</f>
        <v/>
      </c>
      <c r="K1637">
        <f>_xlfn.NUMBERVALUE("0.000215")</f>
        <v/>
      </c>
      <c r="L1637">
        <f>_xlfn.NUMBERVALUE("-0.000039")</f>
        <v/>
      </c>
      <c r="M1637">
        <f>_xlfn.NUMBERVALUE("0.000999")</f>
        <v/>
      </c>
      <c r="N1637">
        <f>_xlfn.NUMBERVALUE("0.000910")</f>
        <v/>
      </c>
      <c r="O1637">
        <f>_xlfn.NUMBERVALUE("0.002209")</f>
        <v/>
      </c>
      <c r="P1637">
        <f>_xlfn.NUMBERVALUE("0.001602")</f>
        <v/>
      </c>
      <c r="Q1637">
        <f>_xlfn.NUMBERVALUE("0.000311")</f>
        <v/>
      </c>
      <c r="R1637">
        <f>_xlfn.NUMBERVALUE("0.000248")</f>
        <v/>
      </c>
      <c r="S1637">
        <f>_xlfn.NUMBERVALUE("0.000641")</f>
        <v/>
      </c>
      <c r="T1637">
        <f>_xlfn.NUMBERVALUE("0.001004")</f>
        <v/>
      </c>
      <c r="U1637">
        <f>_xlfn.NUMBERVALUE("-0.000360")</f>
        <v/>
      </c>
      <c r="V1637">
        <f>_xlfn.NUMBERVALUE("0.000480")</f>
        <v/>
      </c>
      <c r="W1637">
        <f>_xlfn.NUMBERVALUE("0.001941")</f>
        <v/>
      </c>
      <c r="X1637">
        <f>_xlfn.NUMBERVALUE("-0.190000")</f>
        <v/>
      </c>
      <c r="Y1637">
        <f>_xlfn.NUMBERVALUE("15.830000")</f>
        <v/>
      </c>
    </row>
    <row r="1638">
      <c r="A1638" s="1" t="n">
        <v>44378</v>
      </c>
      <c r="B1638">
        <f>_xlfn.NUMBERVALUE("-0.000912")</f>
        <v/>
      </c>
      <c r="C1638" s="2">
        <f>_xlfn.NUMBERVALUE("0.000891")</f>
        <v/>
      </c>
      <c r="D1638">
        <f>_xlfn.NUMBERVALUE("0.000589")</f>
        <v/>
      </c>
      <c r="E1638">
        <f>_xlfn.NUMBERVALUE("0.000087")</f>
        <v/>
      </c>
      <c r="F1638">
        <f>_xlfn.NUMBERVALUE("0.000088")</f>
        <v/>
      </c>
      <c r="G1638">
        <f>_xlfn.NUMBERVALUE("-0.005164")</f>
        <v/>
      </c>
      <c r="H1638">
        <f>_xlfn.NUMBERVALUE("-0.000729")</f>
        <v/>
      </c>
      <c r="I1638">
        <f>_xlfn.NUMBERVALUE("0.000338")</f>
        <v/>
      </c>
      <c r="J1638">
        <f>_xlfn.NUMBERVALUE("-0.001574")</f>
        <v/>
      </c>
      <c r="K1638">
        <f>_xlfn.NUMBERVALUE("0.000489")</f>
        <v/>
      </c>
      <c r="L1638">
        <f>_xlfn.NUMBERVALUE("-0.000971")</f>
        <v/>
      </c>
      <c r="M1638">
        <f>_xlfn.NUMBERVALUE("0.000453")</f>
        <v/>
      </c>
      <c r="N1638">
        <f>_xlfn.NUMBERVALUE("-0.001305")</f>
        <v/>
      </c>
      <c r="O1638">
        <f>_xlfn.NUMBERVALUE("0.001453")</f>
        <v/>
      </c>
      <c r="P1638">
        <f>_xlfn.NUMBERVALUE("0.001250")</f>
        <v/>
      </c>
      <c r="Q1638">
        <f>_xlfn.NUMBERVALUE("0.001113")</f>
        <v/>
      </c>
      <c r="R1638">
        <f>_xlfn.NUMBERVALUE("0.000773")</f>
        <v/>
      </c>
      <c r="S1638">
        <f>_xlfn.NUMBERVALUE("0.000818")</f>
        <v/>
      </c>
      <c r="T1638">
        <f>_xlfn.NUMBERVALUE("0.000153")</f>
        <v/>
      </c>
      <c r="U1638">
        <f>_xlfn.NUMBERVALUE("0.000649")</f>
        <v/>
      </c>
      <c r="V1638">
        <f>_xlfn.NUMBERVALUE("-0.000166")</f>
        <v/>
      </c>
      <c r="W1638">
        <f>_xlfn.NUMBERVALUE("0.004108")</f>
        <v/>
      </c>
      <c r="X1638">
        <f>_xlfn.NUMBERVALUE("-0.350000")</f>
        <v/>
      </c>
      <c r="Y1638">
        <f>_xlfn.NUMBERVALUE("15.480000")</f>
        <v/>
      </c>
    </row>
    <row r="1639">
      <c r="A1639" s="1" t="n">
        <v>44379</v>
      </c>
      <c r="B1639">
        <f>_xlfn.NUMBERVALUE("0.003656")</f>
        <v/>
      </c>
      <c r="C1639" s="2">
        <f>_xlfn.NUMBERVALUE("0.001914")</f>
        <v/>
      </c>
      <c r="D1639">
        <f>_xlfn.NUMBERVALUE("0.000539")</f>
        <v/>
      </c>
      <c r="E1639">
        <f>_xlfn.NUMBERVALUE("0.000317")</f>
        <v/>
      </c>
      <c r="F1639">
        <f>_xlfn.NUMBERVALUE("0.000046")</f>
        <v/>
      </c>
      <c r="G1639">
        <f>_xlfn.NUMBERVALUE("0.000192")</f>
        <v/>
      </c>
      <c r="H1639">
        <f>_xlfn.NUMBERVALUE("0.000016")</f>
        <v/>
      </c>
      <c r="I1639">
        <f>_xlfn.NUMBERVALUE("0.002860")</f>
        <v/>
      </c>
      <c r="J1639">
        <f>_xlfn.NUMBERVALUE("0.000127")</f>
        <v/>
      </c>
      <c r="K1639">
        <f>_xlfn.NUMBERVALUE("-0.000041")</f>
        <v/>
      </c>
      <c r="L1639">
        <f>_xlfn.NUMBERVALUE("-0.000047")</f>
        <v/>
      </c>
      <c r="M1639">
        <f>_xlfn.NUMBERVALUE("0.000209")</f>
        <v/>
      </c>
      <c r="N1639">
        <f>_xlfn.NUMBERVALUE("0.000638")</f>
        <v/>
      </c>
      <c r="O1639">
        <f>_xlfn.NUMBERVALUE("0.001697")</f>
        <v/>
      </c>
      <c r="P1639">
        <f>_xlfn.NUMBERVALUE("0.002238")</f>
        <v/>
      </c>
      <c r="Q1639">
        <f>_xlfn.NUMBERVALUE("0.002414")</f>
        <v/>
      </c>
      <c r="R1639">
        <f>_xlfn.NUMBERVALUE("-0.000227")</f>
        <v/>
      </c>
      <c r="S1639">
        <f>_xlfn.NUMBERVALUE("0.001223")</f>
        <v/>
      </c>
      <c r="T1639">
        <f>_xlfn.NUMBERVALUE("0.000553")</f>
        <v/>
      </c>
      <c r="U1639">
        <f>_xlfn.NUMBERVALUE("-0.000044")</f>
        <v/>
      </c>
      <c r="V1639">
        <f>_xlfn.NUMBERVALUE("-0.000429")</f>
        <v/>
      </c>
      <c r="W1639">
        <f>_xlfn.NUMBERVALUE("0.008206")</f>
        <v/>
      </c>
      <c r="X1639">
        <f>_xlfn.NUMBERVALUE("-0.410000")</f>
        <v/>
      </c>
      <c r="Y1639">
        <f>_xlfn.NUMBERVALUE("15.070000")</f>
        <v/>
      </c>
    </row>
    <row r="1640">
      <c r="A1640" s="1" t="n">
        <v>44383</v>
      </c>
      <c r="B1640">
        <f>_xlfn.NUMBERVALUE("0.002661")</f>
        <v/>
      </c>
      <c r="C1640" s="2">
        <f>_xlfn.NUMBERVALUE("0.001411")</f>
        <v/>
      </c>
      <c r="D1640">
        <f>_xlfn.NUMBERVALUE("-0.000843")</f>
        <v/>
      </c>
      <c r="E1640">
        <f>_xlfn.NUMBERVALUE("-0.000001")</f>
        <v/>
      </c>
      <c r="F1640">
        <f>_xlfn.NUMBERVALUE("0.000002")</f>
        <v/>
      </c>
      <c r="G1640">
        <f>_xlfn.NUMBERVALUE("-0.000148")</f>
        <v/>
      </c>
      <c r="H1640">
        <f>_xlfn.NUMBERVALUE("-0.000461")</f>
        <v/>
      </c>
      <c r="I1640">
        <f>_xlfn.NUMBERVALUE("0.001607")</f>
        <v/>
      </c>
      <c r="J1640">
        <f>_xlfn.NUMBERVALUE("-0.000151")</f>
        <v/>
      </c>
      <c r="K1640">
        <f>_xlfn.NUMBERVALUE("0.000040")</f>
        <v/>
      </c>
      <c r="L1640">
        <f>_xlfn.NUMBERVALUE("-0.000117")</f>
        <v/>
      </c>
      <c r="M1640">
        <f>_xlfn.NUMBERVALUE("-0.000459")</f>
        <v/>
      </c>
      <c r="N1640">
        <f>_xlfn.NUMBERVALUE("0.001257")</f>
        <v/>
      </c>
      <c r="O1640">
        <f>_xlfn.NUMBERVALUE("-0.008186")</f>
        <v/>
      </c>
      <c r="P1640">
        <f>_xlfn.NUMBERVALUE("-0.003013")</f>
        <v/>
      </c>
      <c r="Q1640">
        <f>_xlfn.NUMBERVALUE("-0.002376")</f>
        <v/>
      </c>
      <c r="R1640">
        <f>_xlfn.NUMBERVALUE("-0.000012")</f>
        <v/>
      </c>
      <c r="S1640">
        <f>_xlfn.NUMBERVALUE("0.000309")</f>
        <v/>
      </c>
      <c r="T1640">
        <f>_xlfn.NUMBERVALUE("-0.000015")</f>
        <v/>
      </c>
      <c r="U1640">
        <f>_xlfn.NUMBERVALUE("0.000102")</f>
        <v/>
      </c>
      <c r="V1640">
        <f>_xlfn.NUMBERVALUE("0.000091")</f>
        <v/>
      </c>
      <c r="W1640">
        <f>_xlfn.NUMBERVALUE("-0.000842")</f>
        <v/>
      </c>
      <c r="X1640">
        <f>_xlfn.NUMBERVALUE("1.370000")</f>
        <v/>
      </c>
      <c r="Y1640">
        <f>_xlfn.NUMBERVALUE("16.440000")</f>
        <v/>
      </c>
    </row>
    <row r="1641">
      <c r="A1641" s="1" t="n">
        <v>44384</v>
      </c>
      <c r="B1641">
        <f>_xlfn.NUMBERVALUE("-0.001199")</f>
        <v/>
      </c>
      <c r="C1641" s="2">
        <f>_xlfn.NUMBERVALUE("-0.000041")</f>
        <v/>
      </c>
      <c r="D1641">
        <f>_xlfn.NUMBERVALUE("0.000395")</f>
        <v/>
      </c>
      <c r="E1641">
        <f>_xlfn.NUMBERVALUE("0.000147")</f>
        <v/>
      </c>
      <c r="F1641">
        <f>_xlfn.NUMBERVALUE("0.000874")</f>
        <v/>
      </c>
      <c r="G1641">
        <f>_xlfn.NUMBERVALUE("-0.000203")</f>
        <v/>
      </c>
      <c r="H1641">
        <f>_xlfn.NUMBERVALUE("-0.001343")</f>
        <v/>
      </c>
      <c r="I1641">
        <f>_xlfn.NUMBERVALUE("-0.000178")</f>
        <v/>
      </c>
      <c r="J1641">
        <f>_xlfn.NUMBERVALUE("-0.001978")</f>
        <v/>
      </c>
      <c r="K1641">
        <f>_xlfn.NUMBERVALUE("0.003288")</f>
        <v/>
      </c>
      <c r="L1641">
        <f>_xlfn.NUMBERVALUE("0.000002")</f>
        <v/>
      </c>
      <c r="M1641">
        <f>_xlfn.NUMBERVALUE("0.000398")</f>
        <v/>
      </c>
      <c r="N1641">
        <f>_xlfn.NUMBERVALUE("0.000586")</f>
        <v/>
      </c>
      <c r="O1641">
        <f>_xlfn.NUMBERVALUE("-0.000611")</f>
        <v/>
      </c>
      <c r="P1641">
        <f>_xlfn.NUMBERVALUE("0.000838")</f>
        <v/>
      </c>
      <c r="Q1641">
        <f>_xlfn.NUMBERVALUE("0.000346")</f>
        <v/>
      </c>
      <c r="R1641">
        <f>_xlfn.NUMBERVALUE("-0.000033")</f>
        <v/>
      </c>
      <c r="S1641">
        <f>_xlfn.NUMBERVALUE("0.000627")</f>
        <v/>
      </c>
      <c r="T1641">
        <f>_xlfn.NUMBERVALUE("0.000417")</f>
        <v/>
      </c>
      <c r="U1641">
        <f>_xlfn.NUMBERVALUE("0.000117")</f>
        <v/>
      </c>
      <c r="V1641">
        <f>_xlfn.NUMBERVALUE("-0.001239")</f>
        <v/>
      </c>
      <c r="W1641">
        <f>_xlfn.NUMBERVALUE("0.003672")</f>
        <v/>
      </c>
      <c r="X1641">
        <f>_xlfn.NUMBERVALUE("-0.240000")</f>
        <v/>
      </c>
      <c r="Y1641">
        <f>_xlfn.NUMBERVALUE("16.200000")</f>
        <v/>
      </c>
    </row>
    <row r="1642">
      <c r="A1642" s="1" t="n">
        <v>44385</v>
      </c>
      <c r="B1642">
        <f>_xlfn.NUMBERVALUE("-0.001969")</f>
        <v/>
      </c>
      <c r="C1642" s="2">
        <f>_xlfn.NUMBERVALUE("-0.000650")</f>
        <v/>
      </c>
      <c r="D1642">
        <f>_xlfn.NUMBERVALUE("-0.004043")</f>
        <v/>
      </c>
      <c r="E1642">
        <f>_xlfn.NUMBERVALUE("-0.002606")</f>
        <v/>
      </c>
      <c r="F1642">
        <f>_xlfn.NUMBERVALUE("-0.000603")</f>
        <v/>
      </c>
      <c r="G1642">
        <f>_xlfn.NUMBERVALUE("-0.000833")</f>
        <v/>
      </c>
      <c r="H1642">
        <f>_xlfn.NUMBERVALUE("-0.001114")</f>
        <v/>
      </c>
      <c r="I1642">
        <f>_xlfn.NUMBERVALUE("-0.002163")</f>
        <v/>
      </c>
      <c r="J1642">
        <f>_xlfn.NUMBERVALUE("0.000841")</f>
        <v/>
      </c>
      <c r="K1642">
        <f>_xlfn.NUMBERVALUE("0.000093")</f>
        <v/>
      </c>
      <c r="L1642">
        <f>_xlfn.NUMBERVALUE("-0.000120")</f>
        <v/>
      </c>
      <c r="M1642">
        <f>_xlfn.NUMBERVALUE("-0.000360")</f>
        <v/>
      </c>
      <c r="N1642">
        <f>_xlfn.NUMBERVALUE("-0.002354")</f>
        <v/>
      </c>
      <c r="O1642">
        <f>_xlfn.NUMBERVALUE("-0.000178")</f>
        <v/>
      </c>
      <c r="P1642">
        <f>_xlfn.NUMBERVALUE("-0.000751")</f>
        <v/>
      </c>
      <c r="Q1642">
        <f>_xlfn.NUMBERVALUE("-0.005468")</f>
        <v/>
      </c>
      <c r="R1642">
        <f>_xlfn.NUMBERVALUE("-0.000035")</f>
        <v/>
      </c>
      <c r="S1642">
        <f>_xlfn.NUMBERVALUE("-0.000263")</f>
        <v/>
      </c>
      <c r="T1642">
        <f>_xlfn.NUMBERVALUE("0.000459")</f>
        <v/>
      </c>
      <c r="U1642">
        <f>_xlfn.NUMBERVALUE("-0.000232")</f>
        <v/>
      </c>
      <c r="V1642">
        <f>_xlfn.NUMBERVALUE("-0.003120")</f>
        <v/>
      </c>
      <c r="W1642">
        <f>_xlfn.NUMBERVALUE("-0.010838")</f>
        <v/>
      </c>
      <c r="X1642">
        <f>_xlfn.NUMBERVALUE("2.800000")</f>
        <v/>
      </c>
      <c r="Y1642">
        <f>_xlfn.NUMBERVALUE("19.000000")</f>
        <v/>
      </c>
    </row>
    <row r="1643">
      <c r="A1643" s="1" t="n">
        <v>44386</v>
      </c>
      <c r="B1643">
        <f>_xlfn.NUMBERVALUE("0.006187")</f>
        <v/>
      </c>
      <c r="C1643" s="2">
        <f>_xlfn.NUMBERVALUE("-0.001129")</f>
        <v/>
      </c>
      <c r="D1643">
        <f>_xlfn.NUMBERVALUE("-0.000175")</f>
        <v/>
      </c>
      <c r="E1643">
        <f>_xlfn.NUMBERVALUE("-0.003255")</f>
        <v/>
      </c>
      <c r="F1643">
        <f>_xlfn.NUMBERVALUE("0.001272")</f>
        <v/>
      </c>
      <c r="G1643">
        <f>_xlfn.NUMBERVALUE("0.000936")</f>
        <v/>
      </c>
      <c r="H1643">
        <f>_xlfn.NUMBERVALUE("0.000679")</f>
        <v/>
      </c>
      <c r="I1643">
        <f>_xlfn.NUMBERVALUE("0.000782")</f>
        <v/>
      </c>
      <c r="J1643">
        <f>_xlfn.NUMBERVALUE("0.000353")</f>
        <v/>
      </c>
      <c r="K1643">
        <f>_xlfn.NUMBERVALUE("0.001276")</f>
        <v/>
      </c>
      <c r="L1643">
        <f>_xlfn.NUMBERVALUE("0.000545")</f>
        <v/>
      </c>
      <c r="M1643">
        <f>_xlfn.NUMBERVALUE("0.000364")</f>
        <v/>
      </c>
      <c r="N1643">
        <f>_xlfn.NUMBERVALUE("-0.000331")</f>
        <v/>
      </c>
      <c r="O1643">
        <f>_xlfn.NUMBERVALUE("0.000189")</f>
        <v/>
      </c>
      <c r="P1643">
        <f>_xlfn.NUMBERVALUE("0.000001")</f>
        <v/>
      </c>
      <c r="Q1643">
        <f>_xlfn.NUMBERVALUE("0.001857")</f>
        <v/>
      </c>
      <c r="R1643">
        <f>_xlfn.NUMBERVALUE("-0.000000")</f>
        <v/>
      </c>
      <c r="S1643">
        <f>_xlfn.NUMBERVALUE("0.000410")</f>
        <v/>
      </c>
      <c r="T1643">
        <f>_xlfn.NUMBERVALUE("0.000162")</f>
        <v/>
      </c>
      <c r="U1643">
        <f>_xlfn.NUMBERVALUE("-0.000000")</f>
        <v/>
      </c>
      <c r="V1643">
        <f>_xlfn.NUMBERVALUE("0.001128")</f>
        <v/>
      </c>
      <c r="W1643">
        <f>_xlfn.NUMBERVALUE("0.012934")</f>
        <v/>
      </c>
      <c r="X1643">
        <f>_xlfn.NUMBERVALUE("-2.820000")</f>
        <v/>
      </c>
      <c r="Y1643">
        <f>_xlfn.NUMBERVALUE("16.180000")</f>
        <v/>
      </c>
    </row>
    <row r="1644">
      <c r="A1644" s="1" t="n">
        <v>44389</v>
      </c>
      <c r="B1644">
        <f>_xlfn.NUMBERVALUE("0.005460")</f>
        <v/>
      </c>
      <c r="C1644" s="2">
        <f>_xlfn.NUMBERVALUE("0.000373")</f>
        <v/>
      </c>
      <c r="D1644">
        <f>_xlfn.NUMBERVALUE("0.002406")</f>
        <v/>
      </c>
      <c r="E1644">
        <f>_xlfn.NUMBERVALUE("0.001321")</f>
        <v/>
      </c>
      <c r="F1644">
        <f>_xlfn.NUMBERVALUE("0.001412")</f>
        <v/>
      </c>
      <c r="G1644">
        <f>_xlfn.NUMBERVALUE("0.000640")</f>
        <v/>
      </c>
      <c r="H1644">
        <f>_xlfn.NUMBERVALUE("0.000181")</f>
        <v/>
      </c>
      <c r="I1644">
        <f>_xlfn.NUMBERVALUE("0.002448")</f>
        <v/>
      </c>
      <c r="J1644">
        <f>_xlfn.NUMBERVALUE("0.000369")</f>
        <v/>
      </c>
      <c r="K1644">
        <f>_xlfn.NUMBERVALUE("0.004376")</f>
        <v/>
      </c>
      <c r="L1644">
        <f>_xlfn.NUMBERVALUE("0.001060")</f>
        <v/>
      </c>
      <c r="M1644">
        <f>_xlfn.NUMBERVALUE("0.000944")</f>
        <v/>
      </c>
      <c r="N1644">
        <f>_xlfn.NUMBERVALUE("0.001887")</f>
        <v/>
      </c>
      <c r="O1644">
        <f>_xlfn.NUMBERVALUE("0.004428")</f>
        <v/>
      </c>
      <c r="P1644">
        <f>_xlfn.NUMBERVALUE("0.000895")</f>
        <v/>
      </c>
      <c r="Q1644">
        <f>_xlfn.NUMBERVALUE("0.001984")</f>
        <v/>
      </c>
      <c r="R1644">
        <f>_xlfn.NUMBERVALUE("0.002495")</f>
        <v/>
      </c>
      <c r="S1644">
        <f>_xlfn.NUMBERVALUE("0.000289")</f>
        <v/>
      </c>
      <c r="T1644">
        <f>_xlfn.NUMBERVALUE("0.001591")</f>
        <v/>
      </c>
      <c r="U1644">
        <f>_xlfn.NUMBERVALUE("0.000460")</f>
        <v/>
      </c>
      <c r="V1644">
        <f>_xlfn.NUMBERVALUE("0.000173")</f>
        <v/>
      </c>
      <c r="W1644">
        <f>_xlfn.NUMBERVALUE("0.003514")</f>
        <v/>
      </c>
      <c r="X1644">
        <f>_xlfn.NUMBERVALUE("-0.010000")</f>
        <v/>
      </c>
      <c r="Y1644">
        <f>_xlfn.NUMBERVALUE("16.170000")</f>
        <v/>
      </c>
    </row>
    <row r="1645">
      <c r="A1645" s="1" t="n">
        <v>44390</v>
      </c>
      <c r="B1645">
        <f>_xlfn.NUMBERVALUE("-0.002020")</f>
        <v/>
      </c>
      <c r="C1645" s="2">
        <f>_xlfn.NUMBERVALUE("-0.000394")</f>
        <v/>
      </c>
      <c r="D1645">
        <f>_xlfn.NUMBERVALUE("0.001268")</f>
        <v/>
      </c>
      <c r="E1645">
        <f>_xlfn.NUMBERVALUE("0.000221")</f>
        <v/>
      </c>
      <c r="F1645">
        <f>_xlfn.NUMBERVALUE("0.001142")</f>
        <v/>
      </c>
      <c r="G1645">
        <f>_xlfn.NUMBERVALUE("0.000383")</f>
        <v/>
      </c>
      <c r="H1645">
        <f>_xlfn.NUMBERVALUE("0.000375")</f>
        <v/>
      </c>
      <c r="I1645">
        <f>_xlfn.NUMBERVALUE("-0.001945")</f>
        <v/>
      </c>
      <c r="J1645">
        <f>_xlfn.NUMBERVALUE("0.000157")</f>
        <v/>
      </c>
      <c r="K1645">
        <f>_xlfn.NUMBERVALUE("-0.001484")</f>
        <v/>
      </c>
      <c r="L1645">
        <f>_xlfn.NUMBERVALUE("0.000595")</f>
        <v/>
      </c>
      <c r="M1645">
        <f>_xlfn.NUMBERVALUE("-0.000041")</f>
        <v/>
      </c>
      <c r="N1645">
        <f>_xlfn.NUMBERVALUE("-0.000221")</f>
        <v/>
      </c>
      <c r="O1645">
        <f>_xlfn.NUMBERVALUE("0.000941")</f>
        <v/>
      </c>
      <c r="P1645">
        <f>_xlfn.NUMBERVALUE("0.000481")</f>
        <v/>
      </c>
      <c r="Q1645">
        <f>_xlfn.NUMBERVALUE("0.000220")</f>
        <v/>
      </c>
      <c r="R1645">
        <f>_xlfn.NUMBERVALUE("-0.002109")</f>
        <v/>
      </c>
      <c r="S1645">
        <f>_xlfn.NUMBERVALUE("0.000749")</f>
        <v/>
      </c>
      <c r="T1645">
        <f>_xlfn.NUMBERVALUE("0.000299")</f>
        <v/>
      </c>
      <c r="U1645">
        <f>_xlfn.NUMBERVALUE("-0.000472")</f>
        <v/>
      </c>
      <c r="V1645">
        <f>_xlfn.NUMBERVALUE("-0.000338")</f>
        <v/>
      </c>
      <c r="W1645">
        <f>_xlfn.NUMBERVALUE("-0.002334")</f>
        <v/>
      </c>
      <c r="X1645">
        <f>_xlfn.NUMBERVALUE("0.950000")</f>
        <v/>
      </c>
      <c r="Y1645">
        <f>_xlfn.NUMBERVALUE("17.120000")</f>
        <v/>
      </c>
    </row>
    <row r="1646">
      <c r="A1646" s="1" t="n">
        <v>44391</v>
      </c>
      <c r="B1646">
        <f>_xlfn.NUMBERVALUE("-0.002377")</f>
        <v/>
      </c>
      <c r="C1646" s="2">
        <f>_xlfn.NUMBERVALUE("0.001302")</f>
        <v/>
      </c>
      <c r="D1646">
        <f>_xlfn.NUMBERVALUE("0.000788")</f>
        <v/>
      </c>
      <c r="E1646">
        <f>_xlfn.NUMBERVALUE("-0.000097")</f>
        <v/>
      </c>
      <c r="F1646">
        <f>_xlfn.NUMBERVALUE("-0.000899")</f>
        <v/>
      </c>
      <c r="G1646">
        <f>_xlfn.NUMBERVALUE("0.000732")</f>
        <v/>
      </c>
      <c r="H1646">
        <f>_xlfn.NUMBERVALUE("0.000217")</f>
        <v/>
      </c>
      <c r="I1646">
        <f>_xlfn.NUMBERVALUE("-0.001804")</f>
        <v/>
      </c>
      <c r="J1646">
        <f>_xlfn.NUMBERVALUE("-0.000087")</f>
        <v/>
      </c>
      <c r="K1646">
        <f>_xlfn.NUMBERVALUE("0.000643")</f>
        <v/>
      </c>
      <c r="L1646">
        <f>_xlfn.NUMBERVALUE("0.000583")</f>
        <v/>
      </c>
      <c r="M1646">
        <f>_xlfn.NUMBERVALUE("0.001782")</f>
        <v/>
      </c>
      <c r="N1646">
        <f>_xlfn.NUMBERVALUE("0.000762")</f>
        <v/>
      </c>
      <c r="O1646">
        <f>_xlfn.NUMBERVALUE("-0.004187")</f>
        <v/>
      </c>
      <c r="P1646">
        <f>_xlfn.NUMBERVALUE("0.001386")</f>
        <v/>
      </c>
      <c r="Q1646">
        <f>_xlfn.NUMBERVALUE("0.002124")</f>
        <v/>
      </c>
      <c r="R1646">
        <f>_xlfn.NUMBERVALUE("-0.000284")</f>
        <v/>
      </c>
      <c r="S1646">
        <f>_xlfn.NUMBERVALUE("-0.001914")</f>
        <v/>
      </c>
      <c r="T1646">
        <f>_xlfn.NUMBERVALUE("-0.001748")</f>
        <v/>
      </c>
      <c r="U1646">
        <f>_xlfn.NUMBERVALUE("0.001424")</f>
        <v/>
      </c>
      <c r="V1646">
        <f>_xlfn.NUMBERVALUE("0.001214")</f>
        <v/>
      </c>
      <c r="W1646">
        <f>_xlfn.NUMBERVALUE("0.001147")</f>
        <v/>
      </c>
      <c r="X1646">
        <f>_xlfn.NUMBERVALUE("-0.790000")</f>
        <v/>
      </c>
      <c r="Y1646">
        <f>_xlfn.NUMBERVALUE("16.330000")</f>
        <v/>
      </c>
    </row>
    <row r="1647">
      <c r="A1647" s="1" t="n">
        <v>44392</v>
      </c>
      <c r="B1647">
        <f>_xlfn.NUMBERVALUE("0.000331")</f>
        <v/>
      </c>
      <c r="C1647" s="2">
        <f>_xlfn.NUMBERVALUE("-0.000388")</f>
        <v/>
      </c>
      <c r="D1647">
        <f>_xlfn.NUMBERVALUE("0.000752")</f>
        <v/>
      </c>
      <c r="E1647">
        <f>_xlfn.NUMBERVALUE("0.000023")</f>
        <v/>
      </c>
      <c r="F1647">
        <f>_xlfn.NUMBERVALUE("0.000404")</f>
        <v/>
      </c>
      <c r="G1647">
        <f>_xlfn.NUMBERVALUE("0.000371")</f>
        <v/>
      </c>
      <c r="H1647">
        <f>_xlfn.NUMBERVALUE("-0.000912")</f>
        <v/>
      </c>
      <c r="I1647">
        <f>_xlfn.NUMBERVALUE("0.000341")</f>
        <v/>
      </c>
      <c r="J1647">
        <f>_xlfn.NUMBERVALUE("0.000002")</f>
        <v/>
      </c>
      <c r="K1647">
        <f>_xlfn.NUMBERVALUE("0.001272")</f>
        <v/>
      </c>
      <c r="L1647">
        <f>_xlfn.NUMBERVALUE("-0.002623")</f>
        <v/>
      </c>
      <c r="M1647">
        <f>_xlfn.NUMBERVALUE("0.000462")</f>
        <v/>
      </c>
      <c r="N1647">
        <f>_xlfn.NUMBERVALUE("0.000708")</f>
        <v/>
      </c>
      <c r="O1647">
        <f>_xlfn.NUMBERVALUE("0.001066")</f>
        <v/>
      </c>
      <c r="P1647">
        <f>_xlfn.NUMBERVALUE("0.001015")</f>
        <v/>
      </c>
      <c r="Q1647">
        <f>_xlfn.NUMBERVALUE("0.000195")</f>
        <v/>
      </c>
      <c r="R1647">
        <f>_xlfn.NUMBERVALUE("0.000504")</f>
        <v/>
      </c>
      <c r="S1647">
        <f>_xlfn.NUMBERVALUE("-0.000497")</f>
        <v/>
      </c>
      <c r="T1647">
        <f>_xlfn.NUMBERVALUE("-0.003100")</f>
        <v/>
      </c>
      <c r="U1647">
        <f>_xlfn.NUMBERVALUE("0.000255")</f>
        <v/>
      </c>
      <c r="V1647">
        <f>_xlfn.NUMBERVALUE("0.000221")</f>
        <v/>
      </c>
      <c r="W1647">
        <f>_xlfn.NUMBERVALUE("-0.004583")</f>
        <v/>
      </c>
      <c r="X1647">
        <f>_xlfn.NUMBERVALUE("0.680000")</f>
        <v/>
      </c>
      <c r="Y1647">
        <f>_xlfn.NUMBERVALUE("17.010000")</f>
        <v/>
      </c>
    </row>
    <row r="1648">
      <c r="A1648" s="1" t="n">
        <v>44393</v>
      </c>
      <c r="B1648">
        <f>_xlfn.NUMBERVALUE("0.003528")</f>
        <v/>
      </c>
      <c r="C1648" s="2">
        <f>_xlfn.NUMBERVALUE("-0.000219")</f>
        <v/>
      </c>
      <c r="D1648">
        <f>_xlfn.NUMBERVALUE("-0.000249")</f>
        <v/>
      </c>
      <c r="E1648">
        <f>_xlfn.NUMBERVALUE("-0.000302")</f>
        <v/>
      </c>
      <c r="F1648">
        <f>_xlfn.NUMBERVALUE("0.000494")</f>
        <v/>
      </c>
      <c r="G1648">
        <f>_xlfn.NUMBERVALUE("-0.000705")</f>
        <v/>
      </c>
      <c r="H1648">
        <f>_xlfn.NUMBERVALUE("0.000224")</f>
        <v/>
      </c>
      <c r="I1648">
        <f>_xlfn.NUMBERVALUE("-0.001134")</f>
        <v/>
      </c>
      <c r="J1648">
        <f>_xlfn.NUMBERVALUE("-0.000123")</f>
        <v/>
      </c>
      <c r="K1648">
        <f>_xlfn.NUMBERVALUE("-0.005885")</f>
        <v/>
      </c>
      <c r="L1648">
        <f>_xlfn.NUMBERVALUE("0.000612")</f>
        <v/>
      </c>
      <c r="M1648">
        <f>_xlfn.NUMBERVALUE("-0.001514")</f>
        <v/>
      </c>
      <c r="N1648">
        <f>_xlfn.NUMBERVALUE("-0.000118")</f>
        <v/>
      </c>
      <c r="O1648">
        <f>_xlfn.NUMBERVALUE("-0.004107")</f>
        <v/>
      </c>
      <c r="P1648">
        <f>_xlfn.NUMBERVALUE("-0.001224")</f>
        <v/>
      </c>
      <c r="Q1648">
        <f>_xlfn.NUMBERVALUE("-0.000402")</f>
        <v/>
      </c>
      <c r="R1648">
        <f>_xlfn.NUMBERVALUE("0.000405")</f>
        <v/>
      </c>
      <c r="S1648">
        <f>_xlfn.NUMBERVALUE("0.002721")</f>
        <v/>
      </c>
      <c r="T1648">
        <f>_xlfn.NUMBERVALUE("0.002601")</f>
        <v/>
      </c>
      <c r="U1648">
        <f>_xlfn.NUMBERVALUE("-0.000955")</f>
        <v/>
      </c>
      <c r="V1648">
        <f>_xlfn.NUMBERVALUE("-0.001070")</f>
        <v/>
      </c>
      <c r="W1648">
        <f>_xlfn.NUMBERVALUE("-0.007297")</f>
        <v/>
      </c>
      <c r="X1648">
        <f>_xlfn.NUMBERVALUE("1.440000")</f>
        <v/>
      </c>
      <c r="Y1648">
        <f>_xlfn.NUMBERVALUE("18.450000")</f>
        <v/>
      </c>
    </row>
    <row r="1649">
      <c r="A1649" s="1" t="n">
        <v>44396</v>
      </c>
      <c r="B1649">
        <f>_xlfn.NUMBERVALUE("0.000588")</f>
        <v/>
      </c>
      <c r="C1649" s="2">
        <f>_xlfn.NUMBERVALUE("-0.010825")</f>
        <v/>
      </c>
      <c r="D1649">
        <f>_xlfn.NUMBERVALUE("-0.005559")</f>
        <v/>
      </c>
      <c r="E1649">
        <f>_xlfn.NUMBERVALUE("-0.004456")</f>
        <v/>
      </c>
      <c r="F1649">
        <f>_xlfn.NUMBERVALUE("-0.000296")</f>
        <v/>
      </c>
      <c r="G1649">
        <f>_xlfn.NUMBERVALUE("-0.003048")</f>
        <v/>
      </c>
      <c r="H1649">
        <f>_xlfn.NUMBERVALUE("-0.003425")</f>
        <v/>
      </c>
      <c r="I1649">
        <f>_xlfn.NUMBERVALUE("-0.002489")</f>
        <v/>
      </c>
      <c r="J1649">
        <f>_xlfn.NUMBERVALUE("-0.002616")</f>
        <v/>
      </c>
      <c r="K1649">
        <f>_xlfn.NUMBERVALUE("-0.003996")</f>
        <v/>
      </c>
      <c r="L1649">
        <f>_xlfn.NUMBERVALUE("-0.008776")</f>
        <v/>
      </c>
      <c r="M1649">
        <f>_xlfn.NUMBERVALUE("-0.007028")</f>
        <v/>
      </c>
      <c r="N1649">
        <f>_xlfn.NUMBERVALUE("-0.004066")</f>
        <v/>
      </c>
      <c r="O1649">
        <f>_xlfn.NUMBERVALUE("-0.004825")</f>
        <v/>
      </c>
      <c r="P1649">
        <f>_xlfn.NUMBERVALUE("-0.010163")</f>
        <v/>
      </c>
      <c r="Q1649">
        <f>_xlfn.NUMBERVALUE("-0.007181")</f>
        <v/>
      </c>
      <c r="R1649">
        <f>_xlfn.NUMBERVALUE("-0.005108")</f>
        <v/>
      </c>
      <c r="S1649">
        <f>_xlfn.NUMBERVALUE("-0.003748")</f>
        <v/>
      </c>
      <c r="T1649">
        <f>_xlfn.NUMBERVALUE("-0.005468")</f>
        <v/>
      </c>
      <c r="U1649">
        <f>_xlfn.NUMBERVALUE("-0.004338")</f>
        <v/>
      </c>
      <c r="V1649">
        <f>_xlfn.NUMBERVALUE("-0.005996")</f>
        <v/>
      </c>
      <c r="W1649">
        <f>_xlfn.NUMBERVALUE("-0.019617")</f>
        <v/>
      </c>
      <c r="X1649">
        <f>_xlfn.NUMBERVALUE("4.050000")</f>
        <v/>
      </c>
      <c r="Y1649">
        <f>_xlfn.NUMBERVALUE("22.500000")</f>
        <v/>
      </c>
    </row>
    <row r="1650">
      <c r="A1650" s="1" t="n">
        <v>44397</v>
      </c>
      <c r="B1650">
        <f>_xlfn.NUMBERVALUE("0.001232")</f>
        <v/>
      </c>
      <c r="C1650" s="2">
        <f>_xlfn.NUMBERVALUE("0.001052")</f>
        <v/>
      </c>
      <c r="D1650">
        <f>_xlfn.NUMBERVALUE("0.003040")</f>
        <v/>
      </c>
      <c r="E1650">
        <f>_xlfn.NUMBERVALUE("0.002159")</f>
        <v/>
      </c>
      <c r="F1650">
        <f>_xlfn.NUMBERVALUE("0.002259")</f>
        <v/>
      </c>
      <c r="G1650">
        <f>_xlfn.NUMBERVALUE("0.002004")</f>
        <v/>
      </c>
      <c r="H1650">
        <f>_xlfn.NUMBERVALUE("0.001137")</f>
        <v/>
      </c>
      <c r="I1650">
        <f>_xlfn.NUMBERVALUE("0.001177")</f>
        <v/>
      </c>
      <c r="J1650">
        <f>_xlfn.NUMBERVALUE("-0.000416")</f>
        <v/>
      </c>
      <c r="K1650">
        <f>_xlfn.NUMBERVALUE("0.000863")</f>
        <v/>
      </c>
      <c r="L1650">
        <f>_xlfn.NUMBERVALUE("0.001388")</f>
        <v/>
      </c>
      <c r="M1650">
        <f>_xlfn.NUMBERVALUE("0.002802")</f>
        <v/>
      </c>
      <c r="N1650">
        <f>_xlfn.NUMBERVALUE("0.003233")</f>
        <v/>
      </c>
      <c r="O1650">
        <f>_xlfn.NUMBERVALUE("0.001114")</f>
        <v/>
      </c>
      <c r="P1650">
        <f>_xlfn.NUMBERVALUE("0.000543")</f>
        <v/>
      </c>
      <c r="Q1650">
        <f>_xlfn.NUMBERVALUE("-0.004053")</f>
        <v/>
      </c>
      <c r="R1650">
        <f>_xlfn.NUMBERVALUE("0.001452")</f>
        <v/>
      </c>
      <c r="S1650">
        <f>_xlfn.NUMBERVALUE("0.001966")</f>
        <v/>
      </c>
      <c r="T1650">
        <f>_xlfn.NUMBERVALUE("0.002289")</f>
        <v/>
      </c>
      <c r="U1650">
        <f>_xlfn.NUMBERVALUE("-0.000353")</f>
        <v/>
      </c>
      <c r="V1650">
        <f>_xlfn.NUMBERVALUE("-0.001204")</f>
        <v/>
      </c>
      <c r="W1650">
        <f>_xlfn.NUMBERVALUE("0.021334")</f>
        <v/>
      </c>
      <c r="X1650">
        <f>_xlfn.NUMBERVALUE("-2.770000")</f>
        <v/>
      </c>
      <c r="Y1650">
        <f>_xlfn.NUMBERVALUE("19.730000")</f>
        <v/>
      </c>
    </row>
    <row r="1651">
      <c r="A1651" s="1" t="n">
        <v>44398</v>
      </c>
      <c r="B1651">
        <f>_xlfn.NUMBERVALUE("0.002028")</f>
        <v/>
      </c>
      <c r="C1651" s="2">
        <f>_xlfn.NUMBERVALUE("0.001283")</f>
        <v/>
      </c>
      <c r="D1651">
        <f>_xlfn.NUMBERVALUE("0.001969")</f>
        <v/>
      </c>
      <c r="E1651">
        <f>_xlfn.NUMBERVALUE("-0.000500")</f>
        <v/>
      </c>
      <c r="F1651">
        <f>_xlfn.NUMBERVALUE("0.000935")</f>
        <v/>
      </c>
      <c r="G1651">
        <f>_xlfn.NUMBERVALUE("0.000114")</f>
        <v/>
      </c>
      <c r="H1651">
        <f>_xlfn.NUMBERVALUE("0.000714")</f>
        <v/>
      </c>
      <c r="I1651">
        <f>_xlfn.NUMBERVALUE("-0.001430")</f>
        <v/>
      </c>
      <c r="J1651">
        <f>_xlfn.NUMBERVALUE("0.001369")</f>
        <v/>
      </c>
      <c r="K1651">
        <f>_xlfn.NUMBERVALUE("0.002064")</f>
        <v/>
      </c>
      <c r="L1651">
        <f>_xlfn.NUMBERVALUE("0.002106")</f>
        <v/>
      </c>
      <c r="M1651">
        <f>_xlfn.NUMBERVALUE("0.000952")</f>
        <v/>
      </c>
      <c r="N1651">
        <f>_xlfn.NUMBERVALUE("0.003163")</f>
        <v/>
      </c>
      <c r="O1651">
        <f>_xlfn.NUMBERVALUE("0.000283")</f>
        <v/>
      </c>
      <c r="P1651">
        <f>_xlfn.NUMBERVALUE("-0.000553")</f>
        <v/>
      </c>
      <c r="Q1651">
        <f>_xlfn.NUMBERVALUE("0.000968")</f>
        <v/>
      </c>
      <c r="R1651">
        <f>_xlfn.NUMBERVALUE("0.002562")</f>
        <v/>
      </c>
      <c r="S1651">
        <f>_xlfn.NUMBERVALUE("0.001218")</f>
        <v/>
      </c>
      <c r="T1651">
        <f>_xlfn.NUMBERVALUE("0.002127")</f>
        <v/>
      </c>
      <c r="U1651">
        <f>_xlfn.NUMBERVALUE("-0.002162")</f>
        <v/>
      </c>
      <c r="V1651">
        <f>_xlfn.NUMBERVALUE("0.001784")</f>
        <v/>
      </c>
      <c r="W1651">
        <f>_xlfn.NUMBERVALUE("0.004956")</f>
        <v/>
      </c>
      <c r="X1651">
        <f>_xlfn.NUMBERVALUE("-1.820000")</f>
        <v/>
      </c>
      <c r="Y1651">
        <f>_xlfn.NUMBERVALUE("17.910000")</f>
        <v/>
      </c>
    </row>
    <row r="1652">
      <c r="A1652" s="1" t="n">
        <v>44399</v>
      </c>
      <c r="B1652">
        <f>_xlfn.NUMBERVALUE("0.000714")</f>
        <v/>
      </c>
      <c r="C1652" s="2">
        <f>_xlfn.NUMBERVALUE("0.001499")</f>
        <v/>
      </c>
      <c r="D1652">
        <f>_xlfn.NUMBERVALUE("0.001648")</f>
        <v/>
      </c>
      <c r="E1652">
        <f>_xlfn.NUMBERVALUE("0.001467")</f>
        <v/>
      </c>
      <c r="F1652">
        <f>_xlfn.NUMBERVALUE("0.001242")</f>
        <v/>
      </c>
      <c r="G1652">
        <f>_xlfn.NUMBERVALUE("-0.000286")</f>
        <v/>
      </c>
      <c r="H1652">
        <f>_xlfn.NUMBERVALUE("0.000689")</f>
        <v/>
      </c>
      <c r="I1652">
        <f>_xlfn.NUMBERVALUE("-0.001551")</f>
        <v/>
      </c>
      <c r="J1652">
        <f>_xlfn.NUMBERVALUE("0.001135")</f>
        <v/>
      </c>
      <c r="K1652">
        <f>_xlfn.NUMBERVALUE("0.002418")</f>
        <v/>
      </c>
      <c r="L1652">
        <f>_xlfn.NUMBERVALUE("0.000068")</f>
        <v/>
      </c>
      <c r="M1652">
        <f>_xlfn.NUMBERVALUE("0.001685")</f>
        <v/>
      </c>
      <c r="N1652">
        <f>_xlfn.NUMBERVALUE("-0.000036")</f>
        <v/>
      </c>
      <c r="O1652">
        <f>_xlfn.NUMBERVALUE("0.000931")</f>
        <v/>
      </c>
      <c r="P1652">
        <f>_xlfn.NUMBERVALUE("0.001185")</f>
        <v/>
      </c>
      <c r="Q1652">
        <f>_xlfn.NUMBERVALUE("0.002767")</f>
        <v/>
      </c>
      <c r="R1652">
        <f>_xlfn.NUMBERVALUE("-0.001054")</f>
        <v/>
      </c>
      <c r="S1652">
        <f>_xlfn.NUMBERVALUE("0.001156")</f>
        <v/>
      </c>
      <c r="T1652">
        <f>_xlfn.NUMBERVALUE("0.002099")</f>
        <v/>
      </c>
      <c r="U1652">
        <f>_xlfn.NUMBERVALUE("0.002974")</f>
        <v/>
      </c>
      <c r="V1652">
        <f>_xlfn.NUMBERVALUE("0.000824")</f>
        <v/>
      </c>
      <c r="W1652">
        <f>_xlfn.NUMBERVALUE("0.003203")</f>
        <v/>
      </c>
      <c r="X1652">
        <f>_xlfn.NUMBERVALUE("-0.220000")</f>
        <v/>
      </c>
      <c r="Y1652">
        <f>_xlfn.NUMBERVALUE("17.690000")</f>
        <v/>
      </c>
    </row>
    <row r="1653">
      <c r="A1653" s="1" t="n">
        <v>44400</v>
      </c>
      <c r="B1653">
        <f>_xlfn.NUMBERVALUE("0.003579")</f>
        <v/>
      </c>
      <c r="C1653" s="2">
        <f>_xlfn.NUMBERVALUE("0.000245")</f>
        <v/>
      </c>
      <c r="D1653">
        <f>_xlfn.NUMBERVALUE("-0.002231")</f>
        <v/>
      </c>
      <c r="E1653">
        <f>_xlfn.NUMBERVALUE("0.000960")</f>
        <v/>
      </c>
      <c r="F1653">
        <f>_xlfn.NUMBERVALUE("0.001363")</f>
        <v/>
      </c>
      <c r="G1653">
        <f>_xlfn.NUMBERVALUE("0.000567")</f>
        <v/>
      </c>
      <c r="H1653">
        <f>_xlfn.NUMBERVALUE("-0.000085")</f>
        <v/>
      </c>
      <c r="I1653">
        <f>_xlfn.NUMBERVALUE("0.002494")</f>
        <v/>
      </c>
      <c r="J1653">
        <f>_xlfn.NUMBERVALUE("-0.000065")</f>
        <v/>
      </c>
      <c r="K1653">
        <f>_xlfn.NUMBERVALUE("0.001542")</f>
        <v/>
      </c>
      <c r="L1653">
        <f>_xlfn.NUMBERVALUE("-0.000821")</f>
        <v/>
      </c>
      <c r="M1653">
        <f>_xlfn.NUMBERVALUE("0.001634")</f>
        <v/>
      </c>
      <c r="N1653">
        <f>_xlfn.NUMBERVALUE("-0.008394")</f>
        <v/>
      </c>
      <c r="O1653">
        <f>_xlfn.NUMBERVALUE("0.000431")</f>
        <v/>
      </c>
      <c r="P1653">
        <f>_xlfn.NUMBERVALUE("0.001708")</f>
        <v/>
      </c>
      <c r="Q1653">
        <f>_xlfn.NUMBERVALUE("0.002040")</f>
        <v/>
      </c>
      <c r="R1653">
        <f>_xlfn.NUMBERVALUE("0.000014")</f>
        <v/>
      </c>
      <c r="S1653">
        <f>_xlfn.NUMBERVALUE("-0.001436")</f>
        <v/>
      </c>
      <c r="T1653">
        <f>_xlfn.NUMBERVALUE("-0.001450")</f>
        <v/>
      </c>
      <c r="U1653">
        <f>_xlfn.NUMBERVALUE("0.000126")</f>
        <v/>
      </c>
      <c r="V1653">
        <f>_xlfn.NUMBERVALUE("-0.001262")</f>
        <v/>
      </c>
      <c r="W1653">
        <f>_xlfn.NUMBERVALUE("0.010773")</f>
        <v/>
      </c>
      <c r="X1653">
        <f>_xlfn.NUMBERVALUE("-0.490000")</f>
        <v/>
      </c>
      <c r="Y1653">
        <f>_xlfn.NUMBERVALUE("17.200000")</f>
        <v/>
      </c>
    </row>
    <row r="1654">
      <c r="A1654" s="1" t="n">
        <v>44403</v>
      </c>
      <c r="B1654">
        <f>_xlfn.NUMBERVALUE("0.003191")</f>
        <v/>
      </c>
      <c r="C1654" s="2">
        <f>_xlfn.NUMBERVALUE("0.000702")</f>
        <v/>
      </c>
      <c r="D1654">
        <f>_xlfn.NUMBERVALUE("-0.004573")</f>
        <v/>
      </c>
      <c r="E1654">
        <f>_xlfn.NUMBERVALUE("0.001182")</f>
        <v/>
      </c>
      <c r="F1654">
        <f>_xlfn.NUMBERVALUE("0.000182")</f>
        <v/>
      </c>
      <c r="G1654">
        <f>_xlfn.NUMBERVALUE("0.000372")</f>
        <v/>
      </c>
      <c r="H1654">
        <f>_xlfn.NUMBERVALUE("0.000137")</f>
        <v/>
      </c>
      <c r="I1654">
        <f>_xlfn.NUMBERVALUE("0.001232")</f>
        <v/>
      </c>
      <c r="J1654">
        <f>_xlfn.NUMBERVALUE("0.000628")</f>
        <v/>
      </c>
      <c r="K1654">
        <f>_xlfn.NUMBERVALUE("0.000538")</f>
        <v/>
      </c>
      <c r="L1654">
        <f>_xlfn.NUMBERVALUE("0.000563")</f>
        <v/>
      </c>
      <c r="M1654">
        <f>_xlfn.NUMBERVALUE("0.000515")</f>
        <v/>
      </c>
      <c r="N1654">
        <f>_xlfn.NUMBERVALUE("-0.001574")</f>
        <v/>
      </c>
      <c r="O1654">
        <f>_xlfn.NUMBERVALUE("0.000734")</f>
        <v/>
      </c>
      <c r="P1654">
        <f>_xlfn.NUMBERVALUE("0.001483")</f>
        <v/>
      </c>
      <c r="Q1654">
        <f>_xlfn.NUMBERVALUE("0.000514")</f>
        <v/>
      </c>
      <c r="R1654">
        <f>_xlfn.NUMBERVALUE("-0.000203")</f>
        <v/>
      </c>
      <c r="S1654">
        <f>_xlfn.NUMBERVALUE("0.000060")</f>
        <v/>
      </c>
      <c r="T1654">
        <f>_xlfn.NUMBERVALUE("0.000683")</f>
        <v/>
      </c>
      <c r="U1654">
        <f>_xlfn.NUMBERVALUE("-0.000255")</f>
        <v/>
      </c>
      <c r="V1654">
        <f>_xlfn.NUMBERVALUE("0.000782")</f>
        <v/>
      </c>
      <c r="W1654">
        <f>_xlfn.NUMBERVALUE("0.001068")</f>
        <v/>
      </c>
      <c r="X1654">
        <f>_xlfn.NUMBERVALUE("0.380000")</f>
        <v/>
      </c>
      <c r="Y1654">
        <f>_xlfn.NUMBERVALUE("17.580000")</f>
        <v/>
      </c>
    </row>
    <row r="1655">
      <c r="A1655" s="1" t="n">
        <v>44404</v>
      </c>
      <c r="B1655">
        <f>_xlfn.NUMBERVALUE("-0.007266")</f>
        <v/>
      </c>
      <c r="C1655" s="2">
        <f>_xlfn.NUMBERVALUE("-0.000198")</f>
        <v/>
      </c>
      <c r="D1655">
        <f>_xlfn.NUMBERVALUE("-0.001101")</f>
        <v/>
      </c>
      <c r="E1655">
        <f>_xlfn.NUMBERVALUE("-0.001005")</f>
        <v/>
      </c>
      <c r="F1655">
        <f>_xlfn.NUMBERVALUE("0.000311")</f>
        <v/>
      </c>
      <c r="G1655">
        <f>_xlfn.NUMBERVALUE("0.000215")</f>
        <v/>
      </c>
      <c r="H1655">
        <f>_xlfn.NUMBERVALUE("-0.000531")</f>
        <v/>
      </c>
      <c r="I1655">
        <f>_xlfn.NUMBERVALUE("-0.001119")</f>
        <v/>
      </c>
      <c r="J1655">
        <f>_xlfn.NUMBERVALUE("-0.000968")</f>
        <v/>
      </c>
      <c r="K1655">
        <f>_xlfn.NUMBERVALUE("-0.003285")</f>
        <v/>
      </c>
      <c r="L1655">
        <f>_xlfn.NUMBERVALUE("-0.000732")</f>
        <v/>
      </c>
      <c r="M1655">
        <f>_xlfn.NUMBERVALUE("-0.001045")</f>
        <v/>
      </c>
      <c r="N1655">
        <f>_xlfn.NUMBERVALUE("-0.001944")</f>
        <v/>
      </c>
      <c r="O1655">
        <f>_xlfn.NUMBERVALUE("-0.001647")</f>
        <v/>
      </c>
      <c r="P1655">
        <f>_xlfn.NUMBERVALUE("-0.001001")</f>
        <v/>
      </c>
      <c r="Q1655">
        <f>_xlfn.NUMBERVALUE("-0.001548")</f>
        <v/>
      </c>
      <c r="R1655">
        <f>_xlfn.NUMBERVALUE("-0.001739")</f>
        <v/>
      </c>
      <c r="S1655">
        <f>_xlfn.NUMBERVALUE("-0.000106")</f>
        <v/>
      </c>
      <c r="T1655">
        <f>_xlfn.NUMBERVALUE("-0.004837")</f>
        <v/>
      </c>
      <c r="U1655">
        <f>_xlfn.NUMBERVALUE("-0.001403")</f>
        <v/>
      </c>
      <c r="V1655">
        <f>_xlfn.NUMBERVALUE("-0.000850")</f>
        <v/>
      </c>
      <c r="W1655">
        <f>_xlfn.NUMBERVALUE("-0.005471")</f>
        <v/>
      </c>
      <c r="X1655">
        <f>_xlfn.NUMBERVALUE("1.780000")</f>
        <v/>
      </c>
      <c r="Y1655">
        <f>_xlfn.NUMBERVALUE("19.360000")</f>
        <v/>
      </c>
    </row>
    <row r="1656">
      <c r="A1656" s="1" t="n">
        <v>44405</v>
      </c>
      <c r="B1656">
        <f>_xlfn.NUMBERVALUE("0.006337")</f>
        <v/>
      </c>
      <c r="C1656" s="2">
        <f>_xlfn.NUMBERVALUE("0.002439")</f>
        <v/>
      </c>
      <c r="D1656">
        <f>_xlfn.NUMBERVALUE("0.002419")</f>
        <v/>
      </c>
      <c r="E1656">
        <f>_xlfn.NUMBERVALUE("0.000644")</f>
        <v/>
      </c>
      <c r="F1656">
        <f>_xlfn.NUMBERVALUE("0.001928")</f>
        <v/>
      </c>
      <c r="G1656">
        <f>_xlfn.NUMBERVALUE("0.000644")</f>
        <v/>
      </c>
      <c r="H1656">
        <f>_xlfn.NUMBERVALUE("0.001522")</f>
        <v/>
      </c>
      <c r="I1656">
        <f>_xlfn.NUMBERVALUE("-0.000422")</f>
        <v/>
      </c>
      <c r="J1656">
        <f>_xlfn.NUMBERVALUE("0.001112")</f>
        <v/>
      </c>
      <c r="K1656">
        <f>_xlfn.NUMBERVALUE("0.002971")</f>
        <v/>
      </c>
      <c r="L1656">
        <f>_xlfn.NUMBERVALUE("0.002462")</f>
        <v/>
      </c>
      <c r="M1656">
        <f>_xlfn.NUMBERVALUE("0.001317")</f>
        <v/>
      </c>
      <c r="N1656">
        <f>_xlfn.NUMBERVALUE("0.001423")</f>
        <v/>
      </c>
      <c r="O1656">
        <f>_xlfn.NUMBERVALUE("0.001212")</f>
        <v/>
      </c>
      <c r="P1656">
        <f>_xlfn.NUMBERVALUE("0.002574")</f>
        <v/>
      </c>
      <c r="Q1656">
        <f>_xlfn.NUMBERVALUE("0.004038")</f>
        <v/>
      </c>
      <c r="R1656">
        <f>_xlfn.NUMBERVALUE("0.004468")</f>
        <v/>
      </c>
      <c r="S1656">
        <f>_xlfn.NUMBERVALUE("0.000739")</f>
        <v/>
      </c>
      <c r="T1656">
        <f>_xlfn.NUMBERVALUE("0.002181")</f>
        <v/>
      </c>
      <c r="U1656">
        <f>_xlfn.NUMBERVALUE("0.002689")</f>
        <v/>
      </c>
      <c r="V1656">
        <f>_xlfn.NUMBERVALUE("0.002096")</f>
        <v/>
      </c>
      <c r="W1656">
        <f>_xlfn.NUMBERVALUE("0.003515")</f>
        <v/>
      </c>
      <c r="X1656">
        <f>_xlfn.NUMBERVALUE("-1.050000")</f>
        <v/>
      </c>
      <c r="Y1656">
        <f>_xlfn.NUMBERVALUE("18.310000")</f>
        <v/>
      </c>
    </row>
    <row r="1657">
      <c r="A1657" s="1" t="n">
        <v>44406</v>
      </c>
      <c r="B1657">
        <f>_xlfn.NUMBERVALUE("0.005002")</f>
        <v/>
      </c>
      <c r="C1657" s="2">
        <f>_xlfn.NUMBERVALUE("0.001541")</f>
        <v/>
      </c>
      <c r="D1657">
        <f>_xlfn.NUMBERVALUE("0.001390")</f>
        <v/>
      </c>
      <c r="E1657">
        <f>_xlfn.NUMBERVALUE("-0.000100")</f>
        <v/>
      </c>
      <c r="F1657">
        <f>_xlfn.NUMBERVALUE("-0.001738")</f>
        <v/>
      </c>
      <c r="G1657">
        <f>_xlfn.NUMBERVALUE("0.000166")</f>
        <v/>
      </c>
      <c r="H1657">
        <f>_xlfn.NUMBERVALUE("0.000246")</f>
        <v/>
      </c>
      <c r="I1657">
        <f>_xlfn.NUMBERVALUE("0.001381")</f>
        <v/>
      </c>
      <c r="J1657">
        <f>_xlfn.NUMBERVALUE("0.001336")</f>
        <v/>
      </c>
      <c r="K1657">
        <f>_xlfn.NUMBERVALUE("-0.000202")</f>
        <v/>
      </c>
      <c r="L1657">
        <f>_xlfn.NUMBERVALUE("0.002342")</f>
        <v/>
      </c>
      <c r="M1657">
        <f>_xlfn.NUMBERVALUE("0.002099")</f>
        <v/>
      </c>
      <c r="N1657">
        <f>_xlfn.NUMBERVALUE("0.003736")</f>
        <v/>
      </c>
      <c r="O1657">
        <f>_xlfn.NUMBERVALUE("0.003762")</f>
        <v/>
      </c>
      <c r="P1657">
        <f>_xlfn.NUMBERVALUE("0.001705")</f>
        <v/>
      </c>
      <c r="Q1657">
        <f>_xlfn.NUMBERVALUE("0.001389")</f>
        <v/>
      </c>
      <c r="R1657">
        <f>_xlfn.NUMBERVALUE("0.001367")</f>
        <v/>
      </c>
      <c r="S1657">
        <f>_xlfn.NUMBERVALUE("0.000317")</f>
        <v/>
      </c>
      <c r="T1657">
        <f>_xlfn.NUMBERVALUE("0.000944")</f>
        <v/>
      </c>
      <c r="U1657">
        <f>_xlfn.NUMBERVALUE("0.000555")</f>
        <v/>
      </c>
      <c r="V1657">
        <f>_xlfn.NUMBERVALUE("0.000777")</f>
        <v/>
      </c>
      <c r="W1657">
        <f>_xlfn.NUMBERVALUE("0.002866")</f>
        <v/>
      </c>
      <c r="X1657">
        <f>_xlfn.NUMBERVALUE("-0.610000")</f>
        <v/>
      </c>
      <c r="Y1657">
        <f>_xlfn.NUMBERVALUE("17.700000")</f>
        <v/>
      </c>
    </row>
    <row r="1658">
      <c r="A1658" s="1" t="n">
        <v>44407</v>
      </c>
      <c r="B1658">
        <f>_xlfn.NUMBERVALUE("-0.002059")</f>
        <v/>
      </c>
      <c r="C1658" s="2">
        <f>_xlfn.NUMBERVALUE("0.001195")</f>
        <v/>
      </c>
      <c r="D1658">
        <f>_xlfn.NUMBERVALUE("-0.000018")</f>
        <v/>
      </c>
      <c r="E1658">
        <f>_xlfn.NUMBERVALUE("0.001322")</f>
        <v/>
      </c>
      <c r="F1658">
        <f>_xlfn.NUMBERVALUE("0.001066")</f>
        <v/>
      </c>
      <c r="G1658">
        <f>_xlfn.NUMBERVALUE("0.000315")</f>
        <v/>
      </c>
      <c r="H1658">
        <f>_xlfn.NUMBERVALUE("-0.000026")</f>
        <v/>
      </c>
      <c r="I1658">
        <f>_xlfn.NUMBERVALUE("0.001004")</f>
        <v/>
      </c>
      <c r="J1658">
        <f>_xlfn.NUMBERVALUE("0.000150")</f>
        <v/>
      </c>
      <c r="K1658">
        <f>_xlfn.NUMBERVALUE("0.002086")</f>
        <v/>
      </c>
      <c r="L1658">
        <f>_xlfn.NUMBERVALUE("0.000509")</f>
        <v/>
      </c>
      <c r="M1658">
        <f>_xlfn.NUMBERVALUE("-0.000416")</f>
        <v/>
      </c>
      <c r="N1658">
        <f>_xlfn.NUMBERVALUE("0.001009")</f>
        <v/>
      </c>
      <c r="O1658">
        <f>_xlfn.NUMBERVALUE("-0.001666")</f>
        <v/>
      </c>
      <c r="P1658">
        <f>_xlfn.NUMBERVALUE("-0.000609")</f>
        <v/>
      </c>
      <c r="Q1658">
        <f>_xlfn.NUMBERVALUE("-0.000147")</f>
        <v/>
      </c>
      <c r="R1658">
        <f>_xlfn.NUMBERVALUE("0.001090")</f>
        <v/>
      </c>
      <c r="S1658">
        <f>_xlfn.NUMBERVALUE("0.001161")</f>
        <v/>
      </c>
      <c r="T1658">
        <f>_xlfn.NUMBERVALUE("0.002959")</f>
        <v/>
      </c>
      <c r="U1658">
        <f>_xlfn.NUMBERVALUE("-0.002723")</f>
        <v/>
      </c>
      <c r="V1658">
        <f>_xlfn.NUMBERVALUE("0.000437")</f>
        <v/>
      </c>
      <c r="W1658">
        <f>_xlfn.NUMBERVALUE("-0.006237")</f>
        <v/>
      </c>
      <c r="X1658">
        <f>_xlfn.NUMBERVALUE("0.540000")</f>
        <v/>
      </c>
      <c r="Y1658">
        <f>_xlfn.NUMBERVALUE("18.240000")</f>
        <v/>
      </c>
    </row>
    <row r="1659">
      <c r="A1659" s="1" t="n">
        <v>44410</v>
      </c>
      <c r="B1659">
        <f>_xlfn.NUMBERVALUE("0.005805")</f>
        <v/>
      </c>
      <c r="C1659" s="2">
        <f>_xlfn.NUMBERVALUE("0.003186")</f>
        <v/>
      </c>
      <c r="D1659">
        <f>_xlfn.NUMBERVALUE("0.000127")</f>
        <v/>
      </c>
      <c r="E1659">
        <f>_xlfn.NUMBERVALUE("-0.000015")</f>
        <v/>
      </c>
      <c r="F1659">
        <f>_xlfn.NUMBERVALUE("0.002707")</f>
        <v/>
      </c>
      <c r="G1659">
        <f>_xlfn.NUMBERVALUE("0.000760")</f>
        <v/>
      </c>
      <c r="H1659">
        <f>_xlfn.NUMBERVALUE("-0.000429")</f>
        <v/>
      </c>
      <c r="I1659">
        <f>_xlfn.NUMBERVALUE("0.001978")</f>
        <v/>
      </c>
      <c r="J1659">
        <f>_xlfn.NUMBERVALUE("-0.001191")</f>
        <v/>
      </c>
      <c r="K1659">
        <f>_xlfn.NUMBERVALUE("0.001765")</f>
        <v/>
      </c>
      <c r="L1659">
        <f>_xlfn.NUMBERVALUE("0.000839")</f>
        <v/>
      </c>
      <c r="M1659">
        <f>_xlfn.NUMBERVALUE("0.001007")</f>
        <v/>
      </c>
      <c r="N1659">
        <f>_xlfn.NUMBERVALUE("0.002956")</f>
        <v/>
      </c>
      <c r="O1659">
        <f>_xlfn.NUMBERVALUE("0.001815")</f>
        <v/>
      </c>
      <c r="P1659">
        <f>_xlfn.NUMBERVALUE("0.002911")</f>
        <v/>
      </c>
      <c r="Q1659">
        <f>_xlfn.NUMBERVALUE("0.002102")</f>
        <v/>
      </c>
      <c r="R1659">
        <f>_xlfn.NUMBERVALUE("0.001732")</f>
        <v/>
      </c>
      <c r="S1659">
        <f>_xlfn.NUMBERVALUE("0.000519")</f>
        <v/>
      </c>
      <c r="T1659">
        <f>_xlfn.NUMBERVALUE("-0.003440")</f>
        <v/>
      </c>
      <c r="U1659">
        <f>_xlfn.NUMBERVALUE("0.000964")</f>
        <v/>
      </c>
      <c r="V1659">
        <f>_xlfn.NUMBERVALUE("0.001423")</f>
        <v/>
      </c>
      <c r="W1659">
        <f>_xlfn.NUMBERVALUE("-0.001164")</f>
        <v/>
      </c>
      <c r="X1659">
        <f>_xlfn.NUMBERVALUE("1.220000")</f>
        <v/>
      </c>
      <c r="Y1659">
        <f>_xlfn.NUMBERVALUE("19.460000")</f>
        <v/>
      </c>
    </row>
    <row r="1660">
      <c r="A1660" s="1" t="n">
        <v>44411</v>
      </c>
      <c r="B1660">
        <f>_xlfn.NUMBERVALUE("0.000523")</f>
        <v/>
      </c>
      <c r="C1660" s="2">
        <f>_xlfn.NUMBERVALUE("0.000032")</f>
        <v/>
      </c>
      <c r="D1660">
        <f>_xlfn.NUMBERVALUE("0.000071")</f>
        <v/>
      </c>
      <c r="E1660">
        <f>_xlfn.NUMBERVALUE("-0.000266")</f>
        <v/>
      </c>
      <c r="F1660">
        <f>_xlfn.NUMBERVALUE("0.002030")</f>
        <v/>
      </c>
      <c r="G1660">
        <f>_xlfn.NUMBERVALUE("-0.000052")</f>
        <v/>
      </c>
      <c r="H1660">
        <f>_xlfn.NUMBERVALUE("-0.000013")</f>
        <v/>
      </c>
      <c r="I1660">
        <f>_xlfn.NUMBERVALUE("0.000809")</f>
        <v/>
      </c>
      <c r="J1660">
        <f>_xlfn.NUMBERVALUE("0.000439")</f>
        <v/>
      </c>
      <c r="K1660">
        <f>_xlfn.NUMBERVALUE("0.000839")</f>
        <v/>
      </c>
      <c r="L1660">
        <f>_xlfn.NUMBERVALUE("0.000714")</f>
        <v/>
      </c>
      <c r="M1660">
        <f>_xlfn.NUMBERVALUE("0.001297")</f>
        <v/>
      </c>
      <c r="N1660">
        <f>_xlfn.NUMBERVALUE("0.002356")</f>
        <v/>
      </c>
      <c r="O1660">
        <f>_xlfn.NUMBERVALUE("0.000973")</f>
        <v/>
      </c>
      <c r="P1660">
        <f>_xlfn.NUMBERVALUE("0.000015")</f>
        <v/>
      </c>
      <c r="Q1660">
        <f>_xlfn.NUMBERVALUE("-0.001452")</f>
        <v/>
      </c>
      <c r="R1660">
        <f>_xlfn.NUMBERVALUE("0.002920")</f>
        <v/>
      </c>
      <c r="S1660">
        <f>_xlfn.NUMBERVALUE("0.000463")</f>
        <v/>
      </c>
      <c r="T1660">
        <f>_xlfn.NUMBERVALUE("0.000379")</f>
        <v/>
      </c>
      <c r="U1660">
        <f>_xlfn.NUMBERVALUE("0.001347")</f>
        <v/>
      </c>
      <c r="V1660">
        <f>_xlfn.NUMBERVALUE("-0.000073")</f>
        <v/>
      </c>
      <c r="W1660">
        <f>_xlfn.NUMBERVALUE("0.006992")</f>
        <v/>
      </c>
      <c r="X1660">
        <f>_xlfn.NUMBERVALUE("-1.420000")</f>
        <v/>
      </c>
      <c r="Y1660">
        <f>_xlfn.NUMBERVALUE("18.040000")</f>
        <v/>
      </c>
    </row>
    <row r="1661">
      <c r="A1661" s="1" t="n">
        <v>44412</v>
      </c>
      <c r="B1661">
        <f>_xlfn.NUMBERVALUE("-0.001370")</f>
        <v/>
      </c>
      <c r="C1661" s="2">
        <f>_xlfn.NUMBERVALUE("0.001869")</f>
        <v/>
      </c>
      <c r="D1661">
        <f>_xlfn.NUMBERVALUE("0.000041")</f>
        <v/>
      </c>
      <c r="E1661">
        <f>_xlfn.NUMBERVALUE("0.000106")</f>
        <v/>
      </c>
      <c r="F1661">
        <f>_xlfn.NUMBERVALUE("0.001599")</f>
        <v/>
      </c>
      <c r="G1661">
        <f>_xlfn.NUMBERVALUE("0.000119")</f>
        <v/>
      </c>
      <c r="H1661">
        <f>_xlfn.NUMBERVALUE("0.000005")</f>
        <v/>
      </c>
      <c r="I1661">
        <f>_xlfn.NUMBERVALUE("-0.000099")</f>
        <v/>
      </c>
      <c r="J1661">
        <f>_xlfn.NUMBERVALUE("0.000001")</f>
        <v/>
      </c>
      <c r="K1661">
        <f>_xlfn.NUMBERVALUE("-0.000012")</f>
        <v/>
      </c>
      <c r="L1661">
        <f>_xlfn.NUMBERVALUE("0.000896")</f>
        <v/>
      </c>
      <c r="M1661">
        <f>_xlfn.NUMBERVALUE("0.001324")</f>
        <v/>
      </c>
      <c r="N1661">
        <f>_xlfn.NUMBERVALUE("0.000239")</f>
        <v/>
      </c>
      <c r="O1661">
        <f>_xlfn.NUMBERVALUE("-0.001109")</f>
        <v/>
      </c>
      <c r="P1661">
        <f>_xlfn.NUMBERVALUE("0.003605")</f>
        <v/>
      </c>
      <c r="Q1661">
        <f>_xlfn.NUMBERVALUE("0.000190")</f>
        <v/>
      </c>
      <c r="R1661">
        <f>_xlfn.NUMBERVALUE("-0.000989")</f>
        <v/>
      </c>
      <c r="S1661">
        <f>_xlfn.NUMBERVALUE("0.000423")</f>
        <v/>
      </c>
      <c r="T1661">
        <f>_xlfn.NUMBERVALUE("0.000572")</f>
        <v/>
      </c>
      <c r="U1661">
        <f>_xlfn.NUMBERVALUE("0.000727")</f>
        <v/>
      </c>
      <c r="V1661">
        <f>_xlfn.NUMBERVALUE("0.000133")</f>
        <v/>
      </c>
      <c r="W1661">
        <f>_xlfn.NUMBERVALUE("-0.001191")</f>
        <v/>
      </c>
      <c r="X1661">
        <f>_xlfn.NUMBERVALUE("-0.070000")</f>
        <v/>
      </c>
      <c r="Y1661">
        <f>_xlfn.NUMBERVALUE("17.970000")</f>
        <v/>
      </c>
    </row>
    <row r="1662">
      <c r="A1662" s="1" t="n">
        <v>44413</v>
      </c>
      <c r="B1662">
        <f>_xlfn.NUMBERVALUE("-0.000118")</f>
        <v/>
      </c>
      <c r="C1662" s="2">
        <f>_xlfn.NUMBERVALUE("0.001210")</f>
        <v/>
      </c>
      <c r="D1662">
        <f>_xlfn.NUMBERVALUE("0.003553")</f>
        <v/>
      </c>
      <c r="E1662">
        <f>_xlfn.NUMBERVALUE("0.001434")</f>
        <v/>
      </c>
      <c r="F1662">
        <f>_xlfn.NUMBERVALUE("0.000563")</f>
        <v/>
      </c>
      <c r="G1662">
        <f>_xlfn.NUMBERVALUE("0.000423")</f>
        <v/>
      </c>
      <c r="H1662">
        <f>_xlfn.NUMBERVALUE("0.000309")</f>
        <v/>
      </c>
      <c r="I1662">
        <f>_xlfn.NUMBERVALUE("-0.001971")</f>
        <v/>
      </c>
      <c r="J1662">
        <f>_xlfn.NUMBERVALUE("0.000123")</f>
        <v/>
      </c>
      <c r="K1662">
        <f>_xlfn.NUMBERVALUE("0.001211")</f>
        <v/>
      </c>
      <c r="L1662">
        <f>_xlfn.NUMBERVALUE("0.000547")</f>
        <v/>
      </c>
      <c r="M1662">
        <f>_xlfn.NUMBERVALUE("0.001431")</f>
        <v/>
      </c>
      <c r="N1662">
        <f>_xlfn.NUMBERVALUE("-0.000338")</f>
        <v/>
      </c>
      <c r="O1662">
        <f>_xlfn.NUMBERVALUE("0.000231")</f>
        <v/>
      </c>
      <c r="P1662">
        <f>_xlfn.NUMBERVALUE("0.000408")</f>
        <v/>
      </c>
      <c r="Q1662">
        <f>_xlfn.NUMBERVALUE("0.002072")</f>
        <v/>
      </c>
      <c r="R1662">
        <f>_xlfn.NUMBERVALUE("0.001079")</f>
        <v/>
      </c>
      <c r="S1662">
        <f>_xlfn.NUMBERVALUE("0.000812")</f>
        <v/>
      </c>
      <c r="T1662">
        <f>_xlfn.NUMBERVALUE("-0.000098")</f>
        <v/>
      </c>
      <c r="U1662">
        <f>_xlfn.NUMBERVALUE("0.000923")</f>
        <v/>
      </c>
      <c r="V1662">
        <f>_xlfn.NUMBERVALUE("0.000198")</f>
        <v/>
      </c>
      <c r="W1662">
        <f>_xlfn.NUMBERVALUE("0.003457")</f>
        <v/>
      </c>
      <c r="X1662">
        <f>_xlfn.NUMBERVALUE("-0.690000")</f>
        <v/>
      </c>
      <c r="Y1662">
        <f>_xlfn.NUMBERVALUE("17.280000")</f>
        <v/>
      </c>
    </row>
    <row r="1663">
      <c r="A1663" s="1" t="n">
        <v>44414</v>
      </c>
      <c r="B1663">
        <f>_xlfn.NUMBERVALUE("0.001737")</f>
        <v/>
      </c>
      <c r="C1663" s="2">
        <f>_xlfn.NUMBERVALUE("0.000047")</f>
        <v/>
      </c>
      <c r="D1663">
        <f>_xlfn.NUMBERVALUE("0.002170")</f>
        <v/>
      </c>
      <c r="E1663">
        <f>_xlfn.NUMBERVALUE("0.002635")</f>
        <v/>
      </c>
      <c r="F1663">
        <f>_xlfn.NUMBERVALUE("-0.007345")</f>
        <v/>
      </c>
      <c r="G1663">
        <f>_xlfn.NUMBERVALUE("-0.000078")</f>
        <v/>
      </c>
      <c r="H1663">
        <f>_xlfn.NUMBERVALUE("-0.000143")</f>
        <v/>
      </c>
      <c r="I1663">
        <f>_xlfn.NUMBERVALUE("0.001460")</f>
        <v/>
      </c>
      <c r="J1663">
        <f>_xlfn.NUMBERVALUE("0.000002")</f>
        <v/>
      </c>
      <c r="K1663">
        <f>_xlfn.NUMBERVALUE("-0.007244")</f>
        <v/>
      </c>
      <c r="L1663">
        <f>_xlfn.NUMBERVALUE("-0.001975")</f>
        <v/>
      </c>
      <c r="M1663">
        <f>_xlfn.NUMBERVALUE("0.000502")</f>
        <v/>
      </c>
      <c r="N1663">
        <f>_xlfn.NUMBERVALUE("0.002088")</f>
        <v/>
      </c>
      <c r="O1663">
        <f>_xlfn.NUMBERVALUE("0.000430")</f>
        <v/>
      </c>
      <c r="P1663">
        <f>_xlfn.NUMBERVALUE("-0.004739")</f>
        <v/>
      </c>
      <c r="Q1663">
        <f>_xlfn.NUMBERVALUE("0.003769")</f>
        <v/>
      </c>
      <c r="R1663">
        <f>_xlfn.NUMBERVALUE("0.001421")</f>
        <v/>
      </c>
      <c r="S1663">
        <f>_xlfn.NUMBERVALUE("0.000600")</f>
        <v/>
      </c>
      <c r="T1663">
        <f>_xlfn.NUMBERVALUE("-0.000232")</f>
        <v/>
      </c>
      <c r="U1663">
        <f>_xlfn.NUMBERVALUE("0.001574")</f>
        <v/>
      </c>
      <c r="V1663">
        <f>_xlfn.NUMBERVALUE("0.001695")</f>
        <v/>
      </c>
      <c r="W1663">
        <f>_xlfn.NUMBERVALUE("0.002221")</f>
        <v/>
      </c>
      <c r="X1663">
        <f>_xlfn.NUMBERVALUE("-1.130000")</f>
        <v/>
      </c>
      <c r="Y1663">
        <f>_xlfn.NUMBERVALUE("16.150000")</f>
        <v/>
      </c>
    </row>
    <row r="1664">
      <c r="A1664" s="1" t="n">
        <v>44417</v>
      </c>
      <c r="B1664">
        <f>_xlfn.NUMBERVALUE("0.002621")</f>
        <v/>
      </c>
      <c r="C1664" s="2">
        <f>_xlfn.NUMBERVALUE("0.000744")</f>
        <v/>
      </c>
      <c r="D1664">
        <f>_xlfn.NUMBERVALUE("0.002166")</f>
        <v/>
      </c>
      <c r="E1664">
        <f>_xlfn.NUMBERVALUE("0.002017")</f>
        <v/>
      </c>
      <c r="F1664">
        <f>_xlfn.NUMBERVALUE("-0.003267")</f>
        <v/>
      </c>
      <c r="G1664">
        <f>_xlfn.NUMBERVALUE("0.000048")</f>
        <v/>
      </c>
      <c r="H1664">
        <f>_xlfn.NUMBERVALUE("-0.000184")</f>
        <v/>
      </c>
      <c r="I1664">
        <f>_xlfn.NUMBERVALUE("0.002809")</f>
        <v/>
      </c>
      <c r="J1664">
        <f>_xlfn.NUMBERVALUE("-0.001005")</f>
        <v/>
      </c>
      <c r="K1664">
        <f>_xlfn.NUMBERVALUE("-0.009726")</f>
        <v/>
      </c>
      <c r="L1664">
        <f>_xlfn.NUMBERVALUE("0.001318")</f>
        <v/>
      </c>
      <c r="M1664">
        <f>_xlfn.NUMBERVALUE("0.003581")</f>
        <v/>
      </c>
      <c r="N1664">
        <f>_xlfn.NUMBERVALUE("0.001758")</f>
        <v/>
      </c>
      <c r="O1664">
        <f>_xlfn.NUMBERVALUE("-0.000025")</f>
        <v/>
      </c>
      <c r="P1664">
        <f>_xlfn.NUMBERVALUE("0.000318")</f>
        <v/>
      </c>
      <c r="Q1664">
        <f>_xlfn.NUMBERVALUE("0.006635")</f>
        <v/>
      </c>
      <c r="R1664">
        <f>_xlfn.NUMBERVALUE("0.001763")</f>
        <v/>
      </c>
      <c r="S1664">
        <f>_xlfn.NUMBERVALUE("0.000322")</f>
        <v/>
      </c>
      <c r="T1664">
        <f>_xlfn.NUMBERVALUE("0.000039")</f>
        <v/>
      </c>
      <c r="U1664">
        <f>_xlfn.NUMBERVALUE("0.002355")</f>
        <v/>
      </c>
      <c r="V1664">
        <f>_xlfn.NUMBERVALUE("0.001433")</f>
        <v/>
      </c>
      <c r="W1664">
        <f>_xlfn.NUMBERVALUE("0.000068")</f>
        <v/>
      </c>
      <c r="X1664">
        <f>_xlfn.NUMBERVALUE("0.570000")</f>
        <v/>
      </c>
      <c r="Y1664">
        <f>_xlfn.NUMBERVALUE("16.720000")</f>
        <v/>
      </c>
    </row>
    <row r="1665">
      <c r="A1665" s="1" t="n">
        <v>44418</v>
      </c>
      <c r="B1665">
        <f>_xlfn.NUMBERVALUE("-0.003969")</f>
        <v/>
      </c>
      <c r="C1665" s="2">
        <f>_xlfn.NUMBERVALUE("-0.000150")</f>
        <v/>
      </c>
      <c r="D1665">
        <f>_xlfn.NUMBERVALUE("0.000304")</f>
        <v/>
      </c>
      <c r="E1665">
        <f>_xlfn.NUMBERVALUE("0.000754")</f>
        <v/>
      </c>
      <c r="F1665">
        <f>_xlfn.NUMBERVALUE("0.000261")</f>
        <v/>
      </c>
      <c r="G1665">
        <f>_xlfn.NUMBERVALUE("0.001641")</f>
        <v/>
      </c>
      <c r="H1665">
        <f>_xlfn.NUMBERVALUE("0.000026")</f>
        <v/>
      </c>
      <c r="I1665">
        <f>_xlfn.NUMBERVALUE("0.000805")</f>
        <v/>
      </c>
      <c r="J1665">
        <f>_xlfn.NUMBERVALUE("-0.000047")</f>
        <v/>
      </c>
      <c r="K1665">
        <f>_xlfn.NUMBERVALUE("0.000648")</f>
        <v/>
      </c>
      <c r="L1665">
        <f>_xlfn.NUMBERVALUE("0.000131")</f>
        <v/>
      </c>
      <c r="M1665">
        <f>_xlfn.NUMBERVALUE("-0.002685")</f>
        <v/>
      </c>
      <c r="N1665">
        <f>_xlfn.NUMBERVALUE("0.000233")</f>
        <v/>
      </c>
      <c r="O1665">
        <f>_xlfn.NUMBERVALUE("-0.000570")</f>
        <v/>
      </c>
      <c r="P1665">
        <f>_xlfn.NUMBERVALUE("-0.000172")</f>
        <v/>
      </c>
      <c r="Q1665">
        <f>_xlfn.NUMBERVALUE("-0.001507")</f>
        <v/>
      </c>
      <c r="R1665">
        <f>_xlfn.NUMBERVALUE("-0.000346")</f>
        <v/>
      </c>
      <c r="S1665">
        <f>_xlfn.NUMBERVALUE("-0.000818")</f>
        <v/>
      </c>
      <c r="T1665">
        <f>_xlfn.NUMBERVALUE("0.001087")</f>
        <v/>
      </c>
      <c r="U1665">
        <f>_xlfn.NUMBERVALUE("0.000322")</f>
        <v/>
      </c>
      <c r="V1665">
        <f>_xlfn.NUMBERVALUE("0.000276")</f>
        <v/>
      </c>
      <c r="W1665">
        <f>_xlfn.NUMBERVALUE("0.000565")</f>
        <v/>
      </c>
      <c r="X1665">
        <f>_xlfn.NUMBERVALUE("0.070000")</f>
        <v/>
      </c>
      <c r="Y1665">
        <f>_xlfn.NUMBERVALUE("16.790000")</f>
        <v/>
      </c>
    </row>
    <row r="1666">
      <c r="A1666" s="1" t="n">
        <v>44419</v>
      </c>
      <c r="B1666">
        <f>_xlfn.NUMBERVALUE("0.001030")</f>
        <v/>
      </c>
      <c r="C1666" s="2">
        <f>_xlfn.NUMBERVALUE("0.000393")</f>
        <v/>
      </c>
      <c r="D1666">
        <f>_xlfn.NUMBERVALUE("0.001687")</f>
        <v/>
      </c>
      <c r="E1666">
        <f>_xlfn.NUMBERVALUE("-0.000844")</f>
        <v/>
      </c>
      <c r="F1666">
        <f>_xlfn.NUMBERVALUE("0.001654")</f>
        <v/>
      </c>
      <c r="G1666">
        <f>_xlfn.NUMBERVALUE("-0.000073")</f>
        <v/>
      </c>
      <c r="H1666">
        <f>_xlfn.NUMBERVALUE("0.001014")</f>
        <v/>
      </c>
      <c r="I1666">
        <f>_xlfn.NUMBERVALUE("0.002344")</f>
        <v/>
      </c>
      <c r="J1666">
        <f>_xlfn.NUMBERVALUE("0.001924")</f>
        <v/>
      </c>
      <c r="K1666">
        <f>_xlfn.NUMBERVALUE("0.002147")</f>
        <v/>
      </c>
      <c r="L1666">
        <f>_xlfn.NUMBERVALUE("0.001844")</f>
        <v/>
      </c>
      <c r="M1666">
        <f>_xlfn.NUMBERVALUE("-0.001578")</f>
        <v/>
      </c>
      <c r="N1666">
        <f>_xlfn.NUMBERVALUE("0.000538")</f>
        <v/>
      </c>
      <c r="O1666">
        <f>_xlfn.NUMBERVALUE("0.002272")</f>
        <v/>
      </c>
      <c r="P1666">
        <f>_xlfn.NUMBERVALUE("-0.000491")</f>
        <v/>
      </c>
      <c r="Q1666">
        <f>_xlfn.NUMBERVALUE("-0.002100")</f>
        <v/>
      </c>
      <c r="R1666">
        <f>_xlfn.NUMBERVALUE("0.001087")</f>
        <v/>
      </c>
      <c r="S1666">
        <f>_xlfn.NUMBERVALUE("0.000444")</f>
        <v/>
      </c>
      <c r="T1666">
        <f>_xlfn.NUMBERVALUE("0.000168")</f>
        <v/>
      </c>
      <c r="U1666">
        <f>_xlfn.NUMBERVALUE("0.001134")</f>
        <v/>
      </c>
      <c r="V1666">
        <f>_xlfn.NUMBERVALUE("0.001138")</f>
        <v/>
      </c>
      <c r="W1666">
        <f>_xlfn.NUMBERVALUE("0.002396")</f>
        <v/>
      </c>
      <c r="X1666">
        <f>_xlfn.NUMBERVALUE("-0.730000")</f>
        <v/>
      </c>
      <c r="Y1666">
        <f>_xlfn.NUMBERVALUE("16.060000")</f>
        <v/>
      </c>
    </row>
    <row r="1667">
      <c r="A1667" s="1" t="n">
        <v>44420</v>
      </c>
      <c r="B1667">
        <f>_xlfn.NUMBERVALUE("0.004894")</f>
        <v/>
      </c>
      <c r="C1667" s="2">
        <f>_xlfn.NUMBERVALUE("0.001211")</f>
        <v/>
      </c>
      <c r="D1667">
        <f>_xlfn.NUMBERVALUE("-0.000263")</f>
        <v/>
      </c>
      <c r="E1667">
        <f>_xlfn.NUMBERVALUE("0.000421")</f>
        <v/>
      </c>
      <c r="F1667">
        <f>_xlfn.NUMBERVALUE("0.000552")</f>
        <v/>
      </c>
      <c r="G1667">
        <f>_xlfn.NUMBERVALUE("0.000858")</f>
        <v/>
      </c>
      <c r="H1667">
        <f>_xlfn.NUMBERVALUE("0.000024")</f>
        <v/>
      </c>
      <c r="I1667">
        <f>_xlfn.NUMBERVALUE("0.002519")</f>
        <v/>
      </c>
      <c r="J1667">
        <f>_xlfn.NUMBERVALUE("-0.000438")</f>
        <v/>
      </c>
      <c r="K1667">
        <f>_xlfn.NUMBERVALUE("0.000788")</f>
        <v/>
      </c>
      <c r="L1667">
        <f>_xlfn.NUMBERVALUE("0.000995")</f>
        <v/>
      </c>
      <c r="M1667">
        <f>_xlfn.NUMBERVALUE("0.001312")</f>
        <v/>
      </c>
      <c r="N1667">
        <f>_xlfn.NUMBERVALUE("0.001347")</f>
        <v/>
      </c>
      <c r="O1667">
        <f>_xlfn.NUMBERVALUE("0.002215")</f>
        <v/>
      </c>
      <c r="P1667">
        <f>_xlfn.NUMBERVALUE("0.001361")</f>
        <v/>
      </c>
      <c r="Q1667">
        <f>_xlfn.NUMBERVALUE("0.001506")</f>
        <v/>
      </c>
      <c r="R1667">
        <f>_xlfn.NUMBERVALUE("0.001073")</f>
        <v/>
      </c>
      <c r="S1667">
        <f>_xlfn.NUMBERVALUE("0.000919")</f>
        <v/>
      </c>
      <c r="T1667">
        <f>_xlfn.NUMBERVALUE("0.001508")</f>
        <v/>
      </c>
      <c r="U1667">
        <f>_xlfn.NUMBERVALUE("0.001045")</f>
        <v/>
      </c>
      <c r="V1667">
        <f>_xlfn.NUMBERVALUE("0.000371")</f>
        <v/>
      </c>
      <c r="W1667">
        <f>_xlfn.NUMBERVALUE("0.003315")</f>
        <v/>
      </c>
      <c r="X1667">
        <f>_xlfn.NUMBERVALUE("-0.470000")</f>
        <v/>
      </c>
      <c r="Y1667">
        <f>_xlfn.NUMBERVALUE("15.590000")</f>
        <v/>
      </c>
    </row>
    <row r="1668">
      <c r="A1668" s="1" t="n">
        <v>44421</v>
      </c>
      <c r="B1668">
        <f>_xlfn.NUMBERVALUE("0.005190")</f>
        <v/>
      </c>
      <c r="C1668" s="2">
        <f>_xlfn.NUMBERVALUE("0.001307")</f>
        <v/>
      </c>
      <c r="D1668">
        <f>_xlfn.NUMBERVALUE("0.001058")</f>
        <v/>
      </c>
      <c r="E1668">
        <f>_xlfn.NUMBERVALUE("-0.000345")</f>
        <v/>
      </c>
      <c r="F1668">
        <f>_xlfn.NUMBERVALUE("0.000279")</f>
        <v/>
      </c>
      <c r="G1668">
        <f>_xlfn.NUMBERVALUE("0.000514")</f>
        <v/>
      </c>
      <c r="H1668">
        <f>_xlfn.NUMBERVALUE("0.000341")</f>
        <v/>
      </c>
      <c r="I1668">
        <f>_xlfn.NUMBERVALUE("0.002471")</f>
        <v/>
      </c>
      <c r="J1668">
        <f>_xlfn.NUMBERVALUE("-0.000290")</f>
        <v/>
      </c>
      <c r="K1668">
        <f>_xlfn.NUMBERVALUE("0.002246")</f>
        <v/>
      </c>
      <c r="L1668">
        <f>_xlfn.NUMBERVALUE("-0.002358")</f>
        <v/>
      </c>
      <c r="M1668">
        <f>_xlfn.NUMBERVALUE("0.001808")</f>
        <v/>
      </c>
      <c r="N1668">
        <f>_xlfn.NUMBERVALUE("0.000337")</f>
        <v/>
      </c>
      <c r="O1668">
        <f>_xlfn.NUMBERVALUE("0.002529")</f>
        <v/>
      </c>
      <c r="P1668">
        <f>_xlfn.NUMBERVALUE("0.001643")</f>
        <v/>
      </c>
      <c r="Q1668">
        <f>_xlfn.NUMBERVALUE("0.002058")</f>
        <v/>
      </c>
      <c r="R1668">
        <f>_xlfn.NUMBERVALUE("0.001968")</f>
        <v/>
      </c>
      <c r="S1668">
        <f>_xlfn.NUMBERVALUE("-0.000303")</f>
        <v/>
      </c>
      <c r="T1668">
        <f>_xlfn.NUMBERVALUE("-0.001572")</f>
        <v/>
      </c>
      <c r="U1668">
        <f>_xlfn.NUMBERVALUE("0.001573")</f>
        <v/>
      </c>
      <c r="V1668">
        <f>_xlfn.NUMBERVALUE("0.001187")</f>
        <v/>
      </c>
      <c r="W1668">
        <f>_xlfn.NUMBERVALUE("0.001618")</f>
        <v/>
      </c>
      <c r="X1668">
        <f>_xlfn.NUMBERVALUE("-0.140000")</f>
        <v/>
      </c>
      <c r="Y1668">
        <f>_xlfn.NUMBERVALUE("15.450000")</f>
        <v/>
      </c>
    </row>
    <row r="1669">
      <c r="A1669" s="1" t="n">
        <v>44424</v>
      </c>
      <c r="B1669">
        <f>_xlfn.NUMBERVALUE("-0.003017")</f>
        <v/>
      </c>
      <c r="C1669" s="2">
        <f>_xlfn.NUMBERVALUE("0.000295")</f>
        <v/>
      </c>
      <c r="D1669">
        <f>_xlfn.NUMBERVALUE("0.000116")</f>
        <v/>
      </c>
      <c r="E1669">
        <f>_xlfn.NUMBERVALUE("0.000685")</f>
        <v/>
      </c>
      <c r="F1669">
        <f>_xlfn.NUMBERVALUE("0.000488")</f>
        <v/>
      </c>
      <c r="G1669">
        <f>_xlfn.NUMBERVALUE("0.000313")</f>
        <v/>
      </c>
      <c r="H1669">
        <f>_xlfn.NUMBERVALUE("0.000481")</f>
        <v/>
      </c>
      <c r="I1669">
        <f>_xlfn.NUMBERVALUE("0.002065")</f>
        <v/>
      </c>
      <c r="J1669">
        <f>_xlfn.NUMBERVALUE("0.000372")</f>
        <v/>
      </c>
      <c r="K1669">
        <f>_xlfn.NUMBERVALUE("0.000677")</f>
        <v/>
      </c>
      <c r="L1669">
        <f>_xlfn.NUMBERVALUE("0.000340")</f>
        <v/>
      </c>
      <c r="M1669">
        <f>_xlfn.NUMBERVALUE("0.001000")</f>
        <v/>
      </c>
      <c r="N1669">
        <f>_xlfn.NUMBERVALUE("0.000027")</f>
        <v/>
      </c>
      <c r="O1669">
        <f>_xlfn.NUMBERVALUE("0.000198")</f>
        <v/>
      </c>
      <c r="P1669">
        <f>_xlfn.NUMBERVALUE("0.001205")</f>
        <v/>
      </c>
      <c r="Q1669">
        <f>_xlfn.NUMBERVALUE("0.001312")</f>
        <v/>
      </c>
      <c r="R1669">
        <f>_xlfn.NUMBERVALUE("0.000265")</f>
        <v/>
      </c>
      <c r="S1669">
        <f>_xlfn.NUMBERVALUE("-0.000523")</f>
        <v/>
      </c>
      <c r="T1669">
        <f>_xlfn.NUMBERVALUE("-0.001438")</f>
        <v/>
      </c>
      <c r="U1669">
        <f>_xlfn.NUMBERVALUE("0.000905")</f>
        <v/>
      </c>
      <c r="V1669">
        <f>_xlfn.NUMBERVALUE("0.000306")</f>
        <v/>
      </c>
      <c r="W1669">
        <f>_xlfn.NUMBERVALUE("0.001750")</f>
        <v/>
      </c>
      <c r="X1669">
        <f>_xlfn.NUMBERVALUE("0.670000")</f>
        <v/>
      </c>
      <c r="Y1669">
        <f>_xlfn.NUMBERVALUE("16.120000")</f>
        <v/>
      </c>
    </row>
    <row r="1670">
      <c r="A1670" s="1" t="n">
        <v>44425</v>
      </c>
      <c r="B1670">
        <f>_xlfn.NUMBERVALUE("-0.001295")</f>
        <v/>
      </c>
      <c r="C1670" s="2">
        <f>_xlfn.NUMBERVALUE("-0.001877")</f>
        <v/>
      </c>
      <c r="D1670">
        <f>_xlfn.NUMBERVALUE("-0.003576")</f>
        <v/>
      </c>
      <c r="E1670">
        <f>_xlfn.NUMBERVALUE("-0.001732")</f>
        <v/>
      </c>
      <c r="F1670">
        <f>_xlfn.NUMBERVALUE("-0.000013")</f>
        <v/>
      </c>
      <c r="G1670">
        <f>_xlfn.NUMBERVALUE("-0.000721")</f>
        <v/>
      </c>
      <c r="H1670">
        <f>_xlfn.NUMBERVALUE("0.000122")</f>
        <v/>
      </c>
      <c r="I1670">
        <f>_xlfn.NUMBERVALUE("-0.003438")</f>
        <v/>
      </c>
      <c r="J1670">
        <f>_xlfn.NUMBERVALUE("0.000559")</f>
        <v/>
      </c>
      <c r="K1670">
        <f>_xlfn.NUMBERVALUE("-0.000450")</f>
        <v/>
      </c>
      <c r="L1670">
        <f>_xlfn.NUMBERVALUE("0.000920")</f>
        <v/>
      </c>
      <c r="M1670">
        <f>_xlfn.NUMBERVALUE("-0.002247")</f>
        <v/>
      </c>
      <c r="N1670">
        <f>_xlfn.NUMBERVALUE("-0.001768")</f>
        <v/>
      </c>
      <c r="O1670">
        <f>_xlfn.NUMBERVALUE("-0.001149")</f>
        <v/>
      </c>
      <c r="P1670">
        <f>_xlfn.NUMBERVALUE("-0.001587")</f>
        <v/>
      </c>
      <c r="Q1670">
        <f>_xlfn.NUMBERVALUE("-0.002026")</f>
        <v/>
      </c>
      <c r="R1670">
        <f>_xlfn.NUMBERVALUE("-0.002664")</f>
        <v/>
      </c>
      <c r="S1670">
        <f>_xlfn.NUMBERVALUE("-0.001633")</f>
        <v/>
      </c>
      <c r="T1670">
        <f>_xlfn.NUMBERVALUE("-0.000101")</f>
        <v/>
      </c>
      <c r="U1670">
        <f>_xlfn.NUMBERVALUE("-0.006717")</f>
        <v/>
      </c>
      <c r="V1670">
        <f>_xlfn.NUMBERVALUE("-0.002103")</f>
        <v/>
      </c>
      <c r="W1670">
        <f>_xlfn.NUMBERVALUE("-0.007996")</f>
        <v/>
      </c>
      <c r="X1670">
        <f>_xlfn.NUMBERVALUE("1.790000")</f>
        <v/>
      </c>
      <c r="Y1670">
        <f>_xlfn.NUMBERVALUE("17.910000")</f>
        <v/>
      </c>
    </row>
    <row r="1671">
      <c r="A1671" s="1" t="n">
        <v>44426</v>
      </c>
      <c r="B1671">
        <f>_xlfn.NUMBERVALUE("0.003401")</f>
        <v/>
      </c>
      <c r="C1671" s="2">
        <f>_xlfn.NUMBERVALUE("-0.000210")</f>
        <v/>
      </c>
      <c r="D1671">
        <f>_xlfn.NUMBERVALUE("0.000441")</f>
        <v/>
      </c>
      <c r="E1671">
        <f>_xlfn.NUMBERVALUE("0.000176")</f>
        <v/>
      </c>
      <c r="F1671">
        <f>_xlfn.NUMBERVALUE("0.001295")</f>
        <v/>
      </c>
      <c r="G1671">
        <f>_xlfn.NUMBERVALUE("0.000230")</f>
        <v/>
      </c>
      <c r="H1671">
        <f>_xlfn.NUMBERVALUE("0.000459")</f>
        <v/>
      </c>
      <c r="I1671">
        <f>_xlfn.NUMBERVALUE("0.001048")</f>
        <v/>
      </c>
      <c r="J1671">
        <f>_xlfn.NUMBERVALUE("-0.000476")</f>
        <v/>
      </c>
      <c r="K1671">
        <f>_xlfn.NUMBERVALUE("-0.001415")</f>
        <v/>
      </c>
      <c r="L1671">
        <f>_xlfn.NUMBERVALUE("0.000736")</f>
        <v/>
      </c>
      <c r="M1671">
        <f>_xlfn.NUMBERVALUE("0.000385")</f>
        <v/>
      </c>
      <c r="N1671">
        <f>_xlfn.NUMBERVALUE("0.000080")</f>
        <v/>
      </c>
      <c r="O1671">
        <f>_xlfn.NUMBERVALUE("-0.000323")</f>
        <v/>
      </c>
      <c r="P1671">
        <f>_xlfn.NUMBERVALUE("-0.000117")</f>
        <v/>
      </c>
      <c r="Q1671">
        <f>_xlfn.NUMBERVALUE("0.000241")</f>
        <v/>
      </c>
      <c r="R1671">
        <f>_xlfn.NUMBERVALUE("-0.000459")</f>
        <v/>
      </c>
      <c r="S1671">
        <f>_xlfn.NUMBERVALUE("-0.000067")</f>
        <v/>
      </c>
      <c r="T1671">
        <f>_xlfn.NUMBERVALUE("-0.000663")</f>
        <v/>
      </c>
      <c r="U1671">
        <f>_xlfn.NUMBERVALUE("-0.001133")</f>
        <v/>
      </c>
      <c r="V1671">
        <f>_xlfn.NUMBERVALUE("-0.000821")</f>
        <v/>
      </c>
      <c r="W1671">
        <f>_xlfn.NUMBERVALUE("-0.005171")</f>
        <v/>
      </c>
      <c r="X1671">
        <f>_xlfn.NUMBERVALUE("3.660000")</f>
        <v/>
      </c>
      <c r="Y1671">
        <f>_xlfn.NUMBERVALUE("21.570000")</f>
        <v/>
      </c>
    </row>
    <row r="1672">
      <c r="A1672" s="1" t="n">
        <v>44427</v>
      </c>
      <c r="B1672">
        <f>_xlfn.NUMBERVALUE("-0.002292")</f>
        <v/>
      </c>
      <c r="C1672" s="2">
        <f>_xlfn.NUMBERVALUE("-0.001519")</f>
        <v/>
      </c>
      <c r="D1672">
        <f>_xlfn.NUMBERVALUE("-0.002052")</f>
        <v/>
      </c>
      <c r="E1672">
        <f>_xlfn.NUMBERVALUE("-0.002547")</f>
        <v/>
      </c>
      <c r="F1672">
        <f>_xlfn.NUMBERVALUE("0.000831")</f>
        <v/>
      </c>
      <c r="G1672">
        <f>_xlfn.NUMBERVALUE("-0.000666")</f>
        <v/>
      </c>
      <c r="H1672">
        <f>_xlfn.NUMBERVALUE("-0.000146")</f>
        <v/>
      </c>
      <c r="I1672">
        <f>_xlfn.NUMBERVALUE("-0.002507")</f>
        <v/>
      </c>
      <c r="J1672">
        <f>_xlfn.NUMBERVALUE("0.000515")</f>
        <v/>
      </c>
      <c r="K1672">
        <f>_xlfn.NUMBERVALUE("0.001096")</f>
        <v/>
      </c>
      <c r="L1672">
        <f>_xlfn.NUMBERVALUE("0.000551")</f>
        <v/>
      </c>
      <c r="M1672">
        <f>_xlfn.NUMBERVALUE("-0.001776")</f>
        <v/>
      </c>
      <c r="N1672">
        <f>_xlfn.NUMBERVALUE("-0.000406")</f>
        <v/>
      </c>
      <c r="O1672">
        <f>_xlfn.NUMBERVALUE("-0.006207")</f>
        <v/>
      </c>
      <c r="P1672">
        <f>_xlfn.NUMBERVALUE("-0.002103")</f>
        <v/>
      </c>
      <c r="Q1672">
        <f>_xlfn.NUMBERVALUE("-0.002844")</f>
        <v/>
      </c>
      <c r="R1672">
        <f>_xlfn.NUMBERVALUE("-0.002231")</f>
        <v/>
      </c>
      <c r="S1672">
        <f>_xlfn.NUMBERVALUE("-0.002612")</f>
        <v/>
      </c>
      <c r="T1672">
        <f>_xlfn.NUMBERVALUE("-0.001507")</f>
        <v/>
      </c>
      <c r="U1672">
        <f>_xlfn.NUMBERVALUE("-0.001038")</f>
        <v/>
      </c>
      <c r="V1672">
        <f>_xlfn.NUMBERVALUE("-0.000992")</f>
        <v/>
      </c>
      <c r="W1672">
        <f>_xlfn.NUMBERVALUE("-0.001770")</f>
        <v/>
      </c>
      <c r="X1672">
        <f>_xlfn.NUMBERVALUE("0.100000")</f>
        <v/>
      </c>
      <c r="Y1672">
        <f>_xlfn.NUMBERVALUE("21.670000")</f>
        <v/>
      </c>
    </row>
    <row r="1673">
      <c r="A1673" s="1" t="n">
        <v>44428</v>
      </c>
      <c r="B1673">
        <f>_xlfn.NUMBERVALUE("0.003310")</f>
        <v/>
      </c>
      <c r="C1673" s="2">
        <f>_xlfn.NUMBERVALUE("0.002644")</f>
        <v/>
      </c>
      <c r="D1673">
        <f>_xlfn.NUMBERVALUE("-0.000179")</f>
        <v/>
      </c>
      <c r="E1673">
        <f>_xlfn.NUMBERVALUE("0.003234")</f>
        <v/>
      </c>
      <c r="F1673">
        <f>_xlfn.NUMBERVALUE("0.001380")</f>
        <v/>
      </c>
      <c r="G1673">
        <f>_xlfn.NUMBERVALUE("0.000797")</f>
        <v/>
      </c>
      <c r="H1673">
        <f>_xlfn.NUMBERVALUE("0.000133")</f>
        <v/>
      </c>
      <c r="I1673">
        <f>_xlfn.NUMBERVALUE("0.002668")</f>
        <v/>
      </c>
      <c r="J1673">
        <f>_xlfn.NUMBERVALUE("0.001457")</f>
        <v/>
      </c>
      <c r="K1673">
        <f>_xlfn.NUMBERVALUE("0.000881")</f>
        <v/>
      </c>
      <c r="L1673">
        <f>_xlfn.NUMBERVALUE("0.000859")</f>
        <v/>
      </c>
      <c r="M1673">
        <f>_xlfn.NUMBERVALUE("0.004758")</f>
        <v/>
      </c>
      <c r="N1673">
        <f>_xlfn.NUMBERVALUE("0.003364")</f>
        <v/>
      </c>
      <c r="O1673">
        <f>_xlfn.NUMBERVALUE("0.003968")</f>
        <v/>
      </c>
      <c r="P1673">
        <f>_xlfn.NUMBERVALUE("0.003996")</f>
        <v/>
      </c>
      <c r="Q1673">
        <f>_xlfn.NUMBERVALUE("0.005607")</f>
        <v/>
      </c>
      <c r="R1673">
        <f>_xlfn.NUMBERVALUE("0.001709")</f>
        <v/>
      </c>
      <c r="S1673">
        <f>_xlfn.NUMBERVALUE("0.001644")</f>
        <v/>
      </c>
      <c r="T1673">
        <f>_xlfn.NUMBERVALUE("0.000386")</f>
        <v/>
      </c>
      <c r="U1673">
        <f>_xlfn.NUMBERVALUE("0.003139")</f>
        <v/>
      </c>
      <c r="V1673">
        <f>_xlfn.NUMBERVALUE("0.003395")</f>
        <v/>
      </c>
      <c r="W1673">
        <f>_xlfn.NUMBERVALUE("0.008594")</f>
        <v/>
      </c>
      <c r="X1673">
        <f>_xlfn.NUMBERVALUE("-3.110000")</f>
        <v/>
      </c>
      <c r="Y1673">
        <f>_xlfn.NUMBERVALUE("18.560000")</f>
        <v/>
      </c>
    </row>
    <row r="1674">
      <c r="A1674" s="1" t="n">
        <v>44431</v>
      </c>
      <c r="B1674">
        <f>_xlfn.NUMBERVALUE("0.004398")</f>
        <v/>
      </c>
      <c r="C1674" s="2">
        <f>_xlfn.NUMBERVALUE("0.002227")</f>
        <v/>
      </c>
      <c r="D1674">
        <f>_xlfn.NUMBERVALUE("0.001318")</f>
        <v/>
      </c>
      <c r="E1674">
        <f>_xlfn.NUMBERVALUE("-0.000181")</f>
        <v/>
      </c>
      <c r="F1674">
        <f>_xlfn.NUMBERVALUE("-0.001105")</f>
        <v/>
      </c>
      <c r="G1674">
        <f>_xlfn.NUMBERVALUE("-0.000252")</f>
        <v/>
      </c>
      <c r="H1674">
        <f>_xlfn.NUMBERVALUE("0.001020")</f>
        <v/>
      </c>
      <c r="I1674">
        <f>_xlfn.NUMBERVALUE("0.000421")</f>
        <v/>
      </c>
      <c r="J1674">
        <f>_xlfn.NUMBERVALUE("0.000090")</f>
        <v/>
      </c>
      <c r="K1674">
        <f>_xlfn.NUMBERVALUE("0.001017")</f>
        <v/>
      </c>
      <c r="L1674">
        <f>_xlfn.NUMBERVALUE("0.002184")</f>
        <v/>
      </c>
      <c r="M1674">
        <f>_xlfn.NUMBERVALUE("0.003066")</f>
        <v/>
      </c>
      <c r="N1674">
        <f>_xlfn.NUMBERVALUE("0.000935")</f>
        <v/>
      </c>
      <c r="O1674">
        <f>_xlfn.NUMBERVALUE("-0.001490")</f>
        <v/>
      </c>
      <c r="P1674">
        <f>_xlfn.NUMBERVALUE("0.004001")</f>
        <v/>
      </c>
      <c r="Q1674">
        <f>_xlfn.NUMBERVALUE("0.003162")</f>
        <v/>
      </c>
      <c r="R1674">
        <f>_xlfn.NUMBERVALUE("0.000039")</f>
        <v/>
      </c>
      <c r="S1674">
        <f>_xlfn.NUMBERVALUE("0.002949")</f>
        <v/>
      </c>
      <c r="T1674">
        <f>_xlfn.NUMBERVALUE("0.003108")</f>
        <v/>
      </c>
      <c r="U1674">
        <f>_xlfn.NUMBERVALUE("0.000449")</f>
        <v/>
      </c>
      <c r="V1674">
        <f>_xlfn.NUMBERVALUE("0.000608")</f>
        <v/>
      </c>
      <c r="W1674">
        <f>_xlfn.NUMBERVALUE("0.009017")</f>
        <v/>
      </c>
      <c r="X1674">
        <f>_xlfn.NUMBERVALUE("-1.410000")</f>
        <v/>
      </c>
      <c r="Y1674">
        <f>_xlfn.NUMBERVALUE("17.150000")</f>
        <v/>
      </c>
    </row>
    <row r="1675">
      <c r="A1675" s="1" t="n">
        <v>44432</v>
      </c>
      <c r="B1675">
        <f>_xlfn.NUMBERVALUE("0.004000")</f>
        <v/>
      </c>
      <c r="C1675" s="2">
        <f>_xlfn.NUMBERVALUE("0.001459")</f>
        <v/>
      </c>
      <c r="D1675">
        <f>_xlfn.NUMBERVALUE("-0.001595")</f>
        <v/>
      </c>
      <c r="E1675">
        <f>_xlfn.NUMBERVALUE("0.001041")</f>
        <v/>
      </c>
      <c r="F1675">
        <f>_xlfn.NUMBERVALUE("0.001378")</f>
        <v/>
      </c>
      <c r="G1675">
        <f>_xlfn.NUMBERVALUE("0.000995")</f>
        <v/>
      </c>
      <c r="H1675">
        <f>_xlfn.NUMBERVALUE("-0.000290")</f>
        <v/>
      </c>
      <c r="I1675">
        <f>_xlfn.NUMBERVALUE("-0.001066")</f>
        <v/>
      </c>
      <c r="J1675">
        <f>_xlfn.NUMBERVALUE("-0.000116")</f>
        <v/>
      </c>
      <c r="K1675">
        <f>_xlfn.NUMBERVALUE("-0.000157")</f>
        <v/>
      </c>
      <c r="L1675">
        <f>_xlfn.NUMBERVALUE("-0.000704")</f>
        <v/>
      </c>
      <c r="M1675">
        <f>_xlfn.NUMBERVALUE("0.001293")</f>
        <v/>
      </c>
      <c r="N1675">
        <f>_xlfn.NUMBERVALUE("-0.000151")</f>
        <v/>
      </c>
      <c r="O1675">
        <f>_xlfn.NUMBERVALUE("-0.000176")</f>
        <v/>
      </c>
      <c r="P1675">
        <f>_xlfn.NUMBERVALUE("0.000278")</f>
        <v/>
      </c>
      <c r="Q1675">
        <f>_xlfn.NUMBERVALUE("0.000760")</f>
        <v/>
      </c>
      <c r="R1675">
        <f>_xlfn.NUMBERVALUE("0.001664")</f>
        <v/>
      </c>
      <c r="S1675">
        <f>_xlfn.NUMBERVALUE("0.000895")</f>
        <v/>
      </c>
      <c r="T1675">
        <f>_xlfn.NUMBERVALUE("0.001951")</f>
        <v/>
      </c>
      <c r="U1675">
        <f>_xlfn.NUMBERVALUE("0.000280")</f>
        <v/>
      </c>
      <c r="V1675">
        <f>_xlfn.NUMBERVALUE("0.000777")</f>
        <v/>
      </c>
      <c r="W1675">
        <f>_xlfn.NUMBERVALUE("0.000938")</f>
        <v/>
      </c>
      <c r="X1675">
        <f>_xlfn.NUMBERVALUE("0.070000")</f>
        <v/>
      </c>
      <c r="Y1675">
        <f>_xlfn.NUMBERVALUE("17.220000")</f>
        <v/>
      </c>
    </row>
    <row r="1676">
      <c r="A1676" s="1" t="n">
        <v>44433</v>
      </c>
      <c r="B1676">
        <f>_xlfn.NUMBERVALUE("0.002347")</f>
        <v/>
      </c>
      <c r="C1676" s="2">
        <f>_xlfn.NUMBERVALUE("0.000875")</f>
        <v/>
      </c>
      <c r="D1676">
        <f>_xlfn.NUMBERVALUE("0.001831")</f>
        <v/>
      </c>
      <c r="E1676">
        <f>_xlfn.NUMBERVALUE("0.001401")</f>
        <v/>
      </c>
      <c r="F1676">
        <f>_xlfn.NUMBERVALUE("-0.000937")</f>
        <v/>
      </c>
      <c r="G1676">
        <f>_xlfn.NUMBERVALUE("0.000054")</f>
        <v/>
      </c>
      <c r="H1676">
        <f>_xlfn.NUMBERVALUE("-0.000610")</f>
        <v/>
      </c>
      <c r="I1676">
        <f>_xlfn.NUMBERVALUE("0.001125")</f>
        <v/>
      </c>
      <c r="J1676">
        <f>_xlfn.NUMBERVALUE("-0.000647")</f>
        <v/>
      </c>
      <c r="K1676">
        <f>_xlfn.NUMBERVALUE("0.000509")</f>
        <v/>
      </c>
      <c r="L1676">
        <f>_xlfn.NUMBERVALUE("-0.001860")</f>
        <v/>
      </c>
      <c r="M1676">
        <f>_xlfn.NUMBERVALUE("-0.000822")</f>
        <v/>
      </c>
      <c r="N1676">
        <f>_xlfn.NUMBERVALUE("0.001428")</f>
        <v/>
      </c>
      <c r="O1676">
        <f>_xlfn.NUMBERVALUE("0.001397")</f>
        <v/>
      </c>
      <c r="P1676">
        <f>_xlfn.NUMBERVALUE("-0.001123")</f>
        <v/>
      </c>
      <c r="Q1676">
        <f>_xlfn.NUMBERVALUE("-0.000037")</f>
        <v/>
      </c>
      <c r="R1676">
        <f>_xlfn.NUMBERVALUE("0.001319")</f>
        <v/>
      </c>
      <c r="S1676">
        <f>_xlfn.NUMBERVALUE("0.000822")</f>
        <v/>
      </c>
      <c r="T1676">
        <f>_xlfn.NUMBERVALUE("0.000739")</f>
        <v/>
      </c>
      <c r="U1676">
        <f>_xlfn.NUMBERVALUE("0.000917")</f>
        <v/>
      </c>
      <c r="V1676">
        <f>_xlfn.NUMBERVALUE("0.000651")</f>
        <v/>
      </c>
      <c r="W1676">
        <f>_xlfn.NUMBERVALUE("0.002969")</f>
        <v/>
      </c>
      <c r="X1676">
        <f>_xlfn.NUMBERVALUE("-0.430000")</f>
        <v/>
      </c>
      <c r="Y1676">
        <f>_xlfn.NUMBERVALUE("16.790000")</f>
        <v/>
      </c>
    </row>
    <row r="1677">
      <c r="A1677" s="1" t="n">
        <v>44434</v>
      </c>
      <c r="B1677">
        <f>_xlfn.NUMBERVALUE("-0.002108")</f>
        <v/>
      </c>
      <c r="C1677" s="2">
        <f>_xlfn.NUMBERVALUE("-0.001314")</f>
        <v/>
      </c>
      <c r="D1677">
        <f>_xlfn.NUMBERVALUE("-0.001328")</f>
        <v/>
      </c>
      <c r="E1677">
        <f>_xlfn.NUMBERVALUE("-0.000798")</f>
        <v/>
      </c>
      <c r="F1677">
        <f>_xlfn.NUMBERVALUE("0.000046")</f>
        <v/>
      </c>
      <c r="G1677">
        <f>_xlfn.NUMBERVALUE("-0.000333")</f>
        <v/>
      </c>
      <c r="H1677">
        <f>_xlfn.NUMBERVALUE("0.000017")</f>
        <v/>
      </c>
      <c r="I1677">
        <f>_xlfn.NUMBERVALUE("-0.002003")</f>
        <v/>
      </c>
      <c r="J1677">
        <f>_xlfn.NUMBERVALUE("0.000654")</f>
        <v/>
      </c>
      <c r="K1677">
        <f>_xlfn.NUMBERVALUE("-0.001029")</f>
        <v/>
      </c>
      <c r="L1677">
        <f>_xlfn.NUMBERVALUE("0.000719")</f>
        <v/>
      </c>
      <c r="M1677">
        <f>_xlfn.NUMBERVALUE("-0.001499")</f>
        <v/>
      </c>
      <c r="N1677">
        <f>_xlfn.NUMBERVALUE("-0.001435")</f>
        <v/>
      </c>
      <c r="O1677">
        <f>_xlfn.NUMBERVALUE("-0.002132")</f>
        <v/>
      </c>
      <c r="P1677">
        <f>_xlfn.NUMBERVALUE("-0.003057")</f>
        <v/>
      </c>
      <c r="Q1677">
        <f>_xlfn.NUMBERVALUE("-0.001047")</f>
        <v/>
      </c>
      <c r="R1677">
        <f>_xlfn.NUMBERVALUE("-0.001644")</f>
        <v/>
      </c>
      <c r="S1677">
        <f>_xlfn.NUMBERVALUE("-0.000111")</f>
        <v/>
      </c>
      <c r="T1677">
        <f>_xlfn.NUMBERVALUE("-0.000773")</f>
        <v/>
      </c>
      <c r="U1677">
        <f>_xlfn.NUMBERVALUE("-0.001767")</f>
        <v/>
      </c>
      <c r="V1677">
        <f>_xlfn.NUMBERVALUE("-0.002098")</f>
        <v/>
      </c>
      <c r="W1677">
        <f>_xlfn.NUMBERVALUE("-0.006365")</f>
        <v/>
      </c>
      <c r="X1677">
        <f>_xlfn.NUMBERVALUE("2.050000")</f>
        <v/>
      </c>
      <c r="Y1677">
        <f>_xlfn.NUMBERVALUE("18.840000")</f>
        <v/>
      </c>
    </row>
    <row r="1678">
      <c r="A1678" s="1" t="n">
        <v>44435</v>
      </c>
      <c r="B1678">
        <f>_xlfn.NUMBERVALUE("0.002769")</f>
        <v/>
      </c>
      <c r="C1678" s="2">
        <f>_xlfn.NUMBERVALUE("0.001950")</f>
        <v/>
      </c>
      <c r="D1678">
        <f>_xlfn.NUMBERVALUE("0.001912")</f>
        <v/>
      </c>
      <c r="E1678">
        <f>_xlfn.NUMBERVALUE("-0.000704")</f>
        <v/>
      </c>
      <c r="F1678">
        <f>_xlfn.NUMBERVALUE("0.000399")</f>
        <v/>
      </c>
      <c r="G1678">
        <f>_xlfn.NUMBERVALUE("0.002163")</f>
        <v/>
      </c>
      <c r="H1678">
        <f>_xlfn.NUMBERVALUE("0.001103")</f>
        <v/>
      </c>
      <c r="I1678">
        <f>_xlfn.NUMBERVALUE("-0.008090")</f>
        <v/>
      </c>
      <c r="J1678">
        <f>_xlfn.NUMBERVALUE("-0.000087")</f>
        <v/>
      </c>
      <c r="K1678">
        <f>_xlfn.NUMBERVALUE("0.002059")</f>
        <v/>
      </c>
      <c r="L1678">
        <f>_xlfn.NUMBERVALUE("0.003144")</f>
        <v/>
      </c>
      <c r="M1678">
        <f>_xlfn.NUMBERVALUE("-0.000493")</f>
        <v/>
      </c>
      <c r="N1678">
        <f>_xlfn.NUMBERVALUE("-0.001529")</f>
        <v/>
      </c>
      <c r="O1678">
        <f>_xlfn.NUMBERVALUE("0.000519")</f>
        <v/>
      </c>
      <c r="P1678">
        <f>_xlfn.NUMBERVALUE("0.003158")</f>
        <v/>
      </c>
      <c r="Q1678">
        <f>_xlfn.NUMBERVALUE("0.001500")</f>
        <v/>
      </c>
      <c r="R1678">
        <f>_xlfn.NUMBERVALUE("0.001793")</f>
        <v/>
      </c>
      <c r="S1678">
        <f>_xlfn.NUMBERVALUE("0.001710")</f>
        <v/>
      </c>
      <c r="T1678">
        <f>_xlfn.NUMBERVALUE("0.003627")</f>
        <v/>
      </c>
      <c r="U1678">
        <f>_xlfn.NUMBERVALUE("0.001445")</f>
        <v/>
      </c>
      <c r="V1678">
        <f>_xlfn.NUMBERVALUE("0.000662")</f>
        <v/>
      </c>
      <c r="W1678">
        <f>_xlfn.NUMBERVALUE("0.009071")</f>
        <v/>
      </c>
      <c r="X1678">
        <f>_xlfn.NUMBERVALUE("-2.450000")</f>
        <v/>
      </c>
      <c r="Y1678">
        <f>_xlfn.NUMBERVALUE("16.390000")</f>
        <v/>
      </c>
    </row>
    <row r="1679">
      <c r="A1679" s="1" t="n">
        <v>44438</v>
      </c>
      <c r="B1679">
        <f>_xlfn.NUMBERVALUE("0.002910")</f>
        <v/>
      </c>
      <c r="C1679" s="2">
        <f>_xlfn.NUMBERVALUE("0.002024")</f>
        <v/>
      </c>
      <c r="D1679">
        <f>_xlfn.NUMBERVALUE("0.002683")</f>
        <v/>
      </c>
      <c r="E1679">
        <f>_xlfn.NUMBERVALUE("0.002038")</f>
        <v/>
      </c>
      <c r="F1679">
        <f>_xlfn.NUMBERVALUE("0.001945")</f>
        <v/>
      </c>
      <c r="G1679">
        <f>_xlfn.NUMBERVALUE("-0.001400")</f>
        <v/>
      </c>
      <c r="H1679">
        <f>_xlfn.NUMBERVALUE("0.000372")</f>
        <v/>
      </c>
      <c r="I1679">
        <f>_xlfn.NUMBERVALUE("0.002751")</f>
        <v/>
      </c>
      <c r="J1679">
        <f>_xlfn.NUMBERVALUE("0.002124")</f>
        <v/>
      </c>
      <c r="K1679">
        <f>_xlfn.NUMBERVALUE("0.001433")</f>
        <v/>
      </c>
      <c r="L1679">
        <f>_xlfn.NUMBERVALUE("0.001413")</f>
        <v/>
      </c>
      <c r="M1679">
        <f>_xlfn.NUMBERVALUE("0.001659")</f>
        <v/>
      </c>
      <c r="N1679">
        <f>_xlfn.NUMBERVALUE("-0.000530")</f>
        <v/>
      </c>
      <c r="O1679">
        <f>_xlfn.NUMBERVALUE("0.003200")</f>
        <v/>
      </c>
      <c r="P1679">
        <f>_xlfn.NUMBERVALUE("0.001415")</f>
        <v/>
      </c>
      <c r="Q1679">
        <f>_xlfn.NUMBERVALUE("0.002205")</f>
        <v/>
      </c>
      <c r="R1679">
        <f>_xlfn.NUMBERVALUE("-0.001058")</f>
        <v/>
      </c>
      <c r="S1679">
        <f>_xlfn.NUMBERVALUE("0.000038")</f>
        <v/>
      </c>
      <c r="T1679">
        <f>_xlfn.NUMBERVALUE("0.001383")</f>
        <v/>
      </c>
      <c r="U1679">
        <f>_xlfn.NUMBERVALUE("-0.000220")</f>
        <v/>
      </c>
      <c r="V1679">
        <f>_xlfn.NUMBERVALUE("0.000548")</f>
        <v/>
      </c>
      <c r="W1679">
        <f>_xlfn.NUMBERVALUE("0.004328")</f>
        <v/>
      </c>
      <c r="X1679">
        <f>_xlfn.NUMBERVALUE("-0.200000")</f>
        <v/>
      </c>
      <c r="Y1679">
        <f>_xlfn.NUMBERVALUE("16.190000")</f>
        <v/>
      </c>
    </row>
    <row r="1680">
      <c r="A1680" s="1" t="n">
        <v>44439</v>
      </c>
      <c r="B1680">
        <f>_xlfn.NUMBERVALUE("-0.000412")</f>
        <v/>
      </c>
      <c r="C1680" s="2">
        <f>_xlfn.NUMBERVALUE("0.000278")</f>
        <v/>
      </c>
      <c r="D1680">
        <f>_xlfn.NUMBERVALUE("-0.002289")</f>
        <v/>
      </c>
      <c r="E1680">
        <f>_xlfn.NUMBERVALUE("0.001048")</f>
        <v/>
      </c>
      <c r="F1680">
        <f>_xlfn.NUMBERVALUE("0.001997")</f>
        <v/>
      </c>
      <c r="G1680">
        <f>_xlfn.NUMBERVALUE("0.000157")</f>
        <v/>
      </c>
      <c r="H1680">
        <f>_xlfn.NUMBERVALUE("0.000830")</f>
        <v/>
      </c>
      <c r="I1680">
        <f>_xlfn.NUMBERVALUE("0.000795")</f>
        <v/>
      </c>
      <c r="J1680">
        <f>_xlfn.NUMBERVALUE("0.000050")</f>
        <v/>
      </c>
      <c r="K1680">
        <f>_xlfn.NUMBERVALUE("0.000236")</f>
        <v/>
      </c>
      <c r="L1680">
        <f>_xlfn.NUMBERVALUE("0.000095")</f>
        <v/>
      </c>
      <c r="M1680">
        <f>_xlfn.NUMBERVALUE("0.000935")</f>
        <v/>
      </c>
      <c r="N1680">
        <f>_xlfn.NUMBERVALUE("-0.000772")</f>
        <v/>
      </c>
      <c r="O1680">
        <f>_xlfn.NUMBERVALUE("0.001028")</f>
        <v/>
      </c>
      <c r="P1680">
        <f>_xlfn.NUMBERVALUE("-0.000155")</f>
        <v/>
      </c>
      <c r="Q1680">
        <f>_xlfn.NUMBERVALUE("0.000559")</f>
        <v/>
      </c>
      <c r="R1680">
        <f>_xlfn.NUMBERVALUE("0.000850")</f>
        <v/>
      </c>
      <c r="S1680">
        <f>_xlfn.NUMBERVALUE("0.000526")</f>
        <v/>
      </c>
      <c r="T1680">
        <f>_xlfn.NUMBERVALUE("0.001155")</f>
        <v/>
      </c>
      <c r="U1680">
        <f>_xlfn.NUMBERVALUE("0.000294")</f>
        <v/>
      </c>
      <c r="V1680">
        <f>_xlfn.NUMBERVALUE("0.000163")</f>
        <v/>
      </c>
      <c r="W1680">
        <f>_xlfn.NUMBERVALUE("-0.001746")</f>
        <v/>
      </c>
      <c r="X1680">
        <f>_xlfn.NUMBERVALUE("0.290000")</f>
        <v/>
      </c>
      <c r="Y1680">
        <f>_xlfn.NUMBERVALUE("16.480000")</f>
        <v/>
      </c>
    </row>
    <row r="1681">
      <c r="A1681" s="1" t="n">
        <v>44440</v>
      </c>
      <c r="B1681">
        <f>_xlfn.NUMBERVALUE("-0.000406")</f>
        <v/>
      </c>
      <c r="C1681" s="2">
        <f>_xlfn.NUMBERVALUE("0.000812")</f>
        <v/>
      </c>
      <c r="D1681">
        <f>_xlfn.NUMBERVALUE("-0.004164")</f>
        <v/>
      </c>
      <c r="E1681">
        <f>_xlfn.NUMBERVALUE("-0.003505")</f>
        <v/>
      </c>
      <c r="F1681">
        <f>_xlfn.NUMBERVALUE("0.002572")</f>
        <v/>
      </c>
      <c r="G1681">
        <f>_xlfn.NUMBERVALUE("-0.002373")</f>
        <v/>
      </c>
      <c r="H1681">
        <f>_xlfn.NUMBERVALUE("0.000435")</f>
        <v/>
      </c>
      <c r="I1681">
        <f>_xlfn.NUMBERVALUE("0.000290")</f>
        <v/>
      </c>
      <c r="J1681">
        <f>_xlfn.NUMBERVALUE("0.000483")</f>
        <v/>
      </c>
      <c r="K1681">
        <f>_xlfn.NUMBERVALUE("-0.000020")</f>
        <v/>
      </c>
      <c r="L1681">
        <f>_xlfn.NUMBERVALUE("0.002522")</f>
        <v/>
      </c>
      <c r="M1681">
        <f>_xlfn.NUMBERVALUE("0.001612")</f>
        <v/>
      </c>
      <c r="N1681">
        <f>_xlfn.NUMBERVALUE("-0.000153")</f>
        <v/>
      </c>
      <c r="O1681">
        <f>_xlfn.NUMBERVALUE("-0.000438")</f>
        <v/>
      </c>
      <c r="P1681">
        <f>_xlfn.NUMBERVALUE("0.002824")</f>
        <v/>
      </c>
      <c r="Q1681">
        <f>_xlfn.NUMBERVALUE("0.001184")</f>
        <v/>
      </c>
      <c r="R1681">
        <f>_xlfn.NUMBERVALUE("0.000641")</f>
        <v/>
      </c>
      <c r="S1681">
        <f>_xlfn.NUMBERVALUE("0.000374")</f>
        <v/>
      </c>
      <c r="T1681">
        <f>_xlfn.NUMBERVALUE("-0.002133")</f>
        <v/>
      </c>
      <c r="U1681">
        <f>_xlfn.NUMBERVALUE("0.000692")</f>
        <v/>
      </c>
      <c r="V1681">
        <f>_xlfn.NUMBERVALUE("0.000132")</f>
        <v/>
      </c>
      <c r="W1681">
        <f>_xlfn.NUMBERVALUE("0.000576")</f>
        <v/>
      </c>
      <c r="X1681">
        <f>_xlfn.NUMBERVALUE("-0.370000")</f>
        <v/>
      </c>
      <c r="Y1681">
        <f>_xlfn.NUMBERVALUE("16.110000")</f>
        <v/>
      </c>
    </row>
    <row r="1682">
      <c r="A1682" s="1" t="n">
        <v>44441</v>
      </c>
      <c r="B1682">
        <f>_xlfn.NUMBERVALUE("0.000910")</f>
        <v/>
      </c>
      <c r="C1682" s="2">
        <f>_xlfn.NUMBERVALUE("0.000226")</f>
        <v/>
      </c>
      <c r="D1682">
        <f>_xlfn.NUMBERVALUE("0.002928")</f>
        <v/>
      </c>
      <c r="E1682">
        <f>_xlfn.NUMBERVALUE("-0.000150")</f>
        <v/>
      </c>
      <c r="F1682">
        <f>_xlfn.NUMBERVALUE("0.005285")</f>
        <v/>
      </c>
      <c r="G1682">
        <f>_xlfn.NUMBERVALUE("-0.000317")</f>
        <v/>
      </c>
      <c r="H1682">
        <f>_xlfn.NUMBERVALUE("0.000121")</f>
        <v/>
      </c>
      <c r="I1682">
        <f>_xlfn.NUMBERVALUE("-0.000043")</f>
        <v/>
      </c>
      <c r="J1682">
        <f>_xlfn.NUMBERVALUE("0.000278")</f>
        <v/>
      </c>
      <c r="K1682">
        <f>_xlfn.NUMBERVALUE("-0.000006")</f>
        <v/>
      </c>
      <c r="L1682">
        <f>_xlfn.NUMBERVALUE("0.000789")</f>
        <v/>
      </c>
      <c r="M1682">
        <f>_xlfn.NUMBERVALUE("0.000166")</f>
        <v/>
      </c>
      <c r="N1682">
        <f>_xlfn.NUMBERVALUE("-0.000060")</f>
        <v/>
      </c>
      <c r="O1682">
        <f>_xlfn.NUMBERVALUE("-0.002764")</f>
        <v/>
      </c>
      <c r="P1682">
        <f>_xlfn.NUMBERVALUE("0.001856")</f>
        <v/>
      </c>
      <c r="Q1682">
        <f>_xlfn.NUMBERVALUE("-0.001246")</f>
        <v/>
      </c>
      <c r="R1682">
        <f>_xlfn.NUMBERVALUE("0.000025")</f>
        <v/>
      </c>
      <c r="S1682">
        <f>_xlfn.NUMBERVALUE("0.000521")</f>
        <v/>
      </c>
      <c r="T1682">
        <f>_xlfn.NUMBERVALUE("0.000112")</f>
        <v/>
      </c>
      <c r="U1682">
        <f>_xlfn.NUMBERVALUE("0.000512")</f>
        <v/>
      </c>
      <c r="V1682">
        <f>_xlfn.NUMBERVALUE("-0.000012")</f>
        <v/>
      </c>
      <c r="W1682">
        <f>_xlfn.NUMBERVALUE("0.000431")</f>
        <v/>
      </c>
      <c r="X1682">
        <f>_xlfn.NUMBERVALUE("0.300000")</f>
        <v/>
      </c>
      <c r="Y1682">
        <f>_xlfn.NUMBERVALUE("16.410000")</f>
        <v/>
      </c>
    </row>
    <row r="1683">
      <c r="A1683" s="1" t="n">
        <v>44442</v>
      </c>
      <c r="B1683">
        <f>_xlfn.NUMBERVALUE("0.001054")</f>
        <v/>
      </c>
      <c r="C1683" s="2">
        <f>_xlfn.NUMBERVALUE("0.001528")</f>
        <v/>
      </c>
      <c r="D1683">
        <f>_xlfn.NUMBERVALUE("0.001000")</f>
        <v/>
      </c>
      <c r="E1683">
        <f>_xlfn.NUMBERVALUE("-0.000170")</f>
        <v/>
      </c>
      <c r="F1683">
        <f>_xlfn.NUMBERVALUE("-0.001448")</f>
        <v/>
      </c>
      <c r="G1683">
        <f>_xlfn.NUMBERVALUE("-0.000127")</f>
        <v/>
      </c>
      <c r="H1683">
        <f>_xlfn.NUMBERVALUE("0.000849")</f>
        <v/>
      </c>
      <c r="I1683">
        <f>_xlfn.NUMBERVALUE("0.002795")</f>
        <v/>
      </c>
      <c r="J1683">
        <f>_xlfn.NUMBERVALUE("0.000409")</f>
        <v/>
      </c>
      <c r="K1683">
        <f>_xlfn.NUMBERVALUE("-0.008074")</f>
        <v/>
      </c>
      <c r="L1683">
        <f>_xlfn.NUMBERVALUE("-0.001069")</f>
        <v/>
      </c>
      <c r="M1683">
        <f>_xlfn.NUMBERVALUE("0.002529")</f>
        <v/>
      </c>
      <c r="N1683">
        <f>_xlfn.NUMBERVALUE("0.001759")</f>
        <v/>
      </c>
      <c r="O1683">
        <f>_xlfn.NUMBERVALUE("0.007181")</f>
        <v/>
      </c>
      <c r="P1683">
        <f>_xlfn.NUMBERVALUE("0.003109")</f>
        <v/>
      </c>
      <c r="Q1683">
        <f>_xlfn.NUMBERVALUE("0.002499")</f>
        <v/>
      </c>
      <c r="R1683">
        <f>_xlfn.NUMBERVALUE("0.000467")</f>
        <v/>
      </c>
      <c r="S1683">
        <f>_xlfn.NUMBERVALUE("0.000083")</f>
        <v/>
      </c>
      <c r="T1683">
        <f>_xlfn.NUMBERVALUE("0.000071")</f>
        <v/>
      </c>
      <c r="U1683">
        <f>_xlfn.NUMBERVALUE("0.002172")</f>
        <v/>
      </c>
      <c r="V1683">
        <f>_xlfn.NUMBERVALUE("0.001591")</f>
        <v/>
      </c>
      <c r="W1683">
        <f>_xlfn.NUMBERVALUE("0.001945")</f>
        <v/>
      </c>
      <c r="X1683">
        <f>_xlfn.NUMBERVALUE("0.000000")</f>
        <v/>
      </c>
      <c r="Y1683">
        <f>_xlfn.NUMBERVALUE("16.410000")</f>
        <v/>
      </c>
    </row>
    <row r="1684">
      <c r="A1684" s="1" t="n">
        <v>44446</v>
      </c>
      <c r="B1684">
        <f>_xlfn.NUMBERVALUE("0.000955")</f>
        <v/>
      </c>
      <c r="C1684" s="2">
        <f>_xlfn.NUMBERVALUE("0.000715")</f>
        <v/>
      </c>
      <c r="D1684">
        <f>_xlfn.NUMBERVALUE("0.000356")</f>
        <v/>
      </c>
      <c r="E1684">
        <f>_xlfn.NUMBERVALUE("-0.000184")</f>
        <v/>
      </c>
      <c r="F1684">
        <f>_xlfn.NUMBERVALUE("-0.002272")</f>
        <v/>
      </c>
      <c r="G1684">
        <f>_xlfn.NUMBERVALUE("0.000357")</f>
        <v/>
      </c>
      <c r="H1684">
        <f>_xlfn.NUMBERVALUE("-0.000553")</f>
        <v/>
      </c>
      <c r="I1684">
        <f>_xlfn.NUMBERVALUE("0.000632")</f>
        <v/>
      </c>
      <c r="J1684">
        <f>_xlfn.NUMBERVALUE("-0.000647")</f>
        <v/>
      </c>
      <c r="K1684">
        <f>_xlfn.NUMBERVALUE("0.002269")</f>
        <v/>
      </c>
      <c r="L1684">
        <f>_xlfn.NUMBERVALUE("0.000114")</f>
        <v/>
      </c>
      <c r="M1684">
        <f>_xlfn.NUMBERVALUE("0.003533")</f>
        <v/>
      </c>
      <c r="N1684">
        <f>_xlfn.NUMBERVALUE("0.001787")</f>
        <v/>
      </c>
      <c r="O1684">
        <f>_xlfn.NUMBERVALUE("0.005970")</f>
        <v/>
      </c>
      <c r="P1684">
        <f>_xlfn.NUMBERVALUE("0.004902")</f>
        <v/>
      </c>
      <c r="Q1684">
        <f>_xlfn.NUMBERVALUE("-0.000428")</f>
        <v/>
      </c>
      <c r="R1684">
        <f>_xlfn.NUMBERVALUE("0.001792")</f>
        <v/>
      </c>
      <c r="S1684">
        <f>_xlfn.NUMBERVALUE("0.000303")</f>
        <v/>
      </c>
      <c r="T1684">
        <f>_xlfn.NUMBERVALUE("0.000408")</f>
        <v/>
      </c>
      <c r="U1684">
        <f>_xlfn.NUMBERVALUE("0.001243")</f>
        <v/>
      </c>
      <c r="V1684">
        <f>_xlfn.NUMBERVALUE("0.000386")</f>
        <v/>
      </c>
      <c r="W1684">
        <f>_xlfn.NUMBERVALUE("-0.003288")</f>
        <v/>
      </c>
      <c r="X1684">
        <f>_xlfn.NUMBERVALUE("1.730000")</f>
        <v/>
      </c>
      <c r="Y1684">
        <f>_xlfn.NUMBERVALUE("18.140000")</f>
        <v/>
      </c>
    </row>
    <row r="1685">
      <c r="A1685" s="1" t="n">
        <v>44447</v>
      </c>
      <c r="B1685">
        <f>_xlfn.NUMBERVALUE("-0.002216")</f>
        <v/>
      </c>
      <c r="C1685" s="2">
        <f>_xlfn.NUMBERVALUE("-0.000632")</f>
        <v/>
      </c>
      <c r="D1685">
        <f>_xlfn.NUMBERVALUE("-0.000896")</f>
        <v/>
      </c>
      <c r="E1685">
        <f>_xlfn.NUMBERVALUE("0.000703")</f>
        <v/>
      </c>
      <c r="F1685">
        <f>_xlfn.NUMBERVALUE("0.001202")</f>
        <v/>
      </c>
      <c r="G1685">
        <f>_xlfn.NUMBERVALUE("-0.000742")</f>
        <v/>
      </c>
      <c r="H1685">
        <f>_xlfn.NUMBERVALUE("0.000645")</f>
        <v/>
      </c>
      <c r="I1685">
        <f>_xlfn.NUMBERVALUE("-0.000013")</f>
        <v/>
      </c>
      <c r="J1685">
        <f>_xlfn.NUMBERVALUE("0.000556")</f>
        <v/>
      </c>
      <c r="K1685">
        <f>_xlfn.NUMBERVALUE("0.001118")</f>
        <v/>
      </c>
      <c r="L1685">
        <f>_xlfn.NUMBERVALUE("0.000555")</f>
        <v/>
      </c>
      <c r="M1685">
        <f>_xlfn.NUMBERVALUE("0.005273")</f>
        <v/>
      </c>
      <c r="N1685">
        <f>_xlfn.NUMBERVALUE("-0.000558")</f>
        <v/>
      </c>
      <c r="O1685">
        <f>_xlfn.NUMBERVALUE("-0.001706")</f>
        <v/>
      </c>
      <c r="P1685">
        <f>_xlfn.NUMBERVALUE("0.002014")</f>
        <v/>
      </c>
      <c r="Q1685">
        <f>_xlfn.NUMBERVALUE("0.006834")</f>
        <v/>
      </c>
      <c r="R1685">
        <f>_xlfn.NUMBERVALUE("-0.000051")</f>
        <v/>
      </c>
      <c r="S1685">
        <f>_xlfn.NUMBERVALUE("-0.000352")</f>
        <v/>
      </c>
      <c r="T1685">
        <f>_xlfn.NUMBERVALUE("-0.001202")</f>
        <v/>
      </c>
      <c r="U1685">
        <f>_xlfn.NUMBERVALUE("0.000194")</f>
        <v/>
      </c>
      <c r="V1685">
        <f>_xlfn.NUMBERVALUE("0.000990")</f>
        <v/>
      </c>
      <c r="W1685">
        <f>_xlfn.NUMBERVALUE("-0.002302")</f>
        <v/>
      </c>
      <c r="X1685">
        <f>_xlfn.NUMBERVALUE("-0.180000")</f>
        <v/>
      </c>
      <c r="Y1685">
        <f>_xlfn.NUMBERVALUE("17.960000")</f>
        <v/>
      </c>
    </row>
    <row r="1686">
      <c r="A1686" s="1" t="n">
        <v>44448</v>
      </c>
      <c r="B1686">
        <f>_xlfn.NUMBERVALUE("0.007403")</f>
        <v/>
      </c>
      <c r="C1686" s="2">
        <f>_xlfn.NUMBERVALUE("0.000372")</f>
        <v/>
      </c>
      <c r="D1686">
        <f>_xlfn.NUMBERVALUE("0.000336")</f>
        <v/>
      </c>
      <c r="E1686">
        <f>_xlfn.NUMBERVALUE("0.000195")</f>
        <v/>
      </c>
      <c r="F1686">
        <f>_xlfn.NUMBERVALUE("0.000305")</f>
        <v/>
      </c>
      <c r="G1686">
        <f>_xlfn.NUMBERVALUE("0.000843")</f>
        <v/>
      </c>
      <c r="H1686">
        <f>_xlfn.NUMBERVALUE("0.000621")</f>
        <v/>
      </c>
      <c r="I1686">
        <f>_xlfn.NUMBERVALUE("-0.000524")</f>
        <v/>
      </c>
      <c r="J1686">
        <f>_xlfn.NUMBERVALUE("-0.000893")</f>
        <v/>
      </c>
      <c r="K1686">
        <f>_xlfn.NUMBERVALUE("0.000497")</f>
        <v/>
      </c>
      <c r="L1686">
        <f>_xlfn.NUMBERVALUE("0.000664")</f>
        <v/>
      </c>
      <c r="M1686">
        <f>_xlfn.NUMBERVALUE("0.000072")</f>
        <v/>
      </c>
      <c r="N1686">
        <f>_xlfn.NUMBERVALUE("0.002018")</f>
        <v/>
      </c>
      <c r="O1686">
        <f>_xlfn.NUMBERVALUE("0.000627")</f>
        <v/>
      </c>
      <c r="P1686">
        <f>_xlfn.NUMBERVALUE("0.000381")</f>
        <v/>
      </c>
      <c r="Q1686">
        <f>_xlfn.NUMBERVALUE("0.000035")</f>
        <v/>
      </c>
      <c r="R1686">
        <f>_xlfn.NUMBERVALUE("0.000002")</f>
        <v/>
      </c>
      <c r="S1686">
        <f>_xlfn.NUMBERVALUE("0.000437")</f>
        <v/>
      </c>
      <c r="T1686">
        <f>_xlfn.NUMBERVALUE("0.000038")</f>
        <v/>
      </c>
      <c r="U1686">
        <f>_xlfn.NUMBERVALUE("-0.000164")</f>
        <v/>
      </c>
      <c r="V1686">
        <f>_xlfn.NUMBERVALUE("-0.000189")</f>
        <v/>
      </c>
      <c r="W1686">
        <f>_xlfn.NUMBERVALUE("-0.001775")</f>
        <v/>
      </c>
      <c r="X1686">
        <f>_xlfn.NUMBERVALUE("0.840000")</f>
        <v/>
      </c>
      <c r="Y1686">
        <f>_xlfn.NUMBERVALUE("18.800000")</f>
        <v/>
      </c>
    </row>
    <row r="1687">
      <c r="A1687" s="1" t="n">
        <v>44449</v>
      </c>
      <c r="B1687">
        <f>_xlfn.NUMBERVALUE("0.000532")</f>
        <v/>
      </c>
      <c r="C1687" s="2">
        <f>_xlfn.NUMBERVALUE("-0.001604")</f>
        <v/>
      </c>
      <c r="D1687">
        <f>_xlfn.NUMBERVALUE("0.000139")</f>
        <v/>
      </c>
      <c r="E1687">
        <f>_xlfn.NUMBERVALUE("-0.000150")</f>
        <v/>
      </c>
      <c r="F1687">
        <f>_xlfn.NUMBERVALUE("0.000746")</f>
        <v/>
      </c>
      <c r="G1687">
        <f>_xlfn.NUMBERVALUE("-0.000007")</f>
        <v/>
      </c>
      <c r="H1687">
        <f>_xlfn.NUMBERVALUE("0.000093")</f>
        <v/>
      </c>
      <c r="I1687">
        <f>_xlfn.NUMBERVALUE("-0.003285")</f>
        <v/>
      </c>
      <c r="J1687">
        <f>_xlfn.NUMBERVALUE("0.000713")</f>
        <v/>
      </c>
      <c r="K1687">
        <f>_xlfn.NUMBERVALUE("0.001078")</f>
        <v/>
      </c>
      <c r="L1687">
        <f>_xlfn.NUMBERVALUE("0.000212")</f>
        <v/>
      </c>
      <c r="M1687">
        <f>_xlfn.NUMBERVALUE("-0.000251")</f>
        <v/>
      </c>
      <c r="N1687">
        <f>_xlfn.NUMBERVALUE("0.001567")</f>
        <v/>
      </c>
      <c r="O1687">
        <f>_xlfn.NUMBERVALUE("0.001131")</f>
        <v/>
      </c>
      <c r="P1687">
        <f>_xlfn.NUMBERVALUE("-0.001343")</f>
        <v/>
      </c>
      <c r="Q1687">
        <f>_xlfn.NUMBERVALUE("-0.000139")</f>
        <v/>
      </c>
      <c r="R1687">
        <f>_xlfn.NUMBERVALUE("-0.001129")</f>
        <v/>
      </c>
      <c r="S1687">
        <f>_xlfn.NUMBERVALUE("-0.000201")</f>
        <v/>
      </c>
      <c r="T1687">
        <f>_xlfn.NUMBERVALUE("-0.000225")</f>
        <v/>
      </c>
      <c r="U1687">
        <f>_xlfn.NUMBERVALUE("-0.000446")</f>
        <v/>
      </c>
      <c r="V1687">
        <f>_xlfn.NUMBERVALUE("-0.001924")</f>
        <v/>
      </c>
      <c r="W1687">
        <f>_xlfn.NUMBERVALUE("-0.008758")</f>
        <v/>
      </c>
      <c r="X1687">
        <f>_xlfn.NUMBERVALUE("2.150000")</f>
        <v/>
      </c>
      <c r="Y1687">
        <f>_xlfn.NUMBERVALUE("20.950000")</f>
        <v/>
      </c>
    </row>
    <row r="1688">
      <c r="A1688" s="1" t="n">
        <v>44452</v>
      </c>
      <c r="B1688">
        <f>_xlfn.NUMBERVALUE("0.001904")</f>
        <v/>
      </c>
      <c r="C1688" s="2">
        <f>_xlfn.NUMBERVALUE("0.001408")</f>
        <v/>
      </c>
      <c r="D1688">
        <f>_xlfn.NUMBERVALUE("0.001086")</f>
        <v/>
      </c>
      <c r="E1688">
        <f>_xlfn.NUMBERVALUE("-0.000407")</f>
        <v/>
      </c>
      <c r="F1688">
        <f>_xlfn.NUMBERVALUE("0.001573")</f>
        <v/>
      </c>
      <c r="G1688">
        <f>_xlfn.NUMBERVALUE("-0.000692")</f>
        <v/>
      </c>
      <c r="H1688">
        <f>_xlfn.NUMBERVALUE("0.000741")</f>
        <v/>
      </c>
      <c r="I1688">
        <f>_xlfn.NUMBERVALUE("0.002731")</f>
        <v/>
      </c>
      <c r="J1688">
        <f>_xlfn.NUMBERVALUE("-0.000150")</f>
        <v/>
      </c>
      <c r="K1688">
        <f>_xlfn.NUMBERVALUE("0.001163")</f>
        <v/>
      </c>
      <c r="L1688">
        <f>_xlfn.NUMBERVALUE("-0.000580")</f>
        <v/>
      </c>
      <c r="M1688">
        <f>_xlfn.NUMBERVALUE("0.002142")</f>
        <v/>
      </c>
      <c r="N1688">
        <f>_xlfn.NUMBERVALUE("0.001345")</f>
        <v/>
      </c>
      <c r="O1688">
        <f>_xlfn.NUMBERVALUE("-0.002769")</f>
        <v/>
      </c>
      <c r="P1688">
        <f>_xlfn.NUMBERVALUE("0.000317")</f>
        <v/>
      </c>
      <c r="Q1688">
        <f>_xlfn.NUMBERVALUE("0.001880")</f>
        <v/>
      </c>
      <c r="R1688">
        <f>_xlfn.NUMBERVALUE("0.002860")</f>
        <v/>
      </c>
      <c r="S1688">
        <f>_xlfn.NUMBERVALUE("0.001749")</f>
        <v/>
      </c>
      <c r="T1688">
        <f>_xlfn.NUMBERVALUE("0.000988")</f>
        <v/>
      </c>
      <c r="U1688">
        <f>_xlfn.NUMBERVALUE("0.001686")</f>
        <v/>
      </c>
      <c r="V1688">
        <f>_xlfn.NUMBERVALUE("0.002022")</f>
        <v/>
      </c>
      <c r="W1688">
        <f>_xlfn.NUMBERVALUE("-0.000381")</f>
        <v/>
      </c>
      <c r="X1688">
        <f>_xlfn.NUMBERVALUE("-1.580000")</f>
        <v/>
      </c>
      <c r="Y1688">
        <f>_xlfn.NUMBERVALUE("19.370000")</f>
        <v/>
      </c>
    </row>
    <row r="1689">
      <c r="A1689" s="1" t="n">
        <v>44453</v>
      </c>
      <c r="B1689">
        <f>_xlfn.NUMBERVALUE("0.002212")</f>
        <v/>
      </c>
      <c r="C1689" s="2">
        <f>_xlfn.NUMBERVALUE("-0.000674")</f>
        <v/>
      </c>
      <c r="D1689">
        <f>_xlfn.NUMBERVALUE("0.000282")</f>
        <v/>
      </c>
      <c r="E1689">
        <f>_xlfn.NUMBERVALUE("0.000548")</f>
        <v/>
      </c>
      <c r="F1689">
        <f>_xlfn.NUMBERVALUE("0.000287")</f>
        <v/>
      </c>
      <c r="G1689">
        <f>_xlfn.NUMBERVALUE("-0.000386")</f>
        <v/>
      </c>
      <c r="H1689">
        <f>_xlfn.NUMBERVALUE("-0.000078")</f>
        <v/>
      </c>
      <c r="I1689">
        <f>_xlfn.NUMBERVALUE("-0.000143")</f>
        <v/>
      </c>
      <c r="J1689">
        <f>_xlfn.NUMBERVALUE("-0.000447")</f>
        <v/>
      </c>
      <c r="K1689">
        <f>_xlfn.NUMBERVALUE("0.002219")</f>
        <v/>
      </c>
      <c r="L1689">
        <f>_xlfn.NUMBERVALUE("-0.001935")</f>
        <v/>
      </c>
      <c r="M1689">
        <f>_xlfn.NUMBERVALUE("-0.000497")</f>
        <v/>
      </c>
      <c r="N1689">
        <f>_xlfn.NUMBERVALUE("0.003010")</f>
        <v/>
      </c>
      <c r="O1689">
        <f>_xlfn.NUMBERVALUE("-0.000446")</f>
        <v/>
      </c>
      <c r="P1689">
        <f>_xlfn.NUMBERVALUE("-0.002083")</f>
        <v/>
      </c>
      <c r="Q1689">
        <f>_xlfn.NUMBERVALUE("-0.000471")</f>
        <v/>
      </c>
      <c r="R1689">
        <f>_xlfn.NUMBERVALUE("0.001210")</f>
        <v/>
      </c>
      <c r="S1689">
        <f>_xlfn.NUMBERVALUE("-0.000105")</f>
        <v/>
      </c>
      <c r="T1689">
        <f>_xlfn.NUMBERVALUE("-0.000154")</f>
        <v/>
      </c>
      <c r="U1689">
        <f>_xlfn.NUMBERVALUE("0.000301")</f>
        <v/>
      </c>
      <c r="V1689">
        <f>_xlfn.NUMBERVALUE("0.000744")</f>
        <v/>
      </c>
      <c r="W1689">
        <f>_xlfn.NUMBERVALUE("-0.004486")</f>
        <v/>
      </c>
      <c r="X1689">
        <f>_xlfn.NUMBERVALUE("0.090000")</f>
        <v/>
      </c>
      <c r="Y1689">
        <f>_xlfn.NUMBERVALUE("19.460000")</f>
        <v/>
      </c>
    </row>
    <row r="1690">
      <c r="A1690" s="1" t="n">
        <v>44454</v>
      </c>
      <c r="B1690">
        <f>_xlfn.NUMBERVALUE("0.003524")</f>
        <v/>
      </c>
      <c r="C1690" s="2">
        <f>_xlfn.NUMBERVALUE("0.002347")</f>
        <v/>
      </c>
      <c r="D1690">
        <f>_xlfn.NUMBERVALUE("0.002305")</f>
        <v/>
      </c>
      <c r="E1690">
        <f>_xlfn.NUMBERVALUE("0.001839")</f>
        <v/>
      </c>
      <c r="F1690">
        <f>_xlfn.NUMBERVALUE("-0.000072")</f>
        <v/>
      </c>
      <c r="G1690">
        <f>_xlfn.NUMBERVALUE("0.000881")</f>
        <v/>
      </c>
      <c r="H1690">
        <f>_xlfn.NUMBERVALUE("0.000038")</f>
        <v/>
      </c>
      <c r="I1690">
        <f>_xlfn.NUMBERVALUE("0.002021")</f>
        <v/>
      </c>
      <c r="J1690">
        <f>_xlfn.NUMBERVALUE("0.000397")</f>
        <v/>
      </c>
      <c r="K1690">
        <f>_xlfn.NUMBERVALUE("0.002370")</f>
        <v/>
      </c>
      <c r="L1690">
        <f>_xlfn.NUMBERVALUE("0.000329")</f>
        <v/>
      </c>
      <c r="M1690">
        <f>_xlfn.NUMBERVALUE("0.001525")</f>
        <v/>
      </c>
      <c r="N1690">
        <f>_xlfn.NUMBERVALUE("0.000494")</f>
        <v/>
      </c>
      <c r="O1690">
        <f>_xlfn.NUMBERVALUE("-0.009658")</f>
        <v/>
      </c>
      <c r="P1690">
        <f>_xlfn.NUMBERVALUE("0.002587")</f>
        <v/>
      </c>
      <c r="Q1690">
        <f>_xlfn.NUMBERVALUE("0.001426")</f>
        <v/>
      </c>
      <c r="R1690">
        <f>_xlfn.NUMBERVALUE("0.002029")</f>
        <v/>
      </c>
      <c r="S1690">
        <f>_xlfn.NUMBERVALUE("0.000979")</f>
        <v/>
      </c>
      <c r="T1690">
        <f>_xlfn.NUMBERVALUE("0.001267")</f>
        <v/>
      </c>
      <c r="U1690">
        <f>_xlfn.NUMBERVALUE("0.001198")</f>
        <v/>
      </c>
      <c r="V1690">
        <f>_xlfn.NUMBERVALUE("0.000769")</f>
        <v/>
      </c>
      <c r="W1690">
        <f>_xlfn.NUMBERVALUE("0.010208")</f>
        <v/>
      </c>
      <c r="X1690">
        <f>_xlfn.NUMBERVALUE("-1.280000")</f>
        <v/>
      </c>
      <c r="Y1690">
        <f>_xlfn.NUMBERVALUE("18.180000")</f>
        <v/>
      </c>
    </row>
    <row r="1691">
      <c r="A1691" s="1" t="n">
        <v>44455</v>
      </c>
      <c r="B1691">
        <f>_xlfn.NUMBERVALUE("0.002457")</f>
        <v/>
      </c>
      <c r="C1691" s="2">
        <f>_xlfn.NUMBERVALUE("0.000110")</f>
        <v/>
      </c>
      <c r="D1691">
        <f>_xlfn.NUMBERVALUE("-0.000579")</f>
        <v/>
      </c>
      <c r="E1691">
        <f>_xlfn.NUMBERVALUE("0.001300")</f>
        <v/>
      </c>
      <c r="F1691">
        <f>_xlfn.NUMBERVALUE("-0.006441")</f>
        <v/>
      </c>
      <c r="G1691">
        <f>_xlfn.NUMBERVALUE("-0.000679")</f>
        <v/>
      </c>
      <c r="H1691">
        <f>_xlfn.NUMBERVALUE("-0.000080")</f>
        <v/>
      </c>
      <c r="I1691">
        <f>_xlfn.NUMBERVALUE("0.002934")</f>
        <v/>
      </c>
      <c r="J1691">
        <f>_xlfn.NUMBERVALUE("0.000320")</f>
        <v/>
      </c>
      <c r="K1691">
        <f>_xlfn.NUMBERVALUE("-0.011295")</f>
        <v/>
      </c>
      <c r="L1691">
        <f>_xlfn.NUMBERVALUE("0.000756")</f>
        <v/>
      </c>
      <c r="M1691">
        <f>_xlfn.NUMBERVALUE("0.000089")</f>
        <v/>
      </c>
      <c r="N1691">
        <f>_xlfn.NUMBERVALUE("0.000834")</f>
        <v/>
      </c>
      <c r="O1691">
        <f>_xlfn.NUMBERVALUE("0.002220")</f>
        <v/>
      </c>
      <c r="P1691">
        <f>_xlfn.NUMBERVALUE("0.001751")</f>
        <v/>
      </c>
      <c r="Q1691">
        <f>_xlfn.NUMBERVALUE("0.001403")</f>
        <v/>
      </c>
      <c r="R1691">
        <f>_xlfn.NUMBERVALUE("0.001160")</f>
        <v/>
      </c>
      <c r="S1691">
        <f>_xlfn.NUMBERVALUE("0.000657")</f>
        <v/>
      </c>
      <c r="T1691">
        <f>_xlfn.NUMBERVALUE("0.000423")</f>
        <v/>
      </c>
      <c r="U1691">
        <f>_xlfn.NUMBERVALUE("0.000172")</f>
        <v/>
      </c>
      <c r="V1691">
        <f>_xlfn.NUMBERVALUE("0.000573")</f>
        <v/>
      </c>
      <c r="W1691">
        <f>_xlfn.NUMBERVALUE("-0.001718")</f>
        <v/>
      </c>
      <c r="X1691">
        <f>_xlfn.NUMBERVALUE("0.510000")</f>
        <v/>
      </c>
      <c r="Y1691">
        <f>_xlfn.NUMBERVALUE("18.690000")</f>
        <v/>
      </c>
    </row>
    <row r="1692">
      <c r="A1692" s="1" t="n">
        <v>44456</v>
      </c>
      <c r="B1692">
        <f>_xlfn.NUMBERVALUE("-0.001786")</f>
        <v/>
      </c>
      <c r="C1692" s="2">
        <f>_xlfn.NUMBERVALUE("-0.000093")</f>
        <v/>
      </c>
      <c r="D1692">
        <f>_xlfn.NUMBERVALUE("0.000868")</f>
        <v/>
      </c>
      <c r="E1692">
        <f>_xlfn.NUMBERVALUE("-0.001840")</f>
        <v/>
      </c>
      <c r="F1692">
        <f>_xlfn.NUMBERVALUE("0.000558")</f>
        <v/>
      </c>
      <c r="G1692">
        <f>_xlfn.NUMBERVALUE("-0.000087")</f>
        <v/>
      </c>
      <c r="H1692">
        <f>_xlfn.NUMBERVALUE("-0.000835")</f>
        <v/>
      </c>
      <c r="I1692">
        <f>_xlfn.NUMBERVALUE("-0.000298")</f>
        <v/>
      </c>
      <c r="J1692">
        <f>_xlfn.NUMBERVALUE("-0.000294")</f>
        <v/>
      </c>
      <c r="K1692">
        <f>_xlfn.NUMBERVALUE("-0.003621")</f>
        <v/>
      </c>
      <c r="L1692">
        <f>_xlfn.NUMBERVALUE("0.000295")</f>
        <v/>
      </c>
      <c r="M1692">
        <f>_xlfn.NUMBERVALUE("-0.003467")</f>
        <v/>
      </c>
      <c r="N1692">
        <f>_xlfn.NUMBERVALUE("0.000155")</f>
        <v/>
      </c>
      <c r="O1692">
        <f>_xlfn.NUMBERVALUE("0.001806")</f>
        <v/>
      </c>
      <c r="P1692">
        <f>_xlfn.NUMBERVALUE("-0.000124")</f>
        <v/>
      </c>
      <c r="Q1692">
        <f>_xlfn.NUMBERVALUE("-0.001180")</f>
        <v/>
      </c>
      <c r="R1692">
        <f>_xlfn.NUMBERVALUE("-0.002479")</f>
        <v/>
      </c>
      <c r="S1692">
        <f>_xlfn.NUMBERVALUE("-0.000311")</f>
        <v/>
      </c>
      <c r="T1692">
        <f>_xlfn.NUMBERVALUE("-0.002603")</f>
        <v/>
      </c>
      <c r="U1692">
        <f>_xlfn.NUMBERVALUE("-0.000713")</f>
        <v/>
      </c>
      <c r="V1692">
        <f>_xlfn.NUMBERVALUE("-0.001893")</f>
        <v/>
      </c>
      <c r="W1692">
        <f>_xlfn.NUMBERVALUE("-0.013429")</f>
        <v/>
      </c>
      <c r="X1692">
        <f>_xlfn.NUMBERVALUE("2.120000")</f>
        <v/>
      </c>
      <c r="Y1692">
        <f>_xlfn.NUMBERVALUE("20.810000")</f>
        <v/>
      </c>
    </row>
    <row r="1693">
      <c r="A1693" s="1" t="n">
        <v>44459</v>
      </c>
      <c r="B1693">
        <f>_xlfn.NUMBERVALUE("-0.019942")</f>
        <v/>
      </c>
      <c r="C1693" s="2">
        <f>_xlfn.NUMBERVALUE("-0.005765")</f>
        <v/>
      </c>
      <c r="D1693">
        <f>_xlfn.NUMBERVALUE("-0.007623")</f>
        <v/>
      </c>
      <c r="E1693">
        <f>_xlfn.NUMBERVALUE("-0.008788")</f>
        <v/>
      </c>
      <c r="F1693">
        <f>_xlfn.NUMBERVALUE("-0.000451")</f>
        <v/>
      </c>
      <c r="G1693">
        <f>_xlfn.NUMBERVALUE("0.000238")</f>
        <v/>
      </c>
      <c r="H1693">
        <f>_xlfn.NUMBERVALUE("-0.000060")</f>
        <v/>
      </c>
      <c r="I1693">
        <f>_xlfn.NUMBERVALUE("-0.005771")</f>
        <v/>
      </c>
      <c r="J1693">
        <f>_xlfn.NUMBERVALUE("-0.000009")</f>
        <v/>
      </c>
      <c r="K1693">
        <f>_xlfn.NUMBERVALUE("-0.000781")</f>
        <v/>
      </c>
      <c r="L1693">
        <f>_xlfn.NUMBERVALUE("-0.002328")</f>
        <v/>
      </c>
      <c r="M1693">
        <f>_xlfn.NUMBERVALUE("-0.006754")</f>
        <v/>
      </c>
      <c r="N1693">
        <f>_xlfn.NUMBERVALUE("-0.008309")</f>
        <v/>
      </c>
      <c r="O1693">
        <f>_xlfn.NUMBERVALUE("-0.019338")</f>
        <v/>
      </c>
      <c r="P1693">
        <f>_xlfn.NUMBERVALUE("-0.011907")</f>
        <v/>
      </c>
      <c r="Q1693">
        <f>_xlfn.NUMBERVALUE("-0.004587")</f>
        <v/>
      </c>
      <c r="R1693">
        <f>_xlfn.NUMBERVALUE("-0.008118")</f>
        <v/>
      </c>
      <c r="S1693">
        <f>_xlfn.NUMBERVALUE("-0.002428")</f>
        <v/>
      </c>
      <c r="T1693">
        <f>_xlfn.NUMBERVALUE("0.001132")</f>
        <v/>
      </c>
      <c r="U1693">
        <f>_xlfn.NUMBERVALUE("-0.011649")</f>
        <v/>
      </c>
      <c r="V1693">
        <f>_xlfn.NUMBERVALUE("-0.004594")</f>
        <v/>
      </c>
      <c r="W1693">
        <f>_xlfn.NUMBERVALUE("-0.021017")</f>
        <v/>
      </c>
      <c r="X1693">
        <f>_xlfn.NUMBERVALUE("4.900000")</f>
        <v/>
      </c>
      <c r="Y1693">
        <f>_xlfn.NUMBERVALUE("25.710000")</f>
        <v/>
      </c>
    </row>
    <row r="1694">
      <c r="A1694" s="1" t="n">
        <v>44460</v>
      </c>
      <c r="B1694">
        <f>_xlfn.NUMBERVALUE("0.003686")</f>
        <v/>
      </c>
      <c r="C1694" s="2">
        <f>_xlfn.NUMBERVALUE("0.002113")</f>
        <v/>
      </c>
      <c r="D1694">
        <f>_xlfn.NUMBERVALUE("0.001948")</f>
        <v/>
      </c>
      <c r="E1694">
        <f>_xlfn.NUMBERVALUE("0.001905")</f>
        <v/>
      </c>
      <c r="F1694">
        <f>_xlfn.NUMBERVALUE("0.001442")</f>
        <v/>
      </c>
      <c r="G1694">
        <f>_xlfn.NUMBERVALUE("0.000958")</f>
        <v/>
      </c>
      <c r="H1694">
        <f>_xlfn.NUMBERVALUE("0.000753")</f>
        <v/>
      </c>
      <c r="I1694">
        <f>_xlfn.NUMBERVALUE("0.001925")</f>
        <v/>
      </c>
      <c r="J1694">
        <f>_xlfn.NUMBERVALUE("0.000265")</f>
        <v/>
      </c>
      <c r="K1694">
        <f>_xlfn.NUMBERVALUE("0.002375")</f>
        <v/>
      </c>
      <c r="L1694">
        <f>_xlfn.NUMBERVALUE("0.001237")</f>
        <v/>
      </c>
      <c r="M1694">
        <f>_xlfn.NUMBERVALUE("0.003207")</f>
        <v/>
      </c>
      <c r="N1694">
        <f>_xlfn.NUMBERVALUE("0.002765")</f>
        <v/>
      </c>
      <c r="O1694">
        <f>_xlfn.NUMBERVALUE("0.006720")</f>
        <v/>
      </c>
      <c r="P1694">
        <f>_xlfn.NUMBERVALUE("0.004494")</f>
        <v/>
      </c>
      <c r="Q1694">
        <f>_xlfn.NUMBERVALUE("0.002729")</f>
        <v/>
      </c>
      <c r="R1694">
        <f>_xlfn.NUMBERVALUE("0.002964")</f>
        <v/>
      </c>
      <c r="S1694">
        <f>_xlfn.NUMBERVALUE("0.001383")</f>
        <v/>
      </c>
      <c r="T1694">
        <f>_xlfn.NUMBERVALUE("0.003170")</f>
        <v/>
      </c>
      <c r="U1694">
        <f>_xlfn.NUMBERVALUE("0.002792")</f>
        <v/>
      </c>
      <c r="V1694">
        <f>_xlfn.NUMBERVALUE("0.001165")</f>
        <v/>
      </c>
      <c r="W1694">
        <f>_xlfn.NUMBERVALUE("0.006154")</f>
        <v/>
      </c>
      <c r="X1694">
        <f>_xlfn.NUMBERVALUE("-1.350000")</f>
        <v/>
      </c>
      <c r="Y1694">
        <f>_xlfn.NUMBERVALUE("24.360000")</f>
        <v/>
      </c>
    </row>
    <row r="1695">
      <c r="A1695" s="1" t="n">
        <v>44461</v>
      </c>
      <c r="B1695">
        <f>_xlfn.NUMBERVALUE("0.002778")</f>
        <v/>
      </c>
      <c r="C1695" s="2">
        <f>_xlfn.NUMBERVALUE("0.001147")</f>
        <v/>
      </c>
      <c r="D1695">
        <f>_xlfn.NUMBERVALUE("0.001065")</f>
        <v/>
      </c>
      <c r="E1695">
        <f>_xlfn.NUMBERVALUE("0.002692")</f>
        <v/>
      </c>
      <c r="F1695">
        <f>_xlfn.NUMBERVALUE("0.000205")</f>
        <v/>
      </c>
      <c r="G1695">
        <f>_xlfn.NUMBERVALUE("0.000815")</f>
        <v/>
      </c>
      <c r="H1695">
        <f>_xlfn.NUMBERVALUE("0.000662")</f>
        <v/>
      </c>
      <c r="I1695">
        <f>_xlfn.NUMBERVALUE("0.000968")</f>
        <v/>
      </c>
      <c r="J1695">
        <f>_xlfn.NUMBERVALUE("0.000336")</f>
        <v/>
      </c>
      <c r="K1695">
        <f>_xlfn.NUMBERVALUE("0.001748")</f>
        <v/>
      </c>
      <c r="L1695">
        <f>_xlfn.NUMBERVALUE("0.000203")</f>
        <v/>
      </c>
      <c r="M1695">
        <f>_xlfn.NUMBERVALUE("0.002055")</f>
        <v/>
      </c>
      <c r="N1695">
        <f>_xlfn.NUMBERVALUE("0.002872")</f>
        <v/>
      </c>
      <c r="O1695">
        <f>_xlfn.NUMBERVALUE("-0.000696")</f>
        <v/>
      </c>
      <c r="P1695">
        <f>_xlfn.NUMBERVALUE("0.002156")</f>
        <v/>
      </c>
      <c r="Q1695">
        <f>_xlfn.NUMBERVALUE("0.002408")</f>
        <v/>
      </c>
      <c r="R1695">
        <f>_xlfn.NUMBERVALUE("0.000971")</f>
        <v/>
      </c>
      <c r="S1695">
        <f>_xlfn.NUMBERVALUE("0.000898")</f>
        <v/>
      </c>
      <c r="T1695">
        <f>_xlfn.NUMBERVALUE("-0.000128")</f>
        <v/>
      </c>
      <c r="U1695">
        <f>_xlfn.NUMBERVALUE("0.001494")</f>
        <v/>
      </c>
      <c r="V1695">
        <f>_xlfn.NUMBERVALUE("0.000969")</f>
        <v/>
      </c>
      <c r="W1695">
        <f>_xlfn.NUMBERVALUE("0.008001")</f>
        <v/>
      </c>
      <c r="X1695">
        <f>_xlfn.NUMBERVALUE("-3.490000")</f>
        <v/>
      </c>
      <c r="Y1695">
        <f>_xlfn.NUMBERVALUE("20.870000")</f>
        <v/>
      </c>
    </row>
    <row r="1696">
      <c r="A1696" s="1" t="n">
        <v>44462</v>
      </c>
      <c r="B1696">
        <f>_xlfn.NUMBERVALUE("0.003408")</f>
        <v/>
      </c>
      <c r="C1696" s="2">
        <f>_xlfn.NUMBERVALUE("0.000456")</f>
        <v/>
      </c>
      <c r="D1696">
        <f>_xlfn.NUMBERVALUE("0.001653")</f>
        <v/>
      </c>
      <c r="E1696">
        <f>_xlfn.NUMBERVALUE("0.000536")</f>
        <v/>
      </c>
      <c r="F1696">
        <f>_xlfn.NUMBERVALUE("-0.001250")</f>
        <v/>
      </c>
      <c r="G1696">
        <f>_xlfn.NUMBERVALUE("0.000330")</f>
        <v/>
      </c>
      <c r="H1696">
        <f>_xlfn.NUMBERVALUE("-0.003024")</f>
        <v/>
      </c>
      <c r="I1696">
        <f>_xlfn.NUMBERVALUE("0.000420")</f>
        <v/>
      </c>
      <c r="J1696">
        <f>_xlfn.NUMBERVALUE("-0.000051")</f>
        <v/>
      </c>
      <c r="K1696">
        <f>_xlfn.NUMBERVALUE("0.001250")</f>
        <v/>
      </c>
      <c r="L1696">
        <f>_xlfn.NUMBERVALUE("-0.003435")</f>
        <v/>
      </c>
      <c r="M1696">
        <f>_xlfn.NUMBERVALUE("0.000377")</f>
        <v/>
      </c>
      <c r="N1696">
        <f>_xlfn.NUMBERVALUE("0.000712")</f>
        <v/>
      </c>
      <c r="O1696">
        <f>_xlfn.NUMBERVALUE("-0.006574")</f>
        <v/>
      </c>
      <c r="P1696">
        <f>_xlfn.NUMBERVALUE("-0.004544")</f>
        <v/>
      </c>
      <c r="Q1696">
        <f>_xlfn.NUMBERVALUE("0.001413")</f>
        <v/>
      </c>
      <c r="R1696">
        <f>_xlfn.NUMBERVALUE("0.001392")</f>
        <v/>
      </c>
      <c r="S1696">
        <f>_xlfn.NUMBERVALUE("0.000993")</f>
        <v/>
      </c>
      <c r="T1696">
        <f>_xlfn.NUMBERVALUE("-0.001899")</f>
        <v/>
      </c>
      <c r="U1696">
        <f>_xlfn.NUMBERVALUE("0.002140")</f>
        <v/>
      </c>
      <c r="V1696">
        <f>_xlfn.NUMBERVALUE("0.000067")</f>
        <v/>
      </c>
      <c r="W1696">
        <f>_xlfn.NUMBERVALUE("0.011747")</f>
        <v/>
      </c>
      <c r="X1696">
        <f>_xlfn.NUMBERVALUE("-2.240000")</f>
        <v/>
      </c>
      <c r="Y1696">
        <f>_xlfn.NUMBERVALUE("18.630000")</f>
        <v/>
      </c>
    </row>
    <row r="1697">
      <c r="A1697" s="1" t="n">
        <v>44463</v>
      </c>
      <c r="B1697">
        <f>_xlfn.NUMBERVALUE("-0.003208")</f>
        <v/>
      </c>
      <c r="C1697" s="2">
        <f>_xlfn.NUMBERVALUE("0.001749")</f>
        <v/>
      </c>
      <c r="D1697">
        <f>_xlfn.NUMBERVALUE("-0.000024")</f>
        <v/>
      </c>
      <c r="E1697">
        <f>_xlfn.NUMBERVALUE("0.001248")</f>
        <v/>
      </c>
      <c r="F1697">
        <f>_xlfn.NUMBERVALUE("0.001066")</f>
        <v/>
      </c>
      <c r="G1697">
        <f>_xlfn.NUMBERVALUE("-0.000744")</f>
        <v/>
      </c>
      <c r="H1697">
        <f>_xlfn.NUMBERVALUE("-0.000292")</f>
        <v/>
      </c>
      <c r="I1697">
        <f>_xlfn.NUMBERVALUE("0.002553")</f>
        <v/>
      </c>
      <c r="J1697">
        <f>_xlfn.NUMBERVALUE("-0.000005")</f>
        <v/>
      </c>
      <c r="K1697">
        <f>_xlfn.NUMBERVALUE("0.000781")</f>
        <v/>
      </c>
      <c r="L1697">
        <f>_xlfn.NUMBERVALUE("-0.000478")</f>
        <v/>
      </c>
      <c r="M1697">
        <f>_xlfn.NUMBERVALUE("0.002407")</f>
        <v/>
      </c>
      <c r="N1697">
        <f>_xlfn.NUMBERVALUE("0.001309")</f>
        <v/>
      </c>
      <c r="O1697">
        <f>_xlfn.NUMBERVALUE("-0.000387")</f>
        <v/>
      </c>
      <c r="P1697">
        <f>_xlfn.NUMBERVALUE("0.000614")</f>
        <v/>
      </c>
      <c r="Q1697">
        <f>_xlfn.NUMBERVALUE("0.002117")</f>
        <v/>
      </c>
      <c r="R1697">
        <f>_xlfn.NUMBERVALUE("0.002158")</f>
        <v/>
      </c>
      <c r="S1697">
        <f>_xlfn.NUMBERVALUE("0.001564")</f>
        <v/>
      </c>
      <c r="T1697">
        <f>_xlfn.NUMBERVALUE("0.002127")</f>
        <v/>
      </c>
      <c r="U1697">
        <f>_xlfn.NUMBERVALUE("0.001421")</f>
        <v/>
      </c>
      <c r="V1697">
        <f>_xlfn.NUMBERVALUE("0.001702")</f>
        <v/>
      </c>
      <c r="W1697">
        <f>_xlfn.NUMBERVALUE("0.002300")</f>
        <v/>
      </c>
      <c r="X1697">
        <f>_xlfn.NUMBERVALUE("-0.880000")</f>
        <v/>
      </c>
      <c r="Y1697">
        <f>_xlfn.NUMBERVALUE("17.750000")</f>
        <v/>
      </c>
    </row>
    <row r="1698">
      <c r="A1698" s="1" t="n">
        <v>44466</v>
      </c>
      <c r="B1698">
        <f>_xlfn.NUMBERVALUE("0.003965")</f>
        <v/>
      </c>
      <c r="C1698" s="2">
        <f>_xlfn.NUMBERVALUE("0.001044")</f>
        <v/>
      </c>
      <c r="D1698">
        <f>_xlfn.NUMBERVALUE("0.000721")</f>
        <v/>
      </c>
      <c r="E1698">
        <f>_xlfn.NUMBERVALUE("0.001130")</f>
        <v/>
      </c>
      <c r="F1698">
        <f>_xlfn.NUMBERVALUE("0.000387")</f>
        <v/>
      </c>
      <c r="G1698">
        <f>_xlfn.NUMBERVALUE("0.001336")</f>
        <v/>
      </c>
      <c r="H1698">
        <f>_xlfn.NUMBERVALUE("0.000153")</f>
        <v/>
      </c>
      <c r="I1698">
        <f>_xlfn.NUMBERVALUE("-0.000271")</f>
        <v/>
      </c>
      <c r="J1698">
        <f>_xlfn.NUMBERVALUE("0.000087")</f>
        <v/>
      </c>
      <c r="K1698">
        <f>_xlfn.NUMBERVALUE("0.002195")</f>
        <v/>
      </c>
      <c r="L1698">
        <f>_xlfn.NUMBERVALUE("0.000616")</f>
        <v/>
      </c>
      <c r="M1698">
        <f>_xlfn.NUMBERVALUE("0.001232")</f>
        <v/>
      </c>
      <c r="N1698">
        <f>_xlfn.NUMBERVALUE("-0.001678")</f>
        <v/>
      </c>
      <c r="O1698">
        <f>_xlfn.NUMBERVALUE("-0.002320")</f>
        <v/>
      </c>
      <c r="P1698">
        <f>_xlfn.NUMBERVALUE("-0.000630")</f>
        <v/>
      </c>
      <c r="Q1698">
        <f>_xlfn.NUMBERVALUE("0.000408")</f>
        <v/>
      </c>
      <c r="R1698">
        <f>_xlfn.NUMBERVALUE("-0.000227")</f>
        <v/>
      </c>
      <c r="S1698">
        <f>_xlfn.NUMBERVALUE("-0.000087")</f>
        <v/>
      </c>
      <c r="T1698">
        <f>_xlfn.NUMBERVALUE("-0.001026")</f>
        <v/>
      </c>
      <c r="U1698">
        <f>_xlfn.NUMBERVALUE("0.000502")</f>
        <v/>
      </c>
      <c r="V1698">
        <f>_xlfn.NUMBERVALUE("0.000544")</f>
        <v/>
      </c>
      <c r="W1698">
        <f>_xlfn.NUMBERVALUE("-0.003374")</f>
        <v/>
      </c>
      <c r="X1698">
        <f>_xlfn.NUMBERVALUE("1.010000")</f>
        <v/>
      </c>
      <c r="Y1698">
        <f>_xlfn.NUMBERVALUE("18.760000")</f>
        <v/>
      </c>
    </row>
    <row r="1699">
      <c r="A1699" s="1" t="n">
        <v>44467</v>
      </c>
      <c r="B1699">
        <f>_xlfn.NUMBERVALUE("-0.012199")</f>
        <v/>
      </c>
      <c r="C1699" s="2">
        <f>_xlfn.NUMBERVALUE("-0.004103")</f>
        <v/>
      </c>
      <c r="D1699">
        <f>_xlfn.NUMBERVALUE("-0.004077")</f>
        <v/>
      </c>
      <c r="E1699">
        <f>_xlfn.NUMBERVALUE("-0.006067")</f>
        <v/>
      </c>
      <c r="F1699">
        <f>_xlfn.NUMBERVALUE("-0.000396")</f>
        <v/>
      </c>
      <c r="G1699">
        <f>_xlfn.NUMBERVALUE("0.000454")</f>
        <v/>
      </c>
      <c r="H1699">
        <f>_xlfn.NUMBERVALUE("-0.000396")</f>
        <v/>
      </c>
      <c r="I1699">
        <f>_xlfn.NUMBERVALUE("-0.007807")</f>
        <v/>
      </c>
      <c r="J1699">
        <f>_xlfn.NUMBERVALUE("-0.001540")</f>
        <v/>
      </c>
      <c r="K1699">
        <f>_xlfn.NUMBERVALUE("-0.000158")</f>
        <v/>
      </c>
      <c r="L1699">
        <f>_xlfn.NUMBERVALUE("-0.004125")</f>
        <v/>
      </c>
      <c r="M1699">
        <f>_xlfn.NUMBERVALUE("-0.003768")</f>
        <v/>
      </c>
      <c r="N1699">
        <f>_xlfn.NUMBERVALUE("-0.007432")</f>
        <v/>
      </c>
      <c r="O1699">
        <f>_xlfn.NUMBERVALUE("-0.000420")</f>
        <v/>
      </c>
      <c r="P1699">
        <f>_xlfn.NUMBERVALUE("-0.003647")</f>
        <v/>
      </c>
      <c r="Q1699">
        <f>_xlfn.NUMBERVALUE("-0.004638")</f>
        <v/>
      </c>
      <c r="R1699">
        <f>_xlfn.NUMBERVALUE("-0.007869")</f>
        <v/>
      </c>
      <c r="S1699">
        <f>_xlfn.NUMBERVALUE("-0.002103")</f>
        <v/>
      </c>
      <c r="T1699">
        <f>_xlfn.NUMBERVALUE("0.000528")</f>
        <v/>
      </c>
      <c r="U1699">
        <f>_xlfn.NUMBERVALUE("-0.007611")</f>
        <v/>
      </c>
      <c r="V1699">
        <f>_xlfn.NUMBERVALUE("-0.002539")</f>
        <v/>
      </c>
      <c r="W1699">
        <f>_xlfn.NUMBERVALUE("-0.019681")</f>
        <v/>
      </c>
      <c r="X1699">
        <f>_xlfn.NUMBERVALUE("4.490000")</f>
        <v/>
      </c>
      <c r="Y1699">
        <f>_xlfn.NUMBERVALUE("23.250000")</f>
        <v/>
      </c>
    </row>
    <row r="1700">
      <c r="A1700" s="1" t="n">
        <v>44468</v>
      </c>
      <c r="B1700">
        <f>_xlfn.NUMBERVALUE("0.002271")</f>
        <v/>
      </c>
      <c r="C1700" s="2">
        <f>_xlfn.NUMBERVALUE("0.001055")</f>
        <v/>
      </c>
      <c r="D1700">
        <f>_xlfn.NUMBERVALUE("0.002490")</f>
        <v/>
      </c>
      <c r="E1700">
        <f>_xlfn.NUMBERVALUE("0.000802")</f>
        <v/>
      </c>
      <c r="F1700">
        <f>_xlfn.NUMBERVALUE("0.000041")</f>
        <v/>
      </c>
      <c r="G1700">
        <f>_xlfn.NUMBERVALUE("0.001114")</f>
        <v/>
      </c>
      <c r="H1700">
        <f>_xlfn.NUMBERVALUE("0.000264")</f>
        <v/>
      </c>
      <c r="I1700">
        <f>_xlfn.NUMBERVALUE("0.001042")</f>
        <v/>
      </c>
      <c r="J1700">
        <f>_xlfn.NUMBERVALUE("-0.000073")</f>
        <v/>
      </c>
      <c r="K1700">
        <f>_xlfn.NUMBERVALUE("-0.003463")</f>
        <v/>
      </c>
      <c r="L1700">
        <f>_xlfn.NUMBERVALUE("0.000390")</f>
        <v/>
      </c>
      <c r="M1700">
        <f>_xlfn.NUMBERVALUE("0.001001")</f>
        <v/>
      </c>
      <c r="N1700">
        <f>_xlfn.NUMBERVALUE("-0.002278")</f>
        <v/>
      </c>
      <c r="O1700">
        <f>_xlfn.NUMBERVALUE("0.000326")</f>
        <v/>
      </c>
      <c r="P1700">
        <f>_xlfn.NUMBERVALUE("0.002637")</f>
        <v/>
      </c>
      <c r="Q1700">
        <f>_xlfn.NUMBERVALUE("0.001818")</f>
        <v/>
      </c>
      <c r="R1700">
        <f>_xlfn.NUMBERVALUE("-0.000397")</f>
        <v/>
      </c>
      <c r="S1700">
        <f>_xlfn.NUMBERVALUE("0.001405")</f>
        <v/>
      </c>
      <c r="T1700">
        <f>_xlfn.NUMBERVALUE("0.000580")</f>
        <v/>
      </c>
      <c r="U1700">
        <f>_xlfn.NUMBERVALUE("0.001762")</f>
        <v/>
      </c>
      <c r="V1700">
        <f>_xlfn.NUMBERVALUE("0.000404")</f>
        <v/>
      </c>
      <c r="W1700">
        <f>_xlfn.NUMBERVALUE("0.001543")</f>
        <v/>
      </c>
      <c r="X1700">
        <f>_xlfn.NUMBERVALUE("-0.690000")</f>
        <v/>
      </c>
      <c r="Y1700">
        <f>_xlfn.NUMBERVALUE("22.560000")</f>
        <v/>
      </c>
    </row>
    <row r="1701">
      <c r="A1701" s="1" t="n">
        <v>44469</v>
      </c>
      <c r="B1701">
        <f>_xlfn.NUMBERVALUE("0.002815")</f>
        <v/>
      </c>
      <c r="C1701" s="2">
        <f>_xlfn.NUMBERVALUE("-0.001287")</f>
        <v/>
      </c>
      <c r="D1701">
        <f>_xlfn.NUMBERVALUE("-0.000081")</f>
        <v/>
      </c>
      <c r="E1701">
        <f>_xlfn.NUMBERVALUE("-0.000064")</f>
        <v/>
      </c>
      <c r="F1701">
        <f>_xlfn.NUMBERVALUE("-0.000445")</f>
        <v/>
      </c>
      <c r="G1701">
        <f>_xlfn.NUMBERVALUE("-0.001006")</f>
        <v/>
      </c>
      <c r="H1701">
        <f>_xlfn.NUMBERVALUE("-0.000321")</f>
        <v/>
      </c>
      <c r="I1701">
        <f>_xlfn.NUMBERVALUE("0.000102")</f>
        <v/>
      </c>
      <c r="J1701">
        <f>_xlfn.NUMBERVALUE("0.000115")</f>
        <v/>
      </c>
      <c r="K1701">
        <f>_xlfn.NUMBERVALUE("-0.000110")</f>
        <v/>
      </c>
      <c r="L1701">
        <f>_xlfn.NUMBERVALUE("0.000238")</f>
        <v/>
      </c>
      <c r="M1701">
        <f>_xlfn.NUMBERVALUE("-0.000180")</f>
        <v/>
      </c>
      <c r="N1701">
        <f>_xlfn.NUMBERVALUE("0.003780")</f>
        <v/>
      </c>
      <c r="O1701">
        <f>_xlfn.NUMBERVALUE("-0.001858")</f>
        <v/>
      </c>
      <c r="P1701">
        <f>_xlfn.NUMBERVALUE("-0.000696")</f>
        <v/>
      </c>
      <c r="Q1701">
        <f>_xlfn.NUMBERVALUE("-0.002156")</f>
        <v/>
      </c>
      <c r="R1701">
        <f>_xlfn.NUMBERVALUE("-0.001363")</f>
        <v/>
      </c>
      <c r="S1701">
        <f>_xlfn.NUMBERVALUE("-0.001185")</f>
        <v/>
      </c>
      <c r="T1701">
        <f>_xlfn.NUMBERVALUE("0.000127")</f>
        <v/>
      </c>
      <c r="U1701">
        <f>_xlfn.NUMBERVALUE("-0.003105")</f>
        <v/>
      </c>
      <c r="V1701">
        <f>_xlfn.NUMBERVALUE("-0.000157")</f>
        <v/>
      </c>
      <c r="W1701">
        <f>_xlfn.NUMBERVALUE("-0.009678")</f>
        <v/>
      </c>
      <c r="X1701">
        <f>_xlfn.NUMBERVALUE("0.580000")</f>
        <v/>
      </c>
      <c r="Y1701">
        <f>_xlfn.NUMBERVALUE("23.140000")</f>
        <v/>
      </c>
    </row>
    <row r="1702">
      <c r="A1702" s="1" t="n">
        <v>44470</v>
      </c>
      <c r="B1702">
        <f>_xlfn.NUMBERVALUE("0.003548")</f>
        <v/>
      </c>
      <c r="C1702" s="2">
        <f>_xlfn.NUMBERVALUE("0.000787")</f>
        <v/>
      </c>
      <c r="D1702">
        <f>_xlfn.NUMBERVALUE("0.000489")</f>
        <v/>
      </c>
      <c r="E1702">
        <f>_xlfn.NUMBERVALUE("0.000298")</f>
        <v/>
      </c>
      <c r="F1702">
        <f>_xlfn.NUMBERVALUE("0.000915")</f>
        <v/>
      </c>
      <c r="G1702">
        <f>_xlfn.NUMBERVALUE("0.001935")</f>
        <v/>
      </c>
      <c r="H1702">
        <f>_xlfn.NUMBERVALUE("0.001112")</f>
        <v/>
      </c>
      <c r="I1702">
        <f>_xlfn.NUMBERVALUE("0.002077")</f>
        <v/>
      </c>
      <c r="J1702">
        <f>_xlfn.NUMBERVALUE("-0.000254")</f>
        <v/>
      </c>
      <c r="K1702">
        <f>_xlfn.NUMBERVALUE("0.000903")</f>
        <v/>
      </c>
      <c r="L1702">
        <f>_xlfn.NUMBERVALUE("0.003583")</f>
        <v/>
      </c>
      <c r="M1702">
        <f>_xlfn.NUMBERVALUE("0.001388")</f>
        <v/>
      </c>
      <c r="N1702">
        <f>_xlfn.NUMBERVALUE("0.001516")</f>
        <v/>
      </c>
      <c r="O1702">
        <f>_xlfn.NUMBERVALUE("0.001313")</f>
        <v/>
      </c>
      <c r="P1702">
        <f>_xlfn.NUMBERVALUE("0.001219")</f>
        <v/>
      </c>
      <c r="Q1702">
        <f>_xlfn.NUMBERVALUE("0.002007")</f>
        <v/>
      </c>
      <c r="R1702">
        <f>_xlfn.NUMBERVALUE("0.003194")</f>
        <v/>
      </c>
      <c r="S1702">
        <f>_xlfn.NUMBERVALUE("-0.000028")</f>
        <v/>
      </c>
      <c r="T1702">
        <f>_xlfn.NUMBERVALUE("-0.001518")</f>
        <v/>
      </c>
      <c r="U1702">
        <f>_xlfn.NUMBERVALUE("0.004576")</f>
        <v/>
      </c>
      <c r="V1702">
        <f>_xlfn.NUMBERVALUE("0.000097")</f>
        <v/>
      </c>
      <c r="W1702">
        <f>_xlfn.NUMBERVALUE("0.008380")</f>
        <v/>
      </c>
      <c r="X1702">
        <f>_xlfn.NUMBERVALUE("-1.990000")</f>
        <v/>
      </c>
      <c r="Y1702">
        <f>_xlfn.NUMBERVALUE("21.150000")</f>
        <v/>
      </c>
    </row>
    <row r="1703">
      <c r="A1703" s="1" t="n">
        <v>44473</v>
      </c>
      <c r="B1703">
        <f>_xlfn.NUMBERVALUE("-0.005820")</f>
        <v/>
      </c>
      <c r="C1703" s="2">
        <f>_xlfn.NUMBERVALUE("-0.000180")</f>
        <v/>
      </c>
      <c r="D1703">
        <f>_xlfn.NUMBERVALUE("0.000066")</f>
        <v/>
      </c>
      <c r="E1703">
        <f>_xlfn.NUMBERVALUE("0.000022")</f>
        <v/>
      </c>
      <c r="F1703">
        <f>_xlfn.NUMBERVALUE("0.000399")</f>
        <v/>
      </c>
      <c r="G1703">
        <f>_xlfn.NUMBERVALUE("0.000172")</f>
        <v/>
      </c>
      <c r="H1703">
        <f>_xlfn.NUMBERVALUE("0.000163")</f>
        <v/>
      </c>
      <c r="I1703">
        <f>_xlfn.NUMBERVALUE("-0.000160")</f>
        <v/>
      </c>
      <c r="J1703">
        <f>_xlfn.NUMBERVALUE("0.001361")</f>
        <v/>
      </c>
      <c r="K1703">
        <f>_xlfn.NUMBERVALUE("0.000520")</f>
        <v/>
      </c>
      <c r="L1703">
        <f>_xlfn.NUMBERVALUE("0.001523")</f>
        <v/>
      </c>
      <c r="M1703">
        <f>_xlfn.NUMBERVALUE("-0.000502")</f>
        <v/>
      </c>
      <c r="N1703">
        <f>_xlfn.NUMBERVALUE("-0.003616")</f>
        <v/>
      </c>
      <c r="O1703">
        <f>_xlfn.NUMBERVALUE("-0.000040")</f>
        <v/>
      </c>
      <c r="P1703">
        <f>_xlfn.NUMBERVALUE("0.002769")</f>
        <v/>
      </c>
      <c r="Q1703">
        <f>_xlfn.NUMBERVALUE("-0.000379")</f>
        <v/>
      </c>
      <c r="R1703">
        <f>_xlfn.NUMBERVALUE("-0.000747")</f>
        <v/>
      </c>
      <c r="S1703">
        <f>_xlfn.NUMBERVALUE("0.000478")</f>
        <v/>
      </c>
      <c r="T1703">
        <f>_xlfn.NUMBERVALUE("0.001319")</f>
        <v/>
      </c>
      <c r="U1703">
        <f>_xlfn.NUMBERVALUE("-0.000544")</f>
        <v/>
      </c>
      <c r="V1703">
        <f>_xlfn.NUMBERVALUE("-0.000030")</f>
        <v/>
      </c>
      <c r="W1703">
        <f>_xlfn.NUMBERVALUE("-0.006296")</f>
        <v/>
      </c>
      <c r="X1703">
        <f>_xlfn.NUMBERVALUE("1.810000")</f>
        <v/>
      </c>
      <c r="Y1703">
        <f>_xlfn.NUMBERVALUE("22.960000")</f>
        <v/>
      </c>
    </row>
    <row r="1704">
      <c r="A1704" s="1" t="n">
        <v>44474</v>
      </c>
      <c r="B1704">
        <f>_xlfn.NUMBERVALUE("0.003701")</f>
        <v/>
      </c>
      <c r="C1704" s="2">
        <f>_xlfn.NUMBERVALUE("0.000915")</f>
        <v/>
      </c>
      <c r="D1704">
        <f>_xlfn.NUMBERVALUE("0.004405")</f>
        <v/>
      </c>
      <c r="E1704">
        <f>_xlfn.NUMBERVALUE("0.003449")</f>
        <v/>
      </c>
      <c r="F1704">
        <f>_xlfn.NUMBERVALUE("0.001010")</f>
        <v/>
      </c>
      <c r="G1704">
        <f>_xlfn.NUMBERVALUE("0.001310")</f>
        <v/>
      </c>
      <c r="H1704">
        <f>_xlfn.NUMBERVALUE("0.000291")</f>
        <v/>
      </c>
      <c r="I1704">
        <f>_xlfn.NUMBERVALUE("0.005590")</f>
        <v/>
      </c>
      <c r="J1704">
        <f>_xlfn.NUMBERVALUE("0.000967")</f>
        <v/>
      </c>
      <c r="K1704">
        <f>_xlfn.NUMBERVALUE("0.003130")</f>
        <v/>
      </c>
      <c r="L1704">
        <f>_xlfn.NUMBERVALUE("-0.000246")</f>
        <v/>
      </c>
      <c r="M1704">
        <f>_xlfn.NUMBERVALUE("0.001198")</f>
        <v/>
      </c>
      <c r="N1704">
        <f>_xlfn.NUMBERVALUE("0.002229")</f>
        <v/>
      </c>
      <c r="O1704">
        <f>_xlfn.NUMBERVALUE("0.000004")</f>
        <v/>
      </c>
      <c r="P1704">
        <f>_xlfn.NUMBERVALUE("-0.003113")</f>
        <v/>
      </c>
      <c r="Q1704">
        <f>_xlfn.NUMBERVALUE("0.001325")</f>
        <v/>
      </c>
      <c r="R1704">
        <f>_xlfn.NUMBERVALUE("0.000075")</f>
        <v/>
      </c>
      <c r="S1704">
        <f>_xlfn.NUMBERVALUE("0.000083")</f>
        <v/>
      </c>
      <c r="T1704">
        <f>_xlfn.NUMBERVALUE("-0.000768")</f>
        <v/>
      </c>
      <c r="U1704">
        <f>_xlfn.NUMBERVALUE("0.002318")</f>
        <v/>
      </c>
      <c r="V1704">
        <f>_xlfn.NUMBERVALUE("0.000972")</f>
        <v/>
      </c>
      <c r="W1704">
        <f>_xlfn.NUMBERVALUE("0.012449")</f>
        <v/>
      </c>
      <c r="X1704">
        <f>_xlfn.NUMBERVALUE("-1.660000")</f>
        <v/>
      </c>
      <c r="Y1704">
        <f>_xlfn.NUMBERVALUE("21.300000")</f>
        <v/>
      </c>
    </row>
    <row r="1705">
      <c r="A1705" s="1" t="n">
        <v>44475</v>
      </c>
      <c r="B1705">
        <f>_xlfn.NUMBERVALUE("-0.001050")</f>
        <v/>
      </c>
      <c r="C1705" s="2">
        <f>_xlfn.NUMBERVALUE("0.000258")</f>
        <v/>
      </c>
      <c r="D1705">
        <f>_xlfn.NUMBERVALUE("0.000710")</f>
        <v/>
      </c>
      <c r="E1705">
        <f>_xlfn.NUMBERVALUE("0.001005")</f>
        <v/>
      </c>
      <c r="F1705">
        <f>_xlfn.NUMBERVALUE("0.000221")</f>
        <v/>
      </c>
      <c r="G1705">
        <f>_xlfn.NUMBERVALUE("0.000972")</f>
        <v/>
      </c>
      <c r="H1705">
        <f>_xlfn.NUMBERVALUE("0.000228")</f>
        <v/>
      </c>
      <c r="I1705">
        <f>_xlfn.NUMBERVALUE("0.001469")</f>
        <v/>
      </c>
      <c r="J1705">
        <f>_xlfn.NUMBERVALUE("-0.000464")</f>
        <v/>
      </c>
      <c r="K1705">
        <f>_xlfn.NUMBERVALUE("0.001739")</f>
        <v/>
      </c>
      <c r="L1705">
        <f>_xlfn.NUMBERVALUE("-0.000340")</f>
        <v/>
      </c>
      <c r="M1705">
        <f>_xlfn.NUMBERVALUE("0.000200")</f>
        <v/>
      </c>
      <c r="N1705">
        <f>_xlfn.NUMBERVALUE("-0.000529")</f>
        <v/>
      </c>
      <c r="O1705">
        <f>_xlfn.NUMBERVALUE("0.000001")</f>
        <v/>
      </c>
      <c r="P1705">
        <f>_xlfn.NUMBERVALUE("0.001374")</f>
        <v/>
      </c>
      <c r="Q1705">
        <f>_xlfn.NUMBERVALUE("0.000158")</f>
        <v/>
      </c>
      <c r="R1705">
        <f>_xlfn.NUMBERVALUE("-0.000127")</f>
        <v/>
      </c>
      <c r="S1705">
        <f>_xlfn.NUMBERVALUE("-0.000154")</f>
        <v/>
      </c>
      <c r="T1705">
        <f>_xlfn.NUMBERVALUE("0.001007")</f>
        <v/>
      </c>
      <c r="U1705">
        <f>_xlfn.NUMBERVALUE("0.000781")</f>
        <v/>
      </c>
      <c r="V1705">
        <f>_xlfn.NUMBERVALUE("0.000300")</f>
        <v/>
      </c>
      <c r="W1705">
        <f>_xlfn.NUMBERVALUE("-0.000691")</f>
        <v/>
      </c>
      <c r="X1705">
        <f>_xlfn.NUMBERVALUE("-0.300000")</f>
        <v/>
      </c>
      <c r="Y1705">
        <f>_xlfn.NUMBERVALUE("21.000000")</f>
        <v/>
      </c>
    </row>
    <row r="1706">
      <c r="A1706" s="1" t="n">
        <v>44476</v>
      </c>
      <c r="B1706">
        <f>_xlfn.NUMBERVALUE("0.004229")</f>
        <v/>
      </c>
      <c r="C1706" s="2">
        <f>_xlfn.NUMBERVALUE("0.000664")</f>
        <v/>
      </c>
      <c r="D1706">
        <f>_xlfn.NUMBERVALUE("-0.001092")</f>
        <v/>
      </c>
      <c r="E1706">
        <f>_xlfn.NUMBERVALUE("0.000812")</f>
        <v/>
      </c>
      <c r="F1706">
        <f>_xlfn.NUMBERVALUE("0.000832")</f>
        <v/>
      </c>
      <c r="G1706">
        <f>_xlfn.NUMBERVALUE("0.001219")</f>
        <v/>
      </c>
      <c r="H1706">
        <f>_xlfn.NUMBERVALUE("-0.001558")</f>
        <v/>
      </c>
      <c r="I1706">
        <f>_xlfn.NUMBERVALUE("0.001296")</f>
        <v/>
      </c>
      <c r="J1706">
        <f>_xlfn.NUMBERVALUE("-0.000581")</f>
        <v/>
      </c>
      <c r="K1706">
        <f>_xlfn.NUMBERVALUE("0.000627")</f>
        <v/>
      </c>
      <c r="L1706">
        <f>_xlfn.NUMBERVALUE("0.000001")</f>
        <v/>
      </c>
      <c r="M1706">
        <f>_xlfn.NUMBERVALUE("0.000213")</f>
        <v/>
      </c>
      <c r="N1706">
        <f>_xlfn.NUMBERVALUE("-0.000542")</f>
        <v/>
      </c>
      <c r="O1706">
        <f>_xlfn.NUMBERVALUE("-0.000000")</f>
        <v/>
      </c>
      <c r="P1706">
        <f>_xlfn.NUMBERVALUE("-0.000217")</f>
        <v/>
      </c>
      <c r="Q1706">
        <f>_xlfn.NUMBERVALUE("0.000610")</f>
        <v/>
      </c>
      <c r="R1706">
        <f>_xlfn.NUMBERVALUE("0.000170")</f>
        <v/>
      </c>
      <c r="S1706">
        <f>_xlfn.NUMBERVALUE("0.000154")</f>
        <v/>
      </c>
      <c r="T1706">
        <f>_xlfn.NUMBERVALUE("-0.000000")</f>
        <v/>
      </c>
      <c r="U1706">
        <f>_xlfn.NUMBERVALUE("0.002026")</f>
        <v/>
      </c>
      <c r="V1706">
        <f>_xlfn.NUMBERVALUE("0.000818")</f>
        <v/>
      </c>
      <c r="W1706">
        <f>_xlfn.NUMBERVALUE("0.010738")</f>
        <v/>
      </c>
      <c r="X1706">
        <f>_xlfn.NUMBERVALUE("-1.460000")</f>
        <v/>
      </c>
      <c r="Y1706">
        <f>_xlfn.NUMBERVALUE("19.540000")</f>
        <v/>
      </c>
    </row>
    <row r="1707">
      <c r="A1707" s="1" t="n">
        <v>44477</v>
      </c>
      <c r="B1707">
        <f>_xlfn.NUMBERVALUE("-0.003509")</f>
        <v/>
      </c>
      <c r="C1707" s="2">
        <f>_xlfn.NUMBERVALUE("0.001727")</f>
        <v/>
      </c>
      <c r="D1707">
        <f>_xlfn.NUMBERVALUE("0.001010")</f>
        <v/>
      </c>
      <c r="E1707">
        <f>_xlfn.NUMBERVALUE("0.002496")</f>
        <v/>
      </c>
      <c r="F1707">
        <f>_xlfn.NUMBERVALUE("0.001591")</f>
        <v/>
      </c>
      <c r="G1707">
        <f>_xlfn.NUMBERVALUE("0.000552")</f>
        <v/>
      </c>
      <c r="H1707">
        <f>_xlfn.NUMBERVALUE("0.001606")</f>
        <v/>
      </c>
      <c r="I1707">
        <f>_xlfn.NUMBERVALUE("0.003273")</f>
        <v/>
      </c>
      <c r="J1707">
        <f>_xlfn.NUMBERVALUE("-0.000346")</f>
        <v/>
      </c>
      <c r="K1707">
        <f>_xlfn.NUMBERVALUE("0.002737")</f>
        <v/>
      </c>
      <c r="L1707">
        <f>_xlfn.NUMBERVALUE("0.001856")</f>
        <v/>
      </c>
      <c r="M1707">
        <f>_xlfn.NUMBERVALUE("0.003065")</f>
        <v/>
      </c>
      <c r="N1707">
        <f>_xlfn.NUMBERVALUE("0.000363")</f>
        <v/>
      </c>
      <c r="O1707">
        <f>_xlfn.NUMBERVALUE("-0.004794")</f>
        <v/>
      </c>
      <c r="P1707">
        <f>_xlfn.NUMBERVALUE("0.000923")</f>
        <v/>
      </c>
      <c r="Q1707">
        <f>_xlfn.NUMBERVALUE("0.002386")</f>
        <v/>
      </c>
      <c r="R1707">
        <f>_xlfn.NUMBERVALUE("0.000971")</f>
        <v/>
      </c>
      <c r="S1707">
        <f>_xlfn.NUMBERVALUE("0.001184")</f>
        <v/>
      </c>
      <c r="T1707">
        <f>_xlfn.NUMBERVALUE("0.001344")</f>
        <v/>
      </c>
      <c r="U1707">
        <f>_xlfn.NUMBERVALUE("0.001672")</f>
        <v/>
      </c>
      <c r="V1707">
        <f>_xlfn.NUMBERVALUE("0.002612")</f>
        <v/>
      </c>
      <c r="W1707">
        <f>_xlfn.NUMBERVALUE("-0.001208")</f>
        <v/>
      </c>
      <c r="X1707">
        <f>_xlfn.NUMBERVALUE("-0.770000")</f>
        <v/>
      </c>
      <c r="Y1707">
        <f>_xlfn.NUMBERVALUE("18.770000")</f>
        <v/>
      </c>
    </row>
    <row r="1708">
      <c r="A1708" s="1" t="n">
        <v>44480</v>
      </c>
      <c r="B1708">
        <f>_xlfn.NUMBERVALUE("0.003180")</f>
        <v/>
      </c>
      <c r="C1708" s="2">
        <f>_xlfn.NUMBERVALUE("0.001118")</f>
        <v/>
      </c>
      <c r="D1708">
        <f>_xlfn.NUMBERVALUE("0.001222")</f>
        <v/>
      </c>
      <c r="E1708">
        <f>_xlfn.NUMBERVALUE("0.000774")</f>
        <v/>
      </c>
      <c r="F1708">
        <f>_xlfn.NUMBERVALUE("0.000748")</f>
        <v/>
      </c>
      <c r="G1708">
        <f>_xlfn.NUMBERVALUE("-0.000155")</f>
        <v/>
      </c>
      <c r="H1708">
        <f>_xlfn.NUMBERVALUE("0.000160")</f>
        <v/>
      </c>
      <c r="I1708">
        <f>_xlfn.NUMBERVALUE("0.003144")</f>
        <v/>
      </c>
      <c r="J1708">
        <f>_xlfn.NUMBERVALUE("0.002394")</f>
        <v/>
      </c>
      <c r="K1708">
        <f>_xlfn.NUMBERVALUE("0.001973")</f>
        <v/>
      </c>
      <c r="L1708">
        <f>_xlfn.NUMBERVALUE("0.000334")</f>
        <v/>
      </c>
      <c r="M1708">
        <f>_xlfn.NUMBERVALUE("0.001549")</f>
        <v/>
      </c>
      <c r="N1708">
        <f>_xlfn.NUMBERVALUE("-0.000937")</f>
        <v/>
      </c>
      <c r="O1708">
        <f>_xlfn.NUMBERVALUE("0.004888")</f>
        <v/>
      </c>
      <c r="P1708">
        <f>_xlfn.NUMBERVALUE("0.001943")</f>
        <v/>
      </c>
      <c r="Q1708">
        <f>_xlfn.NUMBERVALUE("0.001547")</f>
        <v/>
      </c>
      <c r="R1708">
        <f>_xlfn.NUMBERVALUE("0.002826")</f>
        <v/>
      </c>
      <c r="S1708">
        <f>_xlfn.NUMBERVALUE("0.001408")</f>
        <v/>
      </c>
      <c r="T1708">
        <f>_xlfn.NUMBERVALUE("0.000119")</f>
        <v/>
      </c>
      <c r="U1708">
        <f>_xlfn.NUMBERVALUE("0.001978")</f>
        <v/>
      </c>
      <c r="V1708">
        <f>_xlfn.NUMBERVALUE("0.000885")</f>
        <v/>
      </c>
      <c r="W1708">
        <f>_xlfn.NUMBERVALUE("-0.005889")</f>
        <v/>
      </c>
      <c r="X1708">
        <f>_xlfn.NUMBERVALUE("1.230000")</f>
        <v/>
      </c>
      <c r="Y1708">
        <f>_xlfn.NUMBERVALUE("20.000000")</f>
        <v/>
      </c>
    </row>
    <row r="1709">
      <c r="A1709" s="1" t="n">
        <v>44481</v>
      </c>
      <c r="B1709">
        <f>_xlfn.NUMBERVALUE("0.001058")</f>
        <v/>
      </c>
      <c r="C1709" s="2">
        <f>_xlfn.NUMBERVALUE("0.001354")</f>
        <v/>
      </c>
      <c r="D1709">
        <f>_xlfn.NUMBERVALUE("0.001414")</f>
        <v/>
      </c>
      <c r="E1709">
        <f>_xlfn.NUMBERVALUE("0.000949")</f>
        <v/>
      </c>
      <c r="F1709">
        <f>_xlfn.NUMBERVALUE("0.001159")</f>
        <v/>
      </c>
      <c r="G1709">
        <f>_xlfn.NUMBERVALUE("0.000007")</f>
        <v/>
      </c>
      <c r="H1709">
        <f>_xlfn.NUMBERVALUE("0.000390")</f>
        <v/>
      </c>
      <c r="I1709">
        <f>_xlfn.NUMBERVALUE("-0.000127")</f>
        <v/>
      </c>
      <c r="J1709">
        <f>_xlfn.NUMBERVALUE("0.000486")</f>
        <v/>
      </c>
      <c r="K1709">
        <f>_xlfn.NUMBERVALUE("0.000670")</f>
        <v/>
      </c>
      <c r="L1709">
        <f>_xlfn.NUMBERVALUE("-0.001948")</f>
        <v/>
      </c>
      <c r="M1709">
        <f>_xlfn.NUMBERVALUE("0.000882")</f>
        <v/>
      </c>
      <c r="N1709">
        <f>_xlfn.NUMBERVALUE("0.000338")</f>
        <v/>
      </c>
      <c r="O1709">
        <f>_xlfn.NUMBERVALUE("0.002287")</f>
        <v/>
      </c>
      <c r="P1709">
        <f>_xlfn.NUMBERVALUE("0.000123")</f>
        <v/>
      </c>
      <c r="Q1709">
        <f>_xlfn.NUMBERVALUE("0.000479")</f>
        <v/>
      </c>
      <c r="R1709">
        <f>_xlfn.NUMBERVALUE("0.000738")</f>
        <v/>
      </c>
      <c r="S1709">
        <f>_xlfn.NUMBERVALUE("0.001135")</f>
        <v/>
      </c>
      <c r="T1709">
        <f>_xlfn.NUMBERVALUE("0.001121")</f>
        <v/>
      </c>
      <c r="U1709">
        <f>_xlfn.NUMBERVALUE("-0.000269")</f>
        <v/>
      </c>
      <c r="V1709">
        <f>_xlfn.NUMBERVALUE("0.001224")</f>
        <v/>
      </c>
      <c r="W1709">
        <f>_xlfn.NUMBERVALUE("-0.005625")</f>
        <v/>
      </c>
      <c r="X1709">
        <f>_xlfn.NUMBERVALUE("-0.150000")</f>
        <v/>
      </c>
      <c r="Y1709">
        <f>_xlfn.NUMBERVALUE("19.850000")</f>
        <v/>
      </c>
    </row>
    <row r="1710">
      <c r="A1710" s="1" t="n">
        <v>44482</v>
      </c>
      <c r="B1710">
        <f>_xlfn.NUMBERVALUE("0.000975")</f>
        <v/>
      </c>
      <c r="C1710" s="2">
        <f>_xlfn.NUMBERVALUE("0.002918")</f>
        <v/>
      </c>
      <c r="D1710">
        <f>_xlfn.NUMBERVALUE("-0.000249")</f>
        <v/>
      </c>
      <c r="E1710">
        <f>_xlfn.NUMBERVALUE("-0.000339")</f>
        <v/>
      </c>
      <c r="F1710">
        <f>_xlfn.NUMBERVALUE("-0.004285")</f>
        <v/>
      </c>
      <c r="G1710">
        <f>_xlfn.NUMBERVALUE("-0.000462")</f>
        <v/>
      </c>
      <c r="H1710">
        <f>_xlfn.NUMBERVALUE("0.000187")</f>
        <v/>
      </c>
      <c r="I1710">
        <f>_xlfn.NUMBERVALUE("0.002354")</f>
        <v/>
      </c>
      <c r="J1710">
        <f>_xlfn.NUMBERVALUE("-0.001612")</f>
        <v/>
      </c>
      <c r="K1710">
        <f>_xlfn.NUMBERVALUE("-0.002670")</f>
        <v/>
      </c>
      <c r="L1710">
        <f>_xlfn.NUMBERVALUE("-0.001163")</f>
        <v/>
      </c>
      <c r="M1710">
        <f>_xlfn.NUMBERVALUE("0.000011")</f>
        <v/>
      </c>
      <c r="N1710">
        <f>_xlfn.NUMBERVALUE("0.000072")</f>
        <v/>
      </c>
      <c r="O1710">
        <f>_xlfn.NUMBERVALUE("0.003866")</f>
        <v/>
      </c>
      <c r="P1710">
        <f>_xlfn.NUMBERVALUE("0.004264")</f>
        <v/>
      </c>
      <c r="Q1710">
        <f>_xlfn.NUMBERVALUE("0.002665")</f>
        <v/>
      </c>
      <c r="R1710">
        <f>_xlfn.NUMBERVALUE("0.002890")</f>
        <v/>
      </c>
      <c r="S1710">
        <f>_xlfn.NUMBERVALUE("0.001787")</f>
        <v/>
      </c>
      <c r="T1710">
        <f>_xlfn.NUMBERVALUE("-0.000801")</f>
        <v/>
      </c>
      <c r="U1710">
        <f>_xlfn.NUMBERVALUE("0.001942")</f>
        <v/>
      </c>
      <c r="V1710">
        <f>_xlfn.NUMBERVALUE("0.001834")</f>
        <v/>
      </c>
      <c r="W1710">
        <f>_xlfn.NUMBERVALUE("0.003948")</f>
        <v/>
      </c>
      <c r="X1710">
        <f>_xlfn.NUMBERVALUE("-1.210000")</f>
        <v/>
      </c>
      <c r="Y1710">
        <f>_xlfn.NUMBERVALUE("18.640000")</f>
        <v/>
      </c>
    </row>
    <row r="1711">
      <c r="A1711" s="1" t="n">
        <v>44483</v>
      </c>
      <c r="B1711">
        <f>_xlfn.NUMBERVALUE("-0.000778")</f>
        <v/>
      </c>
      <c r="C1711" s="2">
        <f>_xlfn.NUMBERVALUE("-0.000365")</f>
        <v/>
      </c>
      <c r="D1711">
        <f>_xlfn.NUMBERVALUE("0.001978")</f>
        <v/>
      </c>
      <c r="E1711">
        <f>_xlfn.NUMBERVALUE("-0.000249")</f>
        <v/>
      </c>
      <c r="F1711">
        <f>_xlfn.NUMBERVALUE("0.001093")</f>
        <v/>
      </c>
      <c r="G1711">
        <f>_xlfn.NUMBERVALUE("-0.001676")</f>
        <v/>
      </c>
      <c r="H1711">
        <f>_xlfn.NUMBERVALUE("0.000507")</f>
        <v/>
      </c>
      <c r="I1711">
        <f>_xlfn.NUMBERVALUE("0.000774")</f>
        <v/>
      </c>
      <c r="J1711">
        <f>_xlfn.NUMBERVALUE("0.000155")</f>
        <v/>
      </c>
      <c r="K1711">
        <f>_xlfn.NUMBERVALUE("-0.003928")</f>
        <v/>
      </c>
      <c r="L1711">
        <f>_xlfn.NUMBERVALUE("0.000614")</f>
        <v/>
      </c>
      <c r="M1711">
        <f>_xlfn.NUMBERVALUE("-0.002438")</f>
        <v/>
      </c>
      <c r="N1711">
        <f>_xlfn.NUMBERVALUE("0.000201")</f>
        <v/>
      </c>
      <c r="O1711">
        <f>_xlfn.NUMBERVALUE("0.003175")</f>
        <v/>
      </c>
      <c r="P1711">
        <f>_xlfn.NUMBERVALUE("0.001312")</f>
        <v/>
      </c>
      <c r="Q1711">
        <f>_xlfn.NUMBERVALUE("-0.000648")</f>
        <v/>
      </c>
      <c r="R1711">
        <f>_xlfn.NUMBERVALUE("-0.002438")</f>
        <v/>
      </c>
      <c r="S1711">
        <f>_xlfn.NUMBERVALUE("-0.000118")</f>
        <v/>
      </c>
      <c r="T1711">
        <f>_xlfn.NUMBERVALUE("0.000662")</f>
        <v/>
      </c>
      <c r="U1711">
        <f>_xlfn.NUMBERVALUE("0.001948")</f>
        <v/>
      </c>
      <c r="V1711">
        <f>_xlfn.NUMBERVALUE("-0.001894")</f>
        <v/>
      </c>
      <c r="W1711">
        <f>_xlfn.NUMBERVALUE("0.016536")</f>
        <v/>
      </c>
      <c r="X1711">
        <f>_xlfn.NUMBERVALUE("-1.780000")</f>
        <v/>
      </c>
      <c r="Y1711">
        <f>_xlfn.NUMBERVALUE("16.860000")</f>
        <v/>
      </c>
    </row>
    <row r="1712">
      <c r="A1712" s="1" t="n">
        <v>44484</v>
      </c>
      <c r="B1712">
        <f>_xlfn.NUMBERVALUE("0.002269")</f>
        <v/>
      </c>
      <c r="C1712" s="2">
        <f>_xlfn.NUMBERVALUE("-0.002078")</f>
        <v/>
      </c>
      <c r="D1712">
        <f>_xlfn.NUMBERVALUE("-0.000292")</f>
        <v/>
      </c>
      <c r="E1712">
        <f>_xlfn.NUMBERVALUE("-0.000083")</f>
        <v/>
      </c>
      <c r="F1712">
        <f>_xlfn.NUMBERVALUE("-0.001167")</f>
        <v/>
      </c>
      <c r="G1712">
        <f>_xlfn.NUMBERVALUE("0.001658")</f>
        <v/>
      </c>
      <c r="H1712">
        <f>_xlfn.NUMBERVALUE("-0.000864")</f>
        <v/>
      </c>
      <c r="I1712">
        <f>_xlfn.NUMBERVALUE("0.001822")</f>
        <v/>
      </c>
      <c r="J1712">
        <f>_xlfn.NUMBERVALUE("-0.000366")</f>
        <v/>
      </c>
      <c r="K1712">
        <f>_xlfn.NUMBERVALUE("0.003704")</f>
        <v/>
      </c>
      <c r="L1712">
        <f>_xlfn.NUMBERVALUE("-0.000008")</f>
        <v/>
      </c>
      <c r="M1712">
        <f>_xlfn.NUMBERVALUE("0.001299")</f>
        <v/>
      </c>
      <c r="N1712">
        <f>_xlfn.NUMBERVALUE("0.001423")</f>
        <v/>
      </c>
      <c r="O1712">
        <f>_xlfn.NUMBERVALUE("0.002850")</f>
        <v/>
      </c>
      <c r="P1712">
        <f>_xlfn.NUMBERVALUE("-0.002225")</f>
        <v/>
      </c>
      <c r="Q1712">
        <f>_xlfn.NUMBERVALUE("-0.000677")</f>
        <v/>
      </c>
      <c r="R1712">
        <f>_xlfn.NUMBERVALUE("0.000831")</f>
        <v/>
      </c>
      <c r="S1712">
        <f>_xlfn.NUMBERVALUE("0.000950")</f>
        <v/>
      </c>
      <c r="T1712">
        <f>_xlfn.NUMBERVALUE("0.002158")</f>
        <v/>
      </c>
      <c r="U1712">
        <f>_xlfn.NUMBERVALUE("-0.001079")</f>
        <v/>
      </c>
      <c r="V1712">
        <f>_xlfn.NUMBERVALUE("0.000148")</f>
        <v/>
      </c>
      <c r="W1712">
        <f>_xlfn.NUMBERVALUE("0.008258")</f>
        <v/>
      </c>
      <c r="X1712">
        <f>_xlfn.NUMBERVALUE("-0.560000")</f>
        <v/>
      </c>
      <c r="Y1712">
        <f>_xlfn.NUMBERVALUE("16.300000")</f>
        <v/>
      </c>
    </row>
    <row r="1713">
      <c r="A1713" s="1" t="n">
        <v>44487</v>
      </c>
      <c r="B1713">
        <f>_xlfn.NUMBERVALUE("0.004075")</f>
        <v/>
      </c>
      <c r="C1713" s="2">
        <f>_xlfn.NUMBERVALUE("0.000901")</f>
        <v/>
      </c>
      <c r="D1713">
        <f>_xlfn.NUMBERVALUE("0.001250")</f>
        <v/>
      </c>
      <c r="E1713">
        <f>_xlfn.NUMBERVALUE("0.001140")</f>
        <v/>
      </c>
      <c r="F1713">
        <f>_xlfn.NUMBERVALUE("0.000853")</f>
        <v/>
      </c>
      <c r="G1713">
        <f>_xlfn.NUMBERVALUE("0.000204")</f>
        <v/>
      </c>
      <c r="H1713">
        <f>_xlfn.NUMBERVALUE("0.000052")</f>
        <v/>
      </c>
      <c r="I1713">
        <f>_xlfn.NUMBERVALUE("0.002890")</f>
        <v/>
      </c>
      <c r="J1713">
        <f>_xlfn.NUMBERVALUE("0.000254")</f>
        <v/>
      </c>
      <c r="K1713">
        <f>_xlfn.NUMBERVALUE("0.002878")</f>
        <v/>
      </c>
      <c r="L1713">
        <f>_xlfn.NUMBERVALUE("-0.000451")</f>
        <v/>
      </c>
      <c r="M1713">
        <f>_xlfn.NUMBERVALUE("0.001952")</f>
        <v/>
      </c>
      <c r="N1713">
        <f>_xlfn.NUMBERVALUE("-0.000303")</f>
        <v/>
      </c>
      <c r="O1713">
        <f>_xlfn.NUMBERVALUE("0.002930")</f>
        <v/>
      </c>
      <c r="P1713">
        <f>_xlfn.NUMBERVALUE("0.001806")</f>
        <v/>
      </c>
      <c r="Q1713">
        <f>_xlfn.NUMBERVALUE("0.002061")</f>
        <v/>
      </c>
      <c r="R1713">
        <f>_xlfn.NUMBERVALUE("-0.001033")</f>
        <v/>
      </c>
      <c r="S1713">
        <f>_xlfn.NUMBERVALUE("0.001854")</f>
        <v/>
      </c>
      <c r="T1713">
        <f>_xlfn.NUMBERVALUE("0.002168")</f>
        <v/>
      </c>
      <c r="U1713">
        <f>_xlfn.NUMBERVALUE("-0.000372")</f>
        <v/>
      </c>
      <c r="V1713">
        <f>_xlfn.NUMBERVALUE("0.000332")</f>
        <v/>
      </c>
      <c r="W1713">
        <f>_xlfn.NUMBERVALUE("0.003658")</f>
        <v/>
      </c>
      <c r="X1713">
        <f>_xlfn.NUMBERVALUE("0.010000")</f>
        <v/>
      </c>
      <c r="Y1713">
        <f>_xlfn.NUMBERVALUE("16.310000")</f>
        <v/>
      </c>
    </row>
    <row r="1714">
      <c r="A1714" s="1" t="n">
        <v>44488</v>
      </c>
      <c r="B1714">
        <f>_xlfn.NUMBERVALUE("-0.005329")</f>
        <v/>
      </c>
      <c r="C1714" s="2">
        <f>_xlfn.NUMBERVALUE("0.000651")</f>
        <v/>
      </c>
      <c r="D1714">
        <f>_xlfn.NUMBERVALUE("0.000781")</f>
        <v/>
      </c>
      <c r="E1714">
        <f>_xlfn.NUMBERVALUE("0.000969")</f>
        <v/>
      </c>
      <c r="F1714">
        <f>_xlfn.NUMBERVALUE("0.000951")</f>
        <v/>
      </c>
      <c r="G1714">
        <f>_xlfn.NUMBERVALUE("0.000877")</f>
        <v/>
      </c>
      <c r="H1714">
        <f>_xlfn.NUMBERVALUE("-0.000059")</f>
        <v/>
      </c>
      <c r="I1714">
        <f>_xlfn.NUMBERVALUE("0.001233")</f>
        <v/>
      </c>
      <c r="J1714">
        <f>_xlfn.NUMBERVALUE("-0.000596")</f>
        <v/>
      </c>
      <c r="K1714">
        <f>_xlfn.NUMBERVALUE("-0.002332")</f>
        <v/>
      </c>
      <c r="L1714">
        <f>_xlfn.NUMBERVALUE("-0.000492")</f>
        <v/>
      </c>
      <c r="M1714">
        <f>_xlfn.NUMBERVALUE("0.001292")</f>
        <v/>
      </c>
      <c r="N1714">
        <f>_xlfn.NUMBERVALUE("-0.001633")</f>
        <v/>
      </c>
      <c r="O1714">
        <f>_xlfn.NUMBERVALUE("-0.000013")</f>
        <v/>
      </c>
      <c r="P1714">
        <f>_xlfn.NUMBERVALUE("0.000679")</f>
        <v/>
      </c>
      <c r="Q1714">
        <f>_xlfn.NUMBERVALUE("0.000599")</f>
        <v/>
      </c>
      <c r="R1714">
        <f>_xlfn.NUMBERVALUE("-0.000548")</f>
        <v/>
      </c>
      <c r="S1714">
        <f>_xlfn.NUMBERVALUE("0.001688")</f>
        <v/>
      </c>
      <c r="T1714">
        <f>_xlfn.NUMBERVALUE("-0.001403")</f>
        <v/>
      </c>
      <c r="U1714">
        <f>_xlfn.NUMBERVALUE("0.000986")</f>
        <v/>
      </c>
      <c r="V1714">
        <f>_xlfn.NUMBERVALUE("-0.000270")</f>
        <v/>
      </c>
      <c r="W1714">
        <f>_xlfn.NUMBERVALUE("0.006193")</f>
        <v/>
      </c>
      <c r="X1714">
        <f>_xlfn.NUMBERVALUE("-0.610000")</f>
        <v/>
      </c>
      <c r="Y1714">
        <f>_xlfn.NUMBERVALUE("15.700000")</f>
        <v/>
      </c>
    </row>
    <row r="1715">
      <c r="A1715" s="1" t="n">
        <v>44489</v>
      </c>
      <c r="B1715">
        <f>_xlfn.NUMBERVALUE("0.003722")</f>
        <v/>
      </c>
      <c r="C1715" s="2">
        <f>_xlfn.NUMBERVALUE("-0.000346")</f>
        <v/>
      </c>
      <c r="D1715">
        <f>_xlfn.NUMBERVALUE("-0.001079")</f>
        <v/>
      </c>
      <c r="E1715">
        <f>_xlfn.NUMBERVALUE("-0.001202")</f>
        <v/>
      </c>
      <c r="F1715">
        <f>_xlfn.NUMBERVALUE("-0.000601")</f>
        <v/>
      </c>
      <c r="G1715">
        <f>_xlfn.NUMBERVALUE("0.000377")</f>
        <v/>
      </c>
      <c r="H1715">
        <f>_xlfn.NUMBERVALUE("0.000120")</f>
        <v/>
      </c>
      <c r="I1715">
        <f>_xlfn.NUMBERVALUE("0.000287")</f>
        <v/>
      </c>
      <c r="J1715">
        <f>_xlfn.NUMBERVALUE("0.000862")</f>
        <v/>
      </c>
      <c r="K1715">
        <f>_xlfn.NUMBERVALUE("-0.005223")</f>
        <v/>
      </c>
      <c r="L1715">
        <f>_xlfn.NUMBERVALUE("0.000067")</f>
        <v/>
      </c>
      <c r="M1715">
        <f>_xlfn.NUMBERVALUE("0.000557")</f>
        <v/>
      </c>
      <c r="N1715">
        <f>_xlfn.NUMBERVALUE("-0.000137")</f>
        <v/>
      </c>
      <c r="O1715">
        <f>_xlfn.NUMBERVALUE("0.000463")</f>
        <v/>
      </c>
      <c r="P1715">
        <f>_xlfn.NUMBERVALUE("-0.000613")</f>
        <v/>
      </c>
      <c r="Q1715">
        <f>_xlfn.NUMBERVALUE("-0.000483")</f>
        <v/>
      </c>
      <c r="R1715">
        <f>_xlfn.NUMBERVALUE("0.000598")</f>
        <v/>
      </c>
      <c r="S1715">
        <f>_xlfn.NUMBERVALUE("-0.000903")</f>
        <v/>
      </c>
      <c r="T1715">
        <f>_xlfn.NUMBERVALUE("-0.004402")</f>
        <v/>
      </c>
      <c r="U1715">
        <f>_xlfn.NUMBERVALUE("0.000820")</f>
        <v/>
      </c>
      <c r="V1715">
        <f>_xlfn.NUMBERVALUE("0.000015")</f>
        <v/>
      </c>
      <c r="W1715">
        <f>_xlfn.NUMBERVALUE("0.004511")</f>
        <v/>
      </c>
      <c r="X1715">
        <f>_xlfn.NUMBERVALUE("-0.210000")</f>
        <v/>
      </c>
      <c r="Y1715">
        <f>_xlfn.NUMBERVALUE("15.490000")</f>
        <v/>
      </c>
    </row>
    <row r="1716">
      <c r="A1716" s="1" t="n">
        <v>44490</v>
      </c>
      <c r="B1716">
        <f>_xlfn.NUMBERVALUE("0.003641")</f>
        <v/>
      </c>
      <c r="C1716" s="2">
        <f>_xlfn.NUMBERVALUE("0.001290")</f>
        <v/>
      </c>
      <c r="D1716">
        <f>_xlfn.NUMBERVALUE("0.000985")</f>
        <v/>
      </c>
      <c r="E1716">
        <f>_xlfn.NUMBERVALUE("0.001907")</f>
        <v/>
      </c>
      <c r="F1716">
        <f>_xlfn.NUMBERVALUE("0.001345")</f>
        <v/>
      </c>
      <c r="G1716">
        <f>_xlfn.NUMBERVALUE("-0.000305")</f>
        <v/>
      </c>
      <c r="H1716">
        <f>_xlfn.NUMBERVALUE("-0.000076")</f>
        <v/>
      </c>
      <c r="I1716">
        <f>_xlfn.NUMBERVALUE("0.000974")</f>
        <v/>
      </c>
      <c r="J1716">
        <f>_xlfn.NUMBERVALUE("-0.000841")</f>
        <v/>
      </c>
      <c r="K1716">
        <f>_xlfn.NUMBERVALUE("0.001762")</f>
        <v/>
      </c>
      <c r="L1716">
        <f>_xlfn.NUMBERVALUE("-0.000088")</f>
        <v/>
      </c>
      <c r="M1716">
        <f>_xlfn.NUMBERVALUE("0.000420")</f>
        <v/>
      </c>
      <c r="N1716">
        <f>_xlfn.NUMBERVALUE("0.000855")</f>
        <v/>
      </c>
      <c r="O1716">
        <f>_xlfn.NUMBERVALUE("-0.000174")</f>
        <v/>
      </c>
      <c r="P1716">
        <f>_xlfn.NUMBERVALUE("0.001132")</f>
        <v/>
      </c>
      <c r="Q1716">
        <f>_xlfn.NUMBERVALUE("0.000350")</f>
        <v/>
      </c>
      <c r="R1716">
        <f>_xlfn.NUMBERVALUE("0.001018")</f>
        <v/>
      </c>
      <c r="S1716">
        <f>_xlfn.NUMBERVALUE("0.000785")</f>
        <v/>
      </c>
      <c r="T1716">
        <f>_xlfn.NUMBERVALUE("0.000417")</f>
        <v/>
      </c>
      <c r="U1716">
        <f>_xlfn.NUMBERVALUE("-0.001354")</f>
        <v/>
      </c>
      <c r="V1716">
        <f>_xlfn.NUMBERVALUE("0.000613")</f>
        <v/>
      </c>
      <c r="W1716">
        <f>_xlfn.NUMBERVALUE("0.002168")</f>
        <v/>
      </c>
      <c r="X1716">
        <f>_xlfn.NUMBERVALUE("-0.480000")</f>
        <v/>
      </c>
      <c r="Y1716">
        <f>_xlfn.NUMBERVALUE("15.010000")</f>
        <v/>
      </c>
    </row>
    <row r="1717">
      <c r="A1717" s="1" t="n">
        <v>44491</v>
      </c>
      <c r="B1717">
        <f>_xlfn.NUMBERVALUE("-0.003576")</f>
        <v/>
      </c>
      <c r="C1717" s="2">
        <f>_xlfn.NUMBERVALUE("-0.000062")</f>
        <v/>
      </c>
      <c r="D1717">
        <f>_xlfn.NUMBERVALUE("0.001177")</f>
        <v/>
      </c>
      <c r="E1717">
        <f>_xlfn.NUMBERVALUE("0.000509")</f>
        <v/>
      </c>
      <c r="F1717">
        <f>_xlfn.NUMBERVALUE("-0.000925")</f>
        <v/>
      </c>
      <c r="G1717">
        <f>_xlfn.NUMBERVALUE("0.000981")</f>
        <v/>
      </c>
      <c r="H1717">
        <f>_xlfn.NUMBERVALUE("0.000018")</f>
        <v/>
      </c>
      <c r="I1717">
        <f>_xlfn.NUMBERVALUE("0.001557")</f>
        <v/>
      </c>
      <c r="J1717">
        <f>_xlfn.NUMBERVALUE("0.000956")</f>
        <v/>
      </c>
      <c r="K1717">
        <f>_xlfn.NUMBERVALUE("0.001271")</f>
        <v/>
      </c>
      <c r="L1717">
        <f>_xlfn.NUMBERVALUE("-0.000351")</f>
        <v/>
      </c>
      <c r="M1717">
        <f>_xlfn.NUMBERVALUE("0.000220")</f>
        <v/>
      </c>
      <c r="N1717">
        <f>_xlfn.NUMBERVALUE("-0.000650")</f>
        <v/>
      </c>
      <c r="O1717">
        <f>_xlfn.NUMBERVALUE("0.000391")</f>
        <v/>
      </c>
      <c r="P1717">
        <f>_xlfn.NUMBERVALUE("-0.002026")</f>
        <v/>
      </c>
      <c r="Q1717">
        <f>_xlfn.NUMBERVALUE("0.001671")</f>
        <v/>
      </c>
      <c r="R1717">
        <f>_xlfn.NUMBERVALUE("0.000291")</f>
        <v/>
      </c>
      <c r="S1717">
        <f>_xlfn.NUMBERVALUE("-0.000741")</f>
        <v/>
      </c>
      <c r="T1717">
        <f>_xlfn.NUMBERVALUE("-0.000129")</f>
        <v/>
      </c>
      <c r="U1717">
        <f>_xlfn.NUMBERVALUE("0.003187")</f>
        <v/>
      </c>
      <c r="V1717">
        <f>_xlfn.NUMBERVALUE("0.000490")</f>
        <v/>
      </c>
      <c r="W1717">
        <f>_xlfn.NUMBERVALUE("0.000221")</f>
        <v/>
      </c>
      <c r="X1717">
        <f>_xlfn.NUMBERVALUE("0.420000")</f>
        <v/>
      </c>
      <c r="Y1717">
        <f>_xlfn.NUMBERVALUE("15.430000")</f>
        <v/>
      </c>
    </row>
    <row r="1718">
      <c r="A1718" s="1" t="n">
        <v>44494</v>
      </c>
      <c r="B1718">
        <f>_xlfn.NUMBERVALUE("-0.011072")</f>
        <v/>
      </c>
      <c r="C1718" s="2">
        <f>_xlfn.NUMBERVALUE("0.000613")</f>
        <v/>
      </c>
      <c r="D1718">
        <f>_xlfn.NUMBERVALUE("0.000185")</f>
        <v/>
      </c>
      <c r="E1718">
        <f>_xlfn.NUMBERVALUE("0.000416")</f>
        <v/>
      </c>
      <c r="F1718">
        <f>_xlfn.NUMBERVALUE("-0.000854")</f>
        <v/>
      </c>
      <c r="G1718">
        <f>_xlfn.NUMBERVALUE("-0.000305")</f>
        <v/>
      </c>
      <c r="H1718">
        <f>_xlfn.NUMBERVALUE("0.000659")</f>
        <v/>
      </c>
      <c r="I1718">
        <f>_xlfn.NUMBERVALUE("-0.000614")</f>
        <v/>
      </c>
      <c r="J1718">
        <f>_xlfn.NUMBERVALUE("0.001146")</f>
        <v/>
      </c>
      <c r="K1718">
        <f>_xlfn.NUMBERVALUE("-0.000160")</f>
        <v/>
      </c>
      <c r="L1718">
        <f>_xlfn.NUMBERVALUE("0.002589")</f>
        <v/>
      </c>
      <c r="M1718">
        <f>_xlfn.NUMBERVALUE("0.000836")</f>
        <v/>
      </c>
      <c r="N1718">
        <f>_xlfn.NUMBERVALUE("0.000457")</f>
        <v/>
      </c>
      <c r="O1718">
        <f>_xlfn.NUMBERVALUE("-0.000208")</f>
        <v/>
      </c>
      <c r="P1718">
        <f>_xlfn.NUMBERVALUE("0.003010")</f>
        <v/>
      </c>
      <c r="Q1718">
        <f>_xlfn.NUMBERVALUE("0.000305")</f>
        <v/>
      </c>
      <c r="R1718">
        <f>_xlfn.NUMBERVALUE("0.001057")</f>
        <v/>
      </c>
      <c r="S1718">
        <f>_xlfn.NUMBERVALUE("0.001219")</f>
        <v/>
      </c>
      <c r="T1718">
        <f>_xlfn.NUMBERVALUE("0.001626")</f>
        <v/>
      </c>
      <c r="U1718">
        <f>_xlfn.NUMBERVALUE("-0.003837")</f>
        <v/>
      </c>
      <c r="V1718">
        <f>_xlfn.NUMBERVALUE("0.000384")</f>
        <v/>
      </c>
      <c r="W1718">
        <f>_xlfn.NUMBERVALUE("0.004745")</f>
        <v/>
      </c>
      <c r="X1718">
        <f>_xlfn.NUMBERVALUE("-0.190000")</f>
        <v/>
      </c>
      <c r="Y1718">
        <f>_xlfn.NUMBERVALUE("15.240000")</f>
        <v/>
      </c>
    </row>
    <row r="1719">
      <c r="A1719" s="1" t="n">
        <v>44495</v>
      </c>
      <c r="B1719">
        <f>_xlfn.NUMBERVALUE("0.001503")</f>
        <v/>
      </c>
      <c r="C1719" s="2">
        <f>_xlfn.NUMBERVALUE("0.000425")</f>
        <v/>
      </c>
      <c r="D1719">
        <f>_xlfn.NUMBERVALUE("-0.000257")</f>
        <v/>
      </c>
      <c r="E1719">
        <f>_xlfn.NUMBERVALUE("0.000059")</f>
        <v/>
      </c>
      <c r="F1719">
        <f>_xlfn.NUMBERVALUE("0.001982")</f>
        <v/>
      </c>
      <c r="G1719">
        <f>_xlfn.NUMBERVALUE("0.000294")</f>
        <v/>
      </c>
      <c r="H1719">
        <f>_xlfn.NUMBERVALUE("0.000420")</f>
        <v/>
      </c>
      <c r="I1719">
        <f>_xlfn.NUMBERVALUE("0.000870")</f>
        <v/>
      </c>
      <c r="J1719">
        <f>_xlfn.NUMBERVALUE("-0.000038")</f>
        <v/>
      </c>
      <c r="K1719">
        <f>_xlfn.NUMBERVALUE("0.001133")</f>
        <v/>
      </c>
      <c r="L1719">
        <f>_xlfn.NUMBERVALUE("0.000287")</f>
        <v/>
      </c>
      <c r="M1719">
        <f>_xlfn.NUMBERVALUE("-0.000116")</f>
        <v/>
      </c>
      <c r="N1719">
        <f>_xlfn.NUMBERVALUE("0.000198")</f>
        <v/>
      </c>
      <c r="O1719">
        <f>_xlfn.NUMBERVALUE("0.000536")</f>
        <v/>
      </c>
      <c r="P1719">
        <f>_xlfn.NUMBERVALUE("-0.001982")</f>
        <v/>
      </c>
      <c r="Q1719">
        <f>_xlfn.NUMBERVALUE("-0.000345")</f>
        <v/>
      </c>
      <c r="R1719">
        <f>_xlfn.NUMBERVALUE("0.000399")</f>
        <v/>
      </c>
      <c r="S1719">
        <f>_xlfn.NUMBERVALUE("-0.000202")</f>
        <v/>
      </c>
      <c r="T1719">
        <f>_xlfn.NUMBERVALUE("-0.000123")</f>
        <v/>
      </c>
      <c r="U1719">
        <f>_xlfn.NUMBERVALUE("0.000391")</f>
        <v/>
      </c>
      <c r="V1719">
        <f>_xlfn.NUMBERVALUE("0.000011")</f>
        <v/>
      </c>
      <c r="W1719">
        <f>_xlfn.NUMBERVALUE("0.004217")</f>
        <v/>
      </c>
      <c r="X1719">
        <f>_xlfn.NUMBERVALUE("0.740000")</f>
        <v/>
      </c>
      <c r="Y1719">
        <f>_xlfn.NUMBERVALUE("15.980000")</f>
        <v/>
      </c>
    </row>
    <row r="1720">
      <c r="A1720" s="1" t="n">
        <v>44496</v>
      </c>
      <c r="B1720">
        <f>_xlfn.NUMBERVALUE("0.000605")</f>
        <v/>
      </c>
      <c r="C1720" s="2">
        <f>_xlfn.NUMBERVALUE("0.000844")</f>
        <v/>
      </c>
      <c r="D1720">
        <f>_xlfn.NUMBERVALUE("-0.000181")</f>
        <v/>
      </c>
      <c r="E1720">
        <f>_xlfn.NUMBERVALUE("0.000160")</f>
        <v/>
      </c>
      <c r="F1720">
        <f>_xlfn.NUMBERVALUE("0.000404")</f>
        <v/>
      </c>
      <c r="G1720">
        <f>_xlfn.NUMBERVALUE("0.000025")</f>
        <v/>
      </c>
      <c r="H1720">
        <f>_xlfn.NUMBERVALUE("-0.000870")</f>
        <v/>
      </c>
      <c r="I1720">
        <f>_xlfn.NUMBERVALUE("-0.001418")</f>
        <v/>
      </c>
      <c r="J1720">
        <f>_xlfn.NUMBERVALUE("-0.001493")</f>
        <v/>
      </c>
      <c r="K1720">
        <f>_xlfn.NUMBERVALUE("-0.000079")</f>
        <v/>
      </c>
      <c r="L1720">
        <f>_xlfn.NUMBERVALUE("-0.006748")</f>
        <v/>
      </c>
      <c r="M1720">
        <f>_xlfn.NUMBERVALUE("0.000285")</f>
        <v/>
      </c>
      <c r="N1720">
        <f>_xlfn.NUMBERVALUE("0.000553")</f>
        <v/>
      </c>
      <c r="O1720">
        <f>_xlfn.NUMBERVALUE("-0.000621")</f>
        <v/>
      </c>
      <c r="P1720">
        <f>_xlfn.NUMBERVALUE("0.001469")</f>
        <v/>
      </c>
      <c r="Q1720">
        <f>_xlfn.NUMBERVALUE("0.002524")</f>
        <v/>
      </c>
      <c r="R1720">
        <f>_xlfn.NUMBERVALUE("0.000094")</f>
        <v/>
      </c>
      <c r="S1720">
        <f>_xlfn.NUMBERVALUE("0.000806")</f>
        <v/>
      </c>
      <c r="T1720">
        <f>_xlfn.NUMBERVALUE("0.000933")</f>
        <v/>
      </c>
      <c r="U1720">
        <f>_xlfn.NUMBERVALUE("0.003914")</f>
        <v/>
      </c>
      <c r="V1720">
        <f>_xlfn.NUMBERVALUE("0.000040")</f>
        <v/>
      </c>
      <c r="W1720">
        <f>_xlfn.NUMBERVALUE("-0.004593")</f>
        <v/>
      </c>
      <c r="X1720">
        <f>_xlfn.NUMBERVALUE("1.000000")</f>
        <v/>
      </c>
      <c r="Y1720">
        <f>_xlfn.NUMBERVALUE("16.980000")</f>
        <v/>
      </c>
    </row>
    <row r="1721">
      <c r="A1721" s="1" t="n">
        <v>44497</v>
      </c>
      <c r="B1721">
        <f>_xlfn.NUMBERVALUE("-0.002161")</f>
        <v/>
      </c>
      <c r="C1721" s="2">
        <f>_xlfn.NUMBERVALUE("-0.000579")</f>
        <v/>
      </c>
      <c r="D1721">
        <f>_xlfn.NUMBERVALUE("0.001365")</f>
        <v/>
      </c>
      <c r="E1721">
        <f>_xlfn.NUMBERVALUE("-0.000111")</f>
        <v/>
      </c>
      <c r="F1721">
        <f>_xlfn.NUMBERVALUE("0.001460")</f>
        <v/>
      </c>
      <c r="G1721">
        <f>_xlfn.NUMBERVALUE("0.000861")</f>
        <v/>
      </c>
      <c r="H1721">
        <f>_xlfn.NUMBERVALUE("-0.000045")</f>
        <v/>
      </c>
      <c r="I1721">
        <f>_xlfn.NUMBERVALUE("-0.001636")</f>
        <v/>
      </c>
      <c r="J1721">
        <f>_xlfn.NUMBERVALUE("0.000947")</f>
        <v/>
      </c>
      <c r="K1721">
        <f>_xlfn.NUMBERVALUE("0.001935")</f>
        <v/>
      </c>
      <c r="L1721">
        <f>_xlfn.NUMBERVALUE("0.001646")</f>
        <v/>
      </c>
      <c r="M1721">
        <f>_xlfn.NUMBERVALUE("0.001786")</f>
        <v/>
      </c>
      <c r="N1721">
        <f>_xlfn.NUMBERVALUE("0.001702")</f>
        <v/>
      </c>
      <c r="O1721">
        <f>_xlfn.NUMBERVALUE("0.001233")</f>
        <v/>
      </c>
      <c r="P1721">
        <f>_xlfn.NUMBERVALUE("-0.002942")</f>
        <v/>
      </c>
      <c r="Q1721">
        <f>_xlfn.NUMBERVALUE("-0.003166")</f>
        <v/>
      </c>
      <c r="R1721">
        <f>_xlfn.NUMBERVALUE("0.002186")</f>
        <v/>
      </c>
      <c r="S1721">
        <f>_xlfn.NUMBERVALUE("0.000985")</f>
        <v/>
      </c>
      <c r="T1721">
        <f>_xlfn.NUMBERVALUE("0.000534")</f>
        <v/>
      </c>
      <c r="U1721">
        <f>_xlfn.NUMBERVALUE("-0.002833")</f>
        <v/>
      </c>
      <c r="V1721">
        <f>_xlfn.NUMBERVALUE("0.000017")</f>
        <v/>
      </c>
      <c r="W1721">
        <f>_xlfn.NUMBERVALUE("0.004592")</f>
        <v/>
      </c>
      <c r="X1721">
        <f>_xlfn.NUMBERVALUE("-0.450000")</f>
        <v/>
      </c>
      <c r="Y1721">
        <f>_xlfn.NUMBERVALUE("16.530000")</f>
        <v/>
      </c>
    </row>
    <row r="1722">
      <c r="A1722" s="1" t="n">
        <v>44498</v>
      </c>
      <c r="B1722">
        <f>_xlfn.NUMBERVALUE("0.001274")</f>
        <v/>
      </c>
      <c r="C1722" s="2">
        <f>_xlfn.NUMBERVALUE("-0.000073")</f>
        <v/>
      </c>
      <c r="D1722">
        <f>_xlfn.NUMBERVALUE("-0.000106")</f>
        <v/>
      </c>
      <c r="E1722">
        <f>_xlfn.NUMBERVALUE("0.000373")</f>
        <v/>
      </c>
      <c r="F1722">
        <f>_xlfn.NUMBERVALUE("0.000307")</f>
        <v/>
      </c>
      <c r="G1722">
        <f>_xlfn.NUMBERVALUE("0.000913")</f>
        <v/>
      </c>
      <c r="H1722">
        <f>_xlfn.NUMBERVALUE("0.000048")</f>
        <v/>
      </c>
      <c r="I1722">
        <f>_xlfn.NUMBERVALUE("0.000787")</f>
        <v/>
      </c>
      <c r="J1722">
        <f>_xlfn.NUMBERVALUE("0.000198")</f>
        <v/>
      </c>
      <c r="K1722">
        <f>_xlfn.NUMBERVALUE("0.000160")</f>
        <v/>
      </c>
      <c r="L1722">
        <f>_xlfn.NUMBERVALUE("0.000096")</f>
        <v/>
      </c>
      <c r="M1722">
        <f>_xlfn.NUMBERVALUE("-0.001385")</f>
        <v/>
      </c>
      <c r="N1722">
        <f>_xlfn.NUMBERVALUE("0.001242")</f>
        <v/>
      </c>
      <c r="O1722">
        <f>_xlfn.NUMBERVALUE("0.002137")</f>
        <v/>
      </c>
      <c r="P1722">
        <f>_xlfn.NUMBERVALUE("0.000959")</f>
        <v/>
      </c>
      <c r="Q1722">
        <f>_xlfn.NUMBERVALUE("0.001184")</f>
        <v/>
      </c>
      <c r="R1722">
        <f>_xlfn.NUMBERVALUE("-0.001447")</f>
        <v/>
      </c>
      <c r="S1722">
        <f>_xlfn.NUMBERVALUE("0.000699")</f>
        <v/>
      </c>
      <c r="T1722">
        <f>_xlfn.NUMBERVALUE("0.001203")</f>
        <v/>
      </c>
      <c r="U1722">
        <f>_xlfn.NUMBERVALUE("-0.001059")</f>
        <v/>
      </c>
      <c r="V1722">
        <f>_xlfn.NUMBERVALUE("-0.000011")</f>
        <v/>
      </c>
      <c r="W1722">
        <f>_xlfn.NUMBERVALUE("0.003314")</f>
        <v/>
      </c>
      <c r="X1722">
        <f>_xlfn.NUMBERVALUE("-0.270000")</f>
        <v/>
      </c>
      <c r="Y1722">
        <f>_xlfn.NUMBERVALUE("16.260000")</f>
        <v/>
      </c>
    </row>
    <row r="1723">
      <c r="A1723" s="1" t="n">
        <v>44501</v>
      </c>
      <c r="B1723">
        <f>_xlfn.NUMBERVALUE("-0.002897")</f>
        <v/>
      </c>
      <c r="C1723" s="2">
        <f>_xlfn.NUMBERVALUE("-0.000002")</f>
        <v/>
      </c>
      <c r="D1723">
        <f>_xlfn.NUMBERVALUE("0.000403")</f>
        <v/>
      </c>
      <c r="E1723">
        <f>_xlfn.NUMBERVALUE("-0.000328")</f>
        <v/>
      </c>
      <c r="F1723">
        <f>_xlfn.NUMBERVALUE("0.002529")</f>
        <v/>
      </c>
      <c r="G1723">
        <f>_xlfn.NUMBERVALUE("0.001015")</f>
        <v/>
      </c>
      <c r="H1723">
        <f>_xlfn.NUMBERVALUE("0.001284")</f>
        <v/>
      </c>
      <c r="I1723">
        <f>_xlfn.NUMBERVALUE("-0.001941")</f>
        <v/>
      </c>
      <c r="J1723">
        <f>_xlfn.NUMBERVALUE("0.000065")</f>
        <v/>
      </c>
      <c r="K1723">
        <f>_xlfn.NUMBERVALUE("0.000591")</f>
        <v/>
      </c>
      <c r="L1723">
        <f>_xlfn.NUMBERVALUE("0.001758")</f>
        <v/>
      </c>
      <c r="M1723">
        <f>_xlfn.NUMBERVALUE("-0.000569")</f>
        <v/>
      </c>
      <c r="N1723">
        <f>_xlfn.NUMBERVALUE("0.001740")</f>
        <v/>
      </c>
      <c r="O1723">
        <f>_xlfn.NUMBERVALUE("-0.000069")</f>
        <v/>
      </c>
      <c r="P1723">
        <f>_xlfn.NUMBERVALUE("0.001280")</f>
        <v/>
      </c>
      <c r="Q1723">
        <f>_xlfn.NUMBERVALUE("0.000148")</f>
        <v/>
      </c>
      <c r="R1723">
        <f>_xlfn.NUMBERVALUE("0.000633")</f>
        <v/>
      </c>
      <c r="S1723">
        <f>_xlfn.NUMBERVALUE("0.000066")</f>
        <v/>
      </c>
      <c r="T1723">
        <f>_xlfn.NUMBERVALUE("0.000983")</f>
        <v/>
      </c>
      <c r="U1723">
        <f>_xlfn.NUMBERVALUE("-0.000283")</f>
        <v/>
      </c>
      <c r="V1723">
        <f>_xlfn.NUMBERVALUE("0.000018")</f>
        <v/>
      </c>
      <c r="W1723">
        <f>_xlfn.NUMBERVALUE("0.002125")</f>
        <v/>
      </c>
      <c r="X1723">
        <f>_xlfn.NUMBERVALUE("0.150000")</f>
        <v/>
      </c>
      <c r="Y1723">
        <f>_xlfn.NUMBERVALUE("16.410000")</f>
        <v/>
      </c>
    </row>
    <row r="1724">
      <c r="A1724" s="1" t="n">
        <v>44502</v>
      </c>
      <c r="B1724">
        <f>_xlfn.NUMBERVALUE("0.002100")</f>
        <v/>
      </c>
      <c r="C1724" s="2">
        <f>_xlfn.NUMBERVALUE("-0.000005")</f>
        <v/>
      </c>
      <c r="D1724">
        <f>_xlfn.NUMBERVALUE("0.000009")</f>
        <v/>
      </c>
      <c r="E1724">
        <f>_xlfn.NUMBERVALUE("-0.000081")</f>
        <v/>
      </c>
      <c r="F1724">
        <f>_xlfn.NUMBERVALUE("0.002173")</f>
        <v/>
      </c>
      <c r="G1724">
        <f>_xlfn.NUMBERVALUE("0.000130")</f>
        <v/>
      </c>
      <c r="H1724">
        <f>_xlfn.NUMBERVALUE("0.000444")</f>
        <v/>
      </c>
      <c r="I1724">
        <f>_xlfn.NUMBERVALUE("-0.000011")</f>
        <v/>
      </c>
      <c r="J1724">
        <f>_xlfn.NUMBERVALUE("0.002299")</f>
        <v/>
      </c>
      <c r="K1724">
        <f>_xlfn.NUMBERVALUE("-0.000070")</f>
        <v/>
      </c>
      <c r="L1724">
        <f>_xlfn.NUMBERVALUE("0.000866")</f>
        <v/>
      </c>
      <c r="M1724">
        <f>_xlfn.NUMBERVALUE("0.000228")</f>
        <v/>
      </c>
      <c r="N1724">
        <f>_xlfn.NUMBERVALUE("0.001318")</f>
        <v/>
      </c>
      <c r="O1724">
        <f>_xlfn.NUMBERVALUE("0.000779")</f>
        <v/>
      </c>
      <c r="P1724">
        <f>_xlfn.NUMBERVALUE("0.001214")</f>
        <v/>
      </c>
      <c r="Q1724">
        <f>_xlfn.NUMBERVALUE("0.000605")</f>
        <v/>
      </c>
      <c r="R1724">
        <f>_xlfn.NUMBERVALUE("0.000299")</f>
        <v/>
      </c>
      <c r="S1724">
        <f>_xlfn.NUMBERVALUE("-0.000294")</f>
        <v/>
      </c>
      <c r="T1724">
        <f>_xlfn.NUMBERVALUE("-0.000079")</f>
        <v/>
      </c>
      <c r="U1724">
        <f>_xlfn.NUMBERVALUE("0.000109")</f>
        <v/>
      </c>
      <c r="V1724">
        <f>_xlfn.NUMBERVALUE("-0.000031")</f>
        <v/>
      </c>
      <c r="W1724">
        <f>_xlfn.NUMBERVALUE("0.002404")</f>
        <v/>
      </c>
      <c r="X1724">
        <f>_xlfn.NUMBERVALUE("-0.380000")</f>
        <v/>
      </c>
      <c r="Y1724">
        <f>_xlfn.NUMBERVALUE("16.030000")</f>
        <v/>
      </c>
    </row>
    <row r="1725">
      <c r="A1725" s="1" t="n">
        <v>44503</v>
      </c>
      <c r="B1725">
        <f>_xlfn.NUMBERVALUE("-0.000504")</f>
        <v/>
      </c>
      <c r="C1725" s="2">
        <f>_xlfn.NUMBERVALUE("0.001825")</f>
        <v/>
      </c>
      <c r="D1725">
        <f>_xlfn.NUMBERVALUE("0.000839")</f>
        <v/>
      </c>
      <c r="E1725">
        <f>_xlfn.NUMBERVALUE("-0.000827")</f>
        <v/>
      </c>
      <c r="F1725">
        <f>_xlfn.NUMBERVALUE("0.000456")</f>
        <v/>
      </c>
      <c r="G1725">
        <f>_xlfn.NUMBERVALUE("0.000403")</f>
        <v/>
      </c>
      <c r="H1725">
        <f>_xlfn.NUMBERVALUE("0.001087")</f>
        <v/>
      </c>
      <c r="I1725">
        <f>_xlfn.NUMBERVALUE("-0.005361")</f>
        <v/>
      </c>
      <c r="J1725">
        <f>_xlfn.NUMBERVALUE("0.000648")</f>
        <v/>
      </c>
      <c r="K1725">
        <f>_xlfn.NUMBERVALUE("-0.001104")</f>
        <v/>
      </c>
      <c r="L1725">
        <f>_xlfn.NUMBERVALUE("0.000841")</f>
        <v/>
      </c>
      <c r="M1725">
        <f>_xlfn.NUMBERVALUE("0.000085")</f>
        <v/>
      </c>
      <c r="N1725">
        <f>_xlfn.NUMBERVALUE("0.000850")</f>
        <v/>
      </c>
      <c r="O1725">
        <f>_xlfn.NUMBERVALUE("0.001056")</f>
        <v/>
      </c>
      <c r="P1725">
        <f>_xlfn.NUMBERVALUE("0.000300")</f>
        <v/>
      </c>
      <c r="Q1725">
        <f>_xlfn.NUMBERVALUE("0.000080")</f>
        <v/>
      </c>
      <c r="R1725">
        <f>_xlfn.NUMBERVALUE("-0.000126")</f>
        <v/>
      </c>
      <c r="S1725">
        <f>_xlfn.NUMBERVALUE("0.000186")</f>
        <v/>
      </c>
      <c r="T1725">
        <f>_xlfn.NUMBERVALUE("0.001201")</f>
        <v/>
      </c>
      <c r="U1725">
        <f>_xlfn.NUMBERVALUE("0.000270")</f>
        <v/>
      </c>
      <c r="V1725">
        <f>_xlfn.NUMBERVALUE("0.000613")</f>
        <v/>
      </c>
      <c r="W1725">
        <f>_xlfn.NUMBERVALUE("0.006278")</f>
        <v/>
      </c>
      <c r="X1725">
        <f>_xlfn.NUMBERVALUE("-0.930000")</f>
        <v/>
      </c>
      <c r="Y1725">
        <f>_xlfn.NUMBERVALUE("15.100000")</f>
        <v/>
      </c>
    </row>
    <row r="1726">
      <c r="A1726" s="1" t="n">
        <v>44504</v>
      </c>
      <c r="B1726">
        <f>_xlfn.NUMBERVALUE("-0.001865")</f>
        <v/>
      </c>
      <c r="C1726" s="2">
        <f>_xlfn.NUMBERVALUE("0.001079")</f>
        <v/>
      </c>
      <c r="D1726">
        <f>_xlfn.NUMBERVALUE("0.001805")</f>
        <v/>
      </c>
      <c r="E1726">
        <f>_xlfn.NUMBERVALUE("0.000643")</f>
        <v/>
      </c>
      <c r="F1726">
        <f>_xlfn.NUMBERVALUE("0.000128")</f>
        <v/>
      </c>
      <c r="G1726">
        <f>_xlfn.NUMBERVALUE("-0.000529")</f>
        <v/>
      </c>
      <c r="H1726">
        <f>_xlfn.NUMBERVALUE("-0.000394")</f>
        <v/>
      </c>
      <c r="I1726">
        <f>_xlfn.NUMBERVALUE("0.001498")</f>
        <v/>
      </c>
      <c r="J1726">
        <f>_xlfn.NUMBERVALUE("-0.000010")</f>
        <v/>
      </c>
      <c r="K1726">
        <f>_xlfn.NUMBERVALUE("0.002234")</f>
        <v/>
      </c>
      <c r="L1726">
        <f>_xlfn.NUMBERVALUE("0.000837")</f>
        <v/>
      </c>
      <c r="M1726">
        <f>_xlfn.NUMBERVALUE("-0.000514")</f>
        <v/>
      </c>
      <c r="N1726">
        <f>_xlfn.NUMBERVALUE("-0.000687")</f>
        <v/>
      </c>
      <c r="O1726">
        <f>_xlfn.NUMBERVALUE("0.001452")</f>
        <v/>
      </c>
      <c r="P1726">
        <f>_xlfn.NUMBERVALUE("0.000025")</f>
        <v/>
      </c>
      <c r="Q1726">
        <f>_xlfn.NUMBERVALUE("0.000173")</f>
        <v/>
      </c>
      <c r="R1726">
        <f>_xlfn.NUMBERVALUE("-0.000274")</f>
        <v/>
      </c>
      <c r="S1726">
        <f>_xlfn.NUMBERVALUE("-0.000466")</f>
        <v/>
      </c>
      <c r="T1726">
        <f>_xlfn.NUMBERVALUE("0.000909")</f>
        <v/>
      </c>
      <c r="U1726">
        <f>_xlfn.NUMBERVALUE("-0.000388")</f>
        <v/>
      </c>
      <c r="V1726">
        <f>_xlfn.NUMBERVALUE("-0.000937")</f>
        <v/>
      </c>
      <c r="W1726">
        <f>_xlfn.NUMBERVALUE("0.002324")</f>
        <v/>
      </c>
      <c r="X1726">
        <f>_xlfn.NUMBERVALUE("0.340000")</f>
        <v/>
      </c>
      <c r="Y1726">
        <f>_xlfn.NUMBERVALUE("15.440000")</f>
        <v/>
      </c>
    </row>
    <row r="1727">
      <c r="A1727" s="1" t="n">
        <v>44505</v>
      </c>
      <c r="B1727">
        <f>_xlfn.NUMBERVALUE("0.002996")</f>
        <v/>
      </c>
      <c r="C1727" s="2">
        <f>_xlfn.NUMBERVALUE("-0.003269")</f>
        <v/>
      </c>
      <c r="D1727">
        <f>_xlfn.NUMBERVALUE("0.002139")</f>
        <v/>
      </c>
      <c r="E1727">
        <f>_xlfn.NUMBERVALUE("0.000892")</f>
        <v/>
      </c>
      <c r="F1727">
        <f>_xlfn.NUMBERVALUE("-0.003031")</f>
        <v/>
      </c>
      <c r="G1727">
        <f>_xlfn.NUMBERVALUE("0.000314")</f>
        <v/>
      </c>
      <c r="H1727">
        <f>_xlfn.NUMBERVALUE("-0.002687")</f>
        <v/>
      </c>
      <c r="I1727">
        <f>_xlfn.NUMBERVALUE("-0.003020")</f>
        <v/>
      </c>
      <c r="J1727">
        <f>_xlfn.NUMBERVALUE("-0.002376")</f>
        <v/>
      </c>
      <c r="K1727">
        <f>_xlfn.NUMBERVALUE("-0.000951")</f>
        <v/>
      </c>
      <c r="L1727">
        <f>_xlfn.NUMBERVALUE("-0.005019")</f>
        <v/>
      </c>
      <c r="M1727">
        <f>_xlfn.NUMBERVALUE("-0.000065")</f>
        <v/>
      </c>
      <c r="N1727">
        <f>_xlfn.NUMBERVALUE("-0.001352")</f>
        <v/>
      </c>
      <c r="O1727">
        <f>_xlfn.NUMBERVALUE("-0.000751")</f>
        <v/>
      </c>
      <c r="P1727">
        <f>_xlfn.NUMBERVALUE("0.000102")</f>
        <v/>
      </c>
      <c r="Q1727">
        <f>_xlfn.NUMBERVALUE("-0.000140")</f>
        <v/>
      </c>
      <c r="R1727">
        <f>_xlfn.NUMBERVALUE("-0.000132")</f>
        <v/>
      </c>
      <c r="S1727">
        <f>_xlfn.NUMBERVALUE("-0.000000")</f>
        <v/>
      </c>
      <c r="T1727">
        <f>_xlfn.NUMBERVALUE("-0.000575")</f>
        <v/>
      </c>
      <c r="U1727">
        <f>_xlfn.NUMBERVALUE("-0.000000")</f>
        <v/>
      </c>
      <c r="V1727">
        <f>_xlfn.NUMBERVALUE("-0.001829")</f>
        <v/>
      </c>
      <c r="W1727">
        <f>_xlfn.NUMBERVALUE("0.006010")</f>
        <v/>
      </c>
      <c r="X1727">
        <f>_xlfn.NUMBERVALUE("1.040000")</f>
        <v/>
      </c>
      <c r="Y1727">
        <f>_xlfn.NUMBERVALUE("16.480000")</f>
        <v/>
      </c>
    </row>
    <row r="1728">
      <c r="A1728" s="1" t="n">
        <v>44508</v>
      </c>
      <c r="B1728">
        <f>_xlfn.NUMBERVALUE("0.001060")</f>
        <v/>
      </c>
      <c r="C1728" s="2">
        <f>_xlfn.NUMBERVALUE("0.001039")</f>
        <v/>
      </c>
      <c r="D1728">
        <f>_xlfn.NUMBERVALUE("-0.000731")</f>
        <v/>
      </c>
      <c r="E1728">
        <f>_xlfn.NUMBERVALUE("0.001180")</f>
        <v/>
      </c>
      <c r="F1728">
        <f>_xlfn.NUMBERVALUE("0.001377")</f>
        <v/>
      </c>
      <c r="G1728">
        <f>_xlfn.NUMBERVALUE("-0.000177")</f>
        <v/>
      </c>
      <c r="H1728">
        <f>_xlfn.NUMBERVALUE("0.001781")</f>
        <v/>
      </c>
      <c r="I1728">
        <f>_xlfn.NUMBERVALUE("0.000819")</f>
        <v/>
      </c>
      <c r="J1728">
        <f>_xlfn.NUMBERVALUE("0.000238")</f>
        <v/>
      </c>
      <c r="K1728">
        <f>_xlfn.NUMBERVALUE("0.000446")</f>
        <v/>
      </c>
      <c r="L1728">
        <f>_xlfn.NUMBERVALUE("0.002418")</f>
        <v/>
      </c>
      <c r="M1728">
        <f>_xlfn.NUMBERVALUE("-0.001658")</f>
        <v/>
      </c>
      <c r="N1728">
        <f>_xlfn.NUMBERVALUE("0.002966")</f>
        <v/>
      </c>
      <c r="O1728">
        <f>_xlfn.NUMBERVALUE("0.000999")</f>
        <v/>
      </c>
      <c r="P1728">
        <f>_xlfn.NUMBERVALUE("0.001525")</f>
        <v/>
      </c>
      <c r="Q1728">
        <f>_xlfn.NUMBERVALUE("0.001484")</f>
        <v/>
      </c>
      <c r="R1728">
        <f>_xlfn.NUMBERVALUE("0.000751")</f>
        <v/>
      </c>
      <c r="S1728">
        <f>_xlfn.NUMBERVALUE("-0.000391")</f>
        <v/>
      </c>
      <c r="T1728">
        <f>_xlfn.NUMBERVALUE("-0.003223")</f>
        <v/>
      </c>
      <c r="U1728">
        <f>_xlfn.NUMBERVALUE("-0.000894")</f>
        <v/>
      </c>
      <c r="V1728">
        <f>_xlfn.NUMBERVALUE("0.000765")</f>
        <v/>
      </c>
      <c r="W1728">
        <f>_xlfn.NUMBERVALUE("0.000021")</f>
        <v/>
      </c>
      <c r="X1728">
        <f>_xlfn.NUMBERVALUE("0.740000")</f>
        <v/>
      </c>
      <c r="Y1728">
        <f>_xlfn.NUMBERVALUE("17.220000")</f>
        <v/>
      </c>
    </row>
    <row r="1729">
      <c r="A1729" s="1" t="n">
        <v>44509</v>
      </c>
      <c r="B1729">
        <f>_xlfn.NUMBERVALUE("-0.000879")</f>
        <v/>
      </c>
      <c r="C1729" s="2">
        <f>_xlfn.NUMBERVALUE("-0.000338")</f>
        <v/>
      </c>
      <c r="D1729">
        <f>_xlfn.NUMBERVALUE("0.000253")</f>
        <v/>
      </c>
      <c r="E1729">
        <f>_xlfn.NUMBERVALUE("0.000294")</f>
        <v/>
      </c>
      <c r="F1729">
        <f>_xlfn.NUMBERVALUE("0.000176")</f>
        <v/>
      </c>
      <c r="G1729">
        <f>_xlfn.NUMBERVALUE("0.000535")</f>
        <v/>
      </c>
      <c r="H1729">
        <f>_xlfn.NUMBERVALUE("-0.000708")</f>
        <v/>
      </c>
      <c r="I1729">
        <f>_xlfn.NUMBERVALUE("-0.000086")</f>
        <v/>
      </c>
      <c r="J1729">
        <f>_xlfn.NUMBERVALUE("-0.000073")</f>
        <v/>
      </c>
      <c r="K1729">
        <f>_xlfn.NUMBERVALUE("0.001754")</f>
        <v/>
      </c>
      <c r="L1729">
        <f>_xlfn.NUMBERVALUE("-0.001653")</f>
        <v/>
      </c>
      <c r="M1729">
        <f>_xlfn.NUMBERVALUE("-0.000670")</f>
        <v/>
      </c>
      <c r="N1729">
        <f>_xlfn.NUMBERVALUE("0.001523")</f>
        <v/>
      </c>
      <c r="O1729">
        <f>_xlfn.NUMBERVALUE("0.001412")</f>
        <v/>
      </c>
      <c r="P1729">
        <f>_xlfn.NUMBERVALUE("-0.000173")</f>
        <v/>
      </c>
      <c r="Q1729">
        <f>_xlfn.NUMBERVALUE("0.000232")</f>
        <v/>
      </c>
      <c r="R1729">
        <f>_xlfn.NUMBERVALUE("-0.001238")</f>
        <v/>
      </c>
      <c r="S1729">
        <f>_xlfn.NUMBERVALUE("-0.000374")</f>
        <v/>
      </c>
      <c r="T1729">
        <f>_xlfn.NUMBERVALUE("0.000194")</f>
        <v/>
      </c>
      <c r="U1729">
        <f>_xlfn.NUMBERVALUE("-0.005928")</f>
        <v/>
      </c>
      <c r="V1729">
        <f>_xlfn.NUMBERVALUE("-0.000265")</f>
        <v/>
      </c>
      <c r="W1729">
        <f>_xlfn.NUMBERVALUE("-0.003158")</f>
        <v/>
      </c>
      <c r="X1729">
        <f>_xlfn.NUMBERVALUE("0.560000")</f>
        <v/>
      </c>
      <c r="Y1729">
        <f>_xlfn.NUMBERVALUE("17.780000")</f>
        <v/>
      </c>
    </row>
    <row r="1730">
      <c r="A1730" s="1" t="n">
        <v>44510</v>
      </c>
      <c r="B1730">
        <f>_xlfn.NUMBERVALUE("-0.004059")</f>
        <v/>
      </c>
      <c r="C1730" s="2">
        <f>_xlfn.NUMBERVALUE("-0.001086")</f>
        <v/>
      </c>
      <c r="D1730">
        <f>_xlfn.NUMBERVALUE("0.000101")</f>
        <v/>
      </c>
      <c r="E1730">
        <f>_xlfn.NUMBERVALUE("-0.001774")</f>
        <v/>
      </c>
      <c r="F1730">
        <f>_xlfn.NUMBERVALUE("-0.000910")</f>
        <v/>
      </c>
      <c r="G1730">
        <f>_xlfn.NUMBERVALUE("-0.001271")</f>
        <v/>
      </c>
      <c r="H1730">
        <f>_xlfn.NUMBERVALUE("-0.001160")</f>
        <v/>
      </c>
      <c r="I1730">
        <f>_xlfn.NUMBERVALUE("-0.000518")</f>
        <v/>
      </c>
      <c r="J1730">
        <f>_xlfn.NUMBERVALUE("-0.001112")</f>
        <v/>
      </c>
      <c r="K1730">
        <f>_xlfn.NUMBERVALUE("0.000406")</f>
        <v/>
      </c>
      <c r="L1730">
        <f>_xlfn.NUMBERVALUE("-0.000549")</f>
        <v/>
      </c>
      <c r="M1730">
        <f>_xlfn.NUMBERVALUE("0.000315")</f>
        <v/>
      </c>
      <c r="N1730">
        <f>_xlfn.NUMBERVALUE("-0.001616")</f>
        <v/>
      </c>
      <c r="O1730">
        <f>_xlfn.NUMBERVALUE("-0.003858")</f>
        <v/>
      </c>
      <c r="P1730">
        <f>_xlfn.NUMBERVALUE("0.000270")</f>
        <v/>
      </c>
      <c r="Q1730">
        <f>_xlfn.NUMBERVALUE("-0.000063")</f>
        <v/>
      </c>
      <c r="R1730">
        <f>_xlfn.NUMBERVALUE("-0.002150")</f>
        <v/>
      </c>
      <c r="S1730">
        <f>_xlfn.NUMBERVALUE("0.000347")</f>
        <v/>
      </c>
      <c r="T1730">
        <f>_xlfn.NUMBERVALUE("0.001682")</f>
        <v/>
      </c>
      <c r="U1730">
        <f>_xlfn.NUMBERVALUE("0.000187")</f>
        <v/>
      </c>
      <c r="V1730">
        <f>_xlfn.NUMBERVALUE("-0.000315")</f>
        <v/>
      </c>
      <c r="W1730">
        <f>_xlfn.NUMBERVALUE("-0.008925")</f>
        <v/>
      </c>
      <c r="X1730">
        <f>_xlfn.NUMBERVALUE("0.950000")</f>
        <v/>
      </c>
      <c r="Y1730">
        <f>_xlfn.NUMBERVALUE("18.730000")</f>
        <v/>
      </c>
    </row>
    <row r="1731">
      <c r="A1731" s="1" t="n">
        <v>44511</v>
      </c>
      <c r="B1731">
        <f>_xlfn.NUMBERVALUE("0.007109")</f>
        <v/>
      </c>
      <c r="C1731" s="2">
        <f>_xlfn.NUMBERVALUE("0.003630")</f>
        <v/>
      </c>
      <c r="D1731">
        <f>_xlfn.NUMBERVALUE("-0.003654")</f>
        <v/>
      </c>
      <c r="E1731">
        <f>_xlfn.NUMBERVALUE("0.001480")</f>
        <v/>
      </c>
      <c r="F1731">
        <f>_xlfn.NUMBERVALUE("-0.000443")</f>
        <v/>
      </c>
      <c r="G1731">
        <f>_xlfn.NUMBERVALUE("0.000365")</f>
        <v/>
      </c>
      <c r="H1731">
        <f>_xlfn.NUMBERVALUE("-0.000161")</f>
        <v/>
      </c>
      <c r="I1731">
        <f>_xlfn.NUMBERVALUE("0.002178")</f>
        <v/>
      </c>
      <c r="J1731">
        <f>_xlfn.NUMBERVALUE("-0.000342")</f>
        <v/>
      </c>
      <c r="K1731">
        <f>_xlfn.NUMBERVALUE("-0.003320")</f>
        <v/>
      </c>
      <c r="L1731">
        <f>_xlfn.NUMBERVALUE("0.000419")</f>
        <v/>
      </c>
      <c r="M1731">
        <f>_xlfn.NUMBERVALUE("-0.000058")</f>
        <v/>
      </c>
      <c r="N1731">
        <f>_xlfn.NUMBERVALUE("0.004119")</f>
        <v/>
      </c>
      <c r="O1731">
        <f>_xlfn.NUMBERVALUE("0.003929")</f>
        <v/>
      </c>
      <c r="P1731">
        <f>_xlfn.NUMBERVALUE("0.002256")</f>
        <v/>
      </c>
      <c r="Q1731">
        <f>_xlfn.NUMBERVALUE("0.002477")</f>
        <v/>
      </c>
      <c r="R1731">
        <f>_xlfn.NUMBERVALUE("0.003323")</f>
        <v/>
      </c>
      <c r="S1731">
        <f>_xlfn.NUMBERVALUE("0.000860")</f>
        <v/>
      </c>
      <c r="T1731">
        <f>_xlfn.NUMBERVALUE("0.001484")</f>
        <v/>
      </c>
      <c r="U1731">
        <f>_xlfn.NUMBERVALUE("0.001359")</f>
        <v/>
      </c>
      <c r="V1731">
        <f>_xlfn.NUMBERVALUE("0.002180")</f>
        <v/>
      </c>
      <c r="W1731">
        <f>_xlfn.NUMBERVALUE("0.002376")</f>
        <v/>
      </c>
      <c r="X1731">
        <f>_xlfn.NUMBERVALUE("-1.070000")</f>
        <v/>
      </c>
      <c r="Y1731">
        <f>_xlfn.NUMBERVALUE("17.660000")</f>
        <v/>
      </c>
    </row>
    <row r="1732">
      <c r="A1732" s="1" t="n">
        <v>44512</v>
      </c>
      <c r="B1732">
        <f>_xlfn.NUMBERVALUE("0.005253")</f>
        <v/>
      </c>
      <c r="C1732" s="2">
        <f>_xlfn.NUMBERVALUE("0.000062")</f>
        <v/>
      </c>
      <c r="D1732">
        <f>_xlfn.NUMBERVALUE("0.000881")</f>
        <v/>
      </c>
      <c r="E1732">
        <f>_xlfn.NUMBERVALUE("0.000714")</f>
        <v/>
      </c>
      <c r="F1732">
        <f>_xlfn.NUMBERVALUE("0.000271")</f>
        <v/>
      </c>
      <c r="G1732">
        <f>_xlfn.NUMBERVALUE("0.000558")</f>
        <v/>
      </c>
      <c r="H1732">
        <f>_xlfn.NUMBERVALUE("0.000066")</f>
        <v/>
      </c>
      <c r="I1732">
        <f>_xlfn.NUMBERVALUE("0.003519")</f>
        <v/>
      </c>
      <c r="J1732">
        <f>_xlfn.NUMBERVALUE("0.001908")</f>
        <v/>
      </c>
      <c r="K1732">
        <f>_xlfn.NUMBERVALUE("-0.001203")</f>
        <v/>
      </c>
      <c r="L1732">
        <f>_xlfn.NUMBERVALUE("-0.000107")</f>
        <v/>
      </c>
      <c r="M1732">
        <f>_xlfn.NUMBERVALUE("0.001325")</f>
        <v/>
      </c>
      <c r="N1732">
        <f>_xlfn.NUMBERVALUE("-0.005486")</f>
        <v/>
      </c>
      <c r="O1732">
        <f>_xlfn.NUMBERVALUE("0.003657")</f>
        <v/>
      </c>
      <c r="P1732">
        <f>_xlfn.NUMBERVALUE("0.002107")</f>
        <v/>
      </c>
      <c r="Q1732">
        <f>_xlfn.NUMBERVALUE("0.002004")</f>
        <v/>
      </c>
      <c r="R1732">
        <f>_xlfn.NUMBERVALUE("0.001093")</f>
        <v/>
      </c>
      <c r="S1732">
        <f>_xlfn.NUMBERVALUE("0.001131")</f>
        <v/>
      </c>
      <c r="T1732">
        <f>_xlfn.NUMBERVALUE("0.002485")</f>
        <v/>
      </c>
      <c r="U1732">
        <f>_xlfn.NUMBERVALUE("0.002099")</f>
        <v/>
      </c>
      <c r="V1732">
        <f>_xlfn.NUMBERVALUE("0.001257")</f>
        <v/>
      </c>
      <c r="W1732">
        <f>_xlfn.NUMBERVALUE("0.006528")</f>
        <v/>
      </c>
      <c r="X1732">
        <f>_xlfn.NUMBERVALUE("-1.370000")</f>
        <v/>
      </c>
      <c r="Y1732">
        <f>_xlfn.NUMBERVALUE("16.290000")</f>
        <v/>
      </c>
    </row>
    <row r="1733">
      <c r="A1733" s="1" t="n">
        <v>44515</v>
      </c>
      <c r="B1733">
        <f>_xlfn.NUMBERVALUE("0.005401")</f>
        <v/>
      </c>
      <c r="C1733" s="2">
        <f>_xlfn.NUMBERVALUE("0.002075")</f>
        <v/>
      </c>
      <c r="D1733">
        <f>_xlfn.NUMBERVALUE("0.001380")</f>
        <v/>
      </c>
      <c r="E1733">
        <f>_xlfn.NUMBERVALUE("0.001740")</f>
        <v/>
      </c>
      <c r="F1733">
        <f>_xlfn.NUMBERVALUE("0.000765")</f>
        <v/>
      </c>
      <c r="G1733">
        <f>_xlfn.NUMBERVALUE("0.001579")</f>
        <v/>
      </c>
      <c r="H1733">
        <f>_xlfn.NUMBERVALUE("0.000055")</f>
        <v/>
      </c>
      <c r="I1733">
        <f>_xlfn.NUMBERVALUE("0.001765")</f>
        <v/>
      </c>
      <c r="J1733">
        <f>_xlfn.NUMBERVALUE("-0.001271")</f>
        <v/>
      </c>
      <c r="K1733">
        <f>_xlfn.NUMBERVALUE("0.001382")</f>
        <v/>
      </c>
      <c r="L1733">
        <f>_xlfn.NUMBERVALUE("0.000740")</f>
        <v/>
      </c>
      <c r="M1733">
        <f>_xlfn.NUMBERVALUE("0.001386")</f>
        <v/>
      </c>
      <c r="N1733">
        <f>_xlfn.NUMBERVALUE("0.000269")</f>
        <v/>
      </c>
      <c r="O1733">
        <f>_xlfn.NUMBERVALUE("0.002059")</f>
        <v/>
      </c>
      <c r="P1733">
        <f>_xlfn.NUMBERVALUE("0.003741")</f>
        <v/>
      </c>
      <c r="Q1733">
        <f>_xlfn.NUMBERVALUE("0.001864")</f>
        <v/>
      </c>
      <c r="R1733">
        <f>_xlfn.NUMBERVALUE("0.001822")</f>
        <v/>
      </c>
      <c r="S1733">
        <f>_xlfn.NUMBERVALUE("0.000784")</f>
        <v/>
      </c>
      <c r="T1733">
        <f>_xlfn.NUMBERVALUE("0.000590")</f>
        <v/>
      </c>
      <c r="U1733">
        <f>_xlfn.NUMBERVALUE("0.001696")</f>
        <v/>
      </c>
      <c r="V1733">
        <f>_xlfn.NUMBERVALUE("0.001397")</f>
        <v/>
      </c>
      <c r="W1733">
        <f>_xlfn.NUMBERVALUE("-0.000835")</f>
        <v/>
      </c>
      <c r="X1733">
        <f>_xlfn.NUMBERVALUE("0.200000")</f>
        <v/>
      </c>
      <c r="Y1733">
        <f>_xlfn.NUMBERVALUE("16.490000")</f>
        <v/>
      </c>
    </row>
    <row r="1734">
      <c r="A1734" s="1" t="n">
        <v>44516</v>
      </c>
      <c r="B1734">
        <f>_xlfn.NUMBERVALUE("0.004020")</f>
        <v/>
      </c>
      <c r="C1734" s="2">
        <f>_xlfn.NUMBERVALUE("0.001850")</f>
        <v/>
      </c>
      <c r="D1734">
        <f>_xlfn.NUMBERVALUE("0.001981")</f>
        <v/>
      </c>
      <c r="E1734">
        <f>_xlfn.NUMBERVALUE("0.001208")</f>
        <v/>
      </c>
      <c r="F1734">
        <f>_xlfn.NUMBERVALUE("0.000636")</f>
        <v/>
      </c>
      <c r="G1734">
        <f>_xlfn.NUMBERVALUE("0.000520")</f>
        <v/>
      </c>
      <c r="H1734">
        <f>_xlfn.NUMBERVALUE("0.000568")</f>
        <v/>
      </c>
      <c r="I1734">
        <f>_xlfn.NUMBERVALUE("0.002014")</f>
        <v/>
      </c>
      <c r="J1734">
        <f>_xlfn.NUMBERVALUE("0.000894")</f>
        <v/>
      </c>
      <c r="K1734">
        <f>_xlfn.NUMBERVALUE("0.002632")</f>
        <v/>
      </c>
      <c r="L1734">
        <f>_xlfn.NUMBERVALUE("0.001248")</f>
        <v/>
      </c>
      <c r="M1734">
        <f>_xlfn.NUMBERVALUE("0.001716")</f>
        <v/>
      </c>
      <c r="N1734">
        <f>_xlfn.NUMBERVALUE("0.002552")</f>
        <v/>
      </c>
      <c r="O1734">
        <f>_xlfn.NUMBERVALUE("0.002201")</f>
        <v/>
      </c>
      <c r="P1734">
        <f>_xlfn.NUMBERVALUE("0.001437")</f>
        <v/>
      </c>
      <c r="Q1734">
        <f>_xlfn.NUMBERVALUE("0.001145")</f>
        <v/>
      </c>
      <c r="R1734">
        <f>_xlfn.NUMBERVALUE("-0.000843")</f>
        <v/>
      </c>
      <c r="S1734">
        <f>_xlfn.NUMBERVALUE("0.001154")</f>
        <v/>
      </c>
      <c r="T1734">
        <f>_xlfn.NUMBERVALUE("0.000752")</f>
        <v/>
      </c>
      <c r="U1734">
        <f>_xlfn.NUMBERVALUE("0.000279")</f>
        <v/>
      </c>
      <c r="V1734">
        <f>_xlfn.NUMBERVALUE("-0.000097")</f>
        <v/>
      </c>
      <c r="W1734">
        <f>_xlfn.NUMBERVALUE("0.006341")</f>
        <v/>
      </c>
      <c r="X1734">
        <f>_xlfn.NUMBERVALUE("-0.120000")</f>
        <v/>
      </c>
      <c r="Y1734">
        <f>_xlfn.NUMBERVALUE("16.370000")</f>
        <v/>
      </c>
    </row>
    <row r="1735">
      <c r="A1735" s="1" t="n">
        <v>44517</v>
      </c>
      <c r="B1735">
        <f>_xlfn.NUMBERVALUE("0.000851")</f>
        <v/>
      </c>
      <c r="C1735" s="2">
        <f>_xlfn.NUMBERVALUE("-0.000415")</f>
        <v/>
      </c>
      <c r="D1735">
        <f>_xlfn.NUMBERVALUE("0.001535")</f>
        <v/>
      </c>
      <c r="E1735">
        <f>_xlfn.NUMBERVALUE("0.000416")</f>
        <v/>
      </c>
      <c r="F1735">
        <f>_xlfn.NUMBERVALUE("-0.000484")</f>
        <v/>
      </c>
      <c r="G1735">
        <f>_xlfn.NUMBERVALUE("-0.000018")</f>
        <v/>
      </c>
      <c r="H1735">
        <f>_xlfn.NUMBERVALUE("0.001050")</f>
        <v/>
      </c>
      <c r="I1735">
        <f>_xlfn.NUMBERVALUE("-0.000246")</f>
        <v/>
      </c>
      <c r="J1735">
        <f>_xlfn.NUMBERVALUE("0.000491")</f>
        <v/>
      </c>
      <c r="K1735">
        <f>_xlfn.NUMBERVALUE("0.000923")</f>
        <v/>
      </c>
      <c r="L1735">
        <f>_xlfn.NUMBERVALUE("0.001910")</f>
        <v/>
      </c>
      <c r="M1735">
        <f>_xlfn.NUMBERVALUE("0.001435")</f>
        <v/>
      </c>
      <c r="N1735">
        <f>_xlfn.NUMBERVALUE("0.001057")</f>
        <v/>
      </c>
      <c r="O1735">
        <f>_xlfn.NUMBERVALUE("-0.000889")</f>
        <v/>
      </c>
      <c r="P1735">
        <f>_xlfn.NUMBERVALUE("-0.001129")</f>
        <v/>
      </c>
      <c r="Q1735">
        <f>_xlfn.NUMBERVALUE("0.000639")</f>
        <v/>
      </c>
      <c r="R1735">
        <f>_xlfn.NUMBERVALUE("0.000569")</f>
        <v/>
      </c>
      <c r="S1735">
        <f>_xlfn.NUMBERVALUE("0.001685")</f>
        <v/>
      </c>
      <c r="T1735">
        <f>_xlfn.NUMBERVALUE("0.000601")</f>
        <v/>
      </c>
      <c r="U1735">
        <f>_xlfn.NUMBERVALUE("0.001530")</f>
        <v/>
      </c>
      <c r="V1735">
        <f>_xlfn.NUMBERVALUE("0.001160")</f>
        <v/>
      </c>
      <c r="W1735">
        <f>_xlfn.NUMBERVALUE("-0.002299")</f>
        <v/>
      </c>
      <c r="X1735">
        <f>_xlfn.NUMBERVALUE("0.740000")</f>
        <v/>
      </c>
      <c r="Y1735">
        <f>_xlfn.NUMBERVALUE("17.110000")</f>
        <v/>
      </c>
    </row>
    <row r="1736">
      <c r="A1736" s="1" t="n">
        <v>44518</v>
      </c>
      <c r="B1736">
        <f>_xlfn.NUMBERVALUE("-0.006156")</f>
        <v/>
      </c>
      <c r="C1736" s="2">
        <f>_xlfn.NUMBERVALUE("0.000750")</f>
        <v/>
      </c>
      <c r="D1736">
        <f>_xlfn.NUMBERVALUE("0.000054")</f>
        <v/>
      </c>
      <c r="E1736">
        <f>_xlfn.NUMBERVALUE("0.000799")</f>
        <v/>
      </c>
      <c r="F1736">
        <f>_xlfn.NUMBERVALUE("0.000582")</f>
        <v/>
      </c>
      <c r="G1736">
        <f>_xlfn.NUMBERVALUE("0.000250")</f>
        <v/>
      </c>
      <c r="H1736">
        <f>_xlfn.NUMBERVALUE("0.000653")</f>
        <v/>
      </c>
      <c r="I1736">
        <f>_xlfn.NUMBERVALUE("0.001027")</f>
        <v/>
      </c>
      <c r="J1736">
        <f>_xlfn.NUMBERVALUE("0.000846")</f>
        <v/>
      </c>
      <c r="K1736">
        <f>_xlfn.NUMBERVALUE("0.002800")</f>
        <v/>
      </c>
      <c r="L1736">
        <f>_xlfn.NUMBERVALUE("0.001676")</f>
        <v/>
      </c>
      <c r="M1736">
        <f>_xlfn.NUMBERVALUE("0.001983")</f>
        <v/>
      </c>
      <c r="N1736">
        <f>_xlfn.NUMBERVALUE("0.001319")</f>
        <v/>
      </c>
      <c r="O1736">
        <f>_xlfn.NUMBERVALUE("0.000291")</f>
        <v/>
      </c>
      <c r="P1736">
        <f>_xlfn.NUMBERVALUE("0.000317")</f>
        <v/>
      </c>
      <c r="Q1736">
        <f>_xlfn.NUMBERVALUE("0.001185")</f>
        <v/>
      </c>
      <c r="R1736">
        <f>_xlfn.NUMBERVALUE("-0.001309")</f>
        <v/>
      </c>
      <c r="S1736">
        <f>_xlfn.NUMBERVALUE("0.000273")</f>
        <v/>
      </c>
      <c r="T1736">
        <f>_xlfn.NUMBERVALUE("0.000491")</f>
        <v/>
      </c>
      <c r="U1736">
        <f>_xlfn.NUMBERVALUE("0.000858")</f>
        <v/>
      </c>
      <c r="V1736">
        <f>_xlfn.NUMBERVALUE("-0.000317")</f>
        <v/>
      </c>
      <c r="W1736">
        <f>_xlfn.NUMBERVALUE("0.002304")</f>
        <v/>
      </c>
      <c r="X1736">
        <f>_xlfn.NUMBERVALUE("0.480000")</f>
        <v/>
      </c>
      <c r="Y1736">
        <f>_xlfn.NUMBERVALUE("17.590000")</f>
        <v/>
      </c>
    </row>
    <row r="1737">
      <c r="A1737" s="1" t="n">
        <v>44519</v>
      </c>
      <c r="B1737">
        <f>_xlfn.NUMBERVALUE("0.002508")</f>
        <v/>
      </c>
      <c r="C1737" s="2">
        <f>_xlfn.NUMBERVALUE("-0.000964")</f>
        <v/>
      </c>
      <c r="D1737">
        <f>_xlfn.NUMBERVALUE("0.000204")</f>
        <v/>
      </c>
      <c r="E1737">
        <f>_xlfn.NUMBERVALUE("-0.002934")</f>
        <v/>
      </c>
      <c r="F1737">
        <f>_xlfn.NUMBERVALUE("0.000238")</f>
        <v/>
      </c>
      <c r="G1737">
        <f>_xlfn.NUMBERVALUE("0.000075")</f>
        <v/>
      </c>
      <c r="H1737">
        <f>_xlfn.NUMBERVALUE("0.000008")</f>
        <v/>
      </c>
      <c r="I1737">
        <f>_xlfn.NUMBERVALUE("-0.000152")</f>
        <v/>
      </c>
      <c r="J1737">
        <f>_xlfn.NUMBERVALUE("-0.000061")</f>
        <v/>
      </c>
      <c r="K1737">
        <f>_xlfn.NUMBERVALUE("0.002182")</f>
        <v/>
      </c>
      <c r="L1737">
        <f>_xlfn.NUMBERVALUE("-0.000785")</f>
        <v/>
      </c>
      <c r="M1737">
        <f>_xlfn.NUMBERVALUE("0.000560")</f>
        <v/>
      </c>
      <c r="N1737">
        <f>_xlfn.NUMBERVALUE("0.000247")</f>
        <v/>
      </c>
      <c r="O1737">
        <f>_xlfn.NUMBERVALUE("-0.011537")</f>
        <v/>
      </c>
      <c r="P1737">
        <f>_xlfn.NUMBERVALUE("-0.002416")</f>
        <v/>
      </c>
      <c r="Q1737">
        <f>_xlfn.NUMBERVALUE("0.000515")</f>
        <v/>
      </c>
      <c r="R1737">
        <f>_xlfn.NUMBERVALUE("-0.001008")</f>
        <v/>
      </c>
      <c r="S1737">
        <f>_xlfn.NUMBERVALUE("0.000109")</f>
        <v/>
      </c>
      <c r="T1737">
        <f>_xlfn.NUMBERVALUE("-0.000339")</f>
        <v/>
      </c>
      <c r="U1737">
        <f>_xlfn.NUMBERVALUE("-0.000809")</f>
        <v/>
      </c>
      <c r="V1737">
        <f>_xlfn.NUMBERVALUE("0.000423")</f>
        <v/>
      </c>
      <c r="W1737">
        <f>_xlfn.NUMBERVALUE("-0.001788")</f>
        <v/>
      </c>
      <c r="X1737">
        <f>_xlfn.NUMBERVALUE("0.320000")</f>
        <v/>
      </c>
      <c r="Y1737">
        <f>_xlfn.NUMBERVALUE("17.910000")</f>
        <v/>
      </c>
    </row>
    <row r="1738">
      <c r="A1738" s="1" t="n">
        <v>44522</v>
      </c>
      <c r="B1738">
        <f>_xlfn.NUMBERVALUE("-0.002459")</f>
        <v/>
      </c>
      <c r="C1738" s="2">
        <f>_xlfn.NUMBERVALUE("0.001310")</f>
        <v/>
      </c>
      <c r="D1738">
        <f>_xlfn.NUMBERVALUE("0.001899")</f>
        <v/>
      </c>
      <c r="E1738">
        <f>_xlfn.NUMBERVALUE("0.002766")</f>
        <v/>
      </c>
      <c r="F1738">
        <f>_xlfn.NUMBERVALUE("-0.002199")</f>
        <v/>
      </c>
      <c r="G1738">
        <f>_xlfn.NUMBERVALUE("0.000036")</f>
        <v/>
      </c>
      <c r="H1738">
        <f>_xlfn.NUMBERVALUE("-0.002074")</f>
        <v/>
      </c>
      <c r="I1738">
        <f>_xlfn.NUMBERVALUE("0.001931")</f>
        <v/>
      </c>
      <c r="J1738">
        <f>_xlfn.NUMBERVALUE("-0.001976")</f>
        <v/>
      </c>
      <c r="K1738">
        <f>_xlfn.NUMBERVALUE("-0.001202")</f>
        <v/>
      </c>
      <c r="L1738">
        <f>_xlfn.NUMBERVALUE("-0.001652")</f>
        <v/>
      </c>
      <c r="M1738">
        <f>_xlfn.NUMBERVALUE("0.002350")</f>
        <v/>
      </c>
      <c r="N1738">
        <f>_xlfn.NUMBERVALUE("-0.000948")</f>
        <v/>
      </c>
      <c r="O1738">
        <f>_xlfn.NUMBERVALUE("0.001974")</f>
        <v/>
      </c>
      <c r="P1738">
        <f>_xlfn.NUMBERVALUE("0.000290")</f>
        <v/>
      </c>
      <c r="Q1738">
        <f>_xlfn.NUMBERVALUE("0.002131")</f>
        <v/>
      </c>
      <c r="R1738">
        <f>_xlfn.NUMBERVALUE("0.000548")</f>
        <v/>
      </c>
      <c r="S1738">
        <f>_xlfn.NUMBERVALUE("-0.000717")</f>
        <v/>
      </c>
      <c r="T1738">
        <f>_xlfn.NUMBERVALUE("0.001295")</f>
        <v/>
      </c>
      <c r="U1738">
        <f>_xlfn.NUMBERVALUE("0.001542")</f>
        <v/>
      </c>
      <c r="V1738">
        <f>_xlfn.NUMBERVALUE("0.001284")</f>
        <v/>
      </c>
      <c r="W1738">
        <f>_xlfn.NUMBERVALUE("0.002591")</f>
        <v/>
      </c>
      <c r="X1738">
        <f>_xlfn.NUMBERVALUE("1.260000")</f>
        <v/>
      </c>
      <c r="Y1738">
        <f>_xlfn.NUMBERVALUE("19.170000")</f>
        <v/>
      </c>
    </row>
    <row r="1739">
      <c r="A1739" s="1" t="n">
        <v>44523</v>
      </c>
      <c r="B1739">
        <f>_xlfn.NUMBERVALUE("-0.003600")</f>
        <v/>
      </c>
      <c r="C1739" s="2">
        <f>_xlfn.NUMBERVALUE("-0.000259")</f>
        <v/>
      </c>
      <c r="D1739">
        <f>_xlfn.NUMBERVALUE("-0.000120")</f>
        <v/>
      </c>
      <c r="E1739">
        <f>_xlfn.NUMBERVALUE("0.000066")</f>
        <v/>
      </c>
      <c r="F1739">
        <f>_xlfn.NUMBERVALUE("0.000357")</f>
        <v/>
      </c>
      <c r="G1739">
        <f>_xlfn.NUMBERVALUE("0.000556")</f>
        <v/>
      </c>
      <c r="H1739">
        <f>_xlfn.NUMBERVALUE("-0.000142")</f>
        <v/>
      </c>
      <c r="I1739">
        <f>_xlfn.NUMBERVALUE("0.000105")</f>
        <v/>
      </c>
      <c r="J1739">
        <f>_xlfn.NUMBERVALUE("-0.002122")</f>
        <v/>
      </c>
      <c r="K1739">
        <f>_xlfn.NUMBERVALUE("-0.005821")</f>
        <v/>
      </c>
      <c r="L1739">
        <f>_xlfn.NUMBERVALUE("-0.001576")</f>
        <v/>
      </c>
      <c r="M1739">
        <f>_xlfn.NUMBERVALUE("-0.001172")</f>
        <v/>
      </c>
      <c r="N1739">
        <f>_xlfn.NUMBERVALUE("0.001591")</f>
        <v/>
      </c>
      <c r="O1739">
        <f>_xlfn.NUMBERVALUE("-0.002571")</f>
        <v/>
      </c>
      <c r="P1739">
        <f>_xlfn.NUMBERVALUE("-0.003211")</f>
        <v/>
      </c>
      <c r="Q1739">
        <f>_xlfn.NUMBERVALUE("-0.000174")</f>
        <v/>
      </c>
      <c r="R1739">
        <f>_xlfn.NUMBERVALUE("-0.001089")</f>
        <v/>
      </c>
      <c r="S1739">
        <f>_xlfn.NUMBERVALUE("-0.001698")</f>
        <v/>
      </c>
      <c r="T1739">
        <f>_xlfn.NUMBERVALUE("-0.000177")</f>
        <v/>
      </c>
      <c r="U1739">
        <f>_xlfn.NUMBERVALUE("-0.001428")</f>
        <v/>
      </c>
      <c r="V1739">
        <f>_xlfn.NUMBERVALUE("-0.000090")</f>
        <v/>
      </c>
      <c r="W1739">
        <f>_xlfn.NUMBERVALUE("-0.004839")</f>
        <v/>
      </c>
      <c r="X1739">
        <f>_xlfn.NUMBERVALUE("0.210000")</f>
        <v/>
      </c>
      <c r="Y1739">
        <f>_xlfn.NUMBERVALUE("19.380000")</f>
        <v/>
      </c>
    </row>
    <row r="1740">
      <c r="A1740" s="1" t="n">
        <v>44524</v>
      </c>
      <c r="B1740">
        <f>_xlfn.NUMBERVALUE("0.000536")</f>
        <v/>
      </c>
      <c r="C1740" s="2">
        <f>_xlfn.NUMBERVALUE("0.002690")</f>
        <v/>
      </c>
      <c r="D1740">
        <f>_xlfn.NUMBERVALUE("0.003445")</f>
        <v/>
      </c>
      <c r="E1740">
        <f>_xlfn.NUMBERVALUE("-0.000669")</f>
        <v/>
      </c>
      <c r="F1740">
        <f>_xlfn.NUMBERVALUE("0.001850")</f>
        <v/>
      </c>
      <c r="G1740">
        <f>_xlfn.NUMBERVALUE("0.000051")</f>
        <v/>
      </c>
      <c r="H1740">
        <f>_xlfn.NUMBERVALUE("0.000601")</f>
        <v/>
      </c>
      <c r="I1740">
        <f>_xlfn.NUMBERVALUE("0.001993")</f>
        <v/>
      </c>
      <c r="J1740">
        <f>_xlfn.NUMBERVALUE("0.002316")</f>
        <v/>
      </c>
      <c r="K1740">
        <f>_xlfn.NUMBERVALUE("0.005659")</f>
        <v/>
      </c>
      <c r="L1740">
        <f>_xlfn.NUMBERVALUE("-0.001700")</f>
        <v/>
      </c>
      <c r="M1740">
        <f>_xlfn.NUMBERVALUE("0.001527")</f>
        <v/>
      </c>
      <c r="N1740">
        <f>_xlfn.NUMBERVALUE("0.001276")</f>
        <v/>
      </c>
      <c r="O1740">
        <f>_xlfn.NUMBERVALUE("0.002003")</f>
        <v/>
      </c>
      <c r="P1740">
        <f>_xlfn.NUMBERVALUE("0.003522")</f>
        <v/>
      </c>
      <c r="Q1740">
        <f>_xlfn.NUMBERVALUE("0.002311")</f>
        <v/>
      </c>
      <c r="R1740">
        <f>_xlfn.NUMBERVALUE("0.001596")</f>
        <v/>
      </c>
      <c r="S1740">
        <f>_xlfn.NUMBERVALUE("0.000735")</f>
        <v/>
      </c>
      <c r="T1740">
        <f>_xlfn.NUMBERVALUE("0.000994")</f>
        <v/>
      </c>
      <c r="U1740">
        <f>_xlfn.NUMBERVALUE("0.002383")</f>
        <v/>
      </c>
      <c r="V1740">
        <f>_xlfn.NUMBERVALUE("0.000994")</f>
        <v/>
      </c>
      <c r="W1740">
        <f>_xlfn.NUMBERVALUE("0.002458")</f>
        <v/>
      </c>
      <c r="X1740">
        <f>_xlfn.NUMBERVALUE("-0.800000")</f>
        <v/>
      </c>
      <c r="Y1740">
        <f>_xlfn.NUMBERVALUE("18.580000")</f>
        <v/>
      </c>
    </row>
    <row r="1741">
      <c r="A1741" s="1" t="n">
        <v>44526</v>
      </c>
      <c r="B1741">
        <f>_xlfn.NUMBERVALUE("-0.004763")</f>
        <v/>
      </c>
      <c r="C1741" s="2">
        <f>_xlfn.NUMBERVALUE("-0.008782")</f>
        <v/>
      </c>
      <c r="D1741">
        <f>_xlfn.NUMBERVALUE("-0.011504")</f>
        <v/>
      </c>
      <c r="E1741">
        <f>_xlfn.NUMBERVALUE("-0.003020")</f>
        <v/>
      </c>
      <c r="F1741">
        <f>_xlfn.NUMBERVALUE("-0.000020")</f>
        <v/>
      </c>
      <c r="G1741">
        <f>_xlfn.NUMBERVALUE("-0.004752")</f>
        <v/>
      </c>
      <c r="H1741">
        <f>_xlfn.NUMBERVALUE("-0.003286")</f>
        <v/>
      </c>
      <c r="I1741">
        <f>_xlfn.NUMBERVALUE("-0.014805")</f>
        <v/>
      </c>
      <c r="J1741">
        <f>_xlfn.NUMBERVALUE("-0.002206")</f>
        <v/>
      </c>
      <c r="K1741">
        <f>_xlfn.NUMBERVALUE("-0.003417")</f>
        <v/>
      </c>
      <c r="L1741">
        <f>_xlfn.NUMBERVALUE("-0.007256")</f>
        <v/>
      </c>
      <c r="M1741">
        <f>_xlfn.NUMBERVALUE("-0.009161")</f>
        <v/>
      </c>
      <c r="N1741">
        <f>_xlfn.NUMBERVALUE("-0.003448")</f>
        <v/>
      </c>
      <c r="O1741">
        <f>_xlfn.NUMBERVALUE("-0.015646")</f>
        <v/>
      </c>
      <c r="P1741">
        <f>_xlfn.NUMBERVALUE("-0.014467")</f>
        <v/>
      </c>
      <c r="Q1741">
        <f>_xlfn.NUMBERVALUE("-0.006974")</f>
        <v/>
      </c>
      <c r="R1741">
        <f>_xlfn.NUMBERVALUE("-0.006278")</f>
        <v/>
      </c>
      <c r="S1741">
        <f>_xlfn.NUMBERVALUE("-0.005137")</f>
        <v/>
      </c>
      <c r="T1741">
        <f>_xlfn.NUMBERVALUE("-0.004280")</f>
        <v/>
      </c>
      <c r="U1741">
        <f>_xlfn.NUMBERVALUE("-0.009973")</f>
        <v/>
      </c>
      <c r="V1741">
        <f>_xlfn.NUMBERVALUE("-0.008598")</f>
        <v/>
      </c>
      <c r="W1741">
        <f>_xlfn.NUMBERVALUE("-0.018226")</f>
        <v/>
      </c>
      <c r="X1741">
        <f>_xlfn.NUMBERVALUE("10.040000")</f>
        <v/>
      </c>
      <c r="Y1741">
        <f>_xlfn.NUMBERVALUE("28.620000")</f>
        <v/>
      </c>
    </row>
    <row r="1742">
      <c r="A1742" s="1" t="n">
        <v>44529</v>
      </c>
      <c r="B1742">
        <f>_xlfn.NUMBERVALUE("0.012812")</f>
        <v/>
      </c>
      <c r="C1742" s="2">
        <f>_xlfn.NUMBERVALUE("0.002354")</f>
        <v/>
      </c>
      <c r="D1742">
        <f>_xlfn.NUMBERVALUE("-0.000023")</f>
        <v/>
      </c>
      <c r="E1742">
        <f>_xlfn.NUMBERVALUE("0.001236")</f>
        <v/>
      </c>
      <c r="F1742">
        <f>_xlfn.NUMBERVALUE("0.003670")</f>
        <v/>
      </c>
      <c r="G1742">
        <f>_xlfn.NUMBERVALUE("0.006094")</f>
        <v/>
      </c>
      <c r="H1742">
        <f>_xlfn.NUMBERVALUE("0.002386")</f>
        <v/>
      </c>
      <c r="I1742">
        <f>_xlfn.NUMBERVALUE("0.002598")</f>
        <v/>
      </c>
      <c r="J1742">
        <f>_xlfn.NUMBERVALUE("0.001977")</f>
        <v/>
      </c>
      <c r="K1742">
        <f>_xlfn.NUMBERVALUE("0.002057")</f>
        <v/>
      </c>
      <c r="L1742">
        <f>_xlfn.NUMBERVALUE("0.002082")</f>
        <v/>
      </c>
      <c r="M1742">
        <f>_xlfn.NUMBERVALUE("0.006583")</f>
        <v/>
      </c>
      <c r="N1742">
        <f>_xlfn.NUMBERVALUE("0.003519")</f>
        <v/>
      </c>
      <c r="O1742">
        <f>_xlfn.NUMBERVALUE("0.006324")</f>
        <v/>
      </c>
      <c r="P1742">
        <f>_xlfn.NUMBERVALUE("0.007171")</f>
        <v/>
      </c>
      <c r="Q1742">
        <f>_xlfn.NUMBERVALUE("0.003943")</f>
        <v/>
      </c>
      <c r="R1742">
        <f>_xlfn.NUMBERVALUE("0.000917")</f>
        <v/>
      </c>
      <c r="S1742">
        <f>_xlfn.NUMBERVALUE("0.002747")</f>
        <v/>
      </c>
      <c r="T1742">
        <f>_xlfn.NUMBERVALUE("-0.000127")</f>
        <v/>
      </c>
      <c r="U1742">
        <f>_xlfn.NUMBERVALUE("0.004478")</f>
        <v/>
      </c>
      <c r="V1742">
        <f>_xlfn.NUMBERVALUE("0.004127")</f>
        <v/>
      </c>
      <c r="W1742">
        <f>_xlfn.NUMBERVALUE("0.010572")</f>
        <v/>
      </c>
      <c r="X1742">
        <f>_xlfn.NUMBERVALUE("-5.660000")</f>
        <v/>
      </c>
      <c r="Y1742">
        <f>_xlfn.NUMBERVALUE("22.960000")</f>
        <v/>
      </c>
    </row>
    <row r="1743">
      <c r="A1743" s="1" t="n">
        <v>44530</v>
      </c>
      <c r="B1743">
        <f>_xlfn.NUMBERVALUE("-0.003784")</f>
        <v/>
      </c>
      <c r="C1743" s="2">
        <f>_xlfn.NUMBERVALUE("-0.000277")</f>
        <v/>
      </c>
      <c r="D1743">
        <f>_xlfn.NUMBERVALUE("0.002325")</f>
        <v/>
      </c>
      <c r="E1743">
        <f>_xlfn.NUMBERVALUE("-0.000354")</f>
        <v/>
      </c>
      <c r="F1743">
        <f>_xlfn.NUMBERVALUE("0.000305")</f>
        <v/>
      </c>
      <c r="G1743">
        <f>_xlfn.NUMBERVALUE("0.000401")</f>
        <v/>
      </c>
      <c r="H1743">
        <f>_xlfn.NUMBERVALUE("-0.002584")</f>
        <v/>
      </c>
      <c r="I1743">
        <f>_xlfn.NUMBERVALUE("-0.000507")</f>
        <v/>
      </c>
      <c r="J1743">
        <f>_xlfn.NUMBERVALUE("0.000250")</f>
        <v/>
      </c>
      <c r="K1743">
        <f>_xlfn.NUMBERVALUE("0.001911")</f>
        <v/>
      </c>
      <c r="L1743">
        <f>_xlfn.NUMBERVALUE("-0.001974")</f>
        <v/>
      </c>
      <c r="M1743">
        <f>_xlfn.NUMBERVALUE("-0.006062")</f>
        <v/>
      </c>
      <c r="N1743">
        <f>_xlfn.NUMBERVALUE("-0.004693")</f>
        <v/>
      </c>
      <c r="O1743">
        <f>_xlfn.NUMBERVALUE("-0.002676")</f>
        <v/>
      </c>
      <c r="P1743">
        <f>_xlfn.NUMBERVALUE("-0.004568")</f>
        <v/>
      </c>
      <c r="Q1743">
        <f>_xlfn.NUMBERVALUE("-0.004340")</f>
        <v/>
      </c>
      <c r="R1743">
        <f>_xlfn.NUMBERVALUE("-0.002991")</f>
        <v/>
      </c>
      <c r="S1743">
        <f>_xlfn.NUMBERVALUE("-0.006474")</f>
        <v/>
      </c>
      <c r="T1743">
        <f>_xlfn.NUMBERVALUE("-0.010997")</f>
        <v/>
      </c>
      <c r="U1743">
        <f>_xlfn.NUMBERVALUE("-0.003182")</f>
        <v/>
      </c>
      <c r="V1743">
        <f>_xlfn.NUMBERVALUE("-0.006344")</f>
        <v/>
      </c>
      <c r="W1743">
        <f>_xlfn.NUMBERVALUE("-0.017192")</f>
        <v/>
      </c>
      <c r="X1743">
        <f>_xlfn.NUMBERVALUE("4.230000")</f>
        <v/>
      </c>
      <c r="Y1743">
        <f>_xlfn.NUMBERVALUE("27.190000")</f>
        <v/>
      </c>
    </row>
    <row r="1744">
      <c r="A1744" s="1" t="n">
        <v>44531</v>
      </c>
      <c r="B1744">
        <f>_xlfn.NUMBERVALUE("-0.013525")</f>
        <v/>
      </c>
      <c r="C1744" s="2">
        <f>_xlfn.NUMBERVALUE("0.000013")</f>
        <v/>
      </c>
      <c r="D1744">
        <f>_xlfn.NUMBERVALUE("0.000142")</f>
        <v/>
      </c>
      <c r="E1744">
        <f>_xlfn.NUMBERVALUE("0.000206")</f>
        <v/>
      </c>
      <c r="F1744">
        <f>_xlfn.NUMBERVALUE("0.002583")</f>
        <v/>
      </c>
      <c r="G1744">
        <f>_xlfn.NUMBERVALUE("0.001372")</f>
        <v/>
      </c>
      <c r="H1744">
        <f>_xlfn.NUMBERVALUE("0.000996")</f>
        <v/>
      </c>
      <c r="I1744">
        <f>_xlfn.NUMBERVALUE("-0.000083")</f>
        <v/>
      </c>
      <c r="J1744">
        <f>_xlfn.NUMBERVALUE("0.001535")</f>
        <v/>
      </c>
      <c r="K1744">
        <f>_xlfn.NUMBERVALUE("-0.000876")</f>
        <v/>
      </c>
      <c r="L1744">
        <f>_xlfn.NUMBERVALUE("-0.000431")</f>
        <v/>
      </c>
      <c r="M1744">
        <f>_xlfn.NUMBERVALUE("-0.000097")</f>
        <v/>
      </c>
      <c r="N1744">
        <f>_xlfn.NUMBERVALUE("-0.003256")</f>
        <v/>
      </c>
      <c r="O1744">
        <f>_xlfn.NUMBERVALUE("-0.000996")</f>
        <v/>
      </c>
      <c r="P1744">
        <f>_xlfn.NUMBERVALUE("-0.000668")</f>
        <v/>
      </c>
      <c r="Q1744">
        <f>_xlfn.NUMBERVALUE("-0.000281")</f>
        <v/>
      </c>
      <c r="R1744">
        <f>_xlfn.NUMBERVALUE("-0.001015")</f>
        <v/>
      </c>
      <c r="S1744">
        <f>_xlfn.NUMBERVALUE("-0.000812")</f>
        <v/>
      </c>
      <c r="T1744">
        <f>_xlfn.NUMBERVALUE("-0.001001")</f>
        <v/>
      </c>
      <c r="U1744">
        <f>_xlfn.NUMBERVALUE("-0.004111")</f>
        <v/>
      </c>
      <c r="V1744">
        <f>_xlfn.NUMBERVALUE("0.000791")</f>
        <v/>
      </c>
      <c r="W1744">
        <f>_xlfn.NUMBERVALUE("-0.006101")</f>
        <v/>
      </c>
      <c r="X1744">
        <f>_xlfn.NUMBERVALUE("3.930000")</f>
        <v/>
      </c>
      <c r="Y1744">
        <f>_xlfn.NUMBERVALUE("31.120000")</f>
        <v/>
      </c>
    </row>
    <row r="1745">
      <c r="A1745" s="1" t="n">
        <v>44532</v>
      </c>
      <c r="B1745">
        <f>_xlfn.NUMBERVALUE("-0.000333")</f>
        <v/>
      </c>
      <c r="C1745" s="2">
        <f>_xlfn.NUMBERVALUE("0.000038")</f>
        <v/>
      </c>
      <c r="D1745">
        <f>_xlfn.NUMBERVALUE("0.000374")</f>
        <v/>
      </c>
      <c r="E1745">
        <f>_xlfn.NUMBERVALUE("0.000065")</f>
        <v/>
      </c>
      <c r="F1745">
        <f>_xlfn.NUMBERVALUE("0.000422")</f>
        <v/>
      </c>
      <c r="G1745">
        <f>_xlfn.NUMBERVALUE("0.000322")</f>
        <v/>
      </c>
      <c r="H1745">
        <f>_xlfn.NUMBERVALUE("0.000291")</f>
        <v/>
      </c>
      <c r="I1745">
        <f>_xlfn.NUMBERVALUE("0.000138")</f>
        <v/>
      </c>
      <c r="J1745">
        <f>_xlfn.NUMBERVALUE("0.001433")</f>
        <v/>
      </c>
      <c r="K1745">
        <f>_xlfn.NUMBERVALUE("0.000005")</f>
        <v/>
      </c>
      <c r="L1745">
        <f>_xlfn.NUMBERVALUE("0.000137")</f>
        <v/>
      </c>
      <c r="M1745">
        <f>_xlfn.NUMBERVALUE("-0.000632")</f>
        <v/>
      </c>
      <c r="N1745">
        <f>_xlfn.NUMBERVALUE("0.002210")</f>
        <v/>
      </c>
      <c r="O1745">
        <f>_xlfn.NUMBERVALUE("0.002359")</f>
        <v/>
      </c>
      <c r="P1745">
        <f>_xlfn.NUMBERVALUE("0.001724")</f>
        <v/>
      </c>
      <c r="Q1745">
        <f>_xlfn.NUMBERVALUE("-0.003191")</f>
        <v/>
      </c>
      <c r="R1745">
        <f>_xlfn.NUMBERVALUE("0.003443")</f>
        <v/>
      </c>
      <c r="S1745">
        <f>_xlfn.NUMBERVALUE("-0.001011")</f>
        <v/>
      </c>
      <c r="T1745">
        <f>_xlfn.NUMBERVALUE("0.001583")</f>
        <v/>
      </c>
      <c r="U1745">
        <f>_xlfn.NUMBERVALUE("0.003279")</f>
        <v/>
      </c>
      <c r="V1745">
        <f>_xlfn.NUMBERVALUE("0.002975")</f>
        <v/>
      </c>
      <c r="W1745">
        <f>_xlfn.NUMBERVALUE("0.004059")</f>
        <v/>
      </c>
      <c r="X1745">
        <f>_xlfn.NUMBERVALUE("-3.170000")</f>
        <v/>
      </c>
      <c r="Y1745">
        <f>_xlfn.NUMBERVALUE("27.950000")</f>
        <v/>
      </c>
    </row>
    <row r="1746">
      <c r="A1746" s="1" t="n">
        <v>44533</v>
      </c>
      <c r="B1746">
        <f>_xlfn.NUMBERVALUE("-0.010989")</f>
        <v/>
      </c>
      <c r="C1746" s="2">
        <f>_xlfn.NUMBERVALUE("-0.004120")</f>
        <v/>
      </c>
      <c r="D1746">
        <f>_xlfn.NUMBERVALUE("-0.005057")</f>
        <v/>
      </c>
      <c r="E1746">
        <f>_xlfn.NUMBERVALUE("-0.003825")</f>
        <v/>
      </c>
      <c r="F1746">
        <f>_xlfn.NUMBERVALUE("-0.000092")</f>
        <v/>
      </c>
      <c r="G1746">
        <f>_xlfn.NUMBERVALUE("-0.001359")</f>
        <v/>
      </c>
      <c r="H1746">
        <f>_xlfn.NUMBERVALUE("-0.001140")</f>
        <v/>
      </c>
      <c r="I1746">
        <f>_xlfn.NUMBERVALUE("-0.005560")</f>
        <v/>
      </c>
      <c r="J1746">
        <f>_xlfn.NUMBERVALUE("-0.004032")</f>
        <v/>
      </c>
      <c r="K1746">
        <f>_xlfn.NUMBERVALUE("-0.000336")</f>
        <v/>
      </c>
      <c r="L1746">
        <f>_xlfn.NUMBERVALUE("-0.000096")</f>
        <v/>
      </c>
      <c r="M1746">
        <f>_xlfn.NUMBERVALUE("0.001964")</f>
        <v/>
      </c>
      <c r="N1746">
        <f>_xlfn.NUMBERVALUE("-0.000021")</f>
        <v/>
      </c>
      <c r="O1746">
        <f>_xlfn.NUMBERVALUE("0.002626")</f>
        <v/>
      </c>
      <c r="P1746">
        <f>_xlfn.NUMBERVALUE("-0.002565")</f>
        <v/>
      </c>
      <c r="Q1746">
        <f>_xlfn.NUMBERVALUE("0.002825")</f>
        <v/>
      </c>
      <c r="R1746">
        <f>_xlfn.NUMBERVALUE("-0.006479")</f>
        <v/>
      </c>
      <c r="S1746">
        <f>_xlfn.NUMBERVALUE("0.000461")</f>
        <v/>
      </c>
      <c r="T1746">
        <f>_xlfn.NUMBERVALUE("0.003434")</f>
        <v/>
      </c>
      <c r="U1746">
        <f>_xlfn.NUMBERVALUE("-0.002861")</f>
        <v/>
      </c>
      <c r="V1746">
        <f>_xlfn.NUMBERVALUE("-0.003888")</f>
        <v/>
      </c>
      <c r="W1746">
        <f>_xlfn.NUMBERVALUE("-0.016739")</f>
        <v/>
      </c>
      <c r="X1746">
        <f>_xlfn.NUMBERVALUE("2.720000")</f>
        <v/>
      </c>
      <c r="Y1746">
        <f>_xlfn.NUMBERVALUE("30.670000")</f>
        <v/>
      </c>
    </row>
    <row r="1747">
      <c r="A1747" s="1" t="n">
        <v>44536</v>
      </c>
      <c r="B1747">
        <f>_xlfn.NUMBERVALUE("0.008573")</f>
        <v/>
      </c>
      <c r="C1747" s="2">
        <f>_xlfn.NUMBERVALUE("0.002532")</f>
        <v/>
      </c>
      <c r="D1747">
        <f>_xlfn.NUMBERVALUE("0.008887")</f>
        <v/>
      </c>
      <c r="E1747">
        <f>_xlfn.NUMBERVALUE("0.005557")</f>
        <v/>
      </c>
      <c r="F1747">
        <f>_xlfn.NUMBERVALUE("0.002751")</f>
        <v/>
      </c>
      <c r="G1747">
        <f>_xlfn.NUMBERVALUE("0.002518")</f>
        <v/>
      </c>
      <c r="H1747">
        <f>_xlfn.NUMBERVALUE("0.000840")</f>
        <v/>
      </c>
      <c r="I1747">
        <f>_xlfn.NUMBERVALUE("0.008922")</f>
        <v/>
      </c>
      <c r="J1747">
        <f>_xlfn.NUMBERVALUE("0.003131")</f>
        <v/>
      </c>
      <c r="K1747">
        <f>_xlfn.NUMBERVALUE("0.005456")</f>
        <v/>
      </c>
      <c r="L1747">
        <f>_xlfn.NUMBERVALUE("0.000857")</f>
        <v/>
      </c>
      <c r="M1747">
        <f>_xlfn.NUMBERVALUE("0.005541")</f>
        <v/>
      </c>
      <c r="N1747">
        <f>_xlfn.NUMBERVALUE("-0.001886")</f>
        <v/>
      </c>
      <c r="O1747">
        <f>_xlfn.NUMBERVALUE("0.003056")</f>
        <v/>
      </c>
      <c r="P1747">
        <f>_xlfn.NUMBERVALUE("0.002630")</f>
        <v/>
      </c>
      <c r="Q1747">
        <f>_xlfn.NUMBERVALUE("0.004682")</f>
        <v/>
      </c>
      <c r="R1747">
        <f>_xlfn.NUMBERVALUE("0.010425")</f>
        <v/>
      </c>
      <c r="S1747">
        <f>_xlfn.NUMBERVALUE("0.004825")</f>
        <v/>
      </c>
      <c r="T1747">
        <f>_xlfn.NUMBERVALUE("-0.002850")</f>
        <v/>
      </c>
      <c r="U1747">
        <f>_xlfn.NUMBERVALUE("0.003562")</f>
        <v/>
      </c>
      <c r="V1747">
        <f>_xlfn.NUMBERVALUE("0.003470")</f>
        <v/>
      </c>
      <c r="W1747">
        <f>_xlfn.NUMBERVALUE("0.017889")</f>
        <v/>
      </c>
      <c r="X1747">
        <f>_xlfn.NUMBERVALUE("-3.490000")</f>
        <v/>
      </c>
      <c r="Y1747">
        <f>_xlfn.NUMBERVALUE("27.180000")</f>
        <v/>
      </c>
    </row>
    <row r="1748">
      <c r="A1748" s="1" t="n">
        <v>44537</v>
      </c>
      <c r="B1748">
        <f>_xlfn.NUMBERVALUE("0.001475")</f>
        <v/>
      </c>
      <c r="C1748" s="2">
        <f>_xlfn.NUMBERVALUE("0.003546")</f>
        <v/>
      </c>
      <c r="D1748">
        <f>_xlfn.NUMBERVALUE("0.003673")</f>
        <v/>
      </c>
      <c r="E1748">
        <f>_xlfn.NUMBERVALUE("-0.001600")</f>
        <v/>
      </c>
      <c r="F1748">
        <f>_xlfn.NUMBERVALUE("0.001205")</f>
        <v/>
      </c>
      <c r="G1748">
        <f>_xlfn.NUMBERVALUE("0.000144")</f>
        <v/>
      </c>
      <c r="H1748">
        <f>_xlfn.NUMBERVALUE("0.000662")</f>
        <v/>
      </c>
      <c r="I1748">
        <f>_xlfn.NUMBERVALUE("0.005199")</f>
        <v/>
      </c>
      <c r="J1748">
        <f>_xlfn.NUMBERVALUE("0.000637")</f>
        <v/>
      </c>
      <c r="K1748">
        <f>_xlfn.NUMBERVALUE("0.001832")</f>
        <v/>
      </c>
      <c r="L1748">
        <f>_xlfn.NUMBERVALUE("0.002027")</f>
        <v/>
      </c>
      <c r="M1748">
        <f>_xlfn.NUMBERVALUE("0.005238")</f>
        <v/>
      </c>
      <c r="N1748">
        <f>_xlfn.NUMBERVALUE("0.000918")</f>
        <v/>
      </c>
      <c r="O1748">
        <f>_xlfn.NUMBERVALUE("0.000898")</f>
        <v/>
      </c>
      <c r="P1748">
        <f>_xlfn.NUMBERVALUE("0.000162")</f>
        <v/>
      </c>
      <c r="Q1748">
        <f>_xlfn.NUMBERVALUE("0.001661")</f>
        <v/>
      </c>
      <c r="R1748">
        <f>_xlfn.NUMBERVALUE("-0.023094")</f>
        <v/>
      </c>
      <c r="S1748">
        <f>_xlfn.NUMBERVALUE("0.005820")</f>
        <v/>
      </c>
      <c r="T1748">
        <f>_xlfn.NUMBERVALUE("-0.000149")</f>
        <v/>
      </c>
      <c r="U1748">
        <f>_xlfn.NUMBERVALUE("0.000289")</f>
        <v/>
      </c>
      <c r="V1748">
        <f>_xlfn.NUMBERVALUE("0.000531")</f>
        <v/>
      </c>
      <c r="W1748">
        <f>_xlfn.NUMBERVALUE("0.018316")</f>
        <v/>
      </c>
      <c r="X1748">
        <f>_xlfn.NUMBERVALUE("-5.290000")</f>
        <v/>
      </c>
      <c r="Y1748">
        <f>_xlfn.NUMBERVALUE("21.890000")</f>
        <v/>
      </c>
    </row>
    <row r="1749">
      <c r="A1749" s="1" t="n">
        <v>44538</v>
      </c>
      <c r="B1749">
        <f>_xlfn.NUMBERVALUE("0.000214")</f>
        <v/>
      </c>
      <c r="C1749" s="2">
        <f>_xlfn.NUMBERVALUE("0.003298")</f>
        <v/>
      </c>
      <c r="D1749">
        <f>_xlfn.NUMBERVALUE("0.002836")</f>
        <v/>
      </c>
      <c r="E1749">
        <f>_xlfn.NUMBERVALUE("0.000817")</f>
        <v/>
      </c>
      <c r="F1749">
        <f>_xlfn.NUMBERVALUE("0.001824")</f>
        <v/>
      </c>
      <c r="G1749">
        <f>_xlfn.NUMBERVALUE("-0.000010")</f>
        <v/>
      </c>
      <c r="H1749">
        <f>_xlfn.NUMBERVALUE("0.000684")</f>
        <v/>
      </c>
      <c r="I1749">
        <f>_xlfn.NUMBERVALUE("0.003809")</f>
        <v/>
      </c>
      <c r="J1749">
        <f>_xlfn.NUMBERVALUE("0.000294")</f>
        <v/>
      </c>
      <c r="K1749">
        <f>_xlfn.NUMBERVALUE("0.001936")</f>
        <v/>
      </c>
      <c r="L1749">
        <f>_xlfn.NUMBERVALUE("-0.001332")</f>
        <v/>
      </c>
      <c r="M1749">
        <f>_xlfn.NUMBERVALUE("0.003501")</f>
        <v/>
      </c>
      <c r="N1749">
        <f>_xlfn.NUMBERVALUE("0.002217")</f>
        <v/>
      </c>
      <c r="O1749">
        <f>_xlfn.NUMBERVALUE("0.003936")</f>
        <v/>
      </c>
      <c r="P1749">
        <f>_xlfn.NUMBERVALUE("0.004018")</f>
        <v/>
      </c>
      <c r="Q1749">
        <f>_xlfn.NUMBERVALUE("0.003092")</f>
        <v/>
      </c>
      <c r="R1749">
        <f>_xlfn.NUMBERVALUE("0.002738")</f>
        <v/>
      </c>
      <c r="S1749">
        <f>_xlfn.NUMBERVALUE("0.002161")</f>
        <v/>
      </c>
      <c r="T1749">
        <f>_xlfn.NUMBERVALUE("0.002339")</f>
        <v/>
      </c>
      <c r="U1749">
        <f>_xlfn.NUMBERVALUE("0.003510")</f>
        <v/>
      </c>
      <c r="V1749">
        <f>_xlfn.NUMBERVALUE("0.003244")</f>
        <v/>
      </c>
      <c r="W1749">
        <f>_xlfn.NUMBERVALUE("0.005139")</f>
        <v/>
      </c>
      <c r="X1749">
        <f>_xlfn.NUMBERVALUE("-1.990000")</f>
        <v/>
      </c>
      <c r="Y1749">
        <f>_xlfn.NUMBERVALUE("19.900000")</f>
        <v/>
      </c>
    </row>
    <row r="1750">
      <c r="A1750" s="1" t="n">
        <v>44539</v>
      </c>
      <c r="B1750">
        <f>_xlfn.NUMBERVALUE("-0.009220")</f>
        <v/>
      </c>
      <c r="C1750" s="2">
        <f>_xlfn.NUMBERVALUE("-0.000459")</f>
        <v/>
      </c>
      <c r="D1750">
        <f>_xlfn.NUMBERVALUE("0.001287")</f>
        <v/>
      </c>
      <c r="E1750">
        <f>_xlfn.NUMBERVALUE("0.001926")</f>
        <v/>
      </c>
      <c r="F1750">
        <f>_xlfn.NUMBERVALUE("0.000129")</f>
        <v/>
      </c>
      <c r="G1750">
        <f>_xlfn.NUMBERVALUE("0.001321")</f>
        <v/>
      </c>
      <c r="H1750">
        <f>_xlfn.NUMBERVALUE("0.000093")</f>
        <v/>
      </c>
      <c r="I1750">
        <f>_xlfn.NUMBERVALUE("-0.001925")</f>
        <v/>
      </c>
      <c r="J1750">
        <f>_xlfn.NUMBERVALUE("0.000647")</f>
        <v/>
      </c>
      <c r="K1750">
        <f>_xlfn.NUMBERVALUE("-0.000741")</f>
        <v/>
      </c>
      <c r="L1750">
        <f>_xlfn.NUMBERVALUE("0.000297")</f>
        <v/>
      </c>
      <c r="M1750">
        <f>_xlfn.NUMBERVALUE("0.000323")</f>
        <v/>
      </c>
      <c r="N1750">
        <f>_xlfn.NUMBERVALUE("0.000115")</f>
        <v/>
      </c>
      <c r="O1750">
        <f>_xlfn.NUMBERVALUE("0.002337")</f>
        <v/>
      </c>
      <c r="P1750">
        <f>_xlfn.NUMBERVALUE("-0.003968")</f>
        <v/>
      </c>
      <c r="Q1750">
        <f>_xlfn.NUMBERVALUE("-0.001011")</f>
        <v/>
      </c>
      <c r="R1750">
        <f>_xlfn.NUMBERVALUE("-0.001906")</f>
        <v/>
      </c>
      <c r="S1750">
        <f>_xlfn.NUMBERVALUE("-0.000359")</f>
        <v/>
      </c>
      <c r="T1750">
        <f>_xlfn.NUMBERVALUE("-0.000105")</f>
        <v/>
      </c>
      <c r="U1750">
        <f>_xlfn.NUMBERVALUE("-0.001238")</f>
        <v/>
      </c>
      <c r="V1750">
        <f>_xlfn.NUMBERVALUE("-0.000059")</f>
        <v/>
      </c>
      <c r="W1750">
        <f>_xlfn.NUMBERVALUE("-0.004282")</f>
        <v/>
      </c>
      <c r="X1750">
        <f>_xlfn.NUMBERVALUE("1.680000")</f>
        <v/>
      </c>
      <c r="Y1750">
        <f>_xlfn.NUMBERVALUE("21.580000")</f>
        <v/>
      </c>
    </row>
    <row r="1751">
      <c r="A1751" s="1" t="n">
        <v>44540</v>
      </c>
      <c r="B1751">
        <f>_xlfn.NUMBERVALUE("0.000163")</f>
        <v/>
      </c>
      <c r="C1751" s="2">
        <f>_xlfn.NUMBERVALUE("0.001237")</f>
        <v/>
      </c>
      <c r="D1751">
        <f>_xlfn.NUMBERVALUE("0.004858")</f>
        <v/>
      </c>
      <c r="E1751">
        <f>_xlfn.NUMBERVALUE("0.005309")</f>
        <v/>
      </c>
      <c r="F1751">
        <f>_xlfn.NUMBERVALUE("0.003385")</f>
        <v/>
      </c>
      <c r="G1751">
        <f>_xlfn.NUMBERVALUE("0.000818")</f>
        <v/>
      </c>
      <c r="H1751">
        <f>_xlfn.NUMBERVALUE("0.001234")</f>
        <v/>
      </c>
      <c r="I1751">
        <f>_xlfn.NUMBERVALUE("0.004532")</f>
        <v/>
      </c>
      <c r="J1751">
        <f>_xlfn.NUMBERVALUE("0.002260")</f>
        <v/>
      </c>
      <c r="K1751">
        <f>_xlfn.NUMBERVALUE("0.006079")</f>
        <v/>
      </c>
      <c r="L1751">
        <f>_xlfn.NUMBERVALUE("0.001502")</f>
        <v/>
      </c>
      <c r="M1751">
        <f>_xlfn.NUMBERVALUE("0.003840")</f>
        <v/>
      </c>
      <c r="N1751">
        <f>_xlfn.NUMBERVALUE("-0.000319")</f>
        <v/>
      </c>
      <c r="O1751">
        <f>_xlfn.NUMBERVALUE("0.006346")</f>
        <v/>
      </c>
      <c r="P1751">
        <f>_xlfn.NUMBERVALUE("0.002661")</f>
        <v/>
      </c>
      <c r="Q1751">
        <f>_xlfn.NUMBERVALUE("0.002715")</f>
        <v/>
      </c>
      <c r="R1751">
        <f>_xlfn.NUMBERVALUE("0.001750")</f>
        <v/>
      </c>
      <c r="S1751">
        <f>_xlfn.NUMBERVALUE("-0.003324")</f>
        <v/>
      </c>
      <c r="T1751">
        <f>_xlfn.NUMBERVALUE("0.002348")</f>
        <v/>
      </c>
      <c r="U1751">
        <f>_xlfn.NUMBERVALUE("0.003877")</f>
        <v/>
      </c>
      <c r="V1751">
        <f>_xlfn.NUMBERVALUE("0.002299")</f>
        <v/>
      </c>
      <c r="W1751">
        <f>_xlfn.NUMBERVALUE("0.005884")</f>
        <v/>
      </c>
      <c r="X1751">
        <f>_xlfn.NUMBERVALUE("-2.890000")</f>
        <v/>
      </c>
      <c r="Y1751">
        <f>_xlfn.NUMBERVALUE("18.690000")</f>
        <v/>
      </c>
    </row>
    <row r="1752">
      <c r="A1752" s="1" t="n">
        <v>44543</v>
      </c>
      <c r="B1752">
        <f>_xlfn.NUMBERVALUE("0.000130")</f>
        <v/>
      </c>
      <c r="C1752" s="2">
        <f>_xlfn.NUMBERVALUE("0.001896")</f>
        <v/>
      </c>
      <c r="D1752">
        <f>_xlfn.NUMBERVALUE("-0.007785")</f>
        <v/>
      </c>
      <c r="E1752">
        <f>_xlfn.NUMBERVALUE("-0.010285")</f>
        <v/>
      </c>
      <c r="F1752">
        <f>_xlfn.NUMBERVALUE("-0.000330")</f>
        <v/>
      </c>
      <c r="G1752">
        <f>_xlfn.NUMBERVALUE("-0.000052")</f>
        <v/>
      </c>
      <c r="H1752">
        <f>_xlfn.NUMBERVALUE("0.000053")</f>
        <v/>
      </c>
      <c r="I1752">
        <f>_xlfn.NUMBERVALUE("0.000486")</f>
        <v/>
      </c>
      <c r="J1752">
        <f>_xlfn.NUMBERVALUE("0.000154")</f>
        <v/>
      </c>
      <c r="K1752">
        <f>_xlfn.NUMBERVALUE("0.001800")</f>
        <v/>
      </c>
      <c r="L1752">
        <f>_xlfn.NUMBERVALUE("0.000721")</f>
        <v/>
      </c>
      <c r="M1752">
        <f>_xlfn.NUMBERVALUE("0.001099")</f>
        <v/>
      </c>
      <c r="N1752">
        <f>_xlfn.NUMBERVALUE("0.000494")</f>
        <v/>
      </c>
      <c r="O1752">
        <f>_xlfn.NUMBERVALUE("-0.001536")</f>
        <v/>
      </c>
      <c r="P1752">
        <f>_xlfn.NUMBERVALUE("0.001017")</f>
        <v/>
      </c>
      <c r="Q1752">
        <f>_xlfn.NUMBERVALUE("0.001541")</f>
        <v/>
      </c>
      <c r="R1752">
        <f>_xlfn.NUMBERVALUE("0.000695")</f>
        <v/>
      </c>
      <c r="S1752">
        <f>_xlfn.NUMBERVALUE("-0.003417")</f>
        <v/>
      </c>
      <c r="T1752">
        <f>_xlfn.NUMBERVALUE("-0.004138")</f>
        <v/>
      </c>
      <c r="U1752">
        <f>_xlfn.NUMBERVALUE("-0.003058")</f>
        <v/>
      </c>
      <c r="V1752">
        <f>_xlfn.NUMBERVALUE("0.001067")</f>
        <v/>
      </c>
      <c r="W1752">
        <f>_xlfn.NUMBERVALUE("-0.004084")</f>
        <v/>
      </c>
      <c r="X1752">
        <f>_xlfn.NUMBERVALUE("1.620000")</f>
        <v/>
      </c>
      <c r="Y1752">
        <f>_xlfn.NUMBERVALUE("20.310000")</f>
        <v/>
      </c>
    </row>
    <row r="1753">
      <c r="A1753" s="1" t="n">
        <v>44544</v>
      </c>
      <c r="B1753">
        <f>_xlfn.NUMBERVALUE("0.000875")</f>
        <v/>
      </c>
      <c r="C1753" s="2">
        <f>_xlfn.NUMBERVALUE("-0.000999")</f>
        <v/>
      </c>
      <c r="D1753">
        <f>_xlfn.NUMBERVALUE("-0.001668")</f>
        <v/>
      </c>
      <c r="E1753">
        <f>_xlfn.NUMBERVALUE("-0.002927")</f>
        <v/>
      </c>
      <c r="F1753">
        <f>_xlfn.NUMBERVALUE("-0.001086")</f>
        <v/>
      </c>
      <c r="G1753">
        <f>_xlfn.NUMBERVALUE("0.000701")</f>
        <v/>
      </c>
      <c r="H1753">
        <f>_xlfn.NUMBERVALUE("0.000022")</f>
        <v/>
      </c>
      <c r="I1753">
        <f>_xlfn.NUMBERVALUE("-0.002501")</f>
        <v/>
      </c>
      <c r="J1753">
        <f>_xlfn.NUMBERVALUE("-0.000970")</f>
        <v/>
      </c>
      <c r="K1753">
        <f>_xlfn.NUMBERVALUE("-0.002333")</f>
        <v/>
      </c>
      <c r="L1753">
        <f>_xlfn.NUMBERVALUE("0.000064")</f>
        <v/>
      </c>
      <c r="M1753">
        <f>_xlfn.NUMBERVALUE("-0.000784")</f>
        <v/>
      </c>
      <c r="N1753">
        <f>_xlfn.NUMBERVALUE("-0.000059")</f>
        <v/>
      </c>
      <c r="O1753">
        <f>_xlfn.NUMBERVALUE("-0.001383")</f>
        <v/>
      </c>
      <c r="P1753">
        <f>_xlfn.NUMBERVALUE("-0.000723")</f>
        <v/>
      </c>
      <c r="Q1753">
        <f>_xlfn.NUMBERVALUE("-0.000924")</f>
        <v/>
      </c>
      <c r="R1753">
        <f>_xlfn.NUMBERVALUE("-0.006271")</f>
        <v/>
      </c>
      <c r="S1753">
        <f>_xlfn.NUMBERVALUE("-0.000255")</f>
        <v/>
      </c>
      <c r="T1753">
        <f>_xlfn.NUMBERVALUE("-0.001104")</f>
        <v/>
      </c>
      <c r="U1753">
        <f>_xlfn.NUMBERVALUE("-0.001308")</f>
        <v/>
      </c>
      <c r="V1753">
        <f>_xlfn.NUMBERVALUE("-0.001887")</f>
        <v/>
      </c>
      <c r="W1753">
        <f>_xlfn.NUMBERVALUE("-0.011170")</f>
        <v/>
      </c>
      <c r="X1753">
        <f>_xlfn.NUMBERVALUE("1.580000")</f>
        <v/>
      </c>
      <c r="Y1753">
        <f>_xlfn.NUMBERVALUE("21.890000")</f>
        <v/>
      </c>
    </row>
    <row r="1754">
      <c r="A1754" s="1" t="n">
        <v>44545</v>
      </c>
      <c r="B1754">
        <f>_xlfn.NUMBERVALUE("0.001069")</f>
        <v/>
      </c>
      <c r="C1754" s="2">
        <f>_xlfn.NUMBERVALUE("0.001029")</f>
        <v/>
      </c>
      <c r="D1754">
        <f>_xlfn.NUMBERVALUE("0.001409")</f>
        <v/>
      </c>
      <c r="E1754">
        <f>_xlfn.NUMBERVALUE("-0.001761")</f>
        <v/>
      </c>
      <c r="F1754">
        <f>_xlfn.NUMBERVALUE("0.002299")</f>
        <v/>
      </c>
      <c r="G1754">
        <f>_xlfn.NUMBERVALUE("0.000073")</f>
        <v/>
      </c>
      <c r="H1754">
        <f>_xlfn.NUMBERVALUE("0.000867")</f>
        <v/>
      </c>
      <c r="I1754">
        <f>_xlfn.NUMBERVALUE("0.002913")</f>
        <v/>
      </c>
      <c r="J1754">
        <f>_xlfn.NUMBERVALUE("0.000843")</f>
        <v/>
      </c>
      <c r="K1754">
        <f>_xlfn.NUMBERVALUE("-0.000363")</f>
        <v/>
      </c>
      <c r="L1754">
        <f>_xlfn.NUMBERVALUE("0.000275")</f>
        <v/>
      </c>
      <c r="M1754">
        <f>_xlfn.NUMBERVALUE("-0.000042")</f>
        <v/>
      </c>
      <c r="N1754">
        <f>_xlfn.NUMBERVALUE("0.002817")</f>
        <v/>
      </c>
      <c r="O1754">
        <f>_xlfn.NUMBERVALUE("0.001124")</f>
        <v/>
      </c>
      <c r="P1754">
        <f>_xlfn.NUMBERVALUE("0.000433")</f>
        <v/>
      </c>
      <c r="Q1754">
        <f>_xlfn.NUMBERVALUE("0.000583")</f>
        <v/>
      </c>
      <c r="R1754">
        <f>_xlfn.NUMBERVALUE("-0.000650")</f>
        <v/>
      </c>
      <c r="S1754">
        <f>_xlfn.NUMBERVALUE("-0.000190")</f>
        <v/>
      </c>
      <c r="T1754">
        <f>_xlfn.NUMBERVALUE("-0.001415")</f>
        <v/>
      </c>
      <c r="U1754">
        <f>_xlfn.NUMBERVALUE("0.002356")</f>
        <v/>
      </c>
      <c r="V1754">
        <f>_xlfn.NUMBERVALUE("0.000278")</f>
        <v/>
      </c>
      <c r="W1754">
        <f>_xlfn.NUMBERVALUE("0.012406")</f>
        <v/>
      </c>
      <c r="X1754">
        <f>_xlfn.NUMBERVALUE("-2.600000")</f>
        <v/>
      </c>
      <c r="Y1754">
        <f>_xlfn.NUMBERVALUE("19.290000")</f>
        <v/>
      </c>
    </row>
    <row r="1755">
      <c r="A1755" s="1" t="n">
        <v>44546</v>
      </c>
      <c r="B1755">
        <f>_xlfn.NUMBERVALUE("-0.000854")</f>
        <v/>
      </c>
      <c r="C1755" s="2">
        <f>_xlfn.NUMBERVALUE("-0.002335")</f>
        <v/>
      </c>
      <c r="D1755">
        <f>_xlfn.NUMBERVALUE("0.001231")</f>
        <v/>
      </c>
      <c r="E1755">
        <f>_xlfn.NUMBERVALUE("-0.000726")</f>
        <v/>
      </c>
      <c r="F1755">
        <f>_xlfn.NUMBERVALUE("-0.001062")</f>
        <v/>
      </c>
      <c r="G1755">
        <f>_xlfn.NUMBERVALUE("-0.003033")</f>
        <v/>
      </c>
      <c r="H1755">
        <f>_xlfn.NUMBERVALUE("0.000268")</f>
        <v/>
      </c>
      <c r="I1755">
        <f>_xlfn.NUMBERVALUE("-0.002720")</f>
        <v/>
      </c>
      <c r="J1755">
        <f>_xlfn.NUMBERVALUE("0.000451")</f>
        <v/>
      </c>
      <c r="K1755">
        <f>_xlfn.NUMBERVALUE("0.000204")</f>
        <v/>
      </c>
      <c r="L1755">
        <f>_xlfn.NUMBERVALUE("0.000420")</f>
        <v/>
      </c>
      <c r="M1755">
        <f>_xlfn.NUMBERVALUE("-0.002821")</f>
        <v/>
      </c>
      <c r="N1755">
        <f>_xlfn.NUMBERVALUE("-0.004015")</f>
        <v/>
      </c>
      <c r="O1755">
        <f>_xlfn.NUMBERVALUE("0.000399")</f>
        <v/>
      </c>
      <c r="P1755">
        <f>_xlfn.NUMBERVALUE("0.003721")</f>
        <v/>
      </c>
      <c r="Q1755">
        <f>_xlfn.NUMBERVALUE("-0.001475")</f>
        <v/>
      </c>
      <c r="R1755">
        <f>_xlfn.NUMBERVALUE("-0.005471")</f>
        <v/>
      </c>
      <c r="S1755">
        <f>_xlfn.NUMBERVALUE("-0.000031")</f>
        <v/>
      </c>
      <c r="T1755">
        <f>_xlfn.NUMBERVALUE("-0.000615")</f>
        <v/>
      </c>
      <c r="U1755">
        <f>_xlfn.NUMBERVALUE("-0.002171")</f>
        <v/>
      </c>
      <c r="V1755">
        <f>_xlfn.NUMBERVALUE("-0.000438")</f>
        <v/>
      </c>
      <c r="W1755">
        <f>_xlfn.NUMBERVALUE("-0.003977")</f>
        <v/>
      </c>
      <c r="X1755">
        <f>_xlfn.NUMBERVALUE("1.280000")</f>
        <v/>
      </c>
      <c r="Y1755">
        <f>_xlfn.NUMBERVALUE("20.570000")</f>
        <v/>
      </c>
    </row>
    <row r="1756">
      <c r="A1756" s="1" t="n">
        <v>44547</v>
      </c>
      <c r="B1756">
        <f>_xlfn.NUMBERVALUE("0.000269")</f>
        <v/>
      </c>
      <c r="C1756" s="2">
        <f>_xlfn.NUMBERVALUE("0.000920")</f>
        <v/>
      </c>
      <c r="D1756">
        <f>_xlfn.NUMBERVALUE("0.001394")</f>
        <v/>
      </c>
      <c r="E1756">
        <f>_xlfn.NUMBERVALUE("-0.000210")</f>
        <v/>
      </c>
      <c r="F1756">
        <f>_xlfn.NUMBERVALUE("0.001447")</f>
        <v/>
      </c>
      <c r="G1756">
        <f>_xlfn.NUMBERVALUE("0.000498")</f>
        <v/>
      </c>
      <c r="H1756">
        <f>_xlfn.NUMBERVALUE("-0.000300")</f>
        <v/>
      </c>
      <c r="I1756">
        <f>_xlfn.NUMBERVALUE("0.000835")</f>
        <v/>
      </c>
      <c r="J1756">
        <f>_xlfn.NUMBERVALUE("0.000193")</f>
        <v/>
      </c>
      <c r="K1756">
        <f>_xlfn.NUMBERVALUE("0.003053")</f>
        <v/>
      </c>
      <c r="L1756">
        <f>_xlfn.NUMBERVALUE("0.000032")</f>
        <v/>
      </c>
      <c r="M1756">
        <f>_xlfn.NUMBERVALUE("0.000213")</f>
        <v/>
      </c>
      <c r="N1756">
        <f>_xlfn.NUMBERVALUE("0.001919")</f>
        <v/>
      </c>
      <c r="O1756">
        <f>_xlfn.NUMBERVALUE("-0.001748")</f>
        <v/>
      </c>
      <c r="P1756">
        <f>_xlfn.NUMBERVALUE("-0.009702")</f>
        <v/>
      </c>
      <c r="Q1756">
        <f>_xlfn.NUMBERVALUE("-0.001479")</f>
        <v/>
      </c>
      <c r="R1756">
        <f>_xlfn.NUMBERVALUE("-0.000438")</f>
        <v/>
      </c>
      <c r="S1756">
        <f>_xlfn.NUMBERVALUE("-0.001519")</f>
        <v/>
      </c>
      <c r="T1756">
        <f>_xlfn.NUMBERVALUE("0.000839")</f>
        <v/>
      </c>
      <c r="U1756">
        <f>_xlfn.NUMBERVALUE("-0.000514")</f>
        <v/>
      </c>
      <c r="V1756">
        <f>_xlfn.NUMBERVALUE("-0.001053")</f>
        <v/>
      </c>
      <c r="W1756">
        <f>_xlfn.NUMBERVALUE("-0.012444")</f>
        <v/>
      </c>
      <c r="X1756">
        <f>_xlfn.NUMBERVALUE("1.000000")</f>
        <v/>
      </c>
      <c r="Y1756">
        <f>_xlfn.NUMBERVALUE("21.570000")</f>
        <v/>
      </c>
    </row>
    <row r="1757">
      <c r="A1757" s="1" t="n">
        <v>44550</v>
      </c>
      <c r="B1757">
        <f>_xlfn.NUMBERVALUE("0.000337")</f>
        <v/>
      </c>
      <c r="C1757" s="2">
        <f>_xlfn.NUMBERVALUE("-0.000360")</f>
        <v/>
      </c>
      <c r="D1757">
        <f>_xlfn.NUMBERVALUE("-0.001839")</f>
        <v/>
      </c>
      <c r="E1757">
        <f>_xlfn.NUMBERVALUE("-0.001124")</f>
        <v/>
      </c>
      <c r="F1757">
        <f>_xlfn.NUMBERVALUE("0.000611")</f>
        <v/>
      </c>
      <c r="G1757">
        <f>_xlfn.NUMBERVALUE("0.000217")</f>
        <v/>
      </c>
      <c r="H1757">
        <f>_xlfn.NUMBERVALUE("0.000139")</f>
        <v/>
      </c>
      <c r="I1757">
        <f>_xlfn.NUMBERVALUE("-0.001622")</f>
        <v/>
      </c>
      <c r="J1757">
        <f>_xlfn.NUMBERVALUE("0.000284")</f>
        <v/>
      </c>
      <c r="K1757">
        <f>_xlfn.NUMBERVALUE("0.001702")</f>
        <v/>
      </c>
      <c r="L1757">
        <f>_xlfn.NUMBERVALUE("-0.000098")</f>
        <v/>
      </c>
      <c r="M1757">
        <f>_xlfn.NUMBERVALUE("-0.006252")</f>
        <v/>
      </c>
      <c r="N1757">
        <f>_xlfn.NUMBERVALUE("-0.000905")</f>
        <v/>
      </c>
      <c r="O1757">
        <f>_xlfn.NUMBERVALUE("0.003325")</f>
        <v/>
      </c>
      <c r="P1757">
        <f>_xlfn.NUMBERVALUE("-0.002811")</f>
        <v/>
      </c>
      <c r="Q1757">
        <f>_xlfn.NUMBERVALUE("-0.003805")</f>
        <v/>
      </c>
      <c r="R1757">
        <f>_xlfn.NUMBERVALUE("-0.000199")</f>
        <v/>
      </c>
      <c r="S1757">
        <f>_xlfn.NUMBERVALUE("-0.003660")</f>
        <v/>
      </c>
      <c r="T1757">
        <f>_xlfn.NUMBERVALUE("-0.003284")</f>
        <v/>
      </c>
      <c r="U1757">
        <f>_xlfn.NUMBERVALUE("-0.002433")</f>
        <v/>
      </c>
      <c r="V1757">
        <f>_xlfn.NUMBERVALUE("-0.001253")</f>
        <v/>
      </c>
      <c r="W1757">
        <f>_xlfn.NUMBERVALUE("-0.015225")</f>
        <v/>
      </c>
      <c r="X1757">
        <f>_xlfn.NUMBERVALUE("1.300000")</f>
        <v/>
      </c>
      <c r="Y1757">
        <f>_xlfn.NUMBERVALUE("22.870000")</f>
        <v/>
      </c>
    </row>
    <row r="1758">
      <c r="A1758" s="1" t="n">
        <v>44551</v>
      </c>
      <c r="B1758">
        <f>_xlfn.NUMBERVALUE("0.000283")</f>
        <v/>
      </c>
      <c r="C1758" s="2">
        <f>_xlfn.NUMBERVALUE("0.000580")</f>
        <v/>
      </c>
      <c r="D1758">
        <f>_xlfn.NUMBERVALUE("0.002027")</f>
        <v/>
      </c>
      <c r="E1758">
        <f>_xlfn.NUMBERVALUE("0.002773")</f>
        <v/>
      </c>
      <c r="F1758">
        <f>_xlfn.NUMBERVALUE("0.001242")</f>
        <v/>
      </c>
      <c r="G1758">
        <f>_xlfn.NUMBERVALUE("0.000529")</f>
        <v/>
      </c>
      <c r="H1758">
        <f>_xlfn.NUMBERVALUE("-0.000155")</f>
        <v/>
      </c>
      <c r="I1758">
        <f>_xlfn.NUMBERVALUE("-0.001740")</f>
        <v/>
      </c>
      <c r="J1758">
        <f>_xlfn.NUMBERVALUE("0.000961")</f>
        <v/>
      </c>
      <c r="K1758">
        <f>_xlfn.NUMBERVALUE("0.001833")</f>
        <v/>
      </c>
      <c r="L1758">
        <f>_xlfn.NUMBERVALUE("-0.000116")</f>
        <v/>
      </c>
      <c r="M1758">
        <f>_xlfn.NUMBERVALUE("0.003195")</f>
        <v/>
      </c>
      <c r="N1758">
        <f>_xlfn.NUMBERVALUE("0.002249")</f>
        <v/>
      </c>
      <c r="O1758">
        <f>_xlfn.NUMBERVALUE("-0.002340")</f>
        <v/>
      </c>
      <c r="P1758">
        <f>_xlfn.NUMBERVALUE("0.002650")</f>
        <v/>
      </c>
      <c r="Q1758">
        <f>_xlfn.NUMBERVALUE("-0.003913")</f>
        <v/>
      </c>
      <c r="R1758">
        <f>_xlfn.NUMBERVALUE("0.002404")</f>
        <v/>
      </c>
      <c r="S1758">
        <f>_xlfn.NUMBERVALUE("0.003825")</f>
        <v/>
      </c>
      <c r="T1758">
        <f>_xlfn.NUMBERVALUE("0.003936")</f>
        <v/>
      </c>
      <c r="U1758">
        <f>_xlfn.NUMBERVALUE("0.001866")</f>
        <v/>
      </c>
      <c r="V1758">
        <f>_xlfn.NUMBERVALUE("-0.000141")</f>
        <v/>
      </c>
      <c r="W1758">
        <f>_xlfn.NUMBERVALUE("0.016364")</f>
        <v/>
      </c>
      <c r="X1758">
        <f>_xlfn.NUMBERVALUE("-1.860000")</f>
        <v/>
      </c>
      <c r="Y1758">
        <f>_xlfn.NUMBERVALUE("21.010000")</f>
        <v/>
      </c>
    </row>
    <row r="1759">
      <c r="A1759" s="1" t="n">
        <v>44552</v>
      </c>
      <c r="B1759">
        <f>_xlfn.NUMBERVALUE("0.000186")</f>
        <v/>
      </c>
      <c r="C1759" s="2">
        <f>_xlfn.NUMBERVALUE("0.001700")</f>
        <v/>
      </c>
      <c r="D1759">
        <f>_xlfn.NUMBERVALUE("0.003679")</f>
        <v/>
      </c>
      <c r="E1759">
        <f>_xlfn.NUMBERVALUE("-0.001657")</f>
        <v/>
      </c>
      <c r="F1759">
        <f>_xlfn.NUMBERVALUE("-0.000555")</f>
        <v/>
      </c>
      <c r="G1759">
        <f>_xlfn.NUMBERVALUE("0.000338")</f>
        <v/>
      </c>
      <c r="H1759">
        <f>_xlfn.NUMBERVALUE("0.000831")</f>
        <v/>
      </c>
      <c r="I1759">
        <f>_xlfn.NUMBERVALUE("0.006023")</f>
        <v/>
      </c>
      <c r="J1759">
        <f>_xlfn.NUMBERVALUE("0.000686")</f>
        <v/>
      </c>
      <c r="K1759">
        <f>_xlfn.NUMBERVALUE("-0.000272")</f>
        <v/>
      </c>
      <c r="L1759">
        <f>_xlfn.NUMBERVALUE("0.001198")</f>
        <v/>
      </c>
      <c r="M1759">
        <f>_xlfn.NUMBERVALUE("0.003376")</f>
        <v/>
      </c>
      <c r="N1759">
        <f>_xlfn.NUMBERVALUE("0.003110")</f>
        <v/>
      </c>
      <c r="O1759">
        <f>_xlfn.NUMBERVALUE("0.006506")</f>
        <v/>
      </c>
      <c r="P1759">
        <f>_xlfn.NUMBERVALUE("0.008238")</f>
        <v/>
      </c>
      <c r="Q1759">
        <f>_xlfn.NUMBERVALUE("0.007613")</f>
        <v/>
      </c>
      <c r="R1759">
        <f>_xlfn.NUMBERVALUE("0.003873")</f>
        <v/>
      </c>
      <c r="S1759">
        <f>_xlfn.NUMBERVALUE("0.002398")</f>
        <v/>
      </c>
      <c r="T1759">
        <f>_xlfn.NUMBERVALUE("0.003624")</f>
        <v/>
      </c>
      <c r="U1759">
        <f>_xlfn.NUMBERVALUE("0.001114")</f>
        <v/>
      </c>
      <c r="V1759">
        <f>_xlfn.NUMBERVALUE("0.001537")</f>
        <v/>
      </c>
      <c r="W1759">
        <f>_xlfn.NUMBERVALUE("0.011712")</f>
        <v/>
      </c>
      <c r="X1759">
        <f>_xlfn.NUMBERVALUE("-2.380000")</f>
        <v/>
      </c>
      <c r="Y1759">
        <f>_xlfn.NUMBERVALUE("18.630000")</f>
        <v/>
      </c>
    </row>
    <row r="1760">
      <c r="A1760" s="1" t="n">
        <v>44553</v>
      </c>
      <c r="B1760">
        <f>_xlfn.NUMBERVALUE("0.001229")</f>
        <v/>
      </c>
      <c r="C1760" s="2">
        <f>_xlfn.NUMBERVALUE("0.000212")</f>
        <v/>
      </c>
      <c r="D1760">
        <f>_xlfn.NUMBERVALUE("0.001438")</f>
        <v/>
      </c>
      <c r="E1760">
        <f>_xlfn.NUMBERVALUE("0.001438")</f>
        <v/>
      </c>
      <c r="F1760">
        <f>_xlfn.NUMBERVALUE("0.001980")</f>
        <v/>
      </c>
      <c r="G1760">
        <f>_xlfn.NUMBERVALUE("0.000417")</f>
        <v/>
      </c>
      <c r="H1760">
        <f>_xlfn.NUMBERVALUE("0.000778")</f>
        <v/>
      </c>
      <c r="I1760">
        <f>_xlfn.NUMBERVALUE("0.004701")</f>
        <v/>
      </c>
      <c r="J1760">
        <f>_xlfn.NUMBERVALUE("0.000448")</f>
        <v/>
      </c>
      <c r="K1760">
        <f>_xlfn.NUMBERVALUE("0.002039")</f>
        <v/>
      </c>
      <c r="L1760">
        <f>_xlfn.NUMBERVALUE("-0.000386")</f>
        <v/>
      </c>
      <c r="M1760">
        <f>_xlfn.NUMBERVALUE("0.000486")</f>
        <v/>
      </c>
      <c r="N1760">
        <f>_xlfn.NUMBERVALUE("0.000780")</f>
        <v/>
      </c>
      <c r="O1760">
        <f>_xlfn.NUMBERVALUE("0.002490")</f>
        <v/>
      </c>
      <c r="P1760">
        <f>_xlfn.NUMBERVALUE("-0.005273")</f>
        <v/>
      </c>
      <c r="Q1760">
        <f>_xlfn.NUMBERVALUE("-0.000530")</f>
        <v/>
      </c>
      <c r="R1760">
        <f>_xlfn.NUMBERVALUE("0.001709")</f>
        <v/>
      </c>
      <c r="S1760">
        <f>_xlfn.NUMBERVALUE("0.000592")</f>
        <v/>
      </c>
      <c r="T1760">
        <f>_xlfn.NUMBERVALUE("0.001527")</f>
        <v/>
      </c>
      <c r="U1760">
        <f>_xlfn.NUMBERVALUE("0.001512")</f>
        <v/>
      </c>
      <c r="V1760">
        <f>_xlfn.NUMBERVALUE("-0.000408")</f>
        <v/>
      </c>
      <c r="W1760">
        <f>_xlfn.NUMBERVALUE("0.010827")</f>
        <v/>
      </c>
      <c r="X1760">
        <f>_xlfn.NUMBERVALUE("-0.670000")</f>
        <v/>
      </c>
      <c r="Y1760">
        <f>_xlfn.NUMBERVALUE("17.960000")</f>
        <v/>
      </c>
    </row>
    <row r="1761">
      <c r="A1761" s="1" t="n">
        <v>44557</v>
      </c>
      <c r="B1761">
        <f>_xlfn.NUMBERVALUE("0.007261")</f>
        <v/>
      </c>
      <c r="C1761" s="2">
        <f>_xlfn.NUMBERVALUE("0.000110")</f>
        <v/>
      </c>
      <c r="D1761">
        <f>_xlfn.NUMBERVALUE("0.001820")</f>
        <v/>
      </c>
      <c r="E1761">
        <f>_xlfn.NUMBERVALUE("0.000112")</f>
        <v/>
      </c>
      <c r="F1761">
        <f>_xlfn.NUMBERVALUE("-0.000428")</f>
        <v/>
      </c>
      <c r="G1761">
        <f>_xlfn.NUMBERVALUE("-0.000170")</f>
        <v/>
      </c>
      <c r="H1761">
        <f>_xlfn.NUMBERVALUE("0.001124")</f>
        <v/>
      </c>
      <c r="I1761">
        <f>_xlfn.NUMBERVALUE("0.004966")</f>
        <v/>
      </c>
      <c r="J1761">
        <f>_xlfn.NUMBERVALUE("0.000569")</f>
        <v/>
      </c>
      <c r="K1761">
        <f>_xlfn.NUMBERVALUE("0.001179")</f>
        <v/>
      </c>
      <c r="L1761">
        <f>_xlfn.NUMBERVALUE("0.001088")</f>
        <v/>
      </c>
      <c r="M1761">
        <f>_xlfn.NUMBERVALUE("0.000486")</f>
        <v/>
      </c>
      <c r="N1761">
        <f>_xlfn.NUMBERVALUE("0.000214")</f>
        <v/>
      </c>
      <c r="O1761">
        <f>_xlfn.NUMBERVALUE("0.000751")</f>
        <v/>
      </c>
      <c r="P1761">
        <f>_xlfn.NUMBERVALUE("0.000069")</f>
        <v/>
      </c>
      <c r="Q1761">
        <f>_xlfn.NUMBERVALUE("0.001742")</f>
        <v/>
      </c>
      <c r="R1761">
        <f>_xlfn.NUMBERVALUE("-0.001335")</f>
        <v/>
      </c>
      <c r="S1761">
        <f>_xlfn.NUMBERVALUE("0.000091")</f>
        <v/>
      </c>
      <c r="T1761">
        <f>_xlfn.NUMBERVALUE("0.002428")</f>
        <v/>
      </c>
      <c r="U1761">
        <f>_xlfn.NUMBERVALUE("0.001838")</f>
        <v/>
      </c>
      <c r="V1761">
        <f>_xlfn.NUMBERVALUE("-0.000012")</f>
        <v/>
      </c>
      <c r="W1761">
        <f>_xlfn.NUMBERVALUE("0.009874")</f>
        <v/>
      </c>
      <c r="X1761">
        <f>_xlfn.NUMBERVALUE("-0.280000")</f>
        <v/>
      </c>
      <c r="Y1761">
        <f>_xlfn.NUMBERVALUE("17.680000")</f>
        <v/>
      </c>
    </row>
    <row r="1762">
      <c r="A1762" s="1" t="n">
        <v>44558</v>
      </c>
      <c r="B1762">
        <f>_xlfn.NUMBERVALUE("0.002397")</f>
        <v/>
      </c>
      <c r="C1762" s="2">
        <f>_xlfn.NUMBERVALUE("0.000376")</f>
        <v/>
      </c>
      <c r="D1762">
        <f>_xlfn.NUMBERVALUE("0.001080")</f>
        <v/>
      </c>
      <c r="E1762">
        <f>_xlfn.NUMBERVALUE("0.000459")</f>
        <v/>
      </c>
      <c r="F1762">
        <f>_xlfn.NUMBERVALUE("0.000748")</f>
        <v/>
      </c>
      <c r="G1762">
        <f>_xlfn.NUMBERVALUE("0.000932")</f>
        <v/>
      </c>
      <c r="H1762">
        <f>_xlfn.NUMBERVALUE("0.001036")</f>
        <v/>
      </c>
      <c r="I1762">
        <f>_xlfn.NUMBERVALUE("0.001657")</f>
        <v/>
      </c>
      <c r="J1762">
        <f>_xlfn.NUMBERVALUE("0.000904")</f>
        <v/>
      </c>
      <c r="K1762">
        <f>_xlfn.NUMBERVALUE("0.002156")</f>
        <v/>
      </c>
      <c r="L1762">
        <f>_xlfn.NUMBERVALUE("0.000275")</f>
        <v/>
      </c>
      <c r="M1762">
        <f>_xlfn.NUMBERVALUE("-0.000914")</f>
        <v/>
      </c>
      <c r="N1762">
        <f>_xlfn.NUMBERVALUE("0.000921")</f>
        <v/>
      </c>
      <c r="O1762">
        <f>_xlfn.NUMBERVALUE("-0.000200")</f>
        <v/>
      </c>
      <c r="P1762">
        <f>_xlfn.NUMBERVALUE("-0.001391")</f>
        <v/>
      </c>
      <c r="Q1762">
        <f>_xlfn.NUMBERVALUE("-0.000809")</f>
        <v/>
      </c>
      <c r="R1762">
        <f>_xlfn.NUMBERVALUE("0.000159")</f>
        <v/>
      </c>
      <c r="S1762">
        <f>_xlfn.NUMBERVALUE("-0.000062")</f>
        <v/>
      </c>
      <c r="T1762">
        <f>_xlfn.NUMBERVALUE("-0.001408")</f>
        <v/>
      </c>
      <c r="U1762">
        <f>_xlfn.NUMBERVALUE("0.001015")</f>
        <v/>
      </c>
      <c r="V1762">
        <f>_xlfn.NUMBERVALUE("-0.000019")</f>
        <v/>
      </c>
      <c r="W1762">
        <f>_xlfn.NUMBERVALUE("0.001993")</f>
        <v/>
      </c>
      <c r="X1762">
        <f>_xlfn.NUMBERVALUE("-0.140000")</f>
        <v/>
      </c>
      <c r="Y1762">
        <f>_xlfn.NUMBERVALUE("17.540000")</f>
        <v/>
      </c>
    </row>
    <row r="1763">
      <c r="A1763" s="1" t="n">
        <v>44559</v>
      </c>
      <c r="B1763">
        <f>_xlfn.NUMBERVALUE("0.002493")</f>
        <v/>
      </c>
      <c r="C1763" s="2">
        <f>_xlfn.NUMBERVALUE("0.002325")</f>
        <v/>
      </c>
      <c r="D1763">
        <f>_xlfn.NUMBERVALUE("0.000748")</f>
        <v/>
      </c>
      <c r="E1763">
        <f>_xlfn.NUMBERVALUE("0.000629")</f>
        <v/>
      </c>
      <c r="F1763">
        <f>_xlfn.NUMBERVALUE("0.001770")</f>
        <v/>
      </c>
      <c r="G1763">
        <f>_xlfn.NUMBERVALUE("-0.000454")</f>
        <v/>
      </c>
      <c r="H1763">
        <f>_xlfn.NUMBERVALUE("-0.001216")</f>
        <v/>
      </c>
      <c r="I1763">
        <f>_xlfn.NUMBERVALUE("0.003542")</f>
        <v/>
      </c>
      <c r="J1763">
        <f>_xlfn.NUMBERVALUE("-0.000647")</f>
        <v/>
      </c>
      <c r="K1763">
        <f>_xlfn.NUMBERVALUE("0.001832")</f>
        <v/>
      </c>
      <c r="L1763">
        <f>_xlfn.NUMBERVALUE("-0.000144")</f>
        <v/>
      </c>
      <c r="M1763">
        <f>_xlfn.NUMBERVALUE("0.000984")</f>
        <v/>
      </c>
      <c r="N1763">
        <f>_xlfn.NUMBERVALUE("0.001076")</f>
        <v/>
      </c>
      <c r="O1763">
        <f>_xlfn.NUMBERVALUE("0.000524")</f>
        <v/>
      </c>
      <c r="P1763">
        <f>_xlfn.NUMBERVALUE("0.017702")</f>
        <v/>
      </c>
      <c r="Q1763">
        <f>_xlfn.NUMBERVALUE("0.002049")</f>
        <v/>
      </c>
      <c r="R1763">
        <f>_xlfn.NUMBERVALUE("0.002735")</f>
        <v/>
      </c>
      <c r="S1763">
        <f>_xlfn.NUMBERVALUE("0.004804")</f>
        <v/>
      </c>
      <c r="T1763">
        <f>_xlfn.NUMBERVALUE("0.000177")</f>
        <v/>
      </c>
      <c r="U1763">
        <f>_xlfn.NUMBERVALUE("0.002434")</f>
        <v/>
      </c>
      <c r="V1763">
        <f>_xlfn.NUMBERVALUE("0.000761")</f>
        <v/>
      </c>
      <c r="W1763">
        <f>_xlfn.NUMBERVALUE("0.001173")</f>
        <v/>
      </c>
      <c r="X1763">
        <f>_xlfn.NUMBERVALUE("-0.590000")</f>
        <v/>
      </c>
      <c r="Y1763">
        <f>_xlfn.NUMBERVALUE("16.950000")</f>
        <v/>
      </c>
    </row>
    <row r="1764">
      <c r="A1764" s="1" t="n">
        <v>44560</v>
      </c>
      <c r="B1764">
        <f>_xlfn.NUMBERVALUE("-0.003106")</f>
        <v/>
      </c>
      <c r="C1764" s="2">
        <f>_xlfn.NUMBERVALUE("0.000840")</f>
        <v/>
      </c>
      <c r="D1764">
        <f>_xlfn.NUMBERVALUE("-0.000209")</f>
        <v/>
      </c>
      <c r="E1764">
        <f>_xlfn.NUMBERVALUE("0.002854")</f>
        <v/>
      </c>
      <c r="F1764">
        <f>_xlfn.NUMBERVALUE("-0.002204")</f>
        <v/>
      </c>
      <c r="G1764">
        <f>_xlfn.NUMBERVALUE("-0.000024")</f>
        <v/>
      </c>
      <c r="H1764">
        <f>_xlfn.NUMBERVALUE("0.000712")</f>
        <v/>
      </c>
      <c r="I1764">
        <f>_xlfn.NUMBERVALUE("0.001791")</f>
        <v/>
      </c>
      <c r="J1764">
        <f>_xlfn.NUMBERVALUE("0.000506")</f>
        <v/>
      </c>
      <c r="K1764">
        <f>_xlfn.NUMBERVALUE("-0.001196")</f>
        <v/>
      </c>
      <c r="L1764">
        <f>_xlfn.NUMBERVALUE("-0.001071")</f>
        <v/>
      </c>
      <c r="M1764">
        <f>_xlfn.NUMBERVALUE("0.000703")</f>
        <v/>
      </c>
      <c r="N1764">
        <f>_xlfn.NUMBERVALUE("0.001878")</f>
        <v/>
      </c>
      <c r="O1764">
        <f>_xlfn.NUMBERVALUE("0.000562")</f>
        <v/>
      </c>
      <c r="P1764">
        <f>_xlfn.NUMBERVALUE("0.001585")</f>
        <v/>
      </c>
      <c r="Q1764">
        <f>_xlfn.NUMBERVALUE("0.001199")</f>
        <v/>
      </c>
      <c r="R1764">
        <f>_xlfn.NUMBERVALUE("0.003456")</f>
        <v/>
      </c>
      <c r="S1764">
        <f>_xlfn.NUMBERVALUE("-0.002032")</f>
        <v/>
      </c>
      <c r="T1764">
        <f>_xlfn.NUMBERVALUE("0.000547")</f>
        <v/>
      </c>
      <c r="U1764">
        <f>_xlfn.NUMBERVALUE("0.001899")</f>
        <v/>
      </c>
      <c r="V1764">
        <f>_xlfn.NUMBERVALUE("0.000438")</f>
        <v/>
      </c>
      <c r="W1764">
        <f>_xlfn.NUMBERVALUE("-0.002845")</f>
        <v/>
      </c>
      <c r="X1764">
        <f>_xlfn.NUMBERVALUE("0.380000")</f>
        <v/>
      </c>
      <c r="Y1764">
        <f>_xlfn.NUMBERVALUE("17.330000")</f>
        <v/>
      </c>
    </row>
    <row r="1765">
      <c r="A1765" s="1" t="n">
        <v>44561</v>
      </c>
      <c r="B1765">
        <f>_xlfn.NUMBERVALUE("0.003299")</f>
        <v/>
      </c>
      <c r="C1765" s="2">
        <f>_xlfn.NUMBERVALUE("-0.002584")</f>
        <v/>
      </c>
      <c r="D1765">
        <f>_xlfn.NUMBERVALUE("0.001811")</f>
        <v/>
      </c>
      <c r="E1765">
        <f>_xlfn.NUMBERVALUE("-0.002035")</f>
        <v/>
      </c>
      <c r="F1765">
        <f>_xlfn.NUMBERVALUE("0.000038")</f>
        <v/>
      </c>
      <c r="G1765">
        <f>_xlfn.NUMBERVALUE("-0.000008")</f>
        <v/>
      </c>
      <c r="H1765">
        <f>_xlfn.NUMBERVALUE("0.001070")</f>
        <v/>
      </c>
      <c r="I1765">
        <f>_xlfn.NUMBERVALUE("0.002055")</f>
        <v/>
      </c>
      <c r="J1765">
        <f>_xlfn.NUMBERVALUE("0.001572")</f>
        <v/>
      </c>
      <c r="K1765">
        <f>_xlfn.NUMBERVALUE("0.000421")</f>
        <v/>
      </c>
      <c r="L1765">
        <f>_xlfn.NUMBERVALUE("0.001519")</f>
        <v/>
      </c>
      <c r="M1765">
        <f>_xlfn.NUMBERVALUE("-0.000069")</f>
        <v/>
      </c>
      <c r="N1765">
        <f>_xlfn.NUMBERVALUE("-0.000553")</f>
        <v/>
      </c>
      <c r="O1765">
        <f>_xlfn.NUMBERVALUE("0.002131")</f>
        <v/>
      </c>
      <c r="P1765">
        <f>_xlfn.NUMBERVALUE("0.001522")</f>
        <v/>
      </c>
      <c r="Q1765">
        <f>_xlfn.NUMBERVALUE("-0.000588")</f>
        <v/>
      </c>
      <c r="R1765">
        <f>_xlfn.NUMBERVALUE("0.000202")</f>
        <v/>
      </c>
      <c r="S1765">
        <f>_xlfn.NUMBERVALUE("-0.002658")</f>
        <v/>
      </c>
      <c r="T1765">
        <f>_xlfn.NUMBERVALUE("0.000234")</f>
        <v/>
      </c>
      <c r="U1765">
        <f>_xlfn.NUMBERVALUE("0.002361")</f>
        <v/>
      </c>
      <c r="V1765">
        <f>_xlfn.NUMBERVALUE("-0.000651")</f>
        <v/>
      </c>
      <c r="W1765">
        <f>_xlfn.NUMBERVALUE("-0.000566")</f>
        <v/>
      </c>
      <c r="X1765">
        <f>_xlfn.NUMBERVALUE("-0.110000")</f>
        <v/>
      </c>
      <c r="Y1765">
        <f>_xlfn.NUMBERVALUE("17.220000")</f>
        <v/>
      </c>
    </row>
    <row r="1766">
      <c r="A1766" s="1" t="n">
        <v>44564</v>
      </c>
      <c r="B1766">
        <f>_xlfn.NUMBERVALUE("0.004405")</f>
        <v/>
      </c>
      <c r="C1766" s="2">
        <f>_xlfn.NUMBERVALUE("0.000001")</f>
        <v/>
      </c>
      <c r="D1766">
        <f>_xlfn.NUMBERVALUE("0.006566")</f>
        <v/>
      </c>
      <c r="E1766">
        <f>_xlfn.NUMBERVALUE("0.000008")</f>
        <v/>
      </c>
      <c r="F1766">
        <f>_xlfn.NUMBERVALUE("0.000338")</f>
        <v/>
      </c>
      <c r="G1766">
        <f>_xlfn.NUMBERVALUE("-0.000212")</f>
        <v/>
      </c>
      <c r="H1766">
        <f>_xlfn.NUMBERVALUE("-0.003240")</f>
        <v/>
      </c>
      <c r="I1766">
        <f>_xlfn.NUMBERVALUE("0.000176")</f>
        <v/>
      </c>
      <c r="J1766">
        <f>_xlfn.NUMBERVALUE("-0.003897")</f>
        <v/>
      </c>
      <c r="K1766">
        <f>_xlfn.NUMBERVALUE("0.000596")</f>
        <v/>
      </c>
      <c r="L1766">
        <f>_xlfn.NUMBERVALUE("-0.000556")</f>
        <v/>
      </c>
      <c r="M1766">
        <f>_xlfn.NUMBERVALUE("0.000971")</f>
        <v/>
      </c>
      <c r="N1766">
        <f>_xlfn.NUMBERVALUE("0.001508")</f>
        <v/>
      </c>
      <c r="O1766">
        <f>_xlfn.NUMBERVALUE("-0.003758")</f>
        <v/>
      </c>
      <c r="P1766">
        <f>_xlfn.NUMBERVALUE("0.001452")</f>
        <v/>
      </c>
      <c r="Q1766">
        <f>_xlfn.NUMBERVALUE("0.001067")</f>
        <v/>
      </c>
      <c r="R1766">
        <f>_xlfn.NUMBERVALUE("0.002663")</f>
        <v/>
      </c>
      <c r="S1766">
        <f>_xlfn.NUMBERVALUE("0.000062")</f>
        <v/>
      </c>
      <c r="T1766">
        <f>_xlfn.NUMBERVALUE("0.000010")</f>
        <v/>
      </c>
      <c r="U1766">
        <f>_xlfn.NUMBERVALUE("-0.009701")</f>
        <v/>
      </c>
      <c r="V1766">
        <f>_xlfn.NUMBERVALUE("-0.000022")</f>
        <v/>
      </c>
      <c r="W1766">
        <f>_xlfn.NUMBERVALUE("0.000808")</f>
        <v/>
      </c>
      <c r="X1766">
        <f>_xlfn.NUMBERVALUE("-0.620000")</f>
        <v/>
      </c>
      <c r="Y1766">
        <f>_xlfn.NUMBERVALUE("16.600000")</f>
        <v/>
      </c>
    </row>
    <row r="1767">
      <c r="A1767" s="1" t="n">
        <v>44565</v>
      </c>
      <c r="B1767">
        <f>_xlfn.NUMBERVALUE("-0.012135")</f>
        <v/>
      </c>
      <c r="C1767" s="2">
        <f>_xlfn.NUMBERVALUE("-0.001330")</f>
        <v/>
      </c>
      <c r="D1767">
        <f>_xlfn.NUMBERVALUE("0.001956")</f>
        <v/>
      </c>
      <c r="E1767">
        <f>_xlfn.NUMBERVALUE("-0.001205")</f>
        <v/>
      </c>
      <c r="F1767">
        <f>_xlfn.NUMBERVALUE("0.000152")</f>
        <v/>
      </c>
      <c r="G1767">
        <f>_xlfn.NUMBERVALUE("0.000026")</f>
        <v/>
      </c>
      <c r="H1767">
        <f>_xlfn.NUMBERVALUE("0.001278")</f>
        <v/>
      </c>
      <c r="I1767">
        <f>_xlfn.NUMBERVALUE("0.000638")</f>
        <v/>
      </c>
      <c r="J1767">
        <f>_xlfn.NUMBERVALUE("-0.000861")</f>
        <v/>
      </c>
      <c r="K1767">
        <f>_xlfn.NUMBERVALUE("0.001766")</f>
        <v/>
      </c>
      <c r="L1767">
        <f>_xlfn.NUMBERVALUE("0.000016")</f>
        <v/>
      </c>
      <c r="M1767">
        <f>_xlfn.NUMBERVALUE("-0.001786")</f>
        <v/>
      </c>
      <c r="N1767">
        <f>_xlfn.NUMBERVALUE("-0.000836")</f>
        <v/>
      </c>
      <c r="O1767">
        <f>_xlfn.NUMBERVALUE("-0.016272")</f>
        <v/>
      </c>
      <c r="P1767">
        <f>_xlfn.NUMBERVALUE("-0.009497")</f>
        <v/>
      </c>
      <c r="Q1767">
        <f>_xlfn.NUMBERVALUE("-0.012697")</f>
        <v/>
      </c>
      <c r="R1767">
        <f>_xlfn.NUMBERVALUE("0.001369")</f>
        <v/>
      </c>
      <c r="S1767">
        <f>_xlfn.NUMBERVALUE("-0.000139")</f>
        <v/>
      </c>
      <c r="T1767">
        <f>_xlfn.NUMBERVALUE("0.000187")</f>
        <v/>
      </c>
      <c r="U1767">
        <f>_xlfn.NUMBERVALUE("0.001548")</f>
        <v/>
      </c>
      <c r="V1767">
        <f>_xlfn.NUMBERVALUE("0.000191")</f>
        <v/>
      </c>
      <c r="W1767">
        <f>_xlfn.NUMBERVALUE("0.002577")</f>
        <v/>
      </c>
      <c r="X1767">
        <f>_xlfn.NUMBERVALUE("0.310000")</f>
        <v/>
      </c>
      <c r="Y1767">
        <f>_xlfn.NUMBERVALUE("16.910000")</f>
        <v/>
      </c>
    </row>
    <row r="1768">
      <c r="A1768" s="1" t="n">
        <v>44566</v>
      </c>
      <c r="B1768">
        <f>_xlfn.NUMBERVALUE("-0.018751")</f>
        <v/>
      </c>
      <c r="C1768" s="2">
        <f>_xlfn.NUMBERVALUE("-0.002273")</f>
        <v/>
      </c>
      <c r="D1768">
        <f>_xlfn.NUMBERVALUE("-0.003260")</f>
        <v/>
      </c>
      <c r="E1768">
        <f>_xlfn.NUMBERVALUE("-0.001716")</f>
        <v/>
      </c>
      <c r="F1768">
        <f>_xlfn.NUMBERVALUE("-0.000434")</f>
        <v/>
      </c>
      <c r="G1768">
        <f>_xlfn.NUMBERVALUE("-0.001396")</f>
        <v/>
      </c>
      <c r="H1768">
        <f>_xlfn.NUMBERVALUE("0.000641")</f>
        <v/>
      </c>
      <c r="I1768">
        <f>_xlfn.NUMBERVALUE("-0.008708")</f>
        <v/>
      </c>
      <c r="J1768">
        <f>_xlfn.NUMBERVALUE("0.002220")</f>
        <v/>
      </c>
      <c r="K1768">
        <f>_xlfn.NUMBERVALUE("-0.000216")</f>
        <v/>
      </c>
      <c r="L1768">
        <f>_xlfn.NUMBERVALUE("0.001046")</f>
        <v/>
      </c>
      <c r="M1768">
        <f>_xlfn.NUMBERVALUE("-0.000184")</f>
        <v/>
      </c>
      <c r="N1768">
        <f>_xlfn.NUMBERVALUE("-0.003699")</f>
        <v/>
      </c>
      <c r="O1768">
        <f>_xlfn.NUMBERVALUE("0.000840")</f>
        <v/>
      </c>
      <c r="P1768">
        <f>_xlfn.NUMBERVALUE("-0.000030")</f>
        <v/>
      </c>
      <c r="Q1768">
        <f>_xlfn.NUMBERVALUE("0.000707")</f>
        <v/>
      </c>
      <c r="R1768">
        <f>_xlfn.NUMBERVALUE("-0.014847")</f>
        <v/>
      </c>
      <c r="S1768">
        <f>_xlfn.NUMBERVALUE("0.000096")</f>
        <v/>
      </c>
      <c r="T1768">
        <f>_xlfn.NUMBERVALUE("-0.000130")</f>
        <v/>
      </c>
      <c r="U1768">
        <f>_xlfn.NUMBERVALUE("-0.010828")</f>
        <v/>
      </c>
      <c r="V1768">
        <f>_xlfn.NUMBERVALUE("-0.004009")</f>
        <v/>
      </c>
      <c r="W1768">
        <f>_xlfn.NUMBERVALUE("-0.017211")</f>
        <v/>
      </c>
      <c r="X1768">
        <f>_xlfn.NUMBERVALUE("2.820000")</f>
        <v/>
      </c>
      <c r="Y1768">
        <f>_xlfn.NUMBERVALUE("19.730000")</f>
        <v/>
      </c>
    </row>
    <row r="1769">
      <c r="A1769" s="1" t="n">
        <v>44567</v>
      </c>
      <c r="B1769">
        <f>_xlfn.NUMBERVALUE("0.002882")</f>
        <v/>
      </c>
      <c r="C1769" s="2">
        <f>_xlfn.NUMBERVALUE("-0.000349")</f>
        <v/>
      </c>
      <c r="D1769">
        <f>_xlfn.NUMBERVALUE("0.000614")</f>
        <v/>
      </c>
      <c r="E1769">
        <f>_xlfn.NUMBERVALUE("0.000908")</f>
        <v/>
      </c>
      <c r="F1769">
        <f>_xlfn.NUMBERVALUE("-0.000296")</f>
        <v/>
      </c>
      <c r="G1769">
        <f>_xlfn.NUMBERVALUE("-0.000618")</f>
        <v/>
      </c>
      <c r="H1769">
        <f>_xlfn.NUMBERVALUE("0.000363")</f>
        <v/>
      </c>
      <c r="I1769">
        <f>_xlfn.NUMBERVALUE("-0.001543")</f>
        <v/>
      </c>
      <c r="J1769">
        <f>_xlfn.NUMBERVALUE("0.000374")</f>
        <v/>
      </c>
      <c r="K1769">
        <f>_xlfn.NUMBERVALUE("-0.005254")</f>
        <v/>
      </c>
      <c r="L1769">
        <f>_xlfn.NUMBERVALUE("0.001069")</f>
        <v/>
      </c>
      <c r="M1769">
        <f>_xlfn.NUMBERVALUE("0.000317")</f>
        <v/>
      </c>
      <c r="N1769">
        <f>_xlfn.NUMBERVALUE("-0.001126")</f>
        <v/>
      </c>
      <c r="O1769">
        <f>_xlfn.NUMBERVALUE("-0.000772")</f>
        <v/>
      </c>
      <c r="P1769">
        <f>_xlfn.NUMBERVALUE("-0.000467")</f>
        <v/>
      </c>
      <c r="Q1769">
        <f>_xlfn.NUMBERVALUE("0.001444")</f>
        <v/>
      </c>
      <c r="R1769">
        <f>_xlfn.NUMBERVALUE("-0.000988")</f>
        <v/>
      </c>
      <c r="S1769">
        <f>_xlfn.NUMBERVALUE("-0.000266")</f>
        <v/>
      </c>
      <c r="T1769">
        <f>_xlfn.NUMBERVALUE("0.000057")</f>
        <v/>
      </c>
      <c r="U1769">
        <f>_xlfn.NUMBERVALUE("0.001439")</f>
        <v/>
      </c>
      <c r="V1769">
        <f>_xlfn.NUMBERVALUE("-0.000307")</f>
        <v/>
      </c>
      <c r="W1769">
        <f>_xlfn.NUMBERVALUE("-0.004359")</f>
        <v/>
      </c>
      <c r="X1769">
        <f>_xlfn.NUMBERVALUE("-0.120000")</f>
        <v/>
      </c>
      <c r="Y1769">
        <f>_xlfn.NUMBERVALUE("19.610000")</f>
        <v/>
      </c>
    </row>
    <row r="1770">
      <c r="A1770" s="1" t="n">
        <v>44568</v>
      </c>
      <c r="B1770">
        <f>_xlfn.NUMBERVALUE("0.000595")</f>
        <v/>
      </c>
      <c r="C1770" s="2">
        <f>_xlfn.NUMBERVALUE("0.002173")</f>
        <v/>
      </c>
      <c r="D1770">
        <f>_xlfn.NUMBERVALUE("0.000310")</f>
        <v/>
      </c>
      <c r="E1770">
        <f>_xlfn.NUMBERVALUE("0.000834")</f>
        <v/>
      </c>
      <c r="F1770">
        <f>_xlfn.NUMBERVALUE("0.001898")</f>
        <v/>
      </c>
      <c r="G1770">
        <f>_xlfn.NUMBERVALUE("0.001712")</f>
        <v/>
      </c>
      <c r="H1770">
        <f>_xlfn.NUMBERVALUE("0.000567")</f>
        <v/>
      </c>
      <c r="I1770">
        <f>_xlfn.NUMBERVALUE("0.002166")</f>
        <v/>
      </c>
      <c r="J1770">
        <f>_xlfn.NUMBERVALUE("0.001039")</f>
        <v/>
      </c>
      <c r="K1770">
        <f>_xlfn.NUMBERVALUE("0.002338")</f>
        <v/>
      </c>
      <c r="L1770">
        <f>_xlfn.NUMBERVALUE("0.001405")</f>
        <v/>
      </c>
      <c r="M1770">
        <f>_xlfn.NUMBERVALUE("0.002307")</f>
        <v/>
      </c>
      <c r="N1770">
        <f>_xlfn.NUMBERVALUE("0.003356")</f>
        <v/>
      </c>
      <c r="O1770">
        <f>_xlfn.NUMBERVALUE("-0.001788")</f>
        <v/>
      </c>
      <c r="P1770">
        <f>_xlfn.NUMBERVALUE("-0.001335")</f>
        <v/>
      </c>
      <c r="Q1770">
        <f>_xlfn.NUMBERVALUE("0.001291")</f>
        <v/>
      </c>
      <c r="R1770">
        <f>_xlfn.NUMBERVALUE("0.001763")</f>
        <v/>
      </c>
      <c r="S1770">
        <f>_xlfn.NUMBERVALUE("0.001454")</f>
        <v/>
      </c>
      <c r="T1770">
        <f>_xlfn.NUMBERVALUE("-0.000568")</f>
        <v/>
      </c>
      <c r="U1770">
        <f>_xlfn.NUMBERVALUE("0.000024")</f>
        <v/>
      </c>
      <c r="V1770">
        <f>_xlfn.NUMBERVALUE("0.002048")</f>
        <v/>
      </c>
      <c r="W1770">
        <f>_xlfn.NUMBERVALUE("-0.002894")</f>
        <v/>
      </c>
      <c r="X1770">
        <f>_xlfn.NUMBERVALUE("-0.850000")</f>
        <v/>
      </c>
      <c r="Y1770">
        <f>_xlfn.NUMBERVALUE("18.760000")</f>
        <v/>
      </c>
    </row>
    <row r="1771">
      <c r="A1771" s="1" t="n">
        <v>44571</v>
      </c>
      <c r="B1771">
        <f>_xlfn.NUMBERVALUE("-0.000601")</f>
        <v/>
      </c>
      <c r="C1771" s="2">
        <f>_xlfn.NUMBERVALUE("0.001939")</f>
        <v/>
      </c>
      <c r="D1771">
        <f>_xlfn.NUMBERVALUE("0.000069")</f>
        <v/>
      </c>
      <c r="E1771">
        <f>_xlfn.NUMBERVALUE("0.000091")</f>
        <v/>
      </c>
      <c r="F1771">
        <f>_xlfn.NUMBERVALUE("0.000740")</f>
        <v/>
      </c>
      <c r="G1771">
        <f>_xlfn.NUMBERVALUE("-0.000428")</f>
        <v/>
      </c>
      <c r="H1771">
        <f>_xlfn.NUMBERVALUE("0.000340")</f>
        <v/>
      </c>
      <c r="I1771">
        <f>_xlfn.NUMBERVALUE("0.001027")</f>
        <v/>
      </c>
      <c r="J1771">
        <f>_xlfn.NUMBERVALUE("0.000019")</f>
        <v/>
      </c>
      <c r="K1771">
        <f>_xlfn.NUMBERVALUE("0.002205")</f>
        <v/>
      </c>
      <c r="L1771">
        <f>_xlfn.NUMBERVALUE("0.001394")</f>
        <v/>
      </c>
      <c r="M1771">
        <f>_xlfn.NUMBERVALUE("-0.001077")</f>
        <v/>
      </c>
      <c r="N1771">
        <f>_xlfn.NUMBERVALUE("0.002963")</f>
        <v/>
      </c>
      <c r="O1771">
        <f>_xlfn.NUMBERVALUE("0.001802")</f>
        <v/>
      </c>
      <c r="P1771">
        <f>_xlfn.NUMBERVALUE("-0.000944")</f>
        <v/>
      </c>
      <c r="Q1771">
        <f>_xlfn.NUMBERVALUE("-0.001428")</f>
        <v/>
      </c>
      <c r="R1771">
        <f>_xlfn.NUMBERVALUE("0.000605")</f>
        <v/>
      </c>
      <c r="S1771">
        <f>_xlfn.NUMBERVALUE("-0.000514")</f>
        <v/>
      </c>
      <c r="T1771">
        <f>_xlfn.NUMBERVALUE("0.000662")</f>
        <v/>
      </c>
      <c r="U1771">
        <f>_xlfn.NUMBERVALUE("-0.000984")</f>
        <v/>
      </c>
      <c r="V1771">
        <f>_xlfn.NUMBERVALUE("0.000317")</f>
        <v/>
      </c>
      <c r="W1771">
        <f>_xlfn.NUMBERVALUE("-0.006640")</f>
        <v/>
      </c>
      <c r="X1771">
        <f>_xlfn.NUMBERVALUE("0.640000")</f>
        <v/>
      </c>
      <c r="Y1771">
        <f>_xlfn.NUMBERVALUE("19.400000")</f>
        <v/>
      </c>
    </row>
    <row r="1772">
      <c r="A1772" s="1" t="n">
        <v>44572</v>
      </c>
      <c r="B1772">
        <f>_xlfn.NUMBERVALUE("0.004209")</f>
        <v/>
      </c>
      <c r="C1772" s="2">
        <f>_xlfn.NUMBERVALUE("0.001503")</f>
        <v/>
      </c>
      <c r="D1772">
        <f>_xlfn.NUMBERVALUE("-0.003990")</f>
        <v/>
      </c>
      <c r="E1772">
        <f>_xlfn.NUMBERVALUE("-0.001349")</f>
        <v/>
      </c>
      <c r="F1772">
        <f>_xlfn.NUMBERVALUE("-0.000971")</f>
        <v/>
      </c>
      <c r="G1772">
        <f>_xlfn.NUMBERVALUE("0.000629")</f>
        <v/>
      </c>
      <c r="H1772">
        <f>_xlfn.NUMBERVALUE("-0.000141")</f>
        <v/>
      </c>
      <c r="I1772">
        <f>_xlfn.NUMBERVALUE("0.000255")</f>
        <v/>
      </c>
      <c r="J1772">
        <f>_xlfn.NUMBERVALUE("0.000847")</f>
        <v/>
      </c>
      <c r="K1772">
        <f>_xlfn.NUMBERVALUE("-0.000586")</f>
        <v/>
      </c>
      <c r="L1772">
        <f>_xlfn.NUMBERVALUE("0.000404")</f>
        <v/>
      </c>
      <c r="M1772">
        <f>_xlfn.NUMBERVALUE("0.002246")</f>
        <v/>
      </c>
      <c r="N1772">
        <f>_xlfn.NUMBERVALUE("-0.001740")</f>
        <v/>
      </c>
      <c r="O1772">
        <f>_xlfn.NUMBERVALUE("-0.007496")</f>
        <v/>
      </c>
      <c r="P1772">
        <f>_xlfn.NUMBERVALUE("0.003416")</f>
        <v/>
      </c>
      <c r="Q1772">
        <f>_xlfn.NUMBERVALUE("0.002881")</f>
        <v/>
      </c>
      <c r="R1772">
        <f>_xlfn.NUMBERVALUE("0.002996")</f>
        <v/>
      </c>
      <c r="S1772">
        <f>_xlfn.NUMBERVALUE("0.002912")</f>
        <v/>
      </c>
      <c r="T1772">
        <f>_xlfn.NUMBERVALUE("0.002982")</f>
        <v/>
      </c>
      <c r="U1772">
        <f>_xlfn.NUMBERVALUE("0.002850")</f>
        <v/>
      </c>
      <c r="V1772">
        <f>_xlfn.NUMBERVALUE("-0.000778")</f>
        <v/>
      </c>
      <c r="W1772">
        <f>_xlfn.NUMBERVALUE("0.011537")</f>
        <v/>
      </c>
      <c r="X1772">
        <f>_xlfn.NUMBERVALUE("-0.990000")</f>
        <v/>
      </c>
      <c r="Y1772">
        <f>_xlfn.NUMBERVALUE("18.410000")</f>
        <v/>
      </c>
    </row>
    <row r="1773">
      <c r="A1773" s="1" t="n">
        <v>44573</v>
      </c>
      <c r="B1773">
        <f>_xlfn.NUMBERVALUE("-0.000725")</f>
        <v/>
      </c>
      <c r="C1773" s="2">
        <f>_xlfn.NUMBERVALUE("0.001383")</f>
        <v/>
      </c>
      <c r="D1773">
        <f>_xlfn.NUMBERVALUE("-0.006320")</f>
        <v/>
      </c>
      <c r="E1773">
        <f>_xlfn.NUMBERVALUE("-0.001546")</f>
        <v/>
      </c>
      <c r="F1773">
        <f>_xlfn.NUMBERVALUE("0.000217")</f>
        <v/>
      </c>
      <c r="G1773">
        <f>_xlfn.NUMBERVALUE("-0.000507")</f>
        <v/>
      </c>
      <c r="H1773">
        <f>_xlfn.NUMBERVALUE("-0.000254")</f>
        <v/>
      </c>
      <c r="I1773">
        <f>_xlfn.NUMBERVALUE("0.002127")</f>
        <v/>
      </c>
      <c r="J1773">
        <f>_xlfn.NUMBERVALUE("0.001260")</f>
        <v/>
      </c>
      <c r="K1773">
        <f>_xlfn.NUMBERVALUE("-0.002327")</f>
        <v/>
      </c>
      <c r="L1773">
        <f>_xlfn.NUMBERVALUE("0.001209")</f>
        <v/>
      </c>
      <c r="M1773">
        <f>_xlfn.NUMBERVALUE("-0.000258")</f>
        <v/>
      </c>
      <c r="N1773">
        <f>_xlfn.NUMBERVALUE("0.002443")</f>
        <v/>
      </c>
      <c r="O1773">
        <f>_xlfn.NUMBERVALUE("0.000166")</f>
        <v/>
      </c>
      <c r="P1773">
        <f>_xlfn.NUMBERVALUE("0.001184")</f>
        <v/>
      </c>
      <c r="Q1773">
        <f>_xlfn.NUMBERVALUE("0.001601")</f>
        <v/>
      </c>
      <c r="R1773">
        <f>_xlfn.NUMBERVALUE("0.002706")</f>
        <v/>
      </c>
      <c r="S1773">
        <f>_xlfn.NUMBERVALUE("0.001659")</f>
        <v/>
      </c>
      <c r="T1773">
        <f>_xlfn.NUMBERVALUE("0.000765")</f>
        <v/>
      </c>
      <c r="U1773">
        <f>_xlfn.NUMBERVALUE("0.001377")</f>
        <v/>
      </c>
      <c r="V1773">
        <f>_xlfn.NUMBERVALUE("0.000553")</f>
        <v/>
      </c>
      <c r="W1773">
        <f>_xlfn.NUMBERVALUE("0.004701")</f>
        <v/>
      </c>
      <c r="X1773">
        <f>_xlfn.NUMBERVALUE("-0.790000")</f>
        <v/>
      </c>
      <c r="Y1773">
        <f>_xlfn.NUMBERVALUE("17.620000")</f>
        <v/>
      </c>
    </row>
    <row r="1774">
      <c r="A1774" s="1" t="n">
        <v>44574</v>
      </c>
      <c r="B1774">
        <f>_xlfn.NUMBERVALUE("-0.001400")</f>
        <v/>
      </c>
      <c r="C1774" s="2">
        <f>_xlfn.NUMBERVALUE("-0.002103")</f>
        <v/>
      </c>
      <c r="D1774">
        <f>_xlfn.NUMBERVALUE("-0.000342")</f>
        <v/>
      </c>
      <c r="E1774">
        <f>_xlfn.NUMBERVALUE("-0.000914")</f>
        <v/>
      </c>
      <c r="F1774">
        <f>_xlfn.NUMBERVALUE("0.001066")</f>
        <v/>
      </c>
      <c r="G1774">
        <f>_xlfn.NUMBERVALUE("0.000370")</f>
        <v/>
      </c>
      <c r="H1774">
        <f>_xlfn.NUMBERVALUE("0.000194")</f>
        <v/>
      </c>
      <c r="I1774">
        <f>_xlfn.NUMBERVALUE("-0.001963")</f>
        <v/>
      </c>
      <c r="J1774">
        <f>_xlfn.NUMBERVALUE("-0.000506")</f>
        <v/>
      </c>
      <c r="K1774">
        <f>_xlfn.NUMBERVALUE("0.002791")</f>
        <v/>
      </c>
      <c r="L1774">
        <f>_xlfn.NUMBERVALUE("-0.000150")</f>
        <v/>
      </c>
      <c r="M1774">
        <f>_xlfn.NUMBERVALUE("-0.002623")</f>
        <v/>
      </c>
      <c r="N1774">
        <f>_xlfn.NUMBERVALUE("0.004145")</f>
        <v/>
      </c>
      <c r="O1774">
        <f>_xlfn.NUMBERVALUE("-0.003380")</f>
        <v/>
      </c>
      <c r="P1774">
        <f>_xlfn.NUMBERVALUE("-0.001278")</f>
        <v/>
      </c>
      <c r="Q1774">
        <f>_xlfn.NUMBERVALUE("-0.002889")</f>
        <v/>
      </c>
      <c r="R1774">
        <f>_xlfn.NUMBERVALUE("-0.005932")</f>
        <v/>
      </c>
      <c r="S1774">
        <f>_xlfn.NUMBERVALUE("-0.001657")</f>
        <v/>
      </c>
      <c r="T1774">
        <f>_xlfn.NUMBERVALUE("-0.001874")</f>
        <v/>
      </c>
      <c r="U1774">
        <f>_xlfn.NUMBERVALUE("-0.002732")</f>
        <v/>
      </c>
      <c r="V1774">
        <f>_xlfn.NUMBERVALUE("-0.002492")</f>
        <v/>
      </c>
      <c r="W1774">
        <f>_xlfn.NUMBERVALUE("-0.012890")</f>
        <v/>
      </c>
      <c r="X1774">
        <f>_xlfn.NUMBERVALUE("2.690000")</f>
        <v/>
      </c>
      <c r="Y1774">
        <f>_xlfn.NUMBERVALUE("20.310000")</f>
        <v/>
      </c>
    </row>
    <row r="1775">
      <c r="A1775" s="1" t="n">
        <v>44575</v>
      </c>
      <c r="B1775">
        <f>_xlfn.NUMBERVALUE("0.000171")</f>
        <v/>
      </c>
      <c r="C1775" s="2">
        <f>_xlfn.NUMBERVALUE("0.002015")</f>
        <v/>
      </c>
      <c r="D1775">
        <f>_xlfn.NUMBERVALUE("0.000812")</f>
        <v/>
      </c>
      <c r="E1775">
        <f>_xlfn.NUMBERVALUE("0.000628")</f>
        <v/>
      </c>
      <c r="F1775">
        <f>_xlfn.NUMBERVALUE("0.001255")</f>
        <v/>
      </c>
      <c r="G1775">
        <f>_xlfn.NUMBERVALUE("-0.000471")</f>
        <v/>
      </c>
      <c r="H1775">
        <f>_xlfn.NUMBERVALUE("-0.001175")</f>
        <v/>
      </c>
      <c r="I1775">
        <f>_xlfn.NUMBERVALUE("0.001261")</f>
        <v/>
      </c>
      <c r="J1775">
        <f>_xlfn.NUMBERVALUE("-0.000945")</f>
        <v/>
      </c>
      <c r="K1775">
        <f>_xlfn.NUMBERVALUE("0.003370")</f>
        <v/>
      </c>
      <c r="L1775">
        <f>_xlfn.NUMBERVALUE("-0.003252")</f>
        <v/>
      </c>
      <c r="M1775">
        <f>_xlfn.NUMBERVALUE("0.002056")</f>
        <v/>
      </c>
      <c r="N1775">
        <f>_xlfn.NUMBERVALUE("0.002398")</f>
        <v/>
      </c>
      <c r="O1775">
        <f>_xlfn.NUMBERVALUE("-0.000361")</f>
        <v/>
      </c>
      <c r="P1775">
        <f>_xlfn.NUMBERVALUE("0.001872")</f>
        <v/>
      </c>
      <c r="Q1775">
        <f>_xlfn.NUMBERVALUE("0.001286")</f>
        <v/>
      </c>
      <c r="R1775">
        <f>_xlfn.NUMBERVALUE("0.001471")</f>
        <v/>
      </c>
      <c r="S1775">
        <f>_xlfn.NUMBERVALUE("0.000370")</f>
        <v/>
      </c>
      <c r="T1775">
        <f>_xlfn.NUMBERVALUE("0.001450")</f>
        <v/>
      </c>
      <c r="U1775">
        <f>_xlfn.NUMBERVALUE("0.000541")</f>
        <v/>
      </c>
      <c r="V1775">
        <f>_xlfn.NUMBERVALUE("0.001445")</f>
        <v/>
      </c>
      <c r="W1775">
        <f>_xlfn.NUMBERVALUE("-0.000989")</f>
        <v/>
      </c>
      <c r="X1775">
        <f>_xlfn.NUMBERVALUE("-1.120000")</f>
        <v/>
      </c>
      <c r="Y1775">
        <f>_xlfn.NUMBERVALUE("19.190000")</f>
        <v/>
      </c>
    </row>
    <row r="1776">
      <c r="A1776" s="1" t="n">
        <v>44579</v>
      </c>
      <c r="B1776">
        <f>_xlfn.NUMBERVALUE("-0.000469")</f>
        <v/>
      </c>
      <c r="C1776" s="2">
        <f>_xlfn.NUMBERVALUE("-0.003163")</f>
        <v/>
      </c>
      <c r="D1776">
        <f>_xlfn.NUMBERVALUE("-0.001803")</f>
        <v/>
      </c>
      <c r="E1776">
        <f>_xlfn.NUMBERVALUE("-0.001957")</f>
        <v/>
      </c>
      <c r="F1776">
        <f>_xlfn.NUMBERVALUE("0.001129")</f>
        <v/>
      </c>
      <c r="G1776">
        <f>_xlfn.NUMBERVALUE("-0.000917")</f>
        <v/>
      </c>
      <c r="H1776">
        <f>_xlfn.NUMBERVALUE("-0.001096")</f>
        <v/>
      </c>
      <c r="I1776">
        <f>_xlfn.NUMBERVALUE("-0.003540")</f>
        <v/>
      </c>
      <c r="J1776">
        <f>_xlfn.NUMBERVALUE("-0.001567")</f>
        <v/>
      </c>
      <c r="K1776">
        <f>_xlfn.NUMBERVALUE("-0.005796")</f>
        <v/>
      </c>
      <c r="L1776">
        <f>_xlfn.NUMBERVALUE("-0.001240")</f>
        <v/>
      </c>
      <c r="M1776">
        <f>_xlfn.NUMBERVALUE("-0.003051")</f>
        <v/>
      </c>
      <c r="N1776">
        <f>_xlfn.NUMBERVALUE("-0.002141")</f>
        <v/>
      </c>
      <c r="O1776">
        <f>_xlfn.NUMBERVALUE("-0.000652")</f>
        <v/>
      </c>
      <c r="P1776">
        <f>_xlfn.NUMBERVALUE("-0.002914")</f>
        <v/>
      </c>
      <c r="Q1776">
        <f>_xlfn.NUMBERVALUE("-0.001728")</f>
        <v/>
      </c>
      <c r="R1776">
        <f>_xlfn.NUMBERVALUE("-0.003986")</f>
        <v/>
      </c>
      <c r="S1776">
        <f>_xlfn.NUMBERVALUE("-0.001601")</f>
        <v/>
      </c>
      <c r="T1776">
        <f>_xlfn.NUMBERVALUE("-0.000156")</f>
        <v/>
      </c>
      <c r="U1776">
        <f>_xlfn.NUMBERVALUE("-0.002479")</f>
        <v/>
      </c>
      <c r="V1776">
        <f>_xlfn.NUMBERVALUE("-0.003035")</f>
        <v/>
      </c>
      <c r="W1776">
        <f>_xlfn.NUMBERVALUE("-0.018935")</f>
        <v/>
      </c>
      <c r="X1776">
        <f>_xlfn.NUMBERVALUE("3.600000")</f>
        <v/>
      </c>
      <c r="Y1776">
        <f>_xlfn.NUMBERVALUE("22.790000")</f>
        <v/>
      </c>
    </row>
    <row r="1777">
      <c r="A1777" s="1" t="n">
        <v>44580</v>
      </c>
      <c r="B1777">
        <f>_xlfn.NUMBERVALUE("0.000224")</f>
        <v/>
      </c>
      <c r="C1777" s="2">
        <f>_xlfn.NUMBERVALUE("0.000511")</f>
        <v/>
      </c>
      <c r="D1777">
        <f>_xlfn.NUMBERVALUE("0.000418")</f>
        <v/>
      </c>
      <c r="E1777">
        <f>_xlfn.NUMBERVALUE("0.000692")</f>
        <v/>
      </c>
      <c r="F1777">
        <f>_xlfn.NUMBERVALUE("-0.004716")</f>
        <v/>
      </c>
      <c r="G1777">
        <f>_xlfn.NUMBERVALUE("0.000684")</f>
        <v/>
      </c>
      <c r="H1777">
        <f>_xlfn.NUMBERVALUE("-0.000152")</f>
        <v/>
      </c>
      <c r="I1777">
        <f>_xlfn.NUMBERVALUE("-0.000261")</f>
        <v/>
      </c>
      <c r="J1777">
        <f>_xlfn.NUMBERVALUE("-0.000440")</f>
        <v/>
      </c>
      <c r="K1777">
        <f>_xlfn.NUMBERVALUE("-0.007148")</f>
        <v/>
      </c>
      <c r="L1777">
        <f>_xlfn.NUMBERVALUE("0.001238")</f>
        <v/>
      </c>
      <c r="M1777">
        <f>_xlfn.NUMBERVALUE("0.001505")</f>
        <v/>
      </c>
      <c r="N1777">
        <f>_xlfn.NUMBERVALUE("0.002607")</f>
        <v/>
      </c>
      <c r="O1777">
        <f>_xlfn.NUMBERVALUE("0.002166")</f>
        <v/>
      </c>
      <c r="P1777">
        <f>_xlfn.NUMBERVALUE("0.001162")</f>
        <v/>
      </c>
      <c r="Q1777">
        <f>_xlfn.NUMBERVALUE("0.000858")</f>
        <v/>
      </c>
      <c r="R1777">
        <f>_xlfn.NUMBERVALUE("0.001833")</f>
        <v/>
      </c>
      <c r="S1777">
        <f>_xlfn.NUMBERVALUE("-0.001062")</f>
        <v/>
      </c>
      <c r="T1777">
        <f>_xlfn.NUMBERVALUE("-0.000009")</f>
        <v/>
      </c>
      <c r="U1777">
        <f>_xlfn.NUMBERVALUE("-0.000648")</f>
        <v/>
      </c>
      <c r="V1777">
        <f>_xlfn.NUMBERVALUE("0.000732")</f>
        <v/>
      </c>
      <c r="W1777">
        <f>_xlfn.NUMBERVALUE("-0.004358")</f>
        <v/>
      </c>
      <c r="X1777">
        <f>_xlfn.NUMBERVALUE("1.060000")</f>
        <v/>
      </c>
      <c r="Y1777">
        <f>_xlfn.NUMBERVALUE("23.850000")</f>
        <v/>
      </c>
    </row>
    <row r="1778">
      <c r="A1778" s="1" t="n">
        <v>44581</v>
      </c>
      <c r="B1778">
        <f>_xlfn.NUMBERVALUE("0.000612")</f>
        <v/>
      </c>
      <c r="C1778" s="2">
        <f>_xlfn.NUMBERVALUE("-0.000155")</f>
        <v/>
      </c>
      <c r="D1778">
        <f>_xlfn.NUMBERVALUE("-0.000922")</f>
        <v/>
      </c>
      <c r="E1778">
        <f>_xlfn.NUMBERVALUE("0.000052")</f>
        <v/>
      </c>
      <c r="F1778">
        <f>_xlfn.NUMBERVALUE("0.001457")</f>
        <v/>
      </c>
      <c r="G1778">
        <f>_xlfn.NUMBERVALUE("0.000548")</f>
        <v/>
      </c>
      <c r="H1778">
        <f>_xlfn.NUMBERVALUE("0.000882")</f>
        <v/>
      </c>
      <c r="I1778">
        <f>_xlfn.NUMBERVALUE("-0.000513")</f>
        <v/>
      </c>
      <c r="J1778">
        <f>_xlfn.NUMBERVALUE("0.000201")</f>
        <v/>
      </c>
      <c r="K1778">
        <f>_xlfn.NUMBERVALUE("0.000595")</f>
        <v/>
      </c>
      <c r="L1778">
        <f>_xlfn.NUMBERVALUE("0.001423")</f>
        <v/>
      </c>
      <c r="M1778">
        <f>_xlfn.NUMBERVALUE("-0.002823")</f>
        <v/>
      </c>
      <c r="N1778">
        <f>_xlfn.NUMBERVALUE("0.000422")</f>
        <v/>
      </c>
      <c r="O1778">
        <f>_xlfn.NUMBERVALUE("0.000617")</f>
        <v/>
      </c>
      <c r="P1778">
        <f>_xlfn.NUMBERVALUE("0.000117")</f>
        <v/>
      </c>
      <c r="Q1778">
        <f>_xlfn.NUMBERVALUE("-0.000915")</f>
        <v/>
      </c>
      <c r="R1778">
        <f>_xlfn.NUMBERVALUE("-0.000675")</f>
        <v/>
      </c>
      <c r="S1778">
        <f>_xlfn.NUMBERVALUE("0.000484")</f>
        <v/>
      </c>
      <c r="T1778">
        <f>_xlfn.NUMBERVALUE("0.000550")</f>
        <v/>
      </c>
      <c r="U1778">
        <f>_xlfn.NUMBERVALUE("-0.005147")</f>
        <v/>
      </c>
      <c r="V1778">
        <f>_xlfn.NUMBERVALUE("-0.000564")</f>
        <v/>
      </c>
      <c r="W1778">
        <f>_xlfn.NUMBERVALUE("-0.011197")</f>
        <v/>
      </c>
      <c r="X1778">
        <f>_xlfn.NUMBERVALUE("1.740000")</f>
        <v/>
      </c>
      <c r="Y1778">
        <f>_xlfn.NUMBERVALUE("25.590000")</f>
        <v/>
      </c>
    </row>
    <row r="1779">
      <c r="A1779" s="1" t="n">
        <v>44582</v>
      </c>
      <c r="B1779">
        <f>_xlfn.NUMBERVALUE("-0.000150")</f>
        <v/>
      </c>
      <c r="C1779" s="2">
        <f>_xlfn.NUMBERVALUE("-0.000580")</f>
        <v/>
      </c>
      <c r="D1779">
        <f>_xlfn.NUMBERVALUE("-0.003548")</f>
        <v/>
      </c>
      <c r="E1779">
        <f>_xlfn.NUMBERVALUE("-0.002704")</f>
        <v/>
      </c>
      <c r="F1779">
        <f>_xlfn.NUMBERVALUE("0.000337")</f>
        <v/>
      </c>
      <c r="G1779">
        <f>_xlfn.NUMBERVALUE("-0.000665")</f>
        <v/>
      </c>
      <c r="H1779">
        <f>_xlfn.NUMBERVALUE("-0.000203")</f>
        <v/>
      </c>
      <c r="I1779">
        <f>_xlfn.NUMBERVALUE("-0.000475")</f>
        <v/>
      </c>
      <c r="J1779">
        <f>_xlfn.NUMBERVALUE("-0.000085")</f>
        <v/>
      </c>
      <c r="K1779">
        <f>_xlfn.NUMBERVALUE("0.000942")</f>
        <v/>
      </c>
      <c r="L1779">
        <f>_xlfn.NUMBERVALUE("-0.001137")</f>
        <v/>
      </c>
      <c r="M1779">
        <f>_xlfn.NUMBERVALUE("-0.001539")</f>
        <v/>
      </c>
      <c r="N1779">
        <f>_xlfn.NUMBERVALUE("-0.009567")</f>
        <v/>
      </c>
      <c r="O1779">
        <f>_xlfn.NUMBERVALUE("-0.004900")</f>
        <v/>
      </c>
      <c r="P1779">
        <f>_xlfn.NUMBERVALUE("-0.003409")</f>
        <v/>
      </c>
      <c r="Q1779">
        <f>_xlfn.NUMBERVALUE("-0.002307")</f>
        <v/>
      </c>
      <c r="R1779">
        <f>_xlfn.NUMBERVALUE("-0.002704")</f>
        <v/>
      </c>
      <c r="S1779">
        <f>_xlfn.NUMBERVALUE("-0.001880")</f>
        <v/>
      </c>
      <c r="T1779">
        <f>_xlfn.NUMBERVALUE("-0.001349")</f>
        <v/>
      </c>
      <c r="U1779">
        <f>_xlfn.NUMBERVALUE("-0.002265")</f>
        <v/>
      </c>
      <c r="V1779">
        <f>_xlfn.NUMBERVALUE("-0.000469")</f>
        <v/>
      </c>
      <c r="W1779">
        <f>_xlfn.NUMBERVALUE("-0.020450")</f>
        <v/>
      </c>
      <c r="X1779">
        <f>_xlfn.NUMBERVALUE("3.260000")</f>
        <v/>
      </c>
      <c r="Y1779">
        <f>_xlfn.NUMBERVALUE("28.850000")</f>
        <v/>
      </c>
    </row>
    <row r="1780">
      <c r="A1780" s="1" t="n">
        <v>44585</v>
      </c>
      <c r="B1780">
        <f>_xlfn.NUMBERVALUE("0.000184")</f>
        <v/>
      </c>
      <c r="C1780" s="2">
        <f>_xlfn.NUMBERVALUE("-0.001041")</f>
        <v/>
      </c>
      <c r="D1780">
        <f>_xlfn.NUMBERVALUE("-0.002918")</f>
        <v/>
      </c>
      <c r="E1780">
        <f>_xlfn.NUMBERVALUE("-0.004632")</f>
        <v/>
      </c>
      <c r="F1780">
        <f>_xlfn.NUMBERVALUE("-0.000495")</f>
        <v/>
      </c>
      <c r="G1780">
        <f>_xlfn.NUMBERVALUE("-0.001557")</f>
        <v/>
      </c>
      <c r="H1780">
        <f>_xlfn.NUMBERVALUE("0.000147")</f>
        <v/>
      </c>
      <c r="I1780">
        <f>_xlfn.NUMBERVALUE("0.000000")</f>
        <v/>
      </c>
      <c r="J1780">
        <f>_xlfn.NUMBERVALUE("0.000345")</f>
        <v/>
      </c>
      <c r="K1780">
        <f>_xlfn.NUMBERVALUE("0.000272")</f>
        <v/>
      </c>
      <c r="L1780">
        <f>_xlfn.NUMBERVALUE("0.001710")</f>
        <v/>
      </c>
      <c r="M1780">
        <f>_xlfn.NUMBERVALUE("-0.005491")</f>
        <v/>
      </c>
      <c r="N1780">
        <f>_xlfn.NUMBERVALUE("-0.004000")</f>
        <v/>
      </c>
      <c r="O1780">
        <f>_xlfn.NUMBERVALUE("-0.002407")</f>
        <v/>
      </c>
      <c r="P1780">
        <f>_xlfn.NUMBERVALUE("-0.000919")</f>
        <v/>
      </c>
      <c r="Q1780">
        <f>_xlfn.NUMBERVALUE("-0.005112")</f>
        <v/>
      </c>
      <c r="R1780">
        <f>_xlfn.NUMBERVALUE("-0.002305")</f>
        <v/>
      </c>
      <c r="S1780">
        <f>_xlfn.NUMBERVALUE("-0.001621")</f>
        <v/>
      </c>
      <c r="T1780">
        <f>_xlfn.NUMBERVALUE("-0.003789")</f>
        <v/>
      </c>
      <c r="U1780">
        <f>_xlfn.NUMBERVALUE("0.000773")</f>
        <v/>
      </c>
      <c r="V1780">
        <f>_xlfn.NUMBERVALUE("-0.000286")</f>
        <v/>
      </c>
      <c r="W1780">
        <f>_xlfn.NUMBERVALUE("-0.007846")</f>
        <v/>
      </c>
      <c r="X1780">
        <f>_xlfn.NUMBERVALUE("1.050000")</f>
        <v/>
      </c>
      <c r="Y1780">
        <f>_xlfn.NUMBERVALUE("29.900000")</f>
        <v/>
      </c>
    </row>
    <row r="1781">
      <c r="A1781" s="1" t="n">
        <v>44586</v>
      </c>
      <c r="B1781">
        <f>_xlfn.NUMBERVALUE("0.003981")</f>
        <v/>
      </c>
      <c r="C1781" s="2">
        <f>_xlfn.NUMBERVALUE("0.000809")</f>
        <v/>
      </c>
      <c r="D1781">
        <f>_xlfn.NUMBERVALUE("0.004797")</f>
        <v/>
      </c>
      <c r="E1781">
        <f>_xlfn.NUMBERVALUE("0.003454")</f>
        <v/>
      </c>
      <c r="F1781">
        <f>_xlfn.NUMBERVALUE("-0.000272")</f>
        <v/>
      </c>
      <c r="G1781">
        <f>_xlfn.NUMBERVALUE("0.000778")</f>
        <v/>
      </c>
      <c r="H1781">
        <f>_xlfn.NUMBERVALUE("-0.001299")</f>
        <v/>
      </c>
      <c r="I1781">
        <f>_xlfn.NUMBERVALUE("0.000331")</f>
        <v/>
      </c>
      <c r="J1781">
        <f>_xlfn.NUMBERVALUE("0.000277")</f>
        <v/>
      </c>
      <c r="K1781">
        <f>_xlfn.NUMBERVALUE("0.002036")</f>
        <v/>
      </c>
      <c r="L1781">
        <f>_xlfn.NUMBERVALUE("0.001150")</f>
        <v/>
      </c>
      <c r="M1781">
        <f>_xlfn.NUMBERVALUE("0.003515")</f>
        <v/>
      </c>
      <c r="N1781">
        <f>_xlfn.NUMBERVALUE("0.003651")</f>
        <v/>
      </c>
      <c r="O1781">
        <f>_xlfn.NUMBERVALUE("-0.008778")</f>
        <v/>
      </c>
      <c r="P1781">
        <f>_xlfn.NUMBERVALUE("0.000015")</f>
        <v/>
      </c>
      <c r="Q1781">
        <f>_xlfn.NUMBERVALUE("0.004854")</f>
        <v/>
      </c>
      <c r="R1781">
        <f>_xlfn.NUMBERVALUE("0.001342")</f>
        <v/>
      </c>
      <c r="S1781">
        <f>_xlfn.NUMBERVALUE("0.001252")</f>
        <v/>
      </c>
      <c r="T1781">
        <f>_xlfn.NUMBERVALUE("0.002347")</f>
        <v/>
      </c>
      <c r="U1781">
        <f>_xlfn.NUMBERVALUE("0.001751")</f>
        <v/>
      </c>
      <c r="V1781">
        <f>_xlfn.NUMBERVALUE("0.000244")</f>
        <v/>
      </c>
      <c r="W1781">
        <f>_xlfn.NUMBERVALUE("-0.000092")</f>
        <v/>
      </c>
      <c r="X1781">
        <f>_xlfn.NUMBERVALUE("1.260000")</f>
        <v/>
      </c>
      <c r="Y1781">
        <f>_xlfn.NUMBERVALUE("31.160000")</f>
        <v/>
      </c>
    </row>
    <row r="1782">
      <c r="A1782" s="1" t="n">
        <v>44587</v>
      </c>
      <c r="B1782">
        <f>_xlfn.NUMBERVALUE("-0.004509")</f>
        <v/>
      </c>
      <c r="C1782" s="2">
        <f>_xlfn.NUMBERVALUE("-0.000501")</f>
        <v/>
      </c>
      <c r="D1782">
        <f>_xlfn.NUMBERVALUE("0.001175")</f>
        <v/>
      </c>
      <c r="E1782">
        <f>_xlfn.NUMBERVALUE("-0.000540")</f>
        <v/>
      </c>
      <c r="F1782">
        <f>_xlfn.NUMBERVALUE("-0.001059")</f>
        <v/>
      </c>
      <c r="G1782">
        <f>_xlfn.NUMBERVALUE("0.000727")</f>
        <v/>
      </c>
      <c r="H1782">
        <f>_xlfn.NUMBERVALUE("0.001398")</f>
        <v/>
      </c>
      <c r="I1782">
        <f>_xlfn.NUMBERVALUE("-0.000234")</f>
        <v/>
      </c>
      <c r="J1782">
        <f>_xlfn.NUMBERVALUE("-0.000710")</f>
        <v/>
      </c>
      <c r="K1782">
        <f>_xlfn.NUMBERVALUE("0.001940")</f>
        <v/>
      </c>
      <c r="L1782">
        <f>_xlfn.NUMBERVALUE("-0.000422")</f>
        <v/>
      </c>
      <c r="M1782">
        <f>_xlfn.NUMBERVALUE("-0.001583")</f>
        <v/>
      </c>
      <c r="N1782">
        <f>_xlfn.NUMBERVALUE("-0.001723")</f>
        <v/>
      </c>
      <c r="O1782">
        <f>_xlfn.NUMBERVALUE("-0.000665")</f>
        <v/>
      </c>
      <c r="P1782">
        <f>_xlfn.NUMBERVALUE("0.000307")</f>
        <v/>
      </c>
      <c r="Q1782">
        <f>_xlfn.NUMBERVALUE("-0.000498")</f>
        <v/>
      </c>
      <c r="R1782">
        <f>_xlfn.NUMBERVALUE("0.000360")</f>
        <v/>
      </c>
      <c r="S1782">
        <f>_xlfn.NUMBERVALUE("-0.000184")</f>
        <v/>
      </c>
      <c r="T1782">
        <f>_xlfn.NUMBERVALUE("-0.000742")</f>
        <v/>
      </c>
      <c r="U1782">
        <f>_xlfn.NUMBERVALUE("-0.001502")</f>
        <v/>
      </c>
      <c r="V1782">
        <f>_xlfn.NUMBERVALUE("-0.000028")</f>
        <v/>
      </c>
      <c r="W1782">
        <f>_xlfn.NUMBERVALUE("-0.008299")</f>
        <v/>
      </c>
      <c r="X1782">
        <f>_xlfn.NUMBERVALUE("0.800000")</f>
        <v/>
      </c>
      <c r="Y1782">
        <f>_xlfn.NUMBERVALUE("31.960000")</f>
        <v/>
      </c>
    </row>
    <row r="1783">
      <c r="A1783" s="1" t="n">
        <v>44588</v>
      </c>
      <c r="B1783">
        <f>_xlfn.NUMBERVALUE("0.003283")</f>
        <v/>
      </c>
      <c r="C1783" s="2">
        <f>_xlfn.NUMBERVALUE("0.000091")</f>
        <v/>
      </c>
      <c r="D1783">
        <f>_xlfn.NUMBERVALUE("0.001578")</f>
        <v/>
      </c>
      <c r="E1783">
        <f>_xlfn.NUMBERVALUE("-0.000086")</f>
        <v/>
      </c>
      <c r="F1783">
        <f>_xlfn.NUMBERVALUE("-0.001923")</f>
        <v/>
      </c>
      <c r="G1783">
        <f>_xlfn.NUMBERVALUE("-0.000848")</f>
        <v/>
      </c>
      <c r="H1783">
        <f>_xlfn.NUMBERVALUE("-0.001437")</f>
        <v/>
      </c>
      <c r="I1783">
        <f>_xlfn.NUMBERVALUE("0.000084")</f>
        <v/>
      </c>
      <c r="J1783">
        <f>_xlfn.NUMBERVALUE("0.000165")</f>
        <v/>
      </c>
      <c r="K1783">
        <f>_xlfn.NUMBERVALUE("-0.005229")</f>
        <v/>
      </c>
      <c r="L1783">
        <f>_xlfn.NUMBERVALUE("0.000119")</f>
        <v/>
      </c>
      <c r="M1783">
        <f>_xlfn.NUMBERVALUE("0.000625")</f>
        <v/>
      </c>
      <c r="N1783">
        <f>_xlfn.NUMBERVALUE("0.000208")</f>
        <v/>
      </c>
      <c r="O1783">
        <f>_xlfn.NUMBERVALUE("0.001151")</f>
        <v/>
      </c>
      <c r="P1783">
        <f>_xlfn.NUMBERVALUE("0.000469")</f>
        <v/>
      </c>
      <c r="Q1783">
        <f>_xlfn.NUMBERVALUE("-0.001032")</f>
        <v/>
      </c>
      <c r="R1783">
        <f>_xlfn.NUMBERVALUE("-0.000021")</f>
        <v/>
      </c>
      <c r="S1783">
        <f>_xlfn.NUMBERVALUE("-0.000464")</f>
        <v/>
      </c>
      <c r="T1783">
        <f>_xlfn.NUMBERVALUE("0.000071")</f>
        <v/>
      </c>
      <c r="U1783">
        <f>_xlfn.NUMBERVALUE("-0.000456")</f>
        <v/>
      </c>
      <c r="V1783">
        <f>_xlfn.NUMBERVALUE("0.000086")</f>
        <v/>
      </c>
      <c r="W1783">
        <f>_xlfn.NUMBERVALUE("0.001664")</f>
        <v/>
      </c>
      <c r="X1783">
        <f>_xlfn.NUMBERVALUE("-1.470000")</f>
        <v/>
      </c>
      <c r="Y1783">
        <f>_xlfn.NUMBERVALUE("30.490000")</f>
        <v/>
      </c>
    </row>
    <row r="1784">
      <c r="A1784" s="1" t="n">
        <v>44589</v>
      </c>
      <c r="B1784">
        <f>_xlfn.NUMBERVALUE("0.007260")</f>
        <v/>
      </c>
      <c r="C1784" s="2">
        <f>_xlfn.NUMBERVALUE("0.001193")</f>
        <v/>
      </c>
      <c r="D1784">
        <f>_xlfn.NUMBERVALUE("0.002890")</f>
        <v/>
      </c>
      <c r="E1784">
        <f>_xlfn.NUMBERVALUE("0.000963")</f>
        <v/>
      </c>
      <c r="F1784">
        <f>_xlfn.NUMBERVALUE("0.003466")</f>
        <v/>
      </c>
      <c r="G1784">
        <f>_xlfn.NUMBERVALUE("-0.000387")</f>
        <v/>
      </c>
      <c r="H1784">
        <f>_xlfn.NUMBERVALUE("0.001749")</f>
        <v/>
      </c>
      <c r="I1784">
        <f>_xlfn.NUMBERVALUE("0.000122")</f>
        <v/>
      </c>
      <c r="J1784">
        <f>_xlfn.NUMBERVALUE("-0.000302")</f>
        <v/>
      </c>
      <c r="K1784">
        <f>_xlfn.NUMBERVALUE("0.001534")</f>
        <v/>
      </c>
      <c r="L1784">
        <f>_xlfn.NUMBERVALUE("0.002565")</f>
        <v/>
      </c>
      <c r="M1784">
        <f>_xlfn.NUMBERVALUE("0.001699")</f>
        <v/>
      </c>
      <c r="N1784">
        <f>_xlfn.NUMBERVALUE("0.002932")</f>
        <v/>
      </c>
      <c r="O1784">
        <f>_xlfn.NUMBERVALUE("0.003297")</f>
        <v/>
      </c>
      <c r="P1784">
        <f>_xlfn.NUMBERVALUE("0.002523")</f>
        <v/>
      </c>
      <c r="Q1784">
        <f>_xlfn.NUMBERVALUE("0.002497")</f>
        <v/>
      </c>
      <c r="R1784">
        <f>_xlfn.NUMBERVALUE("0.002698")</f>
        <v/>
      </c>
      <c r="S1784">
        <f>_xlfn.NUMBERVALUE("0.002055")</f>
        <v/>
      </c>
      <c r="T1784">
        <f>_xlfn.NUMBERVALUE("0.002630")</f>
        <v/>
      </c>
      <c r="U1784">
        <f>_xlfn.NUMBERVALUE("0.001792")</f>
        <v/>
      </c>
      <c r="V1784">
        <f>_xlfn.NUMBERVALUE("0.000111")</f>
        <v/>
      </c>
      <c r="W1784">
        <f>_xlfn.NUMBERVALUE("0.012416")</f>
        <v/>
      </c>
      <c r="X1784">
        <f>_xlfn.NUMBERVALUE("-2.830000")</f>
        <v/>
      </c>
      <c r="Y1784">
        <f>_xlfn.NUMBERVALUE("27.660000")</f>
        <v/>
      </c>
    </row>
    <row r="1785">
      <c r="A1785" s="1" t="n">
        <v>44592</v>
      </c>
      <c r="B1785">
        <f>_xlfn.NUMBERVALUE("-0.006656")</f>
        <v/>
      </c>
      <c r="C1785" s="2">
        <f>_xlfn.NUMBERVALUE("0.000155")</f>
        <v/>
      </c>
      <c r="D1785">
        <f>_xlfn.NUMBERVALUE("-0.002974")</f>
        <v/>
      </c>
      <c r="E1785">
        <f>_xlfn.NUMBERVALUE("0.000197")</f>
        <v/>
      </c>
      <c r="F1785">
        <f>_xlfn.NUMBERVALUE("0.003769")</f>
        <v/>
      </c>
      <c r="G1785">
        <f>_xlfn.NUMBERVALUE("-0.000086")</f>
        <v/>
      </c>
      <c r="H1785">
        <f>_xlfn.NUMBERVALUE("0.000850")</f>
        <v/>
      </c>
      <c r="I1785">
        <f>_xlfn.NUMBERVALUE("0.000005")</f>
        <v/>
      </c>
      <c r="J1785">
        <f>_xlfn.NUMBERVALUE("0.000580")</f>
        <v/>
      </c>
      <c r="K1785">
        <f>_xlfn.NUMBERVALUE("0.007091")</f>
        <v/>
      </c>
      <c r="L1785">
        <f>_xlfn.NUMBERVALUE("0.001649")</f>
        <v/>
      </c>
      <c r="M1785">
        <f>_xlfn.NUMBERVALUE("0.001836")</f>
        <v/>
      </c>
      <c r="N1785">
        <f>_xlfn.NUMBERVALUE("0.001125")</f>
        <v/>
      </c>
      <c r="O1785">
        <f>_xlfn.NUMBERVALUE("0.005023")</f>
        <v/>
      </c>
      <c r="P1785">
        <f>_xlfn.NUMBERVALUE("0.001420")</f>
        <v/>
      </c>
      <c r="Q1785">
        <f>_xlfn.NUMBERVALUE("0.000687")</f>
        <v/>
      </c>
      <c r="R1785">
        <f>_xlfn.NUMBERVALUE("0.000483")</f>
        <v/>
      </c>
      <c r="S1785">
        <f>_xlfn.NUMBERVALUE("0.002315")</f>
        <v/>
      </c>
      <c r="T1785">
        <f>_xlfn.NUMBERVALUE("-0.001988")</f>
        <v/>
      </c>
      <c r="U1785">
        <f>_xlfn.NUMBERVALUE("-0.000892")</f>
        <v/>
      </c>
      <c r="V1785">
        <f>_xlfn.NUMBERVALUE("-0.000012")</f>
        <v/>
      </c>
      <c r="W1785">
        <f>_xlfn.NUMBERVALUE("0.021814")</f>
        <v/>
      </c>
      <c r="X1785">
        <f>_xlfn.NUMBERVALUE("-2.830000")</f>
        <v/>
      </c>
      <c r="Y1785">
        <f>_xlfn.NUMBERVALUE("24.830000")</f>
        <v/>
      </c>
    </row>
    <row r="1786">
      <c r="A1786" s="1" t="n">
        <v>44593</v>
      </c>
      <c r="B1786">
        <f>_xlfn.NUMBERVALUE("0.005524")</f>
        <v/>
      </c>
      <c r="C1786" s="2">
        <f>_xlfn.NUMBERVALUE("-0.000013")</f>
        <v/>
      </c>
      <c r="D1786">
        <f>_xlfn.NUMBERVALUE("0.002723")</f>
        <v/>
      </c>
      <c r="E1786">
        <f>_xlfn.NUMBERVALUE("0.000540")</f>
        <v/>
      </c>
      <c r="F1786">
        <f>_xlfn.NUMBERVALUE("0.002291")</f>
        <v/>
      </c>
      <c r="G1786">
        <f>_xlfn.NUMBERVALUE("0.002148")</f>
        <v/>
      </c>
      <c r="H1786">
        <f>_xlfn.NUMBERVALUE("0.000211")</f>
        <v/>
      </c>
      <c r="I1786">
        <f>_xlfn.NUMBERVALUE("-0.000088")</f>
        <v/>
      </c>
      <c r="J1786">
        <f>_xlfn.NUMBERVALUE("0.000969")</f>
        <v/>
      </c>
      <c r="K1786">
        <f>_xlfn.NUMBERVALUE("0.003965")</f>
        <v/>
      </c>
      <c r="L1786">
        <f>_xlfn.NUMBERVALUE("0.001890")</f>
        <v/>
      </c>
      <c r="M1786">
        <f>_xlfn.NUMBERVALUE("-0.000698")</f>
        <v/>
      </c>
      <c r="N1786">
        <f>_xlfn.NUMBERVALUE("-0.000297")</f>
        <v/>
      </c>
      <c r="O1786">
        <f>_xlfn.NUMBERVALUE("-0.001831")</f>
        <v/>
      </c>
      <c r="P1786">
        <f>_xlfn.NUMBERVALUE("0.001194")</f>
        <v/>
      </c>
      <c r="Q1786">
        <f>_xlfn.NUMBERVALUE("-0.000245")</f>
        <v/>
      </c>
      <c r="R1786">
        <f>_xlfn.NUMBERVALUE("0.001704")</f>
        <v/>
      </c>
      <c r="S1786">
        <f>_xlfn.NUMBERVALUE("0.001409")</f>
        <v/>
      </c>
      <c r="T1786">
        <f>_xlfn.NUMBERVALUE("0.001136")</f>
        <v/>
      </c>
      <c r="U1786">
        <f>_xlfn.NUMBERVALUE("0.001624")</f>
        <v/>
      </c>
      <c r="V1786">
        <f>_xlfn.NUMBERVALUE("0.000009")</f>
        <v/>
      </c>
      <c r="W1786">
        <f>_xlfn.NUMBERVALUE("0.010596")</f>
        <v/>
      </c>
      <c r="X1786">
        <f>_xlfn.NUMBERVALUE("-2.870000")</f>
        <v/>
      </c>
      <c r="Y1786">
        <f>_xlfn.NUMBERVALUE("21.960000")</f>
        <v/>
      </c>
    </row>
    <row r="1787">
      <c r="A1787" s="1" t="n">
        <v>44594</v>
      </c>
      <c r="B1787">
        <f>_xlfn.NUMBERVALUE("-0.004122")</f>
        <v/>
      </c>
      <c r="C1787" s="2">
        <f>_xlfn.NUMBERVALUE("0.000035")</f>
        <v/>
      </c>
      <c r="D1787">
        <f>_xlfn.NUMBERVALUE("0.006456")</f>
        <v/>
      </c>
      <c r="E1787">
        <f>_xlfn.NUMBERVALUE("0.000103")</f>
        <v/>
      </c>
      <c r="F1787">
        <f>_xlfn.NUMBERVALUE("0.005709")</f>
        <v/>
      </c>
      <c r="G1787">
        <f>_xlfn.NUMBERVALUE("0.000156")</f>
        <v/>
      </c>
      <c r="H1787">
        <f>_xlfn.NUMBERVALUE("-0.000032")</f>
        <v/>
      </c>
      <c r="I1787">
        <f>_xlfn.NUMBERVALUE("0.000089")</f>
        <v/>
      </c>
      <c r="J1787">
        <f>_xlfn.NUMBERVALUE("0.000025")</f>
        <v/>
      </c>
      <c r="K1787">
        <f>_xlfn.NUMBERVALUE("0.009998")</f>
        <v/>
      </c>
      <c r="L1787">
        <f>_xlfn.NUMBERVALUE("0.001822")</f>
        <v/>
      </c>
      <c r="M1787">
        <f>_xlfn.NUMBERVALUE("0.001413")</f>
        <v/>
      </c>
      <c r="N1787">
        <f>_xlfn.NUMBERVALUE("-0.006154")</f>
        <v/>
      </c>
      <c r="O1787">
        <f>_xlfn.NUMBERVALUE("0.000609")</f>
        <v/>
      </c>
      <c r="P1787">
        <f>_xlfn.NUMBERVALUE("0.000352")</f>
        <v/>
      </c>
      <c r="Q1787">
        <f>_xlfn.NUMBERVALUE("0.001430")</f>
        <v/>
      </c>
      <c r="R1787">
        <f>_xlfn.NUMBERVALUE("0.001280")</f>
        <v/>
      </c>
      <c r="S1787">
        <f>_xlfn.NUMBERVALUE("-0.000168")</f>
        <v/>
      </c>
      <c r="T1787">
        <f>_xlfn.NUMBERVALUE("-0.000706")</f>
        <v/>
      </c>
      <c r="U1787">
        <f>_xlfn.NUMBERVALUE("0.000872")</f>
        <v/>
      </c>
      <c r="V1787">
        <f>_xlfn.NUMBERVALUE("0.000064")</f>
        <v/>
      </c>
      <c r="W1787">
        <f>_xlfn.NUMBERVALUE("0.005055")</f>
        <v/>
      </c>
      <c r="X1787">
        <f>_xlfn.NUMBERVALUE("0.130000")</f>
        <v/>
      </c>
      <c r="Y1787">
        <f>_xlfn.NUMBERVALUE("22.090000")</f>
        <v/>
      </c>
    </row>
    <row r="1788">
      <c r="A1788" s="1" t="n">
        <v>44595</v>
      </c>
      <c r="B1788">
        <f>_xlfn.NUMBERVALUE("-0.015266")</f>
        <v/>
      </c>
      <c r="C1788" s="2">
        <f>_xlfn.NUMBERVALUE("-0.004614")</f>
        <v/>
      </c>
      <c r="D1788">
        <f>_xlfn.NUMBERVALUE("-0.004144")</f>
        <v/>
      </c>
      <c r="E1788">
        <f>_xlfn.NUMBERVALUE("-0.004975")</f>
        <v/>
      </c>
      <c r="F1788">
        <f>_xlfn.NUMBERVALUE("-0.000358")</f>
        <v/>
      </c>
      <c r="G1788">
        <f>_xlfn.NUMBERVALUE("-0.002251")</f>
        <v/>
      </c>
      <c r="H1788">
        <f>_xlfn.NUMBERVALUE("0.000075")</f>
        <v/>
      </c>
      <c r="I1788">
        <f>_xlfn.NUMBERVALUE("-0.005492")</f>
        <v/>
      </c>
      <c r="J1788">
        <f>_xlfn.NUMBERVALUE("-0.001153")</f>
        <v/>
      </c>
      <c r="K1788">
        <f>_xlfn.NUMBERVALUE("-0.000677")</f>
        <v/>
      </c>
      <c r="L1788">
        <f>_xlfn.NUMBERVALUE("0.000041")</f>
        <v/>
      </c>
      <c r="M1788">
        <f>_xlfn.NUMBERVALUE("0.000082")</f>
        <v/>
      </c>
      <c r="N1788">
        <f>_xlfn.NUMBERVALUE("-0.038767")</f>
        <v/>
      </c>
      <c r="O1788">
        <f>_xlfn.NUMBERVALUE("0.001609")</f>
        <v/>
      </c>
      <c r="P1788">
        <f>_xlfn.NUMBERVALUE("-0.001286")</f>
        <v/>
      </c>
      <c r="Q1788">
        <f>_xlfn.NUMBERVALUE("-0.000675")</f>
        <v/>
      </c>
      <c r="R1788">
        <f>_xlfn.NUMBERVALUE("-0.006749")</f>
        <v/>
      </c>
      <c r="S1788">
        <f>_xlfn.NUMBERVALUE("-0.001755")</f>
        <v/>
      </c>
      <c r="T1788">
        <f>_xlfn.NUMBERVALUE("-0.001430")</f>
        <v/>
      </c>
      <c r="U1788">
        <f>_xlfn.NUMBERVALUE("-0.001132")</f>
        <v/>
      </c>
      <c r="V1788">
        <f>_xlfn.NUMBERVALUE("-0.007151")</f>
        <v/>
      </c>
      <c r="W1788">
        <f>_xlfn.NUMBERVALUE("-0.023492")</f>
        <v/>
      </c>
      <c r="X1788">
        <f>_xlfn.NUMBERVALUE("2.260000")</f>
        <v/>
      </c>
      <c r="Y1788">
        <f>_xlfn.NUMBERVALUE("24.350000")</f>
        <v/>
      </c>
    </row>
    <row r="1789">
      <c r="A1789" s="1" t="n">
        <v>44596</v>
      </c>
      <c r="B1789">
        <f>_xlfn.NUMBERVALUE("-0.000586")</f>
        <v/>
      </c>
      <c r="C1789" s="2">
        <f>_xlfn.NUMBERVALUE("0.003301")</f>
        <v/>
      </c>
      <c r="D1789">
        <f>_xlfn.NUMBERVALUE("0.002372")</f>
        <v/>
      </c>
      <c r="E1789">
        <f>_xlfn.NUMBERVALUE("0.002840")</f>
        <v/>
      </c>
      <c r="F1789">
        <f>_xlfn.NUMBERVALUE("0.001811")</f>
        <v/>
      </c>
      <c r="G1789">
        <f>_xlfn.NUMBERVALUE("0.000181")</f>
        <v/>
      </c>
      <c r="H1789">
        <f>_xlfn.NUMBERVALUE("-0.001261")</f>
        <v/>
      </c>
      <c r="I1789">
        <f>_xlfn.NUMBERVALUE("0.003763")</f>
        <v/>
      </c>
      <c r="J1789">
        <f>_xlfn.NUMBERVALUE("-0.001814")</f>
        <v/>
      </c>
      <c r="K1789">
        <f>_xlfn.NUMBERVALUE("0.004007")</f>
        <v/>
      </c>
      <c r="L1789">
        <f>_xlfn.NUMBERVALUE("-0.002150")</f>
        <v/>
      </c>
      <c r="M1789">
        <f>_xlfn.NUMBERVALUE("-0.000036")</f>
        <v/>
      </c>
      <c r="N1789">
        <f>_xlfn.NUMBERVALUE("0.000767")</f>
        <v/>
      </c>
      <c r="O1789">
        <f>_xlfn.NUMBERVALUE("-0.002313")</f>
        <v/>
      </c>
      <c r="P1789">
        <f>_xlfn.NUMBERVALUE("0.000057")</f>
        <v/>
      </c>
      <c r="Q1789">
        <f>_xlfn.NUMBERVALUE("0.000280")</f>
        <v/>
      </c>
      <c r="R1789">
        <f>_xlfn.NUMBERVALUE("0.003431")</f>
        <v/>
      </c>
      <c r="S1789">
        <f>_xlfn.NUMBERVALUE("0.000568")</f>
        <v/>
      </c>
      <c r="T1789">
        <f>_xlfn.NUMBERVALUE("0.003659")</f>
        <v/>
      </c>
      <c r="U1789">
        <f>_xlfn.NUMBERVALUE("0.001489")</f>
        <v/>
      </c>
      <c r="V1789">
        <f>_xlfn.NUMBERVALUE("0.002801")</f>
        <v/>
      </c>
      <c r="W1789">
        <f>_xlfn.NUMBERVALUE("0.008258")</f>
        <v/>
      </c>
      <c r="X1789">
        <f>_xlfn.NUMBERVALUE("-1.130000")</f>
        <v/>
      </c>
      <c r="Y1789">
        <f>_xlfn.NUMBERVALUE("23.220000")</f>
        <v/>
      </c>
    </row>
    <row r="1790">
      <c r="A1790" s="1" t="n">
        <v>44599</v>
      </c>
      <c r="B1790">
        <f>_xlfn.NUMBERVALUE("0.005401")</f>
        <v/>
      </c>
      <c r="C1790" s="2">
        <f>_xlfn.NUMBERVALUE("0.000542")</f>
        <v/>
      </c>
      <c r="D1790">
        <f>_xlfn.NUMBERVALUE("0.004581")</f>
        <v/>
      </c>
      <c r="E1790">
        <f>_xlfn.NUMBERVALUE("0.001811")</f>
        <v/>
      </c>
      <c r="F1790">
        <f>_xlfn.NUMBERVALUE("-0.000704")</f>
        <v/>
      </c>
      <c r="G1790">
        <f>_xlfn.NUMBERVALUE("0.001015")</f>
        <v/>
      </c>
      <c r="H1790">
        <f>_xlfn.NUMBERVALUE("0.000377")</f>
        <v/>
      </c>
      <c r="I1790">
        <f>_xlfn.NUMBERVALUE("0.001648")</f>
        <v/>
      </c>
      <c r="J1790">
        <f>_xlfn.NUMBERVALUE("0.002060")</f>
        <v/>
      </c>
      <c r="K1790">
        <f>_xlfn.NUMBERVALUE("-0.001891")</f>
        <v/>
      </c>
      <c r="L1790">
        <f>_xlfn.NUMBERVALUE("0.001255")</f>
        <v/>
      </c>
      <c r="M1790">
        <f>_xlfn.NUMBERVALUE("-0.000185")</f>
        <v/>
      </c>
      <c r="N1790">
        <f>_xlfn.NUMBERVALUE("-0.003807")</f>
        <v/>
      </c>
      <c r="O1790">
        <f>_xlfn.NUMBERVALUE("-0.000003")</f>
        <v/>
      </c>
      <c r="P1790">
        <f>_xlfn.NUMBERVALUE("0.002863")</f>
        <v/>
      </c>
      <c r="Q1790">
        <f>_xlfn.NUMBERVALUE("-0.000066")</f>
        <v/>
      </c>
      <c r="R1790">
        <f>_xlfn.NUMBERVALUE("-0.000044")</f>
        <v/>
      </c>
      <c r="S1790">
        <f>_xlfn.NUMBERVALUE("0.000765")</f>
        <v/>
      </c>
      <c r="T1790">
        <f>_xlfn.NUMBERVALUE("-0.000008")</f>
        <v/>
      </c>
      <c r="U1790">
        <f>_xlfn.NUMBERVALUE("0.000284")</f>
        <v/>
      </c>
      <c r="V1790">
        <f>_xlfn.NUMBERVALUE("0.001510")</f>
        <v/>
      </c>
      <c r="W1790">
        <f>_xlfn.NUMBERVALUE("-0.007285")</f>
        <v/>
      </c>
      <c r="X1790">
        <f>_xlfn.NUMBERVALUE("-0.360000")</f>
        <v/>
      </c>
      <c r="Y1790">
        <f>_xlfn.NUMBERVALUE("22.860000")</f>
        <v/>
      </c>
    </row>
    <row r="1791">
      <c r="A1791" s="1" t="n">
        <v>44600</v>
      </c>
      <c r="B1791">
        <f>_xlfn.NUMBERVALUE("0.011807")</f>
        <v/>
      </c>
      <c r="C1791" s="2">
        <f>_xlfn.NUMBERVALUE("-0.000080")</f>
        <v/>
      </c>
      <c r="D1791">
        <f>_xlfn.NUMBERVALUE("0.002369")</f>
        <v/>
      </c>
      <c r="E1791">
        <f>_xlfn.NUMBERVALUE("0.001886")</f>
        <v/>
      </c>
      <c r="F1791">
        <f>_xlfn.NUMBERVALUE("0.001005")</f>
        <v/>
      </c>
      <c r="G1791">
        <f>_xlfn.NUMBERVALUE("0.002010")</f>
        <v/>
      </c>
      <c r="H1791">
        <f>_xlfn.NUMBERVALUE("0.000224")</f>
        <v/>
      </c>
      <c r="I1791">
        <f>_xlfn.NUMBERVALUE("0.000184")</f>
        <v/>
      </c>
      <c r="J1791">
        <f>_xlfn.NUMBERVALUE("0.000328")</f>
        <v/>
      </c>
      <c r="K1791">
        <f>_xlfn.NUMBERVALUE("0.002357")</f>
        <v/>
      </c>
      <c r="L1791">
        <f>_xlfn.NUMBERVALUE("0.000177")</f>
        <v/>
      </c>
      <c r="M1791">
        <f>_xlfn.NUMBERVALUE("0.001862")</f>
        <v/>
      </c>
      <c r="N1791">
        <f>_xlfn.NUMBERVALUE("0.003785")</f>
        <v/>
      </c>
      <c r="O1791">
        <f>_xlfn.NUMBERVALUE("0.001467")</f>
        <v/>
      </c>
      <c r="P1791">
        <f>_xlfn.NUMBERVALUE("0.000305")</f>
        <v/>
      </c>
      <c r="Q1791">
        <f>_xlfn.NUMBERVALUE("0.001742")</f>
        <v/>
      </c>
      <c r="R1791">
        <f>_xlfn.NUMBERVALUE("0.002822")</f>
        <v/>
      </c>
      <c r="S1791">
        <f>_xlfn.NUMBERVALUE("0.002364")</f>
        <v/>
      </c>
      <c r="T1791">
        <f>_xlfn.NUMBERVALUE("0.002112")</f>
        <v/>
      </c>
      <c r="U1791">
        <f>_xlfn.NUMBERVALUE("0.002564")</f>
        <v/>
      </c>
      <c r="V1791">
        <f>_xlfn.NUMBERVALUE("0.001867")</f>
        <v/>
      </c>
      <c r="W1791">
        <f>_xlfn.NUMBERVALUE("0.006667")</f>
        <v/>
      </c>
      <c r="X1791">
        <f>_xlfn.NUMBERVALUE("-1.420000")</f>
        <v/>
      </c>
      <c r="Y1791">
        <f>_xlfn.NUMBERVALUE("21.440000")</f>
        <v/>
      </c>
    </row>
    <row r="1792">
      <c r="A1792" s="1" t="n">
        <v>44601</v>
      </c>
      <c r="B1792">
        <f>_xlfn.NUMBERVALUE("0.001078")</f>
        <v/>
      </c>
      <c r="C1792" s="2">
        <f>_xlfn.NUMBERVALUE("0.001179")</f>
        <v/>
      </c>
      <c r="D1792">
        <f>_xlfn.NUMBERVALUE("-0.001205")</f>
        <v/>
      </c>
      <c r="E1792">
        <f>_xlfn.NUMBERVALUE("-0.001567")</f>
        <v/>
      </c>
      <c r="F1792">
        <f>_xlfn.NUMBERVALUE("0.000431")</f>
        <v/>
      </c>
      <c r="G1792">
        <f>_xlfn.NUMBERVALUE("-0.001007")</f>
        <v/>
      </c>
      <c r="H1792">
        <f>_xlfn.NUMBERVALUE("-0.000075")</f>
        <v/>
      </c>
      <c r="I1792">
        <f>_xlfn.NUMBERVALUE("0.000667")</f>
        <v/>
      </c>
      <c r="J1792">
        <f>_xlfn.NUMBERVALUE("-0.000652")</f>
        <v/>
      </c>
      <c r="K1792">
        <f>_xlfn.NUMBERVALUE("0.002073")</f>
        <v/>
      </c>
      <c r="L1792">
        <f>_xlfn.NUMBERVALUE("0.001069")</f>
        <v/>
      </c>
      <c r="M1792">
        <f>_xlfn.NUMBERVALUE("-0.002653")</f>
        <v/>
      </c>
      <c r="N1792">
        <f>_xlfn.NUMBERVALUE("-0.000370")</f>
        <v/>
      </c>
      <c r="O1792">
        <f>_xlfn.NUMBERVALUE("0.004645")</f>
        <v/>
      </c>
      <c r="P1792">
        <f>_xlfn.NUMBERVALUE("0.000948")</f>
        <v/>
      </c>
      <c r="Q1792">
        <f>_xlfn.NUMBERVALUE("0.001019")</f>
        <v/>
      </c>
      <c r="R1792">
        <f>_xlfn.NUMBERVALUE("0.000184")</f>
        <v/>
      </c>
      <c r="S1792">
        <f>_xlfn.NUMBERVALUE("0.002084")</f>
        <v/>
      </c>
      <c r="T1792">
        <f>_xlfn.NUMBERVALUE("0.001768")</f>
        <v/>
      </c>
      <c r="U1792">
        <f>_xlfn.NUMBERVALUE("0.003311")</f>
        <v/>
      </c>
      <c r="V1792">
        <f>_xlfn.NUMBERVALUE("-0.000452")</f>
        <v/>
      </c>
      <c r="W1792">
        <f>_xlfn.NUMBERVALUE("0.014592")</f>
        <v/>
      </c>
      <c r="X1792">
        <f>_xlfn.NUMBERVALUE("-1.480000")</f>
        <v/>
      </c>
      <c r="Y1792">
        <f>_xlfn.NUMBERVALUE("19.960000")</f>
        <v/>
      </c>
    </row>
    <row r="1793">
      <c r="A1793" s="1" t="n">
        <v>44602</v>
      </c>
      <c r="B1793">
        <f>_xlfn.NUMBERVALUE("-0.006377")</f>
        <v/>
      </c>
      <c r="C1793" s="2">
        <f>_xlfn.NUMBERVALUE("-0.004458")</f>
        <v/>
      </c>
      <c r="D1793">
        <f>_xlfn.NUMBERVALUE("-0.002035")</f>
        <v/>
      </c>
      <c r="E1793">
        <f>_xlfn.NUMBERVALUE("-0.003106")</f>
        <v/>
      </c>
      <c r="F1793">
        <f>_xlfn.NUMBERVALUE("0.000440")</f>
        <v/>
      </c>
      <c r="G1793">
        <f>_xlfn.NUMBERVALUE("-0.001061")</f>
        <v/>
      </c>
      <c r="H1793">
        <f>_xlfn.NUMBERVALUE("-0.001274")</f>
        <v/>
      </c>
      <c r="I1793">
        <f>_xlfn.NUMBERVALUE("-0.005234")</f>
        <v/>
      </c>
      <c r="J1793">
        <f>_xlfn.NUMBERVALUE("-0.002531")</f>
        <v/>
      </c>
      <c r="K1793">
        <f>_xlfn.NUMBERVALUE("0.001216")</f>
        <v/>
      </c>
      <c r="L1793">
        <f>_xlfn.NUMBERVALUE("-0.002660")</f>
        <v/>
      </c>
      <c r="M1793">
        <f>_xlfn.NUMBERVALUE("-0.002410")</f>
        <v/>
      </c>
      <c r="N1793">
        <f>_xlfn.NUMBERVALUE("0.000043")</f>
        <v/>
      </c>
      <c r="O1793">
        <f>_xlfn.NUMBERVALUE("-0.002203")</f>
        <v/>
      </c>
      <c r="P1793">
        <f>_xlfn.NUMBERVALUE("-0.004065")</f>
        <v/>
      </c>
      <c r="Q1793">
        <f>_xlfn.NUMBERVALUE("-0.004833")</f>
        <v/>
      </c>
      <c r="R1793">
        <f>_xlfn.NUMBERVALUE("-0.006411")</f>
        <v/>
      </c>
      <c r="S1793">
        <f>_xlfn.NUMBERVALUE("-0.002556")</f>
        <v/>
      </c>
      <c r="T1793">
        <f>_xlfn.NUMBERVALUE("-0.004622")</f>
        <v/>
      </c>
      <c r="U1793">
        <f>_xlfn.NUMBERVALUE("-0.003535")</f>
        <v/>
      </c>
      <c r="V1793">
        <f>_xlfn.NUMBERVALUE("-0.006438")</f>
        <v/>
      </c>
      <c r="W1793">
        <f>_xlfn.NUMBERVALUE("-0.019220")</f>
        <v/>
      </c>
      <c r="X1793">
        <f>_xlfn.NUMBERVALUE("3.950000")</f>
        <v/>
      </c>
      <c r="Y1793">
        <f>_xlfn.NUMBERVALUE("23.910000")</f>
        <v/>
      </c>
    </row>
    <row r="1794">
      <c r="A1794" s="1" t="n">
        <v>44603</v>
      </c>
      <c r="B1794">
        <f>_xlfn.NUMBERVALUE("-0.007874")</f>
        <v/>
      </c>
      <c r="C1794" s="2">
        <f>_xlfn.NUMBERVALUE("-0.004238")</f>
        <v/>
      </c>
      <c r="D1794">
        <f>_xlfn.NUMBERVALUE("-0.006340")</f>
        <v/>
      </c>
      <c r="E1794">
        <f>_xlfn.NUMBERVALUE("-0.004312")</f>
        <v/>
      </c>
      <c r="F1794">
        <f>_xlfn.NUMBERVALUE("-0.007493")</f>
        <v/>
      </c>
      <c r="G1794">
        <f>_xlfn.NUMBERVALUE("-0.002163")</f>
        <v/>
      </c>
      <c r="H1794">
        <f>_xlfn.NUMBERVALUE("-0.001726")</f>
        <v/>
      </c>
      <c r="I1794">
        <f>_xlfn.NUMBERVALUE("-0.004662")</f>
        <v/>
      </c>
      <c r="J1794">
        <f>_xlfn.NUMBERVALUE("-0.000413")</f>
        <v/>
      </c>
      <c r="K1794">
        <f>_xlfn.NUMBERVALUE("-0.006522")</f>
        <v/>
      </c>
      <c r="L1794">
        <f>_xlfn.NUMBERVALUE("-0.004566")</f>
        <v/>
      </c>
      <c r="M1794">
        <f>_xlfn.NUMBERVALUE("-0.004555")</f>
        <v/>
      </c>
      <c r="N1794">
        <f>_xlfn.NUMBERVALUE("-0.000581")</f>
        <v/>
      </c>
      <c r="O1794">
        <f>_xlfn.NUMBERVALUE("-0.013964")</f>
        <v/>
      </c>
      <c r="P1794">
        <f>_xlfn.NUMBERVALUE("-0.004315")</f>
        <v/>
      </c>
      <c r="Q1794">
        <f>_xlfn.NUMBERVALUE("-0.005240")</f>
        <v/>
      </c>
      <c r="R1794">
        <f>_xlfn.NUMBERVALUE("-0.006218")</f>
        <v/>
      </c>
      <c r="S1794">
        <f>_xlfn.NUMBERVALUE("-0.002421")</f>
        <v/>
      </c>
      <c r="T1794">
        <f>_xlfn.NUMBERVALUE("-0.002679")</f>
        <v/>
      </c>
      <c r="U1794">
        <f>_xlfn.NUMBERVALUE("-0.005989")</f>
        <v/>
      </c>
      <c r="V1794">
        <f>_xlfn.NUMBERVALUE("-0.002876")</f>
        <v/>
      </c>
      <c r="W1794">
        <f>_xlfn.NUMBERVALUE("-0.016561")</f>
        <v/>
      </c>
      <c r="X1794">
        <f>_xlfn.NUMBERVALUE("3.450000")</f>
        <v/>
      </c>
      <c r="Y1794">
        <f>_xlfn.NUMBERVALUE("27.360000")</f>
        <v/>
      </c>
    </row>
    <row r="1795">
      <c r="A1795" s="1" t="n">
        <v>44606</v>
      </c>
      <c r="B1795">
        <f>_xlfn.NUMBERVALUE("0.006756")</f>
        <v/>
      </c>
      <c r="C1795" s="2">
        <f>_xlfn.NUMBERVALUE("0.001833")</f>
        <v/>
      </c>
      <c r="D1795">
        <f>_xlfn.NUMBERVALUE("0.002500")</f>
        <v/>
      </c>
      <c r="E1795">
        <f>_xlfn.NUMBERVALUE("-0.002042")</f>
        <v/>
      </c>
      <c r="F1795">
        <f>_xlfn.NUMBERVALUE("0.000629")</f>
        <v/>
      </c>
      <c r="G1795">
        <f>_xlfn.NUMBERVALUE("0.000581")</f>
        <v/>
      </c>
      <c r="H1795">
        <f>_xlfn.NUMBERVALUE("-0.000371")</f>
        <v/>
      </c>
      <c r="I1795">
        <f>_xlfn.NUMBERVALUE("0.003011")</f>
        <v/>
      </c>
      <c r="J1795">
        <f>_xlfn.NUMBERVALUE("-0.000325")</f>
        <v/>
      </c>
      <c r="K1795">
        <f>_xlfn.NUMBERVALUE("0.001626")</f>
        <v/>
      </c>
      <c r="L1795">
        <f>_xlfn.NUMBERVALUE("0.001621")</f>
        <v/>
      </c>
      <c r="M1795">
        <f>_xlfn.NUMBERVALUE("-0.002602")</f>
        <v/>
      </c>
      <c r="N1795">
        <f>_xlfn.NUMBERVALUE("0.000481")</f>
        <v/>
      </c>
      <c r="O1795">
        <f>_xlfn.NUMBERVALUE("0.001715")</f>
        <v/>
      </c>
      <c r="P1795">
        <f>_xlfn.NUMBERVALUE("0.001974")</f>
        <v/>
      </c>
      <c r="Q1795">
        <f>_xlfn.NUMBERVALUE("0.000889")</f>
        <v/>
      </c>
      <c r="R1795">
        <f>_xlfn.NUMBERVALUE("0.002768")</f>
        <v/>
      </c>
      <c r="S1795">
        <f>_xlfn.NUMBERVALUE("0.001159")</f>
        <v/>
      </c>
      <c r="T1795">
        <f>_xlfn.NUMBERVALUE("0.001361")</f>
        <v/>
      </c>
      <c r="U1795">
        <f>_xlfn.NUMBERVALUE("0.001146")</f>
        <v/>
      </c>
      <c r="V1795">
        <f>_xlfn.NUMBERVALUE("0.001440")</f>
        <v/>
      </c>
      <c r="W1795">
        <f>_xlfn.NUMBERVALUE("-0.004380")</f>
        <v/>
      </c>
      <c r="X1795">
        <f>_xlfn.NUMBERVALUE("0.970000")</f>
        <v/>
      </c>
      <c r="Y1795">
        <f>_xlfn.NUMBERVALUE("28.330000")</f>
        <v/>
      </c>
    </row>
    <row r="1796">
      <c r="A1796" s="1" t="n">
        <v>44607</v>
      </c>
      <c r="B1796">
        <f>_xlfn.NUMBERVALUE("0.010308")</f>
        <v/>
      </c>
      <c r="C1796" s="2">
        <f>_xlfn.NUMBERVALUE("0.003233")</f>
        <v/>
      </c>
      <c r="D1796">
        <f>_xlfn.NUMBERVALUE("-0.000252")</f>
        <v/>
      </c>
      <c r="E1796">
        <f>_xlfn.NUMBERVALUE("0.004241")</f>
        <v/>
      </c>
      <c r="F1796">
        <f>_xlfn.NUMBERVALUE("0.001741")</f>
        <v/>
      </c>
      <c r="G1796">
        <f>_xlfn.NUMBERVALUE("0.000621")</f>
        <v/>
      </c>
      <c r="H1796">
        <f>_xlfn.NUMBERVALUE("0.000438")</f>
        <v/>
      </c>
      <c r="I1796">
        <f>_xlfn.NUMBERVALUE("0.001228")</f>
        <v/>
      </c>
      <c r="J1796">
        <f>_xlfn.NUMBERVALUE("-0.000458")</f>
        <v/>
      </c>
      <c r="K1796">
        <f>_xlfn.NUMBERVALUE("0.002100")</f>
        <v/>
      </c>
      <c r="L1796">
        <f>_xlfn.NUMBERVALUE("-0.000187")</f>
        <v/>
      </c>
      <c r="M1796">
        <f>_xlfn.NUMBERVALUE("0.005167")</f>
        <v/>
      </c>
      <c r="N1796">
        <f>_xlfn.NUMBERVALUE("0.003414")</f>
        <v/>
      </c>
      <c r="O1796">
        <f>_xlfn.NUMBERVALUE("0.007406")</f>
        <v/>
      </c>
      <c r="P1796">
        <f>_xlfn.NUMBERVALUE("0.004502")</f>
        <v/>
      </c>
      <c r="Q1796">
        <f>_xlfn.NUMBERVALUE("0.004604")</f>
        <v/>
      </c>
      <c r="R1796">
        <f>_xlfn.NUMBERVALUE("0.001503")</f>
        <v/>
      </c>
      <c r="S1796">
        <f>_xlfn.NUMBERVALUE("0.003175")</f>
        <v/>
      </c>
      <c r="T1796">
        <f>_xlfn.NUMBERVALUE("0.002496")</f>
        <v/>
      </c>
      <c r="U1796">
        <f>_xlfn.NUMBERVALUE("0.003123")</f>
        <v/>
      </c>
      <c r="V1796">
        <f>_xlfn.NUMBERVALUE("0.001786")</f>
        <v/>
      </c>
      <c r="W1796">
        <f>_xlfn.NUMBERVALUE("0.013290")</f>
        <v/>
      </c>
      <c r="X1796">
        <f>_xlfn.NUMBERVALUE("-2.630000")</f>
        <v/>
      </c>
      <c r="Y1796">
        <f>_xlfn.NUMBERVALUE("25.700000")</f>
        <v/>
      </c>
    </row>
    <row r="1797">
      <c r="A1797" s="1" t="n">
        <v>44608</v>
      </c>
      <c r="B1797">
        <f>_xlfn.NUMBERVALUE("0.003683")</f>
        <v/>
      </c>
      <c r="C1797" s="2">
        <f>_xlfn.NUMBERVALUE("0.002969")</f>
        <v/>
      </c>
      <c r="D1797">
        <f>_xlfn.NUMBERVALUE("0.001490")</f>
        <v/>
      </c>
      <c r="E1797">
        <f>_xlfn.NUMBERVALUE("0.002323")</f>
        <v/>
      </c>
      <c r="F1797">
        <f>_xlfn.NUMBERVALUE("-0.001180")</f>
        <v/>
      </c>
      <c r="G1797">
        <f>_xlfn.NUMBERVALUE("-0.000975")</f>
        <v/>
      </c>
      <c r="H1797">
        <f>_xlfn.NUMBERVALUE("0.000227")</f>
        <v/>
      </c>
      <c r="I1797">
        <f>_xlfn.NUMBERVALUE("0.003585")</f>
        <v/>
      </c>
      <c r="J1797">
        <f>_xlfn.NUMBERVALUE("0.000553")</f>
        <v/>
      </c>
      <c r="K1797">
        <f>_xlfn.NUMBERVALUE("-0.000029")</f>
        <v/>
      </c>
      <c r="L1797">
        <f>_xlfn.NUMBERVALUE("0.001256")</f>
        <v/>
      </c>
      <c r="M1797">
        <f>_xlfn.NUMBERVALUE("0.001356")</f>
        <v/>
      </c>
      <c r="N1797">
        <f>_xlfn.NUMBERVALUE("0.005113")</f>
        <v/>
      </c>
      <c r="O1797">
        <f>_xlfn.NUMBERVALUE("0.003169")</f>
        <v/>
      </c>
      <c r="P1797">
        <f>_xlfn.NUMBERVALUE("0.003365")</f>
        <v/>
      </c>
      <c r="Q1797">
        <f>_xlfn.NUMBERVALUE("0.001233")</f>
        <v/>
      </c>
      <c r="R1797">
        <f>_xlfn.NUMBERVALUE("0.003827")</f>
        <v/>
      </c>
      <c r="S1797">
        <f>_xlfn.NUMBERVALUE("0.001264")</f>
        <v/>
      </c>
      <c r="T1797">
        <f>_xlfn.NUMBERVALUE("0.001332")</f>
        <v/>
      </c>
      <c r="U1797">
        <f>_xlfn.NUMBERVALUE("0.003710")</f>
        <v/>
      </c>
      <c r="V1797">
        <f>_xlfn.NUMBERVALUE("0.002671")</f>
        <v/>
      </c>
      <c r="W1797">
        <f>_xlfn.NUMBERVALUE("0.006164")</f>
        <v/>
      </c>
      <c r="X1797">
        <f>_xlfn.NUMBERVALUE("-1.410000")</f>
        <v/>
      </c>
      <c r="Y1797">
        <f>_xlfn.NUMBERVALUE("24.290000")</f>
        <v/>
      </c>
    </row>
    <row r="1798">
      <c r="A1798" s="1" t="n">
        <v>44609</v>
      </c>
      <c r="B1798">
        <f>_xlfn.NUMBERVALUE("-0.019359")</f>
        <v/>
      </c>
      <c r="C1798" s="2">
        <f>_xlfn.NUMBERVALUE("-0.003988")</f>
        <v/>
      </c>
      <c r="D1798">
        <f>_xlfn.NUMBERVALUE("-0.003428")</f>
        <v/>
      </c>
      <c r="E1798">
        <f>_xlfn.NUMBERVALUE("-0.003501")</f>
        <v/>
      </c>
      <c r="F1798">
        <f>_xlfn.NUMBERVALUE("-0.001982")</f>
        <v/>
      </c>
      <c r="G1798">
        <f>_xlfn.NUMBERVALUE("-0.001790")</f>
        <v/>
      </c>
      <c r="H1798">
        <f>_xlfn.NUMBERVALUE("-0.000161")</f>
        <v/>
      </c>
      <c r="I1798">
        <f>_xlfn.NUMBERVALUE("-0.004667")</f>
        <v/>
      </c>
      <c r="J1798">
        <f>_xlfn.NUMBERVALUE("-0.000452")</f>
        <v/>
      </c>
      <c r="K1798">
        <f>_xlfn.NUMBERVALUE("-0.002056")</f>
        <v/>
      </c>
      <c r="L1798">
        <f>_xlfn.NUMBERVALUE("-0.000811")</f>
        <v/>
      </c>
      <c r="M1798">
        <f>_xlfn.NUMBERVALUE("-0.002599")</f>
        <v/>
      </c>
      <c r="N1798">
        <f>_xlfn.NUMBERVALUE("-0.004028")</f>
        <v/>
      </c>
      <c r="O1798">
        <f>_xlfn.NUMBERVALUE("-0.005115")</f>
        <v/>
      </c>
      <c r="P1798">
        <f>_xlfn.NUMBERVALUE("-0.007152")</f>
        <v/>
      </c>
      <c r="Q1798">
        <f>_xlfn.NUMBERVALUE("-0.005145")</f>
        <v/>
      </c>
      <c r="R1798">
        <f>_xlfn.NUMBERVALUE("-0.006598")</f>
        <v/>
      </c>
      <c r="S1798">
        <f>_xlfn.NUMBERVALUE("-0.004915")</f>
        <v/>
      </c>
      <c r="T1798">
        <f>_xlfn.NUMBERVALUE("-0.001769")</f>
        <v/>
      </c>
      <c r="U1798">
        <f>_xlfn.NUMBERVALUE("-0.005556")</f>
        <v/>
      </c>
      <c r="V1798">
        <f>_xlfn.NUMBERVALUE("-0.003764")</f>
        <v/>
      </c>
      <c r="W1798">
        <f>_xlfn.NUMBERVALUE("-0.019598")</f>
        <v/>
      </c>
      <c r="X1798">
        <f>_xlfn.NUMBERVALUE("3.820000")</f>
        <v/>
      </c>
      <c r="Y1798">
        <f>_xlfn.NUMBERVALUE("28.110000")</f>
        <v/>
      </c>
    </row>
    <row r="1799">
      <c r="A1799" s="1" t="n">
        <v>44610</v>
      </c>
      <c r="B1799">
        <f>_xlfn.NUMBERVALUE("-0.003102")</f>
        <v/>
      </c>
      <c r="C1799" s="2">
        <f>_xlfn.NUMBERVALUE("0.000694")</f>
        <v/>
      </c>
      <c r="D1799">
        <f>_xlfn.NUMBERVALUE("0.000838")</f>
        <v/>
      </c>
      <c r="E1799">
        <f>_xlfn.NUMBERVALUE("-0.000399")</f>
        <v/>
      </c>
      <c r="F1799">
        <f>_xlfn.NUMBERVALUE("0.000818")</f>
        <v/>
      </c>
      <c r="G1799">
        <f>_xlfn.NUMBERVALUE("0.004203")</f>
        <v/>
      </c>
      <c r="H1799">
        <f>_xlfn.NUMBERVALUE("-0.000011")</f>
        <v/>
      </c>
      <c r="I1799">
        <f>_xlfn.NUMBERVALUE("0.001697")</f>
        <v/>
      </c>
      <c r="J1799">
        <f>_xlfn.NUMBERVALUE("0.000478")</f>
        <v/>
      </c>
      <c r="K1799">
        <f>_xlfn.NUMBERVALUE("0.003277")</f>
        <v/>
      </c>
      <c r="L1799">
        <f>_xlfn.NUMBERVALUE("0.000442")</f>
        <v/>
      </c>
      <c r="M1799">
        <f>_xlfn.NUMBERVALUE("0.000768")</f>
        <v/>
      </c>
      <c r="N1799">
        <f>_xlfn.NUMBERVALUE("0.000394")</f>
        <v/>
      </c>
      <c r="O1799">
        <f>_xlfn.NUMBERVALUE("0.000919")</f>
        <v/>
      </c>
      <c r="P1799">
        <f>_xlfn.NUMBERVALUE("0.001125")</f>
        <v/>
      </c>
      <c r="Q1799">
        <f>_xlfn.NUMBERVALUE("0.000708")</f>
        <v/>
      </c>
      <c r="R1799">
        <f>_xlfn.NUMBERVALUE("0.001152")</f>
        <v/>
      </c>
      <c r="S1799">
        <f>_xlfn.NUMBERVALUE("0.000372")</f>
        <v/>
      </c>
      <c r="T1799">
        <f>_xlfn.NUMBERVALUE("0.000460")</f>
        <v/>
      </c>
      <c r="U1799">
        <f>_xlfn.NUMBERVALUE("0.001085")</f>
        <v/>
      </c>
      <c r="V1799">
        <f>_xlfn.NUMBERVALUE("-0.000055")</f>
        <v/>
      </c>
      <c r="W1799">
        <f>_xlfn.NUMBERVALUE("-0.007218")</f>
        <v/>
      </c>
      <c r="X1799">
        <f>_xlfn.NUMBERVALUE("-0.360000")</f>
        <v/>
      </c>
      <c r="Y1799">
        <f>_xlfn.NUMBERVALUE("27.750000")</f>
        <v/>
      </c>
    </row>
    <row r="1800">
      <c r="A1800" s="1" t="n">
        <v>44614</v>
      </c>
      <c r="B1800">
        <f>_xlfn.NUMBERVALUE("0.001424")</f>
        <v/>
      </c>
      <c r="C1800" s="2">
        <f>_xlfn.NUMBERVALUE("-0.000674")</f>
        <v/>
      </c>
      <c r="D1800">
        <f>_xlfn.NUMBERVALUE("0.000895")</f>
        <v/>
      </c>
      <c r="E1800">
        <f>_xlfn.NUMBERVALUE("-0.000468")</f>
        <v/>
      </c>
      <c r="F1800">
        <f>_xlfn.NUMBERVALUE("0.000924")</f>
        <v/>
      </c>
      <c r="G1800">
        <f>_xlfn.NUMBERVALUE("-0.001215")</f>
        <v/>
      </c>
      <c r="H1800">
        <f>_xlfn.NUMBERVALUE("0.000708")</f>
        <v/>
      </c>
      <c r="I1800">
        <f>_xlfn.NUMBERVALUE("0.002055")</f>
        <v/>
      </c>
      <c r="J1800">
        <f>_xlfn.NUMBERVALUE("0.000258")</f>
        <v/>
      </c>
      <c r="K1800">
        <f>_xlfn.NUMBERVALUE("0.001421")</f>
        <v/>
      </c>
      <c r="L1800">
        <f>_xlfn.NUMBERVALUE("0.001889")</f>
        <v/>
      </c>
      <c r="M1800">
        <f>_xlfn.NUMBERVALUE("0.001361")</f>
        <v/>
      </c>
      <c r="N1800">
        <f>_xlfn.NUMBERVALUE("0.001791")</f>
        <v/>
      </c>
      <c r="O1800">
        <f>_xlfn.NUMBERVALUE("0.003076")</f>
        <v/>
      </c>
      <c r="P1800">
        <f>_xlfn.NUMBERVALUE("0.001675")</f>
        <v/>
      </c>
      <c r="Q1800">
        <f>_xlfn.NUMBERVALUE("0.001262")</f>
        <v/>
      </c>
      <c r="R1800">
        <f>_xlfn.NUMBERVALUE("0.002172")</f>
        <v/>
      </c>
      <c r="S1800">
        <f>_xlfn.NUMBERVALUE("0.002253")</f>
        <v/>
      </c>
      <c r="T1800">
        <f>_xlfn.NUMBERVALUE("0.001782")</f>
        <v/>
      </c>
      <c r="U1800">
        <f>_xlfn.NUMBERVALUE("-0.003118")</f>
        <v/>
      </c>
      <c r="V1800">
        <f>_xlfn.NUMBERVALUE("-0.000096")</f>
        <v/>
      </c>
      <c r="W1800">
        <f>_xlfn.NUMBERVALUE("-0.011624")</f>
        <v/>
      </c>
      <c r="X1800">
        <f>_xlfn.NUMBERVALUE("1.060000")</f>
        <v/>
      </c>
      <c r="Y1800">
        <f>_xlfn.NUMBERVALUE("28.810000")</f>
        <v/>
      </c>
    </row>
    <row r="1801">
      <c r="A1801" s="1" t="n">
        <v>44615</v>
      </c>
      <c r="B1801">
        <f>_xlfn.NUMBERVALUE("0.000283")</f>
        <v/>
      </c>
      <c r="C1801" s="2">
        <f>_xlfn.NUMBERVALUE("-0.000712")</f>
        <v/>
      </c>
      <c r="D1801">
        <f>_xlfn.NUMBERVALUE("-0.000070")</f>
        <v/>
      </c>
      <c r="E1801">
        <f>_xlfn.NUMBERVALUE("0.000257")</f>
        <v/>
      </c>
      <c r="F1801">
        <f>_xlfn.NUMBERVALUE("0.000337")</f>
        <v/>
      </c>
      <c r="G1801">
        <f>_xlfn.NUMBERVALUE("0.001028")</f>
        <v/>
      </c>
      <c r="H1801">
        <f>_xlfn.NUMBERVALUE("0.000021")</f>
        <v/>
      </c>
      <c r="I1801">
        <f>_xlfn.NUMBERVALUE("-0.001276")</f>
        <v/>
      </c>
      <c r="J1801">
        <f>_xlfn.NUMBERVALUE("-0.000441")</f>
        <v/>
      </c>
      <c r="K1801">
        <f>_xlfn.NUMBERVALUE("-0.000788")</f>
        <v/>
      </c>
      <c r="L1801">
        <f>_xlfn.NUMBERVALUE("-0.000545")</f>
        <v/>
      </c>
      <c r="M1801">
        <f>_xlfn.NUMBERVALUE("0.001459")</f>
        <v/>
      </c>
      <c r="N1801">
        <f>_xlfn.NUMBERVALUE("-0.000637")</f>
        <v/>
      </c>
      <c r="O1801">
        <f>_xlfn.NUMBERVALUE("-0.001411")</f>
        <v/>
      </c>
      <c r="P1801">
        <f>_xlfn.NUMBERVALUE("-0.002679")</f>
        <v/>
      </c>
      <c r="Q1801">
        <f>_xlfn.NUMBERVALUE("-0.000209")</f>
        <v/>
      </c>
      <c r="R1801">
        <f>_xlfn.NUMBERVALUE("-0.003944")</f>
        <v/>
      </c>
      <c r="S1801">
        <f>_xlfn.NUMBERVALUE("-0.000098")</f>
        <v/>
      </c>
      <c r="T1801">
        <f>_xlfn.NUMBERVALUE("-0.000875")</f>
        <v/>
      </c>
      <c r="U1801">
        <f>_xlfn.NUMBERVALUE("-0.004090")</f>
        <v/>
      </c>
      <c r="V1801">
        <f>_xlfn.NUMBERVALUE("-0.000679")</f>
        <v/>
      </c>
      <c r="W1801">
        <f>_xlfn.NUMBERVALUE("-0.018593")</f>
        <v/>
      </c>
      <c r="X1801">
        <f>_xlfn.NUMBERVALUE("2.210000")</f>
        <v/>
      </c>
      <c r="Y1801">
        <f>_xlfn.NUMBERVALUE("31.020000")</f>
        <v/>
      </c>
    </row>
    <row r="1802">
      <c r="A1802" s="1" t="n">
        <v>44616</v>
      </c>
      <c r="B1802">
        <f>_xlfn.NUMBERVALUE("-0.001549")</f>
        <v/>
      </c>
      <c r="C1802" s="2">
        <f>_xlfn.NUMBERVALUE("0.000244")</f>
        <v/>
      </c>
      <c r="D1802">
        <f>_xlfn.NUMBERVALUE("-0.003242")</f>
        <v/>
      </c>
      <c r="E1802">
        <f>_xlfn.NUMBERVALUE("-0.010838")</f>
        <v/>
      </c>
      <c r="F1802">
        <f>_xlfn.NUMBERVALUE("-0.000279")</f>
        <v/>
      </c>
      <c r="G1802">
        <f>_xlfn.NUMBERVALUE("-0.002574")</f>
        <v/>
      </c>
      <c r="H1802">
        <f>_xlfn.NUMBERVALUE("-0.000676")</f>
        <v/>
      </c>
      <c r="I1802">
        <f>_xlfn.NUMBERVALUE("0.000319")</f>
        <v/>
      </c>
      <c r="J1802">
        <f>_xlfn.NUMBERVALUE("-0.000020")</f>
        <v/>
      </c>
      <c r="K1802">
        <f>_xlfn.NUMBERVALUE("0.001147")</f>
        <v/>
      </c>
      <c r="L1802">
        <f>_xlfn.NUMBERVALUE("-0.000622")</f>
        <v/>
      </c>
      <c r="M1802">
        <f>_xlfn.NUMBERVALUE("-0.002015")</f>
        <v/>
      </c>
      <c r="N1802">
        <f>_xlfn.NUMBERVALUE("-0.000712")</f>
        <v/>
      </c>
      <c r="O1802">
        <f>_xlfn.NUMBERVALUE("0.001749")</f>
        <v/>
      </c>
      <c r="P1802">
        <f>_xlfn.NUMBERVALUE("-0.000592")</f>
        <v/>
      </c>
      <c r="Q1802">
        <f>_xlfn.NUMBERVALUE("-0.001074")</f>
        <v/>
      </c>
      <c r="R1802">
        <f>_xlfn.NUMBERVALUE("0.000442")</f>
        <v/>
      </c>
      <c r="S1802">
        <f>_xlfn.NUMBERVALUE("-0.004369")</f>
        <v/>
      </c>
      <c r="T1802">
        <f>_xlfn.NUMBERVALUE("0.000057")</f>
        <v/>
      </c>
      <c r="U1802">
        <f>_xlfn.NUMBERVALUE("0.000046")</f>
        <v/>
      </c>
      <c r="V1802">
        <f>_xlfn.NUMBERVALUE("0.000134")</f>
        <v/>
      </c>
      <c r="W1802">
        <f>_xlfn.NUMBERVALUE("0.010681")</f>
        <v/>
      </c>
      <c r="X1802">
        <f>_xlfn.NUMBERVALUE("-0.700000")</f>
        <v/>
      </c>
      <c r="Y1802">
        <f>_xlfn.NUMBERVALUE("30.320000")</f>
        <v/>
      </c>
    </row>
    <row r="1803">
      <c r="A1803" s="1" t="n">
        <v>44617</v>
      </c>
      <c r="B1803">
        <f>_xlfn.NUMBERVALUE("0.007035")</f>
        <v/>
      </c>
      <c r="C1803" s="2">
        <f>_xlfn.NUMBERVALUE("0.000532")</f>
        <v/>
      </c>
      <c r="D1803">
        <f>_xlfn.NUMBERVALUE("0.002313")</f>
        <v/>
      </c>
      <c r="E1803">
        <f>_xlfn.NUMBERVALUE("0.015693")</f>
        <v/>
      </c>
      <c r="F1803">
        <f>_xlfn.NUMBERVALUE("0.000370")</f>
        <v/>
      </c>
      <c r="G1803">
        <f>_xlfn.NUMBERVALUE("0.002128")</f>
        <v/>
      </c>
      <c r="H1803">
        <f>_xlfn.NUMBERVALUE("0.001123")</f>
        <v/>
      </c>
      <c r="I1803">
        <f>_xlfn.NUMBERVALUE("0.000161")</f>
        <v/>
      </c>
      <c r="J1803">
        <f>_xlfn.NUMBERVALUE("0.000255")</f>
        <v/>
      </c>
      <c r="K1803">
        <f>_xlfn.NUMBERVALUE("0.000103")</f>
        <v/>
      </c>
      <c r="L1803">
        <f>_xlfn.NUMBERVALUE("0.002923")</f>
        <v/>
      </c>
      <c r="M1803">
        <f>_xlfn.NUMBERVALUE("-0.002848")</f>
        <v/>
      </c>
      <c r="N1803">
        <f>_xlfn.NUMBERVALUE("0.001689")</f>
        <v/>
      </c>
      <c r="O1803">
        <f>_xlfn.NUMBERVALUE("0.004760")</f>
        <v/>
      </c>
      <c r="P1803">
        <f>_xlfn.NUMBERVALUE("-0.000374")</f>
        <v/>
      </c>
      <c r="Q1803">
        <f>_xlfn.NUMBERVALUE("0.002659")</f>
        <v/>
      </c>
      <c r="R1803">
        <f>_xlfn.NUMBERVALUE("0.002783")</f>
        <v/>
      </c>
      <c r="S1803">
        <f>_xlfn.NUMBERVALUE("-0.007245")</f>
        <v/>
      </c>
      <c r="T1803">
        <f>_xlfn.NUMBERVALUE("-0.003993")</f>
        <v/>
      </c>
      <c r="U1803">
        <f>_xlfn.NUMBERVALUE("0.004608")</f>
        <v/>
      </c>
      <c r="V1803">
        <f>_xlfn.NUMBERVALUE("0.000495")</f>
        <v/>
      </c>
      <c r="W1803">
        <f>_xlfn.NUMBERVALUE("0.024064")</f>
        <v/>
      </c>
      <c r="X1803">
        <f>_xlfn.NUMBERVALUE("-2.730000")</f>
        <v/>
      </c>
      <c r="Y1803">
        <f>_xlfn.NUMBERVALUE("27.590000")</f>
        <v/>
      </c>
    </row>
    <row r="1804">
      <c r="A1804" s="1" t="n">
        <v>44620</v>
      </c>
      <c r="B1804">
        <f>_xlfn.NUMBERVALUE("-0.007632")</f>
        <v/>
      </c>
      <c r="C1804" s="2">
        <f>_xlfn.NUMBERVALUE("-0.000787")</f>
        <v/>
      </c>
      <c r="D1804">
        <f>_xlfn.NUMBERVALUE("-0.000464")</f>
        <v/>
      </c>
      <c r="E1804">
        <f>_xlfn.NUMBERVALUE("-0.002316")</f>
        <v/>
      </c>
      <c r="F1804">
        <f>_xlfn.NUMBERVALUE("-0.000114")</f>
        <v/>
      </c>
      <c r="G1804">
        <f>_xlfn.NUMBERVALUE("0.002565")</f>
        <v/>
      </c>
      <c r="H1804">
        <f>_xlfn.NUMBERVALUE("-0.001867")</f>
        <v/>
      </c>
      <c r="I1804">
        <f>_xlfn.NUMBERVALUE("0.001567")</f>
        <v/>
      </c>
      <c r="J1804">
        <f>_xlfn.NUMBERVALUE("0.000313")</f>
        <v/>
      </c>
      <c r="K1804">
        <f>_xlfn.NUMBERVALUE("0.000830")</f>
        <v/>
      </c>
      <c r="L1804">
        <f>_xlfn.NUMBERVALUE("-0.005231")</f>
        <v/>
      </c>
      <c r="M1804">
        <f>_xlfn.NUMBERVALUE("-0.002110")</f>
        <v/>
      </c>
      <c r="N1804">
        <f>_xlfn.NUMBERVALUE("-0.001804")</f>
        <v/>
      </c>
      <c r="O1804">
        <f>_xlfn.NUMBERVALUE("-0.004452")</f>
        <v/>
      </c>
      <c r="P1804">
        <f>_xlfn.NUMBERVALUE("-0.003208")</f>
        <v/>
      </c>
      <c r="Q1804">
        <f>_xlfn.NUMBERVALUE("-0.004150")</f>
        <v/>
      </c>
      <c r="R1804">
        <f>_xlfn.NUMBERVALUE("-0.000982")</f>
        <v/>
      </c>
      <c r="S1804">
        <f>_xlfn.NUMBERVALUE("-0.002660")</f>
        <v/>
      </c>
      <c r="T1804">
        <f>_xlfn.NUMBERVALUE("-0.002234")</f>
        <v/>
      </c>
      <c r="U1804">
        <f>_xlfn.NUMBERVALUE("-0.003503")</f>
        <v/>
      </c>
      <c r="V1804">
        <f>_xlfn.NUMBERVALUE("-0.000116")</f>
        <v/>
      </c>
      <c r="W1804">
        <f>_xlfn.NUMBERVALUE("-0.005835")</f>
        <v/>
      </c>
      <c r="X1804">
        <f>_xlfn.NUMBERVALUE("2.560000")</f>
        <v/>
      </c>
      <c r="Y1804">
        <f>_xlfn.NUMBERVALUE("30.150000")</f>
        <v/>
      </c>
    </row>
    <row r="1805">
      <c r="A1805" s="1" t="n">
        <v>44621</v>
      </c>
      <c r="B1805">
        <f>_xlfn.NUMBERVALUE("-0.004689")</f>
        <v/>
      </c>
      <c r="C1805" s="2">
        <f>_xlfn.NUMBERVALUE("0.000118")</f>
        <v/>
      </c>
      <c r="D1805">
        <f>_xlfn.NUMBERVALUE("-0.000416")</f>
        <v/>
      </c>
      <c r="E1805">
        <f>_xlfn.NUMBERVALUE("-0.000880")</f>
        <v/>
      </c>
      <c r="F1805">
        <f>_xlfn.NUMBERVALUE("-0.000350")</f>
        <v/>
      </c>
      <c r="G1805">
        <f>_xlfn.NUMBERVALUE("0.000167")</f>
        <v/>
      </c>
      <c r="H1805">
        <f>_xlfn.NUMBERVALUE("-0.004354")</f>
        <v/>
      </c>
      <c r="I1805">
        <f>_xlfn.NUMBERVALUE("-0.002055")</f>
        <v/>
      </c>
      <c r="J1805">
        <f>_xlfn.NUMBERVALUE("-0.001757")</f>
        <v/>
      </c>
      <c r="K1805">
        <f>_xlfn.NUMBERVALUE("-0.000900")</f>
        <v/>
      </c>
      <c r="L1805">
        <f>_xlfn.NUMBERVALUE("-0.003608")</f>
        <v/>
      </c>
      <c r="M1805">
        <f>_xlfn.NUMBERVALUE("-0.002487")</f>
        <v/>
      </c>
      <c r="N1805">
        <f>_xlfn.NUMBERVALUE("-0.001412")</f>
        <v/>
      </c>
      <c r="O1805">
        <f>_xlfn.NUMBERVALUE("-0.004314")</f>
        <v/>
      </c>
      <c r="P1805">
        <f>_xlfn.NUMBERVALUE("-0.004296")</f>
        <v/>
      </c>
      <c r="Q1805">
        <f>_xlfn.NUMBERVALUE("-0.002568")</f>
        <v/>
      </c>
      <c r="R1805">
        <f>_xlfn.NUMBERVALUE("-0.001588")</f>
        <v/>
      </c>
      <c r="S1805">
        <f>_xlfn.NUMBERVALUE("-0.000408")</f>
        <v/>
      </c>
      <c r="T1805">
        <f>_xlfn.NUMBERVALUE("-0.000864")</f>
        <v/>
      </c>
      <c r="U1805">
        <f>_xlfn.NUMBERVALUE("-0.001186")</f>
        <v/>
      </c>
      <c r="V1805">
        <f>_xlfn.NUMBERVALUE("-0.000270")</f>
        <v/>
      </c>
      <c r="W1805">
        <f>_xlfn.NUMBERVALUE("-0.013510")</f>
        <v/>
      </c>
      <c r="X1805">
        <f>_xlfn.NUMBERVALUE("3.170000")</f>
        <v/>
      </c>
      <c r="Y1805">
        <f>_xlfn.NUMBERVALUE("33.320000")</f>
        <v/>
      </c>
    </row>
    <row r="1806">
      <c r="A1806" s="1" t="n">
        <v>44622</v>
      </c>
      <c r="B1806">
        <f>_xlfn.NUMBERVALUE("0.016284")</f>
        <v/>
      </c>
      <c r="C1806" s="2">
        <f>_xlfn.NUMBERVALUE("0.000305")</f>
        <v/>
      </c>
      <c r="D1806">
        <f>_xlfn.NUMBERVALUE("0.000272")</f>
        <v/>
      </c>
      <c r="E1806">
        <f>_xlfn.NUMBERVALUE("0.000472")</f>
        <v/>
      </c>
      <c r="F1806">
        <f>_xlfn.NUMBERVALUE("0.000080")</f>
        <v/>
      </c>
      <c r="G1806">
        <f>_xlfn.NUMBERVALUE("0.000270")</f>
        <v/>
      </c>
      <c r="H1806">
        <f>_xlfn.NUMBERVALUE("-0.004093")</f>
        <v/>
      </c>
      <c r="I1806">
        <f>_xlfn.NUMBERVALUE("-0.003470")</f>
        <v/>
      </c>
      <c r="J1806">
        <f>_xlfn.NUMBERVALUE("0.002243")</f>
        <v/>
      </c>
      <c r="K1806">
        <f>_xlfn.NUMBERVALUE("-0.000113")</f>
        <v/>
      </c>
      <c r="L1806">
        <f>_xlfn.NUMBERVALUE("-0.008476")</f>
        <v/>
      </c>
      <c r="M1806">
        <f>_xlfn.NUMBERVALUE("-0.003003")</f>
        <v/>
      </c>
      <c r="N1806">
        <f>_xlfn.NUMBERVALUE("0.004994")</f>
        <v/>
      </c>
      <c r="O1806">
        <f>_xlfn.NUMBERVALUE("-0.002118")</f>
        <v/>
      </c>
      <c r="P1806">
        <f>_xlfn.NUMBERVALUE("0.001728")</f>
        <v/>
      </c>
      <c r="Q1806">
        <f>_xlfn.NUMBERVALUE("-0.000621")</f>
        <v/>
      </c>
      <c r="R1806">
        <f>_xlfn.NUMBERVALUE("0.000953")</f>
        <v/>
      </c>
      <c r="S1806">
        <f>_xlfn.NUMBERVALUE("0.001085")</f>
        <v/>
      </c>
      <c r="T1806">
        <f>_xlfn.NUMBERVALUE("-0.000056")</f>
        <v/>
      </c>
      <c r="U1806">
        <f>_xlfn.NUMBERVALUE("0.003052")</f>
        <v/>
      </c>
      <c r="V1806">
        <f>_xlfn.NUMBERVALUE("0.000347")</f>
        <v/>
      </c>
      <c r="W1806">
        <f>_xlfn.NUMBERVALUE("0.024101")</f>
        <v/>
      </c>
      <c r="X1806">
        <f>_xlfn.NUMBERVALUE("-2.580000")</f>
        <v/>
      </c>
      <c r="Y1806">
        <f>_xlfn.NUMBERVALUE("30.740000")</f>
        <v/>
      </c>
    </row>
    <row r="1807">
      <c r="A1807" s="1" t="n">
        <v>44623</v>
      </c>
      <c r="B1807">
        <f>_xlfn.NUMBERVALUE("-0.011498")</f>
        <v/>
      </c>
      <c r="C1807" s="2">
        <f>_xlfn.NUMBERVALUE("-0.000007")</f>
        <v/>
      </c>
      <c r="D1807">
        <f>_xlfn.NUMBERVALUE("0.000225")</f>
        <v/>
      </c>
      <c r="E1807">
        <f>_xlfn.NUMBERVALUE("-0.000110")</f>
        <v/>
      </c>
      <c r="F1807">
        <f>_xlfn.NUMBERVALUE("0.000162")</f>
        <v/>
      </c>
      <c r="G1807">
        <f>_xlfn.NUMBERVALUE("0.000433")</f>
        <v/>
      </c>
      <c r="H1807">
        <f>_xlfn.NUMBERVALUE("0.002176")</f>
        <v/>
      </c>
      <c r="I1807">
        <f>_xlfn.NUMBERVALUE("0.002073")</f>
        <v/>
      </c>
      <c r="J1807">
        <f>_xlfn.NUMBERVALUE("-0.000096")</f>
        <v/>
      </c>
      <c r="K1807">
        <f>_xlfn.NUMBERVALUE("-0.000182")</f>
        <v/>
      </c>
      <c r="L1807">
        <f>_xlfn.NUMBERVALUE("0.002220")</f>
        <v/>
      </c>
      <c r="M1807">
        <f>_xlfn.NUMBERVALUE("0.002733")</f>
        <v/>
      </c>
      <c r="N1807">
        <f>_xlfn.NUMBERVALUE("-0.000737")</f>
        <v/>
      </c>
      <c r="O1807">
        <f>_xlfn.NUMBERVALUE("0.003124")</f>
        <v/>
      </c>
      <c r="P1807">
        <f>_xlfn.NUMBERVALUE("-0.000229")</f>
        <v/>
      </c>
      <c r="Q1807">
        <f>_xlfn.NUMBERVALUE("0.002188")</f>
        <v/>
      </c>
      <c r="R1807">
        <f>_xlfn.NUMBERVALUE("-0.002293")</f>
        <v/>
      </c>
      <c r="S1807">
        <f>_xlfn.NUMBERVALUE("0.000341")</f>
        <v/>
      </c>
      <c r="T1807">
        <f>_xlfn.NUMBERVALUE("-0.003836")</f>
        <v/>
      </c>
      <c r="U1807">
        <f>_xlfn.NUMBERVALUE("-0.005511")</f>
        <v/>
      </c>
      <c r="V1807">
        <f>_xlfn.NUMBERVALUE("0.000012")</f>
        <v/>
      </c>
      <c r="W1807">
        <f>_xlfn.NUMBERVALUE("-0.010730")</f>
        <v/>
      </c>
      <c r="X1807">
        <f>_xlfn.NUMBERVALUE("-0.260000")</f>
        <v/>
      </c>
      <c r="Y1807">
        <f>_xlfn.NUMBERVALUE("30.480000")</f>
        <v/>
      </c>
    </row>
    <row r="1808">
      <c r="A1808" s="1" t="n">
        <v>44624</v>
      </c>
      <c r="B1808">
        <f>_xlfn.NUMBERVALUE("-0.001550")</f>
        <v/>
      </c>
      <c r="C1808" s="2">
        <f>_xlfn.NUMBERVALUE("-0.000002")</f>
        <v/>
      </c>
      <c r="D1808">
        <f>_xlfn.NUMBERVALUE("-0.000002")</f>
        <v/>
      </c>
      <c r="E1808">
        <f>_xlfn.NUMBERVALUE("0.000493")</f>
        <v/>
      </c>
      <c r="F1808">
        <f>_xlfn.NUMBERVALUE("-0.000191")</f>
        <v/>
      </c>
      <c r="G1808">
        <f>_xlfn.NUMBERVALUE("-0.000055")</f>
        <v/>
      </c>
      <c r="H1808">
        <f>_xlfn.NUMBERVALUE("-0.001919")</f>
        <v/>
      </c>
      <c r="I1808">
        <f>_xlfn.NUMBERVALUE("-0.000311")</f>
        <v/>
      </c>
      <c r="J1808">
        <f>_xlfn.NUMBERVALUE("0.000116")</f>
        <v/>
      </c>
      <c r="K1808">
        <f>_xlfn.NUMBERVALUE("-0.000039")</f>
        <v/>
      </c>
      <c r="L1808">
        <f>_xlfn.NUMBERVALUE("0.001137")</f>
        <v/>
      </c>
      <c r="M1808">
        <f>_xlfn.NUMBERVALUE("0.003092")</f>
        <v/>
      </c>
      <c r="N1808">
        <f>_xlfn.NUMBERVALUE("-0.000235")</f>
        <v/>
      </c>
      <c r="O1808">
        <f>_xlfn.NUMBERVALUE("-0.004990")</f>
        <v/>
      </c>
      <c r="P1808">
        <f>_xlfn.NUMBERVALUE("-0.000549")</f>
        <v/>
      </c>
      <c r="Q1808">
        <f>_xlfn.NUMBERVALUE("0.002441")</f>
        <v/>
      </c>
      <c r="R1808">
        <f>_xlfn.NUMBERVALUE("0.000636")</f>
        <v/>
      </c>
      <c r="S1808">
        <f>_xlfn.NUMBERVALUE("0.001230")</f>
        <v/>
      </c>
      <c r="T1808">
        <f>_xlfn.NUMBERVALUE("-0.003678")</f>
        <v/>
      </c>
      <c r="U1808">
        <f>_xlfn.NUMBERVALUE("0.000235")</f>
        <v/>
      </c>
      <c r="V1808">
        <f>_xlfn.NUMBERVALUE("-0.000004")</f>
        <v/>
      </c>
      <c r="W1808">
        <f>_xlfn.NUMBERVALUE("-0.003961")</f>
        <v/>
      </c>
      <c r="X1808">
        <f>_xlfn.NUMBERVALUE("1.500000")</f>
        <v/>
      </c>
      <c r="Y1808">
        <f>_xlfn.NUMBERVALUE("31.980000")</f>
        <v/>
      </c>
    </row>
    <row r="1809">
      <c r="A1809" s="1" t="n">
        <v>44627</v>
      </c>
      <c r="B1809">
        <f>_xlfn.NUMBERVALUE("0.002801")</f>
        <v/>
      </c>
      <c r="C1809" s="2">
        <f>_xlfn.NUMBERVALUE("-0.002406")</f>
        <v/>
      </c>
      <c r="D1809">
        <f>_xlfn.NUMBERVALUE("0.000175")</f>
        <v/>
      </c>
      <c r="E1809">
        <f>_xlfn.NUMBERVALUE("-0.001734")</f>
        <v/>
      </c>
      <c r="F1809">
        <f>_xlfn.NUMBERVALUE("-0.004479")</f>
        <v/>
      </c>
      <c r="G1809">
        <f>_xlfn.NUMBERVALUE("-0.005233")</f>
        <v/>
      </c>
      <c r="H1809">
        <f>_xlfn.NUMBERVALUE("-0.000682")</f>
        <v/>
      </c>
      <c r="I1809">
        <f>_xlfn.NUMBERVALUE("-0.002517")</f>
        <v/>
      </c>
      <c r="J1809">
        <f>_xlfn.NUMBERVALUE("-0.001301")</f>
        <v/>
      </c>
      <c r="K1809">
        <f>_xlfn.NUMBERVALUE("-0.005256")</f>
        <v/>
      </c>
      <c r="L1809">
        <f>_xlfn.NUMBERVALUE("0.004634")</f>
        <v/>
      </c>
      <c r="M1809">
        <f>_xlfn.NUMBERVALUE("-0.003429")</f>
        <v/>
      </c>
      <c r="N1809">
        <f>_xlfn.NUMBERVALUE("-0.007915")</f>
        <v/>
      </c>
      <c r="O1809">
        <f>_xlfn.NUMBERVALUE("0.001819")</f>
        <v/>
      </c>
      <c r="P1809">
        <f>_xlfn.NUMBERVALUE("-0.000146")</f>
        <v/>
      </c>
      <c r="Q1809">
        <f>_xlfn.NUMBERVALUE("0.000225")</f>
        <v/>
      </c>
      <c r="R1809">
        <f>_xlfn.NUMBERVALUE("-0.000711")</f>
        <v/>
      </c>
      <c r="S1809">
        <f>_xlfn.NUMBERVALUE("0.000148")</f>
        <v/>
      </c>
      <c r="T1809">
        <f>_xlfn.NUMBERVALUE("-0.000900")</f>
        <v/>
      </c>
      <c r="U1809">
        <f>_xlfn.NUMBERVALUE("-0.001434")</f>
        <v/>
      </c>
      <c r="V1809">
        <f>_xlfn.NUMBERVALUE("-0.002365")</f>
        <v/>
      </c>
      <c r="W1809">
        <f>_xlfn.NUMBERVALUE("-0.023305")</f>
        <v/>
      </c>
      <c r="X1809">
        <f>_xlfn.NUMBERVALUE("4.470000")</f>
        <v/>
      </c>
      <c r="Y1809">
        <f>_xlfn.NUMBERVALUE("36.450000")</f>
        <v/>
      </c>
    </row>
    <row r="1810">
      <c r="A1810" s="1" t="n">
        <v>44628</v>
      </c>
      <c r="B1810">
        <f>_xlfn.NUMBERVALUE("0.009644")</f>
        <v/>
      </c>
      <c r="C1810" s="2">
        <f>_xlfn.NUMBERVALUE("0.001551")</f>
        <v/>
      </c>
      <c r="D1810">
        <f>_xlfn.NUMBERVALUE("0.003538")</f>
        <v/>
      </c>
      <c r="E1810">
        <f>_xlfn.NUMBERVALUE("0.006557")</f>
        <v/>
      </c>
      <c r="F1810">
        <f>_xlfn.NUMBERVALUE("-0.003394")</f>
        <v/>
      </c>
      <c r="G1810">
        <f>_xlfn.NUMBERVALUE("0.002509")</f>
        <v/>
      </c>
      <c r="H1810">
        <f>_xlfn.NUMBERVALUE("0.000866")</f>
        <v/>
      </c>
      <c r="I1810">
        <f>_xlfn.NUMBERVALUE("0.002189")</f>
        <v/>
      </c>
      <c r="J1810">
        <f>_xlfn.NUMBERVALUE("-0.000785")</f>
        <v/>
      </c>
      <c r="K1810">
        <f>_xlfn.NUMBERVALUE("-0.006033")</f>
        <v/>
      </c>
      <c r="L1810">
        <f>_xlfn.NUMBERVALUE("0.002394")</f>
        <v/>
      </c>
      <c r="M1810">
        <f>_xlfn.NUMBERVALUE("0.000672")</f>
        <v/>
      </c>
      <c r="N1810">
        <f>_xlfn.NUMBERVALUE("0.002803")</f>
        <v/>
      </c>
      <c r="O1810">
        <f>_xlfn.NUMBERVALUE("-0.000165")</f>
        <v/>
      </c>
      <c r="P1810">
        <f>_xlfn.NUMBERVALUE("0.000037")</f>
        <v/>
      </c>
      <c r="Q1810">
        <f>_xlfn.NUMBERVALUE("0.001435")</f>
        <v/>
      </c>
      <c r="R1810">
        <f>_xlfn.NUMBERVALUE("0.000206")</f>
        <v/>
      </c>
      <c r="S1810">
        <f>_xlfn.NUMBERVALUE("-0.004143")</f>
        <v/>
      </c>
      <c r="T1810">
        <f>_xlfn.NUMBERVALUE("0.000725")</f>
        <v/>
      </c>
      <c r="U1810">
        <f>_xlfn.NUMBERVALUE("-0.000010")</f>
        <v/>
      </c>
      <c r="V1810">
        <f>_xlfn.NUMBERVALUE("0.002245")</f>
        <v/>
      </c>
      <c r="W1810">
        <f>_xlfn.NUMBERVALUE("-0.007344")</f>
        <v/>
      </c>
      <c r="X1810">
        <f>_xlfn.NUMBERVALUE("-1.320000")</f>
        <v/>
      </c>
      <c r="Y1810">
        <f>_xlfn.NUMBERVALUE("35.130000")</f>
        <v/>
      </c>
    </row>
    <row r="1811">
      <c r="A1811" s="1" t="n">
        <v>44629</v>
      </c>
      <c r="B1811">
        <f>_xlfn.NUMBERVALUE("0.002407")</f>
        <v/>
      </c>
      <c r="C1811" s="2">
        <f>_xlfn.NUMBERVALUE("0.001061")</f>
        <v/>
      </c>
      <c r="D1811">
        <f>_xlfn.NUMBERVALUE("0.002509")</f>
        <v/>
      </c>
      <c r="E1811">
        <f>_xlfn.NUMBERVALUE("-0.009127")</f>
        <v/>
      </c>
      <c r="F1811">
        <f>_xlfn.NUMBERVALUE("0.003455")</f>
        <v/>
      </c>
      <c r="G1811">
        <f>_xlfn.NUMBERVALUE("0.002959")</f>
        <v/>
      </c>
      <c r="H1811">
        <f>_xlfn.NUMBERVALUE("0.002119")</f>
        <v/>
      </c>
      <c r="I1811">
        <f>_xlfn.NUMBERVALUE("0.001052")</f>
        <v/>
      </c>
      <c r="J1811">
        <f>_xlfn.NUMBERVALUE("0.001457")</f>
        <v/>
      </c>
      <c r="K1811">
        <f>_xlfn.NUMBERVALUE("0.005541")</f>
        <v/>
      </c>
      <c r="L1811">
        <f>_xlfn.NUMBERVALUE("0.003901")</f>
        <v/>
      </c>
      <c r="M1811">
        <f>_xlfn.NUMBERVALUE("0.003292")</f>
        <v/>
      </c>
      <c r="N1811">
        <f>_xlfn.NUMBERVALUE("0.002350")</f>
        <v/>
      </c>
      <c r="O1811">
        <f>_xlfn.NUMBERVALUE("0.000107")</f>
        <v/>
      </c>
      <c r="P1811">
        <f>_xlfn.NUMBERVALUE("0.000038")</f>
        <v/>
      </c>
      <c r="Q1811">
        <f>_xlfn.NUMBERVALUE("0.001654")</f>
        <v/>
      </c>
      <c r="R1811">
        <f>_xlfn.NUMBERVALUE("0.000007")</f>
        <v/>
      </c>
      <c r="S1811">
        <f>_xlfn.NUMBERVALUE("0.000261")</f>
        <v/>
      </c>
      <c r="T1811">
        <f>_xlfn.NUMBERVALUE("0.000016")</f>
        <v/>
      </c>
      <c r="U1811">
        <f>_xlfn.NUMBERVALUE("0.000098")</f>
        <v/>
      </c>
      <c r="V1811">
        <f>_xlfn.NUMBERVALUE("-0.001177")</f>
        <v/>
      </c>
      <c r="W1811">
        <f>_xlfn.NUMBERVALUE("0.026432")</f>
        <v/>
      </c>
      <c r="X1811">
        <f>_xlfn.NUMBERVALUE("-2.680000")</f>
        <v/>
      </c>
      <c r="Y1811">
        <f>_xlfn.NUMBERVALUE("32.450000")</f>
        <v/>
      </c>
    </row>
    <row r="1812">
      <c r="A1812" s="1" t="n">
        <v>44630</v>
      </c>
      <c r="B1812">
        <f>_xlfn.NUMBERVALUE("-0.002498")</f>
        <v/>
      </c>
      <c r="C1812" s="2">
        <f>_xlfn.NUMBERVALUE("0.003020")</f>
        <v/>
      </c>
      <c r="D1812">
        <f>_xlfn.NUMBERVALUE("0.001571")</f>
        <v/>
      </c>
      <c r="E1812">
        <f>_xlfn.NUMBERVALUE("0.004545")</f>
        <v/>
      </c>
      <c r="F1812">
        <f>_xlfn.NUMBERVALUE("0.004654")</f>
        <v/>
      </c>
      <c r="G1812">
        <f>_xlfn.NUMBERVALUE("-0.000351")</f>
        <v/>
      </c>
      <c r="H1812">
        <f>_xlfn.NUMBERVALUE("0.000153")</f>
        <v/>
      </c>
      <c r="I1812">
        <f>_xlfn.NUMBERVALUE("0.002548")</f>
        <v/>
      </c>
      <c r="J1812">
        <f>_xlfn.NUMBERVALUE("0.000028")</f>
        <v/>
      </c>
      <c r="K1812">
        <f>_xlfn.NUMBERVALUE("0.004689")</f>
        <v/>
      </c>
      <c r="L1812">
        <f>_xlfn.NUMBERVALUE("-0.000162")</f>
        <v/>
      </c>
      <c r="M1812">
        <f>_xlfn.NUMBERVALUE("-0.001790")</f>
        <v/>
      </c>
      <c r="N1812">
        <f>_xlfn.NUMBERVALUE("-0.000276")</f>
        <v/>
      </c>
      <c r="O1812">
        <f>_xlfn.NUMBERVALUE("0.003039")</f>
        <v/>
      </c>
      <c r="P1812">
        <f>_xlfn.NUMBERVALUE("0.003107")</f>
        <v/>
      </c>
      <c r="Q1812">
        <f>_xlfn.NUMBERVALUE("0.003562")</f>
        <v/>
      </c>
      <c r="R1812">
        <f>_xlfn.NUMBERVALUE("0.002709")</f>
        <v/>
      </c>
      <c r="S1812">
        <f>_xlfn.NUMBERVALUE("0.002351")</f>
        <v/>
      </c>
      <c r="T1812">
        <f>_xlfn.NUMBERVALUE("0.002759")</f>
        <v/>
      </c>
      <c r="U1812">
        <f>_xlfn.NUMBERVALUE("0.003278")</f>
        <v/>
      </c>
      <c r="V1812">
        <f>_xlfn.NUMBERVALUE("0.002368")</f>
        <v/>
      </c>
      <c r="W1812">
        <f>_xlfn.NUMBERVALUE("-0.008910")</f>
        <v/>
      </c>
      <c r="X1812">
        <f>_xlfn.NUMBERVALUE("-2.220000")</f>
        <v/>
      </c>
      <c r="Y1812">
        <f>_xlfn.NUMBERVALUE("30.230000")</f>
        <v/>
      </c>
    </row>
    <row r="1813">
      <c r="A1813" s="1" t="n">
        <v>44631</v>
      </c>
      <c r="B1813">
        <f>_xlfn.NUMBERVALUE("-0.006442")</f>
        <v/>
      </c>
      <c r="C1813" s="2">
        <f>_xlfn.NUMBERVALUE("0.002006")</f>
        <v/>
      </c>
      <c r="D1813">
        <f>_xlfn.NUMBERVALUE("-0.001295")</f>
        <v/>
      </c>
      <c r="E1813">
        <f>_xlfn.NUMBERVALUE("0.001816")</f>
        <v/>
      </c>
      <c r="F1813">
        <f>_xlfn.NUMBERVALUE("0.002962")</f>
        <v/>
      </c>
      <c r="G1813">
        <f>_xlfn.NUMBERVALUE("-0.001360")</f>
        <v/>
      </c>
      <c r="H1813">
        <f>_xlfn.NUMBERVALUE("0.001158")</f>
        <v/>
      </c>
      <c r="I1813">
        <f>_xlfn.NUMBERVALUE("0.001479")</f>
        <v/>
      </c>
      <c r="J1813">
        <f>_xlfn.NUMBERVALUE("0.001687")</f>
        <v/>
      </c>
      <c r="K1813">
        <f>_xlfn.NUMBERVALUE("0.005333")</f>
        <v/>
      </c>
      <c r="L1813">
        <f>_xlfn.NUMBERVALUE("0.002055")</f>
        <v/>
      </c>
      <c r="M1813">
        <f>_xlfn.NUMBERVALUE("0.005774")</f>
        <v/>
      </c>
      <c r="N1813">
        <f>_xlfn.NUMBERVALUE("0.000318")</f>
        <v/>
      </c>
      <c r="O1813">
        <f>_xlfn.NUMBERVALUE("0.001340")</f>
        <v/>
      </c>
      <c r="P1813">
        <f>_xlfn.NUMBERVALUE("0.001623")</f>
        <v/>
      </c>
      <c r="Q1813">
        <f>_xlfn.NUMBERVALUE("0.001773")</f>
        <v/>
      </c>
      <c r="R1813">
        <f>_xlfn.NUMBERVALUE("0.001448")</f>
        <v/>
      </c>
      <c r="S1813">
        <f>_xlfn.NUMBERVALUE("0.001316")</f>
        <v/>
      </c>
      <c r="T1813">
        <f>_xlfn.NUMBERVALUE("0.001695")</f>
        <v/>
      </c>
      <c r="U1813">
        <f>_xlfn.NUMBERVALUE("0.001441")</f>
        <v/>
      </c>
      <c r="V1813">
        <f>_xlfn.NUMBERVALUE("0.001250")</f>
        <v/>
      </c>
      <c r="W1813">
        <f>_xlfn.NUMBERVALUE("-0.009273")</f>
        <v/>
      </c>
      <c r="X1813">
        <f>_xlfn.NUMBERVALUE("0.520000")</f>
        <v/>
      </c>
      <c r="Y1813">
        <f>_xlfn.NUMBERVALUE("30.750000")</f>
        <v/>
      </c>
    </row>
    <row r="1814">
      <c r="A1814" s="1" t="n">
        <v>44634</v>
      </c>
      <c r="B1814">
        <f>_xlfn.NUMBERVALUE("-0.009651")</f>
        <v/>
      </c>
      <c r="C1814" s="2">
        <f>_xlfn.NUMBERVALUE("-0.000907")</f>
        <v/>
      </c>
      <c r="D1814">
        <f>_xlfn.NUMBERVALUE("-0.003737")</f>
        <v/>
      </c>
      <c r="E1814">
        <f>_xlfn.NUMBERVALUE("-0.001278")</f>
        <v/>
      </c>
      <c r="F1814">
        <f>_xlfn.NUMBERVALUE("-0.000230")</f>
        <v/>
      </c>
      <c r="G1814">
        <f>_xlfn.NUMBERVALUE("-0.001003")</f>
        <v/>
      </c>
      <c r="H1814">
        <f>_xlfn.NUMBERVALUE("-0.001078")</f>
        <v/>
      </c>
      <c r="I1814">
        <f>_xlfn.NUMBERVALUE("0.000614")</f>
        <v/>
      </c>
      <c r="J1814">
        <f>_xlfn.NUMBERVALUE("-0.002139")</f>
        <v/>
      </c>
      <c r="K1814">
        <f>_xlfn.NUMBERVALUE("0.002260")</f>
        <v/>
      </c>
      <c r="L1814">
        <f>_xlfn.NUMBERVALUE("-0.002655")</f>
        <v/>
      </c>
      <c r="M1814">
        <f>_xlfn.NUMBERVALUE("-0.002605")</f>
        <v/>
      </c>
      <c r="N1814">
        <f>_xlfn.NUMBERVALUE("-0.000010")</f>
        <v/>
      </c>
      <c r="O1814">
        <f>_xlfn.NUMBERVALUE("-0.000758")</f>
        <v/>
      </c>
      <c r="P1814">
        <f>_xlfn.NUMBERVALUE("0.000192")</f>
        <v/>
      </c>
      <c r="Q1814">
        <f>_xlfn.NUMBERVALUE("-0.001181")</f>
        <v/>
      </c>
      <c r="R1814">
        <f>_xlfn.NUMBERVALUE("-0.001439")</f>
        <v/>
      </c>
      <c r="S1814">
        <f>_xlfn.NUMBERVALUE("0.000616")</f>
        <v/>
      </c>
      <c r="T1814">
        <f>_xlfn.NUMBERVALUE("0.001882")</f>
        <v/>
      </c>
      <c r="U1814">
        <f>_xlfn.NUMBERVALUE("0.000108")</f>
        <v/>
      </c>
      <c r="V1814">
        <f>_xlfn.NUMBERVALUE("0.000750")</f>
        <v/>
      </c>
      <c r="W1814">
        <f>_xlfn.NUMBERVALUE("-0.009859")</f>
        <v/>
      </c>
      <c r="X1814">
        <f>_xlfn.NUMBERVALUE("1.020000")</f>
        <v/>
      </c>
      <c r="Y1814">
        <f>_xlfn.NUMBERVALUE("31.770000")</f>
        <v/>
      </c>
    </row>
    <row r="1815">
      <c r="A1815" s="1" t="n">
        <v>44635</v>
      </c>
      <c r="B1815">
        <f>_xlfn.NUMBERVALUE("0.001965")</f>
        <v/>
      </c>
      <c r="C1815" s="2">
        <f>_xlfn.NUMBERVALUE("-0.000225")</f>
        <v/>
      </c>
      <c r="D1815">
        <f>_xlfn.NUMBERVALUE("0.002793")</f>
        <v/>
      </c>
      <c r="E1815">
        <f>_xlfn.NUMBERVALUE("0.002909")</f>
        <v/>
      </c>
      <c r="F1815">
        <f>_xlfn.NUMBERVALUE("-0.004123")</f>
        <v/>
      </c>
      <c r="G1815">
        <f>_xlfn.NUMBERVALUE("0.001529")</f>
        <v/>
      </c>
      <c r="H1815">
        <f>_xlfn.NUMBERVALUE("-0.000115")</f>
        <v/>
      </c>
      <c r="I1815">
        <f>_xlfn.NUMBERVALUE("0.002817")</f>
        <v/>
      </c>
      <c r="J1815">
        <f>_xlfn.NUMBERVALUE("-0.000016")</f>
        <v/>
      </c>
      <c r="K1815">
        <f>_xlfn.NUMBERVALUE("0.000694")</f>
        <v/>
      </c>
      <c r="L1815">
        <f>_xlfn.NUMBERVALUE("-0.000123")</f>
        <v/>
      </c>
      <c r="M1815">
        <f>_xlfn.NUMBERVALUE("0.002242")</f>
        <v/>
      </c>
      <c r="N1815">
        <f>_xlfn.NUMBERVALUE("-0.000658")</f>
        <v/>
      </c>
      <c r="O1815">
        <f>_xlfn.NUMBERVALUE("0.002549")</f>
        <v/>
      </c>
      <c r="P1815">
        <f>_xlfn.NUMBERVALUE("0.002823")</f>
        <v/>
      </c>
      <c r="Q1815">
        <f>_xlfn.NUMBERVALUE("0.002232")</f>
        <v/>
      </c>
      <c r="R1815">
        <f>_xlfn.NUMBERVALUE("-0.000762")</f>
        <v/>
      </c>
      <c r="S1815">
        <f>_xlfn.NUMBERVALUE("-0.000655")</f>
        <v/>
      </c>
      <c r="T1815">
        <f>_xlfn.NUMBERVALUE("0.000526")</f>
        <v/>
      </c>
      <c r="U1815">
        <f>_xlfn.NUMBERVALUE("-0.002962")</f>
        <v/>
      </c>
      <c r="V1815">
        <f>_xlfn.NUMBERVALUE("-0.000477")</f>
        <v/>
      </c>
      <c r="W1815">
        <f>_xlfn.NUMBERVALUE("0.021089")</f>
        <v/>
      </c>
      <c r="X1815">
        <f>_xlfn.NUMBERVALUE("-1.940000")</f>
        <v/>
      </c>
      <c r="Y1815">
        <f>_xlfn.NUMBERVALUE("29.830000")</f>
        <v/>
      </c>
    </row>
    <row r="1816">
      <c r="A1816" s="1" t="n">
        <v>44636</v>
      </c>
      <c r="B1816">
        <f>_xlfn.NUMBERVALUE("-0.009436")</f>
        <v/>
      </c>
      <c r="C1816" s="2">
        <f>_xlfn.NUMBERVALUE("0.003932")</f>
        <v/>
      </c>
      <c r="D1816">
        <f>_xlfn.NUMBERVALUE("-0.025945")</f>
        <v/>
      </c>
      <c r="E1816">
        <f>_xlfn.NUMBERVALUE("-0.001802")</f>
        <v/>
      </c>
      <c r="F1816">
        <f>_xlfn.NUMBERVALUE("0.003959")</f>
        <v/>
      </c>
      <c r="G1816">
        <f>_xlfn.NUMBERVALUE("-0.000605")</f>
        <v/>
      </c>
      <c r="H1816">
        <f>_xlfn.NUMBERVALUE("0.000619")</f>
        <v/>
      </c>
      <c r="I1816">
        <f>_xlfn.NUMBERVALUE("-0.000353")</f>
        <v/>
      </c>
      <c r="J1816">
        <f>_xlfn.NUMBERVALUE("-0.003570")</f>
        <v/>
      </c>
      <c r="K1816">
        <f>_xlfn.NUMBERVALUE("0.004268")</f>
        <v/>
      </c>
      <c r="L1816">
        <f>_xlfn.NUMBERVALUE("0.002487")</f>
        <v/>
      </c>
      <c r="M1816">
        <f>_xlfn.NUMBERVALUE("0.000900")</f>
        <v/>
      </c>
      <c r="N1816">
        <f>_xlfn.NUMBERVALUE("0.000730")</f>
        <v/>
      </c>
      <c r="O1816">
        <f>_xlfn.NUMBERVALUE("0.006626")</f>
        <v/>
      </c>
      <c r="P1816">
        <f>_xlfn.NUMBERVALUE("0.003369")</f>
        <v/>
      </c>
      <c r="Q1816">
        <f>_xlfn.NUMBERVALUE("0.004891")</f>
        <v/>
      </c>
      <c r="R1816">
        <f>_xlfn.NUMBERVALUE("0.004004")</f>
        <v/>
      </c>
      <c r="S1816">
        <f>_xlfn.NUMBERVALUE("0.003758")</f>
        <v/>
      </c>
      <c r="T1816">
        <f>_xlfn.NUMBERVALUE("-0.000015")</f>
        <v/>
      </c>
      <c r="U1816">
        <f>_xlfn.NUMBERVALUE("0.000554")</f>
        <v/>
      </c>
      <c r="V1816">
        <f>_xlfn.NUMBERVALUE("0.002226")</f>
        <v/>
      </c>
      <c r="W1816">
        <f>_xlfn.NUMBERVALUE("0.017388")</f>
        <v/>
      </c>
      <c r="X1816">
        <f>_xlfn.NUMBERVALUE("-3.160000")</f>
        <v/>
      </c>
      <c r="Y1816">
        <f>_xlfn.NUMBERVALUE("26.670000")</f>
        <v/>
      </c>
    </row>
    <row r="1817">
      <c r="A1817" s="1" t="n">
        <v>44637</v>
      </c>
      <c r="B1817">
        <f>_xlfn.NUMBERVALUE("-0.007786")</f>
        <v/>
      </c>
      <c r="C1817" s="2">
        <f>_xlfn.NUMBERVALUE("-0.000601")</f>
        <v/>
      </c>
      <c r="D1817">
        <f>_xlfn.NUMBERVALUE("0.002073")</f>
        <v/>
      </c>
      <c r="E1817">
        <f>_xlfn.NUMBERVALUE("-0.000051")</f>
        <v/>
      </c>
      <c r="F1817">
        <f>_xlfn.NUMBERVALUE("0.001566")</f>
        <v/>
      </c>
      <c r="G1817">
        <f>_xlfn.NUMBERVALUE("0.000299")</f>
        <v/>
      </c>
      <c r="H1817">
        <f>_xlfn.NUMBERVALUE("-0.000057")</f>
        <v/>
      </c>
      <c r="I1817">
        <f>_xlfn.NUMBERVALUE("0.000386")</f>
        <v/>
      </c>
      <c r="J1817">
        <f>_xlfn.NUMBERVALUE("0.004543")</f>
        <v/>
      </c>
      <c r="K1817">
        <f>_xlfn.NUMBERVALUE("0.003215")</f>
        <v/>
      </c>
      <c r="L1817">
        <f>_xlfn.NUMBERVALUE("-0.000637")</f>
        <v/>
      </c>
      <c r="M1817">
        <f>_xlfn.NUMBERVALUE("0.001589")</f>
        <v/>
      </c>
      <c r="N1817">
        <f>_xlfn.NUMBERVALUE("0.001070")</f>
        <v/>
      </c>
      <c r="O1817">
        <f>_xlfn.NUMBERVALUE("-0.005894")</f>
        <v/>
      </c>
      <c r="P1817">
        <f>_xlfn.NUMBERVALUE("0.000717")</f>
        <v/>
      </c>
      <c r="Q1817">
        <f>_xlfn.NUMBERVALUE("-0.001174")</f>
        <v/>
      </c>
      <c r="R1817">
        <f>_xlfn.NUMBERVALUE("0.000709")</f>
        <v/>
      </c>
      <c r="S1817">
        <f>_xlfn.NUMBERVALUE("0.001778")</f>
        <v/>
      </c>
      <c r="T1817">
        <f>_xlfn.NUMBERVALUE("0.007478")</f>
        <v/>
      </c>
      <c r="U1817">
        <f>_xlfn.NUMBERVALUE("-0.004249")</f>
        <v/>
      </c>
      <c r="V1817">
        <f>_xlfn.NUMBERVALUE("-0.000854")</f>
        <v/>
      </c>
      <c r="W1817">
        <f>_xlfn.NUMBERVALUE("0.016906")</f>
        <v/>
      </c>
      <c r="X1817">
        <f>_xlfn.NUMBERVALUE("-1.000000")</f>
        <v/>
      </c>
      <c r="Y1817">
        <f>_xlfn.NUMBERVALUE("25.670000")</f>
        <v/>
      </c>
    </row>
    <row r="1818">
      <c r="A1818" s="1" t="n">
        <v>44638</v>
      </c>
      <c r="B1818">
        <f>_xlfn.NUMBERVALUE("0.003033")</f>
        <v/>
      </c>
      <c r="C1818" s="2">
        <f>_xlfn.NUMBERVALUE("-0.001430")</f>
        <v/>
      </c>
      <c r="D1818">
        <f>_xlfn.NUMBERVALUE("0.003499")</f>
        <v/>
      </c>
      <c r="E1818">
        <f>_xlfn.NUMBERVALUE("0.001754")</f>
        <v/>
      </c>
      <c r="F1818">
        <f>_xlfn.NUMBERVALUE("0.000097")</f>
        <v/>
      </c>
      <c r="G1818">
        <f>_xlfn.NUMBERVALUE("-0.000005")</f>
        <v/>
      </c>
      <c r="H1818">
        <f>_xlfn.NUMBERVALUE("-0.000257")</f>
        <v/>
      </c>
      <c r="I1818">
        <f>_xlfn.NUMBERVALUE("0.000647")</f>
        <v/>
      </c>
      <c r="J1818">
        <f>_xlfn.NUMBERVALUE("0.000681")</f>
        <v/>
      </c>
      <c r="K1818">
        <f>_xlfn.NUMBERVALUE("0.001193")</f>
        <v/>
      </c>
      <c r="L1818">
        <f>_xlfn.NUMBERVALUE("0.000498")</f>
        <v/>
      </c>
      <c r="M1818">
        <f>_xlfn.NUMBERVALUE("0.002827")</f>
        <v/>
      </c>
      <c r="N1818">
        <f>_xlfn.NUMBERVALUE("-0.000726")</f>
        <v/>
      </c>
      <c r="O1818">
        <f>_xlfn.NUMBERVALUE("0.004353")</f>
        <v/>
      </c>
      <c r="P1818">
        <f>_xlfn.NUMBERVALUE("0.002565")</f>
        <v/>
      </c>
      <c r="Q1818">
        <f>_xlfn.NUMBERVALUE("0.003143")</f>
        <v/>
      </c>
      <c r="R1818">
        <f>_xlfn.NUMBERVALUE("0.000248")</f>
        <v/>
      </c>
      <c r="S1818">
        <f>_xlfn.NUMBERVALUE("0.004610")</f>
        <v/>
      </c>
      <c r="T1818">
        <f>_xlfn.NUMBERVALUE("0.004209")</f>
        <v/>
      </c>
      <c r="U1818">
        <f>_xlfn.NUMBERVALUE("-0.000744")</f>
        <v/>
      </c>
      <c r="V1818">
        <f>_xlfn.NUMBERVALUE("-0.001297")</f>
        <v/>
      </c>
      <c r="W1818">
        <f>_xlfn.NUMBERVALUE("0.009289")</f>
        <v/>
      </c>
      <c r="X1818">
        <f>_xlfn.NUMBERVALUE("-1.800000")</f>
        <v/>
      </c>
      <c r="Y1818">
        <f>_xlfn.NUMBERVALUE("23.870000")</f>
        <v/>
      </c>
    </row>
    <row r="1819">
      <c r="A1819" s="1" t="n">
        <v>44641</v>
      </c>
      <c r="B1819">
        <f>_xlfn.NUMBERVALUE("0.010211")</f>
        <v/>
      </c>
      <c r="C1819" s="2">
        <f>_xlfn.NUMBERVALUE("0.002926")</f>
        <v/>
      </c>
      <c r="D1819">
        <f>_xlfn.NUMBERVALUE("0.003330")</f>
        <v/>
      </c>
      <c r="E1819">
        <f>_xlfn.NUMBERVALUE("0.002325")</f>
        <v/>
      </c>
      <c r="F1819">
        <f>_xlfn.NUMBERVALUE("0.002555")</f>
        <v/>
      </c>
      <c r="G1819">
        <f>_xlfn.NUMBERVALUE("0.000056")</f>
        <v/>
      </c>
      <c r="H1819">
        <f>_xlfn.NUMBERVALUE("-0.000870")</f>
        <v/>
      </c>
      <c r="I1819">
        <f>_xlfn.NUMBERVALUE("0.002078")</f>
        <v/>
      </c>
      <c r="J1819">
        <f>_xlfn.NUMBERVALUE("-0.002172")</f>
        <v/>
      </c>
      <c r="K1819">
        <f>_xlfn.NUMBERVALUE("0.001857")</f>
        <v/>
      </c>
      <c r="L1819">
        <f>_xlfn.NUMBERVALUE("-0.002700")</f>
        <v/>
      </c>
      <c r="M1819">
        <f>_xlfn.NUMBERVALUE("-0.002827")</f>
        <v/>
      </c>
      <c r="N1819">
        <f>_xlfn.NUMBERVALUE("0.000059")</f>
        <v/>
      </c>
      <c r="O1819">
        <f>_xlfn.NUMBERVALUE("-0.002855")</f>
        <v/>
      </c>
      <c r="P1819">
        <f>_xlfn.NUMBERVALUE("-0.000116")</f>
        <v/>
      </c>
      <c r="Q1819">
        <f>_xlfn.NUMBERVALUE("0.000092")</f>
        <v/>
      </c>
      <c r="R1819">
        <f>_xlfn.NUMBERVALUE("-0.000712")</f>
        <v/>
      </c>
      <c r="S1819">
        <f>_xlfn.NUMBERVALUE("-0.000499")</f>
        <v/>
      </c>
      <c r="T1819">
        <f>_xlfn.NUMBERVALUE("-0.000695")</f>
        <v/>
      </c>
      <c r="U1819">
        <f>_xlfn.NUMBERVALUE("0.002455")</f>
        <v/>
      </c>
      <c r="V1819">
        <f>_xlfn.NUMBERVALUE("0.002086")</f>
        <v/>
      </c>
      <c r="W1819">
        <f>_xlfn.NUMBERVALUE("-0.003825")</f>
        <v/>
      </c>
      <c r="X1819">
        <f>_xlfn.NUMBERVALUE("-0.340000")</f>
        <v/>
      </c>
      <c r="Y1819">
        <f>_xlfn.NUMBERVALUE("23.530000")</f>
        <v/>
      </c>
    </row>
    <row r="1820">
      <c r="A1820" s="1" t="n">
        <v>44642</v>
      </c>
      <c r="B1820">
        <f>_xlfn.NUMBERVALUE("-0.010569")</f>
        <v/>
      </c>
      <c r="C1820" s="2">
        <f>_xlfn.NUMBERVALUE("0.000501")</f>
        <v/>
      </c>
      <c r="D1820">
        <f>_xlfn.NUMBERVALUE("0.000826")</f>
        <v/>
      </c>
      <c r="E1820">
        <f>_xlfn.NUMBERVALUE("0.002969")</f>
        <v/>
      </c>
      <c r="F1820">
        <f>_xlfn.NUMBERVALUE("0.001549")</f>
        <v/>
      </c>
      <c r="G1820">
        <f>_xlfn.NUMBERVALUE("0.000270")</f>
        <v/>
      </c>
      <c r="H1820">
        <f>_xlfn.NUMBERVALUE("0.000228")</f>
        <v/>
      </c>
      <c r="I1820">
        <f>_xlfn.NUMBERVALUE("0.001642")</f>
        <v/>
      </c>
      <c r="J1820">
        <f>_xlfn.NUMBERVALUE("-0.000142")</f>
        <v/>
      </c>
      <c r="K1820">
        <f>_xlfn.NUMBERVALUE("0.000043")</f>
        <v/>
      </c>
      <c r="L1820">
        <f>_xlfn.NUMBERVALUE("-0.000395")</f>
        <v/>
      </c>
      <c r="M1820">
        <f>_xlfn.NUMBERVALUE("0.003287")</f>
        <v/>
      </c>
      <c r="N1820">
        <f>_xlfn.NUMBERVALUE("-0.005262")</f>
        <v/>
      </c>
      <c r="O1820">
        <f>_xlfn.NUMBERVALUE("0.006832")</f>
        <v/>
      </c>
      <c r="P1820">
        <f>_xlfn.NUMBERVALUE("0.000052")</f>
        <v/>
      </c>
      <c r="Q1820">
        <f>_xlfn.NUMBERVALUE("0.001629")</f>
        <v/>
      </c>
      <c r="R1820">
        <f>_xlfn.NUMBERVALUE("-0.000365")</f>
        <v/>
      </c>
      <c r="S1820">
        <f>_xlfn.NUMBERVALUE("0.000489")</f>
        <v/>
      </c>
      <c r="T1820">
        <f>_xlfn.NUMBERVALUE("0.003764")</f>
        <v/>
      </c>
      <c r="U1820">
        <f>_xlfn.NUMBERVALUE("-0.003644")</f>
        <v/>
      </c>
      <c r="V1820">
        <f>_xlfn.NUMBERVALUE("-0.001186")</f>
        <v/>
      </c>
      <c r="W1820">
        <f>_xlfn.NUMBERVALUE("0.016038")</f>
        <v/>
      </c>
      <c r="X1820">
        <f>_xlfn.NUMBERVALUE("-0.590000")</f>
        <v/>
      </c>
      <c r="Y1820">
        <f>_xlfn.NUMBERVALUE("22.940000")</f>
        <v/>
      </c>
    </row>
    <row r="1821">
      <c r="A1821" s="1" t="n">
        <v>44643</v>
      </c>
      <c r="B1821">
        <f>_xlfn.NUMBERVALUE("0.006934")</f>
        <v/>
      </c>
      <c r="C1821" s="2">
        <f>_xlfn.NUMBERVALUE("0.000894")</f>
        <v/>
      </c>
      <c r="D1821">
        <f>_xlfn.NUMBERVALUE("0.001374")</f>
        <v/>
      </c>
      <c r="E1821">
        <f>_xlfn.NUMBERVALUE("-0.002242")</f>
        <v/>
      </c>
      <c r="F1821">
        <f>_xlfn.NUMBERVALUE("-0.002689")</f>
        <v/>
      </c>
      <c r="G1821">
        <f>_xlfn.NUMBERVALUE("0.000681")</f>
        <v/>
      </c>
      <c r="H1821">
        <f>_xlfn.NUMBERVALUE("0.000061")</f>
        <v/>
      </c>
      <c r="I1821">
        <f>_xlfn.NUMBERVALUE("0.001481")</f>
        <v/>
      </c>
      <c r="J1821">
        <f>_xlfn.NUMBERVALUE("0.000244")</f>
        <v/>
      </c>
      <c r="K1821">
        <f>_xlfn.NUMBERVALUE("0.000013")</f>
        <v/>
      </c>
      <c r="L1821">
        <f>_xlfn.NUMBERVALUE("-0.000128")</f>
        <v/>
      </c>
      <c r="M1821">
        <f>_xlfn.NUMBERVALUE("0.000531")</f>
        <v/>
      </c>
      <c r="N1821">
        <f>_xlfn.NUMBERVALUE("0.001169")</f>
        <v/>
      </c>
      <c r="O1821">
        <f>_xlfn.NUMBERVALUE("-0.000822")</f>
        <v/>
      </c>
      <c r="P1821">
        <f>_xlfn.NUMBERVALUE("-0.000061")</f>
        <v/>
      </c>
      <c r="Q1821">
        <f>_xlfn.NUMBERVALUE("0.001780")</f>
        <v/>
      </c>
      <c r="R1821">
        <f>_xlfn.NUMBERVALUE("0.000778")</f>
        <v/>
      </c>
      <c r="S1821">
        <f>_xlfn.NUMBERVALUE("0.000910")</f>
        <v/>
      </c>
      <c r="T1821">
        <f>_xlfn.NUMBERVALUE("-0.000811")</f>
        <v/>
      </c>
      <c r="U1821">
        <f>_xlfn.NUMBERVALUE("0.001290")</f>
        <v/>
      </c>
      <c r="V1821">
        <f>_xlfn.NUMBERVALUE("0.001595")</f>
        <v/>
      </c>
      <c r="W1821">
        <f>_xlfn.NUMBERVALUE("-0.009471")</f>
        <v/>
      </c>
      <c r="X1821">
        <f>_xlfn.NUMBERVALUE("0.630000")</f>
        <v/>
      </c>
      <c r="Y1821">
        <f>_xlfn.NUMBERVALUE("23.570000")</f>
        <v/>
      </c>
    </row>
    <row r="1822">
      <c r="A1822" s="1" t="n">
        <v>44644</v>
      </c>
      <c r="B1822">
        <f>_xlfn.NUMBERVALUE("0.002671")</f>
        <v/>
      </c>
      <c r="C1822" s="2">
        <f>_xlfn.NUMBERVALUE("0.001329")</f>
        <v/>
      </c>
      <c r="D1822">
        <f>_xlfn.NUMBERVALUE("0.003443")</f>
        <v/>
      </c>
      <c r="E1822">
        <f>_xlfn.NUMBERVALUE("0.001910")</f>
        <v/>
      </c>
      <c r="F1822">
        <f>_xlfn.NUMBERVALUE("0.000344")</f>
        <v/>
      </c>
      <c r="G1822">
        <f>_xlfn.NUMBERVALUE("0.001318")</f>
        <v/>
      </c>
      <c r="H1822">
        <f>_xlfn.NUMBERVALUE("0.000027")</f>
        <v/>
      </c>
      <c r="I1822">
        <f>_xlfn.NUMBERVALUE("0.001380")</f>
        <v/>
      </c>
      <c r="J1822">
        <f>_xlfn.NUMBERVALUE("-0.000451")</f>
        <v/>
      </c>
      <c r="K1822">
        <f>_xlfn.NUMBERVALUE("-0.001184")</f>
        <v/>
      </c>
      <c r="L1822">
        <f>_xlfn.NUMBERVALUE("-0.000859")</f>
        <v/>
      </c>
      <c r="M1822">
        <f>_xlfn.NUMBERVALUE("0.000889")</f>
        <v/>
      </c>
      <c r="N1822">
        <f>_xlfn.NUMBERVALUE("0.000569")</f>
        <v/>
      </c>
      <c r="O1822">
        <f>_xlfn.NUMBERVALUE("0.001228")</f>
        <v/>
      </c>
      <c r="P1822">
        <f>_xlfn.NUMBERVALUE("0.002185")</f>
        <v/>
      </c>
      <c r="Q1822">
        <f>_xlfn.NUMBERVALUE("0.001158")</f>
        <v/>
      </c>
      <c r="R1822">
        <f>_xlfn.NUMBERVALUE("-0.001007")</f>
        <v/>
      </c>
      <c r="S1822">
        <f>_xlfn.NUMBERVALUE("0.001761")</f>
        <v/>
      </c>
      <c r="T1822">
        <f>_xlfn.NUMBERVALUE("0.000396")</f>
        <v/>
      </c>
      <c r="U1822">
        <f>_xlfn.NUMBERVALUE("0.002340")</f>
        <v/>
      </c>
      <c r="V1822">
        <f>_xlfn.NUMBERVALUE("0.001063")</f>
        <v/>
      </c>
      <c r="W1822">
        <f>_xlfn.NUMBERVALUE("0.008664")</f>
        <v/>
      </c>
      <c r="X1822">
        <f>_xlfn.NUMBERVALUE("-1.900000")</f>
        <v/>
      </c>
      <c r="Y1822">
        <f>_xlfn.NUMBERVALUE("21.670000")</f>
        <v/>
      </c>
    </row>
    <row r="1823">
      <c r="A1823" s="1" t="n">
        <v>44645</v>
      </c>
      <c r="B1823">
        <f>_xlfn.NUMBERVALUE("0.001739")</f>
        <v/>
      </c>
      <c r="C1823" s="2">
        <f>_xlfn.NUMBERVALUE("0.001504")</f>
        <v/>
      </c>
      <c r="D1823">
        <f>_xlfn.NUMBERVALUE("0.003447")</f>
        <v/>
      </c>
      <c r="E1823">
        <f>_xlfn.NUMBERVALUE("0.001769")</f>
        <v/>
      </c>
      <c r="F1823">
        <f>_xlfn.NUMBERVALUE("0.001698")</f>
        <v/>
      </c>
      <c r="G1823">
        <f>_xlfn.NUMBERVALUE("-0.000102")</f>
        <v/>
      </c>
      <c r="H1823">
        <f>_xlfn.NUMBERVALUE("-0.000581")</f>
        <v/>
      </c>
      <c r="I1823">
        <f>_xlfn.NUMBERVALUE("0.002935")</f>
        <v/>
      </c>
      <c r="J1823">
        <f>_xlfn.NUMBERVALUE("-0.001121")</f>
        <v/>
      </c>
      <c r="K1823">
        <f>_xlfn.NUMBERVALUE("0.003611")</f>
        <v/>
      </c>
      <c r="L1823">
        <f>_xlfn.NUMBERVALUE("-0.001092")</f>
        <v/>
      </c>
      <c r="M1823">
        <f>_xlfn.NUMBERVALUE("0.001335")</f>
        <v/>
      </c>
      <c r="N1823">
        <f>_xlfn.NUMBERVALUE("0.001565")</f>
        <v/>
      </c>
      <c r="O1823">
        <f>_xlfn.NUMBERVALUE("0.001224")</f>
        <v/>
      </c>
      <c r="P1823">
        <f>_xlfn.NUMBERVALUE("0.000354")</f>
        <v/>
      </c>
      <c r="Q1823">
        <f>_xlfn.NUMBERVALUE("0.001506")</f>
        <v/>
      </c>
      <c r="R1823">
        <f>_xlfn.NUMBERVALUE("0.002732")</f>
        <v/>
      </c>
      <c r="S1823">
        <f>_xlfn.NUMBERVALUE("0.000384")</f>
        <v/>
      </c>
      <c r="T1823">
        <f>_xlfn.NUMBERVALUE("0.000024")</f>
        <v/>
      </c>
      <c r="U1823">
        <f>_xlfn.NUMBERVALUE("0.002217")</f>
        <v/>
      </c>
      <c r="V1823">
        <f>_xlfn.NUMBERVALUE("0.001321")</f>
        <v/>
      </c>
      <c r="W1823">
        <f>_xlfn.NUMBERVALUE("0.003761")</f>
        <v/>
      </c>
      <c r="X1823">
        <f>_xlfn.NUMBERVALUE("-0.860000")</f>
        <v/>
      </c>
      <c r="Y1823">
        <f>_xlfn.NUMBERVALUE("20.810000")</f>
        <v/>
      </c>
    </row>
    <row r="1824">
      <c r="A1824" s="1" t="n">
        <v>44648</v>
      </c>
      <c r="B1824">
        <f>_xlfn.NUMBERVALUE("0.003957")</f>
        <v/>
      </c>
      <c r="C1824" s="2">
        <f>_xlfn.NUMBERVALUE("0.001681")</f>
        <v/>
      </c>
      <c r="D1824">
        <f>_xlfn.NUMBERVALUE("0.003361")</f>
        <v/>
      </c>
      <c r="E1824">
        <f>_xlfn.NUMBERVALUE("0.000024")</f>
        <v/>
      </c>
      <c r="F1824">
        <f>_xlfn.NUMBERVALUE("-0.001696")</f>
        <v/>
      </c>
      <c r="G1824">
        <f>_xlfn.NUMBERVALUE("0.000598")</f>
        <v/>
      </c>
      <c r="H1824">
        <f>_xlfn.NUMBERVALUE("-0.000040")</f>
        <v/>
      </c>
      <c r="I1824">
        <f>_xlfn.NUMBERVALUE("0.003006")</f>
        <v/>
      </c>
      <c r="J1824">
        <f>_xlfn.NUMBERVALUE("0.001444")</f>
        <v/>
      </c>
      <c r="K1824">
        <f>_xlfn.NUMBERVALUE("-0.001683")</f>
        <v/>
      </c>
      <c r="L1824">
        <f>_xlfn.NUMBERVALUE("0.001685")</f>
        <v/>
      </c>
      <c r="M1824">
        <f>_xlfn.NUMBERVALUE("0.000800")</f>
        <v/>
      </c>
      <c r="N1824">
        <f>_xlfn.NUMBERVALUE("0.002334")</f>
        <v/>
      </c>
      <c r="O1824">
        <f>_xlfn.NUMBERVALUE("0.003474")</f>
        <v/>
      </c>
      <c r="P1824">
        <f>_xlfn.NUMBERVALUE("0.002011")</f>
        <v/>
      </c>
      <c r="Q1824">
        <f>_xlfn.NUMBERVALUE("0.002366")</f>
        <v/>
      </c>
      <c r="R1824">
        <f>_xlfn.NUMBERVALUE("0.000413")</f>
        <v/>
      </c>
      <c r="S1824">
        <f>_xlfn.NUMBERVALUE("0.001285")</f>
        <v/>
      </c>
      <c r="T1824">
        <f>_xlfn.NUMBERVALUE("-0.000619")</f>
        <v/>
      </c>
      <c r="U1824">
        <f>_xlfn.NUMBERVALUE("0.000093")</f>
        <v/>
      </c>
      <c r="V1824">
        <f>_xlfn.NUMBERVALUE("0.000788")</f>
        <v/>
      </c>
      <c r="W1824">
        <f>_xlfn.NUMBERVALUE("0.008269")</f>
        <v/>
      </c>
      <c r="X1824">
        <f>_xlfn.NUMBERVALUE("-1.180000")</f>
        <v/>
      </c>
      <c r="Y1824">
        <f>_xlfn.NUMBERVALUE("19.630000")</f>
        <v/>
      </c>
    </row>
    <row r="1825">
      <c r="A1825" s="1" t="n">
        <v>44649</v>
      </c>
      <c r="B1825">
        <f>_xlfn.NUMBERVALUE("-0.019960")</f>
        <v/>
      </c>
      <c r="C1825" s="2">
        <f>_xlfn.NUMBERVALUE("-0.000286")</f>
        <v/>
      </c>
      <c r="D1825">
        <f>_xlfn.NUMBERVALUE("-0.002190")</f>
        <v/>
      </c>
      <c r="E1825">
        <f>_xlfn.NUMBERVALUE("-0.000517")</f>
        <v/>
      </c>
      <c r="F1825">
        <f>_xlfn.NUMBERVALUE("0.002536")</f>
        <v/>
      </c>
      <c r="G1825">
        <f>_xlfn.NUMBERVALUE("-0.002731")</f>
        <v/>
      </c>
      <c r="H1825">
        <f>_xlfn.NUMBERVALUE("-0.000087")</f>
        <v/>
      </c>
      <c r="I1825">
        <f>_xlfn.NUMBERVALUE("-0.005402")</f>
        <v/>
      </c>
      <c r="J1825">
        <f>_xlfn.NUMBERVALUE("0.000528")</f>
        <v/>
      </c>
      <c r="K1825">
        <f>_xlfn.NUMBERVALUE("0.003760")</f>
        <v/>
      </c>
      <c r="L1825">
        <f>_xlfn.NUMBERVALUE("0.000013")</f>
        <v/>
      </c>
      <c r="M1825">
        <f>_xlfn.NUMBERVALUE("0.000200")</f>
        <v/>
      </c>
      <c r="N1825">
        <f>_xlfn.NUMBERVALUE("-0.000562")</f>
        <v/>
      </c>
      <c r="O1825">
        <f>_xlfn.NUMBERVALUE("0.002820")</f>
        <v/>
      </c>
      <c r="P1825">
        <f>_xlfn.NUMBERVALUE("0.001373")</f>
        <v/>
      </c>
      <c r="Q1825">
        <f>_xlfn.NUMBERVALUE("0.000293")</f>
        <v/>
      </c>
      <c r="R1825">
        <f>_xlfn.NUMBERVALUE("-0.000803")</f>
        <v/>
      </c>
      <c r="S1825">
        <f>_xlfn.NUMBERVALUE("0.001335")</f>
        <v/>
      </c>
      <c r="T1825">
        <f>_xlfn.NUMBERVALUE("0.000415")</f>
        <v/>
      </c>
      <c r="U1825">
        <f>_xlfn.NUMBERVALUE("-0.000307")</f>
        <v/>
      </c>
      <c r="V1825">
        <f>_xlfn.NUMBERVALUE("-0.000264")</f>
        <v/>
      </c>
      <c r="W1825">
        <f>_xlfn.NUMBERVALUE("0.014951")</f>
        <v/>
      </c>
      <c r="X1825">
        <f>_xlfn.NUMBERVALUE("-0.730000")</f>
        <v/>
      </c>
      <c r="Y1825">
        <f>_xlfn.NUMBERVALUE("18.900000")</f>
        <v/>
      </c>
    </row>
    <row r="1826">
      <c r="A1826" s="1" t="n">
        <v>44650</v>
      </c>
      <c r="B1826">
        <f>_xlfn.NUMBERVALUE("-0.004661")</f>
        <v/>
      </c>
      <c r="C1826" s="2">
        <f>_xlfn.NUMBERVALUE("-0.000028")</f>
        <v/>
      </c>
      <c r="D1826">
        <f>_xlfn.NUMBERVALUE("0.001332")</f>
        <v/>
      </c>
      <c r="E1826">
        <f>_xlfn.NUMBERVALUE("0.000257")</f>
        <v/>
      </c>
      <c r="F1826">
        <f>_xlfn.NUMBERVALUE("0.001484")</f>
        <v/>
      </c>
      <c r="G1826">
        <f>_xlfn.NUMBERVALUE("-0.001279")</f>
        <v/>
      </c>
      <c r="H1826">
        <f>_xlfn.NUMBERVALUE("-0.000427")</f>
        <v/>
      </c>
      <c r="I1826">
        <f>_xlfn.NUMBERVALUE("0.000203")</f>
        <v/>
      </c>
      <c r="J1826">
        <f>_xlfn.NUMBERVALUE("-0.000266")</f>
        <v/>
      </c>
      <c r="K1826">
        <f>_xlfn.NUMBERVALUE("0.003437")</f>
        <v/>
      </c>
      <c r="L1826">
        <f>_xlfn.NUMBERVALUE("-0.000184")</f>
        <v/>
      </c>
      <c r="M1826">
        <f>_xlfn.NUMBERVALUE("0.000408")</f>
        <v/>
      </c>
      <c r="N1826">
        <f>_xlfn.NUMBERVALUE("-0.001637")</f>
        <v/>
      </c>
      <c r="O1826">
        <f>_xlfn.NUMBERVALUE("0.000633")</f>
        <v/>
      </c>
      <c r="P1826">
        <f>_xlfn.NUMBERVALUE("0.000609")</f>
        <v/>
      </c>
      <c r="Q1826">
        <f>_xlfn.NUMBERVALUE("-0.000198")</f>
        <v/>
      </c>
      <c r="R1826">
        <f>_xlfn.NUMBERVALUE("-0.000562")</f>
        <v/>
      </c>
      <c r="S1826">
        <f>_xlfn.NUMBERVALUE("-0.000531")</f>
        <v/>
      </c>
      <c r="T1826">
        <f>_xlfn.NUMBERVALUE("-0.000120")</f>
        <v/>
      </c>
      <c r="U1826">
        <f>_xlfn.NUMBERVALUE("0.000112")</f>
        <v/>
      </c>
      <c r="V1826">
        <f>_xlfn.NUMBERVALUE("0.000012")</f>
        <v/>
      </c>
      <c r="W1826">
        <f>_xlfn.NUMBERVALUE("-0.008557")</f>
        <v/>
      </c>
      <c r="X1826">
        <f>_xlfn.NUMBERVALUE("0.430000")</f>
        <v/>
      </c>
      <c r="Y1826">
        <f>_xlfn.NUMBERVALUE("19.330000")</f>
        <v/>
      </c>
    </row>
    <row r="1827">
      <c r="A1827" s="1" t="n">
        <v>44651</v>
      </c>
      <c r="B1827">
        <f>_xlfn.NUMBERVALUE("0.001175")</f>
        <v/>
      </c>
      <c r="C1827" s="2">
        <f>_xlfn.NUMBERVALUE("0.003408")</f>
        <v/>
      </c>
      <c r="D1827">
        <f>_xlfn.NUMBERVALUE("0.002875")</f>
        <v/>
      </c>
      <c r="E1827">
        <f>_xlfn.NUMBERVALUE("0.000010")</f>
        <v/>
      </c>
      <c r="F1827">
        <f>_xlfn.NUMBERVALUE("0.000225")</f>
        <v/>
      </c>
      <c r="G1827">
        <f>_xlfn.NUMBERVALUE("-0.000345")</f>
        <v/>
      </c>
      <c r="H1827">
        <f>_xlfn.NUMBERVALUE("-0.000585")</f>
        <v/>
      </c>
      <c r="I1827">
        <f>_xlfn.NUMBERVALUE("0.002021")</f>
        <v/>
      </c>
      <c r="J1827">
        <f>_xlfn.NUMBERVALUE("0.000672")</f>
        <v/>
      </c>
      <c r="K1827">
        <f>_xlfn.NUMBERVALUE("0.000801")</f>
        <v/>
      </c>
      <c r="L1827">
        <f>_xlfn.NUMBERVALUE("0.000025")</f>
        <v/>
      </c>
      <c r="M1827">
        <f>_xlfn.NUMBERVALUE("-0.000411")</f>
        <v/>
      </c>
      <c r="N1827">
        <f>_xlfn.NUMBERVALUE("0.001492")</f>
        <v/>
      </c>
      <c r="O1827">
        <f>_xlfn.NUMBERVALUE("0.003844")</f>
        <v/>
      </c>
      <c r="P1827">
        <f>_xlfn.NUMBERVALUE("0.001275")</f>
        <v/>
      </c>
      <c r="Q1827">
        <f>_xlfn.NUMBERVALUE("-0.000581")</f>
        <v/>
      </c>
      <c r="R1827">
        <f>_xlfn.NUMBERVALUE("0.000931")</f>
        <v/>
      </c>
      <c r="S1827">
        <f>_xlfn.NUMBERVALUE("0.000083")</f>
        <v/>
      </c>
      <c r="T1827">
        <f>_xlfn.NUMBERVALUE("-0.000011")</f>
        <v/>
      </c>
      <c r="U1827">
        <f>_xlfn.NUMBERVALUE("0.000357")</f>
        <v/>
      </c>
      <c r="V1827">
        <f>_xlfn.NUMBERVALUE("0.000216")</f>
        <v/>
      </c>
      <c r="W1827">
        <f>_xlfn.NUMBERVALUE("-0.006992")</f>
        <v/>
      </c>
      <c r="X1827">
        <f>_xlfn.NUMBERVALUE("1.230000")</f>
        <v/>
      </c>
      <c r="Y1827">
        <f>_xlfn.NUMBERVALUE("20.560000")</f>
        <v/>
      </c>
    </row>
    <row r="1828">
      <c r="A1828" s="1" t="n">
        <v>44652</v>
      </c>
      <c r="B1828">
        <f>_xlfn.NUMBERVALUE("0.003042")</f>
        <v/>
      </c>
      <c r="C1828" s="2">
        <f>_xlfn.NUMBERVALUE("-0.002233")</f>
        <v/>
      </c>
      <c r="D1828">
        <f>_xlfn.NUMBERVALUE("0.000390")</f>
        <v/>
      </c>
      <c r="E1828">
        <f>_xlfn.NUMBERVALUE("0.001859")</f>
        <v/>
      </c>
      <c r="F1828">
        <f>_xlfn.NUMBERVALUE("0.002327")</f>
        <v/>
      </c>
      <c r="G1828">
        <f>_xlfn.NUMBERVALUE("0.005644")</f>
        <v/>
      </c>
      <c r="H1828">
        <f>_xlfn.NUMBERVALUE("0.001763")</f>
        <v/>
      </c>
      <c r="I1828">
        <f>_xlfn.NUMBERVALUE("0.000968")</f>
        <v/>
      </c>
      <c r="J1828">
        <f>_xlfn.NUMBERVALUE("0.002574")</f>
        <v/>
      </c>
      <c r="K1828">
        <f>_xlfn.NUMBERVALUE("0.001556")</f>
        <v/>
      </c>
      <c r="L1828">
        <f>_xlfn.NUMBERVALUE("0.002853")</f>
        <v/>
      </c>
      <c r="M1828">
        <f>_xlfn.NUMBERVALUE("0.000279")</f>
        <v/>
      </c>
      <c r="N1828">
        <f>_xlfn.NUMBERVALUE("0.002698")</f>
        <v/>
      </c>
      <c r="O1828">
        <f>_xlfn.NUMBERVALUE("0.003324")</f>
        <v/>
      </c>
      <c r="P1828">
        <f>_xlfn.NUMBERVALUE("0.002354")</f>
        <v/>
      </c>
      <c r="Q1828">
        <f>_xlfn.NUMBERVALUE("0.000620")</f>
        <v/>
      </c>
      <c r="R1828">
        <f>_xlfn.NUMBERVALUE("0.002223")</f>
        <v/>
      </c>
      <c r="S1828">
        <f>_xlfn.NUMBERVALUE("-0.000047")</f>
        <v/>
      </c>
      <c r="T1828">
        <f>_xlfn.NUMBERVALUE("0.000455")</f>
        <v/>
      </c>
      <c r="U1828">
        <f>_xlfn.NUMBERVALUE("0.000339")</f>
        <v/>
      </c>
      <c r="V1828">
        <f>_xlfn.NUMBERVALUE("-0.000009")</f>
        <v/>
      </c>
      <c r="W1828">
        <f>_xlfn.NUMBERVALUE("-0.008647")</f>
        <v/>
      </c>
      <c r="X1828">
        <f>_xlfn.NUMBERVALUE("-0.930000")</f>
        <v/>
      </c>
      <c r="Y1828">
        <f>_xlfn.NUMBERVALUE("19.630000")</f>
        <v/>
      </c>
    </row>
    <row r="1829">
      <c r="A1829" s="1" t="n">
        <v>44655</v>
      </c>
      <c r="B1829">
        <f>_xlfn.NUMBERVALUE("0.002288")</f>
        <v/>
      </c>
      <c r="C1829" s="2">
        <f>_xlfn.NUMBERVALUE("0.000043")</f>
        <v/>
      </c>
      <c r="D1829">
        <f>_xlfn.NUMBERVALUE("-0.001877")</f>
        <v/>
      </c>
      <c r="E1829">
        <f>_xlfn.NUMBERVALUE("-0.002232")</f>
        <v/>
      </c>
      <c r="F1829">
        <f>_xlfn.NUMBERVALUE("0.001546")</f>
        <v/>
      </c>
      <c r="G1829">
        <f>_xlfn.NUMBERVALUE("0.003442")</f>
        <v/>
      </c>
      <c r="H1829">
        <f>_xlfn.NUMBERVALUE("0.000027")</f>
        <v/>
      </c>
      <c r="I1829">
        <f>_xlfn.NUMBERVALUE("0.000097")</f>
        <v/>
      </c>
      <c r="J1829">
        <f>_xlfn.NUMBERVALUE("0.000477")</f>
        <v/>
      </c>
      <c r="K1829">
        <f>_xlfn.NUMBERVALUE("0.000574")</f>
        <v/>
      </c>
      <c r="L1829">
        <f>_xlfn.NUMBERVALUE("0.000193")</f>
        <v/>
      </c>
      <c r="M1829">
        <f>_xlfn.NUMBERVALUE("0.000275")</f>
        <v/>
      </c>
      <c r="N1829">
        <f>_xlfn.NUMBERVALUE("-0.002827")</f>
        <v/>
      </c>
      <c r="O1829">
        <f>_xlfn.NUMBERVALUE("0.004682")</f>
        <v/>
      </c>
      <c r="P1829">
        <f>_xlfn.NUMBERVALUE("0.004651")</f>
        <v/>
      </c>
      <c r="Q1829">
        <f>_xlfn.NUMBERVALUE("0.002289")</f>
        <v/>
      </c>
      <c r="R1829">
        <f>_xlfn.NUMBERVALUE("-0.001770")</f>
        <v/>
      </c>
      <c r="S1829">
        <f>_xlfn.NUMBERVALUE("0.000387")</f>
        <v/>
      </c>
      <c r="T1829">
        <f>_xlfn.NUMBERVALUE("-0.000388")</f>
        <v/>
      </c>
      <c r="U1829">
        <f>_xlfn.NUMBERVALUE("0.001050")</f>
        <v/>
      </c>
      <c r="V1829">
        <f>_xlfn.NUMBERVALUE("-0.000005")</f>
        <v/>
      </c>
      <c r="W1829">
        <f>_xlfn.NUMBERVALUE("0.005993")</f>
        <v/>
      </c>
      <c r="X1829">
        <f>_xlfn.NUMBERVALUE("-1.060000")</f>
        <v/>
      </c>
      <c r="Y1829">
        <f>_xlfn.NUMBERVALUE("18.570000")</f>
        <v/>
      </c>
    </row>
    <row r="1830">
      <c r="A1830" s="1" t="n">
        <v>44656</v>
      </c>
      <c r="B1830">
        <f>_xlfn.NUMBERVALUE("-0.009353")</f>
        <v/>
      </c>
      <c r="C1830" s="2">
        <f>_xlfn.NUMBERVALUE("-0.001957")</f>
        <v/>
      </c>
      <c r="D1830">
        <f>_xlfn.NUMBERVALUE("-0.003230")</f>
        <v/>
      </c>
      <c r="E1830">
        <f>_xlfn.NUMBERVALUE("-0.000920")</f>
        <v/>
      </c>
      <c r="F1830">
        <f>_xlfn.NUMBERVALUE("0.001661")</f>
        <v/>
      </c>
      <c r="G1830">
        <f>_xlfn.NUMBERVALUE("-0.003027")</f>
        <v/>
      </c>
      <c r="H1830">
        <f>_xlfn.NUMBERVALUE("-0.001811")</f>
        <v/>
      </c>
      <c r="I1830">
        <f>_xlfn.NUMBERVALUE("-0.003430")</f>
        <v/>
      </c>
      <c r="J1830">
        <f>_xlfn.NUMBERVALUE("-0.003272")</f>
        <v/>
      </c>
      <c r="K1830">
        <f>_xlfn.NUMBERVALUE("0.002753")</f>
        <v/>
      </c>
      <c r="L1830">
        <f>_xlfn.NUMBERVALUE("0.000020")</f>
        <v/>
      </c>
      <c r="M1830">
        <f>_xlfn.NUMBERVALUE("0.000492")</f>
        <v/>
      </c>
      <c r="N1830">
        <f>_xlfn.NUMBERVALUE("-0.002013")</f>
        <v/>
      </c>
      <c r="O1830">
        <f>_xlfn.NUMBERVALUE("0.001587")</f>
        <v/>
      </c>
      <c r="P1830">
        <f>_xlfn.NUMBERVALUE("0.002365")</f>
        <v/>
      </c>
      <c r="Q1830">
        <f>_xlfn.NUMBERVALUE("0.000312")</f>
        <v/>
      </c>
      <c r="R1830">
        <f>_xlfn.NUMBERVALUE("-0.000971")</f>
        <v/>
      </c>
      <c r="S1830">
        <f>_xlfn.NUMBERVALUE("0.000203")</f>
        <v/>
      </c>
      <c r="T1830">
        <f>_xlfn.NUMBERVALUE("-0.000334")</f>
        <v/>
      </c>
      <c r="U1830">
        <f>_xlfn.NUMBERVALUE("-0.001387")</f>
        <v/>
      </c>
      <c r="V1830">
        <f>_xlfn.NUMBERVALUE("-0.002442")</f>
        <v/>
      </c>
      <c r="W1830">
        <f>_xlfn.NUMBERVALUE("-0.011427")</f>
        <v/>
      </c>
      <c r="X1830">
        <f>_xlfn.NUMBERVALUE("2.460000")</f>
        <v/>
      </c>
      <c r="Y1830">
        <f>_xlfn.NUMBERVALUE("21.030000")</f>
        <v/>
      </c>
    </row>
    <row r="1831">
      <c r="A1831" s="1" t="n">
        <v>44657</v>
      </c>
      <c r="B1831">
        <f>_xlfn.NUMBERVALUE("-0.003723")</f>
        <v/>
      </c>
      <c r="C1831" s="2">
        <f>_xlfn.NUMBERVALUE("-0.001061")</f>
        <v/>
      </c>
      <c r="D1831">
        <f>_xlfn.NUMBERVALUE("-0.000221")</f>
        <v/>
      </c>
      <c r="E1831">
        <f>_xlfn.NUMBERVALUE("-0.001676")</f>
        <v/>
      </c>
      <c r="F1831">
        <f>_xlfn.NUMBERVALUE("0.000278")</f>
        <v/>
      </c>
      <c r="G1831">
        <f>_xlfn.NUMBERVALUE("0.000031")</f>
        <v/>
      </c>
      <c r="H1831">
        <f>_xlfn.NUMBERVALUE("-0.001134")</f>
        <v/>
      </c>
      <c r="I1831">
        <f>_xlfn.NUMBERVALUE("0.000006")</f>
        <v/>
      </c>
      <c r="J1831">
        <f>_xlfn.NUMBERVALUE("-0.000837")</f>
        <v/>
      </c>
      <c r="K1831">
        <f>_xlfn.NUMBERVALUE("-0.000501")</f>
        <v/>
      </c>
      <c r="L1831">
        <f>_xlfn.NUMBERVALUE("-0.001838")</f>
        <v/>
      </c>
      <c r="M1831">
        <f>_xlfn.NUMBERVALUE("-0.000546")</f>
        <v/>
      </c>
      <c r="N1831">
        <f>_xlfn.NUMBERVALUE("-0.002691")</f>
        <v/>
      </c>
      <c r="O1831">
        <f>_xlfn.NUMBERVALUE("0.003310")</f>
        <v/>
      </c>
      <c r="P1831">
        <f>_xlfn.NUMBERVALUE("0.002618")</f>
        <v/>
      </c>
      <c r="Q1831">
        <f>_xlfn.NUMBERVALUE("0.001884")</f>
        <v/>
      </c>
      <c r="R1831">
        <f>_xlfn.NUMBERVALUE("-0.000348")</f>
        <v/>
      </c>
      <c r="S1831">
        <f>_xlfn.NUMBERVALUE("-0.000271")</f>
        <v/>
      </c>
      <c r="T1831">
        <f>_xlfn.NUMBERVALUE("0.000070")</f>
        <v/>
      </c>
      <c r="U1831">
        <f>_xlfn.NUMBERVALUE("0.000157")</f>
        <v/>
      </c>
      <c r="V1831">
        <f>_xlfn.NUMBERVALUE("-0.000107")</f>
        <v/>
      </c>
      <c r="W1831">
        <f>_xlfn.NUMBERVALUE("-0.008675")</f>
        <v/>
      </c>
      <c r="X1831">
        <f>_xlfn.NUMBERVALUE("1.070000")</f>
        <v/>
      </c>
      <c r="Y1831">
        <f>_xlfn.NUMBERVALUE("22.100000")</f>
        <v/>
      </c>
    </row>
    <row r="1832">
      <c r="A1832" s="1" t="n">
        <v>44658</v>
      </c>
      <c r="B1832">
        <f>_xlfn.NUMBERVALUE("0.004078")</f>
        <v/>
      </c>
      <c r="C1832" s="2">
        <f>_xlfn.NUMBERVALUE("0.001439")</f>
        <v/>
      </c>
      <c r="D1832">
        <f>_xlfn.NUMBERVALUE("0.001093")</f>
        <v/>
      </c>
      <c r="E1832">
        <f>_xlfn.NUMBERVALUE("0.001191")</f>
        <v/>
      </c>
      <c r="F1832">
        <f>_xlfn.NUMBERVALUE("0.001736")</f>
        <v/>
      </c>
      <c r="G1832">
        <f>_xlfn.NUMBERVALUE("0.000927")</f>
        <v/>
      </c>
      <c r="H1832">
        <f>_xlfn.NUMBERVALUE("0.000944")</f>
        <v/>
      </c>
      <c r="I1832">
        <f>_xlfn.NUMBERVALUE("0.002110")</f>
        <v/>
      </c>
      <c r="J1832">
        <f>_xlfn.NUMBERVALUE("0.001180")</f>
        <v/>
      </c>
      <c r="K1832">
        <f>_xlfn.NUMBERVALUE("0.001807")</f>
        <v/>
      </c>
      <c r="L1832">
        <f>_xlfn.NUMBERVALUE("-0.000844")</f>
        <v/>
      </c>
      <c r="M1832">
        <f>_xlfn.NUMBERVALUE("-0.000136")</f>
        <v/>
      </c>
      <c r="N1832">
        <f>_xlfn.NUMBERVALUE("0.003360")</f>
        <v/>
      </c>
      <c r="O1832">
        <f>_xlfn.NUMBERVALUE("-0.002376")</f>
        <v/>
      </c>
      <c r="P1832">
        <f>_xlfn.NUMBERVALUE("0.005270")</f>
        <v/>
      </c>
      <c r="Q1832">
        <f>_xlfn.NUMBERVALUE("0.002378")</f>
        <v/>
      </c>
      <c r="R1832">
        <f>_xlfn.NUMBERVALUE("0.000333")</f>
        <v/>
      </c>
      <c r="S1832">
        <f>_xlfn.NUMBERVALUE("-0.000151")</f>
        <v/>
      </c>
      <c r="T1832">
        <f>_xlfn.NUMBERVALUE("-0.000081")</f>
        <v/>
      </c>
      <c r="U1832">
        <f>_xlfn.NUMBERVALUE("-0.000154")</f>
        <v/>
      </c>
      <c r="V1832">
        <f>_xlfn.NUMBERVALUE("0.000628")</f>
        <v/>
      </c>
      <c r="W1832">
        <f>_xlfn.NUMBERVALUE("0.007565")</f>
        <v/>
      </c>
      <c r="X1832">
        <f>_xlfn.NUMBERVALUE("-0.550000")</f>
        <v/>
      </c>
      <c r="Y1832">
        <f>_xlfn.NUMBERVALUE("21.550000")</f>
        <v/>
      </c>
    </row>
    <row r="1833">
      <c r="A1833" s="1" t="n">
        <v>44659</v>
      </c>
      <c r="B1833">
        <f>_xlfn.NUMBERVALUE("-0.001723")</f>
        <v/>
      </c>
      <c r="C1833" s="2">
        <f>_xlfn.NUMBERVALUE("-0.000081")</f>
        <v/>
      </c>
      <c r="D1833">
        <f>_xlfn.NUMBERVALUE("0.003414")</f>
        <v/>
      </c>
      <c r="E1833">
        <f>_xlfn.NUMBERVALUE("0.001734")</f>
        <v/>
      </c>
      <c r="F1833">
        <f>_xlfn.NUMBERVALUE("0.000769")</f>
        <v/>
      </c>
      <c r="G1833">
        <f>_xlfn.NUMBERVALUE("0.000460")</f>
        <v/>
      </c>
      <c r="H1833">
        <f>_xlfn.NUMBERVALUE("-0.000487")</f>
        <v/>
      </c>
      <c r="I1833">
        <f>_xlfn.NUMBERVALUE("0.001347")</f>
        <v/>
      </c>
      <c r="J1833">
        <f>_xlfn.NUMBERVALUE("-0.000724")</f>
        <v/>
      </c>
      <c r="K1833">
        <f>_xlfn.NUMBERVALUE("0.001543")</f>
        <v/>
      </c>
      <c r="L1833">
        <f>_xlfn.NUMBERVALUE("-0.001076")</f>
        <v/>
      </c>
      <c r="M1833">
        <f>_xlfn.NUMBERVALUE("-0.000693")</f>
        <v/>
      </c>
      <c r="N1833">
        <f>_xlfn.NUMBERVALUE("0.001959")</f>
        <v/>
      </c>
      <c r="O1833">
        <f>_xlfn.NUMBERVALUE("-0.003240")</f>
        <v/>
      </c>
      <c r="P1833">
        <f>_xlfn.NUMBERVALUE("-0.000117")</f>
        <v/>
      </c>
      <c r="Q1833">
        <f>_xlfn.NUMBERVALUE("0.002244")</f>
        <v/>
      </c>
      <c r="R1833">
        <f>_xlfn.NUMBERVALUE("0.002924")</f>
        <v/>
      </c>
      <c r="S1833">
        <f>_xlfn.NUMBERVALUE("-0.000372")</f>
        <v/>
      </c>
      <c r="T1833">
        <f>_xlfn.NUMBERVALUE("0.000573")</f>
        <v/>
      </c>
      <c r="U1833">
        <f>_xlfn.NUMBERVALUE("0.002798")</f>
        <v/>
      </c>
      <c r="V1833">
        <f>_xlfn.NUMBERVALUE("0.001654")</f>
        <v/>
      </c>
      <c r="W1833">
        <f>_xlfn.NUMBERVALUE("-0.003421")</f>
        <v/>
      </c>
      <c r="X1833">
        <f>_xlfn.NUMBERVALUE("-0.390000")</f>
        <v/>
      </c>
      <c r="Y1833">
        <f>_xlfn.NUMBERVALUE("21.160000")</f>
        <v/>
      </c>
    </row>
    <row r="1834">
      <c r="A1834" s="1" t="n">
        <v>44662</v>
      </c>
      <c r="B1834">
        <f>_xlfn.NUMBERVALUE("0.001368")</f>
        <v/>
      </c>
      <c r="C1834" s="2">
        <f>_xlfn.NUMBERVALUE("-0.002955")</f>
        <v/>
      </c>
      <c r="D1834">
        <f>_xlfn.NUMBERVALUE("-0.001798")</f>
        <v/>
      </c>
      <c r="E1834">
        <f>_xlfn.NUMBERVALUE("-0.000311")</f>
        <v/>
      </c>
      <c r="F1834">
        <f>_xlfn.NUMBERVALUE("-0.000971")</f>
        <v/>
      </c>
      <c r="G1834">
        <f>_xlfn.NUMBERVALUE("-0.000728")</f>
        <v/>
      </c>
      <c r="H1834">
        <f>_xlfn.NUMBERVALUE("-0.000540")</f>
        <v/>
      </c>
      <c r="I1834">
        <f>_xlfn.NUMBERVALUE("-0.001534")</f>
        <v/>
      </c>
      <c r="J1834">
        <f>_xlfn.NUMBERVALUE("-0.001006")</f>
        <v/>
      </c>
      <c r="K1834">
        <f>_xlfn.NUMBERVALUE("-0.002069")</f>
        <v/>
      </c>
      <c r="L1834">
        <f>_xlfn.NUMBERVALUE("-0.001891")</f>
        <v/>
      </c>
      <c r="M1834">
        <f>_xlfn.NUMBERVALUE("-0.002516")</f>
        <v/>
      </c>
      <c r="N1834">
        <f>_xlfn.NUMBERVALUE("0.001866")</f>
        <v/>
      </c>
      <c r="O1834">
        <f>_xlfn.NUMBERVALUE("-0.002144")</f>
        <v/>
      </c>
      <c r="P1834">
        <f>_xlfn.NUMBERVALUE("-0.000682")</f>
        <v/>
      </c>
      <c r="Q1834">
        <f>_xlfn.NUMBERVALUE("-0.002187")</f>
        <v/>
      </c>
      <c r="R1834">
        <f>_xlfn.NUMBERVALUE("-0.005471")</f>
        <v/>
      </c>
      <c r="S1834">
        <f>_xlfn.NUMBERVALUE("-0.000709")</f>
        <v/>
      </c>
      <c r="T1834">
        <f>_xlfn.NUMBERVALUE("-0.001750")</f>
        <v/>
      </c>
      <c r="U1834">
        <f>_xlfn.NUMBERVALUE("-0.003955")</f>
        <v/>
      </c>
      <c r="V1834">
        <f>_xlfn.NUMBERVALUE("-0.003107")</f>
        <v/>
      </c>
      <c r="W1834">
        <f>_xlfn.NUMBERVALUE("-0.019012")</f>
        <v/>
      </c>
      <c r="X1834">
        <f>_xlfn.NUMBERVALUE("3.210000")</f>
        <v/>
      </c>
      <c r="Y1834">
        <f>_xlfn.NUMBERVALUE("24.370000")</f>
        <v/>
      </c>
    </row>
    <row r="1835">
      <c r="A1835" s="1" t="n">
        <v>44663</v>
      </c>
      <c r="B1835">
        <f>_xlfn.NUMBERVALUE("0.003359")</f>
        <v/>
      </c>
      <c r="C1835" s="2">
        <f>_xlfn.NUMBERVALUE("0.000414")</f>
        <v/>
      </c>
      <c r="D1835">
        <f>_xlfn.NUMBERVALUE("0.001681")</f>
        <v/>
      </c>
      <c r="E1835">
        <f>_xlfn.NUMBERVALUE("0.000198")</f>
        <v/>
      </c>
      <c r="F1835">
        <f>_xlfn.NUMBERVALUE("0.000058")</f>
        <v/>
      </c>
      <c r="G1835">
        <f>_xlfn.NUMBERVALUE("-0.000044")</f>
        <v/>
      </c>
      <c r="H1835">
        <f>_xlfn.NUMBERVALUE("0.000807")</f>
        <v/>
      </c>
      <c r="I1835">
        <f>_xlfn.NUMBERVALUE("-0.000010")</f>
        <v/>
      </c>
      <c r="J1835">
        <f>_xlfn.NUMBERVALUE("0.000881")</f>
        <v/>
      </c>
      <c r="K1835">
        <f>_xlfn.NUMBERVALUE("-0.000825")</f>
        <v/>
      </c>
      <c r="L1835">
        <f>_xlfn.NUMBERVALUE("0.003442")</f>
        <v/>
      </c>
      <c r="M1835">
        <f>_xlfn.NUMBERVALUE("-0.000231")</f>
        <v/>
      </c>
      <c r="N1835">
        <f>_xlfn.NUMBERVALUE("0.003933")</f>
        <v/>
      </c>
      <c r="O1835">
        <f>_xlfn.NUMBERVALUE("-0.000618")</f>
        <v/>
      </c>
      <c r="P1835">
        <f>_xlfn.NUMBERVALUE("-0.001124")</f>
        <v/>
      </c>
      <c r="Q1835">
        <f>_xlfn.NUMBERVALUE("0.000655")</f>
        <v/>
      </c>
      <c r="R1835">
        <f>_xlfn.NUMBERVALUE("0.001447")</f>
        <v/>
      </c>
      <c r="S1835">
        <f>_xlfn.NUMBERVALUE("0.000199")</f>
        <v/>
      </c>
      <c r="T1835">
        <f>_xlfn.NUMBERVALUE("0.000887")</f>
        <v/>
      </c>
      <c r="U1835">
        <f>_xlfn.NUMBERVALUE("0.000238")</f>
        <v/>
      </c>
      <c r="V1835">
        <f>_xlfn.NUMBERVALUE("0.000312")</f>
        <v/>
      </c>
      <c r="W1835">
        <f>_xlfn.NUMBERVALUE("-0.005385")</f>
        <v/>
      </c>
      <c r="X1835">
        <f>_xlfn.NUMBERVALUE("-0.110000")</f>
        <v/>
      </c>
      <c r="Y1835">
        <f>_xlfn.NUMBERVALUE("24.260000")</f>
        <v/>
      </c>
    </row>
    <row r="1836">
      <c r="A1836" s="1" t="n">
        <v>44664</v>
      </c>
      <c r="B1836">
        <f>_xlfn.NUMBERVALUE("0.005463")</f>
        <v/>
      </c>
      <c r="C1836" s="2">
        <f>_xlfn.NUMBERVALUE("0.002444")</f>
        <v/>
      </c>
      <c r="D1836">
        <f>_xlfn.NUMBERVALUE("0.001526")</f>
        <v/>
      </c>
      <c r="E1836">
        <f>_xlfn.NUMBERVALUE("0.001556")</f>
        <v/>
      </c>
      <c r="F1836">
        <f>_xlfn.NUMBERVALUE("0.002236")</f>
        <v/>
      </c>
      <c r="G1836">
        <f>_xlfn.NUMBERVALUE("-0.000024")</f>
        <v/>
      </c>
      <c r="H1836">
        <f>_xlfn.NUMBERVALUE("0.001406")</f>
        <v/>
      </c>
      <c r="I1836">
        <f>_xlfn.NUMBERVALUE("0.000886")</f>
        <v/>
      </c>
      <c r="J1836">
        <f>_xlfn.NUMBERVALUE("0.000940")</f>
        <v/>
      </c>
      <c r="K1836">
        <f>_xlfn.NUMBERVALUE("0.002131")</f>
        <v/>
      </c>
      <c r="L1836">
        <f>_xlfn.NUMBERVALUE("0.002903")</f>
        <v/>
      </c>
      <c r="M1836">
        <f>_xlfn.NUMBERVALUE("0.003445")</f>
        <v/>
      </c>
      <c r="N1836">
        <f>_xlfn.NUMBERVALUE("-0.003568")</f>
        <v/>
      </c>
      <c r="O1836">
        <f>_xlfn.NUMBERVALUE("0.003726")</f>
        <v/>
      </c>
      <c r="P1836">
        <f>_xlfn.NUMBERVALUE("0.005699")</f>
        <v/>
      </c>
      <c r="Q1836">
        <f>_xlfn.NUMBERVALUE("0.004869")</f>
        <v/>
      </c>
      <c r="R1836">
        <f>_xlfn.NUMBERVALUE("0.004524")</f>
        <v/>
      </c>
      <c r="S1836">
        <f>_xlfn.NUMBERVALUE("0.003113")</f>
        <v/>
      </c>
      <c r="T1836">
        <f>_xlfn.NUMBERVALUE("0.003598")</f>
        <v/>
      </c>
      <c r="U1836">
        <f>_xlfn.NUMBERVALUE("0.001282")</f>
        <v/>
      </c>
      <c r="V1836">
        <f>_xlfn.NUMBERVALUE("0.001232")</f>
        <v/>
      </c>
      <c r="W1836">
        <f>_xlfn.NUMBERVALUE("0.014090")</f>
        <v/>
      </c>
      <c r="X1836">
        <f>_xlfn.NUMBERVALUE("-2.440000")</f>
        <v/>
      </c>
      <c r="Y1836">
        <f>_xlfn.NUMBERVALUE("21.820000")</f>
        <v/>
      </c>
    </row>
    <row r="1837">
      <c r="A1837" s="1" t="n">
        <v>44665</v>
      </c>
      <c r="B1837">
        <f>_xlfn.NUMBERVALUE("-0.003236")</f>
        <v/>
      </c>
      <c r="C1837" s="2">
        <f>_xlfn.NUMBERVALUE("0.000384")</f>
        <v/>
      </c>
      <c r="D1837">
        <f>_xlfn.NUMBERVALUE("-0.000508")</f>
        <v/>
      </c>
      <c r="E1837">
        <f>_xlfn.NUMBERVALUE("0.001582")</f>
        <v/>
      </c>
      <c r="F1837">
        <f>_xlfn.NUMBERVALUE("0.001162")</f>
        <v/>
      </c>
      <c r="G1837">
        <f>_xlfn.NUMBERVALUE("0.000340")</f>
        <v/>
      </c>
      <c r="H1837">
        <f>_xlfn.NUMBERVALUE("-0.000346")</f>
        <v/>
      </c>
      <c r="I1837">
        <f>_xlfn.NUMBERVALUE("0.000443")</f>
        <v/>
      </c>
      <c r="J1837">
        <f>_xlfn.NUMBERVALUE("-0.001053")</f>
        <v/>
      </c>
      <c r="K1837">
        <f>_xlfn.NUMBERVALUE("-0.000165")</f>
        <v/>
      </c>
      <c r="L1837">
        <f>_xlfn.NUMBERVALUE("-0.003518")</f>
        <v/>
      </c>
      <c r="M1837">
        <f>_xlfn.NUMBERVALUE("0.001069")</f>
        <v/>
      </c>
      <c r="N1837">
        <f>_xlfn.NUMBERVALUE("0.002649")</f>
        <v/>
      </c>
      <c r="O1837">
        <f>_xlfn.NUMBERVALUE("0.000230")</f>
        <v/>
      </c>
      <c r="P1837">
        <f>_xlfn.NUMBERVALUE("0.002983")</f>
        <v/>
      </c>
      <c r="Q1837">
        <f>_xlfn.NUMBERVALUE("0.001064")</f>
        <v/>
      </c>
      <c r="R1837">
        <f>_xlfn.NUMBERVALUE("-0.002190")</f>
        <v/>
      </c>
      <c r="S1837">
        <f>_xlfn.NUMBERVALUE("0.000688")</f>
        <v/>
      </c>
      <c r="T1837">
        <f>_xlfn.NUMBERVALUE("0.000603")</f>
        <v/>
      </c>
      <c r="U1837">
        <f>_xlfn.NUMBERVALUE("0.000876")</f>
        <v/>
      </c>
      <c r="V1837">
        <f>_xlfn.NUMBERVALUE("-0.000524")</f>
        <v/>
      </c>
      <c r="W1837">
        <f>_xlfn.NUMBERVALUE("-0.011281")</f>
        <v/>
      </c>
      <c r="X1837">
        <f>_xlfn.NUMBERVALUE("0.880000")</f>
        <v/>
      </c>
      <c r="Y1837">
        <f>_xlfn.NUMBERVALUE("22.700000")</f>
        <v/>
      </c>
    </row>
    <row r="1838">
      <c r="A1838" s="1" t="n">
        <v>44669</v>
      </c>
      <c r="B1838">
        <f>_xlfn.NUMBERVALUE("-0.000891")</f>
        <v/>
      </c>
      <c r="C1838" s="2">
        <f>_xlfn.NUMBERVALUE("0.000433")</f>
        <v/>
      </c>
      <c r="D1838">
        <f>_xlfn.NUMBERVALUE("-0.000243")</f>
        <v/>
      </c>
      <c r="E1838">
        <f>_xlfn.NUMBERVALUE("-0.000192")</f>
        <v/>
      </c>
      <c r="F1838">
        <f>_xlfn.NUMBERVALUE("0.000218")</f>
        <v/>
      </c>
      <c r="G1838">
        <f>_xlfn.NUMBERVALUE("0.000181")</f>
        <v/>
      </c>
      <c r="H1838">
        <f>_xlfn.NUMBERVALUE("-0.000132")</f>
        <v/>
      </c>
      <c r="I1838">
        <f>_xlfn.NUMBERVALUE("0.000088")</f>
        <v/>
      </c>
      <c r="J1838">
        <f>_xlfn.NUMBERVALUE("0.000286")</f>
        <v/>
      </c>
      <c r="K1838">
        <f>_xlfn.NUMBERVALUE("0.002406")</f>
        <v/>
      </c>
      <c r="L1838">
        <f>_xlfn.NUMBERVALUE("0.000353")</f>
        <v/>
      </c>
      <c r="M1838">
        <f>_xlfn.NUMBERVALUE("0.001467")</f>
        <v/>
      </c>
      <c r="N1838">
        <f>_xlfn.NUMBERVALUE("0.000811")</f>
        <v/>
      </c>
      <c r="O1838">
        <f>_xlfn.NUMBERVALUE("-0.000238")</f>
        <v/>
      </c>
      <c r="P1838">
        <f>_xlfn.NUMBERVALUE("0.001896")</f>
        <v/>
      </c>
      <c r="Q1838">
        <f>_xlfn.NUMBERVALUE("0.001497")</f>
        <v/>
      </c>
      <c r="R1838">
        <f>_xlfn.NUMBERVALUE("-0.000312")</f>
        <v/>
      </c>
      <c r="S1838">
        <f>_xlfn.NUMBERVALUE("0.001467")</f>
        <v/>
      </c>
      <c r="T1838">
        <f>_xlfn.NUMBERVALUE("0.001409")</f>
        <v/>
      </c>
      <c r="U1838">
        <f>_xlfn.NUMBERVALUE("0.001520")</f>
        <v/>
      </c>
      <c r="V1838">
        <f>_xlfn.NUMBERVALUE("0.000280")</f>
        <v/>
      </c>
      <c r="W1838">
        <f>_xlfn.NUMBERVALUE("-0.006231")</f>
        <v/>
      </c>
      <c r="X1838">
        <f>_xlfn.NUMBERVALUE("-0.530000")</f>
        <v/>
      </c>
      <c r="Y1838">
        <f>_xlfn.NUMBERVALUE("22.170000")</f>
        <v/>
      </c>
    </row>
    <row r="1839">
      <c r="A1839" s="1" t="n">
        <v>44670</v>
      </c>
      <c r="B1839">
        <f>_xlfn.NUMBERVALUE("0.001047")</f>
        <v/>
      </c>
      <c r="C1839" s="2">
        <f>_xlfn.NUMBERVALUE("-0.001669")</f>
        <v/>
      </c>
      <c r="D1839">
        <f>_xlfn.NUMBERVALUE("0.000820")</f>
        <v/>
      </c>
      <c r="E1839">
        <f>_xlfn.NUMBERVALUE("0.001267")</f>
        <v/>
      </c>
      <c r="F1839">
        <f>_xlfn.NUMBERVALUE("-0.001347")</f>
        <v/>
      </c>
      <c r="G1839">
        <f>_xlfn.NUMBERVALUE("-0.001543")</f>
        <v/>
      </c>
      <c r="H1839">
        <f>_xlfn.NUMBERVALUE("-0.001321")</f>
        <v/>
      </c>
      <c r="I1839">
        <f>_xlfn.NUMBERVALUE("-0.001092")</f>
        <v/>
      </c>
      <c r="J1839">
        <f>_xlfn.NUMBERVALUE("-0.000060")</f>
        <v/>
      </c>
      <c r="K1839">
        <f>_xlfn.NUMBERVALUE("-0.002456")</f>
        <v/>
      </c>
      <c r="L1839">
        <f>_xlfn.NUMBERVALUE("0.000436")</f>
        <v/>
      </c>
      <c r="M1839">
        <f>_xlfn.NUMBERVALUE("0.001994")</f>
        <v/>
      </c>
      <c r="N1839">
        <f>_xlfn.NUMBERVALUE("0.000806")</f>
        <v/>
      </c>
      <c r="O1839">
        <f>_xlfn.NUMBERVALUE("0.002369")</f>
        <v/>
      </c>
      <c r="P1839">
        <f>_xlfn.NUMBERVALUE("0.001584")</f>
        <v/>
      </c>
      <c r="Q1839">
        <f>_xlfn.NUMBERVALUE("-0.000157")</f>
        <v/>
      </c>
      <c r="R1839">
        <f>_xlfn.NUMBERVALUE("0.000855")</f>
        <v/>
      </c>
      <c r="S1839">
        <f>_xlfn.NUMBERVALUE("-0.000811")</f>
        <v/>
      </c>
      <c r="T1839">
        <f>_xlfn.NUMBERVALUE("0.002191")</f>
        <v/>
      </c>
      <c r="U1839">
        <f>_xlfn.NUMBERVALUE("-0.001765")</f>
        <v/>
      </c>
      <c r="V1839">
        <f>_xlfn.NUMBERVALUE("-0.001277")</f>
        <v/>
      </c>
      <c r="W1839">
        <f>_xlfn.NUMBERVALUE("0.019356")</f>
        <v/>
      </c>
      <c r="X1839">
        <f>_xlfn.NUMBERVALUE("-0.800000")</f>
        <v/>
      </c>
      <c r="Y1839">
        <f>_xlfn.NUMBERVALUE("21.370000")</f>
        <v/>
      </c>
    </row>
    <row r="1840">
      <c r="A1840" s="1" t="n">
        <v>44671</v>
      </c>
      <c r="B1840">
        <f>_xlfn.NUMBERVALUE("-0.004543")</f>
        <v/>
      </c>
      <c r="C1840" s="2">
        <f>_xlfn.NUMBERVALUE("-0.001599")</f>
        <v/>
      </c>
      <c r="D1840">
        <f>_xlfn.NUMBERVALUE("-0.004125")</f>
        <v/>
      </c>
      <c r="E1840">
        <f>_xlfn.NUMBERVALUE("-0.000296")</f>
        <v/>
      </c>
      <c r="F1840">
        <f>_xlfn.NUMBERVALUE("0.001005")</f>
        <v/>
      </c>
      <c r="G1840">
        <f>_xlfn.NUMBERVALUE("0.002139")</f>
        <v/>
      </c>
      <c r="H1840">
        <f>_xlfn.NUMBERVALUE("0.000188")</f>
        <v/>
      </c>
      <c r="I1840">
        <f>_xlfn.NUMBERVALUE("0.001211")</f>
        <v/>
      </c>
      <c r="J1840">
        <f>_xlfn.NUMBERVALUE("-0.000025")</f>
        <v/>
      </c>
      <c r="K1840">
        <f>_xlfn.NUMBERVALUE("0.002579")</f>
        <v/>
      </c>
      <c r="L1840">
        <f>_xlfn.NUMBERVALUE("-0.000205")</f>
        <v/>
      </c>
      <c r="M1840">
        <f>_xlfn.NUMBERVALUE("0.000509")</f>
        <v/>
      </c>
      <c r="N1840">
        <f>_xlfn.NUMBERVALUE("-0.003203")</f>
        <v/>
      </c>
      <c r="O1840">
        <f>_xlfn.NUMBERVALUE("0.001399")</f>
        <v/>
      </c>
      <c r="P1840">
        <f>_xlfn.NUMBERVALUE("0.001348")</f>
        <v/>
      </c>
      <c r="Q1840">
        <f>_xlfn.NUMBERVALUE("-0.001688")</f>
        <v/>
      </c>
      <c r="R1840">
        <f>_xlfn.NUMBERVALUE("-0.000794")</f>
        <v/>
      </c>
      <c r="S1840">
        <f>_xlfn.NUMBERVALUE("-0.005369")</f>
        <v/>
      </c>
      <c r="T1840">
        <f>_xlfn.NUMBERVALUE("-0.000127")</f>
        <v/>
      </c>
      <c r="U1840">
        <f>_xlfn.NUMBERVALUE("0.000532")</f>
        <v/>
      </c>
      <c r="V1840">
        <f>_xlfn.NUMBERVALUE("0.000934")</f>
        <v/>
      </c>
      <c r="W1840">
        <f>_xlfn.NUMBERVALUE("0.002389")</f>
        <v/>
      </c>
      <c r="X1840">
        <f>_xlfn.NUMBERVALUE("-1.050000")</f>
        <v/>
      </c>
      <c r="Y1840">
        <f>_xlfn.NUMBERVALUE("20.320000")</f>
        <v/>
      </c>
    </row>
    <row r="1841">
      <c r="A1841" s="1" t="n">
        <v>44672</v>
      </c>
      <c r="B1841">
        <f>_xlfn.NUMBERVALUE("-0.001585")</f>
        <v/>
      </c>
      <c r="C1841" s="2">
        <f>_xlfn.NUMBERVALUE("-0.002490")</f>
        <v/>
      </c>
      <c r="D1841">
        <f>_xlfn.NUMBERVALUE("-0.002538")</f>
        <v/>
      </c>
      <c r="E1841">
        <f>_xlfn.NUMBERVALUE("-0.001100")</f>
        <v/>
      </c>
      <c r="F1841">
        <f>_xlfn.NUMBERVALUE("0.000714")</f>
        <v/>
      </c>
      <c r="G1841">
        <f>_xlfn.NUMBERVALUE("0.000172")</f>
        <v/>
      </c>
      <c r="H1841">
        <f>_xlfn.NUMBERVALUE("0.001015")</f>
        <v/>
      </c>
      <c r="I1841">
        <f>_xlfn.NUMBERVALUE("-0.005263")</f>
        <v/>
      </c>
      <c r="J1841">
        <f>_xlfn.NUMBERVALUE("-0.000475")</f>
        <v/>
      </c>
      <c r="K1841">
        <f>_xlfn.NUMBERVALUE("0.000127")</f>
        <v/>
      </c>
      <c r="L1841">
        <f>_xlfn.NUMBERVALUE("-0.000530")</f>
        <v/>
      </c>
      <c r="M1841">
        <f>_xlfn.NUMBERVALUE("-0.004168")</f>
        <v/>
      </c>
      <c r="N1841">
        <f>_xlfn.NUMBERVALUE("-0.005135")</f>
        <v/>
      </c>
      <c r="O1841">
        <f>_xlfn.NUMBERVALUE("-0.007646")</f>
        <v/>
      </c>
      <c r="P1841">
        <f>_xlfn.NUMBERVALUE("-0.003339")</f>
        <v/>
      </c>
      <c r="Q1841">
        <f>_xlfn.NUMBERVALUE("-0.003091")</f>
        <v/>
      </c>
      <c r="R1841">
        <f>_xlfn.NUMBERVALUE("-0.005527")</f>
        <v/>
      </c>
      <c r="S1841">
        <f>_xlfn.NUMBERVALUE("-0.003954")</f>
        <v/>
      </c>
      <c r="T1841">
        <f>_xlfn.NUMBERVALUE("-0.004385")</f>
        <v/>
      </c>
      <c r="U1841">
        <f>_xlfn.NUMBERVALUE("-0.004147")</f>
        <v/>
      </c>
      <c r="V1841">
        <f>_xlfn.NUMBERVALUE("-0.002638")</f>
        <v/>
      </c>
      <c r="W1841">
        <f>_xlfn.NUMBERVALUE("-0.017142")</f>
        <v/>
      </c>
      <c r="X1841">
        <f>_xlfn.NUMBERVALUE("2.360000")</f>
        <v/>
      </c>
      <c r="Y1841">
        <f>_xlfn.NUMBERVALUE("22.680000")</f>
        <v/>
      </c>
    </row>
    <row r="1842">
      <c r="A1842" s="1" t="n">
        <v>44673</v>
      </c>
      <c r="B1842">
        <f>_xlfn.NUMBERVALUE("0.000406")</f>
        <v/>
      </c>
      <c r="C1842" s="2">
        <f>_xlfn.NUMBERVALUE("-0.005697")</f>
        <v/>
      </c>
      <c r="D1842">
        <f>_xlfn.NUMBERVALUE("0.002560")</f>
        <v/>
      </c>
      <c r="E1842">
        <f>_xlfn.NUMBERVALUE("-0.001991")</f>
        <v/>
      </c>
      <c r="F1842">
        <f>_xlfn.NUMBERVALUE("-0.001069")</f>
        <v/>
      </c>
      <c r="G1842">
        <f>_xlfn.NUMBERVALUE("-0.000630")</f>
        <v/>
      </c>
      <c r="H1842">
        <f>_xlfn.NUMBERVALUE("-0.000355")</f>
        <v/>
      </c>
      <c r="I1842">
        <f>_xlfn.NUMBERVALUE("-0.002484")</f>
        <v/>
      </c>
      <c r="J1842">
        <f>_xlfn.NUMBERVALUE("-0.000048")</f>
        <v/>
      </c>
      <c r="K1842">
        <f>_xlfn.NUMBERVALUE("-0.001845")</f>
        <v/>
      </c>
      <c r="L1842">
        <f>_xlfn.NUMBERVALUE("0.000023")</f>
        <v/>
      </c>
      <c r="M1842">
        <f>_xlfn.NUMBERVALUE("-0.009567")</f>
        <v/>
      </c>
      <c r="N1842">
        <f>_xlfn.NUMBERVALUE("-0.010731")</f>
        <v/>
      </c>
      <c r="O1842">
        <f>_xlfn.NUMBERVALUE("-0.001852")</f>
        <v/>
      </c>
      <c r="P1842">
        <f>_xlfn.NUMBERVALUE("-0.004795")</f>
        <v/>
      </c>
      <c r="Q1842">
        <f>_xlfn.NUMBERVALUE("-0.005708")</f>
        <v/>
      </c>
      <c r="R1842">
        <f>_xlfn.NUMBERVALUE("0.000041")</f>
        <v/>
      </c>
      <c r="S1842">
        <f>_xlfn.NUMBERVALUE("-0.000982")</f>
        <v/>
      </c>
      <c r="T1842">
        <f>_xlfn.NUMBERVALUE("0.000690")</f>
        <v/>
      </c>
      <c r="U1842">
        <f>_xlfn.NUMBERVALUE("-0.003490")</f>
        <v/>
      </c>
      <c r="V1842">
        <f>_xlfn.NUMBERVALUE("-0.002142")</f>
        <v/>
      </c>
      <c r="W1842">
        <f>_xlfn.NUMBERVALUE("-0.021573")</f>
        <v/>
      </c>
      <c r="X1842">
        <f>_xlfn.NUMBERVALUE("5.530000")</f>
        <v/>
      </c>
      <c r="Y1842">
        <f>_xlfn.NUMBERVALUE("28.210000")</f>
        <v/>
      </c>
    </row>
    <row r="1843">
      <c r="A1843" s="1" t="n">
        <v>44676</v>
      </c>
      <c r="B1843">
        <f>_xlfn.NUMBERVALUE("0.000114")</f>
        <v/>
      </c>
      <c r="C1843" s="2">
        <f>_xlfn.NUMBERVALUE("0.000647")</f>
        <v/>
      </c>
      <c r="D1843">
        <f>_xlfn.NUMBERVALUE("-0.000499")</f>
        <v/>
      </c>
      <c r="E1843">
        <f>_xlfn.NUMBERVALUE("0.000768")</f>
        <v/>
      </c>
      <c r="F1843">
        <f>_xlfn.NUMBERVALUE("-0.003926")</f>
        <v/>
      </c>
      <c r="G1843">
        <f>_xlfn.NUMBERVALUE("-0.000603")</f>
        <v/>
      </c>
      <c r="H1843">
        <f>_xlfn.NUMBERVALUE("-0.000565")</f>
        <v/>
      </c>
      <c r="I1843">
        <f>_xlfn.NUMBERVALUE("0.000326")</f>
        <v/>
      </c>
      <c r="J1843">
        <f>_xlfn.NUMBERVALUE("-0.000965")</f>
        <v/>
      </c>
      <c r="K1843">
        <f>_xlfn.NUMBERVALUE("-0.003847")</f>
        <v/>
      </c>
      <c r="L1843">
        <f>_xlfn.NUMBERVALUE("0.000694")</f>
        <v/>
      </c>
      <c r="M1843">
        <f>_xlfn.NUMBERVALUE("0.000278")</f>
        <v/>
      </c>
      <c r="N1843">
        <f>_xlfn.NUMBERVALUE("0.009628")</f>
        <v/>
      </c>
      <c r="O1843">
        <f>_xlfn.NUMBERVALUE("-0.004606")</f>
        <v/>
      </c>
      <c r="P1843">
        <f>_xlfn.NUMBERVALUE("0.001220")</f>
        <v/>
      </c>
      <c r="Q1843">
        <f>_xlfn.NUMBERVALUE("-0.000574")</f>
        <v/>
      </c>
      <c r="R1843">
        <f>_xlfn.NUMBERVALUE("0.000834")</f>
        <v/>
      </c>
      <c r="S1843">
        <f>_xlfn.NUMBERVALUE("0.002444")</f>
        <v/>
      </c>
      <c r="T1843">
        <f>_xlfn.NUMBERVALUE("0.000825")</f>
        <v/>
      </c>
      <c r="U1843">
        <f>_xlfn.NUMBERVALUE("-0.000014")</f>
        <v/>
      </c>
      <c r="V1843">
        <f>_xlfn.NUMBERVALUE("0.000111")</f>
        <v/>
      </c>
      <c r="W1843">
        <f>_xlfn.NUMBERVALUE("-0.001587")</f>
        <v/>
      </c>
      <c r="X1843">
        <f>_xlfn.NUMBERVALUE("-1.190000")</f>
        <v/>
      </c>
      <c r="Y1843">
        <f>_xlfn.NUMBERVALUE("27.020000")</f>
        <v/>
      </c>
    </row>
    <row r="1844">
      <c r="A1844" s="1" t="n">
        <v>44677</v>
      </c>
      <c r="B1844">
        <f>_xlfn.NUMBERVALUE("-0.010119")</f>
        <v/>
      </c>
      <c r="C1844" s="2">
        <f>_xlfn.NUMBERVALUE("-0.003996")</f>
        <v/>
      </c>
      <c r="D1844">
        <f>_xlfn.NUMBERVALUE("0.000003")</f>
        <v/>
      </c>
      <c r="E1844">
        <f>_xlfn.NUMBERVALUE("-0.000829")</f>
        <v/>
      </c>
      <c r="F1844">
        <f>_xlfn.NUMBERVALUE("0.000168")</f>
        <v/>
      </c>
      <c r="G1844">
        <f>_xlfn.NUMBERVALUE("-0.000137")</f>
        <v/>
      </c>
      <c r="H1844">
        <f>_xlfn.NUMBERVALUE("0.001355")</f>
        <v/>
      </c>
      <c r="I1844">
        <f>_xlfn.NUMBERVALUE("-0.001778")</f>
        <v/>
      </c>
      <c r="J1844">
        <f>_xlfn.NUMBERVALUE("0.000968")</f>
        <v/>
      </c>
      <c r="K1844">
        <f>_xlfn.NUMBERVALUE("0.001940")</f>
        <v/>
      </c>
      <c r="L1844">
        <f>_xlfn.NUMBERVALUE("0.000747")</f>
        <v/>
      </c>
      <c r="M1844">
        <f>_xlfn.NUMBERVALUE("-0.000506")</f>
        <v/>
      </c>
      <c r="N1844">
        <f>_xlfn.NUMBERVALUE("-0.002899")</f>
        <v/>
      </c>
      <c r="O1844">
        <f>_xlfn.NUMBERVALUE("-0.002018")</f>
        <v/>
      </c>
      <c r="P1844">
        <f>_xlfn.NUMBERVALUE("-0.003705")</f>
        <v/>
      </c>
      <c r="Q1844">
        <f>_xlfn.NUMBERVALUE("-0.001030")</f>
        <v/>
      </c>
      <c r="R1844">
        <f>_xlfn.NUMBERVALUE("-0.003713")</f>
        <v/>
      </c>
      <c r="S1844">
        <f>_xlfn.NUMBERVALUE("-0.001334")</f>
        <v/>
      </c>
      <c r="T1844">
        <f>_xlfn.NUMBERVALUE("-0.000326")</f>
        <v/>
      </c>
      <c r="U1844">
        <f>_xlfn.NUMBERVALUE("-0.006362")</f>
        <v/>
      </c>
      <c r="V1844">
        <f>_xlfn.NUMBERVALUE("-0.000490")</f>
        <v/>
      </c>
      <c r="W1844">
        <f>_xlfn.NUMBERVALUE("-0.023229")</f>
        <v/>
      </c>
      <c r="X1844">
        <f>_xlfn.NUMBERVALUE("6.500000")</f>
        <v/>
      </c>
      <c r="Y1844">
        <f>_xlfn.NUMBERVALUE("33.520000")</f>
        <v/>
      </c>
    </row>
    <row r="1845">
      <c r="A1845" s="1" t="n">
        <v>44678</v>
      </c>
      <c r="B1845">
        <f>_xlfn.NUMBERVALUE("0.007595")</f>
        <v/>
      </c>
      <c r="C1845" s="2">
        <f>_xlfn.NUMBERVALUE("0.001526")</f>
        <v/>
      </c>
      <c r="D1845">
        <f>_xlfn.NUMBERVALUE("-0.004575")</f>
        <v/>
      </c>
      <c r="E1845">
        <f>_xlfn.NUMBERVALUE("-0.000606")</f>
        <v/>
      </c>
      <c r="F1845">
        <f>_xlfn.NUMBERVALUE("0.000626")</f>
        <v/>
      </c>
      <c r="G1845">
        <f>_xlfn.NUMBERVALUE("0.000294")</f>
        <v/>
      </c>
      <c r="H1845">
        <f>_xlfn.NUMBERVALUE("-0.000304")</f>
        <v/>
      </c>
      <c r="I1845">
        <f>_xlfn.NUMBERVALUE("0.000157")</f>
        <v/>
      </c>
      <c r="J1845">
        <f>_xlfn.NUMBERVALUE("0.000007")</f>
        <v/>
      </c>
      <c r="K1845">
        <f>_xlfn.NUMBERVALUE("-0.000892")</f>
        <v/>
      </c>
      <c r="L1845">
        <f>_xlfn.NUMBERVALUE("-0.000549")</f>
        <v/>
      </c>
      <c r="M1845">
        <f>_xlfn.NUMBERVALUE("-0.000131")</f>
        <v/>
      </c>
      <c r="N1845">
        <f>_xlfn.NUMBERVALUE("-0.000432")</f>
        <v/>
      </c>
      <c r="O1845">
        <f>_xlfn.NUMBERVALUE("0.002584")</f>
        <v/>
      </c>
      <c r="P1845">
        <f>_xlfn.NUMBERVALUE("0.001730")</f>
        <v/>
      </c>
      <c r="Q1845">
        <f>_xlfn.NUMBERVALUE("0.002055")</f>
        <v/>
      </c>
      <c r="R1845">
        <f>_xlfn.NUMBERVALUE("0.000842")</f>
        <v/>
      </c>
      <c r="S1845">
        <f>_xlfn.NUMBERVALUE("0.001825")</f>
        <v/>
      </c>
      <c r="T1845">
        <f>_xlfn.NUMBERVALUE("-0.001311")</f>
        <v/>
      </c>
      <c r="U1845">
        <f>_xlfn.NUMBERVALUE("0.001531")</f>
        <v/>
      </c>
      <c r="V1845">
        <f>_xlfn.NUMBERVALUE("-0.000055")</f>
        <v/>
      </c>
      <c r="W1845">
        <f>_xlfn.NUMBERVALUE("0.000144")</f>
        <v/>
      </c>
      <c r="X1845">
        <f>_xlfn.NUMBERVALUE("-1.920000")</f>
        <v/>
      </c>
      <c r="Y1845">
        <f>_xlfn.NUMBERVALUE("31.600000")</f>
        <v/>
      </c>
    </row>
    <row r="1846">
      <c r="A1846" s="1" t="n">
        <v>44679</v>
      </c>
      <c r="B1846">
        <f>_xlfn.NUMBERVALUE("0.004661")</f>
        <v/>
      </c>
      <c r="C1846" s="2">
        <f>_xlfn.NUMBERVALUE("0.000568")</f>
        <v/>
      </c>
      <c r="D1846">
        <f>_xlfn.NUMBERVALUE("0.004868")</f>
        <v/>
      </c>
      <c r="E1846">
        <f>_xlfn.NUMBERVALUE("0.000642")</f>
        <v/>
      </c>
      <c r="F1846">
        <f>_xlfn.NUMBERVALUE("0.001880")</f>
        <v/>
      </c>
      <c r="G1846">
        <f>_xlfn.NUMBERVALUE("-0.000577")</f>
        <v/>
      </c>
      <c r="H1846">
        <f>_xlfn.NUMBERVALUE("0.000223")</f>
        <v/>
      </c>
      <c r="I1846">
        <f>_xlfn.NUMBERVALUE("0.000270")</f>
        <v/>
      </c>
      <c r="J1846">
        <f>_xlfn.NUMBERVALUE("0.000244")</f>
        <v/>
      </c>
      <c r="K1846">
        <f>_xlfn.NUMBERVALUE("0.000220")</f>
        <v/>
      </c>
      <c r="L1846">
        <f>_xlfn.NUMBERVALUE("0.001090")</f>
        <v/>
      </c>
      <c r="M1846">
        <f>_xlfn.NUMBERVALUE("0.001958")</f>
        <v/>
      </c>
      <c r="N1846">
        <f>_xlfn.NUMBERVALUE("-0.009490")</f>
        <v/>
      </c>
      <c r="O1846">
        <f>_xlfn.NUMBERVALUE("0.000332")</f>
        <v/>
      </c>
      <c r="P1846">
        <f>_xlfn.NUMBERVALUE("0.002253")</f>
        <v/>
      </c>
      <c r="Q1846">
        <f>_xlfn.NUMBERVALUE("0.001528")</f>
        <v/>
      </c>
      <c r="R1846">
        <f>_xlfn.NUMBERVALUE("0.000765")</f>
        <v/>
      </c>
      <c r="S1846">
        <f>_xlfn.NUMBERVALUE("0.001441")</f>
        <v/>
      </c>
      <c r="T1846">
        <f>_xlfn.NUMBERVALUE("0.002419")</f>
        <v/>
      </c>
      <c r="U1846">
        <f>_xlfn.NUMBERVALUE("0.001510")</f>
        <v/>
      </c>
      <c r="V1846">
        <f>_xlfn.NUMBERVALUE("0.000139")</f>
        <v/>
      </c>
      <c r="W1846">
        <f>_xlfn.NUMBERVALUE("0.024022")</f>
        <v/>
      </c>
      <c r="X1846">
        <f>_xlfn.NUMBERVALUE("-1.610000")</f>
        <v/>
      </c>
      <c r="Y1846">
        <f>_xlfn.NUMBERVALUE("29.990000")</f>
        <v/>
      </c>
    </row>
    <row r="1847">
      <c r="A1847" s="1" t="n">
        <v>44680</v>
      </c>
      <c r="B1847">
        <f>_xlfn.NUMBERVALUE("-0.001695")</f>
        <v/>
      </c>
      <c r="C1847" s="2">
        <f>_xlfn.NUMBERVALUE("-0.002822")</f>
        <v/>
      </c>
      <c r="D1847">
        <f>_xlfn.NUMBERVALUE("-0.000882")</f>
        <v/>
      </c>
      <c r="E1847">
        <f>_xlfn.NUMBERVALUE("0.000543")</f>
        <v/>
      </c>
      <c r="F1847">
        <f>_xlfn.NUMBERVALUE("0.000589")</f>
        <v/>
      </c>
      <c r="G1847">
        <f>_xlfn.NUMBERVALUE("-0.000113")</f>
        <v/>
      </c>
      <c r="H1847">
        <f>_xlfn.NUMBERVALUE("0.000015")</f>
        <v/>
      </c>
      <c r="I1847">
        <f>_xlfn.NUMBERVALUE("-0.000411")</f>
        <v/>
      </c>
      <c r="J1847">
        <f>_xlfn.NUMBERVALUE("0.000000")</f>
        <v/>
      </c>
      <c r="K1847">
        <f>_xlfn.NUMBERVALUE("-0.000515")</f>
        <v/>
      </c>
      <c r="L1847">
        <f>_xlfn.NUMBERVALUE("0.000211")</f>
        <v/>
      </c>
      <c r="M1847">
        <f>_xlfn.NUMBERVALUE("-0.003257")</f>
        <v/>
      </c>
      <c r="N1847">
        <f>_xlfn.NUMBERVALUE("0.001093")</f>
        <v/>
      </c>
      <c r="O1847">
        <f>_xlfn.NUMBERVALUE("-0.002600")</f>
        <v/>
      </c>
      <c r="P1847">
        <f>_xlfn.NUMBERVALUE("-0.004281")</f>
        <v/>
      </c>
      <c r="Q1847">
        <f>_xlfn.NUMBERVALUE("-0.003532")</f>
        <v/>
      </c>
      <c r="R1847">
        <f>_xlfn.NUMBERVALUE("-0.004936")</f>
        <v/>
      </c>
      <c r="S1847">
        <f>_xlfn.NUMBERVALUE("-0.005518")</f>
        <v/>
      </c>
      <c r="T1847">
        <f>_xlfn.NUMBERVALUE("-0.002870")</f>
        <v/>
      </c>
      <c r="U1847">
        <f>_xlfn.NUMBERVALUE("-0.007297")</f>
        <v/>
      </c>
      <c r="V1847">
        <f>_xlfn.NUMBERVALUE("-0.000446")</f>
        <v/>
      </c>
      <c r="W1847">
        <f>_xlfn.NUMBERVALUE("-0.033288")</f>
        <v/>
      </c>
      <c r="X1847">
        <f>_xlfn.NUMBERVALUE("3.410000")</f>
        <v/>
      </c>
      <c r="Y1847">
        <f>_xlfn.NUMBERVALUE("33.400000")</f>
        <v/>
      </c>
    </row>
    <row r="1848">
      <c r="A1848" s="1" t="n">
        <v>44683</v>
      </c>
      <c r="B1848">
        <f>_xlfn.NUMBERVALUE("-0.004987")</f>
        <v/>
      </c>
      <c r="C1848" s="2">
        <f>_xlfn.NUMBERVALUE("0.000028")</f>
        <v/>
      </c>
      <c r="D1848">
        <f>_xlfn.NUMBERVALUE("0.002661")</f>
        <v/>
      </c>
      <c r="E1848">
        <f>_xlfn.NUMBERVALUE("0.000123")</f>
        <v/>
      </c>
      <c r="F1848">
        <f>_xlfn.NUMBERVALUE("-0.002471")</f>
        <v/>
      </c>
      <c r="G1848">
        <f>_xlfn.NUMBERVALUE("0.002076")</f>
        <v/>
      </c>
      <c r="H1848">
        <f>_xlfn.NUMBERVALUE("0.000777")</f>
        <v/>
      </c>
      <c r="I1848">
        <f>_xlfn.NUMBERVALUE("0.000024")</f>
        <v/>
      </c>
      <c r="J1848">
        <f>_xlfn.NUMBERVALUE("0.001053")</f>
        <v/>
      </c>
      <c r="K1848">
        <f>_xlfn.NUMBERVALUE("0.000604")</f>
        <v/>
      </c>
      <c r="L1848">
        <f>_xlfn.NUMBERVALUE("-0.000095")</f>
        <v/>
      </c>
      <c r="M1848">
        <f>_xlfn.NUMBERVALUE("0.000072")</f>
        <v/>
      </c>
      <c r="N1848">
        <f>_xlfn.NUMBERVALUE("0.001606")</f>
        <v/>
      </c>
      <c r="O1848">
        <f>_xlfn.NUMBERVALUE("0.003003")</f>
        <v/>
      </c>
      <c r="P1848">
        <f>_xlfn.NUMBERVALUE("0.000012")</f>
        <v/>
      </c>
      <c r="Q1848">
        <f>_xlfn.NUMBERVALUE("0.000081")</f>
        <v/>
      </c>
      <c r="R1848">
        <f>_xlfn.NUMBERVALUE("0.000323")</f>
        <v/>
      </c>
      <c r="S1848">
        <f>_xlfn.NUMBERVALUE("-0.002946")</f>
        <v/>
      </c>
      <c r="T1848">
        <f>_xlfn.NUMBERVALUE("0.000563")</f>
        <v/>
      </c>
      <c r="U1848">
        <f>_xlfn.NUMBERVALUE("-0.000267")</f>
        <v/>
      </c>
      <c r="V1848">
        <f>_xlfn.NUMBERVALUE("0.000132")</f>
        <v/>
      </c>
      <c r="W1848">
        <f>_xlfn.NUMBERVALUE("-0.003219")</f>
        <v/>
      </c>
      <c r="X1848">
        <f>_xlfn.NUMBERVALUE("-1.060000")</f>
        <v/>
      </c>
      <c r="Y1848">
        <f>_xlfn.NUMBERVALUE("32.340000")</f>
        <v/>
      </c>
    </row>
    <row r="1849">
      <c r="A1849" s="1" t="n">
        <v>44684</v>
      </c>
      <c r="B1849">
        <f>_xlfn.NUMBERVALUE("-0.000211")</f>
        <v/>
      </c>
      <c r="C1849" s="2">
        <f>_xlfn.NUMBERVALUE("0.000208")</f>
        <v/>
      </c>
      <c r="D1849">
        <f>_xlfn.NUMBERVALUE("0.000135")</f>
        <v/>
      </c>
      <c r="E1849">
        <f>_xlfn.NUMBERVALUE("0.000157")</f>
        <v/>
      </c>
      <c r="F1849">
        <f>_xlfn.NUMBERVALUE("0.000206")</f>
        <v/>
      </c>
      <c r="G1849">
        <f>_xlfn.NUMBERVALUE("0.000184")</f>
        <v/>
      </c>
      <c r="H1849">
        <f>_xlfn.NUMBERVALUE("-0.000380")</f>
        <v/>
      </c>
      <c r="I1849">
        <f>_xlfn.NUMBERVALUE("0.000006")</f>
        <v/>
      </c>
      <c r="J1849">
        <f>_xlfn.NUMBERVALUE("0.000006")</f>
        <v/>
      </c>
      <c r="K1849">
        <f>_xlfn.NUMBERVALUE("0.000157")</f>
        <v/>
      </c>
      <c r="L1849">
        <f>_xlfn.NUMBERVALUE("0.000423")</f>
        <v/>
      </c>
      <c r="M1849">
        <f>_xlfn.NUMBERVALUE("0.001555")</f>
        <v/>
      </c>
      <c r="N1849">
        <f>_xlfn.NUMBERVALUE("0.000846")</f>
        <v/>
      </c>
      <c r="O1849">
        <f>_xlfn.NUMBERVALUE("0.001191")</f>
        <v/>
      </c>
      <c r="P1849">
        <f>_xlfn.NUMBERVALUE("0.000876")</f>
        <v/>
      </c>
      <c r="Q1849">
        <f>_xlfn.NUMBERVALUE("0.000370")</f>
        <v/>
      </c>
      <c r="R1849">
        <f>_xlfn.NUMBERVALUE("0.001208")</f>
        <v/>
      </c>
      <c r="S1849">
        <f>_xlfn.NUMBERVALUE("0.002149")</f>
        <v/>
      </c>
      <c r="T1849">
        <f>_xlfn.NUMBERVALUE("0.000545")</f>
        <v/>
      </c>
      <c r="U1849">
        <f>_xlfn.NUMBERVALUE("0.001632")</f>
        <v/>
      </c>
      <c r="V1849">
        <f>_xlfn.NUMBERVALUE("0.000002")</f>
        <v/>
      </c>
      <c r="W1849">
        <f>_xlfn.NUMBERVALUE("0.006473")</f>
        <v/>
      </c>
      <c r="X1849">
        <f>_xlfn.NUMBERVALUE("-3.090000")</f>
        <v/>
      </c>
      <c r="Y1849">
        <f>_xlfn.NUMBERVALUE("29.250000")</f>
        <v/>
      </c>
    </row>
    <row r="1850">
      <c r="A1850" s="1" t="n">
        <v>44685</v>
      </c>
      <c r="B1850">
        <f>_xlfn.NUMBERVALUE("0.011087")</f>
        <v/>
      </c>
      <c r="C1850" s="2">
        <f>_xlfn.NUMBERVALUE("0.000007")</f>
        <v/>
      </c>
      <c r="D1850">
        <f>_xlfn.NUMBERVALUE("-0.000007")</f>
        <v/>
      </c>
      <c r="E1850">
        <f>_xlfn.NUMBERVALUE("-0.000015")</f>
        <v/>
      </c>
      <c r="F1850">
        <f>_xlfn.NUMBERVALUE("0.000065")</f>
        <v/>
      </c>
      <c r="G1850">
        <f>_xlfn.NUMBERVALUE("0.000127")</f>
        <v/>
      </c>
      <c r="H1850">
        <f>_xlfn.NUMBERVALUE("0.000009")</f>
        <v/>
      </c>
      <c r="I1850">
        <f>_xlfn.NUMBERVALUE("-0.000006")</f>
        <v/>
      </c>
      <c r="J1850">
        <f>_xlfn.NUMBERVALUE("0.000090")</f>
        <v/>
      </c>
      <c r="K1850">
        <f>_xlfn.NUMBERVALUE("0.000097")</f>
        <v/>
      </c>
      <c r="L1850">
        <f>_xlfn.NUMBERVALUE("0.000150")</f>
        <v/>
      </c>
      <c r="M1850">
        <f>_xlfn.NUMBERVALUE("-0.003384")</f>
        <v/>
      </c>
      <c r="N1850">
        <f>_xlfn.NUMBERVALUE("-0.000387")</f>
        <v/>
      </c>
      <c r="O1850">
        <f>_xlfn.NUMBERVALUE("-0.009345")</f>
        <v/>
      </c>
      <c r="P1850">
        <f>_xlfn.NUMBERVALUE("0.000898")</f>
        <v/>
      </c>
      <c r="Q1850">
        <f>_xlfn.NUMBERVALUE("-0.000560")</f>
        <v/>
      </c>
      <c r="R1850">
        <f>_xlfn.NUMBERVALUE("0.000042")</f>
        <v/>
      </c>
      <c r="S1850">
        <f>_xlfn.NUMBERVALUE("-0.003120")</f>
        <v/>
      </c>
      <c r="T1850">
        <f>_xlfn.NUMBERVALUE("-0.000704")</f>
        <v/>
      </c>
      <c r="U1850">
        <f>_xlfn.NUMBERVALUE("-0.000364")</f>
        <v/>
      </c>
      <c r="V1850">
        <f>_xlfn.NUMBERVALUE("-0.000007")</f>
        <v/>
      </c>
      <c r="W1850">
        <f>_xlfn.NUMBERVALUE("0.015969")</f>
        <v/>
      </c>
      <c r="X1850">
        <f>_xlfn.NUMBERVALUE("-3.830000")</f>
        <v/>
      </c>
      <c r="Y1850">
        <f>_xlfn.NUMBERVALUE("25.420000")</f>
        <v/>
      </c>
    </row>
    <row r="1851">
      <c r="A1851" s="1" t="n">
        <v>44686</v>
      </c>
      <c r="B1851">
        <f>_xlfn.NUMBERVALUE("-0.023935")</f>
        <v/>
      </c>
      <c r="C1851" s="2">
        <f>_xlfn.NUMBERVALUE("-0.013327")</f>
        <v/>
      </c>
      <c r="D1851">
        <f>_xlfn.NUMBERVALUE("-0.014422")</f>
        <v/>
      </c>
      <c r="E1851">
        <f>_xlfn.NUMBERVALUE("-0.009832")</f>
        <v/>
      </c>
      <c r="F1851">
        <f>_xlfn.NUMBERVALUE("-0.000339")</f>
        <v/>
      </c>
      <c r="G1851">
        <f>_xlfn.NUMBERVALUE("-0.005636")</f>
        <v/>
      </c>
      <c r="H1851">
        <f>_xlfn.NUMBERVALUE("-0.000848")</f>
        <v/>
      </c>
      <c r="I1851">
        <f>_xlfn.NUMBERVALUE("-0.014668")</f>
        <v/>
      </c>
      <c r="J1851">
        <f>_xlfn.NUMBERVALUE("-0.002436")</f>
        <v/>
      </c>
      <c r="K1851">
        <f>_xlfn.NUMBERVALUE("-0.005961")</f>
        <v/>
      </c>
      <c r="L1851">
        <f>_xlfn.NUMBERVALUE("0.000089")</f>
        <v/>
      </c>
      <c r="M1851">
        <f>_xlfn.NUMBERVALUE("-0.013804")</f>
        <v/>
      </c>
      <c r="N1851">
        <f>_xlfn.NUMBERVALUE("-0.002090")</f>
        <v/>
      </c>
      <c r="O1851">
        <f>_xlfn.NUMBERVALUE("-0.001502")</f>
        <v/>
      </c>
      <c r="P1851">
        <f>_xlfn.NUMBERVALUE("-0.003910")</f>
        <v/>
      </c>
      <c r="Q1851">
        <f>_xlfn.NUMBERVALUE("-0.008773")</f>
        <v/>
      </c>
      <c r="R1851">
        <f>_xlfn.NUMBERVALUE("-0.007978")</f>
        <v/>
      </c>
      <c r="S1851">
        <f>_xlfn.NUMBERVALUE("-0.005781")</f>
        <v/>
      </c>
      <c r="T1851">
        <f>_xlfn.NUMBERVALUE("0.000114")</f>
        <v/>
      </c>
      <c r="U1851">
        <f>_xlfn.NUMBERVALUE("-0.003739")</f>
        <v/>
      </c>
      <c r="V1851">
        <f>_xlfn.NUMBERVALUE("-0.012963")</f>
        <v/>
      </c>
      <c r="W1851">
        <f>_xlfn.NUMBERVALUE("-0.038139")</f>
        <v/>
      </c>
      <c r="X1851">
        <f>_xlfn.NUMBERVALUE("5.780000")</f>
        <v/>
      </c>
      <c r="Y1851">
        <f>_xlfn.NUMBERVALUE("31.200000")</f>
        <v/>
      </c>
    </row>
    <row r="1852">
      <c r="A1852" s="1" t="n">
        <v>44687</v>
      </c>
      <c r="B1852">
        <f>_xlfn.NUMBERVALUE("-0.003044")</f>
        <v/>
      </c>
      <c r="C1852" s="2">
        <f>_xlfn.NUMBERVALUE("0.002881")</f>
        <v/>
      </c>
      <c r="D1852">
        <f>_xlfn.NUMBERVALUE("0.003977")</f>
        <v/>
      </c>
      <c r="E1852">
        <f>_xlfn.NUMBERVALUE("0.003688")</f>
        <v/>
      </c>
      <c r="F1852">
        <f>_xlfn.NUMBERVALUE("0.001207")</f>
        <v/>
      </c>
      <c r="G1852">
        <f>_xlfn.NUMBERVALUE("0.000663")</f>
        <v/>
      </c>
      <c r="H1852">
        <f>_xlfn.NUMBERVALUE("-0.000535")</f>
        <v/>
      </c>
      <c r="I1852">
        <f>_xlfn.NUMBERVALUE("0.002223")</f>
        <v/>
      </c>
      <c r="J1852">
        <f>_xlfn.NUMBERVALUE("-0.000886")</f>
        <v/>
      </c>
      <c r="K1852">
        <f>_xlfn.NUMBERVALUE("0.002191")</f>
        <v/>
      </c>
      <c r="L1852">
        <f>_xlfn.NUMBERVALUE("-0.002181")</f>
        <v/>
      </c>
      <c r="M1852">
        <f>_xlfn.NUMBERVALUE("0.003709")</f>
        <v/>
      </c>
      <c r="N1852">
        <f>_xlfn.NUMBERVALUE("0.000145")</f>
        <v/>
      </c>
      <c r="O1852">
        <f>_xlfn.NUMBERVALUE("-0.003665")</f>
        <v/>
      </c>
      <c r="P1852">
        <f>_xlfn.NUMBERVALUE("0.000531")</f>
        <v/>
      </c>
      <c r="Q1852">
        <f>_xlfn.NUMBERVALUE("-0.001523")</f>
        <v/>
      </c>
      <c r="R1852">
        <f>_xlfn.NUMBERVALUE("0.001934")</f>
        <v/>
      </c>
      <c r="S1852">
        <f>_xlfn.NUMBERVALUE("0.004063")</f>
        <v/>
      </c>
      <c r="T1852">
        <f>_xlfn.NUMBERVALUE("0.000721")</f>
        <v/>
      </c>
      <c r="U1852">
        <f>_xlfn.NUMBERVALUE("0.002235")</f>
        <v/>
      </c>
      <c r="V1852">
        <f>_xlfn.NUMBERVALUE("0.002666")</f>
        <v/>
      </c>
      <c r="W1852">
        <f>_xlfn.NUMBERVALUE("-0.002742")</f>
        <v/>
      </c>
      <c r="X1852">
        <f>_xlfn.NUMBERVALUE("-1.010000")</f>
        <v/>
      </c>
      <c r="Y1852">
        <f>_xlfn.NUMBERVALUE("30.190000")</f>
        <v/>
      </c>
    </row>
    <row r="1853">
      <c r="A1853" s="1" t="n">
        <v>44690</v>
      </c>
      <c r="B1853">
        <f>_xlfn.NUMBERVALUE("-0.011494")</f>
        <v/>
      </c>
      <c r="C1853" s="2">
        <f>_xlfn.NUMBERVALUE("-0.003525")</f>
        <v/>
      </c>
      <c r="D1853">
        <f>_xlfn.NUMBERVALUE("-0.004499")</f>
        <v/>
      </c>
      <c r="E1853">
        <f>_xlfn.NUMBERVALUE("-0.004745")</f>
        <v/>
      </c>
      <c r="F1853">
        <f>_xlfn.NUMBERVALUE("-0.003450")</f>
        <v/>
      </c>
      <c r="G1853">
        <f>_xlfn.NUMBERVALUE("-0.000969")</f>
        <v/>
      </c>
      <c r="H1853">
        <f>_xlfn.NUMBERVALUE("0.000660")</f>
        <v/>
      </c>
      <c r="I1853">
        <f>_xlfn.NUMBERVALUE("-0.005305")</f>
        <v/>
      </c>
      <c r="J1853">
        <f>_xlfn.NUMBERVALUE("0.001576")</f>
        <v/>
      </c>
      <c r="K1853">
        <f>_xlfn.NUMBERVALUE("-0.005362")</f>
        <v/>
      </c>
      <c r="L1853">
        <f>_xlfn.NUMBERVALUE("0.002569")</f>
        <v/>
      </c>
      <c r="M1853">
        <f>_xlfn.NUMBERVALUE("-0.000589")</f>
        <v/>
      </c>
      <c r="N1853">
        <f>_xlfn.NUMBERVALUE("-0.000426")</f>
        <v/>
      </c>
      <c r="O1853">
        <f>_xlfn.NUMBERVALUE("-0.035249")</f>
        <v/>
      </c>
      <c r="P1853">
        <f>_xlfn.NUMBERVALUE("-0.000093")</f>
        <v/>
      </c>
      <c r="Q1853">
        <f>_xlfn.NUMBERVALUE("0.003173")</f>
        <v/>
      </c>
      <c r="R1853">
        <f>_xlfn.NUMBERVALUE("-0.000050")</f>
        <v/>
      </c>
      <c r="S1853">
        <f>_xlfn.NUMBERVALUE("0.001570")</f>
        <v/>
      </c>
      <c r="T1853">
        <f>_xlfn.NUMBERVALUE("-0.000033")</f>
        <v/>
      </c>
      <c r="U1853">
        <f>_xlfn.NUMBERVALUE("-0.000049")</f>
        <v/>
      </c>
      <c r="V1853">
        <f>_xlfn.NUMBERVALUE("-0.004955")</f>
        <v/>
      </c>
      <c r="W1853">
        <f>_xlfn.NUMBERVALUE("-0.030222")</f>
        <v/>
      </c>
      <c r="X1853">
        <f>_xlfn.NUMBERVALUE("4.560000")</f>
        <v/>
      </c>
      <c r="Y1853">
        <f>_xlfn.NUMBERVALUE("34.750000")</f>
        <v/>
      </c>
    </row>
    <row r="1854">
      <c r="A1854" s="1" t="n">
        <v>44691</v>
      </c>
      <c r="B1854">
        <f>_xlfn.NUMBERVALUE("0.001430")</f>
        <v/>
      </c>
      <c r="C1854" s="2">
        <f>_xlfn.NUMBERVALUE("0.001149")</f>
        <v/>
      </c>
      <c r="D1854">
        <f>_xlfn.NUMBERVALUE("0.001699")</f>
        <v/>
      </c>
      <c r="E1854">
        <f>_xlfn.NUMBERVALUE("0.001792")</f>
        <v/>
      </c>
      <c r="F1854">
        <f>_xlfn.NUMBERVALUE("0.000989")</f>
        <v/>
      </c>
      <c r="G1854">
        <f>_xlfn.NUMBERVALUE("0.001079")</f>
        <v/>
      </c>
      <c r="H1854">
        <f>_xlfn.NUMBERVALUE("-0.000014")</f>
        <v/>
      </c>
      <c r="I1854">
        <f>_xlfn.NUMBERVALUE("0.000304")</f>
        <v/>
      </c>
      <c r="J1854">
        <f>_xlfn.NUMBERVALUE("0.000671")</f>
        <v/>
      </c>
      <c r="K1854">
        <f>_xlfn.NUMBERVALUE("-0.000163")</f>
        <v/>
      </c>
      <c r="L1854">
        <f>_xlfn.NUMBERVALUE("0.000305")</f>
        <v/>
      </c>
      <c r="M1854">
        <f>_xlfn.NUMBERVALUE("0.002390")</f>
        <v/>
      </c>
      <c r="N1854">
        <f>_xlfn.NUMBERVALUE("-0.001552")</f>
        <v/>
      </c>
      <c r="O1854">
        <f>_xlfn.NUMBERVALUE("0.002234")</f>
        <v/>
      </c>
      <c r="P1854">
        <f>_xlfn.NUMBERVALUE("0.003414")</f>
        <v/>
      </c>
      <c r="Q1854">
        <f>_xlfn.NUMBERVALUE("0.005449")</f>
        <v/>
      </c>
      <c r="R1854">
        <f>_xlfn.NUMBERVALUE("-0.000976")</f>
        <v/>
      </c>
      <c r="S1854">
        <f>_xlfn.NUMBERVALUE("0.003282")</f>
        <v/>
      </c>
      <c r="T1854">
        <f>_xlfn.NUMBERVALUE("0.001559")</f>
        <v/>
      </c>
      <c r="U1854">
        <f>_xlfn.NUMBERVALUE("0.001518")</f>
        <v/>
      </c>
      <c r="V1854">
        <f>_xlfn.NUMBERVALUE("0.001178")</f>
        <v/>
      </c>
      <c r="W1854">
        <f>_xlfn.NUMBERVALUE("-0.000025")</f>
        <v/>
      </c>
      <c r="X1854">
        <f>_xlfn.NUMBERVALUE("-1.760000")</f>
        <v/>
      </c>
      <c r="Y1854">
        <f>_xlfn.NUMBERVALUE("32.990000")</f>
        <v/>
      </c>
    </row>
    <row r="1855">
      <c r="A1855" s="1" t="n">
        <v>44692</v>
      </c>
      <c r="B1855">
        <f>_xlfn.NUMBERVALUE("-0.003845")</f>
        <v/>
      </c>
      <c r="C1855" s="2">
        <f>_xlfn.NUMBERVALUE("0.000745")</f>
        <v/>
      </c>
      <c r="D1855">
        <f>_xlfn.NUMBERVALUE("0.001386")</f>
        <v/>
      </c>
      <c r="E1855">
        <f>_xlfn.NUMBERVALUE("-0.001485")</f>
        <v/>
      </c>
      <c r="F1855">
        <f>_xlfn.NUMBERVALUE("0.000503")</f>
        <v/>
      </c>
      <c r="G1855">
        <f>_xlfn.NUMBERVALUE("-0.000049")</f>
        <v/>
      </c>
      <c r="H1855">
        <f>_xlfn.NUMBERVALUE("0.000626")</f>
        <v/>
      </c>
      <c r="I1855">
        <f>_xlfn.NUMBERVALUE("0.000023")</f>
        <v/>
      </c>
      <c r="J1855">
        <f>_xlfn.NUMBERVALUE("0.000436")</f>
        <v/>
      </c>
      <c r="K1855">
        <f>_xlfn.NUMBERVALUE("0.002149")</f>
        <v/>
      </c>
      <c r="L1855">
        <f>_xlfn.NUMBERVALUE("0.001462")</f>
        <v/>
      </c>
      <c r="M1855">
        <f>_xlfn.NUMBERVALUE("0.000836")</f>
        <v/>
      </c>
      <c r="N1855">
        <f>_xlfn.NUMBERVALUE("0.000384")</f>
        <v/>
      </c>
      <c r="O1855">
        <f>_xlfn.NUMBERVALUE("0.001931")</f>
        <v/>
      </c>
      <c r="P1855">
        <f>_xlfn.NUMBERVALUE("0.003075")</f>
        <v/>
      </c>
      <c r="Q1855">
        <f>_xlfn.NUMBERVALUE("0.002945")</f>
        <v/>
      </c>
      <c r="R1855">
        <f>_xlfn.NUMBERVALUE("0.001435")</f>
        <v/>
      </c>
      <c r="S1855">
        <f>_xlfn.NUMBERVALUE("0.002572")</f>
        <v/>
      </c>
      <c r="T1855">
        <f>_xlfn.NUMBERVALUE("-0.000856")</f>
        <v/>
      </c>
      <c r="U1855">
        <f>_xlfn.NUMBERVALUE("0.001123")</f>
        <v/>
      </c>
      <c r="V1855">
        <f>_xlfn.NUMBERVALUE("0.000113")</f>
        <v/>
      </c>
      <c r="W1855">
        <f>_xlfn.NUMBERVALUE("-0.014127")</f>
        <v/>
      </c>
      <c r="X1855">
        <f>_xlfn.NUMBERVALUE("-0.430000")</f>
        <v/>
      </c>
      <c r="Y1855">
        <f>_xlfn.NUMBERVALUE("32.560000")</f>
        <v/>
      </c>
    </row>
    <row r="1856">
      <c r="A1856" s="1" t="n">
        <v>44693</v>
      </c>
      <c r="B1856">
        <f>_xlfn.NUMBERVALUE("-0.000660")</f>
        <v/>
      </c>
      <c r="C1856" s="2">
        <f>_xlfn.NUMBERVALUE("-0.000022")</f>
        <v/>
      </c>
      <c r="D1856">
        <f>_xlfn.NUMBERVALUE("-0.000178")</f>
        <v/>
      </c>
      <c r="E1856">
        <f>_xlfn.NUMBERVALUE("0.002117")</f>
        <v/>
      </c>
      <c r="F1856">
        <f>_xlfn.NUMBERVALUE("-0.003007")</f>
        <v/>
      </c>
      <c r="G1856">
        <f>_xlfn.NUMBERVALUE("0.000528")</f>
        <v/>
      </c>
      <c r="H1856">
        <f>_xlfn.NUMBERVALUE("-0.000466")</f>
        <v/>
      </c>
      <c r="I1856">
        <f>_xlfn.NUMBERVALUE("0.000160")</f>
        <v/>
      </c>
      <c r="J1856">
        <f>_xlfn.NUMBERVALUE("0.001724")</f>
        <v/>
      </c>
      <c r="K1856">
        <f>_xlfn.NUMBERVALUE("-0.006703")</f>
        <v/>
      </c>
      <c r="L1856">
        <f>_xlfn.NUMBERVALUE("0.000043")</f>
        <v/>
      </c>
      <c r="M1856">
        <f>_xlfn.NUMBERVALUE("0.000201")</f>
        <v/>
      </c>
      <c r="N1856">
        <f>_xlfn.NUMBERVALUE("0.001533")</f>
        <v/>
      </c>
      <c r="O1856">
        <f>_xlfn.NUMBERVALUE("-0.001411")</f>
        <v/>
      </c>
      <c r="P1856">
        <f>_xlfn.NUMBERVALUE("-0.000106")</f>
        <v/>
      </c>
      <c r="Q1856">
        <f>_xlfn.NUMBERVALUE("0.000341")</f>
        <v/>
      </c>
      <c r="R1856">
        <f>_xlfn.NUMBERVALUE("-0.001109")</f>
        <v/>
      </c>
      <c r="S1856">
        <f>_xlfn.NUMBERVALUE("0.000818")</f>
        <v/>
      </c>
      <c r="T1856">
        <f>_xlfn.NUMBERVALUE("0.001145")</f>
        <v/>
      </c>
      <c r="U1856">
        <f>_xlfn.NUMBERVALUE("0.000611")</f>
        <v/>
      </c>
      <c r="V1856">
        <f>_xlfn.NUMBERVALUE("-0.000413")</f>
        <v/>
      </c>
      <c r="W1856">
        <f>_xlfn.NUMBERVALUE("-0.008043")</f>
        <v/>
      </c>
      <c r="X1856">
        <f>_xlfn.NUMBERVALUE("-0.790000")</f>
        <v/>
      </c>
      <c r="Y1856">
        <f>_xlfn.NUMBERVALUE("31.770000")</f>
        <v/>
      </c>
    </row>
    <row r="1857">
      <c r="A1857" s="1" t="n">
        <v>44694</v>
      </c>
      <c r="B1857">
        <f>_xlfn.NUMBERVALUE("0.000341")</f>
        <v/>
      </c>
      <c r="C1857" s="2">
        <f>_xlfn.NUMBERVALUE("0.001298")</f>
        <v/>
      </c>
      <c r="D1857">
        <f>_xlfn.NUMBERVALUE("0.002068")</f>
        <v/>
      </c>
      <c r="E1857">
        <f>_xlfn.NUMBERVALUE("0.000586")</f>
        <v/>
      </c>
      <c r="F1857">
        <f>_xlfn.NUMBERVALUE("0.000095")</f>
        <v/>
      </c>
      <c r="G1857">
        <f>_xlfn.NUMBERVALUE("0.000887")</f>
        <v/>
      </c>
      <c r="H1857">
        <f>_xlfn.NUMBERVALUE("0.000758")</f>
        <v/>
      </c>
      <c r="I1857">
        <f>_xlfn.NUMBERVALUE("0.000550")</f>
        <v/>
      </c>
      <c r="J1857">
        <f>_xlfn.NUMBERVALUE("0.001905")</f>
        <v/>
      </c>
      <c r="K1857">
        <f>_xlfn.NUMBERVALUE("0.003169")</f>
        <v/>
      </c>
      <c r="L1857">
        <f>_xlfn.NUMBERVALUE("0.000713")</f>
        <v/>
      </c>
      <c r="M1857">
        <f>_xlfn.NUMBERVALUE("0.000688")</f>
        <v/>
      </c>
      <c r="N1857">
        <f>_xlfn.NUMBERVALUE("-0.000051")</f>
        <v/>
      </c>
      <c r="O1857">
        <f>_xlfn.NUMBERVALUE("0.000010")</f>
        <v/>
      </c>
      <c r="P1857">
        <f>_xlfn.NUMBERVALUE("0.002637")</f>
        <v/>
      </c>
      <c r="Q1857">
        <f>_xlfn.NUMBERVALUE("0.003146")</f>
        <v/>
      </c>
      <c r="R1857">
        <f>_xlfn.NUMBERVALUE("0.000117")</f>
        <v/>
      </c>
      <c r="S1857">
        <f>_xlfn.NUMBERVALUE("0.000022")</f>
        <v/>
      </c>
      <c r="T1857">
        <f>_xlfn.NUMBERVALUE("0.001609")</f>
        <v/>
      </c>
      <c r="U1857">
        <f>_xlfn.NUMBERVALUE("-0.002978")</f>
        <v/>
      </c>
      <c r="V1857">
        <f>_xlfn.NUMBERVALUE("0.000969")</f>
        <v/>
      </c>
      <c r="W1857">
        <f>_xlfn.NUMBERVALUE("0.030944")</f>
        <v/>
      </c>
      <c r="X1857">
        <f>_xlfn.NUMBERVALUE("-2.900000")</f>
        <v/>
      </c>
      <c r="Y1857">
        <f>_xlfn.NUMBERVALUE("28.870000")</f>
        <v/>
      </c>
    </row>
    <row r="1858">
      <c r="A1858" s="1" t="n">
        <v>44697</v>
      </c>
      <c r="B1858">
        <f>_xlfn.NUMBERVALUE("-0.001466")</f>
        <v/>
      </c>
      <c r="C1858" s="2">
        <f>_xlfn.NUMBERVALUE("0.001284")</f>
        <v/>
      </c>
      <c r="D1858">
        <f>_xlfn.NUMBERVALUE("0.000783")</f>
        <v/>
      </c>
      <c r="E1858">
        <f>_xlfn.NUMBERVALUE("0.001486")</f>
        <v/>
      </c>
      <c r="F1858">
        <f>_xlfn.NUMBERVALUE("0.001685")</f>
        <v/>
      </c>
      <c r="G1858">
        <f>_xlfn.NUMBERVALUE("0.000832")</f>
        <v/>
      </c>
      <c r="H1858">
        <f>_xlfn.NUMBERVALUE("0.000939")</f>
        <v/>
      </c>
      <c r="I1858">
        <f>_xlfn.NUMBERVALUE("0.000754")</f>
        <v/>
      </c>
      <c r="J1858">
        <f>_xlfn.NUMBERVALUE("0.001559")</f>
        <v/>
      </c>
      <c r="K1858">
        <f>_xlfn.NUMBERVALUE("-0.002360")</f>
        <v/>
      </c>
      <c r="L1858">
        <f>_xlfn.NUMBERVALUE("0.003200")</f>
        <v/>
      </c>
      <c r="M1858">
        <f>_xlfn.NUMBERVALUE("0.008146")</f>
        <v/>
      </c>
      <c r="N1858">
        <f>_xlfn.NUMBERVALUE("0.000442")</f>
        <v/>
      </c>
      <c r="O1858">
        <f>_xlfn.NUMBERVALUE("0.003135")</f>
        <v/>
      </c>
      <c r="P1858">
        <f>_xlfn.NUMBERVALUE("0.005648")</f>
        <v/>
      </c>
      <c r="Q1858">
        <f>_xlfn.NUMBERVALUE("0.004891")</f>
        <v/>
      </c>
      <c r="R1858">
        <f>_xlfn.NUMBERVALUE("0.006133")</f>
        <v/>
      </c>
      <c r="S1858">
        <f>_xlfn.NUMBERVALUE("0.001462")</f>
        <v/>
      </c>
      <c r="T1858">
        <f>_xlfn.NUMBERVALUE("0.003125")</f>
        <v/>
      </c>
      <c r="U1858">
        <f>_xlfn.NUMBERVALUE("0.003950")</f>
        <v/>
      </c>
      <c r="V1858">
        <f>_xlfn.NUMBERVALUE("0.001982")</f>
        <v/>
      </c>
      <c r="W1858">
        <f>_xlfn.NUMBERVALUE("-0.004706")</f>
        <v/>
      </c>
      <c r="X1858">
        <f>_xlfn.NUMBERVALUE("-1.400000")</f>
        <v/>
      </c>
      <c r="Y1858">
        <f>_xlfn.NUMBERVALUE("27.470000")</f>
        <v/>
      </c>
    </row>
    <row r="1859">
      <c r="A1859" s="1" t="n">
        <v>44698</v>
      </c>
      <c r="B1859">
        <f>_xlfn.NUMBERVALUE("0.002761")</f>
        <v/>
      </c>
      <c r="C1859" s="2">
        <f>_xlfn.NUMBERVALUE("0.001567")</f>
        <v/>
      </c>
      <c r="D1859">
        <f>_xlfn.NUMBERVALUE("0.000509")</f>
        <v/>
      </c>
      <c r="E1859">
        <f>_xlfn.NUMBERVALUE("-0.000018")</f>
        <v/>
      </c>
      <c r="F1859">
        <f>_xlfn.NUMBERVALUE("0.000981")</f>
        <v/>
      </c>
      <c r="G1859">
        <f>_xlfn.NUMBERVALUE("0.000138")</f>
        <v/>
      </c>
      <c r="H1859">
        <f>_xlfn.NUMBERVALUE("-0.000257")</f>
        <v/>
      </c>
      <c r="I1859">
        <f>_xlfn.NUMBERVALUE("0.000754")</f>
        <v/>
      </c>
      <c r="J1859">
        <f>_xlfn.NUMBERVALUE("0.000385")</f>
        <v/>
      </c>
      <c r="K1859">
        <f>_xlfn.NUMBERVALUE("0.003260")</f>
        <v/>
      </c>
      <c r="L1859">
        <f>_xlfn.NUMBERVALUE("-0.000240")</f>
        <v/>
      </c>
      <c r="M1859">
        <f>_xlfn.NUMBERVALUE("-0.004607")</f>
        <v/>
      </c>
      <c r="N1859">
        <f>_xlfn.NUMBERVALUE("0.003292")</f>
        <v/>
      </c>
      <c r="O1859">
        <f>_xlfn.NUMBERVALUE("0.003277")</f>
        <v/>
      </c>
      <c r="P1859">
        <f>_xlfn.NUMBERVALUE("-0.001415")</f>
        <v/>
      </c>
      <c r="Q1859">
        <f>_xlfn.NUMBERVALUE("-0.002102")</f>
        <v/>
      </c>
      <c r="R1859">
        <f>_xlfn.NUMBERVALUE("0.002373")</f>
        <v/>
      </c>
      <c r="S1859">
        <f>_xlfn.NUMBERVALUE("0.004994")</f>
        <v/>
      </c>
      <c r="T1859">
        <f>_xlfn.NUMBERVALUE("0.002554")</f>
        <v/>
      </c>
      <c r="U1859">
        <f>_xlfn.NUMBERVALUE("0.003846")</f>
        <v/>
      </c>
      <c r="V1859">
        <f>_xlfn.NUMBERVALUE("0.000129")</f>
        <v/>
      </c>
      <c r="W1859">
        <f>_xlfn.NUMBERVALUE("0.018282")</f>
        <v/>
      </c>
      <c r="X1859">
        <f>_xlfn.NUMBERVALUE("-1.370000")</f>
        <v/>
      </c>
      <c r="Y1859">
        <f>_xlfn.NUMBERVALUE("26.100000")</f>
        <v/>
      </c>
    </row>
    <row r="1860">
      <c r="A1860" s="1" t="n">
        <v>44699</v>
      </c>
      <c r="B1860">
        <f>_xlfn.NUMBERVALUE("-0.000415")</f>
        <v/>
      </c>
      <c r="C1860" s="2">
        <f>_xlfn.NUMBERVALUE("-0.005564")</f>
        <v/>
      </c>
      <c r="D1860">
        <f>_xlfn.NUMBERVALUE("-0.003593")</f>
        <v/>
      </c>
      <c r="E1860">
        <f>_xlfn.NUMBERVALUE("-0.004948")</f>
        <v/>
      </c>
      <c r="F1860">
        <f>_xlfn.NUMBERVALUE("0.000370")</f>
        <v/>
      </c>
      <c r="G1860">
        <f>_xlfn.NUMBERVALUE("-0.000349")</f>
        <v/>
      </c>
      <c r="H1860">
        <f>_xlfn.NUMBERVALUE("-0.000255")</f>
        <v/>
      </c>
      <c r="I1860">
        <f>_xlfn.NUMBERVALUE("-0.004468")</f>
        <v/>
      </c>
      <c r="J1860">
        <f>_xlfn.NUMBERVALUE("-0.000062")</f>
        <v/>
      </c>
      <c r="K1860">
        <f>_xlfn.NUMBERVALUE("-0.001010")</f>
        <v/>
      </c>
      <c r="L1860">
        <f>_xlfn.NUMBERVALUE("-0.001986")</f>
        <v/>
      </c>
      <c r="M1860">
        <f>_xlfn.NUMBERVALUE("-0.007623")</f>
        <v/>
      </c>
      <c r="N1860">
        <f>_xlfn.NUMBERVALUE("-0.007777")</f>
        <v/>
      </c>
      <c r="O1860">
        <f>_xlfn.NUMBERVALUE("-0.004745")</f>
        <v/>
      </c>
      <c r="P1860">
        <f>_xlfn.NUMBERVALUE("-0.008322")</f>
        <v/>
      </c>
      <c r="Q1860">
        <f>_xlfn.NUMBERVALUE("-0.012042")</f>
        <v/>
      </c>
      <c r="R1860">
        <f>_xlfn.NUMBERVALUE("-0.012339")</f>
        <v/>
      </c>
      <c r="S1860">
        <f>_xlfn.NUMBERVALUE("-0.034435")</f>
        <v/>
      </c>
      <c r="T1860">
        <f>_xlfn.NUMBERVALUE("-0.002520")</f>
        <v/>
      </c>
      <c r="U1860">
        <f>_xlfn.NUMBERVALUE("-0.024440")</f>
        <v/>
      </c>
      <c r="V1860">
        <f>_xlfn.NUMBERVALUE("-0.004893")</f>
        <v/>
      </c>
      <c r="W1860">
        <f>_xlfn.NUMBERVALUE("-0.038922")</f>
        <v/>
      </c>
      <c r="X1860">
        <f>_xlfn.NUMBERVALUE("4.860000")</f>
        <v/>
      </c>
      <c r="Y1860">
        <f>_xlfn.NUMBERVALUE("30.960000")</f>
        <v/>
      </c>
    </row>
    <row r="1861">
      <c r="A1861" s="1" t="n">
        <v>44700</v>
      </c>
      <c r="B1861">
        <f>_xlfn.NUMBERVALUE("0.000331")</f>
        <v/>
      </c>
      <c r="C1861" s="2">
        <f>_xlfn.NUMBERVALUE("-0.000652")</f>
        <v/>
      </c>
      <c r="D1861">
        <f>_xlfn.NUMBERVALUE("0.000763")</f>
        <v/>
      </c>
      <c r="E1861">
        <f>_xlfn.NUMBERVALUE("0.000428")</f>
        <v/>
      </c>
      <c r="F1861">
        <f>_xlfn.NUMBERVALUE("-0.001169")</f>
        <v/>
      </c>
      <c r="G1861">
        <f>_xlfn.NUMBERVALUE("-0.000342")</f>
        <v/>
      </c>
      <c r="H1861">
        <f>_xlfn.NUMBERVALUE("-0.000075")</f>
        <v/>
      </c>
      <c r="I1861">
        <f>_xlfn.NUMBERVALUE("0.001278")</f>
        <v/>
      </c>
      <c r="J1861">
        <f>_xlfn.NUMBERVALUE("0.001066")</f>
        <v/>
      </c>
      <c r="K1861">
        <f>_xlfn.NUMBERVALUE("0.001169")</f>
        <v/>
      </c>
      <c r="L1861">
        <f>_xlfn.NUMBERVALUE("0.001057")</f>
        <v/>
      </c>
      <c r="M1861">
        <f>_xlfn.NUMBERVALUE("-0.003123")</f>
        <v/>
      </c>
      <c r="N1861">
        <f>_xlfn.NUMBERVALUE("0.006260")</f>
        <v/>
      </c>
      <c r="O1861">
        <f>_xlfn.NUMBERVALUE("0.000502")</f>
        <v/>
      </c>
      <c r="P1861">
        <f>_xlfn.NUMBERVALUE("0.002347")</f>
        <v/>
      </c>
      <c r="Q1861">
        <f>_xlfn.NUMBERVALUE("0.005819")</f>
        <v/>
      </c>
      <c r="R1861">
        <f>_xlfn.NUMBERVALUE("0.006203")</f>
        <v/>
      </c>
      <c r="S1861">
        <f>_xlfn.NUMBERVALUE("0.000760")</f>
        <v/>
      </c>
      <c r="T1861">
        <f>_xlfn.NUMBERVALUE("0.002530")</f>
        <v/>
      </c>
      <c r="U1861">
        <f>_xlfn.NUMBERVALUE("0.004413")</f>
        <v/>
      </c>
      <c r="V1861">
        <f>_xlfn.NUMBERVALUE("0.000397")</f>
        <v/>
      </c>
      <c r="W1861">
        <f>_xlfn.NUMBERVALUE("-0.000945")</f>
        <v/>
      </c>
      <c r="X1861">
        <f>_xlfn.NUMBERVALUE("-1.610000")</f>
        <v/>
      </c>
      <c r="Y1861">
        <f>_xlfn.NUMBERVALUE("29.350000")</f>
        <v/>
      </c>
    </row>
    <row r="1862">
      <c r="A1862" s="1" t="n">
        <v>44701</v>
      </c>
      <c r="B1862">
        <f>_xlfn.NUMBERVALUE("0.000876")</f>
        <v/>
      </c>
      <c r="C1862" s="2">
        <f>_xlfn.NUMBERVALUE("0.001781")</f>
        <v/>
      </c>
      <c r="D1862">
        <f>_xlfn.NUMBERVALUE("0.000648")</f>
        <v/>
      </c>
      <c r="E1862">
        <f>_xlfn.NUMBERVALUE("-0.004512")</f>
        <v/>
      </c>
      <c r="F1862">
        <f>_xlfn.NUMBERVALUE("0.002465")</f>
        <v/>
      </c>
      <c r="G1862">
        <f>_xlfn.NUMBERVALUE("0.000730")</f>
        <v/>
      </c>
      <c r="H1862">
        <f>_xlfn.NUMBERVALUE("0.000178")</f>
        <v/>
      </c>
      <c r="I1862">
        <f>_xlfn.NUMBERVALUE("-0.000031")</f>
        <v/>
      </c>
      <c r="J1862">
        <f>_xlfn.NUMBERVALUE("-0.000151")</f>
        <v/>
      </c>
      <c r="K1862">
        <f>_xlfn.NUMBERVALUE("0.002808")</f>
        <v/>
      </c>
      <c r="L1862">
        <f>_xlfn.NUMBERVALUE("0.000229")</f>
        <v/>
      </c>
      <c r="M1862">
        <f>_xlfn.NUMBERVALUE("0.003713")</f>
        <v/>
      </c>
      <c r="N1862">
        <f>_xlfn.NUMBERVALUE("0.001059")</f>
        <v/>
      </c>
      <c r="O1862">
        <f>_xlfn.NUMBERVALUE("0.003375")</f>
        <v/>
      </c>
      <c r="P1862">
        <f>_xlfn.NUMBERVALUE("0.000908")</f>
        <v/>
      </c>
      <c r="Q1862">
        <f>_xlfn.NUMBERVALUE("0.000417")</f>
        <v/>
      </c>
      <c r="R1862">
        <f>_xlfn.NUMBERVALUE("0.000703")</f>
        <v/>
      </c>
      <c r="S1862">
        <f>_xlfn.NUMBERVALUE("-0.003300")</f>
        <v/>
      </c>
      <c r="T1862">
        <f>_xlfn.NUMBERVALUE("0.001830")</f>
        <v/>
      </c>
      <c r="U1862">
        <f>_xlfn.NUMBERVALUE("-0.001295")</f>
        <v/>
      </c>
      <c r="V1862">
        <f>_xlfn.NUMBERVALUE("0.000081")</f>
        <v/>
      </c>
      <c r="W1862">
        <f>_xlfn.NUMBERVALUE("-0.008389")</f>
        <v/>
      </c>
      <c r="X1862">
        <f>_xlfn.NUMBERVALUE("0.080000")</f>
        <v/>
      </c>
      <c r="Y1862">
        <f>_xlfn.NUMBERVALUE("29.430000")</f>
        <v/>
      </c>
    </row>
    <row r="1863">
      <c r="A1863" s="1" t="n">
        <v>44704</v>
      </c>
      <c r="B1863">
        <f>_xlfn.NUMBERVALUE("0.000062")</f>
        <v/>
      </c>
      <c r="C1863" s="2">
        <f>_xlfn.NUMBERVALUE("-0.000535")</f>
        <v/>
      </c>
      <c r="D1863">
        <f>_xlfn.NUMBERVALUE("0.002625")</f>
        <v/>
      </c>
      <c r="E1863">
        <f>_xlfn.NUMBERVALUE("0.007670")</f>
        <v/>
      </c>
      <c r="F1863">
        <f>_xlfn.NUMBERVALUE("0.001484")</f>
        <v/>
      </c>
      <c r="G1863">
        <f>_xlfn.NUMBERVALUE("-0.001971")</f>
        <v/>
      </c>
      <c r="H1863">
        <f>_xlfn.NUMBERVALUE("0.001160")</f>
        <v/>
      </c>
      <c r="I1863">
        <f>_xlfn.NUMBERVALUE("0.000402")</f>
        <v/>
      </c>
      <c r="J1863">
        <f>_xlfn.NUMBERVALUE("0.000927")</f>
        <v/>
      </c>
      <c r="K1863">
        <f>_xlfn.NUMBERVALUE("0.001698")</f>
        <v/>
      </c>
      <c r="L1863">
        <f>_xlfn.NUMBERVALUE("0.000842")</f>
        <v/>
      </c>
      <c r="M1863">
        <f>_xlfn.NUMBERVALUE("0.000457")</f>
        <v/>
      </c>
      <c r="N1863">
        <f>_xlfn.NUMBERVALUE("0.000548")</f>
        <v/>
      </c>
      <c r="O1863">
        <f>_xlfn.NUMBERVALUE("0.002174")</f>
        <v/>
      </c>
      <c r="P1863">
        <f>_xlfn.NUMBERVALUE("-0.006565")</f>
        <v/>
      </c>
      <c r="Q1863">
        <f>_xlfn.NUMBERVALUE("-0.000369")</f>
        <v/>
      </c>
      <c r="R1863">
        <f>_xlfn.NUMBERVALUE("-0.000526")</f>
        <v/>
      </c>
      <c r="S1863">
        <f>_xlfn.NUMBERVALUE("0.003918")</f>
        <v/>
      </c>
      <c r="T1863">
        <f>_xlfn.NUMBERVALUE("0.001083")</f>
        <v/>
      </c>
      <c r="U1863">
        <f>_xlfn.NUMBERVALUE("0.002076")</f>
        <v/>
      </c>
      <c r="V1863">
        <f>_xlfn.NUMBERVALUE("0.000235")</f>
        <v/>
      </c>
      <c r="W1863">
        <f>_xlfn.NUMBERVALUE("0.019916")</f>
        <v/>
      </c>
      <c r="X1863">
        <f>_xlfn.NUMBERVALUE("-0.950000")</f>
        <v/>
      </c>
      <c r="Y1863">
        <f>_xlfn.NUMBERVALUE("28.480000")</f>
        <v/>
      </c>
    </row>
    <row r="1864">
      <c r="A1864" s="1" t="n">
        <v>44705</v>
      </c>
      <c r="B1864">
        <f>_xlfn.NUMBERVALUE("0.000013")</f>
        <v/>
      </c>
      <c r="C1864" s="2">
        <f>_xlfn.NUMBERVALUE("0.000901")</f>
        <v/>
      </c>
      <c r="D1864">
        <f>_xlfn.NUMBERVALUE("-0.001659")</f>
        <v/>
      </c>
      <c r="E1864">
        <f>_xlfn.NUMBERVALUE("0.000405")</f>
        <v/>
      </c>
      <c r="F1864">
        <f>_xlfn.NUMBERVALUE("0.001683")</f>
        <v/>
      </c>
      <c r="G1864">
        <f>_xlfn.NUMBERVALUE("0.002949")</f>
        <v/>
      </c>
      <c r="H1864">
        <f>_xlfn.NUMBERVALUE("-0.001415")</f>
        <v/>
      </c>
      <c r="I1864">
        <f>_xlfn.NUMBERVALUE("0.000076")</f>
        <v/>
      </c>
      <c r="J1864">
        <f>_xlfn.NUMBERVALUE("-0.002434")</f>
        <v/>
      </c>
      <c r="K1864">
        <f>_xlfn.NUMBERVALUE("0.003062")</f>
        <v/>
      </c>
      <c r="L1864">
        <f>_xlfn.NUMBERVALUE("-0.002206")</f>
        <v/>
      </c>
      <c r="M1864">
        <f>_xlfn.NUMBERVALUE("0.000814")</f>
        <v/>
      </c>
      <c r="N1864">
        <f>_xlfn.NUMBERVALUE("-0.002828")</f>
        <v/>
      </c>
      <c r="O1864">
        <f>_xlfn.NUMBERVALUE("-0.002118")</f>
        <v/>
      </c>
      <c r="P1864">
        <f>_xlfn.NUMBERVALUE("0.000957")</f>
        <v/>
      </c>
      <c r="Q1864">
        <f>_xlfn.NUMBERVALUE("0.000448")</f>
        <v/>
      </c>
      <c r="R1864">
        <f>_xlfn.NUMBERVALUE("0.001417")</f>
        <v/>
      </c>
      <c r="S1864">
        <f>_xlfn.NUMBERVALUE("0.001851")</f>
        <v/>
      </c>
      <c r="T1864">
        <f>_xlfn.NUMBERVALUE("-0.007729")</f>
        <v/>
      </c>
      <c r="U1864">
        <f>_xlfn.NUMBERVALUE("-0.001359")</f>
        <v/>
      </c>
      <c r="V1864">
        <f>_xlfn.NUMBERVALUE("0.000086")</f>
        <v/>
      </c>
      <c r="W1864">
        <f>_xlfn.NUMBERVALUE("-0.001522")</f>
        <v/>
      </c>
      <c r="X1864">
        <f>_xlfn.NUMBERVALUE("0.970000")</f>
        <v/>
      </c>
      <c r="Y1864">
        <f>_xlfn.NUMBERVALUE("29.450000")</f>
        <v/>
      </c>
    </row>
    <row r="1865">
      <c r="A1865" s="1" t="n">
        <v>44706</v>
      </c>
      <c r="B1865">
        <f>_xlfn.NUMBERVALUE("0.006288")</f>
        <v/>
      </c>
      <c r="C1865" s="2">
        <f>_xlfn.NUMBERVALUE("0.000529")</f>
        <v/>
      </c>
      <c r="D1865">
        <f>_xlfn.NUMBERVALUE("0.000219")</f>
        <v/>
      </c>
      <c r="E1865">
        <f>_xlfn.NUMBERVALUE("0.000975")</f>
        <v/>
      </c>
      <c r="F1865">
        <f>_xlfn.NUMBERVALUE("0.002081")</f>
        <v/>
      </c>
      <c r="G1865">
        <f>_xlfn.NUMBERVALUE("-0.001328")</f>
        <v/>
      </c>
      <c r="H1865">
        <f>_xlfn.NUMBERVALUE("0.000905")</f>
        <v/>
      </c>
      <c r="I1865">
        <f>_xlfn.NUMBERVALUE("0.000049")</f>
        <v/>
      </c>
      <c r="J1865">
        <f>_xlfn.NUMBERVALUE("-0.001417")</f>
        <v/>
      </c>
      <c r="K1865">
        <f>_xlfn.NUMBERVALUE("0.001893")</f>
        <v/>
      </c>
      <c r="L1865">
        <f>_xlfn.NUMBERVALUE("0.001606")</f>
        <v/>
      </c>
      <c r="M1865">
        <f>_xlfn.NUMBERVALUE("0.002961")</f>
        <v/>
      </c>
      <c r="N1865">
        <f>_xlfn.NUMBERVALUE("0.000114")</f>
        <v/>
      </c>
      <c r="O1865">
        <f>_xlfn.NUMBERVALUE("0.004213")</f>
        <v/>
      </c>
      <c r="P1865">
        <f>_xlfn.NUMBERVALUE("0.002342")</f>
        <v/>
      </c>
      <c r="Q1865">
        <f>_xlfn.NUMBERVALUE("0.001300")</f>
        <v/>
      </c>
      <c r="R1865">
        <f>_xlfn.NUMBERVALUE("0.001488")</f>
        <v/>
      </c>
      <c r="S1865">
        <f>_xlfn.NUMBERVALUE("0.000097")</f>
        <v/>
      </c>
      <c r="T1865">
        <f>_xlfn.NUMBERVALUE("0.002650")</f>
        <v/>
      </c>
      <c r="U1865">
        <f>_xlfn.NUMBERVALUE("0.000155")</f>
        <v/>
      </c>
      <c r="V1865">
        <f>_xlfn.NUMBERVALUE("0.000275")</f>
        <v/>
      </c>
      <c r="W1865">
        <f>_xlfn.NUMBERVALUE("0.006940")</f>
        <v/>
      </c>
      <c r="X1865">
        <f>_xlfn.NUMBERVALUE("-1.080000")</f>
        <v/>
      </c>
      <c r="Y1865">
        <f>_xlfn.NUMBERVALUE("28.370000")</f>
        <v/>
      </c>
    </row>
    <row r="1866">
      <c r="A1866" s="1" t="n">
        <v>44707</v>
      </c>
      <c r="B1866">
        <f>_xlfn.NUMBERVALUE("0.005176")</f>
        <v/>
      </c>
      <c r="C1866" s="2">
        <f>_xlfn.NUMBERVALUE("0.000583")</f>
        <v/>
      </c>
      <c r="D1866">
        <f>_xlfn.NUMBERVALUE("0.001937")</f>
        <v/>
      </c>
      <c r="E1866">
        <f>_xlfn.NUMBERVALUE("0.001389")</f>
        <v/>
      </c>
      <c r="F1866">
        <f>_xlfn.NUMBERVALUE("0.000664")</f>
        <v/>
      </c>
      <c r="G1866">
        <f>_xlfn.NUMBERVALUE("-0.002688")</f>
        <v/>
      </c>
      <c r="H1866">
        <f>_xlfn.NUMBERVALUE("0.000414")</f>
        <v/>
      </c>
      <c r="I1866">
        <f>_xlfn.NUMBERVALUE("0.001160")</f>
        <v/>
      </c>
      <c r="J1866">
        <f>_xlfn.NUMBERVALUE("0.000952")</f>
        <v/>
      </c>
      <c r="K1866">
        <f>_xlfn.NUMBERVALUE("0.001617")</f>
        <v/>
      </c>
      <c r="L1866">
        <f>_xlfn.NUMBERVALUE("0.001268")</f>
        <v/>
      </c>
      <c r="M1866">
        <f>_xlfn.NUMBERVALUE("-0.002022")</f>
        <v/>
      </c>
      <c r="N1866">
        <f>_xlfn.NUMBERVALUE("-0.000208")</f>
        <v/>
      </c>
      <c r="O1866">
        <f>_xlfn.NUMBERVALUE("-0.002144")</f>
        <v/>
      </c>
      <c r="P1866">
        <f>_xlfn.NUMBERVALUE("-0.001579")</f>
        <v/>
      </c>
      <c r="Q1866">
        <f>_xlfn.NUMBERVALUE("-0.001629")</f>
        <v/>
      </c>
      <c r="R1866">
        <f>_xlfn.NUMBERVALUE("0.000419")</f>
        <v/>
      </c>
      <c r="S1866">
        <f>_xlfn.NUMBERVALUE("0.001098")</f>
        <v/>
      </c>
      <c r="T1866">
        <f>_xlfn.NUMBERVALUE("0.000484")</f>
        <v/>
      </c>
      <c r="U1866">
        <f>_xlfn.NUMBERVALUE("-0.002978")</f>
        <v/>
      </c>
      <c r="V1866">
        <f>_xlfn.NUMBERVALUE("0.000504")</f>
        <v/>
      </c>
      <c r="W1866">
        <f>_xlfn.NUMBERVALUE("0.021656")</f>
        <v/>
      </c>
      <c r="X1866">
        <f>_xlfn.NUMBERVALUE("-0.870000")</f>
        <v/>
      </c>
      <c r="Y1866">
        <f>_xlfn.NUMBERVALUE("27.500000")</f>
        <v/>
      </c>
    </row>
    <row r="1867">
      <c r="A1867" s="1" t="n">
        <v>44708</v>
      </c>
      <c r="B1867">
        <f>_xlfn.NUMBERVALUE("-0.007668")</f>
        <v/>
      </c>
      <c r="C1867" s="2">
        <f>_xlfn.NUMBERVALUE("0.000967")</f>
        <v/>
      </c>
      <c r="D1867">
        <f>_xlfn.NUMBERVALUE("0.000770")</f>
        <v/>
      </c>
      <c r="E1867">
        <f>_xlfn.NUMBERVALUE("0.001070")</f>
        <v/>
      </c>
      <c r="F1867">
        <f>_xlfn.NUMBERVALUE("0.001260")</f>
        <v/>
      </c>
      <c r="G1867">
        <f>_xlfn.NUMBERVALUE("-0.000134")</f>
        <v/>
      </c>
      <c r="H1867">
        <f>_xlfn.NUMBERVALUE("0.000816")</f>
        <v/>
      </c>
      <c r="I1867">
        <f>_xlfn.NUMBERVALUE("0.000751")</f>
        <v/>
      </c>
      <c r="J1867">
        <f>_xlfn.NUMBERVALUE("-0.000186")</f>
        <v/>
      </c>
      <c r="K1867">
        <f>_xlfn.NUMBERVALUE("0.000538")</f>
        <v/>
      </c>
      <c r="L1867">
        <f>_xlfn.NUMBERVALUE("0.002258")</f>
        <v/>
      </c>
      <c r="M1867">
        <f>_xlfn.NUMBERVALUE("0.000117")</f>
        <v/>
      </c>
      <c r="N1867">
        <f>_xlfn.NUMBERVALUE("0.000710")</f>
        <v/>
      </c>
      <c r="O1867">
        <f>_xlfn.NUMBERVALUE("0.000197")</f>
        <v/>
      </c>
      <c r="P1867">
        <f>_xlfn.NUMBERVALUE("0.002095")</f>
        <v/>
      </c>
      <c r="Q1867">
        <f>_xlfn.NUMBERVALUE("-0.000539")</f>
        <v/>
      </c>
      <c r="R1867">
        <f>_xlfn.NUMBERVALUE("-0.002084")</f>
        <v/>
      </c>
      <c r="S1867">
        <f>_xlfn.NUMBERVALUE("0.001467")</f>
        <v/>
      </c>
      <c r="T1867">
        <f>_xlfn.NUMBERVALUE("0.000511")</f>
        <v/>
      </c>
      <c r="U1867">
        <f>_xlfn.NUMBERVALUE("-0.004332")</f>
        <v/>
      </c>
      <c r="V1867">
        <f>_xlfn.NUMBERVALUE("0.000319")</f>
        <v/>
      </c>
      <c r="W1867">
        <f>_xlfn.NUMBERVALUE("0.019744")</f>
        <v/>
      </c>
      <c r="X1867">
        <f>_xlfn.NUMBERVALUE("-1.780000")</f>
        <v/>
      </c>
      <c r="Y1867">
        <f>_xlfn.NUMBERVALUE("25.720000")</f>
        <v/>
      </c>
    </row>
    <row r="1868">
      <c r="A1868" s="1" t="n">
        <v>44712</v>
      </c>
      <c r="B1868">
        <f>_xlfn.NUMBERVALUE("0.003209")</f>
        <v/>
      </c>
      <c r="C1868" s="2">
        <f>_xlfn.NUMBERVALUE("0.000145")</f>
        <v/>
      </c>
      <c r="D1868">
        <f>_xlfn.NUMBERVALUE("-0.000287")</f>
        <v/>
      </c>
      <c r="E1868">
        <f>_xlfn.NUMBERVALUE("0.003506")</f>
        <v/>
      </c>
      <c r="F1868">
        <f>_xlfn.NUMBERVALUE("-0.000368")</f>
        <v/>
      </c>
      <c r="G1868">
        <f>_xlfn.NUMBERVALUE("0.002018")</f>
        <v/>
      </c>
      <c r="H1868">
        <f>_xlfn.NUMBERVALUE("-0.000574")</f>
        <v/>
      </c>
      <c r="I1868">
        <f>_xlfn.NUMBERVALUE("0.000371")</f>
        <v/>
      </c>
      <c r="J1868">
        <f>_xlfn.NUMBERVALUE("0.001902")</f>
        <v/>
      </c>
      <c r="K1868">
        <f>_xlfn.NUMBERVALUE("-0.004630")</f>
        <v/>
      </c>
      <c r="L1868">
        <f>_xlfn.NUMBERVALUE("-0.003175")</f>
        <v/>
      </c>
      <c r="M1868">
        <f>_xlfn.NUMBERVALUE("0.001294")</f>
        <v/>
      </c>
      <c r="N1868">
        <f>_xlfn.NUMBERVALUE("0.002593")</f>
        <v/>
      </c>
      <c r="O1868">
        <f>_xlfn.NUMBERVALUE("0.001026")</f>
        <v/>
      </c>
      <c r="P1868">
        <f>_xlfn.NUMBERVALUE("0.001285")</f>
        <v/>
      </c>
      <c r="Q1868">
        <f>_xlfn.NUMBERVALUE("0.001500")</f>
        <v/>
      </c>
      <c r="R1868">
        <f>_xlfn.NUMBERVALUE("0.002419")</f>
        <v/>
      </c>
      <c r="S1868">
        <f>_xlfn.NUMBERVALUE("0.000451")</f>
        <v/>
      </c>
      <c r="T1868">
        <f>_xlfn.NUMBERVALUE("0.001944")</f>
        <v/>
      </c>
      <c r="U1868">
        <f>_xlfn.NUMBERVALUE("0.000198")</f>
        <v/>
      </c>
      <c r="V1868">
        <f>_xlfn.NUMBERVALUE("0.000749")</f>
        <v/>
      </c>
      <c r="W1868">
        <f>_xlfn.NUMBERVALUE("-0.000314")</f>
        <v/>
      </c>
      <c r="X1868">
        <f>_xlfn.NUMBERVALUE("0.470000")</f>
        <v/>
      </c>
      <c r="Y1868">
        <f>_xlfn.NUMBERVALUE("26.190000")</f>
        <v/>
      </c>
    </row>
    <row r="1869">
      <c r="A1869" s="1" t="n">
        <v>44713</v>
      </c>
      <c r="B1869">
        <f>_xlfn.NUMBERVALUE("0.006175")</f>
        <v/>
      </c>
      <c r="C1869" s="2">
        <f>_xlfn.NUMBERVALUE("0.000277")</f>
        <v/>
      </c>
      <c r="D1869">
        <f>_xlfn.NUMBERVALUE("0.000415")</f>
        <v/>
      </c>
      <c r="E1869">
        <f>_xlfn.NUMBERVALUE("0.001320")</f>
        <v/>
      </c>
      <c r="F1869">
        <f>_xlfn.NUMBERVALUE("-0.000070")</f>
        <v/>
      </c>
      <c r="G1869">
        <f>_xlfn.NUMBERVALUE("0.000093")</f>
        <v/>
      </c>
      <c r="H1869">
        <f>_xlfn.NUMBERVALUE("-0.000875")</f>
        <v/>
      </c>
      <c r="I1869">
        <f>_xlfn.NUMBERVALUE("0.000538")</f>
        <v/>
      </c>
      <c r="J1869">
        <f>_xlfn.NUMBERVALUE("-0.001556")</f>
        <v/>
      </c>
      <c r="K1869">
        <f>_xlfn.NUMBERVALUE("0.003249")</f>
        <v/>
      </c>
      <c r="L1869">
        <f>_xlfn.NUMBERVALUE("0.000786")</f>
        <v/>
      </c>
      <c r="M1869">
        <f>_xlfn.NUMBERVALUE("0.000932")</f>
        <v/>
      </c>
      <c r="N1869">
        <f>_xlfn.NUMBERVALUE("0.001203")</f>
        <v/>
      </c>
      <c r="O1869">
        <f>_xlfn.NUMBERVALUE("-0.001487")</f>
        <v/>
      </c>
      <c r="P1869">
        <f>_xlfn.NUMBERVALUE("0.000138")</f>
        <v/>
      </c>
      <c r="Q1869">
        <f>_xlfn.NUMBERVALUE("0.001975")</f>
        <v/>
      </c>
      <c r="R1869">
        <f>_xlfn.NUMBERVALUE("0.003363")</f>
        <v/>
      </c>
      <c r="S1869">
        <f>_xlfn.NUMBERVALUE("-0.000725")</f>
        <v/>
      </c>
      <c r="T1869">
        <f>_xlfn.NUMBERVALUE("0.000454")</f>
        <v/>
      </c>
      <c r="U1869">
        <f>_xlfn.NUMBERVALUE("0.002027")</f>
        <v/>
      </c>
      <c r="V1869">
        <f>_xlfn.NUMBERVALUE("-0.000126")</f>
        <v/>
      </c>
      <c r="W1869">
        <f>_xlfn.NUMBERVALUE("-0.005941")</f>
        <v/>
      </c>
      <c r="X1869">
        <f>_xlfn.NUMBERVALUE("-0.500000")</f>
        <v/>
      </c>
      <c r="Y1869">
        <f>_xlfn.NUMBERVALUE("25.690000")</f>
        <v/>
      </c>
    </row>
    <row r="1870">
      <c r="A1870" s="1" t="n">
        <v>44714</v>
      </c>
      <c r="B1870">
        <f>_xlfn.NUMBERVALUE("-0.005250")</f>
        <v/>
      </c>
      <c r="C1870" s="2">
        <f>_xlfn.NUMBERVALUE("0.000463")</f>
        <v/>
      </c>
      <c r="D1870">
        <f>_xlfn.NUMBERVALUE("0.001397")</f>
        <v/>
      </c>
      <c r="E1870">
        <f>_xlfn.NUMBERVALUE("-0.003382")</f>
        <v/>
      </c>
      <c r="F1870">
        <f>_xlfn.NUMBERVALUE("0.000753")</f>
        <v/>
      </c>
      <c r="G1870">
        <f>_xlfn.NUMBERVALUE("0.002206")</f>
        <v/>
      </c>
      <c r="H1870">
        <f>_xlfn.NUMBERVALUE("0.002439")</f>
        <v/>
      </c>
      <c r="I1870">
        <f>_xlfn.NUMBERVALUE("0.000588")</f>
        <v/>
      </c>
      <c r="J1870">
        <f>_xlfn.NUMBERVALUE("0.001814")</f>
        <v/>
      </c>
      <c r="K1870">
        <f>_xlfn.NUMBERVALUE("0.000246")</f>
        <v/>
      </c>
      <c r="L1870">
        <f>_xlfn.NUMBERVALUE("0.003216")</f>
        <v/>
      </c>
      <c r="M1870">
        <f>_xlfn.NUMBERVALUE("0.000755")</f>
        <v/>
      </c>
      <c r="N1870">
        <f>_xlfn.NUMBERVALUE("-0.001834")</f>
        <v/>
      </c>
      <c r="O1870">
        <f>_xlfn.NUMBERVALUE("0.000028")</f>
        <v/>
      </c>
      <c r="P1870">
        <f>_xlfn.NUMBERVALUE("0.002983")</f>
        <v/>
      </c>
      <c r="Q1870">
        <f>_xlfn.NUMBERVALUE("-0.000113")</f>
        <v/>
      </c>
      <c r="R1870">
        <f>_xlfn.NUMBERVALUE("-0.000427")</f>
        <v/>
      </c>
      <c r="S1870">
        <f>_xlfn.NUMBERVALUE("0.000191")</f>
        <v/>
      </c>
      <c r="T1870">
        <f>_xlfn.NUMBERVALUE("-0.000084")</f>
        <v/>
      </c>
      <c r="U1870">
        <f>_xlfn.NUMBERVALUE("-0.000896")</f>
        <v/>
      </c>
      <c r="V1870">
        <f>_xlfn.NUMBERVALUE("0.000714")</f>
        <v/>
      </c>
      <c r="W1870">
        <f>_xlfn.NUMBERVALUE("0.011102")</f>
        <v/>
      </c>
      <c r="X1870">
        <f>_xlfn.NUMBERVALUE("-0.970000")</f>
        <v/>
      </c>
      <c r="Y1870">
        <f>_xlfn.NUMBERVALUE("24.720000")</f>
        <v/>
      </c>
    </row>
    <row r="1871">
      <c r="A1871" s="1" t="n">
        <v>44715</v>
      </c>
      <c r="B1871">
        <f>_xlfn.NUMBERVALUE("0.002240")</f>
        <v/>
      </c>
      <c r="C1871" s="2">
        <f>_xlfn.NUMBERVALUE("-0.000007")</f>
        <v/>
      </c>
      <c r="D1871">
        <f>_xlfn.NUMBERVALUE("-0.007169")</f>
        <v/>
      </c>
      <c r="E1871">
        <f>_xlfn.NUMBERVALUE("-0.000313")</f>
        <v/>
      </c>
      <c r="F1871">
        <f>_xlfn.NUMBERVALUE("-0.001643")</f>
        <v/>
      </c>
      <c r="G1871">
        <f>_xlfn.NUMBERVALUE("-0.001064")</f>
        <v/>
      </c>
      <c r="H1871">
        <f>_xlfn.NUMBERVALUE("0.002368")</f>
        <v/>
      </c>
      <c r="I1871">
        <f>_xlfn.NUMBERVALUE("-0.000121")</f>
        <v/>
      </c>
      <c r="J1871">
        <f>_xlfn.NUMBERVALUE("0.001912")</f>
        <v/>
      </c>
      <c r="K1871">
        <f>_xlfn.NUMBERVALUE("-0.000035")</f>
        <v/>
      </c>
      <c r="L1871">
        <f>_xlfn.NUMBERVALUE("0.004697")</f>
        <v/>
      </c>
      <c r="M1871">
        <f>_xlfn.NUMBERVALUE("-0.000511")</f>
        <v/>
      </c>
      <c r="N1871">
        <f>_xlfn.NUMBERVALUE("0.000558")</f>
        <v/>
      </c>
      <c r="O1871">
        <f>_xlfn.NUMBERVALUE("-0.000125")</f>
        <v/>
      </c>
      <c r="P1871">
        <f>_xlfn.NUMBERVALUE("0.001421")</f>
        <v/>
      </c>
      <c r="Q1871">
        <f>_xlfn.NUMBERVALUE("0.002348")</f>
        <v/>
      </c>
      <c r="R1871">
        <f>_xlfn.NUMBERVALUE("0.002081")</f>
        <v/>
      </c>
      <c r="S1871">
        <f>_xlfn.NUMBERVALUE("-0.000491")</f>
        <v/>
      </c>
      <c r="T1871">
        <f>_xlfn.NUMBERVALUE("0.001357")</f>
        <v/>
      </c>
      <c r="U1871">
        <f>_xlfn.NUMBERVALUE("0.002805")</f>
        <v/>
      </c>
      <c r="V1871">
        <f>_xlfn.NUMBERVALUE("-0.000108")</f>
        <v/>
      </c>
      <c r="W1871">
        <f>_xlfn.NUMBERVALUE("-0.007388")</f>
        <v/>
      </c>
      <c r="X1871">
        <f>_xlfn.NUMBERVALUE("0.070000")</f>
        <v/>
      </c>
      <c r="Y1871">
        <f>_xlfn.NUMBERVALUE("24.790000")</f>
        <v/>
      </c>
    </row>
    <row r="1872">
      <c r="A1872" s="1" t="n">
        <v>44718</v>
      </c>
      <c r="B1872">
        <f>_xlfn.NUMBERVALUE("0.007239")</f>
        <v/>
      </c>
      <c r="C1872" s="2">
        <f>_xlfn.NUMBERVALUE("0.000950")</f>
        <v/>
      </c>
      <c r="D1872">
        <f>_xlfn.NUMBERVALUE("0.000288")</f>
        <v/>
      </c>
      <c r="E1872">
        <f>_xlfn.NUMBERVALUE("0.001478")</f>
        <v/>
      </c>
      <c r="F1872">
        <f>_xlfn.NUMBERVALUE("0.000811")</f>
        <v/>
      </c>
      <c r="G1872">
        <f>_xlfn.NUMBERVALUE("0.001469")</f>
        <v/>
      </c>
      <c r="H1872">
        <f>_xlfn.NUMBERVALUE("-0.000951")</f>
        <v/>
      </c>
      <c r="I1872">
        <f>_xlfn.NUMBERVALUE("0.001742")</f>
        <v/>
      </c>
      <c r="J1872">
        <f>_xlfn.NUMBERVALUE("-0.000018")</f>
        <v/>
      </c>
      <c r="K1872">
        <f>_xlfn.NUMBERVALUE("0.000593")</f>
        <v/>
      </c>
      <c r="L1872">
        <f>_xlfn.NUMBERVALUE("-0.000848")</f>
        <v/>
      </c>
      <c r="M1872">
        <f>_xlfn.NUMBERVALUE("0.000267")</f>
        <v/>
      </c>
      <c r="N1872">
        <f>_xlfn.NUMBERVALUE("0.001082")</f>
        <v/>
      </c>
      <c r="O1872">
        <f>_xlfn.NUMBERVALUE("0.000399")</f>
        <v/>
      </c>
      <c r="P1872">
        <f>_xlfn.NUMBERVALUE("0.003038")</f>
        <v/>
      </c>
      <c r="Q1872">
        <f>_xlfn.NUMBERVALUE("0.002385")</f>
        <v/>
      </c>
      <c r="R1872">
        <f>_xlfn.NUMBERVALUE("0.004509")</f>
        <v/>
      </c>
      <c r="S1872">
        <f>_xlfn.NUMBERVALUE("0.001149")</f>
        <v/>
      </c>
      <c r="T1872">
        <f>_xlfn.NUMBERVALUE("0.001383")</f>
        <v/>
      </c>
      <c r="U1872">
        <f>_xlfn.NUMBERVALUE("0.005995")</f>
        <v/>
      </c>
      <c r="V1872">
        <f>_xlfn.NUMBERVALUE("0.001728")</f>
        <v/>
      </c>
      <c r="W1872">
        <f>_xlfn.NUMBERVALUE("0.004024")</f>
        <v/>
      </c>
      <c r="X1872">
        <f>_xlfn.NUMBERVALUE("0.280000")</f>
        <v/>
      </c>
      <c r="Y1872">
        <f>_xlfn.NUMBERVALUE("25.070000")</f>
        <v/>
      </c>
    </row>
    <row r="1873">
      <c r="A1873" s="1" t="n">
        <v>44719</v>
      </c>
      <c r="B1873">
        <f>_xlfn.NUMBERVALUE("0.005861")</f>
        <v/>
      </c>
      <c r="C1873" s="2">
        <f>_xlfn.NUMBERVALUE("0.001483")</f>
        <v/>
      </c>
      <c r="D1873">
        <f>_xlfn.NUMBERVALUE("0.002422")</f>
        <v/>
      </c>
      <c r="E1873">
        <f>_xlfn.NUMBERVALUE("0.001807")</f>
        <v/>
      </c>
      <c r="F1873">
        <f>_xlfn.NUMBERVALUE("0.000734")</f>
        <v/>
      </c>
      <c r="G1873">
        <f>_xlfn.NUMBERVALUE("0.001320")</f>
        <v/>
      </c>
      <c r="H1873">
        <f>_xlfn.NUMBERVALUE("0.000218")</f>
        <v/>
      </c>
      <c r="I1873">
        <f>_xlfn.NUMBERVALUE("0.000858")</f>
        <v/>
      </c>
      <c r="J1873">
        <f>_xlfn.NUMBERVALUE("0.001629")</f>
        <v/>
      </c>
      <c r="K1873">
        <f>_xlfn.NUMBERVALUE("0.003240")</f>
        <v/>
      </c>
      <c r="L1873">
        <f>_xlfn.NUMBERVALUE("-0.000138")</f>
        <v/>
      </c>
      <c r="M1873">
        <f>_xlfn.NUMBERVALUE("0.000082")</f>
        <v/>
      </c>
      <c r="N1873">
        <f>_xlfn.NUMBERVALUE("0.002591")</f>
        <v/>
      </c>
      <c r="O1873">
        <f>_xlfn.NUMBERVALUE("-0.000108")</f>
        <v/>
      </c>
      <c r="P1873">
        <f>_xlfn.NUMBERVALUE("0.000881")</f>
        <v/>
      </c>
      <c r="Q1873">
        <f>_xlfn.NUMBERVALUE("-0.000650")</f>
        <v/>
      </c>
      <c r="R1873">
        <f>_xlfn.NUMBERVALUE("0.000464")</f>
        <v/>
      </c>
      <c r="S1873">
        <f>_xlfn.NUMBERVALUE("0.000005")</f>
        <v/>
      </c>
      <c r="T1873">
        <f>_xlfn.NUMBERVALUE("-0.000182")</f>
        <v/>
      </c>
      <c r="U1873">
        <f>_xlfn.NUMBERVALUE("0.007512")</f>
        <v/>
      </c>
      <c r="V1873">
        <f>_xlfn.NUMBERVALUE("0.001335")</f>
        <v/>
      </c>
      <c r="W1873">
        <f>_xlfn.NUMBERVALUE("0.009667")</f>
        <v/>
      </c>
      <c r="X1873">
        <f>_xlfn.NUMBERVALUE("-1.050000")</f>
        <v/>
      </c>
      <c r="Y1873">
        <f>_xlfn.NUMBERVALUE("24.020000")</f>
        <v/>
      </c>
    </row>
    <row r="1874">
      <c r="A1874" s="1" t="n">
        <v>44720</v>
      </c>
      <c r="B1874">
        <f>_xlfn.NUMBERVALUE("-0.000951")</f>
        <v/>
      </c>
      <c r="C1874" s="2">
        <f>_xlfn.NUMBERVALUE("0.000551")</f>
        <v/>
      </c>
      <c r="D1874">
        <f>_xlfn.NUMBERVALUE("-0.000418")</f>
        <v/>
      </c>
      <c r="E1874">
        <f>_xlfn.NUMBERVALUE("0.000951")</f>
        <v/>
      </c>
      <c r="F1874">
        <f>_xlfn.NUMBERVALUE("0.001456")</f>
        <v/>
      </c>
      <c r="G1874">
        <f>_xlfn.NUMBERVALUE("-0.001227")</f>
        <v/>
      </c>
      <c r="H1874">
        <f>_xlfn.NUMBERVALUE("-0.000028")</f>
        <v/>
      </c>
      <c r="I1874">
        <f>_xlfn.NUMBERVALUE("0.001786")</f>
        <v/>
      </c>
      <c r="J1874">
        <f>_xlfn.NUMBERVALUE("0.000394")</f>
        <v/>
      </c>
      <c r="K1874">
        <f>_xlfn.NUMBERVALUE("0.001930")</f>
        <v/>
      </c>
      <c r="L1874">
        <f>_xlfn.NUMBERVALUE("-0.000153")</f>
        <v/>
      </c>
      <c r="M1874">
        <f>_xlfn.NUMBERVALUE("-0.000081")</f>
        <v/>
      </c>
      <c r="N1874">
        <f>_xlfn.NUMBERVALUE("0.002450")</f>
        <v/>
      </c>
      <c r="O1874">
        <f>_xlfn.NUMBERVALUE("-0.000038")</f>
        <v/>
      </c>
      <c r="P1874">
        <f>_xlfn.NUMBERVALUE("0.000793")</f>
        <v/>
      </c>
      <c r="Q1874">
        <f>_xlfn.NUMBERVALUE("0.000138")</f>
        <v/>
      </c>
      <c r="R1874">
        <f>_xlfn.NUMBERVALUE("0.000821")</f>
        <v/>
      </c>
      <c r="S1874">
        <f>_xlfn.NUMBERVALUE("-0.000031")</f>
        <v/>
      </c>
      <c r="T1874">
        <f>_xlfn.NUMBERVALUE("-0.000288")</f>
        <v/>
      </c>
      <c r="U1874">
        <f>_xlfn.NUMBERVALUE("0.013166")</f>
        <v/>
      </c>
      <c r="V1874">
        <f>_xlfn.NUMBERVALUE("0.001001")</f>
        <v/>
      </c>
      <c r="W1874">
        <f>_xlfn.NUMBERVALUE("-0.009840")</f>
        <v/>
      </c>
      <c r="X1874">
        <f>_xlfn.NUMBERVALUE("-0.060000")</f>
        <v/>
      </c>
      <c r="Y1874">
        <f>_xlfn.NUMBERVALUE("23.960000")</f>
        <v/>
      </c>
    </row>
    <row r="1875">
      <c r="A1875" s="1" t="n">
        <v>44721</v>
      </c>
      <c r="B1875">
        <f>_xlfn.NUMBERVALUE("-0.009968")</f>
        <v/>
      </c>
      <c r="C1875" s="2">
        <f>_xlfn.NUMBERVALUE("-0.003513")</f>
        <v/>
      </c>
      <c r="D1875">
        <f>_xlfn.NUMBERVALUE("-0.006533")</f>
        <v/>
      </c>
      <c r="E1875">
        <f>_xlfn.NUMBERVALUE("-0.010151")</f>
        <v/>
      </c>
      <c r="F1875">
        <f>_xlfn.NUMBERVALUE("0.000147")</f>
        <v/>
      </c>
      <c r="G1875">
        <f>_xlfn.NUMBERVALUE("-0.003130")</f>
        <v/>
      </c>
      <c r="H1875">
        <f>_xlfn.NUMBERVALUE("0.000054")</f>
        <v/>
      </c>
      <c r="I1875">
        <f>_xlfn.NUMBERVALUE("-0.003040")</f>
        <v/>
      </c>
      <c r="J1875">
        <f>_xlfn.NUMBERVALUE("-0.001214")</f>
        <v/>
      </c>
      <c r="K1875">
        <f>_xlfn.NUMBERVALUE("-0.001628")</f>
        <v/>
      </c>
      <c r="L1875">
        <f>_xlfn.NUMBERVALUE("0.000406")</f>
        <v/>
      </c>
      <c r="M1875">
        <f>_xlfn.NUMBERVALUE("-0.003365")</f>
        <v/>
      </c>
      <c r="N1875">
        <f>_xlfn.NUMBERVALUE("-0.006866")</f>
        <v/>
      </c>
      <c r="O1875">
        <f>_xlfn.NUMBERVALUE("-0.000861")</f>
        <v/>
      </c>
      <c r="P1875">
        <f>_xlfn.NUMBERVALUE("-0.002888")</f>
        <v/>
      </c>
      <c r="Q1875">
        <f>_xlfn.NUMBERVALUE("-0.002982")</f>
        <v/>
      </c>
      <c r="R1875">
        <f>_xlfn.NUMBERVALUE("-0.003080")</f>
        <v/>
      </c>
      <c r="S1875">
        <f>_xlfn.NUMBERVALUE("-0.000220")</f>
        <v/>
      </c>
      <c r="T1875">
        <f>_xlfn.NUMBERVALUE("-0.002663")</f>
        <v/>
      </c>
      <c r="U1875">
        <f>_xlfn.NUMBERVALUE("-0.002772")</f>
        <v/>
      </c>
      <c r="V1875">
        <f>_xlfn.NUMBERVALUE("-0.003345")</f>
        <v/>
      </c>
      <c r="W1875">
        <f>_xlfn.NUMBERVALUE("-0.020142")</f>
        <v/>
      </c>
      <c r="X1875">
        <f>_xlfn.NUMBERVALUE("2.130000")</f>
        <v/>
      </c>
      <c r="Y1875">
        <f>_xlfn.NUMBERVALUE("26.090000")</f>
        <v/>
      </c>
    </row>
    <row r="1876">
      <c r="A1876" s="1" t="n">
        <v>44722</v>
      </c>
      <c r="B1876">
        <f>_xlfn.NUMBERVALUE("-0.004258")</f>
        <v/>
      </c>
      <c r="C1876" s="2">
        <f>_xlfn.NUMBERVALUE("-0.003342")</f>
        <v/>
      </c>
      <c r="D1876">
        <f>_xlfn.NUMBERVALUE("0.000880")</f>
        <v/>
      </c>
      <c r="E1876">
        <f>_xlfn.NUMBERVALUE("-0.003256")</f>
        <v/>
      </c>
      <c r="F1876">
        <f>_xlfn.NUMBERVALUE("-0.002978")</f>
        <v/>
      </c>
      <c r="G1876">
        <f>_xlfn.NUMBERVALUE("-0.003639")</f>
        <v/>
      </c>
      <c r="H1876">
        <f>_xlfn.NUMBERVALUE("-0.002065")</f>
        <v/>
      </c>
      <c r="I1876">
        <f>_xlfn.NUMBERVALUE("-0.003437")</f>
        <v/>
      </c>
      <c r="J1876">
        <f>_xlfn.NUMBERVALUE("-0.000937")</f>
        <v/>
      </c>
      <c r="K1876">
        <f>_xlfn.NUMBERVALUE("-0.003418")</f>
        <v/>
      </c>
      <c r="L1876">
        <f>_xlfn.NUMBERVALUE("-0.001433")</f>
        <v/>
      </c>
      <c r="M1876">
        <f>_xlfn.NUMBERVALUE("-0.004125")</f>
        <v/>
      </c>
      <c r="N1876">
        <f>_xlfn.NUMBERVALUE("-0.001643")</f>
        <v/>
      </c>
      <c r="O1876">
        <f>_xlfn.NUMBERVALUE("-0.002052")</f>
        <v/>
      </c>
      <c r="P1876">
        <f>_xlfn.NUMBERVALUE("-0.007302")</f>
        <v/>
      </c>
      <c r="Q1876">
        <f>_xlfn.NUMBERVALUE("-0.003411")</f>
        <v/>
      </c>
      <c r="R1876">
        <f>_xlfn.NUMBERVALUE("-0.004603")</f>
        <v/>
      </c>
      <c r="S1876">
        <f>_xlfn.NUMBERVALUE("-0.001963")</f>
        <v/>
      </c>
      <c r="T1876">
        <f>_xlfn.NUMBERVALUE("-0.001430")</f>
        <v/>
      </c>
      <c r="U1876">
        <f>_xlfn.NUMBERVALUE("-0.004678")</f>
        <v/>
      </c>
      <c r="V1876">
        <f>_xlfn.NUMBERVALUE("-0.004126")</f>
        <v/>
      </c>
      <c r="W1876">
        <f>_xlfn.NUMBERVALUE("-0.028984")</f>
        <v/>
      </c>
      <c r="X1876">
        <f>_xlfn.NUMBERVALUE("1.660000")</f>
        <v/>
      </c>
      <c r="Y1876">
        <f>_xlfn.NUMBERVALUE("27.750000")</f>
        <v/>
      </c>
    </row>
    <row r="1877">
      <c r="A1877" s="1" t="n">
        <v>44725</v>
      </c>
      <c r="B1877">
        <f>_xlfn.NUMBERVALUE("-0.024759")</f>
        <v/>
      </c>
      <c r="C1877" s="2">
        <f>_xlfn.NUMBERVALUE("-0.006920")</f>
        <v/>
      </c>
      <c r="D1877">
        <f>_xlfn.NUMBERVALUE("-0.011809")</f>
        <v/>
      </c>
      <c r="E1877">
        <f>_xlfn.NUMBERVALUE("-0.006106")</f>
        <v/>
      </c>
      <c r="F1877">
        <f>_xlfn.NUMBERVALUE("-0.011042")</f>
        <v/>
      </c>
      <c r="G1877">
        <f>_xlfn.NUMBERVALUE("-0.009022")</f>
        <v/>
      </c>
      <c r="H1877">
        <f>_xlfn.NUMBERVALUE("-0.005616")</f>
        <v/>
      </c>
      <c r="I1877">
        <f>_xlfn.NUMBERVALUE("-0.012231")</f>
        <v/>
      </c>
      <c r="J1877">
        <f>_xlfn.NUMBERVALUE("-0.007301")</f>
        <v/>
      </c>
      <c r="K1877">
        <f>_xlfn.NUMBERVALUE("-0.008316")</f>
        <v/>
      </c>
      <c r="L1877">
        <f>_xlfn.NUMBERVALUE("-0.015228")</f>
        <v/>
      </c>
      <c r="M1877">
        <f>_xlfn.NUMBERVALUE("-0.010720")</f>
        <v/>
      </c>
      <c r="N1877">
        <f>_xlfn.NUMBERVALUE("-0.013827")</f>
        <v/>
      </c>
      <c r="O1877">
        <f>_xlfn.NUMBERVALUE("-0.018614")</f>
        <v/>
      </c>
      <c r="P1877">
        <f>_xlfn.NUMBERVALUE("-0.006832")</f>
        <v/>
      </c>
      <c r="Q1877">
        <f>_xlfn.NUMBERVALUE("-0.008039")</f>
        <v/>
      </c>
      <c r="R1877">
        <f>_xlfn.NUMBERVALUE("-0.010501")</f>
        <v/>
      </c>
      <c r="S1877">
        <f>_xlfn.NUMBERVALUE("-0.006515")</f>
        <v/>
      </c>
      <c r="T1877">
        <f>_xlfn.NUMBERVALUE("-0.017592")</f>
        <v/>
      </c>
      <c r="U1877">
        <f>_xlfn.NUMBERVALUE("-0.012465")</f>
        <v/>
      </c>
      <c r="V1877">
        <f>_xlfn.NUMBERVALUE("-0.008768")</f>
        <v/>
      </c>
      <c r="W1877">
        <f>_xlfn.NUMBERVALUE("-0.043772")</f>
        <v/>
      </c>
      <c r="X1877">
        <f>_xlfn.NUMBERVALUE("6.270000")</f>
        <v/>
      </c>
      <c r="Y1877">
        <f>_xlfn.NUMBERVALUE("34.020000")</f>
        <v/>
      </c>
    </row>
    <row r="1878">
      <c r="A1878" s="1" t="n">
        <v>44726</v>
      </c>
      <c r="B1878">
        <f>_xlfn.NUMBERVALUE("0.004179")</f>
        <v/>
      </c>
      <c r="C1878" s="2">
        <f>_xlfn.NUMBERVALUE("0.000672")</f>
        <v/>
      </c>
      <c r="D1878">
        <f>_xlfn.NUMBERVALUE("0.003645")</f>
        <v/>
      </c>
      <c r="E1878">
        <f>_xlfn.NUMBERVALUE("-0.000054")</f>
        <v/>
      </c>
      <c r="F1878">
        <f>_xlfn.NUMBERVALUE("-0.000912")</f>
        <v/>
      </c>
      <c r="G1878">
        <f>_xlfn.NUMBERVALUE("0.000572")</f>
        <v/>
      </c>
      <c r="H1878">
        <f>_xlfn.NUMBERVALUE("0.000068")</f>
        <v/>
      </c>
      <c r="I1878">
        <f>_xlfn.NUMBERVALUE("0.002319")</f>
        <v/>
      </c>
      <c r="J1878">
        <f>_xlfn.NUMBERVALUE("-0.001213")</f>
        <v/>
      </c>
      <c r="K1878">
        <f>_xlfn.NUMBERVALUE("-0.000046")</f>
        <v/>
      </c>
      <c r="L1878">
        <f>_xlfn.NUMBERVALUE("0.002880")</f>
        <v/>
      </c>
      <c r="M1878">
        <f>_xlfn.NUMBERVALUE("0.002058")</f>
        <v/>
      </c>
      <c r="N1878">
        <f>_xlfn.NUMBERVALUE("0.000033")</f>
        <v/>
      </c>
      <c r="O1878">
        <f>_xlfn.NUMBERVALUE("0.003221")</f>
        <v/>
      </c>
      <c r="P1878">
        <f>_xlfn.NUMBERVALUE("0.002223")</f>
        <v/>
      </c>
      <c r="Q1878">
        <f>_xlfn.NUMBERVALUE("0.001528")</f>
        <v/>
      </c>
      <c r="R1878">
        <f>_xlfn.NUMBERVALUE("0.002417")</f>
        <v/>
      </c>
      <c r="S1878">
        <f>_xlfn.NUMBERVALUE("0.001307")</f>
        <v/>
      </c>
      <c r="T1878">
        <f>_xlfn.NUMBERVALUE("-0.001898")</f>
        <v/>
      </c>
      <c r="U1878">
        <f>_xlfn.NUMBERVALUE("0.004209")</f>
        <v/>
      </c>
      <c r="V1878">
        <f>_xlfn.NUMBERVALUE("0.000748")</f>
        <v/>
      </c>
      <c r="W1878">
        <f>_xlfn.NUMBERVALUE("-0.001549")</f>
        <v/>
      </c>
      <c r="X1878">
        <f>_xlfn.NUMBERVALUE("-1.330000")</f>
        <v/>
      </c>
      <c r="Y1878">
        <f>_xlfn.NUMBERVALUE("32.690000")</f>
        <v/>
      </c>
    </row>
    <row r="1879">
      <c r="A1879" s="1" t="n">
        <v>44727</v>
      </c>
      <c r="B1879">
        <f>_xlfn.NUMBERVALUE("0.001156")</f>
        <v/>
      </c>
      <c r="C1879" s="2">
        <f>_xlfn.NUMBERVALUE("0.000496")</f>
        <v/>
      </c>
      <c r="D1879">
        <f>_xlfn.NUMBERVALUE("0.001503")</f>
        <v/>
      </c>
      <c r="E1879">
        <f>_xlfn.NUMBERVALUE("-0.006468")</f>
        <v/>
      </c>
      <c r="F1879">
        <f>_xlfn.NUMBERVALUE("0.003668")</f>
        <v/>
      </c>
      <c r="G1879">
        <f>_xlfn.NUMBERVALUE("-0.001571")</f>
        <v/>
      </c>
      <c r="H1879">
        <f>_xlfn.NUMBERVALUE("0.000899")</f>
        <v/>
      </c>
      <c r="I1879">
        <f>_xlfn.NUMBERVALUE("0.001368")</f>
        <v/>
      </c>
      <c r="J1879">
        <f>_xlfn.NUMBERVALUE("0.002137")</f>
        <v/>
      </c>
      <c r="K1879">
        <f>_xlfn.NUMBERVALUE("0.002000")</f>
        <v/>
      </c>
      <c r="L1879">
        <f>_xlfn.NUMBERVALUE("0.002863")</f>
        <v/>
      </c>
      <c r="M1879">
        <f>_xlfn.NUMBERVALUE("-0.000711")</f>
        <v/>
      </c>
      <c r="N1879">
        <f>_xlfn.NUMBERVALUE("0.000145")</f>
        <v/>
      </c>
      <c r="O1879">
        <f>_xlfn.NUMBERVALUE("0.000041")</f>
        <v/>
      </c>
      <c r="P1879">
        <f>_xlfn.NUMBERVALUE("0.000623")</f>
        <v/>
      </c>
      <c r="Q1879">
        <f>_xlfn.NUMBERVALUE("0.000499")</f>
        <v/>
      </c>
      <c r="R1879">
        <f>_xlfn.NUMBERVALUE("0.000515")</f>
        <v/>
      </c>
      <c r="S1879">
        <f>_xlfn.NUMBERVALUE("-0.003870")</f>
        <v/>
      </c>
      <c r="T1879">
        <f>_xlfn.NUMBERVALUE("0.000777")</f>
        <v/>
      </c>
      <c r="U1879">
        <f>_xlfn.NUMBERVALUE("0.001493")</f>
        <v/>
      </c>
      <c r="V1879">
        <f>_xlfn.NUMBERVALUE("0.000824")</f>
        <v/>
      </c>
      <c r="W1879">
        <f>_xlfn.NUMBERVALUE("0.016182")</f>
        <v/>
      </c>
      <c r="X1879">
        <f>_xlfn.NUMBERVALUE("-3.070000")</f>
        <v/>
      </c>
      <c r="Y1879">
        <f>_xlfn.NUMBERVALUE("29.620000")</f>
        <v/>
      </c>
    </row>
    <row r="1880">
      <c r="A1880" s="1" t="n">
        <v>44728</v>
      </c>
      <c r="B1880">
        <f>_xlfn.NUMBERVALUE("-0.011674")</f>
        <v/>
      </c>
      <c r="C1880" s="2">
        <f>_xlfn.NUMBERVALUE("-0.002168")</f>
        <v/>
      </c>
      <c r="D1880">
        <f>_xlfn.NUMBERVALUE("-0.002774")</f>
        <v/>
      </c>
      <c r="E1880">
        <f>_xlfn.NUMBERVALUE("0.004942")</f>
        <v/>
      </c>
      <c r="F1880">
        <f>_xlfn.NUMBERVALUE("-0.001873")</f>
        <v/>
      </c>
      <c r="G1880">
        <f>_xlfn.NUMBERVALUE("0.002084")</f>
        <v/>
      </c>
      <c r="H1880">
        <f>_xlfn.NUMBERVALUE("-0.002194")</f>
        <v/>
      </c>
      <c r="I1880">
        <f>_xlfn.NUMBERVALUE("-0.006317")</f>
        <v/>
      </c>
      <c r="J1880">
        <f>_xlfn.NUMBERVALUE("-0.001302")</f>
        <v/>
      </c>
      <c r="K1880">
        <f>_xlfn.NUMBERVALUE("-0.000541")</f>
        <v/>
      </c>
      <c r="L1880">
        <f>_xlfn.NUMBERVALUE("-0.000553")</f>
        <v/>
      </c>
      <c r="M1880">
        <f>_xlfn.NUMBERVALUE("-0.003052")</f>
        <v/>
      </c>
      <c r="N1880">
        <f>_xlfn.NUMBERVALUE("-0.009327")</f>
        <v/>
      </c>
      <c r="O1880">
        <f>_xlfn.NUMBERVALUE("-0.006982")</f>
        <v/>
      </c>
      <c r="P1880">
        <f>_xlfn.NUMBERVALUE("-0.003376")</f>
        <v/>
      </c>
      <c r="Q1880">
        <f>_xlfn.NUMBERVALUE("-0.004313")</f>
        <v/>
      </c>
      <c r="R1880">
        <f>_xlfn.NUMBERVALUE("-0.006340")</f>
        <v/>
      </c>
      <c r="S1880">
        <f>_xlfn.NUMBERVALUE("0.002861")</f>
        <v/>
      </c>
      <c r="T1880">
        <f>_xlfn.NUMBERVALUE("-0.001644")</f>
        <v/>
      </c>
      <c r="U1880">
        <f>_xlfn.NUMBERVALUE("-0.009895")</f>
        <v/>
      </c>
      <c r="V1880">
        <f>_xlfn.NUMBERVALUE("-0.003279")</f>
        <v/>
      </c>
      <c r="W1880">
        <f>_xlfn.NUMBERVALUE("-0.036612")</f>
        <v/>
      </c>
      <c r="X1880">
        <f>_xlfn.NUMBERVALUE("3.330000")</f>
        <v/>
      </c>
      <c r="Y1880">
        <f>_xlfn.NUMBERVALUE("32.950000")</f>
        <v/>
      </c>
    </row>
    <row r="1881">
      <c r="A1881" s="1" t="n">
        <v>44729</v>
      </c>
      <c r="B1881">
        <f>_xlfn.NUMBERVALUE("0.006313")</f>
        <v/>
      </c>
      <c r="C1881" s="2">
        <f>_xlfn.NUMBERVALUE("0.001723")</f>
        <v/>
      </c>
      <c r="D1881">
        <f>_xlfn.NUMBERVALUE("0.000949")</f>
        <v/>
      </c>
      <c r="E1881">
        <f>_xlfn.NUMBERVALUE("0.000222")</f>
        <v/>
      </c>
      <c r="F1881">
        <f>_xlfn.NUMBERVALUE("0.001111")</f>
        <v/>
      </c>
      <c r="G1881">
        <f>_xlfn.NUMBERVALUE("0.000624")</f>
        <v/>
      </c>
      <c r="H1881">
        <f>_xlfn.NUMBERVALUE("0.001607")</f>
        <v/>
      </c>
      <c r="I1881">
        <f>_xlfn.NUMBERVALUE("0.000432")</f>
        <v/>
      </c>
      <c r="J1881">
        <f>_xlfn.NUMBERVALUE("0.001171")</f>
        <v/>
      </c>
      <c r="K1881">
        <f>_xlfn.NUMBERVALUE("0.003490")</f>
        <v/>
      </c>
      <c r="L1881">
        <f>_xlfn.NUMBERVALUE("0.003177")</f>
        <v/>
      </c>
      <c r="M1881">
        <f>_xlfn.NUMBERVALUE("0.001050")</f>
        <v/>
      </c>
      <c r="N1881">
        <f>_xlfn.NUMBERVALUE("0.004895")</f>
        <v/>
      </c>
      <c r="O1881">
        <f>_xlfn.NUMBERVALUE("-0.002086")</f>
        <v/>
      </c>
      <c r="P1881">
        <f>_xlfn.NUMBERVALUE("0.001958")</f>
        <v/>
      </c>
      <c r="Q1881">
        <f>_xlfn.NUMBERVALUE("0.001640")</f>
        <v/>
      </c>
      <c r="R1881">
        <f>_xlfn.NUMBERVALUE("0.002496")</f>
        <v/>
      </c>
      <c r="S1881">
        <f>_xlfn.NUMBERVALUE("0.001452")</f>
        <v/>
      </c>
      <c r="T1881">
        <f>_xlfn.NUMBERVALUE("-0.000590")</f>
        <v/>
      </c>
      <c r="U1881">
        <f>_xlfn.NUMBERVALUE("0.004455")</f>
        <v/>
      </c>
      <c r="V1881">
        <f>_xlfn.NUMBERVALUE("0.003141")</f>
        <v/>
      </c>
      <c r="W1881">
        <f>_xlfn.NUMBERVALUE("0.001066")</f>
        <v/>
      </c>
      <c r="X1881">
        <f>_xlfn.NUMBERVALUE("-1.820000")</f>
        <v/>
      </c>
      <c r="Y1881">
        <f>_xlfn.NUMBERVALUE("31.130000")</f>
        <v/>
      </c>
    </row>
    <row r="1882">
      <c r="A1882" s="1" t="n">
        <v>44733</v>
      </c>
      <c r="B1882">
        <f>_xlfn.NUMBERVALUE("0.014394")</f>
        <v/>
      </c>
      <c r="C1882" s="2">
        <f>_xlfn.NUMBERVALUE("-0.000291")</f>
        <v/>
      </c>
      <c r="D1882">
        <f>_xlfn.NUMBERVALUE("0.001530")</f>
        <v/>
      </c>
      <c r="E1882">
        <f>_xlfn.NUMBERVALUE("-0.000027")</f>
        <v/>
      </c>
      <c r="F1882">
        <f>_xlfn.NUMBERVALUE("0.005336")</f>
        <v/>
      </c>
      <c r="G1882">
        <f>_xlfn.NUMBERVALUE("-0.000289")</f>
        <v/>
      </c>
      <c r="H1882">
        <f>_xlfn.NUMBERVALUE("0.000410")</f>
        <v/>
      </c>
      <c r="I1882">
        <f>_xlfn.NUMBERVALUE("0.001255")</f>
        <v/>
      </c>
      <c r="J1882">
        <f>_xlfn.NUMBERVALUE("-0.000360")</f>
        <v/>
      </c>
      <c r="K1882">
        <f>_xlfn.NUMBERVALUE("0.006066")</f>
        <v/>
      </c>
      <c r="L1882">
        <f>_xlfn.NUMBERVALUE("-0.000752")</f>
        <v/>
      </c>
      <c r="M1882">
        <f>_xlfn.NUMBERVALUE("0.003556")</f>
        <v/>
      </c>
      <c r="N1882">
        <f>_xlfn.NUMBERVALUE("0.005365")</f>
        <v/>
      </c>
      <c r="O1882">
        <f>_xlfn.NUMBERVALUE("0.007364")</f>
        <v/>
      </c>
      <c r="P1882">
        <f>_xlfn.NUMBERVALUE("0.004651")</f>
        <v/>
      </c>
      <c r="Q1882">
        <f>_xlfn.NUMBERVALUE("0.002655")</f>
        <v/>
      </c>
      <c r="R1882">
        <f>_xlfn.NUMBERVALUE("0.003069")</f>
        <v/>
      </c>
      <c r="S1882">
        <f>_xlfn.NUMBERVALUE("0.004737")</f>
        <v/>
      </c>
      <c r="T1882">
        <f>_xlfn.NUMBERVALUE("0.006043")</f>
        <v/>
      </c>
      <c r="U1882">
        <f>_xlfn.NUMBERVALUE("0.003286")</f>
        <v/>
      </c>
      <c r="V1882">
        <f>_xlfn.NUMBERVALUE("0.000881")</f>
        <v/>
      </c>
      <c r="W1882">
        <f>_xlfn.NUMBERVALUE("0.025081")</f>
        <v/>
      </c>
      <c r="X1882">
        <f>_xlfn.NUMBERVALUE("-0.940000")</f>
        <v/>
      </c>
      <c r="Y1882">
        <f>_xlfn.NUMBERVALUE("30.190000")</f>
        <v/>
      </c>
    </row>
    <row r="1883">
      <c r="A1883" s="1" t="n">
        <v>44734</v>
      </c>
      <c r="B1883">
        <f>_xlfn.NUMBERVALUE("0.007350")</f>
        <v/>
      </c>
      <c r="C1883" s="2">
        <f>_xlfn.NUMBERVALUE("0.000882")</f>
        <v/>
      </c>
      <c r="D1883">
        <f>_xlfn.NUMBERVALUE("-0.001338")</f>
        <v/>
      </c>
      <c r="E1883">
        <f>_xlfn.NUMBERVALUE("0.000198")</f>
        <v/>
      </c>
      <c r="F1883">
        <f>_xlfn.NUMBERVALUE("0.000732")</f>
        <v/>
      </c>
      <c r="G1883">
        <f>_xlfn.NUMBERVALUE("0.000577")</f>
        <v/>
      </c>
      <c r="H1883">
        <f>_xlfn.NUMBERVALUE("0.000187")</f>
        <v/>
      </c>
      <c r="I1883">
        <f>_xlfn.NUMBERVALUE("0.000401")</f>
        <v/>
      </c>
      <c r="J1883">
        <f>_xlfn.NUMBERVALUE("0.000707")</f>
        <v/>
      </c>
      <c r="K1883">
        <f>_xlfn.NUMBERVALUE("-0.001260")</f>
        <v/>
      </c>
      <c r="L1883">
        <f>_xlfn.NUMBERVALUE("-0.001775")</f>
        <v/>
      </c>
      <c r="M1883">
        <f>_xlfn.NUMBERVALUE("0.000082")</f>
        <v/>
      </c>
      <c r="N1883">
        <f>_xlfn.NUMBERVALUE("-0.000395")</f>
        <v/>
      </c>
      <c r="O1883">
        <f>_xlfn.NUMBERVALUE("-0.003326")</f>
        <v/>
      </c>
      <c r="P1883">
        <f>_xlfn.NUMBERVALUE("0.000009")</f>
        <v/>
      </c>
      <c r="Q1883">
        <f>_xlfn.NUMBERVALUE("-0.000377")</f>
        <v/>
      </c>
      <c r="R1883">
        <f>_xlfn.NUMBERVALUE("-0.001766")</f>
        <v/>
      </c>
      <c r="S1883">
        <f>_xlfn.NUMBERVALUE("0.000265")</f>
        <v/>
      </c>
      <c r="T1883">
        <f>_xlfn.NUMBERVALUE("-0.001464")</f>
        <v/>
      </c>
      <c r="U1883">
        <f>_xlfn.NUMBERVALUE("0.000953")</f>
        <v/>
      </c>
      <c r="V1883">
        <f>_xlfn.NUMBERVALUE("0.000122")</f>
        <v/>
      </c>
      <c r="W1883">
        <f>_xlfn.NUMBERVALUE("-0.001837")</f>
        <v/>
      </c>
      <c r="X1883">
        <f>_xlfn.NUMBERVALUE("-1.240000")</f>
        <v/>
      </c>
      <c r="Y1883">
        <f>_xlfn.NUMBERVALUE("28.950000")</f>
        <v/>
      </c>
    </row>
    <row r="1884">
      <c r="A1884" s="1" t="n">
        <v>44735</v>
      </c>
      <c r="B1884">
        <f>_xlfn.NUMBERVALUE("-0.019204")</f>
        <v/>
      </c>
      <c r="C1884" s="2">
        <f>_xlfn.NUMBERVALUE("0.000393")</f>
        <v/>
      </c>
      <c r="D1884">
        <f>_xlfn.NUMBERVALUE("0.001681")</f>
        <v/>
      </c>
      <c r="E1884">
        <f>_xlfn.NUMBERVALUE("-0.000237")</f>
        <v/>
      </c>
      <c r="F1884">
        <f>_xlfn.NUMBERVALUE("0.000220")</f>
        <v/>
      </c>
      <c r="G1884">
        <f>_xlfn.NUMBERVALUE("0.000985")</f>
        <v/>
      </c>
      <c r="H1884">
        <f>_xlfn.NUMBERVALUE("-0.000789")</f>
        <v/>
      </c>
      <c r="I1884">
        <f>_xlfn.NUMBERVALUE("0.000479")</f>
        <v/>
      </c>
      <c r="J1884">
        <f>_xlfn.NUMBERVALUE("0.000926")</f>
        <v/>
      </c>
      <c r="K1884">
        <f>_xlfn.NUMBERVALUE("-0.001887")</f>
        <v/>
      </c>
      <c r="L1884">
        <f>_xlfn.NUMBERVALUE("0.000176")</f>
        <v/>
      </c>
      <c r="M1884">
        <f>_xlfn.NUMBERVALUE("0.000154")</f>
        <v/>
      </c>
      <c r="N1884">
        <f>_xlfn.NUMBERVALUE("0.001785")</f>
        <v/>
      </c>
      <c r="O1884">
        <f>_xlfn.NUMBERVALUE("0.002194")</f>
        <v/>
      </c>
      <c r="P1884">
        <f>_xlfn.NUMBERVALUE("-0.000164")</f>
        <v/>
      </c>
      <c r="Q1884">
        <f>_xlfn.NUMBERVALUE("0.000386")</f>
        <v/>
      </c>
      <c r="R1884">
        <f>_xlfn.NUMBERVALUE("0.003217")</f>
        <v/>
      </c>
      <c r="S1884">
        <f>_xlfn.NUMBERVALUE("-0.000120")</f>
        <v/>
      </c>
      <c r="T1884">
        <f>_xlfn.NUMBERVALUE("0.001650")</f>
        <v/>
      </c>
      <c r="U1884">
        <f>_xlfn.NUMBERVALUE("0.000701")</f>
        <v/>
      </c>
      <c r="V1884">
        <f>_xlfn.NUMBERVALUE("0.000736")</f>
        <v/>
      </c>
      <c r="W1884">
        <f>_xlfn.NUMBERVALUE("0.008375")</f>
        <v/>
      </c>
      <c r="X1884">
        <f>_xlfn.NUMBERVALUE("0.100000")</f>
        <v/>
      </c>
      <c r="Y1884">
        <f>_xlfn.NUMBERVALUE("29.050000")</f>
        <v/>
      </c>
    </row>
    <row r="1885">
      <c r="A1885" s="1" t="n">
        <v>44736</v>
      </c>
      <c r="B1885">
        <f>_xlfn.NUMBERVALUE("-0.002485")</f>
        <v/>
      </c>
      <c r="C1885" s="2">
        <f>_xlfn.NUMBERVALUE("-0.000142")</f>
        <v/>
      </c>
      <c r="D1885">
        <f>_xlfn.NUMBERVALUE("-0.000620")</f>
        <v/>
      </c>
      <c r="E1885">
        <f>_xlfn.NUMBERVALUE("-0.012591")</f>
        <v/>
      </c>
      <c r="F1885">
        <f>_xlfn.NUMBERVALUE("0.000999")</f>
        <v/>
      </c>
      <c r="G1885">
        <f>_xlfn.NUMBERVALUE("0.000406")</f>
        <v/>
      </c>
      <c r="H1885">
        <f>_xlfn.NUMBERVALUE("0.000659")</f>
        <v/>
      </c>
      <c r="I1885">
        <f>_xlfn.NUMBERVALUE("0.000607")</f>
        <v/>
      </c>
      <c r="J1885">
        <f>_xlfn.NUMBERVALUE("0.000358")</f>
        <v/>
      </c>
      <c r="K1885">
        <f>_xlfn.NUMBERVALUE("0.003051")</f>
        <v/>
      </c>
      <c r="L1885">
        <f>_xlfn.NUMBERVALUE("0.001491")</f>
        <v/>
      </c>
      <c r="M1885">
        <f>_xlfn.NUMBERVALUE("0.000010")</f>
        <v/>
      </c>
      <c r="N1885">
        <f>_xlfn.NUMBERVALUE("-0.004323")</f>
        <v/>
      </c>
      <c r="O1885">
        <f>_xlfn.NUMBERVALUE("0.000239")</f>
        <v/>
      </c>
      <c r="P1885">
        <f>_xlfn.NUMBERVALUE("0.000112")</f>
        <v/>
      </c>
      <c r="Q1885">
        <f>_xlfn.NUMBERVALUE("0.000445")</f>
        <v/>
      </c>
      <c r="R1885">
        <f>_xlfn.NUMBERVALUE("0.000723")</f>
        <v/>
      </c>
      <c r="S1885">
        <f>_xlfn.NUMBERVALUE("-0.001336")</f>
        <v/>
      </c>
      <c r="T1885">
        <f>_xlfn.NUMBERVALUE("0.000611")</f>
        <v/>
      </c>
      <c r="U1885">
        <f>_xlfn.NUMBERVALUE("0.000499")</f>
        <v/>
      </c>
      <c r="V1885">
        <f>_xlfn.NUMBERVALUE("-0.000102")</f>
        <v/>
      </c>
      <c r="W1885">
        <f>_xlfn.NUMBERVALUE("0.027853")</f>
        <v/>
      </c>
      <c r="X1885">
        <f>_xlfn.NUMBERVALUE("-1.820000")</f>
        <v/>
      </c>
      <c r="Y1885">
        <f>_xlfn.NUMBERVALUE("27.230000")</f>
        <v/>
      </c>
    </row>
    <row r="1886">
      <c r="A1886" s="1" t="n">
        <v>44739</v>
      </c>
      <c r="B1886">
        <f>_xlfn.NUMBERVALUE("0.010692")</f>
        <v/>
      </c>
      <c r="C1886" s="2">
        <f>_xlfn.NUMBERVALUE("0.000363")</f>
        <v/>
      </c>
      <c r="D1886">
        <f>_xlfn.NUMBERVALUE("0.001463")</f>
        <v/>
      </c>
      <c r="E1886">
        <f>_xlfn.NUMBERVALUE("0.013078")</f>
        <v/>
      </c>
      <c r="F1886">
        <f>_xlfn.NUMBERVALUE("0.001962")</f>
        <v/>
      </c>
      <c r="G1886">
        <f>_xlfn.NUMBERVALUE("-0.000443")</f>
        <v/>
      </c>
      <c r="H1886">
        <f>_xlfn.NUMBERVALUE("-0.000236")</f>
        <v/>
      </c>
      <c r="I1886">
        <f>_xlfn.NUMBERVALUE("0.001024")</f>
        <v/>
      </c>
      <c r="J1886">
        <f>_xlfn.NUMBERVALUE("-0.000269")</f>
        <v/>
      </c>
      <c r="K1886">
        <f>_xlfn.NUMBERVALUE("0.001747")</f>
        <v/>
      </c>
      <c r="L1886">
        <f>_xlfn.NUMBERVALUE("0.001786")</f>
        <v/>
      </c>
      <c r="M1886">
        <f>_xlfn.NUMBERVALUE("-0.000271")</f>
        <v/>
      </c>
      <c r="N1886">
        <f>_xlfn.NUMBERVALUE("0.003151")</f>
        <v/>
      </c>
      <c r="O1886">
        <f>_xlfn.NUMBERVALUE("0.000129")</f>
        <v/>
      </c>
      <c r="P1886">
        <f>_xlfn.NUMBERVALUE("0.001421")</f>
        <v/>
      </c>
      <c r="Q1886">
        <f>_xlfn.NUMBERVALUE("0.000057")</f>
        <v/>
      </c>
      <c r="R1886">
        <f>_xlfn.NUMBERVALUE("0.001391")</f>
        <v/>
      </c>
      <c r="S1886">
        <f>_xlfn.NUMBERVALUE("0.002532")</f>
        <v/>
      </c>
      <c r="T1886">
        <f>_xlfn.NUMBERVALUE("0.000688")</f>
        <v/>
      </c>
      <c r="U1886">
        <f>_xlfn.NUMBERVALUE("0.002202")</f>
        <v/>
      </c>
      <c r="V1886">
        <f>_xlfn.NUMBERVALUE("0.000522")</f>
        <v/>
      </c>
      <c r="W1886">
        <f>_xlfn.NUMBERVALUE("0.001004")</f>
        <v/>
      </c>
      <c r="X1886">
        <f>_xlfn.NUMBERVALUE("-0.280000")</f>
        <v/>
      </c>
      <c r="Y1886">
        <f>_xlfn.NUMBERVALUE("26.950000")</f>
        <v/>
      </c>
    </row>
    <row r="1887">
      <c r="A1887" s="1" t="n">
        <v>44740</v>
      </c>
      <c r="B1887">
        <f>_xlfn.NUMBERVALUE("-0.003965")</f>
        <v/>
      </c>
      <c r="C1887" s="2">
        <f>_xlfn.NUMBERVALUE("-0.000917")</f>
        <v/>
      </c>
      <c r="D1887">
        <f>_xlfn.NUMBERVALUE("0.000066")</f>
        <v/>
      </c>
      <c r="E1887">
        <f>_xlfn.NUMBERVALUE("-0.005004")</f>
        <v/>
      </c>
      <c r="F1887">
        <f>_xlfn.NUMBERVALUE("0.000447")</f>
        <v/>
      </c>
      <c r="G1887">
        <f>_xlfn.NUMBERVALUE("-0.000056")</f>
        <v/>
      </c>
      <c r="H1887">
        <f>_xlfn.NUMBERVALUE("0.000652")</f>
        <v/>
      </c>
      <c r="I1887">
        <f>_xlfn.NUMBERVALUE("-0.000876")</f>
        <v/>
      </c>
      <c r="J1887">
        <f>_xlfn.NUMBERVALUE("-0.000450")</f>
        <v/>
      </c>
      <c r="K1887">
        <f>_xlfn.NUMBERVALUE("-0.001023")</f>
        <v/>
      </c>
      <c r="L1887">
        <f>_xlfn.NUMBERVALUE("0.000999")</f>
        <v/>
      </c>
      <c r="M1887">
        <f>_xlfn.NUMBERVALUE("-0.000338")</f>
        <v/>
      </c>
      <c r="N1887">
        <f>_xlfn.NUMBERVALUE("-0.004176")</f>
        <v/>
      </c>
      <c r="O1887">
        <f>_xlfn.NUMBERVALUE("-0.000126")</f>
        <v/>
      </c>
      <c r="P1887">
        <f>_xlfn.NUMBERVALUE("-0.000227")</f>
        <v/>
      </c>
      <c r="Q1887">
        <f>_xlfn.NUMBERVALUE("-0.000906")</f>
        <v/>
      </c>
      <c r="R1887">
        <f>_xlfn.NUMBERVALUE("-0.003498")</f>
        <v/>
      </c>
      <c r="S1887">
        <f>_xlfn.NUMBERVALUE("-0.001656")</f>
        <v/>
      </c>
      <c r="T1887">
        <f>_xlfn.NUMBERVALUE("-0.000026")</f>
        <v/>
      </c>
      <c r="U1887">
        <f>_xlfn.NUMBERVALUE("-0.006123")</f>
        <v/>
      </c>
      <c r="V1887">
        <f>_xlfn.NUMBERVALUE("-0.001229")</f>
        <v/>
      </c>
      <c r="W1887">
        <f>_xlfn.NUMBERVALUE("-0.020233")</f>
        <v/>
      </c>
      <c r="X1887">
        <f>_xlfn.NUMBERVALUE("1.410000")</f>
        <v/>
      </c>
      <c r="Y1887">
        <f>_xlfn.NUMBERVALUE("28.360000")</f>
        <v/>
      </c>
    </row>
    <row r="1888">
      <c r="A1888" s="1" t="n">
        <v>44741</v>
      </c>
      <c r="B1888">
        <f>_xlfn.NUMBERVALUE("0.002010")</f>
        <v/>
      </c>
      <c r="C1888" s="2">
        <f>_xlfn.NUMBERVALUE("-0.000899")</f>
        <v/>
      </c>
      <c r="D1888">
        <f>_xlfn.NUMBERVALUE("0.000045")</f>
        <v/>
      </c>
      <c r="E1888">
        <f>_xlfn.NUMBERVALUE("0.004603")</f>
        <v/>
      </c>
      <c r="F1888">
        <f>_xlfn.NUMBERVALUE("0.000281")</f>
        <v/>
      </c>
      <c r="G1888">
        <f>_xlfn.NUMBERVALUE("-0.001170")</f>
        <v/>
      </c>
      <c r="H1888">
        <f>_xlfn.NUMBERVALUE("-0.000104")</f>
        <v/>
      </c>
      <c r="I1888">
        <f>_xlfn.NUMBERVALUE("-0.000224")</f>
        <v/>
      </c>
      <c r="J1888">
        <f>_xlfn.NUMBERVALUE("-0.000409")</f>
        <v/>
      </c>
      <c r="K1888">
        <f>_xlfn.NUMBERVALUE("0.000967")</f>
        <v/>
      </c>
      <c r="L1888">
        <f>_xlfn.NUMBERVALUE("-0.000143")</f>
        <v/>
      </c>
      <c r="M1888">
        <f>_xlfn.NUMBERVALUE("0.000362")</f>
        <v/>
      </c>
      <c r="N1888">
        <f>_xlfn.NUMBERVALUE("0.002181")</f>
        <v/>
      </c>
      <c r="O1888">
        <f>_xlfn.NUMBERVALUE("-0.000743")</f>
        <v/>
      </c>
      <c r="P1888">
        <f>_xlfn.NUMBERVALUE("-0.000036")</f>
        <v/>
      </c>
      <c r="Q1888">
        <f>_xlfn.NUMBERVALUE("0.000212")</f>
        <v/>
      </c>
      <c r="R1888">
        <f>_xlfn.NUMBERVALUE("0.000539")</f>
        <v/>
      </c>
      <c r="S1888">
        <f>_xlfn.NUMBERVALUE("0.001218")</f>
        <v/>
      </c>
      <c r="T1888">
        <f>_xlfn.NUMBERVALUE("0.000418")</f>
        <v/>
      </c>
      <c r="U1888">
        <f>_xlfn.NUMBERVALUE("0.000122")</f>
        <v/>
      </c>
      <c r="V1888">
        <f>_xlfn.NUMBERVALUE("0.000139")</f>
        <v/>
      </c>
      <c r="W1888">
        <f>_xlfn.NUMBERVALUE("-0.002068")</f>
        <v/>
      </c>
      <c r="X1888">
        <f>_xlfn.NUMBERVALUE("-0.200000")</f>
        <v/>
      </c>
      <c r="Y1888">
        <f>_xlfn.NUMBERVALUE("28.160000")</f>
        <v/>
      </c>
    </row>
    <row r="1889">
      <c r="A1889" s="1" t="n">
        <v>44742</v>
      </c>
      <c r="B1889">
        <f>_xlfn.NUMBERVALUE("0.001335")</f>
        <v/>
      </c>
      <c r="C1889" s="2">
        <f>_xlfn.NUMBERVALUE("0.000402")</f>
        <v/>
      </c>
      <c r="D1889">
        <f>_xlfn.NUMBERVALUE("0.000618")</f>
        <v/>
      </c>
      <c r="E1889">
        <f>_xlfn.NUMBERVALUE("-0.000714")</f>
        <v/>
      </c>
      <c r="F1889">
        <f>_xlfn.NUMBERVALUE("-0.001333")</f>
        <v/>
      </c>
      <c r="G1889">
        <f>_xlfn.NUMBERVALUE("0.000467")</f>
        <v/>
      </c>
      <c r="H1889">
        <f>_xlfn.NUMBERVALUE("-0.002384")</f>
        <v/>
      </c>
      <c r="I1889">
        <f>_xlfn.NUMBERVALUE("0.000000")</f>
        <v/>
      </c>
      <c r="J1889">
        <f>_xlfn.NUMBERVALUE("0.001032")</f>
        <v/>
      </c>
      <c r="K1889">
        <f>_xlfn.NUMBERVALUE("-0.000948")</f>
        <v/>
      </c>
      <c r="L1889">
        <f>_xlfn.NUMBERVALUE("-0.003310")</f>
        <v/>
      </c>
      <c r="M1889">
        <f>_xlfn.NUMBERVALUE("-0.000228")</f>
        <v/>
      </c>
      <c r="N1889">
        <f>_xlfn.NUMBERVALUE("0.001666")</f>
        <v/>
      </c>
      <c r="O1889">
        <f>_xlfn.NUMBERVALUE("0.000330")</f>
        <v/>
      </c>
      <c r="P1889">
        <f>_xlfn.NUMBERVALUE("-0.000186")</f>
        <v/>
      </c>
      <c r="Q1889">
        <f>_xlfn.NUMBERVALUE("-0.000028")</f>
        <v/>
      </c>
      <c r="R1889">
        <f>_xlfn.NUMBERVALUE("-0.000030")</f>
        <v/>
      </c>
      <c r="S1889">
        <f>_xlfn.NUMBERVALUE("0.000461")</f>
        <v/>
      </c>
      <c r="T1889">
        <f>_xlfn.NUMBERVALUE("0.000095")</f>
        <v/>
      </c>
      <c r="U1889">
        <f>_xlfn.NUMBERVALUE("-0.000048")</f>
        <v/>
      </c>
      <c r="V1889">
        <f>_xlfn.NUMBERVALUE("-0.000021")</f>
        <v/>
      </c>
      <c r="W1889">
        <f>_xlfn.NUMBERVALUE("-0.008367")</f>
        <v/>
      </c>
      <c r="X1889">
        <f>_xlfn.NUMBERVALUE("0.550000")</f>
        <v/>
      </c>
      <c r="Y1889">
        <f>_xlfn.NUMBERVALUE("28.710000")</f>
        <v/>
      </c>
    </row>
    <row r="1890">
      <c r="A1890" s="1" t="n">
        <v>44743</v>
      </c>
      <c r="B1890">
        <f>_xlfn.NUMBERVALUE("0.005410")</f>
        <v/>
      </c>
      <c r="C1890" s="2">
        <f>_xlfn.NUMBERVALUE("0.001081")</f>
        <v/>
      </c>
      <c r="D1890">
        <f>_xlfn.NUMBERVALUE("0.000475")</f>
        <v/>
      </c>
      <c r="E1890">
        <f>_xlfn.NUMBERVALUE("0.000169")</f>
        <v/>
      </c>
      <c r="F1890">
        <f>_xlfn.NUMBERVALUE("0.002040")</f>
        <v/>
      </c>
      <c r="G1890">
        <f>_xlfn.NUMBERVALUE("0.003915")</f>
        <v/>
      </c>
      <c r="H1890">
        <f>_xlfn.NUMBERVALUE("0.000276")</f>
        <v/>
      </c>
      <c r="I1890">
        <f>_xlfn.NUMBERVALUE("0.000126")</f>
        <v/>
      </c>
      <c r="J1890">
        <f>_xlfn.NUMBERVALUE("0.002566")</f>
        <v/>
      </c>
      <c r="K1890">
        <f>_xlfn.NUMBERVALUE("0.000275")</f>
        <v/>
      </c>
      <c r="L1890">
        <f>_xlfn.NUMBERVALUE("0.001502")</f>
        <v/>
      </c>
      <c r="M1890">
        <f>_xlfn.NUMBERVALUE("0.000238")</f>
        <v/>
      </c>
      <c r="N1890">
        <f>_xlfn.NUMBERVALUE("0.003160")</f>
        <v/>
      </c>
      <c r="O1890">
        <f>_xlfn.NUMBERVALUE("-0.000236")</f>
        <v/>
      </c>
      <c r="P1890">
        <f>_xlfn.NUMBERVALUE("0.000176")</f>
        <v/>
      </c>
      <c r="Q1890">
        <f>_xlfn.NUMBERVALUE("0.000848")</f>
        <v/>
      </c>
      <c r="R1890">
        <f>_xlfn.NUMBERVALUE("0.000414")</f>
        <v/>
      </c>
      <c r="S1890">
        <f>_xlfn.NUMBERVALUE("0.000303")</f>
        <v/>
      </c>
      <c r="T1890">
        <f>_xlfn.NUMBERVALUE("-0.001235")</f>
        <v/>
      </c>
      <c r="U1890">
        <f>_xlfn.NUMBERVALUE("-0.001284")</f>
        <v/>
      </c>
      <c r="V1890">
        <f>_xlfn.NUMBERVALUE("0.000086")</f>
        <v/>
      </c>
      <c r="W1890">
        <f>_xlfn.NUMBERVALUE("0.011031")</f>
        <v/>
      </c>
      <c r="X1890">
        <f>_xlfn.NUMBERVALUE("-2.010000")</f>
        <v/>
      </c>
      <c r="Y1890">
        <f>_xlfn.NUMBERVALUE("26.700000")</f>
        <v/>
      </c>
    </row>
    <row r="1891">
      <c r="A1891" s="1" t="n">
        <v>44747</v>
      </c>
      <c r="B1891">
        <f>_xlfn.NUMBERVALUE("-0.013464")</f>
        <v/>
      </c>
      <c r="C1891" s="2">
        <f>_xlfn.NUMBERVALUE("-0.000136")</f>
        <v/>
      </c>
      <c r="D1891">
        <f>_xlfn.NUMBERVALUE("-0.000293")</f>
        <v/>
      </c>
      <c r="E1891">
        <f>_xlfn.NUMBERVALUE("-0.000145")</f>
        <v/>
      </c>
      <c r="F1891">
        <f>_xlfn.NUMBERVALUE("-0.002039")</f>
        <v/>
      </c>
      <c r="G1891">
        <f>_xlfn.NUMBERVALUE("0.000015")</f>
        <v/>
      </c>
      <c r="H1891">
        <f>_xlfn.NUMBERVALUE("0.000130")</f>
        <v/>
      </c>
      <c r="I1891">
        <f>_xlfn.NUMBERVALUE("-0.000134")</f>
        <v/>
      </c>
      <c r="J1891">
        <f>_xlfn.NUMBERVALUE("0.001001")</f>
        <v/>
      </c>
      <c r="K1891">
        <f>_xlfn.NUMBERVALUE("-0.000016")</f>
        <v/>
      </c>
      <c r="L1891">
        <f>_xlfn.NUMBERVALUE("0.001671")</f>
        <v/>
      </c>
      <c r="M1891">
        <f>_xlfn.NUMBERVALUE("-0.000286")</f>
        <v/>
      </c>
      <c r="N1891">
        <f>_xlfn.NUMBERVALUE("-0.003074")</f>
        <v/>
      </c>
      <c r="O1891">
        <f>_xlfn.NUMBERVALUE("0.000180")</f>
        <v/>
      </c>
      <c r="P1891">
        <f>_xlfn.NUMBERVALUE("0.000583")</f>
        <v/>
      </c>
      <c r="Q1891">
        <f>_xlfn.NUMBERVALUE("-0.000436")</f>
        <v/>
      </c>
      <c r="R1891">
        <f>_xlfn.NUMBERVALUE("0.000208")</f>
        <v/>
      </c>
      <c r="S1891">
        <f>_xlfn.NUMBERVALUE("0.001280")</f>
        <v/>
      </c>
      <c r="T1891">
        <f>_xlfn.NUMBERVALUE("-0.009909")</f>
        <v/>
      </c>
      <c r="U1891">
        <f>_xlfn.NUMBERVALUE("0.003337")</f>
        <v/>
      </c>
      <c r="V1891">
        <f>_xlfn.NUMBERVALUE("-0.000107")</f>
        <v/>
      </c>
      <c r="W1891">
        <f>_xlfn.NUMBERVALUE("-0.000288")</f>
        <v/>
      </c>
      <c r="X1891">
        <f>_xlfn.NUMBERVALUE("0.840000")</f>
        <v/>
      </c>
      <c r="Y1891">
        <f>_xlfn.NUMBERVALUE("27.540000")</f>
        <v/>
      </c>
    </row>
    <row r="1892">
      <c r="A1892" s="1" t="n">
        <v>44748</v>
      </c>
      <c r="B1892">
        <f>_xlfn.NUMBERVALUE("0.003352")</f>
        <v/>
      </c>
      <c r="C1892" s="2">
        <f>_xlfn.NUMBERVALUE("-0.000008")</f>
        <v/>
      </c>
      <c r="D1892">
        <f>_xlfn.NUMBERVALUE("0.000105")</f>
        <v/>
      </c>
      <c r="E1892">
        <f>_xlfn.NUMBERVALUE("0.000126")</f>
        <v/>
      </c>
      <c r="F1892">
        <f>_xlfn.NUMBERVALUE("-0.000014")</f>
        <v/>
      </c>
      <c r="G1892">
        <f>_xlfn.NUMBERVALUE("0.000125")</f>
        <v/>
      </c>
      <c r="H1892">
        <f>_xlfn.NUMBERVALUE("0.002455")</f>
        <v/>
      </c>
      <c r="I1892">
        <f>_xlfn.NUMBERVALUE("0.000083")</f>
        <v/>
      </c>
      <c r="J1892">
        <f>_xlfn.NUMBERVALUE("-0.000072")</f>
        <v/>
      </c>
      <c r="K1892">
        <f>_xlfn.NUMBERVALUE("0.000001")</f>
        <v/>
      </c>
      <c r="L1892">
        <f>_xlfn.NUMBERVALUE("0.000377")</f>
        <v/>
      </c>
      <c r="M1892">
        <f>_xlfn.NUMBERVALUE("-0.001368")</f>
        <v/>
      </c>
      <c r="N1892">
        <f>_xlfn.NUMBERVALUE("0.002733")</f>
        <v/>
      </c>
      <c r="O1892">
        <f>_xlfn.NUMBERVALUE("0.000012")</f>
        <v/>
      </c>
      <c r="P1892">
        <f>_xlfn.NUMBERVALUE("-0.002799")</f>
        <v/>
      </c>
      <c r="Q1892">
        <f>_xlfn.NUMBERVALUE("0.000182")</f>
        <v/>
      </c>
      <c r="R1892">
        <f>_xlfn.NUMBERVALUE("-0.000783")</f>
        <v/>
      </c>
      <c r="S1892">
        <f>_xlfn.NUMBERVALUE("0.001010")</f>
        <v/>
      </c>
      <c r="T1892">
        <f>_xlfn.NUMBERVALUE("0.000104")</f>
        <v/>
      </c>
      <c r="U1892">
        <f>_xlfn.NUMBERVALUE("0.001101")</f>
        <v/>
      </c>
      <c r="V1892">
        <f>_xlfn.NUMBERVALUE("0.000029")</f>
        <v/>
      </c>
      <c r="W1892">
        <f>_xlfn.NUMBERVALUE("0.004257")</f>
        <v/>
      </c>
      <c r="X1892">
        <f>_xlfn.NUMBERVALUE("-0.810000")</f>
        <v/>
      </c>
      <c r="Y1892">
        <f>_xlfn.NUMBERVALUE("26.730000")</f>
        <v/>
      </c>
    </row>
    <row r="1893">
      <c r="A1893" s="1" t="n">
        <v>44749</v>
      </c>
      <c r="B1893">
        <f>_xlfn.NUMBERVALUE("-0.001148")</f>
        <v/>
      </c>
      <c r="C1893" s="2">
        <f>_xlfn.NUMBERVALUE("0.000760")</f>
        <v/>
      </c>
      <c r="D1893">
        <f>_xlfn.NUMBERVALUE("-0.002687")</f>
        <v/>
      </c>
      <c r="E1893">
        <f>_xlfn.NUMBERVALUE("-0.000034")</f>
        <v/>
      </c>
      <c r="F1893">
        <f>_xlfn.NUMBERVALUE("0.003038")</f>
        <v/>
      </c>
      <c r="G1893">
        <f>_xlfn.NUMBERVALUE("-0.002789")</f>
        <v/>
      </c>
      <c r="H1893">
        <f>_xlfn.NUMBERVALUE("0.000665")</f>
        <v/>
      </c>
      <c r="I1893">
        <f>_xlfn.NUMBERVALUE("-0.001746")</f>
        <v/>
      </c>
      <c r="J1893">
        <f>_xlfn.NUMBERVALUE("0.000967")</f>
        <v/>
      </c>
      <c r="K1893">
        <f>_xlfn.NUMBERVALUE("0.004337")</f>
        <v/>
      </c>
      <c r="L1893">
        <f>_xlfn.NUMBERVALUE("0.007661")</f>
        <v/>
      </c>
      <c r="M1893">
        <f>_xlfn.NUMBERVALUE("0.001691")</f>
        <v/>
      </c>
      <c r="N1893">
        <f>_xlfn.NUMBERVALUE("0.001279")</f>
        <v/>
      </c>
      <c r="O1893">
        <f>_xlfn.NUMBERVALUE("-0.000440")</f>
        <v/>
      </c>
      <c r="P1893">
        <f>_xlfn.NUMBERVALUE("0.002812")</f>
        <v/>
      </c>
      <c r="Q1893">
        <f>_xlfn.NUMBERVALUE("0.000175")</f>
        <v/>
      </c>
      <c r="R1893">
        <f>_xlfn.NUMBERVALUE("0.001855")</f>
        <v/>
      </c>
      <c r="S1893">
        <f>_xlfn.NUMBERVALUE("0.001888")</f>
        <v/>
      </c>
      <c r="T1893">
        <f>_xlfn.NUMBERVALUE("0.001700")</f>
        <v/>
      </c>
      <c r="U1893">
        <f>_xlfn.NUMBERVALUE("0.001700")</f>
        <v/>
      </c>
      <c r="V1893">
        <f>_xlfn.NUMBERVALUE("0.000584")</f>
        <v/>
      </c>
      <c r="W1893">
        <f>_xlfn.NUMBERVALUE("0.011485")</f>
        <v/>
      </c>
      <c r="X1893">
        <f>_xlfn.NUMBERVALUE("-0.650000")</f>
        <v/>
      </c>
      <c r="Y1893">
        <f>_xlfn.NUMBERVALUE("26.080000")</f>
        <v/>
      </c>
    </row>
    <row r="1894">
      <c r="A1894" s="1" t="n">
        <v>44750</v>
      </c>
      <c r="B1894">
        <f>_xlfn.NUMBERVALUE("0.005083")</f>
        <v/>
      </c>
      <c r="C1894" s="2">
        <f>_xlfn.NUMBERVALUE("0.003301")</f>
        <v/>
      </c>
      <c r="D1894">
        <f>_xlfn.NUMBERVALUE("0.004152")</f>
        <v/>
      </c>
      <c r="E1894">
        <f>_xlfn.NUMBERVALUE("0.002233")</f>
        <v/>
      </c>
      <c r="F1894">
        <f>_xlfn.NUMBERVALUE("0.003049")</f>
        <v/>
      </c>
      <c r="G1894">
        <f>_xlfn.NUMBERVALUE("0.001812")</f>
        <v/>
      </c>
      <c r="H1894">
        <f>_xlfn.NUMBERVALUE("0.001342")</f>
        <v/>
      </c>
      <c r="I1894">
        <f>_xlfn.NUMBERVALUE("0.003986")</f>
        <v/>
      </c>
      <c r="J1894">
        <f>_xlfn.NUMBERVALUE("0.001217")</f>
        <v/>
      </c>
      <c r="K1894">
        <f>_xlfn.NUMBERVALUE("0.003090")</f>
        <v/>
      </c>
      <c r="L1894">
        <f>_xlfn.NUMBERVALUE("0.001526")</f>
        <v/>
      </c>
      <c r="M1894">
        <f>_xlfn.NUMBERVALUE("-0.000207")</f>
        <v/>
      </c>
      <c r="N1894">
        <f>_xlfn.NUMBERVALUE("0.004768")</f>
        <v/>
      </c>
      <c r="O1894">
        <f>_xlfn.NUMBERVALUE("0.000234")</f>
        <v/>
      </c>
      <c r="P1894">
        <f>_xlfn.NUMBERVALUE("0.000646")</f>
        <v/>
      </c>
      <c r="Q1894">
        <f>_xlfn.NUMBERVALUE("-0.000157")</f>
        <v/>
      </c>
      <c r="R1894">
        <f>_xlfn.NUMBERVALUE("0.001583")</f>
        <v/>
      </c>
      <c r="S1894">
        <f>_xlfn.NUMBERVALUE("0.003852")</f>
        <v/>
      </c>
      <c r="T1894">
        <f>_xlfn.NUMBERVALUE("0.000378")</f>
        <v/>
      </c>
      <c r="U1894">
        <f>_xlfn.NUMBERVALUE("0.002317")</f>
        <v/>
      </c>
      <c r="V1894">
        <f>_xlfn.NUMBERVALUE("0.003256")</f>
        <v/>
      </c>
      <c r="W1894">
        <f>_xlfn.NUMBERVALUE("0.001132")</f>
        <v/>
      </c>
      <c r="X1894">
        <f>_xlfn.NUMBERVALUE("-1.440000")</f>
        <v/>
      </c>
      <c r="Y1894">
        <f>_xlfn.NUMBERVALUE("24.640000")</f>
        <v/>
      </c>
    </row>
    <row r="1895">
      <c r="A1895" s="1" t="n">
        <v>44753</v>
      </c>
      <c r="B1895">
        <f>_xlfn.NUMBERVALUE("-0.009867")</f>
        <v/>
      </c>
      <c r="C1895" s="2">
        <f>_xlfn.NUMBERVALUE("0.000197")</f>
        <v/>
      </c>
      <c r="D1895">
        <f>_xlfn.NUMBERVALUE("-0.007464")</f>
        <v/>
      </c>
      <c r="E1895">
        <f>_xlfn.NUMBERVALUE("-0.004979")</f>
        <v/>
      </c>
      <c r="F1895">
        <f>_xlfn.NUMBERVALUE("0.000569")</f>
        <v/>
      </c>
      <c r="G1895">
        <f>_xlfn.NUMBERVALUE("0.001026")</f>
        <v/>
      </c>
      <c r="H1895">
        <f>_xlfn.NUMBERVALUE("0.000726")</f>
        <v/>
      </c>
      <c r="I1895">
        <f>_xlfn.NUMBERVALUE("-0.001295")</f>
        <v/>
      </c>
      <c r="J1895">
        <f>_xlfn.NUMBERVALUE("0.000405")</f>
        <v/>
      </c>
      <c r="K1895">
        <f>_xlfn.NUMBERVALUE("-0.000995")</f>
        <v/>
      </c>
      <c r="L1895">
        <f>_xlfn.NUMBERVALUE("0.000779")</f>
        <v/>
      </c>
      <c r="M1895">
        <f>_xlfn.NUMBERVALUE("0.000093")</f>
        <v/>
      </c>
      <c r="N1895">
        <f>_xlfn.NUMBERVALUE("-0.006172")</f>
        <v/>
      </c>
      <c r="O1895">
        <f>_xlfn.NUMBERVALUE("0.000292")</f>
        <v/>
      </c>
      <c r="P1895">
        <f>_xlfn.NUMBERVALUE("-0.000072")</f>
        <v/>
      </c>
      <c r="Q1895">
        <f>_xlfn.NUMBERVALUE("0.000016")</f>
        <v/>
      </c>
      <c r="R1895">
        <f>_xlfn.NUMBERVALUE("-0.000272")</f>
        <v/>
      </c>
      <c r="S1895">
        <f>_xlfn.NUMBERVALUE("0.004141")</f>
        <v/>
      </c>
      <c r="T1895">
        <f>_xlfn.NUMBERVALUE("-0.000129")</f>
        <v/>
      </c>
      <c r="U1895">
        <f>_xlfn.NUMBERVALUE("-0.001460")</f>
        <v/>
      </c>
      <c r="V1895">
        <f>_xlfn.NUMBERVALUE("-0.000087")</f>
        <v/>
      </c>
      <c r="W1895">
        <f>_xlfn.NUMBERVALUE("-0.013897")</f>
        <v/>
      </c>
      <c r="X1895">
        <f>_xlfn.NUMBERVALUE("1.530000")</f>
        <v/>
      </c>
      <c r="Y1895">
        <f>_xlfn.NUMBERVALUE("26.170000")</f>
        <v/>
      </c>
    </row>
    <row r="1896">
      <c r="A1896" s="1" t="n">
        <v>44754</v>
      </c>
      <c r="B1896">
        <f>_xlfn.NUMBERVALUE("0.001000")</f>
        <v/>
      </c>
      <c r="C1896" s="2">
        <f>_xlfn.NUMBERVALUE("-0.000482")</f>
        <v/>
      </c>
      <c r="D1896">
        <f>_xlfn.NUMBERVALUE("0.000870")</f>
        <v/>
      </c>
      <c r="E1896">
        <f>_xlfn.NUMBERVALUE("0.003218")</f>
        <v/>
      </c>
      <c r="F1896">
        <f>_xlfn.NUMBERVALUE("0.000479")</f>
        <v/>
      </c>
      <c r="G1896">
        <f>_xlfn.NUMBERVALUE("0.000051")</f>
        <v/>
      </c>
      <c r="H1896">
        <f>_xlfn.NUMBERVALUE("-0.000225")</f>
        <v/>
      </c>
      <c r="I1896">
        <f>_xlfn.NUMBERVALUE("-0.000236")</f>
        <v/>
      </c>
      <c r="J1896">
        <f>_xlfn.NUMBERVALUE("0.000213")</f>
        <v/>
      </c>
      <c r="K1896">
        <f>_xlfn.NUMBERVALUE("0.001063")</f>
        <v/>
      </c>
      <c r="L1896">
        <f>_xlfn.NUMBERVALUE("-0.000639")</f>
        <v/>
      </c>
      <c r="M1896">
        <f>_xlfn.NUMBERVALUE("-0.001137")</f>
        <v/>
      </c>
      <c r="N1896">
        <f>_xlfn.NUMBERVALUE("-0.000211")</f>
        <v/>
      </c>
      <c r="O1896">
        <f>_xlfn.NUMBERVALUE("-0.000429")</f>
        <v/>
      </c>
      <c r="P1896">
        <f>_xlfn.NUMBERVALUE("-0.001064")</f>
        <v/>
      </c>
      <c r="Q1896">
        <f>_xlfn.NUMBERVALUE("-0.000974")</f>
        <v/>
      </c>
      <c r="R1896">
        <f>_xlfn.NUMBERVALUE("-0.001651")</f>
        <v/>
      </c>
      <c r="S1896">
        <f>_xlfn.NUMBERVALUE("0.000418")</f>
        <v/>
      </c>
      <c r="T1896">
        <f>_xlfn.NUMBERVALUE("-0.000093")</f>
        <v/>
      </c>
      <c r="U1896">
        <f>_xlfn.NUMBERVALUE("-0.001323")</f>
        <v/>
      </c>
      <c r="V1896">
        <f>_xlfn.NUMBERVALUE("-0.000037")</f>
        <v/>
      </c>
      <c r="W1896">
        <f>_xlfn.NUMBERVALUE("-0.010472")</f>
        <v/>
      </c>
      <c r="X1896">
        <f>_xlfn.NUMBERVALUE("1.120000")</f>
        <v/>
      </c>
      <c r="Y1896">
        <f>_xlfn.NUMBERVALUE("27.290000")</f>
        <v/>
      </c>
    </row>
    <row r="1897">
      <c r="A1897" s="1" t="n">
        <v>44755</v>
      </c>
      <c r="B1897">
        <f>_xlfn.NUMBERVALUE("0.005871")</f>
        <v/>
      </c>
      <c r="C1897" s="2">
        <f>_xlfn.NUMBERVALUE("0.001720")</f>
        <v/>
      </c>
      <c r="D1897">
        <f>_xlfn.NUMBERVALUE("0.003913")</f>
        <v/>
      </c>
      <c r="E1897">
        <f>_xlfn.NUMBERVALUE("0.002252")</f>
        <v/>
      </c>
      <c r="F1897">
        <f>_xlfn.NUMBERVALUE("0.003300")</f>
        <v/>
      </c>
      <c r="G1897">
        <f>_xlfn.NUMBERVALUE("0.001602")</f>
        <v/>
      </c>
      <c r="H1897">
        <f>_xlfn.NUMBERVALUE("0.001206")</f>
        <v/>
      </c>
      <c r="I1897">
        <f>_xlfn.NUMBERVALUE("0.002230")</f>
        <v/>
      </c>
      <c r="J1897">
        <f>_xlfn.NUMBERVALUE("-0.000282")</f>
        <v/>
      </c>
      <c r="K1897">
        <f>_xlfn.NUMBERVALUE("0.001903")</f>
        <v/>
      </c>
      <c r="L1897">
        <f>_xlfn.NUMBERVALUE("0.000366")</f>
        <v/>
      </c>
      <c r="M1897">
        <f>_xlfn.NUMBERVALUE("0.002206")</f>
        <v/>
      </c>
      <c r="N1897">
        <f>_xlfn.NUMBERVALUE("0.004727")</f>
        <v/>
      </c>
      <c r="O1897">
        <f>_xlfn.NUMBERVALUE("0.003346")</f>
        <v/>
      </c>
      <c r="P1897">
        <f>_xlfn.NUMBERVALUE("0.001360")</f>
        <v/>
      </c>
      <c r="Q1897">
        <f>_xlfn.NUMBERVALUE("0.001430")</f>
        <v/>
      </c>
      <c r="R1897">
        <f>_xlfn.NUMBERVALUE("0.001920")</f>
        <v/>
      </c>
      <c r="S1897">
        <f>_xlfn.NUMBERVALUE("0.001110")</f>
        <v/>
      </c>
      <c r="T1897">
        <f>_xlfn.NUMBERVALUE("0.002027")</f>
        <v/>
      </c>
      <c r="U1897">
        <f>_xlfn.NUMBERVALUE("0.000869")</f>
        <v/>
      </c>
      <c r="V1897">
        <f>_xlfn.NUMBERVALUE("0.002037")</f>
        <v/>
      </c>
      <c r="W1897">
        <f>_xlfn.NUMBERVALUE("-0.001132")</f>
        <v/>
      </c>
      <c r="X1897">
        <f>_xlfn.NUMBERVALUE("-0.470000")</f>
        <v/>
      </c>
      <c r="Y1897">
        <f>_xlfn.NUMBERVALUE("26.820000")</f>
        <v/>
      </c>
    </row>
    <row r="1898">
      <c r="A1898" s="1" t="n">
        <v>44756</v>
      </c>
      <c r="B1898">
        <f>_xlfn.NUMBERVALUE("0.006028")</f>
        <v/>
      </c>
      <c r="C1898" s="2">
        <f>_xlfn.NUMBERVALUE("0.001803")</f>
        <v/>
      </c>
      <c r="D1898">
        <f>_xlfn.NUMBERVALUE("0.001088")</f>
        <v/>
      </c>
      <c r="E1898">
        <f>_xlfn.NUMBERVALUE("0.001454")</f>
        <v/>
      </c>
      <c r="F1898">
        <f>_xlfn.NUMBERVALUE("-0.003124")</f>
        <v/>
      </c>
      <c r="G1898">
        <f>_xlfn.NUMBERVALUE("0.001585")</f>
        <v/>
      </c>
      <c r="H1898">
        <f>_xlfn.NUMBERVALUE("0.000925")</f>
        <v/>
      </c>
      <c r="I1898">
        <f>_xlfn.NUMBERVALUE("0.003577")</f>
        <v/>
      </c>
      <c r="J1898">
        <f>_xlfn.NUMBERVALUE("0.001954")</f>
        <v/>
      </c>
      <c r="K1898">
        <f>_xlfn.NUMBERVALUE("-0.008227")</f>
        <v/>
      </c>
      <c r="L1898">
        <f>_xlfn.NUMBERVALUE("0.001459")</f>
        <v/>
      </c>
      <c r="M1898">
        <f>_xlfn.NUMBERVALUE("0.000124")</f>
        <v/>
      </c>
      <c r="N1898">
        <f>_xlfn.NUMBERVALUE("0.001693")</f>
        <v/>
      </c>
      <c r="O1898">
        <f>_xlfn.NUMBERVALUE("0.001287")</f>
        <v/>
      </c>
      <c r="P1898">
        <f>_xlfn.NUMBERVALUE("0.000707")</f>
        <v/>
      </c>
      <c r="Q1898">
        <f>_xlfn.NUMBERVALUE("0.002199")</f>
        <v/>
      </c>
      <c r="R1898">
        <f>_xlfn.NUMBERVALUE("0.001366")</f>
        <v/>
      </c>
      <c r="S1898">
        <f>_xlfn.NUMBERVALUE("0.001119")</f>
        <v/>
      </c>
      <c r="T1898">
        <f>_xlfn.NUMBERVALUE("0.001825")</f>
        <v/>
      </c>
      <c r="U1898">
        <f>_xlfn.NUMBERVALUE("0.002994")</f>
        <v/>
      </c>
      <c r="V1898">
        <f>_xlfn.NUMBERVALUE("0.001847")</f>
        <v/>
      </c>
      <c r="W1898">
        <f>_xlfn.NUMBERVALUE("-0.004191")</f>
        <v/>
      </c>
      <c r="X1898">
        <f>_xlfn.NUMBERVALUE("-0.420000")</f>
        <v/>
      </c>
      <c r="Y1898">
        <f>_xlfn.NUMBERVALUE("26.400000")</f>
        <v/>
      </c>
    </row>
    <row r="1899">
      <c r="A1899" s="1" t="n">
        <v>44757</v>
      </c>
      <c r="B1899">
        <f>_xlfn.NUMBERVALUE("0.008131")</f>
        <v/>
      </c>
      <c r="C1899" s="2">
        <f>_xlfn.NUMBERVALUE("0.000163")</f>
        <v/>
      </c>
      <c r="D1899">
        <f>_xlfn.NUMBERVALUE("0.005067")</f>
        <v/>
      </c>
      <c r="E1899">
        <f>_xlfn.NUMBERVALUE("0.000868")</f>
        <v/>
      </c>
      <c r="F1899">
        <f>_xlfn.NUMBERVALUE("0.001283")</f>
        <v/>
      </c>
      <c r="G1899">
        <f>_xlfn.NUMBERVALUE("-0.000280")</f>
        <v/>
      </c>
      <c r="H1899">
        <f>_xlfn.NUMBERVALUE("0.001681")</f>
        <v/>
      </c>
      <c r="I1899">
        <f>_xlfn.NUMBERVALUE("0.001894")</f>
        <v/>
      </c>
      <c r="J1899">
        <f>_xlfn.NUMBERVALUE("0.000667")</f>
        <v/>
      </c>
      <c r="K1899">
        <f>_xlfn.NUMBERVALUE("0.002343")</f>
        <v/>
      </c>
      <c r="L1899">
        <f>_xlfn.NUMBERVALUE("0.003506")</f>
        <v/>
      </c>
      <c r="M1899">
        <f>_xlfn.NUMBERVALUE("0.004225")</f>
        <v/>
      </c>
      <c r="N1899">
        <f>_xlfn.NUMBERVALUE("0.001786")</f>
        <v/>
      </c>
      <c r="O1899">
        <f>_xlfn.NUMBERVALUE("0.005166")</f>
        <v/>
      </c>
      <c r="P1899">
        <f>_xlfn.NUMBERVALUE("-0.001529")</f>
        <v/>
      </c>
      <c r="Q1899">
        <f>_xlfn.NUMBERVALUE("0.003579")</f>
        <v/>
      </c>
      <c r="R1899">
        <f>_xlfn.NUMBERVALUE("0.004967")</f>
        <v/>
      </c>
      <c r="S1899">
        <f>_xlfn.NUMBERVALUE("0.003617")</f>
        <v/>
      </c>
      <c r="T1899">
        <f>_xlfn.NUMBERVALUE("0.003501")</f>
        <v/>
      </c>
      <c r="U1899">
        <f>_xlfn.NUMBERVALUE("0.005617")</f>
        <v/>
      </c>
      <c r="V1899">
        <f>_xlfn.NUMBERVALUE("0.001635")</f>
        <v/>
      </c>
      <c r="W1899">
        <f>_xlfn.NUMBERVALUE("0.017256")</f>
        <v/>
      </c>
      <c r="X1899">
        <f>_xlfn.NUMBERVALUE("-2.170000")</f>
        <v/>
      </c>
      <c r="Y1899">
        <f>_xlfn.NUMBERVALUE("24.230000")</f>
        <v/>
      </c>
    </row>
    <row r="1900">
      <c r="A1900" s="1" t="n">
        <v>44760</v>
      </c>
      <c r="B1900">
        <f>_xlfn.NUMBERVALUE("0.004819")</f>
        <v/>
      </c>
      <c r="C1900" s="2">
        <f>_xlfn.NUMBERVALUE("0.000498")</f>
        <v/>
      </c>
      <c r="D1900">
        <f>_xlfn.NUMBERVALUE("-0.000445")</f>
        <v/>
      </c>
      <c r="E1900">
        <f>_xlfn.NUMBERVALUE("0.000852")</f>
        <v/>
      </c>
      <c r="F1900">
        <f>_xlfn.NUMBERVALUE("0.001253")</f>
        <v/>
      </c>
      <c r="G1900">
        <f>_xlfn.NUMBERVALUE("0.000705")</f>
        <v/>
      </c>
      <c r="H1900">
        <f>_xlfn.NUMBERVALUE("0.001656")</f>
        <v/>
      </c>
      <c r="I1900">
        <f>_xlfn.NUMBERVALUE("0.000174")</f>
        <v/>
      </c>
      <c r="J1900">
        <f>_xlfn.NUMBERVALUE("0.000348")</f>
        <v/>
      </c>
      <c r="K1900">
        <f>_xlfn.NUMBERVALUE("0.003438")</f>
        <v/>
      </c>
      <c r="L1900">
        <f>_xlfn.NUMBERVALUE("0.001975")</f>
        <v/>
      </c>
      <c r="M1900">
        <f>_xlfn.NUMBERVALUE("0.000902")</f>
        <v/>
      </c>
      <c r="N1900">
        <f>_xlfn.NUMBERVALUE("0.010160")</f>
        <v/>
      </c>
      <c r="O1900">
        <f>_xlfn.NUMBERVALUE("0.001606")</f>
        <v/>
      </c>
      <c r="P1900">
        <f>_xlfn.NUMBERVALUE("0.001062")</f>
        <v/>
      </c>
      <c r="Q1900">
        <f>_xlfn.NUMBERVALUE("0.000472")</f>
        <v/>
      </c>
      <c r="R1900">
        <f>_xlfn.NUMBERVALUE("0.000443")</f>
        <v/>
      </c>
      <c r="S1900">
        <f>_xlfn.NUMBERVALUE("0.000359")</f>
        <v/>
      </c>
      <c r="T1900">
        <f>_xlfn.NUMBERVALUE("0.000329")</f>
        <v/>
      </c>
      <c r="U1900">
        <f>_xlfn.NUMBERVALUE("0.000930")</f>
        <v/>
      </c>
      <c r="V1900">
        <f>_xlfn.NUMBERVALUE("0.000326")</f>
        <v/>
      </c>
      <c r="W1900">
        <f>_xlfn.NUMBERVALUE("-0.008352")</f>
        <v/>
      </c>
      <c r="X1900">
        <f>_xlfn.NUMBERVALUE("1.070000")</f>
        <v/>
      </c>
      <c r="Y1900">
        <f>_xlfn.NUMBERVALUE("25.300000")</f>
        <v/>
      </c>
    </row>
    <row r="1901">
      <c r="A1901" s="1" t="n">
        <v>44761</v>
      </c>
      <c r="B1901">
        <f>_xlfn.NUMBERVALUE("-0.001387")</f>
        <v/>
      </c>
      <c r="C1901" s="2">
        <f>_xlfn.NUMBERVALUE("-0.007133")</f>
        <v/>
      </c>
      <c r="D1901">
        <f>_xlfn.NUMBERVALUE("-0.001473")</f>
        <v/>
      </c>
      <c r="E1901">
        <f>_xlfn.NUMBERVALUE("-0.008144")</f>
        <v/>
      </c>
      <c r="F1901">
        <f>_xlfn.NUMBERVALUE("0.001926")</f>
        <v/>
      </c>
      <c r="G1901">
        <f>_xlfn.NUMBERVALUE("-0.002013")</f>
        <v/>
      </c>
      <c r="H1901">
        <f>_xlfn.NUMBERVALUE("0.000732")</f>
        <v/>
      </c>
      <c r="I1901">
        <f>_xlfn.NUMBERVALUE("-0.010010")</f>
        <v/>
      </c>
      <c r="J1901">
        <f>_xlfn.NUMBERVALUE("0.002278")</f>
        <v/>
      </c>
      <c r="K1901">
        <f>_xlfn.NUMBERVALUE("0.002605")</f>
        <v/>
      </c>
      <c r="L1901">
        <f>_xlfn.NUMBERVALUE("0.001979")</f>
        <v/>
      </c>
      <c r="M1901">
        <f>_xlfn.NUMBERVALUE("-0.007609")</f>
        <v/>
      </c>
      <c r="N1901">
        <f>_xlfn.NUMBERVALUE("-0.009057")</f>
        <v/>
      </c>
      <c r="O1901">
        <f>_xlfn.NUMBERVALUE("-0.001987")</f>
        <v/>
      </c>
      <c r="P1901">
        <f>_xlfn.NUMBERVALUE("-0.006968")</f>
        <v/>
      </c>
      <c r="Q1901">
        <f>_xlfn.NUMBERVALUE("-0.010661")</f>
        <v/>
      </c>
      <c r="R1901">
        <f>_xlfn.NUMBERVALUE("-0.005206")</f>
        <v/>
      </c>
      <c r="S1901">
        <f>_xlfn.NUMBERVALUE("-0.000457")</f>
        <v/>
      </c>
      <c r="T1901">
        <f>_xlfn.NUMBERVALUE("0.001285")</f>
        <v/>
      </c>
      <c r="U1901">
        <f>_xlfn.NUMBERVALUE("-0.004473")</f>
        <v/>
      </c>
      <c r="V1901">
        <f>_xlfn.NUMBERVALUE("-0.007956")</f>
        <v/>
      </c>
      <c r="W1901">
        <f>_xlfn.NUMBERVALUE("0.029832")</f>
        <v/>
      </c>
      <c r="X1901">
        <f>_xlfn.NUMBERVALUE("-0.800000")</f>
        <v/>
      </c>
      <c r="Y1901">
        <f>_xlfn.NUMBERVALUE("24.500000")</f>
        <v/>
      </c>
    </row>
    <row r="1902">
      <c r="A1902" s="1" t="n">
        <v>44762</v>
      </c>
      <c r="B1902">
        <f>_xlfn.NUMBERVALUE("-0.008630")</f>
        <v/>
      </c>
      <c r="C1902" s="2">
        <f>_xlfn.NUMBERVALUE("0.001780")</f>
        <v/>
      </c>
      <c r="D1902">
        <f>_xlfn.NUMBERVALUE("0.002619")</f>
        <v/>
      </c>
      <c r="E1902">
        <f>_xlfn.NUMBERVALUE("0.000705")</f>
        <v/>
      </c>
      <c r="F1902">
        <f>_xlfn.NUMBERVALUE("-0.000172")</f>
        <v/>
      </c>
      <c r="G1902">
        <f>_xlfn.NUMBERVALUE("-0.001316")</f>
        <v/>
      </c>
      <c r="H1902">
        <f>_xlfn.NUMBERVALUE("0.000022")</f>
        <v/>
      </c>
      <c r="I1902">
        <f>_xlfn.NUMBERVALUE("-0.000174")</f>
        <v/>
      </c>
      <c r="J1902">
        <f>_xlfn.NUMBERVALUE("0.000727")</f>
        <v/>
      </c>
      <c r="K1902">
        <f>_xlfn.NUMBERVALUE("-0.000238")</f>
        <v/>
      </c>
      <c r="L1902">
        <f>_xlfn.NUMBERVALUE("0.000408")</f>
        <v/>
      </c>
      <c r="M1902">
        <f>_xlfn.NUMBERVALUE("0.000368")</f>
        <v/>
      </c>
      <c r="N1902">
        <f>_xlfn.NUMBERVALUE("-0.001148")</f>
        <v/>
      </c>
      <c r="O1902">
        <f>_xlfn.NUMBERVALUE("0.000471")</f>
        <v/>
      </c>
      <c r="P1902">
        <f>_xlfn.NUMBERVALUE("0.001333")</f>
        <v/>
      </c>
      <c r="Q1902">
        <f>_xlfn.NUMBERVALUE("0.000569")</f>
        <v/>
      </c>
      <c r="R1902">
        <f>_xlfn.NUMBERVALUE("-0.001748")</f>
        <v/>
      </c>
      <c r="S1902">
        <f>_xlfn.NUMBERVALUE("0.001333")</f>
        <v/>
      </c>
      <c r="T1902">
        <f>_xlfn.NUMBERVALUE("0.000022")</f>
        <v/>
      </c>
      <c r="U1902">
        <f>_xlfn.NUMBERVALUE("-0.000658")</f>
        <v/>
      </c>
      <c r="V1902">
        <f>_xlfn.NUMBERVALUE("0.001638")</f>
        <v/>
      </c>
      <c r="W1902">
        <f>_xlfn.NUMBERVALUE("0.007019")</f>
        <v/>
      </c>
      <c r="X1902">
        <f>_xlfn.NUMBERVALUE("-0.620000")</f>
        <v/>
      </c>
      <c r="Y1902">
        <f>_xlfn.NUMBERVALUE("23.880000")</f>
        <v/>
      </c>
    </row>
    <row r="1903">
      <c r="A1903" s="1" t="n">
        <v>44763</v>
      </c>
      <c r="B1903">
        <f>_xlfn.NUMBERVALUE("0.006506")</f>
        <v/>
      </c>
      <c r="C1903" s="2">
        <f>_xlfn.NUMBERVALUE("0.002445")</f>
        <v/>
      </c>
      <c r="D1903">
        <f>_xlfn.NUMBERVALUE("0.001229")</f>
        <v/>
      </c>
      <c r="E1903">
        <f>_xlfn.NUMBERVALUE("0.002617")</f>
        <v/>
      </c>
      <c r="F1903">
        <f>_xlfn.NUMBERVALUE("-0.000407")</f>
        <v/>
      </c>
      <c r="G1903">
        <f>_xlfn.NUMBERVALUE("0.000044")</f>
        <v/>
      </c>
      <c r="H1903">
        <f>_xlfn.NUMBERVALUE("-0.001085")</f>
        <v/>
      </c>
      <c r="I1903">
        <f>_xlfn.NUMBERVALUE("0.002211")</f>
        <v/>
      </c>
      <c r="J1903">
        <f>_xlfn.NUMBERVALUE("-0.001677")</f>
        <v/>
      </c>
      <c r="K1903">
        <f>_xlfn.NUMBERVALUE("0.001957")</f>
        <v/>
      </c>
      <c r="L1903">
        <f>_xlfn.NUMBERVALUE("-0.001724")</f>
        <v/>
      </c>
      <c r="M1903">
        <f>_xlfn.NUMBERVALUE("0.001552")</f>
        <v/>
      </c>
      <c r="N1903">
        <f>_xlfn.NUMBERVALUE("0.003470")</f>
        <v/>
      </c>
      <c r="O1903">
        <f>_xlfn.NUMBERVALUE("0.000820")</f>
        <v/>
      </c>
      <c r="P1903">
        <f>_xlfn.NUMBERVALUE("0.002641")</f>
        <v/>
      </c>
      <c r="Q1903">
        <f>_xlfn.NUMBERVALUE("0.001604")</f>
        <v/>
      </c>
      <c r="R1903">
        <f>_xlfn.NUMBERVALUE("0.001822")</f>
        <v/>
      </c>
      <c r="S1903">
        <f>_xlfn.NUMBERVALUE("0.003242")</f>
        <v/>
      </c>
      <c r="T1903">
        <f>_xlfn.NUMBERVALUE("0.002654")</f>
        <v/>
      </c>
      <c r="U1903">
        <f>_xlfn.NUMBERVALUE("-0.000550")</f>
        <v/>
      </c>
      <c r="V1903">
        <f>_xlfn.NUMBERVALUE("0.001497")</f>
        <v/>
      </c>
      <c r="W1903">
        <f>_xlfn.NUMBERVALUE("0.006236")</f>
        <v/>
      </c>
      <c r="X1903">
        <f>_xlfn.NUMBERVALUE("-0.770000")</f>
        <v/>
      </c>
      <c r="Y1903">
        <f>_xlfn.NUMBERVALUE("23.110000")</f>
        <v/>
      </c>
    </row>
    <row r="1904">
      <c r="A1904" s="1" t="n">
        <v>44764</v>
      </c>
      <c r="B1904">
        <f>_xlfn.NUMBERVALUE("0.000290")</f>
        <v/>
      </c>
      <c r="C1904" s="2">
        <f>_xlfn.NUMBERVALUE("0.001935")</f>
        <v/>
      </c>
      <c r="D1904">
        <f>_xlfn.NUMBERVALUE("0.002971")</f>
        <v/>
      </c>
      <c r="E1904">
        <f>_xlfn.NUMBERVALUE("0.002206")</f>
        <v/>
      </c>
      <c r="F1904">
        <f>_xlfn.NUMBERVALUE("0.001033")</f>
        <v/>
      </c>
      <c r="G1904">
        <f>_xlfn.NUMBERVALUE("0.000991")</f>
        <v/>
      </c>
      <c r="H1904">
        <f>_xlfn.NUMBERVALUE("-0.002155")</f>
        <v/>
      </c>
      <c r="I1904">
        <f>_xlfn.NUMBERVALUE("0.003103")</f>
        <v/>
      </c>
      <c r="J1904">
        <f>_xlfn.NUMBERVALUE("0.000313")</f>
        <v/>
      </c>
      <c r="K1904">
        <f>_xlfn.NUMBERVALUE("-0.000933")</f>
        <v/>
      </c>
      <c r="L1904">
        <f>_xlfn.NUMBERVALUE("-0.000857")</f>
        <v/>
      </c>
      <c r="M1904">
        <f>_xlfn.NUMBERVALUE("0.003030")</f>
        <v/>
      </c>
      <c r="N1904">
        <f>_xlfn.NUMBERVALUE("0.001718")</f>
        <v/>
      </c>
      <c r="O1904">
        <f>_xlfn.NUMBERVALUE("0.004573")</f>
        <v/>
      </c>
      <c r="P1904">
        <f>_xlfn.NUMBERVALUE("0.001201")</f>
        <v/>
      </c>
      <c r="Q1904">
        <f>_xlfn.NUMBERVALUE("0.001569")</f>
        <v/>
      </c>
      <c r="R1904">
        <f>_xlfn.NUMBERVALUE("0.002727")</f>
        <v/>
      </c>
      <c r="S1904">
        <f>_xlfn.NUMBERVALUE("0.000521")</f>
        <v/>
      </c>
      <c r="T1904">
        <f>_xlfn.NUMBERVALUE("0.000246")</f>
        <v/>
      </c>
      <c r="U1904">
        <f>_xlfn.NUMBERVALUE("0.002160")</f>
        <v/>
      </c>
      <c r="V1904">
        <f>_xlfn.NUMBERVALUE("0.002355")</f>
        <v/>
      </c>
      <c r="W1904">
        <f>_xlfn.NUMBERVALUE("-0.008850")</f>
        <v/>
      </c>
      <c r="X1904">
        <f>_xlfn.NUMBERVALUE("-0.080000")</f>
        <v/>
      </c>
      <c r="Y1904">
        <f>_xlfn.NUMBERVALUE("23.030000")</f>
        <v/>
      </c>
    </row>
    <row r="1905">
      <c r="A1905" s="1" t="n">
        <v>44767</v>
      </c>
      <c r="B1905">
        <f>_xlfn.NUMBERVALUE("0.019183")</f>
        <v/>
      </c>
      <c r="C1905" s="2">
        <f>_xlfn.NUMBERVALUE("0.001485")</f>
        <v/>
      </c>
      <c r="D1905">
        <f>_xlfn.NUMBERVALUE("0.001158")</f>
        <v/>
      </c>
      <c r="E1905">
        <f>_xlfn.NUMBERVALUE("0.001817")</f>
        <v/>
      </c>
      <c r="F1905">
        <f>_xlfn.NUMBERVALUE("0.001412")</f>
        <v/>
      </c>
      <c r="G1905">
        <f>_xlfn.NUMBERVALUE("0.001070")</f>
        <v/>
      </c>
      <c r="H1905">
        <f>_xlfn.NUMBERVALUE("0.001180")</f>
        <v/>
      </c>
      <c r="I1905">
        <f>_xlfn.NUMBERVALUE("0.001120")</f>
        <v/>
      </c>
      <c r="J1905">
        <f>_xlfn.NUMBERVALUE("-0.000236")</f>
        <v/>
      </c>
      <c r="K1905">
        <f>_xlfn.NUMBERVALUE("-0.000160")</f>
        <v/>
      </c>
      <c r="L1905">
        <f>_xlfn.NUMBERVALUE("0.002123")</f>
        <v/>
      </c>
      <c r="M1905">
        <f>_xlfn.NUMBERVALUE("0.001187")</f>
        <v/>
      </c>
      <c r="N1905">
        <f>_xlfn.NUMBERVALUE("0.000982")</f>
        <v/>
      </c>
      <c r="O1905">
        <f>_xlfn.NUMBERVALUE("-0.001806")</f>
        <v/>
      </c>
      <c r="P1905">
        <f>_xlfn.NUMBERVALUE("0.001683")</f>
        <v/>
      </c>
      <c r="Q1905">
        <f>_xlfn.NUMBERVALUE("0.000854")</f>
        <v/>
      </c>
      <c r="R1905">
        <f>_xlfn.NUMBERVALUE("0.002286")</f>
        <v/>
      </c>
      <c r="S1905">
        <f>_xlfn.NUMBERVALUE("0.000859")</f>
        <v/>
      </c>
      <c r="T1905">
        <f>_xlfn.NUMBERVALUE("-0.001422")</f>
        <v/>
      </c>
      <c r="U1905">
        <f>_xlfn.NUMBERVALUE("0.001761")</f>
        <v/>
      </c>
      <c r="V1905">
        <f>_xlfn.NUMBERVALUE("0.002163")</f>
        <v/>
      </c>
      <c r="W1905">
        <f>_xlfn.NUMBERVALUE("0.000246")</f>
        <v/>
      </c>
      <c r="X1905">
        <f>_xlfn.NUMBERVALUE("0.330000")</f>
        <v/>
      </c>
      <c r="Y1905">
        <f>_xlfn.NUMBERVALUE("23.360000")</f>
        <v/>
      </c>
    </row>
    <row r="1906">
      <c r="A1906" s="1" t="n">
        <v>44768</v>
      </c>
      <c r="B1906">
        <f>_xlfn.NUMBERVALUE("-0.010823")</f>
        <v/>
      </c>
      <c r="C1906" s="2">
        <f>_xlfn.NUMBERVALUE("-0.001326")</f>
        <v/>
      </c>
      <c r="D1906">
        <f>_xlfn.NUMBERVALUE("-0.000187")</f>
        <v/>
      </c>
      <c r="E1906">
        <f>_xlfn.NUMBERVALUE("0.000696")</f>
        <v/>
      </c>
      <c r="F1906">
        <f>_xlfn.NUMBERVALUE("0.001296")</f>
        <v/>
      </c>
      <c r="G1906">
        <f>_xlfn.NUMBERVALUE("-0.001051")</f>
        <v/>
      </c>
      <c r="H1906">
        <f>_xlfn.NUMBERVALUE("-0.000354")</f>
        <v/>
      </c>
      <c r="I1906">
        <f>_xlfn.NUMBERVALUE("0.000866")</f>
        <v/>
      </c>
      <c r="J1906">
        <f>_xlfn.NUMBERVALUE("0.000080")</f>
        <v/>
      </c>
      <c r="K1906">
        <f>_xlfn.NUMBERVALUE("0.003525")</f>
        <v/>
      </c>
      <c r="L1906">
        <f>_xlfn.NUMBERVALUE("-0.000623")</f>
        <v/>
      </c>
      <c r="M1906">
        <f>_xlfn.NUMBERVALUE("-0.000101")</f>
        <v/>
      </c>
      <c r="N1906">
        <f>_xlfn.NUMBERVALUE("-0.001574")</f>
        <v/>
      </c>
      <c r="O1906">
        <f>_xlfn.NUMBERVALUE("-0.000192")</f>
        <v/>
      </c>
      <c r="P1906">
        <f>_xlfn.NUMBERVALUE("-0.000403")</f>
        <v/>
      </c>
      <c r="Q1906">
        <f>_xlfn.NUMBERVALUE("0.001353")</f>
        <v/>
      </c>
      <c r="R1906">
        <f>_xlfn.NUMBERVALUE("-0.001102")</f>
        <v/>
      </c>
      <c r="S1906">
        <f>_xlfn.NUMBERVALUE("0.000338")</f>
        <v/>
      </c>
      <c r="T1906">
        <f>_xlfn.NUMBERVALUE("-0.001015")</f>
        <v/>
      </c>
      <c r="U1906">
        <f>_xlfn.NUMBERVALUE("-0.000230")</f>
        <v/>
      </c>
      <c r="V1906">
        <f>_xlfn.NUMBERVALUE("-0.000699")</f>
        <v/>
      </c>
      <c r="W1906">
        <f>_xlfn.NUMBERVALUE("-0.009122")</f>
        <v/>
      </c>
      <c r="X1906">
        <f>_xlfn.NUMBERVALUE("1.330000")</f>
        <v/>
      </c>
      <c r="Y1906">
        <f>_xlfn.NUMBERVALUE("24.690000")</f>
        <v/>
      </c>
    </row>
    <row r="1907">
      <c r="A1907" s="1" t="n">
        <v>44769</v>
      </c>
      <c r="B1907">
        <f>_xlfn.NUMBERVALUE("-0.000787")</f>
        <v/>
      </c>
      <c r="C1907" s="2">
        <f>_xlfn.NUMBERVALUE("-0.000838")</f>
        <v/>
      </c>
      <c r="D1907">
        <f>_xlfn.NUMBERVALUE("-0.003372")</f>
        <v/>
      </c>
      <c r="E1907">
        <f>_xlfn.NUMBERVALUE("-0.019975")</f>
        <v/>
      </c>
      <c r="F1907">
        <f>_xlfn.NUMBERVALUE("0.001568")</f>
        <v/>
      </c>
      <c r="G1907">
        <f>_xlfn.NUMBERVALUE("0.000710")</f>
        <v/>
      </c>
      <c r="H1907">
        <f>_xlfn.NUMBERVALUE("0.000884")</f>
        <v/>
      </c>
      <c r="I1907">
        <f>_xlfn.NUMBERVALUE("-0.002463")</f>
        <v/>
      </c>
      <c r="J1907">
        <f>_xlfn.NUMBERVALUE("-0.000158")</f>
        <v/>
      </c>
      <c r="K1907">
        <f>_xlfn.NUMBERVALUE("0.001364")</f>
        <v/>
      </c>
      <c r="L1907">
        <f>_xlfn.NUMBERVALUE("0.001940")</f>
        <v/>
      </c>
      <c r="M1907">
        <f>_xlfn.NUMBERVALUE("-0.000132")</f>
        <v/>
      </c>
      <c r="N1907">
        <f>_xlfn.NUMBERVALUE("-0.011036")</f>
        <v/>
      </c>
      <c r="O1907">
        <f>_xlfn.NUMBERVALUE("0.000479")</f>
        <v/>
      </c>
      <c r="P1907">
        <f>_xlfn.NUMBERVALUE("-0.000542")</f>
        <v/>
      </c>
      <c r="Q1907">
        <f>_xlfn.NUMBERVALUE("-0.000852")</f>
        <v/>
      </c>
      <c r="R1907">
        <f>_xlfn.NUMBERVALUE("-0.012021")</f>
        <v/>
      </c>
      <c r="S1907">
        <f>_xlfn.NUMBERVALUE("0.004409")</f>
        <v/>
      </c>
      <c r="T1907">
        <f>_xlfn.NUMBERVALUE("0.001682")</f>
        <v/>
      </c>
      <c r="U1907">
        <f>_xlfn.NUMBERVALUE("-0.007180")</f>
        <v/>
      </c>
      <c r="V1907">
        <f>_xlfn.NUMBERVALUE("-0.006395")</f>
        <v/>
      </c>
      <c r="W1907">
        <f>_xlfn.NUMBERVALUE("0.029254")</f>
        <v/>
      </c>
      <c r="X1907">
        <f>_xlfn.NUMBERVALUE("-1.450000")</f>
        <v/>
      </c>
      <c r="Y1907">
        <f>_xlfn.NUMBERVALUE("23.240000")</f>
        <v/>
      </c>
    </row>
    <row r="1908">
      <c r="A1908" s="1" t="n">
        <v>44770</v>
      </c>
      <c r="B1908">
        <f>_xlfn.NUMBERVALUE("0.007578")</f>
        <v/>
      </c>
      <c r="C1908" s="2">
        <f>_xlfn.NUMBERVALUE("0.000717")</f>
        <v/>
      </c>
      <c r="D1908">
        <f>_xlfn.NUMBERVALUE("0.004323")</f>
        <v/>
      </c>
      <c r="E1908">
        <f>_xlfn.NUMBERVALUE("0.017924")</f>
        <v/>
      </c>
      <c r="F1908">
        <f>_xlfn.NUMBERVALUE("-0.000507")</f>
        <v/>
      </c>
      <c r="G1908">
        <f>_xlfn.NUMBERVALUE("0.000562")</f>
        <v/>
      </c>
      <c r="H1908">
        <f>_xlfn.NUMBERVALUE("-0.000972")</f>
        <v/>
      </c>
      <c r="I1908">
        <f>_xlfn.NUMBERVALUE("0.000923")</f>
        <v/>
      </c>
      <c r="J1908">
        <f>_xlfn.NUMBERVALUE("-0.000129")</f>
        <v/>
      </c>
      <c r="K1908">
        <f>_xlfn.NUMBERVALUE("-0.017502")</f>
        <v/>
      </c>
      <c r="L1908">
        <f>_xlfn.NUMBERVALUE("0.001434")</f>
        <v/>
      </c>
      <c r="M1908">
        <f>_xlfn.NUMBERVALUE("0.002729")</f>
        <v/>
      </c>
      <c r="N1908">
        <f>_xlfn.NUMBERVALUE("0.006214")</f>
        <v/>
      </c>
      <c r="O1908">
        <f>_xlfn.NUMBERVALUE("0.003585")</f>
        <v/>
      </c>
      <c r="P1908">
        <f>_xlfn.NUMBERVALUE("0.003009")</f>
        <v/>
      </c>
      <c r="Q1908">
        <f>_xlfn.NUMBERVALUE("-0.000063")</f>
        <v/>
      </c>
      <c r="R1908">
        <f>_xlfn.NUMBERVALUE("0.001666")</f>
        <v/>
      </c>
      <c r="S1908">
        <f>_xlfn.NUMBERVALUE("-0.007285")</f>
        <v/>
      </c>
      <c r="T1908">
        <f>_xlfn.NUMBERVALUE("-0.009716")</f>
        <v/>
      </c>
      <c r="U1908">
        <f>_xlfn.NUMBERVALUE("0.002792")</f>
        <v/>
      </c>
      <c r="V1908">
        <f>_xlfn.NUMBERVALUE("0.000905")</f>
        <v/>
      </c>
      <c r="W1908">
        <f>_xlfn.NUMBERVALUE("0.008790")</f>
        <v/>
      </c>
      <c r="X1908">
        <f>_xlfn.NUMBERVALUE("-0.910000")</f>
        <v/>
      </c>
      <c r="Y1908">
        <f>_xlfn.NUMBERVALUE("22.330000")</f>
        <v/>
      </c>
    </row>
    <row r="1909">
      <c r="A1909" s="1" t="n">
        <v>44771</v>
      </c>
      <c r="B1909">
        <f>_xlfn.NUMBERVALUE("0.007609")</f>
        <v/>
      </c>
      <c r="C1909" s="2">
        <f>_xlfn.NUMBERVALUE("0.000091")</f>
        <v/>
      </c>
      <c r="D1909">
        <f>_xlfn.NUMBERVALUE("0.001727")</f>
        <v/>
      </c>
      <c r="E1909">
        <f>_xlfn.NUMBERVALUE("-0.000307")</f>
        <v/>
      </c>
      <c r="F1909">
        <f>_xlfn.NUMBERVALUE("0.002265")</f>
        <v/>
      </c>
      <c r="G1909">
        <f>_xlfn.NUMBERVALUE("0.000449")</f>
        <v/>
      </c>
      <c r="H1909">
        <f>_xlfn.NUMBERVALUE("0.000542")</f>
        <v/>
      </c>
      <c r="I1909">
        <f>_xlfn.NUMBERVALUE("0.000487")</f>
        <v/>
      </c>
      <c r="J1909">
        <f>_xlfn.NUMBERVALUE("0.000578")</f>
        <v/>
      </c>
      <c r="K1909">
        <f>_xlfn.NUMBERVALUE("0.000286")</f>
        <v/>
      </c>
      <c r="L1909">
        <f>_xlfn.NUMBERVALUE("0.000670")</f>
        <v/>
      </c>
      <c r="M1909">
        <f>_xlfn.NUMBERVALUE("-0.000157")</f>
        <v/>
      </c>
      <c r="N1909">
        <f>_xlfn.NUMBERVALUE("0.003553")</f>
        <v/>
      </c>
      <c r="O1909">
        <f>_xlfn.NUMBERVALUE("-0.005107")</f>
        <v/>
      </c>
      <c r="P1909">
        <f>_xlfn.NUMBERVALUE("-0.000120")</f>
        <v/>
      </c>
      <c r="Q1909">
        <f>_xlfn.NUMBERVALUE("-0.001625")</f>
        <v/>
      </c>
      <c r="R1909">
        <f>_xlfn.NUMBERVALUE("0.000599")</f>
        <v/>
      </c>
      <c r="S1909">
        <f>_xlfn.NUMBERVALUE("0.002646")</f>
        <v/>
      </c>
      <c r="T1909">
        <f>_xlfn.NUMBERVALUE("-0.000378")</f>
        <v/>
      </c>
      <c r="U1909">
        <f>_xlfn.NUMBERVALUE("-0.002170")</f>
        <v/>
      </c>
      <c r="V1909">
        <f>_xlfn.NUMBERVALUE("-0.000363")</f>
        <v/>
      </c>
      <c r="W1909">
        <f>_xlfn.NUMBERVALUE("0.017378")</f>
        <v/>
      </c>
      <c r="X1909">
        <f>_xlfn.NUMBERVALUE("-1.000000")</f>
        <v/>
      </c>
      <c r="Y1909">
        <f>_xlfn.NUMBERVALUE("21.330000")</f>
        <v/>
      </c>
    </row>
    <row r="1910">
      <c r="A1910" s="1" t="n">
        <v>44774</v>
      </c>
      <c r="B1910">
        <f>_xlfn.NUMBERVALUE("-0.001048")</f>
        <v/>
      </c>
      <c r="C1910" s="2">
        <f>_xlfn.NUMBERVALUE("0.000295")</f>
        <v/>
      </c>
      <c r="D1910">
        <f>_xlfn.NUMBERVALUE("0.000165")</f>
        <v/>
      </c>
      <c r="E1910">
        <f>_xlfn.NUMBERVALUE("-0.000139")</f>
        <v/>
      </c>
      <c r="F1910">
        <f>_xlfn.NUMBERVALUE("0.000748")</f>
        <v/>
      </c>
      <c r="G1910">
        <f>_xlfn.NUMBERVALUE("-0.003381")</f>
        <v/>
      </c>
      <c r="H1910">
        <f>_xlfn.NUMBERVALUE("-0.000538")</f>
        <v/>
      </c>
      <c r="I1910">
        <f>_xlfn.NUMBERVALUE("0.000154")</f>
        <v/>
      </c>
      <c r="J1910">
        <f>_xlfn.NUMBERVALUE("-0.001470")</f>
        <v/>
      </c>
      <c r="K1910">
        <f>_xlfn.NUMBERVALUE("0.002825")</f>
        <v/>
      </c>
      <c r="L1910">
        <f>_xlfn.NUMBERVALUE("-0.002257")</f>
        <v/>
      </c>
      <c r="M1910">
        <f>_xlfn.NUMBERVALUE("-0.002317")</f>
        <v/>
      </c>
      <c r="N1910">
        <f>_xlfn.NUMBERVALUE("0.000304")</f>
        <v/>
      </c>
      <c r="O1910">
        <f>_xlfn.NUMBERVALUE("-0.000493")</f>
        <v/>
      </c>
      <c r="P1910">
        <f>_xlfn.NUMBERVALUE("-0.000051")</f>
        <v/>
      </c>
      <c r="Q1910">
        <f>_xlfn.NUMBERVALUE("0.000085")</f>
        <v/>
      </c>
      <c r="R1910">
        <f>_xlfn.NUMBERVALUE("0.000469")</f>
        <v/>
      </c>
      <c r="S1910">
        <f>_xlfn.NUMBERVALUE("-0.002952")</f>
        <v/>
      </c>
      <c r="T1910">
        <f>_xlfn.NUMBERVALUE("0.000428")</f>
        <v/>
      </c>
      <c r="U1910">
        <f>_xlfn.NUMBERVALUE("0.000143")</f>
        <v/>
      </c>
      <c r="V1910">
        <f>_xlfn.NUMBERVALUE("0.000098")</f>
        <v/>
      </c>
      <c r="W1910">
        <f>_xlfn.NUMBERVALUE("-0.004349")</f>
        <v/>
      </c>
      <c r="X1910">
        <f>_xlfn.NUMBERVALUE("1.510000")</f>
        <v/>
      </c>
      <c r="Y1910">
        <f>_xlfn.NUMBERVALUE("22.840000")</f>
        <v/>
      </c>
    </row>
    <row r="1911">
      <c r="A1911" s="1" t="n">
        <v>44775</v>
      </c>
      <c r="B1911">
        <f>_xlfn.NUMBERVALUE("-0.002148")</f>
        <v/>
      </c>
      <c r="C1911" s="2">
        <f>_xlfn.NUMBERVALUE("0.000013")</f>
        <v/>
      </c>
      <c r="D1911">
        <f>_xlfn.NUMBERVALUE("0.004350")</f>
        <v/>
      </c>
      <c r="E1911">
        <f>_xlfn.NUMBERVALUE("0.000036")</f>
        <v/>
      </c>
      <c r="F1911">
        <f>_xlfn.NUMBERVALUE("0.000826")</f>
        <v/>
      </c>
      <c r="G1911">
        <f>_xlfn.NUMBERVALUE("0.000065")</f>
        <v/>
      </c>
      <c r="H1911">
        <f>_xlfn.NUMBERVALUE("-0.000407")</f>
        <v/>
      </c>
      <c r="I1911">
        <f>_xlfn.NUMBERVALUE("0.000061")</f>
        <v/>
      </c>
      <c r="J1911">
        <f>_xlfn.NUMBERVALUE("-0.000161")</f>
        <v/>
      </c>
      <c r="K1911">
        <f>_xlfn.NUMBERVALUE("0.000802")</f>
        <v/>
      </c>
      <c r="L1911">
        <f>_xlfn.NUMBERVALUE("-0.000181")</f>
        <v/>
      </c>
      <c r="M1911">
        <f>_xlfn.NUMBERVALUE("0.002063")</f>
        <v/>
      </c>
      <c r="N1911">
        <f>_xlfn.NUMBERVALUE("-0.000481")</f>
        <v/>
      </c>
      <c r="O1911">
        <f>_xlfn.NUMBERVALUE("0.000905")</f>
        <v/>
      </c>
      <c r="P1911">
        <f>_xlfn.NUMBERVALUE("0.000998")</f>
        <v/>
      </c>
      <c r="Q1911">
        <f>_xlfn.NUMBERVALUE("0.000098")</f>
        <v/>
      </c>
      <c r="R1911">
        <f>_xlfn.NUMBERVALUE("-0.000331")</f>
        <v/>
      </c>
      <c r="S1911">
        <f>_xlfn.NUMBERVALUE("0.000495")</f>
        <v/>
      </c>
      <c r="T1911">
        <f>_xlfn.NUMBERVALUE("0.001015")</f>
        <v/>
      </c>
      <c r="U1911">
        <f>_xlfn.NUMBERVALUE("-0.000676")</f>
        <v/>
      </c>
      <c r="V1911">
        <f>_xlfn.NUMBERVALUE("0.000133")</f>
        <v/>
      </c>
      <c r="W1911">
        <f>_xlfn.NUMBERVALUE("-0.003799")</f>
        <v/>
      </c>
      <c r="X1911">
        <f>_xlfn.NUMBERVALUE("1.090000")</f>
        <v/>
      </c>
      <c r="Y1911">
        <f>_xlfn.NUMBERVALUE("23.930000")</f>
        <v/>
      </c>
    </row>
    <row r="1912">
      <c r="A1912" s="1" t="n">
        <v>44776</v>
      </c>
      <c r="B1912">
        <f>_xlfn.NUMBERVALUE("-0.007458")</f>
        <v/>
      </c>
      <c r="C1912" s="2">
        <f>_xlfn.NUMBERVALUE("0.000269")</f>
        <v/>
      </c>
      <c r="D1912">
        <f>_xlfn.NUMBERVALUE("0.002401")</f>
        <v/>
      </c>
      <c r="E1912">
        <f>_xlfn.NUMBERVALUE("0.000096")</f>
        <v/>
      </c>
      <c r="F1912">
        <f>_xlfn.NUMBERVALUE("0.001982")</f>
        <v/>
      </c>
      <c r="G1912">
        <f>_xlfn.NUMBERVALUE("0.000223")</f>
        <v/>
      </c>
      <c r="H1912">
        <f>_xlfn.NUMBERVALUE("0.000264")</f>
        <v/>
      </c>
      <c r="I1912">
        <f>_xlfn.NUMBERVALUE("0.000062")</f>
        <v/>
      </c>
      <c r="J1912">
        <f>_xlfn.NUMBERVALUE("-0.000207")</f>
        <v/>
      </c>
      <c r="K1912">
        <f>_xlfn.NUMBERVALUE("0.001045")</f>
        <v/>
      </c>
      <c r="L1912">
        <f>_xlfn.NUMBERVALUE("-0.000494")</f>
        <v/>
      </c>
      <c r="M1912">
        <f>_xlfn.NUMBERVALUE("0.002130")</f>
        <v/>
      </c>
      <c r="N1912">
        <f>_xlfn.NUMBERVALUE("-0.001965")</f>
        <v/>
      </c>
      <c r="O1912">
        <f>_xlfn.NUMBERVALUE("0.002479")</f>
        <v/>
      </c>
      <c r="P1912">
        <f>_xlfn.NUMBERVALUE("0.000844")</f>
        <v/>
      </c>
      <c r="Q1912">
        <f>_xlfn.NUMBERVALUE("-0.000048")</f>
        <v/>
      </c>
      <c r="R1912">
        <f>_xlfn.NUMBERVALUE("-0.000508")</f>
        <v/>
      </c>
      <c r="S1912">
        <f>_xlfn.NUMBERVALUE("0.000848")</f>
        <v/>
      </c>
      <c r="T1912">
        <f>_xlfn.NUMBERVALUE("-0.000080")</f>
        <v/>
      </c>
      <c r="U1912">
        <f>_xlfn.NUMBERVALUE("0.000807")</f>
        <v/>
      </c>
      <c r="V1912">
        <f>_xlfn.NUMBERVALUE("0.000018")</f>
        <v/>
      </c>
      <c r="W1912">
        <f>_xlfn.NUMBERVALUE("0.014781")</f>
        <v/>
      </c>
      <c r="X1912">
        <f>_xlfn.NUMBERVALUE("-1.980000")</f>
        <v/>
      </c>
      <c r="Y1912">
        <f>_xlfn.NUMBERVALUE("21.950000")</f>
        <v/>
      </c>
    </row>
    <row r="1913">
      <c r="A1913" s="1" t="n">
        <v>44777</v>
      </c>
      <c r="B1913">
        <f>_xlfn.NUMBERVALUE("0.001009")</f>
        <v/>
      </c>
      <c r="C1913" s="2">
        <f>_xlfn.NUMBERVALUE("-0.000136")</f>
        <v/>
      </c>
      <c r="D1913">
        <f>_xlfn.NUMBERVALUE("0.002106")</f>
        <v/>
      </c>
      <c r="E1913">
        <f>_xlfn.NUMBERVALUE("-0.000008")</f>
        <v/>
      </c>
      <c r="F1913">
        <f>_xlfn.NUMBERVALUE("-0.002653")</f>
        <v/>
      </c>
      <c r="G1913">
        <f>_xlfn.NUMBERVALUE("-0.000197")</f>
        <v/>
      </c>
      <c r="H1913">
        <f>_xlfn.NUMBERVALUE("-0.000153")</f>
        <v/>
      </c>
      <c r="I1913">
        <f>_xlfn.NUMBERVALUE("0.000024")</f>
        <v/>
      </c>
      <c r="J1913">
        <f>_xlfn.NUMBERVALUE("-0.000013")</f>
        <v/>
      </c>
      <c r="K1913">
        <f>_xlfn.NUMBERVALUE("0.000271")</f>
        <v/>
      </c>
      <c r="L1913">
        <f>_xlfn.NUMBERVALUE("0.000585")</f>
        <v/>
      </c>
      <c r="M1913">
        <f>_xlfn.NUMBERVALUE("0.002039")</f>
        <v/>
      </c>
      <c r="N1913">
        <f>_xlfn.NUMBERVALUE("0.001434")</f>
        <v/>
      </c>
      <c r="O1913">
        <f>_xlfn.NUMBERVALUE("-0.005132")</f>
        <v/>
      </c>
      <c r="P1913">
        <f>_xlfn.NUMBERVALUE("0.001386")</f>
        <v/>
      </c>
      <c r="Q1913">
        <f>_xlfn.NUMBERVALUE("0.000229")</f>
        <v/>
      </c>
      <c r="R1913">
        <f>_xlfn.NUMBERVALUE("0.000575")</f>
        <v/>
      </c>
      <c r="S1913">
        <f>_xlfn.NUMBERVALUE("0.001220")</f>
        <v/>
      </c>
      <c r="T1913">
        <f>_xlfn.NUMBERVALUE("0.000450")</f>
        <v/>
      </c>
      <c r="U1913">
        <f>_xlfn.NUMBERVALUE("-0.000683")</f>
        <v/>
      </c>
      <c r="V1913">
        <f>_xlfn.NUMBERVALUE("0.000034")</f>
        <v/>
      </c>
      <c r="W1913">
        <f>_xlfn.NUMBERVALUE("-0.001950")</f>
        <v/>
      </c>
      <c r="X1913">
        <f>_xlfn.NUMBERVALUE("-0.510000")</f>
        <v/>
      </c>
      <c r="Y1913">
        <f>_xlfn.NUMBERVALUE("21.440000")</f>
        <v/>
      </c>
    </row>
    <row r="1914">
      <c r="A1914" s="1" t="n">
        <v>44778</v>
      </c>
      <c r="B1914">
        <f>_xlfn.NUMBERVALUE("0.006170")</f>
        <v/>
      </c>
      <c r="C1914" s="2">
        <f>_xlfn.NUMBERVALUE("0.002058")</f>
        <v/>
      </c>
      <c r="D1914">
        <f>_xlfn.NUMBERVALUE("0.002930")</f>
        <v/>
      </c>
      <c r="E1914">
        <f>_xlfn.NUMBERVALUE("0.003478")</f>
        <v/>
      </c>
      <c r="F1914">
        <f>_xlfn.NUMBERVALUE("0.000645")</f>
        <v/>
      </c>
      <c r="G1914">
        <f>_xlfn.NUMBERVALUE("0.001832")</f>
        <v/>
      </c>
      <c r="H1914">
        <f>_xlfn.NUMBERVALUE("-0.000659")</f>
        <v/>
      </c>
      <c r="I1914">
        <f>_xlfn.NUMBERVALUE("0.001892")</f>
        <v/>
      </c>
      <c r="J1914">
        <f>_xlfn.NUMBERVALUE("-0.001411")</f>
        <v/>
      </c>
      <c r="K1914">
        <f>_xlfn.NUMBERVALUE("0.002540")</f>
        <v/>
      </c>
      <c r="L1914">
        <f>_xlfn.NUMBERVALUE("-0.000299")</f>
        <v/>
      </c>
      <c r="M1914">
        <f>_xlfn.NUMBERVALUE("0.001219")</f>
        <v/>
      </c>
      <c r="N1914">
        <f>_xlfn.NUMBERVALUE("0.002826")</f>
        <v/>
      </c>
      <c r="O1914">
        <f>_xlfn.NUMBERVALUE("0.002956")</f>
        <v/>
      </c>
      <c r="P1914">
        <f>_xlfn.NUMBERVALUE("0.000305")</f>
        <v/>
      </c>
      <c r="Q1914">
        <f>_xlfn.NUMBERVALUE("0.000299")</f>
        <v/>
      </c>
      <c r="R1914">
        <f>_xlfn.NUMBERVALUE("0.000048")</f>
        <v/>
      </c>
      <c r="S1914">
        <f>_xlfn.NUMBERVALUE("0.001566")</f>
        <v/>
      </c>
      <c r="T1914">
        <f>_xlfn.NUMBERVALUE("0.000297")</f>
        <v/>
      </c>
      <c r="U1914">
        <f>_xlfn.NUMBERVALUE("0.000245")</f>
        <v/>
      </c>
      <c r="V1914">
        <f>_xlfn.NUMBERVALUE("0.002835")</f>
        <v/>
      </c>
      <c r="W1914">
        <f>_xlfn.NUMBERVALUE("-0.001776")</f>
        <v/>
      </c>
      <c r="X1914">
        <f>_xlfn.NUMBERVALUE("-0.290000")</f>
        <v/>
      </c>
      <c r="Y1914">
        <f>_xlfn.NUMBERVALUE("21.150000")</f>
        <v/>
      </c>
    </row>
    <row r="1915">
      <c r="A1915" s="1" t="n">
        <v>44781</v>
      </c>
      <c r="B1915">
        <f>_xlfn.NUMBERVALUE("-0.000575")</f>
        <v/>
      </c>
      <c r="C1915" s="2">
        <f>_xlfn.NUMBERVALUE("0.000261")</f>
        <v/>
      </c>
      <c r="D1915">
        <f>_xlfn.NUMBERVALUE("0.001551")</f>
        <v/>
      </c>
      <c r="E1915">
        <f>_xlfn.NUMBERVALUE("0.000023")</f>
        <v/>
      </c>
      <c r="F1915">
        <f>_xlfn.NUMBERVALUE("0.000317")</f>
        <v/>
      </c>
      <c r="G1915">
        <f>_xlfn.NUMBERVALUE("0.000708")</f>
        <v/>
      </c>
      <c r="H1915">
        <f>_xlfn.NUMBERVALUE("0.000475")</f>
        <v/>
      </c>
      <c r="I1915">
        <f>_xlfn.NUMBERVALUE("-0.001820")</f>
        <v/>
      </c>
      <c r="J1915">
        <f>_xlfn.NUMBERVALUE("-0.000152")</f>
        <v/>
      </c>
      <c r="K1915">
        <f>_xlfn.NUMBERVALUE("-0.008179")</f>
        <v/>
      </c>
      <c r="L1915">
        <f>_xlfn.NUMBERVALUE("-0.000994")</f>
        <v/>
      </c>
      <c r="M1915">
        <f>_xlfn.NUMBERVALUE("-0.000412")</f>
        <v/>
      </c>
      <c r="N1915">
        <f>_xlfn.NUMBERVALUE("0.001252")</f>
        <v/>
      </c>
      <c r="O1915">
        <f>_xlfn.NUMBERVALUE("0.006738")</f>
        <v/>
      </c>
      <c r="P1915">
        <f>_xlfn.NUMBERVALUE("0.000426")</f>
        <v/>
      </c>
      <c r="Q1915">
        <f>_xlfn.NUMBERVALUE("-0.000123")</f>
        <v/>
      </c>
      <c r="R1915">
        <f>_xlfn.NUMBERVALUE("-0.000179")</f>
        <v/>
      </c>
      <c r="S1915">
        <f>_xlfn.NUMBERVALUE("0.002182")</f>
        <v/>
      </c>
      <c r="T1915">
        <f>_xlfn.NUMBERVALUE("-0.000090")</f>
        <v/>
      </c>
      <c r="U1915">
        <f>_xlfn.NUMBERVALUE("-0.000188")</f>
        <v/>
      </c>
      <c r="V1915">
        <f>_xlfn.NUMBERVALUE("0.001304")</f>
        <v/>
      </c>
      <c r="W1915">
        <f>_xlfn.NUMBERVALUE("0.000520")</f>
        <v/>
      </c>
      <c r="X1915">
        <f>_xlfn.NUMBERVALUE("0.140000")</f>
        <v/>
      </c>
      <c r="Y1915">
        <f>_xlfn.NUMBERVALUE("21.290000")</f>
        <v/>
      </c>
    </row>
    <row r="1916">
      <c r="A1916" s="1" t="n">
        <v>44782</v>
      </c>
      <c r="B1916">
        <f>_xlfn.NUMBERVALUE("-0.001014")</f>
        <v/>
      </c>
      <c r="C1916" s="2">
        <f>_xlfn.NUMBERVALUE("0.000274")</f>
        <v/>
      </c>
      <c r="D1916">
        <f>_xlfn.NUMBERVALUE("0.000473")</f>
        <v/>
      </c>
      <c r="E1916">
        <f>_xlfn.NUMBERVALUE("0.000851")</f>
        <v/>
      </c>
      <c r="F1916">
        <f>_xlfn.NUMBERVALUE("0.001113")</f>
        <v/>
      </c>
      <c r="G1916">
        <f>_xlfn.NUMBERVALUE("-0.000338")</f>
        <v/>
      </c>
      <c r="H1916">
        <f>_xlfn.NUMBERVALUE("0.000400")</f>
        <v/>
      </c>
      <c r="I1916">
        <f>_xlfn.NUMBERVALUE("-0.000262")</f>
        <v/>
      </c>
      <c r="J1916">
        <f>_xlfn.NUMBERVALUE("0.001839")</f>
        <v/>
      </c>
      <c r="K1916">
        <f>_xlfn.NUMBERVALUE("0.002035")</f>
        <v/>
      </c>
      <c r="L1916">
        <f>_xlfn.NUMBERVALUE("0.001199")</f>
        <v/>
      </c>
      <c r="M1916">
        <f>_xlfn.NUMBERVALUE("-0.000019")</f>
        <v/>
      </c>
      <c r="N1916">
        <f>_xlfn.NUMBERVALUE("-0.002498")</f>
        <v/>
      </c>
      <c r="O1916">
        <f>_xlfn.NUMBERVALUE("-0.000444")</f>
        <v/>
      </c>
      <c r="P1916">
        <f>_xlfn.NUMBERVALUE("0.000028")</f>
        <v/>
      </c>
      <c r="Q1916">
        <f>_xlfn.NUMBERVALUE("-0.000053")</f>
        <v/>
      </c>
      <c r="R1916">
        <f>_xlfn.NUMBERVALUE("0.000034")</f>
        <v/>
      </c>
      <c r="S1916">
        <f>_xlfn.NUMBERVALUE("0.000295")</f>
        <v/>
      </c>
      <c r="T1916">
        <f>_xlfn.NUMBERVALUE("-0.000002")</f>
        <v/>
      </c>
      <c r="U1916">
        <f>_xlfn.NUMBERVALUE("0.000032")</f>
        <v/>
      </c>
      <c r="V1916">
        <f>_xlfn.NUMBERVALUE("0.000064")</f>
        <v/>
      </c>
      <c r="W1916">
        <f>_xlfn.NUMBERVALUE("-0.005493")</f>
        <v/>
      </c>
      <c r="X1916">
        <f>_xlfn.NUMBERVALUE("0.480000")</f>
        <v/>
      </c>
      <c r="Y1916">
        <f>_xlfn.NUMBERVALUE("21.770000")</f>
        <v/>
      </c>
    </row>
    <row r="1917">
      <c r="A1917" s="1" t="n">
        <v>44783</v>
      </c>
      <c r="B1917">
        <f>_xlfn.NUMBERVALUE("-0.007547")</f>
        <v/>
      </c>
      <c r="C1917" s="2">
        <f>_xlfn.NUMBERVALUE("-0.000761")</f>
        <v/>
      </c>
      <c r="D1917">
        <f>_xlfn.NUMBERVALUE("0.000871")</f>
        <v/>
      </c>
      <c r="E1917">
        <f>_xlfn.NUMBERVALUE("-0.003870")</f>
        <v/>
      </c>
      <c r="F1917">
        <f>_xlfn.NUMBERVALUE("0.001874")</f>
        <v/>
      </c>
      <c r="G1917">
        <f>_xlfn.NUMBERVALUE("-0.001271")</f>
        <v/>
      </c>
      <c r="H1917">
        <f>_xlfn.NUMBERVALUE("0.001270")</f>
        <v/>
      </c>
      <c r="I1917">
        <f>_xlfn.NUMBERVALUE("-0.005366")</f>
        <v/>
      </c>
      <c r="J1917">
        <f>_xlfn.NUMBERVALUE("0.000761")</f>
        <v/>
      </c>
      <c r="K1917">
        <f>_xlfn.NUMBERVALUE("0.002858")</f>
        <v/>
      </c>
      <c r="L1917">
        <f>_xlfn.NUMBERVALUE("0.002427")</f>
        <v/>
      </c>
      <c r="M1917">
        <f>_xlfn.NUMBERVALUE("-0.004446")</f>
        <v/>
      </c>
      <c r="N1917">
        <f>_xlfn.NUMBERVALUE("-0.002094")</f>
        <v/>
      </c>
      <c r="O1917">
        <f>_xlfn.NUMBERVALUE("0.003473")</f>
        <v/>
      </c>
      <c r="P1917">
        <f>_xlfn.NUMBERVALUE("-0.002768")</f>
        <v/>
      </c>
      <c r="Q1917">
        <f>_xlfn.NUMBERVALUE("-0.001390")</f>
        <v/>
      </c>
      <c r="R1917">
        <f>_xlfn.NUMBERVALUE("-0.000546")</f>
        <v/>
      </c>
      <c r="S1917">
        <f>_xlfn.NUMBERVALUE("0.001398")</f>
        <v/>
      </c>
      <c r="T1917">
        <f>_xlfn.NUMBERVALUE("0.002362")</f>
        <v/>
      </c>
      <c r="U1917">
        <f>_xlfn.NUMBERVALUE("-0.001054")</f>
        <v/>
      </c>
      <c r="V1917">
        <f>_xlfn.NUMBERVALUE("-0.001503")</f>
        <v/>
      </c>
      <c r="W1917">
        <f>_xlfn.NUMBERVALUE("0.021581")</f>
        <v/>
      </c>
      <c r="X1917">
        <f>_xlfn.NUMBERVALUE("-2.030000")</f>
        <v/>
      </c>
      <c r="Y1917">
        <f>_xlfn.NUMBERVALUE("19.740000")</f>
        <v/>
      </c>
    </row>
    <row r="1918">
      <c r="A1918" s="1" t="n">
        <v>44784</v>
      </c>
      <c r="B1918">
        <f>_xlfn.NUMBERVALUE("-0.003969")</f>
        <v/>
      </c>
      <c r="C1918" s="2">
        <f>_xlfn.NUMBERVALUE("-0.000331")</f>
        <v/>
      </c>
      <c r="D1918">
        <f>_xlfn.NUMBERVALUE("0.000283")</f>
        <v/>
      </c>
      <c r="E1918">
        <f>_xlfn.NUMBERVALUE("0.000326")</f>
        <v/>
      </c>
      <c r="F1918">
        <f>_xlfn.NUMBERVALUE("0.001138")</f>
        <v/>
      </c>
      <c r="G1918">
        <f>_xlfn.NUMBERVALUE("-0.000007")</f>
        <v/>
      </c>
      <c r="H1918">
        <f>_xlfn.NUMBERVALUE("-0.000220")</f>
        <v/>
      </c>
      <c r="I1918">
        <f>_xlfn.NUMBERVALUE("-0.000151")</f>
        <v/>
      </c>
      <c r="J1918">
        <f>_xlfn.NUMBERVALUE("-0.001042")</f>
        <v/>
      </c>
      <c r="K1918">
        <f>_xlfn.NUMBERVALUE("0.002348")</f>
        <v/>
      </c>
      <c r="L1918">
        <f>_xlfn.NUMBERVALUE("-0.004354")</f>
        <v/>
      </c>
      <c r="M1918">
        <f>_xlfn.NUMBERVALUE("-0.000006")</f>
        <v/>
      </c>
      <c r="N1918">
        <f>_xlfn.NUMBERVALUE("0.002556")</f>
        <v/>
      </c>
      <c r="O1918">
        <f>_xlfn.NUMBERVALUE("-0.003722")</f>
        <v/>
      </c>
      <c r="P1918">
        <f>_xlfn.NUMBERVALUE("-0.001917")</f>
        <v/>
      </c>
      <c r="Q1918">
        <f>_xlfn.NUMBERVALUE("-0.001535")</f>
        <v/>
      </c>
      <c r="R1918">
        <f>_xlfn.NUMBERVALUE("0.000162")</f>
        <v/>
      </c>
      <c r="S1918">
        <f>_xlfn.NUMBERVALUE("0.000154")</f>
        <v/>
      </c>
      <c r="T1918">
        <f>_xlfn.NUMBERVALUE("0.000727")</f>
        <v/>
      </c>
      <c r="U1918">
        <f>_xlfn.NUMBERVALUE("0.000380")</f>
        <v/>
      </c>
      <c r="V1918">
        <f>_xlfn.NUMBERVALUE("-0.000044")</f>
        <v/>
      </c>
      <c r="W1918">
        <f>_xlfn.NUMBERVALUE("-0.001334")</f>
        <v/>
      </c>
      <c r="X1918">
        <f>_xlfn.NUMBERVALUE("0.460000")</f>
        <v/>
      </c>
      <c r="Y1918">
        <f>_xlfn.NUMBERVALUE("20.200000")</f>
        <v/>
      </c>
    </row>
    <row r="1919">
      <c r="A1919" s="1" t="n">
        <v>44785</v>
      </c>
      <c r="B1919">
        <f>_xlfn.NUMBERVALUE("0.001373")</f>
        <v/>
      </c>
      <c r="C1919" s="2">
        <f>_xlfn.NUMBERVALUE("-0.000873")</f>
        <v/>
      </c>
      <c r="D1919">
        <f>_xlfn.NUMBERVALUE("-0.000271")</f>
        <v/>
      </c>
      <c r="E1919">
        <f>_xlfn.NUMBERVALUE("0.000942")</f>
        <v/>
      </c>
      <c r="F1919">
        <f>_xlfn.NUMBERVALUE("0.001113")</f>
        <v/>
      </c>
      <c r="G1919">
        <f>_xlfn.NUMBERVALUE("-0.001027")</f>
        <v/>
      </c>
      <c r="H1919">
        <f>_xlfn.NUMBERVALUE("0.000812")</f>
        <v/>
      </c>
      <c r="I1919">
        <f>_xlfn.NUMBERVALUE("-0.002107")</f>
        <v/>
      </c>
      <c r="J1919">
        <f>_xlfn.NUMBERVALUE("-0.001020")</f>
        <v/>
      </c>
      <c r="K1919">
        <f>_xlfn.NUMBERVALUE("-0.002287")</f>
        <v/>
      </c>
      <c r="L1919">
        <f>_xlfn.NUMBERVALUE("0.002767")</f>
        <v/>
      </c>
      <c r="M1919">
        <f>_xlfn.NUMBERVALUE("-0.002474")</f>
        <v/>
      </c>
      <c r="N1919">
        <f>_xlfn.NUMBERVALUE("-0.001994")</f>
        <v/>
      </c>
      <c r="O1919">
        <f>_xlfn.NUMBERVALUE("0.003630")</f>
        <v/>
      </c>
      <c r="P1919">
        <f>_xlfn.NUMBERVALUE("-0.001249")</f>
        <v/>
      </c>
      <c r="Q1919">
        <f>_xlfn.NUMBERVALUE("-0.000038")</f>
        <v/>
      </c>
      <c r="R1919">
        <f>_xlfn.NUMBERVALUE("-0.001571")</f>
        <v/>
      </c>
      <c r="S1919">
        <f>_xlfn.NUMBERVALUE("-0.000176")</f>
        <v/>
      </c>
      <c r="T1919">
        <f>_xlfn.NUMBERVALUE("-0.001210")</f>
        <v/>
      </c>
      <c r="U1919">
        <f>_xlfn.NUMBERVALUE("-0.000910")</f>
        <v/>
      </c>
      <c r="V1919">
        <f>_xlfn.NUMBERVALUE("-0.001372")</f>
        <v/>
      </c>
      <c r="W1919">
        <f>_xlfn.NUMBERVALUE("0.017028")</f>
        <v/>
      </c>
      <c r="X1919">
        <f>_xlfn.NUMBERVALUE("-0.670000")</f>
        <v/>
      </c>
      <c r="Y1919">
        <f>_xlfn.NUMBERVALUE("19.530000")</f>
        <v/>
      </c>
    </row>
    <row r="1920">
      <c r="A1920" s="1" t="n">
        <v>44788</v>
      </c>
      <c r="B1920">
        <f>_xlfn.NUMBERVALUE("0.002369")</f>
        <v/>
      </c>
      <c r="C1920" s="2">
        <f>_xlfn.NUMBERVALUE("-0.000039")</f>
        <v/>
      </c>
      <c r="D1920">
        <f>_xlfn.NUMBERVALUE("0.002242")</f>
        <v/>
      </c>
      <c r="E1920">
        <f>_xlfn.NUMBERVALUE("0.001067")</f>
        <v/>
      </c>
      <c r="F1920">
        <f>_xlfn.NUMBERVALUE("-0.001200")</f>
        <v/>
      </c>
      <c r="G1920">
        <f>_xlfn.NUMBERVALUE("0.001252")</f>
        <v/>
      </c>
      <c r="H1920">
        <f>_xlfn.NUMBERVALUE("0.000132")</f>
        <v/>
      </c>
      <c r="I1920">
        <f>_xlfn.NUMBERVALUE("0.001570")</f>
        <v/>
      </c>
      <c r="J1920">
        <f>_xlfn.NUMBERVALUE("0.001283")</f>
        <v/>
      </c>
      <c r="K1920">
        <f>_xlfn.NUMBERVALUE("-0.001965")</f>
        <v/>
      </c>
      <c r="L1920">
        <f>_xlfn.NUMBERVALUE("0.001412")</f>
        <v/>
      </c>
      <c r="M1920">
        <f>_xlfn.NUMBERVALUE("0.000741")</f>
        <v/>
      </c>
      <c r="N1920">
        <f>_xlfn.NUMBERVALUE("0.000166")</f>
        <v/>
      </c>
      <c r="O1920">
        <f>_xlfn.NUMBERVALUE("-0.001728")</f>
        <v/>
      </c>
      <c r="P1920">
        <f>_xlfn.NUMBERVALUE("0.002091")</f>
        <v/>
      </c>
      <c r="Q1920">
        <f>_xlfn.NUMBERVALUE("0.000874")</f>
        <v/>
      </c>
      <c r="R1920">
        <f>_xlfn.NUMBERVALUE("0.001272")</f>
        <v/>
      </c>
      <c r="S1920">
        <f>_xlfn.NUMBERVALUE("-0.001750")</f>
        <v/>
      </c>
      <c r="T1920">
        <f>_xlfn.NUMBERVALUE("0.000034")</f>
        <v/>
      </c>
      <c r="U1920">
        <f>_xlfn.NUMBERVALUE("0.002576")</f>
        <v/>
      </c>
      <c r="V1920">
        <f>_xlfn.NUMBERVALUE("0.000131")</f>
        <v/>
      </c>
      <c r="W1920">
        <f>_xlfn.NUMBERVALUE("0.006003")</f>
        <v/>
      </c>
      <c r="X1920">
        <f>_xlfn.NUMBERVALUE("0.420000")</f>
        <v/>
      </c>
      <c r="Y1920">
        <f>_xlfn.NUMBERVALUE("19.950000")</f>
        <v/>
      </c>
    </row>
    <row r="1921">
      <c r="A1921" s="1" t="n">
        <v>44789</v>
      </c>
      <c r="B1921">
        <f>_xlfn.NUMBERVALUE("0.000525")</f>
        <v/>
      </c>
      <c r="C1921" s="2">
        <f>_xlfn.NUMBERVALUE("-0.000331")</f>
        <v/>
      </c>
      <c r="D1921">
        <f>_xlfn.NUMBERVALUE("0.000654")</f>
        <v/>
      </c>
      <c r="E1921">
        <f>_xlfn.NUMBERVALUE("0.001985")</f>
        <v/>
      </c>
      <c r="F1921">
        <f>_xlfn.NUMBERVALUE("0.000736")</f>
        <v/>
      </c>
      <c r="G1921">
        <f>_xlfn.NUMBERVALUE("0.001252")</f>
        <v/>
      </c>
      <c r="H1921">
        <f>_xlfn.NUMBERVALUE("0.000593")</f>
        <v/>
      </c>
      <c r="I1921">
        <f>_xlfn.NUMBERVALUE("0.001738")</f>
        <v/>
      </c>
      <c r="J1921">
        <f>_xlfn.NUMBERVALUE("-0.000325")</f>
        <v/>
      </c>
      <c r="K1921">
        <f>_xlfn.NUMBERVALUE("0.001368")</f>
        <v/>
      </c>
      <c r="L1921">
        <f>_xlfn.NUMBERVALUE("-0.000203")</f>
        <v/>
      </c>
      <c r="M1921">
        <f>_xlfn.NUMBERVALUE("0.000659")</f>
        <v/>
      </c>
      <c r="N1921">
        <f>_xlfn.NUMBERVALUE("0.000030")</f>
        <v/>
      </c>
      <c r="O1921">
        <f>_xlfn.NUMBERVALUE("0.004176")</f>
        <v/>
      </c>
      <c r="P1921">
        <f>_xlfn.NUMBERVALUE("-0.001229")</f>
        <v/>
      </c>
      <c r="Q1921">
        <f>_xlfn.NUMBERVALUE("-0.000044")</f>
        <v/>
      </c>
      <c r="R1921">
        <f>_xlfn.NUMBERVALUE("0.001658")</f>
        <v/>
      </c>
      <c r="S1921">
        <f>_xlfn.NUMBERVALUE("-0.001207")</f>
        <v/>
      </c>
      <c r="T1921">
        <f>_xlfn.NUMBERVALUE("0.000256")</f>
        <v/>
      </c>
      <c r="U1921">
        <f>_xlfn.NUMBERVALUE("-0.001866")</f>
        <v/>
      </c>
      <c r="V1921">
        <f>_xlfn.NUMBERVALUE("0.000741")</f>
        <v/>
      </c>
      <c r="W1921">
        <f>_xlfn.NUMBERVALUE("0.002890")</f>
        <v/>
      </c>
      <c r="X1921">
        <f>_xlfn.NUMBERVALUE("-0.260000")</f>
        <v/>
      </c>
      <c r="Y1921">
        <f>_xlfn.NUMBERVALUE("19.690000")</f>
        <v/>
      </c>
    </row>
    <row r="1922">
      <c r="A1922" s="1" t="n">
        <v>44790</v>
      </c>
      <c r="B1922">
        <f>_xlfn.NUMBERVALUE("0.001157")</f>
        <v/>
      </c>
      <c r="C1922" s="2">
        <f>_xlfn.NUMBERVALUE("0.000170")</f>
        <v/>
      </c>
      <c r="D1922">
        <f>_xlfn.NUMBERVALUE("0.001085")</f>
        <v/>
      </c>
      <c r="E1922">
        <f>_xlfn.NUMBERVALUE("0.000675")</f>
        <v/>
      </c>
      <c r="F1922">
        <f>_xlfn.NUMBERVALUE("-0.000283")</f>
        <v/>
      </c>
      <c r="G1922">
        <f>_xlfn.NUMBERVALUE("-0.001694")</f>
        <v/>
      </c>
      <c r="H1922">
        <f>_xlfn.NUMBERVALUE("-0.001194")</f>
        <v/>
      </c>
      <c r="I1922">
        <f>_xlfn.NUMBERVALUE("-0.000697")</f>
        <v/>
      </c>
      <c r="J1922">
        <f>_xlfn.NUMBERVALUE("-0.002011")</f>
        <v/>
      </c>
      <c r="K1922">
        <f>_xlfn.NUMBERVALUE("-0.000596")</f>
        <v/>
      </c>
      <c r="L1922">
        <f>_xlfn.NUMBERVALUE("-0.002127")</f>
        <v/>
      </c>
      <c r="M1922">
        <f>_xlfn.NUMBERVALUE("0.001829")</f>
        <v/>
      </c>
      <c r="N1922">
        <f>_xlfn.NUMBERVALUE("0.000638")</f>
        <v/>
      </c>
      <c r="O1922">
        <f>_xlfn.NUMBERVALUE("0.004212")</f>
        <v/>
      </c>
      <c r="P1922">
        <f>_xlfn.NUMBERVALUE("0.001062")</f>
        <v/>
      </c>
      <c r="Q1922">
        <f>_xlfn.NUMBERVALUE("-0.017269")</f>
        <v/>
      </c>
      <c r="R1922">
        <f>_xlfn.NUMBERVALUE("0.000160")</f>
        <v/>
      </c>
      <c r="S1922">
        <f>_xlfn.NUMBERVALUE("0.000354")</f>
        <v/>
      </c>
      <c r="T1922">
        <f>_xlfn.NUMBERVALUE("0.002565")</f>
        <v/>
      </c>
      <c r="U1922">
        <f>_xlfn.NUMBERVALUE("0.001432")</f>
        <v/>
      </c>
      <c r="V1922">
        <f>_xlfn.NUMBERVALUE("0.000410")</f>
        <v/>
      </c>
      <c r="W1922">
        <f>_xlfn.NUMBERVALUE("-0.007530")</f>
        <v/>
      </c>
      <c r="X1922">
        <f>_xlfn.NUMBERVALUE("0.210000")</f>
        <v/>
      </c>
      <c r="Y1922">
        <f>_xlfn.NUMBERVALUE("19.900000")</f>
        <v/>
      </c>
    </row>
    <row r="1923">
      <c r="A1923" s="1" t="n">
        <v>44791</v>
      </c>
      <c r="B1923">
        <f>_xlfn.NUMBERVALUE("0.006493")</f>
        <v/>
      </c>
      <c r="C1923" s="2">
        <f>_xlfn.NUMBERVALUE("0.001125")</f>
        <v/>
      </c>
      <c r="D1923">
        <f>_xlfn.NUMBERVALUE("0.001896")</f>
        <v/>
      </c>
      <c r="E1923">
        <f>_xlfn.NUMBERVALUE("0.002279")</f>
        <v/>
      </c>
      <c r="F1923">
        <f>_xlfn.NUMBERVALUE("0.000710")</f>
        <v/>
      </c>
      <c r="G1923">
        <f>_xlfn.NUMBERVALUE("0.001758")</f>
        <v/>
      </c>
      <c r="H1923">
        <f>_xlfn.NUMBERVALUE("0.000154")</f>
        <v/>
      </c>
      <c r="I1923">
        <f>_xlfn.NUMBERVALUE("0.001321")</f>
        <v/>
      </c>
      <c r="J1923">
        <f>_xlfn.NUMBERVALUE("0.000658")</f>
        <v/>
      </c>
      <c r="K1923">
        <f>_xlfn.NUMBERVALUE("-0.001161")</f>
        <v/>
      </c>
      <c r="L1923">
        <f>_xlfn.NUMBERVALUE("0.001294")</f>
        <v/>
      </c>
      <c r="M1923">
        <f>_xlfn.NUMBERVALUE("-0.001025")</f>
        <v/>
      </c>
      <c r="N1923">
        <f>_xlfn.NUMBERVALUE("0.000281")</f>
        <v/>
      </c>
      <c r="O1923">
        <f>_xlfn.NUMBERVALUE("-0.006231")</f>
        <v/>
      </c>
      <c r="P1923">
        <f>_xlfn.NUMBERVALUE("0.001747")</f>
        <v/>
      </c>
      <c r="Q1923">
        <f>_xlfn.NUMBERVALUE("0.018012")</f>
        <v/>
      </c>
      <c r="R1923">
        <f>_xlfn.NUMBERVALUE("0.001227")</f>
        <v/>
      </c>
      <c r="S1923">
        <f>_xlfn.NUMBERVALUE("0.001115")</f>
        <v/>
      </c>
      <c r="T1923">
        <f>_xlfn.NUMBERVALUE("-0.001922")</f>
        <v/>
      </c>
      <c r="U1923">
        <f>_xlfn.NUMBERVALUE("0.001981")</f>
        <v/>
      </c>
      <c r="V1923">
        <f>_xlfn.NUMBERVALUE("0.001690")</f>
        <v/>
      </c>
      <c r="W1923">
        <f>_xlfn.NUMBERVALUE("0.002646")</f>
        <v/>
      </c>
      <c r="X1923">
        <f>_xlfn.NUMBERVALUE("-0.340000")</f>
        <v/>
      </c>
      <c r="Y1923">
        <f>_xlfn.NUMBERVALUE("19.560000")</f>
        <v/>
      </c>
    </row>
    <row r="1924">
      <c r="A1924" s="1" t="n">
        <v>44792</v>
      </c>
      <c r="B1924">
        <f>_xlfn.NUMBERVALUE("-0.012535")</f>
        <v/>
      </c>
      <c r="C1924" s="2">
        <f>_xlfn.NUMBERVALUE("-0.000753")</f>
        <v/>
      </c>
      <c r="D1924">
        <f>_xlfn.NUMBERVALUE("-0.000575")</f>
        <v/>
      </c>
      <c r="E1924">
        <f>_xlfn.NUMBERVALUE("-0.001853")</f>
        <v/>
      </c>
      <c r="F1924">
        <f>_xlfn.NUMBERVALUE("-0.000518")</f>
        <v/>
      </c>
      <c r="G1924">
        <f>_xlfn.NUMBERVALUE("-0.000682")</f>
        <v/>
      </c>
      <c r="H1924">
        <f>_xlfn.NUMBERVALUE("-0.000646")</f>
        <v/>
      </c>
      <c r="I1924">
        <f>_xlfn.NUMBERVALUE("-0.000112")</f>
        <v/>
      </c>
      <c r="J1924">
        <f>_xlfn.NUMBERVALUE("-0.001997")</f>
        <v/>
      </c>
      <c r="K1924">
        <f>_xlfn.NUMBERVALUE("-0.006416")</f>
        <v/>
      </c>
      <c r="L1924">
        <f>_xlfn.NUMBERVALUE("-0.001986")</f>
        <v/>
      </c>
      <c r="M1924">
        <f>_xlfn.NUMBERVALUE("-0.000209")</f>
        <v/>
      </c>
      <c r="N1924">
        <f>_xlfn.NUMBERVALUE("-0.001923")</f>
        <v/>
      </c>
      <c r="O1924">
        <f>_xlfn.NUMBERVALUE("-0.001455")</f>
        <v/>
      </c>
      <c r="P1924">
        <f>_xlfn.NUMBERVALUE("-0.000096")</f>
        <v/>
      </c>
      <c r="Q1924">
        <f>_xlfn.NUMBERVALUE("0.000114")</f>
        <v/>
      </c>
      <c r="R1924">
        <f>_xlfn.NUMBERVALUE("-0.000500")</f>
        <v/>
      </c>
      <c r="S1924">
        <f>_xlfn.NUMBERVALUE("0.000299")</f>
        <v/>
      </c>
      <c r="T1924">
        <f>_xlfn.NUMBERVALUE("0.000638")</f>
        <v/>
      </c>
      <c r="U1924">
        <f>_xlfn.NUMBERVALUE("-0.000262")</f>
        <v/>
      </c>
      <c r="V1924">
        <f>_xlfn.NUMBERVALUE("-0.000338")</f>
        <v/>
      </c>
      <c r="W1924">
        <f>_xlfn.NUMBERVALUE("-0.014177")</f>
        <v/>
      </c>
      <c r="X1924">
        <f>_xlfn.NUMBERVALUE("1.040000")</f>
        <v/>
      </c>
      <c r="Y1924">
        <f>_xlfn.NUMBERVALUE("20.600000")</f>
        <v/>
      </c>
    </row>
    <row r="1925">
      <c r="A1925" s="1" t="n">
        <v>44795</v>
      </c>
      <c r="B1925">
        <f>_xlfn.NUMBERVALUE("0.008316")</f>
        <v/>
      </c>
      <c r="C1925" s="2">
        <f>_xlfn.NUMBERVALUE("-0.003659")</f>
        <v/>
      </c>
      <c r="D1925">
        <f>_xlfn.NUMBERVALUE("-0.000853")</f>
        <v/>
      </c>
      <c r="E1925">
        <f>_xlfn.NUMBERVALUE("-0.004263")</f>
        <v/>
      </c>
      <c r="F1925">
        <f>_xlfn.NUMBERVALUE("-0.000171")</f>
        <v/>
      </c>
      <c r="G1925">
        <f>_xlfn.NUMBERVALUE("-0.001411")</f>
        <v/>
      </c>
      <c r="H1925">
        <f>_xlfn.NUMBERVALUE("-0.000413")</f>
        <v/>
      </c>
      <c r="I1925">
        <f>_xlfn.NUMBERVALUE("-0.004419")</f>
        <v/>
      </c>
      <c r="J1925">
        <f>_xlfn.NUMBERVALUE("-0.000582")</f>
        <v/>
      </c>
      <c r="K1925">
        <f>_xlfn.NUMBERVALUE("0.000365")</f>
        <v/>
      </c>
      <c r="L1925">
        <f>_xlfn.NUMBERVALUE("0.000036")</f>
        <v/>
      </c>
      <c r="M1925">
        <f>_xlfn.NUMBERVALUE("-0.002056")</f>
        <v/>
      </c>
      <c r="N1925">
        <f>_xlfn.NUMBERVALUE("-0.004917")</f>
        <v/>
      </c>
      <c r="O1925">
        <f>_xlfn.NUMBERVALUE("0.002032")</f>
        <v/>
      </c>
      <c r="P1925">
        <f>_xlfn.NUMBERVALUE("-0.003189")</f>
        <v/>
      </c>
      <c r="Q1925">
        <f>_xlfn.NUMBERVALUE("-0.003267")</f>
        <v/>
      </c>
      <c r="R1925">
        <f>_xlfn.NUMBERVALUE("-0.004395")</f>
        <v/>
      </c>
      <c r="S1925">
        <f>_xlfn.NUMBERVALUE("-0.001131")</f>
        <v/>
      </c>
      <c r="T1925">
        <f>_xlfn.NUMBERVALUE("-0.000386")</f>
        <v/>
      </c>
      <c r="U1925">
        <f>_xlfn.NUMBERVALUE("-0.005125")</f>
        <v/>
      </c>
      <c r="V1925">
        <f>_xlfn.NUMBERVALUE("-0.004572")</f>
        <v/>
      </c>
      <c r="W1925">
        <f>_xlfn.NUMBERVALUE("-0.022129")</f>
        <v/>
      </c>
      <c r="X1925">
        <f>_xlfn.NUMBERVALUE("3.200000")</f>
        <v/>
      </c>
      <c r="Y1925">
        <f>_xlfn.NUMBERVALUE("23.800000")</f>
        <v/>
      </c>
    </row>
    <row r="1926">
      <c r="A1926" s="1" t="n">
        <v>44796</v>
      </c>
      <c r="B1926">
        <f>_xlfn.NUMBERVALUE("0.009554")</f>
        <v/>
      </c>
      <c r="C1926" s="2">
        <f>_xlfn.NUMBERVALUE("0.002057")</f>
        <v/>
      </c>
      <c r="D1926">
        <f>_xlfn.NUMBERVALUE("0.001360")</f>
        <v/>
      </c>
      <c r="E1926">
        <f>_xlfn.NUMBERVALUE("0.001130")</f>
        <v/>
      </c>
      <c r="F1926">
        <f>_xlfn.NUMBERVALUE("0.000686")</f>
        <v/>
      </c>
      <c r="G1926">
        <f>_xlfn.NUMBERVALUE("0.001336")</f>
        <v/>
      </c>
      <c r="H1926">
        <f>_xlfn.NUMBERVALUE("0.000951")</f>
        <v/>
      </c>
      <c r="I1926">
        <f>_xlfn.NUMBERVALUE("0.001681")</f>
        <v/>
      </c>
      <c r="J1926">
        <f>_xlfn.NUMBERVALUE("0.000373")</f>
        <v/>
      </c>
      <c r="K1926">
        <f>_xlfn.NUMBERVALUE("0.001842")</f>
        <v/>
      </c>
      <c r="L1926">
        <f>_xlfn.NUMBERVALUE("0.001113")</f>
        <v/>
      </c>
      <c r="M1926">
        <f>_xlfn.NUMBERVALUE("-0.001375")</f>
        <v/>
      </c>
      <c r="N1926">
        <f>_xlfn.NUMBERVALUE("0.001187")</f>
        <v/>
      </c>
      <c r="O1926">
        <f>_xlfn.NUMBERVALUE("-0.007373")</f>
        <v/>
      </c>
      <c r="P1926">
        <f>_xlfn.NUMBERVALUE("0.002683")</f>
        <v/>
      </c>
      <c r="Q1926">
        <f>_xlfn.NUMBERVALUE("0.001428")</f>
        <v/>
      </c>
      <c r="R1926">
        <f>_xlfn.NUMBERVALUE("0.002467")</f>
        <v/>
      </c>
      <c r="S1926">
        <f>_xlfn.NUMBERVALUE("0.002235")</f>
        <v/>
      </c>
      <c r="T1926">
        <f>_xlfn.NUMBERVALUE("0.001357")</f>
        <v/>
      </c>
      <c r="U1926">
        <f>_xlfn.NUMBERVALUE("0.002743")</f>
        <v/>
      </c>
      <c r="V1926">
        <f>_xlfn.NUMBERVALUE("0.001705")</f>
        <v/>
      </c>
      <c r="W1926">
        <f>_xlfn.NUMBERVALUE("-0.000412")</f>
        <v/>
      </c>
      <c r="X1926">
        <f>_xlfn.NUMBERVALUE("0.310000")</f>
        <v/>
      </c>
      <c r="Y1926">
        <f>_xlfn.NUMBERVALUE("24.110000")</f>
        <v/>
      </c>
    </row>
    <row r="1927">
      <c r="A1927" s="1" t="n">
        <v>44797</v>
      </c>
      <c r="B1927">
        <f>_xlfn.NUMBERVALUE("0.022699")</f>
        <v/>
      </c>
      <c r="C1927" s="2">
        <f>_xlfn.NUMBERVALUE("0.002119")</f>
        <v/>
      </c>
      <c r="D1927">
        <f>_xlfn.NUMBERVALUE("0.001310")</f>
        <v/>
      </c>
      <c r="E1927">
        <f>_xlfn.NUMBERVALUE("0.001487")</f>
        <v/>
      </c>
      <c r="F1927">
        <f>_xlfn.NUMBERVALUE("0.000006")</f>
        <v/>
      </c>
      <c r="G1927">
        <f>_xlfn.NUMBERVALUE("-0.000310")</f>
        <v/>
      </c>
      <c r="H1927">
        <f>_xlfn.NUMBERVALUE("-0.000487")</f>
        <v/>
      </c>
      <c r="I1927">
        <f>_xlfn.NUMBERVALUE("0.002023")</f>
        <v/>
      </c>
      <c r="J1927">
        <f>_xlfn.NUMBERVALUE("-0.000556")</f>
        <v/>
      </c>
      <c r="K1927">
        <f>_xlfn.NUMBERVALUE("0.002657")</f>
        <v/>
      </c>
      <c r="L1927">
        <f>_xlfn.NUMBERVALUE("-0.001117")</f>
        <v/>
      </c>
      <c r="M1927">
        <f>_xlfn.NUMBERVALUE("0.000906")</f>
        <v/>
      </c>
      <c r="N1927">
        <f>_xlfn.NUMBERVALUE("0.000030")</f>
        <v/>
      </c>
      <c r="O1927">
        <f>_xlfn.NUMBERVALUE("0.000416")</f>
        <v/>
      </c>
      <c r="P1927">
        <f>_xlfn.NUMBERVALUE("0.000753")</f>
        <v/>
      </c>
      <c r="Q1927">
        <f>_xlfn.NUMBERVALUE("0.001363")</f>
        <v/>
      </c>
      <c r="R1927">
        <f>_xlfn.NUMBERVALUE("0.002360")</f>
        <v/>
      </c>
      <c r="S1927">
        <f>_xlfn.NUMBERVALUE("0.001211")</f>
        <v/>
      </c>
      <c r="T1927">
        <f>_xlfn.NUMBERVALUE("0.002504")</f>
        <v/>
      </c>
      <c r="U1927">
        <f>_xlfn.NUMBERVALUE("0.002837")</f>
        <v/>
      </c>
      <c r="V1927">
        <f>_xlfn.NUMBERVALUE("0.002556")</f>
        <v/>
      </c>
      <c r="W1927">
        <f>_xlfn.NUMBERVALUE("0.004121")</f>
        <v/>
      </c>
      <c r="X1927">
        <f>_xlfn.NUMBERVALUE("-1.290000")</f>
        <v/>
      </c>
      <c r="Y1927">
        <f>_xlfn.NUMBERVALUE("22.820000")</f>
        <v/>
      </c>
    </row>
    <row r="1928">
      <c r="A1928" s="1" t="n">
        <v>44798</v>
      </c>
      <c r="B1928">
        <f>_xlfn.NUMBERVALUE("0.004435")</f>
        <v/>
      </c>
      <c r="C1928" s="2">
        <f>_xlfn.NUMBERVALUE("0.000202")</f>
        <v/>
      </c>
      <c r="D1928">
        <f>_xlfn.NUMBERVALUE("-0.005128")</f>
        <v/>
      </c>
      <c r="E1928">
        <f>_xlfn.NUMBERVALUE("0.001312")</f>
        <v/>
      </c>
      <c r="F1928">
        <f>_xlfn.NUMBERVALUE("0.001184")</f>
        <v/>
      </c>
      <c r="G1928">
        <f>_xlfn.NUMBERVALUE("-0.000076")</f>
        <v/>
      </c>
      <c r="H1928">
        <f>_xlfn.NUMBERVALUE("-0.000010")</f>
        <v/>
      </c>
      <c r="I1928">
        <f>_xlfn.NUMBERVALUE("-0.000167")</f>
        <v/>
      </c>
      <c r="J1928">
        <f>_xlfn.NUMBERVALUE("0.000907")</f>
        <v/>
      </c>
      <c r="K1928">
        <f>_xlfn.NUMBERVALUE("0.001138")</f>
        <v/>
      </c>
      <c r="L1928">
        <f>_xlfn.NUMBERVALUE("0.000923")</f>
        <v/>
      </c>
      <c r="M1928">
        <f>_xlfn.NUMBERVALUE("-0.002591")</f>
        <v/>
      </c>
      <c r="N1928">
        <f>_xlfn.NUMBERVALUE("0.000065")</f>
        <v/>
      </c>
      <c r="O1928">
        <f>_xlfn.NUMBERVALUE("0.001727")</f>
        <v/>
      </c>
      <c r="P1928">
        <f>_xlfn.NUMBERVALUE("0.000328")</f>
        <v/>
      </c>
      <c r="Q1928">
        <f>_xlfn.NUMBERVALUE("0.000642")</f>
        <v/>
      </c>
      <c r="R1928">
        <f>_xlfn.NUMBERVALUE("0.000748")</f>
        <v/>
      </c>
      <c r="S1928">
        <f>_xlfn.NUMBERVALUE("0.001056")</f>
        <v/>
      </c>
      <c r="T1928">
        <f>_xlfn.NUMBERVALUE("0.000786")</f>
        <v/>
      </c>
      <c r="U1928">
        <f>_xlfn.NUMBERVALUE("0.001836")</f>
        <v/>
      </c>
      <c r="V1928">
        <f>_xlfn.NUMBERVALUE("-0.000523")</f>
        <v/>
      </c>
      <c r="W1928">
        <f>_xlfn.NUMBERVALUE("0.010404")</f>
        <v/>
      </c>
      <c r="X1928">
        <f>_xlfn.NUMBERVALUE("-1.040000")</f>
        <v/>
      </c>
      <c r="Y1928">
        <f>_xlfn.NUMBERVALUE("21.780000")</f>
        <v/>
      </c>
    </row>
    <row r="1929">
      <c r="A1929" s="1" t="n">
        <v>44799</v>
      </c>
      <c r="B1929">
        <f>_xlfn.NUMBERVALUE("-0.011045")</f>
        <v/>
      </c>
      <c r="C1929" s="2">
        <f>_xlfn.NUMBERVALUE("-0.009577")</f>
        <v/>
      </c>
      <c r="D1929">
        <f>_xlfn.NUMBERVALUE("-0.001375")</f>
        <v/>
      </c>
      <c r="E1929">
        <f>_xlfn.NUMBERVALUE("-0.005762")</f>
        <v/>
      </c>
      <c r="F1929">
        <f>_xlfn.NUMBERVALUE("-0.000791")</f>
        <v/>
      </c>
      <c r="G1929">
        <f>_xlfn.NUMBERVALUE("-0.002732")</f>
        <v/>
      </c>
      <c r="H1929">
        <f>_xlfn.NUMBERVALUE("-0.000447")</f>
        <v/>
      </c>
      <c r="I1929">
        <f>_xlfn.NUMBERVALUE("-0.008377")</f>
        <v/>
      </c>
      <c r="J1929">
        <f>_xlfn.NUMBERVALUE("0.000124")</f>
        <v/>
      </c>
      <c r="K1929">
        <f>_xlfn.NUMBERVALUE("-0.001211")</f>
        <v/>
      </c>
      <c r="L1929">
        <f>_xlfn.NUMBERVALUE("0.000844")</f>
        <v/>
      </c>
      <c r="M1929">
        <f>_xlfn.NUMBERVALUE("-0.000355")</f>
        <v/>
      </c>
      <c r="N1929">
        <f>_xlfn.NUMBERVALUE("-0.005457")</f>
        <v/>
      </c>
      <c r="O1929">
        <f>_xlfn.NUMBERVALUE("-0.001131")</f>
        <v/>
      </c>
      <c r="P1929">
        <f>_xlfn.NUMBERVALUE("-0.005507")</f>
        <v/>
      </c>
      <c r="Q1929">
        <f>_xlfn.NUMBERVALUE("-0.009512")</f>
        <v/>
      </c>
      <c r="R1929">
        <f>_xlfn.NUMBERVALUE("-0.012679")</f>
        <v/>
      </c>
      <c r="S1929">
        <f>_xlfn.NUMBERVALUE("-0.003134")</f>
        <v/>
      </c>
      <c r="T1929">
        <f>_xlfn.NUMBERVALUE("-0.001705")</f>
        <v/>
      </c>
      <c r="U1929">
        <f>_xlfn.NUMBERVALUE("-0.009101")</f>
        <v/>
      </c>
      <c r="V1929">
        <f>_xlfn.NUMBERVALUE("-0.011089")</f>
        <v/>
      </c>
      <c r="W1929">
        <f>_xlfn.NUMBERVALUE("-0.030436")</f>
        <v/>
      </c>
      <c r="X1929">
        <f>_xlfn.NUMBERVALUE("3.780000")</f>
        <v/>
      </c>
      <c r="Y1929">
        <f>_xlfn.NUMBERVALUE("25.560000")</f>
        <v/>
      </c>
    </row>
    <row r="1930">
      <c r="A1930" s="1" t="n">
        <v>44802</v>
      </c>
      <c r="B1930">
        <f>_xlfn.NUMBERVALUE("0.004545")</f>
        <v/>
      </c>
      <c r="C1930" s="2">
        <f>_xlfn.NUMBERVALUE("0.003284")</f>
        <v/>
      </c>
      <c r="D1930">
        <f>_xlfn.NUMBERVALUE("0.002449")</f>
        <v/>
      </c>
      <c r="E1930">
        <f>_xlfn.NUMBERVALUE("-0.000338")</f>
        <v/>
      </c>
      <c r="F1930">
        <f>_xlfn.NUMBERVALUE("0.000149")</f>
        <v/>
      </c>
      <c r="G1930">
        <f>_xlfn.NUMBERVALUE("0.000784")</f>
        <v/>
      </c>
      <c r="H1930">
        <f>_xlfn.NUMBERVALUE("0.000050")</f>
        <v/>
      </c>
      <c r="I1930">
        <f>_xlfn.NUMBERVALUE("0.004602")</f>
        <v/>
      </c>
      <c r="J1930">
        <f>_xlfn.NUMBERVALUE("-0.000663")</f>
        <v/>
      </c>
      <c r="K1930">
        <f>_xlfn.NUMBERVALUE("0.001394")</f>
        <v/>
      </c>
      <c r="L1930">
        <f>_xlfn.NUMBERVALUE("-0.000732")</f>
        <v/>
      </c>
      <c r="M1930">
        <f>_xlfn.NUMBERVALUE("0.000284")</f>
        <v/>
      </c>
      <c r="N1930">
        <f>_xlfn.NUMBERVALUE("0.001803")</f>
        <v/>
      </c>
      <c r="O1930">
        <f>_xlfn.NUMBERVALUE("0.002160")</f>
        <v/>
      </c>
      <c r="P1930">
        <f>_xlfn.NUMBERVALUE("0.001894")</f>
        <v/>
      </c>
      <c r="Q1930">
        <f>_xlfn.NUMBERVALUE("0.002369")</f>
        <v/>
      </c>
      <c r="R1930">
        <f>_xlfn.NUMBERVALUE("0.000480")</f>
        <v/>
      </c>
      <c r="S1930">
        <f>_xlfn.NUMBERVALUE("-0.000429")</f>
        <v/>
      </c>
      <c r="T1930">
        <f>_xlfn.NUMBERVALUE("0.001288")</f>
        <v/>
      </c>
      <c r="U1930">
        <f>_xlfn.NUMBERVALUE("0.002130")</f>
        <v/>
      </c>
      <c r="V1930">
        <f>_xlfn.NUMBERVALUE("0.002053")</f>
        <v/>
      </c>
      <c r="W1930">
        <f>_xlfn.NUMBERVALUE("-0.004977")</f>
        <v/>
      </c>
      <c r="X1930">
        <f>_xlfn.NUMBERVALUE("0.650000")</f>
        <v/>
      </c>
      <c r="Y1930">
        <f>_xlfn.NUMBERVALUE("26.210000")</f>
        <v/>
      </c>
    </row>
    <row r="1931">
      <c r="A1931" s="1" t="n">
        <v>44803</v>
      </c>
      <c r="B1931">
        <f>_xlfn.NUMBERVALUE("0.000807")</f>
        <v/>
      </c>
      <c r="C1931" s="2">
        <f>_xlfn.NUMBERVALUE("-0.001466")</f>
        <v/>
      </c>
      <c r="D1931">
        <f>_xlfn.NUMBERVALUE("-0.001453")</f>
        <v/>
      </c>
      <c r="E1931">
        <f>_xlfn.NUMBERVALUE("0.000457")</f>
        <v/>
      </c>
      <c r="F1931">
        <f>_xlfn.NUMBERVALUE("-0.000263")</f>
        <v/>
      </c>
      <c r="G1931">
        <f>_xlfn.NUMBERVALUE("-0.000416")</f>
        <v/>
      </c>
      <c r="H1931">
        <f>_xlfn.NUMBERVALUE("-0.000166")</f>
        <v/>
      </c>
      <c r="I1931">
        <f>_xlfn.NUMBERVALUE("-0.000825")</f>
        <v/>
      </c>
      <c r="J1931">
        <f>_xlfn.NUMBERVALUE("-0.000570")</f>
        <v/>
      </c>
      <c r="K1931">
        <f>_xlfn.NUMBERVALUE("-0.000233")</f>
        <v/>
      </c>
      <c r="L1931">
        <f>_xlfn.NUMBERVALUE("0.000227")</f>
        <v/>
      </c>
      <c r="M1931">
        <f>_xlfn.NUMBERVALUE("-0.001268")</f>
        <v/>
      </c>
      <c r="N1931">
        <f>_xlfn.NUMBERVALUE("-0.002086")</f>
        <v/>
      </c>
      <c r="O1931">
        <f>_xlfn.NUMBERVALUE("-0.002316")</f>
        <v/>
      </c>
      <c r="P1931">
        <f>_xlfn.NUMBERVALUE("0.001882")</f>
        <v/>
      </c>
      <c r="Q1931">
        <f>_xlfn.NUMBERVALUE("-0.000762")</f>
        <v/>
      </c>
      <c r="R1931">
        <f>_xlfn.NUMBERVALUE("0.000303")</f>
        <v/>
      </c>
      <c r="S1931">
        <f>_xlfn.NUMBERVALUE("0.002607")</f>
        <v/>
      </c>
      <c r="T1931">
        <f>_xlfn.NUMBERVALUE("-0.001129")</f>
        <v/>
      </c>
      <c r="U1931">
        <f>_xlfn.NUMBERVALUE("0.001162")</f>
        <v/>
      </c>
      <c r="V1931">
        <f>_xlfn.NUMBERVALUE("-0.001329")</f>
        <v/>
      </c>
      <c r="W1931">
        <f>_xlfn.NUMBERVALUE("-0.013967")</f>
        <v/>
      </c>
      <c r="X1931">
        <f>_xlfn.NUMBERVALUE("0.000000")</f>
        <v/>
      </c>
      <c r="Y1931">
        <f>_xlfn.NUMBERVALUE("26.210000")</f>
        <v/>
      </c>
    </row>
    <row r="1932">
      <c r="A1932" s="1" t="n">
        <v>44804</v>
      </c>
      <c r="B1932">
        <f>_xlfn.NUMBERVALUE("0.004081")</f>
        <v/>
      </c>
      <c r="C1932" s="2">
        <f>_xlfn.NUMBERVALUE("0.000278")</f>
        <v/>
      </c>
      <c r="D1932">
        <f>_xlfn.NUMBERVALUE("0.002720")</f>
        <v/>
      </c>
      <c r="E1932">
        <f>_xlfn.NUMBERVALUE("-0.000124")</f>
        <v/>
      </c>
      <c r="F1932">
        <f>_xlfn.NUMBERVALUE("-0.000123")</f>
        <v/>
      </c>
      <c r="G1932">
        <f>_xlfn.NUMBERVALUE("0.000436")</f>
        <v/>
      </c>
      <c r="H1932">
        <f>_xlfn.NUMBERVALUE("-0.000223")</f>
        <v/>
      </c>
      <c r="I1932">
        <f>_xlfn.NUMBERVALUE("0.002125")</f>
        <v/>
      </c>
      <c r="J1932">
        <f>_xlfn.NUMBERVALUE("0.000665")</f>
        <v/>
      </c>
      <c r="K1932">
        <f>_xlfn.NUMBERVALUE("-0.000003")</f>
        <v/>
      </c>
      <c r="L1932">
        <f>_xlfn.NUMBERVALUE("-0.001226")</f>
        <v/>
      </c>
      <c r="M1932">
        <f>_xlfn.NUMBERVALUE("0.002127")</f>
        <v/>
      </c>
      <c r="N1932">
        <f>_xlfn.NUMBERVALUE("0.001009")</f>
        <v/>
      </c>
      <c r="O1932">
        <f>_xlfn.NUMBERVALUE("0.001715")</f>
        <v/>
      </c>
      <c r="P1932">
        <f>_xlfn.NUMBERVALUE("0.001787")</f>
        <v/>
      </c>
      <c r="Q1932">
        <f>_xlfn.NUMBERVALUE("0.001177")</f>
        <v/>
      </c>
      <c r="R1932">
        <f>_xlfn.NUMBERVALUE("0.000395")</f>
        <v/>
      </c>
      <c r="S1932">
        <f>_xlfn.NUMBERVALUE("0.002963")</f>
        <v/>
      </c>
      <c r="T1932">
        <f>_xlfn.NUMBERVALUE("0.001518")</f>
        <v/>
      </c>
      <c r="U1932">
        <f>_xlfn.NUMBERVALUE("0.001819")</f>
        <v/>
      </c>
      <c r="V1932">
        <f>_xlfn.NUMBERVALUE("0.000358")</f>
        <v/>
      </c>
      <c r="W1932">
        <f>_xlfn.NUMBERVALUE("-0.002084")</f>
        <v/>
      </c>
      <c r="X1932">
        <f>_xlfn.NUMBERVALUE("-0.340000")</f>
        <v/>
      </c>
      <c r="Y1932">
        <f>_xlfn.NUMBERVALUE("25.870000")</f>
        <v/>
      </c>
    </row>
    <row r="1933">
      <c r="A1933" s="1" t="n">
        <v>44805</v>
      </c>
      <c r="B1933">
        <f>_xlfn.NUMBERVALUE("0.000210")</f>
        <v/>
      </c>
      <c r="C1933" s="2">
        <f>_xlfn.NUMBERVALUE("-0.000019")</f>
        <v/>
      </c>
      <c r="D1933">
        <f>_xlfn.NUMBERVALUE("-0.001439")</f>
        <v/>
      </c>
      <c r="E1933">
        <f>_xlfn.NUMBERVALUE("-0.000001")</f>
        <v/>
      </c>
      <c r="F1933">
        <f>_xlfn.NUMBERVALUE("0.000116")</f>
        <v/>
      </c>
      <c r="G1933">
        <f>_xlfn.NUMBERVALUE("0.001743")</f>
        <v/>
      </c>
      <c r="H1933">
        <f>_xlfn.NUMBERVALUE("0.000952")</f>
        <v/>
      </c>
      <c r="I1933">
        <f>_xlfn.NUMBERVALUE("-0.001503")</f>
        <v/>
      </c>
      <c r="J1933">
        <f>_xlfn.NUMBERVALUE("0.001069")</f>
        <v/>
      </c>
      <c r="K1933">
        <f>_xlfn.NUMBERVALUE("-0.000049")</f>
        <v/>
      </c>
      <c r="L1933">
        <f>_xlfn.NUMBERVALUE("0.000576")</f>
        <v/>
      </c>
      <c r="M1933">
        <f>_xlfn.NUMBERVALUE("-0.003624")</f>
        <v/>
      </c>
      <c r="N1933">
        <f>_xlfn.NUMBERVALUE("0.000066")</f>
        <v/>
      </c>
      <c r="O1933">
        <f>_xlfn.NUMBERVALUE("-0.003234")</f>
        <v/>
      </c>
      <c r="P1933">
        <f>_xlfn.NUMBERVALUE("0.001296")</f>
        <v/>
      </c>
      <c r="Q1933">
        <f>_xlfn.NUMBERVALUE("-0.000046")</f>
        <v/>
      </c>
      <c r="R1933">
        <f>_xlfn.NUMBERVALUE("-0.000928")</f>
        <v/>
      </c>
      <c r="S1933">
        <f>_xlfn.NUMBERVALUE("0.000459")</f>
        <v/>
      </c>
      <c r="T1933">
        <f>_xlfn.NUMBERVALUE("-0.001030")</f>
        <v/>
      </c>
      <c r="U1933">
        <f>_xlfn.NUMBERVALUE("0.000090")</f>
        <v/>
      </c>
      <c r="V1933">
        <f>_xlfn.NUMBERVALUE("-0.000106")</f>
        <v/>
      </c>
      <c r="W1933">
        <f>_xlfn.NUMBERVALUE("-0.007701")</f>
        <v/>
      </c>
      <c r="X1933">
        <f>_xlfn.NUMBERVALUE("-0.310000")</f>
        <v/>
      </c>
      <c r="Y1933">
        <f>_xlfn.NUMBERVALUE("25.560000")</f>
        <v/>
      </c>
    </row>
    <row r="1934">
      <c r="A1934" s="1" t="n">
        <v>44806</v>
      </c>
      <c r="B1934">
        <f>_xlfn.NUMBERVALUE("0.001482")</f>
        <v/>
      </c>
      <c r="C1934" s="2">
        <f>_xlfn.NUMBERVALUE("-0.000087")</f>
        <v/>
      </c>
      <c r="D1934">
        <f>_xlfn.NUMBERVALUE("-0.000184")</f>
        <v/>
      </c>
      <c r="E1934">
        <f>_xlfn.NUMBERVALUE("-0.000002")</f>
        <v/>
      </c>
      <c r="F1934">
        <f>_xlfn.NUMBERVALUE("-0.000060")</f>
        <v/>
      </c>
      <c r="G1934">
        <f>_xlfn.NUMBERVALUE("-0.000000")</f>
        <v/>
      </c>
      <c r="H1934">
        <f>_xlfn.NUMBERVALUE("0.000002")</f>
        <v/>
      </c>
      <c r="I1934">
        <f>_xlfn.NUMBERVALUE("-0.000046")</f>
        <v/>
      </c>
      <c r="J1934">
        <f>_xlfn.NUMBERVALUE("0.000437")</f>
        <v/>
      </c>
      <c r="K1934">
        <f>_xlfn.NUMBERVALUE("0.000002")</f>
        <v/>
      </c>
      <c r="L1934">
        <f>_xlfn.NUMBERVALUE("0.000753")</f>
        <v/>
      </c>
      <c r="M1934">
        <f>_xlfn.NUMBERVALUE("0.001205")</f>
        <v/>
      </c>
      <c r="N1934">
        <f>_xlfn.NUMBERVALUE("-0.000420")</f>
        <v/>
      </c>
      <c r="O1934">
        <f>_xlfn.NUMBERVALUE("0.001728")</f>
        <v/>
      </c>
      <c r="P1934">
        <f>_xlfn.NUMBERVALUE("0.000090")</f>
        <v/>
      </c>
      <c r="Q1934">
        <f>_xlfn.NUMBERVALUE("0.000350")</f>
        <v/>
      </c>
      <c r="R1934">
        <f>_xlfn.NUMBERVALUE("-0.000413")</f>
        <v/>
      </c>
      <c r="S1934">
        <f>_xlfn.NUMBERVALUE("-0.001039")</f>
        <v/>
      </c>
      <c r="T1934">
        <f>_xlfn.NUMBERVALUE("0.001955")</f>
        <v/>
      </c>
      <c r="U1934">
        <f>_xlfn.NUMBERVALUE("0.002353")</f>
        <v/>
      </c>
      <c r="V1934">
        <f>_xlfn.NUMBERVALUE("-0.000067")</f>
        <v/>
      </c>
      <c r="W1934">
        <f>_xlfn.NUMBERVALUE("-0.004083")</f>
        <v/>
      </c>
      <c r="X1934">
        <f>_xlfn.NUMBERVALUE("-0.090000")</f>
        <v/>
      </c>
      <c r="Y1934">
        <f>_xlfn.NUMBERVALUE("25.470000")</f>
        <v/>
      </c>
    </row>
    <row r="1935">
      <c r="A1935" s="1" t="n">
        <v>44810</v>
      </c>
      <c r="B1935">
        <f>_xlfn.NUMBERVALUE("0.001974")</f>
        <v/>
      </c>
      <c r="C1935" s="2">
        <f>_xlfn.NUMBERVALUE("0.001851")</f>
        <v/>
      </c>
      <c r="D1935">
        <f>_xlfn.NUMBERVALUE("0.001240")</f>
        <v/>
      </c>
      <c r="E1935">
        <f>_xlfn.NUMBERVALUE("0.000593")</f>
        <v/>
      </c>
      <c r="F1935">
        <f>_xlfn.NUMBERVALUE("0.001118")</f>
        <v/>
      </c>
      <c r="G1935">
        <f>_xlfn.NUMBERVALUE("0.000429")</f>
        <v/>
      </c>
      <c r="H1935">
        <f>_xlfn.NUMBERVALUE("-0.002010")</f>
        <v/>
      </c>
      <c r="I1935">
        <f>_xlfn.NUMBERVALUE("0.002235")</f>
        <v/>
      </c>
      <c r="J1935">
        <f>_xlfn.NUMBERVALUE("-0.002365")</f>
        <v/>
      </c>
      <c r="K1935">
        <f>_xlfn.NUMBERVALUE("0.006105")</f>
        <v/>
      </c>
      <c r="L1935">
        <f>_xlfn.NUMBERVALUE("-0.000404")</f>
        <v/>
      </c>
      <c r="M1935">
        <f>_xlfn.NUMBERVALUE("0.000716")</f>
        <v/>
      </c>
      <c r="N1935">
        <f>_xlfn.NUMBERVALUE("-0.001633")</f>
        <v/>
      </c>
      <c r="O1935">
        <f>_xlfn.NUMBERVALUE("0.007040")</f>
        <v/>
      </c>
      <c r="P1935">
        <f>_xlfn.NUMBERVALUE("0.002419")</f>
        <v/>
      </c>
      <c r="Q1935">
        <f>_xlfn.NUMBERVALUE("0.000176")</f>
        <v/>
      </c>
      <c r="R1935">
        <f>_xlfn.NUMBERVALUE("0.000252")</f>
        <v/>
      </c>
      <c r="S1935">
        <f>_xlfn.NUMBERVALUE("0.000775")</f>
        <v/>
      </c>
      <c r="T1935">
        <f>_xlfn.NUMBERVALUE("0.003291")</f>
        <v/>
      </c>
      <c r="U1935">
        <f>_xlfn.NUMBERVALUE("0.002487")</f>
        <v/>
      </c>
      <c r="V1935">
        <f>_xlfn.NUMBERVALUE("0.001711")</f>
        <v/>
      </c>
      <c r="W1935">
        <f>_xlfn.NUMBERVALUE("-0.000051")</f>
        <v/>
      </c>
      <c r="X1935">
        <f>_xlfn.NUMBERVALUE("1.440000")</f>
        <v/>
      </c>
      <c r="Y1935">
        <f>_xlfn.NUMBERVALUE("26.910000")</f>
        <v/>
      </c>
    </row>
    <row r="1936">
      <c r="A1936" s="1" t="n">
        <v>44811</v>
      </c>
      <c r="B1936">
        <f>_xlfn.NUMBERVALUE("0.007911")</f>
        <v/>
      </c>
      <c r="C1936" s="2">
        <f>_xlfn.NUMBERVALUE("0.001383")</f>
        <v/>
      </c>
      <c r="D1936">
        <f>_xlfn.NUMBERVALUE("0.002979")</f>
        <v/>
      </c>
      <c r="E1936">
        <f>_xlfn.NUMBERVALUE("0.002229")</f>
        <v/>
      </c>
      <c r="F1936">
        <f>_xlfn.NUMBERVALUE("0.001154")</f>
        <v/>
      </c>
      <c r="G1936">
        <f>_xlfn.NUMBERVALUE("-0.000020")</f>
        <v/>
      </c>
      <c r="H1936">
        <f>_xlfn.NUMBERVALUE("0.000350")</f>
        <v/>
      </c>
      <c r="I1936">
        <f>_xlfn.NUMBERVALUE("0.001325")</f>
        <v/>
      </c>
      <c r="J1936">
        <f>_xlfn.NUMBERVALUE("-0.001789")</f>
        <v/>
      </c>
      <c r="K1936">
        <f>_xlfn.NUMBERVALUE("-0.000929")</f>
        <v/>
      </c>
      <c r="L1936">
        <f>_xlfn.NUMBERVALUE("0.000277")</f>
        <v/>
      </c>
      <c r="M1936">
        <f>_xlfn.NUMBERVALUE("0.004077")</f>
        <v/>
      </c>
      <c r="N1936">
        <f>_xlfn.NUMBERVALUE("0.002490")</f>
        <v/>
      </c>
      <c r="O1936">
        <f>_xlfn.NUMBERVALUE("0.002990")</f>
        <v/>
      </c>
      <c r="P1936">
        <f>_xlfn.NUMBERVALUE("0.001020")</f>
        <v/>
      </c>
      <c r="Q1936">
        <f>_xlfn.NUMBERVALUE("0.003019")</f>
        <v/>
      </c>
      <c r="R1936">
        <f>_xlfn.NUMBERVALUE("-0.000023")</f>
        <v/>
      </c>
      <c r="S1936">
        <f>_xlfn.NUMBERVALUE("0.000314")</f>
        <v/>
      </c>
      <c r="T1936">
        <f>_xlfn.NUMBERVALUE("-0.017846")</f>
        <v/>
      </c>
      <c r="U1936">
        <f>_xlfn.NUMBERVALUE("0.000771")</f>
        <v/>
      </c>
      <c r="V1936">
        <f>_xlfn.NUMBERVALUE("0.000726")</f>
        <v/>
      </c>
      <c r="W1936">
        <f>_xlfn.NUMBERVALUE("0.017773")</f>
        <v/>
      </c>
      <c r="X1936">
        <f>_xlfn.NUMBERVALUE("-2.270000")</f>
        <v/>
      </c>
      <c r="Y1936">
        <f>_xlfn.NUMBERVALUE("24.640000")</f>
        <v/>
      </c>
    </row>
    <row r="1937">
      <c r="A1937" s="1" t="n">
        <v>44812</v>
      </c>
      <c r="B1937">
        <f>_xlfn.NUMBERVALUE("0.003612")</f>
        <v/>
      </c>
      <c r="C1937" s="2">
        <f>_xlfn.NUMBERVALUE("0.001876")</f>
        <v/>
      </c>
      <c r="D1937">
        <f>_xlfn.NUMBERVALUE("0.002306")</f>
        <v/>
      </c>
      <c r="E1937">
        <f>_xlfn.NUMBERVALUE("0.002191")</f>
        <v/>
      </c>
      <c r="F1937">
        <f>_xlfn.NUMBERVALUE("0.001368")</f>
        <v/>
      </c>
      <c r="G1937">
        <f>_xlfn.NUMBERVALUE("0.000179")</f>
        <v/>
      </c>
      <c r="H1937">
        <f>_xlfn.NUMBERVALUE("0.000713")</f>
        <v/>
      </c>
      <c r="I1937">
        <f>_xlfn.NUMBERVALUE("0.001529")</f>
        <v/>
      </c>
      <c r="J1937">
        <f>_xlfn.NUMBERVALUE("0.002999")</f>
        <v/>
      </c>
      <c r="K1937">
        <f>_xlfn.NUMBERVALUE("0.004011")</f>
        <v/>
      </c>
      <c r="L1937">
        <f>_xlfn.NUMBERVALUE("0.002040")</f>
        <v/>
      </c>
      <c r="M1937">
        <f>_xlfn.NUMBERVALUE("0.003651")</f>
        <v/>
      </c>
      <c r="N1937">
        <f>_xlfn.NUMBERVALUE("0.000166")</f>
        <v/>
      </c>
      <c r="O1937">
        <f>_xlfn.NUMBERVALUE("0.001048")</f>
        <v/>
      </c>
      <c r="P1937">
        <f>_xlfn.NUMBERVALUE("0.004797")</f>
        <v/>
      </c>
      <c r="Q1937">
        <f>_xlfn.NUMBERVALUE("0.000439")</f>
        <v/>
      </c>
      <c r="R1937">
        <f>_xlfn.NUMBERVALUE("0.000016")</f>
        <v/>
      </c>
      <c r="S1937">
        <f>_xlfn.NUMBERVALUE("0.000077")</f>
        <v/>
      </c>
      <c r="T1937">
        <f>_xlfn.NUMBERVALUE("0.001453")</f>
        <v/>
      </c>
      <c r="U1937">
        <f>_xlfn.NUMBERVALUE("0.003960")</f>
        <v/>
      </c>
      <c r="V1937">
        <f>_xlfn.NUMBERVALUE("0.001766")</f>
        <v/>
      </c>
      <c r="W1937">
        <f>_xlfn.NUMBERVALUE("0.002035")</f>
        <v/>
      </c>
      <c r="X1937">
        <f>_xlfn.NUMBERVALUE("-1.030000")</f>
        <v/>
      </c>
      <c r="Y1937">
        <f>_xlfn.NUMBERVALUE("23.610000")</f>
        <v/>
      </c>
    </row>
    <row r="1938">
      <c r="A1938" s="1" t="n">
        <v>44813</v>
      </c>
      <c r="B1938">
        <f>_xlfn.NUMBERVALUE("-0.003024")</f>
        <v/>
      </c>
      <c r="C1938" s="2">
        <f>_xlfn.NUMBERVALUE("-0.001078")</f>
        <v/>
      </c>
      <c r="D1938">
        <f>_xlfn.NUMBERVALUE("0.001302")</f>
        <v/>
      </c>
      <c r="E1938">
        <f>_xlfn.NUMBERVALUE("-0.004718")</f>
        <v/>
      </c>
      <c r="F1938">
        <f>_xlfn.NUMBERVALUE("0.000824")</f>
        <v/>
      </c>
      <c r="G1938">
        <f>_xlfn.NUMBERVALUE("0.000894")</f>
        <v/>
      </c>
      <c r="H1938">
        <f>_xlfn.NUMBERVALUE("0.000807")</f>
        <v/>
      </c>
      <c r="I1938">
        <f>_xlfn.NUMBERVALUE("-0.001298")</f>
        <v/>
      </c>
      <c r="J1938">
        <f>_xlfn.NUMBERVALUE("0.000634")</f>
        <v/>
      </c>
      <c r="K1938">
        <f>_xlfn.NUMBERVALUE("-0.000649")</f>
        <v/>
      </c>
      <c r="L1938">
        <f>_xlfn.NUMBERVALUE("0.002370")</f>
        <v/>
      </c>
      <c r="M1938">
        <f>_xlfn.NUMBERVALUE("-0.002496")</f>
        <v/>
      </c>
      <c r="N1938">
        <f>_xlfn.NUMBERVALUE("0.000218")</f>
        <v/>
      </c>
      <c r="O1938">
        <f>_xlfn.NUMBERVALUE("0.001984")</f>
        <v/>
      </c>
      <c r="P1938">
        <f>_xlfn.NUMBERVALUE("0.000746")</f>
        <v/>
      </c>
      <c r="Q1938">
        <f>_xlfn.NUMBERVALUE("-0.000073")</f>
        <v/>
      </c>
      <c r="R1938">
        <f>_xlfn.NUMBERVALUE("-0.001093")</f>
        <v/>
      </c>
      <c r="S1938">
        <f>_xlfn.NUMBERVALUE("-0.000905")</f>
        <v/>
      </c>
      <c r="T1938">
        <f>_xlfn.NUMBERVALUE("0.000868")</f>
        <v/>
      </c>
      <c r="U1938">
        <f>_xlfn.NUMBERVALUE("-0.000498")</f>
        <v/>
      </c>
      <c r="V1938">
        <f>_xlfn.NUMBERVALUE("-0.001796")</f>
        <v/>
      </c>
      <c r="W1938">
        <f>_xlfn.NUMBERVALUE("0.020962")</f>
        <v/>
      </c>
      <c r="X1938">
        <f>_xlfn.NUMBERVALUE("-0.820000")</f>
        <v/>
      </c>
      <c r="Y1938">
        <f>_xlfn.NUMBERVALUE("22.790000")</f>
        <v/>
      </c>
    </row>
    <row r="1939">
      <c r="A1939" s="1" t="n">
        <v>44816</v>
      </c>
      <c r="B1939">
        <f>_xlfn.NUMBERVALUE("0.001100")</f>
        <v/>
      </c>
      <c r="C1939" s="2">
        <f>_xlfn.NUMBERVALUE("-0.000608")</f>
        <v/>
      </c>
      <c r="D1939">
        <f>_xlfn.NUMBERVALUE("-0.002296")</f>
        <v/>
      </c>
      <c r="E1939">
        <f>_xlfn.NUMBERVALUE("-0.001213")</f>
        <v/>
      </c>
      <c r="F1939">
        <f>_xlfn.NUMBERVALUE("-0.000003")</f>
        <v/>
      </c>
      <c r="G1939">
        <f>_xlfn.NUMBERVALUE("0.000381")</f>
        <v/>
      </c>
      <c r="H1939">
        <f>_xlfn.NUMBERVALUE("0.000976")</f>
        <v/>
      </c>
      <c r="I1939">
        <f>_xlfn.NUMBERVALUE("-0.000077")</f>
        <v/>
      </c>
      <c r="J1939">
        <f>_xlfn.NUMBERVALUE("0.000574")</f>
        <v/>
      </c>
      <c r="K1939">
        <f>_xlfn.NUMBERVALUE("-0.011491")</f>
        <v/>
      </c>
      <c r="L1939">
        <f>_xlfn.NUMBERVALUE("0.001001")</f>
        <v/>
      </c>
      <c r="M1939">
        <f>_xlfn.NUMBERVALUE("0.001263")</f>
        <v/>
      </c>
      <c r="N1939">
        <f>_xlfn.NUMBERVALUE("-0.000654")</f>
        <v/>
      </c>
      <c r="O1939">
        <f>_xlfn.NUMBERVALUE("0.000423")</f>
        <v/>
      </c>
      <c r="P1939">
        <f>_xlfn.NUMBERVALUE("0.000483")</f>
        <v/>
      </c>
      <c r="Q1939">
        <f>_xlfn.NUMBERVALUE("0.000424")</f>
        <v/>
      </c>
      <c r="R1939">
        <f>_xlfn.NUMBERVALUE("-0.001258")</f>
        <v/>
      </c>
      <c r="S1939">
        <f>_xlfn.NUMBERVALUE("0.001420")</f>
        <v/>
      </c>
      <c r="T1939">
        <f>_xlfn.NUMBERVALUE("0.000039")</f>
        <v/>
      </c>
      <c r="U1939">
        <f>_xlfn.NUMBERVALUE("0.000416")</f>
        <v/>
      </c>
      <c r="V1939">
        <f>_xlfn.NUMBERVALUE("-0.000720")</f>
        <v/>
      </c>
      <c r="W1939">
        <f>_xlfn.NUMBERVALUE("0.008178")</f>
        <v/>
      </c>
      <c r="X1939">
        <f>_xlfn.NUMBERVALUE("1.080000")</f>
        <v/>
      </c>
      <c r="Y1939">
        <f>_xlfn.NUMBERVALUE("23.870000")</f>
        <v/>
      </c>
    </row>
    <row r="1940">
      <c r="A1940" s="1" t="n">
        <v>44817</v>
      </c>
      <c r="B1940">
        <f>_xlfn.NUMBERVALUE("-0.016554")</f>
        <v/>
      </c>
      <c r="C1940" s="2">
        <f>_xlfn.NUMBERVALUE("-0.012405")</f>
        <v/>
      </c>
      <c r="D1940">
        <f>_xlfn.NUMBERVALUE("-0.011921")</f>
        <v/>
      </c>
      <c r="E1940">
        <f>_xlfn.NUMBERVALUE("-0.005893")</f>
        <v/>
      </c>
      <c r="F1940">
        <f>_xlfn.NUMBERVALUE("-0.002269")</f>
        <v/>
      </c>
      <c r="G1940">
        <f>_xlfn.NUMBERVALUE("-0.003763")</f>
        <v/>
      </c>
      <c r="H1940">
        <f>_xlfn.NUMBERVALUE("0.000156")</f>
        <v/>
      </c>
      <c r="I1940">
        <f>_xlfn.NUMBERVALUE("-0.008972")</f>
        <v/>
      </c>
      <c r="J1940">
        <f>_xlfn.NUMBERVALUE("-0.000387")</f>
        <v/>
      </c>
      <c r="K1940">
        <f>_xlfn.NUMBERVALUE("0.000212")</f>
        <v/>
      </c>
      <c r="L1940">
        <f>_xlfn.NUMBERVALUE("0.001263")</f>
        <v/>
      </c>
      <c r="M1940">
        <f>_xlfn.NUMBERVALUE("-0.008094")</f>
        <v/>
      </c>
      <c r="N1940">
        <f>_xlfn.NUMBERVALUE("-0.000511")</f>
        <v/>
      </c>
      <c r="O1940">
        <f>_xlfn.NUMBERVALUE("-0.002680")</f>
        <v/>
      </c>
      <c r="P1940">
        <f>_xlfn.NUMBERVALUE("-0.010969")</f>
        <v/>
      </c>
      <c r="Q1940">
        <f>_xlfn.NUMBERVALUE("-0.009426")</f>
        <v/>
      </c>
      <c r="R1940">
        <f>_xlfn.NUMBERVALUE("-0.015456")</f>
        <v/>
      </c>
      <c r="S1940">
        <f>_xlfn.NUMBERVALUE("-0.010375")</f>
        <v/>
      </c>
      <c r="T1940">
        <f>_xlfn.NUMBERVALUE("-0.005068")</f>
        <v/>
      </c>
      <c r="U1940">
        <f>_xlfn.NUMBERVALUE("-0.012191")</f>
        <v/>
      </c>
      <c r="V1940">
        <f>_xlfn.NUMBERVALUE("-0.012005")</f>
        <v/>
      </c>
      <c r="W1940">
        <f>_xlfn.NUMBERVALUE("-0.043971")</f>
        <v/>
      </c>
      <c r="X1940">
        <f>_xlfn.NUMBERVALUE("3.400000")</f>
        <v/>
      </c>
      <c r="Y1940">
        <f>_xlfn.NUMBERVALUE("27.270000")</f>
        <v/>
      </c>
    </row>
    <row r="1941">
      <c r="A1941" s="1" t="n">
        <v>44818</v>
      </c>
      <c r="B1941">
        <f>_xlfn.NUMBERVALUE("0.001941")</f>
        <v/>
      </c>
      <c r="C1941" s="2">
        <f>_xlfn.NUMBERVALUE("0.003437")</f>
        <v/>
      </c>
      <c r="D1941">
        <f>_xlfn.NUMBERVALUE("0.002874")</f>
        <v/>
      </c>
      <c r="E1941">
        <f>_xlfn.NUMBERVALUE("0.001363")</f>
        <v/>
      </c>
      <c r="F1941">
        <f>_xlfn.NUMBERVALUE("0.000114")</f>
        <v/>
      </c>
      <c r="G1941">
        <f>_xlfn.NUMBERVALUE("0.000115")</f>
        <v/>
      </c>
      <c r="H1941">
        <f>_xlfn.NUMBERVALUE("0.000698")</f>
        <v/>
      </c>
      <c r="I1941">
        <f>_xlfn.NUMBERVALUE("0.002719")</f>
        <v/>
      </c>
      <c r="J1941">
        <f>_xlfn.NUMBERVALUE("0.001784")</f>
        <v/>
      </c>
      <c r="K1941">
        <f>_xlfn.NUMBERVALUE("0.000521")</f>
        <v/>
      </c>
      <c r="L1941">
        <f>_xlfn.NUMBERVALUE("0.002823")</f>
        <v/>
      </c>
      <c r="M1941">
        <f>_xlfn.NUMBERVALUE("-0.025176")</f>
        <v/>
      </c>
      <c r="N1941">
        <f>_xlfn.NUMBERVALUE("-0.000095")</f>
        <v/>
      </c>
      <c r="O1941">
        <f>_xlfn.NUMBERVALUE("-0.003799")</f>
        <v/>
      </c>
      <c r="P1941">
        <f>_xlfn.NUMBERVALUE("0.002318")</f>
        <v/>
      </c>
      <c r="Q1941">
        <f>_xlfn.NUMBERVALUE("-0.013694")</f>
        <v/>
      </c>
      <c r="R1941">
        <f>_xlfn.NUMBERVALUE("0.003365")</f>
        <v/>
      </c>
      <c r="S1941">
        <f>_xlfn.NUMBERVALUE("0.003392")</f>
        <v/>
      </c>
      <c r="T1941">
        <f>_xlfn.NUMBERVALUE("0.000335")</f>
        <v/>
      </c>
      <c r="U1941">
        <f>_xlfn.NUMBERVALUE("0.006815")</f>
        <v/>
      </c>
      <c r="V1941">
        <f>_xlfn.NUMBERVALUE("0.003304")</f>
        <v/>
      </c>
      <c r="W1941">
        <f>_xlfn.NUMBERVALUE("0.005937")</f>
        <v/>
      </c>
      <c r="X1941">
        <f>_xlfn.NUMBERVALUE("-1.110000")</f>
        <v/>
      </c>
      <c r="Y1941">
        <f>_xlfn.NUMBERVALUE("26.160000")</f>
        <v/>
      </c>
    </row>
    <row r="1942">
      <c r="A1942" s="1" t="n">
        <v>44819</v>
      </c>
      <c r="B1942">
        <f>_xlfn.NUMBERVALUE("-0.000467")</f>
        <v/>
      </c>
      <c r="C1942" s="2">
        <f>_xlfn.NUMBERVALUE("0.000299")</f>
        <v/>
      </c>
      <c r="D1942">
        <f>_xlfn.NUMBERVALUE("0.001213")</f>
        <v/>
      </c>
      <c r="E1942">
        <f>_xlfn.NUMBERVALUE("0.001213")</f>
        <v/>
      </c>
      <c r="F1942">
        <f>_xlfn.NUMBERVALUE("-0.006489")</f>
        <v/>
      </c>
      <c r="G1942">
        <f>_xlfn.NUMBERVALUE("0.001699")</f>
        <v/>
      </c>
      <c r="H1942">
        <f>_xlfn.NUMBERVALUE("-0.000713")</f>
        <v/>
      </c>
      <c r="I1942">
        <f>_xlfn.NUMBERVALUE("0.000786")</f>
        <v/>
      </c>
      <c r="J1942">
        <f>_xlfn.NUMBERVALUE("0.000336")</f>
        <v/>
      </c>
      <c r="K1942">
        <f>_xlfn.NUMBERVALUE("-0.002128")</f>
        <v/>
      </c>
      <c r="L1942">
        <f>_xlfn.NUMBERVALUE("0.000756")</f>
        <v/>
      </c>
      <c r="M1942">
        <f>_xlfn.NUMBERVALUE("0.027904")</f>
        <v/>
      </c>
      <c r="N1942">
        <f>_xlfn.NUMBERVALUE("0.000279")</f>
        <v/>
      </c>
      <c r="O1942">
        <f>_xlfn.NUMBERVALUE("0.000136")</f>
        <v/>
      </c>
      <c r="P1942">
        <f>_xlfn.NUMBERVALUE("0.000762")</f>
        <v/>
      </c>
      <c r="Q1942">
        <f>_xlfn.NUMBERVALUE("0.019021")</f>
        <v/>
      </c>
      <c r="R1942">
        <f>_xlfn.NUMBERVALUE("0.000567")</f>
        <v/>
      </c>
      <c r="S1942">
        <f>_xlfn.NUMBERVALUE("-0.000991")</f>
        <v/>
      </c>
      <c r="T1942">
        <f>_xlfn.NUMBERVALUE("-0.003011")</f>
        <v/>
      </c>
      <c r="U1942">
        <f>_xlfn.NUMBERVALUE("-0.001941")</f>
        <v/>
      </c>
      <c r="V1942">
        <f>_xlfn.NUMBERVALUE("0.001360")</f>
        <v/>
      </c>
      <c r="W1942">
        <f>_xlfn.NUMBERVALUE("-0.009727")</f>
        <v/>
      </c>
      <c r="X1942">
        <f>_xlfn.NUMBERVALUE("0.110000")</f>
        <v/>
      </c>
      <c r="Y1942">
        <f>_xlfn.NUMBERVALUE("26.270000")</f>
        <v/>
      </c>
    </row>
    <row r="1943">
      <c r="A1943" s="1" t="n">
        <v>44820</v>
      </c>
      <c r="B1943">
        <f>_xlfn.NUMBERVALUE("-0.003070")</f>
        <v/>
      </c>
      <c r="C1943" s="2">
        <f>_xlfn.NUMBERVALUE("0.000049")</f>
        <v/>
      </c>
      <c r="D1943">
        <f>_xlfn.NUMBERVALUE("0.001795")</f>
        <v/>
      </c>
      <c r="E1943">
        <f>_xlfn.NUMBERVALUE("0.001554")</f>
        <v/>
      </c>
      <c r="F1943">
        <f>_xlfn.NUMBERVALUE("0.002433")</f>
        <v/>
      </c>
      <c r="G1943">
        <f>_xlfn.NUMBERVALUE("0.001012")</f>
        <v/>
      </c>
      <c r="H1943">
        <f>_xlfn.NUMBERVALUE("0.000579")</f>
        <v/>
      </c>
      <c r="I1943">
        <f>_xlfn.NUMBERVALUE("-0.000024")</f>
        <v/>
      </c>
      <c r="J1943">
        <f>_xlfn.NUMBERVALUE("-0.000098")</f>
        <v/>
      </c>
      <c r="K1943">
        <f>_xlfn.NUMBERVALUE("-0.000996")</f>
        <v/>
      </c>
      <c r="L1943">
        <f>_xlfn.NUMBERVALUE("-0.001075")</f>
        <v/>
      </c>
      <c r="M1943">
        <f>_xlfn.NUMBERVALUE("-0.002902")</f>
        <v/>
      </c>
      <c r="N1943">
        <f>_xlfn.NUMBERVALUE("0.016336")</f>
        <v/>
      </c>
      <c r="O1943">
        <f>_xlfn.NUMBERVALUE("-0.000263")</f>
        <v/>
      </c>
      <c r="P1943">
        <f>_xlfn.NUMBERVALUE("-0.000278")</f>
        <v/>
      </c>
      <c r="Q1943">
        <f>_xlfn.NUMBERVALUE("-0.007115")</f>
        <v/>
      </c>
      <c r="R1943">
        <f>_xlfn.NUMBERVALUE("0.000740")</f>
        <v/>
      </c>
      <c r="S1943">
        <f>_xlfn.NUMBERVALUE("0.000599")</f>
        <v/>
      </c>
      <c r="T1943">
        <f>_xlfn.NUMBERVALUE("-0.000121")</f>
        <v/>
      </c>
      <c r="U1943">
        <f>_xlfn.NUMBERVALUE("-0.001912")</f>
        <v/>
      </c>
      <c r="V1943">
        <f>_xlfn.NUMBERVALUE("-0.000545")</f>
        <v/>
      </c>
      <c r="W1943">
        <f>_xlfn.NUMBERVALUE("-0.014580")</f>
        <v/>
      </c>
      <c r="X1943">
        <f>_xlfn.NUMBERVALUE("0.030000")</f>
        <v/>
      </c>
      <c r="Y1943">
        <f>_xlfn.NUMBERVALUE("26.300000")</f>
        <v/>
      </c>
    </row>
    <row r="1944">
      <c r="A1944" s="1" t="n">
        <v>44823</v>
      </c>
      <c r="B1944">
        <f>_xlfn.NUMBERVALUE("0.006737")</f>
        <v/>
      </c>
      <c r="C1944" s="2">
        <f>_xlfn.NUMBERVALUE("0.002409")</f>
        <v/>
      </c>
      <c r="D1944">
        <f>_xlfn.NUMBERVALUE("0.000010")</f>
        <v/>
      </c>
      <c r="E1944">
        <f>_xlfn.NUMBERVALUE("0.002077")</f>
        <v/>
      </c>
      <c r="F1944">
        <f>_xlfn.NUMBERVALUE("0.001085")</f>
        <v/>
      </c>
      <c r="G1944">
        <f>_xlfn.NUMBERVALUE("0.001596")</f>
        <v/>
      </c>
      <c r="H1944">
        <f>_xlfn.NUMBERVALUE("-0.000238")</f>
        <v/>
      </c>
      <c r="I1944">
        <f>_xlfn.NUMBERVALUE("0.001257")</f>
        <v/>
      </c>
      <c r="J1944">
        <f>_xlfn.NUMBERVALUE("0.001173")</f>
        <v/>
      </c>
      <c r="K1944">
        <f>_xlfn.NUMBERVALUE("0.001637")</f>
        <v/>
      </c>
      <c r="L1944">
        <f>_xlfn.NUMBERVALUE("0.001627")</f>
        <v/>
      </c>
      <c r="M1944">
        <f>_xlfn.NUMBERVALUE("0.002295")</f>
        <v/>
      </c>
      <c r="N1944">
        <f>_xlfn.NUMBERVALUE("0.004907")</f>
        <v/>
      </c>
      <c r="O1944">
        <f>_xlfn.NUMBERVALUE("0.004557")</f>
        <v/>
      </c>
      <c r="P1944">
        <f>_xlfn.NUMBERVALUE("0.003447")</f>
        <v/>
      </c>
      <c r="Q1944">
        <f>_xlfn.NUMBERVALUE("0.003777")</f>
        <v/>
      </c>
      <c r="R1944">
        <f>_xlfn.NUMBERVALUE("0.002171")</f>
        <v/>
      </c>
      <c r="S1944">
        <f>_xlfn.NUMBERVALUE("0.004361")</f>
        <v/>
      </c>
      <c r="T1944">
        <f>_xlfn.NUMBERVALUE("0.004380")</f>
        <v/>
      </c>
      <c r="U1944">
        <f>_xlfn.NUMBERVALUE("0.000699")</f>
        <v/>
      </c>
      <c r="V1944">
        <f>_xlfn.NUMBERVALUE("0.002514")</f>
        <v/>
      </c>
      <c r="W1944">
        <f>_xlfn.NUMBERVALUE("0.006853")</f>
        <v/>
      </c>
      <c r="X1944">
        <f>_xlfn.NUMBERVALUE("-0.540000")</f>
        <v/>
      </c>
      <c r="Y1944">
        <f>_xlfn.NUMBERVALUE("25.760000")</f>
        <v/>
      </c>
    </row>
    <row r="1945">
      <c r="A1945" s="1" t="n">
        <v>44824</v>
      </c>
      <c r="B1945">
        <f>_xlfn.NUMBERVALUE("-0.000015")</f>
        <v/>
      </c>
      <c r="C1945" s="2">
        <f>_xlfn.NUMBERVALUE("-0.001288")</f>
        <v/>
      </c>
      <c r="D1945">
        <f>_xlfn.NUMBERVALUE("0.001180")</f>
        <v/>
      </c>
      <c r="E1945">
        <f>_xlfn.NUMBERVALUE("-0.002345")</f>
        <v/>
      </c>
      <c r="F1945">
        <f>_xlfn.NUMBERVALUE("0.000525")</f>
        <v/>
      </c>
      <c r="G1945">
        <f>_xlfn.NUMBERVALUE("-0.001033")</f>
        <v/>
      </c>
      <c r="H1945">
        <f>_xlfn.NUMBERVALUE("-0.000607")</f>
        <v/>
      </c>
      <c r="I1945">
        <f>_xlfn.NUMBERVALUE("-0.001144")</f>
        <v/>
      </c>
      <c r="J1945">
        <f>_xlfn.NUMBERVALUE("-0.001698")</f>
        <v/>
      </c>
      <c r="K1945">
        <f>_xlfn.NUMBERVALUE("0.001652")</f>
        <v/>
      </c>
      <c r="L1945">
        <f>_xlfn.NUMBERVALUE("-0.000900")</f>
        <v/>
      </c>
      <c r="M1945">
        <f>_xlfn.NUMBERVALUE("-0.001538")</f>
        <v/>
      </c>
      <c r="N1945">
        <f>_xlfn.NUMBERVALUE("-0.000357")</f>
        <v/>
      </c>
      <c r="O1945">
        <f>_xlfn.NUMBERVALUE("-0.000642")</f>
        <v/>
      </c>
      <c r="P1945">
        <f>_xlfn.NUMBERVALUE("-0.000979")</f>
        <v/>
      </c>
      <c r="Q1945">
        <f>_xlfn.NUMBERVALUE("-0.000890")</f>
        <v/>
      </c>
      <c r="R1945">
        <f>_xlfn.NUMBERVALUE("-0.002843")</f>
        <v/>
      </c>
      <c r="S1945">
        <f>_xlfn.NUMBERVALUE("-0.000775")</f>
        <v/>
      </c>
      <c r="T1945">
        <f>_xlfn.NUMBERVALUE("-0.001466")</f>
        <v/>
      </c>
      <c r="U1945">
        <f>_xlfn.NUMBERVALUE("-0.001310")</f>
        <v/>
      </c>
      <c r="V1945">
        <f>_xlfn.NUMBERVALUE("-0.001375")</f>
        <v/>
      </c>
      <c r="W1945">
        <f>_xlfn.NUMBERVALUE("-0.006755")</f>
        <v/>
      </c>
      <c r="X1945">
        <f>_xlfn.NUMBERVALUE("1.400000")</f>
        <v/>
      </c>
      <c r="Y1945">
        <f>_xlfn.NUMBERVALUE("27.160000")</f>
        <v/>
      </c>
    </row>
    <row r="1946">
      <c r="A1946" s="1" t="n">
        <v>44825</v>
      </c>
      <c r="B1946">
        <f>_xlfn.NUMBERVALUE("0.001281")</f>
        <v/>
      </c>
      <c r="C1946" s="2">
        <f>_xlfn.NUMBERVALUE("0.000094")</f>
        <v/>
      </c>
      <c r="D1946">
        <f>_xlfn.NUMBERVALUE("-0.001588")</f>
        <v/>
      </c>
      <c r="E1946">
        <f>_xlfn.NUMBERVALUE("0.000691")</f>
        <v/>
      </c>
      <c r="F1946">
        <f>_xlfn.NUMBERVALUE("0.001429")</f>
        <v/>
      </c>
      <c r="G1946">
        <f>_xlfn.NUMBERVALUE("0.002409")</f>
        <v/>
      </c>
      <c r="H1946">
        <f>_xlfn.NUMBERVALUE("-0.003388")</f>
        <v/>
      </c>
      <c r="I1946">
        <f>_xlfn.NUMBERVALUE("0.000802")</f>
        <v/>
      </c>
      <c r="J1946">
        <f>_xlfn.NUMBERVALUE("-0.002195")</f>
        <v/>
      </c>
      <c r="K1946">
        <f>_xlfn.NUMBERVALUE("-0.001596")</f>
        <v/>
      </c>
      <c r="L1946">
        <f>_xlfn.NUMBERVALUE("0.000575")</f>
        <v/>
      </c>
      <c r="M1946">
        <f>_xlfn.NUMBERVALUE("-0.033308")</f>
        <v/>
      </c>
      <c r="N1946">
        <f>_xlfn.NUMBERVALUE("-0.007742")</f>
        <v/>
      </c>
      <c r="O1946">
        <f>_xlfn.NUMBERVALUE("0.002797")</f>
        <v/>
      </c>
      <c r="P1946">
        <f>_xlfn.NUMBERVALUE("-0.000273")</f>
        <v/>
      </c>
      <c r="Q1946">
        <f>_xlfn.NUMBERVALUE("-0.000496")</f>
        <v/>
      </c>
      <c r="R1946">
        <f>_xlfn.NUMBERVALUE("0.004293")</f>
        <v/>
      </c>
      <c r="S1946">
        <f>_xlfn.NUMBERVALUE("0.000053")</f>
        <v/>
      </c>
      <c r="T1946">
        <f>_xlfn.NUMBERVALUE("0.000358")</f>
        <v/>
      </c>
      <c r="U1946">
        <f>_xlfn.NUMBERVALUE("-0.001359")</f>
        <v/>
      </c>
      <c r="V1946">
        <f>_xlfn.NUMBERVALUE("-0.000765")</f>
        <v/>
      </c>
      <c r="W1946">
        <f>_xlfn.NUMBERVALUE("-0.017521")</f>
        <v/>
      </c>
      <c r="X1946">
        <f>_xlfn.NUMBERVALUE("0.830000")</f>
        <v/>
      </c>
      <c r="Y1946">
        <f>_xlfn.NUMBERVALUE("27.990000")</f>
        <v/>
      </c>
    </row>
    <row r="1947">
      <c r="A1947" s="1" t="n">
        <v>44826</v>
      </c>
      <c r="B1947">
        <f>_xlfn.NUMBERVALUE("-0.001649")</f>
        <v/>
      </c>
      <c r="C1947" s="2">
        <f>_xlfn.NUMBERVALUE("0.002437")</f>
        <v/>
      </c>
      <c r="D1947">
        <f>_xlfn.NUMBERVALUE("0.000840")</f>
        <v/>
      </c>
      <c r="E1947">
        <f>_xlfn.NUMBERVALUE("0.002243")</f>
        <v/>
      </c>
      <c r="F1947">
        <f>_xlfn.NUMBERVALUE("0.001903")</f>
        <v/>
      </c>
      <c r="G1947">
        <f>_xlfn.NUMBERVALUE("0.001174")</f>
        <v/>
      </c>
      <c r="H1947">
        <f>_xlfn.NUMBERVALUE("0.003185")</f>
        <v/>
      </c>
      <c r="I1947">
        <f>_xlfn.NUMBERVALUE("0.002266")</f>
        <v/>
      </c>
      <c r="J1947">
        <f>_xlfn.NUMBERVALUE("0.003256")</f>
        <v/>
      </c>
      <c r="K1947">
        <f>_xlfn.NUMBERVALUE("0.001879")</f>
        <v/>
      </c>
      <c r="L1947">
        <f>_xlfn.NUMBERVALUE("-0.004406")</f>
        <v/>
      </c>
      <c r="M1947">
        <f>_xlfn.NUMBERVALUE("0.030021")</f>
        <v/>
      </c>
      <c r="N1947">
        <f>_xlfn.NUMBERVALUE("0.008501")</f>
        <v/>
      </c>
      <c r="O1947">
        <f>_xlfn.NUMBERVALUE("0.003710")</f>
        <v/>
      </c>
      <c r="P1947">
        <f>_xlfn.NUMBERVALUE("0.000123")</f>
        <v/>
      </c>
      <c r="Q1947">
        <f>_xlfn.NUMBERVALUE("0.000106")</f>
        <v/>
      </c>
      <c r="R1947">
        <f>_xlfn.NUMBERVALUE("0.002235")</f>
        <v/>
      </c>
      <c r="S1947">
        <f>_xlfn.NUMBERVALUE("0.000961")</f>
        <v/>
      </c>
      <c r="T1947">
        <f>_xlfn.NUMBERVALUE("-0.000272")</f>
        <v/>
      </c>
      <c r="U1947">
        <f>_xlfn.NUMBERVALUE("0.001395")</f>
        <v/>
      </c>
      <c r="V1947">
        <f>_xlfn.NUMBERVALUE("0.003792")</f>
        <v/>
      </c>
      <c r="W1947">
        <f>_xlfn.NUMBERVALUE("-0.003065")</f>
        <v/>
      </c>
      <c r="X1947">
        <f>_xlfn.NUMBERVALUE("-0.640000")</f>
        <v/>
      </c>
      <c r="Y1947">
        <f>_xlfn.NUMBERVALUE("27.350000")</f>
        <v/>
      </c>
    </row>
    <row r="1948">
      <c r="A1948" s="1" t="n">
        <v>44827</v>
      </c>
      <c r="B1948">
        <f>_xlfn.NUMBERVALUE("0.000587")</f>
        <v/>
      </c>
      <c r="C1948" s="2">
        <f>_xlfn.NUMBERVALUE("-0.003860")</f>
        <v/>
      </c>
      <c r="D1948">
        <f>_xlfn.NUMBERVALUE("-0.002752")</f>
        <v/>
      </c>
      <c r="E1948">
        <f>_xlfn.NUMBERVALUE("-0.008447")</f>
        <v/>
      </c>
      <c r="F1948">
        <f>_xlfn.NUMBERVALUE("-0.003342")</f>
        <v/>
      </c>
      <c r="G1948">
        <f>_xlfn.NUMBERVALUE("-0.002632")</f>
        <v/>
      </c>
      <c r="H1948">
        <f>_xlfn.NUMBERVALUE("-0.000552")</f>
        <v/>
      </c>
      <c r="I1948">
        <f>_xlfn.NUMBERVALUE("-0.005217")</f>
        <v/>
      </c>
      <c r="J1948">
        <f>_xlfn.NUMBERVALUE("-0.000803")</f>
        <v/>
      </c>
      <c r="K1948">
        <f>_xlfn.NUMBERVALUE("-0.003937")</f>
        <v/>
      </c>
      <c r="L1948">
        <f>_xlfn.NUMBERVALUE("0.000038")</f>
        <v/>
      </c>
      <c r="M1948">
        <f>_xlfn.NUMBERVALUE("-0.001422")</f>
        <v/>
      </c>
      <c r="N1948">
        <f>_xlfn.NUMBERVALUE("-0.002932")</f>
        <v/>
      </c>
      <c r="O1948">
        <f>_xlfn.NUMBERVALUE("-0.027098")</f>
        <v/>
      </c>
      <c r="P1948">
        <f>_xlfn.NUMBERVALUE("-0.002299")</f>
        <v/>
      </c>
      <c r="Q1948">
        <f>_xlfn.NUMBERVALUE("-0.002491")</f>
        <v/>
      </c>
      <c r="R1948">
        <f>_xlfn.NUMBERVALUE("-0.002324")</f>
        <v/>
      </c>
      <c r="S1948">
        <f>_xlfn.NUMBERVALUE("-0.004838")</f>
        <v/>
      </c>
      <c r="T1948">
        <f>_xlfn.NUMBERVALUE("-0.002546")</f>
        <v/>
      </c>
      <c r="U1948">
        <f>_xlfn.NUMBERVALUE("-0.003568")</f>
        <v/>
      </c>
      <c r="V1948">
        <f>_xlfn.NUMBERVALUE("-0.003792")</f>
        <v/>
      </c>
      <c r="W1948">
        <f>_xlfn.NUMBERVALUE("-0.025838")</f>
        <v/>
      </c>
      <c r="X1948">
        <f>_xlfn.NUMBERVALUE("2.570000")</f>
        <v/>
      </c>
      <c r="Y1948">
        <f>_xlfn.NUMBERVALUE("29.920000")</f>
        <v/>
      </c>
    </row>
    <row r="1949">
      <c r="A1949" s="1" t="n">
        <v>44830</v>
      </c>
      <c r="B1949">
        <f>_xlfn.NUMBERVALUE("0.003389")</f>
        <v/>
      </c>
      <c r="C1949" s="2">
        <f>_xlfn.NUMBERVALUE("-0.000632")</f>
        <v/>
      </c>
      <c r="D1949">
        <f>_xlfn.NUMBERVALUE("-0.000481")</f>
        <v/>
      </c>
      <c r="E1949">
        <f>_xlfn.NUMBERVALUE("-0.001450")</f>
        <v/>
      </c>
      <c r="F1949">
        <f>_xlfn.NUMBERVALUE("-0.001195")</f>
        <v/>
      </c>
      <c r="G1949">
        <f>_xlfn.NUMBERVALUE("-0.000759")</f>
        <v/>
      </c>
      <c r="H1949">
        <f>_xlfn.NUMBERVALUE("-0.001286")</f>
        <v/>
      </c>
      <c r="I1949">
        <f>_xlfn.NUMBERVALUE("0.002790")</f>
        <v/>
      </c>
      <c r="J1949">
        <f>_xlfn.NUMBERVALUE("-0.000874")</f>
        <v/>
      </c>
      <c r="K1949">
        <f>_xlfn.NUMBERVALUE("0.000236")</f>
        <v/>
      </c>
      <c r="L1949">
        <f>_xlfn.NUMBERVALUE("-0.004479")</f>
        <v/>
      </c>
      <c r="M1949">
        <f>_xlfn.NUMBERVALUE("-0.000412")</f>
        <v/>
      </c>
      <c r="N1949">
        <f>_xlfn.NUMBERVALUE("0.000200")</f>
        <v/>
      </c>
      <c r="O1949">
        <f>_xlfn.NUMBERVALUE("-0.000123")</f>
        <v/>
      </c>
      <c r="P1949">
        <f>_xlfn.NUMBERVALUE("-0.000968")</f>
        <v/>
      </c>
      <c r="Q1949">
        <f>_xlfn.NUMBERVALUE("0.000138")</f>
        <v/>
      </c>
      <c r="R1949">
        <f>_xlfn.NUMBERVALUE("-0.000409")</f>
        <v/>
      </c>
      <c r="S1949">
        <f>_xlfn.NUMBERVALUE("0.000136")</f>
        <v/>
      </c>
      <c r="T1949">
        <f>_xlfn.NUMBERVALUE("-0.001632")</f>
        <v/>
      </c>
      <c r="U1949">
        <f>_xlfn.NUMBERVALUE("-0.000741")</f>
        <v/>
      </c>
      <c r="V1949">
        <f>_xlfn.NUMBERVALUE("-0.000281")</f>
        <v/>
      </c>
      <c r="W1949">
        <f>_xlfn.NUMBERVALUE("-0.005522")</f>
        <v/>
      </c>
      <c r="X1949">
        <f>_xlfn.NUMBERVALUE("2.340000")</f>
        <v/>
      </c>
      <c r="Y1949">
        <f>_xlfn.NUMBERVALUE("32.260000")</f>
        <v/>
      </c>
    </row>
    <row r="1950">
      <c r="A1950" s="1" t="n">
        <v>44831</v>
      </c>
      <c r="B1950">
        <f>_xlfn.NUMBERVALUE("-0.000039")</f>
        <v/>
      </c>
      <c r="C1950" s="2">
        <f>_xlfn.NUMBERVALUE("-0.000016")</f>
        <v/>
      </c>
      <c r="D1950">
        <f>_xlfn.NUMBERVALUE("0.000075")</f>
        <v/>
      </c>
      <c r="E1950">
        <f>_xlfn.NUMBERVALUE("0.000282")</f>
        <v/>
      </c>
      <c r="F1950">
        <f>_xlfn.NUMBERVALUE("0.000943")</f>
        <v/>
      </c>
      <c r="G1950">
        <f>_xlfn.NUMBERVALUE("-0.000359")</f>
        <v/>
      </c>
      <c r="H1950">
        <f>_xlfn.NUMBERVALUE("-0.000619")</f>
        <v/>
      </c>
      <c r="I1950">
        <f>_xlfn.NUMBERVALUE("0.000662")</f>
        <v/>
      </c>
      <c r="J1950">
        <f>_xlfn.NUMBERVALUE("-0.000900")</f>
        <v/>
      </c>
      <c r="K1950">
        <f>_xlfn.NUMBERVALUE("0.006154")</f>
        <v/>
      </c>
      <c r="L1950">
        <f>_xlfn.NUMBERVALUE("-0.005171")</f>
        <v/>
      </c>
      <c r="M1950">
        <f>_xlfn.NUMBERVALUE("0.000289")</f>
        <v/>
      </c>
      <c r="N1950">
        <f>_xlfn.NUMBERVALUE("-0.000428")</f>
        <v/>
      </c>
      <c r="O1950">
        <f>_xlfn.NUMBERVALUE("0.002061")</f>
        <v/>
      </c>
      <c r="P1950">
        <f>_xlfn.NUMBERVALUE("0.000319")</f>
        <v/>
      </c>
      <c r="Q1950">
        <f>_xlfn.NUMBERVALUE("0.000051")</f>
        <v/>
      </c>
      <c r="R1950">
        <f>_xlfn.NUMBERVALUE("0.000749")</f>
        <v/>
      </c>
      <c r="S1950">
        <f>_xlfn.NUMBERVALUE("-0.003942")</f>
        <v/>
      </c>
      <c r="T1950">
        <f>_xlfn.NUMBERVALUE("0.000564")</f>
        <v/>
      </c>
      <c r="U1950">
        <f>_xlfn.NUMBERVALUE("0.000830")</f>
        <v/>
      </c>
      <c r="V1950">
        <f>_xlfn.NUMBERVALUE("0.000229")</f>
        <v/>
      </c>
      <c r="W1950">
        <f>_xlfn.NUMBERVALUE("-0.007030")</f>
        <v/>
      </c>
      <c r="X1950">
        <f>_xlfn.NUMBERVALUE("0.340000")</f>
        <v/>
      </c>
      <c r="Y1950">
        <f>_xlfn.NUMBERVALUE("32.600000")</f>
        <v/>
      </c>
    </row>
    <row r="1951">
      <c r="A1951" s="1" t="n">
        <v>44832</v>
      </c>
      <c r="B1951">
        <f>_xlfn.NUMBERVALUE("-0.000306")</f>
        <v/>
      </c>
      <c r="C1951" s="2">
        <f>_xlfn.NUMBERVALUE("0.000655")</f>
        <v/>
      </c>
      <c r="D1951">
        <f>_xlfn.NUMBERVALUE("-0.000310")</f>
        <v/>
      </c>
      <c r="E1951">
        <f>_xlfn.NUMBERVALUE("-0.000155")</f>
        <v/>
      </c>
      <c r="F1951">
        <f>_xlfn.NUMBERVALUE("-0.001757")</f>
        <v/>
      </c>
      <c r="G1951">
        <f>_xlfn.NUMBERVALUE("0.000204")</f>
        <v/>
      </c>
      <c r="H1951">
        <f>_xlfn.NUMBERVALUE("0.000526")</f>
        <v/>
      </c>
      <c r="I1951">
        <f>_xlfn.NUMBERVALUE("-0.000639")</f>
        <v/>
      </c>
      <c r="J1951">
        <f>_xlfn.NUMBERVALUE("-0.000526")</f>
        <v/>
      </c>
      <c r="K1951">
        <f>_xlfn.NUMBERVALUE("-0.004713")</f>
        <v/>
      </c>
      <c r="L1951">
        <f>_xlfn.NUMBERVALUE("0.002545")</f>
        <v/>
      </c>
      <c r="M1951">
        <f>_xlfn.NUMBERVALUE("0.000326")</f>
        <v/>
      </c>
      <c r="N1951">
        <f>_xlfn.NUMBERVALUE("-0.000619")</f>
        <v/>
      </c>
      <c r="O1951">
        <f>_xlfn.NUMBERVALUE("-0.000016")</f>
        <v/>
      </c>
      <c r="P1951">
        <f>_xlfn.NUMBERVALUE("0.000561")</f>
        <v/>
      </c>
      <c r="Q1951">
        <f>_xlfn.NUMBERVALUE("0.000847")</f>
        <v/>
      </c>
      <c r="R1951">
        <f>_xlfn.NUMBERVALUE("0.002032")</f>
        <v/>
      </c>
      <c r="S1951">
        <f>_xlfn.NUMBERVALUE("0.004339")</f>
        <v/>
      </c>
      <c r="T1951">
        <f>_xlfn.NUMBERVALUE("-0.000236")</f>
        <v/>
      </c>
      <c r="U1951">
        <f>_xlfn.NUMBERVALUE("0.001738")</f>
        <v/>
      </c>
      <c r="V1951">
        <f>_xlfn.NUMBERVALUE("0.000634")</f>
        <v/>
      </c>
      <c r="W1951">
        <f>_xlfn.NUMBERVALUE("0.024270")</f>
        <v/>
      </c>
      <c r="X1951">
        <f>_xlfn.NUMBERVALUE("-2.420000")</f>
        <v/>
      </c>
      <c r="Y1951">
        <f>_xlfn.NUMBERVALUE("30.180000")</f>
        <v/>
      </c>
    </row>
    <row r="1952">
      <c r="A1952" s="1" t="n">
        <v>44833</v>
      </c>
      <c r="B1952">
        <f>_xlfn.NUMBERVALUE("-0.009827")</f>
        <v/>
      </c>
      <c r="C1952" s="2">
        <f>_xlfn.NUMBERVALUE("-0.001071")</f>
        <v/>
      </c>
      <c r="D1952">
        <f>_xlfn.NUMBERVALUE("-0.000488")</f>
        <v/>
      </c>
      <c r="E1952">
        <f>_xlfn.NUMBERVALUE("0.001111")</f>
        <v/>
      </c>
      <c r="F1952">
        <f>_xlfn.NUMBERVALUE("0.001229")</f>
        <v/>
      </c>
      <c r="G1952">
        <f>_xlfn.NUMBERVALUE("0.000217")</f>
        <v/>
      </c>
      <c r="H1952">
        <f>_xlfn.NUMBERVALUE("0.000432")</f>
        <v/>
      </c>
      <c r="I1952">
        <f>_xlfn.NUMBERVALUE("-0.002667")</f>
        <v/>
      </c>
      <c r="J1952">
        <f>_xlfn.NUMBERVALUE("0.000071")</f>
        <v/>
      </c>
      <c r="K1952">
        <f>_xlfn.NUMBERVALUE("0.001494")</f>
        <v/>
      </c>
      <c r="L1952">
        <f>_xlfn.NUMBERVALUE("-0.000148")</f>
        <v/>
      </c>
      <c r="M1952">
        <f>_xlfn.NUMBERVALUE("-0.000851")</f>
        <v/>
      </c>
      <c r="N1952">
        <f>_xlfn.NUMBERVALUE("-0.002278")</f>
        <v/>
      </c>
      <c r="O1952">
        <f>_xlfn.NUMBERVALUE("0.001007")</f>
        <v/>
      </c>
      <c r="P1952">
        <f>_xlfn.NUMBERVALUE("-0.000516")</f>
        <v/>
      </c>
      <c r="Q1952">
        <f>_xlfn.NUMBERVALUE("-0.000954")</f>
        <v/>
      </c>
      <c r="R1952">
        <f>_xlfn.NUMBERVALUE("-0.002676")</f>
        <v/>
      </c>
      <c r="S1952">
        <f>_xlfn.NUMBERVALUE("-0.005306")</f>
        <v/>
      </c>
      <c r="T1952">
        <f>_xlfn.NUMBERVALUE("-0.000641")</f>
        <v/>
      </c>
      <c r="U1952">
        <f>_xlfn.NUMBERVALUE("-0.005592")</f>
        <v/>
      </c>
      <c r="V1952">
        <f>_xlfn.NUMBERVALUE("-0.001388")</f>
        <v/>
      </c>
      <c r="W1952">
        <f>_xlfn.NUMBERVALUE("-0.024408")</f>
        <v/>
      </c>
      <c r="X1952">
        <f>_xlfn.NUMBERVALUE("1.660000")</f>
        <v/>
      </c>
      <c r="Y1952">
        <f>_xlfn.NUMBERVALUE("31.840000")</f>
        <v/>
      </c>
    </row>
    <row r="1953">
      <c r="A1953" s="1" t="n">
        <v>44834</v>
      </c>
      <c r="B1953">
        <f>_xlfn.NUMBERVALUE("0.007341")</f>
        <v/>
      </c>
      <c r="C1953" s="2">
        <f>_xlfn.NUMBERVALUE("-0.000012")</f>
        <v/>
      </c>
      <c r="D1953">
        <f>_xlfn.NUMBERVALUE("-0.001583")</f>
        <v/>
      </c>
      <c r="E1953">
        <f>_xlfn.NUMBERVALUE("-0.000021")</f>
        <v/>
      </c>
      <c r="F1953">
        <f>_xlfn.NUMBERVALUE("0.001478")</f>
        <v/>
      </c>
      <c r="G1953">
        <f>_xlfn.NUMBERVALUE("-0.000292")</f>
        <v/>
      </c>
      <c r="H1953">
        <f>_xlfn.NUMBERVALUE("-0.000255")</f>
        <v/>
      </c>
      <c r="I1953">
        <f>_xlfn.NUMBERVALUE("0.000295")</f>
        <v/>
      </c>
      <c r="J1953">
        <f>_xlfn.NUMBERVALUE("-0.000109")</f>
        <v/>
      </c>
      <c r="K1953">
        <f>_xlfn.NUMBERVALUE("0.001051")</f>
        <v/>
      </c>
      <c r="L1953">
        <f>_xlfn.NUMBERVALUE("0.000485")</f>
        <v/>
      </c>
      <c r="M1953">
        <f>_xlfn.NUMBERVALUE("0.000474")</f>
        <v/>
      </c>
      <c r="N1953">
        <f>_xlfn.NUMBERVALUE("-0.000363")</f>
        <v/>
      </c>
      <c r="O1953">
        <f>_xlfn.NUMBERVALUE("0.001842")</f>
        <v/>
      </c>
      <c r="P1953">
        <f>_xlfn.NUMBERVALUE("0.000360")</f>
        <v/>
      </c>
      <c r="Q1953">
        <f>_xlfn.NUMBERVALUE("0.000027")</f>
        <v/>
      </c>
      <c r="R1953">
        <f>_xlfn.NUMBERVALUE("0.000433")</f>
        <v/>
      </c>
      <c r="S1953">
        <f>_xlfn.NUMBERVALUE("0.002160")</f>
        <v/>
      </c>
      <c r="T1953">
        <f>_xlfn.NUMBERVALUE("-0.000071")</f>
        <v/>
      </c>
      <c r="U1953">
        <f>_xlfn.NUMBERVALUE("0.000757")</f>
        <v/>
      </c>
      <c r="V1953">
        <f>_xlfn.NUMBERVALUE("-0.000086")</f>
        <v/>
      </c>
      <c r="W1953">
        <f>_xlfn.NUMBERVALUE("-0.009111")</f>
        <v/>
      </c>
      <c r="X1953">
        <f>_xlfn.NUMBERVALUE("-0.220000")</f>
        <v/>
      </c>
      <c r="Y1953">
        <f>_xlfn.NUMBERVALUE("31.620000")</f>
        <v/>
      </c>
    </row>
    <row r="1954">
      <c r="A1954" s="1" t="n">
        <v>44837</v>
      </c>
      <c r="B1954">
        <f>_xlfn.NUMBERVALUE("0.008550")</f>
        <v/>
      </c>
      <c r="C1954" s="2">
        <f>_xlfn.NUMBERVALUE("-0.000148")</f>
        <v/>
      </c>
      <c r="D1954">
        <f>_xlfn.NUMBERVALUE("0.001046")</f>
        <v/>
      </c>
      <c r="E1954">
        <f>_xlfn.NUMBERVALUE("0.000752")</f>
        <v/>
      </c>
      <c r="F1954">
        <f>_xlfn.NUMBERVALUE("0.000377")</f>
        <v/>
      </c>
      <c r="G1954">
        <f>_xlfn.NUMBERVALUE("0.002767")</f>
        <v/>
      </c>
      <c r="H1954">
        <f>_xlfn.NUMBERVALUE("0.000482")</f>
        <v/>
      </c>
      <c r="I1954">
        <f>_xlfn.NUMBERVALUE("0.000125")</f>
        <v/>
      </c>
      <c r="J1954">
        <f>_xlfn.NUMBERVALUE("0.001740")</f>
        <v/>
      </c>
      <c r="K1954">
        <f>_xlfn.NUMBERVALUE("-0.009053")</f>
        <v/>
      </c>
      <c r="L1954">
        <f>_xlfn.NUMBERVALUE("0.003201")</f>
        <v/>
      </c>
      <c r="M1954">
        <f>_xlfn.NUMBERVALUE("0.000148")</f>
        <v/>
      </c>
      <c r="N1954">
        <f>_xlfn.NUMBERVALUE("0.001199")</f>
        <v/>
      </c>
      <c r="O1954">
        <f>_xlfn.NUMBERVALUE("-0.003908")</f>
        <v/>
      </c>
      <c r="P1954">
        <f>_xlfn.NUMBERVALUE("0.000192")</f>
        <v/>
      </c>
      <c r="Q1954">
        <f>_xlfn.NUMBERVALUE("0.000102")</f>
        <v/>
      </c>
      <c r="R1954">
        <f>_xlfn.NUMBERVALUE("0.000035")</f>
        <v/>
      </c>
      <c r="S1954">
        <f>_xlfn.NUMBERVALUE("-0.000832")</f>
        <v/>
      </c>
      <c r="T1954">
        <f>_xlfn.NUMBERVALUE("-0.002178")</f>
        <v/>
      </c>
      <c r="U1954">
        <f>_xlfn.NUMBERVALUE("0.000467")</f>
        <v/>
      </c>
      <c r="V1954">
        <f>_xlfn.NUMBERVALUE("-0.000116")</f>
        <v/>
      </c>
      <c r="W1954">
        <f>_xlfn.NUMBERVALUE("0.021089")</f>
        <v/>
      </c>
      <c r="X1954">
        <f>_xlfn.NUMBERVALUE("-1.520000")</f>
        <v/>
      </c>
      <c r="Y1954">
        <f>_xlfn.NUMBERVALUE("30.100000")</f>
        <v/>
      </c>
    </row>
    <row r="1955">
      <c r="A1955" s="1" t="n">
        <v>44838</v>
      </c>
      <c r="B1955">
        <f>_xlfn.NUMBERVALUE("-0.001015")</f>
        <v/>
      </c>
      <c r="C1955" s="2">
        <f>_xlfn.NUMBERVALUE("-0.000089")</f>
        <v/>
      </c>
      <c r="D1955">
        <f>_xlfn.NUMBERVALUE("0.001136")</f>
        <v/>
      </c>
      <c r="E1955">
        <f>_xlfn.NUMBERVALUE("0.000358")</f>
        <v/>
      </c>
      <c r="F1955">
        <f>_xlfn.NUMBERVALUE("-0.004610")</f>
        <v/>
      </c>
      <c r="G1955">
        <f>_xlfn.NUMBERVALUE("-0.000030")</f>
        <v/>
      </c>
      <c r="H1955">
        <f>_xlfn.NUMBERVALUE("0.000061")</f>
        <v/>
      </c>
      <c r="I1955">
        <f>_xlfn.NUMBERVALUE("0.000005")</f>
        <v/>
      </c>
      <c r="J1955">
        <f>_xlfn.NUMBERVALUE("-0.000027")</f>
        <v/>
      </c>
      <c r="K1955">
        <f>_xlfn.NUMBERVALUE("-0.000135")</f>
        <v/>
      </c>
      <c r="L1955">
        <f>_xlfn.NUMBERVALUE("0.000716")</f>
        <v/>
      </c>
      <c r="M1955">
        <f>_xlfn.NUMBERVALUE("0.000065")</f>
        <v/>
      </c>
      <c r="N1955">
        <f>_xlfn.NUMBERVALUE("0.001093")</f>
        <v/>
      </c>
      <c r="O1955">
        <f>_xlfn.NUMBERVALUE("-0.010861")</f>
        <v/>
      </c>
      <c r="P1955">
        <f>_xlfn.NUMBERVALUE("-0.001708")</f>
        <v/>
      </c>
      <c r="Q1955">
        <f>_xlfn.NUMBERVALUE("0.000575")</f>
        <v/>
      </c>
      <c r="R1955">
        <f>_xlfn.NUMBERVALUE("-0.000468")</f>
        <v/>
      </c>
      <c r="S1955">
        <f>_xlfn.NUMBERVALUE("0.000941")</f>
        <v/>
      </c>
      <c r="T1955">
        <f>_xlfn.NUMBERVALUE("0.002025")</f>
        <v/>
      </c>
      <c r="U1955">
        <f>_xlfn.NUMBERVALUE("0.000057")</f>
        <v/>
      </c>
      <c r="V1955">
        <f>_xlfn.NUMBERVALUE("-0.000061")</f>
        <v/>
      </c>
      <c r="W1955">
        <f>_xlfn.NUMBERVALUE("0.013269")</f>
        <v/>
      </c>
      <c r="X1955">
        <f>_xlfn.NUMBERVALUE("-1.030000")</f>
        <v/>
      </c>
      <c r="Y1955">
        <f>_xlfn.NUMBERVALUE("29.070000")</f>
        <v/>
      </c>
    </row>
    <row r="1956">
      <c r="A1956" s="1" t="n">
        <v>44839</v>
      </c>
      <c r="B1956">
        <f>_xlfn.NUMBERVALUE("0.002663")</f>
        <v/>
      </c>
      <c r="C1956" s="2">
        <f>_xlfn.NUMBERVALUE("0.000779")</f>
        <v/>
      </c>
      <c r="D1956">
        <f>_xlfn.NUMBERVALUE("0.000815")</f>
        <v/>
      </c>
      <c r="E1956">
        <f>_xlfn.NUMBERVALUE("0.001071")</f>
        <v/>
      </c>
      <c r="F1956">
        <f>_xlfn.NUMBERVALUE("0.000143")</f>
        <v/>
      </c>
      <c r="G1956">
        <f>_xlfn.NUMBERVALUE("0.000308")</f>
        <v/>
      </c>
      <c r="H1956">
        <f>_xlfn.NUMBERVALUE("-0.001173")</f>
        <v/>
      </c>
      <c r="I1956">
        <f>_xlfn.NUMBERVALUE("0.001178")</f>
        <v/>
      </c>
      <c r="J1956">
        <f>_xlfn.NUMBERVALUE("0.000504")</f>
        <v/>
      </c>
      <c r="K1956">
        <f>_xlfn.NUMBERVALUE("-0.001707")</f>
        <v/>
      </c>
      <c r="L1956">
        <f>_xlfn.NUMBERVALUE("-0.000073")</f>
        <v/>
      </c>
      <c r="M1956">
        <f>_xlfn.NUMBERVALUE("0.000264")</f>
        <v/>
      </c>
      <c r="N1956">
        <f>_xlfn.NUMBERVALUE("0.001086")</f>
        <v/>
      </c>
      <c r="O1956">
        <f>_xlfn.NUMBERVALUE("-0.003502")</f>
        <v/>
      </c>
      <c r="P1956">
        <f>_xlfn.NUMBERVALUE("0.001698")</f>
        <v/>
      </c>
      <c r="Q1956">
        <f>_xlfn.NUMBERVALUE("-0.000684")</f>
        <v/>
      </c>
      <c r="R1956">
        <f>_xlfn.NUMBERVALUE("0.000844")</f>
        <v/>
      </c>
      <c r="S1956">
        <f>_xlfn.NUMBERVALUE("-0.000017")</f>
        <v/>
      </c>
      <c r="T1956">
        <f>_xlfn.NUMBERVALUE("-0.000677")</f>
        <v/>
      </c>
      <c r="U1956">
        <f>_xlfn.NUMBERVALUE("0.000011")</f>
        <v/>
      </c>
      <c r="V1956">
        <f>_xlfn.NUMBERVALUE("0.000757")</f>
        <v/>
      </c>
      <c r="W1956">
        <f>_xlfn.NUMBERVALUE("0.004035")</f>
        <v/>
      </c>
      <c r="X1956">
        <f>_xlfn.NUMBERVALUE("-0.520000")</f>
        <v/>
      </c>
      <c r="Y1956">
        <f>_xlfn.NUMBERVALUE("28.550000")</f>
        <v/>
      </c>
    </row>
    <row r="1957">
      <c r="A1957" s="1" t="n">
        <v>44840</v>
      </c>
      <c r="B1957">
        <f>_xlfn.NUMBERVALUE("-0.001024")</f>
        <v/>
      </c>
      <c r="C1957" s="2">
        <f>_xlfn.NUMBERVALUE("-0.001023")</f>
        <v/>
      </c>
      <c r="D1957">
        <f>_xlfn.NUMBERVALUE("0.000351")</f>
        <v/>
      </c>
      <c r="E1957">
        <f>_xlfn.NUMBERVALUE("-0.000976")</f>
        <v/>
      </c>
      <c r="F1957">
        <f>_xlfn.NUMBERVALUE("0.000534")</f>
        <v/>
      </c>
      <c r="G1957">
        <f>_xlfn.NUMBERVALUE("-0.000591")</f>
        <v/>
      </c>
      <c r="H1957">
        <f>_xlfn.NUMBERVALUE("0.000095")</f>
        <v/>
      </c>
      <c r="I1957">
        <f>_xlfn.NUMBERVALUE("-0.000700")</f>
        <v/>
      </c>
      <c r="J1957">
        <f>_xlfn.NUMBERVALUE("0.000374")</f>
        <v/>
      </c>
      <c r="K1957">
        <f>_xlfn.NUMBERVALUE("0.000304")</f>
        <v/>
      </c>
      <c r="L1957">
        <f>_xlfn.NUMBERVALUE("0.000716")</f>
        <v/>
      </c>
      <c r="M1957">
        <f>_xlfn.NUMBERVALUE("-0.000230")</f>
        <v/>
      </c>
      <c r="N1957">
        <f>_xlfn.NUMBERVALUE("-0.000535")</f>
        <v/>
      </c>
      <c r="O1957">
        <f>_xlfn.NUMBERVALUE("0.001870")</f>
        <v/>
      </c>
      <c r="P1957">
        <f>_xlfn.NUMBERVALUE("-0.000442")</f>
        <v/>
      </c>
      <c r="Q1957">
        <f>_xlfn.NUMBERVALUE("0.000820")</f>
        <v/>
      </c>
      <c r="R1957">
        <f>_xlfn.NUMBERVALUE("-0.000291")</f>
        <v/>
      </c>
      <c r="S1957">
        <f>_xlfn.NUMBERVALUE("-0.000067")</f>
        <v/>
      </c>
      <c r="T1957">
        <f>_xlfn.NUMBERVALUE("0.000584")</f>
        <v/>
      </c>
      <c r="U1957">
        <f>_xlfn.NUMBERVALUE("-0.000326")</f>
        <v/>
      </c>
      <c r="V1957">
        <f>_xlfn.NUMBERVALUE("-0.001339")</f>
        <v/>
      </c>
      <c r="W1957">
        <f>_xlfn.NUMBERVALUE("-0.012266")</f>
        <v/>
      </c>
      <c r="X1957">
        <f>_xlfn.NUMBERVALUE("1.970000")</f>
        <v/>
      </c>
      <c r="Y1957">
        <f>_xlfn.NUMBERVALUE("30.520000")</f>
        <v/>
      </c>
    </row>
    <row r="1958">
      <c r="A1958" s="1" t="n">
        <v>44841</v>
      </c>
      <c r="B1958">
        <f>_xlfn.NUMBERVALUE("-0.007527")</f>
        <v/>
      </c>
      <c r="C1958" s="2">
        <f>_xlfn.NUMBERVALUE("-0.001398")</f>
        <v/>
      </c>
      <c r="D1958">
        <f>_xlfn.NUMBERVALUE("-0.000948")</f>
        <v/>
      </c>
      <c r="E1958">
        <f>_xlfn.NUMBERVALUE("-0.002430")</f>
        <v/>
      </c>
      <c r="F1958">
        <f>_xlfn.NUMBERVALUE("-0.000229")</f>
        <v/>
      </c>
      <c r="G1958">
        <f>_xlfn.NUMBERVALUE("-0.002031")</f>
        <v/>
      </c>
      <c r="H1958">
        <f>_xlfn.NUMBERVALUE("0.001094")</f>
        <v/>
      </c>
      <c r="I1958">
        <f>_xlfn.NUMBERVALUE("-0.001210")</f>
        <v/>
      </c>
      <c r="J1958">
        <f>_xlfn.NUMBERVALUE("0.000736")</f>
        <v/>
      </c>
      <c r="K1958">
        <f>_xlfn.NUMBERVALUE("-0.003786")</f>
        <v/>
      </c>
      <c r="L1958">
        <f>_xlfn.NUMBERVALUE("0.000523")</f>
        <v/>
      </c>
      <c r="M1958">
        <f>_xlfn.NUMBERVALUE("-0.000050")</f>
        <v/>
      </c>
      <c r="N1958">
        <f>_xlfn.NUMBERVALUE("-0.002883")</f>
        <v/>
      </c>
      <c r="O1958">
        <f>_xlfn.NUMBERVALUE("0.001544")</f>
        <v/>
      </c>
      <c r="P1958">
        <f>_xlfn.NUMBERVALUE("0.000136")</f>
        <v/>
      </c>
      <c r="Q1958">
        <f>_xlfn.NUMBERVALUE("-0.000061")</f>
        <v/>
      </c>
      <c r="R1958">
        <f>_xlfn.NUMBERVALUE("-0.000058")</f>
        <v/>
      </c>
      <c r="S1958">
        <f>_xlfn.NUMBERVALUE("-0.000008")</f>
        <v/>
      </c>
      <c r="T1958">
        <f>_xlfn.NUMBERVALUE("-0.000069")</f>
        <v/>
      </c>
      <c r="U1958">
        <f>_xlfn.NUMBERVALUE("0.000454")</f>
        <v/>
      </c>
      <c r="V1958">
        <f>_xlfn.NUMBERVALUE("-0.002882")</f>
        <v/>
      </c>
      <c r="W1958">
        <f>_xlfn.NUMBERVALUE("-0.030404")</f>
        <v/>
      </c>
      <c r="X1958">
        <f>_xlfn.NUMBERVALUE("0.840000")</f>
        <v/>
      </c>
      <c r="Y1958">
        <f>_xlfn.NUMBERVALUE("31.360000")</f>
        <v/>
      </c>
    </row>
    <row r="1959">
      <c r="A1959" s="1" t="n">
        <v>44844</v>
      </c>
      <c r="B1959">
        <f>_xlfn.NUMBERVALUE("0.003923")</f>
        <v/>
      </c>
      <c r="C1959" s="2">
        <f>_xlfn.NUMBERVALUE("0.000874")</f>
        <v/>
      </c>
      <c r="D1959">
        <f>_xlfn.NUMBERVALUE("0.000577")</f>
        <v/>
      </c>
      <c r="E1959">
        <f>_xlfn.NUMBERVALUE("0.002732")</f>
        <v/>
      </c>
      <c r="F1959">
        <f>_xlfn.NUMBERVALUE("-0.002259")</f>
        <v/>
      </c>
      <c r="G1959">
        <f>_xlfn.NUMBERVALUE("0.000901")</f>
        <v/>
      </c>
      <c r="H1959">
        <f>_xlfn.NUMBERVALUE("-0.000771")</f>
        <v/>
      </c>
      <c r="I1959">
        <f>_xlfn.NUMBERVALUE("0.002469")</f>
        <v/>
      </c>
      <c r="J1959">
        <f>_xlfn.NUMBERVALUE("-0.000860")</f>
        <v/>
      </c>
      <c r="K1959">
        <f>_xlfn.NUMBERVALUE("-0.002358")</f>
        <v/>
      </c>
      <c r="L1959">
        <f>_xlfn.NUMBERVALUE("-0.001601")</f>
        <v/>
      </c>
      <c r="M1959">
        <f>_xlfn.NUMBERVALUE("0.001313")</f>
        <v/>
      </c>
      <c r="N1959">
        <f>_xlfn.NUMBERVALUE("0.000785")</f>
        <v/>
      </c>
      <c r="O1959">
        <f>_xlfn.NUMBERVALUE("0.002126")</f>
        <v/>
      </c>
      <c r="P1959">
        <f>_xlfn.NUMBERVALUE("0.002644")</f>
        <v/>
      </c>
      <c r="Q1959">
        <f>_xlfn.NUMBERVALUE("0.000375")</f>
        <v/>
      </c>
      <c r="R1959">
        <f>_xlfn.NUMBERVALUE("0.000810")</f>
        <v/>
      </c>
      <c r="S1959">
        <f>_xlfn.NUMBERVALUE("0.000379")</f>
        <v/>
      </c>
      <c r="T1959">
        <f>_xlfn.NUMBERVALUE("0.000870")</f>
        <v/>
      </c>
      <c r="U1959">
        <f>_xlfn.NUMBERVALUE("0.002795")</f>
        <v/>
      </c>
      <c r="V1959">
        <f>_xlfn.NUMBERVALUE("0.001142")</f>
        <v/>
      </c>
      <c r="W1959">
        <f>_xlfn.NUMBERVALUE("-0.003147")</f>
        <v/>
      </c>
      <c r="X1959">
        <f>_xlfn.NUMBERVALUE("1.090000")</f>
        <v/>
      </c>
      <c r="Y1959">
        <f>_xlfn.NUMBERVALUE("32.450000")</f>
        <v/>
      </c>
    </row>
    <row r="1960">
      <c r="A1960" s="1" t="n">
        <v>44845</v>
      </c>
      <c r="B1960">
        <f>_xlfn.NUMBERVALUE("-0.003397")</f>
        <v/>
      </c>
      <c r="C1960" s="2">
        <f>_xlfn.NUMBERVALUE("-0.001211")</f>
        <v/>
      </c>
      <c r="D1960">
        <f>_xlfn.NUMBERVALUE("-0.001138")</f>
        <v/>
      </c>
      <c r="E1960">
        <f>_xlfn.NUMBERVALUE("0.000061")</f>
        <v/>
      </c>
      <c r="F1960">
        <f>_xlfn.NUMBERVALUE("0.000512")</f>
        <v/>
      </c>
      <c r="G1960">
        <f>_xlfn.NUMBERVALUE("-0.003777")</f>
        <v/>
      </c>
      <c r="H1960">
        <f>_xlfn.NUMBERVALUE("0.000131")</f>
        <v/>
      </c>
      <c r="I1960">
        <f>_xlfn.NUMBERVALUE("-0.000628")</f>
        <v/>
      </c>
      <c r="J1960">
        <f>_xlfn.NUMBERVALUE("-0.000084")</f>
        <v/>
      </c>
      <c r="K1960">
        <f>_xlfn.NUMBERVALUE("-0.002284")</f>
        <v/>
      </c>
      <c r="L1960">
        <f>_xlfn.NUMBERVALUE("0.000586")</f>
        <v/>
      </c>
      <c r="M1960">
        <f>_xlfn.NUMBERVALUE("0.000250")</f>
        <v/>
      </c>
      <c r="N1960">
        <f>_xlfn.NUMBERVALUE("-0.001226")</f>
        <v/>
      </c>
      <c r="O1960">
        <f>_xlfn.NUMBERVALUE("0.000937")</f>
        <v/>
      </c>
      <c r="P1960">
        <f>_xlfn.NUMBERVALUE("-0.001291")</f>
        <v/>
      </c>
      <c r="Q1960">
        <f>_xlfn.NUMBERVALUE("-0.000542")</f>
        <v/>
      </c>
      <c r="R1960">
        <f>_xlfn.NUMBERVALUE("-0.001460")</f>
        <v/>
      </c>
      <c r="S1960">
        <f>_xlfn.NUMBERVALUE("-0.001931")</f>
        <v/>
      </c>
      <c r="T1960">
        <f>_xlfn.NUMBERVALUE("-0.000520")</f>
        <v/>
      </c>
      <c r="U1960">
        <f>_xlfn.NUMBERVALUE("-0.001000")</f>
        <v/>
      </c>
      <c r="V1960">
        <f>_xlfn.NUMBERVALUE("-0.001077")</f>
        <v/>
      </c>
      <c r="W1960">
        <f>_xlfn.NUMBERVALUE("-0.009581")</f>
        <v/>
      </c>
      <c r="X1960">
        <f>_xlfn.NUMBERVALUE("1.180000")</f>
        <v/>
      </c>
      <c r="Y1960">
        <f>_xlfn.NUMBERVALUE("33.630000")</f>
        <v/>
      </c>
    </row>
    <row r="1961">
      <c r="A1961" s="1" t="n">
        <v>44846</v>
      </c>
      <c r="B1961">
        <f>_xlfn.NUMBERVALUE("0.001742")</f>
        <v/>
      </c>
      <c r="C1961" s="2">
        <f>_xlfn.NUMBERVALUE("0.000206")</f>
        <v/>
      </c>
      <c r="D1961">
        <f>_xlfn.NUMBERVALUE("-0.002950")</f>
        <v/>
      </c>
      <c r="E1961">
        <f>_xlfn.NUMBERVALUE("-0.000036")</f>
        <v/>
      </c>
      <c r="F1961">
        <f>_xlfn.NUMBERVALUE("0.000583")</f>
        <v/>
      </c>
      <c r="G1961">
        <f>_xlfn.NUMBERVALUE("0.003704")</f>
        <v/>
      </c>
      <c r="H1961">
        <f>_xlfn.NUMBERVALUE("0.000255")</f>
        <v/>
      </c>
      <c r="I1961">
        <f>_xlfn.NUMBERVALUE("0.000100")</f>
        <v/>
      </c>
      <c r="J1961">
        <f>_xlfn.NUMBERVALUE("-0.000656")</f>
        <v/>
      </c>
      <c r="K1961">
        <f>_xlfn.NUMBERVALUE("0.001580")</f>
        <v/>
      </c>
      <c r="L1961">
        <f>_xlfn.NUMBERVALUE("-0.000394")</f>
        <v/>
      </c>
      <c r="M1961">
        <f>_xlfn.NUMBERVALUE("0.000066")</f>
        <v/>
      </c>
      <c r="N1961">
        <f>_xlfn.NUMBERVALUE("0.000241")</f>
        <v/>
      </c>
      <c r="O1961">
        <f>_xlfn.NUMBERVALUE("0.000901")</f>
        <v/>
      </c>
      <c r="P1961">
        <f>_xlfn.NUMBERVALUE("0.000156")</f>
        <v/>
      </c>
      <c r="Q1961">
        <f>_xlfn.NUMBERVALUE("0.000107")</f>
        <v/>
      </c>
      <c r="R1961">
        <f>_xlfn.NUMBERVALUE("0.002839")</f>
        <v/>
      </c>
      <c r="S1961">
        <f>_xlfn.NUMBERVALUE("-0.000889")</f>
        <v/>
      </c>
      <c r="T1961">
        <f>_xlfn.NUMBERVALUE("-0.008598")</f>
        <v/>
      </c>
      <c r="U1961">
        <f>_xlfn.NUMBERVALUE("-0.000307")</f>
        <v/>
      </c>
      <c r="V1961">
        <f>_xlfn.NUMBERVALUE("0.000333")</f>
        <v/>
      </c>
      <c r="W1961">
        <f>_xlfn.NUMBERVALUE("0.000503")</f>
        <v/>
      </c>
      <c r="X1961">
        <f>_xlfn.NUMBERVALUE("-0.060000")</f>
        <v/>
      </c>
      <c r="Y1961">
        <f>_xlfn.NUMBERVALUE("33.570000")</f>
        <v/>
      </c>
    </row>
    <row r="1962">
      <c r="A1962" s="1" t="n">
        <v>44847</v>
      </c>
      <c r="B1962">
        <f>_xlfn.NUMBERVALUE("0.010227")</f>
        <v/>
      </c>
      <c r="C1962" s="2">
        <f>_xlfn.NUMBERVALUE("-0.003328")</f>
        <v/>
      </c>
      <c r="D1962">
        <f>_xlfn.NUMBERVALUE("0.005203")</f>
        <v/>
      </c>
      <c r="E1962">
        <f>_xlfn.NUMBERVALUE("0.000529")</f>
        <v/>
      </c>
      <c r="F1962">
        <f>_xlfn.NUMBERVALUE("0.000621")</f>
        <v/>
      </c>
      <c r="G1962">
        <f>_xlfn.NUMBERVALUE("-0.007535")</f>
        <v/>
      </c>
      <c r="H1962">
        <f>_xlfn.NUMBERVALUE("0.000617")</f>
        <v/>
      </c>
      <c r="I1962">
        <f>_xlfn.NUMBERVALUE("0.000164")</f>
        <v/>
      </c>
      <c r="J1962">
        <f>_xlfn.NUMBERVALUE("0.000393")</f>
        <v/>
      </c>
      <c r="K1962">
        <f>_xlfn.NUMBERVALUE("-0.000810")</f>
        <v/>
      </c>
      <c r="L1962">
        <f>_xlfn.NUMBERVALUE("0.001812")</f>
        <v/>
      </c>
      <c r="M1962">
        <f>_xlfn.NUMBERVALUE("-0.001680")</f>
        <v/>
      </c>
      <c r="N1962">
        <f>_xlfn.NUMBERVALUE("-0.000037")</f>
        <v/>
      </c>
      <c r="O1962">
        <f>_xlfn.NUMBERVALUE("-0.000749")</f>
        <v/>
      </c>
      <c r="P1962">
        <f>_xlfn.NUMBERVALUE("-0.006871")</f>
        <v/>
      </c>
      <c r="Q1962">
        <f>_xlfn.NUMBERVALUE("-0.000041")</f>
        <v/>
      </c>
      <c r="R1962">
        <f>_xlfn.NUMBERVALUE("-0.004762")</f>
        <v/>
      </c>
      <c r="S1962">
        <f>_xlfn.NUMBERVALUE("-0.001145")</f>
        <v/>
      </c>
      <c r="T1962">
        <f>_xlfn.NUMBERVALUE("0.000352")</f>
        <v/>
      </c>
      <c r="U1962">
        <f>_xlfn.NUMBERVALUE("0.002977")</f>
        <v/>
      </c>
      <c r="V1962">
        <f>_xlfn.NUMBERVALUE("-0.001741")</f>
        <v/>
      </c>
      <c r="W1962">
        <f>_xlfn.NUMBERVALUE("0.023166")</f>
        <v/>
      </c>
      <c r="X1962">
        <f>_xlfn.NUMBERVALUE("-1.630000")</f>
        <v/>
      </c>
      <c r="Y1962">
        <f>_xlfn.NUMBERVALUE("31.940000")</f>
        <v/>
      </c>
    </row>
    <row r="1963">
      <c r="A1963" s="1" t="n">
        <v>44848</v>
      </c>
      <c r="B1963">
        <f>_xlfn.NUMBERVALUE("-0.003463")</f>
        <v/>
      </c>
      <c r="C1963" s="2">
        <f>_xlfn.NUMBERVALUE("0.002673")</f>
        <v/>
      </c>
      <c r="D1963">
        <f>_xlfn.NUMBERVALUE("-0.000270")</f>
        <v/>
      </c>
      <c r="E1963">
        <f>_xlfn.NUMBERVALUE("0.000704")</f>
        <v/>
      </c>
      <c r="F1963">
        <f>_xlfn.NUMBERVALUE("-0.001236")</f>
        <v/>
      </c>
      <c r="G1963">
        <f>_xlfn.NUMBERVALUE("0.010391")</f>
        <v/>
      </c>
      <c r="H1963">
        <f>_xlfn.NUMBERVALUE("0.000430")</f>
        <v/>
      </c>
      <c r="I1963">
        <f>_xlfn.NUMBERVALUE("0.000589")</f>
        <v/>
      </c>
      <c r="J1963">
        <f>_xlfn.NUMBERVALUE("-0.000821")</f>
        <v/>
      </c>
      <c r="K1963">
        <f>_xlfn.NUMBERVALUE("-0.002504")</f>
        <v/>
      </c>
      <c r="L1963">
        <f>_xlfn.NUMBERVALUE("0.000515")</f>
        <v/>
      </c>
      <c r="M1963">
        <f>_xlfn.NUMBERVALUE("-0.001474")</f>
        <v/>
      </c>
      <c r="N1963">
        <f>_xlfn.NUMBERVALUE("0.000791")</f>
        <v/>
      </c>
      <c r="O1963">
        <f>_xlfn.NUMBERVALUE("-0.005159")</f>
        <v/>
      </c>
      <c r="P1963">
        <f>_xlfn.NUMBERVALUE("0.004401")</f>
        <v/>
      </c>
      <c r="Q1963">
        <f>_xlfn.NUMBERVALUE("0.000584")</f>
        <v/>
      </c>
      <c r="R1963">
        <f>_xlfn.NUMBERVALUE("0.000911")</f>
        <v/>
      </c>
      <c r="S1963">
        <f>_xlfn.NUMBERVALUE("0.001373")</f>
        <v/>
      </c>
      <c r="T1963">
        <f>_xlfn.NUMBERVALUE("0.001768")</f>
        <v/>
      </c>
      <c r="U1963">
        <f>_xlfn.NUMBERVALUE("-0.002381")</f>
        <v/>
      </c>
      <c r="V1963">
        <f>_xlfn.NUMBERVALUE("0.000447")</f>
        <v/>
      </c>
      <c r="W1963">
        <f>_xlfn.NUMBERVALUE("-0.022024")</f>
        <v/>
      </c>
      <c r="X1963">
        <f>_xlfn.NUMBERVALUE("0.080000")</f>
        <v/>
      </c>
      <c r="Y1963">
        <f>_xlfn.NUMBERVALUE("32.020000")</f>
        <v/>
      </c>
    </row>
    <row r="1964">
      <c r="A1964" s="1" t="n">
        <v>44851</v>
      </c>
      <c r="B1964">
        <f>_xlfn.NUMBERVALUE("-0.000871")</f>
        <v/>
      </c>
      <c r="C1964" s="2">
        <f>_xlfn.NUMBERVALUE("0.000445")</f>
        <v/>
      </c>
      <c r="D1964">
        <f>_xlfn.NUMBERVALUE("-0.000144")</f>
        <v/>
      </c>
      <c r="E1964">
        <f>_xlfn.NUMBERVALUE("-0.001117")</f>
        <v/>
      </c>
      <c r="F1964">
        <f>_xlfn.NUMBERVALUE("0.001128")</f>
        <v/>
      </c>
      <c r="G1964">
        <f>_xlfn.NUMBERVALUE("0.000684")</f>
        <v/>
      </c>
      <c r="H1964">
        <f>_xlfn.NUMBERVALUE("0.000849")</f>
        <v/>
      </c>
      <c r="I1964">
        <f>_xlfn.NUMBERVALUE("-0.000692")</f>
        <v/>
      </c>
      <c r="J1964">
        <f>_xlfn.NUMBERVALUE("0.001350")</f>
        <v/>
      </c>
      <c r="K1964">
        <f>_xlfn.NUMBERVALUE("0.002545")</f>
        <v/>
      </c>
      <c r="L1964">
        <f>_xlfn.NUMBERVALUE("0.001984")</f>
        <v/>
      </c>
      <c r="M1964">
        <f>_xlfn.NUMBERVALUE("-0.000796")</f>
        <v/>
      </c>
      <c r="N1964">
        <f>_xlfn.NUMBERVALUE("0.000264")</f>
        <v/>
      </c>
      <c r="O1964">
        <f>_xlfn.NUMBERVALUE("0.004723")</f>
        <v/>
      </c>
      <c r="P1964">
        <f>_xlfn.NUMBERVALUE("0.000769")</f>
        <v/>
      </c>
      <c r="Q1964">
        <f>_xlfn.NUMBERVALUE("-0.000388")</f>
        <v/>
      </c>
      <c r="R1964">
        <f>_xlfn.NUMBERVALUE("-0.000469")</f>
        <v/>
      </c>
      <c r="S1964">
        <f>_xlfn.NUMBERVALUE("0.000819")</f>
        <v/>
      </c>
      <c r="T1964">
        <f>_xlfn.NUMBERVALUE("0.000133")</f>
        <v/>
      </c>
      <c r="U1964">
        <f>_xlfn.NUMBERVALUE("-0.003554")</f>
        <v/>
      </c>
      <c r="V1964">
        <f>_xlfn.NUMBERVALUE("-0.000878")</f>
        <v/>
      </c>
      <c r="W1964">
        <f>_xlfn.NUMBERVALUE("0.026182")</f>
        <v/>
      </c>
      <c r="X1964">
        <f>_xlfn.NUMBERVALUE("-0.650000")</f>
        <v/>
      </c>
      <c r="Y1964">
        <f>_xlfn.NUMBERVALUE("31.370000")</f>
        <v/>
      </c>
    </row>
    <row r="1965">
      <c r="A1965" s="1" t="n">
        <v>44852</v>
      </c>
      <c r="B1965">
        <f>_xlfn.NUMBERVALUE("0.005195")</f>
        <v/>
      </c>
      <c r="C1965" s="2">
        <f>_xlfn.NUMBERVALUE("0.000336")</f>
        <v/>
      </c>
      <c r="D1965">
        <f>_xlfn.NUMBERVALUE("0.001172")</f>
        <v/>
      </c>
      <c r="E1965">
        <f>_xlfn.NUMBERVALUE("0.001193")</f>
        <v/>
      </c>
      <c r="F1965">
        <f>_xlfn.NUMBERVALUE("0.001310")</f>
        <v/>
      </c>
      <c r="G1965">
        <f>_xlfn.NUMBERVALUE("0.000945")</f>
        <v/>
      </c>
      <c r="H1965">
        <f>_xlfn.NUMBERVALUE("0.001103")</f>
        <v/>
      </c>
      <c r="I1965">
        <f>_xlfn.NUMBERVALUE("0.001127")</f>
        <v/>
      </c>
      <c r="J1965">
        <f>_xlfn.NUMBERVALUE("0.002680")</f>
        <v/>
      </c>
      <c r="K1965">
        <f>_xlfn.NUMBERVALUE("0.000284")</f>
        <v/>
      </c>
      <c r="L1965">
        <f>_xlfn.NUMBERVALUE("0.002200")</f>
        <v/>
      </c>
      <c r="M1965">
        <f>_xlfn.NUMBERVALUE("-0.000267")</f>
        <v/>
      </c>
      <c r="N1965">
        <f>_xlfn.NUMBERVALUE("0.001732")</f>
        <v/>
      </c>
      <c r="O1965">
        <f>_xlfn.NUMBERVALUE("0.004349")</f>
        <v/>
      </c>
      <c r="P1965">
        <f>_xlfn.NUMBERVALUE("-0.000295")</f>
        <v/>
      </c>
      <c r="Q1965">
        <f>_xlfn.NUMBERVALUE("-0.001614")</f>
        <v/>
      </c>
      <c r="R1965">
        <f>_xlfn.NUMBERVALUE("0.001552")</f>
        <v/>
      </c>
      <c r="S1965">
        <f>_xlfn.NUMBERVALUE("0.000432")</f>
        <v/>
      </c>
      <c r="T1965">
        <f>_xlfn.NUMBERVALUE("0.000172")</f>
        <v/>
      </c>
      <c r="U1965">
        <f>_xlfn.NUMBERVALUE("0.000427")</f>
        <v/>
      </c>
      <c r="V1965">
        <f>_xlfn.NUMBERVALUE("0.000718")</f>
        <v/>
      </c>
      <c r="W1965">
        <f>_xlfn.NUMBERVALUE("0.008706")</f>
        <v/>
      </c>
      <c r="X1965">
        <f>_xlfn.NUMBERVALUE("-0.870000")</f>
        <v/>
      </c>
      <c r="Y1965">
        <f>_xlfn.NUMBERVALUE("30.500000")</f>
        <v/>
      </c>
    </row>
    <row r="1966">
      <c r="A1966" s="1" t="n">
        <v>44853</v>
      </c>
      <c r="B1966">
        <f>_xlfn.NUMBERVALUE("-0.007203")</f>
        <v/>
      </c>
      <c r="C1966" s="2">
        <f>_xlfn.NUMBERVALUE("0.001489")</f>
        <v/>
      </c>
      <c r="D1966">
        <f>_xlfn.NUMBERVALUE("-0.001223")</f>
        <v/>
      </c>
      <c r="E1966">
        <f>_xlfn.NUMBERVALUE("-0.000635")</f>
        <v/>
      </c>
      <c r="F1966">
        <f>_xlfn.NUMBERVALUE("-0.000886")</f>
        <v/>
      </c>
      <c r="G1966">
        <f>_xlfn.NUMBERVALUE("-0.000175")</f>
        <v/>
      </c>
      <c r="H1966">
        <f>_xlfn.NUMBERVALUE("-0.001149")</f>
        <v/>
      </c>
      <c r="I1966">
        <f>_xlfn.NUMBERVALUE("0.000019")</f>
        <v/>
      </c>
      <c r="J1966">
        <f>_xlfn.NUMBERVALUE("-0.002312")</f>
        <v/>
      </c>
      <c r="K1966">
        <f>_xlfn.NUMBERVALUE("0.001463")</f>
        <v/>
      </c>
      <c r="L1966">
        <f>_xlfn.NUMBERVALUE("-0.002387")</f>
        <v/>
      </c>
      <c r="M1966">
        <f>_xlfn.NUMBERVALUE("0.001446")</f>
        <v/>
      </c>
      <c r="N1966">
        <f>_xlfn.NUMBERVALUE("-0.000243")</f>
        <v/>
      </c>
      <c r="O1966">
        <f>_xlfn.NUMBERVALUE("-0.002599")</f>
        <v/>
      </c>
      <c r="P1966">
        <f>_xlfn.NUMBERVALUE("0.001636")</f>
        <v/>
      </c>
      <c r="Q1966">
        <f>_xlfn.NUMBERVALUE("0.001569")</f>
        <v/>
      </c>
      <c r="R1966">
        <f>_xlfn.NUMBERVALUE("0.001979")</f>
        <v/>
      </c>
      <c r="S1966">
        <f>_xlfn.NUMBERVALUE("0.001653")</f>
        <v/>
      </c>
      <c r="T1966">
        <f>_xlfn.NUMBERVALUE("0.000898")</f>
        <v/>
      </c>
      <c r="U1966">
        <f>_xlfn.NUMBERVALUE("-0.000148")</f>
        <v/>
      </c>
      <c r="V1966">
        <f>_xlfn.NUMBERVALUE("0.001037")</f>
        <v/>
      </c>
      <c r="W1966">
        <f>_xlfn.NUMBERVALUE("-0.008121")</f>
        <v/>
      </c>
      <c r="X1966">
        <f>_xlfn.NUMBERVALUE("0.260000")</f>
        <v/>
      </c>
      <c r="Y1966">
        <f>_xlfn.NUMBERVALUE("30.760000")</f>
        <v/>
      </c>
    </row>
    <row r="1967">
      <c r="A1967" s="1" t="n">
        <v>44854</v>
      </c>
      <c r="B1967">
        <f>_xlfn.NUMBERVALUE("0.005895")</f>
        <v/>
      </c>
      <c r="C1967" s="2">
        <f>_xlfn.NUMBERVALUE("0.003131")</f>
        <v/>
      </c>
      <c r="D1967">
        <f>_xlfn.NUMBERVALUE("0.000467")</f>
        <v/>
      </c>
      <c r="E1967">
        <f>_xlfn.NUMBERVALUE("0.001359")</f>
        <v/>
      </c>
      <c r="F1967">
        <f>_xlfn.NUMBERVALUE("0.000185")</f>
        <v/>
      </c>
      <c r="G1967">
        <f>_xlfn.NUMBERVALUE("0.001276")</f>
        <v/>
      </c>
      <c r="H1967">
        <f>_xlfn.NUMBERVALUE("-0.000561")</f>
        <v/>
      </c>
      <c r="I1967">
        <f>_xlfn.NUMBERVALUE("0.001832")</f>
        <v/>
      </c>
      <c r="J1967">
        <f>_xlfn.NUMBERVALUE("-0.000438")</f>
        <v/>
      </c>
      <c r="K1967">
        <f>_xlfn.NUMBERVALUE("-0.000171")</f>
        <v/>
      </c>
      <c r="L1967">
        <f>_xlfn.NUMBERVALUE("-0.001548")</f>
        <v/>
      </c>
      <c r="M1967">
        <f>_xlfn.NUMBERVALUE("0.002531")</f>
        <v/>
      </c>
      <c r="N1967">
        <f>_xlfn.NUMBERVALUE("0.000992")</f>
        <v/>
      </c>
      <c r="O1967">
        <f>_xlfn.NUMBERVALUE("0.004158")</f>
        <v/>
      </c>
      <c r="P1967">
        <f>_xlfn.NUMBERVALUE("0.002753")</f>
        <v/>
      </c>
      <c r="Q1967">
        <f>_xlfn.NUMBERVALUE("0.001096")</f>
        <v/>
      </c>
      <c r="R1967">
        <f>_xlfn.NUMBERVALUE("0.002933")</f>
        <v/>
      </c>
      <c r="S1967">
        <f>_xlfn.NUMBERVALUE("0.002308")</f>
        <v/>
      </c>
      <c r="T1967">
        <f>_xlfn.NUMBERVALUE("-0.001249")</f>
        <v/>
      </c>
      <c r="U1967">
        <f>_xlfn.NUMBERVALUE("0.002737")</f>
        <v/>
      </c>
      <c r="V1967">
        <f>_xlfn.NUMBERVALUE("0.002280")</f>
        <v/>
      </c>
      <c r="W1967">
        <f>_xlfn.NUMBERVALUE("-0.006555")</f>
        <v/>
      </c>
      <c r="X1967">
        <f>_xlfn.NUMBERVALUE("-0.780000")</f>
        <v/>
      </c>
      <c r="Y1967">
        <f>_xlfn.NUMBERVALUE("29.980000")</f>
        <v/>
      </c>
    </row>
    <row r="1968">
      <c r="A1968" s="1" t="n">
        <v>44855</v>
      </c>
      <c r="B1968">
        <f>_xlfn.NUMBERVALUE("0.005604")</f>
        <v/>
      </c>
      <c r="C1968" s="2">
        <f>_xlfn.NUMBERVALUE("-0.006094")</f>
        <v/>
      </c>
      <c r="D1968">
        <f>_xlfn.NUMBERVALUE("-0.000498")</f>
        <v/>
      </c>
      <c r="E1968">
        <f>_xlfn.NUMBERVALUE("-0.001349")</f>
        <v/>
      </c>
      <c r="F1968">
        <f>_xlfn.NUMBERVALUE("-0.000241")</f>
        <v/>
      </c>
      <c r="G1968">
        <f>_xlfn.NUMBERVALUE("-0.000994")</f>
        <v/>
      </c>
      <c r="H1968">
        <f>_xlfn.NUMBERVALUE("0.000093")</f>
        <v/>
      </c>
      <c r="I1968">
        <f>_xlfn.NUMBERVALUE("-0.002946")</f>
        <v/>
      </c>
      <c r="J1968">
        <f>_xlfn.NUMBERVALUE("-0.000104")</f>
        <v/>
      </c>
      <c r="K1968">
        <f>_xlfn.NUMBERVALUE("-0.001026")</f>
        <v/>
      </c>
      <c r="L1968">
        <f>_xlfn.NUMBERVALUE("-0.000546")</f>
        <v/>
      </c>
      <c r="M1968">
        <f>_xlfn.NUMBERVALUE("-0.009187")</f>
        <v/>
      </c>
      <c r="N1968">
        <f>_xlfn.NUMBERVALUE("0.002628")</f>
        <v/>
      </c>
      <c r="O1968">
        <f>_xlfn.NUMBERVALUE("-0.002372")</f>
        <v/>
      </c>
      <c r="P1968">
        <f>_xlfn.NUMBERVALUE("-0.004704")</f>
        <v/>
      </c>
      <c r="Q1968">
        <f>_xlfn.NUMBERVALUE("-0.005622")</f>
        <v/>
      </c>
      <c r="R1968">
        <f>_xlfn.NUMBERVALUE("-0.003865")</f>
        <v/>
      </c>
      <c r="S1968">
        <f>_xlfn.NUMBERVALUE("-0.002352")</f>
        <v/>
      </c>
      <c r="T1968">
        <f>_xlfn.NUMBERVALUE("-0.002092")</f>
        <v/>
      </c>
      <c r="U1968">
        <f>_xlfn.NUMBERVALUE("-0.003512")</f>
        <v/>
      </c>
      <c r="V1968">
        <f>_xlfn.NUMBERVALUE("-0.004441")</f>
        <v/>
      </c>
      <c r="W1968">
        <f>_xlfn.NUMBERVALUE("0.025409")</f>
        <v/>
      </c>
      <c r="X1968">
        <f>_xlfn.NUMBERVALUE("-0.290000")</f>
        <v/>
      </c>
      <c r="Y1968">
        <f>_xlfn.NUMBERVALUE("29.690000")</f>
        <v/>
      </c>
    </row>
    <row r="1969">
      <c r="A1969" s="1" t="n">
        <v>44858</v>
      </c>
      <c r="B1969">
        <f>_xlfn.NUMBERVALUE("0.002469")</f>
        <v/>
      </c>
      <c r="C1969" s="2">
        <f>_xlfn.NUMBERVALUE("-0.000364")</f>
        <v/>
      </c>
      <c r="D1969">
        <f>_xlfn.NUMBERVALUE("-0.009853")</f>
        <v/>
      </c>
      <c r="E1969">
        <f>_xlfn.NUMBERVALUE("0.001401")</f>
        <v/>
      </c>
      <c r="F1969">
        <f>_xlfn.NUMBERVALUE("0.000123")</f>
        <v/>
      </c>
      <c r="G1969">
        <f>_xlfn.NUMBERVALUE("0.002173")</f>
        <v/>
      </c>
      <c r="H1969">
        <f>_xlfn.NUMBERVALUE("0.000424")</f>
        <v/>
      </c>
      <c r="I1969">
        <f>_xlfn.NUMBERVALUE("0.002206")</f>
        <v/>
      </c>
      <c r="J1969">
        <f>_xlfn.NUMBERVALUE("0.000194")</f>
        <v/>
      </c>
      <c r="K1969">
        <f>_xlfn.NUMBERVALUE("0.001325")</f>
        <v/>
      </c>
      <c r="L1969">
        <f>_xlfn.NUMBERVALUE("-0.000032")</f>
        <v/>
      </c>
      <c r="M1969">
        <f>_xlfn.NUMBERVALUE("0.002916")</f>
        <v/>
      </c>
      <c r="N1969">
        <f>_xlfn.NUMBERVALUE("0.000316")</f>
        <v/>
      </c>
      <c r="O1969">
        <f>_xlfn.NUMBERVALUE("0.003580")</f>
        <v/>
      </c>
      <c r="P1969">
        <f>_xlfn.NUMBERVALUE("0.001719")</f>
        <v/>
      </c>
      <c r="Q1969">
        <f>_xlfn.NUMBERVALUE("0.000637")</f>
        <v/>
      </c>
      <c r="R1969">
        <f>_xlfn.NUMBERVALUE("0.000540")</f>
        <v/>
      </c>
      <c r="S1969">
        <f>_xlfn.NUMBERVALUE("-0.001238")</f>
        <v/>
      </c>
      <c r="T1969">
        <f>_xlfn.NUMBERVALUE("0.002486")</f>
        <v/>
      </c>
      <c r="U1969">
        <f>_xlfn.NUMBERVALUE("0.003862")</f>
        <v/>
      </c>
      <c r="V1969">
        <f>_xlfn.NUMBERVALUE("0.000380")</f>
        <v/>
      </c>
      <c r="W1969">
        <f>_xlfn.NUMBERVALUE("0.012176")</f>
        <v/>
      </c>
      <c r="X1969">
        <f>_xlfn.NUMBERVALUE("0.160000")</f>
        <v/>
      </c>
      <c r="Y1969">
        <f>_xlfn.NUMBERVALUE("29.850000")</f>
        <v/>
      </c>
    </row>
    <row r="1970">
      <c r="A1970" s="1" t="n">
        <v>44859</v>
      </c>
      <c r="B1970">
        <f>_xlfn.NUMBERVALUE("-0.002624")</f>
        <v/>
      </c>
      <c r="C1970" s="2">
        <f>_xlfn.NUMBERVALUE("0.001107")</f>
        <v/>
      </c>
      <c r="D1970">
        <f>_xlfn.NUMBERVALUE("0.002429")</f>
        <v/>
      </c>
      <c r="E1970">
        <f>_xlfn.NUMBERVALUE("-0.001404")</f>
        <v/>
      </c>
      <c r="F1970">
        <f>_xlfn.NUMBERVALUE("0.000436")</f>
        <v/>
      </c>
      <c r="G1970">
        <f>_xlfn.NUMBERVALUE("0.001400")</f>
        <v/>
      </c>
      <c r="H1970">
        <f>_xlfn.NUMBERVALUE("-0.000425")</f>
        <v/>
      </c>
      <c r="I1970">
        <f>_xlfn.NUMBERVALUE("-0.002732")</f>
        <v/>
      </c>
      <c r="J1970">
        <f>_xlfn.NUMBERVALUE("0.001701")</f>
        <v/>
      </c>
      <c r="K1970">
        <f>_xlfn.NUMBERVALUE("0.000358")</f>
        <v/>
      </c>
      <c r="L1970">
        <f>_xlfn.NUMBERVALUE("0.000336")</f>
        <v/>
      </c>
      <c r="M1970">
        <f>_xlfn.NUMBERVALUE("-0.000422")</f>
        <v/>
      </c>
      <c r="N1970">
        <f>_xlfn.NUMBERVALUE("-0.000531")</f>
        <v/>
      </c>
      <c r="O1970">
        <f>_xlfn.NUMBERVALUE("0.002670")</f>
        <v/>
      </c>
      <c r="P1970">
        <f>_xlfn.NUMBERVALUE("0.001149")</f>
        <v/>
      </c>
      <c r="Q1970">
        <f>_xlfn.NUMBERVALUE("0.000723")</f>
        <v/>
      </c>
      <c r="R1970">
        <f>_xlfn.NUMBERVALUE("0.001583")</f>
        <v/>
      </c>
      <c r="S1970">
        <f>_xlfn.NUMBERVALUE("-0.000434")</f>
        <v/>
      </c>
      <c r="T1970">
        <f>_xlfn.NUMBERVALUE("0.000298")</f>
        <v/>
      </c>
      <c r="U1970">
        <f>_xlfn.NUMBERVALUE("-0.000242")</f>
        <v/>
      </c>
      <c r="V1970">
        <f>_xlfn.NUMBERVALUE("0.001249")</f>
        <v/>
      </c>
      <c r="W1970">
        <f>_xlfn.NUMBERVALUE("0.015485")</f>
        <v/>
      </c>
      <c r="X1970">
        <f>_xlfn.NUMBERVALUE("-1.390000")</f>
        <v/>
      </c>
      <c r="Y1970">
        <f>_xlfn.NUMBERVALUE("28.460000")</f>
        <v/>
      </c>
    </row>
    <row r="1971">
      <c r="A1971" s="1" t="n">
        <v>44860</v>
      </c>
      <c r="B1971">
        <f>_xlfn.NUMBERVALUE("0.002472")</f>
        <v/>
      </c>
      <c r="C1971" s="2">
        <f>_xlfn.NUMBERVALUE("0.001645")</f>
        <v/>
      </c>
      <c r="D1971">
        <f>_xlfn.NUMBERVALUE("0.001830")</f>
        <v/>
      </c>
      <c r="E1971">
        <f>_xlfn.NUMBERVALUE("0.000248")</f>
        <v/>
      </c>
      <c r="F1971">
        <f>_xlfn.NUMBERVALUE("0.000869")</f>
        <v/>
      </c>
      <c r="G1971">
        <f>_xlfn.NUMBERVALUE("0.001529")</f>
        <v/>
      </c>
      <c r="H1971">
        <f>_xlfn.NUMBERVALUE("0.000355")</f>
        <v/>
      </c>
      <c r="I1971">
        <f>_xlfn.NUMBERVALUE("0.003179")</f>
        <v/>
      </c>
      <c r="J1971">
        <f>_xlfn.NUMBERVALUE("0.000925")</f>
        <v/>
      </c>
      <c r="K1971">
        <f>_xlfn.NUMBERVALUE("0.004526")</f>
        <v/>
      </c>
      <c r="L1971">
        <f>_xlfn.NUMBERVALUE("0.000314")</f>
        <v/>
      </c>
      <c r="M1971">
        <f>_xlfn.NUMBERVALUE("0.002096")</f>
        <v/>
      </c>
      <c r="N1971">
        <f>_xlfn.NUMBERVALUE("0.000603")</f>
        <v/>
      </c>
      <c r="O1971">
        <f>_xlfn.NUMBERVALUE("0.000487")</f>
        <v/>
      </c>
      <c r="P1971">
        <f>_xlfn.NUMBERVALUE("0.001238")</f>
        <v/>
      </c>
      <c r="Q1971">
        <f>_xlfn.NUMBERVALUE("0.001995")</f>
        <v/>
      </c>
      <c r="R1971">
        <f>_xlfn.NUMBERVALUE("0.001422")</f>
        <v/>
      </c>
      <c r="S1971">
        <f>_xlfn.NUMBERVALUE("0.001175")</f>
        <v/>
      </c>
      <c r="T1971">
        <f>_xlfn.NUMBERVALUE("0.002586")</f>
        <v/>
      </c>
      <c r="U1971">
        <f>_xlfn.NUMBERVALUE("0.002817")</f>
        <v/>
      </c>
      <c r="V1971">
        <f>_xlfn.NUMBERVALUE("0.002914")</f>
        <v/>
      </c>
      <c r="W1971">
        <f>_xlfn.NUMBERVALUE("-0.005287")</f>
        <v/>
      </c>
      <c r="X1971">
        <f>_xlfn.NUMBERVALUE("-1.180000")</f>
        <v/>
      </c>
      <c r="Y1971">
        <f>_xlfn.NUMBERVALUE("27.280000")</f>
        <v/>
      </c>
    </row>
    <row r="1972">
      <c r="A1972" s="1" t="n">
        <v>44861</v>
      </c>
      <c r="B1972">
        <f>_xlfn.NUMBERVALUE("0.002547")</f>
        <v/>
      </c>
      <c r="C1972" s="2">
        <f>_xlfn.NUMBERVALUE("0.000374")</f>
        <v/>
      </c>
      <c r="D1972">
        <f>_xlfn.NUMBERVALUE("-0.000519")</f>
        <v/>
      </c>
      <c r="E1972">
        <f>_xlfn.NUMBERVALUE("0.002347")</f>
        <v/>
      </c>
      <c r="F1972">
        <f>_xlfn.NUMBERVALUE("0.000339")</f>
        <v/>
      </c>
      <c r="G1972">
        <f>_xlfn.NUMBERVALUE("-0.001722")</f>
        <v/>
      </c>
      <c r="H1972">
        <f>_xlfn.NUMBERVALUE("-0.000740")</f>
        <v/>
      </c>
      <c r="I1972">
        <f>_xlfn.NUMBERVALUE("0.002377")</f>
        <v/>
      </c>
      <c r="J1972">
        <f>_xlfn.NUMBERVALUE("0.000092")</f>
        <v/>
      </c>
      <c r="K1972">
        <f>_xlfn.NUMBERVALUE("-0.000631")</f>
        <v/>
      </c>
      <c r="L1972">
        <f>_xlfn.NUMBERVALUE("-0.000100")</f>
        <v/>
      </c>
      <c r="M1972">
        <f>_xlfn.NUMBERVALUE("0.006135")</f>
        <v/>
      </c>
      <c r="N1972">
        <f>_xlfn.NUMBERVALUE("-0.005414")</f>
        <v/>
      </c>
      <c r="O1972">
        <f>_xlfn.NUMBERVALUE("0.001068")</f>
        <v/>
      </c>
      <c r="P1972">
        <f>_xlfn.NUMBERVALUE("0.000429")</f>
        <v/>
      </c>
      <c r="Q1972">
        <f>_xlfn.NUMBERVALUE("0.000073")</f>
        <v/>
      </c>
      <c r="R1972">
        <f>_xlfn.NUMBERVALUE("0.001605")</f>
        <v/>
      </c>
      <c r="S1972">
        <f>_xlfn.NUMBERVALUE("0.001431")</f>
        <v/>
      </c>
      <c r="T1972">
        <f>_xlfn.NUMBERVALUE("0.000246")</f>
        <v/>
      </c>
      <c r="U1972">
        <f>_xlfn.NUMBERVALUE("0.000847")</f>
        <v/>
      </c>
      <c r="V1972">
        <f>_xlfn.NUMBERVALUE("0.002399")</f>
        <v/>
      </c>
      <c r="W1972">
        <f>_xlfn.NUMBERVALUE("-0.006072")</f>
        <v/>
      </c>
      <c r="X1972">
        <f>_xlfn.NUMBERVALUE("0.110000")</f>
        <v/>
      </c>
      <c r="Y1972">
        <f>_xlfn.NUMBERVALUE("27.390000")</f>
        <v/>
      </c>
    </row>
    <row r="1973">
      <c r="A1973" s="1" t="n">
        <v>44862</v>
      </c>
      <c r="B1973">
        <f>_xlfn.NUMBERVALUE("0.001286")</f>
        <v/>
      </c>
      <c r="C1973" s="2">
        <f>_xlfn.NUMBERVALUE("-0.000988")</f>
        <v/>
      </c>
      <c r="D1973">
        <f>_xlfn.NUMBERVALUE("0.001067")</f>
        <v/>
      </c>
      <c r="E1973">
        <f>_xlfn.NUMBERVALUE("0.003733")</f>
        <v/>
      </c>
      <c r="F1973">
        <f>_xlfn.NUMBERVALUE("-0.000127")</f>
        <v/>
      </c>
      <c r="G1973">
        <f>_xlfn.NUMBERVALUE("-0.000566")</f>
        <v/>
      </c>
      <c r="H1973">
        <f>_xlfn.NUMBERVALUE("0.000170")</f>
        <v/>
      </c>
      <c r="I1973">
        <f>_xlfn.NUMBERVALUE("-0.000353")</f>
        <v/>
      </c>
      <c r="J1973">
        <f>_xlfn.NUMBERVALUE("0.001130")</f>
        <v/>
      </c>
      <c r="K1973">
        <f>_xlfn.NUMBERVALUE("0.000833")</f>
        <v/>
      </c>
      <c r="L1973">
        <f>_xlfn.NUMBERVALUE("0.000413")</f>
        <v/>
      </c>
      <c r="M1973">
        <f>_xlfn.NUMBERVALUE("-0.002877")</f>
        <v/>
      </c>
      <c r="N1973">
        <f>_xlfn.NUMBERVALUE("0.000833")</f>
        <v/>
      </c>
      <c r="O1973">
        <f>_xlfn.NUMBERVALUE("0.003480")</f>
        <v/>
      </c>
      <c r="P1973">
        <f>_xlfn.NUMBERVALUE("-0.000520")</f>
        <v/>
      </c>
      <c r="Q1973">
        <f>_xlfn.NUMBERVALUE("-0.000159")</f>
        <v/>
      </c>
      <c r="R1973">
        <f>_xlfn.NUMBERVALUE("-0.007857")</f>
        <v/>
      </c>
      <c r="S1973">
        <f>_xlfn.NUMBERVALUE("-0.001432")</f>
        <v/>
      </c>
      <c r="T1973">
        <f>_xlfn.NUMBERVALUE("-0.003229")</f>
        <v/>
      </c>
      <c r="U1973">
        <f>_xlfn.NUMBERVALUE("0.007558")</f>
        <v/>
      </c>
      <c r="V1973">
        <f>_xlfn.NUMBERVALUE("-0.002580")</f>
        <v/>
      </c>
      <c r="W1973">
        <f>_xlfn.NUMBERVALUE("0.021848")</f>
        <v/>
      </c>
      <c r="X1973">
        <f>_xlfn.NUMBERVALUE("-1.640000")</f>
        <v/>
      </c>
      <c r="Y1973">
        <f>_xlfn.NUMBERVALUE("25.750000")</f>
        <v/>
      </c>
    </row>
    <row r="1974">
      <c r="A1974" s="1" t="n">
        <v>44865</v>
      </c>
      <c r="B1974">
        <f>_xlfn.NUMBERVALUE("0.007226")</f>
        <v/>
      </c>
      <c r="C1974" s="2">
        <f>_xlfn.NUMBERVALUE("0.000512")</f>
        <v/>
      </c>
      <c r="D1974">
        <f>_xlfn.NUMBERVALUE("0.000354")</f>
        <v/>
      </c>
      <c r="E1974">
        <f>_xlfn.NUMBERVALUE("0.005513")</f>
        <v/>
      </c>
      <c r="F1974">
        <f>_xlfn.NUMBERVALUE("-0.000264")</f>
        <v/>
      </c>
      <c r="G1974">
        <f>_xlfn.NUMBERVALUE("0.001999")</f>
        <v/>
      </c>
      <c r="H1974">
        <f>_xlfn.NUMBERVALUE("0.000406")</f>
        <v/>
      </c>
      <c r="I1974">
        <f>_xlfn.NUMBERVALUE("0.002602")</f>
        <v/>
      </c>
      <c r="J1974">
        <f>_xlfn.NUMBERVALUE("0.000712")</f>
        <v/>
      </c>
      <c r="K1974">
        <f>_xlfn.NUMBERVALUE("0.000292")</f>
        <v/>
      </c>
      <c r="L1974">
        <f>_xlfn.NUMBERVALUE("0.000511")</f>
        <v/>
      </c>
      <c r="M1974">
        <f>_xlfn.NUMBERVALUE("0.001503")</f>
        <v/>
      </c>
      <c r="N1974">
        <f>_xlfn.NUMBERVALUE("0.001138")</f>
        <v/>
      </c>
      <c r="O1974">
        <f>_xlfn.NUMBERVALUE("0.001650")</f>
        <v/>
      </c>
      <c r="P1974">
        <f>_xlfn.NUMBERVALUE("0.001091")</f>
        <v/>
      </c>
      <c r="Q1974">
        <f>_xlfn.NUMBERVALUE("0.000180")</f>
        <v/>
      </c>
      <c r="R1974">
        <f>_xlfn.NUMBERVALUE("0.002433")</f>
        <v/>
      </c>
      <c r="S1974">
        <f>_xlfn.NUMBERVALUE("0.000653")</f>
        <v/>
      </c>
      <c r="T1974">
        <f>_xlfn.NUMBERVALUE("0.003246")</f>
        <v/>
      </c>
      <c r="U1974">
        <f>_xlfn.NUMBERVALUE("0.003157")</f>
        <v/>
      </c>
      <c r="V1974">
        <f>_xlfn.NUMBERVALUE("0.003727")</f>
        <v/>
      </c>
      <c r="W1974">
        <f>_xlfn.NUMBERVALUE("-0.004783")</f>
        <v/>
      </c>
      <c r="X1974">
        <f>_xlfn.NUMBERVALUE("0.130000")</f>
        <v/>
      </c>
      <c r="Y1974">
        <f>_xlfn.NUMBERVALUE("25.880000")</f>
        <v/>
      </c>
    </row>
    <row r="1975">
      <c r="A1975" s="1" t="n">
        <v>44866</v>
      </c>
      <c r="B1975">
        <f>_xlfn.NUMBERVALUE("0.005529")</f>
        <v/>
      </c>
      <c r="C1975" s="2">
        <f>_xlfn.NUMBERVALUE("0.000078")</f>
        <v/>
      </c>
      <c r="D1975">
        <f>_xlfn.NUMBERVALUE("0.000076")</f>
        <v/>
      </c>
      <c r="E1975">
        <f>_xlfn.NUMBERVALUE("0.002637")</f>
        <v/>
      </c>
      <c r="F1975">
        <f>_xlfn.NUMBERVALUE("-0.000100")</f>
        <v/>
      </c>
      <c r="G1975">
        <f>_xlfn.NUMBERVALUE("0.003042")</f>
        <v/>
      </c>
      <c r="H1975">
        <f>_xlfn.NUMBERVALUE("0.000810")</f>
        <v/>
      </c>
      <c r="I1975">
        <f>_xlfn.NUMBERVALUE("0.001060")</f>
        <v/>
      </c>
      <c r="J1975">
        <f>_xlfn.NUMBERVALUE("0.001239")</f>
        <v/>
      </c>
      <c r="K1975">
        <f>_xlfn.NUMBERVALUE("0.000024")</f>
        <v/>
      </c>
      <c r="L1975">
        <f>_xlfn.NUMBERVALUE("0.000835")</f>
        <v/>
      </c>
      <c r="M1975">
        <f>_xlfn.NUMBERVALUE("0.001740")</f>
        <v/>
      </c>
      <c r="N1975">
        <f>_xlfn.NUMBERVALUE("0.000776")</f>
        <v/>
      </c>
      <c r="O1975">
        <f>_xlfn.NUMBERVALUE("0.001300")</f>
        <v/>
      </c>
      <c r="P1975">
        <f>_xlfn.NUMBERVALUE("0.000664")</f>
        <v/>
      </c>
      <c r="Q1975">
        <f>_xlfn.NUMBERVALUE("0.000339")</f>
        <v/>
      </c>
      <c r="R1975">
        <f>_xlfn.NUMBERVALUE("0.001034")</f>
        <v/>
      </c>
      <c r="S1975">
        <f>_xlfn.NUMBERVALUE("0.000176")</f>
        <v/>
      </c>
      <c r="T1975">
        <f>_xlfn.NUMBERVALUE("-0.000157")</f>
        <v/>
      </c>
      <c r="U1975">
        <f>_xlfn.NUMBERVALUE("0.000942")</f>
        <v/>
      </c>
      <c r="V1975">
        <f>_xlfn.NUMBERVALUE("0.002883")</f>
        <v/>
      </c>
      <c r="W1975">
        <f>_xlfn.NUMBERVALUE("-0.005490")</f>
        <v/>
      </c>
      <c r="X1975">
        <f>_xlfn.NUMBERVALUE("-0.070000")</f>
        <v/>
      </c>
      <c r="Y1975">
        <f>_xlfn.NUMBERVALUE("25.810000")</f>
        <v/>
      </c>
    </row>
    <row r="1976">
      <c r="A1976" s="1" t="n">
        <v>44867</v>
      </c>
      <c r="B1976">
        <f>_xlfn.NUMBERVALUE("0.000316")</f>
        <v/>
      </c>
      <c r="C1976" s="2">
        <f>_xlfn.NUMBERVALUE("0.000025")</f>
        <v/>
      </c>
      <c r="D1976">
        <f>_xlfn.NUMBERVALUE("-0.000011")</f>
        <v/>
      </c>
      <c r="E1976">
        <f>_xlfn.NUMBERVALUE("0.005777")</f>
        <v/>
      </c>
      <c r="F1976">
        <f>_xlfn.NUMBERVALUE("-0.000094")</f>
        <v/>
      </c>
      <c r="G1976">
        <f>_xlfn.NUMBERVALUE("0.003459")</f>
        <v/>
      </c>
      <c r="H1976">
        <f>_xlfn.NUMBERVALUE("-0.000058")</f>
        <v/>
      </c>
      <c r="I1976">
        <f>_xlfn.NUMBERVALUE("0.004565")</f>
        <v/>
      </c>
      <c r="J1976">
        <f>_xlfn.NUMBERVALUE("-0.000072")</f>
        <v/>
      </c>
      <c r="K1976">
        <f>_xlfn.NUMBERVALUE("-0.000110")</f>
        <v/>
      </c>
      <c r="L1976">
        <f>_xlfn.NUMBERVALUE("-0.000243")</f>
        <v/>
      </c>
      <c r="M1976">
        <f>_xlfn.NUMBERVALUE("-0.034030")</f>
        <v/>
      </c>
      <c r="N1976">
        <f>_xlfn.NUMBERVALUE("-0.001160")</f>
        <v/>
      </c>
      <c r="O1976">
        <f>_xlfn.NUMBERVALUE("0.001612")</f>
        <v/>
      </c>
      <c r="P1976">
        <f>_xlfn.NUMBERVALUE("0.000229")</f>
        <v/>
      </c>
      <c r="Q1976">
        <f>_xlfn.NUMBERVALUE("0.003767")</f>
        <v/>
      </c>
      <c r="R1976">
        <f>_xlfn.NUMBERVALUE("-0.001498")</f>
        <v/>
      </c>
      <c r="S1976">
        <f>_xlfn.NUMBERVALUE("0.000798")</f>
        <v/>
      </c>
      <c r="T1976">
        <f>_xlfn.NUMBERVALUE("0.001961")</f>
        <v/>
      </c>
      <c r="U1976">
        <f>_xlfn.NUMBERVALUE("-0.010279")</f>
        <v/>
      </c>
      <c r="V1976">
        <f>_xlfn.NUMBERVALUE("0.003509")</f>
        <v/>
      </c>
      <c r="W1976">
        <f>_xlfn.NUMBERVALUE("-0.010717")</f>
        <v/>
      </c>
      <c r="X1976">
        <f>_xlfn.NUMBERVALUE("0.050000")</f>
        <v/>
      </c>
      <c r="Y1976">
        <f>_xlfn.NUMBERVALUE("25.860000")</f>
        <v/>
      </c>
    </row>
    <row r="1977">
      <c r="A1977" s="1" t="n">
        <v>44868</v>
      </c>
      <c r="B1977">
        <f>_xlfn.NUMBERVALUE("0.003945")</f>
        <v/>
      </c>
      <c r="C1977" s="2">
        <f>_xlfn.NUMBERVALUE("0.001688")</f>
        <v/>
      </c>
      <c r="D1977">
        <f>_xlfn.NUMBERVALUE("0.002082")</f>
        <v/>
      </c>
      <c r="E1977">
        <f>_xlfn.NUMBERVALUE("0.011629")</f>
        <v/>
      </c>
      <c r="F1977">
        <f>_xlfn.NUMBERVALUE("0.000032")</f>
        <v/>
      </c>
      <c r="G1977">
        <f>_xlfn.NUMBERVALUE("0.000894")</f>
        <v/>
      </c>
      <c r="H1977">
        <f>_xlfn.NUMBERVALUE("0.000997")</f>
        <v/>
      </c>
      <c r="I1977">
        <f>_xlfn.NUMBERVALUE("0.001684")</f>
        <v/>
      </c>
      <c r="J1977">
        <f>_xlfn.NUMBERVALUE("0.002033")</f>
        <v/>
      </c>
      <c r="K1977">
        <f>_xlfn.NUMBERVALUE("-0.000061")</f>
        <v/>
      </c>
      <c r="L1977">
        <f>_xlfn.NUMBERVALUE("0.000411")</f>
        <v/>
      </c>
      <c r="M1977">
        <f>_xlfn.NUMBERVALUE("0.034980")</f>
        <v/>
      </c>
      <c r="N1977">
        <f>_xlfn.NUMBERVALUE("-0.002225")</f>
        <v/>
      </c>
      <c r="O1977">
        <f>_xlfn.NUMBERVALUE("-0.000809")</f>
        <v/>
      </c>
      <c r="P1977">
        <f>_xlfn.NUMBERVALUE("0.000987")</f>
        <v/>
      </c>
      <c r="Q1977">
        <f>_xlfn.NUMBERVALUE("-0.002957")</f>
        <v/>
      </c>
      <c r="R1977">
        <f>_xlfn.NUMBERVALUE("-0.001746")</f>
        <v/>
      </c>
      <c r="S1977">
        <f>_xlfn.NUMBERVALUE("0.000744")</f>
        <v/>
      </c>
      <c r="T1977">
        <f>_xlfn.NUMBERVALUE("0.001288")</f>
        <v/>
      </c>
      <c r="U1977">
        <f>_xlfn.NUMBERVALUE("0.006885")</f>
        <v/>
      </c>
      <c r="V1977">
        <f>_xlfn.NUMBERVALUE("0.001588")</f>
        <v/>
      </c>
      <c r="W1977">
        <f>_xlfn.NUMBERVALUE("-0.011735")</f>
        <v/>
      </c>
      <c r="X1977">
        <f>_xlfn.NUMBERVALUE("-0.560000")</f>
        <v/>
      </c>
      <c r="Y1977">
        <f>_xlfn.NUMBERVALUE("25.300000")</f>
        <v/>
      </c>
    </row>
    <row r="1978">
      <c r="A1978" s="1" t="n">
        <v>44869</v>
      </c>
      <c r="B1978">
        <f>_xlfn.NUMBERVALUE("0.004439")</f>
        <v/>
      </c>
      <c r="C1978" s="2">
        <f>_xlfn.NUMBERVALUE("0.001653")</f>
        <v/>
      </c>
      <c r="D1978">
        <f>_xlfn.NUMBERVALUE("-0.013811")</f>
        <v/>
      </c>
      <c r="E1978">
        <f>_xlfn.NUMBERVALUE("-0.008329")</f>
        <v/>
      </c>
      <c r="F1978">
        <f>_xlfn.NUMBERVALUE("-0.008019")</f>
        <v/>
      </c>
      <c r="G1978">
        <f>_xlfn.NUMBERVALUE("0.000985")</f>
        <v/>
      </c>
      <c r="H1978">
        <f>_xlfn.NUMBERVALUE("0.002725")</f>
        <v/>
      </c>
      <c r="I1978">
        <f>_xlfn.NUMBERVALUE("0.002810")</f>
        <v/>
      </c>
      <c r="J1978">
        <f>_xlfn.NUMBERVALUE("0.002596")</f>
        <v/>
      </c>
      <c r="K1978">
        <f>_xlfn.NUMBERVALUE("-0.021070")</f>
        <v/>
      </c>
      <c r="L1978">
        <f>_xlfn.NUMBERVALUE("0.002117")</f>
        <v/>
      </c>
      <c r="M1978">
        <f>_xlfn.NUMBERVALUE("-0.003070")</f>
        <v/>
      </c>
      <c r="N1978">
        <f>_xlfn.NUMBERVALUE("0.002532")</f>
        <v/>
      </c>
      <c r="O1978">
        <f>_xlfn.NUMBERVALUE("0.000156")</f>
        <v/>
      </c>
      <c r="P1978">
        <f>_xlfn.NUMBERVALUE("-0.000120")</f>
        <v/>
      </c>
      <c r="Q1978">
        <f>_xlfn.NUMBERVALUE("0.000462")</f>
        <v/>
      </c>
      <c r="R1978">
        <f>_xlfn.NUMBERVALUE("0.007192")</f>
        <v/>
      </c>
      <c r="S1978">
        <f>_xlfn.NUMBERVALUE("-0.000576")</f>
        <v/>
      </c>
      <c r="T1978">
        <f>_xlfn.NUMBERVALUE("0.002785")</f>
        <v/>
      </c>
      <c r="U1978">
        <f>_xlfn.NUMBERVALUE("0.008453")</f>
        <v/>
      </c>
      <c r="V1978">
        <f>_xlfn.NUMBERVALUE("0.001074")</f>
        <v/>
      </c>
      <c r="W1978">
        <f>_xlfn.NUMBERVALUE("0.009806")</f>
        <v/>
      </c>
      <c r="X1978">
        <f>_xlfn.NUMBERVALUE("-0.750000")</f>
        <v/>
      </c>
      <c r="Y1978">
        <f>_xlfn.NUMBERVALUE("24.550000")</f>
        <v/>
      </c>
    </row>
    <row r="1979">
      <c r="A1979" s="1" t="n">
        <v>44872</v>
      </c>
      <c r="B1979">
        <f>_xlfn.NUMBERVALUE("0.004126")</f>
        <v/>
      </c>
      <c r="C1979" s="2">
        <f>_xlfn.NUMBERVALUE("-0.000195")</f>
        <v/>
      </c>
      <c r="D1979">
        <f>_xlfn.NUMBERVALUE("0.005123")</f>
        <v/>
      </c>
      <c r="E1979">
        <f>_xlfn.NUMBERVALUE("-0.001614")</f>
        <v/>
      </c>
      <c r="F1979">
        <f>_xlfn.NUMBERVALUE("0.001403")</f>
        <v/>
      </c>
      <c r="G1979">
        <f>_xlfn.NUMBERVALUE("0.001686")</f>
        <v/>
      </c>
      <c r="H1979">
        <f>_xlfn.NUMBERVALUE("0.000860")</f>
        <v/>
      </c>
      <c r="I1979">
        <f>_xlfn.NUMBERVALUE("0.002429")</f>
        <v/>
      </c>
      <c r="J1979">
        <f>_xlfn.NUMBERVALUE("0.001510")</f>
        <v/>
      </c>
      <c r="K1979">
        <f>_xlfn.NUMBERVALUE("0.002535")</f>
        <v/>
      </c>
      <c r="L1979">
        <f>_xlfn.NUMBERVALUE("0.000646")</f>
        <v/>
      </c>
      <c r="M1979">
        <f>_xlfn.NUMBERVALUE("-0.000282")</f>
        <v/>
      </c>
      <c r="N1979">
        <f>_xlfn.NUMBERVALUE("0.000397")</f>
        <v/>
      </c>
      <c r="O1979">
        <f>_xlfn.NUMBERVALUE("0.000167")</f>
        <v/>
      </c>
      <c r="P1979">
        <f>_xlfn.NUMBERVALUE("0.000100")</f>
        <v/>
      </c>
      <c r="Q1979">
        <f>_xlfn.NUMBERVALUE("-0.000159")</f>
        <v/>
      </c>
      <c r="R1979">
        <f>_xlfn.NUMBERVALUE("0.011472")</f>
        <v/>
      </c>
      <c r="S1979">
        <f>_xlfn.NUMBERVALUE("-0.000164")</f>
        <v/>
      </c>
      <c r="T1979">
        <f>_xlfn.NUMBERVALUE("0.001858")</f>
        <v/>
      </c>
      <c r="U1979">
        <f>_xlfn.NUMBERVALUE("0.005324")</f>
        <v/>
      </c>
      <c r="V1979">
        <f>_xlfn.NUMBERVALUE("0.001635")</f>
        <v/>
      </c>
      <c r="W1979">
        <f>_xlfn.NUMBERVALUE("0.011009")</f>
        <v/>
      </c>
      <c r="X1979">
        <f>_xlfn.NUMBERVALUE("-0.200000")</f>
        <v/>
      </c>
      <c r="Y1979">
        <f>_xlfn.NUMBERVALUE("24.350000")</f>
        <v/>
      </c>
    </row>
    <row r="1980">
      <c r="A1980" s="1" t="n">
        <v>44873</v>
      </c>
      <c r="B1980">
        <f>_xlfn.NUMBERVALUE("-0.001019")</f>
        <v/>
      </c>
      <c r="C1980" s="2">
        <f>_xlfn.NUMBERVALUE("-0.004001")</f>
        <v/>
      </c>
      <c r="D1980">
        <f>_xlfn.NUMBERVALUE("0.001103")</f>
        <v/>
      </c>
      <c r="E1980">
        <f>_xlfn.NUMBERVALUE("0.000631")</f>
        <v/>
      </c>
      <c r="F1980">
        <f>_xlfn.NUMBERVALUE("-0.004859")</f>
        <v/>
      </c>
      <c r="G1980">
        <f>_xlfn.NUMBERVALUE("0.000894")</f>
        <v/>
      </c>
      <c r="H1980">
        <f>_xlfn.NUMBERVALUE("0.000075")</f>
        <v/>
      </c>
      <c r="I1980">
        <f>_xlfn.NUMBERVALUE("0.000068")</f>
        <v/>
      </c>
      <c r="J1980">
        <f>_xlfn.NUMBERVALUE("0.000690")</f>
        <v/>
      </c>
      <c r="K1980">
        <f>_xlfn.NUMBERVALUE("-0.004089")</f>
        <v/>
      </c>
      <c r="L1980">
        <f>_xlfn.NUMBERVALUE("0.000304")</f>
        <v/>
      </c>
      <c r="M1980">
        <f>_xlfn.NUMBERVALUE("-0.005477")</f>
        <v/>
      </c>
      <c r="N1980">
        <f>_xlfn.NUMBERVALUE("0.000350")</f>
        <v/>
      </c>
      <c r="O1980">
        <f>_xlfn.NUMBERVALUE("-0.000113")</f>
        <v/>
      </c>
      <c r="P1980">
        <f>_xlfn.NUMBERVALUE("-0.001272")</f>
        <v/>
      </c>
      <c r="Q1980">
        <f>_xlfn.NUMBERVALUE("-0.003020")</f>
        <v/>
      </c>
      <c r="R1980">
        <f>_xlfn.NUMBERVALUE("-0.002150")</f>
        <v/>
      </c>
      <c r="S1980">
        <f>_xlfn.NUMBERVALUE("-0.001104")</f>
        <v/>
      </c>
      <c r="T1980">
        <f>_xlfn.NUMBERVALUE("-0.000167")</f>
        <v/>
      </c>
      <c r="U1980">
        <f>_xlfn.NUMBERVALUE("-0.000205")</f>
        <v/>
      </c>
      <c r="V1980">
        <f>_xlfn.NUMBERVALUE("-0.001287")</f>
        <v/>
      </c>
      <c r="W1980">
        <f>_xlfn.NUMBERVALUE("0.008478")</f>
        <v/>
      </c>
      <c r="X1980">
        <f>_xlfn.NUMBERVALUE("1.190000")</f>
        <v/>
      </c>
      <c r="Y1980">
        <f>_xlfn.NUMBERVALUE("25.540000")</f>
        <v/>
      </c>
    </row>
    <row r="1981">
      <c r="A1981" s="1" t="n">
        <v>44874</v>
      </c>
      <c r="B1981">
        <f>_xlfn.NUMBERVALUE("-0.009953")</f>
        <v/>
      </c>
      <c r="C1981" s="2">
        <f>_xlfn.NUMBERVALUE("-0.000619")</f>
        <v/>
      </c>
      <c r="D1981">
        <f>_xlfn.NUMBERVALUE("-0.000292")</f>
        <v/>
      </c>
      <c r="E1981">
        <f>_xlfn.NUMBERVALUE("0.000742")</f>
        <v/>
      </c>
      <c r="F1981">
        <f>_xlfn.NUMBERVALUE("0.000557")</f>
        <v/>
      </c>
      <c r="G1981">
        <f>_xlfn.NUMBERVALUE("-0.002190")</f>
        <v/>
      </c>
      <c r="H1981">
        <f>_xlfn.NUMBERVALUE("0.000707")</f>
        <v/>
      </c>
      <c r="I1981">
        <f>_xlfn.NUMBERVALUE("-0.002788")</f>
        <v/>
      </c>
      <c r="J1981">
        <f>_xlfn.NUMBERVALUE("0.000924")</f>
        <v/>
      </c>
      <c r="K1981">
        <f>_xlfn.NUMBERVALUE("0.002032")</f>
        <v/>
      </c>
      <c r="L1981">
        <f>_xlfn.NUMBERVALUE("0.000019")</f>
        <v/>
      </c>
      <c r="M1981">
        <f>_xlfn.NUMBERVALUE("0.000183")</f>
        <v/>
      </c>
      <c r="N1981">
        <f>_xlfn.NUMBERVALUE("-0.001681")</f>
        <v/>
      </c>
      <c r="O1981">
        <f>_xlfn.NUMBERVALUE("-0.011494")</f>
        <v/>
      </c>
      <c r="P1981">
        <f>_xlfn.NUMBERVALUE("-0.001405")</f>
        <v/>
      </c>
      <c r="Q1981">
        <f>_xlfn.NUMBERVALUE("-0.000177")</f>
        <v/>
      </c>
      <c r="R1981">
        <f>_xlfn.NUMBERVALUE("-0.002903")</f>
        <v/>
      </c>
      <c r="S1981">
        <f>_xlfn.NUMBERVALUE("0.000668")</f>
        <v/>
      </c>
      <c r="T1981">
        <f>_xlfn.NUMBERVALUE("0.000931")</f>
        <v/>
      </c>
      <c r="U1981">
        <f>_xlfn.NUMBERVALUE("-0.002500")</f>
        <v/>
      </c>
      <c r="V1981">
        <f>_xlfn.NUMBERVALUE("-0.001756")</f>
        <v/>
      </c>
      <c r="W1981">
        <f>_xlfn.NUMBERVALUE("-0.022857")</f>
        <v/>
      </c>
      <c r="X1981">
        <f>_xlfn.NUMBERVALUE("0.550000")</f>
        <v/>
      </c>
      <c r="Y1981">
        <f>_xlfn.NUMBERVALUE("26.090000")</f>
        <v/>
      </c>
    </row>
    <row r="1982">
      <c r="A1982" s="1" t="n">
        <v>44875</v>
      </c>
      <c r="B1982">
        <f>_xlfn.NUMBERVALUE("-0.043602")</f>
        <v/>
      </c>
      <c r="C1982" s="2">
        <f>_xlfn.NUMBERVALUE("-0.005699")</f>
        <v/>
      </c>
      <c r="D1982">
        <f>_xlfn.NUMBERVALUE("-0.007013")</f>
        <v/>
      </c>
      <c r="E1982">
        <f>_xlfn.NUMBERVALUE("-0.015333")</f>
        <v/>
      </c>
      <c r="F1982">
        <f>_xlfn.NUMBERVALUE("-0.004101")</f>
        <v/>
      </c>
      <c r="G1982">
        <f>_xlfn.NUMBERVALUE("-0.008761")</f>
        <v/>
      </c>
      <c r="H1982">
        <f>_xlfn.NUMBERVALUE("-0.007666")</f>
        <v/>
      </c>
      <c r="I1982">
        <f>_xlfn.NUMBERVALUE("-0.017192")</f>
        <v/>
      </c>
      <c r="J1982">
        <f>_xlfn.NUMBERVALUE("-0.013459")</f>
        <v/>
      </c>
      <c r="K1982">
        <f>_xlfn.NUMBERVALUE("-0.001516")</f>
        <v/>
      </c>
      <c r="L1982">
        <f>_xlfn.NUMBERVALUE("-0.008195")</f>
        <v/>
      </c>
      <c r="M1982">
        <f>_xlfn.NUMBERVALUE("-0.012971")</f>
        <v/>
      </c>
      <c r="N1982">
        <f>_xlfn.NUMBERVALUE("-0.010739")</f>
        <v/>
      </c>
      <c r="O1982">
        <f>_xlfn.NUMBERVALUE("0.003259")</f>
        <v/>
      </c>
      <c r="P1982">
        <f>_xlfn.NUMBERVALUE("-0.012349")</f>
        <v/>
      </c>
      <c r="Q1982">
        <f>_xlfn.NUMBERVALUE("-0.007361")</f>
        <v/>
      </c>
      <c r="R1982">
        <f>_xlfn.NUMBERVALUE("-0.022466")</f>
        <v/>
      </c>
      <c r="S1982">
        <f>_xlfn.NUMBERVALUE("-0.001793")</f>
        <v/>
      </c>
      <c r="T1982">
        <f>_xlfn.NUMBERVALUE("-0.011284")</f>
        <v/>
      </c>
      <c r="U1982">
        <f>_xlfn.NUMBERVALUE("-0.016726")</f>
        <v/>
      </c>
      <c r="V1982">
        <f>_xlfn.NUMBERVALUE("-0.014633")</f>
        <v/>
      </c>
      <c r="W1982">
        <f>_xlfn.NUMBERVALUE("0.051857")</f>
        <v/>
      </c>
      <c r="X1982">
        <f>_xlfn.NUMBERVALUE("-2.560000")</f>
        <v/>
      </c>
      <c r="Y1982">
        <f>_xlfn.NUMBERVALUE("23.530000")</f>
        <v/>
      </c>
    </row>
    <row r="1983">
      <c r="A1983" s="1" t="n">
        <v>44876</v>
      </c>
      <c r="B1983">
        <f>_xlfn.NUMBERVALUE("-0.023644")</f>
        <v/>
      </c>
      <c r="C1983" s="2">
        <f>_xlfn.NUMBERVALUE("0.001809")</f>
        <v/>
      </c>
      <c r="D1983">
        <f>_xlfn.NUMBERVALUE("-0.002316")</f>
        <v/>
      </c>
      <c r="E1983">
        <f>_xlfn.NUMBERVALUE("-0.001463")</f>
        <v/>
      </c>
      <c r="F1983">
        <f>_xlfn.NUMBERVALUE("-0.000099")</f>
        <v/>
      </c>
      <c r="G1983">
        <f>_xlfn.NUMBERVALUE("-0.000088")</f>
        <v/>
      </c>
      <c r="H1983">
        <f>_xlfn.NUMBERVALUE("0.000358")</f>
        <v/>
      </c>
      <c r="I1983">
        <f>_xlfn.NUMBERVALUE("0.002049")</f>
        <v/>
      </c>
      <c r="J1983">
        <f>_xlfn.NUMBERVALUE("0.000684")</f>
        <v/>
      </c>
      <c r="K1983">
        <f>_xlfn.NUMBERVALUE("0.001777")</f>
        <v/>
      </c>
      <c r="L1983">
        <f>_xlfn.NUMBERVALUE("0.003257")</f>
        <v/>
      </c>
      <c r="M1983">
        <f>_xlfn.NUMBERVALUE("-0.000196")</f>
        <v/>
      </c>
      <c r="N1983">
        <f>_xlfn.NUMBERVALUE("-0.004075")</f>
        <v/>
      </c>
      <c r="O1983">
        <f>_xlfn.NUMBERVALUE("-0.001707")</f>
        <v/>
      </c>
      <c r="P1983">
        <f>_xlfn.NUMBERVALUE("0.000504")</f>
        <v/>
      </c>
      <c r="Q1983">
        <f>_xlfn.NUMBERVALUE("0.001810")</f>
        <v/>
      </c>
      <c r="R1983">
        <f>_xlfn.NUMBERVALUE("-0.001527")</f>
        <v/>
      </c>
      <c r="S1983">
        <f>_xlfn.NUMBERVALUE("0.001941")</f>
        <v/>
      </c>
      <c r="T1983">
        <f>_xlfn.NUMBERVALUE("0.001629")</f>
        <v/>
      </c>
      <c r="U1983">
        <f>_xlfn.NUMBERVALUE("-0.003303")</f>
        <v/>
      </c>
      <c r="V1983">
        <f>_xlfn.NUMBERVALUE("0.000153")</f>
        <v/>
      </c>
      <c r="W1983">
        <f>_xlfn.NUMBERVALUE("0.012922")</f>
        <v/>
      </c>
      <c r="X1983">
        <f>_xlfn.NUMBERVALUE("-1.010000")</f>
        <v/>
      </c>
      <c r="Y1983">
        <f>_xlfn.NUMBERVALUE("22.520000")</f>
        <v/>
      </c>
    </row>
    <row r="1984">
      <c r="A1984" s="1" t="n">
        <v>44879</v>
      </c>
      <c r="B1984">
        <f>_xlfn.NUMBERVALUE("0.003656")</f>
        <v/>
      </c>
      <c r="C1984" s="2">
        <f>_xlfn.NUMBERVALUE("0.002316")</f>
        <v/>
      </c>
      <c r="D1984">
        <f>_xlfn.NUMBERVALUE("0.002003")</f>
        <v/>
      </c>
      <c r="E1984">
        <f>_xlfn.NUMBERVALUE("0.000702")</f>
        <v/>
      </c>
      <c r="F1984">
        <f>_xlfn.NUMBERVALUE("0.000559")</f>
        <v/>
      </c>
      <c r="G1984">
        <f>_xlfn.NUMBERVALUE("0.002621")</f>
        <v/>
      </c>
      <c r="H1984">
        <f>_xlfn.NUMBERVALUE("0.000473")</f>
        <v/>
      </c>
      <c r="I1984">
        <f>_xlfn.NUMBERVALUE("0.003161")</f>
        <v/>
      </c>
      <c r="J1984">
        <f>_xlfn.NUMBERVALUE("0.000500")</f>
        <v/>
      </c>
      <c r="K1984">
        <f>_xlfn.NUMBERVALUE("-0.000133")</f>
        <v/>
      </c>
      <c r="L1984">
        <f>_xlfn.NUMBERVALUE("0.000229")</f>
        <v/>
      </c>
      <c r="M1984">
        <f>_xlfn.NUMBERVALUE("0.002376")</f>
        <v/>
      </c>
      <c r="N1984">
        <f>_xlfn.NUMBERVALUE("0.004239")</f>
        <v/>
      </c>
      <c r="O1984">
        <f>_xlfn.NUMBERVALUE("0.003990")</f>
        <v/>
      </c>
      <c r="P1984">
        <f>_xlfn.NUMBERVALUE("0.003107")</f>
        <v/>
      </c>
      <c r="Q1984">
        <f>_xlfn.NUMBERVALUE("0.002335")</f>
        <v/>
      </c>
      <c r="R1984">
        <f>_xlfn.NUMBERVALUE("0.002697")</f>
        <v/>
      </c>
      <c r="S1984">
        <f>_xlfn.NUMBERVALUE("-0.000240")</f>
        <v/>
      </c>
      <c r="T1984">
        <f>_xlfn.NUMBERVALUE("0.002378")</f>
        <v/>
      </c>
      <c r="U1984">
        <f>_xlfn.NUMBERVALUE("0.002417")</f>
        <v/>
      </c>
      <c r="V1984">
        <f>_xlfn.NUMBERVALUE("0.002033")</f>
        <v/>
      </c>
      <c r="W1984">
        <f>_xlfn.NUMBERVALUE("-0.004912")</f>
        <v/>
      </c>
      <c r="X1984">
        <f>_xlfn.NUMBERVALUE("1.210000")</f>
        <v/>
      </c>
      <c r="Y1984">
        <f>_xlfn.NUMBERVALUE("23.730000")</f>
        <v/>
      </c>
    </row>
    <row r="1985">
      <c r="A1985" s="1" t="n">
        <v>44880</v>
      </c>
      <c r="B1985">
        <f>_xlfn.NUMBERVALUE("-0.000591")</f>
        <v/>
      </c>
      <c r="C1985" s="2">
        <f>_xlfn.NUMBERVALUE("0.000470")</f>
        <v/>
      </c>
      <c r="D1985">
        <f>_xlfn.NUMBERVALUE("-0.000881")</f>
        <v/>
      </c>
      <c r="E1985">
        <f>_xlfn.NUMBERVALUE("0.000277")</f>
        <v/>
      </c>
      <c r="F1985">
        <f>_xlfn.NUMBERVALUE("0.000065")</f>
        <v/>
      </c>
      <c r="G1985">
        <f>_xlfn.NUMBERVALUE("-0.001114")</f>
        <v/>
      </c>
      <c r="H1985">
        <f>_xlfn.NUMBERVALUE("-0.000663")</f>
        <v/>
      </c>
      <c r="I1985">
        <f>_xlfn.NUMBERVALUE("-0.000882")</f>
        <v/>
      </c>
      <c r="J1985">
        <f>_xlfn.NUMBERVALUE("-0.000017")</f>
        <v/>
      </c>
      <c r="K1985">
        <f>_xlfn.NUMBERVALUE("0.000206")</f>
        <v/>
      </c>
      <c r="L1985">
        <f>_xlfn.NUMBERVALUE("-0.004066")</f>
        <v/>
      </c>
      <c r="M1985">
        <f>_xlfn.NUMBERVALUE("-0.000808")</f>
        <v/>
      </c>
      <c r="N1985">
        <f>_xlfn.NUMBERVALUE("-0.000002")</f>
        <v/>
      </c>
      <c r="O1985">
        <f>_xlfn.NUMBERVALUE("-0.000936")</f>
        <v/>
      </c>
      <c r="P1985">
        <f>_xlfn.NUMBERVALUE("-0.000019")</f>
        <v/>
      </c>
      <c r="Q1985">
        <f>_xlfn.NUMBERVALUE("0.000107")</f>
        <v/>
      </c>
      <c r="R1985">
        <f>_xlfn.NUMBERVALUE("0.000295")</f>
        <v/>
      </c>
      <c r="S1985">
        <f>_xlfn.NUMBERVALUE("0.000639")</f>
        <v/>
      </c>
      <c r="T1985">
        <f>_xlfn.NUMBERVALUE("-0.000054")</f>
        <v/>
      </c>
      <c r="U1985">
        <f>_xlfn.NUMBERVALUE("-0.000583")</f>
        <v/>
      </c>
      <c r="V1985">
        <f>_xlfn.NUMBERVALUE("-0.000375")</f>
        <v/>
      </c>
      <c r="W1985">
        <f>_xlfn.NUMBERVALUE("0.003627")</f>
        <v/>
      </c>
      <c r="X1985">
        <f>_xlfn.NUMBERVALUE("0.810000")</f>
        <v/>
      </c>
      <c r="Y1985">
        <f>_xlfn.NUMBERVALUE("24.540000")</f>
        <v/>
      </c>
    </row>
    <row r="1986">
      <c r="A1986" s="1" t="n">
        <v>44881</v>
      </c>
      <c r="B1986">
        <f>_xlfn.NUMBERVALUE("-0.000877")</f>
        <v/>
      </c>
      <c r="C1986" s="2">
        <f>_xlfn.NUMBERVALUE("0.001425")</f>
        <v/>
      </c>
      <c r="D1986">
        <f>_xlfn.NUMBERVALUE("0.000354")</f>
        <v/>
      </c>
      <c r="E1986">
        <f>_xlfn.NUMBERVALUE("0.000331")</f>
        <v/>
      </c>
      <c r="F1986">
        <f>_xlfn.NUMBERVALUE("0.000470")</f>
        <v/>
      </c>
      <c r="G1986">
        <f>_xlfn.NUMBERVALUE("0.002279")</f>
        <v/>
      </c>
      <c r="H1986">
        <f>_xlfn.NUMBERVALUE("-0.001006")</f>
        <v/>
      </c>
      <c r="I1986">
        <f>_xlfn.NUMBERVALUE("0.001384")</f>
        <v/>
      </c>
      <c r="J1986">
        <f>_xlfn.NUMBERVALUE("-0.001826")</f>
        <v/>
      </c>
      <c r="K1986">
        <f>_xlfn.NUMBERVALUE("0.001635")</f>
        <v/>
      </c>
      <c r="L1986">
        <f>_xlfn.NUMBERVALUE("-0.003252")</f>
        <v/>
      </c>
      <c r="M1986">
        <f>_xlfn.NUMBERVALUE("0.002377")</f>
        <v/>
      </c>
      <c r="N1986">
        <f>_xlfn.NUMBERVALUE("0.001874")</f>
        <v/>
      </c>
      <c r="O1986">
        <f>_xlfn.NUMBERVALUE("0.002556")</f>
        <v/>
      </c>
      <c r="P1986">
        <f>_xlfn.NUMBERVALUE("0.002694")</f>
        <v/>
      </c>
      <c r="Q1986">
        <f>_xlfn.NUMBERVALUE("0.002385")</f>
        <v/>
      </c>
      <c r="R1986">
        <f>_xlfn.NUMBERVALUE("0.001337")</f>
        <v/>
      </c>
      <c r="S1986">
        <f>_xlfn.NUMBERVALUE("0.002039")</f>
        <v/>
      </c>
      <c r="T1986">
        <f>_xlfn.NUMBERVALUE("0.001013")</f>
        <v/>
      </c>
      <c r="U1986">
        <f>_xlfn.NUMBERVALUE("0.003656")</f>
        <v/>
      </c>
      <c r="V1986">
        <f>_xlfn.NUMBERVALUE("0.001987")</f>
        <v/>
      </c>
      <c r="W1986">
        <f>_xlfn.NUMBERVALUE("-0.007378")</f>
        <v/>
      </c>
      <c r="X1986">
        <f>_xlfn.NUMBERVALUE("-0.430000")</f>
        <v/>
      </c>
      <c r="Y1986">
        <f>_xlfn.NUMBERVALUE("24.110000")</f>
        <v/>
      </c>
    </row>
    <row r="1987">
      <c r="A1987" s="1" t="n">
        <v>44882</v>
      </c>
      <c r="B1987">
        <f>_xlfn.NUMBERVALUE("0.008527")</f>
        <v/>
      </c>
      <c r="C1987" s="2">
        <f>_xlfn.NUMBERVALUE("0.001276")</f>
        <v/>
      </c>
      <c r="D1987">
        <f>_xlfn.NUMBERVALUE("0.001235")</f>
        <v/>
      </c>
      <c r="E1987">
        <f>_xlfn.NUMBERVALUE("0.000847")</f>
        <v/>
      </c>
      <c r="F1987">
        <f>_xlfn.NUMBERVALUE("0.000357")</f>
        <v/>
      </c>
      <c r="G1987">
        <f>_xlfn.NUMBERVALUE("0.001146")</f>
        <v/>
      </c>
      <c r="H1987">
        <f>_xlfn.NUMBERVALUE("0.000575")</f>
        <v/>
      </c>
      <c r="I1987">
        <f>_xlfn.NUMBERVALUE("0.001746")</f>
        <v/>
      </c>
      <c r="J1987">
        <f>_xlfn.NUMBERVALUE("0.001170")</f>
        <v/>
      </c>
      <c r="K1987">
        <f>_xlfn.NUMBERVALUE("0.000648")</f>
        <v/>
      </c>
      <c r="L1987">
        <f>_xlfn.NUMBERVALUE("0.001453")</f>
        <v/>
      </c>
      <c r="M1987">
        <f>_xlfn.NUMBERVALUE("0.002258")</f>
        <v/>
      </c>
      <c r="N1987">
        <f>_xlfn.NUMBERVALUE("0.001489")</f>
        <v/>
      </c>
      <c r="O1987">
        <f>_xlfn.NUMBERVALUE("0.002078")</f>
        <v/>
      </c>
      <c r="P1987">
        <f>_xlfn.NUMBERVALUE("0.001990")</f>
        <v/>
      </c>
      <c r="Q1987">
        <f>_xlfn.NUMBERVALUE("0.001267")</f>
        <v/>
      </c>
      <c r="R1987">
        <f>_xlfn.NUMBERVALUE("0.001268")</f>
        <v/>
      </c>
      <c r="S1987">
        <f>_xlfn.NUMBERVALUE("0.000841")</f>
        <v/>
      </c>
      <c r="T1987">
        <f>_xlfn.NUMBERVALUE("-0.000190")</f>
        <v/>
      </c>
      <c r="U1987">
        <f>_xlfn.NUMBERVALUE("0.001054")</f>
        <v/>
      </c>
      <c r="V1987">
        <f>_xlfn.NUMBERVALUE("0.001436")</f>
        <v/>
      </c>
      <c r="W1987">
        <f>_xlfn.NUMBERVALUE("-0.006245")</f>
        <v/>
      </c>
      <c r="X1987">
        <f>_xlfn.NUMBERVALUE("-0.180000")</f>
        <v/>
      </c>
      <c r="Y1987">
        <f>_xlfn.NUMBERVALUE("23.930000")</f>
        <v/>
      </c>
    </row>
    <row r="1988">
      <c r="A1988" s="1" t="n">
        <v>44883</v>
      </c>
      <c r="B1988">
        <f>_xlfn.NUMBERVALUE("0.016212")</f>
        <v/>
      </c>
      <c r="C1988" s="2">
        <f>_xlfn.NUMBERVALUE("-0.000698")</f>
        <v/>
      </c>
      <c r="D1988">
        <f>_xlfn.NUMBERVALUE("-0.000015")</f>
        <v/>
      </c>
      <c r="E1988">
        <f>_xlfn.NUMBERVALUE("0.000113")</f>
        <v/>
      </c>
      <c r="F1988">
        <f>_xlfn.NUMBERVALUE("0.000530")</f>
        <v/>
      </c>
      <c r="G1988">
        <f>_xlfn.NUMBERVALUE("0.001257")</f>
        <v/>
      </c>
      <c r="H1988">
        <f>_xlfn.NUMBERVALUE("0.000938")</f>
        <v/>
      </c>
      <c r="I1988">
        <f>_xlfn.NUMBERVALUE("0.001358")</f>
        <v/>
      </c>
      <c r="J1988">
        <f>_xlfn.NUMBERVALUE("0.001244")</f>
        <v/>
      </c>
      <c r="K1988">
        <f>_xlfn.NUMBERVALUE("0.003432")</f>
        <v/>
      </c>
      <c r="L1988">
        <f>_xlfn.NUMBERVALUE("0.001633")</f>
        <v/>
      </c>
      <c r="M1988">
        <f>_xlfn.NUMBERVALUE("0.000557")</f>
        <v/>
      </c>
      <c r="N1988">
        <f>_xlfn.NUMBERVALUE("0.002648")</f>
        <v/>
      </c>
      <c r="O1988">
        <f>_xlfn.NUMBERVALUE("0.003155")</f>
        <v/>
      </c>
      <c r="P1988">
        <f>_xlfn.NUMBERVALUE("0.000595")</f>
        <v/>
      </c>
      <c r="Q1988">
        <f>_xlfn.NUMBERVALUE("0.000475")</f>
        <v/>
      </c>
      <c r="R1988">
        <f>_xlfn.NUMBERVALUE("0.001807")</f>
        <v/>
      </c>
      <c r="S1988">
        <f>_xlfn.NUMBERVALUE("-0.000109")</f>
        <v/>
      </c>
      <c r="T1988">
        <f>_xlfn.NUMBERVALUE("-0.001999")</f>
        <v/>
      </c>
      <c r="U1988">
        <f>_xlfn.NUMBERVALUE("0.003008")</f>
        <v/>
      </c>
      <c r="V1988">
        <f>_xlfn.NUMBERVALUE("0.001112")</f>
        <v/>
      </c>
      <c r="W1988">
        <f>_xlfn.NUMBERVALUE("0.008116")</f>
        <v/>
      </c>
      <c r="X1988">
        <f>_xlfn.NUMBERVALUE("-0.810000")</f>
        <v/>
      </c>
      <c r="Y1988">
        <f>_xlfn.NUMBERVALUE("23.120000")</f>
        <v/>
      </c>
    </row>
    <row r="1989">
      <c r="A1989" s="1" t="n">
        <v>44886</v>
      </c>
      <c r="B1989">
        <f>_xlfn.NUMBERVALUE("0.003376")</f>
        <v/>
      </c>
      <c r="C1989" s="2">
        <f>_xlfn.NUMBERVALUE("0.002290")</f>
        <v/>
      </c>
      <c r="D1989">
        <f>_xlfn.NUMBERVALUE("0.001671")</f>
        <v/>
      </c>
      <c r="E1989">
        <f>_xlfn.NUMBERVALUE("-0.000200")</f>
        <v/>
      </c>
      <c r="F1989">
        <f>_xlfn.NUMBERVALUE("0.000417")</f>
        <v/>
      </c>
      <c r="G1989">
        <f>_xlfn.NUMBERVALUE("0.001463")</f>
        <v/>
      </c>
      <c r="H1989">
        <f>_xlfn.NUMBERVALUE("0.000564")</f>
        <v/>
      </c>
      <c r="I1989">
        <f>_xlfn.NUMBERVALUE("0.004359")</f>
        <v/>
      </c>
      <c r="J1989">
        <f>_xlfn.NUMBERVALUE("0.000566")</f>
        <v/>
      </c>
      <c r="K1989">
        <f>_xlfn.NUMBERVALUE("0.000577")</f>
        <v/>
      </c>
      <c r="L1989">
        <f>_xlfn.NUMBERVALUE("0.002118")</f>
        <v/>
      </c>
      <c r="M1989">
        <f>_xlfn.NUMBERVALUE("0.002023")</f>
        <v/>
      </c>
      <c r="N1989">
        <f>_xlfn.NUMBERVALUE("0.003053")</f>
        <v/>
      </c>
      <c r="O1989">
        <f>_xlfn.NUMBERVALUE("-0.000340")</f>
        <v/>
      </c>
      <c r="P1989">
        <f>_xlfn.NUMBERVALUE("0.003375")</f>
        <v/>
      </c>
      <c r="Q1989">
        <f>_xlfn.NUMBERVALUE("0.002629")</f>
        <v/>
      </c>
      <c r="R1989">
        <f>_xlfn.NUMBERVALUE("0.003680")</f>
        <v/>
      </c>
      <c r="S1989">
        <f>_xlfn.NUMBERVALUE("0.000027")</f>
        <v/>
      </c>
      <c r="T1989">
        <f>_xlfn.NUMBERVALUE("0.001817")</f>
        <v/>
      </c>
      <c r="U1989">
        <f>_xlfn.NUMBERVALUE("0.003790")</f>
        <v/>
      </c>
      <c r="V1989">
        <f>_xlfn.NUMBERVALUE("0.002941")</f>
        <v/>
      </c>
      <c r="W1989">
        <f>_xlfn.NUMBERVALUE("-0.004744")</f>
        <v/>
      </c>
      <c r="X1989">
        <f>_xlfn.NUMBERVALUE("-0.760000")</f>
        <v/>
      </c>
      <c r="Y1989">
        <f>_xlfn.NUMBERVALUE("22.360000")</f>
        <v/>
      </c>
    </row>
    <row r="1990">
      <c r="A1990" s="1" t="n">
        <v>44887</v>
      </c>
      <c r="B1990">
        <f>_xlfn.NUMBERVALUE("0.007358")</f>
        <v/>
      </c>
      <c r="C1990" s="2">
        <f>_xlfn.NUMBERVALUE("-0.000714")</f>
        <v/>
      </c>
      <c r="D1990">
        <f>_xlfn.NUMBERVALUE("0.001454")</f>
        <v/>
      </c>
      <c r="E1990">
        <f>_xlfn.NUMBERVALUE("0.000761")</f>
        <v/>
      </c>
      <c r="F1990">
        <f>_xlfn.NUMBERVALUE("0.000769")</f>
        <v/>
      </c>
      <c r="G1990">
        <f>_xlfn.NUMBERVALUE("0.000677")</f>
        <v/>
      </c>
      <c r="H1990">
        <f>_xlfn.NUMBERVALUE("0.000103")</f>
        <v/>
      </c>
      <c r="I1990">
        <f>_xlfn.NUMBERVALUE("0.000001")</f>
        <v/>
      </c>
      <c r="J1990">
        <f>_xlfn.NUMBERVALUE("0.000248")</f>
        <v/>
      </c>
      <c r="K1990">
        <f>_xlfn.NUMBERVALUE("0.002355")</f>
        <v/>
      </c>
      <c r="L1990">
        <f>_xlfn.NUMBERVALUE("-0.001528")</f>
        <v/>
      </c>
      <c r="M1990">
        <f>_xlfn.NUMBERVALUE("-0.000412")</f>
        <v/>
      </c>
      <c r="N1990">
        <f>_xlfn.NUMBERVALUE("0.002365")</f>
        <v/>
      </c>
      <c r="O1990">
        <f>_xlfn.NUMBERVALUE("-0.003782")</f>
        <v/>
      </c>
      <c r="P1990">
        <f>_xlfn.NUMBERVALUE("0.000729")</f>
        <v/>
      </c>
      <c r="Q1990">
        <f>_xlfn.NUMBERVALUE("0.001234")</f>
        <v/>
      </c>
      <c r="R1990">
        <f>_xlfn.NUMBERVALUE("0.000413")</f>
        <v/>
      </c>
      <c r="S1990">
        <f>_xlfn.NUMBERVALUE("0.000545")</f>
        <v/>
      </c>
      <c r="T1990">
        <f>_xlfn.NUMBERVALUE("0.001080")</f>
        <v/>
      </c>
      <c r="U1990">
        <f>_xlfn.NUMBERVALUE("0.002716")</f>
        <v/>
      </c>
      <c r="V1990">
        <f>_xlfn.NUMBERVALUE("-0.000950")</f>
        <v/>
      </c>
      <c r="W1990">
        <f>_xlfn.NUMBERVALUE("0.013692")</f>
        <v/>
      </c>
      <c r="X1990">
        <f>_xlfn.NUMBERVALUE("-1.070000")</f>
        <v/>
      </c>
      <c r="Y1990">
        <f>_xlfn.NUMBERVALUE("21.290000")</f>
        <v/>
      </c>
    </row>
    <row r="1991">
      <c r="A1991" s="1" t="n">
        <v>44888</v>
      </c>
      <c r="B1991">
        <f>_xlfn.NUMBERVALUE("0.002045")</f>
        <v/>
      </c>
      <c r="C1991" s="2">
        <f>_xlfn.NUMBERVALUE("-0.000372")</f>
        <v/>
      </c>
      <c r="D1991">
        <f>_xlfn.NUMBERVALUE("0.001299")</f>
        <v/>
      </c>
      <c r="E1991">
        <f>_xlfn.NUMBERVALUE("-0.000269")</f>
        <v/>
      </c>
      <c r="F1991">
        <f>_xlfn.NUMBERVALUE("0.000260")</f>
        <v/>
      </c>
      <c r="G1991">
        <f>_xlfn.NUMBERVALUE("-0.000000")</f>
        <v/>
      </c>
      <c r="H1991">
        <f>_xlfn.NUMBERVALUE("0.000290")</f>
        <v/>
      </c>
      <c r="I1991">
        <f>_xlfn.NUMBERVALUE("0.002940")</f>
        <v/>
      </c>
      <c r="J1991">
        <f>_xlfn.NUMBERVALUE("-0.000485")</f>
        <v/>
      </c>
      <c r="K1991">
        <f>_xlfn.NUMBERVALUE("-0.000801")</f>
        <v/>
      </c>
      <c r="L1991">
        <f>_xlfn.NUMBERVALUE("-0.001512")</f>
        <v/>
      </c>
      <c r="M1991">
        <f>_xlfn.NUMBERVALUE("-0.007502")</f>
        <v/>
      </c>
      <c r="N1991">
        <f>_xlfn.NUMBERVALUE("0.001164")</f>
        <v/>
      </c>
      <c r="O1991">
        <f>_xlfn.NUMBERVALUE("0.001787")</f>
        <v/>
      </c>
      <c r="P1991">
        <f>_xlfn.NUMBERVALUE("0.001448")</f>
        <v/>
      </c>
      <c r="Q1991">
        <f>_xlfn.NUMBERVALUE("0.000561")</f>
        <v/>
      </c>
      <c r="R1991">
        <f>_xlfn.NUMBERVALUE("0.001293")</f>
        <v/>
      </c>
      <c r="S1991">
        <f>_xlfn.NUMBERVALUE("0.000325")</f>
        <v/>
      </c>
      <c r="T1991">
        <f>_xlfn.NUMBERVALUE("0.001058")</f>
        <v/>
      </c>
      <c r="U1991">
        <f>_xlfn.NUMBERVALUE("0.000014")</f>
        <v/>
      </c>
      <c r="V1991">
        <f>_xlfn.NUMBERVALUE("0.000643")</f>
        <v/>
      </c>
      <c r="W1991">
        <f>_xlfn.NUMBERVALUE("0.005378")</f>
        <v/>
      </c>
      <c r="X1991">
        <f>_xlfn.NUMBERVALUE("-0.940000")</f>
        <v/>
      </c>
      <c r="Y1991">
        <f>_xlfn.NUMBERVALUE("20.350000")</f>
        <v/>
      </c>
    </row>
    <row r="1992">
      <c r="A1992" s="1" t="n">
        <v>44890</v>
      </c>
      <c r="B1992">
        <f>_xlfn.NUMBERVALUE("0.006301")</f>
        <v/>
      </c>
      <c r="C1992" s="2">
        <f>_xlfn.NUMBERVALUE("0.000718")</f>
        <v/>
      </c>
      <c r="D1992">
        <f>_xlfn.NUMBERVALUE("0.000292")</f>
        <v/>
      </c>
      <c r="E1992">
        <f>_xlfn.NUMBERVALUE("0.000608")</f>
        <v/>
      </c>
      <c r="F1992">
        <f>_xlfn.NUMBERVALUE("0.000278")</f>
        <v/>
      </c>
      <c r="G1992">
        <f>_xlfn.NUMBERVALUE("0.000453")</f>
        <v/>
      </c>
      <c r="H1992">
        <f>_xlfn.NUMBERVALUE("0.000615")</f>
        <v/>
      </c>
      <c r="I1992">
        <f>_xlfn.NUMBERVALUE("0.001023")</f>
        <v/>
      </c>
      <c r="J1992">
        <f>_xlfn.NUMBERVALUE("0.000519")</f>
        <v/>
      </c>
      <c r="K1992">
        <f>_xlfn.NUMBERVALUE("0.001541")</f>
        <v/>
      </c>
      <c r="L1992">
        <f>_xlfn.NUMBERVALUE("0.001766")</f>
        <v/>
      </c>
      <c r="M1992">
        <f>_xlfn.NUMBERVALUE("0.009182")</f>
        <v/>
      </c>
      <c r="N1992">
        <f>_xlfn.NUMBERVALUE("0.001363")</f>
        <v/>
      </c>
      <c r="O1992">
        <f>_xlfn.NUMBERVALUE("0.004274")</f>
        <v/>
      </c>
      <c r="P1992">
        <f>_xlfn.NUMBERVALUE("0.000732")</f>
        <v/>
      </c>
      <c r="Q1992">
        <f>_xlfn.NUMBERVALUE("0.001233")</f>
        <v/>
      </c>
      <c r="R1992">
        <f>_xlfn.NUMBERVALUE("0.000755")</f>
        <v/>
      </c>
      <c r="S1992">
        <f>_xlfn.NUMBERVALUE("0.001257")</f>
        <v/>
      </c>
      <c r="T1992">
        <f>_xlfn.NUMBERVALUE("-0.000415")</f>
        <v/>
      </c>
      <c r="U1992">
        <f>_xlfn.NUMBERVALUE("0.001714")</f>
        <v/>
      </c>
      <c r="V1992">
        <f>_xlfn.NUMBERVALUE("0.000601")</f>
        <v/>
      </c>
      <c r="W1992">
        <f>_xlfn.NUMBERVALUE("0.001319")</f>
        <v/>
      </c>
      <c r="X1992">
        <f>_xlfn.NUMBERVALUE("0.150000")</f>
        <v/>
      </c>
      <c r="Y1992">
        <f>_xlfn.NUMBERVALUE("20.500000")</f>
        <v/>
      </c>
    </row>
    <row r="1993">
      <c r="A1993" s="1" t="n">
        <v>44893</v>
      </c>
      <c r="B1993">
        <f>_xlfn.NUMBERVALUE("-0.000390")</f>
        <v/>
      </c>
      <c r="C1993" s="2">
        <f>_xlfn.NUMBERVALUE("0.001477")</f>
        <v/>
      </c>
      <c r="D1993">
        <f>_xlfn.NUMBERVALUE("0.000197")</f>
        <v/>
      </c>
      <c r="E1993">
        <f>_xlfn.NUMBERVALUE("-0.000041")</f>
        <v/>
      </c>
      <c r="F1993">
        <f>_xlfn.NUMBERVALUE("0.000261")</f>
        <v/>
      </c>
      <c r="G1993">
        <f>_xlfn.NUMBERVALUE("-0.000108")</f>
        <v/>
      </c>
      <c r="H1993">
        <f>_xlfn.NUMBERVALUE("0.000834")</f>
        <v/>
      </c>
      <c r="I1993">
        <f>_xlfn.NUMBERVALUE("-0.001855")</f>
        <v/>
      </c>
      <c r="J1993">
        <f>_xlfn.NUMBERVALUE("0.000611")</f>
        <v/>
      </c>
      <c r="K1993">
        <f>_xlfn.NUMBERVALUE("0.000696")</f>
        <v/>
      </c>
      <c r="L1993">
        <f>_xlfn.NUMBERVALUE("0.000829")</f>
        <v/>
      </c>
      <c r="M1993">
        <f>_xlfn.NUMBERVALUE("0.000418")</f>
        <v/>
      </c>
      <c r="N1993">
        <f>_xlfn.NUMBERVALUE("-0.001715")</f>
        <v/>
      </c>
      <c r="O1993">
        <f>_xlfn.NUMBERVALUE("-0.006455")</f>
        <v/>
      </c>
      <c r="P1993">
        <f>_xlfn.NUMBERVALUE("-0.000500")</f>
        <v/>
      </c>
      <c r="Q1993">
        <f>_xlfn.NUMBERVALUE("-0.000864")</f>
        <v/>
      </c>
      <c r="R1993">
        <f>_xlfn.NUMBERVALUE("-0.000987")</f>
        <v/>
      </c>
      <c r="S1993">
        <f>_xlfn.NUMBERVALUE("-0.000289")</f>
        <v/>
      </c>
      <c r="T1993">
        <f>_xlfn.NUMBERVALUE("-0.000339")</f>
        <v/>
      </c>
      <c r="U1993">
        <f>_xlfn.NUMBERVALUE("0.000089")</f>
        <v/>
      </c>
      <c r="V1993">
        <f>_xlfn.NUMBERVALUE("0.000716")</f>
        <v/>
      </c>
      <c r="W1993">
        <f>_xlfn.NUMBERVALUE("-0.016722")</f>
        <v/>
      </c>
      <c r="X1993">
        <f>_xlfn.NUMBERVALUE("1.710000")</f>
        <v/>
      </c>
      <c r="Y1993">
        <f>_xlfn.NUMBERVALUE("22.210000")</f>
        <v/>
      </c>
    </row>
    <row r="1994">
      <c r="A1994" s="1" t="n">
        <v>44894</v>
      </c>
      <c r="B1994">
        <f>_xlfn.NUMBERVALUE("0.006090")</f>
        <v/>
      </c>
      <c r="C1994" s="2">
        <f>_xlfn.NUMBERVALUE("0.000395")</f>
        <v/>
      </c>
      <c r="D1994">
        <f>_xlfn.NUMBERVALUE("-0.000060")</f>
        <v/>
      </c>
      <c r="E1994">
        <f>_xlfn.NUMBERVALUE("0.000162")</f>
        <v/>
      </c>
      <c r="F1994">
        <f>_xlfn.NUMBERVALUE("0.000108")</f>
        <v/>
      </c>
      <c r="G1994">
        <f>_xlfn.NUMBERVALUE("0.000072")</f>
        <v/>
      </c>
      <c r="H1994">
        <f>_xlfn.NUMBERVALUE("-0.000156")</f>
        <v/>
      </c>
      <c r="I1994">
        <f>_xlfn.NUMBERVALUE("0.000716")</f>
        <v/>
      </c>
      <c r="J1994">
        <f>_xlfn.NUMBERVALUE("0.000384")</f>
        <v/>
      </c>
      <c r="K1994">
        <f>_xlfn.NUMBERVALUE("-0.000151")</f>
        <v/>
      </c>
      <c r="L1994">
        <f>_xlfn.NUMBERVALUE("0.000338")</f>
        <v/>
      </c>
      <c r="M1994">
        <f>_xlfn.NUMBERVALUE("-0.000799")</f>
        <v/>
      </c>
      <c r="N1994">
        <f>_xlfn.NUMBERVALUE("0.001012")</f>
        <v/>
      </c>
      <c r="O1994">
        <f>_xlfn.NUMBERVALUE("0.000686")</f>
        <v/>
      </c>
      <c r="P1994">
        <f>_xlfn.NUMBERVALUE("0.000308")</f>
        <v/>
      </c>
      <c r="Q1994">
        <f>_xlfn.NUMBERVALUE("0.000243")</f>
        <v/>
      </c>
      <c r="R1994">
        <f>_xlfn.NUMBERVALUE("0.001296")</f>
        <v/>
      </c>
      <c r="S1994">
        <f>_xlfn.NUMBERVALUE("0.000535")</f>
        <v/>
      </c>
      <c r="T1994">
        <f>_xlfn.NUMBERVALUE("0.000281")</f>
        <v/>
      </c>
      <c r="U1994">
        <f>_xlfn.NUMBERVALUE("0.001890")</f>
        <v/>
      </c>
      <c r="V1994">
        <f>_xlfn.NUMBERVALUE("0.000475")</f>
        <v/>
      </c>
      <c r="W1994">
        <f>_xlfn.NUMBERVALUE("-0.001996")</f>
        <v/>
      </c>
      <c r="X1994">
        <f>_xlfn.NUMBERVALUE("-0.320000")</f>
        <v/>
      </c>
      <c r="Y1994">
        <f>_xlfn.NUMBERVALUE("21.890000")</f>
        <v/>
      </c>
    </row>
    <row r="1995">
      <c r="A1995" s="1" t="n">
        <v>44895</v>
      </c>
      <c r="B1995">
        <f>_xlfn.NUMBERVALUE("-0.009228")</f>
        <v/>
      </c>
      <c r="C1995" s="2">
        <f>_xlfn.NUMBERVALUE("-0.000525")</f>
        <v/>
      </c>
      <c r="D1995">
        <f>_xlfn.NUMBERVALUE("-0.000045")</f>
        <v/>
      </c>
      <c r="E1995">
        <f>_xlfn.NUMBERVALUE("-0.000025")</f>
        <v/>
      </c>
      <c r="F1995">
        <f>_xlfn.NUMBERVALUE("0.000154")</f>
        <v/>
      </c>
      <c r="G1995">
        <f>_xlfn.NUMBERVALUE("-0.002049")</f>
        <v/>
      </c>
      <c r="H1995">
        <f>_xlfn.NUMBERVALUE("0.000573")</f>
        <v/>
      </c>
      <c r="I1995">
        <f>_xlfn.NUMBERVALUE("-0.003060")</f>
        <v/>
      </c>
      <c r="J1995">
        <f>_xlfn.NUMBERVALUE("-0.001085")</f>
        <v/>
      </c>
      <c r="K1995">
        <f>_xlfn.NUMBERVALUE("-0.000162")</f>
        <v/>
      </c>
      <c r="L1995">
        <f>_xlfn.NUMBERVALUE("0.000914")</f>
        <v/>
      </c>
      <c r="M1995">
        <f>_xlfn.NUMBERVALUE("-0.001560")</f>
        <v/>
      </c>
      <c r="N1995">
        <f>_xlfn.NUMBERVALUE("-0.010875")</f>
        <v/>
      </c>
      <c r="O1995">
        <f>_xlfn.NUMBERVALUE("0.004184")</f>
        <v/>
      </c>
      <c r="P1995">
        <f>_xlfn.NUMBERVALUE("0.000025")</f>
        <v/>
      </c>
      <c r="Q1995">
        <f>_xlfn.NUMBERVALUE("0.000255")</f>
        <v/>
      </c>
      <c r="R1995">
        <f>_xlfn.NUMBERVALUE("-0.008078")</f>
        <v/>
      </c>
      <c r="S1995">
        <f>_xlfn.NUMBERVALUE("0.000159")</f>
        <v/>
      </c>
      <c r="T1995">
        <f>_xlfn.NUMBERVALUE("-0.000517")</f>
        <v/>
      </c>
      <c r="U1995">
        <f>_xlfn.NUMBERVALUE("-0.003715")</f>
        <v/>
      </c>
      <c r="V1995">
        <f>_xlfn.NUMBERVALUE("-0.001325")</f>
        <v/>
      </c>
      <c r="W1995">
        <f>_xlfn.NUMBERVALUE("0.028030")</f>
        <v/>
      </c>
      <c r="X1995">
        <f>_xlfn.NUMBERVALUE("-1.310000")</f>
        <v/>
      </c>
      <c r="Y1995">
        <f>_xlfn.NUMBERVALUE("20.580000")</f>
        <v/>
      </c>
    </row>
    <row r="1996">
      <c r="A1996" s="1" t="n">
        <v>44896</v>
      </c>
      <c r="B1996">
        <f>_xlfn.NUMBERVALUE("0.003313")</f>
        <v/>
      </c>
      <c r="C1996" s="2">
        <f>_xlfn.NUMBERVALUE("-0.000013")</f>
        <v/>
      </c>
      <c r="D1996">
        <f>_xlfn.NUMBERVALUE("-0.000031")</f>
        <v/>
      </c>
      <c r="E1996">
        <f>_xlfn.NUMBERVALUE("0.000149")</f>
        <v/>
      </c>
      <c r="F1996">
        <f>_xlfn.NUMBERVALUE("0.000118")</f>
        <v/>
      </c>
      <c r="G1996">
        <f>_xlfn.NUMBERVALUE("-0.001895")</f>
        <v/>
      </c>
      <c r="H1996">
        <f>_xlfn.NUMBERVALUE("-0.000999")</f>
        <v/>
      </c>
      <c r="I1996">
        <f>_xlfn.NUMBERVALUE("0.000593")</f>
        <v/>
      </c>
      <c r="J1996">
        <f>_xlfn.NUMBERVALUE("-0.000816")</f>
        <v/>
      </c>
      <c r="K1996">
        <f>_xlfn.NUMBERVALUE("-0.000025")</f>
        <v/>
      </c>
      <c r="L1996">
        <f>_xlfn.NUMBERVALUE("-0.003328")</f>
        <v/>
      </c>
      <c r="M1996">
        <f>_xlfn.NUMBERVALUE("0.005386")</f>
        <v/>
      </c>
      <c r="N1996">
        <f>_xlfn.NUMBERVALUE("0.001818")</f>
        <v/>
      </c>
      <c r="O1996">
        <f>_xlfn.NUMBERVALUE("0.002526")</f>
        <v/>
      </c>
      <c r="P1996">
        <f>_xlfn.NUMBERVALUE("0.000070")</f>
        <v/>
      </c>
      <c r="Q1996">
        <f>_xlfn.NUMBERVALUE("0.000766")</f>
        <v/>
      </c>
      <c r="R1996">
        <f>_xlfn.NUMBERVALUE("0.002084")</f>
        <v/>
      </c>
      <c r="S1996">
        <f>_xlfn.NUMBERVALUE("-0.000876")</f>
        <v/>
      </c>
      <c r="T1996">
        <f>_xlfn.NUMBERVALUE("-0.000122")</f>
        <v/>
      </c>
      <c r="U1996">
        <f>_xlfn.NUMBERVALUE("0.000593")</f>
        <v/>
      </c>
      <c r="V1996">
        <f>_xlfn.NUMBERVALUE("-0.000005")</f>
        <v/>
      </c>
      <c r="W1996">
        <f>_xlfn.NUMBERVALUE("0.004901")</f>
        <v/>
      </c>
      <c r="X1996">
        <f>_xlfn.NUMBERVALUE("-0.740000")</f>
        <v/>
      </c>
      <c r="Y1996">
        <f>_xlfn.NUMBERVALUE("19.840000")</f>
        <v/>
      </c>
    </row>
    <row r="1997">
      <c r="A1997" s="1" t="n">
        <v>44897</v>
      </c>
      <c r="B1997">
        <f>_xlfn.NUMBERVALUE("0.003997")</f>
        <v/>
      </c>
      <c r="C1997" s="2">
        <f>_xlfn.NUMBERVALUE("0.000058")</f>
        <v/>
      </c>
      <c r="D1997">
        <f>_xlfn.NUMBERVALUE("-0.000020")</f>
        <v/>
      </c>
      <c r="E1997">
        <f>_xlfn.NUMBERVALUE("-0.000025")</f>
        <v/>
      </c>
      <c r="F1997">
        <f>_xlfn.NUMBERVALUE("0.000049")</f>
        <v/>
      </c>
      <c r="G1997">
        <f>_xlfn.NUMBERVALUE("-0.000146")</f>
        <v/>
      </c>
      <c r="H1997">
        <f>_xlfn.NUMBERVALUE("-0.000749")</f>
        <v/>
      </c>
      <c r="I1997">
        <f>_xlfn.NUMBERVALUE("0.000135")</f>
        <v/>
      </c>
      <c r="J1997">
        <f>_xlfn.NUMBERVALUE("-0.000017")</f>
        <v/>
      </c>
      <c r="K1997">
        <f>_xlfn.NUMBERVALUE("-0.000037")</f>
        <v/>
      </c>
      <c r="L1997">
        <f>_xlfn.NUMBERVALUE("-0.000413")</f>
        <v/>
      </c>
      <c r="M1997">
        <f>_xlfn.NUMBERVALUE("-0.004790")</f>
        <v/>
      </c>
      <c r="N1997">
        <f>_xlfn.NUMBERVALUE("0.002013")</f>
        <v/>
      </c>
      <c r="O1997">
        <f>_xlfn.NUMBERVALUE("0.001800")</f>
        <v/>
      </c>
      <c r="P1997">
        <f>_xlfn.NUMBERVALUE("0.001906")</f>
        <v/>
      </c>
      <c r="Q1997">
        <f>_xlfn.NUMBERVALUE("-0.000187")</f>
        <v/>
      </c>
      <c r="R1997">
        <f>_xlfn.NUMBERVALUE("-0.001925")</f>
        <v/>
      </c>
      <c r="S1997">
        <f>_xlfn.NUMBERVALUE("0.000109")</f>
        <v/>
      </c>
      <c r="T1997">
        <f>_xlfn.NUMBERVALUE("-0.000425")</f>
        <v/>
      </c>
      <c r="U1997">
        <f>_xlfn.NUMBERVALUE("0.002383")</f>
        <v/>
      </c>
      <c r="V1997">
        <f>_xlfn.NUMBERVALUE("0.000092")</f>
        <v/>
      </c>
      <c r="W1997">
        <f>_xlfn.NUMBERVALUE("-0.002279")</f>
        <v/>
      </c>
      <c r="X1997">
        <f>_xlfn.NUMBERVALUE("-0.780000")</f>
        <v/>
      </c>
      <c r="Y1997">
        <f>_xlfn.NUMBERVALUE("19.060000")</f>
        <v/>
      </c>
    </row>
    <row r="1998">
      <c r="A1998" s="1" t="n">
        <v>44900</v>
      </c>
      <c r="B1998">
        <f>_xlfn.NUMBERVALUE("-0.006011")</f>
        <v/>
      </c>
      <c r="C1998" s="2">
        <f>_xlfn.NUMBERVALUE("-0.000920")</f>
        <v/>
      </c>
      <c r="D1998">
        <f>_xlfn.NUMBERVALUE("0.000986")</f>
        <v/>
      </c>
      <c r="E1998">
        <f>_xlfn.NUMBERVALUE("-0.000497")</f>
        <v/>
      </c>
      <c r="F1998">
        <f>_xlfn.NUMBERVALUE("-0.002163")</f>
        <v/>
      </c>
      <c r="G1998">
        <f>_xlfn.NUMBERVALUE("-0.000371")</f>
        <v/>
      </c>
      <c r="H1998">
        <f>_xlfn.NUMBERVALUE("-0.001002")</f>
        <v/>
      </c>
      <c r="I1998">
        <f>_xlfn.NUMBERVALUE("-0.004233")</f>
        <v/>
      </c>
      <c r="J1998">
        <f>_xlfn.NUMBERVALUE("0.000082")</f>
        <v/>
      </c>
      <c r="K1998">
        <f>_xlfn.NUMBERVALUE("-0.004221")</f>
        <v/>
      </c>
      <c r="L1998">
        <f>_xlfn.NUMBERVALUE("0.000431")</f>
        <v/>
      </c>
      <c r="M1998">
        <f>_xlfn.NUMBERVALUE("-0.000321")</f>
        <v/>
      </c>
      <c r="N1998">
        <f>_xlfn.NUMBERVALUE("-0.000323")</f>
        <v/>
      </c>
      <c r="O1998">
        <f>_xlfn.NUMBERVALUE("-0.004477")</f>
        <v/>
      </c>
      <c r="P1998">
        <f>_xlfn.NUMBERVALUE("-0.000949")</f>
        <v/>
      </c>
      <c r="Q1998">
        <f>_xlfn.NUMBERVALUE("0.000008")</f>
        <v/>
      </c>
      <c r="R1998">
        <f>_xlfn.NUMBERVALUE("0.000539")</f>
        <v/>
      </c>
      <c r="S1998">
        <f>_xlfn.NUMBERVALUE("0.000269")</f>
        <v/>
      </c>
      <c r="T1998">
        <f>_xlfn.NUMBERVALUE("0.000236")</f>
        <v/>
      </c>
      <c r="U1998">
        <f>_xlfn.NUMBERVALUE("-0.000402")</f>
        <v/>
      </c>
      <c r="V1998">
        <f>_xlfn.NUMBERVALUE("-0.001533")</f>
        <v/>
      </c>
      <c r="W1998">
        <f>_xlfn.NUMBERVALUE("-0.017925")</f>
        <v/>
      </c>
      <c r="X1998">
        <f>_xlfn.NUMBERVALUE("1.690000")</f>
        <v/>
      </c>
      <c r="Y1998">
        <f>_xlfn.NUMBERVALUE("20.750000")</f>
        <v/>
      </c>
    </row>
    <row r="1999">
      <c r="A1999" s="1" t="n">
        <v>44901</v>
      </c>
      <c r="B1999">
        <f>_xlfn.NUMBERVALUE("-0.007115")</f>
        <v/>
      </c>
      <c r="C1999" s="2">
        <f>_xlfn.NUMBERVALUE("-0.001190")</f>
        <v/>
      </c>
      <c r="D1999">
        <f>_xlfn.NUMBERVALUE("-0.000553")</f>
        <v/>
      </c>
      <c r="E1999">
        <f>_xlfn.NUMBERVALUE("-0.001020")</f>
        <v/>
      </c>
      <c r="F1999">
        <f>_xlfn.NUMBERVALUE("0.000125")</f>
        <v/>
      </c>
      <c r="G1999">
        <f>_xlfn.NUMBERVALUE("-0.000874")</f>
        <v/>
      </c>
      <c r="H1999">
        <f>_xlfn.NUMBERVALUE("-0.001005")</f>
        <v/>
      </c>
      <c r="I1999">
        <f>_xlfn.NUMBERVALUE("-0.001356")</f>
        <v/>
      </c>
      <c r="J1999">
        <f>_xlfn.NUMBERVALUE("-0.000786")</f>
        <v/>
      </c>
      <c r="K1999">
        <f>_xlfn.NUMBERVALUE("-0.000159")</f>
        <v/>
      </c>
      <c r="L1999">
        <f>_xlfn.NUMBERVALUE("-0.001669")</f>
        <v/>
      </c>
      <c r="M1999">
        <f>_xlfn.NUMBERVALUE("0.000332")</f>
        <v/>
      </c>
      <c r="N1999">
        <f>_xlfn.NUMBERVALUE("-0.006874")</f>
        <v/>
      </c>
      <c r="O1999">
        <f>_xlfn.NUMBERVALUE("-0.000375")</f>
        <v/>
      </c>
      <c r="P1999">
        <f>_xlfn.NUMBERVALUE("0.002854")</f>
        <v/>
      </c>
      <c r="Q1999">
        <f>_xlfn.NUMBERVALUE("0.000196")</f>
        <v/>
      </c>
      <c r="R1999">
        <f>_xlfn.NUMBERVALUE("0.000435")</f>
        <v/>
      </c>
      <c r="S1999">
        <f>_xlfn.NUMBERVALUE("0.000167")</f>
        <v/>
      </c>
      <c r="T1999">
        <f>_xlfn.NUMBERVALUE("0.000217")</f>
        <v/>
      </c>
      <c r="U1999">
        <f>_xlfn.NUMBERVALUE("0.001984")</f>
        <v/>
      </c>
      <c r="V1999">
        <f>_xlfn.NUMBERVALUE("-0.001825")</f>
        <v/>
      </c>
      <c r="W1999">
        <f>_xlfn.NUMBERVALUE("-0.012786")</f>
        <v/>
      </c>
      <c r="X1999">
        <f>_xlfn.NUMBERVALUE("1.420000")</f>
        <v/>
      </c>
      <c r="Y1999">
        <f>_xlfn.NUMBERVALUE("22.170000")</f>
        <v/>
      </c>
    </row>
    <row r="2000">
      <c r="A2000" s="1" t="n">
        <v>44902</v>
      </c>
      <c r="B2000">
        <f>_xlfn.NUMBERVALUE("0.000012")</f>
        <v/>
      </c>
      <c r="C2000" s="2">
        <f>_xlfn.NUMBERVALUE("-0.000091")</f>
        <v/>
      </c>
      <c r="D2000">
        <f>_xlfn.NUMBERVALUE("0.000075")</f>
        <v/>
      </c>
      <c r="E2000">
        <f>_xlfn.NUMBERVALUE("0.001316")</f>
        <v/>
      </c>
      <c r="F2000">
        <f>_xlfn.NUMBERVALUE("-0.000834")</f>
        <v/>
      </c>
      <c r="G2000">
        <f>_xlfn.NUMBERVALUE("-0.000170")</f>
        <v/>
      </c>
      <c r="H2000">
        <f>_xlfn.NUMBERVALUE("-0.001087")</f>
        <v/>
      </c>
      <c r="I2000">
        <f>_xlfn.NUMBERVALUE("-0.000132")</f>
        <v/>
      </c>
      <c r="J2000">
        <f>_xlfn.NUMBERVALUE("-0.003430")</f>
        <v/>
      </c>
      <c r="K2000">
        <f>_xlfn.NUMBERVALUE("-0.001971")</f>
        <v/>
      </c>
      <c r="L2000">
        <f>_xlfn.NUMBERVALUE("-0.004584")</f>
        <v/>
      </c>
      <c r="M2000">
        <f>_xlfn.NUMBERVALUE("-0.000151")</f>
        <v/>
      </c>
      <c r="N2000">
        <f>_xlfn.NUMBERVALUE("0.001453")</f>
        <v/>
      </c>
      <c r="O2000">
        <f>_xlfn.NUMBERVALUE("-0.000006")</f>
        <v/>
      </c>
      <c r="P2000">
        <f>_xlfn.NUMBERVALUE("0.007634")</f>
        <v/>
      </c>
      <c r="Q2000">
        <f>_xlfn.NUMBERVALUE("0.000501")</f>
        <v/>
      </c>
      <c r="R2000">
        <f>_xlfn.NUMBERVALUE("-0.000327")</f>
        <v/>
      </c>
      <c r="S2000">
        <f>_xlfn.NUMBERVALUE("0.000047")</f>
        <v/>
      </c>
      <c r="T2000">
        <f>_xlfn.NUMBERVALUE("-0.000021")</f>
        <v/>
      </c>
      <c r="U2000">
        <f>_xlfn.NUMBERVALUE("0.008836")</f>
        <v/>
      </c>
      <c r="V2000">
        <f>_xlfn.NUMBERVALUE("-0.000142")</f>
        <v/>
      </c>
      <c r="W2000">
        <f>_xlfn.NUMBERVALUE("-0.002133")</f>
        <v/>
      </c>
      <c r="X2000">
        <f>_xlfn.NUMBERVALUE("0.510000")</f>
        <v/>
      </c>
      <c r="Y2000">
        <f>_xlfn.NUMBERVALUE("22.680000")</f>
        <v/>
      </c>
    </row>
    <row r="2001">
      <c r="A2001" s="1" t="n">
        <v>44903</v>
      </c>
      <c r="B2001">
        <f>_xlfn.NUMBERVALUE("0.004372")</f>
        <v/>
      </c>
      <c r="C2001" s="2">
        <f>_xlfn.NUMBERVALUE("0.001695")</f>
        <v/>
      </c>
      <c r="D2001">
        <f>_xlfn.NUMBERVALUE("0.002627")</f>
        <v/>
      </c>
      <c r="E2001">
        <f>_xlfn.NUMBERVALUE("0.001981")</f>
        <v/>
      </c>
      <c r="F2001">
        <f>_xlfn.NUMBERVALUE("0.000662")</f>
        <v/>
      </c>
      <c r="G2001">
        <f>_xlfn.NUMBERVALUE("0.001347")</f>
        <v/>
      </c>
      <c r="H2001">
        <f>_xlfn.NUMBERVALUE("0.000794")</f>
        <v/>
      </c>
      <c r="I2001">
        <f>_xlfn.NUMBERVALUE("0.001262")</f>
        <v/>
      </c>
      <c r="J2001">
        <f>_xlfn.NUMBERVALUE("0.000545")</f>
        <v/>
      </c>
      <c r="K2001">
        <f>_xlfn.NUMBERVALUE("0.000813")</f>
        <v/>
      </c>
      <c r="L2001">
        <f>_xlfn.NUMBERVALUE("0.001820")</f>
        <v/>
      </c>
      <c r="M2001">
        <f>_xlfn.NUMBERVALUE("0.000421")</f>
        <v/>
      </c>
      <c r="N2001">
        <f>_xlfn.NUMBERVALUE("0.002617")</f>
        <v/>
      </c>
      <c r="O2001">
        <f>_xlfn.NUMBERVALUE("0.001974")</f>
        <v/>
      </c>
      <c r="P2001">
        <f>_xlfn.NUMBERVALUE("0.002652")</f>
        <v/>
      </c>
      <c r="Q2001">
        <f>_xlfn.NUMBERVALUE("0.000928")</f>
        <v/>
      </c>
      <c r="R2001">
        <f>_xlfn.NUMBERVALUE("0.001488")</f>
        <v/>
      </c>
      <c r="S2001">
        <f>_xlfn.NUMBERVALUE("0.001109")</f>
        <v/>
      </c>
      <c r="T2001">
        <f>_xlfn.NUMBERVALUE("0.001158")</f>
        <v/>
      </c>
      <c r="U2001">
        <f>_xlfn.NUMBERVALUE("0.001934")</f>
        <v/>
      </c>
      <c r="V2001">
        <f>_xlfn.NUMBERVALUE("0.000910")</f>
        <v/>
      </c>
      <c r="W2001">
        <f>_xlfn.NUMBERVALUE("0.006592")</f>
        <v/>
      </c>
      <c r="X2001">
        <f>_xlfn.NUMBERVALUE("-0.390000")</f>
        <v/>
      </c>
      <c r="Y2001">
        <f>_xlfn.NUMBERVALUE("22.290000")</f>
        <v/>
      </c>
    </row>
    <row r="2002">
      <c r="A2002" s="1" t="n">
        <v>44904</v>
      </c>
      <c r="B2002">
        <f>_xlfn.NUMBERVALUE("0.004471")</f>
        <v/>
      </c>
      <c r="C2002" s="2">
        <f>_xlfn.NUMBERVALUE("0.000864")</f>
        <v/>
      </c>
      <c r="D2002">
        <f>_xlfn.NUMBERVALUE("-0.000171")</f>
        <v/>
      </c>
      <c r="E2002">
        <f>_xlfn.NUMBERVALUE("-0.002337")</f>
        <v/>
      </c>
      <c r="F2002">
        <f>_xlfn.NUMBERVALUE("0.000849")</f>
        <v/>
      </c>
      <c r="G2002">
        <f>_xlfn.NUMBERVALUE("0.000277")</f>
        <v/>
      </c>
      <c r="H2002">
        <f>_xlfn.NUMBERVALUE("0.000135")</f>
        <v/>
      </c>
      <c r="I2002">
        <f>_xlfn.NUMBERVALUE("0.000676")</f>
        <v/>
      </c>
      <c r="J2002">
        <f>_xlfn.NUMBERVALUE("0.001318")</f>
        <v/>
      </c>
      <c r="K2002">
        <f>_xlfn.NUMBERVALUE("0.001405")</f>
        <v/>
      </c>
      <c r="L2002">
        <f>_xlfn.NUMBERVALUE("-0.000995")</f>
        <v/>
      </c>
      <c r="M2002">
        <f>_xlfn.NUMBERVALUE("-0.000288")</f>
        <v/>
      </c>
      <c r="N2002">
        <f>_xlfn.NUMBERVALUE("-0.000288")</f>
        <v/>
      </c>
      <c r="O2002">
        <f>_xlfn.NUMBERVALUE("0.001158")</f>
        <v/>
      </c>
      <c r="P2002">
        <f>_xlfn.NUMBERVALUE("0.001242")</f>
        <v/>
      </c>
      <c r="Q2002">
        <f>_xlfn.NUMBERVALUE("0.000866")</f>
        <v/>
      </c>
      <c r="R2002">
        <f>_xlfn.NUMBERVALUE("0.000699")</f>
        <v/>
      </c>
      <c r="S2002">
        <f>_xlfn.NUMBERVALUE("0.000576")</f>
        <v/>
      </c>
      <c r="T2002">
        <f>_xlfn.NUMBERVALUE("0.002324")</f>
        <v/>
      </c>
      <c r="U2002">
        <f>_xlfn.NUMBERVALUE("0.000254")</f>
        <v/>
      </c>
      <c r="V2002">
        <f>_xlfn.NUMBERVALUE("0.000760")</f>
        <v/>
      </c>
      <c r="W2002">
        <f>_xlfn.NUMBERVALUE("-0.003236")</f>
        <v/>
      </c>
      <c r="X2002">
        <f>_xlfn.NUMBERVALUE("0.540000")</f>
        <v/>
      </c>
      <c r="Y2002">
        <f>_xlfn.NUMBERVALUE("22.830000")</f>
        <v/>
      </c>
    </row>
    <row r="2003">
      <c r="A2003" s="1" t="n">
        <v>44907</v>
      </c>
      <c r="B2003">
        <f>_xlfn.NUMBERVALUE("-0.003244")</f>
        <v/>
      </c>
      <c r="C2003" s="2">
        <f>_xlfn.NUMBERVALUE("-0.003884")</f>
        <v/>
      </c>
      <c r="D2003">
        <f>_xlfn.NUMBERVALUE("-0.000922")</f>
        <v/>
      </c>
      <c r="E2003">
        <f>_xlfn.NUMBERVALUE("0.001012")</f>
        <v/>
      </c>
      <c r="F2003">
        <f>_xlfn.NUMBERVALUE("-0.000441")</f>
        <v/>
      </c>
      <c r="G2003">
        <f>_xlfn.NUMBERVALUE("0.000230")</f>
        <v/>
      </c>
      <c r="H2003">
        <f>_xlfn.NUMBERVALUE("0.000536")</f>
        <v/>
      </c>
      <c r="I2003">
        <f>_xlfn.NUMBERVALUE("-0.002856")</f>
        <v/>
      </c>
      <c r="J2003">
        <f>_xlfn.NUMBERVALUE("0.000487")</f>
        <v/>
      </c>
      <c r="K2003">
        <f>_xlfn.NUMBERVALUE("0.000773")</f>
        <v/>
      </c>
      <c r="L2003">
        <f>_xlfn.NUMBERVALUE("-0.000244")</f>
        <v/>
      </c>
      <c r="M2003">
        <f>_xlfn.NUMBERVALUE("-0.000081")</f>
        <v/>
      </c>
      <c r="N2003">
        <f>_xlfn.NUMBERVALUE("0.006001")</f>
        <v/>
      </c>
      <c r="O2003">
        <f>_xlfn.NUMBERVALUE("-0.000196")</f>
        <v/>
      </c>
      <c r="P2003">
        <f>_xlfn.NUMBERVALUE("-0.000775")</f>
        <v/>
      </c>
      <c r="Q2003">
        <f>_xlfn.NUMBERVALUE("-0.002432")</f>
        <v/>
      </c>
      <c r="R2003">
        <f>_xlfn.NUMBERVALUE("-0.001392")</f>
        <v/>
      </c>
      <c r="S2003">
        <f>_xlfn.NUMBERVALUE("-0.000558")</f>
        <v/>
      </c>
      <c r="T2003">
        <f>_xlfn.NUMBERVALUE("-0.002878")</f>
        <v/>
      </c>
      <c r="U2003">
        <f>_xlfn.NUMBERVALUE("0.000865")</f>
        <v/>
      </c>
      <c r="V2003">
        <f>_xlfn.NUMBERVALUE("-0.003378")</f>
        <v/>
      </c>
      <c r="W2003">
        <f>_xlfn.NUMBERVALUE("0.009893")</f>
        <v/>
      </c>
      <c r="X2003">
        <f>_xlfn.NUMBERVALUE("2.170000")</f>
        <v/>
      </c>
      <c r="Y2003">
        <f>_xlfn.NUMBERVALUE("25.000000")</f>
        <v/>
      </c>
    </row>
    <row r="2004">
      <c r="A2004" s="1" t="n">
        <v>44908</v>
      </c>
      <c r="B2004">
        <f>_xlfn.NUMBERVALUE("0.015355")</f>
        <v/>
      </c>
      <c r="C2004" s="2">
        <f>_xlfn.NUMBERVALUE("0.004300")</f>
        <v/>
      </c>
      <c r="D2004">
        <f>_xlfn.NUMBERVALUE("0.009484")</f>
        <v/>
      </c>
      <c r="E2004">
        <f>_xlfn.NUMBERVALUE("0.000364")</f>
        <v/>
      </c>
      <c r="F2004">
        <f>_xlfn.NUMBERVALUE("-0.000709")</f>
        <v/>
      </c>
      <c r="G2004">
        <f>_xlfn.NUMBERVALUE("0.001551")</f>
        <v/>
      </c>
      <c r="H2004">
        <f>_xlfn.NUMBERVALUE("0.000355")</f>
        <v/>
      </c>
      <c r="I2004">
        <f>_xlfn.NUMBERVALUE("0.007170")</f>
        <v/>
      </c>
      <c r="J2004">
        <f>_xlfn.NUMBERVALUE("0.002096")</f>
        <v/>
      </c>
      <c r="K2004">
        <f>_xlfn.NUMBERVALUE("0.003481")</f>
        <v/>
      </c>
      <c r="L2004">
        <f>_xlfn.NUMBERVALUE("0.001269")</f>
        <v/>
      </c>
      <c r="M2004">
        <f>_xlfn.NUMBERVALUE("0.005858")</f>
        <v/>
      </c>
      <c r="N2004">
        <f>_xlfn.NUMBERVALUE("0.003263")</f>
        <v/>
      </c>
      <c r="O2004">
        <f>_xlfn.NUMBERVALUE("0.004799")</f>
        <v/>
      </c>
      <c r="P2004">
        <f>_xlfn.NUMBERVALUE("0.005566")</f>
        <v/>
      </c>
      <c r="Q2004">
        <f>_xlfn.NUMBERVALUE("0.005061")</f>
        <v/>
      </c>
      <c r="R2004">
        <f>_xlfn.NUMBERVALUE("0.003985")</f>
        <v/>
      </c>
      <c r="S2004">
        <f>_xlfn.NUMBERVALUE("0.003886")</f>
        <v/>
      </c>
      <c r="T2004">
        <f>_xlfn.NUMBERVALUE("0.002350")</f>
        <v/>
      </c>
      <c r="U2004">
        <f>_xlfn.NUMBERVALUE("0.006344")</f>
        <v/>
      </c>
      <c r="V2004">
        <f>_xlfn.NUMBERVALUE("0.004657")</f>
        <v/>
      </c>
      <c r="W2004">
        <f>_xlfn.NUMBERVALUE("0.011202")</f>
        <v/>
      </c>
      <c r="X2004">
        <f>_xlfn.NUMBERVALUE("-2.450000")</f>
        <v/>
      </c>
      <c r="Y2004">
        <f>_xlfn.NUMBERVALUE("22.550000")</f>
        <v/>
      </c>
    </row>
    <row r="2005">
      <c r="A2005" s="1" t="n">
        <v>44909</v>
      </c>
      <c r="B2005">
        <f>_xlfn.NUMBERVALUE("0.009595")</f>
        <v/>
      </c>
      <c r="C2005" s="2">
        <f>_xlfn.NUMBERVALUE("0.002731")</f>
        <v/>
      </c>
      <c r="D2005">
        <f>_xlfn.NUMBERVALUE("0.001441")</f>
        <v/>
      </c>
      <c r="E2005">
        <f>_xlfn.NUMBERVALUE("0.001018")</f>
        <v/>
      </c>
      <c r="F2005">
        <f>_xlfn.NUMBERVALUE("0.002648")</f>
        <v/>
      </c>
      <c r="G2005">
        <f>_xlfn.NUMBERVALUE("0.000672")</f>
        <v/>
      </c>
      <c r="H2005">
        <f>_xlfn.NUMBERVALUE("0.002439")</f>
        <v/>
      </c>
      <c r="I2005">
        <f>_xlfn.NUMBERVALUE("0.002984")</f>
        <v/>
      </c>
      <c r="J2005">
        <f>_xlfn.NUMBERVALUE("0.002380")</f>
        <v/>
      </c>
      <c r="K2005">
        <f>_xlfn.NUMBERVALUE("0.003642")</f>
        <v/>
      </c>
      <c r="L2005">
        <f>_xlfn.NUMBERVALUE("0.003985")</f>
        <v/>
      </c>
      <c r="M2005">
        <f>_xlfn.NUMBERVALUE("0.002684")</f>
        <v/>
      </c>
      <c r="N2005">
        <f>_xlfn.NUMBERVALUE("0.004645")</f>
        <v/>
      </c>
      <c r="O2005">
        <f>_xlfn.NUMBERVALUE("0.002992")</f>
        <v/>
      </c>
      <c r="P2005">
        <f>_xlfn.NUMBERVALUE("0.002280")</f>
        <v/>
      </c>
      <c r="Q2005">
        <f>_xlfn.NUMBERVALUE("0.003283")</f>
        <v/>
      </c>
      <c r="R2005">
        <f>_xlfn.NUMBERVALUE("0.002091")</f>
        <v/>
      </c>
      <c r="S2005">
        <f>_xlfn.NUMBERVALUE("0.002046")</f>
        <v/>
      </c>
      <c r="T2005">
        <f>_xlfn.NUMBERVALUE("0.001456")</f>
        <v/>
      </c>
      <c r="U2005">
        <f>_xlfn.NUMBERVALUE("0.003843")</f>
        <v/>
      </c>
      <c r="V2005">
        <f>_xlfn.NUMBERVALUE("0.003229")</f>
        <v/>
      </c>
      <c r="W2005">
        <f>_xlfn.NUMBERVALUE("-0.009041")</f>
        <v/>
      </c>
      <c r="X2005">
        <f>_xlfn.NUMBERVALUE("-1.410000")</f>
        <v/>
      </c>
      <c r="Y2005">
        <f>_xlfn.NUMBERVALUE("21.140000")</f>
        <v/>
      </c>
    </row>
    <row r="2006">
      <c r="A2006" s="1" t="n">
        <v>44910</v>
      </c>
      <c r="B2006">
        <f>_xlfn.NUMBERVALUE("-0.006538")</f>
        <v/>
      </c>
      <c r="C2006" s="2">
        <f>_xlfn.NUMBERVALUE("-0.005242")</f>
        <v/>
      </c>
      <c r="D2006">
        <f>_xlfn.NUMBERVALUE("-0.001637")</f>
        <v/>
      </c>
      <c r="E2006">
        <f>_xlfn.NUMBERVALUE("-0.002911")</f>
        <v/>
      </c>
      <c r="F2006">
        <f>_xlfn.NUMBERVALUE("-0.002746")</f>
        <v/>
      </c>
      <c r="G2006">
        <f>_xlfn.NUMBERVALUE("-0.000541")</f>
        <v/>
      </c>
      <c r="H2006">
        <f>_xlfn.NUMBERVALUE("0.001403")</f>
        <v/>
      </c>
      <c r="I2006">
        <f>_xlfn.NUMBERVALUE("-0.002708")</f>
        <v/>
      </c>
      <c r="J2006">
        <f>_xlfn.NUMBERVALUE("0.000450")</f>
        <v/>
      </c>
      <c r="K2006">
        <f>_xlfn.NUMBERVALUE("-0.005254")</f>
        <v/>
      </c>
      <c r="L2006">
        <f>_xlfn.NUMBERVALUE("0.001226")</f>
        <v/>
      </c>
      <c r="M2006">
        <f>_xlfn.NUMBERVALUE("-0.003397")</f>
        <v/>
      </c>
      <c r="N2006">
        <f>_xlfn.NUMBERVALUE("-0.007265")</f>
        <v/>
      </c>
      <c r="O2006">
        <f>_xlfn.NUMBERVALUE("0.001759")</f>
        <v/>
      </c>
      <c r="P2006">
        <f>_xlfn.NUMBERVALUE("-0.001851")</f>
        <v/>
      </c>
      <c r="Q2006">
        <f>_xlfn.NUMBERVALUE("-0.003378")</f>
        <v/>
      </c>
      <c r="R2006">
        <f>_xlfn.NUMBERVALUE("-0.006282")</f>
        <v/>
      </c>
      <c r="S2006">
        <f>_xlfn.NUMBERVALUE("-0.002698")</f>
        <v/>
      </c>
      <c r="T2006">
        <f>_xlfn.NUMBERVALUE("0.000155")</f>
        <v/>
      </c>
      <c r="U2006">
        <f>_xlfn.NUMBERVALUE("-0.000791")</f>
        <v/>
      </c>
      <c r="V2006">
        <f>_xlfn.NUMBERVALUE("-0.004264")</f>
        <v/>
      </c>
      <c r="W2006">
        <f>_xlfn.NUMBERVALUE("-0.024464")</f>
        <v/>
      </c>
      <c r="X2006">
        <f>_xlfn.NUMBERVALUE("1.690000")</f>
        <v/>
      </c>
      <c r="Y2006">
        <f>_xlfn.NUMBERVALUE("22.830000")</f>
        <v/>
      </c>
    </row>
    <row r="2007">
      <c r="A2007" s="1" t="n">
        <v>44911</v>
      </c>
      <c r="B2007">
        <f>_xlfn.NUMBERVALUE("0.006681")</f>
        <v/>
      </c>
      <c r="C2007" s="2">
        <f>_xlfn.NUMBERVALUE("0.001908")</f>
        <v/>
      </c>
      <c r="D2007">
        <f>_xlfn.NUMBERVALUE("0.001862")</f>
        <v/>
      </c>
      <c r="E2007">
        <f>_xlfn.NUMBERVALUE("0.001227")</f>
        <v/>
      </c>
      <c r="F2007">
        <f>_xlfn.NUMBERVALUE("0.000487")</f>
        <v/>
      </c>
      <c r="G2007">
        <f>_xlfn.NUMBERVALUE("0.001899")</f>
        <v/>
      </c>
      <c r="H2007">
        <f>_xlfn.NUMBERVALUE("0.000521")</f>
        <v/>
      </c>
      <c r="I2007">
        <f>_xlfn.NUMBERVALUE("-0.000102")</f>
        <v/>
      </c>
      <c r="J2007">
        <f>_xlfn.NUMBERVALUE("0.001250")</f>
        <v/>
      </c>
      <c r="K2007">
        <f>_xlfn.NUMBERVALUE("0.002346")</f>
        <v/>
      </c>
      <c r="L2007">
        <f>_xlfn.NUMBERVALUE("0.000802")</f>
        <v/>
      </c>
      <c r="M2007">
        <f>_xlfn.NUMBERVALUE("0.001915")</f>
        <v/>
      </c>
      <c r="N2007">
        <f>_xlfn.NUMBERVALUE("0.000837")</f>
        <v/>
      </c>
      <c r="O2007">
        <f>_xlfn.NUMBERVALUE("0.001489")</f>
        <v/>
      </c>
      <c r="P2007">
        <f>_xlfn.NUMBERVALUE("0.000573")</f>
        <v/>
      </c>
      <c r="Q2007">
        <f>_xlfn.NUMBERVALUE("0.001578")</f>
        <v/>
      </c>
      <c r="R2007">
        <f>_xlfn.NUMBERVALUE("0.002865")</f>
        <v/>
      </c>
      <c r="S2007">
        <f>_xlfn.NUMBERVALUE("0.000901")</f>
        <v/>
      </c>
      <c r="T2007">
        <f>_xlfn.NUMBERVALUE("-0.000465")</f>
        <v/>
      </c>
      <c r="U2007">
        <f>_xlfn.NUMBERVALUE("0.000857")</f>
        <v/>
      </c>
      <c r="V2007">
        <f>_xlfn.NUMBERVALUE("0.002772")</f>
        <v/>
      </c>
      <c r="W2007">
        <f>_xlfn.NUMBERVALUE("-0.012539")</f>
        <v/>
      </c>
      <c r="X2007">
        <f>_xlfn.NUMBERVALUE("-0.210000")</f>
        <v/>
      </c>
      <c r="Y2007">
        <f>_xlfn.NUMBERVALUE("22.620000")</f>
        <v/>
      </c>
    </row>
    <row r="2008">
      <c r="A2008" s="1" t="n">
        <v>44914</v>
      </c>
      <c r="B2008">
        <f>_xlfn.NUMBERVALUE("-0.002507")</f>
        <v/>
      </c>
      <c r="C2008" s="2">
        <f>_xlfn.NUMBERVALUE("-0.000461")</f>
        <v/>
      </c>
      <c r="D2008">
        <f>_xlfn.NUMBERVALUE("0.000762")</f>
        <v/>
      </c>
      <c r="E2008">
        <f>_xlfn.NUMBERVALUE("0.000755")</f>
        <v/>
      </c>
      <c r="F2008">
        <f>_xlfn.NUMBERVALUE("-0.083545")</f>
        <v/>
      </c>
      <c r="G2008">
        <f>_xlfn.NUMBERVALUE("0.001435")</f>
        <v/>
      </c>
      <c r="H2008">
        <f>_xlfn.NUMBERVALUE("0.000002")</f>
        <v/>
      </c>
      <c r="I2008">
        <f>_xlfn.NUMBERVALUE("-0.000942")</f>
        <v/>
      </c>
      <c r="J2008">
        <f>_xlfn.NUMBERVALUE("-0.000595")</f>
        <v/>
      </c>
      <c r="K2008">
        <f>_xlfn.NUMBERVALUE("0.002016")</f>
        <v/>
      </c>
      <c r="L2008">
        <f>_xlfn.NUMBERVALUE("0.000047")</f>
        <v/>
      </c>
      <c r="M2008">
        <f>_xlfn.NUMBERVALUE("0.000765")</f>
        <v/>
      </c>
      <c r="N2008">
        <f>_xlfn.NUMBERVALUE("-0.001699")</f>
        <v/>
      </c>
      <c r="O2008">
        <f>_xlfn.NUMBERVALUE("0.004293")</f>
        <v/>
      </c>
      <c r="P2008">
        <f>_xlfn.NUMBERVALUE("0.003124")</f>
        <v/>
      </c>
      <c r="Q2008">
        <f>_xlfn.NUMBERVALUE("0.002744")</f>
        <v/>
      </c>
      <c r="R2008">
        <f>_xlfn.NUMBERVALUE("0.000324")</f>
        <v/>
      </c>
      <c r="S2008">
        <f>_xlfn.NUMBERVALUE("0.002514")</f>
        <v/>
      </c>
      <c r="T2008">
        <f>_xlfn.NUMBERVALUE("0.000597")</f>
        <v/>
      </c>
      <c r="U2008">
        <f>_xlfn.NUMBERVALUE("0.000569")</f>
        <v/>
      </c>
      <c r="V2008">
        <f>_xlfn.NUMBERVALUE("-0.000779")</f>
        <v/>
      </c>
      <c r="W2008">
        <f>_xlfn.NUMBERVALUE("-0.012828")</f>
        <v/>
      </c>
      <c r="X2008">
        <f>_xlfn.NUMBERVALUE("-0.200000")</f>
        <v/>
      </c>
      <c r="Y2008">
        <f>_xlfn.NUMBERVALUE("22.420000")</f>
        <v/>
      </c>
    </row>
    <row r="2009">
      <c r="A2009" s="1" t="n">
        <v>44915</v>
      </c>
      <c r="B2009">
        <f>_xlfn.NUMBERVALUE("0.001765")</f>
        <v/>
      </c>
      <c r="C2009" s="2">
        <f>_xlfn.NUMBERVALUE("0.000863")</f>
        <v/>
      </c>
      <c r="D2009">
        <f>_xlfn.NUMBERVALUE("0.000665")</f>
        <v/>
      </c>
      <c r="E2009">
        <f>_xlfn.NUMBERVALUE("0.000996")</f>
        <v/>
      </c>
      <c r="F2009">
        <f>_xlfn.NUMBERVALUE("0.068233")</f>
        <v/>
      </c>
      <c r="G2009">
        <f>_xlfn.NUMBERVALUE("-0.000351")</f>
        <v/>
      </c>
      <c r="H2009">
        <f>_xlfn.NUMBERVALUE("-0.001430")</f>
        <v/>
      </c>
      <c r="I2009">
        <f>_xlfn.NUMBERVALUE("0.000571")</f>
        <v/>
      </c>
      <c r="J2009">
        <f>_xlfn.NUMBERVALUE("-0.002455")</f>
        <v/>
      </c>
      <c r="K2009">
        <f>_xlfn.NUMBERVALUE("-0.021348")</f>
        <v/>
      </c>
      <c r="L2009">
        <f>_xlfn.NUMBERVALUE("-0.004520")</f>
        <v/>
      </c>
      <c r="M2009">
        <f>_xlfn.NUMBERVALUE("0.001096")</f>
        <v/>
      </c>
      <c r="N2009">
        <f>_xlfn.NUMBERVALUE("0.001603")</f>
        <v/>
      </c>
      <c r="O2009">
        <f>_xlfn.NUMBERVALUE("0.000624")</f>
        <v/>
      </c>
      <c r="P2009">
        <f>_xlfn.NUMBERVALUE("0.001265")</f>
        <v/>
      </c>
      <c r="Q2009">
        <f>_xlfn.NUMBERVALUE("0.001360")</f>
        <v/>
      </c>
      <c r="R2009">
        <f>_xlfn.NUMBERVALUE("0.001528")</f>
        <v/>
      </c>
      <c r="S2009">
        <f>_xlfn.NUMBERVALUE("0.000903")</f>
        <v/>
      </c>
      <c r="T2009">
        <f>_xlfn.NUMBERVALUE("0.000847")</f>
        <v/>
      </c>
      <c r="U2009">
        <f>_xlfn.NUMBERVALUE("0.000821")</f>
        <v/>
      </c>
      <c r="V2009">
        <f>_xlfn.NUMBERVALUE("0.000381")</f>
        <v/>
      </c>
      <c r="W2009">
        <f>_xlfn.NUMBERVALUE("0.004903")</f>
        <v/>
      </c>
      <c r="X2009">
        <f>_xlfn.NUMBERVALUE("-0.940000")</f>
        <v/>
      </c>
      <c r="Y2009">
        <f>_xlfn.NUMBERVALUE("21.480000")</f>
        <v/>
      </c>
    </row>
    <row r="2010">
      <c r="A2010" s="1" t="n">
        <v>44916</v>
      </c>
      <c r="B2010">
        <f>_xlfn.NUMBERVALUE("0.000502")</f>
        <v/>
      </c>
      <c r="C2010" s="2">
        <f>_xlfn.NUMBERVALUE("0.000978")</f>
        <v/>
      </c>
      <c r="D2010">
        <f>_xlfn.NUMBERVALUE("-0.002658")</f>
        <v/>
      </c>
      <c r="E2010">
        <f>_xlfn.NUMBERVALUE("0.001266")</f>
        <v/>
      </c>
      <c r="F2010">
        <f>_xlfn.NUMBERVALUE("0.001622")</f>
        <v/>
      </c>
      <c r="G2010">
        <f>_xlfn.NUMBERVALUE("0.000511")</f>
        <v/>
      </c>
      <c r="H2010">
        <f>_xlfn.NUMBERVALUE("0.000528")</f>
        <v/>
      </c>
      <c r="I2010">
        <f>_xlfn.NUMBERVALUE("0.000909")</f>
        <v/>
      </c>
      <c r="J2010">
        <f>_xlfn.NUMBERVALUE("0.000620")</f>
        <v/>
      </c>
      <c r="K2010">
        <f>_xlfn.NUMBERVALUE("0.002902")</f>
        <v/>
      </c>
      <c r="L2010">
        <f>_xlfn.NUMBERVALUE("0.000153")</f>
        <v/>
      </c>
      <c r="M2010">
        <f>_xlfn.NUMBERVALUE("0.001177")</f>
        <v/>
      </c>
      <c r="N2010">
        <f>_xlfn.NUMBERVALUE("0.001444")</f>
        <v/>
      </c>
      <c r="O2010">
        <f>_xlfn.NUMBERVALUE("0.001514")</f>
        <v/>
      </c>
      <c r="P2010">
        <f>_xlfn.NUMBERVALUE("0.000662")</f>
        <v/>
      </c>
      <c r="Q2010">
        <f>_xlfn.NUMBERVALUE("0.000375")</f>
        <v/>
      </c>
      <c r="R2010">
        <f>_xlfn.NUMBERVALUE("0.001715")</f>
        <v/>
      </c>
      <c r="S2010">
        <f>_xlfn.NUMBERVALUE("0.000945")</f>
        <v/>
      </c>
      <c r="T2010">
        <f>_xlfn.NUMBERVALUE("0.001378")</f>
        <v/>
      </c>
      <c r="U2010">
        <f>_xlfn.NUMBERVALUE("0.001919")</f>
        <v/>
      </c>
      <c r="V2010">
        <f>_xlfn.NUMBERVALUE("0.000560")</f>
        <v/>
      </c>
      <c r="W2010">
        <f>_xlfn.NUMBERVALUE("0.011987")</f>
        <v/>
      </c>
      <c r="X2010">
        <f>_xlfn.NUMBERVALUE("-1.410000")</f>
        <v/>
      </c>
      <c r="Y2010">
        <f>_xlfn.NUMBERVALUE("20.070000")</f>
        <v/>
      </c>
    </row>
    <row r="2011">
      <c r="A2011" s="1" t="n">
        <v>44917</v>
      </c>
      <c r="B2011">
        <f>_xlfn.NUMBERVALUE("0.000692")</f>
        <v/>
      </c>
      <c r="C2011" s="2">
        <f>_xlfn.NUMBERVALUE("-0.001873")</f>
        <v/>
      </c>
      <c r="D2011">
        <f>_xlfn.NUMBERVALUE("0.003311")</f>
        <v/>
      </c>
      <c r="E2011">
        <f>_xlfn.NUMBERVALUE("-0.002273")</f>
        <v/>
      </c>
      <c r="F2011">
        <f>_xlfn.NUMBERVALUE("-0.001649")</f>
        <v/>
      </c>
      <c r="G2011">
        <f>_xlfn.NUMBERVALUE("-0.000652")</f>
        <v/>
      </c>
      <c r="H2011">
        <f>_xlfn.NUMBERVALUE("0.000578")</f>
        <v/>
      </c>
      <c r="I2011">
        <f>_xlfn.NUMBERVALUE("-0.000834")</f>
        <v/>
      </c>
      <c r="J2011">
        <f>_xlfn.NUMBERVALUE("0.000746")</f>
        <v/>
      </c>
      <c r="K2011">
        <f>_xlfn.NUMBERVALUE("-0.000786")</f>
        <v/>
      </c>
      <c r="L2011">
        <f>_xlfn.NUMBERVALUE("0.002346")</f>
        <v/>
      </c>
      <c r="M2011">
        <f>_xlfn.NUMBERVALUE("-0.002385")</f>
        <v/>
      </c>
      <c r="N2011">
        <f>_xlfn.NUMBERVALUE("-0.003137")</f>
        <v/>
      </c>
      <c r="O2011">
        <f>_xlfn.NUMBERVALUE("-0.006607")</f>
        <v/>
      </c>
      <c r="P2011">
        <f>_xlfn.NUMBERVALUE("-0.002433")</f>
        <v/>
      </c>
      <c r="Q2011">
        <f>_xlfn.NUMBERVALUE("-0.003293")</f>
        <v/>
      </c>
      <c r="R2011">
        <f>_xlfn.NUMBERVALUE("-0.007373")</f>
        <v/>
      </c>
      <c r="S2011">
        <f>_xlfn.NUMBERVALUE("-0.001330")</f>
        <v/>
      </c>
      <c r="T2011">
        <f>_xlfn.NUMBERVALUE("-0.001040")</f>
        <v/>
      </c>
      <c r="U2011">
        <f>_xlfn.NUMBERVALUE("-0.005047")</f>
        <v/>
      </c>
      <c r="V2011">
        <f>_xlfn.NUMBERVALUE("-0.001002")</f>
        <v/>
      </c>
      <c r="W2011">
        <f>_xlfn.NUMBERVALUE("-0.017599")</f>
        <v/>
      </c>
      <c r="X2011">
        <f>_xlfn.NUMBERVALUE("1.900000")</f>
        <v/>
      </c>
      <c r="Y2011">
        <f>_xlfn.NUMBERVALUE("21.970000")</f>
        <v/>
      </c>
    </row>
    <row r="2012">
      <c r="A2012" s="1" t="n">
        <v>44918</v>
      </c>
      <c r="B2012">
        <f>_xlfn.NUMBERVALUE("0.004501")</f>
        <v/>
      </c>
      <c r="C2012" s="2">
        <f>_xlfn.NUMBERVALUE("0.001093")</f>
        <v/>
      </c>
      <c r="D2012">
        <f>_xlfn.NUMBERVALUE("-0.004007")</f>
        <v/>
      </c>
      <c r="E2012">
        <f>_xlfn.NUMBERVALUE("0.002019")</f>
        <v/>
      </c>
      <c r="F2012">
        <f>_xlfn.NUMBERVALUE("0.000794")</f>
        <v/>
      </c>
      <c r="G2012">
        <f>_xlfn.NUMBERVALUE("0.000952")</f>
        <v/>
      </c>
      <c r="H2012">
        <f>_xlfn.NUMBERVALUE("0.000236")</f>
        <v/>
      </c>
      <c r="I2012">
        <f>_xlfn.NUMBERVALUE("0.000253")</f>
        <v/>
      </c>
      <c r="J2012">
        <f>_xlfn.NUMBERVALUE("0.000631")</f>
        <v/>
      </c>
      <c r="K2012">
        <f>_xlfn.NUMBERVALUE("0.002777")</f>
        <v/>
      </c>
      <c r="L2012">
        <f>_xlfn.NUMBERVALUE("-0.001420")</f>
        <v/>
      </c>
      <c r="M2012">
        <f>_xlfn.NUMBERVALUE("0.001724")</f>
        <v/>
      </c>
      <c r="N2012">
        <f>_xlfn.NUMBERVALUE("0.001979")</f>
        <v/>
      </c>
      <c r="O2012">
        <f>_xlfn.NUMBERVALUE("-0.002022")</f>
        <v/>
      </c>
      <c r="P2012">
        <f>_xlfn.NUMBERVALUE("0.002633")</f>
        <v/>
      </c>
      <c r="Q2012">
        <f>_xlfn.NUMBERVALUE("0.001785")</f>
        <v/>
      </c>
      <c r="R2012">
        <f>_xlfn.NUMBERVALUE("0.002532")</f>
        <v/>
      </c>
      <c r="S2012">
        <f>_xlfn.NUMBERVALUE("0.001564")</f>
        <v/>
      </c>
      <c r="T2012">
        <f>_xlfn.NUMBERVALUE("0.000270")</f>
        <v/>
      </c>
      <c r="U2012">
        <f>_xlfn.NUMBERVALUE("0.001598")</f>
        <v/>
      </c>
      <c r="V2012">
        <f>_xlfn.NUMBERVALUE("0.000397")</f>
        <v/>
      </c>
      <c r="W2012">
        <f>_xlfn.NUMBERVALUE("0.008443")</f>
        <v/>
      </c>
      <c r="X2012">
        <f>_xlfn.NUMBERVALUE("-1.100000")</f>
        <v/>
      </c>
      <c r="Y2012">
        <f>_xlfn.NUMBERVALUE("20.870000")</f>
        <v/>
      </c>
    </row>
    <row r="2013">
      <c r="A2013" s="1" t="n">
        <v>44922</v>
      </c>
      <c r="B2013">
        <f>_xlfn.NUMBERVALUE("-0.000042")</f>
        <v/>
      </c>
      <c r="C2013" s="2">
        <f>_xlfn.NUMBERVALUE("-0.000133")</f>
        <v/>
      </c>
      <c r="D2013">
        <f>_xlfn.NUMBERVALUE("0.003928")</f>
        <v/>
      </c>
      <c r="E2013">
        <f>_xlfn.NUMBERVALUE("0.001137")</f>
        <v/>
      </c>
      <c r="F2013">
        <f>_xlfn.NUMBERVALUE("-0.001091")</f>
        <v/>
      </c>
      <c r="G2013">
        <f>_xlfn.NUMBERVALUE("-0.001528")</f>
        <v/>
      </c>
      <c r="H2013">
        <f>_xlfn.NUMBERVALUE("-0.000784")</f>
        <v/>
      </c>
      <c r="I2013">
        <f>_xlfn.NUMBERVALUE("-0.000118")</f>
        <v/>
      </c>
      <c r="J2013">
        <f>_xlfn.NUMBERVALUE("-0.003392")</f>
        <v/>
      </c>
      <c r="K2013">
        <f>_xlfn.NUMBERVALUE("-0.000453")</f>
        <v/>
      </c>
      <c r="L2013">
        <f>_xlfn.NUMBERVALUE("-0.002747")</f>
        <v/>
      </c>
      <c r="M2013">
        <f>_xlfn.NUMBERVALUE("0.001548")</f>
        <v/>
      </c>
      <c r="N2013">
        <f>_xlfn.NUMBERVALUE("0.000650")</f>
        <v/>
      </c>
      <c r="O2013">
        <f>_xlfn.NUMBERVALUE("0.005250")</f>
        <v/>
      </c>
      <c r="P2013">
        <f>_xlfn.NUMBERVALUE("0.002792")</f>
        <v/>
      </c>
      <c r="Q2013">
        <f>_xlfn.NUMBERVALUE("0.001322")</f>
        <v/>
      </c>
      <c r="R2013">
        <f>_xlfn.NUMBERVALUE("0.000364")</f>
        <v/>
      </c>
      <c r="S2013">
        <f>_xlfn.NUMBERVALUE("0.000083")</f>
        <v/>
      </c>
      <c r="T2013">
        <f>_xlfn.NUMBERVALUE("0.001166")</f>
        <v/>
      </c>
      <c r="U2013">
        <f>_xlfn.NUMBERVALUE("-0.001456")</f>
        <v/>
      </c>
      <c r="V2013">
        <f>_xlfn.NUMBERVALUE("-0.000404")</f>
        <v/>
      </c>
      <c r="W2013">
        <f>_xlfn.NUMBERVALUE("-0.000837")</f>
        <v/>
      </c>
      <c r="X2013">
        <f>_xlfn.NUMBERVALUE("0.780000")</f>
        <v/>
      </c>
      <c r="Y2013">
        <f>_xlfn.NUMBERVALUE("21.650000")</f>
        <v/>
      </c>
    </row>
    <row r="2014">
      <c r="A2014" s="1" t="n">
        <v>44923</v>
      </c>
      <c r="B2014">
        <f>_xlfn.NUMBERVALUE("-0.000895")</f>
        <v/>
      </c>
      <c r="C2014" s="2">
        <f>_xlfn.NUMBERVALUE("-0.000431")</f>
        <v/>
      </c>
      <c r="D2014">
        <f>_xlfn.NUMBERVALUE("-0.001811")</f>
        <v/>
      </c>
      <c r="E2014">
        <f>_xlfn.NUMBERVALUE("-0.001457")</f>
        <v/>
      </c>
      <c r="F2014">
        <f>_xlfn.NUMBERVALUE("0.000789")</f>
        <v/>
      </c>
      <c r="G2014">
        <f>_xlfn.NUMBERVALUE("-0.000703")</f>
        <v/>
      </c>
      <c r="H2014">
        <f>_xlfn.NUMBERVALUE("-0.000248")</f>
        <v/>
      </c>
      <c r="I2014">
        <f>_xlfn.NUMBERVALUE("-0.000166")</f>
        <v/>
      </c>
      <c r="J2014">
        <f>_xlfn.NUMBERVALUE("0.000484")</f>
        <v/>
      </c>
      <c r="K2014">
        <f>_xlfn.NUMBERVALUE("0.000415")</f>
        <v/>
      </c>
      <c r="L2014">
        <f>_xlfn.NUMBERVALUE("-0.001238")</f>
        <v/>
      </c>
      <c r="M2014">
        <f>_xlfn.NUMBERVALUE("-0.003038")</f>
        <v/>
      </c>
      <c r="N2014">
        <f>_xlfn.NUMBERVALUE("-0.002589")</f>
        <v/>
      </c>
      <c r="O2014">
        <f>_xlfn.NUMBERVALUE("-0.006171")</f>
        <v/>
      </c>
      <c r="P2014">
        <f>_xlfn.NUMBERVALUE("-0.001119")</f>
        <v/>
      </c>
      <c r="Q2014">
        <f>_xlfn.NUMBERVALUE("-0.001875")</f>
        <v/>
      </c>
      <c r="R2014">
        <f>_xlfn.NUMBERVALUE("-0.001397")</f>
        <v/>
      </c>
      <c r="S2014">
        <f>_xlfn.NUMBERVALUE("-0.002356")</f>
        <v/>
      </c>
      <c r="T2014">
        <f>_xlfn.NUMBERVALUE("-0.000014")</f>
        <v/>
      </c>
      <c r="U2014">
        <f>_xlfn.NUMBERVALUE("-0.000706")</f>
        <v/>
      </c>
      <c r="V2014">
        <f>_xlfn.NUMBERVALUE("-0.002195")</f>
        <v/>
      </c>
      <c r="W2014">
        <f>_xlfn.NUMBERVALUE("-0.013799")</f>
        <v/>
      </c>
      <c r="X2014">
        <f>_xlfn.NUMBERVALUE("0.490000")</f>
        <v/>
      </c>
      <c r="Y2014">
        <f>_xlfn.NUMBERVALUE("22.140000")</f>
        <v/>
      </c>
    </row>
    <row r="2015">
      <c r="A2015" s="1" t="n">
        <v>44924</v>
      </c>
      <c r="B2015">
        <f>_xlfn.NUMBERVALUE("0.001716")</f>
        <v/>
      </c>
      <c r="C2015" s="2">
        <f>_xlfn.NUMBERVALUE("0.000416")</f>
        <v/>
      </c>
      <c r="D2015">
        <f>_xlfn.NUMBERVALUE("0.001036")</f>
        <v/>
      </c>
      <c r="E2015">
        <f>_xlfn.NUMBERVALUE("0.000346")</f>
        <v/>
      </c>
      <c r="F2015">
        <f>_xlfn.NUMBERVALUE("0.000451")</f>
        <v/>
      </c>
      <c r="G2015">
        <f>_xlfn.NUMBERVALUE("-0.000287")</f>
        <v/>
      </c>
      <c r="H2015">
        <f>_xlfn.NUMBERVALUE("0.000488")</f>
        <v/>
      </c>
      <c r="I2015">
        <f>_xlfn.NUMBERVALUE("-0.000292")</f>
        <v/>
      </c>
      <c r="J2015">
        <f>_xlfn.NUMBERVALUE("0.000691")</f>
        <v/>
      </c>
      <c r="K2015">
        <f>_xlfn.NUMBERVALUE("-0.000130")</f>
        <v/>
      </c>
      <c r="L2015">
        <f>_xlfn.NUMBERVALUE("0.002708")</f>
        <v/>
      </c>
      <c r="M2015">
        <f>_xlfn.NUMBERVALUE("0.002271")</f>
        <v/>
      </c>
      <c r="N2015">
        <f>_xlfn.NUMBERVALUE("0.000088")</f>
        <v/>
      </c>
      <c r="O2015">
        <f>_xlfn.NUMBERVALUE("0.003533")</f>
        <v/>
      </c>
      <c r="P2015">
        <f>_xlfn.NUMBERVALUE("0.000528")</f>
        <v/>
      </c>
      <c r="Q2015">
        <f>_xlfn.NUMBERVALUE("0.000847")</f>
        <v/>
      </c>
      <c r="R2015">
        <f>_xlfn.NUMBERVALUE("-0.000415")</f>
        <v/>
      </c>
      <c r="S2015">
        <f>_xlfn.NUMBERVALUE("0.001746")</f>
        <v/>
      </c>
      <c r="T2015">
        <f>_xlfn.NUMBERVALUE("0.001718")</f>
        <v/>
      </c>
      <c r="U2015">
        <f>_xlfn.NUMBERVALUE("0.001336")</f>
        <v/>
      </c>
      <c r="V2015">
        <f>_xlfn.NUMBERVALUE("0.001816")</f>
        <v/>
      </c>
      <c r="W2015">
        <f>_xlfn.NUMBERVALUE("0.018692")</f>
        <v/>
      </c>
      <c r="X2015">
        <f>_xlfn.NUMBERVALUE("-0.700000")</f>
        <v/>
      </c>
      <c r="Y2015">
        <f>_xlfn.NUMBERVALUE("21.440000")</f>
        <v/>
      </c>
    </row>
    <row r="2016">
      <c r="A2016" s="1" t="n">
        <v>44925</v>
      </c>
      <c r="B2016">
        <f>_xlfn.NUMBERVALUE("0.000768")</f>
        <v/>
      </c>
      <c r="C2016" s="2">
        <f>_xlfn.NUMBERVALUE("-0.000140")</f>
        <v/>
      </c>
      <c r="D2016">
        <f>_xlfn.NUMBERVALUE("-0.001256")</f>
        <v/>
      </c>
      <c r="E2016">
        <f>_xlfn.NUMBERVALUE("-0.001658")</f>
        <v/>
      </c>
      <c r="F2016">
        <f>_xlfn.NUMBERVALUE("0.000822")</f>
        <v/>
      </c>
      <c r="G2016">
        <f>_xlfn.NUMBERVALUE("0.000539")</f>
        <v/>
      </c>
      <c r="H2016">
        <f>_xlfn.NUMBERVALUE("0.000069")</f>
        <v/>
      </c>
      <c r="I2016">
        <f>_xlfn.NUMBERVALUE("-0.000134")</f>
        <v/>
      </c>
      <c r="J2016">
        <f>_xlfn.NUMBERVALUE("0.000207")</f>
        <v/>
      </c>
      <c r="K2016">
        <f>_xlfn.NUMBERVALUE("0.001332")</f>
        <v/>
      </c>
      <c r="L2016">
        <f>_xlfn.NUMBERVALUE("-0.000064")</f>
        <v/>
      </c>
      <c r="M2016">
        <f>_xlfn.NUMBERVALUE("-0.000499")</f>
        <v/>
      </c>
      <c r="N2016">
        <f>_xlfn.NUMBERVALUE("0.000039")</f>
        <v/>
      </c>
      <c r="O2016">
        <f>_xlfn.NUMBERVALUE("0.002640")</f>
        <v/>
      </c>
      <c r="P2016">
        <f>_xlfn.NUMBERVALUE("0.001195")</f>
        <v/>
      </c>
      <c r="Q2016">
        <f>_xlfn.NUMBERVALUE("0.000464")</f>
        <v/>
      </c>
      <c r="R2016">
        <f>_xlfn.NUMBERVALUE("0.000365")</f>
        <v/>
      </c>
      <c r="S2016">
        <f>_xlfn.NUMBERVALUE("0.000014")</f>
        <v/>
      </c>
      <c r="T2016">
        <f>_xlfn.NUMBERVALUE("-0.000074")</f>
        <v/>
      </c>
      <c r="U2016">
        <f>_xlfn.NUMBERVALUE("0.000113")</f>
        <v/>
      </c>
      <c r="V2016">
        <f>_xlfn.NUMBERVALUE("-0.000115")</f>
        <v/>
      </c>
      <c r="W2016">
        <f>_xlfn.NUMBERVALUE("-0.005969")</f>
        <v/>
      </c>
      <c r="X2016">
        <f>_xlfn.NUMBERVALUE("0.230000")</f>
        <v/>
      </c>
      <c r="Y2016">
        <f>_xlfn.NUMBERVALUE("21.670000")</f>
        <v/>
      </c>
    </row>
    <row r="2017">
      <c r="A2017" s="1" t="n">
        <v>44929</v>
      </c>
      <c r="B2017">
        <f>_xlfn.NUMBERVALUE("0.003965")</f>
        <v/>
      </c>
      <c r="C2017" s="2">
        <f>_xlfn.NUMBERVALUE("-0.000021")</f>
        <v/>
      </c>
      <c r="D2017">
        <f>_xlfn.NUMBERVALUE("0.001560")</f>
        <v/>
      </c>
      <c r="E2017">
        <f>_xlfn.NUMBERVALUE("0.003246")</f>
        <v/>
      </c>
      <c r="F2017">
        <f>_xlfn.NUMBERVALUE("0.001448")</f>
        <v/>
      </c>
      <c r="G2017">
        <f>_xlfn.NUMBERVALUE("0.000155")</f>
        <v/>
      </c>
      <c r="H2017">
        <f>_xlfn.NUMBERVALUE("-0.000258")</f>
        <v/>
      </c>
      <c r="I2017">
        <f>_xlfn.NUMBERVALUE("-0.000157")</f>
        <v/>
      </c>
      <c r="J2017">
        <f>_xlfn.NUMBERVALUE("-0.000020")</f>
        <v/>
      </c>
      <c r="K2017">
        <f>_xlfn.NUMBERVALUE("0.007562")</f>
        <v/>
      </c>
      <c r="L2017">
        <f>_xlfn.NUMBERVALUE("-0.000610")</f>
        <v/>
      </c>
      <c r="M2017">
        <f>_xlfn.NUMBERVALUE("0.000783")</f>
        <v/>
      </c>
      <c r="N2017">
        <f>_xlfn.NUMBERVALUE("-0.000646")</f>
        <v/>
      </c>
      <c r="O2017">
        <f>_xlfn.NUMBERVALUE("-0.008234")</f>
        <v/>
      </c>
      <c r="P2017">
        <f>_xlfn.NUMBERVALUE("0.000308")</f>
        <v/>
      </c>
      <c r="Q2017">
        <f>_xlfn.NUMBERVALUE("0.000681")</f>
        <v/>
      </c>
      <c r="R2017">
        <f>_xlfn.NUMBERVALUE("-0.000066")</f>
        <v/>
      </c>
      <c r="S2017">
        <f>_xlfn.NUMBERVALUE("-0.000639")</f>
        <v/>
      </c>
      <c r="T2017">
        <f>_xlfn.NUMBERVALUE("0.001436")</f>
        <v/>
      </c>
      <c r="U2017">
        <f>_xlfn.NUMBERVALUE("-0.001228")</f>
        <v/>
      </c>
      <c r="V2017">
        <f>_xlfn.NUMBERVALUE("-0.000194")</f>
        <v/>
      </c>
      <c r="W2017">
        <f>_xlfn.NUMBERVALUE("-0.002386")</f>
        <v/>
      </c>
      <c r="X2017">
        <f>_xlfn.NUMBERVALUE("1.230000")</f>
        <v/>
      </c>
      <c r="Y2017">
        <f>_xlfn.NUMBERVALUE("22.900000")</f>
        <v/>
      </c>
    </row>
    <row r="2018">
      <c r="A2018" s="1" t="n">
        <v>44930</v>
      </c>
      <c r="B2018">
        <f>_xlfn.NUMBERVALUE("0.000680")</f>
        <v/>
      </c>
      <c r="C2018" s="2">
        <f>_xlfn.NUMBERVALUE("-0.000130")</f>
        <v/>
      </c>
      <c r="D2018">
        <f>_xlfn.NUMBERVALUE("0.000798")</f>
        <v/>
      </c>
      <c r="E2018">
        <f>_xlfn.NUMBERVALUE("0.001128")</f>
        <v/>
      </c>
      <c r="F2018">
        <f>_xlfn.NUMBERVALUE("-0.000293")</f>
        <v/>
      </c>
      <c r="G2018">
        <f>_xlfn.NUMBERVALUE("0.000024")</f>
        <v/>
      </c>
      <c r="H2018">
        <f>_xlfn.NUMBERVALUE("-0.000003")</f>
        <v/>
      </c>
      <c r="I2018">
        <f>_xlfn.NUMBERVALUE("-0.000057")</f>
        <v/>
      </c>
      <c r="J2018">
        <f>_xlfn.NUMBERVALUE("0.000197")</f>
        <v/>
      </c>
      <c r="K2018">
        <f>_xlfn.NUMBERVALUE("0.004901")</f>
        <v/>
      </c>
      <c r="L2018">
        <f>_xlfn.NUMBERVALUE("0.000946")</f>
        <v/>
      </c>
      <c r="M2018">
        <f>_xlfn.NUMBERVALUE("-0.008928")</f>
        <v/>
      </c>
      <c r="N2018">
        <f>_xlfn.NUMBERVALUE("0.000213")</f>
        <v/>
      </c>
      <c r="O2018">
        <f>_xlfn.NUMBERVALUE("0.003250")</f>
        <v/>
      </c>
      <c r="P2018">
        <f>_xlfn.NUMBERVALUE("-0.000667")</f>
        <v/>
      </c>
      <c r="Q2018">
        <f>_xlfn.NUMBERVALUE("0.000915")</f>
        <v/>
      </c>
      <c r="R2018">
        <f>_xlfn.NUMBERVALUE("-0.000358")</f>
        <v/>
      </c>
      <c r="S2018">
        <f>_xlfn.NUMBERVALUE("0.000940")</f>
        <v/>
      </c>
      <c r="T2018">
        <f>_xlfn.NUMBERVALUE("0.001588")</f>
        <v/>
      </c>
      <c r="U2018">
        <f>_xlfn.NUMBERVALUE("0.000295")</f>
        <v/>
      </c>
      <c r="V2018">
        <f>_xlfn.NUMBERVALUE("-0.000075")</f>
        <v/>
      </c>
      <c r="W2018">
        <f>_xlfn.NUMBERVALUE("0.001209")</f>
        <v/>
      </c>
      <c r="X2018">
        <f>_xlfn.NUMBERVALUE("-0.890000")</f>
        <v/>
      </c>
      <c r="Y2018">
        <f>_xlfn.NUMBERVALUE("22.010000")</f>
        <v/>
      </c>
    </row>
    <row r="2019">
      <c r="A2019" s="1" t="n">
        <v>44931</v>
      </c>
      <c r="B2019">
        <f>_xlfn.NUMBERVALUE("0.000328")</f>
        <v/>
      </c>
      <c r="C2019" s="2">
        <f>_xlfn.NUMBERVALUE("0.000668")</f>
        <v/>
      </c>
      <c r="D2019">
        <f>_xlfn.NUMBERVALUE("0.001557")</f>
        <v/>
      </c>
      <c r="E2019">
        <f>_xlfn.NUMBERVALUE("0.001549")</f>
        <v/>
      </c>
      <c r="F2019">
        <f>_xlfn.NUMBERVALUE("0.000437")</f>
        <v/>
      </c>
      <c r="G2019">
        <f>_xlfn.NUMBERVALUE("-0.000285")</f>
        <v/>
      </c>
      <c r="H2019">
        <f>_xlfn.NUMBERVALUE("0.000477")</f>
        <v/>
      </c>
      <c r="I2019">
        <f>_xlfn.NUMBERVALUE("0.000578")</f>
        <v/>
      </c>
      <c r="J2019">
        <f>_xlfn.NUMBERVALUE("0.001705")</f>
        <v/>
      </c>
      <c r="K2019">
        <f>_xlfn.NUMBERVALUE("0.000283")</f>
        <v/>
      </c>
      <c r="L2019">
        <f>_xlfn.NUMBERVALUE("0.000003")</f>
        <v/>
      </c>
      <c r="M2019">
        <f>_xlfn.NUMBERVALUE("0.005972")</f>
        <v/>
      </c>
      <c r="N2019">
        <f>_xlfn.NUMBERVALUE("-0.000304")</f>
        <v/>
      </c>
      <c r="O2019">
        <f>_xlfn.NUMBERVALUE("-0.000705")</f>
        <v/>
      </c>
      <c r="P2019">
        <f>_xlfn.NUMBERVALUE("0.002358")</f>
        <v/>
      </c>
      <c r="Q2019">
        <f>_xlfn.NUMBERVALUE("-0.000110")</f>
        <v/>
      </c>
      <c r="R2019">
        <f>_xlfn.NUMBERVALUE("-0.000319")</f>
        <v/>
      </c>
      <c r="S2019">
        <f>_xlfn.NUMBERVALUE("-0.000564")</f>
        <v/>
      </c>
      <c r="T2019">
        <f>_xlfn.NUMBERVALUE("-0.003528")</f>
        <v/>
      </c>
      <c r="U2019">
        <f>_xlfn.NUMBERVALUE("0.000771")</f>
        <v/>
      </c>
      <c r="V2019">
        <f>_xlfn.NUMBERVALUE("0.000784")</f>
        <v/>
      </c>
      <c r="W2019">
        <f>_xlfn.NUMBERVALUE("-0.004353")</f>
        <v/>
      </c>
      <c r="X2019">
        <f>_xlfn.NUMBERVALUE("0.450000")</f>
        <v/>
      </c>
      <c r="Y2019">
        <f>_xlfn.NUMBERVALUE("22.460000")</f>
        <v/>
      </c>
    </row>
    <row r="2020">
      <c r="A2020" s="1" t="n">
        <v>44932</v>
      </c>
      <c r="B2020">
        <f>_xlfn.NUMBERVALUE("0.010599")</f>
        <v/>
      </c>
      <c r="C2020" s="2">
        <f>_xlfn.NUMBERVALUE("-0.002159")</f>
        <v/>
      </c>
      <c r="D2020">
        <f>_xlfn.NUMBERVALUE("-0.000286")</f>
        <v/>
      </c>
      <c r="E2020">
        <f>_xlfn.NUMBERVALUE("-0.003186")</f>
        <v/>
      </c>
      <c r="F2020">
        <f>_xlfn.NUMBERVALUE("-0.001786")</f>
        <v/>
      </c>
      <c r="G2020">
        <f>_xlfn.NUMBERVALUE("-0.002291")</f>
        <v/>
      </c>
      <c r="H2020">
        <f>_xlfn.NUMBERVALUE("-0.001196")</f>
        <v/>
      </c>
      <c r="I2020">
        <f>_xlfn.NUMBERVALUE("0.000022")</f>
        <v/>
      </c>
      <c r="J2020">
        <f>_xlfn.NUMBERVALUE("-0.002287")</f>
        <v/>
      </c>
      <c r="K2020">
        <f>_xlfn.NUMBERVALUE("0.001612")</f>
        <v/>
      </c>
      <c r="L2020">
        <f>_xlfn.NUMBERVALUE("0.000565")</f>
        <v/>
      </c>
      <c r="M2020">
        <f>_xlfn.NUMBERVALUE("-0.000211")</f>
        <v/>
      </c>
      <c r="N2020">
        <f>_xlfn.NUMBERVALUE("0.002958")</f>
        <v/>
      </c>
      <c r="O2020">
        <f>_xlfn.NUMBERVALUE("0.000819")</f>
        <v/>
      </c>
      <c r="P2020">
        <f>_xlfn.NUMBERVALUE("-0.005255")</f>
        <v/>
      </c>
      <c r="Q2020">
        <f>_xlfn.NUMBERVALUE("-0.005514")</f>
        <v/>
      </c>
      <c r="R2020">
        <f>_xlfn.NUMBERVALUE("0.003607")</f>
        <v/>
      </c>
      <c r="S2020">
        <f>_xlfn.NUMBERVALUE("-0.002710")</f>
        <v/>
      </c>
      <c r="T2020">
        <f>_xlfn.NUMBERVALUE("-0.002612")</f>
        <v/>
      </c>
      <c r="U2020">
        <f>_xlfn.NUMBERVALUE("0.002402")</f>
        <v/>
      </c>
      <c r="V2020">
        <f>_xlfn.NUMBERVALUE("-0.001910")</f>
        <v/>
      </c>
      <c r="W2020">
        <f>_xlfn.NUMBERVALUE("0.024149")</f>
        <v/>
      </c>
      <c r="X2020">
        <f>_xlfn.NUMBERVALUE("-1.330000")</f>
        <v/>
      </c>
      <c r="Y2020">
        <f>_xlfn.NUMBERVALUE("21.130000")</f>
        <v/>
      </c>
    </row>
    <row r="2021">
      <c r="A2021" s="1" t="n">
        <v>44935</v>
      </c>
      <c r="B2021">
        <f>_xlfn.NUMBERVALUE("-0.005385")</f>
        <v/>
      </c>
      <c r="C2021" s="2">
        <f>_xlfn.NUMBERVALUE("0.000775")</f>
        <v/>
      </c>
      <c r="D2021">
        <f>_xlfn.NUMBERVALUE("0.000983")</f>
        <v/>
      </c>
      <c r="E2021">
        <f>_xlfn.NUMBERVALUE("-0.001292")</f>
        <v/>
      </c>
      <c r="F2021">
        <f>_xlfn.NUMBERVALUE("0.001244")</f>
        <v/>
      </c>
      <c r="G2021">
        <f>_xlfn.NUMBERVALUE("0.000297")</f>
        <v/>
      </c>
      <c r="H2021">
        <f>_xlfn.NUMBERVALUE("0.000107")</f>
        <v/>
      </c>
      <c r="I2021">
        <f>_xlfn.NUMBERVALUE("0.000831")</f>
        <v/>
      </c>
      <c r="J2021">
        <f>_xlfn.NUMBERVALUE("0.000615")</f>
        <v/>
      </c>
      <c r="K2021">
        <f>_xlfn.NUMBERVALUE("0.001707")</f>
        <v/>
      </c>
      <c r="L2021">
        <f>_xlfn.NUMBERVALUE("0.000856")</f>
        <v/>
      </c>
      <c r="M2021">
        <f>_xlfn.NUMBERVALUE("0.017525")</f>
        <v/>
      </c>
      <c r="N2021">
        <f>_xlfn.NUMBERVALUE("0.000925")</f>
        <v/>
      </c>
      <c r="O2021">
        <f>_xlfn.NUMBERVALUE("0.005597")</f>
        <v/>
      </c>
      <c r="P2021">
        <f>_xlfn.NUMBERVALUE("0.004280")</f>
        <v/>
      </c>
      <c r="Q2021">
        <f>_xlfn.NUMBERVALUE("0.007267")</f>
        <v/>
      </c>
      <c r="R2021">
        <f>_xlfn.NUMBERVALUE("0.002223")</f>
        <v/>
      </c>
      <c r="S2021">
        <f>_xlfn.NUMBERVALUE("0.000187")</f>
        <v/>
      </c>
      <c r="T2021">
        <f>_xlfn.NUMBERVALUE("0.004330")</f>
        <v/>
      </c>
      <c r="U2021">
        <f>_xlfn.NUMBERVALUE("0.001104")</f>
        <v/>
      </c>
      <c r="V2021">
        <f>_xlfn.NUMBERVALUE("0.000422")</f>
        <v/>
      </c>
      <c r="W2021">
        <f>_xlfn.NUMBERVALUE("-0.001157")</f>
        <v/>
      </c>
      <c r="X2021">
        <f>_xlfn.NUMBERVALUE("0.840000")</f>
        <v/>
      </c>
      <c r="Y2021">
        <f>_xlfn.NUMBERVALUE("21.970000")</f>
        <v/>
      </c>
    </row>
    <row r="2022">
      <c r="A2022" s="1" t="n">
        <v>44936</v>
      </c>
      <c r="B2022">
        <f>_xlfn.NUMBERVALUE("0.002129")</f>
        <v/>
      </c>
      <c r="C2022" s="2">
        <f>_xlfn.NUMBERVALUE("0.002055")</f>
        <v/>
      </c>
      <c r="D2022">
        <f>_xlfn.NUMBERVALUE("0.001525")</f>
        <v/>
      </c>
      <c r="E2022">
        <f>_xlfn.NUMBERVALUE("0.001069")</f>
        <v/>
      </c>
      <c r="F2022">
        <f>_xlfn.NUMBERVALUE("0.001116")</f>
        <v/>
      </c>
      <c r="G2022">
        <f>_xlfn.NUMBERVALUE("0.000875")</f>
        <v/>
      </c>
      <c r="H2022">
        <f>_xlfn.NUMBERVALUE("-0.000179")</f>
        <v/>
      </c>
      <c r="I2022">
        <f>_xlfn.NUMBERVALUE("0.001368")</f>
        <v/>
      </c>
      <c r="J2022">
        <f>_xlfn.NUMBERVALUE("-0.000429")</f>
        <v/>
      </c>
      <c r="K2022">
        <f>_xlfn.NUMBERVALUE("0.001182")</f>
        <v/>
      </c>
      <c r="L2022">
        <f>_xlfn.NUMBERVALUE("-0.000313")</f>
        <v/>
      </c>
      <c r="M2022">
        <f>_xlfn.NUMBERVALUE("0.001633")</f>
        <v/>
      </c>
      <c r="N2022">
        <f>_xlfn.NUMBERVALUE("0.000231")</f>
        <v/>
      </c>
      <c r="O2022">
        <f>_xlfn.NUMBERVALUE("0.003210")</f>
        <v/>
      </c>
      <c r="P2022">
        <f>_xlfn.NUMBERVALUE("0.001390")</f>
        <v/>
      </c>
      <c r="Q2022">
        <f>_xlfn.NUMBERVALUE("0.001510")</f>
        <v/>
      </c>
      <c r="R2022">
        <f>_xlfn.NUMBERVALUE("0.001674")</f>
        <v/>
      </c>
      <c r="S2022">
        <f>_xlfn.NUMBERVALUE("0.002097")</f>
        <v/>
      </c>
      <c r="T2022">
        <f>_xlfn.NUMBERVALUE("0.001861")</f>
        <v/>
      </c>
      <c r="U2022">
        <f>_xlfn.NUMBERVALUE("0.001755")</f>
        <v/>
      </c>
      <c r="V2022">
        <f>_xlfn.NUMBERVALUE("0.002210")</f>
        <v/>
      </c>
      <c r="W2022">
        <f>_xlfn.NUMBERVALUE("0.003398")</f>
        <v/>
      </c>
      <c r="X2022">
        <f>_xlfn.NUMBERVALUE("-1.390000")</f>
        <v/>
      </c>
      <c r="Y2022">
        <f>_xlfn.NUMBERVALUE("20.580000")</f>
        <v/>
      </c>
    </row>
    <row r="2023">
      <c r="A2023" s="1" t="n">
        <v>44937</v>
      </c>
      <c r="B2023">
        <f>_xlfn.NUMBERVALUE("-0.007521")</f>
        <v/>
      </c>
      <c r="C2023" s="2">
        <f>_xlfn.NUMBERVALUE("-0.001419")</f>
        <v/>
      </c>
      <c r="D2023">
        <f>_xlfn.NUMBERVALUE("0.000083")</f>
        <v/>
      </c>
      <c r="E2023">
        <f>_xlfn.NUMBERVALUE("0.001053")</f>
        <v/>
      </c>
      <c r="F2023">
        <f>_xlfn.NUMBERVALUE("0.000791")</f>
        <v/>
      </c>
      <c r="G2023">
        <f>_xlfn.NUMBERVALUE("0.000037")</f>
        <v/>
      </c>
      <c r="H2023">
        <f>_xlfn.NUMBERVALUE("-0.000407")</f>
        <v/>
      </c>
      <c r="I2023">
        <f>_xlfn.NUMBERVALUE("-0.002265")</f>
        <v/>
      </c>
      <c r="J2023">
        <f>_xlfn.NUMBERVALUE("-0.000309")</f>
        <v/>
      </c>
      <c r="K2023">
        <f>_xlfn.NUMBERVALUE("0.000009")</f>
        <v/>
      </c>
      <c r="L2023">
        <f>_xlfn.NUMBERVALUE("-0.000131")</f>
        <v/>
      </c>
      <c r="M2023">
        <f>_xlfn.NUMBERVALUE("-0.002289")</f>
        <v/>
      </c>
      <c r="N2023">
        <f>_xlfn.NUMBERVALUE("-0.002850")</f>
        <v/>
      </c>
      <c r="O2023">
        <f>_xlfn.NUMBERVALUE("0.000965")</f>
        <v/>
      </c>
      <c r="P2023">
        <f>_xlfn.NUMBERVALUE("0.000650")</f>
        <v/>
      </c>
      <c r="Q2023">
        <f>_xlfn.NUMBERVALUE("-0.000894")</f>
        <v/>
      </c>
      <c r="R2023">
        <f>_xlfn.NUMBERVALUE("-0.001550")</f>
        <v/>
      </c>
      <c r="S2023">
        <f>_xlfn.NUMBERVALUE("0.000367")</f>
        <v/>
      </c>
      <c r="T2023">
        <f>_xlfn.NUMBERVALUE("-0.000634")</f>
        <v/>
      </c>
      <c r="U2023">
        <f>_xlfn.NUMBERVALUE("-0.005665")</f>
        <v/>
      </c>
      <c r="V2023">
        <f>_xlfn.NUMBERVALUE("-0.002384")</f>
        <v/>
      </c>
      <c r="W2023">
        <f>_xlfn.NUMBERVALUE("0.012058")</f>
        <v/>
      </c>
      <c r="X2023">
        <f>_xlfn.NUMBERVALUE("0.510000")</f>
        <v/>
      </c>
      <c r="Y2023">
        <f>_xlfn.NUMBERVALUE("21.090000")</f>
        <v/>
      </c>
    </row>
    <row r="2024">
      <c r="A2024" s="1" t="n">
        <v>44938</v>
      </c>
      <c r="B2024">
        <f>_xlfn.NUMBERVALUE("0.011220")</f>
        <v/>
      </c>
      <c r="C2024" s="2">
        <f>_xlfn.NUMBERVALUE("0.003443")</f>
        <v/>
      </c>
      <c r="D2024">
        <f>_xlfn.NUMBERVALUE("0.002626")</f>
        <v/>
      </c>
      <c r="E2024">
        <f>_xlfn.NUMBERVALUE("-0.000384")</f>
        <v/>
      </c>
      <c r="F2024">
        <f>_xlfn.NUMBERVALUE("0.000336")</f>
        <v/>
      </c>
      <c r="G2024">
        <f>_xlfn.NUMBERVALUE("0.001416")</f>
        <v/>
      </c>
      <c r="H2024">
        <f>_xlfn.NUMBERVALUE("-0.000128")</f>
        <v/>
      </c>
      <c r="I2024">
        <f>_xlfn.NUMBERVALUE("0.001998")</f>
        <v/>
      </c>
      <c r="J2024">
        <f>_xlfn.NUMBERVALUE("-0.000106")</f>
        <v/>
      </c>
      <c r="K2024">
        <f>_xlfn.NUMBERVALUE("0.002703")</f>
        <v/>
      </c>
      <c r="L2024">
        <f>_xlfn.NUMBERVALUE("-0.001637")</f>
        <v/>
      </c>
      <c r="M2024">
        <f>_xlfn.NUMBERVALUE("0.005933")</f>
        <v/>
      </c>
      <c r="N2024">
        <f>_xlfn.NUMBERVALUE("0.007989")</f>
        <v/>
      </c>
      <c r="O2024">
        <f>_xlfn.NUMBERVALUE("0.003792")</f>
        <v/>
      </c>
      <c r="P2024">
        <f>_xlfn.NUMBERVALUE("0.004225")</f>
        <v/>
      </c>
      <c r="Q2024">
        <f>_xlfn.NUMBERVALUE("0.004402")</f>
        <v/>
      </c>
      <c r="R2024">
        <f>_xlfn.NUMBERVALUE("0.005074")</f>
        <v/>
      </c>
      <c r="S2024">
        <f>_xlfn.NUMBERVALUE("0.003375")</f>
        <v/>
      </c>
      <c r="T2024">
        <f>_xlfn.NUMBERVALUE("0.003359")</f>
        <v/>
      </c>
      <c r="U2024">
        <f>_xlfn.NUMBERVALUE("0.004769")</f>
        <v/>
      </c>
      <c r="V2024">
        <f>_xlfn.NUMBERVALUE("0.004540")</f>
        <v/>
      </c>
      <c r="W2024">
        <f>_xlfn.NUMBERVALUE("0.004436")</f>
        <v/>
      </c>
      <c r="X2024">
        <f>_xlfn.NUMBERVALUE("-2.260000")</f>
        <v/>
      </c>
      <c r="Y2024">
        <f>_xlfn.NUMBERVALUE("18.830000")</f>
        <v/>
      </c>
    </row>
    <row r="2025">
      <c r="A2025" s="1" t="n">
        <v>44939</v>
      </c>
      <c r="B2025">
        <f>_xlfn.NUMBERVALUE("0.003270")</f>
        <v/>
      </c>
      <c r="C2025" s="2">
        <f>_xlfn.NUMBERVALUE("0.001169")</f>
        <v/>
      </c>
      <c r="D2025">
        <f>_xlfn.NUMBERVALUE("0.001710")</f>
        <v/>
      </c>
      <c r="E2025">
        <f>_xlfn.NUMBERVALUE("0.002679")</f>
        <v/>
      </c>
      <c r="F2025">
        <f>_xlfn.NUMBERVALUE("-0.001556")</f>
        <v/>
      </c>
      <c r="G2025">
        <f>_xlfn.NUMBERVALUE("0.001336")</f>
        <v/>
      </c>
      <c r="H2025">
        <f>_xlfn.NUMBERVALUE("0.000122")</f>
        <v/>
      </c>
      <c r="I2025">
        <f>_xlfn.NUMBERVALUE("0.001143")</f>
        <v/>
      </c>
      <c r="J2025">
        <f>_xlfn.NUMBERVALUE("0.000348")</f>
        <v/>
      </c>
      <c r="K2025">
        <f>_xlfn.NUMBERVALUE("-0.000104")</f>
        <v/>
      </c>
      <c r="L2025">
        <f>_xlfn.NUMBERVALUE("0.002103")</f>
        <v/>
      </c>
      <c r="M2025">
        <f>_xlfn.NUMBERVALUE("0.000982")</f>
        <v/>
      </c>
      <c r="N2025">
        <f>_xlfn.NUMBERVALUE("0.000771")</f>
        <v/>
      </c>
      <c r="O2025">
        <f>_xlfn.NUMBERVALUE("0.003749")</f>
        <v/>
      </c>
      <c r="P2025">
        <f>_xlfn.NUMBERVALUE("0.004243")</f>
        <v/>
      </c>
      <c r="Q2025">
        <f>_xlfn.NUMBERVALUE("0.002623")</f>
        <v/>
      </c>
      <c r="R2025">
        <f>_xlfn.NUMBERVALUE("0.004148")</f>
        <v/>
      </c>
      <c r="S2025">
        <f>_xlfn.NUMBERVALUE("0.002148")</f>
        <v/>
      </c>
      <c r="T2025">
        <f>_xlfn.NUMBERVALUE("0.003066")</f>
        <v/>
      </c>
      <c r="U2025">
        <f>_xlfn.NUMBERVALUE("0.001350")</f>
        <v/>
      </c>
      <c r="V2025">
        <f>_xlfn.NUMBERVALUE("0.001354")</f>
        <v/>
      </c>
      <c r="W2025">
        <f>_xlfn.NUMBERVALUE("0.005881")</f>
        <v/>
      </c>
      <c r="X2025">
        <f>_xlfn.NUMBERVALUE("-0.480000")</f>
        <v/>
      </c>
      <c r="Y2025">
        <f>_xlfn.NUMBERVALUE("18.350000")</f>
        <v/>
      </c>
    </row>
    <row r="2026">
      <c r="A2026" s="1" t="n">
        <v>44943</v>
      </c>
      <c r="B2026">
        <f>_xlfn.NUMBERVALUE("-0.002200")</f>
        <v/>
      </c>
      <c r="C2026" s="2">
        <f>_xlfn.NUMBERVALUE("0.001099")</f>
        <v/>
      </c>
      <c r="D2026">
        <f>_xlfn.NUMBERVALUE("0.000899")</f>
        <v/>
      </c>
      <c r="E2026">
        <f>_xlfn.NUMBERVALUE("-0.000866")</f>
        <v/>
      </c>
      <c r="F2026">
        <f>_xlfn.NUMBERVALUE("0.001572")</f>
        <v/>
      </c>
      <c r="G2026">
        <f>_xlfn.NUMBERVALUE("0.000272")</f>
        <v/>
      </c>
      <c r="H2026">
        <f>_xlfn.NUMBERVALUE("0.000384")</f>
        <v/>
      </c>
      <c r="I2026">
        <f>_xlfn.NUMBERVALUE("0.001244")</f>
        <v/>
      </c>
      <c r="J2026">
        <f>_xlfn.NUMBERVALUE("0.001197")</f>
        <v/>
      </c>
      <c r="K2026">
        <f>_xlfn.NUMBERVALUE("0.002787")</f>
        <v/>
      </c>
      <c r="L2026">
        <f>_xlfn.NUMBERVALUE("0.001359")</f>
        <v/>
      </c>
      <c r="M2026">
        <f>_xlfn.NUMBERVALUE("0.001463")</f>
        <v/>
      </c>
      <c r="N2026">
        <f>_xlfn.NUMBERVALUE("0.000547")</f>
        <v/>
      </c>
      <c r="O2026">
        <f>_xlfn.NUMBERVALUE("0.003174")</f>
        <v/>
      </c>
      <c r="P2026">
        <f>_xlfn.NUMBERVALUE("0.000884")</f>
        <v/>
      </c>
      <c r="Q2026">
        <f>_xlfn.NUMBERVALUE("0.002676")</f>
        <v/>
      </c>
      <c r="R2026">
        <f>_xlfn.NUMBERVALUE("0.002783")</f>
        <v/>
      </c>
      <c r="S2026">
        <f>_xlfn.NUMBERVALUE("0.000886")</f>
        <v/>
      </c>
      <c r="T2026">
        <f>_xlfn.NUMBERVALUE("0.001701")</f>
        <v/>
      </c>
      <c r="U2026">
        <f>_xlfn.NUMBERVALUE("0.003300")</f>
        <v/>
      </c>
      <c r="V2026">
        <f>_xlfn.NUMBERVALUE("0.001245")</f>
        <v/>
      </c>
      <c r="W2026">
        <f>_xlfn.NUMBERVALUE("-0.002308")</f>
        <v/>
      </c>
      <c r="X2026">
        <f>_xlfn.NUMBERVALUE("1.010000")</f>
        <v/>
      </c>
      <c r="Y2026">
        <f>_xlfn.NUMBERVALUE("19.360000")</f>
        <v/>
      </c>
    </row>
    <row r="2027">
      <c r="A2027" s="1" t="n">
        <v>44944</v>
      </c>
      <c r="B2027">
        <f>_xlfn.NUMBERVALUE("0.002647")</f>
        <v/>
      </c>
      <c r="C2027" s="2">
        <f>_xlfn.NUMBERVALUE("-0.002042")</f>
        <v/>
      </c>
      <c r="D2027">
        <f>_xlfn.NUMBERVALUE("0.000646")</f>
        <v/>
      </c>
      <c r="E2027">
        <f>_xlfn.NUMBERVALUE("0.000193")</f>
        <v/>
      </c>
      <c r="F2027">
        <f>_xlfn.NUMBERVALUE("0.000767")</f>
        <v/>
      </c>
      <c r="G2027">
        <f>_xlfn.NUMBERVALUE("0.000925")</f>
        <v/>
      </c>
      <c r="H2027">
        <f>_xlfn.NUMBERVALUE("-0.001460")</f>
        <v/>
      </c>
      <c r="I2027">
        <f>_xlfn.NUMBERVALUE("-0.000488")</f>
        <v/>
      </c>
      <c r="J2027">
        <f>_xlfn.NUMBERVALUE("0.000072")</f>
        <v/>
      </c>
      <c r="K2027">
        <f>_xlfn.NUMBERVALUE("0.000348")</f>
        <v/>
      </c>
      <c r="L2027">
        <f>_xlfn.NUMBERVALUE("-0.002621")</f>
        <v/>
      </c>
      <c r="M2027">
        <f>_xlfn.NUMBERVALUE("-0.001178")</f>
        <v/>
      </c>
      <c r="N2027">
        <f>_xlfn.NUMBERVALUE("0.000806")</f>
        <v/>
      </c>
      <c r="O2027">
        <f>_xlfn.NUMBERVALUE("-0.000507")</f>
        <v/>
      </c>
      <c r="P2027">
        <f>_xlfn.NUMBERVALUE("-0.002662")</f>
        <v/>
      </c>
      <c r="Q2027">
        <f>_xlfn.NUMBERVALUE("-0.003598")</f>
        <v/>
      </c>
      <c r="R2027">
        <f>_xlfn.NUMBERVALUE("-0.001765")</f>
        <v/>
      </c>
      <c r="S2027">
        <f>_xlfn.NUMBERVALUE("-0.008733")</f>
        <v/>
      </c>
      <c r="T2027">
        <f>_xlfn.NUMBERVALUE("-0.005473")</f>
        <v/>
      </c>
      <c r="U2027">
        <f>_xlfn.NUMBERVALUE("-0.002259")</f>
        <v/>
      </c>
      <c r="V2027">
        <f>_xlfn.NUMBERVALUE("-0.000162")</f>
        <v/>
      </c>
      <c r="W2027">
        <f>_xlfn.NUMBERVALUE("-0.014285")</f>
        <v/>
      </c>
      <c r="X2027">
        <f>_xlfn.NUMBERVALUE("0.980000")</f>
        <v/>
      </c>
      <c r="Y2027">
        <f>_xlfn.NUMBERVALUE("20.340000")</f>
        <v/>
      </c>
    </row>
    <row r="2028">
      <c r="A2028" s="1" t="n">
        <v>44945</v>
      </c>
      <c r="B2028">
        <f>_xlfn.NUMBERVALUE("0.002434")</f>
        <v/>
      </c>
      <c r="C2028" s="2">
        <f>_xlfn.NUMBERVALUE("0.000983")</f>
        <v/>
      </c>
      <c r="D2028">
        <f>_xlfn.NUMBERVALUE("0.000247")</f>
        <v/>
      </c>
      <c r="E2028">
        <f>_xlfn.NUMBERVALUE("0.000091")</f>
        <v/>
      </c>
      <c r="F2028">
        <f>_xlfn.NUMBERVALUE("-0.002496")</f>
        <v/>
      </c>
      <c r="G2028">
        <f>_xlfn.NUMBERVALUE("0.000216")</f>
        <v/>
      </c>
      <c r="H2028">
        <f>_xlfn.NUMBERVALUE("0.000940")</f>
        <v/>
      </c>
      <c r="I2028">
        <f>_xlfn.NUMBERVALUE("0.000371")</f>
        <v/>
      </c>
      <c r="J2028">
        <f>_xlfn.NUMBERVALUE("-0.000837")</f>
        <v/>
      </c>
      <c r="K2028">
        <f>_xlfn.NUMBERVALUE("0.000298")</f>
        <v/>
      </c>
      <c r="L2028">
        <f>_xlfn.NUMBERVALUE("0.001179")</f>
        <v/>
      </c>
      <c r="M2028">
        <f>_xlfn.NUMBERVALUE("0.001048")</f>
        <v/>
      </c>
      <c r="N2028">
        <f>_xlfn.NUMBERVALUE("0.000517")</f>
        <v/>
      </c>
      <c r="O2028">
        <f>_xlfn.NUMBERVALUE("-0.000559")</f>
        <v/>
      </c>
      <c r="P2028">
        <f>_xlfn.NUMBERVALUE("0.000278")</f>
        <v/>
      </c>
      <c r="Q2028">
        <f>_xlfn.NUMBERVALUE("-0.002163")</f>
        <v/>
      </c>
      <c r="R2028">
        <f>_xlfn.NUMBERVALUE("0.000657")</f>
        <v/>
      </c>
      <c r="S2028">
        <f>_xlfn.NUMBERVALUE("0.000303")</f>
        <v/>
      </c>
      <c r="T2028">
        <f>_xlfn.NUMBERVALUE("0.000093")</f>
        <v/>
      </c>
      <c r="U2028">
        <f>_xlfn.NUMBERVALUE("0.001497")</f>
        <v/>
      </c>
      <c r="V2028">
        <f>_xlfn.NUMBERVALUE("0.000862")</f>
        <v/>
      </c>
      <c r="W2028">
        <f>_xlfn.NUMBERVALUE("-0.005562")</f>
        <v/>
      </c>
      <c r="X2028">
        <f>_xlfn.NUMBERVALUE("0.180000")</f>
        <v/>
      </c>
      <c r="Y2028">
        <f>_xlfn.NUMBERVALUE("20.520000")</f>
        <v/>
      </c>
    </row>
    <row r="2029">
      <c r="A2029" s="1" t="n">
        <v>44946</v>
      </c>
      <c r="B2029">
        <f>_xlfn.NUMBERVALUE("-0.003876")</f>
        <v/>
      </c>
      <c r="C2029" s="2">
        <f>_xlfn.NUMBERVALUE("0.000676")</f>
        <v/>
      </c>
      <c r="D2029">
        <f>_xlfn.NUMBERVALUE("-0.000744")</f>
        <v/>
      </c>
      <c r="E2029">
        <f>_xlfn.NUMBERVALUE("0.000616")</f>
        <v/>
      </c>
      <c r="F2029">
        <f>_xlfn.NUMBERVALUE("0.000946")</f>
        <v/>
      </c>
      <c r="G2029">
        <f>_xlfn.NUMBERVALUE("0.001153")</f>
        <v/>
      </c>
      <c r="H2029">
        <f>_xlfn.NUMBERVALUE("-0.000044")</f>
        <v/>
      </c>
      <c r="I2029">
        <f>_xlfn.NUMBERVALUE("0.000444")</f>
        <v/>
      </c>
      <c r="J2029">
        <f>_xlfn.NUMBERVALUE("0.001700")</f>
        <v/>
      </c>
      <c r="K2029">
        <f>_xlfn.NUMBERVALUE("0.002609")</f>
        <v/>
      </c>
      <c r="L2029">
        <f>_xlfn.NUMBERVALUE("-0.000027")</f>
        <v/>
      </c>
      <c r="M2029">
        <f>_xlfn.NUMBERVALUE("-0.000958")</f>
        <v/>
      </c>
      <c r="N2029">
        <f>_xlfn.NUMBERVALUE("-0.005208")</f>
        <v/>
      </c>
      <c r="O2029">
        <f>_xlfn.NUMBERVALUE("0.002678")</f>
        <v/>
      </c>
      <c r="P2029">
        <f>_xlfn.NUMBERVALUE("0.000595")</f>
        <v/>
      </c>
      <c r="Q2029">
        <f>_xlfn.NUMBERVALUE("0.000146")</f>
        <v/>
      </c>
      <c r="R2029">
        <f>_xlfn.NUMBERVALUE("-0.000521")</f>
        <v/>
      </c>
      <c r="S2029">
        <f>_xlfn.NUMBERVALUE("0.000565")</f>
        <v/>
      </c>
      <c r="T2029">
        <f>_xlfn.NUMBERVALUE("0.000652")</f>
        <v/>
      </c>
      <c r="U2029">
        <f>_xlfn.NUMBERVALUE("-0.001274")</f>
        <v/>
      </c>
      <c r="V2029">
        <f>_xlfn.NUMBERVALUE("-0.000996")</f>
        <v/>
      </c>
      <c r="W2029">
        <f>_xlfn.NUMBERVALUE("0.013239")</f>
        <v/>
      </c>
      <c r="X2029">
        <f>_xlfn.NUMBERVALUE("-0.670000")</f>
        <v/>
      </c>
      <c r="Y2029">
        <f>_xlfn.NUMBERVALUE("19.850000")</f>
        <v/>
      </c>
    </row>
    <row r="2030">
      <c r="A2030" s="1" t="n">
        <v>44949</v>
      </c>
      <c r="B2030">
        <f>_xlfn.NUMBERVALUE("0.000140")</f>
        <v/>
      </c>
      <c r="C2030" s="2">
        <f>_xlfn.NUMBERVALUE("-0.000678")</f>
        <v/>
      </c>
      <c r="D2030">
        <f>_xlfn.NUMBERVALUE("0.000148")</f>
        <v/>
      </c>
      <c r="E2030">
        <f>_xlfn.NUMBERVALUE("0.001230")</f>
        <v/>
      </c>
      <c r="F2030">
        <f>_xlfn.NUMBERVALUE("0.001030")</f>
        <v/>
      </c>
      <c r="G2030">
        <f>_xlfn.NUMBERVALUE("0.000222")</f>
        <v/>
      </c>
      <c r="H2030">
        <f>_xlfn.NUMBERVALUE("0.000608")</f>
        <v/>
      </c>
      <c r="I2030">
        <f>_xlfn.NUMBERVALUE("0.000006")</f>
        <v/>
      </c>
      <c r="J2030">
        <f>_xlfn.NUMBERVALUE("0.000391")</f>
        <v/>
      </c>
      <c r="K2030">
        <f>_xlfn.NUMBERVALUE("-0.001333")</f>
        <v/>
      </c>
      <c r="L2030">
        <f>_xlfn.NUMBERVALUE("0.002477")</f>
        <v/>
      </c>
      <c r="M2030">
        <f>_xlfn.NUMBERVALUE("0.001448")</f>
        <v/>
      </c>
      <c r="N2030">
        <f>_xlfn.NUMBERVALUE("-0.002610")</f>
        <v/>
      </c>
      <c r="O2030">
        <f>_xlfn.NUMBERVALUE("0.001570")</f>
        <v/>
      </c>
      <c r="P2030">
        <f>_xlfn.NUMBERVALUE("-0.001297")</f>
        <v/>
      </c>
      <c r="Q2030">
        <f>_xlfn.NUMBERVALUE("0.000325")</f>
        <v/>
      </c>
      <c r="R2030">
        <f>_xlfn.NUMBERVALUE("-0.003371")</f>
        <v/>
      </c>
      <c r="S2030">
        <f>_xlfn.NUMBERVALUE("0.000229")</f>
        <v/>
      </c>
      <c r="T2030">
        <f>_xlfn.NUMBERVALUE("0.000468")</f>
        <v/>
      </c>
      <c r="U2030">
        <f>_xlfn.NUMBERVALUE("-0.000798")</f>
        <v/>
      </c>
      <c r="V2030">
        <f>_xlfn.NUMBERVALUE("-0.000787")</f>
        <v/>
      </c>
      <c r="W2030">
        <f>_xlfn.NUMBERVALUE("0.012762")</f>
        <v/>
      </c>
      <c r="X2030">
        <f>_xlfn.NUMBERVALUE("-0.040000")</f>
        <v/>
      </c>
      <c r="Y2030">
        <f>_xlfn.NUMBERVALUE("19.810000")</f>
        <v/>
      </c>
    </row>
    <row r="2031">
      <c r="A2031" s="1" t="n">
        <v>44950</v>
      </c>
      <c r="B2031">
        <f>_xlfn.NUMBERVALUE("-0.000485")</f>
        <v/>
      </c>
      <c r="C2031" s="2">
        <f>_xlfn.NUMBERVALUE("-0.000516")</f>
        <v/>
      </c>
      <c r="D2031">
        <f>_xlfn.NUMBERVALUE("0.001171")</f>
        <v/>
      </c>
      <c r="E2031">
        <f>_xlfn.NUMBERVALUE("0.000126")</f>
        <v/>
      </c>
      <c r="F2031">
        <f>_xlfn.NUMBERVALUE("0.000329")</f>
        <v/>
      </c>
      <c r="G2031">
        <f>_xlfn.NUMBERVALUE("0.000673")</f>
        <v/>
      </c>
      <c r="H2031">
        <f>_xlfn.NUMBERVALUE("0.000420")</f>
        <v/>
      </c>
      <c r="I2031">
        <f>_xlfn.NUMBERVALUE("0.000233")</f>
        <v/>
      </c>
      <c r="J2031">
        <f>_xlfn.NUMBERVALUE("0.000834")</f>
        <v/>
      </c>
      <c r="K2031">
        <f>_xlfn.NUMBERVALUE("0.002125")</f>
        <v/>
      </c>
      <c r="L2031">
        <f>_xlfn.NUMBERVALUE("-0.001045")</f>
        <v/>
      </c>
      <c r="M2031">
        <f>_xlfn.NUMBERVALUE("0.001809")</f>
        <v/>
      </c>
      <c r="N2031">
        <f>_xlfn.NUMBERVALUE("0.000716")</f>
        <v/>
      </c>
      <c r="O2031">
        <f>_xlfn.NUMBERVALUE("0.003062")</f>
        <v/>
      </c>
      <c r="P2031">
        <f>_xlfn.NUMBERVALUE("0.001107")</f>
        <v/>
      </c>
      <c r="Q2031">
        <f>_xlfn.NUMBERVALUE("0.000179")</f>
        <v/>
      </c>
      <c r="R2031">
        <f>_xlfn.NUMBERVALUE("-0.000353")</f>
        <v/>
      </c>
      <c r="S2031">
        <f>_xlfn.NUMBERVALUE("0.000796")</f>
        <v/>
      </c>
      <c r="T2031">
        <f>_xlfn.NUMBERVALUE("0.000895")</f>
        <v/>
      </c>
      <c r="U2031">
        <f>_xlfn.NUMBERVALUE("0.000729")</f>
        <v/>
      </c>
      <c r="V2031">
        <f>_xlfn.NUMBERVALUE("0.000634")</f>
        <v/>
      </c>
      <c r="W2031">
        <f>_xlfn.NUMBERVALUE("-0.001450")</f>
        <v/>
      </c>
      <c r="X2031">
        <f>_xlfn.NUMBERVALUE("-0.610000")</f>
        <v/>
      </c>
      <c r="Y2031">
        <f>_xlfn.NUMBERVALUE("19.200000")</f>
        <v/>
      </c>
    </row>
    <row r="2032">
      <c r="A2032" s="1" t="n">
        <v>44951</v>
      </c>
      <c r="B2032">
        <f>_xlfn.NUMBERVALUE("0.000087")</f>
        <v/>
      </c>
      <c r="C2032" s="2">
        <f>_xlfn.NUMBERVALUE("0.001112")</f>
        <v/>
      </c>
      <c r="D2032">
        <f>_xlfn.NUMBERVALUE("0.000394")</f>
        <v/>
      </c>
      <c r="E2032">
        <f>_xlfn.NUMBERVALUE("0.000215")</f>
        <v/>
      </c>
      <c r="F2032">
        <f>_xlfn.NUMBERVALUE("0.000126")</f>
        <v/>
      </c>
      <c r="G2032">
        <f>_xlfn.NUMBERVALUE("0.000815")</f>
        <v/>
      </c>
      <c r="H2032">
        <f>_xlfn.NUMBERVALUE("0.000399")</f>
        <v/>
      </c>
      <c r="I2032">
        <f>_xlfn.NUMBERVALUE("0.001095")</f>
        <v/>
      </c>
      <c r="J2032">
        <f>_xlfn.NUMBERVALUE("-0.000365")</f>
        <v/>
      </c>
      <c r="K2032">
        <f>_xlfn.NUMBERVALUE("0.001174")</f>
        <v/>
      </c>
      <c r="L2032">
        <f>_xlfn.NUMBERVALUE("0.000705")</f>
        <v/>
      </c>
      <c r="M2032">
        <f>_xlfn.NUMBERVALUE("0.001338")</f>
        <v/>
      </c>
      <c r="N2032">
        <f>_xlfn.NUMBERVALUE("0.000388")</f>
        <v/>
      </c>
      <c r="O2032">
        <f>_xlfn.NUMBERVALUE("0.001614")</f>
        <v/>
      </c>
      <c r="P2032">
        <f>_xlfn.NUMBERVALUE("0.000338")</f>
        <v/>
      </c>
      <c r="Q2032">
        <f>_xlfn.NUMBERVALUE("0.000400")</f>
        <v/>
      </c>
      <c r="R2032">
        <f>_xlfn.NUMBERVALUE("0.002006")</f>
        <v/>
      </c>
      <c r="S2032">
        <f>_xlfn.NUMBERVALUE("0.000197")</f>
        <v/>
      </c>
      <c r="T2032">
        <f>_xlfn.NUMBERVALUE("-0.001081")</f>
        <v/>
      </c>
      <c r="U2032">
        <f>_xlfn.NUMBERVALUE("0.000065")</f>
        <v/>
      </c>
      <c r="V2032">
        <f>_xlfn.NUMBERVALUE("0.000923")</f>
        <v/>
      </c>
      <c r="W2032">
        <f>_xlfn.NUMBERVALUE("0.000576")</f>
        <v/>
      </c>
      <c r="X2032">
        <f>_xlfn.NUMBERVALUE("-0.120000")</f>
        <v/>
      </c>
      <c r="Y2032">
        <f>_xlfn.NUMBERVALUE("19.080000")</f>
        <v/>
      </c>
    </row>
    <row r="2033">
      <c r="A2033" s="1" t="n">
        <v>44952</v>
      </c>
      <c r="B2033">
        <f>_xlfn.NUMBERVALUE("0.001550")</f>
        <v/>
      </c>
      <c r="C2033" s="2">
        <f>_xlfn.NUMBERVALUE("0.000700")</f>
        <v/>
      </c>
      <c r="D2033">
        <f>_xlfn.NUMBERVALUE("0.000069")</f>
        <v/>
      </c>
      <c r="E2033">
        <f>_xlfn.NUMBERVALUE("0.000355")</f>
        <v/>
      </c>
      <c r="F2033">
        <f>_xlfn.NUMBERVALUE("0.000956")</f>
        <v/>
      </c>
      <c r="G2033">
        <f>_xlfn.NUMBERVALUE("0.001127")</f>
        <v/>
      </c>
      <c r="H2033">
        <f>_xlfn.NUMBERVALUE("0.000711")</f>
        <v/>
      </c>
      <c r="I2033">
        <f>_xlfn.NUMBERVALUE("0.000926")</f>
        <v/>
      </c>
      <c r="J2033">
        <f>_xlfn.NUMBERVALUE("0.000872")</f>
        <v/>
      </c>
      <c r="K2033">
        <f>_xlfn.NUMBERVALUE("0.004432")</f>
        <v/>
      </c>
      <c r="L2033">
        <f>_xlfn.NUMBERVALUE("0.001579")</f>
        <v/>
      </c>
      <c r="M2033">
        <f>_xlfn.NUMBERVALUE("0.002002")</f>
        <v/>
      </c>
      <c r="N2033">
        <f>_xlfn.NUMBERVALUE("-0.001238")</f>
        <v/>
      </c>
      <c r="O2033">
        <f>_xlfn.NUMBERVALUE("-0.003298")</f>
        <v/>
      </c>
      <c r="P2033">
        <f>_xlfn.NUMBERVALUE("0.000865")</f>
        <v/>
      </c>
      <c r="Q2033">
        <f>_xlfn.NUMBERVALUE("0.001711")</f>
        <v/>
      </c>
      <c r="R2033">
        <f>_xlfn.NUMBERVALUE("-0.000228")</f>
        <v/>
      </c>
      <c r="S2033">
        <f>_xlfn.NUMBERVALUE("0.000591")</f>
        <v/>
      </c>
      <c r="T2033">
        <f>_xlfn.NUMBERVALUE("0.000506")</f>
        <v/>
      </c>
      <c r="U2033">
        <f>_xlfn.NUMBERVALUE("-0.001335")</f>
        <v/>
      </c>
      <c r="V2033">
        <f>_xlfn.NUMBERVALUE("0.000299")</f>
        <v/>
      </c>
      <c r="W2033">
        <f>_xlfn.NUMBERVALUE("0.009909")</f>
        <v/>
      </c>
      <c r="X2033">
        <f>_xlfn.NUMBERVALUE("-0.350000")</f>
        <v/>
      </c>
      <c r="Y2033">
        <f>_xlfn.NUMBERVALUE("18.730000")</f>
        <v/>
      </c>
    </row>
    <row r="2034">
      <c r="A2034" s="1" t="n">
        <v>44953</v>
      </c>
      <c r="B2034">
        <f>_xlfn.NUMBERVALUE("-0.016096")</f>
        <v/>
      </c>
      <c r="C2034" s="2">
        <f>_xlfn.NUMBERVALUE("0.001108")</f>
        <v/>
      </c>
      <c r="D2034">
        <f>_xlfn.NUMBERVALUE("0.000613")</f>
        <v/>
      </c>
      <c r="E2034">
        <f>_xlfn.NUMBERVALUE("0.000665")</f>
        <v/>
      </c>
      <c r="F2034">
        <f>_xlfn.NUMBERVALUE("0.000537")</f>
        <v/>
      </c>
      <c r="G2034">
        <f>_xlfn.NUMBERVALUE("0.000356")</f>
        <v/>
      </c>
      <c r="H2034">
        <f>_xlfn.NUMBERVALUE("0.001073")</f>
        <v/>
      </c>
      <c r="I2034">
        <f>_xlfn.NUMBERVALUE("0.000581")</f>
        <v/>
      </c>
      <c r="J2034">
        <f>_xlfn.NUMBERVALUE("0.000268")</f>
        <v/>
      </c>
      <c r="K2034">
        <f>_xlfn.NUMBERVALUE("0.000958")</f>
        <v/>
      </c>
      <c r="L2034">
        <f>_xlfn.NUMBERVALUE("0.002278")</f>
        <v/>
      </c>
      <c r="M2034">
        <f>_xlfn.NUMBERVALUE("0.001123")</f>
        <v/>
      </c>
      <c r="N2034">
        <f>_xlfn.NUMBERVALUE("0.000111")</f>
        <v/>
      </c>
      <c r="O2034">
        <f>_xlfn.NUMBERVALUE("-0.001349")</f>
        <v/>
      </c>
      <c r="P2034">
        <f>_xlfn.NUMBERVALUE("0.001550")</f>
        <v/>
      </c>
      <c r="Q2034">
        <f>_xlfn.NUMBERVALUE("-0.000056")</f>
        <v/>
      </c>
      <c r="R2034">
        <f>_xlfn.NUMBERVALUE("-0.001379")</f>
        <v/>
      </c>
      <c r="S2034">
        <f>_xlfn.NUMBERVALUE("0.000186")</f>
        <v/>
      </c>
      <c r="T2034">
        <f>_xlfn.NUMBERVALUE("0.000967")</f>
        <v/>
      </c>
      <c r="U2034">
        <f>_xlfn.NUMBERVALUE("-0.001637")</f>
        <v/>
      </c>
      <c r="V2034">
        <f>_xlfn.NUMBERVALUE("0.000539")</f>
        <v/>
      </c>
      <c r="W2034">
        <f>_xlfn.NUMBERVALUE("0.008003")</f>
        <v/>
      </c>
      <c r="X2034">
        <f>_xlfn.NUMBERVALUE("-0.220000")</f>
        <v/>
      </c>
      <c r="Y2034">
        <f>_xlfn.NUMBERVALUE("18.510000")</f>
        <v/>
      </c>
    </row>
    <row r="2035">
      <c r="A2035" s="1" t="n">
        <v>44956</v>
      </c>
      <c r="B2035">
        <f>_xlfn.NUMBERVALUE("-0.002200")</f>
        <v/>
      </c>
      <c r="C2035" s="2">
        <f>_xlfn.NUMBERVALUE("-0.000757")</f>
        <v/>
      </c>
      <c r="D2035">
        <f>_xlfn.NUMBERVALUE("-0.000255")</f>
        <v/>
      </c>
      <c r="E2035">
        <f>_xlfn.NUMBERVALUE("0.000277")</f>
        <v/>
      </c>
      <c r="F2035">
        <f>_xlfn.NUMBERVALUE("0.000903")</f>
        <v/>
      </c>
      <c r="G2035">
        <f>_xlfn.NUMBERVALUE("0.001015")</f>
        <v/>
      </c>
      <c r="H2035">
        <f>_xlfn.NUMBERVALUE("0.000424")</f>
        <v/>
      </c>
      <c r="I2035">
        <f>_xlfn.NUMBERVALUE("-0.000066")</f>
        <v/>
      </c>
      <c r="J2035">
        <f>_xlfn.NUMBERVALUE("0.000728")</f>
        <v/>
      </c>
      <c r="K2035">
        <f>_xlfn.NUMBERVALUE("0.002836")</f>
        <v/>
      </c>
      <c r="L2035">
        <f>_xlfn.NUMBERVALUE("0.000374")</f>
        <v/>
      </c>
      <c r="M2035">
        <f>_xlfn.NUMBERVALUE("-0.001142")</f>
        <v/>
      </c>
      <c r="N2035">
        <f>_xlfn.NUMBERVALUE("-0.001509")</f>
        <v/>
      </c>
      <c r="O2035">
        <f>_xlfn.NUMBERVALUE("-0.002007")</f>
        <v/>
      </c>
      <c r="P2035">
        <f>_xlfn.NUMBERVALUE("-0.000266")</f>
        <v/>
      </c>
      <c r="Q2035">
        <f>_xlfn.NUMBERVALUE("-0.002255")</f>
        <v/>
      </c>
      <c r="R2035">
        <f>_xlfn.NUMBERVALUE("0.000070")</f>
        <v/>
      </c>
      <c r="S2035">
        <f>_xlfn.NUMBERVALUE("-0.000757")</f>
        <v/>
      </c>
      <c r="T2035">
        <f>_xlfn.NUMBERVALUE("-0.001080")</f>
        <v/>
      </c>
      <c r="U2035">
        <f>_xlfn.NUMBERVALUE("-0.001307")</f>
        <v/>
      </c>
      <c r="V2035">
        <f>_xlfn.NUMBERVALUE("0.000087")</f>
        <v/>
      </c>
      <c r="W2035">
        <f>_xlfn.NUMBERVALUE("-0.013790")</f>
        <v/>
      </c>
      <c r="X2035">
        <f>_xlfn.NUMBERVALUE("1.430000")</f>
        <v/>
      </c>
      <c r="Y2035">
        <f>_xlfn.NUMBERVALUE("19.940000")</f>
        <v/>
      </c>
    </row>
    <row r="2036">
      <c r="A2036" s="1" t="n">
        <v>44957</v>
      </c>
      <c r="B2036">
        <f>_xlfn.NUMBERVALUE("0.000304")</f>
        <v/>
      </c>
      <c r="C2036" s="2">
        <f>_xlfn.NUMBERVALUE("0.000755")</f>
        <v/>
      </c>
      <c r="D2036">
        <f>_xlfn.NUMBERVALUE("0.000805")</f>
        <v/>
      </c>
      <c r="E2036">
        <f>_xlfn.NUMBERVALUE("0.000568")</f>
        <v/>
      </c>
      <c r="F2036">
        <f>_xlfn.NUMBERVALUE("0.000304")</f>
        <v/>
      </c>
      <c r="G2036">
        <f>_xlfn.NUMBERVALUE("-0.000387")</f>
        <v/>
      </c>
      <c r="H2036">
        <f>_xlfn.NUMBERVALUE("0.000774")</f>
        <v/>
      </c>
      <c r="I2036">
        <f>_xlfn.NUMBERVALUE("-0.000302")</f>
        <v/>
      </c>
      <c r="J2036">
        <f>_xlfn.NUMBERVALUE("0.000315")</f>
        <v/>
      </c>
      <c r="K2036">
        <f>_xlfn.NUMBERVALUE("0.006837")</f>
        <v/>
      </c>
      <c r="L2036">
        <f>_xlfn.NUMBERVALUE("0.001392")</f>
        <v/>
      </c>
      <c r="M2036">
        <f>_xlfn.NUMBERVALUE("-0.001647")</f>
        <v/>
      </c>
      <c r="N2036">
        <f>_xlfn.NUMBERVALUE("0.000511")</f>
        <v/>
      </c>
      <c r="O2036">
        <f>_xlfn.NUMBERVALUE("0.003740")</f>
        <v/>
      </c>
      <c r="P2036">
        <f>_xlfn.NUMBERVALUE("0.000398")</f>
        <v/>
      </c>
      <c r="Q2036">
        <f>_xlfn.NUMBERVALUE("-0.000419")</f>
        <v/>
      </c>
      <c r="R2036">
        <f>_xlfn.NUMBERVALUE("0.001332")</f>
        <v/>
      </c>
      <c r="S2036">
        <f>_xlfn.NUMBERVALUE("0.000976")</f>
        <v/>
      </c>
      <c r="T2036">
        <f>_xlfn.NUMBERVALUE("0.000343")</f>
        <v/>
      </c>
      <c r="U2036">
        <f>_xlfn.NUMBERVALUE("-0.000155")</f>
        <v/>
      </c>
      <c r="V2036">
        <f>_xlfn.NUMBERVALUE("0.000243")</f>
        <v/>
      </c>
      <c r="W2036">
        <f>_xlfn.NUMBERVALUE("0.009073")</f>
        <v/>
      </c>
      <c r="X2036">
        <f>_xlfn.NUMBERVALUE("-0.540000")</f>
        <v/>
      </c>
      <c r="Y2036">
        <f>_xlfn.NUMBERVALUE("19.400000")</f>
        <v/>
      </c>
    </row>
    <row r="2037">
      <c r="A2037" s="1" t="n">
        <v>44958</v>
      </c>
      <c r="B2037">
        <f>_xlfn.NUMBERVALUE("-0.004357")</f>
        <v/>
      </c>
      <c r="C2037" s="2">
        <f>_xlfn.NUMBERVALUE("0.001776")</f>
        <v/>
      </c>
      <c r="D2037">
        <f>_xlfn.NUMBERVALUE("-0.000449")</f>
        <v/>
      </c>
      <c r="E2037">
        <f>_xlfn.NUMBERVALUE("-0.000310")</f>
        <v/>
      </c>
      <c r="F2037">
        <f>_xlfn.NUMBERVALUE("-0.000256")</f>
        <v/>
      </c>
      <c r="G2037">
        <f>_xlfn.NUMBERVALUE("-0.002260")</f>
        <v/>
      </c>
      <c r="H2037">
        <f>_xlfn.NUMBERVALUE("-0.001969")</f>
        <v/>
      </c>
      <c r="I2037">
        <f>_xlfn.NUMBERVALUE("-0.000034")</f>
        <v/>
      </c>
      <c r="J2037">
        <f>_xlfn.NUMBERVALUE("-0.002551")</f>
        <v/>
      </c>
      <c r="K2037">
        <f>_xlfn.NUMBERVALUE("0.001470")</f>
        <v/>
      </c>
      <c r="L2037">
        <f>_xlfn.NUMBERVALUE("-0.002589")</f>
        <v/>
      </c>
      <c r="M2037">
        <f>_xlfn.NUMBERVALUE("-0.000441")</f>
        <v/>
      </c>
      <c r="N2037">
        <f>_xlfn.NUMBERVALUE("-0.001309")</f>
        <v/>
      </c>
      <c r="O2037">
        <f>_xlfn.NUMBERVALUE("0.003015")</f>
        <v/>
      </c>
      <c r="P2037">
        <f>_xlfn.NUMBERVALUE("0.002105")</f>
        <v/>
      </c>
      <c r="Q2037">
        <f>_xlfn.NUMBERVALUE("0.000117")</f>
        <v/>
      </c>
      <c r="R2037">
        <f>_xlfn.NUMBERVALUE("-0.002229")</f>
        <v/>
      </c>
      <c r="S2037">
        <f>_xlfn.NUMBERVALUE("-0.000257")</f>
        <v/>
      </c>
      <c r="T2037">
        <f>_xlfn.NUMBERVALUE("0.000393")</f>
        <v/>
      </c>
      <c r="U2037">
        <f>_xlfn.NUMBERVALUE("-0.000347")</f>
        <v/>
      </c>
      <c r="V2037">
        <f>_xlfn.NUMBERVALUE("-0.000341")</f>
        <v/>
      </c>
      <c r="W2037">
        <f>_xlfn.NUMBERVALUE("0.019217")</f>
        <v/>
      </c>
      <c r="X2037">
        <f>_xlfn.NUMBERVALUE("-1.530000")</f>
        <v/>
      </c>
      <c r="Y2037">
        <f>_xlfn.NUMBERVALUE("17.870000")</f>
        <v/>
      </c>
    </row>
    <row r="2038">
      <c r="A2038" s="1" t="n">
        <v>44959</v>
      </c>
      <c r="B2038">
        <f>_xlfn.NUMBERVALUE("-0.012118")</f>
        <v/>
      </c>
      <c r="C2038" s="2">
        <f>_xlfn.NUMBERVALUE("0.000842")</f>
        <v/>
      </c>
      <c r="D2038">
        <f>_xlfn.NUMBERVALUE("0.000107")</f>
        <v/>
      </c>
      <c r="E2038">
        <f>_xlfn.NUMBERVALUE("-0.000020")</f>
        <v/>
      </c>
      <c r="F2038">
        <f>_xlfn.NUMBERVALUE("0.000132")</f>
        <v/>
      </c>
      <c r="G2038">
        <f>_xlfn.NUMBERVALUE("-0.000129")</f>
        <v/>
      </c>
      <c r="H2038">
        <f>_xlfn.NUMBERVALUE("0.000262")</f>
        <v/>
      </c>
      <c r="I2038">
        <f>_xlfn.NUMBERVALUE("0.000247")</f>
        <v/>
      </c>
      <c r="J2038">
        <f>_xlfn.NUMBERVALUE("-0.000011")</f>
        <v/>
      </c>
      <c r="K2038">
        <f>_xlfn.NUMBERVALUE("-0.010145")</f>
        <v/>
      </c>
      <c r="L2038">
        <f>_xlfn.NUMBERVALUE("-0.000024")</f>
        <v/>
      </c>
      <c r="M2038">
        <f>_xlfn.NUMBERVALUE("0.001746")</f>
        <v/>
      </c>
      <c r="N2038">
        <f>_xlfn.NUMBERVALUE("-0.005770")</f>
        <v/>
      </c>
      <c r="O2038">
        <f>_xlfn.NUMBERVALUE("-0.008456")</f>
        <v/>
      </c>
      <c r="P2038">
        <f>_xlfn.NUMBERVALUE("0.000745")</f>
        <v/>
      </c>
      <c r="Q2038">
        <f>_xlfn.NUMBERVALUE("-0.000737")</f>
        <v/>
      </c>
      <c r="R2038">
        <f>_xlfn.NUMBERVALUE("-0.000413")</f>
        <v/>
      </c>
      <c r="S2038">
        <f>_xlfn.NUMBERVALUE("-0.000818")</f>
        <v/>
      </c>
      <c r="T2038">
        <f>_xlfn.NUMBERVALUE("0.000165")</f>
        <v/>
      </c>
      <c r="U2038">
        <f>_xlfn.NUMBERVALUE("-0.000383")</f>
        <v/>
      </c>
      <c r="V2038">
        <f>_xlfn.NUMBERVALUE("0.000118")</f>
        <v/>
      </c>
      <c r="W2038">
        <f>_xlfn.NUMBERVALUE("0.006059")</f>
        <v/>
      </c>
      <c r="X2038">
        <f>_xlfn.NUMBERVALUE("0.860000")</f>
        <v/>
      </c>
      <c r="Y2038">
        <f>_xlfn.NUMBERVALUE("18.730000")</f>
        <v/>
      </c>
    </row>
    <row r="2039">
      <c r="A2039" s="1" t="n">
        <v>44960</v>
      </c>
      <c r="B2039">
        <f>_xlfn.NUMBERVALUE("0.004202")</f>
        <v/>
      </c>
      <c r="C2039" s="2">
        <f>_xlfn.NUMBERVALUE("0.001638")</f>
        <v/>
      </c>
      <c r="D2039">
        <f>_xlfn.NUMBERVALUE("-0.000009")</f>
        <v/>
      </c>
      <c r="E2039">
        <f>_xlfn.NUMBERVALUE("-0.000015")</f>
        <v/>
      </c>
      <c r="F2039">
        <f>_xlfn.NUMBERVALUE("0.000549")</f>
        <v/>
      </c>
      <c r="G2039">
        <f>_xlfn.NUMBERVALUE("0.000110")</f>
        <v/>
      </c>
      <c r="H2039">
        <f>_xlfn.NUMBERVALUE("-0.000004")</f>
        <v/>
      </c>
      <c r="I2039">
        <f>_xlfn.NUMBERVALUE("-0.000072")</f>
        <v/>
      </c>
      <c r="J2039">
        <f>_xlfn.NUMBERVALUE("0.000088")</f>
        <v/>
      </c>
      <c r="K2039">
        <f>_xlfn.NUMBERVALUE("-0.008095")</f>
        <v/>
      </c>
      <c r="L2039">
        <f>_xlfn.NUMBERVALUE("0.000845")</f>
        <v/>
      </c>
      <c r="M2039">
        <f>_xlfn.NUMBERVALUE("0.004687")</f>
        <v/>
      </c>
      <c r="N2039">
        <f>_xlfn.NUMBERVALUE("-0.000263")</f>
        <v/>
      </c>
      <c r="O2039">
        <f>_xlfn.NUMBERVALUE("0.005635")</f>
        <v/>
      </c>
      <c r="P2039">
        <f>_xlfn.NUMBERVALUE("0.001343")</f>
        <v/>
      </c>
      <c r="Q2039">
        <f>_xlfn.NUMBERVALUE("0.006034")</f>
        <v/>
      </c>
      <c r="R2039">
        <f>_xlfn.NUMBERVALUE("0.000624")</f>
        <v/>
      </c>
      <c r="S2039">
        <f>_xlfn.NUMBERVALUE("-0.001237")</f>
        <v/>
      </c>
      <c r="T2039">
        <f>_xlfn.NUMBERVALUE("-0.001250")</f>
        <v/>
      </c>
      <c r="U2039">
        <f>_xlfn.NUMBERVALUE("0.001401")</f>
        <v/>
      </c>
      <c r="V2039">
        <f>_xlfn.NUMBERVALUE("0.000121")</f>
        <v/>
      </c>
      <c r="W2039">
        <f>_xlfn.NUMBERVALUE("-0.004071")</f>
        <v/>
      </c>
      <c r="X2039">
        <f>_xlfn.NUMBERVALUE("-0.400000")</f>
        <v/>
      </c>
      <c r="Y2039">
        <f>_xlfn.NUMBERVALUE("18.330000")</f>
        <v/>
      </c>
    </row>
    <row r="2040">
      <c r="A2040" s="1" t="n">
        <v>44963</v>
      </c>
      <c r="B2040">
        <f>_xlfn.NUMBERVALUE("0.004346")</f>
        <v/>
      </c>
      <c r="C2040" s="2">
        <f>_xlfn.NUMBERVALUE("0.001226")</f>
        <v/>
      </c>
      <c r="D2040">
        <f>_xlfn.NUMBERVALUE("0.000863")</f>
        <v/>
      </c>
      <c r="E2040">
        <f>_xlfn.NUMBERVALUE("0.000139")</f>
        <v/>
      </c>
      <c r="F2040">
        <f>_xlfn.NUMBERVALUE("-0.000415")</f>
        <v/>
      </c>
      <c r="G2040">
        <f>_xlfn.NUMBERVALUE("-0.000454")</f>
        <v/>
      </c>
      <c r="H2040">
        <f>_xlfn.NUMBERVALUE("-0.001380")</f>
        <v/>
      </c>
      <c r="I2040">
        <f>_xlfn.NUMBERVALUE("0.000192")</f>
        <v/>
      </c>
      <c r="J2040">
        <f>_xlfn.NUMBERVALUE("-0.001155")</f>
        <v/>
      </c>
      <c r="K2040">
        <f>_xlfn.NUMBERVALUE("0.002256")</f>
        <v/>
      </c>
      <c r="L2040">
        <f>_xlfn.NUMBERVALUE("0.001184")</f>
        <v/>
      </c>
      <c r="M2040">
        <f>_xlfn.NUMBERVALUE("0.001653")</f>
        <v/>
      </c>
      <c r="N2040">
        <f>_xlfn.NUMBERVALUE("0.000589")</f>
        <v/>
      </c>
      <c r="O2040">
        <f>_xlfn.NUMBERVALUE("0.003501")</f>
        <v/>
      </c>
      <c r="P2040">
        <f>_xlfn.NUMBERVALUE("0.002020")</f>
        <v/>
      </c>
      <c r="Q2040">
        <f>_xlfn.NUMBERVALUE("0.003578")</f>
        <v/>
      </c>
      <c r="R2040">
        <f>_xlfn.NUMBERVALUE("0.000372")</f>
        <v/>
      </c>
      <c r="S2040">
        <f>_xlfn.NUMBERVALUE("0.001805")</f>
        <v/>
      </c>
      <c r="T2040">
        <f>_xlfn.NUMBERVALUE("-0.000210")</f>
        <v/>
      </c>
      <c r="U2040">
        <f>_xlfn.NUMBERVALUE("-0.000831")</f>
        <v/>
      </c>
      <c r="V2040">
        <f>_xlfn.NUMBERVALUE("0.000620")</f>
        <v/>
      </c>
      <c r="W2040">
        <f>_xlfn.NUMBERVALUE("-0.004882")</f>
        <v/>
      </c>
      <c r="X2040">
        <f>_xlfn.NUMBERVALUE("1.100000")</f>
        <v/>
      </c>
      <c r="Y2040">
        <f>_xlfn.NUMBERVALUE("19.430000")</f>
        <v/>
      </c>
    </row>
    <row r="2041">
      <c r="A2041" s="1" t="n">
        <v>44964</v>
      </c>
      <c r="B2041">
        <f>_xlfn.NUMBERVALUE("0.003321")</f>
        <v/>
      </c>
      <c r="C2041" s="2">
        <f>_xlfn.NUMBERVALUE("0.000804")</f>
        <v/>
      </c>
      <c r="D2041">
        <f>_xlfn.NUMBERVALUE("0.001911")</f>
        <v/>
      </c>
      <c r="E2041">
        <f>_xlfn.NUMBERVALUE("0.000531")</f>
        <v/>
      </c>
      <c r="F2041">
        <f>_xlfn.NUMBERVALUE("0.001016")</f>
        <v/>
      </c>
      <c r="G2041">
        <f>_xlfn.NUMBERVALUE("0.000215")</f>
        <v/>
      </c>
      <c r="H2041">
        <f>_xlfn.NUMBERVALUE("0.000628")</f>
        <v/>
      </c>
      <c r="I2041">
        <f>_xlfn.NUMBERVALUE("0.000908")</f>
        <v/>
      </c>
      <c r="J2041">
        <f>_xlfn.NUMBERVALUE("0.000526")</f>
        <v/>
      </c>
      <c r="K2041">
        <f>_xlfn.NUMBERVALUE("0.000449")</f>
        <v/>
      </c>
      <c r="L2041">
        <f>_xlfn.NUMBERVALUE("0.000569")</f>
        <v/>
      </c>
      <c r="M2041">
        <f>_xlfn.NUMBERVALUE("-0.000251")</f>
        <v/>
      </c>
      <c r="N2041">
        <f>_xlfn.NUMBERVALUE("0.001018")</f>
        <v/>
      </c>
      <c r="O2041">
        <f>_xlfn.NUMBERVALUE("-0.006236")</f>
        <v/>
      </c>
      <c r="P2041">
        <f>_xlfn.NUMBERVALUE("-0.000392")</f>
        <v/>
      </c>
      <c r="Q2041">
        <f>_xlfn.NUMBERVALUE("0.002181")</f>
        <v/>
      </c>
      <c r="R2041">
        <f>_xlfn.NUMBERVALUE("0.000219")</f>
        <v/>
      </c>
      <c r="S2041">
        <f>_xlfn.NUMBERVALUE("-0.000104")</f>
        <v/>
      </c>
      <c r="T2041">
        <f>_xlfn.NUMBERVALUE("-0.000138")</f>
        <v/>
      </c>
      <c r="U2041">
        <f>_xlfn.NUMBERVALUE("0.000336")</f>
        <v/>
      </c>
      <c r="V2041">
        <f>_xlfn.NUMBERVALUE("-0.000532")</f>
        <v/>
      </c>
      <c r="W2041">
        <f>_xlfn.NUMBERVALUE("0.012887")</f>
        <v/>
      </c>
      <c r="X2041">
        <f>_xlfn.NUMBERVALUE("-0.770000")</f>
        <v/>
      </c>
      <c r="Y2041">
        <f>_xlfn.NUMBERVALUE("18.660000")</f>
        <v/>
      </c>
    </row>
    <row r="2042">
      <c r="A2042" s="1" t="n">
        <v>44965</v>
      </c>
      <c r="B2042">
        <f>_xlfn.NUMBERVALUE("0.000212")</f>
        <v/>
      </c>
      <c r="C2042" s="2">
        <f>_xlfn.NUMBERVALUE("-0.001126")</f>
        <v/>
      </c>
      <c r="D2042">
        <f>_xlfn.NUMBERVALUE("0.000777")</f>
        <v/>
      </c>
      <c r="E2042">
        <f>_xlfn.NUMBERVALUE("-0.000398")</f>
        <v/>
      </c>
      <c r="F2042">
        <f>_xlfn.NUMBERVALUE("0.000756")</f>
        <v/>
      </c>
      <c r="G2042">
        <f>_xlfn.NUMBERVALUE("-0.000032")</f>
        <v/>
      </c>
      <c r="H2042">
        <f>_xlfn.NUMBERVALUE("0.000649")</f>
        <v/>
      </c>
      <c r="I2042">
        <f>_xlfn.NUMBERVALUE("-0.000664")</f>
        <v/>
      </c>
      <c r="J2042">
        <f>_xlfn.NUMBERVALUE("0.000727")</f>
        <v/>
      </c>
      <c r="K2042">
        <f>_xlfn.NUMBERVALUE("0.002508")</f>
        <v/>
      </c>
      <c r="L2042">
        <f>_xlfn.NUMBERVALUE("0.001119")</f>
        <v/>
      </c>
      <c r="M2042">
        <f>_xlfn.NUMBERVALUE("0.000703")</f>
        <v/>
      </c>
      <c r="N2042">
        <f>_xlfn.NUMBERVALUE("-0.001116")</f>
        <v/>
      </c>
      <c r="O2042">
        <f>_xlfn.NUMBERVALUE("0.009498")</f>
        <v/>
      </c>
      <c r="P2042">
        <f>_xlfn.NUMBERVALUE("-0.000030")</f>
        <v/>
      </c>
      <c r="Q2042">
        <f>_xlfn.NUMBERVALUE("0.001939")</f>
        <v/>
      </c>
      <c r="R2042">
        <f>_xlfn.NUMBERVALUE("-0.000021")</f>
        <v/>
      </c>
      <c r="S2042">
        <f>_xlfn.NUMBERVALUE("-0.000109")</f>
        <v/>
      </c>
      <c r="T2042">
        <f>_xlfn.NUMBERVALUE("0.000017")</f>
        <v/>
      </c>
      <c r="U2042">
        <f>_xlfn.NUMBERVALUE("-0.000149")</f>
        <v/>
      </c>
      <c r="V2042">
        <f>_xlfn.NUMBERVALUE("-0.001220")</f>
        <v/>
      </c>
      <c r="W2042">
        <f>_xlfn.NUMBERVALUE("-0.010433")</f>
        <v/>
      </c>
      <c r="X2042">
        <f>_xlfn.NUMBERVALUE("0.970000")</f>
        <v/>
      </c>
      <c r="Y2042">
        <f>_xlfn.NUMBERVALUE("19.630000")</f>
        <v/>
      </c>
    </row>
    <row r="2043">
      <c r="A2043" s="1" t="n">
        <v>44966</v>
      </c>
      <c r="B2043">
        <f>_xlfn.NUMBERVALUE("-0.000705")</f>
        <v/>
      </c>
      <c r="C2043" s="2">
        <f>_xlfn.NUMBERVALUE("-0.000992")</f>
        <v/>
      </c>
      <c r="D2043">
        <f>_xlfn.NUMBERVALUE("-0.001024")</f>
        <v/>
      </c>
      <c r="E2043">
        <f>_xlfn.NUMBERVALUE("-0.000737")</f>
        <v/>
      </c>
      <c r="F2043">
        <f>_xlfn.NUMBERVALUE("-0.000319")</f>
        <v/>
      </c>
      <c r="G2043">
        <f>_xlfn.NUMBERVALUE("-0.000719")</f>
        <v/>
      </c>
      <c r="H2043">
        <f>_xlfn.NUMBERVALUE("-0.000387")</f>
        <v/>
      </c>
      <c r="I2043">
        <f>_xlfn.NUMBERVALUE("-0.001669")</f>
        <v/>
      </c>
      <c r="J2043">
        <f>_xlfn.NUMBERVALUE("-0.000987")</f>
        <v/>
      </c>
      <c r="K2043">
        <f>_xlfn.NUMBERVALUE("-0.000953")</f>
        <v/>
      </c>
      <c r="L2043">
        <f>_xlfn.NUMBERVALUE("-0.000264")</f>
        <v/>
      </c>
      <c r="M2043">
        <f>_xlfn.NUMBERVALUE("-0.000840")</f>
        <v/>
      </c>
      <c r="N2043">
        <f>_xlfn.NUMBERVALUE("0.000239")</f>
        <v/>
      </c>
      <c r="O2043">
        <f>_xlfn.NUMBERVALUE("-0.000095")</f>
        <v/>
      </c>
      <c r="P2043">
        <f>_xlfn.NUMBERVALUE("-0.001508")</f>
        <v/>
      </c>
      <c r="Q2043">
        <f>_xlfn.NUMBERVALUE("0.000415")</f>
        <v/>
      </c>
      <c r="R2043">
        <f>_xlfn.NUMBERVALUE("-0.000232")</f>
        <v/>
      </c>
      <c r="S2043">
        <f>_xlfn.NUMBERVALUE("0.000614")</f>
        <v/>
      </c>
      <c r="T2043">
        <f>_xlfn.NUMBERVALUE("-0.000137")</f>
        <v/>
      </c>
      <c r="U2043">
        <f>_xlfn.NUMBERVALUE("0.000238")</f>
        <v/>
      </c>
      <c r="V2043">
        <f>_xlfn.NUMBERVALUE("-0.001317")</f>
        <v/>
      </c>
      <c r="W2043">
        <f>_xlfn.NUMBERVALUE("-0.007792")</f>
        <v/>
      </c>
      <c r="X2043">
        <f>_xlfn.NUMBERVALUE("1.080000")</f>
        <v/>
      </c>
      <c r="Y2043">
        <f>_xlfn.NUMBERVALUE("20.710000")</f>
        <v/>
      </c>
    </row>
    <row r="2044">
      <c r="A2044" s="1" t="n">
        <v>44967</v>
      </c>
      <c r="B2044">
        <f>_xlfn.NUMBERVALUE("0.003949")</f>
        <v/>
      </c>
      <c r="C2044" s="2">
        <f>_xlfn.NUMBERVALUE("0.000320")</f>
        <v/>
      </c>
      <c r="D2044">
        <f>_xlfn.NUMBERVALUE("0.001407")</f>
        <v/>
      </c>
      <c r="E2044">
        <f>_xlfn.NUMBERVALUE("0.001472")</f>
        <v/>
      </c>
      <c r="F2044">
        <f>_xlfn.NUMBERVALUE("0.000668")</f>
        <v/>
      </c>
      <c r="G2044">
        <f>_xlfn.NUMBERVALUE("-0.001167")</f>
        <v/>
      </c>
      <c r="H2044">
        <f>_xlfn.NUMBERVALUE("-0.000643")</f>
        <v/>
      </c>
      <c r="I2044">
        <f>_xlfn.NUMBERVALUE("0.001114")</f>
        <v/>
      </c>
      <c r="J2044">
        <f>_xlfn.NUMBERVALUE("-0.000871")</f>
        <v/>
      </c>
      <c r="K2044">
        <f>_xlfn.NUMBERVALUE("0.003004")</f>
        <v/>
      </c>
      <c r="L2044">
        <f>_xlfn.NUMBERVALUE("-0.001199")</f>
        <v/>
      </c>
      <c r="M2044">
        <f>_xlfn.NUMBERVALUE("0.001207")</f>
        <v/>
      </c>
      <c r="N2044">
        <f>_xlfn.NUMBERVALUE("-0.000069")</f>
        <v/>
      </c>
      <c r="O2044">
        <f>_xlfn.NUMBERVALUE("-0.007380")</f>
        <v/>
      </c>
      <c r="P2044">
        <f>_xlfn.NUMBERVALUE("0.000922")</f>
        <v/>
      </c>
      <c r="Q2044">
        <f>_xlfn.NUMBERVALUE("0.000580")</f>
        <v/>
      </c>
      <c r="R2044">
        <f>_xlfn.NUMBERVALUE("0.002742")</f>
        <v/>
      </c>
      <c r="S2044">
        <f>_xlfn.NUMBERVALUE("-0.000158")</f>
        <v/>
      </c>
      <c r="T2044">
        <f>_xlfn.NUMBERVALUE("-0.002032")</f>
        <v/>
      </c>
      <c r="U2044">
        <f>_xlfn.NUMBERVALUE("0.000728")</f>
        <v/>
      </c>
      <c r="V2044">
        <f>_xlfn.NUMBERVALUE("0.001119")</f>
        <v/>
      </c>
      <c r="W2044">
        <f>_xlfn.NUMBERVALUE("0.001203")</f>
        <v/>
      </c>
      <c r="X2044">
        <f>_xlfn.NUMBERVALUE("-0.180000")</f>
        <v/>
      </c>
      <c r="Y2044">
        <f>_xlfn.NUMBERVALUE("20.530000")</f>
        <v/>
      </c>
    </row>
    <row r="2045">
      <c r="A2045" s="1" t="n">
        <v>44970</v>
      </c>
      <c r="B2045">
        <f>_xlfn.NUMBERVALUE("-0.000581")</f>
        <v/>
      </c>
      <c r="C2045" s="2">
        <f>_xlfn.NUMBERVALUE("-0.000189")</f>
        <v/>
      </c>
      <c r="D2045">
        <f>_xlfn.NUMBERVALUE("-0.000578")</f>
        <v/>
      </c>
      <c r="E2045">
        <f>_xlfn.NUMBERVALUE("-0.000455")</f>
        <v/>
      </c>
      <c r="F2045">
        <f>_xlfn.NUMBERVALUE("0.000797")</f>
        <v/>
      </c>
      <c r="G2045">
        <f>_xlfn.NUMBERVALUE("0.000994")</f>
        <v/>
      </c>
      <c r="H2045">
        <f>_xlfn.NUMBERVALUE("-0.000001")</f>
        <v/>
      </c>
      <c r="I2045">
        <f>_xlfn.NUMBERVALUE("0.001231")</f>
        <v/>
      </c>
      <c r="J2045">
        <f>_xlfn.NUMBERVALUE("0.000555")</f>
        <v/>
      </c>
      <c r="K2045">
        <f>_xlfn.NUMBERVALUE("0.001198")</f>
        <v/>
      </c>
      <c r="L2045">
        <f>_xlfn.NUMBERVALUE("-0.000179")</f>
        <v/>
      </c>
      <c r="M2045">
        <f>_xlfn.NUMBERVALUE("0.000372")</f>
        <v/>
      </c>
      <c r="N2045">
        <f>_xlfn.NUMBERVALUE("0.000313")</f>
        <v/>
      </c>
      <c r="O2045">
        <f>_xlfn.NUMBERVALUE("0.001010")</f>
        <v/>
      </c>
      <c r="P2045">
        <f>_xlfn.NUMBERVALUE("-0.000141")</f>
        <v/>
      </c>
      <c r="Q2045">
        <f>_xlfn.NUMBERVALUE("-0.000120")</f>
        <v/>
      </c>
      <c r="R2045">
        <f>_xlfn.NUMBERVALUE("-0.001720")</f>
        <v/>
      </c>
      <c r="S2045">
        <f>_xlfn.NUMBERVALUE("-0.001480")</f>
        <v/>
      </c>
      <c r="T2045">
        <f>_xlfn.NUMBERVALUE("0.000268")</f>
        <v/>
      </c>
      <c r="U2045">
        <f>_xlfn.NUMBERVALUE("0.001575")</f>
        <v/>
      </c>
      <c r="V2045">
        <f>_xlfn.NUMBERVALUE("0.000521")</f>
        <v/>
      </c>
      <c r="W2045">
        <f>_xlfn.NUMBERVALUE("0.011177")</f>
        <v/>
      </c>
      <c r="X2045">
        <f>_xlfn.NUMBERVALUE("-0.190000")</f>
        <v/>
      </c>
      <c r="Y2045">
        <f>_xlfn.NUMBERVALUE("20.340000")</f>
        <v/>
      </c>
    </row>
    <row r="2046">
      <c r="A2046" s="1" t="n">
        <v>44971</v>
      </c>
      <c r="B2046">
        <f>_xlfn.NUMBERVALUE("0.011850")</f>
        <v/>
      </c>
      <c r="C2046" s="2">
        <f>_xlfn.NUMBERVALUE("0.004015")</f>
        <v/>
      </c>
      <c r="D2046">
        <f>_xlfn.NUMBERVALUE("0.004267")</f>
        <v/>
      </c>
      <c r="E2046">
        <f>_xlfn.NUMBERVALUE("0.003303")</f>
        <v/>
      </c>
      <c r="F2046">
        <f>_xlfn.NUMBERVALUE("0.002357")</f>
        <v/>
      </c>
      <c r="G2046">
        <f>_xlfn.NUMBERVALUE("0.002449")</f>
        <v/>
      </c>
      <c r="H2046">
        <f>_xlfn.NUMBERVALUE("0.000762")</f>
        <v/>
      </c>
      <c r="I2046">
        <f>_xlfn.NUMBERVALUE("0.005334")</f>
        <v/>
      </c>
      <c r="J2046">
        <f>_xlfn.NUMBERVALUE("0.001881")</f>
        <v/>
      </c>
      <c r="K2046">
        <f>_xlfn.NUMBERVALUE("0.003243")</f>
        <v/>
      </c>
      <c r="L2046">
        <f>_xlfn.NUMBERVALUE("0.002517")</f>
        <v/>
      </c>
      <c r="M2046">
        <f>_xlfn.NUMBERVALUE("0.005056")</f>
        <v/>
      </c>
      <c r="N2046">
        <f>_xlfn.NUMBERVALUE("0.000139")</f>
        <v/>
      </c>
      <c r="O2046">
        <f>_xlfn.NUMBERVALUE("0.005281")</f>
        <v/>
      </c>
      <c r="P2046">
        <f>_xlfn.NUMBERVALUE("0.005049")</f>
        <v/>
      </c>
      <c r="Q2046">
        <f>_xlfn.NUMBERVALUE("0.003809")</f>
        <v/>
      </c>
      <c r="R2046">
        <f>_xlfn.NUMBERVALUE("0.006398")</f>
        <v/>
      </c>
      <c r="S2046">
        <f>_xlfn.NUMBERVALUE("0.002702")</f>
        <v/>
      </c>
      <c r="T2046">
        <f>_xlfn.NUMBERVALUE("0.002880")</f>
        <v/>
      </c>
      <c r="U2046">
        <f>_xlfn.NUMBERVALUE("0.003347")</f>
        <v/>
      </c>
      <c r="V2046">
        <f>_xlfn.NUMBERVALUE("0.004624")</f>
        <v/>
      </c>
      <c r="W2046">
        <f>_xlfn.NUMBERVALUE("0.002206")</f>
        <v/>
      </c>
      <c r="X2046">
        <f>_xlfn.NUMBERVALUE("-1.430000")</f>
        <v/>
      </c>
      <c r="Y2046">
        <f>_xlfn.NUMBERVALUE("18.910000")</f>
        <v/>
      </c>
    </row>
    <row r="2047">
      <c r="A2047" s="1" t="n">
        <v>44972</v>
      </c>
      <c r="B2047">
        <f>_xlfn.NUMBERVALUE("-0.008789")</f>
        <v/>
      </c>
      <c r="C2047" s="2">
        <f>_xlfn.NUMBERVALUE("0.001975")</f>
        <v/>
      </c>
      <c r="D2047">
        <f>_xlfn.NUMBERVALUE("0.001233")</f>
        <v/>
      </c>
      <c r="E2047">
        <f>_xlfn.NUMBERVALUE("0.001900")</f>
        <v/>
      </c>
      <c r="F2047">
        <f>_xlfn.NUMBERVALUE("-0.000425")</f>
        <v/>
      </c>
      <c r="G2047">
        <f>_xlfn.NUMBERVALUE("0.000526")</f>
        <v/>
      </c>
      <c r="H2047">
        <f>_xlfn.NUMBERVALUE("0.000189")</f>
        <v/>
      </c>
      <c r="I2047">
        <f>_xlfn.NUMBERVALUE("0.000382")</f>
        <v/>
      </c>
      <c r="J2047">
        <f>_xlfn.NUMBERVALUE("0.000235")</f>
        <v/>
      </c>
      <c r="K2047">
        <f>_xlfn.NUMBERVALUE("0.001506")</f>
        <v/>
      </c>
      <c r="L2047">
        <f>_xlfn.NUMBERVALUE("0.000841")</f>
        <v/>
      </c>
      <c r="M2047">
        <f>_xlfn.NUMBERVALUE("0.002091")</f>
        <v/>
      </c>
      <c r="N2047">
        <f>_xlfn.NUMBERVALUE("0.000117")</f>
        <v/>
      </c>
      <c r="O2047">
        <f>_xlfn.NUMBERVALUE("0.001999")</f>
        <v/>
      </c>
      <c r="P2047">
        <f>_xlfn.NUMBERVALUE("0.002356")</f>
        <v/>
      </c>
      <c r="Q2047">
        <f>_xlfn.NUMBERVALUE("0.003018")</f>
        <v/>
      </c>
      <c r="R2047">
        <f>_xlfn.NUMBERVALUE("0.003150")</f>
        <v/>
      </c>
      <c r="S2047">
        <f>_xlfn.NUMBERVALUE("0.002074")</f>
        <v/>
      </c>
      <c r="T2047">
        <f>_xlfn.NUMBERVALUE("0.001576")</f>
        <v/>
      </c>
      <c r="U2047">
        <f>_xlfn.NUMBERVALUE("0.001533")</f>
        <v/>
      </c>
      <c r="V2047">
        <f>_xlfn.NUMBERVALUE("0.001822")</f>
        <v/>
      </c>
      <c r="W2047">
        <f>_xlfn.NUMBERVALUE("-0.000943")</f>
        <v/>
      </c>
      <c r="X2047">
        <f>_xlfn.NUMBERVALUE("-0.680000")</f>
        <v/>
      </c>
      <c r="Y2047">
        <f>_xlfn.NUMBERVALUE("18.230000")</f>
        <v/>
      </c>
    </row>
    <row r="2048">
      <c r="A2048" s="1" t="n">
        <v>44973</v>
      </c>
      <c r="B2048">
        <f>_xlfn.NUMBERVALUE("-0.000168")</f>
        <v/>
      </c>
      <c r="C2048" s="2">
        <f>_xlfn.NUMBERVALUE("-0.001083")</f>
        <v/>
      </c>
      <c r="D2048">
        <f>_xlfn.NUMBERVALUE("0.000009")</f>
        <v/>
      </c>
      <c r="E2048">
        <f>_xlfn.NUMBERVALUE("-0.000244")</f>
        <v/>
      </c>
      <c r="F2048">
        <f>_xlfn.NUMBERVALUE("0.000351")</f>
        <v/>
      </c>
      <c r="G2048">
        <f>_xlfn.NUMBERVALUE("-0.000382")</f>
        <v/>
      </c>
      <c r="H2048">
        <f>_xlfn.NUMBERVALUE("-0.000328")</f>
        <v/>
      </c>
      <c r="I2048">
        <f>_xlfn.NUMBERVALUE("-0.001047")</f>
        <v/>
      </c>
      <c r="J2048">
        <f>_xlfn.NUMBERVALUE("-0.000797")</f>
        <v/>
      </c>
      <c r="K2048">
        <f>_xlfn.NUMBERVALUE("0.002814")</f>
        <v/>
      </c>
      <c r="L2048">
        <f>_xlfn.NUMBERVALUE("-0.002048")</f>
        <v/>
      </c>
      <c r="M2048">
        <f>_xlfn.NUMBERVALUE("0.000345")</f>
        <v/>
      </c>
      <c r="N2048">
        <f>_xlfn.NUMBERVALUE("-0.000046")</f>
        <v/>
      </c>
      <c r="O2048">
        <f>_xlfn.NUMBERVALUE("0.001122")</f>
        <v/>
      </c>
      <c r="P2048">
        <f>_xlfn.NUMBERVALUE("0.000192")</f>
        <v/>
      </c>
      <c r="Q2048">
        <f>_xlfn.NUMBERVALUE("-0.000446")</f>
        <v/>
      </c>
      <c r="R2048">
        <f>_xlfn.NUMBERVALUE("-0.001166")</f>
        <v/>
      </c>
      <c r="S2048">
        <f>_xlfn.NUMBERVALUE("0.000224")</f>
        <v/>
      </c>
      <c r="T2048">
        <f>_xlfn.NUMBERVALUE("0.000333")</f>
        <v/>
      </c>
      <c r="U2048">
        <f>_xlfn.NUMBERVALUE("-0.001553")</f>
        <v/>
      </c>
      <c r="V2048">
        <f>_xlfn.NUMBERVALUE("-0.001284")</f>
        <v/>
      </c>
      <c r="W2048">
        <f>_xlfn.NUMBERVALUE("-0.010241")</f>
        <v/>
      </c>
      <c r="X2048">
        <f>_xlfn.NUMBERVALUE("1.940000")</f>
        <v/>
      </c>
      <c r="Y2048">
        <f>_xlfn.NUMBERVALUE("20.170000")</f>
        <v/>
      </c>
    </row>
    <row r="2049">
      <c r="A2049" s="1" t="n">
        <v>44974</v>
      </c>
      <c r="B2049">
        <f>_xlfn.NUMBERVALUE("0.005791")</f>
        <v/>
      </c>
      <c r="C2049" s="2">
        <f>_xlfn.NUMBERVALUE("0.000554")</f>
        <v/>
      </c>
      <c r="D2049">
        <f>_xlfn.NUMBERVALUE("0.000405")</f>
        <v/>
      </c>
      <c r="E2049">
        <f>_xlfn.NUMBERVALUE("0.000776")</f>
        <v/>
      </c>
      <c r="F2049">
        <f>_xlfn.NUMBERVALUE("0.001117")</f>
        <v/>
      </c>
      <c r="G2049">
        <f>_xlfn.NUMBERVALUE("-0.001097")</f>
        <v/>
      </c>
      <c r="H2049">
        <f>_xlfn.NUMBERVALUE("0.000052")</f>
        <v/>
      </c>
      <c r="I2049">
        <f>_xlfn.NUMBERVALUE("0.001339")</f>
        <v/>
      </c>
      <c r="J2049">
        <f>_xlfn.NUMBERVALUE("0.000422")</f>
        <v/>
      </c>
      <c r="K2049">
        <f>_xlfn.NUMBERVALUE("0.000315")</f>
        <v/>
      </c>
      <c r="L2049">
        <f>_xlfn.NUMBERVALUE("0.000207")</f>
        <v/>
      </c>
      <c r="M2049">
        <f>_xlfn.NUMBERVALUE("-0.000040")</f>
        <v/>
      </c>
      <c r="N2049">
        <f>_xlfn.NUMBERVALUE("0.000289")</f>
        <v/>
      </c>
      <c r="O2049">
        <f>_xlfn.NUMBERVALUE("-0.007849")</f>
        <v/>
      </c>
      <c r="P2049">
        <f>_xlfn.NUMBERVALUE("0.001411")</f>
        <v/>
      </c>
      <c r="Q2049">
        <f>_xlfn.NUMBERVALUE("0.000594")</f>
        <v/>
      </c>
      <c r="R2049">
        <f>_xlfn.NUMBERVALUE("-0.000357")</f>
        <v/>
      </c>
      <c r="S2049">
        <f>_xlfn.NUMBERVALUE("-0.003495")</f>
        <v/>
      </c>
      <c r="T2049">
        <f>_xlfn.NUMBERVALUE("-0.000049")</f>
        <v/>
      </c>
      <c r="U2049">
        <f>_xlfn.NUMBERVALUE("0.000833")</f>
        <v/>
      </c>
      <c r="V2049">
        <f>_xlfn.NUMBERVALUE("0.001114")</f>
        <v/>
      </c>
      <c r="W2049">
        <f>_xlfn.NUMBERVALUE("-0.005406")</f>
        <v/>
      </c>
      <c r="X2049">
        <f>_xlfn.NUMBERVALUE("-0.150000")</f>
        <v/>
      </c>
      <c r="Y2049">
        <f>_xlfn.NUMBERVALUE("20.020000")</f>
        <v/>
      </c>
    </row>
    <row r="2050">
      <c r="A2050" s="1" t="n">
        <v>44978</v>
      </c>
      <c r="B2050">
        <f>_xlfn.NUMBERVALUE("0.000610")</f>
        <v/>
      </c>
      <c r="C2050" s="2">
        <f>_xlfn.NUMBERVALUE("-0.002506")</f>
        <v/>
      </c>
      <c r="D2050">
        <f>_xlfn.NUMBERVALUE("-0.000957")</f>
        <v/>
      </c>
      <c r="E2050">
        <f>_xlfn.NUMBERVALUE("-0.000425")</f>
        <v/>
      </c>
      <c r="F2050">
        <f>_xlfn.NUMBERVALUE("0.000233")</f>
        <v/>
      </c>
      <c r="G2050">
        <f>_xlfn.NUMBERVALUE("-0.001950")</f>
        <v/>
      </c>
      <c r="H2050">
        <f>_xlfn.NUMBERVALUE("-0.000511")</f>
        <v/>
      </c>
      <c r="I2050">
        <f>_xlfn.NUMBERVALUE("-0.003883")</f>
        <v/>
      </c>
      <c r="J2050">
        <f>_xlfn.NUMBERVALUE("-0.001098")</f>
        <v/>
      </c>
      <c r="K2050">
        <f>_xlfn.NUMBERVALUE("0.004211")</f>
        <v/>
      </c>
      <c r="L2050">
        <f>_xlfn.NUMBERVALUE("-0.002277")</f>
        <v/>
      </c>
      <c r="M2050">
        <f>_xlfn.NUMBERVALUE("-0.002432")</f>
        <v/>
      </c>
      <c r="N2050">
        <f>_xlfn.NUMBERVALUE("-0.000876")</f>
        <v/>
      </c>
      <c r="O2050">
        <f>_xlfn.NUMBERVALUE("0.001830")</f>
        <v/>
      </c>
      <c r="P2050">
        <f>_xlfn.NUMBERVALUE("-0.003301")</f>
        <v/>
      </c>
      <c r="Q2050">
        <f>_xlfn.NUMBERVALUE("-0.004070")</f>
        <v/>
      </c>
      <c r="R2050">
        <f>_xlfn.NUMBERVALUE("-0.001087")</f>
        <v/>
      </c>
      <c r="S2050">
        <f>_xlfn.NUMBERVALUE("0.000844")</f>
        <v/>
      </c>
      <c r="T2050">
        <f>_xlfn.NUMBERVALUE("-0.001750")</f>
        <v/>
      </c>
      <c r="U2050">
        <f>_xlfn.NUMBERVALUE("-0.004188")</f>
        <v/>
      </c>
      <c r="V2050">
        <f>_xlfn.NUMBERVALUE("-0.001640")</f>
        <v/>
      </c>
      <c r="W2050">
        <f>_xlfn.NUMBERVALUE("-0.016478")</f>
        <v/>
      </c>
      <c r="X2050">
        <f>_xlfn.NUMBERVALUE("2.850000")</f>
        <v/>
      </c>
      <c r="Y2050">
        <f>_xlfn.NUMBERVALUE("22.870000")</f>
        <v/>
      </c>
    </row>
    <row r="2051">
      <c r="A2051" s="1" t="n">
        <v>44979</v>
      </c>
      <c r="B2051">
        <f>_xlfn.NUMBERVALUE("0.007552")</f>
        <v/>
      </c>
      <c r="C2051" s="2">
        <f>_xlfn.NUMBERVALUE("0.000995")</f>
        <v/>
      </c>
      <c r="D2051">
        <f>_xlfn.NUMBERVALUE("-0.000521")</f>
        <v/>
      </c>
      <c r="E2051">
        <f>_xlfn.NUMBERVALUE("0.000156")</f>
        <v/>
      </c>
      <c r="F2051">
        <f>_xlfn.NUMBERVALUE("0.000381")</f>
        <v/>
      </c>
      <c r="G2051">
        <f>_xlfn.NUMBERVALUE("0.000062")</f>
        <v/>
      </c>
      <c r="H2051">
        <f>_xlfn.NUMBERVALUE("-0.000136")</f>
        <v/>
      </c>
      <c r="I2051">
        <f>_xlfn.NUMBERVALUE("0.000817")</f>
        <v/>
      </c>
      <c r="J2051">
        <f>_xlfn.NUMBERVALUE("-0.000229")</f>
        <v/>
      </c>
      <c r="K2051">
        <f>_xlfn.NUMBERVALUE("-0.001486")</f>
        <v/>
      </c>
      <c r="L2051">
        <f>_xlfn.NUMBERVALUE("0.001000")</f>
        <v/>
      </c>
      <c r="M2051">
        <f>_xlfn.NUMBERVALUE("0.000962")</f>
        <v/>
      </c>
      <c r="N2051">
        <f>_xlfn.NUMBERVALUE("0.001542")</f>
        <v/>
      </c>
      <c r="O2051">
        <f>_xlfn.NUMBERVALUE("-0.002608")</f>
        <v/>
      </c>
      <c r="P2051">
        <f>_xlfn.NUMBERVALUE("-0.000105")</f>
        <v/>
      </c>
      <c r="Q2051">
        <f>_xlfn.NUMBERVALUE("0.001162")</f>
        <v/>
      </c>
      <c r="R2051">
        <f>_xlfn.NUMBERVALUE("0.000440")</f>
        <v/>
      </c>
      <c r="S2051">
        <f>_xlfn.NUMBERVALUE("0.001591")</f>
        <v/>
      </c>
      <c r="T2051">
        <f>_xlfn.NUMBERVALUE("0.001665")</f>
        <v/>
      </c>
      <c r="U2051">
        <f>_xlfn.NUMBERVALUE("0.001890")</f>
        <v/>
      </c>
      <c r="V2051">
        <f>_xlfn.NUMBERVALUE("0.000741")</f>
        <v/>
      </c>
      <c r="W2051">
        <f>_xlfn.NUMBERVALUE("-0.006651")</f>
        <v/>
      </c>
      <c r="X2051">
        <f>_xlfn.NUMBERVALUE("-0.580000")</f>
        <v/>
      </c>
      <c r="Y2051">
        <f>_xlfn.NUMBERVALUE("22.290000")</f>
        <v/>
      </c>
    </row>
    <row r="2052">
      <c r="A2052" s="1" t="n">
        <v>44980</v>
      </c>
      <c r="B2052">
        <f>_xlfn.NUMBERVALUE("0.006011")</f>
        <v/>
      </c>
      <c r="C2052" s="2">
        <f>_xlfn.NUMBERVALUE("0.001412")</f>
        <v/>
      </c>
      <c r="D2052">
        <f>_xlfn.NUMBERVALUE("0.001409")</f>
        <v/>
      </c>
      <c r="E2052">
        <f>_xlfn.NUMBERVALUE("0.002330")</f>
        <v/>
      </c>
      <c r="F2052">
        <f>_xlfn.NUMBERVALUE("0.000921")</f>
        <v/>
      </c>
      <c r="G2052">
        <f>_xlfn.NUMBERVALUE("-0.000608")</f>
        <v/>
      </c>
      <c r="H2052">
        <f>_xlfn.NUMBERVALUE("0.000192")</f>
        <v/>
      </c>
      <c r="I2052">
        <f>_xlfn.NUMBERVALUE("0.000894")</f>
        <v/>
      </c>
      <c r="J2052">
        <f>_xlfn.NUMBERVALUE("0.000255")</f>
        <v/>
      </c>
      <c r="K2052">
        <f>_xlfn.NUMBERVALUE("0.001588")</f>
        <v/>
      </c>
      <c r="L2052">
        <f>_xlfn.NUMBERVALUE("0.000497")</f>
        <v/>
      </c>
      <c r="M2052">
        <f>_xlfn.NUMBERVALUE("0.002546")</f>
        <v/>
      </c>
      <c r="N2052">
        <f>_xlfn.NUMBERVALUE("0.003219")</f>
        <v/>
      </c>
      <c r="O2052">
        <f>_xlfn.NUMBERVALUE("0.003670")</f>
        <v/>
      </c>
      <c r="P2052">
        <f>_xlfn.NUMBERVALUE("0.001475")</f>
        <v/>
      </c>
      <c r="Q2052">
        <f>_xlfn.NUMBERVALUE("0.001948")</f>
        <v/>
      </c>
      <c r="R2052">
        <f>_xlfn.NUMBERVALUE("0.001040")</f>
        <v/>
      </c>
      <c r="S2052">
        <f>_xlfn.NUMBERVALUE("0.003120")</f>
        <v/>
      </c>
      <c r="T2052">
        <f>_xlfn.NUMBERVALUE("0.002870")</f>
        <v/>
      </c>
      <c r="U2052">
        <f>_xlfn.NUMBERVALUE("0.003566")</f>
        <v/>
      </c>
      <c r="V2052">
        <f>_xlfn.NUMBERVALUE("0.000460")</f>
        <v/>
      </c>
      <c r="W2052">
        <f>_xlfn.NUMBERVALUE("0.009314")</f>
        <v/>
      </c>
      <c r="X2052">
        <f>_xlfn.NUMBERVALUE("-1.150000")</f>
        <v/>
      </c>
      <c r="Y2052">
        <f>_xlfn.NUMBERVALUE("21.140000")</f>
        <v/>
      </c>
    </row>
    <row r="2053">
      <c r="A2053" s="1" t="n">
        <v>44981</v>
      </c>
      <c r="B2053">
        <f>_xlfn.NUMBERVALUE("0.012880")</f>
        <v/>
      </c>
      <c r="C2053" s="2">
        <f>_xlfn.NUMBERVALUE("-0.001094")</f>
        <v/>
      </c>
      <c r="D2053">
        <f>_xlfn.NUMBERVALUE("-0.002120")</f>
        <v/>
      </c>
      <c r="E2053">
        <f>_xlfn.NUMBERVALUE("-0.003382")</f>
        <v/>
      </c>
      <c r="F2053">
        <f>_xlfn.NUMBERVALUE("0.000011")</f>
        <v/>
      </c>
      <c r="G2053">
        <f>_xlfn.NUMBERVALUE("-0.001271")</f>
        <v/>
      </c>
      <c r="H2053">
        <f>_xlfn.NUMBERVALUE("-0.000654")</f>
        <v/>
      </c>
      <c r="I2053">
        <f>_xlfn.NUMBERVALUE("-0.000912")</f>
        <v/>
      </c>
      <c r="J2053">
        <f>_xlfn.NUMBERVALUE("-0.000402")</f>
        <v/>
      </c>
      <c r="K2053">
        <f>_xlfn.NUMBERVALUE("-0.003942")</f>
        <v/>
      </c>
      <c r="L2053">
        <f>_xlfn.NUMBERVALUE("-0.000781")</f>
        <v/>
      </c>
      <c r="M2053">
        <f>_xlfn.NUMBERVALUE("-0.000245")</f>
        <v/>
      </c>
      <c r="N2053">
        <f>_xlfn.NUMBERVALUE("-0.000843")</f>
        <v/>
      </c>
      <c r="O2053">
        <f>_xlfn.NUMBERVALUE("0.000567")</f>
        <v/>
      </c>
      <c r="P2053">
        <f>_xlfn.NUMBERVALUE("0.000343")</f>
        <v/>
      </c>
      <c r="Q2053">
        <f>_xlfn.NUMBERVALUE("-0.000059")</f>
        <v/>
      </c>
      <c r="R2053">
        <f>_xlfn.NUMBERVALUE("-0.002230")</f>
        <v/>
      </c>
      <c r="S2053">
        <f>_xlfn.NUMBERVALUE("0.000049")</f>
        <v/>
      </c>
      <c r="T2053">
        <f>_xlfn.NUMBERVALUE("0.000792")</f>
        <v/>
      </c>
      <c r="U2053">
        <f>_xlfn.NUMBERVALUE("-0.001435")</f>
        <v/>
      </c>
      <c r="V2053">
        <f>_xlfn.NUMBERVALUE("-0.001123")</f>
        <v/>
      </c>
      <c r="W2053">
        <f>_xlfn.NUMBERVALUE("-0.013418")</f>
        <v/>
      </c>
      <c r="X2053">
        <f>_xlfn.NUMBERVALUE("0.530000")</f>
        <v/>
      </c>
      <c r="Y2053">
        <f>_xlfn.NUMBERVALUE("21.670000")</f>
        <v/>
      </c>
    </row>
    <row r="2054">
      <c r="A2054" s="1" t="n">
        <v>44984</v>
      </c>
      <c r="B2054">
        <f>_xlfn.NUMBERVALUE("0.009847")</f>
        <v/>
      </c>
      <c r="C2054" s="2">
        <f>_xlfn.NUMBERVALUE("0.000228")</f>
        <v/>
      </c>
      <c r="D2054">
        <f>_xlfn.NUMBERVALUE("0.000008")</f>
        <v/>
      </c>
      <c r="E2054">
        <f>_xlfn.NUMBERVALUE("-0.000194")</f>
        <v/>
      </c>
      <c r="F2054">
        <f>_xlfn.NUMBERVALUE("0.000443")</f>
        <v/>
      </c>
      <c r="G2054">
        <f>_xlfn.NUMBERVALUE("0.000040")</f>
        <v/>
      </c>
      <c r="H2054">
        <f>_xlfn.NUMBERVALUE("-0.000118")</f>
        <v/>
      </c>
      <c r="I2054">
        <f>_xlfn.NUMBERVALUE("0.000744")</f>
        <v/>
      </c>
      <c r="J2054">
        <f>_xlfn.NUMBERVALUE("-0.000586")</f>
        <v/>
      </c>
      <c r="K2054">
        <f>_xlfn.NUMBERVALUE("0.000264")</f>
        <v/>
      </c>
      <c r="L2054">
        <f>_xlfn.NUMBERVALUE("0.000008")</f>
        <v/>
      </c>
      <c r="M2054">
        <f>_xlfn.NUMBERVALUE("0.000820")</f>
        <v/>
      </c>
      <c r="N2054">
        <f>_xlfn.NUMBERVALUE("0.001469")</f>
        <v/>
      </c>
      <c r="O2054">
        <f>_xlfn.NUMBERVALUE("0.001912")</f>
        <v/>
      </c>
      <c r="P2054">
        <f>_xlfn.NUMBERVALUE("0.000672")</f>
        <v/>
      </c>
      <c r="Q2054">
        <f>_xlfn.NUMBERVALUE("0.000568")</f>
        <v/>
      </c>
      <c r="R2054">
        <f>_xlfn.NUMBERVALUE("0.001045")</f>
        <v/>
      </c>
      <c r="S2054">
        <f>_xlfn.NUMBERVALUE("0.001777")</f>
        <v/>
      </c>
      <c r="T2054">
        <f>_xlfn.NUMBERVALUE("0.002042")</f>
        <v/>
      </c>
      <c r="U2054">
        <f>_xlfn.NUMBERVALUE("0.001764")</f>
        <v/>
      </c>
      <c r="V2054">
        <f>_xlfn.NUMBERVALUE("0.000430")</f>
        <v/>
      </c>
      <c r="W2054">
        <f>_xlfn.NUMBERVALUE("0.005031")</f>
        <v/>
      </c>
      <c r="X2054">
        <f>_xlfn.NUMBERVALUE("-0.720000")</f>
        <v/>
      </c>
      <c r="Y2054">
        <f>_xlfn.NUMBERVALUE("20.950000")</f>
        <v/>
      </c>
    </row>
    <row r="2055">
      <c r="A2055" s="1" t="n">
        <v>44985</v>
      </c>
      <c r="B2055">
        <f>_xlfn.NUMBERVALUE("0.002860")</f>
        <v/>
      </c>
      <c r="C2055" s="2">
        <f>_xlfn.NUMBERVALUE("-0.000564")</f>
        <v/>
      </c>
      <c r="D2055">
        <f>_xlfn.NUMBERVALUE("0.000236")</f>
        <v/>
      </c>
      <c r="E2055">
        <f>_xlfn.NUMBERVALUE("-0.000721")</f>
        <v/>
      </c>
      <c r="F2055">
        <f>_xlfn.NUMBERVALUE("-0.000113")</f>
        <v/>
      </c>
      <c r="G2055">
        <f>_xlfn.NUMBERVALUE("0.001556")</f>
        <v/>
      </c>
      <c r="H2055">
        <f>_xlfn.NUMBERVALUE("-0.000403")</f>
        <v/>
      </c>
      <c r="I2055">
        <f>_xlfn.NUMBERVALUE("0.000257")</f>
        <v/>
      </c>
      <c r="J2055">
        <f>_xlfn.NUMBERVALUE("-0.000549")</f>
        <v/>
      </c>
      <c r="K2055">
        <f>_xlfn.NUMBERVALUE("-0.000061")</f>
        <v/>
      </c>
      <c r="L2055">
        <f>_xlfn.NUMBERVALUE("0.000058")</f>
        <v/>
      </c>
      <c r="M2055">
        <f>_xlfn.NUMBERVALUE("0.000332")</f>
        <v/>
      </c>
      <c r="N2055">
        <f>_xlfn.NUMBERVALUE("0.000580")</f>
        <v/>
      </c>
      <c r="O2055">
        <f>_xlfn.NUMBERVALUE("0.000527")</f>
        <v/>
      </c>
      <c r="P2055">
        <f>_xlfn.NUMBERVALUE("0.000012")</f>
        <v/>
      </c>
      <c r="Q2055">
        <f>_xlfn.NUMBERVALUE("0.001201")</f>
        <v/>
      </c>
      <c r="R2055">
        <f>_xlfn.NUMBERVALUE("0.001324")</f>
        <v/>
      </c>
      <c r="S2055">
        <f>_xlfn.NUMBERVALUE("0.000055")</f>
        <v/>
      </c>
      <c r="T2055">
        <f>_xlfn.NUMBERVALUE("-0.002757")</f>
        <v/>
      </c>
      <c r="U2055">
        <f>_xlfn.NUMBERVALUE("0.002062")</f>
        <v/>
      </c>
      <c r="V2055">
        <f>_xlfn.NUMBERVALUE("0.000132")</f>
        <v/>
      </c>
      <c r="W2055">
        <f>_xlfn.NUMBERVALUE("-0.001383")</f>
        <v/>
      </c>
      <c r="X2055">
        <f>_xlfn.NUMBERVALUE("-0.250000")</f>
        <v/>
      </c>
      <c r="Y2055">
        <f>_xlfn.NUMBERVALUE("20.700000")</f>
        <v/>
      </c>
    </row>
    <row r="2056">
      <c r="A2056" s="1" t="n">
        <v>44986</v>
      </c>
      <c r="B2056">
        <f>_xlfn.NUMBERVALUE("-0.000614")</f>
        <v/>
      </c>
      <c r="C2056" s="2">
        <f>_xlfn.NUMBERVALUE("-0.000166")</f>
        <v/>
      </c>
      <c r="D2056">
        <f>_xlfn.NUMBERVALUE("-0.000617")</f>
        <v/>
      </c>
      <c r="E2056">
        <f>_xlfn.NUMBERVALUE("0.000520")</f>
        <v/>
      </c>
      <c r="F2056">
        <f>_xlfn.NUMBERVALUE("-0.000640")</f>
        <v/>
      </c>
      <c r="G2056">
        <f>_xlfn.NUMBERVALUE("0.002487")</f>
        <v/>
      </c>
      <c r="H2056">
        <f>_xlfn.NUMBERVALUE("0.001550")</f>
        <v/>
      </c>
      <c r="I2056">
        <f>_xlfn.NUMBERVALUE("0.000111")</f>
        <v/>
      </c>
      <c r="J2056">
        <f>_xlfn.NUMBERVALUE("0.003256")</f>
        <v/>
      </c>
      <c r="K2056">
        <f>_xlfn.NUMBERVALUE("0.000324")</f>
        <v/>
      </c>
      <c r="L2056">
        <f>_xlfn.NUMBERVALUE("0.001767")</f>
        <v/>
      </c>
      <c r="M2056">
        <f>_xlfn.NUMBERVALUE("-0.000034")</f>
        <v/>
      </c>
      <c r="N2056">
        <f>_xlfn.NUMBERVALUE("0.000226")</f>
        <v/>
      </c>
      <c r="O2056">
        <f>_xlfn.NUMBERVALUE("-0.001151")</f>
        <v/>
      </c>
      <c r="P2056">
        <f>_xlfn.NUMBERVALUE("0.000886")</f>
        <v/>
      </c>
      <c r="Q2056">
        <f>_xlfn.NUMBERVALUE("0.000612")</f>
        <v/>
      </c>
      <c r="R2056">
        <f>_xlfn.NUMBERVALUE("-0.000275")</f>
        <v/>
      </c>
      <c r="S2056">
        <f>_xlfn.NUMBERVALUE("-0.000164")</f>
        <v/>
      </c>
      <c r="T2056">
        <f>_xlfn.NUMBERVALUE("-0.001366")</f>
        <v/>
      </c>
      <c r="U2056">
        <f>_xlfn.NUMBERVALUE("-0.001419")</f>
        <v/>
      </c>
      <c r="V2056">
        <f>_xlfn.NUMBERVALUE("-0.000168")</f>
        <v/>
      </c>
      <c r="W2056">
        <f>_xlfn.NUMBERVALUE("-0.004635")</f>
        <v/>
      </c>
      <c r="X2056">
        <f>_xlfn.NUMBERVALUE("-0.120000")</f>
        <v/>
      </c>
      <c r="Y2056">
        <f>_xlfn.NUMBERVALUE("20.580000")</f>
        <v/>
      </c>
    </row>
    <row r="2057">
      <c r="A2057" s="1" t="n">
        <v>44987</v>
      </c>
      <c r="B2057">
        <f>_xlfn.NUMBERVALUE("0.003565")</f>
        <v/>
      </c>
      <c r="C2057" s="2">
        <f>_xlfn.NUMBERVALUE("0.000261")</f>
        <v/>
      </c>
      <c r="D2057">
        <f>_xlfn.NUMBERVALUE("0.000393")</f>
        <v/>
      </c>
      <c r="E2057">
        <f>_xlfn.NUMBERVALUE("-0.000223")</f>
        <v/>
      </c>
      <c r="F2057">
        <f>_xlfn.NUMBERVALUE("0.001158")</f>
        <v/>
      </c>
      <c r="G2057">
        <f>_xlfn.NUMBERVALUE("0.000112")</f>
        <v/>
      </c>
      <c r="H2057">
        <f>_xlfn.NUMBERVALUE("-0.000114")</f>
        <v/>
      </c>
      <c r="I2057">
        <f>_xlfn.NUMBERVALUE("0.000122")</f>
        <v/>
      </c>
      <c r="J2057">
        <f>_xlfn.NUMBERVALUE("-0.000062")</f>
        <v/>
      </c>
      <c r="K2057">
        <f>_xlfn.NUMBERVALUE("0.000799")</f>
        <v/>
      </c>
      <c r="L2057">
        <f>_xlfn.NUMBERVALUE("-0.000039")</f>
        <v/>
      </c>
      <c r="M2057">
        <f>_xlfn.NUMBERVALUE("0.000133")</f>
        <v/>
      </c>
      <c r="N2057">
        <f>_xlfn.NUMBERVALUE("0.000524")</f>
        <v/>
      </c>
      <c r="O2057">
        <f>_xlfn.NUMBERVALUE("0.001863")</f>
        <v/>
      </c>
      <c r="P2057">
        <f>_xlfn.NUMBERVALUE("-0.000348")</f>
        <v/>
      </c>
      <c r="Q2057">
        <f>_xlfn.NUMBERVALUE("-0.000594")</f>
        <v/>
      </c>
      <c r="R2057">
        <f>_xlfn.NUMBERVALUE("0.000458")</f>
        <v/>
      </c>
      <c r="S2057">
        <f>_xlfn.NUMBERVALUE("-0.002405")</f>
        <v/>
      </c>
      <c r="T2057">
        <f>_xlfn.NUMBERVALUE("-0.000188")</f>
        <v/>
      </c>
      <c r="U2057">
        <f>_xlfn.NUMBERVALUE("0.001273")</f>
        <v/>
      </c>
      <c r="V2057">
        <f>_xlfn.NUMBERVALUE("-0.000131")</f>
        <v/>
      </c>
      <c r="W2057">
        <f>_xlfn.NUMBERVALUE("0.007440")</f>
        <v/>
      </c>
      <c r="X2057">
        <f>_xlfn.NUMBERVALUE("-0.990000")</f>
        <v/>
      </c>
      <c r="Y2057">
        <f>_xlfn.NUMBERVALUE("19.590000")</f>
        <v/>
      </c>
    </row>
    <row r="2058">
      <c r="A2058" s="1" t="n">
        <v>44988</v>
      </c>
      <c r="B2058">
        <f>_xlfn.NUMBERVALUE("0.002968")</f>
        <v/>
      </c>
      <c r="C2058" s="2">
        <f>_xlfn.NUMBERVALUE("0.001199")</f>
        <v/>
      </c>
      <c r="D2058">
        <f>_xlfn.NUMBERVALUE("-0.000111")</f>
        <v/>
      </c>
      <c r="E2058">
        <f>_xlfn.NUMBERVALUE("-0.000636")</f>
        <v/>
      </c>
      <c r="F2058">
        <f>_xlfn.NUMBERVALUE("0.000048")</f>
        <v/>
      </c>
      <c r="G2058">
        <f>_xlfn.NUMBERVALUE("0.000475")</f>
        <v/>
      </c>
      <c r="H2058">
        <f>_xlfn.NUMBERVALUE("0.000271")</f>
        <v/>
      </c>
      <c r="I2058">
        <f>_xlfn.NUMBERVALUE("0.000205")</f>
        <v/>
      </c>
      <c r="J2058">
        <f>_xlfn.NUMBERVALUE("-0.000130")</f>
        <v/>
      </c>
      <c r="K2058">
        <f>_xlfn.NUMBERVALUE("-0.000178")</f>
        <v/>
      </c>
      <c r="L2058">
        <f>_xlfn.NUMBERVALUE("-0.000164")</f>
        <v/>
      </c>
      <c r="M2058">
        <f>_xlfn.NUMBERVALUE("-0.000264")</f>
        <v/>
      </c>
      <c r="N2058">
        <f>_xlfn.NUMBERVALUE("-0.001457")</f>
        <v/>
      </c>
      <c r="O2058">
        <f>_xlfn.NUMBERVALUE("0.001956")</f>
        <v/>
      </c>
      <c r="P2058">
        <f>_xlfn.NUMBERVALUE("0.000265")</f>
        <v/>
      </c>
      <c r="Q2058">
        <f>_xlfn.NUMBERVALUE("0.000958")</f>
        <v/>
      </c>
      <c r="R2058">
        <f>_xlfn.NUMBERVALUE("-0.001094")</f>
        <v/>
      </c>
      <c r="S2058">
        <f>_xlfn.NUMBERVALUE("0.002333")</f>
        <v/>
      </c>
      <c r="T2058">
        <f>_xlfn.NUMBERVALUE("-0.000435")</f>
        <v/>
      </c>
      <c r="U2058">
        <f>_xlfn.NUMBERVALUE("0.000512")</f>
        <v/>
      </c>
      <c r="V2058">
        <f>_xlfn.NUMBERVALUE("-0.000146")</f>
        <v/>
      </c>
      <c r="W2058">
        <f>_xlfn.NUMBERVALUE("0.014418")</f>
        <v/>
      </c>
      <c r="X2058">
        <f>_xlfn.NUMBERVALUE("-1.100000")</f>
        <v/>
      </c>
      <c r="Y2058">
        <f>_xlfn.NUMBERVALUE("18.490000")</f>
        <v/>
      </c>
    </row>
    <row r="2059">
      <c r="A2059" s="1" t="n">
        <v>44991</v>
      </c>
      <c r="B2059">
        <f>_xlfn.NUMBERVALUE("0.002745")</f>
        <v/>
      </c>
      <c r="C2059" s="2">
        <f>_xlfn.NUMBERVALUE("0.001422")</f>
        <v/>
      </c>
      <c r="D2059">
        <f>_xlfn.NUMBERVALUE("0.000077")</f>
        <v/>
      </c>
      <c r="E2059">
        <f>_xlfn.NUMBERVALUE("0.002660")</f>
        <v/>
      </c>
      <c r="F2059">
        <f>_xlfn.NUMBERVALUE("0.000427")</f>
        <v/>
      </c>
      <c r="G2059">
        <f>_xlfn.NUMBERVALUE("-0.000271")</f>
        <v/>
      </c>
      <c r="H2059">
        <f>_xlfn.NUMBERVALUE("-0.000421")</f>
        <v/>
      </c>
      <c r="I2059">
        <f>_xlfn.NUMBERVALUE("-0.000534")</f>
        <v/>
      </c>
      <c r="J2059">
        <f>_xlfn.NUMBERVALUE("-0.000326")</f>
        <v/>
      </c>
      <c r="K2059">
        <f>_xlfn.NUMBERVALUE("0.000151")</f>
        <v/>
      </c>
      <c r="L2059">
        <f>_xlfn.NUMBERVALUE("-0.000208")</f>
        <v/>
      </c>
      <c r="M2059">
        <f>_xlfn.NUMBERVALUE("0.000030")</f>
        <v/>
      </c>
      <c r="N2059">
        <f>_xlfn.NUMBERVALUE("0.001055")</f>
        <v/>
      </c>
      <c r="O2059">
        <f>_xlfn.NUMBERVALUE("0.002668")</f>
        <v/>
      </c>
      <c r="P2059">
        <f>_xlfn.NUMBERVALUE("0.000467")</f>
        <v/>
      </c>
      <c r="Q2059">
        <f>_xlfn.NUMBERVALUE("0.002084")</f>
        <v/>
      </c>
      <c r="R2059">
        <f>_xlfn.NUMBERVALUE("0.000364")</f>
        <v/>
      </c>
      <c r="S2059">
        <f>_xlfn.NUMBERVALUE("0.001200")</f>
        <v/>
      </c>
      <c r="T2059">
        <f>_xlfn.NUMBERVALUE("0.001322")</f>
        <v/>
      </c>
      <c r="U2059">
        <f>_xlfn.NUMBERVALUE("0.000778")</f>
        <v/>
      </c>
      <c r="V2059">
        <f>_xlfn.NUMBERVALUE("0.000436")</f>
        <v/>
      </c>
      <c r="W2059">
        <f>_xlfn.NUMBERVALUE("0.002080")</f>
        <v/>
      </c>
      <c r="X2059">
        <f>_xlfn.NUMBERVALUE("0.120000")</f>
        <v/>
      </c>
      <c r="Y2059">
        <f>_xlfn.NUMBERVALUE("18.610000")</f>
        <v/>
      </c>
    </row>
    <row r="2060">
      <c r="A2060" s="1" t="n">
        <v>44992</v>
      </c>
      <c r="B2060">
        <f>_xlfn.NUMBERVALUE("0.001098")</f>
        <v/>
      </c>
      <c r="C2060" s="2">
        <f>_xlfn.NUMBERVALUE("-0.001186")</f>
        <v/>
      </c>
      <c r="D2060">
        <f>_xlfn.NUMBERVALUE("0.000029")</f>
        <v/>
      </c>
      <c r="E2060">
        <f>_xlfn.NUMBERVALUE("-0.002168")</f>
        <v/>
      </c>
      <c r="F2060">
        <f>_xlfn.NUMBERVALUE("-0.000775")</f>
        <v/>
      </c>
      <c r="G2060">
        <f>_xlfn.NUMBERVALUE("-0.000024")</f>
        <v/>
      </c>
      <c r="H2060">
        <f>_xlfn.NUMBERVALUE("-0.000065")</f>
        <v/>
      </c>
      <c r="I2060">
        <f>_xlfn.NUMBERVALUE("-0.000092")</f>
        <v/>
      </c>
      <c r="J2060">
        <f>_xlfn.NUMBERVALUE("-0.000077")</f>
        <v/>
      </c>
      <c r="K2060">
        <f>_xlfn.NUMBERVALUE("0.000012")</f>
        <v/>
      </c>
      <c r="L2060">
        <f>_xlfn.NUMBERVALUE("-0.000042")</f>
        <v/>
      </c>
      <c r="M2060">
        <f>_xlfn.NUMBERVALUE("-0.003975")</f>
        <v/>
      </c>
      <c r="N2060">
        <f>_xlfn.NUMBERVALUE("-0.000210")</f>
        <v/>
      </c>
      <c r="O2060">
        <f>_xlfn.NUMBERVALUE("-0.002333")</f>
        <v/>
      </c>
      <c r="P2060">
        <f>_xlfn.NUMBERVALUE("-0.002488")</f>
        <v/>
      </c>
      <c r="Q2060">
        <f>_xlfn.NUMBERVALUE("-0.000678")</f>
        <v/>
      </c>
      <c r="R2060">
        <f>_xlfn.NUMBERVALUE("-0.001357")</f>
        <v/>
      </c>
      <c r="S2060">
        <f>_xlfn.NUMBERVALUE("-0.000971")</f>
        <v/>
      </c>
      <c r="T2060">
        <f>_xlfn.NUMBERVALUE("-0.002519")</f>
        <v/>
      </c>
      <c r="U2060">
        <f>_xlfn.NUMBERVALUE("-0.000647")</f>
        <v/>
      </c>
      <c r="V2060">
        <f>_xlfn.NUMBERVALUE("-0.000749")</f>
        <v/>
      </c>
      <c r="W2060">
        <f>_xlfn.NUMBERVALUE("-0.007549")</f>
        <v/>
      </c>
      <c r="X2060">
        <f>_xlfn.NUMBERVALUE("0.980000")</f>
        <v/>
      </c>
      <c r="Y2060">
        <f>_xlfn.NUMBERVALUE("19.590000")</f>
        <v/>
      </c>
    </row>
    <row r="2061">
      <c r="A2061" s="1" t="n">
        <v>44993</v>
      </c>
      <c r="B2061">
        <f>_xlfn.NUMBERVALUE("0.003713")</f>
        <v/>
      </c>
      <c r="C2061" s="2">
        <f>_xlfn.NUMBERVALUE("0.001532")</f>
        <v/>
      </c>
      <c r="D2061">
        <f>_xlfn.NUMBERVALUE("-0.000114")</f>
        <v/>
      </c>
      <c r="E2061">
        <f>_xlfn.NUMBERVALUE("0.000469")</f>
        <v/>
      </c>
      <c r="F2061">
        <f>_xlfn.NUMBERVALUE("0.001282")</f>
        <v/>
      </c>
      <c r="G2061">
        <f>_xlfn.NUMBERVALUE("-0.000745")</f>
        <v/>
      </c>
      <c r="H2061">
        <f>_xlfn.NUMBERVALUE("0.000293")</f>
        <v/>
      </c>
      <c r="I2061">
        <f>_xlfn.NUMBERVALUE("0.001693")</f>
        <v/>
      </c>
      <c r="J2061">
        <f>_xlfn.NUMBERVALUE("-0.000442")</f>
        <v/>
      </c>
      <c r="K2061">
        <f>_xlfn.NUMBERVALUE("0.002520")</f>
        <v/>
      </c>
      <c r="L2061">
        <f>_xlfn.NUMBERVALUE("-0.000114")</f>
        <v/>
      </c>
      <c r="M2061">
        <f>_xlfn.NUMBERVALUE("0.000393")</f>
        <v/>
      </c>
      <c r="N2061">
        <f>_xlfn.NUMBERVALUE("0.000917")</f>
        <v/>
      </c>
      <c r="O2061">
        <f>_xlfn.NUMBERVALUE("-0.000898")</f>
        <v/>
      </c>
      <c r="P2061">
        <f>_xlfn.NUMBERVALUE("-0.000296")</f>
        <v/>
      </c>
      <c r="Q2061">
        <f>_xlfn.NUMBERVALUE("0.001351")</f>
        <v/>
      </c>
      <c r="R2061">
        <f>_xlfn.NUMBERVALUE("0.001059")</f>
        <v/>
      </c>
      <c r="S2061">
        <f>_xlfn.NUMBERVALUE("0.000132")</f>
        <v/>
      </c>
      <c r="T2061">
        <f>_xlfn.NUMBERVALUE("0.000558")</f>
        <v/>
      </c>
      <c r="U2061">
        <f>_xlfn.NUMBERVALUE("-0.000766")</f>
        <v/>
      </c>
      <c r="V2061">
        <f>_xlfn.NUMBERVALUE("0.001665")</f>
        <v/>
      </c>
      <c r="W2061">
        <f>_xlfn.NUMBERVALUE("0.001079")</f>
        <v/>
      </c>
      <c r="X2061">
        <f>_xlfn.NUMBERVALUE("-0.480000")</f>
        <v/>
      </c>
      <c r="Y2061">
        <f>_xlfn.NUMBERVALUE("19.110000")</f>
        <v/>
      </c>
    </row>
    <row r="2062">
      <c r="A2062" s="1" t="n">
        <v>44994</v>
      </c>
      <c r="B2062">
        <f>_xlfn.NUMBERVALUE("-0.011798")</f>
        <v/>
      </c>
      <c r="C2062" s="2">
        <f>_xlfn.NUMBERVALUE("-0.005334")</f>
        <v/>
      </c>
      <c r="D2062">
        <f>_xlfn.NUMBERVALUE("-0.009209")</f>
        <v/>
      </c>
      <c r="E2062">
        <f>_xlfn.NUMBERVALUE("-0.003433")</f>
        <v/>
      </c>
      <c r="F2062">
        <f>_xlfn.NUMBERVALUE("-0.001825")</f>
        <v/>
      </c>
      <c r="G2062">
        <f>_xlfn.NUMBERVALUE("-0.001813")</f>
        <v/>
      </c>
      <c r="H2062">
        <f>_xlfn.NUMBERVALUE("-0.001410")</f>
        <v/>
      </c>
      <c r="I2062">
        <f>_xlfn.NUMBERVALUE("-0.008155")</f>
        <v/>
      </c>
      <c r="J2062">
        <f>_xlfn.NUMBERVALUE("0.000176")</f>
        <v/>
      </c>
      <c r="K2062">
        <f>_xlfn.NUMBERVALUE("-0.002033")</f>
        <v/>
      </c>
      <c r="L2062">
        <f>_xlfn.NUMBERVALUE("0.000333")</f>
        <v/>
      </c>
      <c r="M2062">
        <f>_xlfn.NUMBERVALUE("-0.004699")</f>
        <v/>
      </c>
      <c r="N2062">
        <f>_xlfn.NUMBERVALUE("-0.002981")</f>
        <v/>
      </c>
      <c r="O2062">
        <f>_xlfn.NUMBERVALUE("-0.000842")</f>
        <v/>
      </c>
      <c r="P2062">
        <f>_xlfn.NUMBERVALUE("-0.000186")</f>
        <v/>
      </c>
      <c r="Q2062">
        <f>_xlfn.NUMBERVALUE("-0.003028")</f>
        <v/>
      </c>
      <c r="R2062">
        <f>_xlfn.NUMBERVALUE("-0.001826")</f>
        <v/>
      </c>
      <c r="S2062">
        <f>_xlfn.NUMBERVALUE("-0.000575")</f>
        <v/>
      </c>
      <c r="T2062">
        <f>_xlfn.NUMBERVALUE("-0.000365")</f>
        <v/>
      </c>
      <c r="U2062">
        <f>_xlfn.NUMBERVALUE("0.000298")</f>
        <v/>
      </c>
      <c r="V2062">
        <f>_xlfn.NUMBERVALUE("-0.006201")</f>
        <v/>
      </c>
      <c r="W2062">
        <f>_xlfn.NUMBERVALUE("-0.018496")</f>
        <v/>
      </c>
      <c r="X2062">
        <f>_xlfn.NUMBERVALUE("3.500000")</f>
        <v/>
      </c>
      <c r="Y2062">
        <f>_xlfn.NUMBERVALUE("22.610000")</f>
        <v/>
      </c>
    </row>
    <row r="2063">
      <c r="A2063" s="1" t="n">
        <v>44995</v>
      </c>
      <c r="B2063">
        <f>_xlfn.NUMBERVALUE("-0.007171")</f>
        <v/>
      </c>
      <c r="C2063" s="2">
        <f>_xlfn.NUMBERVALUE("-0.001425")</f>
        <v/>
      </c>
      <c r="D2063">
        <f>_xlfn.NUMBERVALUE("0.000292")</f>
        <v/>
      </c>
      <c r="E2063">
        <f>_xlfn.NUMBERVALUE("-0.000944")</f>
        <v/>
      </c>
      <c r="F2063">
        <f>_xlfn.NUMBERVALUE("-0.006339")</f>
        <v/>
      </c>
      <c r="G2063">
        <f>_xlfn.NUMBERVALUE("-0.000548")</f>
        <v/>
      </c>
      <c r="H2063">
        <f>_xlfn.NUMBERVALUE("-0.003930")</f>
        <v/>
      </c>
      <c r="I2063">
        <f>_xlfn.NUMBERVALUE("-0.007071")</f>
        <v/>
      </c>
      <c r="J2063">
        <f>_xlfn.NUMBERVALUE("-0.004422")</f>
        <v/>
      </c>
      <c r="K2063">
        <f>_xlfn.NUMBERVALUE("-0.003045")</f>
        <v/>
      </c>
      <c r="L2063">
        <f>_xlfn.NUMBERVALUE("-0.009146")</f>
        <v/>
      </c>
      <c r="M2063">
        <f>_xlfn.NUMBERVALUE("0.000161")</f>
        <v/>
      </c>
      <c r="N2063">
        <f>_xlfn.NUMBERVALUE("-0.000339")</f>
        <v/>
      </c>
      <c r="O2063">
        <f>_xlfn.NUMBERVALUE("0.000532")</f>
        <v/>
      </c>
      <c r="P2063">
        <f>_xlfn.NUMBERVALUE("0.000126")</f>
        <v/>
      </c>
      <c r="Q2063">
        <f>_xlfn.NUMBERVALUE("-0.002680")</f>
        <v/>
      </c>
      <c r="R2063">
        <f>_xlfn.NUMBERVALUE("-0.001338")</f>
        <v/>
      </c>
      <c r="S2063">
        <f>_xlfn.NUMBERVALUE("-0.000257")</f>
        <v/>
      </c>
      <c r="T2063">
        <f>_xlfn.NUMBERVALUE("-0.000571")</f>
        <v/>
      </c>
      <c r="U2063">
        <f>_xlfn.NUMBERVALUE("0.000052")</f>
        <v/>
      </c>
      <c r="V2063">
        <f>_xlfn.NUMBERVALUE("-0.002243")</f>
        <v/>
      </c>
      <c r="W2063">
        <f>_xlfn.NUMBERVALUE("-0.017619")</f>
        <v/>
      </c>
      <c r="X2063">
        <f>_xlfn.NUMBERVALUE("2.190000")</f>
        <v/>
      </c>
      <c r="Y2063">
        <f>_xlfn.NUMBERVALUE("24.800000")</f>
        <v/>
      </c>
    </row>
    <row r="2064">
      <c r="A2064" s="1" t="n">
        <v>44998</v>
      </c>
      <c r="B2064">
        <f>_xlfn.NUMBERVALUE("-0.000391")</f>
        <v/>
      </c>
      <c r="C2064" s="2">
        <f>_xlfn.NUMBERVALUE("0.000128")</f>
        <v/>
      </c>
      <c r="D2064">
        <f>_xlfn.NUMBERVALUE("0.002674")</f>
        <v/>
      </c>
      <c r="E2064">
        <f>_xlfn.NUMBERVALUE("0.000648")</f>
        <v/>
      </c>
      <c r="F2064">
        <f>_xlfn.NUMBERVALUE("-0.006153")</f>
        <v/>
      </c>
      <c r="G2064">
        <f>_xlfn.NUMBERVALUE("0.000500")</f>
        <v/>
      </c>
      <c r="H2064">
        <f>_xlfn.NUMBERVALUE("-0.005161")</f>
        <v/>
      </c>
      <c r="I2064">
        <f>_xlfn.NUMBERVALUE("0.000689")</f>
        <v/>
      </c>
      <c r="J2064">
        <f>_xlfn.NUMBERVALUE("-0.001407")</f>
        <v/>
      </c>
      <c r="K2064">
        <f>_xlfn.NUMBERVALUE("-0.019977")</f>
        <v/>
      </c>
      <c r="L2064">
        <f>_xlfn.NUMBERVALUE("-0.004606")</f>
        <v/>
      </c>
      <c r="M2064">
        <f>_xlfn.NUMBERVALUE("0.000173")</f>
        <v/>
      </c>
      <c r="N2064">
        <f>_xlfn.NUMBERVALUE("-0.000328")</f>
        <v/>
      </c>
      <c r="O2064">
        <f>_xlfn.NUMBERVALUE("0.000328")</f>
        <v/>
      </c>
      <c r="P2064">
        <f>_xlfn.NUMBERVALUE("-0.009998")</f>
        <v/>
      </c>
      <c r="Q2064">
        <f>_xlfn.NUMBERVALUE("0.000744")</f>
        <v/>
      </c>
      <c r="R2064">
        <f>_xlfn.NUMBERVALUE("0.000458")</f>
        <v/>
      </c>
      <c r="S2064">
        <f>_xlfn.NUMBERVALUE("-0.001796")</f>
        <v/>
      </c>
      <c r="T2064">
        <f>_xlfn.NUMBERVALUE("-0.005909")</f>
        <v/>
      </c>
      <c r="U2064">
        <f>_xlfn.NUMBERVALUE("-0.000853")</f>
        <v/>
      </c>
      <c r="V2064">
        <f>_xlfn.NUMBERVALUE("0.000065")</f>
        <v/>
      </c>
      <c r="W2064">
        <f>_xlfn.NUMBERVALUE("0.005328")</f>
        <v/>
      </c>
      <c r="X2064">
        <f>_xlfn.NUMBERVALUE("1.720000")</f>
        <v/>
      </c>
      <c r="Y2064">
        <f>_xlfn.NUMBERVALUE("26.520000")</f>
        <v/>
      </c>
    </row>
    <row r="2065">
      <c r="A2065" s="1" t="n">
        <v>44999</v>
      </c>
      <c r="B2065">
        <f>_xlfn.NUMBERVALUE("0.012735")</f>
        <v/>
      </c>
      <c r="C2065" s="2">
        <f>_xlfn.NUMBERVALUE("0.003206")</f>
        <v/>
      </c>
      <c r="D2065">
        <f>_xlfn.NUMBERVALUE("0.003358")</f>
        <v/>
      </c>
      <c r="E2065">
        <f>_xlfn.NUMBERVALUE("0.004401")</f>
        <v/>
      </c>
      <c r="F2065">
        <f>_xlfn.NUMBERVALUE("0.001876")</f>
        <v/>
      </c>
      <c r="G2065">
        <f>_xlfn.NUMBERVALUE("0.004079")</f>
        <v/>
      </c>
      <c r="H2065">
        <f>_xlfn.NUMBERVALUE("0.003626")</f>
        <v/>
      </c>
      <c r="I2065">
        <f>_xlfn.NUMBERVALUE("0.001866")</f>
        <v/>
      </c>
      <c r="J2065">
        <f>_xlfn.NUMBERVALUE("0.004264")</f>
        <v/>
      </c>
      <c r="K2065">
        <f>_xlfn.NUMBERVALUE("0.002887")</f>
        <v/>
      </c>
      <c r="L2065">
        <f>_xlfn.NUMBERVALUE("0.005249")</f>
        <v/>
      </c>
      <c r="M2065">
        <f>_xlfn.NUMBERVALUE("0.004845")</f>
        <v/>
      </c>
      <c r="N2065">
        <f>_xlfn.NUMBERVALUE("0.001695")</f>
        <v/>
      </c>
      <c r="O2065">
        <f>_xlfn.NUMBERVALUE("0.000794")</f>
        <v/>
      </c>
      <c r="P2065">
        <f>_xlfn.NUMBERVALUE("0.011201")</f>
        <v/>
      </c>
      <c r="Q2065">
        <f>_xlfn.NUMBERVALUE("0.004398")</f>
        <v/>
      </c>
      <c r="R2065">
        <f>_xlfn.NUMBERVALUE("0.005305")</f>
        <v/>
      </c>
      <c r="S2065">
        <f>_xlfn.NUMBERVALUE("0.001692")</f>
        <v/>
      </c>
      <c r="T2065">
        <f>_xlfn.NUMBERVALUE("0.001233")</f>
        <v/>
      </c>
      <c r="U2065">
        <f>_xlfn.NUMBERVALUE("0.005932")</f>
        <v/>
      </c>
      <c r="V2065">
        <f>_xlfn.NUMBERVALUE("0.003122")</f>
        <v/>
      </c>
      <c r="W2065">
        <f>_xlfn.NUMBERVALUE("0.007343")</f>
        <v/>
      </c>
      <c r="X2065">
        <f>_xlfn.NUMBERVALUE("-2.790000")</f>
        <v/>
      </c>
      <c r="Y2065">
        <f>_xlfn.NUMBERVALUE("23.730000")</f>
        <v/>
      </c>
    </row>
    <row r="2066">
      <c r="A2066" s="1" t="n">
        <v>45000</v>
      </c>
      <c r="B2066">
        <f>_xlfn.NUMBERVALUE("-0.001539")</f>
        <v/>
      </c>
      <c r="C2066" s="2">
        <f>_xlfn.NUMBERVALUE("-0.000906")</f>
        <v/>
      </c>
      <c r="D2066">
        <f>_xlfn.NUMBERVALUE("-0.003135")</f>
        <v/>
      </c>
      <c r="E2066">
        <f>_xlfn.NUMBERVALUE("-0.011677")</f>
        <v/>
      </c>
      <c r="F2066">
        <f>_xlfn.NUMBERVALUE("-0.000299")</f>
        <v/>
      </c>
      <c r="G2066">
        <f>_xlfn.NUMBERVALUE("-0.002810")</f>
        <v/>
      </c>
      <c r="H2066">
        <f>_xlfn.NUMBERVALUE("-0.002399")</f>
        <v/>
      </c>
      <c r="I2066">
        <f>_xlfn.NUMBERVALUE("-0.001207")</f>
        <v/>
      </c>
      <c r="J2066">
        <f>_xlfn.NUMBERVALUE("-0.000150")</f>
        <v/>
      </c>
      <c r="K2066">
        <f>_xlfn.NUMBERVALUE("-0.002486")</f>
        <v/>
      </c>
      <c r="L2066">
        <f>_xlfn.NUMBERVALUE("-0.003473")</f>
        <v/>
      </c>
      <c r="M2066">
        <f>_xlfn.NUMBERVALUE("-0.010101")</f>
        <v/>
      </c>
      <c r="N2066">
        <f>_xlfn.NUMBERVALUE("0.000227")</f>
        <v/>
      </c>
      <c r="O2066">
        <f>_xlfn.NUMBERVALUE("-0.017710")</f>
        <v/>
      </c>
      <c r="P2066">
        <f>_xlfn.NUMBERVALUE("-0.007757")</f>
        <v/>
      </c>
      <c r="Q2066">
        <f>_xlfn.NUMBERVALUE("-0.007393")</f>
        <v/>
      </c>
      <c r="R2066">
        <f>_xlfn.NUMBERVALUE("-0.003852")</f>
        <v/>
      </c>
      <c r="S2066">
        <f>_xlfn.NUMBERVALUE("-0.003675")</f>
        <v/>
      </c>
      <c r="T2066">
        <f>_xlfn.NUMBERVALUE("-0.005088")</f>
        <v/>
      </c>
      <c r="U2066">
        <f>_xlfn.NUMBERVALUE("-0.002868")</f>
        <v/>
      </c>
      <c r="V2066">
        <f>_xlfn.NUMBERVALUE("-0.000970")</f>
        <v/>
      </c>
      <c r="W2066">
        <f>_xlfn.NUMBERVALUE("-0.004646")</f>
        <v/>
      </c>
      <c r="X2066">
        <f>_xlfn.NUMBERVALUE("2.410000")</f>
        <v/>
      </c>
      <c r="Y2066">
        <f>_xlfn.NUMBERVALUE("26.140000")</f>
        <v/>
      </c>
    </row>
    <row r="2067">
      <c r="A2067" s="1" t="n">
        <v>45001</v>
      </c>
      <c r="B2067">
        <f>_xlfn.NUMBERVALUE("0.003526")</f>
        <v/>
      </c>
      <c r="C2067" s="2">
        <f>_xlfn.NUMBERVALUE("0.001803")</f>
        <v/>
      </c>
      <c r="D2067">
        <f>_xlfn.NUMBERVALUE("0.003903")</f>
        <v/>
      </c>
      <c r="E2067">
        <f>_xlfn.NUMBERVALUE("0.005342")</f>
        <v/>
      </c>
      <c r="F2067">
        <f>_xlfn.NUMBERVALUE("0.001349")</f>
        <v/>
      </c>
      <c r="G2067">
        <f>_xlfn.NUMBERVALUE("0.002816")</f>
        <v/>
      </c>
      <c r="H2067">
        <f>_xlfn.NUMBERVALUE("0.002434")</f>
        <v/>
      </c>
      <c r="I2067">
        <f>_xlfn.NUMBERVALUE("0.001181")</f>
        <v/>
      </c>
      <c r="J2067">
        <f>_xlfn.NUMBERVALUE("0.002200")</f>
        <v/>
      </c>
      <c r="K2067">
        <f>_xlfn.NUMBERVALUE("0.004420")</f>
        <v/>
      </c>
      <c r="L2067">
        <f>_xlfn.NUMBERVALUE("0.005053")</f>
        <v/>
      </c>
      <c r="M2067">
        <f>_xlfn.NUMBERVALUE("0.006531")</f>
        <v/>
      </c>
      <c r="N2067">
        <f>_xlfn.NUMBERVALUE("0.001549")</f>
        <v/>
      </c>
      <c r="O2067">
        <f>_xlfn.NUMBERVALUE("0.007342")</f>
        <v/>
      </c>
      <c r="P2067">
        <f>_xlfn.NUMBERVALUE("0.004404")</f>
        <v/>
      </c>
      <c r="Q2067">
        <f>_xlfn.NUMBERVALUE("0.002391")</f>
        <v/>
      </c>
      <c r="R2067">
        <f>_xlfn.NUMBERVALUE("-0.002350")</f>
        <v/>
      </c>
      <c r="S2067">
        <f>_xlfn.NUMBERVALUE("0.003238")</f>
        <v/>
      </c>
      <c r="T2067">
        <f>_xlfn.NUMBERVALUE("0.002822")</f>
        <v/>
      </c>
      <c r="U2067">
        <f>_xlfn.NUMBERVALUE("0.002571")</f>
        <v/>
      </c>
      <c r="V2067">
        <f>_xlfn.NUMBERVALUE("0.000372")</f>
        <v/>
      </c>
      <c r="W2067">
        <f>_xlfn.NUMBERVALUE("0.021376")</f>
        <v/>
      </c>
      <c r="X2067">
        <f>_xlfn.NUMBERVALUE("-3.150000")</f>
        <v/>
      </c>
      <c r="Y2067">
        <f>_xlfn.NUMBERVALUE("22.990000")</f>
        <v/>
      </c>
    </row>
    <row r="2068">
      <c r="A2068" s="1" t="n">
        <v>45002</v>
      </c>
      <c r="B2068">
        <f>_xlfn.NUMBERVALUE("0.000192")</f>
        <v/>
      </c>
      <c r="C2068" s="2">
        <f>_xlfn.NUMBERVALUE("-0.002067")</f>
        <v/>
      </c>
      <c r="D2068">
        <f>_xlfn.NUMBERVALUE("-0.001859")</f>
        <v/>
      </c>
      <c r="E2068">
        <f>_xlfn.NUMBERVALUE("-0.001451")</f>
        <v/>
      </c>
      <c r="F2068">
        <f>_xlfn.NUMBERVALUE("-0.004166")</f>
        <v/>
      </c>
      <c r="G2068">
        <f>_xlfn.NUMBERVALUE("-0.002118")</f>
        <v/>
      </c>
      <c r="H2068">
        <f>_xlfn.NUMBERVALUE("-0.003182")</f>
        <v/>
      </c>
      <c r="I2068">
        <f>_xlfn.NUMBERVALUE("-0.002742")</f>
        <v/>
      </c>
      <c r="J2068">
        <f>_xlfn.NUMBERVALUE("-0.002177")</f>
        <v/>
      </c>
      <c r="K2068">
        <f>_xlfn.NUMBERVALUE("-0.005746")</f>
        <v/>
      </c>
      <c r="L2068">
        <f>_xlfn.NUMBERVALUE("-0.005854")</f>
        <v/>
      </c>
      <c r="M2068">
        <f>_xlfn.NUMBERVALUE("-0.002639")</f>
        <v/>
      </c>
      <c r="N2068">
        <f>_xlfn.NUMBERVALUE("0.000027")</f>
        <v/>
      </c>
      <c r="O2068">
        <f>_xlfn.NUMBERVALUE("-0.001428")</f>
        <v/>
      </c>
      <c r="P2068">
        <f>_xlfn.NUMBERVALUE("-0.009683")</f>
        <v/>
      </c>
      <c r="Q2068">
        <f>_xlfn.NUMBERVALUE("-0.002380")</f>
        <v/>
      </c>
      <c r="R2068">
        <f>_xlfn.NUMBERVALUE("-0.002988")</f>
        <v/>
      </c>
      <c r="S2068">
        <f>_xlfn.NUMBERVALUE("-0.001806")</f>
        <v/>
      </c>
      <c r="T2068">
        <f>_xlfn.NUMBERVALUE("-0.002039")</f>
        <v/>
      </c>
      <c r="U2068">
        <f>_xlfn.NUMBERVALUE("-0.002994")</f>
        <v/>
      </c>
      <c r="V2068">
        <f>_xlfn.NUMBERVALUE("-0.003107")</f>
        <v/>
      </c>
      <c r="W2068">
        <f>_xlfn.NUMBERVALUE("-0.015198")</f>
        <v/>
      </c>
      <c r="X2068">
        <f>_xlfn.NUMBERVALUE("2.520000")</f>
        <v/>
      </c>
      <c r="Y2068">
        <f>_xlfn.NUMBERVALUE("25.510000")</f>
        <v/>
      </c>
    </row>
    <row r="2069">
      <c r="A2069" s="1" t="n">
        <v>45005</v>
      </c>
      <c r="B2069">
        <f>_xlfn.NUMBERVALUE("0.007886")</f>
        <v/>
      </c>
      <c r="C2069" s="2">
        <f>_xlfn.NUMBERVALUE("0.002415")</f>
        <v/>
      </c>
      <c r="D2069">
        <f>_xlfn.NUMBERVALUE("0.002747")</f>
        <v/>
      </c>
      <c r="E2069">
        <f>_xlfn.NUMBERVALUE("0.002019")</f>
        <v/>
      </c>
      <c r="F2069">
        <f>_xlfn.NUMBERVALUE("0.000842")</f>
        <v/>
      </c>
      <c r="G2069">
        <f>_xlfn.NUMBERVALUE("0.003545")</f>
        <v/>
      </c>
      <c r="H2069">
        <f>_xlfn.NUMBERVALUE("0.001767")</f>
        <v/>
      </c>
      <c r="I2069">
        <f>_xlfn.NUMBERVALUE("0.000455")</f>
        <v/>
      </c>
      <c r="J2069">
        <f>_xlfn.NUMBERVALUE("0.001257")</f>
        <v/>
      </c>
      <c r="K2069">
        <f>_xlfn.NUMBERVALUE("0.001638")</f>
        <v/>
      </c>
      <c r="L2069">
        <f>_xlfn.NUMBERVALUE("0.004056")</f>
        <v/>
      </c>
      <c r="M2069">
        <f>_xlfn.NUMBERVALUE("0.004768")</f>
        <v/>
      </c>
      <c r="N2069">
        <f>_xlfn.NUMBERVALUE("0.001943")</f>
        <v/>
      </c>
      <c r="O2069">
        <f>_xlfn.NUMBERVALUE("0.008359")</f>
        <v/>
      </c>
      <c r="P2069">
        <f>_xlfn.NUMBERVALUE("0.011121")</f>
        <v/>
      </c>
      <c r="Q2069">
        <f>_xlfn.NUMBERVALUE("0.004257")</f>
        <v/>
      </c>
      <c r="R2069">
        <f>_xlfn.NUMBERVALUE("0.003482")</f>
        <v/>
      </c>
      <c r="S2069">
        <f>_xlfn.NUMBERVALUE("-0.000128")</f>
        <v/>
      </c>
      <c r="T2069">
        <f>_xlfn.NUMBERVALUE("0.000963")</f>
        <v/>
      </c>
      <c r="U2069">
        <f>_xlfn.NUMBERVALUE("0.005676")</f>
        <v/>
      </c>
      <c r="V2069">
        <f>_xlfn.NUMBERVALUE("0.003313")</f>
        <v/>
      </c>
      <c r="W2069">
        <f>_xlfn.NUMBERVALUE("0.008255")</f>
        <v/>
      </c>
      <c r="X2069">
        <f>_xlfn.NUMBERVALUE("-1.360000")</f>
        <v/>
      </c>
      <c r="Y2069">
        <f>_xlfn.NUMBERVALUE("24.150000")</f>
        <v/>
      </c>
    </row>
    <row r="2070">
      <c r="A2070" s="1" t="n">
        <v>45006</v>
      </c>
      <c r="B2070">
        <f>_xlfn.NUMBERVALUE("-0.010221")</f>
        <v/>
      </c>
      <c r="C2070" s="2">
        <f>_xlfn.NUMBERVALUE("0.000641")</f>
        <v/>
      </c>
      <c r="D2070">
        <f>_xlfn.NUMBERVALUE("0.000118")</f>
        <v/>
      </c>
      <c r="E2070">
        <f>_xlfn.NUMBERVALUE("0.000269")</f>
        <v/>
      </c>
      <c r="F2070">
        <f>_xlfn.NUMBERVALUE("0.002036")</f>
        <v/>
      </c>
      <c r="G2070">
        <f>_xlfn.NUMBERVALUE("-0.001604")</f>
        <v/>
      </c>
      <c r="H2070">
        <f>_xlfn.NUMBERVALUE("0.001913")</f>
        <v/>
      </c>
      <c r="I2070">
        <f>_xlfn.NUMBERVALUE("-0.000088")</f>
        <v/>
      </c>
      <c r="J2070">
        <f>_xlfn.NUMBERVALUE("0.002235")</f>
        <v/>
      </c>
      <c r="K2070">
        <f>_xlfn.NUMBERVALUE("0.002698")</f>
        <v/>
      </c>
      <c r="L2070">
        <f>_xlfn.NUMBERVALUE("0.003655")</f>
        <v/>
      </c>
      <c r="M2070">
        <f>_xlfn.NUMBERVALUE("0.001821")</f>
        <v/>
      </c>
      <c r="N2070">
        <f>_xlfn.NUMBERVALUE("-0.000287")</f>
        <v/>
      </c>
      <c r="O2070">
        <f>_xlfn.NUMBERVALUE("-0.000979")</f>
        <v/>
      </c>
      <c r="P2070">
        <f>_xlfn.NUMBERVALUE("0.001524")</f>
        <v/>
      </c>
      <c r="Q2070">
        <f>_xlfn.NUMBERVALUE("0.002261")</f>
        <v/>
      </c>
      <c r="R2070">
        <f>_xlfn.NUMBERVALUE("0.001311")</f>
        <v/>
      </c>
      <c r="S2070">
        <f>_xlfn.NUMBERVALUE("0.003159")</f>
        <v/>
      </c>
      <c r="T2070">
        <f>_xlfn.NUMBERVALUE("0.002115")</f>
        <v/>
      </c>
      <c r="U2070">
        <f>_xlfn.NUMBERVALUE("-0.003002")</f>
        <v/>
      </c>
      <c r="V2070">
        <f>_xlfn.NUMBERVALUE("0.000694")</f>
        <v/>
      </c>
      <c r="W2070">
        <f>_xlfn.NUMBERVALUE("0.015052")</f>
        <v/>
      </c>
      <c r="X2070">
        <f>_xlfn.NUMBERVALUE("-2.770000")</f>
        <v/>
      </c>
      <c r="Y2070">
        <f>_xlfn.NUMBERVALUE("21.380000")</f>
        <v/>
      </c>
    </row>
    <row r="2071">
      <c r="A2071" s="1" t="n">
        <v>45007</v>
      </c>
      <c r="B2071">
        <f>_xlfn.NUMBERVALUE("-0.000659")</f>
        <v/>
      </c>
      <c r="C2071" s="2">
        <f>_xlfn.NUMBERVALUE("-0.000372")</f>
        <v/>
      </c>
      <c r="D2071">
        <f>_xlfn.NUMBERVALUE("0.000095")</f>
        <v/>
      </c>
      <c r="E2071">
        <f>_xlfn.NUMBERVALUE("-0.001024")</f>
        <v/>
      </c>
      <c r="F2071">
        <f>_xlfn.NUMBERVALUE("-0.000836")</f>
        <v/>
      </c>
      <c r="G2071">
        <f>_xlfn.NUMBERVALUE("0.000944")</f>
        <v/>
      </c>
      <c r="H2071">
        <f>_xlfn.NUMBERVALUE("-0.000217")</f>
        <v/>
      </c>
      <c r="I2071">
        <f>_xlfn.NUMBERVALUE("-0.001274")</f>
        <v/>
      </c>
      <c r="J2071">
        <f>_xlfn.NUMBERVALUE("0.000601")</f>
        <v/>
      </c>
      <c r="K2071">
        <f>_xlfn.NUMBERVALUE("-0.000955")</f>
        <v/>
      </c>
      <c r="L2071">
        <f>_xlfn.NUMBERVALUE("0.000146")</f>
        <v/>
      </c>
      <c r="M2071">
        <f>_xlfn.NUMBERVALUE("0.001260")</f>
        <v/>
      </c>
      <c r="N2071">
        <f>_xlfn.NUMBERVALUE("0.000765")</f>
        <v/>
      </c>
      <c r="O2071">
        <f>_xlfn.NUMBERVALUE("0.000195")</f>
        <v/>
      </c>
      <c r="P2071">
        <f>_xlfn.NUMBERVALUE("-0.000375")</f>
        <v/>
      </c>
      <c r="Q2071">
        <f>_xlfn.NUMBERVALUE("0.000935")</f>
        <v/>
      </c>
      <c r="R2071">
        <f>_xlfn.NUMBERVALUE("0.008333")</f>
        <v/>
      </c>
      <c r="S2071">
        <f>_xlfn.NUMBERVALUE("0.000721")</f>
        <v/>
      </c>
      <c r="T2071">
        <f>_xlfn.NUMBERVALUE("0.002106")</f>
        <v/>
      </c>
      <c r="U2071">
        <f>_xlfn.NUMBERVALUE("0.003592")</f>
        <v/>
      </c>
      <c r="V2071">
        <f>_xlfn.NUMBERVALUE("0.002004")</f>
        <v/>
      </c>
      <c r="W2071">
        <f>_xlfn.NUMBERVALUE("-0.008842")</f>
        <v/>
      </c>
      <c r="X2071">
        <f>_xlfn.NUMBERVALUE("0.880000")</f>
        <v/>
      </c>
      <c r="Y2071">
        <f>_xlfn.NUMBERVALUE("22.260000")</f>
        <v/>
      </c>
    </row>
    <row r="2072">
      <c r="A2072" s="1" t="n">
        <v>45008</v>
      </c>
      <c r="B2072">
        <f>_xlfn.NUMBERVALUE("-0.002714")</f>
        <v/>
      </c>
      <c r="C2072" s="2">
        <f>_xlfn.NUMBERVALUE("-0.000547")</f>
        <v/>
      </c>
      <c r="D2072">
        <f>_xlfn.NUMBERVALUE("-0.001697")</f>
        <v/>
      </c>
      <c r="E2072">
        <f>_xlfn.NUMBERVALUE("0.001890")</f>
        <v/>
      </c>
      <c r="F2072">
        <f>_xlfn.NUMBERVALUE("-0.000348")</f>
        <v/>
      </c>
      <c r="G2072">
        <f>_xlfn.NUMBERVALUE("-0.000852")</f>
        <v/>
      </c>
      <c r="H2072">
        <f>_xlfn.NUMBERVALUE("-0.000517")</f>
        <v/>
      </c>
      <c r="I2072">
        <f>_xlfn.NUMBERVALUE("0.001804")</f>
        <v/>
      </c>
      <c r="J2072">
        <f>_xlfn.NUMBERVALUE("0.000985")</f>
        <v/>
      </c>
      <c r="K2072">
        <f>_xlfn.NUMBERVALUE("0.000281")</f>
        <v/>
      </c>
      <c r="L2072">
        <f>_xlfn.NUMBERVALUE("0.000608")</f>
        <v/>
      </c>
      <c r="M2072">
        <f>_xlfn.NUMBERVALUE("-0.003141")</f>
        <v/>
      </c>
      <c r="N2072">
        <f>_xlfn.NUMBERVALUE("-0.003344")</f>
        <v/>
      </c>
      <c r="O2072">
        <f>_xlfn.NUMBERVALUE("-0.003081")</f>
        <v/>
      </c>
      <c r="P2072">
        <f>_xlfn.NUMBERVALUE("-0.004085")</f>
        <v/>
      </c>
      <c r="Q2072">
        <f>_xlfn.NUMBERVALUE("-0.002645")</f>
        <v/>
      </c>
      <c r="R2072">
        <f>_xlfn.NUMBERVALUE("-0.011057")</f>
        <v/>
      </c>
      <c r="S2072">
        <f>_xlfn.NUMBERVALUE("-0.000675")</f>
        <v/>
      </c>
      <c r="T2072">
        <f>_xlfn.NUMBERVALUE("-0.002343")</f>
        <v/>
      </c>
      <c r="U2072">
        <f>_xlfn.NUMBERVALUE("-0.004994")</f>
        <v/>
      </c>
      <c r="V2072">
        <f>_xlfn.NUMBERVALUE("0.000111")</f>
        <v/>
      </c>
      <c r="W2072">
        <f>_xlfn.NUMBERVALUE("-0.005257")</f>
        <v/>
      </c>
      <c r="X2072">
        <f>_xlfn.NUMBERVALUE("0.350000")</f>
        <v/>
      </c>
      <c r="Y2072">
        <f>_xlfn.NUMBERVALUE("22.610000")</f>
        <v/>
      </c>
    </row>
    <row r="2073">
      <c r="A2073" s="1" t="n">
        <v>45009</v>
      </c>
      <c r="B2073">
        <f>_xlfn.NUMBERVALUE("0.017774")</f>
        <v/>
      </c>
      <c r="C2073" s="2">
        <f>_xlfn.NUMBERVALUE("0.001371")</f>
        <v/>
      </c>
      <c r="D2073">
        <f>_xlfn.NUMBERVALUE("0.002499")</f>
        <v/>
      </c>
      <c r="E2073">
        <f>_xlfn.NUMBERVALUE("0.001728")</f>
        <v/>
      </c>
      <c r="F2073">
        <f>_xlfn.NUMBERVALUE("0.000231")</f>
        <v/>
      </c>
      <c r="G2073">
        <f>_xlfn.NUMBERVALUE("0.001387")</f>
        <v/>
      </c>
      <c r="H2073">
        <f>_xlfn.NUMBERVALUE("-0.000166")</f>
        <v/>
      </c>
      <c r="I2073">
        <f>_xlfn.NUMBERVALUE("0.000266")</f>
        <v/>
      </c>
      <c r="J2073">
        <f>_xlfn.NUMBERVALUE("-0.000275")</f>
        <v/>
      </c>
      <c r="K2073">
        <f>_xlfn.NUMBERVALUE("0.000991")</f>
        <v/>
      </c>
      <c r="L2073">
        <f>_xlfn.NUMBERVALUE("0.000009")</f>
        <v/>
      </c>
      <c r="M2073">
        <f>_xlfn.NUMBERVALUE("0.001881")</f>
        <v/>
      </c>
      <c r="N2073">
        <f>_xlfn.NUMBERVALUE("0.000891")</f>
        <v/>
      </c>
      <c r="O2073">
        <f>_xlfn.NUMBERVALUE("0.001840")</f>
        <v/>
      </c>
      <c r="P2073">
        <f>_xlfn.NUMBERVALUE("0.002357")</f>
        <v/>
      </c>
      <c r="Q2073">
        <f>_xlfn.NUMBERVALUE("0.002017")</f>
        <v/>
      </c>
      <c r="R2073">
        <f>_xlfn.NUMBERVALUE("0.002922")</f>
        <v/>
      </c>
      <c r="S2073">
        <f>_xlfn.NUMBERVALUE("-0.002689")</f>
        <v/>
      </c>
      <c r="T2073">
        <f>_xlfn.NUMBERVALUE("-0.007166")</f>
        <v/>
      </c>
      <c r="U2073">
        <f>_xlfn.NUMBERVALUE("0.003350")</f>
        <v/>
      </c>
      <c r="V2073">
        <f>_xlfn.NUMBERVALUE("0.001906")</f>
        <v/>
      </c>
      <c r="W2073">
        <f>_xlfn.NUMBERVALUE("0.004319")</f>
        <v/>
      </c>
      <c r="X2073">
        <f>_xlfn.NUMBERVALUE("-0.870000")</f>
        <v/>
      </c>
      <c r="Y2073">
        <f>_xlfn.NUMBERVALUE("21.740000")</f>
        <v/>
      </c>
    </row>
    <row r="2074">
      <c r="A2074" s="1" t="n">
        <v>45012</v>
      </c>
      <c r="B2074">
        <f>_xlfn.NUMBERVALUE("0.015230")</f>
        <v/>
      </c>
      <c r="C2074" s="2">
        <f>_xlfn.NUMBERVALUE("0.002276")</f>
        <v/>
      </c>
      <c r="D2074">
        <f>_xlfn.NUMBERVALUE("0.003579")</f>
        <v/>
      </c>
      <c r="E2074">
        <f>_xlfn.NUMBERVALUE("0.003215")</f>
        <v/>
      </c>
      <c r="F2074">
        <f>_xlfn.NUMBERVALUE("0.003988")</f>
        <v/>
      </c>
      <c r="G2074">
        <f>_xlfn.NUMBERVALUE("0.002937")</f>
        <v/>
      </c>
      <c r="H2074">
        <f>_xlfn.NUMBERVALUE("0.001441")</f>
        <v/>
      </c>
      <c r="I2074">
        <f>_xlfn.NUMBERVALUE("0.000131")</f>
        <v/>
      </c>
      <c r="J2074">
        <f>_xlfn.NUMBERVALUE("0.000033")</f>
        <v/>
      </c>
      <c r="K2074">
        <f>_xlfn.NUMBERVALUE("0.000545")</f>
        <v/>
      </c>
      <c r="L2074">
        <f>_xlfn.NUMBERVALUE("0.003632")</f>
        <v/>
      </c>
      <c r="M2074">
        <f>_xlfn.NUMBERVALUE("0.005197")</f>
        <v/>
      </c>
      <c r="N2074">
        <f>_xlfn.NUMBERVALUE("0.006818")</f>
        <v/>
      </c>
      <c r="O2074">
        <f>_xlfn.NUMBERVALUE("0.003831")</f>
        <v/>
      </c>
      <c r="P2074">
        <f>_xlfn.NUMBERVALUE("0.004533")</f>
        <v/>
      </c>
      <c r="Q2074">
        <f>_xlfn.NUMBERVALUE("0.004644")</f>
        <v/>
      </c>
      <c r="R2074">
        <f>_xlfn.NUMBERVALUE("0.005830")</f>
        <v/>
      </c>
      <c r="S2074">
        <f>_xlfn.NUMBERVALUE("0.002116")</f>
        <v/>
      </c>
      <c r="T2074">
        <f>_xlfn.NUMBERVALUE("0.005037")</f>
        <v/>
      </c>
      <c r="U2074">
        <f>_xlfn.NUMBERVALUE("0.006610")</f>
        <v/>
      </c>
      <c r="V2074">
        <f>_xlfn.NUMBERVALUE("0.004056")</f>
        <v/>
      </c>
      <c r="W2074">
        <f>_xlfn.NUMBERVALUE("0.004376")</f>
        <v/>
      </c>
      <c r="X2074">
        <f>_xlfn.NUMBERVALUE("-1.140000")</f>
        <v/>
      </c>
      <c r="Y2074">
        <f>_xlfn.NUMBERVALUE("20.600000")</f>
        <v/>
      </c>
    </row>
    <row r="2075">
      <c r="A2075" s="1" t="n">
        <v>45013</v>
      </c>
      <c r="B2075">
        <f>_xlfn.NUMBERVALUE("0.002125")</f>
        <v/>
      </c>
      <c r="C2075" s="2">
        <f>_xlfn.NUMBERVALUE("0.000751")</f>
        <v/>
      </c>
      <c r="D2075">
        <f>_xlfn.NUMBERVALUE("-0.001851")</f>
        <v/>
      </c>
      <c r="E2075">
        <f>_xlfn.NUMBERVALUE("0.001755")</f>
        <v/>
      </c>
      <c r="F2075">
        <f>_xlfn.NUMBERVALUE("-0.001422")</f>
        <v/>
      </c>
      <c r="G2075">
        <f>_xlfn.NUMBERVALUE("0.001818")</f>
        <v/>
      </c>
      <c r="H2075">
        <f>_xlfn.NUMBERVALUE("0.000309")</f>
        <v/>
      </c>
      <c r="I2075">
        <f>_xlfn.NUMBERVALUE("-0.000415")</f>
        <v/>
      </c>
      <c r="J2075">
        <f>_xlfn.NUMBERVALUE("0.003124")</f>
        <v/>
      </c>
      <c r="K2075">
        <f>_xlfn.NUMBERVALUE("-0.000313")</f>
        <v/>
      </c>
      <c r="L2075">
        <f>_xlfn.NUMBERVALUE("0.001901")</f>
        <v/>
      </c>
      <c r="M2075">
        <f>_xlfn.NUMBERVALUE("0.001747")</f>
        <v/>
      </c>
      <c r="N2075">
        <f>_xlfn.NUMBERVALUE("0.001804")</f>
        <v/>
      </c>
      <c r="O2075">
        <f>_xlfn.NUMBERVALUE("0.001030")</f>
        <v/>
      </c>
      <c r="P2075">
        <f>_xlfn.NUMBERVALUE("0.001220")</f>
        <v/>
      </c>
      <c r="Q2075">
        <f>_xlfn.NUMBERVALUE("0.001256")</f>
        <v/>
      </c>
      <c r="R2075">
        <f>_xlfn.NUMBERVALUE("0.001535")</f>
        <v/>
      </c>
      <c r="S2075">
        <f>_xlfn.NUMBERVALUE("0.001251")</f>
        <v/>
      </c>
      <c r="T2075">
        <f>_xlfn.NUMBERVALUE("0.001712")</f>
        <v/>
      </c>
      <c r="U2075">
        <f>_xlfn.NUMBERVALUE("0.002202")</f>
        <v/>
      </c>
      <c r="V2075">
        <f>_xlfn.NUMBERVALUE("0.001564")</f>
        <v/>
      </c>
      <c r="W2075">
        <f>_xlfn.NUMBERVALUE("-0.005768")</f>
        <v/>
      </c>
      <c r="X2075">
        <f>_xlfn.NUMBERVALUE("-0.630000")</f>
        <v/>
      </c>
      <c r="Y2075">
        <f>_xlfn.NUMBERVALUE("19.970000")</f>
        <v/>
      </c>
    </row>
    <row r="2076">
      <c r="A2076" s="1" t="n">
        <v>45014</v>
      </c>
      <c r="B2076">
        <f>_xlfn.NUMBERVALUE("0.002638")</f>
        <v/>
      </c>
      <c r="C2076" s="2">
        <f>_xlfn.NUMBERVALUE("-0.000778")</f>
        <v/>
      </c>
      <c r="D2076">
        <f>_xlfn.NUMBERVALUE("0.002889")</f>
        <v/>
      </c>
      <c r="E2076">
        <f>_xlfn.NUMBERVALUE("-0.000730")</f>
        <v/>
      </c>
      <c r="F2076">
        <f>_xlfn.NUMBERVALUE("0.000252")</f>
        <v/>
      </c>
      <c r="G2076">
        <f>_xlfn.NUMBERVALUE("-0.003021")</f>
        <v/>
      </c>
      <c r="H2076">
        <f>_xlfn.NUMBERVALUE("0.000906")</f>
        <v/>
      </c>
      <c r="I2076">
        <f>_xlfn.NUMBERVALUE("0.000564")</f>
        <v/>
      </c>
      <c r="J2076">
        <f>_xlfn.NUMBERVALUE("0.000718")</f>
        <v/>
      </c>
      <c r="K2076">
        <f>_xlfn.NUMBERVALUE("0.000263")</f>
        <v/>
      </c>
      <c r="L2076">
        <f>_xlfn.NUMBERVALUE("0.001249")</f>
        <v/>
      </c>
      <c r="M2076">
        <f>_xlfn.NUMBERVALUE("0.000961")</f>
        <v/>
      </c>
      <c r="N2076">
        <f>_xlfn.NUMBERVALUE("0.001333")</f>
        <v/>
      </c>
      <c r="O2076">
        <f>_xlfn.NUMBERVALUE("0.001620")</f>
        <v/>
      </c>
      <c r="P2076">
        <f>_xlfn.NUMBERVALUE("0.003029")</f>
        <v/>
      </c>
      <c r="Q2076">
        <f>_xlfn.NUMBERVALUE("-0.001496")</f>
        <v/>
      </c>
      <c r="R2076">
        <f>_xlfn.NUMBERVALUE("-0.000908")</f>
        <v/>
      </c>
      <c r="S2076">
        <f>_xlfn.NUMBERVALUE("0.000785")</f>
        <v/>
      </c>
      <c r="T2076">
        <f>_xlfn.NUMBERVALUE("-0.000171")</f>
        <v/>
      </c>
      <c r="U2076">
        <f>_xlfn.NUMBERVALUE("-0.000028")</f>
        <v/>
      </c>
      <c r="V2076">
        <f>_xlfn.NUMBERVALUE("-0.002936")</f>
        <v/>
      </c>
      <c r="W2076">
        <f>_xlfn.NUMBERVALUE("0.016466")</f>
        <v/>
      </c>
      <c r="X2076">
        <f>_xlfn.NUMBERVALUE("-0.850000")</f>
        <v/>
      </c>
      <c r="Y2076">
        <f>_xlfn.NUMBERVALUE("19.120000")</f>
        <v/>
      </c>
    </row>
    <row r="2077">
      <c r="A2077" s="1" t="n">
        <v>45015</v>
      </c>
      <c r="B2077">
        <f>_xlfn.NUMBERVALUE("0.000741")</f>
        <v/>
      </c>
      <c r="C2077" s="2">
        <f>_xlfn.NUMBERVALUE("0.001332")</f>
        <v/>
      </c>
      <c r="D2077">
        <f>_xlfn.NUMBERVALUE("-0.000877")</f>
        <v/>
      </c>
      <c r="E2077">
        <f>_xlfn.NUMBERVALUE("-0.001750")</f>
        <v/>
      </c>
      <c r="F2077">
        <f>_xlfn.NUMBERVALUE("-0.000269")</f>
        <v/>
      </c>
      <c r="G2077">
        <f>_xlfn.NUMBERVALUE("-0.000983")</f>
        <v/>
      </c>
      <c r="H2077">
        <f>_xlfn.NUMBERVALUE("-0.000290")</f>
        <v/>
      </c>
      <c r="I2077">
        <f>_xlfn.NUMBERVALUE("0.000080")</f>
        <v/>
      </c>
      <c r="J2077">
        <f>_xlfn.NUMBERVALUE("0.000836")</f>
        <v/>
      </c>
      <c r="K2077">
        <f>_xlfn.NUMBERVALUE("0.000459")</f>
        <v/>
      </c>
      <c r="L2077">
        <f>_xlfn.NUMBERVALUE("0.000143")</f>
        <v/>
      </c>
      <c r="M2077">
        <f>_xlfn.NUMBERVALUE("0.001099")</f>
        <v/>
      </c>
      <c r="N2077">
        <f>_xlfn.NUMBERVALUE("0.000402")</f>
        <v/>
      </c>
      <c r="O2077">
        <f>_xlfn.NUMBERVALUE("0.003294")</f>
        <v/>
      </c>
      <c r="P2077">
        <f>_xlfn.NUMBERVALUE("0.000559")</f>
        <v/>
      </c>
      <c r="Q2077">
        <f>_xlfn.NUMBERVALUE("0.001645")</f>
        <v/>
      </c>
      <c r="R2077">
        <f>_xlfn.NUMBERVALUE("0.000245")</f>
        <v/>
      </c>
      <c r="S2077">
        <f>_xlfn.NUMBERVALUE("0.000108")</f>
        <v/>
      </c>
      <c r="T2077">
        <f>_xlfn.NUMBERVALUE("0.000494")</f>
        <v/>
      </c>
      <c r="U2077">
        <f>_xlfn.NUMBERVALUE("0.000018")</f>
        <v/>
      </c>
      <c r="V2077">
        <f>_xlfn.NUMBERVALUE("0.001370")</f>
        <v/>
      </c>
      <c r="W2077">
        <f>_xlfn.NUMBERVALUE("0.005358")</f>
        <v/>
      </c>
      <c r="X2077">
        <f>_xlfn.NUMBERVALUE("-0.100000")</f>
        <v/>
      </c>
      <c r="Y2077">
        <f>_xlfn.NUMBERVALUE("19.020000")</f>
        <v/>
      </c>
    </row>
    <row r="2078">
      <c r="A2078" s="1" t="n">
        <v>45016</v>
      </c>
      <c r="B2078">
        <f>_xlfn.NUMBERVALUE("-0.002817")</f>
        <v/>
      </c>
      <c r="C2078" s="2">
        <f>_xlfn.NUMBERVALUE("-0.001338")</f>
        <v/>
      </c>
      <c r="D2078">
        <f>_xlfn.NUMBERVALUE("0.002149")</f>
        <v/>
      </c>
      <c r="E2078">
        <f>_xlfn.NUMBERVALUE("0.000926")</f>
        <v/>
      </c>
      <c r="F2078">
        <f>_xlfn.NUMBERVALUE("-0.001505")</f>
        <v/>
      </c>
      <c r="G2078">
        <f>_xlfn.NUMBERVALUE("-0.001406")</f>
        <v/>
      </c>
      <c r="H2078">
        <f>_xlfn.NUMBERVALUE("0.000524")</f>
        <v/>
      </c>
      <c r="I2078">
        <f>_xlfn.NUMBERVALUE("-0.000237")</f>
        <v/>
      </c>
      <c r="J2078">
        <f>_xlfn.NUMBERVALUE("-0.000079")</f>
        <v/>
      </c>
      <c r="K2078">
        <f>_xlfn.NUMBERVALUE("-0.000495")</f>
        <v/>
      </c>
      <c r="L2078">
        <f>_xlfn.NUMBERVALUE("-0.000921")</f>
        <v/>
      </c>
      <c r="M2078">
        <f>_xlfn.NUMBERVALUE("-0.000373")</f>
        <v/>
      </c>
      <c r="N2078">
        <f>_xlfn.NUMBERVALUE("-0.000586")</f>
        <v/>
      </c>
      <c r="O2078">
        <f>_xlfn.NUMBERVALUE("0.002967")</f>
        <v/>
      </c>
      <c r="P2078">
        <f>_xlfn.NUMBERVALUE("0.002307")</f>
        <v/>
      </c>
      <c r="Q2078">
        <f>_xlfn.NUMBERVALUE("0.001021")</f>
        <v/>
      </c>
      <c r="R2078">
        <f>_xlfn.NUMBERVALUE("0.000360")</f>
        <v/>
      </c>
      <c r="S2078">
        <f>_xlfn.NUMBERVALUE("0.000857")</f>
        <v/>
      </c>
      <c r="T2078">
        <f>_xlfn.NUMBERVALUE("0.001230")</f>
        <v/>
      </c>
      <c r="U2078">
        <f>_xlfn.NUMBERVALUE("-0.001542")</f>
        <v/>
      </c>
      <c r="V2078">
        <f>_xlfn.NUMBERVALUE("-0.001211")</f>
        <v/>
      </c>
      <c r="W2078">
        <f>_xlfn.NUMBERVALUE("0.011725")</f>
        <v/>
      </c>
      <c r="X2078">
        <f>_xlfn.NUMBERVALUE("-0.320000")</f>
        <v/>
      </c>
      <c r="Y2078">
        <f>_xlfn.NUMBERVALUE("18.700000")</f>
        <v/>
      </c>
    </row>
    <row r="2079">
      <c r="A2079" s="1" t="n">
        <v>45019</v>
      </c>
      <c r="B2079">
        <f>_xlfn.NUMBERVALUE("0.006997")</f>
        <v/>
      </c>
      <c r="C2079" s="2">
        <f>_xlfn.NUMBERVALUE("-0.001660")</f>
        <v/>
      </c>
      <c r="D2079">
        <f>_xlfn.NUMBERVALUE("0.002496")</f>
        <v/>
      </c>
      <c r="E2079">
        <f>_xlfn.NUMBERVALUE("0.000591")</f>
        <v/>
      </c>
      <c r="F2079">
        <f>_xlfn.NUMBERVALUE("0.000434")</f>
        <v/>
      </c>
      <c r="G2079">
        <f>_xlfn.NUMBERVALUE("-0.001451")</f>
        <v/>
      </c>
      <c r="H2079">
        <f>_xlfn.NUMBERVALUE("-0.000234")</f>
        <v/>
      </c>
      <c r="I2079">
        <f>_xlfn.NUMBERVALUE("-0.000221")</f>
        <v/>
      </c>
      <c r="J2079">
        <f>_xlfn.NUMBERVALUE("-0.001481")</f>
        <v/>
      </c>
      <c r="K2079">
        <f>_xlfn.NUMBERVALUE("0.000376")</f>
        <v/>
      </c>
      <c r="L2079">
        <f>_xlfn.NUMBERVALUE("-0.001027")</f>
        <v/>
      </c>
      <c r="M2079">
        <f>_xlfn.NUMBERVALUE("0.000785")</f>
        <v/>
      </c>
      <c r="N2079">
        <f>_xlfn.NUMBERVALUE("0.001382")</f>
        <v/>
      </c>
      <c r="O2079">
        <f>_xlfn.NUMBERVALUE("-0.017361")</f>
        <v/>
      </c>
      <c r="P2079">
        <f>_xlfn.NUMBERVALUE("0.002773")</f>
        <v/>
      </c>
      <c r="Q2079">
        <f>_xlfn.NUMBERVALUE("0.001542")</f>
        <v/>
      </c>
      <c r="R2079">
        <f>_xlfn.NUMBERVALUE("0.000452")</f>
        <v/>
      </c>
      <c r="S2079">
        <f>_xlfn.NUMBERVALUE("0.000230")</f>
        <v/>
      </c>
      <c r="T2079">
        <f>_xlfn.NUMBERVALUE("0.002218")</f>
        <v/>
      </c>
      <c r="U2079">
        <f>_xlfn.NUMBERVALUE("0.000858")</f>
        <v/>
      </c>
      <c r="V2079">
        <f>_xlfn.NUMBERVALUE("0.000872")</f>
        <v/>
      </c>
      <c r="W2079">
        <f>_xlfn.NUMBERVALUE("0.006983")</f>
        <v/>
      </c>
      <c r="X2079">
        <f>_xlfn.NUMBERVALUE("-0.150000")</f>
        <v/>
      </c>
      <c r="Y2079">
        <f>_xlfn.NUMBERVALUE("18.550000")</f>
        <v/>
      </c>
    </row>
    <row r="2080">
      <c r="A2080" s="1" t="n">
        <v>45020</v>
      </c>
      <c r="B2080">
        <f>_xlfn.NUMBERVALUE("0.002218")</f>
        <v/>
      </c>
      <c r="C2080" s="2">
        <f>_xlfn.NUMBERVALUE("0.001585")</f>
        <v/>
      </c>
      <c r="D2080">
        <f>_xlfn.NUMBERVALUE("0.002760")</f>
        <v/>
      </c>
      <c r="E2080">
        <f>_xlfn.NUMBERVALUE("0.000414")</f>
        <v/>
      </c>
      <c r="F2080">
        <f>_xlfn.NUMBERVALUE("0.000062")</f>
        <v/>
      </c>
      <c r="G2080">
        <f>_xlfn.NUMBERVALUE("0.000570")</f>
        <v/>
      </c>
      <c r="H2080">
        <f>_xlfn.NUMBERVALUE("0.000132")</f>
        <v/>
      </c>
      <c r="I2080">
        <f>_xlfn.NUMBERVALUE("-0.000333")</f>
        <v/>
      </c>
      <c r="J2080">
        <f>_xlfn.NUMBERVALUE("0.000061")</f>
        <v/>
      </c>
      <c r="K2080">
        <f>_xlfn.NUMBERVALUE("-0.000055")</f>
        <v/>
      </c>
      <c r="L2080">
        <f>_xlfn.NUMBERVALUE("0.001043")</f>
        <v/>
      </c>
      <c r="M2080">
        <f>_xlfn.NUMBERVALUE("0.000779")</f>
        <v/>
      </c>
      <c r="N2080">
        <f>_xlfn.NUMBERVALUE("0.001456")</f>
        <v/>
      </c>
      <c r="O2080">
        <f>_xlfn.NUMBERVALUE("-0.000674")</f>
        <v/>
      </c>
      <c r="P2080">
        <f>_xlfn.NUMBERVALUE("-0.001468")</f>
        <v/>
      </c>
      <c r="Q2080">
        <f>_xlfn.NUMBERVALUE("-0.005762")</f>
        <v/>
      </c>
      <c r="R2080">
        <f>_xlfn.NUMBERVALUE("0.000752")</f>
        <v/>
      </c>
      <c r="S2080">
        <f>_xlfn.NUMBERVALUE("0.000261")</f>
        <v/>
      </c>
      <c r="T2080">
        <f>_xlfn.NUMBERVALUE("0.000973")</f>
        <v/>
      </c>
      <c r="U2080">
        <f>_xlfn.NUMBERVALUE("0.001235")</f>
        <v/>
      </c>
      <c r="V2080">
        <f>_xlfn.NUMBERVALUE("0.001328")</f>
        <v/>
      </c>
      <c r="W2080">
        <f>_xlfn.NUMBERVALUE("-0.008322")</f>
        <v/>
      </c>
      <c r="X2080">
        <f>_xlfn.NUMBERVALUE("0.450000")</f>
        <v/>
      </c>
      <c r="Y2080">
        <f>_xlfn.NUMBERVALUE("19.000000")</f>
        <v/>
      </c>
    </row>
    <row r="2081">
      <c r="A2081" s="1" t="n">
        <v>45021</v>
      </c>
      <c r="B2081">
        <f>_xlfn.NUMBERVALUE("-0.000483")</f>
        <v/>
      </c>
      <c r="C2081" s="2">
        <f>_xlfn.NUMBERVALUE("-0.000019")</f>
        <v/>
      </c>
      <c r="D2081">
        <f>_xlfn.NUMBERVALUE("0.001364")</f>
        <v/>
      </c>
      <c r="E2081">
        <f>_xlfn.NUMBERVALUE("0.000035")</f>
        <v/>
      </c>
      <c r="F2081">
        <f>_xlfn.NUMBERVALUE("0.000139")</f>
        <v/>
      </c>
      <c r="G2081">
        <f>_xlfn.NUMBERVALUE("0.000646")</f>
        <v/>
      </c>
      <c r="H2081">
        <f>_xlfn.NUMBERVALUE("0.000112")</f>
        <v/>
      </c>
      <c r="I2081">
        <f>_xlfn.NUMBERVALUE("0.000439")</f>
        <v/>
      </c>
      <c r="J2081">
        <f>_xlfn.NUMBERVALUE("0.000025")</f>
        <v/>
      </c>
      <c r="K2081">
        <f>_xlfn.NUMBERVALUE("-0.000055")</f>
        <v/>
      </c>
      <c r="L2081">
        <f>_xlfn.NUMBERVALUE("-0.000635")</f>
        <v/>
      </c>
      <c r="M2081">
        <f>_xlfn.NUMBERVALUE("0.003829")</f>
        <v/>
      </c>
      <c r="N2081">
        <f>_xlfn.NUMBERVALUE("0.000663")</f>
        <v/>
      </c>
      <c r="O2081">
        <f>_xlfn.NUMBERVALUE("-0.001049")</f>
        <v/>
      </c>
      <c r="P2081">
        <f>_xlfn.NUMBERVALUE("0.000453")</f>
        <v/>
      </c>
      <c r="Q2081">
        <f>_xlfn.NUMBERVALUE("0.000530")</f>
        <v/>
      </c>
      <c r="R2081">
        <f>_xlfn.NUMBERVALUE("0.000913")</f>
        <v/>
      </c>
      <c r="S2081">
        <f>_xlfn.NUMBERVALUE("0.000197")</f>
        <v/>
      </c>
      <c r="T2081">
        <f>_xlfn.NUMBERVALUE("-0.001137")</f>
        <v/>
      </c>
      <c r="U2081">
        <f>_xlfn.NUMBERVALUE("0.000711")</f>
        <v/>
      </c>
      <c r="V2081">
        <f>_xlfn.NUMBERVALUE("-0.000783")</f>
        <v/>
      </c>
      <c r="W2081">
        <f>_xlfn.NUMBERVALUE("0.000025")</f>
        <v/>
      </c>
      <c r="X2081">
        <f>_xlfn.NUMBERVALUE("0.080000")</f>
        <v/>
      </c>
      <c r="Y2081">
        <f>_xlfn.NUMBERVALUE("19.080000")</f>
        <v/>
      </c>
    </row>
    <row r="2082">
      <c r="A2082" s="1" t="n">
        <v>45022</v>
      </c>
      <c r="B2082">
        <f>_xlfn.NUMBERVALUE("0.006993")</f>
        <v/>
      </c>
      <c r="C2082" s="2">
        <f>_xlfn.NUMBERVALUE("0.000676")</f>
        <v/>
      </c>
      <c r="D2082">
        <f>_xlfn.NUMBERVALUE("0.003279")</f>
        <v/>
      </c>
      <c r="E2082">
        <f>_xlfn.NUMBERVALUE("0.000875")</f>
        <v/>
      </c>
      <c r="F2082">
        <f>_xlfn.NUMBERVALUE("0.000672")</f>
        <v/>
      </c>
      <c r="G2082">
        <f>_xlfn.NUMBERVALUE("0.000418")</f>
        <v/>
      </c>
      <c r="H2082">
        <f>_xlfn.NUMBERVALUE("0.000227")</f>
        <v/>
      </c>
      <c r="I2082">
        <f>_xlfn.NUMBERVALUE("0.002354")</f>
        <v/>
      </c>
      <c r="J2082">
        <f>_xlfn.NUMBERVALUE("0.000723")</f>
        <v/>
      </c>
      <c r="K2082">
        <f>_xlfn.NUMBERVALUE("0.005969")</f>
        <v/>
      </c>
      <c r="L2082">
        <f>_xlfn.NUMBERVALUE("-0.000099")</f>
        <v/>
      </c>
      <c r="M2082">
        <f>_xlfn.NUMBERVALUE("-0.000454")</f>
        <v/>
      </c>
      <c r="N2082">
        <f>_xlfn.NUMBERVALUE("0.000788")</f>
        <v/>
      </c>
      <c r="O2082">
        <f>_xlfn.NUMBERVALUE("0.001838")</f>
        <v/>
      </c>
      <c r="P2082">
        <f>_xlfn.NUMBERVALUE("0.000887")</f>
        <v/>
      </c>
      <c r="Q2082">
        <f>_xlfn.NUMBERVALUE("0.002700")</f>
        <v/>
      </c>
      <c r="R2082">
        <f>_xlfn.NUMBERVALUE("-0.001244")</f>
        <v/>
      </c>
      <c r="S2082">
        <f>_xlfn.NUMBERVALUE("-0.000078")</f>
        <v/>
      </c>
      <c r="T2082">
        <f>_xlfn.NUMBERVALUE("0.000156")</f>
        <v/>
      </c>
      <c r="U2082">
        <f>_xlfn.NUMBERVALUE("0.001309")</f>
        <v/>
      </c>
      <c r="V2082">
        <f>_xlfn.NUMBERVALUE("0.001323")</f>
        <v/>
      </c>
      <c r="W2082">
        <f>_xlfn.NUMBERVALUE("0.003288")</f>
        <v/>
      </c>
      <c r="X2082">
        <f>_xlfn.NUMBERVALUE("-0.680000")</f>
        <v/>
      </c>
      <c r="Y2082">
        <f>_xlfn.NUMBERVALUE("18.400000")</f>
        <v/>
      </c>
    </row>
    <row r="2083">
      <c r="A2083" s="1" t="n">
        <v>45026</v>
      </c>
      <c r="B2083">
        <f>_xlfn.NUMBERVALUE("0.007138")</f>
        <v/>
      </c>
      <c r="C2083" s="2">
        <f>_xlfn.NUMBERVALUE("0.002073")</f>
        <v/>
      </c>
      <c r="D2083">
        <f>_xlfn.NUMBERVALUE("0.000844")</f>
        <v/>
      </c>
      <c r="E2083">
        <f>_xlfn.NUMBERVALUE("0.002468")</f>
        <v/>
      </c>
      <c r="F2083">
        <f>_xlfn.NUMBERVALUE("0.001421")</f>
        <v/>
      </c>
      <c r="G2083">
        <f>_xlfn.NUMBERVALUE("0.002434")</f>
        <v/>
      </c>
      <c r="H2083">
        <f>_xlfn.NUMBERVALUE("0.000853")</f>
        <v/>
      </c>
      <c r="I2083">
        <f>_xlfn.NUMBERVALUE("0.000214")</f>
        <v/>
      </c>
      <c r="J2083">
        <f>_xlfn.NUMBERVALUE("0.002958")</f>
        <v/>
      </c>
      <c r="K2083">
        <f>_xlfn.NUMBERVALUE("0.004186")</f>
        <v/>
      </c>
      <c r="L2083">
        <f>_xlfn.NUMBERVALUE("0.002611")</f>
        <v/>
      </c>
      <c r="M2083">
        <f>_xlfn.NUMBERVALUE("0.004946")</f>
        <v/>
      </c>
      <c r="N2083">
        <f>_xlfn.NUMBERVALUE("0.001604")</f>
        <v/>
      </c>
      <c r="O2083">
        <f>_xlfn.NUMBERVALUE("0.003110")</f>
        <v/>
      </c>
      <c r="P2083">
        <f>_xlfn.NUMBERVALUE("0.002323")</f>
        <v/>
      </c>
      <c r="Q2083">
        <f>_xlfn.NUMBERVALUE("0.005903")</f>
        <v/>
      </c>
      <c r="R2083">
        <f>_xlfn.NUMBERVALUE("0.000521")</f>
        <v/>
      </c>
      <c r="S2083">
        <f>_xlfn.NUMBERVALUE("0.000252")</f>
        <v/>
      </c>
      <c r="T2083">
        <f>_xlfn.NUMBERVALUE("0.000052")</f>
        <v/>
      </c>
      <c r="U2083">
        <f>_xlfn.NUMBERVALUE("0.002047")</f>
        <v/>
      </c>
      <c r="V2083">
        <f>_xlfn.NUMBERVALUE("0.001862")</f>
        <v/>
      </c>
      <c r="W2083">
        <f>_xlfn.NUMBERVALUE("0.000024")</f>
        <v/>
      </c>
      <c r="X2083">
        <f>_xlfn.NUMBERVALUE("0.570000")</f>
        <v/>
      </c>
      <c r="Y2083">
        <f>_xlfn.NUMBERVALUE("18.970000")</f>
        <v/>
      </c>
    </row>
    <row r="2084">
      <c r="A2084" s="1" t="n">
        <v>45027</v>
      </c>
      <c r="B2084">
        <f>_xlfn.NUMBERVALUE("0.002320")</f>
        <v/>
      </c>
      <c r="C2084" s="2">
        <f>_xlfn.NUMBERVALUE("-0.000043")</f>
        <v/>
      </c>
      <c r="D2084">
        <f>_xlfn.NUMBERVALUE("0.000790")</f>
        <v/>
      </c>
      <c r="E2084">
        <f>_xlfn.NUMBERVALUE("0.001381")</f>
        <v/>
      </c>
      <c r="F2084">
        <f>_xlfn.NUMBERVALUE("0.001166")</f>
        <v/>
      </c>
      <c r="G2084">
        <f>_xlfn.NUMBERVALUE("0.000446")</f>
        <v/>
      </c>
      <c r="H2084">
        <f>_xlfn.NUMBERVALUE("0.001003")</f>
        <v/>
      </c>
      <c r="I2084">
        <f>_xlfn.NUMBERVALUE("0.000983")</f>
        <v/>
      </c>
      <c r="J2084">
        <f>_xlfn.NUMBERVALUE("0.000620")</f>
        <v/>
      </c>
      <c r="K2084">
        <f>_xlfn.NUMBERVALUE("0.002307")</f>
        <v/>
      </c>
      <c r="L2084">
        <f>_xlfn.NUMBERVALUE("0.001250")</f>
        <v/>
      </c>
      <c r="M2084">
        <f>_xlfn.NUMBERVALUE("-0.000485")</f>
        <v/>
      </c>
      <c r="N2084">
        <f>_xlfn.NUMBERVALUE("0.000950")</f>
        <v/>
      </c>
      <c r="O2084">
        <f>_xlfn.NUMBERVALUE("0.000001")</f>
        <v/>
      </c>
      <c r="P2084">
        <f>_xlfn.NUMBERVALUE("0.000273")</f>
        <v/>
      </c>
      <c r="Q2084">
        <f>_xlfn.NUMBERVALUE("0.003166")</f>
        <v/>
      </c>
      <c r="R2084">
        <f>_xlfn.NUMBERVALUE("0.000114")</f>
        <v/>
      </c>
      <c r="S2084">
        <f>_xlfn.NUMBERVALUE("0.000096")</f>
        <v/>
      </c>
      <c r="T2084">
        <f>_xlfn.NUMBERVALUE("0.000092")</f>
        <v/>
      </c>
      <c r="U2084">
        <f>_xlfn.NUMBERVALUE("0.000111")</f>
        <v/>
      </c>
      <c r="V2084">
        <f>_xlfn.NUMBERVALUE("0.001111")</f>
        <v/>
      </c>
      <c r="W2084">
        <f>_xlfn.NUMBERVALUE("0.002665")</f>
        <v/>
      </c>
      <c r="X2084">
        <f>_xlfn.NUMBERVALUE("0.130000")</f>
        <v/>
      </c>
      <c r="Y2084">
        <f>_xlfn.NUMBERVALUE("19.100000")</f>
        <v/>
      </c>
    </row>
    <row r="2085">
      <c r="A2085" s="1" t="n">
        <v>45028</v>
      </c>
      <c r="B2085">
        <f>_xlfn.NUMBERVALUE("0.000654")</f>
        <v/>
      </c>
      <c r="C2085" s="2">
        <f>_xlfn.NUMBERVALUE("0.000942")</f>
        <v/>
      </c>
      <c r="D2085">
        <f>_xlfn.NUMBERVALUE("0.001223")</f>
        <v/>
      </c>
      <c r="E2085">
        <f>_xlfn.NUMBERVALUE("0.000203")</f>
        <v/>
      </c>
      <c r="F2085">
        <f>_xlfn.NUMBERVALUE("0.002016")</f>
        <v/>
      </c>
      <c r="G2085">
        <f>_xlfn.NUMBERVALUE("0.001034")</f>
        <v/>
      </c>
      <c r="H2085">
        <f>_xlfn.NUMBERVALUE("0.001174")</f>
        <v/>
      </c>
      <c r="I2085">
        <f>_xlfn.NUMBERVALUE("0.001998")</f>
        <v/>
      </c>
      <c r="J2085">
        <f>_xlfn.NUMBERVALUE("0.001365")</f>
        <v/>
      </c>
      <c r="K2085">
        <f>_xlfn.NUMBERVALUE("0.001023")</f>
        <v/>
      </c>
      <c r="L2085">
        <f>_xlfn.NUMBERVALUE("0.002277")</f>
        <v/>
      </c>
      <c r="M2085">
        <f>_xlfn.NUMBERVALUE("0.000629")</f>
        <v/>
      </c>
      <c r="N2085">
        <f>_xlfn.NUMBERVALUE("0.000699")</f>
        <v/>
      </c>
      <c r="O2085">
        <f>_xlfn.NUMBERVALUE("0.001342")</f>
        <v/>
      </c>
      <c r="P2085">
        <f>_xlfn.NUMBERVALUE("0.000845")</f>
        <v/>
      </c>
      <c r="Q2085">
        <f>_xlfn.NUMBERVALUE("-0.000224")</f>
        <v/>
      </c>
      <c r="R2085">
        <f>_xlfn.NUMBERVALUE("0.000519")</f>
        <v/>
      </c>
      <c r="S2085">
        <f>_xlfn.NUMBERVALUE("0.000310")</f>
        <v/>
      </c>
      <c r="T2085">
        <f>_xlfn.NUMBERVALUE("0.001682")</f>
        <v/>
      </c>
      <c r="U2085">
        <f>_xlfn.NUMBERVALUE("-0.000074")</f>
        <v/>
      </c>
      <c r="V2085">
        <f>_xlfn.NUMBERVALUE("0.001222")</f>
        <v/>
      </c>
      <c r="W2085">
        <f>_xlfn.NUMBERVALUE("-0.004317")</f>
        <v/>
      </c>
      <c r="X2085">
        <f>_xlfn.NUMBERVALUE("-0.010000")</f>
        <v/>
      </c>
      <c r="Y2085">
        <f>_xlfn.NUMBERVALUE("19.090000")</f>
        <v/>
      </c>
    </row>
    <row r="2086">
      <c r="A2086" s="1" t="n">
        <v>45029</v>
      </c>
      <c r="B2086">
        <f>_xlfn.NUMBERVALUE("-0.000995")</f>
        <v/>
      </c>
      <c r="C2086" s="2">
        <f>_xlfn.NUMBERVALUE("-0.001005")</f>
        <v/>
      </c>
      <c r="D2086">
        <f>_xlfn.NUMBERVALUE("-0.001106")</f>
        <v/>
      </c>
      <c r="E2086">
        <f>_xlfn.NUMBERVALUE("-0.001893")</f>
        <v/>
      </c>
      <c r="F2086">
        <f>_xlfn.NUMBERVALUE("-0.001621")</f>
        <v/>
      </c>
      <c r="G2086">
        <f>_xlfn.NUMBERVALUE("0.000041")</f>
        <v/>
      </c>
      <c r="H2086">
        <f>_xlfn.NUMBERVALUE("0.000732")</f>
        <v/>
      </c>
      <c r="I2086">
        <f>_xlfn.NUMBERVALUE("0.001704")</f>
        <v/>
      </c>
      <c r="J2086">
        <f>_xlfn.NUMBERVALUE("0.001329")</f>
        <v/>
      </c>
      <c r="K2086">
        <f>_xlfn.NUMBERVALUE("0.000671")</f>
        <v/>
      </c>
      <c r="L2086">
        <f>_xlfn.NUMBERVALUE("0.000624")</f>
        <v/>
      </c>
      <c r="M2086">
        <f>_xlfn.NUMBERVALUE("0.000844")</f>
        <v/>
      </c>
      <c r="N2086">
        <f>_xlfn.NUMBERVALUE("-0.000057")</f>
        <v/>
      </c>
      <c r="O2086">
        <f>_xlfn.NUMBERVALUE("0.003068")</f>
        <v/>
      </c>
      <c r="P2086">
        <f>_xlfn.NUMBERVALUE("0.000347")</f>
        <v/>
      </c>
      <c r="Q2086">
        <f>_xlfn.NUMBERVALUE("0.001923")</f>
        <v/>
      </c>
      <c r="R2086">
        <f>_xlfn.NUMBERVALUE("-0.000511")</f>
        <v/>
      </c>
      <c r="S2086">
        <f>_xlfn.NUMBERVALUE("0.001273")</f>
        <v/>
      </c>
      <c r="T2086">
        <f>_xlfn.NUMBERVALUE("0.002477")</f>
        <v/>
      </c>
      <c r="U2086">
        <f>_xlfn.NUMBERVALUE("0.000147")</f>
        <v/>
      </c>
      <c r="V2086">
        <f>_xlfn.NUMBERVALUE("-0.000691")</f>
        <v/>
      </c>
      <c r="W2086">
        <f>_xlfn.NUMBERVALUE("0.013448")</f>
        <v/>
      </c>
      <c r="X2086">
        <f>_xlfn.NUMBERVALUE("-1.290000")</f>
        <v/>
      </c>
      <c r="Y2086">
        <f>_xlfn.NUMBERVALUE("17.800000")</f>
        <v/>
      </c>
    </row>
    <row r="2087">
      <c r="A2087" s="1" t="n">
        <v>45030</v>
      </c>
      <c r="B2087">
        <f>_xlfn.NUMBERVALUE("0.004938")</f>
        <v/>
      </c>
      <c r="C2087" s="2">
        <f>_xlfn.NUMBERVALUE("0.002541")</f>
        <v/>
      </c>
      <c r="D2087">
        <f>_xlfn.NUMBERVALUE("0.001810")</f>
        <v/>
      </c>
      <c r="E2087">
        <f>_xlfn.NUMBERVALUE("0.000431")</f>
        <v/>
      </c>
      <c r="F2087">
        <f>_xlfn.NUMBERVALUE("-0.000286")</f>
        <v/>
      </c>
      <c r="G2087">
        <f>_xlfn.NUMBERVALUE("0.000683")</f>
        <v/>
      </c>
      <c r="H2087">
        <f>_xlfn.NUMBERVALUE("0.000385")</f>
        <v/>
      </c>
      <c r="I2087">
        <f>_xlfn.NUMBERVALUE("0.002298")</f>
        <v/>
      </c>
      <c r="J2087">
        <f>_xlfn.NUMBERVALUE("0.002113")</f>
        <v/>
      </c>
      <c r="K2087">
        <f>_xlfn.NUMBERVALUE("0.003274")</f>
        <v/>
      </c>
      <c r="L2087">
        <f>_xlfn.NUMBERVALUE("0.001247")</f>
        <v/>
      </c>
      <c r="M2087">
        <f>_xlfn.NUMBERVALUE("0.002223")</f>
        <v/>
      </c>
      <c r="N2087">
        <f>_xlfn.NUMBERVALUE("-0.000483")</f>
        <v/>
      </c>
      <c r="O2087">
        <f>_xlfn.NUMBERVALUE("0.003797")</f>
        <v/>
      </c>
      <c r="P2087">
        <f>_xlfn.NUMBERVALUE("0.005453")</f>
        <v/>
      </c>
      <c r="Q2087">
        <f>_xlfn.NUMBERVALUE("0.001837")</f>
        <v/>
      </c>
      <c r="R2087">
        <f>_xlfn.NUMBERVALUE("0.002050")</f>
        <v/>
      </c>
      <c r="S2087">
        <f>_xlfn.NUMBERVALUE("0.001685")</f>
        <v/>
      </c>
      <c r="T2087">
        <f>_xlfn.NUMBERVALUE("0.001256")</f>
        <v/>
      </c>
      <c r="U2087">
        <f>_xlfn.NUMBERVALUE("0.002186")</f>
        <v/>
      </c>
      <c r="V2087">
        <f>_xlfn.NUMBERVALUE("0.002474")</f>
        <v/>
      </c>
      <c r="W2087">
        <f>_xlfn.NUMBERVALUE("-0.002852")</f>
        <v/>
      </c>
      <c r="X2087">
        <f>_xlfn.NUMBERVALUE("-0.730000")</f>
        <v/>
      </c>
      <c r="Y2087">
        <f>_xlfn.NUMBERVALUE("17.070000")</f>
        <v/>
      </c>
    </row>
    <row r="2088">
      <c r="A2088" s="1" t="n">
        <v>45033</v>
      </c>
      <c r="B2088">
        <f>_xlfn.NUMBERVALUE("0.005413")</f>
        <v/>
      </c>
      <c r="C2088" s="2">
        <f>_xlfn.NUMBERVALUE("0.001692")</f>
        <v/>
      </c>
      <c r="D2088">
        <f>_xlfn.NUMBERVALUE("0.002221")</f>
        <v/>
      </c>
      <c r="E2088">
        <f>_xlfn.NUMBERVALUE("0.003255")</f>
        <v/>
      </c>
      <c r="F2088">
        <f>_xlfn.NUMBERVALUE("0.000293")</f>
        <v/>
      </c>
      <c r="G2088">
        <f>_xlfn.NUMBERVALUE("0.002000")</f>
        <v/>
      </c>
      <c r="H2088">
        <f>_xlfn.NUMBERVALUE("-0.000616")</f>
        <v/>
      </c>
      <c r="I2088">
        <f>_xlfn.NUMBERVALUE("0.000716")</f>
        <v/>
      </c>
      <c r="J2088">
        <f>_xlfn.NUMBERVALUE("0.000679")</f>
        <v/>
      </c>
      <c r="K2088">
        <f>_xlfn.NUMBERVALUE("0.002076")</f>
        <v/>
      </c>
      <c r="L2088">
        <f>_xlfn.NUMBERVALUE("-0.000585")</f>
        <v/>
      </c>
      <c r="M2088">
        <f>_xlfn.NUMBERVALUE("0.003374")</f>
        <v/>
      </c>
      <c r="N2088">
        <f>_xlfn.NUMBERVALUE("0.000233")</f>
        <v/>
      </c>
      <c r="O2088">
        <f>_xlfn.NUMBERVALUE("0.002953")</f>
        <v/>
      </c>
      <c r="P2088">
        <f>_xlfn.NUMBERVALUE("0.002728")</f>
        <v/>
      </c>
      <c r="Q2088">
        <f>_xlfn.NUMBERVALUE("0.001993")</f>
        <v/>
      </c>
      <c r="R2088">
        <f>_xlfn.NUMBERVALUE("0.004264")</f>
        <v/>
      </c>
      <c r="S2088">
        <f>_xlfn.NUMBERVALUE("0.001278")</f>
        <v/>
      </c>
      <c r="T2088">
        <f>_xlfn.NUMBERVALUE("0.003124")</f>
        <v/>
      </c>
      <c r="U2088">
        <f>_xlfn.NUMBERVALUE("0.003163")</f>
        <v/>
      </c>
      <c r="V2088">
        <f>_xlfn.NUMBERVALUE("0.002192")</f>
        <v/>
      </c>
      <c r="W2088">
        <f>_xlfn.NUMBERVALUE("0.001430")</f>
        <v/>
      </c>
      <c r="X2088">
        <f>_xlfn.NUMBERVALUE("-0.120000")</f>
        <v/>
      </c>
      <c r="Y2088">
        <f>_xlfn.NUMBERVALUE("16.950000")</f>
        <v/>
      </c>
    </row>
    <row r="2089">
      <c r="A2089" s="1" t="n">
        <v>45034</v>
      </c>
      <c r="B2089">
        <f>_xlfn.NUMBERVALUE("0.002669")</f>
        <v/>
      </c>
      <c r="C2089" s="2">
        <f>_xlfn.NUMBERVALUE("0.000889")</f>
        <v/>
      </c>
      <c r="D2089">
        <f>_xlfn.NUMBERVALUE("0.000084")</f>
        <v/>
      </c>
      <c r="E2089">
        <f>_xlfn.NUMBERVALUE("-0.000330")</f>
        <v/>
      </c>
      <c r="F2089">
        <f>_xlfn.NUMBERVALUE("0.001354")</f>
        <v/>
      </c>
      <c r="G2089">
        <f>_xlfn.NUMBERVALUE("0.000500")</f>
        <v/>
      </c>
      <c r="H2089">
        <f>_xlfn.NUMBERVALUE("-0.000258")</f>
        <v/>
      </c>
      <c r="I2089">
        <f>_xlfn.NUMBERVALUE("0.000947")</f>
        <v/>
      </c>
      <c r="J2089">
        <f>_xlfn.NUMBERVALUE("-0.000601")</f>
        <v/>
      </c>
      <c r="K2089">
        <f>_xlfn.NUMBERVALUE("0.003619")</f>
        <v/>
      </c>
      <c r="L2089">
        <f>_xlfn.NUMBERVALUE("0.000264")</f>
        <v/>
      </c>
      <c r="M2089">
        <f>_xlfn.NUMBERVALUE("0.000666")</f>
        <v/>
      </c>
      <c r="N2089">
        <f>_xlfn.NUMBERVALUE("0.000048")</f>
        <v/>
      </c>
      <c r="O2089">
        <f>_xlfn.NUMBERVALUE("0.002052")</f>
        <v/>
      </c>
      <c r="P2089">
        <f>_xlfn.NUMBERVALUE("0.001075")</f>
        <v/>
      </c>
      <c r="Q2089">
        <f>_xlfn.NUMBERVALUE("0.000439")</f>
        <v/>
      </c>
      <c r="R2089">
        <f>_xlfn.NUMBERVALUE("0.000875")</f>
        <v/>
      </c>
      <c r="S2089">
        <f>_xlfn.NUMBERVALUE("-0.000118")</f>
        <v/>
      </c>
      <c r="T2089">
        <f>_xlfn.NUMBERVALUE("0.001496")</f>
        <v/>
      </c>
      <c r="U2089">
        <f>_xlfn.NUMBERVALUE("0.000671")</f>
        <v/>
      </c>
      <c r="V2089">
        <f>_xlfn.NUMBERVALUE("0.000861")</f>
        <v/>
      </c>
      <c r="W2089">
        <f>_xlfn.NUMBERVALUE("0.002711")</f>
        <v/>
      </c>
      <c r="X2089">
        <f>_xlfn.NUMBERVALUE("-0.120000")</f>
        <v/>
      </c>
      <c r="Y2089">
        <f>_xlfn.NUMBERVALUE("16.830000")</f>
        <v/>
      </c>
    </row>
    <row r="2090">
      <c r="A2090" s="1" t="n">
        <v>45035</v>
      </c>
      <c r="B2090">
        <f>_xlfn.NUMBERVALUE("0.004439")</f>
        <v/>
      </c>
      <c r="C2090" s="2">
        <f>_xlfn.NUMBERVALUE("0.001167")</f>
        <v/>
      </c>
      <c r="D2090">
        <f>_xlfn.NUMBERVALUE("-0.000528")</f>
        <v/>
      </c>
      <c r="E2090">
        <f>_xlfn.NUMBERVALUE("0.000861")</f>
        <v/>
      </c>
      <c r="F2090">
        <f>_xlfn.NUMBERVALUE("0.000158")</f>
        <v/>
      </c>
      <c r="G2090">
        <f>_xlfn.NUMBERVALUE("0.000861")</f>
        <v/>
      </c>
      <c r="H2090">
        <f>_xlfn.NUMBERVALUE("-0.000142")</f>
        <v/>
      </c>
      <c r="I2090">
        <f>_xlfn.NUMBERVALUE("0.001474")</f>
        <v/>
      </c>
      <c r="J2090">
        <f>_xlfn.NUMBERVALUE("-0.000244")</f>
        <v/>
      </c>
      <c r="K2090">
        <f>_xlfn.NUMBERVALUE("0.000313")</f>
        <v/>
      </c>
      <c r="L2090">
        <f>_xlfn.NUMBERVALUE("-0.000105")</f>
        <v/>
      </c>
      <c r="M2090">
        <f>_xlfn.NUMBERVALUE("0.001693")</f>
        <v/>
      </c>
      <c r="N2090">
        <f>_xlfn.NUMBERVALUE("0.002950")</f>
        <v/>
      </c>
      <c r="O2090">
        <f>_xlfn.NUMBERVALUE("0.000615")</f>
        <v/>
      </c>
      <c r="P2090">
        <f>_xlfn.NUMBERVALUE("0.001603")</f>
        <v/>
      </c>
      <c r="Q2090">
        <f>_xlfn.NUMBERVALUE("0.001359")</f>
        <v/>
      </c>
      <c r="R2090">
        <f>_xlfn.NUMBERVALUE("0.001761")</f>
        <v/>
      </c>
      <c r="S2090">
        <f>_xlfn.NUMBERVALUE("0.001024")</f>
        <v/>
      </c>
      <c r="T2090">
        <f>_xlfn.NUMBERVALUE("0.000995")</f>
        <v/>
      </c>
      <c r="U2090">
        <f>_xlfn.NUMBERVALUE("0.001784")</f>
        <v/>
      </c>
      <c r="V2090">
        <f>_xlfn.NUMBERVALUE("0.000873")</f>
        <v/>
      </c>
      <c r="W2090">
        <f>_xlfn.NUMBERVALUE("-0.000797")</f>
        <v/>
      </c>
      <c r="X2090">
        <f>_xlfn.NUMBERVALUE("-0.370000")</f>
        <v/>
      </c>
      <c r="Y2090">
        <f>_xlfn.NUMBERVALUE("16.460000")</f>
        <v/>
      </c>
    </row>
    <row r="2091">
      <c r="A2091" s="1" t="n">
        <v>45036</v>
      </c>
      <c r="B2091">
        <f>_xlfn.NUMBERVALUE("-0.006304")</f>
        <v/>
      </c>
      <c r="C2091" s="2">
        <f>_xlfn.NUMBERVALUE("-0.000765")</f>
        <v/>
      </c>
      <c r="D2091">
        <f>_xlfn.NUMBERVALUE("0.001280")</f>
        <v/>
      </c>
      <c r="E2091">
        <f>_xlfn.NUMBERVALUE("0.000049")</f>
        <v/>
      </c>
      <c r="F2091">
        <f>_xlfn.NUMBERVALUE("0.000037")</f>
        <v/>
      </c>
      <c r="G2091">
        <f>_xlfn.NUMBERVALUE("0.000370")</f>
        <v/>
      </c>
      <c r="H2091">
        <f>_xlfn.NUMBERVALUE("0.000109")</f>
        <v/>
      </c>
      <c r="I2091">
        <f>_xlfn.NUMBERVALUE("-0.000292")</f>
        <v/>
      </c>
      <c r="J2091">
        <f>_xlfn.NUMBERVALUE("0.000150")</f>
        <v/>
      </c>
      <c r="K2091">
        <f>_xlfn.NUMBERVALUE("0.003112")</f>
        <v/>
      </c>
      <c r="L2091">
        <f>_xlfn.NUMBERVALUE("0.000776")</f>
        <v/>
      </c>
      <c r="M2091">
        <f>_xlfn.NUMBERVALUE("-0.000381")</f>
        <v/>
      </c>
      <c r="N2091">
        <f>_xlfn.NUMBERVALUE("-0.000881")</f>
        <v/>
      </c>
      <c r="O2091">
        <f>_xlfn.NUMBERVALUE("-0.000724")</f>
        <v/>
      </c>
      <c r="P2091">
        <f>_xlfn.NUMBERVALUE("-0.000552")</f>
        <v/>
      </c>
      <c r="Q2091">
        <f>_xlfn.NUMBERVALUE("-0.000056")</f>
        <v/>
      </c>
      <c r="R2091">
        <f>_xlfn.NUMBERVALUE("-0.000684")</f>
        <v/>
      </c>
      <c r="S2091">
        <f>_xlfn.NUMBERVALUE("-0.000611")</f>
        <v/>
      </c>
      <c r="T2091">
        <f>_xlfn.NUMBERVALUE("-0.000433")</f>
        <v/>
      </c>
      <c r="U2091">
        <f>_xlfn.NUMBERVALUE("-0.002175")</f>
        <v/>
      </c>
      <c r="V2091">
        <f>_xlfn.NUMBERVALUE("-0.000806")</f>
        <v/>
      </c>
      <c r="W2091">
        <f>_xlfn.NUMBERVALUE("-0.007706")</f>
        <v/>
      </c>
      <c r="X2091">
        <f>_xlfn.NUMBERVALUE("0.710000")</f>
        <v/>
      </c>
      <c r="Y2091">
        <f>_xlfn.NUMBERVALUE("17.170000")</f>
        <v/>
      </c>
    </row>
    <row r="2092">
      <c r="A2092" s="1" t="n">
        <v>45037</v>
      </c>
      <c r="B2092">
        <f>_xlfn.NUMBERVALUE("0.007029")</f>
        <v/>
      </c>
      <c r="C2092" s="2">
        <f>_xlfn.NUMBERVALUE("0.002366")</f>
        <v/>
      </c>
      <c r="D2092">
        <f>_xlfn.NUMBERVALUE("0.000925")</f>
        <v/>
      </c>
      <c r="E2092">
        <f>_xlfn.NUMBERVALUE("0.000442")</f>
        <v/>
      </c>
      <c r="F2092">
        <f>_xlfn.NUMBERVALUE("0.000709")</f>
        <v/>
      </c>
      <c r="G2092">
        <f>_xlfn.NUMBERVALUE("0.000926")</f>
        <v/>
      </c>
      <c r="H2092">
        <f>_xlfn.NUMBERVALUE("0.000505")</f>
        <v/>
      </c>
      <c r="I2092">
        <f>_xlfn.NUMBERVALUE("0.001791")</f>
        <v/>
      </c>
      <c r="J2092">
        <f>_xlfn.NUMBERVALUE("0.000276")</f>
        <v/>
      </c>
      <c r="K2092">
        <f>_xlfn.NUMBERVALUE("0.000062")</f>
        <v/>
      </c>
      <c r="L2092">
        <f>_xlfn.NUMBERVALUE("0.001143")</f>
        <v/>
      </c>
      <c r="M2092">
        <f>_xlfn.NUMBERVALUE("0.001505")</f>
        <v/>
      </c>
      <c r="N2092">
        <f>_xlfn.NUMBERVALUE("0.003047")</f>
        <v/>
      </c>
      <c r="O2092">
        <f>_xlfn.NUMBERVALUE("0.002933")</f>
        <v/>
      </c>
      <c r="P2092">
        <f>_xlfn.NUMBERVALUE("0.001236")</f>
        <v/>
      </c>
      <c r="Q2092">
        <f>_xlfn.NUMBERVALUE("0.002283")</f>
        <v/>
      </c>
      <c r="R2092">
        <f>_xlfn.NUMBERVALUE("0.002616")</f>
        <v/>
      </c>
      <c r="S2092">
        <f>_xlfn.NUMBERVALUE("0.000107")</f>
        <v/>
      </c>
      <c r="T2092">
        <f>_xlfn.NUMBERVALUE("0.000529")</f>
        <v/>
      </c>
      <c r="U2092">
        <f>_xlfn.NUMBERVALUE("0.001944")</f>
        <v/>
      </c>
      <c r="V2092">
        <f>_xlfn.NUMBERVALUE("0.001795")</f>
        <v/>
      </c>
      <c r="W2092">
        <f>_xlfn.NUMBERVALUE("0.001972")</f>
        <v/>
      </c>
      <c r="X2092">
        <f>_xlfn.NUMBERVALUE("-0.400000")</f>
        <v/>
      </c>
      <c r="Y2092">
        <f>_xlfn.NUMBERVALUE("16.770000")</f>
        <v/>
      </c>
    </row>
    <row r="2093">
      <c r="A2093" s="1" t="n">
        <v>45040</v>
      </c>
      <c r="B2093">
        <f>_xlfn.NUMBERVALUE("0.004528")</f>
        <v/>
      </c>
      <c r="C2093" s="2">
        <f>_xlfn.NUMBERVALUE("0.000957")</f>
        <v/>
      </c>
      <c r="D2093">
        <f>_xlfn.NUMBERVALUE("0.001744")</f>
        <v/>
      </c>
      <c r="E2093">
        <f>_xlfn.NUMBERVALUE("0.000619")</f>
        <v/>
      </c>
      <c r="F2093">
        <f>_xlfn.NUMBERVALUE("0.001220")</f>
        <v/>
      </c>
      <c r="G2093">
        <f>_xlfn.NUMBERVALUE("0.000703")</f>
        <v/>
      </c>
      <c r="H2093">
        <f>_xlfn.NUMBERVALUE("0.000149")</f>
        <v/>
      </c>
      <c r="I2093">
        <f>_xlfn.NUMBERVALUE("0.002822")</f>
        <v/>
      </c>
      <c r="J2093">
        <f>_xlfn.NUMBERVALUE("-0.000069")</f>
        <v/>
      </c>
      <c r="K2093">
        <f>_xlfn.NUMBERVALUE("0.005123")</f>
        <v/>
      </c>
      <c r="L2093">
        <f>_xlfn.NUMBERVALUE("0.000184")</f>
        <v/>
      </c>
      <c r="M2093">
        <f>_xlfn.NUMBERVALUE("0.001060")</f>
        <v/>
      </c>
      <c r="N2093">
        <f>_xlfn.NUMBERVALUE("0.001729")</f>
        <v/>
      </c>
      <c r="O2093">
        <f>_xlfn.NUMBERVALUE("0.000835")</f>
        <v/>
      </c>
      <c r="P2093">
        <f>_xlfn.NUMBERVALUE("0.003929")</f>
        <v/>
      </c>
      <c r="Q2093">
        <f>_xlfn.NUMBERVALUE("0.001897")</f>
        <v/>
      </c>
      <c r="R2093">
        <f>_xlfn.NUMBERVALUE("0.003426")</f>
        <v/>
      </c>
      <c r="S2093">
        <f>_xlfn.NUMBERVALUE("0.000476")</f>
        <v/>
      </c>
      <c r="T2093">
        <f>_xlfn.NUMBERVALUE("0.001532")</f>
        <v/>
      </c>
      <c r="U2093">
        <f>_xlfn.NUMBERVALUE("0.002774")</f>
        <v/>
      </c>
      <c r="V2093">
        <f>_xlfn.NUMBERVALUE("0.001740")</f>
        <v/>
      </c>
      <c r="W2093">
        <f>_xlfn.NUMBERVALUE("0.001992")</f>
        <v/>
      </c>
      <c r="X2093">
        <f>_xlfn.NUMBERVALUE("0.120000")</f>
        <v/>
      </c>
      <c r="Y2093">
        <f>_xlfn.NUMBERVALUE("16.890000")</f>
        <v/>
      </c>
    </row>
    <row r="2094">
      <c r="A2094" s="1" t="n">
        <v>45041</v>
      </c>
      <c r="B2094">
        <f>_xlfn.NUMBERVALUE("-0.003778")</f>
        <v/>
      </c>
      <c r="C2094" s="2">
        <f>_xlfn.NUMBERVALUE("-0.002362")</f>
        <v/>
      </c>
      <c r="D2094">
        <f>_xlfn.NUMBERVALUE("-0.004164")</f>
        <v/>
      </c>
      <c r="E2094">
        <f>_xlfn.NUMBERVALUE("-0.001998")</f>
        <v/>
      </c>
      <c r="F2094">
        <f>_xlfn.NUMBERVALUE("-0.000540")</f>
        <v/>
      </c>
      <c r="G2094">
        <f>_xlfn.NUMBERVALUE("-0.001334")</f>
        <v/>
      </c>
      <c r="H2094">
        <f>_xlfn.NUMBERVALUE("-0.003169")</f>
        <v/>
      </c>
      <c r="I2094">
        <f>_xlfn.NUMBERVALUE("-0.006985")</f>
        <v/>
      </c>
      <c r="J2094">
        <f>_xlfn.NUMBERVALUE("-0.000845")</f>
        <v/>
      </c>
      <c r="K2094">
        <f>_xlfn.NUMBERVALUE("-0.001630")</f>
        <v/>
      </c>
      <c r="L2094">
        <f>_xlfn.NUMBERVALUE("-0.002959")</f>
        <v/>
      </c>
      <c r="M2094">
        <f>_xlfn.NUMBERVALUE("-0.004935")</f>
        <v/>
      </c>
      <c r="N2094">
        <f>_xlfn.NUMBERVALUE("-0.002645")</f>
        <v/>
      </c>
      <c r="O2094">
        <f>_xlfn.NUMBERVALUE("-0.006066")</f>
        <v/>
      </c>
      <c r="P2094">
        <f>_xlfn.NUMBERVALUE("-0.005854")</f>
        <v/>
      </c>
      <c r="Q2094">
        <f>_xlfn.NUMBERVALUE("-0.004757")</f>
        <v/>
      </c>
      <c r="R2094">
        <f>_xlfn.NUMBERVALUE("-0.004973")</f>
        <v/>
      </c>
      <c r="S2094">
        <f>_xlfn.NUMBERVALUE("-0.002724")</f>
        <v/>
      </c>
      <c r="T2094">
        <f>_xlfn.NUMBERVALUE("-0.000947")</f>
        <v/>
      </c>
      <c r="U2094">
        <f>_xlfn.NUMBERVALUE("-0.005078")</f>
        <v/>
      </c>
      <c r="V2094">
        <f>_xlfn.NUMBERVALUE("-0.003940")</f>
        <v/>
      </c>
      <c r="W2094">
        <f>_xlfn.NUMBERVALUE("-0.014234")</f>
        <v/>
      </c>
      <c r="X2094">
        <f>_xlfn.NUMBERVALUE("1.870000")</f>
        <v/>
      </c>
      <c r="Y2094">
        <f>_xlfn.NUMBERVALUE("18.760000")</f>
        <v/>
      </c>
    </row>
    <row r="2095">
      <c r="A2095" s="1" t="n">
        <v>45042</v>
      </c>
      <c r="B2095">
        <f>_xlfn.NUMBERVALUE("-0.000004")</f>
        <v/>
      </c>
      <c r="C2095" s="2">
        <f>_xlfn.NUMBERVALUE("-0.000008")</f>
        <v/>
      </c>
      <c r="D2095">
        <f>_xlfn.NUMBERVALUE("0.000515")</f>
        <v/>
      </c>
      <c r="E2095">
        <f>_xlfn.NUMBERVALUE("0.001084")</f>
        <v/>
      </c>
      <c r="F2095">
        <f>_xlfn.NUMBERVALUE("0.000132")</f>
        <v/>
      </c>
      <c r="G2095">
        <f>_xlfn.NUMBERVALUE("0.000777")</f>
        <v/>
      </c>
      <c r="H2095">
        <f>_xlfn.NUMBERVALUE("0.000340")</f>
        <v/>
      </c>
      <c r="I2095">
        <f>_xlfn.NUMBERVALUE("0.001705")</f>
        <v/>
      </c>
      <c r="J2095">
        <f>_xlfn.NUMBERVALUE("-0.000204")</f>
        <v/>
      </c>
      <c r="K2095">
        <f>_xlfn.NUMBERVALUE("0.002006")</f>
        <v/>
      </c>
      <c r="L2095">
        <f>_xlfn.NUMBERVALUE("-0.000491")</f>
        <v/>
      </c>
      <c r="M2095">
        <f>_xlfn.NUMBERVALUE("-0.001095")</f>
        <v/>
      </c>
      <c r="N2095">
        <f>_xlfn.NUMBERVALUE("0.001383")</f>
        <v/>
      </c>
      <c r="O2095">
        <f>_xlfn.NUMBERVALUE("-0.001896")</f>
        <v/>
      </c>
      <c r="P2095">
        <f>_xlfn.NUMBERVALUE("0.000621")</f>
        <v/>
      </c>
      <c r="Q2095">
        <f>_xlfn.NUMBERVALUE("-0.001492")</f>
        <v/>
      </c>
      <c r="R2095">
        <f>_xlfn.NUMBERVALUE("0.001300")</f>
        <v/>
      </c>
      <c r="S2095">
        <f>_xlfn.NUMBERVALUE("0.000348")</f>
        <v/>
      </c>
      <c r="T2095">
        <f>_xlfn.NUMBERVALUE("-0.004215")</f>
        <v/>
      </c>
      <c r="U2095">
        <f>_xlfn.NUMBERVALUE("0.000777")</f>
        <v/>
      </c>
      <c r="V2095">
        <f>_xlfn.NUMBERVALUE("0.001532")</f>
        <v/>
      </c>
      <c r="W2095">
        <f>_xlfn.NUMBERVALUE("-0.006002")</f>
        <v/>
      </c>
      <c r="X2095">
        <f>_xlfn.NUMBERVALUE("0.080000")</f>
        <v/>
      </c>
      <c r="Y2095">
        <f>_xlfn.NUMBERVALUE("18.840000")</f>
        <v/>
      </c>
    </row>
    <row r="2096">
      <c r="A2096" s="1" t="n">
        <v>45043</v>
      </c>
      <c r="B2096">
        <f>_xlfn.NUMBERVALUE("0.008317")</f>
        <v/>
      </c>
      <c r="C2096" s="2">
        <f>_xlfn.NUMBERVALUE("-0.002800")</f>
        <v/>
      </c>
      <c r="D2096">
        <f>_xlfn.NUMBERVALUE("0.000192")</f>
        <v/>
      </c>
      <c r="E2096">
        <f>_xlfn.NUMBERVALUE("-0.001087")</f>
        <v/>
      </c>
      <c r="F2096">
        <f>_xlfn.NUMBERVALUE("-0.000955")</f>
        <v/>
      </c>
      <c r="G2096">
        <f>_xlfn.NUMBERVALUE("0.001456")</f>
        <v/>
      </c>
      <c r="H2096">
        <f>_xlfn.NUMBERVALUE("-0.000281")</f>
        <v/>
      </c>
      <c r="I2096">
        <f>_xlfn.NUMBERVALUE("0.001562")</f>
        <v/>
      </c>
      <c r="J2096">
        <f>_xlfn.NUMBERVALUE("0.000005")</f>
        <v/>
      </c>
      <c r="K2096">
        <f>_xlfn.NUMBERVALUE("0.002403")</f>
        <v/>
      </c>
      <c r="L2096">
        <f>_xlfn.NUMBERVALUE("-0.000376")</f>
        <v/>
      </c>
      <c r="M2096">
        <f>_xlfn.NUMBERVALUE("0.002707")</f>
        <v/>
      </c>
      <c r="N2096">
        <f>_xlfn.NUMBERVALUE("-0.022341")</f>
        <v/>
      </c>
      <c r="O2096">
        <f>_xlfn.NUMBERVALUE("0.003493")</f>
        <v/>
      </c>
      <c r="P2096">
        <f>_xlfn.NUMBERVALUE("0.001485")</f>
        <v/>
      </c>
      <c r="Q2096">
        <f>_xlfn.NUMBERVALUE("-0.001207")</f>
        <v/>
      </c>
      <c r="R2096">
        <f>_xlfn.NUMBERVALUE("-0.003312")</f>
        <v/>
      </c>
      <c r="S2096">
        <f>_xlfn.NUMBERVALUE("-0.000270")</f>
        <v/>
      </c>
      <c r="T2096">
        <f>_xlfn.NUMBERVALUE("0.001838")</f>
        <v/>
      </c>
      <c r="U2096">
        <f>_xlfn.NUMBERVALUE("0.001967")</f>
        <v/>
      </c>
      <c r="V2096">
        <f>_xlfn.NUMBERVALUE("-0.004334")</f>
        <v/>
      </c>
      <c r="W2096">
        <f>_xlfn.NUMBERVALUE("0.020318")</f>
        <v/>
      </c>
      <c r="X2096">
        <f>_xlfn.NUMBERVALUE("-1.810000")</f>
        <v/>
      </c>
      <c r="Y2096">
        <f>_xlfn.NUMBERVALUE("17.030000")</f>
        <v/>
      </c>
    </row>
    <row r="2097">
      <c r="A2097" s="1" t="n">
        <v>45044</v>
      </c>
      <c r="B2097">
        <f>_xlfn.NUMBERVALUE("0.007073")</f>
        <v/>
      </c>
      <c r="C2097" s="2">
        <f>_xlfn.NUMBERVALUE("-0.000138")</f>
        <v/>
      </c>
      <c r="D2097">
        <f>_xlfn.NUMBERVALUE("0.002540")</f>
        <v/>
      </c>
      <c r="E2097">
        <f>_xlfn.NUMBERVALUE("0.002448")</f>
        <v/>
      </c>
      <c r="F2097">
        <f>_xlfn.NUMBERVALUE("0.004251")</f>
        <v/>
      </c>
      <c r="G2097">
        <f>_xlfn.NUMBERVALUE("0.001026")</f>
        <v/>
      </c>
      <c r="H2097">
        <f>_xlfn.NUMBERVALUE("-0.000025")</f>
        <v/>
      </c>
      <c r="I2097">
        <f>_xlfn.NUMBERVALUE("0.001843")</f>
        <v/>
      </c>
      <c r="J2097">
        <f>_xlfn.NUMBERVALUE("-0.000149")</f>
        <v/>
      </c>
      <c r="K2097">
        <f>_xlfn.NUMBERVALUE("0.004734")</f>
        <v/>
      </c>
      <c r="L2097">
        <f>_xlfn.NUMBERVALUE("-0.000219")</f>
        <v/>
      </c>
      <c r="M2097">
        <f>_xlfn.NUMBERVALUE("0.001359")</f>
        <v/>
      </c>
      <c r="N2097">
        <f>_xlfn.NUMBERVALUE("0.002460")</f>
        <v/>
      </c>
      <c r="O2097">
        <f>_xlfn.NUMBERVALUE("0.001918")</f>
        <v/>
      </c>
      <c r="P2097">
        <f>_xlfn.NUMBERVALUE("-0.001156")</f>
        <v/>
      </c>
      <c r="Q2097">
        <f>_xlfn.NUMBERVALUE("0.001208")</f>
        <v/>
      </c>
      <c r="R2097">
        <f>_xlfn.NUMBERVALUE("0.002147")</f>
        <v/>
      </c>
      <c r="S2097">
        <f>_xlfn.NUMBERVALUE("0.001046")</f>
        <v/>
      </c>
      <c r="T2097">
        <f>_xlfn.NUMBERVALUE("0.002496")</f>
        <v/>
      </c>
      <c r="U2097">
        <f>_xlfn.NUMBERVALUE("0.002105")</f>
        <v/>
      </c>
      <c r="V2097">
        <f>_xlfn.NUMBERVALUE("0.001097")</f>
        <v/>
      </c>
      <c r="W2097">
        <f>_xlfn.NUMBERVALUE("0.006719")</f>
        <v/>
      </c>
      <c r="X2097">
        <f>_xlfn.NUMBERVALUE("-1.250000")</f>
        <v/>
      </c>
      <c r="Y2097">
        <f>_xlfn.NUMBERVALUE("15.780000")</f>
        <v/>
      </c>
    </row>
    <row r="2098">
      <c r="A2098" s="1" t="n">
        <v>45047</v>
      </c>
      <c r="B2098">
        <f>_xlfn.NUMBERVALUE("0.004729")</f>
        <v/>
      </c>
      <c r="C2098" s="2">
        <f>_xlfn.NUMBERVALUE("0.001832")</f>
        <v/>
      </c>
      <c r="D2098">
        <f>_xlfn.NUMBERVALUE("0.001628")</f>
        <v/>
      </c>
      <c r="E2098">
        <f>_xlfn.NUMBERVALUE("0.001808")</f>
        <v/>
      </c>
      <c r="F2098">
        <f>_xlfn.NUMBERVALUE("0.000130")</f>
        <v/>
      </c>
      <c r="G2098">
        <f>_xlfn.NUMBERVALUE("-0.002465")</f>
        <v/>
      </c>
      <c r="H2098">
        <f>_xlfn.NUMBERVALUE("-0.001081")</f>
        <v/>
      </c>
      <c r="I2098">
        <f>_xlfn.NUMBERVALUE("0.003178")</f>
        <v/>
      </c>
      <c r="J2098">
        <f>_xlfn.NUMBERVALUE("-0.003508")</f>
        <v/>
      </c>
      <c r="K2098">
        <f>_xlfn.NUMBERVALUE("0.001652")</f>
        <v/>
      </c>
      <c r="L2098">
        <f>_xlfn.NUMBERVALUE("-0.006832")</f>
        <v/>
      </c>
      <c r="M2098">
        <f>_xlfn.NUMBERVALUE("0.001493")</f>
        <v/>
      </c>
      <c r="N2098">
        <f>_xlfn.NUMBERVALUE("0.002120")</f>
        <v/>
      </c>
      <c r="O2098">
        <f>_xlfn.NUMBERVALUE("0.000755")</f>
        <v/>
      </c>
      <c r="P2098">
        <f>_xlfn.NUMBERVALUE("0.003363")</f>
        <v/>
      </c>
      <c r="Q2098">
        <f>_xlfn.NUMBERVALUE("0.000254")</f>
        <v/>
      </c>
      <c r="R2098">
        <f>_xlfn.NUMBERVALUE("0.001852")</f>
        <v/>
      </c>
      <c r="S2098">
        <f>_xlfn.NUMBERVALUE("0.000315")</f>
        <v/>
      </c>
      <c r="T2098">
        <f>_xlfn.NUMBERVALUE("0.001568")</f>
        <v/>
      </c>
      <c r="U2098">
        <f>_xlfn.NUMBERVALUE("0.002963")</f>
        <v/>
      </c>
      <c r="V2098">
        <f>_xlfn.NUMBERVALUE("0.002082")</f>
        <v/>
      </c>
      <c r="W2098">
        <f>_xlfn.NUMBERVALUE("0.002144")</f>
        <v/>
      </c>
      <c r="X2098">
        <f>_xlfn.NUMBERVALUE("0.300000")</f>
        <v/>
      </c>
      <c r="Y2098">
        <f>_xlfn.NUMBERVALUE("16.080000")</f>
        <v/>
      </c>
    </row>
    <row r="2099">
      <c r="A2099" s="1" t="n">
        <v>45048</v>
      </c>
      <c r="B2099">
        <f>_xlfn.NUMBERVALUE("-0.003320")</f>
        <v/>
      </c>
      <c r="C2099" s="2">
        <f>_xlfn.NUMBERVALUE("-0.001676")</f>
        <v/>
      </c>
      <c r="D2099">
        <f>_xlfn.NUMBERVALUE("-0.001627")</f>
        <v/>
      </c>
      <c r="E2099">
        <f>_xlfn.NUMBERVALUE("-0.000638")</f>
        <v/>
      </c>
      <c r="F2099">
        <f>_xlfn.NUMBERVALUE("-0.004055")</f>
        <v/>
      </c>
      <c r="G2099">
        <f>_xlfn.NUMBERVALUE("-0.000401")</f>
        <v/>
      </c>
      <c r="H2099">
        <f>_xlfn.NUMBERVALUE("-0.001592")</f>
        <v/>
      </c>
      <c r="I2099">
        <f>_xlfn.NUMBERVALUE("-0.006682")</f>
        <v/>
      </c>
      <c r="J2099">
        <f>_xlfn.NUMBERVALUE("-0.001064")</f>
        <v/>
      </c>
      <c r="K2099">
        <f>_xlfn.NUMBERVALUE("-0.004087")</f>
        <v/>
      </c>
      <c r="L2099">
        <f>_xlfn.NUMBERVALUE("-0.001358")</f>
        <v/>
      </c>
      <c r="M2099">
        <f>_xlfn.NUMBERVALUE("-0.002082")</f>
        <v/>
      </c>
      <c r="N2099">
        <f>_xlfn.NUMBERVALUE("-0.002475")</f>
        <v/>
      </c>
      <c r="O2099">
        <f>_xlfn.NUMBERVALUE("-0.011218")</f>
        <v/>
      </c>
      <c r="P2099">
        <f>_xlfn.NUMBERVALUE("-0.007844")</f>
        <v/>
      </c>
      <c r="Q2099">
        <f>_xlfn.NUMBERVALUE("-0.002612")</f>
        <v/>
      </c>
      <c r="R2099">
        <f>_xlfn.NUMBERVALUE("-0.000827")</f>
        <v/>
      </c>
      <c r="S2099">
        <f>_xlfn.NUMBERVALUE("-0.000111")</f>
        <v/>
      </c>
      <c r="T2099">
        <f>_xlfn.NUMBERVALUE("-0.002992")</f>
        <v/>
      </c>
      <c r="U2099">
        <f>_xlfn.NUMBERVALUE("-0.000876")</f>
        <v/>
      </c>
      <c r="V2099">
        <f>_xlfn.NUMBERVALUE("-0.002596")</f>
        <v/>
      </c>
      <c r="W2099">
        <f>_xlfn.NUMBERVALUE("-0.012814")</f>
        <v/>
      </c>
      <c r="X2099">
        <f>_xlfn.NUMBERVALUE("1.700000")</f>
        <v/>
      </c>
      <c r="Y2099">
        <f>_xlfn.NUMBERVALUE("17.780000")</f>
        <v/>
      </c>
    </row>
    <row r="2100">
      <c r="A2100" s="1" t="n">
        <v>45049</v>
      </c>
      <c r="B2100">
        <f>_xlfn.NUMBERVALUE("0.000791")</f>
        <v/>
      </c>
      <c r="C2100" s="2">
        <f>_xlfn.NUMBERVALUE("0.002093")</f>
        <v/>
      </c>
      <c r="D2100">
        <f>_xlfn.NUMBERVALUE("0.001130")</f>
        <v/>
      </c>
      <c r="E2100">
        <f>_xlfn.NUMBERVALUE("0.001060")</f>
        <v/>
      </c>
      <c r="F2100">
        <f>_xlfn.NUMBERVALUE("0.003899")</f>
        <v/>
      </c>
      <c r="G2100">
        <f>_xlfn.NUMBERVALUE("0.001530")</f>
        <v/>
      </c>
      <c r="H2100">
        <f>_xlfn.NUMBERVALUE("0.001343")</f>
        <v/>
      </c>
      <c r="I2100">
        <f>_xlfn.NUMBERVALUE("0.001407")</f>
        <v/>
      </c>
      <c r="J2100">
        <f>_xlfn.NUMBERVALUE("0.000479")</f>
        <v/>
      </c>
      <c r="K2100">
        <f>_xlfn.NUMBERVALUE("0.008683")</f>
        <v/>
      </c>
      <c r="L2100">
        <f>_xlfn.NUMBERVALUE("0.000563")</f>
        <v/>
      </c>
      <c r="M2100">
        <f>_xlfn.NUMBERVALUE("-0.000076")</f>
        <v/>
      </c>
      <c r="N2100">
        <f>_xlfn.NUMBERVALUE("-0.000039")</f>
        <v/>
      </c>
      <c r="O2100">
        <f>_xlfn.NUMBERVALUE("-0.002103")</f>
        <v/>
      </c>
      <c r="P2100">
        <f>_xlfn.NUMBERVALUE("0.001056")</f>
        <v/>
      </c>
      <c r="Q2100">
        <f>_xlfn.NUMBERVALUE("0.000952")</f>
        <v/>
      </c>
      <c r="R2100">
        <f>_xlfn.NUMBERVALUE("-0.000356")</f>
        <v/>
      </c>
      <c r="S2100">
        <f>_xlfn.NUMBERVALUE("0.000369")</f>
        <v/>
      </c>
      <c r="T2100">
        <f>_xlfn.NUMBERVALUE("0.000557")</f>
        <v/>
      </c>
      <c r="U2100">
        <f>_xlfn.NUMBERVALUE("-0.000345")</f>
        <v/>
      </c>
      <c r="V2100">
        <f>_xlfn.NUMBERVALUE("0.001932")</f>
        <v/>
      </c>
      <c r="W2100">
        <f>_xlfn.NUMBERVALUE("-0.004944")</f>
        <v/>
      </c>
      <c r="X2100">
        <f>_xlfn.NUMBERVALUE("0.560000")</f>
        <v/>
      </c>
      <c r="Y2100">
        <f>_xlfn.NUMBERVALUE("18.340000")</f>
        <v/>
      </c>
    </row>
    <row r="2101">
      <c r="A2101" s="1" t="n">
        <v>45050</v>
      </c>
      <c r="B2101">
        <f>_xlfn.NUMBERVALUE("-0.004191")</f>
        <v/>
      </c>
      <c r="C2101" s="2">
        <f>_xlfn.NUMBERVALUE("-0.002005")</f>
        <v/>
      </c>
      <c r="D2101">
        <f>_xlfn.NUMBERVALUE("0.000324")</f>
        <v/>
      </c>
      <c r="E2101">
        <f>_xlfn.NUMBERVALUE("0.002925")</f>
        <v/>
      </c>
      <c r="F2101">
        <f>_xlfn.NUMBERVALUE("-0.002281")</f>
        <v/>
      </c>
      <c r="G2101">
        <f>_xlfn.NUMBERVALUE("0.002108")</f>
        <v/>
      </c>
      <c r="H2101">
        <f>_xlfn.NUMBERVALUE("0.002929")</f>
        <v/>
      </c>
      <c r="I2101">
        <f>_xlfn.NUMBERVALUE("-0.000635")</f>
        <v/>
      </c>
      <c r="J2101">
        <f>_xlfn.NUMBERVALUE("0.000487")</f>
        <v/>
      </c>
      <c r="K2101">
        <f>_xlfn.NUMBERVALUE("-0.005970")</f>
        <v/>
      </c>
      <c r="L2101">
        <f>_xlfn.NUMBERVALUE("-0.000551")</f>
        <v/>
      </c>
      <c r="M2101">
        <f>_xlfn.NUMBERVALUE("-0.000451")</f>
        <v/>
      </c>
      <c r="N2101">
        <f>_xlfn.NUMBERVALUE("-0.000982")</f>
        <v/>
      </c>
      <c r="O2101">
        <f>_xlfn.NUMBERVALUE("-0.000803")</f>
        <v/>
      </c>
      <c r="P2101">
        <f>_xlfn.NUMBERVALUE("-0.002020")</f>
        <v/>
      </c>
      <c r="Q2101">
        <f>_xlfn.NUMBERVALUE("-0.002147")</f>
        <v/>
      </c>
      <c r="R2101">
        <f>_xlfn.NUMBERVALUE("0.001229")</f>
        <v/>
      </c>
      <c r="S2101">
        <f>_xlfn.NUMBERVALUE("0.000281")</f>
        <v/>
      </c>
      <c r="T2101">
        <f>_xlfn.NUMBERVALUE("0.000305")</f>
        <v/>
      </c>
      <c r="U2101">
        <f>_xlfn.NUMBERVALUE("0.000253")</f>
        <v/>
      </c>
      <c r="V2101">
        <f>_xlfn.NUMBERVALUE("0.000760")</f>
        <v/>
      </c>
      <c r="W2101">
        <f>_xlfn.NUMBERVALUE("-0.009080")</f>
        <v/>
      </c>
      <c r="X2101">
        <f>_xlfn.NUMBERVALUE("1.750000")</f>
        <v/>
      </c>
      <c r="Y2101">
        <f>_xlfn.NUMBERVALUE("20.090000")</f>
        <v/>
      </c>
    </row>
    <row r="2102">
      <c r="A2102" s="1" t="n">
        <v>45051</v>
      </c>
      <c r="B2102">
        <f>_xlfn.NUMBERVALUE("0.000779")</f>
        <v/>
      </c>
      <c r="C2102" s="2">
        <f>_xlfn.NUMBERVALUE("-0.002138")</f>
        <v/>
      </c>
      <c r="D2102">
        <f>_xlfn.NUMBERVALUE("0.000939")</f>
        <v/>
      </c>
      <c r="E2102">
        <f>_xlfn.NUMBERVALUE("-0.002758")</f>
        <v/>
      </c>
      <c r="F2102">
        <f>_xlfn.NUMBERVALUE("-0.001293")</f>
        <v/>
      </c>
      <c r="G2102">
        <f>_xlfn.NUMBERVALUE("-0.001097")</f>
        <v/>
      </c>
      <c r="H2102">
        <f>_xlfn.NUMBERVALUE("-0.001136")</f>
        <v/>
      </c>
      <c r="I2102">
        <f>_xlfn.NUMBERVALUE("0.002360")</f>
        <v/>
      </c>
      <c r="J2102">
        <f>_xlfn.NUMBERVALUE("-0.000043")</f>
        <v/>
      </c>
      <c r="K2102">
        <f>_xlfn.NUMBERVALUE("0.001417")</f>
        <v/>
      </c>
      <c r="L2102">
        <f>_xlfn.NUMBERVALUE("0.002259")</f>
        <v/>
      </c>
      <c r="M2102">
        <f>_xlfn.NUMBERVALUE("0.003573")</f>
        <v/>
      </c>
      <c r="N2102">
        <f>_xlfn.NUMBERVALUE("0.004668")</f>
        <v/>
      </c>
      <c r="O2102">
        <f>_xlfn.NUMBERVALUE("0.003174")</f>
        <v/>
      </c>
      <c r="P2102">
        <f>_xlfn.NUMBERVALUE("-0.000558")</f>
        <v/>
      </c>
      <c r="Q2102">
        <f>_xlfn.NUMBERVALUE("0.003627")</f>
        <v/>
      </c>
      <c r="R2102">
        <f>_xlfn.NUMBERVALUE("-0.004725")</f>
        <v/>
      </c>
      <c r="S2102">
        <f>_xlfn.NUMBERVALUE("0.000564")</f>
        <v/>
      </c>
      <c r="T2102">
        <f>_xlfn.NUMBERVALUE("0.003568")</f>
        <v/>
      </c>
      <c r="U2102">
        <f>_xlfn.NUMBERVALUE("0.003631")</f>
        <v/>
      </c>
      <c r="V2102">
        <f>_xlfn.NUMBERVALUE("-0.007598")</f>
        <v/>
      </c>
      <c r="W2102">
        <f>_xlfn.NUMBERVALUE("0.009732")</f>
        <v/>
      </c>
      <c r="X2102">
        <f>_xlfn.NUMBERVALUE("-2.900000")</f>
        <v/>
      </c>
      <c r="Y2102">
        <f>_xlfn.NUMBERVALUE("17.190000")</f>
        <v/>
      </c>
    </row>
    <row r="2103">
      <c r="A2103" s="1" t="n">
        <v>45054</v>
      </c>
      <c r="B2103">
        <f>_xlfn.NUMBERVALUE("0.001845")</f>
        <v/>
      </c>
      <c r="C2103" s="2">
        <f>_xlfn.NUMBERVALUE("0.001847")</f>
        <v/>
      </c>
      <c r="D2103">
        <f>_xlfn.NUMBERVALUE("0.002734")</f>
        <v/>
      </c>
      <c r="E2103">
        <f>_xlfn.NUMBERVALUE("0.001716")</f>
        <v/>
      </c>
      <c r="F2103">
        <f>_xlfn.NUMBERVALUE("0.001592")</f>
        <v/>
      </c>
      <c r="G2103">
        <f>_xlfn.NUMBERVALUE("0.001222")</f>
        <v/>
      </c>
      <c r="H2103">
        <f>_xlfn.NUMBERVALUE("0.000525")</f>
        <v/>
      </c>
      <c r="I2103">
        <f>_xlfn.NUMBERVALUE("0.003222")</f>
        <v/>
      </c>
      <c r="J2103">
        <f>_xlfn.NUMBERVALUE("0.000973")</f>
        <v/>
      </c>
      <c r="K2103">
        <f>_xlfn.NUMBERVALUE("0.002983")</f>
        <v/>
      </c>
      <c r="L2103">
        <f>_xlfn.NUMBERVALUE("-0.000489")</f>
        <v/>
      </c>
      <c r="M2103">
        <f>_xlfn.NUMBERVALUE("0.002186")</f>
        <v/>
      </c>
      <c r="N2103">
        <f>_xlfn.NUMBERVALUE("-0.000160")</f>
        <v/>
      </c>
      <c r="O2103">
        <f>_xlfn.NUMBERVALUE("-0.000374")</f>
        <v/>
      </c>
      <c r="P2103">
        <f>_xlfn.NUMBERVALUE("0.005797")</f>
        <v/>
      </c>
      <c r="Q2103">
        <f>_xlfn.NUMBERVALUE("0.005004")</f>
        <v/>
      </c>
      <c r="R2103">
        <f>_xlfn.NUMBERVALUE("0.003975")</f>
        <v/>
      </c>
      <c r="S2103">
        <f>_xlfn.NUMBERVALUE("0.002521")</f>
        <v/>
      </c>
      <c r="T2103">
        <f>_xlfn.NUMBERVALUE("0.002160")</f>
        <v/>
      </c>
      <c r="U2103">
        <f>_xlfn.NUMBERVALUE("0.004642")</f>
        <v/>
      </c>
      <c r="V2103">
        <f>_xlfn.NUMBERVALUE("0.002022")</f>
        <v/>
      </c>
      <c r="W2103">
        <f>_xlfn.NUMBERVALUE("0.000533")</f>
        <v/>
      </c>
      <c r="X2103">
        <f>_xlfn.NUMBERVALUE("-0.210000")</f>
        <v/>
      </c>
      <c r="Y2103">
        <f>_xlfn.NUMBERVALUE("16.980000")</f>
        <v/>
      </c>
    </row>
    <row r="2104">
      <c r="A2104" s="1" t="n">
        <v>45055</v>
      </c>
      <c r="B2104">
        <f>_xlfn.NUMBERVALUE("0.000372")</f>
        <v/>
      </c>
      <c r="C2104" s="2">
        <f>_xlfn.NUMBERVALUE("-0.000903")</f>
        <v/>
      </c>
      <c r="D2104">
        <f>_xlfn.NUMBERVALUE("0.000017")</f>
        <v/>
      </c>
      <c r="E2104">
        <f>_xlfn.NUMBERVALUE("0.000099")</f>
        <v/>
      </c>
      <c r="F2104">
        <f>_xlfn.NUMBERVALUE("0.000532")</f>
        <v/>
      </c>
      <c r="G2104">
        <f>_xlfn.NUMBERVALUE("-0.000102")</f>
        <v/>
      </c>
      <c r="H2104">
        <f>_xlfn.NUMBERVALUE("0.000035")</f>
        <v/>
      </c>
      <c r="I2104">
        <f>_xlfn.NUMBERVALUE("-0.000050")</f>
        <v/>
      </c>
      <c r="J2104">
        <f>_xlfn.NUMBERVALUE("0.000660")</f>
        <v/>
      </c>
      <c r="K2104">
        <f>_xlfn.NUMBERVALUE("0.001548")</f>
        <v/>
      </c>
      <c r="L2104">
        <f>_xlfn.NUMBERVALUE("0.001090")</f>
        <v/>
      </c>
      <c r="M2104">
        <f>_xlfn.NUMBERVALUE("-0.000501")</f>
        <v/>
      </c>
      <c r="N2104">
        <f>_xlfn.NUMBERVALUE("0.000593")</f>
        <v/>
      </c>
      <c r="O2104">
        <f>_xlfn.NUMBERVALUE("-0.000192")</f>
        <v/>
      </c>
      <c r="P2104">
        <f>_xlfn.NUMBERVALUE("0.003034")</f>
        <v/>
      </c>
      <c r="Q2104">
        <f>_xlfn.NUMBERVALUE("0.002538")</f>
        <v/>
      </c>
      <c r="R2104">
        <f>_xlfn.NUMBERVALUE("0.001924")</f>
        <v/>
      </c>
      <c r="S2104">
        <f>_xlfn.NUMBERVALUE("0.000234")</f>
        <v/>
      </c>
      <c r="T2104">
        <f>_xlfn.NUMBERVALUE("0.000369")</f>
        <v/>
      </c>
      <c r="U2104">
        <f>_xlfn.NUMBERVALUE("0.002844")</f>
        <v/>
      </c>
      <c r="V2104">
        <f>_xlfn.NUMBERVALUE("-0.000045")</f>
        <v/>
      </c>
      <c r="W2104">
        <f>_xlfn.NUMBERVALUE("-0.004092")</f>
        <v/>
      </c>
      <c r="X2104">
        <f>_xlfn.NUMBERVALUE("0.730000")</f>
        <v/>
      </c>
      <c r="Y2104">
        <f>_xlfn.NUMBERVALUE("17.710000")</f>
        <v/>
      </c>
    </row>
    <row r="2105">
      <c r="A2105" s="1" t="n">
        <v>45056</v>
      </c>
      <c r="B2105">
        <f>_xlfn.NUMBERVALUE("0.001472")</f>
        <v/>
      </c>
      <c r="C2105" s="2">
        <f>_xlfn.NUMBERVALUE("0.002015")</f>
        <v/>
      </c>
      <c r="D2105">
        <f>_xlfn.NUMBERVALUE("0.001812")</f>
        <v/>
      </c>
      <c r="E2105">
        <f>_xlfn.NUMBERVALUE("0.002394")</f>
        <v/>
      </c>
      <c r="F2105">
        <f>_xlfn.NUMBERVALUE("0.001624")</f>
        <v/>
      </c>
      <c r="G2105">
        <f>_xlfn.NUMBERVALUE("-0.000255")</f>
        <v/>
      </c>
      <c r="H2105">
        <f>_xlfn.NUMBERVALUE("0.000457")</f>
        <v/>
      </c>
      <c r="I2105">
        <f>_xlfn.NUMBERVALUE("0.002944")</f>
        <v/>
      </c>
      <c r="J2105">
        <f>_xlfn.NUMBERVALUE("0.001154")</f>
        <v/>
      </c>
      <c r="K2105">
        <f>_xlfn.NUMBERVALUE("0.002311")</f>
        <v/>
      </c>
      <c r="L2105">
        <f>_xlfn.NUMBERVALUE("0.001650")</f>
        <v/>
      </c>
      <c r="M2105">
        <f>_xlfn.NUMBERVALUE("-0.000115")</f>
        <v/>
      </c>
      <c r="N2105">
        <f>_xlfn.NUMBERVALUE("0.002713")</f>
        <v/>
      </c>
      <c r="O2105">
        <f>_xlfn.NUMBERVALUE("-0.000121")</f>
        <v/>
      </c>
      <c r="P2105">
        <f>_xlfn.NUMBERVALUE("0.000259")</f>
        <v/>
      </c>
      <c r="Q2105">
        <f>_xlfn.NUMBERVALUE("0.003639")</f>
        <v/>
      </c>
      <c r="R2105">
        <f>_xlfn.NUMBERVALUE("-0.002752")</f>
        <v/>
      </c>
      <c r="S2105">
        <f>_xlfn.NUMBERVALUE("0.001422")</f>
        <v/>
      </c>
      <c r="T2105">
        <f>_xlfn.NUMBERVALUE("0.000211")</f>
        <v/>
      </c>
      <c r="U2105">
        <f>_xlfn.NUMBERVALUE("0.001171")</f>
        <v/>
      </c>
      <c r="V2105">
        <f>_xlfn.NUMBERVALUE("0.001616")</f>
        <v/>
      </c>
      <c r="W2105">
        <f>_xlfn.NUMBERVALUE("0.004936")</f>
        <v/>
      </c>
      <c r="X2105">
        <f>_xlfn.NUMBERVALUE("-0.770000")</f>
        <v/>
      </c>
      <c r="Y2105">
        <f>_xlfn.NUMBERVALUE("16.940000")</f>
        <v/>
      </c>
    </row>
    <row r="2106">
      <c r="A2106" s="1" t="n">
        <v>45057</v>
      </c>
      <c r="B2106">
        <f>_xlfn.NUMBERVALUE("0.002001")</f>
        <v/>
      </c>
      <c r="C2106" s="2">
        <f>_xlfn.NUMBERVALUE("0.001641")</f>
        <v/>
      </c>
      <c r="D2106">
        <f>_xlfn.NUMBERVALUE("0.001162")</f>
        <v/>
      </c>
      <c r="E2106">
        <f>_xlfn.NUMBERVALUE("0.001560")</f>
        <v/>
      </c>
      <c r="F2106">
        <f>_xlfn.NUMBERVALUE("0.001221")</f>
        <v/>
      </c>
      <c r="G2106">
        <f>_xlfn.NUMBERVALUE("0.000689")</f>
        <v/>
      </c>
      <c r="H2106">
        <f>_xlfn.NUMBERVALUE("-0.000162")</f>
        <v/>
      </c>
      <c r="I2106">
        <f>_xlfn.NUMBERVALUE("0.001269")</f>
        <v/>
      </c>
      <c r="J2106">
        <f>_xlfn.NUMBERVALUE("-0.000647")</f>
        <v/>
      </c>
      <c r="K2106">
        <f>_xlfn.NUMBERVALUE("-0.012637")</f>
        <v/>
      </c>
      <c r="L2106">
        <f>_xlfn.NUMBERVALUE("-0.000488")</f>
        <v/>
      </c>
      <c r="M2106">
        <f>_xlfn.NUMBERVALUE("0.001025")</f>
        <v/>
      </c>
      <c r="N2106">
        <f>_xlfn.NUMBERVALUE("-0.001097")</f>
        <v/>
      </c>
      <c r="O2106">
        <f>_xlfn.NUMBERVALUE("0.000463")</f>
        <v/>
      </c>
      <c r="P2106">
        <f>_xlfn.NUMBERVALUE("0.001252")</f>
        <v/>
      </c>
      <c r="Q2106">
        <f>_xlfn.NUMBERVALUE("0.000723")</f>
        <v/>
      </c>
      <c r="R2106">
        <f>_xlfn.NUMBERVALUE("0.002262")</f>
        <v/>
      </c>
      <c r="S2106">
        <f>_xlfn.NUMBERVALUE("0.000382")</f>
        <v/>
      </c>
      <c r="T2106">
        <f>_xlfn.NUMBERVALUE("0.000397")</f>
        <v/>
      </c>
      <c r="U2106">
        <f>_xlfn.NUMBERVALUE("0.000499")</f>
        <v/>
      </c>
      <c r="V2106">
        <f>_xlfn.NUMBERVALUE("0.001240")</f>
        <v/>
      </c>
      <c r="W2106">
        <f>_xlfn.NUMBERVALUE("-0.003629")</f>
        <v/>
      </c>
      <c r="X2106">
        <f>_xlfn.NUMBERVALUE("-0.010000")</f>
        <v/>
      </c>
      <c r="Y2106">
        <f>_xlfn.NUMBERVALUE("16.930000")</f>
        <v/>
      </c>
    </row>
    <row r="2107">
      <c r="A2107" s="1" t="n">
        <v>45058</v>
      </c>
      <c r="B2107">
        <f>_xlfn.NUMBERVALUE("0.001607")</f>
        <v/>
      </c>
      <c r="C2107" s="2">
        <f>_xlfn.NUMBERVALUE("0.001186")</f>
        <v/>
      </c>
      <c r="D2107">
        <f>_xlfn.NUMBERVALUE("-0.000154")</f>
        <v/>
      </c>
      <c r="E2107">
        <f>_xlfn.NUMBERVALUE("0.001278")</f>
        <v/>
      </c>
      <c r="F2107">
        <f>_xlfn.NUMBERVALUE("0.001611")</f>
        <v/>
      </c>
      <c r="G2107">
        <f>_xlfn.NUMBERVALUE("0.001021")</f>
        <v/>
      </c>
      <c r="H2107">
        <f>_xlfn.NUMBERVALUE("0.001297")</f>
        <v/>
      </c>
      <c r="I2107">
        <f>_xlfn.NUMBERVALUE("0.001724")</f>
        <v/>
      </c>
      <c r="J2107">
        <f>_xlfn.NUMBERVALUE("0.000203")</f>
        <v/>
      </c>
      <c r="K2107">
        <f>_xlfn.NUMBERVALUE("-0.000032")</f>
        <v/>
      </c>
      <c r="L2107">
        <f>_xlfn.NUMBERVALUE("0.001492")</f>
        <v/>
      </c>
      <c r="M2107">
        <f>_xlfn.NUMBERVALUE("0.001906")</f>
        <v/>
      </c>
      <c r="N2107">
        <f>_xlfn.NUMBERVALUE("0.000888")</f>
        <v/>
      </c>
      <c r="O2107">
        <f>_xlfn.NUMBERVALUE("0.002518")</f>
        <v/>
      </c>
      <c r="P2107">
        <f>_xlfn.NUMBERVALUE("0.000980")</f>
        <v/>
      </c>
      <c r="Q2107">
        <f>_xlfn.NUMBERVALUE("0.001476")</f>
        <v/>
      </c>
      <c r="R2107">
        <f>_xlfn.NUMBERVALUE("0.001042")</f>
        <v/>
      </c>
      <c r="S2107">
        <f>_xlfn.NUMBERVALUE("-0.000511")</f>
        <v/>
      </c>
      <c r="T2107">
        <f>_xlfn.NUMBERVALUE("0.001127")</f>
        <v/>
      </c>
      <c r="U2107">
        <f>_xlfn.NUMBERVALUE("0.001553")</f>
        <v/>
      </c>
      <c r="V2107">
        <f>_xlfn.NUMBERVALUE("0.001338")</f>
        <v/>
      </c>
      <c r="W2107">
        <f>_xlfn.NUMBERVALUE("-0.001700")</f>
        <v/>
      </c>
      <c r="X2107">
        <f>_xlfn.NUMBERVALUE("0.100000")</f>
        <v/>
      </c>
      <c r="Y2107">
        <f>_xlfn.NUMBERVALUE("17.030000")</f>
        <v/>
      </c>
    </row>
    <row r="2108">
      <c r="A2108" s="1" t="n">
        <v>45061</v>
      </c>
      <c r="B2108">
        <f>_xlfn.NUMBERVALUE("0.001666")</f>
        <v/>
      </c>
      <c r="C2108" s="2">
        <f>_xlfn.NUMBERVALUE("0.001725")</f>
        <v/>
      </c>
      <c r="D2108">
        <f>_xlfn.NUMBERVALUE("-0.003520")</f>
        <v/>
      </c>
      <c r="E2108">
        <f>_xlfn.NUMBERVALUE("-0.000214")</f>
        <v/>
      </c>
      <c r="F2108">
        <f>_xlfn.NUMBERVALUE("0.001832")</f>
        <v/>
      </c>
      <c r="G2108">
        <f>_xlfn.NUMBERVALUE("0.001661")</f>
        <v/>
      </c>
      <c r="H2108">
        <f>_xlfn.NUMBERVALUE("0.001108")</f>
        <v/>
      </c>
      <c r="I2108">
        <f>_xlfn.NUMBERVALUE("0.000546")</f>
        <v/>
      </c>
      <c r="J2108">
        <f>_xlfn.NUMBERVALUE("-0.000057")</f>
        <v/>
      </c>
      <c r="K2108">
        <f>_xlfn.NUMBERVALUE("0.003015")</f>
        <v/>
      </c>
      <c r="L2108">
        <f>_xlfn.NUMBERVALUE("0.000410")</f>
        <v/>
      </c>
      <c r="M2108">
        <f>_xlfn.NUMBERVALUE("0.001514")</f>
        <v/>
      </c>
      <c r="N2108">
        <f>_xlfn.NUMBERVALUE("0.003177")</f>
        <v/>
      </c>
      <c r="O2108">
        <f>_xlfn.NUMBERVALUE("0.003447")</f>
        <v/>
      </c>
      <c r="P2108">
        <f>_xlfn.NUMBERVALUE("0.003353")</f>
        <v/>
      </c>
      <c r="Q2108">
        <f>_xlfn.NUMBERVALUE("0.002126")</f>
        <v/>
      </c>
      <c r="R2108">
        <f>_xlfn.NUMBERVALUE("0.001550")</f>
        <v/>
      </c>
      <c r="S2108">
        <f>_xlfn.NUMBERVALUE("0.002483")</f>
        <v/>
      </c>
      <c r="T2108">
        <f>_xlfn.NUMBERVALUE("0.001706")</f>
        <v/>
      </c>
      <c r="U2108">
        <f>_xlfn.NUMBERVALUE("0.003666")</f>
        <v/>
      </c>
      <c r="V2108">
        <f>_xlfn.NUMBERVALUE("0.001577")</f>
        <v/>
      </c>
      <c r="W2108">
        <f>_xlfn.NUMBERVALUE("0.003357")</f>
        <v/>
      </c>
      <c r="X2108">
        <f>_xlfn.NUMBERVALUE("0.090000")</f>
        <v/>
      </c>
      <c r="Y2108">
        <f>_xlfn.NUMBERVALUE("17.120000")</f>
        <v/>
      </c>
    </row>
    <row r="2109">
      <c r="A2109" s="1" t="n">
        <v>45062</v>
      </c>
      <c r="B2109">
        <f>_xlfn.NUMBERVALUE("0.000933")</f>
        <v/>
      </c>
      <c r="C2109" s="2">
        <f>_xlfn.NUMBERVALUE("0.000141")</f>
        <v/>
      </c>
      <c r="D2109">
        <f>_xlfn.NUMBERVALUE("-0.000219")</f>
        <v/>
      </c>
      <c r="E2109">
        <f>_xlfn.NUMBERVALUE("0.000376")</f>
        <v/>
      </c>
      <c r="F2109">
        <f>_xlfn.NUMBERVALUE("-0.001920")</f>
        <v/>
      </c>
      <c r="G2109">
        <f>_xlfn.NUMBERVALUE("-0.000457")</f>
        <v/>
      </c>
      <c r="H2109">
        <f>_xlfn.NUMBERVALUE("-0.000395")</f>
        <v/>
      </c>
      <c r="I2109">
        <f>_xlfn.NUMBERVALUE("-0.000364")</f>
        <v/>
      </c>
      <c r="J2109">
        <f>_xlfn.NUMBERVALUE("0.000306")</f>
        <v/>
      </c>
      <c r="K2109">
        <f>_xlfn.NUMBERVALUE("-0.000811")</f>
        <v/>
      </c>
      <c r="L2109">
        <f>_xlfn.NUMBERVALUE("-0.000950")</f>
        <v/>
      </c>
      <c r="M2109">
        <f>_xlfn.NUMBERVALUE("-0.001376")</f>
        <v/>
      </c>
      <c r="N2109">
        <f>_xlfn.NUMBERVALUE("0.000915")</f>
        <v/>
      </c>
      <c r="O2109">
        <f>_xlfn.NUMBERVALUE("-0.001829")</f>
        <v/>
      </c>
      <c r="P2109">
        <f>_xlfn.NUMBERVALUE("0.000199")</f>
        <v/>
      </c>
      <c r="Q2109">
        <f>_xlfn.NUMBERVALUE("0.000538")</f>
        <v/>
      </c>
      <c r="R2109">
        <f>_xlfn.NUMBERVALUE("-0.001381")</f>
        <v/>
      </c>
      <c r="S2109">
        <f>_xlfn.NUMBERVALUE("0.000414")</f>
        <v/>
      </c>
      <c r="T2109">
        <f>_xlfn.NUMBERVALUE("-0.003236")</f>
        <v/>
      </c>
      <c r="U2109">
        <f>_xlfn.NUMBERVALUE("0.000364")</f>
        <v/>
      </c>
      <c r="V2109">
        <f>_xlfn.NUMBERVALUE("0.000006")</f>
        <v/>
      </c>
      <c r="W2109">
        <f>_xlfn.NUMBERVALUE("-0.003176")</f>
        <v/>
      </c>
      <c r="X2109">
        <f>_xlfn.NUMBERVALUE("0.870000")</f>
        <v/>
      </c>
      <c r="Y2109">
        <f>_xlfn.NUMBERVALUE("17.990000")</f>
        <v/>
      </c>
    </row>
    <row r="2110">
      <c r="A2110" s="1" t="n">
        <v>45063</v>
      </c>
      <c r="B2110">
        <f>_xlfn.NUMBERVALUE("-0.000248")</f>
        <v/>
      </c>
      <c r="C2110" s="2">
        <f>_xlfn.NUMBERVALUE("-0.000995")</f>
        <v/>
      </c>
      <c r="D2110">
        <f>_xlfn.NUMBERVALUE("0.001362")</f>
        <v/>
      </c>
      <c r="E2110">
        <f>_xlfn.NUMBERVALUE("0.000262")</f>
        <v/>
      </c>
      <c r="F2110">
        <f>_xlfn.NUMBERVALUE("0.001228")</f>
        <v/>
      </c>
      <c r="G2110">
        <f>_xlfn.NUMBERVALUE("0.000406")</f>
        <v/>
      </c>
      <c r="H2110">
        <f>_xlfn.NUMBERVALUE("0.000475")</f>
        <v/>
      </c>
      <c r="I2110">
        <f>_xlfn.NUMBERVALUE("-0.003977")</f>
        <v/>
      </c>
      <c r="J2110">
        <f>_xlfn.NUMBERVALUE("0.000550")</f>
        <v/>
      </c>
      <c r="K2110">
        <f>_xlfn.NUMBERVALUE("0.001136")</f>
        <v/>
      </c>
      <c r="L2110">
        <f>_xlfn.NUMBERVALUE("0.001563")</f>
        <v/>
      </c>
      <c r="M2110">
        <f>_xlfn.NUMBERVALUE("0.001583")</f>
        <v/>
      </c>
      <c r="N2110">
        <f>_xlfn.NUMBERVALUE("-0.000660")</f>
        <v/>
      </c>
      <c r="O2110">
        <f>_xlfn.NUMBERVALUE("0.000765")</f>
        <v/>
      </c>
      <c r="P2110">
        <f>_xlfn.NUMBERVALUE("-0.001239")</f>
        <v/>
      </c>
      <c r="Q2110">
        <f>_xlfn.NUMBERVALUE("-0.001456")</f>
        <v/>
      </c>
      <c r="R2110">
        <f>_xlfn.NUMBERVALUE("-0.000244")</f>
        <v/>
      </c>
      <c r="S2110">
        <f>_xlfn.NUMBERVALUE("0.001612")</f>
        <v/>
      </c>
      <c r="T2110">
        <f>_xlfn.NUMBERVALUE("-0.000302")</f>
        <v/>
      </c>
      <c r="U2110">
        <f>_xlfn.NUMBERVALUE("-0.003063")</f>
        <v/>
      </c>
      <c r="V2110">
        <f>_xlfn.NUMBERVALUE("-0.000868")</f>
        <v/>
      </c>
      <c r="W2110">
        <f>_xlfn.NUMBERVALUE("0.009534")</f>
        <v/>
      </c>
      <c r="X2110">
        <f>_xlfn.NUMBERVALUE("-1.120000")</f>
        <v/>
      </c>
      <c r="Y2110">
        <f>_xlfn.NUMBERVALUE("16.870000")</f>
        <v/>
      </c>
    </row>
    <row r="2111">
      <c r="A2111" s="1" t="n">
        <v>45064</v>
      </c>
      <c r="B2111">
        <f>_xlfn.NUMBERVALUE("-0.000063")</f>
        <v/>
      </c>
      <c r="C2111" s="2">
        <f>_xlfn.NUMBERVALUE("0.000474")</f>
        <v/>
      </c>
      <c r="D2111">
        <f>_xlfn.NUMBERVALUE("0.001940")</f>
        <v/>
      </c>
      <c r="E2111">
        <f>_xlfn.NUMBERVALUE("0.000853")</f>
        <v/>
      </c>
      <c r="F2111">
        <f>_xlfn.NUMBERVALUE("-0.001480")</f>
        <v/>
      </c>
      <c r="G2111">
        <f>_xlfn.NUMBERVALUE("0.000283")</f>
        <v/>
      </c>
      <c r="H2111">
        <f>_xlfn.NUMBERVALUE("-0.000224")</f>
        <v/>
      </c>
      <c r="I2111">
        <f>_xlfn.NUMBERVALUE("0.000505")</f>
        <v/>
      </c>
      <c r="J2111">
        <f>_xlfn.NUMBERVALUE("0.000395")</f>
        <v/>
      </c>
      <c r="K2111">
        <f>_xlfn.NUMBERVALUE("0.000146")</f>
        <v/>
      </c>
      <c r="L2111">
        <f>_xlfn.NUMBERVALUE("-0.000045")</f>
        <v/>
      </c>
      <c r="M2111">
        <f>_xlfn.NUMBERVALUE("0.000654")</f>
        <v/>
      </c>
      <c r="N2111">
        <f>_xlfn.NUMBERVALUE("-0.004129")</f>
        <v/>
      </c>
      <c r="O2111">
        <f>_xlfn.NUMBERVALUE("0.002009")</f>
        <v/>
      </c>
      <c r="P2111">
        <f>_xlfn.NUMBERVALUE("0.000346")</f>
        <v/>
      </c>
      <c r="Q2111">
        <f>_xlfn.NUMBERVALUE("0.000236")</f>
        <v/>
      </c>
      <c r="R2111">
        <f>_xlfn.NUMBERVALUE("-0.005539")</f>
        <v/>
      </c>
      <c r="S2111">
        <f>_xlfn.NUMBERVALUE("0.000789")</f>
        <v/>
      </c>
      <c r="T2111">
        <f>_xlfn.NUMBERVALUE("0.000523")</f>
        <v/>
      </c>
      <c r="U2111">
        <f>_xlfn.NUMBERVALUE("-0.000896")</f>
        <v/>
      </c>
      <c r="V2111">
        <f>_xlfn.NUMBERVALUE("-0.001219")</f>
        <v/>
      </c>
      <c r="W2111">
        <f>_xlfn.NUMBERVALUE("0.009540")</f>
        <v/>
      </c>
      <c r="X2111">
        <f>_xlfn.NUMBERVALUE("-0.820000")</f>
        <v/>
      </c>
      <c r="Y2111">
        <f>_xlfn.NUMBERVALUE("16.050000")</f>
        <v/>
      </c>
    </row>
    <row r="2112">
      <c r="A2112" s="1" t="n">
        <v>45065</v>
      </c>
      <c r="B2112">
        <f>_xlfn.NUMBERVALUE("0.001882")</f>
        <v/>
      </c>
      <c r="C2112" s="2">
        <f>_xlfn.NUMBERVALUE("0.000326")</f>
        <v/>
      </c>
      <c r="D2112">
        <f>_xlfn.NUMBERVALUE("0.000847")</f>
        <v/>
      </c>
      <c r="E2112">
        <f>_xlfn.NUMBERVALUE("-0.000340")</f>
        <v/>
      </c>
      <c r="F2112">
        <f>_xlfn.NUMBERVALUE("-0.000581")</f>
        <v/>
      </c>
      <c r="G2112">
        <f>_xlfn.NUMBERVALUE("0.000084")</f>
        <v/>
      </c>
      <c r="H2112">
        <f>_xlfn.NUMBERVALUE("-0.000941")</f>
        <v/>
      </c>
      <c r="I2112">
        <f>_xlfn.NUMBERVALUE("0.001084")</f>
        <v/>
      </c>
      <c r="J2112">
        <f>_xlfn.NUMBERVALUE("0.000230")</f>
        <v/>
      </c>
      <c r="K2112">
        <f>_xlfn.NUMBERVALUE("-0.000232")</f>
        <v/>
      </c>
      <c r="L2112">
        <f>_xlfn.NUMBERVALUE("-0.000534")</f>
        <v/>
      </c>
      <c r="M2112">
        <f>_xlfn.NUMBERVALUE("-0.000186")</f>
        <v/>
      </c>
      <c r="N2112">
        <f>_xlfn.NUMBERVALUE("0.000264")</f>
        <v/>
      </c>
      <c r="O2112">
        <f>_xlfn.NUMBERVALUE("-0.000287")</f>
        <v/>
      </c>
      <c r="P2112">
        <f>_xlfn.NUMBERVALUE("-0.000918")</f>
        <v/>
      </c>
      <c r="Q2112">
        <f>_xlfn.NUMBERVALUE("-0.000317")</f>
        <v/>
      </c>
      <c r="R2112">
        <f>_xlfn.NUMBERVALUE("0.000199")</f>
        <v/>
      </c>
      <c r="S2112">
        <f>_xlfn.NUMBERVALUE("0.000406")</f>
        <v/>
      </c>
      <c r="T2112">
        <f>_xlfn.NUMBERVALUE("0.000319")</f>
        <v/>
      </c>
      <c r="U2112">
        <f>_xlfn.NUMBERVALUE("-0.000009")</f>
        <v/>
      </c>
      <c r="V2112">
        <f>_xlfn.NUMBERVALUE("0.000356")</f>
        <v/>
      </c>
      <c r="W2112">
        <f>_xlfn.NUMBERVALUE("-0.000907")</f>
        <v/>
      </c>
      <c r="X2112">
        <f>_xlfn.NUMBERVALUE("0.760000")</f>
        <v/>
      </c>
      <c r="Y2112">
        <f>_xlfn.NUMBERVALUE("16.810000")</f>
        <v/>
      </c>
    </row>
    <row r="2113">
      <c r="A2113" s="1" t="n">
        <v>45068</v>
      </c>
      <c r="B2113">
        <f>_xlfn.NUMBERVALUE("-0.000530")</f>
        <v/>
      </c>
      <c r="C2113" s="2">
        <f>_xlfn.NUMBERVALUE("0.001208")</f>
        <v/>
      </c>
      <c r="D2113">
        <f>_xlfn.NUMBERVALUE("-0.000862")</f>
        <v/>
      </c>
      <c r="E2113">
        <f>_xlfn.NUMBERVALUE("0.001488")</f>
        <v/>
      </c>
      <c r="F2113">
        <f>_xlfn.NUMBERVALUE("0.000278")</f>
        <v/>
      </c>
      <c r="G2113">
        <f>_xlfn.NUMBERVALUE("-0.000316")</f>
        <v/>
      </c>
      <c r="H2113">
        <f>_xlfn.NUMBERVALUE("0.001008")</f>
        <v/>
      </c>
      <c r="I2113">
        <f>_xlfn.NUMBERVALUE("-0.001498")</f>
        <v/>
      </c>
      <c r="J2113">
        <f>_xlfn.NUMBERVALUE("-0.000207")</f>
        <v/>
      </c>
      <c r="K2113">
        <f>_xlfn.NUMBERVALUE("0.000298")</f>
        <v/>
      </c>
      <c r="L2113">
        <f>_xlfn.NUMBERVALUE("0.001841")</f>
        <v/>
      </c>
      <c r="M2113">
        <f>_xlfn.NUMBERVALUE("0.001890")</f>
        <v/>
      </c>
      <c r="N2113">
        <f>_xlfn.NUMBERVALUE("-0.000530")</f>
        <v/>
      </c>
      <c r="O2113">
        <f>_xlfn.NUMBERVALUE("0.003046")</f>
        <v/>
      </c>
      <c r="P2113">
        <f>_xlfn.NUMBERVALUE("0.002664")</f>
        <v/>
      </c>
      <c r="Q2113">
        <f>_xlfn.NUMBERVALUE("0.001518")</f>
        <v/>
      </c>
      <c r="R2113">
        <f>_xlfn.NUMBERVALUE("0.001289")</f>
        <v/>
      </c>
      <c r="S2113">
        <f>_xlfn.NUMBERVALUE("-0.002422")</f>
        <v/>
      </c>
      <c r="T2113">
        <f>_xlfn.NUMBERVALUE("-0.000159")</f>
        <v/>
      </c>
      <c r="U2113">
        <f>_xlfn.NUMBERVALUE("0.001992")</f>
        <v/>
      </c>
      <c r="V2113">
        <f>_xlfn.NUMBERVALUE("0.001063")</f>
        <v/>
      </c>
      <c r="W2113">
        <f>_xlfn.NUMBERVALUE("0.000573")</f>
        <v/>
      </c>
      <c r="X2113">
        <f>_xlfn.NUMBERVALUE("0.400000")</f>
        <v/>
      </c>
      <c r="Y2113">
        <f>_xlfn.NUMBERVALUE("17.210000")</f>
        <v/>
      </c>
    </row>
    <row r="2114">
      <c r="A2114" s="1" t="n">
        <v>45069</v>
      </c>
      <c r="B2114">
        <f>_xlfn.NUMBERVALUE("-0.000458")</f>
        <v/>
      </c>
      <c r="C2114" s="2">
        <f>_xlfn.NUMBERVALUE("-0.000225")</f>
        <v/>
      </c>
      <c r="D2114">
        <f>_xlfn.NUMBERVALUE("-0.002549")</f>
        <v/>
      </c>
      <c r="E2114">
        <f>_xlfn.NUMBERVALUE("-0.002369")</f>
        <v/>
      </c>
      <c r="F2114">
        <f>_xlfn.NUMBERVALUE("0.000173")</f>
        <v/>
      </c>
      <c r="G2114">
        <f>_xlfn.NUMBERVALUE("-0.000425")</f>
        <v/>
      </c>
      <c r="H2114">
        <f>_xlfn.NUMBERVALUE("-0.000558")</f>
        <v/>
      </c>
      <c r="I2114">
        <f>_xlfn.NUMBERVALUE("-0.000284")</f>
        <v/>
      </c>
      <c r="J2114">
        <f>_xlfn.NUMBERVALUE("0.000399")</f>
        <v/>
      </c>
      <c r="K2114">
        <f>_xlfn.NUMBERVALUE("0.000030")</f>
        <v/>
      </c>
      <c r="L2114">
        <f>_xlfn.NUMBERVALUE("0.000254")</f>
        <v/>
      </c>
      <c r="M2114">
        <f>_xlfn.NUMBERVALUE("-0.002168")</f>
        <v/>
      </c>
      <c r="N2114">
        <f>_xlfn.NUMBERVALUE("-0.000134")</f>
        <v/>
      </c>
      <c r="O2114">
        <f>_xlfn.NUMBERVALUE("-0.002448")</f>
        <v/>
      </c>
      <c r="P2114">
        <f>_xlfn.NUMBERVALUE("-0.000994")</f>
        <v/>
      </c>
      <c r="Q2114">
        <f>_xlfn.NUMBERVALUE("-0.001894")</f>
        <v/>
      </c>
      <c r="R2114">
        <f>_xlfn.NUMBERVALUE("0.000423")</f>
        <v/>
      </c>
      <c r="S2114">
        <f>_xlfn.NUMBERVALUE("-0.000588")</f>
        <v/>
      </c>
      <c r="T2114">
        <f>_xlfn.NUMBERVALUE("0.000505")</f>
        <v/>
      </c>
      <c r="U2114">
        <f>_xlfn.NUMBERVALUE("-0.000129")</f>
        <v/>
      </c>
      <c r="V2114">
        <f>_xlfn.NUMBERVALUE("-0.000366")</f>
        <v/>
      </c>
      <c r="W2114">
        <f>_xlfn.NUMBERVALUE("-0.009286")</f>
        <v/>
      </c>
      <c r="X2114">
        <f>_xlfn.NUMBERVALUE("1.320000")</f>
        <v/>
      </c>
      <c r="Y2114">
        <f>_xlfn.NUMBERVALUE("18.530000")</f>
        <v/>
      </c>
    </row>
    <row r="2115">
      <c r="A2115" s="1" t="n">
        <v>45070</v>
      </c>
      <c r="B2115">
        <f>_xlfn.NUMBERVALUE("0.000335")</f>
        <v/>
      </c>
      <c r="C2115" s="2">
        <f>_xlfn.NUMBERVALUE("-0.001218")</f>
        <v/>
      </c>
      <c r="D2115">
        <f>_xlfn.NUMBERVALUE("-0.001913")</f>
        <v/>
      </c>
      <c r="E2115">
        <f>_xlfn.NUMBERVALUE("-0.002364")</f>
        <v/>
      </c>
      <c r="F2115">
        <f>_xlfn.NUMBERVALUE("-0.000527")</f>
        <v/>
      </c>
      <c r="G2115">
        <f>_xlfn.NUMBERVALUE("-0.001799")</f>
        <v/>
      </c>
      <c r="H2115">
        <f>_xlfn.NUMBERVALUE("-0.000208")</f>
        <v/>
      </c>
      <c r="I2115">
        <f>_xlfn.NUMBERVALUE("0.000221")</f>
        <v/>
      </c>
      <c r="J2115">
        <f>_xlfn.NUMBERVALUE("-0.000016")</f>
        <v/>
      </c>
      <c r="K2115">
        <f>_xlfn.NUMBERVALUE("-0.000320")</f>
        <v/>
      </c>
      <c r="L2115">
        <f>_xlfn.NUMBERVALUE("-0.000563")</f>
        <v/>
      </c>
      <c r="M2115">
        <f>_xlfn.NUMBERVALUE("-0.002108")</f>
        <v/>
      </c>
      <c r="N2115">
        <f>_xlfn.NUMBERVALUE("-0.000752")</f>
        <v/>
      </c>
      <c r="O2115">
        <f>_xlfn.NUMBERVALUE("-0.001202")</f>
        <v/>
      </c>
      <c r="P2115">
        <f>_xlfn.NUMBERVALUE("-0.002972")</f>
        <v/>
      </c>
      <c r="Q2115">
        <f>_xlfn.NUMBERVALUE("-0.003100")</f>
        <v/>
      </c>
      <c r="R2115">
        <f>_xlfn.NUMBERVALUE("-0.000726")</f>
        <v/>
      </c>
      <c r="S2115">
        <f>_xlfn.NUMBERVALUE("0.000001")</f>
        <v/>
      </c>
      <c r="T2115">
        <f>_xlfn.NUMBERVALUE("-0.000967")</f>
        <v/>
      </c>
      <c r="U2115">
        <f>_xlfn.NUMBERVALUE("-0.001899")</f>
        <v/>
      </c>
      <c r="V2115">
        <f>_xlfn.NUMBERVALUE("-0.000416")</f>
        <v/>
      </c>
      <c r="W2115">
        <f>_xlfn.NUMBERVALUE("-0.008819")</f>
        <v/>
      </c>
      <c r="X2115">
        <f>_xlfn.NUMBERVALUE("1.500000")</f>
        <v/>
      </c>
      <c r="Y2115">
        <f>_xlfn.NUMBERVALUE("20.030000")</f>
        <v/>
      </c>
    </row>
    <row r="2116">
      <c r="A2116" s="1" t="n">
        <v>45071</v>
      </c>
      <c r="B2116">
        <f>_xlfn.NUMBERVALUE("-0.000121")</f>
        <v/>
      </c>
      <c r="C2116" s="2">
        <f>_xlfn.NUMBERVALUE("0.000421")</f>
        <v/>
      </c>
      <c r="D2116">
        <f>_xlfn.NUMBERVALUE("0.001060")</f>
        <v/>
      </c>
      <c r="E2116">
        <f>_xlfn.NUMBERVALUE("-0.000146")</f>
        <v/>
      </c>
      <c r="F2116">
        <f>_xlfn.NUMBERVALUE("-0.000983")</f>
        <v/>
      </c>
      <c r="G2116">
        <f>_xlfn.NUMBERVALUE("0.000683")</f>
        <v/>
      </c>
      <c r="H2116">
        <f>_xlfn.NUMBERVALUE("-0.001137")</f>
        <v/>
      </c>
      <c r="I2116">
        <f>_xlfn.NUMBERVALUE("0.001388")</f>
        <v/>
      </c>
      <c r="J2116">
        <f>_xlfn.NUMBERVALUE("-0.001127")</f>
        <v/>
      </c>
      <c r="K2116">
        <f>_xlfn.NUMBERVALUE("-0.000167")</f>
        <v/>
      </c>
      <c r="L2116">
        <f>_xlfn.NUMBERVALUE("-0.001808")</f>
        <v/>
      </c>
      <c r="M2116">
        <f>_xlfn.NUMBERVALUE("0.000934")</f>
        <v/>
      </c>
      <c r="N2116">
        <f>_xlfn.NUMBERVALUE("0.000860")</f>
        <v/>
      </c>
      <c r="O2116">
        <f>_xlfn.NUMBERVALUE("0.000182")</f>
        <v/>
      </c>
      <c r="P2116">
        <f>_xlfn.NUMBERVALUE("0.003098")</f>
        <v/>
      </c>
      <c r="Q2116">
        <f>_xlfn.NUMBERVALUE("0.001984")</f>
        <v/>
      </c>
      <c r="R2116">
        <f>_xlfn.NUMBERVALUE("-0.015139")</f>
        <v/>
      </c>
      <c r="S2116">
        <f>_xlfn.NUMBERVALUE("-0.000386")</f>
        <v/>
      </c>
      <c r="T2116">
        <f>_xlfn.NUMBERVALUE("-0.000090")</f>
        <v/>
      </c>
      <c r="U2116">
        <f>_xlfn.NUMBERVALUE("0.002762")</f>
        <v/>
      </c>
      <c r="V2116">
        <f>_xlfn.NUMBERVALUE("-0.000241")</f>
        <v/>
      </c>
      <c r="W2116">
        <f>_xlfn.NUMBERVALUE("0.010161")</f>
        <v/>
      </c>
      <c r="X2116">
        <f>_xlfn.NUMBERVALUE("-0.890000")</f>
        <v/>
      </c>
      <c r="Y2116">
        <f>_xlfn.NUMBERVALUE("19.140000")</f>
        <v/>
      </c>
    </row>
    <row r="2117">
      <c r="A2117" s="1" t="n">
        <v>45072</v>
      </c>
      <c r="B2117">
        <f>_xlfn.NUMBERVALUE("0.001292")</f>
        <v/>
      </c>
      <c r="C2117" s="2">
        <f>_xlfn.NUMBERVALUE("0.000028")</f>
        <v/>
      </c>
      <c r="D2117">
        <f>_xlfn.NUMBERVALUE("-0.001459")</f>
        <v/>
      </c>
      <c r="E2117">
        <f>_xlfn.NUMBERVALUE("0.000889")</f>
        <v/>
      </c>
      <c r="F2117">
        <f>_xlfn.NUMBERVALUE("0.001039")</f>
        <v/>
      </c>
      <c r="G2117">
        <f>_xlfn.NUMBERVALUE("0.001263")</f>
        <v/>
      </c>
      <c r="H2117">
        <f>_xlfn.NUMBERVALUE("0.000324")</f>
        <v/>
      </c>
      <c r="I2117">
        <f>_xlfn.NUMBERVALUE("0.001396")</f>
        <v/>
      </c>
      <c r="J2117">
        <f>_xlfn.NUMBERVALUE("0.000001")</f>
        <v/>
      </c>
      <c r="K2117">
        <f>_xlfn.NUMBERVALUE("-0.000826")</f>
        <v/>
      </c>
      <c r="L2117">
        <f>_xlfn.NUMBERVALUE("0.002370")</f>
        <v/>
      </c>
      <c r="M2117">
        <f>_xlfn.NUMBERVALUE("0.001018")</f>
        <v/>
      </c>
      <c r="N2117">
        <f>_xlfn.NUMBERVALUE("-0.004760")</f>
        <v/>
      </c>
      <c r="O2117">
        <f>_xlfn.NUMBERVALUE("0.003040")</f>
        <v/>
      </c>
      <c r="P2117">
        <f>_xlfn.NUMBERVALUE("0.002084")</f>
        <v/>
      </c>
      <c r="Q2117">
        <f>_xlfn.NUMBERVALUE("0.001439")</f>
        <v/>
      </c>
      <c r="R2117">
        <f>_xlfn.NUMBERVALUE("-0.004348")</f>
        <v/>
      </c>
      <c r="S2117">
        <f>_xlfn.NUMBERVALUE("-0.002041")</f>
        <v/>
      </c>
      <c r="T2117">
        <f>_xlfn.NUMBERVALUE("-0.000621")</f>
        <v/>
      </c>
      <c r="U2117">
        <f>_xlfn.NUMBERVALUE("-0.005421")</f>
        <v/>
      </c>
      <c r="V2117">
        <f>_xlfn.NUMBERVALUE("-0.001884")</f>
        <v/>
      </c>
      <c r="W2117">
        <f>_xlfn.NUMBERVALUE("0.011599")</f>
        <v/>
      </c>
      <c r="X2117">
        <f>_xlfn.NUMBERVALUE("-1.190000")</f>
        <v/>
      </c>
      <c r="Y2117">
        <f>_xlfn.NUMBERVALUE("17.950000")</f>
        <v/>
      </c>
    </row>
    <row r="2118">
      <c r="A2118" s="1" t="n">
        <v>45076</v>
      </c>
      <c r="B2118">
        <f>_xlfn.NUMBERVALUE("0.000554")</f>
        <v/>
      </c>
      <c r="C2118" s="2">
        <f>_xlfn.NUMBERVALUE("0.000608")</f>
        <v/>
      </c>
      <c r="D2118">
        <f>_xlfn.NUMBERVALUE("-0.000501")</f>
        <v/>
      </c>
      <c r="E2118">
        <f>_xlfn.NUMBERVALUE("-0.000476")</f>
        <v/>
      </c>
      <c r="F2118">
        <f>_xlfn.NUMBERVALUE("0.000829")</f>
        <v/>
      </c>
      <c r="G2118">
        <f>_xlfn.NUMBERVALUE("-0.000738")</f>
        <v/>
      </c>
      <c r="H2118">
        <f>_xlfn.NUMBERVALUE("-0.000189")</f>
        <v/>
      </c>
      <c r="I2118">
        <f>_xlfn.NUMBERVALUE("0.005521")</f>
        <v/>
      </c>
      <c r="J2118">
        <f>_xlfn.NUMBERVALUE("0.000290")</f>
        <v/>
      </c>
      <c r="K2118">
        <f>_xlfn.NUMBERVALUE("0.000370")</f>
        <v/>
      </c>
      <c r="L2118">
        <f>_xlfn.NUMBERVALUE("0.002434")</f>
        <v/>
      </c>
      <c r="M2118">
        <f>_xlfn.NUMBERVALUE("0.000399")</f>
        <v/>
      </c>
      <c r="N2118">
        <f>_xlfn.NUMBERVALUE("0.004091")</f>
        <v/>
      </c>
      <c r="O2118">
        <f>_xlfn.NUMBERVALUE("0.002740")</f>
        <v/>
      </c>
      <c r="P2118">
        <f>_xlfn.NUMBERVALUE("0.002884")</f>
        <v/>
      </c>
      <c r="Q2118">
        <f>_xlfn.NUMBERVALUE("0.003205")</f>
        <v/>
      </c>
      <c r="R2118">
        <f>_xlfn.NUMBERVALUE("0.002823")</f>
        <v/>
      </c>
      <c r="S2118">
        <f>_xlfn.NUMBERVALUE("-0.000356")</f>
        <v/>
      </c>
      <c r="T2118">
        <f>_xlfn.NUMBERVALUE("-0.000253")</f>
        <v/>
      </c>
      <c r="U2118">
        <f>_xlfn.NUMBERVALUE("0.002447")</f>
        <v/>
      </c>
      <c r="V2118">
        <f>_xlfn.NUMBERVALUE("0.004515")</f>
        <v/>
      </c>
      <c r="W2118">
        <f>_xlfn.NUMBERVALUE("0.000048")</f>
        <v/>
      </c>
      <c r="X2118">
        <f>_xlfn.NUMBERVALUE("-0.490000")</f>
        <v/>
      </c>
      <c r="Y2118">
        <f>_xlfn.NUMBERVALUE("17.460000")</f>
        <v/>
      </c>
    </row>
    <row r="2119">
      <c r="A2119" s="1" t="n">
        <v>45077</v>
      </c>
      <c r="B2119">
        <f>_xlfn.NUMBERVALUE("0.001881")</f>
        <v/>
      </c>
      <c r="C2119" s="2">
        <f>_xlfn.NUMBERVALUE("0.000471")</f>
        <v/>
      </c>
      <c r="D2119">
        <f>_xlfn.NUMBERVALUE("0.000621")</f>
        <v/>
      </c>
      <c r="E2119">
        <f>_xlfn.NUMBERVALUE("-0.000675")</f>
        <v/>
      </c>
      <c r="F2119">
        <f>_xlfn.NUMBERVALUE("0.000672")</f>
        <v/>
      </c>
      <c r="G2119">
        <f>_xlfn.NUMBERVALUE("0.000007")</f>
        <v/>
      </c>
      <c r="H2119">
        <f>_xlfn.NUMBERVALUE("0.000222")</f>
        <v/>
      </c>
      <c r="I2119">
        <f>_xlfn.NUMBERVALUE("0.001282")</f>
        <v/>
      </c>
      <c r="J2119">
        <f>_xlfn.NUMBERVALUE("-0.000093")</f>
        <v/>
      </c>
      <c r="K2119">
        <f>_xlfn.NUMBERVALUE("0.000259")</f>
        <v/>
      </c>
      <c r="L2119">
        <f>_xlfn.NUMBERVALUE("0.000990")</f>
        <v/>
      </c>
      <c r="M2119">
        <f>_xlfn.NUMBERVALUE("0.000321")</f>
        <v/>
      </c>
      <c r="N2119">
        <f>_xlfn.NUMBERVALUE("0.001597")</f>
        <v/>
      </c>
      <c r="O2119">
        <f>_xlfn.NUMBERVALUE("-0.000436")</f>
        <v/>
      </c>
      <c r="P2119">
        <f>_xlfn.NUMBERVALUE("0.000443")</f>
        <v/>
      </c>
      <c r="Q2119">
        <f>_xlfn.NUMBERVALUE("-0.000636")</f>
        <v/>
      </c>
      <c r="R2119">
        <f>_xlfn.NUMBERVALUE("0.000889")</f>
        <v/>
      </c>
      <c r="S2119">
        <f>_xlfn.NUMBERVALUE("-0.000205")</f>
        <v/>
      </c>
      <c r="T2119">
        <f>_xlfn.NUMBERVALUE("-0.000065")</f>
        <v/>
      </c>
      <c r="U2119">
        <f>_xlfn.NUMBERVALUE("0.002468")</f>
        <v/>
      </c>
      <c r="V2119">
        <f>_xlfn.NUMBERVALUE("0.002366")</f>
        <v/>
      </c>
      <c r="W2119">
        <f>_xlfn.NUMBERVALUE("-0.003283")</f>
        <v/>
      </c>
      <c r="X2119">
        <f>_xlfn.NUMBERVALUE("0.480000")</f>
        <v/>
      </c>
      <c r="Y2119">
        <f>_xlfn.NUMBERVALUE("17.940000")</f>
        <v/>
      </c>
    </row>
    <row r="2120">
      <c r="A2120" s="1" t="n">
        <v>45078</v>
      </c>
      <c r="B2120">
        <f>_xlfn.NUMBERVALUE("0.000831")</f>
        <v/>
      </c>
      <c r="C2120" s="2">
        <f>_xlfn.NUMBERVALUE("0.000285")</f>
        <v/>
      </c>
      <c r="D2120">
        <f>_xlfn.NUMBERVALUE("-0.000956")</f>
        <v/>
      </c>
      <c r="E2120">
        <f>_xlfn.NUMBERVALUE("-0.000786")</f>
        <v/>
      </c>
      <c r="F2120">
        <f>_xlfn.NUMBERVALUE("0.000290")</f>
        <v/>
      </c>
      <c r="G2120">
        <f>_xlfn.NUMBERVALUE("0.002649")</f>
        <v/>
      </c>
      <c r="H2120">
        <f>_xlfn.NUMBERVALUE("0.002475")</f>
        <v/>
      </c>
      <c r="I2120">
        <f>_xlfn.NUMBERVALUE("0.002354")</f>
        <v/>
      </c>
      <c r="J2120">
        <f>_xlfn.NUMBERVALUE("0.002079")</f>
        <v/>
      </c>
      <c r="K2120">
        <f>_xlfn.NUMBERVALUE("-0.000199")</f>
        <v/>
      </c>
      <c r="L2120">
        <f>_xlfn.NUMBERVALUE("0.002871")</f>
        <v/>
      </c>
      <c r="M2120">
        <f>_xlfn.NUMBERVALUE("0.000469")</f>
        <v/>
      </c>
      <c r="N2120">
        <f>_xlfn.NUMBERVALUE("0.001697")</f>
        <v/>
      </c>
      <c r="O2120">
        <f>_xlfn.NUMBERVALUE("0.000388")</f>
        <v/>
      </c>
      <c r="P2120">
        <f>_xlfn.NUMBERVALUE("0.001946")</f>
        <v/>
      </c>
      <c r="Q2120">
        <f>_xlfn.NUMBERVALUE("0.001080")</f>
        <v/>
      </c>
      <c r="R2120">
        <f>_xlfn.NUMBERVALUE("0.000973")</f>
        <v/>
      </c>
      <c r="S2120">
        <f>_xlfn.NUMBERVALUE("-0.000174")</f>
        <v/>
      </c>
      <c r="T2120">
        <f>_xlfn.NUMBERVALUE("0.000231")</f>
        <v/>
      </c>
      <c r="U2120">
        <f>_xlfn.NUMBERVALUE("-0.000272")</f>
        <v/>
      </c>
      <c r="V2120">
        <f>_xlfn.NUMBERVALUE("0.001151")</f>
        <v/>
      </c>
      <c r="W2120">
        <f>_xlfn.NUMBERVALUE("0.005513")</f>
        <v/>
      </c>
      <c r="X2120">
        <f>_xlfn.NUMBERVALUE("-2.290000")</f>
        <v/>
      </c>
      <c r="Y2120">
        <f>_xlfn.NUMBERVALUE("15.650000")</f>
        <v/>
      </c>
    </row>
    <row r="2121">
      <c r="A2121" s="1" t="n">
        <v>45079</v>
      </c>
      <c r="B2121">
        <f>_xlfn.NUMBERVALUE("0.003781")</f>
        <v/>
      </c>
      <c r="C2121" s="2">
        <f>_xlfn.NUMBERVALUE("-0.006451")</f>
        <v/>
      </c>
      <c r="D2121">
        <f>_xlfn.NUMBERVALUE("-0.008246")</f>
        <v/>
      </c>
      <c r="E2121">
        <f>_xlfn.NUMBERVALUE("-0.000966")</f>
        <v/>
      </c>
      <c r="F2121">
        <f>_xlfn.NUMBERVALUE("-0.001103")</f>
        <v/>
      </c>
      <c r="G2121">
        <f>_xlfn.NUMBERVALUE("-0.001131")</f>
        <v/>
      </c>
      <c r="H2121">
        <f>_xlfn.NUMBERVALUE("-0.000398")</f>
        <v/>
      </c>
      <c r="I2121">
        <f>_xlfn.NUMBERVALUE("-0.017817")</f>
        <v/>
      </c>
      <c r="J2121">
        <f>_xlfn.NUMBERVALUE("0.001090")</f>
        <v/>
      </c>
      <c r="K2121">
        <f>_xlfn.NUMBERVALUE("0.000311")</f>
        <v/>
      </c>
      <c r="L2121">
        <f>_xlfn.NUMBERVALUE("0.000558")</f>
        <v/>
      </c>
      <c r="M2121">
        <f>_xlfn.NUMBERVALUE("-0.008265")</f>
        <v/>
      </c>
      <c r="N2121">
        <f>_xlfn.NUMBERVALUE("0.001653")</f>
        <v/>
      </c>
      <c r="O2121">
        <f>_xlfn.NUMBERVALUE("-0.005242")</f>
        <v/>
      </c>
      <c r="P2121">
        <f>_xlfn.NUMBERVALUE("-0.008495")</f>
        <v/>
      </c>
      <c r="Q2121">
        <f>_xlfn.NUMBERVALUE("-0.018848")</f>
        <v/>
      </c>
      <c r="R2121">
        <f>_xlfn.NUMBERVALUE("0.000118")</f>
        <v/>
      </c>
      <c r="S2121">
        <f>_xlfn.NUMBERVALUE("-0.000095")</f>
        <v/>
      </c>
      <c r="T2121">
        <f>_xlfn.NUMBERVALUE("-0.000282")</f>
        <v/>
      </c>
      <c r="U2121">
        <f>_xlfn.NUMBERVALUE("-0.003251")</f>
        <v/>
      </c>
      <c r="V2121">
        <f>_xlfn.NUMBERVALUE("-0.002395")</f>
        <v/>
      </c>
      <c r="W2121">
        <f>_xlfn.NUMBERVALUE("0.016092")</f>
        <v/>
      </c>
      <c r="X2121">
        <f>_xlfn.NUMBERVALUE("-1.050000")</f>
        <v/>
      </c>
      <c r="Y2121">
        <f>_xlfn.NUMBERVALUE("14.600000")</f>
        <v/>
      </c>
    </row>
    <row r="2122">
      <c r="A2122" s="1" t="n">
        <v>45082</v>
      </c>
      <c r="B2122">
        <f>_xlfn.NUMBERVALUE("0.001053")</f>
        <v/>
      </c>
      <c r="C2122" s="2">
        <f>_xlfn.NUMBERVALUE("0.002945")</f>
        <v/>
      </c>
      <c r="D2122">
        <f>_xlfn.NUMBERVALUE("0.007823")</f>
        <v/>
      </c>
      <c r="E2122">
        <f>_xlfn.NUMBERVALUE("0.003639")</f>
        <v/>
      </c>
      <c r="F2122">
        <f>_xlfn.NUMBERVALUE("-0.000278")</f>
        <v/>
      </c>
      <c r="G2122">
        <f>_xlfn.NUMBERVALUE("0.000030")</f>
        <v/>
      </c>
      <c r="H2122">
        <f>_xlfn.NUMBERVALUE("-0.000228")</f>
        <v/>
      </c>
      <c r="I2122">
        <f>_xlfn.NUMBERVALUE("0.001753")</f>
        <v/>
      </c>
      <c r="J2122">
        <f>_xlfn.NUMBERVALUE("-0.000244")</f>
        <v/>
      </c>
      <c r="K2122">
        <f>_xlfn.NUMBERVALUE("-0.000517")</f>
        <v/>
      </c>
      <c r="L2122">
        <f>_xlfn.NUMBERVALUE("0.000915")</f>
        <v/>
      </c>
      <c r="M2122">
        <f>_xlfn.NUMBERVALUE("0.002017")</f>
        <v/>
      </c>
      <c r="N2122">
        <f>_xlfn.NUMBERVALUE("0.002333")</f>
        <v/>
      </c>
      <c r="O2122">
        <f>_xlfn.NUMBERVALUE("0.010168")</f>
        <v/>
      </c>
      <c r="P2122">
        <f>_xlfn.NUMBERVALUE("0.002264")</f>
        <v/>
      </c>
      <c r="Q2122">
        <f>_xlfn.NUMBERVALUE("0.002336")</f>
        <v/>
      </c>
      <c r="R2122">
        <f>_xlfn.NUMBERVALUE("0.000264")</f>
        <v/>
      </c>
      <c r="S2122">
        <f>_xlfn.NUMBERVALUE("-0.000329")</f>
        <v/>
      </c>
      <c r="T2122">
        <f>_xlfn.NUMBERVALUE("-0.000407")</f>
        <v/>
      </c>
      <c r="U2122">
        <f>_xlfn.NUMBERVALUE("0.000775")</f>
        <v/>
      </c>
      <c r="V2122">
        <f>_xlfn.NUMBERVALUE("0.000331")</f>
        <v/>
      </c>
      <c r="W2122">
        <f>_xlfn.NUMBERVALUE("-0.002056")</f>
        <v/>
      </c>
      <c r="X2122">
        <f>_xlfn.NUMBERVALUE("0.130000")</f>
        <v/>
      </c>
      <c r="Y2122">
        <f>_xlfn.NUMBERVALUE("14.730000")</f>
        <v/>
      </c>
    </row>
    <row r="2123">
      <c r="A2123" s="1" t="n">
        <v>45083</v>
      </c>
      <c r="B2123">
        <f>_xlfn.NUMBERVALUE("0.001196")</f>
        <v/>
      </c>
      <c r="C2123" s="2">
        <f>_xlfn.NUMBERVALUE("0.001841")</f>
        <v/>
      </c>
      <c r="D2123">
        <f>_xlfn.NUMBERVALUE("-0.003703")</f>
        <v/>
      </c>
      <c r="E2123">
        <f>_xlfn.NUMBERVALUE("0.000212")</f>
        <v/>
      </c>
      <c r="F2123">
        <f>_xlfn.NUMBERVALUE("-0.000140")</f>
        <v/>
      </c>
      <c r="G2123">
        <f>_xlfn.NUMBERVALUE("0.000317")</f>
        <v/>
      </c>
      <c r="H2123">
        <f>_xlfn.NUMBERVALUE("0.000024")</f>
        <v/>
      </c>
      <c r="I2123">
        <f>_xlfn.NUMBERVALUE("-0.003195")</f>
        <v/>
      </c>
      <c r="J2123">
        <f>_xlfn.NUMBERVALUE("0.000034")</f>
        <v/>
      </c>
      <c r="K2123">
        <f>_xlfn.NUMBERVALUE("0.000040")</f>
        <v/>
      </c>
      <c r="L2123">
        <f>_xlfn.NUMBERVALUE("0.000215")</f>
        <v/>
      </c>
      <c r="M2123">
        <f>_xlfn.NUMBERVALUE("0.001091")</f>
        <v/>
      </c>
      <c r="N2123">
        <f>_xlfn.NUMBERVALUE("0.000925")</f>
        <v/>
      </c>
      <c r="O2123">
        <f>_xlfn.NUMBERVALUE("0.003793")</f>
        <v/>
      </c>
      <c r="P2123">
        <f>_xlfn.NUMBERVALUE("-0.002139")</f>
        <v/>
      </c>
      <c r="Q2123">
        <f>_xlfn.NUMBERVALUE("0.000685")</f>
        <v/>
      </c>
      <c r="R2123">
        <f>_xlfn.NUMBERVALUE("0.000092")</f>
        <v/>
      </c>
      <c r="S2123">
        <f>_xlfn.NUMBERVALUE("-0.000273")</f>
        <v/>
      </c>
      <c r="T2123">
        <f>_xlfn.NUMBERVALUE("-0.000199")</f>
        <v/>
      </c>
      <c r="U2123">
        <f>_xlfn.NUMBERVALUE("0.000168")</f>
        <v/>
      </c>
      <c r="V2123">
        <f>_xlfn.NUMBERVALUE("0.000113")</f>
        <v/>
      </c>
      <c r="W2123">
        <f>_xlfn.NUMBERVALUE("0.000925")</f>
        <v/>
      </c>
      <c r="X2123">
        <f>_xlfn.NUMBERVALUE("-0.770000")</f>
        <v/>
      </c>
      <c r="Y2123">
        <f>_xlfn.NUMBERVALUE("13.960000")</f>
        <v/>
      </c>
    </row>
    <row r="2124">
      <c r="A2124" s="1" t="n">
        <v>45084</v>
      </c>
      <c r="B2124">
        <f>_xlfn.NUMBERVALUE("0.001236")</f>
        <v/>
      </c>
      <c r="C2124" s="2">
        <f>_xlfn.NUMBERVALUE("0.000105")</f>
        <v/>
      </c>
      <c r="D2124">
        <f>_xlfn.NUMBERVALUE("0.002607")</f>
        <v/>
      </c>
      <c r="E2124">
        <f>_xlfn.NUMBERVALUE("-0.003236")</f>
        <v/>
      </c>
      <c r="F2124">
        <f>_xlfn.NUMBERVALUE("-0.000719")</f>
        <v/>
      </c>
      <c r="G2124">
        <f>_xlfn.NUMBERVALUE("-0.000566")</f>
        <v/>
      </c>
      <c r="H2124">
        <f>_xlfn.NUMBERVALUE("-0.000953")</f>
        <v/>
      </c>
      <c r="I2124">
        <f>_xlfn.NUMBERVALUE("-0.004326")</f>
        <v/>
      </c>
      <c r="J2124">
        <f>_xlfn.NUMBERVALUE("-0.001202")</f>
        <v/>
      </c>
      <c r="K2124">
        <f>_xlfn.NUMBERVALUE("0.001105")</f>
        <v/>
      </c>
      <c r="L2124">
        <f>_xlfn.NUMBERVALUE("-0.000450")</f>
        <v/>
      </c>
      <c r="M2124">
        <f>_xlfn.NUMBERVALUE("-0.002403")</f>
        <v/>
      </c>
      <c r="N2124">
        <f>_xlfn.NUMBERVALUE("-0.001333")</f>
        <v/>
      </c>
      <c r="O2124">
        <f>_xlfn.NUMBERVALUE("-0.009991")</f>
        <v/>
      </c>
      <c r="P2124">
        <f>_xlfn.NUMBERVALUE("-0.000070")</f>
        <v/>
      </c>
      <c r="Q2124">
        <f>_xlfn.NUMBERVALUE("-0.002363")</f>
        <v/>
      </c>
      <c r="R2124">
        <f>_xlfn.NUMBERVALUE("0.000377")</f>
        <v/>
      </c>
      <c r="S2124">
        <f>_xlfn.NUMBERVALUE("-0.000131")</f>
        <v/>
      </c>
      <c r="T2124">
        <f>_xlfn.NUMBERVALUE("-0.000168")</f>
        <v/>
      </c>
      <c r="U2124">
        <f>_xlfn.NUMBERVALUE("0.000243")</f>
        <v/>
      </c>
      <c r="V2124">
        <f>_xlfn.NUMBERVALUE("0.001151")</f>
        <v/>
      </c>
      <c r="W2124">
        <f>_xlfn.NUMBERVALUE("-0.003668")</f>
        <v/>
      </c>
      <c r="X2124">
        <f>_xlfn.NUMBERVALUE("-0.020000")</f>
        <v/>
      </c>
      <c r="Y2124">
        <f>_xlfn.NUMBERVALUE("13.940000")</f>
        <v/>
      </c>
    </row>
    <row r="2125">
      <c r="A2125" s="1" t="n">
        <v>45085</v>
      </c>
      <c r="B2125">
        <f>_xlfn.NUMBERVALUE("0.000751")</f>
        <v/>
      </c>
      <c r="C2125" s="2">
        <f>_xlfn.NUMBERVALUE("0.000522")</f>
        <v/>
      </c>
      <c r="D2125">
        <f>_xlfn.NUMBERVALUE("0.000207")</f>
        <v/>
      </c>
      <c r="E2125">
        <f>_xlfn.NUMBERVALUE("-0.000775")</f>
        <v/>
      </c>
      <c r="F2125">
        <f>_xlfn.NUMBERVALUE("-0.000953")</f>
        <v/>
      </c>
      <c r="G2125">
        <f>_xlfn.NUMBERVALUE("-0.002212")</f>
        <v/>
      </c>
      <c r="H2125">
        <f>_xlfn.NUMBERVALUE("-0.000166")</f>
        <v/>
      </c>
      <c r="I2125">
        <f>_xlfn.NUMBERVALUE("0.002249")</f>
        <v/>
      </c>
      <c r="J2125">
        <f>_xlfn.NUMBERVALUE("0.000555")</f>
        <v/>
      </c>
      <c r="K2125">
        <f>_xlfn.NUMBERVALUE("-0.006502")</f>
        <v/>
      </c>
      <c r="L2125">
        <f>_xlfn.NUMBERVALUE("-0.000223")</f>
        <v/>
      </c>
      <c r="M2125">
        <f>_xlfn.NUMBERVALUE("0.002566")</f>
        <v/>
      </c>
      <c r="N2125">
        <f>_xlfn.NUMBERVALUE("0.000397")</f>
        <v/>
      </c>
      <c r="O2125">
        <f>_xlfn.NUMBERVALUE("0.001501")</f>
        <v/>
      </c>
      <c r="P2125">
        <f>_xlfn.NUMBERVALUE("0.001398")</f>
        <v/>
      </c>
      <c r="Q2125">
        <f>_xlfn.NUMBERVALUE("0.000203")</f>
        <v/>
      </c>
      <c r="R2125">
        <f>_xlfn.NUMBERVALUE("0.000223")</f>
        <v/>
      </c>
      <c r="S2125">
        <f>_xlfn.NUMBERVALUE("0.000014")</f>
        <v/>
      </c>
      <c r="T2125">
        <f>_xlfn.NUMBERVALUE("-0.000043")</f>
        <v/>
      </c>
      <c r="U2125">
        <f>_xlfn.NUMBERVALUE("0.000020")</f>
        <v/>
      </c>
      <c r="V2125">
        <f>_xlfn.NUMBERVALUE("-0.000373")</f>
        <v/>
      </c>
      <c r="W2125">
        <f>_xlfn.NUMBERVALUE("0.006331")</f>
        <v/>
      </c>
      <c r="X2125">
        <f>_xlfn.NUMBERVALUE("-0.290000")</f>
        <v/>
      </c>
      <c r="Y2125">
        <f>_xlfn.NUMBERVALUE("13.650000")</f>
        <v/>
      </c>
    </row>
    <row r="2126">
      <c r="A2126" s="1" t="n">
        <v>45086</v>
      </c>
      <c r="B2126">
        <f>_xlfn.NUMBERVALUE("0.003095")</f>
        <v/>
      </c>
      <c r="C2126" s="2">
        <f>_xlfn.NUMBERVALUE("-0.000135")</f>
        <v/>
      </c>
      <c r="D2126">
        <f>_xlfn.NUMBERVALUE("0.001250")</f>
        <v/>
      </c>
      <c r="E2126">
        <f>_xlfn.NUMBERVALUE("0.001251")</f>
        <v/>
      </c>
      <c r="F2126">
        <f>_xlfn.NUMBERVALUE("0.000556")</f>
        <v/>
      </c>
      <c r="G2126">
        <f>_xlfn.NUMBERVALUE("0.001690")</f>
        <v/>
      </c>
      <c r="H2126">
        <f>_xlfn.NUMBERVALUE("0.000285")</f>
        <v/>
      </c>
      <c r="I2126">
        <f>_xlfn.NUMBERVALUE("0.002492")</f>
        <v/>
      </c>
      <c r="J2126">
        <f>_xlfn.NUMBERVALUE("0.000256")</f>
        <v/>
      </c>
      <c r="K2126">
        <f>_xlfn.NUMBERVALUE("0.002463")</f>
        <v/>
      </c>
      <c r="L2126">
        <f>_xlfn.NUMBERVALUE("0.000219")</f>
        <v/>
      </c>
      <c r="M2126">
        <f>_xlfn.NUMBERVALUE("0.003924")</f>
        <v/>
      </c>
      <c r="N2126">
        <f>_xlfn.NUMBERVALUE("0.001594")</f>
        <v/>
      </c>
      <c r="O2126">
        <f>_xlfn.NUMBERVALUE("0.001304")</f>
        <v/>
      </c>
      <c r="P2126">
        <f>_xlfn.NUMBERVALUE("-0.000095")</f>
        <v/>
      </c>
      <c r="Q2126">
        <f>_xlfn.NUMBERVALUE("0.000008")</f>
        <v/>
      </c>
      <c r="R2126">
        <f>_xlfn.NUMBERVALUE("-0.000217")</f>
        <v/>
      </c>
      <c r="S2126">
        <f>_xlfn.NUMBERVALUE("-0.000008")</f>
        <v/>
      </c>
      <c r="T2126">
        <f>_xlfn.NUMBERVALUE("0.000053")</f>
        <v/>
      </c>
      <c r="U2126">
        <f>_xlfn.NUMBERVALUE("0.000056")</f>
        <v/>
      </c>
      <c r="V2126">
        <f>_xlfn.NUMBERVALUE("0.000554")</f>
        <v/>
      </c>
      <c r="W2126">
        <f>_xlfn.NUMBERVALUE("0.002144")</f>
        <v/>
      </c>
      <c r="X2126">
        <f>_xlfn.NUMBERVALUE("0.180000")</f>
        <v/>
      </c>
      <c r="Y2126">
        <f>_xlfn.NUMBERVALUE("13.830000")</f>
        <v/>
      </c>
    </row>
    <row r="2127">
      <c r="A2127" s="1" t="n">
        <v>45089</v>
      </c>
      <c r="B2127">
        <f>_xlfn.NUMBERVALUE("-0.001874")</f>
        <v/>
      </c>
      <c r="C2127" s="2">
        <f>_xlfn.NUMBERVALUE("-0.001172")</f>
        <v/>
      </c>
      <c r="D2127">
        <f>_xlfn.NUMBERVALUE("-0.000202")</f>
        <v/>
      </c>
      <c r="E2127">
        <f>_xlfn.NUMBERVALUE("-0.000684")</f>
        <v/>
      </c>
      <c r="F2127">
        <f>_xlfn.NUMBERVALUE("0.000262")</f>
        <v/>
      </c>
      <c r="G2127">
        <f>_xlfn.NUMBERVALUE("-0.000174")</f>
        <v/>
      </c>
      <c r="H2127">
        <f>_xlfn.NUMBERVALUE("0.000789")</f>
        <v/>
      </c>
      <c r="I2127">
        <f>_xlfn.NUMBERVALUE("-0.000994")</f>
        <v/>
      </c>
      <c r="J2127">
        <f>_xlfn.NUMBERVALUE("0.000514")</f>
        <v/>
      </c>
      <c r="K2127">
        <f>_xlfn.NUMBERVALUE("0.000990")</f>
        <v/>
      </c>
      <c r="L2127">
        <f>_xlfn.NUMBERVALUE("-0.000590")</f>
        <v/>
      </c>
      <c r="M2127">
        <f>_xlfn.NUMBERVALUE("0.000123")</f>
        <v/>
      </c>
      <c r="N2127">
        <f>_xlfn.NUMBERVALUE("-0.000059")</f>
        <v/>
      </c>
      <c r="O2127">
        <f>_xlfn.NUMBERVALUE("0.000615")</f>
        <v/>
      </c>
      <c r="P2127">
        <f>_xlfn.NUMBERVALUE("-0.000742")</f>
        <v/>
      </c>
      <c r="Q2127">
        <f>_xlfn.NUMBERVALUE("-0.001729")</f>
        <v/>
      </c>
      <c r="R2127">
        <f>_xlfn.NUMBERVALUE("-0.005353")</f>
        <v/>
      </c>
      <c r="S2127">
        <f>_xlfn.NUMBERVALUE("0.000126")</f>
        <v/>
      </c>
      <c r="T2127">
        <f>_xlfn.NUMBERVALUE("-0.000294")</f>
        <v/>
      </c>
      <c r="U2127">
        <f>_xlfn.NUMBERVALUE("-0.003390")</f>
        <v/>
      </c>
      <c r="V2127">
        <f>_xlfn.NUMBERVALUE("-0.002771")</f>
        <v/>
      </c>
      <c r="W2127">
        <f>_xlfn.NUMBERVALUE("0.007836")</f>
        <v/>
      </c>
      <c r="X2127">
        <f>_xlfn.NUMBERVALUE("1.180000")</f>
        <v/>
      </c>
      <c r="Y2127">
        <f>_xlfn.NUMBERVALUE("15.010000")</f>
        <v/>
      </c>
    </row>
    <row r="2128">
      <c r="A2128" s="1" t="n">
        <v>45090</v>
      </c>
      <c r="B2128">
        <f>_xlfn.NUMBERVALUE("-0.000138")</f>
        <v/>
      </c>
      <c r="C2128" s="2">
        <f>_xlfn.NUMBERVALUE("0.001260")</f>
        <v/>
      </c>
      <c r="D2128">
        <f>_xlfn.NUMBERVALUE("-0.000820")</f>
        <v/>
      </c>
      <c r="E2128">
        <f>_xlfn.NUMBERVALUE("-0.001725")</f>
        <v/>
      </c>
      <c r="F2128">
        <f>_xlfn.NUMBERVALUE("0.000047")</f>
        <v/>
      </c>
      <c r="G2128">
        <f>_xlfn.NUMBERVALUE("0.001143")</f>
        <v/>
      </c>
      <c r="H2128">
        <f>_xlfn.NUMBERVALUE("-0.000407")</f>
        <v/>
      </c>
      <c r="I2128">
        <f>_xlfn.NUMBERVALUE("-0.000476")</f>
        <v/>
      </c>
      <c r="J2128">
        <f>_xlfn.NUMBERVALUE("0.000068")</f>
        <v/>
      </c>
      <c r="K2128">
        <f>_xlfn.NUMBERVALUE("-0.002350")</f>
        <v/>
      </c>
      <c r="L2128">
        <f>_xlfn.NUMBERVALUE("-0.000444")</f>
        <v/>
      </c>
      <c r="M2128">
        <f>_xlfn.NUMBERVALUE("-0.004044")</f>
        <v/>
      </c>
      <c r="N2128">
        <f>_xlfn.NUMBERVALUE("0.000904")</f>
        <v/>
      </c>
      <c r="O2128">
        <f>_xlfn.NUMBERVALUE("0.001864")</f>
        <v/>
      </c>
      <c r="P2128">
        <f>_xlfn.NUMBERVALUE("0.001596")</f>
        <v/>
      </c>
      <c r="Q2128">
        <f>_xlfn.NUMBERVALUE("-0.000915")</f>
        <v/>
      </c>
      <c r="R2128">
        <f>_xlfn.NUMBERVALUE("0.000061")</f>
        <v/>
      </c>
      <c r="S2128">
        <f>_xlfn.NUMBERVALUE("0.000830")</f>
        <v/>
      </c>
      <c r="T2128">
        <f>_xlfn.NUMBERVALUE("0.001109")</f>
        <v/>
      </c>
      <c r="U2128">
        <f>_xlfn.NUMBERVALUE("0.000281")</f>
        <v/>
      </c>
      <c r="V2128">
        <f>_xlfn.NUMBERVALUE("-0.000107")</f>
        <v/>
      </c>
      <c r="W2128">
        <f>_xlfn.NUMBERVALUE("0.006506")</f>
        <v/>
      </c>
      <c r="X2128">
        <f>_xlfn.NUMBERVALUE("-0.400000")</f>
        <v/>
      </c>
      <c r="Y2128">
        <f>_xlfn.NUMBERVALUE("14.610000")</f>
        <v/>
      </c>
    </row>
    <row r="2129">
      <c r="A2129" s="1" t="n">
        <v>45091</v>
      </c>
      <c r="B2129">
        <f>_xlfn.NUMBERVALUE("0.001343")</f>
        <v/>
      </c>
      <c r="C2129" s="2">
        <f>_xlfn.NUMBERVALUE("0.000915")</f>
        <v/>
      </c>
      <c r="D2129">
        <f>_xlfn.NUMBERVALUE("-0.001338")</f>
        <v/>
      </c>
      <c r="E2129">
        <f>_xlfn.NUMBERVALUE("-0.000352")</f>
        <v/>
      </c>
      <c r="F2129">
        <f>_xlfn.NUMBERVALUE("0.002112")</f>
        <v/>
      </c>
      <c r="G2129">
        <f>_xlfn.NUMBERVALUE("0.000987")</f>
        <v/>
      </c>
      <c r="H2129">
        <f>_xlfn.NUMBERVALUE("0.001519")</f>
        <v/>
      </c>
      <c r="I2129">
        <f>_xlfn.NUMBERVALUE("0.000436")</f>
        <v/>
      </c>
      <c r="J2129">
        <f>_xlfn.NUMBERVALUE("0.000696")</f>
        <v/>
      </c>
      <c r="K2129">
        <f>_xlfn.NUMBERVALUE("0.001840")</f>
        <v/>
      </c>
      <c r="L2129">
        <f>_xlfn.NUMBERVALUE("0.001272")</f>
        <v/>
      </c>
      <c r="M2129">
        <f>_xlfn.NUMBERVALUE("0.001005")</f>
        <v/>
      </c>
      <c r="N2129">
        <f>_xlfn.NUMBERVALUE("0.000107")</f>
        <v/>
      </c>
      <c r="O2129">
        <f>_xlfn.NUMBERVALUE("0.000252")</f>
        <v/>
      </c>
      <c r="P2129">
        <f>_xlfn.NUMBERVALUE("0.000471")</f>
        <v/>
      </c>
      <c r="Q2129">
        <f>_xlfn.NUMBERVALUE("0.001078")</f>
        <v/>
      </c>
      <c r="R2129">
        <f>_xlfn.NUMBERVALUE("-0.000087")</f>
        <v/>
      </c>
      <c r="S2129">
        <f>_xlfn.NUMBERVALUE("-0.000331")</f>
        <v/>
      </c>
      <c r="T2129">
        <f>_xlfn.NUMBERVALUE("0.001393")</f>
        <v/>
      </c>
      <c r="U2129">
        <f>_xlfn.NUMBERVALUE("0.000680")</f>
        <v/>
      </c>
      <c r="V2129">
        <f>_xlfn.NUMBERVALUE("0.000996")</f>
        <v/>
      </c>
      <c r="W2129">
        <f>_xlfn.NUMBERVALUE("0.000183")</f>
        <v/>
      </c>
      <c r="X2129">
        <f>_xlfn.NUMBERVALUE("-0.730000")</f>
        <v/>
      </c>
      <c r="Y2129">
        <f>_xlfn.NUMBERVALUE("13.880000")</f>
        <v/>
      </c>
    </row>
    <row r="2130">
      <c r="A2130" s="1" t="n">
        <v>45092</v>
      </c>
      <c r="B2130">
        <f>_xlfn.NUMBERVALUE("0.001549")</f>
        <v/>
      </c>
      <c r="C2130" s="2">
        <f>_xlfn.NUMBERVALUE("-0.004357")</f>
        <v/>
      </c>
      <c r="D2130">
        <f>_xlfn.NUMBERVALUE("-0.002188")</f>
        <v/>
      </c>
      <c r="E2130">
        <f>_xlfn.NUMBERVALUE("-0.001953")</f>
        <v/>
      </c>
      <c r="F2130">
        <f>_xlfn.NUMBERVALUE("0.000008")</f>
        <v/>
      </c>
      <c r="G2130">
        <f>_xlfn.NUMBERVALUE("-0.000249")</f>
        <v/>
      </c>
      <c r="H2130">
        <f>_xlfn.NUMBERVALUE("-0.000387")</f>
        <v/>
      </c>
      <c r="I2130">
        <f>_xlfn.NUMBERVALUE("0.000646")</f>
        <v/>
      </c>
      <c r="J2130">
        <f>_xlfn.NUMBERVALUE("-0.000824")</f>
        <v/>
      </c>
      <c r="K2130">
        <f>_xlfn.NUMBERVALUE("0.000805")</f>
        <v/>
      </c>
      <c r="L2130">
        <f>_xlfn.NUMBERVALUE("0.001913")</f>
        <v/>
      </c>
      <c r="M2130">
        <f>_xlfn.NUMBERVALUE("-0.001170")</f>
        <v/>
      </c>
      <c r="N2130">
        <f>_xlfn.NUMBERVALUE("0.000076")</f>
        <v/>
      </c>
      <c r="O2130">
        <f>_xlfn.NUMBERVALUE("0.000041")</f>
        <v/>
      </c>
      <c r="P2130">
        <f>_xlfn.NUMBERVALUE("-0.001543")</f>
        <v/>
      </c>
      <c r="Q2130">
        <f>_xlfn.NUMBERVALUE("-0.003594")</f>
        <v/>
      </c>
      <c r="R2130">
        <f>_xlfn.NUMBERVALUE("-0.002994")</f>
        <v/>
      </c>
      <c r="S2130">
        <f>_xlfn.NUMBERVALUE("-0.002279")</f>
        <v/>
      </c>
      <c r="T2130">
        <f>_xlfn.NUMBERVALUE("-0.000700")</f>
        <v/>
      </c>
      <c r="U2130">
        <f>_xlfn.NUMBERVALUE("-0.001280")</f>
        <v/>
      </c>
      <c r="V2130">
        <f>_xlfn.NUMBERVALUE("-0.003455")</f>
        <v/>
      </c>
      <c r="W2130">
        <f>_xlfn.NUMBERVALUE("0.015332")</f>
        <v/>
      </c>
      <c r="X2130">
        <f>_xlfn.NUMBERVALUE("0.620000")</f>
        <v/>
      </c>
      <c r="Y2130">
        <f>_xlfn.NUMBERVALUE("14.500000")</f>
        <v/>
      </c>
    </row>
    <row r="2131">
      <c r="A2131" s="1" t="n">
        <v>45093</v>
      </c>
      <c r="B2131">
        <f>_xlfn.NUMBERVALUE("0.000739")</f>
        <v/>
      </c>
      <c r="C2131" s="2">
        <f>_xlfn.NUMBERVALUE("0.001517")</f>
        <v/>
      </c>
      <c r="D2131">
        <f>_xlfn.NUMBERVALUE("0.000788")</f>
        <v/>
      </c>
      <c r="E2131">
        <f>_xlfn.NUMBERVALUE("0.001295")</f>
        <v/>
      </c>
      <c r="F2131">
        <f>_xlfn.NUMBERVALUE("0.001628")</f>
        <v/>
      </c>
      <c r="G2131">
        <f>_xlfn.NUMBERVALUE("0.001429")</f>
        <v/>
      </c>
      <c r="H2131">
        <f>_xlfn.NUMBERVALUE("-0.000199")</f>
        <v/>
      </c>
      <c r="I2131">
        <f>_xlfn.NUMBERVALUE("0.002753")</f>
        <v/>
      </c>
      <c r="J2131">
        <f>_xlfn.NUMBERVALUE("0.001001")</f>
        <v/>
      </c>
      <c r="K2131">
        <f>_xlfn.NUMBERVALUE("0.001508")</f>
        <v/>
      </c>
      <c r="L2131">
        <f>_xlfn.NUMBERVALUE("0.002566")</f>
        <v/>
      </c>
      <c r="M2131">
        <f>_xlfn.NUMBERVALUE("0.001155")</f>
        <v/>
      </c>
      <c r="N2131">
        <f>_xlfn.NUMBERVALUE("-0.000018")</f>
        <v/>
      </c>
      <c r="O2131">
        <f>_xlfn.NUMBERVALUE("0.002788")</f>
        <v/>
      </c>
      <c r="P2131">
        <f>_xlfn.NUMBERVALUE("0.003076")</f>
        <v/>
      </c>
      <c r="Q2131">
        <f>_xlfn.NUMBERVALUE("0.001681")</f>
        <v/>
      </c>
      <c r="R2131">
        <f>_xlfn.NUMBERVALUE("0.002065")</f>
        <v/>
      </c>
      <c r="S2131">
        <f>_xlfn.NUMBERVALUE("0.000612")</f>
        <v/>
      </c>
      <c r="T2131">
        <f>_xlfn.NUMBERVALUE("0.001785")</f>
        <v/>
      </c>
      <c r="U2131">
        <f>_xlfn.NUMBERVALUE("0.002702")</f>
        <v/>
      </c>
      <c r="V2131">
        <f>_xlfn.NUMBERVALUE("-0.001022")</f>
        <v/>
      </c>
      <c r="W2131">
        <f>_xlfn.NUMBERVALUE("-0.006636")</f>
        <v/>
      </c>
      <c r="X2131">
        <f>_xlfn.NUMBERVALUE("-0.960000")</f>
        <v/>
      </c>
      <c r="Y2131">
        <f>_xlfn.NUMBERVALUE("13.540000")</f>
        <v/>
      </c>
    </row>
    <row r="2132">
      <c r="A2132" s="1" t="n">
        <v>45097</v>
      </c>
      <c r="B2132">
        <f>_xlfn.NUMBERVALUE("0.001022")</f>
        <v/>
      </c>
      <c r="C2132" s="2">
        <f>_xlfn.NUMBERVALUE("0.000906")</f>
        <v/>
      </c>
      <c r="D2132">
        <f>_xlfn.NUMBERVALUE("-0.000727")</f>
        <v/>
      </c>
      <c r="E2132">
        <f>_xlfn.NUMBERVALUE("0.001358")</f>
        <v/>
      </c>
      <c r="F2132">
        <f>_xlfn.NUMBERVALUE("-0.000259")</f>
        <v/>
      </c>
      <c r="G2132">
        <f>_xlfn.NUMBERVALUE("0.002312")</f>
        <v/>
      </c>
      <c r="H2132">
        <f>_xlfn.NUMBERVALUE("0.000699")</f>
        <v/>
      </c>
      <c r="I2132">
        <f>_xlfn.NUMBERVALUE("0.002499")</f>
        <v/>
      </c>
      <c r="J2132">
        <f>_xlfn.NUMBERVALUE("0.000745")</f>
        <v/>
      </c>
      <c r="K2132">
        <f>_xlfn.NUMBERVALUE("-0.012030")</f>
        <v/>
      </c>
      <c r="L2132">
        <f>_xlfn.NUMBERVALUE("0.000223")</f>
        <v/>
      </c>
      <c r="M2132">
        <f>_xlfn.NUMBERVALUE("-0.001520")</f>
        <v/>
      </c>
      <c r="N2132">
        <f>_xlfn.NUMBERVALUE("0.003666")</f>
        <v/>
      </c>
      <c r="O2132">
        <f>_xlfn.NUMBERVALUE("-0.000770")</f>
        <v/>
      </c>
      <c r="P2132">
        <f>_xlfn.NUMBERVALUE("-0.000950")</f>
        <v/>
      </c>
      <c r="Q2132">
        <f>_xlfn.NUMBERVALUE("-0.000288")</f>
        <v/>
      </c>
      <c r="R2132">
        <f>_xlfn.NUMBERVALUE("0.001829")</f>
        <v/>
      </c>
      <c r="S2132">
        <f>_xlfn.NUMBERVALUE("-0.002341")</f>
        <v/>
      </c>
      <c r="T2132">
        <f>_xlfn.NUMBERVALUE("-0.001971")</f>
        <v/>
      </c>
      <c r="U2132">
        <f>_xlfn.NUMBERVALUE("0.000264")</f>
        <v/>
      </c>
      <c r="V2132">
        <f>_xlfn.NUMBERVALUE("0.001756")</f>
        <v/>
      </c>
      <c r="W2132">
        <f>_xlfn.NUMBERVALUE("-0.005567")</f>
        <v/>
      </c>
      <c r="X2132">
        <f>_xlfn.NUMBERVALUE("0.340000")</f>
        <v/>
      </c>
      <c r="Y2132">
        <f>_xlfn.NUMBERVALUE("13.880000")</f>
        <v/>
      </c>
    </row>
    <row r="2133">
      <c r="A2133" s="1" t="n">
        <v>45098</v>
      </c>
      <c r="B2133">
        <f>_xlfn.NUMBERVALUE("-0.000359")</f>
        <v/>
      </c>
      <c r="C2133" s="2">
        <f>_xlfn.NUMBERVALUE("0.002230")</f>
        <v/>
      </c>
      <c r="D2133">
        <f>_xlfn.NUMBERVALUE("0.002385")</f>
        <v/>
      </c>
      <c r="E2133">
        <f>_xlfn.NUMBERVALUE("0.001423")</f>
        <v/>
      </c>
      <c r="F2133">
        <f>_xlfn.NUMBERVALUE("0.000014")</f>
        <v/>
      </c>
      <c r="G2133">
        <f>_xlfn.NUMBERVALUE("0.000046")</f>
        <v/>
      </c>
      <c r="H2133">
        <f>_xlfn.NUMBERVALUE("0.001070")</f>
        <v/>
      </c>
      <c r="I2133">
        <f>_xlfn.NUMBERVALUE("0.002503")</f>
        <v/>
      </c>
      <c r="J2133">
        <f>_xlfn.NUMBERVALUE("0.001260")</f>
        <v/>
      </c>
      <c r="K2133">
        <f>_xlfn.NUMBERVALUE("-0.003801")</f>
        <v/>
      </c>
      <c r="L2133">
        <f>_xlfn.NUMBERVALUE("0.001389")</f>
        <v/>
      </c>
      <c r="M2133">
        <f>_xlfn.NUMBERVALUE("0.001392")</f>
        <v/>
      </c>
      <c r="N2133">
        <f>_xlfn.NUMBERVALUE("0.000907")</f>
        <v/>
      </c>
      <c r="O2133">
        <f>_xlfn.NUMBERVALUE("0.002175")</f>
        <v/>
      </c>
      <c r="P2133">
        <f>_xlfn.NUMBERVALUE("0.002797")</f>
        <v/>
      </c>
      <c r="Q2133">
        <f>_xlfn.NUMBERVALUE("0.000840")</f>
        <v/>
      </c>
      <c r="R2133">
        <f>_xlfn.NUMBERVALUE("0.002062")</f>
        <v/>
      </c>
      <c r="S2133">
        <f>_xlfn.NUMBERVALUE("0.001155")</f>
        <v/>
      </c>
      <c r="T2133">
        <f>_xlfn.NUMBERVALUE("0.001152")</f>
        <v/>
      </c>
      <c r="U2133">
        <f>_xlfn.NUMBERVALUE("0.002370")</f>
        <v/>
      </c>
      <c r="V2133">
        <f>_xlfn.NUMBERVALUE("0.001636")</f>
        <v/>
      </c>
      <c r="W2133">
        <f>_xlfn.NUMBERVALUE("-0.005278")</f>
        <v/>
      </c>
      <c r="X2133">
        <f>_xlfn.NUMBERVALUE("-0.680000")</f>
        <v/>
      </c>
      <c r="Y2133">
        <f>_xlfn.NUMBERVALUE("13.200000")</f>
        <v/>
      </c>
    </row>
    <row r="2134">
      <c r="A2134" s="1" t="n">
        <v>45099</v>
      </c>
      <c r="B2134">
        <f>_xlfn.NUMBERVALUE("0.001904")</f>
        <v/>
      </c>
      <c r="C2134" s="2">
        <f>_xlfn.NUMBERVALUE("0.001545")</f>
        <v/>
      </c>
      <c r="D2134">
        <f>_xlfn.NUMBERVALUE("0.001827")</f>
        <v/>
      </c>
      <c r="E2134">
        <f>_xlfn.NUMBERVALUE("0.000855")</f>
        <v/>
      </c>
      <c r="F2134">
        <f>_xlfn.NUMBERVALUE("-0.001247")</f>
        <v/>
      </c>
      <c r="G2134">
        <f>_xlfn.NUMBERVALUE("0.000225")</f>
        <v/>
      </c>
      <c r="H2134">
        <f>_xlfn.NUMBERVALUE("-0.000278")</f>
        <v/>
      </c>
      <c r="I2134">
        <f>_xlfn.NUMBERVALUE("0.001496")</f>
        <v/>
      </c>
      <c r="J2134">
        <f>_xlfn.NUMBERVALUE("-0.000081")</f>
        <v/>
      </c>
      <c r="K2134">
        <f>_xlfn.NUMBERVALUE("-0.000317")</f>
        <v/>
      </c>
      <c r="L2134">
        <f>_xlfn.NUMBERVALUE("-0.000643")</f>
        <v/>
      </c>
      <c r="M2134">
        <f>_xlfn.NUMBERVALUE("0.001585")</f>
        <v/>
      </c>
      <c r="N2134">
        <f>_xlfn.NUMBERVALUE("0.000865")</f>
        <v/>
      </c>
      <c r="O2134">
        <f>_xlfn.NUMBERVALUE("-0.000984")</f>
        <v/>
      </c>
      <c r="P2134">
        <f>_xlfn.NUMBERVALUE("0.001204")</f>
        <v/>
      </c>
      <c r="Q2134">
        <f>_xlfn.NUMBERVALUE("0.001878")</f>
        <v/>
      </c>
      <c r="R2134">
        <f>_xlfn.NUMBERVALUE("0.001359")</f>
        <v/>
      </c>
      <c r="S2134">
        <f>_xlfn.NUMBERVALUE("0.000346")</f>
        <v/>
      </c>
      <c r="T2134">
        <f>_xlfn.NUMBERVALUE("0.000466")</f>
        <v/>
      </c>
      <c r="U2134">
        <f>_xlfn.NUMBERVALUE("-0.001198")</f>
        <v/>
      </c>
      <c r="V2134">
        <f>_xlfn.NUMBERVALUE("0.001255")</f>
        <v/>
      </c>
      <c r="W2134">
        <f>_xlfn.NUMBERVALUE("0.001907")</f>
        <v/>
      </c>
      <c r="X2134">
        <f>_xlfn.NUMBERVALUE("-0.290000")</f>
        <v/>
      </c>
      <c r="Y2134">
        <f>_xlfn.NUMBERVALUE("12.910000")</f>
        <v/>
      </c>
    </row>
    <row r="2135">
      <c r="A2135" s="1" t="n">
        <v>45100</v>
      </c>
      <c r="B2135">
        <f>_xlfn.NUMBERVALUE("0.000615")</f>
        <v/>
      </c>
      <c r="C2135" s="2">
        <f>_xlfn.NUMBERVALUE("0.000547")</f>
        <v/>
      </c>
      <c r="D2135">
        <f>_xlfn.NUMBERVALUE("-0.002743")</f>
        <v/>
      </c>
      <c r="E2135">
        <f>_xlfn.NUMBERVALUE("-0.003631")</f>
        <v/>
      </c>
      <c r="F2135">
        <f>_xlfn.NUMBERVALUE("0.000511")</f>
        <v/>
      </c>
      <c r="G2135">
        <f>_xlfn.NUMBERVALUE("0.000752")</f>
        <v/>
      </c>
      <c r="H2135">
        <f>_xlfn.NUMBERVALUE("-0.000264")</f>
        <v/>
      </c>
      <c r="I2135">
        <f>_xlfn.NUMBERVALUE("-0.002238")</f>
        <v/>
      </c>
      <c r="J2135">
        <f>_xlfn.NUMBERVALUE("0.000313")</f>
        <v/>
      </c>
      <c r="K2135">
        <f>_xlfn.NUMBERVALUE("0.001062")</f>
        <v/>
      </c>
      <c r="L2135">
        <f>_xlfn.NUMBERVALUE("-0.000209")</f>
        <v/>
      </c>
      <c r="M2135">
        <f>_xlfn.NUMBERVALUE("0.000695")</f>
        <v/>
      </c>
      <c r="N2135">
        <f>_xlfn.NUMBERVALUE("0.000763")</f>
        <v/>
      </c>
      <c r="O2135">
        <f>_xlfn.NUMBERVALUE("0.000241")</f>
        <v/>
      </c>
      <c r="P2135">
        <f>_xlfn.NUMBERVALUE("0.001328")</f>
        <v/>
      </c>
      <c r="Q2135">
        <f>_xlfn.NUMBERVALUE("0.001405")</f>
        <v/>
      </c>
      <c r="R2135">
        <f>_xlfn.NUMBERVALUE("0.000432")</f>
        <v/>
      </c>
      <c r="S2135">
        <f>_xlfn.NUMBERVALUE("0.000968")</f>
        <v/>
      </c>
      <c r="T2135">
        <f>_xlfn.NUMBERVALUE("-0.001768")</f>
        <v/>
      </c>
      <c r="U2135">
        <f>_xlfn.NUMBERVALUE("0.000447")</f>
        <v/>
      </c>
      <c r="V2135">
        <f>_xlfn.NUMBERVALUE("0.000615")</f>
        <v/>
      </c>
      <c r="W2135">
        <f>_xlfn.NUMBERVALUE("-0.005617")</f>
        <v/>
      </c>
      <c r="X2135">
        <f>_xlfn.NUMBERVALUE("0.530000")</f>
        <v/>
      </c>
      <c r="Y2135">
        <f>_xlfn.NUMBERVALUE("13.440000")</f>
        <v/>
      </c>
    </row>
    <row r="2136">
      <c r="A2136" s="1" t="n">
        <v>45103</v>
      </c>
      <c r="B2136">
        <f>_xlfn.NUMBERVALUE("0.001534")</f>
        <v/>
      </c>
      <c r="C2136" s="2">
        <f>_xlfn.NUMBERVALUE("0.001194")</f>
        <v/>
      </c>
      <c r="D2136">
        <f>_xlfn.NUMBERVALUE("0.000893")</f>
        <v/>
      </c>
      <c r="E2136">
        <f>_xlfn.NUMBERVALUE("0.000651")</f>
        <v/>
      </c>
      <c r="F2136">
        <f>_xlfn.NUMBERVALUE("0.000276")</f>
        <v/>
      </c>
      <c r="G2136">
        <f>_xlfn.NUMBERVALUE("0.000435")</f>
        <v/>
      </c>
      <c r="H2136">
        <f>_xlfn.NUMBERVALUE("0.000402")</f>
        <v/>
      </c>
      <c r="I2136">
        <f>_xlfn.NUMBERVALUE("0.000834")</f>
        <v/>
      </c>
      <c r="J2136">
        <f>_xlfn.NUMBERVALUE("0.000990")</f>
        <v/>
      </c>
      <c r="K2136">
        <f>_xlfn.NUMBERVALUE("0.001355")</f>
        <v/>
      </c>
      <c r="L2136">
        <f>_xlfn.NUMBERVALUE("0.001066")</f>
        <v/>
      </c>
      <c r="M2136">
        <f>_xlfn.NUMBERVALUE("0.000054")</f>
        <v/>
      </c>
      <c r="N2136">
        <f>_xlfn.NUMBERVALUE("0.001136")</f>
        <v/>
      </c>
      <c r="O2136">
        <f>_xlfn.NUMBERVALUE("0.000124")</f>
        <v/>
      </c>
      <c r="P2136">
        <f>_xlfn.NUMBERVALUE("0.001321")</f>
        <v/>
      </c>
      <c r="Q2136">
        <f>_xlfn.NUMBERVALUE("-0.000485")</f>
        <v/>
      </c>
      <c r="R2136">
        <f>_xlfn.NUMBERVALUE("0.002425")</f>
        <v/>
      </c>
      <c r="S2136">
        <f>_xlfn.NUMBERVALUE("0.001170")</f>
        <v/>
      </c>
      <c r="T2136">
        <f>_xlfn.NUMBERVALUE("0.000618")</f>
        <v/>
      </c>
      <c r="U2136">
        <f>_xlfn.NUMBERVALUE("0.001603")</f>
        <v/>
      </c>
      <c r="V2136">
        <f>_xlfn.NUMBERVALUE("0.001167")</f>
        <v/>
      </c>
      <c r="W2136">
        <f>_xlfn.NUMBERVALUE("-0.003666")</f>
        <v/>
      </c>
      <c r="X2136">
        <f>_xlfn.NUMBERVALUE("0.810000")</f>
        <v/>
      </c>
      <c r="Y2136">
        <f>_xlfn.NUMBERVALUE("14.250000")</f>
        <v/>
      </c>
    </row>
    <row r="2137">
      <c r="A2137" s="1" t="n">
        <v>45104</v>
      </c>
      <c r="B2137">
        <f>_xlfn.NUMBERVALUE("0.000008")</f>
        <v/>
      </c>
      <c r="C2137" s="2">
        <f>_xlfn.NUMBERVALUE("0.000252")</f>
        <v/>
      </c>
      <c r="D2137">
        <f>_xlfn.NUMBERVALUE("-0.000278")</f>
        <v/>
      </c>
      <c r="E2137">
        <f>_xlfn.NUMBERVALUE("-0.000004")</f>
        <v/>
      </c>
      <c r="F2137">
        <f>_xlfn.NUMBERVALUE("0.000234")</f>
        <v/>
      </c>
      <c r="G2137">
        <f>_xlfn.NUMBERVALUE("0.000549")</f>
        <v/>
      </c>
      <c r="H2137">
        <f>_xlfn.NUMBERVALUE("0.000462")</f>
        <v/>
      </c>
      <c r="I2137">
        <f>_xlfn.NUMBERVALUE("0.000126")</f>
        <v/>
      </c>
      <c r="J2137">
        <f>_xlfn.NUMBERVALUE("0.000640")</f>
        <v/>
      </c>
      <c r="K2137">
        <f>_xlfn.NUMBERVALUE("0.002511")</f>
        <v/>
      </c>
      <c r="L2137">
        <f>_xlfn.NUMBERVALUE("0.001936")</f>
        <v/>
      </c>
      <c r="M2137">
        <f>_xlfn.NUMBERVALUE("-0.000926")</f>
        <v/>
      </c>
      <c r="N2137">
        <f>_xlfn.NUMBERVALUE("-0.002308")</f>
        <v/>
      </c>
      <c r="O2137">
        <f>_xlfn.NUMBERVALUE("0.001722")</f>
        <v/>
      </c>
      <c r="P2137">
        <f>_xlfn.NUMBERVALUE("0.000989")</f>
        <v/>
      </c>
      <c r="Q2137">
        <f>_xlfn.NUMBERVALUE("-0.001414")</f>
        <v/>
      </c>
      <c r="R2137">
        <f>_xlfn.NUMBERVALUE("-0.003663")</f>
        <v/>
      </c>
      <c r="S2137">
        <f>_xlfn.NUMBERVALUE("0.000439")</f>
        <v/>
      </c>
      <c r="T2137">
        <f>_xlfn.NUMBERVALUE("0.001578")</f>
        <v/>
      </c>
      <c r="U2137">
        <f>_xlfn.NUMBERVALUE("-0.003543")</f>
        <v/>
      </c>
      <c r="V2137">
        <f>_xlfn.NUMBERVALUE("-0.001816")</f>
        <v/>
      </c>
      <c r="W2137">
        <f>_xlfn.NUMBERVALUE("0.010483")</f>
        <v/>
      </c>
      <c r="X2137">
        <f>_xlfn.NUMBERVALUE("-0.510000")</f>
        <v/>
      </c>
      <c r="Y2137">
        <f>_xlfn.NUMBERVALUE("13.740000")</f>
        <v/>
      </c>
    </row>
    <row r="2138">
      <c r="A2138" s="1" t="n">
        <v>45105</v>
      </c>
      <c r="B2138">
        <f>_xlfn.NUMBERVALUE("-0.000221")</f>
        <v/>
      </c>
      <c r="C2138" s="2">
        <f>_xlfn.NUMBERVALUE("0.000366")</f>
        <v/>
      </c>
      <c r="D2138">
        <f>_xlfn.NUMBERVALUE("0.000662")</f>
        <v/>
      </c>
      <c r="E2138">
        <f>_xlfn.NUMBERVALUE("0.000808")</f>
        <v/>
      </c>
      <c r="F2138">
        <f>_xlfn.NUMBERVALUE("0.000101")</f>
        <v/>
      </c>
      <c r="G2138">
        <f>_xlfn.NUMBERVALUE("-0.000347")</f>
        <v/>
      </c>
      <c r="H2138">
        <f>_xlfn.NUMBERVALUE("0.000836")</f>
        <v/>
      </c>
      <c r="I2138">
        <f>_xlfn.NUMBERVALUE("0.001644")</f>
        <v/>
      </c>
      <c r="J2138">
        <f>_xlfn.NUMBERVALUE("-0.000188")</f>
        <v/>
      </c>
      <c r="K2138">
        <f>_xlfn.NUMBERVALUE("0.000144")</f>
        <v/>
      </c>
      <c r="L2138">
        <f>_xlfn.NUMBERVALUE("0.000407")</f>
        <v/>
      </c>
      <c r="M2138">
        <f>_xlfn.NUMBERVALUE("0.000104")</f>
        <v/>
      </c>
      <c r="N2138">
        <f>_xlfn.NUMBERVALUE("0.001109")</f>
        <v/>
      </c>
      <c r="O2138">
        <f>_xlfn.NUMBERVALUE("0.000768")</f>
        <v/>
      </c>
      <c r="P2138">
        <f>_xlfn.NUMBERVALUE("-0.000317")</f>
        <v/>
      </c>
      <c r="Q2138">
        <f>_xlfn.NUMBERVALUE("0.000616")</f>
        <v/>
      </c>
      <c r="R2138">
        <f>_xlfn.NUMBERVALUE("0.001306")</f>
        <v/>
      </c>
      <c r="S2138">
        <f>_xlfn.NUMBERVALUE("-0.000201")</f>
        <v/>
      </c>
      <c r="T2138">
        <f>_xlfn.NUMBERVALUE("-0.003486")</f>
        <v/>
      </c>
      <c r="U2138">
        <f>_xlfn.NUMBERVALUE("0.000761")</f>
        <v/>
      </c>
      <c r="V2138">
        <f>_xlfn.NUMBERVALUE("0.001002")</f>
        <v/>
      </c>
      <c r="W2138">
        <f>_xlfn.NUMBERVALUE("-0.002634")</f>
        <v/>
      </c>
      <c r="X2138">
        <f>_xlfn.NUMBERVALUE("-0.310000")</f>
        <v/>
      </c>
      <c r="Y2138">
        <f>_xlfn.NUMBERVALUE("13.430000")</f>
        <v/>
      </c>
    </row>
    <row r="2139">
      <c r="A2139" s="1" t="n">
        <v>45106</v>
      </c>
      <c r="B2139">
        <f>_xlfn.NUMBERVALUE("0.001672")</f>
        <v/>
      </c>
      <c r="C2139" s="2">
        <f>_xlfn.NUMBERVALUE("-0.001129")</f>
        <v/>
      </c>
      <c r="D2139">
        <f>_xlfn.NUMBERVALUE("0.000034")</f>
        <v/>
      </c>
      <c r="E2139">
        <f>_xlfn.NUMBERVALUE("0.000847")</f>
        <v/>
      </c>
      <c r="F2139">
        <f>_xlfn.NUMBERVALUE("0.000152")</f>
        <v/>
      </c>
      <c r="G2139">
        <f>_xlfn.NUMBERVALUE("0.000178")</f>
        <v/>
      </c>
      <c r="H2139">
        <f>_xlfn.NUMBERVALUE("-0.003992")</f>
        <v/>
      </c>
      <c r="I2139">
        <f>_xlfn.NUMBERVALUE("-0.001918")</f>
        <v/>
      </c>
      <c r="J2139">
        <f>_xlfn.NUMBERVALUE("-0.000966")</f>
        <v/>
      </c>
      <c r="K2139">
        <f>_xlfn.NUMBERVALUE("-0.000349")</f>
        <v/>
      </c>
      <c r="L2139">
        <f>_xlfn.NUMBERVALUE("-0.003664")</f>
        <v/>
      </c>
      <c r="M2139">
        <f>_xlfn.NUMBERVALUE("-0.000965")</f>
        <v/>
      </c>
      <c r="N2139">
        <f>_xlfn.NUMBERVALUE("0.000806")</f>
        <v/>
      </c>
      <c r="O2139">
        <f>_xlfn.NUMBERVALUE("0.001159")</f>
        <v/>
      </c>
      <c r="P2139">
        <f>_xlfn.NUMBERVALUE("-0.002732")</f>
        <v/>
      </c>
      <c r="Q2139">
        <f>_xlfn.NUMBERVALUE("-0.000741")</f>
        <v/>
      </c>
      <c r="R2139">
        <f>_xlfn.NUMBERVALUE("0.000975")</f>
        <v/>
      </c>
      <c r="S2139">
        <f>_xlfn.NUMBERVALUE("0.001590")</f>
        <v/>
      </c>
      <c r="T2139">
        <f>_xlfn.NUMBERVALUE("0.000364")</f>
        <v/>
      </c>
      <c r="U2139">
        <f>_xlfn.NUMBERVALUE("0.001312")</f>
        <v/>
      </c>
      <c r="V2139">
        <f>_xlfn.NUMBERVALUE("0.000052")</f>
        <v/>
      </c>
      <c r="W2139">
        <f>_xlfn.NUMBERVALUE("0.003973")</f>
        <v/>
      </c>
      <c r="X2139">
        <f>_xlfn.NUMBERVALUE("0.110000")</f>
        <v/>
      </c>
      <c r="Y2139">
        <f>_xlfn.NUMBERVALUE("13.540000")</f>
        <v/>
      </c>
    </row>
    <row r="2140">
      <c r="A2140" s="1" t="n">
        <v>45107</v>
      </c>
      <c r="B2140">
        <f>_xlfn.NUMBERVALUE("0.003449")</f>
        <v/>
      </c>
      <c r="C2140" s="2">
        <f>_xlfn.NUMBERVALUE("-0.001694")</f>
        <v/>
      </c>
      <c r="D2140">
        <f>_xlfn.NUMBERVALUE("0.000712")</f>
        <v/>
      </c>
      <c r="E2140">
        <f>_xlfn.NUMBERVALUE("-0.002112")</f>
        <v/>
      </c>
      <c r="F2140">
        <f>_xlfn.NUMBERVALUE("-0.000055")</f>
        <v/>
      </c>
      <c r="G2140">
        <f>_xlfn.NUMBERVALUE("-0.003167")</f>
        <v/>
      </c>
      <c r="H2140">
        <f>_xlfn.NUMBERVALUE("0.000793")</f>
        <v/>
      </c>
      <c r="I2140">
        <f>_xlfn.NUMBERVALUE("0.002441")</f>
        <v/>
      </c>
      <c r="J2140">
        <f>_xlfn.NUMBERVALUE("-0.001517")</f>
        <v/>
      </c>
      <c r="K2140">
        <f>_xlfn.NUMBERVALUE("0.001569")</f>
        <v/>
      </c>
      <c r="L2140">
        <f>_xlfn.NUMBERVALUE("-0.000383")</f>
        <v/>
      </c>
      <c r="M2140">
        <f>_xlfn.NUMBERVALUE("0.000633")</f>
        <v/>
      </c>
      <c r="N2140">
        <f>_xlfn.NUMBERVALUE("-0.000415")</f>
        <v/>
      </c>
      <c r="O2140">
        <f>_xlfn.NUMBERVALUE("0.002544")</f>
        <v/>
      </c>
      <c r="P2140">
        <f>_xlfn.NUMBERVALUE("-0.002592")</f>
        <v/>
      </c>
      <c r="Q2140">
        <f>_xlfn.NUMBERVALUE("0.000647")</f>
        <v/>
      </c>
      <c r="R2140">
        <f>_xlfn.NUMBERVALUE("-0.002495")</f>
        <v/>
      </c>
      <c r="S2140">
        <f>_xlfn.NUMBERVALUE("-0.002129")</f>
        <v/>
      </c>
      <c r="T2140">
        <f>_xlfn.NUMBERVALUE("0.000197")</f>
        <v/>
      </c>
      <c r="U2140">
        <f>_xlfn.NUMBERVALUE("-0.001409")</f>
        <v/>
      </c>
      <c r="V2140">
        <f>_xlfn.NUMBERVALUE("-0.001707")</f>
        <v/>
      </c>
      <c r="W2140">
        <f>_xlfn.NUMBERVALUE("0.015095")</f>
        <v/>
      </c>
      <c r="X2140">
        <f>_xlfn.NUMBERVALUE("0.050000")</f>
        <v/>
      </c>
      <c r="Y2140">
        <f>_xlfn.NUMBERVALUE("13.590000")</f>
        <v/>
      </c>
    </row>
    <row r="2141">
      <c r="A2141" s="1" t="n">
        <v>45110</v>
      </c>
      <c r="B2141">
        <f>_xlfn.NUMBERVALUE("0.000654")</f>
        <v/>
      </c>
      <c r="C2141" s="2">
        <f>_xlfn.NUMBERVALUE("0.000644")</f>
        <v/>
      </c>
      <c r="D2141">
        <f>_xlfn.NUMBERVALUE("-0.000523")</f>
        <v/>
      </c>
      <c r="E2141">
        <f>_xlfn.NUMBERVALUE("0.001462")</f>
        <v/>
      </c>
      <c r="F2141">
        <f>_xlfn.NUMBERVALUE("0.000380")</f>
        <v/>
      </c>
      <c r="G2141">
        <f>_xlfn.NUMBERVALUE("-0.001304")</f>
        <v/>
      </c>
      <c r="H2141">
        <f>_xlfn.NUMBERVALUE("0.000426")</f>
        <v/>
      </c>
      <c r="I2141">
        <f>_xlfn.NUMBERVALUE("0.001803")</f>
        <v/>
      </c>
      <c r="J2141">
        <f>_xlfn.NUMBERVALUE("-0.001461")</f>
        <v/>
      </c>
      <c r="K2141">
        <f>_xlfn.NUMBERVALUE("0.000980")</f>
        <v/>
      </c>
      <c r="L2141">
        <f>_xlfn.NUMBERVALUE("-0.000572")</f>
        <v/>
      </c>
      <c r="M2141">
        <f>_xlfn.NUMBERVALUE("0.000374")</f>
        <v/>
      </c>
      <c r="N2141">
        <f>_xlfn.NUMBERVALUE("0.001988")</f>
        <v/>
      </c>
      <c r="O2141">
        <f>_xlfn.NUMBERVALUE("0.002438")</f>
        <v/>
      </c>
      <c r="P2141">
        <f>_xlfn.NUMBERVALUE("0.001289")</f>
        <v/>
      </c>
      <c r="Q2141">
        <f>_xlfn.NUMBERVALUE("-0.000079")</f>
        <v/>
      </c>
      <c r="R2141">
        <f>_xlfn.NUMBERVALUE("0.001092")</f>
        <v/>
      </c>
      <c r="S2141">
        <f>_xlfn.NUMBERVALUE("0.000738")</f>
        <v/>
      </c>
      <c r="T2141">
        <f>_xlfn.NUMBERVALUE("0.000860")</f>
        <v/>
      </c>
      <c r="U2141">
        <f>_xlfn.NUMBERVALUE("-0.000124")</f>
        <v/>
      </c>
      <c r="V2141">
        <f>_xlfn.NUMBERVALUE("0.000714")</f>
        <v/>
      </c>
      <c r="W2141">
        <f>_xlfn.NUMBERVALUE("0.000135")</f>
        <v/>
      </c>
      <c r="X2141">
        <f>_xlfn.NUMBERVALUE("-0.020000")</f>
        <v/>
      </c>
      <c r="Y2141">
        <f>_xlfn.NUMBERVALUE("13.570000")</f>
        <v/>
      </c>
    </row>
    <row r="2142">
      <c r="A2142" s="1" t="n">
        <v>45112</v>
      </c>
      <c r="B2142">
        <f>_xlfn.NUMBERVALUE("0.003281")</f>
        <v/>
      </c>
      <c r="C2142" s="2">
        <f>_xlfn.NUMBERVALUE("0.000701")</f>
        <v/>
      </c>
      <c r="D2142">
        <f>_xlfn.NUMBERVALUE("0.001471")</f>
        <v/>
      </c>
      <c r="E2142">
        <f>_xlfn.NUMBERVALUE("-0.003449")</f>
        <v/>
      </c>
      <c r="F2142">
        <f>_xlfn.NUMBERVALUE("-0.000521")</f>
        <v/>
      </c>
      <c r="G2142">
        <f>_xlfn.NUMBERVALUE("-0.000377")</f>
        <v/>
      </c>
      <c r="H2142">
        <f>_xlfn.NUMBERVALUE("-0.000351")</f>
        <v/>
      </c>
      <c r="I2142">
        <f>_xlfn.NUMBERVALUE("0.001142")</f>
        <v/>
      </c>
      <c r="J2142">
        <f>_xlfn.NUMBERVALUE("-0.002316")</f>
        <v/>
      </c>
      <c r="K2142">
        <f>_xlfn.NUMBERVALUE("0.000729")</f>
        <v/>
      </c>
      <c r="L2142">
        <f>_xlfn.NUMBERVALUE("-0.005213")</f>
        <v/>
      </c>
      <c r="M2142">
        <f>_xlfn.NUMBERVALUE("-0.001321")</f>
        <v/>
      </c>
      <c r="N2142">
        <f>_xlfn.NUMBERVALUE("-0.000610")</f>
        <v/>
      </c>
      <c r="O2142">
        <f>_xlfn.NUMBERVALUE("0.000456")</f>
        <v/>
      </c>
      <c r="P2142">
        <f>_xlfn.NUMBERVALUE("0.000111")</f>
        <v/>
      </c>
      <c r="Q2142">
        <f>_xlfn.NUMBERVALUE("0.000407")</f>
        <v/>
      </c>
      <c r="R2142">
        <f>_xlfn.NUMBERVALUE("0.000796")</f>
        <v/>
      </c>
      <c r="S2142">
        <f>_xlfn.NUMBERVALUE("0.000430")</f>
        <v/>
      </c>
      <c r="T2142">
        <f>_xlfn.NUMBERVALUE("-0.003799")</f>
        <v/>
      </c>
      <c r="U2142">
        <f>_xlfn.NUMBERVALUE("0.001235")</f>
        <v/>
      </c>
      <c r="V2142">
        <f>_xlfn.NUMBERVALUE("0.000292")</f>
        <v/>
      </c>
      <c r="W2142">
        <f>_xlfn.NUMBERVALUE("-0.000991")</f>
        <v/>
      </c>
      <c r="X2142">
        <f>_xlfn.NUMBERVALUE("0.610000")</f>
        <v/>
      </c>
      <c r="Y2142">
        <f>_xlfn.NUMBERVALUE("14.180000")</f>
        <v/>
      </c>
    </row>
    <row r="2143">
      <c r="A2143" s="1" t="n">
        <v>45113</v>
      </c>
      <c r="B2143">
        <f>_xlfn.NUMBERVALUE("-0.007696")</f>
        <v/>
      </c>
      <c r="C2143" s="2">
        <f>_xlfn.NUMBERVALUE("0.000130")</f>
        <v/>
      </c>
      <c r="D2143">
        <f>_xlfn.NUMBERVALUE("-0.008142")</f>
        <v/>
      </c>
      <c r="E2143">
        <f>_xlfn.NUMBERVALUE("-0.006052")</f>
        <v/>
      </c>
      <c r="F2143">
        <f>_xlfn.NUMBERVALUE("0.000101")</f>
        <v/>
      </c>
      <c r="G2143">
        <f>_xlfn.NUMBERVALUE("-0.002441")</f>
        <v/>
      </c>
      <c r="H2143">
        <f>_xlfn.NUMBERVALUE("-0.000027")</f>
        <v/>
      </c>
      <c r="I2143">
        <f>_xlfn.NUMBERVALUE("-0.010934")</f>
        <v/>
      </c>
      <c r="J2143">
        <f>_xlfn.NUMBERVALUE("-0.001769")</f>
        <v/>
      </c>
      <c r="K2143">
        <f>_xlfn.NUMBERVALUE("-0.000679")</f>
        <v/>
      </c>
      <c r="L2143">
        <f>_xlfn.NUMBERVALUE("-0.001351")</f>
        <v/>
      </c>
      <c r="M2143">
        <f>_xlfn.NUMBERVALUE("-0.001993")</f>
        <v/>
      </c>
      <c r="N2143">
        <f>_xlfn.NUMBERVALUE("-0.000741")</f>
        <v/>
      </c>
      <c r="O2143">
        <f>_xlfn.NUMBERVALUE("-0.006484")</f>
        <v/>
      </c>
      <c r="P2143">
        <f>_xlfn.NUMBERVALUE("-0.000109")</f>
        <v/>
      </c>
      <c r="Q2143">
        <f>_xlfn.NUMBERVALUE("-0.000647")</f>
        <v/>
      </c>
      <c r="R2143">
        <f>_xlfn.NUMBERVALUE("0.000814")</f>
        <v/>
      </c>
      <c r="S2143">
        <f>_xlfn.NUMBERVALUE("0.000101")</f>
        <v/>
      </c>
      <c r="T2143">
        <f>_xlfn.NUMBERVALUE("-0.002739")</f>
        <v/>
      </c>
      <c r="U2143">
        <f>_xlfn.NUMBERVALUE("-0.000693")</f>
        <v/>
      </c>
      <c r="V2143">
        <f>_xlfn.NUMBERVALUE("0.000177")</f>
        <v/>
      </c>
      <c r="W2143">
        <f>_xlfn.NUMBERVALUE("-0.008817")</f>
        <v/>
      </c>
      <c r="X2143">
        <f>_xlfn.NUMBERVALUE("1.260000")</f>
        <v/>
      </c>
      <c r="Y2143">
        <f>_xlfn.NUMBERVALUE("15.440000")</f>
        <v/>
      </c>
    </row>
    <row r="2144">
      <c r="A2144" s="1" t="n">
        <v>45114</v>
      </c>
      <c r="B2144">
        <f>_xlfn.NUMBERVALUE("0.003253")</f>
        <v/>
      </c>
      <c r="C2144" s="2">
        <f>_xlfn.NUMBERVALUE("0.003163")</f>
        <v/>
      </c>
      <c r="D2144">
        <f>_xlfn.NUMBERVALUE("0.000052")</f>
        <v/>
      </c>
      <c r="E2144">
        <f>_xlfn.NUMBERVALUE("0.000831")</f>
        <v/>
      </c>
      <c r="F2144">
        <f>_xlfn.NUMBERVALUE("-0.000037")</f>
        <v/>
      </c>
      <c r="G2144">
        <f>_xlfn.NUMBERVALUE("0.000046")</f>
        <v/>
      </c>
      <c r="H2144">
        <f>_xlfn.NUMBERVALUE("-0.000005")</f>
        <v/>
      </c>
      <c r="I2144">
        <f>_xlfn.NUMBERVALUE("0.002608")</f>
        <v/>
      </c>
      <c r="J2144">
        <f>_xlfn.NUMBERVALUE("0.000001")</f>
        <v/>
      </c>
      <c r="K2144">
        <f>_xlfn.NUMBERVALUE("0.000009")</f>
        <v/>
      </c>
      <c r="L2144">
        <f>_xlfn.NUMBERVALUE("0.000715")</f>
        <v/>
      </c>
      <c r="M2144">
        <f>_xlfn.NUMBERVALUE("0.000115")</f>
        <v/>
      </c>
      <c r="N2144">
        <f>_xlfn.NUMBERVALUE("0.002778")</f>
        <v/>
      </c>
      <c r="O2144">
        <f>_xlfn.NUMBERVALUE("-0.000846")</f>
        <v/>
      </c>
      <c r="P2144">
        <f>_xlfn.NUMBERVALUE("0.000730")</f>
        <v/>
      </c>
      <c r="Q2144">
        <f>_xlfn.NUMBERVALUE("0.001252")</f>
        <v/>
      </c>
      <c r="R2144">
        <f>_xlfn.NUMBERVALUE("0.001753")</f>
        <v/>
      </c>
      <c r="S2144">
        <f>_xlfn.NUMBERVALUE("0.000077")</f>
        <v/>
      </c>
      <c r="T2144">
        <f>_xlfn.NUMBERVALUE("0.001508")</f>
        <v/>
      </c>
      <c r="U2144">
        <f>_xlfn.NUMBERVALUE("0.001439")</f>
        <v/>
      </c>
      <c r="V2144">
        <f>_xlfn.NUMBERVALUE("0.000131")</f>
        <v/>
      </c>
      <c r="W2144">
        <f>_xlfn.NUMBERVALUE("0.000023")</f>
        <v/>
      </c>
      <c r="X2144">
        <f>_xlfn.NUMBERVALUE("-0.610000")</f>
        <v/>
      </c>
      <c r="Y2144">
        <f>_xlfn.NUMBERVALUE("14.830000")</f>
        <v/>
      </c>
    </row>
    <row r="2145">
      <c r="A2145" s="1" t="n">
        <v>45117</v>
      </c>
      <c r="B2145">
        <f>_xlfn.NUMBERVALUE("-0.004820")</f>
        <v/>
      </c>
      <c r="C2145" s="2">
        <f>_xlfn.NUMBERVALUE("0.000383")</f>
        <v/>
      </c>
      <c r="D2145">
        <f>_xlfn.NUMBERVALUE("0.000785")</f>
        <v/>
      </c>
      <c r="E2145">
        <f>_xlfn.NUMBERVALUE("-0.000119")</f>
        <v/>
      </c>
      <c r="F2145">
        <f>_xlfn.NUMBERVALUE("0.000757")</f>
        <v/>
      </c>
      <c r="G2145">
        <f>_xlfn.NUMBERVALUE("0.000117")</f>
        <v/>
      </c>
      <c r="H2145">
        <f>_xlfn.NUMBERVALUE("-0.000126")</f>
        <v/>
      </c>
      <c r="I2145">
        <f>_xlfn.NUMBERVALUE("-0.002537")</f>
        <v/>
      </c>
      <c r="J2145">
        <f>_xlfn.NUMBERVALUE("0.000116")</f>
        <v/>
      </c>
      <c r="K2145">
        <f>_xlfn.NUMBERVALUE("0.002170")</f>
        <v/>
      </c>
      <c r="L2145">
        <f>_xlfn.NUMBERVALUE("0.000556")</f>
        <v/>
      </c>
      <c r="M2145">
        <f>_xlfn.NUMBERVALUE("0.000971")</f>
        <v/>
      </c>
      <c r="N2145">
        <f>_xlfn.NUMBERVALUE("-0.000452")</f>
        <v/>
      </c>
      <c r="O2145">
        <f>_xlfn.NUMBERVALUE("0.004522")</f>
        <v/>
      </c>
      <c r="P2145">
        <f>_xlfn.NUMBERVALUE("0.001343")</f>
        <v/>
      </c>
      <c r="Q2145">
        <f>_xlfn.NUMBERVALUE("0.000032")</f>
        <v/>
      </c>
      <c r="R2145">
        <f>_xlfn.NUMBERVALUE("0.001782")</f>
        <v/>
      </c>
      <c r="S2145">
        <f>_xlfn.NUMBERVALUE("0.002082")</f>
        <v/>
      </c>
      <c r="T2145">
        <f>_xlfn.NUMBERVALUE("-0.000457")</f>
        <v/>
      </c>
      <c r="U2145">
        <f>_xlfn.NUMBERVALUE("0.000551")</f>
        <v/>
      </c>
      <c r="V2145">
        <f>_xlfn.NUMBERVALUE("0.000519")</f>
        <v/>
      </c>
      <c r="W2145">
        <f>_xlfn.NUMBERVALUE("-0.001365")</f>
        <v/>
      </c>
      <c r="X2145">
        <f>_xlfn.NUMBERVALUE("0.240000")</f>
        <v/>
      </c>
      <c r="Y2145">
        <f>_xlfn.NUMBERVALUE("15.070000")</f>
        <v/>
      </c>
    </row>
    <row r="2146">
      <c r="A2146" s="1" t="n">
        <v>45118</v>
      </c>
      <c r="B2146">
        <f>_xlfn.NUMBERVALUE("-0.008654")</f>
        <v/>
      </c>
      <c r="C2146" s="2">
        <f>_xlfn.NUMBERVALUE("-0.001679")</f>
        <v/>
      </c>
      <c r="D2146">
        <f>_xlfn.NUMBERVALUE("-0.001393")</f>
        <v/>
      </c>
      <c r="E2146">
        <f>_xlfn.NUMBERVALUE("-0.000251")</f>
        <v/>
      </c>
      <c r="F2146">
        <f>_xlfn.NUMBERVALUE("0.000205")</f>
        <v/>
      </c>
      <c r="G2146">
        <f>_xlfn.NUMBERVALUE("-0.000842")</f>
        <v/>
      </c>
      <c r="H2146">
        <f>_xlfn.NUMBERVALUE("0.000942")</f>
        <v/>
      </c>
      <c r="I2146">
        <f>_xlfn.NUMBERVALUE("-0.001785")</f>
        <v/>
      </c>
      <c r="J2146">
        <f>_xlfn.NUMBERVALUE("-0.000446")</f>
        <v/>
      </c>
      <c r="K2146">
        <f>_xlfn.NUMBERVALUE("0.000834")</f>
        <v/>
      </c>
      <c r="L2146">
        <f>_xlfn.NUMBERVALUE("0.001028")</f>
        <v/>
      </c>
      <c r="M2146">
        <f>_xlfn.NUMBERVALUE("-0.000175")</f>
        <v/>
      </c>
      <c r="N2146">
        <f>_xlfn.NUMBERVALUE("-0.005032")</f>
        <v/>
      </c>
      <c r="O2146">
        <f>_xlfn.NUMBERVALUE("-0.010131")</f>
        <v/>
      </c>
      <c r="P2146">
        <f>_xlfn.NUMBERVALUE("-0.001141")</f>
        <v/>
      </c>
      <c r="Q2146">
        <f>_xlfn.NUMBERVALUE("0.000252")</f>
        <v/>
      </c>
      <c r="R2146">
        <f>_xlfn.NUMBERVALUE("0.000485")</f>
        <v/>
      </c>
      <c r="S2146">
        <f>_xlfn.NUMBERVALUE("0.001336")</f>
        <v/>
      </c>
      <c r="T2146">
        <f>_xlfn.NUMBERVALUE("0.000428")</f>
        <v/>
      </c>
      <c r="U2146">
        <f>_xlfn.NUMBERVALUE("0.000152")</f>
        <v/>
      </c>
      <c r="V2146">
        <f>_xlfn.NUMBERVALUE("-0.000730")</f>
        <v/>
      </c>
      <c r="W2146">
        <f>_xlfn.NUMBERVALUE("0.006948")</f>
        <v/>
      </c>
      <c r="X2146">
        <f>_xlfn.NUMBERVALUE("-0.230000")</f>
        <v/>
      </c>
      <c r="Y2146">
        <f>_xlfn.NUMBERVALUE("14.840000")</f>
        <v/>
      </c>
    </row>
    <row r="2147">
      <c r="A2147" s="1" t="n">
        <v>45119</v>
      </c>
      <c r="B2147">
        <f>_xlfn.NUMBERVALUE("0.001433")</f>
        <v/>
      </c>
      <c r="C2147" s="2">
        <f>_xlfn.NUMBERVALUE("0.001355")</f>
        <v/>
      </c>
      <c r="D2147">
        <f>_xlfn.NUMBERVALUE("-0.005539")</f>
        <v/>
      </c>
      <c r="E2147">
        <f>_xlfn.NUMBERVALUE("-0.004251")</f>
        <v/>
      </c>
      <c r="F2147">
        <f>_xlfn.NUMBERVALUE("-0.002424")</f>
        <v/>
      </c>
      <c r="G2147">
        <f>_xlfn.NUMBERVALUE("-0.001142")</f>
        <v/>
      </c>
      <c r="H2147">
        <f>_xlfn.NUMBERVALUE("-0.000169")</f>
        <v/>
      </c>
      <c r="I2147">
        <f>_xlfn.NUMBERVALUE("0.000646")</f>
        <v/>
      </c>
      <c r="J2147">
        <f>_xlfn.NUMBERVALUE("-0.001412")</f>
        <v/>
      </c>
      <c r="K2147">
        <f>_xlfn.NUMBERVALUE("-0.012276")</f>
        <v/>
      </c>
      <c r="L2147">
        <f>_xlfn.NUMBERVALUE("0.001207")</f>
        <v/>
      </c>
      <c r="M2147">
        <f>_xlfn.NUMBERVALUE("0.000112")</f>
        <v/>
      </c>
      <c r="N2147">
        <f>_xlfn.NUMBERVALUE("0.000765")</f>
        <v/>
      </c>
      <c r="O2147">
        <f>_xlfn.NUMBERVALUE("-0.000612")</f>
        <v/>
      </c>
      <c r="P2147">
        <f>_xlfn.NUMBERVALUE("0.000031")</f>
        <v/>
      </c>
      <c r="Q2147">
        <f>_xlfn.NUMBERVALUE("-0.000042")</f>
        <v/>
      </c>
      <c r="R2147">
        <f>_xlfn.NUMBERVALUE("-0.000175")</f>
        <v/>
      </c>
      <c r="S2147">
        <f>_xlfn.NUMBERVALUE("-0.000404")</f>
        <v/>
      </c>
      <c r="T2147">
        <f>_xlfn.NUMBERVALUE("-0.007984")</f>
        <v/>
      </c>
      <c r="U2147">
        <f>_xlfn.NUMBERVALUE("0.000090")</f>
        <v/>
      </c>
      <c r="V2147">
        <f>_xlfn.NUMBERVALUE("0.000466")</f>
        <v/>
      </c>
      <c r="W2147">
        <f>_xlfn.NUMBERVALUE("0.009276")</f>
        <v/>
      </c>
      <c r="X2147">
        <f>_xlfn.NUMBERVALUE("-1.300000")</f>
        <v/>
      </c>
      <c r="Y2147">
        <f>_xlfn.NUMBERVALUE("13.540000")</f>
        <v/>
      </c>
    </row>
    <row r="2148">
      <c r="A2148" s="1" t="n">
        <v>45120</v>
      </c>
      <c r="B2148">
        <f>_xlfn.NUMBERVALUE("-0.006784")</f>
        <v/>
      </c>
      <c r="C2148" s="2">
        <f>_xlfn.NUMBERVALUE("0.000109")</f>
        <v/>
      </c>
      <c r="D2148">
        <f>_xlfn.NUMBERVALUE("-0.001777")</f>
        <v/>
      </c>
      <c r="E2148">
        <f>_xlfn.NUMBERVALUE("-0.001916")</f>
        <v/>
      </c>
      <c r="F2148">
        <f>_xlfn.NUMBERVALUE("0.000925")</f>
        <v/>
      </c>
      <c r="G2148">
        <f>_xlfn.NUMBERVALUE("-0.000141")</f>
        <v/>
      </c>
      <c r="H2148">
        <f>_xlfn.NUMBERVALUE("-0.000437")</f>
        <v/>
      </c>
      <c r="I2148">
        <f>_xlfn.NUMBERVALUE("0.000521")</f>
        <v/>
      </c>
      <c r="J2148">
        <f>_xlfn.NUMBERVALUE("0.000905")</f>
        <v/>
      </c>
      <c r="K2148">
        <f>_xlfn.NUMBERVALUE("-0.004678")</f>
        <v/>
      </c>
      <c r="L2148">
        <f>_xlfn.NUMBERVALUE("0.000776")</f>
        <v/>
      </c>
      <c r="M2148">
        <f>_xlfn.NUMBERVALUE("-0.000030")</f>
        <v/>
      </c>
      <c r="N2148">
        <f>_xlfn.NUMBERVALUE("-0.001471")</f>
        <v/>
      </c>
      <c r="O2148">
        <f>_xlfn.NUMBERVALUE("0.000516")</f>
        <v/>
      </c>
      <c r="P2148">
        <f>_xlfn.NUMBERVALUE("-0.002040")</f>
        <v/>
      </c>
      <c r="Q2148">
        <f>_xlfn.NUMBERVALUE("0.000617")</f>
        <v/>
      </c>
      <c r="R2148">
        <f>_xlfn.NUMBERVALUE("-0.003063")</f>
        <v/>
      </c>
      <c r="S2148">
        <f>_xlfn.NUMBERVALUE("0.000229")</f>
        <v/>
      </c>
      <c r="T2148">
        <f>_xlfn.NUMBERVALUE("-0.000012")</f>
        <v/>
      </c>
      <c r="U2148">
        <f>_xlfn.NUMBERVALUE("-0.000583")</f>
        <v/>
      </c>
      <c r="V2148">
        <f>_xlfn.NUMBERVALUE("-0.001800")</f>
        <v/>
      </c>
      <c r="W2148">
        <f>_xlfn.NUMBERVALUE("0.009437")</f>
        <v/>
      </c>
      <c r="X2148">
        <f>_xlfn.NUMBERVALUE("0.070000")</f>
        <v/>
      </c>
      <c r="Y2148">
        <f>_xlfn.NUMBERVALUE("13.610000")</f>
        <v/>
      </c>
    </row>
    <row r="2149">
      <c r="A2149" s="1" t="n">
        <v>45121</v>
      </c>
      <c r="B2149">
        <f>_xlfn.NUMBERVALUE("0.002696")</f>
        <v/>
      </c>
      <c r="C2149" s="2">
        <f>_xlfn.NUMBERVALUE("0.001068")</f>
        <v/>
      </c>
      <c r="D2149">
        <f>_xlfn.NUMBERVALUE("0.000645")</f>
        <v/>
      </c>
      <c r="E2149">
        <f>_xlfn.NUMBERVALUE("0.000147")</f>
        <v/>
      </c>
      <c r="F2149">
        <f>_xlfn.NUMBERVALUE("0.001306")</f>
        <v/>
      </c>
      <c r="G2149">
        <f>_xlfn.NUMBERVALUE("-0.000029")</f>
        <v/>
      </c>
      <c r="H2149">
        <f>_xlfn.NUMBERVALUE("0.000263")</f>
        <v/>
      </c>
      <c r="I2149">
        <f>_xlfn.NUMBERVALUE("0.001403")</f>
        <v/>
      </c>
      <c r="J2149">
        <f>_xlfn.NUMBERVALUE("0.000224")</f>
        <v/>
      </c>
      <c r="K2149">
        <f>_xlfn.NUMBERVALUE("0.001668")</f>
        <v/>
      </c>
      <c r="L2149">
        <f>_xlfn.NUMBERVALUE("0.000429")</f>
        <v/>
      </c>
      <c r="M2149">
        <f>_xlfn.NUMBERVALUE("0.000465")</f>
        <v/>
      </c>
      <c r="N2149">
        <f>_xlfn.NUMBERVALUE("-0.000918")</f>
        <v/>
      </c>
      <c r="O2149">
        <f>_xlfn.NUMBERVALUE("-0.005084")</f>
        <v/>
      </c>
      <c r="P2149">
        <f>_xlfn.NUMBERVALUE("0.003685")</f>
        <v/>
      </c>
      <c r="Q2149">
        <f>_xlfn.NUMBERVALUE("0.001016")</f>
        <v/>
      </c>
      <c r="R2149">
        <f>_xlfn.NUMBERVALUE("0.001923")</f>
        <v/>
      </c>
      <c r="S2149">
        <f>_xlfn.NUMBERVALUE("0.000276")</f>
        <v/>
      </c>
      <c r="T2149">
        <f>_xlfn.NUMBERVALUE("0.001027")</f>
        <v/>
      </c>
      <c r="U2149">
        <f>_xlfn.NUMBERVALUE("0.001797")</f>
        <v/>
      </c>
      <c r="V2149">
        <f>_xlfn.NUMBERVALUE("0.001549")</f>
        <v/>
      </c>
      <c r="W2149">
        <f>_xlfn.NUMBERVALUE("-0.002776")</f>
        <v/>
      </c>
      <c r="X2149">
        <f>_xlfn.NUMBERVALUE("-0.270000")</f>
        <v/>
      </c>
      <c r="Y2149">
        <f>_xlfn.NUMBERVALUE("13.340000")</f>
        <v/>
      </c>
    </row>
    <row r="2150">
      <c r="A2150" s="1" t="n">
        <v>45124</v>
      </c>
      <c r="B2150">
        <f>_xlfn.NUMBERVALUE("-0.000005")</f>
        <v/>
      </c>
      <c r="C2150" s="2">
        <f>_xlfn.NUMBERVALUE("0.000226")</f>
        <v/>
      </c>
      <c r="D2150">
        <f>_xlfn.NUMBERVALUE("0.001706")</f>
        <v/>
      </c>
      <c r="E2150">
        <f>_xlfn.NUMBERVALUE("0.001417")</f>
        <v/>
      </c>
      <c r="F2150">
        <f>_xlfn.NUMBERVALUE("0.000557")</f>
        <v/>
      </c>
      <c r="G2150">
        <f>_xlfn.NUMBERVALUE("0.000340")</f>
        <v/>
      </c>
      <c r="H2150">
        <f>_xlfn.NUMBERVALUE("0.000618")</f>
        <v/>
      </c>
      <c r="I2150">
        <f>_xlfn.NUMBERVALUE("-0.000701")</f>
        <v/>
      </c>
      <c r="J2150">
        <f>_xlfn.NUMBERVALUE("0.000623")</f>
        <v/>
      </c>
      <c r="K2150">
        <f>_xlfn.NUMBERVALUE("0.000842")</f>
        <v/>
      </c>
      <c r="L2150">
        <f>_xlfn.NUMBERVALUE("0.001622")</f>
        <v/>
      </c>
      <c r="M2150">
        <f>_xlfn.NUMBERVALUE("0.001696")</f>
        <v/>
      </c>
      <c r="N2150">
        <f>_xlfn.NUMBERVALUE("0.001606")</f>
        <v/>
      </c>
      <c r="O2150">
        <f>_xlfn.NUMBERVALUE("0.001610")</f>
        <v/>
      </c>
      <c r="P2150">
        <f>_xlfn.NUMBERVALUE("-0.000304")</f>
        <v/>
      </c>
      <c r="Q2150">
        <f>_xlfn.NUMBERVALUE("0.000696")</f>
        <v/>
      </c>
      <c r="R2150">
        <f>_xlfn.NUMBERVALUE("-0.001091")</f>
        <v/>
      </c>
      <c r="S2150">
        <f>_xlfn.NUMBERVALUE("0.000849")</f>
        <v/>
      </c>
      <c r="T2150">
        <f>_xlfn.NUMBERVALUE("0.001011")</f>
        <v/>
      </c>
      <c r="U2150">
        <f>_xlfn.NUMBERVALUE("0.000813")</f>
        <v/>
      </c>
      <c r="V2150">
        <f>_xlfn.NUMBERVALUE("0.000267")</f>
        <v/>
      </c>
      <c r="W2150">
        <f>_xlfn.NUMBERVALUE("0.004944")</f>
        <v/>
      </c>
      <c r="X2150">
        <f>_xlfn.NUMBERVALUE("0.140000")</f>
        <v/>
      </c>
      <c r="Y2150">
        <f>_xlfn.NUMBERVALUE("13.480000")</f>
        <v/>
      </c>
    </row>
    <row r="2151">
      <c r="A2151" s="1" t="n">
        <v>45125</v>
      </c>
      <c r="B2151">
        <f>_xlfn.NUMBERVALUE("0.000727")</f>
        <v/>
      </c>
      <c r="C2151" s="2">
        <f>_xlfn.NUMBERVALUE("-0.001683")</f>
        <v/>
      </c>
      <c r="D2151">
        <f>_xlfn.NUMBERVALUE("0.000470")</f>
        <v/>
      </c>
      <c r="E2151">
        <f>_xlfn.NUMBERVALUE("-0.000010")</f>
        <v/>
      </c>
      <c r="F2151">
        <f>_xlfn.NUMBERVALUE("-0.001649")</f>
        <v/>
      </c>
      <c r="G2151">
        <f>_xlfn.NUMBERVALUE("0.000208")</f>
        <v/>
      </c>
      <c r="H2151">
        <f>_xlfn.NUMBERVALUE("0.000845")</f>
        <v/>
      </c>
      <c r="I2151">
        <f>_xlfn.NUMBERVALUE("-0.001113")</f>
        <v/>
      </c>
      <c r="J2151">
        <f>_xlfn.NUMBERVALUE("0.000681")</f>
        <v/>
      </c>
      <c r="K2151">
        <f>_xlfn.NUMBERVALUE("-0.000125")</f>
        <v/>
      </c>
      <c r="L2151">
        <f>_xlfn.NUMBERVALUE("0.000368")</f>
        <v/>
      </c>
      <c r="M2151">
        <f>_xlfn.NUMBERVALUE("0.000463")</f>
        <v/>
      </c>
      <c r="N2151">
        <f>_xlfn.NUMBERVALUE("0.000087")</f>
        <v/>
      </c>
      <c r="O2151">
        <f>_xlfn.NUMBERVALUE("0.000655")</f>
        <v/>
      </c>
      <c r="P2151">
        <f>_xlfn.NUMBERVALUE("-0.001374")</f>
        <v/>
      </c>
      <c r="Q2151">
        <f>_xlfn.NUMBERVALUE("0.000268")</f>
        <v/>
      </c>
      <c r="R2151">
        <f>_xlfn.NUMBERVALUE("-0.002332")</f>
        <v/>
      </c>
      <c r="S2151">
        <f>_xlfn.NUMBERVALUE("0.001165")</f>
        <v/>
      </c>
      <c r="T2151">
        <f>_xlfn.NUMBERVALUE("-0.001131")</f>
        <v/>
      </c>
      <c r="U2151">
        <f>_xlfn.NUMBERVALUE("0.000182")</f>
        <v/>
      </c>
      <c r="V2151">
        <f>_xlfn.NUMBERVALUE("-0.000794")</f>
        <v/>
      </c>
      <c r="W2151">
        <f>_xlfn.NUMBERVALUE("0.007069")</f>
        <v/>
      </c>
      <c r="X2151">
        <f>_xlfn.NUMBERVALUE("-0.180000")</f>
        <v/>
      </c>
      <c r="Y2151">
        <f>_xlfn.NUMBERVALUE("13.300000")</f>
        <v/>
      </c>
    </row>
    <row r="2152">
      <c r="A2152" s="1" t="n">
        <v>45126</v>
      </c>
      <c r="B2152">
        <f>_xlfn.NUMBERVALUE("-0.000060")</f>
        <v/>
      </c>
      <c r="C2152" s="2">
        <f>_xlfn.NUMBERVALUE("0.000047")</f>
        <v/>
      </c>
      <c r="D2152">
        <f>_xlfn.NUMBERVALUE("0.001146")</f>
        <v/>
      </c>
      <c r="E2152">
        <f>_xlfn.NUMBERVALUE("0.000578")</f>
        <v/>
      </c>
      <c r="F2152">
        <f>_xlfn.NUMBERVALUE("0.000156")</f>
        <v/>
      </c>
      <c r="G2152">
        <f>_xlfn.NUMBERVALUE("-0.000081")</f>
        <v/>
      </c>
      <c r="H2152">
        <f>_xlfn.NUMBERVALUE("0.000189")</f>
        <v/>
      </c>
      <c r="I2152">
        <f>_xlfn.NUMBERVALUE("0.000594")</f>
        <v/>
      </c>
      <c r="J2152">
        <f>_xlfn.NUMBERVALUE("-0.000660")</f>
        <v/>
      </c>
      <c r="K2152">
        <f>_xlfn.NUMBERVALUE("0.000066")</f>
        <v/>
      </c>
      <c r="L2152">
        <f>_xlfn.NUMBERVALUE("-0.001299")</f>
        <v/>
      </c>
      <c r="M2152">
        <f>_xlfn.NUMBERVALUE("0.001027")</f>
        <v/>
      </c>
      <c r="N2152">
        <f>_xlfn.NUMBERVALUE("-0.000048")</f>
        <v/>
      </c>
      <c r="O2152">
        <f>_xlfn.NUMBERVALUE("0.000592")</f>
        <v/>
      </c>
      <c r="P2152">
        <f>_xlfn.NUMBERVALUE("0.000633")</f>
        <v/>
      </c>
      <c r="Q2152">
        <f>_xlfn.NUMBERVALUE("0.000127")</f>
        <v/>
      </c>
      <c r="R2152">
        <f>_xlfn.NUMBERVALUE("0.000377")</f>
        <v/>
      </c>
      <c r="S2152">
        <f>_xlfn.NUMBERVALUE("-0.002501")</f>
        <v/>
      </c>
      <c r="T2152">
        <f>_xlfn.NUMBERVALUE("-0.001609")</f>
        <v/>
      </c>
      <c r="U2152">
        <f>_xlfn.NUMBERVALUE("-0.000388")</f>
        <v/>
      </c>
      <c r="V2152">
        <f>_xlfn.NUMBERVALUE("0.000100")</f>
        <v/>
      </c>
      <c r="W2152">
        <f>_xlfn.NUMBERVALUE("0.002134")</f>
        <v/>
      </c>
      <c r="X2152">
        <f>_xlfn.NUMBERVALUE("0.460000")</f>
        <v/>
      </c>
      <c r="Y2152">
        <f>_xlfn.NUMBERVALUE("13.760000")</f>
        <v/>
      </c>
    </row>
    <row r="2153">
      <c r="A2153" s="1" t="n">
        <v>45127</v>
      </c>
      <c r="B2153">
        <f>_xlfn.NUMBERVALUE("-0.001949")</f>
        <v/>
      </c>
      <c r="C2153" s="2">
        <f>_xlfn.NUMBERVALUE("-0.000220")</f>
        <v/>
      </c>
      <c r="D2153">
        <f>_xlfn.NUMBERVALUE("0.001495")</f>
        <v/>
      </c>
      <c r="E2153">
        <f>_xlfn.NUMBERVALUE("0.000668")</f>
        <v/>
      </c>
      <c r="F2153">
        <f>_xlfn.NUMBERVALUE("0.000658")</f>
        <v/>
      </c>
      <c r="G2153">
        <f>_xlfn.NUMBERVALUE("0.000683")</f>
        <v/>
      </c>
      <c r="H2153">
        <f>_xlfn.NUMBERVALUE("0.000031")</f>
        <v/>
      </c>
      <c r="I2153">
        <f>_xlfn.NUMBERVALUE("0.000902")</f>
        <v/>
      </c>
      <c r="J2153">
        <f>_xlfn.NUMBERVALUE("0.001057")</f>
        <v/>
      </c>
      <c r="K2153">
        <f>_xlfn.NUMBERVALUE("0.001296")</f>
        <v/>
      </c>
      <c r="L2153">
        <f>_xlfn.NUMBERVALUE("0.001128")</f>
        <v/>
      </c>
      <c r="M2153">
        <f>_xlfn.NUMBERVALUE("-0.000317")</f>
        <v/>
      </c>
      <c r="N2153">
        <f>_xlfn.NUMBERVALUE("-0.002053")</f>
        <v/>
      </c>
      <c r="O2153">
        <f>_xlfn.NUMBERVALUE("0.001570")</f>
        <v/>
      </c>
      <c r="P2153">
        <f>_xlfn.NUMBERVALUE("-0.001248")</f>
        <v/>
      </c>
      <c r="Q2153">
        <f>_xlfn.NUMBERVALUE("0.000150")</f>
        <v/>
      </c>
      <c r="R2153">
        <f>_xlfn.NUMBERVALUE("-0.002890")</f>
        <v/>
      </c>
      <c r="S2153">
        <f>_xlfn.NUMBERVALUE("-0.002377")</f>
        <v/>
      </c>
      <c r="T2153">
        <f>_xlfn.NUMBERVALUE("-0.003589")</f>
        <v/>
      </c>
      <c r="U2153">
        <f>_xlfn.NUMBERVALUE("-0.005881")</f>
        <v/>
      </c>
      <c r="V2153">
        <f>_xlfn.NUMBERVALUE("0.000341")</f>
        <v/>
      </c>
      <c r="W2153">
        <f>_xlfn.NUMBERVALUE("-0.007575")</f>
        <v/>
      </c>
      <c r="X2153">
        <f>_xlfn.NUMBERVALUE("0.230000")</f>
        <v/>
      </c>
      <c r="Y2153">
        <f>_xlfn.NUMBERVALUE("13.990000")</f>
        <v/>
      </c>
    </row>
    <row r="2154">
      <c r="A2154" s="1" t="n">
        <v>45128</v>
      </c>
      <c r="B2154">
        <f>_xlfn.NUMBERVALUE("0.001674")</f>
        <v/>
      </c>
      <c r="C2154" s="2">
        <f>_xlfn.NUMBERVALUE("-0.000220")</f>
        <v/>
      </c>
      <c r="D2154">
        <f>_xlfn.NUMBERVALUE("0.001181")</f>
        <v/>
      </c>
      <c r="E2154">
        <f>_xlfn.NUMBERVALUE("0.000762")</f>
        <v/>
      </c>
      <c r="F2154">
        <f>_xlfn.NUMBERVALUE("0.001189")</f>
        <v/>
      </c>
      <c r="G2154">
        <f>_xlfn.NUMBERVALUE("0.000540")</f>
        <v/>
      </c>
      <c r="H2154">
        <f>_xlfn.NUMBERVALUE("0.001144")</f>
        <v/>
      </c>
      <c r="I2154">
        <f>_xlfn.NUMBERVALUE("0.001745")</f>
        <v/>
      </c>
      <c r="J2154">
        <f>_xlfn.NUMBERVALUE("0.000199")</f>
        <v/>
      </c>
      <c r="K2154">
        <f>_xlfn.NUMBERVALUE("0.002249")</f>
        <v/>
      </c>
      <c r="L2154">
        <f>_xlfn.NUMBERVALUE("0.001582")</f>
        <v/>
      </c>
      <c r="M2154">
        <f>_xlfn.NUMBERVALUE("0.001230")</f>
        <v/>
      </c>
      <c r="N2154">
        <f>_xlfn.NUMBERVALUE("0.000822")</f>
        <v/>
      </c>
      <c r="O2154">
        <f>_xlfn.NUMBERVALUE("0.001922")</f>
        <v/>
      </c>
      <c r="P2154">
        <f>_xlfn.NUMBERVALUE("0.001644")</f>
        <v/>
      </c>
      <c r="Q2154">
        <f>_xlfn.NUMBERVALUE("0.001786")</f>
        <v/>
      </c>
      <c r="R2154">
        <f>_xlfn.NUMBERVALUE("0.002360")</f>
        <v/>
      </c>
      <c r="S2154">
        <f>_xlfn.NUMBERVALUE("0.000622")</f>
        <v/>
      </c>
      <c r="T2154">
        <f>_xlfn.NUMBERVALUE("-0.003485")</f>
        <v/>
      </c>
      <c r="U2154">
        <f>_xlfn.NUMBERVALUE("0.000806")</f>
        <v/>
      </c>
      <c r="V2154">
        <f>_xlfn.NUMBERVALUE("0.001240")</f>
        <v/>
      </c>
      <c r="W2154">
        <f>_xlfn.NUMBERVALUE("0.000996")</f>
        <v/>
      </c>
      <c r="X2154">
        <f>_xlfn.NUMBERVALUE("-0.390000")</f>
        <v/>
      </c>
      <c r="Y2154">
        <f>_xlfn.NUMBERVALUE("13.600000")</f>
        <v/>
      </c>
    </row>
    <row r="2155">
      <c r="A2155" s="1" t="n">
        <v>45131</v>
      </c>
      <c r="B2155">
        <f>_xlfn.NUMBERVALUE("0.002833")</f>
        <v/>
      </c>
      <c r="C2155" s="2">
        <f>_xlfn.NUMBERVALUE("0.000157")</f>
        <v/>
      </c>
      <c r="D2155">
        <f>_xlfn.NUMBERVALUE("-0.001184")</f>
        <v/>
      </c>
      <c r="E2155">
        <f>_xlfn.NUMBERVALUE("0.001720")</f>
        <v/>
      </c>
      <c r="F2155">
        <f>_xlfn.NUMBERVALUE("0.000920")</f>
        <v/>
      </c>
      <c r="G2155">
        <f>_xlfn.NUMBERVALUE("0.000778")</f>
        <v/>
      </c>
      <c r="H2155">
        <f>_xlfn.NUMBERVALUE("0.001270")</f>
        <v/>
      </c>
      <c r="I2155">
        <f>_xlfn.NUMBERVALUE("0.001669")</f>
        <v/>
      </c>
      <c r="J2155">
        <f>_xlfn.NUMBERVALUE("-0.000216")</f>
        <v/>
      </c>
      <c r="K2155">
        <f>_xlfn.NUMBERVALUE("0.001175")</f>
        <v/>
      </c>
      <c r="L2155">
        <f>_xlfn.NUMBERVALUE("0.000958")</f>
        <v/>
      </c>
      <c r="M2155">
        <f>_xlfn.NUMBERVALUE("0.001416")</f>
        <v/>
      </c>
      <c r="N2155">
        <f>_xlfn.NUMBERVALUE("0.001216")</f>
        <v/>
      </c>
      <c r="O2155">
        <f>_xlfn.NUMBERVALUE("-0.001473")</f>
        <v/>
      </c>
      <c r="P2155">
        <f>_xlfn.NUMBERVALUE("0.000618")</f>
        <v/>
      </c>
      <c r="Q2155">
        <f>_xlfn.NUMBERVALUE("0.001489")</f>
        <v/>
      </c>
      <c r="R2155">
        <f>_xlfn.NUMBERVALUE("0.001912")</f>
        <v/>
      </c>
      <c r="S2155">
        <f>_xlfn.NUMBERVALUE("0.000198")</f>
        <v/>
      </c>
      <c r="T2155">
        <f>_xlfn.NUMBERVALUE("0.001719")</f>
        <v/>
      </c>
      <c r="U2155">
        <f>_xlfn.NUMBERVALUE("0.001068")</f>
        <v/>
      </c>
      <c r="V2155">
        <f>_xlfn.NUMBERVALUE("0.000362")</f>
        <v/>
      </c>
      <c r="W2155">
        <f>_xlfn.NUMBERVALUE("0.003581")</f>
        <v/>
      </c>
      <c r="X2155">
        <f>_xlfn.NUMBERVALUE("0.310000")</f>
        <v/>
      </c>
      <c r="Y2155">
        <f>_xlfn.NUMBERVALUE("13.910000")</f>
        <v/>
      </c>
    </row>
    <row r="2156">
      <c r="A2156" s="1" t="n">
        <v>45132</v>
      </c>
      <c r="B2156">
        <f>_xlfn.NUMBERVALUE("0.000322")</f>
        <v/>
      </c>
      <c r="C2156" s="2">
        <f>_xlfn.NUMBERVALUE("0.000203")</f>
        <v/>
      </c>
      <c r="D2156">
        <f>_xlfn.NUMBERVALUE("-0.000215")</f>
        <v/>
      </c>
      <c r="E2156">
        <f>_xlfn.NUMBERVALUE("0.000333")</f>
        <v/>
      </c>
      <c r="F2156">
        <f>_xlfn.NUMBERVALUE("-0.000185")</f>
        <v/>
      </c>
      <c r="G2156">
        <f>_xlfn.NUMBERVALUE("-0.000494")</f>
        <v/>
      </c>
      <c r="H2156">
        <f>_xlfn.NUMBERVALUE("-0.000072")</f>
        <v/>
      </c>
      <c r="I2156">
        <f>_xlfn.NUMBERVALUE("0.000110")</f>
        <v/>
      </c>
      <c r="J2156">
        <f>_xlfn.NUMBERVALUE("0.000572")</f>
        <v/>
      </c>
      <c r="K2156">
        <f>_xlfn.NUMBERVALUE("-0.001671")</f>
        <v/>
      </c>
      <c r="L2156">
        <f>_xlfn.NUMBERVALUE("-0.000032")</f>
        <v/>
      </c>
      <c r="M2156">
        <f>_xlfn.NUMBERVALUE("-0.004276")</f>
        <v/>
      </c>
      <c r="N2156">
        <f>_xlfn.NUMBERVALUE("0.000711")</f>
        <v/>
      </c>
      <c r="O2156">
        <f>_xlfn.NUMBERVALUE("-0.000263")</f>
        <v/>
      </c>
      <c r="P2156">
        <f>_xlfn.NUMBERVALUE("-0.002128")</f>
        <v/>
      </c>
      <c r="Q2156">
        <f>_xlfn.NUMBERVALUE("0.000592")</f>
        <v/>
      </c>
      <c r="R2156">
        <f>_xlfn.NUMBERVALUE("-0.001855")</f>
        <v/>
      </c>
      <c r="S2156">
        <f>_xlfn.NUMBERVALUE("0.001055")</f>
        <v/>
      </c>
      <c r="T2156">
        <f>_xlfn.NUMBERVALUE("0.001052")</f>
        <v/>
      </c>
      <c r="U2156">
        <f>_xlfn.NUMBERVALUE("0.000276")</f>
        <v/>
      </c>
      <c r="V2156">
        <f>_xlfn.NUMBERVALUE("0.000445")</f>
        <v/>
      </c>
      <c r="W2156">
        <f>_xlfn.NUMBERVALUE("0.003546")</f>
        <v/>
      </c>
      <c r="X2156">
        <f>_xlfn.NUMBERVALUE("-0.050000")</f>
        <v/>
      </c>
      <c r="Y2156">
        <f>_xlfn.NUMBERVALUE("13.860000")</f>
        <v/>
      </c>
    </row>
    <row r="2157">
      <c r="A2157" s="1" t="n">
        <v>45133</v>
      </c>
      <c r="B2157">
        <f>_xlfn.NUMBERVALUE("0.001010")</f>
        <v/>
      </c>
      <c r="C2157" s="2">
        <f>_xlfn.NUMBERVALUE("0.001241")</f>
        <v/>
      </c>
      <c r="D2157">
        <f>_xlfn.NUMBERVALUE("0.000683")</f>
        <v/>
      </c>
      <c r="E2157">
        <f>_xlfn.NUMBERVALUE("0.000618")</f>
        <v/>
      </c>
      <c r="F2157">
        <f>_xlfn.NUMBERVALUE("0.000512")</f>
        <v/>
      </c>
      <c r="G2157">
        <f>_xlfn.NUMBERVALUE("0.000926")</f>
        <v/>
      </c>
      <c r="H2157">
        <f>_xlfn.NUMBERVALUE("0.000613")</f>
        <v/>
      </c>
      <c r="I2157">
        <f>_xlfn.NUMBERVALUE("0.000348")</f>
        <v/>
      </c>
      <c r="J2157">
        <f>_xlfn.NUMBERVALUE("-0.000318")</f>
        <v/>
      </c>
      <c r="K2157">
        <f>_xlfn.NUMBERVALUE("-0.000261")</f>
        <v/>
      </c>
      <c r="L2157">
        <f>_xlfn.NUMBERVALUE("0.001331")</f>
        <v/>
      </c>
      <c r="M2157">
        <f>_xlfn.NUMBERVALUE("0.001089")</f>
        <v/>
      </c>
      <c r="N2157">
        <f>_xlfn.NUMBERVALUE("-0.000283")</f>
        <v/>
      </c>
      <c r="O2157">
        <f>_xlfn.NUMBERVALUE("0.001904")</f>
        <v/>
      </c>
      <c r="P2157">
        <f>_xlfn.NUMBERVALUE("0.000950")</f>
        <v/>
      </c>
      <c r="Q2157">
        <f>_xlfn.NUMBERVALUE("0.000977")</f>
        <v/>
      </c>
      <c r="R2157">
        <f>_xlfn.NUMBERVALUE("0.005102")</f>
        <v/>
      </c>
      <c r="S2157">
        <f>_xlfn.NUMBERVALUE("0.000469")</f>
        <v/>
      </c>
      <c r="T2157">
        <f>_xlfn.NUMBERVALUE("0.001519")</f>
        <v/>
      </c>
      <c r="U2157">
        <f>_xlfn.NUMBERVALUE("0.001361")</f>
        <v/>
      </c>
      <c r="V2157">
        <f>_xlfn.NUMBERVALUE("0.001400")</f>
        <v/>
      </c>
      <c r="W2157">
        <f>_xlfn.NUMBERVALUE("-0.001075")</f>
        <v/>
      </c>
      <c r="X2157">
        <f>_xlfn.NUMBERVALUE("-0.670000")</f>
        <v/>
      </c>
      <c r="Y2157">
        <f>_xlfn.NUMBERVALUE("13.190000")</f>
        <v/>
      </c>
    </row>
    <row r="2158">
      <c r="A2158" s="1" t="n">
        <v>45134</v>
      </c>
      <c r="B2158">
        <f>_xlfn.NUMBERVALUE("-0.000844")</f>
        <v/>
      </c>
      <c r="C2158" s="2">
        <f>_xlfn.NUMBERVALUE("0.000023")</f>
        <v/>
      </c>
      <c r="D2158">
        <f>_xlfn.NUMBERVALUE("0.000684")</f>
        <v/>
      </c>
      <c r="E2158">
        <f>_xlfn.NUMBERVALUE("0.000359")</f>
        <v/>
      </c>
      <c r="F2158">
        <f>_xlfn.NUMBERVALUE("-0.002089")</f>
        <v/>
      </c>
      <c r="G2158">
        <f>_xlfn.NUMBERVALUE("-0.001699")</f>
        <v/>
      </c>
      <c r="H2158">
        <f>_xlfn.NUMBERVALUE("-0.002896")</f>
        <v/>
      </c>
      <c r="I2158">
        <f>_xlfn.NUMBERVALUE("0.000290")</f>
        <v/>
      </c>
      <c r="J2158">
        <f>_xlfn.NUMBERVALUE("-0.000565")</f>
        <v/>
      </c>
      <c r="K2158">
        <f>_xlfn.NUMBERVALUE("-0.000818")</f>
        <v/>
      </c>
      <c r="L2158">
        <f>_xlfn.NUMBERVALUE("-0.006624")</f>
        <v/>
      </c>
      <c r="M2158">
        <f>_xlfn.NUMBERVALUE("0.001051")</f>
        <v/>
      </c>
      <c r="N2158">
        <f>_xlfn.NUMBERVALUE("0.004067")</f>
        <v/>
      </c>
      <c r="O2158">
        <f>_xlfn.NUMBERVALUE("0.000553")</f>
        <v/>
      </c>
      <c r="P2158">
        <f>_xlfn.NUMBERVALUE("0.001508")</f>
        <v/>
      </c>
      <c r="Q2158">
        <f>_xlfn.NUMBERVALUE("-0.000783")</f>
        <v/>
      </c>
      <c r="R2158">
        <f>_xlfn.NUMBERVALUE("-0.001130")</f>
        <v/>
      </c>
      <c r="S2158">
        <f>_xlfn.NUMBERVALUE("0.000719")</f>
        <v/>
      </c>
      <c r="T2158">
        <f>_xlfn.NUMBERVALUE("-0.000738")</f>
        <v/>
      </c>
      <c r="U2158">
        <f>_xlfn.NUMBERVALUE("-0.000931")</f>
        <v/>
      </c>
      <c r="V2158">
        <f>_xlfn.NUMBERVALUE("-0.000386")</f>
        <v/>
      </c>
      <c r="W2158">
        <f>_xlfn.NUMBERVALUE("-0.007382")</f>
        <v/>
      </c>
      <c r="X2158">
        <f>_xlfn.NUMBERVALUE("1.220000")</f>
        <v/>
      </c>
      <c r="Y2158">
        <f>_xlfn.NUMBERVALUE("14.410000")</f>
        <v/>
      </c>
    </row>
    <row r="2159">
      <c r="A2159" s="1" t="n">
        <v>45135</v>
      </c>
      <c r="B2159">
        <f>_xlfn.NUMBERVALUE("-0.007544")</f>
        <v/>
      </c>
      <c r="C2159" s="2">
        <f>_xlfn.NUMBERVALUE("0.000562")</f>
        <v/>
      </c>
      <c r="D2159">
        <f>_xlfn.NUMBERVALUE("-0.003093")</f>
        <v/>
      </c>
      <c r="E2159">
        <f>_xlfn.NUMBERVALUE("0.000545")</f>
        <v/>
      </c>
      <c r="F2159">
        <f>_xlfn.NUMBERVALUE("0.000446")</f>
        <v/>
      </c>
      <c r="G2159">
        <f>_xlfn.NUMBERVALUE("0.001810")</f>
        <v/>
      </c>
      <c r="H2159">
        <f>_xlfn.NUMBERVALUE("0.002337")</f>
        <v/>
      </c>
      <c r="I2159">
        <f>_xlfn.NUMBERVALUE("-0.000667")</f>
        <v/>
      </c>
      <c r="J2159">
        <f>_xlfn.NUMBERVALUE("0.000557")</f>
        <v/>
      </c>
      <c r="K2159">
        <f>_xlfn.NUMBERVALUE("0.001880")</f>
        <v/>
      </c>
      <c r="L2159">
        <f>_xlfn.NUMBERVALUE("0.004139")</f>
        <v/>
      </c>
      <c r="M2159">
        <f>_xlfn.NUMBERVALUE("0.001198")</f>
        <v/>
      </c>
      <c r="N2159">
        <f>_xlfn.NUMBERVALUE("-0.000595")</f>
        <v/>
      </c>
      <c r="O2159">
        <f>_xlfn.NUMBERVALUE("0.003436")</f>
        <v/>
      </c>
      <c r="P2159">
        <f>_xlfn.NUMBERVALUE("0.001712")</f>
        <v/>
      </c>
      <c r="Q2159">
        <f>_xlfn.NUMBERVALUE("0.001701")</f>
        <v/>
      </c>
      <c r="R2159">
        <f>_xlfn.NUMBERVALUE("-0.000392")</f>
        <v/>
      </c>
      <c r="S2159">
        <f>_xlfn.NUMBERVALUE("-0.000501")</f>
        <v/>
      </c>
      <c r="T2159">
        <f>_xlfn.NUMBERVALUE("0.002438")</f>
        <v/>
      </c>
      <c r="U2159">
        <f>_xlfn.NUMBERVALUE("0.001390")</f>
        <v/>
      </c>
      <c r="V2159">
        <f>_xlfn.NUMBERVALUE("0.000190")</f>
        <v/>
      </c>
      <c r="W2159">
        <f>_xlfn.NUMBERVALUE("0.010247")</f>
        <v/>
      </c>
      <c r="X2159">
        <f>_xlfn.NUMBERVALUE("-1.080000")</f>
        <v/>
      </c>
      <c r="Y2159">
        <f>_xlfn.NUMBERVALUE("13.330000")</f>
        <v/>
      </c>
    </row>
    <row r="2160">
      <c r="A2160" s="1" t="n">
        <v>45138</v>
      </c>
      <c r="B2160">
        <f>_xlfn.NUMBERVALUE("-0.002239")</f>
        <v/>
      </c>
      <c r="C2160" s="2">
        <f>_xlfn.NUMBERVALUE("0.000686")</f>
        <v/>
      </c>
      <c r="D2160">
        <f>_xlfn.NUMBERVALUE("0.000362")</f>
        <v/>
      </c>
      <c r="E2160">
        <f>_xlfn.NUMBERVALUE("0.000173")</f>
        <v/>
      </c>
      <c r="F2160">
        <f>_xlfn.NUMBERVALUE("0.000518")</f>
        <v/>
      </c>
      <c r="G2160">
        <f>_xlfn.NUMBERVALUE("-0.000292")</f>
        <v/>
      </c>
      <c r="H2160">
        <f>_xlfn.NUMBERVALUE("0.000774")</f>
        <v/>
      </c>
      <c r="I2160">
        <f>_xlfn.NUMBERVALUE("0.000213")</f>
        <v/>
      </c>
      <c r="J2160">
        <f>_xlfn.NUMBERVALUE("0.001285")</f>
        <v/>
      </c>
      <c r="K2160">
        <f>_xlfn.NUMBERVALUE("-0.001637")</f>
        <v/>
      </c>
      <c r="L2160">
        <f>_xlfn.NUMBERVALUE("0.001158")</f>
        <v/>
      </c>
      <c r="M2160">
        <f>_xlfn.NUMBERVALUE("0.000318")</f>
        <v/>
      </c>
      <c r="N2160">
        <f>_xlfn.NUMBERVALUE("0.001047")</f>
        <v/>
      </c>
      <c r="O2160">
        <f>_xlfn.NUMBERVALUE("-0.002524")</f>
        <v/>
      </c>
      <c r="P2160">
        <f>_xlfn.NUMBERVALUE("0.001936")</f>
        <v/>
      </c>
      <c r="Q2160">
        <f>_xlfn.NUMBERVALUE("0.001092")</f>
        <v/>
      </c>
      <c r="R2160">
        <f>_xlfn.NUMBERVALUE("0.001650")</f>
        <v/>
      </c>
      <c r="S2160">
        <f>_xlfn.NUMBERVALUE("0.000787")</f>
        <v/>
      </c>
      <c r="T2160">
        <f>_xlfn.NUMBERVALUE("0.001407")</f>
        <v/>
      </c>
      <c r="U2160">
        <f>_xlfn.NUMBERVALUE("0.000225")</f>
        <v/>
      </c>
      <c r="V2160">
        <f>_xlfn.NUMBERVALUE("0.000417")</f>
        <v/>
      </c>
      <c r="W2160">
        <f>_xlfn.NUMBERVALUE("-0.000110")</f>
        <v/>
      </c>
      <c r="X2160">
        <f>_xlfn.NUMBERVALUE("0.300000")</f>
        <v/>
      </c>
      <c r="Y2160">
        <f>_xlfn.NUMBERVALUE("13.630000")</f>
        <v/>
      </c>
    </row>
    <row r="2161">
      <c r="A2161" s="1" t="n">
        <v>45139</v>
      </c>
      <c r="B2161">
        <f>_xlfn.NUMBERVALUE("0.002233")</f>
        <v/>
      </c>
      <c r="C2161" s="2">
        <f>_xlfn.NUMBERVALUE("0.000031")</f>
        <v/>
      </c>
      <c r="D2161">
        <f>_xlfn.NUMBERVALUE("0.000528")</f>
        <v/>
      </c>
      <c r="E2161">
        <f>_xlfn.NUMBERVALUE("-0.000190")</f>
        <v/>
      </c>
      <c r="F2161">
        <f>_xlfn.NUMBERVALUE("-0.000295")</f>
        <v/>
      </c>
      <c r="G2161">
        <f>_xlfn.NUMBERVALUE("-0.003142")</f>
        <v/>
      </c>
      <c r="H2161">
        <f>_xlfn.NUMBERVALUE("-0.001586")</f>
        <v/>
      </c>
      <c r="I2161">
        <f>_xlfn.NUMBERVALUE("0.000297")</f>
        <v/>
      </c>
      <c r="J2161">
        <f>_xlfn.NUMBERVALUE("-0.004305")</f>
        <v/>
      </c>
      <c r="K2161">
        <f>_xlfn.NUMBERVALUE("0.001270")</f>
        <v/>
      </c>
      <c r="L2161">
        <f>_xlfn.NUMBERVALUE("-0.005682")</f>
        <v/>
      </c>
      <c r="M2161">
        <f>_xlfn.NUMBERVALUE("0.000982")</f>
        <v/>
      </c>
      <c r="N2161">
        <f>_xlfn.NUMBERVALUE("0.000295")</f>
        <v/>
      </c>
      <c r="O2161">
        <f>_xlfn.NUMBERVALUE("0.001338")</f>
        <v/>
      </c>
      <c r="P2161">
        <f>_xlfn.NUMBERVALUE("0.000999")</f>
        <v/>
      </c>
      <c r="Q2161">
        <f>_xlfn.NUMBERVALUE("0.000078")</f>
        <v/>
      </c>
      <c r="R2161">
        <f>_xlfn.NUMBERVALUE("0.000176")</f>
        <v/>
      </c>
      <c r="S2161">
        <f>_xlfn.NUMBERVALUE("0.001009")</f>
        <v/>
      </c>
      <c r="T2161">
        <f>_xlfn.NUMBERVALUE("-0.000232")</f>
        <v/>
      </c>
      <c r="U2161">
        <f>_xlfn.NUMBERVALUE("0.000041")</f>
        <v/>
      </c>
      <c r="V2161">
        <f>_xlfn.NUMBERVALUE("0.000362")</f>
        <v/>
      </c>
      <c r="W2161">
        <f>_xlfn.NUMBERVALUE("0.000088")</f>
        <v/>
      </c>
      <c r="X2161">
        <f>_xlfn.NUMBERVALUE("0.300000")</f>
        <v/>
      </c>
      <c r="Y2161">
        <f>_xlfn.NUMBERVALUE("13.930000")</f>
        <v/>
      </c>
    </row>
    <row r="2162">
      <c r="A2162" s="1" t="n">
        <v>45140</v>
      </c>
      <c r="B2162">
        <f>_xlfn.NUMBERVALUE("-0.013488")</f>
        <v/>
      </c>
      <c r="C2162" s="2">
        <f>_xlfn.NUMBERVALUE("-0.000031")</f>
        <v/>
      </c>
      <c r="D2162">
        <f>_xlfn.NUMBERVALUE("-0.003083")</f>
        <v/>
      </c>
      <c r="E2162">
        <f>_xlfn.NUMBERVALUE("-0.002882")</f>
        <v/>
      </c>
      <c r="F2162">
        <f>_xlfn.NUMBERVALUE("-0.000935")</f>
        <v/>
      </c>
      <c r="G2162">
        <f>_xlfn.NUMBERVALUE("-0.001542")</f>
        <v/>
      </c>
      <c r="H2162">
        <f>_xlfn.NUMBERVALUE("-0.000004")</f>
        <v/>
      </c>
      <c r="I2162">
        <f>_xlfn.NUMBERVALUE("0.000057")</f>
        <v/>
      </c>
      <c r="J2162">
        <f>_xlfn.NUMBERVALUE("-0.000862")</f>
        <v/>
      </c>
      <c r="K2162">
        <f>_xlfn.NUMBERVALUE("-0.001812")</f>
        <v/>
      </c>
      <c r="L2162">
        <f>_xlfn.NUMBERVALUE("-0.002032")</f>
        <v/>
      </c>
      <c r="M2162">
        <f>_xlfn.NUMBERVALUE("-0.001186")</f>
        <v/>
      </c>
      <c r="N2162">
        <f>_xlfn.NUMBERVALUE("-0.006034")</f>
        <v/>
      </c>
      <c r="O2162">
        <f>_xlfn.NUMBERVALUE("-0.001119")</f>
        <v/>
      </c>
      <c r="P2162">
        <f>_xlfn.NUMBERVALUE("-0.001696")</f>
        <v/>
      </c>
      <c r="Q2162">
        <f>_xlfn.NUMBERVALUE("-0.002851")</f>
        <v/>
      </c>
      <c r="R2162">
        <f>_xlfn.NUMBERVALUE("-0.008045")</f>
        <v/>
      </c>
      <c r="S2162">
        <f>_xlfn.NUMBERVALUE("-0.000683")</f>
        <v/>
      </c>
      <c r="T2162">
        <f>_xlfn.NUMBERVALUE("0.000005")</f>
        <v/>
      </c>
      <c r="U2162">
        <f>_xlfn.NUMBERVALUE("-0.005000")</f>
        <v/>
      </c>
      <c r="V2162">
        <f>_xlfn.NUMBERVALUE("-0.000529")</f>
        <v/>
      </c>
      <c r="W2162">
        <f>_xlfn.NUMBERVALUE("-0.013693")</f>
        <v/>
      </c>
      <c r="X2162">
        <f>_xlfn.NUMBERVALUE("2.160000")</f>
        <v/>
      </c>
      <c r="Y2162">
        <f>_xlfn.NUMBERVALUE("16.090000")</f>
        <v/>
      </c>
    </row>
    <row r="2163">
      <c r="A2163" s="1" t="n">
        <v>45141</v>
      </c>
      <c r="B2163">
        <f>_xlfn.NUMBERVALUE("0.001062")</f>
        <v/>
      </c>
      <c r="C2163" s="2">
        <f>_xlfn.NUMBERVALUE("0.000509")</f>
        <v/>
      </c>
      <c r="D2163">
        <f>_xlfn.NUMBERVALUE("0.002104")</f>
        <v/>
      </c>
      <c r="E2163">
        <f>_xlfn.NUMBERVALUE("0.000912")</f>
        <v/>
      </c>
      <c r="F2163">
        <f>_xlfn.NUMBERVALUE("0.000095")</f>
        <v/>
      </c>
      <c r="G2163">
        <f>_xlfn.NUMBERVALUE("0.001240")</f>
        <v/>
      </c>
      <c r="H2163">
        <f>_xlfn.NUMBERVALUE("-0.002625")</f>
        <v/>
      </c>
      <c r="I2163">
        <f>_xlfn.NUMBERVALUE("0.000969")</f>
        <v/>
      </c>
      <c r="J2163">
        <f>_xlfn.NUMBERVALUE("-0.002718")</f>
        <v/>
      </c>
      <c r="K2163">
        <f>_xlfn.NUMBERVALUE("0.001511")</f>
        <v/>
      </c>
      <c r="L2163">
        <f>_xlfn.NUMBERVALUE("-0.005916")</f>
        <v/>
      </c>
      <c r="M2163">
        <f>_xlfn.NUMBERVALUE("0.001095")</f>
        <v/>
      </c>
      <c r="N2163">
        <f>_xlfn.NUMBERVALUE("0.000545")</f>
        <v/>
      </c>
      <c r="O2163">
        <f>_xlfn.NUMBERVALUE("-0.001039")</f>
        <v/>
      </c>
      <c r="P2163">
        <f>_xlfn.NUMBERVALUE("0.001183")</f>
        <v/>
      </c>
      <c r="Q2163">
        <f>_xlfn.NUMBERVALUE("0.001091")</f>
        <v/>
      </c>
      <c r="R2163">
        <f>_xlfn.NUMBERVALUE("0.001841")</f>
        <v/>
      </c>
      <c r="S2163">
        <f>_xlfn.NUMBERVALUE("0.000454")</f>
        <v/>
      </c>
      <c r="T2163">
        <f>_xlfn.NUMBERVALUE("-0.007414")</f>
        <v/>
      </c>
      <c r="U2163">
        <f>_xlfn.NUMBERVALUE("-0.000425")</f>
        <v/>
      </c>
      <c r="V2163">
        <f>_xlfn.NUMBERVALUE("0.001295")</f>
        <v/>
      </c>
      <c r="W2163">
        <f>_xlfn.NUMBERVALUE("-0.002221")</f>
        <v/>
      </c>
      <c r="X2163">
        <f>_xlfn.NUMBERVALUE("-0.170000")</f>
        <v/>
      </c>
      <c r="Y2163">
        <f>_xlfn.NUMBERVALUE("15.920000")</f>
        <v/>
      </c>
    </row>
    <row r="2164">
      <c r="A2164" s="1" t="n">
        <v>45142</v>
      </c>
      <c r="B2164">
        <f>_xlfn.NUMBERVALUE("0.003269")</f>
        <v/>
      </c>
      <c r="C2164" s="2">
        <f>_xlfn.NUMBERVALUE("0.000042")</f>
        <v/>
      </c>
      <c r="D2164">
        <f>_xlfn.NUMBERVALUE("0.001760")</f>
        <v/>
      </c>
      <c r="E2164">
        <f>_xlfn.NUMBERVALUE("0.002673")</f>
        <v/>
      </c>
      <c r="F2164">
        <f>_xlfn.NUMBERVALUE("0.003835")</f>
        <v/>
      </c>
      <c r="G2164">
        <f>_xlfn.NUMBERVALUE("-0.000702")</f>
        <v/>
      </c>
      <c r="H2164">
        <f>_xlfn.NUMBERVALUE("0.000492")</f>
        <v/>
      </c>
      <c r="I2164">
        <f>_xlfn.NUMBERVALUE("0.000353")</f>
        <v/>
      </c>
      <c r="J2164">
        <f>_xlfn.NUMBERVALUE("-0.001010")</f>
        <v/>
      </c>
      <c r="K2164">
        <f>_xlfn.NUMBERVALUE("0.003833")</f>
        <v/>
      </c>
      <c r="L2164">
        <f>_xlfn.NUMBERVALUE("0.003947")</f>
        <v/>
      </c>
      <c r="M2164">
        <f>_xlfn.NUMBERVALUE("0.002345")</f>
        <v/>
      </c>
      <c r="N2164">
        <f>_xlfn.NUMBERVALUE("0.001043")</f>
        <v/>
      </c>
      <c r="O2164">
        <f>_xlfn.NUMBERVALUE("0.001888")</f>
        <v/>
      </c>
      <c r="P2164">
        <f>_xlfn.NUMBERVALUE("0.001506")</f>
        <v/>
      </c>
      <c r="Q2164">
        <f>_xlfn.NUMBERVALUE("0.000766")</f>
        <v/>
      </c>
      <c r="R2164">
        <f>_xlfn.NUMBERVALUE("0.001519")</f>
        <v/>
      </c>
      <c r="S2164">
        <f>_xlfn.NUMBERVALUE("0.000668")</f>
        <v/>
      </c>
      <c r="T2164">
        <f>_xlfn.NUMBERVALUE("-0.000989")</f>
        <v/>
      </c>
      <c r="U2164">
        <f>_xlfn.NUMBERVALUE("0.006180")</f>
        <v/>
      </c>
      <c r="V2164">
        <f>_xlfn.NUMBERVALUE("0.001807")</f>
        <v/>
      </c>
      <c r="W2164">
        <f>_xlfn.NUMBERVALUE("-0.005699")</f>
        <v/>
      </c>
      <c r="X2164">
        <f>_xlfn.NUMBERVALUE("1.180000")</f>
        <v/>
      </c>
      <c r="Y2164">
        <f>_xlfn.NUMBERVALUE("17.100000")</f>
        <v/>
      </c>
    </row>
    <row r="2165">
      <c r="A2165" s="1" t="n">
        <v>45145</v>
      </c>
      <c r="B2165">
        <f>_xlfn.NUMBERVALUE("0.005492")</f>
        <v/>
      </c>
      <c r="C2165" s="2">
        <f>_xlfn.NUMBERVALUE("0.000275")</f>
        <v/>
      </c>
      <c r="D2165">
        <f>_xlfn.NUMBERVALUE("0.003027")</f>
        <v/>
      </c>
      <c r="E2165">
        <f>_xlfn.NUMBERVALUE("0.000354")</f>
        <v/>
      </c>
      <c r="F2165">
        <f>_xlfn.NUMBERVALUE("0.006642")</f>
        <v/>
      </c>
      <c r="G2165">
        <f>_xlfn.NUMBERVALUE("0.001428")</f>
        <v/>
      </c>
      <c r="H2165">
        <f>_xlfn.NUMBERVALUE("0.004409")</f>
        <v/>
      </c>
      <c r="I2165">
        <f>_xlfn.NUMBERVALUE("0.000229")</f>
        <v/>
      </c>
      <c r="J2165">
        <f>_xlfn.NUMBERVALUE("0.006236")</f>
        <v/>
      </c>
      <c r="K2165">
        <f>_xlfn.NUMBERVALUE("-0.003339")</f>
        <v/>
      </c>
      <c r="L2165">
        <f>_xlfn.NUMBERVALUE("-0.000777")</f>
        <v/>
      </c>
      <c r="M2165">
        <f>_xlfn.NUMBERVALUE("0.003265")</f>
        <v/>
      </c>
      <c r="N2165">
        <f>_xlfn.NUMBERVALUE("0.000736")</f>
        <v/>
      </c>
      <c r="O2165">
        <f>_xlfn.NUMBERVALUE("0.003099")</f>
        <v/>
      </c>
      <c r="P2165">
        <f>_xlfn.NUMBERVALUE("-0.000784")</f>
        <v/>
      </c>
      <c r="Q2165">
        <f>_xlfn.NUMBERVALUE("0.001164")</f>
        <v/>
      </c>
      <c r="R2165">
        <f>_xlfn.NUMBERVALUE("0.002841")</f>
        <v/>
      </c>
      <c r="S2165">
        <f>_xlfn.NUMBERVALUE("0.001214")</f>
        <v/>
      </c>
      <c r="T2165">
        <f>_xlfn.NUMBERVALUE("0.000225")</f>
        <v/>
      </c>
      <c r="U2165">
        <f>_xlfn.NUMBERVALUE("0.003736")</f>
        <v/>
      </c>
      <c r="V2165">
        <f>_xlfn.NUMBERVALUE("-0.000436")</f>
        <v/>
      </c>
      <c r="W2165">
        <f>_xlfn.NUMBERVALUE("0.003694")</f>
        <v/>
      </c>
      <c r="X2165">
        <f>_xlfn.NUMBERVALUE("-1.330000")</f>
        <v/>
      </c>
      <c r="Y2165">
        <f>_xlfn.NUMBERVALUE("15.770000")</f>
        <v/>
      </c>
    </row>
    <row r="2166">
      <c r="A2166" s="1" t="n">
        <v>45146</v>
      </c>
      <c r="B2166">
        <f>_xlfn.NUMBERVALUE("0.001493")</f>
        <v/>
      </c>
      <c r="C2166" s="2">
        <f>_xlfn.NUMBERVALUE("0.000784")</f>
        <v/>
      </c>
      <c r="D2166">
        <f>_xlfn.NUMBERVALUE("-0.001111")</f>
        <v/>
      </c>
      <c r="E2166">
        <f>_xlfn.NUMBERVALUE("0.000356")</f>
        <v/>
      </c>
      <c r="F2166">
        <f>_xlfn.NUMBERVALUE("-0.000134")</f>
        <v/>
      </c>
      <c r="G2166">
        <f>_xlfn.NUMBERVALUE("-0.000085")</f>
        <v/>
      </c>
      <c r="H2166">
        <f>_xlfn.NUMBERVALUE("-0.000353")</f>
        <v/>
      </c>
      <c r="I2166">
        <f>_xlfn.NUMBERVALUE("0.000887")</f>
        <v/>
      </c>
      <c r="J2166">
        <f>_xlfn.NUMBERVALUE("0.000632")</f>
        <v/>
      </c>
      <c r="K2166">
        <f>_xlfn.NUMBERVALUE("-0.000636")</f>
        <v/>
      </c>
      <c r="L2166">
        <f>_xlfn.NUMBERVALUE("-0.000088")</f>
        <v/>
      </c>
      <c r="M2166">
        <f>_xlfn.NUMBERVALUE("0.000446")</f>
        <v/>
      </c>
      <c r="N2166">
        <f>_xlfn.NUMBERVALUE("0.001105")</f>
        <v/>
      </c>
      <c r="O2166">
        <f>_xlfn.NUMBERVALUE("0.000320")</f>
        <v/>
      </c>
      <c r="P2166">
        <f>_xlfn.NUMBERVALUE("-0.000142")</f>
        <v/>
      </c>
      <c r="Q2166">
        <f>_xlfn.NUMBERVALUE("0.001777")</f>
        <v/>
      </c>
      <c r="R2166">
        <f>_xlfn.NUMBERVALUE("0.000081")</f>
        <v/>
      </c>
      <c r="S2166">
        <f>_xlfn.NUMBERVALUE("0.000661")</f>
        <v/>
      </c>
      <c r="T2166">
        <f>_xlfn.NUMBERVALUE("-0.000966")</f>
        <v/>
      </c>
      <c r="U2166">
        <f>_xlfn.NUMBERVALUE("0.001469")</f>
        <v/>
      </c>
      <c r="V2166">
        <f>_xlfn.NUMBERVALUE("0.000629")</f>
        <v/>
      </c>
      <c r="W2166">
        <f>_xlfn.NUMBERVALUE("-0.001800")</f>
        <v/>
      </c>
      <c r="X2166">
        <f>_xlfn.NUMBERVALUE("0.220000")</f>
        <v/>
      </c>
      <c r="Y2166">
        <f>_xlfn.NUMBERVALUE("15.990000")</f>
        <v/>
      </c>
    </row>
    <row r="2167">
      <c r="A2167" s="1" t="n">
        <v>45147</v>
      </c>
      <c r="B2167">
        <f>_xlfn.NUMBERVALUE("-0.003545")</f>
        <v/>
      </c>
      <c r="C2167" s="2">
        <f>_xlfn.NUMBERVALUE("0.000195")</f>
        <v/>
      </c>
      <c r="D2167">
        <f>_xlfn.NUMBERVALUE("0.000173")</f>
        <v/>
      </c>
      <c r="E2167">
        <f>_xlfn.NUMBERVALUE("0.000875")</f>
        <v/>
      </c>
      <c r="F2167">
        <f>_xlfn.NUMBERVALUE("-0.000007")</f>
        <v/>
      </c>
      <c r="G2167">
        <f>_xlfn.NUMBERVALUE("0.000180")</f>
        <v/>
      </c>
      <c r="H2167">
        <f>_xlfn.NUMBERVALUE("0.000735")</f>
        <v/>
      </c>
      <c r="I2167">
        <f>_xlfn.NUMBERVALUE("0.000340")</f>
        <v/>
      </c>
      <c r="J2167">
        <f>_xlfn.NUMBERVALUE("0.000343")</f>
        <v/>
      </c>
      <c r="K2167">
        <f>_xlfn.NUMBERVALUE("0.000622")</f>
        <v/>
      </c>
      <c r="L2167">
        <f>_xlfn.NUMBERVALUE("-0.000309")</f>
        <v/>
      </c>
      <c r="M2167">
        <f>_xlfn.NUMBERVALUE("0.001919")</f>
        <v/>
      </c>
      <c r="N2167">
        <f>_xlfn.NUMBERVALUE("-0.001237")</f>
        <v/>
      </c>
      <c r="O2167">
        <f>_xlfn.NUMBERVALUE("-0.000685")</f>
        <v/>
      </c>
      <c r="P2167">
        <f>_xlfn.NUMBERVALUE("0.002089")</f>
        <v/>
      </c>
      <c r="Q2167">
        <f>_xlfn.NUMBERVALUE("0.001659")</f>
        <v/>
      </c>
      <c r="R2167">
        <f>_xlfn.NUMBERVALUE("-0.000567")</f>
        <v/>
      </c>
      <c r="S2167">
        <f>_xlfn.NUMBERVALUE("0.001235")</f>
        <v/>
      </c>
      <c r="T2167">
        <f>_xlfn.NUMBERVALUE("0.000828")</f>
        <v/>
      </c>
      <c r="U2167">
        <f>_xlfn.NUMBERVALUE("-0.000979")</f>
        <v/>
      </c>
      <c r="V2167">
        <f>_xlfn.NUMBERVALUE("0.000308")</f>
        <v/>
      </c>
      <c r="W2167">
        <f>_xlfn.NUMBERVALUE("-0.005143")</f>
        <v/>
      </c>
      <c r="X2167">
        <f>_xlfn.NUMBERVALUE("-0.030000")</f>
        <v/>
      </c>
      <c r="Y2167">
        <f>_xlfn.NUMBERVALUE("15.960000")</f>
        <v/>
      </c>
    </row>
    <row r="2168">
      <c r="A2168" s="1" t="n">
        <v>45148</v>
      </c>
      <c r="B2168">
        <f>_xlfn.NUMBERVALUE("0.000809")</f>
        <v/>
      </c>
      <c r="C2168" s="2">
        <f>_xlfn.NUMBERVALUE("-0.000271")</f>
        <v/>
      </c>
      <c r="D2168">
        <f>_xlfn.NUMBERVALUE("0.002339")</f>
        <v/>
      </c>
      <c r="E2168">
        <f>_xlfn.NUMBERVALUE("0.000638")</f>
        <v/>
      </c>
      <c r="F2168">
        <f>_xlfn.NUMBERVALUE("0.001036")</f>
        <v/>
      </c>
      <c r="G2168">
        <f>_xlfn.NUMBERVALUE("0.001145")</f>
        <v/>
      </c>
      <c r="H2168">
        <f>_xlfn.NUMBERVALUE("0.000701")</f>
        <v/>
      </c>
      <c r="I2168">
        <f>_xlfn.NUMBERVALUE("0.000861")</f>
        <v/>
      </c>
      <c r="J2168">
        <f>_xlfn.NUMBERVALUE("0.000576")</f>
        <v/>
      </c>
      <c r="K2168">
        <f>_xlfn.NUMBERVALUE("0.002591")</f>
        <v/>
      </c>
      <c r="L2168">
        <f>_xlfn.NUMBERVALUE("0.000262")</f>
        <v/>
      </c>
      <c r="M2168">
        <f>_xlfn.NUMBERVALUE("0.002789")</f>
        <v/>
      </c>
      <c r="N2168">
        <f>_xlfn.NUMBERVALUE("0.002509")</f>
        <v/>
      </c>
      <c r="O2168">
        <f>_xlfn.NUMBERVALUE("0.000045")</f>
        <v/>
      </c>
      <c r="P2168">
        <f>_xlfn.NUMBERVALUE("0.002199")</f>
        <v/>
      </c>
      <c r="Q2168">
        <f>_xlfn.NUMBERVALUE("0.000074")</f>
        <v/>
      </c>
      <c r="R2168">
        <f>_xlfn.NUMBERVALUE("-0.000101")</f>
        <v/>
      </c>
      <c r="S2168">
        <f>_xlfn.NUMBERVALUE("0.000774")</f>
        <v/>
      </c>
      <c r="T2168">
        <f>_xlfn.NUMBERVALUE("-0.000073")</f>
        <v/>
      </c>
      <c r="U2168">
        <f>_xlfn.NUMBERVALUE("0.000570")</f>
        <v/>
      </c>
      <c r="V2168">
        <f>_xlfn.NUMBERVALUE("0.000461")</f>
        <v/>
      </c>
      <c r="W2168">
        <f>_xlfn.NUMBERVALUE("-0.003805")</f>
        <v/>
      </c>
      <c r="X2168">
        <f>_xlfn.NUMBERVALUE("-0.110000")</f>
        <v/>
      </c>
      <c r="Y2168">
        <f>_xlfn.NUMBERVALUE("15.850000")</f>
        <v/>
      </c>
    </row>
    <row r="2169">
      <c r="A2169" s="1" t="n">
        <v>45149</v>
      </c>
      <c r="B2169">
        <f>_xlfn.NUMBERVALUE("0.002272")</f>
        <v/>
      </c>
      <c r="C2169" s="2">
        <f>_xlfn.NUMBERVALUE("0.001196")</f>
        <v/>
      </c>
      <c r="D2169">
        <f>_xlfn.NUMBERVALUE("-0.000710")</f>
        <v/>
      </c>
      <c r="E2169">
        <f>_xlfn.NUMBERVALUE("0.001669")</f>
        <v/>
      </c>
      <c r="F2169">
        <f>_xlfn.NUMBERVALUE("0.001125")</f>
        <v/>
      </c>
      <c r="G2169">
        <f>_xlfn.NUMBERVALUE("0.000808")</f>
        <v/>
      </c>
      <c r="H2169">
        <f>_xlfn.NUMBERVALUE("0.000004")</f>
        <v/>
      </c>
      <c r="I2169">
        <f>_xlfn.NUMBERVALUE("0.002148")</f>
        <v/>
      </c>
      <c r="J2169">
        <f>_xlfn.NUMBERVALUE("0.000439")</f>
        <v/>
      </c>
      <c r="K2169">
        <f>_xlfn.NUMBERVALUE("0.001934")</f>
        <v/>
      </c>
      <c r="L2169">
        <f>_xlfn.NUMBERVALUE("0.001427")</f>
        <v/>
      </c>
      <c r="M2169">
        <f>_xlfn.NUMBERVALUE("0.001586")</f>
        <v/>
      </c>
      <c r="N2169">
        <f>_xlfn.NUMBERVALUE("0.002614")</f>
        <v/>
      </c>
      <c r="O2169">
        <f>_xlfn.NUMBERVALUE("0.000498")</f>
        <v/>
      </c>
      <c r="P2169">
        <f>_xlfn.NUMBERVALUE("0.001326")</f>
        <v/>
      </c>
      <c r="Q2169">
        <f>_xlfn.NUMBERVALUE("0.001373")</f>
        <v/>
      </c>
      <c r="R2169">
        <f>_xlfn.NUMBERVALUE("0.001409")</f>
        <v/>
      </c>
      <c r="S2169">
        <f>_xlfn.NUMBERVALUE("0.001488")</f>
        <v/>
      </c>
      <c r="T2169">
        <f>_xlfn.NUMBERVALUE("0.001550")</f>
        <v/>
      </c>
      <c r="U2169">
        <f>_xlfn.NUMBERVALUE("0.002949")</f>
        <v/>
      </c>
      <c r="V2169">
        <f>_xlfn.NUMBERVALUE("0.002219")</f>
        <v/>
      </c>
      <c r="W2169">
        <f>_xlfn.NUMBERVALUE("0.000876")</f>
        <v/>
      </c>
      <c r="X2169">
        <f>_xlfn.NUMBERVALUE("-1.010000")</f>
        <v/>
      </c>
      <c r="Y2169">
        <f>_xlfn.NUMBERVALUE("14.840000")</f>
        <v/>
      </c>
    </row>
    <row r="2170">
      <c r="A2170" s="1" t="n">
        <v>45152</v>
      </c>
      <c r="B2170">
        <f>_xlfn.NUMBERVALUE("0.001505")</f>
        <v/>
      </c>
      <c r="C2170" s="2">
        <f>_xlfn.NUMBERVALUE("0.002313")</f>
        <v/>
      </c>
      <c r="D2170">
        <f>_xlfn.NUMBERVALUE("0.001508")</f>
        <v/>
      </c>
      <c r="E2170">
        <f>_xlfn.NUMBERVALUE("0.002340")</f>
        <v/>
      </c>
      <c r="F2170">
        <f>_xlfn.NUMBERVALUE("-0.000059")</f>
        <v/>
      </c>
      <c r="G2170">
        <f>_xlfn.NUMBERVALUE("0.000864")</f>
        <v/>
      </c>
      <c r="H2170">
        <f>_xlfn.NUMBERVALUE("0.000395")</f>
        <v/>
      </c>
      <c r="I2170">
        <f>_xlfn.NUMBERVALUE("0.001747")</f>
        <v/>
      </c>
      <c r="J2170">
        <f>_xlfn.NUMBERVALUE("0.001308")</f>
        <v/>
      </c>
      <c r="K2170">
        <f>_xlfn.NUMBERVALUE("0.000252")</f>
        <v/>
      </c>
      <c r="L2170">
        <f>_xlfn.NUMBERVALUE("0.001697")</f>
        <v/>
      </c>
      <c r="M2170">
        <f>_xlfn.NUMBERVALUE("0.001769")</f>
        <v/>
      </c>
      <c r="N2170">
        <f>_xlfn.NUMBERVALUE("0.003664")</f>
        <v/>
      </c>
      <c r="O2170">
        <f>_xlfn.NUMBERVALUE("0.002349")</f>
        <v/>
      </c>
      <c r="P2170">
        <f>_xlfn.NUMBERVALUE("0.002430")</f>
        <v/>
      </c>
      <c r="Q2170">
        <f>_xlfn.NUMBERVALUE("0.001607")</f>
        <v/>
      </c>
      <c r="R2170">
        <f>_xlfn.NUMBERVALUE("0.000303")</f>
        <v/>
      </c>
      <c r="S2170">
        <f>_xlfn.NUMBERVALUE("0.001019")</f>
        <v/>
      </c>
      <c r="T2170">
        <f>_xlfn.NUMBERVALUE("0.001050")</f>
        <v/>
      </c>
      <c r="U2170">
        <f>_xlfn.NUMBERVALUE("0.002201")</f>
        <v/>
      </c>
      <c r="V2170">
        <f>_xlfn.NUMBERVALUE("0.001027")</f>
        <v/>
      </c>
      <c r="W2170">
        <f>_xlfn.NUMBERVALUE("0.004489")</f>
        <v/>
      </c>
      <c r="X2170">
        <f>_xlfn.NUMBERVALUE("-0.020000")</f>
        <v/>
      </c>
      <c r="Y2170">
        <f>_xlfn.NUMBERVALUE("14.820000")</f>
        <v/>
      </c>
    </row>
    <row r="2171">
      <c r="A2171" s="1" t="n">
        <v>45153</v>
      </c>
      <c r="B2171">
        <f>_xlfn.NUMBERVALUE("-0.000368")</f>
        <v/>
      </c>
      <c r="C2171" s="2">
        <f>_xlfn.NUMBERVALUE("-0.002233")</f>
        <v/>
      </c>
      <c r="D2171">
        <f>_xlfn.NUMBERVALUE("-0.001772")</f>
        <v/>
      </c>
      <c r="E2171">
        <f>_xlfn.NUMBERVALUE("-0.002021")</f>
        <v/>
      </c>
      <c r="F2171">
        <f>_xlfn.NUMBERVALUE("-0.000173")</f>
        <v/>
      </c>
      <c r="G2171">
        <f>_xlfn.NUMBERVALUE("0.000125")</f>
        <v/>
      </c>
      <c r="H2171">
        <f>_xlfn.NUMBERVALUE("-0.000016")</f>
        <v/>
      </c>
      <c r="I2171">
        <f>_xlfn.NUMBERVALUE("-0.001706")</f>
        <v/>
      </c>
      <c r="J2171">
        <f>_xlfn.NUMBERVALUE("0.000101")</f>
        <v/>
      </c>
      <c r="K2171">
        <f>_xlfn.NUMBERVALUE("0.001008")</f>
        <v/>
      </c>
      <c r="L2171">
        <f>_xlfn.NUMBERVALUE("0.000605")</f>
        <v/>
      </c>
      <c r="M2171">
        <f>_xlfn.NUMBERVALUE("-0.003270")</f>
        <v/>
      </c>
      <c r="N2171">
        <f>_xlfn.NUMBERVALUE("-0.000328")</f>
        <v/>
      </c>
      <c r="O2171">
        <f>_xlfn.NUMBERVALUE("-0.003940")</f>
        <v/>
      </c>
      <c r="P2171">
        <f>_xlfn.NUMBERVALUE("-0.003365")</f>
        <v/>
      </c>
      <c r="Q2171">
        <f>_xlfn.NUMBERVALUE("-0.002076")</f>
        <v/>
      </c>
      <c r="R2171">
        <f>_xlfn.NUMBERVALUE("-0.000985")</f>
        <v/>
      </c>
      <c r="S2171">
        <f>_xlfn.NUMBERVALUE("-0.001430")</f>
        <v/>
      </c>
      <c r="T2171">
        <f>_xlfn.NUMBERVALUE("-0.002276")</f>
        <v/>
      </c>
      <c r="U2171">
        <f>_xlfn.NUMBERVALUE("-0.002005")</f>
        <v/>
      </c>
      <c r="V2171">
        <f>_xlfn.NUMBERVALUE("-0.002294")</f>
        <v/>
      </c>
      <c r="W2171">
        <f>_xlfn.NUMBERVALUE("-0.011106")</f>
        <v/>
      </c>
      <c r="X2171">
        <f>_xlfn.NUMBERVALUE("1.640000")</f>
        <v/>
      </c>
      <c r="Y2171">
        <f>_xlfn.NUMBERVALUE("16.460000")</f>
        <v/>
      </c>
    </row>
    <row r="2172">
      <c r="A2172" s="1" t="n">
        <v>45154</v>
      </c>
      <c r="B2172">
        <f>_xlfn.NUMBERVALUE("-0.000382")</f>
        <v/>
      </c>
      <c r="C2172" s="2">
        <f>_xlfn.NUMBERVALUE("0.000617")</f>
        <v/>
      </c>
      <c r="D2172">
        <f>_xlfn.NUMBERVALUE("0.000521")</f>
        <v/>
      </c>
      <c r="E2172">
        <f>_xlfn.NUMBERVALUE("0.000249")</f>
        <v/>
      </c>
      <c r="F2172">
        <f>_xlfn.NUMBERVALUE("-0.000208")</f>
        <v/>
      </c>
      <c r="G2172">
        <f>_xlfn.NUMBERVALUE("-0.000533")</f>
        <v/>
      </c>
      <c r="H2172">
        <f>_xlfn.NUMBERVALUE("0.000226")</f>
        <v/>
      </c>
      <c r="I2172">
        <f>_xlfn.NUMBERVALUE("-0.000085")</f>
        <v/>
      </c>
      <c r="J2172">
        <f>_xlfn.NUMBERVALUE("0.000078")</f>
        <v/>
      </c>
      <c r="K2172">
        <f>_xlfn.NUMBERVALUE("-0.000449")</f>
        <v/>
      </c>
      <c r="L2172">
        <f>_xlfn.NUMBERVALUE("-0.001066")</f>
        <v/>
      </c>
      <c r="M2172">
        <f>_xlfn.NUMBERVALUE("0.000373")</f>
        <v/>
      </c>
      <c r="N2172">
        <f>_xlfn.NUMBERVALUE("-0.000575")</f>
        <v/>
      </c>
      <c r="O2172">
        <f>_xlfn.NUMBERVALUE("0.001518")</f>
        <v/>
      </c>
      <c r="P2172">
        <f>_xlfn.NUMBERVALUE("0.000988")</f>
        <v/>
      </c>
      <c r="Q2172">
        <f>_xlfn.NUMBERVALUE("0.000593")</f>
        <v/>
      </c>
      <c r="R2172">
        <f>_xlfn.NUMBERVALUE("0.000827")</f>
        <v/>
      </c>
      <c r="S2172">
        <f>_xlfn.NUMBERVALUE("0.000741")</f>
        <v/>
      </c>
      <c r="T2172">
        <f>_xlfn.NUMBERVALUE("0.001224")</f>
        <v/>
      </c>
      <c r="U2172">
        <f>_xlfn.NUMBERVALUE("0.000532")</f>
        <v/>
      </c>
      <c r="V2172">
        <f>_xlfn.NUMBERVALUE("0.000578")</f>
        <v/>
      </c>
      <c r="W2172">
        <f>_xlfn.NUMBERVALUE("-0.004994")</f>
        <v/>
      </c>
      <c r="X2172">
        <f>_xlfn.NUMBERVALUE("0.320000")</f>
        <v/>
      </c>
      <c r="Y2172">
        <f>_xlfn.NUMBERVALUE("16.780000")</f>
        <v/>
      </c>
    </row>
    <row r="2173">
      <c r="A2173" s="1" t="n">
        <v>45155</v>
      </c>
      <c r="B2173">
        <f>_xlfn.NUMBERVALUE("-0.000388")</f>
        <v/>
      </c>
      <c r="C2173" s="2">
        <f>_xlfn.NUMBERVALUE("-0.001312")</f>
        <v/>
      </c>
      <c r="D2173">
        <f>_xlfn.NUMBERVALUE("0.000238")</f>
        <v/>
      </c>
      <c r="E2173">
        <f>_xlfn.NUMBERVALUE("-0.000454")</f>
        <v/>
      </c>
      <c r="F2173">
        <f>_xlfn.NUMBERVALUE("-0.000283")</f>
        <v/>
      </c>
      <c r="G2173">
        <f>_xlfn.NUMBERVALUE("-0.000579")</f>
        <v/>
      </c>
      <c r="H2173">
        <f>_xlfn.NUMBERVALUE("0.000073")</f>
        <v/>
      </c>
      <c r="I2173">
        <f>_xlfn.NUMBERVALUE("-0.001226")</f>
        <v/>
      </c>
      <c r="J2173">
        <f>_xlfn.NUMBERVALUE("-0.000288")</f>
        <v/>
      </c>
      <c r="K2173">
        <f>_xlfn.NUMBERVALUE("0.000518")</f>
        <v/>
      </c>
      <c r="L2173">
        <f>_xlfn.NUMBERVALUE("-0.000753")</f>
        <v/>
      </c>
      <c r="M2173">
        <f>_xlfn.NUMBERVALUE("0.000176")</f>
        <v/>
      </c>
      <c r="N2173">
        <f>_xlfn.NUMBERVALUE("-0.000460")</f>
        <v/>
      </c>
      <c r="O2173">
        <f>_xlfn.NUMBERVALUE("-0.000913")</f>
        <v/>
      </c>
      <c r="P2173">
        <f>_xlfn.NUMBERVALUE("0.000329")</f>
        <v/>
      </c>
      <c r="Q2173">
        <f>_xlfn.NUMBERVALUE("0.000176")</f>
        <v/>
      </c>
      <c r="R2173">
        <f>_xlfn.NUMBERVALUE("-0.000616")</f>
        <v/>
      </c>
      <c r="S2173">
        <f>_xlfn.NUMBERVALUE("-0.001550")</f>
        <v/>
      </c>
      <c r="T2173">
        <f>_xlfn.NUMBERVALUE("0.000433")</f>
        <v/>
      </c>
      <c r="U2173">
        <f>_xlfn.NUMBERVALUE("-0.002375")</f>
        <v/>
      </c>
      <c r="V2173">
        <f>_xlfn.NUMBERVALUE("-0.001019")</f>
        <v/>
      </c>
      <c r="W2173">
        <f>_xlfn.NUMBERVALUE("-0.009766")</f>
        <v/>
      </c>
      <c r="X2173">
        <f>_xlfn.NUMBERVALUE("1.110000")</f>
        <v/>
      </c>
      <c r="Y2173">
        <f>_xlfn.NUMBERVALUE("17.890000")</f>
        <v/>
      </c>
    </row>
    <row r="2174">
      <c r="A2174" s="1" t="n">
        <v>45156</v>
      </c>
      <c r="B2174">
        <f>_xlfn.NUMBERVALUE("-0.000645")</f>
        <v/>
      </c>
      <c r="C2174" s="2">
        <f>_xlfn.NUMBERVALUE("0.002226")</f>
        <v/>
      </c>
      <c r="D2174">
        <f>_xlfn.NUMBERVALUE("-0.000188")</f>
        <v/>
      </c>
      <c r="E2174">
        <f>_xlfn.NUMBERVALUE("0.000291")</f>
        <v/>
      </c>
      <c r="F2174">
        <f>_xlfn.NUMBERVALUE("0.000436")</f>
        <v/>
      </c>
      <c r="G2174">
        <f>_xlfn.NUMBERVALUE("0.000995")</f>
        <v/>
      </c>
      <c r="H2174">
        <f>_xlfn.NUMBERVALUE("-0.000186")</f>
        <v/>
      </c>
      <c r="I2174">
        <f>_xlfn.NUMBERVALUE("0.000517")</f>
        <v/>
      </c>
      <c r="J2174">
        <f>_xlfn.NUMBERVALUE("0.000530")</f>
        <v/>
      </c>
      <c r="K2174">
        <f>_xlfn.NUMBERVALUE("0.000990")</f>
        <v/>
      </c>
      <c r="L2174">
        <f>_xlfn.NUMBERVALUE("0.000480")</f>
        <v/>
      </c>
      <c r="M2174">
        <f>_xlfn.NUMBERVALUE("0.001421")</f>
        <v/>
      </c>
      <c r="N2174">
        <f>_xlfn.NUMBERVALUE("0.002677")</f>
        <v/>
      </c>
      <c r="O2174">
        <f>_xlfn.NUMBERVALUE("0.000766")</f>
        <v/>
      </c>
      <c r="P2174">
        <f>_xlfn.NUMBERVALUE("0.001810")</f>
        <v/>
      </c>
      <c r="Q2174">
        <f>_xlfn.NUMBERVALUE("0.000978")</f>
        <v/>
      </c>
      <c r="R2174">
        <f>_xlfn.NUMBERVALUE("0.001626")</f>
        <v/>
      </c>
      <c r="S2174">
        <f>_xlfn.NUMBERVALUE("0.001371")</f>
        <v/>
      </c>
      <c r="T2174">
        <f>_xlfn.NUMBERVALUE("0.000951")</f>
        <v/>
      </c>
      <c r="U2174">
        <f>_xlfn.NUMBERVALUE("0.001386")</f>
        <v/>
      </c>
      <c r="V2174">
        <f>_xlfn.NUMBERVALUE("0.000727")</f>
        <v/>
      </c>
      <c r="W2174">
        <f>_xlfn.NUMBERVALUE("0.002408")</f>
        <v/>
      </c>
      <c r="X2174">
        <f>_xlfn.NUMBERVALUE("-0.590000")</f>
        <v/>
      </c>
      <c r="Y2174">
        <f>_xlfn.NUMBERVALUE("17.300000")</f>
        <v/>
      </c>
    </row>
    <row r="2175">
      <c r="A2175" s="1" t="n">
        <v>45159</v>
      </c>
      <c r="B2175">
        <f>_xlfn.NUMBERVALUE("0.000517")</f>
        <v/>
      </c>
      <c r="C2175" s="2">
        <f>_xlfn.NUMBERVALUE("0.000675")</f>
        <v/>
      </c>
      <c r="D2175">
        <f>_xlfn.NUMBERVALUE("0.001217")</f>
        <v/>
      </c>
      <c r="E2175">
        <f>_xlfn.NUMBERVALUE("0.000284")</f>
        <v/>
      </c>
      <c r="F2175">
        <f>_xlfn.NUMBERVALUE("0.000408")</f>
        <v/>
      </c>
      <c r="G2175">
        <f>_xlfn.NUMBERVALUE("0.000994")</f>
        <v/>
      </c>
      <c r="H2175">
        <f>_xlfn.NUMBERVALUE("-0.000788")</f>
        <v/>
      </c>
      <c r="I2175">
        <f>_xlfn.NUMBERVALUE("0.000632")</f>
        <v/>
      </c>
      <c r="J2175">
        <f>_xlfn.NUMBERVALUE("-0.000036")</f>
        <v/>
      </c>
      <c r="K2175">
        <f>_xlfn.NUMBERVALUE("-0.002799")</f>
        <v/>
      </c>
      <c r="L2175">
        <f>_xlfn.NUMBERVALUE("-0.000944")</f>
        <v/>
      </c>
      <c r="M2175">
        <f>_xlfn.NUMBERVALUE("0.002481")</f>
        <v/>
      </c>
      <c r="N2175">
        <f>_xlfn.NUMBERVALUE("0.001810")</f>
        <v/>
      </c>
      <c r="O2175">
        <f>_xlfn.NUMBERVALUE("0.003825")</f>
        <v/>
      </c>
      <c r="P2175">
        <f>_xlfn.NUMBERVALUE("0.001225")</f>
        <v/>
      </c>
      <c r="Q2175">
        <f>_xlfn.NUMBERVALUE("0.002464")</f>
        <v/>
      </c>
      <c r="R2175">
        <f>_xlfn.NUMBERVALUE("-0.000577")</f>
        <v/>
      </c>
      <c r="S2175">
        <f>_xlfn.NUMBERVALUE("0.000613")</f>
        <v/>
      </c>
      <c r="T2175">
        <f>_xlfn.NUMBERVALUE("0.002154")</f>
        <v/>
      </c>
      <c r="U2175">
        <f>_xlfn.NUMBERVALUE("0.001267")</f>
        <v/>
      </c>
      <c r="V2175">
        <f>_xlfn.NUMBERVALUE("0.000725")</f>
        <v/>
      </c>
      <c r="W2175">
        <f>_xlfn.NUMBERVALUE("0.006292")</f>
        <v/>
      </c>
      <c r="X2175">
        <f>_xlfn.NUMBERVALUE("-0.170000")</f>
        <v/>
      </c>
      <c r="Y2175">
        <f>_xlfn.NUMBERVALUE("17.130000")</f>
        <v/>
      </c>
    </row>
    <row r="2176">
      <c r="A2176" s="1" t="n">
        <v>45160</v>
      </c>
      <c r="B2176">
        <f>_xlfn.NUMBERVALUE("-0.000219")</f>
        <v/>
      </c>
      <c r="C2176" s="2">
        <f>_xlfn.NUMBERVALUE("-0.000563")</f>
        <v/>
      </c>
      <c r="D2176">
        <f>_xlfn.NUMBERVALUE("-0.000359")</f>
        <v/>
      </c>
      <c r="E2176">
        <f>_xlfn.NUMBERVALUE("-0.000400")</f>
        <v/>
      </c>
      <c r="F2176">
        <f>_xlfn.NUMBERVALUE("0.000458")</f>
        <v/>
      </c>
      <c r="G2176">
        <f>_xlfn.NUMBERVALUE("0.000749")</f>
        <v/>
      </c>
      <c r="H2176">
        <f>_xlfn.NUMBERVALUE("0.000163")</f>
        <v/>
      </c>
      <c r="I2176">
        <f>_xlfn.NUMBERVALUE("-0.000072")</f>
        <v/>
      </c>
      <c r="J2176">
        <f>_xlfn.NUMBERVALUE("-0.000152")</f>
        <v/>
      </c>
      <c r="K2176">
        <f>_xlfn.NUMBERVALUE("0.002486")</f>
        <v/>
      </c>
      <c r="L2176">
        <f>_xlfn.NUMBERVALUE("0.000416")</f>
        <v/>
      </c>
      <c r="M2176">
        <f>_xlfn.NUMBERVALUE("0.000204")</f>
        <v/>
      </c>
      <c r="N2176">
        <f>_xlfn.NUMBERVALUE("0.000116")</f>
        <v/>
      </c>
      <c r="O2176">
        <f>_xlfn.NUMBERVALUE("0.001399")</f>
        <v/>
      </c>
      <c r="P2176">
        <f>_xlfn.NUMBERVALUE("-0.001556")</f>
        <v/>
      </c>
      <c r="Q2176">
        <f>_xlfn.NUMBERVALUE("0.000026")</f>
        <v/>
      </c>
      <c r="R2176">
        <f>_xlfn.NUMBERVALUE("0.000555")</f>
        <v/>
      </c>
      <c r="S2176">
        <f>_xlfn.NUMBERVALUE("-0.001088")</f>
        <v/>
      </c>
      <c r="T2176">
        <f>_xlfn.NUMBERVALUE("0.000113")</f>
        <v/>
      </c>
      <c r="U2176">
        <f>_xlfn.NUMBERVALUE("-0.000055")</f>
        <v/>
      </c>
      <c r="V2176">
        <f>_xlfn.NUMBERVALUE("0.000129")</f>
        <v/>
      </c>
      <c r="W2176">
        <f>_xlfn.NUMBERVALUE("-0.004775")</f>
        <v/>
      </c>
      <c r="X2176">
        <f>_xlfn.NUMBERVALUE("-0.160000")</f>
        <v/>
      </c>
      <c r="Y2176">
        <f>_xlfn.NUMBERVALUE("16.970000")</f>
        <v/>
      </c>
    </row>
    <row r="2177">
      <c r="A2177" s="1" t="n">
        <v>45161</v>
      </c>
      <c r="B2177">
        <f>_xlfn.NUMBERVALUE("-0.000213")</f>
        <v/>
      </c>
      <c r="C2177" s="2">
        <f>_xlfn.NUMBERVALUE("0.000478")</f>
        <v/>
      </c>
      <c r="D2177">
        <f>_xlfn.NUMBERVALUE("0.000030")</f>
        <v/>
      </c>
      <c r="E2177">
        <f>_xlfn.NUMBERVALUE("-0.000023")</f>
        <v/>
      </c>
      <c r="F2177">
        <f>_xlfn.NUMBERVALUE("-0.000568")</f>
        <v/>
      </c>
      <c r="G2177">
        <f>_xlfn.NUMBERVALUE("-0.001878")</f>
        <v/>
      </c>
      <c r="H2177">
        <f>_xlfn.NUMBERVALUE("-0.000781")</f>
        <v/>
      </c>
      <c r="I2177">
        <f>_xlfn.NUMBERVALUE("0.000312")</f>
        <v/>
      </c>
      <c r="J2177">
        <f>_xlfn.NUMBERVALUE("-0.002210")</f>
        <v/>
      </c>
      <c r="K2177">
        <f>_xlfn.NUMBERVALUE("-0.012919")</f>
        <v/>
      </c>
      <c r="L2177">
        <f>_xlfn.NUMBERVALUE("-0.000788")</f>
        <v/>
      </c>
      <c r="M2177">
        <f>_xlfn.NUMBERVALUE("0.001849")</f>
        <v/>
      </c>
      <c r="N2177">
        <f>_xlfn.NUMBERVALUE("-0.002161")</f>
        <v/>
      </c>
      <c r="O2177">
        <f>_xlfn.NUMBERVALUE("0.001955")</f>
        <v/>
      </c>
      <c r="P2177">
        <f>_xlfn.NUMBERVALUE("0.001839")</f>
        <v/>
      </c>
      <c r="Q2177">
        <f>_xlfn.NUMBERVALUE("0.000403")</f>
        <v/>
      </c>
      <c r="R2177">
        <f>_xlfn.NUMBERVALUE("-0.004083")</f>
        <v/>
      </c>
      <c r="S2177">
        <f>_xlfn.NUMBERVALUE("0.001020")</f>
        <v/>
      </c>
      <c r="T2177">
        <f>_xlfn.NUMBERVALUE("0.000554")</f>
        <v/>
      </c>
      <c r="U2177">
        <f>_xlfn.NUMBERVALUE("0.001344")</f>
        <v/>
      </c>
      <c r="V2177">
        <f>_xlfn.NUMBERVALUE("-0.000163")</f>
        <v/>
      </c>
      <c r="W2177">
        <f>_xlfn.NUMBERVALUE("0.012611")</f>
        <v/>
      </c>
      <c r="X2177">
        <f>_xlfn.NUMBERVALUE("-0.990000")</f>
        <v/>
      </c>
      <c r="Y2177">
        <f>_xlfn.NUMBERVALUE("15.980000")</f>
        <v/>
      </c>
    </row>
    <row r="2178">
      <c r="A2178" s="1" t="n">
        <v>45162</v>
      </c>
      <c r="B2178">
        <f>_xlfn.NUMBERVALUE("-0.000042")</f>
        <v/>
      </c>
      <c r="C2178" s="2">
        <f>_xlfn.NUMBERVALUE("-0.000867")</f>
        <v/>
      </c>
      <c r="D2178">
        <f>_xlfn.NUMBERVALUE("-0.000252")</f>
        <v/>
      </c>
      <c r="E2178">
        <f>_xlfn.NUMBERVALUE("-0.001209")</f>
        <v/>
      </c>
      <c r="F2178">
        <f>_xlfn.NUMBERVALUE("0.000579")</f>
        <v/>
      </c>
      <c r="G2178">
        <f>_xlfn.NUMBERVALUE("-0.000758")</f>
        <v/>
      </c>
      <c r="H2178">
        <f>_xlfn.NUMBERVALUE("0.000291")</f>
        <v/>
      </c>
      <c r="I2178">
        <f>_xlfn.NUMBERVALUE("-0.000946")</f>
        <v/>
      </c>
      <c r="J2178">
        <f>_xlfn.NUMBERVALUE("-0.000176")</f>
        <v/>
      </c>
      <c r="K2178">
        <f>_xlfn.NUMBERVALUE("0.002775")</f>
        <v/>
      </c>
      <c r="L2178">
        <f>_xlfn.NUMBERVALUE("-0.000399")</f>
        <v/>
      </c>
      <c r="M2178">
        <f>_xlfn.NUMBERVALUE("0.000450")</f>
        <v/>
      </c>
      <c r="N2178">
        <f>_xlfn.NUMBERVALUE("-0.001718")</f>
        <v/>
      </c>
      <c r="O2178">
        <f>_xlfn.NUMBERVALUE("0.001167")</f>
        <v/>
      </c>
      <c r="P2178">
        <f>_xlfn.NUMBERVALUE("-0.000499")</f>
        <v/>
      </c>
      <c r="Q2178">
        <f>_xlfn.NUMBERVALUE("-0.001921")</f>
        <v/>
      </c>
      <c r="R2178">
        <f>_xlfn.NUMBERVALUE("-0.002151")</f>
        <v/>
      </c>
      <c r="S2178">
        <f>_xlfn.NUMBERVALUE("-0.000275")</f>
        <v/>
      </c>
      <c r="T2178">
        <f>_xlfn.NUMBERVALUE("0.000776")</f>
        <v/>
      </c>
      <c r="U2178">
        <f>_xlfn.NUMBERVALUE("-0.002475")</f>
        <v/>
      </c>
      <c r="V2178">
        <f>_xlfn.NUMBERVALUE("-0.001802")</f>
        <v/>
      </c>
      <c r="W2178">
        <f>_xlfn.NUMBERVALUE("-0.012499")</f>
        <v/>
      </c>
      <c r="X2178">
        <f>_xlfn.NUMBERVALUE("1.220000")</f>
        <v/>
      </c>
      <c r="Y2178">
        <f>_xlfn.NUMBERVALUE("17.200000")</f>
        <v/>
      </c>
    </row>
    <row r="2179">
      <c r="A2179" s="1" t="n">
        <v>45163</v>
      </c>
      <c r="B2179">
        <f>_xlfn.NUMBERVALUE("-0.000024")</f>
        <v/>
      </c>
      <c r="C2179" s="2">
        <f>_xlfn.NUMBERVALUE("0.000278")</f>
        <v/>
      </c>
      <c r="D2179">
        <f>_xlfn.NUMBERVALUE("0.001030")</f>
        <v/>
      </c>
      <c r="E2179">
        <f>_xlfn.NUMBERVALUE("0.000777")</f>
        <v/>
      </c>
      <c r="F2179">
        <f>_xlfn.NUMBERVALUE("0.001241")</f>
        <v/>
      </c>
      <c r="G2179">
        <f>_xlfn.NUMBERVALUE("0.000275")</f>
        <v/>
      </c>
      <c r="H2179">
        <f>_xlfn.NUMBERVALUE("0.001426")</f>
        <v/>
      </c>
      <c r="I2179">
        <f>_xlfn.NUMBERVALUE("0.000317")</f>
        <v/>
      </c>
      <c r="J2179">
        <f>_xlfn.NUMBERVALUE("0.001272")</f>
        <v/>
      </c>
      <c r="K2179">
        <f>_xlfn.NUMBERVALUE("0.001145")</f>
        <v/>
      </c>
      <c r="L2179">
        <f>_xlfn.NUMBERVALUE("0.003267")</f>
        <v/>
      </c>
      <c r="M2179">
        <f>_xlfn.NUMBERVALUE("0.001244")</f>
        <v/>
      </c>
      <c r="N2179">
        <f>_xlfn.NUMBERVALUE("0.004207")</f>
        <v/>
      </c>
      <c r="O2179">
        <f>_xlfn.NUMBERVALUE("0.002125")</f>
        <v/>
      </c>
      <c r="P2179">
        <f>_xlfn.NUMBERVALUE("0.002203")</f>
        <v/>
      </c>
      <c r="Q2179">
        <f>_xlfn.NUMBERVALUE("0.001703")</f>
        <v/>
      </c>
      <c r="R2179">
        <f>_xlfn.NUMBERVALUE("0.001584")</f>
        <v/>
      </c>
      <c r="S2179">
        <f>_xlfn.NUMBERVALUE("-0.000068")</f>
        <v/>
      </c>
      <c r="T2179">
        <f>_xlfn.NUMBERVALUE("0.001620")</f>
        <v/>
      </c>
      <c r="U2179">
        <f>_xlfn.NUMBERVALUE("0.001404")</f>
        <v/>
      </c>
      <c r="V2179">
        <f>_xlfn.NUMBERVALUE("0.000673")</f>
        <v/>
      </c>
      <c r="W2179">
        <f>_xlfn.NUMBERVALUE("0.006831")</f>
        <v/>
      </c>
      <c r="X2179">
        <f>_xlfn.NUMBERVALUE("-1.520000")</f>
        <v/>
      </c>
      <c r="Y2179">
        <f>_xlfn.NUMBERVALUE("15.680000")</f>
        <v/>
      </c>
    </row>
    <row r="2180">
      <c r="A2180" s="1" t="n">
        <v>45166</v>
      </c>
      <c r="B2180">
        <f>_xlfn.NUMBERVALUE("0.006743")</f>
        <v/>
      </c>
      <c r="C2180" s="2">
        <f>_xlfn.NUMBERVALUE("-0.000001")</f>
        <v/>
      </c>
      <c r="D2180">
        <f>_xlfn.NUMBERVALUE("0.000959")</f>
        <v/>
      </c>
      <c r="E2180">
        <f>_xlfn.NUMBERVALUE("-0.000336")</f>
        <v/>
      </c>
      <c r="F2180">
        <f>_xlfn.NUMBERVALUE("0.000118")</f>
        <v/>
      </c>
      <c r="G2180">
        <f>_xlfn.NUMBERVALUE("0.000773")</f>
        <v/>
      </c>
      <c r="H2180">
        <f>_xlfn.NUMBERVALUE("0.000416")</f>
        <v/>
      </c>
      <c r="I2180">
        <f>_xlfn.NUMBERVALUE("0.000261")</f>
        <v/>
      </c>
      <c r="J2180">
        <f>_xlfn.NUMBERVALUE("0.000829")</f>
        <v/>
      </c>
      <c r="K2180">
        <f>_xlfn.NUMBERVALUE("0.003129")</f>
        <v/>
      </c>
      <c r="L2180">
        <f>_xlfn.NUMBERVALUE("0.001501")</f>
        <v/>
      </c>
      <c r="M2180">
        <f>_xlfn.NUMBERVALUE("0.001319")</f>
        <v/>
      </c>
      <c r="N2180">
        <f>_xlfn.NUMBERVALUE("0.001200")</f>
        <v/>
      </c>
      <c r="O2180">
        <f>_xlfn.NUMBERVALUE("0.003305")</f>
        <v/>
      </c>
      <c r="P2180">
        <f>_xlfn.NUMBERVALUE("0.000729")</f>
        <v/>
      </c>
      <c r="Q2180">
        <f>_xlfn.NUMBERVALUE("0.000632")</f>
        <v/>
      </c>
      <c r="R2180">
        <f>_xlfn.NUMBERVALUE("0.002823")</f>
        <v/>
      </c>
      <c r="S2180">
        <f>_xlfn.NUMBERVALUE("0.000087")</f>
        <v/>
      </c>
      <c r="T2180">
        <f>_xlfn.NUMBERVALUE("0.002155")</f>
        <v/>
      </c>
      <c r="U2180">
        <f>_xlfn.NUMBERVALUE("0.001379")</f>
        <v/>
      </c>
      <c r="V2180">
        <f>_xlfn.NUMBERVALUE("0.000547")</f>
        <v/>
      </c>
      <c r="W2180">
        <f>_xlfn.NUMBERVALUE("0.004402")</f>
        <v/>
      </c>
      <c r="X2180">
        <f>_xlfn.NUMBERVALUE("-0.600000")</f>
        <v/>
      </c>
      <c r="Y2180">
        <f>_xlfn.NUMBERVALUE("15.080000")</f>
        <v/>
      </c>
    </row>
    <row r="2181">
      <c r="A2181" s="1" t="n">
        <v>45167</v>
      </c>
      <c r="B2181">
        <f>_xlfn.NUMBERVALUE("-0.010452")</f>
        <v/>
      </c>
      <c r="C2181" s="2">
        <f>_xlfn.NUMBERVALUE("-0.000501")</f>
        <v/>
      </c>
      <c r="D2181">
        <f>_xlfn.NUMBERVALUE("0.000851")</f>
        <v/>
      </c>
      <c r="E2181">
        <f>_xlfn.NUMBERVALUE("-0.000795")</f>
        <v/>
      </c>
      <c r="F2181">
        <f>_xlfn.NUMBERVALUE("-0.000795")</f>
        <v/>
      </c>
      <c r="G2181">
        <f>_xlfn.NUMBERVALUE("-0.000357")</f>
        <v/>
      </c>
      <c r="H2181">
        <f>_xlfn.NUMBERVALUE("-0.001005")</f>
        <v/>
      </c>
      <c r="I2181">
        <f>_xlfn.NUMBERVALUE("0.000029")</f>
        <v/>
      </c>
      <c r="J2181">
        <f>_xlfn.NUMBERVALUE("-0.001284")</f>
        <v/>
      </c>
      <c r="K2181">
        <f>_xlfn.NUMBERVALUE("-0.003492")</f>
        <v/>
      </c>
      <c r="L2181">
        <f>_xlfn.NUMBERVALUE("0.000269")</f>
        <v/>
      </c>
      <c r="M2181">
        <f>_xlfn.NUMBERVALUE("-0.000990")</f>
        <v/>
      </c>
      <c r="N2181">
        <f>_xlfn.NUMBERVALUE("-0.004674")</f>
        <v/>
      </c>
      <c r="O2181">
        <f>_xlfn.NUMBERVALUE("0.002421")</f>
        <v/>
      </c>
      <c r="P2181">
        <f>_xlfn.NUMBERVALUE("0.000883")</f>
        <v/>
      </c>
      <c r="Q2181">
        <f>_xlfn.NUMBERVALUE("0.000430")</f>
        <v/>
      </c>
      <c r="R2181">
        <f>_xlfn.NUMBERVALUE("-0.003963")</f>
        <v/>
      </c>
      <c r="S2181">
        <f>_xlfn.NUMBERVALUE("-0.000095")</f>
        <v/>
      </c>
      <c r="T2181">
        <f>_xlfn.NUMBERVALUE("0.001619")</f>
        <v/>
      </c>
      <c r="U2181">
        <f>_xlfn.NUMBERVALUE("-0.004292")</f>
        <v/>
      </c>
      <c r="V2181">
        <f>_xlfn.NUMBERVALUE("-0.003281")</f>
        <v/>
      </c>
      <c r="W2181">
        <f>_xlfn.NUMBERVALUE("0.015227")</f>
        <v/>
      </c>
      <c r="X2181">
        <f>_xlfn.NUMBERVALUE("-0.630000")</f>
        <v/>
      </c>
      <c r="Y2181">
        <f>_xlfn.NUMBERVALUE("14.450000")</f>
        <v/>
      </c>
    </row>
    <row r="2182">
      <c r="A2182" s="1" t="n">
        <v>45168</v>
      </c>
      <c r="B2182">
        <f>_xlfn.NUMBERVALUE("0.001725")</f>
        <v/>
      </c>
      <c r="C2182" s="2">
        <f>_xlfn.NUMBERVALUE("0.000665")</f>
        <v/>
      </c>
      <c r="D2182">
        <f>_xlfn.NUMBERVALUE("0.000760")</f>
        <v/>
      </c>
      <c r="E2182">
        <f>_xlfn.NUMBERVALUE("0.000198")</f>
        <v/>
      </c>
      <c r="F2182">
        <f>_xlfn.NUMBERVALUE("0.001064")</f>
        <v/>
      </c>
      <c r="G2182">
        <f>_xlfn.NUMBERVALUE("0.000728")</f>
        <v/>
      </c>
      <c r="H2182">
        <f>_xlfn.NUMBERVALUE("0.000664")</f>
        <v/>
      </c>
      <c r="I2182">
        <f>_xlfn.NUMBERVALUE("0.000428")</f>
        <v/>
      </c>
      <c r="J2182">
        <f>_xlfn.NUMBERVALUE("0.001341")</f>
        <v/>
      </c>
      <c r="K2182">
        <f>_xlfn.NUMBERVALUE("0.001771")</f>
        <v/>
      </c>
      <c r="L2182">
        <f>_xlfn.NUMBERVALUE("0.001211")</f>
        <v/>
      </c>
      <c r="M2182">
        <f>_xlfn.NUMBERVALUE("0.001387")</f>
        <v/>
      </c>
      <c r="N2182">
        <f>_xlfn.NUMBERVALUE("0.002152")</f>
        <v/>
      </c>
      <c r="O2182">
        <f>_xlfn.NUMBERVALUE("0.002038")</f>
        <v/>
      </c>
      <c r="P2182">
        <f>_xlfn.NUMBERVALUE("0.000476")</f>
        <v/>
      </c>
      <c r="Q2182">
        <f>_xlfn.NUMBERVALUE("0.001113")</f>
        <v/>
      </c>
      <c r="R2182">
        <f>_xlfn.NUMBERVALUE("0.001012")</f>
        <v/>
      </c>
      <c r="S2182">
        <f>_xlfn.NUMBERVALUE("0.000171")</f>
        <v/>
      </c>
      <c r="T2182">
        <f>_xlfn.NUMBERVALUE("0.000597")</f>
        <v/>
      </c>
      <c r="U2182">
        <f>_xlfn.NUMBERVALUE("0.001532")</f>
        <v/>
      </c>
      <c r="V2182">
        <f>_xlfn.NUMBERVALUE("0.001712")</f>
        <v/>
      </c>
      <c r="W2182">
        <f>_xlfn.NUMBERVALUE("0.003115")</f>
        <v/>
      </c>
      <c r="X2182">
        <f>_xlfn.NUMBERVALUE("-0.570000")</f>
        <v/>
      </c>
      <c r="Y2182">
        <f>_xlfn.NUMBERVALUE("13.880000")</f>
        <v/>
      </c>
    </row>
    <row r="2183">
      <c r="A2183" s="1" t="n">
        <v>45169</v>
      </c>
      <c r="B2183">
        <f>_xlfn.NUMBERVALUE("0.001072")</f>
        <v/>
      </c>
      <c r="C2183" s="2">
        <f>_xlfn.NUMBERVALUE("-0.000348")</f>
        <v/>
      </c>
      <c r="D2183">
        <f>_xlfn.NUMBERVALUE("-0.000808")</f>
        <v/>
      </c>
      <c r="E2183">
        <f>_xlfn.NUMBERVALUE("0.000769")</f>
        <v/>
      </c>
      <c r="F2183">
        <f>_xlfn.NUMBERVALUE("0.000959")</f>
        <v/>
      </c>
      <c r="G2183">
        <f>_xlfn.NUMBERVALUE("0.001069")</f>
        <v/>
      </c>
      <c r="H2183">
        <f>_xlfn.NUMBERVALUE("0.001051")</f>
        <v/>
      </c>
      <c r="I2183">
        <f>_xlfn.NUMBERVALUE("-0.000327")</f>
        <v/>
      </c>
      <c r="J2183">
        <f>_xlfn.NUMBERVALUE("0.001606")</f>
        <v/>
      </c>
      <c r="K2183">
        <f>_xlfn.NUMBERVALUE("0.000585")</f>
        <v/>
      </c>
      <c r="L2183">
        <f>_xlfn.NUMBERVALUE("0.000881")</f>
        <v/>
      </c>
      <c r="M2183">
        <f>_xlfn.NUMBERVALUE("0.001080")</f>
        <v/>
      </c>
      <c r="N2183">
        <f>_xlfn.NUMBERVALUE("0.000208")</f>
        <v/>
      </c>
      <c r="O2183">
        <f>_xlfn.NUMBERVALUE("0.001340")</f>
        <v/>
      </c>
      <c r="P2183">
        <f>_xlfn.NUMBERVALUE("0.001893")</f>
        <v/>
      </c>
      <c r="Q2183">
        <f>_xlfn.NUMBERVALUE("0.001141")</f>
        <v/>
      </c>
      <c r="R2183">
        <f>_xlfn.NUMBERVALUE("-0.000134")</f>
        <v/>
      </c>
      <c r="S2183">
        <f>_xlfn.NUMBERVALUE("0.000286")</f>
        <v/>
      </c>
      <c r="T2183">
        <f>_xlfn.NUMBERVALUE("0.000577")</f>
        <v/>
      </c>
      <c r="U2183">
        <f>_xlfn.NUMBERVALUE("0.000501")</f>
        <v/>
      </c>
      <c r="V2183">
        <f>_xlfn.NUMBERVALUE("0.001200")</f>
        <v/>
      </c>
      <c r="W2183">
        <f>_xlfn.NUMBERVALUE("0.001597")</f>
        <v/>
      </c>
      <c r="X2183">
        <f>_xlfn.NUMBERVALUE("-0.310000")</f>
        <v/>
      </c>
      <c r="Y2183">
        <f>_xlfn.NUMBERVALUE("13.570000")</f>
        <v/>
      </c>
    </row>
    <row r="2184">
      <c r="A2184" s="1" t="n">
        <v>45170</v>
      </c>
      <c r="B2184">
        <f>_xlfn.NUMBERVALUE("0.003526")</f>
        <v/>
      </c>
      <c r="C2184" s="2">
        <f>_xlfn.NUMBERVALUE("0.000638")</f>
        <v/>
      </c>
      <c r="D2184">
        <f>_xlfn.NUMBERVALUE("0.000439")</f>
        <v/>
      </c>
      <c r="E2184">
        <f>_xlfn.NUMBERVALUE("0.000721")</f>
        <v/>
      </c>
      <c r="F2184">
        <f>_xlfn.NUMBERVALUE("0.002987")</f>
        <v/>
      </c>
      <c r="G2184">
        <f>_xlfn.NUMBERVALUE("-0.000644")</f>
        <v/>
      </c>
      <c r="H2184">
        <f>_xlfn.NUMBERVALUE("0.000168")</f>
        <v/>
      </c>
      <c r="I2184">
        <f>_xlfn.NUMBERVALUE("0.000554")</f>
        <v/>
      </c>
      <c r="J2184">
        <f>_xlfn.NUMBERVALUE("-0.002749")</f>
        <v/>
      </c>
      <c r="K2184">
        <f>_xlfn.NUMBERVALUE("0.000918")</f>
        <v/>
      </c>
      <c r="L2184">
        <f>_xlfn.NUMBERVALUE("-0.003604")</f>
        <v/>
      </c>
      <c r="M2184">
        <f>_xlfn.NUMBERVALUE("-0.002028")</f>
        <v/>
      </c>
      <c r="N2184">
        <f>_xlfn.NUMBERVALUE("0.001336")</f>
        <v/>
      </c>
      <c r="O2184">
        <f>_xlfn.NUMBERVALUE("-0.004507")</f>
        <v/>
      </c>
      <c r="P2184">
        <f>_xlfn.NUMBERVALUE("-0.001138")</f>
        <v/>
      </c>
      <c r="Q2184">
        <f>_xlfn.NUMBERVALUE("0.001658")</f>
        <v/>
      </c>
      <c r="R2184">
        <f>_xlfn.NUMBERVALUE("0.001330")</f>
        <v/>
      </c>
      <c r="S2184">
        <f>_xlfn.NUMBERVALUE("-0.000437")</f>
        <v/>
      </c>
      <c r="T2184">
        <f>_xlfn.NUMBERVALUE("-0.000458")</f>
        <v/>
      </c>
      <c r="U2184">
        <f>_xlfn.NUMBERVALUE("0.001248")</f>
        <v/>
      </c>
      <c r="V2184">
        <f>_xlfn.NUMBERVALUE("0.002609")</f>
        <v/>
      </c>
      <c r="W2184">
        <f>_xlfn.NUMBERVALUE("-0.001595")</f>
        <v/>
      </c>
      <c r="X2184">
        <f>_xlfn.NUMBERVALUE("-0.480000")</f>
        <v/>
      </c>
      <c r="Y2184">
        <f>_xlfn.NUMBERVALUE("13.090000")</f>
        <v/>
      </c>
    </row>
    <row r="2185">
      <c r="A2185" s="1" t="n">
        <v>45174</v>
      </c>
      <c r="B2185">
        <f>_xlfn.NUMBERVALUE("0.002635")</f>
        <v/>
      </c>
      <c r="C2185" s="2">
        <f>_xlfn.NUMBERVALUE("-0.000492")</f>
        <v/>
      </c>
      <c r="D2185">
        <f>_xlfn.NUMBERVALUE("-0.000214")</f>
        <v/>
      </c>
      <c r="E2185">
        <f>_xlfn.NUMBERVALUE("-0.000643")</f>
        <v/>
      </c>
      <c r="F2185">
        <f>_xlfn.NUMBERVALUE("-0.000879")</f>
        <v/>
      </c>
      <c r="G2185">
        <f>_xlfn.NUMBERVALUE("0.000426")</f>
        <v/>
      </c>
      <c r="H2185">
        <f>_xlfn.NUMBERVALUE("-0.000802")</f>
        <v/>
      </c>
      <c r="I2185">
        <f>_xlfn.NUMBERVALUE("-0.001385")</f>
        <v/>
      </c>
      <c r="J2185">
        <f>_xlfn.NUMBERVALUE("-0.001185")</f>
        <v/>
      </c>
      <c r="K2185">
        <f>_xlfn.NUMBERVALUE("0.003007")</f>
        <v/>
      </c>
      <c r="L2185">
        <f>_xlfn.NUMBERVALUE("-0.001573")</f>
        <v/>
      </c>
      <c r="M2185">
        <f>_xlfn.NUMBERVALUE("-0.005052")</f>
        <v/>
      </c>
      <c r="N2185">
        <f>_xlfn.NUMBERVALUE("0.001026")</f>
        <v/>
      </c>
      <c r="O2185">
        <f>_xlfn.NUMBERVALUE("0.000795")</f>
        <v/>
      </c>
      <c r="P2185">
        <f>_xlfn.NUMBERVALUE("-0.000319")</f>
        <v/>
      </c>
      <c r="Q2185">
        <f>_xlfn.NUMBERVALUE("-0.004927")</f>
        <v/>
      </c>
      <c r="R2185">
        <f>_xlfn.NUMBERVALUE("0.000959")</f>
        <v/>
      </c>
      <c r="S2185">
        <f>_xlfn.NUMBERVALUE("-0.000612")</f>
        <v/>
      </c>
      <c r="T2185">
        <f>_xlfn.NUMBERVALUE("-0.001859")</f>
        <v/>
      </c>
      <c r="U2185">
        <f>_xlfn.NUMBERVALUE("0.000070")</f>
        <v/>
      </c>
      <c r="V2185">
        <f>_xlfn.NUMBERVALUE("0.001780")</f>
        <v/>
      </c>
      <c r="W2185">
        <f>_xlfn.NUMBERVALUE("-0.001131")</f>
        <v/>
      </c>
      <c r="X2185">
        <f>_xlfn.NUMBERVALUE("0.920000")</f>
        <v/>
      </c>
      <c r="Y2185">
        <f>_xlfn.NUMBERVALUE("14.010000")</f>
        <v/>
      </c>
    </row>
    <row r="2186">
      <c r="A2186" s="1" t="n">
        <v>45175</v>
      </c>
      <c r="B2186">
        <f>_xlfn.NUMBERVALUE("0.000495")</f>
        <v/>
      </c>
      <c r="C2186" s="2">
        <f>_xlfn.NUMBERVALUE("-0.000165")</f>
        <v/>
      </c>
      <c r="D2186">
        <f>_xlfn.NUMBERVALUE("0.000019")</f>
        <v/>
      </c>
      <c r="E2186">
        <f>_xlfn.NUMBERVALUE("-0.000087")</f>
        <v/>
      </c>
      <c r="F2186">
        <f>_xlfn.NUMBERVALUE("-0.000351")</f>
        <v/>
      </c>
      <c r="G2186">
        <f>_xlfn.NUMBERVALUE("-0.000218")</f>
        <v/>
      </c>
      <c r="H2186">
        <f>_xlfn.NUMBERVALUE("-0.000036")</f>
        <v/>
      </c>
      <c r="I2186">
        <f>_xlfn.NUMBERVALUE("-0.000079")</f>
        <v/>
      </c>
      <c r="J2186">
        <f>_xlfn.NUMBERVALUE("-0.000044")</f>
        <v/>
      </c>
      <c r="K2186">
        <f>_xlfn.NUMBERVALUE("-0.009045")</f>
        <v/>
      </c>
      <c r="L2186">
        <f>_xlfn.NUMBERVALUE("-0.000151")</f>
        <v/>
      </c>
      <c r="M2186">
        <f>_xlfn.NUMBERVALUE("0.001646")</f>
        <v/>
      </c>
      <c r="N2186">
        <f>_xlfn.NUMBERVALUE("0.000475")</f>
        <v/>
      </c>
      <c r="O2186">
        <f>_xlfn.NUMBERVALUE("0.000767")</f>
        <v/>
      </c>
      <c r="P2186">
        <f>_xlfn.NUMBERVALUE("0.000173")</f>
        <v/>
      </c>
      <c r="Q2186">
        <f>_xlfn.NUMBERVALUE("-0.000760")</f>
        <v/>
      </c>
      <c r="R2186">
        <f>_xlfn.NUMBERVALUE("-0.000166")</f>
        <v/>
      </c>
      <c r="S2186">
        <f>_xlfn.NUMBERVALUE("-0.000410")</f>
        <v/>
      </c>
      <c r="T2186">
        <f>_xlfn.NUMBERVALUE("-0.000038")</f>
        <v/>
      </c>
      <c r="U2186">
        <f>_xlfn.NUMBERVALUE("0.001044")</f>
        <v/>
      </c>
      <c r="V2186">
        <f>_xlfn.NUMBERVALUE("-0.003042")</f>
        <v/>
      </c>
      <c r="W2186">
        <f>_xlfn.NUMBERVALUE("-0.004586")</f>
        <v/>
      </c>
      <c r="X2186">
        <f>_xlfn.NUMBERVALUE("0.440000")</f>
        <v/>
      </c>
      <c r="Y2186">
        <f>_xlfn.NUMBERVALUE("14.450000")</f>
        <v/>
      </c>
    </row>
    <row r="2187">
      <c r="A2187" s="1" t="n">
        <v>45176</v>
      </c>
      <c r="B2187">
        <f>_xlfn.NUMBERVALUE("0.000353")</f>
        <v/>
      </c>
      <c r="C2187" s="2">
        <f>_xlfn.NUMBERVALUE("0.000079")</f>
        <v/>
      </c>
      <c r="D2187">
        <f>_xlfn.NUMBERVALUE("-0.001069")</f>
        <v/>
      </c>
      <c r="E2187">
        <f>_xlfn.NUMBERVALUE("0.000170")</f>
        <v/>
      </c>
      <c r="F2187">
        <f>_xlfn.NUMBERVALUE("0.000859")</f>
        <v/>
      </c>
      <c r="G2187">
        <f>_xlfn.NUMBERVALUE("0.000285")</f>
        <v/>
      </c>
      <c r="H2187">
        <f>_xlfn.NUMBERVALUE("0.000494")</f>
        <v/>
      </c>
      <c r="I2187">
        <f>_xlfn.NUMBERVALUE("0.000018")</f>
        <v/>
      </c>
      <c r="J2187">
        <f>_xlfn.NUMBERVALUE("0.000482")</f>
        <v/>
      </c>
      <c r="K2187">
        <f>_xlfn.NUMBERVALUE("0.001200")</f>
        <v/>
      </c>
      <c r="L2187">
        <f>_xlfn.NUMBERVALUE("-0.000093")</f>
        <v/>
      </c>
      <c r="M2187">
        <f>_xlfn.NUMBERVALUE("-0.000755")</f>
        <v/>
      </c>
      <c r="N2187">
        <f>_xlfn.NUMBERVALUE("0.001062")</f>
        <v/>
      </c>
      <c r="O2187">
        <f>_xlfn.NUMBERVALUE("0.000873")</f>
        <v/>
      </c>
      <c r="P2187">
        <f>_xlfn.NUMBERVALUE("-0.000541")</f>
        <v/>
      </c>
      <c r="Q2187">
        <f>_xlfn.NUMBERVALUE("0.000061")</f>
        <v/>
      </c>
      <c r="R2187">
        <f>_xlfn.NUMBERVALUE("0.001089")</f>
        <v/>
      </c>
      <c r="S2187">
        <f>_xlfn.NUMBERVALUE("0.000052")</f>
        <v/>
      </c>
      <c r="T2187">
        <f>_xlfn.NUMBERVALUE("-0.000063")</f>
        <v/>
      </c>
      <c r="U2187">
        <f>_xlfn.NUMBERVALUE("0.000295")</f>
        <v/>
      </c>
      <c r="V2187">
        <f>_xlfn.NUMBERVALUE("0.000630")</f>
        <v/>
      </c>
      <c r="W2187">
        <f>_xlfn.NUMBERVALUE("-0.002107")</f>
        <v/>
      </c>
      <c r="X2187">
        <f>_xlfn.NUMBERVALUE("-0.050000")</f>
        <v/>
      </c>
      <c r="Y2187">
        <f>_xlfn.NUMBERVALUE("14.400000")</f>
        <v/>
      </c>
    </row>
    <row r="2188">
      <c r="A2188" s="1" t="n">
        <v>45177</v>
      </c>
      <c r="B2188">
        <f>_xlfn.NUMBERVALUE("0.006153")</f>
        <v/>
      </c>
      <c r="C2188" s="2">
        <f>_xlfn.NUMBERVALUE("0.001430")</f>
        <v/>
      </c>
      <c r="D2188">
        <f>_xlfn.NUMBERVALUE("0.002989")</f>
        <v/>
      </c>
      <c r="E2188">
        <f>_xlfn.NUMBERVALUE("0.002446")</f>
        <v/>
      </c>
      <c r="F2188">
        <f>_xlfn.NUMBERVALUE("0.000470")</f>
        <v/>
      </c>
      <c r="G2188">
        <f>_xlfn.NUMBERVALUE("0.001264")</f>
        <v/>
      </c>
      <c r="H2188">
        <f>_xlfn.NUMBERVALUE("0.000664")</f>
        <v/>
      </c>
      <c r="I2188">
        <f>_xlfn.NUMBERVALUE("0.001800")</f>
        <v/>
      </c>
      <c r="J2188">
        <f>_xlfn.NUMBERVALUE("0.000485")</f>
        <v/>
      </c>
      <c r="K2188">
        <f>_xlfn.NUMBERVALUE("0.000860")</f>
        <v/>
      </c>
      <c r="L2188">
        <f>_xlfn.NUMBERVALUE("0.001230")</f>
        <v/>
      </c>
      <c r="M2188">
        <f>_xlfn.NUMBERVALUE("0.000875")</f>
        <v/>
      </c>
      <c r="N2188">
        <f>_xlfn.NUMBERVALUE("0.002217")</f>
        <v/>
      </c>
      <c r="O2188">
        <f>_xlfn.NUMBERVALUE("-0.000438")</f>
        <v/>
      </c>
      <c r="P2188">
        <f>_xlfn.NUMBERVALUE("0.001447")</f>
        <v/>
      </c>
      <c r="Q2188">
        <f>_xlfn.NUMBERVALUE("0.000301")</f>
        <v/>
      </c>
      <c r="R2188">
        <f>_xlfn.NUMBERVALUE("0.001259")</f>
        <v/>
      </c>
      <c r="S2188">
        <f>_xlfn.NUMBERVALUE("0.000457")</f>
        <v/>
      </c>
      <c r="T2188">
        <f>_xlfn.NUMBERVALUE("0.001151")</f>
        <v/>
      </c>
      <c r="U2188">
        <f>_xlfn.NUMBERVALUE("0.002927")</f>
        <v/>
      </c>
      <c r="V2188">
        <f>_xlfn.NUMBERVALUE("0.001561")</f>
        <v/>
      </c>
      <c r="W2188">
        <f>_xlfn.NUMBERVALUE("-0.000314")</f>
        <v/>
      </c>
      <c r="X2188">
        <f>_xlfn.NUMBERVALUE("-0.560000")</f>
        <v/>
      </c>
      <c r="Y2188">
        <f>_xlfn.NUMBERVALUE("13.840000")</f>
        <v/>
      </c>
    </row>
    <row r="2189">
      <c r="A2189" s="1" t="n">
        <v>45180</v>
      </c>
      <c r="B2189">
        <f>_xlfn.NUMBERVALUE("-0.000803")</f>
        <v/>
      </c>
      <c r="C2189" s="2">
        <f>_xlfn.NUMBERVALUE("0.001161")</f>
        <v/>
      </c>
      <c r="D2189">
        <f>_xlfn.NUMBERVALUE("0.000382")</f>
        <v/>
      </c>
      <c r="E2189">
        <f>_xlfn.NUMBERVALUE("-0.001039")</f>
        <v/>
      </c>
      <c r="F2189">
        <f>_xlfn.NUMBERVALUE("0.000804")</f>
        <v/>
      </c>
      <c r="G2189">
        <f>_xlfn.NUMBERVALUE("0.000186")</f>
        <v/>
      </c>
      <c r="H2189">
        <f>_xlfn.NUMBERVALUE("0.000029")</f>
        <v/>
      </c>
      <c r="I2189">
        <f>_xlfn.NUMBERVALUE("0.002653")</f>
        <v/>
      </c>
      <c r="J2189">
        <f>_xlfn.NUMBERVALUE("0.000296")</f>
        <v/>
      </c>
      <c r="K2189">
        <f>_xlfn.NUMBERVALUE("0.001180")</f>
        <v/>
      </c>
      <c r="L2189">
        <f>_xlfn.NUMBERVALUE("0.001016")</f>
        <v/>
      </c>
      <c r="M2189">
        <f>_xlfn.NUMBERVALUE("0.001259")</f>
        <v/>
      </c>
      <c r="N2189">
        <f>_xlfn.NUMBERVALUE("-0.001594")</f>
        <v/>
      </c>
      <c r="O2189">
        <f>_xlfn.NUMBERVALUE("0.002682")</f>
        <v/>
      </c>
      <c r="P2189">
        <f>_xlfn.NUMBERVALUE("-0.000126")</f>
        <v/>
      </c>
      <c r="Q2189">
        <f>_xlfn.NUMBERVALUE("-0.000589")</f>
        <v/>
      </c>
      <c r="R2189">
        <f>_xlfn.NUMBERVALUE("0.001470")</f>
        <v/>
      </c>
      <c r="S2189">
        <f>_xlfn.NUMBERVALUE("-0.000687")</f>
        <v/>
      </c>
      <c r="T2189">
        <f>_xlfn.NUMBERVALUE("0.000220")</f>
        <v/>
      </c>
      <c r="U2189">
        <f>_xlfn.NUMBERVALUE("-0.015067")</f>
        <v/>
      </c>
      <c r="V2189">
        <f>_xlfn.NUMBERVALUE("0.000344")</f>
        <v/>
      </c>
      <c r="W2189">
        <f>_xlfn.NUMBERVALUE("0.007370")</f>
        <v/>
      </c>
      <c r="X2189">
        <f>_xlfn.NUMBERVALUE("-0.040000")</f>
        <v/>
      </c>
      <c r="Y2189">
        <f>_xlfn.NUMBERVALUE("13.800000")</f>
        <v/>
      </c>
    </row>
    <row r="2190">
      <c r="A2190" s="1" t="n">
        <v>45181</v>
      </c>
      <c r="B2190">
        <f>_xlfn.NUMBERVALUE("0.000672")</f>
        <v/>
      </c>
      <c r="C2190" s="2">
        <f>_xlfn.NUMBERVALUE("0.000063")</f>
        <v/>
      </c>
      <c r="D2190">
        <f>_xlfn.NUMBERVALUE("0.000005")</f>
        <v/>
      </c>
      <c r="E2190">
        <f>_xlfn.NUMBERVALUE("0.000961")</f>
        <v/>
      </c>
      <c r="F2190">
        <f>_xlfn.NUMBERVALUE("-0.000068")</f>
        <v/>
      </c>
      <c r="G2190">
        <f>_xlfn.NUMBERVALUE("0.000792")</f>
        <v/>
      </c>
      <c r="H2190">
        <f>_xlfn.NUMBERVALUE("0.000438")</f>
        <v/>
      </c>
      <c r="I2190">
        <f>_xlfn.NUMBERVALUE("0.000615")</f>
        <v/>
      </c>
      <c r="J2190">
        <f>_xlfn.NUMBERVALUE("0.000698")</f>
        <v/>
      </c>
      <c r="K2190">
        <f>_xlfn.NUMBERVALUE("0.000854")</f>
        <v/>
      </c>
      <c r="L2190">
        <f>_xlfn.NUMBERVALUE("0.001270")</f>
        <v/>
      </c>
      <c r="M2190">
        <f>_xlfn.NUMBERVALUE("0.000294")</f>
        <v/>
      </c>
      <c r="N2190">
        <f>_xlfn.NUMBERVALUE("-0.000088")</f>
        <v/>
      </c>
      <c r="O2190">
        <f>_xlfn.NUMBERVALUE("-0.004850")</f>
        <v/>
      </c>
      <c r="P2190">
        <f>_xlfn.NUMBERVALUE("-0.000830")</f>
        <v/>
      </c>
      <c r="Q2190">
        <f>_xlfn.NUMBERVALUE("0.000167")</f>
        <v/>
      </c>
      <c r="R2190">
        <f>_xlfn.NUMBERVALUE("-0.002183")</f>
        <v/>
      </c>
      <c r="S2190">
        <f>_xlfn.NUMBERVALUE("0.000209")</f>
        <v/>
      </c>
      <c r="T2190">
        <f>_xlfn.NUMBERVALUE("0.003128")</f>
        <v/>
      </c>
      <c r="U2190">
        <f>_xlfn.NUMBERVALUE("-0.000582")</f>
        <v/>
      </c>
      <c r="V2190">
        <f>_xlfn.NUMBERVALUE("0.000073")</f>
        <v/>
      </c>
      <c r="W2190">
        <f>_xlfn.NUMBERVALUE("-0.005175")</f>
        <v/>
      </c>
      <c r="X2190">
        <f>_xlfn.NUMBERVALUE("0.430000")</f>
        <v/>
      </c>
      <c r="Y2190">
        <f>_xlfn.NUMBERVALUE("14.230000")</f>
        <v/>
      </c>
    </row>
    <row r="2191">
      <c r="A2191" s="1" t="n">
        <v>45182</v>
      </c>
      <c r="B2191">
        <f>_xlfn.NUMBERVALUE("0.003382")</f>
        <v/>
      </c>
      <c r="C2191" s="2">
        <f>_xlfn.NUMBERVALUE("0.001716")</f>
        <v/>
      </c>
      <c r="D2191">
        <f>_xlfn.NUMBERVALUE("0.001227")</f>
        <v/>
      </c>
      <c r="E2191">
        <f>_xlfn.NUMBERVALUE("0.000383")</f>
        <v/>
      </c>
      <c r="F2191">
        <f>_xlfn.NUMBERVALUE("0.001530")</f>
        <v/>
      </c>
      <c r="G2191">
        <f>_xlfn.NUMBERVALUE("0.000825")</f>
        <v/>
      </c>
      <c r="H2191">
        <f>_xlfn.NUMBERVALUE("0.000817")</f>
        <v/>
      </c>
      <c r="I2191">
        <f>_xlfn.NUMBERVALUE("0.001934")</f>
        <v/>
      </c>
      <c r="J2191">
        <f>_xlfn.NUMBERVALUE("0.001541")</f>
        <v/>
      </c>
      <c r="K2191">
        <f>_xlfn.NUMBERVALUE("0.000883")</f>
        <v/>
      </c>
      <c r="L2191">
        <f>_xlfn.NUMBERVALUE("0.001599")</f>
        <v/>
      </c>
      <c r="M2191">
        <f>_xlfn.NUMBERVALUE("0.001813")</f>
        <v/>
      </c>
      <c r="N2191">
        <f>_xlfn.NUMBERVALUE("0.001540")</f>
        <v/>
      </c>
      <c r="O2191">
        <f>_xlfn.NUMBERVALUE("0.000641")</f>
        <v/>
      </c>
      <c r="P2191">
        <f>_xlfn.NUMBERVALUE("0.000990")</f>
        <v/>
      </c>
      <c r="Q2191">
        <f>_xlfn.NUMBERVALUE("0.001393")</f>
        <v/>
      </c>
      <c r="R2191">
        <f>_xlfn.NUMBERVALUE("0.002187")</f>
        <v/>
      </c>
      <c r="S2191">
        <f>_xlfn.NUMBERVALUE("0.001047")</f>
        <v/>
      </c>
      <c r="T2191">
        <f>_xlfn.NUMBERVALUE("-0.002616")</f>
        <v/>
      </c>
      <c r="U2191">
        <f>_xlfn.NUMBERVALUE("0.001659")</f>
        <v/>
      </c>
      <c r="V2191">
        <f>_xlfn.NUMBERVALUE("0.001863")</f>
        <v/>
      </c>
      <c r="W2191">
        <f>_xlfn.NUMBERVALUE("0.000516")</f>
        <v/>
      </c>
      <c r="X2191">
        <f>_xlfn.NUMBERVALUE("-0.750000")</f>
        <v/>
      </c>
      <c r="Y2191">
        <f>_xlfn.NUMBERVALUE("13.480000")</f>
        <v/>
      </c>
    </row>
    <row r="2192">
      <c r="A2192" s="1" t="n">
        <v>45183</v>
      </c>
      <c r="B2192">
        <f>_xlfn.NUMBERVALUE("0.003656")</f>
        <v/>
      </c>
      <c r="C2192" s="2">
        <f>_xlfn.NUMBERVALUE("-0.000795")</f>
        <v/>
      </c>
      <c r="D2192">
        <f>_xlfn.NUMBERVALUE("0.000815")</f>
        <v/>
      </c>
      <c r="E2192">
        <f>_xlfn.NUMBERVALUE("-0.002094")</f>
        <v/>
      </c>
      <c r="F2192">
        <f>_xlfn.NUMBERVALUE("0.000515")</f>
        <v/>
      </c>
      <c r="G2192">
        <f>_xlfn.NUMBERVALUE("0.001266")</f>
        <v/>
      </c>
      <c r="H2192">
        <f>_xlfn.NUMBERVALUE("0.001447")</f>
        <v/>
      </c>
      <c r="I2192">
        <f>_xlfn.NUMBERVALUE("-0.001056")</f>
        <v/>
      </c>
      <c r="J2192">
        <f>_xlfn.NUMBERVALUE("0.000939")</f>
        <v/>
      </c>
      <c r="K2192">
        <f>_xlfn.NUMBERVALUE("-0.001921")</f>
        <v/>
      </c>
      <c r="L2192">
        <f>_xlfn.NUMBERVALUE("0.001828")</f>
        <v/>
      </c>
      <c r="M2192">
        <f>_xlfn.NUMBERVALUE("-0.000804")</f>
        <v/>
      </c>
      <c r="N2192">
        <f>_xlfn.NUMBERVALUE("-0.001379")</f>
        <v/>
      </c>
      <c r="O2192">
        <f>_xlfn.NUMBERVALUE("0.001313")</f>
        <v/>
      </c>
      <c r="P2192">
        <f>_xlfn.NUMBERVALUE("0.000439")</f>
        <v/>
      </c>
      <c r="Q2192">
        <f>_xlfn.NUMBERVALUE("0.000856")</f>
        <v/>
      </c>
      <c r="R2192">
        <f>_xlfn.NUMBERVALUE("0.002042")</f>
        <v/>
      </c>
      <c r="S2192">
        <f>_xlfn.NUMBERVALUE("-0.000641")</f>
        <v/>
      </c>
      <c r="T2192">
        <f>_xlfn.NUMBERVALUE("-0.000884")</f>
        <v/>
      </c>
      <c r="U2192">
        <f>_xlfn.NUMBERVALUE("0.000350")</f>
        <v/>
      </c>
      <c r="V2192">
        <f>_xlfn.NUMBERVALUE("0.000010")</f>
        <v/>
      </c>
      <c r="W2192">
        <f>_xlfn.NUMBERVALUE("0.009524")</f>
        <v/>
      </c>
      <c r="X2192">
        <f>_xlfn.NUMBERVALUE("-0.660000")</f>
        <v/>
      </c>
      <c r="Y2192">
        <f>_xlfn.NUMBERVALUE("12.820000")</f>
        <v/>
      </c>
    </row>
    <row r="2193">
      <c r="A2193" s="1" t="n">
        <v>45184</v>
      </c>
      <c r="B2193">
        <f>_xlfn.NUMBERVALUE("0.000273")</f>
        <v/>
      </c>
      <c r="C2193" s="2">
        <f>_xlfn.NUMBERVALUE("-0.002323")</f>
        <v/>
      </c>
      <c r="D2193">
        <f>_xlfn.NUMBERVALUE("0.000661")</f>
        <v/>
      </c>
      <c r="E2193">
        <f>_xlfn.NUMBERVALUE("0.001485")</f>
        <v/>
      </c>
      <c r="F2193">
        <f>_xlfn.NUMBERVALUE("-0.000363")</f>
        <v/>
      </c>
      <c r="G2193">
        <f>_xlfn.NUMBERVALUE("0.000547")</f>
        <v/>
      </c>
      <c r="H2193">
        <f>_xlfn.NUMBERVALUE("0.000288")</f>
        <v/>
      </c>
      <c r="I2193">
        <f>_xlfn.NUMBERVALUE("-0.001578")</f>
        <v/>
      </c>
      <c r="J2193">
        <f>_xlfn.NUMBERVALUE("0.002709")</f>
        <v/>
      </c>
      <c r="K2193">
        <f>_xlfn.NUMBERVALUE("-0.000429")</f>
        <v/>
      </c>
      <c r="L2193">
        <f>_xlfn.NUMBERVALUE("0.000605")</f>
        <v/>
      </c>
      <c r="M2193">
        <f>_xlfn.NUMBERVALUE("-0.001118")</f>
        <v/>
      </c>
      <c r="N2193">
        <f>_xlfn.NUMBERVALUE("0.000071")</f>
        <v/>
      </c>
      <c r="O2193">
        <f>_xlfn.NUMBERVALUE("-0.000481")</f>
        <v/>
      </c>
      <c r="P2193">
        <f>_xlfn.NUMBERVALUE("-0.000065")</f>
        <v/>
      </c>
      <c r="Q2193">
        <f>_xlfn.NUMBERVALUE("0.000750")</f>
        <v/>
      </c>
      <c r="R2193">
        <f>_xlfn.NUMBERVALUE("-0.003397")</f>
        <v/>
      </c>
      <c r="S2193">
        <f>_xlfn.NUMBERVALUE("-0.000387")</f>
        <v/>
      </c>
      <c r="T2193">
        <f>_xlfn.NUMBERVALUE("0.001314")</f>
        <v/>
      </c>
      <c r="U2193">
        <f>_xlfn.NUMBERVALUE("-0.001983")</f>
        <v/>
      </c>
      <c r="V2193">
        <f>_xlfn.NUMBERVALUE("-0.003004")</f>
        <v/>
      </c>
      <c r="W2193">
        <f>_xlfn.NUMBERVALUE("-0.016205")</f>
        <v/>
      </c>
      <c r="X2193">
        <f>_xlfn.NUMBERVALUE("0.970000")</f>
        <v/>
      </c>
      <c r="Y2193">
        <f>_xlfn.NUMBERVALUE("13.790000")</f>
        <v/>
      </c>
    </row>
    <row r="2194">
      <c r="A2194" s="1" t="n">
        <v>45187</v>
      </c>
      <c r="B2194">
        <f>_xlfn.NUMBERVALUE("0.002597")</f>
        <v/>
      </c>
      <c r="C2194" s="2">
        <f>_xlfn.NUMBERVALUE("0.000555")</f>
        <v/>
      </c>
      <c r="D2194">
        <f>_xlfn.NUMBERVALUE("0.002178")</f>
        <v/>
      </c>
      <c r="E2194">
        <f>_xlfn.NUMBERVALUE("0.001241")</f>
        <v/>
      </c>
      <c r="F2194">
        <f>_xlfn.NUMBERVALUE("-0.000393")</f>
        <v/>
      </c>
      <c r="G2194">
        <f>_xlfn.NUMBERVALUE("0.000179")</f>
        <v/>
      </c>
      <c r="H2194">
        <f>_xlfn.NUMBERVALUE("0.001133")</f>
        <v/>
      </c>
      <c r="I2194">
        <f>_xlfn.NUMBERVALUE("0.001574")</f>
        <v/>
      </c>
      <c r="J2194">
        <f>_xlfn.NUMBERVALUE("0.001348")</f>
        <v/>
      </c>
      <c r="K2194">
        <f>_xlfn.NUMBERVALUE("0.002185")</f>
        <v/>
      </c>
      <c r="L2194">
        <f>_xlfn.NUMBERVALUE("0.000934")</f>
        <v/>
      </c>
      <c r="M2194">
        <f>_xlfn.NUMBERVALUE("0.000872")</f>
        <v/>
      </c>
      <c r="N2194">
        <f>_xlfn.NUMBERVALUE("0.001192")</f>
        <v/>
      </c>
      <c r="O2194">
        <f>_xlfn.NUMBERVALUE("-0.001620")</f>
        <v/>
      </c>
      <c r="P2194">
        <f>_xlfn.NUMBERVALUE("0.000515")</f>
        <v/>
      </c>
      <c r="Q2194">
        <f>_xlfn.NUMBERVALUE("0.001705")</f>
        <v/>
      </c>
      <c r="R2194">
        <f>_xlfn.NUMBERVALUE("0.002167")</f>
        <v/>
      </c>
      <c r="S2194">
        <f>_xlfn.NUMBERVALUE("0.000351")</f>
        <v/>
      </c>
      <c r="T2194">
        <f>_xlfn.NUMBERVALUE("-0.003598")</f>
        <v/>
      </c>
      <c r="U2194">
        <f>_xlfn.NUMBERVALUE("0.001228")</f>
        <v/>
      </c>
      <c r="V2194">
        <f>_xlfn.NUMBERVALUE("0.000776")</f>
        <v/>
      </c>
      <c r="W2194">
        <f>_xlfn.NUMBERVALUE("0.000023")</f>
        <v/>
      </c>
      <c r="X2194">
        <f>_xlfn.NUMBERVALUE("0.210000")</f>
        <v/>
      </c>
      <c r="Y2194">
        <f>_xlfn.NUMBERVALUE("14.000000")</f>
        <v/>
      </c>
    </row>
    <row r="2195">
      <c r="A2195" s="1" t="n">
        <v>45188</v>
      </c>
      <c r="B2195">
        <f>_xlfn.NUMBERVALUE("-0.000476")</f>
        <v/>
      </c>
      <c r="C2195" s="2">
        <f>_xlfn.NUMBERVALUE("0.000689")</f>
        <v/>
      </c>
      <c r="D2195">
        <f>_xlfn.NUMBERVALUE("-0.000350")</f>
        <v/>
      </c>
      <c r="E2195">
        <f>_xlfn.NUMBERVALUE("0.000071")</f>
        <v/>
      </c>
      <c r="F2195">
        <f>_xlfn.NUMBERVALUE("0.000554")</f>
        <v/>
      </c>
      <c r="G2195">
        <f>_xlfn.NUMBERVALUE("-0.000158")</f>
        <v/>
      </c>
      <c r="H2195">
        <f>_xlfn.NUMBERVALUE("-0.000870")</f>
        <v/>
      </c>
      <c r="I2195">
        <f>_xlfn.NUMBERVALUE("0.000077")</f>
        <v/>
      </c>
      <c r="J2195">
        <f>_xlfn.NUMBERVALUE("-0.001010")</f>
        <v/>
      </c>
      <c r="K2195">
        <f>_xlfn.NUMBERVALUE("0.000718")</f>
        <v/>
      </c>
      <c r="L2195">
        <f>_xlfn.NUMBERVALUE("-0.000835")</f>
        <v/>
      </c>
      <c r="M2195">
        <f>_xlfn.NUMBERVALUE("0.000388")</f>
        <v/>
      </c>
      <c r="N2195">
        <f>_xlfn.NUMBERVALUE("-0.000204")</f>
        <v/>
      </c>
      <c r="O2195">
        <f>_xlfn.NUMBERVALUE("0.000093")</f>
        <v/>
      </c>
      <c r="P2195">
        <f>_xlfn.NUMBERVALUE("-0.000662")</f>
        <v/>
      </c>
      <c r="Q2195">
        <f>_xlfn.NUMBERVALUE("-0.000308")</f>
        <v/>
      </c>
      <c r="R2195">
        <f>_xlfn.NUMBERVALUE("0.000711")</f>
        <v/>
      </c>
      <c r="S2195">
        <f>_xlfn.NUMBERVALUE("0.000589")</f>
        <v/>
      </c>
      <c r="T2195">
        <f>_xlfn.NUMBERVALUE("0.001307")</f>
        <v/>
      </c>
      <c r="U2195">
        <f>_xlfn.NUMBERVALUE("0.000301")</f>
        <v/>
      </c>
      <c r="V2195">
        <f>_xlfn.NUMBERVALUE("0.000349")</f>
        <v/>
      </c>
      <c r="W2195">
        <f>_xlfn.NUMBERVALUE("-0.000496")</f>
        <v/>
      </c>
      <c r="X2195">
        <f>_xlfn.NUMBERVALUE("0.110000")</f>
        <v/>
      </c>
      <c r="Y2195">
        <f>_xlfn.NUMBERVALUE("14.110000")</f>
        <v/>
      </c>
    </row>
    <row r="2196">
      <c r="A2196" s="1" t="n">
        <v>45189</v>
      </c>
      <c r="B2196">
        <f>_xlfn.NUMBERVALUE("0.000367")</f>
        <v/>
      </c>
      <c r="C2196" s="2">
        <f>_xlfn.NUMBERVALUE("-0.000134")</f>
        <v/>
      </c>
      <c r="D2196">
        <f>_xlfn.NUMBERVALUE("-0.000672")</f>
        <v/>
      </c>
      <c r="E2196">
        <f>_xlfn.NUMBERVALUE("0.000895")</f>
        <v/>
      </c>
      <c r="F2196">
        <f>_xlfn.NUMBERVALUE("0.001078")</f>
        <v/>
      </c>
      <c r="G2196">
        <f>_xlfn.NUMBERVALUE("0.000500")</f>
        <v/>
      </c>
      <c r="H2196">
        <f>_xlfn.NUMBERVALUE("0.001276")</f>
        <v/>
      </c>
      <c r="I2196">
        <f>_xlfn.NUMBERVALUE("-0.001225")</f>
        <v/>
      </c>
      <c r="J2196">
        <f>_xlfn.NUMBERVALUE("0.000399")</f>
        <v/>
      </c>
      <c r="K2196">
        <f>_xlfn.NUMBERVALUE("0.003007")</f>
        <v/>
      </c>
      <c r="L2196">
        <f>_xlfn.NUMBERVALUE("0.001360")</f>
        <v/>
      </c>
      <c r="M2196">
        <f>_xlfn.NUMBERVALUE("-0.000690")</f>
        <v/>
      </c>
      <c r="N2196">
        <f>_xlfn.NUMBERVALUE("-0.000670")</f>
        <v/>
      </c>
      <c r="O2196">
        <f>_xlfn.NUMBERVALUE("0.000949")</f>
        <v/>
      </c>
      <c r="P2196">
        <f>_xlfn.NUMBERVALUE("0.000502")</f>
        <v/>
      </c>
      <c r="Q2196">
        <f>_xlfn.NUMBERVALUE("0.000065")</f>
        <v/>
      </c>
      <c r="R2196">
        <f>_xlfn.NUMBERVALUE("-0.001493")</f>
        <v/>
      </c>
      <c r="S2196">
        <f>_xlfn.NUMBERVALUE("-0.000452")</f>
        <v/>
      </c>
      <c r="T2196">
        <f>_xlfn.NUMBERVALUE("0.001073")</f>
        <v/>
      </c>
      <c r="U2196">
        <f>_xlfn.NUMBERVALUE("-0.000568")</f>
        <v/>
      </c>
      <c r="V2196">
        <f>_xlfn.NUMBERVALUE("-0.000550")</f>
        <v/>
      </c>
      <c r="W2196">
        <f>_xlfn.NUMBERVALUE("-0.008691")</f>
        <v/>
      </c>
      <c r="X2196">
        <f>_xlfn.NUMBERVALUE("1.030000")</f>
        <v/>
      </c>
      <c r="Y2196">
        <f>_xlfn.NUMBERVALUE("15.140000")</f>
        <v/>
      </c>
    </row>
    <row r="2197">
      <c r="A2197" s="1" t="n">
        <v>45190</v>
      </c>
      <c r="B2197">
        <f>_xlfn.NUMBERVALUE("-0.005077")</f>
        <v/>
      </c>
      <c r="C2197" s="2">
        <f>_xlfn.NUMBERVALUE("-0.001978")</f>
        <v/>
      </c>
      <c r="D2197">
        <f>_xlfn.NUMBERVALUE("-0.003650")</f>
        <v/>
      </c>
      <c r="E2197">
        <f>_xlfn.NUMBERVALUE("-0.002903")</f>
        <v/>
      </c>
      <c r="F2197">
        <f>_xlfn.NUMBERVALUE("-0.000538")</f>
        <v/>
      </c>
      <c r="G2197">
        <f>_xlfn.NUMBERVALUE("-0.001484")</f>
        <v/>
      </c>
      <c r="H2197">
        <f>_xlfn.NUMBERVALUE("-0.002416")</f>
        <v/>
      </c>
      <c r="I2197">
        <f>_xlfn.NUMBERVALUE("-0.001765")</f>
        <v/>
      </c>
      <c r="J2197">
        <f>_xlfn.NUMBERVALUE("-0.002929")</f>
        <v/>
      </c>
      <c r="K2197">
        <f>_xlfn.NUMBERVALUE("0.000045")</f>
        <v/>
      </c>
      <c r="L2197">
        <f>_xlfn.NUMBERVALUE("-0.009420")</f>
        <v/>
      </c>
      <c r="M2197">
        <f>_xlfn.NUMBERVALUE("-0.003986")</f>
        <v/>
      </c>
      <c r="N2197">
        <f>_xlfn.NUMBERVALUE("-0.002581")</f>
        <v/>
      </c>
      <c r="O2197">
        <f>_xlfn.NUMBERVALUE("-0.003380")</f>
        <v/>
      </c>
      <c r="P2197">
        <f>_xlfn.NUMBERVALUE("-0.003455")</f>
        <v/>
      </c>
      <c r="Q2197">
        <f>_xlfn.NUMBERVALUE("-0.004137")</f>
        <v/>
      </c>
      <c r="R2197">
        <f>_xlfn.NUMBERVALUE("-0.001842")</f>
        <v/>
      </c>
      <c r="S2197">
        <f>_xlfn.NUMBERVALUE("-0.001877")</f>
        <v/>
      </c>
      <c r="T2197">
        <f>_xlfn.NUMBERVALUE("-0.001676")</f>
        <v/>
      </c>
      <c r="U2197">
        <f>_xlfn.NUMBERVALUE("-0.005205")</f>
        <v/>
      </c>
      <c r="V2197">
        <f>_xlfn.NUMBERVALUE("-0.003095")</f>
        <v/>
      </c>
      <c r="W2197">
        <f>_xlfn.NUMBERVALUE("-0.015440")</f>
        <v/>
      </c>
      <c r="X2197">
        <f>_xlfn.NUMBERVALUE("2.400000")</f>
        <v/>
      </c>
      <c r="Y2197">
        <f>_xlfn.NUMBERVALUE("17.540000")</f>
        <v/>
      </c>
    </row>
    <row r="2198">
      <c r="A2198" s="1" t="n">
        <v>45191</v>
      </c>
      <c r="B2198">
        <f>_xlfn.NUMBERVALUE("-0.000038")</f>
        <v/>
      </c>
      <c r="C2198" s="2">
        <f>_xlfn.NUMBERVALUE("0.000665")</f>
        <v/>
      </c>
      <c r="D2198">
        <f>_xlfn.NUMBERVALUE("0.000488")</f>
        <v/>
      </c>
      <c r="E2198">
        <f>_xlfn.NUMBERVALUE("0.001244")</f>
        <v/>
      </c>
      <c r="F2198">
        <f>_xlfn.NUMBERVALUE("0.001009")</f>
        <v/>
      </c>
      <c r="G2198">
        <f>_xlfn.NUMBERVALUE("0.001028")</f>
        <v/>
      </c>
      <c r="H2198">
        <f>_xlfn.NUMBERVALUE("0.000935")</f>
        <v/>
      </c>
      <c r="I2198">
        <f>_xlfn.NUMBERVALUE("0.000192")</f>
        <v/>
      </c>
      <c r="J2198">
        <f>_xlfn.NUMBERVALUE("-0.000523")</f>
        <v/>
      </c>
      <c r="K2198">
        <f>_xlfn.NUMBERVALUE("0.002711")</f>
        <v/>
      </c>
      <c r="L2198">
        <f>_xlfn.NUMBERVALUE("0.001108")</f>
        <v/>
      </c>
      <c r="M2198">
        <f>_xlfn.NUMBERVALUE("0.000580")</f>
        <v/>
      </c>
      <c r="N2198">
        <f>_xlfn.NUMBERVALUE("0.001519")</f>
        <v/>
      </c>
      <c r="O2198">
        <f>_xlfn.NUMBERVALUE("0.001903")</f>
        <v/>
      </c>
      <c r="P2198">
        <f>_xlfn.NUMBERVALUE("0.000230")</f>
        <v/>
      </c>
      <c r="Q2198">
        <f>_xlfn.NUMBERVALUE("0.000410")</f>
        <v/>
      </c>
      <c r="R2198">
        <f>_xlfn.NUMBERVALUE("0.000857")</f>
        <v/>
      </c>
      <c r="S2198">
        <f>_xlfn.NUMBERVALUE("0.000287")</f>
        <v/>
      </c>
      <c r="T2198">
        <f>_xlfn.NUMBERVALUE("0.000502")</f>
        <v/>
      </c>
      <c r="U2198">
        <f>_xlfn.NUMBERVALUE("0.000072")</f>
        <v/>
      </c>
      <c r="V2198">
        <f>_xlfn.NUMBERVALUE("0.000195")</f>
        <v/>
      </c>
      <c r="W2198">
        <f>_xlfn.NUMBERVALUE("-0.002683")</f>
        <v/>
      </c>
      <c r="X2198">
        <f>_xlfn.NUMBERVALUE("-0.340000")</f>
        <v/>
      </c>
      <c r="Y2198">
        <f>_xlfn.NUMBERVALUE("17.200000")</f>
        <v/>
      </c>
    </row>
    <row r="2199">
      <c r="A2199" s="1" t="n">
        <v>45194</v>
      </c>
      <c r="B2199">
        <f>_xlfn.NUMBERVALUE("0.000627")</f>
        <v/>
      </c>
      <c r="C2199" s="2">
        <f>_xlfn.NUMBERVALUE("0.000649")</f>
        <v/>
      </c>
      <c r="D2199">
        <f>_xlfn.NUMBERVALUE("0.000167")</f>
        <v/>
      </c>
      <c r="E2199">
        <f>_xlfn.NUMBERVALUE("0.000457")</f>
        <v/>
      </c>
      <c r="F2199">
        <f>_xlfn.NUMBERVALUE("-0.000555")</f>
        <v/>
      </c>
      <c r="G2199">
        <f>_xlfn.NUMBERVALUE("0.000564")</f>
        <v/>
      </c>
      <c r="H2199">
        <f>_xlfn.NUMBERVALUE("-0.001811")</f>
        <v/>
      </c>
      <c r="I2199">
        <f>_xlfn.NUMBERVALUE("0.000393")</f>
        <v/>
      </c>
      <c r="J2199">
        <f>_xlfn.NUMBERVALUE("-0.002577")</f>
        <v/>
      </c>
      <c r="K2199">
        <f>_xlfn.NUMBERVALUE("-0.001207")</f>
        <v/>
      </c>
      <c r="L2199">
        <f>_xlfn.NUMBERVALUE("-0.004261")</f>
        <v/>
      </c>
      <c r="M2199">
        <f>_xlfn.NUMBERVALUE("0.000699")</f>
        <v/>
      </c>
      <c r="N2199">
        <f>_xlfn.NUMBERVALUE("0.001190")</f>
        <v/>
      </c>
      <c r="O2199">
        <f>_xlfn.NUMBERVALUE("0.000580")</f>
        <v/>
      </c>
      <c r="P2199">
        <f>_xlfn.NUMBERVALUE("0.000322")</f>
        <v/>
      </c>
      <c r="Q2199">
        <f>_xlfn.NUMBERVALUE("0.000379")</f>
        <v/>
      </c>
      <c r="R2199">
        <f>_xlfn.NUMBERVALUE("0.000070")</f>
        <v/>
      </c>
      <c r="S2199">
        <f>_xlfn.NUMBERVALUE("-0.001006")</f>
        <v/>
      </c>
      <c r="T2199">
        <f>_xlfn.NUMBERVALUE("0.001406")</f>
        <v/>
      </c>
      <c r="U2199">
        <f>_xlfn.NUMBERVALUE("0.000136")</f>
        <v/>
      </c>
      <c r="V2199">
        <f>_xlfn.NUMBERVALUE("0.000072")</f>
        <v/>
      </c>
      <c r="W2199">
        <f>_xlfn.NUMBERVALUE("0.000464")</f>
        <v/>
      </c>
      <c r="X2199">
        <f>_xlfn.NUMBERVALUE("-0.300000")</f>
        <v/>
      </c>
      <c r="Y2199">
        <f>_xlfn.NUMBERVALUE("16.900000")</f>
        <v/>
      </c>
    </row>
    <row r="2200">
      <c r="A2200" s="1" t="n">
        <v>45195</v>
      </c>
      <c r="B2200">
        <f>_xlfn.NUMBERVALUE("-0.000078")</f>
        <v/>
      </c>
      <c r="C2200" s="2">
        <f>_xlfn.NUMBERVALUE("-0.001607")</f>
        <v/>
      </c>
      <c r="D2200">
        <f>_xlfn.NUMBERVALUE("-0.001803")</f>
        <v/>
      </c>
      <c r="E2200">
        <f>_xlfn.NUMBERVALUE("-0.001867")</f>
        <v/>
      </c>
      <c r="F2200">
        <f>_xlfn.NUMBERVALUE("-0.002151")</f>
        <v/>
      </c>
      <c r="G2200">
        <f>_xlfn.NUMBERVALUE("-0.000565")</f>
        <v/>
      </c>
      <c r="H2200">
        <f>_xlfn.NUMBERVALUE("-0.000296")</f>
        <v/>
      </c>
      <c r="I2200">
        <f>_xlfn.NUMBERVALUE("0.002468")</f>
        <v/>
      </c>
      <c r="J2200">
        <f>_xlfn.NUMBERVALUE("-0.000288")</f>
        <v/>
      </c>
      <c r="K2200">
        <f>_xlfn.NUMBERVALUE("-0.002552")</f>
        <v/>
      </c>
      <c r="L2200">
        <f>_xlfn.NUMBERVALUE("-0.000167")</f>
        <v/>
      </c>
      <c r="M2200">
        <f>_xlfn.NUMBERVALUE("-0.001918")</f>
        <v/>
      </c>
      <c r="N2200">
        <f>_xlfn.NUMBERVALUE("-0.001729")</f>
        <v/>
      </c>
      <c r="O2200">
        <f>_xlfn.NUMBERVALUE("-0.001047")</f>
        <v/>
      </c>
      <c r="P2200">
        <f>_xlfn.NUMBERVALUE("-0.001816")</f>
        <v/>
      </c>
      <c r="Q2200">
        <f>_xlfn.NUMBERVALUE("-0.002050")</f>
        <v/>
      </c>
      <c r="R2200">
        <f>_xlfn.NUMBERVALUE("-0.001177")</f>
        <v/>
      </c>
      <c r="S2200">
        <f>_xlfn.NUMBERVALUE("-0.000642")</f>
        <v/>
      </c>
      <c r="T2200">
        <f>_xlfn.NUMBERVALUE("-0.011740")</f>
        <v/>
      </c>
      <c r="U2200">
        <f>_xlfn.NUMBERVALUE("-0.001024")</f>
        <v/>
      </c>
      <c r="V2200">
        <f>_xlfn.NUMBERVALUE("-0.000967")</f>
        <v/>
      </c>
      <c r="W2200">
        <f>_xlfn.NUMBERVALUE("-0.013190")</f>
        <v/>
      </c>
      <c r="X2200">
        <f>_xlfn.NUMBERVALUE("2.040000")</f>
        <v/>
      </c>
      <c r="Y2200">
        <f>_xlfn.NUMBERVALUE("18.940000")</f>
        <v/>
      </c>
    </row>
    <row r="2201">
      <c r="A2201" s="1" t="n">
        <v>45196</v>
      </c>
      <c r="B2201">
        <f>_xlfn.NUMBERVALUE("0.003169")</f>
        <v/>
      </c>
      <c r="C2201" s="2">
        <f>_xlfn.NUMBERVALUE("-0.000271")</f>
        <v/>
      </c>
      <c r="D2201">
        <f>_xlfn.NUMBERVALUE("0.000456")</f>
        <v/>
      </c>
      <c r="E2201">
        <f>_xlfn.NUMBERVALUE("-0.000389")</f>
        <v/>
      </c>
      <c r="F2201">
        <f>_xlfn.NUMBERVALUE("-0.003279")</f>
        <v/>
      </c>
      <c r="G2201">
        <f>_xlfn.NUMBERVALUE("-0.000176")</f>
        <v/>
      </c>
      <c r="H2201">
        <f>_xlfn.NUMBERVALUE("-0.000141")</f>
        <v/>
      </c>
      <c r="I2201">
        <f>_xlfn.NUMBERVALUE("0.000159")</f>
        <v/>
      </c>
      <c r="J2201">
        <f>_xlfn.NUMBERVALUE("-0.000699")</f>
        <v/>
      </c>
      <c r="K2201">
        <f>_xlfn.NUMBERVALUE("-0.002156")</f>
        <v/>
      </c>
      <c r="L2201">
        <f>_xlfn.NUMBERVALUE("-0.000168")</f>
        <v/>
      </c>
      <c r="M2201">
        <f>_xlfn.NUMBERVALUE("0.000191")</f>
        <v/>
      </c>
      <c r="N2201">
        <f>_xlfn.NUMBERVALUE("0.001947")</f>
        <v/>
      </c>
      <c r="O2201">
        <f>_xlfn.NUMBERVALUE("-0.006072")</f>
        <v/>
      </c>
      <c r="P2201">
        <f>_xlfn.NUMBERVALUE("0.000728")</f>
        <v/>
      </c>
      <c r="Q2201">
        <f>_xlfn.NUMBERVALUE("-0.000523")</f>
        <v/>
      </c>
      <c r="R2201">
        <f>_xlfn.NUMBERVALUE("0.000181")</f>
        <v/>
      </c>
      <c r="S2201">
        <f>_xlfn.NUMBERVALUE("-0.000440")</f>
        <v/>
      </c>
      <c r="T2201">
        <f>_xlfn.NUMBERVALUE("-0.002597")</f>
        <v/>
      </c>
      <c r="U2201">
        <f>_xlfn.NUMBERVALUE("-0.000434")</f>
        <v/>
      </c>
      <c r="V2201">
        <f>_xlfn.NUMBERVALUE("-0.000075")</f>
        <v/>
      </c>
      <c r="W2201">
        <f>_xlfn.NUMBERVALUE("-0.001480")</f>
        <v/>
      </c>
      <c r="X2201">
        <f>_xlfn.NUMBERVALUE("-0.720000")</f>
        <v/>
      </c>
      <c r="Y2201">
        <f>_xlfn.NUMBERVALUE("18.220000")</f>
        <v/>
      </c>
    </row>
    <row r="2202">
      <c r="A2202" s="1" t="n">
        <v>45197</v>
      </c>
      <c r="B2202">
        <f>_xlfn.NUMBERVALUE("0.000947")</f>
        <v/>
      </c>
      <c r="C2202" s="2">
        <f>_xlfn.NUMBERVALUE("0.000586")</f>
        <v/>
      </c>
      <c r="D2202">
        <f>_xlfn.NUMBERVALUE("0.000793")</f>
        <v/>
      </c>
      <c r="E2202">
        <f>_xlfn.NUMBERVALUE("0.001010")</f>
        <v/>
      </c>
      <c r="F2202">
        <f>_xlfn.NUMBERVALUE("-0.000385")</f>
        <v/>
      </c>
      <c r="G2202">
        <f>_xlfn.NUMBERVALUE("-0.000450")</f>
        <v/>
      </c>
      <c r="H2202">
        <f>_xlfn.NUMBERVALUE("0.000048")</f>
        <v/>
      </c>
      <c r="I2202">
        <f>_xlfn.NUMBERVALUE("-0.000017")</f>
        <v/>
      </c>
      <c r="J2202">
        <f>_xlfn.NUMBERVALUE("0.000227")</f>
        <v/>
      </c>
      <c r="K2202">
        <f>_xlfn.NUMBERVALUE("0.001333")</f>
        <v/>
      </c>
      <c r="L2202">
        <f>_xlfn.NUMBERVALUE("0.000070")</f>
        <v/>
      </c>
      <c r="M2202">
        <f>_xlfn.NUMBERVALUE("0.000297")</f>
        <v/>
      </c>
      <c r="N2202">
        <f>_xlfn.NUMBERVALUE("0.000087")</f>
        <v/>
      </c>
      <c r="O2202">
        <f>_xlfn.NUMBERVALUE("0.002057")</f>
        <v/>
      </c>
      <c r="P2202">
        <f>_xlfn.NUMBERVALUE("0.000614")</f>
        <v/>
      </c>
      <c r="Q2202">
        <f>_xlfn.NUMBERVALUE("0.001742")</f>
        <v/>
      </c>
      <c r="R2202">
        <f>_xlfn.NUMBERVALUE("0.000207")</f>
        <v/>
      </c>
      <c r="S2202">
        <f>_xlfn.NUMBERVALUE("0.000198")</f>
        <v/>
      </c>
      <c r="T2202">
        <f>_xlfn.NUMBERVALUE("-0.001698")</f>
        <v/>
      </c>
      <c r="U2202">
        <f>_xlfn.NUMBERVALUE("0.000270")</f>
        <v/>
      </c>
      <c r="V2202">
        <f>_xlfn.NUMBERVALUE("-0.000039")</f>
        <v/>
      </c>
      <c r="W2202">
        <f>_xlfn.NUMBERVALUE("0.007740")</f>
        <v/>
      </c>
      <c r="X2202">
        <f>_xlfn.NUMBERVALUE("-0.880000")</f>
        <v/>
      </c>
      <c r="Y2202">
        <f>_xlfn.NUMBERVALUE("17.340000")</f>
        <v/>
      </c>
    </row>
    <row r="2203">
      <c r="A2203" s="1" t="n">
        <v>45198</v>
      </c>
      <c r="B2203">
        <f>_xlfn.NUMBERVALUE("0.003900")</f>
        <v/>
      </c>
      <c r="C2203" s="2">
        <f>_xlfn.NUMBERVALUE("-0.000116")</f>
        <v/>
      </c>
      <c r="D2203">
        <f>_xlfn.NUMBERVALUE("-0.000061")</f>
        <v/>
      </c>
      <c r="E2203">
        <f>_xlfn.NUMBERVALUE("0.000574")</f>
        <v/>
      </c>
      <c r="F2203">
        <f>_xlfn.NUMBERVALUE("-0.000234")</f>
        <v/>
      </c>
      <c r="G2203">
        <f>_xlfn.NUMBERVALUE("-0.000380")</f>
        <v/>
      </c>
      <c r="H2203">
        <f>_xlfn.NUMBERVALUE("-0.000107")</f>
        <v/>
      </c>
      <c r="I2203">
        <f>_xlfn.NUMBERVALUE("-0.000129")</f>
        <v/>
      </c>
      <c r="J2203">
        <f>_xlfn.NUMBERVALUE("-0.001217")</f>
        <v/>
      </c>
      <c r="K2203">
        <f>_xlfn.NUMBERVALUE("-0.001600")</f>
        <v/>
      </c>
      <c r="L2203">
        <f>_xlfn.NUMBERVALUE("0.000144")</f>
        <v/>
      </c>
      <c r="M2203">
        <f>_xlfn.NUMBERVALUE("0.000119")</f>
        <v/>
      </c>
      <c r="N2203">
        <f>_xlfn.NUMBERVALUE("0.000885")</f>
        <v/>
      </c>
      <c r="O2203">
        <f>_xlfn.NUMBERVALUE("-0.000493")</f>
        <v/>
      </c>
      <c r="P2203">
        <f>_xlfn.NUMBERVALUE("-0.000306")</f>
        <v/>
      </c>
      <c r="Q2203">
        <f>_xlfn.NUMBERVALUE("-0.000239")</f>
        <v/>
      </c>
      <c r="R2203">
        <f>_xlfn.NUMBERVALUE("-0.000942")</f>
        <v/>
      </c>
      <c r="S2203">
        <f>_xlfn.NUMBERVALUE("-0.000192")</f>
        <v/>
      </c>
      <c r="T2203">
        <f>_xlfn.NUMBERVALUE("-0.000055")</f>
        <v/>
      </c>
      <c r="U2203">
        <f>_xlfn.NUMBERVALUE("0.000807")</f>
        <v/>
      </c>
      <c r="V2203">
        <f>_xlfn.NUMBERVALUE("-0.000182")</f>
        <v/>
      </c>
      <c r="W2203">
        <f>_xlfn.NUMBERVALUE("-0.002591")</f>
        <v/>
      </c>
      <c r="X2203">
        <f>_xlfn.NUMBERVALUE("0.180000")</f>
        <v/>
      </c>
      <c r="Y2203">
        <f>_xlfn.NUMBERVALUE("17.520000")</f>
        <v/>
      </c>
    </row>
    <row r="2204">
      <c r="A2204" s="1" t="n">
        <v>45201</v>
      </c>
      <c r="B2204">
        <f>_xlfn.NUMBERVALUE("0.000981")</f>
        <v/>
      </c>
      <c r="C2204" s="2">
        <f>_xlfn.NUMBERVALUE("-0.000291")</f>
        <v/>
      </c>
      <c r="D2204">
        <f>_xlfn.NUMBERVALUE("-0.000190")</f>
        <v/>
      </c>
      <c r="E2204">
        <f>_xlfn.NUMBERVALUE("-0.001277")</f>
        <v/>
      </c>
      <c r="F2204">
        <f>_xlfn.NUMBERVALUE("-0.000530")</f>
        <v/>
      </c>
      <c r="G2204">
        <f>_xlfn.NUMBERVALUE("0.002830")</f>
        <v/>
      </c>
      <c r="H2204">
        <f>_xlfn.NUMBERVALUE("0.001096")</f>
        <v/>
      </c>
      <c r="I2204">
        <f>_xlfn.NUMBERVALUE("-0.000544")</f>
        <v/>
      </c>
      <c r="J2204">
        <f>_xlfn.NUMBERVALUE("0.002144")</f>
        <v/>
      </c>
      <c r="K2204">
        <f>_xlfn.NUMBERVALUE("-0.005280")</f>
        <v/>
      </c>
      <c r="L2204">
        <f>_xlfn.NUMBERVALUE("0.000499")</f>
        <v/>
      </c>
      <c r="M2204">
        <f>_xlfn.NUMBERVALUE("-0.001178")</f>
        <v/>
      </c>
      <c r="N2204">
        <f>_xlfn.NUMBERVALUE("0.000414")</f>
        <v/>
      </c>
      <c r="O2204">
        <f>_xlfn.NUMBERVALUE("-0.002753")</f>
        <v/>
      </c>
      <c r="P2204">
        <f>_xlfn.NUMBERVALUE("-0.001034")</f>
        <v/>
      </c>
      <c r="Q2204">
        <f>_xlfn.NUMBERVALUE("-0.000693")</f>
        <v/>
      </c>
      <c r="R2204">
        <f>_xlfn.NUMBERVALUE("0.000859")</f>
        <v/>
      </c>
      <c r="S2204">
        <f>_xlfn.NUMBERVALUE("-0.000523")</f>
        <v/>
      </c>
      <c r="T2204">
        <f>_xlfn.NUMBERVALUE("-0.002328")</f>
        <v/>
      </c>
      <c r="U2204">
        <f>_xlfn.NUMBERVALUE("-0.000463")</f>
        <v/>
      </c>
      <c r="V2204">
        <f>_xlfn.NUMBERVALUE("-0.000275")</f>
        <v/>
      </c>
      <c r="W2204">
        <f>_xlfn.NUMBERVALUE("-0.002341")</f>
        <v/>
      </c>
      <c r="X2204">
        <f>_xlfn.NUMBERVALUE("0.090000")</f>
        <v/>
      </c>
      <c r="Y2204">
        <f>_xlfn.NUMBERVALUE("17.610000")</f>
        <v/>
      </c>
    </row>
    <row r="2205">
      <c r="A2205" s="1" t="n">
        <v>45202</v>
      </c>
      <c r="B2205">
        <f>_xlfn.NUMBERVALUE("-0.004998")</f>
        <v/>
      </c>
      <c r="C2205" s="2">
        <f>_xlfn.NUMBERVALUE("-0.000588")</f>
        <v/>
      </c>
      <c r="D2205">
        <f>_xlfn.NUMBERVALUE("0.000025")</f>
        <v/>
      </c>
      <c r="E2205">
        <f>_xlfn.NUMBERVALUE("-0.000645")</f>
        <v/>
      </c>
      <c r="F2205">
        <f>_xlfn.NUMBERVALUE("-0.000117")</f>
        <v/>
      </c>
      <c r="G2205">
        <f>_xlfn.NUMBERVALUE("0.000185")</f>
        <v/>
      </c>
      <c r="H2205">
        <f>_xlfn.NUMBERVALUE("-0.000038")</f>
        <v/>
      </c>
      <c r="I2205">
        <f>_xlfn.NUMBERVALUE("-0.000128")</f>
        <v/>
      </c>
      <c r="J2205">
        <f>_xlfn.NUMBERVALUE("-0.000216")</f>
        <v/>
      </c>
      <c r="K2205">
        <f>_xlfn.NUMBERVALUE("0.000079")</f>
        <v/>
      </c>
      <c r="L2205">
        <f>_xlfn.NUMBERVALUE("-0.000774")</f>
        <v/>
      </c>
      <c r="M2205">
        <f>_xlfn.NUMBERVALUE("-0.000126")</f>
        <v/>
      </c>
      <c r="N2205">
        <f>_xlfn.NUMBERVALUE("-0.002918")</f>
        <v/>
      </c>
      <c r="O2205">
        <f>_xlfn.NUMBERVALUE("0.000016")</f>
        <v/>
      </c>
      <c r="P2205">
        <f>_xlfn.NUMBERVALUE("-0.001090")</f>
        <v/>
      </c>
      <c r="Q2205">
        <f>_xlfn.NUMBERVALUE("-0.001326")</f>
        <v/>
      </c>
      <c r="R2205">
        <f>_xlfn.NUMBERVALUE("-0.000842")</f>
        <v/>
      </c>
      <c r="S2205">
        <f>_xlfn.NUMBERVALUE("-0.000014")</f>
        <v/>
      </c>
      <c r="T2205">
        <f>_xlfn.NUMBERVALUE("-0.000662")</f>
        <v/>
      </c>
      <c r="U2205">
        <f>_xlfn.NUMBERVALUE("-0.000906")</f>
        <v/>
      </c>
      <c r="V2205">
        <f>_xlfn.NUMBERVALUE("-0.000214")</f>
        <v/>
      </c>
      <c r="W2205">
        <f>_xlfn.NUMBERVALUE("-0.012129")</f>
        <v/>
      </c>
      <c r="X2205">
        <f>_xlfn.NUMBERVALUE("2.170000")</f>
        <v/>
      </c>
      <c r="Y2205">
        <f>_xlfn.NUMBERVALUE("19.780000")</f>
        <v/>
      </c>
    </row>
    <row r="2206">
      <c r="A2206" s="1" t="n">
        <v>45203</v>
      </c>
      <c r="B2206">
        <f>_xlfn.NUMBERVALUE("0.004055")</f>
        <v/>
      </c>
      <c r="C2206" s="2">
        <f>_xlfn.NUMBERVALUE("-0.000415")</f>
        <v/>
      </c>
      <c r="D2206">
        <f>_xlfn.NUMBERVALUE("-0.000079")</f>
        <v/>
      </c>
      <c r="E2206">
        <f>_xlfn.NUMBERVALUE("0.000448")</f>
        <v/>
      </c>
      <c r="F2206">
        <f>_xlfn.NUMBERVALUE("-0.000751")</f>
        <v/>
      </c>
      <c r="G2206">
        <f>_xlfn.NUMBERVALUE("-0.000142")</f>
        <v/>
      </c>
      <c r="H2206">
        <f>_xlfn.NUMBERVALUE("-0.000112")</f>
        <v/>
      </c>
      <c r="I2206">
        <f>_xlfn.NUMBERVALUE("-0.000087")</f>
        <v/>
      </c>
      <c r="J2206">
        <f>_xlfn.NUMBERVALUE("-0.000158")</f>
        <v/>
      </c>
      <c r="K2206">
        <f>_xlfn.NUMBERVALUE("0.000132")</f>
        <v/>
      </c>
      <c r="L2206">
        <f>_xlfn.NUMBERVALUE("0.001024")</f>
        <v/>
      </c>
      <c r="M2206">
        <f>_xlfn.NUMBERVALUE("0.000049")</f>
        <v/>
      </c>
      <c r="N2206">
        <f>_xlfn.NUMBERVALUE("0.001791")</f>
        <v/>
      </c>
      <c r="O2206">
        <f>_xlfn.NUMBERVALUE("-0.008408")</f>
        <v/>
      </c>
      <c r="P2206">
        <f>_xlfn.NUMBERVALUE("0.000218")</f>
        <v/>
      </c>
      <c r="Q2206">
        <f>_xlfn.NUMBERVALUE("0.001348")</f>
        <v/>
      </c>
      <c r="R2206">
        <f>_xlfn.NUMBERVALUE("-0.000107")</f>
        <v/>
      </c>
      <c r="S2206">
        <f>_xlfn.NUMBERVALUE("0.000018")</f>
        <v/>
      </c>
      <c r="T2206">
        <f>_xlfn.NUMBERVALUE("-0.000299")</f>
        <v/>
      </c>
      <c r="U2206">
        <f>_xlfn.NUMBERVALUE("-0.000162")</f>
        <v/>
      </c>
      <c r="V2206">
        <f>_xlfn.NUMBERVALUE("-0.000139")</f>
        <v/>
      </c>
      <c r="W2206">
        <f>_xlfn.NUMBERVALUE("0.009143")</f>
        <v/>
      </c>
      <c r="X2206">
        <f>_xlfn.NUMBERVALUE("-1.200000")</f>
        <v/>
      </c>
      <c r="Y2206">
        <f>_xlfn.NUMBERVALUE("18.580000")</f>
        <v/>
      </c>
    </row>
    <row r="2207">
      <c r="A2207" s="1" t="n">
        <v>45204</v>
      </c>
      <c r="B2207">
        <f>_xlfn.NUMBERVALUE("0.001246")</f>
        <v/>
      </c>
      <c r="C2207" s="2">
        <f>_xlfn.NUMBERVALUE("0.000442")</f>
        <v/>
      </c>
      <c r="D2207">
        <f>_xlfn.NUMBERVALUE("0.000018")</f>
        <v/>
      </c>
      <c r="E2207">
        <f>_xlfn.NUMBERVALUE("-0.000034")</f>
        <v/>
      </c>
      <c r="F2207">
        <f>_xlfn.NUMBERVALUE("0.000433")</f>
        <v/>
      </c>
      <c r="G2207">
        <f>_xlfn.NUMBERVALUE("-0.000150")</f>
        <v/>
      </c>
      <c r="H2207">
        <f>_xlfn.NUMBERVALUE("-0.000012")</f>
        <v/>
      </c>
      <c r="I2207">
        <f>_xlfn.NUMBERVALUE("-0.000156")</f>
        <v/>
      </c>
      <c r="J2207">
        <f>_xlfn.NUMBERVALUE("-0.000066")</f>
        <v/>
      </c>
      <c r="K2207">
        <f>_xlfn.NUMBERVALUE("-0.000101")</f>
        <v/>
      </c>
      <c r="L2207">
        <f>_xlfn.NUMBERVALUE("0.000247")</f>
        <v/>
      </c>
      <c r="M2207">
        <f>_xlfn.NUMBERVALUE("-0.000511")</f>
        <v/>
      </c>
      <c r="N2207">
        <f>_xlfn.NUMBERVALUE("0.000277")</f>
        <v/>
      </c>
      <c r="O2207">
        <f>_xlfn.NUMBERVALUE("0.000503")</f>
        <v/>
      </c>
      <c r="P2207">
        <f>_xlfn.NUMBERVALUE("0.000417")</f>
        <v/>
      </c>
      <c r="Q2207">
        <f>_xlfn.NUMBERVALUE("-0.000922")</f>
        <v/>
      </c>
      <c r="R2207">
        <f>_xlfn.NUMBERVALUE("0.000714")</f>
        <v/>
      </c>
      <c r="S2207">
        <f>_xlfn.NUMBERVALUE("-0.000842")</f>
        <v/>
      </c>
      <c r="T2207">
        <f>_xlfn.NUMBERVALUE("0.000572")</f>
        <v/>
      </c>
      <c r="U2207">
        <f>_xlfn.NUMBERVALUE("-0.000067")</f>
        <v/>
      </c>
      <c r="V2207">
        <f>_xlfn.NUMBERVALUE("-0.000068")</f>
        <v/>
      </c>
      <c r="W2207">
        <f>_xlfn.NUMBERVALUE("-0.000012")</f>
        <v/>
      </c>
      <c r="X2207">
        <f>_xlfn.NUMBERVALUE("-0.090000")</f>
        <v/>
      </c>
      <c r="Y2207">
        <f>_xlfn.NUMBERVALUE("18.490000")</f>
        <v/>
      </c>
    </row>
    <row r="2208">
      <c r="A2208" s="1" t="n">
        <v>45205</v>
      </c>
      <c r="B2208">
        <f>_xlfn.NUMBERVALUE("0.004070")</f>
        <v/>
      </c>
      <c r="C2208" s="2">
        <f>_xlfn.NUMBERVALUE("0.000064")</f>
        <v/>
      </c>
      <c r="D2208">
        <f>_xlfn.NUMBERVALUE("0.000244")</f>
        <v/>
      </c>
      <c r="E2208">
        <f>_xlfn.NUMBERVALUE("-0.000617")</f>
        <v/>
      </c>
      <c r="F2208">
        <f>_xlfn.NUMBERVALUE("0.001110")</f>
        <v/>
      </c>
      <c r="G2208">
        <f>_xlfn.NUMBERVALUE("-0.000845")</f>
        <v/>
      </c>
      <c r="H2208">
        <f>_xlfn.NUMBERVALUE("-0.000168")</f>
        <v/>
      </c>
      <c r="I2208">
        <f>_xlfn.NUMBERVALUE("0.001650")</f>
        <v/>
      </c>
      <c r="J2208">
        <f>_xlfn.NUMBERVALUE("0.001353")</f>
        <v/>
      </c>
      <c r="K2208">
        <f>_xlfn.NUMBERVALUE("-0.000264")</f>
        <v/>
      </c>
      <c r="L2208">
        <f>_xlfn.NUMBERVALUE("-0.000119")</f>
        <v/>
      </c>
      <c r="M2208">
        <f>_xlfn.NUMBERVALUE("0.000487")</f>
        <v/>
      </c>
      <c r="N2208">
        <f>_xlfn.NUMBERVALUE("-0.000404")</f>
        <v/>
      </c>
      <c r="O2208">
        <f>_xlfn.NUMBERVALUE("0.001130")</f>
        <v/>
      </c>
      <c r="P2208">
        <f>_xlfn.NUMBERVALUE("0.000255")</f>
        <v/>
      </c>
      <c r="Q2208">
        <f>_xlfn.NUMBERVALUE("0.000825")</f>
        <v/>
      </c>
      <c r="R2208">
        <f>_xlfn.NUMBERVALUE("0.000400")</f>
        <v/>
      </c>
      <c r="S2208">
        <f>_xlfn.NUMBERVALUE("0.000376")</f>
        <v/>
      </c>
      <c r="T2208">
        <f>_xlfn.NUMBERVALUE("0.000100")</f>
        <v/>
      </c>
      <c r="U2208">
        <f>_xlfn.NUMBERVALUE("0.000367")</f>
        <v/>
      </c>
      <c r="V2208">
        <f>_xlfn.NUMBERVALUE("-0.000663")</f>
        <v/>
      </c>
      <c r="W2208">
        <f>_xlfn.NUMBERVALUE("0.012991")</f>
        <v/>
      </c>
      <c r="X2208">
        <f>_xlfn.NUMBERVALUE("-1.040000")</f>
        <v/>
      </c>
      <c r="Y2208">
        <f>_xlfn.NUMBERVALUE("17.450000")</f>
        <v/>
      </c>
    </row>
    <row r="2209">
      <c r="A2209" s="1" t="n">
        <v>45208</v>
      </c>
      <c r="B2209">
        <f>_xlfn.NUMBERVALUE("0.003809")</f>
        <v/>
      </c>
      <c r="C2209" s="2">
        <f>_xlfn.NUMBERVALUE("0.000875")</f>
        <v/>
      </c>
      <c r="D2209">
        <f>_xlfn.NUMBERVALUE("-0.000155")</f>
        <v/>
      </c>
      <c r="E2209">
        <f>_xlfn.NUMBERVALUE("0.000703")</f>
        <v/>
      </c>
      <c r="F2209">
        <f>_xlfn.NUMBERVALUE("-0.004859")</f>
        <v/>
      </c>
      <c r="G2209">
        <f>_xlfn.NUMBERVALUE("0.000634")</f>
        <v/>
      </c>
      <c r="H2209">
        <f>_xlfn.NUMBERVALUE("-0.001895")</f>
        <v/>
      </c>
      <c r="I2209">
        <f>_xlfn.NUMBERVALUE("0.000874")</f>
        <v/>
      </c>
      <c r="J2209">
        <f>_xlfn.NUMBERVALUE("-0.001342")</f>
        <v/>
      </c>
      <c r="K2209">
        <f>_xlfn.NUMBERVALUE("-0.001025")</f>
        <v/>
      </c>
      <c r="L2209">
        <f>_xlfn.NUMBERVALUE("-0.001318")</f>
        <v/>
      </c>
      <c r="M2209">
        <f>_xlfn.NUMBERVALUE("-0.000794")</f>
        <v/>
      </c>
      <c r="N2209">
        <f>_xlfn.NUMBERVALUE("0.000210")</f>
        <v/>
      </c>
      <c r="O2209">
        <f>_xlfn.NUMBERVALUE("0.000740")</f>
        <v/>
      </c>
      <c r="P2209">
        <f>_xlfn.NUMBERVALUE("-0.000244")</f>
        <v/>
      </c>
      <c r="Q2209">
        <f>_xlfn.NUMBERVALUE("-0.000308")</f>
        <v/>
      </c>
      <c r="R2209">
        <f>_xlfn.NUMBERVALUE("0.000354")</f>
        <v/>
      </c>
      <c r="S2209">
        <f>_xlfn.NUMBERVALUE("-0.000239")</f>
        <v/>
      </c>
      <c r="T2209">
        <f>_xlfn.NUMBERVALUE("-0.000143")</f>
        <v/>
      </c>
      <c r="U2209">
        <f>_xlfn.NUMBERVALUE("-0.000432")</f>
        <v/>
      </c>
      <c r="V2209">
        <f>_xlfn.NUMBERVALUE("0.000834")</f>
        <v/>
      </c>
      <c r="W2209">
        <f>_xlfn.NUMBERVALUE("0.002858")</f>
        <v/>
      </c>
      <c r="X2209">
        <f>_xlfn.NUMBERVALUE("0.250000")</f>
        <v/>
      </c>
      <c r="Y2209">
        <f>_xlfn.NUMBERVALUE("17.700000")</f>
        <v/>
      </c>
    </row>
    <row r="2210">
      <c r="A2210" s="1" t="n">
        <v>45209</v>
      </c>
      <c r="B2210">
        <f>_xlfn.NUMBERVALUE("0.000852")</f>
        <v/>
      </c>
      <c r="C2210" s="2">
        <f>_xlfn.NUMBERVALUE("0.000847")</f>
        <v/>
      </c>
      <c r="D2210">
        <f>_xlfn.NUMBERVALUE("-0.001528")</f>
        <v/>
      </c>
      <c r="E2210">
        <f>_xlfn.NUMBERVALUE("-0.001454")</f>
        <v/>
      </c>
      <c r="F2210">
        <f>_xlfn.NUMBERVALUE("0.001494")</f>
        <v/>
      </c>
      <c r="G2210">
        <f>_xlfn.NUMBERVALUE("0.000828")</f>
        <v/>
      </c>
      <c r="H2210">
        <f>_xlfn.NUMBERVALUE("0.001422")</f>
        <v/>
      </c>
      <c r="I2210">
        <f>_xlfn.NUMBERVALUE("-0.000195")</f>
        <v/>
      </c>
      <c r="J2210">
        <f>_xlfn.NUMBERVALUE("0.000537")</f>
        <v/>
      </c>
      <c r="K2210">
        <f>_xlfn.NUMBERVALUE("0.004688")</f>
        <v/>
      </c>
      <c r="L2210">
        <f>_xlfn.NUMBERVALUE("0.002890")</f>
        <v/>
      </c>
      <c r="M2210">
        <f>_xlfn.NUMBERVALUE("0.000356")</f>
        <v/>
      </c>
      <c r="N2210">
        <f>_xlfn.NUMBERVALUE("0.000874")</f>
        <v/>
      </c>
      <c r="O2210">
        <f>_xlfn.NUMBERVALUE("0.001495")</f>
        <v/>
      </c>
      <c r="P2210">
        <f>_xlfn.NUMBERVALUE("-0.000057")</f>
        <v/>
      </c>
      <c r="Q2210">
        <f>_xlfn.NUMBERVALUE("-0.000123")</f>
        <v/>
      </c>
      <c r="R2210">
        <f>_xlfn.NUMBERVALUE("-0.000122")</f>
        <v/>
      </c>
      <c r="S2210">
        <f>_xlfn.NUMBERVALUE("-0.000129")</f>
        <v/>
      </c>
      <c r="T2210">
        <f>_xlfn.NUMBERVALUE("-0.000125")</f>
        <v/>
      </c>
      <c r="U2210">
        <f>_xlfn.NUMBERVALUE("-0.000163")</f>
        <v/>
      </c>
      <c r="V2210">
        <f>_xlfn.NUMBERVALUE("0.000975")</f>
        <v/>
      </c>
      <c r="W2210">
        <f>_xlfn.NUMBERVALUE("0.007436")</f>
        <v/>
      </c>
      <c r="X2210">
        <f>_xlfn.NUMBERVALUE("-0.670000")</f>
        <v/>
      </c>
      <c r="Y2210">
        <f>_xlfn.NUMBERVALUE("17.030000")</f>
        <v/>
      </c>
    </row>
    <row r="2211">
      <c r="A2211" s="1" t="n">
        <v>45210</v>
      </c>
      <c r="B2211">
        <f>_xlfn.NUMBERVALUE("0.000760")</f>
        <v/>
      </c>
      <c r="C2211" s="2">
        <f>_xlfn.NUMBERVALUE("0.001359")</f>
        <v/>
      </c>
      <c r="D2211">
        <f>_xlfn.NUMBERVALUE("0.000633")</f>
        <v/>
      </c>
      <c r="E2211">
        <f>_xlfn.NUMBERVALUE("0.000470")</f>
        <v/>
      </c>
      <c r="F2211">
        <f>_xlfn.NUMBERVALUE("-0.000254")</f>
        <v/>
      </c>
      <c r="G2211">
        <f>_xlfn.NUMBERVALUE("0.000719")</f>
        <v/>
      </c>
      <c r="H2211">
        <f>_xlfn.NUMBERVALUE("0.001237")</f>
        <v/>
      </c>
      <c r="I2211">
        <f>_xlfn.NUMBERVALUE("0.001526")</f>
        <v/>
      </c>
      <c r="J2211">
        <f>_xlfn.NUMBERVALUE("0.001300")</f>
        <v/>
      </c>
      <c r="K2211">
        <f>_xlfn.NUMBERVALUE("0.000818")</f>
        <v/>
      </c>
      <c r="L2211">
        <f>_xlfn.NUMBERVALUE("-0.001351")</f>
        <v/>
      </c>
      <c r="M2211">
        <f>_xlfn.NUMBERVALUE("0.001856")</f>
        <v/>
      </c>
      <c r="N2211">
        <f>_xlfn.NUMBERVALUE("0.000431")</f>
        <v/>
      </c>
      <c r="O2211">
        <f>_xlfn.NUMBERVALUE("0.001176")</f>
        <v/>
      </c>
      <c r="P2211">
        <f>_xlfn.NUMBERVALUE("0.000871")</f>
        <v/>
      </c>
      <c r="Q2211">
        <f>_xlfn.NUMBERVALUE("0.000550")</f>
        <v/>
      </c>
      <c r="R2211">
        <f>_xlfn.NUMBERVALUE("0.001216")</f>
        <v/>
      </c>
      <c r="S2211">
        <f>_xlfn.NUMBERVALUE("0.000444")</f>
        <v/>
      </c>
      <c r="T2211">
        <f>_xlfn.NUMBERVALUE("0.000343")</f>
        <v/>
      </c>
      <c r="U2211">
        <f>_xlfn.NUMBERVALUE("0.001378")</f>
        <v/>
      </c>
      <c r="V2211">
        <f>_xlfn.NUMBERVALUE("0.001023")</f>
        <v/>
      </c>
      <c r="W2211">
        <f>_xlfn.NUMBERVALUE("0.002920")</f>
        <v/>
      </c>
      <c r="X2211">
        <f>_xlfn.NUMBERVALUE("-0.940000")</f>
        <v/>
      </c>
      <c r="Y2211">
        <f>_xlfn.NUMBERVALUE("16.090000")</f>
        <v/>
      </c>
    </row>
    <row r="2212">
      <c r="A2212" s="1" t="n">
        <v>45211</v>
      </c>
      <c r="B2212">
        <f>_xlfn.NUMBERVALUE("-0.002489")</f>
        <v/>
      </c>
      <c r="C2212" s="2">
        <f>_xlfn.NUMBERVALUE("0.000858")</f>
        <v/>
      </c>
      <c r="D2212">
        <f>_xlfn.NUMBERVALUE("0.001495")</f>
        <v/>
      </c>
      <c r="E2212">
        <f>_xlfn.NUMBERVALUE("0.001313")</f>
        <v/>
      </c>
      <c r="F2212">
        <f>_xlfn.NUMBERVALUE("0.000719")</f>
        <v/>
      </c>
      <c r="G2212">
        <f>_xlfn.NUMBERVALUE("0.000645")</f>
        <v/>
      </c>
      <c r="H2212">
        <f>_xlfn.NUMBERVALUE("-0.000513")</f>
        <v/>
      </c>
      <c r="I2212">
        <f>_xlfn.NUMBERVALUE("-0.001450")</f>
        <v/>
      </c>
      <c r="J2212">
        <f>_xlfn.NUMBERVALUE("-0.000296")</f>
        <v/>
      </c>
      <c r="K2212">
        <f>_xlfn.NUMBERVALUE("0.001554")</f>
        <v/>
      </c>
      <c r="L2212">
        <f>_xlfn.NUMBERVALUE("-0.002307")</f>
        <v/>
      </c>
      <c r="M2212">
        <f>_xlfn.NUMBERVALUE("0.000128")</f>
        <v/>
      </c>
      <c r="N2212">
        <f>_xlfn.NUMBERVALUE("0.003523")</f>
        <v/>
      </c>
      <c r="O2212">
        <f>_xlfn.NUMBERVALUE("0.002036")</f>
        <v/>
      </c>
      <c r="P2212">
        <f>_xlfn.NUMBERVALUE("0.001463")</f>
        <v/>
      </c>
      <c r="Q2212">
        <f>_xlfn.NUMBERVALUE("0.000109")</f>
        <v/>
      </c>
      <c r="R2212">
        <f>_xlfn.NUMBERVALUE("0.000346")</f>
        <v/>
      </c>
      <c r="S2212">
        <f>_xlfn.NUMBERVALUE("-0.000203")</f>
        <v/>
      </c>
      <c r="T2212">
        <f>_xlfn.NUMBERVALUE("-0.000689")</f>
        <v/>
      </c>
      <c r="U2212">
        <f>_xlfn.NUMBERVALUE("0.001022")</f>
        <v/>
      </c>
      <c r="V2212">
        <f>_xlfn.NUMBERVALUE("0.000458")</f>
        <v/>
      </c>
      <c r="W2212">
        <f>_xlfn.NUMBERVALUE("-0.005480")</f>
        <v/>
      </c>
      <c r="X2212">
        <f>_xlfn.NUMBERVALUE("0.600000")</f>
        <v/>
      </c>
      <c r="Y2212">
        <f>_xlfn.NUMBERVALUE("16.690000")</f>
        <v/>
      </c>
    </row>
    <row r="2213">
      <c r="A2213" s="1" t="n">
        <v>45212</v>
      </c>
      <c r="B2213">
        <f>_xlfn.NUMBERVALUE("-0.001921")</f>
        <v/>
      </c>
      <c r="C2213" s="2">
        <f>_xlfn.NUMBERVALUE("-0.003223")</f>
        <v/>
      </c>
      <c r="D2213">
        <f>_xlfn.NUMBERVALUE("-0.001448")</f>
        <v/>
      </c>
      <c r="E2213">
        <f>_xlfn.NUMBERVALUE("-0.001675")</f>
        <v/>
      </c>
      <c r="F2213">
        <f>_xlfn.NUMBERVALUE("-0.009050")</f>
        <v/>
      </c>
      <c r="G2213">
        <f>_xlfn.NUMBERVALUE("-0.000126")</f>
        <v/>
      </c>
      <c r="H2213">
        <f>_xlfn.NUMBERVALUE("-0.001170")</f>
        <v/>
      </c>
      <c r="I2213">
        <f>_xlfn.NUMBERVALUE("-0.002674")</f>
        <v/>
      </c>
      <c r="J2213">
        <f>_xlfn.NUMBERVALUE("0.000099")</f>
        <v/>
      </c>
      <c r="K2213">
        <f>_xlfn.NUMBERVALUE("-0.011113")</f>
        <v/>
      </c>
      <c r="L2213">
        <f>_xlfn.NUMBERVALUE("-0.002754")</f>
        <v/>
      </c>
      <c r="M2213">
        <f>_xlfn.NUMBERVALUE("-0.001829")</f>
        <v/>
      </c>
      <c r="N2213">
        <f>_xlfn.NUMBERVALUE("-0.003982")</f>
        <v/>
      </c>
      <c r="O2213">
        <f>_xlfn.NUMBERVALUE("-0.007077")</f>
        <v/>
      </c>
      <c r="P2213">
        <f>_xlfn.NUMBERVALUE("-0.002442")</f>
        <v/>
      </c>
      <c r="Q2213">
        <f>_xlfn.NUMBERVALUE("-0.002635")</f>
        <v/>
      </c>
      <c r="R2213">
        <f>_xlfn.NUMBERVALUE("-0.003080")</f>
        <v/>
      </c>
      <c r="S2213">
        <f>_xlfn.NUMBERVALUE("-0.002523")</f>
        <v/>
      </c>
      <c r="T2213">
        <f>_xlfn.NUMBERVALUE("-0.003151")</f>
        <v/>
      </c>
      <c r="U2213">
        <f>_xlfn.NUMBERVALUE("-0.002781")</f>
        <v/>
      </c>
      <c r="V2213">
        <f>_xlfn.NUMBERVALUE("-0.002462")</f>
        <v/>
      </c>
      <c r="W2213">
        <f>_xlfn.NUMBERVALUE("-0.007078")</f>
        <v/>
      </c>
      <c r="X2213">
        <f>_xlfn.NUMBERVALUE("2.630000")</f>
        <v/>
      </c>
      <c r="Y2213">
        <f>_xlfn.NUMBERVALUE("19.320000")</f>
        <v/>
      </c>
    </row>
    <row r="2214">
      <c r="A2214" s="1" t="n">
        <v>45215</v>
      </c>
      <c r="B2214">
        <f>_xlfn.NUMBERVALUE("0.005455")</f>
        <v/>
      </c>
      <c r="C2214" s="2">
        <f>_xlfn.NUMBERVALUE("0.000593")</f>
        <v/>
      </c>
      <c r="D2214">
        <f>_xlfn.NUMBERVALUE("0.002909")</f>
        <v/>
      </c>
      <c r="E2214">
        <f>_xlfn.NUMBERVALUE("0.001676")</f>
        <v/>
      </c>
      <c r="F2214">
        <f>_xlfn.NUMBERVALUE("0.002658")</f>
        <v/>
      </c>
      <c r="G2214">
        <f>_xlfn.NUMBERVALUE("0.002052")</f>
        <v/>
      </c>
      <c r="H2214">
        <f>_xlfn.NUMBERVALUE("0.001036")</f>
        <v/>
      </c>
      <c r="I2214">
        <f>_xlfn.NUMBERVALUE("0.001436")</f>
        <v/>
      </c>
      <c r="J2214">
        <f>_xlfn.NUMBERVALUE("0.000364")</f>
        <v/>
      </c>
      <c r="K2214">
        <f>_xlfn.NUMBERVALUE("0.004951")</f>
        <v/>
      </c>
      <c r="L2214">
        <f>_xlfn.NUMBERVALUE("0.001675")</f>
        <v/>
      </c>
      <c r="M2214">
        <f>_xlfn.NUMBERVALUE("0.002402")</f>
        <v/>
      </c>
      <c r="N2214">
        <f>_xlfn.NUMBERVALUE("0.001080")</f>
        <v/>
      </c>
      <c r="O2214">
        <f>_xlfn.NUMBERVALUE("0.005874")</f>
        <v/>
      </c>
      <c r="P2214">
        <f>_xlfn.NUMBERVALUE("0.003503")</f>
        <v/>
      </c>
      <c r="Q2214">
        <f>_xlfn.NUMBERVALUE("0.002783")</f>
        <v/>
      </c>
      <c r="R2214">
        <f>_xlfn.NUMBERVALUE("0.002661")</f>
        <v/>
      </c>
      <c r="S2214">
        <f>_xlfn.NUMBERVALUE("0.000006")</f>
        <v/>
      </c>
      <c r="T2214">
        <f>_xlfn.NUMBERVALUE("0.000915")</f>
        <v/>
      </c>
      <c r="U2214">
        <f>_xlfn.NUMBERVALUE("0.001595")</f>
        <v/>
      </c>
      <c r="V2214">
        <f>_xlfn.NUMBERVALUE("0.001393")</f>
        <v/>
      </c>
      <c r="W2214">
        <f>_xlfn.NUMBERVALUE("0.012933")</f>
        <v/>
      </c>
      <c r="X2214">
        <f>_xlfn.NUMBERVALUE("-2.110000")</f>
        <v/>
      </c>
      <c r="Y2214">
        <f>_xlfn.NUMBERVALUE("17.210000")</f>
        <v/>
      </c>
    </row>
    <row r="2215">
      <c r="A2215" s="1" t="n">
        <v>45216</v>
      </c>
      <c r="B2215">
        <f>_xlfn.NUMBERVALUE("-0.000465")</f>
        <v/>
      </c>
      <c r="C2215" s="2">
        <f>_xlfn.NUMBERVALUE("0.000218")</f>
        <v/>
      </c>
      <c r="D2215">
        <f>_xlfn.NUMBERVALUE("0.000263")</f>
        <v/>
      </c>
      <c r="E2215">
        <f>_xlfn.NUMBERVALUE("0.001494")</f>
        <v/>
      </c>
      <c r="F2215">
        <f>_xlfn.NUMBERVALUE("-0.000004")</f>
        <v/>
      </c>
      <c r="G2215">
        <f>_xlfn.NUMBERVALUE("-0.000208")</f>
        <v/>
      </c>
      <c r="H2215">
        <f>_xlfn.NUMBERVALUE("-0.000791")</f>
        <v/>
      </c>
      <c r="I2215">
        <f>_xlfn.NUMBERVALUE("-0.002351")</f>
        <v/>
      </c>
      <c r="J2215">
        <f>_xlfn.NUMBERVALUE("0.000154")</f>
        <v/>
      </c>
      <c r="K2215">
        <f>_xlfn.NUMBERVALUE("-0.001896")</f>
        <v/>
      </c>
      <c r="L2215">
        <f>_xlfn.NUMBERVALUE("0.002403")</f>
        <v/>
      </c>
      <c r="M2215">
        <f>_xlfn.NUMBERVALUE("-0.000319")</f>
        <v/>
      </c>
      <c r="N2215">
        <f>_xlfn.NUMBERVALUE("0.002837")</f>
        <v/>
      </c>
      <c r="O2215">
        <f>_xlfn.NUMBERVALUE("0.000669")</f>
        <v/>
      </c>
      <c r="P2215">
        <f>_xlfn.NUMBERVALUE("0.000153")</f>
        <v/>
      </c>
      <c r="Q2215">
        <f>_xlfn.NUMBERVALUE("-0.000376")</f>
        <v/>
      </c>
      <c r="R2215">
        <f>_xlfn.NUMBERVALUE("-0.000709")</f>
        <v/>
      </c>
      <c r="S2215">
        <f>_xlfn.NUMBERVALUE("0.000903")</f>
        <v/>
      </c>
      <c r="T2215">
        <f>_xlfn.NUMBERVALUE("0.001847")</f>
        <v/>
      </c>
      <c r="U2215">
        <f>_xlfn.NUMBERVALUE("-0.000650")</f>
        <v/>
      </c>
      <c r="V2215">
        <f>_xlfn.NUMBERVALUE("-0.000020")</f>
        <v/>
      </c>
      <c r="W2215">
        <f>_xlfn.NUMBERVALUE("-0.002957")</f>
        <v/>
      </c>
      <c r="X2215">
        <f>_xlfn.NUMBERVALUE("0.670000")</f>
        <v/>
      </c>
      <c r="Y2215">
        <f>_xlfn.NUMBERVALUE("17.880000")</f>
        <v/>
      </c>
    </row>
    <row r="2216">
      <c r="A2216" s="1" t="n">
        <v>45217</v>
      </c>
      <c r="B2216">
        <f>_xlfn.NUMBERVALUE("-0.013163")</f>
        <v/>
      </c>
      <c r="C2216" s="2">
        <f>_xlfn.NUMBERVALUE("-0.000265")</f>
        <v/>
      </c>
      <c r="D2216">
        <f>_xlfn.NUMBERVALUE("-0.001148")</f>
        <v/>
      </c>
      <c r="E2216">
        <f>_xlfn.NUMBERVALUE("-0.002255")</f>
        <v/>
      </c>
      <c r="F2216">
        <f>_xlfn.NUMBERVALUE("-0.000394")</f>
        <v/>
      </c>
      <c r="G2216">
        <f>_xlfn.NUMBERVALUE("0.000008")</f>
        <v/>
      </c>
      <c r="H2216">
        <f>_xlfn.NUMBERVALUE("-0.000268")</f>
        <v/>
      </c>
      <c r="I2216">
        <f>_xlfn.NUMBERVALUE("-0.004044")</f>
        <v/>
      </c>
      <c r="J2216">
        <f>_xlfn.NUMBERVALUE("-0.001062")</f>
        <v/>
      </c>
      <c r="K2216">
        <f>_xlfn.NUMBERVALUE("0.000860")</f>
        <v/>
      </c>
      <c r="L2216">
        <f>_xlfn.NUMBERVALUE("-0.003113")</f>
        <v/>
      </c>
      <c r="M2216">
        <f>_xlfn.NUMBERVALUE("-0.007045")</f>
        <v/>
      </c>
      <c r="N2216">
        <f>_xlfn.NUMBERVALUE("-0.002961")</f>
        <v/>
      </c>
      <c r="O2216">
        <f>_xlfn.NUMBERVALUE("-0.001703")</f>
        <v/>
      </c>
      <c r="P2216">
        <f>_xlfn.NUMBERVALUE("-0.003525")</f>
        <v/>
      </c>
      <c r="Q2216">
        <f>_xlfn.NUMBERVALUE("-0.006292")</f>
        <v/>
      </c>
      <c r="R2216">
        <f>_xlfn.NUMBERVALUE("-0.001215")</f>
        <v/>
      </c>
      <c r="S2216">
        <f>_xlfn.NUMBERVALUE("-0.001344")</f>
        <v/>
      </c>
      <c r="T2216">
        <f>_xlfn.NUMBERVALUE("-0.000873")</f>
        <v/>
      </c>
      <c r="U2216">
        <f>_xlfn.NUMBERVALUE("-0.004208")</f>
        <v/>
      </c>
      <c r="V2216">
        <f>_xlfn.NUMBERVALUE("-0.001459")</f>
        <v/>
      </c>
      <c r="W2216">
        <f>_xlfn.NUMBERVALUE("-0.012714")</f>
        <v/>
      </c>
      <c r="X2216">
        <f>_xlfn.NUMBERVALUE("1.340000")</f>
        <v/>
      </c>
      <c r="Y2216">
        <f>_xlfn.NUMBERVALUE("19.220000")</f>
        <v/>
      </c>
    </row>
    <row r="2217">
      <c r="A2217" s="1" t="n">
        <v>45218</v>
      </c>
      <c r="B2217">
        <f>_xlfn.NUMBERVALUE("-0.001836")</f>
        <v/>
      </c>
      <c r="C2217" s="2">
        <f>_xlfn.NUMBERVALUE("-0.000442")</f>
        <v/>
      </c>
      <c r="D2217">
        <f>_xlfn.NUMBERVALUE("0.000536")</f>
        <v/>
      </c>
      <c r="E2217">
        <f>_xlfn.NUMBERVALUE("-0.000053")</f>
        <v/>
      </c>
      <c r="F2217">
        <f>_xlfn.NUMBERVALUE("-0.000424")</f>
        <v/>
      </c>
      <c r="G2217">
        <f>_xlfn.NUMBERVALUE("-0.000220")</f>
        <v/>
      </c>
      <c r="H2217">
        <f>_xlfn.NUMBERVALUE("-0.001002")</f>
        <v/>
      </c>
      <c r="I2217">
        <f>_xlfn.NUMBERVALUE("-0.002187")</f>
        <v/>
      </c>
      <c r="J2217">
        <f>_xlfn.NUMBERVALUE("-0.001069")</f>
        <v/>
      </c>
      <c r="K2217">
        <f>_xlfn.NUMBERVALUE("-0.000652")</f>
        <v/>
      </c>
      <c r="L2217">
        <f>_xlfn.NUMBERVALUE("-0.003687")</f>
        <v/>
      </c>
      <c r="M2217">
        <f>_xlfn.NUMBERVALUE("-0.001244")</f>
        <v/>
      </c>
      <c r="N2217">
        <f>_xlfn.NUMBERVALUE("-0.001514")</f>
        <v/>
      </c>
      <c r="O2217">
        <f>_xlfn.NUMBERVALUE("-0.000041")</f>
        <v/>
      </c>
      <c r="P2217">
        <f>_xlfn.NUMBERVALUE("0.000314")</f>
        <v/>
      </c>
      <c r="Q2217">
        <f>_xlfn.NUMBERVALUE("-0.001186")</f>
        <v/>
      </c>
      <c r="R2217">
        <f>_xlfn.NUMBERVALUE("-0.000473")</f>
        <v/>
      </c>
      <c r="S2217">
        <f>_xlfn.NUMBERVALUE("-0.000009")</f>
        <v/>
      </c>
      <c r="T2217">
        <f>_xlfn.NUMBERVALUE("-0.000060")</f>
        <v/>
      </c>
      <c r="U2217">
        <f>_xlfn.NUMBERVALUE("-0.003153")</f>
        <v/>
      </c>
      <c r="V2217">
        <f>_xlfn.NUMBERVALUE("-0.000492")</f>
        <v/>
      </c>
      <c r="W2217">
        <f>_xlfn.NUMBERVALUE("-0.008313")</f>
        <v/>
      </c>
      <c r="X2217">
        <f>_xlfn.NUMBERVALUE("2.180000")</f>
        <v/>
      </c>
      <c r="Y2217">
        <f>_xlfn.NUMBERVALUE("21.400000")</f>
        <v/>
      </c>
    </row>
    <row r="2218">
      <c r="A2218" s="1" t="n">
        <v>45219</v>
      </c>
      <c r="B2218">
        <f>_xlfn.NUMBERVALUE("0.001050")</f>
        <v/>
      </c>
      <c r="C2218" s="2">
        <f>_xlfn.NUMBERVALUE("0.002472")</f>
        <v/>
      </c>
      <c r="D2218">
        <f>_xlfn.NUMBERVALUE("-0.000771")</f>
        <v/>
      </c>
      <c r="E2218">
        <f>_xlfn.NUMBERVALUE("0.001137")</f>
        <v/>
      </c>
      <c r="F2218">
        <f>_xlfn.NUMBERVALUE("0.000589")</f>
        <v/>
      </c>
      <c r="G2218">
        <f>_xlfn.NUMBERVALUE("0.000815")</f>
        <v/>
      </c>
      <c r="H2218">
        <f>_xlfn.NUMBERVALUE("0.000650")</f>
        <v/>
      </c>
      <c r="I2218">
        <f>_xlfn.NUMBERVALUE("0.001323")</f>
        <v/>
      </c>
      <c r="J2218">
        <f>_xlfn.NUMBERVALUE("0.001027")</f>
        <v/>
      </c>
      <c r="K2218">
        <f>_xlfn.NUMBERVALUE("0.000713")</f>
        <v/>
      </c>
      <c r="L2218">
        <f>_xlfn.NUMBERVALUE("0.002944")</f>
        <v/>
      </c>
      <c r="M2218">
        <f>_xlfn.NUMBERVALUE("-0.000091")</f>
        <v/>
      </c>
      <c r="N2218">
        <f>_xlfn.NUMBERVALUE("0.001967")</f>
        <v/>
      </c>
      <c r="O2218">
        <f>_xlfn.NUMBERVALUE("0.000590")</f>
        <v/>
      </c>
      <c r="P2218">
        <f>_xlfn.NUMBERVALUE("-0.001478")</f>
        <v/>
      </c>
      <c r="Q2218">
        <f>_xlfn.NUMBERVALUE("-0.000032")</f>
        <v/>
      </c>
      <c r="R2218">
        <f>_xlfn.NUMBERVALUE("0.000654")</f>
        <v/>
      </c>
      <c r="S2218">
        <f>_xlfn.NUMBERVALUE("0.002068")</f>
        <v/>
      </c>
      <c r="T2218">
        <f>_xlfn.NUMBERVALUE("0.001595")</f>
        <v/>
      </c>
      <c r="U2218">
        <f>_xlfn.NUMBERVALUE("-0.000067")</f>
        <v/>
      </c>
      <c r="V2218">
        <f>_xlfn.NUMBERVALUE("0.001821")</f>
        <v/>
      </c>
      <c r="W2218">
        <f>_xlfn.NUMBERVALUE("-0.009956")</f>
        <v/>
      </c>
      <c r="X2218">
        <f>_xlfn.NUMBERVALUE("0.310000")</f>
        <v/>
      </c>
      <c r="Y2218">
        <f>_xlfn.NUMBERVALUE("21.710000")</f>
        <v/>
      </c>
    </row>
    <row r="2219">
      <c r="A2219" s="1" t="n">
        <v>45222</v>
      </c>
      <c r="B2219">
        <f>_xlfn.NUMBERVALUE("0.002128")</f>
        <v/>
      </c>
      <c r="C2219" s="2">
        <f>_xlfn.NUMBERVALUE("0.001985")</f>
        <v/>
      </c>
      <c r="D2219">
        <f>_xlfn.NUMBERVALUE("0.002267")</f>
        <v/>
      </c>
      <c r="E2219">
        <f>_xlfn.NUMBERVALUE("0.002132")</f>
        <v/>
      </c>
      <c r="F2219">
        <f>_xlfn.NUMBERVALUE("0.000473")</f>
        <v/>
      </c>
      <c r="G2219">
        <f>_xlfn.NUMBERVALUE("0.001078")</f>
        <v/>
      </c>
      <c r="H2219">
        <f>_xlfn.NUMBERVALUE("0.001023")</f>
        <v/>
      </c>
      <c r="I2219">
        <f>_xlfn.NUMBERVALUE("0.001113")</f>
        <v/>
      </c>
      <c r="J2219">
        <f>_xlfn.NUMBERVALUE("0.000608")</f>
        <v/>
      </c>
      <c r="K2219">
        <f>_xlfn.NUMBERVALUE("0.000962")</f>
        <v/>
      </c>
      <c r="L2219">
        <f>_xlfn.NUMBERVALUE("0.001386")</f>
        <v/>
      </c>
      <c r="M2219">
        <f>_xlfn.NUMBERVALUE("0.000133")</f>
        <v/>
      </c>
      <c r="N2219">
        <f>_xlfn.NUMBERVALUE("0.001535")</f>
        <v/>
      </c>
      <c r="O2219">
        <f>_xlfn.NUMBERVALUE("0.002214")</f>
        <v/>
      </c>
      <c r="P2219">
        <f>_xlfn.NUMBERVALUE("0.001454")</f>
        <v/>
      </c>
      <c r="Q2219">
        <f>_xlfn.NUMBERVALUE("0.001626")</f>
        <v/>
      </c>
      <c r="R2219">
        <f>_xlfn.NUMBERVALUE("0.001779")</f>
        <v/>
      </c>
      <c r="S2219">
        <f>_xlfn.NUMBERVALUE("0.002658")</f>
        <v/>
      </c>
      <c r="T2219">
        <f>_xlfn.NUMBERVALUE("0.001453")</f>
        <v/>
      </c>
      <c r="U2219">
        <f>_xlfn.NUMBERVALUE("0.000952")</f>
        <v/>
      </c>
      <c r="V2219">
        <f>_xlfn.NUMBERVALUE("0.002591")</f>
        <v/>
      </c>
      <c r="W2219">
        <f>_xlfn.NUMBERVALUE("-0.001044")</f>
        <v/>
      </c>
      <c r="X2219">
        <f>_xlfn.NUMBERVALUE("-1.340000")</f>
        <v/>
      </c>
      <c r="Y2219">
        <f>_xlfn.NUMBERVALUE("20.370000")</f>
        <v/>
      </c>
    </row>
    <row r="2220">
      <c r="A2220" s="1" t="n">
        <v>45223</v>
      </c>
      <c r="B2220">
        <f>_xlfn.NUMBERVALUE("0.000659")</f>
        <v/>
      </c>
      <c r="C2220" s="2">
        <f>_xlfn.NUMBERVALUE("0.001052")</f>
        <v/>
      </c>
      <c r="D2220">
        <f>_xlfn.NUMBERVALUE("-0.000177")</f>
        <v/>
      </c>
      <c r="E2220">
        <f>_xlfn.NUMBERVALUE("0.001767")</f>
        <v/>
      </c>
      <c r="F2220">
        <f>_xlfn.NUMBERVALUE("0.000345")</f>
        <v/>
      </c>
      <c r="G2220">
        <f>_xlfn.NUMBERVALUE("0.000183")</f>
        <v/>
      </c>
      <c r="H2220">
        <f>_xlfn.NUMBERVALUE("0.000861")</f>
        <v/>
      </c>
      <c r="I2220">
        <f>_xlfn.NUMBERVALUE("0.001527")</f>
        <v/>
      </c>
      <c r="J2220">
        <f>_xlfn.NUMBERVALUE("0.001239")</f>
        <v/>
      </c>
      <c r="K2220">
        <f>_xlfn.NUMBERVALUE("0.001533")</f>
        <v/>
      </c>
      <c r="L2220">
        <f>_xlfn.NUMBERVALUE("0.002245")</f>
        <v/>
      </c>
      <c r="M2220">
        <f>_xlfn.NUMBERVALUE("0.001416")</f>
        <v/>
      </c>
      <c r="N2220">
        <f>_xlfn.NUMBERVALUE("0.001583")</f>
        <v/>
      </c>
      <c r="O2220">
        <f>_xlfn.NUMBERVALUE("0.001707")</f>
        <v/>
      </c>
      <c r="P2220">
        <f>_xlfn.NUMBERVALUE("0.000950")</f>
        <v/>
      </c>
      <c r="Q2220">
        <f>_xlfn.NUMBERVALUE("0.000741")</f>
        <v/>
      </c>
      <c r="R2220">
        <f>_xlfn.NUMBERVALUE("0.001796")</f>
        <v/>
      </c>
      <c r="S2220">
        <f>_xlfn.NUMBERVALUE("-0.000197")</f>
        <v/>
      </c>
      <c r="T2220">
        <f>_xlfn.NUMBERVALUE("-0.004131")</f>
        <v/>
      </c>
      <c r="U2220">
        <f>_xlfn.NUMBERVALUE("0.001064")</f>
        <v/>
      </c>
      <c r="V2220">
        <f>_xlfn.NUMBERVALUE("0.001176")</f>
        <v/>
      </c>
      <c r="W2220">
        <f>_xlfn.NUMBERVALUE("0.006980")</f>
        <v/>
      </c>
      <c r="X2220">
        <f>_xlfn.NUMBERVALUE("-1.400000")</f>
        <v/>
      </c>
      <c r="Y2220">
        <f>_xlfn.NUMBERVALUE("18.970000")</f>
        <v/>
      </c>
    </row>
    <row r="2221">
      <c r="A2221" s="1" t="n">
        <v>45224</v>
      </c>
      <c r="B2221">
        <f>_xlfn.NUMBERVALUE("-0.002264")</f>
        <v/>
      </c>
      <c r="C2221" s="2">
        <f>_xlfn.NUMBERVALUE("-0.000245")</f>
        <v/>
      </c>
      <c r="D2221">
        <f>_xlfn.NUMBERVALUE("-0.001795")</f>
        <v/>
      </c>
      <c r="E2221">
        <f>_xlfn.NUMBERVALUE("-0.000618")</f>
        <v/>
      </c>
      <c r="F2221">
        <f>_xlfn.NUMBERVALUE("0.000074")</f>
        <v/>
      </c>
      <c r="G2221">
        <f>_xlfn.NUMBERVALUE("-0.000539")</f>
        <v/>
      </c>
      <c r="H2221">
        <f>_xlfn.NUMBERVALUE("-0.001613")</f>
        <v/>
      </c>
      <c r="I2221">
        <f>_xlfn.NUMBERVALUE("-0.001037")</f>
        <v/>
      </c>
      <c r="J2221">
        <f>_xlfn.NUMBERVALUE("-0.001980")</f>
        <v/>
      </c>
      <c r="K2221">
        <f>_xlfn.NUMBERVALUE("0.001699")</f>
        <v/>
      </c>
      <c r="L2221">
        <f>_xlfn.NUMBERVALUE("-0.007563")</f>
        <v/>
      </c>
      <c r="M2221">
        <f>_xlfn.NUMBERVALUE("-0.001492")</f>
        <v/>
      </c>
      <c r="N2221">
        <f>_xlfn.NUMBERVALUE("-0.012425")</f>
        <v/>
      </c>
      <c r="O2221">
        <f>_xlfn.NUMBERVALUE("-0.000114")</f>
        <v/>
      </c>
      <c r="P2221">
        <f>_xlfn.NUMBERVALUE("-0.000384")</f>
        <v/>
      </c>
      <c r="Q2221">
        <f>_xlfn.NUMBERVALUE("-0.001359")</f>
        <v/>
      </c>
      <c r="R2221">
        <f>_xlfn.NUMBERVALUE("-0.001403")</f>
        <v/>
      </c>
      <c r="S2221">
        <f>_xlfn.NUMBERVALUE("-0.000387")</f>
        <v/>
      </c>
      <c r="T2221">
        <f>_xlfn.NUMBERVALUE("0.000484")</f>
        <v/>
      </c>
      <c r="U2221">
        <f>_xlfn.NUMBERVALUE("-0.002024")</f>
        <v/>
      </c>
      <c r="V2221">
        <f>_xlfn.NUMBERVALUE("-0.002335")</f>
        <v/>
      </c>
      <c r="W2221">
        <f>_xlfn.NUMBERVALUE("-0.015396")</f>
        <v/>
      </c>
      <c r="X2221">
        <f>_xlfn.NUMBERVALUE("1.220000")</f>
        <v/>
      </c>
      <c r="Y2221">
        <f>_xlfn.NUMBERVALUE("20.190000")</f>
        <v/>
      </c>
    </row>
    <row r="2222">
      <c r="A2222" s="1" t="n">
        <v>45225</v>
      </c>
      <c r="B2222">
        <f>_xlfn.NUMBERVALUE("-0.000418")</f>
        <v/>
      </c>
      <c r="C2222" s="2">
        <f>_xlfn.NUMBERVALUE("0.000192")</f>
        <v/>
      </c>
      <c r="D2222">
        <f>_xlfn.NUMBERVALUE("0.000111")</f>
        <v/>
      </c>
      <c r="E2222">
        <f>_xlfn.NUMBERVALUE("-0.000385")</f>
        <v/>
      </c>
      <c r="F2222">
        <f>_xlfn.NUMBERVALUE("0.000329")</f>
        <v/>
      </c>
      <c r="G2222">
        <f>_xlfn.NUMBERVALUE("0.001000")</f>
        <v/>
      </c>
      <c r="H2222">
        <f>_xlfn.NUMBERVALUE("0.000001")</f>
        <v/>
      </c>
      <c r="I2222">
        <f>_xlfn.NUMBERVALUE("-0.000092")</f>
        <v/>
      </c>
      <c r="J2222">
        <f>_xlfn.NUMBERVALUE("0.000842")</f>
        <v/>
      </c>
      <c r="K2222">
        <f>_xlfn.NUMBERVALUE("-0.000108")</f>
        <v/>
      </c>
      <c r="L2222">
        <f>_xlfn.NUMBERVALUE("0.001004")</f>
        <v/>
      </c>
      <c r="M2222">
        <f>_xlfn.NUMBERVALUE("0.000280")</f>
        <v/>
      </c>
      <c r="N2222">
        <f>_xlfn.NUMBERVALUE("-0.000061")</f>
        <v/>
      </c>
      <c r="O2222">
        <f>_xlfn.NUMBERVALUE("0.000647")</f>
        <v/>
      </c>
      <c r="P2222">
        <f>_xlfn.NUMBERVALUE("0.000018")</f>
        <v/>
      </c>
      <c r="Q2222">
        <f>_xlfn.NUMBERVALUE("-0.000439")</f>
        <v/>
      </c>
      <c r="R2222">
        <f>_xlfn.NUMBERVALUE("-0.002602")</f>
        <v/>
      </c>
      <c r="S2222">
        <f>_xlfn.NUMBERVALUE("0.000469")</f>
        <v/>
      </c>
      <c r="T2222">
        <f>_xlfn.NUMBERVALUE("-0.000016")</f>
        <v/>
      </c>
      <c r="U2222">
        <f>_xlfn.NUMBERVALUE("-0.001852")</f>
        <v/>
      </c>
      <c r="V2222">
        <f>_xlfn.NUMBERVALUE("-0.001193")</f>
        <v/>
      </c>
      <c r="W2222">
        <f>_xlfn.NUMBERVALUE("-0.012356")</f>
        <v/>
      </c>
      <c r="X2222">
        <f>_xlfn.NUMBERVALUE("0.490000")</f>
        <v/>
      </c>
      <c r="Y2222">
        <f>_xlfn.NUMBERVALUE("20.680000")</f>
        <v/>
      </c>
    </row>
    <row r="2223">
      <c r="A2223" s="1" t="n">
        <v>45226</v>
      </c>
      <c r="B2223">
        <f>_xlfn.NUMBERVALUE("0.002403")</f>
        <v/>
      </c>
      <c r="C2223" s="2">
        <f>_xlfn.NUMBERVALUE("-0.002045")</f>
        <v/>
      </c>
      <c r="D2223">
        <f>_xlfn.NUMBERVALUE("0.001167")</f>
        <v/>
      </c>
      <c r="E2223">
        <f>_xlfn.NUMBERVALUE("-0.000081")</f>
        <v/>
      </c>
      <c r="F2223">
        <f>_xlfn.NUMBERVALUE("0.000099")</f>
        <v/>
      </c>
      <c r="G2223">
        <f>_xlfn.NUMBERVALUE("0.000095")</f>
        <v/>
      </c>
      <c r="H2223">
        <f>_xlfn.NUMBERVALUE("0.000650")</f>
        <v/>
      </c>
      <c r="I2223">
        <f>_xlfn.NUMBERVALUE("-0.000276")</f>
        <v/>
      </c>
      <c r="J2223">
        <f>_xlfn.NUMBERVALUE("0.000007")</f>
        <v/>
      </c>
      <c r="K2223">
        <f>_xlfn.NUMBERVALUE("-0.000108")</f>
        <v/>
      </c>
      <c r="L2223">
        <f>_xlfn.NUMBERVALUE("0.002361")</f>
        <v/>
      </c>
      <c r="M2223">
        <f>_xlfn.NUMBERVALUE("0.000161")</f>
        <v/>
      </c>
      <c r="N2223">
        <f>_xlfn.NUMBERVALUE("0.000035")</f>
        <v/>
      </c>
      <c r="O2223">
        <f>_xlfn.NUMBERVALUE("-0.003493")</f>
        <v/>
      </c>
      <c r="P2223">
        <f>_xlfn.NUMBERVALUE("-0.001952")</f>
        <v/>
      </c>
      <c r="Q2223">
        <f>_xlfn.NUMBERVALUE("-0.000585")</f>
        <v/>
      </c>
      <c r="R2223">
        <f>_xlfn.NUMBERVALUE("0.001277")</f>
        <v/>
      </c>
      <c r="S2223">
        <f>_xlfn.NUMBERVALUE("-0.000921")</f>
        <v/>
      </c>
      <c r="T2223">
        <f>_xlfn.NUMBERVALUE("-0.001370")</f>
        <v/>
      </c>
      <c r="U2223">
        <f>_xlfn.NUMBERVALUE("0.001852")</f>
        <v/>
      </c>
      <c r="V2223">
        <f>_xlfn.NUMBERVALUE("0.000045")</f>
        <v/>
      </c>
      <c r="W2223">
        <f>_xlfn.NUMBERVALUE("-0.006959")</f>
        <v/>
      </c>
      <c r="X2223">
        <f>_xlfn.NUMBERVALUE("0.590000")</f>
        <v/>
      </c>
      <c r="Y2223">
        <f>_xlfn.NUMBERVALUE("21.270000")</f>
        <v/>
      </c>
    </row>
    <row r="2224">
      <c r="A2224" s="1" t="n">
        <v>45229</v>
      </c>
      <c r="B2224">
        <f>_xlfn.NUMBERVALUE("0.007484")</f>
        <v/>
      </c>
      <c r="C2224" s="2">
        <f>_xlfn.NUMBERVALUE("-0.001614")</f>
        <v/>
      </c>
      <c r="D2224">
        <f>_xlfn.NUMBERVALUE("0.001255")</f>
        <v/>
      </c>
      <c r="E2224">
        <f>_xlfn.NUMBERVALUE("0.001274")</f>
        <v/>
      </c>
      <c r="F2224">
        <f>_xlfn.NUMBERVALUE("0.000321")</f>
        <v/>
      </c>
      <c r="G2224">
        <f>_xlfn.NUMBERVALUE("0.001865")</f>
        <v/>
      </c>
      <c r="H2224">
        <f>_xlfn.NUMBERVALUE("0.000370")</f>
        <v/>
      </c>
      <c r="I2224">
        <f>_xlfn.NUMBERVALUE("0.000347")</f>
        <v/>
      </c>
      <c r="J2224">
        <f>_xlfn.NUMBERVALUE("0.001072")</f>
        <v/>
      </c>
      <c r="K2224">
        <f>_xlfn.NUMBERVALUE("0.000396")</f>
        <v/>
      </c>
      <c r="L2224">
        <f>_xlfn.NUMBERVALUE("0.001350")</f>
        <v/>
      </c>
      <c r="M2224">
        <f>_xlfn.NUMBERVALUE("0.000933")</f>
        <v/>
      </c>
      <c r="N2224">
        <f>_xlfn.NUMBERVALUE("0.000432")</f>
        <v/>
      </c>
      <c r="O2224">
        <f>_xlfn.NUMBERVALUE("0.002777")</f>
        <v/>
      </c>
      <c r="P2224">
        <f>_xlfn.NUMBERVALUE("0.000640")</f>
        <v/>
      </c>
      <c r="Q2224">
        <f>_xlfn.NUMBERVALUE("0.000749")</f>
        <v/>
      </c>
      <c r="R2224">
        <f>_xlfn.NUMBERVALUE("0.000563")</f>
        <v/>
      </c>
      <c r="S2224">
        <f>_xlfn.NUMBERVALUE("-0.002642")</f>
        <v/>
      </c>
      <c r="T2224">
        <f>_xlfn.NUMBERVALUE("0.002039")</f>
        <v/>
      </c>
      <c r="U2224">
        <f>_xlfn.NUMBERVALUE("0.000585")</f>
        <v/>
      </c>
      <c r="V2224">
        <f>_xlfn.NUMBERVALUE("0.000029")</f>
        <v/>
      </c>
      <c r="W2224">
        <f>_xlfn.NUMBERVALUE("0.015846")</f>
        <v/>
      </c>
      <c r="X2224">
        <f>_xlfn.NUMBERVALUE("-1.520000")</f>
        <v/>
      </c>
      <c r="Y2224">
        <f>_xlfn.NUMBERVALUE("19.750000")</f>
        <v/>
      </c>
    </row>
    <row r="2225">
      <c r="A2225" s="1" t="n">
        <v>45230</v>
      </c>
      <c r="B2225">
        <f>_xlfn.NUMBERVALUE("0.003763")</f>
        <v/>
      </c>
      <c r="C2225" s="2">
        <f>_xlfn.NUMBERVALUE("0.002332")</f>
        <v/>
      </c>
      <c r="D2225">
        <f>_xlfn.NUMBERVALUE("0.000234")</f>
        <v/>
      </c>
      <c r="E2225">
        <f>_xlfn.NUMBERVALUE("0.001108")</f>
        <v/>
      </c>
      <c r="F2225">
        <f>_xlfn.NUMBERVALUE("0.000137")</f>
        <v/>
      </c>
      <c r="G2225">
        <f>_xlfn.NUMBERVALUE("0.000673")</f>
        <v/>
      </c>
      <c r="H2225">
        <f>_xlfn.NUMBERVALUE("0.000809")</f>
        <v/>
      </c>
      <c r="I2225">
        <f>_xlfn.NUMBERVALUE("0.000193")</f>
        <v/>
      </c>
      <c r="J2225">
        <f>_xlfn.NUMBERVALUE("0.001241")</f>
        <v/>
      </c>
      <c r="K2225">
        <f>_xlfn.NUMBERVALUE("0.000700")</f>
        <v/>
      </c>
      <c r="L2225">
        <f>_xlfn.NUMBERVALUE("0.002681")</f>
        <v/>
      </c>
      <c r="M2225">
        <f>_xlfn.NUMBERVALUE("0.000412")</f>
        <v/>
      </c>
      <c r="N2225">
        <f>_xlfn.NUMBERVALUE("0.001207")</f>
        <v/>
      </c>
      <c r="O2225">
        <f>_xlfn.NUMBERVALUE("0.001814")</f>
        <v/>
      </c>
      <c r="P2225">
        <f>_xlfn.NUMBERVALUE("0.000435")</f>
        <v/>
      </c>
      <c r="Q2225">
        <f>_xlfn.NUMBERVALUE("0.000334")</f>
        <v/>
      </c>
      <c r="R2225">
        <f>_xlfn.NUMBERVALUE("0.001211")</f>
        <v/>
      </c>
      <c r="S2225">
        <f>_xlfn.NUMBERVALUE("0.001194")</f>
        <v/>
      </c>
      <c r="T2225">
        <f>_xlfn.NUMBERVALUE("0.002821")</f>
        <v/>
      </c>
      <c r="U2225">
        <f>_xlfn.NUMBERVALUE("0.000171")</f>
        <v/>
      </c>
      <c r="V2225">
        <f>_xlfn.NUMBERVALUE("0.000844")</f>
        <v/>
      </c>
      <c r="W2225">
        <f>_xlfn.NUMBERVALUE("0.004326")</f>
        <v/>
      </c>
      <c r="X2225">
        <f>_xlfn.NUMBERVALUE("-1.610000")</f>
        <v/>
      </c>
      <c r="Y2225">
        <f>_xlfn.NUMBERVALUE("18.140000")</f>
        <v/>
      </c>
    </row>
    <row r="2226">
      <c r="A2226" s="1" t="n">
        <v>45231</v>
      </c>
      <c r="B2226">
        <f>_xlfn.NUMBERVALUE("0.004659")</f>
        <v/>
      </c>
      <c r="C2226" s="2">
        <f>_xlfn.NUMBERVALUE("0.000668")</f>
        <v/>
      </c>
      <c r="D2226">
        <f>_xlfn.NUMBERVALUE("0.003141")</f>
        <v/>
      </c>
      <c r="E2226">
        <f>_xlfn.NUMBERVALUE("0.000794")</f>
        <v/>
      </c>
      <c r="F2226">
        <f>_xlfn.NUMBERVALUE("0.000484")</f>
        <v/>
      </c>
      <c r="G2226">
        <f>_xlfn.NUMBERVALUE("0.000548")</f>
        <v/>
      </c>
      <c r="H2226">
        <f>_xlfn.NUMBERVALUE("0.001817")</f>
        <v/>
      </c>
      <c r="I2226">
        <f>_xlfn.NUMBERVALUE("-0.001209")</f>
        <v/>
      </c>
      <c r="J2226">
        <f>_xlfn.NUMBERVALUE("0.000821")</f>
        <v/>
      </c>
      <c r="K2226">
        <f>_xlfn.NUMBERVALUE("0.000284")</f>
        <v/>
      </c>
      <c r="L2226">
        <f>_xlfn.NUMBERVALUE("0.001582")</f>
        <v/>
      </c>
      <c r="M2226">
        <f>_xlfn.NUMBERVALUE("0.000518")</f>
        <v/>
      </c>
      <c r="N2226">
        <f>_xlfn.NUMBERVALUE("0.000235")</f>
        <v/>
      </c>
      <c r="O2226">
        <f>_xlfn.NUMBERVALUE("0.000524")</f>
        <v/>
      </c>
      <c r="P2226">
        <f>_xlfn.NUMBERVALUE("0.000885")</f>
        <v/>
      </c>
      <c r="Q2226">
        <f>_xlfn.NUMBERVALUE("0.000334")</f>
        <v/>
      </c>
      <c r="R2226">
        <f>_xlfn.NUMBERVALUE("-0.001581")</f>
        <v/>
      </c>
      <c r="S2226">
        <f>_xlfn.NUMBERVALUE("0.002197")</f>
        <v/>
      </c>
      <c r="T2226">
        <f>_xlfn.NUMBERVALUE("-0.002574")</f>
        <v/>
      </c>
      <c r="U2226">
        <f>_xlfn.NUMBERVALUE("-0.001075")</f>
        <v/>
      </c>
      <c r="V2226">
        <f>_xlfn.NUMBERVALUE("0.000231")</f>
        <v/>
      </c>
      <c r="W2226">
        <f>_xlfn.NUMBERVALUE("0.012444")</f>
        <v/>
      </c>
      <c r="X2226">
        <f>_xlfn.NUMBERVALUE("-1.270000")</f>
        <v/>
      </c>
      <c r="Y2226">
        <f>_xlfn.NUMBERVALUE("16.870000")</f>
        <v/>
      </c>
    </row>
    <row r="2227">
      <c r="A2227" s="1" t="n">
        <v>45232</v>
      </c>
      <c r="B2227">
        <f>_xlfn.NUMBERVALUE("-0.028450")</f>
        <v/>
      </c>
      <c r="C2227" s="2">
        <f>_xlfn.NUMBERVALUE("-0.006178")</f>
        <v/>
      </c>
      <c r="D2227">
        <f>_xlfn.NUMBERVALUE("-0.007210")</f>
        <v/>
      </c>
      <c r="E2227">
        <f>_xlfn.NUMBERVALUE("-0.009324")</f>
        <v/>
      </c>
      <c r="F2227">
        <f>_xlfn.NUMBERVALUE("-0.000145")</f>
        <v/>
      </c>
      <c r="G2227">
        <f>_xlfn.NUMBERVALUE("-0.004437")</f>
        <v/>
      </c>
      <c r="H2227">
        <f>_xlfn.NUMBERVALUE("0.002207")</f>
        <v/>
      </c>
      <c r="I2227">
        <f>_xlfn.NUMBERVALUE("0.000588")</f>
        <v/>
      </c>
      <c r="J2227">
        <f>_xlfn.NUMBERVALUE("-0.004408")</f>
        <v/>
      </c>
      <c r="K2227">
        <f>_xlfn.NUMBERVALUE("-0.000033")</f>
        <v/>
      </c>
      <c r="L2227">
        <f>_xlfn.NUMBERVALUE("-0.005811")</f>
        <v/>
      </c>
      <c r="M2227">
        <f>_xlfn.NUMBERVALUE("0.000220")</f>
        <v/>
      </c>
      <c r="N2227">
        <f>_xlfn.NUMBERVALUE("0.000401")</f>
        <v/>
      </c>
      <c r="O2227">
        <f>_xlfn.NUMBERVALUE("-0.001033")</f>
        <v/>
      </c>
      <c r="P2227">
        <f>_xlfn.NUMBERVALUE("-0.003932")</f>
        <v/>
      </c>
      <c r="Q2227">
        <f>_xlfn.NUMBERVALUE("-0.000517")</f>
        <v/>
      </c>
      <c r="R2227">
        <f>_xlfn.NUMBERVALUE("-0.002332")</f>
        <v/>
      </c>
      <c r="S2227">
        <f>_xlfn.NUMBERVALUE("-0.000636")</f>
        <v/>
      </c>
      <c r="T2227">
        <f>_xlfn.NUMBERVALUE("-0.002621")</f>
        <v/>
      </c>
      <c r="U2227">
        <f>_xlfn.NUMBERVALUE("0.002447")</f>
        <v/>
      </c>
      <c r="V2227">
        <f>_xlfn.NUMBERVALUE("-0.006696")</f>
        <v/>
      </c>
      <c r="W2227">
        <f>_xlfn.NUMBERVALUE("0.017752")</f>
        <v/>
      </c>
      <c r="X2227">
        <f>_xlfn.NUMBERVALUE("-1.210000")</f>
        <v/>
      </c>
      <c r="Y2227">
        <f>_xlfn.NUMBERVALUE("15.660000")</f>
        <v/>
      </c>
    </row>
    <row r="2228">
      <c r="A2228" s="1" t="n">
        <v>45233</v>
      </c>
      <c r="B2228">
        <f>_xlfn.NUMBERVALUE("-0.010056")</f>
        <v/>
      </c>
      <c r="C2228" s="2">
        <f>_xlfn.NUMBERVALUE("-0.000304")</f>
        <v/>
      </c>
      <c r="D2228">
        <f>_xlfn.NUMBERVALUE("-0.008415")</f>
        <v/>
      </c>
      <c r="E2228">
        <f>_xlfn.NUMBERVALUE("-0.001240")</f>
        <v/>
      </c>
      <c r="F2228">
        <f>_xlfn.NUMBERVALUE("0.000105")</f>
        <v/>
      </c>
      <c r="G2228">
        <f>_xlfn.NUMBERVALUE("-0.000008")</f>
        <v/>
      </c>
      <c r="H2228">
        <f>_xlfn.NUMBERVALUE("-0.003629")</f>
        <v/>
      </c>
      <c r="I2228">
        <f>_xlfn.NUMBERVALUE("-0.017168")</f>
        <v/>
      </c>
      <c r="J2228">
        <f>_xlfn.NUMBERVALUE("-0.000162")</f>
        <v/>
      </c>
      <c r="K2228">
        <f>_xlfn.NUMBERVALUE("-0.000016")</f>
        <v/>
      </c>
      <c r="L2228">
        <f>_xlfn.NUMBERVALUE("0.002238")</f>
        <v/>
      </c>
      <c r="M2228">
        <f>_xlfn.NUMBERVALUE("-0.002787")</f>
        <v/>
      </c>
      <c r="N2228">
        <f>_xlfn.NUMBERVALUE("-0.001652")</f>
        <v/>
      </c>
      <c r="O2228">
        <f>_xlfn.NUMBERVALUE("0.001603")</f>
        <v/>
      </c>
      <c r="P2228">
        <f>_xlfn.NUMBERVALUE("-0.004948")</f>
        <v/>
      </c>
      <c r="Q2228">
        <f>_xlfn.NUMBERVALUE("0.000647")</f>
        <v/>
      </c>
      <c r="R2228">
        <f>_xlfn.NUMBERVALUE("0.004045")</f>
        <v/>
      </c>
      <c r="S2228">
        <f>_xlfn.NUMBERVALUE("0.001283")</f>
        <v/>
      </c>
      <c r="T2228">
        <f>_xlfn.NUMBERVALUE("0.000913")</f>
        <v/>
      </c>
      <c r="U2228">
        <f>_xlfn.NUMBERVALUE("0.001926")</f>
        <v/>
      </c>
      <c r="V2228">
        <f>_xlfn.NUMBERVALUE("-0.002017")</f>
        <v/>
      </c>
      <c r="W2228">
        <f>_xlfn.NUMBERVALUE("0.005411")</f>
        <v/>
      </c>
      <c r="X2228">
        <f>_xlfn.NUMBERVALUE("-0.750000")</f>
        <v/>
      </c>
      <c r="Y2228">
        <f>_xlfn.NUMBERVALUE("14.910000")</f>
        <v/>
      </c>
    </row>
    <row r="2229">
      <c r="A2229" s="1" t="n">
        <v>45236</v>
      </c>
      <c r="B2229">
        <f>_xlfn.NUMBERVALUE("0.003325")</f>
        <v/>
      </c>
      <c r="C2229" s="2">
        <f>_xlfn.NUMBERVALUE("0.001375")</f>
        <v/>
      </c>
      <c r="D2229">
        <f>_xlfn.NUMBERVALUE("-0.000734")</f>
        <v/>
      </c>
      <c r="E2229">
        <f>_xlfn.NUMBERVALUE("0.001808")</f>
        <v/>
      </c>
      <c r="F2229">
        <f>_xlfn.NUMBERVALUE("0.002546")</f>
        <v/>
      </c>
      <c r="G2229">
        <f>_xlfn.NUMBERVALUE("0.000218")</f>
        <v/>
      </c>
      <c r="H2229">
        <f>_xlfn.NUMBERVALUE("0.000466")</f>
        <v/>
      </c>
      <c r="I2229">
        <f>_xlfn.NUMBERVALUE("0.001537")</f>
        <v/>
      </c>
      <c r="J2229">
        <f>_xlfn.NUMBERVALUE("0.000755")</f>
        <v/>
      </c>
      <c r="K2229">
        <f>_xlfn.NUMBERVALUE("0.004926")</f>
        <v/>
      </c>
      <c r="L2229">
        <f>_xlfn.NUMBERVALUE("0.003689")</f>
        <v/>
      </c>
      <c r="M2229">
        <f>_xlfn.NUMBERVALUE("-0.000329")</f>
        <v/>
      </c>
      <c r="N2229">
        <f>_xlfn.NUMBERVALUE("0.000928")</f>
        <v/>
      </c>
      <c r="O2229">
        <f>_xlfn.NUMBERVALUE("-0.000712")</f>
        <v/>
      </c>
      <c r="P2229">
        <f>_xlfn.NUMBERVALUE("0.003377")</f>
        <v/>
      </c>
      <c r="Q2229">
        <f>_xlfn.NUMBERVALUE("-0.000253")</f>
        <v/>
      </c>
      <c r="R2229">
        <f>_xlfn.NUMBERVALUE("0.003177")</f>
        <v/>
      </c>
      <c r="S2229">
        <f>_xlfn.NUMBERVALUE("0.001250")</f>
        <v/>
      </c>
      <c r="T2229">
        <f>_xlfn.NUMBERVALUE("0.000995")</f>
        <v/>
      </c>
      <c r="U2229">
        <f>_xlfn.NUMBERVALUE("0.001726")</f>
        <v/>
      </c>
      <c r="V2229">
        <f>_xlfn.NUMBERVALUE("0.001663")</f>
        <v/>
      </c>
      <c r="W2229">
        <f>_xlfn.NUMBERVALUE("-0.000850")</f>
        <v/>
      </c>
      <c r="X2229">
        <f>_xlfn.NUMBERVALUE("-0.020000")</f>
        <v/>
      </c>
      <c r="Y2229">
        <f>_xlfn.NUMBERVALUE("14.890000")</f>
        <v/>
      </c>
    </row>
    <row r="2230">
      <c r="A2230" s="1" t="n">
        <v>45237</v>
      </c>
      <c r="B2230">
        <f>_xlfn.NUMBERVALUE("-0.002196")</f>
        <v/>
      </c>
      <c r="C2230" s="2">
        <f>_xlfn.NUMBERVALUE("0.000930")</f>
        <v/>
      </c>
      <c r="D2230">
        <f>_xlfn.NUMBERVALUE("0.001824")</f>
        <v/>
      </c>
      <c r="E2230">
        <f>_xlfn.NUMBERVALUE("0.000967")</f>
        <v/>
      </c>
      <c r="F2230">
        <f>_xlfn.NUMBERVALUE("-0.000216")</f>
        <v/>
      </c>
      <c r="G2230">
        <f>_xlfn.NUMBERVALUE("0.000732")</f>
        <v/>
      </c>
      <c r="H2230">
        <f>_xlfn.NUMBERVALUE("0.000114")</f>
        <v/>
      </c>
      <c r="I2230">
        <f>_xlfn.NUMBERVALUE("0.002324")</f>
        <v/>
      </c>
      <c r="J2230">
        <f>_xlfn.NUMBERVALUE("0.000076")</f>
        <v/>
      </c>
      <c r="K2230">
        <f>_xlfn.NUMBERVALUE("-0.002374")</f>
        <v/>
      </c>
      <c r="L2230">
        <f>_xlfn.NUMBERVALUE("-0.000311")</f>
        <v/>
      </c>
      <c r="M2230">
        <f>_xlfn.NUMBERVALUE("-0.002506")</f>
        <v/>
      </c>
      <c r="N2230">
        <f>_xlfn.NUMBERVALUE("0.000270")</f>
        <v/>
      </c>
      <c r="O2230">
        <f>_xlfn.NUMBERVALUE("-0.000531")</f>
        <v/>
      </c>
      <c r="P2230">
        <f>_xlfn.NUMBERVALUE("0.002436")</f>
        <v/>
      </c>
      <c r="Q2230">
        <f>_xlfn.NUMBERVALUE("0.000118")</f>
        <v/>
      </c>
      <c r="R2230">
        <f>_xlfn.NUMBERVALUE("-0.003318")</f>
        <v/>
      </c>
      <c r="S2230">
        <f>_xlfn.NUMBERVALUE("0.000179")</f>
        <v/>
      </c>
      <c r="T2230">
        <f>_xlfn.NUMBERVALUE("0.000261")</f>
        <v/>
      </c>
      <c r="U2230">
        <f>_xlfn.NUMBERVALUE("0.000159")</f>
        <v/>
      </c>
      <c r="V2230">
        <f>_xlfn.NUMBERVALUE("0.000022")</f>
        <v/>
      </c>
      <c r="W2230">
        <f>_xlfn.NUMBERVALUE("0.006186")</f>
        <v/>
      </c>
      <c r="X2230">
        <f>_xlfn.NUMBERVALUE("-0.080000")</f>
        <v/>
      </c>
      <c r="Y2230">
        <f>_xlfn.NUMBERVALUE("14.810000")</f>
        <v/>
      </c>
    </row>
    <row r="2231">
      <c r="A2231" s="1" t="n">
        <v>45238</v>
      </c>
      <c r="B2231">
        <f>_xlfn.NUMBERVALUE("0.001372")</f>
        <v/>
      </c>
      <c r="C2231" s="2">
        <f>_xlfn.NUMBERVALUE("0.001190")</f>
        <v/>
      </c>
      <c r="D2231">
        <f>_xlfn.NUMBERVALUE("0.001169")</f>
        <v/>
      </c>
      <c r="E2231">
        <f>_xlfn.NUMBERVALUE("0.001214")</f>
        <v/>
      </c>
      <c r="F2231">
        <f>_xlfn.NUMBERVALUE("-0.002206")</f>
        <v/>
      </c>
      <c r="G2231">
        <f>_xlfn.NUMBERVALUE("0.000752")</f>
        <v/>
      </c>
      <c r="H2231">
        <f>_xlfn.NUMBERVALUE("0.000582")</f>
        <v/>
      </c>
      <c r="I2231">
        <f>_xlfn.NUMBERVALUE("-0.000808")</f>
        <v/>
      </c>
      <c r="J2231">
        <f>_xlfn.NUMBERVALUE("-0.000323")</f>
        <v/>
      </c>
      <c r="K2231">
        <f>_xlfn.NUMBERVALUE("-0.000245")</f>
        <v/>
      </c>
      <c r="L2231">
        <f>_xlfn.NUMBERVALUE("-0.000902")</f>
        <v/>
      </c>
      <c r="M2231">
        <f>_xlfn.NUMBERVALUE("-0.000069")</f>
        <v/>
      </c>
      <c r="N2231">
        <f>_xlfn.NUMBERVALUE("0.001061")</f>
        <v/>
      </c>
      <c r="O2231">
        <f>_xlfn.NUMBERVALUE("0.000031")</f>
        <v/>
      </c>
      <c r="P2231">
        <f>_xlfn.NUMBERVALUE("0.003022")</f>
        <v/>
      </c>
      <c r="Q2231">
        <f>_xlfn.NUMBERVALUE("-0.000080")</f>
        <v/>
      </c>
      <c r="R2231">
        <f>_xlfn.NUMBERVALUE("0.000143")</f>
        <v/>
      </c>
      <c r="S2231">
        <f>_xlfn.NUMBERVALUE("0.000097")</f>
        <v/>
      </c>
      <c r="T2231">
        <f>_xlfn.NUMBERVALUE("-0.000004")</f>
        <v/>
      </c>
      <c r="U2231">
        <f>_xlfn.NUMBERVALUE("0.001404")</f>
        <v/>
      </c>
      <c r="V2231">
        <f>_xlfn.NUMBERVALUE("0.001454")</f>
        <v/>
      </c>
      <c r="W2231">
        <f>_xlfn.NUMBERVALUE("0.000114")</f>
        <v/>
      </c>
      <c r="X2231">
        <f>_xlfn.NUMBERVALUE("-0.360000")</f>
        <v/>
      </c>
      <c r="Y2231">
        <f>_xlfn.NUMBERVALUE("14.450000")</f>
        <v/>
      </c>
    </row>
    <row r="2232">
      <c r="A2232" s="1" t="n">
        <v>45239</v>
      </c>
      <c r="B2232">
        <f>_xlfn.NUMBERVALUE("0.001704")</f>
        <v/>
      </c>
      <c r="C2232" s="2">
        <f>_xlfn.NUMBERVALUE("-0.000855")</f>
        <v/>
      </c>
      <c r="D2232">
        <f>_xlfn.NUMBERVALUE("0.001030")</f>
        <v/>
      </c>
      <c r="E2232">
        <f>_xlfn.NUMBERVALUE("0.000787")</f>
        <v/>
      </c>
      <c r="F2232">
        <f>_xlfn.NUMBERVALUE("0.000188")</f>
        <v/>
      </c>
      <c r="G2232">
        <f>_xlfn.NUMBERVALUE("0.000065")</f>
        <v/>
      </c>
      <c r="H2232">
        <f>_xlfn.NUMBERVALUE("-0.001611")</f>
        <v/>
      </c>
      <c r="I2232">
        <f>_xlfn.NUMBERVALUE("-0.001202")</f>
        <v/>
      </c>
      <c r="J2232">
        <f>_xlfn.NUMBERVALUE("-0.001766")</f>
        <v/>
      </c>
      <c r="K2232">
        <f>_xlfn.NUMBERVALUE("0.001172")</f>
        <v/>
      </c>
      <c r="L2232">
        <f>_xlfn.NUMBERVALUE("-0.003070")</f>
        <v/>
      </c>
      <c r="M2232">
        <f>_xlfn.NUMBERVALUE("-0.000329")</f>
        <v/>
      </c>
      <c r="N2232">
        <f>_xlfn.NUMBERVALUE("0.001266")</f>
        <v/>
      </c>
      <c r="O2232">
        <f>_xlfn.NUMBERVALUE("0.002229")</f>
        <v/>
      </c>
      <c r="P2232">
        <f>_xlfn.NUMBERVALUE("-0.000193")</f>
        <v/>
      </c>
      <c r="Q2232">
        <f>_xlfn.NUMBERVALUE("-0.000495")</f>
        <v/>
      </c>
      <c r="R2232">
        <f>_xlfn.NUMBERVALUE("-0.001159")</f>
        <v/>
      </c>
      <c r="S2232">
        <f>_xlfn.NUMBERVALUE("-0.000072")</f>
        <v/>
      </c>
      <c r="T2232">
        <f>_xlfn.NUMBERVALUE("-0.000531")</f>
        <v/>
      </c>
      <c r="U2232">
        <f>_xlfn.NUMBERVALUE("-0.003147")</f>
        <v/>
      </c>
      <c r="V2232">
        <f>_xlfn.NUMBERVALUE("-0.000955")</f>
        <v/>
      </c>
      <c r="W2232">
        <f>_xlfn.NUMBERVALUE("-0.009118")</f>
        <v/>
      </c>
      <c r="X2232">
        <f>_xlfn.NUMBERVALUE("0.840000")</f>
        <v/>
      </c>
      <c r="Y2232">
        <f>_xlfn.NUMBERVALUE("15.290000")</f>
        <v/>
      </c>
    </row>
    <row r="2233">
      <c r="A2233" s="1" t="n">
        <v>45240</v>
      </c>
      <c r="B2233">
        <f>_xlfn.NUMBERVALUE("-0.000126")</f>
        <v/>
      </c>
      <c r="C2233" s="2">
        <f>_xlfn.NUMBERVALUE("-0.000341")</f>
        <v/>
      </c>
      <c r="D2233">
        <f>_xlfn.NUMBERVALUE("0.000747")</f>
        <v/>
      </c>
      <c r="E2233">
        <f>_xlfn.NUMBERVALUE("0.000983")</f>
        <v/>
      </c>
      <c r="F2233">
        <f>_xlfn.NUMBERVALUE("-0.001410")</f>
        <v/>
      </c>
      <c r="G2233">
        <f>_xlfn.NUMBERVALUE("0.000308")</f>
        <v/>
      </c>
      <c r="H2233">
        <f>_xlfn.NUMBERVALUE("0.000715")</f>
        <v/>
      </c>
      <c r="I2233">
        <f>_xlfn.NUMBERVALUE("0.000920")</f>
        <v/>
      </c>
      <c r="J2233">
        <f>_xlfn.NUMBERVALUE("0.000610")</f>
        <v/>
      </c>
      <c r="K2233">
        <f>_xlfn.NUMBERVALUE("-0.001224")</f>
        <v/>
      </c>
      <c r="L2233">
        <f>_xlfn.NUMBERVALUE("0.001431")</f>
        <v/>
      </c>
      <c r="M2233">
        <f>_xlfn.NUMBERVALUE("0.000635")</f>
        <v/>
      </c>
      <c r="N2233">
        <f>_xlfn.NUMBERVALUE("-0.002762")</f>
        <v/>
      </c>
      <c r="O2233">
        <f>_xlfn.NUMBERVALUE("0.002022")</f>
        <v/>
      </c>
      <c r="P2233">
        <f>_xlfn.NUMBERVALUE("0.000642")</f>
        <v/>
      </c>
      <c r="Q2233">
        <f>_xlfn.NUMBERVALUE("-0.000848")</f>
        <v/>
      </c>
      <c r="R2233">
        <f>_xlfn.NUMBERVALUE("-0.005645")</f>
        <v/>
      </c>
      <c r="S2233">
        <f>_xlfn.NUMBERVALUE("0.001384")</f>
        <v/>
      </c>
      <c r="T2233">
        <f>_xlfn.NUMBERVALUE("0.001615")</f>
        <v/>
      </c>
      <c r="U2233">
        <f>_xlfn.NUMBERVALUE("0.000041")</f>
        <v/>
      </c>
      <c r="V2233">
        <f>_xlfn.NUMBERVALUE("-0.001945")</f>
        <v/>
      </c>
      <c r="W2233">
        <f>_xlfn.NUMBERVALUE("0.015867")</f>
        <v/>
      </c>
      <c r="X2233">
        <f>_xlfn.NUMBERVALUE("-1.120000")</f>
        <v/>
      </c>
      <c r="Y2233">
        <f>_xlfn.NUMBERVALUE("14.170000")</f>
        <v/>
      </c>
    </row>
    <row r="2234">
      <c r="A2234" s="1" t="n">
        <v>45243</v>
      </c>
      <c r="B2234">
        <f>_xlfn.NUMBERVALUE("0.002149")</f>
        <v/>
      </c>
      <c r="C2234" s="2">
        <f>_xlfn.NUMBERVALUE("0.000022")</f>
        <v/>
      </c>
      <c r="D2234">
        <f>_xlfn.NUMBERVALUE("0.000543")</f>
        <v/>
      </c>
      <c r="E2234">
        <f>_xlfn.NUMBERVALUE("0.001123")</f>
        <v/>
      </c>
      <c r="F2234">
        <f>_xlfn.NUMBERVALUE("0.001008")</f>
        <v/>
      </c>
      <c r="G2234">
        <f>_xlfn.NUMBERVALUE("0.000427")</f>
        <v/>
      </c>
      <c r="H2234">
        <f>_xlfn.NUMBERVALUE("-0.000013")</f>
        <v/>
      </c>
      <c r="I2234">
        <f>_xlfn.NUMBERVALUE("0.000590")</f>
        <v/>
      </c>
      <c r="J2234">
        <f>_xlfn.NUMBERVALUE("0.001460")</f>
        <v/>
      </c>
      <c r="K2234">
        <f>_xlfn.NUMBERVALUE("0.002730")</f>
        <v/>
      </c>
      <c r="L2234">
        <f>_xlfn.NUMBERVALUE("0.000998")</f>
        <v/>
      </c>
      <c r="M2234">
        <f>_xlfn.NUMBERVALUE("0.001609")</f>
        <v/>
      </c>
      <c r="N2234">
        <f>_xlfn.NUMBERVALUE("0.003660")</f>
        <v/>
      </c>
      <c r="O2234">
        <f>_xlfn.NUMBERVALUE("0.001641")</f>
        <v/>
      </c>
      <c r="P2234">
        <f>_xlfn.NUMBERVALUE("0.000528")</f>
        <v/>
      </c>
      <c r="Q2234">
        <f>_xlfn.NUMBERVALUE("0.000505")</f>
        <v/>
      </c>
      <c r="R2234">
        <f>_xlfn.NUMBERVALUE("0.000889")</f>
        <v/>
      </c>
      <c r="S2234">
        <f>_xlfn.NUMBERVALUE("0.000701")</f>
        <v/>
      </c>
      <c r="T2234">
        <f>_xlfn.NUMBERVALUE("0.001016")</f>
        <v/>
      </c>
      <c r="U2234">
        <f>_xlfn.NUMBERVALUE("0.000104")</f>
        <v/>
      </c>
      <c r="V2234">
        <f>_xlfn.NUMBERVALUE("0.000631")</f>
        <v/>
      </c>
      <c r="W2234">
        <f>_xlfn.NUMBERVALUE("0.000363")</f>
        <v/>
      </c>
      <c r="X2234">
        <f>_xlfn.NUMBERVALUE("0.590000")</f>
        <v/>
      </c>
      <c r="Y2234">
        <f>_xlfn.NUMBERVALUE("14.760000")</f>
        <v/>
      </c>
    </row>
    <row r="2235">
      <c r="A2235" s="1" t="n">
        <v>45244</v>
      </c>
      <c r="B2235">
        <f>_xlfn.NUMBERVALUE("-0.003054")</f>
        <v/>
      </c>
      <c r="C2235" s="2">
        <f>_xlfn.NUMBERVALUE("-0.003124")</f>
        <v/>
      </c>
      <c r="D2235">
        <f>_xlfn.NUMBERVALUE("-0.008922")</f>
        <v/>
      </c>
      <c r="E2235">
        <f>_xlfn.NUMBERVALUE("-0.009677")</f>
        <v/>
      </c>
      <c r="F2235">
        <f>_xlfn.NUMBERVALUE("0.000568")</f>
        <v/>
      </c>
      <c r="G2235">
        <f>_xlfn.NUMBERVALUE("-0.003886")</f>
        <v/>
      </c>
      <c r="H2235">
        <f>_xlfn.NUMBERVALUE("-0.003167")</f>
        <v/>
      </c>
      <c r="I2235">
        <f>_xlfn.NUMBERVALUE("-0.024118")</f>
        <v/>
      </c>
      <c r="J2235">
        <f>_xlfn.NUMBERVALUE("-0.003287")</f>
        <v/>
      </c>
      <c r="K2235">
        <f>_xlfn.NUMBERVALUE("-0.005238")</f>
        <v/>
      </c>
      <c r="L2235">
        <f>_xlfn.NUMBERVALUE("-0.003888")</f>
        <v/>
      </c>
      <c r="M2235">
        <f>_xlfn.NUMBERVALUE("-0.008170")</f>
        <v/>
      </c>
      <c r="N2235">
        <f>_xlfn.NUMBERVALUE("-0.005852")</f>
        <v/>
      </c>
      <c r="O2235">
        <f>_xlfn.NUMBERVALUE("0.001375")</f>
        <v/>
      </c>
      <c r="P2235">
        <f>_xlfn.NUMBERVALUE("-0.005214")</f>
        <v/>
      </c>
      <c r="Q2235">
        <f>_xlfn.NUMBERVALUE("-0.004732")</f>
        <v/>
      </c>
      <c r="R2235">
        <f>_xlfn.NUMBERVALUE("-0.002613")</f>
        <v/>
      </c>
      <c r="S2235">
        <f>_xlfn.NUMBERVALUE("-0.001507")</f>
        <v/>
      </c>
      <c r="T2235">
        <f>_xlfn.NUMBERVALUE("-0.014563")</f>
        <v/>
      </c>
      <c r="U2235">
        <f>_xlfn.NUMBERVALUE("-0.009380")</f>
        <v/>
      </c>
      <c r="V2235">
        <f>_xlfn.NUMBERVALUE("-0.004536")</f>
        <v/>
      </c>
      <c r="W2235">
        <f>_xlfn.NUMBERVALUE("0.020039")</f>
        <v/>
      </c>
      <c r="X2235">
        <f>_xlfn.NUMBERVALUE("-0.600000")</f>
        <v/>
      </c>
      <c r="Y2235">
        <f>_xlfn.NUMBERVALUE("14.160000")</f>
        <v/>
      </c>
    </row>
    <row r="2236">
      <c r="A2236" s="1" t="n">
        <v>45245</v>
      </c>
      <c r="B2236">
        <f>_xlfn.NUMBERVALUE("0.000503")</f>
        <v/>
      </c>
      <c r="C2236" s="2">
        <f>_xlfn.NUMBERVALUE("-0.000181")</f>
        <v/>
      </c>
      <c r="D2236">
        <f>_xlfn.NUMBERVALUE("-0.000024")</f>
        <v/>
      </c>
      <c r="E2236">
        <f>_xlfn.NUMBERVALUE("0.000845")</f>
        <v/>
      </c>
      <c r="F2236">
        <f>_xlfn.NUMBERVALUE("0.001585")</f>
        <v/>
      </c>
      <c r="G2236">
        <f>_xlfn.NUMBERVALUE("0.000857")</f>
        <v/>
      </c>
      <c r="H2236">
        <f>_xlfn.NUMBERVALUE("0.000339")</f>
        <v/>
      </c>
      <c r="I2236">
        <f>_xlfn.NUMBERVALUE("0.001104")</f>
        <v/>
      </c>
      <c r="J2236">
        <f>_xlfn.NUMBERVALUE("0.000679")</f>
        <v/>
      </c>
      <c r="K2236">
        <f>_xlfn.NUMBERVALUE("0.001302")</f>
        <v/>
      </c>
      <c r="L2236">
        <f>_xlfn.NUMBERVALUE("0.001911")</f>
        <v/>
      </c>
      <c r="M2236">
        <f>_xlfn.NUMBERVALUE("0.000744")</f>
        <v/>
      </c>
      <c r="N2236">
        <f>_xlfn.NUMBERVALUE("0.000168")</f>
        <v/>
      </c>
      <c r="O2236">
        <f>_xlfn.NUMBERVALUE("0.001620")</f>
        <v/>
      </c>
      <c r="P2236">
        <f>_xlfn.NUMBERVALUE("0.000320")</f>
        <v/>
      </c>
      <c r="Q2236">
        <f>_xlfn.NUMBERVALUE("0.000004")</f>
        <v/>
      </c>
      <c r="R2236">
        <f>_xlfn.NUMBERVALUE("0.001040")</f>
        <v/>
      </c>
      <c r="S2236">
        <f>_xlfn.NUMBERVALUE("-0.000466")</f>
        <v/>
      </c>
      <c r="T2236">
        <f>_xlfn.NUMBERVALUE("0.000695")</f>
        <v/>
      </c>
      <c r="U2236">
        <f>_xlfn.NUMBERVALUE("0.000591")</f>
        <v/>
      </c>
      <c r="V2236">
        <f>_xlfn.NUMBERVALUE("0.000669")</f>
        <v/>
      </c>
      <c r="W2236">
        <f>_xlfn.NUMBERVALUE("0.000845")</f>
        <v/>
      </c>
      <c r="X2236">
        <f>_xlfn.NUMBERVALUE("0.020000")</f>
        <v/>
      </c>
      <c r="Y2236">
        <f>_xlfn.NUMBERVALUE("14.180000")</f>
        <v/>
      </c>
    </row>
    <row r="2237">
      <c r="A2237" s="1" t="n">
        <v>45246</v>
      </c>
      <c r="B2237">
        <f>_xlfn.NUMBERVALUE("0.000636")</f>
        <v/>
      </c>
      <c r="C2237" s="2">
        <f>_xlfn.NUMBERVALUE("0.001556")</f>
        <v/>
      </c>
      <c r="D2237">
        <f>_xlfn.NUMBERVALUE("0.001838")</f>
        <v/>
      </c>
      <c r="E2237">
        <f>_xlfn.NUMBERVALUE("0.001443")</f>
        <v/>
      </c>
      <c r="F2237">
        <f>_xlfn.NUMBERVALUE("-0.000674")</f>
        <v/>
      </c>
      <c r="G2237">
        <f>_xlfn.NUMBERVALUE("-0.000024")</f>
        <v/>
      </c>
      <c r="H2237">
        <f>_xlfn.NUMBERVALUE("-0.000390")</f>
        <v/>
      </c>
      <c r="I2237">
        <f>_xlfn.NUMBERVALUE("0.000940")</f>
        <v/>
      </c>
      <c r="J2237">
        <f>_xlfn.NUMBERVALUE("-0.000940")</f>
        <v/>
      </c>
      <c r="K2237">
        <f>_xlfn.NUMBERVALUE("0.000776")</f>
        <v/>
      </c>
      <c r="L2237">
        <f>_xlfn.NUMBERVALUE("0.000211")</f>
        <v/>
      </c>
      <c r="M2237">
        <f>_xlfn.NUMBERVALUE("0.000495")</f>
        <v/>
      </c>
      <c r="N2237">
        <f>_xlfn.NUMBERVALUE("0.000811")</f>
        <v/>
      </c>
      <c r="O2237">
        <f>_xlfn.NUMBERVALUE("-0.004542")</f>
        <v/>
      </c>
      <c r="P2237">
        <f>_xlfn.NUMBERVALUE("0.000093")</f>
        <v/>
      </c>
      <c r="Q2237">
        <f>_xlfn.NUMBERVALUE("0.001207")</f>
        <v/>
      </c>
      <c r="R2237">
        <f>_xlfn.NUMBERVALUE("0.000438")</f>
        <v/>
      </c>
      <c r="S2237">
        <f>_xlfn.NUMBERVALUE("0.001277")</f>
        <v/>
      </c>
      <c r="T2237">
        <f>_xlfn.NUMBERVALUE("0.001601")</f>
        <v/>
      </c>
      <c r="U2237">
        <f>_xlfn.NUMBERVALUE("0.002342")</f>
        <v/>
      </c>
      <c r="V2237">
        <f>_xlfn.NUMBERVALUE("0.000850")</f>
        <v/>
      </c>
      <c r="W2237">
        <f>_xlfn.NUMBERVALUE("0.000156")</f>
        <v/>
      </c>
      <c r="X2237">
        <f>_xlfn.NUMBERVALUE("0.140000")</f>
        <v/>
      </c>
      <c r="Y2237">
        <f>_xlfn.NUMBERVALUE("14.320000")</f>
        <v/>
      </c>
    </row>
    <row r="2238">
      <c r="A2238" s="1" t="n">
        <v>45247</v>
      </c>
      <c r="B2238">
        <f>_xlfn.NUMBERVALUE("-0.000700")</f>
        <v/>
      </c>
      <c r="C2238" s="2">
        <f>_xlfn.NUMBERVALUE("-0.001049")</f>
        <v/>
      </c>
      <c r="D2238">
        <f>_xlfn.NUMBERVALUE("0.000634")</f>
        <v/>
      </c>
      <c r="E2238">
        <f>_xlfn.NUMBERVALUE("-0.001690")</f>
        <v/>
      </c>
      <c r="F2238">
        <f>_xlfn.NUMBERVALUE("0.001006")</f>
        <v/>
      </c>
      <c r="G2238">
        <f>_xlfn.NUMBERVALUE("0.001345")</f>
        <v/>
      </c>
      <c r="H2238">
        <f>_xlfn.NUMBERVALUE("0.001026")</f>
        <v/>
      </c>
      <c r="I2238">
        <f>_xlfn.NUMBERVALUE("-0.000679")</f>
        <v/>
      </c>
      <c r="J2238">
        <f>_xlfn.NUMBERVALUE("0.000414")</f>
        <v/>
      </c>
      <c r="K2238">
        <f>_xlfn.NUMBERVALUE("0.001729")</f>
        <v/>
      </c>
      <c r="L2238">
        <f>_xlfn.NUMBERVALUE("0.002103")</f>
        <v/>
      </c>
      <c r="M2238">
        <f>_xlfn.NUMBERVALUE("0.000780")</f>
        <v/>
      </c>
      <c r="N2238">
        <f>_xlfn.NUMBERVALUE("0.002215")</f>
        <v/>
      </c>
      <c r="O2238">
        <f>_xlfn.NUMBERVALUE("-0.004020")</f>
        <v/>
      </c>
      <c r="P2238">
        <f>_xlfn.NUMBERVALUE("0.000902")</f>
        <v/>
      </c>
      <c r="Q2238">
        <f>_xlfn.NUMBERVALUE("0.000148")</f>
        <v/>
      </c>
      <c r="R2238">
        <f>_xlfn.NUMBERVALUE("0.001709")</f>
        <v/>
      </c>
      <c r="S2238">
        <f>_xlfn.NUMBERVALUE("0.001429")</f>
        <v/>
      </c>
      <c r="T2238">
        <f>_xlfn.NUMBERVALUE("0.000381")</f>
        <v/>
      </c>
      <c r="U2238">
        <f>_xlfn.NUMBERVALUE("0.000602")</f>
        <v/>
      </c>
      <c r="V2238">
        <f>_xlfn.NUMBERVALUE("0.000560")</f>
        <v/>
      </c>
      <c r="W2238">
        <f>_xlfn.NUMBERVALUE("0.001045")</f>
        <v/>
      </c>
      <c r="X2238">
        <f>_xlfn.NUMBERVALUE("-0.520000")</f>
        <v/>
      </c>
      <c r="Y2238">
        <f>_xlfn.NUMBERVALUE("13.800000")</f>
        <v/>
      </c>
    </row>
    <row r="2239">
      <c r="A2239" s="1" t="n">
        <v>45250</v>
      </c>
      <c r="B2239">
        <f>_xlfn.NUMBERVALUE("0.000517")</f>
        <v/>
      </c>
      <c r="C2239" s="2">
        <f>_xlfn.NUMBERVALUE("-0.000204")</f>
        <v/>
      </c>
      <c r="D2239">
        <f>_xlfn.NUMBERVALUE("-0.001345")</f>
        <v/>
      </c>
      <c r="E2239">
        <f>_xlfn.NUMBERVALUE("0.000708")</f>
        <v/>
      </c>
      <c r="F2239">
        <f>_xlfn.NUMBERVALUE("0.001306")</f>
        <v/>
      </c>
      <c r="G2239">
        <f>_xlfn.NUMBERVALUE("0.001270")</f>
        <v/>
      </c>
      <c r="H2239">
        <f>_xlfn.NUMBERVALUE("0.001120")</f>
        <v/>
      </c>
      <c r="I2239">
        <f>_xlfn.NUMBERVALUE("0.002588")</f>
        <v/>
      </c>
      <c r="J2239">
        <f>_xlfn.NUMBERVALUE("0.000204")</f>
        <v/>
      </c>
      <c r="K2239">
        <f>_xlfn.NUMBERVALUE("0.000830")</f>
        <v/>
      </c>
      <c r="L2239">
        <f>_xlfn.NUMBERVALUE("0.001060")</f>
        <v/>
      </c>
      <c r="M2239">
        <f>_xlfn.NUMBERVALUE("0.001409")</f>
        <v/>
      </c>
      <c r="N2239">
        <f>_xlfn.NUMBERVALUE("-0.000243")</f>
        <v/>
      </c>
      <c r="O2239">
        <f>_xlfn.NUMBERVALUE("0.002169")</f>
        <v/>
      </c>
      <c r="P2239">
        <f>_xlfn.NUMBERVALUE("0.001061")</f>
        <v/>
      </c>
      <c r="Q2239">
        <f>_xlfn.NUMBERVALUE("0.001629")</f>
        <v/>
      </c>
      <c r="R2239">
        <f>_xlfn.NUMBERVALUE("-0.000769")</f>
        <v/>
      </c>
      <c r="S2239">
        <f>_xlfn.NUMBERVALUE("0.001680")</f>
        <v/>
      </c>
      <c r="T2239">
        <f>_xlfn.NUMBERVALUE("0.001565")</f>
        <v/>
      </c>
      <c r="U2239">
        <f>_xlfn.NUMBERVALUE("0.001429")</f>
        <v/>
      </c>
      <c r="V2239">
        <f>_xlfn.NUMBERVALUE("0.000459")</f>
        <v/>
      </c>
      <c r="W2239">
        <f>_xlfn.NUMBERVALUE("0.009791")</f>
        <v/>
      </c>
      <c r="X2239">
        <f>_xlfn.NUMBERVALUE("-0.390000")</f>
        <v/>
      </c>
      <c r="Y2239">
        <f>_xlfn.NUMBERVALUE("13.410000")</f>
        <v/>
      </c>
    </row>
    <row r="2240">
      <c r="A2240" s="1" t="n">
        <v>45251</v>
      </c>
      <c r="B2240">
        <f>_xlfn.NUMBERVALUE("0.000254")</f>
        <v/>
      </c>
      <c r="C2240" s="2">
        <f>_xlfn.NUMBERVALUE("0.000429")</f>
        <v/>
      </c>
      <c r="D2240">
        <f>_xlfn.NUMBERVALUE("0.000932")</f>
        <v/>
      </c>
      <c r="E2240">
        <f>_xlfn.NUMBERVALUE("0.000761")</f>
        <v/>
      </c>
      <c r="F2240">
        <f>_xlfn.NUMBERVALUE("-0.001669")</f>
        <v/>
      </c>
      <c r="G2240">
        <f>_xlfn.NUMBERVALUE("0.000836")</f>
        <v/>
      </c>
      <c r="H2240">
        <f>_xlfn.NUMBERVALUE("0.000677")</f>
        <v/>
      </c>
      <c r="I2240">
        <f>_xlfn.NUMBERVALUE("0.001106")</f>
        <v/>
      </c>
      <c r="J2240">
        <f>_xlfn.NUMBERVALUE("0.000263")</f>
        <v/>
      </c>
      <c r="K2240">
        <f>_xlfn.NUMBERVALUE("0.000765")</f>
        <v/>
      </c>
      <c r="L2240">
        <f>_xlfn.NUMBERVALUE("0.002211")</f>
        <v/>
      </c>
      <c r="M2240">
        <f>_xlfn.NUMBERVALUE("0.000008")</f>
        <v/>
      </c>
      <c r="N2240">
        <f>_xlfn.NUMBERVALUE("0.001017")</f>
        <v/>
      </c>
      <c r="O2240">
        <f>_xlfn.NUMBERVALUE("0.001222")</f>
        <v/>
      </c>
      <c r="P2240">
        <f>_xlfn.NUMBERVALUE("0.000251")</f>
        <v/>
      </c>
      <c r="Q2240">
        <f>_xlfn.NUMBERVALUE("0.000232")</f>
        <v/>
      </c>
      <c r="R2240">
        <f>_xlfn.NUMBERVALUE("0.000147")</f>
        <v/>
      </c>
      <c r="S2240">
        <f>_xlfn.NUMBERVALUE("0.000839")</f>
        <v/>
      </c>
      <c r="T2240">
        <f>_xlfn.NUMBERVALUE("0.001466")</f>
        <v/>
      </c>
      <c r="U2240">
        <f>_xlfn.NUMBERVALUE("0.001311")</f>
        <v/>
      </c>
      <c r="V2240">
        <f>_xlfn.NUMBERVALUE("0.000997")</f>
        <v/>
      </c>
      <c r="W2240">
        <f>_xlfn.NUMBERVALUE("-0.004024")</f>
        <v/>
      </c>
      <c r="X2240">
        <f>_xlfn.NUMBERVALUE("-0.060000")</f>
        <v/>
      </c>
      <c r="Y2240">
        <f>_xlfn.NUMBERVALUE("13.350000")</f>
        <v/>
      </c>
    </row>
    <row r="2241">
      <c r="A2241" s="1" t="n">
        <v>45252</v>
      </c>
      <c r="B2241">
        <f>_xlfn.NUMBERVALUE("-0.000063")</f>
        <v/>
      </c>
      <c r="C2241" s="2">
        <f>_xlfn.NUMBERVALUE("-0.000002")</f>
        <v/>
      </c>
      <c r="D2241">
        <f>_xlfn.NUMBERVALUE("0.000975")</f>
        <v/>
      </c>
      <c r="E2241">
        <f>_xlfn.NUMBERVALUE("0.000319")</f>
        <v/>
      </c>
      <c r="F2241">
        <f>_xlfn.NUMBERVALUE("0.001287")</f>
        <v/>
      </c>
      <c r="G2241">
        <f>_xlfn.NUMBERVALUE("-0.000072")</f>
        <v/>
      </c>
      <c r="H2241">
        <f>_xlfn.NUMBERVALUE("0.000873")</f>
        <v/>
      </c>
      <c r="I2241">
        <f>_xlfn.NUMBERVALUE("0.001700")</f>
        <v/>
      </c>
      <c r="J2241">
        <f>_xlfn.NUMBERVALUE("0.001040")</f>
        <v/>
      </c>
      <c r="K2241">
        <f>_xlfn.NUMBERVALUE("0.003034")</f>
        <v/>
      </c>
      <c r="L2241">
        <f>_xlfn.NUMBERVALUE("0.000226")</f>
        <v/>
      </c>
      <c r="M2241">
        <f>_xlfn.NUMBERVALUE("0.001009")</f>
        <v/>
      </c>
      <c r="N2241">
        <f>_xlfn.NUMBERVALUE("0.000466")</f>
        <v/>
      </c>
      <c r="O2241">
        <f>_xlfn.NUMBERVALUE("0.000189")</f>
        <v/>
      </c>
      <c r="P2241">
        <f>_xlfn.NUMBERVALUE("-0.000089")</f>
        <v/>
      </c>
      <c r="Q2241">
        <f>_xlfn.NUMBERVALUE("0.000291")</f>
        <v/>
      </c>
      <c r="R2241">
        <f>_xlfn.NUMBERVALUE("0.000239")</f>
        <v/>
      </c>
      <c r="S2241">
        <f>_xlfn.NUMBERVALUE("-0.000407")</f>
        <v/>
      </c>
      <c r="T2241">
        <f>_xlfn.NUMBERVALUE("0.001334")</f>
        <v/>
      </c>
      <c r="U2241">
        <f>_xlfn.NUMBERVALUE("0.001256")</f>
        <v/>
      </c>
      <c r="V2241">
        <f>_xlfn.NUMBERVALUE("0.000265")</f>
        <v/>
      </c>
      <c r="W2241">
        <f>_xlfn.NUMBERVALUE("0.004879")</f>
        <v/>
      </c>
      <c r="X2241">
        <f>_xlfn.NUMBERVALUE("-0.500000")</f>
        <v/>
      </c>
      <c r="Y2241">
        <f>_xlfn.NUMBERVALUE("12.850000")</f>
        <v/>
      </c>
    </row>
    <row r="2242">
      <c r="A2242" s="1" t="n">
        <v>45254</v>
      </c>
      <c r="B2242">
        <f>_xlfn.NUMBERVALUE("-0.000076")</f>
        <v/>
      </c>
      <c r="C2242" s="2">
        <f>_xlfn.NUMBERVALUE("0.000343")</f>
        <v/>
      </c>
      <c r="D2242">
        <f>_xlfn.NUMBERVALUE("0.001854")</f>
        <v/>
      </c>
      <c r="E2242">
        <f>_xlfn.NUMBERVALUE("0.000725")</f>
        <v/>
      </c>
      <c r="F2242">
        <f>_xlfn.NUMBERVALUE("0.001609")</f>
        <v/>
      </c>
      <c r="G2242">
        <f>_xlfn.NUMBERVALUE("0.000402")</f>
        <v/>
      </c>
      <c r="H2242">
        <f>_xlfn.NUMBERVALUE("0.000447")</f>
        <v/>
      </c>
      <c r="I2242">
        <f>_xlfn.NUMBERVALUE("0.001163")</f>
        <v/>
      </c>
      <c r="J2242">
        <f>_xlfn.NUMBERVALUE("0.000154")</f>
        <v/>
      </c>
      <c r="K2242">
        <f>_xlfn.NUMBERVALUE("-0.005616")</f>
        <v/>
      </c>
      <c r="L2242">
        <f>_xlfn.NUMBERVALUE("0.001279")</f>
        <v/>
      </c>
      <c r="M2242">
        <f>_xlfn.NUMBERVALUE("0.000638")</f>
        <v/>
      </c>
      <c r="N2242">
        <f>_xlfn.NUMBERVALUE("0.002067")</f>
        <v/>
      </c>
      <c r="O2242">
        <f>_xlfn.NUMBERVALUE("0.002361")</f>
        <v/>
      </c>
      <c r="P2242">
        <f>_xlfn.NUMBERVALUE("0.001615")</f>
        <v/>
      </c>
      <c r="Q2242">
        <f>_xlfn.NUMBERVALUE("0.001042")</f>
        <v/>
      </c>
      <c r="R2242">
        <f>_xlfn.NUMBERVALUE("0.001726")</f>
        <v/>
      </c>
      <c r="S2242">
        <f>_xlfn.NUMBERVALUE("0.000592")</f>
        <v/>
      </c>
      <c r="T2242">
        <f>_xlfn.NUMBERVALUE("0.000816")</f>
        <v/>
      </c>
      <c r="U2242">
        <f>_xlfn.NUMBERVALUE("0.001282")</f>
        <v/>
      </c>
      <c r="V2242">
        <f>_xlfn.NUMBERVALUE("0.000221")</f>
        <v/>
      </c>
      <c r="W2242">
        <f>_xlfn.NUMBERVALUE("-0.000483")</f>
        <v/>
      </c>
      <c r="X2242">
        <f>_xlfn.NUMBERVALUE("-0.390000")</f>
        <v/>
      </c>
      <c r="Y2242">
        <f>_xlfn.NUMBERVALUE("12.460000")</f>
        <v/>
      </c>
    </row>
    <row r="2243">
      <c r="A2243" s="1" t="n">
        <v>45257</v>
      </c>
      <c r="B2243">
        <f>_xlfn.NUMBERVALUE("0.000765")</f>
        <v/>
      </c>
      <c r="C2243" s="2">
        <f>_xlfn.NUMBERVALUE("0.000865")</f>
        <v/>
      </c>
      <c r="D2243">
        <f>_xlfn.NUMBERVALUE("0.002089")</f>
        <v/>
      </c>
      <c r="E2243">
        <f>_xlfn.NUMBERVALUE("0.000400")</f>
        <v/>
      </c>
      <c r="F2243">
        <f>_xlfn.NUMBERVALUE("0.000135")</f>
        <v/>
      </c>
      <c r="G2243">
        <f>_xlfn.NUMBERVALUE("0.001283")</f>
        <v/>
      </c>
      <c r="H2243">
        <f>_xlfn.NUMBERVALUE("-0.000986")</f>
        <v/>
      </c>
      <c r="I2243">
        <f>_xlfn.NUMBERVALUE("0.002324")</f>
        <v/>
      </c>
      <c r="J2243">
        <f>_xlfn.NUMBERVALUE("0.000381")</f>
        <v/>
      </c>
      <c r="K2243">
        <f>_xlfn.NUMBERVALUE("-0.000572")</f>
        <v/>
      </c>
      <c r="L2243">
        <f>_xlfn.NUMBERVALUE("-0.000932")</f>
        <v/>
      </c>
      <c r="M2243">
        <f>_xlfn.NUMBERVALUE("0.001388")</f>
        <v/>
      </c>
      <c r="N2243">
        <f>_xlfn.NUMBERVALUE("0.002267")</f>
        <v/>
      </c>
      <c r="O2243">
        <f>_xlfn.NUMBERVALUE("0.003212")</f>
        <v/>
      </c>
      <c r="P2243">
        <f>_xlfn.NUMBERVALUE("0.000879")</f>
        <v/>
      </c>
      <c r="Q2243">
        <f>_xlfn.NUMBERVALUE("0.000494")</f>
        <v/>
      </c>
      <c r="R2243">
        <f>_xlfn.NUMBERVALUE("0.000842")</f>
        <v/>
      </c>
      <c r="S2243">
        <f>_xlfn.NUMBERVALUE("0.001426")</f>
        <v/>
      </c>
      <c r="T2243">
        <f>_xlfn.NUMBERVALUE("0.001050")</f>
        <v/>
      </c>
      <c r="U2243">
        <f>_xlfn.NUMBERVALUE("0.001103")</f>
        <v/>
      </c>
      <c r="V2243">
        <f>_xlfn.NUMBERVALUE("0.000613")</f>
        <v/>
      </c>
      <c r="W2243">
        <f>_xlfn.NUMBERVALUE("0.000176")</f>
        <v/>
      </c>
      <c r="X2243">
        <f>_xlfn.NUMBERVALUE("0.230000")</f>
        <v/>
      </c>
      <c r="Y2243">
        <f>_xlfn.NUMBERVALUE("12.690000")</f>
        <v/>
      </c>
    </row>
    <row r="2244">
      <c r="A2244" s="1" t="n">
        <v>45258</v>
      </c>
      <c r="B2244">
        <f>_xlfn.NUMBERVALUE("-0.003725")</f>
        <v/>
      </c>
      <c r="C2244" s="2">
        <f>_xlfn.NUMBERVALUE("0.000417")</f>
        <v/>
      </c>
      <c r="D2244">
        <f>_xlfn.NUMBERVALUE("0.000671")</f>
        <v/>
      </c>
      <c r="E2244">
        <f>_xlfn.NUMBERVALUE("0.000340")</f>
        <v/>
      </c>
      <c r="F2244">
        <f>_xlfn.NUMBERVALUE("-0.004029")</f>
        <v/>
      </c>
      <c r="G2244">
        <f>_xlfn.NUMBERVALUE("0.001000")</f>
        <v/>
      </c>
      <c r="H2244">
        <f>_xlfn.NUMBERVALUE("-0.000357")</f>
        <v/>
      </c>
      <c r="I2244">
        <f>_xlfn.NUMBERVALUE("0.001281")</f>
        <v/>
      </c>
      <c r="J2244">
        <f>_xlfn.NUMBERVALUE("0.000265")</f>
        <v/>
      </c>
      <c r="K2244">
        <f>_xlfn.NUMBERVALUE("-0.000488")</f>
        <v/>
      </c>
      <c r="L2244">
        <f>_xlfn.NUMBERVALUE("0.000272")</f>
        <v/>
      </c>
      <c r="M2244">
        <f>_xlfn.NUMBERVALUE("0.000340")</f>
        <v/>
      </c>
      <c r="N2244">
        <f>_xlfn.NUMBERVALUE("0.001393")</f>
        <v/>
      </c>
      <c r="O2244">
        <f>_xlfn.NUMBERVALUE("0.001396")</f>
        <v/>
      </c>
      <c r="P2244">
        <f>_xlfn.NUMBERVALUE("-0.000811")</f>
        <v/>
      </c>
      <c r="Q2244">
        <f>_xlfn.NUMBERVALUE("0.000725")</f>
        <v/>
      </c>
      <c r="R2244">
        <f>_xlfn.NUMBERVALUE("0.000688")</f>
        <v/>
      </c>
      <c r="S2244">
        <f>_xlfn.NUMBERVALUE("-0.000341")</f>
        <v/>
      </c>
      <c r="T2244">
        <f>_xlfn.NUMBERVALUE("0.000297")</f>
        <v/>
      </c>
      <c r="U2244">
        <f>_xlfn.NUMBERVALUE("0.000749")</f>
        <v/>
      </c>
      <c r="V2244">
        <f>_xlfn.NUMBERVALUE("0.000313")</f>
        <v/>
      </c>
      <c r="W2244">
        <f>_xlfn.NUMBERVALUE("-0.000901")</f>
        <v/>
      </c>
      <c r="X2244">
        <f>_xlfn.NUMBERVALUE("0.000000")</f>
        <v/>
      </c>
      <c r="Y2244">
        <f>_xlfn.NUMBERVALUE("12.690000")</f>
        <v/>
      </c>
    </row>
    <row r="2245">
      <c r="A2245" s="1" t="n">
        <v>45259</v>
      </c>
      <c r="B2245">
        <f>_xlfn.NUMBERVALUE("-0.002643")</f>
        <v/>
      </c>
      <c r="C2245" s="2">
        <f>_xlfn.NUMBERVALUE("0.000060")</f>
        <v/>
      </c>
      <c r="D2245">
        <f>_xlfn.NUMBERVALUE("-0.001477")</f>
        <v/>
      </c>
      <c r="E2245">
        <f>_xlfn.NUMBERVALUE("0.000908")</f>
        <v/>
      </c>
      <c r="F2245">
        <f>_xlfn.NUMBERVALUE("0.000479")</f>
        <v/>
      </c>
      <c r="G2245">
        <f>_xlfn.NUMBERVALUE("-0.002360")</f>
        <v/>
      </c>
      <c r="H2245">
        <f>_xlfn.NUMBERVALUE("0.000109")</f>
        <v/>
      </c>
      <c r="I2245">
        <f>_xlfn.NUMBERVALUE("-0.000604")</f>
        <v/>
      </c>
      <c r="J2245">
        <f>_xlfn.NUMBERVALUE("0.000635")</f>
        <v/>
      </c>
      <c r="K2245">
        <f>_xlfn.NUMBERVALUE("0.001242")</f>
        <v/>
      </c>
      <c r="L2245">
        <f>_xlfn.NUMBERVALUE("-0.000068")</f>
        <v/>
      </c>
      <c r="M2245">
        <f>_xlfn.NUMBERVALUE("0.000626")</f>
        <v/>
      </c>
      <c r="N2245">
        <f>_xlfn.NUMBERVALUE("-0.000128")</f>
        <v/>
      </c>
      <c r="O2245">
        <f>_xlfn.NUMBERVALUE("-0.001608")</f>
        <v/>
      </c>
      <c r="P2245">
        <f>_xlfn.NUMBERVALUE("0.000311")</f>
        <v/>
      </c>
      <c r="Q2245">
        <f>_xlfn.NUMBERVALUE("0.000777")</f>
        <v/>
      </c>
      <c r="R2245">
        <f>_xlfn.NUMBERVALUE("0.000411")</f>
        <v/>
      </c>
      <c r="S2245">
        <f>_xlfn.NUMBERVALUE("0.000553")</f>
        <v/>
      </c>
      <c r="T2245">
        <f>_xlfn.NUMBERVALUE("0.000925")</f>
        <v/>
      </c>
      <c r="U2245">
        <f>_xlfn.NUMBERVALUE("0.000406")</f>
        <v/>
      </c>
      <c r="V2245">
        <f>_xlfn.NUMBERVALUE("0.000144")</f>
        <v/>
      </c>
      <c r="W2245">
        <f>_xlfn.NUMBERVALUE("-0.000330")</f>
        <v/>
      </c>
      <c r="X2245">
        <f>_xlfn.NUMBERVALUE("0.290000")</f>
        <v/>
      </c>
      <c r="Y2245">
        <f>_xlfn.NUMBERVALUE("12.980000")</f>
        <v/>
      </c>
    </row>
    <row r="2246">
      <c r="A2246" s="1" t="n">
        <v>45260</v>
      </c>
      <c r="B2246">
        <f>_xlfn.NUMBERVALUE("0.001538")</f>
        <v/>
      </c>
      <c r="C2246" s="2">
        <f>_xlfn.NUMBERVALUE("0.000115")</f>
        <v/>
      </c>
      <c r="D2246">
        <f>_xlfn.NUMBERVALUE("0.001135")</f>
        <v/>
      </c>
      <c r="E2246">
        <f>_xlfn.NUMBERVALUE("0.000223")</f>
        <v/>
      </c>
      <c r="F2246">
        <f>_xlfn.NUMBERVALUE("0.000898")</f>
        <v/>
      </c>
      <c r="G2246">
        <f>_xlfn.NUMBERVALUE("0.005601")</f>
        <v/>
      </c>
      <c r="H2246">
        <f>_xlfn.NUMBERVALUE("0.001154")</f>
        <v/>
      </c>
      <c r="I2246">
        <f>_xlfn.NUMBERVALUE("0.001889")</f>
        <v/>
      </c>
      <c r="J2246">
        <f>_xlfn.NUMBERVALUE("0.000729")</f>
        <v/>
      </c>
      <c r="K2246">
        <f>_xlfn.NUMBERVALUE("0.000253")</f>
        <v/>
      </c>
      <c r="L2246">
        <f>_xlfn.NUMBERVALUE("0.000812")</f>
        <v/>
      </c>
      <c r="M2246">
        <f>_xlfn.NUMBERVALUE("-0.000386")</f>
        <v/>
      </c>
      <c r="N2246">
        <f>_xlfn.NUMBERVALUE("-0.000885")</f>
        <v/>
      </c>
      <c r="O2246">
        <f>_xlfn.NUMBERVALUE("0.004038")</f>
        <v/>
      </c>
      <c r="P2246">
        <f>_xlfn.NUMBERVALUE("-0.000470")</f>
        <v/>
      </c>
      <c r="Q2246">
        <f>_xlfn.NUMBERVALUE("-0.000391")</f>
        <v/>
      </c>
      <c r="R2246">
        <f>_xlfn.NUMBERVALUE("0.000124")</f>
        <v/>
      </c>
      <c r="S2246">
        <f>_xlfn.NUMBERVALUE("-0.000826")</f>
        <v/>
      </c>
      <c r="T2246">
        <f>_xlfn.NUMBERVALUE("0.000309")</f>
        <v/>
      </c>
      <c r="U2246">
        <f>_xlfn.NUMBERVALUE("0.000810")</f>
        <v/>
      </c>
      <c r="V2246">
        <f>_xlfn.NUMBERVALUE("0.000521")</f>
        <v/>
      </c>
      <c r="W2246">
        <f>_xlfn.NUMBERVALUE("0.001738")</f>
        <v/>
      </c>
      <c r="X2246">
        <f>_xlfn.NUMBERVALUE("-0.060000")</f>
        <v/>
      </c>
      <c r="Y2246">
        <f>_xlfn.NUMBERVALUE("12.920000")</f>
        <v/>
      </c>
    </row>
    <row r="2247">
      <c r="A2247" s="1" t="n">
        <v>45261</v>
      </c>
      <c r="B2247">
        <f>_xlfn.NUMBERVALUE("-0.010783")</f>
        <v/>
      </c>
      <c r="C2247" s="2">
        <f>_xlfn.NUMBERVALUE("-0.000377")</f>
        <v/>
      </c>
      <c r="D2247">
        <f>_xlfn.NUMBERVALUE("0.000586")</f>
        <v/>
      </c>
      <c r="E2247">
        <f>_xlfn.NUMBERVALUE("-0.000141")</f>
        <v/>
      </c>
      <c r="F2247">
        <f>_xlfn.NUMBERVALUE("-0.002315")</f>
        <v/>
      </c>
      <c r="G2247">
        <f>_xlfn.NUMBERVALUE("-0.008275")</f>
        <v/>
      </c>
      <c r="H2247">
        <f>_xlfn.NUMBERVALUE("-0.002949")</f>
        <v/>
      </c>
      <c r="I2247">
        <f>_xlfn.NUMBERVALUE("-0.007035")</f>
        <v/>
      </c>
      <c r="J2247">
        <f>_xlfn.NUMBERVALUE("-0.003829")</f>
        <v/>
      </c>
      <c r="K2247">
        <f>_xlfn.NUMBERVALUE("0.000336")</f>
        <v/>
      </c>
      <c r="L2247">
        <f>_xlfn.NUMBERVALUE("-0.003836")</f>
        <v/>
      </c>
      <c r="M2247">
        <f>_xlfn.NUMBERVALUE("0.000735")</f>
        <v/>
      </c>
      <c r="N2247">
        <f>_xlfn.NUMBERVALUE("0.000593")</f>
        <v/>
      </c>
      <c r="O2247">
        <f>_xlfn.NUMBERVALUE("0.001024")</f>
        <v/>
      </c>
      <c r="P2247">
        <f>_xlfn.NUMBERVALUE("0.000619")</f>
        <v/>
      </c>
      <c r="Q2247">
        <f>_xlfn.NUMBERVALUE("-0.000032")</f>
        <v/>
      </c>
      <c r="R2247">
        <f>_xlfn.NUMBERVALUE("0.000941")</f>
        <v/>
      </c>
      <c r="S2247">
        <f>_xlfn.NUMBERVALUE("0.000177")</f>
        <v/>
      </c>
      <c r="T2247">
        <f>_xlfn.NUMBERVALUE("-0.000485")</f>
        <v/>
      </c>
      <c r="U2247">
        <f>_xlfn.NUMBERVALUE("-0.001076")</f>
        <v/>
      </c>
      <c r="V2247">
        <f>_xlfn.NUMBERVALUE("0.000168")</f>
        <v/>
      </c>
      <c r="W2247">
        <f>_xlfn.NUMBERVALUE("0.007688")</f>
        <v/>
      </c>
      <c r="X2247">
        <f>_xlfn.NUMBERVALUE("-0.290000")</f>
        <v/>
      </c>
      <c r="Y2247">
        <f>_xlfn.NUMBERVALUE("12.630000")</f>
        <v/>
      </c>
    </row>
    <row r="2248">
      <c r="A2248" s="1" t="n">
        <v>45264</v>
      </c>
      <c r="B2248">
        <f>_xlfn.NUMBERVALUE("0.000780")</f>
        <v/>
      </c>
      <c r="C2248" s="2">
        <f>_xlfn.NUMBERVALUE("0.000559")</f>
        <v/>
      </c>
      <c r="D2248">
        <f>_xlfn.NUMBERVALUE("0.001316")</f>
        <v/>
      </c>
      <c r="E2248">
        <f>_xlfn.NUMBERVALUE("0.000236")</f>
        <v/>
      </c>
      <c r="F2248">
        <f>_xlfn.NUMBERVALUE("-0.000131")</f>
        <v/>
      </c>
      <c r="G2248">
        <f>_xlfn.NUMBERVALUE("0.000207")</f>
        <v/>
      </c>
      <c r="H2248">
        <f>_xlfn.NUMBERVALUE("0.000521")</f>
        <v/>
      </c>
      <c r="I2248">
        <f>_xlfn.NUMBERVALUE("0.000294")</f>
        <v/>
      </c>
      <c r="J2248">
        <f>_xlfn.NUMBERVALUE("0.000537")</f>
        <v/>
      </c>
      <c r="K2248">
        <f>_xlfn.NUMBERVALUE("-0.000200")</f>
        <v/>
      </c>
      <c r="L2248">
        <f>_xlfn.NUMBERVALUE("0.000374")</f>
        <v/>
      </c>
      <c r="M2248">
        <f>_xlfn.NUMBERVALUE("-0.000387")</f>
        <v/>
      </c>
      <c r="N2248">
        <f>_xlfn.NUMBERVALUE("-0.002092")</f>
        <v/>
      </c>
      <c r="O2248">
        <f>_xlfn.NUMBERVALUE("0.002516")</f>
        <v/>
      </c>
      <c r="P2248">
        <f>_xlfn.NUMBERVALUE("0.000001")</f>
        <v/>
      </c>
      <c r="Q2248">
        <f>_xlfn.NUMBERVALUE("0.000779")</f>
        <v/>
      </c>
      <c r="R2248">
        <f>_xlfn.NUMBERVALUE("0.000016")</f>
        <v/>
      </c>
      <c r="S2248">
        <f>_xlfn.NUMBERVALUE("0.000543")</f>
        <v/>
      </c>
      <c r="T2248">
        <f>_xlfn.NUMBERVALUE("0.001387")</f>
        <v/>
      </c>
      <c r="U2248">
        <f>_xlfn.NUMBERVALUE("0.001472")</f>
        <v/>
      </c>
      <c r="V2248">
        <f>_xlfn.NUMBERVALUE("0.000187")</f>
        <v/>
      </c>
      <c r="W2248">
        <f>_xlfn.NUMBERVALUE("-0.005231")</f>
        <v/>
      </c>
      <c r="X2248">
        <f>_xlfn.NUMBERVALUE("0.450000")</f>
        <v/>
      </c>
      <c r="Y2248">
        <f>_xlfn.NUMBERVALUE("13.080000")</f>
        <v/>
      </c>
    </row>
    <row r="2249">
      <c r="A2249" s="1" t="n">
        <v>45265</v>
      </c>
      <c r="B2249">
        <f>_xlfn.NUMBERVALUE("0.003100")</f>
        <v/>
      </c>
      <c r="C2249" s="2">
        <f>_xlfn.NUMBERVALUE("0.000178")</f>
        <v/>
      </c>
      <c r="D2249">
        <f>_xlfn.NUMBERVALUE("0.000838")</f>
        <v/>
      </c>
      <c r="E2249">
        <f>_xlfn.NUMBERVALUE("0.000044")</f>
        <v/>
      </c>
      <c r="F2249">
        <f>_xlfn.NUMBERVALUE("0.002409")</f>
        <v/>
      </c>
      <c r="G2249">
        <f>_xlfn.NUMBERVALUE("0.000153")</f>
        <v/>
      </c>
      <c r="H2249">
        <f>_xlfn.NUMBERVALUE("0.000076")</f>
        <v/>
      </c>
      <c r="I2249">
        <f>_xlfn.NUMBERVALUE("0.000134")</f>
        <v/>
      </c>
      <c r="J2249">
        <f>_xlfn.NUMBERVALUE("0.000184")</f>
        <v/>
      </c>
      <c r="K2249">
        <f>_xlfn.NUMBERVALUE("0.000177")</f>
        <v/>
      </c>
      <c r="L2249">
        <f>_xlfn.NUMBERVALUE("0.000121")</f>
        <v/>
      </c>
      <c r="M2249">
        <f>_xlfn.NUMBERVALUE("0.000278")</f>
        <v/>
      </c>
      <c r="N2249">
        <f>_xlfn.NUMBERVALUE("-0.000060")</f>
        <v/>
      </c>
      <c r="O2249">
        <f>_xlfn.NUMBERVALUE("-0.000349")</f>
        <v/>
      </c>
      <c r="P2249">
        <f>_xlfn.NUMBERVALUE("0.000230")</f>
        <v/>
      </c>
      <c r="Q2249">
        <f>_xlfn.NUMBERVALUE("-0.000108")</f>
        <v/>
      </c>
      <c r="R2249">
        <f>_xlfn.NUMBERVALUE("0.001379")</f>
        <v/>
      </c>
      <c r="S2249">
        <f>_xlfn.NUMBERVALUE("-0.000138")</f>
        <v/>
      </c>
      <c r="T2249">
        <f>_xlfn.NUMBERVALUE("0.000390")</f>
        <v/>
      </c>
      <c r="U2249">
        <f>_xlfn.NUMBERVALUE("0.000855")</f>
        <v/>
      </c>
      <c r="V2249">
        <f>_xlfn.NUMBERVALUE("0.000120")</f>
        <v/>
      </c>
      <c r="W2249">
        <f>_xlfn.NUMBERVALUE("-0.000197")</f>
        <v/>
      </c>
      <c r="X2249">
        <f>_xlfn.NUMBERVALUE("-0.230000")</f>
        <v/>
      </c>
      <c r="Y2249">
        <f>_xlfn.NUMBERVALUE("12.850000")</f>
        <v/>
      </c>
    </row>
    <row r="2250">
      <c r="A2250" s="1" t="n">
        <v>45266</v>
      </c>
      <c r="B2250">
        <f>_xlfn.NUMBERVALUE("0.003281")</f>
        <v/>
      </c>
      <c r="C2250" s="2">
        <f>_xlfn.NUMBERVALUE("0.000529")</f>
        <v/>
      </c>
      <c r="D2250">
        <f>_xlfn.NUMBERVALUE("0.001204")</f>
        <v/>
      </c>
      <c r="E2250">
        <f>_xlfn.NUMBERVALUE("0.000268")</f>
        <v/>
      </c>
      <c r="F2250">
        <f>_xlfn.NUMBERVALUE("0.000647")</f>
        <v/>
      </c>
      <c r="G2250">
        <f>_xlfn.NUMBERVALUE("0.000974")</f>
        <v/>
      </c>
      <c r="H2250">
        <f>_xlfn.NUMBERVALUE("-0.000503")</f>
        <v/>
      </c>
      <c r="I2250">
        <f>_xlfn.NUMBERVALUE("0.000311")</f>
        <v/>
      </c>
      <c r="J2250">
        <f>_xlfn.NUMBERVALUE("-0.000371")</f>
        <v/>
      </c>
      <c r="K2250">
        <f>_xlfn.NUMBERVALUE("-0.000016")</f>
        <v/>
      </c>
      <c r="L2250">
        <f>_xlfn.NUMBERVALUE("0.000081")</f>
        <v/>
      </c>
      <c r="M2250">
        <f>_xlfn.NUMBERVALUE("-0.000007")</f>
        <v/>
      </c>
      <c r="N2250">
        <f>_xlfn.NUMBERVALUE("0.000720")</f>
        <v/>
      </c>
      <c r="O2250">
        <f>_xlfn.NUMBERVALUE("-0.003988")</f>
        <v/>
      </c>
      <c r="P2250">
        <f>_xlfn.NUMBERVALUE("-0.000048")</f>
        <v/>
      </c>
      <c r="Q2250">
        <f>_xlfn.NUMBERVALUE("0.000086")</f>
        <v/>
      </c>
      <c r="R2250">
        <f>_xlfn.NUMBERVALUE("0.000347")</f>
        <v/>
      </c>
      <c r="S2250">
        <f>_xlfn.NUMBERVALUE("0.000666")</f>
        <v/>
      </c>
      <c r="T2250">
        <f>_xlfn.NUMBERVALUE("-0.000293")</f>
        <v/>
      </c>
      <c r="U2250">
        <f>_xlfn.NUMBERVALUE("-0.000931")</f>
        <v/>
      </c>
      <c r="V2250">
        <f>_xlfn.NUMBERVALUE("0.000343")</f>
        <v/>
      </c>
      <c r="W2250">
        <f>_xlfn.NUMBERVALUE("-0.002937")</f>
        <v/>
      </c>
      <c r="X2250">
        <f>_xlfn.NUMBERVALUE("0.120000")</f>
        <v/>
      </c>
      <c r="Y2250">
        <f>_xlfn.NUMBERVALUE("12.970000")</f>
        <v/>
      </c>
    </row>
    <row r="2251">
      <c r="A2251" s="1" t="n">
        <v>45267</v>
      </c>
      <c r="B2251">
        <f>_xlfn.NUMBERVALUE("0.000988")</f>
        <v/>
      </c>
      <c r="C2251" s="2">
        <f>_xlfn.NUMBERVALUE("0.000095")</f>
        <v/>
      </c>
      <c r="D2251">
        <f>_xlfn.NUMBERVALUE("0.001644")</f>
        <v/>
      </c>
      <c r="E2251">
        <f>_xlfn.NUMBERVALUE("-0.000063")</f>
        <v/>
      </c>
      <c r="F2251">
        <f>_xlfn.NUMBERVALUE("0.001562")</f>
        <v/>
      </c>
      <c r="G2251">
        <f>_xlfn.NUMBERVALUE("-0.000646")</f>
        <v/>
      </c>
      <c r="H2251">
        <f>_xlfn.NUMBERVALUE("0.000302")</f>
        <v/>
      </c>
      <c r="I2251">
        <f>_xlfn.NUMBERVALUE("-0.000799")</f>
        <v/>
      </c>
      <c r="J2251">
        <f>_xlfn.NUMBERVALUE("-0.000635")</f>
        <v/>
      </c>
      <c r="K2251">
        <f>_xlfn.NUMBERVALUE("0.000295")</f>
        <v/>
      </c>
      <c r="L2251">
        <f>_xlfn.NUMBERVALUE("0.000095")</f>
        <v/>
      </c>
      <c r="M2251">
        <f>_xlfn.NUMBERVALUE("0.000122")</f>
        <v/>
      </c>
      <c r="N2251">
        <f>_xlfn.NUMBERVALUE("-0.003964")</f>
        <v/>
      </c>
      <c r="O2251">
        <f>_xlfn.NUMBERVALUE("0.001177")</f>
        <v/>
      </c>
      <c r="P2251">
        <f>_xlfn.NUMBERVALUE("0.000096")</f>
        <v/>
      </c>
      <c r="Q2251">
        <f>_xlfn.NUMBERVALUE("-0.000015")</f>
        <v/>
      </c>
      <c r="R2251">
        <f>_xlfn.NUMBERVALUE("-0.000848")</f>
        <v/>
      </c>
      <c r="S2251">
        <f>_xlfn.NUMBERVALUE("-0.000008")</f>
        <v/>
      </c>
      <c r="T2251">
        <f>_xlfn.NUMBERVALUE("0.000119")</f>
        <v/>
      </c>
      <c r="U2251">
        <f>_xlfn.NUMBERVALUE("0.000380")</f>
        <v/>
      </c>
      <c r="V2251">
        <f>_xlfn.NUMBERVALUE("-0.000920")</f>
        <v/>
      </c>
      <c r="W2251">
        <f>_xlfn.NUMBERVALUE("0.007277")</f>
        <v/>
      </c>
      <c r="X2251">
        <f>_xlfn.NUMBERVALUE("0.090000")</f>
        <v/>
      </c>
      <c r="Y2251">
        <f>_xlfn.NUMBERVALUE("13.060000")</f>
        <v/>
      </c>
    </row>
    <row r="2252">
      <c r="A2252" s="1" t="n">
        <v>45268</v>
      </c>
      <c r="B2252">
        <f>_xlfn.NUMBERVALUE("0.000969")</f>
        <v/>
      </c>
      <c r="C2252" s="2">
        <f>_xlfn.NUMBERVALUE("0.000665")</f>
        <v/>
      </c>
      <c r="D2252">
        <f>_xlfn.NUMBERVALUE("0.002823")</f>
        <v/>
      </c>
      <c r="E2252">
        <f>_xlfn.NUMBERVALUE("0.000686")</f>
        <v/>
      </c>
      <c r="F2252">
        <f>_xlfn.NUMBERVALUE("-0.000881")</f>
        <v/>
      </c>
      <c r="G2252">
        <f>_xlfn.NUMBERVALUE("0.000647")</f>
        <v/>
      </c>
      <c r="H2252">
        <f>_xlfn.NUMBERVALUE("-0.000276")</f>
        <v/>
      </c>
      <c r="I2252">
        <f>_xlfn.NUMBERVALUE("0.001912")</f>
        <v/>
      </c>
      <c r="J2252">
        <f>_xlfn.NUMBERVALUE("0.001059")</f>
        <v/>
      </c>
      <c r="K2252">
        <f>_xlfn.NUMBERVALUE("-0.006907")</f>
        <v/>
      </c>
      <c r="L2252">
        <f>_xlfn.NUMBERVALUE("0.002570")</f>
        <v/>
      </c>
      <c r="M2252">
        <f>_xlfn.NUMBERVALUE("0.000121")</f>
        <v/>
      </c>
      <c r="N2252">
        <f>_xlfn.NUMBERVALUE("0.003395")</f>
        <v/>
      </c>
      <c r="O2252">
        <f>_xlfn.NUMBERVALUE("0.001228")</f>
        <v/>
      </c>
      <c r="P2252">
        <f>_xlfn.NUMBERVALUE("-0.000011")</f>
        <v/>
      </c>
      <c r="Q2252">
        <f>_xlfn.NUMBERVALUE("-0.000015")</f>
        <v/>
      </c>
      <c r="R2252">
        <f>_xlfn.NUMBERVALUE("-0.000010")</f>
        <v/>
      </c>
      <c r="S2252">
        <f>_xlfn.NUMBERVALUE("0.000003")</f>
        <v/>
      </c>
      <c r="T2252">
        <f>_xlfn.NUMBERVALUE("-0.000008")</f>
        <v/>
      </c>
      <c r="U2252">
        <f>_xlfn.NUMBERVALUE("-0.000096")</f>
        <v/>
      </c>
      <c r="V2252">
        <f>_xlfn.NUMBERVALUE("0.001251")</f>
        <v/>
      </c>
      <c r="W2252">
        <f>_xlfn.NUMBERVALUE("0.005129")</f>
        <v/>
      </c>
      <c r="X2252">
        <f>_xlfn.NUMBERVALUE("-0.710000")</f>
        <v/>
      </c>
      <c r="Y2252">
        <f>_xlfn.NUMBERVALUE("12.350000")</f>
        <v/>
      </c>
    </row>
    <row r="2253">
      <c r="A2253" s="1" t="n">
        <v>45271</v>
      </c>
      <c r="B2253">
        <f>_xlfn.NUMBERVALUE("0.002649")</f>
        <v/>
      </c>
      <c r="C2253" s="2">
        <f>_xlfn.NUMBERVALUE("0.000917")</f>
        <v/>
      </c>
      <c r="D2253">
        <f>_xlfn.NUMBERVALUE("0.000943")</f>
        <v/>
      </c>
      <c r="E2253">
        <f>_xlfn.NUMBERVALUE("0.001459")</f>
        <v/>
      </c>
      <c r="F2253">
        <f>_xlfn.NUMBERVALUE("-0.001324")</f>
        <v/>
      </c>
      <c r="G2253">
        <f>_xlfn.NUMBERVALUE("0.000744")</f>
        <v/>
      </c>
      <c r="H2253">
        <f>_xlfn.NUMBERVALUE("0.001588")</f>
        <v/>
      </c>
      <c r="I2253">
        <f>_xlfn.NUMBERVALUE("0.001354")</f>
        <v/>
      </c>
      <c r="J2253">
        <f>_xlfn.NUMBERVALUE("0.000860")</f>
        <v/>
      </c>
      <c r="K2253">
        <f>_xlfn.NUMBERVALUE("-0.000014")</f>
        <v/>
      </c>
      <c r="L2253">
        <f>_xlfn.NUMBERVALUE("0.000657")</f>
        <v/>
      </c>
      <c r="M2253">
        <f>_xlfn.NUMBERVALUE("0.001779")</f>
        <v/>
      </c>
      <c r="N2253">
        <f>_xlfn.NUMBERVALUE("0.001039")</f>
        <v/>
      </c>
      <c r="O2253">
        <f>_xlfn.NUMBERVALUE("0.002503")</f>
        <v/>
      </c>
      <c r="P2253">
        <f>_xlfn.NUMBERVALUE("0.000170")</f>
        <v/>
      </c>
      <c r="Q2253">
        <f>_xlfn.NUMBERVALUE("0.000289")</f>
        <v/>
      </c>
      <c r="R2253">
        <f>_xlfn.NUMBERVALUE("0.000755")</f>
        <v/>
      </c>
      <c r="S2253">
        <f>_xlfn.NUMBERVALUE("-0.000149")</f>
        <v/>
      </c>
      <c r="T2253">
        <f>_xlfn.NUMBERVALUE("0.002753")</f>
        <v/>
      </c>
      <c r="U2253">
        <f>_xlfn.NUMBERVALUE("0.001314")</f>
        <v/>
      </c>
      <c r="V2253">
        <f>_xlfn.NUMBERVALUE("0.000917")</f>
        <v/>
      </c>
      <c r="W2253">
        <f>_xlfn.NUMBERVALUE("0.002541")</f>
        <v/>
      </c>
      <c r="X2253">
        <f>_xlfn.NUMBERVALUE("0.280000")</f>
        <v/>
      </c>
      <c r="Y2253">
        <f>_xlfn.NUMBERVALUE("12.630000")</f>
        <v/>
      </c>
    </row>
    <row r="2254">
      <c r="A2254" s="1" t="n">
        <v>45272</v>
      </c>
      <c r="B2254">
        <f>_xlfn.NUMBERVALUE("0.004296")</f>
        <v/>
      </c>
      <c r="C2254" s="2">
        <f>_xlfn.NUMBERVALUE("0.000573")</f>
        <v/>
      </c>
      <c r="D2254">
        <f>_xlfn.NUMBERVALUE("0.004246")</f>
        <v/>
      </c>
      <c r="E2254">
        <f>_xlfn.NUMBERVALUE("0.001449")</f>
        <v/>
      </c>
      <c r="F2254">
        <f>_xlfn.NUMBERVALUE("0.001989")</f>
        <v/>
      </c>
      <c r="G2254">
        <f>_xlfn.NUMBERVALUE("0.001504")</f>
        <v/>
      </c>
      <c r="H2254">
        <f>_xlfn.NUMBERVALUE("0.001264")</f>
        <v/>
      </c>
      <c r="I2254">
        <f>_xlfn.NUMBERVALUE("0.003889")</f>
        <v/>
      </c>
      <c r="J2254">
        <f>_xlfn.NUMBERVALUE("0.000973")</f>
        <v/>
      </c>
      <c r="K2254">
        <f>_xlfn.NUMBERVALUE("-0.000235")</f>
        <v/>
      </c>
      <c r="L2254">
        <f>_xlfn.NUMBERVALUE("0.003318")</f>
        <v/>
      </c>
      <c r="M2254">
        <f>_xlfn.NUMBERVALUE("0.000939")</f>
        <v/>
      </c>
      <c r="N2254">
        <f>_xlfn.NUMBERVALUE("0.002664")</f>
        <v/>
      </c>
      <c r="O2254">
        <f>_xlfn.NUMBERVALUE("0.001145")</f>
        <v/>
      </c>
      <c r="P2254">
        <f>_xlfn.NUMBERVALUE("0.001107")</f>
        <v/>
      </c>
      <c r="Q2254">
        <f>_xlfn.NUMBERVALUE("0.001302")</f>
        <v/>
      </c>
      <c r="R2254">
        <f>_xlfn.NUMBERVALUE("0.000844")</f>
        <v/>
      </c>
      <c r="S2254">
        <f>_xlfn.NUMBERVALUE("0.001443")</f>
        <v/>
      </c>
      <c r="T2254">
        <f>_xlfn.NUMBERVALUE("0.002817")</f>
        <v/>
      </c>
      <c r="U2254">
        <f>_xlfn.NUMBERVALUE("0.003122")</f>
        <v/>
      </c>
      <c r="V2254">
        <f>_xlfn.NUMBERVALUE("0.001287")</f>
        <v/>
      </c>
      <c r="W2254">
        <f>_xlfn.NUMBERVALUE("0.004613")</f>
        <v/>
      </c>
      <c r="X2254">
        <f>_xlfn.NUMBERVALUE("-0.560000")</f>
        <v/>
      </c>
      <c r="Y2254">
        <f>_xlfn.NUMBERVALUE("12.070000")</f>
        <v/>
      </c>
    </row>
    <row r="2255">
      <c r="A2255" s="1" t="n">
        <v>45273</v>
      </c>
      <c r="B2255">
        <f>_xlfn.NUMBERVALUE("-0.004418")</f>
        <v/>
      </c>
      <c r="C2255" s="2">
        <f>_xlfn.NUMBERVALUE("-0.003333")</f>
        <v/>
      </c>
      <c r="D2255">
        <f>_xlfn.NUMBERVALUE("-0.004081")</f>
        <v/>
      </c>
      <c r="E2255">
        <f>_xlfn.NUMBERVALUE("-0.003757")</f>
        <v/>
      </c>
      <c r="F2255">
        <f>_xlfn.NUMBERVALUE("-0.003935")</f>
        <v/>
      </c>
      <c r="G2255">
        <f>_xlfn.NUMBERVALUE("-0.004664")</f>
        <v/>
      </c>
      <c r="H2255">
        <f>_xlfn.NUMBERVALUE("-0.002914")</f>
        <v/>
      </c>
      <c r="I2255">
        <f>_xlfn.NUMBERVALUE("-0.009482")</f>
        <v/>
      </c>
      <c r="J2255">
        <f>_xlfn.NUMBERVALUE("-0.006162")</f>
        <v/>
      </c>
      <c r="K2255">
        <f>_xlfn.NUMBERVALUE("-0.002883")</f>
        <v/>
      </c>
      <c r="L2255">
        <f>_xlfn.NUMBERVALUE("-0.001600")</f>
        <v/>
      </c>
      <c r="M2255">
        <f>_xlfn.NUMBERVALUE("-0.001668")</f>
        <v/>
      </c>
      <c r="N2255">
        <f>_xlfn.NUMBERVALUE("-0.001233")</f>
        <v/>
      </c>
      <c r="O2255">
        <f>_xlfn.NUMBERVALUE("0.000369")</f>
        <v/>
      </c>
      <c r="P2255">
        <f>_xlfn.NUMBERVALUE("-0.003235")</f>
        <v/>
      </c>
      <c r="Q2255">
        <f>_xlfn.NUMBERVALUE("-0.001072")</f>
        <v/>
      </c>
      <c r="R2255">
        <f>_xlfn.NUMBERVALUE("-0.000807")</f>
        <v/>
      </c>
      <c r="S2255">
        <f>_xlfn.NUMBERVALUE("-0.005026")</f>
        <v/>
      </c>
      <c r="T2255">
        <f>_xlfn.NUMBERVALUE("-0.014463")</f>
        <v/>
      </c>
      <c r="U2255">
        <f>_xlfn.NUMBERVALUE("-0.002476")</f>
        <v/>
      </c>
      <c r="V2255">
        <f>_xlfn.NUMBERVALUE("-0.002469")</f>
        <v/>
      </c>
      <c r="W2255">
        <f>_xlfn.NUMBERVALUE("0.012785")</f>
        <v/>
      </c>
      <c r="X2255">
        <f>_xlfn.NUMBERVALUE("0.120000")</f>
        <v/>
      </c>
      <c r="Y2255">
        <f>_xlfn.NUMBERVALUE("12.190000")</f>
        <v/>
      </c>
    </row>
    <row r="2256">
      <c r="A2256" s="1" t="n">
        <v>45274</v>
      </c>
      <c r="B2256">
        <f>_xlfn.NUMBERVALUE("-0.002163")</f>
        <v/>
      </c>
      <c r="C2256" s="2">
        <f>_xlfn.NUMBERVALUE("0.000039")</f>
        <v/>
      </c>
      <c r="D2256">
        <f>_xlfn.NUMBERVALUE("-0.005857")</f>
        <v/>
      </c>
      <c r="E2256">
        <f>_xlfn.NUMBERVALUE("0.001303")</f>
        <v/>
      </c>
      <c r="F2256">
        <f>_xlfn.NUMBERVALUE("-0.000449")</f>
        <v/>
      </c>
      <c r="G2256">
        <f>_xlfn.NUMBERVALUE("-0.003674")</f>
        <v/>
      </c>
      <c r="H2256">
        <f>_xlfn.NUMBERVALUE("-0.000749")</f>
        <v/>
      </c>
      <c r="I2256">
        <f>_xlfn.NUMBERVALUE("-0.004279")</f>
        <v/>
      </c>
      <c r="J2256">
        <f>_xlfn.NUMBERVALUE("-0.003461")</f>
        <v/>
      </c>
      <c r="K2256">
        <f>_xlfn.NUMBERVALUE("0.001310")</f>
        <v/>
      </c>
      <c r="L2256">
        <f>_xlfn.NUMBERVALUE("-0.009704")</f>
        <v/>
      </c>
      <c r="M2256">
        <f>_xlfn.NUMBERVALUE("-0.001741")</f>
        <v/>
      </c>
      <c r="N2256">
        <f>_xlfn.NUMBERVALUE("0.001700")</f>
        <v/>
      </c>
      <c r="O2256">
        <f>_xlfn.NUMBERVALUE("-0.004948")</f>
        <v/>
      </c>
      <c r="P2256">
        <f>_xlfn.NUMBERVALUE("-0.000876")</f>
        <v/>
      </c>
      <c r="Q2256">
        <f>_xlfn.NUMBERVALUE("-0.001300")</f>
        <v/>
      </c>
      <c r="R2256">
        <f>_xlfn.NUMBERVALUE("0.001836")</f>
        <v/>
      </c>
      <c r="S2256">
        <f>_xlfn.NUMBERVALUE("0.000405")</f>
        <v/>
      </c>
      <c r="T2256">
        <f>_xlfn.NUMBERVALUE("-0.000047")</f>
        <v/>
      </c>
      <c r="U2256">
        <f>_xlfn.NUMBERVALUE("-0.001422")</f>
        <v/>
      </c>
      <c r="V2256">
        <f>_xlfn.NUMBERVALUE("0.000256")</f>
        <v/>
      </c>
      <c r="W2256">
        <f>_xlfn.NUMBERVALUE("0.003491")</f>
        <v/>
      </c>
      <c r="X2256">
        <f>_xlfn.NUMBERVALUE("0.290000")</f>
        <v/>
      </c>
      <c r="Y2256">
        <f>_xlfn.NUMBERVALUE("12.480000")</f>
        <v/>
      </c>
    </row>
    <row r="2257">
      <c r="A2257" s="1" t="n">
        <v>45275</v>
      </c>
      <c r="B2257">
        <f>_xlfn.NUMBERVALUE("0.000889")</f>
        <v/>
      </c>
      <c r="C2257" s="2">
        <f>_xlfn.NUMBERVALUE("-0.001049")</f>
        <v/>
      </c>
      <c r="D2257">
        <f>_xlfn.NUMBERVALUE("0.009790")</f>
        <v/>
      </c>
      <c r="E2257">
        <f>_xlfn.NUMBERVALUE("0.001569")</f>
        <v/>
      </c>
      <c r="F2257">
        <f>_xlfn.NUMBERVALUE("0.000383")</f>
        <v/>
      </c>
      <c r="G2257">
        <f>_xlfn.NUMBERVALUE("0.000499")</f>
        <v/>
      </c>
      <c r="H2257">
        <f>_xlfn.NUMBERVALUE("0.000240")</f>
        <v/>
      </c>
      <c r="I2257">
        <f>_xlfn.NUMBERVALUE("0.001436")</f>
        <v/>
      </c>
      <c r="J2257">
        <f>_xlfn.NUMBERVALUE("0.001287")</f>
        <v/>
      </c>
      <c r="K2257">
        <f>_xlfn.NUMBERVALUE("0.000079")</f>
        <v/>
      </c>
      <c r="L2257">
        <f>_xlfn.NUMBERVALUE("0.002482")</f>
        <v/>
      </c>
      <c r="M2257">
        <f>_xlfn.NUMBERVALUE("0.000086")</f>
        <v/>
      </c>
      <c r="N2257">
        <f>_xlfn.NUMBERVALUE("0.000288")</f>
        <v/>
      </c>
      <c r="O2257">
        <f>_xlfn.NUMBERVALUE("0.001013")</f>
        <v/>
      </c>
      <c r="P2257">
        <f>_xlfn.NUMBERVALUE("0.000390")</f>
        <v/>
      </c>
      <c r="Q2257">
        <f>_xlfn.NUMBERVALUE("0.000509")</f>
        <v/>
      </c>
      <c r="R2257">
        <f>_xlfn.NUMBERVALUE("-0.000316")</f>
        <v/>
      </c>
      <c r="S2257">
        <f>_xlfn.NUMBERVALUE("-0.007860")</f>
        <v/>
      </c>
      <c r="T2257">
        <f>_xlfn.NUMBERVALUE("-0.005454")</f>
        <v/>
      </c>
      <c r="U2257">
        <f>_xlfn.NUMBERVALUE("0.000845")</f>
        <v/>
      </c>
      <c r="V2257">
        <f>_xlfn.NUMBERVALUE("-0.002931")</f>
        <v/>
      </c>
      <c r="W2257">
        <f>_xlfn.NUMBERVALUE("-0.004837")</f>
        <v/>
      </c>
      <c r="X2257">
        <f>_xlfn.NUMBERVALUE("-0.200000")</f>
        <v/>
      </c>
      <c r="Y2257">
        <f>_xlfn.NUMBERVALUE("12.280000")</f>
        <v/>
      </c>
    </row>
    <row r="2258">
      <c r="A2258" s="1" t="n">
        <v>45278</v>
      </c>
      <c r="B2258">
        <f>_xlfn.NUMBERVALUE("0.001871")</f>
        <v/>
      </c>
      <c r="C2258" s="2">
        <f>_xlfn.NUMBERVALUE("0.000184")</f>
        <v/>
      </c>
      <c r="D2258">
        <f>_xlfn.NUMBERVALUE("-0.001285")</f>
        <v/>
      </c>
      <c r="E2258">
        <f>_xlfn.NUMBERVALUE("-0.001084")</f>
        <v/>
      </c>
      <c r="F2258">
        <f>_xlfn.NUMBERVALUE("0.001375")</f>
        <v/>
      </c>
      <c r="G2258">
        <f>_xlfn.NUMBERVALUE("0.000364")</f>
        <v/>
      </c>
      <c r="H2258">
        <f>_xlfn.NUMBERVALUE("0.001063")</f>
        <v/>
      </c>
      <c r="I2258">
        <f>_xlfn.NUMBERVALUE("0.000551")</f>
        <v/>
      </c>
      <c r="J2258">
        <f>_xlfn.NUMBERVALUE("0.000195")</f>
        <v/>
      </c>
      <c r="K2258">
        <f>_xlfn.NUMBERVALUE("0.000811")</f>
        <v/>
      </c>
      <c r="L2258">
        <f>_xlfn.NUMBERVALUE("0.001965")</f>
        <v/>
      </c>
      <c r="M2258">
        <f>_xlfn.NUMBERVALUE("-0.001867")</f>
        <v/>
      </c>
      <c r="N2258">
        <f>_xlfn.NUMBERVALUE("-0.002136")</f>
        <v/>
      </c>
      <c r="O2258">
        <f>_xlfn.NUMBERVALUE("-0.001866")</f>
        <v/>
      </c>
      <c r="P2258">
        <f>_xlfn.NUMBERVALUE("-0.002797")</f>
        <v/>
      </c>
      <c r="Q2258">
        <f>_xlfn.NUMBERVALUE("-0.002670")</f>
        <v/>
      </c>
      <c r="R2258">
        <f>_xlfn.NUMBERVALUE("-0.000013")</f>
        <v/>
      </c>
      <c r="S2258">
        <f>_xlfn.NUMBERVALUE("0.003632")</f>
        <v/>
      </c>
      <c r="T2258">
        <f>_xlfn.NUMBERVALUE("0.001431")</f>
        <v/>
      </c>
      <c r="U2258">
        <f>_xlfn.NUMBERVALUE("-0.000786")</f>
        <v/>
      </c>
      <c r="V2258">
        <f>_xlfn.NUMBERVALUE("-0.000064")</f>
        <v/>
      </c>
      <c r="W2258">
        <f>_xlfn.NUMBERVALUE("0.006907")</f>
        <v/>
      </c>
      <c r="X2258">
        <f>_xlfn.NUMBERVALUE("0.280000")</f>
        <v/>
      </c>
      <c r="Y2258">
        <f>_xlfn.NUMBERVALUE("12.560000")</f>
        <v/>
      </c>
    </row>
    <row r="2259">
      <c r="A2259" s="1" t="n">
        <v>45279</v>
      </c>
      <c r="B2259">
        <f>_xlfn.NUMBERVALUE("-0.000896")</f>
        <v/>
      </c>
      <c r="C2259" s="2">
        <f>_xlfn.NUMBERVALUE("-0.000496")</f>
        <v/>
      </c>
      <c r="D2259">
        <f>_xlfn.NUMBERVALUE("-0.001018")</f>
        <v/>
      </c>
      <c r="E2259">
        <f>_xlfn.NUMBERVALUE("0.000435")</f>
        <v/>
      </c>
      <c r="F2259">
        <f>_xlfn.NUMBERVALUE("0.000020")</f>
        <v/>
      </c>
      <c r="G2259">
        <f>_xlfn.NUMBERVALUE("0.000233")</f>
        <v/>
      </c>
      <c r="H2259">
        <f>_xlfn.NUMBERVALUE("0.000635")</f>
        <v/>
      </c>
      <c r="I2259">
        <f>_xlfn.NUMBERVALUE("-0.002129")</f>
        <v/>
      </c>
      <c r="J2259">
        <f>_xlfn.NUMBERVALUE("0.000076")</f>
        <v/>
      </c>
      <c r="K2259">
        <f>_xlfn.NUMBERVALUE("0.000865")</f>
        <v/>
      </c>
      <c r="L2259">
        <f>_xlfn.NUMBERVALUE("0.001597")</f>
        <v/>
      </c>
      <c r="M2259">
        <f>_xlfn.NUMBERVALUE("-0.000771")</f>
        <v/>
      </c>
      <c r="N2259">
        <f>_xlfn.NUMBERVALUE("-0.000563")</f>
        <v/>
      </c>
      <c r="O2259">
        <f>_xlfn.NUMBERVALUE("0.000120")</f>
        <v/>
      </c>
      <c r="P2259">
        <f>_xlfn.NUMBERVALUE("0.000246")</f>
        <v/>
      </c>
      <c r="Q2259">
        <f>_xlfn.NUMBERVALUE("-0.000211")</f>
        <v/>
      </c>
      <c r="R2259">
        <f>_xlfn.NUMBERVALUE("0.000691")</f>
        <v/>
      </c>
      <c r="S2259">
        <f>_xlfn.NUMBERVALUE("0.000459")</f>
        <v/>
      </c>
      <c r="T2259">
        <f>_xlfn.NUMBERVALUE("0.000761")</f>
        <v/>
      </c>
      <c r="U2259">
        <f>_xlfn.NUMBERVALUE("0.000522")</f>
        <v/>
      </c>
      <c r="V2259">
        <f>_xlfn.NUMBERVALUE("0.000088")</f>
        <v/>
      </c>
      <c r="W2259">
        <f>_xlfn.NUMBERVALUE("0.004001")</f>
        <v/>
      </c>
      <c r="X2259">
        <f>_xlfn.NUMBERVALUE("-0.030000")</f>
        <v/>
      </c>
      <c r="Y2259">
        <f>_xlfn.NUMBERVALUE("12.530000")</f>
        <v/>
      </c>
    </row>
    <row r="2260">
      <c r="A2260" s="1" t="n">
        <v>45280</v>
      </c>
      <c r="B2260">
        <f>_xlfn.NUMBERVALUE("0.000548")</f>
        <v/>
      </c>
      <c r="C2260" s="2">
        <f>_xlfn.NUMBERVALUE("0.000740")</f>
        <v/>
      </c>
      <c r="D2260">
        <f>_xlfn.NUMBERVALUE("-0.019661")</f>
        <v/>
      </c>
      <c r="E2260">
        <f>_xlfn.NUMBERVALUE("-0.008139")</f>
        <v/>
      </c>
      <c r="F2260">
        <f>_xlfn.NUMBERVALUE("-0.000046")</f>
        <v/>
      </c>
      <c r="G2260">
        <f>_xlfn.NUMBERVALUE("-0.000645")</f>
        <v/>
      </c>
      <c r="H2260">
        <f>_xlfn.NUMBERVALUE("-0.000563")</f>
        <v/>
      </c>
      <c r="I2260">
        <f>_xlfn.NUMBERVALUE("-0.003727")</f>
        <v/>
      </c>
      <c r="J2260">
        <f>_xlfn.NUMBERVALUE("0.000007")</f>
        <v/>
      </c>
      <c r="K2260">
        <f>_xlfn.NUMBERVALUE("0.002075")</f>
        <v/>
      </c>
      <c r="L2260">
        <f>_xlfn.NUMBERVALUE("-0.000717")</f>
        <v/>
      </c>
      <c r="M2260">
        <f>_xlfn.NUMBERVALUE("-0.001798")</f>
        <v/>
      </c>
      <c r="N2260">
        <f>_xlfn.NUMBERVALUE("-0.001472")</f>
        <v/>
      </c>
      <c r="O2260">
        <f>_xlfn.NUMBERVALUE("-0.000484")</f>
        <v/>
      </c>
      <c r="P2260">
        <f>_xlfn.NUMBERVALUE("-0.000629")</f>
        <v/>
      </c>
      <c r="Q2260">
        <f>_xlfn.NUMBERVALUE("-0.003092")</f>
        <v/>
      </c>
      <c r="R2260">
        <f>_xlfn.NUMBERVALUE("-0.000580")</f>
        <v/>
      </c>
      <c r="S2260">
        <f>_xlfn.NUMBERVALUE("-0.002138")</f>
        <v/>
      </c>
      <c r="T2260">
        <f>_xlfn.NUMBERVALUE("-0.002052")</f>
        <v/>
      </c>
      <c r="U2260">
        <f>_xlfn.NUMBERVALUE("-0.001933")</f>
        <v/>
      </c>
      <c r="V2260">
        <f>_xlfn.NUMBERVALUE("-0.000068")</f>
        <v/>
      </c>
      <c r="W2260">
        <f>_xlfn.NUMBERVALUE("-0.009847")</f>
        <v/>
      </c>
      <c r="X2260">
        <f>_xlfn.NUMBERVALUE("1.140000")</f>
        <v/>
      </c>
      <c r="Y2260">
        <f>_xlfn.NUMBERVALUE("13.670000")</f>
        <v/>
      </c>
    </row>
    <row r="2261">
      <c r="A2261" s="1" t="n">
        <v>45281</v>
      </c>
      <c r="B2261">
        <f>_xlfn.NUMBERVALUE("-0.000133")</f>
        <v/>
      </c>
      <c r="C2261" s="2">
        <f>_xlfn.NUMBERVALUE("-0.001039")</f>
        <v/>
      </c>
      <c r="D2261">
        <f>_xlfn.NUMBERVALUE("0.009052")</f>
        <v/>
      </c>
      <c r="E2261">
        <f>_xlfn.NUMBERVALUE("-0.001784")</f>
        <v/>
      </c>
      <c r="F2261">
        <f>_xlfn.NUMBERVALUE("0.000107")</f>
        <v/>
      </c>
      <c r="G2261">
        <f>_xlfn.NUMBERVALUE("0.000485")</f>
        <v/>
      </c>
      <c r="H2261">
        <f>_xlfn.NUMBERVALUE("0.000267")</f>
        <v/>
      </c>
      <c r="I2261">
        <f>_xlfn.NUMBERVALUE("-0.000743")</f>
        <v/>
      </c>
      <c r="J2261">
        <f>_xlfn.NUMBERVALUE("0.000840")</f>
        <v/>
      </c>
      <c r="K2261">
        <f>_xlfn.NUMBERVALUE("0.000820")</f>
        <v/>
      </c>
      <c r="L2261">
        <f>_xlfn.NUMBERVALUE("0.000992")</f>
        <v/>
      </c>
      <c r="M2261">
        <f>_xlfn.NUMBERVALUE("-0.000866")</f>
        <v/>
      </c>
      <c r="N2261">
        <f>_xlfn.NUMBERVALUE("-0.001132")</f>
        <v/>
      </c>
      <c r="O2261">
        <f>_xlfn.NUMBERVALUE("0.000119")</f>
        <v/>
      </c>
      <c r="P2261">
        <f>_xlfn.NUMBERVALUE("-0.000189")</f>
        <v/>
      </c>
      <c r="Q2261">
        <f>_xlfn.NUMBERVALUE("0.000405")</f>
        <v/>
      </c>
      <c r="R2261">
        <f>_xlfn.NUMBERVALUE("-0.001579")</f>
        <v/>
      </c>
      <c r="S2261">
        <f>_xlfn.NUMBERVALUE("-0.000615")</f>
        <v/>
      </c>
      <c r="T2261">
        <f>_xlfn.NUMBERVALUE("0.000774")</f>
        <v/>
      </c>
      <c r="U2261">
        <f>_xlfn.NUMBERVALUE("-0.000846")</f>
        <v/>
      </c>
      <c r="V2261">
        <f>_xlfn.NUMBERVALUE("-0.000664")</f>
        <v/>
      </c>
      <c r="W2261">
        <f>_xlfn.NUMBERVALUE("0.005601")</f>
        <v/>
      </c>
      <c r="X2261">
        <f>_xlfn.NUMBERVALUE("-0.020000")</f>
        <v/>
      </c>
      <c r="Y2261">
        <f>_xlfn.NUMBERVALUE("13.650000")</f>
        <v/>
      </c>
    </row>
    <row r="2262">
      <c r="A2262" s="1" t="n">
        <v>45282</v>
      </c>
      <c r="B2262">
        <f>_xlfn.NUMBERVALUE("0.000008")</f>
        <v/>
      </c>
      <c r="C2262" s="2">
        <f>_xlfn.NUMBERVALUE("0.000843")</f>
        <v/>
      </c>
      <c r="D2262">
        <f>_xlfn.NUMBERVALUE("-0.008156")</f>
        <v/>
      </c>
      <c r="E2262">
        <f>_xlfn.NUMBERVALUE("0.000968")</f>
        <v/>
      </c>
      <c r="F2262">
        <f>_xlfn.NUMBERVALUE("-0.000743")</f>
        <v/>
      </c>
      <c r="G2262">
        <f>_xlfn.NUMBERVALUE("0.000124")</f>
        <v/>
      </c>
      <c r="H2262">
        <f>_xlfn.NUMBERVALUE("0.000697")</f>
        <v/>
      </c>
      <c r="I2262">
        <f>_xlfn.NUMBERVALUE("0.000481")</f>
        <v/>
      </c>
      <c r="J2262">
        <f>_xlfn.NUMBERVALUE("0.000506")</f>
        <v/>
      </c>
      <c r="K2262">
        <f>_xlfn.NUMBERVALUE("0.000911")</f>
        <v/>
      </c>
      <c r="L2262">
        <f>_xlfn.NUMBERVALUE("0.002070")</f>
        <v/>
      </c>
      <c r="M2262">
        <f>_xlfn.NUMBERVALUE("0.001635")</f>
        <v/>
      </c>
      <c r="N2262">
        <f>_xlfn.NUMBERVALUE("0.001908")</f>
        <v/>
      </c>
      <c r="O2262">
        <f>_xlfn.NUMBERVALUE("0.001348")</f>
        <v/>
      </c>
      <c r="P2262">
        <f>_xlfn.NUMBERVALUE("0.000444")</f>
        <v/>
      </c>
      <c r="Q2262">
        <f>_xlfn.NUMBERVALUE("-0.000727")</f>
        <v/>
      </c>
      <c r="R2262">
        <f>_xlfn.NUMBERVALUE("0.001057")</f>
        <v/>
      </c>
      <c r="S2262">
        <f>_xlfn.NUMBERVALUE("-0.000000")</f>
        <v/>
      </c>
      <c r="T2262">
        <f>_xlfn.NUMBERVALUE("0.001144")</f>
        <v/>
      </c>
      <c r="U2262">
        <f>_xlfn.NUMBERVALUE("0.001445")</f>
        <v/>
      </c>
      <c r="V2262">
        <f>_xlfn.NUMBERVALUE("0.000467")</f>
        <v/>
      </c>
      <c r="W2262">
        <f>_xlfn.NUMBERVALUE("0.002626")</f>
        <v/>
      </c>
      <c r="X2262">
        <f>_xlfn.NUMBERVALUE("-0.620000")</f>
        <v/>
      </c>
      <c r="Y2262">
        <f>_xlfn.NUMBERVALUE("13.030000")</f>
        <v/>
      </c>
    </row>
    <row r="2263">
      <c r="A2263" s="1" t="n">
        <v>45286</v>
      </c>
      <c r="B2263">
        <f>_xlfn.NUMBERVALUE("0.000100")</f>
        <v/>
      </c>
      <c r="C2263" s="2">
        <f>_xlfn.NUMBERVALUE("0.000586")</f>
        <v/>
      </c>
      <c r="D2263">
        <f>_xlfn.NUMBERVALUE("0.009365")</f>
        <v/>
      </c>
      <c r="E2263">
        <f>_xlfn.NUMBERVALUE("0.000908")</f>
        <v/>
      </c>
      <c r="F2263">
        <f>_xlfn.NUMBERVALUE("0.000862")</f>
        <v/>
      </c>
      <c r="G2263">
        <f>_xlfn.NUMBERVALUE("0.000871")</f>
        <v/>
      </c>
      <c r="H2263">
        <f>_xlfn.NUMBERVALUE("0.000928")</f>
        <v/>
      </c>
      <c r="I2263">
        <f>_xlfn.NUMBERVALUE("0.000769")</f>
        <v/>
      </c>
      <c r="J2263">
        <f>_xlfn.NUMBERVALUE("0.000162")</f>
        <v/>
      </c>
      <c r="K2263">
        <f>_xlfn.NUMBERVALUE("0.004009")</f>
        <v/>
      </c>
      <c r="L2263">
        <f>_xlfn.NUMBERVALUE("0.002445")</f>
        <v/>
      </c>
      <c r="M2263">
        <f>_xlfn.NUMBERVALUE("0.001042")</f>
        <v/>
      </c>
      <c r="N2263">
        <f>_xlfn.NUMBERVALUE("0.001203")</f>
        <v/>
      </c>
      <c r="O2263">
        <f>_xlfn.NUMBERVALUE("0.001310")</f>
        <v/>
      </c>
      <c r="P2263">
        <f>_xlfn.NUMBERVALUE("0.001290")</f>
        <v/>
      </c>
      <c r="Q2263">
        <f>_xlfn.NUMBERVALUE("0.000664")</f>
        <v/>
      </c>
      <c r="R2263">
        <f>_xlfn.NUMBERVALUE("0.001643")</f>
        <v/>
      </c>
      <c r="S2263">
        <f>_xlfn.NUMBERVALUE("0.000389")</f>
        <v/>
      </c>
      <c r="T2263">
        <f>_xlfn.NUMBERVALUE("0.002164")</f>
        <v/>
      </c>
      <c r="U2263">
        <f>_xlfn.NUMBERVALUE("0.002191")</f>
        <v/>
      </c>
      <c r="V2263">
        <f>_xlfn.NUMBERVALUE("0.000953")</f>
        <v/>
      </c>
      <c r="W2263">
        <f>_xlfn.NUMBERVALUE("0.005196")</f>
        <v/>
      </c>
      <c r="X2263">
        <f>_xlfn.NUMBERVALUE("-0.040000")</f>
        <v/>
      </c>
      <c r="Y2263">
        <f>_xlfn.NUMBERVALUE("12.990000")</f>
        <v/>
      </c>
    </row>
    <row r="2264">
      <c r="A2264" s="1" t="n">
        <v>45287</v>
      </c>
      <c r="B2264">
        <f>_xlfn.NUMBERVALUE("0.002953")</f>
        <v/>
      </c>
      <c r="C2264" s="2">
        <f>_xlfn.NUMBERVALUE("0.000525")</f>
        <v/>
      </c>
      <c r="D2264">
        <f>_xlfn.NUMBERVALUE("-0.006104")</f>
        <v/>
      </c>
      <c r="E2264">
        <f>_xlfn.NUMBERVALUE("0.000517")</f>
        <v/>
      </c>
      <c r="F2264">
        <f>_xlfn.NUMBERVALUE("-0.000150")</f>
        <v/>
      </c>
      <c r="G2264">
        <f>_xlfn.NUMBERVALUE("0.000535")</f>
        <v/>
      </c>
      <c r="H2264">
        <f>_xlfn.NUMBERVALUE("-0.000459")</f>
        <v/>
      </c>
      <c r="I2264">
        <f>_xlfn.NUMBERVALUE("0.000241")</f>
        <v/>
      </c>
      <c r="J2264">
        <f>_xlfn.NUMBERVALUE("0.000562")</f>
        <v/>
      </c>
      <c r="K2264">
        <f>_xlfn.NUMBERVALUE("0.002168")</f>
        <v/>
      </c>
      <c r="L2264">
        <f>_xlfn.NUMBERVALUE("-0.002121")</f>
        <v/>
      </c>
      <c r="M2264">
        <f>_xlfn.NUMBERVALUE("0.000496")</f>
        <v/>
      </c>
      <c r="N2264">
        <f>_xlfn.NUMBERVALUE("0.002323")</f>
        <v/>
      </c>
      <c r="O2264">
        <f>_xlfn.NUMBERVALUE("0.001658")</f>
        <v/>
      </c>
      <c r="P2264">
        <f>_xlfn.NUMBERVALUE("0.001189")</f>
        <v/>
      </c>
      <c r="Q2264">
        <f>_xlfn.NUMBERVALUE("0.001644")</f>
        <v/>
      </c>
      <c r="R2264">
        <f>_xlfn.NUMBERVALUE("0.001678")</f>
        <v/>
      </c>
      <c r="S2264">
        <f>_xlfn.NUMBERVALUE("0.001150")</f>
        <v/>
      </c>
      <c r="T2264">
        <f>_xlfn.NUMBERVALUE("0.001480")</f>
        <v/>
      </c>
      <c r="U2264">
        <f>_xlfn.NUMBERVALUE("0.001398")</f>
        <v/>
      </c>
      <c r="V2264">
        <f>_xlfn.NUMBERVALUE("0.000912")</f>
        <v/>
      </c>
      <c r="W2264">
        <f>_xlfn.NUMBERVALUE("-0.001219")</f>
        <v/>
      </c>
      <c r="X2264">
        <f>_xlfn.NUMBERVALUE("-0.560000")</f>
        <v/>
      </c>
      <c r="Y2264">
        <f>_xlfn.NUMBERVALUE("12.430000")</f>
        <v/>
      </c>
    </row>
    <row r="2265">
      <c r="A2265" s="1" t="n">
        <v>45288</v>
      </c>
      <c r="B2265">
        <f>_xlfn.NUMBERVALUE("0.002782")</f>
        <v/>
      </c>
      <c r="C2265" s="2">
        <f>_xlfn.NUMBERVALUE("0.000356")</f>
        <v/>
      </c>
      <c r="D2265">
        <f>_xlfn.NUMBERVALUE("0.000009")</f>
        <v/>
      </c>
      <c r="E2265">
        <f>_xlfn.NUMBERVALUE("-0.000220")</f>
        <v/>
      </c>
      <c r="F2265">
        <f>_xlfn.NUMBERVALUE("0.001269")</f>
        <v/>
      </c>
      <c r="G2265">
        <f>_xlfn.NUMBERVALUE("0.000005")</f>
        <v/>
      </c>
      <c r="H2265">
        <f>_xlfn.NUMBERVALUE("0.000001")</f>
        <v/>
      </c>
      <c r="I2265">
        <f>_xlfn.NUMBERVALUE("0.000296")</f>
        <v/>
      </c>
      <c r="J2265">
        <f>_xlfn.NUMBERVALUE("-0.000216")</f>
        <v/>
      </c>
      <c r="K2265">
        <f>_xlfn.NUMBERVALUE("0.001649")</f>
        <v/>
      </c>
      <c r="L2265">
        <f>_xlfn.NUMBERVALUE("0.000833")</f>
        <v/>
      </c>
      <c r="M2265">
        <f>_xlfn.NUMBERVALUE("0.000199")</f>
        <v/>
      </c>
      <c r="N2265">
        <f>_xlfn.NUMBERVALUE("0.000435")</f>
        <v/>
      </c>
      <c r="O2265">
        <f>_xlfn.NUMBERVALUE("0.000965")</f>
        <v/>
      </c>
      <c r="P2265">
        <f>_xlfn.NUMBERVALUE("-0.000621")</f>
        <v/>
      </c>
      <c r="Q2265">
        <f>_xlfn.NUMBERVALUE("-0.000411")</f>
        <v/>
      </c>
      <c r="R2265">
        <f>_xlfn.NUMBERVALUE("0.000478")</f>
        <v/>
      </c>
      <c r="S2265">
        <f>_xlfn.NUMBERVALUE("-0.000309")</f>
        <v/>
      </c>
      <c r="T2265">
        <f>_xlfn.NUMBERVALUE("-0.000470")</f>
        <v/>
      </c>
      <c r="U2265">
        <f>_xlfn.NUMBERVALUE("0.000748")</f>
        <v/>
      </c>
      <c r="V2265">
        <f>_xlfn.NUMBERVALUE("-0.000002")</f>
        <v/>
      </c>
      <c r="W2265">
        <f>_xlfn.NUMBERVALUE("0.003892")</f>
        <v/>
      </c>
      <c r="X2265">
        <f>_xlfn.NUMBERVALUE("0.040000")</f>
        <v/>
      </c>
      <c r="Y2265">
        <f>_xlfn.NUMBERVALUE("12.470000")</f>
        <v/>
      </c>
    </row>
    <row r="2266">
      <c r="A2266" s="1" t="n">
        <v>45289</v>
      </c>
      <c r="B2266">
        <f>_xlfn.NUMBERVALUE("-0.002645")</f>
        <v/>
      </c>
      <c r="C2266" s="2">
        <f>_xlfn.NUMBERVALUE("0.000465")</f>
        <v/>
      </c>
      <c r="D2266">
        <f>_xlfn.NUMBERVALUE("0.000066")</f>
        <v/>
      </c>
      <c r="E2266">
        <f>_xlfn.NUMBERVALUE("0.000010")</f>
        <v/>
      </c>
      <c r="F2266">
        <f>_xlfn.NUMBERVALUE("0.000461")</f>
        <v/>
      </c>
      <c r="G2266">
        <f>_xlfn.NUMBERVALUE("-0.000066")</f>
        <v/>
      </c>
      <c r="H2266">
        <f>_xlfn.NUMBERVALUE("0.000194")</f>
        <v/>
      </c>
      <c r="I2266">
        <f>_xlfn.NUMBERVALUE("0.000170")</f>
        <v/>
      </c>
      <c r="J2266">
        <f>_xlfn.NUMBERVALUE("0.000025")</f>
        <v/>
      </c>
      <c r="K2266">
        <f>_xlfn.NUMBERVALUE("-0.000963")</f>
        <v/>
      </c>
      <c r="L2266">
        <f>_xlfn.NUMBERVALUE("0.000267")</f>
        <v/>
      </c>
      <c r="M2266">
        <f>_xlfn.NUMBERVALUE("0.000549")</f>
        <v/>
      </c>
      <c r="N2266">
        <f>_xlfn.NUMBERVALUE("0.000804")</f>
        <v/>
      </c>
      <c r="O2266">
        <f>_xlfn.NUMBERVALUE("0.001845")</f>
        <v/>
      </c>
      <c r="P2266">
        <f>_xlfn.NUMBERVALUE("0.000591")</f>
        <v/>
      </c>
      <c r="Q2266">
        <f>_xlfn.NUMBERVALUE("0.001197")</f>
        <v/>
      </c>
      <c r="R2266">
        <f>_xlfn.NUMBERVALUE("0.001650")</f>
        <v/>
      </c>
      <c r="S2266">
        <f>_xlfn.NUMBERVALUE("0.000705")</f>
        <v/>
      </c>
      <c r="T2266">
        <f>_xlfn.NUMBERVALUE("0.001057")</f>
        <v/>
      </c>
      <c r="U2266">
        <f>_xlfn.NUMBERVALUE("0.001742")</f>
        <v/>
      </c>
      <c r="V2266">
        <f>_xlfn.NUMBERVALUE("0.000393")</f>
        <v/>
      </c>
      <c r="W2266">
        <f>_xlfn.NUMBERVALUE("-0.003730")</f>
        <v/>
      </c>
      <c r="X2266">
        <f>_xlfn.NUMBERVALUE("-0.020000")</f>
        <v/>
      </c>
      <c r="Y2266">
        <f>_xlfn.NUMBERVALUE("12.450000")</f>
        <v/>
      </c>
    </row>
    <row r="2267">
      <c r="A2267" s="1" t="n">
        <v>45293</v>
      </c>
      <c r="B2267">
        <f>_xlfn.NUMBERVALUE("-0.005417")</f>
        <v/>
      </c>
      <c r="C2267" s="2">
        <f>_xlfn.NUMBERVALUE("0.000766")</f>
        <v/>
      </c>
      <c r="D2267">
        <f>_xlfn.NUMBERVALUE("0.001396")</f>
        <v/>
      </c>
      <c r="E2267">
        <f>_xlfn.NUMBERVALUE("0.000741")</f>
        <v/>
      </c>
      <c r="F2267">
        <f>_xlfn.NUMBERVALUE("0.001873")</f>
        <v/>
      </c>
      <c r="G2267">
        <f>_xlfn.NUMBERVALUE("0.000972")</f>
        <v/>
      </c>
      <c r="H2267">
        <f>_xlfn.NUMBERVALUE("0.000784")</f>
        <v/>
      </c>
      <c r="I2267">
        <f>_xlfn.NUMBERVALUE("0.000770")</f>
        <v/>
      </c>
      <c r="J2267">
        <f>_xlfn.NUMBERVALUE("0.000851")</f>
        <v/>
      </c>
      <c r="K2267">
        <f>_xlfn.NUMBERVALUE("0.002088")</f>
        <v/>
      </c>
      <c r="L2267">
        <f>_xlfn.NUMBERVALUE("0.000285")</f>
        <v/>
      </c>
      <c r="M2267">
        <f>_xlfn.NUMBERVALUE("0.000474")</f>
        <v/>
      </c>
      <c r="N2267">
        <f>_xlfn.NUMBERVALUE("0.001525")</f>
        <v/>
      </c>
      <c r="O2267">
        <f>_xlfn.NUMBERVALUE("0.000390")</f>
        <v/>
      </c>
      <c r="P2267">
        <f>_xlfn.NUMBERVALUE("0.001242")</f>
        <v/>
      </c>
      <c r="Q2267">
        <f>_xlfn.NUMBERVALUE("0.000933")</f>
        <v/>
      </c>
      <c r="R2267">
        <f>_xlfn.NUMBERVALUE("-0.008374")</f>
        <v/>
      </c>
      <c r="S2267">
        <f>_xlfn.NUMBERVALUE("0.000895")</f>
        <v/>
      </c>
      <c r="T2267">
        <f>_xlfn.NUMBERVALUE("-0.001235")</f>
        <v/>
      </c>
      <c r="U2267">
        <f>_xlfn.NUMBERVALUE("0.000903")</f>
        <v/>
      </c>
      <c r="V2267">
        <f>_xlfn.NUMBERVALUE("0.001420")</f>
        <v/>
      </c>
      <c r="W2267">
        <f>_xlfn.NUMBERVALUE("-0.009192")</f>
        <v/>
      </c>
      <c r="X2267">
        <f>_xlfn.NUMBERVALUE("0.750000")</f>
        <v/>
      </c>
      <c r="Y2267">
        <f>_xlfn.NUMBERVALUE("13.200000")</f>
        <v/>
      </c>
    </row>
    <row r="2268">
      <c r="A2268" s="1" t="n">
        <v>45294</v>
      </c>
      <c r="B2268">
        <f>_xlfn.NUMBERVALUE("-0.003760")</f>
        <v/>
      </c>
      <c r="C2268" s="2">
        <f>_xlfn.NUMBERVALUE("0.000861")</f>
        <v/>
      </c>
      <c r="D2268">
        <f>_xlfn.NUMBERVALUE("0.002471")</f>
        <v/>
      </c>
      <c r="E2268">
        <f>_xlfn.NUMBERVALUE("0.000479")</f>
        <v/>
      </c>
      <c r="F2268">
        <f>_xlfn.NUMBERVALUE("0.000488")</f>
        <v/>
      </c>
      <c r="G2268">
        <f>_xlfn.NUMBERVALUE("0.000799")</f>
        <v/>
      </c>
      <c r="H2268">
        <f>_xlfn.NUMBERVALUE("0.000312")</f>
        <v/>
      </c>
      <c r="I2268">
        <f>_xlfn.NUMBERVALUE("0.001254")</f>
        <v/>
      </c>
      <c r="J2268">
        <f>_xlfn.NUMBERVALUE("0.000486")</f>
        <v/>
      </c>
      <c r="K2268">
        <f>_xlfn.NUMBERVALUE("-0.001774")</f>
        <v/>
      </c>
      <c r="L2268">
        <f>_xlfn.NUMBERVALUE("0.000925")</f>
        <v/>
      </c>
      <c r="M2268">
        <f>_xlfn.NUMBERVALUE("-0.000097")</f>
        <v/>
      </c>
      <c r="N2268">
        <f>_xlfn.NUMBERVALUE("0.000688")</f>
        <v/>
      </c>
      <c r="O2268">
        <f>_xlfn.NUMBERVALUE("-0.002262")</f>
        <v/>
      </c>
      <c r="P2268">
        <f>_xlfn.NUMBERVALUE("-0.000069")</f>
        <v/>
      </c>
      <c r="Q2268">
        <f>_xlfn.NUMBERVALUE("-0.000397")</f>
        <v/>
      </c>
      <c r="R2268">
        <f>_xlfn.NUMBERVALUE("-0.001864")</f>
        <v/>
      </c>
      <c r="S2268">
        <f>_xlfn.NUMBERVALUE("0.000464")</f>
        <v/>
      </c>
      <c r="T2268">
        <f>_xlfn.NUMBERVALUE("0.000815")</f>
        <v/>
      </c>
      <c r="U2268">
        <f>_xlfn.NUMBERVALUE("-0.001602")</f>
        <v/>
      </c>
      <c r="V2268">
        <f>_xlfn.NUMBERVALUE("0.000210")</f>
        <v/>
      </c>
      <c r="W2268">
        <f>_xlfn.NUMBERVALUE("-0.004182")</f>
        <v/>
      </c>
      <c r="X2268">
        <f>_xlfn.NUMBERVALUE("0.840000")</f>
        <v/>
      </c>
      <c r="Y2268">
        <f>_xlfn.NUMBERVALUE("14.040000")</f>
        <v/>
      </c>
    </row>
    <row r="2269">
      <c r="A2269" s="1" t="n">
        <v>45295</v>
      </c>
      <c r="B2269">
        <f>_xlfn.NUMBERVALUE("0.002116")</f>
        <v/>
      </c>
      <c r="C2269" s="2">
        <f>_xlfn.NUMBERVALUE("-0.000420")</f>
        <v/>
      </c>
      <c r="D2269">
        <f>_xlfn.NUMBERVALUE("0.002152")</f>
        <v/>
      </c>
      <c r="E2269">
        <f>_xlfn.NUMBERVALUE("0.000105")</f>
        <v/>
      </c>
      <c r="F2269">
        <f>_xlfn.NUMBERVALUE("0.001982")</f>
        <v/>
      </c>
      <c r="G2269">
        <f>_xlfn.NUMBERVALUE("0.000026")</f>
        <v/>
      </c>
      <c r="H2269">
        <f>_xlfn.NUMBERVALUE("0.000384")</f>
        <v/>
      </c>
      <c r="I2269">
        <f>_xlfn.NUMBERVALUE("-0.000972")</f>
        <v/>
      </c>
      <c r="J2269">
        <f>_xlfn.NUMBERVALUE("0.000192")</f>
        <v/>
      </c>
      <c r="K2269">
        <f>_xlfn.NUMBERVALUE("-0.000071")</f>
        <v/>
      </c>
      <c r="L2269">
        <f>_xlfn.NUMBERVALUE("-0.000675")</f>
        <v/>
      </c>
      <c r="M2269">
        <f>_xlfn.NUMBERVALUE("0.000426")</f>
        <v/>
      </c>
      <c r="N2269">
        <f>_xlfn.NUMBERVALUE("0.001068")</f>
        <v/>
      </c>
      <c r="O2269">
        <f>_xlfn.NUMBERVALUE("-0.000165")</f>
        <v/>
      </c>
      <c r="P2269">
        <f>_xlfn.NUMBERVALUE("0.000299")</f>
        <v/>
      </c>
      <c r="Q2269">
        <f>_xlfn.NUMBERVALUE("0.001021")</f>
        <v/>
      </c>
      <c r="R2269">
        <f>_xlfn.NUMBERVALUE("0.003547")</f>
        <v/>
      </c>
      <c r="S2269">
        <f>_xlfn.NUMBERVALUE("0.000093")</f>
        <v/>
      </c>
      <c r="T2269">
        <f>_xlfn.NUMBERVALUE("0.000685")</f>
        <v/>
      </c>
      <c r="U2269">
        <f>_xlfn.NUMBERVALUE("0.000588")</f>
        <v/>
      </c>
      <c r="V2269">
        <f>_xlfn.NUMBERVALUE("0.000090")</f>
        <v/>
      </c>
      <c r="W2269">
        <f>_xlfn.NUMBERVALUE("-0.001471")</f>
        <v/>
      </c>
      <c r="X2269">
        <f>_xlfn.NUMBERVALUE("0.090000")</f>
        <v/>
      </c>
      <c r="Y2269">
        <f>_xlfn.NUMBERVALUE("14.130000")</f>
        <v/>
      </c>
    </row>
    <row r="2270">
      <c r="A2270" s="1" t="n">
        <v>45296</v>
      </c>
      <c r="B2270">
        <f>_xlfn.NUMBERVALUE("0.001790")</f>
        <v/>
      </c>
      <c r="C2270" s="2">
        <f>_xlfn.NUMBERVALUE("0.000093")</f>
        <v/>
      </c>
      <c r="D2270">
        <f>_xlfn.NUMBERVALUE("0.001218")</f>
        <v/>
      </c>
      <c r="E2270">
        <f>_xlfn.NUMBERVALUE("-0.000000")</f>
        <v/>
      </c>
      <c r="F2270">
        <f>_xlfn.NUMBERVALUE("0.002637")</f>
        <v/>
      </c>
      <c r="G2270">
        <f>_xlfn.NUMBERVALUE("0.000194")</f>
        <v/>
      </c>
      <c r="H2270">
        <f>_xlfn.NUMBERVALUE("0.000209")</f>
        <v/>
      </c>
      <c r="I2270">
        <f>_xlfn.NUMBERVALUE("0.000139")</f>
        <v/>
      </c>
      <c r="J2270">
        <f>_xlfn.NUMBERVALUE("0.000120")</f>
        <v/>
      </c>
      <c r="K2270">
        <f>_xlfn.NUMBERVALUE("-0.000009")</f>
        <v/>
      </c>
      <c r="L2270">
        <f>_xlfn.NUMBERVALUE("0.003401")</f>
        <v/>
      </c>
      <c r="M2270">
        <f>_xlfn.NUMBERVALUE("0.001539")</f>
        <v/>
      </c>
      <c r="N2270">
        <f>_xlfn.NUMBERVALUE("0.002042")</f>
        <v/>
      </c>
      <c r="O2270">
        <f>_xlfn.NUMBERVALUE("0.002137")</f>
        <v/>
      </c>
      <c r="P2270">
        <f>_xlfn.NUMBERVALUE("0.001077")</f>
        <v/>
      </c>
      <c r="Q2270">
        <f>_xlfn.NUMBERVALUE("0.001401")</f>
        <v/>
      </c>
      <c r="R2270">
        <f>_xlfn.NUMBERVALUE("0.002409")</f>
        <v/>
      </c>
      <c r="S2270">
        <f>_xlfn.NUMBERVALUE("0.000455")</f>
        <v/>
      </c>
      <c r="T2270">
        <f>_xlfn.NUMBERVALUE("0.002681")</f>
        <v/>
      </c>
      <c r="U2270">
        <f>_xlfn.NUMBERVALUE("0.004200")</f>
        <v/>
      </c>
      <c r="V2270">
        <f>_xlfn.NUMBERVALUE("-0.000323")</f>
        <v/>
      </c>
      <c r="W2270">
        <f>_xlfn.NUMBERVALUE("-0.000715")</f>
        <v/>
      </c>
      <c r="X2270">
        <f>_xlfn.NUMBERVALUE("-0.780000")</f>
        <v/>
      </c>
      <c r="Y2270">
        <f>_xlfn.NUMBERVALUE("13.350000")</f>
        <v/>
      </c>
    </row>
    <row r="2271">
      <c r="A2271" s="1" t="n">
        <v>45299</v>
      </c>
      <c r="B2271">
        <f>_xlfn.NUMBERVALUE("0.002207")</f>
        <v/>
      </c>
      <c r="C2271" s="2">
        <f>_xlfn.NUMBERVALUE("0.000715")</f>
        <v/>
      </c>
      <c r="D2271">
        <f>_xlfn.NUMBERVALUE("0.001528")</f>
        <v/>
      </c>
      <c r="E2271">
        <f>_xlfn.NUMBERVALUE("0.000765")</f>
        <v/>
      </c>
      <c r="F2271">
        <f>_xlfn.NUMBERVALUE("0.000284")</f>
        <v/>
      </c>
      <c r="G2271">
        <f>_xlfn.NUMBERVALUE("0.000553")</f>
        <v/>
      </c>
      <c r="H2271">
        <f>_xlfn.NUMBERVALUE("0.000267")</f>
        <v/>
      </c>
      <c r="I2271">
        <f>_xlfn.NUMBERVALUE("0.000538")</f>
        <v/>
      </c>
      <c r="J2271">
        <f>_xlfn.NUMBERVALUE("-0.000466")</f>
        <v/>
      </c>
      <c r="K2271">
        <f>_xlfn.NUMBERVALUE("0.002560")</f>
        <v/>
      </c>
      <c r="L2271">
        <f>_xlfn.NUMBERVALUE("0.002714")</f>
        <v/>
      </c>
      <c r="M2271">
        <f>_xlfn.NUMBERVALUE("0.001004")</f>
        <v/>
      </c>
      <c r="N2271">
        <f>_xlfn.NUMBERVALUE("-0.001905")</f>
        <v/>
      </c>
      <c r="O2271">
        <f>_xlfn.NUMBERVALUE("0.002879")</f>
        <v/>
      </c>
      <c r="P2271">
        <f>_xlfn.NUMBERVALUE("-0.000142")</f>
        <v/>
      </c>
      <c r="Q2271">
        <f>_xlfn.NUMBERVALUE("0.001384")</f>
        <v/>
      </c>
      <c r="R2271">
        <f>_xlfn.NUMBERVALUE("-0.008081")</f>
        <v/>
      </c>
      <c r="S2271">
        <f>_xlfn.NUMBERVALUE("0.000092")</f>
        <v/>
      </c>
      <c r="T2271">
        <f>_xlfn.NUMBERVALUE("0.000678")</f>
        <v/>
      </c>
      <c r="U2271">
        <f>_xlfn.NUMBERVALUE("-0.000446")</f>
        <v/>
      </c>
      <c r="V2271">
        <f>_xlfn.NUMBERVALUE("-0.001494")</f>
        <v/>
      </c>
      <c r="W2271">
        <f>_xlfn.NUMBERVALUE("0.013364")</f>
        <v/>
      </c>
      <c r="X2271">
        <f>_xlfn.NUMBERVALUE("-0.270000")</f>
        <v/>
      </c>
      <c r="Y2271">
        <f>_xlfn.NUMBERVALUE("13.080000")</f>
        <v/>
      </c>
    </row>
    <row r="2272">
      <c r="A2272" s="1" t="n">
        <v>45300</v>
      </c>
      <c r="B2272">
        <f>_xlfn.NUMBERVALUE("-0.000427")</f>
        <v/>
      </c>
      <c r="C2272" s="2">
        <f>_xlfn.NUMBERVALUE("0.001640")</f>
        <v/>
      </c>
      <c r="D2272">
        <f>_xlfn.NUMBERVALUE("-0.000132")</f>
        <v/>
      </c>
      <c r="E2272">
        <f>_xlfn.NUMBERVALUE("0.000706")</f>
        <v/>
      </c>
      <c r="F2272">
        <f>_xlfn.NUMBERVALUE("0.001183")</f>
        <v/>
      </c>
      <c r="G2272">
        <f>_xlfn.NUMBERVALUE("-0.000052")</f>
        <v/>
      </c>
      <c r="H2272">
        <f>_xlfn.NUMBERVALUE("0.000781")</f>
        <v/>
      </c>
      <c r="I2272">
        <f>_xlfn.NUMBERVALUE("0.001215")</f>
        <v/>
      </c>
      <c r="J2272">
        <f>_xlfn.NUMBERVALUE("0.000899")</f>
        <v/>
      </c>
      <c r="K2272">
        <f>_xlfn.NUMBERVALUE("0.001147")</f>
        <v/>
      </c>
      <c r="L2272">
        <f>_xlfn.NUMBERVALUE("0.001144")</f>
        <v/>
      </c>
      <c r="M2272">
        <f>_xlfn.NUMBERVALUE("0.000520")</f>
        <v/>
      </c>
      <c r="N2272">
        <f>_xlfn.NUMBERVALUE("0.001556")</f>
        <v/>
      </c>
      <c r="O2272">
        <f>_xlfn.NUMBERVALUE("0.000622")</f>
        <v/>
      </c>
      <c r="P2272">
        <f>_xlfn.NUMBERVALUE("-0.000054")</f>
        <v/>
      </c>
      <c r="Q2272">
        <f>_xlfn.NUMBERVALUE("0.000183")</f>
        <v/>
      </c>
      <c r="R2272">
        <f>_xlfn.NUMBERVALUE("0.002533")</f>
        <v/>
      </c>
      <c r="S2272">
        <f>_xlfn.NUMBERVALUE("0.000029")</f>
        <v/>
      </c>
      <c r="T2272">
        <f>_xlfn.NUMBERVALUE("0.001256")</f>
        <v/>
      </c>
      <c r="U2272">
        <f>_xlfn.NUMBERVALUE("0.002889")</f>
        <v/>
      </c>
      <c r="V2272">
        <f>_xlfn.NUMBERVALUE("0.001482")</f>
        <v/>
      </c>
      <c r="W2272">
        <f>_xlfn.NUMBERVALUE("-0.001182")</f>
        <v/>
      </c>
      <c r="X2272">
        <f>_xlfn.NUMBERVALUE("-0.320000")</f>
        <v/>
      </c>
      <c r="Y2272">
        <f>_xlfn.NUMBERVALUE("12.760000")</f>
        <v/>
      </c>
    </row>
    <row r="2273">
      <c r="A2273" s="1" t="n">
        <v>45301</v>
      </c>
      <c r="B2273">
        <f>_xlfn.NUMBERVALUE("-0.000218")</f>
        <v/>
      </c>
      <c r="C2273" s="2">
        <f>_xlfn.NUMBERVALUE("-0.000275")</f>
        <v/>
      </c>
      <c r="D2273">
        <f>_xlfn.NUMBERVALUE("0.000958")</f>
        <v/>
      </c>
      <c r="E2273">
        <f>_xlfn.NUMBERVALUE("-0.000330")</f>
        <v/>
      </c>
      <c r="F2273">
        <f>_xlfn.NUMBERVALUE("-0.000015")</f>
        <v/>
      </c>
      <c r="G2273">
        <f>_xlfn.NUMBERVALUE("0.000489")</f>
        <v/>
      </c>
      <c r="H2273">
        <f>_xlfn.NUMBERVALUE("0.000765")</f>
        <v/>
      </c>
      <c r="I2273">
        <f>_xlfn.NUMBERVALUE("0.000778")</f>
        <v/>
      </c>
      <c r="J2273">
        <f>_xlfn.NUMBERVALUE("0.000123")</f>
        <v/>
      </c>
      <c r="K2273">
        <f>_xlfn.NUMBERVALUE("-0.000536")</f>
        <v/>
      </c>
      <c r="L2273">
        <f>_xlfn.NUMBERVALUE("-0.000293")</f>
        <v/>
      </c>
      <c r="M2273">
        <f>_xlfn.NUMBERVALUE("0.000347")</f>
        <v/>
      </c>
      <c r="N2273">
        <f>_xlfn.NUMBERVALUE("-0.000950")</f>
        <v/>
      </c>
      <c r="O2273">
        <f>_xlfn.NUMBERVALUE("0.000051")</f>
        <v/>
      </c>
      <c r="P2273">
        <f>_xlfn.NUMBERVALUE("-0.000018")</f>
        <v/>
      </c>
      <c r="Q2273">
        <f>_xlfn.NUMBERVALUE("0.000042")</f>
        <v/>
      </c>
      <c r="R2273">
        <f>_xlfn.NUMBERVALUE("-0.001473")</f>
        <v/>
      </c>
      <c r="S2273">
        <f>_xlfn.NUMBERVALUE("-0.000007")</f>
        <v/>
      </c>
      <c r="T2273">
        <f>_xlfn.NUMBERVALUE("0.000621")</f>
        <v/>
      </c>
      <c r="U2273">
        <f>_xlfn.NUMBERVALUE("-0.000359")</f>
        <v/>
      </c>
      <c r="V2273">
        <f>_xlfn.NUMBERVALUE("-0.000349")</f>
        <v/>
      </c>
      <c r="W2273">
        <f>_xlfn.NUMBERVALUE("0.005577")</f>
        <v/>
      </c>
      <c r="X2273">
        <f>_xlfn.NUMBERVALUE("-0.070000")</f>
        <v/>
      </c>
      <c r="Y2273">
        <f>_xlfn.NUMBERVALUE("12.690000")</f>
        <v/>
      </c>
    </row>
    <row r="2274">
      <c r="A2274" s="1" t="n">
        <v>45302</v>
      </c>
      <c r="B2274">
        <f>_xlfn.NUMBERVALUE("-0.000155")</f>
        <v/>
      </c>
      <c r="C2274" s="2">
        <f>_xlfn.NUMBERVALUE("0.001218")</f>
        <v/>
      </c>
      <c r="D2274">
        <f>_xlfn.NUMBERVALUE("0.000512")</f>
        <v/>
      </c>
      <c r="E2274">
        <f>_xlfn.NUMBERVALUE("0.000995")</f>
        <v/>
      </c>
      <c r="F2274">
        <f>_xlfn.NUMBERVALUE("0.001314")</f>
        <v/>
      </c>
      <c r="G2274">
        <f>_xlfn.NUMBERVALUE("0.000696")</f>
        <v/>
      </c>
      <c r="H2274">
        <f>_xlfn.NUMBERVALUE("0.000597")</f>
        <v/>
      </c>
      <c r="I2274">
        <f>_xlfn.NUMBERVALUE("0.003009")</f>
        <v/>
      </c>
      <c r="J2274">
        <f>_xlfn.NUMBERVALUE("0.001603")</f>
        <v/>
      </c>
      <c r="K2274">
        <f>_xlfn.NUMBERVALUE("0.001740")</f>
        <v/>
      </c>
      <c r="L2274">
        <f>_xlfn.NUMBERVALUE("0.003411")</f>
        <v/>
      </c>
      <c r="M2274">
        <f>_xlfn.NUMBERVALUE("0.001231")</f>
        <v/>
      </c>
      <c r="N2274">
        <f>_xlfn.NUMBERVALUE("0.001669")</f>
        <v/>
      </c>
      <c r="O2274">
        <f>_xlfn.NUMBERVALUE("0.001502")</f>
        <v/>
      </c>
      <c r="P2274">
        <f>_xlfn.NUMBERVALUE("0.001309")</f>
        <v/>
      </c>
      <c r="Q2274">
        <f>_xlfn.NUMBERVALUE("0.000256")</f>
        <v/>
      </c>
      <c r="R2274">
        <f>_xlfn.NUMBERVALUE("0.000019")</f>
        <v/>
      </c>
      <c r="S2274">
        <f>_xlfn.NUMBERVALUE("0.000715")</f>
        <v/>
      </c>
      <c r="T2274">
        <f>_xlfn.NUMBERVALUE("-0.005743")</f>
        <v/>
      </c>
      <c r="U2274">
        <f>_xlfn.NUMBERVALUE("0.000718")</f>
        <v/>
      </c>
      <c r="V2274">
        <f>_xlfn.NUMBERVALUE("0.001257")</f>
        <v/>
      </c>
      <c r="W2274">
        <f>_xlfn.NUMBERVALUE("-0.000315")</f>
        <v/>
      </c>
      <c r="X2274">
        <f>_xlfn.NUMBERVALUE("-0.250000")</f>
        <v/>
      </c>
      <c r="Y2274">
        <f>_xlfn.NUMBERVALUE("12.440000")</f>
        <v/>
      </c>
    </row>
    <row r="2275">
      <c r="A2275" s="1" t="n">
        <v>45303</v>
      </c>
      <c r="B2275">
        <f>_xlfn.NUMBERVALUE("-0.000287")</f>
        <v/>
      </c>
      <c r="C2275" s="2">
        <f>_xlfn.NUMBERVALUE("0.000927")</f>
        <v/>
      </c>
      <c r="D2275">
        <f>_xlfn.NUMBERVALUE("0.000346")</f>
        <v/>
      </c>
      <c r="E2275">
        <f>_xlfn.NUMBERVALUE("-0.000453")</f>
        <v/>
      </c>
      <c r="F2275">
        <f>_xlfn.NUMBERVALUE("-0.001270")</f>
        <v/>
      </c>
      <c r="G2275">
        <f>_xlfn.NUMBERVALUE("-0.000389")</f>
        <v/>
      </c>
      <c r="H2275">
        <f>_xlfn.NUMBERVALUE("0.000554")</f>
        <v/>
      </c>
      <c r="I2275">
        <f>_xlfn.NUMBERVALUE("0.000888")</f>
        <v/>
      </c>
      <c r="J2275">
        <f>_xlfn.NUMBERVALUE("0.000222")</f>
        <v/>
      </c>
      <c r="K2275">
        <f>_xlfn.NUMBERVALUE("-0.002545")</f>
        <v/>
      </c>
      <c r="L2275">
        <f>_xlfn.NUMBERVALUE("0.001262")</f>
        <v/>
      </c>
      <c r="M2275">
        <f>_xlfn.NUMBERVALUE("0.001218")</f>
        <v/>
      </c>
      <c r="N2275">
        <f>_xlfn.NUMBERVALUE("0.000161")</f>
        <v/>
      </c>
      <c r="O2275">
        <f>_xlfn.NUMBERVALUE("0.000223")</f>
        <v/>
      </c>
      <c r="P2275">
        <f>_xlfn.NUMBERVALUE("0.001416")</f>
        <v/>
      </c>
      <c r="Q2275">
        <f>_xlfn.NUMBERVALUE("0.001760")</f>
        <v/>
      </c>
      <c r="R2275">
        <f>_xlfn.NUMBERVALUE("0.000502")</f>
        <v/>
      </c>
      <c r="S2275">
        <f>_xlfn.NUMBERVALUE("0.000774")</f>
        <v/>
      </c>
      <c r="T2275">
        <f>_xlfn.NUMBERVALUE("0.000896")</f>
        <v/>
      </c>
      <c r="U2275">
        <f>_xlfn.NUMBERVALUE("0.000770")</f>
        <v/>
      </c>
      <c r="V2275">
        <f>_xlfn.NUMBERVALUE("0.000092")</f>
        <v/>
      </c>
      <c r="W2275">
        <f>_xlfn.NUMBERVALUE("0.001324")</f>
        <v/>
      </c>
      <c r="X2275">
        <f>_xlfn.NUMBERVALUE("0.260000")</f>
        <v/>
      </c>
      <c r="Y2275">
        <f>_xlfn.NUMBERVALUE("12.700000")</f>
        <v/>
      </c>
    </row>
    <row r="2276">
      <c r="A2276" s="1" t="n">
        <v>45307</v>
      </c>
      <c r="B2276">
        <f>_xlfn.NUMBERVALUE("0.000245")</f>
        <v/>
      </c>
      <c r="C2276" s="2">
        <f>_xlfn.NUMBERVALUE("-0.000605")</f>
        <v/>
      </c>
      <c r="D2276">
        <f>_xlfn.NUMBERVALUE("-0.006993")</f>
        <v/>
      </c>
      <c r="E2276">
        <f>_xlfn.NUMBERVALUE("-0.002124")</f>
        <v/>
      </c>
      <c r="F2276">
        <f>_xlfn.NUMBERVALUE("0.000087")</f>
        <v/>
      </c>
      <c r="G2276">
        <f>_xlfn.NUMBERVALUE("0.000727")</f>
        <v/>
      </c>
      <c r="H2276">
        <f>_xlfn.NUMBERVALUE("-0.001086")</f>
        <v/>
      </c>
      <c r="I2276">
        <f>_xlfn.NUMBERVALUE("-0.000686")</f>
        <v/>
      </c>
      <c r="J2276">
        <f>_xlfn.NUMBERVALUE("-0.000460")</f>
        <v/>
      </c>
      <c r="K2276">
        <f>_xlfn.NUMBERVALUE("0.002940")</f>
        <v/>
      </c>
      <c r="L2276">
        <f>_xlfn.NUMBERVALUE("-0.002758")</f>
        <v/>
      </c>
      <c r="M2276">
        <f>_xlfn.NUMBERVALUE("-0.001693")</f>
        <v/>
      </c>
      <c r="N2276">
        <f>_xlfn.NUMBERVALUE("0.001349")</f>
        <v/>
      </c>
      <c r="O2276">
        <f>_xlfn.NUMBERVALUE("-0.001886")</f>
        <v/>
      </c>
      <c r="P2276">
        <f>_xlfn.NUMBERVALUE("0.000602")</f>
        <v/>
      </c>
      <c r="Q2276">
        <f>_xlfn.NUMBERVALUE("-0.000652")</f>
        <v/>
      </c>
      <c r="R2276">
        <f>_xlfn.NUMBERVALUE("-0.000589")</f>
        <v/>
      </c>
      <c r="S2276">
        <f>_xlfn.NUMBERVALUE("-0.000009")</f>
        <v/>
      </c>
      <c r="T2276">
        <f>_xlfn.NUMBERVALUE("-0.000124")</f>
        <v/>
      </c>
      <c r="U2276">
        <f>_xlfn.NUMBERVALUE("0.000326")</f>
        <v/>
      </c>
      <c r="V2276">
        <f>_xlfn.NUMBERVALUE("0.000175")</f>
        <v/>
      </c>
      <c r="W2276">
        <f>_xlfn.NUMBERVALUE("-0.004848")</f>
        <v/>
      </c>
      <c r="X2276">
        <f>_xlfn.NUMBERVALUE("1.140000")</f>
        <v/>
      </c>
      <c r="Y2276">
        <f>_xlfn.NUMBERVALUE("13.840000")</f>
        <v/>
      </c>
    </row>
    <row r="2277">
      <c r="A2277" s="1" t="n">
        <v>45308</v>
      </c>
      <c r="B2277">
        <f>_xlfn.NUMBERVALUE("-0.000485")</f>
        <v/>
      </c>
      <c r="C2277" s="2">
        <f>_xlfn.NUMBERVALUE("0.000001")</f>
        <v/>
      </c>
      <c r="D2277">
        <f>_xlfn.NUMBERVALUE("-0.002370")</f>
        <v/>
      </c>
      <c r="E2277">
        <f>_xlfn.NUMBERVALUE("-0.000677")</f>
        <v/>
      </c>
      <c r="F2277">
        <f>_xlfn.NUMBERVALUE("-0.001935")</f>
        <v/>
      </c>
      <c r="G2277">
        <f>_xlfn.NUMBERVALUE("-0.000034")</f>
        <v/>
      </c>
      <c r="H2277">
        <f>_xlfn.NUMBERVALUE("0.000832")</f>
        <v/>
      </c>
      <c r="I2277">
        <f>_xlfn.NUMBERVALUE("-0.000420")</f>
        <v/>
      </c>
      <c r="J2277">
        <f>_xlfn.NUMBERVALUE("-0.000299")</f>
        <v/>
      </c>
      <c r="K2277">
        <f>_xlfn.NUMBERVALUE("-0.001309")</f>
        <v/>
      </c>
      <c r="L2277">
        <f>_xlfn.NUMBERVALUE("0.001078")</f>
        <v/>
      </c>
      <c r="M2277">
        <f>_xlfn.NUMBERVALUE("-0.000335")</f>
        <v/>
      </c>
      <c r="N2277">
        <f>_xlfn.NUMBERVALUE("0.000664")</f>
        <v/>
      </c>
      <c r="O2277">
        <f>_xlfn.NUMBERVALUE("-0.000730")</f>
        <v/>
      </c>
      <c r="P2277">
        <f>_xlfn.NUMBERVALUE("0.000001")</f>
        <v/>
      </c>
      <c r="Q2277">
        <f>_xlfn.NUMBERVALUE("-0.000149")</f>
        <v/>
      </c>
      <c r="R2277">
        <f>_xlfn.NUMBERVALUE("-0.000784")</f>
        <v/>
      </c>
      <c r="S2277">
        <f>_xlfn.NUMBERVALUE("-0.000076")</f>
        <v/>
      </c>
      <c r="T2277">
        <f>_xlfn.NUMBERVALUE("-0.001791")</f>
        <v/>
      </c>
      <c r="U2277">
        <f>_xlfn.NUMBERVALUE("-0.000618")</f>
        <v/>
      </c>
      <c r="V2277">
        <f>_xlfn.NUMBERVALUE("-0.000345")</f>
        <v/>
      </c>
      <c r="W2277">
        <f>_xlfn.NUMBERVALUE("-0.005146")</f>
        <v/>
      </c>
      <c r="X2277">
        <f>_xlfn.NUMBERVALUE("0.950000")</f>
        <v/>
      </c>
      <c r="Y2277">
        <f>_xlfn.NUMBERVALUE("14.790000")</f>
        <v/>
      </c>
    </row>
    <row r="2278">
      <c r="A2278" s="1" t="n">
        <v>45309</v>
      </c>
      <c r="B2278">
        <f>_xlfn.NUMBERVALUE("-0.000105")</f>
        <v/>
      </c>
      <c r="C2278" s="2">
        <f>_xlfn.NUMBERVALUE("0.000384")</f>
        <v/>
      </c>
      <c r="D2278">
        <f>_xlfn.NUMBERVALUE("0.001570")</f>
        <v/>
      </c>
      <c r="E2278">
        <f>_xlfn.NUMBERVALUE("0.000146")</f>
        <v/>
      </c>
      <c r="F2278">
        <f>_xlfn.NUMBERVALUE("0.000888")</f>
        <v/>
      </c>
      <c r="G2278">
        <f>_xlfn.NUMBERVALUE("0.000686")</f>
        <v/>
      </c>
      <c r="H2278">
        <f>_xlfn.NUMBERVALUE("0.000399")</f>
        <v/>
      </c>
      <c r="I2278">
        <f>_xlfn.NUMBERVALUE("0.001396")</f>
        <v/>
      </c>
      <c r="J2278">
        <f>_xlfn.NUMBERVALUE("0.000981")</f>
        <v/>
      </c>
      <c r="K2278">
        <f>_xlfn.NUMBERVALUE("0.001810")</f>
        <v/>
      </c>
      <c r="L2278">
        <f>_xlfn.NUMBERVALUE("-0.001262")</f>
        <v/>
      </c>
      <c r="M2278">
        <f>_xlfn.NUMBERVALUE("0.001562")</f>
        <v/>
      </c>
      <c r="N2278">
        <f>_xlfn.NUMBERVALUE("-0.000734")</f>
        <v/>
      </c>
      <c r="O2278">
        <f>_xlfn.NUMBERVALUE("0.001694")</f>
        <v/>
      </c>
      <c r="P2278">
        <f>_xlfn.NUMBERVALUE("0.001861")</f>
        <v/>
      </c>
      <c r="Q2278">
        <f>_xlfn.NUMBERVALUE("-0.001651")</f>
        <v/>
      </c>
      <c r="R2278">
        <f>_xlfn.NUMBERVALUE("-0.003656")</f>
        <v/>
      </c>
      <c r="S2278">
        <f>_xlfn.NUMBERVALUE("0.001405")</f>
        <v/>
      </c>
      <c r="T2278">
        <f>_xlfn.NUMBERVALUE("-0.000115")</f>
        <v/>
      </c>
      <c r="U2278">
        <f>_xlfn.NUMBERVALUE("0.001380")</f>
        <v/>
      </c>
      <c r="V2278">
        <f>_xlfn.NUMBERVALUE("-0.000640")</f>
        <v/>
      </c>
      <c r="W2278">
        <f>_xlfn.NUMBERVALUE("0.009666")</f>
        <v/>
      </c>
      <c r="X2278">
        <f>_xlfn.NUMBERVALUE("-0.660000")</f>
        <v/>
      </c>
      <c r="Y2278">
        <f>_xlfn.NUMBERVALUE("14.130000")</f>
        <v/>
      </c>
    </row>
    <row r="2279">
      <c r="A2279" s="1" t="n">
        <v>45310</v>
      </c>
      <c r="B2279">
        <f>_xlfn.NUMBERVALUE("0.000169")</f>
        <v/>
      </c>
      <c r="C2279" s="2">
        <f>_xlfn.NUMBERVALUE("-0.001464")</f>
        <v/>
      </c>
      <c r="D2279">
        <f>_xlfn.NUMBERVALUE("0.001118")</f>
        <v/>
      </c>
      <c r="E2279">
        <f>_xlfn.NUMBERVALUE("0.001031")</f>
        <v/>
      </c>
      <c r="F2279">
        <f>_xlfn.NUMBERVALUE("0.000725")</f>
        <v/>
      </c>
      <c r="G2279">
        <f>_xlfn.NUMBERVALUE("0.000986")</f>
        <v/>
      </c>
      <c r="H2279">
        <f>_xlfn.NUMBERVALUE("0.000520")</f>
        <v/>
      </c>
      <c r="I2279">
        <f>_xlfn.NUMBERVALUE("0.000563")</f>
        <v/>
      </c>
      <c r="J2279">
        <f>_xlfn.NUMBERVALUE("0.002326")</f>
        <v/>
      </c>
      <c r="K2279">
        <f>_xlfn.NUMBERVALUE("0.000958")</f>
        <v/>
      </c>
      <c r="L2279">
        <f>_xlfn.NUMBERVALUE("0.000941")</f>
        <v/>
      </c>
      <c r="M2279">
        <f>_xlfn.NUMBERVALUE("0.001252")</f>
        <v/>
      </c>
      <c r="N2279">
        <f>_xlfn.NUMBERVALUE("-0.002369")</f>
        <v/>
      </c>
      <c r="O2279">
        <f>_xlfn.NUMBERVALUE("0.001914")</f>
        <v/>
      </c>
      <c r="P2279">
        <f>_xlfn.NUMBERVALUE("-0.002608")</f>
        <v/>
      </c>
      <c r="Q2279">
        <f>_xlfn.NUMBERVALUE("-0.000314")</f>
        <v/>
      </c>
      <c r="R2279">
        <f>_xlfn.NUMBERVALUE("-0.004480")</f>
        <v/>
      </c>
      <c r="S2279">
        <f>_xlfn.NUMBERVALUE("0.000670")</f>
        <v/>
      </c>
      <c r="T2279">
        <f>_xlfn.NUMBERVALUE("0.000138")</f>
        <v/>
      </c>
      <c r="U2279">
        <f>_xlfn.NUMBERVALUE("0.001153")</f>
        <v/>
      </c>
      <c r="V2279">
        <f>_xlfn.NUMBERVALUE("-0.001367")</f>
        <v/>
      </c>
      <c r="W2279">
        <f>_xlfn.NUMBERVALUE("0.012156")</f>
        <v/>
      </c>
      <c r="X2279">
        <f>_xlfn.NUMBERVALUE("-0.830000")</f>
        <v/>
      </c>
      <c r="Y2279">
        <f>_xlfn.NUMBERVALUE("13.300000")</f>
        <v/>
      </c>
    </row>
    <row r="2280">
      <c r="A2280" s="1" t="n">
        <v>45313</v>
      </c>
      <c r="B2280">
        <f>_xlfn.NUMBERVALUE("-0.000247")</f>
        <v/>
      </c>
      <c r="C2280" s="2">
        <f>_xlfn.NUMBERVALUE("0.000464")</f>
        <v/>
      </c>
      <c r="D2280">
        <f>_xlfn.NUMBERVALUE("-0.000378")</f>
        <v/>
      </c>
      <c r="E2280">
        <f>_xlfn.NUMBERVALUE("0.000611")</f>
        <v/>
      </c>
      <c r="F2280">
        <f>_xlfn.NUMBERVALUE("0.000650")</f>
        <v/>
      </c>
      <c r="G2280">
        <f>_xlfn.NUMBERVALUE("0.000122")</f>
        <v/>
      </c>
      <c r="H2280">
        <f>_xlfn.NUMBERVALUE("0.000677")</f>
        <v/>
      </c>
      <c r="I2280">
        <f>_xlfn.NUMBERVALUE("-0.001369")</f>
        <v/>
      </c>
      <c r="J2280">
        <f>_xlfn.NUMBERVALUE("0.000453")</f>
        <v/>
      </c>
      <c r="K2280">
        <f>_xlfn.NUMBERVALUE("-0.003529")</f>
        <v/>
      </c>
      <c r="L2280">
        <f>_xlfn.NUMBERVALUE("0.000513")</f>
        <v/>
      </c>
      <c r="M2280">
        <f>_xlfn.NUMBERVALUE("0.001521")</f>
        <v/>
      </c>
      <c r="N2280">
        <f>_xlfn.NUMBERVALUE("0.002059")</f>
        <v/>
      </c>
      <c r="O2280">
        <f>_xlfn.NUMBERVALUE("0.002692")</f>
        <v/>
      </c>
      <c r="P2280">
        <f>_xlfn.NUMBERVALUE("0.000724")</f>
        <v/>
      </c>
      <c r="Q2280">
        <f>_xlfn.NUMBERVALUE("-0.000222")</f>
        <v/>
      </c>
      <c r="R2280">
        <f>_xlfn.NUMBERVALUE("0.000413")</f>
        <v/>
      </c>
      <c r="S2280">
        <f>_xlfn.NUMBERVALUE("-0.000082")</f>
        <v/>
      </c>
      <c r="T2280">
        <f>_xlfn.NUMBERVALUE("-0.000453")</f>
        <v/>
      </c>
      <c r="U2280">
        <f>_xlfn.NUMBERVALUE("0.001214")</f>
        <v/>
      </c>
      <c r="V2280">
        <f>_xlfn.NUMBERVALUE("0.001248")</f>
        <v/>
      </c>
      <c r="W2280">
        <f>_xlfn.NUMBERVALUE("0.003423")</f>
        <v/>
      </c>
      <c r="X2280">
        <f>_xlfn.NUMBERVALUE("-0.110000")</f>
        <v/>
      </c>
      <c r="Y2280">
        <f>_xlfn.NUMBERVALUE("13.190000")</f>
        <v/>
      </c>
    </row>
    <row r="2281">
      <c r="A2281" s="1" t="n">
        <v>45314</v>
      </c>
      <c r="B2281">
        <f>_xlfn.NUMBERVALUE("-0.000014")</f>
        <v/>
      </c>
      <c r="C2281" s="2">
        <f>_xlfn.NUMBERVALUE("0.001743")</f>
        <v/>
      </c>
      <c r="D2281">
        <f>_xlfn.NUMBERVALUE("0.000606")</f>
        <v/>
      </c>
      <c r="E2281">
        <f>_xlfn.NUMBERVALUE("0.001445")</f>
        <v/>
      </c>
      <c r="F2281">
        <f>_xlfn.NUMBERVALUE("0.000651")</f>
        <v/>
      </c>
      <c r="G2281">
        <f>_xlfn.NUMBERVALUE("0.001131")</f>
        <v/>
      </c>
      <c r="H2281">
        <f>_xlfn.NUMBERVALUE("0.000374")</f>
        <v/>
      </c>
      <c r="I2281">
        <f>_xlfn.NUMBERVALUE("0.001523")</f>
        <v/>
      </c>
      <c r="J2281">
        <f>_xlfn.NUMBERVALUE("-0.000004")</f>
        <v/>
      </c>
      <c r="K2281">
        <f>_xlfn.NUMBERVALUE("0.001324")</f>
        <v/>
      </c>
      <c r="L2281">
        <f>_xlfn.NUMBERVALUE("-0.000154")</f>
        <v/>
      </c>
      <c r="M2281">
        <f>_xlfn.NUMBERVALUE("0.001814")</f>
        <v/>
      </c>
      <c r="N2281">
        <f>_xlfn.NUMBERVALUE("-0.000111")</f>
        <v/>
      </c>
      <c r="O2281">
        <f>_xlfn.NUMBERVALUE("0.002639")</f>
        <v/>
      </c>
      <c r="P2281">
        <f>_xlfn.NUMBERVALUE("0.001540")</f>
        <v/>
      </c>
      <c r="Q2281">
        <f>_xlfn.NUMBERVALUE("0.002022")</f>
        <v/>
      </c>
      <c r="R2281">
        <f>_xlfn.NUMBERVALUE("0.001605")</f>
        <v/>
      </c>
      <c r="S2281">
        <f>_xlfn.NUMBERVALUE("0.000234")</f>
        <v/>
      </c>
      <c r="T2281">
        <f>_xlfn.NUMBERVALUE("-0.000124")</f>
        <v/>
      </c>
      <c r="U2281">
        <f>_xlfn.NUMBERVALUE("0.002190")</f>
        <v/>
      </c>
      <c r="V2281">
        <f>_xlfn.NUMBERVALUE("0.000935")</f>
        <v/>
      </c>
      <c r="W2281">
        <f>_xlfn.NUMBERVALUE("0.001943")</f>
        <v/>
      </c>
      <c r="X2281">
        <f>_xlfn.NUMBERVALUE("-0.640000")</f>
        <v/>
      </c>
      <c r="Y2281">
        <f>_xlfn.NUMBERVALUE("12.550000")</f>
        <v/>
      </c>
    </row>
    <row r="2282">
      <c r="A2282" s="1" t="n">
        <v>45315</v>
      </c>
      <c r="B2282">
        <f>_xlfn.NUMBERVALUE("-0.000854")</f>
        <v/>
      </c>
      <c r="C2282" s="2">
        <f>_xlfn.NUMBERVALUE("0.000567")</f>
        <v/>
      </c>
      <c r="D2282">
        <f>_xlfn.NUMBERVALUE("-0.000783")</f>
        <v/>
      </c>
      <c r="E2282">
        <f>_xlfn.NUMBERVALUE("-0.001612")</f>
        <v/>
      </c>
      <c r="F2282">
        <f>_xlfn.NUMBERVALUE("-0.000948")</f>
        <v/>
      </c>
      <c r="G2282">
        <f>_xlfn.NUMBERVALUE("0.000630")</f>
        <v/>
      </c>
      <c r="H2282">
        <f>_xlfn.NUMBERVALUE("-0.000170")</f>
        <v/>
      </c>
      <c r="I2282">
        <f>_xlfn.NUMBERVALUE("-0.000607")</f>
        <v/>
      </c>
      <c r="J2282">
        <f>_xlfn.NUMBERVALUE("0.000305")</f>
        <v/>
      </c>
      <c r="K2282">
        <f>_xlfn.NUMBERVALUE("0.000357")</f>
        <v/>
      </c>
      <c r="L2282">
        <f>_xlfn.NUMBERVALUE("-0.000021")</f>
        <v/>
      </c>
      <c r="M2282">
        <f>_xlfn.NUMBERVALUE("-0.001583")</f>
        <v/>
      </c>
      <c r="N2282">
        <f>_xlfn.NUMBERVALUE("-0.000514")</f>
        <v/>
      </c>
      <c r="O2282">
        <f>_xlfn.NUMBERVALUE("-0.000601")</f>
        <v/>
      </c>
      <c r="P2282">
        <f>_xlfn.NUMBERVALUE("0.000381")</f>
        <v/>
      </c>
      <c r="Q2282">
        <f>_xlfn.NUMBERVALUE("0.000305")</f>
        <v/>
      </c>
      <c r="R2282">
        <f>_xlfn.NUMBERVALUE("-0.000753")</f>
        <v/>
      </c>
      <c r="S2282">
        <f>_xlfn.NUMBERVALUE("-0.002053")</f>
        <v/>
      </c>
      <c r="T2282">
        <f>_xlfn.NUMBERVALUE("-0.000264")</f>
        <v/>
      </c>
      <c r="U2282">
        <f>_xlfn.NUMBERVALUE("-0.000168")</f>
        <v/>
      </c>
      <c r="V2282">
        <f>_xlfn.NUMBERVALUE("-0.000019")</f>
        <v/>
      </c>
      <c r="W2282">
        <f>_xlfn.NUMBERVALUE("0.003095")</f>
        <v/>
      </c>
      <c r="X2282">
        <f>_xlfn.NUMBERVALUE("0.590000")</f>
        <v/>
      </c>
      <c r="Y2282">
        <f>_xlfn.NUMBERVALUE("13.140000")</f>
        <v/>
      </c>
    </row>
    <row r="2283">
      <c r="A2283" s="1" t="n">
        <v>45316</v>
      </c>
      <c r="B2283">
        <f>_xlfn.NUMBERVALUE("0.000443")</f>
        <v/>
      </c>
      <c r="C2283" s="2">
        <f>_xlfn.NUMBERVALUE("-0.000251")</f>
        <v/>
      </c>
      <c r="D2283">
        <f>_xlfn.NUMBERVALUE("0.001427")</f>
        <v/>
      </c>
      <c r="E2283">
        <f>_xlfn.NUMBERVALUE("0.000630")</f>
        <v/>
      </c>
      <c r="F2283">
        <f>_xlfn.NUMBERVALUE("-0.000082")</f>
        <v/>
      </c>
      <c r="G2283">
        <f>_xlfn.NUMBERVALUE("-0.001392")</f>
        <v/>
      </c>
      <c r="H2283">
        <f>_xlfn.NUMBERVALUE("-0.000217")</f>
        <v/>
      </c>
      <c r="I2283">
        <f>_xlfn.NUMBERVALUE("0.000509")</f>
        <v/>
      </c>
      <c r="J2283">
        <f>_xlfn.NUMBERVALUE("-0.001260")</f>
        <v/>
      </c>
      <c r="K2283">
        <f>_xlfn.NUMBERVALUE("0.001384")</f>
        <v/>
      </c>
      <c r="L2283">
        <f>_xlfn.NUMBERVALUE("0.000357")</f>
        <v/>
      </c>
      <c r="M2283">
        <f>_xlfn.NUMBERVALUE("-0.000008")</f>
        <v/>
      </c>
      <c r="N2283">
        <f>_xlfn.NUMBERVALUE("-0.002647")</f>
        <v/>
      </c>
      <c r="O2283">
        <f>_xlfn.NUMBERVALUE("-0.003571")</f>
        <v/>
      </c>
      <c r="P2283">
        <f>_xlfn.NUMBERVALUE("-0.000814")</f>
        <v/>
      </c>
      <c r="Q2283">
        <f>_xlfn.NUMBERVALUE("-0.000888")</f>
        <v/>
      </c>
      <c r="R2283">
        <f>_xlfn.NUMBERVALUE("0.000321")</f>
        <v/>
      </c>
      <c r="S2283">
        <f>_xlfn.NUMBERVALUE("0.000585")</f>
        <v/>
      </c>
      <c r="T2283">
        <f>_xlfn.NUMBERVALUE("-0.000187")</f>
        <v/>
      </c>
      <c r="U2283">
        <f>_xlfn.NUMBERVALUE("-0.001598")</f>
        <v/>
      </c>
      <c r="V2283">
        <f>_xlfn.NUMBERVALUE("0.000073")</f>
        <v/>
      </c>
      <c r="W2283">
        <f>_xlfn.NUMBERVALUE("0.001645")</f>
        <v/>
      </c>
      <c r="X2283">
        <f>_xlfn.NUMBERVALUE("0.310000")</f>
        <v/>
      </c>
      <c r="Y2283">
        <f>_xlfn.NUMBERVALUE("13.450000")</f>
        <v/>
      </c>
    </row>
    <row r="2284">
      <c r="A2284" s="1" t="n">
        <v>45317</v>
      </c>
      <c r="B2284">
        <f>_xlfn.NUMBERVALUE("-0.000031")</f>
        <v/>
      </c>
      <c r="C2284" s="2">
        <f>_xlfn.NUMBERVALUE("0.000451")</f>
        <v/>
      </c>
      <c r="D2284">
        <f>_xlfn.NUMBERVALUE("0.001667")</f>
        <v/>
      </c>
      <c r="E2284">
        <f>_xlfn.NUMBERVALUE("0.000382")</f>
        <v/>
      </c>
      <c r="F2284">
        <f>_xlfn.NUMBERVALUE("0.001646")</f>
        <v/>
      </c>
      <c r="G2284">
        <f>_xlfn.NUMBERVALUE("0.000007")</f>
        <v/>
      </c>
      <c r="H2284">
        <f>_xlfn.NUMBERVALUE("0.000855")</f>
        <v/>
      </c>
      <c r="I2284">
        <f>_xlfn.NUMBERVALUE("0.002030")</f>
        <v/>
      </c>
      <c r="J2284">
        <f>_xlfn.NUMBERVALUE("0.001758")</f>
        <v/>
      </c>
      <c r="K2284">
        <f>_xlfn.NUMBERVALUE("0.002385")</f>
        <v/>
      </c>
      <c r="L2284">
        <f>_xlfn.NUMBERVALUE("0.000877")</f>
        <v/>
      </c>
      <c r="M2284">
        <f>_xlfn.NUMBERVALUE("-0.000010")</f>
        <v/>
      </c>
      <c r="N2284">
        <f>_xlfn.NUMBERVALUE("0.000010")</f>
        <v/>
      </c>
      <c r="O2284">
        <f>_xlfn.NUMBERVALUE("0.000364")</f>
        <v/>
      </c>
      <c r="P2284">
        <f>_xlfn.NUMBERVALUE("-0.000068")</f>
        <v/>
      </c>
      <c r="Q2284">
        <f>_xlfn.NUMBERVALUE("0.000842")</f>
        <v/>
      </c>
      <c r="R2284">
        <f>_xlfn.NUMBERVALUE("0.001398")</f>
        <v/>
      </c>
      <c r="S2284">
        <f>_xlfn.NUMBERVALUE("-0.000899")</f>
        <v/>
      </c>
      <c r="T2284">
        <f>_xlfn.NUMBERVALUE("-0.000018")</f>
        <v/>
      </c>
      <c r="U2284">
        <f>_xlfn.NUMBERVALUE("0.000368")</f>
        <v/>
      </c>
      <c r="V2284">
        <f>_xlfn.NUMBERVALUE("0.000676")</f>
        <v/>
      </c>
      <c r="W2284">
        <f>_xlfn.NUMBERVALUE("0.000411")</f>
        <v/>
      </c>
      <c r="X2284">
        <f>_xlfn.NUMBERVALUE("-0.190000")</f>
        <v/>
      </c>
      <c r="Y2284">
        <f>_xlfn.NUMBERVALUE("13.260000")</f>
        <v/>
      </c>
    </row>
    <row r="2285">
      <c r="A2285" s="1" t="n">
        <v>45320</v>
      </c>
      <c r="B2285">
        <f>_xlfn.NUMBERVALUE("-0.009205")</f>
        <v/>
      </c>
      <c r="C2285" s="2">
        <f>_xlfn.NUMBERVALUE("-0.000029")</f>
        <v/>
      </c>
      <c r="D2285">
        <f>_xlfn.NUMBERVALUE("0.000708")</f>
        <v/>
      </c>
      <c r="E2285">
        <f>_xlfn.NUMBERVALUE("0.000373")</f>
        <v/>
      </c>
      <c r="F2285">
        <f>_xlfn.NUMBERVALUE("-0.001491")</f>
        <v/>
      </c>
      <c r="G2285">
        <f>_xlfn.NUMBERVALUE("0.000162")</f>
        <v/>
      </c>
      <c r="H2285">
        <f>_xlfn.NUMBERVALUE("-0.000938")</f>
        <v/>
      </c>
      <c r="I2285">
        <f>_xlfn.NUMBERVALUE("-0.001095")</f>
        <v/>
      </c>
      <c r="J2285">
        <f>_xlfn.NUMBERVALUE("0.000556")</f>
        <v/>
      </c>
      <c r="K2285">
        <f>_xlfn.NUMBERVALUE("-0.000635")</f>
        <v/>
      </c>
      <c r="L2285">
        <f>_xlfn.NUMBERVALUE("-0.001100")</f>
        <v/>
      </c>
      <c r="M2285">
        <f>_xlfn.NUMBERVALUE("0.000462")</f>
        <v/>
      </c>
      <c r="N2285">
        <f>_xlfn.NUMBERVALUE("-0.000189")</f>
        <v/>
      </c>
      <c r="O2285">
        <f>_xlfn.NUMBERVALUE("0.001089")</f>
        <v/>
      </c>
      <c r="P2285">
        <f>_xlfn.NUMBERVALUE("0.000856")</f>
        <v/>
      </c>
      <c r="Q2285">
        <f>_xlfn.NUMBERVALUE("0.001081")</f>
        <v/>
      </c>
      <c r="R2285">
        <f>_xlfn.NUMBERVALUE("-0.000005")</f>
        <v/>
      </c>
      <c r="S2285">
        <f>_xlfn.NUMBERVALUE("0.000032")</f>
        <v/>
      </c>
      <c r="T2285">
        <f>_xlfn.NUMBERVALUE("-0.000126")</f>
        <v/>
      </c>
      <c r="U2285">
        <f>_xlfn.NUMBERVALUE("-0.001415")</f>
        <v/>
      </c>
      <c r="V2285">
        <f>_xlfn.NUMBERVALUE("0.000292")</f>
        <v/>
      </c>
      <c r="W2285">
        <f>_xlfn.NUMBERVALUE("0.006691")</f>
        <v/>
      </c>
      <c r="X2285">
        <f>_xlfn.NUMBERVALUE("0.340000")</f>
        <v/>
      </c>
      <c r="Y2285">
        <f>_xlfn.NUMBERVALUE("13.600000")</f>
        <v/>
      </c>
    </row>
    <row r="2286">
      <c r="A2286" s="1" t="n">
        <v>45321</v>
      </c>
      <c r="B2286">
        <f>_xlfn.NUMBERVALUE("-0.000065")</f>
        <v/>
      </c>
      <c r="C2286" s="2">
        <f>_xlfn.NUMBERVALUE("-0.000495")</f>
        <v/>
      </c>
      <c r="D2286">
        <f>_xlfn.NUMBERVALUE("-0.001522")</f>
        <v/>
      </c>
      <c r="E2286">
        <f>_xlfn.NUMBERVALUE("0.000557")</f>
        <v/>
      </c>
      <c r="F2286">
        <f>_xlfn.NUMBERVALUE("0.001063")</f>
        <v/>
      </c>
      <c r="G2286">
        <f>_xlfn.NUMBERVALUE("0.002703")</f>
        <v/>
      </c>
      <c r="H2286">
        <f>_xlfn.NUMBERVALUE("0.000711")</f>
        <v/>
      </c>
      <c r="I2286">
        <f>_xlfn.NUMBERVALUE("0.000945")</f>
        <v/>
      </c>
      <c r="J2286">
        <f>_xlfn.NUMBERVALUE("0.000180")</f>
        <v/>
      </c>
      <c r="K2286">
        <f>_xlfn.NUMBERVALUE("0.002364")</f>
        <v/>
      </c>
      <c r="L2286">
        <f>_xlfn.NUMBERVALUE("-0.000070")</f>
        <v/>
      </c>
      <c r="M2286">
        <f>_xlfn.NUMBERVALUE("-0.000322")</f>
        <v/>
      </c>
      <c r="N2286">
        <f>_xlfn.NUMBERVALUE("0.000943")</f>
        <v/>
      </c>
      <c r="O2286">
        <f>_xlfn.NUMBERVALUE("-0.000718")</f>
        <v/>
      </c>
      <c r="P2286">
        <f>_xlfn.NUMBERVALUE("-0.003128")</f>
        <v/>
      </c>
      <c r="Q2286">
        <f>_xlfn.NUMBERVALUE("0.000801")</f>
        <v/>
      </c>
      <c r="R2286">
        <f>_xlfn.NUMBERVALUE("0.001113")</f>
        <v/>
      </c>
      <c r="S2286">
        <f>_xlfn.NUMBERVALUE("-0.000599")</f>
        <v/>
      </c>
      <c r="T2286">
        <f>_xlfn.NUMBERVALUE("0.000042")</f>
        <v/>
      </c>
      <c r="U2286">
        <f>_xlfn.NUMBERVALUE("0.000305")</f>
        <v/>
      </c>
      <c r="V2286">
        <f>_xlfn.NUMBERVALUE("0.000290")</f>
        <v/>
      </c>
      <c r="W2286">
        <f>_xlfn.NUMBERVALUE("0.001386")</f>
        <v/>
      </c>
      <c r="X2286">
        <f>_xlfn.NUMBERVALUE("-0.290000")</f>
        <v/>
      </c>
      <c r="Y2286">
        <f>_xlfn.NUMBERVALUE("13.310000")</f>
        <v/>
      </c>
    </row>
    <row r="2287">
      <c r="A2287" s="1" t="n">
        <v>45322</v>
      </c>
      <c r="B2287">
        <f>_xlfn.NUMBERVALUE("-0.000962")</f>
        <v/>
      </c>
      <c r="C2287" s="2">
        <f>_xlfn.NUMBERVALUE("0.000736")</f>
        <v/>
      </c>
      <c r="D2287">
        <f>_xlfn.NUMBERVALUE("0.001524")</f>
        <v/>
      </c>
      <c r="E2287">
        <f>_xlfn.NUMBERVALUE("0.000550")</f>
        <v/>
      </c>
      <c r="F2287">
        <f>_xlfn.NUMBERVALUE("0.000838")</f>
        <v/>
      </c>
      <c r="G2287">
        <f>_xlfn.NUMBERVALUE("0.000862")</f>
        <v/>
      </c>
      <c r="H2287">
        <f>_xlfn.NUMBERVALUE("0.000677")</f>
        <v/>
      </c>
      <c r="I2287">
        <f>_xlfn.NUMBERVALUE("-0.001891")</f>
        <v/>
      </c>
      <c r="J2287">
        <f>_xlfn.NUMBERVALUE("0.001199")</f>
        <v/>
      </c>
      <c r="K2287">
        <f>_xlfn.NUMBERVALUE("-0.001841")</f>
        <v/>
      </c>
      <c r="L2287">
        <f>_xlfn.NUMBERVALUE("0.000912")</f>
        <v/>
      </c>
      <c r="M2287">
        <f>_xlfn.NUMBERVALUE("-0.002043")</f>
        <v/>
      </c>
      <c r="N2287">
        <f>_xlfn.NUMBERVALUE("0.000369")</f>
        <v/>
      </c>
      <c r="O2287">
        <f>_xlfn.NUMBERVALUE("-0.000343")</f>
        <v/>
      </c>
      <c r="P2287">
        <f>_xlfn.NUMBERVALUE("0.000454")</f>
        <v/>
      </c>
      <c r="Q2287">
        <f>_xlfn.NUMBERVALUE("-0.001018")</f>
        <v/>
      </c>
      <c r="R2287">
        <f>_xlfn.NUMBERVALUE("0.000342")</f>
        <v/>
      </c>
      <c r="S2287">
        <f>_xlfn.NUMBERVALUE("-0.000508")</f>
        <v/>
      </c>
      <c r="T2287">
        <f>_xlfn.NUMBERVALUE("0.000270")</f>
        <v/>
      </c>
      <c r="U2287">
        <f>_xlfn.NUMBERVALUE("-0.004240")</f>
        <v/>
      </c>
      <c r="V2287">
        <f>_xlfn.NUMBERVALUE("-0.000147")</f>
        <v/>
      </c>
      <c r="W2287">
        <f>_xlfn.NUMBERVALUE("-0.015271")</f>
        <v/>
      </c>
      <c r="X2287">
        <f>_xlfn.NUMBERVALUE("1.040000")</f>
        <v/>
      </c>
      <c r="Y2287">
        <f>_xlfn.NUMBERVALUE("14.350000")</f>
        <v/>
      </c>
    </row>
    <row r="2288">
      <c r="A2288" s="1" t="n">
        <v>45323</v>
      </c>
      <c r="B2288">
        <f>_xlfn.NUMBERVALUE("0.003058")</f>
        <v/>
      </c>
      <c r="C2288" s="2">
        <f>_xlfn.NUMBERVALUE("-0.001115")</f>
        <v/>
      </c>
      <c r="D2288">
        <f>_xlfn.NUMBERVALUE("0.000876")</f>
        <v/>
      </c>
      <c r="E2288">
        <f>_xlfn.NUMBERVALUE("0.000312")</f>
        <v/>
      </c>
      <c r="F2288">
        <f>_xlfn.NUMBERVALUE("-0.001718")</f>
        <v/>
      </c>
      <c r="G2288">
        <f>_xlfn.NUMBERVALUE("-0.002254")</f>
        <v/>
      </c>
      <c r="H2288">
        <f>_xlfn.NUMBERVALUE("-0.003266")</f>
        <v/>
      </c>
      <c r="I2288">
        <f>_xlfn.NUMBERVALUE("0.001611")</f>
        <v/>
      </c>
      <c r="J2288">
        <f>_xlfn.NUMBERVALUE("-0.003832")</f>
        <v/>
      </c>
      <c r="K2288">
        <f>_xlfn.NUMBERVALUE("-0.000273")</f>
        <v/>
      </c>
      <c r="L2288">
        <f>_xlfn.NUMBERVALUE("-0.007714")</f>
        <v/>
      </c>
      <c r="M2288">
        <f>_xlfn.NUMBERVALUE("-0.001366")</f>
        <v/>
      </c>
      <c r="N2288">
        <f>_xlfn.NUMBERVALUE("-0.000063")</f>
        <v/>
      </c>
      <c r="O2288">
        <f>_xlfn.NUMBERVALUE("0.002155")</f>
        <v/>
      </c>
      <c r="P2288">
        <f>_xlfn.NUMBERVALUE("0.000652")</f>
        <v/>
      </c>
      <c r="Q2288">
        <f>_xlfn.NUMBERVALUE("-0.003257")</f>
        <v/>
      </c>
      <c r="R2288">
        <f>_xlfn.NUMBERVALUE("-0.000890")</f>
        <v/>
      </c>
      <c r="S2288">
        <f>_xlfn.NUMBERVALUE("-0.006592")</f>
        <v/>
      </c>
      <c r="T2288">
        <f>_xlfn.NUMBERVALUE("-0.000004")</f>
        <v/>
      </c>
      <c r="U2288">
        <f>_xlfn.NUMBERVALUE("-0.000066")</f>
        <v/>
      </c>
      <c r="V2288">
        <f>_xlfn.NUMBERVALUE("0.000152")</f>
        <v/>
      </c>
      <c r="W2288">
        <f>_xlfn.NUMBERVALUE("0.010607")</f>
        <v/>
      </c>
      <c r="X2288">
        <f>_xlfn.NUMBERVALUE("-0.470000")</f>
        <v/>
      </c>
      <c r="Y2288">
        <f>_xlfn.NUMBERVALUE("13.880000")</f>
        <v/>
      </c>
    </row>
    <row r="2289">
      <c r="A2289" s="1" t="n">
        <v>45324</v>
      </c>
      <c r="B2289">
        <f>_xlfn.NUMBERVALUE("0.003503")</f>
        <v/>
      </c>
      <c r="C2289" s="2">
        <f>_xlfn.NUMBERVALUE("0.000528")</f>
        <v/>
      </c>
      <c r="D2289">
        <f>_xlfn.NUMBERVALUE("0.000968")</f>
        <v/>
      </c>
      <c r="E2289">
        <f>_xlfn.NUMBERVALUE("0.001333")</f>
        <v/>
      </c>
      <c r="F2289">
        <f>_xlfn.NUMBERVALUE("0.001583")</f>
        <v/>
      </c>
      <c r="G2289">
        <f>_xlfn.NUMBERVALUE("0.000962")</f>
        <v/>
      </c>
      <c r="H2289">
        <f>_xlfn.NUMBERVALUE("-0.001648")</f>
        <v/>
      </c>
      <c r="I2289">
        <f>_xlfn.NUMBERVALUE("0.005290")</f>
        <v/>
      </c>
      <c r="J2289">
        <f>_xlfn.NUMBERVALUE("0.002486")</f>
        <v/>
      </c>
      <c r="K2289">
        <f>_xlfn.NUMBERVALUE("-0.004161")</f>
        <v/>
      </c>
      <c r="L2289">
        <f>_xlfn.NUMBERVALUE("-0.003802")</f>
        <v/>
      </c>
      <c r="M2289">
        <f>_xlfn.NUMBERVALUE("0.001151")</f>
        <v/>
      </c>
      <c r="N2289">
        <f>_xlfn.NUMBERVALUE("-0.007511")</f>
        <v/>
      </c>
      <c r="O2289">
        <f>_xlfn.NUMBERVALUE("0.002127")</f>
        <v/>
      </c>
      <c r="P2289">
        <f>_xlfn.NUMBERVALUE("0.001182")</f>
        <v/>
      </c>
      <c r="Q2289">
        <f>_xlfn.NUMBERVALUE("0.000355")</f>
        <v/>
      </c>
      <c r="R2289">
        <f>_xlfn.NUMBERVALUE("0.000393")</f>
        <v/>
      </c>
      <c r="S2289">
        <f>_xlfn.NUMBERVALUE("0.001590")</f>
        <v/>
      </c>
      <c r="T2289">
        <f>_xlfn.NUMBERVALUE("-0.000333")</f>
        <v/>
      </c>
      <c r="U2289">
        <f>_xlfn.NUMBERVALUE("0.000870")</f>
        <v/>
      </c>
      <c r="V2289">
        <f>_xlfn.NUMBERVALUE("0.000085")</f>
        <v/>
      </c>
      <c r="W2289">
        <f>_xlfn.NUMBERVALUE("0.012644")</f>
        <v/>
      </c>
      <c r="X2289">
        <f>_xlfn.NUMBERVALUE("-0.030000")</f>
        <v/>
      </c>
      <c r="Y2289">
        <f>_xlfn.NUMBERVALUE("13.850000")</f>
        <v/>
      </c>
    </row>
    <row r="2290">
      <c r="A2290" s="1" t="n">
        <v>45327</v>
      </c>
      <c r="B2290">
        <f>_xlfn.NUMBERVALUE("-0.001861")</f>
        <v/>
      </c>
      <c r="C2290" s="2">
        <f>_xlfn.NUMBERVALUE("0.001270")</f>
        <v/>
      </c>
      <c r="D2290">
        <f>_xlfn.NUMBERVALUE("0.001138")</f>
        <v/>
      </c>
      <c r="E2290">
        <f>_xlfn.NUMBERVALUE("0.004255")</f>
        <v/>
      </c>
      <c r="F2290">
        <f>_xlfn.NUMBERVALUE("0.000123")</f>
        <v/>
      </c>
      <c r="G2290">
        <f>_xlfn.NUMBERVALUE("0.000933")</f>
        <v/>
      </c>
      <c r="H2290">
        <f>_xlfn.NUMBERVALUE("-0.004188")</f>
        <v/>
      </c>
      <c r="I2290">
        <f>_xlfn.NUMBERVALUE("0.001527")</f>
        <v/>
      </c>
      <c r="J2290">
        <f>_xlfn.NUMBERVALUE("-0.001418")</f>
        <v/>
      </c>
      <c r="K2290">
        <f>_xlfn.NUMBERVALUE("-0.000536")</f>
        <v/>
      </c>
      <c r="L2290">
        <f>_xlfn.NUMBERVALUE("-0.006447")</f>
        <v/>
      </c>
      <c r="M2290">
        <f>_xlfn.NUMBERVALUE("-0.008196")</f>
        <v/>
      </c>
      <c r="N2290">
        <f>_xlfn.NUMBERVALUE("0.000790")</f>
        <v/>
      </c>
      <c r="O2290">
        <f>_xlfn.NUMBERVALUE("0.002628")</f>
        <v/>
      </c>
      <c r="P2290">
        <f>_xlfn.NUMBERVALUE("0.001780")</f>
        <v/>
      </c>
      <c r="Q2290">
        <f>_xlfn.NUMBERVALUE("0.000754")</f>
        <v/>
      </c>
      <c r="R2290">
        <f>_xlfn.NUMBERVALUE("0.001386")</f>
        <v/>
      </c>
      <c r="S2290">
        <f>_xlfn.NUMBERVALUE("0.001414")</f>
        <v/>
      </c>
      <c r="T2290">
        <f>_xlfn.NUMBERVALUE("-0.000775")</f>
        <v/>
      </c>
      <c r="U2290">
        <f>_xlfn.NUMBERVALUE("-0.001540")</f>
        <v/>
      </c>
      <c r="V2290">
        <f>_xlfn.NUMBERVALUE("0.000172")</f>
        <v/>
      </c>
      <c r="W2290">
        <f>_xlfn.NUMBERVALUE("-0.003798")</f>
        <v/>
      </c>
      <c r="X2290">
        <f>_xlfn.NUMBERVALUE("-0.180000")</f>
        <v/>
      </c>
      <c r="Y2290">
        <f>_xlfn.NUMBERVALUE("13.670000")</f>
        <v/>
      </c>
    </row>
    <row r="2291">
      <c r="A2291" s="1" t="n">
        <v>45328</v>
      </c>
      <c r="B2291">
        <f>_xlfn.NUMBERVALUE("-0.003072")</f>
        <v/>
      </c>
      <c r="C2291" s="2">
        <f>_xlfn.NUMBERVALUE("0.000109")</f>
        <v/>
      </c>
      <c r="D2291">
        <f>_xlfn.NUMBERVALUE("-0.002498")</f>
        <v/>
      </c>
      <c r="E2291">
        <f>_xlfn.NUMBERVALUE("0.000612")</f>
        <v/>
      </c>
      <c r="F2291">
        <f>_xlfn.NUMBERVALUE("0.000010")</f>
        <v/>
      </c>
      <c r="G2291">
        <f>_xlfn.NUMBERVALUE("0.000467")</f>
        <v/>
      </c>
      <c r="H2291">
        <f>_xlfn.NUMBERVALUE("0.000691")</f>
        <v/>
      </c>
      <c r="I2291">
        <f>_xlfn.NUMBERVALUE("0.004363")</f>
        <v/>
      </c>
      <c r="J2291">
        <f>_xlfn.NUMBERVALUE("0.000255")</f>
        <v/>
      </c>
      <c r="K2291">
        <f>_xlfn.NUMBERVALUE("-0.000089")</f>
        <v/>
      </c>
      <c r="L2291">
        <f>_xlfn.NUMBERVALUE("0.000230")</f>
        <v/>
      </c>
      <c r="M2291">
        <f>_xlfn.NUMBERVALUE("0.000094")</f>
        <v/>
      </c>
      <c r="N2291">
        <f>_xlfn.NUMBERVALUE("0.000902")</f>
        <v/>
      </c>
      <c r="O2291">
        <f>_xlfn.NUMBERVALUE("0.001909")</f>
        <v/>
      </c>
      <c r="P2291">
        <f>_xlfn.NUMBERVALUE("0.000634")</f>
        <v/>
      </c>
      <c r="Q2291">
        <f>_xlfn.NUMBERVALUE("0.000180")</f>
        <v/>
      </c>
      <c r="R2291">
        <f>_xlfn.NUMBERVALUE("0.000017")</f>
        <v/>
      </c>
      <c r="S2291">
        <f>_xlfn.NUMBERVALUE("0.000865")</f>
        <v/>
      </c>
      <c r="T2291">
        <f>_xlfn.NUMBERVALUE("-0.000079")</f>
        <v/>
      </c>
      <c r="U2291">
        <f>_xlfn.NUMBERVALUE("0.001176")</f>
        <v/>
      </c>
      <c r="V2291">
        <f>_xlfn.NUMBERVALUE("0.000101")</f>
        <v/>
      </c>
      <c r="W2291">
        <f>_xlfn.NUMBERVALUE("-0.000183")</f>
        <v/>
      </c>
      <c r="X2291">
        <f>_xlfn.NUMBERVALUE("-0.610000")</f>
        <v/>
      </c>
      <c r="Y2291">
        <f>_xlfn.NUMBERVALUE("13.060000")</f>
        <v/>
      </c>
    </row>
    <row r="2292">
      <c r="A2292" s="1" t="n">
        <v>45329</v>
      </c>
      <c r="B2292">
        <f>_xlfn.NUMBERVALUE("0.002305")</f>
        <v/>
      </c>
      <c r="C2292" s="2">
        <f>_xlfn.NUMBERVALUE("0.000096")</f>
        <v/>
      </c>
      <c r="D2292">
        <f>_xlfn.NUMBERVALUE("0.001299")</f>
        <v/>
      </c>
      <c r="E2292">
        <f>_xlfn.NUMBERVALUE("0.001365")</f>
        <v/>
      </c>
      <c r="F2292">
        <f>_xlfn.NUMBERVALUE("0.001249")</f>
        <v/>
      </c>
      <c r="G2292">
        <f>_xlfn.NUMBERVALUE("0.000396")</f>
        <v/>
      </c>
      <c r="H2292">
        <f>_xlfn.NUMBERVALUE("0.000480")</f>
        <v/>
      </c>
      <c r="I2292">
        <f>_xlfn.NUMBERVALUE("0.001238")</f>
        <v/>
      </c>
      <c r="J2292">
        <f>_xlfn.NUMBERVALUE("-0.000109")</f>
        <v/>
      </c>
      <c r="K2292">
        <f>_xlfn.NUMBERVALUE("0.000859")</f>
        <v/>
      </c>
      <c r="L2292">
        <f>_xlfn.NUMBERVALUE("-0.000078")</f>
        <v/>
      </c>
      <c r="M2292">
        <f>_xlfn.NUMBERVALUE("-0.000115")</f>
        <v/>
      </c>
      <c r="N2292">
        <f>_xlfn.NUMBERVALUE("0.000610")</f>
        <v/>
      </c>
      <c r="O2292">
        <f>_xlfn.NUMBERVALUE("0.001767")</f>
        <v/>
      </c>
      <c r="P2292">
        <f>_xlfn.NUMBERVALUE("-0.000351")</f>
        <v/>
      </c>
      <c r="Q2292">
        <f>_xlfn.NUMBERVALUE("0.000195")</f>
        <v/>
      </c>
      <c r="R2292">
        <f>_xlfn.NUMBERVALUE("-0.000142")</f>
        <v/>
      </c>
      <c r="S2292">
        <f>_xlfn.NUMBERVALUE("0.000791")</f>
        <v/>
      </c>
      <c r="T2292">
        <f>_xlfn.NUMBERVALUE("0.000037")</f>
        <v/>
      </c>
      <c r="U2292">
        <f>_xlfn.NUMBERVALUE("-0.002289")</f>
        <v/>
      </c>
      <c r="V2292">
        <f>_xlfn.NUMBERVALUE("-0.001443")</f>
        <v/>
      </c>
      <c r="W2292">
        <f>_xlfn.NUMBERVALUE("0.010631")</f>
        <v/>
      </c>
      <c r="X2292">
        <f>_xlfn.NUMBERVALUE("-0.230000")</f>
        <v/>
      </c>
      <c r="Y2292">
        <f>_xlfn.NUMBERVALUE("12.830000")</f>
        <v/>
      </c>
    </row>
    <row r="2293">
      <c r="A2293" s="1" t="n">
        <v>45330</v>
      </c>
      <c r="B2293">
        <f>_xlfn.NUMBERVALUE("-0.002193")</f>
        <v/>
      </c>
      <c r="C2293" s="2">
        <f>_xlfn.NUMBERVALUE("0.000735")</f>
        <v/>
      </c>
      <c r="D2293">
        <f>_xlfn.NUMBERVALUE("0.000597")</f>
        <v/>
      </c>
      <c r="E2293">
        <f>_xlfn.NUMBERVALUE("0.000518")</f>
        <v/>
      </c>
      <c r="F2293">
        <f>_xlfn.NUMBERVALUE("0.000451")</f>
        <v/>
      </c>
      <c r="G2293">
        <f>_xlfn.NUMBERVALUE("0.000235")</f>
        <v/>
      </c>
      <c r="H2293">
        <f>_xlfn.NUMBERVALUE("0.000003")</f>
        <v/>
      </c>
      <c r="I2293">
        <f>_xlfn.NUMBERVALUE("-0.000374")</f>
        <v/>
      </c>
      <c r="J2293">
        <f>_xlfn.NUMBERVALUE("-0.000060")</f>
        <v/>
      </c>
      <c r="K2293">
        <f>_xlfn.NUMBERVALUE("-0.001033")</f>
        <v/>
      </c>
      <c r="L2293">
        <f>_xlfn.NUMBERVALUE("0.000622")</f>
        <v/>
      </c>
      <c r="M2293">
        <f>_xlfn.NUMBERVALUE("0.001405")</f>
        <v/>
      </c>
      <c r="N2293">
        <f>_xlfn.NUMBERVALUE("-0.000806")</f>
        <v/>
      </c>
      <c r="O2293">
        <f>_xlfn.NUMBERVALUE("-0.000535")</f>
        <v/>
      </c>
      <c r="P2293">
        <f>_xlfn.NUMBERVALUE("0.000317")</f>
        <v/>
      </c>
      <c r="Q2293">
        <f>_xlfn.NUMBERVALUE("-0.000009")</f>
        <v/>
      </c>
      <c r="R2293">
        <f>_xlfn.NUMBERVALUE("0.000095")</f>
        <v/>
      </c>
      <c r="S2293">
        <f>_xlfn.NUMBERVALUE("0.001343")</f>
        <v/>
      </c>
      <c r="T2293">
        <f>_xlfn.NUMBERVALUE("-0.000377")</f>
        <v/>
      </c>
      <c r="U2293">
        <f>_xlfn.NUMBERVALUE("0.001520")</f>
        <v/>
      </c>
      <c r="V2293">
        <f>_xlfn.NUMBERVALUE("0.000448")</f>
        <v/>
      </c>
      <c r="W2293">
        <f>_xlfn.NUMBERVALUE("0.000321")</f>
        <v/>
      </c>
      <c r="X2293">
        <f>_xlfn.NUMBERVALUE("-0.040000")</f>
        <v/>
      </c>
      <c r="Y2293">
        <f>_xlfn.NUMBERVALUE("12.790000")</f>
        <v/>
      </c>
    </row>
    <row r="2294">
      <c r="A2294" s="1" t="n">
        <v>45331</v>
      </c>
      <c r="B2294">
        <f>_xlfn.NUMBERVALUE("-0.000782")</f>
        <v/>
      </c>
      <c r="C2294" s="2">
        <f>_xlfn.NUMBERVALUE("0.000607")</f>
        <v/>
      </c>
      <c r="D2294">
        <f>_xlfn.NUMBERVALUE("0.001158")</f>
        <v/>
      </c>
      <c r="E2294">
        <f>_xlfn.NUMBERVALUE("0.000606")</f>
        <v/>
      </c>
      <c r="F2294">
        <f>_xlfn.NUMBERVALUE("0.000797")</f>
        <v/>
      </c>
      <c r="G2294">
        <f>_xlfn.NUMBERVALUE("0.001421")</f>
        <v/>
      </c>
      <c r="H2294">
        <f>_xlfn.NUMBERVALUE("0.000843")</f>
        <v/>
      </c>
      <c r="I2294">
        <f>_xlfn.NUMBERVALUE("-0.000956")</f>
        <v/>
      </c>
      <c r="J2294">
        <f>_xlfn.NUMBERVALUE("0.000476")</f>
        <v/>
      </c>
      <c r="K2294">
        <f>_xlfn.NUMBERVALUE("0.002268")</f>
        <v/>
      </c>
      <c r="L2294">
        <f>_xlfn.NUMBERVALUE("0.001135")</f>
        <v/>
      </c>
      <c r="M2294">
        <f>_xlfn.NUMBERVALUE("-0.000025")</f>
        <v/>
      </c>
      <c r="N2294">
        <f>_xlfn.NUMBERVALUE("0.000897")</f>
        <v/>
      </c>
      <c r="O2294">
        <f>_xlfn.NUMBERVALUE("0.000204")</f>
        <v/>
      </c>
      <c r="P2294">
        <f>_xlfn.NUMBERVALUE("0.000008")</f>
        <v/>
      </c>
      <c r="Q2294">
        <f>_xlfn.NUMBERVALUE("-0.000008")</f>
        <v/>
      </c>
      <c r="R2294">
        <f>_xlfn.NUMBERVALUE("0.000031")</f>
        <v/>
      </c>
      <c r="S2294">
        <f>_xlfn.NUMBERVALUE("0.002017")</f>
        <v/>
      </c>
      <c r="T2294">
        <f>_xlfn.NUMBERVALUE("0.000092")</f>
        <v/>
      </c>
      <c r="U2294">
        <f>_xlfn.NUMBERVALUE("-0.000841")</f>
        <v/>
      </c>
      <c r="V2294">
        <f>_xlfn.NUMBERVALUE("-0.000305")</f>
        <v/>
      </c>
      <c r="W2294">
        <f>_xlfn.NUMBERVALUE("0.005017")</f>
        <v/>
      </c>
      <c r="X2294">
        <f>_xlfn.NUMBERVALUE("0.140000")</f>
        <v/>
      </c>
      <c r="Y2294">
        <f>_xlfn.NUMBERVALUE("12.930000")</f>
        <v/>
      </c>
    </row>
    <row r="2295">
      <c r="A2295" s="1" t="n">
        <v>45334</v>
      </c>
      <c r="B2295">
        <f>_xlfn.NUMBERVALUE("-0.002472")</f>
        <v/>
      </c>
      <c r="C2295" s="2">
        <f>_xlfn.NUMBERVALUE("-0.000399")</f>
        <v/>
      </c>
      <c r="D2295">
        <f>_xlfn.NUMBERVALUE("0.000050")</f>
        <v/>
      </c>
      <c r="E2295">
        <f>_xlfn.NUMBERVALUE("0.001100")</f>
        <v/>
      </c>
      <c r="F2295">
        <f>_xlfn.NUMBERVALUE("-0.000129")</f>
        <v/>
      </c>
      <c r="G2295">
        <f>_xlfn.NUMBERVALUE("-0.000051")</f>
        <v/>
      </c>
      <c r="H2295">
        <f>_xlfn.NUMBERVALUE("0.000434")</f>
        <v/>
      </c>
      <c r="I2295">
        <f>_xlfn.NUMBERVALUE("-0.003438")</f>
        <v/>
      </c>
      <c r="J2295">
        <f>_xlfn.NUMBERVALUE("0.001170")</f>
        <v/>
      </c>
      <c r="K2295">
        <f>_xlfn.NUMBERVALUE("-0.000258")</f>
        <v/>
      </c>
      <c r="L2295">
        <f>_xlfn.NUMBERVALUE("0.000938")</f>
        <v/>
      </c>
      <c r="M2295">
        <f>_xlfn.NUMBERVALUE("-0.000812")</f>
        <v/>
      </c>
      <c r="N2295">
        <f>_xlfn.NUMBERVALUE("0.000160")</f>
        <v/>
      </c>
      <c r="O2295">
        <f>_xlfn.NUMBERVALUE("-0.000627")</f>
        <v/>
      </c>
      <c r="P2295">
        <f>_xlfn.NUMBERVALUE("-0.001481")</f>
        <v/>
      </c>
      <c r="Q2295">
        <f>_xlfn.NUMBERVALUE("0.000396")</f>
        <v/>
      </c>
      <c r="R2295">
        <f>_xlfn.NUMBERVALUE("0.000136")</f>
        <v/>
      </c>
      <c r="S2295">
        <f>_xlfn.NUMBERVALUE("-0.000249")</f>
        <v/>
      </c>
      <c r="T2295">
        <f>_xlfn.NUMBERVALUE("-0.000845")</f>
        <v/>
      </c>
      <c r="U2295">
        <f>_xlfn.NUMBERVALUE("0.000107")</f>
        <v/>
      </c>
      <c r="V2295">
        <f>_xlfn.NUMBERVALUE("0.000062")</f>
        <v/>
      </c>
      <c r="W2295">
        <f>_xlfn.NUMBERVALUE("0.000679")</f>
        <v/>
      </c>
      <c r="X2295">
        <f>_xlfn.NUMBERVALUE("1.000000")</f>
        <v/>
      </c>
      <c r="Y2295">
        <f>_xlfn.NUMBERVALUE("13.930000")</f>
        <v/>
      </c>
    </row>
    <row r="2296">
      <c r="A2296" s="1" t="n">
        <v>45335</v>
      </c>
      <c r="B2296">
        <f>_xlfn.NUMBERVALUE("-0.012579")</f>
        <v/>
      </c>
      <c r="C2296" s="2">
        <f>_xlfn.NUMBERVALUE("-0.004210")</f>
        <v/>
      </c>
      <c r="D2296">
        <f>_xlfn.NUMBERVALUE("-0.005424")</f>
        <v/>
      </c>
      <c r="E2296">
        <f>_xlfn.NUMBERVALUE("-0.003622")</f>
        <v/>
      </c>
      <c r="F2296">
        <f>_xlfn.NUMBERVALUE("-0.002539")</f>
        <v/>
      </c>
      <c r="G2296">
        <f>_xlfn.NUMBERVALUE("-0.000877")</f>
        <v/>
      </c>
      <c r="H2296">
        <f>_xlfn.NUMBERVALUE("-0.002439")</f>
        <v/>
      </c>
      <c r="I2296">
        <f>_xlfn.NUMBERVALUE("-0.013012")</f>
        <v/>
      </c>
      <c r="J2296">
        <f>_xlfn.NUMBERVALUE("-0.001701")</f>
        <v/>
      </c>
      <c r="K2296">
        <f>_xlfn.NUMBERVALUE("-0.005053")</f>
        <v/>
      </c>
      <c r="L2296">
        <f>_xlfn.NUMBERVALUE("-0.002611")</f>
        <v/>
      </c>
      <c r="M2296">
        <f>_xlfn.NUMBERVALUE("-0.003090")</f>
        <v/>
      </c>
      <c r="N2296">
        <f>_xlfn.NUMBERVALUE("-0.000226")</f>
        <v/>
      </c>
      <c r="O2296">
        <f>_xlfn.NUMBERVALUE("-0.002941")</f>
        <v/>
      </c>
      <c r="P2296">
        <f>_xlfn.NUMBERVALUE("-0.003277")</f>
        <v/>
      </c>
      <c r="Q2296">
        <f>_xlfn.NUMBERVALUE("-0.002920")</f>
        <v/>
      </c>
      <c r="R2296">
        <f>_xlfn.NUMBERVALUE("-0.003750")</f>
        <v/>
      </c>
      <c r="S2296">
        <f>_xlfn.NUMBERVALUE("-0.002082")</f>
        <v/>
      </c>
      <c r="T2296">
        <f>_xlfn.NUMBERVALUE("-0.003964")</f>
        <v/>
      </c>
      <c r="U2296">
        <f>_xlfn.NUMBERVALUE("-0.005098")</f>
        <v/>
      </c>
      <c r="V2296">
        <f>_xlfn.NUMBERVALUE("-0.003506")</f>
        <v/>
      </c>
      <c r="W2296">
        <f>_xlfn.NUMBERVALUE("-0.016583")</f>
        <v/>
      </c>
      <c r="X2296">
        <f>_xlfn.NUMBERVALUE("1.920000")</f>
        <v/>
      </c>
      <c r="Y2296">
        <f>_xlfn.NUMBERVALUE("15.850000")</f>
        <v/>
      </c>
    </row>
    <row r="2297">
      <c r="A2297" s="1" t="n">
        <v>45336</v>
      </c>
      <c r="B2297">
        <f>_xlfn.NUMBERVALUE("-0.010542")</f>
        <v/>
      </c>
      <c r="C2297" s="2">
        <f>_xlfn.NUMBERVALUE("0.001510")</f>
        <v/>
      </c>
      <c r="D2297">
        <f>_xlfn.NUMBERVALUE("-0.001349")</f>
        <v/>
      </c>
      <c r="E2297">
        <f>_xlfn.NUMBERVALUE("0.000152")</f>
        <v/>
      </c>
      <c r="F2297">
        <f>_xlfn.NUMBERVALUE("0.000250")</f>
        <v/>
      </c>
      <c r="G2297">
        <f>_xlfn.NUMBERVALUE("-0.000073")</f>
        <v/>
      </c>
      <c r="H2297">
        <f>_xlfn.NUMBERVALUE("0.000172")</f>
        <v/>
      </c>
      <c r="I2297">
        <f>_xlfn.NUMBERVALUE("-0.004034")</f>
        <v/>
      </c>
      <c r="J2297">
        <f>_xlfn.NUMBERVALUE("0.000519")</f>
        <v/>
      </c>
      <c r="K2297">
        <f>_xlfn.NUMBERVALUE("-0.002014")</f>
        <v/>
      </c>
      <c r="L2297">
        <f>_xlfn.NUMBERVALUE("0.001034")</f>
        <v/>
      </c>
      <c r="M2297">
        <f>_xlfn.NUMBERVALUE("0.001695")</f>
        <v/>
      </c>
      <c r="N2297">
        <f>_xlfn.NUMBERVALUE("0.000163")</f>
        <v/>
      </c>
      <c r="O2297">
        <f>_xlfn.NUMBERVALUE("0.002954")</f>
        <v/>
      </c>
      <c r="P2297">
        <f>_xlfn.NUMBERVALUE("0.001259")</f>
        <v/>
      </c>
      <c r="Q2297">
        <f>_xlfn.NUMBERVALUE("-0.002353")</f>
        <v/>
      </c>
      <c r="R2297">
        <f>_xlfn.NUMBERVALUE("0.001703")</f>
        <v/>
      </c>
      <c r="S2297">
        <f>_xlfn.NUMBERVALUE("0.002135")</f>
        <v/>
      </c>
      <c r="T2297">
        <f>_xlfn.NUMBERVALUE("0.001691")</f>
        <v/>
      </c>
      <c r="U2297">
        <f>_xlfn.NUMBERVALUE("0.002300")</f>
        <v/>
      </c>
      <c r="V2297">
        <f>_xlfn.NUMBERVALUE("-0.000201")</f>
        <v/>
      </c>
      <c r="W2297">
        <f>_xlfn.NUMBERVALUE("0.011303")</f>
        <v/>
      </c>
      <c r="X2297">
        <f>_xlfn.NUMBERVALUE("-1.470000")</f>
        <v/>
      </c>
      <c r="Y2297">
        <f>_xlfn.NUMBERVALUE("14.380000")</f>
        <v/>
      </c>
    </row>
    <row r="2298">
      <c r="A2298" s="1" t="n">
        <v>45337</v>
      </c>
      <c r="B2298">
        <f>_xlfn.NUMBERVALUE("-0.001085")</f>
        <v/>
      </c>
      <c r="C2298" s="2">
        <f>_xlfn.NUMBERVALUE("-0.002359")</f>
        <v/>
      </c>
      <c r="D2298">
        <f>_xlfn.NUMBERVALUE("0.000640")</f>
        <v/>
      </c>
      <c r="E2298">
        <f>_xlfn.NUMBERVALUE("-0.002605")</f>
        <v/>
      </c>
      <c r="F2298">
        <f>_xlfn.NUMBERVALUE("-0.000078")</f>
        <v/>
      </c>
      <c r="G2298">
        <f>_xlfn.NUMBERVALUE("-0.000712")</f>
        <v/>
      </c>
      <c r="H2298">
        <f>_xlfn.NUMBERVALUE("0.000608")</f>
        <v/>
      </c>
      <c r="I2298">
        <f>_xlfn.NUMBERVALUE("-0.004864")</f>
        <v/>
      </c>
      <c r="J2298">
        <f>_xlfn.NUMBERVALUE("0.000888")</f>
        <v/>
      </c>
      <c r="K2298">
        <f>_xlfn.NUMBERVALUE("-0.002948")</f>
        <v/>
      </c>
      <c r="L2298">
        <f>_xlfn.NUMBERVALUE("0.000461")</f>
        <v/>
      </c>
      <c r="M2298">
        <f>_xlfn.NUMBERVALUE("-0.003396")</f>
        <v/>
      </c>
      <c r="N2298">
        <f>_xlfn.NUMBERVALUE("-0.000018")</f>
        <v/>
      </c>
      <c r="O2298">
        <f>_xlfn.NUMBERVALUE("-0.005140")</f>
        <v/>
      </c>
      <c r="P2298">
        <f>_xlfn.NUMBERVALUE("-0.005600")</f>
        <v/>
      </c>
      <c r="Q2298">
        <f>_xlfn.NUMBERVALUE("-0.001460")</f>
        <v/>
      </c>
      <c r="R2298">
        <f>_xlfn.NUMBERVALUE("0.000002")</f>
        <v/>
      </c>
      <c r="S2298">
        <f>_xlfn.NUMBERVALUE("-0.000561")</f>
        <v/>
      </c>
      <c r="T2298">
        <f>_xlfn.NUMBERVALUE("-0.001492")</f>
        <v/>
      </c>
      <c r="U2298">
        <f>_xlfn.NUMBERVALUE("-0.001157")</f>
        <v/>
      </c>
      <c r="V2298">
        <f>_xlfn.NUMBERVALUE("-0.000621")</f>
        <v/>
      </c>
      <c r="W2298">
        <f>_xlfn.NUMBERVALUE("0.005859")</f>
        <v/>
      </c>
      <c r="X2298">
        <f>_xlfn.NUMBERVALUE("-0.370000")</f>
        <v/>
      </c>
      <c r="Y2298">
        <f>_xlfn.NUMBERVALUE("14.010000")</f>
        <v/>
      </c>
    </row>
    <row r="2299">
      <c r="A2299" s="1" t="n">
        <v>45338</v>
      </c>
      <c r="B2299">
        <f>_xlfn.NUMBERVALUE("0.004348")</f>
        <v/>
      </c>
      <c r="C2299" s="2">
        <f>_xlfn.NUMBERVALUE("0.000498")</f>
        <v/>
      </c>
      <c r="D2299">
        <f>_xlfn.NUMBERVALUE("0.000539")</f>
        <v/>
      </c>
      <c r="E2299">
        <f>_xlfn.NUMBERVALUE("0.000065")</f>
        <v/>
      </c>
      <c r="F2299">
        <f>_xlfn.NUMBERVALUE("0.000276")</f>
        <v/>
      </c>
      <c r="G2299">
        <f>_xlfn.NUMBERVALUE("0.001011")</f>
        <v/>
      </c>
      <c r="H2299">
        <f>_xlfn.NUMBERVALUE("-0.000098")</f>
        <v/>
      </c>
      <c r="I2299">
        <f>_xlfn.NUMBERVALUE("0.001342")</f>
        <v/>
      </c>
      <c r="J2299">
        <f>_xlfn.NUMBERVALUE("-0.000672")</f>
        <v/>
      </c>
      <c r="K2299">
        <f>_xlfn.NUMBERVALUE("-0.003483")</f>
        <v/>
      </c>
      <c r="L2299">
        <f>_xlfn.NUMBERVALUE("0.001403")</f>
        <v/>
      </c>
      <c r="M2299">
        <f>_xlfn.NUMBERVALUE("-0.000792")</f>
        <v/>
      </c>
      <c r="N2299">
        <f>_xlfn.NUMBERVALUE("-0.000016")</f>
        <v/>
      </c>
      <c r="O2299">
        <f>_xlfn.NUMBERVALUE("0.001039")</f>
        <v/>
      </c>
      <c r="P2299">
        <f>_xlfn.NUMBERVALUE("0.000652")</f>
        <v/>
      </c>
      <c r="Q2299">
        <f>_xlfn.NUMBERVALUE("-0.000024")</f>
        <v/>
      </c>
      <c r="R2299">
        <f>_xlfn.NUMBERVALUE("-0.000718")</f>
        <v/>
      </c>
      <c r="S2299">
        <f>_xlfn.NUMBERVALUE("-0.000133")</f>
        <v/>
      </c>
      <c r="T2299">
        <f>_xlfn.NUMBERVALUE("0.001058")</f>
        <v/>
      </c>
      <c r="U2299">
        <f>_xlfn.NUMBERVALUE("0.000365")</f>
        <v/>
      </c>
      <c r="V2299">
        <f>_xlfn.NUMBERVALUE("0.000366")</f>
        <v/>
      </c>
      <c r="W2299">
        <f>_xlfn.NUMBERVALUE("-0.003092")</f>
        <v/>
      </c>
      <c r="X2299">
        <f>_xlfn.NUMBERVALUE("0.230000")</f>
        <v/>
      </c>
      <c r="Y2299">
        <f>_xlfn.NUMBERVALUE("14.240000")</f>
        <v/>
      </c>
    </row>
    <row r="2300">
      <c r="A2300" s="1" t="n">
        <v>45342</v>
      </c>
      <c r="B2300">
        <f>_xlfn.NUMBERVALUE("-0.002621")</f>
        <v/>
      </c>
      <c r="C2300" s="2">
        <f>_xlfn.NUMBERVALUE("0.000824")</f>
        <v/>
      </c>
      <c r="D2300">
        <f>_xlfn.NUMBERVALUE("0.000682")</f>
        <v/>
      </c>
      <c r="E2300">
        <f>_xlfn.NUMBERVALUE("0.000168")</f>
        <v/>
      </c>
      <c r="F2300">
        <f>_xlfn.NUMBERVALUE("0.001477")</f>
        <v/>
      </c>
      <c r="G2300">
        <f>_xlfn.NUMBERVALUE("0.000850")</f>
        <v/>
      </c>
      <c r="H2300">
        <f>_xlfn.NUMBERVALUE("-0.000101")</f>
        <v/>
      </c>
      <c r="I2300">
        <f>_xlfn.NUMBERVALUE("0.002492")</f>
        <v/>
      </c>
      <c r="J2300">
        <f>_xlfn.NUMBERVALUE("0.000951")</f>
        <v/>
      </c>
      <c r="K2300">
        <f>_xlfn.NUMBERVALUE("0.003217")</f>
        <v/>
      </c>
      <c r="L2300">
        <f>_xlfn.NUMBERVALUE("0.000924")</f>
        <v/>
      </c>
      <c r="M2300">
        <f>_xlfn.NUMBERVALUE("0.000112")</f>
        <v/>
      </c>
      <c r="N2300">
        <f>_xlfn.NUMBERVALUE("-0.000312")</f>
        <v/>
      </c>
      <c r="O2300">
        <f>_xlfn.NUMBERVALUE("0.001227")</f>
        <v/>
      </c>
      <c r="P2300">
        <f>_xlfn.NUMBERVALUE("0.001201")</f>
        <v/>
      </c>
      <c r="Q2300">
        <f>_xlfn.NUMBERVALUE("0.000913")</f>
        <v/>
      </c>
      <c r="R2300">
        <f>_xlfn.NUMBERVALUE("-0.001475")</f>
        <v/>
      </c>
      <c r="S2300">
        <f>_xlfn.NUMBERVALUE("-0.001085")</f>
        <v/>
      </c>
      <c r="T2300">
        <f>_xlfn.NUMBERVALUE("0.002464")</f>
        <v/>
      </c>
      <c r="U2300">
        <f>_xlfn.NUMBERVALUE("-0.000460")</f>
        <v/>
      </c>
      <c r="V2300">
        <f>_xlfn.NUMBERVALUE("0.001117")</f>
        <v/>
      </c>
      <c r="W2300">
        <f>_xlfn.NUMBERVALUE("-0.007484")</f>
        <v/>
      </c>
      <c r="X2300">
        <f>_xlfn.NUMBERVALUE("1.180000")</f>
        <v/>
      </c>
      <c r="Y2300">
        <f>_xlfn.NUMBERVALUE("15.420000")</f>
        <v/>
      </c>
    </row>
    <row r="2301">
      <c r="A2301" s="1" t="n">
        <v>45343</v>
      </c>
      <c r="B2301">
        <f>_xlfn.NUMBERVALUE("0.001343")</f>
        <v/>
      </c>
      <c r="C2301" s="2">
        <f>_xlfn.NUMBERVALUE("0.000803")</f>
        <v/>
      </c>
      <c r="D2301">
        <f>_xlfn.NUMBERVALUE("0.000808")</f>
        <v/>
      </c>
      <c r="E2301">
        <f>_xlfn.NUMBERVALUE("0.000559")</f>
        <v/>
      </c>
      <c r="F2301">
        <f>_xlfn.NUMBERVALUE("0.001107")</f>
        <v/>
      </c>
      <c r="G2301">
        <f>_xlfn.NUMBERVALUE("0.000334")</f>
        <v/>
      </c>
      <c r="H2301">
        <f>_xlfn.NUMBERVALUE("-0.000044")</f>
        <v/>
      </c>
      <c r="I2301">
        <f>_xlfn.NUMBERVALUE("0.002132")</f>
        <v/>
      </c>
      <c r="J2301">
        <f>_xlfn.NUMBERVALUE("0.000224")</f>
        <v/>
      </c>
      <c r="K2301">
        <f>_xlfn.NUMBERVALUE("0.001786")</f>
        <v/>
      </c>
      <c r="L2301">
        <f>_xlfn.NUMBERVALUE("-0.000413")</f>
        <v/>
      </c>
      <c r="M2301">
        <f>_xlfn.NUMBERVALUE("0.000184")</f>
        <v/>
      </c>
      <c r="N2301">
        <f>_xlfn.NUMBERVALUE("0.000988")</f>
        <v/>
      </c>
      <c r="O2301">
        <f>_xlfn.NUMBERVALUE("-0.000765")</f>
        <v/>
      </c>
      <c r="P2301">
        <f>_xlfn.NUMBERVALUE("0.000965")</f>
        <v/>
      </c>
      <c r="Q2301">
        <f>_xlfn.NUMBERVALUE("0.001061")</f>
        <v/>
      </c>
      <c r="R2301">
        <f>_xlfn.NUMBERVALUE("0.000384")</f>
        <v/>
      </c>
      <c r="S2301">
        <f>_xlfn.NUMBERVALUE("0.000938")</f>
        <v/>
      </c>
      <c r="T2301">
        <f>_xlfn.NUMBERVALUE("0.000070")</f>
        <v/>
      </c>
      <c r="U2301">
        <f>_xlfn.NUMBERVALUE("0.000256")</f>
        <v/>
      </c>
      <c r="V2301">
        <f>_xlfn.NUMBERVALUE("0.000675")</f>
        <v/>
      </c>
      <c r="W2301">
        <f>_xlfn.NUMBERVALUE("-0.000222")</f>
        <v/>
      </c>
      <c r="X2301">
        <f>_xlfn.NUMBERVALUE("-0.080000")</f>
        <v/>
      </c>
      <c r="Y2301">
        <f>_xlfn.NUMBERVALUE("15.340000")</f>
        <v/>
      </c>
    </row>
    <row r="2302">
      <c r="A2302" s="1" t="n">
        <v>45344</v>
      </c>
      <c r="B2302">
        <f>_xlfn.NUMBERVALUE("0.001333")</f>
        <v/>
      </c>
      <c r="C2302" s="2">
        <f>_xlfn.NUMBERVALUE("-0.003252")</f>
        <v/>
      </c>
      <c r="D2302">
        <f>_xlfn.NUMBERVALUE("-0.000314")</f>
        <v/>
      </c>
      <c r="E2302">
        <f>_xlfn.NUMBERVALUE("-0.000059")</f>
        <v/>
      </c>
      <c r="F2302">
        <f>_xlfn.NUMBERVALUE("0.000920")</f>
        <v/>
      </c>
      <c r="G2302">
        <f>_xlfn.NUMBERVALUE("0.000570")</f>
        <v/>
      </c>
      <c r="H2302">
        <f>_xlfn.NUMBERVALUE("-0.000816")</f>
        <v/>
      </c>
      <c r="I2302">
        <f>_xlfn.NUMBERVALUE("0.001727")</f>
        <v/>
      </c>
      <c r="J2302">
        <f>_xlfn.NUMBERVALUE("0.000276")</f>
        <v/>
      </c>
      <c r="K2302">
        <f>_xlfn.NUMBERVALUE("0.002362")</f>
        <v/>
      </c>
      <c r="L2302">
        <f>_xlfn.NUMBERVALUE("0.000739")</f>
        <v/>
      </c>
      <c r="M2302">
        <f>_xlfn.NUMBERVALUE("-0.000762")</f>
        <v/>
      </c>
      <c r="N2302">
        <f>_xlfn.NUMBERVALUE("-0.001694")</f>
        <v/>
      </c>
      <c r="O2302">
        <f>_xlfn.NUMBERVALUE("0.001190")</f>
        <v/>
      </c>
      <c r="P2302">
        <f>_xlfn.NUMBERVALUE("-0.002544")</f>
        <v/>
      </c>
      <c r="Q2302">
        <f>_xlfn.NUMBERVALUE("-0.000853")</f>
        <v/>
      </c>
      <c r="R2302">
        <f>_xlfn.NUMBERVALUE("-0.006517")</f>
        <v/>
      </c>
      <c r="S2302">
        <f>_xlfn.NUMBERVALUE("0.001086")</f>
        <v/>
      </c>
      <c r="T2302">
        <f>_xlfn.NUMBERVALUE("0.000744")</f>
        <v/>
      </c>
      <c r="U2302">
        <f>_xlfn.NUMBERVALUE("-0.003089")</f>
        <v/>
      </c>
      <c r="V2302">
        <f>_xlfn.NUMBERVALUE("-0.006561")</f>
        <v/>
      </c>
      <c r="W2302">
        <f>_xlfn.NUMBERVALUE("0.023896")</f>
        <v/>
      </c>
      <c r="X2302">
        <f>_xlfn.NUMBERVALUE("-0.800000")</f>
        <v/>
      </c>
      <c r="Y2302">
        <f>_xlfn.NUMBERVALUE("14.540000")</f>
        <v/>
      </c>
    </row>
    <row r="2303">
      <c r="A2303" s="1" t="n">
        <v>45345</v>
      </c>
      <c r="B2303">
        <f>_xlfn.NUMBERVALUE("0.006900")</f>
        <v/>
      </c>
      <c r="C2303" s="2">
        <f>_xlfn.NUMBERVALUE("0.001088")</f>
        <v/>
      </c>
      <c r="D2303">
        <f>_xlfn.NUMBERVALUE("0.002196")</f>
        <v/>
      </c>
      <c r="E2303">
        <f>_xlfn.NUMBERVALUE("0.001136")</f>
        <v/>
      </c>
      <c r="F2303">
        <f>_xlfn.NUMBERVALUE("-0.000714")</f>
        <v/>
      </c>
      <c r="G2303">
        <f>_xlfn.NUMBERVALUE("0.000415")</f>
        <v/>
      </c>
      <c r="H2303">
        <f>_xlfn.NUMBERVALUE("0.000979")</f>
        <v/>
      </c>
      <c r="I2303">
        <f>_xlfn.NUMBERVALUE("0.003093")</f>
        <v/>
      </c>
      <c r="J2303">
        <f>_xlfn.NUMBERVALUE("0.000703")</f>
        <v/>
      </c>
      <c r="K2303">
        <f>_xlfn.NUMBERVALUE("0.000732")</f>
        <v/>
      </c>
      <c r="L2303">
        <f>_xlfn.NUMBERVALUE("-0.001282")</f>
        <v/>
      </c>
      <c r="M2303">
        <f>_xlfn.NUMBERVALUE("0.001614")</f>
        <v/>
      </c>
      <c r="N2303">
        <f>_xlfn.NUMBERVALUE("0.002291")</f>
        <v/>
      </c>
      <c r="O2303">
        <f>_xlfn.NUMBERVALUE("0.001796")</f>
        <v/>
      </c>
      <c r="P2303">
        <f>_xlfn.NUMBERVALUE("0.001097")</f>
        <v/>
      </c>
      <c r="Q2303">
        <f>_xlfn.NUMBERVALUE("0.000075")</f>
        <v/>
      </c>
      <c r="R2303">
        <f>_xlfn.NUMBERVALUE("0.003272")</f>
        <v/>
      </c>
      <c r="S2303">
        <f>_xlfn.NUMBERVALUE("0.000607")</f>
        <v/>
      </c>
      <c r="T2303">
        <f>_xlfn.NUMBERVALUE("0.001507")</f>
        <v/>
      </c>
      <c r="U2303">
        <f>_xlfn.NUMBERVALUE("0.003374")</f>
        <v/>
      </c>
      <c r="V2303">
        <f>_xlfn.NUMBERVALUE("0.000049")</f>
        <v/>
      </c>
      <c r="W2303">
        <f>_xlfn.NUMBERVALUE("0.000985")</f>
        <v/>
      </c>
      <c r="X2303">
        <f>_xlfn.NUMBERVALUE("-0.790000")</f>
        <v/>
      </c>
      <c r="Y2303">
        <f>_xlfn.NUMBERVALUE("13.750000")</f>
        <v/>
      </c>
    </row>
    <row r="2304">
      <c r="A2304" s="1" t="n">
        <v>45348</v>
      </c>
      <c r="B2304">
        <f>_xlfn.NUMBERVALUE("-0.003929")</f>
        <v/>
      </c>
      <c r="C2304" s="2">
        <f>_xlfn.NUMBERVALUE("0.001093")</f>
        <v/>
      </c>
      <c r="D2304">
        <f>_xlfn.NUMBERVALUE("0.000565")</f>
        <v/>
      </c>
      <c r="E2304">
        <f>_xlfn.NUMBERVALUE("0.001164")</f>
        <v/>
      </c>
      <c r="F2304">
        <f>_xlfn.NUMBERVALUE("0.001472")</f>
        <v/>
      </c>
      <c r="G2304">
        <f>_xlfn.NUMBERVALUE("0.000198")</f>
        <v/>
      </c>
      <c r="H2304">
        <f>_xlfn.NUMBERVALUE("0.000151")</f>
        <v/>
      </c>
      <c r="I2304">
        <f>_xlfn.NUMBERVALUE("0.000999")</f>
        <v/>
      </c>
      <c r="J2304">
        <f>_xlfn.NUMBERVALUE("-0.000907")</f>
        <v/>
      </c>
      <c r="K2304">
        <f>_xlfn.NUMBERVALUE("-0.000901")</f>
        <v/>
      </c>
      <c r="L2304">
        <f>_xlfn.NUMBERVALUE("0.000774")</f>
        <v/>
      </c>
      <c r="M2304">
        <f>_xlfn.NUMBERVALUE("0.001163")</f>
        <v/>
      </c>
      <c r="N2304">
        <f>_xlfn.NUMBERVALUE("0.001132")</f>
        <v/>
      </c>
      <c r="O2304">
        <f>_xlfn.NUMBERVALUE("0.001856")</f>
        <v/>
      </c>
      <c r="P2304">
        <f>_xlfn.NUMBERVALUE("0.002393")</f>
        <v/>
      </c>
      <c r="Q2304">
        <f>_xlfn.NUMBERVALUE("0.001123")</f>
        <v/>
      </c>
      <c r="R2304">
        <f>_xlfn.NUMBERVALUE("0.001247")</f>
        <v/>
      </c>
      <c r="S2304">
        <f>_xlfn.NUMBERVALUE("0.001204")</f>
        <v/>
      </c>
      <c r="T2304">
        <f>_xlfn.NUMBERVALUE("-0.001696")</f>
        <v/>
      </c>
      <c r="U2304">
        <f>_xlfn.NUMBERVALUE("0.001986")</f>
        <v/>
      </c>
      <c r="V2304">
        <f>_xlfn.NUMBERVALUE("0.001265")</f>
        <v/>
      </c>
      <c r="W2304">
        <f>_xlfn.NUMBERVALUE("-0.003187")</f>
        <v/>
      </c>
      <c r="X2304">
        <f>_xlfn.NUMBERVALUE("-0.010000")</f>
        <v/>
      </c>
      <c r="Y2304">
        <f>_xlfn.NUMBERVALUE("13.740000")</f>
        <v/>
      </c>
    </row>
    <row r="2305">
      <c r="A2305" s="1" t="n">
        <v>45349</v>
      </c>
      <c r="B2305">
        <f>_xlfn.NUMBERVALUE("0.000047")</f>
        <v/>
      </c>
      <c r="C2305" s="2">
        <f>_xlfn.NUMBERVALUE("0.001063")</f>
        <v/>
      </c>
      <c r="D2305">
        <f>_xlfn.NUMBERVALUE("0.000740")</f>
        <v/>
      </c>
      <c r="E2305">
        <f>_xlfn.NUMBERVALUE("0.000015")</f>
        <v/>
      </c>
      <c r="F2305">
        <f>_xlfn.NUMBERVALUE("0.000983")</f>
        <v/>
      </c>
      <c r="G2305">
        <f>_xlfn.NUMBERVALUE("0.000804")</f>
        <v/>
      </c>
      <c r="H2305">
        <f>_xlfn.NUMBERVALUE("-0.000788")</f>
        <v/>
      </c>
      <c r="I2305">
        <f>_xlfn.NUMBERVALUE("-0.000709")</f>
        <v/>
      </c>
      <c r="J2305">
        <f>_xlfn.NUMBERVALUE("0.000173")</f>
        <v/>
      </c>
      <c r="K2305">
        <f>_xlfn.NUMBERVALUE("0.002224")</f>
        <v/>
      </c>
      <c r="L2305">
        <f>_xlfn.NUMBERVALUE("-0.000656")</f>
        <v/>
      </c>
      <c r="M2305">
        <f>_xlfn.NUMBERVALUE("0.000539")</f>
        <v/>
      </c>
      <c r="N2305">
        <f>_xlfn.NUMBERVALUE("0.000790")</f>
        <v/>
      </c>
      <c r="O2305">
        <f>_xlfn.NUMBERVALUE("0.000949")</f>
        <v/>
      </c>
      <c r="P2305">
        <f>_xlfn.NUMBERVALUE("0.000705")</f>
        <v/>
      </c>
      <c r="Q2305">
        <f>_xlfn.NUMBERVALUE("0.000776")</f>
        <v/>
      </c>
      <c r="R2305">
        <f>_xlfn.NUMBERVALUE("0.001340")</f>
        <v/>
      </c>
      <c r="S2305">
        <f>_xlfn.NUMBERVALUE("0.000940")</f>
        <v/>
      </c>
      <c r="T2305">
        <f>_xlfn.NUMBERVALUE("-0.001625")</f>
        <v/>
      </c>
      <c r="U2305">
        <f>_xlfn.NUMBERVALUE("0.000872")</f>
        <v/>
      </c>
      <c r="V2305">
        <f>_xlfn.NUMBERVALUE("0.000295")</f>
        <v/>
      </c>
      <c r="W2305">
        <f>_xlfn.NUMBERVALUE("0.000178")</f>
        <v/>
      </c>
      <c r="X2305">
        <f>_xlfn.NUMBERVALUE("-0.310000")</f>
        <v/>
      </c>
      <c r="Y2305">
        <f>_xlfn.NUMBERVALUE("13.430000")</f>
        <v/>
      </c>
    </row>
    <row r="2306">
      <c r="A2306" s="1" t="n">
        <v>45350</v>
      </c>
      <c r="B2306">
        <f>_xlfn.NUMBERVALUE("-0.000622")</f>
        <v/>
      </c>
      <c r="C2306" s="2">
        <f>_xlfn.NUMBERVALUE("0.000173")</f>
        <v/>
      </c>
      <c r="D2306">
        <f>_xlfn.NUMBERVALUE("-0.000810")</f>
        <v/>
      </c>
      <c r="E2306">
        <f>_xlfn.NUMBERVALUE("0.000579")</f>
        <v/>
      </c>
      <c r="F2306">
        <f>_xlfn.NUMBERVALUE("0.000483")</f>
        <v/>
      </c>
      <c r="G2306">
        <f>_xlfn.NUMBERVALUE("0.001193")</f>
        <v/>
      </c>
      <c r="H2306">
        <f>_xlfn.NUMBERVALUE("0.001007")</f>
        <v/>
      </c>
      <c r="I2306">
        <f>_xlfn.NUMBERVALUE("0.000595")</f>
        <v/>
      </c>
      <c r="J2306">
        <f>_xlfn.NUMBERVALUE("-0.000440")</f>
        <v/>
      </c>
      <c r="K2306">
        <f>_xlfn.NUMBERVALUE("0.002237")</f>
        <v/>
      </c>
      <c r="L2306">
        <f>_xlfn.NUMBERVALUE("0.000466")</f>
        <v/>
      </c>
      <c r="M2306">
        <f>_xlfn.NUMBERVALUE("0.000376")</f>
        <v/>
      </c>
      <c r="N2306">
        <f>_xlfn.NUMBERVALUE("-0.000065")</f>
        <v/>
      </c>
      <c r="O2306">
        <f>_xlfn.NUMBERVALUE("0.000582")</f>
        <v/>
      </c>
      <c r="P2306">
        <f>_xlfn.NUMBERVALUE("0.000169")</f>
        <v/>
      </c>
      <c r="Q2306">
        <f>_xlfn.NUMBERVALUE("0.000369")</f>
        <v/>
      </c>
      <c r="R2306">
        <f>_xlfn.NUMBERVALUE("0.000451")</f>
        <v/>
      </c>
      <c r="S2306">
        <f>_xlfn.NUMBERVALUE("0.000220")</f>
        <v/>
      </c>
      <c r="T2306">
        <f>_xlfn.NUMBERVALUE("0.000263")</f>
        <v/>
      </c>
      <c r="U2306">
        <f>_xlfn.NUMBERVALUE("0.000668")</f>
        <v/>
      </c>
      <c r="V2306">
        <f>_xlfn.NUMBERVALUE("0.000825")</f>
        <v/>
      </c>
      <c r="W2306">
        <f>_xlfn.NUMBERVALUE("-0.002171")</f>
        <v/>
      </c>
      <c r="X2306">
        <f>_xlfn.NUMBERVALUE("0.410000")</f>
        <v/>
      </c>
      <c r="Y2306">
        <f>_xlfn.NUMBERVALUE("13.840000")</f>
        <v/>
      </c>
    </row>
    <row r="2307">
      <c r="A2307" s="1" t="n">
        <v>45351</v>
      </c>
      <c r="B2307">
        <f>_xlfn.NUMBERVALUE("0.001247")</f>
        <v/>
      </c>
      <c r="C2307" s="2">
        <f>_xlfn.NUMBERVALUE("0.000957")</f>
        <v/>
      </c>
      <c r="D2307">
        <f>_xlfn.NUMBERVALUE("0.001975")</f>
        <v/>
      </c>
      <c r="E2307">
        <f>_xlfn.NUMBERVALUE("0.000828")</f>
        <v/>
      </c>
      <c r="F2307">
        <f>_xlfn.NUMBERVALUE("0.000081")</f>
        <v/>
      </c>
      <c r="G2307">
        <f>_xlfn.NUMBERVALUE("-0.000113")</f>
        <v/>
      </c>
      <c r="H2307">
        <f>_xlfn.NUMBERVALUE("-0.000194")</f>
        <v/>
      </c>
      <c r="I2307">
        <f>_xlfn.NUMBERVALUE("0.000841")</f>
        <v/>
      </c>
      <c r="J2307">
        <f>_xlfn.NUMBERVALUE("-0.002064")</f>
        <v/>
      </c>
      <c r="K2307">
        <f>_xlfn.NUMBERVALUE("-0.000669")</f>
        <v/>
      </c>
      <c r="L2307">
        <f>_xlfn.NUMBERVALUE("0.000509")</f>
        <v/>
      </c>
      <c r="M2307">
        <f>_xlfn.NUMBERVALUE("-0.000032")</f>
        <v/>
      </c>
      <c r="N2307">
        <f>_xlfn.NUMBERVALUE("0.000575")</f>
        <v/>
      </c>
      <c r="O2307">
        <f>_xlfn.NUMBERVALUE("0.000876")</f>
        <v/>
      </c>
      <c r="P2307">
        <f>_xlfn.NUMBERVALUE("-0.000953")</f>
        <v/>
      </c>
      <c r="Q2307">
        <f>_xlfn.NUMBERVALUE("0.000017")</f>
        <v/>
      </c>
      <c r="R2307">
        <f>_xlfn.NUMBERVALUE("-0.000311")</f>
        <v/>
      </c>
      <c r="S2307">
        <f>_xlfn.NUMBERVALUE("0.000287")</f>
        <v/>
      </c>
      <c r="T2307">
        <f>_xlfn.NUMBERVALUE("0.000644")</f>
        <v/>
      </c>
      <c r="U2307">
        <f>_xlfn.NUMBERVALUE("0.000898")</f>
        <v/>
      </c>
      <c r="V2307">
        <f>_xlfn.NUMBERVALUE("-0.000146")</f>
        <v/>
      </c>
      <c r="W2307">
        <f>_xlfn.NUMBERVALUE("0.005894")</f>
        <v/>
      </c>
      <c r="X2307">
        <f>_xlfn.NUMBERVALUE("-0.440000")</f>
        <v/>
      </c>
      <c r="Y2307">
        <f>_xlfn.NUMBERVALUE("13.400000")</f>
        <v/>
      </c>
    </row>
    <row r="2308">
      <c r="A2308" s="1" t="n">
        <v>45352</v>
      </c>
      <c r="B2308">
        <f>_xlfn.NUMBERVALUE("0.002594")</f>
        <v/>
      </c>
      <c r="C2308" s="2">
        <f>_xlfn.NUMBERVALUE("0.000804")</f>
        <v/>
      </c>
      <c r="D2308">
        <f>_xlfn.NUMBERVALUE("-0.001959")</f>
        <v/>
      </c>
      <c r="E2308">
        <f>_xlfn.NUMBERVALUE("-0.000562")</f>
        <v/>
      </c>
      <c r="F2308">
        <f>_xlfn.NUMBERVALUE("-0.010981")</f>
        <v/>
      </c>
      <c r="G2308">
        <f>_xlfn.NUMBERVALUE("0.000683")</f>
        <v/>
      </c>
      <c r="H2308">
        <f>_xlfn.NUMBERVALUE("0.001900")</f>
        <v/>
      </c>
      <c r="I2308">
        <f>_xlfn.NUMBERVALUE("0.000494")</f>
        <v/>
      </c>
      <c r="J2308">
        <f>_xlfn.NUMBERVALUE("0.004842")</f>
        <v/>
      </c>
      <c r="K2308">
        <f>_xlfn.NUMBERVALUE("-0.006728")</f>
        <v/>
      </c>
      <c r="L2308">
        <f>_xlfn.NUMBERVALUE("0.001854")</f>
        <v/>
      </c>
      <c r="M2308">
        <f>_xlfn.NUMBERVALUE("0.000271")</f>
        <v/>
      </c>
      <c r="N2308">
        <f>_xlfn.NUMBERVALUE("-0.000696")</f>
        <v/>
      </c>
      <c r="O2308">
        <f>_xlfn.NUMBERVALUE("-0.000561")</f>
        <v/>
      </c>
      <c r="P2308">
        <f>_xlfn.NUMBERVALUE("0.001316")</f>
        <v/>
      </c>
      <c r="Q2308">
        <f>_xlfn.NUMBERVALUE("0.000730")</f>
        <v/>
      </c>
      <c r="R2308">
        <f>_xlfn.NUMBERVALUE("-0.003867")</f>
        <v/>
      </c>
      <c r="S2308">
        <f>_xlfn.NUMBERVALUE("0.000634")</f>
        <v/>
      </c>
      <c r="T2308">
        <f>_xlfn.NUMBERVALUE("-0.000647")</f>
        <v/>
      </c>
      <c r="U2308">
        <f>_xlfn.NUMBERVALUE("0.000376")</f>
        <v/>
      </c>
      <c r="V2308">
        <f>_xlfn.NUMBERVALUE("-0.000182")</f>
        <v/>
      </c>
      <c r="W2308">
        <f>_xlfn.NUMBERVALUE("0.008435")</f>
        <v/>
      </c>
      <c r="X2308">
        <f>_xlfn.NUMBERVALUE("-0.290000")</f>
        <v/>
      </c>
      <c r="Y2308">
        <f>_xlfn.NUMBERVALUE("13.110000")</f>
        <v/>
      </c>
    </row>
    <row r="2309">
      <c r="A2309" s="1" t="n">
        <v>45355</v>
      </c>
      <c r="B2309">
        <f>_xlfn.NUMBERVALUE("0.000913")</f>
        <v/>
      </c>
      <c r="C2309" s="2">
        <f>_xlfn.NUMBERVALUE("0.001748")</f>
        <v/>
      </c>
      <c r="D2309">
        <f>_xlfn.NUMBERVALUE("0.002076")</f>
        <v/>
      </c>
      <c r="E2309">
        <f>_xlfn.NUMBERVALUE("0.000979")</f>
        <v/>
      </c>
      <c r="F2309">
        <f>_xlfn.NUMBERVALUE("-0.001773")</f>
        <v/>
      </c>
      <c r="G2309">
        <f>_xlfn.NUMBERVALUE("0.001776")</f>
        <v/>
      </c>
      <c r="H2309">
        <f>_xlfn.NUMBERVALUE("-0.000214")</f>
        <v/>
      </c>
      <c r="I2309">
        <f>_xlfn.NUMBERVALUE("0.000610")</f>
        <v/>
      </c>
      <c r="J2309">
        <f>_xlfn.NUMBERVALUE("-0.000008")</f>
        <v/>
      </c>
      <c r="K2309">
        <f>_xlfn.NUMBERVALUE("-0.003942")</f>
        <v/>
      </c>
      <c r="L2309">
        <f>_xlfn.NUMBERVALUE("0.001457")</f>
        <v/>
      </c>
      <c r="M2309">
        <f>_xlfn.NUMBERVALUE("0.000391")</f>
        <v/>
      </c>
      <c r="N2309">
        <f>_xlfn.NUMBERVALUE("-0.000784")</f>
        <v/>
      </c>
      <c r="O2309">
        <f>_xlfn.NUMBERVALUE("0.001205")</f>
        <v/>
      </c>
      <c r="P2309">
        <f>_xlfn.NUMBERVALUE("0.001261")</f>
        <v/>
      </c>
      <c r="Q2309">
        <f>_xlfn.NUMBERVALUE("0.000647")</f>
        <v/>
      </c>
      <c r="R2309">
        <f>_xlfn.NUMBERVALUE("0.001098")</f>
        <v/>
      </c>
      <c r="S2309">
        <f>_xlfn.NUMBERVALUE("0.001560")</f>
        <v/>
      </c>
      <c r="T2309">
        <f>_xlfn.NUMBERVALUE("-0.002102")</f>
        <v/>
      </c>
      <c r="U2309">
        <f>_xlfn.NUMBERVALUE("-0.000384")</f>
        <v/>
      </c>
      <c r="V2309">
        <f>_xlfn.NUMBERVALUE("0.000680")</f>
        <v/>
      </c>
      <c r="W2309">
        <f>_xlfn.NUMBERVALUE("-0.000468")</f>
        <v/>
      </c>
      <c r="X2309">
        <f>_xlfn.NUMBERVALUE("0.380000")</f>
        <v/>
      </c>
      <c r="Y2309">
        <f>_xlfn.NUMBERVALUE("13.490000")</f>
        <v/>
      </c>
    </row>
    <row r="2310">
      <c r="A2310" s="1" t="n">
        <v>45356</v>
      </c>
      <c r="B2310">
        <f>_xlfn.NUMBERVALUE("-0.006375")</f>
        <v/>
      </c>
      <c r="C2310" s="2">
        <f>_xlfn.NUMBERVALUE("-0.002850")</f>
        <v/>
      </c>
      <c r="D2310">
        <f>_xlfn.NUMBERVALUE("-0.000142")</f>
        <v/>
      </c>
      <c r="E2310">
        <f>_xlfn.NUMBERVALUE("-0.000042")</f>
        <v/>
      </c>
      <c r="F2310">
        <f>_xlfn.NUMBERVALUE("0.000240")</f>
        <v/>
      </c>
      <c r="G2310">
        <f>_xlfn.NUMBERVALUE("0.000337")</f>
        <v/>
      </c>
      <c r="H2310">
        <f>_xlfn.NUMBERVALUE("-0.000064")</f>
        <v/>
      </c>
      <c r="I2310">
        <f>_xlfn.NUMBERVALUE("0.001003")</f>
        <v/>
      </c>
      <c r="J2310">
        <f>_xlfn.NUMBERVALUE("0.000015")</f>
        <v/>
      </c>
      <c r="K2310">
        <f>_xlfn.NUMBERVALUE("0.000002")</f>
        <v/>
      </c>
      <c r="L2310">
        <f>_xlfn.NUMBERVALUE("-0.003536")</f>
        <v/>
      </c>
      <c r="M2310">
        <f>_xlfn.NUMBERVALUE("-0.000327")</f>
        <v/>
      </c>
      <c r="N2310">
        <f>_xlfn.NUMBERVALUE("-0.002649")</f>
        <v/>
      </c>
      <c r="O2310">
        <f>_xlfn.NUMBERVALUE("-0.000077")</f>
        <v/>
      </c>
      <c r="P2310">
        <f>_xlfn.NUMBERVALUE("-0.000734")</f>
        <v/>
      </c>
      <c r="Q2310">
        <f>_xlfn.NUMBERVALUE("-0.000988")</f>
        <v/>
      </c>
      <c r="R2310">
        <f>_xlfn.NUMBERVALUE("-0.012102")</f>
        <v/>
      </c>
      <c r="S2310">
        <f>_xlfn.NUMBERVALUE("-0.000976")</f>
        <v/>
      </c>
      <c r="T2310">
        <f>_xlfn.NUMBERVALUE("0.000152")</f>
        <v/>
      </c>
      <c r="U2310">
        <f>_xlfn.NUMBERVALUE("-0.004088")</f>
        <v/>
      </c>
      <c r="V2310">
        <f>_xlfn.NUMBERVALUE("0.000152")</f>
        <v/>
      </c>
      <c r="W2310">
        <f>_xlfn.NUMBERVALUE("-0.013459")</f>
        <v/>
      </c>
      <c r="X2310">
        <f>_xlfn.NUMBERVALUE("0.970000")</f>
        <v/>
      </c>
      <c r="Y2310">
        <f>_xlfn.NUMBERVALUE("14.460000")</f>
        <v/>
      </c>
    </row>
    <row r="2311">
      <c r="A2311" s="1" t="n">
        <v>45357</v>
      </c>
      <c r="B2311">
        <f>_xlfn.NUMBERVALUE("0.000326")</f>
        <v/>
      </c>
      <c r="C2311" s="2">
        <f>_xlfn.NUMBERVALUE("0.001159")</f>
        <v/>
      </c>
      <c r="D2311">
        <f>_xlfn.NUMBERVALUE("-0.002483")</f>
        <v/>
      </c>
      <c r="E2311">
        <f>_xlfn.NUMBERVALUE("-0.000102")</f>
        <v/>
      </c>
      <c r="F2311">
        <f>_xlfn.NUMBERVALUE("-0.000063")</f>
        <v/>
      </c>
      <c r="G2311">
        <f>_xlfn.NUMBERVALUE("0.000134")</f>
        <v/>
      </c>
      <c r="H2311">
        <f>_xlfn.NUMBERVALUE("0.001088")</f>
        <v/>
      </c>
      <c r="I2311">
        <f>_xlfn.NUMBERVALUE("-0.000727")</f>
        <v/>
      </c>
      <c r="J2311">
        <f>_xlfn.NUMBERVALUE("0.000546")</f>
        <v/>
      </c>
      <c r="K2311">
        <f>_xlfn.NUMBERVALUE("0.000073")</f>
        <v/>
      </c>
      <c r="L2311">
        <f>_xlfn.NUMBERVALUE("0.001038")</f>
        <v/>
      </c>
      <c r="M2311">
        <f>_xlfn.NUMBERVALUE("-0.000037")</f>
        <v/>
      </c>
      <c r="N2311">
        <f>_xlfn.NUMBERVALUE("0.001422")</f>
        <v/>
      </c>
      <c r="O2311">
        <f>_xlfn.NUMBERVALUE("0.000664")</f>
        <v/>
      </c>
      <c r="P2311">
        <f>_xlfn.NUMBERVALUE("0.000300")</f>
        <v/>
      </c>
      <c r="Q2311">
        <f>_xlfn.NUMBERVALUE("0.000023")</f>
        <v/>
      </c>
      <c r="R2311">
        <f>_xlfn.NUMBERVALUE("0.000373")</f>
        <v/>
      </c>
      <c r="S2311">
        <f>_xlfn.NUMBERVALUE("-0.000828")</f>
        <v/>
      </c>
      <c r="T2311">
        <f>_xlfn.NUMBERVALUE("-0.001105")</f>
        <v/>
      </c>
      <c r="U2311">
        <f>_xlfn.NUMBERVALUE("0.001751")</f>
        <v/>
      </c>
      <c r="V2311">
        <f>_xlfn.NUMBERVALUE("-0.000275")</f>
        <v/>
      </c>
      <c r="W2311">
        <f>_xlfn.NUMBERVALUE("0.008166")</f>
        <v/>
      </c>
      <c r="X2311">
        <f>_xlfn.NUMBERVALUE("0.040000")</f>
        <v/>
      </c>
      <c r="Y2311">
        <f>_xlfn.NUMBERVALUE("14.500000")</f>
        <v/>
      </c>
    </row>
    <row r="2312">
      <c r="A2312" s="1" t="n">
        <v>45358</v>
      </c>
      <c r="B2312">
        <f>_xlfn.NUMBERVALUE("0.002450")</f>
        <v/>
      </c>
      <c r="C2312" s="2">
        <f>_xlfn.NUMBERVALUE("0.000612")</f>
        <v/>
      </c>
      <c r="D2312">
        <f>_xlfn.NUMBERVALUE("-0.000051")</f>
        <v/>
      </c>
      <c r="E2312">
        <f>_xlfn.NUMBERVALUE("0.000049")</f>
        <v/>
      </c>
      <c r="F2312">
        <f>_xlfn.NUMBERVALUE("0.000147")</f>
        <v/>
      </c>
      <c r="G2312">
        <f>_xlfn.NUMBERVALUE("0.000240")</f>
        <v/>
      </c>
      <c r="H2312">
        <f>_xlfn.NUMBERVALUE("0.001407")</f>
        <v/>
      </c>
      <c r="I2312">
        <f>_xlfn.NUMBERVALUE("0.000056")</f>
        <v/>
      </c>
      <c r="J2312">
        <f>_xlfn.NUMBERVALUE("0.000808")</f>
        <v/>
      </c>
      <c r="K2312">
        <f>_xlfn.NUMBERVALUE("-0.000057")</f>
        <v/>
      </c>
      <c r="L2312">
        <f>_xlfn.NUMBERVALUE("0.001083")</f>
        <v/>
      </c>
      <c r="M2312">
        <f>_xlfn.NUMBERVALUE("0.000157")</f>
        <v/>
      </c>
      <c r="N2312">
        <f>_xlfn.NUMBERVALUE("-0.003728")</f>
        <v/>
      </c>
      <c r="O2312">
        <f>_xlfn.NUMBERVALUE("-0.000369")</f>
        <v/>
      </c>
      <c r="P2312">
        <f>_xlfn.NUMBERVALUE("0.000183")</f>
        <v/>
      </c>
      <c r="Q2312">
        <f>_xlfn.NUMBERVALUE("-0.000370")</f>
        <v/>
      </c>
      <c r="R2312">
        <f>_xlfn.NUMBERVALUE("-0.002178")</f>
        <v/>
      </c>
      <c r="S2312">
        <f>_xlfn.NUMBERVALUE("-0.000618")</f>
        <v/>
      </c>
      <c r="T2312">
        <f>_xlfn.NUMBERVALUE("0.000720")</f>
        <v/>
      </c>
      <c r="U2312">
        <f>_xlfn.NUMBERVALUE("0.000838")</f>
        <v/>
      </c>
      <c r="V2312">
        <f>_xlfn.NUMBERVALUE("0.000069")</f>
        <v/>
      </c>
      <c r="W2312">
        <f>_xlfn.NUMBERVALUE("0.005354")</f>
        <v/>
      </c>
      <c r="X2312">
        <f>_xlfn.NUMBERVALUE("-0.060000")</f>
        <v/>
      </c>
      <c r="Y2312">
        <f>_xlfn.NUMBERVALUE("14.440000")</f>
        <v/>
      </c>
    </row>
    <row r="2313">
      <c r="A2313" s="1" t="n">
        <v>45359</v>
      </c>
      <c r="B2313">
        <f>_xlfn.NUMBERVALUE("0.000323")</f>
        <v/>
      </c>
      <c r="C2313" s="2">
        <f>_xlfn.NUMBERVALUE("0.000239")</f>
        <v/>
      </c>
      <c r="D2313">
        <f>_xlfn.NUMBERVALUE("0.001023")</f>
        <v/>
      </c>
      <c r="E2313">
        <f>_xlfn.NUMBERVALUE("0.005333")</f>
        <v/>
      </c>
      <c r="F2313">
        <f>_xlfn.NUMBERVALUE("-0.001082")</f>
        <v/>
      </c>
      <c r="G2313">
        <f>_xlfn.NUMBERVALUE("0.000713")</f>
        <v/>
      </c>
      <c r="H2313">
        <f>_xlfn.NUMBERVALUE("0.000601")</f>
        <v/>
      </c>
      <c r="I2313">
        <f>_xlfn.NUMBERVALUE("0.001037")</f>
        <v/>
      </c>
      <c r="J2313">
        <f>_xlfn.NUMBERVALUE("0.001256")</f>
        <v/>
      </c>
      <c r="K2313">
        <f>_xlfn.NUMBERVALUE("0.001424")</f>
        <v/>
      </c>
      <c r="L2313">
        <f>_xlfn.NUMBERVALUE("0.003370")</f>
        <v/>
      </c>
      <c r="M2313">
        <f>_xlfn.NUMBERVALUE("-0.000322")</f>
        <v/>
      </c>
      <c r="N2313">
        <f>_xlfn.NUMBERVALUE("0.001194")</f>
        <v/>
      </c>
      <c r="O2313">
        <f>_xlfn.NUMBERVALUE("-0.000116")</f>
        <v/>
      </c>
      <c r="P2313">
        <f>_xlfn.NUMBERVALUE("-0.000044")</f>
        <v/>
      </c>
      <c r="Q2313">
        <f>_xlfn.NUMBERVALUE("-0.000172")</f>
        <v/>
      </c>
      <c r="R2313">
        <f>_xlfn.NUMBERVALUE("-0.000125")</f>
        <v/>
      </c>
      <c r="S2313">
        <f>_xlfn.NUMBERVALUE("0.000246")</f>
        <v/>
      </c>
      <c r="T2313">
        <f>_xlfn.NUMBERVALUE("-0.000719")</f>
        <v/>
      </c>
      <c r="U2313">
        <f>_xlfn.NUMBERVALUE("0.003383")</f>
        <v/>
      </c>
      <c r="V2313">
        <f>_xlfn.NUMBERVALUE("0.000059")</f>
        <v/>
      </c>
      <c r="W2313">
        <f>_xlfn.NUMBERVALUE("-0.005977")</f>
        <v/>
      </c>
      <c r="X2313">
        <f>_xlfn.NUMBERVALUE("0.300000")</f>
        <v/>
      </c>
      <c r="Y2313">
        <f>_xlfn.NUMBERVALUE("14.740000")</f>
        <v/>
      </c>
    </row>
    <row r="2314">
      <c r="A2314" s="1" t="n">
        <v>45362</v>
      </c>
      <c r="B2314">
        <f>_xlfn.NUMBERVALUE("0.002825")</f>
        <v/>
      </c>
      <c r="C2314" s="2">
        <f>_xlfn.NUMBERVALUE("0.000334")</f>
        <v/>
      </c>
      <c r="D2314">
        <f>_xlfn.NUMBERVALUE("0.001092")</f>
        <v/>
      </c>
      <c r="E2314">
        <f>_xlfn.NUMBERVALUE("-0.003845")</f>
        <v/>
      </c>
      <c r="F2314">
        <f>_xlfn.NUMBERVALUE("0.001090")</f>
        <v/>
      </c>
      <c r="G2314">
        <f>_xlfn.NUMBERVALUE("-0.000498")</f>
        <v/>
      </c>
      <c r="H2314">
        <f>_xlfn.NUMBERVALUE("0.000586")</f>
        <v/>
      </c>
      <c r="I2314">
        <f>_xlfn.NUMBERVALUE("0.001095")</f>
        <v/>
      </c>
      <c r="J2314">
        <f>_xlfn.NUMBERVALUE("0.001432")</f>
        <v/>
      </c>
      <c r="K2314">
        <f>_xlfn.NUMBERVALUE("0.001777")</f>
        <v/>
      </c>
      <c r="L2314">
        <f>_xlfn.NUMBERVALUE("-0.000112")</f>
        <v/>
      </c>
      <c r="M2314">
        <f>_xlfn.NUMBERVALUE("0.000795")</f>
        <v/>
      </c>
      <c r="N2314">
        <f>_xlfn.NUMBERVALUE("0.001049")</f>
        <v/>
      </c>
      <c r="O2314">
        <f>_xlfn.NUMBERVALUE("0.000766")</f>
        <v/>
      </c>
      <c r="P2314">
        <f>_xlfn.NUMBERVALUE("0.001193")</f>
        <v/>
      </c>
      <c r="Q2314">
        <f>_xlfn.NUMBERVALUE("0.001044")</f>
        <v/>
      </c>
      <c r="R2314">
        <f>_xlfn.NUMBERVALUE("0.005157")</f>
        <v/>
      </c>
      <c r="S2314">
        <f>_xlfn.NUMBERVALUE("0.000852")</f>
        <v/>
      </c>
      <c r="T2314">
        <f>_xlfn.NUMBERVALUE("0.000908")</f>
        <v/>
      </c>
      <c r="U2314">
        <f>_xlfn.NUMBERVALUE("0.005462")</f>
        <v/>
      </c>
      <c r="V2314">
        <f>_xlfn.NUMBERVALUE("0.000901")</f>
        <v/>
      </c>
      <c r="W2314">
        <f>_xlfn.NUMBERVALUE("-0.001542")</f>
        <v/>
      </c>
      <c r="X2314">
        <f>_xlfn.NUMBERVALUE("0.480000")</f>
        <v/>
      </c>
      <c r="Y2314">
        <f>_xlfn.NUMBERVALUE("15.220000")</f>
        <v/>
      </c>
    </row>
    <row r="2315">
      <c r="A2315" s="1" t="n">
        <v>45363</v>
      </c>
      <c r="B2315">
        <f>_xlfn.NUMBERVALUE("0.006443")</f>
        <v/>
      </c>
      <c r="C2315" s="2">
        <f>_xlfn.NUMBERVALUE("0.001452")</f>
        <v/>
      </c>
      <c r="D2315">
        <f>_xlfn.NUMBERVALUE("-0.000010")</f>
        <v/>
      </c>
      <c r="E2315">
        <f>_xlfn.NUMBERVALUE("0.007174")</f>
        <v/>
      </c>
      <c r="F2315">
        <f>_xlfn.NUMBERVALUE("0.002008")</f>
        <v/>
      </c>
      <c r="G2315">
        <f>_xlfn.NUMBERVALUE("0.000332")</f>
        <v/>
      </c>
      <c r="H2315">
        <f>_xlfn.NUMBERVALUE("0.001150")</f>
        <v/>
      </c>
      <c r="I2315">
        <f>_xlfn.NUMBERVALUE("0.006494")</f>
        <v/>
      </c>
      <c r="J2315">
        <f>_xlfn.NUMBERVALUE("0.001022")</f>
        <v/>
      </c>
      <c r="K2315">
        <f>_xlfn.NUMBERVALUE("0.003862")</f>
        <v/>
      </c>
      <c r="L2315">
        <f>_xlfn.NUMBERVALUE("0.001942")</f>
        <v/>
      </c>
      <c r="M2315">
        <f>_xlfn.NUMBERVALUE("0.000053")</f>
        <v/>
      </c>
      <c r="N2315">
        <f>_xlfn.NUMBERVALUE("0.002427")</f>
        <v/>
      </c>
      <c r="O2315">
        <f>_xlfn.NUMBERVALUE("0.000374")</f>
        <v/>
      </c>
      <c r="P2315">
        <f>_xlfn.NUMBERVALUE("0.000019")</f>
        <v/>
      </c>
      <c r="Q2315">
        <f>_xlfn.NUMBERVALUE("0.000194")</f>
        <v/>
      </c>
      <c r="R2315">
        <f>_xlfn.NUMBERVALUE("-0.005931")</f>
        <v/>
      </c>
      <c r="S2315">
        <f>_xlfn.NUMBERVALUE("0.000181")</f>
        <v/>
      </c>
      <c r="T2315">
        <f>_xlfn.NUMBERVALUE("0.000292")</f>
        <v/>
      </c>
      <c r="U2315">
        <f>_xlfn.NUMBERVALUE("0.003286")</f>
        <v/>
      </c>
      <c r="V2315">
        <f>_xlfn.NUMBERVALUE("0.000813")</f>
        <v/>
      </c>
      <c r="W2315">
        <f>_xlfn.NUMBERVALUE("0.010382")</f>
        <v/>
      </c>
      <c r="X2315">
        <f>_xlfn.NUMBERVALUE("-1.380000")</f>
        <v/>
      </c>
      <c r="Y2315">
        <f>_xlfn.NUMBERVALUE("13.840000")</f>
        <v/>
      </c>
    </row>
    <row r="2316">
      <c r="A2316" s="1" t="n">
        <v>45364</v>
      </c>
      <c r="B2316">
        <f>_xlfn.NUMBERVALUE("0.002267")</f>
        <v/>
      </c>
      <c r="C2316" s="2">
        <f>_xlfn.NUMBERVALUE("0.000666")</f>
        <v/>
      </c>
      <c r="D2316">
        <f>_xlfn.NUMBERVALUE("0.001270")</f>
        <v/>
      </c>
      <c r="E2316">
        <f>_xlfn.NUMBERVALUE("-0.003858")</f>
        <v/>
      </c>
      <c r="F2316">
        <f>_xlfn.NUMBERVALUE("-0.000349")</f>
        <v/>
      </c>
      <c r="G2316">
        <f>_xlfn.NUMBERVALUE("0.001090")</f>
        <v/>
      </c>
      <c r="H2316">
        <f>_xlfn.NUMBERVALUE("0.000367")</f>
        <v/>
      </c>
      <c r="I2316">
        <f>_xlfn.NUMBERVALUE("0.002523")</f>
        <v/>
      </c>
      <c r="J2316">
        <f>_xlfn.NUMBERVALUE("0.000832")</f>
        <v/>
      </c>
      <c r="K2316">
        <f>_xlfn.NUMBERVALUE("-0.007815")</f>
        <v/>
      </c>
      <c r="L2316">
        <f>_xlfn.NUMBERVALUE("0.000059")</f>
        <v/>
      </c>
      <c r="M2316">
        <f>_xlfn.NUMBERVALUE("0.000218")</f>
        <v/>
      </c>
      <c r="N2316">
        <f>_xlfn.NUMBERVALUE("0.001121")</f>
        <v/>
      </c>
      <c r="O2316">
        <f>_xlfn.NUMBERVALUE("-0.000100")</f>
        <v/>
      </c>
      <c r="P2316">
        <f>_xlfn.NUMBERVALUE("0.001055")</f>
        <v/>
      </c>
      <c r="Q2316">
        <f>_xlfn.NUMBERVALUE("0.000646")</f>
        <v/>
      </c>
      <c r="R2316">
        <f>_xlfn.NUMBERVALUE("0.002569")</f>
        <v/>
      </c>
      <c r="S2316">
        <f>_xlfn.NUMBERVALUE("0.000790")</f>
        <v/>
      </c>
      <c r="T2316">
        <f>_xlfn.NUMBERVALUE("0.000804")</f>
        <v/>
      </c>
      <c r="U2316">
        <f>_xlfn.NUMBERVALUE("0.001067")</f>
        <v/>
      </c>
      <c r="V2316">
        <f>_xlfn.NUMBERVALUE("0.001142")</f>
        <v/>
      </c>
      <c r="W2316">
        <f>_xlfn.NUMBERVALUE("-0.001780")</f>
        <v/>
      </c>
      <c r="X2316">
        <f>_xlfn.NUMBERVALUE("-0.090000")</f>
        <v/>
      </c>
      <c r="Y2316">
        <f>_xlfn.NUMBERVALUE("13.750000")</f>
        <v/>
      </c>
    </row>
    <row r="2317">
      <c r="A2317" s="1" t="n">
        <v>45365</v>
      </c>
      <c r="B2317">
        <f>_xlfn.NUMBERVALUE("-0.005612")</f>
        <v/>
      </c>
      <c r="C2317" s="2">
        <f>_xlfn.NUMBERVALUE("-0.000457")</f>
        <v/>
      </c>
      <c r="D2317">
        <f>_xlfn.NUMBERVALUE("0.000441")</f>
        <v/>
      </c>
      <c r="E2317">
        <f>_xlfn.NUMBERVALUE("-0.003957")</f>
        <v/>
      </c>
      <c r="F2317">
        <f>_xlfn.NUMBERVALUE("0.001592")</f>
        <v/>
      </c>
      <c r="G2317">
        <f>_xlfn.NUMBERVALUE("-0.000082")</f>
        <v/>
      </c>
      <c r="H2317">
        <f>_xlfn.NUMBERVALUE("-0.001349")</f>
        <v/>
      </c>
      <c r="I2317">
        <f>_xlfn.NUMBERVALUE("-0.006082")</f>
        <v/>
      </c>
      <c r="J2317">
        <f>_xlfn.NUMBERVALUE("-0.001354")</f>
        <v/>
      </c>
      <c r="K2317">
        <f>_xlfn.NUMBERVALUE("0.002740")</f>
        <v/>
      </c>
      <c r="L2317">
        <f>_xlfn.NUMBERVALUE("-0.002828")</f>
        <v/>
      </c>
      <c r="M2317">
        <f>_xlfn.NUMBERVALUE("-0.001119")</f>
        <v/>
      </c>
      <c r="N2317">
        <f>_xlfn.NUMBERVALUE("0.000164")</f>
        <v/>
      </c>
      <c r="O2317">
        <f>_xlfn.NUMBERVALUE("0.000975")</f>
        <v/>
      </c>
      <c r="P2317">
        <f>_xlfn.NUMBERVALUE("-0.001313")</f>
        <v/>
      </c>
      <c r="Q2317">
        <f>_xlfn.NUMBERVALUE("0.000006")</f>
        <v/>
      </c>
      <c r="R2317">
        <f>_xlfn.NUMBERVALUE("-0.002190")</f>
        <v/>
      </c>
      <c r="S2317">
        <f>_xlfn.NUMBERVALUE("-0.001489")</f>
        <v/>
      </c>
      <c r="T2317">
        <f>_xlfn.NUMBERVALUE("-0.000211")</f>
        <v/>
      </c>
      <c r="U2317">
        <f>_xlfn.NUMBERVALUE("-0.000454")</f>
        <v/>
      </c>
      <c r="V2317">
        <f>_xlfn.NUMBERVALUE("-0.000627")</f>
        <v/>
      </c>
      <c r="W2317">
        <f>_xlfn.NUMBERVALUE("-0.004904")</f>
        <v/>
      </c>
      <c r="X2317">
        <f>_xlfn.NUMBERVALUE("0.650000")</f>
        <v/>
      </c>
      <c r="Y2317">
        <f>_xlfn.NUMBERVALUE("14.400000")</f>
        <v/>
      </c>
    </row>
    <row r="2318">
      <c r="A2318" s="1" t="n">
        <v>45366</v>
      </c>
      <c r="B2318">
        <f>_xlfn.NUMBERVALUE("0.002846")</f>
        <v/>
      </c>
      <c r="C2318" s="2">
        <f>_xlfn.NUMBERVALUE("0.001067")</f>
        <v/>
      </c>
      <c r="D2318">
        <f>_xlfn.NUMBERVALUE("0.000641")</f>
        <v/>
      </c>
      <c r="E2318">
        <f>_xlfn.NUMBERVALUE("0.003353")</f>
        <v/>
      </c>
      <c r="F2318">
        <f>_xlfn.NUMBERVALUE("0.000368")</f>
        <v/>
      </c>
      <c r="G2318">
        <f>_xlfn.NUMBERVALUE("0.000638")</f>
        <v/>
      </c>
      <c r="H2318">
        <f>_xlfn.NUMBERVALUE("0.000245")</f>
        <v/>
      </c>
      <c r="I2318">
        <f>_xlfn.NUMBERVALUE("0.000529")</f>
        <v/>
      </c>
      <c r="J2318">
        <f>_xlfn.NUMBERVALUE("0.001208")</f>
        <v/>
      </c>
      <c r="K2318">
        <f>_xlfn.NUMBERVALUE("-0.001996")</f>
        <v/>
      </c>
      <c r="L2318">
        <f>_xlfn.NUMBERVALUE("0.000671")</f>
        <v/>
      </c>
      <c r="M2318">
        <f>_xlfn.NUMBERVALUE("-0.000918")</f>
        <v/>
      </c>
      <c r="N2318">
        <f>_xlfn.NUMBERVALUE("0.003535")</f>
        <v/>
      </c>
      <c r="O2318">
        <f>_xlfn.NUMBERVALUE("0.000423")</f>
        <v/>
      </c>
      <c r="P2318">
        <f>_xlfn.NUMBERVALUE("0.000710")</f>
        <v/>
      </c>
      <c r="Q2318">
        <f>_xlfn.NUMBERVALUE("-0.000422")</f>
        <v/>
      </c>
      <c r="R2318">
        <f>_xlfn.NUMBERVALUE("-0.000023")</f>
        <v/>
      </c>
      <c r="S2318">
        <f>_xlfn.NUMBERVALUE("0.000992")</f>
        <v/>
      </c>
      <c r="T2318">
        <f>_xlfn.NUMBERVALUE("0.000916")</f>
        <v/>
      </c>
      <c r="U2318">
        <f>_xlfn.NUMBERVALUE("-0.001538")</f>
        <v/>
      </c>
      <c r="V2318">
        <f>_xlfn.NUMBERVALUE("0.000266")</f>
        <v/>
      </c>
      <c r="W2318">
        <f>_xlfn.NUMBERVALUE("-0.007344")</f>
        <v/>
      </c>
      <c r="X2318">
        <f>_xlfn.NUMBERVALUE("0.010000")</f>
        <v/>
      </c>
      <c r="Y2318">
        <f>_xlfn.NUMBERVALUE("14.410000")</f>
        <v/>
      </c>
    </row>
    <row r="2319">
      <c r="A2319" s="1" t="n">
        <v>45369</v>
      </c>
      <c r="B2319">
        <f>_xlfn.NUMBERVALUE("0.003115")</f>
        <v/>
      </c>
      <c r="C2319" s="2">
        <f>_xlfn.NUMBERVALUE("0.000632")</f>
        <v/>
      </c>
      <c r="D2319">
        <f>_xlfn.NUMBERVALUE("0.001475")</f>
        <v/>
      </c>
      <c r="E2319">
        <f>_xlfn.NUMBERVALUE("0.000559")</f>
        <v/>
      </c>
      <c r="F2319">
        <f>_xlfn.NUMBERVALUE("0.000156")</f>
        <v/>
      </c>
      <c r="G2319">
        <f>_xlfn.NUMBERVALUE("0.000473")</f>
        <v/>
      </c>
      <c r="H2319">
        <f>_xlfn.NUMBERVALUE("-0.000568")</f>
        <v/>
      </c>
      <c r="I2319">
        <f>_xlfn.NUMBERVALUE("0.001739")</f>
        <v/>
      </c>
      <c r="J2319">
        <f>_xlfn.NUMBERVALUE("-0.000163")</f>
        <v/>
      </c>
      <c r="K2319">
        <f>_xlfn.NUMBERVALUE("0.002025")</f>
        <v/>
      </c>
      <c r="L2319">
        <f>_xlfn.NUMBERVALUE("0.000050")</f>
        <v/>
      </c>
      <c r="M2319">
        <f>_xlfn.NUMBERVALUE("0.002595")</f>
        <v/>
      </c>
      <c r="N2319">
        <f>_xlfn.NUMBERVALUE("-0.004339")</f>
        <v/>
      </c>
      <c r="O2319">
        <f>_xlfn.NUMBERVALUE("-0.002734")</f>
        <v/>
      </c>
      <c r="P2319">
        <f>_xlfn.NUMBERVALUE("0.002033")</f>
        <v/>
      </c>
      <c r="Q2319">
        <f>_xlfn.NUMBERVALUE("0.001715")</f>
        <v/>
      </c>
      <c r="R2319">
        <f>_xlfn.NUMBERVALUE("0.001927")</f>
        <v/>
      </c>
      <c r="S2319">
        <f>_xlfn.NUMBERVALUE("0.001521")</f>
        <v/>
      </c>
      <c r="T2319">
        <f>_xlfn.NUMBERVALUE("0.001953")</f>
        <v/>
      </c>
      <c r="U2319">
        <f>_xlfn.NUMBERVALUE("0.003524")</f>
        <v/>
      </c>
      <c r="V2319">
        <f>_xlfn.NUMBERVALUE("0.000127")</f>
        <v/>
      </c>
      <c r="W2319">
        <f>_xlfn.NUMBERVALUE("0.008419")</f>
        <v/>
      </c>
      <c r="X2319">
        <f>_xlfn.NUMBERVALUE("-0.080000")</f>
        <v/>
      </c>
      <c r="Y2319">
        <f>_xlfn.NUMBERVALUE("14.330000")</f>
        <v/>
      </c>
    </row>
    <row r="2320">
      <c r="A2320" s="1" t="n">
        <v>45370</v>
      </c>
      <c r="B2320">
        <f>_xlfn.NUMBERVALUE("0.001992")</f>
        <v/>
      </c>
      <c r="C2320" s="2">
        <f>_xlfn.NUMBERVALUE("-0.000508")</f>
        <v/>
      </c>
      <c r="D2320">
        <f>_xlfn.NUMBERVALUE("0.000705")</f>
        <v/>
      </c>
      <c r="E2320">
        <f>_xlfn.NUMBERVALUE("0.001125")</f>
        <v/>
      </c>
      <c r="F2320">
        <f>_xlfn.NUMBERVALUE("0.000836")</f>
        <v/>
      </c>
      <c r="G2320">
        <f>_xlfn.NUMBERVALUE("-0.000637")</f>
        <v/>
      </c>
      <c r="H2320">
        <f>_xlfn.NUMBERVALUE("0.000318")</f>
        <v/>
      </c>
      <c r="I2320">
        <f>_xlfn.NUMBERVALUE("0.000204")</f>
        <v/>
      </c>
      <c r="J2320">
        <f>_xlfn.NUMBERVALUE("0.000218")</f>
        <v/>
      </c>
      <c r="K2320">
        <f>_xlfn.NUMBERVALUE("0.001228")</f>
        <v/>
      </c>
      <c r="L2320">
        <f>_xlfn.NUMBERVALUE("0.000846")</f>
        <v/>
      </c>
      <c r="M2320">
        <f>_xlfn.NUMBERVALUE("0.001470")</f>
        <v/>
      </c>
      <c r="N2320">
        <f>_xlfn.NUMBERVALUE("0.001457")</f>
        <v/>
      </c>
      <c r="O2320">
        <f>_xlfn.NUMBERVALUE("0.000463")</f>
        <v/>
      </c>
      <c r="P2320">
        <f>_xlfn.NUMBERVALUE("0.000721")</f>
        <v/>
      </c>
      <c r="Q2320">
        <f>_xlfn.NUMBERVALUE("0.000447")</f>
        <v/>
      </c>
      <c r="R2320">
        <f>_xlfn.NUMBERVALUE("0.001989")</f>
        <v/>
      </c>
      <c r="S2320">
        <f>_xlfn.NUMBERVALUE("0.001216")</f>
        <v/>
      </c>
      <c r="T2320">
        <f>_xlfn.NUMBERVALUE("0.000559")</f>
        <v/>
      </c>
      <c r="U2320">
        <f>_xlfn.NUMBERVALUE("0.001047")</f>
        <v/>
      </c>
      <c r="V2320">
        <f>_xlfn.NUMBERVALUE("0.000954")</f>
        <v/>
      </c>
      <c r="W2320">
        <f>_xlfn.NUMBERVALUE("0.002510")</f>
        <v/>
      </c>
      <c r="X2320">
        <f>_xlfn.NUMBERVALUE("-0.510000")</f>
        <v/>
      </c>
      <c r="Y2320">
        <f>_xlfn.NUMBERVALUE("13.820000")</f>
        <v/>
      </c>
    </row>
    <row r="2321">
      <c r="A2321" s="1" t="n">
        <v>45371</v>
      </c>
      <c r="B2321">
        <f>_xlfn.NUMBERVALUE("-0.000333")</f>
        <v/>
      </c>
      <c r="C2321" s="2">
        <f>_xlfn.NUMBERVALUE("-0.001434")</f>
        <v/>
      </c>
      <c r="D2321">
        <f>_xlfn.NUMBERVALUE("0.000541")</f>
        <v/>
      </c>
      <c r="E2321">
        <f>_xlfn.NUMBERVALUE("-0.000389")</f>
        <v/>
      </c>
      <c r="F2321">
        <f>_xlfn.NUMBERVALUE("-0.000235")</f>
        <v/>
      </c>
      <c r="G2321">
        <f>_xlfn.NUMBERVALUE("-0.000674")</f>
        <v/>
      </c>
      <c r="H2321">
        <f>_xlfn.NUMBERVALUE("0.000876")</f>
        <v/>
      </c>
      <c r="I2321">
        <f>_xlfn.NUMBERVALUE("-0.001501")</f>
        <v/>
      </c>
      <c r="J2321">
        <f>_xlfn.NUMBERVALUE("0.000681")</f>
        <v/>
      </c>
      <c r="K2321">
        <f>_xlfn.NUMBERVALUE("-0.003526")</f>
        <v/>
      </c>
      <c r="L2321">
        <f>_xlfn.NUMBERVALUE("0.001489")</f>
        <v/>
      </c>
      <c r="M2321">
        <f>_xlfn.NUMBERVALUE("0.000355")</f>
        <v/>
      </c>
      <c r="N2321">
        <f>_xlfn.NUMBERVALUE("0.000911")</f>
        <v/>
      </c>
      <c r="O2321">
        <f>_xlfn.NUMBERVALUE("0.002841")</f>
        <v/>
      </c>
      <c r="P2321">
        <f>_xlfn.NUMBERVALUE("-0.001272")</f>
        <v/>
      </c>
      <c r="Q2321">
        <f>_xlfn.NUMBERVALUE("-0.001246")</f>
        <v/>
      </c>
      <c r="R2321">
        <f>_xlfn.NUMBERVALUE("0.001613")</f>
        <v/>
      </c>
      <c r="S2321">
        <f>_xlfn.NUMBERVALUE("0.001506")</f>
        <v/>
      </c>
      <c r="T2321">
        <f>_xlfn.NUMBERVALUE("0.001535")</f>
        <v/>
      </c>
      <c r="U2321">
        <f>_xlfn.NUMBERVALUE("0.000272")</f>
        <v/>
      </c>
      <c r="V2321">
        <f>_xlfn.NUMBERVALUE("0.000489")</f>
        <v/>
      </c>
      <c r="W2321">
        <f>_xlfn.NUMBERVALUE("0.008949")</f>
        <v/>
      </c>
      <c r="X2321">
        <f>_xlfn.NUMBERVALUE("-0.780000")</f>
        <v/>
      </c>
      <c r="Y2321">
        <f>_xlfn.NUMBERVALUE("13.040000")</f>
        <v/>
      </c>
    </row>
    <row r="2322">
      <c r="A2322" s="1" t="n">
        <v>45372</v>
      </c>
      <c r="B2322">
        <f>_xlfn.NUMBERVALUE("0.002450")</f>
        <v/>
      </c>
      <c r="C2322" s="2">
        <f>_xlfn.NUMBERVALUE("-0.001011")</f>
        <v/>
      </c>
      <c r="D2322">
        <f>_xlfn.NUMBERVALUE("0.001245")</f>
        <v/>
      </c>
      <c r="E2322">
        <f>_xlfn.NUMBERVALUE("0.000949")</f>
        <v/>
      </c>
      <c r="F2322">
        <f>_xlfn.NUMBERVALUE("0.000760")</f>
        <v/>
      </c>
      <c r="G2322">
        <f>_xlfn.NUMBERVALUE("0.002012")</f>
        <v/>
      </c>
      <c r="H2322">
        <f>_xlfn.NUMBERVALUE("0.000428")</f>
        <v/>
      </c>
      <c r="I2322">
        <f>_xlfn.NUMBERVALUE("0.002821")</f>
        <v/>
      </c>
      <c r="J2322">
        <f>_xlfn.NUMBERVALUE("0.000302")</f>
        <v/>
      </c>
      <c r="K2322">
        <f>_xlfn.NUMBERVALUE("-0.003186")</f>
        <v/>
      </c>
      <c r="L2322">
        <f>_xlfn.NUMBERVALUE("-0.000161")</f>
        <v/>
      </c>
      <c r="M2322">
        <f>_xlfn.NUMBERVALUE("-0.000416")</f>
        <v/>
      </c>
      <c r="N2322">
        <f>_xlfn.NUMBERVALUE("0.000937")</f>
        <v/>
      </c>
      <c r="O2322">
        <f>_xlfn.NUMBERVALUE("-0.000650")</f>
        <v/>
      </c>
      <c r="P2322">
        <f>_xlfn.NUMBERVALUE("-0.001149")</f>
        <v/>
      </c>
      <c r="Q2322">
        <f>_xlfn.NUMBERVALUE("-0.001423")</f>
        <v/>
      </c>
      <c r="R2322">
        <f>_xlfn.NUMBERVALUE("0.001014")</f>
        <v/>
      </c>
      <c r="S2322">
        <f>_xlfn.NUMBERVALUE("0.000777")</f>
        <v/>
      </c>
      <c r="T2322">
        <f>_xlfn.NUMBERVALUE("0.001173")</f>
        <v/>
      </c>
      <c r="U2322">
        <f>_xlfn.NUMBERVALUE("0.000784")</f>
        <v/>
      </c>
      <c r="V2322">
        <f>_xlfn.NUMBERVALUE("0.000381")</f>
        <v/>
      </c>
      <c r="W2322">
        <f>_xlfn.NUMBERVALUE("0.005714")</f>
        <v/>
      </c>
      <c r="X2322">
        <f>_xlfn.NUMBERVALUE("-0.120000")</f>
        <v/>
      </c>
      <c r="Y2322">
        <f>_xlfn.NUMBERVALUE("12.920000")</f>
        <v/>
      </c>
    </row>
    <row r="2323">
      <c r="A2323" s="1" t="n">
        <v>45373</v>
      </c>
      <c r="B2323">
        <f>_xlfn.NUMBERVALUE("0.001313")</f>
        <v/>
      </c>
      <c r="C2323" s="2">
        <f>_xlfn.NUMBERVALUE("0.001090")</f>
        <v/>
      </c>
      <c r="D2323">
        <f>_xlfn.NUMBERVALUE("0.000302")</f>
        <v/>
      </c>
      <c r="E2323">
        <f>_xlfn.NUMBERVALUE("0.001887")</f>
        <v/>
      </c>
      <c r="F2323">
        <f>_xlfn.NUMBERVALUE("0.000588")</f>
        <v/>
      </c>
      <c r="G2323">
        <f>_xlfn.NUMBERVALUE("-0.000187")</f>
        <v/>
      </c>
      <c r="H2323">
        <f>_xlfn.NUMBERVALUE("-0.000222")</f>
        <v/>
      </c>
      <c r="I2323">
        <f>_xlfn.NUMBERVALUE("-0.000724")</f>
        <v/>
      </c>
      <c r="J2323">
        <f>_xlfn.NUMBERVALUE("0.000412")</f>
        <v/>
      </c>
      <c r="K2323">
        <f>_xlfn.NUMBERVALUE("0.003900")</f>
        <v/>
      </c>
      <c r="L2323">
        <f>_xlfn.NUMBERVALUE("-0.000655")</f>
        <v/>
      </c>
      <c r="M2323">
        <f>_xlfn.NUMBERVALUE("0.001715")</f>
        <v/>
      </c>
      <c r="N2323">
        <f>_xlfn.NUMBERVALUE("0.001520")</f>
        <v/>
      </c>
      <c r="O2323">
        <f>_xlfn.NUMBERVALUE("0.001468")</f>
        <v/>
      </c>
      <c r="P2323">
        <f>_xlfn.NUMBERVALUE("0.000383")</f>
        <v/>
      </c>
      <c r="Q2323">
        <f>_xlfn.NUMBERVALUE("0.000902")</f>
        <v/>
      </c>
      <c r="R2323">
        <f>_xlfn.NUMBERVALUE("0.002198")</f>
        <v/>
      </c>
      <c r="S2323">
        <f>_xlfn.NUMBERVALUE("0.000268")</f>
        <v/>
      </c>
      <c r="T2323">
        <f>_xlfn.NUMBERVALUE("0.001379")</f>
        <v/>
      </c>
      <c r="U2323">
        <f>_xlfn.NUMBERVALUE("0.000744")</f>
        <v/>
      </c>
      <c r="V2323">
        <f>_xlfn.NUMBERVALUE("0.001077")</f>
        <v/>
      </c>
      <c r="W2323">
        <f>_xlfn.NUMBERVALUE("-0.001626")</f>
        <v/>
      </c>
      <c r="X2323">
        <f>_xlfn.NUMBERVALUE("0.140000")</f>
        <v/>
      </c>
      <c r="Y2323">
        <f>_xlfn.NUMBERVALUE("13.060000")</f>
        <v/>
      </c>
    </row>
    <row r="2324">
      <c r="A2324" s="1" t="n">
        <v>45376</v>
      </c>
      <c r="B2324">
        <f>_xlfn.NUMBERVALUE("0.003614")</f>
        <v/>
      </c>
      <c r="C2324" s="2">
        <f>_xlfn.NUMBERVALUE("0.000989")</f>
        <v/>
      </c>
      <c r="D2324">
        <f>_xlfn.NUMBERVALUE("0.001973")</f>
        <v/>
      </c>
      <c r="E2324">
        <f>_xlfn.NUMBERVALUE("0.000703")</f>
        <v/>
      </c>
      <c r="F2324">
        <f>_xlfn.NUMBERVALUE("0.002031")</f>
        <v/>
      </c>
      <c r="G2324">
        <f>_xlfn.NUMBERVALUE("0.001103")</f>
        <v/>
      </c>
      <c r="H2324">
        <f>_xlfn.NUMBERVALUE("0.000040")</f>
        <v/>
      </c>
      <c r="I2324">
        <f>_xlfn.NUMBERVALUE("0.004341")</f>
        <v/>
      </c>
      <c r="J2324">
        <f>_xlfn.NUMBERVALUE("0.000271")</f>
        <v/>
      </c>
      <c r="K2324">
        <f>_xlfn.NUMBERVALUE("0.002545")</f>
        <v/>
      </c>
      <c r="L2324">
        <f>_xlfn.NUMBERVALUE("0.000205")</f>
        <v/>
      </c>
      <c r="M2324">
        <f>_xlfn.NUMBERVALUE("0.001378")</f>
        <v/>
      </c>
      <c r="N2324">
        <f>_xlfn.NUMBERVALUE("0.001524")</f>
        <v/>
      </c>
      <c r="O2324">
        <f>_xlfn.NUMBERVALUE("0.000278")</f>
        <v/>
      </c>
      <c r="P2324">
        <f>_xlfn.NUMBERVALUE("0.001406")</f>
        <v/>
      </c>
      <c r="Q2324">
        <f>_xlfn.NUMBERVALUE("0.001741")</f>
        <v/>
      </c>
      <c r="R2324">
        <f>_xlfn.NUMBERVALUE("0.001741")</f>
        <v/>
      </c>
      <c r="S2324">
        <f>_xlfn.NUMBERVALUE("0.001310")</f>
        <v/>
      </c>
      <c r="T2324">
        <f>_xlfn.NUMBERVALUE("0.000998")</f>
        <v/>
      </c>
      <c r="U2324">
        <f>_xlfn.NUMBERVALUE("0.001034")</f>
        <v/>
      </c>
      <c r="V2324">
        <f>_xlfn.NUMBERVALUE("0.002602")</f>
        <v/>
      </c>
      <c r="W2324">
        <f>_xlfn.NUMBERVALUE("-0.002529")</f>
        <v/>
      </c>
      <c r="X2324">
        <f>_xlfn.NUMBERVALUE("0.130000")</f>
        <v/>
      </c>
      <c r="Y2324">
        <f>_xlfn.NUMBERVALUE("13.190000")</f>
        <v/>
      </c>
    </row>
    <row r="2325">
      <c r="A2325" s="1" t="n">
        <v>45377</v>
      </c>
      <c r="B2325">
        <f>_xlfn.NUMBERVALUE("0.000997")</f>
        <v/>
      </c>
      <c r="C2325" s="2">
        <f>_xlfn.NUMBERVALUE("0.000858")</f>
        <v/>
      </c>
      <c r="D2325">
        <f>_xlfn.NUMBERVALUE("0.001069")</f>
        <v/>
      </c>
      <c r="E2325">
        <f>_xlfn.NUMBERVALUE("0.000945")</f>
        <v/>
      </c>
      <c r="F2325">
        <f>_xlfn.NUMBERVALUE("-0.000441")</f>
        <v/>
      </c>
      <c r="G2325">
        <f>_xlfn.NUMBERVALUE("0.000730")</f>
        <v/>
      </c>
      <c r="H2325">
        <f>_xlfn.NUMBERVALUE("0.000652")</f>
        <v/>
      </c>
      <c r="I2325">
        <f>_xlfn.NUMBERVALUE("0.001722")</f>
        <v/>
      </c>
      <c r="J2325">
        <f>_xlfn.NUMBERVALUE("0.000444")</f>
        <v/>
      </c>
      <c r="K2325">
        <f>_xlfn.NUMBERVALUE("-0.000985")</f>
        <v/>
      </c>
      <c r="L2325">
        <f>_xlfn.NUMBERVALUE("0.001358")</f>
        <v/>
      </c>
      <c r="M2325">
        <f>_xlfn.NUMBERVALUE("0.000725")</f>
        <v/>
      </c>
      <c r="N2325">
        <f>_xlfn.NUMBERVALUE("0.001760")</f>
        <v/>
      </c>
      <c r="O2325">
        <f>_xlfn.NUMBERVALUE("0.001504")</f>
        <v/>
      </c>
      <c r="P2325">
        <f>_xlfn.NUMBERVALUE("0.001301")</f>
        <v/>
      </c>
      <c r="Q2325">
        <f>_xlfn.NUMBERVALUE("0.000999")</f>
        <v/>
      </c>
      <c r="R2325">
        <f>_xlfn.NUMBERVALUE("0.000946")</f>
        <v/>
      </c>
      <c r="S2325">
        <f>_xlfn.NUMBERVALUE("-0.000090")</f>
        <v/>
      </c>
      <c r="T2325">
        <f>_xlfn.NUMBERVALUE("0.000418")</f>
        <v/>
      </c>
      <c r="U2325">
        <f>_xlfn.NUMBERVALUE("0.000954")</f>
        <v/>
      </c>
      <c r="V2325">
        <f>_xlfn.NUMBERVALUE("0.000746")</f>
        <v/>
      </c>
      <c r="W2325">
        <f>_xlfn.NUMBERVALUE("-0.002248")</f>
        <v/>
      </c>
      <c r="X2325">
        <f>_xlfn.NUMBERVALUE("0.050000")</f>
        <v/>
      </c>
      <c r="Y2325">
        <f>_xlfn.NUMBERVALUE("13.240000")</f>
        <v/>
      </c>
    </row>
    <row r="2326">
      <c r="A2326" s="1" t="n">
        <v>45378</v>
      </c>
      <c r="B2326">
        <f>_xlfn.NUMBERVALUE("0.000833")</f>
        <v/>
      </c>
      <c r="C2326" s="2">
        <f>_xlfn.NUMBERVALUE("-0.001798")</f>
        <v/>
      </c>
      <c r="D2326">
        <f>_xlfn.NUMBERVALUE("0.001239")</f>
        <v/>
      </c>
      <c r="E2326">
        <f>_xlfn.NUMBERVALUE("0.000884")</f>
        <v/>
      </c>
      <c r="F2326">
        <f>_xlfn.NUMBERVALUE("-0.000720")</f>
        <v/>
      </c>
      <c r="G2326">
        <f>_xlfn.NUMBERVALUE("0.000423")</f>
        <v/>
      </c>
      <c r="H2326">
        <f>_xlfn.NUMBERVALUE("0.000206")</f>
        <v/>
      </c>
      <c r="I2326">
        <f>_xlfn.NUMBERVALUE("-0.002085")</f>
        <v/>
      </c>
      <c r="J2326">
        <f>_xlfn.NUMBERVALUE("-0.000146")</f>
        <v/>
      </c>
      <c r="K2326">
        <f>_xlfn.NUMBERVALUE("0.000503")</f>
        <v/>
      </c>
      <c r="L2326">
        <f>_xlfn.NUMBERVALUE("-0.000124")</f>
        <v/>
      </c>
      <c r="M2326">
        <f>_xlfn.NUMBERVALUE("-0.001555")</f>
        <v/>
      </c>
      <c r="N2326">
        <f>_xlfn.NUMBERVALUE("0.001193")</f>
        <v/>
      </c>
      <c r="O2326">
        <f>_xlfn.NUMBERVALUE("-0.000278")</f>
        <v/>
      </c>
      <c r="P2326">
        <f>_xlfn.NUMBERVALUE("-0.001219")</f>
        <v/>
      </c>
      <c r="Q2326">
        <f>_xlfn.NUMBERVALUE("-0.002046")</f>
        <v/>
      </c>
      <c r="R2326">
        <f>_xlfn.NUMBERVALUE("0.002270")</f>
        <v/>
      </c>
      <c r="S2326">
        <f>_xlfn.NUMBERVALUE("-0.000548")</f>
        <v/>
      </c>
      <c r="T2326">
        <f>_xlfn.NUMBERVALUE("-0.006128")</f>
        <v/>
      </c>
      <c r="U2326">
        <f>_xlfn.NUMBERVALUE("0.000794")</f>
        <v/>
      </c>
      <c r="V2326">
        <f>_xlfn.NUMBERVALUE("0.000495")</f>
        <v/>
      </c>
      <c r="W2326">
        <f>_xlfn.NUMBERVALUE("0.005680")</f>
        <v/>
      </c>
      <c r="X2326">
        <f>_xlfn.NUMBERVALUE("-0.460000")</f>
        <v/>
      </c>
      <c r="Y2326">
        <f>_xlfn.NUMBERVALUE("12.780000")</f>
        <v/>
      </c>
    </row>
    <row r="2327">
      <c r="A2327" s="1" t="n">
        <v>45379</v>
      </c>
      <c r="B2327">
        <f>_xlfn.NUMBERVALUE("0.005283")</f>
        <v/>
      </c>
      <c r="C2327" s="2">
        <f>_xlfn.NUMBERVALUE("0.000076")</f>
        <v/>
      </c>
      <c r="D2327">
        <f>_xlfn.NUMBERVALUE("0.000288")</f>
        <v/>
      </c>
      <c r="E2327">
        <f>_xlfn.NUMBERVALUE("0.000287")</f>
        <v/>
      </c>
      <c r="F2327">
        <f>_xlfn.NUMBERVALUE("-0.003292")</f>
        <v/>
      </c>
      <c r="G2327">
        <f>_xlfn.NUMBERVALUE("-0.000340")</f>
        <v/>
      </c>
      <c r="H2327">
        <f>_xlfn.NUMBERVALUE("-0.000340")</f>
        <v/>
      </c>
      <c r="I2327">
        <f>_xlfn.NUMBERVALUE("0.000781")</f>
        <v/>
      </c>
      <c r="J2327">
        <f>_xlfn.NUMBERVALUE("0.000755")</f>
        <v/>
      </c>
      <c r="K2327">
        <f>_xlfn.NUMBERVALUE("-0.005041")</f>
        <v/>
      </c>
      <c r="L2327">
        <f>_xlfn.NUMBERVALUE("-0.000077")</f>
        <v/>
      </c>
      <c r="M2327">
        <f>_xlfn.NUMBERVALUE("0.000567")</f>
        <v/>
      </c>
      <c r="N2327">
        <f>_xlfn.NUMBERVALUE("0.000421")</f>
        <v/>
      </c>
      <c r="O2327">
        <f>_xlfn.NUMBERVALUE("-0.001159")</f>
        <v/>
      </c>
      <c r="P2327">
        <f>_xlfn.NUMBERVALUE("-0.002438")</f>
        <v/>
      </c>
      <c r="Q2327">
        <f>_xlfn.NUMBERVALUE("-0.000548")</f>
        <v/>
      </c>
      <c r="R2327">
        <f>_xlfn.NUMBERVALUE("0.000686")</f>
        <v/>
      </c>
      <c r="S2327">
        <f>_xlfn.NUMBERVALUE("-0.001361")</f>
        <v/>
      </c>
      <c r="T2327">
        <f>_xlfn.NUMBERVALUE("-0.001275")</f>
        <v/>
      </c>
      <c r="U2327">
        <f>_xlfn.NUMBERVALUE("0.000374")</f>
        <v/>
      </c>
      <c r="V2327">
        <f>_xlfn.NUMBERVALUE("-0.000088")</f>
        <v/>
      </c>
      <c r="W2327">
        <f>_xlfn.NUMBERVALUE("0.003044")</f>
        <v/>
      </c>
      <c r="X2327">
        <f>_xlfn.NUMBERVALUE("0.230000")</f>
        <v/>
      </c>
      <c r="Y2327">
        <f>_xlfn.NUMBERVALUE("13.010000")</f>
        <v/>
      </c>
    </row>
    <row r="2328">
      <c r="A2328" s="1" t="n">
        <v>45383</v>
      </c>
      <c r="B2328">
        <f>_xlfn.NUMBERVALUE("0.000217")</f>
        <v/>
      </c>
      <c r="C2328" s="2">
        <f>_xlfn.NUMBERVALUE("0.001121")</f>
        <v/>
      </c>
      <c r="D2328">
        <f>_xlfn.NUMBERVALUE("0.000876")</f>
        <v/>
      </c>
      <c r="E2328">
        <f>_xlfn.NUMBERVALUE("-0.000128")</f>
        <v/>
      </c>
      <c r="F2328">
        <f>_xlfn.NUMBERVALUE("-0.000025")</f>
        <v/>
      </c>
      <c r="G2328">
        <f>_xlfn.NUMBERVALUE("-0.002334")</f>
        <v/>
      </c>
      <c r="H2328">
        <f>_xlfn.NUMBERVALUE("-0.000640")</f>
        <v/>
      </c>
      <c r="I2328">
        <f>_xlfn.NUMBERVALUE("0.001334")</f>
        <v/>
      </c>
      <c r="J2328">
        <f>_xlfn.NUMBERVALUE("-0.003947")</f>
        <v/>
      </c>
      <c r="K2328">
        <f>_xlfn.NUMBERVALUE("0.003129")</f>
        <v/>
      </c>
      <c r="L2328">
        <f>_xlfn.NUMBERVALUE("-0.003487")</f>
        <v/>
      </c>
      <c r="M2328">
        <f>_xlfn.NUMBERVALUE("0.000035")</f>
        <v/>
      </c>
      <c r="N2328">
        <f>_xlfn.NUMBERVALUE("0.000464")</f>
        <v/>
      </c>
      <c r="O2328">
        <f>_xlfn.NUMBERVALUE("0.000611")</f>
        <v/>
      </c>
      <c r="P2328">
        <f>_xlfn.NUMBERVALUE("0.001458")</f>
        <v/>
      </c>
      <c r="Q2328">
        <f>_xlfn.NUMBERVALUE("0.000833")</f>
        <v/>
      </c>
      <c r="R2328">
        <f>_xlfn.NUMBERVALUE("0.001222")</f>
        <v/>
      </c>
      <c r="S2328">
        <f>_xlfn.NUMBERVALUE("0.000471")</f>
        <v/>
      </c>
      <c r="T2328">
        <f>_xlfn.NUMBERVALUE("0.000477")</f>
        <v/>
      </c>
      <c r="U2328">
        <f>_xlfn.NUMBERVALUE("-0.000120")</f>
        <v/>
      </c>
      <c r="V2328">
        <f>_xlfn.NUMBERVALUE("0.001256")</f>
        <v/>
      </c>
      <c r="W2328">
        <f>_xlfn.NUMBERVALUE("-0.003455")</f>
        <v/>
      </c>
      <c r="X2328">
        <f>_xlfn.NUMBERVALUE("0.640000")</f>
        <v/>
      </c>
      <c r="Y2328">
        <f>_xlfn.NUMBERVALUE("13.650000")</f>
        <v/>
      </c>
    </row>
    <row r="2329">
      <c r="A2329" s="1" t="n">
        <v>45384</v>
      </c>
      <c r="B2329">
        <f>_xlfn.NUMBERVALUE("-0.003351")</f>
        <v/>
      </c>
      <c r="C2329" s="2">
        <f>_xlfn.NUMBERVALUE("-0.000589")</f>
        <v/>
      </c>
      <c r="D2329">
        <f>_xlfn.NUMBERVALUE("0.000116")</f>
        <v/>
      </c>
      <c r="E2329">
        <f>_xlfn.NUMBERVALUE("-0.001349")</f>
        <v/>
      </c>
      <c r="F2329">
        <f>_xlfn.NUMBERVALUE("-0.001079")</f>
        <v/>
      </c>
      <c r="G2329">
        <f>_xlfn.NUMBERVALUE("0.000245")</f>
        <v/>
      </c>
      <c r="H2329">
        <f>_xlfn.NUMBERVALUE("0.000083")</f>
        <v/>
      </c>
      <c r="I2329">
        <f>_xlfn.NUMBERVALUE("-0.006272")</f>
        <v/>
      </c>
      <c r="J2329">
        <f>_xlfn.NUMBERVALUE("-0.000428")</f>
        <v/>
      </c>
      <c r="K2329">
        <f>_xlfn.NUMBERVALUE("-0.019445")</f>
        <v/>
      </c>
      <c r="L2329">
        <f>_xlfn.NUMBERVALUE("-0.000043")</f>
        <v/>
      </c>
      <c r="M2329">
        <f>_xlfn.NUMBERVALUE("0.000526")</f>
        <v/>
      </c>
      <c r="N2329">
        <f>_xlfn.NUMBERVALUE("0.000072")</f>
        <v/>
      </c>
      <c r="O2329">
        <f>_xlfn.NUMBERVALUE("0.000085")</f>
        <v/>
      </c>
      <c r="P2329">
        <f>_xlfn.NUMBERVALUE("0.001339")</f>
        <v/>
      </c>
      <c r="Q2329">
        <f>_xlfn.NUMBERVALUE("0.000303")</f>
        <v/>
      </c>
      <c r="R2329">
        <f>_xlfn.NUMBERVALUE("-0.000308")</f>
        <v/>
      </c>
      <c r="S2329">
        <f>_xlfn.NUMBERVALUE("-0.000638")</f>
        <v/>
      </c>
      <c r="T2329">
        <f>_xlfn.NUMBERVALUE("0.000625")</f>
        <v/>
      </c>
      <c r="U2329">
        <f>_xlfn.NUMBERVALUE("-0.002505")</f>
        <v/>
      </c>
      <c r="V2329">
        <f>_xlfn.NUMBERVALUE("-0.000734")</f>
        <v/>
      </c>
      <c r="W2329">
        <f>_xlfn.NUMBERVALUE("-0.006704")</f>
        <v/>
      </c>
      <c r="X2329">
        <f>_xlfn.NUMBERVALUE("0.960000")</f>
        <v/>
      </c>
      <c r="Y2329">
        <f>_xlfn.NUMBERVALUE("14.610000")</f>
        <v/>
      </c>
    </row>
    <row r="2330">
      <c r="A2330" s="1" t="n">
        <v>45385</v>
      </c>
      <c r="B2330">
        <f>_xlfn.NUMBERVALUE("0.002597")</f>
        <v/>
      </c>
      <c r="C2330" s="2">
        <f>_xlfn.NUMBERVALUE("0.001296")</f>
        <v/>
      </c>
      <c r="D2330">
        <f>_xlfn.NUMBERVALUE("0.000637")</f>
        <v/>
      </c>
      <c r="E2330">
        <f>_xlfn.NUMBERVALUE("0.000069")</f>
        <v/>
      </c>
      <c r="F2330">
        <f>_xlfn.NUMBERVALUE("0.000055")</f>
        <v/>
      </c>
      <c r="G2330">
        <f>_xlfn.NUMBERVALUE("0.000014")</f>
        <v/>
      </c>
      <c r="H2330">
        <f>_xlfn.NUMBERVALUE("-0.000353")</f>
        <v/>
      </c>
      <c r="I2330">
        <f>_xlfn.NUMBERVALUE("0.000899")</f>
        <v/>
      </c>
      <c r="J2330">
        <f>_xlfn.NUMBERVALUE("0.000214")</f>
        <v/>
      </c>
      <c r="K2330">
        <f>_xlfn.NUMBERVALUE("-0.002562")</f>
        <v/>
      </c>
      <c r="L2330">
        <f>_xlfn.NUMBERVALUE("0.000085")</f>
        <v/>
      </c>
      <c r="M2330">
        <f>_xlfn.NUMBERVALUE("-0.000253")</f>
        <v/>
      </c>
      <c r="N2330">
        <f>_xlfn.NUMBERVALUE("-0.000594")</f>
        <v/>
      </c>
      <c r="O2330">
        <f>_xlfn.NUMBERVALUE("-0.000129")</f>
        <v/>
      </c>
      <c r="P2330">
        <f>_xlfn.NUMBERVALUE("0.000484")</f>
        <v/>
      </c>
      <c r="Q2330">
        <f>_xlfn.NUMBERVALUE("-0.000534")</f>
        <v/>
      </c>
      <c r="R2330">
        <f>_xlfn.NUMBERVALUE("0.000582")</f>
        <v/>
      </c>
      <c r="S2330">
        <f>_xlfn.NUMBERVALUE("-0.002282")</f>
        <v/>
      </c>
      <c r="T2330">
        <f>_xlfn.NUMBERVALUE("0.000895")</f>
        <v/>
      </c>
      <c r="U2330">
        <f>_xlfn.NUMBERVALUE("0.001220")</f>
        <v/>
      </c>
      <c r="V2330">
        <f>_xlfn.NUMBERVALUE("0.001291")</f>
        <v/>
      </c>
      <c r="W2330">
        <f>_xlfn.NUMBERVALUE("0.001813")</f>
        <v/>
      </c>
      <c r="X2330">
        <f>_xlfn.NUMBERVALUE("-0.280000")</f>
        <v/>
      </c>
      <c r="Y2330">
        <f>_xlfn.NUMBERVALUE("14.330000")</f>
        <v/>
      </c>
    </row>
    <row r="2331">
      <c r="A2331" s="1" t="n">
        <v>45386</v>
      </c>
      <c r="B2331">
        <f>_xlfn.NUMBERVALUE("-0.002689")</f>
        <v/>
      </c>
      <c r="C2331" s="2">
        <f>_xlfn.NUMBERVALUE("-0.007156")</f>
        <v/>
      </c>
      <c r="D2331">
        <f>_xlfn.NUMBERVALUE("-0.000813")</f>
        <v/>
      </c>
      <c r="E2331">
        <f>_xlfn.NUMBERVALUE("-0.002365")</f>
        <v/>
      </c>
      <c r="F2331">
        <f>_xlfn.NUMBERVALUE("0.000155")</f>
        <v/>
      </c>
      <c r="G2331">
        <f>_xlfn.NUMBERVALUE("-0.000552")</f>
        <v/>
      </c>
      <c r="H2331">
        <f>_xlfn.NUMBERVALUE("0.000317")</f>
        <v/>
      </c>
      <c r="I2331">
        <f>_xlfn.NUMBERVALUE("-0.002306")</f>
        <v/>
      </c>
      <c r="J2331">
        <f>_xlfn.NUMBERVALUE("-0.000402")</f>
        <v/>
      </c>
      <c r="K2331">
        <f>_xlfn.NUMBERVALUE("0.000170")</f>
        <v/>
      </c>
      <c r="L2331">
        <f>_xlfn.NUMBERVALUE("-0.000751")</f>
        <v/>
      </c>
      <c r="M2331">
        <f>_xlfn.NUMBERVALUE("-0.001873")</f>
        <v/>
      </c>
      <c r="N2331">
        <f>_xlfn.NUMBERVALUE("-0.002258")</f>
        <v/>
      </c>
      <c r="O2331">
        <f>_xlfn.NUMBERVALUE("0.000195")</f>
        <v/>
      </c>
      <c r="P2331">
        <f>_xlfn.NUMBERVALUE("-0.002572")</f>
        <v/>
      </c>
      <c r="Q2331">
        <f>_xlfn.NUMBERVALUE("-0.002016")</f>
        <v/>
      </c>
      <c r="R2331">
        <f>_xlfn.NUMBERVALUE("-0.002527")</f>
        <v/>
      </c>
      <c r="S2331">
        <f>_xlfn.NUMBERVALUE("-0.000805")</f>
        <v/>
      </c>
      <c r="T2331">
        <f>_xlfn.NUMBERVALUE("-0.001548")</f>
        <v/>
      </c>
      <c r="U2331">
        <f>_xlfn.NUMBERVALUE("-0.003053")</f>
        <v/>
      </c>
      <c r="V2331">
        <f>_xlfn.NUMBERVALUE("-0.005375")</f>
        <v/>
      </c>
      <c r="W2331">
        <f>_xlfn.NUMBERVALUE("-0.011202")</f>
        <v/>
      </c>
      <c r="X2331">
        <f>_xlfn.NUMBERVALUE("2.020000")</f>
        <v/>
      </c>
      <c r="Y2331">
        <f>_xlfn.NUMBERVALUE("16.350000")</f>
        <v/>
      </c>
    </row>
    <row r="2332">
      <c r="A2332" s="1" t="n">
        <v>45387</v>
      </c>
      <c r="B2332">
        <f>_xlfn.NUMBERVALUE("0.003300")</f>
        <v/>
      </c>
      <c r="C2332" s="2">
        <f>_xlfn.NUMBERVALUE("0.004299")</f>
        <v/>
      </c>
      <c r="D2332">
        <f>_xlfn.NUMBERVALUE("0.002467")</f>
        <v/>
      </c>
      <c r="E2332">
        <f>_xlfn.NUMBERVALUE("0.003127")</f>
        <v/>
      </c>
      <c r="F2332">
        <f>_xlfn.NUMBERVALUE("0.000204")</f>
        <v/>
      </c>
      <c r="G2332">
        <f>_xlfn.NUMBERVALUE("0.000128")</f>
        <v/>
      </c>
      <c r="H2332">
        <f>_xlfn.NUMBERVALUE("-0.000513")</f>
        <v/>
      </c>
      <c r="I2332">
        <f>_xlfn.NUMBERVALUE("0.004870")</f>
        <v/>
      </c>
      <c r="J2332">
        <f>_xlfn.NUMBERVALUE("0.000489")</f>
        <v/>
      </c>
      <c r="K2332">
        <f>_xlfn.NUMBERVALUE("0.000532")</f>
        <v/>
      </c>
      <c r="L2332">
        <f>_xlfn.NUMBERVALUE("-0.000484")</f>
        <v/>
      </c>
      <c r="M2332">
        <f>_xlfn.NUMBERVALUE("0.000435")</f>
        <v/>
      </c>
      <c r="N2332">
        <f>_xlfn.NUMBERVALUE("0.000931")</f>
        <v/>
      </c>
      <c r="O2332">
        <f>_xlfn.NUMBERVALUE("0.000222")</f>
        <v/>
      </c>
      <c r="P2332">
        <f>_xlfn.NUMBERVALUE("0.000931")</f>
        <v/>
      </c>
      <c r="Q2332">
        <f>_xlfn.NUMBERVALUE("-0.002352")</f>
        <v/>
      </c>
      <c r="R2332">
        <f>_xlfn.NUMBERVALUE("0.002238")</f>
        <v/>
      </c>
      <c r="S2332">
        <f>_xlfn.NUMBERVALUE("0.000592")</f>
        <v/>
      </c>
      <c r="T2332">
        <f>_xlfn.NUMBERVALUE("0.002641")</f>
        <v/>
      </c>
      <c r="U2332">
        <f>_xlfn.NUMBERVALUE("0.003068")</f>
        <v/>
      </c>
      <c r="V2332">
        <f>_xlfn.NUMBERVALUE("0.002304")</f>
        <v/>
      </c>
      <c r="W2332">
        <f>_xlfn.NUMBERVALUE("0.009051")</f>
        <v/>
      </c>
      <c r="X2332">
        <f>_xlfn.NUMBERVALUE("-0.320000")</f>
        <v/>
      </c>
      <c r="Y2332">
        <f>_xlfn.NUMBERVALUE("16.030000")</f>
        <v/>
      </c>
    </row>
    <row r="2333">
      <c r="A2333" s="1" t="n">
        <v>45390</v>
      </c>
      <c r="B2333">
        <f>_xlfn.NUMBERVALUE("0.002510")</f>
        <v/>
      </c>
      <c r="C2333" s="2">
        <f>_xlfn.NUMBERVALUE("0.008319")</f>
        <v/>
      </c>
      <c r="D2333">
        <f>_xlfn.NUMBERVALUE("0.002092")</f>
        <v/>
      </c>
      <c r="E2333">
        <f>_xlfn.NUMBERVALUE("0.002223")</f>
        <v/>
      </c>
      <c r="F2333">
        <f>_xlfn.NUMBERVALUE("0.000047")</f>
        <v/>
      </c>
      <c r="G2333">
        <f>_xlfn.NUMBERVALUE("0.000282")</f>
        <v/>
      </c>
      <c r="H2333">
        <f>_xlfn.NUMBERVALUE("-0.000084")</f>
        <v/>
      </c>
      <c r="I2333">
        <f>_xlfn.NUMBERVALUE("0.002492")</f>
        <v/>
      </c>
      <c r="J2333">
        <f>_xlfn.NUMBERVALUE("-0.000280")</f>
        <v/>
      </c>
      <c r="K2333">
        <f>_xlfn.NUMBERVALUE("-0.000413")</f>
        <v/>
      </c>
      <c r="L2333">
        <f>_xlfn.NUMBERVALUE("-0.000199")</f>
        <v/>
      </c>
      <c r="M2333">
        <f>_xlfn.NUMBERVALUE("0.001853")</f>
        <v/>
      </c>
      <c r="N2333">
        <f>_xlfn.NUMBERVALUE("0.002671")</f>
        <v/>
      </c>
      <c r="O2333">
        <f>_xlfn.NUMBERVALUE("0.000211")</f>
        <v/>
      </c>
      <c r="P2333">
        <f>_xlfn.NUMBERVALUE("0.002351")</f>
        <v/>
      </c>
      <c r="Q2333">
        <f>_xlfn.NUMBERVALUE("0.002213")</f>
        <v/>
      </c>
      <c r="R2333">
        <f>_xlfn.NUMBERVALUE("0.001203")</f>
        <v/>
      </c>
      <c r="S2333">
        <f>_xlfn.NUMBERVALUE("0.000194")</f>
        <v/>
      </c>
      <c r="T2333">
        <f>_xlfn.NUMBERVALUE("0.001037")</f>
        <v/>
      </c>
      <c r="U2333">
        <f>_xlfn.NUMBERVALUE("0.002347")</f>
        <v/>
      </c>
      <c r="V2333">
        <f>_xlfn.NUMBERVALUE("0.003962")</f>
        <v/>
      </c>
      <c r="W2333">
        <f>_xlfn.NUMBERVALUE("0.000386")</f>
        <v/>
      </c>
      <c r="X2333">
        <f>_xlfn.NUMBERVALUE("-0.840000")</f>
        <v/>
      </c>
      <c r="Y2333">
        <f>_xlfn.NUMBERVALUE("15.190000")</f>
        <v/>
      </c>
    </row>
    <row r="2334">
      <c r="A2334" s="1" t="n">
        <v>45391</v>
      </c>
      <c r="B2334">
        <f>_xlfn.NUMBERVALUE("0.001242")</f>
        <v/>
      </c>
      <c r="C2334" s="2">
        <f>_xlfn.NUMBERVALUE("-0.000212")</f>
        <v/>
      </c>
      <c r="D2334">
        <f>_xlfn.NUMBERVALUE("-0.000991")</f>
        <v/>
      </c>
      <c r="E2334">
        <f>_xlfn.NUMBERVALUE("0.000258")</f>
        <v/>
      </c>
      <c r="F2334">
        <f>_xlfn.NUMBERVALUE("0.000441")</f>
        <v/>
      </c>
      <c r="G2334">
        <f>_xlfn.NUMBERVALUE("-0.003615")</f>
        <v/>
      </c>
      <c r="H2334">
        <f>_xlfn.NUMBERVALUE("0.000319")</f>
        <v/>
      </c>
      <c r="I2334">
        <f>_xlfn.NUMBERVALUE("0.000060")</f>
        <v/>
      </c>
      <c r="J2334">
        <f>_xlfn.NUMBERVALUE("-0.000274")</f>
        <v/>
      </c>
      <c r="K2334">
        <f>_xlfn.NUMBERVALUE("0.002673")</f>
        <v/>
      </c>
      <c r="L2334">
        <f>_xlfn.NUMBERVALUE("-0.000106")</f>
        <v/>
      </c>
      <c r="M2334">
        <f>_xlfn.NUMBERVALUE("0.000758")</f>
        <v/>
      </c>
      <c r="N2334">
        <f>_xlfn.NUMBERVALUE("0.000548")</f>
        <v/>
      </c>
      <c r="O2334">
        <f>_xlfn.NUMBERVALUE("0.000097")</f>
        <v/>
      </c>
      <c r="P2334">
        <f>_xlfn.NUMBERVALUE("0.000625")</f>
        <v/>
      </c>
      <c r="Q2334">
        <f>_xlfn.NUMBERVALUE("0.001133")</f>
        <v/>
      </c>
      <c r="R2334">
        <f>_xlfn.NUMBERVALUE("0.000447")</f>
        <v/>
      </c>
      <c r="S2334">
        <f>_xlfn.NUMBERVALUE("0.000067")</f>
        <v/>
      </c>
      <c r="T2334">
        <f>_xlfn.NUMBERVALUE("0.000291")</f>
        <v/>
      </c>
      <c r="U2334">
        <f>_xlfn.NUMBERVALUE("0.001415")</f>
        <v/>
      </c>
      <c r="V2334">
        <f>_xlfn.NUMBERVALUE("0.000093")</f>
        <v/>
      </c>
      <c r="W2334">
        <f>_xlfn.NUMBERVALUE("-0.001947")</f>
        <v/>
      </c>
      <c r="X2334">
        <f>_xlfn.NUMBERVALUE("-0.210000")</f>
        <v/>
      </c>
      <c r="Y2334">
        <f>_xlfn.NUMBERVALUE("14.980000")</f>
        <v/>
      </c>
    </row>
    <row r="2335">
      <c r="A2335" s="1" t="n">
        <v>45392</v>
      </c>
      <c r="B2335">
        <f>_xlfn.NUMBERVALUE("-0.000982")</f>
        <v/>
      </c>
      <c r="C2335" s="2">
        <f>_xlfn.NUMBERVALUE("-0.000381")</f>
        <v/>
      </c>
      <c r="D2335">
        <f>_xlfn.NUMBERVALUE("-0.000516")</f>
        <v/>
      </c>
      <c r="E2335">
        <f>_xlfn.NUMBERVALUE("-0.001512")</f>
        <v/>
      </c>
      <c r="F2335">
        <f>_xlfn.NUMBERVALUE("-0.001178")</f>
        <v/>
      </c>
      <c r="G2335">
        <f>_xlfn.NUMBERVALUE("0.000002")</f>
        <v/>
      </c>
      <c r="H2335">
        <f>_xlfn.NUMBERVALUE("-0.004942")</f>
        <v/>
      </c>
      <c r="I2335">
        <f>_xlfn.NUMBERVALUE("-0.004435")</f>
        <v/>
      </c>
      <c r="J2335">
        <f>_xlfn.NUMBERVALUE("-0.003467")</f>
        <v/>
      </c>
      <c r="K2335">
        <f>_xlfn.NUMBERVALUE("0.001797")</f>
        <v/>
      </c>
      <c r="L2335">
        <f>_xlfn.NUMBERVALUE("-0.006711")</f>
        <v/>
      </c>
      <c r="M2335">
        <f>_xlfn.NUMBERVALUE("0.000276")</f>
        <v/>
      </c>
      <c r="N2335">
        <f>_xlfn.NUMBERVALUE("0.001554")</f>
        <v/>
      </c>
      <c r="O2335">
        <f>_xlfn.NUMBERVALUE("0.000082")</f>
        <v/>
      </c>
      <c r="P2335">
        <f>_xlfn.NUMBERVALUE("0.002703")</f>
        <v/>
      </c>
      <c r="Q2335">
        <f>_xlfn.NUMBERVALUE("0.001924")</f>
        <v/>
      </c>
      <c r="R2335">
        <f>_xlfn.NUMBERVALUE("0.000090")</f>
        <v/>
      </c>
      <c r="S2335">
        <f>_xlfn.NUMBERVALUE("0.000060")</f>
        <v/>
      </c>
      <c r="T2335">
        <f>_xlfn.NUMBERVALUE("0.000355")</f>
        <v/>
      </c>
      <c r="U2335">
        <f>_xlfn.NUMBERVALUE("-0.002241")</f>
        <v/>
      </c>
      <c r="V2335">
        <f>_xlfn.NUMBERVALUE("0.000200")</f>
        <v/>
      </c>
      <c r="W2335">
        <f>_xlfn.NUMBERVALUE("-0.006470")</f>
        <v/>
      </c>
      <c r="X2335">
        <f>_xlfn.NUMBERVALUE("0.820000")</f>
        <v/>
      </c>
      <c r="Y2335">
        <f>_xlfn.NUMBERVALUE("15.800000")</f>
        <v/>
      </c>
    </row>
    <row r="2336">
      <c r="A2336" s="1" t="n">
        <v>45393</v>
      </c>
      <c r="B2336">
        <f>_xlfn.NUMBERVALUE("0.004016")</f>
        <v/>
      </c>
      <c r="C2336" s="2">
        <f>_xlfn.NUMBERVALUE("0.000931")</f>
        <v/>
      </c>
      <c r="D2336">
        <f>_xlfn.NUMBERVALUE("0.001447")</f>
        <v/>
      </c>
      <c r="E2336">
        <f>_xlfn.NUMBERVALUE("0.001298")</f>
        <v/>
      </c>
      <c r="F2336">
        <f>_xlfn.NUMBERVALUE("-0.001574")</f>
        <v/>
      </c>
      <c r="G2336">
        <f>_xlfn.NUMBERVALUE("-0.002042")</f>
        <v/>
      </c>
      <c r="H2336">
        <f>_xlfn.NUMBERVALUE("0.000672")</f>
        <v/>
      </c>
      <c r="I2336">
        <f>_xlfn.NUMBERVALUE("0.002099")</f>
        <v/>
      </c>
      <c r="J2336">
        <f>_xlfn.NUMBERVALUE("-0.000352")</f>
        <v/>
      </c>
      <c r="K2336">
        <f>_xlfn.NUMBERVALUE("0.000961")</f>
        <v/>
      </c>
      <c r="L2336">
        <f>_xlfn.NUMBERVALUE("0.000517")</f>
        <v/>
      </c>
      <c r="M2336">
        <f>_xlfn.NUMBERVALUE("0.000759")</f>
        <v/>
      </c>
      <c r="N2336">
        <f>_xlfn.NUMBERVALUE("0.000407")</f>
        <v/>
      </c>
      <c r="O2336">
        <f>_xlfn.NUMBERVALUE("0.000091")</f>
        <v/>
      </c>
      <c r="P2336">
        <f>_xlfn.NUMBERVALUE("0.002891")</f>
        <v/>
      </c>
      <c r="Q2336">
        <f>_xlfn.NUMBERVALUE("0.000764")</f>
        <v/>
      </c>
      <c r="R2336">
        <f>_xlfn.NUMBERVALUE("0.000012")</f>
        <v/>
      </c>
      <c r="S2336">
        <f>_xlfn.NUMBERVALUE("-0.000063")</f>
        <v/>
      </c>
      <c r="T2336">
        <f>_xlfn.NUMBERVALUE("0.000265")</f>
        <v/>
      </c>
      <c r="U2336">
        <f>_xlfn.NUMBERVALUE("0.000870")</f>
        <v/>
      </c>
      <c r="V2336">
        <f>_xlfn.NUMBERVALUE("-0.000243")</f>
        <v/>
      </c>
      <c r="W2336">
        <f>_xlfn.NUMBERVALUE("0.009234")</f>
        <v/>
      </c>
      <c r="X2336">
        <f>_xlfn.NUMBERVALUE("-0.890000")</f>
        <v/>
      </c>
      <c r="Y2336">
        <f>_xlfn.NUMBERVALUE("14.910000")</f>
        <v/>
      </c>
    </row>
    <row r="2337">
      <c r="A2337" s="1" t="n">
        <v>45394</v>
      </c>
      <c r="B2337">
        <f>_xlfn.NUMBERVALUE("-0.006527")</f>
        <v/>
      </c>
      <c r="C2337" s="2">
        <f>_xlfn.NUMBERVALUE("-0.003697")</f>
        <v/>
      </c>
      <c r="D2337">
        <f>_xlfn.NUMBERVALUE("-0.007658")</f>
        <v/>
      </c>
      <c r="E2337">
        <f>_xlfn.NUMBERVALUE("-0.003710")</f>
        <v/>
      </c>
      <c r="F2337">
        <f>_xlfn.NUMBERVALUE("-0.004156")</f>
        <v/>
      </c>
      <c r="G2337">
        <f>_xlfn.NUMBERVALUE("-0.000540")</f>
        <v/>
      </c>
      <c r="H2337">
        <f>_xlfn.NUMBERVALUE("-0.001311")</f>
        <v/>
      </c>
      <c r="I2337">
        <f>_xlfn.NUMBERVALUE("-0.002813")</f>
        <v/>
      </c>
      <c r="J2337">
        <f>_xlfn.NUMBERVALUE("-0.000167")</f>
        <v/>
      </c>
      <c r="K2337">
        <f>_xlfn.NUMBERVALUE("-0.004441")</f>
        <v/>
      </c>
      <c r="L2337">
        <f>_xlfn.NUMBERVALUE("-0.000743")</f>
        <v/>
      </c>
      <c r="M2337">
        <f>_xlfn.NUMBERVALUE("-0.007847")</f>
        <v/>
      </c>
      <c r="N2337">
        <f>_xlfn.NUMBERVALUE("-0.002161")</f>
        <v/>
      </c>
      <c r="O2337">
        <f>_xlfn.NUMBERVALUE("-0.006623")</f>
        <v/>
      </c>
      <c r="P2337">
        <f>_xlfn.NUMBERVALUE("-0.003748")</f>
        <v/>
      </c>
      <c r="Q2337">
        <f>_xlfn.NUMBERVALUE("-0.005587")</f>
        <v/>
      </c>
      <c r="R2337">
        <f>_xlfn.NUMBERVALUE("-0.004040")</f>
        <v/>
      </c>
      <c r="S2337">
        <f>_xlfn.NUMBERVALUE("-0.002729")</f>
        <v/>
      </c>
      <c r="T2337">
        <f>_xlfn.NUMBERVALUE("-0.002106")</f>
        <v/>
      </c>
      <c r="U2337">
        <f>_xlfn.NUMBERVALUE("-0.006713")</f>
        <v/>
      </c>
      <c r="V2337">
        <f>_xlfn.NUMBERVALUE("-0.003809")</f>
        <v/>
      </c>
      <c r="W2337">
        <f>_xlfn.NUMBERVALUE("-0.016276")</f>
        <v/>
      </c>
      <c r="X2337">
        <f>_xlfn.NUMBERVALUE("2.400000")</f>
        <v/>
      </c>
      <c r="Y2337">
        <f>_xlfn.NUMBERVALUE("17.310000")</f>
        <v/>
      </c>
    </row>
    <row r="2338">
      <c r="A2338" s="1" t="n">
        <v>45397</v>
      </c>
      <c r="B2338">
        <f>_xlfn.NUMBERVALUE("-0.004887")</f>
        <v/>
      </c>
      <c r="C2338" s="2">
        <f>_xlfn.NUMBERVALUE("-0.000092")</f>
        <v/>
      </c>
      <c r="D2338">
        <f>_xlfn.NUMBERVALUE("-0.000009")</f>
        <v/>
      </c>
      <c r="E2338">
        <f>_xlfn.NUMBERVALUE("-0.001101")</f>
        <v/>
      </c>
      <c r="F2338">
        <f>_xlfn.NUMBERVALUE("-0.003448")</f>
        <v/>
      </c>
      <c r="G2338">
        <f>_xlfn.NUMBERVALUE("0.000969")</f>
        <v/>
      </c>
      <c r="H2338">
        <f>_xlfn.NUMBERVALUE("-0.001477")</f>
        <v/>
      </c>
      <c r="I2338">
        <f>_xlfn.NUMBERVALUE("-0.001320")</f>
        <v/>
      </c>
      <c r="J2338">
        <f>_xlfn.NUMBERVALUE("-0.002314")</f>
        <v/>
      </c>
      <c r="K2338">
        <f>_xlfn.NUMBERVALUE("-0.001296")</f>
        <v/>
      </c>
      <c r="L2338">
        <f>_xlfn.NUMBERVALUE("-0.002953")</f>
        <v/>
      </c>
      <c r="M2338">
        <f>_xlfn.NUMBERVALUE("-0.001090")</f>
        <v/>
      </c>
      <c r="N2338">
        <f>_xlfn.NUMBERVALUE("0.000354")</f>
        <v/>
      </c>
      <c r="O2338">
        <f>_xlfn.NUMBERVALUE("0.001718")</f>
        <v/>
      </c>
      <c r="P2338">
        <f>_xlfn.NUMBERVALUE("0.001238")</f>
        <v/>
      </c>
      <c r="Q2338">
        <f>_xlfn.NUMBERVALUE("0.000510")</f>
        <v/>
      </c>
      <c r="R2338">
        <f>_xlfn.NUMBERVALUE("-0.001412")</f>
        <v/>
      </c>
      <c r="S2338">
        <f>_xlfn.NUMBERVALUE("-0.000703")</f>
        <v/>
      </c>
      <c r="T2338">
        <f>_xlfn.NUMBERVALUE("-0.000507")</f>
        <v/>
      </c>
      <c r="U2338">
        <f>_xlfn.NUMBERVALUE("-0.000337")</f>
        <v/>
      </c>
      <c r="V2338">
        <f>_xlfn.NUMBERVALUE("-0.001567")</f>
        <v/>
      </c>
      <c r="W2338">
        <f>_xlfn.NUMBERVALUE("-0.012159")</f>
        <v/>
      </c>
      <c r="X2338">
        <f>_xlfn.NUMBERVALUE("1.920000")</f>
        <v/>
      </c>
      <c r="Y2338">
        <f>_xlfn.NUMBERVALUE("19.230000")</f>
        <v/>
      </c>
    </row>
    <row r="2339">
      <c r="A2339" s="1" t="n">
        <v>45398</v>
      </c>
      <c r="B2339">
        <f>_xlfn.NUMBERVALUE("0.000312")</f>
        <v/>
      </c>
      <c r="C2339" s="2">
        <f>_xlfn.NUMBERVALUE("0.000798")</f>
        <v/>
      </c>
      <c r="D2339">
        <f>_xlfn.NUMBERVALUE("-0.000540")</f>
        <v/>
      </c>
      <c r="E2339">
        <f>_xlfn.NUMBERVALUE("-0.000238")</f>
        <v/>
      </c>
      <c r="F2339">
        <f>_xlfn.NUMBERVALUE("0.003336")</f>
        <v/>
      </c>
      <c r="G2339">
        <f>_xlfn.NUMBERVALUE("0.000795")</f>
        <v/>
      </c>
      <c r="H2339">
        <f>_xlfn.NUMBERVALUE("0.000483")</f>
        <v/>
      </c>
      <c r="I2339">
        <f>_xlfn.NUMBERVALUE("0.000590")</f>
        <v/>
      </c>
      <c r="J2339">
        <f>_xlfn.NUMBERVALUE("-0.000886")</f>
        <v/>
      </c>
      <c r="K2339">
        <f>_xlfn.NUMBERVALUE("0.002826")</f>
        <v/>
      </c>
      <c r="L2339">
        <f>_xlfn.NUMBERVALUE("0.000406")</f>
        <v/>
      </c>
      <c r="M2339">
        <f>_xlfn.NUMBERVALUE("0.001037")</f>
        <v/>
      </c>
      <c r="N2339">
        <f>_xlfn.NUMBERVALUE("0.002760")</f>
        <v/>
      </c>
      <c r="O2339">
        <f>_xlfn.NUMBERVALUE("0.001411")</f>
        <v/>
      </c>
      <c r="P2339">
        <f>_xlfn.NUMBERVALUE("0.001901")</f>
        <v/>
      </c>
      <c r="Q2339">
        <f>_xlfn.NUMBERVALUE("0.001221")</f>
        <v/>
      </c>
      <c r="R2339">
        <f>_xlfn.NUMBERVALUE("0.000493")</f>
        <v/>
      </c>
      <c r="S2339">
        <f>_xlfn.NUMBERVALUE("0.001266")</f>
        <v/>
      </c>
      <c r="T2339">
        <f>_xlfn.NUMBERVALUE("-0.001183")</f>
        <v/>
      </c>
      <c r="U2339">
        <f>_xlfn.NUMBERVALUE("0.001821")</f>
        <v/>
      </c>
      <c r="V2339">
        <f>_xlfn.NUMBERVALUE("-0.000673")</f>
        <v/>
      </c>
      <c r="W2339">
        <f>_xlfn.NUMBERVALUE("0.000079")</f>
        <v/>
      </c>
      <c r="X2339">
        <f>_xlfn.NUMBERVALUE("-0.830000")</f>
        <v/>
      </c>
      <c r="Y2339">
        <f>_xlfn.NUMBERVALUE("18.400000")</f>
        <v/>
      </c>
    </row>
    <row r="2340">
      <c r="A2340" s="1" t="n">
        <v>45399</v>
      </c>
      <c r="B2340">
        <f>_xlfn.NUMBERVALUE("-0.000506")</f>
        <v/>
      </c>
      <c r="C2340" s="2">
        <f>_xlfn.NUMBERVALUE("0.000080")</f>
        <v/>
      </c>
      <c r="D2340">
        <f>_xlfn.NUMBERVALUE("0.001275")</f>
        <v/>
      </c>
      <c r="E2340">
        <f>_xlfn.NUMBERVALUE("0.001005")</f>
        <v/>
      </c>
      <c r="F2340">
        <f>_xlfn.NUMBERVALUE("0.002409")</f>
        <v/>
      </c>
      <c r="G2340">
        <f>_xlfn.NUMBERVALUE("-0.000573")</f>
        <v/>
      </c>
      <c r="H2340">
        <f>_xlfn.NUMBERVALUE("0.000843")</f>
        <v/>
      </c>
      <c r="I2340">
        <f>_xlfn.NUMBERVALUE("-0.000090")</f>
        <v/>
      </c>
      <c r="J2340">
        <f>_xlfn.NUMBERVALUE("0.001334")</f>
        <v/>
      </c>
      <c r="K2340">
        <f>_xlfn.NUMBERVALUE("0.005508")</f>
        <v/>
      </c>
      <c r="L2340">
        <f>_xlfn.NUMBERVALUE("0.001005")</f>
        <v/>
      </c>
      <c r="M2340">
        <f>_xlfn.NUMBERVALUE("0.001590")</f>
        <v/>
      </c>
      <c r="N2340">
        <f>_xlfn.NUMBERVALUE("0.001303")</f>
        <v/>
      </c>
      <c r="O2340">
        <f>_xlfn.NUMBERVALUE("-0.000388")</f>
        <v/>
      </c>
      <c r="P2340">
        <f>_xlfn.NUMBERVALUE("0.000735")</f>
        <v/>
      </c>
      <c r="Q2340">
        <f>_xlfn.NUMBERVALUE("0.000295")</f>
        <v/>
      </c>
      <c r="R2340">
        <f>_xlfn.NUMBERVALUE("-0.001053")</f>
        <v/>
      </c>
      <c r="S2340">
        <f>_xlfn.NUMBERVALUE("0.000060")</f>
        <v/>
      </c>
      <c r="T2340">
        <f>_xlfn.NUMBERVALUE("0.000515")</f>
        <v/>
      </c>
      <c r="U2340">
        <f>_xlfn.NUMBERVALUE("0.000222")</f>
        <v/>
      </c>
      <c r="V2340">
        <f>_xlfn.NUMBERVALUE("0.002193")</f>
        <v/>
      </c>
      <c r="W2340">
        <f>_xlfn.NUMBERVALUE("-0.006699")</f>
        <v/>
      </c>
      <c r="X2340">
        <f>_xlfn.NUMBERVALUE("-0.190000")</f>
        <v/>
      </c>
      <c r="Y2340">
        <f>_xlfn.NUMBERVALUE("18.210000")</f>
        <v/>
      </c>
    </row>
    <row r="2341">
      <c r="A2341" s="1" t="n">
        <v>45400</v>
      </c>
      <c r="B2341">
        <f>_xlfn.NUMBERVALUE("0.000287")</f>
        <v/>
      </c>
      <c r="C2341" s="2">
        <f>_xlfn.NUMBERVALUE("0.000373")</f>
        <v/>
      </c>
      <c r="D2341">
        <f>_xlfn.NUMBERVALUE("0.000264")</f>
        <v/>
      </c>
      <c r="E2341">
        <f>_xlfn.NUMBERVALUE("-0.000164")</f>
        <v/>
      </c>
      <c r="F2341">
        <f>_xlfn.NUMBERVALUE("0.001470")</f>
        <v/>
      </c>
      <c r="G2341">
        <f>_xlfn.NUMBERVALUE("0.002222")</f>
        <v/>
      </c>
      <c r="H2341">
        <f>_xlfn.NUMBERVALUE("-0.000222")</f>
        <v/>
      </c>
      <c r="I2341">
        <f>_xlfn.NUMBERVALUE("0.000243")</f>
        <v/>
      </c>
      <c r="J2341">
        <f>_xlfn.NUMBERVALUE("-0.000574")</f>
        <v/>
      </c>
      <c r="K2341">
        <f>_xlfn.NUMBERVALUE("0.003250")</f>
        <v/>
      </c>
      <c r="L2341">
        <f>_xlfn.NUMBERVALUE("-0.000422")</f>
        <v/>
      </c>
      <c r="M2341">
        <f>_xlfn.NUMBERVALUE("0.001175")</f>
        <v/>
      </c>
      <c r="N2341">
        <f>_xlfn.NUMBERVALUE("0.003261")</f>
        <v/>
      </c>
      <c r="O2341">
        <f>_xlfn.NUMBERVALUE("0.001319")</f>
        <v/>
      </c>
      <c r="P2341">
        <f>_xlfn.NUMBERVALUE("0.001276")</f>
        <v/>
      </c>
      <c r="Q2341">
        <f>_xlfn.NUMBERVALUE("0.000665")</f>
        <v/>
      </c>
      <c r="R2341">
        <f>_xlfn.NUMBERVALUE("-0.001637")</f>
        <v/>
      </c>
      <c r="S2341">
        <f>_xlfn.NUMBERVALUE("0.000319")</f>
        <v/>
      </c>
      <c r="T2341">
        <f>_xlfn.NUMBERVALUE("-0.000939")</f>
        <v/>
      </c>
      <c r="U2341">
        <f>_xlfn.NUMBERVALUE("0.000168")</f>
        <v/>
      </c>
      <c r="V2341">
        <f>_xlfn.NUMBERVALUE("0.000234")</f>
        <v/>
      </c>
      <c r="W2341">
        <f>_xlfn.NUMBERVALUE("-0.002315")</f>
        <v/>
      </c>
      <c r="X2341">
        <f>_xlfn.NUMBERVALUE("-0.210000")</f>
        <v/>
      </c>
      <c r="Y2341">
        <f>_xlfn.NUMBERVALUE("18.000000")</f>
        <v/>
      </c>
    </row>
    <row r="2342">
      <c r="A2342" s="1" t="n">
        <v>45401</v>
      </c>
      <c r="B2342">
        <f>_xlfn.NUMBERVALUE("-0.000212")</f>
        <v/>
      </c>
      <c r="C2342" s="2">
        <f>_xlfn.NUMBERVALUE("-0.000354")</f>
        <v/>
      </c>
      <c r="D2342">
        <f>_xlfn.NUMBERVALUE("-0.001268")</f>
        <v/>
      </c>
      <c r="E2342">
        <f>_xlfn.NUMBERVALUE("0.000027")</f>
        <v/>
      </c>
      <c r="F2342">
        <f>_xlfn.NUMBERVALUE("0.000866")</f>
        <v/>
      </c>
      <c r="G2342">
        <f>_xlfn.NUMBERVALUE("-0.000413")</f>
        <v/>
      </c>
      <c r="H2342">
        <f>_xlfn.NUMBERVALUE("-0.000639")</f>
        <v/>
      </c>
      <c r="I2342">
        <f>_xlfn.NUMBERVALUE("0.000293")</f>
        <v/>
      </c>
      <c r="J2342">
        <f>_xlfn.NUMBERVALUE("-0.000028")</f>
        <v/>
      </c>
      <c r="K2342">
        <f>_xlfn.NUMBERVALUE("-0.001519")</f>
        <v/>
      </c>
      <c r="L2342">
        <f>_xlfn.NUMBERVALUE("-0.000169")</f>
        <v/>
      </c>
      <c r="M2342">
        <f>_xlfn.NUMBERVALUE("-0.000817")</f>
        <v/>
      </c>
      <c r="N2342">
        <f>_xlfn.NUMBERVALUE("-0.003418")</f>
        <v/>
      </c>
      <c r="O2342">
        <f>_xlfn.NUMBERVALUE("-0.000057")</f>
        <v/>
      </c>
      <c r="P2342">
        <f>_xlfn.NUMBERVALUE("-0.001509")</f>
        <v/>
      </c>
      <c r="Q2342">
        <f>_xlfn.NUMBERVALUE("-0.000377")</f>
        <v/>
      </c>
      <c r="R2342">
        <f>_xlfn.NUMBERVALUE("-0.002845")</f>
        <v/>
      </c>
      <c r="S2342">
        <f>_xlfn.NUMBERVALUE("-0.000724")</f>
        <v/>
      </c>
      <c r="T2342">
        <f>_xlfn.NUMBERVALUE("-0.003296")</f>
        <v/>
      </c>
      <c r="U2342">
        <f>_xlfn.NUMBERVALUE("-0.001875")</f>
        <v/>
      </c>
      <c r="V2342">
        <f>_xlfn.NUMBERVALUE("-0.000877")</f>
        <v/>
      </c>
      <c r="W2342">
        <f>_xlfn.NUMBERVALUE("-0.011640")</f>
        <v/>
      </c>
      <c r="X2342">
        <f>_xlfn.NUMBERVALUE("0.710000")</f>
        <v/>
      </c>
      <c r="Y2342">
        <f>_xlfn.NUMBERVALUE("18.710000")</f>
        <v/>
      </c>
    </row>
    <row r="2343">
      <c r="A2343" s="1" t="n">
        <v>45404</v>
      </c>
      <c r="B2343">
        <f>_xlfn.NUMBERVALUE("-0.000471")</f>
        <v/>
      </c>
      <c r="C2343" s="2">
        <f>_xlfn.NUMBERVALUE("0.001740")</f>
        <v/>
      </c>
      <c r="D2343">
        <f>_xlfn.NUMBERVALUE("0.001303")</f>
        <v/>
      </c>
      <c r="E2343">
        <f>_xlfn.NUMBERVALUE("0.000221")</f>
        <v/>
      </c>
      <c r="F2343">
        <f>_xlfn.NUMBERVALUE("-0.004905")</f>
        <v/>
      </c>
      <c r="G2343">
        <f>_xlfn.NUMBERVALUE("0.000478")</f>
        <v/>
      </c>
      <c r="H2343">
        <f>_xlfn.NUMBERVALUE("0.001749")</f>
        <v/>
      </c>
      <c r="I2343">
        <f>_xlfn.NUMBERVALUE("0.000896")</f>
        <v/>
      </c>
      <c r="J2343">
        <f>_xlfn.NUMBERVALUE("0.001464")</f>
        <v/>
      </c>
      <c r="K2343">
        <f>_xlfn.NUMBERVALUE("-0.011322")</f>
        <v/>
      </c>
      <c r="L2343">
        <f>_xlfn.NUMBERVALUE("0.001079")</f>
        <v/>
      </c>
      <c r="M2343">
        <f>_xlfn.NUMBERVALUE("0.000724")</f>
        <v/>
      </c>
      <c r="N2343">
        <f>_xlfn.NUMBERVALUE("0.006200")</f>
        <v/>
      </c>
      <c r="O2343">
        <f>_xlfn.NUMBERVALUE("0.002820")</f>
        <v/>
      </c>
      <c r="P2343">
        <f>_xlfn.NUMBERVALUE("0.001051")</f>
        <v/>
      </c>
      <c r="Q2343">
        <f>_xlfn.NUMBERVALUE("0.002549")</f>
        <v/>
      </c>
      <c r="R2343">
        <f>_xlfn.NUMBERVALUE("0.003066")</f>
        <v/>
      </c>
      <c r="S2343">
        <f>_xlfn.NUMBERVALUE("0.000628")</f>
        <v/>
      </c>
      <c r="T2343">
        <f>_xlfn.NUMBERVALUE("0.002059")</f>
        <v/>
      </c>
      <c r="U2343">
        <f>_xlfn.NUMBERVALUE("0.002057")</f>
        <v/>
      </c>
      <c r="V2343">
        <f>_xlfn.NUMBERVALUE("0.000725")</f>
        <v/>
      </c>
      <c r="W2343">
        <f>_xlfn.NUMBERVALUE("0.011271")</f>
        <v/>
      </c>
      <c r="X2343">
        <f>_xlfn.NUMBERVALUE("-1.770000")</f>
        <v/>
      </c>
      <c r="Y2343">
        <f>_xlfn.NUMBERVALUE("16.940000")</f>
        <v/>
      </c>
    </row>
    <row r="2344">
      <c r="A2344" s="1" t="n">
        <v>45405</v>
      </c>
      <c r="B2344">
        <f>_xlfn.NUMBERVALUE("-0.000026")</f>
        <v/>
      </c>
      <c r="C2344" s="2">
        <f>_xlfn.NUMBERVALUE("0.000270")</f>
        <v/>
      </c>
      <c r="D2344">
        <f>_xlfn.NUMBERVALUE("0.001046")</f>
        <v/>
      </c>
      <c r="E2344">
        <f>_xlfn.NUMBERVALUE("0.000220")</f>
        <v/>
      </c>
      <c r="F2344">
        <f>_xlfn.NUMBERVALUE("0.000465")</f>
        <v/>
      </c>
      <c r="G2344">
        <f>_xlfn.NUMBERVALUE("0.000273")</f>
        <v/>
      </c>
      <c r="H2344">
        <f>_xlfn.NUMBERVALUE("-0.000320")</f>
        <v/>
      </c>
      <c r="I2344">
        <f>_xlfn.NUMBERVALUE("-0.000028")</f>
        <v/>
      </c>
      <c r="J2344">
        <f>_xlfn.NUMBERVALUE("0.000542")</f>
        <v/>
      </c>
      <c r="K2344">
        <f>_xlfn.NUMBERVALUE("0.000708")</f>
        <v/>
      </c>
      <c r="L2344">
        <f>_xlfn.NUMBERVALUE("0.000771")</f>
        <v/>
      </c>
      <c r="M2344">
        <f>_xlfn.NUMBERVALUE("0.001026")</f>
        <v/>
      </c>
      <c r="N2344">
        <f>_xlfn.NUMBERVALUE("0.000046")</f>
        <v/>
      </c>
      <c r="O2344">
        <f>_xlfn.NUMBERVALUE("0.001429")</f>
        <v/>
      </c>
      <c r="P2344">
        <f>_xlfn.NUMBERVALUE("0.000806")</f>
        <v/>
      </c>
      <c r="Q2344">
        <f>_xlfn.NUMBERVALUE("0.000538")</f>
        <v/>
      </c>
      <c r="R2344">
        <f>_xlfn.NUMBERVALUE("0.000240")</f>
        <v/>
      </c>
      <c r="S2344">
        <f>_xlfn.NUMBERVALUE("0.001089")</f>
        <v/>
      </c>
      <c r="T2344">
        <f>_xlfn.NUMBERVALUE("0.003118")</f>
        <v/>
      </c>
      <c r="U2344">
        <f>_xlfn.NUMBERVALUE("0.000626")</f>
        <v/>
      </c>
      <c r="V2344">
        <f>_xlfn.NUMBERVALUE("-0.000561")</f>
        <v/>
      </c>
      <c r="W2344">
        <f>_xlfn.NUMBERVALUE("0.011425")</f>
        <v/>
      </c>
      <c r="X2344">
        <f>_xlfn.NUMBERVALUE("-1.250000")</f>
        <v/>
      </c>
      <c r="Y2344">
        <f>_xlfn.NUMBERVALUE("15.690000")</f>
        <v/>
      </c>
    </row>
    <row r="2345">
      <c r="A2345" s="1" t="n">
        <v>45406</v>
      </c>
      <c r="B2345">
        <f>_xlfn.NUMBERVALUE("-0.000202")</f>
        <v/>
      </c>
      <c r="C2345" s="2">
        <f>_xlfn.NUMBERVALUE("0.000845")</f>
        <v/>
      </c>
      <c r="D2345">
        <f>_xlfn.NUMBERVALUE("0.000667")</f>
        <v/>
      </c>
      <c r="E2345">
        <f>_xlfn.NUMBERVALUE("0.000164")</f>
        <v/>
      </c>
      <c r="F2345">
        <f>_xlfn.NUMBERVALUE("0.000976")</f>
        <v/>
      </c>
      <c r="G2345">
        <f>_xlfn.NUMBERVALUE("-0.000781")</f>
        <v/>
      </c>
      <c r="H2345">
        <f>_xlfn.NUMBERVALUE("0.000288")</f>
        <v/>
      </c>
      <c r="I2345">
        <f>_xlfn.NUMBERVALUE("0.000338")</f>
        <v/>
      </c>
      <c r="J2345">
        <f>_xlfn.NUMBERVALUE("-0.000426")</f>
        <v/>
      </c>
      <c r="K2345">
        <f>_xlfn.NUMBERVALUE("0.000150")</f>
        <v/>
      </c>
      <c r="L2345">
        <f>_xlfn.NUMBERVALUE("-0.000664")</f>
        <v/>
      </c>
      <c r="M2345">
        <f>_xlfn.NUMBERVALUE("0.000905")</f>
        <v/>
      </c>
      <c r="N2345">
        <f>_xlfn.NUMBERVALUE("-0.000696")</f>
        <v/>
      </c>
      <c r="O2345">
        <f>_xlfn.NUMBERVALUE("0.000978")</f>
        <v/>
      </c>
      <c r="P2345">
        <f>_xlfn.NUMBERVALUE("0.001562")</f>
        <v/>
      </c>
      <c r="Q2345">
        <f>_xlfn.NUMBERVALUE("-0.000443")</f>
        <v/>
      </c>
      <c r="R2345">
        <f>_xlfn.NUMBERVALUE("0.000359")</f>
        <v/>
      </c>
      <c r="S2345">
        <f>_xlfn.NUMBERVALUE("-0.001224")</f>
        <v/>
      </c>
      <c r="T2345">
        <f>_xlfn.NUMBERVALUE("-0.000777")</f>
        <v/>
      </c>
      <c r="U2345">
        <f>_xlfn.NUMBERVALUE("0.000943")</f>
        <v/>
      </c>
      <c r="V2345">
        <f>_xlfn.NUMBERVALUE("0.001070")</f>
        <v/>
      </c>
      <c r="W2345">
        <f>_xlfn.NUMBERVALUE("0.000277")</f>
        <v/>
      </c>
      <c r="X2345">
        <f>_xlfn.NUMBERVALUE("0.280000")</f>
        <v/>
      </c>
      <c r="Y2345">
        <f>_xlfn.NUMBERVALUE("15.970000")</f>
        <v/>
      </c>
    </row>
    <row r="2346">
      <c r="A2346" s="1" t="n">
        <v>45407</v>
      </c>
      <c r="B2346">
        <f>_xlfn.NUMBERVALUE("-0.000206")</f>
        <v/>
      </c>
      <c r="C2346" s="2">
        <f>_xlfn.NUMBERVALUE("-0.001676")</f>
        <v/>
      </c>
      <c r="D2346">
        <f>_xlfn.NUMBERVALUE("0.001362")</f>
        <v/>
      </c>
      <c r="E2346">
        <f>_xlfn.NUMBERVALUE("-0.000135")</f>
        <v/>
      </c>
      <c r="F2346">
        <f>_xlfn.NUMBERVALUE("0.000993")</f>
        <v/>
      </c>
      <c r="G2346">
        <f>_xlfn.NUMBERVALUE("-0.000390")</f>
        <v/>
      </c>
      <c r="H2346">
        <f>_xlfn.NUMBERVALUE("-0.001123")</f>
        <v/>
      </c>
      <c r="I2346">
        <f>_xlfn.NUMBERVALUE("-0.000392")</f>
        <v/>
      </c>
      <c r="J2346">
        <f>_xlfn.NUMBERVALUE("-0.000307")</f>
        <v/>
      </c>
      <c r="K2346">
        <f>_xlfn.NUMBERVALUE("0.002007")</f>
        <v/>
      </c>
      <c r="L2346">
        <f>_xlfn.NUMBERVALUE("-0.001383")</f>
        <v/>
      </c>
      <c r="M2346">
        <f>_xlfn.NUMBERVALUE("-0.001321")</f>
        <v/>
      </c>
      <c r="N2346">
        <f>_xlfn.NUMBERVALUE("-0.005156")</f>
        <v/>
      </c>
      <c r="O2346">
        <f>_xlfn.NUMBERVALUE("0.000070")</f>
        <v/>
      </c>
      <c r="P2346">
        <f>_xlfn.NUMBERVALUE("0.000482")</f>
        <v/>
      </c>
      <c r="Q2346">
        <f>_xlfn.NUMBERVALUE("0.000110")</f>
        <v/>
      </c>
      <c r="R2346">
        <f>_xlfn.NUMBERVALUE("-0.000014")</f>
        <v/>
      </c>
      <c r="S2346">
        <f>_xlfn.NUMBERVALUE("0.000933")</f>
        <v/>
      </c>
      <c r="T2346">
        <f>_xlfn.NUMBERVALUE("0.001244")</f>
        <v/>
      </c>
      <c r="U2346">
        <f>_xlfn.NUMBERVALUE("0.000640")</f>
        <v/>
      </c>
      <c r="V2346">
        <f>_xlfn.NUMBERVALUE("-0.000628")</f>
        <v/>
      </c>
      <c r="W2346">
        <f>_xlfn.NUMBERVALUE("-0.005399")</f>
        <v/>
      </c>
      <c r="X2346">
        <f>_xlfn.NUMBERVALUE("-0.600000")</f>
        <v/>
      </c>
      <c r="Y2346">
        <f>_xlfn.NUMBERVALUE("15.370000")</f>
        <v/>
      </c>
    </row>
    <row r="2347">
      <c r="A2347" s="1" t="n">
        <v>45408</v>
      </c>
      <c r="B2347">
        <f>_xlfn.NUMBERVALUE("-0.000027")</f>
        <v/>
      </c>
      <c r="C2347" s="2">
        <f>_xlfn.NUMBERVALUE("0.001215")</f>
        <v/>
      </c>
      <c r="D2347">
        <f>_xlfn.NUMBERVALUE("-0.001025")</f>
        <v/>
      </c>
      <c r="E2347">
        <f>_xlfn.NUMBERVALUE("0.000613")</f>
        <v/>
      </c>
      <c r="F2347">
        <f>_xlfn.NUMBERVALUE("0.002680")</f>
        <v/>
      </c>
      <c r="G2347">
        <f>_xlfn.NUMBERVALUE("0.000513")</f>
        <v/>
      </c>
      <c r="H2347">
        <f>_xlfn.NUMBERVALUE("0.000656")</f>
        <v/>
      </c>
      <c r="I2347">
        <f>_xlfn.NUMBERVALUE("0.001003")</f>
        <v/>
      </c>
      <c r="J2347">
        <f>_xlfn.NUMBERVALUE("-0.000298")</f>
        <v/>
      </c>
      <c r="K2347">
        <f>_xlfn.NUMBERVALUE("0.005632")</f>
        <v/>
      </c>
      <c r="L2347">
        <f>_xlfn.NUMBERVALUE("0.001374")</f>
        <v/>
      </c>
      <c r="M2347">
        <f>_xlfn.NUMBERVALUE("0.003306")</f>
        <v/>
      </c>
      <c r="N2347">
        <f>_xlfn.NUMBERVALUE("-0.002945")</f>
        <v/>
      </c>
      <c r="O2347">
        <f>_xlfn.NUMBERVALUE("0.002172")</f>
        <v/>
      </c>
      <c r="P2347">
        <f>_xlfn.NUMBERVALUE("0.002210")</f>
        <v/>
      </c>
      <c r="Q2347">
        <f>_xlfn.NUMBERVALUE("0.002282")</f>
        <v/>
      </c>
      <c r="R2347">
        <f>_xlfn.NUMBERVALUE("0.000623")</f>
        <v/>
      </c>
      <c r="S2347">
        <f>_xlfn.NUMBERVALUE("0.001666")</f>
        <v/>
      </c>
      <c r="T2347">
        <f>_xlfn.NUMBERVALUE("0.000526")</f>
        <v/>
      </c>
      <c r="U2347">
        <f>_xlfn.NUMBERVALUE("0.000342")</f>
        <v/>
      </c>
      <c r="V2347">
        <f>_xlfn.NUMBERVALUE("0.000556")</f>
        <v/>
      </c>
      <c r="W2347">
        <f>_xlfn.NUMBERVALUE("0.011792")</f>
        <v/>
      </c>
      <c r="X2347">
        <f>_xlfn.NUMBERVALUE("-0.340000")</f>
        <v/>
      </c>
      <c r="Y2347">
        <f>_xlfn.NUMBERVALUE("15.030000")</f>
        <v/>
      </c>
    </row>
    <row r="2348">
      <c r="A2348" s="1" t="n">
        <v>45411</v>
      </c>
      <c r="B2348">
        <f>_xlfn.NUMBERVALUE("0.002563")</f>
        <v/>
      </c>
      <c r="C2348" s="2">
        <f>_xlfn.NUMBERVALUE("0.000161")</f>
        <v/>
      </c>
      <c r="D2348">
        <f>_xlfn.NUMBERVALUE("-0.001161")</f>
        <v/>
      </c>
      <c r="E2348">
        <f>_xlfn.NUMBERVALUE("-0.000120")</f>
        <v/>
      </c>
      <c r="F2348">
        <f>_xlfn.NUMBERVALUE("0.000744")</f>
        <v/>
      </c>
      <c r="G2348">
        <f>_xlfn.NUMBERVALUE("0.000058")</f>
        <v/>
      </c>
      <c r="H2348">
        <f>_xlfn.NUMBERVALUE("-0.000561")</f>
        <v/>
      </c>
      <c r="I2348">
        <f>_xlfn.NUMBERVALUE("0.000806")</f>
        <v/>
      </c>
      <c r="J2348">
        <f>_xlfn.NUMBERVALUE("0.000532")</f>
        <v/>
      </c>
      <c r="K2348">
        <f>_xlfn.NUMBERVALUE("0.001256")</f>
        <v/>
      </c>
      <c r="L2348">
        <f>_xlfn.NUMBERVALUE("-0.000408")</f>
        <v/>
      </c>
      <c r="M2348">
        <f>_xlfn.NUMBERVALUE("0.001499")</f>
        <v/>
      </c>
      <c r="N2348">
        <f>_xlfn.NUMBERVALUE("-0.000328")</f>
        <v/>
      </c>
      <c r="O2348">
        <f>_xlfn.NUMBERVALUE("0.000750")</f>
        <v/>
      </c>
      <c r="P2348">
        <f>_xlfn.NUMBERVALUE("0.001794")</f>
        <v/>
      </c>
      <c r="Q2348">
        <f>_xlfn.NUMBERVALUE("-0.000423")</f>
        <v/>
      </c>
      <c r="R2348">
        <f>_xlfn.NUMBERVALUE("-0.000072")</f>
        <v/>
      </c>
      <c r="S2348">
        <f>_xlfn.NUMBERVALUE("0.001226")</f>
        <v/>
      </c>
      <c r="T2348">
        <f>_xlfn.NUMBERVALUE("-0.000656")</f>
        <v/>
      </c>
      <c r="U2348">
        <f>_xlfn.NUMBERVALUE("-0.006643")</f>
        <v/>
      </c>
      <c r="V2348">
        <f>_xlfn.NUMBERVALUE("0.000442")</f>
        <v/>
      </c>
      <c r="W2348">
        <f>_xlfn.NUMBERVALUE("0.000255")</f>
        <v/>
      </c>
      <c r="X2348">
        <f>_xlfn.NUMBERVALUE("-0.360000")</f>
        <v/>
      </c>
      <c r="Y2348">
        <f>_xlfn.NUMBERVALUE("14.670000")</f>
        <v/>
      </c>
    </row>
    <row r="2349">
      <c r="A2349" s="1" t="n">
        <v>45412</v>
      </c>
      <c r="B2349">
        <f>_xlfn.NUMBERVALUE("-0.002307")</f>
        <v/>
      </c>
      <c r="C2349" s="2">
        <f>_xlfn.NUMBERVALUE("-0.001691")</f>
        <v/>
      </c>
      <c r="D2349">
        <f>_xlfn.NUMBERVALUE("-0.001670")</f>
        <v/>
      </c>
      <c r="E2349">
        <f>_xlfn.NUMBERVALUE("-0.001471")</f>
        <v/>
      </c>
      <c r="F2349">
        <f>_xlfn.NUMBERVALUE("-0.004406")</f>
        <v/>
      </c>
      <c r="G2349">
        <f>_xlfn.NUMBERVALUE("-0.000012")</f>
        <v/>
      </c>
      <c r="H2349">
        <f>_xlfn.NUMBERVALUE("-0.000733")</f>
        <v/>
      </c>
      <c r="I2349">
        <f>_xlfn.NUMBERVALUE("-0.001562")</f>
        <v/>
      </c>
      <c r="J2349">
        <f>_xlfn.NUMBERVALUE("-0.001681")</f>
        <v/>
      </c>
      <c r="K2349">
        <f>_xlfn.NUMBERVALUE("-0.005789")</f>
        <v/>
      </c>
      <c r="L2349">
        <f>_xlfn.NUMBERVALUE("-0.000693")</f>
        <v/>
      </c>
      <c r="M2349">
        <f>_xlfn.NUMBERVALUE("-0.002228")</f>
        <v/>
      </c>
      <c r="N2349">
        <f>_xlfn.NUMBERVALUE("-0.000616")</f>
        <v/>
      </c>
      <c r="O2349">
        <f>_xlfn.NUMBERVALUE("-0.004310")</f>
        <v/>
      </c>
      <c r="P2349">
        <f>_xlfn.NUMBERVALUE("-0.001020")</f>
        <v/>
      </c>
      <c r="Q2349">
        <f>_xlfn.NUMBERVALUE("-0.002805")</f>
        <v/>
      </c>
      <c r="R2349">
        <f>_xlfn.NUMBERVALUE("-0.000644")</f>
        <v/>
      </c>
      <c r="S2349">
        <f>_xlfn.NUMBERVALUE("0.000326")</f>
        <v/>
      </c>
      <c r="T2349">
        <f>_xlfn.NUMBERVALUE("0.000012")</f>
        <v/>
      </c>
      <c r="U2349">
        <f>_xlfn.NUMBERVALUE("-0.003315")</f>
        <v/>
      </c>
      <c r="V2349">
        <f>_xlfn.NUMBERVALUE("-0.000852")</f>
        <v/>
      </c>
      <c r="W2349">
        <f>_xlfn.NUMBERVALUE("-0.008606")</f>
        <v/>
      </c>
      <c r="X2349">
        <f>_xlfn.NUMBERVALUE("0.980000")</f>
        <v/>
      </c>
      <c r="Y2349">
        <f>_xlfn.NUMBERVALUE("15.650000")</f>
        <v/>
      </c>
    </row>
    <row r="2350">
      <c r="A2350" s="1" t="n">
        <v>45413</v>
      </c>
      <c r="B2350">
        <f>_xlfn.NUMBERVALUE("-0.000946")</f>
        <v/>
      </c>
      <c r="C2350" s="2">
        <f>_xlfn.NUMBERVALUE("0.000321")</f>
        <v/>
      </c>
      <c r="D2350">
        <f>_xlfn.NUMBERVALUE("0.003488")</f>
        <v/>
      </c>
      <c r="E2350">
        <f>_xlfn.NUMBERVALUE("-0.002798")</f>
        <v/>
      </c>
      <c r="F2350">
        <f>_xlfn.NUMBERVALUE("0.003376")</f>
        <v/>
      </c>
      <c r="G2350">
        <f>_xlfn.NUMBERVALUE("0.002505")</f>
        <v/>
      </c>
      <c r="H2350">
        <f>_xlfn.NUMBERVALUE("0.003702")</f>
        <v/>
      </c>
      <c r="I2350">
        <f>_xlfn.NUMBERVALUE("0.000688")</f>
        <v/>
      </c>
      <c r="J2350">
        <f>_xlfn.NUMBERVALUE("0.004339")</f>
        <v/>
      </c>
      <c r="K2350">
        <f>_xlfn.NUMBERVALUE("0.003556")</f>
        <v/>
      </c>
      <c r="L2350">
        <f>_xlfn.NUMBERVALUE("0.003268")</f>
        <v/>
      </c>
      <c r="M2350">
        <f>_xlfn.NUMBERVALUE("0.000492")</f>
        <v/>
      </c>
      <c r="N2350">
        <f>_xlfn.NUMBERVALUE("-0.002142")</f>
        <v/>
      </c>
      <c r="O2350">
        <f>_xlfn.NUMBERVALUE("-0.001191")</f>
        <v/>
      </c>
      <c r="P2350">
        <f>_xlfn.NUMBERVALUE("0.001519")</f>
        <v/>
      </c>
      <c r="Q2350">
        <f>_xlfn.NUMBERVALUE("0.001463")</f>
        <v/>
      </c>
      <c r="R2350">
        <f>_xlfn.NUMBERVALUE("-0.000004")</f>
        <v/>
      </c>
      <c r="S2350">
        <f>_xlfn.NUMBERVALUE("0.000553")</f>
        <v/>
      </c>
      <c r="T2350">
        <f>_xlfn.NUMBERVALUE("-0.000739")</f>
        <v/>
      </c>
      <c r="U2350">
        <f>_xlfn.NUMBERVALUE("0.003598")</f>
        <v/>
      </c>
      <c r="V2350">
        <f>_xlfn.NUMBERVALUE("0.000159")</f>
        <v/>
      </c>
      <c r="W2350">
        <f>_xlfn.NUMBERVALUE("-0.002319")</f>
        <v/>
      </c>
      <c r="X2350">
        <f>_xlfn.NUMBERVALUE("-0.260000")</f>
        <v/>
      </c>
      <c r="Y2350">
        <f>_xlfn.NUMBERVALUE("15.390000")</f>
        <v/>
      </c>
    </row>
    <row r="2351">
      <c r="A2351" s="1" t="n">
        <v>45414</v>
      </c>
      <c r="B2351">
        <f>_xlfn.NUMBERVALUE("0.005718")</f>
        <v/>
      </c>
      <c r="C2351" s="2">
        <f>_xlfn.NUMBERVALUE("-0.000418")</f>
        <v/>
      </c>
      <c r="D2351">
        <f>_xlfn.NUMBERVALUE("-0.009860")</f>
        <v/>
      </c>
      <c r="E2351">
        <f>_xlfn.NUMBERVALUE("0.005732")</f>
        <v/>
      </c>
      <c r="F2351">
        <f>_xlfn.NUMBERVALUE("0.000425")</f>
        <v/>
      </c>
      <c r="G2351">
        <f>_xlfn.NUMBERVALUE("-0.000429")</f>
        <v/>
      </c>
      <c r="H2351">
        <f>_xlfn.NUMBERVALUE("-0.000313")</f>
        <v/>
      </c>
      <c r="I2351">
        <f>_xlfn.NUMBERVALUE("-0.000256")</f>
        <v/>
      </c>
      <c r="J2351">
        <f>_xlfn.NUMBERVALUE("0.000523")</f>
        <v/>
      </c>
      <c r="K2351">
        <f>_xlfn.NUMBERVALUE("0.001743")</f>
        <v/>
      </c>
      <c r="L2351">
        <f>_xlfn.NUMBERVALUE("0.000024")</f>
        <v/>
      </c>
      <c r="M2351">
        <f>_xlfn.NUMBERVALUE("-0.000579")</f>
        <v/>
      </c>
      <c r="N2351">
        <f>_xlfn.NUMBERVALUE("0.002250")</f>
        <v/>
      </c>
      <c r="O2351">
        <f>_xlfn.NUMBERVALUE("-0.000179")</f>
        <v/>
      </c>
      <c r="P2351">
        <f>_xlfn.NUMBERVALUE("0.001092")</f>
        <v/>
      </c>
      <c r="Q2351">
        <f>_xlfn.NUMBERVALUE("0.000310")</f>
        <v/>
      </c>
      <c r="R2351">
        <f>_xlfn.NUMBERVALUE("0.000218")</f>
        <v/>
      </c>
      <c r="S2351">
        <f>_xlfn.NUMBERVALUE("0.000291")</f>
        <v/>
      </c>
      <c r="T2351">
        <f>_xlfn.NUMBERVALUE("0.001588")</f>
        <v/>
      </c>
      <c r="U2351">
        <f>_xlfn.NUMBERVALUE("0.001435")</f>
        <v/>
      </c>
      <c r="V2351">
        <f>_xlfn.NUMBERVALUE("-0.000345")</f>
        <v/>
      </c>
      <c r="W2351">
        <f>_xlfn.NUMBERVALUE("0.001549")</f>
        <v/>
      </c>
      <c r="X2351">
        <f>_xlfn.NUMBERVALUE("-0.710000")</f>
        <v/>
      </c>
      <c r="Y2351">
        <f>_xlfn.NUMBERVALUE("14.680000")</f>
        <v/>
      </c>
    </row>
    <row r="2352">
      <c r="A2352" s="1" t="n">
        <v>45415</v>
      </c>
      <c r="B2352">
        <f>_xlfn.NUMBERVALUE("0.002176")</f>
        <v/>
      </c>
      <c r="C2352" s="2">
        <f>_xlfn.NUMBERVALUE("0.003166")</f>
        <v/>
      </c>
      <c r="D2352">
        <f>_xlfn.NUMBERVALUE("0.000029")</f>
        <v/>
      </c>
      <c r="E2352">
        <f>_xlfn.NUMBERVALUE("0.000398")</f>
        <v/>
      </c>
      <c r="F2352">
        <f>_xlfn.NUMBERVALUE("0.001131")</f>
        <v/>
      </c>
      <c r="G2352">
        <f>_xlfn.NUMBERVALUE("0.001653")</f>
        <v/>
      </c>
      <c r="H2352">
        <f>_xlfn.NUMBERVALUE("0.000754")</f>
        <v/>
      </c>
      <c r="I2352">
        <f>_xlfn.NUMBERVALUE("0.001984")</f>
        <v/>
      </c>
      <c r="J2352">
        <f>_xlfn.NUMBERVALUE("0.000006")</f>
        <v/>
      </c>
      <c r="K2352">
        <f>_xlfn.NUMBERVALUE("0.002072")</f>
        <v/>
      </c>
      <c r="L2352">
        <f>_xlfn.NUMBERVALUE("0.000566")</f>
        <v/>
      </c>
      <c r="M2352">
        <f>_xlfn.NUMBERVALUE("0.000265")</f>
        <v/>
      </c>
      <c r="N2352">
        <f>_xlfn.NUMBERVALUE("0.001338")</f>
        <v/>
      </c>
      <c r="O2352">
        <f>_xlfn.NUMBERVALUE("0.000334")</f>
        <v/>
      </c>
      <c r="P2352">
        <f>_xlfn.NUMBERVALUE("0.002360")</f>
        <v/>
      </c>
      <c r="Q2352">
        <f>_xlfn.NUMBERVALUE("0.001925")</f>
        <v/>
      </c>
      <c r="R2352">
        <f>_xlfn.NUMBERVALUE("-0.000407")</f>
        <v/>
      </c>
      <c r="S2352">
        <f>_xlfn.NUMBERVALUE("0.000196")</f>
        <v/>
      </c>
      <c r="T2352">
        <f>_xlfn.NUMBERVALUE("0.000316")</f>
        <v/>
      </c>
      <c r="U2352">
        <f>_xlfn.NUMBERVALUE("0.002799")</f>
        <v/>
      </c>
      <c r="V2352">
        <f>_xlfn.NUMBERVALUE("0.000225")</f>
        <v/>
      </c>
      <c r="W2352">
        <f>_xlfn.NUMBERVALUE("0.014539")</f>
        <v/>
      </c>
      <c r="X2352">
        <f>_xlfn.NUMBERVALUE("-1.190000")</f>
        <v/>
      </c>
      <c r="Y2352">
        <f>_xlfn.NUMBERVALUE("13.490000")</f>
        <v/>
      </c>
    </row>
    <row r="2353">
      <c r="A2353" s="1" t="n">
        <v>45418</v>
      </c>
      <c r="B2353">
        <f>_xlfn.NUMBERVALUE("0.001727")</f>
        <v/>
      </c>
      <c r="C2353" s="2">
        <f>_xlfn.NUMBERVALUE("0.001166")</f>
        <v/>
      </c>
      <c r="D2353">
        <f>_xlfn.NUMBERVALUE("0.001700")</f>
        <v/>
      </c>
      <c r="E2353">
        <f>_xlfn.NUMBERVALUE("0.001523")</f>
        <v/>
      </c>
      <c r="F2353">
        <f>_xlfn.NUMBERVALUE("0.002299")</f>
        <v/>
      </c>
      <c r="G2353">
        <f>_xlfn.NUMBERVALUE("0.000648")</f>
        <v/>
      </c>
      <c r="H2353">
        <f>_xlfn.NUMBERVALUE("0.001490")</f>
        <v/>
      </c>
      <c r="I2353">
        <f>_xlfn.NUMBERVALUE("0.000572")</f>
        <v/>
      </c>
      <c r="J2353">
        <f>_xlfn.NUMBERVALUE("0.000380")</f>
        <v/>
      </c>
      <c r="K2353">
        <f>_xlfn.NUMBERVALUE("-0.000974")</f>
        <v/>
      </c>
      <c r="L2353">
        <f>_xlfn.NUMBERVALUE("0.000080")</f>
        <v/>
      </c>
      <c r="M2353">
        <f>_xlfn.NUMBERVALUE("-0.000121")</f>
        <v/>
      </c>
      <c r="N2353">
        <f>_xlfn.NUMBERVALUE("-0.000823")</f>
        <v/>
      </c>
      <c r="O2353">
        <f>_xlfn.NUMBERVALUE("-0.000304")</f>
        <v/>
      </c>
      <c r="P2353">
        <f>_xlfn.NUMBERVALUE("0.001380")</f>
        <v/>
      </c>
      <c r="Q2353">
        <f>_xlfn.NUMBERVALUE("0.000885")</f>
        <v/>
      </c>
      <c r="R2353">
        <f>_xlfn.NUMBERVALUE("0.000190")</f>
        <v/>
      </c>
      <c r="S2353">
        <f>_xlfn.NUMBERVALUE("0.001195")</f>
        <v/>
      </c>
      <c r="T2353">
        <f>_xlfn.NUMBERVALUE("0.000612")</f>
        <v/>
      </c>
      <c r="U2353">
        <f>_xlfn.NUMBERVALUE("0.001550")</f>
        <v/>
      </c>
      <c r="V2353">
        <f>_xlfn.NUMBERVALUE("0.000098")</f>
        <v/>
      </c>
      <c r="W2353">
        <f>_xlfn.NUMBERVALUE("0.007683")</f>
        <v/>
      </c>
      <c r="X2353">
        <f>_xlfn.NUMBERVALUE("0.000000")</f>
        <v/>
      </c>
      <c r="Y2353">
        <f>_xlfn.NUMBERVALUE("13.490000")</f>
        <v/>
      </c>
    </row>
    <row r="2354">
      <c r="A2354" s="1" t="n">
        <v>45419</v>
      </c>
      <c r="B2354">
        <f>_xlfn.NUMBERVALUE("0.002237")</f>
        <v/>
      </c>
      <c r="C2354" s="2">
        <f>_xlfn.NUMBERVALUE("0.000524")</f>
        <v/>
      </c>
      <c r="D2354">
        <f>_xlfn.NUMBERVALUE("0.000127")</f>
        <v/>
      </c>
      <c r="E2354">
        <f>_xlfn.NUMBERVALUE("0.000956")</f>
        <v/>
      </c>
      <c r="F2354">
        <f>_xlfn.NUMBERVALUE("-0.000102")</f>
        <v/>
      </c>
      <c r="G2354">
        <f>_xlfn.NUMBERVALUE("0.001579")</f>
        <v/>
      </c>
      <c r="H2354">
        <f>_xlfn.NUMBERVALUE("0.000408")</f>
        <v/>
      </c>
      <c r="I2354">
        <f>_xlfn.NUMBERVALUE("0.001367")</f>
        <v/>
      </c>
      <c r="J2354">
        <f>_xlfn.NUMBERVALUE("0.000267")</f>
        <v/>
      </c>
      <c r="K2354">
        <f>_xlfn.NUMBERVALUE("0.000753")</f>
        <v/>
      </c>
      <c r="L2354">
        <f>_xlfn.NUMBERVALUE("0.000040")</f>
        <v/>
      </c>
      <c r="M2354">
        <f>_xlfn.NUMBERVALUE("-0.000068")</f>
        <v/>
      </c>
      <c r="N2354">
        <f>_xlfn.NUMBERVALUE("0.002411")</f>
        <v/>
      </c>
      <c r="O2354">
        <f>_xlfn.NUMBERVALUE("0.000019")</f>
        <v/>
      </c>
      <c r="P2354">
        <f>_xlfn.NUMBERVALUE("-0.000628")</f>
        <v/>
      </c>
      <c r="Q2354">
        <f>_xlfn.NUMBERVALUE("0.001489")</f>
        <v/>
      </c>
      <c r="R2354">
        <f>_xlfn.NUMBERVALUE("0.000216")</f>
        <v/>
      </c>
      <c r="S2354">
        <f>_xlfn.NUMBERVALUE("-0.001527")</f>
        <v/>
      </c>
      <c r="T2354">
        <f>_xlfn.NUMBERVALUE("-0.000198")</f>
        <v/>
      </c>
      <c r="U2354">
        <f>_xlfn.NUMBERVALUE("0.000883")</f>
        <v/>
      </c>
      <c r="V2354">
        <f>_xlfn.NUMBERVALUE("0.000121")</f>
        <v/>
      </c>
      <c r="W2354">
        <f>_xlfn.NUMBERVALUE("0.001678")</f>
        <v/>
      </c>
      <c r="X2354">
        <f>_xlfn.NUMBERVALUE("-0.260000")</f>
        <v/>
      </c>
      <c r="Y2354">
        <f>_xlfn.NUMBERVALUE("13.230000")</f>
        <v/>
      </c>
    </row>
    <row r="2355">
      <c r="A2355" s="1" t="n">
        <v>45420</v>
      </c>
      <c r="B2355">
        <f>_xlfn.NUMBERVALUE("-0.001617")</f>
        <v/>
      </c>
      <c r="C2355" s="2">
        <f>_xlfn.NUMBERVALUE("0.000041")</f>
        <v/>
      </c>
      <c r="D2355">
        <f>_xlfn.NUMBERVALUE("0.001055")</f>
        <v/>
      </c>
      <c r="E2355">
        <f>_xlfn.NUMBERVALUE("0.000973")</f>
        <v/>
      </c>
      <c r="F2355">
        <f>_xlfn.NUMBERVALUE("0.001263")</f>
        <v/>
      </c>
      <c r="G2355">
        <f>_xlfn.NUMBERVALUE("-0.001485")</f>
        <v/>
      </c>
      <c r="H2355">
        <f>_xlfn.NUMBERVALUE("0.000257")</f>
        <v/>
      </c>
      <c r="I2355">
        <f>_xlfn.NUMBERVALUE("0.001452")</f>
        <v/>
      </c>
      <c r="J2355">
        <f>_xlfn.NUMBERVALUE("0.000064")</f>
        <v/>
      </c>
      <c r="K2355">
        <f>_xlfn.NUMBERVALUE("0.001679")</f>
        <v/>
      </c>
      <c r="L2355">
        <f>_xlfn.NUMBERVALUE("-0.000020")</f>
        <v/>
      </c>
      <c r="M2355">
        <f>_xlfn.NUMBERVALUE("-0.000452")</f>
        <v/>
      </c>
      <c r="N2355">
        <f>_xlfn.NUMBERVALUE("0.001484")</f>
        <v/>
      </c>
      <c r="O2355">
        <f>_xlfn.NUMBERVALUE("-0.001193")</f>
        <v/>
      </c>
      <c r="P2355">
        <f>_xlfn.NUMBERVALUE("-0.000186")</f>
        <v/>
      </c>
      <c r="Q2355">
        <f>_xlfn.NUMBERVALUE("0.002091")</f>
        <v/>
      </c>
      <c r="R2355">
        <f>_xlfn.NUMBERVALUE("0.000281")</f>
        <v/>
      </c>
      <c r="S2355">
        <f>_xlfn.NUMBERVALUE("0.000012")</f>
        <v/>
      </c>
      <c r="T2355">
        <f>_xlfn.NUMBERVALUE("0.000298")</f>
        <v/>
      </c>
      <c r="U2355">
        <f>_xlfn.NUMBERVALUE("-0.000110")</f>
        <v/>
      </c>
      <c r="V2355">
        <f>_xlfn.NUMBERVALUE("0.001057")</f>
        <v/>
      </c>
      <c r="W2355">
        <f>_xlfn.NUMBERVALUE("0.000483")</f>
        <v/>
      </c>
      <c r="X2355">
        <f>_xlfn.NUMBERVALUE("-0.230000")</f>
        <v/>
      </c>
      <c r="Y2355">
        <f>_xlfn.NUMBERVALUE("13.000000")</f>
        <v/>
      </c>
    </row>
    <row r="2356">
      <c r="A2356" s="1" t="n">
        <v>45421</v>
      </c>
      <c r="B2356">
        <f>_xlfn.NUMBERVALUE("0.005415")</f>
        <v/>
      </c>
      <c r="C2356" s="2">
        <f>_xlfn.NUMBERVALUE("-0.000850")</f>
        <v/>
      </c>
      <c r="D2356">
        <f>_xlfn.NUMBERVALUE("0.000180")</f>
        <v/>
      </c>
      <c r="E2356">
        <f>_xlfn.NUMBERVALUE("-0.000165")</f>
        <v/>
      </c>
      <c r="F2356">
        <f>_xlfn.NUMBERVALUE("-0.003006")</f>
        <v/>
      </c>
      <c r="G2356">
        <f>_xlfn.NUMBERVALUE("0.000406")</f>
        <v/>
      </c>
      <c r="H2356">
        <f>_xlfn.NUMBERVALUE("0.000479")</f>
        <v/>
      </c>
      <c r="I2356">
        <f>_xlfn.NUMBERVALUE("0.001021")</f>
        <v/>
      </c>
      <c r="J2356">
        <f>_xlfn.NUMBERVALUE("0.000545")</f>
        <v/>
      </c>
      <c r="K2356">
        <f>_xlfn.NUMBERVALUE("-0.009296")</f>
        <v/>
      </c>
      <c r="L2356">
        <f>_xlfn.NUMBERVALUE("0.000380")</f>
        <v/>
      </c>
      <c r="M2356">
        <f>_xlfn.NUMBERVALUE("0.000711")</f>
        <v/>
      </c>
      <c r="N2356">
        <f>_xlfn.NUMBERVALUE("0.001601")</f>
        <v/>
      </c>
      <c r="O2356">
        <f>_xlfn.NUMBERVALUE("0.000882")</f>
        <v/>
      </c>
      <c r="P2356">
        <f>_xlfn.NUMBERVALUE("0.000146")</f>
        <v/>
      </c>
      <c r="Q2356">
        <f>_xlfn.NUMBERVALUE("-0.000692")</f>
        <v/>
      </c>
      <c r="R2356">
        <f>_xlfn.NUMBERVALUE("0.000137")</f>
        <v/>
      </c>
      <c r="S2356">
        <f>_xlfn.NUMBERVALUE("-0.000099")</f>
        <v/>
      </c>
      <c r="T2356">
        <f>_xlfn.NUMBERVALUE("-0.000031")</f>
        <v/>
      </c>
      <c r="U2356">
        <f>_xlfn.NUMBERVALUE("0.000823")</f>
        <v/>
      </c>
      <c r="V2356">
        <f>_xlfn.NUMBERVALUE("0.000385")</f>
        <v/>
      </c>
      <c r="W2356">
        <f>_xlfn.NUMBERVALUE("0.004465")</f>
        <v/>
      </c>
      <c r="X2356">
        <f>_xlfn.NUMBERVALUE("-0.310000")</f>
        <v/>
      </c>
      <c r="Y2356">
        <f>_xlfn.NUMBERVALUE("12.690000")</f>
        <v/>
      </c>
    </row>
    <row r="2357">
      <c r="A2357" s="1" t="n">
        <v>45422</v>
      </c>
      <c r="B2357">
        <f>_xlfn.NUMBERVALUE("-0.002200")</f>
        <v/>
      </c>
      <c r="C2357" s="2">
        <f>_xlfn.NUMBERVALUE("0.000279")</f>
        <v/>
      </c>
      <c r="D2357">
        <f>_xlfn.NUMBERVALUE("0.000178")</f>
        <v/>
      </c>
      <c r="E2357">
        <f>_xlfn.NUMBERVALUE("0.000729")</f>
        <v/>
      </c>
      <c r="F2357">
        <f>_xlfn.NUMBERVALUE("-0.000108")</f>
        <v/>
      </c>
      <c r="G2357">
        <f>_xlfn.NUMBERVALUE("0.001647")</f>
        <v/>
      </c>
      <c r="H2357">
        <f>_xlfn.NUMBERVALUE("-0.000412")</f>
        <v/>
      </c>
      <c r="I2357">
        <f>_xlfn.NUMBERVALUE("0.001007")</f>
        <v/>
      </c>
      <c r="J2357">
        <f>_xlfn.NUMBERVALUE("-0.000059")</f>
        <v/>
      </c>
      <c r="K2357">
        <f>_xlfn.NUMBERVALUE("0.001987")</f>
        <v/>
      </c>
      <c r="L2357">
        <f>_xlfn.NUMBERVALUE("0.000228")</f>
        <v/>
      </c>
      <c r="M2357">
        <f>_xlfn.NUMBERVALUE("0.001243")</f>
        <v/>
      </c>
      <c r="N2357">
        <f>_xlfn.NUMBERVALUE("0.000417")</f>
        <v/>
      </c>
      <c r="O2357">
        <f>_xlfn.NUMBERVALUE("-0.000030")</f>
        <v/>
      </c>
      <c r="P2357">
        <f>_xlfn.NUMBERVALUE("-0.000215")</f>
        <v/>
      </c>
      <c r="Q2357">
        <f>_xlfn.NUMBERVALUE("0.000787")</f>
        <v/>
      </c>
      <c r="R2357">
        <f>_xlfn.NUMBERVALUE("0.000002")</f>
        <v/>
      </c>
      <c r="S2357">
        <f>_xlfn.NUMBERVALUE("0.000060")</f>
        <v/>
      </c>
      <c r="T2357">
        <f>_xlfn.NUMBERVALUE("-0.000010")</f>
        <v/>
      </c>
      <c r="U2357">
        <f>_xlfn.NUMBERVALUE("-0.000116")</f>
        <v/>
      </c>
      <c r="V2357">
        <f>_xlfn.NUMBERVALUE("0.000873")</f>
        <v/>
      </c>
      <c r="W2357">
        <f>_xlfn.NUMBERVALUE("0.002213")</f>
        <v/>
      </c>
      <c r="X2357">
        <f>_xlfn.NUMBERVALUE("-0.140000")</f>
        <v/>
      </c>
      <c r="Y2357">
        <f>_xlfn.NUMBERVALUE("12.550000")</f>
        <v/>
      </c>
    </row>
    <row r="2358">
      <c r="A2358" s="1" t="n">
        <v>45425</v>
      </c>
      <c r="B2358">
        <f>_xlfn.NUMBERVALUE("-0.004670")</f>
        <v/>
      </c>
      <c r="C2358" s="2">
        <f>_xlfn.NUMBERVALUE("0.000237")</f>
        <v/>
      </c>
      <c r="D2358">
        <f>_xlfn.NUMBERVALUE("-0.001104")</f>
        <v/>
      </c>
      <c r="E2358">
        <f>_xlfn.NUMBERVALUE("0.000479")</f>
        <v/>
      </c>
      <c r="F2358">
        <f>_xlfn.NUMBERVALUE("-0.000110")</f>
        <v/>
      </c>
      <c r="G2358">
        <f>_xlfn.NUMBERVALUE("0.000575")</f>
        <v/>
      </c>
      <c r="H2358">
        <f>_xlfn.NUMBERVALUE("-0.000335")</f>
        <v/>
      </c>
      <c r="I2358">
        <f>_xlfn.NUMBERVALUE("-0.001580")</f>
        <v/>
      </c>
      <c r="J2358">
        <f>_xlfn.NUMBERVALUE("0.000201")</f>
        <v/>
      </c>
      <c r="K2358">
        <f>_xlfn.NUMBERVALUE("0.001090")</f>
        <v/>
      </c>
      <c r="L2358">
        <f>_xlfn.NUMBERVALUE("-0.000195")</f>
        <v/>
      </c>
      <c r="M2358">
        <f>_xlfn.NUMBERVALUE("-0.001812")</f>
        <v/>
      </c>
      <c r="N2358">
        <f>_xlfn.NUMBERVALUE("0.001534")</f>
        <v/>
      </c>
      <c r="O2358">
        <f>_xlfn.NUMBERVALUE("0.000801")</f>
        <v/>
      </c>
      <c r="P2358">
        <f>_xlfn.NUMBERVALUE("0.000113")</f>
        <v/>
      </c>
      <c r="Q2358">
        <f>_xlfn.NUMBERVALUE("0.000056")</f>
        <v/>
      </c>
      <c r="R2358">
        <f>_xlfn.NUMBERVALUE("-0.000023")</f>
        <v/>
      </c>
      <c r="S2358">
        <f>_xlfn.NUMBERVALUE("-0.001201")</f>
        <v/>
      </c>
      <c r="T2358">
        <f>_xlfn.NUMBERVALUE("-0.000969")</f>
        <v/>
      </c>
      <c r="U2358">
        <f>_xlfn.NUMBERVALUE("0.000534")</f>
        <v/>
      </c>
      <c r="V2358">
        <f>_xlfn.NUMBERVALUE("-0.000027")</f>
        <v/>
      </c>
      <c r="W2358">
        <f>_xlfn.NUMBERVALUE("-0.000192")</f>
        <v/>
      </c>
      <c r="X2358">
        <f>_xlfn.NUMBERVALUE("1.050000")</f>
        <v/>
      </c>
      <c r="Y2358">
        <f>_xlfn.NUMBERVALUE("13.600000")</f>
        <v/>
      </c>
    </row>
    <row r="2359">
      <c r="A2359" s="1" t="n">
        <v>45426</v>
      </c>
      <c r="B2359">
        <f>_xlfn.NUMBERVALUE("-0.005478")</f>
        <v/>
      </c>
      <c r="C2359" s="2">
        <f>_xlfn.NUMBERVALUE("0.000507")</f>
        <v/>
      </c>
      <c r="D2359">
        <f>_xlfn.NUMBERVALUE("0.000503")</f>
        <v/>
      </c>
      <c r="E2359">
        <f>_xlfn.NUMBERVALUE("-0.001147")</f>
        <v/>
      </c>
      <c r="F2359">
        <f>_xlfn.NUMBERVALUE("-0.000485")</f>
        <v/>
      </c>
      <c r="G2359">
        <f>_xlfn.NUMBERVALUE("-0.000283")</f>
        <v/>
      </c>
      <c r="H2359">
        <f>_xlfn.NUMBERVALUE("0.000337")</f>
        <v/>
      </c>
      <c r="I2359">
        <f>_xlfn.NUMBERVALUE("0.000210")</f>
        <v/>
      </c>
      <c r="J2359">
        <f>_xlfn.NUMBERVALUE("0.000156")</f>
        <v/>
      </c>
      <c r="K2359">
        <f>_xlfn.NUMBERVALUE("-0.002266")</f>
        <v/>
      </c>
      <c r="L2359">
        <f>_xlfn.NUMBERVALUE("-0.000523")</f>
        <v/>
      </c>
      <c r="M2359">
        <f>_xlfn.NUMBERVALUE("-0.000071")</f>
        <v/>
      </c>
      <c r="N2359">
        <f>_xlfn.NUMBERVALUE("0.000863")</f>
        <v/>
      </c>
      <c r="O2359">
        <f>_xlfn.NUMBERVALUE("0.000507")</f>
        <v/>
      </c>
      <c r="P2359">
        <f>_xlfn.NUMBERVALUE("0.000300")</f>
        <v/>
      </c>
      <c r="Q2359">
        <f>_xlfn.NUMBERVALUE("0.001527")</f>
        <v/>
      </c>
      <c r="R2359">
        <f>_xlfn.NUMBERVALUE("-0.000497")</f>
        <v/>
      </c>
      <c r="S2359">
        <f>_xlfn.NUMBERVALUE("0.000825")</f>
        <v/>
      </c>
      <c r="T2359">
        <f>_xlfn.NUMBERVALUE("0.001232")</f>
        <v/>
      </c>
      <c r="U2359">
        <f>_xlfn.NUMBERVALUE("0.000979")</f>
        <v/>
      </c>
      <c r="V2359">
        <f>_xlfn.NUMBERVALUE("0.000326")</f>
        <v/>
      </c>
      <c r="W2359">
        <f>_xlfn.NUMBERVALUE("0.005261")</f>
        <v/>
      </c>
      <c r="X2359">
        <f>_xlfn.NUMBERVALUE("-0.180000")</f>
        <v/>
      </c>
      <c r="Y2359">
        <f>_xlfn.NUMBERVALUE("13.420000")</f>
        <v/>
      </c>
    </row>
    <row r="2360">
      <c r="A2360" s="1" t="n">
        <v>45427</v>
      </c>
      <c r="B2360">
        <f>_xlfn.NUMBERVALUE("0.003817")</f>
        <v/>
      </c>
      <c r="C2360" s="2">
        <f>_xlfn.NUMBERVALUE("0.000669")</f>
        <v/>
      </c>
      <c r="D2360">
        <f>_xlfn.NUMBERVALUE("0.000225")</f>
        <v/>
      </c>
      <c r="E2360">
        <f>_xlfn.NUMBERVALUE("-0.000230")</f>
        <v/>
      </c>
      <c r="F2360">
        <f>_xlfn.NUMBERVALUE("-0.001014")</f>
        <v/>
      </c>
      <c r="G2360">
        <f>_xlfn.NUMBERVALUE("-0.000915")</f>
        <v/>
      </c>
      <c r="H2360">
        <f>_xlfn.NUMBERVALUE("0.000757")</f>
        <v/>
      </c>
      <c r="I2360">
        <f>_xlfn.NUMBERVALUE("0.004540")</f>
        <v/>
      </c>
      <c r="J2360">
        <f>_xlfn.NUMBERVALUE("0.000336")</f>
        <v/>
      </c>
      <c r="K2360">
        <f>_xlfn.NUMBERVALUE("-0.006528")</f>
        <v/>
      </c>
      <c r="L2360">
        <f>_xlfn.NUMBERVALUE("0.000666")</f>
        <v/>
      </c>
      <c r="M2360">
        <f>_xlfn.NUMBERVALUE("0.003894")</f>
        <v/>
      </c>
      <c r="N2360">
        <f>_xlfn.NUMBERVALUE("0.001062")</f>
        <v/>
      </c>
      <c r="O2360">
        <f>_xlfn.NUMBERVALUE("0.000475")</f>
        <v/>
      </c>
      <c r="P2360">
        <f>_xlfn.NUMBERVALUE("0.001174")</f>
        <v/>
      </c>
      <c r="Q2360">
        <f>_xlfn.NUMBERVALUE("0.000711")</f>
        <v/>
      </c>
      <c r="R2360">
        <f>_xlfn.NUMBERVALUE("-0.003986")</f>
        <v/>
      </c>
      <c r="S2360">
        <f>_xlfn.NUMBERVALUE("0.000051")</f>
        <v/>
      </c>
      <c r="T2360">
        <f>_xlfn.NUMBERVALUE("0.000192")</f>
        <v/>
      </c>
      <c r="U2360">
        <f>_xlfn.NUMBERVALUE("0.001433")</f>
        <v/>
      </c>
      <c r="V2360">
        <f>_xlfn.NUMBERVALUE("0.000246")</f>
        <v/>
      </c>
      <c r="W2360">
        <f>_xlfn.NUMBERVALUE("0.011175")</f>
        <v/>
      </c>
      <c r="X2360">
        <f>_xlfn.NUMBERVALUE("-0.970000")</f>
        <v/>
      </c>
      <c r="Y2360">
        <f>_xlfn.NUMBERVALUE("12.450000")</f>
        <v/>
      </c>
    </row>
    <row r="2361">
      <c r="A2361" s="1" t="n">
        <v>45428</v>
      </c>
      <c r="B2361">
        <f>_xlfn.NUMBERVALUE("0.006944")</f>
        <v/>
      </c>
      <c r="C2361" s="2">
        <f>_xlfn.NUMBERVALUE("0.000709")</f>
        <v/>
      </c>
      <c r="D2361">
        <f>_xlfn.NUMBERVALUE("0.000228")</f>
        <v/>
      </c>
      <c r="E2361">
        <f>_xlfn.NUMBERVALUE("0.002049")</f>
        <v/>
      </c>
      <c r="F2361">
        <f>_xlfn.NUMBERVALUE("0.001747")</f>
        <v/>
      </c>
      <c r="G2361">
        <f>_xlfn.NUMBERVALUE("0.001117")</f>
        <v/>
      </c>
      <c r="H2361">
        <f>_xlfn.NUMBERVALUE("0.000674")</f>
        <v/>
      </c>
      <c r="I2361">
        <f>_xlfn.NUMBERVALUE("0.002226")</f>
        <v/>
      </c>
      <c r="J2361">
        <f>_xlfn.NUMBERVALUE("0.000685")</f>
        <v/>
      </c>
      <c r="K2361">
        <f>_xlfn.NUMBERVALUE("0.002187")</f>
        <v/>
      </c>
      <c r="L2361">
        <f>_xlfn.NUMBERVALUE("0.002018")</f>
        <v/>
      </c>
      <c r="M2361">
        <f>_xlfn.NUMBERVALUE("0.000079")</f>
        <v/>
      </c>
      <c r="N2361">
        <f>_xlfn.NUMBERVALUE("-0.000124")</f>
        <v/>
      </c>
      <c r="O2361">
        <f>_xlfn.NUMBERVALUE("0.001378")</f>
        <v/>
      </c>
      <c r="P2361">
        <f>_xlfn.NUMBERVALUE("-0.000425")</f>
        <v/>
      </c>
      <c r="Q2361">
        <f>_xlfn.NUMBERVALUE("0.000637")</f>
        <v/>
      </c>
      <c r="R2361">
        <f>_xlfn.NUMBERVALUE("0.001570")</f>
        <v/>
      </c>
      <c r="S2361">
        <f>_xlfn.NUMBERVALUE("-0.002120")</f>
        <v/>
      </c>
      <c r="T2361">
        <f>_xlfn.NUMBERVALUE("-0.004455")</f>
        <v/>
      </c>
      <c r="U2361">
        <f>_xlfn.NUMBERVALUE("0.001822")</f>
        <v/>
      </c>
      <c r="V2361">
        <f>_xlfn.NUMBERVALUE("0.000071")</f>
        <v/>
      </c>
      <c r="W2361">
        <f>_xlfn.NUMBERVALUE("-0.000661")</f>
        <v/>
      </c>
      <c r="X2361">
        <f>_xlfn.NUMBERVALUE("-0.030000")</f>
        <v/>
      </c>
      <c r="Y2361">
        <f>_xlfn.NUMBERVALUE("12.420000")</f>
        <v/>
      </c>
    </row>
    <row r="2362">
      <c r="A2362" s="1" t="n">
        <v>45429</v>
      </c>
      <c r="B2362">
        <f>_xlfn.NUMBERVALUE("0.005793")</f>
        <v/>
      </c>
      <c r="C2362" s="2">
        <f>_xlfn.NUMBERVALUE("-0.000853")</f>
        <v/>
      </c>
      <c r="D2362">
        <f>_xlfn.NUMBERVALUE("0.001202")</f>
        <v/>
      </c>
      <c r="E2362">
        <f>_xlfn.NUMBERVALUE("-0.000807")</f>
        <v/>
      </c>
      <c r="F2362">
        <f>_xlfn.NUMBERVALUE("-0.002446")</f>
        <v/>
      </c>
      <c r="G2362">
        <f>_xlfn.NUMBERVALUE("0.000258")</f>
        <v/>
      </c>
      <c r="H2362">
        <f>_xlfn.NUMBERVALUE("0.000996")</f>
        <v/>
      </c>
      <c r="I2362">
        <f>_xlfn.NUMBERVALUE("0.001672")</f>
        <v/>
      </c>
      <c r="J2362">
        <f>_xlfn.NUMBERVALUE("0.000775")</f>
        <v/>
      </c>
      <c r="K2362">
        <f>_xlfn.NUMBERVALUE("-0.009416")</f>
        <v/>
      </c>
      <c r="L2362">
        <f>_xlfn.NUMBERVALUE("0.000986")</f>
        <v/>
      </c>
      <c r="M2362">
        <f>_xlfn.NUMBERVALUE("0.001022")</f>
        <v/>
      </c>
      <c r="N2362">
        <f>_xlfn.NUMBERVALUE("0.001087")</f>
        <v/>
      </c>
      <c r="O2362">
        <f>_xlfn.NUMBERVALUE("-0.001225")</f>
        <v/>
      </c>
      <c r="P2362">
        <f>_xlfn.NUMBERVALUE("0.000947")</f>
        <v/>
      </c>
      <c r="Q2362">
        <f>_xlfn.NUMBERVALUE("0.001331")</f>
        <v/>
      </c>
      <c r="R2362">
        <f>_xlfn.NUMBERVALUE("0.001981")</f>
        <v/>
      </c>
      <c r="S2362">
        <f>_xlfn.NUMBERVALUE("0.000979")</f>
        <v/>
      </c>
      <c r="T2362">
        <f>_xlfn.NUMBERVALUE("0.006951")</f>
        <v/>
      </c>
      <c r="U2362">
        <f>_xlfn.NUMBERVALUE("0.002548")</f>
        <v/>
      </c>
      <c r="V2362">
        <f>_xlfn.NUMBERVALUE("0.000999")</f>
        <v/>
      </c>
      <c r="W2362">
        <f>_xlfn.NUMBERVALUE("-0.000019")</f>
        <v/>
      </c>
      <c r="X2362">
        <f>_xlfn.NUMBERVALUE("-0.430000")</f>
        <v/>
      </c>
      <c r="Y2362">
        <f>_xlfn.NUMBERVALUE("11.990000")</f>
        <v/>
      </c>
    </row>
    <row r="2363">
      <c r="A2363" s="1" t="n">
        <v>45432</v>
      </c>
      <c r="B2363">
        <f>_xlfn.NUMBERVALUE("0.002578")</f>
        <v/>
      </c>
      <c r="C2363" s="2">
        <f>_xlfn.NUMBERVALUE("0.001047")</f>
        <v/>
      </c>
      <c r="D2363">
        <f>_xlfn.NUMBERVALUE("0.001103")</f>
        <v/>
      </c>
      <c r="E2363">
        <f>_xlfn.NUMBERVALUE("0.001328")</f>
        <v/>
      </c>
      <c r="F2363">
        <f>_xlfn.NUMBERVALUE("0.000042")</f>
        <v/>
      </c>
      <c r="G2363">
        <f>_xlfn.NUMBERVALUE("0.001258")</f>
        <v/>
      </c>
      <c r="H2363">
        <f>_xlfn.NUMBERVALUE("0.000763")</f>
        <v/>
      </c>
      <c r="I2363">
        <f>_xlfn.NUMBERVALUE("0.001991")</f>
        <v/>
      </c>
      <c r="J2363">
        <f>_xlfn.NUMBERVALUE("0.001443")</f>
        <v/>
      </c>
      <c r="K2363">
        <f>_xlfn.NUMBERVALUE("-0.000406")</f>
        <v/>
      </c>
      <c r="L2363">
        <f>_xlfn.NUMBERVALUE("0.001246")</f>
        <v/>
      </c>
      <c r="M2363">
        <f>_xlfn.NUMBERVALUE("0.000846")</f>
        <v/>
      </c>
      <c r="N2363">
        <f>_xlfn.NUMBERVALUE("-0.000139")</f>
        <v/>
      </c>
      <c r="O2363">
        <f>_xlfn.NUMBERVALUE("0.000930")</f>
        <v/>
      </c>
      <c r="P2363">
        <f>_xlfn.NUMBERVALUE("0.000197")</f>
        <v/>
      </c>
      <c r="Q2363">
        <f>_xlfn.NUMBERVALUE("0.000976")</f>
        <v/>
      </c>
      <c r="R2363">
        <f>_xlfn.NUMBERVALUE("-0.001669")</f>
        <v/>
      </c>
      <c r="S2363">
        <f>_xlfn.NUMBERVALUE("-0.000463")</f>
        <v/>
      </c>
      <c r="T2363">
        <f>_xlfn.NUMBERVALUE("0.001256")</f>
        <v/>
      </c>
      <c r="U2363">
        <f>_xlfn.NUMBERVALUE("-0.000994")</f>
        <v/>
      </c>
      <c r="V2363">
        <f>_xlfn.NUMBERVALUE("0.000711")</f>
        <v/>
      </c>
      <c r="W2363">
        <f>_xlfn.NUMBERVALUE("0.001607")</f>
        <v/>
      </c>
      <c r="X2363">
        <f>_xlfn.NUMBERVALUE("0.160000")</f>
        <v/>
      </c>
      <c r="Y2363">
        <f>_xlfn.NUMBERVALUE("12.150000")</f>
        <v/>
      </c>
    </row>
    <row r="2364">
      <c r="A2364" s="1" t="n">
        <v>45433</v>
      </c>
      <c r="B2364">
        <f>_xlfn.NUMBERVALUE("0.003383")</f>
        <v/>
      </c>
      <c r="C2364" s="2">
        <f>_xlfn.NUMBERVALUE("0.000502")</f>
        <v/>
      </c>
      <c r="D2364">
        <f>_xlfn.NUMBERVALUE("0.000606")</f>
        <v/>
      </c>
      <c r="E2364">
        <f>_xlfn.NUMBERVALUE("0.000595")</f>
        <v/>
      </c>
      <c r="F2364">
        <f>_xlfn.NUMBERVALUE("0.001088")</f>
        <v/>
      </c>
      <c r="G2364">
        <f>_xlfn.NUMBERVALUE("0.000167")</f>
        <v/>
      </c>
      <c r="H2364">
        <f>_xlfn.NUMBERVALUE("0.000464")</f>
        <v/>
      </c>
      <c r="I2364">
        <f>_xlfn.NUMBERVALUE("0.001456")</f>
        <v/>
      </c>
      <c r="J2364">
        <f>_xlfn.NUMBERVALUE("0.000399")</f>
        <v/>
      </c>
      <c r="K2364">
        <f>_xlfn.NUMBERVALUE("0.001268")</f>
        <v/>
      </c>
      <c r="L2364">
        <f>_xlfn.NUMBERVALUE("0.000570")</f>
        <v/>
      </c>
      <c r="M2364">
        <f>_xlfn.NUMBERVALUE("0.000979")</f>
        <v/>
      </c>
      <c r="N2364">
        <f>_xlfn.NUMBERVALUE("0.002601")</f>
        <v/>
      </c>
      <c r="O2364">
        <f>_xlfn.NUMBERVALUE("0.001307")</f>
        <v/>
      </c>
      <c r="P2364">
        <f>_xlfn.NUMBERVALUE("0.000075")</f>
        <v/>
      </c>
      <c r="Q2364">
        <f>_xlfn.NUMBERVALUE("0.000810")</f>
        <v/>
      </c>
      <c r="R2364">
        <f>_xlfn.NUMBERVALUE("0.000729")</f>
        <v/>
      </c>
      <c r="S2364">
        <f>_xlfn.NUMBERVALUE("-0.000176")</f>
        <v/>
      </c>
      <c r="T2364">
        <f>_xlfn.NUMBERVALUE("0.000401")</f>
        <v/>
      </c>
      <c r="U2364">
        <f>_xlfn.NUMBERVALUE("0.000768")</f>
        <v/>
      </c>
      <c r="V2364">
        <f>_xlfn.NUMBERVALUE("0.000492")</f>
        <v/>
      </c>
      <c r="W2364">
        <f>_xlfn.NUMBERVALUE("0.002076")</f>
        <v/>
      </c>
      <c r="X2364">
        <f>_xlfn.NUMBERVALUE("-0.290000")</f>
        <v/>
      </c>
      <c r="Y2364">
        <f>_xlfn.NUMBERVALUE("11.860000")</f>
        <v/>
      </c>
    </row>
    <row r="2365">
      <c r="A2365" s="1" t="n">
        <v>45434</v>
      </c>
      <c r="B2365">
        <f>_xlfn.NUMBERVALUE("0.000210")</f>
        <v/>
      </c>
      <c r="C2365" s="2">
        <f>_xlfn.NUMBERVALUE("-0.000156")</f>
        <v/>
      </c>
      <c r="D2365">
        <f>_xlfn.NUMBERVALUE("0.000494")</f>
        <v/>
      </c>
      <c r="E2365">
        <f>_xlfn.NUMBERVALUE("-0.000598")</f>
        <v/>
      </c>
      <c r="F2365">
        <f>_xlfn.NUMBERVALUE("-0.000857")</f>
        <v/>
      </c>
      <c r="G2365">
        <f>_xlfn.NUMBERVALUE("0.000768")</f>
        <v/>
      </c>
      <c r="H2365">
        <f>_xlfn.NUMBERVALUE("0.000394")</f>
        <v/>
      </c>
      <c r="I2365">
        <f>_xlfn.NUMBERVALUE("-0.000793")</f>
        <v/>
      </c>
      <c r="J2365">
        <f>_xlfn.NUMBERVALUE("0.000640")</f>
        <v/>
      </c>
      <c r="K2365">
        <f>_xlfn.NUMBERVALUE("0.000337")</f>
        <v/>
      </c>
      <c r="L2365">
        <f>_xlfn.NUMBERVALUE("0.000313")</f>
        <v/>
      </c>
      <c r="M2365">
        <f>_xlfn.NUMBERVALUE("-0.001894")</f>
        <v/>
      </c>
      <c r="N2365">
        <f>_xlfn.NUMBERVALUE("-0.001334")</f>
        <v/>
      </c>
      <c r="O2365">
        <f>_xlfn.NUMBERVALUE("-0.005286")</f>
        <v/>
      </c>
      <c r="P2365">
        <f>_xlfn.NUMBERVALUE("-0.000248")</f>
        <v/>
      </c>
      <c r="Q2365">
        <f>_xlfn.NUMBERVALUE("-0.000215")</f>
        <v/>
      </c>
      <c r="R2365">
        <f>_xlfn.NUMBERVALUE("-0.000583")</f>
        <v/>
      </c>
      <c r="S2365">
        <f>_xlfn.NUMBERVALUE("0.000099")</f>
        <v/>
      </c>
      <c r="T2365">
        <f>_xlfn.NUMBERVALUE("-0.000525")</f>
        <v/>
      </c>
      <c r="U2365">
        <f>_xlfn.NUMBERVALUE("-0.000229")</f>
        <v/>
      </c>
      <c r="V2365">
        <f>_xlfn.NUMBERVALUE("-0.000160")</f>
        <v/>
      </c>
      <c r="W2365">
        <f>_xlfn.NUMBERVALUE("-0.004031")</f>
        <v/>
      </c>
      <c r="X2365">
        <f>_xlfn.NUMBERVALUE("0.430000")</f>
        <v/>
      </c>
      <c r="Y2365">
        <f>_xlfn.NUMBERVALUE("12.290000")</f>
        <v/>
      </c>
    </row>
    <row r="2366">
      <c r="A2366" s="1" t="n">
        <v>45435</v>
      </c>
      <c r="B2366">
        <f>_xlfn.NUMBERVALUE("-0.007855")</f>
        <v/>
      </c>
      <c r="C2366" s="2">
        <f>_xlfn.NUMBERVALUE("-0.001975")</f>
        <v/>
      </c>
      <c r="D2366">
        <f>_xlfn.NUMBERVALUE("0.000352")</f>
        <v/>
      </c>
      <c r="E2366">
        <f>_xlfn.NUMBERVALUE("0.000635")</f>
        <v/>
      </c>
      <c r="F2366">
        <f>_xlfn.NUMBERVALUE("-0.002999")</f>
        <v/>
      </c>
      <c r="G2366">
        <f>_xlfn.NUMBERVALUE("0.000368")</f>
        <v/>
      </c>
      <c r="H2366">
        <f>_xlfn.NUMBERVALUE("-0.000608")</f>
        <v/>
      </c>
      <c r="I2366">
        <f>_xlfn.NUMBERVALUE("-0.003297")</f>
        <v/>
      </c>
      <c r="J2366">
        <f>_xlfn.NUMBERVALUE("-0.000614")</f>
        <v/>
      </c>
      <c r="K2366">
        <f>_xlfn.NUMBERVALUE("0.000010")</f>
        <v/>
      </c>
      <c r="L2366">
        <f>_xlfn.NUMBERVALUE("-0.000075")</f>
        <v/>
      </c>
      <c r="M2366">
        <f>_xlfn.NUMBERVALUE("-0.000275")</f>
        <v/>
      </c>
      <c r="N2366">
        <f>_xlfn.NUMBERVALUE("-0.000198")</f>
        <v/>
      </c>
      <c r="O2366">
        <f>_xlfn.NUMBERVALUE("-0.000845")</f>
        <v/>
      </c>
      <c r="P2366">
        <f>_xlfn.NUMBERVALUE("-0.003035")</f>
        <v/>
      </c>
      <c r="Q2366">
        <f>_xlfn.NUMBERVALUE("-0.002270")</f>
        <v/>
      </c>
      <c r="R2366">
        <f>_xlfn.NUMBERVALUE("0.000959")</f>
        <v/>
      </c>
      <c r="S2366">
        <f>_xlfn.NUMBERVALUE("-0.002270")</f>
        <v/>
      </c>
      <c r="T2366">
        <f>_xlfn.NUMBERVALUE("-0.004183")</f>
        <v/>
      </c>
      <c r="U2366">
        <f>_xlfn.NUMBERVALUE("-0.003121")</f>
        <v/>
      </c>
      <c r="V2366">
        <f>_xlfn.NUMBERVALUE("0.000735")</f>
        <v/>
      </c>
      <c r="W2366">
        <f>_xlfn.NUMBERVALUE("-0.006354")</f>
        <v/>
      </c>
      <c r="X2366">
        <f>_xlfn.NUMBERVALUE("0.480000")</f>
        <v/>
      </c>
      <c r="Y2366">
        <f>_xlfn.NUMBERVALUE("12.770000")</f>
        <v/>
      </c>
    </row>
    <row r="2367">
      <c r="A2367" s="1" t="n">
        <v>45436</v>
      </c>
      <c r="B2367">
        <f>_xlfn.NUMBERVALUE("0.007287")</f>
        <v/>
      </c>
      <c r="C2367" s="2">
        <f>_xlfn.NUMBERVALUE("0.002574")</f>
        <v/>
      </c>
      <c r="D2367">
        <f>_xlfn.NUMBERVALUE("0.001142")</f>
        <v/>
      </c>
      <c r="E2367">
        <f>_xlfn.NUMBERVALUE("0.000068")</f>
        <v/>
      </c>
      <c r="F2367">
        <f>_xlfn.NUMBERVALUE("0.002824")</f>
        <v/>
      </c>
      <c r="G2367">
        <f>_xlfn.NUMBERVALUE("-0.000398")</f>
        <v/>
      </c>
      <c r="H2367">
        <f>_xlfn.NUMBERVALUE("0.000761")</f>
        <v/>
      </c>
      <c r="I2367">
        <f>_xlfn.NUMBERVALUE("0.001376")</f>
        <v/>
      </c>
      <c r="J2367">
        <f>_xlfn.NUMBERVALUE("0.000362")</f>
        <v/>
      </c>
      <c r="K2367">
        <f>_xlfn.NUMBERVALUE("0.001117")</f>
        <v/>
      </c>
      <c r="L2367">
        <f>_xlfn.NUMBERVALUE("0.001495")</f>
        <v/>
      </c>
      <c r="M2367">
        <f>_xlfn.NUMBERVALUE("0.000316")</f>
        <v/>
      </c>
      <c r="N2367">
        <f>_xlfn.NUMBERVALUE("-0.000075")</f>
        <v/>
      </c>
      <c r="O2367">
        <f>_xlfn.NUMBERVALUE("0.001438")</f>
        <v/>
      </c>
      <c r="P2367">
        <f>_xlfn.NUMBERVALUE("0.001798")</f>
        <v/>
      </c>
      <c r="Q2367">
        <f>_xlfn.NUMBERVALUE("0.000626")</f>
        <v/>
      </c>
      <c r="R2367">
        <f>_xlfn.NUMBERVALUE("0.000392")</f>
        <v/>
      </c>
      <c r="S2367">
        <f>_xlfn.NUMBERVALUE("0.001858")</f>
        <v/>
      </c>
      <c r="T2367">
        <f>_xlfn.NUMBERVALUE("0.001452")</f>
        <v/>
      </c>
      <c r="U2367">
        <f>_xlfn.NUMBERVALUE("0.001456")</f>
        <v/>
      </c>
      <c r="V2367">
        <f>_xlfn.NUMBERVALUE("0.000492")</f>
        <v/>
      </c>
      <c r="W2367">
        <f>_xlfn.NUMBERVALUE("0.006851")</f>
        <v/>
      </c>
      <c r="X2367">
        <f>_xlfn.NUMBERVALUE("-0.840000")</f>
        <v/>
      </c>
      <c r="Y2367">
        <f>_xlfn.NUMBERVALUE("11.930000")</f>
        <v/>
      </c>
    </row>
    <row r="2368">
      <c r="A2368" s="1" t="n">
        <v>45440</v>
      </c>
      <c r="B2368">
        <f>_xlfn.NUMBERVALUE("0.011932")</f>
        <v/>
      </c>
      <c r="C2368" s="2">
        <f>_xlfn.NUMBERVALUE("-0.000529")</f>
        <v/>
      </c>
      <c r="D2368">
        <f>_xlfn.NUMBERVALUE("0.001548")</f>
        <v/>
      </c>
      <c r="E2368">
        <f>_xlfn.NUMBERVALUE("0.000816")</f>
        <v/>
      </c>
      <c r="F2368">
        <f>_xlfn.NUMBERVALUE("0.000136")</f>
        <v/>
      </c>
      <c r="G2368">
        <f>_xlfn.NUMBERVALUE("-0.000143")</f>
        <v/>
      </c>
      <c r="H2368">
        <f>_xlfn.NUMBERVALUE("-0.000837")</f>
        <v/>
      </c>
      <c r="I2368">
        <f>_xlfn.NUMBERVALUE("0.001944")</f>
        <v/>
      </c>
      <c r="J2368">
        <f>_xlfn.NUMBERVALUE("-0.001146")</f>
        <v/>
      </c>
      <c r="K2368">
        <f>_xlfn.NUMBERVALUE("-0.002645")</f>
        <v/>
      </c>
      <c r="L2368">
        <f>_xlfn.NUMBERVALUE("-0.004734")</f>
        <v/>
      </c>
      <c r="M2368">
        <f>_xlfn.NUMBERVALUE("0.000386")</f>
        <v/>
      </c>
      <c r="N2368">
        <f>_xlfn.NUMBERVALUE("0.000115")</f>
        <v/>
      </c>
      <c r="O2368">
        <f>_xlfn.NUMBERVALUE("-0.001776")</f>
        <v/>
      </c>
      <c r="P2368">
        <f>_xlfn.NUMBERVALUE("-0.002032")</f>
        <v/>
      </c>
      <c r="Q2368">
        <f>_xlfn.NUMBERVALUE("-0.001907")</f>
        <v/>
      </c>
      <c r="R2368">
        <f>_xlfn.NUMBERVALUE("0.000586")</f>
        <v/>
      </c>
      <c r="S2368">
        <f>_xlfn.NUMBERVALUE("-0.002311")</f>
        <v/>
      </c>
      <c r="T2368">
        <f>_xlfn.NUMBERVALUE("0.000416")</f>
        <v/>
      </c>
      <c r="U2368">
        <f>_xlfn.NUMBERVALUE("0.000056")</f>
        <v/>
      </c>
      <c r="V2368">
        <f>_xlfn.NUMBERVALUE("0.000936")</f>
        <v/>
      </c>
      <c r="W2368">
        <f>_xlfn.NUMBERVALUE("-0.000662")</f>
        <v/>
      </c>
      <c r="X2368">
        <f>_xlfn.NUMBERVALUE("0.990000")</f>
        <v/>
      </c>
      <c r="Y2368">
        <f>_xlfn.NUMBERVALUE("12.920000")</f>
        <v/>
      </c>
    </row>
    <row r="2369">
      <c r="A2369" s="1" t="n">
        <v>45441</v>
      </c>
      <c r="B2369">
        <f>_xlfn.NUMBERVALUE("0.000286")</f>
        <v/>
      </c>
      <c r="C2369" s="2">
        <f>_xlfn.NUMBERVALUE("-0.001437")</f>
        <v/>
      </c>
      <c r="D2369">
        <f>_xlfn.NUMBERVALUE("-0.004371")</f>
        <v/>
      </c>
      <c r="E2369">
        <f>_xlfn.NUMBERVALUE("-0.003475")</f>
        <v/>
      </c>
      <c r="F2369">
        <f>_xlfn.NUMBERVALUE("-0.000032")</f>
        <v/>
      </c>
      <c r="G2369">
        <f>_xlfn.NUMBERVALUE("-0.001341")</f>
        <v/>
      </c>
      <c r="H2369">
        <f>_xlfn.NUMBERVALUE("-0.001233")</f>
        <v/>
      </c>
      <c r="I2369">
        <f>_xlfn.NUMBERVALUE("-0.002678")</f>
        <v/>
      </c>
      <c r="J2369">
        <f>_xlfn.NUMBERVALUE("-0.001486")</f>
        <v/>
      </c>
      <c r="K2369">
        <f>_xlfn.NUMBERVALUE("-0.000159")</f>
        <v/>
      </c>
      <c r="L2369">
        <f>_xlfn.NUMBERVALUE("-0.002930")</f>
        <v/>
      </c>
      <c r="M2369">
        <f>_xlfn.NUMBERVALUE("-0.003505")</f>
        <v/>
      </c>
      <c r="N2369">
        <f>_xlfn.NUMBERVALUE("-0.000258")</f>
        <v/>
      </c>
      <c r="O2369">
        <f>_xlfn.NUMBERVALUE("-0.003482")</f>
        <v/>
      </c>
      <c r="P2369">
        <f>_xlfn.NUMBERVALUE("-0.000737")</f>
        <v/>
      </c>
      <c r="Q2369">
        <f>_xlfn.NUMBERVALUE("-0.001226")</f>
        <v/>
      </c>
      <c r="R2369">
        <f>_xlfn.NUMBERVALUE("0.000693")</f>
        <v/>
      </c>
      <c r="S2369">
        <f>_xlfn.NUMBERVALUE("-0.000923")</f>
        <v/>
      </c>
      <c r="T2369">
        <f>_xlfn.NUMBERVALUE("-0.001436")</f>
        <v/>
      </c>
      <c r="U2369">
        <f>_xlfn.NUMBERVALUE("-0.000057")</f>
        <v/>
      </c>
      <c r="V2369">
        <f>_xlfn.NUMBERVALUE("0.000169")</f>
        <v/>
      </c>
      <c r="W2369">
        <f>_xlfn.NUMBERVALUE("-0.003915")</f>
        <v/>
      </c>
      <c r="X2369">
        <f>_xlfn.NUMBERVALUE("1.360000")</f>
        <v/>
      </c>
      <c r="Y2369">
        <f>_xlfn.NUMBERVALUE("14.280000")</f>
        <v/>
      </c>
    </row>
    <row r="2370">
      <c r="A2370" s="1" t="n">
        <v>45442</v>
      </c>
      <c r="B2370">
        <f>_xlfn.NUMBERVALUE("0.001070")</f>
        <v/>
      </c>
      <c r="C2370" s="2">
        <f>_xlfn.NUMBERVALUE("-0.004752")</f>
        <v/>
      </c>
      <c r="D2370">
        <f>_xlfn.NUMBERVALUE("0.002147")</f>
        <v/>
      </c>
      <c r="E2370">
        <f>_xlfn.NUMBERVALUE("0.000624")</f>
        <v/>
      </c>
      <c r="F2370">
        <f>_xlfn.NUMBERVALUE("0.001160")</f>
        <v/>
      </c>
      <c r="G2370">
        <f>_xlfn.NUMBERVALUE("0.001090")</f>
        <v/>
      </c>
      <c r="H2370">
        <f>_xlfn.NUMBERVALUE("0.000666")</f>
        <v/>
      </c>
      <c r="I2370">
        <f>_xlfn.NUMBERVALUE("-0.000446")</f>
        <v/>
      </c>
      <c r="J2370">
        <f>_xlfn.NUMBERVALUE("0.000492")</f>
        <v/>
      </c>
      <c r="K2370">
        <f>_xlfn.NUMBERVALUE("0.000243")</f>
        <v/>
      </c>
      <c r="L2370">
        <f>_xlfn.NUMBERVALUE("0.001060")</f>
        <v/>
      </c>
      <c r="M2370">
        <f>_xlfn.NUMBERVALUE("0.001214")</f>
        <v/>
      </c>
      <c r="N2370">
        <f>_xlfn.NUMBERVALUE("0.000094")</f>
        <v/>
      </c>
      <c r="O2370">
        <f>_xlfn.NUMBERVALUE("0.000716")</f>
        <v/>
      </c>
      <c r="P2370">
        <f>_xlfn.NUMBERVALUE("0.000857")</f>
        <v/>
      </c>
      <c r="Q2370">
        <f>_xlfn.NUMBERVALUE("-0.000390")</f>
        <v/>
      </c>
      <c r="R2370">
        <f>_xlfn.NUMBERVALUE("-0.001613")</f>
        <v/>
      </c>
      <c r="S2370">
        <f>_xlfn.NUMBERVALUE("0.000289")</f>
        <v/>
      </c>
      <c r="T2370">
        <f>_xlfn.NUMBERVALUE("-0.000261")</f>
        <v/>
      </c>
      <c r="U2370">
        <f>_xlfn.NUMBERVALUE("0.000152")</f>
        <v/>
      </c>
      <c r="V2370">
        <f>_xlfn.NUMBERVALUE("-0.000066")</f>
        <v/>
      </c>
      <c r="W2370">
        <f>_xlfn.NUMBERVALUE("-0.008051")</f>
        <v/>
      </c>
      <c r="X2370">
        <f>_xlfn.NUMBERVALUE("0.190000")</f>
        <v/>
      </c>
      <c r="Y2370">
        <f>_xlfn.NUMBERVALUE("14.470000")</f>
        <v/>
      </c>
    </row>
    <row r="2371">
      <c r="A2371" s="1" t="n">
        <v>45443</v>
      </c>
      <c r="B2371">
        <f>_xlfn.NUMBERVALUE("0.000295")</f>
        <v/>
      </c>
      <c r="C2371" s="2">
        <f>_xlfn.NUMBERVALUE("0.003068")</f>
        <v/>
      </c>
      <c r="D2371">
        <f>_xlfn.NUMBERVALUE("-0.000754")</f>
        <v/>
      </c>
      <c r="E2371">
        <f>_xlfn.NUMBERVALUE("-0.001862")</f>
        <v/>
      </c>
      <c r="F2371">
        <f>_xlfn.NUMBERVALUE("0.001078")</f>
        <v/>
      </c>
      <c r="G2371">
        <f>_xlfn.NUMBERVALUE("-0.002247")</f>
        <v/>
      </c>
      <c r="H2371">
        <f>_xlfn.NUMBERVALUE("-0.000815")</f>
        <v/>
      </c>
      <c r="I2371">
        <f>_xlfn.NUMBERVALUE("0.002802")</f>
        <v/>
      </c>
      <c r="J2371">
        <f>_xlfn.NUMBERVALUE("0.000292")</f>
        <v/>
      </c>
      <c r="K2371">
        <f>_xlfn.NUMBERVALUE("0.000545")</f>
        <v/>
      </c>
      <c r="L2371">
        <f>_xlfn.NUMBERVALUE("-0.000203")</f>
        <v/>
      </c>
      <c r="M2371">
        <f>_xlfn.NUMBERVALUE("0.000304")</f>
        <v/>
      </c>
      <c r="N2371">
        <f>_xlfn.NUMBERVALUE("-0.000106")</f>
        <v/>
      </c>
      <c r="O2371">
        <f>_xlfn.NUMBERVALUE("-0.002963")</f>
        <v/>
      </c>
      <c r="P2371">
        <f>_xlfn.NUMBERVALUE("-0.000561")</f>
        <v/>
      </c>
      <c r="Q2371">
        <f>_xlfn.NUMBERVALUE("0.000823")</f>
        <v/>
      </c>
      <c r="R2371">
        <f>_xlfn.NUMBERVALUE("0.002637")</f>
        <v/>
      </c>
      <c r="S2371">
        <f>_xlfn.NUMBERVALUE("0.001556")</f>
        <v/>
      </c>
      <c r="T2371">
        <f>_xlfn.NUMBERVALUE("-0.002345")</f>
        <v/>
      </c>
      <c r="U2371">
        <f>_xlfn.NUMBERVALUE("0.001156")</f>
        <v/>
      </c>
      <c r="V2371">
        <f>_xlfn.NUMBERVALUE("0.002037")</f>
        <v/>
      </c>
      <c r="W2371">
        <f>_xlfn.NUMBERVALUE("0.003063")</f>
        <v/>
      </c>
      <c r="X2371">
        <f>_xlfn.NUMBERVALUE("-1.550000")</f>
        <v/>
      </c>
      <c r="Y2371">
        <f>_xlfn.NUMBERVALUE("12.920000")</f>
        <v/>
      </c>
    </row>
    <row r="2372">
      <c r="A2372" s="1" t="n">
        <v>45446</v>
      </c>
      <c r="B2372">
        <f>_xlfn.NUMBERVALUE("0.001934")</f>
        <v/>
      </c>
      <c r="C2372" s="2">
        <f>_xlfn.NUMBERVALUE("0.000348")</f>
        <v/>
      </c>
      <c r="D2372">
        <f>_xlfn.NUMBERVALUE("-0.000080")</f>
        <v/>
      </c>
      <c r="E2372">
        <f>_xlfn.NUMBERVALUE("0.001209")</f>
        <v/>
      </c>
      <c r="F2372">
        <f>_xlfn.NUMBERVALUE("-0.000776")</f>
        <v/>
      </c>
      <c r="G2372">
        <f>_xlfn.NUMBERVALUE("0.001608")</f>
        <v/>
      </c>
      <c r="H2372">
        <f>_xlfn.NUMBERVALUE("0.000121")</f>
        <v/>
      </c>
      <c r="I2372">
        <f>_xlfn.NUMBERVALUE("0.000946")</f>
        <v/>
      </c>
      <c r="J2372">
        <f>_xlfn.NUMBERVALUE("0.000254")</f>
        <v/>
      </c>
      <c r="K2372">
        <f>_xlfn.NUMBERVALUE("0.000947")</f>
        <v/>
      </c>
      <c r="L2372">
        <f>_xlfn.NUMBERVALUE("-0.003721")</f>
        <v/>
      </c>
      <c r="M2372">
        <f>_xlfn.NUMBERVALUE("0.001786")</f>
        <v/>
      </c>
      <c r="N2372">
        <f>_xlfn.NUMBERVALUE("-0.000580")</f>
        <v/>
      </c>
      <c r="O2372">
        <f>_xlfn.NUMBERVALUE("-0.004885")</f>
        <v/>
      </c>
      <c r="P2372">
        <f>_xlfn.NUMBERVALUE("-0.000261")</f>
        <v/>
      </c>
      <c r="Q2372">
        <f>_xlfn.NUMBERVALUE("-0.000855")</f>
        <v/>
      </c>
      <c r="R2372">
        <f>_xlfn.NUMBERVALUE("-0.000681")</f>
        <v/>
      </c>
      <c r="S2372">
        <f>_xlfn.NUMBERVALUE("-0.000903")</f>
        <v/>
      </c>
      <c r="T2372">
        <f>_xlfn.NUMBERVALUE("-0.001224")</f>
        <v/>
      </c>
      <c r="U2372">
        <f>_xlfn.NUMBERVALUE("0.000308")</f>
        <v/>
      </c>
      <c r="V2372">
        <f>_xlfn.NUMBERVALUE("0.000383")</f>
        <v/>
      </c>
      <c r="W2372">
        <f>_xlfn.NUMBERVALUE("0.004179")</f>
        <v/>
      </c>
      <c r="X2372">
        <f>_xlfn.NUMBERVALUE("0.190000")</f>
        <v/>
      </c>
      <c r="Y2372">
        <f>_xlfn.NUMBERVALUE("13.110000")</f>
        <v/>
      </c>
    </row>
    <row r="2373">
      <c r="A2373" s="1" t="n">
        <v>45447</v>
      </c>
      <c r="B2373">
        <f>_xlfn.NUMBERVALUE("0.001970")</f>
        <v/>
      </c>
      <c r="C2373" s="2">
        <f>_xlfn.NUMBERVALUE("0.000448")</f>
        <v/>
      </c>
      <c r="D2373">
        <f>_xlfn.NUMBERVALUE("-0.003133")</f>
        <v/>
      </c>
      <c r="E2373">
        <f>_xlfn.NUMBERVALUE("0.000461")</f>
        <v/>
      </c>
      <c r="F2373">
        <f>_xlfn.NUMBERVALUE("-0.000272")</f>
        <v/>
      </c>
      <c r="G2373">
        <f>_xlfn.NUMBERVALUE("0.001356")</f>
        <v/>
      </c>
      <c r="H2373">
        <f>_xlfn.NUMBERVALUE("-0.001200")</f>
        <v/>
      </c>
      <c r="I2373">
        <f>_xlfn.NUMBERVALUE("-0.002190")</f>
        <v/>
      </c>
      <c r="J2373">
        <f>_xlfn.NUMBERVALUE("-0.000683")</f>
        <v/>
      </c>
      <c r="K2373">
        <f>_xlfn.NUMBERVALUE("-0.000548")</f>
        <v/>
      </c>
      <c r="L2373">
        <f>_xlfn.NUMBERVALUE("-0.000726")</f>
        <v/>
      </c>
      <c r="M2373">
        <f>_xlfn.NUMBERVALUE("-0.001252")</f>
        <v/>
      </c>
      <c r="N2373">
        <f>_xlfn.NUMBERVALUE("0.000447")</f>
        <v/>
      </c>
      <c r="O2373">
        <f>_xlfn.NUMBERVALUE("-0.001353")</f>
        <v/>
      </c>
      <c r="P2373">
        <f>_xlfn.NUMBERVALUE("0.000405")</f>
        <v/>
      </c>
      <c r="Q2373">
        <f>_xlfn.NUMBERVALUE("-0.000707")</f>
        <v/>
      </c>
      <c r="R2373">
        <f>_xlfn.NUMBERVALUE("0.000633")</f>
        <v/>
      </c>
      <c r="S2373">
        <f>_xlfn.NUMBERVALUE("-0.001986")</f>
        <v/>
      </c>
      <c r="T2373">
        <f>_xlfn.NUMBERVALUE("0.001467")</f>
        <v/>
      </c>
      <c r="U2373">
        <f>_xlfn.NUMBERVALUE("0.000217")</f>
        <v/>
      </c>
      <c r="V2373">
        <f>_xlfn.NUMBERVALUE("0.000465")</f>
        <v/>
      </c>
      <c r="W2373">
        <f>_xlfn.NUMBERVALUE("0.002756")</f>
        <v/>
      </c>
      <c r="X2373">
        <f>_xlfn.NUMBERVALUE("0.050000")</f>
        <v/>
      </c>
      <c r="Y2373">
        <f>_xlfn.NUMBERVALUE("13.160000")</f>
        <v/>
      </c>
    </row>
    <row r="2374">
      <c r="A2374" s="1" t="n">
        <v>45448</v>
      </c>
      <c r="B2374">
        <f>_xlfn.NUMBERVALUE("0.000950")</f>
        <v/>
      </c>
      <c r="C2374" s="2">
        <f>_xlfn.NUMBERVALUE("0.001633")</f>
        <v/>
      </c>
      <c r="D2374">
        <f>_xlfn.NUMBERVALUE("-0.000097")</f>
        <v/>
      </c>
      <c r="E2374">
        <f>_xlfn.NUMBERVALUE("0.000149")</f>
        <v/>
      </c>
      <c r="F2374">
        <f>_xlfn.NUMBERVALUE("-0.001260")</f>
        <v/>
      </c>
      <c r="G2374">
        <f>_xlfn.NUMBERVALUE("-0.000538")</f>
        <v/>
      </c>
      <c r="H2374">
        <f>_xlfn.NUMBERVALUE("0.000266")</f>
        <v/>
      </c>
      <c r="I2374">
        <f>_xlfn.NUMBERVALUE("0.000765")</f>
        <v/>
      </c>
      <c r="J2374">
        <f>_xlfn.NUMBERVALUE("0.000360")</f>
        <v/>
      </c>
      <c r="K2374">
        <f>_xlfn.NUMBERVALUE("0.000055")</f>
        <v/>
      </c>
      <c r="L2374">
        <f>_xlfn.NUMBERVALUE("-0.000705")</f>
        <v/>
      </c>
      <c r="M2374">
        <f>_xlfn.NUMBERVALUE("0.000521")</f>
        <v/>
      </c>
      <c r="N2374">
        <f>_xlfn.NUMBERVALUE("-0.001130")</f>
        <v/>
      </c>
      <c r="O2374">
        <f>_xlfn.NUMBERVALUE("0.000337")</f>
        <v/>
      </c>
      <c r="P2374">
        <f>_xlfn.NUMBERVALUE("0.001100")</f>
        <v/>
      </c>
      <c r="Q2374">
        <f>_xlfn.NUMBERVALUE("0.000332")</f>
        <v/>
      </c>
      <c r="R2374">
        <f>_xlfn.NUMBERVALUE("-0.003829")</f>
        <v/>
      </c>
      <c r="S2374">
        <f>_xlfn.NUMBERVALUE("0.000825")</f>
        <v/>
      </c>
      <c r="T2374">
        <f>_xlfn.NUMBERVALUE("-0.000200")</f>
        <v/>
      </c>
      <c r="U2374">
        <f>_xlfn.NUMBERVALUE("0.001143")</f>
        <v/>
      </c>
      <c r="V2374">
        <f>_xlfn.NUMBERVALUE("-0.000854")</f>
        <v/>
      </c>
      <c r="W2374">
        <f>_xlfn.NUMBERVALUE("0.011466")</f>
        <v/>
      </c>
      <c r="X2374">
        <f>_xlfn.NUMBERVALUE("-0.530000")</f>
        <v/>
      </c>
      <c r="Y2374">
        <f>_xlfn.NUMBERVALUE("12.630000")</f>
        <v/>
      </c>
    </row>
    <row r="2375">
      <c r="A2375" s="1" t="n">
        <v>45449</v>
      </c>
      <c r="B2375">
        <f>_xlfn.NUMBERVALUE("0.000343")</f>
        <v/>
      </c>
      <c r="C2375" s="2">
        <f>_xlfn.NUMBERVALUE("0.002904")</f>
        <v/>
      </c>
      <c r="D2375">
        <f>_xlfn.NUMBERVALUE("0.004756")</f>
        <v/>
      </c>
      <c r="E2375">
        <f>_xlfn.NUMBERVALUE("0.000067")</f>
        <v/>
      </c>
      <c r="F2375">
        <f>_xlfn.NUMBERVALUE("-0.000531")</f>
        <v/>
      </c>
      <c r="G2375">
        <f>_xlfn.NUMBERVALUE("0.001102")</f>
        <v/>
      </c>
      <c r="H2375">
        <f>_xlfn.NUMBERVALUE("-0.000007")</f>
        <v/>
      </c>
      <c r="I2375">
        <f>_xlfn.NUMBERVALUE("-0.000490")</f>
        <v/>
      </c>
      <c r="J2375">
        <f>_xlfn.NUMBERVALUE("0.000312")</f>
        <v/>
      </c>
      <c r="K2375">
        <f>_xlfn.NUMBERVALUE("-0.000044")</f>
        <v/>
      </c>
      <c r="L2375">
        <f>_xlfn.NUMBERVALUE("-0.000100")</f>
        <v/>
      </c>
      <c r="M2375">
        <f>_xlfn.NUMBERVALUE("0.000428")</f>
        <v/>
      </c>
      <c r="N2375">
        <f>_xlfn.NUMBERVALUE("0.001996")</f>
        <v/>
      </c>
      <c r="O2375">
        <f>_xlfn.NUMBERVALUE("-0.000148")</f>
        <v/>
      </c>
      <c r="P2375">
        <f>_xlfn.NUMBERVALUE("0.000400")</f>
        <v/>
      </c>
      <c r="Q2375">
        <f>_xlfn.NUMBERVALUE("-0.000336")</f>
        <v/>
      </c>
      <c r="R2375">
        <f>_xlfn.NUMBERVALUE("0.001484")</f>
        <v/>
      </c>
      <c r="S2375">
        <f>_xlfn.NUMBERVALUE("0.000058")</f>
        <v/>
      </c>
      <c r="T2375">
        <f>_xlfn.NUMBERVALUE("-0.000261")</f>
        <v/>
      </c>
      <c r="U2375">
        <f>_xlfn.NUMBERVALUE("-0.000435")</f>
        <v/>
      </c>
      <c r="V2375">
        <f>_xlfn.NUMBERVALUE("0.000132")</f>
        <v/>
      </c>
      <c r="W2375">
        <f>_xlfn.NUMBERVALUE("0.000365")</f>
        <v/>
      </c>
      <c r="X2375">
        <f>_xlfn.NUMBERVALUE("-0.050000")</f>
        <v/>
      </c>
      <c r="Y2375">
        <f>_xlfn.NUMBERVALUE("12.580000")</f>
        <v/>
      </c>
    </row>
    <row r="2376">
      <c r="A2376" s="1" t="n">
        <v>45450</v>
      </c>
      <c r="B2376">
        <f>_xlfn.NUMBERVALUE("0.000974")</f>
        <v/>
      </c>
      <c r="C2376" s="2">
        <f>_xlfn.NUMBERVALUE("0.001007")</f>
        <v/>
      </c>
      <c r="D2376">
        <f>_xlfn.NUMBERVALUE("0.002013")</f>
        <v/>
      </c>
      <c r="E2376">
        <f>_xlfn.NUMBERVALUE("0.003638")</f>
        <v/>
      </c>
      <c r="F2376">
        <f>_xlfn.NUMBERVALUE("-0.010594")</f>
        <v/>
      </c>
      <c r="G2376">
        <f>_xlfn.NUMBERVALUE("-0.010470")</f>
        <v/>
      </c>
      <c r="H2376">
        <f>_xlfn.NUMBERVALUE("-0.001299")</f>
        <v/>
      </c>
      <c r="I2376">
        <f>_xlfn.NUMBERVALUE("0.001181")</f>
        <v/>
      </c>
      <c r="J2376">
        <f>_xlfn.NUMBERVALUE("-0.001238")</f>
        <v/>
      </c>
      <c r="K2376">
        <f>_xlfn.NUMBERVALUE("-0.019160")</f>
        <v/>
      </c>
      <c r="L2376">
        <f>_xlfn.NUMBERVALUE("0.000282")</f>
        <v/>
      </c>
      <c r="M2376">
        <f>_xlfn.NUMBERVALUE("-0.000537")</f>
        <v/>
      </c>
      <c r="N2376">
        <f>_xlfn.NUMBERVALUE("0.001459")</f>
        <v/>
      </c>
      <c r="O2376">
        <f>_xlfn.NUMBERVALUE("0.001757")</f>
        <v/>
      </c>
      <c r="P2376">
        <f>_xlfn.NUMBERVALUE("0.000978")</f>
        <v/>
      </c>
      <c r="Q2376">
        <f>_xlfn.NUMBERVALUE("0.000473")</f>
        <v/>
      </c>
      <c r="R2376">
        <f>_xlfn.NUMBERVALUE("0.000977")</f>
        <v/>
      </c>
      <c r="S2376">
        <f>_xlfn.NUMBERVALUE("0.000477")</f>
        <v/>
      </c>
      <c r="T2376">
        <f>_xlfn.NUMBERVALUE("0.001239")</f>
        <v/>
      </c>
      <c r="U2376">
        <f>_xlfn.NUMBERVALUE("0.002550")</f>
        <v/>
      </c>
      <c r="V2376">
        <f>_xlfn.NUMBERVALUE("0.001120")</f>
        <v/>
      </c>
      <c r="W2376">
        <f>_xlfn.NUMBERVALUE("0.000019")</f>
        <v/>
      </c>
      <c r="X2376">
        <f>_xlfn.NUMBERVALUE("-0.360000")</f>
        <v/>
      </c>
      <c r="Y2376">
        <f>_xlfn.NUMBERVALUE("12.220000")</f>
        <v/>
      </c>
    </row>
    <row r="2377">
      <c r="A2377" s="1" t="n">
        <v>45453</v>
      </c>
      <c r="B2377">
        <f>_xlfn.NUMBERVALUE("0.003660")</f>
        <v/>
      </c>
      <c r="C2377" s="2">
        <f>_xlfn.NUMBERVALUE("0.000302")</f>
        <v/>
      </c>
      <c r="D2377">
        <f>_xlfn.NUMBERVALUE("0.001162")</f>
        <v/>
      </c>
      <c r="E2377">
        <f>_xlfn.NUMBERVALUE("-0.003935")</f>
        <v/>
      </c>
      <c r="F2377">
        <f>_xlfn.NUMBERVALUE("0.001368")</f>
        <v/>
      </c>
      <c r="G2377">
        <f>_xlfn.NUMBERVALUE("0.003119")</f>
        <v/>
      </c>
      <c r="H2377">
        <f>_xlfn.NUMBERVALUE("-0.000171")</f>
        <v/>
      </c>
      <c r="I2377">
        <f>_xlfn.NUMBERVALUE("0.000663")</f>
        <v/>
      </c>
      <c r="J2377">
        <f>_xlfn.NUMBERVALUE("0.000661")</f>
        <v/>
      </c>
      <c r="K2377">
        <f>_xlfn.NUMBERVALUE("0.005349")</f>
        <v/>
      </c>
      <c r="L2377">
        <f>_xlfn.NUMBERVALUE("-0.000164")</f>
        <v/>
      </c>
      <c r="M2377">
        <f>_xlfn.NUMBERVALUE("-0.000086")</f>
        <v/>
      </c>
      <c r="N2377">
        <f>_xlfn.NUMBERVALUE("0.000658")</f>
        <v/>
      </c>
      <c r="O2377">
        <f>_xlfn.NUMBERVALUE("-0.000042")</f>
        <v/>
      </c>
      <c r="P2377">
        <f>_xlfn.NUMBERVALUE("0.001174")</f>
        <v/>
      </c>
      <c r="Q2377">
        <f>_xlfn.NUMBERVALUE("-0.000666")</f>
        <v/>
      </c>
      <c r="R2377">
        <f>_xlfn.NUMBERVALUE("0.000370")</f>
        <v/>
      </c>
      <c r="S2377">
        <f>_xlfn.NUMBERVALUE("0.002776")</f>
        <v/>
      </c>
      <c r="T2377">
        <f>_xlfn.NUMBERVALUE("0.001754")</f>
        <v/>
      </c>
      <c r="U2377">
        <f>_xlfn.NUMBERVALUE("0.005123")</f>
        <v/>
      </c>
      <c r="V2377">
        <f>_xlfn.NUMBERVALUE("0.000541")</f>
        <v/>
      </c>
      <c r="W2377">
        <f>_xlfn.NUMBERVALUE("0.001666")</f>
        <v/>
      </c>
      <c r="X2377">
        <f>_xlfn.NUMBERVALUE("0.520000")</f>
        <v/>
      </c>
      <c r="Y2377">
        <f>_xlfn.NUMBERVALUE("12.740000")</f>
        <v/>
      </c>
    </row>
    <row r="2378">
      <c r="A2378" s="1" t="n">
        <v>45454</v>
      </c>
      <c r="B2378">
        <f>_xlfn.NUMBERVALUE("0.000085")</f>
        <v/>
      </c>
      <c r="C2378" s="2">
        <f>_xlfn.NUMBERVALUE("0.000215")</f>
        <v/>
      </c>
      <c r="D2378">
        <f>_xlfn.NUMBERVALUE("0.001610")</f>
        <v/>
      </c>
      <c r="E2378">
        <f>_xlfn.NUMBERVALUE("-0.000781")</f>
        <v/>
      </c>
      <c r="F2378">
        <f>_xlfn.NUMBERVALUE("0.000729")</f>
        <v/>
      </c>
      <c r="G2378">
        <f>_xlfn.NUMBERVALUE("0.005711")</f>
        <v/>
      </c>
      <c r="H2378">
        <f>_xlfn.NUMBERVALUE("-0.000615")</f>
        <v/>
      </c>
      <c r="I2378">
        <f>_xlfn.NUMBERVALUE("0.000549")</f>
        <v/>
      </c>
      <c r="J2378">
        <f>_xlfn.NUMBERVALUE("0.000274")</f>
        <v/>
      </c>
      <c r="K2378">
        <f>_xlfn.NUMBERVALUE("-0.000440")</f>
        <v/>
      </c>
      <c r="L2378">
        <f>_xlfn.NUMBERVALUE("-0.000918")</f>
        <v/>
      </c>
      <c r="M2378">
        <f>_xlfn.NUMBERVALUE("-0.000101")</f>
        <v/>
      </c>
      <c r="N2378">
        <f>_xlfn.NUMBERVALUE("0.001572")</f>
        <v/>
      </c>
      <c r="O2378">
        <f>_xlfn.NUMBERVALUE("-0.000137")</f>
        <v/>
      </c>
      <c r="P2378">
        <f>_xlfn.NUMBERVALUE("-0.000465")</f>
        <v/>
      </c>
      <c r="Q2378">
        <f>_xlfn.NUMBERVALUE("0.000321")</f>
        <v/>
      </c>
      <c r="R2378">
        <f>_xlfn.NUMBERVALUE("0.000024")</f>
        <v/>
      </c>
      <c r="S2378">
        <f>_xlfn.NUMBERVALUE("0.000618")</f>
        <v/>
      </c>
      <c r="T2378">
        <f>_xlfn.NUMBERVALUE("-0.000062")</f>
        <v/>
      </c>
      <c r="U2378">
        <f>_xlfn.NUMBERVALUE("0.001488")</f>
        <v/>
      </c>
      <c r="V2378">
        <f>_xlfn.NUMBERVALUE("-0.000009")</f>
        <v/>
      </c>
      <c r="W2378">
        <f>_xlfn.NUMBERVALUE("0.002299")</f>
        <v/>
      </c>
      <c r="X2378">
        <f>_xlfn.NUMBERVALUE("0.110000")</f>
        <v/>
      </c>
      <c r="Y2378">
        <f>_xlfn.NUMBERVALUE("12.850000")</f>
        <v/>
      </c>
    </row>
    <row r="2379">
      <c r="A2379" s="1" t="n">
        <v>45455</v>
      </c>
      <c r="B2379">
        <f>_xlfn.NUMBERVALUE("0.002883")</f>
        <v/>
      </c>
      <c r="C2379" s="2">
        <f>_xlfn.NUMBERVALUE("0.002125")</f>
        <v/>
      </c>
      <c r="D2379">
        <f>_xlfn.NUMBERVALUE("-0.001315")</f>
        <v/>
      </c>
      <c r="E2379">
        <f>_xlfn.NUMBERVALUE("-0.002457")</f>
        <v/>
      </c>
      <c r="F2379">
        <f>_xlfn.NUMBERVALUE("0.001842")</f>
        <v/>
      </c>
      <c r="G2379">
        <f>_xlfn.NUMBERVALUE("-0.008065")</f>
        <v/>
      </c>
      <c r="H2379">
        <f>_xlfn.NUMBERVALUE("0.002017")</f>
        <v/>
      </c>
      <c r="I2379">
        <f>_xlfn.NUMBERVALUE("0.002457")</f>
        <v/>
      </c>
      <c r="J2379">
        <f>_xlfn.NUMBERVALUE("0.000205")</f>
        <v/>
      </c>
      <c r="K2379">
        <f>_xlfn.NUMBERVALUE("0.003089")</f>
        <v/>
      </c>
      <c r="L2379">
        <f>_xlfn.NUMBERVALUE("0.001464")</f>
        <v/>
      </c>
      <c r="M2379">
        <f>_xlfn.NUMBERVALUE("0.001193")</f>
        <v/>
      </c>
      <c r="N2379">
        <f>_xlfn.NUMBERVALUE("0.002611")</f>
        <v/>
      </c>
      <c r="O2379">
        <f>_xlfn.NUMBERVALUE("0.000401")</f>
        <v/>
      </c>
      <c r="P2379">
        <f>_xlfn.NUMBERVALUE("0.003576")</f>
        <v/>
      </c>
      <c r="Q2379">
        <f>_xlfn.NUMBERVALUE("-0.000127")</f>
        <v/>
      </c>
      <c r="R2379">
        <f>_xlfn.NUMBERVALUE("-0.003645")</f>
        <v/>
      </c>
      <c r="S2379">
        <f>_xlfn.NUMBERVALUE("-0.000441")</f>
        <v/>
      </c>
      <c r="T2379">
        <f>_xlfn.NUMBERVALUE("0.003089")</f>
        <v/>
      </c>
      <c r="U2379">
        <f>_xlfn.NUMBERVALUE("0.002872")</f>
        <v/>
      </c>
      <c r="V2379">
        <f>_xlfn.NUMBERVALUE("0.001311")</f>
        <v/>
      </c>
      <c r="W2379">
        <f>_xlfn.NUMBERVALUE("0.008299")</f>
        <v/>
      </c>
      <c r="X2379">
        <f>_xlfn.NUMBERVALUE("-0.810000")</f>
        <v/>
      </c>
      <c r="Y2379">
        <f>_xlfn.NUMBERVALUE("12.040000")</f>
        <v/>
      </c>
    </row>
    <row r="2380">
      <c r="A2380" s="1" t="n">
        <v>45456</v>
      </c>
      <c r="B2380">
        <f>_xlfn.NUMBERVALUE("0.002153")</f>
        <v/>
      </c>
      <c r="C2380" s="2">
        <f>_xlfn.NUMBERVALUE("0.000350")</f>
        <v/>
      </c>
      <c r="D2380">
        <f>_xlfn.NUMBERVALUE("0.001863")</f>
        <v/>
      </c>
      <c r="E2380">
        <f>_xlfn.NUMBERVALUE("0.001441")</f>
        <v/>
      </c>
      <c r="F2380">
        <f>_xlfn.NUMBERVALUE("-0.000473")</f>
        <v/>
      </c>
      <c r="G2380">
        <f>_xlfn.NUMBERVALUE("0.006121")</f>
        <v/>
      </c>
      <c r="H2380">
        <f>_xlfn.NUMBERVALUE("-0.001197")</f>
        <v/>
      </c>
      <c r="I2380">
        <f>_xlfn.NUMBERVALUE("0.000360")</f>
        <v/>
      </c>
      <c r="J2380">
        <f>_xlfn.NUMBERVALUE("-0.000254")</f>
        <v/>
      </c>
      <c r="K2380">
        <f>_xlfn.NUMBERVALUE("-0.001178")</f>
        <v/>
      </c>
      <c r="L2380">
        <f>_xlfn.NUMBERVALUE("-0.002623")</f>
        <v/>
      </c>
      <c r="M2380">
        <f>_xlfn.NUMBERVALUE("0.002806")</f>
        <v/>
      </c>
      <c r="N2380">
        <f>_xlfn.NUMBERVALUE("0.002833")</f>
        <v/>
      </c>
      <c r="O2380">
        <f>_xlfn.NUMBERVALUE("-0.000185")</f>
        <v/>
      </c>
      <c r="P2380">
        <f>_xlfn.NUMBERVALUE("0.000429")</f>
        <v/>
      </c>
      <c r="Q2380">
        <f>_xlfn.NUMBERVALUE("0.001474")</f>
        <v/>
      </c>
      <c r="R2380">
        <f>_xlfn.NUMBERVALUE("-0.001539")</f>
        <v/>
      </c>
      <c r="S2380">
        <f>_xlfn.NUMBERVALUE("0.000842")</f>
        <v/>
      </c>
      <c r="T2380">
        <f>_xlfn.NUMBERVALUE("-0.000371")</f>
        <v/>
      </c>
      <c r="U2380">
        <f>_xlfn.NUMBERVALUE("-0.000759")</f>
        <v/>
      </c>
      <c r="V2380">
        <f>_xlfn.NUMBERVALUE("0.000268")</f>
        <v/>
      </c>
      <c r="W2380">
        <f>_xlfn.NUMBERVALUE("0.003903")</f>
        <v/>
      </c>
      <c r="X2380">
        <f>_xlfn.NUMBERVALUE("-0.100000")</f>
        <v/>
      </c>
      <c r="Y2380">
        <f>_xlfn.NUMBERVALUE("11.940000")</f>
        <v/>
      </c>
    </row>
    <row r="2381">
      <c r="A2381" s="1" t="n">
        <v>45457</v>
      </c>
      <c r="B2381">
        <f>_xlfn.NUMBERVALUE("0.000582")</f>
        <v/>
      </c>
      <c r="C2381" s="2">
        <f>_xlfn.NUMBERVALUE("-0.000932")</f>
        <v/>
      </c>
      <c r="D2381">
        <f>_xlfn.NUMBERVALUE("-0.000728")</f>
        <v/>
      </c>
      <c r="E2381">
        <f>_xlfn.NUMBERVALUE("-0.002464")</f>
        <v/>
      </c>
      <c r="F2381">
        <f>_xlfn.NUMBERVALUE("-0.000822")</f>
        <v/>
      </c>
      <c r="G2381">
        <f>_xlfn.NUMBERVALUE("0.004427")</f>
        <v/>
      </c>
      <c r="H2381">
        <f>_xlfn.NUMBERVALUE("-0.001009")</f>
        <v/>
      </c>
      <c r="I2381">
        <f>_xlfn.NUMBERVALUE("-0.003230")</f>
        <v/>
      </c>
      <c r="J2381">
        <f>_xlfn.NUMBERVALUE("-0.000071")</f>
        <v/>
      </c>
      <c r="K2381">
        <f>_xlfn.NUMBERVALUE("0.000840")</f>
        <v/>
      </c>
      <c r="L2381">
        <f>_xlfn.NUMBERVALUE("-0.001214")</f>
        <v/>
      </c>
      <c r="M2381">
        <f>_xlfn.NUMBERVALUE("-0.000200")</f>
        <v/>
      </c>
      <c r="N2381">
        <f>_xlfn.NUMBERVALUE("0.000422")</f>
        <v/>
      </c>
      <c r="O2381">
        <f>_xlfn.NUMBERVALUE("-0.000219")</f>
        <v/>
      </c>
      <c r="P2381">
        <f>_xlfn.NUMBERVALUE("0.000045")</f>
        <v/>
      </c>
      <c r="Q2381">
        <f>_xlfn.NUMBERVALUE("-0.001772")</f>
        <v/>
      </c>
      <c r="R2381">
        <f>_xlfn.NUMBERVALUE("-0.001945")</f>
        <v/>
      </c>
      <c r="S2381">
        <f>_xlfn.NUMBERVALUE("-0.000438")</f>
        <v/>
      </c>
      <c r="T2381">
        <f>_xlfn.NUMBERVALUE("0.000355")</f>
        <v/>
      </c>
      <c r="U2381">
        <f>_xlfn.NUMBERVALUE("0.000583")</f>
        <v/>
      </c>
      <c r="V2381">
        <f>_xlfn.NUMBERVALUE("-0.000295")</f>
        <v/>
      </c>
      <c r="W2381">
        <f>_xlfn.NUMBERVALUE("-0.001437")</f>
        <v/>
      </c>
      <c r="X2381">
        <f>_xlfn.NUMBERVALUE("0.720000")</f>
        <v/>
      </c>
      <c r="Y2381">
        <f>_xlfn.NUMBERVALUE("12.660000")</f>
        <v/>
      </c>
    </row>
    <row r="2382">
      <c r="A2382" s="1" t="n">
        <v>45460</v>
      </c>
      <c r="B2382">
        <f>_xlfn.NUMBERVALUE("0.003314")</f>
        <v/>
      </c>
      <c r="C2382" s="2">
        <f>_xlfn.NUMBERVALUE("0.000046")</f>
        <v/>
      </c>
      <c r="D2382">
        <f>_xlfn.NUMBERVALUE("0.001179")</f>
        <v/>
      </c>
      <c r="E2382">
        <f>_xlfn.NUMBERVALUE("-0.000192")</f>
        <v/>
      </c>
      <c r="F2382">
        <f>_xlfn.NUMBERVALUE("0.001247")</f>
        <v/>
      </c>
      <c r="G2382">
        <f>_xlfn.NUMBERVALUE("-0.000704")</f>
        <v/>
      </c>
      <c r="H2382">
        <f>_xlfn.NUMBERVALUE("0.000476")</f>
        <v/>
      </c>
      <c r="I2382">
        <f>_xlfn.NUMBERVALUE("0.000626")</f>
        <v/>
      </c>
      <c r="J2382">
        <f>_xlfn.NUMBERVALUE("0.000377")</f>
        <v/>
      </c>
      <c r="K2382">
        <f>_xlfn.NUMBERVALUE("0.001996")</f>
        <v/>
      </c>
      <c r="L2382">
        <f>_xlfn.NUMBERVALUE("0.002159")</f>
        <v/>
      </c>
      <c r="M2382">
        <f>_xlfn.NUMBERVALUE("0.000027")</f>
        <v/>
      </c>
      <c r="N2382">
        <f>_xlfn.NUMBERVALUE("0.001042")</f>
        <v/>
      </c>
      <c r="O2382">
        <f>_xlfn.NUMBERVALUE("0.000906")</f>
        <v/>
      </c>
      <c r="P2382">
        <f>_xlfn.NUMBERVALUE("-0.001332")</f>
        <v/>
      </c>
      <c r="Q2382">
        <f>_xlfn.NUMBERVALUE("-0.002104")</f>
        <v/>
      </c>
      <c r="R2382">
        <f>_xlfn.NUMBERVALUE("-0.002542")</f>
        <v/>
      </c>
      <c r="S2382">
        <f>_xlfn.NUMBERVALUE("-0.005578")</f>
        <v/>
      </c>
      <c r="T2382">
        <f>_xlfn.NUMBERVALUE("-0.004359")</f>
        <v/>
      </c>
      <c r="U2382">
        <f>_xlfn.NUMBERVALUE("-0.007036")</f>
        <v/>
      </c>
      <c r="V2382">
        <f>_xlfn.NUMBERVALUE("-0.001846")</f>
        <v/>
      </c>
      <c r="W2382">
        <f>_xlfn.NUMBERVALUE("0.010738")</f>
        <v/>
      </c>
      <c r="X2382">
        <f>_xlfn.NUMBERVALUE("0.090000")</f>
        <v/>
      </c>
      <c r="Y2382">
        <f>_xlfn.NUMBERVALUE("12.750000")</f>
        <v/>
      </c>
    </row>
    <row r="2383">
      <c r="A2383" s="1" t="n">
        <v>45461</v>
      </c>
      <c r="B2383">
        <f>_xlfn.NUMBERVALUE("0.001905")</f>
        <v/>
      </c>
      <c r="C2383" s="2">
        <f>_xlfn.NUMBERVALUE("0.000638")</f>
        <v/>
      </c>
      <c r="D2383">
        <f>_xlfn.NUMBERVALUE("0.000405")</f>
        <v/>
      </c>
      <c r="E2383">
        <f>_xlfn.NUMBERVALUE("0.000275")</f>
        <v/>
      </c>
      <c r="F2383">
        <f>_xlfn.NUMBERVALUE("0.000450")</f>
        <v/>
      </c>
      <c r="G2383">
        <f>_xlfn.NUMBERVALUE("0.001279")</f>
        <v/>
      </c>
      <c r="H2383">
        <f>_xlfn.NUMBERVALUE("0.000849")</f>
        <v/>
      </c>
      <c r="I2383">
        <f>_xlfn.NUMBERVALUE("0.001624")</f>
        <v/>
      </c>
      <c r="J2383">
        <f>_xlfn.NUMBERVALUE("0.000409")</f>
        <v/>
      </c>
      <c r="K2383">
        <f>_xlfn.NUMBERVALUE("0.002278")</f>
        <v/>
      </c>
      <c r="L2383">
        <f>_xlfn.NUMBERVALUE("0.000179")</f>
        <v/>
      </c>
      <c r="M2383">
        <f>_xlfn.NUMBERVALUE("-0.001717")</f>
        <v/>
      </c>
      <c r="N2383">
        <f>_xlfn.NUMBERVALUE("0.000467")</f>
        <v/>
      </c>
      <c r="O2383">
        <f>_xlfn.NUMBERVALUE("0.001332")</f>
        <v/>
      </c>
      <c r="P2383">
        <f>_xlfn.NUMBERVALUE("0.001760")</f>
        <v/>
      </c>
      <c r="Q2383">
        <f>_xlfn.NUMBERVALUE("0.000493")</f>
        <v/>
      </c>
      <c r="R2383">
        <f>_xlfn.NUMBERVALUE("0.001385")</f>
        <v/>
      </c>
      <c r="S2383">
        <f>_xlfn.NUMBERVALUE("0.004647")</f>
        <v/>
      </c>
      <c r="T2383">
        <f>_xlfn.NUMBERVALUE("0.004021")</f>
        <v/>
      </c>
      <c r="U2383">
        <f>_xlfn.NUMBERVALUE("0.000436")</f>
        <v/>
      </c>
      <c r="V2383">
        <f>_xlfn.NUMBERVALUE("0.000798")</f>
        <v/>
      </c>
      <c r="W2383">
        <f>_xlfn.NUMBERVALUE("0.000329")</f>
        <v/>
      </c>
      <c r="X2383">
        <f>_xlfn.NUMBERVALUE("-0.450000")</f>
        <v/>
      </c>
      <c r="Y2383">
        <f>_xlfn.NUMBERVALUE("12.300000")</f>
        <v/>
      </c>
    </row>
    <row r="2384">
      <c r="A2384" s="1" t="n">
        <v>45463</v>
      </c>
      <c r="B2384">
        <f>_xlfn.NUMBERVALUE("0.001788")</f>
        <v/>
      </c>
      <c r="C2384" s="2">
        <f>_xlfn.NUMBERVALUE("-0.001238")</f>
        <v/>
      </c>
      <c r="D2384">
        <f>_xlfn.NUMBERVALUE("0.000326")</f>
        <v/>
      </c>
      <c r="E2384">
        <f>_xlfn.NUMBERVALUE("0.000250")</f>
        <v/>
      </c>
      <c r="F2384">
        <f>_xlfn.NUMBERVALUE("-0.000964")</f>
        <v/>
      </c>
      <c r="G2384">
        <f>_xlfn.NUMBERVALUE("0.000303")</f>
        <v/>
      </c>
      <c r="H2384">
        <f>_xlfn.NUMBERVALUE("0.000285")</f>
        <v/>
      </c>
      <c r="I2384">
        <f>_xlfn.NUMBERVALUE("0.001050")</f>
        <v/>
      </c>
      <c r="J2384">
        <f>_xlfn.NUMBERVALUE("0.000281")</f>
        <v/>
      </c>
      <c r="K2384">
        <f>_xlfn.NUMBERVALUE("-0.002370")</f>
        <v/>
      </c>
      <c r="L2384">
        <f>_xlfn.NUMBERVALUE("0.000026")</f>
        <v/>
      </c>
      <c r="M2384">
        <f>_xlfn.NUMBERVALUE("-0.000670")</f>
        <v/>
      </c>
      <c r="N2384">
        <f>_xlfn.NUMBERVALUE("0.000046")</f>
        <v/>
      </c>
      <c r="O2384">
        <f>_xlfn.NUMBERVALUE("-0.001840")</f>
        <v/>
      </c>
      <c r="P2384">
        <f>_xlfn.NUMBERVALUE("-0.000426")</f>
        <v/>
      </c>
      <c r="Q2384">
        <f>_xlfn.NUMBERVALUE("0.000685")</f>
        <v/>
      </c>
      <c r="R2384">
        <f>_xlfn.NUMBERVALUE("0.000692")</f>
        <v/>
      </c>
      <c r="S2384">
        <f>_xlfn.NUMBERVALUE("0.000463")</f>
        <v/>
      </c>
      <c r="T2384">
        <f>_xlfn.NUMBERVALUE("0.000668")</f>
        <v/>
      </c>
      <c r="U2384">
        <f>_xlfn.NUMBERVALUE("-0.000068")</f>
        <v/>
      </c>
      <c r="V2384">
        <f>_xlfn.NUMBERVALUE("0.000109")</f>
        <v/>
      </c>
      <c r="W2384">
        <f>_xlfn.NUMBERVALUE("-0.001004")</f>
        <v/>
      </c>
      <c r="X2384">
        <f>_xlfn.NUMBERVALUE("0.980000")</f>
        <v/>
      </c>
      <c r="Y2384">
        <f>_xlfn.NUMBERVALUE("13.280000")</f>
        <v/>
      </c>
    </row>
    <row r="2385">
      <c r="A2385" s="1" t="n">
        <v>45464</v>
      </c>
      <c r="B2385">
        <f>_xlfn.NUMBERVALUE("0.003740")</f>
        <v/>
      </c>
      <c r="C2385" s="2">
        <f>_xlfn.NUMBERVALUE("0.001192")</f>
        <v/>
      </c>
      <c r="D2385">
        <f>_xlfn.NUMBERVALUE("0.001884")</f>
        <v/>
      </c>
      <c r="E2385">
        <f>_xlfn.NUMBERVALUE("0.000210")</f>
        <v/>
      </c>
      <c r="F2385">
        <f>_xlfn.NUMBERVALUE("-0.001952")</f>
        <v/>
      </c>
      <c r="G2385">
        <f>_xlfn.NUMBERVALUE("0.000463")</f>
        <v/>
      </c>
      <c r="H2385">
        <f>_xlfn.NUMBERVALUE("0.000484")</f>
        <v/>
      </c>
      <c r="I2385">
        <f>_xlfn.NUMBERVALUE("0.001815")</f>
        <v/>
      </c>
      <c r="J2385">
        <f>_xlfn.NUMBERVALUE("0.001228")</f>
        <v/>
      </c>
      <c r="K2385">
        <f>_xlfn.NUMBERVALUE("-0.005129")</f>
        <v/>
      </c>
      <c r="L2385">
        <f>_xlfn.NUMBERVALUE("0.002542")</f>
        <v/>
      </c>
      <c r="M2385">
        <f>_xlfn.NUMBERVALUE("0.003488")</f>
        <v/>
      </c>
      <c r="N2385">
        <f>_xlfn.NUMBERVALUE("-0.000955")</f>
        <v/>
      </c>
      <c r="O2385">
        <f>_xlfn.NUMBERVALUE("0.000678")</f>
        <v/>
      </c>
      <c r="P2385">
        <f>_xlfn.NUMBERVALUE("0.001940")</f>
        <v/>
      </c>
      <c r="Q2385">
        <f>_xlfn.NUMBERVALUE("0.001103")</f>
        <v/>
      </c>
      <c r="R2385">
        <f>_xlfn.NUMBERVALUE("0.000893")</f>
        <v/>
      </c>
      <c r="S2385">
        <f>_xlfn.NUMBERVALUE("0.000199")</f>
        <v/>
      </c>
      <c r="T2385">
        <f>_xlfn.NUMBERVALUE("0.007700")</f>
        <v/>
      </c>
      <c r="U2385">
        <f>_xlfn.NUMBERVALUE("0.001313")</f>
        <v/>
      </c>
      <c r="V2385">
        <f>_xlfn.NUMBERVALUE("-0.000682")</f>
        <v/>
      </c>
      <c r="W2385">
        <f>_xlfn.NUMBERVALUE("-0.005407")</f>
        <v/>
      </c>
      <c r="X2385">
        <f>_xlfn.NUMBERVALUE("-0.080000")</f>
        <v/>
      </c>
      <c r="Y2385">
        <f>_xlfn.NUMBERVALUE("13.200000")</f>
        <v/>
      </c>
    </row>
    <row r="2386">
      <c r="A2386" s="1" t="n">
        <v>45467</v>
      </c>
      <c r="B2386">
        <f>_xlfn.NUMBERVALUE("0.002940")</f>
        <v/>
      </c>
      <c r="C2386" s="2">
        <f>_xlfn.NUMBERVALUE("-0.000806")</f>
        <v/>
      </c>
      <c r="D2386">
        <f>_xlfn.NUMBERVALUE("0.000727")</f>
        <v/>
      </c>
      <c r="E2386">
        <f>_xlfn.NUMBERVALUE("-0.001021")</f>
        <v/>
      </c>
      <c r="F2386">
        <f>_xlfn.NUMBERVALUE("0.001361")</f>
        <v/>
      </c>
      <c r="G2386">
        <f>_xlfn.NUMBERVALUE("0.000705")</f>
        <v/>
      </c>
      <c r="H2386">
        <f>_xlfn.NUMBERVALUE("0.001156")</f>
        <v/>
      </c>
      <c r="I2386">
        <f>_xlfn.NUMBERVALUE("0.002029")</f>
        <v/>
      </c>
      <c r="J2386">
        <f>_xlfn.NUMBERVALUE("0.000745")</f>
        <v/>
      </c>
      <c r="K2386">
        <f>_xlfn.NUMBERVALUE("0.004057")</f>
        <v/>
      </c>
      <c r="L2386">
        <f>_xlfn.NUMBERVALUE("0.000947")</f>
        <v/>
      </c>
      <c r="M2386">
        <f>_xlfn.NUMBERVALUE("0.000552")</f>
        <v/>
      </c>
      <c r="N2386">
        <f>_xlfn.NUMBERVALUE("0.001169")</f>
        <v/>
      </c>
      <c r="O2386">
        <f>_xlfn.NUMBERVALUE("-0.002994")</f>
        <v/>
      </c>
      <c r="P2386">
        <f>_xlfn.NUMBERVALUE("-0.001559")</f>
        <v/>
      </c>
      <c r="Q2386">
        <f>_xlfn.NUMBERVALUE("-0.000177")</f>
        <v/>
      </c>
      <c r="R2386">
        <f>_xlfn.NUMBERVALUE("-0.000175")</f>
        <v/>
      </c>
      <c r="S2386">
        <f>_xlfn.NUMBERVALUE("-0.000357")</f>
        <v/>
      </c>
      <c r="T2386">
        <f>_xlfn.NUMBERVALUE("-0.002381")</f>
        <v/>
      </c>
      <c r="U2386">
        <f>_xlfn.NUMBERVALUE("0.000623")</f>
        <v/>
      </c>
      <c r="V2386">
        <f>_xlfn.NUMBERVALUE("0.002009")</f>
        <v/>
      </c>
      <c r="W2386">
        <f>_xlfn.NUMBERVALUE("-0.000900")</f>
        <v/>
      </c>
      <c r="X2386">
        <f>_xlfn.NUMBERVALUE("0.130000")</f>
        <v/>
      </c>
      <c r="Y2386">
        <f>_xlfn.NUMBERVALUE("13.330000")</f>
        <v/>
      </c>
    </row>
    <row r="2387">
      <c r="A2387" s="1" t="n">
        <v>45468</v>
      </c>
      <c r="B2387">
        <f>_xlfn.NUMBERVALUE("0.001974")</f>
        <v/>
      </c>
      <c r="C2387" s="2">
        <f>_xlfn.NUMBERVALUE("0.000328")</f>
        <v/>
      </c>
      <c r="D2387">
        <f>_xlfn.NUMBERVALUE("0.000903")</f>
        <v/>
      </c>
      <c r="E2387">
        <f>_xlfn.NUMBERVALUE("0.000327")</f>
        <v/>
      </c>
      <c r="F2387">
        <f>_xlfn.NUMBERVALUE("0.001305")</f>
        <v/>
      </c>
      <c r="G2387">
        <f>_xlfn.NUMBERVALUE("0.000545")</f>
        <v/>
      </c>
      <c r="H2387">
        <f>_xlfn.NUMBERVALUE("-0.000139")</f>
        <v/>
      </c>
      <c r="I2387">
        <f>_xlfn.NUMBERVALUE("0.000935")</f>
        <v/>
      </c>
      <c r="J2387">
        <f>_xlfn.NUMBERVALUE("0.000550")</f>
        <v/>
      </c>
      <c r="K2387">
        <f>_xlfn.NUMBERVALUE("0.000222")</f>
        <v/>
      </c>
      <c r="L2387">
        <f>_xlfn.NUMBERVALUE("0.000387")</f>
        <v/>
      </c>
      <c r="M2387">
        <f>_xlfn.NUMBERVALUE("0.000706")</f>
        <v/>
      </c>
      <c r="N2387">
        <f>_xlfn.NUMBERVALUE("-0.001181")</f>
        <v/>
      </c>
      <c r="O2387">
        <f>_xlfn.NUMBERVALUE("0.000679")</f>
        <v/>
      </c>
      <c r="P2387">
        <f>_xlfn.NUMBERVALUE("-0.000698")</f>
        <v/>
      </c>
      <c r="Q2387">
        <f>_xlfn.NUMBERVALUE("0.000396")</f>
        <v/>
      </c>
      <c r="R2387">
        <f>_xlfn.NUMBERVALUE("-0.000065")</f>
        <v/>
      </c>
      <c r="S2387">
        <f>_xlfn.NUMBERVALUE("-0.000063")</f>
        <v/>
      </c>
      <c r="T2387">
        <f>_xlfn.NUMBERVALUE("-0.000822")</f>
        <v/>
      </c>
      <c r="U2387">
        <f>_xlfn.NUMBERVALUE("0.001339")</f>
        <v/>
      </c>
      <c r="V2387">
        <f>_xlfn.NUMBERVALUE("0.000908")</f>
        <v/>
      </c>
      <c r="W2387">
        <f>_xlfn.NUMBERVALUE("0.000993")</f>
        <v/>
      </c>
      <c r="X2387">
        <f>_xlfn.NUMBERVALUE("-0.490000")</f>
        <v/>
      </c>
      <c r="Y2387">
        <f>_xlfn.NUMBERVALUE("12.840000")</f>
        <v/>
      </c>
    </row>
    <row r="2388">
      <c r="A2388" s="1" t="n">
        <v>45469</v>
      </c>
      <c r="B2388">
        <f>_xlfn.NUMBERVALUE("0.001607")</f>
        <v/>
      </c>
      <c r="C2388" s="2">
        <f>_xlfn.NUMBERVALUE("0.000656")</f>
        <v/>
      </c>
      <c r="D2388">
        <f>_xlfn.NUMBERVALUE("0.000875")</f>
        <v/>
      </c>
      <c r="E2388">
        <f>_xlfn.NUMBERVALUE("-0.001034")</f>
        <v/>
      </c>
      <c r="F2388">
        <f>_xlfn.NUMBERVALUE("-0.000761")</f>
        <v/>
      </c>
      <c r="G2388">
        <f>_xlfn.NUMBERVALUE("0.000479")</f>
        <v/>
      </c>
      <c r="H2388">
        <f>_xlfn.NUMBERVALUE("-0.001148")</f>
        <v/>
      </c>
      <c r="I2388">
        <f>_xlfn.NUMBERVALUE("0.000313")</f>
        <v/>
      </c>
      <c r="J2388">
        <f>_xlfn.NUMBERVALUE("-0.000888")</f>
        <v/>
      </c>
      <c r="K2388">
        <f>_xlfn.NUMBERVALUE("0.000714")</f>
        <v/>
      </c>
      <c r="L2388">
        <f>_xlfn.NUMBERVALUE("0.000041")</f>
        <v/>
      </c>
      <c r="M2388">
        <f>_xlfn.NUMBERVALUE("-0.000461")</f>
        <v/>
      </c>
      <c r="N2388">
        <f>_xlfn.NUMBERVALUE("0.001053")</f>
        <v/>
      </c>
      <c r="O2388">
        <f>_xlfn.NUMBERVALUE("0.000278")</f>
        <v/>
      </c>
      <c r="P2388">
        <f>_xlfn.NUMBERVALUE("0.000936")</f>
        <v/>
      </c>
      <c r="Q2388">
        <f>_xlfn.NUMBERVALUE("0.001372")</f>
        <v/>
      </c>
      <c r="R2388">
        <f>_xlfn.NUMBERVALUE("0.001554")</f>
        <v/>
      </c>
      <c r="S2388">
        <f>_xlfn.NUMBERVALUE("0.000664")</f>
        <v/>
      </c>
      <c r="T2388">
        <f>_xlfn.NUMBERVALUE("0.000996")</f>
        <v/>
      </c>
      <c r="U2388">
        <f>_xlfn.NUMBERVALUE("-0.002631")</f>
        <v/>
      </c>
      <c r="V2388">
        <f>_xlfn.NUMBERVALUE("0.000831")</f>
        <v/>
      </c>
      <c r="W2388">
        <f>_xlfn.NUMBERVALUE("0.000441")</f>
        <v/>
      </c>
      <c r="X2388">
        <f>_xlfn.NUMBERVALUE("-0.290000")</f>
        <v/>
      </c>
      <c r="Y2388">
        <f>_xlfn.NUMBERVALUE("12.550000")</f>
        <v/>
      </c>
    </row>
    <row r="2389">
      <c r="A2389" s="1" t="n">
        <v>45470</v>
      </c>
      <c r="B2389">
        <f>_xlfn.NUMBERVALUE("0.004346")</f>
        <v/>
      </c>
      <c r="C2389" s="2">
        <f>_xlfn.NUMBERVALUE("0.001058")</f>
        <v/>
      </c>
      <c r="D2389">
        <f>_xlfn.NUMBERVALUE("0.001202")</f>
        <v/>
      </c>
      <c r="E2389">
        <f>_xlfn.NUMBERVALUE("0.000567")</f>
        <v/>
      </c>
      <c r="F2389">
        <f>_xlfn.NUMBERVALUE("-0.000316")</f>
        <v/>
      </c>
      <c r="G2389">
        <f>_xlfn.NUMBERVALUE("0.000312")</f>
        <v/>
      </c>
      <c r="H2389">
        <f>_xlfn.NUMBERVALUE("0.000515")</f>
        <v/>
      </c>
      <c r="I2389">
        <f>_xlfn.NUMBERVALUE("0.000256")</f>
        <v/>
      </c>
      <c r="J2389">
        <f>_xlfn.NUMBERVALUE("0.000603")</f>
        <v/>
      </c>
      <c r="K2389">
        <f>_xlfn.NUMBERVALUE("0.000197")</f>
        <v/>
      </c>
      <c r="L2389">
        <f>_xlfn.NUMBERVALUE("0.000394")</f>
        <v/>
      </c>
      <c r="M2389">
        <f>_xlfn.NUMBERVALUE("0.000747")</f>
        <v/>
      </c>
      <c r="N2389">
        <f>_xlfn.NUMBERVALUE("-0.000519")</f>
        <v/>
      </c>
      <c r="O2389">
        <f>_xlfn.NUMBERVALUE("0.001267")</f>
        <v/>
      </c>
      <c r="P2389">
        <f>_xlfn.NUMBERVALUE("0.001974")</f>
        <v/>
      </c>
      <c r="Q2389">
        <f>_xlfn.NUMBERVALUE("0.000471")</f>
        <v/>
      </c>
      <c r="R2389">
        <f>_xlfn.NUMBERVALUE("0.001634")</f>
        <v/>
      </c>
      <c r="S2389">
        <f>_xlfn.NUMBERVALUE("0.001050")</f>
        <v/>
      </c>
      <c r="T2389">
        <f>_xlfn.NUMBERVALUE("0.000463")</f>
        <v/>
      </c>
      <c r="U2389">
        <f>_xlfn.NUMBERVALUE("-0.000565")</f>
        <v/>
      </c>
      <c r="V2389">
        <f>_xlfn.NUMBERVALUE("0.000636")</f>
        <v/>
      </c>
      <c r="W2389">
        <f>_xlfn.NUMBERVALUE("0.001744")</f>
        <v/>
      </c>
      <c r="X2389">
        <f>_xlfn.NUMBERVALUE("-0.310000")</f>
        <v/>
      </c>
      <c r="Y2389">
        <f>_xlfn.NUMBERVALUE("12.240000")</f>
        <v/>
      </c>
    </row>
    <row r="2390">
      <c r="A2390" s="1" t="n">
        <v>45471</v>
      </c>
      <c r="B2390">
        <f>_xlfn.NUMBERVALUE("0.002586")</f>
        <v/>
      </c>
      <c r="C2390" s="2">
        <f>_xlfn.NUMBERVALUE("0.001193")</f>
        <v/>
      </c>
      <c r="D2390">
        <f>_xlfn.NUMBERVALUE("0.001821")</f>
        <v/>
      </c>
      <c r="E2390">
        <f>_xlfn.NUMBERVALUE("0.000057")</f>
        <v/>
      </c>
      <c r="F2390">
        <f>_xlfn.NUMBERVALUE("0.000592")</f>
        <v/>
      </c>
      <c r="G2390">
        <f>_xlfn.NUMBERVALUE("-0.001063")</f>
        <v/>
      </c>
      <c r="H2390">
        <f>_xlfn.NUMBERVALUE("-0.001251")</f>
        <v/>
      </c>
      <c r="I2390">
        <f>_xlfn.NUMBERVALUE("0.002892")</f>
        <v/>
      </c>
      <c r="J2390">
        <f>_xlfn.NUMBERVALUE("-0.001515")</f>
        <v/>
      </c>
      <c r="K2390">
        <f>_xlfn.NUMBERVALUE("0.001233")</f>
        <v/>
      </c>
      <c r="L2390">
        <f>_xlfn.NUMBERVALUE("-0.002471")</f>
        <v/>
      </c>
      <c r="M2390">
        <f>_xlfn.NUMBERVALUE("0.000605")</f>
        <v/>
      </c>
      <c r="N2390">
        <f>_xlfn.NUMBERVALUE("0.001825")</f>
        <v/>
      </c>
      <c r="O2390">
        <f>_xlfn.NUMBERVALUE("0.000852")</f>
        <v/>
      </c>
      <c r="P2390">
        <f>_xlfn.NUMBERVALUE("0.000489")</f>
        <v/>
      </c>
      <c r="Q2390">
        <f>_xlfn.NUMBERVALUE("0.001365")</f>
        <v/>
      </c>
      <c r="R2390">
        <f>_xlfn.NUMBERVALUE("0.000534")</f>
        <v/>
      </c>
      <c r="S2390">
        <f>_xlfn.NUMBERVALUE("0.000653")</f>
        <v/>
      </c>
      <c r="T2390">
        <f>_xlfn.NUMBERVALUE("-0.001302")</f>
        <v/>
      </c>
      <c r="U2390">
        <f>_xlfn.NUMBERVALUE("0.001275")</f>
        <v/>
      </c>
      <c r="V2390">
        <f>_xlfn.NUMBERVALUE("0.000839")</f>
        <v/>
      </c>
      <c r="W2390">
        <f>_xlfn.NUMBERVALUE("-0.001521")</f>
        <v/>
      </c>
      <c r="X2390">
        <f>_xlfn.NUMBERVALUE("0.200000")</f>
        <v/>
      </c>
      <c r="Y2390">
        <f>_xlfn.NUMBERVALUE("12.440000")</f>
        <v/>
      </c>
    </row>
    <row r="2391">
      <c r="A2391" s="1" t="n">
        <v>45474</v>
      </c>
      <c r="B2391">
        <f>_xlfn.NUMBERVALUE("0.001063")</f>
        <v/>
      </c>
      <c r="C2391" s="2">
        <f>_xlfn.NUMBERVALUE("0.001690")</f>
        <v/>
      </c>
      <c r="D2391">
        <f>_xlfn.NUMBERVALUE("0.001258")</f>
        <v/>
      </c>
      <c r="E2391">
        <f>_xlfn.NUMBERVALUE("-0.000237")</f>
        <v/>
      </c>
      <c r="F2391">
        <f>_xlfn.NUMBERVALUE("0.001279")</f>
        <v/>
      </c>
      <c r="G2391">
        <f>_xlfn.NUMBERVALUE("-0.000137")</f>
        <v/>
      </c>
      <c r="H2391">
        <f>_xlfn.NUMBERVALUE("-0.000654")</f>
        <v/>
      </c>
      <c r="I2391">
        <f>_xlfn.NUMBERVALUE("0.001955")</f>
        <v/>
      </c>
      <c r="J2391">
        <f>_xlfn.NUMBERVALUE("0.000021")</f>
        <v/>
      </c>
      <c r="K2391">
        <f>_xlfn.NUMBERVALUE("0.000555")</f>
        <v/>
      </c>
      <c r="L2391">
        <f>_xlfn.NUMBERVALUE("-0.007136")</f>
        <v/>
      </c>
      <c r="M2391">
        <f>_xlfn.NUMBERVALUE("-0.002868")</f>
        <v/>
      </c>
      <c r="N2391">
        <f>_xlfn.NUMBERVALUE("0.002356")</f>
        <v/>
      </c>
      <c r="O2391">
        <f>_xlfn.NUMBERVALUE("0.000996")</f>
        <v/>
      </c>
      <c r="P2391">
        <f>_xlfn.NUMBERVALUE("0.003146")</f>
        <v/>
      </c>
      <c r="Q2391">
        <f>_xlfn.NUMBERVALUE("-0.000183")</f>
        <v/>
      </c>
      <c r="R2391">
        <f>_xlfn.NUMBERVALUE("0.002751")</f>
        <v/>
      </c>
      <c r="S2391">
        <f>_xlfn.NUMBERVALUE("-0.001391")</f>
        <v/>
      </c>
      <c r="T2391">
        <f>_xlfn.NUMBERVALUE("-0.000340")</f>
        <v/>
      </c>
      <c r="U2391">
        <f>_xlfn.NUMBERVALUE("0.001471")</f>
        <v/>
      </c>
      <c r="V2391">
        <f>_xlfn.NUMBERVALUE("0.001630")</f>
        <v/>
      </c>
      <c r="W2391">
        <f>_xlfn.NUMBERVALUE("-0.000385")</f>
        <v/>
      </c>
      <c r="X2391">
        <f>_xlfn.NUMBERVALUE("-0.220000")</f>
        <v/>
      </c>
      <c r="Y2391">
        <f>_xlfn.NUMBERVALUE("12.220000")</f>
        <v/>
      </c>
    </row>
    <row r="2392">
      <c r="A2392" s="1" t="n">
        <v>45475</v>
      </c>
      <c r="B2392">
        <f>_xlfn.NUMBERVALUE("0.001380")</f>
        <v/>
      </c>
      <c r="C2392" s="2">
        <f>_xlfn.NUMBERVALUE("0.000683")</f>
        <v/>
      </c>
      <c r="D2392">
        <f>_xlfn.NUMBERVALUE("0.000651")</f>
        <v/>
      </c>
      <c r="E2392">
        <f>_xlfn.NUMBERVALUE("-0.000372")</f>
        <v/>
      </c>
      <c r="F2392">
        <f>_xlfn.NUMBERVALUE("0.001070")</f>
        <v/>
      </c>
      <c r="G2392">
        <f>_xlfn.NUMBERVALUE("-0.000337")</f>
        <v/>
      </c>
      <c r="H2392">
        <f>_xlfn.NUMBERVALUE("-0.000013")</f>
        <v/>
      </c>
      <c r="I2392">
        <f>_xlfn.NUMBERVALUE("0.002128")</f>
        <v/>
      </c>
      <c r="J2392">
        <f>_xlfn.NUMBERVALUE("-0.000204")</f>
        <v/>
      </c>
      <c r="K2392">
        <f>_xlfn.NUMBERVALUE("0.000365")</f>
        <v/>
      </c>
      <c r="L2392">
        <f>_xlfn.NUMBERVALUE("0.001530")</f>
        <v/>
      </c>
      <c r="M2392">
        <f>_xlfn.NUMBERVALUE("0.000314")</f>
        <v/>
      </c>
      <c r="N2392">
        <f>_xlfn.NUMBERVALUE("-0.000310")</f>
        <v/>
      </c>
      <c r="O2392">
        <f>_xlfn.NUMBERVALUE("0.002411")</f>
        <v/>
      </c>
      <c r="P2392">
        <f>_xlfn.NUMBERVALUE("-0.000574")</f>
        <v/>
      </c>
      <c r="Q2392">
        <f>_xlfn.NUMBERVALUE("0.001524")</f>
        <v/>
      </c>
      <c r="R2392">
        <f>_xlfn.NUMBERVALUE("0.000467")</f>
        <v/>
      </c>
      <c r="S2392">
        <f>_xlfn.NUMBERVALUE("0.000859")</f>
        <v/>
      </c>
      <c r="T2392">
        <f>_xlfn.NUMBERVALUE("0.000994")</f>
        <v/>
      </c>
      <c r="U2392">
        <f>_xlfn.NUMBERVALUE("-0.002218")</f>
        <v/>
      </c>
      <c r="V2392">
        <f>_xlfn.NUMBERVALUE("-0.000230")</f>
        <v/>
      </c>
      <c r="W2392">
        <f>_xlfn.NUMBERVALUE("0.006334")</f>
        <v/>
      </c>
      <c r="X2392">
        <f>_xlfn.NUMBERVALUE("-0.190000")</f>
        <v/>
      </c>
      <c r="Y2392">
        <f>_xlfn.NUMBERVALUE("12.030000")</f>
        <v/>
      </c>
    </row>
    <row r="2393">
      <c r="A2393" s="1" t="n">
        <v>45476</v>
      </c>
      <c r="B2393">
        <f>_xlfn.NUMBERVALUE("0.000825")</f>
        <v/>
      </c>
      <c r="C2393" s="2">
        <f>_xlfn.NUMBERVALUE("0.000853")</f>
        <v/>
      </c>
      <c r="D2393">
        <f>_xlfn.NUMBERVALUE("-0.002991")</f>
        <v/>
      </c>
      <c r="E2393">
        <f>_xlfn.NUMBERVALUE("0.000735")</f>
        <v/>
      </c>
      <c r="F2393">
        <f>_xlfn.NUMBERVALUE("-0.001130")</f>
        <v/>
      </c>
      <c r="G2393">
        <f>_xlfn.NUMBERVALUE("0.000032")</f>
        <v/>
      </c>
      <c r="H2393">
        <f>_xlfn.NUMBERVALUE("-0.000009")</f>
        <v/>
      </c>
      <c r="I2393">
        <f>_xlfn.NUMBERVALUE("0.001145")</f>
        <v/>
      </c>
      <c r="J2393">
        <f>_xlfn.NUMBERVALUE("-0.000181")</f>
        <v/>
      </c>
      <c r="K2393">
        <f>_xlfn.NUMBERVALUE("-0.001670")</f>
        <v/>
      </c>
      <c r="L2393">
        <f>_xlfn.NUMBERVALUE("-0.001647")</f>
        <v/>
      </c>
      <c r="M2393">
        <f>_xlfn.NUMBERVALUE("0.000509")</f>
        <v/>
      </c>
      <c r="N2393">
        <f>_xlfn.NUMBERVALUE("0.000299")</f>
        <v/>
      </c>
      <c r="O2393">
        <f>_xlfn.NUMBERVALUE("0.000156")</f>
        <v/>
      </c>
      <c r="P2393">
        <f>_xlfn.NUMBERVALUE("0.000284")</f>
        <v/>
      </c>
      <c r="Q2393">
        <f>_xlfn.NUMBERVALUE("-0.000606")</f>
        <v/>
      </c>
      <c r="R2393">
        <f>_xlfn.NUMBERVALUE("-0.000715")</f>
        <v/>
      </c>
      <c r="S2393">
        <f>_xlfn.NUMBERVALUE("0.000844")</f>
        <v/>
      </c>
      <c r="T2393">
        <f>_xlfn.NUMBERVALUE("-0.000028")</f>
        <v/>
      </c>
      <c r="U2393">
        <f>_xlfn.NUMBERVALUE("0.000628")</f>
        <v/>
      </c>
      <c r="V2393">
        <f>_xlfn.NUMBERVALUE("0.000074")</f>
        <v/>
      </c>
      <c r="W2393">
        <f>_xlfn.NUMBERVALUE("0.004561")</f>
        <v/>
      </c>
      <c r="X2393">
        <f>_xlfn.NUMBERVALUE("0.060000")</f>
        <v/>
      </c>
      <c r="Y2393">
        <f>_xlfn.NUMBERVALUE("12.090000")</f>
        <v/>
      </c>
    </row>
    <row r="2394">
      <c r="A2394" s="1" t="n">
        <v>45478</v>
      </c>
      <c r="B2394">
        <f>_xlfn.NUMBERVALUE("0.002338")</f>
        <v/>
      </c>
      <c r="C2394" s="2">
        <f>_xlfn.NUMBERVALUE("0.000736")</f>
        <v/>
      </c>
      <c r="D2394">
        <f>_xlfn.NUMBERVALUE("-0.000003")</f>
        <v/>
      </c>
      <c r="E2394">
        <f>_xlfn.NUMBERVALUE("0.000378")</f>
        <v/>
      </c>
      <c r="F2394">
        <f>_xlfn.NUMBERVALUE("-0.001138")</f>
        <v/>
      </c>
      <c r="G2394">
        <f>_xlfn.NUMBERVALUE("-0.001608")</f>
        <v/>
      </c>
      <c r="H2394">
        <f>_xlfn.NUMBERVALUE("0.002430")</f>
        <v/>
      </c>
      <c r="I2394">
        <f>_xlfn.NUMBERVALUE("0.001712")</f>
        <v/>
      </c>
      <c r="J2394">
        <f>_xlfn.NUMBERVALUE("0.001088")</f>
        <v/>
      </c>
      <c r="K2394">
        <f>_xlfn.NUMBERVALUE("-0.000380")</f>
        <v/>
      </c>
      <c r="L2394">
        <f>_xlfn.NUMBERVALUE("0.003404")</f>
        <v/>
      </c>
      <c r="M2394">
        <f>_xlfn.NUMBERVALUE("0.000229")</f>
        <v/>
      </c>
      <c r="N2394">
        <f>_xlfn.NUMBERVALUE("-0.002495")</f>
        <v/>
      </c>
      <c r="O2394">
        <f>_xlfn.NUMBERVALUE("-0.002031")</f>
        <v/>
      </c>
      <c r="P2394">
        <f>_xlfn.NUMBERVALUE("0.001301")</f>
        <v/>
      </c>
      <c r="Q2394">
        <f>_xlfn.NUMBERVALUE("0.001632")</f>
        <v/>
      </c>
      <c r="R2394">
        <f>_xlfn.NUMBERVALUE("0.000296")</f>
        <v/>
      </c>
      <c r="S2394">
        <f>_xlfn.NUMBERVALUE("-0.003511")</f>
        <v/>
      </c>
      <c r="T2394">
        <f>_xlfn.NUMBERVALUE("0.000404")</f>
        <v/>
      </c>
      <c r="U2394">
        <f>_xlfn.NUMBERVALUE("-0.000394")</f>
        <v/>
      </c>
      <c r="V2394">
        <f>_xlfn.NUMBERVALUE("0.000466")</f>
        <v/>
      </c>
      <c r="W2394">
        <f>_xlfn.NUMBERVALUE("0.007628")</f>
        <v/>
      </c>
      <c r="X2394">
        <f>_xlfn.NUMBERVALUE("0.390000")</f>
        <v/>
      </c>
      <c r="Y2394">
        <f>_xlfn.NUMBERVALUE("12.480000")</f>
        <v/>
      </c>
    </row>
    <row r="2395">
      <c r="A2395" s="1" t="n">
        <v>45481</v>
      </c>
      <c r="B2395">
        <f>_xlfn.NUMBERVALUE("0.001102")</f>
        <v/>
      </c>
      <c r="C2395" s="2">
        <f>_xlfn.NUMBERVALUE("0.002501")</f>
        <v/>
      </c>
      <c r="D2395">
        <f>_xlfn.NUMBERVALUE("0.001064")</f>
        <v/>
      </c>
      <c r="E2395">
        <f>_xlfn.NUMBERVALUE("-0.000178")</f>
        <v/>
      </c>
      <c r="F2395">
        <f>_xlfn.NUMBERVALUE("-0.002698")</f>
        <v/>
      </c>
      <c r="G2395">
        <f>_xlfn.NUMBERVALUE("0.001127")</f>
        <v/>
      </c>
      <c r="H2395">
        <f>_xlfn.NUMBERVALUE("0.002166")</f>
        <v/>
      </c>
      <c r="I2395">
        <f>_xlfn.NUMBERVALUE("0.000828")</f>
        <v/>
      </c>
      <c r="J2395">
        <f>_xlfn.NUMBERVALUE("0.002739")</f>
        <v/>
      </c>
      <c r="K2395">
        <f>_xlfn.NUMBERVALUE("0.002087")</f>
        <v/>
      </c>
      <c r="L2395">
        <f>_xlfn.NUMBERVALUE("0.000492")</f>
        <v/>
      </c>
      <c r="M2395">
        <f>_xlfn.NUMBERVALUE("0.000858")</f>
        <v/>
      </c>
      <c r="N2395">
        <f>_xlfn.NUMBERVALUE("0.000862")</f>
        <v/>
      </c>
      <c r="O2395">
        <f>_xlfn.NUMBERVALUE("0.002256")</f>
        <v/>
      </c>
      <c r="P2395">
        <f>_xlfn.NUMBERVALUE("0.002315")</f>
        <v/>
      </c>
      <c r="Q2395">
        <f>_xlfn.NUMBERVALUE("0.001168")</f>
        <v/>
      </c>
      <c r="R2395">
        <f>_xlfn.NUMBERVALUE("0.000702")</f>
        <v/>
      </c>
      <c r="S2395">
        <f>_xlfn.NUMBERVALUE("0.000535")</f>
        <v/>
      </c>
      <c r="T2395">
        <f>_xlfn.NUMBERVALUE("0.000734")</f>
        <v/>
      </c>
      <c r="U2395">
        <f>_xlfn.NUMBERVALUE("0.000634")</f>
        <v/>
      </c>
      <c r="V2395">
        <f>_xlfn.NUMBERVALUE("-0.000029")</f>
        <v/>
      </c>
      <c r="W2395">
        <f>_xlfn.NUMBERVALUE("0.000072")</f>
        <v/>
      </c>
      <c r="X2395">
        <f>_xlfn.NUMBERVALUE("-0.110000")</f>
        <v/>
      </c>
      <c r="Y2395">
        <f>_xlfn.NUMBERVALUE("12.370000")</f>
        <v/>
      </c>
    </row>
    <row r="2396">
      <c r="A2396" s="1" t="n">
        <v>45482</v>
      </c>
      <c r="B2396">
        <f>_xlfn.NUMBERVALUE("-0.000062")</f>
        <v/>
      </c>
      <c r="C2396" s="2">
        <f>_xlfn.NUMBERVALUE("0.001184")</f>
        <v/>
      </c>
      <c r="D2396">
        <f>_xlfn.NUMBERVALUE("-0.000006")</f>
        <v/>
      </c>
      <c r="E2396">
        <f>_xlfn.NUMBERVALUE("0.000011")</f>
        <v/>
      </c>
      <c r="F2396">
        <f>_xlfn.NUMBERVALUE("0.001016")</f>
        <v/>
      </c>
      <c r="G2396">
        <f>_xlfn.NUMBERVALUE("0.000214")</f>
        <v/>
      </c>
      <c r="H2396">
        <f>_xlfn.NUMBERVALUE("0.000679")</f>
        <v/>
      </c>
      <c r="I2396">
        <f>_xlfn.NUMBERVALUE("-0.000307")</f>
        <v/>
      </c>
      <c r="J2396">
        <f>_xlfn.NUMBERVALUE("0.002730")</f>
        <v/>
      </c>
      <c r="K2396">
        <f>_xlfn.NUMBERVALUE("0.000872")</f>
        <v/>
      </c>
      <c r="L2396">
        <f>_xlfn.NUMBERVALUE("0.001391")</f>
        <v/>
      </c>
      <c r="M2396">
        <f>_xlfn.NUMBERVALUE("-0.000371")</f>
        <v/>
      </c>
      <c r="N2396">
        <f>_xlfn.NUMBERVALUE("0.000629")</f>
        <v/>
      </c>
      <c r="O2396">
        <f>_xlfn.NUMBERVALUE("-0.001173")</f>
        <v/>
      </c>
      <c r="P2396">
        <f>_xlfn.NUMBERVALUE("0.000023")</f>
        <v/>
      </c>
      <c r="Q2396">
        <f>_xlfn.NUMBERVALUE("0.000518")</f>
        <v/>
      </c>
      <c r="R2396">
        <f>_xlfn.NUMBERVALUE("0.000574")</f>
        <v/>
      </c>
      <c r="S2396">
        <f>_xlfn.NUMBERVALUE("0.000733")</f>
        <v/>
      </c>
      <c r="T2396">
        <f>_xlfn.NUMBERVALUE("0.000034")</f>
        <v/>
      </c>
      <c r="U2396">
        <f>_xlfn.NUMBERVALUE("0.000321")</f>
        <v/>
      </c>
      <c r="V2396">
        <f>_xlfn.NUMBERVALUE("0.000126")</f>
        <v/>
      </c>
      <c r="W2396">
        <f>_xlfn.NUMBERVALUE("0.000775")</f>
        <v/>
      </c>
      <c r="X2396">
        <f>_xlfn.NUMBERVALUE("0.140000")</f>
        <v/>
      </c>
      <c r="Y2396">
        <f>_xlfn.NUMBERVALUE("12.510000")</f>
        <v/>
      </c>
    </row>
    <row r="2397">
      <c r="A2397" s="1" t="n">
        <v>45483</v>
      </c>
      <c r="B2397">
        <f>_xlfn.NUMBERVALUE("0.000582")</f>
        <v/>
      </c>
      <c r="C2397" s="2">
        <f>_xlfn.NUMBERVALUE("-0.001388")</f>
        <v/>
      </c>
      <c r="D2397">
        <f>_xlfn.NUMBERVALUE("-0.000700")</f>
        <v/>
      </c>
      <c r="E2397">
        <f>_xlfn.NUMBERVALUE("-0.001109")</f>
        <v/>
      </c>
      <c r="F2397">
        <f>_xlfn.NUMBERVALUE("0.000049")</f>
        <v/>
      </c>
      <c r="G2397">
        <f>_xlfn.NUMBERVALUE("-0.002566")</f>
        <v/>
      </c>
      <c r="H2397">
        <f>_xlfn.NUMBERVALUE("0.000453")</f>
        <v/>
      </c>
      <c r="I2397">
        <f>_xlfn.NUMBERVALUE("-0.000956")</f>
        <v/>
      </c>
      <c r="J2397">
        <f>_xlfn.NUMBERVALUE("-0.000363")</f>
        <v/>
      </c>
      <c r="K2397">
        <f>_xlfn.NUMBERVALUE("-0.000428")</f>
        <v/>
      </c>
      <c r="L2397">
        <f>_xlfn.NUMBERVALUE("0.002377")</f>
        <v/>
      </c>
      <c r="M2397">
        <f>_xlfn.NUMBERVALUE("-0.000370")</f>
        <v/>
      </c>
      <c r="N2397">
        <f>_xlfn.NUMBERVALUE("0.000441")</f>
        <v/>
      </c>
      <c r="O2397">
        <f>_xlfn.NUMBERVALUE("0.002003")</f>
        <v/>
      </c>
      <c r="P2397">
        <f>_xlfn.NUMBERVALUE("0.000204")</f>
        <v/>
      </c>
      <c r="Q2397">
        <f>_xlfn.NUMBERVALUE("0.000601")</f>
        <v/>
      </c>
      <c r="R2397">
        <f>_xlfn.NUMBERVALUE("-0.000236")</f>
        <v/>
      </c>
      <c r="S2397">
        <f>_xlfn.NUMBERVALUE("0.001860")</f>
        <v/>
      </c>
      <c r="T2397">
        <f>_xlfn.NUMBERVALUE("0.000160")</f>
        <v/>
      </c>
      <c r="U2397">
        <f>_xlfn.NUMBERVALUE("-0.000076")</f>
        <v/>
      </c>
      <c r="V2397">
        <f>_xlfn.NUMBERVALUE("-0.001721")</f>
        <v/>
      </c>
      <c r="W2397">
        <f>_xlfn.NUMBERVALUE("0.008440")</f>
        <v/>
      </c>
      <c r="X2397">
        <f>_xlfn.NUMBERVALUE("0.340000")</f>
        <v/>
      </c>
      <c r="Y2397">
        <f>_xlfn.NUMBERVALUE("12.850000")</f>
        <v/>
      </c>
    </row>
    <row r="2398">
      <c r="A2398" s="1" t="n">
        <v>45484</v>
      </c>
      <c r="B2398">
        <f>_xlfn.NUMBERVALUE("0.000018")</f>
        <v/>
      </c>
      <c r="C2398" s="2">
        <f>_xlfn.NUMBERVALUE("-0.000191")</f>
        <v/>
      </c>
      <c r="D2398">
        <f>_xlfn.NUMBERVALUE("-0.000276")</f>
        <v/>
      </c>
      <c r="E2398">
        <f>_xlfn.NUMBERVALUE("-0.000576")</f>
        <v/>
      </c>
      <c r="F2398">
        <f>_xlfn.NUMBERVALUE("-0.003787")</f>
        <v/>
      </c>
      <c r="G2398">
        <f>_xlfn.NUMBERVALUE("0.000929")</f>
        <v/>
      </c>
      <c r="H2398">
        <f>_xlfn.NUMBERVALUE("0.000043")</f>
        <v/>
      </c>
      <c r="I2398">
        <f>_xlfn.NUMBERVALUE("-0.015116")</f>
        <v/>
      </c>
      <c r="J2398">
        <f>_xlfn.NUMBERVALUE("0.000755")</f>
        <v/>
      </c>
      <c r="K2398">
        <f>_xlfn.NUMBERVALUE("-0.003197")</f>
        <v/>
      </c>
      <c r="L2398">
        <f>_xlfn.NUMBERVALUE("0.000682")</f>
        <v/>
      </c>
      <c r="M2398">
        <f>_xlfn.NUMBERVALUE("-0.000091")</f>
        <v/>
      </c>
      <c r="N2398">
        <f>_xlfn.NUMBERVALUE("-0.001166")</f>
        <v/>
      </c>
      <c r="O2398">
        <f>_xlfn.NUMBERVALUE("-0.000280")</f>
        <v/>
      </c>
      <c r="P2398">
        <f>_xlfn.NUMBERVALUE("-0.000639")</f>
        <v/>
      </c>
      <c r="Q2398">
        <f>_xlfn.NUMBERVALUE("-0.007188")</f>
        <v/>
      </c>
      <c r="R2398">
        <f>_xlfn.NUMBERVALUE("0.000381")</f>
        <v/>
      </c>
      <c r="S2398">
        <f>_xlfn.NUMBERVALUE("0.000433")</f>
        <v/>
      </c>
      <c r="T2398">
        <f>_xlfn.NUMBERVALUE("-0.003049")</f>
        <v/>
      </c>
      <c r="U2398">
        <f>_xlfn.NUMBERVALUE("0.000115")</f>
        <v/>
      </c>
      <c r="V2398">
        <f>_xlfn.NUMBERVALUE("0.000435")</f>
        <v/>
      </c>
      <c r="W2398">
        <f>_xlfn.NUMBERVALUE("-0.005924")</f>
        <v/>
      </c>
      <c r="X2398">
        <f>_xlfn.NUMBERVALUE("0.070000")</f>
        <v/>
      </c>
      <c r="Y2398">
        <f>_xlfn.NUMBERVALUE("12.920000")</f>
        <v/>
      </c>
    </row>
    <row r="2399">
      <c r="A2399" s="1" t="n">
        <v>45485</v>
      </c>
      <c r="B2399">
        <f>_xlfn.NUMBERVALUE("-0.000944")</f>
        <v/>
      </c>
      <c r="C2399" s="2">
        <f>_xlfn.NUMBERVALUE("0.000188")</f>
        <v/>
      </c>
      <c r="D2399">
        <f>_xlfn.NUMBERVALUE("0.001472")</f>
        <v/>
      </c>
      <c r="E2399">
        <f>_xlfn.NUMBERVALUE("-0.001077")</f>
        <v/>
      </c>
      <c r="F2399">
        <f>_xlfn.NUMBERVALUE("0.001501")</f>
        <v/>
      </c>
      <c r="G2399">
        <f>_xlfn.NUMBERVALUE("0.001249")</f>
        <v/>
      </c>
      <c r="H2399">
        <f>_xlfn.NUMBERVALUE("0.001083")</f>
        <v/>
      </c>
      <c r="I2399">
        <f>_xlfn.NUMBERVALUE("-0.000079")</f>
        <v/>
      </c>
      <c r="J2399">
        <f>_xlfn.NUMBERVALUE("0.001083")</f>
        <v/>
      </c>
      <c r="K2399">
        <f>_xlfn.NUMBERVALUE("0.002706")</f>
        <v/>
      </c>
      <c r="L2399">
        <f>_xlfn.NUMBERVALUE("0.002087")</f>
        <v/>
      </c>
      <c r="M2399">
        <f>_xlfn.NUMBERVALUE("-0.005542")</f>
        <v/>
      </c>
      <c r="N2399">
        <f>_xlfn.NUMBERVALUE("0.001525")</f>
        <v/>
      </c>
      <c r="O2399">
        <f>_xlfn.NUMBERVALUE("0.008042")</f>
        <v/>
      </c>
      <c r="P2399">
        <f>_xlfn.NUMBERVALUE("-0.000015")</f>
        <v/>
      </c>
      <c r="Q2399">
        <f>_xlfn.NUMBERVALUE("-0.000669")</f>
        <v/>
      </c>
      <c r="R2399">
        <f>_xlfn.NUMBERVALUE("-0.000191")</f>
        <v/>
      </c>
      <c r="S2399">
        <f>_xlfn.NUMBERVALUE("0.000385")</f>
        <v/>
      </c>
      <c r="T2399">
        <f>_xlfn.NUMBERVALUE("-0.003986")</f>
        <v/>
      </c>
      <c r="U2399">
        <f>_xlfn.NUMBERVALUE("0.000078")</f>
        <v/>
      </c>
      <c r="V2399">
        <f>_xlfn.NUMBERVALUE("0.000187")</f>
        <v/>
      </c>
      <c r="W2399">
        <f>_xlfn.NUMBERVALUE("0.006319")</f>
        <v/>
      </c>
      <c r="X2399">
        <f>_xlfn.NUMBERVALUE("-0.460000")</f>
        <v/>
      </c>
      <c r="Y2399">
        <f>_xlfn.NUMBERVALUE("12.460000")</f>
        <v/>
      </c>
    </row>
    <row r="2400">
      <c r="A2400" s="1" t="n">
        <v>45488</v>
      </c>
      <c r="B2400">
        <f>_xlfn.NUMBERVALUE("-0.000797")</f>
        <v/>
      </c>
      <c r="C2400" s="2">
        <f>_xlfn.NUMBERVALUE("-0.000367")</f>
        <v/>
      </c>
      <c r="D2400">
        <f>_xlfn.NUMBERVALUE("-0.000282")</f>
        <v/>
      </c>
      <c r="E2400">
        <f>_xlfn.NUMBERVALUE("0.000549")</f>
        <v/>
      </c>
      <c r="F2400">
        <f>_xlfn.NUMBERVALUE("0.000244")</f>
        <v/>
      </c>
      <c r="G2400">
        <f>_xlfn.NUMBERVALUE("-0.001931")</f>
        <v/>
      </c>
      <c r="H2400">
        <f>_xlfn.NUMBERVALUE("-0.001040")</f>
        <v/>
      </c>
      <c r="I2400">
        <f>_xlfn.NUMBERVALUE("-0.001934")</f>
        <v/>
      </c>
      <c r="J2400">
        <f>_xlfn.NUMBERVALUE("-0.000467")</f>
        <v/>
      </c>
      <c r="K2400">
        <f>_xlfn.NUMBERVALUE("0.001455")</f>
        <v/>
      </c>
      <c r="L2400">
        <f>_xlfn.NUMBERVALUE("-0.002318")</f>
        <v/>
      </c>
      <c r="M2400">
        <f>_xlfn.NUMBERVALUE("0.000591")</f>
        <v/>
      </c>
      <c r="N2400">
        <f>_xlfn.NUMBERVALUE("0.000840")</f>
        <v/>
      </c>
      <c r="O2400">
        <f>_xlfn.NUMBERVALUE("-0.002535")</f>
        <v/>
      </c>
      <c r="P2400">
        <f>_xlfn.NUMBERVALUE("-0.001343")</f>
        <v/>
      </c>
      <c r="Q2400">
        <f>_xlfn.NUMBERVALUE("-0.000436")</f>
        <v/>
      </c>
      <c r="R2400">
        <f>_xlfn.NUMBERVALUE("0.000971")</f>
        <v/>
      </c>
      <c r="S2400">
        <f>_xlfn.NUMBERVALUE("0.001112")</f>
        <v/>
      </c>
      <c r="T2400">
        <f>_xlfn.NUMBERVALUE("-0.009386")</f>
        <v/>
      </c>
      <c r="U2400">
        <f>_xlfn.NUMBERVALUE("0.000189")</f>
        <v/>
      </c>
      <c r="V2400">
        <f>_xlfn.NUMBERVALUE("0.000021")</f>
        <v/>
      </c>
      <c r="W2400">
        <f>_xlfn.NUMBERVALUE("0.000268")</f>
        <v/>
      </c>
      <c r="X2400">
        <f>_xlfn.NUMBERVALUE("0.660000")</f>
        <v/>
      </c>
      <c r="Y2400">
        <f>_xlfn.NUMBERVALUE("13.120000")</f>
        <v/>
      </c>
    </row>
    <row r="2401">
      <c r="A2401" s="1" t="n">
        <v>45489</v>
      </c>
      <c r="B2401">
        <f>_xlfn.NUMBERVALUE("-0.003618")</f>
        <v/>
      </c>
      <c r="C2401" s="2">
        <f>_xlfn.NUMBERVALUE("-0.004443")</f>
        <v/>
      </c>
      <c r="D2401">
        <f>_xlfn.NUMBERVALUE("0.001037")</f>
        <v/>
      </c>
      <c r="E2401">
        <f>_xlfn.NUMBERVALUE("-0.000467")</f>
        <v/>
      </c>
      <c r="F2401">
        <f>_xlfn.NUMBERVALUE("-0.003263")</f>
        <v/>
      </c>
      <c r="G2401">
        <f>_xlfn.NUMBERVALUE("-0.000442")</f>
        <v/>
      </c>
      <c r="H2401">
        <f>_xlfn.NUMBERVALUE("0.000120")</f>
        <v/>
      </c>
      <c r="I2401">
        <f>_xlfn.NUMBERVALUE("-0.004167")</f>
        <v/>
      </c>
      <c r="J2401">
        <f>_xlfn.NUMBERVALUE("-0.000513")</f>
        <v/>
      </c>
      <c r="K2401">
        <f>_xlfn.NUMBERVALUE("-0.003765")</f>
        <v/>
      </c>
      <c r="L2401">
        <f>_xlfn.NUMBERVALUE("-0.002226")</f>
        <v/>
      </c>
      <c r="M2401">
        <f>_xlfn.NUMBERVALUE("-0.005643")</f>
        <v/>
      </c>
      <c r="N2401">
        <f>_xlfn.NUMBERVALUE("0.000736")</f>
        <v/>
      </c>
      <c r="O2401">
        <f>_xlfn.NUMBERVALUE("0.001300")</f>
        <v/>
      </c>
      <c r="P2401">
        <f>_xlfn.NUMBERVALUE("-0.002726")</f>
        <v/>
      </c>
      <c r="Q2401">
        <f>_xlfn.NUMBERVALUE("-0.007700")</f>
        <v/>
      </c>
      <c r="R2401">
        <f>_xlfn.NUMBERVALUE("0.000514")</f>
        <v/>
      </c>
      <c r="S2401">
        <f>_xlfn.NUMBERVALUE("-0.000481")</f>
        <v/>
      </c>
      <c r="T2401">
        <f>_xlfn.NUMBERVALUE("-0.000207")</f>
        <v/>
      </c>
      <c r="U2401">
        <f>_xlfn.NUMBERVALUE("-0.004198")</f>
        <v/>
      </c>
      <c r="V2401">
        <f>_xlfn.NUMBERVALUE("-0.000830")</f>
        <v/>
      </c>
      <c r="W2401">
        <f>_xlfn.NUMBERVALUE("0.006135")</f>
        <v/>
      </c>
      <c r="X2401">
        <f>_xlfn.NUMBERVALUE("0.070000")</f>
        <v/>
      </c>
      <c r="Y2401">
        <f>_xlfn.NUMBERVALUE("13.190000")</f>
        <v/>
      </c>
    </row>
    <row r="2402">
      <c r="A2402" s="1" t="n">
        <v>45490</v>
      </c>
      <c r="B2402">
        <f>_xlfn.NUMBERVALUE("0.000185")</f>
        <v/>
      </c>
      <c r="C2402" s="2">
        <f>_xlfn.NUMBERVALUE("-0.001734")</f>
        <v/>
      </c>
      <c r="D2402">
        <f>_xlfn.NUMBERVALUE("-0.002951")</f>
        <v/>
      </c>
      <c r="E2402">
        <f>_xlfn.NUMBERVALUE("0.001200")</f>
        <v/>
      </c>
      <c r="F2402">
        <f>_xlfn.NUMBERVALUE("0.000648")</f>
        <v/>
      </c>
      <c r="G2402">
        <f>_xlfn.NUMBERVALUE("-0.000230")</f>
        <v/>
      </c>
      <c r="H2402">
        <f>_xlfn.NUMBERVALUE("0.000616")</f>
        <v/>
      </c>
      <c r="I2402">
        <f>_xlfn.NUMBERVALUE("0.000915")</f>
        <v/>
      </c>
      <c r="J2402">
        <f>_xlfn.NUMBERVALUE("-0.000053")</f>
        <v/>
      </c>
      <c r="K2402">
        <f>_xlfn.NUMBERVALUE("-0.004681")</f>
        <v/>
      </c>
      <c r="L2402">
        <f>_xlfn.NUMBERVALUE("0.000971")</f>
        <v/>
      </c>
      <c r="M2402">
        <f>_xlfn.NUMBERVALUE("-0.001666")</f>
        <v/>
      </c>
      <c r="N2402">
        <f>_xlfn.NUMBERVALUE("-0.001322")</f>
        <v/>
      </c>
      <c r="O2402">
        <f>_xlfn.NUMBERVALUE("-0.002038")</f>
        <v/>
      </c>
      <c r="P2402">
        <f>_xlfn.NUMBERVALUE("-0.001747")</f>
        <v/>
      </c>
      <c r="Q2402">
        <f>_xlfn.NUMBERVALUE("-0.001448")</f>
        <v/>
      </c>
      <c r="R2402">
        <f>_xlfn.NUMBERVALUE("-0.009921")</f>
        <v/>
      </c>
      <c r="S2402">
        <f>_xlfn.NUMBERVALUE("-0.005774")</f>
        <v/>
      </c>
      <c r="T2402">
        <f>_xlfn.NUMBERVALUE("-0.003249")</f>
        <v/>
      </c>
      <c r="U2402">
        <f>_xlfn.NUMBERVALUE("-0.003954")</f>
        <v/>
      </c>
      <c r="V2402">
        <f>_xlfn.NUMBERVALUE("-0.002227")</f>
        <v/>
      </c>
      <c r="W2402">
        <f>_xlfn.NUMBERVALUE("-0.012283")</f>
        <v/>
      </c>
      <c r="X2402">
        <f>_xlfn.NUMBERVALUE("1.290000")</f>
        <v/>
      </c>
      <c r="Y2402">
        <f>_xlfn.NUMBERVALUE("14.480000")</f>
        <v/>
      </c>
    </row>
    <row r="2403">
      <c r="A2403" s="1" t="n">
        <v>45491</v>
      </c>
      <c r="B2403">
        <f>_xlfn.NUMBERVALUE("-0.003153")</f>
        <v/>
      </c>
      <c r="C2403" s="2">
        <f>_xlfn.NUMBERVALUE("0.000408")</f>
        <v/>
      </c>
      <c r="D2403">
        <f>_xlfn.NUMBERVALUE("-0.001759")</f>
        <v/>
      </c>
      <c r="E2403">
        <f>_xlfn.NUMBERVALUE("-0.001778")</f>
        <v/>
      </c>
      <c r="F2403">
        <f>_xlfn.NUMBERVALUE("0.000467")</f>
        <v/>
      </c>
      <c r="G2403">
        <f>_xlfn.NUMBERVALUE("-0.000054")</f>
        <v/>
      </c>
      <c r="H2403">
        <f>_xlfn.NUMBERVALUE("0.000363")</f>
        <v/>
      </c>
      <c r="I2403">
        <f>_xlfn.NUMBERVALUE("-0.000503")</f>
        <v/>
      </c>
      <c r="J2403">
        <f>_xlfn.NUMBERVALUE("0.000086")</f>
        <v/>
      </c>
      <c r="K2403">
        <f>_xlfn.NUMBERVALUE("-0.000317")</f>
        <v/>
      </c>
      <c r="L2403">
        <f>_xlfn.NUMBERVALUE("-0.000438")</f>
        <v/>
      </c>
      <c r="M2403">
        <f>_xlfn.NUMBERVALUE("0.000530")</f>
        <v/>
      </c>
      <c r="N2403">
        <f>_xlfn.NUMBERVALUE("0.001454")</f>
        <v/>
      </c>
      <c r="O2403">
        <f>_xlfn.NUMBERVALUE("-0.000310")</f>
        <v/>
      </c>
      <c r="P2403">
        <f>_xlfn.NUMBERVALUE("-0.000709")</f>
        <v/>
      </c>
      <c r="Q2403">
        <f>_xlfn.NUMBERVALUE("-0.001504")</f>
        <v/>
      </c>
      <c r="R2403">
        <f>_xlfn.NUMBERVALUE("0.000230")</f>
        <v/>
      </c>
      <c r="S2403">
        <f>_xlfn.NUMBERVALUE("0.000212")</f>
        <v/>
      </c>
      <c r="T2403">
        <f>_xlfn.NUMBERVALUE("0.001931")</f>
        <v/>
      </c>
      <c r="U2403">
        <f>_xlfn.NUMBERVALUE("-0.000828")</f>
        <v/>
      </c>
      <c r="V2403">
        <f>_xlfn.NUMBERVALUE("-0.001001")</f>
        <v/>
      </c>
      <c r="W2403">
        <f>_xlfn.NUMBERVALUE("-0.008219")</f>
        <v/>
      </c>
      <c r="X2403">
        <f>_xlfn.NUMBERVALUE("1.450000")</f>
        <v/>
      </c>
      <c r="Y2403">
        <f>_xlfn.NUMBERVALUE("15.930000")</f>
        <v/>
      </c>
    </row>
    <row r="2404">
      <c r="A2404" s="1" t="n">
        <v>45492</v>
      </c>
      <c r="B2404">
        <f>_xlfn.NUMBERVALUE("0.002072")</f>
        <v/>
      </c>
      <c r="C2404" s="2">
        <f>_xlfn.NUMBERVALUE("0.000223")</f>
        <v/>
      </c>
      <c r="D2404">
        <f>_xlfn.NUMBERVALUE("-0.001631")</f>
        <v/>
      </c>
      <c r="E2404">
        <f>_xlfn.NUMBERVALUE("0.001142")</f>
        <v/>
      </c>
      <c r="F2404">
        <f>_xlfn.NUMBERVALUE("-0.002509")</f>
        <v/>
      </c>
      <c r="G2404">
        <f>_xlfn.NUMBERVALUE("-0.000377")</f>
        <v/>
      </c>
      <c r="H2404">
        <f>_xlfn.NUMBERVALUE("0.000005")</f>
        <v/>
      </c>
      <c r="I2404">
        <f>_xlfn.NUMBERVALUE("0.001531")</f>
        <v/>
      </c>
      <c r="J2404">
        <f>_xlfn.NUMBERVALUE("-0.000589")</f>
        <v/>
      </c>
      <c r="K2404">
        <f>_xlfn.NUMBERVALUE("-0.001086")</f>
        <v/>
      </c>
      <c r="L2404">
        <f>_xlfn.NUMBERVALUE("0.000297")</f>
        <v/>
      </c>
      <c r="M2404">
        <f>_xlfn.NUMBERVALUE("0.000024")</f>
        <v/>
      </c>
      <c r="N2404">
        <f>_xlfn.NUMBERVALUE("0.001804")</f>
        <v/>
      </c>
      <c r="O2404">
        <f>_xlfn.NUMBERVALUE("-0.000202")</f>
        <v/>
      </c>
      <c r="P2404">
        <f>_xlfn.NUMBERVALUE("-0.000168")</f>
        <v/>
      </c>
      <c r="Q2404">
        <f>_xlfn.NUMBERVALUE("0.001358")</f>
        <v/>
      </c>
      <c r="R2404">
        <f>_xlfn.NUMBERVALUE("-0.001430")</f>
        <v/>
      </c>
      <c r="S2404">
        <f>_xlfn.NUMBERVALUE("0.000855")</f>
        <v/>
      </c>
      <c r="T2404">
        <f>_xlfn.NUMBERVALUE("0.000786")</f>
        <v/>
      </c>
      <c r="U2404">
        <f>_xlfn.NUMBERVALUE("-0.001473")</f>
        <v/>
      </c>
      <c r="V2404">
        <f>_xlfn.NUMBERVALUE("-0.000382")</f>
        <v/>
      </c>
      <c r="W2404">
        <f>_xlfn.NUMBERVALUE("-0.007364")</f>
        <v/>
      </c>
      <c r="X2404">
        <f>_xlfn.NUMBERVALUE("0.590000")</f>
        <v/>
      </c>
      <c r="Y2404">
        <f>_xlfn.NUMBERVALUE("16.520000")</f>
        <v/>
      </c>
    </row>
    <row r="2405">
      <c r="A2405" s="1" t="n">
        <v>45495</v>
      </c>
      <c r="B2405">
        <f>_xlfn.NUMBERVALUE("0.000344")</f>
        <v/>
      </c>
      <c r="C2405" s="2">
        <f>_xlfn.NUMBERVALUE("0.002612")</f>
        <v/>
      </c>
      <c r="D2405">
        <f>_xlfn.NUMBERVALUE("0.001589")</f>
        <v/>
      </c>
      <c r="E2405">
        <f>_xlfn.NUMBERVALUE("0.000127")</f>
        <v/>
      </c>
      <c r="F2405">
        <f>_xlfn.NUMBERVALUE("0.002602")</f>
        <v/>
      </c>
      <c r="G2405">
        <f>_xlfn.NUMBERVALUE("-0.002940")</f>
        <v/>
      </c>
      <c r="H2405">
        <f>_xlfn.NUMBERVALUE("0.001000")</f>
        <v/>
      </c>
      <c r="I2405">
        <f>_xlfn.NUMBERVALUE("0.000807")</f>
        <v/>
      </c>
      <c r="J2405">
        <f>_xlfn.NUMBERVALUE("0.000872")</f>
        <v/>
      </c>
      <c r="K2405">
        <f>_xlfn.NUMBERVALUE("0.002178")</f>
        <v/>
      </c>
      <c r="L2405">
        <f>_xlfn.NUMBERVALUE("0.001604")</f>
        <v/>
      </c>
      <c r="M2405">
        <f>_xlfn.NUMBERVALUE("0.002626")</f>
        <v/>
      </c>
      <c r="N2405">
        <f>_xlfn.NUMBERVALUE("0.003386")</f>
        <v/>
      </c>
      <c r="O2405">
        <f>_xlfn.NUMBERVALUE("0.002870")</f>
        <v/>
      </c>
      <c r="P2405">
        <f>_xlfn.NUMBERVALUE("0.002768")</f>
        <v/>
      </c>
      <c r="Q2405">
        <f>_xlfn.NUMBERVALUE("0.002830")</f>
        <v/>
      </c>
      <c r="R2405">
        <f>_xlfn.NUMBERVALUE("0.000812")</f>
        <v/>
      </c>
      <c r="S2405">
        <f>_xlfn.NUMBERVALUE("0.002446")</f>
        <v/>
      </c>
      <c r="T2405">
        <f>_xlfn.NUMBERVALUE("0.001856")</f>
        <v/>
      </c>
      <c r="U2405">
        <f>_xlfn.NUMBERVALUE("0.001650")</f>
        <v/>
      </c>
      <c r="V2405">
        <f>_xlfn.NUMBERVALUE("0.000815")</f>
        <v/>
      </c>
      <c r="W2405">
        <f>_xlfn.NUMBERVALUE("0.011611")</f>
        <v/>
      </c>
      <c r="X2405">
        <f>_xlfn.NUMBERVALUE("-1.610000")</f>
        <v/>
      </c>
      <c r="Y2405">
        <f>_xlfn.NUMBERVALUE("14.910000")</f>
        <v/>
      </c>
    </row>
    <row r="2406">
      <c r="A2406" s="1" t="n">
        <v>45496</v>
      </c>
      <c r="B2406">
        <f>_xlfn.NUMBERVALUE("0.000217")</f>
        <v/>
      </c>
      <c r="C2406" s="2">
        <f>_xlfn.NUMBERVALUE("0.001034")</f>
        <v/>
      </c>
      <c r="D2406">
        <f>_xlfn.NUMBERVALUE("-0.000961")</f>
        <v/>
      </c>
      <c r="E2406">
        <f>_xlfn.NUMBERVALUE("0.000220")</f>
        <v/>
      </c>
      <c r="F2406">
        <f>_xlfn.NUMBERVALUE("0.001371")</f>
        <v/>
      </c>
      <c r="G2406">
        <f>_xlfn.NUMBERVALUE("0.000993")</f>
        <v/>
      </c>
      <c r="H2406">
        <f>_xlfn.NUMBERVALUE("0.000384")</f>
        <v/>
      </c>
      <c r="I2406">
        <f>_xlfn.NUMBERVALUE("0.000017")</f>
        <v/>
      </c>
      <c r="J2406">
        <f>_xlfn.NUMBERVALUE("0.000652")</f>
        <v/>
      </c>
      <c r="K2406">
        <f>_xlfn.NUMBERVALUE("0.002287")</f>
        <v/>
      </c>
      <c r="L2406">
        <f>_xlfn.NUMBERVALUE("0.000946")</f>
        <v/>
      </c>
      <c r="M2406">
        <f>_xlfn.NUMBERVALUE("0.001939")</f>
        <v/>
      </c>
      <c r="N2406">
        <f>_xlfn.NUMBERVALUE("-0.001019")</f>
        <v/>
      </c>
      <c r="O2406">
        <f>_xlfn.NUMBERVALUE("-0.001257")</f>
        <v/>
      </c>
      <c r="P2406">
        <f>_xlfn.NUMBERVALUE("0.000176")</f>
        <v/>
      </c>
      <c r="Q2406">
        <f>_xlfn.NUMBERVALUE("0.000921")</f>
        <v/>
      </c>
      <c r="R2406">
        <f>_xlfn.NUMBERVALUE("0.000408")</f>
        <v/>
      </c>
      <c r="S2406">
        <f>_xlfn.NUMBERVALUE("0.000861")</f>
        <v/>
      </c>
      <c r="T2406">
        <f>_xlfn.NUMBERVALUE("0.000872")</f>
        <v/>
      </c>
      <c r="U2406">
        <f>_xlfn.NUMBERVALUE("0.000283")</f>
        <v/>
      </c>
      <c r="V2406">
        <f>_xlfn.NUMBERVALUE("0.000679")</f>
        <v/>
      </c>
      <c r="W2406">
        <f>_xlfn.NUMBERVALUE("-0.001514")</f>
        <v/>
      </c>
      <c r="X2406">
        <f>_xlfn.NUMBERVALUE("-0.190000")</f>
        <v/>
      </c>
      <c r="Y2406">
        <f>_xlfn.NUMBERVALUE("14.720000")</f>
        <v/>
      </c>
    </row>
    <row r="2407">
      <c r="A2407" s="1" t="n">
        <v>45497</v>
      </c>
      <c r="B2407">
        <f>_xlfn.NUMBERVALUE("-0.009926")</f>
        <v/>
      </c>
      <c r="C2407" s="2">
        <f>_xlfn.NUMBERVALUE("-0.002400")</f>
        <v/>
      </c>
      <c r="D2407">
        <f>_xlfn.NUMBERVALUE("-0.001552")</f>
        <v/>
      </c>
      <c r="E2407">
        <f>_xlfn.NUMBERVALUE("-0.001607")</f>
        <v/>
      </c>
      <c r="F2407">
        <f>_xlfn.NUMBERVALUE("-0.000530")</f>
        <v/>
      </c>
      <c r="G2407">
        <f>_xlfn.NUMBERVALUE("-0.002258")</f>
        <v/>
      </c>
      <c r="H2407">
        <f>_xlfn.NUMBERVALUE("-0.000119")</f>
        <v/>
      </c>
      <c r="I2407">
        <f>_xlfn.NUMBERVALUE("-0.000536")</f>
        <v/>
      </c>
      <c r="J2407">
        <f>_xlfn.NUMBERVALUE("-0.001381")</f>
        <v/>
      </c>
      <c r="K2407">
        <f>_xlfn.NUMBERVALUE("0.000804")</f>
        <v/>
      </c>
      <c r="L2407">
        <f>_xlfn.NUMBERVALUE("-0.002112")</f>
        <v/>
      </c>
      <c r="M2407">
        <f>_xlfn.NUMBERVALUE("-0.003000")</f>
        <v/>
      </c>
      <c r="N2407">
        <f>_xlfn.NUMBERVALUE("-0.003984")</f>
        <v/>
      </c>
      <c r="O2407">
        <f>_xlfn.NUMBERVALUE("-0.000778")</f>
        <v/>
      </c>
      <c r="P2407">
        <f>_xlfn.NUMBERVALUE("-0.001836")</f>
        <v/>
      </c>
      <c r="Q2407">
        <f>_xlfn.NUMBERVALUE("-0.006084")</f>
        <v/>
      </c>
      <c r="R2407">
        <f>_xlfn.NUMBERVALUE("-0.007256")</f>
        <v/>
      </c>
      <c r="S2407">
        <f>_xlfn.NUMBERVALUE("-0.000533")</f>
        <v/>
      </c>
      <c r="T2407">
        <f>_xlfn.NUMBERVALUE("-0.000852")</f>
        <v/>
      </c>
      <c r="U2407">
        <f>_xlfn.NUMBERVALUE("-0.011748")</f>
        <v/>
      </c>
      <c r="V2407">
        <f>_xlfn.NUMBERVALUE("-0.007817")</f>
        <v/>
      </c>
      <c r="W2407">
        <f>_xlfn.NUMBERVALUE("-0.021799")</f>
        <v/>
      </c>
      <c r="X2407">
        <f>_xlfn.NUMBERVALUE("3.320000")</f>
        <v/>
      </c>
      <c r="Y2407">
        <f>_xlfn.NUMBERVALUE("18.040000")</f>
        <v/>
      </c>
    </row>
    <row r="2408">
      <c r="A2408" s="1" t="n">
        <v>45498</v>
      </c>
      <c r="B2408">
        <f>_xlfn.NUMBERVALUE("0.000277")</f>
        <v/>
      </c>
      <c r="C2408" s="2">
        <f>_xlfn.NUMBERVALUE("0.000048")</f>
        <v/>
      </c>
      <c r="D2408">
        <f>_xlfn.NUMBERVALUE("-0.000457")</f>
        <v/>
      </c>
      <c r="E2408">
        <f>_xlfn.NUMBERVALUE("-0.000045")</f>
        <v/>
      </c>
      <c r="F2408">
        <f>_xlfn.NUMBERVALUE("-0.003183")</f>
        <v/>
      </c>
      <c r="G2408">
        <f>_xlfn.NUMBERVALUE("0.006280")</f>
        <v/>
      </c>
      <c r="H2408">
        <f>_xlfn.NUMBERVALUE("-0.000301")</f>
        <v/>
      </c>
      <c r="I2408">
        <f>_xlfn.NUMBERVALUE("-0.000162")</f>
        <v/>
      </c>
      <c r="J2408">
        <f>_xlfn.NUMBERVALUE("0.000869")</f>
        <v/>
      </c>
      <c r="K2408">
        <f>_xlfn.NUMBERVALUE("-0.004861")</f>
        <v/>
      </c>
      <c r="L2408">
        <f>_xlfn.NUMBERVALUE("0.000322")</f>
        <v/>
      </c>
      <c r="M2408">
        <f>_xlfn.NUMBERVALUE("-0.001241")</f>
        <v/>
      </c>
      <c r="N2408">
        <f>_xlfn.NUMBERVALUE("-0.000803")</f>
        <v/>
      </c>
      <c r="O2408">
        <f>_xlfn.NUMBERVALUE("-0.002167")</f>
        <v/>
      </c>
      <c r="P2408">
        <f>_xlfn.NUMBERVALUE("-0.000500")</f>
        <v/>
      </c>
      <c r="Q2408">
        <f>_xlfn.NUMBERVALUE("-0.001474")</f>
        <v/>
      </c>
      <c r="R2408">
        <f>_xlfn.NUMBERVALUE("-0.000285")</f>
        <v/>
      </c>
      <c r="S2408">
        <f>_xlfn.NUMBERVALUE("-0.000293")</f>
        <v/>
      </c>
      <c r="T2408">
        <f>_xlfn.NUMBERVALUE("0.000026")</f>
        <v/>
      </c>
      <c r="U2408">
        <f>_xlfn.NUMBERVALUE("0.000887")</f>
        <v/>
      </c>
      <c r="V2408">
        <f>_xlfn.NUMBERVALUE("0.000169")</f>
        <v/>
      </c>
      <c r="W2408">
        <f>_xlfn.NUMBERVALUE("-0.002066")</f>
        <v/>
      </c>
      <c r="X2408">
        <f>_xlfn.NUMBERVALUE("0.420000")</f>
        <v/>
      </c>
      <c r="Y2408">
        <f>_xlfn.NUMBERVALUE("18.460000")</f>
        <v/>
      </c>
    </row>
    <row r="2409">
      <c r="A2409" s="1" t="n">
        <v>45499</v>
      </c>
      <c r="B2409">
        <f>_xlfn.NUMBERVALUE("0.005103")</f>
        <v/>
      </c>
      <c r="C2409" s="2">
        <f>_xlfn.NUMBERVALUE("-0.002230")</f>
        <v/>
      </c>
      <c r="D2409">
        <f>_xlfn.NUMBERVALUE("0.000832")</f>
        <v/>
      </c>
      <c r="E2409">
        <f>_xlfn.NUMBERVALUE("-0.000834")</f>
        <v/>
      </c>
      <c r="F2409">
        <f>_xlfn.NUMBERVALUE("0.001374")</f>
        <v/>
      </c>
      <c r="G2409">
        <f>_xlfn.NUMBERVALUE("-0.001257")</f>
        <v/>
      </c>
      <c r="H2409">
        <f>_xlfn.NUMBERVALUE("0.000388")</f>
        <v/>
      </c>
      <c r="I2409">
        <f>_xlfn.NUMBERVALUE("0.000529")</f>
        <v/>
      </c>
      <c r="J2409">
        <f>_xlfn.NUMBERVALUE("-0.000601")</f>
        <v/>
      </c>
      <c r="K2409">
        <f>_xlfn.NUMBERVALUE("-0.000006")</f>
        <v/>
      </c>
      <c r="L2409">
        <f>_xlfn.NUMBERVALUE("0.001403")</f>
        <v/>
      </c>
      <c r="M2409">
        <f>_xlfn.NUMBERVALUE("-0.001863")</f>
        <v/>
      </c>
      <c r="N2409">
        <f>_xlfn.NUMBERVALUE("-0.001060")</f>
        <v/>
      </c>
      <c r="O2409">
        <f>_xlfn.NUMBERVALUE("0.001604")</f>
        <v/>
      </c>
      <c r="P2409">
        <f>_xlfn.NUMBERVALUE("-0.000578")</f>
        <v/>
      </c>
      <c r="Q2409">
        <f>_xlfn.NUMBERVALUE("-0.001846")</f>
        <v/>
      </c>
      <c r="R2409">
        <f>_xlfn.NUMBERVALUE("0.000519")</f>
        <v/>
      </c>
      <c r="S2409">
        <f>_xlfn.NUMBERVALUE("0.000785")</f>
        <v/>
      </c>
      <c r="T2409">
        <f>_xlfn.NUMBERVALUE("0.000547")</f>
        <v/>
      </c>
      <c r="U2409">
        <f>_xlfn.NUMBERVALUE("0.000769")</f>
        <v/>
      </c>
      <c r="V2409">
        <f>_xlfn.NUMBERVALUE("0.000569")</f>
        <v/>
      </c>
      <c r="W2409">
        <f>_xlfn.NUMBERVALUE("0.006156")</f>
        <v/>
      </c>
      <c r="X2409">
        <f>_xlfn.NUMBERVALUE("-2.070000")</f>
        <v/>
      </c>
      <c r="Y2409">
        <f>_xlfn.NUMBERVALUE("16.390000")</f>
        <v/>
      </c>
    </row>
    <row r="2410">
      <c r="A2410" s="1" t="n">
        <v>45502</v>
      </c>
      <c r="B2410">
        <f>_xlfn.NUMBERVALUE("0.007639")</f>
        <v/>
      </c>
      <c r="C2410" s="2">
        <f>_xlfn.NUMBERVALUE("0.001795")</f>
        <v/>
      </c>
      <c r="D2410">
        <f>_xlfn.NUMBERVALUE("0.000274")</f>
        <v/>
      </c>
      <c r="E2410">
        <f>_xlfn.NUMBERVALUE("0.000868")</f>
        <v/>
      </c>
      <c r="F2410">
        <f>_xlfn.NUMBERVALUE("0.000973")</f>
        <v/>
      </c>
      <c r="G2410">
        <f>_xlfn.NUMBERVALUE("0.002856")</f>
        <v/>
      </c>
      <c r="H2410">
        <f>_xlfn.NUMBERVALUE("0.000554")</f>
        <v/>
      </c>
      <c r="I2410">
        <f>_xlfn.NUMBERVALUE("0.000487")</f>
        <v/>
      </c>
      <c r="J2410">
        <f>_xlfn.NUMBERVALUE("0.001098")</f>
        <v/>
      </c>
      <c r="K2410">
        <f>_xlfn.NUMBERVALUE("0.000859")</f>
        <v/>
      </c>
      <c r="L2410">
        <f>_xlfn.NUMBERVALUE("0.001587")</f>
        <v/>
      </c>
      <c r="M2410">
        <f>_xlfn.NUMBERVALUE("0.003082")</f>
        <v/>
      </c>
      <c r="N2410">
        <f>_xlfn.NUMBERVALUE("0.000953")</f>
        <v/>
      </c>
      <c r="O2410">
        <f>_xlfn.NUMBERVALUE("0.001279")</f>
        <v/>
      </c>
      <c r="P2410">
        <f>_xlfn.NUMBERVALUE("0.001294")</f>
        <v/>
      </c>
      <c r="Q2410">
        <f>_xlfn.NUMBERVALUE("0.002529")</f>
        <v/>
      </c>
      <c r="R2410">
        <f>_xlfn.NUMBERVALUE("0.000581")</f>
        <v/>
      </c>
      <c r="S2410">
        <f>_xlfn.NUMBERVALUE("-0.000095")</f>
        <v/>
      </c>
      <c r="T2410">
        <f>_xlfn.NUMBERVALUE("-0.000642")</f>
        <v/>
      </c>
      <c r="U2410">
        <f>_xlfn.NUMBERVALUE("0.000112")</f>
        <v/>
      </c>
      <c r="V2410">
        <f>_xlfn.NUMBERVALUE("0.000656")</f>
        <v/>
      </c>
      <c r="W2410">
        <f>_xlfn.NUMBERVALUE("0.003179")</f>
        <v/>
      </c>
      <c r="X2410">
        <f>_xlfn.NUMBERVALUE("0.210000")</f>
        <v/>
      </c>
      <c r="Y2410">
        <f>_xlfn.NUMBERVALUE("16.600000")</f>
        <v/>
      </c>
    </row>
    <row r="2411">
      <c r="A2411" s="1" t="n">
        <v>45503</v>
      </c>
      <c r="B2411">
        <f>_xlfn.NUMBERVALUE("-0.005229")</f>
        <v/>
      </c>
      <c r="C2411" s="2">
        <f>_xlfn.NUMBERVALUE("-0.000262")</f>
        <v/>
      </c>
      <c r="D2411">
        <f>_xlfn.NUMBERVALUE("-0.000710")</f>
        <v/>
      </c>
      <c r="E2411">
        <f>_xlfn.NUMBERVALUE("-0.000809")</f>
        <v/>
      </c>
      <c r="F2411">
        <f>_xlfn.NUMBERVALUE("-0.000717")</f>
        <v/>
      </c>
      <c r="G2411">
        <f>_xlfn.NUMBERVALUE("-0.000231")</f>
        <v/>
      </c>
      <c r="H2411">
        <f>_xlfn.NUMBERVALUE("0.000188")</f>
        <v/>
      </c>
      <c r="I2411">
        <f>_xlfn.NUMBERVALUE("0.000151")</f>
        <v/>
      </c>
      <c r="J2411">
        <f>_xlfn.NUMBERVALUE("0.000143")</f>
        <v/>
      </c>
      <c r="K2411">
        <f>_xlfn.NUMBERVALUE("-0.000554")</f>
        <v/>
      </c>
      <c r="L2411">
        <f>_xlfn.NUMBERVALUE("-0.000027")</f>
        <v/>
      </c>
      <c r="M2411">
        <f>_xlfn.NUMBERVALUE("0.000153")</f>
        <v/>
      </c>
      <c r="N2411">
        <f>_xlfn.NUMBERVALUE("-0.000104")</f>
        <v/>
      </c>
      <c r="O2411">
        <f>_xlfn.NUMBERVALUE("-0.002621")</f>
        <v/>
      </c>
      <c r="P2411">
        <f>_xlfn.NUMBERVALUE("-0.001480")</f>
        <v/>
      </c>
      <c r="Q2411">
        <f>_xlfn.NUMBERVALUE("0.000275")</f>
        <v/>
      </c>
      <c r="R2411">
        <f>_xlfn.NUMBERVALUE("-0.001609")</f>
        <v/>
      </c>
      <c r="S2411">
        <f>_xlfn.NUMBERVALUE("0.000447")</f>
        <v/>
      </c>
      <c r="T2411">
        <f>_xlfn.NUMBERVALUE("0.001137")</f>
        <v/>
      </c>
      <c r="U2411">
        <f>_xlfn.NUMBERVALUE("-0.000804")</f>
        <v/>
      </c>
      <c r="V2411">
        <f>_xlfn.NUMBERVALUE("-0.000918")</f>
        <v/>
      </c>
      <c r="W2411">
        <f>_xlfn.NUMBERVALUE("-0.007051")</f>
        <v/>
      </c>
      <c r="X2411">
        <f>_xlfn.NUMBERVALUE("1.090000")</f>
        <v/>
      </c>
      <c r="Y2411">
        <f>_xlfn.NUMBERVALUE("17.690000")</f>
        <v/>
      </c>
    </row>
    <row r="2412">
      <c r="A2412" s="1" t="n">
        <v>45504</v>
      </c>
      <c r="B2412">
        <f>_xlfn.NUMBERVALUE("0.002715")</f>
        <v/>
      </c>
      <c r="C2412" s="2">
        <f>_xlfn.NUMBERVALUE("0.000775")</f>
        <v/>
      </c>
      <c r="D2412">
        <f>_xlfn.NUMBERVALUE("0.000540")</f>
        <v/>
      </c>
      <c r="E2412">
        <f>_xlfn.NUMBERVALUE("-0.002584")</f>
        <v/>
      </c>
      <c r="F2412">
        <f>_xlfn.NUMBERVALUE("-0.003896")</f>
        <v/>
      </c>
      <c r="G2412">
        <f>_xlfn.NUMBERVALUE("-0.001722")</f>
        <v/>
      </c>
      <c r="H2412">
        <f>_xlfn.NUMBERVALUE("0.000195")</f>
        <v/>
      </c>
      <c r="I2412">
        <f>_xlfn.NUMBERVALUE("0.000153")</f>
        <v/>
      </c>
      <c r="J2412">
        <f>_xlfn.NUMBERVALUE("0.000507")</f>
        <v/>
      </c>
      <c r="K2412">
        <f>_xlfn.NUMBERVALUE("0.000357")</f>
        <v/>
      </c>
      <c r="L2412">
        <f>_xlfn.NUMBERVALUE("-0.000406")</f>
        <v/>
      </c>
      <c r="M2412">
        <f>_xlfn.NUMBERVALUE("-0.000451")</f>
        <v/>
      </c>
      <c r="N2412">
        <f>_xlfn.NUMBERVALUE("0.001904")</f>
        <v/>
      </c>
      <c r="O2412">
        <f>_xlfn.NUMBERVALUE("-0.000838")</f>
        <v/>
      </c>
      <c r="P2412">
        <f>_xlfn.NUMBERVALUE("0.000787")</f>
        <v/>
      </c>
      <c r="Q2412">
        <f>_xlfn.NUMBERVALUE("-0.001411")</f>
        <v/>
      </c>
      <c r="R2412">
        <f>_xlfn.NUMBERVALUE("-0.000453")</f>
        <v/>
      </c>
      <c r="S2412">
        <f>_xlfn.NUMBERVALUE("0.002005")</f>
        <v/>
      </c>
      <c r="T2412">
        <f>_xlfn.NUMBERVALUE("-0.000127")</f>
        <v/>
      </c>
      <c r="U2412">
        <f>_xlfn.NUMBERVALUE("0.000003")</f>
        <v/>
      </c>
      <c r="V2412">
        <f>_xlfn.NUMBERVALUE("-0.000839")</f>
        <v/>
      </c>
      <c r="W2412">
        <f>_xlfn.NUMBERVALUE("0.018150")</f>
        <v/>
      </c>
      <c r="X2412">
        <f>_xlfn.NUMBERVALUE("-1.330000")</f>
        <v/>
      </c>
      <c r="Y2412">
        <f>_xlfn.NUMBERVALUE("16.360000")</f>
        <v/>
      </c>
    </row>
    <row r="2413">
      <c r="A2413" s="1" t="n">
        <v>45505</v>
      </c>
      <c r="B2413">
        <f>_xlfn.NUMBERVALUE("-0.017075")</f>
        <v/>
      </c>
      <c r="C2413" s="2">
        <f>_xlfn.NUMBERVALUE("-0.003559")</f>
        <v/>
      </c>
      <c r="D2413">
        <f>_xlfn.NUMBERVALUE("-0.002620")</f>
        <v/>
      </c>
      <c r="E2413">
        <f>_xlfn.NUMBERVALUE("-0.015937")</f>
        <v/>
      </c>
      <c r="F2413">
        <f>_xlfn.NUMBERVALUE("0.000855")</f>
        <v/>
      </c>
      <c r="G2413">
        <f>_xlfn.NUMBERVALUE("-0.001069")</f>
        <v/>
      </c>
      <c r="H2413">
        <f>_xlfn.NUMBERVALUE("-0.002354")</f>
        <v/>
      </c>
      <c r="I2413">
        <f>_xlfn.NUMBERVALUE("-0.001511")</f>
        <v/>
      </c>
      <c r="J2413">
        <f>_xlfn.NUMBERVALUE("-0.002350")</f>
        <v/>
      </c>
      <c r="K2413">
        <f>_xlfn.NUMBERVALUE("-0.000977")</f>
        <v/>
      </c>
      <c r="L2413">
        <f>_xlfn.NUMBERVALUE("-0.003326")</f>
        <v/>
      </c>
      <c r="M2413">
        <f>_xlfn.NUMBERVALUE("-0.002318")</f>
        <v/>
      </c>
      <c r="N2413">
        <f>_xlfn.NUMBERVALUE("-0.000925")</f>
        <v/>
      </c>
      <c r="O2413">
        <f>_xlfn.NUMBERVALUE("-0.008967")</f>
        <v/>
      </c>
      <c r="P2413">
        <f>_xlfn.NUMBERVALUE("-0.002118")</f>
        <v/>
      </c>
      <c r="Q2413">
        <f>_xlfn.NUMBERVALUE("-0.008026")</f>
        <v/>
      </c>
      <c r="R2413">
        <f>_xlfn.NUMBERVALUE("-0.002972")</f>
        <v/>
      </c>
      <c r="S2413">
        <f>_xlfn.NUMBERVALUE("-0.003872")</f>
        <v/>
      </c>
      <c r="T2413">
        <f>_xlfn.NUMBERVALUE("-0.005724")</f>
        <v/>
      </c>
      <c r="U2413">
        <f>_xlfn.NUMBERVALUE("-0.009154")</f>
        <v/>
      </c>
      <c r="V2413">
        <f>_xlfn.NUMBERVALUE("-0.005650")</f>
        <v/>
      </c>
      <c r="W2413">
        <f>_xlfn.NUMBERVALUE("-0.019094")</f>
        <v/>
      </c>
      <c r="X2413">
        <f>_xlfn.NUMBERVALUE("2.230000")</f>
        <v/>
      </c>
      <c r="Y2413">
        <f>_xlfn.NUMBERVALUE("18.590000")</f>
        <v/>
      </c>
    </row>
    <row r="2414">
      <c r="A2414" s="1" t="n">
        <v>45506</v>
      </c>
      <c r="B2414">
        <f>_xlfn.NUMBERVALUE("-0.006269")</f>
        <v/>
      </c>
      <c r="C2414" s="2">
        <f>_xlfn.NUMBERVALUE("0.001446")</f>
        <v/>
      </c>
      <c r="D2414">
        <f>_xlfn.NUMBERVALUE("-0.000329")</f>
        <v/>
      </c>
      <c r="E2414">
        <f>_xlfn.NUMBERVALUE("-0.002336")</f>
        <v/>
      </c>
      <c r="F2414">
        <f>_xlfn.NUMBERVALUE("0.000621")</f>
        <v/>
      </c>
      <c r="G2414">
        <f>_xlfn.NUMBERVALUE("-0.000845")</f>
        <v/>
      </c>
      <c r="H2414">
        <f>_xlfn.NUMBERVALUE("-0.001255")</f>
        <v/>
      </c>
      <c r="I2414">
        <f>_xlfn.NUMBERVALUE("-0.003259")</f>
        <v/>
      </c>
      <c r="J2414">
        <f>_xlfn.NUMBERVALUE("-0.000763")</f>
        <v/>
      </c>
      <c r="K2414">
        <f>_xlfn.NUMBERVALUE("0.000610")</f>
        <v/>
      </c>
      <c r="L2414">
        <f>_xlfn.NUMBERVALUE("-0.003837")</f>
        <v/>
      </c>
      <c r="M2414">
        <f>_xlfn.NUMBERVALUE("-0.005016")</f>
        <v/>
      </c>
      <c r="N2414">
        <f>_xlfn.NUMBERVALUE("-0.004611")</f>
        <v/>
      </c>
      <c r="O2414">
        <f>_xlfn.NUMBERVALUE("-0.007399")</f>
        <v/>
      </c>
      <c r="P2414">
        <f>_xlfn.NUMBERVALUE("-0.011301")</f>
        <v/>
      </c>
      <c r="Q2414">
        <f>_xlfn.NUMBERVALUE("-0.006188")</f>
        <v/>
      </c>
      <c r="R2414">
        <f>_xlfn.NUMBERVALUE("-0.000687")</f>
        <v/>
      </c>
      <c r="S2414">
        <f>_xlfn.NUMBERVALUE("-0.001789")</f>
        <v/>
      </c>
      <c r="T2414">
        <f>_xlfn.NUMBERVALUE("-0.000922")</f>
        <v/>
      </c>
      <c r="U2414">
        <f>_xlfn.NUMBERVALUE("-0.004495")</f>
        <v/>
      </c>
      <c r="V2414">
        <f>_xlfn.NUMBERVALUE("-0.002142")</f>
        <v/>
      </c>
      <c r="W2414">
        <f>_xlfn.NUMBERVALUE("-0.017804")</f>
        <v/>
      </c>
      <c r="X2414">
        <f>_xlfn.NUMBERVALUE("4.800000")</f>
        <v/>
      </c>
      <c r="Y2414">
        <f>_xlfn.NUMBERVALUE("23.390000")</f>
        <v/>
      </c>
    </row>
    <row r="2415">
      <c r="A2415" s="1" t="n">
        <v>45509</v>
      </c>
      <c r="B2415">
        <f>_xlfn.NUMBERVALUE("-0.016017")</f>
        <v/>
      </c>
      <c r="C2415" s="2">
        <f>_xlfn.NUMBERVALUE("-0.010725")</f>
        <v/>
      </c>
      <c r="D2415">
        <f>_xlfn.NUMBERVALUE("-0.000838")</f>
        <v/>
      </c>
      <c r="E2415">
        <f>_xlfn.NUMBERVALUE("-0.001945")</f>
        <v/>
      </c>
      <c r="F2415">
        <f>_xlfn.NUMBERVALUE("-0.000601")</f>
        <v/>
      </c>
      <c r="G2415">
        <f>_xlfn.NUMBERVALUE("-0.001720")</f>
        <v/>
      </c>
      <c r="H2415">
        <f>_xlfn.NUMBERVALUE("0.000362")</f>
        <v/>
      </c>
      <c r="I2415">
        <f>_xlfn.NUMBERVALUE("-0.010710")</f>
        <v/>
      </c>
      <c r="J2415">
        <f>_xlfn.NUMBERVALUE("0.000331")</f>
        <v/>
      </c>
      <c r="K2415">
        <f>_xlfn.NUMBERVALUE("-0.001833")</f>
        <v/>
      </c>
      <c r="L2415">
        <f>_xlfn.NUMBERVALUE("0.000226")</f>
        <v/>
      </c>
      <c r="M2415">
        <f>_xlfn.NUMBERVALUE("-0.007020")</f>
        <v/>
      </c>
      <c r="N2415">
        <f>_xlfn.NUMBERVALUE("-0.012763")</f>
        <v/>
      </c>
      <c r="O2415">
        <f>_xlfn.NUMBERVALUE("-0.004791")</f>
        <v/>
      </c>
      <c r="P2415">
        <f>_xlfn.NUMBERVALUE("-0.007439")</f>
        <v/>
      </c>
      <c r="Q2415">
        <f>_xlfn.NUMBERVALUE("-0.004514")</f>
        <v/>
      </c>
      <c r="R2415">
        <f>_xlfn.NUMBERVALUE("-0.000598")</f>
        <v/>
      </c>
      <c r="S2415">
        <f>_xlfn.NUMBERVALUE("-0.010055")</f>
        <v/>
      </c>
      <c r="T2415">
        <f>_xlfn.NUMBERVALUE("-0.009131")</f>
        <v/>
      </c>
      <c r="U2415">
        <f>_xlfn.NUMBERVALUE("-0.001174")</f>
        <v/>
      </c>
      <c r="V2415">
        <f>_xlfn.NUMBERVALUE("-0.000854")</f>
        <v/>
      </c>
      <c r="W2415">
        <f>_xlfn.NUMBERVALUE("-0.030838")</f>
        <v/>
      </c>
      <c r="X2415">
        <f>_xlfn.NUMBERVALUE("15.180000")</f>
        <v/>
      </c>
      <c r="Y2415">
        <f>_xlfn.NUMBERVALUE("38.570000")</f>
        <v/>
      </c>
    </row>
    <row r="2416">
      <c r="A2416" s="1" t="n">
        <v>45510</v>
      </c>
      <c r="B2416">
        <f>_xlfn.NUMBERVALUE("0.016738")</f>
        <v/>
      </c>
      <c r="C2416" s="2">
        <f>_xlfn.NUMBERVALUE("0.001656")</f>
        <v/>
      </c>
      <c r="D2416">
        <f>_xlfn.NUMBERVALUE("-0.000113")</f>
        <v/>
      </c>
      <c r="E2416">
        <f>_xlfn.NUMBERVALUE("-0.000211")</f>
        <v/>
      </c>
      <c r="F2416">
        <f>_xlfn.NUMBERVALUE("0.005949")</f>
        <v/>
      </c>
      <c r="G2416">
        <f>_xlfn.NUMBERVALUE("-0.000824")</f>
        <v/>
      </c>
      <c r="H2416">
        <f>_xlfn.NUMBERVALUE("0.000309")</f>
        <v/>
      </c>
      <c r="I2416">
        <f>_xlfn.NUMBERVALUE("0.008456")</f>
        <v/>
      </c>
      <c r="J2416">
        <f>_xlfn.NUMBERVALUE("0.000433")</f>
        <v/>
      </c>
      <c r="K2416">
        <f>_xlfn.NUMBERVALUE("-0.000037")</f>
        <v/>
      </c>
      <c r="L2416">
        <f>_xlfn.NUMBERVALUE("0.000336")</f>
        <v/>
      </c>
      <c r="M2416">
        <f>_xlfn.NUMBERVALUE("0.003824")</f>
        <v/>
      </c>
      <c r="N2416">
        <f>_xlfn.NUMBERVALUE("0.009476")</f>
        <v/>
      </c>
      <c r="O2416">
        <f>_xlfn.NUMBERVALUE("0.005245")</f>
        <v/>
      </c>
      <c r="P2416">
        <f>_xlfn.NUMBERVALUE("0.001597")</f>
        <v/>
      </c>
      <c r="Q2416">
        <f>_xlfn.NUMBERVALUE("0.000865")</f>
        <v/>
      </c>
      <c r="R2416">
        <f>_xlfn.NUMBERVALUE("-0.001491")</f>
        <v/>
      </c>
      <c r="S2416">
        <f>_xlfn.NUMBERVALUE("0.003280")</f>
        <v/>
      </c>
      <c r="T2416">
        <f>_xlfn.NUMBERVALUE("0.004573")</f>
        <v/>
      </c>
      <c r="U2416">
        <f>_xlfn.NUMBERVALUE("-0.000738")</f>
        <v/>
      </c>
      <c r="V2416">
        <f>_xlfn.NUMBERVALUE("-0.000122")</f>
        <v/>
      </c>
      <c r="W2416">
        <f>_xlfn.NUMBERVALUE("0.020721")</f>
        <v/>
      </c>
      <c r="X2416">
        <f>_xlfn.NUMBERVALUE("-10.860000")</f>
        <v/>
      </c>
      <c r="Y2416">
        <f>_xlfn.NUMBERVALUE("27.710000")</f>
        <v/>
      </c>
    </row>
    <row r="2417">
      <c r="A2417" s="1" t="n">
        <v>45511</v>
      </c>
      <c r="B2417">
        <f>_xlfn.NUMBERVALUE("-0.000350")</f>
        <v/>
      </c>
      <c r="C2417" s="2">
        <f>_xlfn.NUMBERVALUE("-0.000739")</f>
        <v/>
      </c>
      <c r="D2417">
        <f>_xlfn.NUMBERVALUE("-0.000131")</f>
        <v/>
      </c>
      <c r="E2417">
        <f>_xlfn.NUMBERVALUE("0.000041")</f>
        <v/>
      </c>
      <c r="F2417">
        <f>_xlfn.NUMBERVALUE("0.004857")</f>
        <v/>
      </c>
      <c r="G2417">
        <f>_xlfn.NUMBERVALUE("0.000939")</f>
        <v/>
      </c>
      <c r="H2417">
        <f>_xlfn.NUMBERVALUE("0.000004")</f>
        <v/>
      </c>
      <c r="I2417">
        <f>_xlfn.NUMBERVALUE("0.014577")</f>
        <v/>
      </c>
      <c r="J2417">
        <f>_xlfn.NUMBERVALUE("0.000143")</f>
        <v/>
      </c>
      <c r="K2417">
        <f>_xlfn.NUMBERVALUE("-0.000006")</f>
        <v/>
      </c>
      <c r="L2417">
        <f>_xlfn.NUMBERVALUE("0.000368")</f>
        <v/>
      </c>
      <c r="M2417">
        <f>_xlfn.NUMBERVALUE("-0.001961")</f>
        <v/>
      </c>
      <c r="N2417">
        <f>_xlfn.NUMBERVALUE("0.000765")</f>
        <v/>
      </c>
      <c r="O2417">
        <f>_xlfn.NUMBERVALUE("0.001096")</f>
        <v/>
      </c>
      <c r="P2417">
        <f>_xlfn.NUMBERVALUE("-0.000692")</f>
        <v/>
      </c>
      <c r="Q2417">
        <f>_xlfn.NUMBERVALUE("0.000954")</f>
        <v/>
      </c>
      <c r="R2417">
        <f>_xlfn.NUMBERVALUE("0.001359")</f>
        <v/>
      </c>
      <c r="S2417">
        <f>_xlfn.NUMBERVALUE("0.000765")</f>
        <v/>
      </c>
      <c r="T2417">
        <f>_xlfn.NUMBERVALUE("0.001125")</f>
        <v/>
      </c>
      <c r="U2417">
        <f>_xlfn.NUMBERVALUE("0.000842")</f>
        <v/>
      </c>
      <c r="V2417">
        <f>_xlfn.NUMBERVALUE("-0.000122")</f>
        <v/>
      </c>
      <c r="W2417">
        <f>_xlfn.NUMBERVALUE("-0.005313")</f>
        <v/>
      </c>
      <c r="X2417">
        <f>_xlfn.NUMBERVALUE("0.140000")</f>
        <v/>
      </c>
      <c r="Y2417">
        <f>_xlfn.NUMBERVALUE("27.850000")</f>
        <v/>
      </c>
    </row>
    <row r="2418">
      <c r="A2418" s="1" t="n">
        <v>45512</v>
      </c>
      <c r="B2418">
        <f>_xlfn.NUMBERVALUE("0.002168")</f>
        <v/>
      </c>
      <c r="C2418" s="2">
        <f>_xlfn.NUMBERVALUE("0.000810")</f>
        <v/>
      </c>
      <c r="D2418">
        <f>_xlfn.NUMBERVALUE("-0.004629")</f>
        <v/>
      </c>
      <c r="E2418">
        <f>_xlfn.NUMBERVALUE("0.002009")</f>
        <v/>
      </c>
      <c r="F2418">
        <f>_xlfn.NUMBERVALUE("-0.001348")</f>
        <v/>
      </c>
      <c r="G2418">
        <f>_xlfn.NUMBERVALUE("0.000080")</f>
        <v/>
      </c>
      <c r="H2418">
        <f>_xlfn.NUMBERVALUE("0.000526")</f>
        <v/>
      </c>
      <c r="I2418">
        <f>_xlfn.NUMBERVALUE("0.003852")</f>
        <v/>
      </c>
      <c r="J2418">
        <f>_xlfn.NUMBERVALUE("0.001097")</f>
        <v/>
      </c>
      <c r="K2418">
        <f>_xlfn.NUMBERVALUE("0.000439")</f>
        <v/>
      </c>
      <c r="L2418">
        <f>_xlfn.NUMBERVALUE("-0.000217")</f>
        <v/>
      </c>
      <c r="M2418">
        <f>_xlfn.NUMBERVALUE("0.000821")</f>
        <v/>
      </c>
      <c r="N2418">
        <f>_xlfn.NUMBERVALUE("0.003054")</f>
        <v/>
      </c>
      <c r="O2418">
        <f>_xlfn.NUMBERVALUE("0.000899")</f>
        <v/>
      </c>
      <c r="P2418">
        <f>_xlfn.NUMBERVALUE("0.004216")</f>
        <v/>
      </c>
      <c r="Q2418">
        <f>_xlfn.NUMBERVALUE("-0.000085")</f>
        <v/>
      </c>
      <c r="R2418">
        <f>_xlfn.NUMBERVALUE("-0.000324")</f>
        <v/>
      </c>
      <c r="S2418">
        <f>_xlfn.NUMBERVALUE("0.002053")</f>
        <v/>
      </c>
      <c r="T2418">
        <f>_xlfn.NUMBERVALUE("0.002662")</f>
        <v/>
      </c>
      <c r="U2418">
        <f>_xlfn.NUMBERVALUE("-0.000147")</f>
        <v/>
      </c>
      <c r="V2418">
        <f>_xlfn.NUMBERVALUE("0.000319")</f>
        <v/>
      </c>
      <c r="W2418">
        <f>_xlfn.NUMBERVALUE("0.018540")</f>
        <v/>
      </c>
      <c r="X2418">
        <f>_xlfn.NUMBERVALUE("-4.060000")</f>
        <v/>
      </c>
      <c r="Y2418">
        <f>_xlfn.NUMBERVALUE("23.790000")</f>
        <v/>
      </c>
    </row>
    <row r="2419">
      <c r="A2419" s="1" t="n">
        <v>45513</v>
      </c>
      <c r="B2419">
        <f>_xlfn.NUMBERVALUE("0.002280")</f>
        <v/>
      </c>
      <c r="C2419" s="2">
        <f>_xlfn.NUMBERVALUE("0.004017")</f>
        <v/>
      </c>
      <c r="D2419">
        <f>_xlfn.NUMBERVALUE("0.002243")</f>
        <v/>
      </c>
      <c r="E2419">
        <f>_xlfn.NUMBERVALUE("0.000991")</f>
        <v/>
      </c>
      <c r="F2419">
        <f>_xlfn.NUMBERVALUE("0.002126")</f>
        <v/>
      </c>
      <c r="G2419">
        <f>_xlfn.NUMBERVALUE("0.000798")</f>
        <v/>
      </c>
      <c r="H2419">
        <f>_xlfn.NUMBERVALUE("0.000723")</f>
        <v/>
      </c>
      <c r="I2419">
        <f>_xlfn.NUMBERVALUE("0.006014")</f>
        <v/>
      </c>
      <c r="J2419">
        <f>_xlfn.NUMBERVALUE("-0.000095")</f>
        <v/>
      </c>
      <c r="K2419">
        <f>_xlfn.NUMBERVALUE("0.003280")</f>
        <v/>
      </c>
      <c r="L2419">
        <f>_xlfn.NUMBERVALUE("0.001361")</f>
        <v/>
      </c>
      <c r="M2419">
        <f>_xlfn.NUMBERVALUE("0.001015")</f>
        <v/>
      </c>
      <c r="N2419">
        <f>_xlfn.NUMBERVALUE("0.002830")</f>
        <v/>
      </c>
      <c r="O2419">
        <f>_xlfn.NUMBERVALUE("0.005005")</f>
        <v/>
      </c>
      <c r="P2419">
        <f>_xlfn.NUMBERVALUE("0.003596")</f>
        <v/>
      </c>
      <c r="Q2419">
        <f>_xlfn.NUMBERVALUE("0.006558")</f>
        <v/>
      </c>
      <c r="R2419">
        <f>_xlfn.NUMBERVALUE("0.000203")</f>
        <v/>
      </c>
      <c r="S2419">
        <f>_xlfn.NUMBERVALUE("0.002357")</f>
        <v/>
      </c>
      <c r="T2419">
        <f>_xlfn.NUMBERVALUE("0.003211")</f>
        <v/>
      </c>
      <c r="U2419">
        <f>_xlfn.NUMBERVALUE("-0.000221")</f>
        <v/>
      </c>
      <c r="V2419">
        <f>_xlfn.NUMBERVALUE("0.004503")</f>
        <v/>
      </c>
      <c r="W2419">
        <f>_xlfn.NUMBERVALUE("0.005131")</f>
        <v/>
      </c>
      <c r="X2419">
        <f>_xlfn.NUMBERVALUE("-3.420000")</f>
        <v/>
      </c>
      <c r="Y2419">
        <f>_xlfn.NUMBERVALUE("20.370000")</f>
        <v/>
      </c>
    </row>
    <row r="2420">
      <c r="A2420" s="1" t="n">
        <v>45516</v>
      </c>
      <c r="B2420">
        <f>_xlfn.NUMBERVALUE("0.000201")</f>
        <v/>
      </c>
      <c r="C2420" s="2">
        <f>_xlfn.NUMBERVALUE("-0.000361")</f>
        <v/>
      </c>
      <c r="D2420">
        <f>_xlfn.NUMBERVALUE("0.001275")</f>
        <v/>
      </c>
      <c r="E2420">
        <f>_xlfn.NUMBERVALUE("0.001224")</f>
        <v/>
      </c>
      <c r="F2420">
        <f>_xlfn.NUMBERVALUE("-0.004720")</f>
        <v/>
      </c>
      <c r="G2420">
        <f>_xlfn.NUMBERVALUE("0.002740")</f>
        <v/>
      </c>
      <c r="H2420">
        <f>_xlfn.NUMBERVALUE("0.000398")</f>
        <v/>
      </c>
      <c r="I2420">
        <f>_xlfn.NUMBERVALUE("0.002039")</f>
        <v/>
      </c>
      <c r="J2420">
        <f>_xlfn.NUMBERVALUE("0.001093")</f>
        <v/>
      </c>
      <c r="K2420">
        <f>_xlfn.NUMBERVALUE("-0.002223")</f>
        <v/>
      </c>
      <c r="L2420">
        <f>_xlfn.NUMBERVALUE("0.000189")</f>
        <v/>
      </c>
      <c r="M2420">
        <f>_xlfn.NUMBERVALUE("-0.000184")</f>
        <v/>
      </c>
      <c r="N2420">
        <f>_xlfn.NUMBERVALUE("0.001964")</f>
        <v/>
      </c>
      <c r="O2420">
        <f>_xlfn.NUMBERVALUE("0.004328")</f>
        <v/>
      </c>
      <c r="P2420">
        <f>_xlfn.NUMBERVALUE("0.003478")</f>
        <v/>
      </c>
      <c r="Q2420">
        <f>_xlfn.NUMBERVALUE("0.003811")</f>
        <v/>
      </c>
      <c r="R2420">
        <f>_xlfn.NUMBERVALUE("-0.000462")</f>
        <v/>
      </c>
      <c r="S2420">
        <f>_xlfn.NUMBERVALUE("0.005343")</f>
        <v/>
      </c>
      <c r="T2420">
        <f>_xlfn.NUMBERVALUE("0.002776")</f>
        <v/>
      </c>
      <c r="U2420">
        <f>_xlfn.NUMBERVALUE("-0.000316")</f>
        <v/>
      </c>
      <c r="V2420">
        <f>_xlfn.NUMBERVALUE("0.001130")</f>
        <v/>
      </c>
      <c r="W2420">
        <f>_xlfn.NUMBERVALUE("-0.001726")</f>
        <v/>
      </c>
      <c r="X2420">
        <f>_xlfn.NUMBERVALUE("0.340000")</f>
        <v/>
      </c>
      <c r="Y2420">
        <f>_xlfn.NUMBERVALUE("20.710000")</f>
        <v/>
      </c>
    </row>
    <row r="2421">
      <c r="A2421" s="1" t="n">
        <v>45517</v>
      </c>
      <c r="B2421">
        <f>_xlfn.NUMBERVALUE("0.000335")</f>
        <v/>
      </c>
      <c r="C2421" s="2">
        <f>_xlfn.NUMBERVALUE("0.001634")</f>
        <v/>
      </c>
      <c r="D2421">
        <f>_xlfn.NUMBERVALUE("-0.000287")</f>
        <v/>
      </c>
      <c r="E2421">
        <f>_xlfn.NUMBERVALUE("-0.000683")</f>
        <v/>
      </c>
      <c r="F2421">
        <f>_xlfn.NUMBERVALUE("0.002577")</f>
        <v/>
      </c>
      <c r="G2421">
        <f>_xlfn.NUMBERVALUE("-0.001843")</f>
        <v/>
      </c>
      <c r="H2421">
        <f>_xlfn.NUMBERVALUE("0.000324")</f>
        <v/>
      </c>
      <c r="I2421">
        <f>_xlfn.NUMBERVALUE("-0.000097")</f>
        <v/>
      </c>
      <c r="J2421">
        <f>_xlfn.NUMBERVALUE("-0.000781")</f>
        <v/>
      </c>
      <c r="K2421">
        <f>_xlfn.NUMBERVALUE("0.001210")</f>
        <v/>
      </c>
      <c r="L2421">
        <f>_xlfn.NUMBERVALUE("0.000649")</f>
        <v/>
      </c>
      <c r="M2421">
        <f>_xlfn.NUMBERVALUE("-0.003020")</f>
        <v/>
      </c>
      <c r="N2421">
        <f>_xlfn.NUMBERVALUE("-0.000040")</f>
        <v/>
      </c>
      <c r="O2421">
        <f>_xlfn.NUMBERVALUE("0.002467")</f>
        <v/>
      </c>
      <c r="P2421">
        <f>_xlfn.NUMBERVALUE("0.002342")</f>
        <v/>
      </c>
      <c r="Q2421">
        <f>_xlfn.NUMBERVALUE("0.001136")</f>
        <v/>
      </c>
      <c r="R2421">
        <f>_xlfn.NUMBERVALUE("-0.001828")</f>
        <v/>
      </c>
      <c r="S2421">
        <f>_xlfn.NUMBERVALUE("-0.000206")</f>
        <v/>
      </c>
      <c r="T2421">
        <f>_xlfn.NUMBERVALUE("0.001905")</f>
        <v/>
      </c>
      <c r="U2421">
        <f>_xlfn.NUMBERVALUE("-0.005663")</f>
        <v/>
      </c>
      <c r="V2421">
        <f>_xlfn.NUMBERVALUE("-0.000524")</f>
        <v/>
      </c>
      <c r="W2421">
        <f>_xlfn.NUMBERVALUE("0.017840")</f>
        <v/>
      </c>
      <c r="X2421">
        <f>_xlfn.NUMBERVALUE("-2.590000")</f>
        <v/>
      </c>
      <c r="Y2421">
        <f>_xlfn.NUMBERVALUE("18.120000")</f>
        <v/>
      </c>
    </row>
    <row r="2422">
      <c r="A2422" s="1" t="n">
        <v>45518</v>
      </c>
      <c r="B2422">
        <f>_xlfn.NUMBERVALUE("-0.000127")</f>
        <v/>
      </c>
      <c r="C2422" s="2">
        <f>_xlfn.NUMBERVALUE("0.001104")</f>
        <v/>
      </c>
      <c r="D2422">
        <f>_xlfn.NUMBERVALUE("0.002602")</f>
        <v/>
      </c>
      <c r="E2422">
        <f>_xlfn.NUMBERVALUE("0.000229")</f>
        <v/>
      </c>
      <c r="F2422">
        <f>_xlfn.NUMBERVALUE("0.001300")</f>
        <v/>
      </c>
      <c r="G2422">
        <f>_xlfn.NUMBERVALUE("0.001794")</f>
        <v/>
      </c>
      <c r="H2422">
        <f>_xlfn.NUMBERVALUE("0.001251")</f>
        <v/>
      </c>
      <c r="I2422">
        <f>_xlfn.NUMBERVALUE("0.006466")</f>
        <v/>
      </c>
      <c r="J2422">
        <f>_xlfn.NUMBERVALUE("0.000252")</f>
        <v/>
      </c>
      <c r="K2422">
        <f>_xlfn.NUMBERVALUE("0.002708")</f>
        <v/>
      </c>
      <c r="L2422">
        <f>_xlfn.NUMBERVALUE("0.001527")</f>
        <v/>
      </c>
      <c r="M2422">
        <f>_xlfn.NUMBERVALUE("0.006122")</f>
        <v/>
      </c>
      <c r="N2422">
        <f>_xlfn.NUMBERVALUE("0.004458")</f>
        <v/>
      </c>
      <c r="O2422">
        <f>_xlfn.NUMBERVALUE("0.003247")</f>
        <v/>
      </c>
      <c r="P2422">
        <f>_xlfn.NUMBERVALUE("-0.000557")</f>
        <v/>
      </c>
      <c r="Q2422">
        <f>_xlfn.NUMBERVALUE("0.002758")</f>
        <v/>
      </c>
      <c r="R2422">
        <f>_xlfn.NUMBERVALUE("0.003821")</f>
        <v/>
      </c>
      <c r="S2422">
        <f>_xlfn.NUMBERVALUE("0.002452")</f>
        <v/>
      </c>
      <c r="T2422">
        <f>_xlfn.NUMBERVALUE("0.003032")</f>
        <v/>
      </c>
      <c r="U2422">
        <f>_xlfn.NUMBERVALUE("0.005500")</f>
        <v/>
      </c>
      <c r="V2422">
        <f>_xlfn.NUMBERVALUE("0.003116")</f>
        <v/>
      </c>
      <c r="W2422">
        <f>_xlfn.NUMBERVALUE("0.003823")</f>
        <v/>
      </c>
      <c r="X2422">
        <f>_xlfn.NUMBERVALUE("-1.930000")</f>
        <v/>
      </c>
      <c r="Y2422">
        <f>_xlfn.NUMBERVALUE("16.190000")</f>
        <v/>
      </c>
    </row>
    <row r="2423">
      <c r="A2423" s="1" t="n">
        <v>45519</v>
      </c>
      <c r="B2423">
        <f>_xlfn.NUMBERVALUE("-0.000114")</f>
        <v/>
      </c>
      <c r="C2423" s="2">
        <f>_xlfn.NUMBERVALUE("-0.001537")</f>
        <v/>
      </c>
      <c r="D2423">
        <f>_xlfn.NUMBERVALUE("0.000139")</f>
        <v/>
      </c>
      <c r="E2423">
        <f>_xlfn.NUMBERVALUE("0.000343")</f>
        <v/>
      </c>
      <c r="F2423">
        <f>_xlfn.NUMBERVALUE("0.000929")</f>
        <v/>
      </c>
      <c r="G2423">
        <f>_xlfn.NUMBERVALUE("0.002456")</f>
        <v/>
      </c>
      <c r="H2423">
        <f>_xlfn.NUMBERVALUE("0.000160")</f>
        <v/>
      </c>
      <c r="I2423">
        <f>_xlfn.NUMBERVALUE("-0.002157")</f>
        <v/>
      </c>
      <c r="J2423">
        <f>_xlfn.NUMBERVALUE("0.000924")</f>
        <v/>
      </c>
      <c r="K2423">
        <f>_xlfn.NUMBERVALUE("-0.001610")</f>
        <v/>
      </c>
      <c r="L2423">
        <f>_xlfn.NUMBERVALUE("0.000038")</f>
        <v/>
      </c>
      <c r="M2423">
        <f>_xlfn.NUMBERVALUE("-0.001416")</f>
        <v/>
      </c>
      <c r="N2423">
        <f>_xlfn.NUMBERVALUE("0.000165")</f>
        <v/>
      </c>
      <c r="O2423">
        <f>_xlfn.NUMBERVALUE("0.001587")</f>
        <v/>
      </c>
      <c r="P2423">
        <f>_xlfn.NUMBERVALUE("0.000357")</f>
        <v/>
      </c>
      <c r="Q2423">
        <f>_xlfn.NUMBERVALUE("-0.000073")</f>
        <v/>
      </c>
      <c r="R2423">
        <f>_xlfn.NUMBERVALUE("-0.002608")</f>
        <v/>
      </c>
      <c r="S2423">
        <f>_xlfn.NUMBERVALUE("0.000819")</f>
        <v/>
      </c>
      <c r="T2423">
        <f>_xlfn.NUMBERVALUE("0.002168")</f>
        <v/>
      </c>
      <c r="U2423">
        <f>_xlfn.NUMBERVALUE("-0.008088")</f>
        <v/>
      </c>
      <c r="V2423">
        <f>_xlfn.NUMBERVALUE("-0.001440")</f>
        <v/>
      </c>
      <c r="W2423">
        <f>_xlfn.NUMBERVALUE("0.017037")</f>
        <v/>
      </c>
      <c r="X2423">
        <f>_xlfn.NUMBERVALUE("-0.960000")</f>
        <v/>
      </c>
      <c r="Y2423">
        <f>_xlfn.NUMBERVALUE("15.230000")</f>
        <v/>
      </c>
    </row>
    <row r="2424">
      <c r="A2424" s="1" t="n">
        <v>45520</v>
      </c>
      <c r="B2424">
        <f>_xlfn.NUMBERVALUE("0.002215")</f>
        <v/>
      </c>
      <c r="C2424" s="2">
        <f>_xlfn.NUMBERVALUE("0.000045")</f>
        <v/>
      </c>
      <c r="D2424">
        <f>_xlfn.NUMBERVALUE("0.000378")</f>
        <v/>
      </c>
      <c r="E2424">
        <f>_xlfn.NUMBERVALUE("0.000899")</f>
        <v/>
      </c>
      <c r="F2424">
        <f>_xlfn.NUMBERVALUE("-0.004819")</f>
        <v/>
      </c>
      <c r="G2424">
        <f>_xlfn.NUMBERVALUE("-0.005557")</f>
        <v/>
      </c>
      <c r="H2424">
        <f>_xlfn.NUMBERVALUE("-0.000177")</f>
        <v/>
      </c>
      <c r="I2424">
        <f>_xlfn.NUMBERVALUE("0.002286")</f>
        <v/>
      </c>
      <c r="J2424">
        <f>_xlfn.NUMBERVALUE("0.000509")</f>
        <v/>
      </c>
      <c r="K2424">
        <f>_xlfn.NUMBERVALUE("-0.002833")</f>
        <v/>
      </c>
      <c r="L2424">
        <f>_xlfn.NUMBERVALUE("0.002103")</f>
        <v/>
      </c>
      <c r="M2424">
        <f>_xlfn.NUMBERVALUE("0.000350")</f>
        <v/>
      </c>
      <c r="N2424">
        <f>_xlfn.NUMBERVALUE("0.002493")</f>
        <v/>
      </c>
      <c r="O2424">
        <f>_xlfn.NUMBERVALUE("0.002965")</f>
        <v/>
      </c>
      <c r="P2424">
        <f>_xlfn.NUMBERVALUE("-0.000439")</f>
        <v/>
      </c>
      <c r="Q2424">
        <f>_xlfn.NUMBERVALUE("0.001111")</f>
        <v/>
      </c>
      <c r="R2424">
        <f>_xlfn.NUMBERVALUE("0.002020")</f>
        <v/>
      </c>
      <c r="S2424">
        <f>_xlfn.NUMBERVALUE("0.000947")</f>
        <v/>
      </c>
      <c r="T2424">
        <f>_xlfn.NUMBERVALUE("0.001497")</f>
        <v/>
      </c>
      <c r="U2424">
        <f>_xlfn.NUMBERVALUE("0.000338")</f>
        <v/>
      </c>
      <c r="V2424">
        <f>_xlfn.NUMBERVALUE("0.000685")</f>
        <v/>
      </c>
      <c r="W2424">
        <f>_xlfn.NUMBERVALUE("0.002153")</f>
        <v/>
      </c>
      <c r="X2424">
        <f>_xlfn.NUMBERVALUE("-0.430000")</f>
        <v/>
      </c>
      <c r="Y2424">
        <f>_xlfn.NUMBERVALUE("14.800000")</f>
        <v/>
      </c>
    </row>
    <row r="2425">
      <c r="A2425" s="1" t="n">
        <v>45523</v>
      </c>
      <c r="B2425">
        <f>_xlfn.NUMBERVALUE("0.000888")</f>
        <v/>
      </c>
      <c r="C2425" s="2">
        <f>_xlfn.NUMBERVALUE("0.001293")</f>
        <v/>
      </c>
      <c r="D2425">
        <f>_xlfn.NUMBERVALUE("0.001129")</f>
        <v/>
      </c>
      <c r="E2425">
        <f>_xlfn.NUMBERVALUE("0.000437")</f>
        <v/>
      </c>
      <c r="F2425">
        <f>_xlfn.NUMBERVALUE("0.002529")</f>
        <v/>
      </c>
      <c r="G2425">
        <f>_xlfn.NUMBERVALUE("0.005580")</f>
        <v/>
      </c>
      <c r="H2425">
        <f>_xlfn.NUMBERVALUE("0.000855")</f>
        <v/>
      </c>
      <c r="I2425">
        <f>_xlfn.NUMBERVALUE("0.000972")</f>
        <v/>
      </c>
      <c r="J2425">
        <f>_xlfn.NUMBERVALUE("0.000862")</f>
        <v/>
      </c>
      <c r="K2425">
        <f>_xlfn.NUMBERVALUE("0.002041")</f>
        <v/>
      </c>
      <c r="L2425">
        <f>_xlfn.NUMBERVALUE("0.000284")</f>
        <v/>
      </c>
      <c r="M2425">
        <f>_xlfn.NUMBERVALUE("0.000802")</f>
        <v/>
      </c>
      <c r="N2425">
        <f>_xlfn.NUMBERVALUE("0.000871")</f>
        <v/>
      </c>
      <c r="O2425">
        <f>_xlfn.NUMBERVALUE("0.001087")</f>
        <v/>
      </c>
      <c r="P2425">
        <f>_xlfn.NUMBERVALUE("0.002931")</f>
        <v/>
      </c>
      <c r="Q2425">
        <f>_xlfn.NUMBERVALUE("0.001555")</f>
        <v/>
      </c>
      <c r="R2425">
        <f>_xlfn.NUMBERVALUE("0.000140")</f>
        <v/>
      </c>
      <c r="S2425">
        <f>_xlfn.NUMBERVALUE("0.001018")</f>
        <v/>
      </c>
      <c r="T2425">
        <f>_xlfn.NUMBERVALUE("0.000555")</f>
        <v/>
      </c>
      <c r="U2425">
        <f>_xlfn.NUMBERVALUE("0.001352")</f>
        <v/>
      </c>
      <c r="V2425">
        <f>_xlfn.NUMBERVALUE("0.000569")</f>
        <v/>
      </c>
      <c r="W2425">
        <f>_xlfn.NUMBERVALUE("0.007564")</f>
        <v/>
      </c>
      <c r="X2425">
        <f>_xlfn.NUMBERVALUE("-0.150000")</f>
        <v/>
      </c>
      <c r="Y2425">
        <f>_xlfn.NUMBERVALUE("14.650000")</f>
        <v/>
      </c>
    </row>
    <row r="2426">
      <c r="A2426" s="1" t="n">
        <v>45524</v>
      </c>
      <c r="B2426">
        <f>_xlfn.NUMBERVALUE("-0.000542")</f>
        <v/>
      </c>
      <c r="C2426" s="2">
        <f>_xlfn.NUMBERVALUE("0.000019")</f>
        <v/>
      </c>
      <c r="D2426">
        <f>_xlfn.NUMBERVALUE("-0.000253")</f>
        <v/>
      </c>
      <c r="E2426">
        <f>_xlfn.NUMBERVALUE("0.000011")</f>
        <v/>
      </c>
      <c r="F2426">
        <f>_xlfn.NUMBERVALUE("-0.000028")</f>
        <v/>
      </c>
      <c r="G2426">
        <f>_xlfn.NUMBERVALUE("-0.002443")</f>
        <v/>
      </c>
      <c r="H2426">
        <f>_xlfn.NUMBERVALUE("-0.000464")</f>
        <v/>
      </c>
      <c r="I2426">
        <f>_xlfn.NUMBERVALUE("-0.000630")</f>
        <v/>
      </c>
      <c r="J2426">
        <f>_xlfn.NUMBERVALUE("-0.000297")</f>
        <v/>
      </c>
      <c r="K2426">
        <f>_xlfn.NUMBERVALUE("0.000726")</f>
        <v/>
      </c>
      <c r="L2426">
        <f>_xlfn.NUMBERVALUE("-0.001462")</f>
        <v/>
      </c>
      <c r="M2426">
        <f>_xlfn.NUMBERVALUE("0.001120")</f>
        <v/>
      </c>
      <c r="N2426">
        <f>_xlfn.NUMBERVALUE("-0.001637")</f>
        <v/>
      </c>
      <c r="O2426">
        <f>_xlfn.NUMBERVALUE("-0.004482")</f>
        <v/>
      </c>
      <c r="P2426">
        <f>_xlfn.NUMBERVALUE("0.000270")</f>
        <v/>
      </c>
      <c r="Q2426">
        <f>_xlfn.NUMBERVALUE("0.000175")</f>
        <v/>
      </c>
      <c r="R2426">
        <f>_xlfn.NUMBERVALUE("-0.001383")</f>
        <v/>
      </c>
      <c r="S2426">
        <f>_xlfn.NUMBERVALUE("-0.000649")</f>
        <v/>
      </c>
      <c r="T2426">
        <f>_xlfn.NUMBERVALUE("0.000599")</f>
        <v/>
      </c>
      <c r="U2426">
        <f>_xlfn.NUMBERVALUE("-0.000030")</f>
        <v/>
      </c>
      <c r="V2426">
        <f>_xlfn.NUMBERVALUE("-0.000459")</f>
        <v/>
      </c>
      <c r="W2426">
        <f>_xlfn.NUMBERVALUE("0.000573")</f>
        <v/>
      </c>
      <c r="X2426">
        <f>_xlfn.NUMBERVALUE("1.230000")</f>
        <v/>
      </c>
      <c r="Y2426">
        <f>_xlfn.NUMBERVALUE("15.880000")</f>
        <v/>
      </c>
    </row>
    <row r="2427">
      <c r="A2427" s="1" t="n">
        <v>45525</v>
      </c>
      <c r="B2427">
        <f>_xlfn.NUMBERVALUE("-0.002977")</f>
        <v/>
      </c>
      <c r="C2427" s="2">
        <f>_xlfn.NUMBERVALUE("-0.000096")</f>
        <v/>
      </c>
      <c r="D2427">
        <f>_xlfn.NUMBERVALUE("0.000924")</f>
        <v/>
      </c>
      <c r="E2427">
        <f>_xlfn.NUMBERVALUE("-0.000336")</f>
        <v/>
      </c>
      <c r="F2427">
        <f>_xlfn.NUMBERVALUE("0.000134")</f>
        <v/>
      </c>
      <c r="G2427">
        <f>_xlfn.NUMBERVALUE("-0.001757")</f>
        <v/>
      </c>
      <c r="H2427">
        <f>_xlfn.NUMBERVALUE("-0.000068")</f>
        <v/>
      </c>
      <c r="I2427">
        <f>_xlfn.NUMBERVALUE("-0.001920")</f>
        <v/>
      </c>
      <c r="J2427">
        <f>_xlfn.NUMBERVALUE("-0.000457")</f>
        <v/>
      </c>
      <c r="K2427">
        <f>_xlfn.NUMBERVALUE("-0.000223")</f>
        <v/>
      </c>
      <c r="L2427">
        <f>_xlfn.NUMBERVALUE("0.000188")</f>
        <v/>
      </c>
      <c r="M2427">
        <f>_xlfn.NUMBERVALUE("-0.000643")</f>
        <v/>
      </c>
      <c r="N2427">
        <f>_xlfn.NUMBERVALUE("-0.000594")</f>
        <v/>
      </c>
      <c r="O2427">
        <f>_xlfn.NUMBERVALUE("0.000843")</f>
        <v/>
      </c>
      <c r="P2427">
        <f>_xlfn.NUMBERVALUE("-0.000693")</f>
        <v/>
      </c>
      <c r="Q2427">
        <f>_xlfn.NUMBERVALUE("-0.001000")</f>
        <v/>
      </c>
      <c r="R2427">
        <f>_xlfn.NUMBERVALUE("-0.000583")</f>
        <v/>
      </c>
      <c r="S2427">
        <f>_xlfn.NUMBERVALUE("-0.000011")</f>
        <v/>
      </c>
      <c r="T2427">
        <f>_xlfn.NUMBERVALUE("-0.001150")</f>
        <v/>
      </c>
      <c r="U2427">
        <f>_xlfn.NUMBERVALUE("-0.001557")</f>
        <v/>
      </c>
      <c r="V2427">
        <f>_xlfn.NUMBERVALUE("0.000128")</f>
        <v/>
      </c>
      <c r="W2427">
        <f>_xlfn.NUMBERVALUE("0.002722")</f>
        <v/>
      </c>
      <c r="X2427">
        <f>_xlfn.NUMBERVALUE("0.390000")</f>
        <v/>
      </c>
      <c r="Y2427">
        <f>_xlfn.NUMBERVALUE("16.270000")</f>
        <v/>
      </c>
    </row>
    <row r="2428">
      <c r="A2428" s="1" t="n">
        <v>45526</v>
      </c>
      <c r="B2428">
        <f>_xlfn.NUMBERVALUE("-0.003912")</f>
        <v/>
      </c>
      <c r="C2428" s="2">
        <f>_xlfn.NUMBERVALUE("0.001825")</f>
        <v/>
      </c>
      <c r="D2428">
        <f>_xlfn.NUMBERVALUE("-0.000584")</f>
        <v/>
      </c>
      <c r="E2428">
        <f>_xlfn.NUMBERVALUE("-0.000011")</f>
        <v/>
      </c>
      <c r="F2428">
        <f>_xlfn.NUMBERVALUE("0.001075")</f>
        <v/>
      </c>
      <c r="G2428">
        <f>_xlfn.NUMBERVALUE("0.003804")</f>
        <v/>
      </c>
      <c r="H2428">
        <f>_xlfn.NUMBERVALUE("-0.000186")</f>
        <v/>
      </c>
      <c r="I2428">
        <f>_xlfn.NUMBERVALUE("0.000681")</f>
        <v/>
      </c>
      <c r="J2428">
        <f>_xlfn.NUMBERVALUE("0.000336")</f>
        <v/>
      </c>
      <c r="K2428">
        <f>_xlfn.NUMBERVALUE("0.000233")</f>
        <v/>
      </c>
      <c r="L2428">
        <f>_xlfn.NUMBERVALUE("0.000184")</f>
        <v/>
      </c>
      <c r="M2428">
        <f>_xlfn.NUMBERVALUE("-0.000899")</f>
        <v/>
      </c>
      <c r="N2428">
        <f>_xlfn.NUMBERVALUE("-0.001349")</f>
        <v/>
      </c>
      <c r="O2428">
        <f>_xlfn.NUMBERVALUE("0.000192")</f>
        <v/>
      </c>
      <c r="P2428">
        <f>_xlfn.NUMBERVALUE("-0.001467")</f>
        <v/>
      </c>
      <c r="Q2428">
        <f>_xlfn.NUMBERVALUE("-0.000870")</f>
        <v/>
      </c>
      <c r="R2428">
        <f>_xlfn.NUMBERVALUE("-0.001490")</f>
        <v/>
      </c>
      <c r="S2428">
        <f>_xlfn.NUMBERVALUE("-0.000813")</f>
        <v/>
      </c>
      <c r="T2428">
        <f>_xlfn.NUMBERVALUE("-0.001604")</f>
        <v/>
      </c>
      <c r="U2428">
        <f>_xlfn.NUMBERVALUE("0.000955")</f>
        <v/>
      </c>
      <c r="V2428">
        <f>_xlfn.NUMBERVALUE("0.000102")</f>
        <v/>
      </c>
      <c r="W2428">
        <f>_xlfn.NUMBERVALUE("-0.007804")</f>
        <v/>
      </c>
      <c r="X2428">
        <f>_xlfn.NUMBERVALUE("1.280000")</f>
        <v/>
      </c>
      <c r="Y2428">
        <f>_xlfn.NUMBERVALUE("17.550000")</f>
        <v/>
      </c>
    </row>
    <row r="2429">
      <c r="A2429" s="1" t="n">
        <v>45527</v>
      </c>
      <c r="B2429">
        <f>_xlfn.NUMBERVALUE("0.004094")</f>
        <v/>
      </c>
      <c r="C2429" s="2">
        <f>_xlfn.NUMBERVALUE("-0.001918")</f>
        <v/>
      </c>
      <c r="D2429">
        <f>_xlfn.NUMBERVALUE("-0.000234")</f>
        <v/>
      </c>
      <c r="E2429">
        <f>_xlfn.NUMBERVALUE("-0.000278")</f>
        <v/>
      </c>
      <c r="F2429">
        <f>_xlfn.NUMBERVALUE("-0.000486")</f>
        <v/>
      </c>
      <c r="G2429">
        <f>_xlfn.NUMBERVALUE("-0.001854")</f>
        <v/>
      </c>
      <c r="H2429">
        <f>_xlfn.NUMBERVALUE("0.000429")</f>
        <v/>
      </c>
      <c r="I2429">
        <f>_xlfn.NUMBERVALUE("-0.002191")</f>
        <v/>
      </c>
      <c r="J2429">
        <f>_xlfn.NUMBERVALUE("-0.000092")</f>
        <v/>
      </c>
      <c r="K2429">
        <f>_xlfn.NUMBERVALUE("-0.002917")</f>
        <v/>
      </c>
      <c r="L2429">
        <f>_xlfn.NUMBERVALUE("0.001298")</f>
        <v/>
      </c>
      <c r="M2429">
        <f>_xlfn.NUMBERVALUE("-0.001041")</f>
        <v/>
      </c>
      <c r="N2429">
        <f>_xlfn.NUMBERVALUE("0.002230")</f>
        <v/>
      </c>
      <c r="O2429">
        <f>_xlfn.NUMBERVALUE("0.001120")</f>
        <v/>
      </c>
      <c r="P2429">
        <f>_xlfn.NUMBERVALUE("0.000052")</f>
        <v/>
      </c>
      <c r="Q2429">
        <f>_xlfn.NUMBERVALUE("0.000792")</f>
        <v/>
      </c>
      <c r="R2429">
        <f>_xlfn.NUMBERVALUE("0.002427")</f>
        <v/>
      </c>
      <c r="S2429">
        <f>_xlfn.NUMBERVALUE("0.000343")</f>
        <v/>
      </c>
      <c r="T2429">
        <f>_xlfn.NUMBERVALUE("0.002507")</f>
        <v/>
      </c>
      <c r="U2429">
        <f>_xlfn.NUMBERVALUE("-0.000283")</f>
        <v/>
      </c>
      <c r="V2429">
        <f>_xlfn.NUMBERVALUE("0.000709")</f>
        <v/>
      </c>
      <c r="W2429">
        <f>_xlfn.NUMBERVALUE("0.009773")</f>
        <v/>
      </c>
      <c r="X2429">
        <f>_xlfn.NUMBERVALUE("-1.690000")</f>
        <v/>
      </c>
      <c r="Y2429">
        <f>_xlfn.NUMBERVALUE("15.860000")</f>
        <v/>
      </c>
    </row>
    <row r="2430">
      <c r="A2430" s="1" t="n">
        <v>45530</v>
      </c>
      <c r="B2430">
        <f>_xlfn.NUMBERVALUE("0.006726")</f>
        <v/>
      </c>
      <c r="C2430" s="2">
        <f>_xlfn.NUMBERVALUE("0.000930")</f>
        <v/>
      </c>
      <c r="D2430">
        <f>_xlfn.NUMBERVALUE("0.000193")</f>
        <v/>
      </c>
      <c r="E2430">
        <f>_xlfn.NUMBERVALUE("0.000669")</f>
        <v/>
      </c>
      <c r="F2430">
        <f>_xlfn.NUMBERVALUE("0.001026")</f>
        <v/>
      </c>
      <c r="G2430">
        <f>_xlfn.NUMBERVALUE("0.000703")</f>
        <v/>
      </c>
      <c r="H2430">
        <f>_xlfn.NUMBERVALUE("0.000688")</f>
        <v/>
      </c>
      <c r="I2430">
        <f>_xlfn.NUMBERVALUE("0.000028")</f>
        <v/>
      </c>
      <c r="J2430">
        <f>_xlfn.NUMBERVALUE("-0.000038")</f>
        <v/>
      </c>
      <c r="K2430">
        <f>_xlfn.NUMBERVALUE("0.001061")</f>
        <v/>
      </c>
      <c r="L2430">
        <f>_xlfn.NUMBERVALUE("0.000477")</f>
        <v/>
      </c>
      <c r="M2430">
        <f>_xlfn.NUMBERVALUE("0.000178")</f>
        <v/>
      </c>
      <c r="N2430">
        <f>_xlfn.NUMBERVALUE("-0.000252")</f>
        <v/>
      </c>
      <c r="O2430">
        <f>_xlfn.NUMBERVALUE("-0.000634")</f>
        <v/>
      </c>
      <c r="P2430">
        <f>_xlfn.NUMBERVALUE("0.001365")</f>
        <v/>
      </c>
      <c r="Q2430">
        <f>_xlfn.NUMBERVALUE("0.000398")</f>
        <v/>
      </c>
      <c r="R2430">
        <f>_xlfn.NUMBERVALUE("0.001648")</f>
        <v/>
      </c>
      <c r="S2430">
        <f>_xlfn.NUMBERVALUE("-0.000474")</f>
        <v/>
      </c>
      <c r="T2430">
        <f>_xlfn.NUMBERVALUE("0.000207")</f>
        <v/>
      </c>
      <c r="U2430">
        <f>_xlfn.NUMBERVALUE("0.000853")</f>
        <v/>
      </c>
      <c r="V2430">
        <f>_xlfn.NUMBERVALUE("0.000968")</f>
        <v/>
      </c>
      <c r="W2430">
        <f>_xlfn.NUMBERVALUE("-0.001426")</f>
        <v/>
      </c>
      <c r="X2430">
        <f>_xlfn.NUMBERVALUE("0.290000")</f>
        <v/>
      </c>
      <c r="Y2430">
        <f>_xlfn.NUMBERVALUE("16.150000")</f>
        <v/>
      </c>
    </row>
    <row r="2431">
      <c r="A2431" s="1" t="n">
        <v>45531</v>
      </c>
      <c r="B2431">
        <f>_xlfn.NUMBERVALUE("0.002040")</f>
        <v/>
      </c>
      <c r="C2431" s="2">
        <f>_xlfn.NUMBERVALUE("0.000366")</f>
        <v/>
      </c>
      <c r="D2431">
        <f>_xlfn.NUMBERVALUE("0.000341")</f>
        <v/>
      </c>
      <c r="E2431">
        <f>_xlfn.NUMBERVALUE("0.000463")</f>
        <v/>
      </c>
      <c r="F2431">
        <f>_xlfn.NUMBERVALUE("0.000293")</f>
        <v/>
      </c>
      <c r="G2431">
        <f>_xlfn.NUMBERVALUE("-0.000542")</f>
        <v/>
      </c>
      <c r="H2431">
        <f>_xlfn.NUMBERVALUE("-0.000151")</f>
        <v/>
      </c>
      <c r="I2431">
        <f>_xlfn.NUMBERVALUE("0.000468")</f>
        <v/>
      </c>
      <c r="J2431">
        <f>_xlfn.NUMBERVALUE("0.000906")</f>
        <v/>
      </c>
      <c r="K2431">
        <f>_xlfn.NUMBERVALUE("0.000899")</f>
        <v/>
      </c>
      <c r="L2431">
        <f>_xlfn.NUMBERVALUE("0.000540")</f>
        <v/>
      </c>
      <c r="M2431">
        <f>_xlfn.NUMBERVALUE("0.001287")</f>
        <v/>
      </c>
      <c r="N2431">
        <f>_xlfn.NUMBERVALUE("0.001981")</f>
        <v/>
      </c>
      <c r="O2431">
        <f>_xlfn.NUMBERVALUE("-0.000173")</f>
        <v/>
      </c>
      <c r="P2431">
        <f>_xlfn.NUMBERVALUE("0.000136")</f>
        <v/>
      </c>
      <c r="Q2431">
        <f>_xlfn.NUMBERVALUE("0.000761")</f>
        <v/>
      </c>
      <c r="R2431">
        <f>_xlfn.NUMBERVALUE("0.000282")</f>
        <v/>
      </c>
      <c r="S2431">
        <f>_xlfn.NUMBERVALUE("0.000639")</f>
        <v/>
      </c>
      <c r="T2431">
        <f>_xlfn.NUMBERVALUE("-0.000864")</f>
        <v/>
      </c>
      <c r="U2431">
        <f>_xlfn.NUMBERVALUE("0.001163")</f>
        <v/>
      </c>
      <c r="V2431">
        <f>_xlfn.NUMBERVALUE("0.000296")</f>
        <v/>
      </c>
      <c r="W2431">
        <f>_xlfn.NUMBERVALUE("0.002392")</f>
        <v/>
      </c>
      <c r="X2431">
        <f>_xlfn.NUMBERVALUE("-0.720000")</f>
        <v/>
      </c>
      <c r="Y2431">
        <f>_xlfn.NUMBERVALUE("15.430000")</f>
        <v/>
      </c>
    </row>
    <row r="2432">
      <c r="A2432" s="1" t="n">
        <v>45532</v>
      </c>
      <c r="B2432">
        <f>_xlfn.NUMBERVALUE("-0.004740")</f>
        <v/>
      </c>
      <c r="C2432" s="2">
        <f>_xlfn.NUMBERVALUE("0.000474")</f>
        <v/>
      </c>
      <c r="D2432">
        <f>_xlfn.NUMBERVALUE("-0.000515")</f>
        <v/>
      </c>
      <c r="E2432">
        <f>_xlfn.NUMBERVALUE("-0.000097")</f>
        <v/>
      </c>
      <c r="F2432">
        <f>_xlfn.NUMBERVALUE("0.000566")</f>
        <v/>
      </c>
      <c r="G2432">
        <f>_xlfn.NUMBERVALUE("0.000540")</f>
        <v/>
      </c>
      <c r="H2432">
        <f>_xlfn.NUMBERVALUE("0.000278")</f>
        <v/>
      </c>
      <c r="I2432">
        <f>_xlfn.NUMBERVALUE("0.000089")</f>
        <v/>
      </c>
      <c r="J2432">
        <f>_xlfn.NUMBERVALUE("0.000556")</f>
        <v/>
      </c>
      <c r="K2432">
        <f>_xlfn.NUMBERVALUE("0.000526")</f>
        <v/>
      </c>
      <c r="L2432">
        <f>_xlfn.NUMBERVALUE("0.000833")</f>
        <v/>
      </c>
      <c r="M2432">
        <f>_xlfn.NUMBERVALUE("-0.000996")</f>
        <v/>
      </c>
      <c r="N2432">
        <f>_xlfn.NUMBERVALUE("0.000627")</f>
        <v/>
      </c>
      <c r="O2432">
        <f>_xlfn.NUMBERVALUE("-0.000403")</f>
        <v/>
      </c>
      <c r="P2432">
        <f>_xlfn.NUMBERVALUE("0.000635")</f>
        <v/>
      </c>
      <c r="Q2432">
        <f>_xlfn.NUMBERVALUE("0.000046")</f>
        <v/>
      </c>
      <c r="R2432">
        <f>_xlfn.NUMBERVALUE("-0.001076")</f>
        <v/>
      </c>
      <c r="S2432">
        <f>_xlfn.NUMBERVALUE("0.000493")</f>
        <v/>
      </c>
      <c r="T2432">
        <f>_xlfn.NUMBERVALUE("0.001511")</f>
        <v/>
      </c>
      <c r="U2432">
        <f>_xlfn.NUMBERVALUE("-0.001652")</f>
        <v/>
      </c>
      <c r="V2432">
        <f>_xlfn.NUMBERVALUE("-0.000048")</f>
        <v/>
      </c>
      <c r="W2432">
        <f>_xlfn.NUMBERVALUE("-0.005146")</f>
        <v/>
      </c>
      <c r="X2432">
        <f>_xlfn.NUMBERVALUE("1.680000")</f>
        <v/>
      </c>
      <c r="Y2432">
        <f>_xlfn.NUMBERVALUE("17.110000")</f>
        <v/>
      </c>
    </row>
    <row r="2433">
      <c r="A2433" s="1" t="n">
        <v>45533</v>
      </c>
      <c r="B2433">
        <f>_xlfn.NUMBERVALUE("0.002419")</f>
        <v/>
      </c>
      <c r="C2433" s="2">
        <f>_xlfn.NUMBERVALUE("-0.000251")</f>
        <v/>
      </c>
      <c r="D2433">
        <f>_xlfn.NUMBERVALUE("0.001324")</f>
        <v/>
      </c>
      <c r="E2433">
        <f>_xlfn.NUMBERVALUE("0.000232")</f>
        <v/>
      </c>
      <c r="F2433">
        <f>_xlfn.NUMBERVALUE("0.000159")</f>
        <v/>
      </c>
      <c r="G2433">
        <f>_xlfn.NUMBERVALUE("0.000286")</f>
        <v/>
      </c>
      <c r="H2433">
        <f>_xlfn.NUMBERVALUE("0.000886")</f>
        <v/>
      </c>
      <c r="I2433">
        <f>_xlfn.NUMBERVALUE("0.001586")</f>
        <v/>
      </c>
      <c r="J2433">
        <f>_xlfn.NUMBERVALUE("0.000808")</f>
        <v/>
      </c>
      <c r="K2433">
        <f>_xlfn.NUMBERVALUE("0.000778")</f>
        <v/>
      </c>
      <c r="L2433">
        <f>_xlfn.NUMBERVALUE("0.001176")</f>
        <v/>
      </c>
      <c r="M2433">
        <f>_xlfn.NUMBERVALUE("0.002184")</f>
        <v/>
      </c>
      <c r="N2433">
        <f>_xlfn.NUMBERVALUE("0.000287")</f>
        <v/>
      </c>
      <c r="O2433">
        <f>_xlfn.NUMBERVALUE("0.001160")</f>
        <v/>
      </c>
      <c r="P2433">
        <f>_xlfn.NUMBERVALUE("0.000842")</f>
        <v/>
      </c>
      <c r="Q2433">
        <f>_xlfn.NUMBERVALUE("0.001175")</f>
        <v/>
      </c>
      <c r="R2433">
        <f>_xlfn.NUMBERVALUE("0.009683")</f>
        <v/>
      </c>
      <c r="S2433">
        <f>_xlfn.NUMBERVALUE("0.000894")</f>
        <v/>
      </c>
      <c r="T2433">
        <f>_xlfn.NUMBERVALUE("0.000961")</f>
        <v/>
      </c>
      <c r="U2433">
        <f>_xlfn.NUMBERVALUE("0.003341")</f>
        <v/>
      </c>
      <c r="V2433">
        <f>_xlfn.NUMBERVALUE("0.000501")</f>
        <v/>
      </c>
      <c r="W2433">
        <f>_xlfn.NUMBERVALUE("0.000125")</f>
        <v/>
      </c>
      <c r="X2433">
        <f>_xlfn.NUMBERVALUE("-1.460000")</f>
        <v/>
      </c>
      <c r="Y2433">
        <f>_xlfn.NUMBERVALUE("15.650000")</f>
        <v/>
      </c>
    </row>
    <row r="2434">
      <c r="A2434" s="1" t="n">
        <v>45534</v>
      </c>
      <c r="B2434">
        <f>_xlfn.NUMBERVALUE("0.003942")</f>
        <v/>
      </c>
      <c r="C2434" s="2">
        <f>_xlfn.NUMBERVALUE("0.000300")</f>
        <v/>
      </c>
      <c r="D2434">
        <f>_xlfn.NUMBERVALUE("0.000827")</f>
        <v/>
      </c>
      <c r="E2434">
        <f>_xlfn.NUMBERVALUE("-0.000328")</f>
        <v/>
      </c>
      <c r="F2434">
        <f>_xlfn.NUMBERVALUE("0.000847")</f>
        <v/>
      </c>
      <c r="G2434">
        <f>_xlfn.NUMBERVALUE("-0.001632")</f>
        <v/>
      </c>
      <c r="H2434">
        <f>_xlfn.NUMBERVALUE("0.000061")</f>
        <v/>
      </c>
      <c r="I2434">
        <f>_xlfn.NUMBERVALUE("0.000377")</f>
        <v/>
      </c>
      <c r="J2434">
        <f>_xlfn.NUMBERVALUE("0.000917")</f>
        <v/>
      </c>
      <c r="K2434">
        <f>_xlfn.NUMBERVALUE("0.000514")</f>
        <v/>
      </c>
      <c r="L2434">
        <f>_xlfn.NUMBERVALUE("0.001261")</f>
        <v/>
      </c>
      <c r="M2434">
        <f>_xlfn.NUMBERVALUE("-0.000349")</f>
        <v/>
      </c>
      <c r="N2434">
        <f>_xlfn.NUMBERVALUE("0.002579")</f>
        <v/>
      </c>
      <c r="O2434">
        <f>_xlfn.NUMBERVALUE("0.001778")</f>
        <v/>
      </c>
      <c r="P2434">
        <f>_xlfn.NUMBERVALUE("-0.001175")</f>
        <v/>
      </c>
      <c r="Q2434">
        <f>_xlfn.NUMBERVALUE("-0.000155")</f>
        <v/>
      </c>
      <c r="R2434">
        <f>_xlfn.NUMBERVALUE("0.002370")</f>
        <v/>
      </c>
      <c r="S2434">
        <f>_xlfn.NUMBERVALUE("-0.000162")</f>
        <v/>
      </c>
      <c r="T2434">
        <f>_xlfn.NUMBERVALUE("-0.000431")</f>
        <v/>
      </c>
      <c r="U2434">
        <f>_xlfn.NUMBERVALUE("0.000205")</f>
        <v/>
      </c>
      <c r="V2434">
        <f>_xlfn.NUMBERVALUE("0.000162")</f>
        <v/>
      </c>
      <c r="W2434">
        <f>_xlfn.NUMBERVALUE("0.005172")</f>
        <v/>
      </c>
      <c r="X2434">
        <f>_xlfn.NUMBERVALUE("-0.650000")</f>
        <v/>
      </c>
      <c r="Y2434">
        <f>_xlfn.NUMBERVALUE("15.000000")</f>
        <v/>
      </c>
    </row>
    <row r="2435">
      <c r="A2435" s="1" t="n">
        <v>45538</v>
      </c>
      <c r="B2435">
        <f>_xlfn.NUMBERVALUE("-0.008933")</f>
        <v/>
      </c>
      <c r="C2435" s="2">
        <f>_xlfn.NUMBERVALUE("0.000183")</f>
        <v/>
      </c>
      <c r="D2435">
        <f>_xlfn.NUMBERVALUE("-0.000134")</f>
        <v/>
      </c>
      <c r="E2435">
        <f>_xlfn.NUMBERVALUE("0.000570")</f>
        <v/>
      </c>
      <c r="F2435">
        <f>_xlfn.NUMBERVALUE("0.001063")</f>
        <v/>
      </c>
      <c r="G2435">
        <f>_xlfn.NUMBERVALUE("-0.000586")</f>
        <v/>
      </c>
      <c r="H2435">
        <f>_xlfn.NUMBERVALUE("0.000003")</f>
        <v/>
      </c>
      <c r="I2435">
        <f>_xlfn.NUMBERVALUE("-0.001164")</f>
        <v/>
      </c>
      <c r="J2435">
        <f>_xlfn.NUMBERVALUE("-0.001943")</f>
        <v/>
      </c>
      <c r="K2435">
        <f>_xlfn.NUMBERVALUE("0.002597")</f>
        <v/>
      </c>
      <c r="L2435">
        <f>_xlfn.NUMBERVALUE("-0.001722")</f>
        <v/>
      </c>
      <c r="M2435">
        <f>_xlfn.NUMBERVALUE("-0.001163")</f>
        <v/>
      </c>
      <c r="N2435">
        <f>_xlfn.NUMBERVALUE("-0.005853")</f>
        <v/>
      </c>
      <c r="O2435">
        <f>_xlfn.NUMBERVALUE("-0.006303")</f>
        <v/>
      </c>
      <c r="P2435">
        <f>_xlfn.NUMBERVALUE("0.000754")</f>
        <v/>
      </c>
      <c r="Q2435">
        <f>_xlfn.NUMBERVALUE("-0.003130")</f>
        <v/>
      </c>
      <c r="R2435">
        <f>_xlfn.NUMBERVALUE("-0.013442")</f>
        <v/>
      </c>
      <c r="S2435">
        <f>_xlfn.NUMBERVALUE("0.000750")</f>
        <v/>
      </c>
      <c r="T2435">
        <f>_xlfn.NUMBERVALUE("-0.000719")</f>
        <v/>
      </c>
      <c r="U2435">
        <f>_xlfn.NUMBERVALUE("-0.000548")</f>
        <v/>
      </c>
      <c r="V2435">
        <f>_xlfn.NUMBERVALUE("0.001221")</f>
        <v/>
      </c>
      <c r="W2435">
        <f>_xlfn.NUMBERVALUE("-0.019798")</f>
        <v/>
      </c>
      <c r="X2435">
        <f>_xlfn.NUMBERVALUE("5.720000")</f>
        <v/>
      </c>
      <c r="Y2435">
        <f>_xlfn.NUMBERVALUE("20.720000")</f>
        <v/>
      </c>
    </row>
    <row r="2436">
      <c r="A2436" s="1" t="n">
        <v>45539</v>
      </c>
      <c r="B2436">
        <f>_xlfn.NUMBERVALUE("0.000870")</f>
        <v/>
      </c>
      <c r="C2436" s="2">
        <f>_xlfn.NUMBERVALUE("0.000492")</f>
        <v/>
      </c>
      <c r="D2436">
        <f>_xlfn.NUMBERVALUE("0.000316")</f>
        <v/>
      </c>
      <c r="E2436">
        <f>_xlfn.NUMBERVALUE("0.000051")</f>
        <v/>
      </c>
      <c r="F2436">
        <f>_xlfn.NUMBERVALUE("0.000448")</f>
        <v/>
      </c>
      <c r="G2436">
        <f>_xlfn.NUMBERVALUE("-0.000377")</f>
        <v/>
      </c>
      <c r="H2436">
        <f>_xlfn.NUMBERVALUE("-0.001580")</f>
        <v/>
      </c>
      <c r="I2436">
        <f>_xlfn.NUMBERVALUE("0.001281")</f>
        <v/>
      </c>
      <c r="J2436">
        <f>_xlfn.NUMBERVALUE("-0.000666")</f>
        <v/>
      </c>
      <c r="K2436">
        <f>_xlfn.NUMBERVALUE("0.001795")</f>
        <v/>
      </c>
      <c r="L2436">
        <f>_xlfn.NUMBERVALUE("-0.001139")</f>
        <v/>
      </c>
      <c r="M2436">
        <f>_xlfn.NUMBERVALUE("-0.000907")</f>
        <v/>
      </c>
      <c r="N2436">
        <f>_xlfn.NUMBERVALUE("0.001164")</f>
        <v/>
      </c>
      <c r="O2436">
        <f>_xlfn.NUMBERVALUE("-0.002209")</f>
        <v/>
      </c>
      <c r="P2436">
        <f>_xlfn.NUMBERVALUE("-0.000159")</f>
        <v/>
      </c>
      <c r="Q2436">
        <f>_xlfn.NUMBERVALUE("0.000136")</f>
        <v/>
      </c>
      <c r="R2436">
        <f>_xlfn.NUMBERVALUE("0.002840")</f>
        <v/>
      </c>
      <c r="S2436">
        <f>_xlfn.NUMBERVALUE("0.000096")</f>
        <v/>
      </c>
      <c r="T2436">
        <f>_xlfn.NUMBERVALUE("-0.000570")</f>
        <v/>
      </c>
      <c r="U2436">
        <f>_xlfn.NUMBERVALUE("0.000427")</f>
        <v/>
      </c>
      <c r="V2436">
        <f>_xlfn.NUMBERVALUE("-0.000455")</f>
        <v/>
      </c>
      <c r="W2436">
        <f>_xlfn.NUMBERVALUE("0.000727")</f>
        <v/>
      </c>
      <c r="X2436">
        <f>_xlfn.NUMBERVALUE("0.600000")</f>
        <v/>
      </c>
      <c r="Y2436">
        <f>_xlfn.NUMBERVALUE("21.320000")</f>
        <v/>
      </c>
    </row>
    <row r="2437">
      <c r="A2437" s="1" t="n">
        <v>45540</v>
      </c>
      <c r="B2437">
        <f>_xlfn.NUMBERVALUE("-0.000316")</f>
        <v/>
      </c>
      <c r="C2437" s="2">
        <f>_xlfn.NUMBERVALUE("-0.000008")</f>
        <v/>
      </c>
      <c r="D2437">
        <f>_xlfn.NUMBERVALUE("0.000960")</f>
        <v/>
      </c>
      <c r="E2437">
        <f>_xlfn.NUMBERVALUE("0.000269")</f>
        <v/>
      </c>
      <c r="F2437">
        <f>_xlfn.NUMBERVALUE("-0.000031")</f>
        <v/>
      </c>
      <c r="G2437">
        <f>_xlfn.NUMBERVALUE("0.000105")</f>
        <v/>
      </c>
      <c r="H2437">
        <f>_xlfn.NUMBERVALUE("0.001955")</f>
        <v/>
      </c>
      <c r="I2437">
        <f>_xlfn.NUMBERVALUE("0.000597")</f>
        <v/>
      </c>
      <c r="J2437">
        <f>_xlfn.NUMBERVALUE("0.000008")</f>
        <v/>
      </c>
      <c r="K2437">
        <f>_xlfn.NUMBERVALUE("-0.000435")</f>
        <v/>
      </c>
      <c r="L2437">
        <f>_xlfn.NUMBERVALUE("-0.000076")</f>
        <v/>
      </c>
      <c r="M2437">
        <f>_xlfn.NUMBERVALUE("0.002014")</f>
        <v/>
      </c>
      <c r="N2437">
        <f>_xlfn.NUMBERVALUE("0.000513")</f>
        <v/>
      </c>
      <c r="O2437">
        <f>_xlfn.NUMBERVALUE("0.000402")</f>
        <v/>
      </c>
      <c r="P2437">
        <f>_xlfn.NUMBERVALUE("0.000579")</f>
        <v/>
      </c>
      <c r="Q2437">
        <f>_xlfn.NUMBERVALUE("-0.000578")</f>
        <v/>
      </c>
      <c r="R2437">
        <f>_xlfn.NUMBERVALUE("0.001256")</f>
        <v/>
      </c>
      <c r="S2437">
        <f>_xlfn.NUMBERVALUE("-0.000327")</f>
        <v/>
      </c>
      <c r="T2437">
        <f>_xlfn.NUMBERVALUE("0.000261")</f>
        <v/>
      </c>
      <c r="U2437">
        <f>_xlfn.NUMBERVALUE("0.001544")</f>
        <v/>
      </c>
      <c r="V2437">
        <f>_xlfn.NUMBERVALUE("0.000176")</f>
        <v/>
      </c>
      <c r="W2437">
        <f>_xlfn.NUMBERVALUE("-0.004138")</f>
        <v/>
      </c>
      <c r="X2437">
        <f>_xlfn.NUMBERVALUE("-1.420000")</f>
        <v/>
      </c>
      <c r="Y2437">
        <f>_xlfn.NUMBERVALUE("19.900000")</f>
        <v/>
      </c>
    </row>
    <row r="2438">
      <c r="A2438" s="1" t="n">
        <v>45541</v>
      </c>
      <c r="B2438">
        <f>_xlfn.NUMBERVALUE("-0.005108")</f>
        <v/>
      </c>
      <c r="C2438" s="2">
        <f>_xlfn.NUMBERVALUE("0.000263")</f>
        <v/>
      </c>
      <c r="D2438">
        <f>_xlfn.NUMBERVALUE("0.000112")</f>
        <v/>
      </c>
      <c r="E2438">
        <f>_xlfn.NUMBERVALUE("-0.000010")</f>
        <v/>
      </c>
      <c r="F2438">
        <f>_xlfn.NUMBERVALUE("0.000082")</f>
        <v/>
      </c>
      <c r="G2438">
        <f>_xlfn.NUMBERVALUE("-0.000003")</f>
        <v/>
      </c>
      <c r="H2438">
        <f>_xlfn.NUMBERVALUE("0.000020")</f>
        <v/>
      </c>
      <c r="I2438">
        <f>_xlfn.NUMBERVALUE("0.005366")</f>
        <v/>
      </c>
      <c r="J2438">
        <f>_xlfn.NUMBERVALUE("-0.000007")</f>
        <v/>
      </c>
      <c r="K2438">
        <f>_xlfn.NUMBERVALUE("-0.000018")</f>
        <v/>
      </c>
      <c r="L2438">
        <f>_xlfn.NUMBERVALUE("0.000542")</f>
        <v/>
      </c>
      <c r="M2438">
        <f>_xlfn.NUMBERVALUE("0.002552")</f>
        <v/>
      </c>
      <c r="N2438">
        <f>_xlfn.NUMBERVALUE("-0.002764")</f>
        <v/>
      </c>
      <c r="O2438">
        <f>_xlfn.NUMBERVALUE("-0.000730")</f>
        <v/>
      </c>
      <c r="P2438">
        <f>_xlfn.NUMBERVALUE("-0.000408")</f>
        <v/>
      </c>
      <c r="Q2438">
        <f>_xlfn.NUMBERVALUE("0.005281")</f>
        <v/>
      </c>
      <c r="R2438">
        <f>_xlfn.NUMBERVALUE("0.000638")</f>
        <v/>
      </c>
      <c r="S2438">
        <f>_xlfn.NUMBERVALUE("0.001097")</f>
        <v/>
      </c>
      <c r="T2438">
        <f>_xlfn.NUMBERVALUE("0.003111")</f>
        <v/>
      </c>
      <c r="U2438">
        <f>_xlfn.NUMBERVALUE("-0.001701")</f>
        <v/>
      </c>
      <c r="V2438">
        <f>_xlfn.NUMBERVALUE("0.000134")</f>
        <v/>
      </c>
      <c r="W2438">
        <f>_xlfn.NUMBERVALUE("-0.007199")</f>
        <v/>
      </c>
      <c r="X2438">
        <f>_xlfn.NUMBERVALUE("2.480000")</f>
        <v/>
      </c>
      <c r="Y2438">
        <f>_xlfn.NUMBERVALUE("22.380000")</f>
        <v/>
      </c>
    </row>
    <row r="2439">
      <c r="A2439" s="1" t="n">
        <v>45544</v>
      </c>
      <c r="B2439">
        <f>_xlfn.NUMBERVALUE("0.002215")</f>
        <v/>
      </c>
      <c r="C2439" s="2">
        <f>_xlfn.NUMBERVALUE("0.000317")</f>
        <v/>
      </c>
      <c r="D2439">
        <f>_xlfn.NUMBERVALUE("0.003547")</f>
        <v/>
      </c>
      <c r="E2439">
        <f>_xlfn.NUMBERVALUE("0.000096")</f>
        <v/>
      </c>
      <c r="F2439">
        <f>_xlfn.NUMBERVALUE("0.002296")</f>
        <v/>
      </c>
      <c r="G2439">
        <f>_xlfn.NUMBERVALUE("-0.003682")</f>
        <v/>
      </c>
      <c r="H2439">
        <f>_xlfn.NUMBERVALUE("0.001211")</f>
        <v/>
      </c>
      <c r="I2439">
        <f>_xlfn.NUMBERVALUE("0.004428")</f>
        <v/>
      </c>
      <c r="J2439">
        <f>_xlfn.NUMBERVALUE("0.001890")</f>
        <v/>
      </c>
      <c r="K2439">
        <f>_xlfn.NUMBERVALUE("0.002525")</f>
        <v/>
      </c>
      <c r="L2439">
        <f>_xlfn.NUMBERVALUE("0.000096")</f>
        <v/>
      </c>
      <c r="M2439">
        <f>_xlfn.NUMBERVALUE("0.001000")</f>
        <v/>
      </c>
      <c r="N2439">
        <f>_xlfn.NUMBERVALUE("-0.000073")</f>
        <v/>
      </c>
      <c r="O2439">
        <f>_xlfn.NUMBERVALUE("0.000903")</f>
        <v/>
      </c>
      <c r="P2439">
        <f>_xlfn.NUMBERVALUE("-0.000427")</f>
        <v/>
      </c>
      <c r="Q2439">
        <f>_xlfn.NUMBERVALUE("-0.000071")</f>
        <v/>
      </c>
      <c r="R2439">
        <f>_xlfn.NUMBERVALUE("0.007552")</f>
        <v/>
      </c>
      <c r="S2439">
        <f>_xlfn.NUMBERVALUE("0.000050")</f>
        <v/>
      </c>
      <c r="T2439">
        <f>_xlfn.NUMBERVALUE("0.001730")</f>
        <v/>
      </c>
      <c r="U2439">
        <f>_xlfn.NUMBERVALUE("0.001636")</f>
        <v/>
      </c>
      <c r="V2439">
        <f>_xlfn.NUMBERVALUE("0.002264")</f>
        <v/>
      </c>
      <c r="W2439">
        <f>_xlfn.NUMBERVALUE("0.008802")</f>
        <v/>
      </c>
      <c r="X2439">
        <f>_xlfn.NUMBERVALUE("-2.930000")</f>
        <v/>
      </c>
      <c r="Y2439">
        <f>_xlfn.NUMBERVALUE("19.450000")</f>
        <v/>
      </c>
    </row>
    <row r="2440">
      <c r="A2440" s="1" t="n">
        <v>45545</v>
      </c>
      <c r="B2440">
        <f>_xlfn.NUMBERVALUE("-0.000051")</f>
        <v/>
      </c>
      <c r="C2440" s="2">
        <f>_xlfn.NUMBERVALUE("0.001891")</f>
        <v/>
      </c>
      <c r="D2440">
        <f>_xlfn.NUMBERVALUE("0.001083")</f>
        <v/>
      </c>
      <c r="E2440">
        <f>_xlfn.NUMBERVALUE("0.000892")</f>
        <v/>
      </c>
      <c r="F2440">
        <f>_xlfn.NUMBERVALUE("0.000744")</f>
        <v/>
      </c>
      <c r="G2440">
        <f>_xlfn.NUMBERVALUE("0.002733")</f>
        <v/>
      </c>
      <c r="H2440">
        <f>_xlfn.NUMBERVALUE("-0.000223")</f>
        <v/>
      </c>
      <c r="I2440">
        <f>_xlfn.NUMBERVALUE("0.000307")</f>
        <v/>
      </c>
      <c r="J2440">
        <f>_xlfn.NUMBERVALUE("0.000355")</f>
        <v/>
      </c>
      <c r="K2440">
        <f>_xlfn.NUMBERVALUE("0.000948")</f>
        <v/>
      </c>
      <c r="L2440">
        <f>_xlfn.NUMBERVALUE("-0.000787")</f>
        <v/>
      </c>
      <c r="M2440">
        <f>_xlfn.NUMBERVALUE("0.001496")</f>
        <v/>
      </c>
      <c r="N2440">
        <f>_xlfn.NUMBERVALUE("-0.007474")</f>
        <v/>
      </c>
      <c r="O2440">
        <f>_xlfn.NUMBERVALUE("-0.000180")</f>
        <v/>
      </c>
      <c r="P2440">
        <f>_xlfn.NUMBERVALUE("0.000215")</f>
        <v/>
      </c>
      <c r="Q2440">
        <f>_xlfn.NUMBERVALUE("0.000909")</f>
        <v/>
      </c>
      <c r="R2440">
        <f>_xlfn.NUMBERVALUE("-0.000198")</f>
        <v/>
      </c>
      <c r="S2440">
        <f>_xlfn.NUMBERVALUE("0.000060")</f>
        <v/>
      </c>
      <c r="T2440">
        <f>_xlfn.NUMBERVALUE("0.000125")</f>
        <v/>
      </c>
      <c r="U2440">
        <f>_xlfn.NUMBERVALUE("-0.000151")</f>
        <v/>
      </c>
      <c r="V2440">
        <f>_xlfn.NUMBERVALUE("0.000651")</f>
        <v/>
      </c>
      <c r="W2440">
        <f>_xlfn.NUMBERVALUE("0.005151")</f>
        <v/>
      </c>
      <c r="X2440">
        <f>_xlfn.NUMBERVALUE("-0.370000")</f>
        <v/>
      </c>
      <c r="Y2440">
        <f>_xlfn.NUMBERVALUE("19.080000")</f>
        <v/>
      </c>
    </row>
    <row r="2441">
      <c r="A2441" s="1" t="n">
        <v>45546</v>
      </c>
      <c r="B2441">
        <f>_xlfn.NUMBERVALUE("0.001310")</f>
        <v/>
      </c>
      <c r="C2441" s="2">
        <f>_xlfn.NUMBERVALUE("0.002404")</f>
        <v/>
      </c>
      <c r="D2441">
        <f>_xlfn.NUMBERVALUE("0.002057")</f>
        <v/>
      </c>
      <c r="E2441">
        <f>_xlfn.NUMBERVALUE("0.000828")</f>
        <v/>
      </c>
      <c r="F2441">
        <f>_xlfn.NUMBERVALUE("0.002003")</f>
        <v/>
      </c>
      <c r="G2441">
        <f>_xlfn.NUMBERVALUE("-0.000350")</f>
        <v/>
      </c>
      <c r="H2441">
        <f>_xlfn.NUMBERVALUE("0.000851")</f>
        <v/>
      </c>
      <c r="I2441">
        <f>_xlfn.NUMBERVALUE("0.004258")</f>
        <v/>
      </c>
      <c r="J2441">
        <f>_xlfn.NUMBERVALUE("0.000199")</f>
        <v/>
      </c>
      <c r="K2441">
        <f>_xlfn.NUMBERVALUE("0.002102")</f>
        <v/>
      </c>
      <c r="L2441">
        <f>_xlfn.NUMBERVALUE("0.002507")</f>
        <v/>
      </c>
      <c r="M2441">
        <f>_xlfn.NUMBERVALUE("0.000155")</f>
        <v/>
      </c>
      <c r="N2441">
        <f>_xlfn.NUMBERVALUE("0.010785")</f>
        <v/>
      </c>
      <c r="O2441">
        <f>_xlfn.NUMBERVALUE("-0.000459")</f>
        <v/>
      </c>
      <c r="P2441">
        <f>_xlfn.NUMBERVALUE("-0.000025")</f>
        <v/>
      </c>
      <c r="Q2441">
        <f>_xlfn.NUMBERVALUE("-0.000021")</f>
        <v/>
      </c>
      <c r="R2441">
        <f>_xlfn.NUMBERVALUE("-0.013874")</f>
        <v/>
      </c>
      <c r="S2441">
        <f>_xlfn.NUMBERVALUE("0.000117")</f>
        <v/>
      </c>
      <c r="T2441">
        <f>_xlfn.NUMBERVALUE("0.000070")</f>
        <v/>
      </c>
      <c r="U2441">
        <f>_xlfn.NUMBERVALUE("0.000294")</f>
        <v/>
      </c>
      <c r="V2441">
        <f>_xlfn.NUMBERVALUE("0.000547")</f>
        <v/>
      </c>
      <c r="W2441">
        <f>_xlfn.NUMBERVALUE("0.007824")</f>
        <v/>
      </c>
      <c r="X2441">
        <f>_xlfn.NUMBERVALUE("-1.390000")</f>
        <v/>
      </c>
      <c r="Y2441">
        <f>_xlfn.NUMBERVALUE("17.690000")</f>
        <v/>
      </c>
    </row>
    <row r="2442">
      <c r="A2442" s="1" t="n">
        <v>45547</v>
      </c>
      <c r="B2442">
        <f>_xlfn.NUMBERVALUE("0.001093")</f>
        <v/>
      </c>
      <c r="C2442" s="2">
        <f>_xlfn.NUMBERVALUE("0.000919")</f>
        <v/>
      </c>
      <c r="D2442">
        <f>_xlfn.NUMBERVALUE("-0.000394")</f>
        <v/>
      </c>
      <c r="E2442">
        <f>_xlfn.NUMBERVALUE("0.000618")</f>
        <v/>
      </c>
      <c r="F2442">
        <f>_xlfn.NUMBERVALUE("-0.004818")</f>
        <v/>
      </c>
      <c r="G2442">
        <f>_xlfn.NUMBERVALUE("-0.000209")</f>
        <v/>
      </c>
      <c r="H2442">
        <f>_xlfn.NUMBERVALUE("0.000151")</f>
        <v/>
      </c>
      <c r="I2442">
        <f>_xlfn.NUMBERVALUE("-0.000149")</f>
        <v/>
      </c>
      <c r="J2442">
        <f>_xlfn.NUMBERVALUE("0.000397")</f>
        <v/>
      </c>
      <c r="K2442">
        <f>_xlfn.NUMBERVALUE("-0.010985")</f>
        <v/>
      </c>
      <c r="L2442">
        <f>_xlfn.NUMBERVALUE("0.000506")</f>
        <v/>
      </c>
      <c r="M2442">
        <f>_xlfn.NUMBERVALUE("0.000502")</f>
        <v/>
      </c>
      <c r="N2442">
        <f>_xlfn.NUMBERVALUE("-0.000848")</f>
        <v/>
      </c>
      <c r="O2442">
        <f>_xlfn.NUMBERVALUE("-0.000205")</f>
        <v/>
      </c>
      <c r="P2442">
        <f>_xlfn.NUMBERVALUE("0.000859")</f>
        <v/>
      </c>
      <c r="Q2442">
        <f>_xlfn.NUMBERVALUE("0.000722")</f>
        <v/>
      </c>
      <c r="R2442">
        <f>_xlfn.NUMBERVALUE("-0.000071")</f>
        <v/>
      </c>
      <c r="S2442">
        <f>_xlfn.NUMBERVALUE("0.000150")</f>
        <v/>
      </c>
      <c r="T2442">
        <f>_xlfn.NUMBERVALUE("0.001870")</f>
        <v/>
      </c>
      <c r="U2442">
        <f>_xlfn.NUMBERVALUE("-0.001142")</f>
        <v/>
      </c>
      <c r="V2442">
        <f>_xlfn.NUMBERVALUE("0.000271")</f>
        <v/>
      </c>
      <c r="W2442">
        <f>_xlfn.NUMBERVALUE("0.011382")</f>
        <v/>
      </c>
      <c r="X2442">
        <f>_xlfn.NUMBERVALUE("-0.620000")</f>
        <v/>
      </c>
      <c r="Y2442">
        <f>_xlfn.NUMBERVALUE("17.070000")</f>
        <v/>
      </c>
    </row>
    <row r="2443">
      <c r="A2443" s="1" t="n">
        <v>45548</v>
      </c>
      <c r="B2443">
        <f>_xlfn.NUMBERVALUE("0.002096")</f>
        <v/>
      </c>
      <c r="C2443" s="2">
        <f>_xlfn.NUMBERVALUE("-0.000677")</f>
        <v/>
      </c>
      <c r="D2443">
        <f>_xlfn.NUMBERVALUE("0.001678")</f>
        <v/>
      </c>
      <c r="E2443">
        <f>_xlfn.NUMBERVALUE("0.000333")</f>
        <v/>
      </c>
      <c r="F2443">
        <f>_xlfn.NUMBERVALUE("-0.000808")</f>
        <v/>
      </c>
      <c r="G2443">
        <f>_xlfn.NUMBERVALUE("0.001164")</f>
        <v/>
      </c>
      <c r="H2443">
        <f>_xlfn.NUMBERVALUE("0.000328")</f>
        <v/>
      </c>
      <c r="I2443">
        <f>_xlfn.NUMBERVALUE("-0.005392")</f>
        <v/>
      </c>
      <c r="J2443">
        <f>_xlfn.NUMBERVALUE("0.000208")</f>
        <v/>
      </c>
      <c r="K2443">
        <f>_xlfn.NUMBERVALUE("-0.002282")</f>
        <v/>
      </c>
      <c r="L2443">
        <f>_xlfn.NUMBERVALUE("0.001327")</f>
        <v/>
      </c>
      <c r="M2443">
        <f>_xlfn.NUMBERVALUE("-0.001942")</f>
        <v/>
      </c>
      <c r="N2443">
        <f>_xlfn.NUMBERVALUE("-0.000519")</f>
        <v/>
      </c>
      <c r="O2443">
        <f>_xlfn.NUMBERVALUE("0.001457")</f>
        <v/>
      </c>
      <c r="P2443">
        <f>_xlfn.NUMBERVALUE("0.000986")</f>
        <v/>
      </c>
      <c r="Q2443">
        <f>_xlfn.NUMBERVALUE("0.000042")</f>
        <v/>
      </c>
      <c r="R2443">
        <f>_xlfn.NUMBERVALUE("0.002124")</f>
        <v/>
      </c>
      <c r="S2443">
        <f>_xlfn.NUMBERVALUE("0.000861")</f>
        <v/>
      </c>
      <c r="T2443">
        <f>_xlfn.NUMBERVALUE("-0.000419")</f>
        <v/>
      </c>
      <c r="U2443">
        <f>_xlfn.NUMBERVALUE("0.000466")</f>
        <v/>
      </c>
      <c r="V2443">
        <f>_xlfn.NUMBERVALUE("0.000413")</f>
        <v/>
      </c>
      <c r="W2443">
        <f>_xlfn.NUMBERVALUE("0.005457")</f>
        <v/>
      </c>
      <c r="X2443">
        <f>_xlfn.NUMBERVALUE("-0.510000")</f>
        <v/>
      </c>
      <c r="Y2443">
        <f>_xlfn.NUMBERVALUE("16.560000")</f>
        <v/>
      </c>
    </row>
    <row r="2444">
      <c r="A2444" s="1" t="n">
        <v>45551</v>
      </c>
      <c r="B2444">
        <f>_xlfn.NUMBERVALUE("0.002433")</f>
        <v/>
      </c>
      <c r="C2444" s="2">
        <f>_xlfn.NUMBERVALUE("-0.000424")</f>
        <v/>
      </c>
      <c r="D2444">
        <f>_xlfn.NUMBERVALUE("-0.000129")</f>
        <v/>
      </c>
      <c r="E2444">
        <f>_xlfn.NUMBERVALUE("0.000222")</f>
        <v/>
      </c>
      <c r="F2444">
        <f>_xlfn.NUMBERVALUE("0.001132")</f>
        <v/>
      </c>
      <c r="G2444">
        <f>_xlfn.NUMBERVALUE("0.001748")</f>
        <v/>
      </c>
      <c r="H2444">
        <f>_xlfn.NUMBERVALUE("0.000498")</f>
        <v/>
      </c>
      <c r="I2444">
        <f>_xlfn.NUMBERVALUE("0.000339")</f>
        <v/>
      </c>
      <c r="J2444">
        <f>_xlfn.NUMBERVALUE("0.000357")</f>
        <v/>
      </c>
      <c r="K2444">
        <f>_xlfn.NUMBERVALUE("-0.000129")</f>
        <v/>
      </c>
      <c r="L2444">
        <f>_xlfn.NUMBERVALUE("0.000007")</f>
        <v/>
      </c>
      <c r="M2444">
        <f>_xlfn.NUMBERVALUE("-0.001875")</f>
        <v/>
      </c>
      <c r="N2444">
        <f>_xlfn.NUMBERVALUE("0.000992")</f>
        <v/>
      </c>
      <c r="O2444">
        <f>_xlfn.NUMBERVALUE("0.000533")</f>
        <v/>
      </c>
      <c r="P2444">
        <f>_xlfn.NUMBERVALUE("0.000201")</f>
        <v/>
      </c>
      <c r="Q2444">
        <f>_xlfn.NUMBERVALUE("-0.001528")</f>
        <v/>
      </c>
      <c r="R2444">
        <f>_xlfn.NUMBERVALUE("0.002558")</f>
        <v/>
      </c>
      <c r="S2444">
        <f>_xlfn.NUMBERVALUE("0.001608")</f>
        <v/>
      </c>
      <c r="T2444">
        <f>_xlfn.NUMBERVALUE("-0.000306")</f>
        <v/>
      </c>
      <c r="U2444">
        <f>_xlfn.NUMBERVALUE("0.001036")</f>
        <v/>
      </c>
      <c r="V2444">
        <f>_xlfn.NUMBERVALUE("0.000532")</f>
        <v/>
      </c>
      <c r="W2444">
        <f>_xlfn.NUMBERVALUE("0.001246")</f>
        <v/>
      </c>
      <c r="X2444">
        <f>_xlfn.NUMBERVALUE("0.580000")</f>
        <v/>
      </c>
      <c r="Y2444">
        <f>_xlfn.NUMBERVALUE("17.140000")</f>
        <v/>
      </c>
    </row>
    <row r="2445">
      <c r="A2445" s="1" t="n">
        <v>45552</v>
      </c>
      <c r="B2445">
        <f>_xlfn.NUMBERVALUE("0.000041")</f>
        <v/>
      </c>
      <c r="C2445" s="2">
        <f>_xlfn.NUMBERVALUE("0.000068")</f>
        <v/>
      </c>
      <c r="D2445">
        <f>_xlfn.NUMBERVALUE("0.000482")</f>
        <v/>
      </c>
      <c r="E2445">
        <f>_xlfn.NUMBERVALUE("0.000102")</f>
        <v/>
      </c>
      <c r="F2445">
        <f>_xlfn.NUMBERVALUE("-0.000141")</f>
        <v/>
      </c>
      <c r="G2445">
        <f>_xlfn.NUMBERVALUE("-0.002410")</f>
        <v/>
      </c>
      <c r="H2445">
        <f>_xlfn.NUMBERVALUE("-0.000101")</f>
        <v/>
      </c>
      <c r="I2445">
        <f>_xlfn.NUMBERVALUE("-0.000739")</f>
        <v/>
      </c>
      <c r="J2445">
        <f>_xlfn.NUMBERVALUE("-0.000543")</f>
        <v/>
      </c>
      <c r="K2445">
        <f>_xlfn.NUMBERVALUE("0.001268")</f>
        <v/>
      </c>
      <c r="L2445">
        <f>_xlfn.NUMBERVALUE("-0.001003")</f>
        <v/>
      </c>
      <c r="M2445">
        <f>_xlfn.NUMBERVALUE("-0.001314")</f>
        <v/>
      </c>
      <c r="N2445">
        <f>_xlfn.NUMBERVALUE("0.002538")</f>
        <v/>
      </c>
      <c r="O2445">
        <f>_xlfn.NUMBERVALUE("-0.001018")</f>
        <v/>
      </c>
      <c r="P2445">
        <f>_xlfn.NUMBERVALUE("-0.000802")</f>
        <v/>
      </c>
      <c r="Q2445">
        <f>_xlfn.NUMBERVALUE("-0.000993")</f>
        <v/>
      </c>
      <c r="R2445">
        <f>_xlfn.NUMBERVALUE("-0.000226")</f>
        <v/>
      </c>
      <c r="S2445">
        <f>_xlfn.NUMBERVALUE("0.000325")</f>
        <v/>
      </c>
      <c r="T2445">
        <f>_xlfn.NUMBERVALUE("-0.001661")</f>
        <v/>
      </c>
      <c r="U2445">
        <f>_xlfn.NUMBERVALUE("-0.000491")</f>
        <v/>
      </c>
      <c r="V2445">
        <f>_xlfn.NUMBERVALUE("-0.000137")</f>
        <v/>
      </c>
      <c r="W2445">
        <f>_xlfn.NUMBERVALUE("-0.001066")</f>
        <v/>
      </c>
      <c r="X2445">
        <f>_xlfn.NUMBERVALUE("0.470000")</f>
        <v/>
      </c>
      <c r="Y2445">
        <f>_xlfn.NUMBERVALUE("17.610000")</f>
        <v/>
      </c>
    </row>
    <row r="2446">
      <c r="A2446" s="1" t="n">
        <v>45553</v>
      </c>
      <c r="B2446">
        <f>_xlfn.NUMBERVALUE("0.004087")</f>
        <v/>
      </c>
      <c r="C2446" s="2">
        <f>_xlfn.NUMBERVALUE("0.000834")</f>
        <v/>
      </c>
      <c r="D2446">
        <f>_xlfn.NUMBERVALUE("0.001786")</f>
        <v/>
      </c>
      <c r="E2446">
        <f>_xlfn.NUMBERVALUE("0.000209")</f>
        <v/>
      </c>
      <c r="F2446">
        <f>_xlfn.NUMBERVALUE("0.001166")</f>
        <v/>
      </c>
      <c r="G2446">
        <f>_xlfn.NUMBERVALUE("0.000393")</f>
        <v/>
      </c>
      <c r="H2446">
        <f>_xlfn.NUMBERVALUE("0.000952")</f>
        <v/>
      </c>
      <c r="I2446">
        <f>_xlfn.NUMBERVALUE("0.000765")</f>
        <v/>
      </c>
      <c r="J2446">
        <f>_xlfn.NUMBERVALUE("0.001787")</f>
        <v/>
      </c>
      <c r="K2446">
        <f>_xlfn.NUMBERVALUE("0.000988")</f>
        <v/>
      </c>
      <c r="L2446">
        <f>_xlfn.NUMBERVALUE("-0.000002")</f>
        <v/>
      </c>
      <c r="M2446">
        <f>_xlfn.NUMBERVALUE("0.004432")</f>
        <v/>
      </c>
      <c r="N2446">
        <f>_xlfn.NUMBERVALUE("0.007470")</f>
        <v/>
      </c>
      <c r="O2446">
        <f>_xlfn.NUMBERVALUE("0.000293")</f>
        <v/>
      </c>
      <c r="P2446">
        <f>_xlfn.NUMBERVALUE("0.001289")</f>
        <v/>
      </c>
      <c r="Q2446">
        <f>_xlfn.NUMBERVALUE("0.001423")</f>
        <v/>
      </c>
      <c r="R2446">
        <f>_xlfn.NUMBERVALUE("0.003089")</f>
        <v/>
      </c>
      <c r="S2446">
        <f>_xlfn.NUMBERVALUE("0.000786")</f>
        <v/>
      </c>
      <c r="T2446">
        <f>_xlfn.NUMBERVALUE("0.002131")</f>
        <v/>
      </c>
      <c r="U2446">
        <f>_xlfn.NUMBERVALUE("0.000079")</f>
        <v/>
      </c>
      <c r="V2446">
        <f>_xlfn.NUMBERVALUE("0.000543")</f>
        <v/>
      </c>
      <c r="W2446">
        <f>_xlfn.NUMBERVALUE("-0.000125")</f>
        <v/>
      </c>
      <c r="X2446">
        <f>_xlfn.NUMBERVALUE("0.620000")</f>
        <v/>
      </c>
      <c r="Y2446">
        <f>_xlfn.NUMBERVALUE("18.230000")</f>
        <v/>
      </c>
    </row>
    <row r="2447">
      <c r="A2447" s="1" t="n">
        <v>45554</v>
      </c>
      <c r="B2447">
        <f>_xlfn.NUMBERVALUE("0.002106")</f>
        <v/>
      </c>
      <c r="C2447" s="2">
        <f>_xlfn.NUMBERVALUE("-0.000975")</f>
        <v/>
      </c>
      <c r="D2447">
        <f>_xlfn.NUMBERVALUE("-0.003477")</f>
        <v/>
      </c>
      <c r="E2447">
        <f>_xlfn.NUMBERVALUE("-0.002150")</f>
        <v/>
      </c>
      <c r="F2447">
        <f>_xlfn.NUMBERVALUE("-0.000451")</f>
        <v/>
      </c>
      <c r="G2447">
        <f>_xlfn.NUMBERVALUE("0.001555")</f>
        <v/>
      </c>
      <c r="H2447">
        <f>_xlfn.NUMBERVALUE("0.000495")</f>
        <v/>
      </c>
      <c r="I2447">
        <f>_xlfn.NUMBERVALUE("0.001017")</f>
        <v/>
      </c>
      <c r="J2447">
        <f>_xlfn.NUMBERVALUE("0.000532")</f>
        <v/>
      </c>
      <c r="K2447">
        <f>_xlfn.NUMBERVALUE("-0.003059")</f>
        <v/>
      </c>
      <c r="L2447">
        <f>_xlfn.NUMBERVALUE("0.001690")</f>
        <v/>
      </c>
      <c r="M2447">
        <f>_xlfn.NUMBERVALUE("-0.002203")</f>
        <v/>
      </c>
      <c r="N2447">
        <f>_xlfn.NUMBERVALUE("0.001383")</f>
        <v/>
      </c>
      <c r="O2447">
        <f>_xlfn.NUMBERVALUE("0.000583")</f>
        <v/>
      </c>
      <c r="P2447">
        <f>_xlfn.NUMBERVALUE("0.000522")</f>
        <v/>
      </c>
      <c r="Q2447">
        <f>_xlfn.NUMBERVALUE("-0.001444")</f>
        <v/>
      </c>
      <c r="R2447">
        <f>_xlfn.NUMBERVALUE("-0.003450")</f>
        <v/>
      </c>
      <c r="S2447">
        <f>_xlfn.NUMBERVALUE("0.003180")</f>
        <v/>
      </c>
      <c r="T2447">
        <f>_xlfn.NUMBERVALUE("0.002277")</f>
        <v/>
      </c>
      <c r="U2447">
        <f>_xlfn.NUMBERVALUE("-0.000818")</f>
        <v/>
      </c>
      <c r="V2447">
        <f>_xlfn.NUMBERVALUE("-0.000967")</f>
        <v/>
      </c>
      <c r="W2447">
        <f>_xlfn.NUMBERVALUE("0.016584")</f>
        <v/>
      </c>
      <c r="X2447">
        <f>_xlfn.NUMBERVALUE("-1.900000")</f>
        <v/>
      </c>
      <c r="Y2447">
        <f>_xlfn.NUMBERVALUE("16.330000")</f>
        <v/>
      </c>
    </row>
    <row r="2448">
      <c r="A2448" s="1" t="n">
        <v>45555</v>
      </c>
      <c r="B2448">
        <f>_xlfn.NUMBERVALUE("0.007411")</f>
        <v/>
      </c>
      <c r="C2448" s="2">
        <f>_xlfn.NUMBERVALUE("-0.001255")</f>
        <v/>
      </c>
      <c r="D2448">
        <f>_xlfn.NUMBERVALUE("0.000919")</f>
        <v/>
      </c>
      <c r="E2448">
        <f>_xlfn.NUMBERVALUE("0.000801")</f>
        <v/>
      </c>
      <c r="F2448">
        <f>_xlfn.NUMBERVALUE("-0.001217")</f>
        <v/>
      </c>
      <c r="G2448">
        <f>_xlfn.NUMBERVALUE("-0.000529")</f>
        <v/>
      </c>
      <c r="H2448">
        <f>_xlfn.NUMBERVALUE("0.001079")</f>
        <v/>
      </c>
      <c r="I2448">
        <f>_xlfn.NUMBERVALUE("0.003071")</f>
        <v/>
      </c>
      <c r="J2448">
        <f>_xlfn.NUMBERVALUE("0.000426")</f>
        <v/>
      </c>
      <c r="K2448">
        <f>_xlfn.NUMBERVALUE("0.000046")</f>
        <v/>
      </c>
      <c r="L2448">
        <f>_xlfn.NUMBERVALUE("0.001923")</f>
        <v/>
      </c>
      <c r="M2448">
        <f>_xlfn.NUMBERVALUE("0.003441")</f>
        <v/>
      </c>
      <c r="N2448">
        <f>_xlfn.NUMBERVALUE("0.002211")</f>
        <v/>
      </c>
      <c r="O2448">
        <f>_xlfn.NUMBERVALUE("0.001986")</f>
        <v/>
      </c>
      <c r="P2448">
        <f>_xlfn.NUMBERVALUE("0.002779")</f>
        <v/>
      </c>
      <c r="Q2448">
        <f>_xlfn.NUMBERVALUE("0.002133")</f>
        <v/>
      </c>
      <c r="R2448">
        <f>_xlfn.NUMBERVALUE("0.003894")</f>
        <v/>
      </c>
      <c r="S2448">
        <f>_xlfn.NUMBERVALUE("0.001535")</f>
        <v/>
      </c>
      <c r="T2448">
        <f>_xlfn.NUMBERVALUE("-0.006941")</f>
        <v/>
      </c>
      <c r="U2448">
        <f>_xlfn.NUMBERVALUE("0.002565")</f>
        <v/>
      </c>
      <c r="V2448">
        <f>_xlfn.NUMBERVALUE("-0.001277")</f>
        <v/>
      </c>
      <c r="W2448">
        <f>_xlfn.NUMBERVALUE("-0.004008")</f>
        <v/>
      </c>
      <c r="X2448">
        <f>_xlfn.NUMBERVALUE("-0.180000")</f>
        <v/>
      </c>
      <c r="Y2448">
        <f>_xlfn.NUMBERVALUE("16.150000")</f>
        <v/>
      </c>
    </row>
    <row r="2449">
      <c r="A2449" s="1" t="n">
        <v>45558</v>
      </c>
      <c r="B2449">
        <f>_xlfn.NUMBERVALUE("0.005771")</f>
        <v/>
      </c>
      <c r="C2449" s="2">
        <f>_xlfn.NUMBERVALUE("0.000985")</f>
        <v/>
      </c>
      <c r="D2449">
        <f>_xlfn.NUMBERVALUE("0.000419")</f>
        <v/>
      </c>
      <c r="E2449">
        <f>_xlfn.NUMBERVALUE("0.000661")</f>
        <v/>
      </c>
      <c r="F2449">
        <f>_xlfn.NUMBERVALUE("0.000919")</f>
        <v/>
      </c>
      <c r="G2449">
        <f>_xlfn.NUMBERVALUE("-0.000186")</f>
        <v/>
      </c>
      <c r="H2449">
        <f>_xlfn.NUMBERVALUE("0.000840")</f>
        <v/>
      </c>
      <c r="I2449">
        <f>_xlfn.NUMBERVALUE("0.002818")</f>
        <v/>
      </c>
      <c r="J2449">
        <f>_xlfn.NUMBERVALUE("0.001019")</f>
        <v/>
      </c>
      <c r="K2449">
        <f>_xlfn.NUMBERVALUE("0.001458")</f>
        <v/>
      </c>
      <c r="L2449">
        <f>_xlfn.NUMBERVALUE("0.001548")</f>
        <v/>
      </c>
      <c r="M2449">
        <f>_xlfn.NUMBERVALUE("-0.002564")</f>
        <v/>
      </c>
      <c r="N2449">
        <f>_xlfn.NUMBERVALUE("0.001900")</f>
        <v/>
      </c>
      <c r="O2449">
        <f>_xlfn.NUMBERVALUE("-0.004302")</f>
        <v/>
      </c>
      <c r="P2449">
        <f>_xlfn.NUMBERVALUE("-0.000562")</f>
        <v/>
      </c>
      <c r="Q2449">
        <f>_xlfn.NUMBERVALUE("-0.001249")</f>
        <v/>
      </c>
      <c r="R2449">
        <f>_xlfn.NUMBERVALUE("0.002074")</f>
        <v/>
      </c>
      <c r="S2449">
        <f>_xlfn.NUMBERVALUE("-0.000652")</f>
        <v/>
      </c>
      <c r="T2449">
        <f>_xlfn.NUMBERVALUE("-0.004163")</f>
        <v/>
      </c>
      <c r="U2449">
        <f>_xlfn.NUMBERVALUE("-0.003391")</f>
        <v/>
      </c>
      <c r="V2449">
        <f>_xlfn.NUMBERVALUE("0.001649")</f>
        <v/>
      </c>
      <c r="W2449">
        <f>_xlfn.NUMBERVALUE("0.000474")</f>
        <v/>
      </c>
      <c r="X2449">
        <f>_xlfn.NUMBERVALUE("-0.260000")</f>
        <v/>
      </c>
      <c r="Y2449">
        <f>_xlfn.NUMBERVALUE("15.890000")</f>
        <v/>
      </c>
    </row>
    <row r="2450">
      <c r="A2450" s="1" t="n">
        <v>45559</v>
      </c>
      <c r="B2450">
        <f>_xlfn.NUMBERVALUE("0.001225")</f>
        <v/>
      </c>
      <c r="C2450" s="2">
        <f>_xlfn.NUMBERVALUE("0.000495")</f>
        <v/>
      </c>
      <c r="D2450">
        <f>_xlfn.NUMBERVALUE("-0.004551")</f>
        <v/>
      </c>
      <c r="E2450">
        <f>_xlfn.NUMBERVALUE("-0.000782")</f>
        <v/>
      </c>
      <c r="F2450">
        <f>_xlfn.NUMBERVALUE("-0.001353")</f>
        <v/>
      </c>
      <c r="G2450">
        <f>_xlfn.NUMBERVALUE("0.001761")</f>
        <v/>
      </c>
      <c r="H2450">
        <f>_xlfn.NUMBERVALUE("0.000429")</f>
        <v/>
      </c>
      <c r="I2450">
        <f>_xlfn.NUMBERVALUE("0.000701")</f>
        <v/>
      </c>
      <c r="J2450">
        <f>_xlfn.NUMBERVALUE("0.000162")</f>
        <v/>
      </c>
      <c r="K2450">
        <f>_xlfn.NUMBERVALUE("-0.004295")</f>
        <v/>
      </c>
      <c r="L2450">
        <f>_xlfn.NUMBERVALUE("0.000198")</f>
        <v/>
      </c>
      <c r="M2450">
        <f>_xlfn.NUMBERVALUE("0.000081")</f>
        <v/>
      </c>
      <c r="N2450">
        <f>_xlfn.NUMBERVALUE("-0.000516")</f>
        <v/>
      </c>
      <c r="O2450">
        <f>_xlfn.NUMBERVALUE("0.000765")</f>
        <v/>
      </c>
      <c r="P2450">
        <f>_xlfn.NUMBERVALUE("0.001593")</f>
        <v/>
      </c>
      <c r="Q2450">
        <f>_xlfn.NUMBERVALUE("0.001329")</f>
        <v/>
      </c>
      <c r="R2450">
        <f>_xlfn.NUMBERVALUE("0.000341")</f>
        <v/>
      </c>
      <c r="S2450">
        <f>_xlfn.NUMBERVALUE("0.000619")</f>
        <v/>
      </c>
      <c r="T2450">
        <f>_xlfn.NUMBERVALUE("0.000675")</f>
        <v/>
      </c>
      <c r="U2450">
        <f>_xlfn.NUMBERVALUE("0.004086")</f>
        <v/>
      </c>
      <c r="V2450">
        <f>_xlfn.NUMBERVALUE("0.000710")</f>
        <v/>
      </c>
      <c r="W2450">
        <f>_xlfn.NUMBERVALUE("0.002371")</f>
        <v/>
      </c>
      <c r="X2450">
        <f>_xlfn.NUMBERVALUE("-0.500000")</f>
        <v/>
      </c>
      <c r="Y2450">
        <f>_xlfn.NUMBERVALUE("15.390000")</f>
        <v/>
      </c>
    </row>
    <row r="2451">
      <c r="A2451" s="1" t="n">
        <v>45560</v>
      </c>
      <c r="B2451">
        <f>_xlfn.NUMBERVALUE("0.003132")</f>
        <v/>
      </c>
      <c r="C2451" s="2">
        <f>_xlfn.NUMBERVALUE("0.000806")</f>
        <v/>
      </c>
      <c r="D2451">
        <f>_xlfn.NUMBERVALUE("0.000296")</f>
        <v/>
      </c>
      <c r="E2451">
        <f>_xlfn.NUMBERVALUE("0.000962")</f>
        <v/>
      </c>
      <c r="F2451">
        <f>_xlfn.NUMBERVALUE("0.000111")</f>
        <v/>
      </c>
      <c r="G2451">
        <f>_xlfn.NUMBERVALUE("-0.000295")</f>
        <v/>
      </c>
      <c r="H2451">
        <f>_xlfn.NUMBERVALUE("-0.000201")</f>
        <v/>
      </c>
      <c r="I2451">
        <f>_xlfn.NUMBERVALUE("-0.003286")</f>
        <v/>
      </c>
      <c r="J2451">
        <f>_xlfn.NUMBERVALUE("0.000027")</f>
        <v/>
      </c>
      <c r="K2451">
        <f>_xlfn.NUMBERVALUE("0.000320")</f>
        <v/>
      </c>
      <c r="L2451">
        <f>_xlfn.NUMBERVALUE("-0.000689")</f>
        <v/>
      </c>
      <c r="M2451">
        <f>_xlfn.NUMBERVALUE("-0.001507")</f>
        <v/>
      </c>
      <c r="N2451">
        <f>_xlfn.NUMBERVALUE("0.002091")</f>
        <v/>
      </c>
      <c r="O2451">
        <f>_xlfn.NUMBERVALUE("-0.001470")</f>
        <v/>
      </c>
      <c r="P2451">
        <f>_xlfn.NUMBERVALUE("0.000313")</f>
        <v/>
      </c>
      <c r="Q2451">
        <f>_xlfn.NUMBERVALUE("-0.000881")</f>
        <v/>
      </c>
      <c r="R2451">
        <f>_xlfn.NUMBERVALUE("0.000099")</f>
        <v/>
      </c>
      <c r="S2451">
        <f>_xlfn.NUMBERVALUE("0.001077")</f>
        <v/>
      </c>
      <c r="T2451">
        <f>_xlfn.NUMBERVALUE("-0.000053")</f>
        <v/>
      </c>
      <c r="U2451">
        <f>_xlfn.NUMBERVALUE("-0.000134")</f>
        <v/>
      </c>
      <c r="V2451">
        <f>_xlfn.NUMBERVALUE("0.000432")</f>
        <v/>
      </c>
      <c r="W2451">
        <f>_xlfn.NUMBERVALUE("-0.001875")</f>
        <v/>
      </c>
      <c r="X2451">
        <f>_xlfn.NUMBERVALUE("0.020000")</f>
        <v/>
      </c>
      <c r="Y2451">
        <f>_xlfn.NUMBERVALUE("15.410000")</f>
        <v/>
      </c>
    </row>
    <row r="2452">
      <c r="A2452" s="1" t="n">
        <v>45561</v>
      </c>
      <c r="B2452">
        <f>_xlfn.NUMBERVALUE("-0.000016")</f>
        <v/>
      </c>
      <c r="C2452" s="2">
        <f>_xlfn.NUMBERVALUE("0.000595")</f>
        <v/>
      </c>
      <c r="D2452">
        <f>_xlfn.NUMBERVALUE("-0.001463")</f>
        <v/>
      </c>
      <c r="E2452">
        <f>_xlfn.NUMBERVALUE("-0.002671")</f>
        <v/>
      </c>
      <c r="F2452">
        <f>_xlfn.NUMBERVALUE("0.000406")</f>
        <v/>
      </c>
      <c r="G2452">
        <f>_xlfn.NUMBERVALUE("-0.000625")</f>
        <v/>
      </c>
      <c r="H2452">
        <f>_xlfn.NUMBERVALUE("0.000202")</f>
        <v/>
      </c>
      <c r="I2452">
        <f>_xlfn.NUMBERVALUE("0.000689")</f>
        <v/>
      </c>
      <c r="J2452">
        <f>_xlfn.NUMBERVALUE("0.000565")</f>
        <v/>
      </c>
      <c r="K2452">
        <f>_xlfn.NUMBERVALUE("0.000297")</f>
        <v/>
      </c>
      <c r="L2452">
        <f>_xlfn.NUMBERVALUE("0.000306")</f>
        <v/>
      </c>
      <c r="M2452">
        <f>_xlfn.NUMBERVALUE("-0.001128")</f>
        <v/>
      </c>
      <c r="N2452">
        <f>_xlfn.NUMBERVALUE("0.000206")</f>
        <v/>
      </c>
      <c r="O2452">
        <f>_xlfn.NUMBERVALUE("-0.003727")</f>
        <v/>
      </c>
      <c r="P2452">
        <f>_xlfn.NUMBERVALUE("-0.000093")</f>
        <v/>
      </c>
      <c r="Q2452">
        <f>_xlfn.NUMBERVALUE("-0.000414")</f>
        <v/>
      </c>
      <c r="R2452">
        <f>_xlfn.NUMBERVALUE("-0.001228")</f>
        <v/>
      </c>
      <c r="S2452">
        <f>_xlfn.NUMBERVALUE("0.000079")</f>
        <v/>
      </c>
      <c r="T2452">
        <f>_xlfn.NUMBERVALUE("-0.000060")</f>
        <v/>
      </c>
      <c r="U2452">
        <f>_xlfn.NUMBERVALUE("-0.001354")</f>
        <v/>
      </c>
      <c r="V2452">
        <f>_xlfn.NUMBERVALUE("0.000185")</f>
        <v/>
      </c>
      <c r="W2452">
        <f>_xlfn.NUMBERVALUE("0.004407")</f>
        <v/>
      </c>
      <c r="X2452">
        <f>_xlfn.NUMBERVALUE("-0.040000")</f>
        <v/>
      </c>
      <c r="Y2452">
        <f>_xlfn.NUMBERVALUE("15.370000")</f>
        <v/>
      </c>
    </row>
    <row r="2453">
      <c r="A2453" s="1" t="n">
        <v>45562</v>
      </c>
      <c r="B2453">
        <f>_xlfn.NUMBERVALUE("-0.000799")</f>
        <v/>
      </c>
      <c r="C2453" s="2">
        <f>_xlfn.NUMBERVALUE("-0.001045")</f>
        <v/>
      </c>
      <c r="D2453">
        <f>_xlfn.NUMBERVALUE("0.000330")</f>
        <v/>
      </c>
      <c r="E2453">
        <f>_xlfn.NUMBERVALUE("0.000020")</f>
        <v/>
      </c>
      <c r="F2453">
        <f>_xlfn.NUMBERVALUE("0.000662")</f>
        <v/>
      </c>
      <c r="G2453">
        <f>_xlfn.NUMBERVALUE("-0.000336")</f>
        <v/>
      </c>
      <c r="H2453">
        <f>_xlfn.NUMBERVALUE("0.000150")</f>
        <v/>
      </c>
      <c r="I2453">
        <f>_xlfn.NUMBERVALUE("0.000765")</f>
        <v/>
      </c>
      <c r="J2453">
        <f>_xlfn.NUMBERVALUE("-0.000466")</f>
        <v/>
      </c>
      <c r="K2453">
        <f>_xlfn.NUMBERVALUE("0.000504")</f>
        <v/>
      </c>
      <c r="L2453">
        <f>_xlfn.NUMBERVALUE("0.000211")</f>
        <v/>
      </c>
      <c r="M2453">
        <f>_xlfn.NUMBERVALUE("-0.000275")</f>
        <v/>
      </c>
      <c r="N2453">
        <f>_xlfn.NUMBERVALUE("-0.001049")</f>
        <v/>
      </c>
      <c r="O2453">
        <f>_xlfn.NUMBERVALUE("-0.003920")</f>
        <v/>
      </c>
      <c r="P2453">
        <f>_xlfn.NUMBERVALUE("0.000067")</f>
        <v/>
      </c>
      <c r="Q2453">
        <f>_xlfn.NUMBERVALUE("0.000838")</f>
        <v/>
      </c>
      <c r="R2453">
        <f>_xlfn.NUMBERVALUE("0.000632")</f>
        <v/>
      </c>
      <c r="S2453">
        <f>_xlfn.NUMBERVALUE("0.000232")</f>
        <v/>
      </c>
      <c r="T2453">
        <f>_xlfn.NUMBERVALUE("-0.000792")</f>
        <v/>
      </c>
      <c r="U2453">
        <f>_xlfn.NUMBERVALUE("0.001805")</f>
        <v/>
      </c>
      <c r="V2453">
        <f>_xlfn.NUMBERVALUE("0.000315")</f>
        <v/>
      </c>
      <c r="W2453">
        <f>_xlfn.NUMBERVALUE("-0.000874")</f>
        <v/>
      </c>
      <c r="X2453">
        <f>_xlfn.NUMBERVALUE("1.590000")</f>
        <v/>
      </c>
      <c r="Y2453">
        <f>_xlfn.NUMBERVALUE("16.960000")</f>
        <v/>
      </c>
    </row>
    <row r="2454">
      <c r="A2454" s="1" t="n">
        <v>45565</v>
      </c>
      <c r="B2454">
        <f>_xlfn.NUMBERVALUE("0.001768")</f>
        <v/>
      </c>
      <c r="C2454" s="2">
        <f>_xlfn.NUMBERVALUE("0.001306")</f>
        <v/>
      </c>
      <c r="D2454">
        <f>_xlfn.NUMBERVALUE("-0.000588")</f>
        <v/>
      </c>
      <c r="E2454">
        <f>_xlfn.NUMBERVALUE("0.000460")</f>
        <v/>
      </c>
      <c r="F2454">
        <f>_xlfn.NUMBERVALUE("0.001409")</f>
        <v/>
      </c>
      <c r="G2454">
        <f>_xlfn.NUMBERVALUE("0.001409")</f>
        <v/>
      </c>
      <c r="H2454">
        <f>_xlfn.NUMBERVALUE("0.000599")</f>
        <v/>
      </c>
      <c r="I2454">
        <f>_xlfn.NUMBERVALUE("0.001021")</f>
        <v/>
      </c>
      <c r="J2454">
        <f>_xlfn.NUMBERVALUE("0.000930")</f>
        <v/>
      </c>
      <c r="K2454">
        <f>_xlfn.NUMBERVALUE("0.000975")</f>
        <v/>
      </c>
      <c r="L2454">
        <f>_xlfn.NUMBERVALUE("-0.000043")</f>
        <v/>
      </c>
      <c r="M2454">
        <f>_xlfn.NUMBERVALUE("0.000474")</f>
        <v/>
      </c>
      <c r="N2454">
        <f>_xlfn.NUMBERVALUE("0.000705")</f>
        <v/>
      </c>
      <c r="O2454">
        <f>_xlfn.NUMBERVALUE("0.002320")</f>
        <v/>
      </c>
      <c r="P2454">
        <f>_xlfn.NUMBERVALUE("0.001028")</f>
        <v/>
      </c>
      <c r="Q2454">
        <f>_xlfn.NUMBERVALUE("0.000541")</f>
        <v/>
      </c>
      <c r="R2454">
        <f>_xlfn.NUMBERVALUE("0.001913")</f>
        <v/>
      </c>
      <c r="S2454">
        <f>_xlfn.NUMBERVALUE("0.000950")</f>
        <v/>
      </c>
      <c r="T2454">
        <f>_xlfn.NUMBERVALUE("0.000343")</f>
        <v/>
      </c>
      <c r="U2454">
        <f>_xlfn.NUMBERVALUE("-0.000136")</f>
        <v/>
      </c>
      <c r="V2454">
        <f>_xlfn.NUMBERVALUE("0.000751")</f>
        <v/>
      </c>
      <c r="W2454">
        <f>_xlfn.NUMBERVALUE("0.001137")</f>
        <v/>
      </c>
      <c r="X2454">
        <f>_xlfn.NUMBERVALUE("-0.230000")</f>
        <v/>
      </c>
      <c r="Y2454">
        <f>_xlfn.NUMBERVALUE("16.730000")</f>
        <v/>
      </c>
    </row>
    <row r="2455">
      <c r="A2455" s="1" t="n">
        <v>45566</v>
      </c>
      <c r="B2455">
        <f>_xlfn.NUMBERVALUE("-0.004538")</f>
        <v/>
      </c>
      <c r="C2455" s="2">
        <f>_xlfn.NUMBERVALUE("-0.000634")</f>
        <v/>
      </c>
      <c r="D2455">
        <f>_xlfn.NUMBERVALUE("0.001083")</f>
        <v/>
      </c>
      <c r="E2455">
        <f>_xlfn.NUMBERVALUE("-0.000387")</f>
        <v/>
      </c>
      <c r="F2455">
        <f>_xlfn.NUMBERVALUE("-0.000179")</f>
        <v/>
      </c>
      <c r="G2455">
        <f>_xlfn.NUMBERVALUE("-0.002602")</f>
        <v/>
      </c>
      <c r="H2455">
        <f>_xlfn.NUMBERVALUE("-0.000154")</f>
        <v/>
      </c>
      <c r="I2455">
        <f>_xlfn.NUMBERVALUE("-0.000735")</f>
        <v/>
      </c>
      <c r="J2455">
        <f>_xlfn.NUMBERVALUE("-0.000983")</f>
        <v/>
      </c>
      <c r="K2455">
        <f>_xlfn.NUMBERVALUE("0.000200")</f>
        <v/>
      </c>
      <c r="L2455">
        <f>_xlfn.NUMBERVALUE("0.001984")</f>
        <v/>
      </c>
      <c r="M2455">
        <f>_xlfn.NUMBERVALUE("0.000555")</f>
        <v/>
      </c>
      <c r="N2455">
        <f>_xlfn.NUMBERVALUE("-0.002753")</f>
        <v/>
      </c>
      <c r="O2455">
        <f>_xlfn.NUMBERVALUE("-0.004186")</f>
        <v/>
      </c>
      <c r="P2455">
        <f>_xlfn.NUMBERVALUE("-0.000584")</f>
        <v/>
      </c>
      <c r="Q2455">
        <f>_xlfn.NUMBERVALUE("0.000030")</f>
        <v/>
      </c>
      <c r="R2455">
        <f>_xlfn.NUMBERVALUE("-0.003288")</f>
        <v/>
      </c>
      <c r="S2455">
        <f>_xlfn.NUMBERVALUE("-0.000049")</f>
        <v/>
      </c>
      <c r="T2455">
        <f>_xlfn.NUMBERVALUE("-0.000201")</f>
        <v/>
      </c>
      <c r="U2455">
        <f>_xlfn.NUMBERVALUE("-0.001475")</f>
        <v/>
      </c>
      <c r="V2455">
        <f>_xlfn.NUMBERVALUE("-0.000423")</f>
        <v/>
      </c>
      <c r="W2455">
        <f>_xlfn.NUMBERVALUE("-0.005400")</f>
        <v/>
      </c>
      <c r="X2455">
        <f>_xlfn.NUMBERVALUE("2.530000")</f>
        <v/>
      </c>
      <c r="Y2455">
        <f>_xlfn.NUMBERVALUE("19.260000")</f>
        <v/>
      </c>
    </row>
    <row r="2456">
      <c r="A2456" s="1" t="n">
        <v>45567</v>
      </c>
      <c r="B2456">
        <f>_xlfn.NUMBERVALUE("0.002234")</f>
        <v/>
      </c>
      <c r="C2456" s="2">
        <f>_xlfn.NUMBERVALUE("0.001445")</f>
        <v/>
      </c>
      <c r="D2456">
        <f>_xlfn.NUMBERVALUE("-0.000691")</f>
        <v/>
      </c>
      <c r="E2456">
        <f>_xlfn.NUMBERVALUE("0.001300")</f>
        <v/>
      </c>
      <c r="F2456">
        <f>_xlfn.NUMBERVALUE("0.000268")</f>
        <v/>
      </c>
      <c r="G2456">
        <f>_xlfn.NUMBERVALUE("0.000166")</f>
        <v/>
      </c>
      <c r="H2456">
        <f>_xlfn.NUMBERVALUE("0.000934")</f>
        <v/>
      </c>
      <c r="I2456">
        <f>_xlfn.NUMBERVALUE("0.001887")</f>
        <v/>
      </c>
      <c r="J2456">
        <f>_xlfn.NUMBERVALUE("0.000173")</f>
        <v/>
      </c>
      <c r="K2456">
        <f>_xlfn.NUMBERVALUE("0.000351")</f>
        <v/>
      </c>
      <c r="L2456">
        <f>_xlfn.NUMBERVALUE("-0.000806")</f>
        <v/>
      </c>
      <c r="M2456">
        <f>_xlfn.NUMBERVALUE("0.000960")</f>
        <v/>
      </c>
      <c r="N2456">
        <f>_xlfn.NUMBERVALUE("0.001968")</f>
        <v/>
      </c>
      <c r="O2456">
        <f>_xlfn.NUMBERVALUE("-0.000307")</f>
        <v/>
      </c>
      <c r="P2456">
        <f>_xlfn.NUMBERVALUE("0.002241")</f>
        <v/>
      </c>
      <c r="Q2456">
        <f>_xlfn.NUMBERVALUE("0.000201")</f>
        <v/>
      </c>
      <c r="R2456">
        <f>_xlfn.NUMBERVALUE("0.000761")</f>
        <v/>
      </c>
      <c r="S2456">
        <f>_xlfn.NUMBERVALUE("-0.000632")</f>
        <v/>
      </c>
      <c r="T2456">
        <f>_xlfn.NUMBERVALUE("0.000430")</f>
        <v/>
      </c>
      <c r="U2456">
        <f>_xlfn.NUMBERVALUE("0.001731")</f>
        <v/>
      </c>
      <c r="V2456">
        <f>_xlfn.NUMBERVALUE("0.000674")</f>
        <v/>
      </c>
      <c r="W2456">
        <f>_xlfn.NUMBERVALUE("0.000264")</f>
        <v/>
      </c>
      <c r="X2456">
        <f>_xlfn.NUMBERVALUE("-0.360000")</f>
        <v/>
      </c>
      <c r="Y2456">
        <f>_xlfn.NUMBERVALUE("18.900000")</f>
        <v/>
      </c>
    </row>
    <row r="2457">
      <c r="A2457" s="1" t="n">
        <v>45568</v>
      </c>
      <c r="B2457">
        <f>_xlfn.NUMBERVALUE("-0.000246")</f>
        <v/>
      </c>
      <c r="C2457" s="2">
        <f>_xlfn.NUMBERVALUE("0.000920")</f>
        <v/>
      </c>
      <c r="D2457">
        <f>_xlfn.NUMBERVALUE("0.000236")</f>
        <v/>
      </c>
      <c r="E2457">
        <f>_xlfn.NUMBERVALUE("0.000212")</f>
        <v/>
      </c>
      <c r="F2457">
        <f>_xlfn.NUMBERVALUE("0.000058")</f>
        <v/>
      </c>
      <c r="G2457">
        <f>_xlfn.NUMBERVALUE("-0.000121")</f>
        <v/>
      </c>
      <c r="H2457">
        <f>_xlfn.NUMBERVALUE("-0.000329")</f>
        <v/>
      </c>
      <c r="I2457">
        <f>_xlfn.NUMBERVALUE("0.000600")</f>
        <v/>
      </c>
      <c r="J2457">
        <f>_xlfn.NUMBERVALUE("0.000919")</f>
        <v/>
      </c>
      <c r="K2457">
        <f>_xlfn.NUMBERVALUE("-0.000007")</f>
        <v/>
      </c>
      <c r="L2457">
        <f>_xlfn.NUMBERVALUE("-0.000312")</f>
        <v/>
      </c>
      <c r="M2457">
        <f>_xlfn.NUMBERVALUE("-0.002724")</f>
        <v/>
      </c>
      <c r="N2457">
        <f>_xlfn.NUMBERVALUE("-0.000148")</f>
        <v/>
      </c>
      <c r="O2457">
        <f>_xlfn.NUMBERVALUE("-0.000437")</f>
        <v/>
      </c>
      <c r="P2457">
        <f>_xlfn.NUMBERVALUE("0.000257")</f>
        <v/>
      </c>
      <c r="Q2457">
        <f>_xlfn.NUMBERVALUE("-0.000293")</f>
        <v/>
      </c>
      <c r="R2457">
        <f>_xlfn.NUMBERVALUE("-0.000503")</f>
        <v/>
      </c>
      <c r="S2457">
        <f>_xlfn.NUMBERVALUE("-0.001113")</f>
        <v/>
      </c>
      <c r="T2457">
        <f>_xlfn.NUMBERVALUE("0.000360")</f>
        <v/>
      </c>
      <c r="U2457">
        <f>_xlfn.NUMBERVALUE("0.000642")</f>
        <v/>
      </c>
      <c r="V2457">
        <f>_xlfn.NUMBERVALUE("0.000157")</f>
        <v/>
      </c>
      <c r="W2457">
        <f>_xlfn.NUMBERVALUE("-0.004514")</f>
        <v/>
      </c>
      <c r="X2457">
        <f>_xlfn.NUMBERVALUE("1.590000")</f>
        <v/>
      </c>
      <c r="Y2457">
        <f>_xlfn.NUMBERVALUE("20.490000")</f>
        <v/>
      </c>
    </row>
    <row r="2458">
      <c r="A2458" s="1" t="n">
        <v>45569</v>
      </c>
      <c r="B2458">
        <f>_xlfn.NUMBERVALUE("0.004213")</f>
        <v/>
      </c>
      <c r="C2458" s="2">
        <f>_xlfn.NUMBERVALUE("-0.000977")</f>
        <v/>
      </c>
      <c r="D2458">
        <f>_xlfn.NUMBERVALUE("-0.000065")</f>
        <v/>
      </c>
      <c r="E2458">
        <f>_xlfn.NUMBERVALUE("0.002738")</f>
        <v/>
      </c>
      <c r="F2458">
        <f>_xlfn.NUMBERVALUE("0.000399")</f>
        <v/>
      </c>
      <c r="G2458">
        <f>_xlfn.NUMBERVALUE("0.001738")</f>
        <v/>
      </c>
      <c r="H2458">
        <f>_xlfn.NUMBERVALUE("-0.001050")</f>
        <v/>
      </c>
      <c r="I2458">
        <f>_xlfn.NUMBERVALUE("-0.000186")</f>
        <v/>
      </c>
      <c r="J2458">
        <f>_xlfn.NUMBERVALUE("-0.000692")</f>
        <v/>
      </c>
      <c r="K2458">
        <f>_xlfn.NUMBERVALUE("0.000433")</f>
        <v/>
      </c>
      <c r="L2458">
        <f>_xlfn.NUMBERVALUE("-0.000471")</f>
        <v/>
      </c>
      <c r="M2458">
        <f>_xlfn.NUMBERVALUE("0.002535")</f>
        <v/>
      </c>
      <c r="N2458">
        <f>_xlfn.NUMBERVALUE("0.000861")</f>
        <v/>
      </c>
      <c r="O2458">
        <f>_xlfn.NUMBERVALUE("0.000264")</f>
        <v/>
      </c>
      <c r="P2458">
        <f>_xlfn.NUMBERVALUE("-0.002974")</f>
        <v/>
      </c>
      <c r="Q2458">
        <f>_xlfn.NUMBERVALUE("0.001422")</f>
        <v/>
      </c>
      <c r="R2458">
        <f>_xlfn.NUMBERVALUE("0.002523")</f>
        <v/>
      </c>
      <c r="S2458">
        <f>_xlfn.NUMBERVALUE("0.001872")</f>
        <v/>
      </c>
      <c r="T2458">
        <f>_xlfn.NUMBERVALUE("0.000798")</f>
        <v/>
      </c>
      <c r="U2458">
        <f>_xlfn.NUMBERVALUE("-0.000320")</f>
        <v/>
      </c>
      <c r="V2458">
        <f>_xlfn.NUMBERVALUE("0.000277")</f>
        <v/>
      </c>
      <c r="W2458">
        <f>_xlfn.NUMBERVALUE("0.009987")</f>
        <v/>
      </c>
      <c r="X2458">
        <f>_xlfn.NUMBERVALUE("-1.280000")</f>
        <v/>
      </c>
      <c r="Y2458">
        <f>_xlfn.NUMBERVALUE("19.210000")</f>
        <v/>
      </c>
    </row>
    <row r="2459">
      <c r="A2459" s="1" t="n">
        <v>45572</v>
      </c>
      <c r="B2459">
        <f>_xlfn.NUMBERVALUE("-0.000424")</f>
        <v/>
      </c>
      <c r="C2459" s="2">
        <f>_xlfn.NUMBERVALUE("0.000546")</f>
        <v/>
      </c>
      <c r="D2459">
        <f>_xlfn.NUMBERVALUE("0.000358")</f>
        <v/>
      </c>
      <c r="E2459">
        <f>_xlfn.NUMBERVALUE("0.000966")</f>
        <v/>
      </c>
      <c r="F2459">
        <f>_xlfn.NUMBERVALUE("0.000155")</f>
        <v/>
      </c>
      <c r="G2459">
        <f>_xlfn.NUMBERVALUE("0.001619")</f>
        <v/>
      </c>
      <c r="H2459">
        <f>_xlfn.NUMBERVALUE("-0.000329")</f>
        <v/>
      </c>
      <c r="I2459">
        <f>_xlfn.NUMBERVALUE("0.000099")</f>
        <v/>
      </c>
      <c r="J2459">
        <f>_xlfn.NUMBERVALUE("-0.000585")</f>
        <v/>
      </c>
      <c r="K2459">
        <f>_xlfn.NUMBERVALUE("-0.000084")</f>
        <v/>
      </c>
      <c r="L2459">
        <f>_xlfn.NUMBERVALUE("-0.000299")</f>
        <v/>
      </c>
      <c r="M2459">
        <f>_xlfn.NUMBERVALUE("0.002092")</f>
        <v/>
      </c>
      <c r="N2459">
        <f>_xlfn.NUMBERVALUE("0.000198")</f>
        <v/>
      </c>
      <c r="O2459">
        <f>_xlfn.NUMBERVALUE("0.000260")</f>
        <v/>
      </c>
      <c r="P2459">
        <f>_xlfn.NUMBERVALUE("0.000367")</f>
        <v/>
      </c>
      <c r="Q2459">
        <f>_xlfn.NUMBERVALUE("0.000237")</f>
        <v/>
      </c>
      <c r="R2459">
        <f>_xlfn.NUMBERVALUE("0.001991")</f>
        <v/>
      </c>
      <c r="S2459">
        <f>_xlfn.NUMBERVALUE("-0.000849")</f>
        <v/>
      </c>
      <c r="T2459">
        <f>_xlfn.NUMBERVALUE("-0.001854")</f>
        <v/>
      </c>
      <c r="U2459">
        <f>_xlfn.NUMBERVALUE("0.001306")</f>
        <v/>
      </c>
      <c r="V2459">
        <f>_xlfn.NUMBERVALUE("0.000197")</f>
        <v/>
      </c>
      <c r="W2459">
        <f>_xlfn.NUMBERVALUE("-0.004630")</f>
        <v/>
      </c>
      <c r="X2459">
        <f>_xlfn.NUMBERVALUE("3.430000")</f>
        <v/>
      </c>
      <c r="Y2459">
        <f>_xlfn.NUMBERVALUE("22.640000")</f>
        <v/>
      </c>
    </row>
    <row r="2460">
      <c r="A2460" s="1" t="n">
        <v>45573</v>
      </c>
      <c r="B2460">
        <f>_xlfn.NUMBERVALUE("0.000525")</f>
        <v/>
      </c>
      <c r="C2460" s="2">
        <f>_xlfn.NUMBERVALUE("0.002108")</f>
        <v/>
      </c>
      <c r="D2460">
        <f>_xlfn.NUMBERVALUE("-0.001506")</f>
        <v/>
      </c>
      <c r="E2460">
        <f>_xlfn.NUMBERVALUE("0.003336")</f>
        <v/>
      </c>
      <c r="F2460">
        <f>_xlfn.NUMBERVALUE("-0.000465")</f>
        <v/>
      </c>
      <c r="G2460">
        <f>_xlfn.NUMBERVALUE("0.000033")</f>
        <v/>
      </c>
      <c r="H2460">
        <f>_xlfn.NUMBERVALUE("0.000464")</f>
        <v/>
      </c>
      <c r="I2460">
        <f>_xlfn.NUMBERVALUE("0.003162")</f>
        <v/>
      </c>
      <c r="J2460">
        <f>_xlfn.NUMBERVALUE("0.000479")</f>
        <v/>
      </c>
      <c r="K2460">
        <f>_xlfn.NUMBERVALUE("-0.005040")</f>
        <v/>
      </c>
      <c r="L2460">
        <f>_xlfn.NUMBERVALUE("-0.000108")</f>
        <v/>
      </c>
      <c r="M2460">
        <f>_xlfn.NUMBERVALUE("0.000448")</f>
        <v/>
      </c>
      <c r="N2460">
        <f>_xlfn.NUMBERVALUE("0.000242")</f>
        <v/>
      </c>
      <c r="O2460">
        <f>_xlfn.NUMBERVALUE("0.000343")</f>
        <v/>
      </c>
      <c r="P2460">
        <f>_xlfn.NUMBERVALUE("0.000625")</f>
        <v/>
      </c>
      <c r="Q2460">
        <f>_xlfn.NUMBERVALUE("0.000281")</f>
        <v/>
      </c>
      <c r="R2460">
        <f>_xlfn.NUMBERVALUE("-0.001759")</f>
        <v/>
      </c>
      <c r="S2460">
        <f>_xlfn.NUMBERVALUE("0.000285")</f>
        <v/>
      </c>
      <c r="T2460">
        <f>_xlfn.NUMBERVALUE("0.001449")</f>
        <v/>
      </c>
      <c r="U2460">
        <f>_xlfn.NUMBERVALUE("0.000159")</f>
        <v/>
      </c>
      <c r="V2460">
        <f>_xlfn.NUMBERVALUE("0.000815")</f>
        <v/>
      </c>
      <c r="W2460">
        <f>_xlfn.NUMBERVALUE("0.011127")</f>
        <v/>
      </c>
      <c r="X2460">
        <f>_xlfn.NUMBERVALUE("-1.220000")</f>
        <v/>
      </c>
      <c r="Y2460">
        <f>_xlfn.NUMBERVALUE("21.420000")</f>
        <v/>
      </c>
    </row>
    <row r="2461">
      <c r="A2461" s="1" t="n">
        <v>45574</v>
      </c>
      <c r="B2461">
        <f>_xlfn.NUMBERVALUE("0.002707")</f>
        <v/>
      </c>
      <c r="C2461" s="2">
        <f>_xlfn.NUMBERVALUE("-0.000981")</f>
        <v/>
      </c>
      <c r="D2461">
        <f>_xlfn.NUMBERVALUE("0.001090")</f>
        <v/>
      </c>
      <c r="E2461">
        <f>_xlfn.NUMBERVALUE("0.000118")</f>
        <v/>
      </c>
      <c r="F2461">
        <f>_xlfn.NUMBERVALUE("0.000695")</f>
        <v/>
      </c>
      <c r="G2461">
        <f>_xlfn.NUMBERVALUE("0.002470")</f>
        <v/>
      </c>
      <c r="H2461">
        <f>_xlfn.NUMBERVALUE("-0.000499")</f>
        <v/>
      </c>
      <c r="I2461">
        <f>_xlfn.NUMBERVALUE("0.000785")</f>
        <v/>
      </c>
      <c r="J2461">
        <f>_xlfn.NUMBERVALUE("-0.000344")</f>
        <v/>
      </c>
      <c r="K2461">
        <f>_xlfn.NUMBERVALUE("0.002592")</f>
        <v/>
      </c>
      <c r="L2461">
        <f>_xlfn.NUMBERVALUE("-0.000445")</f>
        <v/>
      </c>
      <c r="M2461">
        <f>_xlfn.NUMBERVALUE("0.000074")</f>
        <v/>
      </c>
      <c r="N2461">
        <f>_xlfn.NUMBERVALUE("0.001771")</f>
        <v/>
      </c>
      <c r="O2461">
        <f>_xlfn.NUMBERVALUE("0.000101")</f>
        <v/>
      </c>
      <c r="P2461">
        <f>_xlfn.NUMBERVALUE("-0.000149")</f>
        <v/>
      </c>
      <c r="Q2461">
        <f>_xlfn.NUMBERVALUE("0.000026")</f>
        <v/>
      </c>
      <c r="R2461">
        <f>_xlfn.NUMBERVALUE("-0.000013")</f>
        <v/>
      </c>
      <c r="S2461">
        <f>_xlfn.NUMBERVALUE("0.000071")</f>
        <v/>
      </c>
      <c r="T2461">
        <f>_xlfn.NUMBERVALUE("0.001391")</f>
        <v/>
      </c>
      <c r="U2461">
        <f>_xlfn.NUMBERVALUE("0.000291")</f>
        <v/>
      </c>
      <c r="V2461">
        <f>_xlfn.NUMBERVALUE("0.000178")</f>
        <v/>
      </c>
      <c r="W2461">
        <f>_xlfn.NUMBERVALUE("0.006243")</f>
        <v/>
      </c>
      <c r="X2461">
        <f>_xlfn.NUMBERVALUE("-0.560000")</f>
        <v/>
      </c>
      <c r="Y2461">
        <f>_xlfn.NUMBERVALUE("20.860000")</f>
        <v/>
      </c>
    </row>
    <row r="2462">
      <c r="A2462" s="1" t="n">
        <v>45575</v>
      </c>
      <c r="B2462">
        <f>_xlfn.NUMBERVALUE("0.003174")</f>
        <v/>
      </c>
      <c r="C2462" s="2">
        <f>_xlfn.NUMBERVALUE("0.001819")</f>
        <v/>
      </c>
      <c r="D2462">
        <f>_xlfn.NUMBERVALUE("0.003554")</f>
        <v/>
      </c>
      <c r="E2462">
        <f>_xlfn.NUMBERVALUE("0.002023")</f>
        <v/>
      </c>
      <c r="F2462">
        <f>_xlfn.NUMBERVALUE("0.000731")</f>
        <v/>
      </c>
      <c r="G2462">
        <f>_xlfn.NUMBERVALUE("-0.001953")</f>
        <v/>
      </c>
      <c r="H2462">
        <f>_xlfn.NUMBERVALUE("-0.000483")</f>
        <v/>
      </c>
      <c r="I2462">
        <f>_xlfn.NUMBERVALUE("0.002303")</f>
        <v/>
      </c>
      <c r="J2462">
        <f>_xlfn.NUMBERVALUE("0.000865")</f>
        <v/>
      </c>
      <c r="K2462">
        <f>_xlfn.NUMBERVALUE("0.001802")</f>
        <v/>
      </c>
      <c r="L2462">
        <f>_xlfn.NUMBERVALUE("-0.000301")</f>
        <v/>
      </c>
      <c r="M2462">
        <f>_xlfn.NUMBERVALUE("0.000061")</f>
        <v/>
      </c>
      <c r="N2462">
        <f>_xlfn.NUMBERVALUE("0.002773")</f>
        <v/>
      </c>
      <c r="O2462">
        <f>_xlfn.NUMBERVALUE("0.000105")</f>
        <v/>
      </c>
      <c r="P2462">
        <f>_xlfn.NUMBERVALUE("0.000321")</f>
        <v/>
      </c>
      <c r="Q2462">
        <f>_xlfn.NUMBERVALUE("-0.000025")</f>
        <v/>
      </c>
      <c r="R2462">
        <f>_xlfn.NUMBERVALUE("0.000043")</f>
        <v/>
      </c>
      <c r="S2462">
        <f>_xlfn.NUMBERVALUE("-0.000119")</f>
        <v/>
      </c>
      <c r="T2462">
        <f>_xlfn.NUMBERVALUE("0.000824")</f>
        <v/>
      </c>
      <c r="U2462">
        <f>_xlfn.NUMBERVALUE("0.000113")</f>
        <v/>
      </c>
      <c r="V2462">
        <f>_xlfn.NUMBERVALUE("0.001338")</f>
        <v/>
      </c>
      <c r="W2462">
        <f>_xlfn.NUMBERVALUE("-0.002305")</f>
        <v/>
      </c>
      <c r="X2462">
        <f>_xlfn.NUMBERVALUE("0.070000")</f>
        <v/>
      </c>
      <c r="Y2462">
        <f>_xlfn.NUMBERVALUE("20.930000")</f>
        <v/>
      </c>
    </row>
    <row r="2463">
      <c r="A2463" s="1" t="n">
        <v>45576</v>
      </c>
      <c r="B2463">
        <f>_xlfn.NUMBERVALUE("0.004518")</f>
        <v/>
      </c>
      <c r="C2463" s="2">
        <f>_xlfn.NUMBERVALUE("-0.002350")</f>
        <v/>
      </c>
      <c r="D2463">
        <f>_xlfn.NUMBERVALUE("0.000514")</f>
        <v/>
      </c>
      <c r="E2463">
        <f>_xlfn.NUMBERVALUE("0.001277")</f>
        <v/>
      </c>
      <c r="F2463">
        <f>_xlfn.NUMBERVALUE("-0.000205")</f>
        <v/>
      </c>
      <c r="G2463">
        <f>_xlfn.NUMBERVALUE("-0.006915")</f>
        <v/>
      </c>
      <c r="H2463">
        <f>_xlfn.NUMBERVALUE("0.001171")</f>
        <v/>
      </c>
      <c r="I2463">
        <f>_xlfn.NUMBERVALUE("-0.003276")</f>
        <v/>
      </c>
      <c r="J2463">
        <f>_xlfn.NUMBERVALUE("0.000737")</f>
        <v/>
      </c>
      <c r="K2463">
        <f>_xlfn.NUMBERVALUE("0.000454")</f>
        <v/>
      </c>
      <c r="L2463">
        <f>_xlfn.NUMBERVALUE("0.001861")</f>
        <v/>
      </c>
      <c r="M2463">
        <f>_xlfn.NUMBERVALUE("0.000169")</f>
        <v/>
      </c>
      <c r="N2463">
        <f>_xlfn.NUMBERVALUE("-0.000828")</f>
        <v/>
      </c>
      <c r="O2463">
        <f>_xlfn.NUMBERVALUE("0.001317")</f>
        <v/>
      </c>
      <c r="P2463">
        <f>_xlfn.NUMBERVALUE("-0.004513")</f>
        <v/>
      </c>
      <c r="Q2463">
        <f>_xlfn.NUMBERVALUE("-0.004375")</f>
        <v/>
      </c>
      <c r="R2463">
        <f>_xlfn.NUMBERVALUE("0.001551")</f>
        <v/>
      </c>
      <c r="S2463">
        <f>_xlfn.NUMBERVALUE("0.001181")</f>
        <v/>
      </c>
      <c r="T2463">
        <f>_xlfn.NUMBERVALUE("0.000369")</f>
        <v/>
      </c>
      <c r="U2463">
        <f>_xlfn.NUMBERVALUE("0.003179")</f>
        <v/>
      </c>
      <c r="V2463">
        <f>_xlfn.NUMBERVALUE("-0.000187")</f>
        <v/>
      </c>
      <c r="W2463">
        <f>_xlfn.NUMBERVALUE("0.007783")</f>
        <v/>
      </c>
      <c r="X2463">
        <f>_xlfn.NUMBERVALUE("-0.470000")</f>
        <v/>
      </c>
      <c r="Y2463">
        <f>_xlfn.NUMBERVALUE("20.460000")</f>
        <v/>
      </c>
    </row>
    <row r="2464">
      <c r="A2464" s="1" t="n">
        <v>45579</v>
      </c>
      <c r="B2464">
        <f>_xlfn.NUMBERVALUE("0.000751")</f>
        <v/>
      </c>
      <c r="C2464" s="2">
        <f>_xlfn.NUMBERVALUE("0.000687")</f>
        <v/>
      </c>
      <c r="D2464">
        <f>_xlfn.NUMBERVALUE("0.005709")</f>
        <v/>
      </c>
      <c r="E2464">
        <f>_xlfn.NUMBERVALUE("0.002359")</f>
        <v/>
      </c>
      <c r="F2464">
        <f>_xlfn.NUMBERVALUE("0.001633")</f>
        <v/>
      </c>
      <c r="G2464">
        <f>_xlfn.NUMBERVALUE("0.010219")</f>
        <v/>
      </c>
      <c r="H2464">
        <f>_xlfn.NUMBERVALUE("0.000725")</f>
        <v/>
      </c>
      <c r="I2464">
        <f>_xlfn.NUMBERVALUE("0.001216")</f>
        <v/>
      </c>
      <c r="J2464">
        <f>_xlfn.NUMBERVALUE("0.000271")</f>
        <v/>
      </c>
      <c r="K2464">
        <f>_xlfn.NUMBERVALUE("0.002056")</f>
        <v/>
      </c>
      <c r="L2464">
        <f>_xlfn.NUMBERVALUE("0.001797")</f>
        <v/>
      </c>
      <c r="M2464">
        <f>_xlfn.NUMBERVALUE("0.002682")</f>
        <v/>
      </c>
      <c r="N2464">
        <f>_xlfn.NUMBERVALUE("0.001862")</f>
        <v/>
      </c>
      <c r="O2464">
        <f>_xlfn.NUMBERVALUE("0.004528")</f>
        <v/>
      </c>
      <c r="P2464">
        <f>_xlfn.NUMBERVALUE("0.000288")</f>
        <v/>
      </c>
      <c r="Q2464">
        <f>_xlfn.NUMBERVALUE("-0.000164")</f>
        <v/>
      </c>
      <c r="R2464">
        <f>_xlfn.NUMBERVALUE("0.001311")</f>
        <v/>
      </c>
      <c r="S2464">
        <f>_xlfn.NUMBERVALUE("0.000446")</f>
        <v/>
      </c>
      <c r="T2464">
        <f>_xlfn.NUMBERVALUE("-0.001710")</f>
        <v/>
      </c>
      <c r="U2464">
        <f>_xlfn.NUMBERVALUE("0.002502")</f>
        <v/>
      </c>
      <c r="V2464">
        <f>_xlfn.NUMBERVALUE("0.000238")</f>
        <v/>
      </c>
      <c r="W2464">
        <f>_xlfn.NUMBERVALUE("0.007705")</f>
        <v/>
      </c>
      <c r="X2464">
        <f>_xlfn.NUMBERVALUE("-0.760000")</f>
        <v/>
      </c>
      <c r="Y2464">
        <f>_xlfn.NUMBERVALUE("19.700000")</f>
        <v/>
      </c>
    </row>
    <row r="2465">
      <c r="A2465" s="1" t="n">
        <v>45580</v>
      </c>
      <c r="B2465">
        <f>_xlfn.NUMBERVALUE("0.001091")</f>
        <v/>
      </c>
      <c r="C2465" s="2">
        <f>_xlfn.NUMBERVALUE("0.000526")</f>
        <v/>
      </c>
      <c r="D2465">
        <f>_xlfn.NUMBERVALUE("-0.004366")</f>
        <v/>
      </c>
      <c r="E2465">
        <f>_xlfn.NUMBERVALUE("-0.001002")</f>
        <v/>
      </c>
      <c r="F2465">
        <f>_xlfn.NUMBERVALUE("0.000834")</f>
        <v/>
      </c>
      <c r="G2465">
        <f>_xlfn.NUMBERVALUE("-0.001660")</f>
        <v/>
      </c>
      <c r="H2465">
        <f>_xlfn.NUMBERVALUE("-0.000281")</f>
        <v/>
      </c>
      <c r="I2465">
        <f>_xlfn.NUMBERVALUE("-0.000177")</f>
        <v/>
      </c>
      <c r="J2465">
        <f>_xlfn.NUMBERVALUE("-0.000601")</f>
        <v/>
      </c>
      <c r="K2465">
        <f>_xlfn.NUMBERVALUE("0.001447")</f>
        <v/>
      </c>
      <c r="L2465">
        <f>_xlfn.NUMBERVALUE("-0.002142")</f>
        <v/>
      </c>
      <c r="M2465">
        <f>_xlfn.NUMBERVALUE("-0.002187")</f>
        <v/>
      </c>
      <c r="N2465">
        <f>_xlfn.NUMBERVALUE("0.000289")</f>
        <v/>
      </c>
      <c r="O2465">
        <f>_xlfn.NUMBERVALUE("-0.001637")</f>
        <v/>
      </c>
      <c r="P2465">
        <f>_xlfn.NUMBERVALUE("0.000099")</f>
        <v/>
      </c>
      <c r="Q2465">
        <f>_xlfn.NUMBERVALUE("0.000794")</f>
        <v/>
      </c>
      <c r="R2465">
        <f>_xlfn.NUMBERVALUE("-0.002613")</f>
        <v/>
      </c>
      <c r="S2465">
        <f>_xlfn.NUMBERVALUE("-0.001976")</f>
        <v/>
      </c>
      <c r="T2465">
        <f>_xlfn.NUMBERVALUE("0.000113")</f>
        <v/>
      </c>
      <c r="U2465">
        <f>_xlfn.NUMBERVALUE("-0.001190")</f>
        <v/>
      </c>
      <c r="V2465">
        <f>_xlfn.NUMBERVALUE("0.000669")</f>
        <v/>
      </c>
      <c r="W2465">
        <f>_xlfn.NUMBERVALUE("-0.009152")</f>
        <v/>
      </c>
      <c r="X2465">
        <f>_xlfn.NUMBERVALUE("0.940000")</f>
        <v/>
      </c>
      <c r="Y2465">
        <f>_xlfn.NUMBERVALUE("20.640000")</f>
        <v/>
      </c>
    </row>
    <row r="2466">
      <c r="A2466" s="1" t="n">
        <v>45581</v>
      </c>
      <c r="B2466">
        <f>_xlfn.NUMBERVALUE("0.001745")</f>
        <v/>
      </c>
      <c r="C2466" s="2">
        <f>_xlfn.NUMBERVALUE("-0.000124")</f>
        <v/>
      </c>
      <c r="D2466">
        <f>_xlfn.NUMBERVALUE("0.000676")</f>
        <v/>
      </c>
      <c r="E2466">
        <f>_xlfn.NUMBERVALUE("-0.001189")</f>
        <v/>
      </c>
      <c r="F2466">
        <f>_xlfn.NUMBERVALUE("0.000623")</f>
        <v/>
      </c>
      <c r="G2466">
        <f>_xlfn.NUMBERVALUE("0.003101")</f>
        <v/>
      </c>
      <c r="H2466">
        <f>_xlfn.NUMBERVALUE("0.000796")</f>
        <v/>
      </c>
      <c r="I2466">
        <f>_xlfn.NUMBERVALUE("-0.002082")</f>
        <v/>
      </c>
      <c r="J2466">
        <f>_xlfn.NUMBERVALUE("0.000508")</f>
        <v/>
      </c>
      <c r="K2466">
        <f>_xlfn.NUMBERVALUE("0.002531")</f>
        <v/>
      </c>
      <c r="L2466">
        <f>_xlfn.NUMBERVALUE("0.002861")</f>
        <v/>
      </c>
      <c r="M2466">
        <f>_xlfn.NUMBERVALUE("-0.001774")</f>
        <v/>
      </c>
      <c r="N2466">
        <f>_xlfn.NUMBERVALUE("0.000161")</f>
        <v/>
      </c>
      <c r="O2466">
        <f>_xlfn.NUMBERVALUE("0.000939")</f>
        <v/>
      </c>
      <c r="P2466">
        <f>_xlfn.NUMBERVALUE("0.002084")</f>
        <v/>
      </c>
      <c r="Q2466">
        <f>_xlfn.NUMBERVALUE("0.000040")</f>
        <v/>
      </c>
      <c r="R2466">
        <f>_xlfn.NUMBERVALUE("0.002662")</f>
        <v/>
      </c>
      <c r="S2466">
        <f>_xlfn.NUMBERVALUE("0.001787")</f>
        <v/>
      </c>
      <c r="T2466">
        <f>_xlfn.NUMBERVALUE("-0.004319")</f>
        <v/>
      </c>
      <c r="U2466">
        <f>_xlfn.NUMBERVALUE("0.001694")</f>
        <v/>
      </c>
      <c r="V2466">
        <f>_xlfn.NUMBERVALUE("0.000893")</f>
        <v/>
      </c>
      <c r="W2466">
        <f>_xlfn.NUMBERVALUE("0.005231")</f>
        <v/>
      </c>
      <c r="X2466">
        <f>_xlfn.NUMBERVALUE("-1.060000")</f>
        <v/>
      </c>
      <c r="Y2466">
        <f>_xlfn.NUMBERVALUE("19.580000")</f>
        <v/>
      </c>
    </row>
    <row r="2467">
      <c r="A2467" s="1" t="n">
        <v>45582</v>
      </c>
      <c r="B2467">
        <f>_xlfn.NUMBERVALUE("0.002285")</f>
        <v/>
      </c>
      <c r="C2467" s="2">
        <f>_xlfn.NUMBERVALUE("0.000429")</f>
        <v/>
      </c>
      <c r="D2467">
        <f>_xlfn.NUMBERVALUE("0.001675")</f>
        <v/>
      </c>
      <c r="E2467">
        <f>_xlfn.NUMBERVALUE("0.002030")</f>
        <v/>
      </c>
      <c r="F2467">
        <f>_xlfn.NUMBERVALUE("-0.000132")</f>
        <v/>
      </c>
      <c r="G2467">
        <f>_xlfn.NUMBERVALUE("0.000415")</f>
        <v/>
      </c>
      <c r="H2467">
        <f>_xlfn.NUMBERVALUE("0.000245")</f>
        <v/>
      </c>
      <c r="I2467">
        <f>_xlfn.NUMBERVALUE("0.002379")</f>
        <v/>
      </c>
      <c r="J2467">
        <f>_xlfn.NUMBERVALUE("-0.001096")</f>
        <v/>
      </c>
      <c r="K2467">
        <f>_xlfn.NUMBERVALUE("0.001620")</f>
        <v/>
      </c>
      <c r="L2467">
        <f>_xlfn.NUMBERVALUE("-0.002472")</f>
        <v/>
      </c>
      <c r="M2467">
        <f>_xlfn.NUMBERVALUE("0.000767")</f>
        <v/>
      </c>
      <c r="N2467">
        <f>_xlfn.NUMBERVALUE("0.000052")</f>
        <v/>
      </c>
      <c r="O2467">
        <f>_xlfn.NUMBERVALUE("0.000091")</f>
        <v/>
      </c>
      <c r="P2467">
        <f>_xlfn.NUMBERVALUE("-0.001696")</f>
        <v/>
      </c>
      <c r="Q2467">
        <f>_xlfn.NUMBERVALUE("0.001241")</f>
        <v/>
      </c>
      <c r="R2467">
        <f>_xlfn.NUMBERVALUE("-0.000504")</f>
        <v/>
      </c>
      <c r="S2467">
        <f>_xlfn.NUMBERVALUE("0.000534")</f>
        <v/>
      </c>
      <c r="T2467">
        <f>_xlfn.NUMBERVALUE("0.001040")</f>
        <v/>
      </c>
      <c r="U2467">
        <f>_xlfn.NUMBERVALUE("0.000659")</f>
        <v/>
      </c>
      <c r="V2467">
        <f>_xlfn.NUMBERVALUE("0.001532")</f>
        <v/>
      </c>
      <c r="W2467">
        <f>_xlfn.NUMBERVALUE("0.000378")</f>
        <v/>
      </c>
      <c r="X2467">
        <f>_xlfn.NUMBERVALUE("-0.470000")</f>
        <v/>
      </c>
      <c r="Y2467">
        <f>_xlfn.NUMBERVALUE("19.110000")</f>
        <v/>
      </c>
    </row>
    <row r="2468">
      <c r="A2468" s="1" t="n">
        <v>45583</v>
      </c>
      <c r="B2468">
        <f>_xlfn.NUMBERVALUE("0.001110")</f>
        <v/>
      </c>
      <c r="C2468" s="2">
        <f>_xlfn.NUMBERVALUE("0.001382")</f>
        <v/>
      </c>
      <c r="D2468">
        <f>_xlfn.NUMBERVALUE("0.001766")</f>
        <v/>
      </c>
      <c r="E2468">
        <f>_xlfn.NUMBERVALUE("0.001107")</f>
        <v/>
      </c>
      <c r="F2468">
        <f>_xlfn.NUMBERVALUE("-0.000962")</f>
        <v/>
      </c>
      <c r="G2468">
        <f>_xlfn.NUMBERVALUE("-0.000954")</f>
        <v/>
      </c>
      <c r="H2468">
        <f>_xlfn.NUMBERVALUE("0.000103")</f>
        <v/>
      </c>
      <c r="I2468">
        <f>_xlfn.NUMBERVALUE("0.001852")</f>
        <v/>
      </c>
      <c r="J2468">
        <f>_xlfn.NUMBERVALUE("0.001518")</f>
        <v/>
      </c>
      <c r="K2468">
        <f>_xlfn.NUMBERVALUE("-0.018811")</f>
        <v/>
      </c>
      <c r="L2468">
        <f>_xlfn.NUMBERVALUE("0.001789")</f>
        <v/>
      </c>
      <c r="M2468">
        <f>_xlfn.NUMBERVALUE("0.001597")</f>
        <v/>
      </c>
      <c r="N2468">
        <f>_xlfn.NUMBERVALUE("0.001495")</f>
        <v/>
      </c>
      <c r="O2468">
        <f>_xlfn.NUMBERVALUE("0.002938")</f>
        <v/>
      </c>
      <c r="P2468">
        <f>_xlfn.NUMBERVALUE("0.000985")</f>
        <v/>
      </c>
      <c r="Q2468">
        <f>_xlfn.NUMBERVALUE("0.001174")</f>
        <v/>
      </c>
      <c r="R2468">
        <f>_xlfn.NUMBERVALUE("0.002771")</f>
        <v/>
      </c>
      <c r="S2468">
        <f>_xlfn.NUMBERVALUE("0.001977")</f>
        <v/>
      </c>
      <c r="T2468">
        <f>_xlfn.NUMBERVALUE("0.000202")</f>
        <v/>
      </c>
      <c r="U2468">
        <f>_xlfn.NUMBERVALUE("0.002661")</f>
        <v/>
      </c>
      <c r="V2468">
        <f>_xlfn.NUMBERVALUE("0.001160")</f>
        <v/>
      </c>
      <c r="W2468">
        <f>_xlfn.NUMBERVALUE("0.002901")</f>
        <v/>
      </c>
      <c r="X2468">
        <f>_xlfn.NUMBERVALUE("-1.080000")</f>
        <v/>
      </c>
      <c r="Y2468">
        <f>_xlfn.NUMBERVALUE("18.030000")</f>
        <v/>
      </c>
    </row>
    <row r="2469">
      <c r="A2469" s="1" t="n">
        <v>45586</v>
      </c>
      <c r="B2469">
        <f>_xlfn.NUMBERVALUE("0.002399")</f>
        <v/>
      </c>
      <c r="C2469" s="2">
        <f>_xlfn.NUMBERVALUE("0.001267")</f>
        <v/>
      </c>
      <c r="D2469">
        <f>_xlfn.NUMBERVALUE("0.000107")</f>
        <v/>
      </c>
      <c r="E2469">
        <f>_xlfn.NUMBERVALUE("-0.002362")</f>
        <v/>
      </c>
      <c r="F2469">
        <f>_xlfn.NUMBERVALUE("0.002878")</f>
        <v/>
      </c>
      <c r="G2469">
        <f>_xlfn.NUMBERVALUE("0.001501")</f>
        <v/>
      </c>
      <c r="H2469">
        <f>_xlfn.NUMBERVALUE("-0.001234")</f>
        <v/>
      </c>
      <c r="I2469">
        <f>_xlfn.NUMBERVALUE("0.004357")</f>
        <v/>
      </c>
      <c r="J2469">
        <f>_xlfn.NUMBERVALUE("-0.002146")</f>
        <v/>
      </c>
      <c r="K2469">
        <f>_xlfn.NUMBERVALUE("0.005469")</f>
        <v/>
      </c>
      <c r="L2469">
        <f>_xlfn.NUMBERVALUE("-0.002617")</f>
        <v/>
      </c>
      <c r="M2469">
        <f>_xlfn.NUMBERVALUE("0.000954")</f>
        <v/>
      </c>
      <c r="N2469">
        <f>_xlfn.NUMBERVALUE("0.001728")</f>
        <v/>
      </c>
      <c r="O2469">
        <f>_xlfn.NUMBERVALUE("0.000979")</f>
        <v/>
      </c>
      <c r="P2469">
        <f>_xlfn.NUMBERVALUE("0.002153")</f>
        <v/>
      </c>
      <c r="Q2469">
        <f>_xlfn.NUMBERVALUE("0.001207")</f>
        <v/>
      </c>
      <c r="R2469">
        <f>_xlfn.NUMBERVALUE("0.001986")</f>
        <v/>
      </c>
      <c r="S2469">
        <f>_xlfn.NUMBERVALUE("0.001769")</f>
        <v/>
      </c>
      <c r="T2469">
        <f>_xlfn.NUMBERVALUE("0.001647")</f>
        <v/>
      </c>
      <c r="U2469">
        <f>_xlfn.NUMBERVALUE("0.000742")</f>
        <v/>
      </c>
      <c r="V2469">
        <f>_xlfn.NUMBERVALUE("0.003340")</f>
        <v/>
      </c>
      <c r="W2469">
        <f>_xlfn.NUMBERVALUE("-0.002773")</f>
        <v/>
      </c>
      <c r="X2469">
        <f>_xlfn.NUMBERVALUE("0.340000")</f>
        <v/>
      </c>
      <c r="Y2469">
        <f>_xlfn.NUMBERVALUE("18.370000")</f>
        <v/>
      </c>
    </row>
    <row r="2470">
      <c r="A2470" s="1" t="n">
        <v>45587</v>
      </c>
      <c r="B2470">
        <f>_xlfn.NUMBERVALUE("0.003254")</f>
        <v/>
      </c>
      <c r="C2470" s="2">
        <f>_xlfn.NUMBERVALUE("0.000382")</f>
        <v/>
      </c>
      <c r="D2470">
        <f>_xlfn.NUMBERVALUE("-0.000075")</f>
        <v/>
      </c>
      <c r="E2470">
        <f>_xlfn.NUMBERVALUE("0.000728")</f>
        <v/>
      </c>
      <c r="F2470">
        <f>_xlfn.NUMBERVALUE("-0.002827")</f>
        <v/>
      </c>
      <c r="G2470">
        <f>_xlfn.NUMBERVALUE("-0.002191")</f>
        <v/>
      </c>
      <c r="H2470">
        <f>_xlfn.NUMBERVALUE("0.000058")</f>
        <v/>
      </c>
      <c r="I2470">
        <f>_xlfn.NUMBERVALUE("0.004687")</f>
        <v/>
      </c>
      <c r="J2470">
        <f>_xlfn.NUMBERVALUE("0.000251")</f>
        <v/>
      </c>
      <c r="K2470">
        <f>_xlfn.NUMBERVALUE("-0.006068")</f>
        <v/>
      </c>
      <c r="L2470">
        <f>_xlfn.NUMBERVALUE("-0.002829")</f>
        <v/>
      </c>
      <c r="M2470">
        <f>_xlfn.NUMBERVALUE("0.001862")</f>
        <v/>
      </c>
      <c r="N2470">
        <f>_xlfn.NUMBERVALUE("0.000247")</f>
        <v/>
      </c>
      <c r="O2470">
        <f>_xlfn.NUMBERVALUE("-0.000818")</f>
        <v/>
      </c>
      <c r="P2470">
        <f>_xlfn.NUMBERVALUE("0.000358")</f>
        <v/>
      </c>
      <c r="Q2470">
        <f>_xlfn.NUMBERVALUE("0.000935")</f>
        <v/>
      </c>
      <c r="R2470">
        <f>_xlfn.NUMBERVALUE("0.000232")</f>
        <v/>
      </c>
      <c r="S2470">
        <f>_xlfn.NUMBERVALUE("-0.000138")</f>
        <v/>
      </c>
      <c r="T2470">
        <f>_xlfn.NUMBERVALUE("0.001144")</f>
        <v/>
      </c>
      <c r="U2470">
        <f>_xlfn.NUMBERVALUE("0.001554")</f>
        <v/>
      </c>
      <c r="V2470">
        <f>_xlfn.NUMBERVALUE("0.001496")</f>
        <v/>
      </c>
      <c r="W2470">
        <f>_xlfn.NUMBERVALUE("0.002197")</f>
        <v/>
      </c>
      <c r="X2470">
        <f>_xlfn.NUMBERVALUE("-0.170000")</f>
        <v/>
      </c>
      <c r="Y2470">
        <f>_xlfn.NUMBERVALUE("18.200000")</f>
        <v/>
      </c>
    </row>
    <row r="2471">
      <c r="A2471" s="1" t="n">
        <v>45588</v>
      </c>
      <c r="B2471">
        <f>_xlfn.NUMBERVALUE("-0.008590")</f>
        <v/>
      </c>
      <c r="C2471" s="2">
        <f>_xlfn.NUMBERVALUE("-0.000557")</f>
        <v/>
      </c>
      <c r="D2471">
        <f>_xlfn.NUMBERVALUE("-0.000158")</f>
        <v/>
      </c>
      <c r="E2471">
        <f>_xlfn.NUMBERVALUE("-0.000905")</f>
        <v/>
      </c>
      <c r="F2471">
        <f>_xlfn.NUMBERVALUE("0.001650")</f>
        <v/>
      </c>
      <c r="G2471">
        <f>_xlfn.NUMBERVALUE("-0.000142")</f>
        <v/>
      </c>
      <c r="H2471">
        <f>_xlfn.NUMBERVALUE("-0.000620")</f>
        <v/>
      </c>
      <c r="I2471">
        <f>_xlfn.NUMBERVALUE("-0.000146")</f>
        <v/>
      </c>
      <c r="J2471">
        <f>_xlfn.NUMBERVALUE("-0.001326")</f>
        <v/>
      </c>
      <c r="K2471">
        <f>_xlfn.NUMBERVALUE("0.002054")</f>
        <v/>
      </c>
      <c r="L2471">
        <f>_xlfn.NUMBERVALUE("0.000047")</f>
        <v/>
      </c>
      <c r="M2471">
        <f>_xlfn.NUMBERVALUE("0.000435")</f>
        <v/>
      </c>
      <c r="N2471">
        <f>_xlfn.NUMBERVALUE("-0.002420")</f>
        <v/>
      </c>
      <c r="O2471">
        <f>_xlfn.NUMBERVALUE("0.000961")</f>
        <v/>
      </c>
      <c r="P2471">
        <f>_xlfn.NUMBERVALUE("-0.000055")</f>
        <v/>
      </c>
      <c r="Q2471">
        <f>_xlfn.NUMBERVALUE("0.000981")</f>
        <v/>
      </c>
      <c r="R2471">
        <f>_xlfn.NUMBERVALUE("-0.002794")</f>
        <v/>
      </c>
      <c r="S2471">
        <f>_xlfn.NUMBERVALUE("-0.000337")</f>
        <v/>
      </c>
      <c r="T2471">
        <f>_xlfn.NUMBERVALUE("-0.000432")</f>
        <v/>
      </c>
      <c r="U2471">
        <f>_xlfn.NUMBERVALUE("-0.002242")</f>
        <v/>
      </c>
      <c r="V2471">
        <f>_xlfn.NUMBERVALUE("-0.000937")</f>
        <v/>
      </c>
      <c r="W2471">
        <f>_xlfn.NUMBERVALUE("-0.010105")</f>
        <v/>
      </c>
      <c r="X2471">
        <f>_xlfn.NUMBERVALUE("1.040000")</f>
        <v/>
      </c>
      <c r="Y2471">
        <f>_xlfn.NUMBERVALUE("19.240000")</f>
        <v/>
      </c>
    </row>
    <row r="2472">
      <c r="A2472" s="1" t="n">
        <v>45589</v>
      </c>
      <c r="B2472">
        <f>_xlfn.NUMBERVALUE("-0.003925")</f>
        <v/>
      </c>
      <c r="C2472" s="2">
        <f>_xlfn.NUMBERVALUE("0.001532")</f>
        <v/>
      </c>
      <c r="D2472">
        <f>_xlfn.NUMBERVALUE("0.000261")</f>
        <v/>
      </c>
      <c r="E2472">
        <f>_xlfn.NUMBERVALUE("-0.000339")</f>
        <v/>
      </c>
      <c r="F2472">
        <f>_xlfn.NUMBERVALUE("0.000631")</f>
        <v/>
      </c>
      <c r="G2472">
        <f>_xlfn.NUMBERVALUE("0.001856")</f>
        <v/>
      </c>
      <c r="H2472">
        <f>_xlfn.NUMBERVALUE("0.000371")</f>
        <v/>
      </c>
      <c r="I2472">
        <f>_xlfn.NUMBERVALUE("0.001917")</f>
        <v/>
      </c>
      <c r="J2472">
        <f>_xlfn.NUMBERVALUE("0.000464")</f>
        <v/>
      </c>
      <c r="K2472">
        <f>_xlfn.NUMBERVALUE("0.003173")</f>
        <v/>
      </c>
      <c r="L2472">
        <f>_xlfn.NUMBERVALUE("0.001112")</f>
        <v/>
      </c>
      <c r="M2472">
        <f>_xlfn.NUMBERVALUE("0.000429")</f>
        <v/>
      </c>
      <c r="N2472">
        <f>_xlfn.NUMBERVALUE("0.001671")</f>
        <v/>
      </c>
      <c r="O2472">
        <f>_xlfn.NUMBERVALUE("0.000984")</f>
        <v/>
      </c>
      <c r="P2472">
        <f>_xlfn.NUMBERVALUE("0.000708")</f>
        <v/>
      </c>
      <c r="Q2472">
        <f>_xlfn.NUMBERVALUE("0.001226")</f>
        <v/>
      </c>
      <c r="R2472">
        <f>_xlfn.NUMBERVALUE("0.002798")</f>
        <v/>
      </c>
      <c r="S2472">
        <f>_xlfn.NUMBERVALUE("0.000741")</f>
        <v/>
      </c>
      <c r="T2472">
        <f>_xlfn.NUMBERVALUE("0.001650")</f>
        <v/>
      </c>
      <c r="U2472">
        <f>_xlfn.NUMBERVALUE("-0.008984")</f>
        <v/>
      </c>
      <c r="V2472">
        <f>_xlfn.NUMBERVALUE("0.000938")</f>
        <v/>
      </c>
      <c r="W2472">
        <f>_xlfn.NUMBERVALUE("0.002301")</f>
        <v/>
      </c>
      <c r="X2472">
        <f>_xlfn.NUMBERVALUE("-0.160000")</f>
        <v/>
      </c>
      <c r="Y2472">
        <f>_xlfn.NUMBERVALUE("19.080000")</f>
        <v/>
      </c>
    </row>
    <row r="2473">
      <c r="A2473" s="1" t="n">
        <v>45590</v>
      </c>
      <c r="B2473">
        <f>_xlfn.NUMBERVALUE("0.010159")</f>
        <v/>
      </c>
      <c r="C2473" s="2">
        <f>_xlfn.NUMBERVALUE("0.000577")</f>
        <v/>
      </c>
      <c r="D2473">
        <f>_xlfn.NUMBERVALUE("0.000129")</f>
        <v/>
      </c>
      <c r="E2473">
        <f>_xlfn.NUMBERVALUE("-0.000493")</f>
        <v/>
      </c>
      <c r="F2473">
        <f>_xlfn.NUMBERVALUE("0.000514")</f>
        <v/>
      </c>
      <c r="G2473">
        <f>_xlfn.NUMBERVALUE("-0.001500")</f>
        <v/>
      </c>
      <c r="H2473">
        <f>_xlfn.NUMBERVALUE("-0.000683")</f>
        <v/>
      </c>
      <c r="I2473">
        <f>_xlfn.NUMBERVALUE("0.000520")</f>
        <v/>
      </c>
      <c r="J2473">
        <f>_xlfn.NUMBERVALUE("-0.000569")</f>
        <v/>
      </c>
      <c r="K2473">
        <f>_xlfn.NUMBERVALUE("0.002042")</f>
        <v/>
      </c>
      <c r="L2473">
        <f>_xlfn.NUMBERVALUE("0.000474")</f>
        <v/>
      </c>
      <c r="M2473">
        <f>_xlfn.NUMBERVALUE("0.000175")</f>
        <v/>
      </c>
      <c r="N2473">
        <f>_xlfn.NUMBERVALUE("-0.001733")</f>
        <v/>
      </c>
      <c r="O2473">
        <f>_xlfn.NUMBERVALUE("-0.000427")</f>
        <v/>
      </c>
      <c r="P2473">
        <f>_xlfn.NUMBERVALUE("-0.000472")</f>
        <v/>
      </c>
      <c r="Q2473">
        <f>_xlfn.NUMBERVALUE("0.000273")</f>
        <v/>
      </c>
      <c r="R2473">
        <f>_xlfn.NUMBERVALUE("-0.000714")</f>
        <v/>
      </c>
      <c r="S2473">
        <f>_xlfn.NUMBERVALUE("-0.000493")</f>
        <v/>
      </c>
      <c r="T2473">
        <f>_xlfn.NUMBERVALUE("0.000313")</f>
        <v/>
      </c>
      <c r="U2473">
        <f>_xlfn.NUMBERVALUE("-0.000981")</f>
        <v/>
      </c>
      <c r="V2473">
        <f>_xlfn.NUMBERVALUE("-0.000033")</f>
        <v/>
      </c>
      <c r="W2473">
        <f>_xlfn.NUMBERVALUE("0.000121")</f>
        <v/>
      </c>
      <c r="X2473">
        <f>_xlfn.NUMBERVALUE("1.250000")</f>
        <v/>
      </c>
      <c r="Y2473">
        <f>_xlfn.NUMBERVALUE("20.330000")</f>
        <v/>
      </c>
    </row>
    <row r="2474">
      <c r="A2474" s="1" t="n">
        <v>45593</v>
      </c>
      <c r="B2474">
        <f>_xlfn.NUMBERVALUE("-0.001902")</f>
        <v/>
      </c>
      <c r="C2474" s="2">
        <f>_xlfn.NUMBERVALUE("-0.000111")</f>
        <v/>
      </c>
      <c r="D2474">
        <f>_xlfn.NUMBERVALUE("0.000061")</f>
        <v/>
      </c>
      <c r="E2474">
        <f>_xlfn.NUMBERVALUE("0.000737")</f>
        <v/>
      </c>
      <c r="F2474">
        <f>_xlfn.NUMBERVALUE("0.001544")</f>
        <v/>
      </c>
      <c r="G2474">
        <f>_xlfn.NUMBERVALUE("0.000375")</f>
        <v/>
      </c>
      <c r="H2474">
        <f>_xlfn.NUMBERVALUE("0.000079")</f>
        <v/>
      </c>
      <c r="I2474">
        <f>_xlfn.NUMBERVALUE("-0.001611")</f>
        <v/>
      </c>
      <c r="J2474">
        <f>_xlfn.NUMBERVALUE("0.000000")</f>
        <v/>
      </c>
      <c r="K2474">
        <f>_xlfn.NUMBERVALUE("0.003590")</f>
        <v/>
      </c>
      <c r="L2474">
        <f>_xlfn.NUMBERVALUE("0.000884")</f>
        <v/>
      </c>
      <c r="M2474">
        <f>_xlfn.NUMBERVALUE("0.000974")</f>
        <v/>
      </c>
      <c r="N2474">
        <f>_xlfn.NUMBERVALUE("0.000820")</f>
        <v/>
      </c>
      <c r="O2474">
        <f>_xlfn.NUMBERVALUE("0.003001")</f>
        <v/>
      </c>
      <c r="P2474">
        <f>_xlfn.NUMBERVALUE("-0.001849")</f>
        <v/>
      </c>
      <c r="Q2474">
        <f>_xlfn.NUMBERVALUE("0.001928")</f>
        <v/>
      </c>
      <c r="R2474">
        <f>_xlfn.NUMBERVALUE("0.002386")</f>
        <v/>
      </c>
      <c r="S2474">
        <f>_xlfn.NUMBERVALUE("0.001676")</f>
        <v/>
      </c>
      <c r="T2474">
        <f>_xlfn.NUMBERVALUE("-0.000174")</f>
        <v/>
      </c>
      <c r="U2474">
        <f>_xlfn.NUMBERVALUE("0.002245")</f>
        <v/>
      </c>
      <c r="V2474">
        <f>_xlfn.NUMBERVALUE("0.001642")</f>
        <v/>
      </c>
      <c r="W2474">
        <f>_xlfn.NUMBERVALUE("0.003521")</f>
        <v/>
      </c>
      <c r="X2474">
        <f>_xlfn.NUMBERVALUE("-0.530000")</f>
        <v/>
      </c>
      <c r="Y2474">
        <f>_xlfn.NUMBERVALUE("19.800000")</f>
        <v/>
      </c>
    </row>
    <row r="2475">
      <c r="A2475" s="1" t="n">
        <v>45594</v>
      </c>
      <c r="B2475">
        <f>_xlfn.NUMBERVALUE("0.002615")</f>
        <v/>
      </c>
      <c r="C2475" s="2">
        <f>_xlfn.NUMBERVALUE("0.000682")</f>
        <v/>
      </c>
      <c r="D2475">
        <f>_xlfn.NUMBERVALUE("0.000200")</f>
        <v/>
      </c>
      <c r="E2475">
        <f>_xlfn.NUMBERVALUE("-0.000680")</f>
        <v/>
      </c>
      <c r="F2475">
        <f>_xlfn.NUMBERVALUE("-0.000598")</f>
        <v/>
      </c>
      <c r="G2475">
        <f>_xlfn.NUMBERVALUE("0.000391")</f>
        <v/>
      </c>
      <c r="H2475">
        <f>_xlfn.NUMBERVALUE("0.000279")</f>
        <v/>
      </c>
      <c r="I2475">
        <f>_xlfn.NUMBERVALUE("0.001146")</f>
        <v/>
      </c>
      <c r="J2475">
        <f>_xlfn.NUMBERVALUE("-0.000514")</f>
        <v/>
      </c>
      <c r="K2475">
        <f>_xlfn.NUMBERVALUE("-0.001295")</f>
        <v/>
      </c>
      <c r="L2475">
        <f>_xlfn.NUMBERVALUE("0.000257")</f>
        <v/>
      </c>
      <c r="M2475">
        <f>_xlfn.NUMBERVALUE("0.000725")</f>
        <v/>
      </c>
      <c r="N2475">
        <f>_xlfn.NUMBERVALUE("-0.001603")</f>
        <v/>
      </c>
      <c r="O2475">
        <f>_xlfn.NUMBERVALUE("-0.000909")</f>
        <v/>
      </c>
      <c r="P2475">
        <f>_xlfn.NUMBERVALUE("0.001439")</f>
        <v/>
      </c>
      <c r="Q2475">
        <f>_xlfn.NUMBERVALUE("0.001301")</f>
        <v/>
      </c>
      <c r="R2475">
        <f>_xlfn.NUMBERVALUE("-0.000944")</f>
        <v/>
      </c>
      <c r="S2475">
        <f>_xlfn.NUMBERVALUE("-0.000924")</f>
        <v/>
      </c>
      <c r="T2475">
        <f>_xlfn.NUMBERVALUE("-0.000838")</f>
        <v/>
      </c>
      <c r="U2475">
        <f>_xlfn.NUMBERVALUE("0.000734")</f>
        <v/>
      </c>
      <c r="V2475">
        <f>_xlfn.NUMBERVALUE("0.000292")</f>
        <v/>
      </c>
      <c r="W2475">
        <f>_xlfn.NUMBERVALUE("0.001926")</f>
        <v/>
      </c>
      <c r="X2475">
        <f>_xlfn.NUMBERVALUE("-0.460000")</f>
        <v/>
      </c>
      <c r="Y2475">
        <f>_xlfn.NUMBERVALUE("19.340000")</f>
        <v/>
      </c>
    </row>
    <row r="2476">
      <c r="A2476" s="1" t="n">
        <v>45595</v>
      </c>
      <c r="B2476">
        <f>_xlfn.NUMBERVALUE("-0.000231")</f>
        <v/>
      </c>
      <c r="C2476" s="2">
        <f>_xlfn.NUMBERVALUE("0.000584")</f>
        <v/>
      </c>
      <c r="D2476">
        <f>_xlfn.NUMBERVALUE("-0.000362")</f>
        <v/>
      </c>
      <c r="E2476">
        <f>_xlfn.NUMBERVALUE("-0.000588")</f>
        <v/>
      </c>
      <c r="F2476">
        <f>_xlfn.NUMBERVALUE("-0.000515")</f>
        <v/>
      </c>
      <c r="G2476">
        <f>_xlfn.NUMBERVALUE("0.000117")</f>
        <v/>
      </c>
      <c r="H2476">
        <f>_xlfn.NUMBERVALUE("-0.001811")</f>
        <v/>
      </c>
      <c r="I2476">
        <f>_xlfn.NUMBERVALUE("0.001358")</f>
        <v/>
      </c>
      <c r="J2476">
        <f>_xlfn.NUMBERVALUE("-0.000245")</f>
        <v/>
      </c>
      <c r="K2476">
        <f>_xlfn.NUMBERVALUE("0.002233")</f>
        <v/>
      </c>
      <c r="L2476">
        <f>_xlfn.NUMBERVALUE("-0.000512")</f>
        <v/>
      </c>
      <c r="M2476">
        <f>_xlfn.NUMBERVALUE("-0.000339")</f>
        <v/>
      </c>
      <c r="N2476">
        <f>_xlfn.NUMBERVALUE("-0.000263")</f>
        <v/>
      </c>
      <c r="O2476">
        <f>_xlfn.NUMBERVALUE("-0.001706")</f>
        <v/>
      </c>
      <c r="P2476">
        <f>_xlfn.NUMBERVALUE("-0.000792")</f>
        <v/>
      </c>
      <c r="Q2476">
        <f>_xlfn.NUMBERVALUE("0.000033")</f>
        <v/>
      </c>
      <c r="R2476">
        <f>_xlfn.NUMBERVALUE("-0.000281")</f>
        <v/>
      </c>
      <c r="S2476">
        <f>_xlfn.NUMBERVALUE("0.000189")</f>
        <v/>
      </c>
      <c r="T2476">
        <f>_xlfn.NUMBERVALUE("0.000943")</f>
        <v/>
      </c>
      <c r="U2476">
        <f>_xlfn.NUMBERVALUE("0.000005")</f>
        <v/>
      </c>
      <c r="V2476">
        <f>_xlfn.NUMBERVALUE("0.001171")</f>
        <v/>
      </c>
      <c r="W2476">
        <f>_xlfn.NUMBERVALUE("-0.003502")</f>
        <v/>
      </c>
      <c r="X2476">
        <f>_xlfn.NUMBERVALUE("1.010000")</f>
        <v/>
      </c>
      <c r="Y2476">
        <f>_xlfn.NUMBERVALUE("20.350000")</f>
        <v/>
      </c>
    </row>
    <row r="2477">
      <c r="A2477" s="1" t="n">
        <v>45596</v>
      </c>
      <c r="B2477">
        <f>_xlfn.NUMBERVALUE("-0.010269")</f>
        <v/>
      </c>
      <c r="C2477" s="2">
        <f>_xlfn.NUMBERVALUE("0.000256")</f>
        <v/>
      </c>
      <c r="D2477">
        <f>_xlfn.NUMBERVALUE("-0.000023")</f>
        <v/>
      </c>
      <c r="E2477">
        <f>_xlfn.NUMBERVALUE("-0.000690")</f>
        <v/>
      </c>
      <c r="F2477">
        <f>_xlfn.NUMBERVALUE("0.000802")</f>
        <v/>
      </c>
      <c r="G2477">
        <f>_xlfn.NUMBERVALUE("-0.000027")</f>
        <v/>
      </c>
      <c r="H2477">
        <f>_xlfn.NUMBERVALUE("-0.002811")</f>
        <v/>
      </c>
      <c r="I2477">
        <f>_xlfn.NUMBERVALUE("-0.001465")</f>
        <v/>
      </c>
      <c r="J2477">
        <f>_xlfn.NUMBERVALUE("-0.000153")</f>
        <v/>
      </c>
      <c r="K2477">
        <f>_xlfn.NUMBERVALUE("-0.002660")</f>
        <v/>
      </c>
      <c r="L2477">
        <f>_xlfn.NUMBERVALUE("0.000769")</f>
        <v/>
      </c>
      <c r="M2477">
        <f>_xlfn.NUMBERVALUE("0.000304")</f>
        <v/>
      </c>
      <c r="N2477">
        <f>_xlfn.NUMBERVALUE("-0.001239")</f>
        <v/>
      </c>
      <c r="O2477">
        <f>_xlfn.NUMBERVALUE("-0.003232")</f>
        <v/>
      </c>
      <c r="P2477">
        <f>_xlfn.NUMBERVALUE("-0.000614")</f>
        <v/>
      </c>
      <c r="Q2477">
        <f>_xlfn.NUMBERVALUE("-0.000049")</f>
        <v/>
      </c>
      <c r="R2477">
        <f>_xlfn.NUMBERVALUE("-0.006769")</f>
        <v/>
      </c>
      <c r="S2477">
        <f>_xlfn.NUMBERVALUE("0.000113")</f>
        <v/>
      </c>
      <c r="T2477">
        <f>_xlfn.NUMBERVALUE("-0.000907")</f>
        <v/>
      </c>
      <c r="U2477">
        <f>_xlfn.NUMBERVALUE("-0.000681")</f>
        <v/>
      </c>
      <c r="V2477">
        <f>_xlfn.NUMBERVALUE("-0.001588")</f>
        <v/>
      </c>
      <c r="W2477">
        <f>_xlfn.NUMBERVALUE("-0.016021")</f>
        <v/>
      </c>
      <c r="X2477">
        <f>_xlfn.NUMBERVALUE("2.810000")</f>
        <v/>
      </c>
      <c r="Y2477">
        <f>_xlfn.NUMBERVALUE("23.160000")</f>
        <v/>
      </c>
    </row>
    <row r="2478">
      <c r="A2478" s="1" t="n">
        <v>45597</v>
      </c>
      <c r="B2478">
        <f>_xlfn.NUMBERVALUE("0.007519")</f>
        <v/>
      </c>
      <c r="C2478" s="2">
        <f>_xlfn.NUMBERVALUE("0.000951")</f>
        <v/>
      </c>
      <c r="D2478">
        <f>_xlfn.NUMBERVALUE("0.000182")</f>
        <v/>
      </c>
      <c r="E2478">
        <f>_xlfn.NUMBERVALUE("0.000652")</f>
        <v/>
      </c>
      <c r="F2478">
        <f>_xlfn.NUMBERVALUE("0.001781")</f>
        <v/>
      </c>
      <c r="G2478">
        <f>_xlfn.NUMBERVALUE("0.002613")</f>
        <v/>
      </c>
      <c r="H2478">
        <f>_xlfn.NUMBERVALUE("0.005211")</f>
        <v/>
      </c>
      <c r="I2478">
        <f>_xlfn.NUMBERVALUE("0.007747")</f>
        <v/>
      </c>
      <c r="J2478">
        <f>_xlfn.NUMBERVALUE("0.002180")</f>
        <v/>
      </c>
      <c r="K2478">
        <f>_xlfn.NUMBERVALUE("0.006036")</f>
        <v/>
      </c>
      <c r="L2478">
        <f>_xlfn.NUMBERVALUE("0.000238")</f>
        <v/>
      </c>
      <c r="M2478">
        <f>_xlfn.NUMBERVALUE("0.001756")</f>
        <v/>
      </c>
      <c r="N2478">
        <f>_xlfn.NUMBERVALUE("0.004460")</f>
        <v/>
      </c>
      <c r="O2478">
        <f>_xlfn.NUMBERVALUE("0.003997")</f>
        <v/>
      </c>
      <c r="P2478">
        <f>_xlfn.NUMBERVALUE("0.003466")</f>
        <v/>
      </c>
      <c r="Q2478">
        <f>_xlfn.NUMBERVALUE("0.001671")</f>
        <v/>
      </c>
      <c r="R2478">
        <f>_xlfn.NUMBERVALUE("0.004039")</f>
        <v/>
      </c>
      <c r="S2478">
        <f>_xlfn.NUMBERVALUE("0.000855")</f>
        <v/>
      </c>
      <c r="T2478">
        <f>_xlfn.NUMBERVALUE("-0.003265")</f>
        <v/>
      </c>
      <c r="U2478">
        <f>_xlfn.NUMBERVALUE("0.001983")</f>
        <v/>
      </c>
      <c r="V2478">
        <f>_xlfn.NUMBERVALUE("0.004848")</f>
        <v/>
      </c>
      <c r="W2478">
        <f>_xlfn.NUMBERVALUE("0.000805")</f>
        <v/>
      </c>
      <c r="X2478">
        <f>_xlfn.NUMBERVALUE("-1.280000")</f>
        <v/>
      </c>
      <c r="Y2478">
        <f>_xlfn.NUMBERVALUE("21.880000")</f>
        <v/>
      </c>
    </row>
    <row r="2479">
      <c r="A2479" s="1" t="n">
        <v>45600</v>
      </c>
      <c r="B2479">
        <f>_xlfn.NUMBERVALUE("0.002462")</f>
        <v/>
      </c>
      <c r="C2479" s="2">
        <f>_xlfn.NUMBERVALUE("0.006239")</f>
        <v/>
      </c>
      <c r="D2479">
        <f>_xlfn.NUMBERVALUE("-0.000080")</f>
        <v/>
      </c>
      <c r="E2479">
        <f>_xlfn.NUMBERVALUE("0.000843")</f>
        <v/>
      </c>
      <c r="F2479">
        <f>_xlfn.NUMBERVALUE("0.001128")</f>
        <v/>
      </c>
      <c r="G2479">
        <f>_xlfn.NUMBERVALUE("-0.000414")</f>
        <v/>
      </c>
      <c r="H2479">
        <f>_xlfn.NUMBERVALUE("0.000097")</f>
        <v/>
      </c>
      <c r="I2479">
        <f>_xlfn.NUMBERVALUE("0.002355")</f>
        <v/>
      </c>
      <c r="J2479">
        <f>_xlfn.NUMBERVALUE("0.000808")</f>
        <v/>
      </c>
      <c r="K2479">
        <f>_xlfn.NUMBERVALUE("0.003034")</f>
        <v/>
      </c>
      <c r="L2479">
        <f>_xlfn.NUMBERVALUE("-0.002263")</f>
        <v/>
      </c>
      <c r="M2479">
        <f>_xlfn.NUMBERVALUE("0.001732")</f>
        <v/>
      </c>
      <c r="N2479">
        <f>_xlfn.NUMBERVALUE("0.001473")</f>
        <v/>
      </c>
      <c r="O2479">
        <f>_xlfn.NUMBERVALUE("0.000653")</f>
        <v/>
      </c>
      <c r="P2479">
        <f>_xlfn.NUMBERVALUE("0.000398")</f>
        <v/>
      </c>
      <c r="Q2479">
        <f>_xlfn.NUMBERVALUE("0.000098")</f>
        <v/>
      </c>
      <c r="R2479">
        <f>_xlfn.NUMBERVALUE("0.002082")</f>
        <v/>
      </c>
      <c r="S2479">
        <f>_xlfn.NUMBERVALUE("0.000670")</f>
        <v/>
      </c>
      <c r="T2479">
        <f>_xlfn.NUMBERVALUE("0.000329")</f>
        <v/>
      </c>
      <c r="U2479">
        <f>_xlfn.NUMBERVALUE("0.001467")</f>
        <v/>
      </c>
      <c r="V2479">
        <f>_xlfn.NUMBERVALUE("0.002807")</f>
        <v/>
      </c>
      <c r="W2479">
        <f>_xlfn.NUMBERVALUE("-0.003131")</f>
        <v/>
      </c>
      <c r="X2479">
        <f>_xlfn.NUMBERVALUE("0.100000")</f>
        <v/>
      </c>
      <c r="Y2479">
        <f>_xlfn.NUMBERVALUE("21.980000")</f>
        <v/>
      </c>
    </row>
    <row r="2480">
      <c r="A2480" s="1" t="n">
        <v>45601</v>
      </c>
      <c r="B2480">
        <f>_xlfn.NUMBERVALUE("-0.004525")</f>
        <v/>
      </c>
      <c r="C2480" s="2">
        <f>_xlfn.NUMBERVALUE("0.008174")</f>
        <v/>
      </c>
      <c r="D2480">
        <f>_xlfn.NUMBERVALUE("-0.000083")</f>
        <v/>
      </c>
      <c r="E2480">
        <f>_xlfn.NUMBERVALUE("0.000096")</f>
        <v/>
      </c>
      <c r="F2480">
        <f>_xlfn.NUMBERVALUE("0.000371")</f>
        <v/>
      </c>
      <c r="G2480">
        <f>_xlfn.NUMBERVALUE("0.000425")</f>
        <v/>
      </c>
      <c r="H2480">
        <f>_xlfn.NUMBERVALUE("-0.000031")</f>
        <v/>
      </c>
      <c r="I2480">
        <f>_xlfn.NUMBERVALUE("-0.004828")</f>
        <v/>
      </c>
      <c r="J2480">
        <f>_xlfn.NUMBERVALUE("0.000110")</f>
        <v/>
      </c>
      <c r="K2480">
        <f>_xlfn.NUMBERVALUE("0.005190")</f>
        <v/>
      </c>
      <c r="L2480">
        <f>_xlfn.NUMBERVALUE("0.001613")</f>
        <v/>
      </c>
      <c r="M2480">
        <f>_xlfn.NUMBERVALUE("0.000835")</f>
        <v/>
      </c>
      <c r="N2480">
        <f>_xlfn.NUMBERVALUE("0.000739")</f>
        <v/>
      </c>
      <c r="O2480">
        <f>_xlfn.NUMBERVALUE("0.002436")</f>
        <v/>
      </c>
      <c r="P2480">
        <f>_xlfn.NUMBERVALUE("0.000855")</f>
        <v/>
      </c>
      <c r="Q2480">
        <f>_xlfn.NUMBERVALUE("-0.003514")</f>
        <v/>
      </c>
      <c r="R2480">
        <f>_xlfn.NUMBERVALUE("0.001634")</f>
        <v/>
      </c>
      <c r="S2480">
        <f>_xlfn.NUMBERVALUE("0.000818")</f>
        <v/>
      </c>
      <c r="T2480">
        <f>_xlfn.NUMBERVALUE("-0.000585")</f>
        <v/>
      </c>
      <c r="U2480">
        <f>_xlfn.NUMBERVALUE("-0.000557")</f>
        <v/>
      </c>
      <c r="V2480">
        <f>_xlfn.NUMBERVALUE("-0.002802")</f>
        <v/>
      </c>
      <c r="W2480">
        <f>_xlfn.NUMBERVALUE("0.004879")</f>
        <v/>
      </c>
      <c r="X2480">
        <f>_xlfn.NUMBERVALUE("-1.490000")</f>
        <v/>
      </c>
      <c r="Y2480">
        <f>_xlfn.NUMBERVALUE("20.490000")</f>
        <v/>
      </c>
    </row>
    <row r="2481">
      <c r="A2481" s="1" t="n">
        <v>45602</v>
      </c>
      <c r="B2481">
        <f>_xlfn.NUMBERVALUE("-0.020794")</f>
        <v/>
      </c>
      <c r="C2481" s="2">
        <f>_xlfn.NUMBERVALUE("-0.011387")</f>
        <v/>
      </c>
      <c r="D2481">
        <f>_xlfn.NUMBERVALUE("0.008743")</f>
        <v/>
      </c>
      <c r="E2481">
        <f>_xlfn.NUMBERVALUE("0.006714")</f>
        <v/>
      </c>
      <c r="F2481">
        <f>_xlfn.NUMBERVALUE("-0.003694")</f>
        <v/>
      </c>
      <c r="G2481">
        <f>_xlfn.NUMBERVALUE("0.002803")</f>
        <v/>
      </c>
      <c r="H2481">
        <f>_xlfn.NUMBERVALUE("0.004945")</f>
        <v/>
      </c>
      <c r="I2481">
        <f>_xlfn.NUMBERVALUE("-0.010764")</f>
        <v/>
      </c>
      <c r="J2481">
        <f>_xlfn.NUMBERVALUE("0.005033")</f>
        <v/>
      </c>
      <c r="K2481">
        <f>_xlfn.NUMBERVALUE("-0.002728")</f>
        <v/>
      </c>
      <c r="L2481">
        <f>_xlfn.NUMBERVALUE("-0.004079")</f>
        <v/>
      </c>
      <c r="M2481">
        <f>_xlfn.NUMBERVALUE("0.000326")</f>
        <v/>
      </c>
      <c r="N2481">
        <f>_xlfn.NUMBERVALUE("-0.002295")</f>
        <v/>
      </c>
      <c r="O2481">
        <f>_xlfn.NUMBERVALUE("-0.011620")</f>
        <v/>
      </c>
      <c r="P2481">
        <f>_xlfn.NUMBERVALUE("-0.030940")</f>
        <v/>
      </c>
      <c r="Q2481">
        <f>_xlfn.NUMBERVALUE("-0.015916")</f>
        <v/>
      </c>
      <c r="R2481">
        <f>_xlfn.NUMBERVALUE("-0.003043")</f>
        <v/>
      </c>
      <c r="S2481">
        <f>_xlfn.NUMBERVALUE("-0.001668")</f>
        <v/>
      </c>
      <c r="T2481">
        <f>_xlfn.NUMBERVALUE("0.008547")</f>
        <v/>
      </c>
      <c r="U2481">
        <f>_xlfn.NUMBERVALUE("-0.008545")</f>
        <v/>
      </c>
      <c r="V2481">
        <f>_xlfn.NUMBERVALUE("-0.002658")</f>
        <v/>
      </c>
      <c r="W2481">
        <f>_xlfn.NUMBERVALUE("0.027598")</f>
        <v/>
      </c>
      <c r="X2481">
        <f>_xlfn.NUMBERVALUE("-4.220000")</f>
        <v/>
      </c>
      <c r="Y2481">
        <f>_xlfn.NUMBERVALUE("16.270000")</f>
        <v/>
      </c>
    </row>
    <row r="2482">
      <c r="A2482" s="1" t="n">
        <v>45603</v>
      </c>
      <c r="B2482">
        <f>_xlfn.NUMBERVALUE("0.002313")</f>
        <v/>
      </c>
      <c r="C2482" s="2">
        <f>_xlfn.NUMBERVALUE("0.002121")</f>
        <v/>
      </c>
      <c r="D2482">
        <f>_xlfn.NUMBERVALUE("-0.003818")</f>
        <v/>
      </c>
      <c r="E2482">
        <f>_xlfn.NUMBERVALUE("-0.003704")</f>
        <v/>
      </c>
      <c r="F2482">
        <f>_xlfn.NUMBERVALUE("0.000241")</f>
        <v/>
      </c>
      <c r="G2482">
        <f>_xlfn.NUMBERVALUE("-0.001347")</f>
        <v/>
      </c>
      <c r="H2482">
        <f>_xlfn.NUMBERVALUE("0.000775")</f>
        <v/>
      </c>
      <c r="I2482">
        <f>_xlfn.NUMBERVALUE("0.003352")</f>
        <v/>
      </c>
      <c r="J2482">
        <f>_xlfn.NUMBERVALUE("-0.000315")</f>
        <v/>
      </c>
      <c r="K2482">
        <f>_xlfn.NUMBERVALUE("-0.000632")</f>
        <v/>
      </c>
      <c r="L2482">
        <f>_xlfn.NUMBERVALUE("0.002350")</f>
        <v/>
      </c>
      <c r="M2482">
        <f>_xlfn.NUMBERVALUE("0.002967")</f>
        <v/>
      </c>
      <c r="N2482">
        <f>_xlfn.NUMBERVALUE("-0.000143")</f>
        <v/>
      </c>
      <c r="O2482">
        <f>_xlfn.NUMBERVALUE("0.004624")</f>
        <v/>
      </c>
      <c r="P2482">
        <f>_xlfn.NUMBERVALUE("0.000226")</f>
        <v/>
      </c>
      <c r="Q2482">
        <f>_xlfn.NUMBERVALUE("0.000785")</f>
        <v/>
      </c>
      <c r="R2482">
        <f>_xlfn.NUMBERVALUE("-0.003642")</f>
        <v/>
      </c>
      <c r="S2482">
        <f>_xlfn.NUMBERVALUE("0.000207")</f>
        <v/>
      </c>
      <c r="T2482">
        <f>_xlfn.NUMBERVALUE("0.003128")</f>
        <v/>
      </c>
      <c r="U2482">
        <f>_xlfn.NUMBERVALUE("-0.000071")</f>
        <v/>
      </c>
      <c r="V2482">
        <f>_xlfn.NUMBERVALUE("0.000482")</f>
        <v/>
      </c>
      <c r="W2482">
        <f>_xlfn.NUMBERVALUE("0.008118")</f>
        <v/>
      </c>
      <c r="X2482">
        <f>_xlfn.NUMBERVALUE("-1.070000")</f>
        <v/>
      </c>
      <c r="Y2482">
        <f>_xlfn.NUMBERVALUE("15.200000")</f>
        <v/>
      </c>
    </row>
    <row r="2483">
      <c r="A2483" s="1" t="n">
        <v>45604</v>
      </c>
      <c r="B2483">
        <f>_xlfn.NUMBERVALUE("-0.001482")</f>
        <v/>
      </c>
      <c r="C2483" s="2">
        <f>_xlfn.NUMBERVALUE("-0.000251")</f>
        <v/>
      </c>
      <c r="D2483">
        <f>_xlfn.NUMBERVALUE("0.001571")</f>
        <v/>
      </c>
      <c r="E2483">
        <f>_xlfn.NUMBERVALUE("0.000100")</f>
        <v/>
      </c>
      <c r="F2483">
        <f>_xlfn.NUMBERVALUE("0.002404")</f>
        <v/>
      </c>
      <c r="G2483">
        <f>_xlfn.NUMBERVALUE("0.000118")</f>
        <v/>
      </c>
      <c r="H2483">
        <f>_xlfn.NUMBERVALUE("0.000627")</f>
        <v/>
      </c>
      <c r="I2483">
        <f>_xlfn.NUMBERVALUE("0.001471")</f>
        <v/>
      </c>
      <c r="J2483">
        <f>_xlfn.NUMBERVALUE("0.000814")</f>
        <v/>
      </c>
      <c r="K2483">
        <f>_xlfn.NUMBERVALUE("0.002507")</f>
        <v/>
      </c>
      <c r="L2483">
        <f>_xlfn.NUMBERVALUE("-0.000285")</f>
        <v/>
      </c>
      <c r="M2483">
        <f>_xlfn.NUMBERVALUE("-0.005347")</f>
        <v/>
      </c>
      <c r="N2483">
        <f>_xlfn.NUMBERVALUE("0.000254")</f>
        <v/>
      </c>
      <c r="O2483">
        <f>_xlfn.NUMBERVALUE("0.004964")</f>
        <v/>
      </c>
      <c r="P2483">
        <f>_xlfn.NUMBERVALUE("-0.000014")</f>
        <v/>
      </c>
      <c r="Q2483">
        <f>_xlfn.NUMBERVALUE("-0.000038")</f>
        <v/>
      </c>
      <c r="R2483">
        <f>_xlfn.NUMBERVALUE("0.000350")</f>
        <v/>
      </c>
      <c r="S2483">
        <f>_xlfn.NUMBERVALUE("0.000688")</f>
        <v/>
      </c>
      <c r="T2483">
        <f>_xlfn.NUMBERVALUE("0.000569")</f>
        <v/>
      </c>
      <c r="U2483">
        <f>_xlfn.NUMBERVALUE("0.000012")</f>
        <v/>
      </c>
      <c r="V2483">
        <f>_xlfn.NUMBERVALUE("0.000088")</f>
        <v/>
      </c>
      <c r="W2483">
        <f>_xlfn.NUMBERVALUE("0.002902")</f>
        <v/>
      </c>
      <c r="X2483">
        <f>_xlfn.NUMBERVALUE("-0.260000")</f>
        <v/>
      </c>
      <c r="Y2483">
        <f>_xlfn.NUMBERVALUE("14.940000")</f>
        <v/>
      </c>
    </row>
    <row r="2484">
      <c r="A2484" s="1" t="n">
        <v>45607</v>
      </c>
      <c r="B2484">
        <f>_xlfn.NUMBERVALUE("-0.003399")</f>
        <v/>
      </c>
      <c r="C2484" s="2">
        <f>_xlfn.NUMBERVALUE("-0.000453")</f>
        <v/>
      </c>
      <c r="D2484">
        <f>_xlfn.NUMBERVALUE("0.001207")</f>
        <v/>
      </c>
      <c r="E2484">
        <f>_xlfn.NUMBERVALUE("0.001283")</f>
        <v/>
      </c>
      <c r="F2484">
        <f>_xlfn.NUMBERVALUE("-0.003805")</f>
        <v/>
      </c>
      <c r="G2484">
        <f>_xlfn.NUMBERVALUE("-0.000499")</f>
        <v/>
      </c>
      <c r="H2484">
        <f>_xlfn.NUMBERVALUE("0.000589")</f>
        <v/>
      </c>
      <c r="I2484">
        <f>_xlfn.NUMBERVALUE("-0.001355")</f>
        <v/>
      </c>
      <c r="J2484">
        <f>_xlfn.NUMBERVALUE("0.000109")</f>
        <v/>
      </c>
      <c r="K2484">
        <f>_xlfn.NUMBERVALUE("0.001315")</f>
        <v/>
      </c>
      <c r="L2484">
        <f>_xlfn.NUMBERVALUE("0.001482")</f>
        <v/>
      </c>
      <c r="M2484">
        <f>_xlfn.NUMBERVALUE("-0.000546")</f>
        <v/>
      </c>
      <c r="N2484">
        <f>_xlfn.NUMBERVALUE("0.000303")</f>
        <v/>
      </c>
      <c r="O2484">
        <f>_xlfn.NUMBERVALUE("0.002333")</f>
        <v/>
      </c>
      <c r="P2484">
        <f>_xlfn.NUMBERVALUE("-0.002240")</f>
        <v/>
      </c>
      <c r="Q2484">
        <f>_xlfn.NUMBERVALUE("-0.000406")</f>
        <v/>
      </c>
      <c r="R2484">
        <f>_xlfn.NUMBERVALUE("0.000670")</f>
        <v/>
      </c>
      <c r="S2484">
        <f>_xlfn.NUMBERVALUE("0.001257")</f>
        <v/>
      </c>
      <c r="T2484">
        <f>_xlfn.NUMBERVALUE("-0.000200")</f>
        <v/>
      </c>
      <c r="U2484">
        <f>_xlfn.NUMBERVALUE("-0.008421")</f>
        <v/>
      </c>
      <c r="V2484">
        <f>_xlfn.NUMBERVALUE("0.001296")</f>
        <v/>
      </c>
      <c r="W2484">
        <f>_xlfn.NUMBERVALUE("0.000652")</f>
        <v/>
      </c>
      <c r="X2484">
        <f>_xlfn.NUMBERVALUE("0.030000")</f>
        <v/>
      </c>
      <c r="Y2484">
        <f>_xlfn.NUMBERVALUE("14.970000")</f>
        <v/>
      </c>
    </row>
    <row r="2485">
      <c r="A2485" s="1" t="n">
        <v>45608</v>
      </c>
      <c r="B2485">
        <f>_xlfn.NUMBERVALUE("-0.001593")</f>
        <v/>
      </c>
      <c r="C2485" s="2">
        <f>_xlfn.NUMBERVALUE("0.001445")</f>
        <v/>
      </c>
      <c r="D2485">
        <f>_xlfn.NUMBERVALUE("-0.002163")</f>
        <v/>
      </c>
      <c r="E2485">
        <f>_xlfn.NUMBERVALUE("-0.003569")</f>
        <v/>
      </c>
      <c r="F2485">
        <f>_xlfn.NUMBERVALUE("-0.000824")</f>
        <v/>
      </c>
      <c r="G2485">
        <f>_xlfn.NUMBERVALUE("0.002083")</f>
        <v/>
      </c>
      <c r="H2485">
        <f>_xlfn.NUMBERVALUE("-0.000301")</f>
        <v/>
      </c>
      <c r="I2485">
        <f>_xlfn.NUMBERVALUE("0.000114")</f>
        <v/>
      </c>
      <c r="J2485">
        <f>_xlfn.NUMBERVALUE("-0.001092")</f>
        <v/>
      </c>
      <c r="K2485">
        <f>_xlfn.NUMBERVALUE("-0.000340")</f>
        <v/>
      </c>
      <c r="L2485">
        <f>_xlfn.NUMBERVALUE("-0.001213")</f>
        <v/>
      </c>
      <c r="M2485">
        <f>_xlfn.NUMBERVALUE("-0.000507")</f>
        <v/>
      </c>
      <c r="N2485">
        <f>_xlfn.NUMBERVALUE("-0.000104")</f>
        <v/>
      </c>
      <c r="O2485">
        <f>_xlfn.NUMBERVALUE("0.000948")</f>
        <v/>
      </c>
      <c r="P2485">
        <f>_xlfn.NUMBERVALUE("-0.001516")</f>
        <v/>
      </c>
      <c r="Q2485">
        <f>_xlfn.NUMBERVALUE("0.000645")</f>
        <v/>
      </c>
      <c r="R2485">
        <f>_xlfn.NUMBERVALUE("0.001144")</f>
        <v/>
      </c>
      <c r="S2485">
        <f>_xlfn.NUMBERVALUE("-0.000773")</f>
        <v/>
      </c>
      <c r="T2485">
        <f>_xlfn.NUMBERVALUE("-0.000025")</f>
        <v/>
      </c>
      <c r="U2485">
        <f>_xlfn.NUMBERVALUE("0.003661")</f>
        <v/>
      </c>
      <c r="V2485">
        <f>_xlfn.NUMBERVALUE("0.001179")</f>
        <v/>
      </c>
      <c r="W2485">
        <f>_xlfn.NUMBERVALUE("-0.001471")</f>
        <v/>
      </c>
      <c r="X2485">
        <f>_xlfn.NUMBERVALUE("-0.260000")</f>
        <v/>
      </c>
      <c r="Y2485">
        <f>_xlfn.NUMBERVALUE("14.710000")</f>
        <v/>
      </c>
    </row>
    <row r="2486">
      <c r="A2486" s="1" t="n">
        <v>45609</v>
      </c>
      <c r="B2486">
        <f>_xlfn.NUMBERVALUE("0.001524")</f>
        <v/>
      </c>
      <c r="C2486" s="2">
        <f>_xlfn.NUMBERVALUE("0.000860")</f>
        <v/>
      </c>
      <c r="D2486">
        <f>_xlfn.NUMBERVALUE("-0.000003")</f>
        <v/>
      </c>
      <c r="E2486">
        <f>_xlfn.NUMBERVALUE("-0.005427")</f>
        <v/>
      </c>
      <c r="F2486">
        <f>_xlfn.NUMBERVALUE("-0.000762")</f>
        <v/>
      </c>
      <c r="G2486">
        <f>_xlfn.NUMBERVALUE("-0.000436")</f>
        <v/>
      </c>
      <c r="H2486">
        <f>_xlfn.NUMBERVALUE("0.000059")</f>
        <v/>
      </c>
      <c r="I2486">
        <f>_xlfn.NUMBERVALUE("0.003560")</f>
        <v/>
      </c>
      <c r="J2486">
        <f>_xlfn.NUMBERVALUE("0.001204")</f>
        <v/>
      </c>
      <c r="K2486">
        <f>_xlfn.NUMBERVALUE("-0.000520")</f>
        <v/>
      </c>
      <c r="L2486">
        <f>_xlfn.NUMBERVALUE("0.000456")</f>
        <v/>
      </c>
      <c r="M2486">
        <f>_xlfn.NUMBERVALUE("0.002859")</f>
        <v/>
      </c>
      <c r="N2486">
        <f>_xlfn.NUMBERVALUE("0.000328")</f>
        <v/>
      </c>
      <c r="O2486">
        <f>_xlfn.NUMBERVALUE("0.001059")</f>
        <v/>
      </c>
      <c r="P2486">
        <f>_xlfn.NUMBERVALUE("0.003178")</f>
        <v/>
      </c>
      <c r="Q2486">
        <f>_xlfn.NUMBERVALUE("0.001776")</f>
        <v/>
      </c>
      <c r="R2486">
        <f>_xlfn.NUMBERVALUE("0.002788")</f>
        <v/>
      </c>
      <c r="S2486">
        <f>_xlfn.NUMBERVALUE("0.001105")</f>
        <v/>
      </c>
      <c r="T2486">
        <f>_xlfn.NUMBERVALUE("0.001491")</f>
        <v/>
      </c>
      <c r="U2486">
        <f>_xlfn.NUMBERVALUE("0.000158")</f>
        <v/>
      </c>
      <c r="V2486">
        <f>_xlfn.NUMBERVALUE("0.001073")</f>
        <v/>
      </c>
      <c r="W2486">
        <f>_xlfn.NUMBERVALUE("0.001373")</f>
        <v/>
      </c>
      <c r="X2486">
        <f>_xlfn.NUMBERVALUE("-0.690000")</f>
        <v/>
      </c>
      <c r="Y2486">
        <f>_xlfn.NUMBERVALUE("14.020000")</f>
        <v/>
      </c>
    </row>
    <row r="2487">
      <c r="A2487" s="1" t="n">
        <v>45610</v>
      </c>
      <c r="B2487">
        <f>_xlfn.NUMBERVALUE("-0.000591")</f>
        <v/>
      </c>
      <c r="C2487" s="2">
        <f>_xlfn.NUMBERVALUE("0.001135")</f>
        <v/>
      </c>
      <c r="D2487">
        <f>_xlfn.NUMBERVALUE("0.000051")</f>
        <v/>
      </c>
      <c r="E2487">
        <f>_xlfn.NUMBERVALUE("0.005318")</f>
        <v/>
      </c>
      <c r="F2487">
        <f>_xlfn.NUMBERVALUE("-0.000054")</f>
        <v/>
      </c>
      <c r="G2487">
        <f>_xlfn.NUMBERVALUE("-0.000197")</f>
        <v/>
      </c>
      <c r="H2487">
        <f>_xlfn.NUMBERVALUE("0.000424")</f>
        <v/>
      </c>
      <c r="I2487">
        <f>_xlfn.NUMBERVALUE("0.000153")</f>
        <v/>
      </c>
      <c r="J2487">
        <f>_xlfn.NUMBERVALUE("0.000130")</f>
        <v/>
      </c>
      <c r="K2487">
        <f>_xlfn.NUMBERVALUE("0.000478")</f>
        <v/>
      </c>
      <c r="L2487">
        <f>_xlfn.NUMBERVALUE("0.000115")</f>
        <v/>
      </c>
      <c r="M2487">
        <f>_xlfn.NUMBERVALUE("0.000194")</f>
        <v/>
      </c>
      <c r="N2487">
        <f>_xlfn.NUMBERVALUE("-0.000126")</f>
        <v/>
      </c>
      <c r="O2487">
        <f>_xlfn.NUMBERVALUE("0.001843")</f>
        <v/>
      </c>
      <c r="P2487">
        <f>_xlfn.NUMBERVALUE("0.001654")</f>
        <v/>
      </c>
      <c r="Q2487">
        <f>_xlfn.NUMBERVALUE("-0.003236")</f>
        <v/>
      </c>
      <c r="R2487">
        <f>_xlfn.NUMBERVALUE("0.001625")</f>
        <v/>
      </c>
      <c r="S2487">
        <f>_xlfn.NUMBERVALUE("-0.000712")</f>
        <v/>
      </c>
      <c r="T2487">
        <f>_xlfn.NUMBERVALUE("0.003451")</f>
        <v/>
      </c>
      <c r="U2487">
        <f>_xlfn.NUMBERVALUE("0.000721")</f>
        <v/>
      </c>
      <c r="V2487">
        <f>_xlfn.NUMBERVALUE("0.000948")</f>
        <v/>
      </c>
      <c r="W2487">
        <f>_xlfn.NUMBERVALUE("-0.008292")</f>
        <v/>
      </c>
      <c r="X2487">
        <f>_xlfn.NUMBERVALUE("0.290000")</f>
        <v/>
      </c>
      <c r="Y2487">
        <f>_xlfn.NUMBERVALUE("14.310000")</f>
        <v/>
      </c>
    </row>
    <row r="2488">
      <c r="A2488" s="1" t="n">
        <v>45611</v>
      </c>
      <c r="B2488">
        <f>_xlfn.NUMBERVALUE("0.000306")</f>
        <v/>
      </c>
      <c r="C2488" s="2">
        <f>_xlfn.NUMBERVALUE("-0.000419")</f>
        <v/>
      </c>
      <c r="D2488">
        <f>_xlfn.NUMBERVALUE("0.000525")</f>
        <v/>
      </c>
      <c r="E2488">
        <f>_xlfn.NUMBERVALUE("0.000947")</f>
        <v/>
      </c>
      <c r="F2488">
        <f>_xlfn.NUMBERVALUE("0.000108")</f>
        <v/>
      </c>
      <c r="G2488">
        <f>_xlfn.NUMBERVALUE("0.000470")</f>
        <v/>
      </c>
      <c r="H2488">
        <f>_xlfn.NUMBERVALUE("-0.000488")</f>
        <v/>
      </c>
      <c r="I2488">
        <f>_xlfn.NUMBERVALUE("-0.000646")</f>
        <v/>
      </c>
      <c r="J2488">
        <f>_xlfn.NUMBERVALUE("0.000563")</f>
        <v/>
      </c>
      <c r="K2488">
        <f>_xlfn.NUMBERVALUE("0.000983")</f>
        <v/>
      </c>
      <c r="L2488">
        <f>_xlfn.NUMBERVALUE("0.000046")</f>
        <v/>
      </c>
      <c r="M2488">
        <f>_xlfn.NUMBERVALUE("-0.000259")</f>
        <v/>
      </c>
      <c r="N2488">
        <f>_xlfn.NUMBERVALUE("0.000104")</f>
        <v/>
      </c>
      <c r="O2488">
        <f>_xlfn.NUMBERVALUE("-0.000765")</f>
        <v/>
      </c>
      <c r="P2488">
        <f>_xlfn.NUMBERVALUE("-0.002660")</f>
        <v/>
      </c>
      <c r="Q2488">
        <f>_xlfn.NUMBERVALUE("-0.001424")</f>
        <v/>
      </c>
      <c r="R2488">
        <f>_xlfn.NUMBERVALUE("-0.007926")</f>
        <v/>
      </c>
      <c r="S2488">
        <f>_xlfn.NUMBERVALUE("0.000488")</f>
        <v/>
      </c>
      <c r="T2488">
        <f>_xlfn.NUMBERVALUE("-0.004838")</f>
        <v/>
      </c>
      <c r="U2488">
        <f>_xlfn.NUMBERVALUE("-0.002516")</f>
        <v/>
      </c>
      <c r="V2488">
        <f>_xlfn.NUMBERVALUE("-0.002255")</f>
        <v/>
      </c>
      <c r="W2488">
        <f>_xlfn.NUMBERVALUE("-0.013942")</f>
        <v/>
      </c>
      <c r="X2488">
        <f>_xlfn.NUMBERVALUE("1.830000")</f>
        <v/>
      </c>
      <c r="Y2488">
        <f>_xlfn.NUMBERVALUE("16.140000")</f>
        <v/>
      </c>
    </row>
    <row r="2489">
      <c r="A2489" s="1" t="n">
        <v>45614</v>
      </c>
      <c r="B2489">
        <f>_xlfn.NUMBERVALUE("-0.001091")</f>
        <v/>
      </c>
      <c r="C2489" s="2">
        <f>_xlfn.NUMBERVALUE("0.001823")</f>
        <v/>
      </c>
      <c r="D2489">
        <f>_xlfn.NUMBERVALUE("0.000666")</f>
        <v/>
      </c>
      <c r="E2489">
        <f>_xlfn.NUMBERVALUE("-0.001252")</f>
        <v/>
      </c>
      <c r="F2489">
        <f>_xlfn.NUMBERVALUE("-0.000172")</f>
        <v/>
      </c>
      <c r="G2489">
        <f>_xlfn.NUMBERVALUE("0.000619")</f>
        <v/>
      </c>
      <c r="H2489">
        <f>_xlfn.NUMBERVALUE("0.001743")</f>
        <v/>
      </c>
      <c r="I2489">
        <f>_xlfn.NUMBERVALUE("0.002959")</f>
        <v/>
      </c>
      <c r="J2489">
        <f>_xlfn.NUMBERVALUE("0.000428")</f>
        <v/>
      </c>
      <c r="K2489">
        <f>_xlfn.NUMBERVALUE("0.000266")</f>
        <v/>
      </c>
      <c r="L2489">
        <f>_xlfn.NUMBERVALUE("0.002034")</f>
        <v/>
      </c>
      <c r="M2489">
        <f>_xlfn.NUMBERVALUE("0.001659")</f>
        <v/>
      </c>
      <c r="N2489">
        <f>_xlfn.NUMBERVALUE("0.000427")</f>
        <v/>
      </c>
      <c r="O2489">
        <f>_xlfn.NUMBERVALUE("0.000146")</f>
        <v/>
      </c>
      <c r="P2489">
        <f>_xlfn.NUMBERVALUE("0.003883")</f>
        <v/>
      </c>
      <c r="Q2489">
        <f>_xlfn.NUMBERVALUE("0.002195")</f>
        <v/>
      </c>
      <c r="R2489">
        <f>_xlfn.NUMBERVALUE("0.003155")</f>
        <v/>
      </c>
      <c r="S2489">
        <f>_xlfn.NUMBERVALUE("0.001375")</f>
        <v/>
      </c>
      <c r="T2489">
        <f>_xlfn.NUMBERVALUE("0.001092")</f>
        <v/>
      </c>
      <c r="U2489">
        <f>_xlfn.NUMBERVALUE("0.002321")</f>
        <v/>
      </c>
      <c r="V2489">
        <f>_xlfn.NUMBERVALUE("0.001765")</f>
        <v/>
      </c>
      <c r="W2489">
        <f>_xlfn.NUMBERVALUE("0.005454")</f>
        <v/>
      </c>
      <c r="X2489">
        <f>_xlfn.NUMBERVALUE("-0.560000")</f>
        <v/>
      </c>
      <c r="Y2489">
        <f>_xlfn.NUMBERVALUE("15.580000")</f>
        <v/>
      </c>
    </row>
    <row r="2490">
      <c r="A2490" s="1" t="n">
        <v>45615</v>
      </c>
      <c r="B2490">
        <f>_xlfn.NUMBERVALUE("-0.000158")</f>
        <v/>
      </c>
      <c r="C2490" s="2">
        <f>_xlfn.NUMBERVALUE("0.000759")</f>
        <v/>
      </c>
      <c r="D2490">
        <f>_xlfn.NUMBERVALUE("-0.000288")</f>
        <v/>
      </c>
      <c r="E2490">
        <f>_xlfn.NUMBERVALUE("0.001841")</f>
        <v/>
      </c>
      <c r="F2490">
        <f>_xlfn.NUMBERVALUE("-0.000573")</f>
        <v/>
      </c>
      <c r="G2490">
        <f>_xlfn.NUMBERVALUE("0.000146")</f>
        <v/>
      </c>
      <c r="H2490">
        <f>_xlfn.NUMBERVALUE("-0.000282")</f>
        <v/>
      </c>
      <c r="I2490">
        <f>_xlfn.NUMBERVALUE("-0.000247")</f>
        <v/>
      </c>
      <c r="J2490">
        <f>_xlfn.NUMBERVALUE("-0.000452")</f>
        <v/>
      </c>
      <c r="K2490">
        <f>_xlfn.NUMBERVALUE("0.002951")</f>
        <v/>
      </c>
      <c r="L2490">
        <f>_xlfn.NUMBERVALUE("0.000158")</f>
        <v/>
      </c>
      <c r="M2490">
        <f>_xlfn.NUMBERVALUE("-0.000138")</f>
        <v/>
      </c>
      <c r="N2490">
        <f>_xlfn.NUMBERVALUE("-0.000996")</f>
        <v/>
      </c>
      <c r="O2490">
        <f>_xlfn.NUMBERVALUE("0.000146")</f>
        <v/>
      </c>
      <c r="P2490">
        <f>_xlfn.NUMBERVALUE("0.000005")</f>
        <v/>
      </c>
      <c r="Q2490">
        <f>_xlfn.NUMBERVALUE("0.001480")</f>
        <v/>
      </c>
      <c r="R2490">
        <f>_xlfn.NUMBERVALUE("-0.000043")</f>
        <v/>
      </c>
      <c r="S2490">
        <f>_xlfn.NUMBERVALUE("-0.000060")</f>
        <v/>
      </c>
      <c r="T2490">
        <f>_xlfn.NUMBERVALUE("-0.000587")</f>
        <v/>
      </c>
      <c r="U2490">
        <f>_xlfn.NUMBERVALUE("0.001324")</f>
        <v/>
      </c>
      <c r="V2490">
        <f>_xlfn.NUMBERVALUE("-0.000175")</f>
        <v/>
      </c>
      <c r="W2490">
        <f>_xlfn.NUMBERVALUE("0.003163")</f>
        <v/>
      </c>
      <c r="X2490">
        <f>_xlfn.NUMBERVALUE("0.770000")</f>
        <v/>
      </c>
      <c r="Y2490">
        <f>_xlfn.NUMBERVALUE("16.350000")</f>
        <v/>
      </c>
    </row>
    <row r="2491">
      <c r="A2491" s="1" t="n">
        <v>45616</v>
      </c>
      <c r="B2491">
        <f>_xlfn.NUMBERVALUE("-0.000084")</f>
        <v/>
      </c>
      <c r="C2491" s="2">
        <f>_xlfn.NUMBERVALUE("-0.001111")</f>
        <v/>
      </c>
      <c r="D2491">
        <f>_xlfn.NUMBERVALUE("0.000321")</f>
        <v/>
      </c>
      <c r="E2491">
        <f>_xlfn.NUMBERVALUE("-0.000115")</f>
        <v/>
      </c>
      <c r="F2491">
        <f>_xlfn.NUMBERVALUE("-0.000358")</f>
        <v/>
      </c>
      <c r="G2491">
        <f>_xlfn.NUMBERVALUE("0.000966")</f>
        <v/>
      </c>
      <c r="H2491">
        <f>_xlfn.NUMBERVALUE("0.000528")</f>
        <v/>
      </c>
      <c r="I2491">
        <f>_xlfn.NUMBERVALUE("0.000725")</f>
        <v/>
      </c>
      <c r="J2491">
        <f>_xlfn.NUMBERVALUE("0.000441")</f>
        <v/>
      </c>
      <c r="K2491">
        <f>_xlfn.NUMBERVALUE("-0.000313")</f>
        <v/>
      </c>
      <c r="L2491">
        <f>_xlfn.NUMBERVALUE("0.000455")</f>
        <v/>
      </c>
      <c r="M2491">
        <f>_xlfn.NUMBERVALUE("-0.000864")</f>
        <v/>
      </c>
      <c r="N2491">
        <f>_xlfn.NUMBERVALUE("-0.001930")</f>
        <v/>
      </c>
      <c r="O2491">
        <f>_xlfn.NUMBERVALUE("0.000476")</f>
        <v/>
      </c>
      <c r="P2491">
        <f>_xlfn.NUMBERVALUE("0.001286")</f>
        <v/>
      </c>
      <c r="Q2491">
        <f>_xlfn.NUMBERVALUE("-0.001768")</f>
        <v/>
      </c>
      <c r="R2491">
        <f>_xlfn.NUMBERVALUE("-0.000211")</f>
        <v/>
      </c>
      <c r="S2491">
        <f>_xlfn.NUMBERVALUE("0.000393")</f>
        <v/>
      </c>
      <c r="T2491">
        <f>_xlfn.NUMBERVALUE("-0.000812")</f>
        <v/>
      </c>
      <c r="U2491">
        <f>_xlfn.NUMBERVALUE("-0.000342")</f>
        <v/>
      </c>
      <c r="V2491">
        <f>_xlfn.NUMBERVALUE("-0.000505")</f>
        <v/>
      </c>
      <c r="W2491">
        <f>_xlfn.NUMBERVALUE("-0.000559")</f>
        <v/>
      </c>
      <c r="X2491">
        <f>_xlfn.NUMBERVALUE("0.810000")</f>
        <v/>
      </c>
      <c r="Y2491">
        <f>_xlfn.NUMBERVALUE("17.160000")</f>
        <v/>
      </c>
    </row>
    <row r="2492">
      <c r="A2492" s="1" t="n">
        <v>45617</v>
      </c>
      <c r="B2492">
        <f>_xlfn.NUMBERVALUE("0.001541")</f>
        <v/>
      </c>
      <c r="C2492" s="2">
        <f>_xlfn.NUMBERVALUE("-0.000554")</f>
        <v/>
      </c>
      <c r="D2492">
        <f>_xlfn.NUMBERVALUE("0.000290")</f>
        <v/>
      </c>
      <c r="E2492">
        <f>_xlfn.NUMBERVALUE("-0.006114")</f>
        <v/>
      </c>
      <c r="F2492">
        <f>_xlfn.NUMBERVALUE("0.001887")</f>
        <v/>
      </c>
      <c r="G2492">
        <f>_xlfn.NUMBERVALUE("-0.000451")</f>
        <v/>
      </c>
      <c r="H2492">
        <f>_xlfn.NUMBERVALUE("0.000034")</f>
        <v/>
      </c>
      <c r="I2492">
        <f>_xlfn.NUMBERVALUE("-0.003522")</f>
        <v/>
      </c>
      <c r="J2492">
        <f>_xlfn.NUMBERVALUE("-0.000165")</f>
        <v/>
      </c>
      <c r="K2492">
        <f>_xlfn.NUMBERVALUE("0.000630")</f>
        <v/>
      </c>
      <c r="L2492">
        <f>_xlfn.NUMBERVALUE("0.001448")</f>
        <v/>
      </c>
      <c r="M2492">
        <f>_xlfn.NUMBERVALUE("-0.001912")</f>
        <v/>
      </c>
      <c r="N2492">
        <f>_xlfn.NUMBERVALUE("0.002177")</f>
        <v/>
      </c>
      <c r="O2492">
        <f>_xlfn.NUMBERVALUE("-0.000992")</f>
        <v/>
      </c>
      <c r="P2492">
        <f>_xlfn.NUMBERVALUE("-0.003504")</f>
        <v/>
      </c>
      <c r="Q2492">
        <f>_xlfn.NUMBERVALUE("-0.000876")</f>
        <v/>
      </c>
      <c r="R2492">
        <f>_xlfn.NUMBERVALUE("0.002052")</f>
        <v/>
      </c>
      <c r="S2492">
        <f>_xlfn.NUMBERVALUE("-0.000822")</f>
        <v/>
      </c>
      <c r="T2492">
        <f>_xlfn.NUMBERVALUE("-0.000380")</f>
        <v/>
      </c>
      <c r="U2492">
        <f>_xlfn.NUMBERVALUE("0.002035")</f>
        <v/>
      </c>
      <c r="V2492">
        <f>_xlfn.NUMBERVALUE("0.001149")</f>
        <v/>
      </c>
      <c r="W2492">
        <f>_xlfn.NUMBERVALUE("0.007802")</f>
        <v/>
      </c>
      <c r="X2492">
        <f>_xlfn.NUMBERVALUE("-0.290000")</f>
        <v/>
      </c>
      <c r="Y2492">
        <f>_xlfn.NUMBERVALUE("16.870000")</f>
        <v/>
      </c>
    </row>
    <row r="2493">
      <c r="A2493" s="1" t="n">
        <v>45618</v>
      </c>
      <c r="B2493">
        <f>_xlfn.NUMBERVALUE("-0.000591")</f>
        <v/>
      </c>
      <c r="C2493" s="2">
        <f>_xlfn.NUMBERVALUE("-0.000034")</f>
        <v/>
      </c>
      <c r="D2493">
        <f>_xlfn.NUMBERVALUE("-0.000088")</f>
        <v/>
      </c>
      <c r="E2493">
        <f>_xlfn.NUMBERVALUE("-0.008856")</f>
        <v/>
      </c>
      <c r="F2493">
        <f>_xlfn.NUMBERVALUE("-0.000130")</f>
        <v/>
      </c>
      <c r="G2493">
        <f>_xlfn.NUMBERVALUE("0.002217")</f>
        <v/>
      </c>
      <c r="H2493">
        <f>_xlfn.NUMBERVALUE("0.000491")</f>
        <v/>
      </c>
      <c r="I2493">
        <f>_xlfn.NUMBERVALUE("-0.000319")</f>
        <v/>
      </c>
      <c r="J2493">
        <f>_xlfn.NUMBERVALUE("0.000692")</f>
        <v/>
      </c>
      <c r="K2493">
        <f>_xlfn.NUMBERVALUE("0.000490")</f>
        <v/>
      </c>
      <c r="L2493">
        <f>_xlfn.NUMBERVALUE("0.002403")</f>
        <v/>
      </c>
      <c r="M2493">
        <f>_xlfn.NUMBERVALUE("0.000528")</f>
        <v/>
      </c>
      <c r="N2493">
        <f>_xlfn.NUMBERVALUE("0.002169")</f>
        <v/>
      </c>
      <c r="O2493">
        <f>_xlfn.NUMBERVALUE("0.001549")</f>
        <v/>
      </c>
      <c r="P2493">
        <f>_xlfn.NUMBERVALUE("0.001007")</f>
        <v/>
      </c>
      <c r="Q2493">
        <f>_xlfn.NUMBERVALUE("0.000562")</f>
        <v/>
      </c>
      <c r="R2493">
        <f>_xlfn.NUMBERVALUE("0.003102")</f>
        <v/>
      </c>
      <c r="S2493">
        <f>_xlfn.NUMBERVALUE("-0.001142")</f>
        <v/>
      </c>
      <c r="T2493">
        <f>_xlfn.NUMBERVALUE("0.002246")</f>
        <v/>
      </c>
      <c r="U2493">
        <f>_xlfn.NUMBERVALUE("-0.000510")</f>
        <v/>
      </c>
      <c r="V2493">
        <f>_xlfn.NUMBERVALUE("0.000993")</f>
        <v/>
      </c>
      <c r="W2493">
        <f>_xlfn.NUMBERVALUE("0.001245")</f>
        <v/>
      </c>
      <c r="X2493">
        <f>_xlfn.NUMBERVALUE("-1.630000")</f>
        <v/>
      </c>
      <c r="Y2493">
        <f>_xlfn.NUMBERVALUE("15.240000")</f>
        <v/>
      </c>
    </row>
    <row r="2494">
      <c r="A2494" s="1" t="n">
        <v>45621</v>
      </c>
      <c r="B2494">
        <f>_xlfn.NUMBERVALUE("0.000297")</f>
        <v/>
      </c>
      <c r="C2494" s="2">
        <f>_xlfn.NUMBERVALUE("0.001169")</f>
        <v/>
      </c>
      <c r="D2494">
        <f>_xlfn.NUMBERVALUE("0.000265")</f>
        <v/>
      </c>
      <c r="E2494">
        <f>_xlfn.NUMBERVALUE("0.018328")</f>
        <v/>
      </c>
      <c r="F2494">
        <f>_xlfn.NUMBERVALUE("-0.008178")</f>
        <v/>
      </c>
      <c r="G2494">
        <f>_xlfn.NUMBERVALUE("-0.001976")</f>
        <v/>
      </c>
      <c r="H2494">
        <f>_xlfn.NUMBERVALUE("-0.001967")</f>
        <v/>
      </c>
      <c r="I2494">
        <f>_xlfn.NUMBERVALUE("-0.000446")</f>
        <v/>
      </c>
      <c r="J2494">
        <f>_xlfn.NUMBERVALUE("-0.002929")</f>
        <v/>
      </c>
      <c r="K2494">
        <f>_xlfn.NUMBERVALUE("-0.002560")</f>
        <v/>
      </c>
      <c r="L2494">
        <f>_xlfn.NUMBERVALUE("-0.008114")</f>
        <v/>
      </c>
      <c r="M2494">
        <f>_xlfn.NUMBERVALUE("-0.001836")</f>
        <v/>
      </c>
      <c r="N2494">
        <f>_xlfn.NUMBERVALUE("0.001858")</f>
        <v/>
      </c>
      <c r="O2494">
        <f>_xlfn.NUMBERVALUE("0.000399")</f>
        <v/>
      </c>
      <c r="P2494">
        <f>_xlfn.NUMBERVALUE("0.001236")</f>
        <v/>
      </c>
      <c r="Q2494">
        <f>_xlfn.NUMBERVALUE("0.000931")</f>
        <v/>
      </c>
      <c r="R2494">
        <f>_xlfn.NUMBERVALUE("0.002747")</f>
        <v/>
      </c>
      <c r="S2494">
        <f>_xlfn.NUMBERVALUE("0.000019")</f>
        <v/>
      </c>
      <c r="T2494">
        <f>_xlfn.NUMBERVALUE("0.001043")</f>
        <v/>
      </c>
      <c r="U2494">
        <f>_xlfn.NUMBERVALUE("-0.001220")</f>
        <v/>
      </c>
      <c r="V2494">
        <f>_xlfn.NUMBERVALUE("0.002072")</f>
        <v/>
      </c>
      <c r="W2494">
        <f>_xlfn.NUMBERVALUE("0.003429")</f>
        <v/>
      </c>
      <c r="X2494">
        <f>_xlfn.NUMBERVALUE("-0.640000")</f>
        <v/>
      </c>
      <c r="Y2494">
        <f>_xlfn.NUMBERVALUE("14.600000")</f>
        <v/>
      </c>
    </row>
    <row r="2495">
      <c r="A2495" s="1" t="n">
        <v>45622</v>
      </c>
      <c r="B2495">
        <f>_xlfn.NUMBERVALUE("0.005654")</f>
        <v/>
      </c>
      <c r="C2495" s="2">
        <f>_xlfn.NUMBERVALUE("-0.000505")</f>
        <v/>
      </c>
      <c r="D2495">
        <f>_xlfn.NUMBERVALUE("0.000064")</f>
        <v/>
      </c>
      <c r="E2495">
        <f>_xlfn.NUMBERVALUE("-0.000074")</f>
        <v/>
      </c>
      <c r="F2495">
        <f>_xlfn.NUMBERVALUE("0.000533")</f>
        <v/>
      </c>
      <c r="G2495">
        <f>_xlfn.NUMBERVALUE("0.002683")</f>
        <v/>
      </c>
      <c r="H2495">
        <f>_xlfn.NUMBERVALUE("0.000702")</f>
        <v/>
      </c>
      <c r="I2495">
        <f>_xlfn.NUMBERVALUE("0.000008")</f>
        <v/>
      </c>
      <c r="J2495">
        <f>_xlfn.NUMBERVALUE("0.000141")</f>
        <v/>
      </c>
      <c r="K2495">
        <f>_xlfn.NUMBERVALUE("0.001461")</f>
        <v/>
      </c>
      <c r="L2495">
        <f>_xlfn.NUMBERVALUE("0.001066")</f>
        <v/>
      </c>
      <c r="M2495">
        <f>_xlfn.NUMBERVALUE("0.002053")</f>
        <v/>
      </c>
      <c r="N2495">
        <f>_xlfn.NUMBERVALUE("0.001104")</f>
        <v/>
      </c>
      <c r="O2495">
        <f>_xlfn.NUMBERVALUE("0.000536")</f>
        <v/>
      </c>
      <c r="P2495">
        <f>_xlfn.NUMBERVALUE("0.000832")</f>
        <v/>
      </c>
      <c r="Q2495">
        <f>_xlfn.NUMBERVALUE("0.001470")</f>
        <v/>
      </c>
      <c r="R2495">
        <f>_xlfn.NUMBERVALUE("0.001019")</f>
        <v/>
      </c>
      <c r="S2495">
        <f>_xlfn.NUMBERVALUE("-0.000167")</f>
        <v/>
      </c>
      <c r="T2495">
        <f>_xlfn.NUMBERVALUE("-0.001254")</f>
        <v/>
      </c>
      <c r="U2495">
        <f>_xlfn.NUMBERVALUE("0.002076")</f>
        <v/>
      </c>
      <c r="V2495">
        <f>_xlfn.NUMBERVALUE("-0.000952")</f>
        <v/>
      </c>
      <c r="W2495">
        <f>_xlfn.NUMBERVALUE("0.006281")</f>
        <v/>
      </c>
      <c r="X2495">
        <f>_xlfn.NUMBERVALUE("-0.500000")</f>
        <v/>
      </c>
      <c r="Y2495">
        <f>_xlfn.NUMBERVALUE("14.100000")</f>
        <v/>
      </c>
    </row>
    <row r="2496">
      <c r="A2496" s="1" t="n">
        <v>45623</v>
      </c>
      <c r="B2496">
        <f>_xlfn.NUMBERVALUE("0.003802")</f>
        <v/>
      </c>
      <c r="C2496" s="2">
        <f>_xlfn.NUMBERVALUE("0.000351")</f>
        <v/>
      </c>
      <c r="D2496">
        <f>_xlfn.NUMBERVALUE("-0.000158")</f>
        <v/>
      </c>
      <c r="E2496">
        <f>_xlfn.NUMBERVALUE("-0.000208")</f>
        <v/>
      </c>
      <c r="F2496">
        <f>_xlfn.NUMBERVALUE("0.000351")</f>
        <v/>
      </c>
      <c r="G2496">
        <f>_xlfn.NUMBERVALUE("-0.002432")</f>
        <v/>
      </c>
      <c r="H2496">
        <f>_xlfn.NUMBERVALUE("0.000769")</f>
        <v/>
      </c>
      <c r="I2496">
        <f>_xlfn.NUMBERVALUE("0.000734")</f>
        <v/>
      </c>
      <c r="J2496">
        <f>_xlfn.NUMBERVALUE("0.000171")</f>
        <v/>
      </c>
      <c r="K2496">
        <f>_xlfn.NUMBERVALUE("-0.000341")</f>
        <v/>
      </c>
      <c r="L2496">
        <f>_xlfn.NUMBERVALUE("0.000657")</f>
        <v/>
      </c>
      <c r="M2496">
        <f>_xlfn.NUMBERVALUE("0.001629")</f>
        <v/>
      </c>
      <c r="N2496">
        <f>_xlfn.NUMBERVALUE("0.000058")</f>
        <v/>
      </c>
      <c r="O2496">
        <f>_xlfn.NUMBERVALUE("0.002327")</f>
        <v/>
      </c>
      <c r="P2496">
        <f>_xlfn.NUMBERVALUE("0.000657")</f>
        <v/>
      </c>
      <c r="Q2496">
        <f>_xlfn.NUMBERVALUE("0.000927")</f>
        <v/>
      </c>
      <c r="R2496">
        <f>_xlfn.NUMBERVALUE("-0.001246")</f>
        <v/>
      </c>
      <c r="S2496">
        <f>_xlfn.NUMBERVALUE("0.000127")</f>
        <v/>
      </c>
      <c r="T2496">
        <f>_xlfn.NUMBERVALUE("0.000327")</f>
        <v/>
      </c>
      <c r="U2496">
        <f>_xlfn.NUMBERVALUE("0.001761")</f>
        <v/>
      </c>
      <c r="V2496">
        <f>_xlfn.NUMBERVALUE("0.000697")</f>
        <v/>
      </c>
      <c r="W2496">
        <f>_xlfn.NUMBERVALUE("-0.003629")</f>
        <v/>
      </c>
      <c r="X2496">
        <f>_xlfn.NUMBERVALUE("0.000000")</f>
        <v/>
      </c>
      <c r="Y2496">
        <f>_xlfn.NUMBERVALUE("14.100000")</f>
        <v/>
      </c>
    </row>
    <row r="2497">
      <c r="A2497" s="1" t="n">
        <v>45625</v>
      </c>
      <c r="B2497">
        <f>_xlfn.NUMBERVALUE("0.002775")</f>
        <v/>
      </c>
      <c r="C2497" s="2">
        <f>_xlfn.NUMBERVALUE("0.000182")</f>
        <v/>
      </c>
      <c r="D2497">
        <f>_xlfn.NUMBERVALUE("-0.000269")</f>
        <v/>
      </c>
      <c r="E2497">
        <f>_xlfn.NUMBERVALUE("0.000307")</f>
        <v/>
      </c>
      <c r="F2497">
        <f>_xlfn.NUMBERVALUE("0.000353")</f>
        <v/>
      </c>
      <c r="G2497">
        <f>_xlfn.NUMBERVALUE("0.002203")</f>
        <v/>
      </c>
      <c r="H2497">
        <f>_xlfn.NUMBERVALUE("-0.000242")</f>
        <v/>
      </c>
      <c r="I2497">
        <f>_xlfn.NUMBERVALUE("0.000697")</f>
        <v/>
      </c>
      <c r="J2497">
        <f>_xlfn.NUMBERVALUE("-0.000478")</f>
        <v/>
      </c>
      <c r="K2497">
        <f>_xlfn.NUMBERVALUE("0.000021")</f>
        <v/>
      </c>
      <c r="L2497">
        <f>_xlfn.NUMBERVALUE("0.000482")</f>
        <v/>
      </c>
      <c r="M2497">
        <f>_xlfn.NUMBERVALUE("0.002708")</f>
        <v/>
      </c>
      <c r="N2497">
        <f>_xlfn.NUMBERVALUE("0.000708")</f>
        <v/>
      </c>
      <c r="O2497">
        <f>_xlfn.NUMBERVALUE("0.001772")</f>
        <v/>
      </c>
      <c r="P2497">
        <f>_xlfn.NUMBERVALUE("-0.000433")</f>
        <v/>
      </c>
      <c r="Q2497">
        <f>_xlfn.NUMBERVALUE("0.000395")</f>
        <v/>
      </c>
      <c r="R2497">
        <f>_xlfn.NUMBERVALUE("0.000616")</f>
        <v/>
      </c>
      <c r="S2497">
        <f>_xlfn.NUMBERVALUE("0.000559")</f>
        <v/>
      </c>
      <c r="T2497">
        <f>_xlfn.NUMBERVALUE("0.000499")</f>
        <v/>
      </c>
      <c r="U2497">
        <f>_xlfn.NUMBERVALUE("-0.000287")</f>
        <v/>
      </c>
      <c r="V2497">
        <f>_xlfn.NUMBERVALUE("0.000437")</f>
        <v/>
      </c>
      <c r="W2497">
        <f>_xlfn.NUMBERVALUE("0.007668")</f>
        <v/>
      </c>
      <c r="X2497">
        <f>_xlfn.NUMBERVALUE("-0.590000")</f>
        <v/>
      </c>
      <c r="Y2497">
        <f>_xlfn.NUMBERVALUE("13.510000")</f>
        <v/>
      </c>
    </row>
    <row r="2498">
      <c r="A2498" s="1" t="n">
        <v>45628</v>
      </c>
      <c r="B2498">
        <f>_xlfn.NUMBERVALUE("-0.002236")</f>
        <v/>
      </c>
      <c r="C2498" s="2">
        <f>_xlfn.NUMBERVALUE("0.000336")</f>
        <v/>
      </c>
      <c r="D2498">
        <f>_xlfn.NUMBERVALUE("-0.000135")</f>
        <v/>
      </c>
      <c r="E2498">
        <f>_xlfn.NUMBERVALUE("-0.000881")</f>
        <v/>
      </c>
      <c r="F2498">
        <f>_xlfn.NUMBERVALUE("-0.000281")</f>
        <v/>
      </c>
      <c r="G2498">
        <f>_xlfn.NUMBERVALUE("-0.002114")</f>
        <v/>
      </c>
      <c r="H2498">
        <f>_xlfn.NUMBERVALUE("-0.000047")</f>
        <v/>
      </c>
      <c r="I2498">
        <f>_xlfn.NUMBERVALUE("0.000174")</f>
        <v/>
      </c>
      <c r="J2498">
        <f>_xlfn.NUMBERVALUE("-0.000645")</f>
        <v/>
      </c>
      <c r="K2498">
        <f>_xlfn.NUMBERVALUE("-0.000058")</f>
        <v/>
      </c>
      <c r="L2498">
        <f>_xlfn.NUMBERVALUE("-0.002827")</f>
        <v/>
      </c>
      <c r="M2498">
        <f>_xlfn.NUMBERVALUE("0.000413")</f>
        <v/>
      </c>
      <c r="N2498">
        <f>_xlfn.NUMBERVALUE("0.000096")</f>
        <v/>
      </c>
      <c r="O2498">
        <f>_xlfn.NUMBERVALUE("0.000217")</f>
        <v/>
      </c>
      <c r="P2498">
        <f>_xlfn.NUMBERVALUE("0.002151")</f>
        <v/>
      </c>
      <c r="Q2498">
        <f>_xlfn.NUMBERVALUE("0.001024")</f>
        <v/>
      </c>
      <c r="R2498">
        <f>_xlfn.NUMBERVALUE("-0.000503")</f>
        <v/>
      </c>
      <c r="S2498">
        <f>_xlfn.NUMBERVALUE("0.000788")</f>
        <v/>
      </c>
      <c r="T2498">
        <f>_xlfn.NUMBERVALUE("-0.001284")</f>
        <v/>
      </c>
      <c r="U2498">
        <f>_xlfn.NUMBERVALUE("-0.000276")</f>
        <v/>
      </c>
      <c r="V2498">
        <f>_xlfn.NUMBERVALUE("0.000222")</f>
        <v/>
      </c>
      <c r="W2498">
        <f>_xlfn.NUMBERVALUE("0.000945")</f>
        <v/>
      </c>
      <c r="X2498">
        <f>_xlfn.NUMBERVALUE("-0.170000")</f>
        <v/>
      </c>
      <c r="Y2498">
        <f>_xlfn.NUMBERVALUE("13.340000")</f>
        <v/>
      </c>
    </row>
    <row r="2499">
      <c r="A2499" s="1" t="n">
        <v>45629</v>
      </c>
      <c r="B2499">
        <f>_xlfn.NUMBERVALUE("0.002924")</f>
        <v/>
      </c>
      <c r="C2499" s="2">
        <f>_xlfn.NUMBERVALUE("0.000171")</f>
        <v/>
      </c>
      <c r="D2499">
        <f>_xlfn.NUMBERVALUE("-0.000014")</f>
        <v/>
      </c>
      <c r="E2499">
        <f>_xlfn.NUMBERVALUE("0.001147")</f>
        <v/>
      </c>
      <c r="F2499">
        <f>_xlfn.NUMBERVALUE("-0.000375")</f>
        <v/>
      </c>
      <c r="G2499">
        <f>_xlfn.NUMBERVALUE("0.000193")</f>
        <v/>
      </c>
      <c r="H2499">
        <f>_xlfn.NUMBERVALUE("0.000643")</f>
        <v/>
      </c>
      <c r="I2499">
        <f>_xlfn.NUMBERVALUE("0.000176")</f>
        <v/>
      </c>
      <c r="J2499">
        <f>_xlfn.NUMBERVALUE("0.000821")</f>
        <v/>
      </c>
      <c r="K2499">
        <f>_xlfn.NUMBERVALUE("-0.000229")</f>
        <v/>
      </c>
      <c r="L2499">
        <f>_xlfn.NUMBERVALUE("0.000660")</f>
        <v/>
      </c>
      <c r="M2499">
        <f>_xlfn.NUMBERVALUE("0.000805")</f>
        <v/>
      </c>
      <c r="N2499">
        <f>_xlfn.NUMBERVALUE("0.001285")</f>
        <v/>
      </c>
      <c r="O2499">
        <f>_xlfn.NUMBERVALUE("0.001828")</f>
        <v/>
      </c>
      <c r="P2499">
        <f>_xlfn.NUMBERVALUE("0.001168")</f>
        <v/>
      </c>
      <c r="Q2499">
        <f>_xlfn.NUMBERVALUE("-0.000053")</f>
        <v/>
      </c>
      <c r="R2499">
        <f>_xlfn.NUMBERVALUE("0.000981")</f>
        <v/>
      </c>
      <c r="S2499">
        <f>_xlfn.NUMBERVALUE("0.001004")</f>
        <v/>
      </c>
      <c r="T2499">
        <f>_xlfn.NUMBERVALUE("0.001208")</f>
        <v/>
      </c>
      <c r="U2499">
        <f>_xlfn.NUMBERVALUE("0.000910")</f>
        <v/>
      </c>
      <c r="V2499">
        <f>_xlfn.NUMBERVALUE("0.000168")</f>
        <v/>
      </c>
      <c r="W2499">
        <f>_xlfn.NUMBERVALUE("-0.000133")</f>
        <v/>
      </c>
      <c r="X2499">
        <f>_xlfn.NUMBERVALUE("-0.040000")</f>
        <v/>
      </c>
      <c r="Y2499">
        <f>_xlfn.NUMBERVALUE("13.300000")</f>
        <v/>
      </c>
    </row>
    <row r="2500">
      <c r="A2500" s="1" t="n">
        <v>45630</v>
      </c>
      <c r="B2500">
        <f>_xlfn.NUMBERVALUE("-0.007182")</f>
        <v/>
      </c>
      <c r="C2500" s="2">
        <f>_xlfn.NUMBERVALUE("0.000105")</f>
        <v/>
      </c>
      <c r="D2500">
        <f>_xlfn.NUMBERVALUE("0.000145")</f>
        <v/>
      </c>
      <c r="E2500">
        <f>_xlfn.NUMBERVALUE("0.001349")</f>
        <v/>
      </c>
      <c r="F2500">
        <f>_xlfn.NUMBERVALUE("-0.000068")</f>
        <v/>
      </c>
      <c r="G2500">
        <f>_xlfn.NUMBERVALUE("0.000262")</f>
        <v/>
      </c>
      <c r="H2500">
        <f>_xlfn.NUMBERVALUE("0.000716")</f>
        <v/>
      </c>
      <c r="I2500">
        <f>_xlfn.NUMBERVALUE("0.000098")</f>
        <v/>
      </c>
      <c r="J2500">
        <f>_xlfn.NUMBERVALUE("-0.000571")</f>
        <v/>
      </c>
      <c r="K2500">
        <f>_xlfn.NUMBERVALUE("0.000332")</f>
        <v/>
      </c>
      <c r="L2500">
        <f>_xlfn.NUMBERVALUE("-0.000574")</f>
        <v/>
      </c>
      <c r="M2500">
        <f>_xlfn.NUMBERVALUE("-0.001921")</f>
        <v/>
      </c>
      <c r="N2500">
        <f>_xlfn.NUMBERVALUE("0.000152")</f>
        <v/>
      </c>
      <c r="O2500">
        <f>_xlfn.NUMBERVALUE("-0.012126")</f>
        <v/>
      </c>
      <c r="P2500">
        <f>_xlfn.NUMBERVALUE("0.001221")</f>
        <v/>
      </c>
      <c r="Q2500">
        <f>_xlfn.NUMBERVALUE("0.001407")</f>
        <v/>
      </c>
      <c r="R2500">
        <f>_xlfn.NUMBERVALUE("-0.006015")</f>
        <v/>
      </c>
      <c r="S2500">
        <f>_xlfn.NUMBERVALUE("0.000689")</f>
        <v/>
      </c>
      <c r="T2500">
        <f>_xlfn.NUMBERVALUE("0.000593")</f>
        <v/>
      </c>
      <c r="U2500">
        <f>_xlfn.NUMBERVALUE("0.000064")</f>
        <v/>
      </c>
      <c r="V2500">
        <f>_xlfn.NUMBERVALUE("0.000120")</f>
        <v/>
      </c>
      <c r="W2500">
        <f>_xlfn.NUMBERVALUE("0.006593")</f>
        <v/>
      </c>
      <c r="X2500">
        <f>_xlfn.NUMBERVALUE("0.150000")</f>
        <v/>
      </c>
      <c r="Y2500">
        <f>_xlfn.NUMBERVALUE("13.450000")</f>
        <v/>
      </c>
    </row>
    <row r="2501">
      <c r="A2501" s="1" t="n">
        <v>45631</v>
      </c>
      <c r="B2501">
        <f>_xlfn.NUMBERVALUE("0.001669")</f>
        <v/>
      </c>
      <c r="C2501" s="2">
        <f>_xlfn.NUMBERVALUE("0.000128")</f>
        <v/>
      </c>
      <c r="D2501">
        <f>_xlfn.NUMBERVALUE("-0.000122")</f>
        <v/>
      </c>
      <c r="E2501">
        <f>_xlfn.NUMBERVALUE("0.001150")</f>
        <v/>
      </c>
      <c r="F2501">
        <f>_xlfn.NUMBERVALUE("0.000102")</f>
        <v/>
      </c>
      <c r="G2501">
        <f>_xlfn.NUMBERVALUE("-0.000014")</f>
        <v/>
      </c>
      <c r="H2501">
        <f>_xlfn.NUMBERVALUE("0.000360")</f>
        <v/>
      </c>
      <c r="I2501">
        <f>_xlfn.NUMBERVALUE("0.000103")</f>
        <v/>
      </c>
      <c r="J2501">
        <f>_xlfn.NUMBERVALUE("0.000271")</f>
        <v/>
      </c>
      <c r="K2501">
        <f>_xlfn.NUMBERVALUE("0.000041")</f>
        <v/>
      </c>
      <c r="L2501">
        <f>_xlfn.NUMBERVALUE("0.000225")</f>
        <v/>
      </c>
      <c r="M2501">
        <f>_xlfn.NUMBERVALUE("-0.001804")</f>
        <v/>
      </c>
      <c r="N2501">
        <f>_xlfn.NUMBERVALUE("0.000300")</f>
        <v/>
      </c>
      <c r="O2501">
        <f>_xlfn.NUMBERVALUE("0.003063")</f>
        <v/>
      </c>
      <c r="P2501">
        <f>_xlfn.NUMBERVALUE("0.000719")</f>
        <v/>
      </c>
      <c r="Q2501">
        <f>_xlfn.NUMBERVALUE("-0.001380")</f>
        <v/>
      </c>
      <c r="R2501">
        <f>_xlfn.NUMBERVALUE("0.002217")</f>
        <v/>
      </c>
      <c r="S2501">
        <f>_xlfn.NUMBERVALUE("-0.000332")</f>
        <v/>
      </c>
      <c r="T2501">
        <f>_xlfn.NUMBERVALUE("-0.000680")</f>
        <v/>
      </c>
      <c r="U2501">
        <f>_xlfn.NUMBERVALUE("0.000080")</f>
        <v/>
      </c>
      <c r="V2501">
        <f>_xlfn.NUMBERVALUE("0.000065")</f>
        <v/>
      </c>
      <c r="W2501">
        <f>_xlfn.NUMBERVALUE("-0.000263")</f>
        <v/>
      </c>
      <c r="X2501">
        <f>_xlfn.NUMBERVALUE("0.090000")</f>
        <v/>
      </c>
      <c r="Y2501">
        <f>_xlfn.NUMBERVALUE("13.540000")</f>
        <v/>
      </c>
    </row>
    <row r="2502">
      <c r="A2502" s="1" t="n">
        <v>45632</v>
      </c>
      <c r="B2502">
        <f>_xlfn.NUMBERVALUE("-0.006464")</f>
        <v/>
      </c>
      <c r="C2502" s="2">
        <f>_xlfn.NUMBERVALUE("0.000874")</f>
        <v/>
      </c>
      <c r="D2502">
        <f>_xlfn.NUMBERVALUE("0.001735")</f>
        <v/>
      </c>
      <c r="E2502">
        <f>_xlfn.NUMBERVALUE("0.004061")</f>
        <v/>
      </c>
      <c r="F2502">
        <f>_xlfn.NUMBERVALUE("0.002124")</f>
        <v/>
      </c>
      <c r="G2502">
        <f>_xlfn.NUMBERVALUE("-0.002174")</f>
        <v/>
      </c>
      <c r="H2502">
        <f>_xlfn.NUMBERVALUE("0.001683")</f>
        <v/>
      </c>
      <c r="I2502">
        <f>_xlfn.NUMBERVALUE("0.002625")</f>
        <v/>
      </c>
      <c r="J2502">
        <f>_xlfn.NUMBERVALUE("0.000571")</f>
        <v/>
      </c>
      <c r="K2502">
        <f>_xlfn.NUMBERVALUE("0.004699")</f>
        <v/>
      </c>
      <c r="L2502">
        <f>_xlfn.NUMBERVALUE("-0.000008")</f>
        <v/>
      </c>
      <c r="M2502">
        <f>_xlfn.NUMBERVALUE("0.000113")</f>
        <v/>
      </c>
      <c r="N2502">
        <f>_xlfn.NUMBERVALUE("0.000098")</f>
        <v/>
      </c>
      <c r="O2502">
        <f>_xlfn.NUMBERVALUE("-0.004350")</f>
        <v/>
      </c>
      <c r="P2502">
        <f>_xlfn.NUMBERVALUE("0.001268")</f>
        <v/>
      </c>
      <c r="Q2502">
        <f>_xlfn.NUMBERVALUE("0.001331")</f>
        <v/>
      </c>
      <c r="R2502">
        <f>_xlfn.NUMBERVALUE("0.001116")</f>
        <v/>
      </c>
      <c r="S2502">
        <f>_xlfn.NUMBERVALUE("0.000451")</f>
        <v/>
      </c>
      <c r="T2502">
        <f>_xlfn.NUMBERVALUE("0.000489")</f>
        <v/>
      </c>
      <c r="U2502">
        <f>_xlfn.NUMBERVALUE("-0.000356")</f>
        <v/>
      </c>
      <c r="V2502">
        <f>_xlfn.NUMBERVALUE("0.000760")</f>
        <v/>
      </c>
      <c r="W2502">
        <f>_xlfn.NUMBERVALUE("0.000609")</f>
        <v/>
      </c>
      <c r="X2502">
        <f>_xlfn.NUMBERVALUE("-0.770000")</f>
        <v/>
      </c>
      <c r="Y2502">
        <f>_xlfn.NUMBERVALUE("12.770000")</f>
        <v/>
      </c>
    </row>
    <row r="2503">
      <c r="A2503" s="1" t="n">
        <v>45635</v>
      </c>
      <c r="B2503">
        <f>_xlfn.NUMBERVALUE("0.000244")</f>
        <v/>
      </c>
      <c r="C2503" s="2">
        <f>_xlfn.NUMBERVALUE("-0.000032")</f>
        <v/>
      </c>
      <c r="D2503">
        <f>_xlfn.NUMBERVALUE("-0.010170")</f>
        <v/>
      </c>
      <c r="E2503">
        <f>_xlfn.NUMBERVALUE("0.012024")</f>
        <v/>
      </c>
      <c r="F2503">
        <f>_xlfn.NUMBERVALUE("-0.000518")</f>
        <v/>
      </c>
      <c r="G2503">
        <f>_xlfn.NUMBERVALUE("0.000523")</f>
        <v/>
      </c>
      <c r="H2503">
        <f>_xlfn.NUMBERVALUE("0.000357")</f>
        <v/>
      </c>
      <c r="I2503">
        <f>_xlfn.NUMBERVALUE("-0.000159")</f>
        <v/>
      </c>
      <c r="J2503">
        <f>_xlfn.NUMBERVALUE("0.000279")</f>
        <v/>
      </c>
      <c r="K2503">
        <f>_xlfn.NUMBERVALUE("-0.004711")</f>
        <v/>
      </c>
      <c r="L2503">
        <f>_xlfn.NUMBERVALUE("-0.000208")</f>
        <v/>
      </c>
      <c r="M2503">
        <f>_xlfn.NUMBERVALUE("-0.000100")</f>
        <v/>
      </c>
      <c r="N2503">
        <f>_xlfn.NUMBERVALUE("-0.000071")</f>
        <v/>
      </c>
      <c r="O2503">
        <f>_xlfn.NUMBERVALUE("-0.000032")</f>
        <v/>
      </c>
      <c r="P2503">
        <f>_xlfn.NUMBERVALUE("0.002648")</f>
        <v/>
      </c>
      <c r="Q2503">
        <f>_xlfn.NUMBERVALUE("-0.000473")</f>
        <v/>
      </c>
      <c r="R2503">
        <f>_xlfn.NUMBERVALUE("0.004025")</f>
        <v/>
      </c>
      <c r="S2503">
        <f>_xlfn.NUMBERVALUE("0.001240")</f>
        <v/>
      </c>
      <c r="T2503">
        <f>_xlfn.NUMBERVALUE("-0.000259")</f>
        <v/>
      </c>
      <c r="U2503">
        <f>_xlfn.NUMBERVALUE("0.000240")</f>
        <v/>
      </c>
      <c r="V2503">
        <f>_xlfn.NUMBERVALUE("-0.000192")</f>
        <v/>
      </c>
      <c r="W2503">
        <f>_xlfn.NUMBERVALUE("-0.005562")</f>
        <v/>
      </c>
      <c r="X2503">
        <f>_xlfn.NUMBERVALUE("1.420000")</f>
        <v/>
      </c>
      <c r="Y2503">
        <f>_xlfn.NUMBERVALUE("14.190000")</f>
        <v/>
      </c>
    </row>
    <row r="2504">
      <c r="A2504" s="1" t="n">
        <v>45636</v>
      </c>
      <c r="B2504">
        <f>_xlfn.NUMBERVALUE("0.001785")</f>
        <v/>
      </c>
      <c r="C2504" s="2">
        <f>_xlfn.NUMBERVALUE("0.000420")</f>
        <v/>
      </c>
      <c r="D2504">
        <f>_xlfn.NUMBERVALUE("-0.000883")</f>
        <v/>
      </c>
      <c r="E2504">
        <f>_xlfn.NUMBERVALUE("-0.006214")</f>
        <v/>
      </c>
      <c r="F2504">
        <f>_xlfn.NUMBERVALUE("-0.001995")</f>
        <v/>
      </c>
      <c r="G2504">
        <f>_xlfn.NUMBERVALUE("0.000551")</f>
        <v/>
      </c>
      <c r="H2504">
        <f>_xlfn.NUMBERVALUE("0.000205")</f>
        <v/>
      </c>
      <c r="I2504">
        <f>_xlfn.NUMBERVALUE("0.000958")</f>
        <v/>
      </c>
      <c r="J2504">
        <f>_xlfn.NUMBERVALUE("0.000610")</f>
        <v/>
      </c>
      <c r="K2504">
        <f>_xlfn.NUMBERVALUE("0.002344")</f>
        <v/>
      </c>
      <c r="L2504">
        <f>_xlfn.NUMBERVALUE("-0.000189")</f>
        <v/>
      </c>
      <c r="M2504">
        <f>_xlfn.NUMBERVALUE("-0.000148")</f>
        <v/>
      </c>
      <c r="N2504">
        <f>_xlfn.NUMBERVALUE("-0.000984")</f>
        <v/>
      </c>
      <c r="O2504">
        <f>_xlfn.NUMBERVALUE("0.000814")</f>
        <v/>
      </c>
      <c r="P2504">
        <f>_xlfn.NUMBERVALUE("0.003300")</f>
        <v/>
      </c>
      <c r="Q2504">
        <f>_xlfn.NUMBERVALUE("-0.000065")</f>
        <v/>
      </c>
      <c r="R2504">
        <f>_xlfn.NUMBERVALUE("-0.005303")</f>
        <v/>
      </c>
      <c r="S2504">
        <f>_xlfn.NUMBERVALUE("-0.000069")</f>
        <v/>
      </c>
      <c r="T2504">
        <f>_xlfn.NUMBERVALUE("-0.001327")</f>
        <v/>
      </c>
      <c r="U2504">
        <f>_xlfn.NUMBERVALUE("0.000044")</f>
        <v/>
      </c>
      <c r="V2504">
        <f>_xlfn.NUMBERVALUE("0.000707")</f>
        <v/>
      </c>
      <c r="W2504">
        <f>_xlfn.NUMBERVALUE("-0.002747")</f>
        <v/>
      </c>
      <c r="X2504">
        <f>_xlfn.NUMBERVALUE("-0.010000")</f>
        <v/>
      </c>
      <c r="Y2504">
        <f>_xlfn.NUMBERVALUE("14.180000")</f>
        <v/>
      </c>
    </row>
    <row r="2505">
      <c r="A2505" s="1" t="n">
        <v>45637</v>
      </c>
      <c r="B2505">
        <f>_xlfn.NUMBERVALUE("0.000810")</f>
        <v/>
      </c>
      <c r="C2505" s="2">
        <f>_xlfn.NUMBERVALUE("0.000296")</f>
        <v/>
      </c>
      <c r="D2505">
        <f>_xlfn.NUMBERVALUE("0.002023")</f>
        <v/>
      </c>
      <c r="E2505">
        <f>_xlfn.NUMBERVALUE("0.010190")</f>
        <v/>
      </c>
      <c r="F2505">
        <f>_xlfn.NUMBERVALUE("-0.000745")</f>
        <v/>
      </c>
      <c r="G2505">
        <f>_xlfn.NUMBERVALUE("0.000890")</f>
        <v/>
      </c>
      <c r="H2505">
        <f>_xlfn.NUMBERVALUE("0.001211")</f>
        <v/>
      </c>
      <c r="I2505">
        <f>_xlfn.NUMBERVALUE("0.001480")</f>
        <v/>
      </c>
      <c r="J2505">
        <f>_xlfn.NUMBERVALUE("0.000362")</f>
        <v/>
      </c>
      <c r="K2505">
        <f>_xlfn.NUMBERVALUE("0.000200")</f>
        <v/>
      </c>
      <c r="L2505">
        <f>_xlfn.NUMBERVALUE("-0.000723")</f>
        <v/>
      </c>
      <c r="M2505">
        <f>_xlfn.NUMBERVALUE("0.000680")</f>
        <v/>
      </c>
      <c r="N2505">
        <f>_xlfn.NUMBERVALUE("-0.000443")</f>
        <v/>
      </c>
      <c r="O2505">
        <f>_xlfn.NUMBERVALUE("0.001024")</f>
        <v/>
      </c>
      <c r="P2505">
        <f>_xlfn.NUMBERVALUE("0.001025")</f>
        <v/>
      </c>
      <c r="Q2505">
        <f>_xlfn.NUMBERVALUE("0.000018")</f>
        <v/>
      </c>
      <c r="R2505">
        <f>_xlfn.NUMBERVALUE("-0.002329")</f>
        <v/>
      </c>
      <c r="S2505">
        <f>_xlfn.NUMBERVALUE("-0.001248")</f>
        <v/>
      </c>
      <c r="T2505">
        <f>_xlfn.NUMBERVALUE("0.001461")</f>
        <v/>
      </c>
      <c r="U2505">
        <f>_xlfn.NUMBERVALUE("0.000580")</f>
        <v/>
      </c>
      <c r="V2505">
        <f>_xlfn.NUMBERVALUE("-0.000243")</f>
        <v/>
      </c>
      <c r="W2505">
        <f>_xlfn.NUMBERVALUE("0.008579")</f>
        <v/>
      </c>
      <c r="X2505">
        <f>_xlfn.NUMBERVALUE("-0.600000")</f>
        <v/>
      </c>
      <c r="Y2505">
        <f>_xlfn.NUMBERVALUE("13.580000")</f>
        <v/>
      </c>
    </row>
    <row r="2506">
      <c r="A2506" s="1" t="n">
        <v>45638</v>
      </c>
      <c r="B2506">
        <f>_xlfn.NUMBERVALUE("0.001591")</f>
        <v/>
      </c>
      <c r="C2506" s="2">
        <f>_xlfn.NUMBERVALUE("-0.000139")</f>
        <v/>
      </c>
      <c r="D2506">
        <f>_xlfn.NUMBERVALUE("0.002607")</f>
        <v/>
      </c>
      <c r="E2506">
        <f>_xlfn.NUMBERVALUE("-0.000473")</f>
        <v/>
      </c>
      <c r="F2506">
        <f>_xlfn.NUMBERVALUE("0.001473")</f>
        <v/>
      </c>
      <c r="G2506">
        <f>_xlfn.NUMBERVALUE("0.001255")</f>
        <v/>
      </c>
      <c r="H2506">
        <f>_xlfn.NUMBERVALUE("-0.000535")</f>
        <v/>
      </c>
      <c r="I2506">
        <f>_xlfn.NUMBERVALUE("-0.000924")</f>
        <v/>
      </c>
      <c r="J2506">
        <f>_xlfn.NUMBERVALUE("-0.000853")</f>
        <v/>
      </c>
      <c r="K2506">
        <f>_xlfn.NUMBERVALUE("-0.001070")</f>
        <v/>
      </c>
      <c r="L2506">
        <f>_xlfn.NUMBERVALUE("-0.002075")</f>
        <v/>
      </c>
      <c r="M2506">
        <f>_xlfn.NUMBERVALUE("0.002134")</f>
        <v/>
      </c>
      <c r="N2506">
        <f>_xlfn.NUMBERVALUE("0.000013")</f>
        <v/>
      </c>
      <c r="O2506">
        <f>_xlfn.NUMBERVALUE("-0.002648")</f>
        <v/>
      </c>
      <c r="P2506">
        <f>_xlfn.NUMBERVALUE("0.000902")</f>
        <v/>
      </c>
      <c r="Q2506">
        <f>_xlfn.NUMBERVALUE("0.002168")</f>
        <v/>
      </c>
      <c r="R2506">
        <f>_xlfn.NUMBERVALUE("0.000881")</f>
        <v/>
      </c>
      <c r="S2506">
        <f>_xlfn.NUMBERVALUE("0.000797")</f>
        <v/>
      </c>
      <c r="T2506">
        <f>_xlfn.NUMBERVALUE("-0.000442")</f>
        <v/>
      </c>
      <c r="U2506">
        <f>_xlfn.NUMBERVALUE("0.000604")</f>
        <v/>
      </c>
      <c r="V2506">
        <f>_xlfn.NUMBERVALUE("0.000862")</f>
        <v/>
      </c>
      <c r="W2506">
        <f>_xlfn.NUMBERVALUE("-0.004278")</f>
        <v/>
      </c>
      <c r="X2506">
        <f>_xlfn.NUMBERVALUE("0.340000")</f>
        <v/>
      </c>
      <c r="Y2506">
        <f>_xlfn.NUMBERVALUE("13.920000")</f>
        <v/>
      </c>
    </row>
    <row r="2507">
      <c r="A2507" s="1" t="n">
        <v>45639</v>
      </c>
      <c r="B2507">
        <f>_xlfn.NUMBERVALUE("0.001953")</f>
        <v/>
      </c>
      <c r="C2507" s="2">
        <f>_xlfn.NUMBERVALUE("0.000187")</f>
        <v/>
      </c>
      <c r="D2507">
        <f>_xlfn.NUMBERVALUE("0.001338")</f>
        <v/>
      </c>
      <c r="E2507">
        <f>_xlfn.NUMBERVALUE("0.001106")</f>
        <v/>
      </c>
      <c r="F2507">
        <f>_xlfn.NUMBERVALUE("-0.000774")</f>
        <v/>
      </c>
      <c r="G2507">
        <f>_xlfn.NUMBERVALUE("-0.001292")</f>
        <v/>
      </c>
      <c r="H2507">
        <f>_xlfn.NUMBERVALUE("-0.000785")</f>
        <v/>
      </c>
      <c r="I2507">
        <f>_xlfn.NUMBERVALUE("0.000617")</f>
        <v/>
      </c>
      <c r="J2507">
        <f>_xlfn.NUMBERVALUE("-0.000754")</f>
        <v/>
      </c>
      <c r="K2507">
        <f>_xlfn.NUMBERVALUE("0.000709")</f>
        <v/>
      </c>
      <c r="L2507">
        <f>_xlfn.NUMBERVALUE("-0.001573")</f>
        <v/>
      </c>
      <c r="M2507">
        <f>_xlfn.NUMBERVALUE("0.000747")</f>
        <v/>
      </c>
      <c r="N2507">
        <f>_xlfn.NUMBERVALUE("-0.000402")</f>
        <v/>
      </c>
      <c r="O2507">
        <f>_xlfn.NUMBERVALUE("-0.000602")</f>
        <v/>
      </c>
      <c r="P2507">
        <f>_xlfn.NUMBERVALUE("0.001473")</f>
        <v/>
      </c>
      <c r="Q2507">
        <f>_xlfn.NUMBERVALUE("-0.000326")</f>
        <v/>
      </c>
      <c r="R2507">
        <f>_xlfn.NUMBERVALUE("0.000604")</f>
        <v/>
      </c>
      <c r="S2507">
        <f>_xlfn.NUMBERVALUE("0.001338")</f>
        <v/>
      </c>
      <c r="T2507">
        <f>_xlfn.NUMBERVALUE("0.002233")</f>
        <v/>
      </c>
      <c r="U2507">
        <f>_xlfn.NUMBERVALUE("0.000825")</f>
        <v/>
      </c>
      <c r="V2507">
        <f>_xlfn.NUMBERVALUE("0.000914")</f>
        <v/>
      </c>
      <c r="W2507">
        <f>_xlfn.NUMBERVALUE("-0.001190")</f>
        <v/>
      </c>
      <c r="X2507">
        <f>_xlfn.NUMBERVALUE("-0.110000")</f>
        <v/>
      </c>
      <c r="Y2507">
        <f>_xlfn.NUMBERVALUE("13.810000")</f>
        <v/>
      </c>
    </row>
    <row r="2508">
      <c r="A2508" s="1" t="n">
        <v>45642</v>
      </c>
      <c r="B2508">
        <f>_xlfn.NUMBERVALUE("-0.002549")</f>
        <v/>
      </c>
      <c r="C2508" s="2">
        <f>_xlfn.NUMBERVALUE("0.000142")</f>
        <v/>
      </c>
      <c r="D2508">
        <f>_xlfn.NUMBERVALUE("-0.000050")</f>
        <v/>
      </c>
      <c r="E2508">
        <f>_xlfn.NUMBERVALUE("-0.005449")</f>
        <v/>
      </c>
      <c r="F2508">
        <f>_xlfn.NUMBERVALUE("0.001644")</f>
        <v/>
      </c>
      <c r="G2508">
        <f>_xlfn.NUMBERVALUE("-0.001302")</f>
        <v/>
      </c>
      <c r="H2508">
        <f>_xlfn.NUMBERVALUE("0.000151")</f>
        <v/>
      </c>
      <c r="I2508">
        <f>_xlfn.NUMBERVALUE("-0.000459")</f>
        <v/>
      </c>
      <c r="J2508">
        <f>_xlfn.NUMBERVALUE("0.000589")</f>
        <v/>
      </c>
      <c r="K2508">
        <f>_xlfn.NUMBERVALUE("0.003032")</f>
        <v/>
      </c>
      <c r="L2508">
        <f>_xlfn.NUMBERVALUE("0.001006")</f>
        <v/>
      </c>
      <c r="M2508">
        <f>_xlfn.NUMBERVALUE("-0.003081")</f>
        <v/>
      </c>
      <c r="N2508">
        <f>_xlfn.NUMBERVALUE("0.000533")</f>
        <v/>
      </c>
      <c r="O2508">
        <f>_xlfn.NUMBERVALUE("0.001608")</f>
        <v/>
      </c>
      <c r="P2508">
        <f>_xlfn.NUMBERVALUE("0.000863")</f>
        <v/>
      </c>
      <c r="Q2508">
        <f>_xlfn.NUMBERVALUE("0.000608")</f>
        <v/>
      </c>
      <c r="R2508">
        <f>_xlfn.NUMBERVALUE("-0.002714")</f>
        <v/>
      </c>
      <c r="S2508">
        <f>_xlfn.NUMBERVALUE("0.000082")</f>
        <v/>
      </c>
      <c r="T2508">
        <f>_xlfn.NUMBERVALUE("0.000685")</f>
        <v/>
      </c>
      <c r="U2508">
        <f>_xlfn.NUMBERVALUE("-0.002524")</f>
        <v/>
      </c>
      <c r="V2508">
        <f>_xlfn.NUMBERVALUE("-0.000709")</f>
        <v/>
      </c>
      <c r="W2508">
        <f>_xlfn.NUMBERVALUE("0.003772")</f>
        <v/>
      </c>
      <c r="X2508">
        <f>_xlfn.NUMBERVALUE("0.880000")</f>
        <v/>
      </c>
      <c r="Y2508">
        <f>_xlfn.NUMBERVALUE("14.690000")</f>
        <v/>
      </c>
    </row>
    <row r="2509">
      <c r="A2509" s="1" t="n">
        <v>45643</v>
      </c>
      <c r="B2509">
        <f>_xlfn.NUMBERVALUE("0.000020")</f>
        <v/>
      </c>
      <c r="C2509" s="2">
        <f>_xlfn.NUMBERVALUE("-0.001595")</f>
        <v/>
      </c>
      <c r="D2509">
        <f>_xlfn.NUMBERVALUE("0.007010")</f>
        <v/>
      </c>
      <c r="E2509">
        <f>_xlfn.NUMBERVALUE("0.000566")</f>
        <v/>
      </c>
      <c r="F2509">
        <f>_xlfn.NUMBERVALUE("0.000628")</f>
        <v/>
      </c>
      <c r="G2509">
        <f>_xlfn.NUMBERVALUE("0.000645")</f>
        <v/>
      </c>
      <c r="H2509">
        <f>_xlfn.NUMBERVALUE("0.000289")</f>
        <v/>
      </c>
      <c r="I2509">
        <f>_xlfn.NUMBERVALUE("0.000261")</f>
        <v/>
      </c>
      <c r="J2509">
        <f>_xlfn.NUMBERVALUE("0.000110")</f>
        <v/>
      </c>
      <c r="K2509">
        <f>_xlfn.NUMBERVALUE("0.001079")</f>
        <v/>
      </c>
      <c r="L2509">
        <f>_xlfn.NUMBERVALUE("0.000127")</f>
        <v/>
      </c>
      <c r="M2509">
        <f>_xlfn.NUMBERVALUE("0.000515")</f>
        <v/>
      </c>
      <c r="N2509">
        <f>_xlfn.NUMBERVALUE("0.000024")</f>
        <v/>
      </c>
      <c r="O2509">
        <f>_xlfn.NUMBERVALUE("-0.005272")</f>
        <v/>
      </c>
      <c r="P2509">
        <f>_xlfn.NUMBERVALUE("0.000431")</f>
        <v/>
      </c>
      <c r="Q2509">
        <f>_xlfn.NUMBERVALUE("0.001197")</f>
        <v/>
      </c>
      <c r="R2509">
        <f>_xlfn.NUMBERVALUE("0.000515")</f>
        <v/>
      </c>
      <c r="S2509">
        <f>_xlfn.NUMBERVALUE("-0.000748")</f>
        <v/>
      </c>
      <c r="T2509">
        <f>_xlfn.NUMBERVALUE("-0.000507")</f>
        <v/>
      </c>
      <c r="U2509">
        <f>_xlfn.NUMBERVALUE("-0.001474")</f>
        <v/>
      </c>
      <c r="V2509">
        <f>_xlfn.NUMBERVALUE("-0.000356")</f>
        <v/>
      </c>
      <c r="W2509">
        <f>_xlfn.NUMBERVALUE("-0.004285")</f>
        <v/>
      </c>
      <c r="X2509">
        <f>_xlfn.NUMBERVALUE("1.180000")</f>
        <v/>
      </c>
      <c r="Y2509">
        <f>_xlfn.NUMBERVALUE("15.870000")</f>
        <v/>
      </c>
    </row>
    <row r="2510">
      <c r="A2510" s="1" t="n">
        <v>45644</v>
      </c>
      <c r="B2510">
        <f>_xlfn.NUMBERVALUE("-0.032136")</f>
        <v/>
      </c>
      <c r="C2510" s="2">
        <f>_xlfn.NUMBERVALUE("-0.006319")</f>
        <v/>
      </c>
      <c r="D2510">
        <f>_xlfn.NUMBERVALUE("-0.006452")</f>
        <v/>
      </c>
      <c r="E2510">
        <f>_xlfn.NUMBERVALUE("-0.003755")</f>
        <v/>
      </c>
      <c r="F2510">
        <f>_xlfn.NUMBERVALUE("-0.006817")</f>
        <v/>
      </c>
      <c r="G2510">
        <f>_xlfn.NUMBERVALUE("-0.006633")</f>
        <v/>
      </c>
      <c r="H2510">
        <f>_xlfn.NUMBERVALUE("-0.001190")</f>
        <v/>
      </c>
      <c r="I2510">
        <f>_xlfn.NUMBERVALUE("-0.014932")</f>
        <v/>
      </c>
      <c r="J2510">
        <f>_xlfn.NUMBERVALUE("0.000405")</f>
        <v/>
      </c>
      <c r="K2510">
        <f>_xlfn.NUMBERVALUE("-0.007898")</f>
        <v/>
      </c>
      <c r="L2510">
        <f>_xlfn.NUMBERVALUE("0.000866")</f>
        <v/>
      </c>
      <c r="M2510">
        <f>_xlfn.NUMBERVALUE("-0.007749")</f>
        <v/>
      </c>
      <c r="N2510">
        <f>_xlfn.NUMBERVALUE("-0.009095")</f>
        <v/>
      </c>
      <c r="O2510">
        <f>_xlfn.NUMBERVALUE("-0.006691")</f>
        <v/>
      </c>
      <c r="P2510">
        <f>_xlfn.NUMBERVALUE("-0.009504")</f>
        <v/>
      </c>
      <c r="Q2510">
        <f>_xlfn.NUMBERVALUE("-0.009018")</f>
        <v/>
      </c>
      <c r="R2510">
        <f>_xlfn.NUMBERVALUE("-0.012246")</f>
        <v/>
      </c>
      <c r="S2510">
        <f>_xlfn.NUMBERVALUE("-0.002895")</f>
        <v/>
      </c>
      <c r="T2510">
        <f>_xlfn.NUMBERVALUE("-0.005710")</f>
        <v/>
      </c>
      <c r="U2510">
        <f>_xlfn.NUMBERVALUE("-0.022908")</f>
        <v/>
      </c>
      <c r="V2510">
        <f>_xlfn.NUMBERVALUE("-0.013150")</f>
        <v/>
      </c>
      <c r="W2510">
        <f>_xlfn.NUMBERVALUE("-0.027988")</f>
        <v/>
      </c>
      <c r="X2510">
        <f>_xlfn.NUMBERVALUE("11.750000")</f>
        <v/>
      </c>
      <c r="Y2510">
        <f>_xlfn.NUMBERVALUE("27.620000")</f>
        <v/>
      </c>
    </row>
    <row r="2511">
      <c r="A2511" s="1" t="n">
        <v>45645</v>
      </c>
      <c r="B2511">
        <f>_xlfn.NUMBERVALUE("0.007054")</f>
        <v/>
      </c>
      <c r="C2511" s="2">
        <f>_xlfn.NUMBERVALUE("0.001559")</f>
        <v/>
      </c>
      <c r="D2511">
        <f>_xlfn.NUMBERVALUE("0.000436")</f>
        <v/>
      </c>
      <c r="E2511">
        <f>_xlfn.NUMBERVALUE("0.000189")</f>
        <v/>
      </c>
      <c r="F2511">
        <f>_xlfn.NUMBERVALUE("0.002321")</f>
        <v/>
      </c>
      <c r="G2511">
        <f>_xlfn.NUMBERVALUE("0.003585")</f>
        <v/>
      </c>
      <c r="H2511">
        <f>_xlfn.NUMBERVALUE("0.000095")</f>
        <v/>
      </c>
      <c r="I2511">
        <f>_xlfn.NUMBERVALUE("0.001158")</f>
        <v/>
      </c>
      <c r="J2511">
        <f>_xlfn.NUMBERVALUE("-0.000371")</f>
        <v/>
      </c>
      <c r="K2511">
        <f>_xlfn.NUMBERVALUE("-0.000208")</f>
        <v/>
      </c>
      <c r="L2511">
        <f>_xlfn.NUMBERVALUE("-0.000887")</f>
        <v/>
      </c>
      <c r="M2511">
        <f>_xlfn.NUMBERVALUE("0.001172")</f>
        <v/>
      </c>
      <c r="N2511">
        <f>_xlfn.NUMBERVALUE("0.001529")</f>
        <v/>
      </c>
      <c r="O2511">
        <f>_xlfn.NUMBERVALUE("0.000866")</f>
        <v/>
      </c>
      <c r="P2511">
        <f>_xlfn.NUMBERVALUE("0.000154")</f>
        <v/>
      </c>
      <c r="Q2511">
        <f>_xlfn.NUMBERVALUE("0.000162")</f>
        <v/>
      </c>
      <c r="R2511">
        <f>_xlfn.NUMBERVALUE("0.001508")</f>
        <v/>
      </c>
      <c r="S2511">
        <f>_xlfn.NUMBERVALUE("-0.000319")</f>
        <v/>
      </c>
      <c r="T2511">
        <f>_xlfn.NUMBERVALUE("0.001765")</f>
        <v/>
      </c>
      <c r="U2511">
        <f>_xlfn.NUMBERVALUE("0.003352")</f>
        <v/>
      </c>
      <c r="V2511">
        <f>_xlfn.NUMBERVALUE("0.001437")</f>
        <v/>
      </c>
      <c r="W2511">
        <f>_xlfn.NUMBERVALUE("0.001073")</f>
        <v/>
      </c>
      <c r="X2511">
        <f>_xlfn.NUMBERVALUE("-3.530000")</f>
        <v/>
      </c>
      <c r="Y2511">
        <f>_xlfn.NUMBERVALUE("24.090000")</f>
        <v/>
      </c>
    </row>
    <row r="2512">
      <c r="A2512" s="1" t="n">
        <v>45646</v>
      </c>
      <c r="B2512">
        <f>_xlfn.NUMBERVALUE("0.008639")</f>
        <v/>
      </c>
      <c r="C2512" s="2">
        <f>_xlfn.NUMBERVALUE("0.003242")</f>
        <v/>
      </c>
      <c r="D2512">
        <f>_xlfn.NUMBERVALUE("0.002101")</f>
        <v/>
      </c>
      <c r="E2512">
        <f>_xlfn.NUMBERVALUE("-0.043184")</f>
        <v/>
      </c>
      <c r="F2512">
        <f>_xlfn.NUMBERVALUE("-0.000059")</f>
        <v/>
      </c>
      <c r="G2512">
        <f>_xlfn.NUMBERVALUE("-0.002926")</f>
        <v/>
      </c>
      <c r="H2512">
        <f>_xlfn.NUMBERVALUE("-0.000052")</f>
        <v/>
      </c>
      <c r="I2512">
        <f>_xlfn.NUMBERVALUE("0.001935")</f>
        <v/>
      </c>
      <c r="J2512">
        <f>_xlfn.NUMBERVALUE("0.000016")</f>
        <v/>
      </c>
      <c r="K2512">
        <f>_xlfn.NUMBERVALUE("0.001380")</f>
        <v/>
      </c>
      <c r="L2512">
        <f>_xlfn.NUMBERVALUE("0.000081")</f>
        <v/>
      </c>
      <c r="M2512">
        <f>_xlfn.NUMBERVALUE("0.001103")</f>
        <v/>
      </c>
      <c r="N2512">
        <f>_xlfn.NUMBERVALUE("0.003274")</f>
        <v/>
      </c>
      <c r="O2512">
        <f>_xlfn.NUMBERVALUE("0.002784")</f>
        <v/>
      </c>
      <c r="P2512">
        <f>_xlfn.NUMBERVALUE("0.000853")</f>
        <v/>
      </c>
      <c r="Q2512">
        <f>_xlfn.NUMBERVALUE("0.001799")</f>
        <v/>
      </c>
      <c r="R2512">
        <f>_xlfn.NUMBERVALUE("0.002567")</f>
        <v/>
      </c>
      <c r="S2512">
        <f>_xlfn.NUMBERVALUE("0.001955")</f>
        <v/>
      </c>
      <c r="T2512">
        <f>_xlfn.NUMBERVALUE("0.002417")</f>
        <v/>
      </c>
      <c r="U2512">
        <f>_xlfn.NUMBERVALUE("0.005817")</f>
        <v/>
      </c>
      <c r="V2512">
        <f>_xlfn.NUMBERVALUE("0.003131")</f>
        <v/>
      </c>
      <c r="W2512">
        <f>_xlfn.NUMBERVALUE("0.006532")</f>
        <v/>
      </c>
      <c r="X2512">
        <f>_xlfn.NUMBERVALUE("-5.730000")</f>
        <v/>
      </c>
      <c r="Y2512">
        <f>_xlfn.NUMBERVALUE("18.360000")</f>
        <v/>
      </c>
    </row>
    <row r="2513">
      <c r="A2513" s="1" t="n">
        <v>45649</v>
      </c>
      <c r="B2513">
        <f>_xlfn.NUMBERVALUE("0.008890")</f>
        <v/>
      </c>
      <c r="C2513" s="2">
        <f>_xlfn.NUMBERVALUE("0.000496")</f>
        <v/>
      </c>
      <c r="D2513">
        <f>_xlfn.NUMBERVALUE("0.000539")</f>
        <v/>
      </c>
      <c r="E2513">
        <f>_xlfn.NUMBERVALUE("0.044524")</f>
        <v/>
      </c>
      <c r="F2513">
        <f>_xlfn.NUMBERVALUE("0.002821")</f>
        <v/>
      </c>
      <c r="G2513">
        <f>_xlfn.NUMBERVALUE("0.001996")</f>
        <v/>
      </c>
      <c r="H2513">
        <f>_xlfn.NUMBERVALUE("-0.000362")</f>
        <v/>
      </c>
      <c r="I2513">
        <f>_xlfn.NUMBERVALUE("0.000743")</f>
        <v/>
      </c>
      <c r="J2513">
        <f>_xlfn.NUMBERVALUE("-0.000635")</f>
        <v/>
      </c>
      <c r="K2513">
        <f>_xlfn.NUMBERVALUE("0.004079")</f>
        <v/>
      </c>
      <c r="L2513">
        <f>_xlfn.NUMBERVALUE("-0.000702")</f>
        <v/>
      </c>
      <c r="M2513">
        <f>_xlfn.NUMBERVALUE("0.002891")</f>
        <v/>
      </c>
      <c r="N2513">
        <f>_xlfn.NUMBERVALUE("0.003690")</f>
        <v/>
      </c>
      <c r="O2513">
        <f>_xlfn.NUMBERVALUE("0.006733")</f>
        <v/>
      </c>
      <c r="P2513">
        <f>_xlfn.NUMBERVALUE("0.004353")</f>
        <v/>
      </c>
      <c r="Q2513">
        <f>_xlfn.NUMBERVALUE("0.004429")</f>
        <v/>
      </c>
      <c r="R2513">
        <f>_xlfn.NUMBERVALUE("0.004371")</f>
        <v/>
      </c>
      <c r="S2513">
        <f>_xlfn.NUMBERVALUE("0.003916")</f>
        <v/>
      </c>
      <c r="T2513">
        <f>_xlfn.NUMBERVALUE("0.004966")</f>
        <v/>
      </c>
      <c r="U2513">
        <f>_xlfn.NUMBERVALUE("0.004547")</f>
        <v/>
      </c>
      <c r="V2513">
        <f>_xlfn.NUMBERVALUE("0.000425")</f>
        <v/>
      </c>
      <c r="W2513">
        <f>_xlfn.NUMBERVALUE("0.004901")</f>
        <v/>
      </c>
      <c r="X2513">
        <f>_xlfn.NUMBERVALUE("-1.580000")</f>
        <v/>
      </c>
      <c r="Y2513">
        <f>_xlfn.NUMBERVALUE("16.780000")</f>
        <v/>
      </c>
    </row>
    <row r="2514">
      <c r="A2514" s="1" t="n">
        <v>45650</v>
      </c>
      <c r="B2514">
        <f>_xlfn.NUMBERVALUE("-0.003248")</f>
        <v/>
      </c>
      <c r="C2514" s="2">
        <f>_xlfn.NUMBERVALUE("0.000659")</f>
        <v/>
      </c>
      <c r="D2514">
        <f>_xlfn.NUMBERVALUE("0.000621")</f>
        <v/>
      </c>
      <c r="E2514">
        <f>_xlfn.NUMBERVALUE("-0.000220")</f>
        <v/>
      </c>
      <c r="F2514">
        <f>_xlfn.NUMBERVALUE("0.002355")</f>
        <v/>
      </c>
      <c r="G2514">
        <f>_xlfn.NUMBERVALUE("-0.001836")</f>
        <v/>
      </c>
      <c r="H2514">
        <f>_xlfn.NUMBERVALUE("-0.000276")</f>
        <v/>
      </c>
      <c r="I2514">
        <f>_xlfn.NUMBERVALUE("0.000458")</f>
        <v/>
      </c>
      <c r="J2514">
        <f>_xlfn.NUMBERVALUE("0.000460")</f>
        <v/>
      </c>
      <c r="K2514">
        <f>_xlfn.NUMBERVALUE("0.001143")</f>
        <v/>
      </c>
      <c r="L2514">
        <f>_xlfn.NUMBERVALUE("-0.000296")</f>
        <v/>
      </c>
      <c r="M2514">
        <f>_xlfn.NUMBERVALUE("0.000465")</f>
        <v/>
      </c>
      <c r="N2514">
        <f>_xlfn.NUMBERVALUE("0.002552")</f>
        <v/>
      </c>
      <c r="O2514">
        <f>_xlfn.NUMBERVALUE("-0.001652")</f>
        <v/>
      </c>
      <c r="P2514">
        <f>_xlfn.NUMBERVALUE("0.001195")</f>
        <v/>
      </c>
      <c r="Q2514">
        <f>_xlfn.NUMBERVALUE("0.000787")</f>
        <v/>
      </c>
      <c r="R2514">
        <f>_xlfn.NUMBERVALUE("0.002827")</f>
        <v/>
      </c>
      <c r="S2514">
        <f>_xlfn.NUMBERVALUE("0.001135")</f>
        <v/>
      </c>
      <c r="T2514">
        <f>_xlfn.NUMBERVALUE("0.003101")</f>
        <v/>
      </c>
      <c r="U2514">
        <f>_xlfn.NUMBERVALUE("0.000915")</f>
        <v/>
      </c>
      <c r="V2514">
        <f>_xlfn.NUMBERVALUE("0.002445")</f>
        <v/>
      </c>
      <c r="W2514">
        <f>_xlfn.NUMBERVALUE("0.008577")</f>
        <v/>
      </c>
      <c r="X2514">
        <f>_xlfn.NUMBERVALUE("-2.510000")</f>
        <v/>
      </c>
      <c r="Y2514">
        <f>_xlfn.NUMBERVALUE("14.270000")</f>
        <v/>
      </c>
    </row>
    <row r="2515">
      <c r="A2515" s="1" t="n">
        <v>45652</v>
      </c>
      <c r="B2515">
        <f>_xlfn.NUMBERVALUE("0.000438")</f>
        <v/>
      </c>
      <c r="C2515" s="2">
        <f>_xlfn.NUMBERVALUE("-0.000436")</f>
        <v/>
      </c>
      <c r="D2515">
        <f>_xlfn.NUMBERVALUE("0.000234")</f>
        <v/>
      </c>
      <c r="E2515">
        <f>_xlfn.NUMBERVALUE("-0.000308")</f>
        <v/>
      </c>
      <c r="F2515">
        <f>_xlfn.NUMBERVALUE("0.000021")</f>
        <v/>
      </c>
      <c r="G2515">
        <f>_xlfn.NUMBERVALUE("0.000284")</f>
        <v/>
      </c>
      <c r="H2515">
        <f>_xlfn.NUMBERVALUE("0.000265")</f>
        <v/>
      </c>
      <c r="I2515">
        <f>_xlfn.NUMBERVALUE("0.000360")</f>
        <v/>
      </c>
      <c r="J2515">
        <f>_xlfn.NUMBERVALUE("-0.000005")</f>
        <v/>
      </c>
      <c r="K2515">
        <f>_xlfn.NUMBERVALUE("0.000780")</f>
        <v/>
      </c>
      <c r="L2515">
        <f>_xlfn.NUMBERVALUE("0.000349")</f>
        <v/>
      </c>
      <c r="M2515">
        <f>_xlfn.NUMBERVALUE("-0.000415")</f>
        <v/>
      </c>
      <c r="N2515">
        <f>_xlfn.NUMBERVALUE("0.000235")</f>
        <v/>
      </c>
      <c r="O2515">
        <f>_xlfn.NUMBERVALUE("0.001981")</f>
        <v/>
      </c>
      <c r="P2515">
        <f>_xlfn.NUMBERVALUE("0.000927")</f>
        <v/>
      </c>
      <c r="Q2515">
        <f>_xlfn.NUMBERVALUE("0.001116")</f>
        <v/>
      </c>
      <c r="R2515">
        <f>_xlfn.NUMBERVALUE("0.000425")</f>
        <v/>
      </c>
      <c r="S2515">
        <f>_xlfn.NUMBERVALUE("-0.000665")</f>
        <v/>
      </c>
      <c r="T2515">
        <f>_xlfn.NUMBERVALUE("-0.000620")</f>
        <v/>
      </c>
      <c r="U2515">
        <f>_xlfn.NUMBERVALUE("0.000563")</f>
        <v/>
      </c>
      <c r="V2515">
        <f>_xlfn.NUMBERVALUE("-0.000096")</f>
        <v/>
      </c>
      <c r="W2515">
        <f>_xlfn.NUMBERVALUE("0.003552")</f>
        <v/>
      </c>
      <c r="X2515">
        <f>_xlfn.NUMBERVALUE("0.460000")</f>
        <v/>
      </c>
      <c r="Y2515">
        <f>_xlfn.NUMBERVALUE("14.730000")</f>
        <v/>
      </c>
    </row>
    <row r="2516">
      <c r="A2516" s="1" t="n">
        <v>45653</v>
      </c>
      <c r="B2516">
        <f>_xlfn.NUMBERVALUE("-0.006469")</f>
        <v/>
      </c>
      <c r="C2516" s="2">
        <f>_xlfn.NUMBERVALUE("-0.000305")</f>
        <v/>
      </c>
      <c r="D2516">
        <f>_xlfn.NUMBERVALUE("-0.000186")</f>
        <v/>
      </c>
      <c r="E2516">
        <f>_xlfn.NUMBERVALUE("-0.000206")</f>
        <v/>
      </c>
      <c r="F2516">
        <f>_xlfn.NUMBERVALUE("0.000288")</f>
        <v/>
      </c>
      <c r="G2516">
        <f>_xlfn.NUMBERVALUE("0.001398")</f>
        <v/>
      </c>
      <c r="H2516">
        <f>_xlfn.NUMBERVALUE("0.000008")</f>
        <v/>
      </c>
      <c r="I2516">
        <f>_xlfn.NUMBERVALUE("-0.001219")</f>
        <v/>
      </c>
      <c r="J2516">
        <f>_xlfn.NUMBERVALUE("-0.000384")</f>
        <v/>
      </c>
      <c r="K2516">
        <f>_xlfn.NUMBERVALUE("-0.001000")</f>
        <v/>
      </c>
      <c r="L2516">
        <f>_xlfn.NUMBERVALUE("0.000027")</f>
        <v/>
      </c>
      <c r="M2516">
        <f>_xlfn.NUMBERVALUE("-0.000340")</f>
        <v/>
      </c>
      <c r="N2516">
        <f>_xlfn.NUMBERVALUE("-0.003159")</f>
        <v/>
      </c>
      <c r="O2516">
        <f>_xlfn.NUMBERVALUE("-0.000277")</f>
        <v/>
      </c>
      <c r="P2516">
        <f>_xlfn.NUMBERVALUE("-0.002138")</f>
        <v/>
      </c>
      <c r="Q2516">
        <f>_xlfn.NUMBERVALUE("-0.001323")</f>
        <v/>
      </c>
      <c r="R2516">
        <f>_xlfn.NUMBERVALUE("-0.003490")</f>
        <v/>
      </c>
      <c r="S2516">
        <f>_xlfn.NUMBERVALUE("-0.000076")</f>
        <v/>
      </c>
      <c r="T2516">
        <f>_xlfn.NUMBERVALUE("0.000989")</f>
        <v/>
      </c>
      <c r="U2516">
        <f>_xlfn.NUMBERVALUE("-0.005755")</f>
        <v/>
      </c>
      <c r="V2516">
        <f>_xlfn.NUMBERVALUE("-0.004118")</f>
        <v/>
      </c>
      <c r="W2516">
        <f>_xlfn.NUMBERVALUE("-0.015103")</f>
        <v/>
      </c>
      <c r="X2516">
        <f>_xlfn.NUMBERVALUE("1.220000")</f>
        <v/>
      </c>
      <c r="Y2516">
        <f>_xlfn.NUMBERVALUE("15.950000")</f>
        <v/>
      </c>
    </row>
    <row r="2517">
      <c r="A2517" s="1" t="n">
        <v>45656</v>
      </c>
      <c r="B2517">
        <f>_xlfn.NUMBERVALUE("0.005420")</f>
        <v/>
      </c>
      <c r="C2517" s="2">
        <f>_xlfn.NUMBERVALUE("-0.001469")</f>
        <v/>
      </c>
      <c r="D2517">
        <f>_xlfn.NUMBERVALUE("-0.000341")</f>
        <v/>
      </c>
      <c r="E2517">
        <f>_xlfn.NUMBERVALUE("-0.003837")</f>
        <v/>
      </c>
      <c r="F2517">
        <f>_xlfn.NUMBERVALUE("0.000835")</f>
        <v/>
      </c>
      <c r="G2517">
        <f>_xlfn.NUMBERVALUE("-0.001203")</f>
        <v/>
      </c>
      <c r="H2517">
        <f>_xlfn.NUMBERVALUE("-0.000445")</f>
        <v/>
      </c>
      <c r="I2517">
        <f>_xlfn.NUMBERVALUE("0.000181")</f>
        <v/>
      </c>
      <c r="J2517">
        <f>_xlfn.NUMBERVALUE("-0.000161")</f>
        <v/>
      </c>
      <c r="K2517">
        <f>_xlfn.NUMBERVALUE("-0.000198")</f>
        <v/>
      </c>
      <c r="L2517">
        <f>_xlfn.NUMBERVALUE("-0.000368")</f>
        <v/>
      </c>
      <c r="M2517">
        <f>_xlfn.NUMBERVALUE("-0.001039")</f>
        <v/>
      </c>
      <c r="N2517">
        <f>_xlfn.NUMBERVALUE("0.000960")</f>
        <v/>
      </c>
      <c r="O2517">
        <f>_xlfn.NUMBERVALUE("-0.000009")</f>
        <v/>
      </c>
      <c r="P2517">
        <f>_xlfn.NUMBERVALUE("0.000996")</f>
        <v/>
      </c>
      <c r="Q2517">
        <f>_xlfn.NUMBERVALUE("-0.000433")</f>
        <v/>
      </c>
      <c r="R2517">
        <f>_xlfn.NUMBERVALUE("0.002130")</f>
        <v/>
      </c>
      <c r="S2517">
        <f>_xlfn.NUMBERVALUE("-0.000251")</f>
        <v/>
      </c>
      <c r="T2517">
        <f>_xlfn.NUMBERVALUE("0.000646")</f>
        <v/>
      </c>
      <c r="U2517">
        <f>_xlfn.NUMBERVALUE("0.001595")</f>
        <v/>
      </c>
      <c r="V2517">
        <f>_xlfn.NUMBERVALUE("-0.000391")</f>
        <v/>
      </c>
      <c r="W2517">
        <f>_xlfn.NUMBERVALUE("-0.004690")</f>
        <v/>
      </c>
      <c r="X2517">
        <f>_xlfn.NUMBERVALUE("1.450000")</f>
        <v/>
      </c>
      <c r="Y2517">
        <f>_xlfn.NUMBERVALUE("17.400000")</f>
        <v/>
      </c>
    </row>
    <row r="2518">
      <c r="A2518" s="1" t="n">
        <v>45657</v>
      </c>
      <c r="B2518">
        <f>_xlfn.NUMBERVALUE("-0.000205")</f>
        <v/>
      </c>
      <c r="C2518" s="2">
        <f>_xlfn.NUMBERVALUE("0.000887")</f>
        <v/>
      </c>
      <c r="D2518">
        <f>_xlfn.NUMBERVALUE("-0.000091")</f>
        <v/>
      </c>
      <c r="E2518">
        <f>_xlfn.NUMBERVALUE("0.002187")</f>
        <v/>
      </c>
      <c r="F2518">
        <f>_xlfn.NUMBERVALUE("0.000551")</f>
        <v/>
      </c>
      <c r="G2518">
        <f>_xlfn.NUMBERVALUE("-0.001608")</f>
        <v/>
      </c>
      <c r="H2518">
        <f>_xlfn.NUMBERVALUE("0.000045")</f>
        <v/>
      </c>
      <c r="I2518">
        <f>_xlfn.NUMBERVALUE("-0.000253")</f>
        <v/>
      </c>
      <c r="J2518">
        <f>_xlfn.NUMBERVALUE("-0.000264")</f>
        <v/>
      </c>
      <c r="K2518">
        <f>_xlfn.NUMBERVALUE("0.000016")</f>
        <v/>
      </c>
      <c r="L2518">
        <f>_xlfn.NUMBERVALUE("-0.000112")</f>
        <v/>
      </c>
      <c r="M2518">
        <f>_xlfn.NUMBERVALUE("0.000593")</f>
        <v/>
      </c>
      <c r="N2518">
        <f>_xlfn.NUMBERVALUE("-0.001175")</f>
        <v/>
      </c>
      <c r="O2518">
        <f>_xlfn.NUMBERVALUE("0.001070")</f>
        <v/>
      </c>
      <c r="P2518">
        <f>_xlfn.NUMBERVALUE("-0.000470")</f>
        <v/>
      </c>
      <c r="Q2518">
        <f>_xlfn.NUMBERVALUE("-0.000048")</f>
        <v/>
      </c>
      <c r="R2518">
        <f>_xlfn.NUMBERVALUE("-0.000077")</f>
        <v/>
      </c>
      <c r="S2518">
        <f>_xlfn.NUMBERVALUE("-0.000387")</f>
        <v/>
      </c>
      <c r="T2518">
        <f>_xlfn.NUMBERVALUE("0.000073")</f>
        <v/>
      </c>
      <c r="U2518">
        <f>_xlfn.NUMBERVALUE("0.000350")</f>
        <v/>
      </c>
      <c r="V2518">
        <f>_xlfn.NUMBERVALUE("-0.000353")</f>
        <v/>
      </c>
      <c r="W2518">
        <f>_xlfn.NUMBERVALUE("-0.006847")</f>
        <v/>
      </c>
      <c r="X2518">
        <f>_xlfn.NUMBERVALUE("-0.050000")</f>
        <v/>
      </c>
      <c r="Y2518">
        <f>_xlfn.NUMBERVALUE("17.350000")</f>
        <v/>
      </c>
    </row>
    <row r="2519">
      <c r="A2519" s="1" t="n">
        <v>45659</v>
      </c>
      <c r="B2519">
        <f>_xlfn.NUMBERVALUE("0.000267")</f>
        <v/>
      </c>
      <c r="C2519" s="2">
        <f>_xlfn.NUMBERVALUE("-0.001654")</f>
        <v/>
      </c>
      <c r="D2519">
        <f>_xlfn.NUMBERVALUE("-0.000013")</f>
        <v/>
      </c>
      <c r="E2519">
        <f>_xlfn.NUMBERVALUE("-0.000598")</f>
        <v/>
      </c>
      <c r="F2519">
        <f>_xlfn.NUMBERVALUE("-0.004096")</f>
        <v/>
      </c>
      <c r="G2519">
        <f>_xlfn.NUMBERVALUE("0.002404")</f>
        <v/>
      </c>
      <c r="H2519">
        <f>_xlfn.NUMBERVALUE("0.000128")</f>
        <v/>
      </c>
      <c r="I2519">
        <f>_xlfn.NUMBERVALUE("-0.000151")</f>
        <v/>
      </c>
      <c r="J2519">
        <f>_xlfn.NUMBERVALUE("-0.000363")</f>
        <v/>
      </c>
      <c r="K2519">
        <f>_xlfn.NUMBERVALUE("0.000589")</f>
        <v/>
      </c>
      <c r="L2519">
        <f>_xlfn.NUMBERVALUE("-0.000149")</f>
        <v/>
      </c>
      <c r="M2519">
        <f>_xlfn.NUMBERVALUE("-0.000651")</f>
        <v/>
      </c>
      <c r="N2519">
        <f>_xlfn.NUMBERVALUE("0.001352")</f>
        <v/>
      </c>
      <c r="O2519">
        <f>_xlfn.NUMBERVALUE("0.001002")</f>
        <v/>
      </c>
      <c r="P2519">
        <f>_xlfn.NUMBERVALUE("0.000099")</f>
        <v/>
      </c>
      <c r="Q2519">
        <f>_xlfn.NUMBERVALUE("-0.000078")</f>
        <v/>
      </c>
      <c r="R2519">
        <f>_xlfn.NUMBERVALUE("0.000363")</f>
        <v/>
      </c>
      <c r="S2519">
        <f>_xlfn.NUMBERVALUE("-0.000000")</f>
        <v/>
      </c>
      <c r="T2519">
        <f>_xlfn.NUMBERVALUE("0.000316")</f>
        <v/>
      </c>
      <c r="U2519">
        <f>_xlfn.NUMBERVALUE("-0.001731")</f>
        <v/>
      </c>
      <c r="V2519">
        <f>_xlfn.NUMBERVALUE("-0.000161")</f>
        <v/>
      </c>
      <c r="W2519">
        <f>_xlfn.NUMBERVALUE("-0.003038")</f>
        <v/>
      </c>
      <c r="X2519">
        <f>_xlfn.NUMBERVALUE("0.580000")</f>
        <v/>
      </c>
      <c r="Y2519">
        <f>_xlfn.NUMBERVALUE("17.930000")</f>
        <v/>
      </c>
    </row>
    <row r="2520">
      <c r="A2520" s="1" t="n">
        <v>45660</v>
      </c>
      <c r="B2520">
        <f>_xlfn.NUMBERVALUE("-0.007761")</f>
        <v/>
      </c>
      <c r="C2520" s="2">
        <f>_xlfn.NUMBERVALUE("0.001420")</f>
        <v/>
      </c>
      <c r="D2520">
        <f>_xlfn.NUMBERVALUE("-0.000165")</f>
        <v/>
      </c>
      <c r="E2520">
        <f>_xlfn.NUMBERVALUE("0.001361")</f>
        <v/>
      </c>
      <c r="F2520">
        <f>_xlfn.NUMBERVALUE("0.000414")</f>
        <v/>
      </c>
      <c r="G2520">
        <f>_xlfn.NUMBERVALUE("0.001140")</f>
        <v/>
      </c>
      <c r="H2520">
        <f>_xlfn.NUMBERVALUE("-0.000323")</f>
        <v/>
      </c>
      <c r="I2520">
        <f>_xlfn.NUMBERVALUE("-0.000336")</f>
        <v/>
      </c>
      <c r="J2520">
        <f>_xlfn.NUMBERVALUE("0.000273")</f>
        <v/>
      </c>
      <c r="K2520">
        <f>_xlfn.NUMBERVALUE("-0.000025")</f>
        <v/>
      </c>
      <c r="L2520">
        <f>_xlfn.NUMBERVALUE("-0.000326")</f>
        <v/>
      </c>
      <c r="M2520">
        <f>_xlfn.NUMBERVALUE("0.000303")</f>
        <v/>
      </c>
      <c r="N2520">
        <f>_xlfn.NUMBERVALUE("0.000596")</f>
        <v/>
      </c>
      <c r="O2520">
        <f>_xlfn.NUMBERVALUE("0.001693")</f>
        <v/>
      </c>
      <c r="P2520">
        <f>_xlfn.NUMBERVALUE("0.001788")</f>
        <v/>
      </c>
      <c r="Q2520">
        <f>_xlfn.NUMBERVALUE("0.000317")</f>
        <v/>
      </c>
      <c r="R2520">
        <f>_xlfn.NUMBERVALUE("0.001844")</f>
        <v/>
      </c>
      <c r="S2520">
        <f>_xlfn.NUMBERVALUE("-0.000114")</f>
        <v/>
      </c>
      <c r="T2520">
        <f>_xlfn.NUMBERVALUE("-0.000096")</f>
        <v/>
      </c>
      <c r="U2520">
        <f>_xlfn.NUMBERVALUE("0.000175")</f>
        <v/>
      </c>
      <c r="V2520">
        <f>_xlfn.NUMBERVALUE("-0.000283")</f>
        <v/>
      </c>
      <c r="W2520">
        <f>_xlfn.NUMBERVALUE("0.012616")</f>
        <v/>
      </c>
      <c r="X2520">
        <f>_xlfn.NUMBERVALUE("-1.800000")</f>
        <v/>
      </c>
      <c r="Y2520">
        <f>_xlfn.NUMBERVALUE("16.130000")</f>
        <v/>
      </c>
    </row>
    <row r="2521">
      <c r="A2521" s="1" t="n">
        <v>45663</v>
      </c>
      <c r="B2521">
        <f>_xlfn.NUMBERVALUE("-0.000812")</f>
        <v/>
      </c>
      <c r="C2521" s="2">
        <f>_xlfn.NUMBERVALUE("-0.000364")</f>
        <v/>
      </c>
      <c r="D2521">
        <f>_xlfn.NUMBERVALUE("0.000216")</f>
        <v/>
      </c>
      <c r="E2521">
        <f>_xlfn.NUMBERVALUE("-0.000337")</f>
        <v/>
      </c>
      <c r="F2521">
        <f>_xlfn.NUMBERVALUE("0.001724")</f>
        <v/>
      </c>
      <c r="G2521">
        <f>_xlfn.NUMBERVALUE("-0.000058")</f>
        <v/>
      </c>
      <c r="H2521">
        <f>_xlfn.NUMBERVALUE("-0.000027")</f>
        <v/>
      </c>
      <c r="I2521">
        <f>_xlfn.NUMBERVALUE("-0.000112")</f>
        <v/>
      </c>
      <c r="J2521">
        <f>_xlfn.NUMBERVALUE("-0.000370")</f>
        <v/>
      </c>
      <c r="K2521">
        <f>_xlfn.NUMBERVALUE("0.000130")</f>
        <v/>
      </c>
      <c r="L2521">
        <f>_xlfn.NUMBERVALUE("-0.000134")</f>
        <v/>
      </c>
      <c r="M2521">
        <f>_xlfn.NUMBERVALUE("0.000057")</f>
        <v/>
      </c>
      <c r="N2521">
        <f>_xlfn.NUMBERVALUE("0.000386")</f>
        <v/>
      </c>
      <c r="O2521">
        <f>_xlfn.NUMBERVALUE("-0.000697")</f>
        <v/>
      </c>
      <c r="P2521">
        <f>_xlfn.NUMBERVALUE("-0.000978")</f>
        <v/>
      </c>
      <c r="Q2521">
        <f>_xlfn.NUMBERVALUE("-0.000276")</f>
        <v/>
      </c>
      <c r="R2521">
        <f>_xlfn.NUMBERVALUE("-0.002498")</f>
        <v/>
      </c>
      <c r="S2521">
        <f>_xlfn.NUMBERVALUE("-0.000615")</f>
        <v/>
      </c>
      <c r="T2521">
        <f>_xlfn.NUMBERVALUE("-0.002881")</f>
        <v/>
      </c>
      <c r="U2521">
        <f>_xlfn.NUMBERVALUE("0.000732")</f>
        <v/>
      </c>
      <c r="V2521">
        <f>_xlfn.NUMBERVALUE("-0.000135")</f>
        <v/>
      </c>
      <c r="W2521">
        <f>_xlfn.NUMBERVALUE("0.004902")</f>
        <v/>
      </c>
      <c r="X2521">
        <f>_xlfn.NUMBERVALUE("-0.090000")</f>
        <v/>
      </c>
      <c r="Y2521">
        <f>_xlfn.NUMBERVALUE("16.040000")</f>
        <v/>
      </c>
    </row>
    <row r="2522">
      <c r="A2522" s="1" t="n">
        <v>45664</v>
      </c>
      <c r="B2522">
        <f>_xlfn.NUMBERVALUE("-0.009624")</f>
        <v/>
      </c>
      <c r="C2522" s="2">
        <f>_xlfn.NUMBERVALUE("-0.000108")</f>
        <v/>
      </c>
      <c r="D2522">
        <f>_xlfn.NUMBERVALUE("-0.000047")</f>
        <v/>
      </c>
      <c r="E2522">
        <f>_xlfn.NUMBERVALUE("-0.000061")</f>
        <v/>
      </c>
      <c r="F2522">
        <f>_xlfn.NUMBERVALUE("0.002536")</f>
        <v/>
      </c>
      <c r="G2522">
        <f>_xlfn.NUMBERVALUE("-0.000147")</f>
        <v/>
      </c>
      <c r="H2522">
        <f>_xlfn.NUMBERVALUE("-0.000015")</f>
        <v/>
      </c>
      <c r="I2522">
        <f>_xlfn.NUMBERVALUE("-0.000092")</f>
        <v/>
      </c>
      <c r="J2522">
        <f>_xlfn.NUMBERVALUE("-0.000052")</f>
        <v/>
      </c>
      <c r="K2522">
        <f>_xlfn.NUMBERVALUE("0.000048")</f>
        <v/>
      </c>
      <c r="L2522">
        <f>_xlfn.NUMBERVALUE("-0.000219")</f>
        <v/>
      </c>
      <c r="M2522">
        <f>_xlfn.NUMBERVALUE("-0.000489")</f>
        <v/>
      </c>
      <c r="N2522">
        <f>_xlfn.NUMBERVALUE("-0.001974")</f>
        <v/>
      </c>
      <c r="O2522">
        <f>_xlfn.NUMBERVALUE("0.000410")</f>
        <v/>
      </c>
      <c r="P2522">
        <f>_xlfn.NUMBERVALUE("0.000216")</f>
        <v/>
      </c>
      <c r="Q2522">
        <f>_xlfn.NUMBERVALUE("-0.000092")</f>
        <v/>
      </c>
      <c r="R2522">
        <f>_xlfn.NUMBERVALUE("-0.005327")</f>
        <v/>
      </c>
      <c r="S2522">
        <f>_xlfn.NUMBERVALUE("0.000101")</f>
        <v/>
      </c>
      <c r="T2522">
        <f>_xlfn.NUMBERVALUE("-0.000045")</f>
        <v/>
      </c>
      <c r="U2522">
        <f>_xlfn.NUMBERVALUE("-0.002426")</f>
        <v/>
      </c>
      <c r="V2522">
        <f>_xlfn.NUMBERVALUE("-0.000063")</f>
        <v/>
      </c>
      <c r="W2522">
        <f>_xlfn.NUMBERVALUE("-0.005753")</f>
        <v/>
      </c>
      <c r="X2522">
        <f>_xlfn.NUMBERVALUE("1.780000")</f>
        <v/>
      </c>
      <c r="Y2522">
        <f>_xlfn.NUMBERVALUE("17.820000")</f>
        <v/>
      </c>
    </row>
    <row r="2523">
      <c r="A2523" s="1" t="n">
        <v>45665</v>
      </c>
      <c r="B2523">
        <f>_xlfn.NUMBERVALUE("0.002954")</f>
        <v/>
      </c>
      <c r="C2523" s="2">
        <f>_xlfn.NUMBERVALUE("0.001298")</f>
        <v/>
      </c>
      <c r="D2523">
        <f>_xlfn.NUMBERVALUE("-0.000471")</f>
        <v/>
      </c>
      <c r="E2523">
        <f>_xlfn.NUMBERVALUE("0.000897")</f>
        <v/>
      </c>
      <c r="F2523">
        <f>_xlfn.NUMBERVALUE("-0.000364")</f>
        <v/>
      </c>
      <c r="G2523">
        <f>_xlfn.NUMBERVALUE("0.001456")</f>
        <v/>
      </c>
      <c r="H2523">
        <f>_xlfn.NUMBERVALUE("-0.000115")</f>
        <v/>
      </c>
      <c r="I2523">
        <f>_xlfn.NUMBERVALUE("0.000587")</f>
        <v/>
      </c>
      <c r="J2523">
        <f>_xlfn.NUMBERVALUE("0.000909")</f>
        <v/>
      </c>
      <c r="K2523">
        <f>_xlfn.NUMBERVALUE("-0.000043")</f>
        <v/>
      </c>
      <c r="L2523">
        <f>_xlfn.NUMBERVALUE("-0.000009")</f>
        <v/>
      </c>
      <c r="M2523">
        <f>_xlfn.NUMBERVALUE("0.000179")</f>
        <v/>
      </c>
      <c r="N2523">
        <f>_xlfn.NUMBERVALUE("0.000262")</f>
        <v/>
      </c>
      <c r="O2523">
        <f>_xlfn.NUMBERVALUE("0.000946")</f>
        <v/>
      </c>
      <c r="P2523">
        <f>_xlfn.NUMBERVALUE("0.000695")</f>
        <v/>
      </c>
      <c r="Q2523">
        <f>_xlfn.NUMBERVALUE("-0.000146")</f>
        <v/>
      </c>
      <c r="R2523">
        <f>_xlfn.NUMBERVALUE("0.002324")</f>
        <v/>
      </c>
      <c r="S2523">
        <f>_xlfn.NUMBERVALUE("-0.000370")</f>
        <v/>
      </c>
      <c r="T2523">
        <f>_xlfn.NUMBERVALUE("0.001966")</f>
        <v/>
      </c>
      <c r="U2523">
        <f>_xlfn.NUMBERVALUE("0.000473")</f>
        <v/>
      </c>
      <c r="V2523">
        <f>_xlfn.NUMBERVALUE("0.001269")</f>
        <v/>
      </c>
      <c r="W2523">
        <f>_xlfn.NUMBERVALUE("0.002212")</f>
        <v/>
      </c>
      <c r="X2523">
        <f>_xlfn.NUMBERVALUE("-0.120000")</f>
        <v/>
      </c>
      <c r="Y2523">
        <f>_xlfn.NUMBERVALUE("17.700000")</f>
        <v/>
      </c>
    </row>
    <row r="2524">
      <c r="A2524" s="1" t="n">
        <v>45667</v>
      </c>
      <c r="B2524">
        <f>_xlfn.NUMBERVALUE("-0.002273")</f>
        <v/>
      </c>
      <c r="C2524" s="2">
        <f>_xlfn.NUMBERVALUE("-0.001751")</f>
        <v/>
      </c>
      <c r="D2524">
        <f>_xlfn.NUMBERVALUE("-0.001589")</f>
        <v/>
      </c>
      <c r="E2524">
        <f>_xlfn.NUMBERVALUE("-0.001123")</f>
        <v/>
      </c>
      <c r="F2524">
        <f>_xlfn.NUMBERVALUE("-0.001243")</f>
        <v/>
      </c>
      <c r="G2524">
        <f>_xlfn.NUMBERVALUE("-0.000045")</f>
        <v/>
      </c>
      <c r="H2524">
        <f>_xlfn.NUMBERVALUE("-0.000333")</f>
        <v/>
      </c>
      <c r="I2524">
        <f>_xlfn.NUMBERVALUE("-0.003678")</f>
        <v/>
      </c>
      <c r="J2524">
        <f>_xlfn.NUMBERVALUE("-0.000575")</f>
        <v/>
      </c>
      <c r="K2524">
        <f>_xlfn.NUMBERVALUE("0.000728")</f>
        <v/>
      </c>
      <c r="L2524">
        <f>_xlfn.NUMBERVALUE("0.002108")</f>
        <v/>
      </c>
      <c r="M2524">
        <f>_xlfn.NUMBERVALUE("-0.000255")</f>
        <v/>
      </c>
      <c r="N2524">
        <f>_xlfn.NUMBERVALUE("-0.001257")</f>
        <v/>
      </c>
      <c r="O2524">
        <f>_xlfn.NUMBERVALUE("0.001437")</f>
        <v/>
      </c>
      <c r="P2524">
        <f>_xlfn.NUMBERVALUE("-0.001736")</f>
        <v/>
      </c>
      <c r="Q2524">
        <f>_xlfn.NUMBERVALUE("-0.000291")</f>
        <v/>
      </c>
      <c r="R2524">
        <f>_xlfn.NUMBERVALUE("-0.004231")</f>
        <v/>
      </c>
      <c r="S2524">
        <f>_xlfn.NUMBERVALUE("-0.000020")</f>
        <v/>
      </c>
      <c r="T2524">
        <f>_xlfn.NUMBERVALUE("0.000445")</f>
        <v/>
      </c>
      <c r="U2524">
        <f>_xlfn.NUMBERVALUE("-0.000094")</f>
        <v/>
      </c>
      <c r="V2524">
        <f>_xlfn.NUMBERVALUE("-0.001713")</f>
        <v/>
      </c>
      <c r="W2524">
        <f>_xlfn.NUMBERVALUE("-0.014909")</f>
        <v/>
      </c>
      <c r="X2524">
        <f>_xlfn.NUMBERVALUE("1.840000")</f>
        <v/>
      </c>
      <c r="Y2524">
        <f>_xlfn.NUMBERVALUE("19.540000")</f>
        <v/>
      </c>
    </row>
    <row r="2525">
      <c r="A2525" s="1" t="n">
        <v>45670</v>
      </c>
      <c r="B2525">
        <f>_xlfn.NUMBERVALUE("0.000704")</f>
        <v/>
      </c>
      <c r="C2525" s="2">
        <f>_xlfn.NUMBERVALUE("0.000626")</f>
        <v/>
      </c>
      <c r="D2525">
        <f>_xlfn.NUMBERVALUE("-0.000343")</f>
        <v/>
      </c>
      <c r="E2525">
        <f>_xlfn.NUMBERVALUE("-0.000351")</f>
        <v/>
      </c>
      <c r="F2525">
        <f>_xlfn.NUMBERVALUE("0.001369")</f>
        <v/>
      </c>
      <c r="G2525">
        <f>_xlfn.NUMBERVALUE("-0.001007")</f>
        <v/>
      </c>
      <c r="H2525">
        <f>_xlfn.NUMBERVALUE("0.000474")</f>
        <v/>
      </c>
      <c r="I2525">
        <f>_xlfn.NUMBERVALUE("0.001917")</f>
        <v/>
      </c>
      <c r="J2525">
        <f>_xlfn.NUMBERVALUE("0.000171")</f>
        <v/>
      </c>
      <c r="K2525">
        <f>_xlfn.NUMBERVALUE("-0.000046")</f>
        <v/>
      </c>
      <c r="L2525">
        <f>_xlfn.NUMBERVALUE("0.000741")</f>
        <v/>
      </c>
      <c r="M2525">
        <f>_xlfn.NUMBERVALUE("-0.000223")</f>
        <v/>
      </c>
      <c r="N2525">
        <f>_xlfn.NUMBERVALUE("-0.000375")</f>
        <v/>
      </c>
      <c r="O2525">
        <f>_xlfn.NUMBERVALUE("0.005882")</f>
        <v/>
      </c>
      <c r="P2525">
        <f>_xlfn.NUMBERVALUE("-0.000176")</f>
        <v/>
      </c>
      <c r="Q2525">
        <f>_xlfn.NUMBERVALUE("-0.000197")</f>
        <v/>
      </c>
      <c r="R2525">
        <f>_xlfn.NUMBERVALUE("-0.000288")</f>
        <v/>
      </c>
      <c r="S2525">
        <f>_xlfn.NUMBERVALUE("-0.000154")</f>
        <v/>
      </c>
      <c r="T2525">
        <f>_xlfn.NUMBERVALUE("-0.000662")</f>
        <v/>
      </c>
      <c r="U2525">
        <f>_xlfn.NUMBERVALUE("-0.000188")</f>
        <v/>
      </c>
      <c r="V2525">
        <f>_xlfn.NUMBERVALUE("0.001327")</f>
        <v/>
      </c>
      <c r="W2525">
        <f>_xlfn.NUMBERVALUE("0.000293")</f>
        <v/>
      </c>
      <c r="X2525">
        <f>_xlfn.NUMBERVALUE("-0.350000")</f>
        <v/>
      </c>
      <c r="Y2525">
        <f>_xlfn.NUMBERVALUE("19.190000")</f>
        <v/>
      </c>
    </row>
    <row r="2526">
      <c r="A2526" s="1" t="n">
        <v>45671</v>
      </c>
      <c r="B2526">
        <f>_xlfn.NUMBERVALUE("0.000935")</f>
        <v/>
      </c>
      <c r="C2526" s="2">
        <f>_xlfn.NUMBERVALUE("-0.000867")</f>
        <v/>
      </c>
      <c r="D2526">
        <f>_xlfn.NUMBERVALUE("-0.001860")</f>
        <v/>
      </c>
      <c r="E2526">
        <f>_xlfn.NUMBERVALUE("0.001793")</f>
        <v/>
      </c>
      <c r="F2526">
        <f>_xlfn.NUMBERVALUE("0.000692")</f>
        <v/>
      </c>
      <c r="G2526">
        <f>_xlfn.NUMBERVALUE("0.001081")</f>
        <v/>
      </c>
      <c r="H2526">
        <f>_xlfn.NUMBERVALUE("0.000327")</f>
        <v/>
      </c>
      <c r="I2526">
        <f>_xlfn.NUMBERVALUE("-0.000737")</f>
        <v/>
      </c>
      <c r="J2526">
        <f>_xlfn.NUMBERVALUE("0.001134")</f>
        <v/>
      </c>
      <c r="K2526">
        <f>_xlfn.NUMBERVALUE("0.000391")</f>
        <v/>
      </c>
      <c r="L2526">
        <f>_xlfn.NUMBERVALUE("0.000698")</f>
        <v/>
      </c>
      <c r="M2526">
        <f>_xlfn.NUMBERVALUE("-0.002775")</f>
        <v/>
      </c>
      <c r="N2526">
        <f>_xlfn.NUMBERVALUE("0.000181")</f>
        <v/>
      </c>
      <c r="O2526">
        <f>_xlfn.NUMBERVALUE("0.001718")</f>
        <v/>
      </c>
      <c r="P2526">
        <f>_xlfn.NUMBERVALUE("-0.001610")</f>
        <v/>
      </c>
      <c r="Q2526">
        <f>_xlfn.NUMBERVALUE("-0.002918")</f>
        <v/>
      </c>
      <c r="R2526">
        <f>_xlfn.NUMBERVALUE("-0.001003")</f>
        <v/>
      </c>
      <c r="S2526">
        <f>_xlfn.NUMBERVALUE("0.001240")</f>
        <v/>
      </c>
      <c r="T2526">
        <f>_xlfn.NUMBERVALUE("-0.003255")</f>
        <v/>
      </c>
      <c r="U2526">
        <f>_xlfn.NUMBERVALUE("-0.001811")</f>
        <v/>
      </c>
      <c r="V2526">
        <f>_xlfn.NUMBERVALUE("0.000250")</f>
        <v/>
      </c>
      <c r="W2526">
        <f>_xlfn.NUMBERVALUE("0.000034")</f>
        <v/>
      </c>
      <c r="X2526">
        <f>_xlfn.NUMBERVALUE("-0.480000")</f>
        <v/>
      </c>
      <c r="Y2526">
        <f>_xlfn.NUMBERVALUE("18.710000")</f>
        <v/>
      </c>
    </row>
    <row r="2527">
      <c r="A2527" s="1" t="n">
        <v>45672</v>
      </c>
      <c r="B2527">
        <f>_xlfn.NUMBERVALUE("0.002229")</f>
        <v/>
      </c>
      <c r="C2527" s="2">
        <f>_xlfn.NUMBERVALUE("-0.001428")</f>
        <v/>
      </c>
      <c r="D2527">
        <f>_xlfn.NUMBERVALUE("0.001846")</f>
        <v/>
      </c>
      <c r="E2527">
        <f>_xlfn.NUMBERVALUE("-0.000820")</f>
        <v/>
      </c>
      <c r="F2527">
        <f>_xlfn.NUMBERVALUE("-0.000879")</f>
        <v/>
      </c>
      <c r="G2527">
        <f>_xlfn.NUMBERVALUE("-0.002054")</f>
        <v/>
      </c>
      <c r="H2527">
        <f>_xlfn.NUMBERVALUE("-0.000812")</f>
        <v/>
      </c>
      <c r="I2527">
        <f>_xlfn.NUMBERVALUE("0.003055")</f>
        <v/>
      </c>
      <c r="J2527">
        <f>_xlfn.NUMBERVALUE("-0.001483")</f>
        <v/>
      </c>
      <c r="K2527">
        <f>_xlfn.NUMBERVALUE("-0.004153")</f>
        <v/>
      </c>
      <c r="L2527">
        <f>_xlfn.NUMBERVALUE("-0.000441")</f>
        <v/>
      </c>
      <c r="M2527">
        <f>_xlfn.NUMBERVALUE("0.003037")</f>
        <v/>
      </c>
      <c r="N2527">
        <f>_xlfn.NUMBERVALUE("0.000235")</f>
        <v/>
      </c>
      <c r="O2527">
        <f>_xlfn.NUMBERVALUE("0.001068")</f>
        <v/>
      </c>
      <c r="P2527">
        <f>_xlfn.NUMBERVALUE("-0.003472")</f>
        <v/>
      </c>
      <c r="Q2527">
        <f>_xlfn.NUMBERVALUE("0.001033")</f>
        <v/>
      </c>
      <c r="R2527">
        <f>_xlfn.NUMBERVALUE("0.002414")</f>
        <v/>
      </c>
      <c r="S2527">
        <f>_xlfn.NUMBERVALUE("0.002996")</f>
        <v/>
      </c>
      <c r="T2527">
        <f>_xlfn.NUMBERVALUE("0.002302")</f>
        <v/>
      </c>
      <c r="U2527">
        <f>_xlfn.NUMBERVALUE("0.000889")</f>
        <v/>
      </c>
      <c r="V2527">
        <f>_xlfn.NUMBERVALUE("-0.002078")</f>
        <v/>
      </c>
      <c r="W2527">
        <f>_xlfn.NUMBERVALUE("0.022901")</f>
        <v/>
      </c>
      <c r="X2527">
        <f>_xlfn.NUMBERVALUE("-2.590000")</f>
        <v/>
      </c>
      <c r="Y2527">
        <f>_xlfn.NUMBERVALUE("16.120000")</f>
        <v/>
      </c>
    </row>
    <row r="2528">
      <c r="A2528" s="1" t="n">
        <v>45673</v>
      </c>
      <c r="B2528">
        <f>_xlfn.NUMBERVALUE("0.002700")</f>
        <v/>
      </c>
      <c r="C2528" s="2">
        <f>_xlfn.NUMBERVALUE("0.000955")</f>
        <v/>
      </c>
      <c r="D2528">
        <f>_xlfn.NUMBERVALUE("0.000899")</f>
        <v/>
      </c>
      <c r="E2528">
        <f>_xlfn.NUMBERVALUE("0.001478")</f>
        <v/>
      </c>
      <c r="F2528">
        <f>_xlfn.NUMBERVALUE("-0.000226")</f>
        <v/>
      </c>
      <c r="G2528">
        <f>_xlfn.NUMBERVALUE("-0.000529")</f>
        <v/>
      </c>
      <c r="H2528">
        <f>_xlfn.NUMBERVALUE("0.000227")</f>
        <v/>
      </c>
      <c r="I2528">
        <f>_xlfn.NUMBERVALUE("0.002746")</f>
        <v/>
      </c>
      <c r="J2528">
        <f>_xlfn.NUMBERVALUE("0.000033")</f>
        <v/>
      </c>
      <c r="K2528">
        <f>_xlfn.NUMBERVALUE("0.000127")</f>
        <v/>
      </c>
      <c r="L2528">
        <f>_xlfn.NUMBERVALUE("0.000902")</f>
        <v/>
      </c>
      <c r="M2528">
        <f>_xlfn.NUMBERVALUE("-0.000324")</f>
        <v/>
      </c>
      <c r="N2528">
        <f>_xlfn.NUMBERVALUE("-0.000175")</f>
        <v/>
      </c>
      <c r="O2528">
        <f>_xlfn.NUMBERVALUE("-0.000120")</f>
        <v/>
      </c>
      <c r="P2528">
        <f>_xlfn.NUMBERVALUE("0.001405")</f>
        <v/>
      </c>
      <c r="Q2528">
        <f>_xlfn.NUMBERVALUE("-0.000840")</f>
        <v/>
      </c>
      <c r="R2528">
        <f>_xlfn.NUMBERVALUE("0.002447")</f>
        <v/>
      </c>
      <c r="S2528">
        <f>_xlfn.NUMBERVALUE("0.000050")</f>
        <v/>
      </c>
      <c r="T2528">
        <f>_xlfn.NUMBERVALUE("-0.003533")</f>
        <v/>
      </c>
      <c r="U2528">
        <f>_xlfn.NUMBERVALUE("0.000456")</f>
        <v/>
      </c>
      <c r="V2528">
        <f>_xlfn.NUMBERVALUE("0.000854")</f>
        <v/>
      </c>
      <c r="W2528">
        <f>_xlfn.NUMBERVALUE("-0.001213")</f>
        <v/>
      </c>
      <c r="X2528">
        <f>_xlfn.NUMBERVALUE("0.480000")</f>
        <v/>
      </c>
      <c r="Y2528">
        <f>_xlfn.NUMBERVALUE("16.600000")</f>
        <v/>
      </c>
    </row>
    <row r="2529">
      <c r="A2529" s="1" t="n">
        <v>45674</v>
      </c>
      <c r="B2529">
        <f>_xlfn.NUMBERVALUE("0.003099")</f>
        <v/>
      </c>
      <c r="C2529" s="2">
        <f>_xlfn.NUMBERVALUE("-0.000552")</f>
        <v/>
      </c>
      <c r="D2529">
        <f>_xlfn.NUMBERVALUE("-0.001771")</f>
        <v/>
      </c>
      <c r="E2529">
        <f>_xlfn.NUMBERVALUE("0.000255")</f>
        <v/>
      </c>
      <c r="F2529">
        <f>_xlfn.NUMBERVALUE("0.000724")</f>
        <v/>
      </c>
      <c r="G2529">
        <f>_xlfn.NUMBERVALUE("-0.000288")</f>
        <v/>
      </c>
      <c r="H2529">
        <f>_xlfn.NUMBERVALUE("0.000320")</f>
        <v/>
      </c>
      <c r="I2529">
        <f>_xlfn.NUMBERVALUE("0.000468")</f>
        <v/>
      </c>
      <c r="J2529">
        <f>_xlfn.NUMBERVALUE("0.000639")</f>
        <v/>
      </c>
      <c r="K2529">
        <f>_xlfn.NUMBERVALUE("-0.000879")</f>
        <v/>
      </c>
      <c r="L2529">
        <f>_xlfn.NUMBERVALUE("0.000207")</f>
        <v/>
      </c>
      <c r="M2529">
        <f>_xlfn.NUMBERVALUE("-0.000402")</f>
        <v/>
      </c>
      <c r="N2529">
        <f>_xlfn.NUMBERVALUE("0.000157")</f>
        <v/>
      </c>
      <c r="O2529">
        <f>_xlfn.NUMBERVALUE("0.000183")</f>
        <v/>
      </c>
      <c r="P2529">
        <f>_xlfn.NUMBERVALUE("-0.001404")</f>
        <v/>
      </c>
      <c r="Q2529">
        <f>_xlfn.NUMBERVALUE("-0.000311")</f>
        <v/>
      </c>
      <c r="R2529">
        <f>_xlfn.NUMBERVALUE("-0.001763")</f>
        <v/>
      </c>
      <c r="S2529">
        <f>_xlfn.NUMBERVALUE("0.000665")</f>
        <v/>
      </c>
      <c r="T2529">
        <f>_xlfn.NUMBERVALUE("0.001171")</f>
        <v/>
      </c>
      <c r="U2529">
        <f>_xlfn.NUMBERVALUE("-0.000753")</f>
        <v/>
      </c>
      <c r="V2529">
        <f>_xlfn.NUMBERVALUE("-0.001537")</f>
        <v/>
      </c>
      <c r="W2529">
        <f>_xlfn.NUMBERVALUE("0.009057")</f>
        <v/>
      </c>
      <c r="X2529">
        <f>_xlfn.NUMBERVALUE("-0.630000")</f>
        <v/>
      </c>
      <c r="Y2529">
        <f>_xlfn.NUMBERVALUE("15.970000")</f>
        <v/>
      </c>
    </row>
    <row r="2530">
      <c r="A2530" s="1" t="n">
        <v>45678</v>
      </c>
      <c r="B2530">
        <f>_xlfn.NUMBERVALUE("-0.000084")</f>
        <v/>
      </c>
      <c r="C2530" s="2">
        <f>_xlfn.NUMBERVALUE("0.000810")</f>
        <v/>
      </c>
      <c r="D2530">
        <f>_xlfn.NUMBERVALUE("0.001478")</f>
        <v/>
      </c>
      <c r="E2530">
        <f>_xlfn.NUMBERVALUE("-0.004708")</f>
        <v/>
      </c>
      <c r="F2530">
        <f>_xlfn.NUMBERVALUE("-0.000210")</f>
        <v/>
      </c>
      <c r="G2530">
        <f>_xlfn.NUMBERVALUE("0.001599")</f>
        <v/>
      </c>
      <c r="H2530">
        <f>_xlfn.NUMBERVALUE("0.000964")</f>
        <v/>
      </c>
      <c r="I2530">
        <f>_xlfn.NUMBERVALUE("-0.000065")</f>
        <v/>
      </c>
      <c r="J2530">
        <f>_xlfn.NUMBERVALUE("0.000628")</f>
        <v/>
      </c>
      <c r="K2530">
        <f>_xlfn.NUMBERVALUE("0.002045")</f>
        <v/>
      </c>
      <c r="L2530">
        <f>_xlfn.NUMBERVALUE("0.001319")</f>
        <v/>
      </c>
      <c r="M2530">
        <f>_xlfn.NUMBERVALUE("0.000227")</f>
        <v/>
      </c>
      <c r="N2530">
        <f>_xlfn.NUMBERVALUE("0.000568")</f>
        <v/>
      </c>
      <c r="O2530">
        <f>_xlfn.NUMBERVALUE("0.003499")</f>
        <v/>
      </c>
      <c r="P2530">
        <f>_xlfn.NUMBERVALUE("0.001421")</f>
        <v/>
      </c>
      <c r="Q2530">
        <f>_xlfn.NUMBERVALUE("-0.000170")</f>
        <v/>
      </c>
      <c r="R2530">
        <f>_xlfn.NUMBERVALUE("0.001941")</f>
        <v/>
      </c>
      <c r="S2530">
        <f>_xlfn.NUMBERVALUE("0.001086")</f>
        <v/>
      </c>
      <c r="T2530">
        <f>_xlfn.NUMBERVALUE("-0.001846")</f>
        <v/>
      </c>
      <c r="U2530">
        <f>_xlfn.NUMBERVALUE("0.001840")</f>
        <v/>
      </c>
      <c r="V2530">
        <f>_xlfn.NUMBERVALUE("0.002006")</f>
        <v/>
      </c>
      <c r="W2530">
        <f>_xlfn.NUMBERVALUE("0.007004")</f>
        <v/>
      </c>
      <c r="X2530">
        <f>_xlfn.NUMBERVALUE("-0.910000")</f>
        <v/>
      </c>
      <c r="Y2530">
        <f>_xlfn.NUMBERVALUE("15.060000")</f>
        <v/>
      </c>
    </row>
    <row r="2531">
      <c r="A2531" s="1" t="n">
        <v>45679</v>
      </c>
      <c r="B2531">
        <f>_xlfn.NUMBERVALUE("0.004449")</f>
        <v/>
      </c>
      <c r="C2531" s="2">
        <f>_xlfn.NUMBERVALUE("-0.000890")</f>
        <v/>
      </c>
      <c r="D2531">
        <f>_xlfn.NUMBERVALUE("0.000508")</f>
        <v/>
      </c>
      <c r="E2531">
        <f>_xlfn.NUMBERVALUE("-0.000728")</f>
        <v/>
      </c>
      <c r="F2531">
        <f>_xlfn.NUMBERVALUE("-0.000138")</f>
        <v/>
      </c>
      <c r="G2531">
        <f>_xlfn.NUMBERVALUE("0.000771")</f>
        <v/>
      </c>
      <c r="H2531">
        <f>_xlfn.NUMBERVALUE("0.001116")</f>
        <v/>
      </c>
      <c r="I2531">
        <f>_xlfn.NUMBERVALUE("0.001600")</f>
        <v/>
      </c>
      <c r="J2531">
        <f>_xlfn.NUMBERVALUE("0.000296")</f>
        <v/>
      </c>
      <c r="K2531">
        <f>_xlfn.NUMBERVALUE("0.003565")</f>
        <v/>
      </c>
      <c r="L2531">
        <f>_xlfn.NUMBERVALUE("0.002056")</f>
        <v/>
      </c>
      <c r="M2531">
        <f>_xlfn.NUMBERVALUE("0.000891")</f>
        <v/>
      </c>
      <c r="N2531">
        <f>_xlfn.NUMBERVALUE("-0.000888")</f>
        <v/>
      </c>
      <c r="O2531">
        <f>_xlfn.NUMBERVALUE("-0.000028")</f>
        <v/>
      </c>
      <c r="P2531">
        <f>_xlfn.NUMBERVALUE("0.001291")</f>
        <v/>
      </c>
      <c r="Q2531">
        <f>_xlfn.NUMBERVALUE("-0.000513")</f>
        <v/>
      </c>
      <c r="R2531">
        <f>_xlfn.NUMBERVALUE("-0.004496")</f>
        <v/>
      </c>
      <c r="S2531">
        <f>_xlfn.NUMBERVALUE("0.001175")</f>
        <v/>
      </c>
      <c r="T2531">
        <f>_xlfn.NUMBERVALUE("-0.001632")</f>
        <v/>
      </c>
      <c r="U2531">
        <f>_xlfn.NUMBERVALUE("0.002227")</f>
        <v/>
      </c>
      <c r="V2531">
        <f>_xlfn.NUMBERVALUE("-0.000317")</f>
        <v/>
      </c>
      <c r="W2531">
        <f>_xlfn.NUMBERVALUE("0.007519")</f>
        <v/>
      </c>
      <c r="X2531">
        <f>_xlfn.NUMBERVALUE("0.040000")</f>
        <v/>
      </c>
      <c r="Y2531">
        <f>_xlfn.NUMBERVALUE("15.100000")</f>
        <v/>
      </c>
    </row>
    <row r="2532">
      <c r="A2532" s="1" t="n">
        <v>45680</v>
      </c>
      <c r="B2532">
        <f>_xlfn.NUMBERVALUE("0.003093")</f>
        <v/>
      </c>
      <c r="C2532" s="2">
        <f>_xlfn.NUMBERVALUE("-0.000273")</f>
        <v/>
      </c>
      <c r="D2532">
        <f>_xlfn.NUMBERVALUE("0.001578")</f>
        <v/>
      </c>
      <c r="E2532">
        <f>_xlfn.NUMBERVALUE("0.001115")</f>
        <v/>
      </c>
      <c r="F2532">
        <f>_xlfn.NUMBERVALUE("0.000859")</f>
        <v/>
      </c>
      <c r="G2532">
        <f>_xlfn.NUMBERVALUE("0.000745")</f>
        <v/>
      </c>
      <c r="H2532">
        <f>_xlfn.NUMBERVALUE("-0.000022")</f>
        <v/>
      </c>
      <c r="I2532">
        <f>_xlfn.NUMBERVALUE("0.001154")</f>
        <v/>
      </c>
      <c r="J2532">
        <f>_xlfn.NUMBERVALUE("0.000354")</f>
        <v/>
      </c>
      <c r="K2532">
        <f>_xlfn.NUMBERVALUE("0.002221")</f>
        <v/>
      </c>
      <c r="L2532">
        <f>_xlfn.NUMBERVALUE("0.000409")</f>
        <v/>
      </c>
      <c r="M2532">
        <f>_xlfn.NUMBERVALUE("0.000151")</f>
        <v/>
      </c>
      <c r="N2532">
        <f>_xlfn.NUMBERVALUE("0.001246")</f>
        <v/>
      </c>
      <c r="O2532">
        <f>_xlfn.NUMBERVALUE("-0.000608")</f>
        <v/>
      </c>
      <c r="P2532">
        <f>_xlfn.NUMBERVALUE("0.000442")</f>
        <v/>
      </c>
      <c r="Q2532">
        <f>_xlfn.NUMBERVALUE("0.000698")</f>
        <v/>
      </c>
      <c r="R2532">
        <f>_xlfn.NUMBERVALUE("0.000969")</f>
        <v/>
      </c>
      <c r="S2532">
        <f>_xlfn.NUMBERVALUE("0.000750")</f>
        <v/>
      </c>
      <c r="T2532">
        <f>_xlfn.NUMBERVALUE("0.000802")</f>
        <v/>
      </c>
      <c r="U2532">
        <f>_xlfn.NUMBERVALUE("0.000430")</f>
        <v/>
      </c>
      <c r="V2532">
        <f>_xlfn.NUMBERVALUE("0.000565")</f>
        <v/>
      </c>
      <c r="W2532">
        <f>_xlfn.NUMBERVALUE("0.001582")</f>
        <v/>
      </c>
      <c r="X2532">
        <f>_xlfn.NUMBERVALUE("-0.080000")</f>
        <v/>
      </c>
      <c r="Y2532">
        <f>_xlfn.NUMBERVALUE("15.020000")</f>
        <v/>
      </c>
    </row>
    <row r="2533">
      <c r="A2533" s="1" t="n">
        <v>45681</v>
      </c>
      <c r="B2533">
        <f>_xlfn.NUMBERVALUE("0.004420")</f>
        <v/>
      </c>
      <c r="C2533" s="2">
        <f>_xlfn.NUMBERVALUE("0.001015")</f>
        <v/>
      </c>
      <c r="D2533">
        <f>_xlfn.NUMBERVALUE("0.000034")</f>
        <v/>
      </c>
      <c r="E2533">
        <f>_xlfn.NUMBERVALUE("0.001308")</f>
        <v/>
      </c>
      <c r="F2533">
        <f>_xlfn.NUMBERVALUE("-0.000098")</f>
        <v/>
      </c>
      <c r="G2533">
        <f>_xlfn.NUMBERVALUE("0.000364")</f>
        <v/>
      </c>
      <c r="H2533">
        <f>_xlfn.NUMBERVALUE("0.000981")</f>
        <v/>
      </c>
      <c r="I2533">
        <f>_xlfn.NUMBERVALUE("0.001129")</f>
        <v/>
      </c>
      <c r="J2533">
        <f>_xlfn.NUMBERVALUE("0.000676")</f>
        <v/>
      </c>
      <c r="K2533">
        <f>_xlfn.NUMBERVALUE("-0.000529")</f>
        <v/>
      </c>
      <c r="L2533">
        <f>_xlfn.NUMBERVALUE("0.001508")</f>
        <v/>
      </c>
      <c r="M2533">
        <f>_xlfn.NUMBERVALUE("0.000413")</f>
        <v/>
      </c>
      <c r="N2533">
        <f>_xlfn.NUMBERVALUE("-0.002979")</f>
        <v/>
      </c>
      <c r="O2533">
        <f>_xlfn.NUMBERVALUE("0.001351")</f>
        <v/>
      </c>
      <c r="P2533">
        <f>_xlfn.NUMBERVALUE("0.000710")</f>
        <v/>
      </c>
      <c r="Q2533">
        <f>_xlfn.NUMBERVALUE("0.000350")</f>
        <v/>
      </c>
      <c r="R2533">
        <f>_xlfn.NUMBERVALUE("0.000908")</f>
        <v/>
      </c>
      <c r="S2533">
        <f>_xlfn.NUMBERVALUE("-0.000049")</f>
        <v/>
      </c>
      <c r="T2533">
        <f>_xlfn.NUMBERVALUE("0.001124")</f>
        <v/>
      </c>
      <c r="U2533">
        <f>_xlfn.NUMBERVALUE("0.000896")</f>
        <v/>
      </c>
      <c r="V2533">
        <f>_xlfn.NUMBERVALUE("0.000939")</f>
        <v/>
      </c>
      <c r="W2533">
        <f>_xlfn.NUMBERVALUE("-0.001332")</f>
        <v/>
      </c>
      <c r="X2533">
        <f>_xlfn.NUMBERVALUE("-0.170000")</f>
        <v/>
      </c>
      <c r="Y2533">
        <f>_xlfn.NUMBERVALUE("14.850000")</f>
        <v/>
      </c>
    </row>
    <row r="2534">
      <c r="A2534" s="1" t="n">
        <v>45684</v>
      </c>
      <c r="B2534">
        <f>_xlfn.NUMBERVALUE("-0.002262")</f>
        <v/>
      </c>
      <c r="C2534" s="2">
        <f>_xlfn.NUMBERVALUE("0.000282")</f>
        <v/>
      </c>
      <c r="D2534">
        <f>_xlfn.NUMBERVALUE("-0.003371")</f>
        <v/>
      </c>
      <c r="E2534">
        <f>_xlfn.NUMBERVALUE("-0.000628")</f>
        <v/>
      </c>
      <c r="F2534">
        <f>_xlfn.NUMBERVALUE("0.000477")</f>
        <v/>
      </c>
      <c r="G2534">
        <f>_xlfn.NUMBERVALUE("-0.000406")</f>
        <v/>
      </c>
      <c r="H2534">
        <f>_xlfn.NUMBERVALUE("-0.001781")</f>
        <v/>
      </c>
      <c r="I2534">
        <f>_xlfn.NUMBERVALUE("-0.001134")</f>
        <v/>
      </c>
      <c r="J2534">
        <f>_xlfn.NUMBERVALUE("-0.000580")</f>
        <v/>
      </c>
      <c r="K2534">
        <f>_xlfn.NUMBERVALUE("-0.000703")</f>
        <v/>
      </c>
      <c r="L2534">
        <f>_xlfn.NUMBERVALUE("-0.002710")</f>
        <v/>
      </c>
      <c r="M2534">
        <f>_xlfn.NUMBERVALUE("-0.000528")</f>
        <v/>
      </c>
      <c r="N2534">
        <f>_xlfn.NUMBERVALUE("-0.004530")</f>
        <v/>
      </c>
      <c r="O2534">
        <f>_xlfn.NUMBERVALUE("-0.003793")</f>
        <v/>
      </c>
      <c r="P2534">
        <f>_xlfn.NUMBERVALUE("-0.000885")</f>
        <v/>
      </c>
      <c r="Q2534">
        <f>_xlfn.NUMBERVALUE("-0.001049")</f>
        <v/>
      </c>
      <c r="R2534">
        <f>_xlfn.NUMBERVALUE("-0.017795")</f>
        <v/>
      </c>
      <c r="S2534">
        <f>_xlfn.NUMBERVALUE("-0.007443")</f>
        <v/>
      </c>
      <c r="T2534">
        <f>_xlfn.NUMBERVALUE("-0.006329")</f>
        <v/>
      </c>
      <c r="U2534">
        <f>_xlfn.NUMBERVALUE("-0.002854")</f>
        <v/>
      </c>
      <c r="V2534">
        <f>_xlfn.NUMBERVALUE("-0.003595")</f>
        <v/>
      </c>
      <c r="W2534">
        <f>_xlfn.NUMBERVALUE("-0.014544")</f>
        <v/>
      </c>
      <c r="X2534">
        <f>_xlfn.NUMBERVALUE("3.050000")</f>
        <v/>
      </c>
      <c r="Y2534">
        <f>_xlfn.NUMBERVALUE("17.900000")</f>
        <v/>
      </c>
    </row>
    <row r="2535">
      <c r="A2535" s="1" t="n">
        <v>45685</v>
      </c>
      <c r="B2535">
        <f>_xlfn.NUMBERVALUE("0.002459")</f>
        <v/>
      </c>
      <c r="C2535" s="2">
        <f>_xlfn.NUMBERVALUE("-0.000171")</f>
        <v/>
      </c>
      <c r="D2535">
        <f>_xlfn.NUMBERVALUE("0.001433")</f>
        <v/>
      </c>
      <c r="E2535">
        <f>_xlfn.NUMBERVALUE("0.000836")</f>
        <v/>
      </c>
      <c r="F2535">
        <f>_xlfn.NUMBERVALUE("-0.000530")</f>
        <v/>
      </c>
      <c r="G2535">
        <f>_xlfn.NUMBERVALUE("0.001355")</f>
        <v/>
      </c>
      <c r="H2535">
        <f>_xlfn.NUMBERVALUE("0.001017")</f>
        <v/>
      </c>
      <c r="I2535">
        <f>_xlfn.NUMBERVALUE("0.002711")</f>
        <v/>
      </c>
      <c r="J2535">
        <f>_xlfn.NUMBERVALUE("0.000406")</f>
        <v/>
      </c>
      <c r="K2535">
        <f>_xlfn.NUMBERVALUE("0.000021")</f>
        <v/>
      </c>
      <c r="L2535">
        <f>_xlfn.NUMBERVALUE("0.002074")</f>
        <v/>
      </c>
      <c r="M2535">
        <f>_xlfn.NUMBERVALUE("0.003138")</f>
        <v/>
      </c>
      <c r="N2535">
        <f>_xlfn.NUMBERVALUE("0.001798")</f>
        <v/>
      </c>
      <c r="O2535">
        <f>_xlfn.NUMBERVALUE("0.002943")</f>
        <v/>
      </c>
      <c r="P2535">
        <f>_xlfn.NUMBERVALUE("0.000425")</f>
        <v/>
      </c>
      <c r="Q2535">
        <f>_xlfn.NUMBERVALUE("0.000328")</f>
        <v/>
      </c>
      <c r="R2535">
        <f>_xlfn.NUMBERVALUE("-0.003489")</f>
        <v/>
      </c>
      <c r="S2535">
        <f>_xlfn.NUMBERVALUE("-0.000209")</f>
        <v/>
      </c>
      <c r="T2535">
        <f>_xlfn.NUMBERVALUE("0.002683")</f>
        <v/>
      </c>
      <c r="U2535">
        <f>_xlfn.NUMBERVALUE("0.002397")</f>
        <v/>
      </c>
      <c r="V2535">
        <f>_xlfn.NUMBERVALUE("-0.000220")</f>
        <v/>
      </c>
      <c r="W2535">
        <f>_xlfn.NUMBERVALUE("0.011432")</f>
        <v/>
      </c>
      <c r="X2535">
        <f>_xlfn.NUMBERVALUE("-1.490000")</f>
        <v/>
      </c>
      <c r="Y2535">
        <f>_xlfn.NUMBERVALUE("16.410000")</f>
        <v/>
      </c>
    </row>
    <row r="2536">
      <c r="A2536" s="1" t="n">
        <v>45686</v>
      </c>
      <c r="B2536">
        <f>_xlfn.NUMBERVALUE("0.012773")</f>
        <v/>
      </c>
      <c r="C2536" s="2">
        <f>_xlfn.NUMBERVALUE("0.001205")</f>
        <v/>
      </c>
      <c r="D2536">
        <f>_xlfn.NUMBERVALUE("-0.001807")</f>
        <v/>
      </c>
      <c r="E2536">
        <f>_xlfn.NUMBERVALUE("-0.000908")</f>
        <v/>
      </c>
      <c r="F2536">
        <f>_xlfn.NUMBERVALUE("0.000610")</f>
        <v/>
      </c>
      <c r="G2536">
        <f>_xlfn.NUMBERVALUE("-0.000321")</f>
        <v/>
      </c>
      <c r="H2536">
        <f>_xlfn.NUMBERVALUE("0.000496")</f>
        <v/>
      </c>
      <c r="I2536">
        <f>_xlfn.NUMBERVALUE("0.001750")</f>
        <v/>
      </c>
      <c r="J2536">
        <f>_xlfn.NUMBERVALUE("0.000237")</f>
        <v/>
      </c>
      <c r="K2536">
        <f>_xlfn.NUMBERVALUE("0.001094")</f>
        <v/>
      </c>
      <c r="L2536">
        <f>_xlfn.NUMBERVALUE("0.001147")</f>
        <v/>
      </c>
      <c r="M2536">
        <f>_xlfn.NUMBERVALUE("0.000624")</f>
        <v/>
      </c>
      <c r="N2536">
        <f>_xlfn.NUMBERVALUE("-0.000142")</f>
        <v/>
      </c>
      <c r="O2536">
        <f>_xlfn.NUMBERVALUE("0.000530")</f>
        <v/>
      </c>
      <c r="P2536">
        <f>_xlfn.NUMBERVALUE("0.000547")</f>
        <v/>
      </c>
      <c r="Q2536">
        <f>_xlfn.NUMBERVALUE("-0.003691")</f>
        <v/>
      </c>
      <c r="R2536">
        <f>_xlfn.NUMBERVALUE("0.000149")</f>
        <v/>
      </c>
      <c r="S2536">
        <f>_xlfn.NUMBERVALUE("-0.000228")</f>
        <v/>
      </c>
      <c r="T2536">
        <f>_xlfn.NUMBERVALUE("0.001211")</f>
        <v/>
      </c>
      <c r="U2536">
        <f>_xlfn.NUMBERVALUE("0.001110")</f>
        <v/>
      </c>
      <c r="V2536">
        <f>_xlfn.NUMBERVALUE("0.001116")</f>
        <v/>
      </c>
      <c r="W2536">
        <f>_xlfn.NUMBERVALUE("-0.005338")</f>
        <v/>
      </c>
      <c r="X2536">
        <f>_xlfn.NUMBERVALUE("0.150000")</f>
        <v/>
      </c>
      <c r="Y2536">
        <f>_xlfn.NUMBERVALUE("16.560000")</f>
        <v/>
      </c>
    </row>
    <row r="2537">
      <c r="A2537" s="1" t="n">
        <v>45687</v>
      </c>
      <c r="B2537">
        <f>_xlfn.NUMBERVALUE("-0.001510")</f>
        <v/>
      </c>
      <c r="C2537" s="2">
        <f>_xlfn.NUMBERVALUE("0.005375")</f>
        <v/>
      </c>
      <c r="D2537">
        <f>_xlfn.NUMBERVALUE("-0.002602")</f>
        <v/>
      </c>
      <c r="E2537">
        <f>_xlfn.NUMBERVALUE("0.000861")</f>
        <v/>
      </c>
      <c r="F2537">
        <f>_xlfn.NUMBERVALUE("-0.000921")</f>
        <v/>
      </c>
      <c r="G2537">
        <f>_xlfn.NUMBERVALUE("0.000364")</f>
        <v/>
      </c>
      <c r="H2537">
        <f>_xlfn.NUMBERVALUE("0.001128")</f>
        <v/>
      </c>
      <c r="I2537">
        <f>_xlfn.NUMBERVALUE("-0.000116")</f>
        <v/>
      </c>
      <c r="J2537">
        <f>_xlfn.NUMBERVALUE("0.000923")</f>
        <v/>
      </c>
      <c r="K2537">
        <f>_xlfn.NUMBERVALUE("-0.007058")</f>
        <v/>
      </c>
      <c r="L2537">
        <f>_xlfn.NUMBERVALUE("0.000953")</f>
        <v/>
      </c>
      <c r="M2537">
        <f>_xlfn.NUMBERVALUE("-0.000456")</f>
        <v/>
      </c>
      <c r="N2537">
        <f>_xlfn.NUMBERVALUE("0.003797")</f>
        <v/>
      </c>
      <c r="O2537">
        <f>_xlfn.NUMBERVALUE("0.000323")</f>
        <v/>
      </c>
      <c r="P2537">
        <f>_xlfn.NUMBERVALUE("0.000403")</f>
        <v/>
      </c>
      <c r="Q2537">
        <f>_xlfn.NUMBERVALUE("0.005569")</f>
        <v/>
      </c>
      <c r="R2537">
        <f>_xlfn.NUMBERVALUE("0.003114")</f>
        <v/>
      </c>
      <c r="S2537">
        <f>_xlfn.NUMBERVALUE("0.000359")</f>
        <v/>
      </c>
      <c r="T2537">
        <f>_xlfn.NUMBERVALUE("-0.000071")</f>
        <v/>
      </c>
      <c r="U2537">
        <f>_xlfn.NUMBERVALUE("-0.002057")</f>
        <v/>
      </c>
      <c r="V2537">
        <f>_xlfn.NUMBERVALUE("0.001391")</f>
        <v/>
      </c>
      <c r="W2537">
        <f>_xlfn.NUMBERVALUE("0.001080")</f>
        <v/>
      </c>
      <c r="X2537">
        <f>_xlfn.NUMBERVALUE("-0.720000")</f>
        <v/>
      </c>
      <c r="Y2537">
        <f>_xlfn.NUMBERVALUE("15.840000")</f>
        <v/>
      </c>
    </row>
    <row r="2538">
      <c r="A2538" s="1" t="n">
        <v>45688</v>
      </c>
      <c r="B2538">
        <f>_xlfn.NUMBERVALUE("0.001127")</f>
        <v/>
      </c>
      <c r="C2538" s="2">
        <f>_xlfn.NUMBERVALUE("-0.005002")</f>
        <v/>
      </c>
      <c r="D2538">
        <f>_xlfn.NUMBERVALUE("0.001451")</f>
        <v/>
      </c>
      <c r="E2538">
        <f>_xlfn.NUMBERVALUE("0.000852")</f>
        <v/>
      </c>
      <c r="F2538">
        <f>_xlfn.NUMBERVALUE("0.000547")</f>
        <v/>
      </c>
      <c r="G2538">
        <f>_xlfn.NUMBERVALUE("-0.000461")</f>
        <v/>
      </c>
      <c r="H2538">
        <f>_xlfn.NUMBERVALUE("0.000190")</f>
        <v/>
      </c>
      <c r="I2538">
        <f>_xlfn.NUMBERVALUE("-0.001170")</f>
        <v/>
      </c>
      <c r="J2538">
        <f>_xlfn.NUMBERVALUE("0.001039")</f>
        <v/>
      </c>
      <c r="K2538">
        <f>_xlfn.NUMBERVALUE("0.003516")</f>
        <v/>
      </c>
      <c r="L2538">
        <f>_xlfn.NUMBERVALUE("0.000357")</f>
        <v/>
      </c>
      <c r="M2538">
        <f>_xlfn.NUMBERVALUE("0.000806")</f>
        <v/>
      </c>
      <c r="N2538">
        <f>_xlfn.NUMBERVALUE("-0.000292")</f>
        <v/>
      </c>
      <c r="O2538">
        <f>_xlfn.NUMBERVALUE("-0.003485")</f>
        <v/>
      </c>
      <c r="P2538">
        <f>_xlfn.NUMBERVALUE("-0.000560")</f>
        <v/>
      </c>
      <c r="Q2538">
        <f>_xlfn.NUMBERVALUE("0.000353")</f>
        <v/>
      </c>
      <c r="R2538">
        <f>_xlfn.NUMBERVALUE("0.001414")</f>
        <v/>
      </c>
      <c r="S2538">
        <f>_xlfn.NUMBERVALUE("0.000762")</f>
        <v/>
      </c>
      <c r="T2538">
        <f>_xlfn.NUMBERVALUE("-0.000292")</f>
        <v/>
      </c>
      <c r="U2538">
        <f>_xlfn.NUMBERVALUE("0.002485")</f>
        <v/>
      </c>
      <c r="V2538">
        <f>_xlfn.NUMBERVALUE("0.000171")</f>
        <v/>
      </c>
      <c r="W2538">
        <f>_xlfn.NUMBERVALUE("-0.001759")</f>
        <v/>
      </c>
      <c r="X2538">
        <f>_xlfn.NUMBERVALUE("0.590000")</f>
        <v/>
      </c>
      <c r="Y2538">
        <f>_xlfn.NUMBERVALUE("16.430000")</f>
        <v/>
      </c>
    </row>
    <row r="2539">
      <c r="A2539" s="1" t="n">
        <v>45691</v>
      </c>
      <c r="B2539">
        <f>_xlfn.NUMBERVALUE("-0.004318")</f>
        <v/>
      </c>
      <c r="C2539" s="2">
        <f>_xlfn.NUMBERVALUE("0.000340")</f>
        <v/>
      </c>
      <c r="D2539">
        <f>_xlfn.NUMBERVALUE("0.001744")</f>
        <v/>
      </c>
      <c r="E2539">
        <f>_xlfn.NUMBERVALUE("-0.000916")</f>
        <v/>
      </c>
      <c r="F2539">
        <f>_xlfn.NUMBERVALUE("0.000281")</f>
        <v/>
      </c>
      <c r="G2539">
        <f>_xlfn.NUMBERVALUE("-0.002669")</f>
        <v/>
      </c>
      <c r="H2539">
        <f>_xlfn.NUMBERVALUE("-0.001311")</f>
        <v/>
      </c>
      <c r="I2539">
        <f>_xlfn.NUMBERVALUE("0.000811")</f>
        <v/>
      </c>
      <c r="J2539">
        <f>_xlfn.NUMBERVALUE("-0.002284")</f>
        <v/>
      </c>
      <c r="K2539">
        <f>_xlfn.NUMBERVALUE("0.001367")</f>
        <v/>
      </c>
      <c r="L2539">
        <f>_xlfn.NUMBERVALUE("-0.002934")</f>
        <v/>
      </c>
      <c r="M2539">
        <f>_xlfn.NUMBERVALUE("0.000722")</f>
        <v/>
      </c>
      <c r="N2539">
        <f>_xlfn.NUMBERVALUE("-0.001212")</f>
        <v/>
      </c>
      <c r="O2539">
        <f>_xlfn.NUMBERVALUE("0.000852")</f>
        <v/>
      </c>
      <c r="P2539">
        <f>_xlfn.NUMBERVALUE("0.000557")</f>
        <v/>
      </c>
      <c r="Q2539">
        <f>_xlfn.NUMBERVALUE("-0.001482")</f>
        <v/>
      </c>
      <c r="R2539">
        <f>_xlfn.NUMBERVALUE("-0.001166")</f>
        <v/>
      </c>
      <c r="S2539">
        <f>_xlfn.NUMBERVALUE("-0.000201")</f>
        <v/>
      </c>
      <c r="T2539">
        <f>_xlfn.NUMBERVALUE("-0.000360")</f>
        <v/>
      </c>
      <c r="U2539">
        <f>_xlfn.NUMBERVALUE("-0.000239")</f>
        <v/>
      </c>
      <c r="V2539">
        <f>_xlfn.NUMBERVALUE("0.000294")</f>
        <v/>
      </c>
      <c r="W2539">
        <f>_xlfn.NUMBERVALUE("-0.005337")</f>
        <v/>
      </c>
      <c r="X2539">
        <f>_xlfn.NUMBERVALUE("2.190000")</f>
        <v/>
      </c>
      <c r="Y2539">
        <f>_xlfn.NUMBERVALUE("18.620000")</f>
        <v/>
      </c>
    </row>
    <row r="2540">
      <c r="A2540" s="1" t="n">
        <v>45692</v>
      </c>
      <c r="B2540">
        <f>_xlfn.NUMBERVALUE("0.004384")</f>
        <v/>
      </c>
      <c r="C2540" s="2">
        <f>_xlfn.NUMBERVALUE("0.000489")</f>
        <v/>
      </c>
      <c r="D2540">
        <f>_xlfn.NUMBERVALUE("-0.003574")</f>
        <v/>
      </c>
      <c r="E2540">
        <f>_xlfn.NUMBERVALUE("0.000250")</f>
        <v/>
      </c>
      <c r="F2540">
        <f>_xlfn.NUMBERVALUE("0.000068")</f>
        <v/>
      </c>
      <c r="G2540">
        <f>_xlfn.NUMBERVALUE("-0.000261")</f>
        <v/>
      </c>
      <c r="H2540">
        <f>_xlfn.NUMBERVALUE("0.000362")</f>
        <v/>
      </c>
      <c r="I2540">
        <f>_xlfn.NUMBERVALUE("0.002075")</f>
        <v/>
      </c>
      <c r="J2540">
        <f>_xlfn.NUMBERVALUE("0.000233")</f>
        <v/>
      </c>
      <c r="K2540">
        <f>_xlfn.NUMBERVALUE("-0.001163")</f>
        <v/>
      </c>
      <c r="L2540">
        <f>_xlfn.NUMBERVALUE("0.000912")</f>
        <v/>
      </c>
      <c r="M2540">
        <f>_xlfn.NUMBERVALUE("0.000626")</f>
        <v/>
      </c>
      <c r="N2540">
        <f>_xlfn.NUMBERVALUE("0.002227")</f>
        <v/>
      </c>
      <c r="O2540">
        <f>_xlfn.NUMBERVALUE("-0.000929")</f>
        <v/>
      </c>
      <c r="P2540">
        <f>_xlfn.NUMBERVALUE("0.001818")</f>
        <v/>
      </c>
      <c r="Q2540">
        <f>_xlfn.NUMBERVALUE("0.004075")</f>
        <v/>
      </c>
      <c r="R2540">
        <f>_xlfn.NUMBERVALUE("0.003559")</f>
        <v/>
      </c>
      <c r="S2540">
        <f>_xlfn.NUMBERVALUE("0.001119")</f>
        <v/>
      </c>
      <c r="T2540">
        <f>_xlfn.NUMBERVALUE("0.002861")</f>
        <v/>
      </c>
      <c r="U2540">
        <f>_xlfn.NUMBERVALUE("0.001713")</f>
        <v/>
      </c>
      <c r="V2540">
        <f>_xlfn.NUMBERVALUE("0.002277")</f>
        <v/>
      </c>
      <c r="W2540">
        <f>_xlfn.NUMBERVALUE("0.005382")</f>
        <v/>
      </c>
      <c r="X2540">
        <f>_xlfn.NUMBERVALUE("-1.410000")</f>
        <v/>
      </c>
      <c r="Y2540">
        <f>_xlfn.NUMBERVALUE("17.210000")</f>
        <v/>
      </c>
    </row>
    <row r="2541">
      <c r="A2541" s="1" t="n">
        <v>45693</v>
      </c>
      <c r="B2541">
        <f>_xlfn.NUMBERVALUE("0.002057")</f>
        <v/>
      </c>
      <c r="C2541" s="2">
        <f>_xlfn.NUMBERVALUE("0.000180")</f>
        <v/>
      </c>
      <c r="D2541">
        <f>_xlfn.NUMBERVALUE("0.002078")</f>
        <v/>
      </c>
      <c r="E2541">
        <f>_xlfn.NUMBERVALUE("-0.000023")</f>
        <v/>
      </c>
      <c r="F2541">
        <f>_xlfn.NUMBERVALUE("0.000255")</f>
        <v/>
      </c>
      <c r="G2541">
        <f>_xlfn.NUMBERVALUE("-0.000201")</f>
        <v/>
      </c>
      <c r="H2541">
        <f>_xlfn.NUMBERVALUE("-0.000174")</f>
        <v/>
      </c>
      <c r="I2541">
        <f>_xlfn.NUMBERVALUE("0.001728")</f>
        <v/>
      </c>
      <c r="J2541">
        <f>_xlfn.NUMBERVALUE("-0.000405")</f>
        <v/>
      </c>
      <c r="K2541">
        <f>_xlfn.NUMBERVALUE("0.000387")</f>
        <v/>
      </c>
      <c r="L2541">
        <f>_xlfn.NUMBERVALUE("-0.002340")</f>
        <v/>
      </c>
      <c r="M2541">
        <f>_xlfn.NUMBERVALUE("0.001803")</f>
        <v/>
      </c>
      <c r="N2541">
        <f>_xlfn.NUMBERVALUE("0.003645")</f>
        <v/>
      </c>
      <c r="O2541">
        <f>_xlfn.NUMBERVALUE("0.002568")</f>
        <v/>
      </c>
      <c r="P2541">
        <f>_xlfn.NUMBERVALUE("-0.000002")</f>
        <v/>
      </c>
      <c r="Q2541">
        <f>_xlfn.NUMBERVALUE("0.002121")</f>
        <v/>
      </c>
      <c r="R2541">
        <f>_xlfn.NUMBERVALUE("0.001950")</f>
        <v/>
      </c>
      <c r="S2541">
        <f>_xlfn.NUMBERVALUE("0.000678")</f>
        <v/>
      </c>
      <c r="T2541">
        <f>_xlfn.NUMBERVALUE("0.000940")</f>
        <v/>
      </c>
      <c r="U2541">
        <f>_xlfn.NUMBERVALUE("0.000533")</f>
        <v/>
      </c>
      <c r="V2541">
        <f>_xlfn.NUMBERVALUE("0.001425")</f>
        <v/>
      </c>
      <c r="W2541">
        <f>_xlfn.NUMBERVALUE("0.002710")</f>
        <v/>
      </c>
      <c r="X2541">
        <f>_xlfn.NUMBERVALUE("-1.440000")</f>
        <v/>
      </c>
      <c r="Y2541">
        <f>_xlfn.NUMBERVALUE("15.770000")</f>
        <v/>
      </c>
    </row>
    <row r="2542">
      <c r="A2542" s="1" t="n">
        <v>45694</v>
      </c>
      <c r="B2542">
        <f>_xlfn.NUMBERVALUE("0.002857")</f>
        <v/>
      </c>
      <c r="C2542" s="2">
        <f>_xlfn.NUMBERVALUE("0.000102")</f>
        <v/>
      </c>
      <c r="D2542">
        <f>_xlfn.NUMBERVALUE("0.001151")</f>
        <v/>
      </c>
      <c r="E2542">
        <f>_xlfn.NUMBERVALUE("0.000111")</f>
        <v/>
      </c>
      <c r="F2542">
        <f>_xlfn.NUMBERVALUE("0.000090")</f>
        <v/>
      </c>
      <c r="G2542">
        <f>_xlfn.NUMBERVALUE("0.000153")</f>
        <v/>
      </c>
      <c r="H2542">
        <f>_xlfn.NUMBERVALUE("0.000003")</f>
        <v/>
      </c>
      <c r="I2542">
        <f>_xlfn.NUMBERVALUE("0.001421")</f>
        <v/>
      </c>
      <c r="J2542">
        <f>_xlfn.NUMBERVALUE("0.000196")</f>
        <v/>
      </c>
      <c r="K2542">
        <f>_xlfn.NUMBERVALUE("0.000293")</f>
        <v/>
      </c>
      <c r="L2542">
        <f>_xlfn.NUMBERVALUE("0.000232")</f>
        <v/>
      </c>
      <c r="M2542">
        <f>_xlfn.NUMBERVALUE("0.000956")</f>
        <v/>
      </c>
      <c r="N2542">
        <f>_xlfn.NUMBERVALUE("-0.001153")</f>
        <v/>
      </c>
      <c r="O2542">
        <f>_xlfn.NUMBERVALUE("-0.004758")</f>
        <v/>
      </c>
      <c r="P2542">
        <f>_xlfn.NUMBERVALUE("-0.000016")</f>
        <v/>
      </c>
      <c r="Q2542">
        <f>_xlfn.NUMBERVALUE("-0.000535")</f>
        <v/>
      </c>
      <c r="R2542">
        <f>_xlfn.NUMBERVALUE("0.002397")</f>
        <v/>
      </c>
      <c r="S2542">
        <f>_xlfn.NUMBERVALUE("0.000545")</f>
        <v/>
      </c>
      <c r="T2542">
        <f>_xlfn.NUMBERVALUE("-0.000773")</f>
        <v/>
      </c>
      <c r="U2542">
        <f>_xlfn.NUMBERVALUE("0.004148")</f>
        <v/>
      </c>
      <c r="V2542">
        <f>_xlfn.NUMBERVALUE("0.000555")</f>
        <v/>
      </c>
      <c r="W2542">
        <f>_xlfn.NUMBERVALUE("0.003299")</f>
        <v/>
      </c>
      <c r="X2542">
        <f>_xlfn.NUMBERVALUE("-0.270000")</f>
        <v/>
      </c>
      <c r="Y2542">
        <f>_xlfn.NUMBERVALUE("15.500000")</f>
        <v/>
      </c>
    </row>
    <row r="2543">
      <c r="A2543" s="1" t="n">
        <v>45695</v>
      </c>
      <c r="B2543">
        <f>_xlfn.NUMBERVALUE("-0.000616")</f>
        <v/>
      </c>
      <c r="C2543" s="2">
        <f>_xlfn.NUMBERVALUE("0.000117")</f>
        <v/>
      </c>
      <c r="D2543">
        <f>_xlfn.NUMBERVALUE("0.000009")</f>
        <v/>
      </c>
      <c r="E2543">
        <f>_xlfn.NUMBERVALUE("-0.000007")</f>
        <v/>
      </c>
      <c r="F2543">
        <f>_xlfn.NUMBERVALUE("-0.000007")</f>
        <v/>
      </c>
      <c r="G2543">
        <f>_xlfn.NUMBERVALUE("-0.000000")</f>
        <v/>
      </c>
      <c r="H2543">
        <f>_xlfn.NUMBERVALUE("-0.000002")</f>
        <v/>
      </c>
      <c r="I2543">
        <f>_xlfn.NUMBERVALUE("0.003420")</f>
        <v/>
      </c>
      <c r="J2543">
        <f>_xlfn.NUMBERVALUE("0.000218")</f>
        <v/>
      </c>
      <c r="K2543">
        <f>_xlfn.NUMBERVALUE("-0.000188")</f>
        <v/>
      </c>
      <c r="L2543">
        <f>_xlfn.NUMBERVALUE("0.000448")</f>
        <v/>
      </c>
      <c r="M2543">
        <f>_xlfn.NUMBERVALUE("-0.001173")</f>
        <v/>
      </c>
      <c r="N2543">
        <f>_xlfn.NUMBERVALUE("0.000596")</f>
        <v/>
      </c>
      <c r="O2543">
        <f>_xlfn.NUMBERVALUE("0.002941")</f>
        <v/>
      </c>
      <c r="P2543">
        <f>_xlfn.NUMBERVALUE("-0.000189")</f>
        <v/>
      </c>
      <c r="Q2543">
        <f>_xlfn.NUMBERVALUE("0.000848")</f>
        <v/>
      </c>
      <c r="R2543">
        <f>_xlfn.NUMBERVALUE("0.000748")</f>
        <v/>
      </c>
      <c r="S2543">
        <f>_xlfn.NUMBERVALUE("0.000428")</f>
        <v/>
      </c>
      <c r="T2543">
        <f>_xlfn.NUMBERVALUE("0.001841")</f>
        <v/>
      </c>
      <c r="U2543">
        <f>_xlfn.NUMBERVALUE("0.000189")</f>
        <v/>
      </c>
      <c r="V2543">
        <f>_xlfn.NUMBERVALUE("0.000428")</f>
        <v/>
      </c>
      <c r="W2543">
        <f>_xlfn.NUMBERVALUE("-0.003636")</f>
        <v/>
      </c>
      <c r="X2543">
        <f>_xlfn.NUMBERVALUE("1.040000")</f>
        <v/>
      </c>
      <c r="Y2543">
        <f>_xlfn.NUMBERVALUE("16.540000")</f>
        <v/>
      </c>
    </row>
    <row r="2544">
      <c r="A2544" s="1" t="n">
        <v>45698</v>
      </c>
      <c r="B2544">
        <f>_xlfn.NUMBERVALUE("0.007951")</f>
        <v/>
      </c>
      <c r="C2544" s="2">
        <f>_xlfn.NUMBERVALUE("0.001592")</f>
        <v/>
      </c>
      <c r="D2544">
        <f>_xlfn.NUMBERVALUE("-0.000942")</f>
        <v/>
      </c>
      <c r="E2544">
        <f>_xlfn.NUMBERVALUE("0.001111")</f>
        <v/>
      </c>
      <c r="F2544">
        <f>_xlfn.NUMBERVALUE("-0.003422")</f>
        <v/>
      </c>
      <c r="G2544">
        <f>_xlfn.NUMBERVALUE("0.006453")</f>
        <v/>
      </c>
      <c r="H2544">
        <f>_xlfn.NUMBERVALUE("0.001227")</f>
        <v/>
      </c>
      <c r="I2544">
        <f>_xlfn.NUMBERVALUE("0.003058")</f>
        <v/>
      </c>
      <c r="J2544">
        <f>_xlfn.NUMBERVALUE("0.001348")</f>
        <v/>
      </c>
      <c r="K2544">
        <f>_xlfn.NUMBERVALUE("-0.000433")</f>
        <v/>
      </c>
      <c r="L2544">
        <f>_xlfn.NUMBERVALUE("0.000250")</f>
        <v/>
      </c>
      <c r="M2544">
        <f>_xlfn.NUMBERVALUE("0.001380")</f>
        <v/>
      </c>
      <c r="N2544">
        <f>_xlfn.NUMBERVALUE("0.002325")</f>
        <v/>
      </c>
      <c r="O2544">
        <f>_xlfn.NUMBERVALUE("-0.000137")</f>
        <v/>
      </c>
      <c r="P2544">
        <f>_xlfn.NUMBERVALUE("0.000529")</f>
        <v/>
      </c>
      <c r="Q2544">
        <f>_xlfn.NUMBERVALUE("0.000123")</f>
        <v/>
      </c>
      <c r="R2544">
        <f>_xlfn.NUMBERVALUE("0.000413")</f>
        <v/>
      </c>
      <c r="S2544">
        <f>_xlfn.NUMBERVALUE("0.000245")</f>
        <v/>
      </c>
      <c r="T2544">
        <f>_xlfn.NUMBERVALUE("0.000504")</f>
        <v/>
      </c>
      <c r="U2544">
        <f>_xlfn.NUMBERVALUE("0.004489")</f>
        <v/>
      </c>
      <c r="V2544">
        <f>_xlfn.NUMBERVALUE("0.001264")</f>
        <v/>
      </c>
      <c r="W2544">
        <f>_xlfn.NUMBERVALUE("0.006742")</f>
        <v/>
      </c>
      <c r="X2544">
        <f>_xlfn.NUMBERVALUE("-0.730000")</f>
        <v/>
      </c>
      <c r="Y2544">
        <f>_xlfn.NUMBERVALUE("15.810000")</f>
        <v/>
      </c>
    </row>
    <row r="2545">
      <c r="A2545" s="1" t="n">
        <v>45699</v>
      </c>
      <c r="B2545">
        <f>_xlfn.NUMBERVALUE("-0.001861")</f>
        <v/>
      </c>
      <c r="C2545" s="2">
        <f>_xlfn.NUMBERVALUE("0.000316")</f>
        <v/>
      </c>
      <c r="D2545">
        <f>_xlfn.NUMBERVALUE("0.001056")</f>
        <v/>
      </c>
      <c r="E2545">
        <f>_xlfn.NUMBERVALUE("-0.001169")</f>
        <v/>
      </c>
      <c r="F2545">
        <f>_xlfn.NUMBERVALUE("0.000640")</f>
        <v/>
      </c>
      <c r="G2545">
        <f>_xlfn.NUMBERVALUE("0.000512")</f>
        <v/>
      </c>
      <c r="H2545">
        <f>_xlfn.NUMBERVALUE("0.000213")</f>
        <v/>
      </c>
      <c r="I2545">
        <f>_xlfn.NUMBERVALUE("0.000972")</f>
        <v/>
      </c>
      <c r="J2545">
        <f>_xlfn.NUMBERVALUE("0.000093")</f>
        <v/>
      </c>
      <c r="K2545">
        <f>_xlfn.NUMBERVALUE("0.000370")</f>
        <v/>
      </c>
      <c r="L2545">
        <f>_xlfn.NUMBERVALUE("0.000371")</f>
        <v/>
      </c>
      <c r="M2545">
        <f>_xlfn.NUMBERVALUE("0.000068")</f>
        <v/>
      </c>
      <c r="N2545">
        <f>_xlfn.NUMBERVALUE("0.001076")</f>
        <v/>
      </c>
      <c r="O2545">
        <f>_xlfn.NUMBERVALUE("0.001713")</f>
        <v/>
      </c>
      <c r="P2545">
        <f>_xlfn.NUMBERVALUE("-0.000041")</f>
        <v/>
      </c>
      <c r="Q2545">
        <f>_xlfn.NUMBERVALUE("0.000345")</f>
        <v/>
      </c>
      <c r="R2545">
        <f>_xlfn.NUMBERVALUE("0.000564")</f>
        <v/>
      </c>
      <c r="S2545">
        <f>_xlfn.NUMBERVALUE("0.000113")</f>
        <v/>
      </c>
      <c r="T2545">
        <f>_xlfn.NUMBERVALUE("0.000131")</f>
        <v/>
      </c>
      <c r="U2545">
        <f>_xlfn.NUMBERVALUE("0.001476")</f>
        <v/>
      </c>
      <c r="V2545">
        <f>_xlfn.NUMBERVALUE("0.000529")</f>
        <v/>
      </c>
      <c r="W2545">
        <f>_xlfn.NUMBERVALUE("0.000248")</f>
        <v/>
      </c>
      <c r="X2545">
        <f>_xlfn.NUMBERVALUE("0.210000")</f>
        <v/>
      </c>
      <c r="Y2545">
        <f>_xlfn.NUMBERVALUE("16.020000")</f>
        <v/>
      </c>
    </row>
    <row r="2546">
      <c r="A2546" s="1" t="n">
        <v>45700</v>
      </c>
      <c r="B2546">
        <f>_xlfn.NUMBERVALUE("0.000809")</f>
        <v/>
      </c>
      <c r="C2546" s="2">
        <f>_xlfn.NUMBERVALUE("0.000560")</f>
        <v/>
      </c>
      <c r="D2546">
        <f>_xlfn.NUMBERVALUE("-0.000435")</f>
        <v/>
      </c>
      <c r="E2546">
        <f>_xlfn.NUMBERVALUE("0.000268")</f>
        <v/>
      </c>
      <c r="F2546">
        <f>_xlfn.NUMBERVALUE("0.000918")</f>
        <v/>
      </c>
      <c r="G2546">
        <f>_xlfn.NUMBERVALUE("0.002117")</f>
        <v/>
      </c>
      <c r="H2546">
        <f>_xlfn.NUMBERVALUE("-0.000165")</f>
        <v/>
      </c>
      <c r="I2546">
        <f>_xlfn.NUMBERVALUE("0.001036")</f>
        <v/>
      </c>
      <c r="J2546">
        <f>_xlfn.NUMBERVALUE("0.002107")</f>
        <v/>
      </c>
      <c r="K2546">
        <f>_xlfn.NUMBERVALUE("0.000752")</f>
        <v/>
      </c>
      <c r="L2546">
        <f>_xlfn.NUMBERVALUE("-0.000953")</f>
        <v/>
      </c>
      <c r="M2546">
        <f>_xlfn.NUMBERVALUE("0.000074")</f>
        <v/>
      </c>
      <c r="N2546">
        <f>_xlfn.NUMBERVALUE("0.000058")</f>
        <v/>
      </c>
      <c r="O2546">
        <f>_xlfn.NUMBERVALUE("-0.017845")</f>
        <v/>
      </c>
      <c r="P2546">
        <f>_xlfn.NUMBERVALUE("-0.000019")</f>
        <v/>
      </c>
      <c r="Q2546">
        <f>_xlfn.NUMBERVALUE("-0.000118")</f>
        <v/>
      </c>
      <c r="R2546">
        <f>_xlfn.NUMBERVALUE("0.000191")</f>
        <v/>
      </c>
      <c r="S2546">
        <f>_xlfn.NUMBERVALUE("-0.000031")</f>
        <v/>
      </c>
      <c r="T2546">
        <f>_xlfn.NUMBERVALUE("0.000017")</f>
        <v/>
      </c>
      <c r="U2546">
        <f>_xlfn.NUMBERVALUE("0.005213")</f>
        <v/>
      </c>
      <c r="V2546">
        <f>_xlfn.NUMBERVALUE("0.000286")</f>
        <v/>
      </c>
      <c r="W2546">
        <f>_xlfn.NUMBERVALUE("-0.003422")</f>
        <v/>
      </c>
      <c r="X2546">
        <f>_xlfn.NUMBERVALUE("-0.130000")</f>
        <v/>
      </c>
      <c r="Y2546">
        <f>_xlfn.NUMBERVALUE("15.890000")</f>
        <v/>
      </c>
    </row>
    <row r="2547">
      <c r="A2547" s="1" t="n">
        <v>45701</v>
      </c>
      <c r="B2547">
        <f>_xlfn.NUMBERVALUE("-0.002665")</f>
        <v/>
      </c>
      <c r="C2547" s="2">
        <f>_xlfn.NUMBERVALUE("-0.000798")</f>
        <v/>
      </c>
      <c r="D2547">
        <f>_xlfn.NUMBERVALUE("0.000871")</f>
        <v/>
      </c>
      <c r="E2547">
        <f>_xlfn.NUMBERVALUE("-0.002759")</f>
        <v/>
      </c>
      <c r="F2547">
        <f>_xlfn.NUMBERVALUE("0.000222")</f>
        <v/>
      </c>
      <c r="G2547">
        <f>_xlfn.NUMBERVALUE("-0.001637")</f>
        <v/>
      </c>
      <c r="H2547">
        <f>_xlfn.NUMBERVALUE("-0.000405")</f>
        <v/>
      </c>
      <c r="I2547">
        <f>_xlfn.NUMBERVALUE("0.001415")</f>
        <v/>
      </c>
      <c r="J2547">
        <f>_xlfn.NUMBERVALUE("-0.001149")</f>
        <v/>
      </c>
      <c r="K2547">
        <f>_xlfn.NUMBERVALUE("-0.000501")</f>
        <v/>
      </c>
      <c r="L2547">
        <f>_xlfn.NUMBERVALUE("-0.001222")</f>
        <v/>
      </c>
      <c r="M2547">
        <f>_xlfn.NUMBERVALUE("-0.002297")</f>
        <v/>
      </c>
      <c r="N2547">
        <f>_xlfn.NUMBERVALUE("-0.000135")</f>
        <v/>
      </c>
      <c r="O2547">
        <f>_xlfn.NUMBERVALUE("0.000358")</f>
        <v/>
      </c>
      <c r="P2547">
        <f>_xlfn.NUMBERVALUE("0.001338")</f>
        <v/>
      </c>
      <c r="Q2547">
        <f>_xlfn.NUMBERVALUE("0.001997")</f>
        <v/>
      </c>
      <c r="R2547">
        <f>_xlfn.NUMBERVALUE("0.000324")</f>
        <v/>
      </c>
      <c r="S2547">
        <f>_xlfn.NUMBERVALUE("-0.001081")</f>
        <v/>
      </c>
      <c r="T2547">
        <f>_xlfn.NUMBERVALUE("0.001773")</f>
        <v/>
      </c>
      <c r="U2547">
        <f>_xlfn.NUMBERVALUE("-0.000650")</f>
        <v/>
      </c>
      <c r="V2547">
        <f>_xlfn.NUMBERVALUE("-0.000652")</f>
        <v/>
      </c>
      <c r="W2547">
        <f>_xlfn.NUMBERVALUE("0.010583")</f>
        <v/>
      </c>
      <c r="X2547">
        <f>_xlfn.NUMBERVALUE("-0.790000")</f>
        <v/>
      </c>
      <c r="Y2547">
        <f>_xlfn.NUMBERVALUE("15.100000")</f>
        <v/>
      </c>
    </row>
    <row r="2548">
      <c r="A2548" s="1" t="n">
        <v>45702</v>
      </c>
      <c r="B2548">
        <f>_xlfn.NUMBERVALUE("-0.005974")</f>
        <v/>
      </c>
      <c r="C2548" s="2">
        <f>_xlfn.NUMBERVALUE("0.002020")</f>
        <v/>
      </c>
      <c r="D2548">
        <f>_xlfn.NUMBERVALUE("0.000020")</f>
        <v/>
      </c>
      <c r="E2548">
        <f>_xlfn.NUMBERVALUE("0.002339")</f>
        <v/>
      </c>
      <c r="F2548">
        <f>_xlfn.NUMBERVALUE("-0.001235")</f>
        <v/>
      </c>
      <c r="G2548">
        <f>_xlfn.NUMBERVALUE("0.001158")</f>
        <v/>
      </c>
      <c r="H2548">
        <f>_xlfn.NUMBERVALUE("0.000458")</f>
        <v/>
      </c>
      <c r="I2548">
        <f>_xlfn.NUMBERVALUE("0.001569")</f>
        <v/>
      </c>
      <c r="J2548">
        <f>_xlfn.NUMBERVALUE("0.000008")</f>
        <v/>
      </c>
      <c r="K2548">
        <f>_xlfn.NUMBERVALUE("0.004727")</f>
        <v/>
      </c>
      <c r="L2548">
        <f>_xlfn.NUMBERVALUE("0.000259")</f>
        <v/>
      </c>
      <c r="M2548">
        <f>_xlfn.NUMBERVALUE("0.001136")</f>
        <v/>
      </c>
      <c r="N2548">
        <f>_xlfn.NUMBERVALUE("0.000247")</f>
        <v/>
      </c>
      <c r="O2548">
        <f>_xlfn.NUMBERVALUE("0.001932")</f>
        <v/>
      </c>
      <c r="P2548">
        <f>_xlfn.NUMBERVALUE("-0.000767")</f>
        <v/>
      </c>
      <c r="Q2548">
        <f>_xlfn.NUMBERVALUE("0.001450")</f>
        <v/>
      </c>
      <c r="R2548">
        <f>_xlfn.NUMBERVALUE("0.001954")</f>
        <v/>
      </c>
      <c r="S2548">
        <f>_xlfn.NUMBERVALUE("0.000434")</f>
        <v/>
      </c>
      <c r="T2548">
        <f>_xlfn.NUMBERVALUE("0.001613")</f>
        <v/>
      </c>
      <c r="U2548">
        <f>_xlfn.NUMBERVALUE("0.002025")</f>
        <v/>
      </c>
      <c r="V2548">
        <f>_xlfn.NUMBERVALUE("0.001547")</f>
        <v/>
      </c>
      <c r="W2548">
        <f>_xlfn.NUMBERVALUE("0.000821")</f>
        <v/>
      </c>
      <c r="X2548">
        <f>_xlfn.NUMBERVALUE("-0.330000")</f>
        <v/>
      </c>
      <c r="Y2548">
        <f>_xlfn.NUMBERVALUE("14.770000")</f>
        <v/>
      </c>
    </row>
    <row r="2549">
      <c r="A2549" s="1" t="n">
        <v>45706</v>
      </c>
      <c r="B2549">
        <f>_xlfn.NUMBERVALUE("0.003223")</f>
        <v/>
      </c>
      <c r="C2549" s="2">
        <f>_xlfn.NUMBERVALUE("0.000511")</f>
        <v/>
      </c>
      <c r="D2549">
        <f>_xlfn.NUMBERVALUE("-0.000134")</f>
        <v/>
      </c>
      <c r="E2549">
        <f>_xlfn.NUMBERVALUE("-0.000109")</f>
        <v/>
      </c>
      <c r="F2549">
        <f>_xlfn.NUMBERVALUE("-0.003470")</f>
        <v/>
      </c>
      <c r="G2549">
        <f>_xlfn.NUMBERVALUE("-0.000587")</f>
        <v/>
      </c>
      <c r="H2549">
        <f>_xlfn.NUMBERVALUE("-0.000145")</f>
        <v/>
      </c>
      <c r="I2549">
        <f>_xlfn.NUMBERVALUE("0.001184")</f>
        <v/>
      </c>
      <c r="J2549">
        <f>_xlfn.NUMBERVALUE("0.001048")</f>
        <v/>
      </c>
      <c r="K2549">
        <f>_xlfn.NUMBERVALUE("-0.001651")</f>
        <v/>
      </c>
      <c r="L2549">
        <f>_xlfn.NUMBERVALUE("0.000505")</f>
        <v/>
      </c>
      <c r="M2549">
        <f>_xlfn.NUMBERVALUE("-0.002257")</f>
        <v/>
      </c>
      <c r="N2549">
        <f>_xlfn.NUMBERVALUE("0.000077")</f>
        <v/>
      </c>
      <c r="O2549">
        <f>_xlfn.NUMBERVALUE("-0.000697")</f>
        <v/>
      </c>
      <c r="P2549">
        <f>_xlfn.NUMBERVALUE("0.000251")</f>
        <v/>
      </c>
      <c r="Q2549">
        <f>_xlfn.NUMBERVALUE("0.000191")</f>
        <v/>
      </c>
      <c r="R2549">
        <f>_xlfn.NUMBERVALUE("0.000187")</f>
        <v/>
      </c>
      <c r="S2549">
        <f>_xlfn.NUMBERVALUE("0.000269")</f>
        <v/>
      </c>
      <c r="T2549">
        <f>_xlfn.NUMBERVALUE("-0.000329")</f>
        <v/>
      </c>
      <c r="U2549">
        <f>_xlfn.NUMBERVALUE("0.003294")</f>
        <v/>
      </c>
      <c r="V2549">
        <f>_xlfn.NUMBERVALUE("0.001053")</f>
        <v/>
      </c>
      <c r="W2549">
        <f>_xlfn.NUMBERVALUE("0.000164")</f>
        <v/>
      </c>
      <c r="X2549">
        <f>_xlfn.NUMBERVALUE("0.580000")</f>
        <v/>
      </c>
      <c r="Y2549">
        <f>_xlfn.NUMBERVALUE("15.350000")</f>
        <v/>
      </c>
    </row>
    <row r="2550">
      <c r="A2550" s="1" t="n">
        <v>45707</v>
      </c>
      <c r="B2550">
        <f>_xlfn.NUMBERVALUE("0.002130")</f>
        <v/>
      </c>
      <c r="C2550" s="2">
        <f>_xlfn.NUMBERVALUE("0.000780")</f>
        <v/>
      </c>
      <c r="D2550">
        <f>_xlfn.NUMBERVALUE("0.001478")</f>
        <v/>
      </c>
      <c r="E2550">
        <f>_xlfn.NUMBERVALUE("-0.001091")</f>
        <v/>
      </c>
      <c r="F2550">
        <f>_xlfn.NUMBERVALUE("0.001981")</f>
        <v/>
      </c>
      <c r="G2550">
        <f>_xlfn.NUMBERVALUE("0.000216")</f>
        <v/>
      </c>
      <c r="H2550">
        <f>_xlfn.NUMBERVALUE("0.000316")</f>
        <v/>
      </c>
      <c r="I2550">
        <f>_xlfn.NUMBERVALUE("0.002358")</f>
        <v/>
      </c>
      <c r="J2550">
        <f>_xlfn.NUMBERVALUE("0.000401")</f>
        <v/>
      </c>
      <c r="K2550">
        <f>_xlfn.NUMBERVALUE("0.003781")</f>
        <v/>
      </c>
      <c r="L2550">
        <f>_xlfn.NUMBERVALUE("0.001007")</f>
        <v/>
      </c>
      <c r="M2550">
        <f>_xlfn.NUMBERVALUE("0.000577")</f>
        <v/>
      </c>
      <c r="N2550">
        <f>_xlfn.NUMBERVALUE("0.000066")</f>
        <v/>
      </c>
      <c r="O2550">
        <f>_xlfn.NUMBERVALUE("0.000473")</f>
        <v/>
      </c>
      <c r="P2550">
        <f>_xlfn.NUMBERVALUE("0.001816")</f>
        <v/>
      </c>
      <c r="Q2550">
        <f>_xlfn.NUMBERVALUE("0.000922")</f>
        <v/>
      </c>
      <c r="R2550">
        <f>_xlfn.NUMBERVALUE("0.001973")</f>
        <v/>
      </c>
      <c r="S2550">
        <f>_xlfn.NUMBERVALUE("-0.000104")</f>
        <v/>
      </c>
      <c r="T2550">
        <f>_xlfn.NUMBERVALUE("0.001432")</f>
        <v/>
      </c>
      <c r="U2550">
        <f>_xlfn.NUMBERVALUE("0.000621")</f>
        <v/>
      </c>
      <c r="V2550">
        <f>_xlfn.NUMBERVALUE("0.000599")</f>
        <v/>
      </c>
      <c r="W2550">
        <f>_xlfn.NUMBERVALUE("0.004165")</f>
        <v/>
      </c>
      <c r="X2550">
        <f>_xlfn.NUMBERVALUE("-0.080000")</f>
        <v/>
      </c>
      <c r="Y2550">
        <f>_xlfn.NUMBERVALUE("15.270000")</f>
        <v/>
      </c>
    </row>
    <row r="2551">
      <c r="A2551" s="1" t="n">
        <v>45708</v>
      </c>
      <c r="B2551">
        <f>_xlfn.NUMBERVALUE("-0.000321")</f>
        <v/>
      </c>
      <c r="C2551" s="2">
        <f>_xlfn.NUMBERVALUE("0.000041")</f>
        <v/>
      </c>
      <c r="D2551">
        <f>_xlfn.NUMBERVALUE("-0.001743")</f>
        <v/>
      </c>
      <c r="E2551">
        <f>_xlfn.NUMBERVALUE("0.001079")</f>
        <v/>
      </c>
      <c r="F2551">
        <f>_xlfn.NUMBERVALUE("0.001055")</f>
        <v/>
      </c>
      <c r="G2551">
        <f>_xlfn.NUMBERVALUE("-0.000284")</f>
        <v/>
      </c>
      <c r="H2551">
        <f>_xlfn.NUMBERVALUE("0.000260")</f>
        <v/>
      </c>
      <c r="I2551">
        <f>_xlfn.NUMBERVALUE("-0.000139")</f>
        <v/>
      </c>
      <c r="J2551">
        <f>_xlfn.NUMBERVALUE("0.000098")</f>
        <v/>
      </c>
      <c r="K2551">
        <f>_xlfn.NUMBERVALUE("0.002704")</f>
        <v/>
      </c>
      <c r="L2551">
        <f>_xlfn.NUMBERVALUE("0.000998")</f>
        <v/>
      </c>
      <c r="M2551">
        <f>_xlfn.NUMBERVALUE("0.001992")</f>
        <v/>
      </c>
      <c r="N2551">
        <f>_xlfn.NUMBERVALUE("0.000014")</f>
        <v/>
      </c>
      <c r="O2551">
        <f>_xlfn.NUMBERVALUE("0.000082")</f>
        <v/>
      </c>
      <c r="P2551">
        <f>_xlfn.NUMBERVALUE("-0.000905")</f>
        <v/>
      </c>
      <c r="Q2551">
        <f>_xlfn.NUMBERVALUE("0.000111")</f>
        <v/>
      </c>
      <c r="R2551">
        <f>_xlfn.NUMBERVALUE("0.000952")</f>
        <v/>
      </c>
      <c r="S2551">
        <f>_xlfn.NUMBERVALUE("0.000930")</f>
        <v/>
      </c>
      <c r="T2551">
        <f>_xlfn.NUMBERVALUE("0.000475")</f>
        <v/>
      </c>
      <c r="U2551">
        <f>_xlfn.NUMBERVALUE("0.001104")</f>
        <v/>
      </c>
      <c r="V2551">
        <f>_xlfn.NUMBERVALUE("0.000673")</f>
        <v/>
      </c>
      <c r="W2551">
        <f>_xlfn.NUMBERVALUE("-0.003935")</f>
        <v/>
      </c>
      <c r="X2551">
        <f>_xlfn.NUMBERVALUE("0.390000")</f>
        <v/>
      </c>
      <c r="Y2551">
        <f>_xlfn.NUMBERVALUE("15.660000")</f>
        <v/>
      </c>
    </row>
    <row r="2552">
      <c r="A2552" s="1" t="n">
        <v>45709</v>
      </c>
      <c r="B2552">
        <f>_xlfn.NUMBERVALUE("-0.024729")</f>
        <v/>
      </c>
      <c r="C2552" s="2">
        <f>_xlfn.NUMBERVALUE("-0.004813")</f>
        <v/>
      </c>
      <c r="D2552">
        <f>_xlfn.NUMBERVALUE("-0.000734")</f>
        <v/>
      </c>
      <c r="E2552">
        <f>_xlfn.NUMBERVALUE("-0.000922")</f>
        <v/>
      </c>
      <c r="F2552">
        <f>_xlfn.NUMBERVALUE("0.000705")</f>
        <v/>
      </c>
      <c r="G2552">
        <f>_xlfn.NUMBERVALUE("0.000094")</f>
        <v/>
      </c>
      <c r="H2552">
        <f>_xlfn.NUMBERVALUE("-0.001176")</f>
        <v/>
      </c>
      <c r="I2552">
        <f>_xlfn.NUMBERVALUE("-0.007664")</f>
        <v/>
      </c>
      <c r="J2552">
        <f>_xlfn.NUMBERVALUE("-0.000774")</f>
        <v/>
      </c>
      <c r="K2552">
        <f>_xlfn.NUMBERVALUE("0.001418")</f>
        <v/>
      </c>
      <c r="L2552">
        <f>_xlfn.NUMBERVALUE("-0.002554")</f>
        <v/>
      </c>
      <c r="M2552">
        <f>_xlfn.NUMBERVALUE("-0.001885")</f>
        <v/>
      </c>
      <c r="N2552">
        <f>_xlfn.NUMBERVALUE("-0.003421")</f>
        <v/>
      </c>
      <c r="O2552">
        <f>_xlfn.NUMBERVALUE("-0.006959")</f>
        <v/>
      </c>
      <c r="P2552">
        <f>_xlfn.NUMBERVALUE("-0.004513")</f>
        <v/>
      </c>
      <c r="Q2552">
        <f>_xlfn.NUMBERVALUE("-0.007619")</f>
        <v/>
      </c>
      <c r="R2552">
        <f>_xlfn.NUMBERVALUE("-0.005970")</f>
        <v/>
      </c>
      <c r="S2552">
        <f>_xlfn.NUMBERVALUE("-0.005404")</f>
        <v/>
      </c>
      <c r="T2552">
        <f>_xlfn.NUMBERVALUE("-0.001856")</f>
        <v/>
      </c>
      <c r="U2552">
        <f>_xlfn.NUMBERVALUE("-0.007635")</f>
        <v/>
      </c>
      <c r="V2552">
        <f>_xlfn.NUMBERVALUE("-0.004770")</f>
        <v/>
      </c>
      <c r="W2552">
        <f>_xlfn.NUMBERVALUE("-0.016493")</f>
        <v/>
      </c>
      <c r="X2552">
        <f>_xlfn.NUMBERVALUE("2.550000")</f>
        <v/>
      </c>
      <c r="Y2552">
        <f>_xlfn.NUMBERVALUE("18.210000")</f>
        <v/>
      </c>
    </row>
    <row r="2553">
      <c r="A2553" s="1" t="n">
        <v>45712</v>
      </c>
      <c r="B2553">
        <f>_xlfn.NUMBERVALUE("0.000630")</f>
        <v/>
      </c>
      <c r="C2553" s="2">
        <f>_xlfn.NUMBERVALUE("0.000116")</f>
        <v/>
      </c>
      <c r="D2553">
        <f>_xlfn.NUMBERVALUE("0.003571")</f>
        <v/>
      </c>
      <c r="E2553">
        <f>_xlfn.NUMBERVALUE("0.003043")</f>
        <v/>
      </c>
      <c r="F2553">
        <f>_xlfn.NUMBERVALUE("0.000631")</f>
        <v/>
      </c>
      <c r="G2553">
        <f>_xlfn.NUMBERVALUE("0.001167")</f>
        <v/>
      </c>
      <c r="H2553">
        <f>_xlfn.NUMBERVALUE("0.000967")</f>
        <v/>
      </c>
      <c r="I2553">
        <f>_xlfn.NUMBERVALUE("0.000257")</f>
        <v/>
      </c>
      <c r="J2553">
        <f>_xlfn.NUMBERVALUE("0.000807")</f>
        <v/>
      </c>
      <c r="K2553">
        <f>_xlfn.NUMBERVALUE("0.004909")</f>
        <v/>
      </c>
      <c r="L2553">
        <f>_xlfn.NUMBERVALUE("0.001861")</f>
        <v/>
      </c>
      <c r="M2553">
        <f>_xlfn.NUMBERVALUE("0.003599")</f>
        <v/>
      </c>
      <c r="N2553">
        <f>_xlfn.NUMBERVALUE("-0.000393")</f>
        <v/>
      </c>
      <c r="O2553">
        <f>_xlfn.NUMBERVALUE("0.003182")</f>
        <v/>
      </c>
      <c r="P2553">
        <f>_xlfn.NUMBERVALUE("0.001343")</f>
        <v/>
      </c>
      <c r="Q2553">
        <f>_xlfn.NUMBERVALUE("0.001100")</f>
        <v/>
      </c>
      <c r="R2553">
        <f>_xlfn.NUMBERVALUE("0.000843")</f>
        <v/>
      </c>
      <c r="S2553">
        <f>_xlfn.NUMBERVALUE("0.001092")</f>
        <v/>
      </c>
      <c r="T2553">
        <f>_xlfn.NUMBERVALUE("0.001844")</f>
        <v/>
      </c>
      <c r="U2553">
        <f>_xlfn.NUMBERVALUE("0.002044")</f>
        <v/>
      </c>
      <c r="V2553">
        <f>_xlfn.NUMBERVALUE("0.001924")</f>
        <v/>
      </c>
      <c r="W2553">
        <f>_xlfn.NUMBERVALUE("-0.001984")</f>
        <v/>
      </c>
      <c r="X2553">
        <f>_xlfn.NUMBERVALUE("0.770000")</f>
        <v/>
      </c>
      <c r="Y2553">
        <f>_xlfn.NUMBERVALUE("18.980000")</f>
        <v/>
      </c>
    </row>
    <row r="2554">
      <c r="A2554" s="1" t="n">
        <v>45713</v>
      </c>
      <c r="B2554">
        <f>_xlfn.NUMBERVALUE("-0.009128")</f>
        <v/>
      </c>
      <c r="C2554" s="2">
        <f>_xlfn.NUMBERVALUE("-0.001142")</f>
        <v/>
      </c>
      <c r="D2554">
        <f>_xlfn.NUMBERVALUE("0.000144")</f>
        <v/>
      </c>
      <c r="E2554">
        <f>_xlfn.NUMBERVALUE("-0.001061")</f>
        <v/>
      </c>
      <c r="F2554">
        <f>_xlfn.NUMBERVALUE("0.000362")</f>
        <v/>
      </c>
      <c r="G2554">
        <f>_xlfn.NUMBERVALUE("-0.000214")</f>
        <v/>
      </c>
      <c r="H2554">
        <f>_xlfn.NUMBERVALUE("-0.001522")</f>
        <v/>
      </c>
      <c r="I2554">
        <f>_xlfn.NUMBERVALUE("-0.000429")</f>
        <v/>
      </c>
      <c r="J2554">
        <f>_xlfn.NUMBERVALUE("-0.000736")</f>
        <v/>
      </c>
      <c r="K2554">
        <f>_xlfn.NUMBERVALUE("-0.003365")</f>
        <v/>
      </c>
      <c r="L2554">
        <f>_xlfn.NUMBERVALUE("-0.004589")</f>
        <v/>
      </c>
      <c r="M2554">
        <f>_xlfn.NUMBERVALUE("-0.000534")</f>
        <v/>
      </c>
      <c r="N2554">
        <f>_xlfn.NUMBERVALUE("-0.002404")</f>
        <v/>
      </c>
      <c r="O2554">
        <f>_xlfn.NUMBERVALUE("-0.001918")</f>
        <v/>
      </c>
      <c r="P2554">
        <f>_xlfn.NUMBERVALUE("-0.001141")</f>
        <v/>
      </c>
      <c r="Q2554">
        <f>_xlfn.NUMBERVALUE("-0.003419")</f>
        <v/>
      </c>
      <c r="R2554">
        <f>_xlfn.NUMBERVALUE("-0.002813")</f>
        <v/>
      </c>
      <c r="S2554">
        <f>_xlfn.NUMBERVALUE("-0.002704")</f>
        <v/>
      </c>
      <c r="T2554">
        <f>_xlfn.NUMBERVALUE("-0.001059")</f>
        <v/>
      </c>
      <c r="U2554">
        <f>_xlfn.NUMBERVALUE("-0.002445")</f>
        <v/>
      </c>
      <c r="V2554">
        <f>_xlfn.NUMBERVALUE("-0.001219")</f>
        <v/>
      </c>
      <c r="W2554">
        <f>_xlfn.NUMBERVALUE("-0.007716")</f>
        <v/>
      </c>
      <c r="X2554">
        <f>_xlfn.NUMBERVALUE("0.450000")</f>
        <v/>
      </c>
      <c r="Y2554">
        <f>_xlfn.NUMBERVALUE("19.430000")</f>
        <v/>
      </c>
    </row>
    <row r="2555">
      <c r="A2555" s="1" t="n">
        <v>45714</v>
      </c>
      <c r="B2555">
        <f>_xlfn.NUMBERVALUE("-0.001745")</f>
        <v/>
      </c>
      <c r="C2555" s="2">
        <f>_xlfn.NUMBERVALUE("0.000141")</f>
        <v/>
      </c>
      <c r="D2555">
        <f>_xlfn.NUMBERVALUE("-0.001831")</f>
        <v/>
      </c>
      <c r="E2555">
        <f>_xlfn.NUMBERVALUE("0.000154")</f>
        <v/>
      </c>
      <c r="F2555">
        <f>_xlfn.NUMBERVALUE("0.001508")</f>
        <v/>
      </c>
      <c r="G2555">
        <f>_xlfn.NUMBERVALUE("-0.000511")</f>
        <v/>
      </c>
      <c r="H2555">
        <f>_xlfn.NUMBERVALUE("-0.000051")</f>
        <v/>
      </c>
      <c r="I2555">
        <f>_xlfn.NUMBERVALUE("0.000571")</f>
        <v/>
      </c>
      <c r="J2555">
        <f>_xlfn.NUMBERVALUE("-0.000254")</f>
        <v/>
      </c>
      <c r="K2555">
        <f>_xlfn.NUMBERVALUE("0.001724")</f>
        <v/>
      </c>
      <c r="L2555">
        <f>_xlfn.NUMBERVALUE("-0.000127")</f>
        <v/>
      </c>
      <c r="M2555">
        <f>_xlfn.NUMBERVALUE("0.000085")</f>
        <v/>
      </c>
      <c r="N2555">
        <f>_xlfn.NUMBERVALUE("0.000013")</f>
        <v/>
      </c>
      <c r="O2555">
        <f>_xlfn.NUMBERVALUE("0.003088")</f>
        <v/>
      </c>
      <c r="P2555">
        <f>_xlfn.NUMBERVALUE("0.000649")</f>
        <v/>
      </c>
      <c r="Q2555">
        <f>_xlfn.NUMBERVALUE("0.002667")</f>
        <v/>
      </c>
      <c r="R2555">
        <f>_xlfn.NUMBERVALUE("-0.000901")</f>
        <v/>
      </c>
      <c r="S2555">
        <f>_xlfn.NUMBERVALUE("-0.001249")</f>
        <v/>
      </c>
      <c r="T2555">
        <f>_xlfn.NUMBERVALUE("0.000097")</f>
        <v/>
      </c>
      <c r="U2555">
        <f>_xlfn.NUMBERVALUE("0.001241")</f>
        <v/>
      </c>
      <c r="V2555">
        <f>_xlfn.NUMBERVALUE("0.000699")</f>
        <v/>
      </c>
      <c r="W2555">
        <f>_xlfn.NUMBERVALUE("0.001801")</f>
        <v/>
      </c>
      <c r="X2555">
        <f>_xlfn.NUMBERVALUE("-0.330000")</f>
        <v/>
      </c>
      <c r="Y2555">
        <f>_xlfn.NUMBERVALUE("19.100000")</f>
        <v/>
      </c>
    </row>
    <row r="2556">
      <c r="A2556" s="1" t="n">
        <v>45715</v>
      </c>
      <c r="B2556">
        <f>_xlfn.NUMBERVALUE("0.001545")</f>
        <v/>
      </c>
      <c r="C2556" s="2">
        <f>_xlfn.NUMBERVALUE("-0.000697")</f>
        <v/>
      </c>
      <c r="D2556">
        <f>_xlfn.NUMBERVALUE("-0.000517")</f>
        <v/>
      </c>
      <c r="E2556">
        <f>_xlfn.NUMBERVALUE("-0.002436")</f>
        <v/>
      </c>
      <c r="F2556">
        <f>_xlfn.NUMBERVALUE("-0.001312")</f>
        <v/>
      </c>
      <c r="G2556">
        <f>_xlfn.NUMBERVALUE("0.000951")</f>
        <v/>
      </c>
      <c r="H2556">
        <f>_xlfn.NUMBERVALUE("0.000236")</f>
        <v/>
      </c>
      <c r="I2556">
        <f>_xlfn.NUMBERVALUE("-0.001632")</f>
        <v/>
      </c>
      <c r="J2556">
        <f>_xlfn.NUMBERVALUE("0.000153")</f>
        <v/>
      </c>
      <c r="K2556">
        <f>_xlfn.NUMBERVALUE("-0.003704")</f>
        <v/>
      </c>
      <c r="L2556">
        <f>_xlfn.NUMBERVALUE("0.000625")</f>
        <v/>
      </c>
      <c r="M2556">
        <f>_xlfn.NUMBERVALUE("-0.001275")</f>
        <v/>
      </c>
      <c r="N2556">
        <f>_xlfn.NUMBERVALUE("-0.002737")</f>
        <v/>
      </c>
      <c r="O2556">
        <f>_xlfn.NUMBERVALUE("-0.001569")</f>
        <v/>
      </c>
      <c r="P2556">
        <f>_xlfn.NUMBERVALUE("-0.001711")</f>
        <v/>
      </c>
      <c r="Q2556">
        <f>_xlfn.NUMBERVALUE("-0.001478")</f>
        <v/>
      </c>
      <c r="R2556">
        <f>_xlfn.NUMBERVALUE("-0.006554")</f>
        <v/>
      </c>
      <c r="S2556">
        <f>_xlfn.NUMBERVALUE("0.001400")</f>
        <v/>
      </c>
      <c r="T2556">
        <f>_xlfn.NUMBERVALUE("-0.003420")</f>
        <v/>
      </c>
      <c r="U2556">
        <f>_xlfn.NUMBERVALUE("-0.002900")</f>
        <v/>
      </c>
      <c r="V2556">
        <f>_xlfn.NUMBERVALUE("-0.003110")</f>
        <v/>
      </c>
      <c r="W2556">
        <f>_xlfn.NUMBERVALUE("-0.015004")</f>
        <v/>
      </c>
      <c r="X2556">
        <f>_xlfn.NUMBERVALUE("2.030000")</f>
        <v/>
      </c>
      <c r="Y2556">
        <f>_xlfn.NUMBERVALUE("21.130000")</f>
        <v/>
      </c>
    </row>
    <row r="2557">
      <c r="A2557" s="1" t="n">
        <v>45716</v>
      </c>
      <c r="B2557">
        <f>_xlfn.NUMBERVALUE("0.000258")</f>
        <v/>
      </c>
      <c r="C2557" s="2">
        <f>_xlfn.NUMBERVALUE("0.001201")</f>
        <v/>
      </c>
      <c r="D2557">
        <f>_xlfn.NUMBERVALUE("-0.004356")</f>
        <v/>
      </c>
      <c r="E2557">
        <f>_xlfn.NUMBERVALUE("0.003430")</f>
        <v/>
      </c>
      <c r="F2557">
        <f>_xlfn.NUMBERVALUE("0.001541")</f>
        <v/>
      </c>
      <c r="G2557">
        <f>_xlfn.NUMBERVALUE("-0.000233")</f>
        <v/>
      </c>
      <c r="H2557">
        <f>_xlfn.NUMBERVALUE("0.000191")</f>
        <v/>
      </c>
      <c r="I2557">
        <f>_xlfn.NUMBERVALUE("0.001028")</f>
        <v/>
      </c>
      <c r="J2557">
        <f>_xlfn.NUMBERVALUE("0.000749")</f>
        <v/>
      </c>
      <c r="K2557">
        <f>_xlfn.NUMBERVALUE("0.001576")</f>
        <v/>
      </c>
      <c r="L2557">
        <f>_xlfn.NUMBERVALUE("0.000190")</f>
        <v/>
      </c>
      <c r="M2557">
        <f>_xlfn.NUMBERVALUE("0.002782")</f>
        <v/>
      </c>
      <c r="N2557">
        <f>_xlfn.NUMBERVALUE("0.001010")</f>
        <v/>
      </c>
      <c r="O2557">
        <f>_xlfn.NUMBERVALUE("0.000943")</f>
        <v/>
      </c>
      <c r="P2557">
        <f>_xlfn.NUMBERVALUE("-0.001901")</f>
        <v/>
      </c>
      <c r="Q2557">
        <f>_xlfn.NUMBERVALUE("0.001886")</f>
        <v/>
      </c>
      <c r="R2557">
        <f>_xlfn.NUMBERVALUE("0.001778")</f>
        <v/>
      </c>
      <c r="S2557">
        <f>_xlfn.NUMBERVALUE("-0.000203")</f>
        <v/>
      </c>
      <c r="T2557">
        <f>_xlfn.NUMBERVALUE("0.002671")</f>
        <v/>
      </c>
      <c r="U2557">
        <f>_xlfn.NUMBERVALUE("0.001601")</f>
        <v/>
      </c>
      <c r="V2557">
        <f>_xlfn.NUMBERVALUE("0.001522")</f>
        <v/>
      </c>
      <c r="W2557">
        <f>_xlfn.NUMBERVALUE("0.006311")</f>
        <v/>
      </c>
      <c r="X2557">
        <f>_xlfn.NUMBERVALUE("-1.500000")</f>
        <v/>
      </c>
      <c r="Y2557">
        <f>_xlfn.NUMBERVALUE("19.630000")</f>
        <v/>
      </c>
    </row>
    <row r="2558">
      <c r="A2558" s="1" t="n">
        <v>45719</v>
      </c>
      <c r="B2558">
        <f>_xlfn.NUMBERVALUE("-0.015367")</f>
        <v/>
      </c>
      <c r="C2558" s="2">
        <f>_xlfn.NUMBERVALUE("-0.003116")</f>
        <v/>
      </c>
      <c r="D2558">
        <f>_xlfn.NUMBERVALUE("0.001193")</f>
        <v/>
      </c>
      <c r="E2558">
        <f>_xlfn.NUMBERVALUE("-0.000323")</f>
        <v/>
      </c>
      <c r="F2558">
        <f>_xlfn.NUMBERVALUE("-0.002270")</f>
        <v/>
      </c>
      <c r="G2558">
        <f>_xlfn.NUMBERVALUE("-0.003818")</f>
        <v/>
      </c>
      <c r="H2558">
        <f>_xlfn.NUMBERVALUE("-0.002313")</f>
        <v/>
      </c>
      <c r="I2558">
        <f>_xlfn.NUMBERVALUE("-0.001612")</f>
        <v/>
      </c>
      <c r="J2558">
        <f>_xlfn.NUMBERVALUE("-0.002550")</f>
        <v/>
      </c>
      <c r="K2558">
        <f>_xlfn.NUMBERVALUE("0.000982")</f>
        <v/>
      </c>
      <c r="L2558">
        <f>_xlfn.NUMBERVALUE("-0.003001")</f>
        <v/>
      </c>
      <c r="M2558">
        <f>_xlfn.NUMBERVALUE("-0.002522")</f>
        <v/>
      </c>
      <c r="N2558">
        <f>_xlfn.NUMBERVALUE("-0.001594")</f>
        <v/>
      </c>
      <c r="O2558">
        <f>_xlfn.NUMBERVALUE("-0.018720")</f>
        <v/>
      </c>
      <c r="P2558">
        <f>_xlfn.NUMBERVALUE("-0.002419")</f>
        <v/>
      </c>
      <c r="Q2558">
        <f>_xlfn.NUMBERVALUE("-0.003492")</f>
        <v/>
      </c>
      <c r="R2558">
        <f>_xlfn.NUMBERVALUE("-0.003564")</f>
        <v/>
      </c>
      <c r="S2558">
        <f>_xlfn.NUMBERVALUE("-0.001493")</f>
        <v/>
      </c>
      <c r="T2558">
        <f>_xlfn.NUMBERVALUE("-0.001014")</f>
        <v/>
      </c>
      <c r="U2558">
        <f>_xlfn.NUMBERVALUE("-0.003101")</f>
        <v/>
      </c>
      <c r="V2558">
        <f>_xlfn.NUMBERVALUE("-0.002837")</f>
        <v/>
      </c>
      <c r="W2558">
        <f>_xlfn.NUMBERVALUE("-0.014781")</f>
        <v/>
      </c>
      <c r="X2558">
        <f>_xlfn.NUMBERVALUE("3.150000")</f>
        <v/>
      </c>
      <c r="Y2558">
        <f>_xlfn.NUMBERVALUE("22.780000")</f>
        <v/>
      </c>
    </row>
    <row r="2559">
      <c r="A2559" s="1" t="n">
        <v>45720</v>
      </c>
      <c r="B2559">
        <f>_xlfn.NUMBERVALUE("0.003698")</f>
        <v/>
      </c>
      <c r="C2559" s="2">
        <f>_xlfn.NUMBERVALUE("-0.000242")</f>
        <v/>
      </c>
      <c r="D2559">
        <f>_xlfn.NUMBERVALUE("0.000915")</f>
        <v/>
      </c>
      <c r="E2559">
        <f>_xlfn.NUMBERVALUE("-0.004385")</f>
        <v/>
      </c>
      <c r="F2559">
        <f>_xlfn.NUMBERVALUE("-0.001712")</f>
        <v/>
      </c>
      <c r="G2559">
        <f>_xlfn.NUMBERVALUE("0.000495")</f>
        <v/>
      </c>
      <c r="H2559">
        <f>_xlfn.NUMBERVALUE("0.000464")</f>
        <v/>
      </c>
      <c r="I2559">
        <f>_xlfn.NUMBERVALUE("-0.000106")</f>
        <v/>
      </c>
      <c r="J2559">
        <f>_xlfn.NUMBERVALUE("-0.000105")</f>
        <v/>
      </c>
      <c r="K2559">
        <f>_xlfn.NUMBERVALUE("0.001853")</f>
        <v/>
      </c>
      <c r="L2559">
        <f>_xlfn.NUMBERVALUE("-0.000423")</f>
        <v/>
      </c>
      <c r="M2559">
        <f>_xlfn.NUMBERVALUE("0.000745")</f>
        <v/>
      </c>
      <c r="N2559">
        <f>_xlfn.NUMBERVALUE("0.001112")</f>
        <v/>
      </c>
      <c r="O2559">
        <f>_xlfn.NUMBERVALUE("0.002330")</f>
        <v/>
      </c>
      <c r="P2559">
        <f>_xlfn.NUMBERVALUE("-0.005873")</f>
        <v/>
      </c>
      <c r="Q2559">
        <f>_xlfn.NUMBERVALUE("-0.002796")</f>
        <v/>
      </c>
      <c r="R2559">
        <f>_xlfn.NUMBERVALUE("0.001112")</f>
        <v/>
      </c>
      <c r="S2559">
        <f>_xlfn.NUMBERVALUE("0.001416")</f>
        <v/>
      </c>
      <c r="T2559">
        <f>_xlfn.NUMBERVALUE("0.001787")</f>
        <v/>
      </c>
      <c r="U2559">
        <f>_xlfn.NUMBERVALUE("-0.001141")</f>
        <v/>
      </c>
      <c r="V2559">
        <f>_xlfn.NUMBERVALUE("0.000380")</f>
        <v/>
      </c>
      <c r="W2559">
        <f>_xlfn.NUMBERVALUE("-0.002615")</f>
        <v/>
      </c>
      <c r="X2559">
        <f>_xlfn.NUMBERVALUE("0.730000")</f>
        <v/>
      </c>
      <c r="Y2559">
        <f>_xlfn.NUMBERVALUE("23.510000")</f>
        <v/>
      </c>
    </row>
    <row r="2560">
      <c r="A2560" s="1" t="n">
        <v>45721</v>
      </c>
      <c r="B2560">
        <f>_xlfn.NUMBERVALUE("0.003763")</f>
        <v/>
      </c>
      <c r="C2560" s="2">
        <f>_xlfn.NUMBERVALUE("0.000780")</f>
        <v/>
      </c>
      <c r="D2560">
        <f>_xlfn.NUMBERVALUE("-0.013706")</f>
        <v/>
      </c>
      <c r="E2560">
        <f>_xlfn.NUMBERVALUE("-0.000518")</f>
        <v/>
      </c>
      <c r="F2560">
        <f>_xlfn.NUMBERVALUE("0.001217")</f>
        <v/>
      </c>
      <c r="G2560">
        <f>_xlfn.NUMBERVALUE("0.000304")</f>
        <v/>
      </c>
      <c r="H2560">
        <f>_xlfn.NUMBERVALUE("-0.000514")</f>
        <v/>
      </c>
      <c r="I2560">
        <f>_xlfn.NUMBERVALUE("0.000030")</f>
        <v/>
      </c>
      <c r="J2560">
        <f>_xlfn.NUMBERVALUE("0.000700")</f>
        <v/>
      </c>
      <c r="K2560">
        <f>_xlfn.NUMBERVALUE("-0.007750")</f>
        <v/>
      </c>
      <c r="L2560">
        <f>_xlfn.NUMBERVALUE("0.000548")</f>
        <v/>
      </c>
      <c r="M2560">
        <f>_xlfn.NUMBERVALUE("-0.002181")</f>
        <v/>
      </c>
      <c r="N2560">
        <f>_xlfn.NUMBERVALUE("-0.000962")</f>
        <v/>
      </c>
      <c r="O2560">
        <f>_xlfn.NUMBERVALUE("-0.000787")</f>
        <v/>
      </c>
      <c r="P2560">
        <f>_xlfn.NUMBERVALUE("0.000882")</f>
        <v/>
      </c>
      <c r="Q2560">
        <f>_xlfn.NUMBERVALUE("0.001335")</f>
        <v/>
      </c>
      <c r="R2560">
        <f>_xlfn.NUMBERVALUE("0.000825")</f>
        <v/>
      </c>
      <c r="S2560">
        <f>_xlfn.NUMBERVALUE("0.001209")</f>
        <v/>
      </c>
      <c r="T2560">
        <f>_xlfn.NUMBERVALUE("-0.000046")</f>
        <v/>
      </c>
      <c r="U2560">
        <f>_xlfn.NUMBERVALUE("0.001980")</f>
        <v/>
      </c>
      <c r="V2560">
        <f>_xlfn.NUMBERVALUE("0.000259")</f>
        <v/>
      </c>
      <c r="W2560">
        <f>_xlfn.NUMBERVALUE("0.006089")</f>
        <v/>
      </c>
      <c r="X2560">
        <f>_xlfn.NUMBERVALUE("-1.580000")</f>
        <v/>
      </c>
      <c r="Y2560">
        <f>_xlfn.NUMBERVALUE("21.930000")</f>
        <v/>
      </c>
    </row>
    <row r="2561">
      <c r="A2561" s="1" t="n">
        <v>45722</v>
      </c>
      <c r="B2561">
        <f>_xlfn.NUMBERVALUE("-0.012409")</f>
        <v/>
      </c>
      <c r="C2561" s="2">
        <f>_xlfn.NUMBERVALUE("-0.002254")</f>
        <v/>
      </c>
      <c r="D2561">
        <f>_xlfn.NUMBERVALUE("0.003660")</f>
        <v/>
      </c>
      <c r="E2561">
        <f>_xlfn.NUMBERVALUE("-0.001130")</f>
        <v/>
      </c>
      <c r="F2561">
        <f>_xlfn.NUMBERVALUE("0.001389")</f>
        <v/>
      </c>
      <c r="G2561">
        <f>_xlfn.NUMBERVALUE("-0.000098")</f>
        <v/>
      </c>
      <c r="H2561">
        <f>_xlfn.NUMBERVALUE("0.000573")</f>
        <v/>
      </c>
      <c r="I2561">
        <f>_xlfn.NUMBERVALUE("-0.000156")</f>
        <v/>
      </c>
      <c r="J2561">
        <f>_xlfn.NUMBERVALUE("-0.001073")</f>
        <v/>
      </c>
      <c r="K2561">
        <f>_xlfn.NUMBERVALUE("0.002182")</f>
        <v/>
      </c>
      <c r="L2561">
        <f>_xlfn.NUMBERVALUE("0.001008")</f>
        <v/>
      </c>
      <c r="M2561">
        <f>_xlfn.NUMBERVALUE("-0.001656")</f>
        <v/>
      </c>
      <c r="N2561">
        <f>_xlfn.NUMBERVALUE("-0.003163")</f>
        <v/>
      </c>
      <c r="O2561">
        <f>_xlfn.NUMBERVALUE("0.000400")</f>
        <v/>
      </c>
      <c r="P2561">
        <f>_xlfn.NUMBERVALUE("-0.003909")</f>
        <v/>
      </c>
      <c r="Q2561">
        <f>_xlfn.NUMBERVALUE("-0.004877")</f>
        <v/>
      </c>
      <c r="R2561">
        <f>_xlfn.NUMBERVALUE("-0.002640")</f>
        <v/>
      </c>
      <c r="S2561">
        <f>_xlfn.NUMBERVALUE("0.000116")</f>
        <v/>
      </c>
      <c r="T2561">
        <f>_xlfn.NUMBERVALUE("-0.005153")</f>
        <v/>
      </c>
      <c r="U2561">
        <f>_xlfn.NUMBERVALUE("-0.002055")</f>
        <v/>
      </c>
      <c r="V2561">
        <f>_xlfn.NUMBERVALUE("-0.002091")</f>
        <v/>
      </c>
      <c r="W2561">
        <f>_xlfn.NUMBERVALUE("-0.019135")</f>
        <v/>
      </c>
      <c r="X2561">
        <f>_xlfn.NUMBERVALUE("2.940000")</f>
        <v/>
      </c>
      <c r="Y2561">
        <f>_xlfn.NUMBERVALUE("24.870000")</f>
        <v/>
      </c>
    </row>
    <row r="2562">
      <c r="A2562" s="1" t="n">
        <v>45723</v>
      </c>
      <c r="B2562">
        <f>_xlfn.NUMBERVALUE("0.005620")</f>
        <v/>
      </c>
      <c r="C2562" s="2">
        <f>_xlfn.NUMBERVALUE("0.002583")</f>
        <v/>
      </c>
      <c r="D2562">
        <f>_xlfn.NUMBERVALUE("0.002770")</f>
        <v/>
      </c>
      <c r="E2562">
        <f>_xlfn.NUMBERVALUE("0.000894")</f>
        <v/>
      </c>
      <c r="F2562">
        <f>_xlfn.NUMBERVALUE("0.003035")</f>
        <v/>
      </c>
      <c r="G2562">
        <f>_xlfn.NUMBERVALUE("0.000559")</f>
        <v/>
      </c>
      <c r="H2562">
        <f>_xlfn.NUMBERVALUE("0.001694")</f>
        <v/>
      </c>
      <c r="I2562">
        <f>_xlfn.NUMBERVALUE("-0.000180")</f>
        <v/>
      </c>
      <c r="J2562">
        <f>_xlfn.NUMBERVALUE("0.002856")</f>
        <v/>
      </c>
      <c r="K2562">
        <f>_xlfn.NUMBERVALUE("0.004217")</f>
        <v/>
      </c>
      <c r="L2562">
        <f>_xlfn.NUMBERVALUE("0.002757")</f>
        <v/>
      </c>
      <c r="M2562">
        <f>_xlfn.NUMBERVALUE("0.002693")</f>
        <v/>
      </c>
      <c r="N2562">
        <f>_xlfn.NUMBERVALUE("0.001957")</f>
        <v/>
      </c>
      <c r="O2562">
        <f>_xlfn.NUMBERVALUE("0.003818")</f>
        <v/>
      </c>
      <c r="P2562">
        <f>_xlfn.NUMBERVALUE("0.001839")</f>
        <v/>
      </c>
      <c r="Q2562">
        <f>_xlfn.NUMBERVALUE("0.004436")</f>
        <v/>
      </c>
      <c r="R2562">
        <f>_xlfn.NUMBERVALUE("0.001331")</f>
        <v/>
      </c>
      <c r="S2562">
        <f>_xlfn.NUMBERVALUE("0.002716")</f>
        <v/>
      </c>
      <c r="T2562">
        <f>_xlfn.NUMBERVALUE("0.002621")</f>
        <v/>
      </c>
      <c r="U2562">
        <f>_xlfn.NUMBERVALUE("0.000336")</f>
        <v/>
      </c>
      <c r="V2562">
        <f>_xlfn.NUMBERVALUE("0.000678")</f>
        <v/>
      </c>
      <c r="W2562">
        <f>_xlfn.NUMBERVALUE("0.004982")</f>
        <v/>
      </c>
      <c r="X2562">
        <f>_xlfn.NUMBERVALUE("-1.500000")</f>
        <v/>
      </c>
      <c r="Y2562">
        <f>_xlfn.NUMBERVALUE("23.370000")</f>
        <v/>
      </c>
    </row>
    <row r="2563">
      <c r="A2563" s="1" t="n">
        <v>45726</v>
      </c>
      <c r="B2563">
        <f>_xlfn.NUMBERVALUE("-0.021140")</f>
        <v/>
      </c>
      <c r="C2563" s="2">
        <f>_xlfn.NUMBERVALUE("-0.000882")</f>
        <v/>
      </c>
      <c r="D2563">
        <f>_xlfn.NUMBERVALUE("-0.002509")</f>
        <v/>
      </c>
      <c r="E2563">
        <f>_xlfn.NUMBERVALUE("0.000804")</f>
        <v/>
      </c>
      <c r="F2563">
        <f>_xlfn.NUMBERVALUE("0.000452")</f>
        <v/>
      </c>
      <c r="G2563">
        <f>_xlfn.NUMBERVALUE("0.001298")</f>
        <v/>
      </c>
      <c r="H2563">
        <f>_xlfn.NUMBERVALUE("-0.000276")</f>
        <v/>
      </c>
      <c r="I2563">
        <f>_xlfn.NUMBERVALUE("-0.000217")</f>
        <v/>
      </c>
      <c r="J2563">
        <f>_xlfn.NUMBERVALUE("0.000413")</f>
        <v/>
      </c>
      <c r="K2563">
        <f>_xlfn.NUMBERVALUE("0.003755")</f>
        <v/>
      </c>
      <c r="L2563">
        <f>_xlfn.NUMBERVALUE("-0.001291")</f>
        <v/>
      </c>
      <c r="M2563">
        <f>_xlfn.NUMBERVALUE("-0.005746")</f>
        <v/>
      </c>
      <c r="N2563">
        <f>_xlfn.NUMBERVALUE("-0.003400")</f>
        <v/>
      </c>
      <c r="O2563">
        <f>_xlfn.NUMBERVALUE("0.001129")</f>
        <v/>
      </c>
      <c r="P2563">
        <f>_xlfn.NUMBERVALUE("-0.002685")</f>
        <v/>
      </c>
      <c r="Q2563">
        <f>_xlfn.NUMBERVALUE("-0.001785")</f>
        <v/>
      </c>
      <c r="R2563">
        <f>_xlfn.NUMBERVALUE("-0.001684")</f>
        <v/>
      </c>
      <c r="S2563">
        <f>_xlfn.NUMBERVALUE("-0.000478")</f>
        <v/>
      </c>
      <c r="T2563">
        <f>_xlfn.NUMBERVALUE("-0.000178")</f>
        <v/>
      </c>
      <c r="U2563">
        <f>_xlfn.NUMBERVALUE("-0.001056")</f>
        <v/>
      </c>
      <c r="V2563">
        <f>_xlfn.NUMBERVALUE("-0.000241")</f>
        <v/>
      </c>
      <c r="W2563">
        <f>_xlfn.NUMBERVALUE("-0.026699")</f>
        <v/>
      </c>
      <c r="X2563">
        <f>_xlfn.NUMBERVALUE("4.490000")</f>
        <v/>
      </c>
      <c r="Y2563">
        <f>_xlfn.NUMBERVALUE("27.860000")</f>
        <v/>
      </c>
    </row>
    <row r="2564">
      <c r="A2564" s="1" t="n">
        <v>45727</v>
      </c>
      <c r="B2564">
        <f>_xlfn.NUMBERVALUE("0.000827")</f>
        <v/>
      </c>
      <c r="C2564" s="2">
        <f>_xlfn.NUMBERVALUE("-0.000030")</f>
        <v/>
      </c>
      <c r="D2564">
        <f>_xlfn.NUMBERVALUE("0.001728")</f>
        <v/>
      </c>
      <c r="E2564">
        <f>_xlfn.NUMBERVALUE("0.000524")</f>
        <v/>
      </c>
      <c r="F2564">
        <f>_xlfn.NUMBERVALUE("-0.002520")</f>
        <v/>
      </c>
      <c r="G2564">
        <f>_xlfn.NUMBERVALUE("-0.000561")</f>
        <v/>
      </c>
      <c r="H2564">
        <f>_xlfn.NUMBERVALUE("0.000044")</f>
        <v/>
      </c>
      <c r="I2564">
        <f>_xlfn.NUMBERVALUE("-0.000100")</f>
        <v/>
      </c>
      <c r="J2564">
        <f>_xlfn.NUMBERVALUE("0.000537")</f>
        <v/>
      </c>
      <c r="K2564">
        <f>_xlfn.NUMBERVALUE("-0.011568")</f>
        <v/>
      </c>
      <c r="L2564">
        <f>_xlfn.NUMBERVALUE("0.000389")</f>
        <v/>
      </c>
      <c r="M2564">
        <f>_xlfn.NUMBERVALUE("-0.000172")</f>
        <v/>
      </c>
      <c r="N2564">
        <f>_xlfn.NUMBERVALUE("-0.000058")</f>
        <v/>
      </c>
      <c r="O2564">
        <f>_xlfn.NUMBERVALUE("0.003991")</f>
        <v/>
      </c>
      <c r="P2564">
        <f>_xlfn.NUMBERVALUE("0.000813")</f>
        <v/>
      </c>
      <c r="Q2564">
        <f>_xlfn.NUMBERVALUE("-0.000446")</f>
        <v/>
      </c>
      <c r="R2564">
        <f>_xlfn.NUMBERVALUE("-0.000299")</f>
        <v/>
      </c>
      <c r="S2564">
        <f>_xlfn.NUMBERVALUE("0.001845")</f>
        <v/>
      </c>
      <c r="T2564">
        <f>_xlfn.NUMBERVALUE("0.001985")</f>
        <v/>
      </c>
      <c r="U2564">
        <f>_xlfn.NUMBERVALUE("-0.001718")</f>
        <v/>
      </c>
      <c r="V2564">
        <f>_xlfn.NUMBERVALUE("-0.000342")</f>
        <v/>
      </c>
      <c r="W2564">
        <f>_xlfn.NUMBERVALUE("-0.000366")</f>
        <v/>
      </c>
      <c r="X2564">
        <f>_xlfn.NUMBERVALUE("-0.940000")</f>
        <v/>
      </c>
      <c r="Y2564">
        <f>_xlfn.NUMBERVALUE("26.920000")</f>
        <v/>
      </c>
    </row>
    <row r="2565">
      <c r="A2565" s="1" t="n">
        <v>45728</v>
      </c>
      <c r="B2565">
        <f>_xlfn.NUMBERVALUE("0.003507")</f>
        <v/>
      </c>
      <c r="C2565" s="2">
        <f>_xlfn.NUMBERVALUE("0.004642")</f>
        <v/>
      </c>
      <c r="D2565">
        <f>_xlfn.NUMBERVALUE("0.006096")</f>
        <v/>
      </c>
      <c r="E2565">
        <f>_xlfn.NUMBERVALUE("0.001860")</f>
        <v/>
      </c>
      <c r="F2565">
        <f>_xlfn.NUMBERVALUE("0.000640")</f>
        <v/>
      </c>
      <c r="G2565">
        <f>_xlfn.NUMBERVALUE("0.001040")</f>
        <v/>
      </c>
      <c r="H2565">
        <f>_xlfn.NUMBERVALUE("0.000959")</f>
        <v/>
      </c>
      <c r="I2565">
        <f>_xlfn.NUMBERVALUE("0.005979")</f>
        <v/>
      </c>
      <c r="J2565">
        <f>_xlfn.NUMBERVALUE("0.001595")</f>
        <v/>
      </c>
      <c r="K2565">
        <f>_xlfn.NUMBERVALUE("0.000988")</f>
        <v/>
      </c>
      <c r="L2565">
        <f>_xlfn.NUMBERVALUE("0.002483")</f>
        <v/>
      </c>
      <c r="M2565">
        <f>_xlfn.NUMBERVALUE("0.000375")</f>
        <v/>
      </c>
      <c r="N2565">
        <f>_xlfn.NUMBERVALUE("0.000601")</f>
        <v/>
      </c>
      <c r="O2565">
        <f>_xlfn.NUMBERVALUE("0.005110")</f>
        <v/>
      </c>
      <c r="P2565">
        <f>_xlfn.NUMBERVALUE("-0.000123")</f>
        <v/>
      </c>
      <c r="Q2565">
        <f>_xlfn.NUMBERVALUE("-0.000807")</f>
        <v/>
      </c>
      <c r="R2565">
        <f>_xlfn.NUMBERVALUE("-0.000515")</f>
        <v/>
      </c>
      <c r="S2565">
        <f>_xlfn.NUMBERVALUE("-0.004570")</f>
        <v/>
      </c>
      <c r="T2565">
        <f>_xlfn.NUMBERVALUE("0.000962")</f>
        <v/>
      </c>
      <c r="U2565">
        <f>_xlfn.NUMBERVALUE("0.001431")</f>
        <v/>
      </c>
      <c r="V2565">
        <f>_xlfn.NUMBERVALUE("0.004368")</f>
        <v/>
      </c>
      <c r="W2565">
        <f>_xlfn.NUMBERVALUE("0.000590")</f>
        <v/>
      </c>
      <c r="X2565">
        <f>_xlfn.NUMBERVALUE("-2.690000")</f>
        <v/>
      </c>
      <c r="Y2565">
        <f>_xlfn.NUMBERVALUE("24.230000")</f>
        <v/>
      </c>
    </row>
    <row r="2566">
      <c r="A2566" s="1" t="n">
        <v>45729</v>
      </c>
      <c r="B2566">
        <f>_xlfn.NUMBERVALUE("-0.001205")</f>
        <v/>
      </c>
      <c r="C2566" s="2">
        <f>_xlfn.NUMBERVALUE("-0.000957")</f>
        <v/>
      </c>
      <c r="D2566">
        <f>_xlfn.NUMBERVALUE("-0.000524")</f>
        <v/>
      </c>
      <c r="E2566">
        <f>_xlfn.NUMBERVALUE("0.000873")</f>
        <v/>
      </c>
      <c r="F2566">
        <f>_xlfn.NUMBERVALUE("-0.003308")</f>
        <v/>
      </c>
      <c r="G2566">
        <f>_xlfn.NUMBERVALUE("-0.002822")</f>
        <v/>
      </c>
      <c r="H2566">
        <f>_xlfn.NUMBERVALUE("-0.000072")</f>
        <v/>
      </c>
      <c r="I2566">
        <f>_xlfn.NUMBERVALUE("-0.000516")</f>
        <v/>
      </c>
      <c r="J2566">
        <f>_xlfn.NUMBERVALUE("-0.000151")</f>
        <v/>
      </c>
      <c r="K2566">
        <f>_xlfn.NUMBERVALUE("-0.001238")</f>
        <v/>
      </c>
      <c r="L2566">
        <f>_xlfn.NUMBERVALUE("-0.000782")</f>
        <v/>
      </c>
      <c r="M2566">
        <f>_xlfn.NUMBERVALUE("-0.000121")</f>
        <v/>
      </c>
      <c r="N2566">
        <f>_xlfn.NUMBERVALUE("-0.003637")</f>
        <v/>
      </c>
      <c r="O2566">
        <f>_xlfn.NUMBERVALUE("-0.001193")</f>
        <v/>
      </c>
      <c r="P2566">
        <f>_xlfn.NUMBERVALUE("0.000052")</f>
        <v/>
      </c>
      <c r="Q2566">
        <f>_xlfn.NUMBERVALUE("0.000462")</f>
        <v/>
      </c>
      <c r="R2566">
        <f>_xlfn.NUMBERVALUE("0.001014")</f>
        <v/>
      </c>
      <c r="S2566">
        <f>_xlfn.NUMBERVALUE("0.001393")</f>
        <v/>
      </c>
      <c r="T2566">
        <f>_xlfn.NUMBERVALUE("0.001264")</f>
        <v/>
      </c>
      <c r="U2566">
        <f>_xlfn.NUMBERVALUE("-0.000400")</f>
        <v/>
      </c>
      <c r="V2566">
        <f>_xlfn.NUMBERVALUE("-0.001056")</f>
        <v/>
      </c>
      <c r="W2566">
        <f>_xlfn.NUMBERVALUE("-0.015621")</f>
        <v/>
      </c>
      <c r="X2566">
        <f>_xlfn.NUMBERVALUE("0.430000")</f>
        <v/>
      </c>
      <c r="Y2566">
        <f>_xlfn.NUMBERVALUE("24.660000")</f>
        <v/>
      </c>
    </row>
    <row r="2567">
      <c r="A2567" s="1" t="n">
        <v>45730</v>
      </c>
      <c r="B2567">
        <f>_xlfn.NUMBERVALUE("0.002384")</f>
        <v/>
      </c>
      <c r="C2567" s="2">
        <f>_xlfn.NUMBERVALUE("0.002312")</f>
        <v/>
      </c>
      <c r="D2567">
        <f>_xlfn.NUMBERVALUE("-0.003561")</f>
        <v/>
      </c>
      <c r="E2567">
        <f>_xlfn.NUMBERVALUE("-0.000344")</f>
        <v/>
      </c>
      <c r="F2567">
        <f>_xlfn.NUMBERVALUE("0.001469")</f>
        <v/>
      </c>
      <c r="G2567">
        <f>_xlfn.NUMBERVALUE("0.002899")</f>
        <v/>
      </c>
      <c r="H2567">
        <f>_xlfn.NUMBERVALUE("0.000768")</f>
        <v/>
      </c>
      <c r="I2567">
        <f>_xlfn.NUMBERVALUE("0.002863")</f>
        <v/>
      </c>
      <c r="J2567">
        <f>_xlfn.NUMBERVALUE("0.000997")</f>
        <v/>
      </c>
      <c r="K2567">
        <f>_xlfn.NUMBERVALUE("0.000924")</f>
        <v/>
      </c>
      <c r="L2567">
        <f>_xlfn.NUMBERVALUE("0.001243")</f>
        <v/>
      </c>
      <c r="M2567">
        <f>_xlfn.NUMBERVALUE("-0.000102")</f>
        <v/>
      </c>
      <c r="N2567">
        <f>_xlfn.NUMBERVALUE("0.003402")</f>
        <v/>
      </c>
      <c r="O2567">
        <f>_xlfn.NUMBERVALUE("0.004013")</f>
        <v/>
      </c>
      <c r="P2567">
        <f>_xlfn.NUMBERVALUE("-0.000058")</f>
        <v/>
      </c>
      <c r="Q2567">
        <f>_xlfn.NUMBERVALUE("0.000637")</f>
        <v/>
      </c>
      <c r="R2567">
        <f>_xlfn.NUMBERVALUE("-0.000158")</f>
        <v/>
      </c>
      <c r="S2567">
        <f>_xlfn.NUMBERVALUE("0.000845")</f>
        <v/>
      </c>
      <c r="T2567">
        <f>_xlfn.NUMBERVALUE("0.000111")</f>
        <v/>
      </c>
      <c r="U2567">
        <f>_xlfn.NUMBERVALUE("0.000354")</f>
        <v/>
      </c>
      <c r="V2567">
        <f>_xlfn.NUMBERVALUE("0.002414")</f>
        <v/>
      </c>
      <c r="W2567">
        <f>_xlfn.NUMBERVALUE("0.020100")</f>
        <v/>
      </c>
      <c r="X2567">
        <f>_xlfn.NUMBERVALUE("-2.890000")</f>
        <v/>
      </c>
      <c r="Y2567">
        <f>_xlfn.NUMBERVALUE("21.770000")</f>
        <v/>
      </c>
    </row>
    <row r="2568">
      <c r="A2568" s="1" t="n">
        <v>45733</v>
      </c>
      <c r="B2568">
        <f>_xlfn.NUMBERVALUE("0.005432")</f>
        <v/>
      </c>
      <c r="C2568" s="2">
        <f>_xlfn.NUMBERVALUE("0.000775")</f>
        <v/>
      </c>
      <c r="D2568">
        <f>_xlfn.NUMBERVALUE("-0.004033")</f>
        <v/>
      </c>
      <c r="E2568">
        <f>_xlfn.NUMBERVALUE("0.004483")</f>
        <v/>
      </c>
      <c r="F2568">
        <f>_xlfn.NUMBERVALUE("0.000507")</f>
        <v/>
      </c>
      <c r="G2568">
        <f>_xlfn.NUMBERVALUE("0.001537")</f>
        <v/>
      </c>
      <c r="H2568">
        <f>_xlfn.NUMBERVALUE("0.000888")</f>
        <v/>
      </c>
      <c r="I2568">
        <f>_xlfn.NUMBERVALUE("0.001760")</f>
        <v/>
      </c>
      <c r="J2568">
        <f>_xlfn.NUMBERVALUE("0.000402")</f>
        <v/>
      </c>
      <c r="K2568">
        <f>_xlfn.NUMBERVALUE("0.003352")</f>
        <v/>
      </c>
      <c r="L2568">
        <f>_xlfn.NUMBERVALUE("0.002011")</f>
        <v/>
      </c>
      <c r="M2568">
        <f>_xlfn.NUMBERVALUE("0.001833")</f>
        <v/>
      </c>
      <c r="N2568">
        <f>_xlfn.NUMBERVALUE("-0.000316")</f>
        <v/>
      </c>
      <c r="O2568">
        <f>_xlfn.NUMBERVALUE("-0.001179")</f>
        <v/>
      </c>
      <c r="P2568">
        <f>_xlfn.NUMBERVALUE("0.000318")</f>
        <v/>
      </c>
      <c r="Q2568">
        <f>_xlfn.NUMBERVALUE("-0.001064")</f>
        <v/>
      </c>
      <c r="R2568">
        <f>_xlfn.NUMBERVALUE("0.000284")</f>
        <v/>
      </c>
      <c r="S2568">
        <f>_xlfn.NUMBERVALUE("0.000829")</f>
        <v/>
      </c>
      <c r="T2568">
        <f>_xlfn.NUMBERVALUE("0.002068")</f>
        <v/>
      </c>
      <c r="U2568">
        <f>_xlfn.NUMBERVALUE("0.005302")</f>
        <v/>
      </c>
      <c r="V2568">
        <f>_xlfn.NUMBERVALUE("0.001085")</f>
        <v/>
      </c>
      <c r="W2568">
        <f>_xlfn.NUMBERVALUE("0.012673")</f>
        <v/>
      </c>
      <c r="X2568">
        <f>_xlfn.NUMBERVALUE("-1.260000")</f>
        <v/>
      </c>
      <c r="Y2568">
        <f>_xlfn.NUMBERVALUE("20.510000")</f>
        <v/>
      </c>
    </row>
    <row r="2569">
      <c r="A2569" s="1" t="n">
        <v>45734</v>
      </c>
      <c r="B2569">
        <f>_xlfn.NUMBERVALUE("-0.003200")</f>
        <v/>
      </c>
      <c r="C2569" s="2">
        <f>_xlfn.NUMBERVALUE("-0.000763")</f>
        <v/>
      </c>
      <c r="D2569">
        <f>_xlfn.NUMBERVALUE("0.001471")</f>
        <v/>
      </c>
      <c r="E2569">
        <f>_xlfn.NUMBERVALUE("-0.005975")</f>
        <v/>
      </c>
      <c r="F2569">
        <f>_xlfn.NUMBERVALUE("-0.001487")</f>
        <v/>
      </c>
      <c r="G2569">
        <f>_xlfn.NUMBERVALUE("-0.000972")</f>
        <v/>
      </c>
      <c r="H2569">
        <f>_xlfn.NUMBERVALUE("0.000722")</f>
        <v/>
      </c>
      <c r="I2569">
        <f>_xlfn.NUMBERVALUE("-0.002020")</f>
        <v/>
      </c>
      <c r="J2569">
        <f>_xlfn.NUMBERVALUE("0.000344")</f>
        <v/>
      </c>
      <c r="K2569">
        <f>_xlfn.NUMBERVALUE("0.002061")</f>
        <v/>
      </c>
      <c r="L2569">
        <f>_xlfn.NUMBERVALUE("0.001030")</f>
        <v/>
      </c>
      <c r="M2569">
        <f>_xlfn.NUMBERVALUE("-0.002272")</f>
        <v/>
      </c>
      <c r="N2569">
        <f>_xlfn.NUMBERVALUE("-0.001036")</f>
        <v/>
      </c>
      <c r="O2569">
        <f>_xlfn.NUMBERVALUE("0.002065")</f>
        <v/>
      </c>
      <c r="P2569">
        <f>_xlfn.NUMBERVALUE("-0.001376")</f>
        <v/>
      </c>
      <c r="Q2569">
        <f>_xlfn.NUMBERVALUE("-0.000717")</f>
        <v/>
      </c>
      <c r="R2569">
        <f>_xlfn.NUMBERVALUE("-0.001632")</f>
        <v/>
      </c>
      <c r="S2569">
        <f>_xlfn.NUMBERVALUE("-0.001372")</f>
        <v/>
      </c>
      <c r="T2569">
        <f>_xlfn.NUMBERVALUE("0.000203")</f>
        <v/>
      </c>
      <c r="U2569">
        <f>_xlfn.NUMBERVALUE("-0.002176")</f>
        <v/>
      </c>
      <c r="V2569">
        <f>_xlfn.NUMBERVALUE("-0.001580")</f>
        <v/>
      </c>
      <c r="W2569">
        <f>_xlfn.NUMBERVALUE("-0.014501")</f>
        <v/>
      </c>
      <c r="X2569">
        <f>_xlfn.NUMBERVALUE("1.190000")</f>
        <v/>
      </c>
      <c r="Y2569">
        <f>_xlfn.NUMBERVALUE("21.700000")</f>
        <v/>
      </c>
    </row>
    <row r="2570">
      <c r="A2570" s="1" t="n">
        <v>45735</v>
      </c>
      <c r="B2570">
        <f>_xlfn.NUMBERVALUE("0.000856")</f>
        <v/>
      </c>
      <c r="C2570" s="2">
        <f>_xlfn.NUMBERVALUE("0.001640")</f>
        <v/>
      </c>
      <c r="D2570">
        <f>_xlfn.NUMBERVALUE("0.005986")</f>
        <v/>
      </c>
      <c r="E2570">
        <f>_xlfn.NUMBERVALUE("0.002146")</f>
        <v/>
      </c>
      <c r="F2570">
        <f>_xlfn.NUMBERVALUE("0.001273")</f>
        <v/>
      </c>
      <c r="G2570">
        <f>_xlfn.NUMBERVALUE("-0.000507")</f>
        <v/>
      </c>
      <c r="H2570">
        <f>_xlfn.NUMBERVALUE("0.001187")</f>
        <v/>
      </c>
      <c r="I2570">
        <f>_xlfn.NUMBERVALUE("0.001566")</f>
        <v/>
      </c>
      <c r="J2570">
        <f>_xlfn.NUMBERVALUE("-0.000026")</f>
        <v/>
      </c>
      <c r="K2570">
        <f>_xlfn.NUMBERVALUE("0.001782")</f>
        <v/>
      </c>
      <c r="L2570">
        <f>_xlfn.NUMBERVALUE("0.001975")</f>
        <v/>
      </c>
      <c r="M2570">
        <f>_xlfn.NUMBERVALUE("0.004640")</f>
        <v/>
      </c>
      <c r="N2570">
        <f>_xlfn.NUMBERVALUE("0.000136")</f>
        <v/>
      </c>
      <c r="O2570">
        <f>_xlfn.NUMBERVALUE("-0.000821")</f>
        <v/>
      </c>
      <c r="P2570">
        <f>_xlfn.NUMBERVALUE("0.000770")</f>
        <v/>
      </c>
      <c r="Q2570">
        <f>_xlfn.NUMBERVALUE("0.000622")</f>
        <v/>
      </c>
      <c r="R2570">
        <f>_xlfn.NUMBERVALUE("0.002459")</f>
        <v/>
      </c>
      <c r="S2570">
        <f>_xlfn.NUMBERVALUE("0.002887")</f>
        <v/>
      </c>
      <c r="T2570">
        <f>_xlfn.NUMBERVALUE("0.005309")</f>
        <v/>
      </c>
      <c r="U2570">
        <f>_xlfn.NUMBERVALUE("0.000048")</f>
        <v/>
      </c>
      <c r="V2570">
        <f>_xlfn.NUMBERVALUE("0.000962")</f>
        <v/>
      </c>
      <c r="W2570">
        <f>_xlfn.NUMBERVALUE("0.015213")</f>
        <v/>
      </c>
      <c r="X2570">
        <f>_xlfn.NUMBERVALUE("-1.800000")</f>
        <v/>
      </c>
      <c r="Y2570">
        <f>_xlfn.NUMBERVALUE("19.900000")</f>
        <v/>
      </c>
    </row>
    <row r="2571">
      <c r="A2571" s="1" t="n">
        <v>45736</v>
      </c>
      <c r="B2571">
        <f>_xlfn.NUMBERVALUE("0.001525")</f>
        <v/>
      </c>
      <c r="C2571" s="2">
        <f>_xlfn.NUMBERVALUE("0.000670")</f>
        <v/>
      </c>
      <c r="D2571">
        <f>_xlfn.NUMBERVALUE("-0.002239")</f>
        <v/>
      </c>
      <c r="E2571">
        <f>_xlfn.NUMBERVALUE("0.000883")</f>
        <v/>
      </c>
      <c r="F2571">
        <f>_xlfn.NUMBERVALUE("0.000946")</f>
        <v/>
      </c>
      <c r="G2571">
        <f>_xlfn.NUMBERVALUE("0.001137")</f>
        <v/>
      </c>
      <c r="H2571">
        <f>_xlfn.NUMBERVALUE("0.000313")</f>
        <v/>
      </c>
      <c r="I2571">
        <f>_xlfn.NUMBERVALUE("0.002144")</f>
        <v/>
      </c>
      <c r="J2571">
        <f>_xlfn.NUMBERVALUE("0.000327")</f>
        <v/>
      </c>
      <c r="K2571">
        <f>_xlfn.NUMBERVALUE("0.002300")</f>
        <v/>
      </c>
      <c r="L2571">
        <f>_xlfn.NUMBERVALUE("0.000448")</f>
        <v/>
      </c>
      <c r="M2571">
        <f>_xlfn.NUMBERVALUE("0.001392")</f>
        <v/>
      </c>
      <c r="N2571">
        <f>_xlfn.NUMBERVALUE("0.000327")</f>
        <v/>
      </c>
      <c r="O2571">
        <f>_xlfn.NUMBERVALUE("0.000734")</f>
        <v/>
      </c>
      <c r="P2571">
        <f>_xlfn.NUMBERVALUE("0.000821")</f>
        <v/>
      </c>
      <c r="Q2571">
        <f>_xlfn.NUMBERVALUE("0.001857")</f>
        <v/>
      </c>
      <c r="R2571">
        <f>_xlfn.NUMBERVALUE("0.001408")</f>
        <v/>
      </c>
      <c r="S2571">
        <f>_xlfn.NUMBERVALUE("0.000574")</f>
        <v/>
      </c>
      <c r="T2571">
        <f>_xlfn.NUMBERVALUE("0.000105")</f>
        <v/>
      </c>
      <c r="U2571">
        <f>_xlfn.NUMBERVALUE("0.002119")</f>
        <v/>
      </c>
      <c r="V2571">
        <f>_xlfn.NUMBERVALUE("0.001039")</f>
        <v/>
      </c>
      <c r="W2571">
        <f>_xlfn.NUMBERVALUE("-0.005534")</f>
        <v/>
      </c>
      <c r="X2571">
        <f>_xlfn.NUMBERVALUE("-0.100000")</f>
        <v/>
      </c>
      <c r="Y2571">
        <f>_xlfn.NUMBERVALUE("19.800000")</f>
        <v/>
      </c>
    </row>
    <row r="2572">
      <c r="A2572" s="1" t="n">
        <v>45737</v>
      </c>
      <c r="B2572">
        <f>_xlfn.NUMBERVALUE("0.003240")</f>
        <v/>
      </c>
      <c r="C2572" s="2">
        <f>_xlfn.NUMBERVALUE("0.001568")</f>
        <v/>
      </c>
      <c r="D2572">
        <f>_xlfn.NUMBERVALUE("0.003154")</f>
        <v/>
      </c>
      <c r="E2572">
        <f>_xlfn.NUMBERVALUE("-0.001222")</f>
        <v/>
      </c>
      <c r="F2572">
        <f>_xlfn.NUMBERVALUE("0.001320")</f>
        <v/>
      </c>
      <c r="G2572">
        <f>_xlfn.NUMBERVALUE("-0.000109")</f>
        <v/>
      </c>
      <c r="H2572">
        <f>_xlfn.NUMBERVALUE("0.000946")</f>
        <v/>
      </c>
      <c r="I2572">
        <f>_xlfn.NUMBERVALUE("0.001377")</f>
        <v/>
      </c>
      <c r="J2572">
        <f>_xlfn.NUMBERVALUE("0.000123")</f>
        <v/>
      </c>
      <c r="K2572">
        <f>_xlfn.NUMBERVALUE("-0.000291")</f>
        <v/>
      </c>
      <c r="L2572">
        <f>_xlfn.NUMBERVALUE("0.001203")</f>
        <v/>
      </c>
      <c r="M2572">
        <f>_xlfn.NUMBERVALUE("0.000056")</f>
        <v/>
      </c>
      <c r="N2572">
        <f>_xlfn.NUMBERVALUE("-0.000102")</f>
        <v/>
      </c>
      <c r="O2572">
        <f>_xlfn.NUMBERVALUE("0.003183")</f>
        <v/>
      </c>
      <c r="P2572">
        <f>_xlfn.NUMBERVALUE("0.002577")</f>
        <v/>
      </c>
      <c r="Q2572">
        <f>_xlfn.NUMBERVALUE("0.001700")</f>
        <v/>
      </c>
      <c r="R2572">
        <f>_xlfn.NUMBERVALUE("0.001791")</f>
        <v/>
      </c>
      <c r="S2572">
        <f>_xlfn.NUMBERVALUE("0.002737")</f>
        <v/>
      </c>
      <c r="T2572">
        <f>_xlfn.NUMBERVALUE("0.000627")</f>
        <v/>
      </c>
      <c r="U2572">
        <f>_xlfn.NUMBERVALUE("0.002727")</f>
        <v/>
      </c>
      <c r="V2572">
        <f>_xlfn.NUMBERVALUE("0.001010")</f>
        <v/>
      </c>
      <c r="W2572">
        <f>_xlfn.NUMBERVALUE("-0.006377")</f>
        <v/>
      </c>
      <c r="X2572">
        <f>_xlfn.NUMBERVALUE("-0.520000")</f>
        <v/>
      </c>
      <c r="Y2572">
        <f>_xlfn.NUMBERVALUE("19.280000")</f>
        <v/>
      </c>
    </row>
    <row r="2573">
      <c r="A2573" s="1" t="n">
        <v>45740</v>
      </c>
      <c r="B2573">
        <f>_xlfn.NUMBERVALUE("-0.006152")</f>
        <v/>
      </c>
      <c r="C2573" s="2">
        <f>_xlfn.NUMBERVALUE("-0.001568")</f>
        <v/>
      </c>
      <c r="D2573">
        <f>_xlfn.NUMBERVALUE("0.000708")</f>
        <v/>
      </c>
      <c r="E2573">
        <f>_xlfn.NUMBERVALUE("0.007268")</f>
        <v/>
      </c>
      <c r="F2573">
        <f>_xlfn.NUMBERVALUE("0.002029")</f>
        <v/>
      </c>
      <c r="G2573">
        <f>_xlfn.NUMBERVALUE("0.000922")</f>
        <v/>
      </c>
      <c r="H2573">
        <f>_xlfn.NUMBERVALUE("-0.000446")</f>
        <v/>
      </c>
      <c r="I2573">
        <f>_xlfn.NUMBERVALUE("-0.002854")</f>
        <v/>
      </c>
      <c r="J2573">
        <f>_xlfn.NUMBERVALUE("0.000245")</f>
        <v/>
      </c>
      <c r="K2573">
        <f>_xlfn.NUMBERVALUE("0.004386")</f>
        <v/>
      </c>
      <c r="L2573">
        <f>_xlfn.NUMBERVALUE("-0.001387")</f>
        <v/>
      </c>
      <c r="M2573">
        <f>_xlfn.NUMBERVALUE("0.000150")</f>
        <v/>
      </c>
      <c r="N2573">
        <f>_xlfn.NUMBERVALUE("0.001540")</f>
        <v/>
      </c>
      <c r="O2573">
        <f>_xlfn.NUMBERVALUE("-0.001814")</f>
        <v/>
      </c>
      <c r="P2573">
        <f>_xlfn.NUMBERVALUE("-0.002168")</f>
        <v/>
      </c>
      <c r="Q2573">
        <f>_xlfn.NUMBERVALUE("-0.003063")</f>
        <v/>
      </c>
      <c r="R2573">
        <f>_xlfn.NUMBERVALUE("0.001127")</f>
        <v/>
      </c>
      <c r="S2573">
        <f>_xlfn.NUMBERVALUE("0.002415")</f>
        <v/>
      </c>
      <c r="T2573">
        <f>_xlfn.NUMBERVALUE("0.002774")</f>
        <v/>
      </c>
      <c r="U2573">
        <f>_xlfn.NUMBERVALUE("-0.009482")</f>
        <v/>
      </c>
      <c r="V2573">
        <f>_xlfn.NUMBERVALUE("-0.002041")</f>
        <v/>
      </c>
      <c r="W2573">
        <f>_xlfn.NUMBERVALUE("0.020979")</f>
        <v/>
      </c>
      <c r="X2573">
        <f>_xlfn.NUMBERVALUE("-1.800000")</f>
        <v/>
      </c>
      <c r="Y2573">
        <f>_xlfn.NUMBERVALUE("17.480000")</f>
        <v/>
      </c>
    </row>
    <row r="2574">
      <c r="A2574" s="1" t="n">
        <v>45741</v>
      </c>
      <c r="B2574">
        <f>_xlfn.NUMBERVALUE("0.002351")</f>
        <v/>
      </c>
      <c r="C2574" s="2">
        <f>_xlfn.NUMBERVALUE("0.001133")</f>
        <v/>
      </c>
      <c r="D2574">
        <f>_xlfn.NUMBERVALUE("0.006980")</f>
        <v/>
      </c>
      <c r="E2574">
        <f>_xlfn.NUMBERVALUE("-0.002462")</f>
        <v/>
      </c>
      <c r="F2574">
        <f>_xlfn.NUMBERVALUE("0.000853")</f>
        <v/>
      </c>
      <c r="G2574">
        <f>_xlfn.NUMBERVALUE("0.000490")</f>
        <v/>
      </c>
      <c r="H2574">
        <f>_xlfn.NUMBERVALUE("0.000205")</f>
        <v/>
      </c>
      <c r="I2574">
        <f>_xlfn.NUMBERVALUE("0.003419")</f>
        <v/>
      </c>
      <c r="J2574">
        <f>_xlfn.NUMBERVALUE("0.000858")</f>
        <v/>
      </c>
      <c r="K2574">
        <f>_xlfn.NUMBERVALUE("-0.002438")</f>
        <v/>
      </c>
      <c r="L2574">
        <f>_xlfn.NUMBERVALUE("0.001810")</f>
        <v/>
      </c>
      <c r="M2574">
        <f>_xlfn.NUMBERVALUE("0.003150")</f>
        <v/>
      </c>
      <c r="N2574">
        <f>_xlfn.NUMBERVALUE("-0.002738")</f>
        <v/>
      </c>
      <c r="O2574">
        <f>_xlfn.NUMBERVALUE("0.000144")</f>
        <v/>
      </c>
      <c r="P2574">
        <f>_xlfn.NUMBERVALUE("0.001020")</f>
        <v/>
      </c>
      <c r="Q2574">
        <f>_xlfn.NUMBERVALUE("0.001668")</f>
        <v/>
      </c>
      <c r="R2574">
        <f>_xlfn.NUMBERVALUE("0.000599")</f>
        <v/>
      </c>
      <c r="S2574">
        <f>_xlfn.NUMBERVALUE("0.000493")</f>
        <v/>
      </c>
      <c r="T2574">
        <f>_xlfn.NUMBERVALUE("-0.002980")</f>
        <v/>
      </c>
      <c r="U2574">
        <f>_xlfn.NUMBERVALUE("0.000587")</f>
        <v/>
      </c>
      <c r="V2574">
        <f>_xlfn.NUMBERVALUE("0.001966")</f>
        <v/>
      </c>
      <c r="W2574">
        <f>_xlfn.NUMBERVALUE("0.000923")</f>
        <v/>
      </c>
      <c r="X2574">
        <f>_xlfn.NUMBERVALUE("-0.330000")</f>
        <v/>
      </c>
      <c r="Y2574">
        <f>_xlfn.NUMBERVALUE("17.150000")</f>
        <v/>
      </c>
    </row>
    <row r="2575">
      <c r="A2575" s="1" t="n">
        <v>45742</v>
      </c>
      <c r="B2575">
        <f>_xlfn.NUMBERVALUE("-0.009771")</f>
        <v/>
      </c>
      <c r="C2575" s="2">
        <f>_xlfn.NUMBERVALUE("-0.001143")</f>
        <v/>
      </c>
      <c r="D2575">
        <f>_xlfn.NUMBERVALUE("-0.002304")</f>
        <v/>
      </c>
      <c r="E2575">
        <f>_xlfn.NUMBERVALUE("-0.001367")</f>
        <v/>
      </c>
      <c r="F2575">
        <f>_xlfn.NUMBERVALUE("0.000832")</f>
        <v/>
      </c>
      <c r="G2575">
        <f>_xlfn.NUMBERVALUE("-0.001249")</f>
        <v/>
      </c>
      <c r="H2575">
        <f>_xlfn.NUMBERVALUE("-0.000675")</f>
        <v/>
      </c>
      <c r="I2575">
        <f>_xlfn.NUMBERVALUE("-0.001451")</f>
        <v/>
      </c>
      <c r="J2575">
        <f>_xlfn.NUMBERVALUE("-0.000099")</f>
        <v/>
      </c>
      <c r="K2575">
        <f>_xlfn.NUMBERVALUE("0.003060")</f>
        <v/>
      </c>
      <c r="L2575">
        <f>_xlfn.NUMBERVALUE("-0.001449")</f>
        <v/>
      </c>
      <c r="M2575">
        <f>_xlfn.NUMBERVALUE("-0.003944")</f>
        <v/>
      </c>
      <c r="N2575">
        <f>_xlfn.NUMBERVALUE("-0.002081")</f>
        <v/>
      </c>
      <c r="O2575">
        <f>_xlfn.NUMBERVALUE("0.000840")</f>
        <v/>
      </c>
      <c r="P2575">
        <f>_xlfn.NUMBERVALUE("-0.001340")</f>
        <v/>
      </c>
      <c r="Q2575">
        <f>_xlfn.NUMBERVALUE("-0.000924")</f>
        <v/>
      </c>
      <c r="R2575">
        <f>_xlfn.NUMBERVALUE("-0.003801")</f>
        <v/>
      </c>
      <c r="S2575">
        <f>_xlfn.NUMBERVALUE("-0.005756")</f>
        <v/>
      </c>
      <c r="T2575">
        <f>_xlfn.NUMBERVALUE("-0.000654")</f>
        <v/>
      </c>
      <c r="U2575">
        <f>_xlfn.NUMBERVALUE("-0.002569")</f>
        <v/>
      </c>
      <c r="V2575">
        <f>_xlfn.NUMBERVALUE("-0.001459")</f>
        <v/>
      </c>
      <c r="W2575">
        <f>_xlfn.NUMBERVALUE("-0.011378")</f>
        <v/>
      </c>
      <c r="X2575">
        <f>_xlfn.NUMBERVALUE("1.180000")</f>
        <v/>
      </c>
      <c r="Y2575">
        <f>_xlfn.NUMBERVALUE("18.330000")</f>
        <v/>
      </c>
    </row>
    <row r="2576">
      <c r="A2576" s="1" t="n">
        <v>45743</v>
      </c>
      <c r="B2576">
        <f>_xlfn.NUMBERVALUE("0.000076")</f>
        <v/>
      </c>
      <c r="C2576" s="2">
        <f>_xlfn.NUMBERVALUE("0.000997")</f>
        <v/>
      </c>
      <c r="D2576">
        <f>_xlfn.NUMBERVALUE("-0.000339")</f>
        <v/>
      </c>
      <c r="E2576">
        <f>_xlfn.NUMBERVALUE("0.001617")</f>
        <v/>
      </c>
      <c r="F2576">
        <f>_xlfn.NUMBERVALUE("-0.002024")</f>
        <v/>
      </c>
      <c r="G2576">
        <f>_xlfn.NUMBERVALUE("0.001168")</f>
        <v/>
      </c>
      <c r="H2576">
        <f>_xlfn.NUMBERVALUE("-0.000046")</f>
        <v/>
      </c>
      <c r="I2576">
        <f>_xlfn.NUMBERVALUE("0.002164")</f>
        <v/>
      </c>
      <c r="J2576">
        <f>_xlfn.NUMBERVALUE("0.000077")</f>
        <v/>
      </c>
      <c r="K2576">
        <f>_xlfn.NUMBERVALUE("-0.007955")</f>
        <v/>
      </c>
      <c r="L2576">
        <f>_xlfn.NUMBERVALUE("0.000926")</f>
        <v/>
      </c>
      <c r="M2576">
        <f>_xlfn.NUMBERVALUE("-0.000364")</f>
        <v/>
      </c>
      <c r="N2576">
        <f>_xlfn.NUMBERVALUE("0.002170")</f>
        <v/>
      </c>
      <c r="O2576">
        <f>_xlfn.NUMBERVALUE("0.000613")</f>
        <v/>
      </c>
      <c r="P2576">
        <f>_xlfn.NUMBERVALUE("0.000935")</f>
        <v/>
      </c>
      <c r="Q2576">
        <f>_xlfn.NUMBERVALUE("0.000806")</f>
        <v/>
      </c>
      <c r="R2576">
        <f>_xlfn.NUMBERVALUE("0.002703")</f>
        <v/>
      </c>
      <c r="S2576">
        <f>_xlfn.NUMBERVALUE("-0.003463")</f>
        <v/>
      </c>
      <c r="T2576">
        <f>_xlfn.NUMBERVALUE("0.000390")</f>
        <v/>
      </c>
      <c r="U2576">
        <f>_xlfn.NUMBERVALUE("-0.000675")</f>
        <v/>
      </c>
      <c r="V2576">
        <f>_xlfn.NUMBERVALUE("0.001708")</f>
        <v/>
      </c>
      <c r="W2576">
        <f>_xlfn.NUMBERVALUE("0.001073")</f>
        <v/>
      </c>
      <c r="X2576">
        <f>_xlfn.NUMBERVALUE("0.360000")</f>
        <v/>
      </c>
      <c r="Y2576">
        <f>_xlfn.NUMBERVALUE("18.690000")</f>
        <v/>
      </c>
    </row>
    <row r="2577">
      <c r="A2577" s="1" t="n">
        <v>45744</v>
      </c>
      <c r="B2577">
        <f>_xlfn.NUMBERVALUE("-0.003803")</f>
        <v/>
      </c>
      <c r="C2577" s="2">
        <f>_xlfn.NUMBERVALUE("-0.004625")</f>
        <v/>
      </c>
      <c r="D2577">
        <f>_xlfn.NUMBERVALUE("-0.003416")</f>
        <v/>
      </c>
      <c r="E2577">
        <f>_xlfn.NUMBERVALUE("-0.002571")</f>
        <v/>
      </c>
      <c r="F2577">
        <f>_xlfn.NUMBERVALUE("-0.000716")</f>
        <v/>
      </c>
      <c r="G2577">
        <f>_xlfn.NUMBERVALUE("-0.000233")</f>
        <v/>
      </c>
      <c r="H2577">
        <f>_xlfn.NUMBERVALUE("-0.000990")</f>
        <v/>
      </c>
      <c r="I2577">
        <f>_xlfn.NUMBERVALUE("-0.005617")</f>
        <v/>
      </c>
      <c r="J2577">
        <f>_xlfn.NUMBERVALUE("-0.000555")</f>
        <v/>
      </c>
      <c r="K2577">
        <f>_xlfn.NUMBERVALUE("0.001197")</f>
        <v/>
      </c>
      <c r="L2577">
        <f>_xlfn.NUMBERVALUE("-0.002387")</f>
        <v/>
      </c>
      <c r="M2577">
        <f>_xlfn.NUMBERVALUE("-0.002263")</f>
        <v/>
      </c>
      <c r="N2577">
        <f>_xlfn.NUMBERVALUE("-0.009471")</f>
        <v/>
      </c>
      <c r="O2577">
        <f>_xlfn.NUMBERVALUE("-0.001780")</f>
        <v/>
      </c>
      <c r="P2577">
        <f>_xlfn.NUMBERVALUE("-0.005820")</f>
        <v/>
      </c>
      <c r="Q2577">
        <f>_xlfn.NUMBERVALUE("-0.006225")</f>
        <v/>
      </c>
      <c r="R2577">
        <f>_xlfn.NUMBERVALUE("-0.008407")</f>
        <v/>
      </c>
      <c r="S2577">
        <f>_xlfn.NUMBERVALUE("-0.001390")</f>
        <v/>
      </c>
      <c r="T2577">
        <f>_xlfn.NUMBERVALUE("-0.002196")</f>
        <v/>
      </c>
      <c r="U2577">
        <f>_xlfn.NUMBERVALUE("-0.009053")</f>
        <v/>
      </c>
      <c r="V2577">
        <f>_xlfn.NUMBERVALUE("-0.006806")</f>
        <v/>
      </c>
      <c r="W2577">
        <f>_xlfn.NUMBERVALUE("-0.023644")</f>
        <v/>
      </c>
      <c r="X2577">
        <f>_xlfn.NUMBERVALUE("2.960000")</f>
        <v/>
      </c>
      <c r="Y2577">
        <f>_xlfn.NUMBERVALUE("21.650000")</f>
        <v/>
      </c>
    </row>
    <row r="2578">
      <c r="A2578" s="1" t="n">
        <v>45747</v>
      </c>
      <c r="B2578">
        <f>_xlfn.NUMBERVALUE("-0.000428")</f>
        <v/>
      </c>
      <c r="C2578" s="2">
        <f>_xlfn.NUMBERVALUE("-0.001704")</f>
        <v/>
      </c>
      <c r="D2578">
        <f>_xlfn.NUMBERVALUE("0.001261")</f>
        <v/>
      </c>
      <c r="E2578">
        <f>_xlfn.NUMBERVALUE("0.001344")</f>
        <v/>
      </c>
      <c r="F2578">
        <f>_xlfn.NUMBERVALUE("-0.000265")</f>
        <v/>
      </c>
      <c r="G2578">
        <f>_xlfn.NUMBERVALUE("-0.000031")</f>
        <v/>
      </c>
      <c r="H2578">
        <f>_xlfn.NUMBERVALUE("0.000184")</f>
        <v/>
      </c>
      <c r="I2578">
        <f>_xlfn.NUMBERVALUE("0.001383")</f>
        <v/>
      </c>
      <c r="J2578">
        <f>_xlfn.NUMBERVALUE("0.000412")</f>
        <v/>
      </c>
      <c r="K2578">
        <f>_xlfn.NUMBERVALUE("0.001150")</f>
        <v/>
      </c>
      <c r="L2578">
        <f>_xlfn.NUMBERVALUE("-0.000714")</f>
        <v/>
      </c>
      <c r="M2578">
        <f>_xlfn.NUMBERVALUE("-0.000908")</f>
        <v/>
      </c>
      <c r="N2578">
        <f>_xlfn.NUMBERVALUE("0.002618")</f>
        <v/>
      </c>
      <c r="O2578">
        <f>_xlfn.NUMBERVALUE("0.000642")</f>
        <v/>
      </c>
      <c r="P2578">
        <f>_xlfn.NUMBERVALUE("-0.000015")</f>
        <v/>
      </c>
      <c r="Q2578">
        <f>_xlfn.NUMBERVALUE("0.001296")</f>
        <v/>
      </c>
      <c r="R2578">
        <f>_xlfn.NUMBERVALUE("0.002581")</f>
        <v/>
      </c>
      <c r="S2578">
        <f>_xlfn.NUMBERVALUE("-0.005383")</f>
        <v/>
      </c>
      <c r="T2578">
        <f>_xlfn.NUMBERVALUE("0.000328")</f>
        <v/>
      </c>
      <c r="U2578">
        <f>_xlfn.NUMBERVALUE("0.003099")</f>
        <v/>
      </c>
      <c r="V2578">
        <f>_xlfn.NUMBERVALUE("0.000726")</f>
        <v/>
      </c>
      <c r="W2578">
        <f>_xlfn.NUMBERVALUE("0.007616")</f>
        <v/>
      </c>
      <c r="X2578">
        <f>_xlfn.NUMBERVALUE("0.630000")</f>
        <v/>
      </c>
      <c r="Y2578">
        <f>_xlfn.NUMBERVALUE("22.280000")</f>
        <v/>
      </c>
    </row>
    <row r="2579">
      <c r="A2579" s="1" t="n">
        <v>45748</v>
      </c>
      <c r="B2579">
        <f>_xlfn.NUMBERVALUE("0.000419")</f>
        <v/>
      </c>
      <c r="C2579" s="2">
        <f>_xlfn.NUMBERVALUE("0.000886")</f>
        <v/>
      </c>
      <c r="D2579">
        <f>_xlfn.NUMBERVALUE("0.000970")</f>
        <v/>
      </c>
      <c r="E2579">
        <f>_xlfn.NUMBERVALUE("-0.000954")</f>
        <v/>
      </c>
      <c r="F2579">
        <f>_xlfn.NUMBERVALUE("0.000510")</f>
        <v/>
      </c>
      <c r="G2579">
        <f>_xlfn.NUMBERVALUE("0.001150")</f>
        <v/>
      </c>
      <c r="H2579">
        <f>_xlfn.NUMBERVALUE("-0.000473")</f>
        <v/>
      </c>
      <c r="I2579">
        <f>_xlfn.NUMBERVALUE("-0.000213")</f>
        <v/>
      </c>
      <c r="J2579">
        <f>_xlfn.NUMBERVALUE("-0.001468")</f>
        <v/>
      </c>
      <c r="K2579">
        <f>_xlfn.NUMBERVALUE("0.002157")</f>
        <v/>
      </c>
      <c r="L2579">
        <f>_xlfn.NUMBERVALUE("-0.000601")</f>
        <v/>
      </c>
      <c r="M2579">
        <f>_xlfn.NUMBERVALUE("0.000592")</f>
        <v/>
      </c>
      <c r="N2579">
        <f>_xlfn.NUMBERVALUE("0.003142")</f>
        <v/>
      </c>
      <c r="O2579">
        <f>_xlfn.NUMBERVALUE("0.001444")</f>
        <v/>
      </c>
      <c r="P2579">
        <f>_xlfn.NUMBERVALUE("-0.000037")</f>
        <v/>
      </c>
      <c r="Q2579">
        <f>_xlfn.NUMBERVALUE("-0.000670")</f>
        <v/>
      </c>
      <c r="R2579">
        <f>_xlfn.NUMBERVALUE("0.000474")</f>
        <v/>
      </c>
      <c r="S2579">
        <f>_xlfn.NUMBERVALUE("0.000857")</f>
        <v/>
      </c>
      <c r="T2579">
        <f>_xlfn.NUMBERVALUE("-0.000150")</f>
        <v/>
      </c>
      <c r="U2579">
        <f>_xlfn.NUMBERVALUE("-0.001745")</f>
        <v/>
      </c>
      <c r="V2579">
        <f>_xlfn.NUMBERVALUE("0.001329")</f>
        <v/>
      </c>
      <c r="W2579">
        <f>_xlfn.NUMBERVALUE("0.001161")</f>
        <v/>
      </c>
      <c r="X2579">
        <f>_xlfn.NUMBERVALUE("-0.510000")</f>
        <v/>
      </c>
      <c r="Y2579">
        <f>_xlfn.NUMBERVALUE("21.770000")</f>
        <v/>
      </c>
    </row>
    <row r="2580">
      <c r="A2580" s="1" t="n">
        <v>45749</v>
      </c>
      <c r="B2580">
        <f>_xlfn.NUMBERVALUE("-0.002389")</f>
        <v/>
      </c>
      <c r="C2580" s="2">
        <f>_xlfn.NUMBERVALUE("-0.001219")</f>
        <v/>
      </c>
      <c r="D2580">
        <f>_xlfn.NUMBERVALUE("-0.000518")</f>
        <v/>
      </c>
      <c r="E2580">
        <f>_xlfn.NUMBERVALUE("0.000864")</f>
        <v/>
      </c>
      <c r="F2580">
        <f>_xlfn.NUMBERVALUE("-0.000052")</f>
        <v/>
      </c>
      <c r="G2580">
        <f>_xlfn.NUMBERVALUE("0.000168")</f>
        <v/>
      </c>
      <c r="H2580">
        <f>_xlfn.NUMBERVALUE("0.000833")</f>
        <v/>
      </c>
      <c r="I2580">
        <f>_xlfn.NUMBERVALUE("-0.000662")</f>
        <v/>
      </c>
      <c r="J2580">
        <f>_xlfn.NUMBERVALUE("0.000007")</f>
        <v/>
      </c>
      <c r="K2580">
        <f>_xlfn.NUMBERVALUE("-0.000911")</f>
        <v/>
      </c>
      <c r="L2580">
        <f>_xlfn.NUMBERVALUE("0.000614")</f>
        <v/>
      </c>
      <c r="M2580">
        <f>_xlfn.NUMBERVALUE("0.000077")</f>
        <v/>
      </c>
      <c r="N2580">
        <f>_xlfn.NUMBERVALUE("0.001481")</f>
        <v/>
      </c>
      <c r="O2580">
        <f>_xlfn.NUMBERVALUE("-0.000136")</f>
        <v/>
      </c>
      <c r="P2580">
        <f>_xlfn.NUMBERVALUE("0.000335")</f>
        <v/>
      </c>
      <c r="Q2580">
        <f>_xlfn.NUMBERVALUE("0.000498")</f>
        <v/>
      </c>
      <c r="R2580">
        <f>_xlfn.NUMBERVALUE("0.000681")</f>
        <v/>
      </c>
      <c r="S2580">
        <f>_xlfn.NUMBERVALUE("0.002623")</f>
        <v/>
      </c>
      <c r="T2580">
        <f>_xlfn.NUMBERVALUE("0.000988")</f>
        <v/>
      </c>
      <c r="U2580">
        <f>_xlfn.NUMBERVALUE("-0.001035")</f>
        <v/>
      </c>
      <c r="V2580">
        <f>_xlfn.NUMBERVALUE("-0.000407")</f>
        <v/>
      </c>
      <c r="W2580">
        <f>_xlfn.NUMBERVALUE("0.008692")</f>
        <v/>
      </c>
      <c r="X2580">
        <f>_xlfn.NUMBERVALUE("-0.260000")</f>
        <v/>
      </c>
      <c r="Y2580">
        <f>_xlfn.NUMBERVALUE("21.510000")</f>
        <v/>
      </c>
    </row>
    <row r="2581">
      <c r="A2581" s="1" t="n">
        <v>45750</v>
      </c>
      <c r="B2581">
        <f>_xlfn.NUMBERVALUE("-0.024621")</f>
        <v/>
      </c>
      <c r="C2581" s="2">
        <f>_xlfn.NUMBERVALUE("-0.017687")</f>
        <v/>
      </c>
      <c r="D2581">
        <f>_xlfn.NUMBERVALUE("-0.003442")</f>
        <v/>
      </c>
      <c r="E2581">
        <f>_xlfn.NUMBERVALUE("-0.007709")</f>
        <v/>
      </c>
      <c r="F2581">
        <f>_xlfn.NUMBERVALUE("0.000296")</f>
        <v/>
      </c>
      <c r="G2581">
        <f>_xlfn.NUMBERVALUE("-0.005095")</f>
        <v/>
      </c>
      <c r="H2581">
        <f>_xlfn.NUMBERVALUE("-0.003595")</f>
        <v/>
      </c>
      <c r="I2581">
        <f>_xlfn.NUMBERVALUE("-0.032385")</f>
        <v/>
      </c>
      <c r="J2581">
        <f>_xlfn.NUMBERVALUE("0.000590")</f>
        <v/>
      </c>
      <c r="K2581">
        <f>_xlfn.NUMBERVALUE("-0.038203")</f>
        <v/>
      </c>
      <c r="L2581">
        <f>_xlfn.NUMBERVALUE("-0.000782")</f>
        <v/>
      </c>
      <c r="M2581">
        <f>_xlfn.NUMBERVALUE("-0.022554")</f>
        <v/>
      </c>
      <c r="N2581">
        <f>_xlfn.NUMBERVALUE("-0.014530")</f>
        <v/>
      </c>
      <c r="O2581">
        <f>_xlfn.NUMBERVALUE("-0.051679")</f>
        <v/>
      </c>
      <c r="P2581">
        <f>_xlfn.NUMBERVALUE("-0.023082")</f>
        <v/>
      </c>
      <c r="Q2581">
        <f>_xlfn.NUMBERVALUE("-0.030096")</f>
        <v/>
      </c>
      <c r="R2581">
        <f>_xlfn.NUMBERVALUE("-0.027609")</f>
        <v/>
      </c>
      <c r="S2581">
        <f>_xlfn.NUMBERVALUE("-0.002494")</f>
        <v/>
      </c>
      <c r="T2581">
        <f>_xlfn.NUMBERVALUE("-0.000975")</f>
        <v/>
      </c>
      <c r="U2581">
        <f>_xlfn.NUMBERVALUE("-0.031592")</f>
        <v/>
      </c>
      <c r="V2581">
        <f>_xlfn.NUMBERVALUE("-0.025705")</f>
        <v/>
      </c>
      <c r="W2581">
        <f>_xlfn.NUMBERVALUE("-0.046960")</f>
        <v/>
      </c>
      <c r="X2581">
        <f>_xlfn.NUMBERVALUE("8.510000")</f>
        <v/>
      </c>
      <c r="Y2581">
        <f>_xlfn.NUMBERVALUE("30.020000")</f>
        <v/>
      </c>
    </row>
    <row r="2582">
      <c r="A2582" s="1" t="n">
        <v>45751</v>
      </c>
      <c r="B2582">
        <f>_xlfn.NUMBERVALUE("-0.036501")</f>
        <v/>
      </c>
      <c r="C2582" s="2">
        <f>_xlfn.NUMBERVALUE("-0.011255")</f>
        <v/>
      </c>
      <c r="D2582">
        <f>_xlfn.NUMBERVALUE("-0.016359")</f>
        <v/>
      </c>
      <c r="E2582">
        <f>_xlfn.NUMBERVALUE("-0.015075")</f>
        <v/>
      </c>
      <c r="F2582">
        <f>_xlfn.NUMBERVALUE("-0.003540")</f>
        <v/>
      </c>
      <c r="G2582">
        <f>_xlfn.NUMBERVALUE("-0.001775")</f>
        <v/>
      </c>
      <c r="H2582">
        <f>_xlfn.NUMBERVALUE("-0.000697")</f>
        <v/>
      </c>
      <c r="I2582">
        <f>_xlfn.NUMBERVALUE("-0.003675")</f>
        <v/>
      </c>
      <c r="J2582">
        <f>_xlfn.NUMBERVALUE("-0.001455")</f>
        <v/>
      </c>
      <c r="K2582">
        <f>_xlfn.NUMBERVALUE("-0.015704")</f>
        <v/>
      </c>
      <c r="L2582">
        <f>_xlfn.NUMBERVALUE("-0.001714")</f>
        <v/>
      </c>
      <c r="M2582">
        <f>_xlfn.NUMBERVALUE("-0.014150")</f>
        <v/>
      </c>
      <c r="N2582">
        <f>_xlfn.NUMBERVALUE("-0.011194")</f>
        <v/>
      </c>
      <c r="O2582">
        <f>_xlfn.NUMBERVALUE("-0.032617")</f>
        <v/>
      </c>
      <c r="P2582">
        <f>_xlfn.NUMBERVALUE("-0.026643")</f>
        <v/>
      </c>
      <c r="Q2582">
        <f>_xlfn.NUMBERVALUE("-0.014068")</f>
        <v/>
      </c>
      <c r="R2582">
        <f>_xlfn.NUMBERVALUE("-0.003852")</f>
        <v/>
      </c>
      <c r="S2582">
        <f>_xlfn.NUMBERVALUE("-0.015730")</f>
        <v/>
      </c>
      <c r="T2582">
        <f>_xlfn.NUMBERVALUE("-0.038053")</f>
        <v/>
      </c>
      <c r="U2582">
        <f>_xlfn.NUMBERVALUE("-0.013717")</f>
        <v/>
      </c>
      <c r="V2582">
        <f>_xlfn.NUMBERVALUE("-0.006800")</f>
        <v/>
      </c>
      <c r="W2582">
        <f>_xlfn.NUMBERVALUE("-0.048142")</f>
        <v/>
      </c>
      <c r="X2582">
        <f>_xlfn.NUMBERVALUE("15.290000")</f>
        <v/>
      </c>
      <c r="Y2582">
        <f>_xlfn.NUMBERVALUE("45.310000")</f>
        <v/>
      </c>
    </row>
    <row r="2583">
      <c r="A2583" s="1" t="n">
        <v>45754</v>
      </c>
      <c r="B2583">
        <f>_xlfn.NUMBERVALUE("0.004410")</f>
        <v/>
      </c>
      <c r="C2583" s="2">
        <f>_xlfn.NUMBERVALUE("-0.001381")</f>
        <v/>
      </c>
      <c r="D2583">
        <f>_xlfn.NUMBERVALUE("-0.002297")</f>
        <v/>
      </c>
      <c r="E2583">
        <f>_xlfn.NUMBERVALUE("-0.001470")</f>
        <v/>
      </c>
      <c r="F2583">
        <f>_xlfn.NUMBERVALUE("0.003057")</f>
        <v/>
      </c>
      <c r="G2583">
        <f>_xlfn.NUMBERVALUE("-0.000632")</f>
        <v/>
      </c>
      <c r="H2583">
        <f>_xlfn.NUMBERVALUE("-0.001936")</f>
        <v/>
      </c>
      <c r="I2583">
        <f>_xlfn.NUMBERVALUE("-0.000758")</f>
        <v/>
      </c>
      <c r="J2583">
        <f>_xlfn.NUMBERVALUE("-0.007675")</f>
        <v/>
      </c>
      <c r="K2583">
        <f>_xlfn.NUMBERVALUE("0.001148")</f>
        <v/>
      </c>
      <c r="L2583">
        <f>_xlfn.NUMBERVALUE("-0.012817")</f>
        <v/>
      </c>
      <c r="M2583">
        <f>_xlfn.NUMBERVALUE("0.000807")</f>
        <v/>
      </c>
      <c r="N2583">
        <f>_xlfn.NUMBERVALUE("-0.002011")</f>
        <v/>
      </c>
      <c r="O2583">
        <f>_xlfn.NUMBERVALUE("-0.000154")</f>
        <v/>
      </c>
      <c r="P2583">
        <f>_xlfn.NUMBERVALUE("-0.002596")</f>
        <v/>
      </c>
      <c r="Q2583">
        <f>_xlfn.NUMBERVALUE("-0.002068")</f>
        <v/>
      </c>
      <c r="R2583">
        <f>_xlfn.NUMBERVALUE("-0.000574")</f>
        <v/>
      </c>
      <c r="S2583">
        <f>_xlfn.NUMBERVALUE("-0.006306")</f>
        <v/>
      </c>
      <c r="T2583">
        <f>_xlfn.NUMBERVALUE("-0.005316")</f>
        <v/>
      </c>
      <c r="U2583">
        <f>_xlfn.NUMBERVALUE("-0.004786")</f>
        <v/>
      </c>
      <c r="V2583">
        <f>_xlfn.NUMBERVALUE("-0.001051")</f>
        <v/>
      </c>
      <c r="W2583">
        <f>_xlfn.NUMBERVALUE("-0.020968")</f>
        <v/>
      </c>
      <c r="X2583">
        <f>_xlfn.NUMBERVALUE("1.670000")</f>
        <v/>
      </c>
      <c r="Y2583">
        <f>_xlfn.NUMBERVALUE("46.980000")</f>
        <v/>
      </c>
    </row>
    <row r="2584">
      <c r="A2584" s="1" t="n">
        <v>45755</v>
      </c>
      <c r="B2584">
        <f>_xlfn.NUMBERVALUE("-0.002765")</f>
        <v/>
      </c>
      <c r="C2584" s="2">
        <f>_xlfn.NUMBERVALUE("-0.000061")</f>
        <v/>
      </c>
      <c r="D2584">
        <f>_xlfn.NUMBERVALUE("0.000408")</f>
        <v/>
      </c>
      <c r="E2584">
        <f>_xlfn.NUMBERVALUE("0.000310")</f>
        <v/>
      </c>
      <c r="F2584">
        <f>_xlfn.NUMBERVALUE("0.002545")</f>
        <v/>
      </c>
      <c r="G2584">
        <f>_xlfn.NUMBERVALUE("-0.000087")</f>
        <v/>
      </c>
      <c r="H2584">
        <f>_xlfn.NUMBERVALUE("0.002483")</f>
        <v/>
      </c>
      <c r="I2584">
        <f>_xlfn.NUMBERVALUE("-0.000459")</f>
        <v/>
      </c>
      <c r="J2584">
        <f>_xlfn.NUMBERVALUE("-0.003020")</f>
        <v/>
      </c>
      <c r="K2584">
        <f>_xlfn.NUMBERVALUE("0.000028")</f>
        <v/>
      </c>
      <c r="L2584">
        <f>_xlfn.NUMBERVALUE("-0.003492")</f>
        <v/>
      </c>
      <c r="M2584">
        <f>_xlfn.NUMBERVALUE("-0.002206")</f>
        <v/>
      </c>
      <c r="N2584">
        <f>_xlfn.NUMBERVALUE("-0.030615")</f>
        <v/>
      </c>
      <c r="O2584">
        <f>_xlfn.NUMBERVALUE("0.003573")</f>
        <v/>
      </c>
      <c r="P2584">
        <f>_xlfn.NUMBERVALUE("-0.001843")</f>
        <v/>
      </c>
      <c r="Q2584">
        <f>_xlfn.NUMBERVALUE("-0.000654")</f>
        <v/>
      </c>
      <c r="R2584">
        <f>_xlfn.NUMBERVALUE("-0.002355")</f>
        <v/>
      </c>
      <c r="S2584">
        <f>_xlfn.NUMBERVALUE("-0.007042")</f>
        <v/>
      </c>
      <c r="T2584">
        <f>_xlfn.NUMBERVALUE("-0.002687")</f>
        <v/>
      </c>
      <c r="U2584">
        <f>_xlfn.NUMBERVALUE("-0.008212")</f>
        <v/>
      </c>
      <c r="V2584">
        <f>_xlfn.NUMBERVALUE("-0.000263")</f>
        <v/>
      </c>
      <c r="W2584">
        <f>_xlfn.NUMBERVALUE("-0.021736")</f>
        <v/>
      </c>
      <c r="X2584">
        <f>_xlfn.NUMBERVALUE("5.350000")</f>
        <v/>
      </c>
      <c r="Y2584">
        <f>_xlfn.NUMBERVALUE("52.330000")</f>
        <v/>
      </c>
    </row>
    <row r="2585">
      <c r="A2585" s="1" t="n">
        <v>45756</v>
      </c>
      <c r="B2585">
        <f>_xlfn.NUMBERVALUE("-0.007781")</f>
        <v/>
      </c>
      <c r="C2585" s="2">
        <f>_xlfn.NUMBERVALUE("-0.000052")</f>
        <v/>
      </c>
      <c r="D2585">
        <f>_xlfn.NUMBERVALUE("-0.000070")</f>
        <v/>
      </c>
      <c r="E2585">
        <f>_xlfn.NUMBERVALUE("0.000290")</f>
        <v/>
      </c>
      <c r="F2585">
        <f>_xlfn.NUMBERVALUE("-0.011304")</f>
        <v/>
      </c>
      <c r="G2585">
        <f>_xlfn.NUMBERVALUE("-0.000076")</f>
        <v/>
      </c>
      <c r="H2585">
        <f>_xlfn.NUMBERVALUE("-0.001099")</f>
        <v/>
      </c>
      <c r="I2585">
        <f>_xlfn.NUMBERVALUE("-0.000049")</f>
        <v/>
      </c>
      <c r="J2585">
        <f>_xlfn.NUMBERVALUE("0.000518")</f>
        <v/>
      </c>
      <c r="K2585">
        <f>_xlfn.NUMBERVALUE("0.000004")</f>
        <v/>
      </c>
      <c r="L2585">
        <f>_xlfn.NUMBERVALUE("0.005014")</f>
        <v/>
      </c>
      <c r="M2585">
        <f>_xlfn.NUMBERVALUE("-0.007558")</f>
        <v/>
      </c>
      <c r="N2585">
        <f>_xlfn.NUMBERVALUE("0.029044")</f>
        <v/>
      </c>
      <c r="O2585">
        <f>_xlfn.NUMBERVALUE("0.001260")</f>
        <v/>
      </c>
      <c r="P2585">
        <f>_xlfn.NUMBERVALUE("-0.004423")</f>
        <v/>
      </c>
      <c r="Q2585">
        <f>_xlfn.NUMBERVALUE("0.000530")</f>
        <v/>
      </c>
      <c r="R2585">
        <f>_xlfn.NUMBERVALUE("-0.004512")</f>
        <v/>
      </c>
      <c r="S2585">
        <f>_xlfn.NUMBERVALUE("0.011389")</f>
        <v/>
      </c>
      <c r="T2585">
        <f>_xlfn.NUMBERVALUE("0.000858")</f>
        <v/>
      </c>
      <c r="U2585">
        <f>_xlfn.NUMBERVALUE("0.009058")</f>
        <v/>
      </c>
      <c r="V2585">
        <f>_xlfn.NUMBERVALUE("0.000172")</f>
        <v/>
      </c>
      <c r="W2585">
        <f>_xlfn.NUMBERVALUE("0.051392")</f>
        <v/>
      </c>
      <c r="X2585">
        <f>_xlfn.NUMBERVALUE("-18.710000")</f>
        <v/>
      </c>
      <c r="Y2585">
        <f>_xlfn.NUMBERVALUE("33.620000")</f>
        <v/>
      </c>
    </row>
    <row r="2586">
      <c r="A2586" s="1" t="n">
        <v>45757</v>
      </c>
      <c r="B2586">
        <f>_xlfn.NUMBERVALUE("-0.029118")</f>
        <v/>
      </c>
      <c r="C2586" s="2">
        <f>_xlfn.NUMBERVALUE("-0.021239")</f>
        <v/>
      </c>
      <c r="D2586">
        <f>_xlfn.NUMBERVALUE("-0.027161")</f>
        <v/>
      </c>
      <c r="E2586">
        <f>_xlfn.NUMBERVALUE("-0.026559")</f>
        <v/>
      </c>
      <c r="F2586">
        <f>_xlfn.NUMBERVALUE("-0.007157")</f>
        <v/>
      </c>
      <c r="G2586">
        <f>_xlfn.NUMBERVALUE("-0.009207")</f>
        <v/>
      </c>
      <c r="H2586">
        <f>_xlfn.NUMBERVALUE("-0.001196")</f>
        <v/>
      </c>
      <c r="I2586">
        <f>_xlfn.NUMBERVALUE("-0.021982")</f>
        <v/>
      </c>
      <c r="J2586">
        <f>_xlfn.NUMBERVALUE("-0.001648")</f>
        <v/>
      </c>
      <c r="K2586">
        <f>_xlfn.NUMBERVALUE("-0.003932")</f>
        <v/>
      </c>
      <c r="L2586">
        <f>_xlfn.NUMBERVALUE("-0.000525")</f>
        <v/>
      </c>
      <c r="M2586">
        <f>_xlfn.NUMBERVALUE("-0.005953")</f>
        <v/>
      </c>
      <c r="N2586">
        <f>_xlfn.NUMBERVALUE("-0.011047")</f>
        <v/>
      </c>
      <c r="O2586">
        <f>_xlfn.NUMBERVALUE("-0.012189")</f>
        <v/>
      </c>
      <c r="P2586">
        <f>_xlfn.NUMBERVALUE("-0.015387")</f>
        <v/>
      </c>
      <c r="Q2586">
        <f>_xlfn.NUMBERVALUE("-0.008616")</f>
        <v/>
      </c>
      <c r="R2586">
        <f>_xlfn.NUMBERVALUE("-0.011238")</f>
        <v/>
      </c>
      <c r="S2586">
        <f>_xlfn.NUMBERVALUE("-0.009847")</f>
        <v/>
      </c>
      <c r="T2586">
        <f>_xlfn.NUMBERVALUE("0.005847")</f>
        <v/>
      </c>
      <c r="U2586">
        <f>_xlfn.NUMBERVALUE("-0.023309")</f>
        <v/>
      </c>
      <c r="V2586">
        <f>_xlfn.NUMBERVALUE("-0.020821")</f>
        <v/>
      </c>
      <c r="W2586">
        <f>_xlfn.NUMBERVALUE("-0.039705")</f>
        <v/>
      </c>
      <c r="X2586">
        <f>_xlfn.NUMBERVALUE("7.100000")</f>
        <v/>
      </c>
      <c r="Y2586">
        <f>_xlfn.NUMBERVALUE("40.720000")</f>
        <v/>
      </c>
    </row>
    <row r="2587">
      <c r="A2587" s="1" t="n">
        <v>45758</v>
      </c>
      <c r="B2587">
        <f>_xlfn.NUMBERVALUE("0.009468")</f>
        <v/>
      </c>
      <c r="C2587" s="2">
        <f>_xlfn.NUMBERVALUE("0.005898")</f>
        <v/>
      </c>
      <c r="D2587">
        <f>_xlfn.NUMBERVALUE("-0.000702")</f>
        <v/>
      </c>
      <c r="E2587">
        <f>_xlfn.NUMBERVALUE("0.013360")</f>
        <v/>
      </c>
      <c r="F2587">
        <f>_xlfn.NUMBERVALUE("-0.004178")</f>
        <v/>
      </c>
      <c r="G2587">
        <f>_xlfn.NUMBERVALUE("0.003604")</f>
        <v/>
      </c>
      <c r="H2587">
        <f>_xlfn.NUMBERVALUE("-0.001851")</f>
        <v/>
      </c>
      <c r="I2587">
        <f>_xlfn.NUMBERVALUE("0.006322")</f>
        <v/>
      </c>
      <c r="J2587">
        <f>_xlfn.NUMBERVALUE("-0.001507")</f>
        <v/>
      </c>
      <c r="K2587">
        <f>_xlfn.NUMBERVALUE("-0.009475")</f>
        <v/>
      </c>
      <c r="L2587">
        <f>_xlfn.NUMBERVALUE("0.001312")</f>
        <v/>
      </c>
      <c r="M2587">
        <f>_xlfn.NUMBERVALUE("0.014519")</f>
        <v/>
      </c>
      <c r="N2587">
        <f>_xlfn.NUMBERVALUE("0.003357")</f>
        <v/>
      </c>
      <c r="O2587">
        <f>_xlfn.NUMBERVALUE("0.003382")</f>
        <v/>
      </c>
      <c r="P2587">
        <f>_xlfn.NUMBERVALUE("0.014315")</f>
        <v/>
      </c>
      <c r="Q2587">
        <f>_xlfn.NUMBERVALUE("0.008407")</f>
        <v/>
      </c>
      <c r="R2587">
        <f>_xlfn.NUMBERVALUE("0.007448")</f>
        <v/>
      </c>
      <c r="S2587">
        <f>_xlfn.NUMBERVALUE("0.007649")</f>
        <v/>
      </c>
      <c r="T2587">
        <f>_xlfn.NUMBERVALUE("0.005076")</f>
        <v/>
      </c>
      <c r="U2587">
        <f>_xlfn.NUMBERVALUE("0.017010")</f>
        <v/>
      </c>
      <c r="V2587">
        <f>_xlfn.NUMBERVALUE("0.005210")</f>
        <v/>
      </c>
      <c r="W2587">
        <f>_xlfn.NUMBERVALUE("0.027692")</f>
        <v/>
      </c>
      <c r="X2587">
        <f>_xlfn.NUMBERVALUE("-3.160000")</f>
        <v/>
      </c>
      <c r="Y2587">
        <f>_xlfn.NUMBERVALUE("37.560000")</f>
        <v/>
      </c>
    </row>
    <row r="2588">
      <c r="A2588" s="1" t="n">
        <v>45761</v>
      </c>
      <c r="B2588">
        <f>_xlfn.NUMBERVALUE("0.020494")</f>
        <v/>
      </c>
      <c r="C2588" s="2">
        <f>_xlfn.NUMBERVALUE("0.011666")</f>
        <v/>
      </c>
      <c r="D2588">
        <f>_xlfn.NUMBERVALUE("0.018666")</f>
        <v/>
      </c>
      <c r="E2588">
        <f>_xlfn.NUMBERVALUE("-0.000397")</f>
        <v/>
      </c>
      <c r="F2588">
        <f>_xlfn.NUMBERVALUE("0.008865")</f>
        <v/>
      </c>
      <c r="G2588">
        <f>_xlfn.NUMBERVALUE("0.003106")</f>
        <v/>
      </c>
      <c r="H2588">
        <f>_xlfn.NUMBERVALUE("0.001687")</f>
        <v/>
      </c>
      <c r="I2588">
        <f>_xlfn.NUMBERVALUE("0.013337")</f>
        <v/>
      </c>
      <c r="J2588">
        <f>_xlfn.NUMBERVALUE("0.005045")</f>
        <v/>
      </c>
      <c r="K2588">
        <f>_xlfn.NUMBERVALUE("0.009008")</f>
        <v/>
      </c>
      <c r="L2588">
        <f>_xlfn.NUMBERVALUE("0.008141")</f>
        <v/>
      </c>
      <c r="M2588">
        <f>_xlfn.NUMBERVALUE("0.002766")</f>
        <v/>
      </c>
      <c r="N2588">
        <f>_xlfn.NUMBERVALUE("0.000748")</f>
        <v/>
      </c>
      <c r="O2588">
        <f>_xlfn.NUMBERVALUE("-0.000278")</f>
        <v/>
      </c>
      <c r="P2588">
        <f>_xlfn.NUMBERVALUE("0.008933")</f>
        <v/>
      </c>
      <c r="Q2588">
        <f>_xlfn.NUMBERVALUE("0.003141")</f>
        <v/>
      </c>
      <c r="R2588">
        <f>_xlfn.NUMBERVALUE("0.000277")</f>
        <v/>
      </c>
      <c r="S2588">
        <f>_xlfn.NUMBERVALUE("-0.001174")</f>
        <v/>
      </c>
      <c r="T2588">
        <f>_xlfn.NUMBERVALUE("0.007378")</f>
        <v/>
      </c>
      <c r="U2588">
        <f>_xlfn.NUMBERVALUE("0.010182")</f>
        <v/>
      </c>
      <c r="V2588">
        <f>_xlfn.NUMBERVALUE("0.011381")</f>
        <v/>
      </c>
      <c r="W2588">
        <f>_xlfn.NUMBERVALUE("0.013436")</f>
        <v/>
      </c>
      <c r="X2588">
        <f>_xlfn.NUMBERVALUE("-6.670000")</f>
        <v/>
      </c>
      <c r="Y2588">
        <f>_xlfn.NUMBERVALUE("30.890000")</f>
        <v/>
      </c>
    </row>
    <row r="2589">
      <c r="A2589" s="1" t="n">
        <v>45762</v>
      </c>
      <c r="B2589">
        <f>_xlfn.NUMBERVALUE("0.010175")</f>
        <v/>
      </c>
      <c r="C2589" s="2">
        <f>_xlfn.NUMBERVALUE("0.004310")</f>
        <v/>
      </c>
      <c r="D2589">
        <f>_xlfn.NUMBERVALUE("-0.009510")</f>
        <v/>
      </c>
      <c r="E2589">
        <f>_xlfn.NUMBERVALUE("0.008671")</f>
        <v/>
      </c>
      <c r="F2589">
        <f>_xlfn.NUMBERVALUE("0.003604")</f>
        <v/>
      </c>
      <c r="G2589">
        <f>_xlfn.NUMBERVALUE("0.002657")</f>
        <v/>
      </c>
      <c r="H2589">
        <f>_xlfn.NUMBERVALUE("0.002289")</f>
        <v/>
      </c>
      <c r="I2589">
        <f>_xlfn.NUMBERVALUE("0.003579")</f>
        <v/>
      </c>
      <c r="J2589">
        <f>_xlfn.NUMBERVALUE("0.002676")</f>
        <v/>
      </c>
      <c r="K2589">
        <f>_xlfn.NUMBERVALUE("0.007508")</f>
        <v/>
      </c>
      <c r="L2589">
        <f>_xlfn.NUMBERVALUE("0.006114")</f>
        <v/>
      </c>
      <c r="M2589">
        <f>_xlfn.NUMBERVALUE("0.006389")</f>
        <v/>
      </c>
      <c r="N2589">
        <f>_xlfn.NUMBERVALUE("0.003089")</f>
        <v/>
      </c>
      <c r="O2589">
        <f>_xlfn.NUMBERVALUE("0.009641")</f>
        <v/>
      </c>
      <c r="P2589">
        <f>_xlfn.NUMBERVALUE("0.005160")</f>
        <v/>
      </c>
      <c r="Q2589">
        <f>_xlfn.NUMBERVALUE("0.006349")</f>
        <v/>
      </c>
      <c r="R2589">
        <f>_xlfn.NUMBERVALUE("0.004367")</f>
        <v/>
      </c>
      <c r="S2589">
        <f>_xlfn.NUMBERVALUE("0.002451")</f>
        <v/>
      </c>
      <c r="T2589">
        <f>_xlfn.NUMBERVALUE("0.002269")</f>
        <v/>
      </c>
      <c r="U2589">
        <f>_xlfn.NUMBERVALUE("0.003848")</f>
        <v/>
      </c>
      <c r="V2589">
        <f>_xlfn.NUMBERVALUE("0.003445")</f>
        <v/>
      </c>
      <c r="W2589">
        <f>_xlfn.NUMBERVALUE("-0.006980")</f>
        <v/>
      </c>
      <c r="X2589">
        <f>_xlfn.NUMBERVALUE("-0.770000")</f>
        <v/>
      </c>
      <c r="Y2589">
        <f>_xlfn.NUMBERVALUE("30.120000")</f>
        <v/>
      </c>
    </row>
    <row r="2590">
      <c r="A2590" s="1" t="n">
        <v>45763</v>
      </c>
      <c r="B2590">
        <f>_xlfn.NUMBERVALUE("-0.007566")</f>
        <v/>
      </c>
      <c r="C2590" s="2">
        <f>_xlfn.NUMBERVALUE("-0.004556")</f>
        <v/>
      </c>
      <c r="D2590">
        <f>_xlfn.NUMBERVALUE("0.002591")</f>
        <v/>
      </c>
      <c r="E2590">
        <f>_xlfn.NUMBERVALUE("-0.007089")</f>
        <v/>
      </c>
      <c r="F2590">
        <f>_xlfn.NUMBERVALUE("-0.010207")</f>
        <v/>
      </c>
      <c r="G2590">
        <f>_xlfn.NUMBERVALUE("-0.001118")</f>
        <v/>
      </c>
      <c r="H2590">
        <f>_xlfn.NUMBERVALUE("0.000872")</f>
        <v/>
      </c>
      <c r="I2590">
        <f>_xlfn.NUMBERVALUE("-0.003957")</f>
        <v/>
      </c>
      <c r="J2590">
        <f>_xlfn.NUMBERVALUE("0.000430")</f>
        <v/>
      </c>
      <c r="K2590">
        <f>_xlfn.NUMBERVALUE("-0.002249")</f>
        <v/>
      </c>
      <c r="L2590">
        <f>_xlfn.NUMBERVALUE("0.000917")</f>
        <v/>
      </c>
      <c r="M2590">
        <f>_xlfn.NUMBERVALUE("-0.007938")</f>
        <v/>
      </c>
      <c r="N2590">
        <f>_xlfn.NUMBERVALUE("-0.003673")</f>
        <v/>
      </c>
      <c r="O2590">
        <f>_xlfn.NUMBERVALUE("-0.006127")</f>
        <v/>
      </c>
      <c r="P2590">
        <f>_xlfn.NUMBERVALUE("-0.008513")</f>
        <v/>
      </c>
      <c r="Q2590">
        <f>_xlfn.NUMBERVALUE("-0.004492")</f>
        <v/>
      </c>
      <c r="R2590">
        <f>_xlfn.NUMBERVALUE("-0.009249")</f>
        <v/>
      </c>
      <c r="S2590">
        <f>_xlfn.NUMBERVALUE("-0.005990")</f>
        <v/>
      </c>
      <c r="T2590">
        <f>_xlfn.NUMBERVALUE("-0.001841")</f>
        <v/>
      </c>
      <c r="U2590">
        <f>_xlfn.NUMBERVALUE("-0.005537")</f>
        <v/>
      </c>
      <c r="V2590">
        <f>_xlfn.NUMBERVALUE("-0.006870")</f>
        <v/>
      </c>
      <c r="W2590">
        <f>_xlfn.NUMBERVALUE("-0.027575")</f>
        <v/>
      </c>
      <c r="X2590">
        <f>_xlfn.NUMBERVALUE("2.520000")</f>
        <v/>
      </c>
      <c r="Y2590">
        <f>_xlfn.NUMBERVALUE("32.640000")</f>
        <v/>
      </c>
    </row>
    <row r="2591">
      <c r="A2591" s="1" t="n">
        <v>45764</v>
      </c>
      <c r="B2591">
        <f>_xlfn.NUMBERVALUE("0.009427")</f>
        <v/>
      </c>
      <c r="C2591" s="2">
        <f>_xlfn.NUMBERVALUE("0.005276")</f>
        <v/>
      </c>
      <c r="D2591">
        <f>_xlfn.NUMBERVALUE("0.003454")</f>
        <v/>
      </c>
      <c r="E2591">
        <f>_xlfn.NUMBERVALUE("0.004629")</f>
        <v/>
      </c>
      <c r="F2591">
        <f>_xlfn.NUMBERVALUE("0.002337")</f>
        <v/>
      </c>
      <c r="G2591">
        <f>_xlfn.NUMBERVALUE("0.001470")</f>
        <v/>
      </c>
      <c r="H2591">
        <f>_xlfn.NUMBERVALUE("0.001665")</f>
        <v/>
      </c>
      <c r="I2591">
        <f>_xlfn.NUMBERVALUE("0.003605")</f>
        <v/>
      </c>
      <c r="J2591">
        <f>_xlfn.NUMBERVALUE("0.000641")</f>
        <v/>
      </c>
      <c r="K2591">
        <f>_xlfn.NUMBERVALUE("0.005833")</f>
        <v/>
      </c>
      <c r="L2591">
        <f>_xlfn.NUMBERVALUE("0.001865")</f>
        <v/>
      </c>
      <c r="M2591">
        <f>_xlfn.NUMBERVALUE("0.005515")</f>
        <v/>
      </c>
      <c r="N2591">
        <f>_xlfn.NUMBERVALUE("0.002742")</f>
        <v/>
      </c>
      <c r="O2591">
        <f>_xlfn.NUMBERVALUE("-0.001664")</f>
        <v/>
      </c>
      <c r="P2591">
        <f>_xlfn.NUMBERVALUE("0.007294")</f>
        <v/>
      </c>
      <c r="Q2591">
        <f>_xlfn.NUMBERVALUE("0.001429")</f>
        <v/>
      </c>
      <c r="R2591">
        <f>_xlfn.NUMBERVALUE("0.006797")</f>
        <v/>
      </c>
      <c r="S2591">
        <f>_xlfn.NUMBERVALUE("-0.005225")</f>
        <v/>
      </c>
      <c r="T2591">
        <f>_xlfn.NUMBERVALUE("-0.001803")</f>
        <v/>
      </c>
      <c r="U2591">
        <f>_xlfn.NUMBERVALUE("0.005030")</f>
        <v/>
      </c>
      <c r="V2591">
        <f>_xlfn.NUMBERVALUE("0.004288")</f>
        <v/>
      </c>
      <c r="W2591">
        <f>_xlfn.NUMBERVALUE("0.008892")</f>
        <v/>
      </c>
      <c r="X2591">
        <f>_xlfn.NUMBERVALUE("-2.990000")</f>
        <v/>
      </c>
      <c r="Y2591">
        <f>_xlfn.NUMBERVALUE("29.650000")</f>
        <v/>
      </c>
    </row>
    <row r="2592">
      <c r="A2592" s="1" t="n">
        <v>45768</v>
      </c>
      <c r="B2592">
        <f>_xlfn.NUMBERVALUE("-0.001686")</f>
        <v/>
      </c>
      <c r="C2592" s="2">
        <f>_xlfn.NUMBERVALUE("-0.007756")</f>
        <v/>
      </c>
      <c r="D2592">
        <f>_xlfn.NUMBERVALUE("-0.000233")</f>
        <v/>
      </c>
      <c r="E2592">
        <f>_xlfn.NUMBERVALUE("-0.000258")</f>
        <v/>
      </c>
      <c r="F2592">
        <f>_xlfn.NUMBERVALUE("-0.004913")</f>
        <v/>
      </c>
      <c r="G2592">
        <f>_xlfn.NUMBERVALUE("-0.001088")</f>
        <v/>
      </c>
      <c r="H2592">
        <f>_xlfn.NUMBERVALUE("-0.001197")</f>
        <v/>
      </c>
      <c r="I2592">
        <f>_xlfn.NUMBERVALUE("-0.004082")</f>
        <v/>
      </c>
      <c r="J2592">
        <f>_xlfn.NUMBERVALUE("-0.001243")</f>
        <v/>
      </c>
      <c r="K2592">
        <f>_xlfn.NUMBERVALUE("0.000619")</f>
        <v/>
      </c>
      <c r="L2592">
        <f>_xlfn.NUMBERVALUE("-0.006913")</f>
        <v/>
      </c>
      <c r="M2592">
        <f>_xlfn.NUMBERVALUE("0.000742")</f>
        <v/>
      </c>
      <c r="N2592">
        <f>_xlfn.NUMBERVALUE("-0.000435")</f>
        <v/>
      </c>
      <c r="O2592">
        <f>_xlfn.NUMBERVALUE("-0.005719")</f>
        <v/>
      </c>
      <c r="P2592">
        <f>_xlfn.NUMBERVALUE("-0.004783")</f>
        <v/>
      </c>
      <c r="Q2592">
        <f>_xlfn.NUMBERVALUE("-0.005006")</f>
        <v/>
      </c>
      <c r="R2592">
        <f>_xlfn.NUMBERVALUE("-0.006780")</f>
        <v/>
      </c>
      <c r="S2592">
        <f>_xlfn.NUMBERVALUE("-0.007177")</f>
        <v/>
      </c>
      <c r="T2592">
        <f>_xlfn.NUMBERVALUE("-0.005659")</f>
        <v/>
      </c>
      <c r="U2592">
        <f>_xlfn.NUMBERVALUE("-0.005468")</f>
        <v/>
      </c>
      <c r="V2592">
        <f>_xlfn.NUMBERVALUE("-0.005977")</f>
        <v/>
      </c>
      <c r="W2592">
        <f>_xlfn.NUMBERVALUE("-0.029169")</f>
        <v/>
      </c>
      <c r="X2592">
        <f>_xlfn.NUMBERVALUE("4.170000")</f>
        <v/>
      </c>
      <c r="Y2592">
        <f>_xlfn.NUMBERVALUE("33.820000")</f>
        <v/>
      </c>
    </row>
    <row r="2593">
      <c r="A2593" s="1" t="n">
        <v>45769</v>
      </c>
      <c r="B2593">
        <f>_xlfn.NUMBERVALUE("0.002578")</f>
        <v/>
      </c>
      <c r="C2593" s="2">
        <f>_xlfn.NUMBERVALUE("0.000607")</f>
        <v/>
      </c>
      <c r="D2593">
        <f>_xlfn.NUMBERVALUE("-0.000212")</f>
        <v/>
      </c>
      <c r="E2593">
        <f>_xlfn.NUMBERVALUE("-0.004433")</f>
        <v/>
      </c>
      <c r="F2593">
        <f>_xlfn.NUMBERVALUE("-0.000351")</f>
        <v/>
      </c>
      <c r="G2593">
        <f>_xlfn.NUMBERVALUE("0.001741")</f>
        <v/>
      </c>
      <c r="H2593">
        <f>_xlfn.NUMBERVALUE("0.001522")</f>
        <v/>
      </c>
      <c r="I2593">
        <f>_xlfn.NUMBERVALUE("-0.000277")</f>
        <v/>
      </c>
      <c r="J2593">
        <f>_xlfn.NUMBERVALUE("0.002297")</f>
        <v/>
      </c>
      <c r="K2593">
        <f>_xlfn.NUMBERVALUE("0.001543")</f>
        <v/>
      </c>
      <c r="L2593">
        <f>_xlfn.NUMBERVALUE("0.004135")</f>
        <v/>
      </c>
      <c r="M2593">
        <f>_xlfn.NUMBERVALUE("-0.001593")</f>
        <v/>
      </c>
      <c r="N2593">
        <f>_xlfn.NUMBERVALUE("0.000047")</f>
        <v/>
      </c>
      <c r="O2593">
        <f>_xlfn.NUMBERVALUE("-0.002028")</f>
        <v/>
      </c>
      <c r="P2593">
        <f>_xlfn.NUMBERVALUE("-0.006161")</f>
        <v/>
      </c>
      <c r="Q2593">
        <f>_xlfn.NUMBERVALUE("0.002429")</f>
        <v/>
      </c>
      <c r="R2593">
        <f>_xlfn.NUMBERVALUE("0.003211")</f>
        <v/>
      </c>
      <c r="S2593">
        <f>_xlfn.NUMBERVALUE("0.000691")</f>
        <v/>
      </c>
      <c r="T2593">
        <f>_xlfn.NUMBERVALUE("-0.007741")</f>
        <v/>
      </c>
      <c r="U2593">
        <f>_xlfn.NUMBERVALUE("-0.002489")</f>
        <v/>
      </c>
      <c r="V2593">
        <f>_xlfn.NUMBERVALUE("-0.000552")</f>
        <v/>
      </c>
      <c r="W2593">
        <f>_xlfn.NUMBERVALUE("0.028425")</f>
        <v/>
      </c>
      <c r="X2593">
        <f>_xlfn.NUMBERVALUE("-3.250000")</f>
        <v/>
      </c>
      <c r="Y2593">
        <f>_xlfn.NUMBERVALUE("30.570000")</f>
        <v/>
      </c>
    </row>
    <row r="2594">
      <c r="A2594" s="1" t="n">
        <v>45770</v>
      </c>
      <c r="B2594">
        <f>_xlfn.NUMBERVALUE("-0.007399")</f>
        <v/>
      </c>
      <c r="C2594" s="2">
        <f>_xlfn.NUMBERVALUE("0.001101")</f>
        <v/>
      </c>
      <c r="D2594">
        <f>_xlfn.NUMBERVALUE("0.001470")</f>
        <v/>
      </c>
      <c r="E2594">
        <f>_xlfn.NUMBERVALUE("0.002597")</f>
        <v/>
      </c>
      <c r="F2594">
        <f>_xlfn.NUMBERVALUE("0.005382")</f>
        <v/>
      </c>
      <c r="G2594">
        <f>_xlfn.NUMBERVALUE("-0.000586")</f>
        <v/>
      </c>
      <c r="H2594">
        <f>_xlfn.NUMBERVALUE("0.000528")</f>
        <v/>
      </c>
      <c r="I2594">
        <f>_xlfn.NUMBERVALUE("0.001059")</f>
        <v/>
      </c>
      <c r="J2594">
        <f>_xlfn.NUMBERVALUE("0.001063")</f>
        <v/>
      </c>
      <c r="K2594">
        <f>_xlfn.NUMBERVALUE("-0.006285")</f>
        <v/>
      </c>
      <c r="L2594">
        <f>_xlfn.NUMBERVALUE("0.000949")</f>
        <v/>
      </c>
      <c r="M2594">
        <f>_xlfn.NUMBERVALUE("-0.002400")</f>
        <v/>
      </c>
      <c r="N2594">
        <f>_xlfn.NUMBERVALUE("0.001173")</f>
        <v/>
      </c>
      <c r="O2594">
        <f>_xlfn.NUMBERVALUE("0.002510")</f>
        <v/>
      </c>
      <c r="P2594">
        <f>_xlfn.NUMBERVALUE("-0.000112")</f>
        <v/>
      </c>
      <c r="Q2594">
        <f>_xlfn.NUMBERVALUE("-0.002228")</f>
        <v/>
      </c>
      <c r="R2594">
        <f>_xlfn.NUMBERVALUE("-0.003317")</f>
        <v/>
      </c>
      <c r="S2594">
        <f>_xlfn.NUMBERVALUE("0.004087")</f>
        <v/>
      </c>
      <c r="T2594">
        <f>_xlfn.NUMBERVALUE("0.001428")</f>
        <v/>
      </c>
      <c r="U2594">
        <f>_xlfn.NUMBERVALUE("-0.001129")</f>
        <v/>
      </c>
      <c r="V2594">
        <f>_xlfn.NUMBERVALUE("-0.000196")</f>
        <v/>
      </c>
      <c r="W2594">
        <f>_xlfn.NUMBERVALUE("0.015699")</f>
        <v/>
      </c>
      <c r="X2594">
        <f>_xlfn.NUMBERVALUE("-2.120000")</f>
        <v/>
      </c>
      <c r="Y2594">
        <f>_xlfn.NUMBERVALUE("28.450000")</f>
        <v/>
      </c>
    </row>
    <row r="2595">
      <c r="A2595" s="1" t="n">
        <v>45771</v>
      </c>
      <c r="B2595">
        <f>_xlfn.NUMBERVALUE("-0.002221")</f>
        <v/>
      </c>
      <c r="C2595" s="2">
        <f>_xlfn.NUMBERVALUE("0.001619")</f>
        <v/>
      </c>
      <c r="D2595">
        <f>_xlfn.NUMBERVALUE("-0.000528")</f>
        <v/>
      </c>
      <c r="E2595">
        <f>_xlfn.NUMBERVALUE("-0.000901")</f>
        <v/>
      </c>
      <c r="F2595">
        <f>_xlfn.NUMBERVALUE("-0.000833")</f>
        <v/>
      </c>
      <c r="G2595">
        <f>_xlfn.NUMBERVALUE("-0.000593")</f>
        <v/>
      </c>
      <c r="H2595">
        <f>_xlfn.NUMBERVALUE("0.000727")</f>
        <v/>
      </c>
      <c r="I2595">
        <f>_xlfn.NUMBERVALUE("0.000404")</f>
        <v/>
      </c>
      <c r="J2595">
        <f>_xlfn.NUMBERVALUE("-0.000470")</f>
        <v/>
      </c>
      <c r="K2595">
        <f>_xlfn.NUMBERVALUE("0.001547")</f>
        <v/>
      </c>
      <c r="L2595">
        <f>_xlfn.NUMBERVALUE("0.001927")</f>
        <v/>
      </c>
      <c r="M2595">
        <f>_xlfn.NUMBERVALUE("-0.003409")</f>
        <v/>
      </c>
      <c r="N2595">
        <f>_xlfn.NUMBERVALUE("-0.001545")</f>
        <v/>
      </c>
      <c r="O2595">
        <f>_xlfn.NUMBERVALUE("0.004699")</f>
        <v/>
      </c>
      <c r="P2595">
        <f>_xlfn.NUMBERVALUE("0.003418")</f>
        <v/>
      </c>
      <c r="Q2595">
        <f>_xlfn.NUMBERVALUE("-0.000585")</f>
        <v/>
      </c>
      <c r="R2595">
        <f>_xlfn.NUMBERVALUE("-0.005849")</f>
        <v/>
      </c>
      <c r="S2595">
        <f>_xlfn.NUMBERVALUE("0.003027")</f>
        <v/>
      </c>
      <c r="T2595">
        <f>_xlfn.NUMBERVALUE("0.002346")</f>
        <v/>
      </c>
      <c r="U2595">
        <f>_xlfn.NUMBERVALUE("0.002325")</f>
        <v/>
      </c>
      <c r="V2595">
        <f>_xlfn.NUMBERVALUE("-0.001098")</f>
        <v/>
      </c>
      <c r="W2595">
        <f>_xlfn.NUMBERVALUE("0.021231")</f>
        <v/>
      </c>
      <c r="X2595">
        <f>_xlfn.NUMBERVALUE("-1.980000")</f>
        <v/>
      </c>
      <c r="Y2595">
        <f>_xlfn.NUMBERVALUE("26.470000")</f>
        <v/>
      </c>
    </row>
    <row r="2596">
      <c r="A2596" s="1" t="n">
        <v>45772</v>
      </c>
      <c r="B2596">
        <f>_xlfn.NUMBERVALUE("0.001572")</f>
        <v/>
      </c>
      <c r="C2596" s="2">
        <f>_xlfn.NUMBERVALUE("0.003283")</f>
        <v/>
      </c>
      <c r="D2596">
        <f>_xlfn.NUMBERVALUE("0.004634")</f>
        <v/>
      </c>
      <c r="E2596">
        <f>_xlfn.NUMBERVALUE("0.002348")</f>
        <v/>
      </c>
      <c r="F2596">
        <f>_xlfn.NUMBERVALUE("0.002010")</f>
        <v/>
      </c>
      <c r="G2596">
        <f>_xlfn.NUMBERVALUE("0.000643")</f>
        <v/>
      </c>
      <c r="H2596">
        <f>_xlfn.NUMBERVALUE("0.001196")</f>
        <v/>
      </c>
      <c r="I2596">
        <f>_xlfn.NUMBERVALUE("0.005066")</f>
        <v/>
      </c>
      <c r="J2596">
        <f>_xlfn.NUMBERVALUE("0.000469")</f>
        <v/>
      </c>
      <c r="K2596">
        <f>_xlfn.NUMBERVALUE("0.003680")</f>
        <v/>
      </c>
      <c r="L2596">
        <f>_xlfn.NUMBERVALUE("0.002577")</f>
        <v/>
      </c>
      <c r="M2596">
        <f>_xlfn.NUMBERVALUE("0.008607")</f>
        <v/>
      </c>
      <c r="N2596">
        <f>_xlfn.NUMBERVALUE("0.005287")</f>
        <v/>
      </c>
      <c r="O2596">
        <f>_xlfn.NUMBERVALUE("0.003312")</f>
        <v/>
      </c>
      <c r="P2596">
        <f>_xlfn.NUMBERVALUE("0.005060")</f>
        <v/>
      </c>
      <c r="Q2596">
        <f>_xlfn.NUMBERVALUE("0.004161")</f>
        <v/>
      </c>
      <c r="R2596">
        <f>_xlfn.NUMBERVALUE("0.003066")</f>
        <v/>
      </c>
      <c r="S2596">
        <f>_xlfn.NUMBERVALUE("0.004141")</f>
        <v/>
      </c>
      <c r="T2596">
        <f>_xlfn.NUMBERVALUE("0.002939")</f>
        <v/>
      </c>
      <c r="U2596">
        <f>_xlfn.NUMBERVALUE("0.002916")</f>
        <v/>
      </c>
      <c r="V2596">
        <f>_xlfn.NUMBERVALUE("0.003624")</f>
        <v/>
      </c>
      <c r="W2596">
        <f>_xlfn.NUMBERVALUE("0.005527")</f>
        <v/>
      </c>
      <c r="X2596">
        <f>_xlfn.NUMBERVALUE("-1.630000")</f>
        <v/>
      </c>
      <c r="Y2596">
        <f>_xlfn.NUMBERVALUE("24.840000")</f>
        <v/>
      </c>
    </row>
    <row r="2597">
      <c r="A2597" s="1" t="n">
        <v>45775</v>
      </c>
      <c r="B2597">
        <f>_xlfn.NUMBERVALUE("0.006077")</f>
        <v/>
      </c>
      <c r="C2597" s="2">
        <f>_xlfn.NUMBERVALUE("0.001917")</f>
        <v/>
      </c>
      <c r="D2597">
        <f>_xlfn.NUMBERVALUE("0.001176")</f>
        <v/>
      </c>
      <c r="E2597">
        <f>_xlfn.NUMBERVALUE("0.000869")</f>
        <v/>
      </c>
      <c r="F2597">
        <f>_xlfn.NUMBERVALUE("0.000113")</f>
        <v/>
      </c>
      <c r="G2597">
        <f>_xlfn.NUMBERVALUE("0.001534")</f>
        <v/>
      </c>
      <c r="H2597">
        <f>_xlfn.NUMBERVALUE("0.000513")</f>
        <v/>
      </c>
      <c r="I2597">
        <f>_xlfn.NUMBERVALUE("0.002208")</f>
        <v/>
      </c>
      <c r="J2597">
        <f>_xlfn.NUMBERVALUE("0.000630")</f>
        <v/>
      </c>
      <c r="K2597">
        <f>_xlfn.NUMBERVALUE("0.000861")</f>
        <v/>
      </c>
      <c r="L2597">
        <f>_xlfn.NUMBERVALUE("0.001580")</f>
        <v/>
      </c>
      <c r="M2597">
        <f>_xlfn.NUMBERVALUE("0.001227")</f>
        <v/>
      </c>
      <c r="N2597">
        <f>_xlfn.NUMBERVALUE("-0.001184")</f>
        <v/>
      </c>
      <c r="O2597">
        <f>_xlfn.NUMBERVALUE("0.002555")</f>
        <v/>
      </c>
      <c r="P2597">
        <f>_xlfn.NUMBERVALUE("0.003477")</f>
        <v/>
      </c>
      <c r="Q2597">
        <f>_xlfn.NUMBERVALUE("0.001269")</f>
        <v/>
      </c>
      <c r="R2597">
        <f>_xlfn.NUMBERVALUE("0.003302")</f>
        <v/>
      </c>
      <c r="S2597">
        <f>_xlfn.NUMBERVALUE("0.001327")</f>
        <v/>
      </c>
      <c r="T2597">
        <f>_xlfn.NUMBERVALUE("0.003055")</f>
        <v/>
      </c>
      <c r="U2597">
        <f>_xlfn.NUMBERVALUE("-0.002448")</f>
        <v/>
      </c>
      <c r="V2597">
        <f>_xlfn.NUMBERVALUE("0.002630")</f>
        <v/>
      </c>
      <c r="W2597">
        <f>_xlfn.NUMBERVALUE("0.002912")</f>
        <v/>
      </c>
      <c r="X2597">
        <f>_xlfn.NUMBERVALUE("0.310000")</f>
        <v/>
      </c>
      <c r="Y2597">
        <f>_xlfn.NUMBERVALUE("25.150000")</f>
        <v/>
      </c>
    </row>
    <row r="2598">
      <c r="A2598" s="1" t="n">
        <v>45776</v>
      </c>
      <c r="B2598">
        <f>_xlfn.NUMBERVALUE("0.004041")</f>
        <v/>
      </c>
      <c r="C2598" s="2">
        <f>_xlfn.NUMBERVALUE("0.000660")</f>
        <v/>
      </c>
      <c r="D2598">
        <f>_xlfn.NUMBERVALUE("0.001155")</f>
        <v/>
      </c>
      <c r="E2598">
        <f>_xlfn.NUMBERVALUE("0.000036")</f>
        <v/>
      </c>
      <c r="F2598">
        <f>_xlfn.NUMBERVALUE("0.001424")</f>
        <v/>
      </c>
      <c r="G2598">
        <f>_xlfn.NUMBERVALUE("-0.001145")</f>
        <v/>
      </c>
      <c r="H2598">
        <f>_xlfn.NUMBERVALUE("0.000101")</f>
        <v/>
      </c>
      <c r="I2598">
        <f>_xlfn.NUMBERVALUE("0.001949")</f>
        <v/>
      </c>
      <c r="J2598">
        <f>_xlfn.NUMBERVALUE("0.000568")</f>
        <v/>
      </c>
      <c r="K2598">
        <f>_xlfn.NUMBERVALUE("0.002106")</f>
        <v/>
      </c>
      <c r="L2598">
        <f>_xlfn.NUMBERVALUE("-0.000909")</f>
        <v/>
      </c>
      <c r="M2598">
        <f>_xlfn.NUMBERVALUE("0.001234")</f>
        <v/>
      </c>
      <c r="N2598">
        <f>_xlfn.NUMBERVALUE("0.000307")</f>
        <v/>
      </c>
      <c r="O2598">
        <f>_xlfn.NUMBERVALUE("-0.000577")</f>
        <v/>
      </c>
      <c r="P2598">
        <f>_xlfn.NUMBERVALUE("-0.000860")</f>
        <v/>
      </c>
      <c r="Q2598">
        <f>_xlfn.NUMBERVALUE("0.001362")</f>
        <v/>
      </c>
      <c r="R2598">
        <f>_xlfn.NUMBERVALUE("0.001861")</f>
        <v/>
      </c>
      <c r="S2598">
        <f>_xlfn.NUMBERVALUE("0.001645")</f>
        <v/>
      </c>
      <c r="T2598">
        <f>_xlfn.NUMBERVALUE("0.001352")</f>
        <v/>
      </c>
      <c r="U2598">
        <f>_xlfn.NUMBERVALUE("0.004972")</f>
        <v/>
      </c>
      <c r="V2598">
        <f>_xlfn.NUMBERVALUE("0.001360")</f>
        <v/>
      </c>
      <c r="W2598">
        <f>_xlfn.NUMBERVALUE("0.005608")</f>
        <v/>
      </c>
      <c r="X2598">
        <f>_xlfn.NUMBERVALUE("-0.980000")</f>
        <v/>
      </c>
      <c r="Y2598">
        <f>_xlfn.NUMBERVALUE("24.170000")</f>
        <v/>
      </c>
    </row>
    <row r="2599">
      <c r="A2599" s="1" t="n">
        <v>45777</v>
      </c>
      <c r="B2599">
        <f>_xlfn.NUMBERVALUE("0.002332")</f>
        <v/>
      </c>
      <c r="C2599" s="2">
        <f>_xlfn.NUMBERVALUE("0.000836")</f>
        <v/>
      </c>
      <c r="D2599">
        <f>_xlfn.NUMBERVALUE("0.000523")</f>
        <v/>
      </c>
      <c r="E2599">
        <f>_xlfn.NUMBERVALUE("0.000236")</f>
        <v/>
      </c>
      <c r="F2599">
        <f>_xlfn.NUMBERVALUE("0.001166")</f>
        <v/>
      </c>
      <c r="G2599">
        <f>_xlfn.NUMBERVALUE("0.002865")</f>
        <v/>
      </c>
      <c r="H2599">
        <f>_xlfn.NUMBERVALUE("0.000532")</f>
        <v/>
      </c>
      <c r="I2599">
        <f>_xlfn.NUMBERVALUE("0.001465")</f>
        <v/>
      </c>
      <c r="J2599">
        <f>_xlfn.NUMBERVALUE("0.000977")</f>
        <v/>
      </c>
      <c r="K2599">
        <f>_xlfn.NUMBERVALUE("0.002696")</f>
        <v/>
      </c>
      <c r="L2599">
        <f>_xlfn.NUMBERVALUE("0.000748")</f>
        <v/>
      </c>
      <c r="M2599">
        <f>_xlfn.NUMBERVALUE("0.000272")</f>
        <v/>
      </c>
      <c r="N2599">
        <f>_xlfn.NUMBERVALUE("0.000666")</f>
        <v/>
      </c>
      <c r="O2599">
        <f>_xlfn.NUMBERVALUE("-0.002793")</f>
        <v/>
      </c>
      <c r="P2599">
        <f>_xlfn.NUMBERVALUE("0.000157")</f>
        <v/>
      </c>
      <c r="Q2599">
        <f>_xlfn.NUMBERVALUE("-0.000345")</f>
        <v/>
      </c>
      <c r="R2599">
        <f>_xlfn.NUMBERVALUE("0.000550")</f>
        <v/>
      </c>
      <c r="S2599">
        <f>_xlfn.NUMBERVALUE("-0.001513")</f>
        <v/>
      </c>
      <c r="T2599">
        <f>_xlfn.NUMBERVALUE("-0.000288")</f>
        <v/>
      </c>
      <c r="U2599">
        <f>_xlfn.NUMBERVALUE("0.000296")</f>
        <v/>
      </c>
      <c r="V2599">
        <f>_xlfn.NUMBERVALUE("0.001080")</f>
        <v/>
      </c>
      <c r="W2599">
        <f>_xlfn.NUMBERVALUE("-0.004115")</f>
        <v/>
      </c>
      <c r="X2599">
        <f>_xlfn.NUMBERVALUE("0.530000")</f>
        <v/>
      </c>
      <c r="Y2599">
        <f>_xlfn.NUMBERVALUE("24.700000")</f>
        <v/>
      </c>
    </row>
    <row r="2600">
      <c r="A2600" s="1" t="n">
        <v>45778</v>
      </c>
      <c r="B2600">
        <f>_xlfn.NUMBERVALUE("-0.001501")</f>
        <v/>
      </c>
      <c r="C2600" s="2">
        <f>_xlfn.NUMBERVALUE("0.000362")</f>
        <v/>
      </c>
      <c r="D2600">
        <f>_xlfn.NUMBERVALUE("0.000094")</f>
        <v/>
      </c>
      <c r="E2600">
        <f>_xlfn.NUMBERVALUE("0.000515")</f>
        <v/>
      </c>
      <c r="F2600">
        <f>_xlfn.NUMBERVALUE("0.000065")</f>
        <v/>
      </c>
      <c r="G2600">
        <f>_xlfn.NUMBERVALUE("-0.003142")</f>
        <v/>
      </c>
      <c r="H2600">
        <f>_xlfn.NUMBERVALUE("-0.002083")</f>
        <v/>
      </c>
      <c r="I2600">
        <f>_xlfn.NUMBERVALUE("0.000046")</f>
        <v/>
      </c>
      <c r="J2600">
        <f>_xlfn.NUMBERVALUE("-0.001920")</f>
        <v/>
      </c>
      <c r="K2600">
        <f>_xlfn.NUMBERVALUE("0.002171")</f>
        <v/>
      </c>
      <c r="L2600">
        <f>_xlfn.NUMBERVALUE("-0.001030")</f>
        <v/>
      </c>
      <c r="M2600">
        <f>_xlfn.NUMBERVALUE("0.004155")</f>
        <v/>
      </c>
      <c r="N2600">
        <f>_xlfn.NUMBERVALUE("-0.000815")</f>
        <v/>
      </c>
      <c r="O2600">
        <f>_xlfn.NUMBERVALUE("-0.002723")</f>
        <v/>
      </c>
      <c r="P2600">
        <f>_xlfn.NUMBERVALUE("0.001823")</f>
        <v/>
      </c>
      <c r="Q2600">
        <f>_xlfn.NUMBERVALUE("-0.000433")</f>
        <v/>
      </c>
      <c r="R2600">
        <f>_xlfn.NUMBERVALUE("-0.003028")</f>
        <v/>
      </c>
      <c r="S2600">
        <f>_xlfn.NUMBERVALUE("0.002154")</f>
        <v/>
      </c>
      <c r="T2600">
        <f>_xlfn.NUMBERVALUE("-0.001221")</f>
        <v/>
      </c>
      <c r="U2600">
        <f>_xlfn.NUMBERVALUE("0.001540")</f>
        <v/>
      </c>
      <c r="V2600">
        <f>_xlfn.NUMBERVALUE("-0.001592")</f>
        <v/>
      </c>
      <c r="W2600">
        <f>_xlfn.NUMBERVALUE("0.017541")</f>
        <v/>
      </c>
      <c r="X2600">
        <f>_xlfn.NUMBERVALUE("-0.100000")</f>
        <v/>
      </c>
      <c r="Y2600">
        <f>_xlfn.NUMBERVALUE("24.600000")</f>
        <v/>
      </c>
    </row>
    <row r="2601">
      <c r="A2601" s="1" t="n">
        <v>45779</v>
      </c>
      <c r="B2601">
        <f>_xlfn.NUMBERVALUE("0.007124")</f>
        <v/>
      </c>
      <c r="C2601" s="2">
        <f>_xlfn.NUMBERVALUE("0.001036")</f>
        <v/>
      </c>
      <c r="D2601">
        <f>_xlfn.NUMBERVALUE("-0.000666")</f>
        <v/>
      </c>
      <c r="E2601">
        <f>_xlfn.NUMBERVALUE("-0.000213")</f>
        <v/>
      </c>
      <c r="F2601">
        <f>_xlfn.NUMBERVALUE("0.001377")</f>
        <v/>
      </c>
      <c r="G2601">
        <f>_xlfn.NUMBERVALUE("0.001748")</f>
        <v/>
      </c>
      <c r="H2601">
        <f>_xlfn.NUMBERVALUE("0.001266")</f>
        <v/>
      </c>
      <c r="I2601">
        <f>_xlfn.NUMBERVALUE("0.000405")</f>
        <v/>
      </c>
      <c r="J2601">
        <f>_xlfn.NUMBERVALUE("0.004385")</f>
        <v/>
      </c>
      <c r="K2601">
        <f>_xlfn.NUMBERVALUE("0.004247")</f>
        <v/>
      </c>
      <c r="L2601">
        <f>_xlfn.NUMBERVALUE("0.004158")</f>
        <v/>
      </c>
      <c r="M2601">
        <f>_xlfn.NUMBERVALUE("0.001313")</f>
        <v/>
      </c>
      <c r="N2601">
        <f>_xlfn.NUMBERVALUE("0.001838")</f>
        <v/>
      </c>
      <c r="O2601">
        <f>_xlfn.NUMBERVALUE("-0.000238")</f>
        <v/>
      </c>
      <c r="P2601">
        <f>_xlfn.NUMBERVALUE("-0.000955")</f>
        <v/>
      </c>
      <c r="Q2601">
        <f>_xlfn.NUMBERVALUE("-0.001482")</f>
        <v/>
      </c>
      <c r="R2601">
        <f>_xlfn.NUMBERVALUE("0.002866")</f>
        <v/>
      </c>
      <c r="S2601">
        <f>_xlfn.NUMBERVALUE("0.002451")</f>
        <v/>
      </c>
      <c r="T2601">
        <f>_xlfn.NUMBERVALUE("0.001587")</f>
        <v/>
      </c>
      <c r="U2601">
        <f>_xlfn.NUMBERVALUE("0.003160")</f>
        <v/>
      </c>
      <c r="V2601">
        <f>_xlfn.NUMBERVALUE("0.001517")</f>
        <v/>
      </c>
      <c r="W2601">
        <f>_xlfn.NUMBERVALUE("0.009385")</f>
        <v/>
      </c>
      <c r="X2601">
        <f>_xlfn.NUMBERVALUE("-1.920000")</f>
        <v/>
      </c>
      <c r="Y2601">
        <f>_xlfn.NUMBERVALUE("22.680000")</f>
        <v/>
      </c>
    </row>
    <row r="2602">
      <c r="A2602" s="1" t="n">
        <v>45782</v>
      </c>
      <c r="B2602">
        <f>_xlfn.NUMBERVALUE("0.003669")</f>
        <v/>
      </c>
      <c r="C2602" s="2">
        <f>_xlfn.NUMBERVALUE("0.002565")</f>
        <v/>
      </c>
      <c r="D2602">
        <f>_xlfn.NUMBERVALUE("0.000225")</f>
        <v/>
      </c>
      <c r="E2602">
        <f>_xlfn.NUMBERVALUE("0.000285")</f>
        <v/>
      </c>
      <c r="F2602">
        <f>_xlfn.NUMBERVALUE("-0.003733")</f>
        <v/>
      </c>
      <c r="G2602">
        <f>_xlfn.NUMBERVALUE("0.000514")</f>
        <v/>
      </c>
      <c r="H2602">
        <f>_xlfn.NUMBERVALUE("0.001096")</f>
        <v/>
      </c>
      <c r="I2602">
        <f>_xlfn.NUMBERVALUE("0.002927")</f>
        <v/>
      </c>
      <c r="J2602">
        <f>_xlfn.NUMBERVALUE("0.001022")</f>
        <v/>
      </c>
      <c r="K2602">
        <f>_xlfn.NUMBERVALUE("-0.000850")</f>
        <v/>
      </c>
      <c r="L2602">
        <f>_xlfn.NUMBERVALUE("0.001110")</f>
        <v/>
      </c>
      <c r="M2602">
        <f>_xlfn.NUMBERVALUE("0.001410")</f>
        <v/>
      </c>
      <c r="N2602">
        <f>_xlfn.NUMBERVALUE("0.003742")</f>
        <v/>
      </c>
      <c r="O2602">
        <f>_xlfn.NUMBERVALUE("0.015588")</f>
        <v/>
      </c>
      <c r="P2602">
        <f>_xlfn.NUMBERVALUE("0.001567")</f>
        <v/>
      </c>
      <c r="Q2602">
        <f>_xlfn.NUMBERVALUE("0.003120")</f>
        <v/>
      </c>
      <c r="R2602">
        <f>_xlfn.NUMBERVALUE("0.002081")</f>
        <v/>
      </c>
      <c r="S2602">
        <f>_xlfn.NUMBERVALUE("0.001360")</f>
        <v/>
      </c>
      <c r="T2602">
        <f>_xlfn.NUMBERVALUE("0.001582")</f>
        <v/>
      </c>
      <c r="U2602">
        <f>_xlfn.NUMBERVALUE("0.002787")</f>
        <v/>
      </c>
      <c r="V2602">
        <f>_xlfn.NUMBERVALUE("0.002154")</f>
        <v/>
      </c>
      <c r="W2602">
        <f>_xlfn.NUMBERVALUE("-0.004323")</f>
        <v/>
      </c>
      <c r="X2602">
        <f>_xlfn.NUMBERVALUE("0.960000")</f>
        <v/>
      </c>
      <c r="Y2602">
        <f>_xlfn.NUMBERVALUE("23.640000")</f>
        <v/>
      </c>
    </row>
    <row r="2603">
      <c r="A2603" s="1" t="n">
        <v>45783</v>
      </c>
      <c r="B2603">
        <f>_xlfn.NUMBERVALUE("-0.001740")</f>
        <v/>
      </c>
      <c r="C2603" s="2">
        <f>_xlfn.NUMBERVALUE("0.000752")</f>
        <v/>
      </c>
      <c r="D2603">
        <f>_xlfn.NUMBERVALUE("0.000184")</f>
        <v/>
      </c>
      <c r="E2603">
        <f>_xlfn.NUMBERVALUE("0.000175")</f>
        <v/>
      </c>
      <c r="F2603">
        <f>_xlfn.NUMBERVALUE("-0.000194")</f>
        <v/>
      </c>
      <c r="G2603">
        <f>_xlfn.NUMBERVALUE("0.000584")</f>
        <v/>
      </c>
      <c r="H2603">
        <f>_xlfn.NUMBERVALUE("0.000731")</f>
        <v/>
      </c>
      <c r="I2603">
        <f>_xlfn.NUMBERVALUE("0.001119")</f>
        <v/>
      </c>
      <c r="J2603">
        <f>_xlfn.NUMBERVALUE("0.000735")</f>
        <v/>
      </c>
      <c r="K2603">
        <f>_xlfn.NUMBERVALUE("-0.002957")</f>
        <v/>
      </c>
      <c r="L2603">
        <f>_xlfn.NUMBERVALUE("0.001356")</f>
        <v/>
      </c>
      <c r="M2603">
        <f>_xlfn.NUMBERVALUE("0.001184")</f>
        <v/>
      </c>
      <c r="N2603">
        <f>_xlfn.NUMBERVALUE("-0.000610")</f>
        <v/>
      </c>
      <c r="O2603">
        <f>_xlfn.NUMBERVALUE("0.000962")</f>
        <v/>
      </c>
      <c r="P2603">
        <f>_xlfn.NUMBERVALUE("0.000872")</f>
        <v/>
      </c>
      <c r="Q2603">
        <f>_xlfn.NUMBERVALUE("-0.001296")</f>
        <v/>
      </c>
      <c r="R2603">
        <f>_xlfn.NUMBERVALUE("0.000662")</f>
        <v/>
      </c>
      <c r="S2603">
        <f>_xlfn.NUMBERVALUE("-0.000049")</f>
        <v/>
      </c>
      <c r="T2603">
        <f>_xlfn.NUMBERVALUE("-0.001270")</f>
        <v/>
      </c>
      <c r="U2603">
        <f>_xlfn.NUMBERVALUE("-0.000224")</f>
        <v/>
      </c>
      <c r="V2603">
        <f>_xlfn.NUMBERVALUE("0.000910")</f>
        <v/>
      </c>
      <c r="W2603">
        <f>_xlfn.NUMBERVALUE("-0.005404")</f>
        <v/>
      </c>
      <c r="X2603">
        <f>_xlfn.NUMBERVALUE("1.120000")</f>
        <v/>
      </c>
      <c r="Y2603">
        <f>_xlfn.NUMBERVALUE("24.760000")</f>
        <v/>
      </c>
    </row>
    <row r="2604">
      <c r="A2604" s="1" t="n">
        <v>45784</v>
      </c>
      <c r="B2604">
        <f>_xlfn.NUMBERVALUE("0.001550")</f>
        <v/>
      </c>
      <c r="C2604" s="2">
        <f>_xlfn.NUMBERVALUE("0.001485")</f>
        <v/>
      </c>
      <c r="D2604">
        <f>_xlfn.NUMBERVALUE("-0.000197")</f>
        <v/>
      </c>
      <c r="E2604">
        <f>_xlfn.NUMBERVALUE("0.000122")</f>
        <v/>
      </c>
      <c r="F2604">
        <f>_xlfn.NUMBERVALUE("0.000073")</f>
        <v/>
      </c>
      <c r="G2604">
        <f>_xlfn.NUMBERVALUE("0.000399")</f>
        <v/>
      </c>
      <c r="H2604">
        <f>_xlfn.NUMBERVALUE("0.001280")</f>
        <v/>
      </c>
      <c r="I2604">
        <f>_xlfn.NUMBERVALUE("0.002233")</f>
        <v/>
      </c>
      <c r="J2604">
        <f>_xlfn.NUMBERVALUE("0.000899")</f>
        <v/>
      </c>
      <c r="K2604">
        <f>_xlfn.NUMBERVALUE("0.001324")</f>
        <v/>
      </c>
      <c r="L2604">
        <f>_xlfn.NUMBERVALUE("0.001083")</f>
        <v/>
      </c>
      <c r="M2604">
        <f>_xlfn.NUMBERVALUE("-0.002484")</f>
        <v/>
      </c>
      <c r="N2604">
        <f>_xlfn.NUMBERVALUE("0.001660")</f>
        <v/>
      </c>
      <c r="O2604">
        <f>_xlfn.NUMBERVALUE("0.005746")</f>
        <v/>
      </c>
      <c r="P2604">
        <f>_xlfn.NUMBERVALUE("0.001473")</f>
        <v/>
      </c>
      <c r="Q2604">
        <f>_xlfn.NUMBERVALUE("0.004082")</f>
        <v/>
      </c>
      <c r="R2604">
        <f>_xlfn.NUMBERVALUE("0.002841")</f>
        <v/>
      </c>
      <c r="S2604">
        <f>_xlfn.NUMBERVALUE("0.001062")</f>
        <v/>
      </c>
      <c r="T2604">
        <f>_xlfn.NUMBERVALUE("-0.001581")</f>
        <v/>
      </c>
      <c r="U2604">
        <f>_xlfn.NUMBERVALUE("0.001433")</f>
        <v/>
      </c>
      <c r="V2604">
        <f>_xlfn.NUMBERVALUE("0.001310")</f>
        <v/>
      </c>
      <c r="W2604">
        <f>_xlfn.NUMBERVALUE("0.002209")</f>
        <v/>
      </c>
      <c r="X2604">
        <f>_xlfn.NUMBERVALUE("-1.210000")</f>
        <v/>
      </c>
      <c r="Y2604">
        <f>_xlfn.NUMBERVALUE("23.550000")</f>
        <v/>
      </c>
    </row>
    <row r="2605">
      <c r="A2605" s="1" t="n">
        <v>45785</v>
      </c>
      <c r="B2605">
        <f>_xlfn.NUMBERVALUE("-0.005453")</f>
        <v/>
      </c>
      <c r="C2605" s="2">
        <f>_xlfn.NUMBERVALUE("0.000349")</f>
        <v/>
      </c>
      <c r="D2605">
        <f>_xlfn.NUMBERVALUE("0.000234")</f>
        <v/>
      </c>
      <c r="E2605">
        <f>_xlfn.NUMBERVALUE("0.000111")</f>
        <v/>
      </c>
      <c r="F2605">
        <f>_xlfn.NUMBERVALUE("0.000239")</f>
        <v/>
      </c>
      <c r="G2605">
        <f>_xlfn.NUMBERVALUE("0.000632")</f>
        <v/>
      </c>
      <c r="H2605">
        <f>_xlfn.NUMBERVALUE("-0.002247")</f>
        <v/>
      </c>
      <c r="I2605">
        <f>_xlfn.NUMBERVALUE("-0.001526")</f>
        <v/>
      </c>
      <c r="J2605">
        <f>_xlfn.NUMBERVALUE("0.001304")</f>
        <v/>
      </c>
      <c r="K2605">
        <f>_xlfn.NUMBERVALUE("0.003120")</f>
        <v/>
      </c>
      <c r="L2605">
        <f>_xlfn.NUMBERVALUE("0.001404")</f>
        <v/>
      </c>
      <c r="M2605">
        <f>_xlfn.NUMBERVALUE("-0.002133")</f>
        <v/>
      </c>
      <c r="N2605">
        <f>_xlfn.NUMBERVALUE("0.006826")</f>
        <v/>
      </c>
      <c r="O2605">
        <f>_xlfn.NUMBERVALUE("-0.004670")</f>
        <v/>
      </c>
      <c r="P2605">
        <f>_xlfn.NUMBERVALUE("-0.000386")</f>
        <v/>
      </c>
      <c r="Q2605">
        <f>_xlfn.NUMBERVALUE("-0.003139")</f>
        <v/>
      </c>
      <c r="R2605">
        <f>_xlfn.NUMBERVALUE("-0.000010")</f>
        <v/>
      </c>
      <c r="S2605">
        <f>_xlfn.NUMBERVALUE("0.001262")</f>
        <v/>
      </c>
      <c r="T2605">
        <f>_xlfn.NUMBERVALUE("0.000880")</f>
        <v/>
      </c>
      <c r="U2605">
        <f>_xlfn.NUMBERVALUE("0.000599")</f>
        <v/>
      </c>
      <c r="V2605">
        <f>_xlfn.NUMBERVALUE("0.000410")</f>
        <v/>
      </c>
      <c r="W2605">
        <f>_xlfn.NUMBERVALUE("0.007893")</f>
        <v/>
      </c>
      <c r="X2605">
        <f>_xlfn.NUMBERVALUE("-1.070000")</f>
        <v/>
      </c>
      <c r="Y2605">
        <f>_xlfn.NUMBERVALUE("22.480000")</f>
        <v/>
      </c>
    </row>
    <row r="2606">
      <c r="A2606" s="1" t="n">
        <v>45786</v>
      </c>
      <c r="B2606">
        <f>_xlfn.NUMBERVALUE("0.004815")</f>
        <v/>
      </c>
      <c r="C2606" s="2">
        <f>_xlfn.NUMBERVALUE("0.001031")</f>
        <v/>
      </c>
      <c r="D2606">
        <f>_xlfn.NUMBERVALUE("-0.000015")</f>
        <v/>
      </c>
      <c r="E2606">
        <f>_xlfn.NUMBERVALUE("-0.000011")</f>
        <v/>
      </c>
      <c r="F2606">
        <f>_xlfn.NUMBERVALUE("-0.000005")</f>
        <v/>
      </c>
      <c r="G2606">
        <f>_xlfn.NUMBERVALUE("0.000018")</f>
        <v/>
      </c>
      <c r="H2606">
        <f>_xlfn.NUMBERVALUE("0.001726")</f>
        <v/>
      </c>
      <c r="I2606">
        <f>_xlfn.NUMBERVALUE("-0.000453")</f>
        <v/>
      </c>
      <c r="J2606">
        <f>_xlfn.NUMBERVALUE("0.002745")</f>
        <v/>
      </c>
      <c r="K2606">
        <f>_xlfn.NUMBERVALUE("-0.000151")</f>
        <v/>
      </c>
      <c r="L2606">
        <f>_xlfn.NUMBERVALUE("0.002234")</f>
        <v/>
      </c>
      <c r="M2606">
        <f>_xlfn.NUMBERVALUE("0.004352")</f>
        <v/>
      </c>
      <c r="N2606">
        <f>_xlfn.NUMBERVALUE("-0.006531")</f>
        <v/>
      </c>
      <c r="O2606">
        <f>_xlfn.NUMBERVALUE("0.001202")</f>
        <v/>
      </c>
      <c r="P2606">
        <f>_xlfn.NUMBERVALUE("0.001567")</f>
        <v/>
      </c>
      <c r="Q2606">
        <f>_xlfn.NUMBERVALUE("-0.000110")</f>
        <v/>
      </c>
      <c r="R2606">
        <f>_xlfn.NUMBERVALUE("0.000514")</f>
        <v/>
      </c>
      <c r="S2606">
        <f>_xlfn.NUMBERVALUE("0.000524")</f>
        <v/>
      </c>
      <c r="T2606">
        <f>_xlfn.NUMBERVALUE("0.003962")</f>
        <v/>
      </c>
      <c r="U2606">
        <f>_xlfn.NUMBERVALUE("0.000768")</f>
        <v/>
      </c>
      <c r="V2606">
        <f>_xlfn.NUMBERVALUE("0.000145")</f>
        <v/>
      </c>
      <c r="W2606">
        <f>_xlfn.NUMBERVALUE("-0.002381")</f>
        <v/>
      </c>
      <c r="X2606">
        <f>_xlfn.NUMBERVALUE("-0.580000")</f>
        <v/>
      </c>
      <c r="Y2606">
        <f>_xlfn.NUMBERVALUE("21.900000")</f>
        <v/>
      </c>
    </row>
    <row r="2607">
      <c r="A2607" s="1" t="n">
        <v>45789</v>
      </c>
      <c r="B2607">
        <f>_xlfn.NUMBERVALUE("-0.009184")</f>
        <v/>
      </c>
      <c r="C2607" s="2">
        <f>_xlfn.NUMBERVALUE("-0.001701")</f>
        <v/>
      </c>
      <c r="D2607">
        <f>_xlfn.NUMBERVALUE("-0.002875")</f>
        <v/>
      </c>
      <c r="E2607">
        <f>_xlfn.NUMBERVALUE("0.002607")</f>
        <v/>
      </c>
      <c r="F2607">
        <f>_xlfn.NUMBERVALUE("-0.003227")</f>
        <v/>
      </c>
      <c r="G2607">
        <f>_xlfn.NUMBERVALUE("-0.002359")</f>
        <v/>
      </c>
      <c r="H2607">
        <f>_xlfn.NUMBERVALUE("-0.000357")</f>
        <v/>
      </c>
      <c r="I2607">
        <f>_xlfn.NUMBERVALUE("-0.000888")</f>
        <v/>
      </c>
      <c r="J2607">
        <f>_xlfn.NUMBERVALUE("0.000533")</f>
        <v/>
      </c>
      <c r="K2607">
        <f>_xlfn.NUMBERVALUE("0.003655")</f>
        <v/>
      </c>
      <c r="L2607">
        <f>_xlfn.NUMBERVALUE("-0.000722")</f>
        <v/>
      </c>
      <c r="M2607">
        <f>_xlfn.NUMBERVALUE("-0.002403")</f>
        <v/>
      </c>
      <c r="N2607">
        <f>_xlfn.NUMBERVALUE("0.004928")</f>
        <v/>
      </c>
      <c r="O2607">
        <f>_xlfn.NUMBERVALUE("-0.002248")</f>
        <v/>
      </c>
      <c r="P2607">
        <f>_xlfn.NUMBERVALUE("-0.000368")</f>
        <v/>
      </c>
      <c r="Q2607">
        <f>_xlfn.NUMBERVALUE("-0.000522")</f>
        <v/>
      </c>
      <c r="R2607">
        <f>_xlfn.NUMBERVALUE("-0.001576")</f>
        <v/>
      </c>
      <c r="S2607">
        <f>_xlfn.NUMBERVALUE("0.001195")</f>
        <v/>
      </c>
      <c r="T2607">
        <f>_xlfn.NUMBERVALUE("0.004863")</f>
        <v/>
      </c>
      <c r="U2607">
        <f>_xlfn.NUMBERVALUE("-0.005683")</f>
        <v/>
      </c>
      <c r="V2607">
        <f>_xlfn.NUMBERVALUE("-0.001670")</f>
        <v/>
      </c>
      <c r="W2607">
        <f>_xlfn.NUMBERVALUE("0.029578")</f>
        <v/>
      </c>
      <c r="X2607">
        <f>_xlfn.NUMBERVALUE("-3.510000")</f>
        <v/>
      </c>
      <c r="Y2607">
        <f>_xlfn.NUMBERVALUE("18.390000")</f>
        <v/>
      </c>
    </row>
    <row r="2608">
      <c r="A2608" s="1" t="n">
        <v>45790</v>
      </c>
      <c r="B2608">
        <f>_xlfn.NUMBERVALUE("-0.010742")</f>
        <v/>
      </c>
      <c r="C2608" s="2">
        <f>_xlfn.NUMBERVALUE("0.002172")</f>
        <v/>
      </c>
      <c r="D2608">
        <f>_xlfn.NUMBERVALUE("0.001513")</f>
        <v/>
      </c>
      <c r="E2608">
        <f>_xlfn.NUMBERVALUE("0.000374")</f>
        <v/>
      </c>
      <c r="F2608">
        <f>_xlfn.NUMBERVALUE("0.004297")</f>
        <v/>
      </c>
      <c r="G2608">
        <f>_xlfn.NUMBERVALUE("0.000581")</f>
        <v/>
      </c>
      <c r="H2608">
        <f>_xlfn.NUMBERVALUE("0.000591")</f>
        <v/>
      </c>
      <c r="I2608">
        <f>_xlfn.NUMBERVALUE("0.001220")</f>
        <v/>
      </c>
      <c r="J2608">
        <f>_xlfn.NUMBERVALUE("0.001046")</f>
        <v/>
      </c>
      <c r="K2608">
        <f>_xlfn.NUMBERVALUE("0.001838")</f>
        <v/>
      </c>
      <c r="L2608">
        <f>_xlfn.NUMBERVALUE("0.000351")</f>
        <v/>
      </c>
      <c r="M2608">
        <f>_xlfn.NUMBERVALUE("0.000127")</f>
        <v/>
      </c>
      <c r="N2608">
        <f>_xlfn.NUMBERVALUE("-0.004228")</f>
        <v/>
      </c>
      <c r="O2608">
        <f>_xlfn.NUMBERVALUE("-0.000313")</f>
        <v/>
      </c>
      <c r="P2608">
        <f>_xlfn.NUMBERVALUE("0.000113")</f>
        <v/>
      </c>
      <c r="Q2608">
        <f>_xlfn.NUMBERVALUE("0.000132")</f>
        <v/>
      </c>
      <c r="R2608">
        <f>_xlfn.NUMBERVALUE("0.000215")</f>
        <v/>
      </c>
      <c r="S2608">
        <f>_xlfn.NUMBERVALUE("-0.000285")</f>
        <v/>
      </c>
      <c r="T2608">
        <f>_xlfn.NUMBERVALUE("0.001663")</f>
        <v/>
      </c>
      <c r="U2608">
        <f>_xlfn.NUMBERVALUE("0.000098")</f>
        <v/>
      </c>
      <c r="V2608">
        <f>_xlfn.NUMBERVALUE("-0.001058")</f>
        <v/>
      </c>
      <c r="W2608">
        <f>_xlfn.NUMBERVALUE("0.012841")</f>
        <v/>
      </c>
      <c r="X2608">
        <f>_xlfn.NUMBERVALUE("-0.170000")</f>
        <v/>
      </c>
      <c r="Y2608">
        <f>_xlfn.NUMBERVALUE("18.220000")</f>
        <v/>
      </c>
    </row>
    <row r="2609">
      <c r="A2609" s="1" t="n">
        <v>45791</v>
      </c>
      <c r="B2609">
        <f>_xlfn.NUMBERVALUE("0.000865")</f>
        <v/>
      </c>
      <c r="C2609" s="2">
        <f>_xlfn.NUMBERVALUE("-0.000056")</f>
        <v/>
      </c>
      <c r="D2609">
        <f>_xlfn.NUMBERVALUE("0.000489")</f>
        <v/>
      </c>
      <c r="E2609">
        <f>_xlfn.NUMBERVALUE("0.000133")</f>
        <v/>
      </c>
      <c r="F2609">
        <f>_xlfn.NUMBERVALUE("-0.004536")</f>
        <v/>
      </c>
      <c r="G2609">
        <f>_xlfn.NUMBERVALUE("0.000361")</f>
        <v/>
      </c>
      <c r="H2609">
        <f>_xlfn.NUMBERVALUE("-0.000462")</f>
        <v/>
      </c>
      <c r="I2609">
        <f>_xlfn.NUMBERVALUE("0.000696")</f>
        <v/>
      </c>
      <c r="J2609">
        <f>_xlfn.NUMBERVALUE("0.000275")</f>
        <v/>
      </c>
      <c r="K2609">
        <f>_xlfn.NUMBERVALUE("-0.003918")</f>
        <v/>
      </c>
      <c r="L2609">
        <f>_xlfn.NUMBERVALUE("-0.002016")</f>
        <v/>
      </c>
      <c r="M2609">
        <f>_xlfn.NUMBERVALUE("0.000119")</f>
        <v/>
      </c>
      <c r="N2609">
        <f>_xlfn.NUMBERVALUE("0.000907")</f>
        <v/>
      </c>
      <c r="O2609">
        <f>_xlfn.NUMBERVALUE("0.000121")</f>
        <v/>
      </c>
      <c r="P2609">
        <f>_xlfn.NUMBERVALUE("-0.000037")</f>
        <v/>
      </c>
      <c r="Q2609">
        <f>_xlfn.NUMBERVALUE("0.000032")</f>
        <v/>
      </c>
      <c r="R2609">
        <f>_xlfn.NUMBERVALUE("-0.000062")</f>
        <v/>
      </c>
      <c r="S2609">
        <f>_xlfn.NUMBERVALUE("-0.000028")</f>
        <v/>
      </c>
      <c r="T2609">
        <f>_xlfn.NUMBERVALUE("0.001187")</f>
        <v/>
      </c>
      <c r="U2609">
        <f>_xlfn.NUMBERVALUE("-0.000062")</f>
        <v/>
      </c>
      <c r="V2609">
        <f>_xlfn.NUMBERVALUE("-0.000069")</f>
        <v/>
      </c>
      <c r="W2609">
        <f>_xlfn.NUMBERVALUE("-0.002974")</f>
        <v/>
      </c>
      <c r="X2609">
        <f>_xlfn.NUMBERVALUE("0.400000")</f>
        <v/>
      </c>
      <c r="Y2609">
        <f>_xlfn.NUMBERVALUE("18.620000")</f>
        <v/>
      </c>
    </row>
    <row r="2610">
      <c r="A2610" s="1" t="n">
        <v>45792</v>
      </c>
      <c r="B2610">
        <f>_xlfn.NUMBERVALUE("0.003516")</f>
        <v/>
      </c>
      <c r="C2610" s="2">
        <f>_xlfn.NUMBERVALUE("0.000162")</f>
        <v/>
      </c>
      <c r="D2610">
        <f>_xlfn.NUMBERVALUE("0.000423")</f>
        <v/>
      </c>
      <c r="E2610">
        <f>_xlfn.NUMBERVALUE("-0.001568")</f>
        <v/>
      </c>
      <c r="F2610">
        <f>_xlfn.NUMBERVALUE("-0.002235")</f>
        <v/>
      </c>
      <c r="G2610">
        <f>_xlfn.NUMBERVALUE("0.000539")</f>
        <v/>
      </c>
      <c r="H2610">
        <f>_xlfn.NUMBERVALUE("0.000117")</f>
        <v/>
      </c>
      <c r="I2610">
        <f>_xlfn.NUMBERVALUE("0.001825")</f>
        <v/>
      </c>
      <c r="J2610">
        <f>_xlfn.NUMBERVALUE("0.000160")</f>
        <v/>
      </c>
      <c r="K2610">
        <f>_xlfn.NUMBERVALUE("0.000159")</f>
        <v/>
      </c>
      <c r="L2610">
        <f>_xlfn.NUMBERVALUE("-0.000103")</f>
        <v/>
      </c>
      <c r="M2610">
        <f>_xlfn.NUMBERVALUE("0.003401")</f>
        <v/>
      </c>
      <c r="N2610">
        <f>_xlfn.NUMBERVALUE("-0.000600")</f>
        <v/>
      </c>
      <c r="O2610">
        <f>_xlfn.NUMBERVALUE("0.000513")</f>
        <v/>
      </c>
      <c r="P2610">
        <f>_xlfn.NUMBERVALUE("0.000605")</f>
        <v/>
      </c>
      <c r="Q2610">
        <f>_xlfn.NUMBERVALUE("-0.002772")</f>
        <v/>
      </c>
      <c r="R2610">
        <f>_xlfn.NUMBERVALUE("0.000444")</f>
        <v/>
      </c>
      <c r="S2610">
        <f>_xlfn.NUMBERVALUE("-0.004060")</f>
        <v/>
      </c>
      <c r="T2610">
        <f>_xlfn.NUMBERVALUE("-0.003470")</f>
        <v/>
      </c>
      <c r="U2610">
        <f>_xlfn.NUMBERVALUE("0.005037")</f>
        <v/>
      </c>
      <c r="V2610">
        <f>_xlfn.NUMBERVALUE("0.000383")</f>
        <v/>
      </c>
      <c r="W2610">
        <f>_xlfn.NUMBERVALUE("0.004210")</f>
        <v/>
      </c>
      <c r="X2610">
        <f>_xlfn.NUMBERVALUE("-0.790000")</f>
        <v/>
      </c>
      <c r="Y2610">
        <f>_xlfn.NUMBERVALUE("17.830000")</f>
        <v/>
      </c>
    </row>
    <row r="2611">
      <c r="A2611" s="1" t="n">
        <v>45793</v>
      </c>
      <c r="B2611">
        <f>_xlfn.NUMBERVALUE("-0.001264")</f>
        <v/>
      </c>
      <c r="C2611" s="2">
        <f>_xlfn.NUMBERVALUE("-0.000123")</f>
        <v/>
      </c>
      <c r="D2611">
        <f>_xlfn.NUMBERVALUE("0.002589")</f>
        <v/>
      </c>
      <c r="E2611">
        <f>_xlfn.NUMBERVALUE("0.002130")</f>
        <v/>
      </c>
      <c r="F2611">
        <f>_xlfn.NUMBERVALUE("-0.000043")</f>
        <v/>
      </c>
      <c r="G2611">
        <f>_xlfn.NUMBERVALUE("0.000634")</f>
        <v/>
      </c>
      <c r="H2611">
        <f>_xlfn.NUMBERVALUE("0.000558")</f>
        <v/>
      </c>
      <c r="I2611">
        <f>_xlfn.NUMBERVALUE("0.000255")</f>
        <v/>
      </c>
      <c r="J2611">
        <f>_xlfn.NUMBERVALUE("0.001299")</f>
        <v/>
      </c>
      <c r="K2611">
        <f>_xlfn.NUMBERVALUE("0.003102")</f>
        <v/>
      </c>
      <c r="L2611">
        <f>_xlfn.NUMBERVALUE("0.001950")</f>
        <v/>
      </c>
      <c r="M2611">
        <f>_xlfn.NUMBERVALUE("0.000908")</f>
        <v/>
      </c>
      <c r="N2611">
        <f>_xlfn.NUMBERVALUE("-0.000218")</f>
        <v/>
      </c>
      <c r="O2611">
        <f>_xlfn.NUMBERVALUE("0.004017")</f>
        <v/>
      </c>
      <c r="P2611">
        <f>_xlfn.NUMBERVALUE("0.000373")</f>
        <v/>
      </c>
      <c r="Q2611">
        <f>_xlfn.NUMBERVALUE("-0.000736")</f>
        <v/>
      </c>
      <c r="R2611">
        <f>_xlfn.NUMBERVALUE("0.001370")</f>
        <v/>
      </c>
      <c r="S2611">
        <f>_xlfn.NUMBERVALUE("-0.001224")</f>
        <v/>
      </c>
      <c r="T2611">
        <f>_xlfn.NUMBERVALUE("-0.001467")</f>
        <v/>
      </c>
      <c r="U2611">
        <f>_xlfn.NUMBERVALUE("-0.001218")</f>
        <v/>
      </c>
      <c r="V2611">
        <f>_xlfn.NUMBERVALUE("0.000407")</f>
        <v/>
      </c>
      <c r="W2611">
        <f>_xlfn.NUMBERVALUE("0.007163")</f>
        <v/>
      </c>
      <c r="X2611">
        <f>_xlfn.NUMBERVALUE("-0.590000")</f>
        <v/>
      </c>
      <c r="Y2611">
        <f>_xlfn.NUMBERVALUE("17.240000")</f>
        <v/>
      </c>
    </row>
    <row r="2612">
      <c r="A2612" s="1" t="n">
        <v>45796</v>
      </c>
      <c r="B2612">
        <f>_xlfn.NUMBERVALUE("0.004206")</f>
        <v/>
      </c>
      <c r="C2612" s="2">
        <f>_xlfn.NUMBERVALUE("-0.000614")</f>
        <v/>
      </c>
      <c r="D2612">
        <f>_xlfn.NUMBERVALUE("0.000512")</f>
        <v/>
      </c>
      <c r="E2612">
        <f>_xlfn.NUMBERVALUE("-0.000523")</f>
        <v/>
      </c>
      <c r="F2612">
        <f>_xlfn.NUMBERVALUE("0.000938")</f>
        <v/>
      </c>
      <c r="G2612">
        <f>_xlfn.NUMBERVALUE("-0.000028")</f>
        <v/>
      </c>
      <c r="H2612">
        <f>_xlfn.NUMBERVALUE("0.000951")</f>
        <v/>
      </c>
      <c r="I2612">
        <f>_xlfn.NUMBERVALUE("0.000415")</f>
        <v/>
      </c>
      <c r="J2612">
        <f>_xlfn.NUMBERVALUE("-0.000509")</f>
        <v/>
      </c>
      <c r="K2612">
        <f>_xlfn.NUMBERVALUE("0.002981")</f>
        <v/>
      </c>
      <c r="L2612">
        <f>_xlfn.NUMBERVALUE("0.000925")</f>
        <v/>
      </c>
      <c r="M2612">
        <f>_xlfn.NUMBERVALUE("-0.003003")</f>
        <v/>
      </c>
      <c r="N2612">
        <f>_xlfn.NUMBERVALUE("0.000325")</f>
        <v/>
      </c>
      <c r="O2612">
        <f>_xlfn.NUMBERVALUE("-0.000148")</f>
        <v/>
      </c>
      <c r="P2612">
        <f>_xlfn.NUMBERVALUE("0.000759")</f>
        <v/>
      </c>
      <c r="Q2612">
        <f>_xlfn.NUMBERVALUE("0.000031")</f>
        <v/>
      </c>
      <c r="R2612">
        <f>_xlfn.NUMBERVALUE("0.001505")</f>
        <v/>
      </c>
      <c r="S2612">
        <f>_xlfn.NUMBERVALUE("0.001425")</f>
        <v/>
      </c>
      <c r="T2612">
        <f>_xlfn.NUMBERVALUE("-0.000814")</f>
        <v/>
      </c>
      <c r="U2612">
        <f>_xlfn.NUMBERVALUE("-0.000452")</f>
        <v/>
      </c>
      <c r="V2612">
        <f>_xlfn.NUMBERVALUE("0.000004")</f>
        <v/>
      </c>
      <c r="W2612">
        <f>_xlfn.NUMBERVALUE("0.000994")</f>
        <v/>
      </c>
      <c r="X2612">
        <f>_xlfn.NUMBERVALUE("0.900000")</f>
        <v/>
      </c>
      <c r="Y2612">
        <f>_xlfn.NUMBERVALUE("18.140000")</f>
        <v/>
      </c>
    </row>
    <row r="2613">
      <c r="A2613" s="1" t="n">
        <v>45797</v>
      </c>
      <c r="B2613">
        <f>_xlfn.NUMBERVALUE("-0.000019")</f>
        <v/>
      </c>
      <c r="C2613" s="2">
        <f>_xlfn.NUMBERVALUE("0.000901")</f>
        <v/>
      </c>
      <c r="D2613">
        <f>_xlfn.NUMBERVALUE("0.000488")</f>
        <v/>
      </c>
      <c r="E2613">
        <f>_xlfn.NUMBERVALUE("-0.001016")</f>
        <v/>
      </c>
      <c r="F2613">
        <f>_xlfn.NUMBERVALUE("-0.001821")</f>
        <v/>
      </c>
      <c r="G2613">
        <f>_xlfn.NUMBERVALUE("-0.000130")</f>
        <v/>
      </c>
      <c r="H2613">
        <f>_xlfn.NUMBERVALUE("0.000553")</f>
        <v/>
      </c>
      <c r="I2613">
        <f>_xlfn.NUMBERVALUE("0.000881")</f>
        <v/>
      </c>
      <c r="J2613">
        <f>_xlfn.NUMBERVALUE("0.000416")</f>
        <v/>
      </c>
      <c r="K2613">
        <f>_xlfn.NUMBERVALUE("-0.004228")</f>
        <v/>
      </c>
      <c r="L2613">
        <f>_xlfn.NUMBERVALUE("-0.000022")</f>
        <v/>
      </c>
      <c r="M2613">
        <f>_xlfn.NUMBERVALUE("0.000124")</f>
        <v/>
      </c>
      <c r="N2613">
        <f>_xlfn.NUMBERVALUE("0.000109")</f>
        <v/>
      </c>
      <c r="O2613">
        <f>_xlfn.NUMBERVALUE("-0.000660")</f>
        <v/>
      </c>
      <c r="P2613">
        <f>_xlfn.NUMBERVALUE("0.001136")</f>
        <v/>
      </c>
      <c r="Q2613">
        <f>_xlfn.NUMBERVALUE("0.000193")</f>
        <v/>
      </c>
      <c r="R2613">
        <f>_xlfn.NUMBERVALUE("0.001789")</f>
        <v/>
      </c>
      <c r="S2613">
        <f>_xlfn.NUMBERVALUE("-0.000300")</f>
        <v/>
      </c>
      <c r="T2613">
        <f>_xlfn.NUMBERVALUE("0.000481")</f>
        <v/>
      </c>
      <c r="U2613">
        <f>_xlfn.NUMBERVALUE("0.001721")</f>
        <v/>
      </c>
      <c r="V2613">
        <f>_xlfn.NUMBERVALUE("0.001263")</f>
        <v/>
      </c>
      <c r="W2613">
        <f>_xlfn.NUMBERVALUE("-0.003653")</f>
        <v/>
      </c>
      <c r="X2613">
        <f>_xlfn.NUMBERVALUE("-0.050000")</f>
        <v/>
      </c>
      <c r="Y2613">
        <f>_xlfn.NUMBERVALUE("18.090000")</f>
        <v/>
      </c>
    </row>
    <row r="2614">
      <c r="A2614" s="1" t="n">
        <v>45798</v>
      </c>
      <c r="B2614">
        <f>_xlfn.NUMBERVALUE("-0.001039")</f>
        <v/>
      </c>
      <c r="C2614" s="2">
        <f>_xlfn.NUMBERVALUE("-0.002734")</f>
        <v/>
      </c>
      <c r="D2614">
        <f>_xlfn.NUMBERVALUE("0.000874")</f>
        <v/>
      </c>
      <c r="E2614">
        <f>_xlfn.NUMBERVALUE("-0.000800")</f>
        <v/>
      </c>
      <c r="F2614">
        <f>_xlfn.NUMBERVALUE("-0.000634")</f>
        <v/>
      </c>
      <c r="G2614">
        <f>_xlfn.NUMBERVALUE("-0.000964")</f>
        <v/>
      </c>
      <c r="H2614">
        <f>_xlfn.NUMBERVALUE("-0.001935")</f>
        <v/>
      </c>
      <c r="I2614">
        <f>_xlfn.NUMBERVALUE("-0.006985")</f>
        <v/>
      </c>
      <c r="J2614">
        <f>_xlfn.NUMBERVALUE("-0.003107")</f>
        <v/>
      </c>
      <c r="K2614">
        <f>_xlfn.NUMBERVALUE("-0.003712")</f>
        <v/>
      </c>
      <c r="L2614">
        <f>_xlfn.NUMBERVALUE("-0.005356")</f>
        <v/>
      </c>
      <c r="M2614">
        <f>_xlfn.NUMBERVALUE("-0.002462")</f>
        <v/>
      </c>
      <c r="N2614">
        <f>_xlfn.NUMBERVALUE("0.000041")</f>
        <v/>
      </c>
      <c r="O2614">
        <f>_xlfn.NUMBERVALUE("-0.001393")</f>
        <v/>
      </c>
      <c r="P2614">
        <f>_xlfn.NUMBERVALUE("-0.002981")</f>
        <v/>
      </c>
      <c r="Q2614">
        <f>_xlfn.NUMBERVALUE("-0.000433")</f>
        <v/>
      </c>
      <c r="R2614">
        <f>_xlfn.NUMBERVALUE("-0.002083")</f>
        <v/>
      </c>
      <c r="S2614">
        <f>_xlfn.NUMBERVALUE("-0.001492")</f>
        <v/>
      </c>
      <c r="T2614">
        <f>_xlfn.NUMBERVALUE("0.000351")</f>
        <v/>
      </c>
      <c r="U2614">
        <f>_xlfn.NUMBERVALUE("-0.003550")</f>
        <v/>
      </c>
      <c r="V2614">
        <f>_xlfn.NUMBERVALUE("-0.001131")</f>
        <v/>
      </c>
      <c r="W2614">
        <f>_xlfn.NUMBERVALUE("-0.012876")</f>
        <v/>
      </c>
      <c r="X2614">
        <f>_xlfn.NUMBERVALUE("2.780000")</f>
        <v/>
      </c>
      <c r="Y2614">
        <f>_xlfn.NUMBERVALUE("20.870000")</f>
        <v/>
      </c>
    </row>
    <row r="2615">
      <c r="A2615" s="1" t="n">
        <v>45799</v>
      </c>
      <c r="B2615">
        <f>_xlfn.NUMBERVALUE("0.001344")</f>
        <v/>
      </c>
      <c r="C2615" s="2">
        <f>_xlfn.NUMBERVALUE("0.001517")</f>
        <v/>
      </c>
      <c r="D2615">
        <f>_xlfn.NUMBERVALUE("0.001224")</f>
        <v/>
      </c>
      <c r="E2615">
        <f>_xlfn.NUMBERVALUE("0.001158")</f>
        <v/>
      </c>
      <c r="F2615">
        <f>_xlfn.NUMBERVALUE("0.002566")</f>
        <v/>
      </c>
      <c r="G2615">
        <f>_xlfn.NUMBERVALUE("0.001353")</f>
        <v/>
      </c>
      <c r="H2615">
        <f>_xlfn.NUMBERVALUE("0.000912")</f>
        <v/>
      </c>
      <c r="I2615">
        <f>_xlfn.NUMBERVALUE("0.002662")</f>
        <v/>
      </c>
      <c r="J2615">
        <f>_xlfn.NUMBERVALUE("0.000407")</f>
        <v/>
      </c>
      <c r="K2615">
        <f>_xlfn.NUMBERVALUE("0.002350")</f>
        <v/>
      </c>
      <c r="L2615">
        <f>_xlfn.NUMBERVALUE("0.002698")</f>
        <v/>
      </c>
      <c r="M2615">
        <f>_xlfn.NUMBERVALUE("-0.000146")</f>
        <v/>
      </c>
      <c r="N2615">
        <f>_xlfn.NUMBERVALUE("-0.000367")</f>
        <v/>
      </c>
      <c r="O2615">
        <f>_xlfn.NUMBERVALUE("0.000841")</f>
        <v/>
      </c>
      <c r="P2615">
        <f>_xlfn.NUMBERVALUE("0.002066")</f>
        <v/>
      </c>
      <c r="Q2615">
        <f>_xlfn.NUMBERVALUE("0.000692")</f>
        <v/>
      </c>
      <c r="R2615">
        <f>_xlfn.NUMBERVALUE("0.001981")</f>
        <v/>
      </c>
      <c r="S2615">
        <f>_xlfn.NUMBERVALUE("0.001533")</f>
        <v/>
      </c>
      <c r="T2615">
        <f>_xlfn.NUMBERVALUE("-0.002466")</f>
        <v/>
      </c>
      <c r="U2615">
        <f>_xlfn.NUMBERVALUE("0.000310")</f>
        <v/>
      </c>
      <c r="V2615">
        <f>_xlfn.NUMBERVALUE("0.001163")</f>
        <v/>
      </c>
      <c r="W2615">
        <f>_xlfn.NUMBERVALUE("0.000805")</f>
        <v/>
      </c>
      <c r="X2615">
        <f>_xlfn.NUMBERVALUE("-0.590000")</f>
        <v/>
      </c>
      <c r="Y2615">
        <f>_xlfn.NUMBERVALUE("20.280000")</f>
        <v/>
      </c>
    </row>
    <row r="2616">
      <c r="A2616" s="1" t="n">
        <v>45800</v>
      </c>
      <c r="B2616">
        <f>_xlfn.NUMBERVALUE("0.000691")</f>
        <v/>
      </c>
      <c r="C2616" s="2">
        <f>_xlfn.NUMBERVALUE("-0.001007")</f>
        <v/>
      </c>
      <c r="D2616">
        <f>_xlfn.NUMBERVALUE("-0.000080")</f>
        <v/>
      </c>
      <c r="E2616">
        <f>_xlfn.NUMBERVALUE("-0.001760")</f>
        <v/>
      </c>
      <c r="F2616">
        <f>_xlfn.NUMBERVALUE("-0.004090")</f>
        <v/>
      </c>
      <c r="G2616">
        <f>_xlfn.NUMBERVALUE("0.000222")</f>
        <v/>
      </c>
      <c r="H2616">
        <f>_xlfn.NUMBERVALUE("-0.000389")</f>
        <v/>
      </c>
      <c r="I2616">
        <f>_xlfn.NUMBERVALUE("-0.002008")</f>
        <v/>
      </c>
      <c r="J2616">
        <f>_xlfn.NUMBERVALUE("0.000624")</f>
        <v/>
      </c>
      <c r="K2616">
        <f>_xlfn.NUMBERVALUE("-0.000070")</f>
        <v/>
      </c>
      <c r="L2616">
        <f>_xlfn.NUMBERVALUE("-0.000125")</f>
        <v/>
      </c>
      <c r="M2616">
        <f>_xlfn.NUMBERVALUE("-0.000862")</f>
        <v/>
      </c>
      <c r="N2616">
        <f>_xlfn.NUMBERVALUE("0.000870")</f>
        <v/>
      </c>
      <c r="O2616">
        <f>_xlfn.NUMBERVALUE("0.001551")</f>
        <v/>
      </c>
      <c r="P2616">
        <f>_xlfn.NUMBERVALUE("-0.000797")</f>
        <v/>
      </c>
      <c r="Q2616">
        <f>_xlfn.NUMBERVALUE("-0.000938")</f>
        <v/>
      </c>
      <c r="R2616">
        <f>_xlfn.NUMBERVALUE("-0.001780")</f>
        <v/>
      </c>
      <c r="S2616">
        <f>_xlfn.NUMBERVALUE("0.000532")</f>
        <v/>
      </c>
      <c r="T2616">
        <f>_xlfn.NUMBERVALUE("0.000629")</f>
        <v/>
      </c>
      <c r="U2616">
        <f>_xlfn.NUMBERVALUE("0.000036")</f>
        <v/>
      </c>
      <c r="V2616">
        <f>_xlfn.NUMBERVALUE("-0.001438")</f>
        <v/>
      </c>
      <c r="W2616">
        <f>_xlfn.NUMBERVALUE("-0.007269")</f>
        <v/>
      </c>
      <c r="X2616">
        <f>_xlfn.NUMBERVALUE("2.010000")</f>
        <v/>
      </c>
      <c r="Y2616">
        <f>_xlfn.NUMBERVALUE("22.290000")</f>
        <v/>
      </c>
    </row>
    <row r="2617">
      <c r="A2617" s="1" t="n">
        <v>45804</v>
      </c>
      <c r="B2617">
        <f>_xlfn.NUMBERVALUE("-0.000622")</f>
        <v/>
      </c>
      <c r="C2617" s="2">
        <f>_xlfn.NUMBERVALUE("0.001878")</f>
        <v/>
      </c>
      <c r="D2617">
        <f>_xlfn.NUMBERVALUE("0.002877")</f>
        <v/>
      </c>
      <c r="E2617">
        <f>_xlfn.NUMBERVALUE("0.000985")</f>
        <v/>
      </c>
      <c r="F2617">
        <f>_xlfn.NUMBERVALUE("0.002531")</f>
        <v/>
      </c>
      <c r="G2617">
        <f>_xlfn.NUMBERVALUE("-0.000256")</f>
        <v/>
      </c>
      <c r="H2617">
        <f>_xlfn.NUMBERVALUE("0.001413")</f>
        <v/>
      </c>
      <c r="I2617">
        <f>_xlfn.NUMBERVALUE("0.004792")</f>
        <v/>
      </c>
      <c r="J2617">
        <f>_xlfn.NUMBERVALUE("-0.000998")</f>
        <v/>
      </c>
      <c r="K2617">
        <f>_xlfn.NUMBERVALUE("0.007369")</f>
        <v/>
      </c>
      <c r="L2617">
        <f>_xlfn.NUMBERVALUE("0.003228")</f>
        <v/>
      </c>
      <c r="M2617">
        <f>_xlfn.NUMBERVALUE("0.002927")</f>
        <v/>
      </c>
      <c r="N2617">
        <f>_xlfn.NUMBERVALUE("0.004605")</f>
        <v/>
      </c>
      <c r="O2617">
        <f>_xlfn.NUMBERVALUE("0.000647")</f>
        <v/>
      </c>
      <c r="P2617">
        <f>_xlfn.NUMBERVALUE("0.003134")</f>
        <v/>
      </c>
      <c r="Q2617">
        <f>_xlfn.NUMBERVALUE("0.001722")</f>
        <v/>
      </c>
      <c r="R2617">
        <f>_xlfn.NUMBERVALUE("0.003399")</f>
        <v/>
      </c>
      <c r="S2617">
        <f>_xlfn.NUMBERVALUE("0.001823")</f>
        <v/>
      </c>
      <c r="T2617">
        <f>_xlfn.NUMBERVALUE("0.002427")</f>
        <v/>
      </c>
      <c r="U2617">
        <f>_xlfn.NUMBERVALUE("0.002505")</f>
        <v/>
      </c>
      <c r="V2617">
        <f>_xlfn.NUMBERVALUE("0.002858")</f>
        <v/>
      </c>
      <c r="W2617">
        <f>_xlfn.NUMBERVALUE("0.016989")</f>
        <v/>
      </c>
      <c r="X2617">
        <f>_xlfn.NUMBERVALUE("-3.330000")</f>
        <v/>
      </c>
      <c r="Y2617">
        <f>_xlfn.NUMBERVALUE("18.960000")</f>
        <v/>
      </c>
    </row>
    <row r="2618">
      <c r="A2618" s="1" t="n">
        <v>45805</v>
      </c>
      <c r="B2618">
        <f>_xlfn.NUMBERVALUE("0.000466")</f>
        <v/>
      </c>
      <c r="C2618" s="2">
        <f>_xlfn.NUMBERVALUE("0.001008")</f>
        <v/>
      </c>
      <c r="D2618">
        <f>_xlfn.NUMBERVALUE("0.001287")</f>
        <v/>
      </c>
      <c r="E2618">
        <f>_xlfn.NUMBERVALUE("-0.000028")</f>
        <v/>
      </c>
      <c r="F2618">
        <f>_xlfn.NUMBERVALUE("0.004763")</f>
        <v/>
      </c>
      <c r="G2618">
        <f>_xlfn.NUMBERVALUE("0.001955")</f>
        <v/>
      </c>
      <c r="H2618">
        <f>_xlfn.NUMBERVALUE("0.000279")</f>
        <v/>
      </c>
      <c r="I2618">
        <f>_xlfn.NUMBERVALUE("0.001520")</f>
        <v/>
      </c>
      <c r="J2618">
        <f>_xlfn.NUMBERVALUE("0.001635")</f>
        <v/>
      </c>
      <c r="K2618">
        <f>_xlfn.NUMBERVALUE("0.003738")</f>
        <v/>
      </c>
      <c r="L2618">
        <f>_xlfn.NUMBERVALUE("-0.000117")</f>
        <v/>
      </c>
      <c r="M2618">
        <f>_xlfn.NUMBERVALUE("0.001392")</f>
        <v/>
      </c>
      <c r="N2618">
        <f>_xlfn.NUMBERVALUE("-0.000789")</f>
        <v/>
      </c>
      <c r="O2618">
        <f>_xlfn.NUMBERVALUE("-0.001056")</f>
        <v/>
      </c>
      <c r="P2618">
        <f>_xlfn.NUMBERVALUE("0.000721")</f>
        <v/>
      </c>
      <c r="Q2618">
        <f>_xlfn.NUMBERVALUE("0.001092")</f>
        <v/>
      </c>
      <c r="R2618">
        <f>_xlfn.NUMBERVALUE("0.000466")</f>
        <v/>
      </c>
      <c r="S2618">
        <f>_xlfn.NUMBERVALUE("-0.000019")</f>
        <v/>
      </c>
      <c r="T2618">
        <f>_xlfn.NUMBERVALUE("0.000229")</f>
        <v/>
      </c>
      <c r="U2618">
        <f>_xlfn.NUMBERVALUE("-0.000956")</f>
        <v/>
      </c>
      <c r="V2618">
        <f>_xlfn.NUMBERVALUE("0.001094")</f>
        <v/>
      </c>
      <c r="W2618">
        <f>_xlfn.NUMBERVALUE("-0.002914")</f>
        <v/>
      </c>
      <c r="X2618">
        <f>_xlfn.NUMBERVALUE("0.350000")</f>
        <v/>
      </c>
      <c r="Y2618">
        <f>_xlfn.NUMBERVALUE("19.310000")</f>
        <v/>
      </c>
    </row>
    <row r="2619">
      <c r="A2619" s="1" t="n">
        <v>45806</v>
      </c>
      <c r="B2619">
        <f>_xlfn.NUMBERVALUE("0.000238")</f>
        <v/>
      </c>
      <c r="C2619" s="2">
        <f>_xlfn.NUMBERVALUE("0.001259")</f>
        <v/>
      </c>
      <c r="D2619">
        <f>_xlfn.NUMBERVALUE("-0.000195")</f>
        <v/>
      </c>
      <c r="E2619">
        <f>_xlfn.NUMBERVALUE("-0.000532")</f>
        <v/>
      </c>
      <c r="F2619">
        <f>_xlfn.NUMBERVALUE("0.000792")</f>
        <v/>
      </c>
      <c r="G2619">
        <f>_xlfn.NUMBERVALUE("0.000937")</f>
        <v/>
      </c>
      <c r="H2619">
        <f>_xlfn.NUMBERVALUE("0.000046")</f>
        <v/>
      </c>
      <c r="I2619">
        <f>_xlfn.NUMBERVALUE("0.001233")</f>
        <v/>
      </c>
      <c r="J2619">
        <f>_xlfn.NUMBERVALUE("-0.000214")</f>
        <v/>
      </c>
      <c r="K2619">
        <f>_xlfn.NUMBERVALUE("0.000318")</f>
        <v/>
      </c>
      <c r="L2619">
        <f>_xlfn.NUMBERVALUE("0.000412")</f>
        <v/>
      </c>
      <c r="M2619">
        <f>_xlfn.NUMBERVALUE("0.001221")</f>
        <v/>
      </c>
      <c r="N2619">
        <f>_xlfn.NUMBERVALUE("0.000909")</f>
        <v/>
      </c>
      <c r="O2619">
        <f>_xlfn.NUMBERVALUE("0.002246")</f>
        <v/>
      </c>
      <c r="P2619">
        <f>_xlfn.NUMBERVALUE("0.001867")</f>
        <v/>
      </c>
      <c r="Q2619">
        <f>_xlfn.NUMBERVALUE("0.001291")</f>
        <v/>
      </c>
      <c r="R2619">
        <f>_xlfn.NUMBERVALUE("0.003867")</f>
        <v/>
      </c>
      <c r="S2619">
        <f>_xlfn.NUMBERVALUE("-0.000261")</f>
        <v/>
      </c>
      <c r="T2619">
        <f>_xlfn.NUMBERVALUE("0.000698")</f>
        <v/>
      </c>
      <c r="U2619">
        <f>_xlfn.NUMBERVALUE("0.002229")</f>
        <v/>
      </c>
      <c r="V2619">
        <f>_xlfn.NUMBERVALUE("0.000971")</f>
        <v/>
      </c>
      <c r="W2619">
        <f>_xlfn.NUMBERVALUE("0.001818")</f>
        <v/>
      </c>
      <c r="X2619">
        <f>_xlfn.NUMBERVALUE("-0.130000")</f>
        <v/>
      </c>
      <c r="Y2619">
        <f>_xlfn.NUMBERVALUE("19.180000")</f>
        <v/>
      </c>
    </row>
    <row r="2620">
      <c r="A2620" s="1" t="n">
        <v>45807</v>
      </c>
      <c r="B2620">
        <f>_xlfn.NUMBERVALUE("-0.000010")</f>
        <v/>
      </c>
      <c r="C2620" s="2">
        <f>_xlfn.NUMBERVALUE("0.000680")</f>
        <v/>
      </c>
      <c r="D2620">
        <f>_xlfn.NUMBERVALUE("0.000061")</f>
        <v/>
      </c>
      <c r="E2620">
        <f>_xlfn.NUMBERVALUE("0.002158")</f>
        <v/>
      </c>
      <c r="F2620">
        <f>_xlfn.NUMBERVALUE("0.001088")</f>
        <v/>
      </c>
      <c r="G2620">
        <f>_xlfn.NUMBERVALUE("0.000174")</f>
        <v/>
      </c>
      <c r="H2620">
        <f>_xlfn.NUMBERVALUE("0.000581")</f>
        <v/>
      </c>
      <c r="I2620">
        <f>_xlfn.NUMBERVALUE("0.002669")</f>
        <v/>
      </c>
      <c r="J2620">
        <f>_xlfn.NUMBERVALUE("0.000700")</f>
        <v/>
      </c>
      <c r="K2620">
        <f>_xlfn.NUMBERVALUE("0.000927")</f>
        <v/>
      </c>
      <c r="L2620">
        <f>_xlfn.NUMBERVALUE("0.002098")</f>
        <v/>
      </c>
      <c r="M2620">
        <f>_xlfn.NUMBERVALUE("0.002046")</f>
        <v/>
      </c>
      <c r="N2620">
        <f>_xlfn.NUMBERVALUE("0.000908")</f>
        <v/>
      </c>
      <c r="O2620">
        <f>_xlfn.NUMBERVALUE("0.000681")</f>
        <v/>
      </c>
      <c r="P2620">
        <f>_xlfn.NUMBERVALUE("0.001041")</f>
        <v/>
      </c>
      <c r="Q2620">
        <f>_xlfn.NUMBERVALUE("0.000633")</f>
        <v/>
      </c>
      <c r="R2620">
        <f>_xlfn.NUMBERVALUE("0.001698")</f>
        <v/>
      </c>
      <c r="S2620">
        <f>_xlfn.NUMBERVALUE("0.000158")</f>
        <v/>
      </c>
      <c r="T2620">
        <f>_xlfn.NUMBERVALUE("-0.000120")</f>
        <v/>
      </c>
      <c r="U2620">
        <f>_xlfn.NUMBERVALUE("0.003042")</f>
        <v/>
      </c>
      <c r="V2620">
        <f>_xlfn.NUMBERVALUE("0.001183")</f>
        <v/>
      </c>
      <c r="W2620">
        <f>_xlfn.NUMBERVALUE("0.000068")</f>
        <v/>
      </c>
      <c r="X2620">
        <f>_xlfn.NUMBERVALUE("-0.610000")</f>
        <v/>
      </c>
      <c r="Y2620">
        <f>_xlfn.NUMBERVALUE("18.570000")</f>
        <v/>
      </c>
    </row>
    <row r="2621">
      <c r="A2621" s="1" t="n">
        <v>45810</v>
      </c>
      <c r="B2621">
        <f>_xlfn.NUMBERVALUE("0.000000")</f>
        <v/>
      </c>
      <c r="C2621" s="2">
        <f>_xlfn.NUMBERVALUE("0.001675")</f>
        <v/>
      </c>
      <c r="D2621">
        <f>_xlfn.NUMBERVALUE("-0.000474")</f>
        <v/>
      </c>
      <c r="E2621">
        <f>_xlfn.NUMBERVALUE("0.000284")</f>
        <v/>
      </c>
      <c r="F2621">
        <f>_xlfn.NUMBERVALUE("-0.007888")</f>
        <v/>
      </c>
      <c r="G2621">
        <f>_xlfn.NUMBERVALUE("-0.003743")</f>
        <v/>
      </c>
      <c r="H2621">
        <f>_xlfn.NUMBERVALUE("-0.000343")</f>
        <v/>
      </c>
      <c r="I2621">
        <f>_xlfn.NUMBERVALUE("0.002586")</f>
        <v/>
      </c>
      <c r="J2621">
        <f>_xlfn.NUMBERVALUE("-0.002258")</f>
        <v/>
      </c>
      <c r="K2621">
        <f>_xlfn.NUMBERVALUE("-0.027356")</f>
        <v/>
      </c>
      <c r="L2621">
        <f>_xlfn.NUMBERVALUE("-0.001327")</f>
        <v/>
      </c>
      <c r="M2621">
        <f>_xlfn.NUMBERVALUE("0.001931")</f>
        <v/>
      </c>
      <c r="N2621">
        <f>_xlfn.NUMBERVALUE("0.001627")</f>
        <v/>
      </c>
      <c r="O2621">
        <f>_xlfn.NUMBERVALUE("0.003320")</f>
        <v/>
      </c>
      <c r="P2621">
        <f>_xlfn.NUMBERVALUE("0.001993")</f>
        <v/>
      </c>
      <c r="Q2621">
        <f>_xlfn.NUMBERVALUE("0.003268")</f>
        <v/>
      </c>
      <c r="R2621">
        <f>_xlfn.NUMBERVALUE("0.001995")</f>
        <v/>
      </c>
      <c r="S2621">
        <f>_xlfn.NUMBERVALUE("0.001267")</f>
        <v/>
      </c>
      <c r="T2621">
        <f>_xlfn.NUMBERVALUE("0.000562")</f>
        <v/>
      </c>
      <c r="U2621">
        <f>_xlfn.NUMBERVALUE("0.002798")</f>
        <v/>
      </c>
      <c r="V2621">
        <f>_xlfn.NUMBERVALUE("0.000957")</f>
        <v/>
      </c>
      <c r="W2621">
        <f>_xlfn.NUMBERVALUE("0.003816")</f>
        <v/>
      </c>
      <c r="X2621">
        <f>_xlfn.NUMBERVALUE("-0.210000")</f>
        <v/>
      </c>
      <c r="Y2621">
        <f>_xlfn.NUMBERVALUE("18.360000")</f>
        <v/>
      </c>
    </row>
    <row r="2622">
      <c r="A2622" s="1" t="n">
        <v>45811</v>
      </c>
      <c r="B2622">
        <f>_xlfn.NUMBERVALUE("0.000000")</f>
        <v/>
      </c>
      <c r="C2622" s="2">
        <f>_xlfn.NUMBERVALUE("0.000876")</f>
        <v/>
      </c>
      <c r="D2622">
        <f>_xlfn.NUMBERVALUE("0.001690")</f>
        <v/>
      </c>
      <c r="E2622">
        <f>_xlfn.NUMBERVALUE("0.000183")</f>
        <v/>
      </c>
      <c r="F2622">
        <f>_xlfn.NUMBERVALUE("0.001329")</f>
        <v/>
      </c>
      <c r="G2622">
        <f>_xlfn.NUMBERVALUE("0.000706")</f>
        <v/>
      </c>
      <c r="H2622">
        <f>_xlfn.NUMBERVALUE("0.000598")</f>
        <v/>
      </c>
      <c r="I2622">
        <f>_xlfn.NUMBERVALUE("-0.002255")</f>
        <v/>
      </c>
      <c r="J2622">
        <f>_xlfn.NUMBERVALUE("0.000432")</f>
        <v/>
      </c>
      <c r="K2622">
        <f>_xlfn.NUMBERVALUE("0.002397")</f>
        <v/>
      </c>
      <c r="L2622">
        <f>_xlfn.NUMBERVALUE("0.001492")</f>
        <v/>
      </c>
      <c r="M2622">
        <f>_xlfn.NUMBERVALUE("-0.000441")</f>
        <v/>
      </c>
      <c r="N2622">
        <f>_xlfn.NUMBERVALUE("0.002047")</f>
        <v/>
      </c>
      <c r="O2622">
        <f>_xlfn.NUMBERVALUE("-0.001746")</f>
        <v/>
      </c>
      <c r="P2622">
        <f>_xlfn.NUMBERVALUE("0.001469")</f>
        <v/>
      </c>
      <c r="Q2622">
        <f>_xlfn.NUMBERVALUE("0.000899")</f>
        <v/>
      </c>
      <c r="R2622">
        <f>_xlfn.NUMBERVALUE("-0.001305")</f>
        <v/>
      </c>
      <c r="S2622">
        <f>_xlfn.NUMBERVALUE("0.001145")</f>
        <v/>
      </c>
      <c r="T2622">
        <f>_xlfn.NUMBERVALUE("0.000861")</f>
        <v/>
      </c>
      <c r="U2622">
        <f>_xlfn.NUMBERVALUE("0.001545")</f>
        <v/>
      </c>
      <c r="V2622">
        <f>_xlfn.NUMBERVALUE("0.000590")</f>
        <v/>
      </c>
      <c r="W2622">
        <f>_xlfn.NUMBERVALUE("0.006859")</f>
        <v/>
      </c>
      <c r="X2622">
        <f>_xlfn.NUMBERVALUE("-0.670000")</f>
        <v/>
      </c>
      <c r="Y2622">
        <f>_xlfn.NUMBERVALUE("17.690000")</f>
        <v/>
      </c>
    </row>
    <row r="2623">
      <c r="A2623" s="1" t="n">
        <v>45812</v>
      </c>
      <c r="B2623">
        <f>_xlfn.NUMBERVALUE("0.000000")</f>
        <v/>
      </c>
      <c r="C2623" s="2">
        <f>_xlfn.NUMBERVALUE("0.000925")</f>
        <v/>
      </c>
      <c r="D2623">
        <f>_xlfn.NUMBERVALUE("-0.001486")</f>
        <v/>
      </c>
      <c r="E2623">
        <f>_xlfn.NUMBERVALUE("0.000461")</f>
        <v/>
      </c>
      <c r="F2623">
        <f>_xlfn.NUMBERVALUE("0.001885")</f>
        <v/>
      </c>
      <c r="G2623">
        <f>_xlfn.NUMBERVALUE("0.000370")</f>
        <v/>
      </c>
      <c r="H2623">
        <f>_xlfn.NUMBERVALUE("-0.001699")</f>
        <v/>
      </c>
      <c r="I2623">
        <f>_xlfn.NUMBERVALUE("0.001607")</f>
        <v/>
      </c>
      <c r="J2623">
        <f>_xlfn.NUMBERVALUE("-0.001087")</f>
        <v/>
      </c>
      <c r="K2623">
        <f>_xlfn.NUMBERVALUE("0.002849")</f>
        <v/>
      </c>
      <c r="L2623">
        <f>_xlfn.NUMBERVALUE("-0.003641")</f>
        <v/>
      </c>
      <c r="M2623">
        <f>_xlfn.NUMBERVALUE("0.005857")</f>
        <v/>
      </c>
      <c r="N2623">
        <f>_xlfn.NUMBERVALUE("0.000896")</f>
        <v/>
      </c>
      <c r="O2623">
        <f>_xlfn.NUMBERVALUE("-0.003114")</f>
        <v/>
      </c>
      <c r="P2623">
        <f>_xlfn.NUMBERVALUE("0.001622")</f>
        <v/>
      </c>
      <c r="Q2623">
        <f>_xlfn.NUMBERVALUE("0.000132")</f>
        <v/>
      </c>
      <c r="R2623">
        <f>_xlfn.NUMBERVALUE("0.001905")</f>
        <v/>
      </c>
      <c r="S2623">
        <f>_xlfn.NUMBERVALUE("0.001514")</f>
        <v/>
      </c>
      <c r="T2623">
        <f>_xlfn.NUMBERVALUE("-0.000637")</f>
        <v/>
      </c>
      <c r="U2623">
        <f>_xlfn.NUMBERVALUE("0.001992")</f>
        <v/>
      </c>
      <c r="V2623">
        <f>_xlfn.NUMBERVALUE("0.000336")</f>
        <v/>
      </c>
      <c r="W2623">
        <f>_xlfn.NUMBERVALUE("0.001510")</f>
        <v/>
      </c>
      <c r="X2623">
        <f>_xlfn.NUMBERVALUE("-0.080000")</f>
        <v/>
      </c>
      <c r="Y2623">
        <f>_xlfn.NUMBERVALUE("17.610000")</f>
        <v/>
      </c>
    </row>
    <row r="2624">
      <c r="A2624" s="1" t="n">
        <v>45813</v>
      </c>
      <c r="B2624">
        <f>_xlfn.NUMBERVALUE("0.000000")</f>
        <v/>
      </c>
      <c r="C2624" s="2">
        <f>_xlfn.NUMBERVALUE("-0.000496")</f>
        <v/>
      </c>
      <c r="D2624">
        <f>_xlfn.NUMBERVALUE("-0.000082")</f>
        <v/>
      </c>
      <c r="E2624">
        <f>_xlfn.NUMBERVALUE("0.000256")</f>
        <v/>
      </c>
      <c r="F2624">
        <f>_xlfn.NUMBERVALUE("0.001388")</f>
        <v/>
      </c>
      <c r="G2624">
        <f>_xlfn.NUMBERVALUE("0.000192")</f>
        <v/>
      </c>
      <c r="H2624">
        <f>_xlfn.NUMBERVALUE("0.001466")</f>
        <v/>
      </c>
      <c r="I2624">
        <f>_xlfn.NUMBERVALUE("0.000329")</f>
        <v/>
      </c>
      <c r="J2624">
        <f>_xlfn.NUMBERVALUE("0.000162")</f>
        <v/>
      </c>
      <c r="K2624">
        <f>_xlfn.NUMBERVALUE("-0.004006")</f>
        <v/>
      </c>
      <c r="L2624">
        <f>_xlfn.NUMBERVALUE("0.001965")</f>
        <v/>
      </c>
      <c r="M2624">
        <f>_xlfn.NUMBERVALUE("-0.004573")</f>
        <v/>
      </c>
      <c r="N2624">
        <f>_xlfn.NUMBERVALUE("-0.001135")</f>
        <v/>
      </c>
      <c r="O2624">
        <f>_xlfn.NUMBERVALUE("0.001053")</f>
        <v/>
      </c>
      <c r="P2624">
        <f>_xlfn.NUMBERVALUE("-0.000125")</f>
        <v/>
      </c>
      <c r="Q2624">
        <f>_xlfn.NUMBERVALUE("0.000404")</f>
        <v/>
      </c>
      <c r="R2624">
        <f>_xlfn.NUMBERVALUE("0.000433")</f>
        <v/>
      </c>
      <c r="S2624">
        <f>_xlfn.NUMBERVALUE("-0.001276")</f>
        <v/>
      </c>
      <c r="T2624">
        <f>_xlfn.NUMBERVALUE("0.001254")</f>
        <v/>
      </c>
      <c r="U2624">
        <f>_xlfn.NUMBERVALUE("-0.007271")</f>
        <v/>
      </c>
      <c r="V2624">
        <f>_xlfn.NUMBERVALUE("0.000117")</f>
        <v/>
      </c>
      <c r="W2624">
        <f>_xlfn.NUMBERVALUE("-0.004641")</f>
        <v/>
      </c>
      <c r="X2624">
        <f>_xlfn.NUMBERVALUE("0.870000")</f>
        <v/>
      </c>
      <c r="Y2624">
        <f>_xlfn.NUMBERVALUE("18.480000")</f>
        <v/>
      </c>
    </row>
    <row r="2625">
      <c r="A2625" s="1" t="n">
        <v>45814</v>
      </c>
      <c r="B2625">
        <f>_xlfn.NUMBERVALUE("0.000000")</f>
        <v/>
      </c>
      <c r="C2625" s="2">
        <f>_xlfn.NUMBERVALUE("0.000511")</f>
        <v/>
      </c>
      <c r="D2625">
        <f>_xlfn.NUMBERVALUE("0.000192")</f>
        <v/>
      </c>
      <c r="E2625">
        <f>_xlfn.NUMBERVALUE("-0.000199")</f>
        <v/>
      </c>
      <c r="F2625">
        <f>_xlfn.NUMBERVALUE("0.000074")</f>
        <v/>
      </c>
      <c r="G2625">
        <f>_xlfn.NUMBERVALUE("0.000579")</f>
        <v/>
      </c>
      <c r="H2625">
        <f>_xlfn.NUMBERVALUE("-0.001713")</f>
        <v/>
      </c>
      <c r="I2625">
        <f>_xlfn.NUMBERVALUE("0.000085")</f>
        <v/>
      </c>
      <c r="J2625">
        <f>_xlfn.NUMBERVALUE("0.002531")</f>
        <v/>
      </c>
      <c r="K2625">
        <f>_xlfn.NUMBERVALUE("0.000402")</f>
        <v/>
      </c>
      <c r="L2625">
        <f>_xlfn.NUMBERVALUE("-0.000233")</f>
        <v/>
      </c>
      <c r="M2625">
        <f>_xlfn.NUMBERVALUE("0.000210")</f>
        <v/>
      </c>
      <c r="N2625">
        <f>_xlfn.NUMBERVALUE("0.000300")</f>
        <v/>
      </c>
      <c r="O2625">
        <f>_xlfn.NUMBERVALUE("0.000506")</f>
        <v/>
      </c>
      <c r="P2625">
        <f>_xlfn.NUMBERVALUE("0.000856")</f>
        <v/>
      </c>
      <c r="Q2625">
        <f>_xlfn.NUMBERVALUE("0.000461")</f>
        <v/>
      </c>
      <c r="R2625">
        <f>_xlfn.NUMBERVALUE("0.002629")</f>
        <v/>
      </c>
      <c r="S2625">
        <f>_xlfn.NUMBERVALUE("0.001347")</f>
        <v/>
      </c>
      <c r="T2625">
        <f>_xlfn.NUMBERVALUE("0.001877")</f>
        <v/>
      </c>
      <c r="U2625">
        <f>_xlfn.NUMBERVALUE("0.001985")</f>
        <v/>
      </c>
      <c r="V2625">
        <f>_xlfn.NUMBERVALUE("0.000164")</f>
        <v/>
      </c>
      <c r="W2625">
        <f>_xlfn.NUMBERVALUE("0.009157")</f>
        <v/>
      </c>
      <c r="X2625">
        <f>_xlfn.NUMBERVALUE("-1.710000")</f>
        <v/>
      </c>
      <c r="Y2625">
        <f>_xlfn.NUMBERVALUE("16.770000")</f>
        <v/>
      </c>
    </row>
    <row r="2626">
      <c r="A2626" s="1" t="n">
        <v>45817</v>
      </c>
      <c r="B2626">
        <f>_xlfn.NUMBERVALUE("0.000000")</f>
        <v/>
      </c>
      <c r="C2626" s="2">
        <f>_xlfn.NUMBERVALUE("0.000964")</f>
        <v/>
      </c>
      <c r="D2626">
        <f>_xlfn.NUMBERVALUE("0.000409")</f>
        <v/>
      </c>
      <c r="E2626">
        <f>_xlfn.NUMBERVALUE("0.000959")</f>
        <v/>
      </c>
      <c r="F2626">
        <f>_xlfn.NUMBERVALUE("0.003633")</f>
        <v/>
      </c>
      <c r="G2626">
        <f>_xlfn.NUMBERVALUE("0.000425")</f>
        <v/>
      </c>
      <c r="H2626">
        <f>_xlfn.NUMBERVALUE("0.000453")</f>
        <v/>
      </c>
      <c r="I2626">
        <f>_xlfn.NUMBERVALUE("0.000050")</f>
        <v/>
      </c>
      <c r="J2626">
        <f>_xlfn.NUMBERVALUE("0.000772")</f>
        <v/>
      </c>
      <c r="K2626">
        <f>_xlfn.NUMBERVALUE("0.000089")</f>
        <v/>
      </c>
      <c r="L2626">
        <f>_xlfn.NUMBERVALUE("0.001767")</f>
        <v/>
      </c>
      <c r="M2626">
        <f>_xlfn.NUMBERVALUE("0.003936")</f>
        <v/>
      </c>
      <c r="N2626">
        <f>_xlfn.NUMBERVALUE("0.001761")</f>
        <v/>
      </c>
      <c r="O2626">
        <f>_xlfn.NUMBERVALUE("0.001862")</f>
        <v/>
      </c>
      <c r="P2626">
        <f>_xlfn.NUMBERVALUE("0.001896")</f>
        <v/>
      </c>
      <c r="Q2626">
        <f>_xlfn.NUMBERVALUE("0.001678")</f>
        <v/>
      </c>
      <c r="R2626">
        <f>_xlfn.NUMBERVALUE("0.002543")</f>
        <v/>
      </c>
      <c r="S2626">
        <f>_xlfn.NUMBERVALUE("0.002074")</f>
        <v/>
      </c>
      <c r="T2626">
        <f>_xlfn.NUMBERVALUE("0.001872")</f>
        <v/>
      </c>
      <c r="U2626">
        <f>_xlfn.NUMBERVALUE("0.000946")</f>
        <v/>
      </c>
      <c r="V2626">
        <f>_xlfn.NUMBERVALUE("0.000302")</f>
        <v/>
      </c>
      <c r="W2626">
        <f>_xlfn.NUMBERVALUE("0.000867")</f>
        <v/>
      </c>
      <c r="X2626">
        <f>_xlfn.NUMBERVALUE("0.390000")</f>
        <v/>
      </c>
      <c r="Y2626">
        <f>_xlfn.NUMBERVALUE("17.160000")</f>
        <v/>
      </c>
    </row>
    <row r="2627">
      <c r="A2627" s="1" t="n">
        <v>45818</v>
      </c>
      <c r="B2627">
        <f>_xlfn.NUMBERVALUE("0.000000")</f>
        <v/>
      </c>
      <c r="C2627" s="2">
        <f>_xlfn.NUMBERVALUE("-0.000021")</f>
        <v/>
      </c>
      <c r="D2627">
        <f>_xlfn.NUMBERVALUE("0.000262")</f>
        <v/>
      </c>
      <c r="E2627">
        <f>_xlfn.NUMBERVALUE("0.000166")</f>
        <v/>
      </c>
      <c r="F2627">
        <f>_xlfn.NUMBERVALUE("0.004959")</f>
        <v/>
      </c>
      <c r="G2627">
        <f>_xlfn.NUMBERVALUE("0.000081")</f>
        <v/>
      </c>
      <c r="H2627">
        <f>_xlfn.NUMBERVALUE("0.000102")</f>
        <v/>
      </c>
      <c r="I2627">
        <f>_xlfn.NUMBERVALUE("0.000088")</f>
        <v/>
      </c>
      <c r="J2627">
        <f>_xlfn.NUMBERVALUE("0.000088")</f>
        <v/>
      </c>
      <c r="K2627">
        <f>_xlfn.NUMBERVALUE("-0.000042")</f>
        <v/>
      </c>
      <c r="L2627">
        <f>_xlfn.NUMBERVALUE("0.000958")</f>
        <v/>
      </c>
      <c r="M2627">
        <f>_xlfn.NUMBERVALUE("-0.002172")</f>
        <v/>
      </c>
      <c r="N2627">
        <f>_xlfn.NUMBERVALUE("-0.001549")</f>
        <v/>
      </c>
      <c r="O2627">
        <f>_xlfn.NUMBERVALUE("0.000469")</f>
        <v/>
      </c>
      <c r="P2627">
        <f>_xlfn.NUMBERVALUE("0.000873")</f>
        <v/>
      </c>
      <c r="Q2627">
        <f>_xlfn.NUMBERVALUE("0.001225")</f>
        <v/>
      </c>
      <c r="R2627">
        <f>_xlfn.NUMBERVALUE("0.000798")</f>
        <v/>
      </c>
      <c r="S2627">
        <f>_xlfn.NUMBERVALUE("0.000763")</f>
        <v/>
      </c>
      <c r="T2627">
        <f>_xlfn.NUMBERVALUE("0.002188")</f>
        <v/>
      </c>
      <c r="U2627">
        <f>_xlfn.NUMBERVALUE("0.000289")</f>
        <v/>
      </c>
      <c r="V2627">
        <f>_xlfn.NUMBERVALUE("0.000022")</f>
        <v/>
      </c>
      <c r="W2627">
        <f>_xlfn.NUMBERVALUE("0.003483")</f>
        <v/>
      </c>
      <c r="X2627">
        <f>_xlfn.NUMBERVALUE("-0.210000")</f>
        <v/>
      </c>
      <c r="Y2627">
        <f>_xlfn.NUMBERVALUE("16.950000")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NA</dc:creator>
  <dc:subject xmlns:dc="http://purl.org/dc/elements/1.1/">NA</dc:subject>
  <dcterms:created xmlns:dcterms="http://purl.org/dc/terms/" xmlns:xsi="http://www.w3.org/2001/XMLSchema-instance" xsi:type="dcterms:W3CDTF">2025-08-15T16:09:02Z</dcterms:created>
  <dcterms:modified xmlns:dcterms="http://purl.org/dc/terms/" xmlns:xsi="http://www.w3.org/2001/XMLSchema-instance" xsi:type="dcterms:W3CDTF">2025-09-15T18:55:12Z</dcterms:modified>
  <cp:lastModifiedBy>NA</cp:lastModifiedBy>
</cp:coreProperties>
</file>